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926c736c3c40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322c6cc66374c9c"/>
    <x:sheet xmlns:r="http://schemas.openxmlformats.org/officeDocument/2006/relationships" name="四期限排名" sheetId="2" r:id="Rc0f346f515d34448"/>
    <x:sheet xmlns:r="http://schemas.openxmlformats.org/officeDocument/2006/relationships" name="年底情景" sheetId="3" r:id="R7b7fc470d5cb4521"/>
    <x:sheet xmlns:r="http://schemas.openxmlformats.org/officeDocument/2006/relationships" name="汇率敏感性" sheetId="4" r:id="Rb95be9e0ed174ddd"/>
    <x:sheet xmlns:r="http://schemas.openxmlformats.org/officeDocument/2006/relationships" name="ETF与指数" sheetId="5" r:id="R03fcd8e05d6a4e3a"/>
    <x:sheet xmlns:r="http://schemas.openxmlformats.org/officeDocument/2006/relationships" name="活动估值" sheetId="6" r:id="R474ad1ce92734e31"/>
    <x:sheet xmlns:r="http://schemas.openxmlformats.org/officeDocument/2006/relationships" name="经营桥" sheetId="7" r:id="Ra33c3ca02f234a32"/>
    <x:sheet xmlns:r="http://schemas.openxmlformats.org/officeDocument/2006/relationships" name="产品经营桥" sheetId="8" r:id="R41bd8c03bbb04830"/>
    <x:sheet xmlns:r="http://schemas.openxmlformats.org/officeDocument/2006/relationships" name="地域经营桥" sheetId="9" r:id="R1b39d0c51af548e9"/>
    <x:sheet xmlns:r="http://schemas.openxmlformats.org/officeDocument/2006/relationships" name="业务分拆桥" sheetId="10" r:id="R71cdfaa843ab4d0e"/>
    <x:sheet xmlns:r="http://schemas.openxmlformats.org/officeDocument/2006/relationships" name="零售物流桥" sheetId="11" r:id="Rdea772f1fc7747a1"/>
    <x:sheet xmlns:r="http://schemas.openxmlformats.org/officeDocument/2006/relationships" name="零售物流假设" sheetId="12" r:id="R286504f9737e4233"/>
    <x:sheet xmlns:r="http://schemas.openxmlformats.org/officeDocument/2006/relationships" name="AI经营桥" sheetId="13" r:id="R687ff9d5b7d045ba"/>
    <x:sheet xmlns:r="http://schemas.openxmlformats.org/officeDocument/2006/relationships" name="AI经营假设" sheetId="14" r:id="Ra443375f610e4844"/>
    <x:sheet xmlns:r="http://schemas.openxmlformats.org/officeDocument/2006/relationships" name="内容经营桥" sheetId="15" r:id="R8e8848964d34458c"/>
    <x:sheet xmlns:r="http://schemas.openxmlformats.org/officeDocument/2006/relationships" name="内容经营假设" sheetId="16" r:id="Rfa55b651bd7b41a2"/>
    <x:sheet xmlns:r="http://schemas.openxmlformats.org/officeDocument/2006/relationships" name="SOTP估值桥" sheetId="17" r:id="R12ff96f250ab4e73"/>
    <x:sheet xmlns:r="http://schemas.openxmlformats.org/officeDocument/2006/relationships" name="SOTP假设" sheetId="18" r:id="R5bb5746410be491a"/>
    <x:sheet xmlns:r="http://schemas.openxmlformats.org/officeDocument/2006/relationships" name="SOTP管线参数" sheetId="19" r:id="R1e6c62b1488f4224"/>
    <x:sheet xmlns:r="http://schemas.openxmlformats.org/officeDocument/2006/relationships" name="SOTP管线现金流" sheetId="20" r:id="Rdce82a06a40a45cb"/>
    <x:sheet xmlns:r="http://schemas.openxmlformats.org/officeDocument/2006/relationships" name="风险净现值" sheetId="21" r:id="R81cd91ec7b1a4b09"/>
    <x:sheet xmlns:r="http://schemas.openxmlformats.org/officeDocument/2006/relationships" name="管线假设" sheetId="22" r:id="R0e889fd36fbb4d9f"/>
    <x:sheet xmlns:r="http://schemas.openxmlformats.org/officeDocument/2006/relationships" name="管线现金流" sheetId="23" r:id="Rce261890cf364af0"/>
    <x:sheet xmlns:r="http://schemas.openxmlformats.org/officeDocument/2006/relationships" name="许可受让方假设" sheetId="24" r:id="Rda60fbb7dc074747"/>
    <x:sheet xmlns:r="http://schemas.openxmlformats.org/officeDocument/2006/relationships" name="许可受让方现金流" sheetId="25" r:id="Rc8b25215556e4104"/>
    <x:sheet xmlns:r="http://schemas.openxmlformats.org/officeDocument/2006/relationships" name="许可受让方权益" sheetId="26" r:id="R11d97177b9e948fd"/>
    <x:sheet xmlns:r="http://schemas.openxmlformats.org/officeDocument/2006/relationships" name="假设" sheetId="27" r:id="R09153a3ed6c849c9"/>
    <x:sheet xmlns:r="http://schemas.openxmlformats.org/officeDocument/2006/relationships" name="经营假设" sheetId="28" r:id="R8da9b8a347bb4f37"/>
    <x:sheet xmlns:r="http://schemas.openxmlformats.org/officeDocument/2006/relationships" name="产品经营假设" sheetId="29" r:id="Rbe3c4508e8014360"/>
    <x:sheet xmlns:r="http://schemas.openxmlformats.org/officeDocument/2006/relationships" name="地域经营假设" sheetId="30" r:id="R1f92ed554cbb40ed"/>
    <x:sheet xmlns:r="http://schemas.openxmlformats.org/officeDocument/2006/relationships" name="业务分拆假设" sheetId="31" r:id="Rdf513e2377894e08"/>
    <x:sheet xmlns:r="http://schemas.openxmlformats.org/officeDocument/2006/relationships" name="药物假设" sheetId="32" r:id="Rd378d1ee0df3490c"/>
    <x:sheet xmlns:r="http://schemas.openxmlformats.org/officeDocument/2006/relationships" name="情景快照" sheetId="33" r:id="Rf7edfe3b90de4b78"/>
    <x:sheet xmlns:r="http://schemas.openxmlformats.org/officeDocument/2006/relationships" name="评分" sheetId="34" r:id="Rfd147afb70864109"/>
    <x:sheet xmlns:r="http://schemas.openxmlformats.org/officeDocument/2006/relationships" name="数据 &gt;&gt;" sheetId="35" r:id="Rdabe714245c440e6"/>
    <x:sheet xmlns:r="http://schemas.openxmlformats.org/officeDocument/2006/relationships" name="行情与技术" sheetId="36" r:id="R60c1abea576948cb"/>
    <x:sheet xmlns:r="http://schemas.openxmlformats.org/officeDocument/2006/relationships" name="发行人" sheetId="37" r:id="Ree4d2b1c52974330"/>
    <x:sheet xmlns:r="http://schemas.openxmlformats.org/officeDocument/2006/relationships" name="财务原值" sheetId="38" r:id="Ref59400d84434c96"/>
    <x:sheet xmlns:r="http://schemas.openxmlformats.org/officeDocument/2006/relationships" name="机构目标" sheetId="39" r:id="R57d37ad942a44ec1"/>
    <x:sheet xmlns:r="http://schemas.openxmlformats.org/officeDocument/2006/relationships" name="验收" sheetId="40" r:id="R7156ca13520d4efa"/>
    <x:sheet xmlns:r="http://schemas.openxmlformats.org/officeDocument/2006/relationships" name="说明" sheetId="41" r:id="Rda5e7bbe7fe44c29"/>
    <x:sheet xmlns:r="http://schemas.openxmlformats.org/officeDocument/2006/relationships" name="转债资金假设" sheetId="42" r:id="R54b41775fd604db0"/>
    <x:sheet xmlns:r="http://schemas.openxmlformats.org/officeDocument/2006/relationships" name="年度分部假设" sheetId="43" r:id="R5b4530c160fa48d7"/>
    <x:sheet xmlns:r="http://schemas.openxmlformats.org/officeDocument/2006/relationships" name="年度经营资金桥" sheetId="44" r:id="R5820dd2351cb4f06"/>
    <x:sheet xmlns:r="http://schemas.openxmlformats.org/officeDocument/2006/relationships" name="先声资金假设" sheetId="45" r:id="Rbc026d9a7bb8482d"/>
    <x:sheet xmlns:r="http://schemas.openxmlformats.org/officeDocument/2006/relationships" name="先声年度假设" sheetId="46" r:id="R409f584e95cc478e"/>
    <x:sheet xmlns:r="http://schemas.openxmlformats.org/officeDocument/2006/relationships" name="先声新药假设" sheetId="47" r:id="R9c52d5092f6a4a43"/>
    <x:sheet xmlns:r="http://schemas.openxmlformats.org/officeDocument/2006/relationships" name="先声风险收入桥" sheetId="48" r:id="R1b221b6f1eb8481d"/>
    <x:sheet xmlns:r="http://schemas.openxmlformats.org/officeDocument/2006/relationships" name="先声年度经营桥" sheetId="49" r:id="R7d1a2c74d0f04315"/>
    <x:sheet xmlns:r="http://schemas.openxmlformats.org/officeDocument/2006/relationships" name="复星经营假设" sheetId="50" r:id="Rcf7fc5192f274a1d"/>
    <x:sheet xmlns:r="http://schemas.openxmlformats.org/officeDocument/2006/relationships" name="复星经营桥" sheetId="51" r:id="R5463950b45b549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"/>
    <x:numFmt numFmtId="201" formatCode="0.00%"/>
    <x:numFmt numFmtId="202" formatCode="0.000"/>
    <x:numFmt numFmtId="203" formatCode="+0.00%;-0.00%;—"/>
    <x:numFmt numFmtId="204" formatCode="0"/>
    <x:numFmt numFmtId="205" formatCode="0.0"/>
    <x:numFmt numFmtId="206" formatCode="0%"/>
    <x:numFmt numFmtId="207" formatCode="#,##0"/>
    <x:numFmt numFmtId="208" formatCode="#,##0.000"/>
  </x:numFmts>
  <x:fonts count="11">
    <x:font>
      <x:sz val="11"/>
      <x:name val="Carlito"/>
    </x:font>
    <x:font>
      <x:sz val="11"/>
      <x:name val="Microsoft YaHei"/>
    </x:font>
    <x:font>
      <x:sz val="10"/>
      <x:name val="Microsoft YaHei"/>
    </x:font>
    <x:font>
      <x:sz val="15"/>
      <x:name val="Microsoft YaHei"/>
    </x:font>
    <x:font>
      <x:b/>
      <x:sz val="15"/>
      <x:name val="Microsoft YaHei"/>
    </x:font>
    <x:font>
      <x:sz val="10"/>
      <x:color rgb="FFFFFFFF"/>
      <x:name val="Microsoft YaHei"/>
    </x:font>
    <x:font>
      <x:b/>
      <x:sz val="10"/>
      <x:color rgb="FFFFFFFF"/>
      <x:name val="Microsoft YaHei"/>
    </x:font>
    <x:font>
      <x:sz val="10"/>
      <x:color rgb="FF225BA1"/>
      <x:name val="Microsoft YaHei"/>
    </x:font>
    <x:font>
      <x:b/>
      <x:sz val="12"/>
      <x:name val="Microsoft YaHei"/>
    </x:font>
    <x:font>
      <x:sz val="11"/>
      <x:color rgb="FF225BA1"/>
      <x:name val="Carlito"/>
    </x:font>
    <x:font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FFF0BC"/>
      </x:patternFill>
    </x:fill>
    <x:fill>
      <x:patternFill patternType="solid">
        <x:fgColor rgb="FFE7EDF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2" fillId="2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6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/>
    <x:xf numFmtId="0" fontId="7" fillId="3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200" fontId="2" fillId="4" borderId="0" xfId="0" applyNumberFormat="1" applyFont="1" applyFill="1" applyBorder="1" applyAlignment="1">
      <x:alignment vertical="center" wrapText="0"/>
    </x:xf>
    <x:xf numFmtId="200" fontId="7" fillId="0" borderId="0" xfId="0" applyNumberFormat="1" applyFont="1" applyFill="1" applyBorder="1" applyAlignment="1">
      <x:alignment vertical="center" wrapText="0"/>
    </x:xf>
    <x:xf numFmtId="201" fontId="2" fillId="4" borderId="0" xfId="0" applyNumberFormat="1" applyFont="1" applyFill="1" applyBorder="1" applyAlignment="1">
      <x:alignment vertical="center" wrapText="0"/>
    </x:xf>
    <x:xf numFmtId="201" fontId="7" fillId="0" borderId="0" xfId="0" applyNumberFormat="1" applyFont="1" applyFill="1" applyBorder="1" applyAlignment="1">
      <x:alignment vertical="center" wrapText="0"/>
    </x:xf>
    <x:xf numFmtId="202" fontId="2" fillId="4" borderId="0" xfId="0" applyNumberFormat="1" applyFont="1" applyFill="1" applyBorder="1" applyAlignment="1">
      <x:alignment vertical="center" wrapText="0"/>
    </x:xf>
    <x:xf numFmtId="202" fontId="7" fillId="0" borderId="0" xfId="0" applyNumberFormat="1" applyFont="1" applyFill="1" applyBorder="1" applyAlignment="1">
      <x:alignment vertical="center" wrapText="0"/>
    </x:xf>
    <x:xf numFmtId="200" fontId="2" fillId="0" borderId="0" xfId="0" applyNumberFormat="1" applyFont="1" applyFill="1" applyBorder="1" applyAlignment="1">
      <x:alignment vertical="center" wrapText="0"/>
    </x:xf>
    <x:xf numFmtId="201" fontId="2" fillId="0" borderId="0" xfId="0" applyNumberFormat="1" applyFont="1" applyFill="1" applyBorder="1" applyAlignment="1">
      <x:alignment vertical="center" wrapText="0"/>
    </x:xf>
    <x:xf numFmtId="203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0" borderId="0" xfId="0" applyNumberFormat="1" applyFont="1" applyFill="1" applyBorder="1"/>
    <x:xf numFmtId="0" fontId="8" fillId="0" borderId="0" xfId="0" applyNumberFormat="1" applyFont="1" applyFill="1" applyBorder="1"/>
    <x:xf numFmtId="202" fontId="0" fillId="0" borderId="0" xfId="0" applyNumberFormat="1" applyFont="1" applyFill="1" applyBorder="1"/>
    <x:xf numFmtId="204" fontId="2" fillId="0" borderId="0" xfId="0" applyNumberFormat="1" applyFont="1" applyFill="1" applyBorder="1"/>
    <x:xf numFmtId="201" fontId="2" fillId="0" borderId="0" xfId="0" applyNumberFormat="1" applyFont="1" applyFill="1" applyBorder="1"/>
    <x:xf numFmtId="205" fontId="7" fillId="0" borderId="0" xfId="0" applyNumberFormat="1" applyFont="1" applyFill="1" applyBorder="1" applyAlignment="1">
      <x:alignment vertical="center" wrapText="0"/>
    </x:xf>
    <x:xf numFmtId="205" fontId="2" fillId="0" borderId="0" xfId="0" applyNumberFormat="1" applyFont="1" applyFill="1" applyBorder="1" applyAlignment="1">
      <x:alignment vertical="center" wrapText="0"/>
    </x:xf>
    <x:xf numFmtId="206" fontId="0" fillId="0" borderId="0" xfId="0" applyNumberFormat="1" applyFont="1" applyFill="1" applyBorder="1"/>
    <x:xf numFmtId="206" fontId="9" fillId="0" borderId="0" xfId="0" applyNumberFormat="1" applyFont="1" applyFill="1" applyBorder="1"/>
    <x:xf numFmtId="200" fontId="2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7" fontId="2" fillId="0" borderId="0" xfId="0" applyNumberFormat="1" applyFont="1" applyFill="1" applyBorder="1" applyAlignment="1">
      <x:alignment vertical="center" wrapText="0"/>
    </x:xf>
    <x:xf numFmtId="208" fontId="2" fillId="0" borderId="0" xfId="0" applyNumberFormat="1" applyFont="1" applyFill="1" applyBorder="1" applyAlignment="1">
      <x:alignment vertical="center" wrapText="0"/>
    </x:xf>
    <x:xf numFmtId="0" fontId="0" fillId="2" borderId="0" xfId="0" applyNumberFormat="1" applyFont="1" applyFill="1" applyBorder="1"/>
    <x:xf numFmtId="0" fontId="10" fillId="2" borderId="0" xfId="0" applyNumberFormat="1" applyFont="1" applyFill="1" applyBorder="1"/>
    <x:xf numFmtId="0" fontId="9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3232"/>
      </x:font>
      <x:fill>
        <x:patternFill>
          <x:bgColor rgb="FFFFF0BC"/>
        </x:patternFill>
      </x:fill>
    </x:dxf>
    <x:dxf>
      <x:font>
        <x:b/>
        <x:color rgb="FFA63232"/>
      </x:font>
      <x:fill>
        <x:patternFill>
          <x:bgColor rgb="FFFFF0BC"/>
        </x:patternFill>
      </x:fill>
    </x:dxf>
    <x:dxf>
      <x:font>
        <x:b/>
        <x:color rgb="FFA63232"/>
      </x:font>
      <x:fill>
        <x:patternFill>
          <x:bgColor rgb="FFFFF0B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c92c16ea9e4c4b" /><Relationship Type="http://schemas.openxmlformats.org/officeDocument/2006/relationships/theme" Target="/xl/theme/theme1.xml" Id="R0cb725741f41423b" /><Relationship Type="http://schemas.microsoft.com/office/2022/11/relationships/FeaturePropertyBag" Target="/xl/featurePropertyBag/featurePropertyBag.xml" Id="R4c980c7967794e42" /><Relationship Type="http://schemas.openxmlformats.org/officeDocument/2006/relationships/sharedStrings" Target="/xl/sharedStrings.xml" Id="R44cc37840ae9434d" /><Relationship Type="http://schemas.openxmlformats.org/officeDocument/2006/relationships/worksheet" Target="/xl/worksheets/sheet1.xml" Id="R6322c6cc66374c9c" /><Relationship Type="http://schemas.openxmlformats.org/officeDocument/2006/relationships/worksheet" Target="/xl/worksheets/sheet2.xml" Id="Rc0f346f515d34448" /><Relationship Type="http://schemas.openxmlformats.org/officeDocument/2006/relationships/worksheet" Target="/xl/worksheets/sheet3.xml" Id="R7b7fc470d5cb4521" /><Relationship Type="http://schemas.openxmlformats.org/officeDocument/2006/relationships/worksheet" Target="/xl/worksheets/sheet4.xml" Id="Rb95be9e0ed174ddd" /><Relationship Type="http://schemas.openxmlformats.org/officeDocument/2006/relationships/worksheet" Target="/xl/worksheets/sheet5.xml" Id="R03fcd8e05d6a4e3a" /><Relationship Type="http://schemas.openxmlformats.org/officeDocument/2006/relationships/worksheet" Target="/xl/worksheets/sheet6.xml" Id="R474ad1ce92734e31" /><Relationship Type="http://schemas.openxmlformats.org/officeDocument/2006/relationships/worksheet" Target="/xl/worksheets/sheet7.xml" Id="Ra33c3ca02f234a32" /><Relationship Type="http://schemas.openxmlformats.org/officeDocument/2006/relationships/worksheet" Target="/xl/worksheets/sheet8.xml" Id="R41bd8c03bbb04830" /><Relationship Type="http://schemas.openxmlformats.org/officeDocument/2006/relationships/worksheet" Target="/xl/worksheets/sheet9.xml" Id="R1b39d0c51af548e9" /><Relationship Type="http://schemas.openxmlformats.org/officeDocument/2006/relationships/worksheet" Target="/xl/worksheets/sheet10.xml" Id="R71cdfaa843ab4d0e" /><Relationship Type="http://schemas.openxmlformats.org/officeDocument/2006/relationships/worksheet" Target="/xl/worksheets/sheet11.xml" Id="Rdea772f1fc7747a1" /><Relationship Type="http://schemas.openxmlformats.org/officeDocument/2006/relationships/worksheet" Target="/xl/worksheets/sheet12.xml" Id="R286504f9737e4233" /><Relationship Type="http://schemas.openxmlformats.org/officeDocument/2006/relationships/worksheet" Target="/xl/worksheets/sheet13.xml" Id="R687ff9d5b7d045ba" /><Relationship Type="http://schemas.openxmlformats.org/officeDocument/2006/relationships/worksheet" Target="/xl/worksheets/sheet14.xml" Id="Ra443375f610e4844" /><Relationship Type="http://schemas.openxmlformats.org/officeDocument/2006/relationships/worksheet" Target="/xl/worksheets/sheet15.xml" Id="R8e8848964d34458c" /><Relationship Type="http://schemas.openxmlformats.org/officeDocument/2006/relationships/worksheet" Target="/xl/worksheets/sheet16.xml" Id="Rfa55b651bd7b41a2" /><Relationship Type="http://schemas.openxmlformats.org/officeDocument/2006/relationships/worksheet" Target="/xl/worksheets/sheet17.xml" Id="R12ff96f250ab4e73" /><Relationship Type="http://schemas.openxmlformats.org/officeDocument/2006/relationships/worksheet" Target="/xl/worksheets/sheet18.xml" Id="R5bb5746410be491a" /><Relationship Type="http://schemas.openxmlformats.org/officeDocument/2006/relationships/worksheet" Target="/xl/worksheets/sheet19.xml" Id="R1e6c62b1488f4224" /><Relationship Type="http://schemas.openxmlformats.org/officeDocument/2006/relationships/worksheet" Target="/xl/worksheets/sheet20.xml" Id="Rdce82a06a40a45cb" /><Relationship Type="http://schemas.openxmlformats.org/officeDocument/2006/relationships/worksheet" Target="/xl/worksheets/sheet21.xml" Id="R81cd91ec7b1a4b09" /><Relationship Type="http://schemas.openxmlformats.org/officeDocument/2006/relationships/worksheet" Target="/xl/worksheets/sheet22.xml" Id="R0e889fd36fbb4d9f" /><Relationship Type="http://schemas.openxmlformats.org/officeDocument/2006/relationships/worksheet" Target="/xl/worksheets/sheet23.xml" Id="Rce261890cf364af0" /><Relationship Type="http://schemas.openxmlformats.org/officeDocument/2006/relationships/worksheet" Target="/xl/worksheets/sheet24.xml" Id="Rda60fbb7dc074747" /><Relationship Type="http://schemas.openxmlformats.org/officeDocument/2006/relationships/worksheet" Target="/xl/worksheets/sheet25.xml" Id="Rc8b25215556e4104" /><Relationship Type="http://schemas.openxmlformats.org/officeDocument/2006/relationships/worksheet" Target="/xl/worksheets/sheet26.xml" Id="R11d97177b9e948fd" /><Relationship Type="http://schemas.openxmlformats.org/officeDocument/2006/relationships/worksheet" Target="/xl/worksheets/sheet27.xml" Id="R09153a3ed6c849c9" /><Relationship Type="http://schemas.openxmlformats.org/officeDocument/2006/relationships/worksheet" Target="/xl/worksheets/sheet28.xml" Id="R8da9b8a347bb4f37" /><Relationship Type="http://schemas.openxmlformats.org/officeDocument/2006/relationships/worksheet" Target="/xl/worksheets/sheet29.xml" Id="Rbe3c4508e8014360" /><Relationship Type="http://schemas.openxmlformats.org/officeDocument/2006/relationships/worksheet" Target="/xl/worksheets/sheet30.xml" Id="R1f92ed554cbb40ed" /><Relationship Type="http://schemas.openxmlformats.org/officeDocument/2006/relationships/worksheet" Target="/xl/worksheets/sheet31.xml" Id="Rdf513e2377894e08" /><Relationship Type="http://schemas.openxmlformats.org/officeDocument/2006/relationships/worksheet" Target="/xl/worksheets/sheet32.xml" Id="Rd378d1ee0df3490c" /><Relationship Type="http://schemas.openxmlformats.org/officeDocument/2006/relationships/worksheet" Target="/xl/worksheets/sheet33.xml" Id="Rf7edfe3b90de4b78" /><Relationship Type="http://schemas.openxmlformats.org/officeDocument/2006/relationships/worksheet" Target="/xl/worksheets/sheet34.xml" Id="Rfd147afb70864109" /><Relationship Type="http://schemas.openxmlformats.org/officeDocument/2006/relationships/worksheet" Target="/xl/worksheets/sheet35.xml" Id="Rdabe714245c440e6" /><Relationship Type="http://schemas.openxmlformats.org/officeDocument/2006/relationships/worksheet" Target="/xl/worksheets/sheet36.xml" Id="R60c1abea576948cb" /><Relationship Type="http://schemas.openxmlformats.org/officeDocument/2006/relationships/worksheet" Target="/xl/worksheets/sheet37.xml" Id="Ree4d2b1c52974330" /><Relationship Type="http://schemas.openxmlformats.org/officeDocument/2006/relationships/worksheet" Target="/xl/worksheets/sheet38.xml" Id="Ref59400d84434c96" /><Relationship Type="http://schemas.openxmlformats.org/officeDocument/2006/relationships/worksheet" Target="/xl/worksheets/sheet39.xml" Id="R57d37ad942a44ec1" /><Relationship Type="http://schemas.openxmlformats.org/officeDocument/2006/relationships/worksheet" Target="/xl/worksheets/sheet40.xml" Id="R7156ca13520d4efa" /><Relationship Type="http://schemas.openxmlformats.org/officeDocument/2006/relationships/worksheet" Target="/xl/worksheets/sheet41.xml" Id="Rda5e7bbe7fe44c29" /><Relationship Type="http://schemas.openxmlformats.org/officeDocument/2006/relationships/worksheet" Target="/xl/worksheets/sheet42.xml" Id="R54b41775fd604db0" /><Relationship Type="http://schemas.openxmlformats.org/officeDocument/2006/relationships/worksheet" Target="/xl/worksheets/sheet43.xml" Id="R5b4530c160fa48d7" /><Relationship Type="http://schemas.openxmlformats.org/officeDocument/2006/relationships/worksheet" Target="/xl/worksheets/sheet44.xml" Id="R5820dd2351cb4f06" /><Relationship Type="http://schemas.openxmlformats.org/officeDocument/2006/relationships/worksheet" Target="/xl/worksheets/sheet45.xml" Id="Rbc026d9a7bb8482d" /><Relationship Type="http://schemas.openxmlformats.org/officeDocument/2006/relationships/worksheet" Target="/xl/worksheets/sheet46.xml" Id="R409f584e95cc478e" /><Relationship Type="http://schemas.openxmlformats.org/officeDocument/2006/relationships/worksheet" Target="/xl/worksheets/sheet47.xml" Id="R9c52d5092f6a4a43" /><Relationship Type="http://schemas.openxmlformats.org/officeDocument/2006/relationships/worksheet" Target="/xl/worksheets/sheet48.xml" Id="R1b221b6f1eb8481d" /><Relationship Type="http://schemas.openxmlformats.org/officeDocument/2006/relationships/worksheet" Target="/xl/worksheets/sheet49.xml" Id="R7d1a2c74d0f04315" /><Relationship Type="http://schemas.openxmlformats.org/officeDocument/2006/relationships/worksheet" Target="/xl/worksheets/sheet50.xml" Id="Rcf7fc5192f274a1d" /><Relationship Type="http://schemas.openxmlformats.org/officeDocument/2006/relationships/worksheet" Target="/xl/worksheets/sheet51.xml" Id="R5463950b45b5496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68" hidden="0" customWidth="1"/>
  </x:cols>
  <x:sheetData>
    <x:row r="1">
      <x:c r="A1" s="2"/>
      <x:c r="B1" s="2"/>
      <x:c r="C1" s="2"/>
      <x:c r="D1" s="2"/>
    </x:row>
    <x:row r="2">
      <x:c r="A2" s="4" t="str">
        <x:v>医药与科技证券研究 · 初版</x:v>
      </x:c>
      <x:c r="B2" s="2"/>
      <x:c r="C2" s="2"/>
      <x:c r="D2" s="2"/>
    </x:row>
    <x:row r="3">
      <x:c r="A3" s="2" t="str">
        <x:v>活动情景</x:v>
      </x:c>
      <x:c r="B3" s="2" t="n">
        <x:f>'假设'!B3</x:f>
        <x:v>2</x:v>
      </x:c>
      <x:c r="C3" s="2"/>
      <x:c r="D3" s="2"/>
    </x:row>
    <x:row r="4">
      <x:c r="A4" s="2"/>
      <x:c r="B4" s="2"/>
      <x:c r="C4" s="2"/>
      <x:c r="D4" s="2"/>
    </x:row>
    <x:row r="5">
      <x:c r="A5" s="2"/>
      <x:c r="B5" s="2"/>
      <x:c r="C5" s="2"/>
      <x:c r="D5" s="2"/>
    </x:row>
    <x:row r="6" ht="52" customHeight="1">
      <x:c r="A6" s="12" t="str">
        <x:v>范围/进度</x:v>
      </x:c>
      <x:c r="B6" s="12" t="str">
        <x:v>已完成</x:v>
      </x:c>
      <x:c r="C6" s="12" t="str">
        <x:v>总数</x:v>
      </x:c>
      <x:c r="D6" s="12" t="str">
        <x:v>说明</x:v>
      </x:c>
    </x:row>
    <x:row r="7" ht="44" customHeight="1">
      <x:c r="A7" s="11" t="str">
        <x:v>条目身份与行情</x:v>
      </x:c>
      <x:c r="B7" s="11" t="n">
        <x:v>103</x:v>
      </x:c>
      <x:c r="C7" s="11" t="n">
        <x:v>103</x:v>
      </x:c>
      <x:c r="D7" s="43" t="str">
        <x:v>100项基准日价格锚；3停牌参考价；103项历史数据，指数单源限制另列</x:v>
      </x:c>
    </x:row>
    <x:row r="8" ht="44" customHeight="1">
      <x:c r="A8" s="11" t="str">
        <x:v>公司模型</x:v>
      </x:c>
      <x:c r="B8" s="11" t="n">
        <x:v>48</x:v>
      </x:c>
      <x:c r="C8" s="11" t="n">
        <x:v>92</x:v>
      </x:c>
      <x:c r="D8" s="43" t="str">
        <x:v>未建模不打分、不填目标价</x:v>
      </x:c>
    </x:row>
    <x:row r="9" ht="44" customHeight="1">
      <x:c r="A9" s="11" t="str">
        <x:v>证券估值模型</x:v>
      </x:c>
      <x:c r="B9" s="11" t="n">
        <x:v>52</x:v>
      </x:c>
      <x:c r="C9" s="11" t="n">
        <x:v>96</x:v>
      </x:c>
      <x:c r="D9" s="43" t="str">
        <x:v>A/H共享经营模型、独立估值</x:v>
      </x:c>
    </x:row>
    <x:row r="10" ht="44" customHeight="1">
      <x:c r="A10" s="11" t="str">
        <x:v>万字正文</x:v>
      </x:c>
      <x:c r="B10" s="11" t="n">
        <x:v>48</x:v>
      </x:c>
      <x:c r="C10" s="11" t="n">
        <x:v>92</x:v>
      </x:c>
      <x:c r="D10" s="43" t="str">
        <x:v>标题、来源、表格和共用内容不计</x:v>
      </x:c>
    </x:row>
    <x:row r="11" ht="44" customHeight="1">
      <x:c r="A11" s="11" t="str">
        <x:v>研究基准</x:v>
      </x:c>
      <x:c r="B11" s="11" t="str">
        <x:v>2026-10-09</x:v>
      </x:c>
      <x:c r="C11" s="11" t="str"/>
      <x:c r="D11" s="43" t="str">
        <x:v>research-v0.1</x:v>
      </x:c>
    </x:row>
    <x:row r="12" ht="44" customHeight="1">
      <x:c r="A12" s="11" t="str">
        <x:v>当前活动模型</x:v>
      </x:c>
      <x:c r="B12" s="11" t="str">
        <x:f>CHOOSE('假设'!B3,"悲观","基准","乐观")</x:f>
        <x:v>基准</x:v>
      </x:c>
      <x:c r="C12" s="11" t="str"/>
      <x:c r="D12" s="43" t="str">
        <x:v>请在假设B3切换1/2/3</x:v>
      </x:c>
    </x:row>
    <x:row r="13" ht="44" customHeight="1">
      <x:c r="A13" s="11" t="str">
        <x:v>快照工作流</x:v>
      </x:c>
      <x:c r="B13" s="11" t="str">
        <x:v>输入修改须刷新</x:v>
      </x:c>
      <x:c r="C13" s="11" t="str"/>
      <x:c r="D13" s="43" t="str">
        <x:v>保存Excel后运行refresh_workbook.mjs；输入持久保存并依次刷新三情景</x:v>
      </x:c>
    </x:row>
    <x:row r="17">
      <x:c r="A17" s="41" t="str">
        <x:v>期限</x:v>
      </x:c>
      <x:c r="B17" s="41" t="str">
        <x:v>当前最高分公司</x:v>
      </x:c>
      <x:c r="C17" s="41" t="str">
        <x:v>优先代码</x:v>
      </x:c>
      <x:c r="D17" s="41" t="str">
        <x:v>得分</x:v>
      </x:c>
    </x:row>
    <x:row r="18">
      <x:c r="A18" t="str">
        <x:v>半年</x:v>
      </x:c>
      <x:c r="B18" t="str">
        <x:v>百济神州</x:v>
      </x:c>
      <x:c r="C18" t="str">
        <x:v>06160.HK</x:v>
      </x:c>
      <x:c r="D18" t="n">
        <x:v>77.89999999999999</x:v>
      </x:c>
    </x:row>
    <x:row r="19">
      <x:c r="A19" t="str">
        <x:v>一年</x:v>
      </x:c>
      <x:c r="B19" t="str">
        <x:v>百济神州</x:v>
      </x:c>
      <x:c r="C19" t="str">
        <x:v>06160.HK</x:v>
      </x:c>
      <x:c r="D19" t="n">
        <x:v>84.79999999999998</x:v>
      </x:c>
    </x:row>
    <x:row r="20">
      <x:c r="A20" t="str">
        <x:v>三年</x:v>
      </x:c>
      <x:c r="B20" t="str">
        <x:v>百济神州</x:v>
      </x:c>
      <x:c r="C20" t="str">
        <x:v>06160.HK</x:v>
      </x:c>
      <x:c r="D20" t="n">
        <x:v>89.60000000000001</x:v>
      </x:c>
    </x:row>
    <x:row r="21">
      <x:c r="A21" t="str">
        <x:v>五年</x:v>
      </x:c>
      <x:c r="B21" t="str">
        <x:v>百济神州</x:v>
      </x:c>
      <x:c r="C21" t="str">
        <x:v>06160.HK</x:v>
      </x:c>
      <x:c r="D21" t="n">
        <x:v>89.3</x:v>
      </x:c>
    </x:row>
    <x:row r="24">
      <x:c r="A24" t="str">
        <x:v>当前排序只比较完成模型的样本，完整前十公司尚未形成。</x:v>
      </x:c>
    </x:row>
    <x:row r="25">
      <x:c r="A25" t="str">
        <x:v>悲观情景和技术支撑都不是最大损失边界；评分不是概率。</x:v>
      </x:c>
    </x:row>
    <x:row r="26">
      <x:c r="A26" t="str">
        <x:v>以Excel模型、Word/PDF同源JSON同步更新。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64B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40" hidden="0" customWidth="1"/>
    <x:col min="14" max="14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当前完成模型的排名 · 全榜尚未完成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期限</x:v>
      </x:c>
      <x:c r="B6" s="12" t="str">
        <x:v>样本名次</x:v>
      </x:c>
      <x:c r="C6" s="12" t="str">
        <x:v>公司</x:v>
      </x:c>
      <x:c r="D6" s="12" t="str">
        <x:v>优先/上市代码</x:v>
      </x:c>
      <x:c r="E6" s="12" t="str">
        <x:v>发行人ID</x:v>
      </x:c>
      <x:c r="F6" s="12" t="str">
        <x:v>得分</x:v>
      </x:c>
      <x:c r="G6" s="12" t="str">
        <x:v>梯队</x:v>
      </x:c>
      <x:c r="H6" s="12" t="str">
        <x:v>不同公司标记</x:v>
      </x:c>
      <x:c r="I6" s="12" t="str">
        <x:v>基准价</x:v>
      </x:c>
      <x:c r="J6" s="12" t="str">
        <x:v>基准目标</x:v>
      </x:c>
      <x:c r="K6" s="12" t="str">
        <x:v>基准总回报</x:v>
      </x:c>
      <x:c r="L6" s="12" t="str">
        <x:v>悲观跌幅</x:v>
      </x:c>
      <x:c r="M6" s="12" t="str">
        <x:v>排名边界</x:v>
      </x:c>
      <x:c r="N6" t="str">
        <x:v>排名刷新状态</x:v>
      </x:c>
      <x:c r="O6" t="str">
        <x:v>本行输入状态</x:v>
      </x:c>
    </x:row>
    <x:row r="7" ht="23" customHeight="1">
      <x:c r="A7" s="11" t="str">
        <x:v>半年</x:v>
      </x:c>
      <x:c r="B7" s="11" t="n">
        <x:v>1</x:v>
      </x:c>
      <x:c r="C7" s="11" t="str">
        <x:v>百济神州</x:v>
      </x:c>
      <x:c r="D7" s="11" t="str">
        <x:v>06160.HK</x:v>
      </x:c>
      <x:c r="E7" s="11" t="str">
        <x:v>I012</x:v>
      </x:c>
      <x:c r="F7" s="11" t="n">
        <x:f>'评分'!J35</x:f>
        <x:v>77.9</x:v>
      </x:c>
      <x:c r="G7" s="11" t="str">
        <x:v>第1梯队</x:v>
      </x:c>
      <x:c r="H7" s="11" t="str">
        <x:v>前十不同公司</x:v>
      </x:c>
      <x:c r="I7" s="11" t="n">
        <x:f>'情景快照'!E116</x:f>
        <x:v>209.6</x:v>
      </x:c>
      <x:c r="J7" s="11" t="n">
        <x:f>'情景快照'!F116</x:f>
        <x:v>280.14799999999985</x:v>
      </x:c>
      <x:c r="K7" s="25" t="n">
        <x:f>'情景快照'!I116</x:f>
        <x:v>0.3365839694656483</x:v>
      </x:c>
      <x:c r="L7" s="25" t="n">
        <x:f>'情景快照'!H115</x:f>
        <x:v>-0.6671136704029371</x:v>
      </x:c>
      <x:c r="M7" s="11" t="str">
        <x:v>仅当前完成模型样本</x:v>
      </x:c>
      <x:c r="N7" t="str">
        <x:f>IF(COUNTIF($O$7:$O$58,"排名待刷新")=0,"已刷新","排名待刷新")</x:f>
        <x:v>排名待刷新</x:v>
      </x:c>
      <x:c r="O7" t="str">
        <x:f>IF(AND(F7=77.89999999999999,K7=0.3365839694656483,L7=-0.667113670402937,'情景快照'!T116="已刷新",'情景快照'!T115="已刷新"),"已刷新","排名待刷新")</x:f>
        <x:v>已刷新</x:v>
      </x:c>
    </x:row>
    <x:row r="8" ht="23" customHeight="1">
      <x:c r="A8" s="11" t="str">
        <x:v>半年</x:v>
      </x:c>
      <x:c r="B8" s="11" t="n">
        <x:v>2</x:v>
      </x:c>
      <x:c r="C8" s="11" t="str">
        <x:v>药明康德</x:v>
      </x:c>
      <x:c r="D8" s="11" t="str">
        <x:v>603259.SH</x:v>
      </x:c>
      <x:c r="E8" s="11" t="str">
        <x:v>I010</x:v>
      </x:c>
      <x:c r="F8" s="11" t="n">
        <x:f>'评分'!J195</x:f>
        <x:v>77.8</x:v>
      </x:c>
      <x:c r="G8" s="11" t="str">
        <x:v>第1梯队</x:v>
      </x:c>
      <x:c r="H8" s="11" t="str">
        <x:v>前十不同公司</x:v>
      </x:c>
      <x:c r="I8" s="11" t="n">
        <x:f>'情景快照'!E716</x:f>
        <x:v>157.8</x:v>
      </x:c>
      <x:c r="J8" s="11" t="n">
        <x:f>'情景快照'!F716</x:f>
        <x:v>202.4</x:v>
      </x:c>
      <x:c r="K8" s="25" t="n">
        <x:f>'情景快照'!I716</x:f>
        <x:v>0.2826362484157161</x:v>
      </x:c>
      <x:c r="L8" s="25" t="n">
        <x:f>'情景快照'!H715</x:f>
        <x:v>-0.26742712294043103</x:v>
      </x:c>
      <x:c r="M8" s="11" t="str">
        <x:v>仅当前完成模型样本</x:v>
      </x:c>
      <x:c r="N8" t="str">
        <x:f>IF(COUNTIF($O$7:$O$58,"排名待刷新")=0,"已刷新","排名待刷新")</x:f>
        <x:v>排名待刷新</x:v>
      </x:c>
      <x:c r="O8" t="str">
        <x:f>IF(AND(F8=77.8,K8=0.2826362484157161,L8=-0.26742712294043103,'情景快照'!T716="已刷新",'情景快照'!T715="已刷新"),"已刷新","排名待刷新")</x:f>
        <x:v>已刷新</x:v>
      </x:c>
    </x:row>
    <x:row r="9" ht="23" customHeight="1">
      <x:c r="A9" s="11" t="str">
        <x:v>半年</x:v>
      </x:c>
      <x:c r="B9" s="11" t="n">
        <x:v>3</x:v>
      </x:c>
      <x:c r="C9" s="11" t="str">
        <x:v>药明康德</x:v>
      </x:c>
      <x:c r="D9" s="11" t="str">
        <x:v>02359.HK</x:v>
      </x:c>
      <x:c r="E9" s="11" t="str">
        <x:v>I010</x:v>
      </x:c>
      <x:c r="F9" s="11" t="n">
        <x:f>'评分'!J199</x:f>
        <x:v>75.9</x:v>
      </x:c>
      <x:c r="G9" s="11" t="str">
        <x:v>第1梯队</x:v>
      </x:c>
      <x:c r="H9" s="11" t="str">
        <x:v>同公司其他代码</x:v>
      </x:c>
      <x:c r="I9" s="11" t="n">
        <x:f>'情景快照'!E731</x:f>
        <x:v>208</x:v>
      </x:c>
      <x:c r="J9" s="11" t="n">
        <x:f>'情景快照'!F731</x:f>
        <x:v>242.00000000000006</x:v>
      </x:c>
      <x:c r="K9" s="25" t="n">
        <x:f>'情景快照'!I731</x:f>
        <x:v>0.16346153846153877</x:v>
      </x:c>
      <x:c r="L9" s="25" t="n">
        <x:f>'情景快照'!H730</x:f>
        <x:v>-0.35269230769230764</x:v>
      </x:c>
      <x:c r="M9" s="11" t="str">
        <x:v>仅当前完成模型样本</x:v>
      </x:c>
      <x:c r="N9" t="str">
        <x:f>IF(COUNTIF($O$7:$O$58,"排名待刷新")=0,"已刷新","排名待刷新")</x:f>
        <x:v>排名待刷新</x:v>
      </x:c>
      <x:c r="O9" t="str">
        <x:f>IF(AND(F9=75.89999999999999,K9=0.16346153846153877,L9=-0.35269230769230764,'情景快照'!T731="已刷新",'情景快照'!T730="已刷新"),"已刷新","排名待刷新")</x:f>
        <x:v>已刷新</x:v>
      </x:c>
    </x:row>
    <x:row r="10" ht="23" customHeight="1">
      <x:c r="A10" s="11" t="str">
        <x:v>半年</x:v>
      </x:c>
      <x:c r="B10" s="11" t="n">
        <x:v>4</x:v>
      </x:c>
      <x:c r="C10" s="11" t="str">
        <x:v>凯莱英</x:v>
      </x:c>
      <x:c r="D10" s="11" t="str">
        <x:v>06821.HK</x:v>
      </x:c>
      <x:c r="E10" s="11" t="str">
        <x:v>I006</x:v>
      </x:c>
      <x:c r="F10" s="11" t="n">
        <x:f>'评分'!J23</x:f>
        <x:v>73.4</x:v>
      </x:c>
      <x:c r="G10" s="11" t="str">
        <x:v>第2梯队</x:v>
      </x:c>
      <x:c r="H10" s="11" t="str">
        <x:v>前十不同公司</x:v>
      </x:c>
      <x:c r="I10" s="11" t="n">
        <x:f>'情景快照'!E71</x:f>
        <x:v>155.1</x:v>
      </x:c>
      <x:c r="J10" s="11" t="n">
        <x:f>'情景快照'!F71</x:f>
        <x:v>168.3</x:v>
      </x:c>
      <x:c r="K10" s="25" t="n">
        <x:f>'情景快照'!I71</x:f>
        <x:v>0.08510638297872353</x:v>
      </x:c>
      <x:c r="L10" s="25" t="n">
        <x:f>'情景快照'!H70</x:f>
        <x:v>-0.574468085106383</x:v>
      </x:c>
      <x:c r="M10" s="11" t="str">
        <x:v>仅当前完成模型样本</x:v>
      </x:c>
      <x:c r="N10" t="str">
        <x:f>IF(COUNTIF($O$7:$O$58,"排名待刷新")=0,"已刷新","排名待刷新")</x:f>
        <x:v>排名待刷新</x:v>
      </x:c>
      <x:c r="O10" t="str">
        <x:f>IF(AND(F10=73.39999999999999,K10=0.08510638297872353,L10=-0.574468085106383,'情景快照'!T71="已刷新",'情景快照'!T70="已刷新"),"已刷新","排名待刷新")</x:f>
        <x:v>已刷新</x:v>
      </x:c>
    </x:row>
    <x:row r="11" ht="23" customHeight="1">
      <x:c r="A11" s="11" t="str">
        <x:v>半年</x:v>
      </x:c>
      <x:c r="B11" s="11" t="n">
        <x:v>5</x:v>
      </x:c>
      <x:c r="C11" s="11" t="str">
        <x:v>药明合联</x:v>
      </x:c>
      <x:c r="D11" s="11" t="str">
        <x:v>02268.HK</x:v>
      </x:c>
      <x:c r="E11" s="11" t="str">
        <x:v>I049</x:v>
      </x:c>
      <x:c r="F11" s="11" t="n">
        <x:f>'评分'!J207</x:f>
        <x:v>73.2</x:v>
      </x:c>
      <x:c r="G11" s="11" t="str">
        <x:v>第2梯队</x:v>
      </x:c>
      <x:c r="H11" s="11" t="str">
        <x:v>前十不同公司</x:v>
      </x:c>
      <x:c r="I11" s="11" t="n">
        <x:f>'情景快照'!E761</x:f>
        <x:v>82.1</x:v>
      </x:c>
      <x:c r="J11" s="11" t="n">
        <x:f>'情景快照'!F761</x:f>
        <x:v>89.54000000000002</x:v>
      </x:c>
      <x:c r="K11" s="25" t="n">
        <x:f>'情景快照'!I761</x:f>
        <x:v>0.09062119366626109</x:v>
      </x:c>
      <x:c r="L11" s="25" t="n">
        <x:f>'情景快照'!H760</x:f>
        <x:v>-0.4031059683313032</x:v>
      </x:c>
      <x:c r="M11" s="11" t="str">
        <x:v>仅当前完成模型样本</x:v>
      </x:c>
      <x:c r="N11" t="str">
        <x:f>IF(COUNTIF($O$7:$O$58,"排名待刷新")=0,"已刷新","排名待刷新")</x:f>
        <x:v>排名待刷新</x:v>
      </x:c>
      <x:c r="O11" t="str">
        <x:f>IF(AND(F11=73.20000000000002,K11=0.09062119366626109,L11=-0.4031059683313032,'情景快照'!T761="已刷新",'情景快照'!T760="已刷新"),"已刷新","排名待刷新")</x:f>
        <x:v>已刷新</x:v>
      </x:c>
    </x:row>
    <x:row r="12" ht="23" customHeight="1">
      <x:c r="A12" s="11" t="str">
        <x:v>半年</x:v>
      </x:c>
      <x:c r="B12" s="11" t="n">
        <x:v>6</x:v>
      </x:c>
      <x:c r="C12" s="11" t="str">
        <x:v>网易</x:v>
      </x:c>
      <x:c r="D12" s="11" t="str">
        <x:v>09999.HK</x:v>
      </x:c>
      <x:c r="E12" s="11" t="str">
        <x:v>I064</x:v>
      </x:c>
      <x:c r="F12" s="11" t="n">
        <x:f>'评分'!J151</x:f>
        <x:v>72.7</x:v>
      </x:c>
      <x:c r="G12" s="11" t="str">
        <x:v>第2梯队</x:v>
      </x:c>
      <x:c r="H12" s="11" t="str">
        <x:v>前十不同公司</x:v>
      </x:c>
      <x:c r="I12" s="11" t="n">
        <x:f>'情景快照'!E551</x:f>
        <x:v>193.5</x:v>
      </x:c>
      <x:c r="J12" s="11" t="n">
        <x:f>'情景快照'!F551</x:f>
        <x:v>233.75000000000003</x:v>
      </x:c>
      <x:c r="K12" s="25" t="n">
        <x:f>'情景快照'!I551</x:f>
        <x:v>0.21834625322997425</x:v>
      </x:c>
      <x:c r="L12" s="25" t="n">
        <x:f>'情景快照'!H550</x:f>
        <x:v>-0.28372093023255807</x:v>
      </x:c>
      <x:c r="M12" s="11" t="str">
        <x:v>仅当前完成模型样本</x:v>
      </x:c>
      <x:c r="N12" t="str">
        <x:f>IF(COUNTIF($O$7:$O$58,"排名待刷新")=0,"已刷新","排名待刷新")</x:f>
        <x:v>排名待刷新</x:v>
      </x:c>
      <x:c r="O12" t="str">
        <x:f>IF(AND(F12=72.7,K12=0.21834625322997425,L12=-0.2837209302325582,'情景快照'!T551="已刷新",'情景快照'!T550="已刷新"),"已刷新","排名待刷新")</x:f>
        <x:v>已刷新</x:v>
      </x:c>
    </x:row>
    <x:row r="13" ht="23" customHeight="1">
      <x:c r="A13" s="11" t="str">
        <x:v>半年</x:v>
      </x:c>
      <x:c r="B13" s="11" t="n">
        <x:v>7</x:v>
      </x:c>
      <x:c r="C13" s="11" t="str">
        <x:v>海尔生物</x:v>
      </x:c>
      <x:c r="D13" s="11" t="str">
        <x:v>688139.SH</x:v>
      </x:c>
      <x:c r="E13" s="11" t="str">
        <x:v>I001</x:v>
      </x:c>
      <x:c r="F13" s="11" t="n">
        <x:f>'评分'!J67</x:f>
        <x:v>72.6</x:v>
      </x:c>
      <x:c r="G13" s="11" t="str">
        <x:v>第2梯队</x:v>
      </x:c>
      <x:c r="H13" s="11" t="str">
        <x:v>前十不同公司</x:v>
      </x:c>
      <x:c r="I13" s="11" t="n">
        <x:f>'情景快照'!E236</x:f>
        <x:v>35.13</x:v>
      </x:c>
      <x:c r="J13" s="11" t="n">
        <x:f>'情景快照'!F236</x:f>
        <x:v>38.88</x:v>
      </x:c>
      <x:c r="K13" s="25" t="n">
        <x:f>'情景快照'!I236</x:f>
        <x:v>0.10674637062339887</x:v>
      </x:c>
      <x:c r="L13" s="25" t="n">
        <x:f>'情景快照'!H235</x:f>
        <x:v>-0.466268146883006</x:v>
      </x:c>
      <x:c r="M13" s="11" t="str">
        <x:v>仅当前完成模型样本</x:v>
      </x:c>
      <x:c r="N13" t="str">
        <x:f>IF(COUNTIF($O$7:$O$58,"排名待刷新")=0,"已刷新","排名待刷新")</x:f>
        <x:v>排名待刷新</x:v>
      </x:c>
      <x:c r="O13" t="str">
        <x:f>IF(AND(F13=72.6,K13=0.10674637062339887,L13=-0.466268146883006,'情景快照'!T236="已刷新",'情景快照'!T235="已刷新"),"已刷新","排名待刷新")</x:f>
        <x:v>已刷新</x:v>
      </x:c>
    </x:row>
    <x:row r="14" ht="23" customHeight="1">
      <x:c r="A14" s="11" t="str">
        <x:v>半年</x:v>
      </x:c>
      <x:c r="B14" s="11" t="n">
        <x:v>8</x:v>
      </x:c>
      <x:c r="C14" s="11" t="str">
        <x:v>恒瑞医药</x:v>
      </x:c>
      <x:c r="D14" s="11" t="str">
        <x:v>01276.HK</x:v>
      </x:c>
      <x:c r="E14" s="11" t="str">
        <x:v>I011</x:v>
      </x:c>
      <x:c r="F14" s="11" t="n">
        <x:f>'评分'!J83</x:f>
        <x:v>72.5</x:v>
      </x:c>
      <x:c r="G14" s="11" t="str">
        <x:v>第2梯队</x:v>
      </x:c>
      <x:c r="H14" s="11" t="str">
        <x:v>前十不同公司</x:v>
      </x:c>
      <x:c r="I14" s="11" t="n">
        <x:f>'情景快照'!E296</x:f>
        <x:v>48</x:v>
      </x:c>
      <x:c r="J14" s="11" t="n">
        <x:f>'情景快照'!F296</x:f>
        <x:v>59.84000000000001</x:v>
      </x:c>
      <x:c r="K14" s="25" t="n">
        <x:f>'情景快照'!I296</x:f>
        <x:v>0.2466666666666668</x:v>
      </x:c>
      <x:c r="L14" s="25" t="n">
        <x:f>'情景快照'!H295</x:f>
        <x:v>-0.4202083333333334</x:v>
      </x:c>
      <x:c r="M14" s="11" t="str">
        <x:v>仅当前完成模型样本</x:v>
      </x:c>
      <x:c r="N14" t="str">
        <x:f>IF(COUNTIF($O$7:$O$58,"排名待刷新")=0,"已刷新","排名待刷新")</x:f>
        <x:v>排名待刷新</x:v>
      </x:c>
      <x:c r="O14" t="str">
        <x:f>IF(AND(F14=72.5,K14=0.2466666666666668,L14=-0.4202083333333334,'情景快照'!T296="已刷新",'情景快照'!T295="已刷新"),"已刷新","排名待刷新")</x:f>
        <x:v>已刷新</x:v>
      </x:c>
    </x:row>
    <x:row r="15" ht="23" customHeight="1">
      <x:c r="A15" s="11" t="str">
        <x:v>半年</x:v>
      </x:c>
      <x:c r="B15" s="11" t="n">
        <x:v>9</x:v>
      </x:c>
      <x:c r="C15" s="11" t="str">
        <x:v>康龙化成</x:v>
      </x:c>
      <x:c r="D15" s="11" t="str">
        <x:v>03759.HK</x:v>
      </x:c>
      <x:c r="E15" s="11" t="str">
        <x:v>I022</x:v>
      </x:c>
      <x:c r="F15" s="11" t="n">
        <x:f>'评分'!J155</x:f>
        <x:v>72.4</x:v>
      </x:c>
      <x:c r="G15" s="11" t="str">
        <x:v>第2梯队</x:v>
      </x:c>
      <x:c r="H15" s="11" t="str">
        <x:v>前十不同公司</x:v>
      </x:c>
      <x:c r="I15" s="11" t="n">
        <x:f>'情景快照'!E566</x:f>
        <x:v>30.6</x:v>
      </x:c>
      <x:c r="J15" s="11" t="n">
        <x:f>'情景快照'!F566</x:f>
        <x:v>41.43820393010487</x:v>
      </x:c>
      <x:c r="K15" s="25" t="n">
        <x:f>'情景快照'!I566</x:f>
        <x:v>0.35418967091845976</x:v>
      </x:c>
      <x:c r="L15" s="25" t="n">
        <x:f>'情景快照'!H565</x:f>
        <x:v>-0.5340712629137676</x:v>
      </x:c>
      <x:c r="M15" s="11" t="str">
        <x:v>仅当前完成模型样本</x:v>
      </x:c>
      <x:c r="N15" t="str">
        <x:f>IF(COUNTIF($O$7:$O$58,"排名待刷新")=0,"已刷新","排名待刷新")</x:f>
        <x:v>排名待刷新</x:v>
      </x:c>
      <x:c r="O15" t="str">
        <x:f>IF(AND(F15=72.4,K15=0.35418967091845976,L15=-0.5340712629137676,'情景快照'!T566="已刷新",'情景快照'!T565="已刷新"),"已刷新","排名待刷新")</x:f>
        <x:v>排名待刷新</x:v>
      </x:c>
    </x:row>
    <x:row r="16" ht="23" customHeight="1">
      <x:c r="A16" s="11" t="str">
        <x:v>半年</x:v>
      </x:c>
      <x:c r="B16" s="11" t="n">
        <x:v>10</x:v>
      </x:c>
      <x:c r="C16" s="11" t="str">
        <x:v>凯莱英</x:v>
      </x:c>
      <x:c r="D16" s="11" t="str">
        <x:v>002821.SZ</x:v>
      </x:c>
      <x:c r="E16" s="11" t="str">
        <x:v>I006</x:v>
      </x:c>
      <x:c r="F16" s="11" t="n">
        <x:f>'评分'!J19</x:f>
        <x:v>71.4</x:v>
      </x:c>
      <x:c r="G16" s="11" t="str">
        <x:v>第2梯队</x:v>
      </x:c>
      <x:c r="H16" s="11" t="str">
        <x:v>同公司其他代码</x:v>
      </x:c>
      <x:c r="I16" s="11" t="n">
        <x:f>'情景快照'!E56</x:f>
        <x:v>177.93</x:v>
      </x:c>
      <x:c r="J16" s="11" t="n">
        <x:f>'情景快照'!F56</x:f>
        <x:v>189</x:v>
      </x:c>
      <x:c r="K16" s="25" t="n">
        <x:f>'情景快照'!I56</x:f>
        <x:v>0.06221547799696503</x:v>
      </x:c>
      <x:c r="L16" s="25" t="n">
        <x:f>'情景快照'!H55</x:f>
        <x:v>-0.5953464845725848</x:v>
      </x:c>
      <x:c r="M16" s="11" t="str">
        <x:v>仅当前完成模型样本</x:v>
      </x:c>
      <x:c r="N16" t="str">
        <x:f>IF(COUNTIF($O$7:$O$58,"排名待刷新")=0,"已刷新","排名待刷新")</x:f>
        <x:v>排名待刷新</x:v>
      </x:c>
      <x:c r="O16" t="str">
        <x:f>IF(AND(F16=71.39999999999999,K16=0.06221547799696503,L16=-0.5953464845725848,'情景快照'!T56="已刷新",'情景快照'!T55="已刷新"),"已刷新","排名待刷新")</x:f>
        <x:v>已刷新</x:v>
      </x:c>
    </x:row>
    <x:row r="17" ht="23" customHeight="1">
      <x:c r="A17" s="11" t="str">
        <x:v>半年</x:v>
      </x:c>
      <x:c r="B17" s="11" t="n">
        <x:v>11</x:v>
      </x:c>
      <x:c r="C17" s="11" t="str">
        <x:v>中国生物制药</x:v>
      </x:c>
      <x:c r="D17" s="11" t="str">
        <x:v>01177.HK</x:v>
      </x:c>
      <x:c r="E17" s="11" t="str">
        <x:v>I031</x:v>
      </x:c>
      <x:c r="F17" s="11" t="n">
        <x:f>'评分'!J179</x:f>
        <x:v>71.2</x:v>
      </x:c>
      <x:c r="G17" s="11" t="str">
        <x:v>第2梯队</x:v>
      </x:c>
      <x:c r="H17" s="11" t="str">
        <x:v>前十不同公司</x:v>
      </x:c>
      <x:c r="I17" s="11" t="n">
        <x:f>'情景快照'!E656</x:f>
        <x:v>5.41</x:v>
      </x:c>
      <x:c r="J17" s="11" t="n">
        <x:f>'情景快照'!F656</x:f>
        <x:v>8.320472527472528</x:v>
      </x:c>
      <x:c r="K17" s="25" t="n">
        <x:f>'情景快照'!I656</x:f>
        <x:v>0.5379801344681199</x:v>
      </x:c>
      <x:c r="L17" s="25" t="n">
        <x:f>'情景快照'!H655</x:f>
        <x:v>-0.2174997990838221</x:v>
      </x:c>
      <x:c r="M17" s="11" t="str">
        <x:v>仅当前完成模型样本</x:v>
      </x:c>
      <x:c r="N17" t="str">
        <x:f>IF(COUNTIF($O$7:$O$58,"排名待刷新")=0,"已刷新","排名待刷新")</x:f>
        <x:v>排名待刷新</x:v>
      </x:c>
      <x:c r="O17" t="str">
        <x:f>IF(AND(F17=71.2,K17=0.5379801344681199,L17=-0.2174997990838221,'情景快照'!T656="已刷新",'情景快照'!T655="已刷新"),"已刷新","排名待刷新")</x:f>
        <x:v>已刷新</x:v>
      </x:c>
    </x:row>
    <x:row r="18" ht="23" customHeight="1">
      <x:c r="A18" s="11" t="str">
        <x:v>半年</x:v>
      </x:c>
      <x:c r="B18" s="11" t="n">
        <x:v>12</x:v>
      </x:c>
      <x:c r="C18" s="11" t="str">
        <x:v>石药集团</x:v>
      </x:c>
      <x:c r="D18" s="11" t="str">
        <x:v>01093.HK</x:v>
      </x:c>
      <x:c r="E18" s="11" t="str">
        <x:v>I025</x:v>
      </x:c>
      <x:c r="F18" s="11" t="n">
        <x:f>'评分'!J51</x:f>
        <x:v>71</x:v>
      </x:c>
      <x:c r="G18" s="11" t="str">
        <x:v>第2梯队</x:v>
      </x:c>
      <x:c r="H18" s="11" t="str">
        <x:v>前十不同公司</x:v>
      </x:c>
      <x:c r="I18" s="11" t="n">
        <x:f>'情景快照'!E176</x:f>
        <x:v>9.085</x:v>
      </x:c>
      <x:c r="J18" s="11" t="n">
        <x:f>'情景快照'!F176</x:f>
        <x:v>9.752380353446496</x:v>
      </x:c>
      <x:c r="K18" s="25" t="n">
        <x:f>'情景快照'!I176</x:f>
        <x:v>0.09327246598200278</x:v>
      </x:c>
      <x:c r="L18" s="25" t="n">
        <x:f>'情景快照'!H175</x:f>
        <x:v>-0.5306254072223147</x:v>
      </x:c>
      <x:c r="M18" s="11" t="str">
        <x:v>仅当前完成模型样本</x:v>
      </x:c>
      <x:c r="N18" t="str">
        <x:f>IF(COUNTIF($O$7:$O$58,"排名待刷新")=0,"已刷新","排名待刷新")</x:f>
        <x:v>排名待刷新</x:v>
      </x:c>
      <x:c r="O18" t="str">
        <x:f>IF(AND(F18=71,K18=0.09327246598200278,L18=-0.5306254072223147,'情景快照'!T176="已刷新",'情景快照'!T175="已刷新"),"已刷新","排名待刷新")</x:f>
        <x:v>已刷新</x:v>
      </x:c>
    </x:row>
    <x:row r="19" ht="23" customHeight="1">
      <x:c r="A19" s="11" t="str">
        <x:v>半年</x:v>
      </x:c>
      <x:c r="B19" s="11" t="n">
        <x:v>13</x:v>
      </x:c>
      <x:c r="C19" s="11" t="str">
        <x:v>信达生物</x:v>
      </x:c>
      <x:c r="D19" s="11" t="str">
        <x:v>01801.HK</x:v>
      </x:c>
      <x:c r="E19" s="11" t="str">
        <x:v>I048</x:v>
      </x:c>
      <x:c r="F19" s="11" t="n">
        <x:f>'评分'!J91</x:f>
        <x:v>70.8</x:v>
      </x:c>
      <x:c r="G19" s="11" t="str">
        <x:v>第2梯队</x:v>
      </x:c>
      <x:c r="H19" s="11" t="str">
        <x:v>同公司其他代码</x:v>
      </x:c>
      <x:c r="I19" s="11" t="n">
        <x:f>'情景快照'!E326</x:f>
        <x:v>92.65</x:v>
      </x:c>
      <x:c r="J19" s="11" t="n">
        <x:f>'情景快照'!F326</x:f>
        <x:v>112.20000000000003</x:v>
      </x:c>
      <x:c r="K19" s="25" t="n">
        <x:f>'情景快照'!I326</x:f>
        <x:v>0.2110091743119269</x:v>
      </x:c>
      <x:c r="L19" s="25" t="n">
        <x:f>'情景快照'!H325</x:f>
        <x:v>-0.4871019967620075</x:v>
      </x:c>
      <x:c r="M19" s="11" t="str">
        <x:v>仅当前完成模型样本</x:v>
      </x:c>
      <x:c r="N19" t="str">
        <x:f>IF(COUNTIF($O$7:$O$58,"排名待刷新")=0,"已刷新","排名待刷新")</x:f>
        <x:v>排名待刷新</x:v>
      </x:c>
      <x:c r="O19" t="str">
        <x:f>IF(AND(F19=70.8,K19=0.21100917431192667,L19=-0.4871019967620075,'情景快照'!T326="已刷新",'情景快照'!T325="已刷新"),"已刷新","排名待刷新")</x:f>
        <x:v>已刷新</x:v>
      </x:c>
    </x:row>
    <x:row r="20" ht="23" customHeight="1">
      <x:c r="A20" s="11" t="str">
        <x:v>半年</x:v>
      </x:c>
      <x:c r="B20" s="11" t="n">
        <x:v>14</x:v>
      </x:c>
      <x:c r="C20" s="11" t="str">
        <x:v>迈瑞医疗</x:v>
      </x:c>
      <x:c r="D20" s="11" t="str">
        <x:v>300760.SZ</x:v>
      </x:c>
      <x:c r="E20" s="11" t="str">
        <x:v>I014</x:v>
      </x:c>
      <x:c r="F20" s="11" t="n">
        <x:f>'评分'!J147</x:f>
        <x:v>70.5</x:v>
      </x:c>
      <x:c r="G20" s="11" t="str">
        <x:v>第2梯队</x:v>
      </x:c>
      <x:c r="H20" s="11" t="str">
        <x:v>同公司其他代码</x:v>
      </x:c>
      <x:c r="I20" s="11" t="n">
        <x:f>'情景快照'!E536</x:f>
        <x:v>161.4</x:v>
      </x:c>
      <x:c r="J20" s="11" t="n">
        <x:f>'情景快照'!F536</x:f>
        <x:v>195.5</x:v>
      </x:c>
      <x:c r="K20" s="25" t="n">
        <x:f>'情景快照'!I536</x:f>
        <x:v>0.21127633209417596</x:v>
      </x:c>
      <x:c r="L20" s="25" t="n">
        <x:f>'情景快照'!H535</x:f>
        <x:v>-0.29429987608426267</x:v>
      </x:c>
      <x:c r="M20" s="11" t="str">
        <x:v>仅当前完成模型样本</x:v>
      </x:c>
      <x:c r="N20" t="str">
        <x:f>IF(COUNTIF($O$7:$O$58,"排名待刷新")=0,"已刷新","排名待刷新")</x:f>
        <x:v>排名待刷新</x:v>
      </x:c>
      <x:c r="O20" t="str">
        <x:f>IF(AND(F20=70.5,K20=0.21127633209417596,L20=-0.29429987608426267,'情景快照'!T536="已刷新",'情景快照'!T535="已刷新"),"已刷新","排名待刷新")</x:f>
        <x:v>已刷新</x:v>
      </x:c>
    </x:row>
    <x:row r="21" ht="23" customHeight="1">
      <x:c r="A21" s="11" t="str">
        <x:v>半年</x:v>
      </x:c>
      <x:c r="B21" s="11" t="n">
        <x:v>15</x:v>
      </x:c>
      <x:c r="C21" s="11" t="str">
        <x:v>联想集团</x:v>
      </x:c>
      <x:c r="D21" s="11" t="str">
        <x:v>00992.HK</x:v>
      </x:c>
      <x:c r="E21" s="11" t="str">
        <x:v>I065</x:v>
      </x:c>
      <x:c r="F21" s="11" t="n">
        <x:f>'评分'!J123</x:f>
        <x:v>69.7</x:v>
      </x:c>
      <x:c r="G21" s="11" t="str">
        <x:v>第3梯队</x:v>
      </x:c>
      <x:c r="H21" s="11" t="str">
        <x:v>同公司其他代码</x:v>
      </x:c>
      <x:c r="I21" s="11" t="n">
        <x:f>'情景快照'!E446</x:f>
        <x:v>32.84</x:v>
      </x:c>
      <x:c r="J21" s="11" t="n">
        <x:f>'情景快照'!F446</x:f>
        <x:v>43.29</x:v>
      </x:c>
      <x:c r="K21" s="25" t="n">
        <x:f>'情景快照'!I446</x:f>
        <x:v>0.3209500609013398</x:v>
      </x:c>
      <x:c r="L21" s="25" t="n">
        <x:f>'情景快照'!H445</x:f>
        <x:v>-0.7524360535931791</x:v>
      </x:c>
      <x:c r="M21" s="11" t="str">
        <x:v>仅当前完成模型样本</x:v>
      </x:c>
      <x:c r="N21" t="str">
        <x:f>IF(COUNTIF($O$7:$O$58,"排名待刷新")=0,"已刷新","排名待刷新")</x:f>
        <x:v>排名待刷新</x:v>
      </x:c>
      <x:c r="O21" t="str">
        <x:f>IF(AND(F21=69.69999999999999,K21=0.3209500609013398,L21=-0.7524360535931791,'情景快照'!T446="已刷新",'情景快照'!T445="已刷新"),"已刷新","排名待刷新")</x:f>
        <x:v>已刷新</x:v>
      </x:c>
    </x:row>
    <x:row r="22" ht="23" customHeight="1">
      <x:c r="A22" s="11" t="str">
        <x:v>半年</x:v>
      </x:c>
      <x:c r="B22" s="11" t="n">
        <x:v>16</x:v>
      </x:c>
      <x:c r="C22" s="11" t="str">
        <x:v>恒瑞医药</x:v>
      </x:c>
      <x:c r="D22" s="11" t="str">
        <x:v>600276.SH</x:v>
      </x:c>
      <x:c r="E22" s="11" t="str">
        <x:v>I011</x:v>
      </x:c>
      <x:c r="F22" s="11" t="n">
        <x:f>'评分'!J79</x:f>
        <x:v>69.4</x:v>
      </x:c>
      <x:c r="G22" s="11" t="str">
        <x:v>第3梯队</x:v>
      </x:c>
      <x:c r="H22" s="11" t="str">
        <x:v>同公司其他代码</x:v>
      </x:c>
      <x:c r="I22" s="11" t="n">
        <x:f>'情景快照'!E281</x:f>
        <x:v>46.85</x:v>
      </x:c>
      <x:c r="J22" s="11" t="n">
        <x:f>'情景快照'!F281</x:f>
        <x:v>57.6</x:v>
      </x:c>
      <x:c r="K22" s="25" t="n">
        <x:f>'情景快照'!I281</x:f>
        <x:v>0.22945570971184637</x:v>
      </x:c>
      <x:c r="L22" s="25" t="n">
        <x:f>'情景快照'!H280</x:f>
        <x:v>-0.41088580576307365</x:v>
      </x:c>
      <x:c r="M22" s="11" t="str">
        <x:v>仅当前完成模型样本</x:v>
      </x:c>
      <x:c r="N22" t="str">
        <x:f>IF(COUNTIF($O$7:$O$58,"排名待刷新")=0,"已刷新","排名待刷新")</x:f>
        <x:v>排名待刷新</x:v>
      </x:c>
      <x:c r="O22" t="str">
        <x:f>IF(AND(F22=69.4,K22=0.22945570971184637,L22=-0.41088580576307365,'情景快照'!T281="已刷新",'情景快照'!T280="已刷新"),"已刷新","排名待刷新")</x:f>
        <x:v>已刷新</x:v>
      </x:c>
    </x:row>
    <x:row r="23" ht="23" customHeight="1">
      <x:c r="A23" s="11" t="str">
        <x:v>半年</x:v>
      </x:c>
      <x:c r="B23" s="11" t="n">
        <x:v>17</x:v>
      </x:c>
      <x:c r="C23" s="11" t="str">
        <x:v>美的集团</x:v>
      </x:c>
      <x:c r="D23" s="11" t="str">
        <x:v>00300.HK</x:v>
      </x:c>
      <x:c r="E23" s="11" t="str">
        <x:v>I082</x:v>
      </x:c>
      <x:c r="F23" s="11" t="n">
        <x:f>'评分'!J143</x:f>
        <x:v>68.7</x:v>
      </x:c>
      <x:c r="G23" s="11" t="str">
        <x:v>第3梯队</x:v>
      </x:c>
      <x:c r="H23" s="11" t="str">
        <x:v>同公司其他代码</x:v>
      </x:c>
      <x:c r="I23" s="11" t="n">
        <x:f>'情景快照'!E521</x:f>
        <x:v>93.65</x:v>
      </x:c>
      <x:c r="J23" s="11" t="n">
        <x:f>'情景快照'!F521</x:f>
        <x:v>118.86</x:v>
      </x:c>
      <x:c r="K23" s="25" t="n">
        <x:f>'情景快照'!I521</x:f>
        <x:v>0.2750667378537106</x:v>
      </x:c>
      <x:c r="L23" s="25" t="n">
        <x:f>'情景快照'!H520</x:f>
        <x:v>-0.45520555258942874</x:v>
      </x:c>
      <x:c r="M23" s="11" t="str">
        <x:v>仅当前完成模型样本</x:v>
      </x:c>
      <x:c r="N23" t="str">
        <x:f>IF(COUNTIF($O$7:$O$58,"排名待刷新")=0,"已刷新","排名待刷新")</x:f>
        <x:v>排名待刷新</x:v>
      </x:c>
      <x:c r="O23" t="str">
        <x:f>IF(AND(F23=68.69999999999999,K23=0.2750667378537106,L23=-0.45520555258942874,'情景快照'!T521="已刷新",'情景快照'!T520="已刷新"),"已刷新","排名待刷新")</x:f>
        <x:v>已刷新</x:v>
      </x:c>
    </x:row>
    <x:row r="24" ht="23" customHeight="1">
      <x:c r="A24" s="11" t="str">
        <x:v>半年</x:v>
      </x:c>
      <x:c r="B24" s="11" t="n">
        <x:v>18</x:v>
      </x:c>
      <x:c r="C24" s="11" t="str">
        <x:v>金蝶国际</x:v>
      </x:c>
      <x:c r="D24" s="11" t="str">
        <x:v>00268.HK</x:v>
      </x:c>
      <x:c r="E24" s="11" t="str">
        <x:v>I090</x:v>
      </x:c>
      <x:c r="F24" s="11" t="n">
        <x:f>'评分'!J115</x:f>
        <x:v>68.2</x:v>
      </x:c>
      <x:c r="G24" s="11" t="str">
        <x:v>第3梯队</x:v>
      </x:c>
      <x:c r="H24" s="11" t="str">
        <x:v>同公司其他代码</x:v>
      </x:c>
      <x:c r="I24" s="11" t="n">
        <x:f>'情景快照'!E416</x:f>
        <x:v>7.835</x:v>
      </x:c>
      <x:c r="J24" s="11" t="n">
        <x:f>'情景快照'!F416</x:f>
        <x:v>9.93</x:v>
      </x:c>
      <x:c r="K24" s="25" t="n">
        <x:f>'情景快照'!I416</x:f>
        <x:v>0.2673899170389278</x:v>
      </x:c>
      <x:c r="L24" s="25" t="n">
        <x:f>'情景快照'!H415</x:f>
        <x:v>-0.6400765794511807</x:v>
      </x:c>
      <x:c r="M24" s="11" t="str">
        <x:v>仅当前完成模型样本</x:v>
      </x:c>
      <x:c r="N24" t="str">
        <x:f>IF(COUNTIF($O$7:$O$58,"排名待刷新")=0,"已刷新","排名待刷新")</x:f>
        <x:v>排名待刷新</x:v>
      </x:c>
      <x:c r="O24" t="str">
        <x:f>IF(AND(F24=68.2,K24=0.2673899170389278,L24=-0.6400765794511807,'情景快照'!T416="已刷新",'情景快照'!T415="已刷新"),"已刷新","排名待刷新")</x:f>
        <x:v>已刷新</x:v>
      </x:c>
    </x:row>
    <x:row r="25" ht="23" customHeight="1">
      <x:c r="A25" s="11" t="str">
        <x:v>半年</x:v>
      </x:c>
      <x:c r="B25" s="11" t="n">
        <x:v>19</x:v>
      </x:c>
      <x:c r="C25" s="11" t="str">
        <x:v>京东健康</x:v>
      </x:c>
      <x:c r="D25" s="11" t="str">
        <x:v>06618.HK</x:v>
      </x:c>
      <x:c r="E25" s="11" t="str">
        <x:v>I074</x:v>
      </x:c>
      <x:c r="F25" s="11" t="n">
        <x:f>'评分'!J99</x:f>
        <x:v>67.9</x:v>
      </x:c>
      <x:c r="G25" s="11" t="str">
        <x:v>第3梯队</x:v>
      </x:c>
      <x:c r="H25" s="11" t="str">
        <x:v>同公司其他代码</x:v>
      </x:c>
      <x:c r="I25" s="11" t="n">
        <x:f>'情景快照'!E356</x:f>
        <x:v>36.08</x:v>
      </x:c>
      <x:c r="J25" s="11" t="n">
        <x:f>'情景快照'!F356</x:f>
        <x:v>50.37</x:v>
      </x:c>
      <x:c r="K25" s="25" t="n">
        <x:f>'情景快照'!I356</x:f>
        <x:v>0.39606430155210637</x:v>
      </x:c>
      <x:c r="L25" s="25" t="n">
        <x:f>'情景快照'!H355</x:f>
        <x:v>-0.6017184035476719</x:v>
      </x:c>
      <x:c r="M25" s="11" t="str">
        <x:v>仅当前完成模型样本</x:v>
      </x:c>
      <x:c r="N25" t="str">
        <x:f>IF(COUNTIF($O$7:$O$58,"排名待刷新")=0,"已刷新","排名待刷新")</x:f>
        <x:v>排名待刷新</x:v>
      </x:c>
      <x:c r="O25" t="str">
        <x:f>IF(AND(F25=67.89999999999999,K25=0.39606430155210637,L25=-0.6017184035476719,'情景快照'!T356="已刷新",'情景快照'!T355="已刷新"),"已刷新","排名待刷新")</x:f>
        <x:v>已刷新</x:v>
      </x:c>
    </x:row>
    <x:row r="26" ht="23" customHeight="1">
      <x:c r="A26" s="11" t="str">
        <x:v>半年</x:v>
      </x:c>
      <x:c r="B26" s="11" t="n">
        <x:v>20</x:v>
      </x:c>
      <x:c r="C26" s="11" t="str">
        <x:v>药明生物</x:v>
      </x:c>
      <x:c r="D26" s="11" t="str">
        <x:v>02269.HK</x:v>
      </x:c>
      <x:c r="E26" s="11" t="str">
        <x:v>I034</x:v>
      </x:c>
      <x:c r="F26" s="11" t="n">
        <x:f>'评分'!J203</x:f>
        <x:v>67.8</x:v>
      </x:c>
      <x:c r="G26" s="11" t="str">
        <x:v>第3梯队</x:v>
      </x:c>
      <x:c r="H26" s="11" t="str">
        <x:v>同公司其他代码</x:v>
      </x:c>
      <x:c r="I26" s="11" t="n">
        <x:f>'情景快照'!E746</x:f>
        <x:v>53.85</x:v>
      </x:c>
      <x:c r="J26" s="11" t="n">
        <x:f>'情景快照'!F746</x:f>
        <x:v>60.72</x:v>
      </x:c>
      <x:c r="K26" s="25" t="n">
        <x:f>'情景快照'!I746</x:f>
        <x:v>0.12757660167130913</x:v>
      </x:c>
      <x:c r="L26" s="25" t="n">
        <x:f>'情景快照'!H745</x:f>
        <x:v>-0.31977715877437307</x:v>
      </x:c>
      <x:c r="M26" s="11" t="str">
        <x:v>仅当前完成模型样本</x:v>
      </x:c>
      <x:c r="N26" t="str">
        <x:f>IF(COUNTIF($O$7:$O$58,"排名待刷新")=0,"已刷新","排名待刷新")</x:f>
        <x:v>排名待刷新</x:v>
      </x:c>
      <x:c r="O26" t="str">
        <x:f>IF(AND(F26=67.80000000000001,K26=0.12757660167130913,L26=-0.31977715877437307,'情景快照'!T746="已刷新",'情景快照'!T745="已刷新"),"已刷新","排名待刷新")</x:f>
        <x:v>已刷新</x:v>
      </x:c>
    </x:row>
    <x:row r="27" ht="23" customHeight="1">
      <x:c r="A27" s="11" t="str">
        <x:v>半年</x:v>
      </x:c>
      <x:c r="B27" s="11" t="n">
        <x:v>21</x:v>
      </x:c>
      <x:c r="C27" s="11" t="str">
        <x:v>翰森制药</x:v>
      </x:c>
      <x:c r="D27" s="11" t="str">
        <x:v>03692.HK</x:v>
      </x:c>
      <x:c r="E27" s="11" t="str">
        <x:v>I029</x:v>
      </x:c>
      <x:c r="F27" s="11" t="n">
        <x:f>'评分'!J71</x:f>
        <x:v>67.8</x:v>
      </x:c>
      <x:c r="G27" s="11" t="str">
        <x:v>第3梯队</x:v>
      </x:c>
      <x:c r="H27" s="11" t="str">
        <x:v>同公司其他代码</x:v>
      </x:c>
      <x:c r="I27" s="11" t="n">
        <x:f>'情景快照'!E251</x:f>
        <x:v>31.54</x:v>
      </x:c>
      <x:c r="J27" s="11" t="n">
        <x:f>'情景快照'!F251</x:f>
        <x:v>39.13133225283631</x:v>
      </x:c>
      <x:c r="K27" s="25" t="n">
        <x:f>'情景快照'!I251</x:f>
        <x:v>0.24068903781979412</x:v>
      </x:c>
      <x:c r="L27" s="25" t="n">
        <x:f>'情景快照'!H250</x:f>
        <x:v>-0.2683727293672913</x:v>
      </x:c>
      <x:c r="M27" s="11" t="str">
        <x:v>仅当前完成模型样本</x:v>
      </x:c>
      <x:c r="N27" t="str">
        <x:f>IF(COUNTIF($O$7:$O$58,"排名待刷新")=0,"已刷新","排名待刷新")</x:f>
        <x:v>排名待刷新</x:v>
      </x:c>
      <x:c r="O27" t="str">
        <x:f>IF(AND(F27=67.8,K27=0.24068903781979412,L27=-0.2683727293672913,'情景快照'!T251="已刷新",'情景快照'!T250="已刷新"),"已刷新","排名待刷新")</x:f>
        <x:v>已刷新</x:v>
      </x:c>
    </x:row>
    <x:row r="28" ht="23" customHeight="1">
      <x:c r="A28" s="11" t="str">
        <x:v>半年</x:v>
      </x:c>
      <x:c r="B28" s="11" t="n">
        <x:v>22</x:v>
      </x:c>
      <x:c r="C28" s="11" t="str">
        <x:v>百济神州</x:v>
      </x:c>
      <x:c r="D28" s="11" t="str">
        <x:v>688235.SH</x:v>
      </x:c>
      <x:c r="E28" s="11" t="str">
        <x:v>I012</x:v>
      </x:c>
      <x:c r="F28" s="11" t="n">
        <x:f>'评分'!J31</x:f>
        <x:v>67.3</x:v>
      </x:c>
      <x:c r="G28" s="11" t="str">
        <x:v>第3梯队</x:v>
      </x:c>
      <x:c r="H28" s="11" t="str">
        <x:v>同公司其他代码</x:v>
      </x:c>
      <x:c r="I28" s="11" t="n">
        <x:f>'情景快照'!E101</x:f>
        <x:v>249.42</x:v>
      </x:c>
      <x:c r="J28" s="11" t="n">
        <x:f>'情景快照'!F101</x:f>
        <x:v>305.6159999999998</x:v>
      </x:c>
      <x:c r="K28" s="25" t="n">
        <x:f>'情景快照'!I101</x:f>
        <x:v>0.2253067115708436</x:v>
      </x:c>
      <x:c r="L28" s="25" t="n">
        <x:f>'情景快照'!H100</x:f>
        <x:v>-0.7202591023833518</x:v>
      </x:c>
      <x:c r="M28" s="11" t="str">
        <x:v>仅当前完成模型样本</x:v>
      </x:c>
      <x:c r="N28" t="str">
        <x:f>IF(COUNTIF($O$7:$O$58,"排名待刷新")=0,"已刷新","排名待刷新")</x:f>
        <x:v>排名待刷新</x:v>
      </x:c>
      <x:c r="O28" t="str">
        <x:f>IF(AND(F28=67.3,K28=0.2253067115708436,L28=-0.7202591023833518,'情景快照'!T101="已刷新",'情景快照'!T100="已刷新"),"已刷新","排名待刷新")</x:f>
        <x:v>已刷新</x:v>
      </x:c>
    </x:row>
    <x:row r="29" ht="23" customHeight="1">
      <x:c r="A29" s="11" t="str">
        <x:v>半年</x:v>
      </x:c>
      <x:c r="B29" s="11" t="n">
        <x:v>23</x:v>
      </x:c>
      <x:c r="C29" s="11" t="str">
        <x:v>腾讯控股</x:v>
      </x:c>
      <x:c r="D29" s="11" t="str">
        <x:v>00700.HK</x:v>
      </x:c>
      <x:c r="E29" s="11" t="str">
        <x:v>I072</x:v>
      </x:c>
      <x:c r="F29" s="11" t="n">
        <x:f>'评分'!J187</x:f>
        <x:v>65.5</x:v>
      </x:c>
      <x:c r="G29" s="11" t="str">
        <x:v>第4梯队</x:v>
      </x:c>
      <x:c r="H29" s="11" t="str">
        <x:v>同公司其他代码</x:v>
      </x:c>
      <x:c r="I29" s="11" t="n">
        <x:f>'情景快照'!E686</x:f>
        <x:v>424.8</x:v>
      </x:c>
      <x:c r="J29" s="11" t="n">
        <x:f>'情景快照'!F686</x:f>
        <x:v>561</x:v>
      </x:c>
      <x:c r="K29" s="25" t="n">
        <x:f>'情景快照'!I686</x:f>
        <x:v>0.32062146892655363</x:v>
      </x:c>
      <x:c r="L29" s="25" t="n">
        <x:f>'情景快照'!H685</x:f>
        <x:v>-0.2231638418079096</x:v>
      </x:c>
      <x:c r="M29" s="11" t="str">
        <x:v>仅当前完成模型样本</x:v>
      </x:c>
      <x:c r="N29" t="str">
        <x:f>IF(COUNTIF($O$7:$O$58,"排名待刷新")=0,"已刷新","排名待刷新")</x:f>
        <x:v>排名待刷新</x:v>
      </x:c>
      <x:c r="O29" t="str">
        <x:f>IF(AND(F29=65.5,K29=0.32062146892655363,L29=-0.2231638418079096,'情景快照'!T686="已刷新",'情景快照'!T685="已刷新"),"已刷新","排名待刷新")</x:f>
        <x:v>已刷新</x:v>
      </x:c>
    </x:row>
    <x:row r="30" ht="23" customHeight="1">
      <x:c r="A30" s="11" t="str">
        <x:v>半年</x:v>
      </x:c>
      <x:c r="B30" s="11" t="n">
        <x:v>24</x:v>
      </x:c>
      <x:c r="C30" s="11" t="str">
        <x:v>哔哩哔哩-W</x:v>
      </x:c>
      <x:c r="D30" s="11" t="str">
        <x:v>09626.HK</x:v>
      </x:c>
      <x:c r="E30" s="11" t="str">
        <x:v>I073</x:v>
      </x:c>
      <x:c r="F30" s="11" t="n">
        <x:f>'评分'!J39</x:f>
        <x:v>64.1</x:v>
      </x:c>
      <x:c r="G30" s="11" t="str">
        <x:v>第4梯队</x:v>
      </x:c>
      <x:c r="H30" s="11" t="str">
        <x:v>同公司其他代码</x:v>
      </x:c>
      <x:c r="I30" s="11" t="n">
        <x:f>'情景快照'!E131</x:f>
        <x:v>120.4</x:v>
      </x:c>
      <x:c r="J30" s="11" t="n">
        <x:f>'情景快照'!F131</x:f>
        <x:v>157.33</x:v>
      </x:c>
      <x:c r="K30" s="25" t="n">
        <x:f>'情景快照'!I131</x:f>
        <x:v>0.3067275747508307</x:v>
      </x:c>
      <x:c r="L30" s="25" t="n">
        <x:f>'情景快照'!H130</x:f>
        <x:v>-0.8886212624584717</x:v>
      </x:c>
      <x:c r="M30" s="11" t="str">
        <x:v>仅当前完成模型样本</x:v>
      </x:c>
      <x:c r="N30" t="str">
        <x:f>IF(COUNTIF($O$7:$O$58,"排名待刷新")=0,"已刷新","排名待刷新")</x:f>
        <x:v>排名待刷新</x:v>
      </x:c>
      <x:c r="O30" t="str">
        <x:f>IF(AND(F30=64.1,K30=0.3067275747508307,L30=-0.8886212624584717,'情景快照'!T131="已刷新",'情景快照'!T130="已刷新"),"已刷新","排名待刷新")</x:f>
        <x:v>已刷新</x:v>
      </x:c>
    </x:row>
    <x:row r="31" ht="23" customHeight="1">
      <x:c r="A31" s="11" t="str">
        <x:v>半年</x:v>
      </x:c>
      <x:c r="B31" s="11" t="n">
        <x:v>25</x:v>
      </x:c>
      <x:c r="C31" s="11" t="str">
        <x:v>康方生物</x:v>
      </x:c>
      <x:c r="D31" s="11" t="str">
        <x:v>09926.HK</x:v>
      </x:c>
      <x:c r="E31" s="11" t="str">
        <x:v>I052</x:v>
      </x:c>
      <x:c r="F31" s="11" t="n">
        <x:f>'评分'!J11</x:f>
        <x:v>63.8</x:v>
      </x:c>
      <x:c r="G31" s="11" t="str">
        <x:v>第4梯队</x:v>
      </x:c>
      <x:c r="H31" s="11" t="str">
        <x:v>同公司其他代码</x:v>
      </x:c>
      <x:c r="I31" s="11" t="n">
        <x:f>'情景快照'!E26</x:f>
        <x:v>109.1</x:v>
      </x:c>
      <x:c r="J31" s="11" t="n">
        <x:f>'情景快照'!F26</x:f>
        <x:v>71.29352348543316</x:v>
      </x:c>
      <x:c r="K31" s="25" t="n">
        <x:f>'情景快照'!I26</x:f>
        <x:v>-0.3465304905093203</x:v>
      </x:c>
      <x:c r="L31" s="25" t="n">
        <x:f>'情景快照'!H25</x:f>
        <x:v>-0.8997038320330473</x:v>
      </x:c>
      <x:c r="M31" s="11" t="str">
        <x:v>仅当前完成模型样本</x:v>
      </x:c>
      <x:c r="N31" t="str">
        <x:f>IF(COUNTIF($O$7:$O$58,"排名待刷新")=0,"已刷新","排名待刷新")</x:f>
        <x:v>排名待刷新</x:v>
      </x:c>
      <x:c r="O31" t="str">
        <x:f>IF(AND(F31=63.8,K31=-0.3465304905093203,L31=-0.8997038320330473,'情景快照'!T26="已刷新",'情景快照'!T25="已刷新"),"已刷新","排名待刷新")</x:f>
        <x:v>已刷新</x:v>
      </x:c>
    </x:row>
    <x:row r="32" ht="23" customHeight="1">
      <x:c r="A32" s="11" t="str">
        <x:v>半年</x:v>
      </x:c>
      <x:c r="B32" s="11" t="n">
        <x:v>26</x:v>
      </x:c>
      <x:c r="C32" s="11" t="str">
        <x:v>先声药业</x:v>
      </x:c>
      <x:c r="D32" s="11" t="str">
        <x:v>02096.HK</x:v>
      </x:c>
      <x:c r="E32" s="11" t="str">
        <x:v>I033</x:v>
      </x:c>
      <x:c r="F32" s="11" t="n">
        <x:f>'评分'!J175</x:f>
        <x:v>63.4</x:v>
      </x:c>
      <x:c r="G32" s="11" t="str">
        <x:v>第4梯队</x:v>
      </x:c>
      <x:c r="H32" s="11" t="str">
        <x:v>同公司其他代码</x:v>
      </x:c>
      <x:c r="I32" s="11" t="n">
        <x:f>'情景快照'!E641</x:f>
        <x:v>10.89</x:v>
      </x:c>
      <x:c r="J32" s="11" t="n">
        <x:f>'情景快照'!F641</x:f>
        <x:v>15.623501142857144</x:v>
      </x:c>
      <x:c r="K32" s="25" t="n">
        <x:f>'情景快照'!I641</x:f>
        <x:v>0.4346649350649352</x:v>
      </x:c>
      <x:c r="L32" s="25" t="n">
        <x:f>'情景快照'!H640</x:f>
        <x:v>-0.7181268965517242</x:v>
      </x:c>
      <x:c r="M32" s="11" t="str">
        <x:v>仅当前完成模型样本</x:v>
      </x:c>
      <x:c r="N32" t="str">
        <x:f>IF(COUNTIF($O$7:$O$58,"排名待刷新")=0,"已刷新","排名待刷新")</x:f>
        <x:v>排名待刷新</x:v>
      </x:c>
      <x:c r="O32" t="str">
        <x:f>IF(AND(F32=63.4,K32=0.43466493506493564,L32=-0.7181268965517238,'情景快照'!T641="已刷新",'情景快照'!T640="已刷新"),"已刷新","排名待刷新")</x:f>
        <x:v>已刷新</x:v>
      </x:c>
    </x:row>
    <x:row r="33" ht="23" customHeight="1">
      <x:c r="A33" s="11" t="str">
        <x:v>半年</x:v>
      </x:c>
      <x:c r="B33" s="11" t="n">
        <x:v>27</x:v>
      </x:c>
      <x:c r="C33" s="11" t="str">
        <x:v>迪哲医药</x:v>
      </x:c>
      <x:c r="D33" s="11" t="str">
        <x:v>688192.SH</x:v>
      </x:c>
      <x:c r="E33" s="11" t="str">
        <x:v>I003</x:v>
      </x:c>
      <x:c r="F33" s="11" t="n">
        <x:f>'评分'!J55</x:f>
        <x:v>63.3</x:v>
      </x:c>
      <x:c r="G33" s="11" t="str">
        <x:v>第4梯队</x:v>
      </x:c>
      <x:c r="H33" s="11" t="str">
        <x:v>同公司其他代码</x:v>
      </x:c>
      <x:c r="I33" s="11" t="n">
        <x:f>'情景快照'!E191</x:f>
        <x:v>59.95</x:v>
      </x:c>
      <x:c r="J33" s="11" t="n">
        <x:f>'情景快照'!F191</x:f>
        <x:v>42.24013946166621</x:v>
      </x:c>
      <x:c r="K33" s="25" t="n">
        <x:f>'情景快照'!I191</x:f>
        <x:v>-0.29541051773701066</x:v>
      </x:c>
      <x:c r="L33" s="25" t="n">
        <x:f>'情景快照'!H190</x:f>
        <x:v>-0.9173506740107795</x:v>
      </x:c>
      <x:c r="M33" s="11" t="str">
        <x:v>仅当前完成模型样本</x:v>
      </x:c>
      <x:c r="N33" t="str">
        <x:f>IF(COUNTIF($O$7:$O$58,"排名待刷新")=0,"已刷新","排名待刷新")</x:f>
        <x:v>排名待刷新</x:v>
      </x:c>
      <x:c r="O33" t="str">
        <x:f>IF(AND(F33=63.3,K33=-0.2954105177370111,L33=-0.9173506740107795,'情景快照'!T191="已刷新",'情景快照'!T190="已刷新"),"已刷新","排名待刷新")</x:f>
        <x:v>已刷新</x:v>
      </x:c>
    </x:row>
    <x:row r="34" ht="23" customHeight="1">
      <x:c r="A34" s="11" t="str">
        <x:v>半年</x:v>
      </x:c>
      <x:c r="B34" s="11" t="n">
        <x:v>28</x:v>
      </x:c>
      <x:c r="C34" s="11" t="str">
        <x:v>键凯科技</x:v>
      </x:c>
      <x:c r="D34" s="11" t="str">
        <x:v>688356.SH</x:v>
      </x:c>
      <x:c r="E34" s="11" t="str">
        <x:v>I017</x:v>
      </x:c>
      <x:c r="F34" s="11" t="n">
        <x:f>'评分'!J107</x:f>
        <x:v>62.7</x:v>
      </x:c>
      <x:c r="G34" s="11" t="str">
        <x:v>第4梯队</x:v>
      </x:c>
      <x:c r="H34" s="11" t="str">
        <x:v>同公司其他代码</x:v>
      </x:c>
      <x:c r="I34" s="11" t="n">
        <x:f>'情景快照'!E386</x:f>
        <x:v>107.9</x:v>
      </x:c>
      <x:c r="J34" s="11" t="n">
        <x:f>'情景快照'!F386</x:f>
        <x:v>100.80000000000001</x:v>
      </x:c>
      <x:c r="K34" s="25" t="n">
        <x:f>'情景快照'!I386</x:f>
        <x:v>-0.06580166821130673</x:v>
      </x:c>
      <x:c r="L34" s="25" t="n">
        <x:f>'情景快照'!H385</x:f>
        <x:v>-0.6737720111214087</x:v>
      </x:c>
      <x:c r="M34" s="11" t="str">
        <x:v>仅当前完成模型样本</x:v>
      </x:c>
      <x:c r="N34" t="str">
        <x:f>IF(COUNTIF($O$7:$O$58,"排名待刷新")=0,"已刷新","排名待刷新")</x:f>
        <x:v>排名待刷新</x:v>
      </x:c>
      <x:c r="O34" t="str">
        <x:f>IF(AND(F34=62.7,K34=-0.06580166821130673,L34=-0.6737720111214087,'情景快照'!T386="已刷新",'情景快照'!T385="已刷新"),"已刷新","排名待刷新")</x:f>
        <x:v>已刷新</x:v>
      </x:c>
    </x:row>
    <x:row r="35" ht="23" customHeight="1">
      <x:c r="A35" s="11" t="str">
        <x:v>半年</x:v>
      </x:c>
      <x:c r="B35" s="11" t="n">
        <x:v>29</x:v>
      </x:c>
      <x:c r="C35" s="11" t="str">
        <x:v>金斯瑞生物科技</x:v>
      </x:c>
      <x:c r="D35" s="11" t="str">
        <x:v>01548.HK</x:v>
      </x:c>
      <x:c r="E35" s="11" t="str">
        <x:v>I035</x:v>
      </x:c>
      <x:c r="F35" s="11" t="n">
        <x:f>'评分'!J63</x:f>
        <x:v>62.7</x:v>
      </x:c>
      <x:c r="G35" s="11" t="str">
        <x:v>第4梯队</x:v>
      </x:c>
      <x:c r="H35" s="11" t="str">
        <x:v>同公司其他代码</x:v>
      </x:c>
      <x:c r="I35" s="11" t="n">
        <x:f>'情景快照'!E221</x:f>
        <x:v>42.4</x:v>
      </x:c>
      <x:c r="J35" s="11" t="n">
        <x:f>'情景快照'!F221</x:f>
        <x:v>38.71410722986074</x:v>
      </x:c>
      <x:c r="K35" s="25" t="n">
        <x:f>'情景快照'!I221</x:f>
        <x:v>-0.08693143325800146</x:v>
      </x:c>
      <x:c r="L35" s="25" t="n">
        <x:f>'情景快照'!H220</x:f>
        <x:v>-0.8040481112256224</x:v>
      </x:c>
      <x:c r="M35" s="11" t="str">
        <x:v>仅当前完成模型样本</x:v>
      </x:c>
      <x:c r="N35" t="str">
        <x:f>IF(COUNTIF($O$7:$O$58,"排名待刷新")=0,"已刷新","排名待刷新")</x:f>
        <x:v>排名待刷新</x:v>
      </x:c>
      <x:c r="O35" t="str">
        <x:f>IF(AND(F35=62.699999999999996,K35=-0.08693143325800146,L35=-0.8040481112256224,'情景快照'!T221="已刷新",'情景快照'!T220="已刷新"),"已刷新","排名待刷新")</x:f>
        <x:v>已刷新</x:v>
      </x:c>
    </x:row>
    <x:row r="36" ht="23" customHeight="1">
      <x:c r="A36" s="11" t="str">
        <x:v>半年</x:v>
      </x:c>
      <x:c r="B36" s="11" t="n">
        <x:v>30</x:v>
      </x:c>
      <x:c r="C36" s="11" t="str">
        <x:v>比亚迪股份</x:v>
      </x:c>
      <x:c r="D36" s="11" t="str">
        <x:v>01211.HK</x:v>
      </x:c>
      <x:c r="E36" s="11" t="str">
        <x:v>I061</x:v>
      </x:c>
      <x:c r="F36" s="11" t="n">
        <x:f>'评分'!J43</x:f>
        <x:v>62.6</x:v>
      </x:c>
      <x:c r="G36" s="11" t="str">
        <x:v>第4梯队</x:v>
      </x:c>
      <x:c r="H36" s="11" t="str">
        <x:v>同公司其他代码</x:v>
      </x:c>
      <x:c r="I36" s="11" t="n">
        <x:f>'情景快照'!E146</x:f>
        <x:v>75.6</x:v>
      </x:c>
      <x:c r="J36" s="11" t="n">
        <x:f>'情景快照'!F146</x:f>
        <x:v>115.92</x:v>
      </x:c>
      <x:c r="K36" s="25" t="n">
        <x:f>'情景快照'!I146</x:f>
        <x:v>0.5333333333333334</x:v>
      </x:c>
      <x:c r="L36" s="25" t="n">
        <x:f>'情景快照'!H145</x:f>
        <x:v>-0.6572751322751322</x:v>
      </x:c>
      <x:c r="M36" s="11" t="str">
        <x:v>仅当前完成模型样本</x:v>
      </x:c>
      <x:c r="N36" t="str">
        <x:f>IF(COUNTIF($O$7:$O$58,"排名待刷新")=0,"已刷新","排名待刷新")</x:f>
        <x:v>排名待刷新</x:v>
      </x:c>
      <x:c r="O36" t="str">
        <x:f>IF(AND(F36=62.6,K36=0.5333333333333334,L36=-0.6572751322751322,'情景快照'!T146="已刷新",'情景快照'!T145="已刷新"),"已刷新","排名待刷新")</x:f>
        <x:v>已刷新</x:v>
      </x:c>
    </x:row>
    <x:row r="37" ht="23" customHeight="1">
      <x:c r="A37" s="11" t="str">
        <x:v>半年</x:v>
      </x:c>
      <x:c r="B37" s="11" t="n">
        <x:v>31</x:v>
      </x:c>
      <x:c r="C37" s="11" t="str">
        <x:v>京东集团-SW</x:v>
      </x:c>
      <x:c r="D37" s="11" t="str">
        <x:v>09618.HK</x:v>
      </x:c>
      <x:c r="E37" s="11" t="str">
        <x:v>I070</x:v>
      </x:c>
      <x:c r="F37" s="11" t="n">
        <x:f>'评分'!J103</x:f>
        <x:v>62.5</x:v>
      </x:c>
      <x:c r="G37" s="11" t="str">
        <x:v>第4梯队</x:v>
      </x:c>
      <x:c r="H37" s="11" t="str">
        <x:v>同公司其他代码</x:v>
      </x:c>
      <x:c r="I37" s="11" t="n">
        <x:f>'情景快照'!E371</x:f>
        <x:v>105.6</x:v>
      </x:c>
      <x:c r="J37" s="11" t="n">
        <x:f>'情景快照'!F371</x:f>
        <x:v>155.71</x:v>
      </x:c>
      <x:c r="K37" s="25" t="n">
        <x:f>'情景快照'!I371</x:f>
        <x:v>0.4745265151515152</x:v>
      </x:c>
      <x:c r="L37" s="25" t="n">
        <x:f>'情景快照'!H370</x:f>
        <x:v>-0.5105113636363636</x:v>
      </x:c>
      <x:c r="M37" s="11" t="str">
        <x:v>仅当前完成模型样本</x:v>
      </x:c>
      <x:c r="N37" t="str">
        <x:f>IF(COUNTIF($O$7:$O$58,"排名待刷新")=0,"已刷新","排名待刷新")</x:f>
        <x:v>排名待刷新</x:v>
      </x:c>
      <x:c r="O37" t="str">
        <x:f>IF(AND(F37=62.50000000000001,K37=0.4745265151515152,L37=-0.5105113636363636,'情景快照'!T371="已刷新",'情景快照'!T370="已刷新"),"已刷新","排名待刷新")</x:f>
        <x:v>已刷新</x:v>
      </x:c>
    </x:row>
    <x:row r="38" ht="23" customHeight="1">
      <x:c r="A38" s="11" t="str">
        <x:v>半年</x:v>
      </x:c>
      <x:c r="B38" s="11" t="n">
        <x:v>32</x:v>
      </x:c>
      <x:c r="C38" s="11" t="str">
        <x:v>皓元医药</x:v>
      </x:c>
      <x:c r="D38" s="11" t="str">
        <x:v>688131.SH</x:v>
      </x:c>
      <x:c r="E38" s="11" t="str">
        <x:v>I015</x:v>
      </x:c>
      <x:c r="F38" s="11" t="n">
        <x:f>'评分'!J75</x:f>
        <x:v>62.2</x:v>
      </x:c>
      <x:c r="G38" s="11" t="str">
        <x:v>第5梯队</x:v>
      </x:c>
      <x:c r="H38" s="11" t="str">
        <x:v>同公司其他代码</x:v>
      </x:c>
      <x:c r="I38" s="11" t="n">
        <x:f>'情景快照'!E266</x:f>
        <x:v>93.16</x:v>
      </x:c>
      <x:c r="J38" s="11" t="n">
        <x:f>'情景快照'!F266</x:f>
        <x:v>99</x:v>
      </x:c>
      <x:c r="K38" s="25" t="n">
        <x:f>'情景快照'!I266</x:f>
        <x:v>0.06268784886217271</x:v>
      </x:c>
      <x:c r="L38" s="25" t="n">
        <x:f>'情景快照'!H265</x:f>
        <x:v>-0.5749248604551309</x:v>
      </x:c>
      <x:c r="M38" s="11" t="str">
        <x:v>仅当前完成模型样本</x:v>
      </x:c>
      <x:c r="N38" t="str">
        <x:f>IF(COUNTIF($O$7:$O$58,"排名待刷新")=0,"已刷新","排名待刷新")</x:f>
        <x:v>排名待刷新</x:v>
      </x:c>
      <x:c r="O38" t="str">
        <x:f>IF(AND(F38=62.2,K38=0.06268784886217271,L38=-0.5749248604551309,'情景快照'!T266="已刷新",'情景快照'!T265="已刷新"),"已刷新","排名待刷新")</x:f>
        <x:v>已刷新</x:v>
      </x:c>
    </x:row>
    <x:row r="39" ht="23" customHeight="1">
      <x:c r="A39" s="11" t="str">
        <x:v>半年</x:v>
      </x:c>
      <x:c r="B39" s="11" t="n">
        <x:v>33</x:v>
      </x:c>
      <x:c r="C39" s="11" t="str">
        <x:v>美迪西</x:v>
      </x:c>
      <x:c r="D39" s="11" t="str">
        <x:v>688202.SH</x:v>
      </x:c>
      <x:c r="E39" s="11" t="str">
        <x:v>I018</x:v>
      </x:c>
      <x:c r="F39" s="11" t="n">
        <x:f>'评分'!J135</x:f>
        <x:v>62.1</x:v>
      </x:c>
      <x:c r="G39" s="11" t="str">
        <x:v>第5梯队</x:v>
      </x:c>
      <x:c r="H39" s="11" t="str">
        <x:v>同公司其他代码</x:v>
      </x:c>
      <x:c r="I39" s="11" t="n">
        <x:f>'情景快照'!E491</x:f>
        <x:v>104</x:v>
      </x:c>
      <x:c r="J39" s="11" t="n">
        <x:f>'情景快照'!F491</x:f>
        <x:v>72</x:v>
      </x:c>
      <x:c r="K39" s="25" t="n">
        <x:f>'情景快照'!I491</x:f>
        <x:v>-0.3076923076923077</x:v>
      </x:c>
      <x:c r="L39" s="25" t="n">
        <x:f>'情景快照'!H490</x:f>
        <x:v>-0.8317307692307692</x:v>
      </x:c>
      <x:c r="M39" s="11" t="str">
        <x:v>仅当前完成模型样本</x:v>
      </x:c>
      <x:c r="N39" t="str">
        <x:f>IF(COUNTIF($O$7:$O$58,"排名待刷新")=0,"已刷新","排名待刷新")</x:f>
        <x:v>排名待刷新</x:v>
      </x:c>
      <x:c r="O39" t="str">
        <x:f>IF(AND(F39=62.1,K39=-0.3076923076923077,L39=-0.8317307692307692,'情景快照'!T491="已刷新",'情景快照'!T490="已刷新"),"已刷新","排名待刷新")</x:f>
        <x:v>已刷新</x:v>
      </x:c>
    </x:row>
    <x:row r="40" ht="23" customHeight="1">
      <x:c r="A40" s="11" t="str">
        <x:v>半年</x:v>
      </x:c>
      <x:c r="B40" s="11" t="n">
        <x:v>34</x:v>
      </x:c>
      <x:c r="C40" s="11" t="str">
        <x:v>小米集团-W</x:v>
      </x:c>
      <x:c r="D40" s="11" t="str">
        <x:v>01810.HK</x:v>
      </x:c>
      <x:c r="E40" s="11" t="str">
        <x:v>I087</x:v>
      </x:c>
      <x:c r="F40" s="11" t="n">
        <x:f>'评分'!J211</x:f>
        <x:v>61.9</x:v>
      </x:c>
      <x:c r="G40" s="11" t="str">
        <x:v>第5梯队</x:v>
      </x:c>
      <x:c r="H40" s="11" t="str">
        <x:v>同公司其他代码</x:v>
      </x:c>
      <x:c r="I40" s="11" t="n">
        <x:f>'情景快照'!E776</x:f>
        <x:v>25.96</x:v>
      </x:c>
      <x:c r="J40" s="11" t="n">
        <x:f>'情景快照'!F776</x:f>
        <x:v>32.83</x:v>
      </x:c>
      <x:c r="K40" s="25" t="n">
        <x:f>'情景快照'!I776</x:f>
        <x:v>0.26463790446841284</x:v>
      </x:c>
      <x:c r="L40" s="25" t="n">
        <x:f>'情景快照'!H775</x:f>
        <x:v>-0.7003081664098614</x:v>
      </x:c>
      <x:c r="M40" s="11" t="str">
        <x:v>仅当前完成模型样本</x:v>
      </x:c>
      <x:c r="N40" t="str">
        <x:f>IF(COUNTIF($O$7:$O$58,"排名待刷新")=0,"已刷新","排名待刷新")</x:f>
        <x:v>排名待刷新</x:v>
      </x:c>
      <x:c r="O40" t="str">
        <x:f>IF(AND(F40=61.900000000000006,K40=0.26463790446841284,L40=-0.7003081664098614,'情景快照'!T776="已刷新",'情景快照'!T775="已刷新"),"已刷新","排名待刷新")</x:f>
        <x:v>已刷新</x:v>
      </x:c>
    </x:row>
    <x:row r="41" ht="23" customHeight="1">
      <x:c r="A41" s="11" t="str">
        <x:v>半年</x:v>
      </x:c>
      <x:c r="B41" s="11" t="n">
        <x:v>35</x:v>
      </x:c>
      <x:c r="C41" s="11" t="str">
        <x:v>丽珠医药</x:v>
      </x:c>
      <x:c r="D41" s="11" t="str">
        <x:v>01513.HK</x:v>
      </x:c>
      <x:c r="E41" s="11" t="str">
        <x:v>I036</x:v>
      </x:c>
      <x:c r="F41" s="11" t="n">
        <x:f>'评分'!J127</x:f>
        <x:v>61.6</x:v>
      </x:c>
      <x:c r="G41" s="11" t="str">
        <x:v>第5梯队</x:v>
      </x:c>
      <x:c r="H41" s="11" t="str">
        <x:v>同公司其他代码</x:v>
      </x:c>
      <x:c r="I41" s="11" t="n">
        <x:f>'情景快照'!E461</x:f>
        <x:v>22.16</x:v>
      </x:c>
      <x:c r="J41" s="11" t="n">
        <x:f>'情景快照'!F461</x:f>
        <x:v>26.565000000000005</x:v>
      </x:c>
      <x:c r="K41" s="25" t="n">
        <x:f>'情景快照'!I461</x:f>
        <x:v>0.25225631768953094</x:v>
      </x:c>
      <x:c r="L41" s="25" t="n">
        <x:f>'情景快照'!H460</x:f>
        <x:v>-0.3447653429602888</x:v>
      </x:c>
      <x:c r="M41" s="11" t="str">
        <x:v>仅当前完成模型样本</x:v>
      </x:c>
      <x:c r="N41" t="str">
        <x:f>IF(COUNTIF($O$7:$O$58,"排名待刷新")=0,"已刷新","排名待刷新")</x:f>
        <x:v>排名待刷新</x:v>
      </x:c>
      <x:c r="O41" t="str">
        <x:f>IF(AND(F41=61.599999999999994,K41=0.25225631768953094,L41=-0.3447653429602888,'情景快照'!T461="已刷新",'情景快照'!T460="已刷新"),"已刷新","排名待刷新")</x:f>
        <x:v>已刷新</x:v>
      </x:c>
    </x:row>
    <x:row r="42" ht="23" customHeight="1">
      <x:c r="A42" s="11" t="str">
        <x:v>半年</x:v>
      </x:c>
      <x:c r="B42" s="11" t="n">
        <x:v>36</x:v>
      </x:c>
      <x:c r="C42" s="11" t="str">
        <x:v>复星医药</x:v>
      </x:c>
      <x:c r="D42" s="11" t="str">
        <x:v>02196.HK</x:v>
      </x:c>
      <x:c r="E42" s="11" t="str">
        <x:v>I043</x:v>
      </x:c>
      <x:c r="F42" s="11" t="n">
        <x:f>'评分'!J59</x:f>
        <x:v>61.4</x:v>
      </x:c>
      <x:c r="G42" s="11" t="str">
        <x:v>第5梯队</x:v>
      </x:c>
      <x:c r="H42" s="11" t="str">
        <x:v>同公司其他代码</x:v>
      </x:c>
      <x:c r="I42" s="11" t="n">
        <x:f>'情景快照'!E206</x:f>
        <x:v>17.87</x:v>
      </x:c>
      <x:c r="J42" s="11" t="n">
        <x:f>'情景快照'!F206</x:f>
        <x:v>20.72894589552243</x:v>
      </x:c>
      <x:c r="K42" s="25" t="n">
        <x:f>'情景快照'!I206</x:f>
        <x:v>0.15998578038737699</x:v>
      </x:c>
      <x:c r="L42" s="25" t="n">
        <x:f>'情景快照'!H205</x:f>
        <x:v>-0.47810889592329364</x:v>
      </x:c>
      <x:c r="M42" s="11" t="str">
        <x:v>仅当前完成模型样本</x:v>
      </x:c>
      <x:c r="N42" t="str">
        <x:f>IF(COUNTIF($O$7:$O$58,"排名待刷新")=0,"已刷新","排名待刷新")</x:f>
        <x:v>排名待刷新</x:v>
      </x:c>
      <x:c r="O42" t="str">
        <x:f>IF(AND(F42=61.4,K42=0.15998578038737699,L42=-0.47810889592329364,'情景快照'!T206="已刷新",'情景快照'!T205="已刷新"),"已刷新","排名待刷新")</x:f>
        <x:v>已刷新</x:v>
      </x:c>
    </x:row>
    <x:row r="43" ht="23" customHeight="1">
      <x:c r="A43" s="11" t="str">
        <x:v>半年</x:v>
      </x:c>
      <x:c r="B43" s="11" t="n">
        <x:v>37</x:v>
      </x:c>
      <x:c r="C43" s="11" t="str">
        <x:v>宁德时代</x:v>
      </x:c>
      <x:c r="D43" s="11" t="str">
        <x:v>03750.HK</x:v>
      </x:c>
      <x:c r="E43" s="11" t="str">
        <x:v>I063</x:v>
      </x:c>
      <x:c r="F43" s="11" t="n">
        <x:f>'评分'!J47</x:f>
        <x:v>61</x:v>
      </x:c>
      <x:c r="G43" s="11" t="str">
        <x:v>第5梯队</x:v>
      </x:c>
      <x:c r="H43" s="11" t="str">
        <x:v>同公司其他代码</x:v>
      </x:c>
      <x:c r="I43" s="11" t="n">
        <x:f>'情景快照'!E161</x:f>
        <x:v>491.4</x:v>
      </x:c>
      <x:c r="J43" s="11" t="n">
        <x:f>'情景快照'!F161</x:f>
        <x:v>580.27</x:v>
      </x:c>
      <x:c r="K43" s="25" t="n">
        <x:f>'情景快照'!I161</x:f>
        <x:v>0.1808506308506308</x:v>
      </x:c>
      <x:c r="L43" s="25" t="n">
        <x:f>'情景快照'!H160</x:f>
        <x:v>-0.6634920634920635</x:v>
      </x:c>
      <x:c r="M43" s="11" t="str">
        <x:v>仅当前完成模型样本</x:v>
      </x:c>
      <x:c r="N43" t="str">
        <x:f>IF(COUNTIF($O$7:$O$58,"排名待刷新")=0,"已刷新","排名待刷新")</x:f>
        <x:v>排名待刷新</x:v>
      </x:c>
      <x:c r="O43" t="str">
        <x:f>IF(AND(F43=61.00000000000001,K43=0.1808506308506308,L43=-0.6634920634920635,'情景快照'!T161="已刷新",'情景快照'!T160="已刷新"),"已刷新","排名待刷新")</x:f>
        <x:v>已刷新</x:v>
      </x:c>
    </x:row>
    <x:row r="44" ht="23" customHeight="1">
      <x:c r="A44" s="11" t="str">
        <x:v>半年</x:v>
      </x:c>
      <x:c r="B44" s="11" t="n">
        <x:v>38</x:v>
      </x:c>
      <x:c r="C44" s="11" t="str">
        <x:v>泡泡玛特</x:v>
      </x:c>
      <x:c r="D44" s="11" t="str">
        <x:v>09992.HK</x:v>
      </x:c>
      <x:c r="E44" s="11" t="str">
        <x:v>I056</x:v>
      </x:c>
      <x:c r="F44" s="11" t="n">
        <x:f>'评分'!J159</x:f>
        <x:v>59.9</x:v>
      </x:c>
      <x:c r="G44" s="11" t="str">
        <x:v>第5梯队</x:v>
      </x:c>
      <x:c r="H44" s="11" t="str">
        <x:v>同公司其他代码</x:v>
      </x:c>
      <x:c r="I44" s="11" t="n">
        <x:f>'情景快照'!E581</x:f>
        <x:v>152.3</x:v>
      </x:c>
      <x:c r="J44" s="11" t="n">
        <x:f>'情景快照'!F581</x:f>
        <x:v>195.86</x:v>
      </x:c>
      <x:c r="K44" s="25" t="n">
        <x:f>'情景快照'!I581</x:f>
        <x:v>0.28601444517399877</x:v>
      </x:c>
      <x:c r="L44" s="25" t="n">
        <x:f>'情景快照'!H580</x:f>
        <x:v>-0.6250164149704531</x:v>
      </x:c>
      <x:c r="M44" s="11" t="str">
        <x:v>仅当前完成模型样本</x:v>
      </x:c>
      <x:c r="N44" t="str">
        <x:f>IF(COUNTIF($O$7:$O$58,"排名待刷新")=0,"已刷新","排名待刷新")</x:f>
        <x:v>排名待刷新</x:v>
      </x:c>
      <x:c r="O44" t="str">
        <x:f>IF(AND(F44=59.9,K44=0.28601444517399877,L44=-0.6250164149704531,'情景快照'!T581="已刷新",'情景快照'!T580="已刷新"),"已刷新","排名待刷新")</x:f>
        <x:v>已刷新</x:v>
      </x:c>
    </x:row>
    <x:row r="45" ht="23" customHeight="1">
      <x:c r="A45" s="11" t="str">
        <x:v>半年</x:v>
      </x:c>
      <x:c r="B45" s="11" t="n">
        <x:v>39</x:v>
      </x:c>
      <x:c r="C45" s="11" t="str">
        <x:v>三生制药</x:v>
      </x:c>
      <x:c r="D45" s="11" t="str">
        <x:v>01530.HK</x:v>
      </x:c>
      <x:c r="E45" s="11" t="str">
        <x:v>I023</x:v>
      </x:c>
      <x:c r="F45" s="11" t="n">
        <x:f>'评分'!J7</x:f>
        <x:v>59.7</x:v>
      </x:c>
      <x:c r="G45" s="11" t="str">
        <x:v>第5梯队</x:v>
      </x:c>
      <x:c r="H45" s="11" t="str">
        <x:v>同公司其他代码</x:v>
      </x:c>
      <x:c r="I45" s="11" t="n">
        <x:f>'情景快照'!E11</x:f>
        <x:v>15.07</x:v>
      </x:c>
      <x:c r="J45" s="11" t="n">
        <x:f>'情景快照'!F11</x:f>
        <x:v>20.494032607263897</x:v>
      </x:c>
      <x:c r="K45" s="25" t="n">
        <x:f>'情景快照'!I11</x:f>
        <x:v>0.35992253531943574</x:v>
      </x:c>
      <x:c r="L45" s="25" t="n">
        <x:f>'情景快照'!H10</x:f>
        <x:v>-0.3249890758145617</x:v>
      </x:c>
      <x:c r="M45" s="11" t="str">
        <x:v>仅当前完成模型样本</x:v>
      </x:c>
      <x:c r="N45" t="str">
        <x:f>IF(COUNTIF($O$7:$O$58,"排名待刷新")=0,"已刷新","排名待刷新")</x:f>
        <x:v>排名待刷新</x:v>
      </x:c>
      <x:c r="O45" t="str">
        <x:f>IF(AND(F45=59.7,K45=0.35992253531943574,L45=-0.3249890758145617,'情景快照'!T11="已刷新",'情景快照'!T10="已刷新"),"已刷新","排名待刷新")</x:f>
        <x:v>已刷新</x:v>
      </x:c>
    </x:row>
    <x:row r="46" ht="23" customHeight="1">
      <x:c r="A46" s="11" t="str">
        <x:v>半年</x:v>
      </x:c>
      <x:c r="B46" s="11" t="n">
        <x:v>40</x:v>
      </x:c>
      <x:c r="C46" s="11" t="str">
        <x:v>携程集团-S</x:v>
      </x:c>
      <x:c r="D46" s="11" t="str">
        <x:v>09961.HK</x:v>
      </x:c>
      <x:c r="E46" s="11" t="str">
        <x:v>I077</x:v>
      </x:c>
      <x:c r="F46" s="11" t="n">
        <x:f>'评分'!J191</x:f>
        <x:v>59.6</x:v>
      </x:c>
      <x:c r="G46" s="11" t="str">
        <x:v>第5梯队</x:v>
      </x:c>
      <x:c r="H46" s="11" t="str">
        <x:v>同公司其他代码</x:v>
      </x:c>
      <x:c r="I46" s="11" t="n">
        <x:f>'情景快照'!E701</x:f>
        <x:v>304.4</x:v>
      </x:c>
      <x:c r="J46" s="11" t="n">
        <x:f>'情景快照'!F701</x:f>
        <x:v>467.91</x:v>
      </x:c>
      <x:c r="K46" s="25" t="n">
        <x:f>'情景快照'!I701</x:f>
        <x:v>0.5371550591327203</x:v>
      </x:c>
      <x:c r="L46" s="25" t="n">
        <x:f>'情景快照'!H700</x:f>
        <x:v>-0.3020696452036794</x:v>
      </x:c>
      <x:c r="M46" s="11" t="str">
        <x:v>仅当前完成模型样本</x:v>
      </x:c>
      <x:c r="N46" t="str">
        <x:f>IF(COUNTIF($O$7:$O$58,"排名待刷新")=0,"已刷新","排名待刷新")</x:f>
        <x:v>排名待刷新</x:v>
      </x:c>
      <x:c r="O46" t="str">
        <x:f>IF(AND(F46=59.599999999999994,K46=0.5371550591327203,L46=-0.3020696452036794,'情景快照'!T701="已刷新",'情景快照'!T700="已刷新"),"已刷新","排名待刷新")</x:f>
        <x:v>已刷新</x:v>
      </x:c>
    </x:row>
    <x:row r="47" ht="23" customHeight="1">
      <x:c r="A47" s="11" t="str">
        <x:v>半年</x:v>
      </x:c>
      <x:c r="B47" s="11" t="n">
        <x:v>41</x:v>
      </x:c>
      <x:c r="C47" s="11" t="str">
        <x:v>美团-W</x:v>
      </x:c>
      <x:c r="D47" s="11" t="str">
        <x:v>03690.HK</x:v>
      </x:c>
      <x:c r="E47" s="11" t="str">
        <x:v>I078</x:v>
      </x:c>
      <x:c r="F47" s="11" t="n">
        <x:f>'评分'!J139</x:f>
        <x:v>59.5</x:v>
      </x:c>
      <x:c r="G47" s="11" t="str">
        <x:v>第5梯队</x:v>
      </x:c>
      <x:c r="H47" s="11" t="str">
        <x:v>同公司其他代码</x:v>
      </x:c>
      <x:c r="I47" s="11" t="n">
        <x:f>'情景快照'!E506</x:f>
        <x:v>71.5</x:v>
      </x:c>
      <x:c r="J47" s="11" t="n">
        <x:f>'情景快照'!F506</x:f>
        <x:v>119.45</x:v>
      </x:c>
      <x:c r="K47" s="25" t="n">
        <x:f>'情景快照'!I506</x:f>
        <x:v>0.6706293706293707</x:v>
      </x:c>
      <x:c r="L47" s="25" t="n">
        <x:f>'情景快照'!H505</x:f>
        <x:v>-0.6461538461538461</x:v>
      </x:c>
      <x:c r="M47" s="11" t="str">
        <x:v>仅当前完成模型样本</x:v>
      </x:c>
      <x:c r="N47" t="str">
        <x:f>IF(COUNTIF($O$7:$O$58,"排名待刷新")=0,"已刷新","排名待刷新")</x:f>
        <x:v>排名待刷新</x:v>
      </x:c>
      <x:c r="O47" t="str">
        <x:f>IF(AND(F47=59.5,K47=0.6706293706293707,L47=-0.6461538461538461,'情景快照'!T506="已刷新",'情景快照'!T505="已刷新"),"已刷新","排名待刷新")</x:f>
        <x:v>已刷新</x:v>
      </x:c>
    </x:row>
    <x:row r="48" ht="23" customHeight="1">
      <x:c r="A48" s="11" t="str">
        <x:v>半年</x:v>
      </x:c>
      <x:c r="B48" s="11" t="n">
        <x:v>42</x:v>
      </x:c>
      <x:c r="C48" s="11" t="str">
        <x:v>博腾股份</x:v>
      </x:c>
      <x:c r="D48" s="11" t="str">
        <x:v>300363.SZ</x:v>
      </x:c>
      <x:c r="E48" s="11" t="str">
        <x:v>I013</x:v>
      </x:c>
      <x:c r="F48" s="11" t="n">
        <x:f>'评分'!J163</x:f>
        <x:v>59.4</x:v>
      </x:c>
      <x:c r="G48" s="11" t="str">
        <x:v>第5梯队</x:v>
      </x:c>
      <x:c r="H48" s="11" t="str">
        <x:v>同公司其他代码</x:v>
      </x:c>
      <x:c r="I48" s="11" t="n">
        <x:f>'情景快照'!E596</x:f>
        <x:v>23.68</x:v>
      </x:c>
      <x:c r="J48" s="11" t="n">
        <x:f>'情景快照'!F596</x:f>
        <x:v>19.2</x:v>
      </x:c>
      <x:c r="K48" s="25" t="n">
        <x:f>'情景快照'!I596</x:f>
        <x:v>-0.18918918918918926</x:v>
      </x:c>
      <x:c r="L48" s="25" t="n">
        <x:f>'情景快照'!H595</x:f>
        <x:v>-0.847972972972973</x:v>
      </x:c>
      <x:c r="M48" s="11" t="str">
        <x:v>仅当前完成模型样本</x:v>
      </x:c>
      <x:c r="N48" t="str">
        <x:f>IF(COUNTIF($O$7:$O$58,"排名待刷新")=0,"已刷新","排名待刷新")</x:f>
        <x:v>排名待刷新</x:v>
      </x:c>
      <x:c r="O48" t="str">
        <x:f>IF(AND(F48=59.4,K48=-0.18918918918918926,L48=-0.847972972972973,'情景快照'!T596="已刷新",'情景快照'!T595="已刷新"),"已刷新","排名待刷新")</x:f>
        <x:v>已刷新</x:v>
      </x:c>
    </x:row>
    <x:row r="49" ht="23" customHeight="1">
      <x:c r="A49" s="11" t="str">
        <x:v>半年</x:v>
      </x:c>
      <x:c r="B49" s="11" t="n">
        <x:v>43</x:v>
      </x:c>
      <x:c r="C49" s="11" t="str">
        <x:v>阿里巴巴-W</x:v>
      </x:c>
      <x:c r="D49" s="11" t="str">
        <x:v>09988.HK</x:v>
      </x:c>
      <x:c r="E49" s="11" t="str">
        <x:v>I075</x:v>
      </x:c>
      <x:c r="F49" s="11" t="n">
        <x:f>'评分'!J15</x:f>
        <x:v>58.9</x:v>
      </x:c>
      <x:c r="G49" s="11" t="str">
        <x:v>第6梯队</x:v>
      </x:c>
      <x:c r="H49" s="11" t="str">
        <x:v>同公司其他代码</x:v>
      </x:c>
      <x:c r="I49" s="11" t="n">
        <x:f>'情景快照'!E41</x:f>
        <x:v>107</x:v>
      </x:c>
      <x:c r="J49" s="11" t="n">
        <x:f>'情景快照'!F41</x:f>
        <x:v>151.98</x:v>
      </x:c>
      <x:c r="K49" s="25" t="n">
        <x:f>'情景快照'!I41</x:f>
        <x:v>0.42037383177570087</x:v>
      </x:c>
      <x:c r="L49" s="25" t="n">
        <x:f>'情景快照'!H40</x:f>
        <x:v>-0.4633644859813084</x:v>
      </x:c>
      <x:c r="M49" s="11" t="str">
        <x:v>仅当前完成模型样本</x:v>
      </x:c>
      <x:c r="N49" t="str">
        <x:f>IF(COUNTIF($O$7:$O$58,"排名待刷新")=0,"已刷新","排名待刷新")</x:f>
        <x:v>排名待刷新</x:v>
      </x:c>
      <x:c r="O49" t="str">
        <x:f>IF(AND(F49=58.9,K49=0.42037383177570087,L49=-0.4633644859813084,'情景快照'!T41="已刷新",'情景快照'!T40="已刷新"),"已刷新","排名待刷新")</x:f>
        <x:v>已刷新</x:v>
      </x:c>
    </x:row>
    <x:row r="50" ht="23" customHeight="1">
      <x:c r="A50" s="11" t="str">
        <x:v>半年</x:v>
      </x:c>
      <x:c r="B50" s="11" t="n">
        <x:v>44</x:v>
      </x:c>
      <x:c r="C50" s="11" t="str">
        <x:v>上海医药</x:v>
      </x:c>
      <x:c r="D50" s="11" t="str">
        <x:v>02607.HK</x:v>
      </x:c>
      <x:c r="E50" s="11" t="str">
        <x:v>I028</x:v>
      </x:c>
      <x:c r="F50" s="11" t="n">
        <x:f>'评分'!J171</x:f>
        <x:v>57.8</x:v>
      </x:c>
      <x:c r="G50" s="11" t="str">
        <x:v>第6梯队</x:v>
      </x:c>
      <x:c r="H50" s="11" t="str">
        <x:v>同公司其他代码</x:v>
      </x:c>
      <x:c r="I50" s="11" t="n">
        <x:f>'情景快照'!E626</x:f>
        <x:v>11.03</x:v>
      </x:c>
      <x:c r="J50" s="11" t="n">
        <x:f>'情景快照'!F626</x:f>
        <x:v>13.062500000000002</x:v>
      </x:c>
      <x:c r="K50" s="25" t="n">
        <x:f>'情景快照'!I626</x:f>
        <x:v>0.18427017225747977</x:v>
      </x:c>
      <x:c r="L50" s="25" t="n">
        <x:f>'情景快照'!H625</x:f>
        <x:v>-0.35176790571169536</x:v>
      </x:c>
      <x:c r="M50" s="11" t="str">
        <x:v>仅当前完成模型样本</x:v>
      </x:c>
      <x:c r="N50" t="str">
        <x:f>IF(COUNTIF($O$7:$O$58,"排名待刷新")=0,"已刷新","排名待刷新")</x:f>
        <x:v>排名待刷新</x:v>
      </x:c>
      <x:c r="O50" t="str">
        <x:f>IF(AND(F50=57.8,K50=0.18427017225747977,L50=-0.35176790571169536,'情景快照'!T626="已刷新",'情景快照'!T625="已刷新"),"已刷新","排名待刷新")</x:f>
        <x:v>已刷新</x:v>
      </x:c>
    </x:row>
    <x:row r="51" ht="23" customHeight="1">
      <x:c r="A51" s="11" t="str">
        <x:v>半年</x:v>
      </x:c>
      <x:c r="B51" s="11" t="n">
        <x:v>45</x:v>
      </x:c>
      <x:c r="C51" s="11" t="str">
        <x:v>海创药业</x:v>
      </x:c>
      <x:c r="D51" s="11" t="str">
        <x:v>688302.SH</x:v>
      </x:c>
      <x:c r="E51" s="11" t="str">
        <x:v>I005</x:v>
      </x:c>
      <x:c r="F51" s="11" t="n">
        <x:f>'评分'!J87</x:f>
        <x:v>57.6</x:v>
      </x:c>
      <x:c r="G51" s="11" t="str">
        <x:v>第6梯队</x:v>
      </x:c>
      <x:c r="H51" s="11" t="str">
        <x:v>同公司其他代码</x:v>
      </x:c>
      <x:c r="I51" s="11" t="n">
        <x:f>'情景快照'!E311</x:f>
        <x:v>32.09</x:v>
      </x:c>
      <x:c r="J51" s="11" t="n">
        <x:f>'情景快照'!F311</x:f>
        <x:v>27.965125127281603</x:v>
      </x:c>
      <x:c r="K51" s="25" t="n">
        <x:f>'情景快照'!I311</x:f>
        <x:v>-0.1285408187198006</x:v>
      </x:c>
      <x:c r="L51" s="25" t="n">
        <x:f>'情景快照'!H310</x:f>
        <x:v>-0.6386600088798372</x:v>
      </x:c>
      <x:c r="M51" s="11" t="str">
        <x:v>仅当前完成模型样本</x:v>
      </x:c>
      <x:c r="N51" t="str">
        <x:f>IF(COUNTIF($O$7:$O$58,"排名待刷新")=0,"已刷新","排名待刷新")</x:f>
        <x:v>排名待刷新</x:v>
      </x:c>
      <x:c r="O51" t="str">
        <x:f>IF(AND(F51=57.6,K51=-0.12854081871980105,L51=-0.6386600088798372,'情景快照'!T311="已刷新",'情景快照'!T310="已刷新"),"已刷新","排名待刷新")</x:f>
        <x:v>已刷新</x:v>
      </x:c>
    </x:row>
    <x:row r="52" ht="23" customHeight="1">
      <x:c r="A52" s="11" t="str">
        <x:v>半年</x:v>
      </x:c>
      <x:c r="B52" s="11" t="n">
        <x:v>46</x:v>
      </x:c>
      <x:c r="C52" s="11" t="str">
        <x:v>快手-W</x:v>
      </x:c>
      <x:c r="D52" s="11" t="str">
        <x:v>01024.HK</x:v>
      </x:c>
      <x:c r="E52" s="11" t="str">
        <x:v>I080</x:v>
      </x:c>
      <x:c r="F52" s="11" t="n">
        <x:f>'评分'!J119</x:f>
        <x:v>57.4</x:v>
      </x:c>
      <x:c r="G52" s="11" t="str">
        <x:v>第6梯队</x:v>
      </x:c>
      <x:c r="H52" s="11" t="str">
        <x:v>同公司其他代码</x:v>
      </x:c>
      <x:c r="I52" s="11" t="n">
        <x:f>'情景快照'!E431</x:f>
        <x:v>30.1</x:v>
      </x:c>
      <x:c r="J52" s="11" t="n">
        <x:f>'情景快照'!F431</x:f>
        <x:v>48.33</x:v>
      </x:c>
      <x:c r="K52" s="25" t="n">
        <x:f>'情景快照'!I431</x:f>
        <x:v>0.6056478405315613</x:v>
      </x:c>
      <x:c r="L52" s="25" t="n">
        <x:f>'情景快照'!H430</x:f>
        <x:v>-0.5398671096345515</x:v>
      </x:c>
      <x:c r="M52" s="11" t="str">
        <x:v>仅当前完成模型样本</x:v>
      </x:c>
      <x:c r="N52" t="str">
        <x:f>IF(COUNTIF($O$7:$O$58,"排名待刷新")=0,"已刷新","排名待刷新")</x:f>
        <x:v>排名待刷新</x:v>
      </x:c>
      <x:c r="O52" t="str">
        <x:f>IF(AND(F52=57.4,K52=0.6056478405315613,L52=-0.5398671096345515,'情景快照'!T431="已刷新",'情景快照'!T430="已刷新"),"已刷新","排名待刷新")</x:f>
        <x:v>已刷新</x:v>
      </x:c>
    </x:row>
    <x:row r="53" ht="23" customHeight="1">
      <x:c r="A53" s="11" t="str">
        <x:v>半年</x:v>
      </x:c>
      <x:c r="B53" s="11" t="n">
        <x:v>47</x:v>
      </x:c>
      <x:c r="C53" s="11" t="str">
        <x:v>中芯国际</x:v>
      </x:c>
      <x:c r="D53" s="11" t="str">
        <x:v>00981.HK</x:v>
      </x:c>
      <x:c r="E53" s="11" t="str">
        <x:v>I092</x:v>
      </x:c>
      <x:c r="F53" s="11" t="n">
        <x:f>'评分'!J183</x:f>
        <x:v>55.8</x:v>
      </x:c>
      <x:c r="G53" s="11" t="str">
        <x:v>第7梯队</x:v>
      </x:c>
      <x:c r="H53" s="11" t="str">
        <x:v>同公司其他代码</x:v>
      </x:c>
      <x:c r="I53" s="11" t="n">
        <x:f>'情景快照'!E671</x:f>
        <x:v>57.65</x:v>
      </x:c>
      <x:c r="J53" s="11" t="n">
        <x:f>'情景快照'!F671</x:f>
        <x:v>75.25</x:v>
      </x:c>
      <x:c r="K53" s="25" t="n">
        <x:f>'情景快照'!I671</x:f>
        <x:v>0.30529054640069386</x:v>
      </x:c>
      <x:c r="L53" s="25" t="n">
        <x:f>'情景快照'!H670</x:f>
        <x:v>-0.7484822202948829</x:v>
      </x:c>
      <x:c r="M53" s="11" t="str">
        <x:v>仅当前完成模型样本</x:v>
      </x:c>
      <x:c r="N53" t="str">
        <x:f>IF(COUNTIF($O$7:$O$58,"排名待刷新")=0,"已刷新","排名待刷新")</x:f>
        <x:v>排名待刷新</x:v>
      </x:c>
      <x:c r="O53" t="str">
        <x:f>IF(AND(F53=55.800000000000004,K53=0.30529054640069386,L53=-0.7484822202948829,'情景快照'!T671="已刷新",'情景快照'!T670="已刷新"),"已刷新","排名待刷新")</x:f>
        <x:v>已刷新</x:v>
      </x:c>
    </x:row>
    <x:row r="54" ht="23" customHeight="1">
      <x:c r="A54" s="11" t="str">
        <x:v>半年</x:v>
      </x:c>
      <x:c r="B54" s="11" t="n">
        <x:v>48</x:v>
      </x:c>
      <x:c r="C54" s="11" t="str">
        <x:v>康诺亚-B</x:v>
      </x:c>
      <x:c r="D54" s="11" t="str">
        <x:v>02162.HK</x:v>
      </x:c>
      <x:c r="E54" s="11" t="str">
        <x:v>I047</x:v>
      </x:c>
      <x:c r="F54" s="11" t="n">
        <x:f>'评分'!J111</x:f>
        <x:v>55.4</x:v>
      </x:c>
      <x:c r="G54" s="11" t="str">
        <x:v>第7梯队</x:v>
      </x:c>
      <x:c r="H54" s="11" t="str">
        <x:v>同公司其他代码</x:v>
      </x:c>
      <x:c r="I54" s="11" t="n">
        <x:f>'情景快照'!E401</x:f>
        <x:v>78.3</x:v>
      </x:c>
      <x:c r="J54" s="11" t="n">
        <x:f>'情景快照'!F401</x:f>
        <x:v>75.03867069997371</x:v>
      </x:c>
      <x:c r="K54" s="25" t="n">
        <x:f>'情景快照'!I401</x:f>
        <x:v>-0.04165171519829236</x:v>
      </x:c>
      <x:c r="L54" s="25" t="n">
        <x:f>'情景快照'!H400</x:f>
        <x:v>-0.580584420442182</x:v>
      </x:c>
      <x:c r="M54" s="11" t="str">
        <x:v>仅当前完成模型样本</x:v>
      </x:c>
      <x:c r="N54" t="str">
        <x:f>IF(COUNTIF($O$7:$O$58,"排名待刷新")=0,"已刷新","排名待刷新")</x:f>
        <x:v>排名待刷新</x:v>
      </x:c>
      <x:c r="O54" t="str">
        <x:f>IF(AND(F54=55.400000000000006,K54=-0.04165171519829236,L54=-0.5805844204421821,'情景快照'!T401="已刷新",'情景快照'!T400="已刷新"),"已刷新","排名待刷新")</x:f>
        <x:v>排名待刷新</x:v>
      </x:c>
    </x:row>
    <x:row r="55" ht="23" customHeight="1">
      <x:c r="A55" s="11" t="str">
        <x:v>半年</x:v>
      </x:c>
      <x:c r="B55" s="11" t="n">
        <x:v>49</x:v>
      </x:c>
      <x:c r="C55" s="11" t="str">
        <x:v>百度集团-W</x:v>
      </x:c>
      <x:c r="D55" s="11" t="str">
        <x:v>09888.HK</x:v>
      </x:c>
      <x:c r="E55" s="11" t="str">
        <x:v>I066</x:v>
      </x:c>
      <x:c r="F55" s="11" t="n">
        <x:f>'评分'!J27</x:f>
        <x:v>50</x:v>
      </x:c>
      <x:c r="G55" s="11" t="str">
        <x:v>第8梯队</x:v>
      </x:c>
      <x:c r="H55" s="11" t="str">
        <x:v>同公司其他代码</x:v>
      </x:c>
      <x:c r="I55" s="11" t="n">
        <x:f>'情景快照'!E86</x:f>
        <x:v>83</x:v>
      </x:c>
      <x:c r="J55" s="11" t="n">
        <x:f>'情景快照'!F86</x:f>
        <x:v>107.54</x:v>
      </x:c>
      <x:c r="K55" s="25" t="n">
        <x:f>'情景快照'!I86</x:f>
        <x:v>0.2956626506024098</x:v>
      </x:c>
      <x:c r="L55" s="25" t="n">
        <x:f>'情景快照'!H85</x:f>
        <x:v>-0.7131325301204819</x:v>
      </x:c>
      <x:c r="M55" s="11" t="str">
        <x:v>仅当前完成模型样本</x:v>
      </x:c>
      <x:c r="N55" t="str">
        <x:f>IF(COUNTIF($O$7:$O$58,"排名待刷新")=0,"已刷新","排名待刷新")</x:f>
        <x:v>排名待刷新</x:v>
      </x:c>
      <x:c r="O55" t="str">
        <x:f>IF(AND(F55=50,K55=0.2956626506024098,L55=-0.7131325301204819,'情景快照'!T86="已刷新",'情景快照'!T85="已刷新"),"已刷新","排名待刷新")</x:f>
        <x:v>已刷新</x:v>
      </x:c>
    </x:row>
    <x:row r="56" ht="23" customHeight="1">
      <x:c r="A56" s="11" t="str">
        <x:v>半年</x:v>
      </x:c>
      <x:c r="B56" s="11" t="n">
        <x:v>50</x:v>
      </x:c>
      <x:c r="C56" s="11" t="str">
        <x:v>益方生物</x:v>
      </x:c>
      <x:c r="D56" s="11" t="str">
        <x:v>688382.SH</x:v>
      </x:c>
      <x:c r="E56" s="11" t="str">
        <x:v>I004</x:v>
      </x:c>
      <x:c r="F56" s="11" t="n">
        <x:f>'评分'!J95</x:f>
        <x:v>47.9</x:v>
      </x:c>
      <x:c r="G56" s="11" t="str">
        <x:v>第8梯队</x:v>
      </x:c>
      <x:c r="H56" s="11" t="str">
        <x:v>同公司其他代码</x:v>
      </x:c>
      <x:c r="I56" s="11" t="n">
        <x:f>'情景快照'!E341</x:f>
        <x:v>17.26</x:v>
      </x:c>
      <x:c r="J56" s="11" t="n">
        <x:f>'情景快照'!F341</x:f>
        <x:v>10.823948226264573</x:v>
      </x:c>
      <x:c r="K56" s="25" t="n">
        <x:f>'情景快照'!I341</x:f>
        <x:v>-0.3728882835304419</x:v>
      </x:c>
      <x:c r="L56" s="25" t="n">
        <x:f>'情景快照'!H340</x:f>
        <x:v>-0.65</x:v>
      </x:c>
      <x:c r="M56" s="11" t="str">
        <x:v>仅当前完成模型样本</x:v>
      </x:c>
      <x:c r="N56" t="str">
        <x:f>IF(COUNTIF($O$7:$O$58,"排名待刷新")=0,"已刷新","排名待刷新")</x:f>
        <x:v>排名待刷新</x:v>
      </x:c>
      <x:c r="O56" t="str">
        <x:f>IF(AND(F56=47.900000000000006,K56=-0.3728882835304421,L56=-0.65,'情景快照'!T341="已刷新",'情景快照'!T340="已刷新"),"已刷新","排名待刷新")</x:f>
        <x:v>已刷新</x:v>
      </x:c>
    </x:row>
    <x:row r="57" ht="23" customHeight="1">
      <x:c r="A57" s="11" t="str">
        <x:v>半年</x:v>
      </x:c>
      <x:c r="B57" s="11" t="n">
        <x:v>51</x:v>
      </x:c>
      <x:c r="C57" s="11" t="str">
        <x:v>荣昌生物</x:v>
      </x:c>
      <x:c r="D57" s="11" t="str">
        <x:v>09995.HK</x:v>
      </x:c>
      <x:c r="E57" s="11" t="str">
        <x:v>I051</x:v>
      </x:c>
      <x:c r="F57" s="11" t="n">
        <x:f>'评分'!J167</x:f>
        <x:v>45.6</x:v>
      </x:c>
      <x:c r="G57" s="11" t="str">
        <x:v>第9梯队</x:v>
      </x:c>
      <x:c r="H57" s="11" t="str">
        <x:v>同公司其他代码</x:v>
      </x:c>
      <x:c r="I57" s="11" t="n">
        <x:f>'情景快照'!E611</x:f>
        <x:v>70.4</x:v>
      </x:c>
      <x:c r="J57" s="11" t="n">
        <x:f>'情景快照'!F611</x:f>
        <x:v>69.6273518249348</x:v>
      </x:c>
      <x:c r="K57" s="25" t="n">
        <x:f>'情景快照'!I611</x:f>
        <x:v>-0.010975116123085216</x:v>
      </x:c>
      <x:c r="L57" s="25" t="n">
        <x:f>'情景快照'!H610</x:f>
        <x:v>-0.6074463680091391</x:v>
      </x:c>
      <x:c r="M57" s="11" t="str">
        <x:v>仅当前完成模型样本</x:v>
      </x:c>
      <x:c r="N57" t="str">
        <x:f>IF(COUNTIF($O$7:$O$58,"排名待刷新")=0,"已刷新","排名待刷新")</x:f>
        <x:v>排名待刷新</x:v>
      </x:c>
      <x:c r="O57" t="str">
        <x:f>IF(AND(F57=45.6,K57=-0.010975116123084994,L57=-0.6074463680091391,'情景快照'!T611="已刷新",'情景快照'!T610="已刷新"),"已刷新","排名待刷新")</x:f>
        <x:v>排名待刷新</x:v>
      </x:c>
    </x:row>
    <x:row r="58" ht="23" customHeight="1">
      <x:c r="A58" s="11" t="str">
        <x:v>半年</x:v>
      </x:c>
      <x:c r="B58" s="11" t="n">
        <x:v>52</x:v>
      </x:c>
      <x:c r="C58" s="11" t="str">
        <x:v>迈威生物</x:v>
      </x:c>
      <x:c r="D58" s="11" t="str">
        <x:v>688062.SH</x:v>
      </x:c>
      <x:c r="E58" s="11" t="str">
        <x:v>I002</x:v>
      </x:c>
      <x:c r="F58" s="11" t="n">
        <x:f>'评分'!J131</x:f>
        <x:v>43.7</x:v>
      </x:c>
      <x:c r="G58" s="11" t="str">
        <x:v>第9梯队</x:v>
      </x:c>
      <x:c r="H58" s="11" t="str">
        <x:v>同公司其他代码</x:v>
      </x:c>
      <x:c r="I58" s="11" t="n">
        <x:f>'情景快照'!E476</x:f>
        <x:v>24.78</x:v>
      </x:c>
      <x:c r="J58" s="11" t="n">
        <x:f>'情景快照'!F476</x:f>
        <x:v>12.82504902841254</x:v>
      </x:c>
      <x:c r="K58" s="25" t="n">
        <x:f>'情景快照'!I476</x:f>
        <x:v>-0.48244354203339224</x:v>
      </x:c>
      <x:c r="L58" s="25" t="n">
        <x:f>'情景快照'!H475</x:f>
        <x:v>-0.6500000000000001</x:v>
      </x:c>
      <x:c r="M58" s="11" t="str">
        <x:v>仅当前完成模型样本</x:v>
      </x:c>
      <x:c r="N58" t="str">
        <x:f>IF(COUNTIF($O$7:$O$58,"排名待刷新")=0,"已刷新","排名待刷新")</x:f>
        <x:v>排名待刷新</x:v>
      </x:c>
      <x:c r="O58" t="str">
        <x:f>IF(AND(F58=43.7,K58=-0.48244354203339246,L58=-0.65,'情景快照'!T476="已刷新",'情景快照'!T475="已刷新"),"已刷新","排名待刷新")</x:f>
        <x:v>已刷新</x:v>
      </x:c>
    </x:row>
    <x:row r="59" ht="23" customHeight="1">
      <x:c r="A59" s="11" t="str">
        <x:v>一年</x:v>
      </x:c>
      <x:c r="B59" s="11" t="n">
        <x:v>1</x:v>
      </x:c>
      <x:c r="C59" s="11" t="str">
        <x:v>百济神州</x:v>
      </x:c>
      <x:c r="D59" s="11" t="str">
        <x:v>06160.HK</x:v>
      </x:c>
      <x:c r="E59" s="11" t="str">
        <x:v>I012</x:v>
      </x:c>
      <x:c r="F59" s="11" t="n">
        <x:f>'评分'!J36</x:f>
        <x:v>84.8</x:v>
      </x:c>
      <x:c r="G59" s="11" t="str">
        <x:v>第1梯队</x:v>
      </x:c>
      <x:c r="H59" s="11" t="str">
        <x:v>前十不同公司</x:v>
      </x:c>
      <x:c r="I59" s="11" t="n">
        <x:f>'情景快照'!E119</x:f>
        <x:v>209.6</x:v>
      </x:c>
      <x:c r="J59" s="11" t="n">
        <x:f>'情景快照'!F119</x:f>
        <x:v>393.05564999999984</x:v>
      </x:c>
      <x:c r="K59" s="25" t="n">
        <x:f>'情景快照'!I119</x:f>
        <x:v>0.8752655057251901</x:v>
      </x:c>
      <x:c r="L59" s="25" t="n">
        <x:f>'情景快照'!H118</x:f>
        <x:v>-0.745362913486005</x:v>
      </x:c>
      <x:c r="M59" s="11" t="str">
        <x:v>仅当前完成模型样本</x:v>
      </x:c>
      <x:c r="N59" t="str">
        <x:f>IF(COUNTIF($O$59:$O$110,"排名待刷新")=0,"已刷新","排名待刷新")</x:f>
        <x:v>排名待刷新</x:v>
      </x:c>
      <x:c r="O59" t="str">
        <x:f>IF(AND(F59=84.79999999999998,K59=0.8752655057251901,L59=-0.745362913486005,'情景快照'!T119="已刷新",'情景快照'!T118="已刷新"),"已刷新","排名待刷新")</x:f>
        <x:v>排名待刷新</x:v>
      </x:c>
    </x:row>
    <x:row r="60" ht="23" customHeight="1">
      <x:c r="A60" s="11" t="str">
        <x:v>一年</x:v>
      </x:c>
      <x:c r="B60" s="11" t="n">
        <x:v>2</x:v>
      </x:c>
      <x:c r="C60" s="11" t="str">
        <x:v>药明康德</x:v>
      </x:c>
      <x:c r="D60" s="11" t="str">
        <x:v>603259.SH</x:v>
      </x:c>
      <x:c r="E60" s="11" t="str">
        <x:v>I010</x:v>
      </x:c>
      <x:c r="F60" s="11" t="n">
        <x:f>'评分'!J196</x:f>
        <x:v>81.6</x:v>
      </x:c>
      <x:c r="G60" s="11" t="str">
        <x:v>第2梯队</x:v>
      </x:c>
      <x:c r="H60" s="11" t="str">
        <x:v>前十不同公司</x:v>
      </x:c>
      <x:c r="I60" s="11" t="n">
        <x:f>'情景快照'!E719</x:f>
        <x:v>157.8</x:v>
      </x:c>
      <x:c r="J60" s="11" t="n">
        <x:f>'情景快照'!F719</x:f>
        <x:v>218.5</x:v>
      </x:c>
      <x:c r="K60" s="25" t="n">
        <x:f>'情景快照'!I719</x:f>
        <x:v>0.39607097591888474</x:v>
      </x:c>
      <x:c r="L60" s="25" t="n">
        <x:f>'情景快照'!H718</x:f>
        <x:v>-0.24588086185044367</x:v>
      </x:c>
      <x:c r="M60" s="11" t="str">
        <x:v>仅当前完成模型样本</x:v>
      </x:c>
      <x:c r="N60" t="str">
        <x:f>IF(COUNTIF($O$59:$O$110,"排名待刷新")=0,"已刷新","排名待刷新")</x:f>
        <x:v>排名待刷新</x:v>
      </x:c>
      <x:c r="O60" t="str">
        <x:f>IF(AND(F60=81.6,K60=0.39607097591888474,L60=-0.24588086185044367,'情景快照'!T719="已刷新",'情景快照'!T718="已刷新"),"已刷新","排名待刷新")</x:f>
        <x:v>已刷新</x:v>
      </x:c>
    </x:row>
    <x:row r="61" ht="23" customHeight="1">
      <x:c r="A61" s="11" t="str">
        <x:v>一年</x:v>
      </x:c>
      <x:c r="B61" s="11" t="n">
        <x:v>3</x:v>
      </x:c>
      <x:c r="C61" s="11" t="str">
        <x:v>药明合联</x:v>
      </x:c>
      <x:c r="D61" s="11" t="str">
        <x:v>02268.HK</x:v>
      </x:c>
      <x:c r="E61" s="11" t="str">
        <x:v>I049</x:v>
      </x:c>
      <x:c r="F61" s="11" t="n">
        <x:f>'评分'!J208</x:f>
        <x:v>80.2</x:v>
      </x:c>
      <x:c r="G61" s="11" t="str">
        <x:v>第2梯队</x:v>
      </x:c>
      <x:c r="H61" s="11" t="str">
        <x:v>前十不同公司</x:v>
      </x:c>
      <x:c r="I61" s="11" t="n">
        <x:f>'情景快照'!E764</x:f>
        <x:v>82.1</x:v>
      </x:c>
      <x:c r="J61" s="11" t="n">
        <x:f>'情景快照'!F764</x:f>
        <x:v>110.33000000000001</x:v>
      </x:c>
      <x:c r="K61" s="25" t="n">
        <x:f>'情景快照'!I764</x:f>
        <x:v>0.34384896467722315</x:v>
      </x:c>
      <x:c r="L61" s="25" t="n">
        <x:f>'情景快照'!H763</x:f>
        <x:v>-0.32472594397076704</x:v>
      </x:c>
      <x:c r="M61" s="11" t="str">
        <x:v>仅当前完成模型样本</x:v>
      </x:c>
      <x:c r="N61" t="str">
        <x:f>IF(COUNTIF($O$59:$O$110,"排名待刷新")=0,"已刷新","排名待刷新")</x:f>
        <x:v>排名待刷新</x:v>
      </x:c>
      <x:c r="O61" t="str">
        <x:f>IF(AND(F61=80.2,K61=0.34384896467722337,L61=-0.32472594397076715,'情景快照'!T764="已刷新",'情景快照'!T763="已刷新"),"已刷新","排名待刷新")</x:f>
        <x:v>已刷新</x:v>
      </x:c>
    </x:row>
    <x:row r="62" ht="23" customHeight="1">
      <x:c r="A62" s="11" t="str">
        <x:v>一年</x:v>
      </x:c>
      <x:c r="B62" s="11" t="n">
        <x:v>4</x:v>
      </x:c>
      <x:c r="C62" s="11" t="str">
        <x:v>信达生物</x:v>
      </x:c>
      <x:c r="D62" s="11" t="str">
        <x:v>01801.HK</x:v>
      </x:c>
      <x:c r="E62" s="11" t="str">
        <x:v>I048</x:v>
      </x:c>
      <x:c r="F62" s="11" t="n">
        <x:f>'评分'!J92</x:f>
        <x:v>79.6</x:v>
      </x:c>
      <x:c r="G62" s="11" t="str">
        <x:v>第2梯队</x:v>
      </x:c>
      <x:c r="H62" s="11" t="str">
        <x:v>前十不同公司</x:v>
      </x:c>
      <x:c r="I62" s="11" t="n">
        <x:f>'情景快照'!E329</x:f>
        <x:v>92.65</x:v>
      </x:c>
      <x:c r="J62" s="11" t="n">
        <x:f>'情景快照'!F329</x:f>
        <x:v>139.81</x:v>
      </x:c>
      <x:c r="K62" s="25" t="n">
        <x:f>'情景快照'!I329</x:f>
        <x:v>0.5090124123043713</x:v>
      </x:c>
      <x:c r="L62" s="25" t="n">
        <x:f>'情景快照'!H328</x:f>
        <x:v>-0.39924446842957373</x:v>
      </x:c>
      <x:c r="M62" s="11" t="str">
        <x:v>仅当前完成模型样本</x:v>
      </x:c>
      <x:c r="N62" t="str">
        <x:f>IF(COUNTIF($O$59:$O$110,"排名待刷新")=0,"已刷新","排名待刷新")</x:f>
        <x:v>排名待刷新</x:v>
      </x:c>
      <x:c r="O62" t="str">
        <x:f>IF(AND(F62=79.6,K62=0.5090124123043713,L62=-0.39924446842957373,'情景快照'!T329="已刷新",'情景快照'!T328="已刷新"),"已刷新","排名待刷新")</x:f>
        <x:v>已刷新</x:v>
      </x:c>
    </x:row>
    <x:row r="63" ht="23" customHeight="1">
      <x:c r="A63" s="11" t="str">
        <x:v>一年</x:v>
      </x:c>
      <x:c r="B63" s="11" t="n">
        <x:v>5</x:v>
      </x:c>
      <x:c r="C63" s="11" t="str">
        <x:v>药明康德</x:v>
      </x:c>
      <x:c r="D63" s="11" t="str">
        <x:v>02359.HK</x:v>
      </x:c>
      <x:c r="E63" s="11" t="str">
        <x:v>I010</x:v>
      </x:c>
      <x:c r="F63" s="11" t="n">
        <x:f>'评分'!J200</x:f>
        <x:v>79.3</x:v>
      </x:c>
      <x:c r="G63" s="11" t="str">
        <x:v>第2梯队</x:v>
      </x:c>
      <x:c r="H63" s="11" t="str">
        <x:v>同公司其他代码</x:v>
      </x:c>
      <x:c r="I63" s="11" t="n">
        <x:f>'情景快照'!E734</x:f>
        <x:v>208</x:v>
      </x:c>
      <x:c r="J63" s="11" t="n">
        <x:f>'情景快照'!F734</x:f>
        <x:v>261.25</x:v>
      </x:c>
      <x:c r="K63" s="25" t="n">
        <x:f>'情景快照'!I734</x:f>
        <x:v>0.2655288461538463</x:v>
      </x:c>
      <x:c r="L63" s="25" t="n">
        <x:f>'情景快照'!H733</x:f>
        <x:v>-0.3336538461538461</x:v>
      </x:c>
      <x:c r="M63" s="11" t="str">
        <x:v>仅当前完成模型样本</x:v>
      </x:c>
      <x:c r="N63" t="str">
        <x:f>IF(COUNTIF($O$59:$O$110,"排名待刷新")=0,"已刷新","排名待刷新")</x:f>
        <x:v>排名待刷新</x:v>
      </x:c>
      <x:c r="O63" t="str">
        <x:f>IF(AND(F63=79.3,K63=0.2655288461538463,L63=-0.3336538461538461,'情景快照'!T734="已刷新",'情景快照'!T733="已刷新"),"已刷新","排名待刷新")</x:f>
        <x:v>已刷新</x:v>
      </x:c>
    </x:row>
    <x:row r="64" ht="23" customHeight="1">
      <x:c r="A64" s="11" t="str">
        <x:v>一年</x:v>
      </x:c>
      <x:c r="B64" s="11" t="n">
        <x:v>6</x:v>
      </x:c>
      <x:c r="C64" s="11" t="str">
        <x:v>网易</x:v>
      </x:c>
      <x:c r="D64" s="11" t="str">
        <x:v>09999.HK</x:v>
      </x:c>
      <x:c r="E64" s="11" t="str">
        <x:v>I064</x:v>
      </x:c>
      <x:c r="F64" s="11" t="n">
        <x:f>'评分'!J152</x:f>
        <x:v>78</x:v>
      </x:c>
      <x:c r="G64" s="11" t="str">
        <x:v>第3梯队</x:v>
      </x:c>
      <x:c r="H64" s="11" t="str">
        <x:v>前十不同公司</x:v>
      </x:c>
      <x:c r="I64" s="11" t="n">
        <x:f>'情景快照'!E554</x:f>
        <x:v>193.5</x:v>
      </x:c>
      <x:c r="J64" s="11" t="n">
        <x:f>'情景快照'!F554</x:f>
        <x:v>257.40000000000003</x:v>
      </x:c>
      <x:c r="K64" s="25" t="n">
        <x:f>'情景快照'!I554</x:f>
        <x:v>0.3509043927648581</x:v>
      </x:c>
      <x:c r="L64" s="25" t="n">
        <x:f>'情景快照'!H553</x:f>
        <x:v>-0.24961240310077515</x:v>
      </x:c>
      <x:c r="M64" s="11" t="str">
        <x:v>仅当前完成模型样本</x:v>
      </x:c>
      <x:c r="N64" t="str">
        <x:f>IF(COUNTIF($O$59:$O$110,"排名待刷新")=0,"已刷新","排名待刷新")</x:f>
        <x:v>排名待刷新</x:v>
      </x:c>
      <x:c r="O64" t="str">
        <x:f>IF(AND(F64=78,K64=0.35090439276485785,L64=-0.24961240310077526,'情景快照'!T554="已刷新",'情景快照'!T553="已刷新"),"已刷新","排名待刷新")</x:f>
        <x:v>已刷新</x:v>
      </x:c>
    </x:row>
    <x:row r="65" ht="23" customHeight="1">
      <x:c r="A65" s="11" t="str">
        <x:v>一年</x:v>
      </x:c>
      <x:c r="B65" s="11" t="n">
        <x:v>7</x:v>
      </x:c>
      <x:c r="C65" s="11" t="str">
        <x:v>百济神州</x:v>
      </x:c>
      <x:c r="D65" s="11" t="str">
        <x:v>688235.SH</x:v>
      </x:c>
      <x:c r="E65" s="11" t="str">
        <x:v>I012</x:v>
      </x:c>
      <x:c r="F65" s="11" t="n">
        <x:f>'评分'!J32</x:f>
        <x:v>78</x:v>
      </x:c>
      <x:c r="G65" s="11" t="str">
        <x:v>第3梯队</x:v>
      </x:c>
      <x:c r="H65" s="11" t="str">
        <x:v>同公司其他代码</x:v>
      </x:c>
      <x:c r="I65" s="11" t="n">
        <x:f>'情景快照'!E104</x:f>
        <x:v>249.42</x:v>
      </x:c>
      <x:c r="J65" s="11" t="n">
        <x:f>'情景快照'!F104</x:f>
        <x:v>410.9218159090907</x:v>
      </x:c>
      <x:c r="K65" s="25" t="n">
        <x:f>'情景快照'!I104</x:f>
        <x:v>0.6475094856430548</x:v>
      </x:c>
      <x:c r="L65" s="25" t="n">
        <x:f>'情景快照'!H103</x:f>
        <x:v>-0.7957423768597691</x:v>
      </x:c>
      <x:c r="M65" s="11" t="str">
        <x:v>仅当前完成模型样本</x:v>
      </x:c>
      <x:c r="N65" t="str">
        <x:f>IF(COUNTIF($O$59:$O$110,"排名待刷新")=0,"已刷新","排名待刷新")</x:f>
        <x:v>排名待刷新</x:v>
      </x:c>
      <x:c r="O65" t="str">
        <x:f>IF(AND(F65=77.99999999999999,K65=0.647509485643055,L65=-0.7957423768597691,'情景快照'!T104="已刷新",'情景快照'!T103="已刷新"),"已刷新","排名待刷新")</x:f>
        <x:v>排名待刷新</x:v>
      </x:c>
    </x:row>
    <x:row r="66" ht="23" customHeight="1">
      <x:c r="A66" s="11" t="str">
        <x:v>一年</x:v>
      </x:c>
      <x:c r="B66" s="11" t="n">
        <x:v>8</x:v>
      </x:c>
      <x:c r="C66" s="11" t="str">
        <x:v>恒瑞医药</x:v>
      </x:c>
      <x:c r="D66" s="11" t="str">
        <x:v>01276.HK</x:v>
      </x:c>
      <x:c r="E66" s="11" t="str">
        <x:v>I011</x:v>
      </x:c>
      <x:c r="F66" s="11" t="n">
        <x:f>'评分'!J84</x:f>
        <x:v>77.8</x:v>
      </x:c>
      <x:c r="G66" s="11" t="str">
        <x:v>第3梯队</x:v>
      </x:c>
      <x:c r="H66" s="11" t="str">
        <x:v>前十不同公司</x:v>
      </x:c>
      <x:c r="I66" s="11" t="n">
        <x:f>'情景快照'!E299</x:f>
        <x:v>48</x:v>
      </x:c>
      <x:c r="J66" s="11" t="n">
        <x:f>'情景快照'!F299</x:f>
        <x:v>69.30000000000001</x:v>
      </x:c>
      <x:c r="K66" s="25" t="n">
        <x:f>'情景快照'!I299</x:f>
        <x:v>0.4494791666666671</x:v>
      </x:c>
      <x:c r="L66" s="25" t="n">
        <x:f>'情景快照'!H298</x:f>
        <x:v>-0.36979166666666663</x:v>
      </x:c>
      <x:c r="M66" s="11" t="str">
        <x:v>仅当前完成模型样本</x:v>
      </x:c>
      <x:c r="N66" t="str">
        <x:f>IF(COUNTIF($O$59:$O$110,"排名待刷新")=0,"已刷新","排名待刷新")</x:f>
        <x:v>排名待刷新</x:v>
      </x:c>
      <x:c r="O66" t="str">
        <x:f>IF(AND(F66=77.79999999999998,K66=0.4494791666666671,L66=-0.36979166666666663,'情景快照'!T299="已刷新",'情景快照'!T298="已刷新"),"已刷新","排名待刷新")</x:f>
        <x:v>已刷新</x:v>
      </x:c>
    </x:row>
    <x:row r="67" ht="23" customHeight="1">
      <x:c r="A67" s="11" t="str">
        <x:v>一年</x:v>
      </x:c>
      <x:c r="B67" s="11" t="n">
        <x:v>9</x:v>
      </x:c>
      <x:c r="C67" s="11" t="str">
        <x:v>京东健康</x:v>
      </x:c>
      <x:c r="D67" s="11" t="str">
        <x:v>06618.HK</x:v>
      </x:c>
      <x:c r="E67" s="11" t="str">
        <x:v>I074</x:v>
      </x:c>
      <x:c r="F67" s="11" t="n">
        <x:f>'评分'!J100</x:f>
        <x:v>77.2</x:v>
      </x:c>
      <x:c r="G67" s="11" t="str">
        <x:v>第3梯队</x:v>
      </x:c>
      <x:c r="H67" s="11" t="str">
        <x:v>前十不同公司</x:v>
      </x:c>
      <x:c r="I67" s="11" t="n">
        <x:f>'情景快照'!E359</x:f>
        <x:v>36.08</x:v>
      </x:c>
      <x:c r="J67" s="11" t="n">
        <x:f>'情景快照'!F359</x:f>
        <x:v>61.04</x:v>
      </x:c>
      <x:c r="K67" s="25" t="n">
        <x:f>'情景快照'!I359</x:f>
        <x:v>0.6917960088691797</x:v>
      </x:c>
      <x:c r="L67" s="25" t="n">
        <x:f>'情景快照'!H358</x:f>
        <x:v>-0.6676829268292683</x:v>
      </x:c>
      <x:c r="M67" s="11" t="str">
        <x:v>仅当前完成模型样本</x:v>
      </x:c>
      <x:c r="N67" t="str">
        <x:f>IF(COUNTIF($O$59:$O$110,"排名待刷新")=0,"已刷新","排名待刷新")</x:f>
        <x:v>排名待刷新</x:v>
      </x:c>
      <x:c r="O67" t="str">
        <x:f>IF(AND(F67=77.19999999999999,K67=0.6917960088691797,L67=-0.6676829268292683,'情景快照'!T359="已刷新",'情景快照'!T358="已刷新"),"已刷新","排名待刷新")</x:f>
        <x:v>已刷新</x:v>
      </x:c>
    </x:row>
    <x:row r="68" ht="23" customHeight="1">
      <x:c r="A68" s="11" t="str">
        <x:v>一年</x:v>
      </x:c>
      <x:c r="B68" s="11" t="n">
        <x:v>10</x:v>
      </x:c>
      <x:c r="C68" s="11" t="str">
        <x:v>凯莱英</x:v>
      </x:c>
      <x:c r="D68" s="11" t="str">
        <x:v>06821.HK</x:v>
      </x:c>
      <x:c r="E68" s="11" t="str">
        <x:v>I006</x:v>
      </x:c>
      <x:c r="F68" s="11" t="n">
        <x:f>'评分'!J24</x:f>
        <x:v>77.2</x:v>
      </x:c>
      <x:c r="G68" s="11" t="str">
        <x:v>第3梯队</x:v>
      </x:c>
      <x:c r="H68" s="11" t="str">
        <x:v>前十不同公司</x:v>
      </x:c>
      <x:c r="I68" s="11" t="n">
        <x:f>'情景快照'!E74</x:f>
        <x:v>155.1</x:v>
      </x:c>
      <x:c r="J68" s="11" t="n">
        <x:f>'情景快照'!F74</x:f>
        <x:v>205.70000000000002</x:v>
      </x:c>
      <x:c r="K68" s="25" t="n">
        <x:f>'情景快照'!I74</x:f>
        <x:v>0.3368794326241136</x:v>
      </x:c>
      <x:c r="L68" s="25" t="n">
        <x:f>'情景快照'!H73</x:f>
        <x:v>-0.5319148936170213</x:v>
      </x:c>
      <x:c r="M68" s="11" t="str">
        <x:v>仅当前完成模型样本</x:v>
      </x:c>
      <x:c r="N68" t="str">
        <x:f>IF(COUNTIF($O$59:$O$110,"排名待刷新")=0,"已刷新","排名待刷新")</x:f>
        <x:v>排名待刷新</x:v>
      </x:c>
      <x:c r="O68" t="str">
        <x:f>IF(AND(F68=77.19999999999999,K68=0.3368794326241136,L68=-0.5319148936170213,'情景快照'!T74="已刷新",'情景快照'!T73="已刷新"),"已刷新","排名待刷新")</x:f>
        <x:v>排名待刷新</x:v>
      </x:c>
    </x:row>
    <x:row r="69" ht="23" customHeight="1">
      <x:c r="A69" s="11" t="str">
        <x:v>一年</x:v>
      </x:c>
      <x:c r="B69" s="11" t="n">
        <x:v>11</x:v>
      </x:c>
      <x:c r="C69" s="11" t="str">
        <x:v>翰森制药</x:v>
      </x:c>
      <x:c r="D69" s="11" t="str">
        <x:v>03692.HK</x:v>
      </x:c>
      <x:c r="E69" s="11" t="str">
        <x:v>I029</x:v>
      </x:c>
      <x:c r="F69" s="11" t="n">
        <x:f>'评分'!J72</x:f>
        <x:v>77.1</x:v>
      </x:c>
      <x:c r="G69" s="11" t="str">
        <x:v>第3梯队</x:v>
      </x:c>
      <x:c r="H69" s="11" t="str">
        <x:v>前十不同公司</x:v>
      </x:c>
      <x:c r="I69" s="11" t="n">
        <x:f>'情景快照'!E254</x:f>
        <x:v>31.54</x:v>
      </x:c>
      <x:c r="J69" s="11" t="n">
        <x:f>'情景快照'!F254</x:f>
        <x:v>46.009615384615394</x:v>
      </x:c>
      <x:c r="K69" s="25" t="n">
        <x:f>'情景快照'!I254</x:f>
        <x:v>0.47620847763523755</x:v>
      </x:c>
      <x:c r="L69" s="25" t="n">
        <x:f>'情景快照'!H253</x:f>
        <x:v>-0.254576199534982</x:v>
      </x:c>
      <x:c r="M69" s="11" t="str">
        <x:v>仅当前完成模型样本</x:v>
      </x:c>
      <x:c r="N69" t="str">
        <x:f>IF(COUNTIF($O$59:$O$110,"排名待刷新")=0,"已刷新","排名待刷新")</x:f>
        <x:v>排名待刷新</x:v>
      </x:c>
      <x:c r="O69" t="str">
        <x:f>IF(AND(F69=77.1,K69=0.47620847763523755,L69=-0.254576199534982,'情景快照'!T254="已刷新",'情景快照'!T253="已刷新"),"已刷新","排名待刷新")</x:f>
        <x:v>已刷新</x:v>
      </x:c>
    </x:row>
    <x:row r="70" ht="23" customHeight="1">
      <x:c r="A70" s="11" t="str">
        <x:v>一年</x:v>
      </x:c>
      <x:c r="B70" s="11" t="n">
        <x:v>12</x:v>
      </x:c>
      <x:c r="C70" s="11" t="str">
        <x:v>中国生物制药</x:v>
      </x:c>
      <x:c r="D70" s="11" t="str">
        <x:v>01177.HK</x:v>
      </x:c>
      <x:c r="E70" s="11" t="str">
        <x:v>I031</x:v>
      </x:c>
      <x:c r="F70" s="11" t="n">
        <x:f>'评分'!J180</x:f>
        <x:v>76.5</x:v>
      </x:c>
      <x:c r="G70" s="11" t="str">
        <x:v>第3梯队</x:v>
      </x:c>
      <x:c r="H70" s="11" t="str">
        <x:v>前十不同公司</x:v>
      </x:c>
      <x:c r="I70" s="11" t="n">
        <x:f>'情景快照'!E659</x:f>
        <x:v>5.41</x:v>
      </x:c>
      <x:c r="J70" s="11" t="n">
        <x:f>'情景快照'!F659</x:f>
        <x:v>10.428956521739131</x:v>
      </x:c>
      <x:c r="K70" s="25" t="n">
        <x:f>'情景快照'!I659</x:f>
        <x:v>0.9535963995820946</x:v>
      </x:c>
      <x:c r="L70" s="25" t="n">
        <x:f>'情景快照'!H658</x:f>
        <x:v>-0.21347365492019965</x:v>
      </x:c>
      <x:c r="M70" s="11" t="str">
        <x:v>仅当前完成模型样本</x:v>
      </x:c>
      <x:c r="N70" t="str">
        <x:f>IF(COUNTIF($O$59:$O$110,"排名待刷新")=0,"已刷新","排名待刷新")</x:f>
        <x:v>排名待刷新</x:v>
      </x:c>
      <x:c r="O70" t="str">
        <x:f>IF(AND(F70=76.5,K70=0.9535963995820946,L70=-0.21347365492019965,'情景快照'!T659="已刷新",'情景快照'!T658="已刷新"),"已刷新","排名待刷新")</x:f>
        <x:v>已刷新</x:v>
      </x:c>
    </x:row>
    <x:row r="71" ht="23" customHeight="1">
      <x:c r="A71" s="11" t="str">
        <x:v>一年</x:v>
      </x:c>
      <x:c r="B71" s="11" t="n">
        <x:v>13</x:v>
      </x:c>
      <x:c r="C71" s="11" t="str">
        <x:v>康龙化成</x:v>
      </x:c>
      <x:c r="D71" s="11" t="str">
        <x:v>03759.HK</x:v>
      </x:c>
      <x:c r="E71" s="11" t="str">
        <x:v>I022</x:v>
      </x:c>
      <x:c r="F71" s="11" t="n">
        <x:f>'评分'!J156</x:f>
        <x:v>75.8</x:v>
      </x:c>
      <x:c r="G71" s="11" t="str">
        <x:v>第3梯队</x:v>
      </x:c>
      <x:c r="H71" s="11" t="str">
        <x:v>同公司其他代码</x:v>
      </x:c>
      <x:c r="I71" s="11" t="n">
        <x:f>'情景快照'!E569</x:f>
        <x:v>30.6</x:v>
      </x:c>
      <x:c r="J71" s="11" t="n">
        <x:f>'情景快照'!F569</x:f>
        <x:v>51.121621945886695</x:v>
      </x:c>
      <x:c r="K71" s="25" t="n">
        <x:f>'情景快照'!I569</x:f>
        <x:v>0.6792686910420489</x:v>
      </x:c>
      <x:c r="L71" s="25" t="n">
        <x:f>'情景快照'!H568</x:f>
        <x:v>-0.5487275541795662</x:v>
      </x:c>
      <x:c r="M71" s="11" t="str">
        <x:v>仅当前完成模型样本</x:v>
      </x:c>
      <x:c r="N71" t="str">
        <x:f>IF(COUNTIF($O$59:$O$110,"排名待刷新")=0,"已刷新","排名待刷新")</x:f>
        <x:v>排名待刷新</x:v>
      </x:c>
      <x:c r="O71" t="str">
        <x:f>IF(AND(F71=75.80000000000001,K71=0.6792686910420487,L71=-0.5487275541795665,'情景快照'!T569="已刷新",'情景快照'!T568="已刷新"),"已刷新","排名待刷新")</x:f>
        <x:v>排名待刷新</x:v>
      </x:c>
    </x:row>
    <x:row r="72" ht="23" customHeight="1">
      <x:c r="A72" s="11" t="str">
        <x:v>一年</x:v>
      </x:c>
      <x:c r="B72" s="11" t="n">
        <x:v>14</x:v>
      </x:c>
      <x:c r="C72" s="11" t="str">
        <x:v>美的集团</x:v>
      </x:c>
      <x:c r="D72" s="11" t="str">
        <x:v>00300.HK</x:v>
      </x:c>
      <x:c r="E72" s="11" t="str">
        <x:v>I082</x:v>
      </x:c>
      <x:c r="F72" s="11" t="n">
        <x:f>'评分'!J144</x:f>
        <x:v>75.7</x:v>
      </x:c>
      <x:c r="G72" s="11" t="str">
        <x:v>第3梯队</x:v>
      </x:c>
      <x:c r="H72" s="11" t="str">
        <x:v>同公司其他代码</x:v>
      </x:c>
      <x:c r="I72" s="11" t="n">
        <x:f>'情景快照'!E524</x:f>
        <x:v>93.65</x:v>
      </x:c>
      <x:c r="J72" s="11" t="n">
        <x:f>'情景快照'!F524</x:f>
        <x:v>131.88</x:v>
      </x:c>
      <x:c r="K72" s="25" t="n">
        <x:f>'情景快照'!I524</x:f>
        <x:v>0.46268019220501855</x:v>
      </x:c>
      <x:c r="L72" s="25" t="n">
        <x:f>'情景快照'!H523</x:f>
        <x:v>-0.4934329951948746</x:v>
      </x:c>
      <x:c r="M72" s="11" t="str">
        <x:v>仅当前完成模型样本</x:v>
      </x:c>
      <x:c r="N72" t="str">
        <x:f>IF(COUNTIF($O$59:$O$110,"排名待刷新")=0,"已刷新","排名待刷新")</x:f>
        <x:v>排名待刷新</x:v>
      </x:c>
      <x:c r="O72" t="str">
        <x:f>IF(AND(F72=75.7,K72=0.46268019220501855,L72=-0.4934329951948746,'情景快照'!T524="已刷新",'情景快照'!T523="已刷新"),"已刷新","排名待刷新")</x:f>
        <x:v>已刷新</x:v>
      </x:c>
    </x:row>
    <x:row r="73" ht="23" customHeight="1">
      <x:c r="A73" s="11" t="str">
        <x:v>一年</x:v>
      </x:c>
      <x:c r="B73" s="11" t="n">
        <x:v>15</x:v>
      </x:c>
      <x:c r="C73" s="11" t="str">
        <x:v>迈瑞医疗</x:v>
      </x:c>
      <x:c r="D73" s="11" t="str">
        <x:v>300760.SZ</x:v>
      </x:c>
      <x:c r="E73" s="11" t="str">
        <x:v>I014</x:v>
      </x:c>
      <x:c r="F73" s="11" t="n">
        <x:f>'评分'!J148</x:f>
        <x:v>75.6</x:v>
      </x:c>
      <x:c r="G73" s="11" t="str">
        <x:v>第3梯队</x:v>
      </x:c>
      <x:c r="H73" s="11" t="str">
        <x:v>同公司其他代码</x:v>
      </x:c>
      <x:c r="I73" s="11" t="n">
        <x:f>'情景快照'!E539</x:f>
        <x:v>161.4</x:v>
      </x:c>
      <x:c r="J73" s="11" t="n">
        <x:f>'情景快照'!F539</x:f>
        <x:v>228</x:v>
      </x:c>
      <x:c r="K73" s="25" t="n">
        <x:f>'情景快照'!I539</x:f>
        <x:v>0.4374225526641884</x:v>
      </x:c>
      <x:c r="L73" s="25" t="n">
        <x:f>'情景快照'!H538</x:f>
        <x:v>-0.2627013630731103</x:v>
      </x:c>
      <x:c r="M73" s="11" t="str">
        <x:v>仅当前完成模型样本</x:v>
      </x:c>
      <x:c r="N73" t="str">
        <x:f>IF(COUNTIF($O$59:$O$110,"排名待刷新")=0,"已刷新","排名待刷新")</x:f>
        <x:v>排名待刷新</x:v>
      </x:c>
      <x:c r="O73" t="str">
        <x:f>IF(AND(F73=75.60000000000001,K73=0.4374225526641884,L73=-0.2627013630731103,'情景快照'!T539="已刷新",'情景快照'!T538="已刷新"),"已刷新","排名待刷新")</x:f>
        <x:v>已刷新</x:v>
      </x:c>
    </x:row>
    <x:row r="74" ht="23" customHeight="1">
      <x:c r="A74" s="11" t="str">
        <x:v>一年</x:v>
      </x:c>
      <x:c r="B74" s="11" t="n">
        <x:v>16</x:v>
      </x:c>
      <x:c r="C74" s="11" t="str">
        <x:v>恒瑞医药</x:v>
      </x:c>
      <x:c r="D74" s="11" t="str">
        <x:v>600276.SH</x:v>
      </x:c>
      <x:c r="E74" s="11" t="str">
        <x:v>I011</x:v>
      </x:c>
      <x:c r="F74" s="11" t="n">
        <x:f>'评分'!J80</x:f>
        <x:v>75.6</x:v>
      </x:c>
      <x:c r="G74" s="11" t="str">
        <x:v>第3梯队</x:v>
      </x:c>
      <x:c r="H74" s="11" t="str">
        <x:v>同公司其他代码</x:v>
      </x:c>
      <x:c r="I74" s="11" t="n">
        <x:f>'情景快照'!E284</x:f>
        <x:v>46.85</x:v>
      </x:c>
      <x:c r="J74" s="11" t="n">
        <x:f>'情景快照'!F284</x:f>
        <x:v>64.8</x:v>
      </x:c>
      <x:c r="K74" s="25" t="n">
        <x:f>'情景快照'!I284</x:f>
        <x:v>0.3884738527214513</x:v>
      </x:c>
      <x:c r="L74" s="25" t="n">
        <x:f>'情景快照'!H283</x:f>
        <x:v>-0.3596584845250801</x:v>
      </x:c>
      <x:c r="M74" s="11" t="str">
        <x:v>仅当前完成模型样本</x:v>
      </x:c>
      <x:c r="N74" t="str">
        <x:f>IF(COUNTIF($O$59:$O$110,"排名待刷新")=0,"已刷新","排名待刷新")</x:f>
        <x:v>排名待刷新</x:v>
      </x:c>
      <x:c r="O74" t="str">
        <x:f>IF(AND(F74=75.6,K74=0.3884738527214513,L74=-0.3596584845250801,'情景快照'!T284="已刷新",'情景快照'!T283="已刷新"),"已刷新","排名待刷新")</x:f>
        <x:v>已刷新</x:v>
      </x:c>
    </x:row>
    <x:row r="75" ht="23" customHeight="1">
      <x:c r="A75" s="11" t="str">
        <x:v>一年</x:v>
      </x:c>
      <x:c r="B75" s="11" t="n">
        <x:v>17</x:v>
      </x:c>
      <x:c r="C75" s="11" t="str">
        <x:v>联想集团</x:v>
      </x:c>
      <x:c r="D75" s="11" t="str">
        <x:v>00992.HK</x:v>
      </x:c>
      <x:c r="E75" s="11" t="str">
        <x:v>I065</x:v>
      </x:c>
      <x:c r="F75" s="11" t="n">
        <x:f>'评分'!J124</x:f>
        <x:v>75.2</x:v>
      </x:c>
      <x:c r="G75" s="11" t="str">
        <x:v>第3梯队</x:v>
      </x:c>
      <x:c r="H75" s="11" t="str">
        <x:v>同公司其他代码</x:v>
      </x:c>
      <x:c r="I75" s="11" t="n">
        <x:f>'情景快照'!E449</x:f>
        <x:v>32.84</x:v>
      </x:c>
      <x:c r="J75" s="11" t="n">
        <x:f>'情景快照'!F449</x:f>
        <x:v>50.42</x:v>
      </x:c>
      <x:c r="K75" s="25" t="n">
        <x:f>'情景快照'!I449</x:f>
        <x:v>0.5520706455542019</x:v>
      </x:c>
      <x:c r="L75" s="25" t="n">
        <x:f>'情景快照'!H448</x:f>
        <x:v>-0.7524360535931791</x:v>
      </x:c>
      <x:c r="M75" s="11" t="str">
        <x:v>仅当前完成模型样本</x:v>
      </x:c>
      <x:c r="N75" t="str">
        <x:f>IF(COUNTIF($O$59:$O$110,"排名待刷新")=0,"已刷新","排名待刷新")</x:f>
        <x:v>排名待刷新</x:v>
      </x:c>
      <x:c r="O75" t="str">
        <x:f>IF(AND(F75=75.19999999999999,K75=0.5520706455542019,L75=-0.7524360535931791,'情景快照'!T449="已刷新",'情景快照'!T448="已刷新"),"已刷新","排名待刷新")</x:f>
        <x:v>排名待刷新</x:v>
      </x:c>
    </x:row>
    <x:row r="76" ht="23" customHeight="1">
      <x:c r="A76" s="11" t="str">
        <x:v>一年</x:v>
      </x:c>
      <x:c r="B76" s="11" t="n">
        <x:v>18</x:v>
      </x:c>
      <x:c r="C76" s="11" t="str">
        <x:v>凯莱英</x:v>
      </x:c>
      <x:c r="D76" s="11" t="str">
        <x:v>002821.SZ</x:v>
      </x:c>
      <x:c r="E76" s="11" t="str">
        <x:v>I006</x:v>
      </x:c>
      <x:c r="F76" s="11" t="n">
        <x:f>'评分'!J20</x:f>
        <x:v>75.2</x:v>
      </x:c>
      <x:c r="G76" s="11" t="str">
        <x:v>第3梯队</x:v>
      </x:c>
      <x:c r="H76" s="11" t="str">
        <x:v>同公司其他代码</x:v>
      </x:c>
      <x:c r="I76" s="11" t="n">
        <x:f>'情景快照'!E59</x:f>
        <x:v>177.93</x:v>
      </x:c>
      <x:c r="J76" s="11" t="n">
        <x:f>'情景快照'!F59</x:f>
        <x:v>220</x:v>
      </x:c>
      <x:c r="K76" s="25" t="n">
        <x:f>'情景快照'!I59</x:f>
        <x:v>0.24487157871072895</x:v>
      </x:c>
      <x:c r="L76" s="25" t="n">
        <x:f>'情景快照'!H58</x:f>
        <x:v>-0.5734277524869331</x:v>
      </x:c>
      <x:c r="M76" s="11" t="str">
        <x:v>仅当前完成模型样本</x:v>
      </x:c>
      <x:c r="N76" t="str">
        <x:f>IF(COUNTIF($O$59:$O$110,"排名待刷新")=0,"已刷新","排名待刷新")</x:f>
        <x:v>排名待刷新</x:v>
      </x:c>
      <x:c r="O76" t="str">
        <x:f>IF(AND(F76=75.19999999999999,K76=0.24487157871072895,L76=-0.5734277524869331,'情景快照'!T59="已刷新",'情景快照'!T58="已刷新"),"已刷新","排名待刷新")</x:f>
        <x:v>排名待刷新</x:v>
      </x:c>
    </x:row>
    <x:row r="77" ht="23" customHeight="1">
      <x:c r="A77" s="11" t="str">
        <x:v>一年</x:v>
      </x:c>
      <x:c r="B77" s="11" t="n">
        <x:v>19</x:v>
      </x:c>
      <x:c r="C77" s="11" t="str">
        <x:v>石药集团</x:v>
      </x:c>
      <x:c r="D77" s="11" t="str">
        <x:v>01093.HK</x:v>
      </x:c>
      <x:c r="E77" s="11" t="str">
        <x:v>I025</x:v>
      </x:c>
      <x:c r="F77" s="11" t="n">
        <x:f>'评分'!J52</x:f>
        <x:v>75</x:v>
      </x:c>
      <x:c r="G77" s="11" t="str">
        <x:v>第4梯队</x:v>
      </x:c>
      <x:c r="H77" s="11" t="str">
        <x:v>同公司其他代码</x:v>
      </x:c>
      <x:c r="I77" s="11" t="n">
        <x:f>'情景快照'!E179</x:f>
        <x:v>9.085</x:v>
      </x:c>
      <x:c r="J77" s="11" t="n">
        <x:f>'情景快照'!F179</x:f>
        <x:v>11.008527035143045</x:v>
      </x:c>
      <x:c r="K77" s="25" t="n">
        <x:f>'情景快照'!I179</x:f>
        <x:v>0.25025063677964154</x:v>
      </x:c>
      <x:c r="L77" s="25" t="n">
        <x:f>'情景快照'!H178</x:f>
        <x:v>-0.5214232839439249</x:v>
      </x:c>
      <x:c r="M77" s="11" t="str">
        <x:v>仅当前完成模型样本</x:v>
      </x:c>
      <x:c r="N77" t="str">
        <x:f>IF(COUNTIF($O$59:$O$110,"排名待刷新")=0,"已刷新","排名待刷新")</x:f>
        <x:v>排名待刷新</x:v>
      </x:c>
      <x:c r="O77" t="str">
        <x:f>IF(AND(F77=75,K77=0.25025063677964154,L77=-0.5214232839439248,'情景快照'!T179="已刷新",'情景快照'!T178="已刷新"),"已刷新","排名待刷新")</x:f>
        <x:v>已刷新</x:v>
      </x:c>
    </x:row>
    <x:row r="78" ht="23" customHeight="1">
      <x:c r="A78" s="11" t="str">
        <x:v>一年</x:v>
      </x:c>
      <x:c r="B78" s="11" t="n">
        <x:v>20</x:v>
      </x:c>
      <x:c r="C78" s="11" t="str">
        <x:v>药明生物</x:v>
      </x:c>
      <x:c r="D78" s="11" t="str">
        <x:v>02269.HK</x:v>
      </x:c>
      <x:c r="E78" s="11" t="str">
        <x:v>I034</x:v>
      </x:c>
      <x:c r="F78" s="11" t="n">
        <x:f>'评分'!J204</x:f>
        <x:v>74.4</x:v>
      </x:c>
      <x:c r="G78" s="11" t="str">
        <x:v>第4梯队</x:v>
      </x:c>
      <x:c r="H78" s="11" t="str">
        <x:v>同公司其他代码</x:v>
      </x:c>
      <x:c r="I78" s="11" t="n">
        <x:f>'情景快照'!E749</x:f>
        <x:v>53.85</x:v>
      </x:c>
      <x:c r="J78" s="11" t="n">
        <x:f>'情景快照'!F749</x:f>
        <x:v>72.60000000000001</x:v>
      </x:c>
      <x:c r="K78" s="25" t="n">
        <x:f>'情景快照'!I749</x:f>
        <x:v>0.3481894150417828</x:v>
      </x:c>
      <x:c r="L78" s="25" t="n">
        <x:f>'情景快照'!H748</x:f>
        <x:v>-0.19108635097493032</x:v>
      </x:c>
      <x:c r="M78" s="11" t="str">
        <x:v>仅当前完成模型样本</x:v>
      </x:c>
      <x:c r="N78" t="str">
        <x:f>IF(COUNTIF($O$59:$O$110,"排名待刷新")=0,"已刷新","排名待刷新")</x:f>
        <x:v>排名待刷新</x:v>
      </x:c>
      <x:c r="O78" t="str">
        <x:f>IF(AND(F78=74.4,K78=0.3481894150417828,L78=-0.19108635097493032,'情景快照'!T749="已刷新",'情景快照'!T748="已刷新"),"已刷新","排名待刷新")</x:f>
        <x:v>已刷新</x:v>
      </x:c>
    </x:row>
    <x:row r="79" ht="23" customHeight="1">
      <x:c r="A79" s="11" t="str">
        <x:v>一年</x:v>
      </x:c>
      <x:c r="B79" s="11" t="n">
        <x:v>21</x:v>
      </x:c>
      <x:c r="C79" s="11" t="str">
        <x:v>海尔生物</x:v>
      </x:c>
      <x:c r="D79" s="11" t="str">
        <x:v>688139.SH</x:v>
      </x:c>
      <x:c r="E79" s="11" t="str">
        <x:v>I001</x:v>
      </x:c>
      <x:c r="F79" s="11" t="n">
        <x:f>'评分'!J68</x:f>
        <x:v>74.2</x:v>
      </x:c>
      <x:c r="G79" s="11" t="str">
        <x:v>第4梯队</x:v>
      </x:c>
      <x:c r="H79" s="11" t="str">
        <x:v>同公司其他代码</x:v>
      </x:c>
      <x:c r="I79" s="11" t="n">
        <x:f>'情景快照'!E239</x:f>
        <x:v>35.13</x:v>
      </x:c>
      <x:c r="J79" s="11" t="n">
        <x:f>'情景快照'!F239</x:f>
        <x:v>45.5</x:v>
      </x:c>
      <x:c r="K79" s="25" t="n">
        <x:f>'情景快照'!I239</x:f>
        <x:v>0.30657557643040123</x:v>
      </x:c>
      <x:c r="L79" s="25" t="n">
        <x:f>'情景快照'!H238</x:f>
        <x:v>-0.45345858240819803</x:v>
      </x:c>
      <x:c r="M79" s="11" t="str">
        <x:v>仅当前完成模型样本</x:v>
      </x:c>
      <x:c r="N79" t="str">
        <x:f>IF(COUNTIF($O$59:$O$110,"排名待刷新")=0,"已刷新","排名待刷新")</x:f>
        <x:v>排名待刷新</x:v>
      </x:c>
      <x:c r="O79" t="str">
        <x:f>IF(AND(F79=74.2,K79=0.30657557643040123,L79=-0.45345858240819803,'情景快照'!T239="已刷新",'情景快照'!T238="已刷新"),"已刷新","排名待刷新")</x:f>
        <x:v>已刷新</x:v>
      </x:c>
    </x:row>
    <x:row r="80" ht="23" customHeight="1">
      <x:c r="A80" s="11" t="str">
        <x:v>一年</x:v>
      </x:c>
      <x:c r="B80" s="11" t="n">
        <x:v>22</x:v>
      </x:c>
      <x:c r="C80" s="11" t="str">
        <x:v>金蝶国际</x:v>
      </x:c>
      <x:c r="D80" s="11" t="str">
        <x:v>00268.HK</x:v>
      </x:c>
      <x:c r="E80" s="11" t="str">
        <x:v>I090</x:v>
      </x:c>
      <x:c r="F80" s="11" t="n">
        <x:f>'评分'!J116</x:f>
        <x:v>74</x:v>
      </x:c>
      <x:c r="G80" s="11" t="str">
        <x:v>第4梯队</x:v>
      </x:c>
      <x:c r="H80" s="11" t="str">
        <x:v>同公司其他代码</x:v>
      </x:c>
      <x:c r="I80" s="11" t="n">
        <x:f>'情景快照'!E419</x:f>
        <x:v>7.835</x:v>
      </x:c>
      <x:c r="J80" s="11" t="n">
        <x:f>'情景快照'!F419</x:f>
        <x:v>11.22</x:v>
      </x:c>
      <x:c r="K80" s="25" t="n">
        <x:f>'情景快照'!I419</x:f>
        <x:v>0.43203573707721765</x:v>
      </x:c>
      <x:c r="L80" s="25" t="n">
        <x:f>'情景快照'!H418</x:f>
        <x:v>-0.6809189534141672</x:v>
      </x:c>
      <x:c r="M80" s="11" t="str">
        <x:v>仅当前完成模型样本</x:v>
      </x:c>
      <x:c r="N80" t="str">
        <x:f>IF(COUNTIF($O$59:$O$110,"排名待刷新")=0,"已刷新","排名待刷新")</x:f>
        <x:v>排名待刷新</x:v>
      </x:c>
      <x:c r="O80" t="str">
        <x:f>IF(AND(F80=74,K80=0.43203573707721765,L80=-0.6809189534141672,'情景快照'!T419="已刷新",'情景快照'!T418="已刷新"),"已刷新","排名待刷新")</x:f>
        <x:v>排名待刷新</x:v>
      </x:c>
    </x:row>
    <x:row r="81" ht="23" customHeight="1">
      <x:c r="A81" s="11" t="str">
        <x:v>一年</x:v>
      </x:c>
      <x:c r="B81" s="11" t="n">
        <x:v>23</x:v>
      </x:c>
      <x:c r="C81" s="11" t="str">
        <x:v>先声药业</x:v>
      </x:c>
      <x:c r="D81" s="11" t="str">
        <x:v>02096.HK</x:v>
      </x:c>
      <x:c r="E81" s="11" t="str">
        <x:v>I033</x:v>
      </x:c>
      <x:c r="F81" s="11" t="n">
        <x:f>'评分'!J176</x:f>
        <x:v>73.9</x:v>
      </x:c>
      <x:c r="G81" s="11" t="str">
        <x:v>第4梯队</x:v>
      </x:c>
      <x:c r="H81" s="11" t="str">
        <x:v>同公司其他代码</x:v>
      </x:c>
      <x:c r="I81" s="11" t="n">
        <x:f>'情景快照'!E644</x:f>
        <x:v>10.89</x:v>
      </x:c>
      <x:c r="J81" s="11" t="n">
        <x:f>'情景快照'!F644</x:f>
        <x:v>20.685318463754786</x:v>
      </x:c>
      <x:c r="K81" s="25" t="n">
        <x:f>'情景快照'!I644</x:f>
        <x:v>0.9217005017222026</x:v>
      </x:c>
      <x:c r="L81" s="25" t="n">
        <x:f>'情景快照'!H643</x:f>
        <x:v>-0.6710813157894735</x:v>
      </x:c>
      <x:c r="M81" s="11" t="str">
        <x:v>仅当前完成模型样本</x:v>
      </x:c>
      <x:c r="N81" t="str">
        <x:f>IF(COUNTIF($O$59:$O$110,"排名待刷新")=0,"已刷新","排名待刷新")</x:f>
        <x:v>排名待刷新</x:v>
      </x:c>
      <x:c r="O81" t="str">
        <x:f>IF(AND(F81=73.9,K81=0.9217005017222033,L81=-0.6710813157894733,'情景快照'!T644="已刷新",'情景快照'!T643="已刷新"),"已刷新","排名待刷新")</x:f>
        <x:v>已刷新</x:v>
      </x:c>
    </x:row>
    <x:row r="82" ht="23" customHeight="1">
      <x:c r="A82" s="11" t="str">
        <x:v>一年</x:v>
      </x:c>
      <x:c r="B82" s="11" t="n">
        <x:v>24</x:v>
      </x:c>
      <x:c r="C82" s="11" t="str">
        <x:v>腾讯控股</x:v>
      </x:c>
      <x:c r="D82" s="11" t="str">
        <x:v>00700.HK</x:v>
      </x:c>
      <x:c r="E82" s="11" t="str">
        <x:v>I072</x:v>
      </x:c>
      <x:c r="F82" s="11" t="n">
        <x:f>'评分'!J188</x:f>
        <x:v>74.1</x:v>
      </x:c>
      <x:c r="G82" s="11" t="str">
        <x:v>第4梯队</x:v>
      </x:c>
      <x:c r="H82" s="11" t="str">
        <x:v>同公司其他代码</x:v>
      </x:c>
      <x:c r="I82" s="11" t="n">
        <x:f>'情景快照'!E689</x:f>
        <x:v>424.8</x:v>
      </x:c>
      <x:c r="J82" s="11" t="n">
        <x:f>'情景快照'!F689</x:f>
        <x:v>633.6</x:v>
      </x:c>
      <x:c r="K82" s="25" t="n">
        <x:f>'情景快照'!I689</x:f>
        <x:v>0.5040018832391713</x:v>
      </x:c>
      <x:c r="L82" s="25" t="n">
        <x:f>'情景快照'!H688</x:f>
        <x:v>-0.19209039548022588</x:v>
      </x:c>
      <x:c r="M82" s="11" t="str">
        <x:v>仅当前完成模型样本</x:v>
      </x:c>
      <x:c r="N82" t="str">
        <x:f>IF(COUNTIF($O$59:$O$110,"排名待刷新")=0,"已刷新","排名待刷新")</x:f>
        <x:v>排名待刷新</x:v>
      </x:c>
      <x:c r="O82" t="str">
        <x:f>IF(AND(F82=73.6,K82=0.5040018832391713,L82=-0.192090395480226,'情景快照'!T689="已刷新",'情景快照'!T688="已刷新"),"已刷新","排名待刷新")</x:f>
        <x:v>排名待刷新</x:v>
      </x:c>
    </x:row>
    <x:row r="83" ht="23" customHeight="1">
      <x:c r="A83" s="11" t="str">
        <x:v>一年</x:v>
      </x:c>
      <x:c r="B83" s="11" t="n">
        <x:v>25</x:v>
      </x:c>
      <x:c r="C83" s="11" t="str">
        <x:v>宁德时代</x:v>
      </x:c>
      <x:c r="D83" s="11" t="str">
        <x:v>03750.HK</x:v>
      </x:c>
      <x:c r="E83" s="11" t="str">
        <x:v>I063</x:v>
      </x:c>
      <x:c r="F83" s="11" t="n">
        <x:f>'评分'!J48</x:f>
        <x:v>73.2</x:v>
      </x:c>
      <x:c r="G83" s="11" t="str">
        <x:v>第4梯队</x:v>
      </x:c>
      <x:c r="H83" s="11" t="str">
        <x:v>同公司其他代码</x:v>
      </x:c>
      <x:c r="I83" s="11" t="n">
        <x:f>'情景快照'!E164</x:f>
        <x:v>491.4</x:v>
      </x:c>
      <x:c r="J83" s="11" t="n">
        <x:f>'情景快照'!F164</x:f>
        <x:v>658.27</x:v>
      </x:c>
      <x:c r="K83" s="25" t="n">
        <x:f>'情景快照'!I164</x:f>
        <x:v>0.35586080586080593</x:v>
      </x:c>
      <x:c r="L83" s="25" t="n">
        <x:f>'情景快照'!H163</x:f>
        <x:v>-0.6848188848188848</x:v>
      </x:c>
      <x:c r="M83" s="11" t="str">
        <x:v>仅当前完成模型样本</x:v>
      </x:c>
      <x:c r="N83" t="str">
        <x:f>IF(COUNTIF($O$59:$O$110,"排名待刷新")=0,"已刷新","排名待刷新")</x:f>
        <x:v>排名待刷新</x:v>
      </x:c>
      <x:c r="O83" t="str">
        <x:f>IF(AND(F83=73.2,K83=0.35586080586080593,L83=-0.6848188848188848,'情景快照'!T164="已刷新",'情景快照'!T163="已刷新"),"已刷新","排名待刷新")</x:f>
        <x:v>已刷新</x:v>
      </x:c>
    </x:row>
    <x:row r="84" ht="23" customHeight="1">
      <x:c r="A84" s="11" t="str">
        <x:v>一年</x:v>
      </x:c>
      <x:c r="B84" s="11" t="n">
        <x:v>26</x:v>
      </x:c>
      <x:c r="C84" s="11" t="str">
        <x:v>比亚迪股份</x:v>
      </x:c>
      <x:c r="D84" s="11" t="str">
        <x:v>01211.HK</x:v>
      </x:c>
      <x:c r="E84" s="11" t="str">
        <x:v>I061</x:v>
      </x:c>
      <x:c r="F84" s="11" t="n">
        <x:f>'评分'!J44</x:f>
        <x:v>71.1</x:v>
      </x:c>
      <x:c r="G84" s="11" t="str">
        <x:v>第5梯队</x:v>
      </x:c>
      <x:c r="H84" s="11" t="str">
        <x:v>同公司其他代码</x:v>
      </x:c>
      <x:c r="I84" s="11" t="n">
        <x:f>'情景快照'!E149</x:f>
        <x:v>75.6</x:v>
      </x:c>
      <x:c r="J84" s="11" t="n">
        <x:f>'情景快照'!F149</x:f>
        <x:v>126.38</x:v>
      </x:c>
      <x:c r="K84" s="25" t="n">
        <x:f>'情景快照'!I149</x:f>
        <x:v>0.6783068783068784</x:v>
      </x:c>
      <x:c r="L84" s="25" t="n">
        <x:f>'情景快照'!H148</x:f>
        <x:v>-0.6883597883597883</x:v>
      </x:c>
      <x:c r="M84" s="11" t="str">
        <x:v>仅当前完成模型样本</x:v>
      </x:c>
      <x:c r="N84" t="str">
        <x:f>IF(COUNTIF($O$59:$O$110,"排名待刷新")=0,"已刷新","排名待刷新")</x:f>
        <x:v>排名待刷新</x:v>
      </x:c>
      <x:c r="O84" t="str">
        <x:f>IF(AND(F84=71.1,K84=0.6783068783068784,L84=-0.6883597883597883,'情景快照'!T149="已刷新",'情景快照'!T148="已刷新"),"已刷新","排名待刷新")</x:f>
        <x:v>排名待刷新</x:v>
      </x:c>
    </x:row>
    <x:row r="85" ht="23" customHeight="1">
      <x:c r="A85" s="11" t="str">
        <x:v>一年</x:v>
      </x:c>
      <x:c r="B85" s="11" t="n">
        <x:v>27</x:v>
      </x:c>
      <x:c r="C85" s="11" t="str">
        <x:v>哔哩哔哩-W</x:v>
      </x:c>
      <x:c r="D85" s="11" t="str">
        <x:v>09626.HK</x:v>
      </x:c>
      <x:c r="E85" s="11" t="str">
        <x:v>I073</x:v>
      </x:c>
      <x:c r="F85" s="11" t="n">
        <x:f>'评分'!J40</x:f>
        <x:v>70.7</x:v>
      </x:c>
      <x:c r="G85" s="11" t="str">
        <x:v>第5梯队</x:v>
      </x:c>
      <x:c r="H85" s="11" t="str">
        <x:v>同公司其他代码</x:v>
      </x:c>
      <x:c r="I85" s="11" t="n">
        <x:f>'情景快照'!E134</x:f>
        <x:v>120.4</x:v>
      </x:c>
      <x:c r="J85" s="11" t="n">
        <x:f>'情景快照'!F134</x:f>
        <x:v>182.72</x:v>
      </x:c>
      <x:c r="K85" s="25" t="n">
        <x:f>'情景快照'!I134</x:f>
        <x:v>0.5176079734219268</x:v>
      </x:c>
      <x:c r="L85" s="25" t="n">
        <x:f>'情景快照'!H133</x:f>
        <x:v>-0.9188538205980067</x:v>
      </x:c>
      <x:c r="M85" s="11" t="str">
        <x:v>仅当前完成模型样本</x:v>
      </x:c>
      <x:c r="N85" t="str">
        <x:f>IF(COUNTIF($O$59:$O$110,"排名待刷新")=0,"已刷新","排名待刷新")</x:f>
        <x:v>排名待刷新</x:v>
      </x:c>
      <x:c r="O85" t="str">
        <x:f>IF(AND(F85=70.7,K85=0.5176079734219268,L85=-0.9188538205980067,'情景快照'!T134="已刷新",'情景快照'!T133="已刷新"),"已刷新","排名待刷新")</x:f>
        <x:v>已刷新</x:v>
      </x:c>
    </x:row>
    <x:row r="86" ht="23" customHeight="1">
      <x:c r="A86" s="11" t="str">
        <x:v>一年</x:v>
      </x:c>
      <x:c r="B86" s="11" t="n">
        <x:v>28</x:v>
      </x:c>
      <x:c r="C86" s="11" t="str">
        <x:v>金斯瑞生物科技</x:v>
      </x:c>
      <x:c r="D86" s="11" t="str">
        <x:v>01548.HK</x:v>
      </x:c>
      <x:c r="E86" s="11" t="str">
        <x:v>I035</x:v>
      </x:c>
      <x:c r="F86" s="11" t="n">
        <x:f>'评分'!J64</x:f>
        <x:v>70.4</x:v>
      </x:c>
      <x:c r="G86" s="11" t="str">
        <x:v>第5梯队</x:v>
      </x:c>
      <x:c r="H86" s="11" t="str">
        <x:v>同公司其他代码</x:v>
      </x:c>
      <x:c r="I86" s="11" t="n">
        <x:f>'情景快照'!E224</x:f>
        <x:v>42.4</x:v>
      </x:c>
      <x:c r="J86" s="11" t="n">
        <x:f>'情景快照'!F224</x:f>
        <x:v>48.02616980410601</x:v>
      </x:c>
      <x:c r="K86" s="25" t="n">
        <x:f>'情景快照'!I224</x:f>
        <x:v>0.13269268405910406</x:v>
      </x:c>
      <x:c r="L86" s="25" t="n">
        <x:f>'情景快照'!H223</x:f>
        <x:v>-0.8033674470777726</x:v>
      </x:c>
      <x:c r="M86" s="11" t="str">
        <x:v>仅当前完成模型样本</x:v>
      </x:c>
      <x:c r="N86" t="str">
        <x:f>IF(COUNTIF($O$59:$O$110,"排名待刷新")=0,"已刷新","排名待刷新")</x:f>
        <x:v>排名待刷新</x:v>
      </x:c>
      <x:c r="O86" t="str">
        <x:f>IF(AND(F86=70.4,K86=0.13269268405910406,L86=-0.8033674470777726,'情景快照'!T224="已刷新",'情景快照'!T223="已刷新"),"已刷新","排名待刷新")</x:f>
        <x:v>排名待刷新</x:v>
      </x:c>
    </x:row>
    <x:row r="87" ht="23" customHeight="1">
      <x:c r="A87" s="11" t="str">
        <x:v>一年</x:v>
      </x:c>
      <x:c r="B87" s="11" t="n">
        <x:v>29</x:v>
      </x:c>
      <x:c r="C87" s="11" t="str">
        <x:v>康方生物</x:v>
      </x:c>
      <x:c r="D87" s="11" t="str">
        <x:v>09926.HK</x:v>
      </x:c>
      <x:c r="E87" s="11" t="str">
        <x:v>I052</x:v>
      </x:c>
      <x:c r="F87" s="11" t="n">
        <x:f>'评分'!J12</x:f>
        <x:v>69.9</x:v>
      </x:c>
      <x:c r="G87" s="11" t="str">
        <x:v>第5梯队</x:v>
      </x:c>
      <x:c r="H87" s="11" t="str">
        <x:v>同公司其他代码</x:v>
      </x:c>
      <x:c r="I87" s="11" t="n">
        <x:f>'情景快照'!E29</x:f>
        <x:v>109.1</x:v>
      </x:c>
      <x:c r="J87" s="11" t="n">
        <x:f>'情景快照'!F29</x:f>
        <x:v>86.86690106693104</x:v>
      </x:c>
      <x:c r="K87" s="25" t="n">
        <x:f>'情景快照'!I29</x:f>
        <x:v>-0.20378642468440844</x:v>
      </x:c>
      <x:c r="L87" s="25" t="n">
        <x:f>'情景快照'!H28</x:f>
        <x:v>-0.8666223086705813</x:v>
      </x:c>
      <x:c r="M87" s="11" t="str">
        <x:v>仅当前完成模型样本</x:v>
      </x:c>
      <x:c r="N87" t="str">
        <x:f>IF(COUNTIF($O$59:$O$110,"排名待刷新")=0,"已刷新","排名待刷新")</x:f>
        <x:v>排名待刷新</x:v>
      </x:c>
      <x:c r="O87" t="str">
        <x:f>IF(AND(F87=69.89999999999999,K87=-0.20378642468440844,L87=-0.8666223086705813,'情景快照'!T29="已刷新",'情景快照'!T28="已刷新"),"已刷新","排名待刷新")</x:f>
        <x:v>已刷新</x:v>
      </x:c>
    </x:row>
    <x:row r="88" ht="23" customHeight="1">
      <x:c r="A88" s="11" t="str">
        <x:v>一年</x:v>
      </x:c>
      <x:c r="B88" s="11" t="n">
        <x:v>30</x:v>
      </x:c>
      <x:c r="C88" s="11" t="str">
        <x:v>小米集团-W</x:v>
      </x:c>
      <x:c r="D88" s="11" t="str">
        <x:v>01810.HK</x:v>
      </x:c>
      <x:c r="E88" s="11" t="str">
        <x:v>I087</x:v>
      </x:c>
      <x:c r="F88" s="11" t="n">
        <x:f>'评分'!J212</x:f>
        <x:v>69.8</x:v>
      </x:c>
      <x:c r="G88" s="11" t="str">
        <x:v>第5梯队</x:v>
      </x:c>
      <x:c r="H88" s="11" t="str">
        <x:v>同公司其他代码</x:v>
      </x:c>
      <x:c r="I88" s="11" t="n">
        <x:f>'情景快照'!E779</x:f>
        <x:v>25.96</x:v>
      </x:c>
      <x:c r="J88" s="11" t="n">
        <x:f>'情景快照'!F779</x:f>
        <x:v>38.72</x:v>
      </x:c>
      <x:c r="K88" s="25" t="n">
        <x:f>'情景快照'!I779</x:f>
        <x:v>0.49152542372881336</x:v>
      </x:c>
      <x:c r="L88" s="25" t="n">
        <x:f>'情景快照'!H778</x:f>
        <x:v>-0.7191833590138674</x:v>
      </x:c>
      <x:c r="M88" s="11" t="str">
        <x:v>仅当前完成模型样本</x:v>
      </x:c>
      <x:c r="N88" t="str">
        <x:f>IF(COUNTIF($O$59:$O$110,"排名待刷新")=0,"已刷新","排名待刷新")</x:f>
        <x:v>排名待刷新</x:v>
      </x:c>
      <x:c r="O88" t="str">
        <x:f>IF(AND(F88=69.8,K88=0.49152542372881336,L88=-0.7191833590138674,'情景快照'!T779="已刷新",'情景快照'!T778="已刷新"),"已刷新","排名待刷新")</x:f>
        <x:v>排名待刷新</x:v>
      </x:c>
    </x:row>
    <x:row r="89" ht="23" customHeight="1">
      <x:c r="A89" s="11" t="str">
        <x:v>一年</x:v>
      </x:c>
      <x:c r="B89" s="11" t="n">
        <x:v>31</x:v>
      </x:c>
      <x:c r="C89" s="11" t="str">
        <x:v>阿里巴巴-W</x:v>
      </x:c>
      <x:c r="D89" s="11" t="str">
        <x:v>09988.HK</x:v>
      </x:c>
      <x:c r="E89" s="11" t="str">
        <x:v>I075</x:v>
      </x:c>
      <x:c r="F89" s="11" t="n">
        <x:f>'评分'!J16</x:f>
        <x:v>69.2</x:v>
      </x:c>
      <x:c r="G89" s="11" t="str">
        <x:v>第5梯队</x:v>
      </x:c>
      <x:c r="H89" s="11" t="str">
        <x:v>同公司其他代码</x:v>
      </x:c>
      <x:c r="I89" s="11" t="n">
        <x:f>'情景快照'!E44</x:f>
        <x:v>107</x:v>
      </x:c>
      <x:c r="J89" s="11" t="n">
        <x:f>'情景快照'!F44</x:f>
        <x:v>171.63</x:v>
      </x:c>
      <x:c r="K89" s="25" t="n">
        <x:f>'情景快照'!I44</x:f>
        <x:v>0.615233644859813</x:v>
      </x:c>
      <x:c r="L89" s="25" t="n">
        <x:f>'情景快照'!H43</x:f>
        <x:v>-0.49766355140186913</x:v>
      </x:c>
      <x:c r="M89" s="11" t="str">
        <x:v>仅当前完成模型样本</x:v>
      </x:c>
      <x:c r="N89" t="str">
        <x:f>IF(COUNTIF($O$59:$O$110,"排名待刷新")=0,"已刷新","排名待刷新")</x:f>
        <x:v>排名待刷新</x:v>
      </x:c>
      <x:c r="O89" t="str">
        <x:f>IF(AND(F89=69.2,K89=0.615233644859813,L89=-0.49766355140186913,'情景快照'!T44="已刷新",'情景快照'!T43="已刷新"),"已刷新","排名待刷新")</x:f>
        <x:v>已刷新</x:v>
      </x:c>
    </x:row>
    <x:row r="90" ht="23" customHeight="1">
      <x:c r="A90" s="11" t="str">
        <x:v>一年</x:v>
      </x:c>
      <x:c r="B90" s="11" t="n">
        <x:v>32</x:v>
      </x:c>
      <x:c r="C90" s="11" t="str">
        <x:v>皓元医药</x:v>
      </x:c>
      <x:c r="D90" s="11" t="str">
        <x:v>688131.SH</x:v>
      </x:c>
      <x:c r="E90" s="11" t="str">
        <x:v>I015</x:v>
      </x:c>
      <x:c r="F90" s="11" t="n">
        <x:f>'评分'!J76</x:f>
        <x:v>69.2</x:v>
      </x:c>
      <x:c r="G90" s="11" t="str">
        <x:v>第5梯队</x:v>
      </x:c>
      <x:c r="H90" s="11" t="str">
        <x:v>同公司其他代码</x:v>
      </x:c>
      <x:c r="I90" s="11" t="n">
        <x:f>'情景快照'!E269</x:f>
        <x:v>93.16</x:v>
      </x:c>
      <x:c r="J90" s="11" t="n">
        <x:f>'情景快照'!F269</x:f>
        <x:v>117</x:v>
      </x:c>
      <x:c r="K90" s="25" t="n">
        <x:f>'情景快照'!I269</x:f>
        <x:v>0.25890940317732936</x:v>
      </x:c>
      <x:c r="L90" s="25" t="n">
        <x:f>'情景快照'!H268</x:f>
        <x:v>-0.562043795620438</x:v>
      </x:c>
      <x:c r="M90" s="11" t="str">
        <x:v>仅当前完成模型样本</x:v>
      </x:c>
      <x:c r="N90" t="str">
        <x:f>IF(COUNTIF($O$59:$O$110,"排名待刷新")=0,"已刷新","排名待刷新")</x:f>
        <x:v>排名待刷新</x:v>
      </x:c>
      <x:c r="O90" t="str">
        <x:f>IF(AND(F90=69.2,K90=0.25890940317732936,L90=-0.562043795620438,'情景快照'!T269="已刷新",'情景快照'!T268="已刷新"),"已刷新","排名待刷新")</x:f>
        <x:v>已刷新</x:v>
      </x:c>
    </x:row>
    <x:row r="91" ht="23" customHeight="1">
      <x:c r="A91" s="11" t="str">
        <x:v>一年</x:v>
      </x:c>
      <x:c r="B91" s="11" t="n">
        <x:v>33</x:v>
      </x:c>
      <x:c r="C91" s="11" t="str">
        <x:v>携程集团-S</x:v>
      </x:c>
      <x:c r="D91" s="11" t="str">
        <x:v>09961.HK</x:v>
      </x:c>
      <x:c r="E91" s="11" t="str">
        <x:v>I077</x:v>
      </x:c>
      <x:c r="F91" s="11" t="n">
        <x:f>'评分'!J192</x:f>
        <x:v>69.1</x:v>
      </x:c>
      <x:c r="G91" s="11" t="str">
        <x:v>第5梯队</x:v>
      </x:c>
      <x:c r="H91" s="11" t="str">
        <x:v>同公司其他代码</x:v>
      </x:c>
      <x:c r="I91" s="11" t="n">
        <x:f>'情景快照'!E704</x:f>
        <x:v>304.4</x:v>
      </x:c>
      <x:c r="J91" s="11" t="n">
        <x:f>'情景快照'!F704</x:f>
        <x:v>519.23</x:v>
      </x:c>
      <x:c r="K91" s="25" t="n">
        <x:f>'情景快照'!I704</x:f>
        <x:v>0.7090341655716166</x:v>
      </x:c>
      <x:c r="L91" s="25" t="n">
        <x:f>'情景快照'!H703</x:f>
        <x:v>-0.35059132720105113</x:v>
      </x:c>
      <x:c r="M91" s="11" t="str">
        <x:v>仅当前完成模型样本</x:v>
      </x:c>
      <x:c r="N91" t="str">
        <x:f>IF(COUNTIF($O$59:$O$110,"排名待刷新")=0,"已刷新","排名待刷新")</x:f>
        <x:v>排名待刷新</x:v>
      </x:c>
      <x:c r="O91" t="str">
        <x:f>IF(AND(F91=69.10000000000001,K91=0.7090341655716166,L91=-0.35059132720105113,'情景快照'!T704="已刷新",'情景快照'!T703="已刷新"),"已刷新","排名待刷新")</x:f>
        <x:v>已刷新</x:v>
      </x:c>
    </x:row>
    <x:row r="92" ht="23" customHeight="1">
      <x:c r="A92" s="11" t="str">
        <x:v>一年</x:v>
      </x:c>
      <x:c r="B92" s="11" t="n">
        <x:v>34</x:v>
      </x:c>
      <x:c r="C92" s="11" t="str">
        <x:v>美团-W</x:v>
      </x:c>
      <x:c r="D92" s="11" t="str">
        <x:v>03690.HK</x:v>
      </x:c>
      <x:c r="E92" s="11" t="str">
        <x:v>I078</x:v>
      </x:c>
      <x:c r="F92" s="11" t="n">
        <x:f>'评分'!J140</x:f>
        <x:v>68.8</x:v>
      </x:c>
      <x:c r="G92" s="11" t="str">
        <x:v>第5梯队</x:v>
      </x:c>
      <x:c r="H92" s="11" t="str">
        <x:v>同公司其他代码</x:v>
      </x:c>
      <x:c r="I92" s="11" t="n">
        <x:f>'情景快照'!E509</x:f>
        <x:v>71.5</x:v>
      </x:c>
      <x:c r="J92" s="11" t="n">
        <x:f>'情景快照'!F509</x:f>
        <x:v>153.25</x:v>
      </x:c>
      <x:c r="K92" s="25" t="n">
        <x:f>'情景快照'!I509</x:f>
        <x:v>1.1433566433566433</x:v>
      </x:c>
      <x:c r="L92" s="25" t="n">
        <x:f>'情景快照'!H508</x:f>
        <x:v>-0.5769230769230769</x:v>
      </x:c>
      <x:c r="M92" s="11" t="str">
        <x:v>仅当前完成模型样本</x:v>
      </x:c>
      <x:c r="N92" t="str">
        <x:f>IF(COUNTIF($O$59:$O$110,"排名待刷新")=0,"已刷新","排名待刷新")</x:f>
        <x:v>排名待刷新</x:v>
      </x:c>
      <x:c r="O92" t="str">
        <x:f>IF(AND(F92=68.8,K92=1.1433566433566433,L92=-0.5769230769230769,'情景快照'!T509="已刷新",'情景快照'!T508="已刷新"),"已刷新","排名待刷新")</x:f>
        <x:v>排名待刷新</x:v>
      </x:c>
    </x:row>
    <x:row r="93" ht="23" customHeight="1">
      <x:c r="A93" s="11" t="str">
        <x:v>一年</x:v>
      </x:c>
      <x:c r="B93" s="11" t="n">
        <x:v>35</x:v>
      </x:c>
      <x:c r="C93" s="11" t="str">
        <x:v>三生制药</x:v>
      </x:c>
      <x:c r="D93" s="11" t="str">
        <x:v>01530.HK</x:v>
      </x:c>
      <x:c r="E93" s="11" t="str">
        <x:v>I023</x:v>
      </x:c>
      <x:c r="F93" s="11" t="n">
        <x:f>'评分'!J8</x:f>
        <x:v>68.6</x:v>
      </x:c>
      <x:c r="G93" s="11" t="str">
        <x:v>第5梯队</x:v>
      </x:c>
      <x:c r="H93" s="11" t="str">
        <x:v>同公司其他代码</x:v>
      </x:c>
      <x:c r="I93" s="11" t="n">
        <x:f>'情景快照'!E14</x:f>
        <x:v>15.07</x:v>
      </x:c>
      <x:c r="J93" s="11" t="n">
        <x:f>'情景快照'!F14</x:f>
        <x:v>25.063798736268943</x:v>
      </x:c>
      <x:c r="K93" s="25" t="n">
        <x:f>'情景快照'!I14</x:f>
        <x:v>0.6797477595400758</x:v>
      </x:c>
      <x:c r="L93" s="25" t="n">
        <x:f>'情景快照'!H13</x:f>
        <x:v>-0.3246771659947537</x:v>
      </x:c>
      <x:c r="M93" s="11" t="str">
        <x:v>仅当前完成模型样本</x:v>
      </x:c>
      <x:c r="N93" t="str">
        <x:f>IF(COUNTIF($O$59:$O$110,"排名待刷新")=0,"已刷新","排名待刷新")</x:f>
        <x:v>排名待刷新</x:v>
      </x:c>
      <x:c r="O93" t="str">
        <x:f>IF(AND(F93=68.6,K93=0.679747759540076,L93=-0.3246771659947536,'情景快照'!T14="已刷新",'情景快照'!T13="已刷新"),"已刷新","排名待刷新")</x:f>
        <x:v>已刷新</x:v>
      </x:c>
    </x:row>
    <x:row r="94" ht="23" customHeight="1">
      <x:c r="A94" s="11" t="str">
        <x:v>一年</x:v>
      </x:c>
      <x:c r="B94" s="11" t="n">
        <x:v>36</x:v>
      </x:c>
      <x:c r="C94" s="11" t="str">
        <x:v>京东集团-SW</x:v>
      </x:c>
      <x:c r="D94" s="11" t="str">
        <x:v>09618.HK</x:v>
      </x:c>
      <x:c r="E94" s="11" t="str">
        <x:v>I070</x:v>
      </x:c>
      <x:c r="F94" s="11" t="n">
        <x:f>'评分'!J104</x:f>
        <x:v>68.5</x:v>
      </x:c>
      <x:c r="G94" s="11" t="str">
        <x:v>第5梯队</x:v>
      </x:c>
      <x:c r="H94" s="11" t="str">
        <x:v>同公司其他代码</x:v>
      </x:c>
      <x:c r="I94" s="11" t="n">
        <x:f>'情景快照'!E374</x:f>
        <x:v>105.6</x:v>
      </x:c>
      <x:c r="J94" s="11" t="n">
        <x:f>'情景快照'!F374</x:f>
        <x:v>169.05</x:v>
      </x:c>
      <x:c r="K94" s="25" t="n">
        <x:f>'情景快照'!I374</x:f>
        <x:v>0.6387310606060608</x:v>
      </x:c>
      <x:c r="L94" s="25" t="n">
        <x:f>'情景快照'!H373</x:f>
        <x:v>-0.5274621212121212</x:v>
      </x:c>
      <x:c r="M94" s="11" t="str">
        <x:v>仅当前完成模型样本</x:v>
      </x:c>
      <x:c r="N94" t="str">
        <x:f>IF(COUNTIF($O$59:$O$110,"排名待刷新")=0,"已刷新","排名待刷新")</x:f>
        <x:v>排名待刷新</x:v>
      </x:c>
      <x:c r="O94" t="str">
        <x:f>IF(AND(F94=68.5,K94=0.6387310606060608,L94=-0.5274621212121212,'情景快照'!T374="已刷新",'情景快照'!T373="已刷新"),"已刷新","排名待刷新")</x:f>
        <x:v>排名待刷新</x:v>
      </x:c>
    </x:row>
    <x:row r="95" ht="23" customHeight="1">
      <x:c r="A95" s="11" t="str">
        <x:v>一年</x:v>
      </x:c>
      <x:c r="B95" s="11" t="n">
        <x:v>37</x:v>
      </x:c>
      <x:c r="C95" s="11" t="str">
        <x:v>迪哲医药</x:v>
      </x:c>
      <x:c r="D95" s="11" t="str">
        <x:v>688192.SH</x:v>
      </x:c>
      <x:c r="E95" s="11" t="str">
        <x:v>I003</x:v>
      </x:c>
      <x:c r="F95" s="11" t="n">
        <x:f>'评分'!J56</x:f>
        <x:v>67.3</x:v>
      </x:c>
      <x:c r="G95" s="11" t="str">
        <x:v>第6梯队</x:v>
      </x:c>
      <x:c r="H95" s="11" t="str">
        <x:v>同公司其他代码</x:v>
      </x:c>
      <x:c r="I95" s="11" t="n">
        <x:f>'情景快照'!E194</x:f>
        <x:v>59.95</x:v>
      </x:c>
      <x:c r="J95" s="11" t="n">
        <x:f>'情景快照'!F194</x:f>
        <x:v>47.29176590301235</x:v>
      </x:c>
      <x:c r="K95" s="25" t="n">
        <x:f>'情景快照'!I194</x:f>
        <x:v>-0.21114652371956055</x:v>
      </x:c>
      <x:c r="L95" s="25" t="n">
        <x:f>'情景快照'!H193</x:f>
        <x:v>-0.9198486042241866</x:v>
      </x:c>
      <x:c r="M95" s="11" t="str">
        <x:v>仅当前完成模型样本</x:v>
      </x:c>
      <x:c r="N95" t="str">
        <x:f>IF(COUNTIF($O$59:$O$110,"排名待刷新")=0,"已刷新","排名待刷新")</x:f>
        <x:v>排名待刷新</x:v>
      </x:c>
      <x:c r="O95" t="str">
        <x:f>IF(AND(F95=67.3,K95=-0.21114652371956066,L95=-0.9198486042241865,'情景快照'!T194="已刷新",'情景快照'!T193="已刷新"),"已刷新","排名待刷新")</x:f>
        <x:v>已刷新</x:v>
      </x:c>
    </x:row>
    <x:row r="96" ht="23" customHeight="1">
      <x:c r="A96" s="11" t="str">
        <x:v>一年</x:v>
      </x:c>
      <x:c r="B96" s="11" t="n">
        <x:v>38</x:v>
      </x:c>
      <x:c r="C96" s="11" t="str">
        <x:v>泡泡玛特</x:v>
      </x:c>
      <x:c r="D96" s="11" t="str">
        <x:v>09992.HK</x:v>
      </x:c>
      <x:c r="E96" s="11" t="str">
        <x:v>I056</x:v>
      </x:c>
      <x:c r="F96" s="11" t="n">
        <x:f>'评分'!J160</x:f>
        <x:v>66.8</x:v>
      </x:c>
      <x:c r="G96" s="11" t="str">
        <x:v>第6梯队</x:v>
      </x:c>
      <x:c r="H96" s="11" t="str">
        <x:v>同公司其他代码</x:v>
      </x:c>
      <x:c r="I96" s="11" t="n">
        <x:f>'情景快照'!E584</x:f>
        <x:v>152.3</x:v>
      </x:c>
      <x:c r="J96" s="11" t="n">
        <x:f>'情景快照'!F584</x:f>
        <x:v>239.27</x:v>
      </x:c>
      <x:c r="K96" s="25" t="n">
        <x:f>'情景快照'!I584</x:f>
        <x:v>0.585489166119501</x:v>
      </x:c>
      <x:c r="L96" s="25" t="n">
        <x:f>'情景快照'!H583</x:f>
        <x:v>-0.6685489166119502</x:v>
      </x:c>
      <x:c r="M96" s="11" t="str">
        <x:v>仅当前完成模型样本</x:v>
      </x:c>
      <x:c r="N96" t="str">
        <x:f>IF(COUNTIF($O$59:$O$110,"排名待刷新")=0,"已刷新","排名待刷新")</x:f>
        <x:v>排名待刷新</x:v>
      </x:c>
      <x:c r="O96" t="str">
        <x:f>IF(AND(F96=66.8,K96=0.585489166119501,L96=-0.6685489166119502,'情景快照'!T584="已刷新",'情景快照'!T583="已刷新"),"已刷新","排名待刷新")</x:f>
        <x:v>排名待刷新</x:v>
      </x:c>
    </x:row>
    <x:row r="97" ht="23" customHeight="1">
      <x:c r="A97" s="11" t="str">
        <x:v>一年</x:v>
      </x:c>
      <x:c r="B97" s="11" t="n">
        <x:v>39</x:v>
      </x:c>
      <x:c r="C97" s="11" t="str">
        <x:v>丽珠医药</x:v>
      </x:c>
      <x:c r="D97" s="11" t="str">
        <x:v>01513.HK</x:v>
      </x:c>
      <x:c r="E97" s="11" t="str">
        <x:v>I036</x:v>
      </x:c>
      <x:c r="F97" s="11" t="n">
        <x:f>'评分'!J128</x:f>
        <x:v>66.7</x:v>
      </x:c>
      <x:c r="G97" s="11" t="str">
        <x:v>第6梯队</x:v>
      </x:c>
      <x:c r="H97" s="11" t="str">
        <x:v>同公司其他代码</x:v>
      </x:c>
      <x:c r="I97" s="11" t="n">
        <x:f>'情景快照'!E464</x:f>
        <x:v>22.16</x:v>
      </x:c>
      <x:c r="J97" s="11" t="n">
        <x:f>'情景快照'!F464</x:f>
        <x:v>30.36</x:v>
      </x:c>
      <x:c r="K97" s="25" t="n">
        <x:f>'情景快照'!I464</x:f>
        <x:v>0.48307761732851984</x:v>
      </x:c>
      <x:c r="L97" s="25" t="n">
        <x:f>'情景快照'!H463</x:f>
        <x:v>-0.3249097472924187</x:v>
      </x:c>
      <x:c r="M97" s="11" t="str">
        <x:v>仅当前完成模型样本</x:v>
      </x:c>
      <x:c r="N97" t="str">
        <x:f>IF(COUNTIF($O$59:$O$110,"排名待刷新")=0,"已刷新","排名待刷新")</x:f>
        <x:v>排名待刷新</x:v>
      </x:c>
      <x:c r="O97" t="str">
        <x:f>IF(AND(F97=66.7,K97=0.48307761732851984,L97=-0.3249097472924187,'情景快照'!T464="已刷新",'情景快照'!T463="已刷新"),"已刷新","排名待刷新")</x:f>
        <x:v>已刷新</x:v>
      </x:c>
    </x:row>
    <x:row r="98" ht="23" customHeight="1">
      <x:c r="A98" s="11" t="str">
        <x:v>一年</x:v>
      </x:c>
      <x:c r="B98" s="11" t="n">
        <x:v>40</x:v>
      </x:c>
      <x:c r="C98" s="11" t="str">
        <x:v>键凯科技</x:v>
      </x:c>
      <x:c r="D98" s="11" t="str">
        <x:v>688356.SH</x:v>
      </x:c>
      <x:c r="E98" s="11" t="str">
        <x:v>I017</x:v>
      </x:c>
      <x:c r="F98" s="11" t="n">
        <x:f>'评分'!J108</x:f>
        <x:v>66.2</x:v>
      </x:c>
      <x:c r="G98" s="11" t="str">
        <x:v>第6梯队</x:v>
      </x:c>
      <x:c r="H98" s="11" t="str">
        <x:v>同公司其他代码</x:v>
      </x:c>
      <x:c r="I98" s="11" t="n">
        <x:f>'情景快照'!E389</x:f>
        <x:v>107.9</x:v>
      </x:c>
      <x:c r="J98" s="11" t="n">
        <x:f>'情景快照'!F389</x:f>
        <x:v>117</x:v>
      </x:c>
      <x:c r="K98" s="25" t="n">
        <x:f>'情景快照'!I389</x:f>
        <x:v>0.08730305838739572</x:v>
      </x:c>
      <x:c r="L98" s="25" t="n">
        <x:f>'情景快照'!H388</x:f>
        <x:v>-0.6663577386468953</x:v>
      </x:c>
      <x:c r="M98" s="11" t="str">
        <x:v>仅当前完成模型样本</x:v>
      </x:c>
      <x:c r="N98" t="str">
        <x:f>IF(COUNTIF($O$59:$O$110,"排名待刷新")=0,"已刷新","排名待刷新")</x:f>
        <x:v>排名待刷新</x:v>
      </x:c>
      <x:c r="O98" t="str">
        <x:f>IF(AND(F98=66.2,K98=0.08730305838739572,L98=-0.6663577386468953,'情景快照'!T389="已刷新",'情景快照'!T388="已刷新"),"已刷新","排名待刷新")</x:f>
        <x:v>已刷新</x:v>
      </x:c>
    </x:row>
    <x:row r="99" ht="23" customHeight="1">
      <x:c r="A99" s="11" t="str">
        <x:v>一年</x:v>
      </x:c>
      <x:c r="B99" s="11" t="n">
        <x:v>41</x:v>
      </x:c>
      <x:c r="C99" s="11" t="str">
        <x:v>中芯国际</x:v>
      </x:c>
      <x:c r="D99" s="11" t="str">
        <x:v>00981.HK</x:v>
      </x:c>
      <x:c r="E99" s="11" t="str">
        <x:v>I092</x:v>
      </x:c>
      <x:c r="F99" s="11" t="n">
        <x:f>'评分'!J184</x:f>
        <x:v>65.6</x:v>
      </x:c>
      <x:c r="G99" s="11" t="str">
        <x:v>第6梯队</x:v>
      </x:c>
      <x:c r="H99" s="11" t="str">
        <x:v>同公司其他代码</x:v>
      </x:c>
      <x:c r="I99" s="11" t="n">
        <x:f>'情景快照'!E674</x:f>
        <x:v>57.65</x:v>
      </x:c>
      <x:c r="J99" s="11" t="n">
        <x:f>'情景快照'!F674</x:f>
        <x:v>83.59</x:v>
      </x:c>
      <x:c r="K99" s="25" t="n">
        <x:f>'情景快照'!I674</x:f>
        <x:v>0.44995663486556814</x:v>
      </x:c>
      <x:c r="L99" s="25" t="n">
        <x:f>'情景快照'!H673</x:f>
        <x:v>-0.7633998265394623</x:v>
      </x:c>
      <x:c r="M99" s="11" t="str">
        <x:v>仅当前完成模型样本</x:v>
      </x:c>
      <x:c r="N99" t="str">
        <x:f>IF(COUNTIF($O$59:$O$110,"排名待刷新")=0,"已刷新","排名待刷新")</x:f>
        <x:v>排名待刷新</x:v>
      </x:c>
      <x:c r="O99" t="str">
        <x:f>IF(AND(F99=65.6,K99=0.44995663486556814,L99=-0.7633998265394623,'情景快照'!T674="已刷新",'情景快照'!T673="已刷新"),"已刷新","排名待刷新")</x:f>
        <x:v>已刷新</x:v>
      </x:c>
    </x:row>
    <x:row r="100" ht="23" customHeight="1">
      <x:c r="A100" s="11" t="str">
        <x:v>一年</x:v>
      </x:c>
      <x:c r="B100" s="11" t="n">
        <x:v>42</x:v>
      </x:c>
      <x:c r="C100" s="11" t="str">
        <x:v>美迪西</x:v>
      </x:c>
      <x:c r="D100" s="11" t="str">
        <x:v>688202.SH</x:v>
      </x:c>
      <x:c r="E100" s="11" t="str">
        <x:v>I018</x:v>
      </x:c>
      <x:c r="F100" s="11" t="n">
        <x:f>'评分'!J136</x:f>
        <x:v>65.6</x:v>
      </x:c>
      <x:c r="G100" s="11" t="str">
        <x:v>第6梯队</x:v>
      </x:c>
      <x:c r="H100" s="11" t="str">
        <x:v>同公司其他代码</x:v>
      </x:c>
      <x:c r="I100" s="11" t="n">
        <x:f>'情景快照'!E494</x:f>
        <x:v>104</x:v>
      </x:c>
      <x:c r="J100" s="11" t="n">
        <x:f>'情景快照'!F494</x:f>
        <x:v>79.8</x:v>
      </x:c>
      <x:c r="K100" s="25" t="n">
        <x:f>'情景快照'!I494</x:f>
        <x:v>-0.2317307692307693</x:v>
      </x:c>
      <x:c r="L100" s="25" t="n">
        <x:f>'情景快照'!H493</x:f>
        <x:v>-0.7836538461538461</x:v>
      </x:c>
      <x:c r="M100" s="11" t="str">
        <x:v>仅当前完成模型样本</x:v>
      </x:c>
      <x:c r="N100" t="str">
        <x:f>IF(COUNTIF($O$59:$O$110,"排名待刷新")=0,"已刷新","排名待刷新")</x:f>
        <x:v>排名待刷新</x:v>
      </x:c>
      <x:c r="O100" t="str">
        <x:f>IF(AND(F100=65.6,K100=-0.2317307692307693,L100=-0.7836538461538461,'情景快照'!T494="已刷新",'情景快照'!T493="已刷新"),"已刷新","排名待刷新")</x:f>
        <x:v>已刷新</x:v>
      </x:c>
    </x:row>
    <x:row r="101" ht="23" customHeight="1">
      <x:c r="A101" s="11" t="str">
        <x:v>一年</x:v>
      </x:c>
      <x:c r="B101" s="11" t="n">
        <x:v>43</x:v>
      </x:c>
      <x:c r="C101" s="11" t="str">
        <x:v>复星医药</x:v>
      </x:c>
      <x:c r="D101" s="11" t="str">
        <x:v>02196.HK</x:v>
      </x:c>
      <x:c r="E101" s="11" t="str">
        <x:v>I043</x:v>
      </x:c>
      <x:c r="F101" s="11" t="n">
        <x:f>'评分'!J60</x:f>
        <x:v>65.5</x:v>
      </x:c>
      <x:c r="G101" s="11" t="str">
        <x:v>第6梯队</x:v>
      </x:c>
      <x:c r="H101" s="11" t="str">
        <x:v>同公司其他代码</x:v>
      </x:c>
      <x:c r="I101" s="11" t="n">
        <x:f>'情景快照'!E209</x:f>
        <x:v>17.87</x:v>
      </x:c>
      <x:c r="J101" s="11" t="n">
        <x:f>'情景快照'!F209</x:f>
        <x:v>27.83053358208953</x:v>
      </x:c>
      <x:c r="K101" s="25" t="n">
        <x:f>'情景快照'!I209</x:f>
        <x:v>0.5797724444370189</x:v>
      </x:c>
      <x:c r="L101" s="25" t="n">
        <x:f>'情景快照'!H208</x:f>
        <x:v>-0.44961014736056515</x:v>
      </x:c>
      <x:c r="M101" s="11" t="str">
        <x:v>仅当前完成模型样本</x:v>
      </x:c>
      <x:c r="N101" t="str">
        <x:f>IF(COUNTIF($O$59:$O$110,"排名待刷新")=0,"已刷新","排名待刷新")</x:f>
        <x:v>排名待刷新</x:v>
      </x:c>
      <x:c r="O101" t="str">
        <x:f>IF(AND(F101=65.5,K101=0.5797724444370189,L101=-0.44961014736056515,'情景快照'!T209="已刷新",'情景快照'!T208="已刷新"),"已刷新","排名待刷新")</x:f>
        <x:v>已刷新</x:v>
      </x:c>
    </x:row>
    <x:row r="102" ht="23" customHeight="1">
      <x:c r="A102" s="11" t="str">
        <x:v>一年</x:v>
      </x:c>
      <x:c r="B102" s="11" t="n">
        <x:v>44</x:v>
      </x:c>
      <x:c r="C102" s="11" t="str">
        <x:v>快手-W</x:v>
      </x:c>
      <x:c r="D102" s="11" t="str">
        <x:v>01024.HK</x:v>
      </x:c>
      <x:c r="E102" s="11" t="str">
        <x:v>I080</x:v>
      </x:c>
      <x:c r="F102" s="11" t="n">
        <x:f>'评分'!J120</x:f>
        <x:v>64.7</x:v>
      </x:c>
      <x:c r="G102" s="11" t="str">
        <x:v>第6梯队</x:v>
      </x:c>
      <x:c r="H102" s="11" t="str">
        <x:v>同公司其他代码</x:v>
      </x:c>
      <x:c r="I102" s="11" t="n">
        <x:f>'情景快照'!E434</x:f>
        <x:v>30.1</x:v>
      </x:c>
      <x:c r="J102" s="11" t="n">
        <x:f>'情景快照'!F434</x:f>
        <x:v>60.99</x:v>
      </x:c>
      <x:c r="K102" s="25" t="n">
        <x:f>'情景快照'!I434</x:f>
        <x:v>1.03953488372093</x:v>
      </x:c>
      <x:c r="L102" s="25" t="n">
        <x:f>'情景快照'!H433</x:f>
        <x:v>-0.6196013289036546</x:v>
      </x:c>
      <x:c r="M102" s="11" t="str">
        <x:v>仅当前完成模型样本</x:v>
      </x:c>
      <x:c r="N102" t="str">
        <x:f>IF(COUNTIF($O$59:$O$110,"排名待刷新")=0,"已刷新","排名待刷新")</x:f>
        <x:v>排名待刷新</x:v>
      </x:c>
      <x:c r="O102" t="str">
        <x:f>IF(AND(F102=64.7,K102=1.03953488372093,L102=-0.6196013289036546,'情景快照'!T434="已刷新",'情景快照'!T433="已刷新"),"已刷新","排名待刷新")</x:f>
        <x:v>排名待刷新</x:v>
      </x:c>
    </x:row>
    <x:row r="103" ht="23" customHeight="1">
      <x:c r="A103" s="11" t="str">
        <x:v>一年</x:v>
      </x:c>
      <x:c r="B103" s="11" t="n">
        <x:v>45</x:v>
      </x:c>
      <x:c r="C103" s="11" t="str">
        <x:v>海创药业</x:v>
      </x:c>
      <x:c r="D103" s="11" t="str">
        <x:v>688302.SH</x:v>
      </x:c>
      <x:c r="E103" s="11" t="str">
        <x:v>I005</x:v>
      </x:c>
      <x:c r="F103" s="11" t="n">
        <x:f>'评分'!J88</x:f>
        <x:v>63.6</x:v>
      </x:c>
      <x:c r="G103" s="11" t="str">
        <x:v>第7梯队</x:v>
      </x:c>
      <x:c r="H103" s="11" t="str">
        <x:v>同公司其他代码</x:v>
      </x:c>
      <x:c r="I103" s="11" t="n">
        <x:f>'情景快照'!E314</x:f>
        <x:v>32.09</x:v>
      </x:c>
      <x:c r="J103" s="11" t="n">
        <x:f>'情景快照'!F314</x:f>
        <x:v>28.66174088141036</x:v>
      </x:c>
      <x:c r="K103" s="25" t="n">
        <x:f>'情景快照'!I314</x:f>
        <x:v>-0.10683263068213289</x:v>
      </x:c>
      <x:c r="L103" s="25" t="n">
        <x:f>'情景快照'!H313</x:f>
        <x:v>-0.85</x:v>
      </x:c>
      <x:c r="M103" s="11" t="str">
        <x:v>仅当前完成模型样本</x:v>
      </x:c>
      <x:c r="N103" t="str">
        <x:f>IF(COUNTIF($O$59:$O$110,"排名待刷新")=0,"已刷新","排名待刷新")</x:f>
        <x:v>排名待刷新</x:v>
      </x:c>
      <x:c r="O103" t="str">
        <x:f>IF(AND(F103=63.6,K103=-0.10683263068213278,L103=-0.85,'情景快照'!T314="已刷新",'情景快照'!T313="已刷新"),"已刷新","排名待刷新")</x:f>
        <x:v>已刷新</x:v>
      </x:c>
    </x:row>
    <x:row r="104" ht="23" customHeight="1">
      <x:c r="A104" s="11" t="str">
        <x:v>一年</x:v>
      </x:c>
      <x:c r="B104" s="11" t="n">
        <x:v>46</x:v>
      </x:c>
      <x:c r="C104" s="11" t="str">
        <x:v>博腾股份</x:v>
      </x:c>
      <x:c r="D104" s="11" t="str">
        <x:v>300363.SZ</x:v>
      </x:c>
      <x:c r="E104" s="11" t="str">
        <x:v>I013</x:v>
      </x:c>
      <x:c r="F104" s="11" t="n">
        <x:f>'评分'!J164</x:f>
        <x:v>63.3</x:v>
      </x:c>
      <x:c r="G104" s="11" t="str">
        <x:v>第7梯队</x:v>
      </x:c>
      <x:c r="H104" s="11" t="str">
        <x:v>同公司其他代码</x:v>
      </x:c>
      <x:c r="I104" s="11" t="n">
        <x:f>'情景快照'!E599</x:f>
        <x:v>23.68</x:v>
      </x:c>
      <x:c r="J104" s="11" t="n">
        <x:f>'情景快照'!F599</x:f>
        <x:v>24</x:v>
      </x:c>
      <x:c r="K104" s="25" t="n">
        <x:f>'情景快照'!I599</x:f>
        <x:v>0.016891891891891886</x:v>
      </x:c>
      <x:c r="L104" s="25" t="n">
        <x:f>'情景快照'!H598</x:f>
        <x:v>-0.8099662162162162</x:v>
      </x:c>
      <x:c r="M104" s="11" t="str">
        <x:v>仅当前完成模型样本</x:v>
      </x:c>
      <x:c r="N104" t="str">
        <x:f>IF(COUNTIF($O$59:$O$110,"排名待刷新")=0,"已刷新","排名待刷新")</x:f>
        <x:v>排名待刷新</x:v>
      </x:c>
      <x:c r="O104" t="str">
        <x:f>IF(AND(F104=63.300000000000004,K104=0.016891891891891886,L104=-0.8099662162162162,'情景快照'!T599="已刷新",'情景快照'!T598="已刷新"),"已刷新","排名待刷新")</x:f>
        <x:v>已刷新</x:v>
      </x:c>
    </x:row>
    <x:row r="105" ht="23" customHeight="1">
      <x:c r="A105" s="11" t="str">
        <x:v>一年</x:v>
      </x:c>
      <x:c r="B105" s="11" t="n">
        <x:v>47</x:v>
      </x:c>
      <x:c r="C105" s="11" t="str">
        <x:v>上海医药</x:v>
      </x:c>
      <x:c r="D105" s="11" t="str">
        <x:v>02607.HK</x:v>
      </x:c>
      <x:c r="E105" s="11" t="str">
        <x:v>I028</x:v>
      </x:c>
      <x:c r="F105" s="11" t="n">
        <x:f>'评分'!J172</x:f>
        <x:v>63.2</x:v>
      </x:c>
      <x:c r="G105" s="11" t="str">
        <x:v>第7梯队</x:v>
      </x:c>
      <x:c r="H105" s="11" t="str">
        <x:v>同公司其他代码</x:v>
      </x:c>
      <x:c r="I105" s="11" t="n">
        <x:f>'情景快照'!E629</x:f>
        <x:v>11.03</x:v>
      </x:c>
      <x:c r="J105" s="11" t="n">
        <x:f>'情景快照'!F629</x:f>
        <x:v>15.400000000000002</x:v>
      </x:c>
      <x:c r="K105" s="25" t="n">
        <x:f>'情景快照'!I629</x:f>
        <x:v>0.4397098821396195</x:v>
      </x:c>
      <x:c r="L105" s="25" t="n">
        <x:f>'情景快照'!H628</x:f>
        <x:v>-0.3388032638259292</x:v>
      </x:c>
      <x:c r="M105" s="11" t="str">
        <x:v>仅当前完成模型样本</x:v>
      </x:c>
      <x:c r="N105" t="str">
        <x:f>IF(COUNTIF($O$59:$O$110,"排名待刷新")=0,"已刷新","排名待刷新")</x:f>
        <x:v>排名待刷新</x:v>
      </x:c>
      <x:c r="O105" t="str">
        <x:f>IF(AND(F105=63.2,K105=0.4397098821396195,L105=-0.3388032638259292,'情景快照'!T629="已刷新",'情景快照'!T628="已刷新"),"已刷新","排名待刷新")</x:f>
        <x:v>已刷新</x:v>
      </x:c>
    </x:row>
    <x:row r="106" ht="23" customHeight="1">
      <x:c r="A106" s="11" t="str">
        <x:v>一年</x:v>
      </x:c>
      <x:c r="B106" s="11" t="n">
        <x:v>48</x:v>
      </x:c>
      <x:c r="C106" s="11" t="str">
        <x:v>康诺亚-B</x:v>
      </x:c>
      <x:c r="D106" s="11" t="str">
        <x:v>02162.HK</x:v>
      </x:c>
      <x:c r="E106" s="11" t="str">
        <x:v>I047</x:v>
      </x:c>
      <x:c r="F106" s="11" t="n">
        <x:f>'评分'!J112</x:f>
        <x:v>60.2</x:v>
      </x:c>
      <x:c r="G106" s="11" t="str">
        <x:v>第8梯队</x:v>
      </x:c>
      <x:c r="H106" s="11" t="str">
        <x:v>同公司其他代码</x:v>
      </x:c>
      <x:c r="I106" s="11" t="n">
        <x:f>'情景快照'!E404</x:f>
        <x:v>78.3</x:v>
      </x:c>
      <x:c r="J106" s="11" t="n">
        <x:f>'情景快照'!F404</x:f>
        <x:v>76.20749151493708</x:v>
      </x:c>
      <x:c r="K106" s="25" t="n">
        <x:f>'情景快照'!I404</x:f>
        <x:v>-0.026724246297099907</x:v>
      </x:c>
      <x:c r="L106" s="25" t="n">
        <x:f>'情景快照'!H403</x:f>
        <x:v>-0.8154087496120912</x:v>
      </x:c>
      <x:c r="M106" s="11" t="str">
        <x:v>仅当前完成模型样本</x:v>
      </x:c>
      <x:c r="N106" t="str">
        <x:f>IF(COUNTIF($O$59:$O$110,"排名待刷新")=0,"已刷新","排名待刷新")</x:f>
        <x:v>排名待刷新</x:v>
      </x:c>
      <x:c r="O106" t="str">
        <x:f>IF(AND(F106=60.199999999999996,K106=-0.026724246297099574,L106=-0.8154087496120912,'情景快照'!T404="已刷新",'情景快照'!T403="已刷新"),"已刷新","排名待刷新")</x:f>
        <x:v>已刷新</x:v>
      </x:c>
    </x:row>
    <x:row r="107" ht="23" customHeight="1">
      <x:c r="A107" s="11" t="str">
        <x:v>一年</x:v>
      </x:c>
      <x:c r="B107" s="11" t="n">
        <x:v>49</x:v>
      </x:c>
      <x:c r="C107" s="11" t="str">
        <x:v>益方生物</x:v>
      </x:c>
      <x:c r="D107" s="11" t="str">
        <x:v>688382.SH</x:v>
      </x:c>
      <x:c r="E107" s="11" t="str">
        <x:v>I004</x:v>
      </x:c>
      <x:c r="F107" s="11" t="n">
        <x:f>'评分'!J96</x:f>
        <x:v>58.1</x:v>
      </x:c>
      <x:c r="G107" s="11" t="str">
        <x:v>第8梯队</x:v>
      </x:c>
      <x:c r="H107" s="11" t="str">
        <x:v>同公司其他代码</x:v>
      </x:c>
      <x:c r="I107" s="11" t="n">
        <x:f>'情景快照'!E344</x:f>
        <x:v>17.26</x:v>
      </x:c>
      <x:c r="J107" s="11" t="n">
        <x:f>'情景快照'!F344</x:f>
        <x:v>9.12695851034157</x:v>
      </x:c>
      <x:c r="K107" s="25" t="n">
        <x:f>'情景快照'!I344</x:f>
        <x:v>-0.47120750229770747</x:v>
      </x:c>
      <x:c r="L107" s="25" t="n">
        <x:f>'情景快照'!H343</x:f>
        <x:v>-0.85</x:v>
      </x:c>
      <x:c r="M107" s="11" t="str">
        <x:v>仅当前完成模型样本</x:v>
      </x:c>
      <x:c r="N107" t="str">
        <x:f>IF(COUNTIF($O$59:$O$110,"排名待刷新")=0,"已刷新","排名待刷新")</x:f>
        <x:v>排名待刷新</x:v>
      </x:c>
      <x:c r="O107" t="str">
        <x:f>IF(AND(F107=58.099999999999994,K107=-0.47120750229770747,L107=-0.85,'情景快照'!T344="已刷新",'情景快照'!T343="已刷新"),"已刷新","排名待刷新")</x:f>
        <x:v>排名待刷新</x:v>
      </x:c>
    </x:row>
    <x:row r="108" ht="23" customHeight="1">
      <x:c r="A108" s="11" t="str">
        <x:v>一年</x:v>
      </x:c>
      <x:c r="B108" s="11" t="n">
        <x:v>50</x:v>
      </x:c>
      <x:c r="C108" s="11" t="str">
        <x:v>荣昌生物</x:v>
      </x:c>
      <x:c r="D108" s="11" t="str">
        <x:v>09995.HK</x:v>
      </x:c>
      <x:c r="E108" s="11" t="str">
        <x:v>I051</x:v>
      </x:c>
      <x:c r="F108" s="11" t="n">
        <x:f>'评分'!J168</x:f>
        <x:v>57.9</x:v>
      </x:c>
      <x:c r="G108" s="11" t="str">
        <x:v>第8梯队</x:v>
      </x:c>
      <x:c r="H108" s="11" t="str">
        <x:v>同公司其他代码</x:v>
      </x:c>
      <x:c r="I108" s="11" t="n">
        <x:f>'情景快照'!E614</x:f>
        <x:v>70.4</x:v>
      </x:c>
      <x:c r="J108" s="11" t="n">
        <x:f>'情景快照'!F614</x:f>
        <x:v>71.83079551410438</x:v>
      </x:c>
      <x:c r="K108" s="25" t="n">
        <x:f>'情景快照'!I614</x:f>
        <x:v>0.020323799916255325</x:v>
      </x:c>
      <x:c r="L108" s="25" t="n">
        <x:f>'情景快照'!H613</x:f>
        <x:v>-0.8845683132150035</x:v>
      </x:c>
      <x:c r="M108" s="11" t="str">
        <x:v>仅当前完成模型样本</x:v>
      </x:c>
      <x:c r="N108" t="str">
        <x:f>IF(COUNTIF($O$59:$O$110,"排名待刷新")=0,"已刷新","排名待刷新")</x:f>
        <x:v>排名待刷新</x:v>
      </x:c>
      <x:c r="O108" t="str">
        <x:f>IF(AND(F108=57.9,K108=0.020323799916255103,L108=-0.8845683132150035,'情景快照'!T614="已刷新",'情景快照'!T613="已刷新"),"已刷新","排名待刷新")</x:f>
        <x:v>已刷新</x:v>
      </x:c>
    </x:row>
    <x:row r="109" ht="23" customHeight="1">
      <x:c r="A109" s="11" t="str">
        <x:v>一年</x:v>
      </x:c>
      <x:c r="B109" s="11" t="n">
        <x:v>51</x:v>
      </x:c>
      <x:c r="C109" s="11" t="str">
        <x:v>百度集团-W</x:v>
      </x:c>
      <x:c r="D109" s="11" t="str">
        <x:v>09888.HK</x:v>
      </x:c>
      <x:c r="E109" s="11" t="str">
        <x:v>I066</x:v>
      </x:c>
      <x:c r="F109" s="11" t="n">
        <x:f>'评分'!J28</x:f>
        <x:v>57.8</x:v>
      </x:c>
      <x:c r="G109" s="11" t="str">
        <x:v>第8梯队</x:v>
      </x:c>
      <x:c r="H109" s="11" t="str">
        <x:v>同公司其他代码</x:v>
      </x:c>
      <x:c r="I109" s="11" t="n">
        <x:f>'情景快照'!E89</x:f>
        <x:v>83</x:v>
      </x:c>
      <x:c r="J109" s="11" t="n">
        <x:f>'情景快照'!F89</x:f>
        <x:v>118.53</x:v>
      </x:c>
      <x:c r="K109" s="25" t="n">
        <x:f>'情景快照'!I89</x:f>
        <x:v>0.42807228915662643</x:v>
      </x:c>
      <x:c r="L109" s="25" t="n">
        <x:f>'情景快照'!H88</x:f>
        <x:v>-0.814578313253012</x:v>
      </x:c>
      <x:c r="M109" s="11" t="str">
        <x:v>仅当前完成模型样本</x:v>
      </x:c>
      <x:c r="N109" t="str">
        <x:f>IF(COUNTIF($O$59:$O$110,"排名待刷新")=0,"已刷新","排名待刷新")</x:f>
        <x:v>排名待刷新</x:v>
      </x:c>
      <x:c r="O109" t="str">
        <x:f>IF(AND(F109=57.8,K109=0.42807228915662643,L109=-0.814578313253012,'情景快照'!T89="已刷新",'情景快照'!T88="已刷新"),"已刷新","排名待刷新")</x:f>
        <x:v>排名待刷新</x:v>
      </x:c>
    </x:row>
    <x:row r="110" ht="23" customHeight="1">
      <x:c r="A110" s="11" t="str">
        <x:v>一年</x:v>
      </x:c>
      <x:c r="B110" s="11" t="n">
        <x:v>52</x:v>
      </x:c>
      <x:c r="C110" s="11" t="str">
        <x:v>迈威生物</x:v>
      </x:c>
      <x:c r="D110" s="11" t="str">
        <x:v>688062.SH</x:v>
      </x:c>
      <x:c r="E110" s="11" t="str">
        <x:v>I002</x:v>
      </x:c>
      <x:c r="F110" s="11" t="n">
        <x:f>'评分'!J132</x:f>
        <x:v>53.6</x:v>
      </x:c>
      <x:c r="G110" s="11" t="str">
        <x:v>第9梯队</x:v>
      </x:c>
      <x:c r="H110" s="11" t="str">
        <x:v>同公司其他代码</x:v>
      </x:c>
      <x:c r="I110" s="11" t="n">
        <x:f>'情景快照'!E479</x:f>
        <x:v>24.78</x:v>
      </x:c>
      <x:c r="J110" s="11" t="n">
        <x:f>'情景快照'!F479</x:f>
        <x:v>8.930579375332558</x:v>
      </x:c>
      <x:c r="K110" s="25" t="n">
        <x:f>'情景快照'!I479</x:f>
        <x:v>-0.6396053520850461</x:v>
      </x:c>
      <x:c r="L110" s="25" t="n">
        <x:f>'情景快照'!H478</x:f>
        <x:v>-0.8499999999999999</x:v>
      </x:c>
      <x:c r="M110" s="11" t="str">
        <x:v>仅当前完成模型样本</x:v>
      </x:c>
      <x:c r="N110" t="str">
        <x:f>IF(COUNTIF($O$59:$O$110,"排名待刷新")=0,"已刷新","排名待刷新")</x:f>
        <x:v>排名待刷新</x:v>
      </x:c>
      <x:c r="O110" t="str">
        <x:f>IF(AND(F110=53.6,K110=-0.6396053520850463,L110=-0.85,'情景快照'!T479="已刷新",'情景快照'!T478="已刷新"),"已刷新","排名待刷新")</x:f>
        <x:v>已刷新</x:v>
      </x:c>
    </x:row>
    <x:row r="111" ht="23" customHeight="1">
      <x:c r="A111" s="11" t="str">
        <x:v>三年</x:v>
      </x:c>
      <x:c r="B111" s="11" t="n">
        <x:v>1</x:v>
      </x:c>
      <x:c r="C111" s="11" t="str">
        <x:v>百济神州</x:v>
      </x:c>
      <x:c r="D111" s="11" t="str">
        <x:v>06160.HK</x:v>
      </x:c>
      <x:c r="E111" s="11" t="str">
        <x:v>I012</x:v>
      </x:c>
      <x:c r="F111" s="11" t="n">
        <x:f>'评分'!J37</x:f>
        <x:v>89.6</x:v>
      </x:c>
      <x:c r="G111" s="11" t="str">
        <x:v>第1梯队</x:v>
      </x:c>
      <x:c r="H111" s="11" t="str">
        <x:v>前十不同公司</x:v>
      </x:c>
      <x:c r="I111" s="11" t="n">
        <x:f>'情景快照'!E122</x:f>
        <x:v>209.6</x:v>
      </x:c>
      <x:c r="J111" s="11" t="n">
        <x:f>'情景快照'!F122</x:f>
        <x:v>502.84733571428586</x:v>
      </x:c>
      <x:c r="K111" s="25" t="n">
        <x:f>'情景快照'!I122</x:f>
        <x:v>1.3990808001635777</x:v>
      </x:c>
      <x:c r="L111" s="25" t="n">
        <x:f>'情景快照'!H121</x:f>
        <x:v>-0.7251998934848214</x:v>
      </x:c>
      <x:c r="M111" s="11" t="str">
        <x:v>仅当前完成模型样本</x:v>
      </x:c>
      <x:c r="N111" t="str">
        <x:f>IF(COUNTIF($O$111:$O$162,"排名待刷新")=0,"已刷新","排名待刷新")</x:f>
        <x:v>排名待刷新</x:v>
      </x:c>
      <x:c r="O111" t="str">
        <x:f>IF(AND(F111=89.60000000000001,K111=1.3990808001635777,L111=-0.7251998934848214,'情景快照'!T122="已刷新",'情景快照'!T121="已刷新"),"已刷新","排名待刷新")</x:f>
        <x:v>已刷新</x:v>
      </x:c>
    </x:row>
    <x:row r="112" ht="23" customHeight="1">
      <x:c r="A112" s="11" t="str">
        <x:v>三年</x:v>
      </x:c>
      <x:c r="B112" s="11" t="n">
        <x:v>2</x:v>
      </x:c>
      <x:c r="C112" s="11" t="str">
        <x:v>百济神州</x:v>
      </x:c>
      <x:c r="D112" s="11" t="str">
        <x:v>688235.SH</x:v>
      </x:c>
      <x:c r="E112" s="11" t="str">
        <x:v>I012</x:v>
      </x:c>
      <x:c r="F112" s="11" t="n">
        <x:f>'评分'!J33</x:f>
        <x:v>86</x:v>
      </x:c>
      <x:c r="G112" s="11" t="str">
        <x:v>第2梯队</x:v>
      </x:c>
      <x:c r="H112" s="11" t="str">
        <x:v>同公司其他代码</x:v>
      </x:c>
      <x:c r="I112" s="11" t="n">
        <x:f>'情景快照'!E107</x:f>
        <x:v>249.42</x:v>
      </x:c>
      <x:c r="J112" s="11" t="n">
        <x:f>'情景快照'!F107</x:f>
        <x:v>493.704656883117</x:v>
      </x:c>
      <x:c r="K112" s="25" t="n">
        <x:f>'情景快照'!I107</x:f>
        <x:v>0.9794108607293603</x:v>
      </x:c>
      <x:c r="L112" s="25" t="n">
        <x:f>'情景快照'!H106</x:f>
        <x:v>-0.7900653066912275</x:v>
      </x:c>
      <x:c r="M112" s="11" t="str">
        <x:v>仅当前完成模型样本</x:v>
      </x:c>
      <x:c r="N112" t="str">
        <x:f>IF(COUNTIF($O$111:$O$162,"排名待刷新")=0,"已刷新","排名待刷新")</x:f>
        <x:v>排名待刷新</x:v>
      </x:c>
      <x:c r="O112" t="str">
        <x:f>IF(AND(F112=86,K112=0.9794108607293603,L112=-0.7900653066912274,'情景快照'!T107="已刷新",'情景快照'!T106="已刷新"),"已刷新","排名待刷新")</x:f>
        <x:v>已刷新</x:v>
      </x:c>
    </x:row>
    <x:row r="113" ht="23" customHeight="1">
      <x:c r="A113" s="11" t="str">
        <x:v>三年</x:v>
      </x:c>
      <x:c r="B113" s="11" t="n">
        <x:v>3</x:v>
      </x:c>
      <x:c r="C113" s="11" t="str">
        <x:v>信达生物</x:v>
      </x:c>
      <x:c r="D113" s="11" t="str">
        <x:v>01801.HK</x:v>
      </x:c>
      <x:c r="E113" s="11" t="str">
        <x:v>I048</x:v>
      </x:c>
      <x:c r="F113" s="11" t="n">
        <x:f>'评分'!J93</x:f>
        <x:v>84.4</x:v>
      </x:c>
      <x:c r="G113" s="11" t="str">
        <x:v>第2梯队</x:v>
      </x:c>
      <x:c r="H113" s="11" t="str">
        <x:v>前十不同公司</x:v>
      </x:c>
      <x:c r="I113" s="11" t="n">
        <x:f>'情景快照'!E332</x:f>
        <x:v>92.65</x:v>
      </x:c>
      <x:c r="J113" s="11" t="n">
        <x:f>'情景快照'!F332</x:f>
        <x:v>169.4</x:v>
      </x:c>
      <x:c r="K113" s="25" t="n">
        <x:f>'情景快照'!I332</x:f>
        <x:v>0.8283864004317323</x:v>
      </x:c>
      <x:c r="L113" s="25" t="n">
        <x:f>'情景快照'!H331</x:f>
        <x:v>-0.3588774959525094</x:v>
      </x:c>
      <x:c r="M113" s="11" t="str">
        <x:v>仅当前完成模型样本</x:v>
      </x:c>
      <x:c r="N113" t="str">
        <x:f>IF(COUNTIF($O$111:$O$162,"排名待刷新")=0,"已刷新","排名待刷新")</x:f>
        <x:v>排名待刷新</x:v>
      </x:c>
      <x:c r="O113" t="str">
        <x:f>IF(AND(F113=84.4,K113=0.8283864004317323,L113=-0.3588774959525094,'情景快照'!T332="已刷新",'情景快照'!T331="已刷新"),"已刷新","排名待刷新")</x:f>
        <x:v>已刷新</x:v>
      </x:c>
    </x:row>
    <x:row r="114" ht="23" customHeight="1">
      <x:c r="A114" s="11" t="str">
        <x:v>三年</x:v>
      </x:c>
      <x:c r="B114" s="11" t="n">
        <x:v>4</x:v>
      </x:c>
      <x:c r="C114" s="11" t="str">
        <x:v>药明康德</x:v>
      </x:c>
      <x:c r="D114" s="11" t="str">
        <x:v>603259.SH</x:v>
      </x:c>
      <x:c r="E114" s="11" t="str">
        <x:v>I010</x:v>
      </x:c>
      <x:c r="F114" s="11" t="n">
        <x:f>'评分'!J197</x:f>
        <x:v>84.4</x:v>
      </x:c>
      <x:c r="G114" s="11" t="str">
        <x:v>第2梯队</x:v>
      </x:c>
      <x:c r="H114" s="11" t="str">
        <x:v>前十不同公司</x:v>
      </x:c>
      <x:c r="I114" s="11" t="n">
        <x:f>'情景快照'!E722</x:f>
        <x:v>157.8</x:v>
      </x:c>
      <x:c r="J114" s="11" t="n">
        <x:f>'情景快照'!F722</x:f>
        <x:v>275</x:v>
      </x:c>
      <x:c r="K114" s="25" t="n">
        <x:f>'情景快照'!I722</x:f>
        <x:v>0.7870722433460076</x:v>
      </x:c>
      <x:c r="L114" s="25" t="n">
        <x:f>'情景快照'!H721</x:f>
        <x:v>-0.31558935361216733</x:v>
      </x:c>
      <x:c r="M114" s="11" t="str">
        <x:v>仅当前完成模型样本</x:v>
      </x:c>
      <x:c r="N114" t="str">
        <x:f>IF(COUNTIF($O$111:$O$162,"排名待刷新")=0,"已刷新","排名待刷新")</x:f>
        <x:v>排名待刷新</x:v>
      </x:c>
      <x:c r="O114" t="str">
        <x:f>IF(AND(F114=84.39999999999999,K114=0.7870722433460076,L114=-0.31558935361216733,'情景快照'!T722="已刷新",'情景快照'!T721="已刷新"),"已刷新","排名待刷新")</x:f>
        <x:v>已刷新</x:v>
      </x:c>
    </x:row>
    <x:row r="115" ht="23" customHeight="1">
      <x:c r="A115" s="11" t="str">
        <x:v>三年</x:v>
      </x:c>
      <x:c r="B115" s="11" t="n">
        <x:v>5</x:v>
      </x:c>
      <x:c r="C115" s="11" t="str">
        <x:v>腾讯控股</x:v>
      </x:c>
      <x:c r="D115" s="11" t="str">
        <x:v>00700.HK</x:v>
      </x:c>
      <x:c r="E115" s="11" t="str">
        <x:v>I072</x:v>
      </x:c>
      <x:c r="F115" s="11" t="n">
        <x:f>'评分'!J189</x:f>
        <x:v>83.4</x:v>
      </x:c>
      <x:c r="G115" s="11" t="str">
        <x:v>第2梯队</x:v>
      </x:c>
      <x:c r="H115" s="11" t="str">
        <x:v>前十不同公司</x:v>
      </x:c>
      <x:c r="I115" s="11" t="n">
        <x:f>'情景快照'!E692</x:f>
        <x:v>424.8</x:v>
      </x:c>
      <x:c r="J115" s="11" t="n">
        <x:f>'情景快照'!F692</x:f>
        <x:v>748.0000000000001</x:v>
      </x:c>
      <x:c r="K115" s="25" t="n">
        <x:f>'情景快照'!I692</x:f>
        <x:v>0.8032015065913374</x:v>
      </x:c>
      <x:c r="L115" s="25" t="n">
        <x:f>'情景快照'!H691</x:f>
        <x:v>-0.2024482109227872</x:v>
      </x:c>
      <x:c r="M115" s="11" t="str">
        <x:v>仅当前完成模型样本</x:v>
      </x:c>
      <x:c r="N115" t="str">
        <x:f>IF(COUNTIF($O$111:$O$162,"排名待刷新")=0,"已刷新","排名待刷新")</x:f>
        <x:v>排名待刷新</x:v>
      </x:c>
      <x:c r="O115" t="str">
        <x:f>IF(AND(F115=83.4,K115=0.8032015065913372,L115=-0.2024482109227872,'情景快照'!T692="已刷新",'情景快照'!T691="已刷新"),"已刷新","排名待刷新")</x:f>
        <x:v>已刷新</x:v>
      </x:c>
    </x:row>
    <x:row r="116" ht="23" customHeight="1">
      <x:c r="A116" s="11" t="str">
        <x:v>三年</x:v>
      </x:c>
      <x:c r="B116" s="11" t="n">
        <x:v>6</x:v>
      </x:c>
      <x:c r="C116" s="11" t="str">
        <x:v>药明合联</x:v>
      </x:c>
      <x:c r="D116" s="11" t="str">
        <x:v>02268.HK</x:v>
      </x:c>
      <x:c r="E116" s="11" t="str">
        <x:v>I049</x:v>
      </x:c>
      <x:c r="F116" s="11" t="n">
        <x:f>'评分'!J209</x:f>
        <x:v>83</x:v>
      </x:c>
      <x:c r="G116" s="11" t="str">
        <x:v>第3梯队</x:v>
      </x:c>
      <x:c r="H116" s="11" t="str">
        <x:v>前十不同公司</x:v>
      </x:c>
      <x:c r="I116" s="11" t="n">
        <x:f>'情景快照'!E767</x:f>
        <x:v>82.1</x:v>
      </x:c>
      <x:c r="J116" s="11" t="n">
        <x:f>'情景快照'!F767</x:f>
        <x:v>135.30000000000004</x:v>
      </x:c>
      <x:c r="K116" s="25" t="n">
        <x:f>'情景快照'!I767</x:f>
        <x:v>0.6479902557856279</x:v>
      </x:c>
      <x:c r="L116" s="25" t="n">
        <x:f>'情景快照'!H766</x:f>
        <x:v>-0.20414129110840407</x:v>
      </x:c>
      <x:c r="M116" s="11" t="str">
        <x:v>仅当前完成模型样本</x:v>
      </x:c>
      <x:c r="N116" t="str">
        <x:f>IF(COUNTIF($O$111:$O$162,"排名待刷新")=0,"已刷新","排名待刷新")</x:f>
        <x:v>排名待刷新</x:v>
      </x:c>
      <x:c r="O116" t="str">
        <x:f>IF(AND(F116=83,K116=0.6479902557856272,L116=-0.20414129110840407,'情景快照'!T767="已刷新",'情景快照'!T766="已刷新"),"已刷新","排名待刷新")</x:f>
        <x:v>已刷新</x:v>
      </x:c>
    </x:row>
    <x:row r="117" ht="23" customHeight="1">
      <x:c r="A117" s="11" t="str">
        <x:v>三年</x:v>
      </x:c>
      <x:c r="B117" s="11" t="n">
        <x:v>7</x:v>
      </x:c>
      <x:c r="C117" s="11" t="str">
        <x:v>药明康德</x:v>
      </x:c>
      <x:c r="D117" s="11" t="str">
        <x:v>02359.HK</x:v>
      </x:c>
      <x:c r="E117" s="11" t="str">
        <x:v>I010</x:v>
      </x:c>
      <x:c r="F117" s="11" t="n">
        <x:f>'评分'!J201</x:f>
        <x:v>82.5</x:v>
      </x:c>
      <x:c r="G117" s="11" t="str">
        <x:v>第3梯队</x:v>
      </x:c>
      <x:c r="H117" s="11" t="str">
        <x:v>同公司其他代码</x:v>
      </x:c>
      <x:c r="I117" s="11" t="n">
        <x:f>'情景快照'!E737</x:f>
        <x:v>208</x:v>
      </x:c>
      <x:c r="J117" s="11" t="n">
        <x:f>'情景快照'!F737</x:f>
        <x:v>330</x:v>
      </x:c>
      <x:c r="K117" s="25" t="n">
        <x:f>'情景快照'!I737</x:f>
        <x:v>0.6235576923076922</x:v>
      </x:c>
      <x:c r="L117" s="25" t="n">
        <x:f>'情景快照'!H736</x:f>
        <x:v>-0.39076923076923076</x:v>
      </x:c>
      <x:c r="M117" s="11" t="str">
        <x:v>仅当前完成模型样本</x:v>
      </x:c>
      <x:c r="N117" t="str">
        <x:f>IF(COUNTIF($O$111:$O$162,"排名待刷新")=0,"已刷新","排名待刷新")</x:f>
        <x:v>排名待刷新</x:v>
      </x:c>
      <x:c r="O117" t="str">
        <x:f>IF(AND(F117=82.5,K117=0.6235576923076922,L117=-0.39076923076923076,'情景快照'!T737="已刷新",'情景快照'!T736="已刷新"),"已刷新","排名待刷新")</x:f>
        <x:v>已刷新</x:v>
      </x:c>
    </x:row>
    <x:row r="118" ht="23" customHeight="1">
      <x:c r="A118" s="11" t="str">
        <x:v>三年</x:v>
      </x:c>
      <x:c r="B118" s="11" t="n">
        <x:v>8</x:v>
      </x:c>
      <x:c r="C118" s="11" t="str">
        <x:v>翰森制药</x:v>
      </x:c>
      <x:c r="D118" s="11" t="str">
        <x:v>03692.HK</x:v>
      </x:c>
      <x:c r="E118" s="11" t="str">
        <x:v>I029</x:v>
      </x:c>
      <x:c r="F118" s="11" t="n">
        <x:f>'评分'!J73</x:f>
        <x:v>82.5</x:v>
      </x:c>
      <x:c r="G118" s="11" t="str">
        <x:v>第3梯队</x:v>
      </x:c>
      <x:c r="H118" s="11" t="str">
        <x:v>前十不同公司</x:v>
      </x:c>
      <x:c r="I118" s="11" t="n">
        <x:f>'情景快照'!E257</x:f>
        <x:v>31.54</x:v>
      </x:c>
      <x:c r="J118" s="11" t="n">
        <x:f>'情景快照'!F257</x:f>
        <x:v>54.896000000000015</x:v>
      </x:c>
      <x:c r="K118" s="25" t="n">
        <x:f>'情景快照'!I257</x:f>
        <x:v>0.8007609384908059</x:v>
      </x:c>
      <x:c r="L118" s="25" t="n">
        <x:f>'情景快照'!H256</x:f>
        <x:v>-0.2058923954929026</x:v>
      </x:c>
      <x:c r="M118" s="11" t="str">
        <x:v>仅当前完成模型样本</x:v>
      </x:c>
      <x:c r="N118" t="str">
        <x:f>IF(COUNTIF($O$111:$O$162,"排名待刷新")=0,"已刷新","排名待刷新")</x:f>
        <x:v>排名待刷新</x:v>
      </x:c>
      <x:c r="O118" t="str">
        <x:f>IF(AND(F118=82.49999999999999,K118=0.8007609384908057,L118=-0.2058923954929026,'情景快照'!T257="已刷新",'情景快照'!T256="已刷新"),"已刷新","排名待刷新")</x:f>
        <x:v>已刷新</x:v>
      </x:c>
    </x:row>
    <x:row r="119" ht="23" customHeight="1">
      <x:c r="A119" s="11" t="str">
        <x:v>三年</x:v>
      </x:c>
      <x:c r="B119" s="11" t="n">
        <x:v>9</x:v>
      </x:c>
      <x:c r="C119" s="11" t="str">
        <x:v>凯莱英</x:v>
      </x:c>
      <x:c r="D119" s="11" t="str">
        <x:v>06821.HK</x:v>
      </x:c>
      <x:c r="E119" s="11" t="str">
        <x:v>I006</x:v>
      </x:c>
      <x:c r="F119" s="11" t="n">
        <x:f>'评分'!J25</x:f>
        <x:v>82.4</x:v>
      </x:c>
      <x:c r="G119" s="11" t="str">
        <x:v>第3梯队</x:v>
      </x:c>
      <x:c r="H119" s="11" t="str">
        <x:v>前十不同公司</x:v>
      </x:c>
      <x:c r="I119" s="11" t="n">
        <x:f>'情景快照'!E77</x:f>
        <x:v>155.1</x:v>
      </x:c>
      <x:c r="J119" s="11" t="n">
        <x:f>'情景快照'!F77</x:f>
        <x:v>273.90000000000003</x:v>
      </x:c>
      <x:c r="K119" s="25" t="n">
        <x:f>'情景快照'!I77</x:f>
        <x:v>0.8085106382978728</x:v>
      </x:c>
      <x:c r="L119" s="25" t="n">
        <x:f>'情景快照'!H76</x:f>
        <x:v>-0.46099290780141833</x:v>
      </x:c>
      <x:c r="M119" s="11" t="str">
        <x:v>仅当前完成模型样本</x:v>
      </x:c>
      <x:c r="N119" t="str">
        <x:f>IF(COUNTIF($O$111:$O$162,"排名待刷新")=0,"已刷新","排名待刷新")</x:f>
        <x:v>排名待刷新</x:v>
      </x:c>
      <x:c r="O119" t="str">
        <x:f>IF(AND(F119=82.4,K119=0.8085106382978728,L119=-0.46099290780141833,'情景快照'!T77="已刷新",'情景快照'!T76="已刷新"),"已刷新","排名待刷新")</x:f>
        <x:v>已刷新</x:v>
      </x:c>
    </x:row>
    <x:row r="120" ht="23" customHeight="1">
      <x:c r="A120" s="11" t="str">
        <x:v>三年</x:v>
      </x:c>
      <x:c r="B120" s="11" t="n">
        <x:v>10</x:v>
      </x:c>
      <x:c r="C120" s="11" t="str">
        <x:v>恒瑞医药</x:v>
      </x:c>
      <x:c r="D120" s="11" t="str">
        <x:v>01276.HK</x:v>
      </x:c>
      <x:c r="E120" s="11" t="str">
        <x:v>I011</x:v>
      </x:c>
      <x:c r="F120" s="11" t="n">
        <x:f>'评分'!J85</x:f>
        <x:v>82</x:v>
      </x:c>
      <x:c r="G120" s="11" t="str">
        <x:v>第3梯队</x:v>
      </x:c>
      <x:c r="H120" s="11" t="str">
        <x:v>前十不同公司</x:v>
      </x:c>
      <x:c r="I120" s="11" t="n">
        <x:f>'情景快照'!E302</x:f>
        <x:v>48</x:v>
      </x:c>
      <x:c r="J120" s="11" t="n">
        <x:f>'情景快照'!F302</x:f>
        <x:v>88.93500000000002</x:v>
      </x:c>
      <x:c r="K120" s="25" t="n">
        <x:f>'情景快照'!I302</x:f>
        <x:v>0.8734375000000003</x:v>
      </x:c>
      <x:c r="L120" s="25" t="n">
        <x:f>'情景快照'!H301</x:f>
        <x:v>-0.3583333333333333</x:v>
      </x:c>
      <x:c r="M120" s="11" t="str">
        <x:v>仅当前完成模型样本</x:v>
      </x:c>
      <x:c r="N120" t="str">
        <x:f>IF(COUNTIF($O$111:$O$162,"排名待刷新")=0,"已刷新","排名待刷新")</x:f>
        <x:v>排名待刷新</x:v>
      </x:c>
      <x:c r="O120" t="str">
        <x:f>IF(AND(F120=82,K120=0.8734375000000003,L120=-0.3583333333333333,'情景快照'!T302="已刷新",'情景快照'!T301="已刷新"),"已刷新","排名待刷新")</x:f>
        <x:v>已刷新</x:v>
      </x:c>
    </x:row>
    <x:row r="121" ht="23" customHeight="1">
      <x:c r="A121" s="11" t="str">
        <x:v>三年</x:v>
      </x:c>
      <x:c r="B121" s="11" t="n">
        <x:v>11</x:v>
      </x:c>
      <x:c r="C121" s="11" t="str">
        <x:v>京东健康</x:v>
      </x:c>
      <x:c r="D121" s="11" t="str">
        <x:v>06618.HK</x:v>
      </x:c>
      <x:c r="E121" s="11" t="str">
        <x:v>I074</x:v>
      </x:c>
      <x:c r="F121" s="11" t="n">
        <x:f>'评分'!J101</x:f>
        <x:v>81.9</x:v>
      </x:c>
      <x:c r="G121" s="11" t="str">
        <x:v>第3梯队</x:v>
      </x:c>
      <x:c r="H121" s="11" t="str">
        <x:v>前十不同公司</x:v>
      </x:c>
      <x:c r="I121" s="11" t="n">
        <x:f>'情景快照'!E362</x:f>
        <x:v>36.08</x:v>
      </x:c>
      <x:c r="J121" s="11" t="n">
        <x:f>'情景快照'!F362</x:f>
        <x:v>88.86</x:v>
      </x:c>
      <x:c r="K121" s="25" t="n">
        <x:f>'情景快照'!I362</x:f>
        <x:v>1.4905764966740578</x:v>
      </x:c>
      <x:c r="L121" s="25" t="n">
        <x:f>'情景快照'!H361</x:f>
        <x:v>-0.7447339246119733</x:v>
      </x:c>
      <x:c r="M121" s="11" t="str">
        <x:v>仅当前完成模型样本</x:v>
      </x:c>
      <x:c r="N121" t="str">
        <x:f>IF(COUNTIF($O$111:$O$162,"排名待刷新")=0,"已刷新","排名待刷新")</x:f>
        <x:v>排名待刷新</x:v>
      </x:c>
      <x:c r="O121" t="str">
        <x:f>IF(AND(F121=81.9,K121=1.4905764966740578,L121=-0.7447339246119733,'情景快照'!T362="已刷新",'情景快照'!T361="已刷新"),"已刷新","排名待刷新")</x:f>
        <x:v>已刷新</x:v>
      </x:c>
    </x:row>
    <x:row r="122" ht="23" customHeight="1">
      <x:c r="A122" s="11" t="str">
        <x:v>三年</x:v>
      </x:c>
      <x:c r="B122" s="11" t="n">
        <x:v>12</x:v>
      </x:c>
      <x:c r="C122" s="11" t="str">
        <x:v>迈瑞医疗</x:v>
      </x:c>
      <x:c r="D122" s="11" t="str">
        <x:v>300760.SZ</x:v>
      </x:c>
      <x:c r="E122" s="11" t="str">
        <x:v>I014</x:v>
      </x:c>
      <x:c r="F122" s="11" t="n">
        <x:f>'评分'!J149</x:f>
        <x:v>81.8</x:v>
      </x:c>
      <x:c r="G122" s="11" t="str">
        <x:v>第3梯队</x:v>
      </x:c>
      <x:c r="H122" s="11" t="str">
        <x:v>前十不同公司</x:v>
      </x:c>
      <x:c r="I122" s="11" t="n">
        <x:f>'情景快照'!E542</x:f>
        <x:v>161.4</x:v>
      </x:c>
      <x:c r="J122" s="11" t="n">
        <x:f>'情景快照'!F542</x:f>
        <x:v>276</x:v>
      </x:c>
      <x:c r="K122" s="25" t="n">
        <x:f>'情景快照'!I542</x:f>
        <x:v>0.7967781908302354</x:v>
      </x:c>
      <x:c r="L122" s="25" t="n">
        <x:f>'情景快照'!H541</x:f>
        <x:v>-0.22676579925650564</x:v>
      </x:c>
      <x:c r="M122" s="11" t="str">
        <x:v>仅当前完成模型样本</x:v>
      </x:c>
      <x:c r="N122" t="str">
        <x:f>IF(COUNTIF($O$111:$O$162,"排名待刷新")=0,"已刷新","排名待刷新")</x:f>
        <x:v>排名待刷新</x:v>
      </x:c>
      <x:c r="O122" t="str">
        <x:f>IF(AND(F122=81.79999999999998,K122=0.7967781908302354,L122=-0.22676579925650564,'情景快照'!T542="已刷新",'情景快照'!T541="已刷新"),"已刷新","排名待刷新")</x:f>
        <x:v>已刷新</x:v>
      </x:c>
    </x:row>
    <x:row r="123" ht="23" customHeight="1">
      <x:c r="A123" s="11" t="str">
        <x:v>三年</x:v>
      </x:c>
      <x:c r="B123" s="11" t="n">
        <x:v>13</x:v>
      </x:c>
      <x:c r="C123" s="11" t="str">
        <x:v>宁德时代</x:v>
      </x:c>
      <x:c r="D123" s="11" t="str">
        <x:v>03750.HK</x:v>
      </x:c>
      <x:c r="E123" s="11" t="str">
        <x:v>I063</x:v>
      </x:c>
      <x:c r="F123" s="11" t="n">
        <x:f>'评分'!J49</x:f>
        <x:v>81.6</x:v>
      </x:c>
      <x:c r="G123" s="11" t="str">
        <x:v>第3梯队</x:v>
      </x:c>
      <x:c r="H123" s="11" t="str">
        <x:v>同公司其他代码</x:v>
      </x:c>
      <x:c r="I123" s="11" t="n">
        <x:f>'情景快照'!E167</x:f>
        <x:v>491.4</x:v>
      </x:c>
      <x:c r="J123" s="11" t="n">
        <x:f>'情景快照'!F167</x:f>
        <x:v>917.88</x:v>
      </x:c>
      <x:c r="K123" s="25" t="n">
        <x:f>'情景快照'!I167</x:f>
        <x:v>0.9228327228327229</x:v>
      </x:c>
      <x:c r="L123" s="25" t="n">
        <x:f>'情景快照'!H166</x:f>
        <x:v>-0.7510989010989011</x:v>
      </x:c>
      <x:c r="M123" s="11" t="str">
        <x:v>仅当前完成模型样本</x:v>
      </x:c>
      <x:c r="N123" t="str">
        <x:f>IF(COUNTIF($O$111:$O$162,"排名待刷新")=0,"已刷新","排名待刷新")</x:f>
        <x:v>排名待刷新</x:v>
      </x:c>
      <x:c r="O123" t="str">
        <x:f>IF(AND(F123=81.60000000000001,K123=0.9228327228327229,L123=-0.7510989010989011,'情景快照'!T167="已刷新",'情景快照'!T166="已刷新"),"已刷新","排名待刷新")</x:f>
        <x:v>已刷新</x:v>
      </x:c>
    </x:row>
    <x:row r="124" ht="23" customHeight="1">
      <x:c r="A124" s="11" t="str">
        <x:v>三年</x:v>
      </x:c>
      <x:c r="B124" s="11" t="n">
        <x:v>14</x:v>
      </x:c>
      <x:c r="C124" s="11" t="str">
        <x:v>中国生物制药</x:v>
      </x:c>
      <x:c r="D124" s="11" t="str">
        <x:v>01177.HK</x:v>
      </x:c>
      <x:c r="E124" s="11" t="str">
        <x:v>I031</x:v>
      </x:c>
      <x:c r="F124" s="11" t="n">
        <x:f>'评分'!J181</x:f>
        <x:v>81.4</x:v>
      </x:c>
      <x:c r="G124" s="11" t="str">
        <x:v>第3梯队</x:v>
      </x:c>
      <x:c r="H124" s="11" t="str">
        <x:v>同公司其他代码</x:v>
      </x:c>
      <x:c r="I124" s="11" t="n">
        <x:f>'情景快照'!E662</x:f>
        <x:v>5.41</x:v>
      </x:c>
      <x:c r="J124" s="11" t="n">
        <x:f>'情景快照'!F662</x:f>
        <x:v>13.586638297872343</x:v>
      </x:c>
      <x:c r="K124" s="25" t="n">
        <x:f>'情景快照'!I662</x:f>
        <x:v>1.6038148424902667</x:v>
      </x:c>
      <x:c r="L124" s="25" t="n">
        <x:f>'情景快照'!H661</x:f>
        <x:v>-0.2459772351396049</x:v>
      </x:c>
      <x:c r="M124" s="11" t="str">
        <x:v>仅当前完成模型样本</x:v>
      </x:c>
      <x:c r="N124" t="str">
        <x:f>IF(COUNTIF($O$111:$O$162,"排名待刷新")=0,"已刷新","排名待刷新")</x:f>
        <x:v>排名待刷新</x:v>
      </x:c>
      <x:c r="O124" t="str">
        <x:f>IF(AND(F124=81.4,K124=1.6038148424902667,L124=-0.2459772351396049,'情景快照'!T662="已刷新",'情景快照'!T661="已刷新"),"已刷新","排名待刷新")</x:f>
        <x:v>已刷新</x:v>
      </x:c>
    </x:row>
    <x:row r="125" ht="23" customHeight="1">
      <x:c r="A125" s="11" t="str">
        <x:v>三年</x:v>
      </x:c>
      <x:c r="B125" s="11" t="n">
        <x:v>15</x:v>
      </x:c>
      <x:c r="C125" s="11" t="str">
        <x:v>美的集团</x:v>
      </x:c>
      <x:c r="D125" s="11" t="str">
        <x:v>00300.HK</x:v>
      </x:c>
      <x:c r="E125" s="11" t="str">
        <x:v>I082</x:v>
      </x:c>
      <x:c r="F125" s="11" t="n">
        <x:f>'评分'!J145</x:f>
        <x:v>81.3</x:v>
      </x:c>
      <x:c r="G125" s="11" t="str">
        <x:v>第3梯队</x:v>
      </x:c>
      <x:c r="H125" s="11" t="str">
        <x:v>同公司其他代码</x:v>
      </x:c>
      <x:c r="I125" s="11" t="n">
        <x:f>'情景快照'!E527</x:f>
        <x:v>93.65</x:v>
      </x:c>
      <x:c r="J125" s="11" t="n">
        <x:f>'情景快照'!F527</x:f>
        <x:v>171.53</x:v>
      </x:c>
      <x:c r="K125" s="25" t="n">
        <x:f>'情景快照'!I527</x:f>
        <x:v>1.0131340096102508</x:v>
      </x:c>
      <x:c r="L125" s="25" t="n">
        <x:f>'情景快照'!H526</x:f>
        <x:v>-0.5366791243993594</x:v>
      </x:c>
      <x:c r="M125" s="11" t="str">
        <x:v>仅当前完成模型样本</x:v>
      </x:c>
      <x:c r="N125" t="str">
        <x:f>IF(COUNTIF($O$111:$O$162,"排名待刷新")=0,"已刷新","排名待刷新")</x:f>
        <x:v>排名待刷新</x:v>
      </x:c>
      <x:c r="O125" t="str">
        <x:f>IF(AND(F125=81.3,K125=1.0131340096102508,L125=-0.5366791243993594,'情景快照'!T527="已刷新",'情景快照'!T526="已刷新"),"已刷新","排名待刷新")</x:f>
        <x:v>已刷新</x:v>
      </x:c>
    </x:row>
    <x:row r="126" ht="23" customHeight="1">
      <x:c r="A126" s="11" t="str">
        <x:v>三年</x:v>
      </x:c>
      <x:c r="B126" s="11" t="n">
        <x:v>16</x:v>
      </x:c>
      <x:c r="C126" s="11" t="str">
        <x:v>凯莱英</x:v>
      </x:c>
      <x:c r="D126" s="11" t="str">
        <x:v>002821.SZ</x:v>
      </x:c>
      <x:c r="E126" s="11" t="str">
        <x:v>I006</x:v>
      </x:c>
      <x:c r="F126" s="11" t="n">
        <x:f>'评分'!J21</x:f>
        <x:v>80.9</x:v>
      </x:c>
      <x:c r="G126" s="11" t="str">
        <x:v>第3梯队</x:v>
      </x:c>
      <x:c r="H126" s="11" t="str">
        <x:v>同公司其他代码</x:v>
      </x:c>
      <x:c r="I126" s="11" t="n">
        <x:f>'情景快照'!E62</x:f>
        <x:v>177.93</x:v>
      </x:c>
      <x:c r="J126" s="11" t="n">
        <x:f>'情景快照'!F62</x:f>
        <x:v>290.5</x:v>
      </x:c>
      <x:c r="K126" s="25" t="n">
        <x:f>'情景快照'!I62</x:f>
        <x:v>0.6663856572809532</x:v>
      </x:c>
      <x:c r="L126" s="25" t="n">
        <x:f>'情景快照'!H61</x:f>
        <x:v>-0.5301523070870567</x:v>
      </x:c>
      <x:c r="M126" s="11" t="str">
        <x:v>仅当前完成模型样本</x:v>
      </x:c>
      <x:c r="N126" t="str">
        <x:f>IF(COUNTIF($O$111:$O$162,"排名待刷新")=0,"已刷新","排名待刷新")</x:f>
        <x:v>排名待刷新</x:v>
      </x:c>
      <x:c r="O126" t="str">
        <x:f>IF(AND(F126=80.9,K126=0.6663856572809532,L126=-0.5301523070870567,'情景快照'!T62="已刷新",'情景快照'!T61="已刷新"),"已刷新","排名待刷新")</x:f>
        <x:v>已刷新</x:v>
      </x:c>
    </x:row>
    <x:row r="127" ht="23" customHeight="1">
      <x:c r="A127" s="11" t="str">
        <x:v>三年</x:v>
      </x:c>
      <x:c r="B127" s="11" t="n">
        <x:v>17</x:v>
      </x:c>
      <x:c r="C127" s="11" t="str">
        <x:v>恒瑞医药</x:v>
      </x:c>
      <x:c r="D127" s="11" t="str">
        <x:v>600276.SH</x:v>
      </x:c>
      <x:c r="E127" s="11" t="str">
        <x:v>I011</x:v>
      </x:c>
      <x:c r="F127" s="11" t="n">
        <x:f>'评分'!J81</x:f>
        <x:v>80.9</x:v>
      </x:c>
      <x:c r="G127" s="11" t="str">
        <x:v>第3梯队</x:v>
      </x:c>
      <x:c r="H127" s="11" t="str">
        <x:v>同公司其他代码</x:v>
      </x:c>
      <x:c r="I127" s="11" t="n">
        <x:f>'情景快照'!E287</x:f>
        <x:v>46.85</x:v>
      </x:c>
      <x:c r="J127" s="11" t="n">
        <x:f>'情景快照'!F287</x:f>
        <x:v>83.30000000000001</x:v>
      </x:c>
      <x:c r="K127" s="25" t="n">
        <x:f>'情景快照'!I287</x:f>
        <x:v>0.7972251867662756</x:v>
      </x:c>
      <x:c r="L127" s="25" t="n">
        <x:f>'情景快照'!H286</x:f>
        <x:v>-0.3425827107790823</x:v>
      </x:c>
      <x:c r="M127" s="11" t="str">
        <x:v>仅当前完成模型样本</x:v>
      </x:c>
      <x:c r="N127" t="str">
        <x:f>IF(COUNTIF($O$111:$O$162,"排名待刷新")=0,"已刷新","排名待刷新")</x:f>
        <x:v>排名待刷新</x:v>
      </x:c>
      <x:c r="O127" t="str">
        <x:f>IF(AND(F127=80.89999999999999,K127=0.7972251867662756,L127=-0.3425827107790823,'情景快照'!T287="已刷新",'情景快照'!T286="已刷新"),"已刷新","排名待刷新")</x:f>
        <x:v>已刷新</x:v>
      </x:c>
    </x:row>
    <x:row r="128" ht="23" customHeight="1">
      <x:c r="A128" s="11" t="str">
        <x:v>三年</x:v>
      </x:c>
      <x:c r="B128" s="11" t="n">
        <x:v>18</x:v>
      </x:c>
      <x:c r="C128" s="11" t="str">
        <x:v>网易</x:v>
      </x:c>
      <x:c r="D128" s="11" t="str">
        <x:v>09999.HK</x:v>
      </x:c>
      <x:c r="E128" s="11" t="str">
        <x:v>I064</x:v>
      </x:c>
      <x:c r="F128" s="11" t="n">
        <x:f>'评分'!J153</x:f>
        <x:v>80.7</x:v>
      </x:c>
      <x:c r="G128" s="11" t="str">
        <x:v>第3梯队</x:v>
      </x:c>
      <x:c r="H128" s="11" t="str">
        <x:v>同公司其他代码</x:v>
      </x:c>
      <x:c r="I128" s="11" t="n">
        <x:f>'情景快照'!E557</x:f>
        <x:v>193.5</x:v>
      </x:c>
      <x:c r="J128" s="11" t="n">
        <x:f>'情景快照'!F557</x:f>
        <x:v>299.20000000000005</x:v>
      </x:c>
      <x:c r="K128" s="25" t="n">
        <x:f>'情景快照'!I557</x:f>
        <x:v>0.618604651162791</x:v>
      </x:c>
      <x:c r="L128" s="25" t="n">
        <x:f>'情景快照'!H556</x:f>
        <x:v>-0.31214470284237716</x:v>
      </x:c>
      <x:c r="M128" s="11" t="str">
        <x:v>仅当前完成模型样本</x:v>
      </x:c>
      <x:c r="N128" t="str">
        <x:f>IF(COUNTIF($O$111:$O$162,"排名待刷新")=0,"已刷新","排名待刷新")</x:f>
        <x:v>排名待刷新</x:v>
      </x:c>
      <x:c r="O128" t="str">
        <x:f>IF(AND(F128=80.7,K128=0.6186046511627907,L128=-0.3121447028423773,'情景快照'!T557="已刷新",'情景快照'!T556="已刷新"),"已刷新","排名待刷新")</x:f>
        <x:v>已刷新</x:v>
      </x:c>
    </x:row>
    <x:row r="129" ht="23" customHeight="1">
      <x:c r="A129" s="11" t="str">
        <x:v>三年</x:v>
      </x:c>
      <x:c r="B129" s="11" t="n">
        <x:v>19</x:v>
      </x:c>
      <x:c r="C129" s="11" t="str">
        <x:v>先声药业</x:v>
      </x:c>
      <x:c r="D129" s="11" t="str">
        <x:v>02096.HK</x:v>
      </x:c>
      <x:c r="E129" s="11" t="str">
        <x:v>I033</x:v>
      </x:c>
      <x:c r="F129" s="11" t="n">
        <x:f>'评分'!J177</x:f>
        <x:v>79.4</x:v>
      </x:c>
      <x:c r="G129" s="11" t="str">
        <x:v>第4梯队</x:v>
      </x:c>
      <x:c r="H129" s="11" t="str">
        <x:v>同公司其他代码</x:v>
      </x:c>
      <x:c r="I129" s="11" t="n">
        <x:f>'情景快照'!E647</x:f>
        <x:v>10.89</x:v>
      </x:c>
      <x:c r="J129" s="11" t="n">
        <x:f>'情景快照'!F647</x:f>
        <x:v>25.536724432394696</x:v>
      </x:c>
      <x:c r="K129" s="25" t="n">
        <x:f>'情景快照'!I647</x:f>
        <x:v>1.4257781847929012</x:v>
      </x:c>
      <x:c r="L129" s="25" t="n">
        <x:f>'情景快照'!H646</x:f>
        <x:v>-0.6837513235294115</x:v>
      </x:c>
      <x:c r="M129" s="11" t="str">
        <x:v>仅当前完成模型样本</x:v>
      </x:c>
      <x:c r="N129" t="str">
        <x:f>IF(COUNTIF($O$111:$O$162,"排名待刷新")=0,"已刷新","排名待刷新")</x:f>
        <x:v>排名待刷新</x:v>
      </x:c>
      <x:c r="O129" t="str">
        <x:f>IF(AND(F129=79.39999999999999,K129=1.4257781847929012,L129=-0.6837513235294119,'情景快照'!T647="已刷新",'情景快照'!T646="已刷新"),"已刷新","排名待刷新")</x:f>
        <x:v>已刷新</x:v>
      </x:c>
    </x:row>
    <x:row r="130" ht="23" customHeight="1">
      <x:c r="A130" s="11" t="str">
        <x:v>三年</x:v>
      </x:c>
      <x:c r="B130" s="11" t="n">
        <x:v>20</x:v>
      </x:c>
      <x:c r="C130" s="11" t="str">
        <x:v>石药集团</x:v>
      </x:c>
      <x:c r="D130" s="11" t="str">
        <x:v>01093.HK</x:v>
      </x:c>
      <x:c r="E130" s="11" t="str">
        <x:v>I025</x:v>
      </x:c>
      <x:c r="F130" s="11" t="n">
        <x:f>'评分'!J53</x:f>
        <x:v>79.1</x:v>
      </x:c>
      <x:c r="G130" s="11" t="str">
        <x:v>第4梯队</x:v>
      </x:c>
      <x:c r="H130" s="11" t="str">
        <x:v>同公司其他代码</x:v>
      </x:c>
      <x:c r="I130" s="11" t="n">
        <x:f>'情景快照'!E182</x:f>
        <x:v>9.085</x:v>
      </x:c>
      <x:c r="J130" s="11" t="n">
        <x:f>'情景快照'!F182</x:f>
        <x:v>12.94461579388869</x:v>
      </x:c>
      <x:c r="K130" s="25" t="n">
        <x:f>'情景快照'!I182</x:f>
        <x:v>0.5459125805050842</x:v>
      </x:c>
      <x:c r="L130" s="25" t="n">
        <x:f>'情景快照'!H181</x:f>
        <x:v>-0.5275686207747985</x:v>
      </x:c>
      <x:c r="M130" s="11" t="str">
        <x:v>仅当前完成模型样本</x:v>
      </x:c>
      <x:c r="N130" t="str">
        <x:f>IF(COUNTIF($O$111:$O$162,"排名待刷新")=0,"已刷新","排名待刷新")</x:f>
        <x:v>排名待刷新</x:v>
      </x:c>
      <x:c r="O130" t="str">
        <x:f>IF(AND(F130=79.10000000000001,K130=0.5459125805050842,L130=-0.5275686207747984,'情景快照'!T182="已刷新",'情景快照'!T181="已刷新"),"已刷新","排名待刷新")</x:f>
        <x:v>已刷新</x:v>
      </x:c>
    </x:row>
    <x:row r="131" ht="23" customHeight="1">
      <x:c r="A131" s="11" t="str">
        <x:v>三年</x:v>
      </x:c>
      <x:c r="B131" s="11" t="n">
        <x:v>21</x:v>
      </x:c>
      <x:c r="C131" s="11" t="str">
        <x:v>药明生物</x:v>
      </x:c>
      <x:c r="D131" s="11" t="str">
        <x:v>02269.HK</x:v>
      </x:c>
      <x:c r="E131" s="11" t="str">
        <x:v>I034</x:v>
      </x:c>
      <x:c r="F131" s="11" t="n">
        <x:f>'评分'!J205</x:f>
        <x:v>78.5</x:v>
      </x:c>
      <x:c r="G131" s="11" t="str">
        <x:v>第4梯队</x:v>
      </x:c>
      <x:c r="H131" s="11" t="str">
        <x:v>同公司其他代码</x:v>
      </x:c>
      <x:c r="I131" s="11" t="n">
        <x:f>'情景快照'!E752</x:f>
        <x:v>53.85</x:v>
      </x:c>
      <x:c r="J131" s="11" t="n">
        <x:f>'情景快照'!F752</x:f>
        <x:v>84.7</x:v>
      </x:c>
      <x:c r="K131" s="25" t="n">
        <x:f>'情景快照'!I752</x:f>
        <x:v>0.5728876508820799</x:v>
      </x:c>
      <x:c r="L131" s="25" t="n">
        <x:f>'情景快照'!H751</x:f>
        <x:v>-0.16657381615598887</x:v>
      </x:c>
      <x:c r="M131" s="11" t="str">
        <x:v>仅当前完成模型样本</x:v>
      </x:c>
      <x:c r="N131" t="str">
        <x:f>IF(COUNTIF($O$111:$O$162,"排名待刷新")=0,"已刷新","排名待刷新")</x:f>
        <x:v>排名待刷新</x:v>
      </x:c>
      <x:c r="O131" t="str">
        <x:f>IF(AND(F131=78.5,K131=0.5728876508820799,L131=-0.16657381615598887,'情景快照'!T752="已刷新",'情景快照'!T751="已刷新"),"已刷新","排名待刷新")</x:f>
        <x:v>已刷新</x:v>
      </x:c>
    </x:row>
    <x:row r="132" ht="23" customHeight="1">
      <x:c r="A132" s="11" t="str">
        <x:v>三年</x:v>
      </x:c>
      <x:c r="B132" s="11" t="n">
        <x:v>22</x:v>
      </x:c>
      <x:c r="C132" s="11" t="str">
        <x:v>康龙化成</x:v>
      </x:c>
      <x:c r="D132" s="11" t="str">
        <x:v>03759.HK</x:v>
      </x:c>
      <x:c r="E132" s="11" t="str">
        <x:v>I022</x:v>
      </x:c>
      <x:c r="F132" s="11" t="n">
        <x:f>'评分'!J157</x:f>
        <x:v>78.1</x:v>
      </x:c>
      <x:c r="G132" s="11" t="str">
        <x:v>第4梯队</x:v>
      </x:c>
      <x:c r="H132" s="11" t="str">
        <x:v>同公司其他代码</x:v>
      </x:c>
      <x:c r="I132" s="11" t="n">
        <x:f>'情景快照'!E572</x:f>
        <x:v>30.6</x:v>
      </x:c>
      <x:c r="J132" s="11" t="n">
        <x:f>'情景快照'!F572</x:f>
        <x:v>58.726734368303994</x:v>
      </x:c>
      <x:c r="K132" s="25" t="n">
        <x:f>'情景快照'!I572</x:f>
        <x:v>0.954403083931503</x:v>
      </x:c>
      <x:c r="L132" s="25" t="n">
        <x:f>'情景快照'!H571</x:f>
        <x:v>-0.5269999999999999</x:v>
      </x:c>
      <x:c r="M132" s="11" t="str">
        <x:v>仅当前完成模型样本</x:v>
      </x:c>
      <x:c r="N132" t="str">
        <x:f>IF(COUNTIF($O$111:$O$162,"排名待刷新")=0,"已刷新","排名待刷新")</x:f>
        <x:v>排名待刷新</x:v>
      </x:c>
      <x:c r="O132" t="str">
        <x:f>IF(AND(F132=78.1,K132=0.954403083931503,L132=-0.5269999999999999,'情景快照'!T572="已刷新",'情景快照'!T571="已刷新"),"已刷新","排名待刷新")</x:f>
        <x:v>排名待刷新</x:v>
      </x:c>
    </x:row>
    <x:row r="133" ht="23" customHeight="1">
      <x:c r="A133" s="11" t="str">
        <x:v>三年</x:v>
      </x:c>
      <x:c r="B133" s="11" t="n">
        <x:v>23</x:v>
      </x:c>
      <x:c r="C133" s="11" t="str">
        <x:v>海尔生物</x:v>
      </x:c>
      <x:c r="D133" s="11" t="str">
        <x:v>688139.SH</x:v>
      </x:c>
      <x:c r="E133" s="11" t="str">
        <x:v>I001</x:v>
      </x:c>
      <x:c r="F133" s="11" t="n">
        <x:f>'评分'!J69</x:f>
        <x:v>78.1</x:v>
      </x:c>
      <x:c r="G133" s="11" t="str">
        <x:v>第4梯队</x:v>
      </x:c>
      <x:c r="H133" s="11" t="str">
        <x:v>同公司其他代码</x:v>
      </x:c>
      <x:c r="I133" s="11" t="n">
        <x:f>'情景快照'!E242</x:f>
        <x:v>35.13</x:v>
      </x:c>
      <x:c r="J133" s="11" t="n">
        <x:f>'情景快照'!F242</x:f>
        <x:v>62.4</x:v>
      </x:c>
      <x:c r="K133" s="25" t="n">
        <x:f>'情景快照'!I242</x:f>
        <x:v>0.8246512951892966</x:v>
      </x:c>
      <x:c r="L133" s="25" t="n">
        <x:f>'情景快照'!H241</x:f>
        <x:v>-0.4050668943922574</x:v>
      </x:c>
      <x:c r="M133" s="11" t="str">
        <x:v>仅当前完成模型样本</x:v>
      </x:c>
      <x:c r="N133" t="str">
        <x:f>IF(COUNTIF($O$111:$O$162,"排名待刷新")=0,"已刷新","排名待刷新")</x:f>
        <x:v>排名待刷新</x:v>
      </x:c>
      <x:c r="O133" t="str">
        <x:f>IF(AND(F133=78.1,K133=0.8246512951892966,L133=-0.4050668943922574,'情景快照'!T242="已刷新",'情景快照'!T241="已刷新"),"已刷新","排名待刷新")</x:f>
        <x:v>已刷新</x:v>
      </x:c>
    </x:row>
    <x:row r="134" ht="23" customHeight="1">
      <x:c r="A134" s="11" t="str">
        <x:v>三年</x:v>
      </x:c>
      <x:c r="B134" s="11" t="n">
        <x:v>24</x:v>
      </x:c>
      <x:c r="C134" s="11" t="str">
        <x:v>联想集团</x:v>
      </x:c>
      <x:c r="D134" s="11" t="str">
        <x:v>00992.HK</x:v>
      </x:c>
      <x:c r="E134" s="11" t="str">
        <x:v>I065</x:v>
      </x:c>
      <x:c r="F134" s="11" t="n">
        <x:f>'评分'!J125</x:f>
        <x:v>78</x:v>
      </x:c>
      <x:c r="G134" s="11" t="str">
        <x:v>第4梯队</x:v>
      </x:c>
      <x:c r="H134" s="11" t="str">
        <x:v>同公司其他代码</x:v>
      </x:c>
      <x:c r="I134" s="11" t="n">
        <x:f>'情景快照'!E452</x:f>
        <x:v>32.84</x:v>
      </x:c>
      <x:c r="J134" s="11" t="n">
        <x:f>'情景快照'!F452</x:f>
        <x:v>78.38</x:v>
      </x:c>
      <x:c r="K134" s="25" t="n">
        <x:f>'情景快照'!I452</x:f>
        <x:v>1.4598051157125456</x:v>
      </x:c>
      <x:c r="L134" s="25" t="n">
        <x:f>'情景快照'!H451</x:f>
        <x:v>-0.7926309378806334</x:v>
      </x:c>
      <x:c r="M134" s="11" t="str">
        <x:v>仅当前完成模型样本</x:v>
      </x:c>
      <x:c r="N134" t="str">
        <x:f>IF(COUNTIF($O$111:$O$162,"排名待刷新")=0,"已刷新","排名待刷新")</x:f>
        <x:v>排名待刷新</x:v>
      </x:c>
      <x:c r="O134" t="str">
        <x:f>IF(AND(F134=78,K134=1.4598051157125456,L134=-0.7926309378806334,'情景快照'!T452="已刷新",'情景快照'!T451="已刷新"),"已刷新","排名待刷新")</x:f>
        <x:v>已刷新</x:v>
      </x:c>
    </x:row>
    <x:row r="135" ht="23" customHeight="1">
      <x:c r="A135" s="11" t="str">
        <x:v>三年</x:v>
      </x:c>
      <x:c r="B135" s="11" t="n">
        <x:v>25</x:v>
      </x:c>
      <x:c r="C135" s="11" t="str">
        <x:v>比亚迪股份</x:v>
      </x:c>
      <x:c r="D135" s="11" t="str">
        <x:v>01211.HK</x:v>
      </x:c>
      <x:c r="E135" s="11" t="str">
        <x:v>I061</x:v>
      </x:c>
      <x:c r="F135" s="11" t="n">
        <x:f>'评分'!J45</x:f>
        <x:v>77.7</x:v>
      </x:c>
      <x:c r="G135" s="11" t="str">
        <x:v>第4梯队</x:v>
      </x:c>
      <x:c r="H135" s="11" t="str">
        <x:v>同公司其他代码</x:v>
      </x:c>
      <x:c r="I135" s="11" t="n">
        <x:f>'情景快照'!E152</x:f>
        <x:v>75.6</x:v>
      </x:c>
      <x:c r="J135" s="11" t="n">
        <x:f>'情景快照'!F152</x:f>
        <x:v>168.2</x:v>
      </x:c>
      <x:c r="K135" s="25" t="n">
        <x:f>'情景快照'!I152</x:f>
        <x:v>1.2513227513227512</x:v>
      </x:c>
      <x:c r="L135" s="25" t="n">
        <x:f>'情景快照'!H151</x:f>
        <x:v>-0.7351851851851852</x:v>
      </x:c>
      <x:c r="M135" s="11" t="str">
        <x:v>仅当前完成模型样本</x:v>
      </x:c>
      <x:c r="N135" t="str">
        <x:f>IF(COUNTIF($O$111:$O$162,"排名待刷新")=0,"已刷新","排名待刷新")</x:f>
        <x:v>排名待刷新</x:v>
      </x:c>
      <x:c r="O135" t="str">
        <x:f>IF(AND(F135=77.7,K135=1.2513227513227512,L135=-0.7351851851851852,'情景快照'!T152="已刷新",'情景快照'!T151="已刷新"),"已刷新","排名待刷新")</x:f>
        <x:v>已刷新</x:v>
      </x:c>
    </x:row>
    <x:row r="136" ht="23" customHeight="1">
      <x:c r="A136" s="11" t="str">
        <x:v>三年</x:v>
      </x:c>
      <x:c r="B136" s="11" t="n">
        <x:v>26</x:v>
      </x:c>
      <x:c r="C136" s="11" t="str">
        <x:v>阿里巴巴-W</x:v>
      </x:c>
      <x:c r="D136" s="11" t="str">
        <x:v>09988.HK</x:v>
      </x:c>
      <x:c r="E136" s="11" t="str">
        <x:v>I075</x:v>
      </x:c>
      <x:c r="F136" s="11" t="n">
        <x:f>'评分'!J17</x:f>
        <x:v>77.5</x:v>
      </x:c>
      <x:c r="G136" s="11" t="str">
        <x:v>第4梯队</x:v>
      </x:c>
      <x:c r="H136" s="11" t="str">
        <x:v>同公司其他代码</x:v>
      </x:c>
      <x:c r="I136" s="11" t="n">
        <x:f>'情景快照'!E47</x:f>
        <x:v>107</x:v>
      </x:c>
      <x:c r="J136" s="11" t="n">
        <x:f>'情景快照'!F47</x:f>
        <x:v>241.56</x:v>
      </x:c>
      <x:c r="K136" s="25" t="n">
        <x:f>'情景快照'!I47</x:f>
        <x:v>1.2996261682242989</x:v>
      </x:c>
      <x:c r="L136" s="25" t="n">
        <x:f>'情景快照'!H46</x:f>
        <x:v>-0.6274766355140187</x:v>
      </x:c>
      <x:c r="M136" s="11" t="str">
        <x:v>仅当前完成模型样本</x:v>
      </x:c>
      <x:c r="N136" t="str">
        <x:f>IF(COUNTIF($O$111:$O$162,"排名待刷新")=0,"已刷新","排名待刷新")</x:f>
        <x:v>排名待刷新</x:v>
      </x:c>
      <x:c r="O136" t="str">
        <x:f>IF(AND(F136=77.5,K136=1.2996261682242989,L136=-0.6274766355140187,'情景快照'!T47="已刷新",'情景快照'!T46="已刷新"),"已刷新","排名待刷新")</x:f>
        <x:v>已刷新</x:v>
      </x:c>
    </x:row>
    <x:row r="137" ht="23" customHeight="1">
      <x:c r="A137" s="11" t="str">
        <x:v>三年</x:v>
      </x:c>
      <x:c r="B137" s="11" t="n">
        <x:v>27</x:v>
      </x:c>
      <x:c r="C137" s="11" t="str">
        <x:v>金蝶国际</x:v>
      </x:c>
      <x:c r="D137" s="11" t="str">
        <x:v>00268.HK</x:v>
      </x:c>
      <x:c r="E137" s="11" t="str">
        <x:v>I090</x:v>
      </x:c>
      <x:c r="F137" s="11" t="n">
        <x:f>'评分'!J117</x:f>
        <x:v>77.1</x:v>
      </x:c>
      <x:c r="G137" s="11" t="str">
        <x:v>第4梯队</x:v>
      </x:c>
      <x:c r="H137" s="11" t="str">
        <x:v>同公司其他代码</x:v>
      </x:c>
      <x:c r="I137" s="11" t="n">
        <x:f>'情景快照'!E422</x:f>
        <x:v>7.835</x:v>
      </x:c>
      <x:c r="J137" s="11" t="n">
        <x:f>'情景快照'!F422</x:f>
        <x:v>14.3</x:v>
      </x:c>
      <x:c r="K137" s="25" t="n">
        <x:f>'情景快照'!I422</x:f>
        <x:v>0.8404594767070837</x:v>
      </x:c>
      <x:c r="L137" s="25" t="n">
        <x:f>'情景快照'!H421</x:f>
        <x:v>-0.7613273771537971</x:v>
      </x:c>
      <x:c r="M137" s="11" t="str">
        <x:v>仅当前完成模型样本</x:v>
      </x:c>
      <x:c r="N137" t="str">
        <x:f>IF(COUNTIF($O$111:$O$162,"排名待刷新")=0,"已刷新","排名待刷新")</x:f>
        <x:v>排名待刷新</x:v>
      </x:c>
      <x:c r="O137" t="str">
        <x:f>IF(AND(F137=77.1,K137=0.8404594767070837,L137=-0.7613273771537971,'情景快照'!T422="已刷新",'情景快照'!T421="已刷新"),"已刷新","排名待刷新")</x:f>
        <x:v>已刷新</x:v>
      </x:c>
    </x:row>
    <x:row r="138" ht="23" customHeight="1">
      <x:c r="A138" s="11" t="str">
        <x:v>三年</x:v>
      </x:c>
      <x:c r="B138" s="11" t="n">
        <x:v>28</x:v>
      </x:c>
      <x:c r="C138" s="11" t="str">
        <x:v>康方生物</x:v>
      </x:c>
      <x:c r="D138" s="11" t="str">
        <x:v>09926.HK</x:v>
      </x:c>
      <x:c r="E138" s="11" t="str">
        <x:v>I052</x:v>
      </x:c>
      <x:c r="F138" s="11" t="n">
        <x:f>'评分'!J13</x:f>
        <x:v>76.8</x:v>
      </x:c>
      <x:c r="G138" s="11" t="str">
        <x:v>第4梯队</x:v>
      </x:c>
      <x:c r="H138" s="11" t="str">
        <x:v>同公司其他代码</x:v>
      </x:c>
      <x:c r="I138" s="11" t="n">
        <x:f>'情景快照'!E32</x:f>
        <x:v>109.1</x:v>
      </x:c>
      <x:c r="J138" s="11" t="n">
        <x:f>'情景快照'!F32</x:f>
        <x:v>125.0304799536091</x:v>
      </x:c>
      <x:c r="K138" s="25" t="n">
        <x:f>'情景快照'!I32</x:f>
        <x:v>0.14601723147212753</x:v>
      </x:c>
      <x:c r="L138" s="25" t="n">
        <x:f>'情景快照'!H31</x:f>
        <x:v>-0.843613561848355</x:v>
      </x:c>
      <x:c r="M138" s="11" t="str">
        <x:v>仅当前完成模型样本</x:v>
      </x:c>
      <x:c r="N138" t="str">
        <x:f>IF(COUNTIF($O$111:$O$162,"排名待刷新")=0,"已刷新","排名待刷新")</x:f>
        <x:v>排名待刷新</x:v>
      </x:c>
      <x:c r="O138" t="str">
        <x:f>IF(AND(F138=76.80000000000001,K138=0.14601723147212753,L138=-0.8436135618483551,'情景快照'!T32="已刷新",'情景快照'!T31="已刷新"),"已刷新","排名待刷新")</x:f>
        <x:v>已刷新</x:v>
      </x:c>
    </x:row>
    <x:row r="139" ht="23" customHeight="1">
      <x:c r="A139" s="11" t="str">
        <x:v>三年</x:v>
      </x:c>
      <x:c r="B139" s="11" t="n">
        <x:v>29</x:v>
      </x:c>
      <x:c r="C139" s="11" t="str">
        <x:v>小米集团-W</x:v>
      </x:c>
      <x:c r="D139" s="11" t="str">
        <x:v>01810.HK</x:v>
      </x:c>
      <x:c r="E139" s="11" t="str">
        <x:v>I087</x:v>
      </x:c>
      <x:c r="F139" s="11" t="n">
        <x:f>'评分'!J213</x:f>
        <x:v>76.8</x:v>
      </x:c>
      <x:c r="G139" s="11" t="str">
        <x:v>第4梯队</x:v>
      </x:c>
      <x:c r="H139" s="11" t="str">
        <x:v>同公司其他代码</x:v>
      </x:c>
      <x:c r="I139" s="11" t="n">
        <x:f>'情景快照'!E782</x:f>
        <x:v>25.96</x:v>
      </x:c>
      <x:c r="J139" s="11" t="n">
        <x:f>'情景快照'!F782</x:f>
        <x:v>55.47</x:v>
      </x:c>
      <x:c r="K139" s="25" t="n">
        <x:f>'情景快照'!I782</x:f>
        <x:v>1.1367488443759628</x:v>
      </x:c>
      <x:c r="L139" s="25" t="n">
        <x:f>'情景快照'!H781</x:f>
        <x:v>-0.7627118644067796</x:v>
      </x:c>
      <x:c r="M139" s="11" t="str">
        <x:v>仅当前完成模型样本</x:v>
      </x:c>
      <x:c r="N139" t="str">
        <x:f>IF(COUNTIF($O$111:$O$162,"排名待刷新")=0,"已刷新","排名待刷新")</x:f>
        <x:v>排名待刷新</x:v>
      </x:c>
      <x:c r="O139" t="str">
        <x:f>IF(AND(F139=76.8,K139=1.1367488443759628,L139=-0.7627118644067796,'情景快照'!T782="已刷新",'情景快照'!T781="已刷新"),"已刷新","排名待刷新")</x:f>
        <x:v>已刷新</x:v>
      </x:c>
    </x:row>
    <x:row r="140" ht="23" customHeight="1">
      <x:c r="A140" s="11" t="str">
        <x:v>三年</x:v>
      </x:c>
      <x:c r="B140" s="11" t="n">
        <x:v>30</x:v>
      </x:c>
      <x:c r="C140" s="11" t="str">
        <x:v>携程集团-S</x:v>
      </x:c>
      <x:c r="D140" s="11" t="str">
        <x:v>09961.HK</x:v>
      </x:c>
      <x:c r="E140" s="11" t="str">
        <x:v>I077</x:v>
      </x:c>
      <x:c r="F140" s="11" t="n">
        <x:f>'评分'!J193</x:f>
        <x:v>76.5</x:v>
      </x:c>
      <x:c r="G140" s="11" t="str">
        <x:v>第4梯队</x:v>
      </x:c>
      <x:c r="H140" s="11" t="str">
        <x:v>同公司其他代码</x:v>
      </x:c>
      <x:c r="I140" s="11" t="n">
        <x:f>'情景快照'!E707</x:f>
        <x:v>304.4</x:v>
      </x:c>
      <x:c r="J140" s="11" t="n">
        <x:f>'情景快照'!F707</x:f>
        <x:v>723.39</x:v>
      </x:c>
      <x:c r="K140" s="25" t="n">
        <x:f>'情景快照'!I707</x:f>
        <x:v>1.3928712220762156</x:v>
      </x:c>
      <x:c r="L140" s="25" t="n">
        <x:f>'情景快照'!H706</x:f>
        <x:v>-0.4405716162943495</x:v>
      </x:c>
      <x:c r="M140" s="11" t="str">
        <x:v>仅当前完成模型样本</x:v>
      </x:c>
      <x:c r="N140" t="str">
        <x:f>IF(COUNTIF($O$111:$O$162,"排名待刷新")=0,"已刷新","排名待刷新")</x:f>
        <x:v>排名待刷新</x:v>
      </x:c>
      <x:c r="O140" t="str">
        <x:f>IF(AND(F140=76.49999999999999,K140=1.3928712220762156,L140=-0.4405716162943495,'情景快照'!T707="已刷新",'情景快照'!T706="已刷新"),"已刷新","排名待刷新")</x:f>
        <x:v>已刷新</x:v>
      </x:c>
    </x:row>
    <x:row r="141" ht="23" customHeight="1">
      <x:c r="A141" s="11" t="str">
        <x:v>三年</x:v>
      </x:c>
      <x:c r="B141" s="11" t="n">
        <x:v>31</x:v>
      </x:c>
      <x:c r="C141" s="11" t="str">
        <x:v>皓元医药</x:v>
      </x:c>
      <x:c r="D141" s="11" t="str">
        <x:v>688131.SH</x:v>
      </x:c>
      <x:c r="E141" s="11" t="str">
        <x:v>I015</x:v>
      </x:c>
      <x:c r="F141" s="11" t="n">
        <x:f>'评分'!J77</x:f>
        <x:v>76.3</x:v>
      </x:c>
      <x:c r="G141" s="11" t="str">
        <x:v>第5梯队</x:v>
      </x:c>
      <x:c r="H141" s="11" t="str">
        <x:v>同公司其他代码</x:v>
      </x:c>
      <x:c r="I141" s="11" t="n">
        <x:f>'情景快照'!E272</x:f>
        <x:v>93.16</x:v>
      </x:c>
      <x:c r="J141" s="11" t="n">
        <x:f>'情景快照'!F272</x:f>
        <x:v>171.6</x:v>
      </x:c>
      <x:c r="K141" s="25" t="n">
        <x:f>'情景快照'!I272</x:f>
        <x:v>0.8537999141262345</x:v>
      </x:c>
      <x:c r="L141" s="25" t="n">
        <x:f>'情景快照'!H271</x:f>
        <x:v>-0.5169600686990125</x:v>
      </x:c>
      <x:c r="M141" s="11" t="str">
        <x:v>仅当前完成模型样本</x:v>
      </x:c>
      <x:c r="N141" t="str">
        <x:f>IF(COUNTIF($O$111:$O$162,"排名待刷新")=0,"已刷新","排名待刷新")</x:f>
        <x:v>排名待刷新</x:v>
      </x:c>
      <x:c r="O141" t="str">
        <x:f>IF(AND(F141=76.30000000000001,K141=0.8537999141262345,L141=-0.5169600686990125,'情景快照'!T272="已刷新",'情景快照'!T271="已刷新"),"已刷新","排名待刷新")</x:f>
        <x:v>已刷新</x:v>
      </x:c>
    </x:row>
    <x:row r="142" ht="23" customHeight="1">
      <x:c r="A142" s="11" t="str">
        <x:v>三年</x:v>
      </x:c>
      <x:c r="B142" s="11" t="n">
        <x:v>32</x:v>
      </x:c>
      <x:c r="C142" s="11" t="str">
        <x:v>三生制药</x:v>
      </x:c>
      <x:c r="D142" s="11" t="str">
        <x:v>01530.HK</x:v>
      </x:c>
      <x:c r="E142" s="11" t="str">
        <x:v>I023</x:v>
      </x:c>
      <x:c r="F142" s="11" t="n">
        <x:f>'评分'!J9</x:f>
        <x:v>76.2</x:v>
      </x:c>
      <x:c r="G142" s="11" t="str">
        <x:v>第5梯队</x:v>
      </x:c>
      <x:c r="H142" s="11" t="str">
        <x:v>同公司其他代码</x:v>
      </x:c>
      <x:c r="I142" s="11" t="n">
        <x:f>'情景快照'!E17</x:f>
        <x:v>15.07</x:v>
      </x:c>
      <x:c r="J142" s="11" t="n">
        <x:f>'情景快照'!F17</x:f>
        <x:v>31.4689635188891</x:v>
      </x:c>
      <x:c r="K142" s="25" t="n">
        <x:f>'情景快照'!I17</x:f>
        <x:v>1.1445894836688186</x:v>
      </x:c>
      <x:c r="L142" s="25" t="n">
        <x:f>'情景快照'!H16</x:f>
        <x:v>-0.34647209007624524</x:v>
      </x:c>
      <x:c r="M142" s="11" t="str">
        <x:v>仅当前完成模型样本</x:v>
      </x:c>
      <x:c r="N142" t="str">
        <x:f>IF(COUNTIF($O$111:$O$162,"排名待刷新")=0,"已刷新","排名待刷新")</x:f>
        <x:v>排名待刷新</x:v>
      </x:c>
      <x:c r="O142" t="str">
        <x:f>IF(AND(F142=76.19999999999999,K142=1.144589483668819,L142=-0.34647209007624524,'情景快照'!T17="已刷新",'情景快照'!T16="已刷新"),"已刷新","排名待刷新")</x:f>
        <x:v>已刷新</x:v>
      </x:c>
    </x:row>
    <x:row r="143" ht="23" customHeight="1">
      <x:c r="A143" s="11" t="str">
        <x:v>三年</x:v>
      </x:c>
      <x:c r="B143" s="11" t="n">
        <x:v>33</x:v>
      </x:c>
      <x:c r="C143" s="11" t="str">
        <x:v>美团-W</x:v>
      </x:c>
      <x:c r="D143" s="11" t="str">
        <x:v>03690.HK</x:v>
      </x:c>
      <x:c r="E143" s="11" t="str">
        <x:v>I078</x:v>
      </x:c>
      <x:c r="F143" s="11" t="n">
        <x:f>'评分'!J141</x:f>
        <x:v>75.9</x:v>
      </x:c>
      <x:c r="G143" s="11" t="str">
        <x:v>第5梯队</x:v>
      </x:c>
      <x:c r="H143" s="11" t="str">
        <x:v>同公司其他代码</x:v>
      </x:c>
      <x:c r="I143" s="11" t="n">
        <x:f>'情景快照'!E512</x:f>
        <x:v>71.5</x:v>
      </x:c>
      <x:c r="J143" s="11" t="n">
        <x:f>'情景快照'!F512</x:f>
        <x:v>237.21</x:v>
      </x:c>
      <x:c r="K143" s="25" t="n">
        <x:f>'情景快照'!I512</x:f>
        <x:v>2.317622377622378</x:v>
      </x:c>
      <x:c r="L143" s="25" t="n">
        <x:f>'情景快照'!H511</x:f>
        <x:v>-0.6013986013986015</x:v>
      </x:c>
      <x:c r="M143" s="11" t="str">
        <x:v>仅当前完成模型样本</x:v>
      </x:c>
      <x:c r="N143" t="str">
        <x:f>IF(COUNTIF($O$111:$O$162,"排名待刷新")=0,"已刷新","排名待刷新")</x:f>
        <x:v>排名待刷新</x:v>
      </x:c>
      <x:c r="O143" t="str">
        <x:f>IF(AND(F143=75.9,K143=2.317622377622378,L143=-0.6013986013986015,'情景快照'!T512="已刷新",'情景快照'!T511="已刷新"),"已刷新","排名待刷新")</x:f>
        <x:v>已刷新</x:v>
      </x:c>
    </x:row>
    <x:row r="144" ht="23" customHeight="1">
      <x:c r="A144" s="11" t="str">
        <x:v>三年</x:v>
      </x:c>
      <x:c r="B144" s="11" t="n">
        <x:v>34</x:v>
      </x:c>
      <x:c r="C144" s="11" t="str">
        <x:v>哔哩哔哩-W</x:v>
      </x:c>
      <x:c r="D144" s="11" t="str">
        <x:v>09626.HK</x:v>
      </x:c>
      <x:c r="E144" s="11" t="str">
        <x:v>I073</x:v>
      </x:c>
      <x:c r="F144" s="11" t="n">
        <x:f>'评分'!J41</x:f>
        <x:v>75.2</x:v>
      </x:c>
      <x:c r="G144" s="11" t="str">
        <x:v>第5梯队</x:v>
      </x:c>
      <x:c r="H144" s="11" t="str">
        <x:v>同公司其他代码</x:v>
      </x:c>
      <x:c r="I144" s="11" t="n">
        <x:f>'情景快照'!E137</x:f>
        <x:v>120.4</x:v>
      </x:c>
      <x:c r="J144" s="11" t="n">
        <x:f>'情景快照'!F137</x:f>
        <x:v>276.71</x:v>
      </x:c>
      <x:c r="K144" s="25" t="n">
        <x:f>'情景快照'!I137</x:f>
        <x:v>1.3065614617940198</x:v>
      </x:c>
      <x:c r="L144" s="25" t="n">
        <x:f>'情景快照'!H136</x:f>
        <x:v>-0.9644518272425249</x:v>
      </x:c>
      <x:c r="M144" s="11" t="str">
        <x:v>仅当前完成模型样本</x:v>
      </x:c>
      <x:c r="N144" t="str">
        <x:f>IF(COUNTIF($O$111:$O$162,"排名待刷新")=0,"已刷新","排名待刷新")</x:f>
        <x:v>排名待刷新</x:v>
      </x:c>
      <x:c r="O144" t="str">
        <x:f>IF(AND(F144=75.19999999999999,K144=1.3065614617940198,L144=-0.9644518272425249,'情景快照'!T137="已刷新",'情景快照'!T136="已刷新"),"已刷新","排名待刷新")</x:f>
        <x:v>已刷新</x:v>
      </x:c>
    </x:row>
    <x:row r="145" ht="23" customHeight="1">
      <x:c r="A145" s="11" t="str">
        <x:v>三年</x:v>
      </x:c>
      <x:c r="B145" s="11" t="n">
        <x:v>35</x:v>
      </x:c>
      <x:c r="C145" s="11" t="str">
        <x:v>泡泡玛特</x:v>
      </x:c>
      <x:c r="D145" s="11" t="str">
        <x:v>09992.HK</x:v>
      </x:c>
      <x:c r="E145" s="11" t="str">
        <x:v>I056</x:v>
      </x:c>
      <x:c r="F145" s="11" t="n">
        <x:f>'评分'!J161</x:f>
        <x:v>74.8</x:v>
      </x:c>
      <x:c r="G145" s="11" t="str">
        <x:v>第5梯队</x:v>
      </x:c>
      <x:c r="H145" s="11" t="str">
        <x:v>同公司其他代码</x:v>
      </x:c>
      <x:c r="I145" s="11" t="n">
        <x:f>'情景快照'!E587</x:f>
        <x:v>152.3</x:v>
      </x:c>
      <x:c r="J145" s="11" t="n">
        <x:f>'情景快照'!F587</x:f>
        <x:v>395.89</x:v>
      </x:c>
      <x:c r="K145" s="25" t="n">
        <x:f>'情景快照'!I587</x:f>
        <x:v>1.65193696651346</x:v>
      </x:c>
      <x:c r="L145" s="25" t="n">
        <x:f>'情景快照'!H586</x:f>
        <x:v>-0.7680236375574524</x:v>
      </x:c>
      <x:c r="M145" s="11" t="str">
        <x:v>仅当前完成模型样本</x:v>
      </x:c>
      <x:c r="N145" t="str">
        <x:f>IF(COUNTIF($O$111:$O$162,"排名待刷新")=0,"已刷新","排名待刷新")</x:f>
        <x:v>排名待刷新</x:v>
      </x:c>
      <x:c r="O145" t="str">
        <x:f>IF(AND(F145=74.8,K145=1.65193696651346,L145=-0.7680236375574524,'情景快照'!T587="已刷新",'情景快照'!T586="已刷新"),"已刷新","排名待刷新")</x:f>
        <x:v>已刷新</x:v>
      </x:c>
    </x:row>
    <x:row r="146" ht="23" customHeight="1">
      <x:c r="A146" s="11" t="str">
        <x:v>三年</x:v>
      </x:c>
      <x:c r="B146" s="11" t="n">
        <x:v>36</x:v>
      </x:c>
      <x:c r="C146" s="11" t="str">
        <x:v>中芯国际</x:v>
      </x:c>
      <x:c r="D146" s="11" t="str">
        <x:v>00981.HK</x:v>
      </x:c>
      <x:c r="E146" s="11" t="str">
        <x:v>I092</x:v>
      </x:c>
      <x:c r="F146" s="11" t="n">
        <x:f>'评分'!J185</x:f>
        <x:v>74.2</x:v>
      </x:c>
      <x:c r="G146" s="11" t="str">
        <x:v>第5梯队</x:v>
      </x:c>
      <x:c r="H146" s="11" t="str">
        <x:v>同公司其他代码</x:v>
      </x:c>
      <x:c r="I146" s="11" t="n">
        <x:f>'情景快照'!E677</x:f>
        <x:v>57.65</x:v>
      </x:c>
      <x:c r="J146" s="11" t="n">
        <x:f>'情景快照'!F677</x:f>
        <x:v>114.11</x:v>
      </x:c>
      <x:c r="K146" s="25" t="n">
        <x:f>'情景快照'!I677</x:f>
        <x:v>0.9793581960104076</x:v>
      </x:c>
      <x:c r="L146" s="25" t="n">
        <x:f>'情景快照'!H676</x:f>
        <x:v>-0.8542931483087597</x:v>
      </x:c>
      <x:c r="M146" s="11" t="str">
        <x:v>仅当前完成模型样本</x:v>
      </x:c>
      <x:c r="N146" t="str">
        <x:f>IF(COUNTIF($O$111:$O$162,"排名待刷新")=0,"已刷新","排名待刷新")</x:f>
        <x:v>排名待刷新</x:v>
      </x:c>
      <x:c r="O146" t="str">
        <x:f>IF(AND(F146=74.2,K146=0.9793581960104076,L146=-0.8542931483087597,'情景快照'!T677="已刷新",'情景快照'!T676="已刷新"),"已刷新","排名待刷新")</x:f>
        <x:v>已刷新</x:v>
      </x:c>
    </x:row>
    <x:row r="147" ht="23" customHeight="1">
      <x:c r="A147" s="11" t="str">
        <x:v>三年</x:v>
      </x:c>
      <x:c r="B147" s="11" t="n">
        <x:v>37</x:v>
      </x:c>
      <x:c r="C147" s="11" t="str">
        <x:v>博腾股份</x:v>
      </x:c>
      <x:c r="D147" s="11" t="str">
        <x:v>300363.SZ</x:v>
      </x:c>
      <x:c r="E147" s="11" t="str">
        <x:v>I013</x:v>
      </x:c>
      <x:c r="F147" s="11" t="n">
        <x:f>'评分'!J165</x:f>
        <x:v>74.2</x:v>
      </x:c>
      <x:c r="G147" s="11" t="str">
        <x:v>第5梯队</x:v>
      </x:c>
      <x:c r="H147" s="11" t="str">
        <x:v>同公司其他代码</x:v>
      </x:c>
      <x:c r="I147" s="11" t="n">
        <x:f>'情景快照'!E602</x:f>
        <x:v>23.68</x:v>
      </x:c>
      <x:c r="J147" s="11" t="n">
        <x:f>'情景快照'!F602</x:f>
        <x:v>42</x:v>
      </x:c>
      <x:c r="K147" s="25" t="n">
        <x:f>'情景快照'!I602</x:f>
        <x:v>0.7884290540540542</x:v>
      </x:c>
      <x:c r="L147" s="25" t="n">
        <x:f>'情景快照'!H601</x:f>
        <x:v>-0.6579391891891893</x:v>
      </x:c>
      <x:c r="M147" s="11" t="str">
        <x:v>仅当前完成模型样本</x:v>
      </x:c>
      <x:c r="N147" t="str">
        <x:f>IF(COUNTIF($O$111:$O$162,"排名待刷新")=0,"已刷新","排名待刷新")</x:f>
        <x:v>排名待刷新</x:v>
      </x:c>
      <x:c r="O147" t="str">
        <x:f>IF(AND(F147=74.2,K147=0.7884290540540542,L147=-0.6579391891891893,'情景快照'!T602="已刷新",'情景快照'!T601="已刷新"),"已刷新","排名待刷新")</x:f>
        <x:v>已刷新</x:v>
      </x:c>
    </x:row>
    <x:row r="148" ht="23" customHeight="1">
      <x:c r="A148" s="11" t="str">
        <x:v>三年</x:v>
      </x:c>
      <x:c r="B148" s="11" t="n">
        <x:v>38</x:v>
      </x:c>
      <x:c r="C148" s="11" t="str">
        <x:v>京东集团-SW</x:v>
      </x:c>
      <x:c r="D148" s="11" t="str">
        <x:v>09618.HK</x:v>
      </x:c>
      <x:c r="E148" s="11" t="str">
        <x:v>I070</x:v>
      </x:c>
      <x:c r="F148" s="11" t="n">
        <x:f>'评分'!J105</x:f>
        <x:v>73.8</x:v>
      </x:c>
      <x:c r="G148" s="11" t="str">
        <x:v>第5梯队</x:v>
      </x:c>
      <x:c r="H148" s="11" t="str">
        <x:v>同公司其他代码</x:v>
      </x:c>
      <x:c r="I148" s="11" t="n">
        <x:f>'情景快照'!E377</x:f>
        <x:v>105.6</x:v>
      </x:c>
      <x:c r="J148" s="11" t="n">
        <x:f>'情景快照'!F377</x:f>
        <x:v>312.81</x:v>
      </x:c>
      <x:c r="K148" s="25" t="n">
        <x:f>'情景快照'!I377</x:f>
        <x:v>2.094791666666667</x:v>
      </x:c>
      <x:c r="L148" s="25" t="n">
        <x:f>'情景快照'!H376</x:f>
        <x:v>-0.5429924242424242</x:v>
      </x:c>
      <x:c r="M148" s="11" t="str">
        <x:v>仅当前完成模型样本</x:v>
      </x:c>
      <x:c r="N148" t="str">
        <x:f>IF(COUNTIF($O$111:$O$162,"排名待刷新")=0,"已刷新","排名待刷新")</x:f>
        <x:v>排名待刷新</x:v>
      </x:c>
      <x:c r="O148" t="str">
        <x:f>IF(AND(F148=73.8,K148=2.094791666666667,L148=-0.5429924242424242,'情景快照'!T377="已刷新",'情景快照'!T376="已刷新"),"已刷新","排名待刷新")</x:f>
        <x:v>已刷新</x:v>
      </x:c>
    </x:row>
    <x:row r="149" ht="23" customHeight="1">
      <x:c r="A149" s="11" t="str">
        <x:v>三年</x:v>
      </x:c>
      <x:c r="B149" s="11" t="n">
        <x:v>39</x:v>
      </x:c>
      <x:c r="C149" s="11" t="str">
        <x:v>金斯瑞生物科技</x:v>
      </x:c>
      <x:c r="D149" s="11" t="str">
        <x:v>01548.HK</x:v>
      </x:c>
      <x:c r="E149" s="11" t="str">
        <x:v>I035</x:v>
      </x:c>
      <x:c r="F149" s="11" t="n">
        <x:f>'评分'!J65</x:f>
        <x:v>73.6</x:v>
      </x:c>
      <x:c r="G149" s="11" t="str">
        <x:v>第5梯队</x:v>
      </x:c>
      <x:c r="H149" s="11" t="str">
        <x:v>同公司其他代码</x:v>
      </x:c>
      <x:c r="I149" s="11" t="n">
        <x:f>'情景快照'!E227</x:f>
        <x:v>42.4</x:v>
      </x:c>
      <x:c r="J149" s="11" t="n">
        <x:f>'情景快照'!F227</x:f>
        <x:v>54.84424578761926</x:v>
      </x:c>
      <x:c r="K149" s="25" t="n">
        <x:f>'情景快照'!I227</x:f>
        <x:v>0.2934963629155485</x:v>
      </x:c>
      <x:c r="L149" s="25" t="n">
        <x:f>'情景快照'!H226</x:f>
        <x:v>-0.8333099391016615</x:v>
      </x:c>
      <x:c r="M149" s="11" t="str">
        <x:v>仅当前完成模型样本</x:v>
      </x:c>
      <x:c r="N149" t="str">
        <x:f>IF(COUNTIF($O$111:$O$162,"排名待刷新")=0,"已刷新","排名待刷新")</x:f>
        <x:v>排名待刷新</x:v>
      </x:c>
      <x:c r="O149" t="str">
        <x:f>IF(AND(F149=73.6,K149=0.2934963629155485,L149=-0.8333099391016615,'情景快照'!T227="已刷新",'情景快照'!T226="已刷新"),"已刷新","排名待刷新")</x:f>
        <x:v>排名待刷新</x:v>
      </x:c>
    </x:row>
    <x:row r="150" ht="23" customHeight="1">
      <x:c r="A150" s="11" t="str">
        <x:v>三年</x:v>
      </x:c>
      <x:c r="B150" s="11" t="n">
        <x:v>40</x:v>
      </x:c>
      <x:c r="C150" s="11" t="str">
        <x:v>迪哲医药</x:v>
      </x:c>
      <x:c r="D150" s="11" t="str">
        <x:v>688192.SH</x:v>
      </x:c>
      <x:c r="E150" s="11" t="str">
        <x:v>I003</x:v>
      </x:c>
      <x:c r="F150" s="11" t="n">
        <x:f>'评分'!J57</x:f>
        <x:v>73.6</x:v>
      </x:c>
      <x:c r="G150" s="11" t="str">
        <x:v>第5梯队</x:v>
      </x:c>
      <x:c r="H150" s="11" t="str">
        <x:v>同公司其他代码</x:v>
      </x:c>
      <x:c r="I150" s="11" t="n">
        <x:f>'情景快照'!E197</x:f>
        <x:v>59.95</x:v>
      </x:c>
      <x:c r="J150" s="11" t="n">
        <x:f>'情景快照'!F197</x:f>
        <x:v>70.33778493018646</x:v>
      </x:c>
      <x:c r="K150" s="25" t="n">
        <x:f>'情景快照'!I197</x:f>
        <x:v>0.1732741439564045</x:v>
      </x:c>
      <x:c r="L150" s="25" t="n">
        <x:f>'情景快照'!H196</x:f>
        <x:v>-0.9316062558984152</x:v>
      </x:c>
      <x:c r="M150" s="11" t="str">
        <x:v>仅当前完成模型样本</x:v>
      </x:c>
      <x:c r="N150" t="str">
        <x:f>IF(COUNTIF($O$111:$O$162,"排名待刷新")=0,"已刷新","排名待刷新")</x:f>
        <x:v>排名待刷新</x:v>
      </x:c>
      <x:c r="O150" t="str">
        <x:f>IF(AND(F150=73.6,K150=0.1732741439564045,L150=-0.9316062558984152,'情景快照'!T197="已刷新",'情景快照'!T196="已刷新"),"已刷新","排名待刷新")</x:f>
        <x:v>已刷新</x:v>
      </x:c>
    </x:row>
    <x:row r="151" ht="23" customHeight="1">
      <x:c r="A151" s="11" t="str">
        <x:v>三年</x:v>
      </x:c>
      <x:c r="B151" s="11" t="n">
        <x:v>41</x:v>
      </x:c>
      <x:c r="C151" s="11" t="str">
        <x:v>快手-W</x:v>
      </x:c>
      <x:c r="D151" s="11" t="str">
        <x:v>01024.HK</x:v>
      </x:c>
      <x:c r="E151" s="11" t="str">
        <x:v>I080</x:v>
      </x:c>
      <x:c r="F151" s="11" t="n">
        <x:f>'评分'!J121</x:f>
        <x:v>72.5</x:v>
      </x:c>
      <x:c r="G151" s="11" t="str">
        <x:v>第6梯队</x:v>
      </x:c>
      <x:c r="H151" s="11" t="str">
        <x:v>同公司其他代码</x:v>
      </x:c>
      <x:c r="I151" s="11" t="n">
        <x:f>'情景快照'!E437</x:f>
        <x:v>30.1</x:v>
      </x:c>
      <x:c r="J151" s="11" t="n">
        <x:f>'情景快照'!F437</x:f>
        <x:v>103.79</x:v>
      </x:c>
      <x:c r="K151" s="25" t="n">
        <x:f>'情景快照'!I437</x:f>
        <x:v>2.50797342192691</x:v>
      </x:c>
      <x:c r="L151" s="25" t="n">
        <x:f>'情景快照'!H436</x:f>
        <x:v>-0.737873754152824</x:v>
      </x:c>
      <x:c r="M151" s="11" t="str">
        <x:v>仅当前完成模型样本</x:v>
      </x:c>
      <x:c r="N151" t="str">
        <x:f>IF(COUNTIF($O$111:$O$162,"排名待刷新")=0,"已刷新","排名待刷新")</x:f>
        <x:v>排名待刷新</x:v>
      </x:c>
      <x:c r="O151" t="str">
        <x:f>IF(AND(F151=72.5,K151=2.50797342192691,L151=-0.737873754152824,'情景快照'!T437="已刷新",'情景快照'!T436="已刷新"),"已刷新","排名待刷新")</x:f>
        <x:v>已刷新</x:v>
      </x:c>
    </x:row>
    <x:row r="152" ht="23" customHeight="1">
      <x:c r="A152" s="11" t="str">
        <x:v>三年</x:v>
      </x:c>
      <x:c r="B152" s="11" t="n">
        <x:v>42</x:v>
      </x:c>
      <x:c r="C152" s="11" t="str">
        <x:v>美迪西</x:v>
      </x:c>
      <x:c r="D152" s="11" t="str">
        <x:v>688202.SH</x:v>
      </x:c>
      <x:c r="E152" s="11" t="str">
        <x:v>I018</x:v>
      </x:c>
      <x:c r="F152" s="11" t="n">
        <x:f>'评分'!J137</x:f>
        <x:v>72.1</x:v>
      </x:c>
      <x:c r="G152" s="11" t="str">
        <x:v>第6梯队</x:v>
      </x:c>
      <x:c r="H152" s="11" t="str">
        <x:v>同公司其他代码</x:v>
      </x:c>
      <x:c r="I152" s="11" t="n">
        <x:f>'情景快照'!E497</x:f>
        <x:v>104</x:v>
      </x:c>
      <x:c r="J152" s="11" t="n">
        <x:f>'情景快照'!F497</x:f>
        <x:v>128</x:v>
      </x:c>
      <x:c r="K152" s="25" t="n">
        <x:f>'情景快照'!I497</x:f>
        <x:v>0.2384615384615385</x:v>
      </x:c>
      <x:c r="L152" s="25" t="n">
        <x:f>'情景快照'!H496</x:f>
        <x:v>-0.6903846153846154</x:v>
      </x:c>
      <x:c r="M152" s="11" t="str">
        <x:v>仅当前完成模型样本</x:v>
      </x:c>
      <x:c r="N152" t="str">
        <x:f>IF(COUNTIF($O$111:$O$162,"排名待刷新")=0,"已刷新","排名待刷新")</x:f>
        <x:v>排名待刷新</x:v>
      </x:c>
      <x:c r="O152" t="str">
        <x:f>IF(AND(F152=72.1,K152=0.2384615384615385,L152=-0.6903846153846154,'情景快照'!T497="已刷新",'情景快照'!T496="已刷新"),"已刷新","排名待刷新")</x:f>
        <x:v>已刷新</x:v>
      </x:c>
    </x:row>
    <x:row r="153" ht="23" customHeight="1">
      <x:c r="A153" s="11" t="str">
        <x:v>三年</x:v>
      </x:c>
      <x:c r="B153" s="11" t="n">
        <x:v>43</x:v>
      </x:c>
      <x:c r="C153" s="11" t="str">
        <x:v>丽珠医药</x:v>
      </x:c>
      <x:c r="D153" s="11" t="str">
        <x:v>01513.HK</x:v>
      </x:c>
      <x:c r="E153" s="11" t="str">
        <x:v>I036</x:v>
      </x:c>
      <x:c r="F153" s="11" t="n">
        <x:f>'评分'!J129</x:f>
        <x:v>70.1</x:v>
      </x:c>
      <x:c r="G153" s="11" t="str">
        <x:v>第6梯队</x:v>
      </x:c>
      <x:c r="H153" s="11" t="str">
        <x:v>同公司其他代码</x:v>
      </x:c>
      <x:c r="I153" s="11" t="n">
        <x:f>'情景快照'!E467</x:f>
        <x:v>22.16</x:v>
      </x:c>
      <x:c r="J153" s="11" t="n">
        <x:f>'情景快照'!F467</x:f>
        <x:v>41.47</x:v>
      </x:c>
      <x:c r="K153" s="25" t="n">
        <x:f>'情景快照'!I467</x:f>
        <x:v>1.0970216606498195</x:v>
      </x:c>
      <x:c r="L153" s="25" t="n">
        <x:f>'情景快照'!H466</x:f>
        <x:v>-0.24548736462093868</x:v>
      </x:c>
      <x:c r="M153" s="11" t="str">
        <x:v>仅当前完成模型样本</x:v>
      </x:c>
      <x:c r="N153" t="str">
        <x:f>IF(COUNTIF($O$111:$O$162,"排名待刷新")=0,"已刷新","排名待刷新")</x:f>
        <x:v>排名待刷新</x:v>
      </x:c>
      <x:c r="O153" t="str">
        <x:f>IF(AND(F153=70.1,K153=1.0970216606498195,L153=-0.24548736462093868,'情景快照'!T467="已刷新",'情景快照'!T466="已刷新"),"已刷新","排名待刷新")</x:f>
        <x:v>已刷新</x:v>
      </x:c>
    </x:row>
    <x:row r="154" ht="23" customHeight="1">
      <x:c r="A154" s="11" t="str">
        <x:v>三年</x:v>
      </x:c>
      <x:c r="B154" s="11" t="n">
        <x:v>44</x:v>
      </x:c>
      <x:c r="C154" s="11" t="str">
        <x:v>键凯科技</x:v>
      </x:c>
      <x:c r="D154" s="11" t="str">
        <x:v>688356.SH</x:v>
      </x:c>
      <x:c r="E154" s="11" t="str">
        <x:v>I017</x:v>
      </x:c>
      <x:c r="F154" s="11" t="n">
        <x:f>'评分'!J109</x:f>
        <x:v>69.9</x:v>
      </x:c>
      <x:c r="G154" s="11" t="str">
        <x:v>第6梯队</x:v>
      </x:c>
      <x:c r="H154" s="11" t="str">
        <x:v>同公司其他代码</x:v>
      </x:c>
      <x:c r="I154" s="11" t="n">
        <x:f>'情景快照'!E392</x:f>
        <x:v>107.9</x:v>
      </x:c>
      <x:c r="J154" s="11" t="n">
        <x:f>'情景快照'!F392</x:f>
        <x:v>152</x:v>
      </x:c>
      <x:c r="K154" s="25" t="n">
        <x:f>'情景快照'!I392</x:f>
        <x:v>0.41983317886932325</x:v>
      </x:c>
      <x:c r="L154" s="25" t="n">
        <x:f>'情景快照'!H391</x:f>
        <x:v>-0.6385542168674698</x:v>
      </x:c>
      <x:c r="M154" s="11" t="str">
        <x:v>仅当前完成模型样本</x:v>
      </x:c>
      <x:c r="N154" t="str">
        <x:f>IF(COUNTIF($O$111:$O$162,"排名待刷新")=0,"已刷新","排名待刷新")</x:f>
        <x:v>排名待刷新</x:v>
      </x:c>
      <x:c r="O154" t="str">
        <x:f>IF(AND(F154=69.9,K154=0.41983317886932325,L154=-0.6385542168674698,'情景快照'!T392="已刷新",'情景快照'!T391="已刷新"),"已刷新","排名待刷新")</x:f>
        <x:v>已刷新</x:v>
      </x:c>
    </x:row>
    <x:row r="155" ht="23" customHeight="1">
      <x:c r="A155" s="11" t="str">
        <x:v>三年</x:v>
      </x:c>
      <x:c r="B155" s="11" t="n">
        <x:v>45</x:v>
      </x:c>
      <x:c r="C155" s="11" t="str">
        <x:v>复星医药</x:v>
      </x:c>
      <x:c r="D155" s="11" t="str">
        <x:v>02196.HK</x:v>
      </x:c>
      <x:c r="E155" s="11" t="str">
        <x:v>I043</x:v>
      </x:c>
      <x:c r="F155" s="11" t="n">
        <x:f>'评分'!J61</x:f>
        <x:v>69.4</x:v>
      </x:c>
      <x:c r="G155" s="11" t="str">
        <x:v>第7梯队</x:v>
      </x:c>
      <x:c r="H155" s="11" t="str">
        <x:v>同公司其他代码</x:v>
      </x:c>
      <x:c r="I155" s="11" t="n">
        <x:f>'情景快照'!E212</x:f>
        <x:v>17.87</x:v>
      </x:c>
      <x:c r="J155" s="11" t="n">
        <x:f>'情景快照'!F212</x:f>
        <x:v>41.25566176470589</x:v>
      </x:c>
      <x:c r="K155" s="25" t="n">
        <x:f>'情景快照'!I212</x:f>
        <x:v>1.3953923763125844</x:v>
      </x:c>
      <x:c r="L155" s="25" t="n">
        <x:f>'情景快照'!H211</x:f>
        <x:v>-0.6046959031602517</x:v>
      </x:c>
      <x:c r="M155" s="11" t="str">
        <x:v>仅当前完成模型样本</x:v>
      </x:c>
      <x:c r="N155" t="str">
        <x:f>IF(COUNTIF($O$111:$O$162,"排名待刷新")=0,"已刷新","排名待刷新")</x:f>
        <x:v>排名待刷新</x:v>
      </x:c>
      <x:c r="O155" t="str">
        <x:f>IF(AND(F155=69.39999999999999,K155=1.3953923763125844,L155=-0.6046959031602517,'情景快照'!T212="已刷新",'情景快照'!T211="已刷新"),"已刷新","排名待刷新")</x:f>
        <x:v>已刷新</x:v>
      </x:c>
    </x:row>
    <x:row r="156" ht="23" customHeight="1">
      <x:c r="A156" s="11" t="str">
        <x:v>三年</x:v>
      </x:c>
      <x:c r="B156" s="11" t="n">
        <x:v>46</x:v>
      </x:c>
      <x:c r="C156" s="11" t="str">
        <x:v>海创药业</x:v>
      </x:c>
      <x:c r="D156" s="11" t="str">
        <x:v>688302.SH</x:v>
      </x:c>
      <x:c r="E156" s="11" t="str">
        <x:v>I005</x:v>
      </x:c>
      <x:c r="F156" s="11" t="n">
        <x:f>'评分'!J89</x:f>
        <x:v>69.4</x:v>
      </x:c>
      <x:c r="G156" s="11" t="str">
        <x:v>第7梯队</x:v>
      </x:c>
      <x:c r="H156" s="11" t="str">
        <x:v>同公司其他代码</x:v>
      </x:c>
      <x:c r="I156" s="11" t="n">
        <x:f>'情景快照'!E317</x:f>
        <x:v>32.09</x:v>
      </x:c>
      <x:c r="J156" s="11" t="n">
        <x:f>'情景快照'!F317</x:f>
        <x:v>46.552406634363</x:v>
      </x:c>
      <x:c r="K156" s="25" t="n">
        <x:f>'情景快照'!I317</x:f>
        <x:v>0.4506826623360236</x:v>
      </x:c>
      <x:c r="L156" s="25" t="n">
        <x:f>'情景快照'!H316</x:f>
        <x:v>-1</x:v>
      </x:c>
      <x:c r="M156" s="11" t="str">
        <x:v>仅当前完成模型样本</x:v>
      </x:c>
      <x:c r="N156" t="str">
        <x:f>IF(COUNTIF($O$111:$O$162,"排名待刷新")=0,"已刷新","排名待刷新")</x:f>
        <x:v>排名待刷新</x:v>
      </x:c>
      <x:c r="O156" t="str">
        <x:f>IF(AND(F156=69.39999999999999,K156=0.45068266233602405,L156=-1,'情景快照'!T317="已刷新",'情景快照'!T316="已刷新"),"已刷新","排名待刷新")</x:f>
        <x:v>已刷新</x:v>
      </x:c>
    </x:row>
    <x:row r="157" ht="23" customHeight="1">
      <x:c r="A157" s="11" t="str">
        <x:v>三年</x:v>
      </x:c>
      <x:c r="B157" s="11" t="n">
        <x:v>47</x:v>
      </x:c>
      <x:c r="C157" s="11" t="str">
        <x:v>益方生物</x:v>
      </x:c>
      <x:c r="D157" s="11" t="str">
        <x:v>688382.SH</x:v>
      </x:c>
      <x:c r="E157" s="11" t="str">
        <x:v>I004</x:v>
      </x:c>
      <x:c r="F157" s="11" t="n">
        <x:f>'评分'!J97</x:f>
        <x:v>69.3</x:v>
      </x:c>
      <x:c r="G157" s="11" t="str">
        <x:v>第7梯队</x:v>
      </x:c>
      <x:c r="H157" s="11" t="str">
        <x:v>同公司其他代码</x:v>
      </x:c>
      <x:c r="I157" s="11" t="n">
        <x:f>'情景快照'!E347</x:f>
        <x:v>17.26</x:v>
      </x:c>
      <x:c r="J157" s="11" t="n">
        <x:f>'情景快照'!F347</x:f>
        <x:v>12.809740140868128</x:v>
      </x:c>
      <x:c r="K157" s="25" t="n">
        <x:f>'情景快照'!I347</x:f>
        <x:v>-0.2578366082926926</x:v>
      </x:c>
      <x:c r="L157" s="25" t="n">
        <x:f>'情景快照'!H346</x:f>
        <x:v>-1</x:v>
      </x:c>
      <x:c r="M157" s="11" t="str">
        <x:v>仅当前完成模型样本</x:v>
      </x:c>
      <x:c r="N157" t="str">
        <x:f>IF(COUNTIF($O$111:$O$162,"排名待刷新")=0,"已刷新","排名待刷新")</x:f>
        <x:v>排名待刷新</x:v>
      </x:c>
      <x:c r="O157" t="str">
        <x:f>IF(AND(F157=69.3,K157=-0.2578366082926923,L157=-1,'情景快照'!T347="已刷新",'情景快照'!T346="已刷新"),"已刷新","排名待刷新")</x:f>
        <x:v>已刷新</x:v>
      </x:c>
    </x:row>
    <x:row r="158" ht="23" customHeight="1">
      <x:c r="A158" s="11" t="str">
        <x:v>三年</x:v>
      </x:c>
      <x:c r="B158" s="11" t="n">
        <x:v>48</x:v>
      </x:c>
      <x:c r="C158" s="11" t="str">
        <x:v>上海医药</x:v>
      </x:c>
      <x:c r="D158" s="11" t="str">
        <x:v>02607.HK</x:v>
      </x:c>
      <x:c r="E158" s="11" t="str">
        <x:v>I028</x:v>
      </x:c>
      <x:c r="F158" s="11" t="n">
        <x:f>'评分'!J173</x:f>
        <x:v>67.1</x:v>
      </x:c>
      <x:c r="G158" s="11" t="str">
        <x:v>第7梯队</x:v>
      </x:c>
      <x:c r="H158" s="11" t="str">
        <x:v>同公司其他代码</x:v>
      </x:c>
      <x:c r="I158" s="11" t="n">
        <x:f>'情景快照'!E632</x:f>
        <x:v>11.03</x:v>
      </x:c>
      <x:c r="J158" s="11" t="n">
        <x:f>'情景快照'!F632</x:f>
        <x:v>20.790000000000003</x:v>
      </x:c>
      <x:c r="K158" s="25" t="n">
        <x:f>'情景快照'!I632</x:f>
        <x:v>1.0299184043517684</x:v>
      </x:c>
      <x:c r="L158" s="25" t="n">
        <x:f>'情景快照'!H631</x:f>
        <x:v>-0.3717135086128738</x:v>
      </x:c>
      <x:c r="M158" s="11" t="str">
        <x:v>仅当前完成模型样本</x:v>
      </x:c>
      <x:c r="N158" t="str">
        <x:f>IF(COUNTIF($O$111:$O$162,"排名待刷新")=0,"已刷新","排名待刷新")</x:f>
        <x:v>排名待刷新</x:v>
      </x:c>
      <x:c r="O158" t="str">
        <x:f>IF(AND(F158=67.1,K158=1.0299184043517684,L158=-0.3717135086128738,'情景快照'!T632="已刷新",'情景快照'!T631="已刷新"),"已刷新","排名待刷新")</x:f>
        <x:v>已刷新</x:v>
      </x:c>
    </x:row>
    <x:row r="159" ht="23" customHeight="1">
      <x:c r="A159" s="11" t="str">
        <x:v>三年</x:v>
      </x:c>
      <x:c r="B159" s="11" t="n">
        <x:v>49</x:v>
      </x:c>
      <x:c r="C159" s="11" t="str">
        <x:v>康诺亚-B</x:v>
      </x:c>
      <x:c r="D159" s="11" t="str">
        <x:v>02162.HK</x:v>
      </x:c>
      <x:c r="E159" s="11" t="str">
        <x:v>I047</x:v>
      </x:c>
      <x:c r="F159" s="11" t="n">
        <x:f>'评分'!J113</x:f>
        <x:v>66.3</x:v>
      </x:c>
      <x:c r="G159" s="11" t="str">
        <x:v>第8梯队</x:v>
      </x:c>
      <x:c r="H159" s="11" t="str">
        <x:v>同公司其他代码</x:v>
      </x:c>
      <x:c r="I159" s="11" t="n">
        <x:f>'情景快照'!E407</x:f>
        <x:v>78.3</x:v>
      </x:c>
      <x:c r="J159" s="11" t="n">
        <x:f>'情景快照'!F407</x:f>
        <x:v>86.58727562674746</x:v>
      </x:c>
      <x:c r="K159" s="25" t="n">
        <x:f>'情景快照'!I407</x:f>
        <x:v>0.10584004631861377</x:v>
      </x:c>
      <x:c r="L159" s="25" t="n">
        <x:f>'情景快照'!H406</x:f>
        <x:v>-0.924638060643423</x:v>
      </x:c>
      <x:c r="M159" s="11" t="str">
        <x:v>仅当前完成模型样本</x:v>
      </x:c>
      <x:c r="N159" t="str">
        <x:f>IF(COUNTIF($O$111:$O$162,"排名待刷新")=0,"已刷新","排名待刷新")</x:f>
        <x:v>排名待刷新</x:v>
      </x:c>
      <x:c r="O159" t="str">
        <x:f>IF(AND(F159=66.30000000000001,K159=0.10584004631861377,L159=-0.9246380606434228,'情景快照'!T407="已刷新",'情景快照'!T406="已刷新"),"已刷新","排名待刷新")</x:f>
        <x:v>排名待刷新</x:v>
      </x:c>
    </x:row>
    <x:row r="160" ht="23" customHeight="1">
      <x:c r="A160" s="11" t="str">
        <x:v>三年</x:v>
      </x:c>
      <x:c r="B160" s="11" t="n">
        <x:v>50</x:v>
      </x:c>
      <x:c r="C160" s="11" t="str">
        <x:v>荣昌生物</x:v>
      </x:c>
      <x:c r="D160" s="11" t="str">
        <x:v>09995.HK</x:v>
      </x:c>
      <x:c r="E160" s="11" t="str">
        <x:v>I051</x:v>
      </x:c>
      <x:c r="F160" s="11" t="n">
        <x:f>'评分'!J169</x:f>
        <x:v>66.3</x:v>
      </x:c>
      <x:c r="G160" s="11" t="str">
        <x:v>第8梯队</x:v>
      </x:c>
      <x:c r="H160" s="11" t="str">
        <x:v>同公司其他代码</x:v>
      </x:c>
      <x:c r="I160" s="11" t="n">
        <x:f>'情景快照'!E617</x:f>
        <x:v>70.4</x:v>
      </x:c>
      <x:c r="J160" s="11" t="n">
        <x:f>'情景快照'!F617</x:f>
        <x:v>81.02595430689605</x:v>
      </x:c>
      <x:c r="K160" s="25" t="n">
        <x:f>'情景快照'!I617</x:f>
        <x:v>0.15093685095022802</x:v>
      </x:c>
      <x:c r="L160" s="25" t="n">
        <x:f>'情景快照'!H616</x:f>
        <x:v>-0.9161661166036952</x:v>
      </x:c>
      <x:c r="M160" s="11" t="str">
        <x:v>仅当前完成模型样本</x:v>
      </x:c>
      <x:c r="N160" t="str">
        <x:f>IF(COUNTIF($O$111:$O$162,"排名待刷新")=0,"已刷新","排名待刷新")</x:f>
        <x:v>排名待刷新</x:v>
      </x:c>
      <x:c r="O160" t="str">
        <x:f>IF(AND(F160=66.3,K160=0.1509368509502278,L160=-0.9161661166036952,'情景快照'!T617="已刷新",'情景快照'!T616="已刷新"),"已刷新","排名待刷新")</x:f>
        <x:v>已刷新</x:v>
      </x:c>
    </x:row>
    <x:row r="161" ht="23" customHeight="1">
      <x:c r="A161" s="11" t="str">
        <x:v>三年</x:v>
      </x:c>
      <x:c r="B161" s="11" t="n">
        <x:v>51</x:v>
      </x:c>
      <x:c r="C161" s="11" t="str">
        <x:v>百度集团-W</x:v>
      </x:c>
      <x:c r="D161" s="11" t="str">
        <x:v>09888.HK</x:v>
      </x:c>
      <x:c r="E161" s="11" t="str">
        <x:v>I066</x:v>
      </x:c>
      <x:c r="F161" s="11" t="n">
        <x:f>'评分'!J29</x:f>
        <x:v>65.8</x:v>
      </x:c>
      <x:c r="G161" s="11" t="str">
        <x:v>第8梯队</x:v>
      </x:c>
      <x:c r="H161" s="11" t="str">
        <x:v>同公司其他代码</x:v>
      </x:c>
      <x:c r="I161" s="11" t="n">
        <x:f>'情景快照'!E92</x:f>
        <x:v>83</x:v>
      </x:c>
      <x:c r="J161" s="11" t="n">
        <x:f>'情景快照'!F92</x:f>
        <x:v>172.55</x:v>
      </x:c>
      <x:c r="K161" s="25" t="n">
        <x:f>'情景快照'!I92</x:f>
        <x:v>1.1150602409638557</x:v>
      </x:c>
      <x:c r="L161" s="25" t="n">
        <x:f>'情景快照'!H91</x:f>
        <x:v>-0.9485542168674699</x:v>
      </x:c>
      <x:c r="M161" s="11" t="str">
        <x:v>仅当前完成模型样本</x:v>
      </x:c>
      <x:c r="N161" t="str">
        <x:f>IF(COUNTIF($O$111:$O$162,"排名待刷新")=0,"已刷新","排名待刷新")</x:f>
        <x:v>排名待刷新</x:v>
      </x:c>
      <x:c r="O161" t="str">
        <x:f>IF(AND(F161=65.80000000000001,K161=1.1150602409638557,L161=-0.9485542168674699,'情景快照'!T92="已刷新",'情景快照'!T91="已刷新"),"已刷新","排名待刷新")</x:f>
        <x:v>已刷新</x:v>
      </x:c>
    </x:row>
    <x:row r="162" ht="23" customHeight="1">
      <x:c r="A162" s="11" t="str">
        <x:v>三年</x:v>
      </x:c>
      <x:c r="B162" s="11" t="n">
        <x:v>52</x:v>
      </x:c>
      <x:c r="C162" s="11" t="str">
        <x:v>迈威生物</x:v>
      </x:c>
      <x:c r="D162" s="11" t="str">
        <x:v>688062.SH</x:v>
      </x:c>
      <x:c r="E162" s="11" t="str">
        <x:v>I002</x:v>
      </x:c>
      <x:c r="F162" s="11" t="n">
        <x:f>'评分'!J133</x:f>
        <x:v>64.3</x:v>
      </x:c>
      <x:c r="G162" s="11" t="str">
        <x:v>第8梯队</x:v>
      </x:c>
      <x:c r="H162" s="11" t="str">
        <x:v>同公司其他代码</x:v>
      </x:c>
      <x:c r="I162" s="11" t="n">
        <x:f>'情景快照'!E482</x:f>
        <x:v>24.78</x:v>
      </x:c>
      <x:c r="J162" s="11" t="n">
        <x:f>'情景快照'!F482</x:f>
        <x:v>13.036530492445527</x:v>
      </x:c>
      <x:c r="K162" s="25" t="n">
        <x:f>'情景快照'!I482</x:f>
        <x:v>-0.47390918109582214</x:v>
      </x:c>
      <x:c r="L162" s="25" t="n">
        <x:f>'情景快照'!H481</x:f>
        <x:v>-1</x:v>
      </x:c>
      <x:c r="M162" s="11" t="str">
        <x:v>仅当前完成模型样本</x:v>
      </x:c>
      <x:c r="N162" t="str">
        <x:f>IF(COUNTIF($O$111:$O$162,"排名待刷新")=0,"已刷新","排名待刷新")</x:f>
        <x:v>排名待刷新</x:v>
      </x:c>
      <x:c r="O162" t="str">
        <x:f>IF(AND(F162=64.3,K162=-0.4739091810958218,L162=-1,'情景快照'!T482="已刷新",'情景快照'!T481="已刷新"),"已刷新","排名待刷新")</x:f>
        <x:v>已刷新</x:v>
      </x:c>
    </x:row>
    <x:row r="163" ht="23" customHeight="1">
      <x:c r="A163" s="11" t="str">
        <x:v>五年</x:v>
      </x:c>
      <x:c r="B163" s="11" t="n">
        <x:v>1</x:v>
      </x:c>
      <x:c r="C163" s="11" t="str">
        <x:v>百济神州</x:v>
      </x:c>
      <x:c r="D163" s="11" t="str">
        <x:v>06160.HK</x:v>
      </x:c>
      <x:c r="E163" s="11" t="str">
        <x:v>I012</x:v>
      </x:c>
      <x:c r="F163" s="11" t="n">
        <x:f>'评分'!J38</x:f>
        <x:v>89.3</x:v>
      </x:c>
      <x:c r="G163" s="11" t="str">
        <x:v>第1梯队</x:v>
      </x:c>
      <x:c r="H163" s="11" t="str">
        <x:v>前十不同公司</x:v>
      </x:c>
      <x:c r="I163" s="11" t="n">
        <x:f>'情景快照'!E125</x:f>
        <x:v>209.6</x:v>
      </x:c>
      <x:c r="J163" s="11" t="n">
        <x:f>'情景快照'!F125</x:f>
        <x:v>628.8208333333334</x:v>
      </x:c>
      <x:c r="K163" s="25" t="n">
        <x:f>'情景快照'!I125</x:f>
        <x:v>2.000099395674301</x:v>
      </x:c>
      <x:c r="L163" s="25" t="n">
        <x:f>'情景快照'!H124</x:f>
        <x:v>-0.8347669473946233</x:v>
      </x:c>
      <x:c r="M163" s="11" t="str">
        <x:v>仅当前完成模型样本</x:v>
      </x:c>
      <x:c r="N163" t="str">
        <x:f>IF(COUNTIF($O$163:$O$214,"排名待刷新")=0,"已刷新","排名待刷新")</x:f>
        <x:v>排名待刷新</x:v>
      </x:c>
      <x:c r="O163" t="str">
        <x:f>IF(AND(F163=89.3,K163=2.0000993956743005,L163=-0.8347669473946233,'情景快照'!T125="已刷新",'情景快照'!T124="已刷新"),"已刷新","排名待刷新")</x:f>
        <x:v>已刷新</x:v>
      </x:c>
    </x:row>
    <x:row r="164" ht="23" customHeight="1">
      <x:c r="A164" s="11" t="str">
        <x:v>五年</x:v>
      </x:c>
      <x:c r="B164" s="11" t="n">
        <x:v>2</x:v>
      </x:c>
      <x:c r="C164" s="11" t="str">
        <x:v>百济神州</x:v>
      </x:c>
      <x:c r="D164" s="11" t="str">
        <x:v>688235.SH</x:v>
      </x:c>
      <x:c r="E164" s="11" t="str">
        <x:v>I012</x:v>
      </x:c>
      <x:c r="F164" s="11" t="n">
        <x:f>'评分'!J34</x:f>
        <x:v>87.3</x:v>
      </x:c>
      <x:c r="G164" s="11" t="str">
        <x:v>第1梯队</x:v>
      </x:c>
      <x:c r="H164" s="11" t="str">
        <x:v>同公司其他代码</x:v>
      </x:c>
      <x:c r="I164" s="11" t="n">
        <x:f>'情景快照'!E110</x:f>
        <x:v>249.42</x:v>
      </x:c>
      <x:c r="J164" s="11" t="n">
        <x:f>'情景快照'!F110</x:f>
        <x:v>594.5215151515151</x:v>
      </x:c>
      <x:c r="K164" s="25" t="n">
        <x:f>'情景快照'!I110</x:f>
        <x:v>1.3836160498416934</x:v>
      </x:c>
      <x:c r="L164" s="25" t="n">
        <x:f>'情景快照'!H109</x:f>
        <x:v>-0.8737695168205256</x:v>
      </x:c>
      <x:c r="M164" s="11" t="str">
        <x:v>仅当前完成模型样本</x:v>
      </x:c>
      <x:c r="N164" t="str">
        <x:f>IF(COUNTIF($O$163:$O$214,"排名待刷新")=0,"已刷新","排名待刷新")</x:f>
        <x:v>排名待刷新</x:v>
      </x:c>
      <x:c r="O164" t="str">
        <x:f>IF(AND(F164=87.3,K164=1.3836160498416934,L164=-0.8737695168205256,'情景快照'!T110="已刷新",'情景快照'!T109="已刷新"),"已刷新","排名待刷新")</x:f>
        <x:v>已刷新</x:v>
      </x:c>
    </x:row>
    <x:row r="165" ht="23" customHeight="1">
      <x:c r="A165" s="11" t="str">
        <x:v>五年</x:v>
      </x:c>
      <x:c r="B165" s="11" t="n">
        <x:v>3</x:v>
      </x:c>
      <x:c r="C165" s="11" t="str">
        <x:v>腾讯控股</x:v>
      </x:c>
      <x:c r="D165" s="11" t="str">
        <x:v>00700.HK</x:v>
      </x:c>
      <x:c r="E165" s="11" t="str">
        <x:v>I072</x:v>
      </x:c>
      <x:c r="F165" s="11" t="n">
        <x:f>'评分'!J190</x:f>
        <x:v>84</x:v>
      </x:c>
      <x:c r="G165" s="11" t="str">
        <x:v>第2梯队</x:v>
      </x:c>
      <x:c r="H165" s="11" t="str">
        <x:v>前十不同公司</x:v>
      </x:c>
      <x:c r="I165" s="11" t="n">
        <x:f>'情景快照'!E695</x:f>
        <x:v>424.8</x:v>
      </x:c>
      <x:c r="J165" s="11" t="n">
        <x:f>'情景快照'!F695</x:f>
        <x:v>880.0000000000001</x:v>
      </x:c>
      <x:c r="K165" s="25" t="n">
        <x:f>'情景快照'!I695</x:f>
        <x:v>1.1539548022598871</x:v>
      </x:c>
      <x:c r="L165" s="25" t="n">
        <x:f>'情景快照'!H694</x:f>
        <x:v>-0.2749529190207156</x:v>
      </x:c>
      <x:c r="M165" s="11" t="str">
        <x:v>仅当前完成模型样本</x:v>
      </x:c>
      <x:c r="N165" t="str">
        <x:f>IF(COUNTIF($O$163:$O$214,"排名待刷新")=0,"已刷新","排名待刷新")</x:f>
        <x:v>排名待刷新</x:v>
      </x:c>
      <x:c r="O165" t="str">
        <x:f>IF(AND(F165=84,K165=1.1539548022598871,L165=-0.2749529190207156,'情景快照'!T695="已刷新",'情景快照'!T694="已刷新"),"已刷新","排名待刷新")</x:f>
        <x:v>已刷新</x:v>
      </x:c>
    </x:row>
    <x:row r="166" ht="23" customHeight="1">
      <x:c r="A166" s="11" t="str">
        <x:v>五年</x:v>
      </x:c>
      <x:c r="B166" s="11" t="n">
        <x:v>4</x:v>
      </x:c>
      <x:c r="C166" s="11" t="str">
        <x:v>宁德时代</x:v>
      </x:c>
      <x:c r="D166" s="11" t="str">
        <x:v>03750.HK</x:v>
      </x:c>
      <x:c r="E166" s="11" t="str">
        <x:v>I063</x:v>
      </x:c>
      <x:c r="F166" s="11" t="n">
        <x:f>'评分'!J50</x:f>
        <x:v>83.6</x:v>
      </x:c>
      <x:c r="G166" s="11" t="str">
        <x:v>第2梯队</x:v>
      </x:c>
      <x:c r="H166" s="11" t="str">
        <x:v>前十不同公司</x:v>
      </x:c>
      <x:c r="I166" s="11" t="n">
        <x:f>'情景快照'!E170</x:f>
        <x:v>491.4</x:v>
      </x:c>
      <x:c r="J166" s="11" t="n">
        <x:f>'情景快照'!F170</x:f>
        <x:v>1171.42</x:v>
      </x:c>
      <x:c r="K166" s="25" t="n">
        <x:f>'情景快照'!I170</x:f>
        <x:v>1.4916971916971922</x:v>
      </x:c>
      <x:c r="L166" s="25" t="n">
        <x:f>'情景快照'!H169</x:f>
        <x:v>-0.7871184371184371</x:v>
      </x:c>
      <x:c r="M166" s="11" t="str">
        <x:v>仅当前完成模型样本</x:v>
      </x:c>
      <x:c r="N166" t="str">
        <x:f>IF(COUNTIF($O$163:$O$214,"排名待刷新")=0,"已刷新","排名待刷新")</x:f>
        <x:v>排名待刷新</x:v>
      </x:c>
      <x:c r="O166" t="str">
        <x:f>IF(AND(F166=83.6,K166=1.4916971916971922,L166=-0.7871184371184371,'情景快照'!T170="已刷新",'情景快照'!T169="已刷新"),"已刷新","排名待刷新")</x:f>
        <x:v>已刷新</x:v>
      </x:c>
    </x:row>
    <x:row r="167" ht="23" customHeight="1">
      <x:c r="A167" s="11" t="str">
        <x:v>五年</x:v>
      </x:c>
      <x:c r="B167" s="11" t="n">
        <x:v>5</x:v>
      </x:c>
      <x:c r="C167" s="11" t="str">
        <x:v>迈瑞医疗</x:v>
      </x:c>
      <x:c r="D167" s="11" t="str">
        <x:v>300760.SZ</x:v>
      </x:c>
      <x:c r="E167" s="11" t="str">
        <x:v>I014</x:v>
      </x:c>
      <x:c r="F167" s="11" t="n">
        <x:f>'评分'!J150</x:f>
        <x:v>83.2</x:v>
      </x:c>
      <x:c r="G167" s="11" t="str">
        <x:v>第2梯队</x:v>
      </x:c>
      <x:c r="H167" s="11" t="str">
        <x:v>前十不同公司</x:v>
      </x:c>
      <x:c r="I167" s="11" t="n">
        <x:f>'情景快照'!E545</x:f>
        <x:v>161.4</x:v>
      </x:c>
      <x:c r="J167" s="11" t="n">
        <x:f>'情景快照'!F545</x:f>
        <x:v>341</x:v>
      </x:c>
      <x:c r="K167" s="25" t="n">
        <x:f>'情景快照'!I545</x:f>
        <x:v>1.2800495662949194</x:v>
      </x:c>
      <x:c r="L167" s="25" t="n">
        <x:f>'情景快照'!H544</x:f>
        <x:v>-0.21003717472118966</x:v>
      </x:c>
      <x:c r="M167" s="11" t="str">
        <x:v>仅当前完成模型样本</x:v>
      </x:c>
      <x:c r="N167" t="str">
        <x:f>IF(COUNTIF($O$163:$O$214,"排名待刷新")=0,"已刷新","排名待刷新")</x:f>
        <x:v>排名待刷新</x:v>
      </x:c>
      <x:c r="O167" t="str">
        <x:f>IF(AND(F167=83.2,K167=1.2800495662949194,L167=-0.21003717472118966,'情景快照'!T545="已刷新",'情景快照'!T544="已刷新"),"已刷新","排名待刷新")</x:f>
        <x:v>已刷新</x:v>
      </x:c>
    </x:row>
    <x:row r="168" ht="23" customHeight="1">
      <x:c r="A168" s="11" t="str">
        <x:v>五年</x:v>
      </x:c>
      <x:c r="B168" s="11" t="n">
        <x:v>6</x:v>
      </x:c>
      <x:c r="C168" s="11" t="str">
        <x:v>恒瑞医药</x:v>
      </x:c>
      <x:c r="D168" s="11" t="str">
        <x:v>01276.HK</x:v>
      </x:c>
      <x:c r="E168" s="11" t="str">
        <x:v>I011</x:v>
      </x:c>
      <x:c r="F168" s="11" t="n">
        <x:f>'评分'!J86</x:f>
        <x:v>82.9</x:v>
      </x:c>
      <x:c r="G168" s="11" t="str">
        <x:v>第2梯队</x:v>
      </x:c>
      <x:c r="H168" s="11" t="str">
        <x:v>前十不同公司</x:v>
      </x:c>
      <x:c r="I168" s="11" t="n">
        <x:f>'情景快照'!E305</x:f>
        <x:v>48</x:v>
      </x:c>
      <x:c r="J168" s="11" t="n">
        <x:f>'情景快照'!F305</x:f>
        <x:v>110.825</x:v>
      </x:c>
      <x:c r="K168" s="25" t="n">
        <x:f>'情景快照'!I305</x:f>
        <x:v>1.3489583333333335</x:v>
      </x:c>
      <x:c r="L168" s="25" t="n">
        <x:f>'情景快照'!H304</x:f>
        <x:v>-0.38125</x:v>
      </x:c>
      <x:c r="M168" s="11" t="str">
        <x:v>仅当前完成模型样本</x:v>
      </x:c>
      <x:c r="N168" t="str">
        <x:f>IF(COUNTIF($O$163:$O$214,"排名待刷新")=0,"已刷新","排名待刷新")</x:f>
        <x:v>排名待刷新</x:v>
      </x:c>
      <x:c r="O168" t="str">
        <x:f>IF(AND(F168=82.9,K168=1.3489583333333335,L168=-0.38125,'情景快照'!T305="已刷新",'情景快照'!T304="已刷新"),"已刷新","排名待刷新")</x:f>
        <x:v>已刷新</x:v>
      </x:c>
    </x:row>
    <x:row r="169" ht="23" customHeight="1">
      <x:c r="A169" s="11" t="str">
        <x:v>五年</x:v>
      </x:c>
      <x:c r="B169" s="11" t="n">
        <x:v>7</x:v>
      </x:c>
      <x:c r="C169" s="11" t="str">
        <x:v>美的集团</x:v>
      </x:c>
      <x:c r="D169" s="11" t="str">
        <x:v>00300.HK</x:v>
      </x:c>
      <x:c r="E169" s="11" t="str">
        <x:v>I082</x:v>
      </x:c>
      <x:c r="F169" s="11" t="n">
        <x:f>'评分'!J146</x:f>
        <x:v>82.8</x:v>
      </x:c>
      <x:c r="G169" s="11" t="str">
        <x:v>第2梯队</x:v>
      </x:c>
      <x:c r="H169" s="11" t="str">
        <x:v>前十不同公司</x:v>
      </x:c>
      <x:c r="I169" s="11" t="n">
        <x:f>'情景快照'!E530</x:f>
        <x:v>93.65</x:v>
      </x:c>
      <x:c r="J169" s="11" t="n">
        <x:f>'情景快照'!F530</x:f>
        <x:v>212.29</x:v>
      </x:c>
      <x:c r="K169" s="25" t="n">
        <x:f>'情景快照'!I530</x:f>
        <x:v>1.60854244527496</x:v>
      </x:c>
      <x:c r="L169" s="25" t="n">
        <x:f>'情景快照'!H529</x:f>
        <x:v>-0.5736252002135611</x:v>
      </x:c>
      <x:c r="M169" s="11" t="str">
        <x:v>仅当前完成模型样本</x:v>
      </x:c>
      <x:c r="N169" t="str">
        <x:f>IF(COUNTIF($O$163:$O$214,"排名待刷新")=0,"已刷新","排名待刷新")</x:f>
        <x:v>排名待刷新</x:v>
      </x:c>
      <x:c r="O169" t="str">
        <x:f>IF(AND(F169=82.8,K169=1.60854244527496,L169=-0.5736252002135611,'情景快照'!T530="已刷新",'情景快照'!T529="已刷新"),"已刷新","排名待刷新")</x:f>
        <x:v>已刷新</x:v>
      </x:c>
    </x:row>
    <x:row r="170" ht="23" customHeight="1">
      <x:c r="A170" s="11" t="str">
        <x:v>五年</x:v>
      </x:c>
      <x:c r="B170" s="11" t="n">
        <x:v>8</x:v>
      </x:c>
      <x:c r="C170" s="11" t="str">
        <x:v>药明康德</x:v>
      </x:c>
      <x:c r="D170" s="11" t="str">
        <x:v>603259.SH</x:v>
      </x:c>
      <x:c r="E170" s="11" t="str">
        <x:v>I010</x:v>
      </x:c>
      <x:c r="F170" s="11" t="n">
        <x:f>'评分'!J198</x:f>
        <x:v>82.6</x:v>
      </x:c>
      <x:c r="G170" s="11" t="str">
        <x:v>第2梯队</x:v>
      </x:c>
      <x:c r="H170" s="11" t="str">
        <x:v>前十不同公司</x:v>
      </x:c>
      <x:c r="I170" s="11" t="n">
        <x:f>'情景快照'!E725</x:f>
        <x:v>157.8</x:v>
      </x:c>
      <x:c r="J170" s="11" t="n">
        <x:f>'情景快照'!F725</x:f>
        <x:v>310</x:v>
      </x:c>
      <x:c r="K170" s="25" t="n">
        <x:f>'情景快照'!I725</x:f>
        <x:v>1.0532319391634979</x:v>
      </x:c>
      <x:c r="L170" s="25" t="n">
        <x:f>'情景快照'!H724</x:f>
        <x:v>-0.33460076045627385</x:v>
      </x:c>
      <x:c r="M170" s="11" t="str">
        <x:v>仅当前完成模型样本</x:v>
      </x:c>
      <x:c r="N170" t="str">
        <x:f>IF(COUNTIF($O$163:$O$214,"排名待刷新")=0,"已刷新","排名待刷新")</x:f>
        <x:v>排名待刷新</x:v>
      </x:c>
      <x:c r="O170" t="str">
        <x:f>IF(AND(F170=82.6,K170=1.0532319391634979,L170=-0.33460076045627385,'情景快照'!T725="已刷新",'情景快照'!T724="已刷新"),"已刷新","排名待刷新")</x:f>
        <x:v>已刷新</x:v>
      </x:c>
    </x:row>
    <x:row r="171" ht="23" customHeight="1">
      <x:c r="A171" s="11" t="str">
        <x:v>五年</x:v>
      </x:c>
      <x:c r="B171" s="11" t="n">
        <x:v>9</x:v>
      </x:c>
      <x:c r="C171" s="11" t="str">
        <x:v>凯莱英</x:v>
      </x:c>
      <x:c r="D171" s="11" t="str">
        <x:v>06821.HK</x:v>
      </x:c>
      <x:c r="E171" s="11" t="str">
        <x:v>I006</x:v>
      </x:c>
      <x:c r="F171" s="11" t="n">
        <x:f>'评分'!J26</x:f>
        <x:v>82.4</x:v>
      </x:c>
      <x:c r="G171" s="11" t="str">
        <x:v>第2梯队</x:v>
      </x:c>
      <x:c r="H171" s="11" t="str">
        <x:v>前十不同公司</x:v>
      </x:c>
      <x:c r="I171" s="11" t="n">
        <x:f>'情景快照'!E80</x:f>
        <x:v>155.1</x:v>
      </x:c>
      <x:c r="J171" s="11" t="n">
        <x:f>'情景快照'!F80</x:f>
        <x:v>354.20000000000005</x:v>
      </x:c>
      <x:c r="K171" s="25" t="n">
        <x:f>'情景快照'!I80</x:f>
        <x:v>1.361702127659575</x:v>
      </x:c>
      <x:c r="L171" s="25" t="n">
        <x:f>'情景快照'!H79</x:f>
        <x:v>-0.46382978723404245</x:v>
      </x:c>
      <x:c r="M171" s="11" t="str">
        <x:v>仅当前完成模型样本</x:v>
      </x:c>
      <x:c r="N171" t="str">
        <x:f>IF(COUNTIF($O$163:$O$214,"排名待刷新")=0,"已刷新","排名待刷新")</x:f>
        <x:v>排名待刷新</x:v>
      </x:c>
      <x:c r="O171" t="str">
        <x:f>IF(AND(F171=82.4,K171=1.361702127659575,L171=-0.46382978723404245,'情景快照'!T80="已刷新",'情景快照'!T79="已刷新"),"已刷新","排名待刷新")</x:f>
        <x:v>已刷新</x:v>
      </x:c>
    </x:row>
    <x:row r="172" ht="23" customHeight="1">
      <x:c r="A172" s="11" t="str">
        <x:v>五年</x:v>
      </x:c>
      <x:c r="B172" s="11" t="n">
        <x:v>10</x:v>
      </x:c>
      <x:c r="C172" s="11" t="str">
        <x:v>恒瑞医药</x:v>
      </x:c>
      <x:c r="D172" s="11" t="str">
        <x:v>600276.SH</x:v>
      </x:c>
      <x:c r="E172" s="11" t="str">
        <x:v>I011</x:v>
      </x:c>
      <x:c r="F172" s="11" t="n">
        <x:f>'评分'!J82</x:f>
        <x:v>82.4</x:v>
      </x:c>
      <x:c r="G172" s="11" t="str">
        <x:v>第2梯队</x:v>
      </x:c>
      <x:c r="H172" s="11" t="str">
        <x:v>同公司其他代码</x:v>
      </x:c>
      <x:c r="I172" s="11" t="n">
        <x:f>'情景快照'!E290</x:f>
        <x:v>46.85</x:v>
      </x:c>
      <x:c r="J172" s="11" t="n">
        <x:f>'情景快照'!F290</x:f>
        <x:v>104</x:v>
      </x:c>
      <x:c r="K172" s="25" t="n">
        <x:f>'情景快照'!I290</x:f>
        <x:v>1.2572038420490927</x:v>
      </x:c>
      <x:c r="L172" s="25" t="n">
        <x:f>'情景快照'!H289</x:f>
        <x:v>-0.3596584845250801</x:v>
      </x:c>
      <x:c r="M172" s="11" t="str">
        <x:v>仅当前完成模型样本</x:v>
      </x:c>
      <x:c r="N172" t="str">
        <x:f>IF(COUNTIF($O$163:$O$214,"排名待刷新")=0,"已刷新","排名待刷新")</x:f>
        <x:v>排名待刷新</x:v>
      </x:c>
      <x:c r="O172" t="str">
        <x:f>IF(AND(F172=82.39999999999999,K172=1.2572038420490927,L172=-0.3596584845250801,'情景快照'!T290="已刷新",'情景快照'!T289="已刷新"),"已刷新","排名待刷新")</x:f>
        <x:v>已刷新</x:v>
      </x:c>
    </x:row>
    <x:row r="173" ht="23" customHeight="1">
      <x:c r="A173" s="11" t="str">
        <x:v>五年</x:v>
      </x:c>
      <x:c r="B173" s="11" t="n">
        <x:v>11</x:v>
      </x:c>
      <x:c r="C173" s="11" t="str">
        <x:v>翰森制药</x:v>
      </x:c>
      <x:c r="D173" s="11" t="str">
        <x:v>03692.HK</x:v>
      </x:c>
      <x:c r="E173" s="11" t="str">
        <x:v>I029</x:v>
      </x:c>
      <x:c r="F173" s="11" t="n">
        <x:f>'评分'!J74</x:f>
        <x:v>82</x:v>
      </x:c>
      <x:c r="G173" s="11" t="str">
        <x:v>第2梯队</x:v>
      </x:c>
      <x:c r="H173" s="11" t="str">
        <x:v>前十不同公司</x:v>
      </x:c>
      <x:c r="I173" s="11" t="n">
        <x:f>'情景快照'!E260</x:f>
        <x:v>31.54</x:v>
      </x:c>
      <x:c r="J173" s="11" t="n">
        <x:f>'情景快照'!F260</x:f>
        <x:v>70.45833333333333</x:v>
      </x:c>
      <x:c r="K173" s="25" t="n">
        <x:f>'情景快照'!I260</x:f>
        <x:v>1.3512470936377086</x:v>
      </x:c>
      <x:c r="L173" s="25" t="n">
        <x:f>'情景快照'!H259</x:f>
        <x:v>-0.17655651847154696</x:v>
      </x:c>
      <x:c r="M173" s="11" t="str">
        <x:v>仅当前完成模型样本</x:v>
      </x:c>
      <x:c r="N173" t="str">
        <x:f>IF(COUNTIF($O$163:$O$214,"排名待刷新")=0,"已刷新","排名待刷新")</x:f>
        <x:v>排名待刷新</x:v>
      </x:c>
      <x:c r="O173" t="str">
        <x:f>IF(AND(F173=82,K173=1.3512470936377086,L173=-0.17655651847154696,'情景快照'!T260="已刷新",'情景快照'!T259="已刷新"),"已刷新","排名待刷新")</x:f>
        <x:v>已刷新</x:v>
      </x:c>
    </x:row>
    <x:row r="174" ht="23" customHeight="1">
      <x:c r="A174" s="11" t="str">
        <x:v>五年</x:v>
      </x:c>
      <x:c r="B174" s="11" t="n">
        <x:v>12</x:v>
      </x:c>
      <x:c r="C174" s="11" t="str">
        <x:v>信达生物</x:v>
      </x:c>
      <x:c r="D174" s="11" t="str">
        <x:v>01801.HK</x:v>
      </x:c>
      <x:c r="E174" s="11" t="str">
        <x:v>I048</x:v>
      </x:c>
      <x:c r="F174" s="11" t="n">
        <x:f>'评分'!J94</x:f>
        <x:v>81.6</x:v>
      </x:c>
      <x:c r="G174" s="11" t="str">
        <x:v>第2梯队</x:v>
      </x:c>
      <x:c r="H174" s="11" t="str">
        <x:v>前十不同公司</x:v>
      </x:c>
      <x:c r="I174" s="11" t="n">
        <x:f>'情景快照'!E335</x:f>
        <x:v>92.65</x:v>
      </x:c>
      <x:c r="J174" s="11" t="n">
        <x:f>'情景快照'!F335</x:f>
        <x:v>206.25000000000006</x:v>
      </x:c>
      <x:c r="K174" s="25" t="n">
        <x:f>'情景快照'!I335</x:f>
        <x:v>1.2261198057204536</x:v>
      </x:c>
      <x:c r="L174" s="25" t="n">
        <x:f>'情景快照'!H334</x:f>
        <x:v>-0.3161359956826767</x:v>
      </x:c>
      <x:c r="M174" s="11" t="str">
        <x:v>仅当前完成模型样本</x:v>
      </x:c>
      <x:c r="N174" t="str">
        <x:f>IF(COUNTIF($O$163:$O$214,"排名待刷新")=0,"已刷新","排名待刷新")</x:f>
        <x:v>排名待刷新</x:v>
      </x:c>
      <x:c r="O174" t="str">
        <x:f>IF(AND(F174=81.60000000000001,K174=1.2261198057204536,L174=-0.3161359956826767,'情景快照'!T335="已刷新",'情景快照'!T334="已刷新"),"已刷新","排名待刷新")</x:f>
        <x:v>已刷新</x:v>
      </x:c>
    </x:row>
    <x:row r="175" ht="23" customHeight="1">
      <x:c r="A175" s="11" t="str">
        <x:v>五年</x:v>
      </x:c>
      <x:c r="B175" s="11" t="n">
        <x:v>13</x:v>
      </x:c>
      <x:c r="C175" s="11" t="str">
        <x:v>先声药业</x:v>
      </x:c>
      <x:c r="D175" s="11" t="str">
        <x:v>02096.HK</x:v>
      </x:c>
      <x:c r="E175" s="11" t="str">
        <x:v>I033</x:v>
      </x:c>
      <x:c r="F175" s="11" t="n">
        <x:f>'评分'!J178</x:f>
        <x:v>81.3</x:v>
      </x:c>
      <x:c r="G175" s="11" t="str">
        <x:v>第2梯队</x:v>
      </x:c>
      <x:c r="H175" s="11" t="str">
        <x:v>同公司其他代码</x:v>
      </x:c>
      <x:c r="I175" s="11" t="n">
        <x:f>'情景快照'!E650</x:f>
        <x:v>10.89</x:v>
      </x:c>
      <x:c r="J175" s="11" t="n">
        <x:f>'情景快照'!F650</x:f>
        <x:v>34.218936277094954</x:v>
      </x:c>
      <x:c r="K175" s="25" t="n">
        <x:f>'情景快照'!I650</x:f>
        <x:v>2.3119317058856703</x:v>
      </x:c>
      <x:c r="L175" s="25" t="n">
        <x:f>'情景快照'!H649</x:f>
        <x:v>-0.6609363412366464</x:v>
      </x:c>
      <x:c r="M175" s="11" t="str">
        <x:v>仅当前完成模型样本</x:v>
      </x:c>
      <x:c r="N175" t="str">
        <x:f>IF(COUNTIF($O$163:$O$214,"排名待刷新")=0,"已刷新","排名待刷新")</x:f>
        <x:v>排名待刷新</x:v>
      </x:c>
      <x:c r="O175" t="str">
        <x:f>IF(AND(F175=81.3,K175=2.3119317058856717,L175=-0.660936341236647,'情景快照'!T650="已刷新",'情景快照'!T649="已刷新"),"已刷新","排名待刷新")</x:f>
        <x:v>已刷新</x:v>
      </x:c>
    </x:row>
    <x:row r="176" ht="23" customHeight="1">
      <x:c r="A176" s="11" t="str">
        <x:v>五年</x:v>
      </x:c>
      <x:c r="B176" s="11" t="n">
        <x:v>14</x:v>
      </x:c>
      <x:c r="C176" s="11" t="str">
        <x:v>凯莱英</x:v>
      </x:c>
      <x:c r="D176" s="11" t="str">
        <x:v>002821.SZ</x:v>
      </x:c>
      <x:c r="E176" s="11" t="str">
        <x:v>I006</x:v>
      </x:c>
      <x:c r="F176" s="11" t="n">
        <x:f>'评分'!J22</x:f>
        <x:v>81.2</x:v>
      </x:c>
      <x:c r="G176" s="11" t="str">
        <x:v>第2梯队</x:v>
      </x:c>
      <x:c r="H176" s="11" t="str">
        <x:v>同公司其他代码</x:v>
      </x:c>
      <x:c r="I176" s="11" t="n">
        <x:f>'情景快照'!E65</x:f>
        <x:v>177.93</x:v>
      </x:c>
      <x:c r="J176" s="11" t="n">
        <x:f>'情景快照'!F65</x:f>
        <x:v>368</x:v>
      </x:c>
      <x:c r="K176" s="25" t="n">
        <x:f>'情景快照'!I65</x:f>
        <x:v>1.1300511437082</x:v>
      </x:c>
      <x:c r="L176" s="25" t="n">
        <x:f>'情景快照'!H64</x:f>
        <x:v>-0.5279042320013488</x:v>
      </x:c>
      <x:c r="M176" s="11" t="str">
        <x:v>仅当前完成模型样本</x:v>
      </x:c>
      <x:c r="N176" t="str">
        <x:f>IF(COUNTIF($O$163:$O$214,"排名待刷新")=0,"已刷新","排名待刷新")</x:f>
        <x:v>排名待刷新</x:v>
      </x:c>
      <x:c r="O176" t="str">
        <x:f>IF(AND(F176=81.2,K176=1.1300511437082,L176=-0.5279042320013488,'情景快照'!T65="已刷新",'情景快照'!T64="已刷新"),"已刷新","排名待刷新")</x:f>
        <x:v>已刷新</x:v>
      </x:c>
    </x:row>
    <x:row r="177" ht="23" customHeight="1">
      <x:c r="A177" s="11" t="str">
        <x:v>五年</x:v>
      </x:c>
      <x:c r="B177" s="11" t="n">
        <x:v>15</x:v>
      </x:c>
      <x:c r="C177" s="11" t="str">
        <x:v>药明合联</x:v>
      </x:c>
      <x:c r="D177" s="11" t="str">
        <x:v>02268.HK</x:v>
      </x:c>
      <x:c r="E177" s="11" t="str">
        <x:v>I049</x:v>
      </x:c>
      <x:c r="F177" s="11" t="n">
        <x:f>'评分'!J210</x:f>
        <x:v>81.1</x:v>
      </x:c>
      <x:c r="G177" s="11" t="str">
        <x:v>第2梯队</x:v>
      </x:c>
      <x:c r="H177" s="11" t="str">
        <x:v>同公司其他代码</x:v>
      </x:c>
      <x:c r="I177" s="11" t="n">
        <x:f>'情景快照'!E770</x:f>
        <x:v>82.1</x:v>
      </x:c>
      <x:c r="J177" s="11" t="n">
        <x:f>'情景快照'!F770</x:f>
        <x:v>184.14000000000001</x:v>
      </x:c>
      <x:c r="K177" s="25" t="n">
        <x:f>'情景快照'!I770</x:f>
        <x:v>1.2428745432399517</x:v>
      </x:c>
      <x:c r="L177" s="25" t="n">
        <x:f>'情景快照'!H769</x:f>
        <x:v>-0.14250913520097408</x:v>
      </x:c>
      <x:c r="M177" s="11" t="str">
        <x:v>仅当前完成模型样本</x:v>
      </x:c>
      <x:c r="N177" t="str">
        <x:f>IF(COUNTIF($O$163:$O$214,"排名待刷新")=0,"已刷新","排名待刷新")</x:f>
        <x:v>排名待刷新</x:v>
      </x:c>
      <x:c r="O177" t="str">
        <x:f>IF(AND(F177=81.10000000000001,K177=1.2428745432399517,L177=-0.1425091352009743,'情景快照'!T770="已刷新",'情景快照'!T769="已刷新"),"已刷新","排名待刷新")</x:f>
        <x:v>已刷新</x:v>
      </x:c>
    </x:row>
    <x:row r="178" ht="23" customHeight="1">
      <x:c r="A178" s="11" t="str">
        <x:v>五年</x:v>
      </x:c>
      <x:c r="B178" s="11" t="n">
        <x:v>16</x:v>
      </x:c>
      <x:c r="C178" s="11" t="str">
        <x:v>京东健康</x:v>
      </x:c>
      <x:c r="D178" s="11" t="str">
        <x:v>06618.HK</x:v>
      </x:c>
      <x:c r="E178" s="11" t="str">
        <x:v>I074</x:v>
      </x:c>
      <x:c r="F178" s="11" t="n">
        <x:f>'评分'!J102</x:f>
        <x:v>80.7</x:v>
      </x:c>
      <x:c r="G178" s="11" t="str">
        <x:v>第3梯队</x:v>
      </x:c>
      <x:c r="H178" s="11" t="str">
        <x:v>同公司其他代码</x:v>
      </x:c>
      <x:c r="I178" s="11" t="n">
        <x:f>'情景快照'!E365</x:f>
        <x:v>36.08</x:v>
      </x:c>
      <x:c r="J178" s="11" t="n">
        <x:f>'情景快照'!F365</x:f>
        <x:v>112.63</x:v>
      </x:c>
      <x:c r="K178" s="25" t="n">
        <x:f>'情景快照'!I365</x:f>
        <x:v>2.2048226164079825</x:v>
      </x:c>
      <x:c r="L178" s="25" t="n">
        <x:f>'情景快照'!H364</x:f>
        <x:v>-0.8120842572062084</x:v>
      </x:c>
      <x:c r="M178" s="11" t="str">
        <x:v>仅当前完成模型样本</x:v>
      </x:c>
      <x:c r="N178" t="str">
        <x:f>IF(COUNTIF($O$163:$O$214,"排名待刷新")=0,"已刷新","排名待刷新")</x:f>
        <x:v>排名待刷新</x:v>
      </x:c>
      <x:c r="O178" t="str">
        <x:f>IF(AND(F178=80.7,K178=2.2048226164079825,L178=-0.8120842572062084,'情景快照'!T365="已刷新",'情景快照'!T364="已刷新"),"已刷新","排名待刷新")</x:f>
        <x:v>已刷新</x:v>
      </x:c>
    </x:row>
    <x:row r="179" ht="23" customHeight="1">
      <x:c r="A179" s="11" t="str">
        <x:v>五年</x:v>
      </x:c>
      <x:c r="B179" s="11" t="n">
        <x:v>17</x:v>
      </x:c>
      <x:c r="C179" s="11" t="str">
        <x:v>药明康德</x:v>
      </x:c>
      <x:c r="D179" s="11" t="str">
        <x:v>02359.HK</x:v>
      </x:c>
      <x:c r="E179" s="11" t="str">
        <x:v>I010</x:v>
      </x:c>
      <x:c r="F179" s="11" t="n">
        <x:f>'评分'!J202</x:f>
        <x:v>80.7</x:v>
      </x:c>
      <x:c r="G179" s="11" t="str">
        <x:v>第3梯队</x:v>
      </x:c>
      <x:c r="H179" s="11" t="str">
        <x:v>同公司其他代码</x:v>
      </x:c>
      <x:c r="I179" s="11" t="n">
        <x:f>'情景快照'!E740</x:f>
        <x:v>208</x:v>
      </x:c>
      <x:c r="J179" s="11" t="n">
        <x:f>'情景快照'!F740</x:f>
        <x:v>375.1</x:v>
      </x:c>
      <x:c r="K179" s="25" t="n">
        <x:f>'情景快照'!I740</x:f>
        <x:v>0.8774038461538463</x:v>
      </x:c>
      <x:c r="L179" s="25" t="n">
        <x:f>'情景快照'!H739</x:f>
        <x:v>-0.40504807692307687</x:v>
      </x:c>
      <x:c r="M179" s="11" t="str">
        <x:v>仅当前完成模型样本</x:v>
      </x:c>
      <x:c r="N179" t="str">
        <x:f>IF(COUNTIF($O$163:$O$214,"排名待刷新")=0,"已刷新","排名待刷新")</x:f>
        <x:v>排名待刷新</x:v>
      </x:c>
      <x:c r="O179" t="str">
        <x:f>IF(AND(F179=80.69999999999999,K179=0.8774038461538463,L179=-0.40504807692307687,'情景快照'!T740="已刷新",'情景快照'!T739="已刷新"),"已刷新","排名待刷新")</x:f>
        <x:v>已刷新</x:v>
      </x:c>
    </x:row>
    <x:row r="180" ht="23" customHeight="1">
      <x:c r="A180" s="11" t="str">
        <x:v>五年</x:v>
      </x:c>
      <x:c r="B180" s="11" t="n">
        <x:v>18</x:v>
      </x:c>
      <x:c r="C180" s="11" t="str">
        <x:v>石药集团</x:v>
      </x:c>
      <x:c r="D180" s="11" t="str">
        <x:v>01093.HK</x:v>
      </x:c>
      <x:c r="E180" s="11" t="str">
        <x:v>I025</x:v>
      </x:c>
      <x:c r="F180" s="11" t="n">
        <x:f>'评分'!J54</x:f>
        <x:v>79.7</x:v>
      </x:c>
      <x:c r="G180" s="11" t="str">
        <x:v>第3梯队</x:v>
      </x:c>
      <x:c r="H180" s="11" t="str">
        <x:v>同公司其他代码</x:v>
      </x:c>
      <x:c r="I180" s="11" t="n">
        <x:f>'情景快照'!E185</x:f>
        <x:v>9.085</x:v>
      </x:c>
      <x:c r="J180" s="11" t="n">
        <x:f>'情景快照'!F185</x:f>
        <x:v>15.623303921248567</x:v>
      </x:c>
      <x:c r="K180" s="25" t="n">
        <x:f>'情景快照'!I185</x:f>
        <x:v>0.9398243171434855</x:v>
      </x:c>
      <x:c r="L180" s="25" t="n">
        <x:f>'情景快照'!H184</x:f>
        <x:v>-0.5347353702676134</x:v>
      </x:c>
      <x:c r="M180" s="11" t="str">
        <x:v>仅当前完成模型样本</x:v>
      </x:c>
      <x:c r="N180" t="str">
        <x:f>IF(COUNTIF($O$163:$O$214,"排名待刷新")=0,"已刷新","排名待刷新")</x:f>
        <x:v>排名待刷新</x:v>
      </x:c>
      <x:c r="O180" t="str">
        <x:f>IF(AND(F180=79.7,K180=0.939824317143485,L180=-0.5347353702676134,'情景快照'!T185="已刷新",'情景快照'!T184="已刷新"),"已刷新","排名待刷新")</x:f>
        <x:v>已刷新</x:v>
      </x:c>
    </x:row>
    <x:row r="181" ht="23" customHeight="1">
      <x:c r="A181" s="11" t="str">
        <x:v>五年</x:v>
      </x:c>
      <x:c r="B181" s="11" t="n">
        <x:v>19</x:v>
      </x:c>
      <x:c r="C181" s="11" t="str">
        <x:v>中国生物制药</x:v>
      </x:c>
      <x:c r="D181" s="11" t="str">
        <x:v>01177.HK</x:v>
      </x:c>
      <x:c r="E181" s="11" t="str">
        <x:v>I031</x:v>
      </x:c>
      <x:c r="F181" s="11" t="n">
        <x:f>'评分'!J182</x:f>
        <x:v>79.1</x:v>
      </x:c>
      <x:c r="G181" s="11" t="str">
        <x:v>第3梯队</x:v>
      </x:c>
      <x:c r="H181" s="11" t="str">
        <x:v>同公司其他代码</x:v>
      </x:c>
      <x:c r="I181" s="11" t="n">
        <x:f>'情景快照'!E665</x:f>
        <x:v>5.41</x:v>
      </x:c>
      <x:c r="J181" s="11" t="n">
        <x:f>'情景快照'!F665</x:f>
        <x:v>17.988969072164952</x:v>
      </x:c>
      <x:c r="K181" s="25" t="n">
        <x:f>'情景快照'!I665</x:f>
        <x:v>2.5007336547439833</x:v>
      </x:c>
      <x:c r="L181" s="25" t="n">
        <x:f>'情景快照'!H664</x:f>
        <x:v>-0.21507412576860685</x:v>
      </x:c>
      <x:c r="M181" s="11" t="str">
        <x:v>仅当前完成模型样本</x:v>
      </x:c>
      <x:c r="N181" t="str">
        <x:f>IF(COUNTIF($O$163:$O$214,"排名待刷新")=0,"已刷新","排名待刷新")</x:f>
        <x:v>排名待刷新</x:v>
      </x:c>
      <x:c r="O181" t="str">
        <x:f>IF(AND(F181=79.10000000000001,K181=2.5007336547439833,L181=-0.21507412576860685,'情景快照'!T665="已刷新",'情景快照'!T664="已刷新"),"已刷新","排名待刷新")</x:f>
        <x:v>已刷新</x:v>
      </x:c>
    </x:row>
    <x:row r="182" ht="23" customHeight="1">
      <x:c r="A182" s="11" t="str">
        <x:v>五年</x:v>
      </x:c>
      <x:c r="B182" s="11" t="n">
        <x:v>20</x:v>
      </x:c>
      <x:c r="C182" s="11" t="str">
        <x:v>网易</x:v>
      </x:c>
      <x:c r="D182" s="11" t="str">
        <x:v>09999.HK</x:v>
      </x:c>
      <x:c r="E182" s="11" t="str">
        <x:v>I064</x:v>
      </x:c>
      <x:c r="F182" s="11" t="n">
        <x:f>'评分'!J154</x:f>
        <x:v>79.1</x:v>
      </x:c>
      <x:c r="G182" s="11" t="str">
        <x:v>第3梯队</x:v>
      </x:c>
      <x:c r="H182" s="11" t="str">
        <x:v>同公司其他代码</x:v>
      </x:c>
      <x:c r="I182" s="11" t="n">
        <x:f>'情景快照'!E560</x:f>
        <x:v>193.5</x:v>
      </x:c>
      <x:c r="J182" s="11" t="n">
        <x:f>'情景快照'!F560</x:f>
        <x:v>334.40000000000003</x:v>
      </x:c>
      <x:c r="K182" s="25" t="n">
        <x:f>'情景快照'!I560</x:f>
        <x:v>0.8573643410852716</x:v>
      </x:c>
      <x:c r="L182" s="25" t="n">
        <x:f>'情景快照'!H559</x:f>
        <x:v>-0.4315245478036175</x:v>
      </x:c>
      <x:c r="M182" s="11" t="str">
        <x:v>仅当前完成模型样本</x:v>
      </x:c>
      <x:c r="N182" t="str">
        <x:f>IF(COUNTIF($O$163:$O$214,"排名待刷新")=0,"已刷新","排名待刷新")</x:f>
        <x:v>排名待刷新</x:v>
      </x:c>
      <x:c r="O182" t="str">
        <x:f>IF(AND(F182=79.10000000000001,K182=0.8573643410852712,L182=-0.4315245478036176,'情景快照'!T560="已刷新",'情景快照'!T559="已刷新"),"已刷新","排名待刷新")</x:f>
        <x:v>已刷新</x:v>
      </x:c>
    </x:row>
    <x:row r="183" ht="23" customHeight="1">
      <x:c r="A183" s="11" t="str">
        <x:v>五年</x:v>
      </x:c>
      <x:c r="B183" s="11" t="n">
        <x:v>21</x:v>
      </x:c>
      <x:c r="C183" s="11" t="str">
        <x:v>阿里巴巴-W</x:v>
      </x:c>
      <x:c r="D183" s="11" t="str">
        <x:v>09988.HK</x:v>
      </x:c>
      <x:c r="E183" s="11" t="str">
        <x:v>I075</x:v>
      </x:c>
      <x:c r="F183" s="11" t="n">
        <x:f>'评分'!J18</x:f>
        <x:v>78.9</x:v>
      </x:c>
      <x:c r="G183" s="11" t="str">
        <x:v>第3梯队</x:v>
      </x:c>
      <x:c r="H183" s="11" t="str">
        <x:v>同公司其他代码</x:v>
      </x:c>
      <x:c r="I183" s="11" t="n">
        <x:f>'情景快照'!E50</x:f>
        <x:v>107</x:v>
      </x:c>
      <x:c r="J183" s="11" t="n">
        <x:f>'情景快照'!F50</x:f>
        <x:v>297.4</x:v>
      </x:c>
      <x:c r="K183" s="25" t="n">
        <x:f>'情景快照'!I50</x:f>
        <x:v>1.854205607476635</x:v>
      </x:c>
      <x:c r="L183" s="25" t="n">
        <x:f>'情景快照'!H49</x:f>
        <x:v>-0.744018691588785</x:v>
      </x:c>
      <x:c r="M183" s="11" t="str">
        <x:v>仅当前完成模型样本</x:v>
      </x:c>
      <x:c r="N183" t="str">
        <x:f>IF(COUNTIF($O$163:$O$214,"排名待刷新")=0,"已刷新","排名待刷新")</x:f>
        <x:v>排名待刷新</x:v>
      </x:c>
      <x:c r="O183" t="str">
        <x:f>IF(AND(F183=78.89999999999999,K183=1.854205607476635,L183=-0.744018691588785,'情景快照'!T50="已刷新",'情景快照'!T49="已刷新"),"已刷新","排名待刷新")</x:f>
        <x:v>已刷新</x:v>
      </x:c>
    </x:row>
    <x:row r="184" ht="23" customHeight="1">
      <x:c r="A184" s="11" t="str">
        <x:v>五年</x:v>
      </x:c>
      <x:c r="B184" s="11" t="n">
        <x:v>22</x:v>
      </x:c>
      <x:c r="C184" s="11" t="str">
        <x:v>康龙化成</x:v>
      </x:c>
      <x:c r="D184" s="11" t="str">
        <x:v>03759.HK</x:v>
      </x:c>
      <x:c r="E184" s="11" t="str">
        <x:v>I022</x:v>
      </x:c>
      <x:c r="F184" s="11" t="n">
        <x:f>'评分'!J158</x:f>
        <x:v>78.5</x:v>
      </x:c>
      <x:c r="G184" s="11" t="str">
        <x:v>第3梯队</x:v>
      </x:c>
      <x:c r="H184" s="11" t="str">
        <x:v>同公司其他代码</x:v>
      </x:c>
      <x:c r="I184" s="11" t="n">
        <x:f>'情景快照'!E575</x:f>
        <x:v>30.6</x:v>
      </x:c>
      <x:c r="J184" s="11" t="n">
        <x:f>'情景快照'!F575</x:f>
        <x:v>70.72786461074874</x:v>
      </x:c>
      <x:c r="K184" s="25" t="n">
        <x:f>'情景快照'!I575</x:f>
        <x:v>1.3882962291094358</x:v>
      </x:c>
      <x:c r="L184" s="25" t="n">
        <x:f>'情景快照'!H574</x:f>
        <x:v>-0.5202295552367289</x:v>
      </x:c>
      <x:c r="M184" s="11" t="str">
        <x:v>仅当前完成模型样本</x:v>
      </x:c>
      <x:c r="N184" t="str">
        <x:f>IF(COUNTIF($O$163:$O$214,"排名待刷新")=0,"已刷新","排名待刷新")</x:f>
        <x:v>排名待刷新</x:v>
      </x:c>
      <x:c r="O184" t="str">
        <x:f>IF(AND(F184=78.5,K184=1.3882962291094354,L184=-0.5202295552367289,'情景快照'!T575="已刷新",'情景快照'!T574="已刷新"),"已刷新","排名待刷新")</x:f>
        <x:v>排名待刷新</x:v>
      </x:c>
    </x:row>
    <x:row r="185" ht="23" customHeight="1">
      <x:c r="A185" s="11" t="str">
        <x:v>五年</x:v>
      </x:c>
      <x:c r="B185" s="11" t="n">
        <x:v>23</x:v>
      </x:c>
      <x:c r="C185" s="11" t="str">
        <x:v>比亚迪股份</x:v>
      </x:c>
      <x:c r="D185" s="11" t="str">
        <x:v>01211.HK</x:v>
      </x:c>
      <x:c r="E185" s="11" t="str">
        <x:v>I061</x:v>
      </x:c>
      <x:c r="F185" s="11" t="n">
        <x:f>'评分'!J46</x:f>
        <x:v>78.2</x:v>
      </x:c>
      <x:c r="G185" s="11" t="str">
        <x:v>第3梯队</x:v>
      </x:c>
      <x:c r="H185" s="11" t="str">
        <x:v>同公司其他代码</x:v>
      </x:c>
      <x:c r="I185" s="11" t="n">
        <x:f>'情景快照'!E155</x:f>
        <x:v>75.6</x:v>
      </x:c>
      <x:c r="J185" s="11" t="n">
        <x:f>'情景快照'!F155</x:f>
        <x:v>199.73</x:v>
      </x:c>
      <x:c r="K185" s="25" t="n">
        <x:f>'情景快照'!I155</x:f>
        <x:v>1.69484126984127</x:v>
      </x:c>
      <x:c r="L185" s="25" t="n">
        <x:f>'情景快照'!H154</x:f>
        <x:v>-0.7797619047619048</x:v>
      </x:c>
      <x:c r="M185" s="11" t="str">
        <x:v>仅当前完成模型样本</x:v>
      </x:c>
      <x:c r="N185" t="str">
        <x:f>IF(COUNTIF($O$163:$O$214,"排名待刷新")=0,"已刷新","排名待刷新")</x:f>
        <x:v>排名待刷新</x:v>
      </x:c>
      <x:c r="O185" t="str">
        <x:f>IF(AND(F185=78.2,K185=1.69484126984127,L185=-0.7797619047619048,'情景快照'!T155="已刷新",'情景快照'!T154="已刷新"),"已刷新","排名待刷新")</x:f>
        <x:v>已刷新</x:v>
      </x:c>
    </x:row>
    <x:row r="186" ht="23" customHeight="1">
      <x:c r="A186" s="11" t="str">
        <x:v>五年</x:v>
      </x:c>
      <x:c r="B186" s="11" t="n">
        <x:v>24</x:v>
      </x:c>
      <x:c r="C186" s="11" t="str">
        <x:v>海尔生物</x:v>
      </x:c>
      <x:c r="D186" s="11" t="str">
        <x:v>688139.SH</x:v>
      </x:c>
      <x:c r="E186" s="11" t="str">
        <x:v>I001</x:v>
      </x:c>
      <x:c r="F186" s="11" t="n">
        <x:f>'评分'!J70</x:f>
        <x:v>77.9</x:v>
      </x:c>
      <x:c r="G186" s="11" t="str">
        <x:v>第3梯队</x:v>
      </x:c>
      <x:c r="H186" s="11" t="str">
        <x:v>同公司其他代码</x:v>
      </x:c>
      <x:c r="I186" s="11" t="n">
        <x:f>'情景快照'!E245</x:f>
        <x:v>35.13</x:v>
      </x:c>
      <x:c r="J186" s="11" t="n">
        <x:f>'情景快照'!F245</x:f>
        <x:v>79.5</x:v>
      </x:c>
      <x:c r="K186" s="25" t="n">
        <x:f>'情景快照'!I245</x:f>
        <x:v>1.359806433247936</x:v>
      </x:c>
      <x:c r="L186" s="25" t="n">
        <x:f>'情景快照'!H244</x:f>
        <x:v>-0.37375462567606044</x:v>
      </x:c>
      <x:c r="M186" s="11" t="str">
        <x:v>仅当前完成模型样本</x:v>
      </x:c>
      <x:c r="N186" t="str">
        <x:f>IF(COUNTIF($O$163:$O$214,"排名待刷新")=0,"已刷新","排名待刷新")</x:f>
        <x:v>排名待刷新</x:v>
      </x:c>
      <x:c r="O186" t="str">
        <x:f>IF(AND(F186=77.9,K186=1.359806433247936,L186=-0.37375462567606044,'情景快照'!T245="已刷新",'情景快照'!T244="已刷新"),"已刷新","排名待刷新")</x:f>
        <x:v>已刷新</x:v>
      </x:c>
    </x:row>
    <x:row r="187" ht="23" customHeight="1">
      <x:c r="A187" s="11" t="str">
        <x:v>五年</x:v>
      </x:c>
      <x:c r="B187" s="11" t="n">
        <x:v>25</x:v>
      </x:c>
      <x:c r="C187" s="11" t="str">
        <x:v>美团-W</x:v>
      </x:c>
      <x:c r="D187" s="11" t="str">
        <x:v>03690.HK</x:v>
      </x:c>
      <x:c r="E187" s="11" t="str">
        <x:v>I078</x:v>
      </x:c>
      <x:c r="F187" s="11" t="n">
        <x:f>'评分'!J142</x:f>
        <x:v>77.8</x:v>
      </x:c>
      <x:c r="G187" s="11" t="str">
        <x:v>第3梯队</x:v>
      </x:c>
      <x:c r="H187" s="11" t="str">
        <x:v>同公司其他代码</x:v>
      </x:c>
      <x:c r="I187" s="11" t="n">
        <x:f>'情景快照'!E515</x:f>
        <x:v>71.5</x:v>
      </x:c>
      <x:c r="J187" s="11" t="n">
        <x:f>'情景快照'!F515</x:f>
        <x:v>294.79</x:v>
      </x:c>
      <x:c r="K187" s="25" t="n">
        <x:f>'情景快照'!I515</x:f>
        <x:v>3.122937062937063</x:v>
      </x:c>
      <x:c r="L187" s="25" t="n">
        <x:f>'情景快照'!H514</x:f>
        <x:v>-0.6348251748251748</x:v>
      </x:c>
      <x:c r="M187" s="11" t="str">
        <x:v>仅当前完成模型样本</x:v>
      </x:c>
      <x:c r="N187" t="str">
        <x:f>IF(COUNTIF($O$163:$O$214,"排名待刷新")=0,"已刷新","排名待刷新")</x:f>
        <x:v>排名待刷新</x:v>
      </x:c>
      <x:c r="O187" t="str">
        <x:f>IF(AND(F187=77.8,K187=3.122937062937063,L187=-0.6348251748251748,'情景快照'!T515="已刷新",'情景快照'!T514="已刷新"),"已刷新","排名待刷新")</x:f>
        <x:v>已刷新</x:v>
      </x:c>
    </x:row>
    <x:row r="188" ht="23" customHeight="1">
      <x:c r="A188" s="11" t="str">
        <x:v>五年</x:v>
      </x:c>
      <x:c r="B188" s="11" t="n">
        <x:v>26</x:v>
      </x:c>
      <x:c r="C188" s="11" t="str">
        <x:v>联想集团</x:v>
      </x:c>
      <x:c r="D188" s="11" t="str">
        <x:v>00992.HK</x:v>
      </x:c>
      <x:c r="E188" s="11" t="str">
        <x:v>I065</x:v>
      </x:c>
      <x:c r="F188" s="11" t="n">
        <x:f>'评分'!J126</x:f>
        <x:v>77.4</x:v>
      </x:c>
      <x:c r="G188" s="11" t="str">
        <x:v>第4梯队</x:v>
      </x:c>
      <x:c r="H188" s="11" t="str">
        <x:v>同公司其他代码</x:v>
      </x:c>
      <x:c r="I188" s="11" t="n">
        <x:f>'情景快照'!E455</x:f>
        <x:v>32.84</x:v>
      </x:c>
      <x:c r="J188" s="11" t="n">
        <x:f>'情景快照'!F455</x:f>
        <x:v>100.38</x:v>
      </x:c>
      <x:c r="K188" s="25" t="n">
        <x:f>'情景快照'!I455</x:f>
        <x:v>2.1997563946406817</x:v>
      </x:c>
      <x:c r="L188" s="25" t="n">
        <x:f>'情景快照'!H454</x:f>
        <x:v>-0.820341047503045</x:v>
      </x:c>
      <x:c r="M188" s="11" t="str">
        <x:v>仅当前完成模型样本</x:v>
      </x:c>
      <x:c r="N188" t="str">
        <x:f>IF(COUNTIF($O$163:$O$214,"排名待刷新")=0,"已刷新","排名待刷新")</x:f>
        <x:v>排名待刷新</x:v>
      </x:c>
      <x:c r="O188" t="str">
        <x:f>IF(AND(F188=77.4,K188=2.1997563946406817,L188=-0.820341047503045,'情景快照'!T455="已刷新",'情景快照'!T454="已刷新"),"已刷新","排名待刷新")</x:f>
        <x:v>已刷新</x:v>
      </x:c>
    </x:row>
    <x:row r="189" ht="23" customHeight="1">
      <x:c r="A189" s="11" t="str">
        <x:v>五年</x:v>
      </x:c>
      <x:c r="B189" s="11" t="n">
        <x:v>27</x:v>
      </x:c>
      <x:c r="C189" s="11" t="str">
        <x:v>携程集团-S</x:v>
      </x:c>
      <x:c r="D189" s="11" t="str">
        <x:v>09961.HK</x:v>
      </x:c>
      <x:c r="E189" s="11" t="str">
        <x:v>I077</x:v>
      </x:c>
      <x:c r="F189" s="11" t="n">
        <x:f>'评分'!J194</x:f>
        <x:v>77.3</x:v>
      </x:c>
      <x:c r="G189" s="11" t="str">
        <x:v>第4梯队</x:v>
      </x:c>
      <x:c r="H189" s="11" t="str">
        <x:v>同公司其他代码</x:v>
      </x:c>
      <x:c r="I189" s="11" t="n">
        <x:f>'情景快照'!E710</x:f>
        <x:v>304.4</x:v>
      </x:c>
      <x:c r="J189" s="11" t="n">
        <x:f>'情景快照'!F710</x:f>
        <x:v>864.27</x:v>
      </x:c>
      <x:c r="K189" s="25" t="n">
        <x:f>'情景快照'!I710</x:f>
        <x:v>1.872109067017083</x:v>
      </x:c>
      <x:c r="L189" s="25" t="n">
        <x:f>'情景快照'!H709</x:f>
        <x:v>-0.5540407358738502</x:v>
      </x:c>
      <x:c r="M189" s="11" t="str">
        <x:v>仅当前完成模型样本</x:v>
      </x:c>
      <x:c r="N189" t="str">
        <x:f>IF(COUNTIF($O$163:$O$214,"排名待刷新")=0,"已刷新","排名待刷新")</x:f>
        <x:v>排名待刷新</x:v>
      </x:c>
      <x:c r="O189" t="str">
        <x:f>IF(AND(F189=77.3,K189=1.872109067017083,L189=-0.5540407358738502,'情景快照'!T710="已刷新",'情景快照'!T709="已刷新"),"已刷新","排名待刷新")</x:f>
        <x:v>已刷新</x:v>
      </x:c>
    </x:row>
    <x:row r="190" ht="23" customHeight="1">
      <x:c r="A190" s="11" t="str">
        <x:v>五年</x:v>
      </x:c>
      <x:c r="B190" s="11" t="n">
        <x:v>28</x:v>
      </x:c>
      <x:c r="C190" s="11" t="str">
        <x:v>小米集团-W</x:v>
      </x:c>
      <x:c r="D190" s="11" t="str">
        <x:v>01810.HK</x:v>
      </x:c>
      <x:c r="E190" s="11" t="str">
        <x:v>I087</x:v>
      </x:c>
      <x:c r="F190" s="11" t="n">
        <x:f>'评分'!J214</x:f>
        <x:v>77</x:v>
      </x:c>
      <x:c r="G190" s="11" t="str">
        <x:v>第4梯队</x:v>
      </x:c>
      <x:c r="H190" s="11" t="str">
        <x:v>同公司其他代码</x:v>
      </x:c>
      <x:c r="I190" s="11" t="n">
        <x:f>'情景快照'!E785</x:f>
        <x:v>25.96</x:v>
      </x:c>
      <x:c r="J190" s="11" t="n">
        <x:f>'情景快照'!F785</x:f>
        <x:v>69.65</x:v>
      </x:c>
      <x:c r="K190" s="25" t="n">
        <x:f>'情景快照'!I785</x:f>
        <x:v>1.6829738058551618</x:v>
      </x:c>
      <x:c r="L190" s="25" t="n">
        <x:f>'情景快照'!H784</x:f>
        <x:v>-0.8120184899845917</x:v>
      </x:c>
      <x:c r="M190" s="11" t="str">
        <x:v>仅当前完成模型样本</x:v>
      </x:c>
      <x:c r="N190" t="str">
        <x:f>IF(COUNTIF($O$163:$O$214,"排名待刷新")=0,"已刷新","排名待刷新")</x:f>
        <x:v>排名待刷新</x:v>
      </x:c>
      <x:c r="O190" t="str">
        <x:f>IF(AND(F190=77,K190=1.6829738058551618,L190=-0.8120184899845917,'情景快照'!T785="已刷新",'情景快照'!T784="已刷新"),"已刷新","排名待刷新")</x:f>
        <x:v>已刷新</x:v>
      </x:c>
    </x:row>
    <x:row r="191" ht="23" customHeight="1">
      <x:c r="A191" s="11" t="str">
        <x:v>五年</x:v>
      </x:c>
      <x:c r="B191" s="11" t="n">
        <x:v>29</x:v>
      </x:c>
      <x:c r="C191" s="11" t="str">
        <x:v>皓元医药</x:v>
      </x:c>
      <x:c r="D191" s="11" t="str">
        <x:v>688131.SH</x:v>
      </x:c>
      <x:c r="E191" s="11" t="str">
        <x:v>I015</x:v>
      </x:c>
      <x:c r="F191" s="11" t="n">
        <x:f>'评分'!J78</x:f>
        <x:v>76.7</x:v>
      </x:c>
      <x:c r="G191" s="11" t="str">
        <x:v>第4梯队</x:v>
      </x:c>
      <x:c r="H191" s="11" t="str">
        <x:v>同公司其他代码</x:v>
      </x:c>
      <x:c r="I191" s="11" t="n">
        <x:f>'情景快照'!E275</x:f>
        <x:v>93.16</x:v>
      </x:c>
      <x:c r="J191" s="11" t="n">
        <x:f>'情景快照'!F275</x:f>
        <x:v>209</x:v>
      </x:c>
      <x:c r="K191" s="25" t="n">
        <x:f>'情景快照'!I275</x:f>
        <x:v>1.2681408329755262</x:v>
      </x:c>
      <x:c r="L191" s="25" t="n">
        <x:f>'情景快照'!H274</x:f>
        <x:v>-0.49763847144697293</x:v>
      </x:c>
      <x:c r="M191" s="11" t="str">
        <x:v>仅当前完成模型样本</x:v>
      </x:c>
      <x:c r="N191" t="str">
        <x:f>IF(COUNTIF($O$163:$O$214,"排名待刷新")=0,"已刷新","排名待刷新")</x:f>
        <x:v>排名待刷新</x:v>
      </x:c>
      <x:c r="O191" t="str">
        <x:f>IF(AND(F191=76.69999999999999,K191=1.2681408329755262,L191=-0.49763847144697293,'情景快照'!T275="已刷新",'情景快照'!T274="已刷新"),"已刷新","排名待刷新")</x:f>
        <x:v>已刷新</x:v>
      </x:c>
    </x:row>
    <x:row r="192" ht="23" customHeight="1">
      <x:c r="A192" s="11" t="str">
        <x:v>五年</x:v>
      </x:c>
      <x:c r="B192" s="11" t="n">
        <x:v>30</x:v>
      </x:c>
      <x:c r="C192" s="11" t="str">
        <x:v>康方生物</x:v>
      </x:c>
      <x:c r="D192" s="11" t="str">
        <x:v>09926.HK</x:v>
      </x:c>
      <x:c r="E192" s="11" t="str">
        <x:v>I052</x:v>
      </x:c>
      <x:c r="F192" s="11" t="n">
        <x:f>'评分'!J14</x:f>
        <x:v>76.5</x:v>
      </x:c>
      <x:c r="G192" s="11" t="str">
        <x:v>第4梯队</x:v>
      </x:c>
      <x:c r="H192" s="11" t="str">
        <x:v>同公司其他代码</x:v>
      </x:c>
      <x:c r="I192" s="11" t="n">
        <x:f>'情景快照'!E35</x:f>
        <x:v>109.1</x:v>
      </x:c>
      <x:c r="J192" s="11" t="n">
        <x:f>'情景快照'!F35</x:f>
        <x:v>153.02179501089194</x:v>
      </x:c>
      <x:c r="K192" s="25" t="n">
        <x:f>'情景快照'!I35</x:f>
        <x:v>0.4025829056910353</x:v>
      </x:c>
      <x:c r="L192" s="25" t="n">
        <x:f>'情景快照'!H34</x:f>
        <x:v>-0.842823225544334</x:v>
      </x:c>
      <x:c r="M192" s="11" t="str">
        <x:v>仅当前完成模型样本</x:v>
      </x:c>
      <x:c r="N192" t="str">
        <x:f>IF(COUNTIF($O$163:$O$214,"排名待刷新")=0,"已刷新","排名待刷新")</x:f>
        <x:v>排名待刷新</x:v>
      </x:c>
      <x:c r="O192" t="str">
        <x:f>IF(AND(F192=76.5,K192=0.40258290569103505,L192=-0.842823225544334,'情景快照'!T35="已刷新",'情景快照'!T34="已刷新"),"已刷新","排名待刷新")</x:f>
        <x:v>已刷新</x:v>
      </x:c>
    </x:row>
    <x:row r="193" ht="23" customHeight="1">
      <x:c r="A193" s="11" t="str">
        <x:v>五年</x:v>
      </x:c>
      <x:c r="B193" s="11" t="n">
        <x:v>31</x:v>
      </x:c>
      <x:c r="C193" s="11" t="str">
        <x:v>泡泡玛特</x:v>
      </x:c>
      <x:c r="D193" s="11" t="str">
        <x:v>09992.HK</x:v>
      </x:c>
      <x:c r="E193" s="11" t="str">
        <x:v>I056</x:v>
      </x:c>
      <x:c r="F193" s="11" t="n">
        <x:f>'评分'!J162</x:f>
        <x:v>75.8</x:v>
      </x:c>
      <x:c r="G193" s="11" t="str">
        <x:v>第4梯队</x:v>
      </x:c>
      <x:c r="H193" s="11" t="str">
        <x:v>同公司其他代码</x:v>
      </x:c>
      <x:c r="I193" s="11" t="n">
        <x:f>'情景快照'!E590</x:f>
        <x:v>152.3</x:v>
      </x:c>
      <x:c r="J193" s="11" t="n">
        <x:f>'情景快照'!F590</x:f>
        <x:v>545.56</x:v>
      </x:c>
      <x:c r="K193" s="25" t="n">
        <x:f>'情景快照'!I590</x:f>
        <x:v>2.693762311227839</x:v>
      </x:c>
      <x:c r="L193" s="25" t="n">
        <x:f>'情景快照'!H589</x:f>
        <x:v>-0.8204202232435982</x:v>
      </x:c>
      <x:c r="M193" s="11" t="str">
        <x:v>仅当前完成模型样本</x:v>
      </x:c>
      <x:c r="N193" t="str">
        <x:f>IF(COUNTIF($O$163:$O$214,"排名待刷新")=0,"已刷新","排名待刷新")</x:f>
        <x:v>排名待刷新</x:v>
      </x:c>
      <x:c r="O193" t="str">
        <x:f>IF(AND(F193=75.80000000000001,K193=2.693762311227839,L193=-0.8204202232435982,'情景快照'!T590="已刷新",'情景快照'!T589="已刷新"),"已刷新","排名待刷新")</x:f>
        <x:v>已刷新</x:v>
      </x:c>
    </x:row>
    <x:row r="194" ht="23" customHeight="1">
      <x:c r="A194" s="11" t="str">
        <x:v>五年</x:v>
      </x:c>
      <x:c r="B194" s="11" t="n">
        <x:v>32</x:v>
      </x:c>
      <x:c r="C194" s="11" t="str">
        <x:v>中芯国际</x:v>
      </x:c>
      <x:c r="D194" s="11" t="str">
        <x:v>00981.HK</x:v>
      </x:c>
      <x:c r="E194" s="11" t="str">
        <x:v>I092</x:v>
      </x:c>
      <x:c r="F194" s="11" t="n">
        <x:f>'评分'!J186</x:f>
        <x:v>75.5</x:v>
      </x:c>
      <x:c r="G194" s="11" t="str">
        <x:v>第4梯队</x:v>
      </x:c>
      <x:c r="H194" s="11" t="str">
        <x:v>同公司其他代码</x:v>
      </x:c>
      <x:c r="I194" s="11" t="n">
        <x:f>'情景快照'!E680</x:f>
        <x:v>57.65</x:v>
      </x:c>
      <x:c r="J194" s="11" t="n">
        <x:f>'情景快照'!F680</x:f>
        <x:v>131.25</x:v>
      </x:c>
      <x:c r="K194" s="25" t="n">
        <x:f>'情景快照'!I680</x:f>
        <x:v>1.2766695576756288</x:v>
      </x:c>
      <x:c r="L194" s="25" t="n">
        <x:f>'情景快照'!H679</x:f>
        <x:v>-0.9061578490893322</x:v>
      </x:c>
      <x:c r="M194" s="11" t="str">
        <x:v>仅当前完成模型样本</x:v>
      </x:c>
      <x:c r="N194" t="str">
        <x:f>IF(COUNTIF($O$163:$O$214,"排名待刷新")=0,"已刷新","排名待刷新")</x:f>
        <x:v>排名待刷新</x:v>
      </x:c>
      <x:c r="O194" t="str">
        <x:f>IF(AND(F194=75.5,K194=1.2766695576756288,L194=-0.9061578490893322,'情景快照'!T680="已刷新",'情景快照'!T679="已刷新"),"已刷新","排名待刷新")</x:f>
        <x:v>已刷新</x:v>
      </x:c>
    </x:row>
    <x:row r="195" ht="23" customHeight="1">
      <x:c r="A195" s="11" t="str">
        <x:v>五年</x:v>
      </x:c>
      <x:c r="B195" s="11" t="n">
        <x:v>33</x:v>
      </x:c>
      <x:c r="C195" s="11" t="str">
        <x:v>三生制药</x:v>
      </x:c>
      <x:c r="D195" s="11" t="str">
        <x:v>01530.HK</x:v>
      </x:c>
      <x:c r="E195" s="11" t="str">
        <x:v>I023</x:v>
      </x:c>
      <x:c r="F195" s="11" t="n">
        <x:f>'评分'!J10</x:f>
        <x:v>75.4</x:v>
      </x:c>
      <x:c r="G195" s="11" t="str">
        <x:v>第4梯队</x:v>
      </x:c>
      <x:c r="H195" s="11" t="str">
        <x:v>同公司其他代码</x:v>
      </x:c>
      <x:c r="I195" s="11" t="n">
        <x:f>'情景快照'!E20</x:f>
        <x:v>15.07</x:v>
      </x:c>
      <x:c r="J195" s="11" t="n">
        <x:f>'情景快照'!F20</x:f>
        <x:v>37.96625353202493</x:v>
      </x:c>
      <x:c r="K195" s="25" t="n">
        <x:f>'情景快照'!I20</x:f>
        <x:v>1.6288157619127355</x:v>
      </x:c>
      <x:c r="L195" s="25" t="n">
        <x:f>'情景快照'!H19</x:f>
        <x:v>-0.37144186193758455</x:v>
      </x:c>
      <x:c r="M195" s="11" t="str">
        <x:v>仅当前完成模型样本</x:v>
      </x:c>
      <x:c r="N195" t="str">
        <x:f>IF(COUNTIF($O$163:$O$214,"排名待刷新")=0,"已刷新","排名待刷新")</x:f>
        <x:v>排名待刷新</x:v>
      </x:c>
      <x:c r="O195" t="str">
        <x:f>IF(AND(F195=75.39999999999999,K195=1.6288157619127355,L195=-0.37144186193758455,'情景快照'!T20="已刷新",'情景快照'!T19="已刷新"),"已刷新","排名待刷新")</x:f>
        <x:v>已刷新</x:v>
      </x:c>
    </x:row>
    <x:row r="196" ht="23" customHeight="1">
      <x:c r="A196" s="11" t="str">
        <x:v>五年</x:v>
      </x:c>
      <x:c r="B196" s="11" t="n">
        <x:v>34</x:v>
      </x:c>
      <x:c r="C196" s="11" t="str">
        <x:v>金蝶国际</x:v>
      </x:c>
      <x:c r="D196" s="11" t="str">
        <x:v>00268.HK</x:v>
      </x:c>
      <x:c r="E196" s="11" t="str">
        <x:v>I090</x:v>
      </x:c>
      <x:c r="F196" s="11" t="n">
        <x:f>'评分'!J118</x:f>
        <x:v>75.2</x:v>
      </x:c>
      <x:c r="G196" s="11" t="str">
        <x:v>第4梯队</x:v>
      </x:c>
      <x:c r="H196" s="11" t="str">
        <x:v>同公司其他代码</x:v>
      </x:c>
      <x:c r="I196" s="11" t="n">
        <x:f>'情景快照'!E425</x:f>
        <x:v>7.835</x:v>
      </x:c>
      <x:c r="J196" s="11" t="n">
        <x:f>'情景快照'!F425</x:f>
        <x:v>15.17</x:v>
      </x:c>
      <x:c r="K196" s="25" t="n">
        <x:f>'情景快照'!I425</x:f>
        <x:v>0.9872367581365666</x:v>
      </x:c>
      <x:c r="L196" s="25" t="n">
        <x:f>'情景快照'!H424</x:f>
        <x:v>-0.8417358008934269</x:v>
      </x:c>
      <x:c r="M196" s="11" t="str">
        <x:v>仅当前完成模型样本</x:v>
      </x:c>
      <x:c r="N196" t="str">
        <x:f>IF(COUNTIF($O$163:$O$214,"排名待刷新")=0,"已刷新","排名待刷新")</x:f>
        <x:v>排名待刷新</x:v>
      </x:c>
      <x:c r="O196" t="str">
        <x:f>IF(AND(F196=75.2,K196=0.9872367581365666,L196=-0.8417358008934269,'情景快照'!T425="已刷新",'情景快照'!T424="已刷新"),"已刷新","排名待刷新")</x:f>
        <x:v>已刷新</x:v>
      </x:c>
    </x:row>
    <x:row r="197" ht="23" customHeight="1">
      <x:c r="A197" s="11" t="str">
        <x:v>五年</x:v>
      </x:c>
      <x:c r="B197" s="11" t="n">
        <x:v>35</x:v>
      </x:c>
      <x:c r="C197" s="11" t="str">
        <x:v>金斯瑞生物科技</x:v>
      </x:c>
      <x:c r="D197" s="11" t="str">
        <x:v>01548.HK</x:v>
      </x:c>
      <x:c r="E197" s="11" t="str">
        <x:v>I035</x:v>
      </x:c>
      <x:c r="F197" s="11" t="n">
        <x:f>'评分'!J66</x:f>
        <x:v>75</x:v>
      </x:c>
      <x:c r="G197" s="11" t="str">
        <x:v>第4梯队</x:v>
      </x:c>
      <x:c r="H197" s="11" t="str">
        <x:v>同公司其他代码</x:v>
      </x:c>
      <x:c r="I197" s="11" t="n">
        <x:f>'情景快照'!E230</x:f>
        <x:v>42.4</x:v>
      </x:c>
      <x:c r="J197" s="11" t="n">
        <x:f>'情景快照'!F230</x:f>
        <x:v>72.60345214300675</x:v>
      </x:c>
      <x:c r="K197" s="25" t="n">
        <x:f>'情景快照'!I230</x:f>
        <x:v>0.7123455694105365</x:v>
      </x:c>
      <x:c r="L197" s="25" t="n">
        <x:f>'情景快照'!H229</x:f>
        <x:v>-0.8915839670773971</x:v>
      </x:c>
      <x:c r="M197" s="11" t="str">
        <x:v>仅当前完成模型样本</x:v>
      </x:c>
      <x:c r="N197" t="str">
        <x:f>IF(COUNTIF($O$163:$O$214,"排名待刷新")=0,"已刷新","排名待刷新")</x:f>
        <x:v>排名待刷新</x:v>
      </x:c>
      <x:c r="O197" t="str">
        <x:f>IF(AND(F197=75,K197=0.7123455694105365,L197=-0.8915839670773971,'情景快照'!T230="已刷新",'情景快照'!T229="已刷新"),"已刷新","排名待刷新")</x:f>
        <x:v>已刷新</x:v>
      </x:c>
    </x:row>
    <x:row r="198" ht="23" customHeight="1">
      <x:c r="A198" s="11" t="str">
        <x:v>五年</x:v>
      </x:c>
      <x:c r="B198" s="11" t="n">
        <x:v>36</x:v>
      </x:c>
      <x:c r="C198" s="11" t="str">
        <x:v>迪哲医药</x:v>
      </x:c>
      <x:c r="D198" s="11" t="str">
        <x:v>688192.SH</x:v>
      </x:c>
      <x:c r="E198" s="11" t="str">
        <x:v>I003</x:v>
      </x:c>
      <x:c r="F198" s="11" t="n">
        <x:f>'评分'!J58</x:f>
        <x:v>74.9</x:v>
      </x:c>
      <x:c r="G198" s="11" t="str">
        <x:v>第4梯队</x:v>
      </x:c>
      <x:c r="H198" s="11" t="str">
        <x:v>同公司其他代码</x:v>
      </x:c>
      <x:c r="I198" s="11" t="n">
        <x:f>'情景快照'!E200</x:f>
        <x:v>59.95</x:v>
      </x:c>
      <x:c r="J198" s="11" t="n">
        <x:f>'情景快照'!F200</x:f>
        <x:v>92.57482531070634</x:v>
      </x:c>
      <x:c r="K198" s="25" t="n">
        <x:f>'情景快照'!I200</x:f>
        <x:v>0.5442005890026078</x:v>
      </x:c>
      <x:c r="L198" s="25" t="n">
        <x:f>'情景快照'!H199</x:f>
        <x:v>-0.9228242474991326</x:v>
      </x:c>
      <x:c r="M198" s="11" t="str">
        <x:v>仅当前完成模型样本</x:v>
      </x:c>
      <x:c r="N198" t="str">
        <x:f>IF(COUNTIF($O$163:$O$214,"排名待刷新")=0,"已刷新","排名待刷新")</x:f>
        <x:v>排名待刷新</x:v>
      </x:c>
      <x:c r="O198" t="str">
        <x:f>IF(AND(F198=74.9,K198=0.5442005890026078,L198=-0.9228242474991327,'情景快照'!T200="已刷新",'情景快照'!T199="已刷新"),"已刷新","排名待刷新")</x:f>
        <x:v>已刷新</x:v>
      </x:c>
    </x:row>
    <x:row r="199" ht="23" customHeight="1">
      <x:c r="A199" s="11" t="str">
        <x:v>五年</x:v>
      </x:c>
      <x:c r="B199" s="11" t="n">
        <x:v>37</x:v>
      </x:c>
      <x:c r="C199" s="11" t="str">
        <x:v>博腾股份</x:v>
      </x:c>
      <x:c r="D199" s="11" t="str">
        <x:v>300363.SZ</x:v>
      </x:c>
      <x:c r="E199" s="11" t="str">
        <x:v>I013</x:v>
      </x:c>
      <x:c r="F199" s="11" t="n">
        <x:f>'评分'!J166</x:f>
        <x:v>74.7</x:v>
      </x:c>
      <x:c r="G199" s="11" t="str">
        <x:v>第4梯队</x:v>
      </x:c>
      <x:c r="H199" s="11" t="str">
        <x:v>同公司其他代码</x:v>
      </x:c>
      <x:c r="I199" s="11" t="n">
        <x:f>'情景快照'!E605</x:f>
        <x:v>23.68</x:v>
      </x:c>
      <x:c r="J199" s="11" t="n">
        <x:f>'情景快照'!F605</x:f>
        <x:v>55.00000000000001</x:v>
      </x:c>
      <x:c r="K199" s="25" t="n">
        <x:f>'情景快照'!I605</x:f>
        <x:v>1.3564189189189193</x:v>
      </x:c>
      <x:c r="L199" s="25" t="n">
        <x:f>'情景快照'!H604</x:f>
        <x:v>-0.5608108108108107</x:v>
      </x:c>
      <x:c r="M199" s="11" t="str">
        <x:v>仅当前完成模型样本</x:v>
      </x:c>
      <x:c r="N199" t="str">
        <x:f>IF(COUNTIF($O$163:$O$214,"排名待刷新")=0,"已刷新","排名待刷新")</x:f>
        <x:v>排名待刷新</x:v>
      </x:c>
      <x:c r="O199" t="str">
        <x:f>IF(AND(F199=74.7,K199=1.3564189189189193,L199=-0.5608108108108107,'情景快照'!T605="已刷新",'情景快照'!T604="已刷新"),"已刷新","排名待刷新")</x:f>
        <x:v>已刷新</x:v>
      </x:c>
    </x:row>
    <x:row r="200" ht="23" customHeight="1">
      <x:c r="A200" s="11" t="str">
        <x:v>五年</x:v>
      </x:c>
      <x:c r="B200" s="11" t="n">
        <x:v>38</x:v>
      </x:c>
      <x:c r="C200" s="11" t="str">
        <x:v>京东集团-SW</x:v>
      </x:c>
      <x:c r="D200" s="11" t="str">
        <x:v>09618.HK</x:v>
      </x:c>
      <x:c r="E200" s="11" t="str">
        <x:v>I070</x:v>
      </x:c>
      <x:c r="F200" s="11" t="n">
        <x:f>'评分'!J106</x:f>
        <x:v>74.6</x:v>
      </x:c>
      <x:c r="G200" s="11" t="str">
        <x:v>第4梯队</x:v>
      </x:c>
      <x:c r="H200" s="11" t="str">
        <x:v>同公司其他代码</x:v>
      </x:c>
      <x:c r="I200" s="11" t="n">
        <x:f>'情景快照'!E380</x:f>
        <x:v>105.6</x:v>
      </x:c>
      <x:c r="J200" s="11" t="n">
        <x:f>'情景快照'!F380</x:f>
        <x:v>423.34</x:v>
      </x:c>
      <x:c r="K200" s="25" t="n">
        <x:f>'情景快照'!I380</x:f>
        <x:v>3.2645833333333334</x:v>
      </x:c>
      <x:c r="L200" s="25" t="n">
        <x:f>'情景快照'!H379</x:f>
        <x:v>-0.4864583333333333</x:v>
      </x:c>
      <x:c r="M200" s="11" t="str">
        <x:v>仅当前完成模型样本</x:v>
      </x:c>
      <x:c r="N200" t="str">
        <x:f>IF(COUNTIF($O$163:$O$214,"排名待刷新")=0,"已刷新","排名待刷新")</x:f>
        <x:v>排名待刷新</x:v>
      </x:c>
      <x:c r="O200" t="str">
        <x:f>IF(AND(F200=74.6,K200=3.2645833333333334,L200=-0.4864583333333333,'情景快照'!T380="已刷新",'情景快照'!T379="已刷新"),"已刷新","排名待刷新")</x:f>
        <x:v>已刷新</x:v>
      </x:c>
    </x:row>
    <x:row r="201" ht="23" customHeight="1">
      <x:c r="A201" s="11" t="str">
        <x:v>五年</x:v>
      </x:c>
      <x:c r="B201" s="11" t="n">
        <x:v>39</x:v>
      </x:c>
      <x:c r="C201" s="11" t="str">
        <x:v>药明生物</x:v>
      </x:c>
      <x:c r="D201" s="11" t="str">
        <x:v>02269.HK</x:v>
      </x:c>
      <x:c r="E201" s="11" t="str">
        <x:v>I034</x:v>
      </x:c>
      <x:c r="F201" s="11" t="n">
        <x:f>'评分'!J206</x:f>
        <x:v>74.1</x:v>
      </x:c>
      <x:c r="G201" s="11" t="str">
        <x:v>第5梯队</x:v>
      </x:c>
      <x:c r="H201" s="11" t="str">
        <x:v>同公司其他代码</x:v>
      </x:c>
      <x:c r="I201" s="11" t="n">
        <x:f>'情景快照'!E755</x:f>
        <x:v>53.85</x:v>
      </x:c>
      <x:c r="J201" s="11" t="n">
        <x:f>'情景快照'!F755</x:f>
        <x:v>101.2</x:v>
      </x:c>
      <x:c r="K201" s="25" t="n">
        <x:f>'情景快照'!I755</x:f>
        <x:v>0.8792943361188486</x:v>
      </x:c>
      <x:c r="L201" s="25" t="n">
        <x:f>'情景快照'!H754</x:f>
        <x:v>-0.20334261838440104</x:v>
      </x:c>
      <x:c r="M201" s="11" t="str">
        <x:v>仅当前完成模型样本</x:v>
      </x:c>
      <x:c r="N201" t="str">
        <x:f>IF(COUNTIF($O$163:$O$214,"排名待刷新")=0,"已刷新","排名待刷新")</x:f>
        <x:v>排名待刷新</x:v>
      </x:c>
      <x:c r="O201" t="str">
        <x:f>IF(AND(F201=74.1,K201=0.8792943361188486,L201=-0.20334261838440104,'情景快照'!T755="已刷新",'情景快照'!T754="已刷新"),"已刷新","排名待刷新")</x:f>
        <x:v>已刷新</x:v>
      </x:c>
    </x:row>
    <x:row r="202" ht="23" customHeight="1">
      <x:c r="A202" s="11" t="str">
        <x:v>五年</x:v>
      </x:c>
      <x:c r="B202" s="11" t="n">
        <x:v>40</x:v>
      </x:c>
      <x:c r="C202" s="11" t="str">
        <x:v>哔哩哔哩-W</x:v>
      </x:c>
      <x:c r="D202" s="11" t="str">
        <x:v>09626.HK</x:v>
      </x:c>
      <x:c r="E202" s="11" t="str">
        <x:v>I073</x:v>
      </x:c>
      <x:c r="F202" s="11" t="n">
        <x:f>'评分'!J42</x:f>
        <x:v>73.7</x:v>
      </x:c>
      <x:c r="G202" s="11" t="str">
        <x:v>第5梯队</x:v>
      </x:c>
      <x:c r="H202" s="11" t="str">
        <x:v>同公司其他代码</x:v>
      </x:c>
      <x:c r="I202" s="11" t="n">
        <x:f>'情景快照'!E140</x:f>
        <x:v>120.4</x:v>
      </x:c>
      <x:c r="J202" s="11" t="n">
        <x:f>'情景快照'!F140</x:f>
        <x:v>319.58</x:v>
      </x:c>
      <x:c r="K202" s="25" t="n">
        <x:f>'情景快照'!I140</x:f>
        <x:v>1.6875415282392026</x:v>
      </x:c>
      <x:c r="L202" s="25" t="n">
        <x:f>'情景快照'!H139</x:f>
        <x:v>-0.9946843853820598</x:v>
      </x:c>
      <x:c r="M202" s="11" t="str">
        <x:v>仅当前完成模型样本</x:v>
      </x:c>
      <x:c r="N202" t="str">
        <x:f>IF(COUNTIF($O$163:$O$214,"排名待刷新")=0,"已刷新","排名待刷新")</x:f>
        <x:v>排名待刷新</x:v>
      </x:c>
      <x:c r="O202" t="str">
        <x:f>IF(AND(F202=73.69999999999999,K202=1.6875415282392026,L202=-0.9946843853820598,'情景快照'!T140="已刷新",'情景快照'!T139="已刷新"),"已刷新","排名待刷新")</x:f>
        <x:v>已刷新</x:v>
      </x:c>
    </x:row>
    <x:row r="203" ht="23" customHeight="1">
      <x:c r="A203" s="11" t="str">
        <x:v>五年</x:v>
      </x:c>
      <x:c r="B203" s="11" t="n">
        <x:v>41</x:v>
      </x:c>
      <x:c r="C203" s="11" t="str">
        <x:v>快手-W</x:v>
      </x:c>
      <x:c r="D203" s="11" t="str">
        <x:v>01024.HK</x:v>
      </x:c>
      <x:c r="E203" s="11" t="str">
        <x:v>I080</x:v>
      </x:c>
      <x:c r="F203" s="11" t="n">
        <x:f>'评分'!J122</x:f>
        <x:v>73.6</x:v>
      </x:c>
      <x:c r="G203" s="11" t="str">
        <x:v>第5梯队</x:v>
      </x:c>
      <x:c r="H203" s="11" t="str">
        <x:v>同公司其他代码</x:v>
      </x:c>
      <x:c r="I203" s="11" t="n">
        <x:f>'情景快照'!E440</x:f>
        <x:v>30.1</x:v>
      </x:c>
      <x:c r="J203" s="11" t="n">
        <x:f>'情景快照'!F440</x:f>
        <x:v>145.3</x:v>
      </x:c>
      <x:c r="K203" s="25" t="n">
        <x:f>'情景快照'!I440</x:f>
        <x:v>3.9667774086378733</x:v>
      </x:c>
      <x:c r="L203" s="25" t="n">
        <x:f>'情景快照'!H439</x:f>
        <x:v>-0.8438538205980066</x:v>
      </x:c>
      <x:c r="M203" s="11" t="str">
        <x:v>仅当前完成模型样本</x:v>
      </x:c>
      <x:c r="N203" t="str">
        <x:f>IF(COUNTIF($O$163:$O$214,"排名待刷新")=0,"已刷新","排名待刷新")</x:f>
        <x:v>排名待刷新</x:v>
      </x:c>
      <x:c r="O203" t="str">
        <x:f>IF(AND(F203=73.6,K203=3.9667774086378733,L203=-0.8438538205980066,'情景快照'!T440="已刷新",'情景快照'!T439="已刷新"),"已刷新","排名待刷新")</x:f>
        <x:v>已刷新</x:v>
      </x:c>
    </x:row>
    <x:row r="204" ht="23" customHeight="1">
      <x:c r="A204" s="11" t="str">
        <x:v>五年</x:v>
      </x:c>
      <x:c r="B204" s="11" t="n">
        <x:v>42</x:v>
      </x:c>
      <x:c r="C204" s="11" t="str">
        <x:v>美迪西</x:v>
      </x:c>
      <x:c r="D204" s="11" t="str">
        <x:v>688202.SH</x:v>
      </x:c>
      <x:c r="E204" s="11" t="str">
        <x:v>I018</x:v>
      </x:c>
      <x:c r="F204" s="11" t="n">
        <x:f>'评分'!J138</x:f>
        <x:v>73.4</x:v>
      </x:c>
      <x:c r="G204" s="11" t="str">
        <x:v>第5梯队</x:v>
      </x:c>
      <x:c r="H204" s="11" t="str">
        <x:v>同公司其他代码</x:v>
      </x:c>
      <x:c r="I204" s="11" t="n">
        <x:f>'情景快照'!E500</x:f>
        <x:v>104</x:v>
      </x:c>
      <x:c r="J204" s="11" t="n">
        <x:f>'情景快照'!F500</x:f>
        <x:v>154</x:v>
      </x:c>
      <x:c r="K204" s="25" t="n">
        <x:f>'情景快照'!I500</x:f>
        <x:v>0.5</x:v>
      </x:c>
      <x:c r="L204" s="25" t="n">
        <x:f>'情景快照'!H499</x:f>
        <x:v>-0.6730769230769231</x:v>
      </x:c>
      <x:c r="M204" s="11" t="str">
        <x:v>仅当前完成模型样本</x:v>
      </x:c>
      <x:c r="N204" t="str">
        <x:f>IF(COUNTIF($O$163:$O$214,"排名待刷新")=0,"已刷新","排名待刷新")</x:f>
        <x:v>排名待刷新</x:v>
      </x:c>
      <x:c r="O204" t="str">
        <x:f>IF(AND(F204=73.39999999999999,K204=0.5,L204=-0.6730769230769231,'情景快照'!T500="已刷新",'情景快照'!T499="已刷新"),"已刷新","排名待刷新")</x:f>
        <x:v>已刷新</x:v>
      </x:c>
    </x:row>
    <x:row r="205" ht="23" customHeight="1">
      <x:c r="A205" s="11" t="str">
        <x:v>五年</x:v>
      </x:c>
      <x:c r="B205" s="11" t="n">
        <x:v>43</x:v>
      </x:c>
      <x:c r="C205" s="11" t="str">
        <x:v>益方生物</x:v>
      </x:c>
      <x:c r="D205" s="11" t="str">
        <x:v>688382.SH</x:v>
      </x:c>
      <x:c r="E205" s="11" t="str">
        <x:v>I004</x:v>
      </x:c>
      <x:c r="F205" s="11" t="n">
        <x:f>'评分'!J98</x:f>
        <x:v>73.3</x:v>
      </x:c>
      <x:c r="G205" s="11" t="str">
        <x:v>第5梯队</x:v>
      </x:c>
      <x:c r="H205" s="11" t="str">
        <x:v>同公司其他代码</x:v>
      </x:c>
      <x:c r="I205" s="11" t="n">
        <x:f>'情景快照'!E350</x:f>
        <x:v>17.26</x:v>
      </x:c>
      <x:c r="J205" s="11" t="n">
        <x:f>'情景快照'!F350</x:f>
        <x:v>16.674532291259816</x:v>
      </x:c>
      <x:c r="K205" s="25" t="n">
        <x:f>'情景快照'!I350</x:f>
        <x:v>-0.03392049297451827</x:v>
      </x:c>
      <x:c r="L205" s="25" t="n">
        <x:f>'情景快照'!H349</x:f>
        <x:v>-1</x:v>
      </x:c>
      <x:c r="M205" s="11" t="str">
        <x:v>仅当前完成模型样本</x:v>
      </x:c>
      <x:c r="N205" t="str">
        <x:f>IF(COUNTIF($O$163:$O$214,"排名待刷新")=0,"已刷新","排名待刷新")</x:f>
        <x:v>排名待刷新</x:v>
      </x:c>
      <x:c r="O205" t="str">
        <x:f>IF(AND(F205=73.30000000000001,K205=-0.03392049297451816,L205=-1,'情景快照'!T350="已刷新",'情景快照'!T349="已刷新"),"已刷新","排名待刷新")</x:f>
        <x:v>已刷新</x:v>
      </x:c>
    </x:row>
    <x:row r="206" ht="23" customHeight="1">
      <x:c r="A206" s="11" t="str">
        <x:v>五年</x:v>
      </x:c>
      <x:c r="B206" s="11" t="n">
        <x:v>44</x:v>
      </x:c>
      <x:c r="C206" s="11" t="str">
        <x:v>海创药业</x:v>
      </x:c>
      <x:c r="D206" s="11" t="str">
        <x:v>688302.SH</x:v>
      </x:c>
      <x:c r="E206" s="11" t="str">
        <x:v>I005</x:v>
      </x:c>
      <x:c r="F206" s="11" t="n">
        <x:f>'评分'!J90</x:f>
        <x:v>72.3</x:v>
      </x:c>
      <x:c r="G206" s="11" t="str">
        <x:v>第5梯队</x:v>
      </x:c>
      <x:c r="H206" s="11" t="str">
        <x:v>同公司其他代码</x:v>
      </x:c>
      <x:c r="I206" s="11" t="n">
        <x:f>'情景快照'!E320</x:f>
        <x:v>32.09</x:v>
      </x:c>
      <x:c r="J206" s="11" t="n">
        <x:f>'情景快照'!F320</x:f>
        <x:v>64.51631468718563</x:v>
      </x:c>
      <x:c r="K206" s="25" t="n">
        <x:f>'情景快照'!I320</x:f>
        <x:v>1.0104803579677664</x:v>
      </x:c>
      <x:c r="L206" s="25" t="n">
        <x:f>'情景快照'!H319</x:f>
        <x:v>-1</x:v>
      </x:c>
      <x:c r="M206" s="11" t="str">
        <x:v>仅当前完成模型样本</x:v>
      </x:c>
      <x:c r="N206" t="str">
        <x:f>IF(COUNTIF($O$163:$O$214,"排名待刷新")=0,"已刷新","排名待刷新")</x:f>
        <x:v>排名待刷新</x:v>
      </x:c>
      <x:c r="O206" t="str">
        <x:f>IF(AND(F206=72.3,K206=1.0104803579677655,L206=-1,'情景快照'!T320="已刷新",'情景快照'!T319="已刷新"),"已刷新","排名待刷新")</x:f>
        <x:v>已刷新</x:v>
      </x:c>
    </x:row>
    <x:row r="207" ht="23" customHeight="1">
      <x:c r="A207" s="11" t="str">
        <x:v>五年</x:v>
      </x:c>
      <x:c r="B207" s="11" t="n">
        <x:v>45</x:v>
      </x:c>
      <x:c r="C207" s="11" t="str">
        <x:v>丽珠医药</x:v>
      </x:c>
      <x:c r="D207" s="11" t="str">
        <x:v>01513.HK</x:v>
      </x:c>
      <x:c r="E207" s="11" t="str">
        <x:v>I036</x:v>
      </x:c>
      <x:c r="F207" s="11" t="n">
        <x:f>'评分'!J130</x:f>
        <x:v>70.4</x:v>
      </x:c>
      <x:c r="G207" s="11" t="str">
        <x:v>第6梯队</x:v>
      </x:c>
      <x:c r="H207" s="11" t="str">
        <x:v>同公司其他代码</x:v>
      </x:c>
      <x:c r="I207" s="11" t="n">
        <x:f>'情景快照'!E470</x:f>
        <x:v>22.16</x:v>
      </x:c>
      <x:c r="J207" s="11" t="n">
        <x:f>'情景快照'!F470</x:f>
        <x:v>47.52000000000001</x:v>
      </x:c>
      <x:c r="K207" s="25" t="n">
        <x:f>'情景快照'!I470</x:f>
        <x:v>1.5505415162454876</x:v>
      </x:c>
      <x:c r="L207" s="25" t="n">
        <x:f>'情景快照'!H469</x:f>
        <x:v>-0.30505415162454863</x:v>
      </x:c>
      <x:c r="M207" s="11" t="str">
        <x:v>仅当前完成模型样本</x:v>
      </x:c>
      <x:c r="N207" t="str">
        <x:f>IF(COUNTIF($O$163:$O$214,"排名待刷新")=0,"已刷新","排名待刷新")</x:f>
        <x:v>排名待刷新</x:v>
      </x:c>
      <x:c r="O207" t="str">
        <x:f>IF(AND(F207=70.39999999999999,K207=1.5505415162454876,L207=-0.30505415162454863,'情景快照'!T470="已刷新",'情景快照'!T469="已刷新"),"已刷新","排名待刷新")</x:f>
        <x:v>已刷新</x:v>
      </x:c>
    </x:row>
    <x:row r="208" ht="23" customHeight="1">
      <x:c r="A208" s="11" t="str">
        <x:v>五年</x:v>
      </x:c>
      <x:c r="B208" s="11" t="n">
        <x:v>46</x:v>
      </x:c>
      <x:c r="C208" s="11" t="str">
        <x:v>荣昌生物</x:v>
      </x:c>
      <x:c r="D208" s="11" t="str">
        <x:v>09995.HK</x:v>
      </x:c>
      <x:c r="E208" s="11" t="str">
        <x:v>I051</x:v>
      </x:c>
      <x:c r="F208" s="11" t="n">
        <x:f>'评分'!J170</x:f>
        <x:v>69.9</x:v>
      </x:c>
      <x:c r="G208" s="11" t="str">
        <x:v>第6梯队</x:v>
      </x:c>
      <x:c r="H208" s="11" t="str">
        <x:v>同公司其他代码</x:v>
      </x:c>
      <x:c r="I208" s="11" t="n">
        <x:f>'情景快照'!E620</x:f>
        <x:v>70.4</x:v>
      </x:c>
      <x:c r="J208" s="11" t="n">
        <x:f>'情景快照'!F620</x:f>
        <x:v>82.35746843120475</x:v>
      </x:c>
      <x:c r="K208" s="25" t="n">
        <x:f>'情景快照'!I620</x:f>
        <x:v>0.16985040385234007</x:v>
      </x:c>
      <x:c r="L208" s="25" t="n">
        <x:f>'情景快照'!H619</x:f>
        <x:v>-0.9370480876017298</x:v>
      </x:c>
      <x:c r="M208" s="11" t="str">
        <x:v>仅当前完成模型样本</x:v>
      </x:c>
      <x:c r="N208" t="str">
        <x:f>IF(COUNTIF($O$163:$O$214,"排名待刷新")=0,"已刷新","排名待刷新")</x:f>
        <x:v>排名待刷新</x:v>
      </x:c>
      <x:c r="O208" t="str">
        <x:f>IF(AND(F208=69.9,K208=0.1698504038523394,L208=-0.9370480876017298,'情景快照'!T620="已刷新",'情景快照'!T619="已刷新"),"已刷新","排名待刷新")</x:f>
        <x:v>已刷新</x:v>
      </x:c>
    </x:row>
    <x:row r="209" ht="23" customHeight="1">
      <x:c r="A209" s="11" t="str">
        <x:v>五年</x:v>
      </x:c>
      <x:c r="B209" s="11" t="n">
        <x:v>47</x:v>
      </x:c>
      <x:c r="C209" s="11" t="str">
        <x:v>复星医药</x:v>
      </x:c>
      <x:c r="D209" s="11" t="str">
        <x:v>02196.HK</x:v>
      </x:c>
      <x:c r="E209" s="11" t="str">
        <x:v>I043</x:v>
      </x:c>
      <x:c r="F209" s="11" t="n">
        <x:f>'评分'!J62</x:f>
        <x:v>69.5</x:v>
      </x:c>
      <x:c r="G209" s="11" t="str">
        <x:v>第6梯队</x:v>
      </x:c>
      <x:c r="H209" s="11" t="str">
        <x:v>同公司其他代码</x:v>
      </x:c>
      <x:c r="I209" s="11" t="n">
        <x:f>'情景快照'!E215</x:f>
        <x:v>17.87</x:v>
      </x:c>
      <x:c r="J209" s="11" t="n">
        <x:f>'情景快照'!F215</x:f>
        <x:v>51.01988571428572</x:v>
      </x:c>
      <x:c r="K209" s="25" t="n">
        <x:f>'情景快照'!I215</x:f>
        <x:v>2.0229370852985853</x:v>
      </x:c>
      <x:c r="L209" s="25" t="n">
        <x:f>'情景快照'!H214</x:f>
        <x:v>-0.6383767953739975</x:v>
      </x:c>
      <x:c r="M209" s="11" t="str">
        <x:v>仅当前完成模型样本</x:v>
      </x:c>
      <x:c r="N209" t="str">
        <x:f>IF(COUNTIF($O$163:$O$214,"排名待刷新")=0,"已刷新","排名待刷新")</x:f>
        <x:v>排名待刷新</x:v>
      </x:c>
      <x:c r="O209" t="str">
        <x:f>IF(AND(F209=69.5,K209=2.0229370852985853,L209=-0.6383767953739975,'情景快照'!T215="已刷新",'情景快照'!T214="已刷新"),"已刷新","排名待刷新")</x:f>
        <x:v>已刷新</x:v>
      </x:c>
    </x:row>
    <x:row r="210" ht="23" customHeight="1">
      <x:c r="A210" s="11" t="str">
        <x:v>五年</x:v>
      </x:c>
      <x:c r="B210" s="11" t="n">
        <x:v>48</x:v>
      </x:c>
      <x:c r="C210" s="11" t="str">
        <x:v>康诺亚-B</x:v>
      </x:c>
      <x:c r="D210" s="11" t="str">
        <x:v>02162.HK</x:v>
      </x:c>
      <x:c r="E210" s="11" t="str">
        <x:v>I047</x:v>
      </x:c>
      <x:c r="F210" s="11" t="n">
        <x:f>'评分'!J114</x:f>
        <x:v>69.4</x:v>
      </x:c>
      <x:c r="G210" s="11" t="str">
        <x:v>第6梯队</x:v>
      </x:c>
      <x:c r="H210" s="11" t="str">
        <x:v>同公司其他代码</x:v>
      </x:c>
      <x:c r="I210" s="11" t="n">
        <x:f>'情景快照'!E410</x:f>
        <x:v>78.3</x:v>
      </x:c>
      <x:c r="J210" s="11" t="n">
        <x:f>'情景快照'!F410</x:f>
        <x:v>91.56120647580155</x:v>
      </x:c>
      <x:c r="K210" s="25" t="n">
        <x:f>'情景快照'!I410</x:f>
        <x:v>0.16936406737933019</x:v>
      </x:c>
      <x:c r="L210" s="25" t="n">
        <x:f>'情景快照'!H409</x:f>
        <x:v>-0.9502469648840428</x:v>
      </x:c>
      <x:c r="M210" s="11" t="str">
        <x:v>仅当前完成模型样本</x:v>
      </x:c>
      <x:c r="N210" t="str">
        <x:f>IF(COUNTIF($O$163:$O$214,"排名待刷新")=0,"已刷新","排名待刷新")</x:f>
        <x:v>排名待刷新</x:v>
      </x:c>
      <x:c r="O210" t="str">
        <x:f>IF(AND(F210=69.4,K210=0.16936406737932996,L210=-0.9502469648840428,'情景快照'!T410="已刷新",'情景快照'!T409="已刷新"),"已刷新","排名待刷新")</x:f>
        <x:v>已刷新</x:v>
      </x:c>
    </x:row>
    <x:row r="211" ht="23" customHeight="1">
      <x:c r="A211" s="11" t="str">
        <x:v>五年</x:v>
      </x:c>
      <x:c r="B211" s="11" t="n">
        <x:v>49</x:v>
      </x:c>
      <x:c r="C211" s="11" t="str">
        <x:v>键凯科技</x:v>
      </x:c>
      <x:c r="D211" s="11" t="str">
        <x:v>688356.SH</x:v>
      </x:c>
      <x:c r="E211" s="11" t="str">
        <x:v>I017</x:v>
      </x:c>
      <x:c r="F211" s="11" t="n">
        <x:f>'评分'!J110</x:f>
        <x:v>68.7</x:v>
      </x:c>
      <x:c r="G211" s="11" t="str">
        <x:v>第6梯队</x:v>
      </x:c>
      <x:c r="H211" s="11" t="str">
        <x:v>同公司其他代码</x:v>
      </x:c>
      <x:c r="I211" s="11" t="n">
        <x:f>'情景快照'!E395</x:f>
        <x:v>107.9</x:v>
      </x:c>
      <x:c r="J211" s="11" t="n">
        <x:f>'情景快照'!F395</x:f>
        <x:v>175</x:v>
      </x:c>
      <x:c r="K211" s="25" t="n">
        <x:f>'情景快照'!I395</x:f>
        <x:v>0.6459684893419833</x:v>
      </x:c>
      <x:c r="L211" s="25" t="n">
        <x:f>'情景快照'!H394</x:f>
        <x:v>-0.6533827618164968</x:v>
      </x:c>
      <x:c r="M211" s="11" t="str">
        <x:v>仅当前完成模型样本</x:v>
      </x:c>
      <x:c r="N211" t="str">
        <x:f>IF(COUNTIF($O$163:$O$214,"排名待刷新")=0,"已刷新","排名待刷新")</x:f>
        <x:v>排名待刷新</x:v>
      </x:c>
      <x:c r="O211" t="str">
        <x:f>IF(AND(F211=68.7,K211=0.6459684893419833,L211=-0.6533827618164968,'情景快照'!T395="已刷新",'情景快照'!T394="已刷新"),"已刷新","排名待刷新")</x:f>
        <x:v>已刷新</x:v>
      </x:c>
    </x:row>
    <x:row r="212" ht="23" customHeight="1">
      <x:c r="A212" s="11" t="str">
        <x:v>五年</x:v>
      </x:c>
      <x:c r="B212" s="11" t="n">
        <x:v>50</x:v>
      </x:c>
      <x:c r="C212" s="11" t="str">
        <x:v>百度集团-W</x:v>
      </x:c>
      <x:c r="D212" s="11" t="str">
        <x:v>09888.HK</x:v>
      </x:c>
      <x:c r="E212" s="11" t="str">
        <x:v>I066</x:v>
      </x:c>
      <x:c r="F212" s="11" t="n">
        <x:f>'评分'!J30</x:f>
        <x:v>68.5</x:v>
      </x:c>
      <x:c r="G212" s="11" t="str">
        <x:v>第6梯队</x:v>
      </x:c>
      <x:c r="H212" s="11" t="str">
        <x:v>同公司其他代码</x:v>
      </x:c>
      <x:c r="I212" s="11" t="n">
        <x:f>'情景快照'!E95</x:f>
        <x:v>83</x:v>
      </x:c>
      <x:c r="J212" s="11" t="n">
        <x:f>'情景快照'!F95</x:f>
        <x:v>216.04</x:v>
      </x:c>
      <x:c r="K212" s="25" t="n">
        <x:f>'情景快照'!I95</x:f>
        <x:v>1.6872289156626503</x:v>
      </x:c>
      <x:c r="L212" s="25" t="n">
        <x:f>'情景快照'!H94</x:f>
        <x:v>-0.9616867469879518</x:v>
      </x:c>
      <x:c r="M212" s="11" t="str">
        <x:v>仅当前完成模型样本</x:v>
      </x:c>
      <x:c r="N212" t="str">
        <x:f>IF(COUNTIF($O$163:$O$214,"排名待刷新")=0,"已刷新","排名待刷新")</x:f>
        <x:v>排名待刷新</x:v>
      </x:c>
      <x:c r="O212" t="str">
        <x:f>IF(AND(F212=68.5,K212=1.6872289156626503,L212=-0.9616867469879518,'情景快照'!T95="已刷新",'情景快照'!T94="已刷新"),"已刷新","排名待刷新")</x:f>
        <x:v>已刷新</x:v>
      </x:c>
    </x:row>
    <x:row r="213" ht="23" customHeight="1">
      <x:c r="A213" s="11" t="str">
        <x:v>五年</x:v>
      </x:c>
      <x:c r="B213" s="11" t="n">
        <x:v>51</x:v>
      </x:c>
      <x:c r="C213" s="11" t="str">
        <x:v>迈威生物</x:v>
      </x:c>
      <x:c r="D213" s="11" t="str">
        <x:v>688062.SH</x:v>
      </x:c>
      <x:c r="E213" s="11" t="str">
        <x:v>I002</x:v>
      </x:c>
      <x:c r="F213" s="11" t="n">
        <x:f>'评分'!J134</x:f>
        <x:v>68.3</x:v>
      </x:c>
      <x:c r="G213" s="11" t="str">
        <x:v>第6梯队</x:v>
      </x:c>
      <x:c r="H213" s="11" t="str">
        <x:v>同公司其他代码</x:v>
      </x:c>
      <x:c r="I213" s="11" t="n">
        <x:f>'情景快照'!E485</x:f>
        <x:v>24.78</x:v>
      </x:c>
      <x:c r="J213" s="11" t="n">
        <x:f>'情景快照'!F485</x:f>
        <x:v>18.94953213644365</x:v>
      </x:c>
      <x:c r="K213" s="25" t="n">
        <x:f>'情景快照'!I485</x:f>
        <x:v>-0.23528926003052264</x:v>
      </x:c>
      <x:c r="L213" s="25" t="n">
        <x:f>'情景快照'!H484</x:f>
        <x:v>-1</x:v>
      </x:c>
      <x:c r="M213" s="11" t="str">
        <x:v>仅当前完成模型样本</x:v>
      </x:c>
      <x:c r="N213" t="str">
        <x:f>IF(COUNTIF($O$163:$O$214,"排名待刷新")=0,"已刷新","排名待刷新")</x:f>
        <x:v>排名待刷新</x:v>
      </x:c>
      <x:c r="O213" t="str">
        <x:f>IF(AND(F213=68.30000000000001,K213=-0.23528926003052308,L213=-1,'情景快照'!T485="已刷新",'情景快照'!T484="已刷新"),"已刷新","排名待刷新")</x:f>
        <x:v>已刷新</x:v>
      </x:c>
    </x:row>
    <x:row r="214" ht="23" customHeight="1">
      <x:c r="A214" s="11" t="str">
        <x:v>五年</x:v>
      </x:c>
      <x:c r="B214" s="11" t="n">
        <x:v>52</x:v>
      </x:c>
      <x:c r="C214" s="11" t="str">
        <x:v>上海医药</x:v>
      </x:c>
      <x:c r="D214" s="11" t="str">
        <x:v>02607.HK</x:v>
      </x:c>
      <x:c r="E214" s="11" t="str">
        <x:v>I028</x:v>
      </x:c>
      <x:c r="F214" s="11" t="n">
        <x:f>'评分'!J174</x:f>
        <x:v>67.2</x:v>
      </x:c>
      <x:c r="G214" s="11" t="str">
        <x:v>第7梯队</x:v>
      </x:c>
      <x:c r="H214" s="11" t="str">
        <x:v>同公司其他代码</x:v>
      </x:c>
      <x:c r="I214" s="11" t="n">
        <x:f>'情景快照'!E635</x:f>
        <x:v>11.03</x:v>
      </x:c>
      <x:c r="J214" s="11" t="n">
        <x:f>'情景快照'!F635</x:f>
        <x:v>24.200000000000003</x:v>
      </x:c>
      <x:c r="K214" s="25" t="n">
        <x:f>'情景快照'!I635</x:f>
        <x:v>1.4660018132366277</x:v>
      </x:c>
      <x:c r="L214" s="25" t="n">
        <x:f>'情景快照'!H634</x:f>
        <x:v>-0.3966455122393471</x:v>
      </x:c>
      <x:c r="M214" s="11" t="str">
        <x:v>仅当前完成模型样本</x:v>
      </x:c>
      <x:c r="N214" t="str">
        <x:f>IF(COUNTIF($O$163:$O$214,"排名待刷新")=0,"已刷新","排名待刷新")</x:f>
        <x:v>排名待刷新</x:v>
      </x:c>
      <x:c r="O214" t="str">
        <x:f>IF(AND(F214=67.2,K214=1.4660018132366277,L214=-0.3966455122393471,'情景快照'!T635="已刷新",'情景快照'!T634="已刷新"),"已刷新","排名待刷新")</x:f>
        <x:v>已刷新</x:v>
      </x:c>
    </x:row>
  </x:sheetData>
  <x:conditionalFormatting sqref="N7:N214">
    <x:cfRule type="containsText" dxfId="1" priority="1" operator="containsText" text="待刷新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364B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4" t="str">
        <x:v>2026年底全名单 · 尚未建模留空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T3" t="str">
        <x:v>悲观</x:v>
      </x:c>
      <x:c r="U3" t="str">
        <x:v>基准</x:v>
      </x:c>
      <x:c r="V3" t="str">
        <x:v>乐观</x:v>
      </x:c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T4" s="36" t="n">
        <x:v>0.25</x:v>
      </x:c>
      <x:c r="U4" s="36" t="n">
        <x:v>0.5</x:v>
      </x:c>
      <x:c r="V4" s="36" t="n">
        <x:v>0.25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T5" s="35"/>
      <x:c r="U5" s="35"/>
      <x:c r="V5" s="35"/>
    </x:row>
    <x:row r="6" ht="52" customHeight="1">
      <x:c r="A6" s="12" t="str">
        <x:v>证券ID</x:v>
      </x:c>
      <x:c r="B6" s="12" t="str">
        <x:v>代码</x:v>
      </x:c>
      <x:c r="C6" s="12" t="str">
        <x:v>名称</x:v>
      </x:c>
      <x:c r="D6" s="12" t="str">
        <x:v>类别</x:v>
      </x:c>
      <x:c r="E6" s="12" t="str">
        <x:v>币种</x:v>
      </x:c>
      <x:c r="F6" s="12" t="str">
        <x:v>基准价</x:v>
      </x:c>
      <x:c r="G6" s="12" t="str">
        <x:v>悲观价</x:v>
      </x:c>
      <x:c r="H6" s="12" t="str">
        <x:v>悲观回报</x:v>
      </x:c>
      <x:c r="I6" s="12" t="str">
        <x:v>基准价情景</x:v>
      </x:c>
      <x:c r="J6" s="12" t="str">
        <x:v>基准回报</x:v>
      </x:c>
      <x:c r="K6" s="12" t="str">
        <x:v>乐观价</x:v>
      </x:c>
      <x:c r="L6" s="12" t="str">
        <x:v>乐观回报</x:v>
      </x:c>
      <x:c r="M6" s="12" t="str">
        <x:v>期望价</x:v>
      </x:c>
      <x:c r="N6" s="12" t="str">
        <x:v>期望回报</x:v>
      </x:c>
      <x:c r="O6" s="12" t="str">
        <x:v>防御权重期望</x:v>
      </x:c>
      <x:c r="P6" s="12" t="str">
        <x:v>积极权重期望</x:v>
      </x:c>
      <x:c r="Q6" s="12" t="str">
        <x:v>快照状态</x:v>
      </x:c>
      <x:c r="R6" s="12" t="str">
        <x:v>模型状态</x:v>
      </x:c>
      <x:c r="T6" s="35" t="str">
        <x:v>防御悲观</x:v>
      </x:c>
      <x:c r="U6" s="35" t="str">
        <x:v>防御基准</x:v>
      </x:c>
      <x:c r="V6" s="35" t="str">
        <x:v>防御乐观</x:v>
      </x:c>
    </x:row>
    <x:row r="7" ht="23" customHeight="1">
      <x:c r="A7" s="11" t="str">
        <x:v>S001</x:v>
      </x:c>
      <x:c r="B7" s="11" t="str">
        <x:v>688139.SH</x:v>
      </x:c>
      <x:c r="C7" s="11" t="str">
        <x:v>海尔生物</x:v>
      </x:c>
      <x:c r="D7" s="11" t="str">
        <x:v>股票</x:v>
      </x:c>
      <x:c r="E7" s="11" t="str">
        <x:v>CNY</x:v>
      </x:c>
      <x:c r="F7" s="11" t="n">
        <x:v>35.13</x:v>
      </x:c>
      <x:c r="G7" s="11" t="n">
        <x:f>'情景快照'!F232</x:f>
        <x:v>18</x:v>
      </x:c>
      <x:c r="H7" s="25" t="n">
        <x:f>'情景快照'!H232</x:f>
        <x:v>-0.4876174210076858</x:v>
      </x:c>
      <x:c r="I7" s="11" t="n">
        <x:f>'情景快照'!F233</x:f>
        <x:v>35.28</x:v>
      </x:c>
      <x:c r="J7" s="25" t="n">
        <x:f>'情景快照'!H233</x:f>
        <x:v>0.004269854824935804</x:v>
      </x:c>
      <x:c r="K7" s="11" t="n">
        <x:f>'情景快照'!F234</x:f>
        <x:v>50.16</x:v>
      </x:c>
      <x:c r="L7" s="25" t="n">
        <x:f>'情景快照'!H234</x:f>
        <x:v>0.4278394534585821</x:v>
      </x:c>
      <x:c r="M7" s="11" t="n">
        <x:f>G7*$T$4+I7*$U$4+K7*$V$4</x:f>
        <x:v>34.68</x:v>
      </x:c>
      <x:c r="N7" s="25" t="n">
        <x:f>M7/F7-1</x:f>
        <x:v>-0.012809564474807966</x:v>
      </x:c>
      <x:c r="O7" s="11" t="n">
        <x:f>G7*$T$7+I7*$U$7+K7*$V$7</x:f>
        <x:v>29.856</x:v>
      </x:c>
      <x:c r="P7" s="11" t="n">
        <x:f>G7*$T$10+I7*$U$10+K7*$V$10</x:f>
        <x:v>39.504000000000005</x:v>
      </x:c>
      <x:c r="Q7" s="11" t="str">
        <x:f>IF(AND('情景快照'!T232="已刷新",'情景快照'!T233="已刷新",'情景快照'!T234="已刷新"),"已刷新","待刷新")</x:f>
        <x:v>已刷新</x:v>
      </x:c>
      <x:c r="R7" s="11" t="str">
        <x:v>模型初版</x:v>
      </x:c>
      <x:c r="T7" s="36" t="n">
        <x:v>0.4</x:v>
      </x:c>
      <x:c r="U7" s="36" t="n">
        <x:v>0.5</x:v>
      </x:c>
      <x:c r="V7" s="36" t="n">
        <x:v>0.1</x:v>
      </x:c>
    </x:row>
    <x:row r="8" ht="23" customHeight="1">
      <x:c r="A8" s="11" t="str">
        <x:v>S002</x:v>
      </x:c>
      <x:c r="B8" s="11" t="str">
        <x:v>688062.SH</x:v>
      </x:c>
      <x:c r="C8" s="11" t="str">
        <x:v>迈威生物</x:v>
      </x:c>
      <x:c r="D8" s="11" t="str">
        <x:v>股票</x:v>
      </x:c>
      <x:c r="E8" s="11" t="str">
        <x:v>CNY</x:v>
      </x:c>
      <x:c r="F8" s="11" t="n">
        <x:v>24.78</x:v>
      </x:c>
      <x:c r="G8" s="11" t="n">
        <x:f>'情景快照'!F472</x:f>
        <x:v>13.629</x:v>
      </x:c>
      <x:c r="H8" s="25" t="n">
        <x:f>'情景快照'!H472</x:f>
        <x:v>-0.45000000000000007</x:v>
      </x:c>
      <x:c r="I8" s="11" t="n">
        <x:f>'情景快照'!F473</x:f>
        <x:v>17.585189067691555</x:v>
      </x:c>
      <x:c r="J8" s="25" t="n">
        <x:f>'情景快照'!H473</x:f>
        <x:v>-0.2903474952505426</x:v>
      </x:c>
      <x:c r="K8" s="11" t="n">
        <x:f>'情景快照'!F474</x:f>
        <x:v>40.15741539560886</x:v>
      </x:c>
      <x:c r="L8" s="25" t="n">
        <x:f>'情景快照'!H474</x:f>
        <x:v>0.6205575220181136</x:v>
      </x:c>
      <x:c r="M8" s="11" t="n">
        <x:f>G8*$T$4+I8*$U$4+K8*$V$4</x:f>
        <x:v>22.239198382747993</x:v>
      </x:c>
      <x:c r="N8" s="25" t="n">
        <x:f>M8/F8-1</x:f>
        <x:v>-0.10253436712074282</x:v>
      </x:c>
      <x:c r="O8" s="11" t="n">
        <x:f>G8*$T$7+I8*$U$7+K8*$V$7</x:f>
        <x:v>18.259936073406664</x:v>
      </x:c>
      <x:c r="P8" s="11" t="n">
        <x:f>G8*$T$10+I8*$U$10+K8*$V$10</x:f>
        <x:v>26.218460692089323</x:v>
      </x:c>
      <x:c r="Q8" s="11" t="str">
        <x:f>IF(AND('情景快照'!T472="已刷新",'情景快照'!T473="已刷新",'情景快照'!T474="已刷新"),"已刷新","待刷新")</x:f>
        <x:v>待刷新</x:v>
      </x:c>
      <x:c r="R8" s="11" t="str">
        <x:v>模型初版</x:v>
      </x:c>
      <x:c r="T8" s="35"/>
      <x:c r="U8" s="35"/>
      <x:c r="V8" s="35"/>
    </x:row>
    <x:row r="9" ht="23" customHeight="1">
      <x:c r="A9" s="11" t="str">
        <x:v>S003</x:v>
      </x:c>
      <x:c r="B9" s="11" t="str">
        <x:v>688192.SH</x:v>
      </x:c>
      <x:c r="C9" s="11" t="str">
        <x:v>迪哲医药</x:v>
      </x:c>
      <x:c r="D9" s="11" t="str">
        <x:v>股票</x:v>
      </x:c>
      <x:c r="E9" s="11" t="str">
        <x:v>CNY</x:v>
      </x:c>
      <x:c r="F9" s="11" t="n">
        <x:v>59.95</x:v>
      </x:c>
      <x:c r="G9" s="11" t="n">
        <x:f>'情景快照'!F187</x:f>
        <x:v>5.329127488541143</x:v>
      </x:c>
      <x:c r="H9" s="25" t="n">
        <x:f>'情景快照'!H187</x:f>
        <x:v>-0.9111071311335923</x:v>
      </x:c>
      <x:c r="I9" s="11" t="n">
        <x:f>'情景快照'!F188</x:f>
        <x:v>40.38318215729995</x:v>
      </x:c>
      <x:c r="J9" s="25" t="n">
        <x:f>'情景快照'!H188</x:f>
        <x:v>-0.32638561872727356</x:v>
      </x:c>
      <x:c r="K9" s="11" t="n">
        <x:f>'情景快照'!F189</x:f>
        <x:v>176.29950843422898</x:v>
      </x:c>
      <x:c r="L9" s="25" t="n">
        <x:f>'情景快照'!H189</x:f>
        <x:v>1.940775787059699</x:v>
      </x:c>
      <x:c r="M9" s="11" t="n">
        <x:f>G9*$T$4+I9*$U$4+K9*$V$4</x:f>
        <x:v>65.5987500593425</x:v>
      </x:c>
      <x:c r="N9" s="25" t="n">
        <x:f>M9/F9-1</x:f>
        <x:v>0.09422435461789003</x:v>
      </x:c>
      <x:c r="O9" s="11" t="n">
        <x:f>G9*$T$7+I9*$U$7+K9*$V$7</x:f>
        <x:v>39.95319291748933</x:v>
      </x:c>
      <x:c r="P9" s="11" t="n">
        <x:f>G9*$T$10+I9*$U$10+K9*$V$10</x:f>
        <x:v>91.24430720119568</x:v>
      </x:c>
      <x:c r="Q9" s="11" t="str">
        <x:f>IF(AND('情景快照'!T187="已刷新",'情景快照'!T188="已刷新",'情景快照'!T189="已刷新"),"已刷新","待刷新")</x:f>
        <x:v>已刷新</x:v>
      </x:c>
      <x:c r="R9" s="11" t="str">
        <x:v>模型初版</x:v>
      </x:c>
      <x:c r="T9" s="35" t="str">
        <x:v>积极悲观</x:v>
      </x:c>
      <x:c r="U9" s="35" t="str">
        <x:v>积极基准</x:v>
      </x:c>
      <x:c r="V9" s="35" t="str">
        <x:v>积极乐观</x:v>
      </x:c>
    </x:row>
    <x:row r="10" ht="23" customHeight="1">
      <x:c r="A10" s="11" t="str">
        <x:v>S004</x:v>
      </x:c>
      <x:c r="B10" s="11" t="str">
        <x:v>688382.SH</x:v>
      </x:c>
      <x:c r="C10" s="11" t="str">
        <x:v>益方生物</x:v>
      </x:c>
      <x:c r="D10" s="11" t="str">
        <x:v>股票</x:v>
      </x:c>
      <x:c r="E10" s="11" t="str">
        <x:v>CNY</x:v>
      </x:c>
      <x:c r="F10" s="11" t="n">
        <x:v>17.26</x:v>
      </x:c>
      <x:c r="G10" s="11" t="n">
        <x:f>'情景快照'!F337</x:f>
        <x:v>9.493</x:v>
      </x:c>
      <x:c r="H10" s="25" t="n">
        <x:f>'情景快照'!H337</x:f>
        <x:v>-0.45000000000000007</x:v>
      </x:c>
      <x:c r="I10" s="11" t="n">
        <x:f>'情景快照'!F338</x:f>
        <x:v>13.6798167484683</x:v>
      </x:c>
      <x:c r="J10" s="25" t="n">
        <x:f>'情景快照'!H338</x:f>
        <x:v>-0.2074266078523581</x:v>
      </x:c>
      <x:c r="K10" s="11" t="n">
        <x:f>'情景快照'!F339</x:f>
        <x:v>28.9999618848802</x:v>
      </x:c>
      <x:c r="L10" s="25" t="n">
        <x:f>'情景快照'!H339</x:f>
        <x:v>0.680183191476257</x:v>
      </x:c>
      <x:c r="M10" s="11" t="n">
        <x:f>G10*$T$4+I10*$U$4+K10*$V$4</x:f>
        <x:v>16.4631488454542</x:v>
      </x:c>
      <x:c r="N10" s="25" t="n">
        <x:f>M10/F10-1</x:f>
        <x:v>-0.04616750605711484</x:v>
      </x:c>
      <x:c r="O10" s="11" t="n">
        <x:f>G10*$T$7+I10*$U$7+K10*$V$7</x:f>
        <x:v>13.537104562722169</x:v>
      </x:c>
      <x:c r="P10" s="11" t="n">
        <x:f>G10*$T$10+I10*$U$10+K10*$V$10</x:f>
        <x:v>19.38919312818623</x:v>
      </x:c>
      <x:c r="Q10" s="11" t="str">
        <x:f>IF(AND('情景快照'!T337="已刷新",'情景快照'!T338="已刷新",'情景快照'!T339="已刷新"),"已刷新","待刷新")</x:f>
        <x:v>已刷新</x:v>
      </x:c>
      <x:c r="R10" s="11" t="str">
        <x:v>模型初版</x:v>
      </x:c>
      <x:c r="T10" s="36" t="n">
        <x:v>0.1</x:v>
      </x:c>
      <x:c r="U10" s="36" t="n">
        <x:v>0.5</x:v>
      </x:c>
      <x:c r="V10" s="36" t="n">
        <x:v>0.4</x:v>
      </x:c>
    </x:row>
    <x:row r="11" ht="23" customHeight="1">
      <x:c r="A11" s="11" t="str">
        <x:v>S005</x:v>
      </x:c>
      <x:c r="B11" s="11" t="str">
        <x:v>688302.SH</x:v>
      </x:c>
      <x:c r="C11" s="11" t="str">
        <x:v>海创药业</x:v>
      </x:c>
      <x:c r="D11" s="11" t="str">
        <x:v>股票</x:v>
      </x:c>
      <x:c r="E11" s="11" t="str">
        <x:v>CNY</x:v>
      </x:c>
      <x:c r="F11" s="11" t="n">
        <x:v>32.09</x:v>
      </x:c>
      <x:c r="G11" s="11" t="n">
        <x:f>'情景快照'!F307</x:f>
        <x:v>18.401056564850535</x:v>
      </x:c>
      <x:c r="H11" s="25" t="n">
        <x:f>'情景快照'!H307</x:f>
        <x:v>-0.4265797268666085</x:v>
      </x:c>
      <x:c r="I11" s="11" t="n">
        <x:f>'情景快照'!F308</x:f>
        <x:v>29.620147833265147</x:v>
      </x:c>
      <x:c r="J11" s="25" t="n">
        <x:f>'情景快照'!H308</x:f>
        <x:v>-0.07696641217621869</x:v>
      </x:c>
      <x:c r="K11" s="11" t="n">
        <x:f>'情景快照'!F309</x:f>
        <x:v>45.03519958089347</x:v>
      </x:c>
      <x:c r="L11" s="25" t="n">
        <x:f>'情景快照'!H309</x:f>
        <x:v>0.40340291620110524</x:v>
      </x:c>
      <x:c r="M11" s="11" t="n">
        <x:f>G11*$T$4+I11*$U$4+K11*$V$4</x:f>
        <x:v>30.669137953068578</x:v>
      </x:c>
      <x:c r="N11" s="25" t="n">
        <x:f>M11/F11-1</x:f>
        <x:v>-0.04427740875448505</x:v>
      </x:c>
      <x:c r="O11" s="11" t="n">
        <x:f>G11*$T$7+I11*$U$7+K11*$V$7</x:f>
        <x:v>26.674016500662134</x:v>
      </x:c>
      <x:c r="P11" s="11" t="n">
        <x:f>G11*$T$10+I11*$U$10+K11*$V$10</x:f>
        <x:v>34.664259405475015</x:v>
      </x:c>
      <x:c r="Q11" s="11" t="str">
        <x:f>IF(AND('情景快照'!T307="已刷新",'情景快照'!T308="已刷新",'情景快照'!T309="已刷新"),"已刷新","待刷新")</x:f>
        <x:v>已刷新</x:v>
      </x:c>
      <x:c r="R11" s="11" t="str">
        <x:v>模型初版</x:v>
      </x:c>
    </x:row>
    <x:row r="12" ht="23" customHeight="1">
      <x:c r="A12" s="11" t="str">
        <x:v>S006</x:v>
      </x:c>
      <x:c r="B12" s="11" t="str">
        <x:v>002821.SZ</x:v>
      </x:c>
      <x:c r="C12" s="11" t="str">
        <x:v>凯莱英</x:v>
      </x:c>
      <x:c r="D12" s="11" t="str">
        <x:v>股票</x:v>
      </x:c>
      <x:c r="E12" s="11" t="str">
        <x:v>CNY</x:v>
      </x:c>
      <x:c r="F12" s="11" t="n">
        <x:v>177.93</x:v>
      </x:c>
      <x:c r="G12" s="11" t="n">
        <x:f>'情景快照'!F52</x:f>
        <x:v>67.19999999999999</x:v>
      </x:c>
      <x:c r="H12" s="25" t="n">
        <x:f>'情景快照'!H52</x:f>
        <x:v>-0.6223233856010791</x:v>
      </x:c>
      <x:c r="I12" s="11" t="n">
        <x:f>'情景快照'!F53</x:f>
        <x:v>172</x:v>
      </x:c>
      <x:c r="J12" s="25" t="n">
        <x:f>'情景快照'!H53</x:f>
        <x:v>-0.03332771314561911</x:v>
      </x:c>
      <x:c r="K12" s="11" t="n">
        <x:f>'情景快照'!F54</x:f>
        <x:v>270</x:v>
      </x:c>
      <x:c r="L12" s="25" t="n">
        <x:f>'情景快照'!H54</x:f>
        <x:v>0.5174506828528072</x:v>
      </x:c>
      <x:c r="M12" s="11" t="n">
        <x:f>G12*$T$4+I12*$U$4+K12*$V$4</x:f>
        <x:v>170.3</x:v>
      </x:c>
      <x:c r="N12" s="25" t="n">
        <x:f>M12/F12-1</x:f>
        <x:v>-0.04288203225987741</x:v>
      </x:c>
      <x:c r="O12" s="11" t="n">
        <x:f>G12*$T$7+I12*$U$7+K12*$V$7</x:f>
        <x:v>139.88</x:v>
      </x:c>
      <x:c r="P12" s="11" t="n">
        <x:f>G12*$T$10+I12*$U$10+K12*$V$10</x:f>
        <x:v>200.72</x:v>
      </x:c>
      <x:c r="Q12" s="11" t="str">
        <x:f>IF(AND('情景快照'!T52="已刷新",'情景快照'!T53="已刷新",'情景快照'!T54="已刷新"),"已刷新","待刷新")</x:f>
        <x:v>已刷新</x:v>
      </x:c>
      <x:c r="R12" s="11" t="str">
        <x:v>模型初版</x:v>
      </x:c>
    </x:row>
    <x:row r="13" ht="23" customHeight="1">
      <x:c r="A13" s="11" t="str">
        <x:v>S007</x:v>
      </x:c>
      <x:c r="B13" s="11" t="str">
        <x:v>02172.HK</x:v>
      </x:c>
      <x:c r="C13" s="11" t="str">
        <x:v>微创脑科学</x:v>
      </x:c>
      <x:c r="D13" s="11" t="str">
        <x:v>股票</x:v>
      </x:c>
      <x:c r="E13" s="11" t="str">
        <x:v>HKD</x:v>
      </x:c>
      <x:c r="F13" s="11" t="n">
        <x:v>8.055</x:v>
      </x:c>
      <x:c r="G13" s="11"/>
      <x:c r="H13" s="25"/>
      <x:c r="I13" s="11"/>
      <x:c r="J13" s="25"/>
      <x:c r="K13" s="11"/>
      <x:c r="L13" s="25"/>
      <x:c r="M13" s="11"/>
      <x:c r="N13" s="25"/>
      <x:c r="O13" s="11"/>
      <x:c r="P13" s="11"/>
      <x:c r="Q13" s="11"/>
      <x:c r="R13" s="11" t="str">
        <x:v>停牌暂不排名</x:v>
      </x:c>
    </x:row>
    <x:row r="14" ht="23" customHeight="1">
      <x:c r="A14" s="11" t="str">
        <x:v>S008</x:v>
      </x:c>
      <x:c r="B14" s="11" t="str">
        <x:v>03696.HK</x:v>
      </x:c>
      <x:c r="C14" s="11" t="str">
        <x:v>英矽智能</x:v>
      </x:c>
      <x:c r="D14" s="11" t="str">
        <x:v>股票</x:v>
      </x:c>
      <x:c r="E14" s="11" t="str">
        <x:v>HKD</x:v>
      </x:c>
      <x:c r="F14" s="11" t="n">
        <x:v>49</x:v>
      </x:c>
      <x:c r="G14" s="11"/>
      <x:c r="H14" s="25"/>
      <x:c r="I14" s="11"/>
      <x:c r="J14" s="25"/>
      <x:c r="K14" s="11"/>
      <x:c r="L14" s="25"/>
      <x:c r="M14" s="11"/>
      <x:c r="N14" s="25"/>
      <x:c r="O14" s="11"/>
      <x:c r="P14" s="11"/>
      <x:c r="Q14" s="11"/>
      <x:c r="R14" s="11" t="str">
        <x:v>公司模型待完成</x:v>
      </x:c>
    </x:row>
    <x:row r="15" ht="23" customHeight="1">
      <x:c r="A15" s="11" t="str">
        <x:v>S009</x:v>
      </x:c>
      <x:c r="B15" s="11" t="str">
        <x:v>159502.SZ</x:v>
      </x:c>
      <x:c r="C15" s="11" t="str">
        <x:v>嘉实标普生物科技精选行业ETF(QDII)</x:v>
      </x:c>
      <x:c r="D15" s="11" t="str">
        <x:v>ETF</x:v>
      </x:c>
      <x:c r="E15" s="11" t="str">
        <x:v>CNY</x:v>
      </x:c>
      <x:c r="F15" s="11" t="n">
        <x:v>1.58</x:v>
      </x:c>
      <x:c r="G15" s="11"/>
      <x:c r="H15" s="25"/>
      <x:c r="I15" s="11"/>
      <x:c r="J15" s="25"/>
      <x:c r="K15" s="11"/>
      <x:c r="L15" s="25"/>
      <x:c r="M15" s="11"/>
      <x:c r="N15" s="25"/>
      <x:c r="O15" s="11"/>
      <x:c r="P15" s="11"/>
      <x:c r="Q15" s="11"/>
      <x:c r="R15" s="11" t="str">
        <x:v>产品/指数单列</x:v>
      </x:c>
    </x:row>
    <x:row r="16" ht="23" customHeight="1">
      <x:c r="A16" s="11" t="str">
        <x:v>S010</x:v>
      </x:c>
      <x:c r="B16" s="11" t="str">
        <x:v>02252.HK</x:v>
      </x:c>
      <x:c r="C16" s="11" t="str">
        <x:v>微创机器人-B</x:v>
      </x:c>
      <x:c r="D16" s="11" t="str">
        <x:v>股票</x:v>
      </x:c>
      <x:c r="E16" s="11" t="str">
        <x:v>HKD</x:v>
      </x:c>
      <x:c r="F16" s="11" t="n">
        <x:v>21.18</x:v>
      </x:c>
      <x:c r="G16" s="11"/>
      <x:c r="H16" s="25"/>
      <x:c r="I16" s="11"/>
      <x:c r="J16" s="25"/>
      <x:c r="K16" s="11"/>
      <x:c r="L16" s="25"/>
      <x:c r="M16" s="11"/>
      <x:c r="N16" s="25"/>
      <x:c r="O16" s="11"/>
      <x:c r="P16" s="11"/>
      <x:c r="Q16" s="11"/>
      <x:c r="R16" s="11" t="str">
        <x:v>停牌暂不排名</x:v>
      </x:c>
    </x:row>
    <x:row r="17" ht="23" customHeight="1">
      <x:c r="A17" s="11" t="str">
        <x:v>S011</x:v>
      </x:c>
      <x:c r="B17" s="11" t="str">
        <x:v>603259.SH</x:v>
      </x:c>
      <x:c r="C17" s="11" t="str">
        <x:v>药明康德</x:v>
      </x:c>
      <x:c r="D17" s="11" t="str">
        <x:v>股票</x:v>
      </x:c>
      <x:c r="E17" s="11" t="str">
        <x:v>CNY</x:v>
      </x:c>
      <x:c r="F17" s="11" t="n">
        <x:v>157.8</x:v>
      </x:c>
      <x:c r="G17" s="11" t="n">
        <x:f>'情景快照'!F712</x:f>
        <x:v>107.2</x:v>
      </x:c>
      <x:c r="H17" s="25" t="n">
        <x:f>'情景快照'!H712</x:f>
        <x:v>-0.320659062103929</x:v>
      </x:c>
      <x:c r="I17" s="11" t="n">
        <x:f>'情景快照'!F713</x:f>
        <x:v>180.39999999999998</x:v>
      </x:c>
      <x:c r="J17" s="25" t="n">
        <x:f>'情景快照'!H713</x:f>
        <x:v>0.14321926489226855</x:v>
      </x:c>
      <x:c r="K17" s="11" t="n">
        <x:f>'情景快照'!F714</x:f>
        <x:v>269.70000000000005</x:v>
      </x:c>
      <x:c r="L17" s="25" t="n">
        <x:f>'情景快照'!H714</x:f>
        <x:v>0.7091254752851712</x:v>
      </x:c>
      <x:c r="M17" s="11" t="n">
        <x:f>G17*$T$4+I17*$U$4+K17*$V$4</x:f>
        <x:v>184.425</x:v>
      </x:c>
      <x:c r="N17" s="25" t="n">
        <x:f>M17/F17-1</x:f>
        <x:v>0.16872623574144496</x:v>
      </x:c>
      <x:c r="O17" s="11" t="n">
        <x:f>G17*$T$7+I17*$U$7+K17*$V$7</x:f>
        <x:v>160.04999999999998</x:v>
      </x:c>
      <x:c r="P17" s="11" t="n">
        <x:f>G17*$T$10+I17*$U$10+K17*$V$10</x:f>
        <x:v>208.8</x:v>
      </x:c>
      <x:c r="Q17" s="11" t="str">
        <x:f>IF(AND('情景快照'!T712="已刷新",'情景快照'!T713="已刷新",'情景快照'!T714="已刷新"),"已刷新","待刷新")</x:f>
        <x:v>已刷新</x:v>
      </x:c>
      <x:c r="R17" s="11" t="str">
        <x:v>模型初版</x:v>
      </x:c>
    </x:row>
    <x:row r="18" ht="23" customHeight="1">
      <x:c r="A18" s="11" t="str">
        <x:v>S012</x:v>
      </x:c>
      <x:c r="B18" s="11" t="str">
        <x:v>600276.SH</x:v>
      </x:c>
      <x:c r="C18" s="11" t="str">
        <x:v>恒瑞医药</x:v>
      </x:c>
      <x:c r="D18" s="11" t="str">
        <x:v>股票</x:v>
      </x:c>
      <x:c r="E18" s="11" t="str">
        <x:v>CNY</x:v>
      </x:c>
      <x:c r="F18" s="11" t="n">
        <x:v>46.85</x:v>
      </x:c>
      <x:c r="G18" s="11" t="n">
        <x:f>'情景快照'!F277</x:f>
        <x:v>26.400000000000002</x:v>
      </x:c>
      <x:c r="H18" s="25" t="n">
        <x:f>'情景快照'!H277</x:f>
        <x:v>-0.4364994663820704</x:v>
      </x:c>
      <x:c r="I18" s="11" t="n">
        <x:f>'情景快照'!F278</x:f>
        <x:v>49.3</x:v>
      </x:c>
      <x:c r="J18" s="25" t="n">
        <x:f>'情景快照'!H278</x:f>
        <x:v>0.05229455709711828</x:v>
      </x:c>
      <x:c r="K18" s="11" t="n">
        <x:f>'情景快照'!F279</x:f>
        <x:v>79.2</x:v>
      </x:c>
      <x:c r="L18" s="25" t="n">
        <x:f>'情景快照'!H279</x:f>
        <x:v>0.6905016008537888</x:v>
      </x:c>
      <x:c r="M18" s="11" t="n">
        <x:f>G18*$T$4+I18*$U$4+K18*$V$4</x:f>
        <x:v>51.05</x:v>
      </x:c>
      <x:c r="N18" s="25" t="n">
        <x:f>M18/F18-1</x:f>
        <x:v>0.08964781216648876</x:v>
      </x:c>
      <x:c r="O18" s="11" t="n">
        <x:f>G18*$T$7+I18*$U$7+K18*$V$7</x:f>
        <x:v>43.13</x:v>
      </x:c>
      <x:c r="P18" s="11" t="n">
        <x:f>G18*$T$10+I18*$U$10+K18*$V$10</x:f>
        <x:v>58.97</x:v>
      </x:c>
      <x:c r="Q18" s="11" t="str">
        <x:f>IF(AND('情景快照'!T277="已刷新",'情景快照'!T278="已刷新",'情景快照'!T279="已刷新"),"已刷新","待刷新")</x:f>
        <x:v>已刷新</x:v>
      </x:c>
      <x:c r="R18" s="11" t="str">
        <x:v>模型初版</x:v>
      </x:c>
    </x:row>
    <x:row r="19" ht="23" customHeight="1">
      <x:c r="A19" s="11" t="str">
        <x:v>S013</x:v>
      </x:c>
      <x:c r="B19" s="11" t="str">
        <x:v>688235.SH</x:v>
      </x:c>
      <x:c r="C19" s="11" t="str">
        <x:v>百济神州</x:v>
      </x:c>
      <x:c r="D19" s="11" t="str">
        <x:v>股票</x:v>
      </x:c>
      <x:c r="E19" s="11" t="str">
        <x:v>CNY</x:v>
      </x:c>
      <x:c r="F19" s="11" t="n">
        <x:v>249.42</x:v>
      </x:c>
      <x:c r="G19" s="11" t="n">
        <x:f>'情景快照'!F97</x:f>
        <x:v>91.27863636363642</x:v>
      </x:c>
      <x:c r="H19" s="25" t="n">
        <x:f>'情景快照'!H97</x:f>
        <x:v>-0.6340364190376215</x:v>
      </x:c>
      <x:c r="I19" s="11" t="n">
        <x:f>'情景快照'!F98</x:f>
        <x:v>281.3539197166469</x:v>
      </x:c>
      <x:c r="J19" s="25" t="n">
        <x:f>'情景快照'!H98</x:f>
        <x:v>0.12803271476484213</x:v>
      </x:c>
      <x:c r="K19" s="11" t="n">
        <x:f>'情景快照'!F99</x:f>
        <x:v>539.9956684491979</x:v>
      </x:c>
      <x:c r="L19" s="25" t="n">
        <x:f>'情景快照'!H99</x:f>
        <x:v>1.1650054865255308</x:v>
      </x:c>
      <x:c r="M19" s="11" t="n">
        <x:f>G19*$T$4+I19*$U$4+K19*$V$4</x:f>
        <x:v>298.495536061532</x:v>
      </x:c>
      <x:c r="N19" s="25" t="n">
        <x:f>M19/F19-1</x:f>
        <x:v>0.19675862425439816</x:v>
      </x:c>
      <x:c r="O19" s="11" t="n">
        <x:f>G19*$T$7+I19*$U$7+K19*$V$7</x:f>
        <x:v>231.1879812486978</x:v>
      </x:c>
      <x:c r="P19" s="11" t="n">
        <x:f>G19*$T$10+I19*$U$10+K19*$V$10</x:f>
        <x:v>365.80309087436626</x:v>
      </x:c>
      <x:c r="Q19" s="11" t="str">
        <x:f>IF(AND('情景快照'!T97="已刷新",'情景快照'!T98="已刷新",'情景快照'!T99="已刷新"),"已刷新","待刷新")</x:f>
        <x:v>已刷新</x:v>
      </x:c>
      <x:c r="R19" s="11" t="str">
        <x:v>模型初版</x:v>
      </x:c>
    </x:row>
    <x:row r="20" ht="23" customHeight="1">
      <x:c r="A20" s="11" t="str">
        <x:v>S014</x:v>
      </x:c>
      <x:c r="B20" s="11" t="str">
        <x:v>513290.SH</x:v>
      </x:c>
      <x:c r="C20" s="11" t="str">
        <x:v>汇添富纳斯达克生物科技ETF</x:v>
      </x:c>
      <x:c r="D20" s="11" t="str">
        <x:v>ETF</x:v>
      </x:c>
      <x:c r="E20" s="11" t="str">
        <x:v>CNY</x:v>
      </x:c>
      <x:c r="F20" s="11" t="n">
        <x:v>1.785</x:v>
      </x:c>
      <x:c r="G20" s="11"/>
      <x:c r="H20" s="25"/>
      <x:c r="I20" s="11"/>
      <x:c r="J20" s="25"/>
      <x:c r="K20" s="11"/>
      <x:c r="L20" s="25"/>
      <x:c r="M20" s="11"/>
      <x:c r="N20" s="25"/>
      <x:c r="O20" s="11"/>
      <x:c r="P20" s="11"/>
      <x:c r="Q20" s="11"/>
      <x:c r="R20" s="11" t="str">
        <x:v>产品/指数单列</x:v>
      </x:c>
    </x:row>
    <x:row r="21" ht="23" customHeight="1">
      <x:c r="A21" s="11" t="str">
        <x:v>S015</x:v>
      </x:c>
      <x:c r="B21" s="11" t="str">
        <x:v>300363.SZ</x:v>
      </x:c>
      <x:c r="C21" s="11" t="str">
        <x:v>博腾股份</x:v>
      </x:c>
      <x:c r="D21" s="11" t="str">
        <x:v>股票</x:v>
      </x:c>
      <x:c r="E21" s="11" t="str">
        <x:v>CNY</x:v>
      </x:c>
      <x:c r="F21" s="11" t="n">
        <x:v>23.68</x:v>
      </x:c>
      <x:c r="G21" s="11" t="n">
        <x:f>'情景快照'!F592</x:f>
        <x:v>2.6999999999999997</x:v>
      </x:c>
      <x:c r="H21" s="25" t="n">
        <x:f>'情景快照'!H592</x:f>
        <x:v>-0.8859797297297297</x:v>
      </x:c>
      <x:c r="I21" s="11" t="n">
        <x:f>'情景快照'!F593</x:f>
        <x:v>15</x:v>
      </x:c>
      <x:c r="J21" s="25" t="n">
        <x:f>'情景快照'!H593</x:f>
        <x:v>-0.36655405405405406</x:v>
      </x:c>
      <x:c r="K21" s="11" t="n">
        <x:f>'情景快照'!F594</x:f>
        <x:v>32</x:v>
      </x:c>
      <x:c r="L21" s="25" t="n">
        <x:f>'情景快照'!H594</x:f>
        <x:v>0.3513513513513513</x:v>
      </x:c>
      <x:c r="M21" s="11" t="n">
        <x:f>G21*$T$4+I21*$U$4+K21*$V$4</x:f>
        <x:v>16.175</x:v>
      </x:c>
      <x:c r="N21" s="25" t="n">
        <x:f>M21/F21-1</x:f>
        <x:v>-0.3169341216216216</x:v>
      </x:c>
      <x:c r="O21" s="11" t="n">
        <x:f>G21*$T$7+I21*$U$7+K21*$V$7</x:f>
        <x:v>11.780000000000001</x:v>
      </x:c>
      <x:c r="P21" s="11" t="n">
        <x:f>G21*$T$10+I21*$U$10+K21*$V$10</x:f>
        <x:v>20.57</x:v>
      </x:c>
      <x:c r="Q21" s="11" t="str">
        <x:f>IF(AND('情景快照'!T592="已刷新",'情景快照'!T593="已刷新",'情景快照'!T594="已刷新"),"已刷新","待刷新")</x:f>
        <x:v>已刷新</x:v>
      </x:c>
      <x:c r="R21" s="11" t="str">
        <x:v>模型初版</x:v>
      </x:c>
    </x:row>
    <x:row r="22" ht="23" customHeight="1">
      <x:c r="A22" s="11" t="str">
        <x:v>S016</x:v>
      </x:c>
      <x:c r="B22" s="11" t="str">
        <x:v>300760.SZ</x:v>
      </x:c>
      <x:c r="C22" s="11" t="str">
        <x:v>迈瑞医疗</x:v>
      </x:c>
      <x:c r="D22" s="11" t="str">
        <x:v>股票</x:v>
      </x:c>
      <x:c r="E22" s="11" t="str">
        <x:v>CNY</x:v>
      </x:c>
      <x:c r="F22" s="11" t="n">
        <x:v>161.4</x:v>
      </x:c>
      <x:c r="G22" s="11" t="n">
        <x:f>'情景快照'!F532</x:f>
        <x:v>110.5</x:v>
      </x:c>
      <x:c r="H22" s="25" t="n">
        <x:f>'情景快照'!H532</x:f>
        <x:v>-0.315365551425031</x:v>
      </x:c>
      <x:c r="I22" s="11" t="n">
        <x:f>'情景快照'!F533</x:f>
        <x:v>171.6</x:v>
      </x:c>
      <x:c r="J22" s="25" t="n">
        <x:f>'情景快照'!H533</x:f>
        <x:v>0.0631970260223047</x:v>
      </x:c>
      <x:c r="K22" s="11" t="n">
        <x:f>'情景快照'!F534</x:f>
        <x:v>246.40000000000003</x:v>
      </x:c>
      <x:c r="L22" s="25" t="n">
        <x:f>'情景快照'!H534</x:f>
        <x:v>0.526641883519207</x:v>
      </x:c>
      <x:c r="M22" s="11" t="n">
        <x:f>G22*$T$4+I22*$U$4+K22*$V$4</x:f>
        <x:v>175.025</x:v>
      </x:c>
      <x:c r="N22" s="25" t="n">
        <x:f>M22/F22-1</x:f>
        <x:v>0.08441759603469645</x:v>
      </x:c>
      <x:c r="O22" s="11" t="n">
        <x:f>G22*$T$7+I22*$U$7+K22*$V$7</x:f>
        <x:v>154.64000000000001</x:v>
      </x:c>
      <x:c r="P22" s="11" t="n">
        <x:f>G22*$T$10+I22*$U$10+K22*$V$10</x:f>
        <x:v>195.41000000000003</x:v>
      </x:c>
      <x:c r="Q22" s="11" t="str">
        <x:f>IF(AND('情景快照'!T532="已刷新",'情景快照'!T533="已刷新",'情景快照'!T534="已刷新"),"已刷新","待刷新")</x:f>
        <x:v>已刷新</x:v>
      </x:c>
      <x:c r="R22" s="11" t="str">
        <x:v>模型初版</x:v>
      </x:c>
    </x:row>
    <x:row r="23" ht="23" customHeight="1">
      <x:c r="A23" s="11" t="str">
        <x:v>S017</x:v>
      </x:c>
      <x:c r="B23" s="11" t="str">
        <x:v>688131.SH</x:v>
      </x:c>
      <x:c r="C23" s="11" t="str">
        <x:v>皓元医药</x:v>
      </x:c>
      <x:c r="D23" s="11" t="str">
        <x:v>股票</x:v>
      </x:c>
      <x:c r="E23" s="11" t="str">
        <x:v>CNY</x:v>
      </x:c>
      <x:c r="F23" s="11" t="n">
        <x:v>93.16</x:v>
      </x:c>
      <x:c r="G23" s="11" t="n">
        <x:f>'情景快照'!F262</x:f>
        <x:v>39.9</x:v>
      </x:c>
      <x:c r="H23" s="25" t="n">
        <x:f>'情景快照'!H262</x:f>
        <x:v>-0.5717045942464577</x:v>
      </x:c>
      <x:c r="I23" s="11" t="n">
        <x:f>'情景快照'!F263</x:f>
        <x:v>89.9</x:v>
      </x:c>
      <x:c r="J23" s="25" t="n">
        <x:f>'情景快照'!H263</x:f>
        <x:v>-0.034993559467582536</x:v>
      </x:c>
      <x:c r="K23" s="11" t="n">
        <x:f>'情景快照'!F264</x:f>
        <x:v>133.20000000000002</x:v>
      </x:c>
      <x:c r="L23" s="25" t="n">
        <x:f>'情景快照'!H264</x:f>
        <x:v>0.42979819665092345</x:v>
      </x:c>
      <x:c r="M23" s="11" t="n">
        <x:f>G23*$T$4+I23*$U$4+K23*$V$4</x:f>
        <x:v>88.22500000000001</x:v>
      </x:c>
      <x:c r="N23" s="25" t="n">
        <x:f>M23/F23-1</x:f>
        <x:v>-0.05297337913267486</x:v>
      </x:c>
      <x:c r="O23" s="11" t="n">
        <x:f>G23*$T$7+I23*$U$7+K23*$V$7</x:f>
        <x:v>74.23</x:v>
      </x:c>
      <x:c r="P23" s="11" t="n">
        <x:f>G23*$T$10+I23*$U$10+K23*$V$10</x:f>
        <x:v>102.22000000000001</x:v>
      </x:c>
      <x:c r="Q23" s="11" t="str">
        <x:f>IF(AND('情景快照'!T262="已刷新",'情景快照'!T263="已刷新",'情景快照'!T264="已刷新"),"已刷新","待刷新")</x:f>
        <x:v>已刷新</x:v>
      </x:c>
      <x:c r="R23" s="11" t="str">
        <x:v>模型初版</x:v>
      </x:c>
    </x:row>
    <x:row r="24" ht="23" customHeight="1">
      <x:c r="A24" s="11" t="str">
        <x:v>S018</x:v>
      </x:c>
      <x:c r="B24" s="11" t="str">
        <x:v>00853.HK</x:v>
      </x:c>
      <x:c r="C24" s="11" t="str">
        <x:v>微创医疗</x:v>
      </x:c>
      <x:c r="D24" s="11" t="str">
        <x:v>股票</x:v>
      </x:c>
      <x:c r="E24" s="11" t="str">
        <x:v>HKD</x:v>
      </x:c>
      <x:c r="F24" s="11" t="n">
        <x:v>6.075</x:v>
      </x:c>
      <x:c r="G24" s="11"/>
      <x:c r="H24" s="25"/>
      <x:c r="I24" s="11"/>
      <x:c r="J24" s="25"/>
      <x:c r="K24" s="11"/>
      <x:c r="L24" s="25"/>
      <x:c r="M24" s="11"/>
      <x:c r="N24" s="25"/>
      <x:c r="O24" s="11"/>
      <x:c r="P24" s="11"/>
      <x:c r="Q24" s="11"/>
      <x:c r="R24" s="11" t="str">
        <x:v>停牌暂不排名</x:v>
      </x:c>
    </x:row>
    <x:row r="25" ht="23" customHeight="1">
      <x:c r="A25" s="11" t="str">
        <x:v>S019</x:v>
      </x:c>
      <x:c r="B25" s="11" t="str">
        <x:v>688356.SH</x:v>
      </x:c>
      <x:c r="C25" s="11" t="str">
        <x:v>键凯科技</x:v>
      </x:c>
      <x:c r="D25" s="11" t="str">
        <x:v>股票</x:v>
      </x:c>
      <x:c r="E25" s="11" t="str">
        <x:v>CNY</x:v>
      </x:c>
      <x:c r="F25" s="11" t="n">
        <x:v>107.9</x:v>
      </x:c>
      <x:c r="G25" s="11" t="n">
        <x:f>'情景快照'!F382</x:f>
        <x:v>36.75</x:v>
      </x:c>
      <x:c r="H25" s="25" t="n">
        <x:f>'情景快照'!H382</x:f>
        <x:v>-0.6594068582020389</x:v>
      </x:c>
      <x:c r="I25" s="11" t="n">
        <x:f>'情景快照'!F383</x:f>
        <x:v>96</x:v>
      </x:c>
      <x:c r="J25" s="25" t="n">
        <x:f>'情景快照'!H383</x:f>
        <x:v>-0.11028730305838741</x:v>
      </x:c>
      <x:c r="K25" s="11" t="n">
        <x:f>'情景快照'!F384</x:f>
        <x:v>147</x:v>
      </x:c>
      <x:c r="L25" s="25" t="n">
        <x:f>'情景快照'!H384</x:f>
        <x:v>0.3623725671918443</x:v>
      </x:c>
      <x:c r="M25" s="11" t="n">
        <x:f>G25*$T$4+I25*$U$4+K25*$V$4</x:f>
        <x:v>93.9375</x:v>
      </x:c>
      <x:c r="N25" s="25" t="n">
        <x:f>M25/F25-1</x:f>
        <x:v>-0.12940222428174242</x:v>
      </x:c>
      <x:c r="O25" s="11" t="n">
        <x:f>G25*$T$7+I25*$U$7+K25*$V$7</x:f>
        <x:v>77.4</x:v>
      </x:c>
      <x:c r="P25" s="11" t="n">
        <x:f>G25*$T$10+I25*$U$10+K25*$V$10</x:f>
        <x:v>110.475</x:v>
      </x:c>
      <x:c r="Q25" s="11" t="str">
        <x:f>IF(AND('情景快照'!T382="已刷新",'情景快照'!T383="已刷新",'情景快照'!T384="已刷新"),"已刷新","待刷新")</x:f>
        <x:v>已刷新</x:v>
      </x:c>
      <x:c r="R25" s="11" t="str">
        <x:v>模型初版</x:v>
      </x:c>
    </x:row>
    <x:row r="26" ht="23" customHeight="1">
      <x:c r="A26" s="11" t="str">
        <x:v>S020</x:v>
      </x:c>
      <x:c r="B26" s="11" t="str">
        <x:v>688202.SH</x:v>
      </x:c>
      <x:c r="C26" s="11" t="str">
        <x:v>美迪西</x:v>
      </x:c>
      <x:c r="D26" s="11" t="str">
        <x:v>股票</x:v>
      </x:c>
      <x:c r="E26" s="11" t="str">
        <x:v>CNY</x:v>
      </x:c>
      <x:c r="F26" s="11" t="n">
        <x:v>104</x:v>
      </x:c>
      <x:c r="G26" s="11" t="n">
        <x:f>'情景快照'!F487</x:f>
        <x:v>12.5</x:v>
      </x:c>
      <x:c r="H26" s="25" t="n">
        <x:f>'情景快照'!H487</x:f>
        <x:v>-0.8798076923076923</x:v>
      </x:c>
      <x:c r="I26" s="11" t="n">
        <x:f>'情景快照'!F488</x:f>
        <x:v>60</x:v>
      </x:c>
      <x:c r="J26" s="25" t="n">
        <x:f>'情景快照'!H488</x:f>
        <x:v>-0.42307692307692313</x:v>
      </x:c>
      <x:c r="K26" s="11" t="n">
        <x:f>'情景快照'!F489</x:f>
        <x:v>120</x:v>
      </x:c>
      <x:c r="L26" s="25" t="n">
        <x:f>'情景快照'!H489</x:f>
        <x:v>0.15384615384615374</x:v>
      </x:c>
      <x:c r="M26" s="11" t="n">
        <x:f>G26*$T$4+I26*$U$4+K26*$V$4</x:f>
        <x:v>63.125</x:v>
      </x:c>
      <x:c r="N26" s="25" t="n">
        <x:f>M26/F26-1</x:f>
        <x:v>-0.39302884615384615</x:v>
      </x:c>
      <x:c r="O26" s="11" t="n">
        <x:f>G26*$T$7+I26*$U$7+K26*$V$7</x:f>
        <x:v>47</x:v>
      </x:c>
      <x:c r="P26" s="11" t="n">
        <x:f>G26*$T$10+I26*$U$10+K26*$V$10</x:f>
        <x:v>79.25</x:v>
      </x:c>
      <x:c r="Q26" s="11" t="str">
        <x:f>IF(AND('情景快照'!T487="已刷新",'情景快照'!T488="已刷新",'情景快照'!T489="已刷新"),"已刷新","待刷新")</x:f>
        <x:v>已刷新</x:v>
      </x:c>
      <x:c r="R26" s="11" t="str">
        <x:v>模型初版</x:v>
      </x:c>
    </x:row>
    <x:row r="27" ht="23" customHeight="1">
      <x:c r="A27" s="11" t="str">
        <x:v>S021</x:v>
      </x:c>
      <x:c r="B27" s="11" t="str">
        <x:v>987018.SZ</x:v>
      </x:c>
      <x:c r="C27" s="11" t="str">
        <x:v>港股通创新药</x:v>
      </x:c>
      <x:c r="D27" s="11" t="str">
        <x:v>指数</x:v>
      </x:c>
      <x:c r="E27" s="11" t="str">
        <x:v>CNY</x:v>
      </x:c>
      <x:c r="F27" s="11" t="n">
        <x:v>1791.2169</x:v>
      </x:c>
      <x:c r="G27" s="11"/>
      <x:c r="H27" s="25"/>
      <x:c r="I27" s="11"/>
      <x:c r="J27" s="25"/>
      <x:c r="K27" s="11"/>
      <x:c r="L27" s="25"/>
      <x:c r="M27" s="11"/>
      <x:c r="N27" s="25"/>
      <x:c r="O27" s="11"/>
      <x:c r="P27" s="11"/>
      <x:c r="Q27" s="11"/>
      <x:c r="R27" s="11" t="str">
        <x:v>产品/指数单列</x:v>
      </x:c>
    </x:row>
    <x:row r="28" ht="23" customHeight="1">
      <x:c r="A28" s="11" t="str">
        <x:v>S022</x:v>
      </x:c>
      <x:c r="B28" s="11" t="str">
        <x:v>01276.HK</x:v>
      </x:c>
      <x:c r="C28" s="11" t="str">
        <x:v>恒瑞医药</x:v>
      </x:c>
      <x:c r="D28" s="11" t="str">
        <x:v>股票</x:v>
      </x:c>
      <x:c r="E28" s="11" t="str">
        <x:v>HKD</x:v>
      </x:c>
      <x:c r="F28" s="11" t="n">
        <x:v>48</x:v>
      </x:c>
      <x:c r="G28" s="11" t="n">
        <x:f>'情景快照'!F292</x:f>
        <x:v>26.620000000000005</x:v>
      </x:c>
      <x:c r="H28" s="25" t="n">
        <x:f>'情景快照'!H292</x:f>
        <x:v>-0.44541666666666657</x:v>
      </x:c>
      <x:c r="I28" s="11" t="n">
        <x:f>'情景快照'!F293</x:f>
        <x:v>52.635000000000005</x:v>
      </x:c>
      <x:c r="J28" s="25" t="n">
        <x:f>'情景快照'!H293</x:f>
        <x:v>0.0965625000000001</x:v>
      </x:c>
      <x:c r="K28" s="11" t="n">
        <x:f>'情景快照'!F294</x:f>
        <x:v>85.14000000000001</x:v>
      </x:c>
      <x:c r="L28" s="25" t="n">
        <x:f>'情景快照'!H294</x:f>
        <x:v>0.7737500000000004</x:v>
      </x:c>
      <x:c r="M28" s="11" t="n">
        <x:f>G28*$T$4+I28*$U$4+K28*$V$4</x:f>
        <x:v>54.25750000000001</x:v>
      </x:c>
      <x:c r="N28" s="25" t="n">
        <x:f>M28/F28-1</x:f>
        <x:v>0.13036458333333356</x:v>
      </x:c>
      <x:c r="O28" s="11" t="n">
        <x:f>G28*$T$7+I28*$U$7+K28*$V$7</x:f>
        <x:v>45.47950000000001</x:v>
      </x:c>
      <x:c r="P28" s="11" t="n">
        <x:f>G28*$T$10+I28*$U$10+K28*$V$10</x:f>
        <x:v>63.035500000000006</x:v>
      </x:c>
      <x:c r="Q28" s="11" t="str">
        <x:f>IF(AND('情景快照'!T292="已刷新",'情景快照'!T293="已刷新",'情景快照'!T294="已刷新"),"已刷新","待刷新")</x:f>
        <x:v>已刷新</x:v>
      </x:c>
      <x:c r="R28" s="11" t="str">
        <x:v>模型初版</x:v>
      </x:c>
    </x:row>
    <x:row r="29" ht="23" customHeight="1">
      <x:c r="A29" s="11" t="str">
        <x:v>S023</x:v>
      </x:c>
      <x:c r="B29" s="11" t="str">
        <x:v>06699.HK</x:v>
      </x:c>
      <x:c r="C29" s="11" t="str">
        <x:v>时代天使</x:v>
      </x:c>
      <x:c r="D29" s="11" t="str">
        <x:v>股票</x:v>
      </x:c>
      <x:c r="E29" s="11" t="str">
        <x:v>HKD</x:v>
      </x:c>
      <x:c r="F29" s="11" t="n">
        <x:v>82.3</x:v>
      </x:c>
      <x:c r="G29" s="11"/>
      <x:c r="H29" s="25"/>
      <x:c r="I29" s="11"/>
      <x:c r="J29" s="25"/>
      <x:c r="K29" s="11"/>
      <x:c r="L29" s="25"/>
      <x:c r="M29" s="11"/>
      <x:c r="N29" s="25"/>
      <x:c r="O29" s="11"/>
      <x:c r="P29" s="11"/>
      <x:c r="Q29" s="11"/>
      <x:c r="R29" s="11" t="str">
        <x:v>公司模型待完成</x:v>
      </x:c>
    </x:row>
    <x:row r="30" ht="23" customHeight="1">
      <x:c r="A30" s="11" t="str">
        <x:v>S024</x:v>
      </x:c>
      <x:c r="B30" s="11" t="str">
        <x:v>09606.HK</x:v>
      </x:c>
      <x:c r="C30" s="11" t="str">
        <x:v>映恩生物-B</x:v>
      </x:c>
      <x:c r="D30" s="11" t="str">
        <x:v>股票</x:v>
      </x:c>
      <x:c r="E30" s="11" t="str">
        <x:v>HKD</x:v>
      </x:c>
      <x:c r="F30" s="11" t="n">
        <x:v>182.7</x:v>
      </x:c>
      <x:c r="G30" s="11"/>
      <x:c r="H30" s="25"/>
      <x:c r="I30" s="11"/>
      <x:c r="J30" s="25"/>
      <x:c r="K30" s="11"/>
      <x:c r="L30" s="25"/>
      <x:c r="M30" s="11"/>
      <x:c r="N30" s="25"/>
      <x:c r="O30" s="11"/>
      <x:c r="P30" s="11"/>
      <x:c r="Q30" s="11"/>
      <x:c r="R30" s="11" t="str">
        <x:v>公司模型待完成</x:v>
      </x:c>
    </x:row>
    <x:row r="31" ht="23" customHeight="1">
      <x:c r="A31" s="11" t="str">
        <x:v>S025</x:v>
      </x:c>
      <x:c r="B31" s="11" t="str">
        <x:v>931787.CSI</x:v>
      </x:c>
      <x:c r="C31" s="11" t="str">
        <x:v>港股创新药</x:v>
      </x:c>
      <x:c r="D31" s="11" t="str">
        <x:v>指数</x:v>
      </x:c>
      <x:c r="E31" s="11" t="str">
        <x:v>CNY</x:v>
      </x:c>
      <x:c r="F31" s="11" t="n">
        <x:v>1450.66</x:v>
      </x:c>
      <x:c r="G31" s="11"/>
      <x:c r="H31" s="25"/>
      <x:c r="I31" s="11"/>
      <x:c r="J31" s="25"/>
      <x:c r="K31" s="11"/>
      <x:c r="L31" s="25"/>
      <x:c r="M31" s="11"/>
      <x:c r="N31" s="25"/>
      <x:c r="O31" s="11"/>
      <x:c r="P31" s="11"/>
      <x:c r="Q31" s="11"/>
      <x:c r="R31" s="11" t="str">
        <x:v>产品/指数单列</x:v>
      </x:c>
    </x:row>
    <x:row r="32" ht="23" customHeight="1">
      <x:c r="A32" s="11" t="str">
        <x:v>S026</x:v>
      </x:c>
      <x:c r="B32" s="11" t="str">
        <x:v>06855.HK</x:v>
      </x:c>
      <x:c r="C32" s="11" t="str">
        <x:v>亚盛医药</x:v>
      </x:c>
      <x:c r="D32" s="11" t="str">
        <x:v>股票</x:v>
      </x:c>
      <x:c r="E32" s="11" t="str">
        <x:v>HKD</x:v>
      </x:c>
      <x:c r="F32" s="11" t="n">
        <x:v>28.22</x:v>
      </x:c>
      <x:c r="G32" s="11"/>
      <x:c r="H32" s="25"/>
      <x:c r="I32" s="11"/>
      <x:c r="J32" s="25"/>
      <x:c r="K32" s="11"/>
      <x:c r="L32" s="25"/>
      <x:c r="M32" s="11"/>
      <x:c r="N32" s="25"/>
      <x:c r="O32" s="11"/>
      <x:c r="P32" s="11"/>
      <x:c r="Q32" s="11"/>
      <x:c r="R32" s="11" t="str">
        <x:v>公司模型待完成</x:v>
      </x:c>
    </x:row>
    <x:row r="33" ht="23" customHeight="1">
      <x:c r="A33" s="11" t="str">
        <x:v>S027</x:v>
      </x:c>
      <x:c r="B33" s="11" t="str">
        <x:v>03759.HK</x:v>
      </x:c>
      <x:c r="C33" s="11" t="str">
        <x:v>康龙化成</x:v>
      </x:c>
      <x:c r="D33" s="11" t="str">
        <x:v>股票</x:v>
      </x:c>
      <x:c r="E33" s="11" t="str">
        <x:v>HKD</x:v>
      </x:c>
      <x:c r="F33" s="11" t="n">
        <x:v>30.6</x:v>
      </x:c>
      <x:c r="G33" s="11" t="n">
        <x:f>'情景快照'!F562</x:f>
        <x:v>16.39603225806452</x:v>
      </x:c>
      <x:c r="H33" s="25" t="n">
        <x:f>'情景快照'!H562</x:f>
        <x:v>-0.4641819523508327</x:v>
      </x:c>
      <x:c r="I33" s="11" t="n">
        <x:f>'情景快照'!F563</x:f>
        <x:v>38.67565700143121</x:v>
      </x:c>
      <x:c r="J33" s="25" t="n">
        <x:f>'情景快照'!H563</x:f>
        <x:v>0.26391035952389585</x:v>
      </x:c>
      <x:c r="K33" s="11" t="n">
        <x:f>'情景快照'!F564</x:f>
        <x:v>64.45424664119619</x:v>
      </x:c>
      <x:c r="L33" s="25" t="n">
        <x:f>'情景快照'!H564</x:f>
        <x:v>1.1063479294508558</x:v>
      </x:c>
      <x:c r="M33" s="11" t="n">
        <x:f>G33*$T$4+I33*$U$4+K33*$V$4</x:f>
        <x:v>39.550398225530785</x:v>
      </x:c>
      <x:c r="N33" s="25" t="n">
        <x:f>M33/F33-1</x:f>
        <x:v>0.2924966740369537</x:v>
      </x:c>
      <x:c r="O33" s="11" t="n">
        <x:f>G33*$T$7+I33*$U$7+K33*$V$7</x:f>
        <x:v>32.34166606806103</x:v>
      </x:c>
      <x:c r="P33" s="11" t="n">
        <x:f>G33*$T$10+I33*$U$10+K33*$V$10</x:f>
        <x:v>46.75913038300054</x:v>
      </x:c>
      <x:c r="Q33" s="11" t="str">
        <x:f>IF(AND('情景快照'!T562="已刷新",'情景快照'!T563="已刷新",'情景快照'!T564="已刷新"),"已刷新","待刷新")</x:f>
        <x:v>待刷新</x:v>
      </x:c>
      <x:c r="R33" s="11" t="str">
        <x:v>模型初版</x:v>
      </x:c>
    </x:row>
    <x:row r="34" ht="23" customHeight="1">
      <x:c r="A34" s="11" t="str">
        <x:v>S028</x:v>
      </x:c>
      <x:c r="B34" s="11" t="str">
        <x:v>01530.HK</x:v>
      </x:c>
      <x:c r="C34" s="11" t="str">
        <x:v>三生制药</x:v>
      </x:c>
      <x:c r="D34" s="11" t="str">
        <x:v>股票</x:v>
      </x:c>
      <x:c r="E34" s="11" t="str">
        <x:v>HKD</x:v>
      </x:c>
      <x:c r="F34" s="11" t="n">
        <x:v>15.07</x:v>
      </x:c>
      <x:c r="G34" s="11" t="n">
        <x:f>'情景快照'!F7</x:f>
        <x:v>9.696288595980818</x:v>
      </x:c>
      <x:c r="H34" s="25" t="n">
        <x:f>'情景快照'!H7</x:f>
        <x:v>-0.35658337120233463</x:v>
      </x:c>
      <x:c r="I34" s="11" t="n">
        <x:f>'情景快照'!F8</x:f>
        <x:v>19.539444117014675</x:v>
      </x:c>
      <x:c r="J34" s="25" t="n">
        <x:f>'情景快照'!H8</x:f>
        <x:v>0.2965789062385318</x:v>
      </x:c>
      <x:c r="K34" s="11" t="n">
        <x:f>'情景快照'!F9</x:f>
        <x:v>42.805913886549156</x:v>
      </x:c>
      <x:c r="L34" s="25" t="n">
        <x:f>'情景快照'!H9</x:f>
        <x:v>1.840472056174463</x:v>
      </x:c>
      <x:c r="M34" s="11" t="n">
        <x:f>G34*$T$4+I34*$U$4+K34*$V$4</x:f>
        <x:v>22.89527267913983</x:v>
      </x:c>
      <x:c r="N34" s="25" t="n">
        <x:f>M34/F34-1</x:f>
        <x:v>0.5192616243622978</x:v>
      </x:c>
      <x:c r="O34" s="11" t="n">
        <x:f>G34*$T$7+I34*$U$7+K34*$V$7</x:f>
        <x:v>17.92882888555458</x:v>
      </x:c>
      <x:c r="P34" s="11" t="n">
        <x:f>G34*$T$10+I34*$U$10+K34*$V$10</x:f>
        <x:v>27.86171647272508</x:v>
      </x:c>
      <x:c r="Q34" s="11" t="str">
        <x:f>IF(AND('情景快照'!T7="已刷新",'情景快照'!T8="已刷新",'情景快照'!T9="已刷新"),"已刷新","待刷新")</x:f>
        <x:v>待刷新</x:v>
      </x:c>
      <x:c r="R34" s="11" t="str">
        <x:v>模型初版</x:v>
      </x:c>
    </x:row>
    <x:row r="35" ht="23" customHeight="1">
      <x:c r="A35" s="11" t="str">
        <x:v>S029</x:v>
      </x:c>
      <x:c r="B35" s="11" t="str">
        <x:v>00013.HK</x:v>
      </x:c>
      <x:c r="C35" s="11" t="str">
        <x:v>和黄医药</x:v>
      </x:c>
      <x:c r="D35" s="11" t="str">
        <x:v>股票</x:v>
      </x:c>
      <x:c r="E35" s="11" t="str">
        <x:v>HKD</x:v>
      </x:c>
      <x:c r="F35" s="11" t="n">
        <x:v>21.74</x:v>
      </x:c>
      <x:c r="G35" s="11"/>
      <x:c r="H35" s="25"/>
      <x:c r="I35" s="11"/>
      <x:c r="J35" s="25"/>
      <x:c r="K35" s="11"/>
      <x:c r="L35" s="25"/>
      <x:c r="M35" s="11"/>
      <x:c r="N35" s="25"/>
      <x:c r="O35" s="11"/>
      <x:c r="P35" s="11"/>
      <x:c r="Q35" s="11"/>
      <x:c r="R35" s="11" t="str">
        <x:v>公司模型待完成</x:v>
      </x:c>
    </x:row>
    <x:row r="36" ht="23" customHeight="1">
      <x:c r="A36" s="11" t="str">
        <x:v>S030</x:v>
      </x:c>
      <x:c r="B36" s="11" t="str">
        <x:v>01093.HK</x:v>
      </x:c>
      <x:c r="C36" s="11" t="str">
        <x:v>石药集团</x:v>
      </x:c>
      <x:c r="D36" s="11" t="str">
        <x:v>股票</x:v>
      </x:c>
      <x:c r="E36" s="11" t="str">
        <x:v>HKD</x:v>
      </x:c>
      <x:c r="F36" s="11" t="n">
        <x:v>9.085</x:v>
      </x:c>
      <x:c r="G36" s="11" t="n">
        <x:f>'情景快照'!F172</x:f>
        <x:v>4.2951305564139695</x:v>
      </x:c>
      <x:c r="H36" s="25" t="n">
        <x:f>'情景快照'!H172</x:f>
        <x:v>-0.5272283372136523</x:v>
      </x:c>
      <x:c r="I36" s="11" t="n">
        <x:f>'情景快照'!F173</x:f>
        <x:v>9.295025441448976</x:v>
      </x:c>
      <x:c r="J36" s="25" t="n">
        <x:f>'情景快照'!H173</x:f>
        <x:v>0.02311782514573202</x:v>
      </x:c>
      <x:c r="K36" s="11" t="n">
        <x:f>'情景快照'!F174</x:f>
        <x:v>18.390425845856793</x:v>
      </x:c>
      <x:c r="L36" s="25" t="n">
        <x:f>'情景快照'!H174</x:f>
        <x:v>1.02426261374318</x:v>
      </x:c>
      <x:c r="M36" s="11" t="n">
        <x:f>G36*$T$4+I36*$U$4+K36*$V$4</x:f>
        <x:v>10.31890182129218</x:v>
      </x:c>
      <x:c r="N36" s="25" t="n">
        <x:f>M36/F36-1</x:f>
        <x:v>0.135817481705248</x:v>
      </x:c>
      <x:c r="O36" s="11" t="n">
        <x:f>G36*$T$7+I36*$U$7+K36*$V$7</x:f>
        <x:v>8.204607527875755</x:v>
      </x:c>
      <x:c r="P36" s="11" t="n">
        <x:f>G36*$T$10+I36*$U$10+K36*$V$10</x:f>
        <x:v>12.433196114708604</x:v>
      </x:c>
      <x:c r="Q36" s="11" t="str">
        <x:f>IF(AND('情景快照'!T172="已刷新",'情景快照'!T173="已刷新",'情景快照'!T174="已刷新"),"已刷新","待刷新")</x:f>
        <x:v>待刷新</x:v>
      </x:c>
      <x:c r="R36" s="11" t="str">
        <x:v>模型初版</x:v>
      </x:c>
    </x:row>
    <x:row r="37" ht="23" customHeight="1">
      <x:c r="A37" s="11" t="str">
        <x:v>S031</x:v>
      </x:c>
      <x:c r="B37" s="11" t="str">
        <x:v>02157.HK</x:v>
      </x:c>
      <x:c r="C37" s="11" t="str">
        <x:v>乐普生物</x:v>
      </x:c>
      <x:c r="D37" s="11" t="str">
        <x:v>股票</x:v>
      </x:c>
      <x:c r="E37" s="11" t="str">
        <x:v>HKD</x:v>
      </x:c>
      <x:c r="F37" s="11" t="n">
        <x:v>3.82</x:v>
      </x:c>
      <x:c r="G37" s="11"/>
      <x:c r="H37" s="25"/>
      <x:c r="I37" s="11"/>
      <x:c r="J37" s="25"/>
      <x:c r="K37" s="11"/>
      <x:c r="L37" s="25"/>
      <x:c r="M37" s="11"/>
      <x:c r="N37" s="25"/>
      <x:c r="O37" s="11"/>
      <x:c r="P37" s="11"/>
      <x:c r="Q37" s="11"/>
      <x:c r="R37" s="11" t="str">
        <x:v>公司模型待完成</x:v>
      </x:c>
    </x:row>
    <x:row r="38" ht="23" customHeight="1">
      <x:c r="A38" s="11" t="str">
        <x:v>S032</x:v>
      </x:c>
      <x:c r="B38" s="11" t="str">
        <x:v>02228.HK</x:v>
      </x:c>
      <x:c r="C38" s="11" t="str">
        <x:v>晶泰控股</x:v>
      </x:c>
      <x:c r="D38" s="11" t="str">
        <x:v>股票</x:v>
      </x:c>
      <x:c r="E38" s="11" t="str">
        <x:v>HKD</x:v>
      </x:c>
      <x:c r="F38" s="11" t="n">
        <x:v>6.985</x:v>
      </x:c>
      <x:c r="G38" s="11"/>
      <x:c r="H38" s="25"/>
      <x:c r="I38" s="11"/>
      <x:c r="J38" s="25"/>
      <x:c r="K38" s="11"/>
      <x:c r="L38" s="25"/>
      <x:c r="M38" s="11"/>
      <x:c r="N38" s="25"/>
      <x:c r="O38" s="11"/>
      <x:c r="P38" s="11"/>
      <x:c r="Q38" s="11"/>
      <x:c r="R38" s="11" t="str">
        <x:v>公司模型待完成</x:v>
      </x:c>
    </x:row>
    <x:row r="39" ht="23" customHeight="1">
      <x:c r="A39" s="11" t="str">
        <x:v>S033</x:v>
      </x:c>
      <x:c r="B39" s="11" t="str">
        <x:v>02607.HK</x:v>
      </x:c>
      <x:c r="C39" s="11" t="str">
        <x:v>上海医药</x:v>
      </x:c>
      <x:c r="D39" s="11" t="str">
        <x:v>股票</x:v>
      </x:c>
      <x:c r="E39" s="11" t="str">
        <x:v>HKD</x:v>
      </x:c>
      <x:c r="F39" s="11" t="n">
        <x:v>11.03</x:v>
      </x:c>
      <x:c r="G39" s="11" t="n">
        <x:f>'情景快照'!F622</x:f>
        <x:v>6.7925</x:v>
      </x:c>
      <x:c r="H39" s="25" t="n">
        <x:f>'情景快照'!H622</x:f>
        <x:v>-0.38417951042611054</x:v>
      </x:c>
      <x:c r="I39" s="11" t="n">
        <x:f>'情景快照'!F623</x:f>
        <x:v>11.407</x:v>
      </x:c>
      <x:c r="J39" s="25" t="n">
        <x:f>'情景快照'!H623</x:f>
        <x:v>0.03417951042611067</x:v>
      </x:c>
      <x:c r="K39" s="11" t="n">
        <x:f>'情景快照'!F624</x:f>
        <x:v>15.400000000000002</x:v>
      </x:c>
      <x:c r="L39" s="25" t="n">
        <x:f>'情景快照'!H624</x:f>
        <x:v>0.39619220308250247</x:v>
      </x:c>
      <x:c r="M39" s="11" t="n">
        <x:f>G39*$T$4+I39*$U$4+K39*$V$4</x:f>
        <x:v>11.251625</x:v>
      </x:c>
      <x:c r="N39" s="25" t="n">
        <x:f>M39/F39-1</x:f>
        <x:v>0.020092928377153374</x:v>
      </x:c>
      <x:c r="O39" s="11" t="n">
        <x:f>G39*$T$7+I39*$U$7+K39*$V$7</x:f>
        <x:v>9.960500000000001</x:v>
      </x:c>
      <x:c r="P39" s="11" t="n">
        <x:f>G39*$T$10+I39*$U$10+K39*$V$10</x:f>
        <x:v>12.542750000000002</x:v>
      </x:c>
      <x:c r="Q39" s="11" t="str">
        <x:f>IF(AND('情景快照'!T622="已刷新",'情景快照'!T623="已刷新",'情景快照'!T624="已刷新"),"已刷新","待刷新")</x:f>
        <x:v>已刷新</x:v>
      </x:c>
      <x:c r="R39" s="11" t="str">
        <x:v>模型初版</x:v>
      </x:c>
    </x:row>
    <x:row r="40" ht="23" customHeight="1">
      <x:c r="A40" s="11" t="str">
        <x:v>S034</x:v>
      </x:c>
      <x:c r="B40" s="11" t="str">
        <x:v>03692.HK</x:v>
      </x:c>
      <x:c r="C40" s="11" t="str">
        <x:v>翰森制药</x:v>
      </x:c>
      <x:c r="D40" s="11" t="str">
        <x:v>股票</x:v>
      </x:c>
      <x:c r="E40" s="11" t="str">
        <x:v>HKD</x:v>
      </x:c>
      <x:c r="F40" s="11" t="n">
        <x:v>31.54</x:v>
      </x:c>
      <x:c r="G40" s="11" t="n">
        <x:f>'情景快照'!F247</x:f>
        <x:v>22.28352411575563</x:v>
      </x:c>
      <x:c r="H40" s="25" t="n">
        <x:f>'情景快照'!H247</x:f>
        <x:v>-0.2934836995638672</x:v>
      </x:c>
      <x:c r="I40" s="11" t="n">
        <x:f>'情景快照'!F248</x:f>
        <x:v>36.9753322528363</x:v>
      </x:c>
      <x:c r="J40" s="25" t="n">
        <x:f>'情景快照'!H248</x:f>
        <x:v>0.17233139672911557</x:v>
      </x:c>
      <x:c r="K40" s="11" t="n">
        <x:f>'情景快照'!F249</x:f>
        <x:v>52.14017828200972</x:v>
      </x:c>
      <x:c r="L40" s="25" t="n">
        <x:f>'情景快照'!H249</x:f>
        <x:v>0.6531445238430476</x:v>
      </x:c>
      <x:c r="M40" s="11" t="n">
        <x:f>G40*$T$4+I40*$U$4+K40*$V$4</x:f>
        <x:v>37.09359172585949</x:v>
      </x:c>
      <x:c r="N40" s="25" t="n">
        <x:f>M40/F40-1</x:f>
        <x:v>0.17608090443435298</x:v>
      </x:c>
      <x:c r="O40" s="11" t="n">
        <x:f>G40*$T$7+I40*$U$7+K40*$V$7</x:f>
        <x:v>32.61509360092138</x:v>
      </x:c>
      <x:c r="P40" s="11" t="n">
        <x:f>G40*$T$10+I40*$U$10+K40*$V$10</x:f>
        <x:v>41.57208985079761</x:v>
      </x:c>
      <x:c r="Q40" s="11" t="str">
        <x:f>IF(AND('情景快照'!T247="已刷新",'情景快照'!T248="已刷新",'情景快照'!T249="已刷新"),"已刷新","待刷新")</x:f>
        <x:v>待刷新</x:v>
      </x:c>
      <x:c r="R40" s="11" t="str">
        <x:v>模型初版</x:v>
      </x:c>
    </x:row>
    <x:row r="41" ht="23" customHeight="1">
      <x:c r="A41" s="11" t="str">
        <x:v>S035</x:v>
      </x:c>
      <x:c r="B41" s="11" t="str">
        <x:v>02186.HK</x:v>
      </x:c>
      <x:c r="C41" s="11" t="str">
        <x:v>绿叶制药</x:v>
      </x:c>
      <x:c r="D41" s="11" t="str">
        <x:v>股票</x:v>
      </x:c>
      <x:c r="E41" s="11" t="str">
        <x:v>HKD</x:v>
      </x:c>
      <x:c r="F41" s="11" t="n">
        <x:v>1.73</x:v>
      </x:c>
      <x:c r="G41" s="11"/>
      <x:c r="H41" s="25"/>
      <x:c r="I41" s="11"/>
      <x:c r="J41" s="25"/>
      <x:c r="K41" s="11"/>
      <x:c r="L41" s="25"/>
      <x:c r="M41" s="11"/>
      <x:c r="N41" s="25"/>
      <x:c r="O41" s="11"/>
      <x:c r="P41" s="11"/>
      <x:c r="Q41" s="11"/>
      <x:c r="R41" s="11" t="str">
        <x:v>公司模型待完成</x:v>
      </x:c>
    </x:row>
    <x:row r="42" ht="23" customHeight="1">
      <x:c r="A42" s="11" t="str">
        <x:v>S036</x:v>
      </x:c>
      <x:c r="B42" s="11" t="str">
        <x:v>01177.HK</x:v>
      </x:c>
      <x:c r="C42" s="11" t="str">
        <x:v>中国生物制药</x:v>
      </x:c>
      <x:c r="D42" s="11" t="str">
        <x:v>股票</x:v>
      </x:c>
      <x:c r="E42" s="11" t="str">
        <x:v>HKD</x:v>
      </x:c>
      <x:c r="F42" s="11" t="n">
        <x:v>5.41</x:v>
      </x:c>
      <x:c r="G42" s="11" t="n">
        <x:f>'情景快照'!F652</x:f>
        <x:v>3.980326086956523</x:v>
      </x:c>
      <x:c r="H42" s="25" t="n">
        <x:f>'情景快照'!H652</x:f>
        <x:v>-0.26426504862171474</x:v>
      </x:c>
      <x:c r="I42" s="11" t="n">
        <x:f>'情景快照'!F653</x:f>
        <x:v>7.60825274725275</x:v>
      </x:c>
      <x:c r="J42" s="25" t="n">
        <x:f>'情景快照'!H653</x:f>
        <x:v>0.40633137657167273</x:v>
      </x:c>
      <x:c r="K42" s="11" t="n">
        <x:f>'情景快照'!F654</x:f>
        <x:v>12.259923076923078</x:v>
      </x:c>
      <x:c r="L42" s="25" t="n">
        <x:f>'情景快照'!H654</x:f>
        <x:v>1.2661595336271865</x:v>
      </x:c>
      <x:c r="M42" s="11" t="n">
        <x:f>G42*$T$4+I42*$U$4+K42*$V$4</x:f>
        <x:v>7.864188664596275</x:v>
      </x:c>
      <x:c r="N42" s="25" t="n">
        <x:f>M42/F42-1</x:f>
        <x:v>0.4536393095372042</x:v>
      </x:c>
      <x:c r="O42" s="11" t="n">
        <x:f>G42*$T$7+I42*$U$7+K42*$V$7</x:f>
        <x:v>6.622249116101292</x:v>
      </x:c>
      <x:c r="P42" s="11" t="n">
        <x:f>G42*$T$10+I42*$U$10+K42*$V$10</x:f>
        <x:v>9.106128213091258</x:v>
      </x:c>
      <x:c r="Q42" s="11" t="str">
        <x:f>IF(AND('情景快照'!T652="已刷新",'情景快照'!T653="已刷新",'情景快照'!T654="已刷新"),"已刷新","待刷新")</x:f>
        <x:v>已刷新</x:v>
      </x:c>
      <x:c r="R42" s="11" t="str">
        <x:v>模型初版</x:v>
      </x:c>
    </x:row>
    <x:row r="43" ht="23" customHeight="1">
      <x:c r="A43" s="11" t="str">
        <x:v>S037</x:v>
      </x:c>
      <x:c r="B43" s="11" t="str">
        <x:v>02359.HK</x:v>
      </x:c>
      <x:c r="C43" s="11" t="str">
        <x:v>药明康德</x:v>
      </x:c>
      <x:c r="D43" s="11" t="str">
        <x:v>股票</x:v>
      </x:c>
      <x:c r="E43" s="11" t="str">
        <x:v>HKD</x:v>
      </x:c>
      <x:c r="F43" s="11" t="n">
        <x:v>208</x:v>
      </x:c>
      <x:c r="G43" s="11" t="n">
        <x:f>'情景快照'!F727</x:f>
        <x:v>125.29000000000002</x:v>
      </x:c>
      <x:c r="H43" s="25" t="n">
        <x:f>'情景快照'!H727</x:f>
        <x:v>-0.3976442307692307</x:v>
      </x:c>
      <x:c r="I43" s="11" t="n">
        <x:f>'情景快照'!F728</x:f>
        <x:v>216.48</x:v>
      </x:c>
      <x:c r="J43" s="25" t="n">
        <x:f>'情景快照'!H728</x:f>
        <x:v>0.04076923076923067</x:v>
      </x:c>
      <x:c r="K43" s="11" t="n">
        <x:f>'情景快照'!F729</x:f>
        <x:v>306.90000000000003</x:v>
      </x:c>
      <x:c r="L43" s="25" t="n">
        <x:f>'情景快照'!H729</x:f>
        <x:v>0.47548076923076943</x:v>
      </x:c>
      <x:c r="M43" s="11" t="n">
        <x:f>G43*$T$4+I43*$U$4+K43*$V$4</x:f>
        <x:v>216.28750000000002</x:v>
      </x:c>
      <x:c r="N43" s="25" t="n">
        <x:f>M43/F43-1</x:f>
        <x:v>0.03984375000000018</x:v>
      </x:c>
      <x:c r="O43" s="11" t="n">
        <x:f>G43*$T$7+I43*$U$7+K43*$V$7</x:f>
        <x:v>189.046</x:v>
      </x:c>
      <x:c r="P43" s="11" t="n">
        <x:f>G43*$T$10+I43*$U$10+K43*$V$10</x:f>
        <x:v>243.52900000000002</x:v>
      </x:c>
      <x:c r="Q43" s="11" t="str">
        <x:f>IF(AND('情景快照'!T727="已刷新",'情景快照'!T728="已刷新",'情景快照'!T729="已刷新"),"已刷新","待刷新")</x:f>
        <x:v>已刷新</x:v>
      </x:c>
      <x:c r="R43" s="11" t="str">
        <x:v>模型初版</x:v>
      </x:c>
    </x:row>
    <x:row r="44" ht="23" customHeight="1">
      <x:c r="A44" s="11" t="str">
        <x:v>S038</x:v>
      </x:c>
      <x:c r="B44" s="11" t="str">
        <x:v>00512.HK</x:v>
      </x:c>
      <x:c r="C44" s="11" t="str">
        <x:v>远大医药</x:v>
      </x:c>
      <x:c r="D44" s="11" t="str">
        <x:v>股票</x:v>
      </x:c>
      <x:c r="E44" s="11" t="str">
        <x:v>HKD</x:v>
      </x:c>
      <x:c r="F44" s="11" t="n">
        <x:v>4.74</x:v>
      </x:c>
      <x:c r="G44" s="11"/>
      <x:c r="H44" s="25"/>
      <x:c r="I44" s="11"/>
      <x:c r="J44" s="25"/>
      <x:c r="K44" s="11"/>
      <x:c r="L44" s="25"/>
      <x:c r="M44" s="11"/>
      <x:c r="N44" s="25"/>
      <x:c r="O44" s="11"/>
      <x:c r="P44" s="11"/>
      <x:c r="Q44" s="11"/>
      <x:c r="R44" s="11" t="str">
        <x:v>公司模型待完成</x:v>
      </x:c>
    </x:row>
    <x:row r="45" ht="23" customHeight="1">
      <x:c r="A45" s="11" t="str">
        <x:v>S039</x:v>
      </x:c>
      <x:c r="B45" s="11" t="str">
        <x:v>02096.HK</x:v>
      </x:c>
      <x:c r="C45" s="11" t="str">
        <x:v>先声药业</x:v>
      </x:c>
      <x:c r="D45" s="11" t="str">
        <x:v>股票</x:v>
      </x:c>
      <x:c r="E45" s="11" t="str">
        <x:v>HKD</x:v>
      </x:c>
      <x:c r="F45" s="11" t="n">
        <x:v>10.89</x:v>
      </x:c>
      <x:c r="G45" s="11" t="n">
        <x:f>'情景快照'!F637</x:f>
        <x:v>3.410664551724138</x:v>
      </x:c>
      <x:c r="H45" s="25" t="n">
        <x:f>'情景快照'!H637</x:f>
        <x:v>-0.6868076628352491</x:v>
      </x:c>
      <x:c r="I45" s="11" t="n">
        <x:f>'情景快照'!F638</x:f>
        <x:v>13.328945142857144</x:v>
      </x:c>
      <x:c r="J45" s="25" t="n">
        <x:f>'情景快照'!H638</x:f>
        <x:v>0.2239619047619048</x:v>
      </x:c>
      <x:c r="K45" s="11" t="n">
        <x:f>'情景快照'!F639</x:f>
        <x:v>17.62450671155039</x:v>
      </x:c>
      <x:c r="L45" s="25" t="n">
        <x:f>'情景快照'!H639</x:f>
        <x:v>0.6184120028971889</x:v>
      </x:c>
      <x:c r="M45" s="11" t="n">
        <x:f>G45*$T$4+I45*$U$4+K45*$V$4</x:f>
        <x:v>11.923265387247204</x:v>
      </x:c>
      <x:c r="N45" s="25" t="n">
        <x:f>M45/F45-1</x:f>
        <x:v>0.09488203739643741</x:v>
      </x:c>
      <x:c r="O45" s="11" t="n">
        <x:f>G45*$T$7+I45*$U$7+K45*$V$7</x:f>
        <x:v>9.791189063273267</x:v>
      </x:c>
      <x:c r="P45" s="11" t="n">
        <x:f>G45*$T$10+I45*$U$10+K45*$V$10</x:f>
        <x:v>14.055341711221143</x:v>
      </x:c>
      <x:c r="Q45" s="11" t="str">
        <x:f>IF(AND('情景快照'!T637="已刷新",'情景快照'!T638="已刷新",'情景快照'!T639="已刷新"),"已刷新","待刷新")</x:f>
        <x:v>已刷新</x:v>
      </x:c>
      <x:c r="R45" s="11" t="str">
        <x:v>模型初版</x:v>
      </x:c>
    </x:row>
    <x:row r="46" ht="23" customHeight="1">
      <x:c r="A46" s="11" t="str">
        <x:v>S040</x:v>
      </x:c>
      <x:c r="B46" s="11" t="str">
        <x:v>02269.HK</x:v>
      </x:c>
      <x:c r="C46" s="11" t="str">
        <x:v>药明生物</x:v>
      </x:c>
      <x:c r="D46" s="11" t="str">
        <x:v>股票</x:v>
      </x:c>
      <x:c r="E46" s="11" t="str">
        <x:v>HKD</x:v>
      </x:c>
      <x:c r="F46" s="11" t="n">
        <x:v>53.85</x:v>
      </x:c>
      <x:c r="G46" s="11" t="n">
        <x:f>'情景快照'!F742</x:f>
        <x:v>36.63000000000001</x:v>
      </x:c>
      <x:c r="H46" s="25" t="n">
        <x:f>'情景快照'!H742</x:f>
        <x:v>-0.31977715877437307</x:v>
      </x:c>
      <x:c r="I46" s="11" t="n">
        <x:f>'情景快照'!F743</x:f>
        <x:v>55.66</x:v>
      </x:c>
      <x:c r="J46" s="25" t="n">
        <x:f>'情景快照'!H743</x:f>
        <x:v>0.03361188486536659</x:v>
      </x:c>
      <x:c r="K46" s="11" t="n">
        <x:f>'情景快照'!F744</x:f>
        <x:v>72.875</x:v>
      </x:c>
      <x:c r="L46" s="25" t="n">
        <x:f>'情景快照'!H744</x:f>
        <x:v>0.35329619312906213</x:v>
      </x:c>
      <x:c r="M46" s="11" t="n">
        <x:f>G46*$T$4+I46*$U$4+K46*$V$4</x:f>
        <x:v>55.20625</x:v>
      </x:c>
      <x:c r="N46" s="25" t="n">
        <x:f>M46/F46-1</x:f>
        <x:v>0.025185701021355644</x:v>
      </x:c>
      <x:c r="O46" s="11" t="n">
        <x:f>G46*$T$7+I46*$U$7+K46*$V$7</x:f>
        <x:v>49.7695</x:v>
      </x:c>
      <x:c r="P46" s="11" t="n">
        <x:f>G46*$T$10+I46*$U$10+K46*$V$10</x:f>
        <x:v>60.643</x:v>
      </x:c>
      <x:c r="Q46" s="11" t="str">
        <x:f>IF(AND('情景快照'!T742="已刷新",'情景快照'!T743="已刷新",'情景快照'!T744="已刷新"),"已刷新","待刷新")</x:f>
        <x:v>已刷新</x:v>
      </x:c>
      <x:c r="R46" s="11" t="str">
        <x:v>模型初版</x:v>
      </x:c>
    </x:row>
    <x:row r="47" ht="23" customHeight="1">
      <x:c r="A47" s="11" t="str">
        <x:v>S041</x:v>
      </x:c>
      <x:c r="B47" s="11" t="str">
        <x:v>01548.HK</x:v>
      </x:c>
      <x:c r="C47" s="11" t="str">
        <x:v>金斯瑞生物科技</x:v>
      </x:c>
      <x:c r="D47" s="11" t="str">
        <x:v>股票</x:v>
      </x:c>
      <x:c r="E47" s="11" t="str">
        <x:v>HKD</x:v>
      </x:c>
      <x:c r="F47" s="11" t="n">
        <x:v>42.4</x:v>
      </x:c>
      <x:c r="G47" s="11" t="n">
        <x:f>'情景快照'!F217</x:f>
        <x:v>9.212140796046072</x:v>
      </x:c>
      <x:c r="H47" s="25" t="n">
        <x:f>'情景快照'!H217</x:f>
        <x:v>-0.7827325283951398</x:v>
      </x:c>
      <x:c r="I47" s="11" t="n">
        <x:f>'情景快照'!F218</x:f>
        <x:v>33.820189688815226</x:v>
      </x:c>
      <x:c r="J47" s="25" t="n">
        <x:f>'情景快照'!H218</x:f>
        <x:v>-0.20235401677322573</x:v>
      </x:c>
      <x:c r="K47" s="11" t="n">
        <x:f>'情景快照'!F219</x:f>
        <x:v>67.81099735839203</x:v>
      </x:c>
      <x:c r="L47" s="25" t="n">
        <x:f>'情景快照'!H219</x:f>
        <x:v>0.5993159754337742</x:v>
      </x:c>
      <x:c r="M47" s="11" t="n">
        <x:f>G47*$T$4+I47*$U$4+K47*$V$4</x:f>
        <x:v>36.16587938301714</x:v>
      </x:c>
      <x:c r="N47" s="25" t="n">
        <x:f>M47/F47-1</x:f>
        <x:v>-0.14703114662695416</x:v>
      </x:c>
      <x:c r="O47" s="11" t="n">
        <x:f>G47*$T$7+I47*$U$7+K47*$V$7</x:f>
        <x:v>27.376050898665245</x:v>
      </x:c>
      <x:c r="P47" s="11" t="n">
        <x:f>G47*$T$10+I47*$U$10+K47*$V$10</x:f>
        <x:v>44.95570786736903</x:v>
      </x:c>
      <x:c r="Q47" s="11" t="str">
        <x:f>IF(AND('情景快照'!T217="已刷新",'情景快照'!T218="已刷新",'情景快照'!T219="已刷新"),"已刷新","待刷新")</x:f>
        <x:v>已刷新</x:v>
      </x:c>
      <x:c r="R47" s="11" t="str">
        <x:v>模型初版</x:v>
      </x:c>
    </x:row>
    <x:row r="48" ht="23" customHeight="1">
      <x:c r="A48" s="11" t="str">
        <x:v>S042</x:v>
      </x:c>
      <x:c r="B48" s="11" t="str">
        <x:v>01513.HK</x:v>
      </x:c>
      <x:c r="C48" s="11" t="str">
        <x:v>丽珠医药</x:v>
      </x:c>
      <x:c r="D48" s="11" t="str">
        <x:v>股票</x:v>
      </x:c>
      <x:c r="E48" s="11" t="str">
        <x:v>HKD</x:v>
      </x:c>
      <x:c r="F48" s="11" t="n">
        <x:v>22.16</x:v>
      </x:c>
      <x:c r="G48" s="11" t="n">
        <x:f>'情景快照'!F457</x:f>
        <x:v>14.080000000000002</x:v>
      </x:c>
      <x:c r="H48" s="25" t="n">
        <x:f>'情景快照'!H457</x:f>
        <x:v>-0.3646209386281588</x:v>
      </x:c>
      <x:c r="I48" s="11" t="n">
        <x:f>'情景快照'!F458</x:f>
        <x:v>22.5225</x:v>
      </x:c>
      <x:c r="J48" s="25" t="n">
        <x:f>'情景快照'!H458</x:f>
        <x:v>0.016358303249097483</x:v>
      </x:c>
      <x:c r="K48" s="11" t="n">
        <x:f>'情景快照'!F459</x:f>
        <x:v>31.460000000000004</x:v>
      </x:c>
      <x:c r="L48" s="25" t="n">
        <x:f>'情景快照'!H459</x:f>
        <x:v>0.41967509025270777</x:v>
      </x:c>
      <x:c r="M48" s="11" t="n">
        <x:f>G48*$T$4+I48*$U$4+K48*$V$4</x:f>
        <x:v>22.646250000000002</x:v>
      </x:c>
      <x:c r="N48" s="25" t="n">
        <x:f>M48/F48-1</x:f>
        <x:v>0.02194268953068601</x:v>
      </x:c>
      <x:c r="O48" s="11" t="n">
        <x:f>G48*$T$7+I48*$U$7+K48*$V$7</x:f>
        <x:v>20.039250000000003</x:v>
      </x:c>
      <x:c r="P48" s="11" t="n">
        <x:f>G48*$T$10+I48*$U$10+K48*$V$10</x:f>
        <x:v>25.253250000000005</x:v>
      </x:c>
      <x:c r="Q48" s="11" t="str">
        <x:f>IF(AND('情景快照'!T457="已刷新",'情景快照'!T458="已刷新",'情景快照'!T459="已刷新"),"已刷新","待刷新")</x:f>
        <x:v>已刷新</x:v>
      </x:c>
      <x:c r="R48" s="11" t="str">
        <x:v>模型初版</x:v>
      </x:c>
    </x:row>
    <x:row r="49" ht="23" customHeight="1">
      <x:c r="A49" s="11" t="str">
        <x:v>S043</x:v>
      </x:c>
      <x:c r="B49" s="11" t="str">
        <x:v>06160.HK</x:v>
      </x:c>
      <x:c r="C49" s="11" t="str">
        <x:v>百济神州</x:v>
      </x:c>
      <x:c r="D49" s="11" t="str">
        <x:v>股票</x:v>
      </x:c>
      <x:c r="E49" s="11" t="str">
        <x:v>HKD</x:v>
      </x:c>
      <x:c r="F49" s="11" t="n">
        <x:v>209.6</x:v>
      </x:c>
      <x:c r="G49" s="11" t="n">
        <x:f>'情景快照'!F112</x:f>
        <x:v>87.31000000000009</x:v>
      </x:c>
      <x:c r="H49" s="25" t="n">
        <x:f>'情景快照'!H112</x:f>
        <x:v>-0.5834446564885492</x:v>
      </x:c>
      <x:c r="I49" s="11" t="n">
        <x:f>'情景快照'!F113</x:f>
        <x:v>247.59144935064924</x:v>
      </x:c>
      <x:c r="J49" s="25" t="n">
        <x:f>'情景快照'!H113</x:f>
        <x:v>0.1812569148408838</x:v>
      </x:c>
      <x:c r="K49" s="11" t="n">
        <x:f>'情景快照'!F114</x:f>
        <x:v>439.9964705882352</x:v>
      </x:c>
      <x:c r="L49" s="25" t="n">
        <x:f>'情景快照'!H114</x:f>
        <x:v>1.0992198024247863</x:v>
      </x:c>
      <x:c r="M49" s="11" t="n">
        <x:f>G49*$T$4+I49*$U$4+K49*$V$4</x:f>
        <x:v>255.62234232238345</x:v>
      </x:c>
      <x:c r="N49" s="25" t="n">
        <x:f>M49/F49-1</x:f>
        <x:v>0.21957224390450114</x:v>
      </x:c>
      <x:c r="O49" s="11" t="n">
        <x:f>G49*$T$7+I49*$U$7+K49*$V$7</x:f>
        <x:v>202.71937173414815</x:v>
      </x:c>
      <x:c r="P49" s="11" t="n">
        <x:f>G49*$T$10+I49*$U$10+K49*$V$10</x:f>
        <x:v>308.5253129106187</x:v>
      </x:c>
      <x:c r="Q49" s="11" t="str">
        <x:f>IF(AND('情景快照'!T112="已刷新",'情景快照'!T113="已刷新",'情景快照'!T114="已刷新"),"已刷新","待刷新")</x:f>
        <x:v>已刷新</x:v>
      </x:c>
      <x:c r="R49" s="11" t="str">
        <x:v>模型初版</x:v>
      </x:c>
    </x:row>
    <x:row r="50" ht="23" customHeight="1">
      <x:c r="A50" s="11" t="str">
        <x:v>S044</x:v>
      </x:c>
      <x:c r="B50" s="11" t="str">
        <x:v>02511.HK</x:v>
      </x:c>
      <x:c r="C50" s="11" t="str">
        <x:v>君圣泰医药-B</x:v>
      </x:c>
      <x:c r="D50" s="11" t="str">
        <x:v>股票</x:v>
      </x:c>
      <x:c r="E50" s="11" t="str">
        <x:v>HKD</x:v>
      </x:c>
      <x:c r="F50" s="11" t="n">
        <x:v>3.425</x:v>
      </x:c>
      <x:c r="G50" s="11"/>
      <x:c r="H50" s="25"/>
      <x:c r="I50" s="11"/>
      <x:c r="J50" s="25"/>
      <x:c r="K50" s="11"/>
      <x:c r="L50" s="25"/>
      <x:c r="M50" s="11"/>
      <x:c r="N50" s="25"/>
      <x:c r="O50" s="11"/>
      <x:c r="P50" s="11"/>
      <x:c r="Q50" s="11"/>
      <x:c r="R50" s="11" t="str">
        <x:v>公司模型待完成</x:v>
      </x:c>
    </x:row>
    <x:row r="51" ht="23" customHeight="1">
      <x:c r="A51" s="11" t="str">
        <x:v>S045</x:v>
      </x:c>
      <x:c r="B51" s="11" t="str">
        <x:v>09939.HK</x:v>
      </x:c>
      <x:c r="C51" s="11" t="str">
        <x:v>开拓药业-B</x:v>
      </x:c>
      <x:c r="D51" s="11" t="str">
        <x:v>股票</x:v>
      </x:c>
      <x:c r="E51" s="11" t="str">
        <x:v>HKD</x:v>
      </x:c>
      <x:c r="F51" s="11" t="n">
        <x:v>1.635</x:v>
      </x:c>
      <x:c r="G51" s="11"/>
      <x:c r="H51" s="25"/>
      <x:c r="I51" s="11"/>
      <x:c r="J51" s="25"/>
      <x:c r="K51" s="11"/>
      <x:c r="L51" s="25"/>
      <x:c r="M51" s="11"/>
      <x:c r="N51" s="25"/>
      <x:c r="O51" s="11"/>
      <x:c r="P51" s="11"/>
      <x:c r="Q51" s="11"/>
      <x:c r="R51" s="11" t="str">
        <x:v>公司模型待完成</x:v>
      </x:c>
    </x:row>
    <x:row r="52" ht="23" customHeight="1">
      <x:c r="A52" s="11" t="str">
        <x:v>S046</x:v>
      </x:c>
      <x:c r="B52" s="11" t="str">
        <x:v>09688.HK</x:v>
      </x:c>
      <x:c r="C52" s="11" t="str">
        <x:v>再鼎医药</x:v>
      </x:c>
      <x:c r="D52" s="11" t="str">
        <x:v>股票</x:v>
      </x:c>
      <x:c r="E52" s="11" t="str">
        <x:v>HKD</x:v>
      </x:c>
      <x:c r="F52" s="11" t="n">
        <x:v>19.25</x:v>
      </x:c>
      <x:c r="G52" s="11"/>
      <x:c r="H52" s="25"/>
      <x:c r="I52" s="11"/>
      <x:c r="J52" s="25"/>
      <x:c r="K52" s="11"/>
      <x:c r="L52" s="25"/>
      <x:c r="M52" s="11"/>
      <x:c r="N52" s="25"/>
      <x:c r="O52" s="11"/>
      <x:c r="P52" s="11"/>
      <x:c r="Q52" s="11"/>
      <x:c r="R52" s="11" t="str">
        <x:v>公司模型待完成</x:v>
      </x:c>
    </x:row>
    <x:row r="53" ht="23" customHeight="1">
      <x:c r="A53" s="11" t="str">
        <x:v>S047</x:v>
      </x:c>
      <x:c r="B53" s="11" t="str">
        <x:v>01952.HK</x:v>
      </x:c>
      <x:c r="C53" s="11" t="str">
        <x:v>云顶新耀</x:v>
      </x:c>
      <x:c r="D53" s="11" t="str">
        <x:v>股票</x:v>
      </x:c>
      <x:c r="E53" s="11" t="str">
        <x:v>HKD</x:v>
      </x:c>
      <x:c r="F53" s="11" t="n">
        <x:v>29.6</x:v>
      </x:c>
      <x:c r="G53" s="11"/>
      <x:c r="H53" s="25"/>
      <x:c r="I53" s="11"/>
      <x:c r="J53" s="25"/>
      <x:c r="K53" s="11"/>
      <x:c r="L53" s="25"/>
      <x:c r="M53" s="11"/>
      <x:c r="N53" s="25"/>
      <x:c r="O53" s="11"/>
      <x:c r="P53" s="11"/>
      <x:c r="Q53" s="11"/>
      <x:c r="R53" s="11" t="str">
        <x:v>公司模型待完成</x:v>
      </x:c>
    </x:row>
    <x:row r="54" ht="23" customHeight="1">
      <x:c r="A54" s="11" t="str">
        <x:v>S048</x:v>
      </x:c>
      <x:c r="B54" s="11" t="str">
        <x:v>09969.HK</x:v>
      </x:c>
      <x:c r="C54" s="11" t="str">
        <x:v>诺诚健华</x:v>
      </x:c>
      <x:c r="D54" s="11" t="str">
        <x:v>股票</x:v>
      </x:c>
      <x:c r="E54" s="11" t="str">
        <x:v>HKD</x:v>
      </x:c>
      <x:c r="F54" s="11" t="n">
        <x:v>12.73</x:v>
      </x:c>
      <x:c r="G54" s="11"/>
      <x:c r="H54" s="25"/>
      <x:c r="I54" s="11"/>
      <x:c r="J54" s="25"/>
      <x:c r="K54" s="11"/>
      <x:c r="L54" s="25"/>
      <x:c r="M54" s="11"/>
      <x:c r="N54" s="25"/>
      <x:c r="O54" s="11"/>
      <x:c r="P54" s="11"/>
      <x:c r="Q54" s="11"/>
      <x:c r="R54" s="11" t="str">
        <x:v>公司模型待完成</x:v>
      </x:c>
    </x:row>
    <x:row r="55" ht="23" customHeight="1">
      <x:c r="A55" s="11" t="str">
        <x:v>S049</x:v>
      </x:c>
      <x:c r="B55" s="11" t="str">
        <x:v>06185.HK</x:v>
      </x:c>
      <x:c r="C55" s="11" t="str">
        <x:v>康希诺生物</x:v>
      </x:c>
      <x:c r="D55" s="11" t="str">
        <x:v>股票</x:v>
      </x:c>
      <x:c r="E55" s="11" t="str">
        <x:v>HKD</x:v>
      </x:c>
      <x:c r="F55" s="11" t="n">
        <x:v>35.02</x:v>
      </x:c>
      <x:c r="G55" s="11"/>
      <x:c r="H55" s="25"/>
      <x:c r="I55" s="11"/>
      <x:c r="J55" s="25"/>
      <x:c r="K55" s="11"/>
      <x:c r="L55" s="25"/>
      <x:c r="M55" s="11"/>
      <x:c r="N55" s="25"/>
      <x:c r="O55" s="11"/>
      <x:c r="P55" s="11"/>
      <x:c r="Q55" s="11"/>
      <x:c r="R55" s="11" t="str">
        <x:v>公司模型待完成</x:v>
      </x:c>
    </x:row>
    <x:row r="56" ht="23" customHeight="1">
      <x:c r="A56" s="11" t="str">
        <x:v>S050</x:v>
      </x:c>
      <x:c r="B56" s="11" t="str">
        <x:v>02196.HK</x:v>
      </x:c>
      <x:c r="C56" s="11" t="str">
        <x:v>复星医药</x:v>
      </x:c>
      <x:c r="D56" s="11" t="str">
        <x:v>股票</x:v>
      </x:c>
      <x:c r="E56" s="11" t="str">
        <x:v>HKD</x:v>
      </x:c>
      <x:c r="F56" s="11" t="n">
        <x:v>17.87</x:v>
      </x:c>
      <x:c r="G56" s="11" t="n">
        <x:f>'情景快照'!F202</x:f>
        <x:v>10.30423076259469</x:v>
      </x:c>
      <x:c r="H56" s="25" t="n">
        <x:f>'情景快照'!H202</x:f>
        <x:v>-0.42337824495832743</x:v>
      </x:c>
      <x:c r="I56" s="11" t="n">
        <x:f>'情景快照'!F203</x:f>
        <x:v>18.630468716860747</x:v>
      </x:c>
      <x:c r="J56" s="25" t="n">
        <x:f>'情景快照'!H203</x:f>
        <x:v>0.04255560810636516</x:v>
      </x:c>
      <x:c r="K56" s="11" t="n">
        <x:f>'情景快照'!F204</x:f>
        <x:v>27.233598477653047</x:v>
      </x:c>
      <x:c r="L56" s="25" t="n">
        <x:f>'情景快照'!H204</x:f>
        <x:v>0.5239842460913848</x:v>
      </x:c>
      <x:c r="M56" s="11" t="n">
        <x:f>G56*$T$4+I56*$U$4+K56*$V$4</x:f>
        <x:v>18.699691668492306</x:v>
      </x:c>
      <x:c r="N56" s="25" t="n">
        <x:f>M56/F56-1</x:f>
        <x:v>0.046429304336446764</x:v>
      </x:c>
      <x:c r="O56" s="11" t="n">
        <x:f>G56*$T$7+I56*$U$7+K56*$V$7</x:f>
        <x:v>16.160286511233554</x:v>
      </x:c>
      <x:c r="P56" s="11" t="n">
        <x:f>G56*$T$10+I56*$U$10+K56*$V$10</x:f>
        <x:v>21.239096825751062</x:v>
      </x:c>
      <x:c r="Q56" s="11" t="str">
        <x:f>IF(AND('情景快照'!T202="已刷新",'情景快照'!T203="已刷新",'情景快照'!T204="已刷新"),"已刷新","待刷新")</x:f>
        <x:v>已刷新</x:v>
      </x:c>
      <x:c r="R56" s="11" t="str">
        <x:v>模型初版</x:v>
      </x:c>
    </x:row>
    <x:row r="57" ht="23" customHeight="1">
      <x:c r="A57" s="11" t="str">
        <x:v>S051</x:v>
      </x:c>
      <x:c r="B57" s="11" t="str">
        <x:v>03347.HK</x:v>
      </x:c>
      <x:c r="C57" s="11" t="str">
        <x:v>泰格医药</x:v>
      </x:c>
      <x:c r="D57" s="11" t="str">
        <x:v>股票</x:v>
      </x:c>
      <x:c r="E57" s="11" t="str">
        <x:v>HKD</x:v>
      </x:c>
      <x:c r="F57" s="11" t="n">
        <x:v>44.56</x:v>
      </x:c>
      <x:c r="G57" s="11"/>
      <x:c r="H57" s="25"/>
      <x:c r="I57" s="11"/>
      <x:c r="J57" s="25"/>
      <x:c r="K57" s="11"/>
      <x:c r="L57" s="25"/>
      <x:c r="M57" s="11"/>
      <x:c r="N57" s="25"/>
      <x:c r="O57" s="11"/>
      <x:c r="P57" s="11"/>
      <x:c r="Q57" s="11"/>
      <x:c r="R57" s="11" t="str">
        <x:v>公司模型待完成</x:v>
      </x:c>
    </x:row>
    <x:row r="58" ht="23" customHeight="1">
      <x:c r="A58" s="11" t="str">
        <x:v>S052</x:v>
      </x:c>
      <x:c r="B58" s="11" t="str">
        <x:v>06127.HK</x:v>
      </x:c>
      <x:c r="C58" s="11" t="str">
        <x:v>昭衍新药</x:v>
      </x:c>
      <x:c r="D58" s="11" t="str">
        <x:v>股票</x:v>
      </x:c>
      <x:c r="E58" s="11" t="str">
        <x:v>HKD</x:v>
      </x:c>
      <x:c r="F58" s="11" t="n">
        <x:v>31.32</x:v>
      </x:c>
      <x:c r="G58" s="11"/>
      <x:c r="H58" s="25"/>
      <x:c r="I58" s="11"/>
      <x:c r="J58" s="25"/>
      <x:c r="K58" s="11"/>
      <x:c r="L58" s="25"/>
      <x:c r="M58" s="11"/>
      <x:c r="N58" s="25"/>
      <x:c r="O58" s="11"/>
      <x:c r="P58" s="11"/>
      <x:c r="Q58" s="11"/>
      <x:c r="R58" s="11" t="str">
        <x:v>公司模型待完成</x:v>
      </x:c>
    </x:row>
    <x:row r="59" ht="23" customHeight="1">
      <x:c r="A59" s="11" t="str">
        <x:v>S053</x:v>
      </x:c>
      <x:c r="B59" s="11" t="str">
        <x:v>01877.HK</x:v>
      </x:c>
      <x:c r="C59" s="11" t="str">
        <x:v>君实生物</x:v>
      </x:c>
      <x:c r="D59" s="11" t="str">
        <x:v>股票</x:v>
      </x:c>
      <x:c r="E59" s="11" t="str">
        <x:v>HKD</x:v>
      </x:c>
      <x:c r="F59" s="11" t="n">
        <x:v>17.65</x:v>
      </x:c>
      <x:c r="G59" s="11"/>
      <x:c r="H59" s="25"/>
      <x:c r="I59" s="11"/>
      <x:c r="J59" s="25"/>
      <x:c r="K59" s="11"/>
      <x:c r="L59" s="25"/>
      <x:c r="M59" s="11"/>
      <x:c r="N59" s="25"/>
      <x:c r="O59" s="11"/>
      <x:c r="P59" s="11"/>
      <x:c r="Q59" s="11"/>
      <x:c r="R59" s="11" t="str">
        <x:v>公司模型待完成</x:v>
      </x:c>
    </x:row>
    <x:row r="60" ht="23" customHeight="1">
      <x:c r="A60" s="11" t="str">
        <x:v>S054</x:v>
      </x:c>
      <x:c r="B60" s="11" t="str">
        <x:v>02162.HK</x:v>
      </x:c>
      <x:c r="C60" s="11" t="str">
        <x:v>康诺亚-B</x:v>
      </x:c>
      <x:c r="D60" s="11" t="str">
        <x:v>股票</x:v>
      </x:c>
      <x:c r="E60" s="11" t="str">
        <x:v>HKD</x:v>
      </x:c>
      <x:c r="F60" s="11" t="n">
        <x:v>78.3</x:v>
      </x:c>
      <x:c r="G60" s="11" t="n">
        <x:f>'情景快照'!F397</x:f>
        <x:v>54.079427146870316</x:v>
      </x:c>
      <x:c r="H60" s="25" t="n">
        <x:f>'情景快照'!H397</x:f>
        <x:v>-0.3093304323515924</x:v>
      </x:c>
      <x:c r="I60" s="11" t="n">
        <x:f>'情景快照'!F398</x:f>
        <x:v>75.19773620630427</x:v>
      </x:c>
      <x:c r="J60" s="25" t="n">
        <x:f>'情景快照'!H398</x:f>
        <x:v>-0.039620227250264706</x:v>
      </x:c>
      <x:c r="K60" s="11" t="n">
        <x:f>'情景快照'!F399</x:f>
        <x:v>123.61773893278632</x:v>
      </x:c>
      <x:c r="L60" s="25" t="n">
        <x:f>'情景快照'!H399</x:f>
        <x:v>0.5787706121684077</x:v>
      </x:c>
      <x:c r="M60" s="11" t="n">
        <x:f>G60*$T$4+I60*$U$4+K60*$V$4</x:f>
        <x:v>82.02315962306629</x:v>
      </x:c>
      <x:c r="N60" s="25" t="n">
        <x:f>M60/F60-1</x:f>
        <x:v>0.04754993132907148</x:v>
      </x:c>
      <x:c r="O60" s="11" t="n">
        <x:f>G60*$T$7+I60*$U$7+K60*$V$7</x:f>
        <x:v>71.59241285517889</x:v>
      </x:c>
      <x:c r="P60" s="11" t="n">
        <x:f>G60*$T$10+I60*$U$10+K60*$V$10</x:f>
        <x:v>92.4539063909537</x:v>
      </x:c>
      <x:c r="Q60" s="11" t="str">
        <x:f>IF(AND('情景快照'!T397="已刷新",'情景快照'!T398="已刷新",'情景快照'!T399="已刷新"),"已刷新","待刷新")</x:f>
        <x:v>已刷新</x:v>
      </x:c>
      <x:c r="R60" s="11" t="str">
        <x:v>模型初版</x:v>
      </x:c>
    </x:row>
    <x:row r="61" ht="23" customHeight="1">
      <x:c r="A61" s="11" t="str">
        <x:v>S055</x:v>
      </x:c>
      <x:c r="B61" s="11" t="str">
        <x:v>01801.HK</x:v>
      </x:c>
      <x:c r="C61" s="11" t="str">
        <x:v>信达生物</x:v>
      </x:c>
      <x:c r="D61" s="11" t="str">
        <x:v>股票</x:v>
      </x:c>
      <x:c r="E61" s="11" t="str">
        <x:v>HKD</x:v>
      </x:c>
      <x:c r="F61" s="11" t="n">
        <x:v>92.65</x:v>
      </x:c>
      <x:c r="G61" s="11" t="n">
        <x:f>'情景快照'!F322</x:f>
        <x:v>47.52000000000001</x:v>
      </x:c>
      <x:c r="H61" s="25" t="n">
        <x:f>'情景快照'!H322</x:f>
        <x:v>-0.4871019967620075</x:v>
      </x:c>
      <x:c r="I61" s="11" t="n">
        <x:f>'情景快照'!F323</x:f>
        <x:v>102.30000000000003</x:v>
      </x:c>
      <x:c r="J61" s="25" t="n">
        <x:f>'情景快照'!H323</x:f>
        <x:v>0.10415542363734498</x:v>
      </x:c>
      <x:c r="K61" s="11" t="n">
        <x:f>'情景快照'!F324</x:f>
        <x:v>166.87</x:v>
      </x:c>
      <x:c r="L61" s="25" t="n">
        <x:f>'情景快照'!H324</x:f>
        <x:v>0.8010793308148947</x:v>
      </x:c>
      <x:c r="M61" s="11" t="n">
        <x:f>G61*$T$4+I61*$U$4+K61*$V$4</x:f>
        <x:v>104.74750000000002</x:v>
      </x:c>
      <x:c r="N61" s="25" t="n">
        <x:f>M61/F61-1</x:f>
        <x:v>0.13057204533189437</x:v>
      </x:c>
      <x:c r="O61" s="11" t="n">
        <x:f>G61*$T$7+I61*$U$7+K61*$V$7</x:f>
        <x:v>86.84500000000001</x:v>
      </x:c>
      <x:c r="P61" s="11" t="n">
        <x:f>G61*$T$10+I61*$U$10+K61*$V$10</x:f>
        <x:v>122.65000000000002</x:v>
      </x:c>
      <x:c r="Q61" s="11" t="str">
        <x:f>IF(AND('情景快照'!T322="已刷新",'情景快照'!T323="已刷新",'情景快照'!T324="已刷新"),"已刷新","待刷新")</x:f>
        <x:v>已刷新</x:v>
      </x:c>
      <x:c r="R61" s="11" t="str">
        <x:v>模型初版</x:v>
      </x:c>
    </x:row>
    <x:row r="62" ht="23" customHeight="1">
      <x:c r="A62" s="11" t="str">
        <x:v>S056</x:v>
      </x:c>
      <x:c r="B62" s="11" t="str">
        <x:v>02268.HK</x:v>
      </x:c>
      <x:c r="C62" s="11" t="str">
        <x:v>药明合联</x:v>
      </x:c>
      <x:c r="D62" s="11" t="str">
        <x:v>股票</x:v>
      </x:c>
      <x:c r="E62" s="11" t="str">
        <x:v>HKD</x:v>
      </x:c>
      <x:c r="F62" s="11" t="n">
        <x:v>82.1</x:v>
      </x:c>
      <x:c r="G62" s="11" t="n">
        <x:f>'情景快照'!F757</x:f>
        <x:v>45.37500000000001</x:v>
      </x:c>
      <x:c r="H62" s="25" t="n">
        <x:f>'情景快照'!H757</x:f>
        <x:v>-0.44732034104750296</x:v>
      </x:c>
      <x:c r="I62" s="11" t="n">
        <x:f>'情景快照'!F758</x:f>
        <x:v>82.28000000000002</x:v>
      </x:c>
      <x:c r="J62" s="25" t="n">
        <x:f>'情景快照'!H758</x:f>
        <x:v>0.0021924482338613327</x:v>
      </x:c>
      <x:c r="K62" s="11" t="n">
        <x:f>'情景快照'!F759</x:f>
        <x:v>121.00000000000001</x:v>
      </x:c>
      <x:c r="L62" s="25" t="n">
        <x:f>'情景快照'!H759</x:f>
        <x:v>0.47381242387332545</x:v>
      </x:c>
      <x:c r="M62" s="11" t="n">
        <x:f>G62*$T$4+I62*$U$4+K62*$V$4</x:f>
        <x:v>82.73375000000001</x:v>
      </x:c>
      <x:c r="N62" s="25" t="n">
        <x:f>M62/F62-1</x:f>
        <x:v>0.007719244823386262</x:v>
      </x:c>
      <x:c r="O62" s="11" t="n">
        <x:f>G62*$T$7+I62*$U$7+K62*$V$7</x:f>
        <x:v>71.39000000000001</x:v>
      </x:c>
      <x:c r="P62" s="11" t="n">
        <x:f>G62*$T$10+I62*$U$10+K62*$V$10</x:f>
        <x:v>94.07750000000001</x:v>
      </x:c>
      <x:c r="Q62" s="11" t="str">
        <x:f>IF(AND('情景快照'!T757="已刷新",'情景快照'!T758="已刷新",'情景快照'!T759="已刷新"),"已刷新","待刷新")</x:f>
        <x:v>已刷新</x:v>
      </x:c>
      <x:c r="R62" s="11" t="str">
        <x:v>模型初版</x:v>
      </x:c>
    </x:row>
    <x:row r="63" ht="23" customHeight="1">
      <x:c r="A63" s="11" t="str">
        <x:v>S057</x:v>
      </x:c>
      <x:c r="B63" s="11" t="str">
        <x:v>06821.HK</x:v>
      </x:c>
      <x:c r="C63" s="11" t="str">
        <x:v>凯莱英</x:v>
      </x:c>
      <x:c r="D63" s="11" t="str">
        <x:v>股票</x:v>
      </x:c>
      <x:c r="E63" s="11" t="str">
        <x:v>HKD</x:v>
      </x:c>
      <x:c r="F63" s="11" t="n">
        <x:v>155.1</x:v>
      </x:c>
      <x:c r="G63" s="11" t="n">
        <x:f>'情景快照'!F67</x:f>
        <x:v>61.60000000000001</x:v>
      </x:c>
      <x:c r="H63" s="25" t="n">
        <x:f>'情景快照'!H67</x:f>
        <x:v>-0.602836879432624</x:v>
      </x:c>
      <x:c r="I63" s="11" t="n">
        <x:f>'情景快照'!F68</x:f>
        <x:v>145.20000000000002</x:v>
      </x:c>
      <x:c r="J63" s="25" t="n">
        <x:f>'情景快照'!H68</x:f>
        <x:v>-0.06382978723404242</x:v>
      </x:c>
      <x:c r="K63" s="11" t="n">
        <x:f>'情景快照'!F69</x:f>
        <x:v>242.00000000000003</x:v>
      </x:c>
      <x:c r="L63" s="25" t="n">
        <x:f>'情景快照'!H69</x:f>
        <x:v>0.5602836879432627</x:v>
      </x:c>
      <x:c r="M63" s="11" t="n">
        <x:f>G63*$T$4+I63*$U$4+K63*$V$4</x:f>
        <x:v>148.50000000000003</x:v>
      </x:c>
      <x:c r="N63" s="25" t="n">
        <x:f>M63/F63-1</x:f>
        <x:v>-0.04255319148936143</x:v>
      </x:c>
      <x:c r="O63" s="11" t="n">
        <x:f>G63*$T$7+I63*$U$7+K63*$V$7</x:f>
        <x:v>121.44000000000001</x:v>
      </x:c>
      <x:c r="P63" s="11" t="n">
        <x:f>G63*$T$10+I63*$U$10+K63*$V$10</x:f>
        <x:v>175.56</x:v>
      </x:c>
      <x:c r="Q63" s="11" t="str">
        <x:f>IF(AND('情景快照'!T67="已刷新",'情景快照'!T68="已刷新",'情景快照'!T69="已刷新"),"已刷新","待刷新")</x:f>
        <x:v>已刷新</x:v>
      </x:c>
      <x:c r="R63" s="11" t="str">
        <x:v>模型初版</x:v>
      </x:c>
    </x:row>
    <x:row r="64" ht="23" customHeight="1">
      <x:c r="A64" s="11" t="str">
        <x:v>S058</x:v>
      </x:c>
      <x:c r="B64" s="11" t="str">
        <x:v>00867.HK</x:v>
      </x:c>
      <x:c r="C64" s="11" t="str">
        <x:v>康哲药业</x:v>
      </x:c>
      <x:c r="D64" s="11" t="str">
        <x:v>股票</x:v>
      </x:c>
      <x:c r="E64" s="11" t="str">
        <x:v>HKD</x:v>
      </x:c>
      <x:c r="F64" s="11" t="n">
        <x:v>10.54</x:v>
      </x:c>
      <x:c r="G64" s="11"/>
      <x:c r="H64" s="25"/>
      <x:c r="I64" s="11"/>
      <x:c r="J64" s="25"/>
      <x:c r="K64" s="11"/>
      <x:c r="L64" s="25"/>
      <x:c r="M64" s="11"/>
      <x:c r="N64" s="25"/>
      <x:c r="O64" s="11"/>
      <x:c r="P64" s="11"/>
      <x:c r="Q64" s="11"/>
      <x:c r="R64" s="11" t="str">
        <x:v>公司模型待完成</x:v>
      </x:c>
    </x:row>
    <x:row r="65" ht="23" customHeight="1">
      <x:c r="A65" s="11" t="str">
        <x:v>S059</x:v>
      </x:c>
      <x:c r="B65" s="11" t="str">
        <x:v>09995.HK</x:v>
      </x:c>
      <x:c r="C65" s="11" t="str">
        <x:v>荣昌生物</x:v>
      </x:c>
      <x:c r="D65" s="11" t="str">
        <x:v>股票</x:v>
      </x:c>
      <x:c r="E65" s="11" t="str">
        <x:v>HKD</x:v>
      </x:c>
      <x:c r="F65" s="11" t="n">
        <x:v>70.4</x:v>
      </x:c>
      <x:c r="G65" s="11" t="n">
        <x:f>'情景快照'!F607</x:f>
        <x:v>46.29256174387142</x:v>
      </x:c>
      <x:c r="H65" s="25" t="n">
        <x:f>'情景快照'!H607</x:f>
        <x:v>-0.34243520250182646</x:v>
      </x:c>
      <x:c r="I65" s="11" t="n">
        <x:f>'情景快照'!F608</x:f>
        <x:v>69.32828031524417</x:v>
      </x:c>
      <x:c r="J65" s="25" t="n">
        <x:f>'情景快照'!H608</x:f>
        <x:v>-0.01522329097664532</x:v>
      </x:c>
      <x:c r="K65" s="11" t="n">
        <x:f>'情景快照'!F609</x:f>
        <x:v>122.2155193416934</x:v>
      </x:c>
      <x:c r="L65" s="25" t="n">
        <x:f>'情景快照'!H609</x:f>
        <x:v>0.7360158997399628</x:v>
      </x:c>
      <x:c r="M65" s="11" t="n">
        <x:f>G65*$T$4+I65*$U$4+K65*$V$4</x:f>
        <x:v>76.79116042901329</x:v>
      </x:c>
      <x:c r="N65" s="25" t="n">
        <x:f>M65/F65-1</x:f>
        <x:v>0.09078352882121132</x:v>
      </x:c>
      <x:c r="O65" s="11" t="n">
        <x:f>G65*$T$7+I65*$U$7+K65*$V$7</x:f>
        <x:v>65.40271678933999</x:v>
      </x:c>
      <x:c r="P65" s="11" t="n">
        <x:f>G65*$T$10+I65*$U$10+K65*$V$10</x:f>
        <x:v>88.17960406868659</x:v>
      </x:c>
      <x:c r="Q65" s="11" t="str">
        <x:f>IF(AND('情景快照'!T607="已刷新",'情景快照'!T608="已刷新",'情景快照'!T609="已刷新"),"已刷新","待刷新")</x:f>
        <x:v>待刷新</x:v>
      </x:c>
      <x:c r="R65" s="11" t="str">
        <x:v>模型初版</x:v>
      </x:c>
    </x:row>
    <x:row r="66" ht="23" customHeight="1">
      <x:c r="A66" s="11" t="str">
        <x:v>S060</x:v>
      </x:c>
      <x:c r="B66" s="11" t="str">
        <x:v>09926.HK</x:v>
      </x:c>
      <x:c r="C66" s="11" t="str">
        <x:v>康方生物</x:v>
      </x:c>
      <x:c r="D66" s="11" t="str">
        <x:v>股票</x:v>
      </x:c>
      <x:c r="E66" s="11" t="str">
        <x:v>HKD</x:v>
      </x:c>
      <x:c r="F66" s="11" t="n">
        <x:v>109.1</x:v>
      </x:c>
      <x:c r="G66" s="11" t="n">
        <x:f>'情景快照'!F22</x:f>
        <x:v>11.064681125752521</x:v>
      </x:c>
      <x:c r="H66" s="25" t="n">
        <x:f>'情景快照'!H22</x:f>
        <x:v>-0.8985822078299494</x:v>
      </x:c>
      <x:c r="I66" s="11" t="n">
        <x:f>'情景快照'!F23</x:f>
        <x:v>67.28298577028589</x:v>
      </x:c>
      <x:c r="J66" s="25" t="n">
        <x:f>'情景快照'!H23</x:f>
        <x:v>-0.3832906895482503</x:v>
      </x:c>
      <x:c r="K66" s="11" t="n">
        <x:f>'情景快照'!F24</x:f>
        <x:v>174.9437105484528</x:v>
      </x:c>
      <x:c r="L66" s="25" t="n">
        <x:f>'情景快照'!H24</x:f>
        <x:v>0.6035170536063501</x:v>
      </x:c>
      <x:c r="M66" s="11" t="n">
        <x:f>G66*$T$4+I66*$U$4+K66*$V$4</x:f>
        <x:v>80.14359080369428</x:v>
      </x:c>
      <x:c r="N66" s="25" t="n">
        <x:f>M66/F66-1</x:f>
        <x:v>-0.26541163333002493</x:v>
      </x:c>
      <x:c r="O66" s="11" t="n">
        <x:f>G66*$T$7+I66*$U$7+K66*$V$7</x:f>
        <x:v>55.561736390289234</x:v>
      </x:c>
      <x:c r="P66" s="11" t="n">
        <x:f>G66*$T$10+I66*$U$10+K66*$V$10</x:f>
        <x:v>104.72544521709932</x:v>
      </x:c>
      <x:c r="Q66" s="11" t="str">
        <x:f>IF(AND('情景快照'!T22="已刷新",'情景快照'!T23="已刷新",'情景快照'!T24="已刷新"),"已刷新","待刷新")</x:f>
        <x:v>待刷新</x:v>
      </x:c>
      <x:c r="R66" s="11" t="str">
        <x:v>模型初版</x:v>
      </x:c>
    </x:row>
    <x:row r="67" ht="23" customHeight="1">
      <x:c r="A67" s="11" t="str">
        <x:v>S061</x:v>
      </x:c>
      <x:c r="B67" s="11" t="str">
        <x:v>01763.HK</x:v>
      </x:c>
      <x:c r="C67" s="11" t="str">
        <x:v>中国同辐</x:v>
      </x:c>
      <x:c r="D67" s="11" t="str">
        <x:v>股票</x:v>
      </x:c>
      <x:c r="E67" s="11" t="str">
        <x:v>HKD</x:v>
      </x:c>
      <x:c r="F67" s="11" t="n">
        <x:v>12.53</x:v>
      </x:c>
      <x:c r="G67" s="11"/>
      <x:c r="H67" s="25"/>
      <x:c r="I67" s="11"/>
      <x:c r="J67" s="25"/>
      <x:c r="K67" s="11"/>
      <x:c r="L67" s="25"/>
      <x:c r="M67" s="11"/>
      <x:c r="N67" s="25"/>
      <x:c r="O67" s="11"/>
      <x:c r="P67" s="11"/>
      <x:c r="Q67" s="11"/>
      <x:c r="R67" s="11" t="str">
        <x:v>公司模型待完成</x:v>
      </x:c>
    </x:row>
    <x:row r="68" ht="23" customHeight="1">
      <x:c r="A68" s="11" t="str">
        <x:v>S062</x:v>
      </x:c>
      <x:c r="B68" s="11" t="str">
        <x:v>03442.HK</x:v>
      </x:c>
      <x:c r="C68" s="11" t="str">
        <x:v>南方港美科技</x:v>
      </x:c>
      <x:c r="D68" s="11" t="str">
        <x:v>ETF</x:v>
      </x:c>
      <x:c r="E68" s="11" t="str">
        <x:v>HKD</x:v>
      </x:c>
      <x:c r="F68" s="11" t="n">
        <x:v>7.785</x:v>
      </x:c>
      <x:c r="G68" s="11"/>
      <x:c r="H68" s="25"/>
      <x:c r="I68" s="11"/>
      <x:c r="J68" s="25"/>
      <x:c r="K68" s="11"/>
      <x:c r="L68" s="25"/>
      <x:c r="M68" s="11"/>
      <x:c r="N68" s="25"/>
      <x:c r="O68" s="11"/>
      <x:c r="P68" s="11"/>
      <x:c r="Q68" s="11"/>
      <x:c r="R68" s="11" t="str">
        <x:v>产品/指数单列</x:v>
      </x:c>
    </x:row>
    <x:row r="69" ht="23" customHeight="1">
      <x:c r="A69" s="11" t="str">
        <x:v>S063</x:v>
      </x:c>
      <x:c r="B69" s="11" t="str">
        <x:v>07709.HK</x:v>
      </x:c>
      <x:c r="C69" s="11" t="str">
        <x:v>XL二南方海力士</x:v>
      </x:c>
      <x:c r="D69" s="11" t="str">
        <x:v>每日杠杆</x:v>
      </x:c>
      <x:c r="E69" s="11" t="str">
        <x:v>HKD</x:v>
      </x:c>
      <x:c r="F69" s="11" t="n">
        <x:v>35.4</x:v>
      </x:c>
      <x:c r="G69" s="11"/>
      <x:c r="H69" s="25"/>
      <x:c r="I69" s="11"/>
      <x:c r="J69" s="25"/>
      <x:c r="K69" s="11"/>
      <x:c r="L69" s="25"/>
      <x:c r="M69" s="11"/>
      <x:c r="N69" s="25"/>
      <x:c r="O69" s="11"/>
      <x:c r="P69" s="11"/>
      <x:c r="Q69" s="11"/>
      <x:c r="R69" s="11" t="str">
        <x:v>产品/指数单列</x:v>
      </x:c>
    </x:row>
    <x:row r="70" ht="23" customHeight="1">
      <x:c r="A70" s="11" t="str">
        <x:v>S064</x:v>
      </x:c>
      <x:c r="B70" s="11" t="str">
        <x:v>00100.HK</x:v>
      </x:c>
      <x:c r="C70" s="11" t="str">
        <x:v>MINIMAX-W</x:v>
      </x:c>
      <x:c r="D70" s="11" t="str">
        <x:v>股票</x:v>
      </x:c>
      <x:c r="E70" s="11" t="str">
        <x:v>HKD</x:v>
      </x:c>
      <x:c r="F70" s="11" t="n">
        <x:v>213</x:v>
      </x:c>
      <x:c r="G70" s="11"/>
      <x:c r="H70" s="25"/>
      <x:c r="I70" s="11"/>
      <x:c r="J70" s="25"/>
      <x:c r="K70" s="11"/>
      <x:c r="L70" s="25"/>
      <x:c r="M70" s="11"/>
      <x:c r="N70" s="25"/>
      <x:c r="O70" s="11"/>
      <x:c r="P70" s="11"/>
      <x:c r="Q70" s="11"/>
      <x:c r="R70" s="11" t="str">
        <x:v>公司模型待完成</x:v>
      </x:c>
    </x:row>
    <x:row r="71" ht="23" customHeight="1">
      <x:c r="A71" s="11" t="str">
        <x:v>S065</x:v>
      </x:c>
      <x:c r="B71" s="11" t="str">
        <x:v>02513.HK</x:v>
      </x:c>
      <x:c r="C71" s="11" t="str">
        <x:v>智谱</x:v>
      </x:c>
      <x:c r="D71" s="11" t="str">
        <x:v>股票</x:v>
      </x:c>
      <x:c r="E71" s="11" t="str">
        <x:v>HKD</x:v>
      </x:c>
      <x:c r="F71" s="11" t="n">
        <x:v>641.5</x:v>
      </x:c>
      <x:c r="G71" s="11"/>
      <x:c r="H71" s="25"/>
      <x:c r="I71" s="11"/>
      <x:c r="J71" s="25"/>
      <x:c r="K71" s="11"/>
      <x:c r="L71" s="25"/>
      <x:c r="M71" s="11"/>
      <x:c r="N71" s="25"/>
      <x:c r="O71" s="11"/>
      <x:c r="P71" s="11"/>
      <x:c r="Q71" s="11"/>
      <x:c r="R71" s="11" t="str">
        <x:v>公司模型待完成</x:v>
      </x:c>
    </x:row>
    <x:row r="72" ht="23" customHeight="1">
      <x:c r="A72" s="11" t="str">
        <x:v>S066</x:v>
      </x:c>
      <x:c r="B72" s="11" t="str">
        <x:v>09992.HK</x:v>
      </x:c>
      <x:c r="C72" s="11" t="str">
        <x:v>泡泡玛特</x:v>
      </x:c>
      <x:c r="D72" s="11" t="str">
        <x:v>股票</x:v>
      </x:c>
      <x:c r="E72" s="11" t="str">
        <x:v>HKD</x:v>
      </x:c>
      <x:c r="F72" s="11" t="n">
        <x:v>152.3</x:v>
      </x:c>
      <x:c r="G72" s="11" t="n">
        <x:f>'情景快照'!F577</x:f>
        <x:v>71.52</x:v>
      </x:c>
      <x:c r="H72" s="25" t="n">
        <x:f>'情景快照'!H577</x:f>
        <x:v>-0.5304005252790546</x:v>
      </x:c>
      <x:c r="I72" s="11" t="n">
        <x:f>'情景快照'!F578</x:f>
        <x:v>169.31</x:v>
      </x:c>
      <x:c r="J72" s="25" t="n">
        <x:f>'情景快照'!H578</x:f>
        <x:v>0.11168745896257382</x:v>
      </x:c>
      <x:c r="K72" s="11" t="n">
        <x:f>'情景快照'!F579</x:f>
        <x:v>301.43</x:v>
      </x:c>
      <x:c r="L72" s="25" t="n">
        <x:f>'情景快照'!H579</x:f>
        <x:v>0.9791858174655284</x:v>
      </x:c>
      <x:c r="M72" s="11" t="n">
        <x:f>G72*$T$4+I72*$U$4+K72*$V$4</x:f>
        <x:v>177.89249999999998</x:v>
      </x:c>
      <x:c r="N72" s="25" t="n">
        <x:f>M72/F72-1</x:f>
        <x:v>0.16804005252790533</x:v>
      </x:c>
      <x:c r="O72" s="11" t="n">
        <x:f>G72*$T$7+I72*$U$7+K72*$V$7</x:f>
        <x:v>143.406</x:v>
      </x:c>
      <x:c r="P72" s="11" t="n">
        <x:f>G72*$T$10+I72*$U$10+K72*$V$10</x:f>
        <x:v>212.37900000000002</x:v>
      </x:c>
      <x:c r="Q72" s="11" t="str">
        <x:f>IF(AND('情景快照'!T577="已刷新",'情景快照'!T578="已刷新",'情景快照'!T579="已刷新"),"已刷新","待刷新")</x:f>
        <x:v>已刷新</x:v>
      </x:c>
      <x:c r="R72" s="11" t="str">
        <x:v>模型初版</x:v>
      </x:c>
    </x:row>
    <x:row r="73" ht="23" customHeight="1">
      <x:c r="A73" s="11" t="str">
        <x:v>S067</x:v>
      </x:c>
      <x:c r="B73" s="11" t="str">
        <x:v>01811.HK</x:v>
      </x:c>
      <x:c r="C73" s="11" t="str">
        <x:v>中广核新能源</x:v>
      </x:c>
      <x:c r="D73" s="11" t="str">
        <x:v>股票</x:v>
      </x:c>
      <x:c r="E73" s="11" t="str">
        <x:v>HKD</x:v>
      </x:c>
      <x:c r="F73" s="11" t="n">
        <x:v>2.095</x:v>
      </x:c>
      <x:c r="G73" s="11"/>
      <x:c r="H73" s="25"/>
      <x:c r="I73" s="11"/>
      <x:c r="J73" s="25"/>
      <x:c r="K73" s="11"/>
      <x:c r="L73" s="25"/>
      <x:c r="M73" s="11"/>
      <x:c r="N73" s="25"/>
      <x:c r="O73" s="11"/>
      <x:c r="P73" s="11"/>
      <x:c r="Q73" s="11"/>
      <x:c r="R73" s="11" t="str">
        <x:v>公司模型待完成</x:v>
      </x:c>
    </x:row>
    <x:row r="74" ht="23" customHeight="1">
      <x:c r="A74" s="11" t="str">
        <x:v>S068</x:v>
      </x:c>
      <x:c r="B74" s="11" t="str">
        <x:v>01797.HK</x:v>
      </x:c>
      <x:c r="C74" s="11" t="str">
        <x:v>东方甄选</x:v>
      </x:c>
      <x:c r="D74" s="11" t="str">
        <x:v>股票</x:v>
      </x:c>
      <x:c r="E74" s="11" t="str">
        <x:v>HKD</x:v>
      </x:c>
      <x:c r="F74" s="11" t="n">
        <x:v>26.52</x:v>
      </x:c>
      <x:c r="G74" s="11"/>
      <x:c r="H74" s="25"/>
      <x:c r="I74" s="11"/>
      <x:c r="J74" s="25"/>
      <x:c r="K74" s="11"/>
      <x:c r="L74" s="25"/>
      <x:c r="M74" s="11"/>
      <x:c r="N74" s="25"/>
      <x:c r="O74" s="11"/>
      <x:c r="P74" s="11"/>
      <x:c r="Q74" s="11"/>
      <x:c r="R74" s="11" t="str">
        <x:v>公司模型待完成</x:v>
      </x:c>
    </x:row>
    <x:row r="75" ht="23" customHeight="1">
      <x:c r="A75" s="11" t="str">
        <x:v>S069</x:v>
      </x:c>
      <x:c r="B75" s="11" t="str">
        <x:v>09880.HK</x:v>
      </x:c>
      <x:c r="C75" s="11" t="str">
        <x:v>优必选</x:v>
      </x:c>
      <x:c r="D75" s="11" t="str">
        <x:v>股票</x:v>
      </x:c>
      <x:c r="E75" s="11" t="str">
        <x:v>HKD</x:v>
      </x:c>
      <x:c r="F75" s="11" t="n">
        <x:v>71.75</x:v>
      </x:c>
      <x:c r="G75" s="11"/>
      <x:c r="H75" s="25"/>
      <x:c r="I75" s="11"/>
      <x:c r="J75" s="25"/>
      <x:c r="K75" s="11"/>
      <x:c r="L75" s="25"/>
      <x:c r="M75" s="11"/>
      <x:c r="N75" s="25"/>
      <x:c r="O75" s="11"/>
      <x:c r="P75" s="11"/>
      <x:c r="Q75" s="11"/>
      <x:c r="R75" s="11" t="str">
        <x:v>公司模型待完成</x:v>
      </x:c>
    </x:row>
    <x:row r="76" ht="23" customHeight="1">
      <x:c r="A76" s="11" t="str">
        <x:v>S070</x:v>
      </x:c>
      <x:c r="B76" s="11" t="str">
        <x:v>02400.HK</x:v>
      </x:c>
      <x:c r="C76" s="11" t="str">
        <x:v>心动公司</x:v>
      </x:c>
      <x:c r="D76" s="11" t="str">
        <x:v>股票</x:v>
      </x:c>
      <x:c r="E76" s="11" t="str">
        <x:v>HKD</x:v>
      </x:c>
      <x:c r="F76" s="11" t="n">
        <x:v>39.4</x:v>
      </x:c>
      <x:c r="G76" s="11"/>
      <x:c r="H76" s="25"/>
      <x:c r="I76" s="11"/>
      <x:c r="J76" s="25"/>
      <x:c r="K76" s="11"/>
      <x:c r="L76" s="25"/>
      <x:c r="M76" s="11"/>
      <x:c r="N76" s="25"/>
      <x:c r="O76" s="11"/>
      <x:c r="P76" s="11"/>
      <x:c r="Q76" s="11"/>
      <x:c r="R76" s="11" t="str">
        <x:v>公司模型待完成</x:v>
      </x:c>
    </x:row>
    <x:row r="77" ht="23" customHeight="1">
      <x:c r="A77" s="11" t="str">
        <x:v>S071</x:v>
      </x:c>
      <x:c r="B77" s="11" t="str">
        <x:v>01211.HK</x:v>
      </x:c>
      <x:c r="C77" s="11" t="str">
        <x:v>比亚迪股份</x:v>
      </x:c>
      <x:c r="D77" s="11" t="str">
        <x:v>股票</x:v>
      </x:c>
      <x:c r="E77" s="11" t="str">
        <x:v>HKD</x:v>
      </x:c>
      <x:c r="F77" s="11" t="n">
        <x:v>75.6</x:v>
      </x:c>
      <x:c r="G77" s="11" t="n">
        <x:f>'情景快照'!F142</x:f>
        <x:v>25.83</x:v>
      </x:c>
      <x:c r="H77" s="25" t="n">
        <x:f>'情景快照'!H142</x:f>
        <x:v>-0.6583333333333333</x:v>
      </x:c>
      <x:c r="I77" s="11" t="n">
        <x:f>'情景快照'!F143</x:f>
        <x:v>103.18</x:v>
      </x:c>
      <x:c r="J77" s="25" t="n">
        <x:f>'情景快照'!H143</x:f>
        <x:v>0.3648148148148149</x:v>
      </x:c>
      <x:c r="K77" s="11" t="n">
        <x:f>'情景快照'!F144</x:f>
        <x:v>216.85</x:v>
      </x:c>
      <x:c r="L77" s="25" t="n">
        <x:f>'情景快照'!H144</x:f>
        <x:v>1.8683862433862437</x:v>
      </x:c>
      <x:c r="M77" s="11" t="n">
        <x:f>G77*$T$4+I77*$U$4+K77*$V$4</x:f>
        <x:v>112.25999999999999</x:v>
      </x:c>
      <x:c r="N77" s="25" t="n">
        <x:f>M77/F77-1</x:f>
        <x:v>0.484920634920635</x:v>
      </x:c>
      <x:c r="O77" s="11" t="n">
        <x:f>G77*$T$7+I77*$U$7+K77*$V$7</x:f>
        <x:v>83.607</x:v>
      </x:c>
      <x:c r="P77" s="11" t="n">
        <x:f>G77*$T$10+I77*$U$10+K77*$V$10</x:f>
        <x:v>140.913</x:v>
      </x:c>
      <x:c r="Q77" s="11" t="str">
        <x:f>IF(AND('情景快照'!T142="已刷新",'情景快照'!T143="已刷新",'情景快照'!T144="已刷新"),"已刷新","待刷新")</x:f>
        <x:v>已刷新</x:v>
      </x:c>
      <x:c r="R77" s="11" t="str">
        <x:v>模型初版</x:v>
      </x:c>
    </x:row>
    <x:row r="78" ht="23" customHeight="1">
      <x:c r="A78" s="11" t="str">
        <x:v>S072</x:v>
      </x:c>
      <x:c r="B78" s="11" t="str">
        <x:v>09660.HK</x:v>
      </x:c>
      <x:c r="C78" s="11" t="str">
        <x:v>地平线机器人-W</x:v>
      </x:c>
      <x:c r="D78" s="11" t="str">
        <x:v>股票</x:v>
      </x:c>
      <x:c r="E78" s="11" t="str">
        <x:v>HKD</x:v>
      </x:c>
      <x:c r="F78" s="11" t="n">
        <x:v>4.115</x:v>
      </x:c>
      <x:c r="G78" s="11"/>
      <x:c r="H78" s="25"/>
      <x:c r="I78" s="11"/>
      <x:c r="J78" s="25"/>
      <x:c r="K78" s="11"/>
      <x:c r="L78" s="25"/>
      <x:c r="M78" s="11"/>
      <x:c r="N78" s="25"/>
      <x:c r="O78" s="11"/>
      <x:c r="P78" s="11"/>
      <x:c r="Q78" s="11"/>
      <x:c r="R78" s="11" t="str">
        <x:v>公司模型待完成</x:v>
      </x:c>
    </x:row>
    <x:row r="79" ht="23" customHeight="1">
      <x:c r="A79" s="11" t="str">
        <x:v>S073</x:v>
      </x:c>
      <x:c r="B79" s="11" t="str">
        <x:v>03750.HK</x:v>
      </x:c>
      <x:c r="C79" s="11" t="str">
        <x:v>宁德时代</x:v>
      </x:c>
      <x:c r="D79" s="11" t="str">
        <x:v>股票</x:v>
      </x:c>
      <x:c r="E79" s="11" t="str">
        <x:v>HKD</x:v>
      </x:c>
      <x:c r="F79" s="11" t="n">
        <x:v>491.4</x:v>
      </x:c>
      <x:c r="G79" s="11" t="n">
        <x:f>'情景快照'!F157</x:f>
        <x:v>173.12</x:v>
      </x:c>
      <x:c r="H79" s="25" t="n">
        <x:f>'情景快照'!H157</x:f>
        <x:v>-0.6477004477004477</x:v>
      </x:c>
      <x:c r="I79" s="11" t="n">
        <x:f>'情景快照'!F158</x:f>
        <x:v>520.98</x:v>
      </x:c>
      <x:c r="J79" s="25" t="n">
        <x:f>'情景快照'!H158</x:f>
        <x:v>0.060195360195360204</x:v>
      </x:c>
      <x:c r="K79" s="11" t="n">
        <x:f>'情景快照'!F159</x:f>
        <x:v>915.38</x:v>
      </x:c>
      <x:c r="L79" s="25" t="n">
        <x:f>'情景快照'!H159</x:f>
        <x:v>0.8628001628001629</x:v>
      </x:c>
      <x:c r="M79" s="11" t="n">
        <x:f>G79*$T$4+I79*$U$4+K79*$V$4</x:f>
        <x:v>532.615</x:v>
      </x:c>
      <x:c r="N79" s="25" t="n">
        <x:f>M79/F79-1</x:f>
        <x:v>0.08387260887260894</x:v>
      </x:c>
      <x:c r="O79" s="11" t="n">
        <x:f>G79*$T$7+I79*$U$7+K79*$V$7</x:f>
        <x:v>421.276</x:v>
      </x:c>
      <x:c r="P79" s="11" t="n">
        <x:f>G79*$T$10+I79*$U$10+K79*$V$10</x:f>
        <x:v>643.9540000000001</x:v>
      </x:c>
      <x:c r="Q79" s="11" t="str">
        <x:f>IF(AND('情景快照'!T157="已刷新",'情景快照'!T158="已刷新",'情景快照'!T159="已刷新"),"已刷新","待刷新")</x:f>
        <x:v>已刷新</x:v>
      </x:c>
      <x:c r="R79" s="11" t="str">
        <x:v>模型初版</x:v>
      </x:c>
    </x:row>
    <x:row r="80" ht="23" customHeight="1">
      <x:c r="A80" s="11" t="str">
        <x:v>S074</x:v>
      </x:c>
      <x:c r="B80" s="11" t="str">
        <x:v>09999.HK</x:v>
      </x:c>
      <x:c r="C80" s="11" t="str">
        <x:v>网易</x:v>
      </x:c>
      <x:c r="D80" s="11" t="str">
        <x:v>股票</x:v>
      </x:c>
      <x:c r="E80" s="11" t="str">
        <x:v>HKD</x:v>
      </x:c>
      <x:c r="F80" s="11" t="n">
        <x:v>193.5</x:v>
      </x:c>
      <x:c r="G80" s="11" t="n">
        <x:f>'情景快照'!F547</x:f>
        <x:v>132</x:v>
      </x:c>
      <x:c r="H80" s="25" t="n">
        <x:f>'情景快照'!H547</x:f>
        <x:v>-0.3178294573643411</x:v>
      </x:c>
      <x:c r="I80" s="11" t="n">
        <x:f>'情景快照'!F548</x:f>
        <x:v>211.20000000000002</x:v>
      </x:c>
      <x:c r="J80" s="25" t="n">
        <x:f>'情景快照'!H548</x:f>
        <x:v>0.09147286821705425</x:v>
      </x:c>
      <x:c r="K80" s="11" t="n">
        <x:f>'情景快照'!F549</x:f>
        <x:v>297</x:v>
      </x:c>
      <x:c r="L80" s="25" t="n">
        <x:f>'情景快照'!H549</x:f>
        <x:v>0.5348837209302326</x:v>
      </x:c>
      <x:c r="M80" s="11" t="n">
        <x:f>G80*$T$4+I80*$U$4+K80*$V$4</x:f>
        <x:v>212.85000000000002</x:v>
      </x:c>
      <x:c r="N80" s="25" t="n">
        <x:f>M80/F80-1</x:f>
        <x:v>0.10000000000000009</x:v>
      </x:c>
      <x:c r="O80" s="11" t="n">
        <x:f>G80*$T$7+I80*$U$7+K80*$V$7</x:f>
        <x:v>188.10000000000002</x:v>
      </x:c>
      <x:c r="P80" s="11" t="n">
        <x:f>G80*$T$10+I80*$U$10+K80*$V$10</x:f>
        <x:v>237.60000000000002</x:v>
      </x:c>
      <x:c r="Q80" s="11" t="str">
        <x:f>IF(AND('情景快照'!T547="已刷新",'情景快照'!T548="已刷新",'情景快照'!T549="已刷新"),"已刷新","待刷新")</x:f>
        <x:v>已刷新</x:v>
      </x:c>
      <x:c r="R80" s="11" t="str">
        <x:v>模型初版</x:v>
      </x:c>
    </x:row>
    <x:row r="81" ht="23" customHeight="1">
      <x:c r="A81" s="11" t="str">
        <x:v>S075</x:v>
      </x:c>
      <x:c r="B81" s="11" t="str">
        <x:v>00992.HK</x:v>
      </x:c>
      <x:c r="C81" s="11" t="str">
        <x:v>联想集团</x:v>
      </x:c>
      <x:c r="D81" s="11" t="str">
        <x:v>股票</x:v>
      </x:c>
      <x:c r="E81" s="11" t="str">
        <x:v>HKD</x:v>
      </x:c>
      <x:c r="F81" s="11" t="n">
        <x:v>32.84</x:v>
      </x:c>
      <x:c r="G81" s="11" t="n">
        <x:f>'情景快照'!F442</x:f>
        <x:v>10.26</x:v>
      </x:c>
      <x:c r="H81" s="25" t="n">
        <x:f>'情景快照'!H442</x:f>
        <x:v>-0.6875761266747868</x:v>
      </x:c>
      <x:c r="I81" s="11" t="n">
        <x:f>'情景快照'!F443</x:f>
        <x:v>37.49</x:v>
      </x:c>
      <x:c r="J81" s="25" t="n">
        <x:f>'情景快照'!H443</x:f>
        <x:v>0.14159561510353225</x:v>
      </x:c>
      <x:c r="K81" s="11" t="n">
        <x:f>'情景快照'!F444</x:f>
        <x:v>66.39</x:v>
      </x:c>
      <x:c r="L81" s="25" t="n">
        <x:f>'情景快照'!H444</x:f>
        <x:v>1.0216199756394637</x:v>
      </x:c>
      <x:c r="M81" s="11" t="n">
        <x:f>G81*$T$4+I81*$U$4+K81*$V$4</x:f>
        <x:v>37.9075</x:v>
      </x:c>
      <x:c r="N81" s="25" t="n">
        <x:f>M81/F81-1</x:f>
        <x:v>0.15430876979293529</x:v>
      </x:c>
      <x:c r="O81" s="11" t="n">
        <x:f>G81*$T$7+I81*$U$7+K81*$V$7</x:f>
        <x:v>29.488</x:v>
      </x:c>
      <x:c r="P81" s="11" t="n">
        <x:f>G81*$T$10+I81*$U$10+K81*$V$10</x:f>
        <x:v>46.327</x:v>
      </x:c>
      <x:c r="Q81" s="11" t="str">
        <x:f>IF(AND('情景快照'!T442="已刷新",'情景快照'!T443="已刷新",'情景快照'!T444="已刷新"),"已刷新","待刷新")</x:f>
        <x:v>已刷新</x:v>
      </x:c>
      <x:c r="R81" s="11" t="str">
        <x:v>模型初版</x:v>
      </x:c>
    </x:row>
    <x:row r="82" ht="23" customHeight="1">
      <x:c r="A82" s="11" t="str">
        <x:v>S076</x:v>
      </x:c>
      <x:c r="B82" s="11" t="str">
        <x:v>09888.HK</x:v>
      </x:c>
      <x:c r="C82" s="11" t="str">
        <x:v>百度集团-W</x:v>
      </x:c>
      <x:c r="D82" s="11" t="str">
        <x:v>股票</x:v>
      </x:c>
      <x:c r="E82" s="11" t="str">
        <x:v>HKD</x:v>
      </x:c>
      <x:c r="F82" s="11" t="n">
        <x:v>83</x:v>
      </x:c>
      <x:c r="G82" s="11" t="n">
        <x:f>'情景快照'!F82</x:f>
        <x:v>29.41</x:v>
      </x:c>
      <x:c r="H82" s="25" t="n">
        <x:f>'情景快照'!H82</x:f>
        <x:v>-0.6456626506024097</x:v>
      </x:c>
      <x:c r="I82" s="11" t="n">
        <x:f>'情景快照'!F83</x:f>
        <x:v>100.45</x:v>
      </x:c>
      <x:c r="J82" s="25" t="n">
        <x:f>'情景快照'!H83</x:f>
        <x:v>0.21024096385542168</x:v>
      </x:c>
      <x:c r="K82" s="11" t="n">
        <x:f>'情景快照'!F84</x:f>
        <x:v>199.27</x:v>
      </x:c>
      <x:c r="L82" s="25" t="n">
        <x:f>'情景快照'!H84</x:f>
        <x:v>1.4008433734939758</x:v>
      </x:c>
      <x:c r="M82" s="11" t="n">
        <x:f>G82*$T$4+I82*$U$4+K82*$V$4</x:f>
        <x:v>107.39500000000001</x:v>
      </x:c>
      <x:c r="N82" s="25" t="n">
        <x:f>M82/F82-1</x:f>
        <x:v>0.29391566265060254</x:v>
      </x:c>
      <x:c r="O82" s="11" t="n">
        <x:f>G82*$T$7+I82*$U$7+K82*$V$7</x:f>
        <x:v>81.91600000000001</x:v>
      </x:c>
      <x:c r="P82" s="11" t="n">
        <x:f>G82*$T$10+I82*$U$10+K82*$V$10</x:f>
        <x:v>132.87400000000002</x:v>
      </x:c>
      <x:c r="Q82" s="11" t="str">
        <x:f>IF(AND('情景快照'!T82="已刷新",'情景快照'!T83="已刷新",'情景快照'!T84="已刷新"),"已刷新","待刷新")</x:f>
        <x:v>已刷新</x:v>
      </x:c>
      <x:c r="R82" s="11" t="str">
        <x:v>模型初版</x:v>
      </x:c>
    </x:row>
    <x:row r="83" ht="23" customHeight="1">
      <x:c r="A83" s="11" t="str">
        <x:v>S077</x:v>
      </x:c>
      <x:c r="B83" s="11" t="str">
        <x:v>00241.HK</x:v>
      </x:c>
      <x:c r="C83" s="11" t="str">
        <x:v>阿里健康</x:v>
      </x:c>
      <x:c r="D83" s="11" t="str">
        <x:v>股票</x:v>
      </x:c>
      <x:c r="E83" s="11" t="str">
        <x:v>HKD</x:v>
      </x:c>
      <x:c r="F83" s="11" t="n">
        <x:v>2.86</x:v>
      </x:c>
      <x:c r="G83" s="11"/>
      <x:c r="H83" s="25"/>
      <x:c r="I83" s="11"/>
      <x:c r="J83" s="25"/>
      <x:c r="K83" s="11"/>
      <x:c r="L83" s="25"/>
      <x:c r="M83" s="11"/>
      <x:c r="N83" s="25"/>
      <x:c r="O83" s="11"/>
      <x:c r="P83" s="11"/>
      <x:c r="Q83" s="11"/>
      <x:c r="R83" s="11" t="str">
        <x:v>公司模型待完成</x:v>
      </x:c>
    </x:row>
    <x:row r="84" ht="23" customHeight="1">
      <x:c r="A84" s="11" t="str">
        <x:v>S078</x:v>
      </x:c>
      <x:c r="B84" s="11" t="str">
        <x:v>06690.HK</x:v>
      </x:c>
      <x:c r="C84" s="11" t="str">
        <x:v>海尔智家</x:v>
      </x:c>
      <x:c r="D84" s="11" t="str">
        <x:v>股票</x:v>
      </x:c>
      <x:c r="E84" s="11" t="str">
        <x:v>HKD</x:v>
      </x:c>
      <x:c r="F84" s="11" t="n">
        <x:v>20.42</x:v>
      </x:c>
      <x:c r="G84" s="11"/>
      <x:c r="H84" s="25"/>
      <x:c r="I84" s="11"/>
      <x:c r="J84" s="25"/>
      <x:c r="K84" s="11"/>
      <x:c r="L84" s="25"/>
      <x:c r="M84" s="11"/>
      <x:c r="N84" s="25"/>
      <x:c r="O84" s="11"/>
      <x:c r="P84" s="11"/>
      <x:c r="Q84" s="11"/>
      <x:c r="R84" s="11" t="str">
        <x:v>公司模型待完成</x:v>
      </x:c>
    </x:row>
    <x:row r="85" ht="23" customHeight="1">
      <x:c r="A85" s="11" t="str">
        <x:v>S079</x:v>
      </x:c>
      <x:c r="B85" s="11" t="str">
        <x:v>00522.HK</x:v>
      </x:c>
      <x:c r="C85" s="11" t="str">
        <x:v>ASMPT</x:v>
      </x:c>
      <x:c r="D85" s="11" t="str">
        <x:v>股票</x:v>
      </x:c>
      <x:c r="E85" s="11" t="str">
        <x:v>HKD</x:v>
      </x:c>
      <x:c r="F85" s="11" t="n">
        <x:v>161.3</x:v>
      </x:c>
      <x:c r="G85" s="11"/>
      <x:c r="H85" s="25"/>
      <x:c r="I85" s="11"/>
      <x:c r="J85" s="25"/>
      <x:c r="K85" s="11"/>
      <x:c r="L85" s="25"/>
      <x:c r="M85" s="11"/>
      <x:c r="N85" s="25"/>
      <x:c r="O85" s="11"/>
      <x:c r="P85" s="11"/>
      <x:c r="Q85" s="11"/>
      <x:c r="R85" s="11" t="str">
        <x:v>公司模型待完成</x:v>
      </x:c>
    </x:row>
    <x:row r="86" ht="23" customHeight="1">
      <x:c r="A86" s="11" t="str">
        <x:v>S080</x:v>
      </x:c>
      <x:c r="B86" s="11" t="str">
        <x:v>09618.HK</x:v>
      </x:c>
      <x:c r="C86" s="11" t="str">
        <x:v>京东集团-SW</x:v>
      </x:c>
      <x:c r="D86" s="11" t="str">
        <x:v>股票</x:v>
      </x:c>
      <x:c r="E86" s="11" t="str">
        <x:v>HKD</x:v>
      </x:c>
      <x:c r="F86" s="11" t="n">
        <x:v>105.6</x:v>
      </x:c>
      <x:c r="G86" s="11" t="n">
        <x:f>'情景快照'!F367</x:f>
        <x:v>49.48</x:v>
      </x:c>
      <x:c r="H86" s="25" t="n">
        <x:f>'情景快照'!H367</x:f>
        <x:v>-0.531439393939394</x:v>
      </x:c>
      <x:c r="I86" s="11" t="n">
        <x:f>'情景快照'!F368</x:f>
        <x:v>132.01</x:v>
      </x:c>
      <x:c r="J86" s="25" t="n">
        <x:f>'情景快照'!H368</x:f>
        <x:v>0.2500946969696969</x:v>
      </x:c>
      <x:c r="K86" s="11" t="n">
        <x:f>'情景快照'!F369</x:f>
        <x:v>260.78</x:v>
      </x:c>
      <x:c r="L86" s="25" t="n">
        <x:f>'情景快照'!H369</x:f>
        <x:v>1.4695075757575755</x:v>
      </x:c>
      <x:c r="M86" s="11" t="n">
        <x:f>G86*$T$4+I86*$U$4+K86*$V$4</x:f>
        <x:v>143.57</x:v>
      </x:c>
      <x:c r="N86" s="25" t="n">
        <x:f>M86/F86-1</x:f>
        <x:v>0.359564393939394</x:v>
      </x:c>
      <x:c r="O86" s="11" t="n">
        <x:f>G86*$T$7+I86*$U$7+K86*$V$7</x:f>
        <x:v>111.875</x:v>
      </x:c>
      <x:c r="P86" s="11" t="n">
        <x:f>G86*$T$10+I86*$U$10+K86*$V$10</x:f>
        <x:v>175.265</x:v>
      </x:c>
      <x:c r="Q86" s="11" t="str">
        <x:f>IF(AND('情景快照'!T367="已刷新",'情景快照'!T368="已刷新",'情景快照'!T369="已刷新"),"已刷新","待刷新")</x:f>
        <x:v>已刷新</x:v>
      </x:c>
      <x:c r="R86" s="11" t="str">
        <x:v>模型初版</x:v>
      </x:c>
    </x:row>
    <x:row r="87" ht="23" customHeight="1">
      <x:c r="A87" s="11" t="str">
        <x:v>S081</x:v>
      </x:c>
      <x:c r="B87" s="11" t="str">
        <x:v>01347.HK</x:v>
      </x:c>
      <x:c r="C87" s="11" t="str">
        <x:v>华虹宏力</x:v>
      </x:c>
      <x:c r="D87" s="11" t="str">
        <x:v>股票</x:v>
      </x:c>
      <x:c r="E87" s="11" t="str">
        <x:v>HKD</x:v>
      </x:c>
      <x:c r="F87" s="11" t="n">
        <x:v>94.55</x:v>
      </x:c>
      <x:c r="G87" s="11"/>
      <x:c r="H87" s="25"/>
      <x:c r="I87" s="11"/>
      <x:c r="J87" s="25"/>
      <x:c r="K87" s="11"/>
      <x:c r="L87" s="25"/>
      <x:c r="M87" s="11"/>
      <x:c r="N87" s="25"/>
      <x:c r="O87" s="11"/>
      <x:c r="P87" s="11"/>
      <x:c r="Q87" s="11"/>
      <x:c r="R87" s="11" t="str">
        <x:v>公司模型待完成</x:v>
      </x:c>
    </x:row>
    <x:row r="88" ht="23" customHeight="1">
      <x:c r="A88" s="11" t="str">
        <x:v>S082</x:v>
      </x:c>
      <x:c r="B88" s="11" t="str">
        <x:v>HSTECH.HK</x:v>
      </x:c>
      <x:c r="C88" s="11" t="str">
        <x:v>恒生科技</x:v>
      </x:c>
      <x:c r="D88" s="11" t="str">
        <x:v>指数</x:v>
      </x:c>
      <x:c r="E88" s="11" t="str">
        <x:v>HKD</x:v>
      </x:c>
      <x:c r="F88" s="11" t="n">
        <x:v>4197.84</x:v>
      </x:c>
      <x:c r="G88" s="11"/>
      <x:c r="H88" s="25"/>
      <x:c r="I88" s="11"/>
      <x:c r="J88" s="25"/>
      <x:c r="K88" s="11"/>
      <x:c r="L88" s="25"/>
      <x:c r="M88" s="11"/>
      <x:c r="N88" s="25"/>
      <x:c r="O88" s="11"/>
      <x:c r="P88" s="11"/>
      <x:c r="Q88" s="11"/>
      <x:c r="R88" s="11" t="str">
        <x:v>产品/指数单列</x:v>
      </x:c>
    </x:row>
    <x:row r="89" ht="23" customHeight="1">
      <x:c r="A89" s="11" t="str">
        <x:v>S083</x:v>
      </x:c>
      <x:c r="B89" s="11" t="str">
        <x:v>00700.HK</x:v>
      </x:c>
      <x:c r="C89" s="11" t="str">
        <x:v>腾讯控股</x:v>
      </x:c>
      <x:c r="D89" s="11" t="str">
        <x:v>股票</x:v>
      </x:c>
      <x:c r="E89" s="11" t="str">
        <x:v>HKD</x:v>
      </x:c>
      <x:c r="F89" s="11" t="n">
        <x:v>424.8</x:v>
      </x:c>
      <x:c r="G89" s="11" t="n">
        <x:f>'情景快照'!F682</x:f>
        <x:v>316.8</x:v>
      </x:c>
      <x:c r="H89" s="25" t="n">
        <x:f>'情景快照'!H682</x:f>
        <x:v>-0.2542372881355932</x:v>
      </x:c>
      <x:c r="I89" s="11" t="n">
        <x:f>'情景快照'!F683</x:f>
        <x:v>492.80000000000007</x:v>
      </x:c>
      <x:c r="J89" s="25" t="n">
        <x:f>'情景快照'!H683</x:f>
        <x:v>0.1600753295668551</x:v>
      </x:c>
      <x:c r="K89" s="11" t="n">
        <x:f>'情景快照'!F684</x:f>
        <x:v>682</x:v>
      </x:c>
      <x:c r="L89" s="25" t="n">
        <x:f>'情景快照'!H684</x:f>
        <x:v>0.6054613935969868</x:v>
      </x:c>
      <x:c r="M89" s="11" t="n">
        <x:f>G89*$T$4+I89*$U$4+K89*$V$4</x:f>
        <x:v>496.1</x:v>
      </x:c>
      <x:c r="N89" s="25" t="n">
        <x:f>M89/F89-1</x:f>
        <x:v>0.16784369114877595</x:v>
      </x:c>
      <x:c r="O89" s="11" t="n">
        <x:f>G89*$T$7+I89*$U$7+K89*$V$7</x:f>
        <x:v>441.32000000000005</x:v>
      </x:c>
      <x:c r="P89" s="11" t="n">
        <x:f>G89*$T$10+I89*$U$10+K89*$V$10</x:f>
        <x:v>550.8800000000001</x:v>
      </x:c>
      <x:c r="Q89" s="11" t="str">
        <x:f>IF(AND('情景快照'!T682="已刷新",'情景快照'!T683="已刷新",'情景快照'!T684="已刷新"),"已刷新","待刷新")</x:f>
        <x:v>已刷新</x:v>
      </x:c>
      <x:c r="R89" s="11" t="str">
        <x:v>模型初版</x:v>
      </x:c>
    </x:row>
    <x:row r="90" ht="23" customHeight="1">
      <x:c r="A90" s="11" t="str">
        <x:v>S084</x:v>
      </x:c>
      <x:c r="B90" s="11" t="str">
        <x:v>09626.HK</x:v>
      </x:c>
      <x:c r="C90" s="11" t="str">
        <x:v>哔哩哔哩-W</x:v>
      </x:c>
      <x:c r="D90" s="11" t="str">
        <x:v>股票</x:v>
      </x:c>
      <x:c r="E90" s="11" t="str">
        <x:v>HKD</x:v>
      </x:c>
      <x:c r="F90" s="11" t="n">
        <x:v>120.4</x:v>
      </x:c>
      <x:c r="G90" s="11" t="n">
        <x:f>'情景快照'!F127</x:f>
        <x:v>20.88</x:v>
      </x:c>
      <x:c r="H90" s="25" t="n">
        <x:f>'情景快照'!H127</x:f>
        <x:v>-0.826578073089701</x:v>
      </x:c>
      <x:c r="I90" s="11" t="n">
        <x:f>'情景快照'!F128</x:f>
        <x:v>137.99</x:v>
      </x:c>
      <x:c r="J90" s="25" t="n">
        <x:f>'情景快照'!H128</x:f>
        <x:v>0.1460963455149502</x:v>
      </x:c>
      <x:c r="K90" s="11" t="n">
        <x:f>'情景快照'!F129</x:f>
        <x:v>248.13</x:v>
      </x:c>
      <x:c r="L90" s="25" t="n">
        <x:f>'情景快照'!H129</x:f>
        <x:v>1.0608803986710962</x:v>
      </x:c>
      <x:c r="M90" s="11" t="n">
        <x:f>G90*$T$4+I90*$U$4+K90*$V$4</x:f>
        <x:v>136.2475</x:v>
      </x:c>
      <x:c r="N90" s="25" t="n">
        <x:f>M90/F90-1</x:f>
        <x:v>0.1316237541528238</x:v>
      </x:c>
      <x:c r="O90" s="11" t="n">
        <x:f>G90*$T$7+I90*$U$7+K90*$V$7</x:f>
        <x:v>102.16000000000001</x:v>
      </x:c>
      <x:c r="P90" s="11" t="n">
        <x:f>G90*$T$10+I90*$U$10+K90*$V$10</x:f>
        <x:v>170.335</x:v>
      </x:c>
      <x:c r="Q90" s="11" t="str">
        <x:f>IF(AND('情景快照'!T127="已刷新",'情景快照'!T128="已刷新",'情景快照'!T129="已刷新"),"已刷新","待刷新")</x:f>
        <x:v>已刷新</x:v>
      </x:c>
      <x:c r="R90" s="11" t="str">
        <x:v>模型初版</x:v>
      </x:c>
    </x:row>
    <x:row r="91" ht="23" customHeight="1">
      <x:c r="A91" s="11" t="str">
        <x:v>S085</x:v>
      </x:c>
      <x:c r="B91" s="11" t="str">
        <x:v>06618.HK</x:v>
      </x:c>
      <x:c r="C91" s="11" t="str">
        <x:v>京东健康</x:v>
      </x:c>
      <x:c r="D91" s="11" t="str">
        <x:v>股票</x:v>
      </x:c>
      <x:c r="E91" s="11" t="str">
        <x:v>HKD</x:v>
      </x:c>
      <x:c r="F91" s="11" t="n">
        <x:v>36.08</x:v>
      </x:c>
      <x:c r="G91" s="11" t="n">
        <x:f>'情景快照'!F352</x:f>
        <x:v>17.39</x:v>
      </x:c>
      <x:c r="H91" s="25" t="n">
        <x:f>'情景快照'!H352</x:f>
        <x:v>-0.5180155210643015</x:v>
      </x:c>
      <x:c r="I91" s="11" t="n">
        <x:f>'情景快照'!F353</x:f>
        <x:v>43.32</x:v>
      </x:c>
      <x:c r="J91" s="25" t="n">
        <x:f>'情景快照'!H353</x:f>
        <x:v>0.20066518847006654</x:v>
      </x:c>
      <x:c r="K91" s="11" t="n">
        <x:f>'情景快照'!F354</x:f>
        <x:v>65.38</x:v>
      </x:c>
      <x:c r="L91" s="25" t="n">
        <x:f>'情景快照'!H354</x:f>
        <x:v>0.8120842572062084</x:v>
      </x:c>
      <x:c r="M91" s="11" t="n">
        <x:f>G91*$T$4+I91*$U$4+K91*$V$4</x:f>
        <x:v>42.3525</x:v>
      </x:c>
      <x:c r="N91" s="25" t="n">
        <x:f>M91/F91-1</x:f>
        <x:v>0.17384977827050996</x:v>
      </x:c>
      <x:c r="O91" s="11" t="n">
        <x:f>G91*$T$7+I91*$U$7+K91*$V$7</x:f>
        <x:v>35.153999999999996</x:v>
      </x:c>
      <x:c r="P91" s="11" t="n">
        <x:f>G91*$T$10+I91*$U$10+K91*$V$10</x:f>
        <x:v>49.551</x:v>
      </x:c>
      <x:c r="Q91" s="11" t="str">
        <x:f>IF(AND('情景快照'!T352="已刷新",'情景快照'!T353="已刷新",'情景快照'!T354="已刷新"),"已刷新","待刷新")</x:f>
        <x:v>已刷新</x:v>
      </x:c>
      <x:c r="R91" s="11" t="str">
        <x:v>模型初版</x:v>
      </x:c>
    </x:row>
    <x:row r="92" ht="23" customHeight="1">
      <x:c r="A92" s="11" t="str">
        <x:v>S086</x:v>
      </x:c>
      <x:c r="B92" s="11" t="str">
        <x:v>09988.HK</x:v>
      </x:c>
      <x:c r="C92" s="11" t="str">
        <x:v>阿里巴巴-W</x:v>
      </x:c>
      <x:c r="D92" s="11" t="str">
        <x:v>股票</x:v>
      </x:c>
      <x:c r="E92" s="11" t="str">
        <x:v>HKD</x:v>
      </x:c>
      <x:c r="F92" s="11" t="n">
        <x:v>107</x:v>
      </x:c>
      <x:c r="G92" s="11" t="n">
        <x:f>'情景快照'!F37</x:f>
        <x:v>57.42</x:v>
      </x:c>
      <x:c r="H92" s="25" t="n">
        <x:f>'情景快照'!H37</x:f>
        <x:v>-0.4633644859813084</x:v>
      </x:c>
      <x:c r="I92" s="11" t="n">
        <x:f>'情景快照'!F38</x:f>
        <x:v>133.1</x:v>
      </x:c>
      <x:c r="J92" s="25" t="n">
        <x:f>'情景快照'!H38</x:f>
        <x:v>0.24392523364485985</x:v>
      </x:c>
      <x:c r="K92" s="11" t="n">
        <x:f>'情景快照'!F39</x:f>
        <x:v>231</x:v>
      </x:c>
      <x:c r="L92" s="25" t="n">
        <x:f>'情景快照'!H39</x:f>
        <x:v>1.1588785046728973</x:v>
      </x:c>
      <x:c r="M92" s="11" t="n">
        <x:f>G92*$T$4+I92*$U$4+K92*$V$4</x:f>
        <x:v>138.655</x:v>
      </x:c>
      <x:c r="N92" s="25" t="n">
        <x:f>M92/F92-1</x:f>
        <x:v>0.29584112149532715</x:v>
      </x:c>
      <x:c r="O92" s="11" t="n">
        <x:f>G92*$T$7+I92*$U$7+K92*$V$7</x:f>
        <x:v>112.618</x:v>
      </x:c>
      <x:c r="P92" s="11" t="n">
        <x:f>G92*$T$10+I92*$U$10+K92*$V$10</x:f>
        <x:v>164.692</x:v>
      </x:c>
      <x:c r="Q92" s="11" t="str">
        <x:f>IF(AND('情景快照'!T37="已刷新",'情景快照'!T38="已刷新",'情景快照'!T39="已刷新"),"已刷新","待刷新")</x:f>
        <x:v>已刷新</x:v>
      </x:c>
      <x:c r="R92" s="11" t="str">
        <x:v>模型初版</x:v>
      </x:c>
    </x:row>
    <x:row r="93" ht="23" customHeight="1">
      <x:c r="A93" s="11" t="str">
        <x:v>S087</x:v>
      </x:c>
      <x:c r="B93" s="11" t="str">
        <x:v>02382.HK</x:v>
      </x:c>
      <x:c r="C93" s="11" t="str">
        <x:v>舜宇光学科技</x:v>
      </x:c>
      <x:c r="D93" s="11" t="str">
        <x:v>股票</x:v>
      </x:c>
      <x:c r="E93" s="11" t="str">
        <x:v>HKD</x:v>
      </x:c>
      <x:c r="F93" s="11" t="n">
        <x:v>60.5</x:v>
      </x:c>
      <x:c r="G93" s="11"/>
      <x:c r="H93" s="25"/>
      <x:c r="I93" s="11"/>
      <x:c r="J93" s="25"/>
      <x:c r="K93" s="11"/>
      <x:c r="L93" s="25"/>
      <x:c r="M93" s="11"/>
      <x:c r="N93" s="25"/>
      <x:c r="O93" s="11"/>
      <x:c r="P93" s="11"/>
      <x:c r="Q93" s="11"/>
      <x:c r="R93" s="11" t="str">
        <x:v>公司模型待完成</x:v>
      </x:c>
    </x:row>
    <x:row r="94" ht="23" customHeight="1">
      <x:c r="A94" s="11" t="str">
        <x:v>S088</x:v>
      </x:c>
      <x:c r="B94" s="11" t="str">
        <x:v>09961.HK</x:v>
      </x:c>
      <x:c r="C94" s="11" t="str">
        <x:v>携程集团-S</x:v>
      </x:c>
      <x:c r="D94" s="11" t="str">
        <x:v>股票</x:v>
      </x:c>
      <x:c r="E94" s="11" t="str">
        <x:v>HKD</x:v>
      </x:c>
      <x:c r="F94" s="11" t="n">
        <x:v>304.4</x:v>
      </x:c>
      <x:c r="G94" s="11" t="n">
        <x:f>'情景快照'!F697</x:f>
        <x:v>212.45</x:v>
      </x:c>
      <x:c r="H94" s="25" t="n">
        <x:f>'情景快照'!H697</x:f>
        <x:v>-0.3020696452036794</x:v>
      </x:c>
      <x:c r="I94" s="11" t="n">
        <x:f>'情景快照'!F698</x:f>
        <x:v>431.54</x:v>
      </x:c>
      <x:c r="J94" s="25" t="n">
        <x:f>'情景快照'!H698</x:f>
        <x:v>0.41767411300919854</x:v>
      </x:c>
      <x:c r="K94" s="11" t="n">
        <x:f>'情景快照'!F699</x:f>
        <x:v>702.27</x:v>
      </x:c>
      <x:c r="L94" s="25" t="n">
        <x:f>'情景快照'!H699</x:f>
        <x:v>1.3070630749014458</x:v>
      </x:c>
      <x:c r="M94" s="11" t="n">
        <x:f>G94*$T$4+I94*$U$4+K94*$V$4</x:f>
        <x:v>444.45</x:v>
      </x:c>
      <x:c r="N94" s="25" t="n">
        <x:f>M94/F94-1</x:f>
        <x:v>0.4600854139290409</x:v>
      </x:c>
      <x:c r="O94" s="11" t="n">
        <x:f>G94*$T$7+I94*$U$7+K94*$V$7</x:f>
        <x:v>370.977</x:v>
      </x:c>
      <x:c r="P94" s="11" t="n">
        <x:f>G94*$T$10+I94*$U$10+K94*$V$10</x:f>
        <x:v>517.923</x:v>
      </x:c>
      <x:c r="Q94" s="11" t="str">
        <x:f>IF(AND('情景快照'!T697="已刷新",'情景快照'!T698="已刷新",'情景快照'!T699="已刷新"),"已刷新","待刷新")</x:f>
        <x:v>已刷新</x:v>
      </x:c>
      <x:c r="R94" s="11" t="str">
        <x:v>模型初版</x:v>
      </x:c>
    </x:row>
    <x:row r="95" ht="23" customHeight="1">
      <x:c r="A95" s="11" t="str">
        <x:v>S089</x:v>
      </x:c>
      <x:c r="B95" s="11" t="str">
        <x:v>03690.HK</x:v>
      </x:c>
      <x:c r="C95" s="11" t="str">
        <x:v>美团-W</x:v>
      </x:c>
      <x:c r="D95" s="11" t="str">
        <x:v>股票</x:v>
      </x:c>
      <x:c r="E95" s="11" t="str">
        <x:v>HKD</x:v>
      </x:c>
      <x:c r="F95" s="11" t="n">
        <x:v>71.5</x:v>
      </x:c>
      <x:c r="G95" s="11" t="n">
        <x:f>'情景快照'!F502</x:f>
        <x:v>29.72</x:v>
      </x:c>
      <x:c r="H95" s="25" t="n">
        <x:f>'情景快照'!H502</x:f>
        <x:v>-0.5843356643356643</x:v>
      </x:c>
      <x:c r="I95" s="11" t="n">
        <x:f>'情景快照'!F503</x:f>
        <x:v>99.37</x:v>
      </x:c>
      <x:c r="J95" s="25" t="n">
        <x:f>'情景快照'!H503</x:f>
        <x:v>0.38979020979020995</x:v>
      </x:c>
      <x:c r="K95" s="11" t="n">
        <x:f>'情景快照'!F504</x:f>
        <x:v>187.6</x:v>
      </x:c>
      <x:c r="L95" s="25" t="n">
        <x:f>'情景快照'!H504</x:f>
        <x:v>1.6237762237762237</x:v>
      </x:c>
      <x:c r="M95" s="11" t="n">
        <x:f>G95*$T$4+I95*$U$4+K95*$V$4</x:f>
        <x:v>104.015</x:v>
      </x:c>
      <x:c r="N95" s="25" t="n">
        <x:f>M95/F95-1</x:f>
        <x:v>0.45475524475524476</x:v>
      </x:c>
      <x:c r="O95" s="11" t="n">
        <x:f>G95*$T$7+I95*$U$7+K95*$V$7</x:f>
        <x:v>80.333</x:v>
      </x:c>
      <x:c r="P95" s="11" t="n">
        <x:f>G95*$T$10+I95*$U$10+K95*$V$10</x:f>
        <x:v>127.697</x:v>
      </x:c>
      <x:c r="Q95" s="11" t="str">
        <x:f>IF(AND('情景快照'!T502="已刷新",'情景快照'!T503="已刷新",'情景快照'!T504="已刷新"),"已刷新","待刷新")</x:f>
        <x:v>已刷新</x:v>
      </x:c>
      <x:c r="R95" s="11" t="str">
        <x:v>模型初版</x:v>
      </x:c>
    </x:row>
    <x:row r="96" ht="23" customHeight="1">
      <x:c r="A96" s="11" t="str">
        <x:v>S090</x:v>
      </x:c>
      <x:c r="B96" s="11" t="str">
        <x:v>00772.HK</x:v>
      </x:c>
      <x:c r="C96" s="11" t="str">
        <x:v>阅文集团</x:v>
      </x:c>
      <x:c r="D96" s="11" t="str">
        <x:v>股票</x:v>
      </x:c>
      <x:c r="E96" s="11" t="str">
        <x:v>HKD</x:v>
      </x:c>
      <x:c r="F96" s="11" t="n">
        <x:v>20.84</x:v>
      </x:c>
      <x:c r="G96" s="11"/>
      <x:c r="H96" s="25"/>
      <x:c r="I96" s="11"/>
      <x:c r="J96" s="25"/>
      <x:c r="K96" s="11"/>
      <x:c r="L96" s="25"/>
      <x:c r="M96" s="11"/>
      <x:c r="N96" s="25"/>
      <x:c r="O96" s="11"/>
      <x:c r="P96" s="11"/>
      <x:c r="Q96" s="11"/>
      <x:c r="R96" s="11" t="str">
        <x:v>公司模型待完成</x:v>
      </x:c>
    </x:row>
    <x:row r="97" ht="23" customHeight="1">
      <x:c r="A97" s="11" t="str">
        <x:v>S091</x:v>
      </x:c>
      <x:c r="B97" s="11" t="str">
        <x:v>01024.HK</x:v>
      </x:c>
      <x:c r="C97" s="11" t="str">
        <x:v>快手-W</x:v>
      </x:c>
      <x:c r="D97" s="11" t="str">
        <x:v>股票</x:v>
      </x:c>
      <x:c r="E97" s="11" t="str">
        <x:v>HKD</x:v>
      </x:c>
      <x:c r="F97" s="11" t="n">
        <x:v>30.1</x:v>
      </x:c>
      <x:c r="G97" s="11" t="n">
        <x:f>'情景快照'!F427</x:f>
        <x:v>15.2</x:v>
      </x:c>
      <x:c r="H97" s="25" t="n">
        <x:f>'情景快照'!H427</x:f>
        <x:v>-0.4950166112956811</x:v>
      </x:c>
      <x:c r="I97" s="11" t="n">
        <x:f>'情景快照'!F428</x:f>
        <x:v>43.07</x:v>
      </x:c>
      <x:c r="J97" s="25" t="n">
        <x:f>'情景快照'!H428</x:f>
        <x:v>0.43089700996677727</x:v>
      </x:c>
      <x:c r="K97" s="11" t="n">
        <x:f>'情景快照'!F429</x:f>
        <x:v>80.02</x:v>
      </x:c>
      <x:c r="L97" s="25" t="n">
        <x:f>'情景快照'!H429</x:f>
        <x:v>1.658471760797342</x:v>
      </x:c>
      <x:c r="M97" s="11" t="n">
        <x:f>G97*$T$4+I97*$U$4+K97*$V$4</x:f>
        <x:v>45.34</x:v>
      </x:c>
      <x:c r="N97" s="25" t="n">
        <x:f>M97/F97-1</x:f>
        <x:v>0.5063122923588039</x:v>
      </x:c>
      <x:c r="O97" s="11" t="n">
        <x:f>G97*$T$7+I97*$U$7+K97*$V$7</x:f>
        <x:v>35.617000000000004</x:v>
      </x:c>
      <x:c r="P97" s="11" t="n">
        <x:f>G97*$T$10+I97*$U$10+K97*$V$10</x:f>
        <x:v>55.063</x:v>
      </x:c>
      <x:c r="Q97" s="11" t="str">
        <x:f>IF(AND('情景快照'!T427="已刷新",'情景快照'!T428="已刷新",'情景快照'!T429="已刷新"),"已刷新","待刷新")</x:f>
        <x:v>已刷新</x:v>
      </x:c>
      <x:c r="R97" s="11" t="str">
        <x:v>模型初版</x:v>
      </x:c>
    </x:row>
    <x:row r="98" ht="23" customHeight="1">
      <x:c r="A98" s="11" t="str">
        <x:v>S092</x:v>
      </x:c>
      <x:c r="B98" s="11" t="str">
        <x:v>00285.HK</x:v>
      </x:c>
      <x:c r="C98" s="11" t="str">
        <x:v>比亚迪电子</x:v>
      </x:c>
      <x:c r="D98" s="11" t="str">
        <x:v>股票</x:v>
      </x:c>
      <x:c r="E98" s="11" t="str">
        <x:v>HKD</x:v>
      </x:c>
      <x:c r="F98" s="11" t="n">
        <x:v>23.16</x:v>
      </x:c>
      <x:c r="G98" s="11"/>
      <x:c r="H98" s="25"/>
      <x:c r="I98" s="11"/>
      <x:c r="J98" s="25"/>
      <x:c r="K98" s="11"/>
      <x:c r="L98" s="25"/>
      <x:c r="M98" s="11"/>
      <x:c r="N98" s="25"/>
      <x:c r="O98" s="11"/>
      <x:c r="P98" s="11"/>
      <x:c r="Q98" s="11"/>
      <x:c r="R98" s="11" t="str">
        <x:v>公司模型待完成</x:v>
      </x:c>
    </x:row>
    <x:row r="99" ht="23" customHeight="1">
      <x:c r="A99" s="11" t="str">
        <x:v>S093</x:v>
      </x:c>
      <x:c r="B99" s="11" t="str">
        <x:v>00300.HK</x:v>
      </x:c>
      <x:c r="C99" s="11" t="str">
        <x:v>美的集团</x:v>
      </x:c>
      <x:c r="D99" s="11" t="str">
        <x:v>股票</x:v>
      </x:c>
      <x:c r="E99" s="11" t="str">
        <x:v>HKD</x:v>
      </x:c>
      <x:c r="F99" s="11" t="n">
        <x:v>93.65</x:v>
      </x:c>
      <x:c r="G99" s="11" t="n">
        <x:f>'情景快照'!F517</x:f>
        <x:v>56.59</x:v>
      </x:c>
      <x:c r="H99" s="25" t="n">
        <x:f>'情景快照'!H517</x:f>
        <x:v>-0.39572877736252</x:v>
      </x:c>
      <x:c r="I99" s="11" t="n">
        <x:f>'情景快照'!F518</x:f>
        <x:v>109.24</x:v>
      </x:c>
      <x:c r="J99" s="25" t="n">
        <x:f>'情景快照'!H518</x:f>
        <x:v>0.166470902295782</x:v>
      </x:c>
      <x:c r="K99" s="11" t="n">
        <x:f>'情景快照'!F519</x:f>
        <x:v>147.28</x:v>
      </x:c>
      <x:c r="L99" s="25" t="n">
        <x:f>'情景快照'!H519</x:f>
        <x:v>0.572664175120128</x:v>
      </x:c>
      <x:c r="M99" s="11" t="n">
        <x:f>G99*$T$4+I99*$U$4+K99*$V$4</x:f>
        <x:v>105.5875</x:v>
      </x:c>
      <x:c r="N99" s="25" t="n">
        <x:f>M99/F99-1</x:f>
        <x:v>0.1274693005872931</x:v>
      </x:c>
      <x:c r="O99" s="11" t="n">
        <x:f>G99*$T$7+I99*$U$7+K99*$V$7</x:f>
        <x:v>91.98400000000001</x:v>
      </x:c>
      <x:c r="P99" s="11" t="n">
        <x:f>G99*$T$10+I99*$U$10+K99*$V$10</x:f>
        <x:v>119.191</x:v>
      </x:c>
      <x:c r="Q99" s="11" t="str">
        <x:f>IF(AND('情景快照'!T517="已刷新",'情景快照'!T518="已刷新",'情景快照'!T519="已刷新"),"已刷新","待刷新")</x:f>
        <x:v>已刷新</x:v>
      </x:c>
      <x:c r="R99" s="11" t="str">
        <x:v>模型初版</x:v>
      </x:c>
    </x:row>
    <x:row r="100" ht="23" customHeight="1">
      <x:c r="A100" s="11" t="str">
        <x:v>S094</x:v>
      </x:c>
      <x:c r="B100" s="11" t="str">
        <x:v>06060.HK</x:v>
      </x:c>
      <x:c r="C100" s="11" t="str">
        <x:v>众安在线</x:v>
      </x:c>
      <x:c r="D100" s="11" t="str">
        <x:v>股票</x:v>
      </x:c>
      <x:c r="E100" s="11" t="str">
        <x:v>HKD</x:v>
      </x:c>
      <x:c r="F100" s="11" t="n">
        <x:v>9.52</x:v>
      </x:c>
      <x:c r="G100" s="11"/>
      <x:c r="H100" s="25"/>
      <x:c r="I100" s="11"/>
      <x:c r="J100" s="25"/>
      <x:c r="K100" s="11"/>
      <x:c r="L100" s="25"/>
      <x:c r="M100" s="11"/>
      <x:c r="N100" s="25"/>
      <x:c r="O100" s="11"/>
      <x:c r="P100" s="11"/>
      <x:c r="Q100" s="11"/>
      <x:c r="R100" s="11" t="str">
        <x:v>公司模型待完成</x:v>
      </x:c>
    </x:row>
    <x:row r="101" ht="23" customHeight="1">
      <x:c r="A101" s="11" t="str">
        <x:v>S095</x:v>
      </x:c>
      <x:c r="B101" s="11" t="str">
        <x:v>02015.HK</x:v>
      </x:c>
      <x:c r="C101" s="11" t="str">
        <x:v>理想汽车-W</x:v>
      </x:c>
      <x:c r="D101" s="11" t="str">
        <x:v>股票</x:v>
      </x:c>
      <x:c r="E101" s="11" t="str">
        <x:v>HKD</x:v>
      </x:c>
      <x:c r="F101" s="11" t="n">
        <x:v>44.66</x:v>
      </x:c>
      <x:c r="G101" s="11"/>
      <x:c r="H101" s="25"/>
      <x:c r="I101" s="11"/>
      <x:c r="J101" s="25"/>
      <x:c r="K101" s="11"/>
      <x:c r="L101" s="25"/>
      <x:c r="M101" s="11"/>
      <x:c r="N101" s="25"/>
      <x:c r="O101" s="11"/>
      <x:c r="P101" s="11"/>
      <x:c r="Q101" s="11"/>
      <x:c r="R101" s="11" t="str">
        <x:v>公司模型待完成</x:v>
      </x:c>
    </x:row>
    <x:row r="102" ht="23" customHeight="1">
      <x:c r="A102" s="11" t="str">
        <x:v>S096</x:v>
      </x:c>
      <x:c r="B102" s="11" t="str">
        <x:v>09868.HK</x:v>
      </x:c>
      <x:c r="C102" s="11" t="str">
        <x:v>小鹏集团-W</x:v>
      </x:c>
      <x:c r="D102" s="11" t="str">
        <x:v>股票</x:v>
      </x:c>
      <x:c r="E102" s="11" t="str">
        <x:v>HKD</x:v>
      </x:c>
      <x:c r="F102" s="11" t="n">
        <x:v>38.34</x:v>
      </x:c>
      <x:c r="G102" s="11"/>
      <x:c r="H102" s="25"/>
      <x:c r="I102" s="11"/>
      <x:c r="J102" s="25"/>
      <x:c r="K102" s="11"/>
      <x:c r="L102" s="25"/>
      <x:c r="M102" s="11"/>
      <x:c r="N102" s="25"/>
      <x:c r="O102" s="11"/>
      <x:c r="P102" s="11"/>
      <x:c r="Q102" s="11"/>
      <x:c r="R102" s="11" t="str">
        <x:v>公司模型待完成</x:v>
      </x:c>
    </x:row>
    <x:row r="103" ht="23" customHeight="1">
      <x:c r="A103" s="11" t="str">
        <x:v>S097</x:v>
      </x:c>
      <x:c r="B103" s="11" t="str">
        <x:v>00780.HK</x:v>
      </x:c>
      <x:c r="C103" s="11" t="str">
        <x:v>同程旅行</x:v>
      </x:c>
      <x:c r="D103" s="11" t="str">
        <x:v>股票</x:v>
      </x:c>
      <x:c r="E103" s="11" t="str">
        <x:v>HKD</x:v>
      </x:c>
      <x:c r="F103" s="11" t="n">
        <x:v>10.04</x:v>
      </x:c>
      <x:c r="G103" s="11"/>
      <x:c r="H103" s="25"/>
      <x:c r="I103" s="11"/>
      <x:c r="J103" s="25"/>
      <x:c r="K103" s="11"/>
      <x:c r="L103" s="25"/>
      <x:c r="M103" s="11"/>
      <x:c r="N103" s="25"/>
      <x:c r="O103" s="11"/>
      <x:c r="P103" s="11"/>
      <x:c r="Q103" s="11"/>
      <x:c r="R103" s="11" t="str">
        <x:v>公司模型待完成</x:v>
      </x:c>
    </x:row>
    <x:row r="104" ht="23" customHeight="1">
      <x:c r="A104" s="11" t="str">
        <x:v>S098</x:v>
      </x:c>
      <x:c r="B104" s="11" t="str">
        <x:v>01810.HK</x:v>
      </x:c>
      <x:c r="C104" s="11" t="str">
        <x:v>小米集团-W</x:v>
      </x:c>
      <x:c r="D104" s="11" t="str">
        <x:v>股票</x:v>
      </x:c>
      <x:c r="E104" s="11" t="str">
        <x:v>HKD</x:v>
      </x:c>
      <x:c r="F104" s="11" t="n">
        <x:v>25.96</x:v>
      </x:c>
      <x:c r="G104" s="11" t="n">
        <x:f>'情景快照'!F772</x:f>
        <x:v>7.21</x:v>
      </x:c>
      <x:c r="H104" s="25" t="n">
        <x:f>'情景快照'!H772</x:f>
        <x:v>-0.7222650231124808</x:v>
      </x:c>
      <x:c r="I104" s="11" t="n">
        <x:f>'情景快照'!F773</x:f>
        <x:v>27.4</x:v>
      </x:c>
      <x:c r="J104" s="25" t="n">
        <x:f>'情景快照'!H773</x:f>
        <x:v>0.055469953775038494</x:v>
      </x:c>
      <x:c r="K104" s="11" t="n">
        <x:f>'情景快照'!F774</x:f>
        <x:v>57.41</x:v>
      </x:c>
      <x:c r="L104" s="25" t="n">
        <x:f>'情景快照'!H774</x:f>
        <x:v>1.2114791987673343</x:v>
      </x:c>
      <x:c r="M104" s="11" t="n">
        <x:f>G104*$T$4+I104*$U$4+K104*$V$4</x:f>
        <x:v>29.854999999999997</x:v>
      </x:c>
      <x:c r="N104" s="25" t="n">
        <x:f>M104/F104-1</x:f>
        <x:v>0.15003852080123248</x:v>
      </x:c>
      <x:c r="O104" s="11" t="n">
        <x:f>G104*$T$7+I104*$U$7+K104*$V$7</x:f>
        <x:v>22.325</x:v>
      </x:c>
      <x:c r="P104" s="11" t="n">
        <x:f>G104*$T$10+I104*$U$10+K104*$V$10</x:f>
        <x:v>37.385</x:v>
      </x:c>
      <x:c r="Q104" s="11" t="str">
        <x:f>IF(AND('情景快照'!T772="已刷新",'情景快照'!T773="已刷新",'情景快照'!T774="已刷新"),"已刷新","待刷新")</x:f>
        <x:v>已刷新</x:v>
      </x:c>
      <x:c r="R104" s="11" t="str">
        <x:v>模型初版</x:v>
      </x:c>
    </x:row>
    <x:row r="105" ht="23" customHeight="1">
      <x:c r="A105" s="11" t="str">
        <x:v>S099</x:v>
      </x:c>
      <x:c r="B105" s="11" t="str">
        <x:v>09866.HK</x:v>
      </x:c>
      <x:c r="C105" s="11" t="str">
        <x:v>蔚来-SW</x:v>
      </x:c>
      <x:c r="D105" s="11" t="str">
        <x:v>股票</x:v>
      </x:c>
      <x:c r="E105" s="11" t="str">
        <x:v>HKD</x:v>
      </x:c>
      <x:c r="F105" s="11" t="n">
        <x:v>27.1</x:v>
      </x:c>
      <x:c r="G105" s="11"/>
      <x:c r="H105" s="25"/>
      <x:c r="I105" s="11"/>
      <x:c r="J105" s="25"/>
      <x:c r="K105" s="11"/>
      <x:c r="L105" s="25"/>
      <x:c r="M105" s="11"/>
      <x:c r="N105" s="25"/>
      <x:c r="O105" s="11"/>
      <x:c r="P105" s="11"/>
      <x:c r="Q105" s="11"/>
      <x:c r="R105" s="11" t="str">
        <x:v>公司模型待完成</x:v>
      </x:c>
    </x:row>
    <x:row r="106" ht="23" customHeight="1">
      <x:c r="A106" s="11" t="str">
        <x:v>S100</x:v>
      </x:c>
      <x:c r="B106" s="11" t="str">
        <x:v>00020.HK</x:v>
      </x:c>
      <x:c r="C106" s="11" t="str">
        <x:v>商汤-W</x:v>
      </x:c>
      <x:c r="D106" s="11" t="str">
        <x:v>股票</x:v>
      </x:c>
      <x:c r="E106" s="11" t="str">
        <x:v>HKD</x:v>
      </x:c>
      <x:c r="F106" s="11" t="n">
        <x:v>1.2</x:v>
      </x:c>
      <x:c r="G106" s="11"/>
      <x:c r="H106" s="25"/>
      <x:c r="I106" s="11"/>
      <x:c r="J106" s="25"/>
      <x:c r="K106" s="11"/>
      <x:c r="L106" s="25"/>
      <x:c r="M106" s="11"/>
      <x:c r="N106" s="25"/>
      <x:c r="O106" s="11"/>
      <x:c r="P106" s="11"/>
      <x:c r="Q106" s="11"/>
      <x:c r="R106" s="11" t="str">
        <x:v>公司模型待完成</x:v>
      </x:c>
    </x:row>
    <x:row r="107" ht="23" customHeight="1">
      <x:c r="A107" s="11" t="str">
        <x:v>S101</x:v>
      </x:c>
      <x:c r="B107" s="11" t="str">
        <x:v>00268.HK</x:v>
      </x:c>
      <x:c r="C107" s="11" t="str">
        <x:v>金蝶国际</x:v>
      </x:c>
      <x:c r="D107" s="11" t="str">
        <x:v>股票</x:v>
      </x:c>
      <x:c r="E107" s="11" t="str">
        <x:v>HKD</x:v>
      </x:c>
      <x:c r="F107" s="11" t="n">
        <x:v>7.835</x:v>
      </x:c>
      <x:c r="G107" s="11" t="n">
        <x:f>'情景快照'!F412</x:f>
        <x:v>3.09</x:v>
      </x:c>
      <x:c r="H107" s="25" t="n">
        <x:f>'情景快照'!H412</x:f>
        <x:v>-0.6056158264199107</x:v>
      </x:c>
      <x:c r="I107" s="11" t="n">
        <x:f>'情景快照'!F413</x:f>
        <x:v>9.21</x:v>
      </x:c>
      <x:c r="J107" s="25" t="n">
        <x:f>'情景快照'!H413</x:f>
        <x:v>0.17549457562220816</x:v>
      </x:c>
      <x:c r="K107" s="11" t="n">
        <x:f>'情景快照'!F414</x:f>
        <x:v>14.06</x:v>
      </x:c>
      <x:c r="L107" s="25" t="n">
        <x:f>'情景快照'!H414</x:f>
        <x:v>0.7945118059987237</x:v>
      </x:c>
      <x:c r="M107" s="11" t="n">
        <x:f>G107*$T$4+I107*$U$4+K107*$V$4</x:f>
        <x:v>8.8925</x:v>
      </x:c>
      <x:c r="N107" s="25" t="n">
        <x:f>M107/F107-1</x:f>
        <x:v>0.13497128270580738</x:v>
      </x:c>
      <x:c r="O107" s="11" t="n">
        <x:f>G107*$T$7+I107*$U$7+K107*$V$7</x:f>
        <x:v>7.247</x:v>
      </x:c>
      <x:c r="P107" s="11" t="n">
        <x:f>G107*$T$10+I107*$U$10+K107*$V$10</x:f>
        <x:v>10.538</x:v>
      </x:c>
      <x:c r="Q107" s="11" t="str">
        <x:f>IF(AND('情景快照'!T412="已刷新",'情景快照'!T413="已刷新",'情景快照'!T414="已刷新"),"已刷新","待刷新")</x:f>
        <x:v>已刷新</x:v>
      </x:c>
      <x:c r="R107" s="11" t="str">
        <x:v>模型初版</x:v>
      </x:c>
    </x:row>
    <x:row r="108" ht="23" customHeight="1">
      <x:c r="A108" s="11" t="str">
        <x:v>S102</x:v>
      </x:c>
      <x:c r="B108" s="11" t="str">
        <x:v>03888.HK</x:v>
      </x:c>
      <x:c r="C108" s="11" t="str">
        <x:v>金山软件</x:v>
      </x:c>
      <x:c r="D108" s="11" t="str">
        <x:v>股票</x:v>
      </x:c>
      <x:c r="E108" s="11" t="str">
        <x:v>HKD</x:v>
      </x:c>
      <x:c r="F108" s="11" t="n">
        <x:v>25.62</x:v>
      </x:c>
      <x:c r="G108" s="11"/>
      <x:c r="H108" s="25"/>
      <x:c r="I108" s="11"/>
      <x:c r="J108" s="25"/>
      <x:c r="K108" s="11"/>
      <x:c r="L108" s="25"/>
      <x:c r="M108" s="11"/>
      <x:c r="N108" s="25"/>
      <x:c r="O108" s="11"/>
      <x:c r="P108" s="11"/>
      <x:c r="Q108" s="11"/>
      <x:c r="R108" s="11" t="str">
        <x:v>公司模型待完成</x:v>
      </x:c>
    </x:row>
    <x:row r="109" ht="23" customHeight="1">
      <x:c r="A109" s="11" t="str">
        <x:v>S103</x:v>
      </x:c>
      <x:c r="B109" s="11" t="str">
        <x:v>00981.HK</x:v>
      </x:c>
      <x:c r="C109" s="11" t="str">
        <x:v>中芯国际</x:v>
      </x:c>
      <x:c r="D109" s="11" t="str">
        <x:v>股票</x:v>
      </x:c>
      <x:c r="E109" s="11" t="str">
        <x:v>HKD</x:v>
      </x:c>
      <x:c r="F109" s="11" t="n">
        <x:v>57.65</x:v>
      </x:c>
      <x:c r="G109" s="11" t="n">
        <x:f>'情景快照'!F667</x:f>
        <x:v>17.99</x:v>
      </x:c>
      <x:c r="H109" s="25" t="n">
        <x:f>'情景快照'!H667</x:f>
        <x:v>-0.6879444926279272</x:v>
      </x:c>
      <x:c r="I109" s="11" t="n">
        <x:f>'情景快照'!F668</x:f>
        <x:v>63.23</x:v>
      </x:c>
      <x:c r="J109" s="25" t="n">
        <x:f>'情景快照'!H668</x:f>
        <x:v>0.09679098005203812</x:v>
      </x:c>
      <x:c r="K109" s="11" t="n">
        <x:f>'情景快照'!F669</x:f>
        <x:v>120.01</x:v>
      </x:c>
      <x:c r="L109" s="25" t="n">
        <x:f>'情景快照'!H669</x:f>
        <x:v>1.0816999132697314</x:v>
      </x:c>
      <x:c r="M109" s="11" t="n">
        <x:f>G109*$T$4+I109*$U$4+K109*$V$4</x:f>
        <x:v>66.115</x:v>
      </x:c>
      <x:c r="N109" s="25" t="n">
        <x:f>M109/F109-1</x:f>
        <x:v>0.14683434518646998</x:v>
      </x:c>
      <x:c r="O109" s="11" t="n">
        <x:f>G109*$T$7+I109*$U$7+K109*$V$7</x:f>
        <x:v>50.812</x:v>
      </x:c>
      <x:c r="P109" s="11" t="n">
        <x:f>G109*$T$10+I109*$U$10+K109*$V$10</x:f>
        <x:v>81.418</x:v>
      </x:c>
      <x:c r="Q109" s="11" t="str">
        <x:f>IF(AND('情景快照'!T667="已刷新",'情景快照'!T668="已刷新",'情景快照'!T669="已刷新"),"已刷新","待刷新")</x:f>
        <x:v>已刷新</x:v>
      </x:c>
      <x:c r="R109" s="11" t="str">
        <x:v>模型初版</x:v>
      </x:c>
    </x:row>
  </x:sheetData>
  <x:conditionalFormatting sqref="Q7:Q109">
    <x:cfRule type="containsText" dxfId="2" priority="1" operator="containsText" text="待刷新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2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9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4" t="str">
        <x:v>港币相对人民币±5% · 基准价格情景含分红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52" customHeight="1">
      <x:c r="A6" s="12" t="str">
        <x:v>代码</x:v>
      </x:c>
      <x:c r="B6" s="12" t="str">
        <x:v>公司</x:v>
      </x:c>
      <x:c r="C6" s="12" t="str">
        <x:v>期限</x:v>
      </x:c>
      <x:c r="D6" s="12" t="str">
        <x:v>证券币种</x:v>
      </x:c>
      <x:c r="E6" s="12" t="str">
        <x:v>本币总回报</x:v>
      </x:c>
      <x:c r="F6" s="12" t="str">
        <x:v>港币贬值5%人民币回报</x:v>
      </x:c>
      <x:c r="G6" s="12" t="str">
        <x:v>汇率不变人民币回报</x:v>
      </x:c>
      <x:c r="H6" s="12" t="str">
        <x:v>港币升值5%人民币回报</x:v>
      </x:c>
      <x:c r="I6" s="12" t="str">
        <x:v>年化人民币回报-5%</x:v>
      </x:c>
      <x:c r="J6" s="12" t="str">
        <x:v>年化人民币回报+5%</x:v>
      </x:c>
      <x:c r="K6" s="12" t="str">
        <x:v>计算边界</x:v>
      </x:c>
    </x:row>
    <x:row r="7" ht="23" customHeight="1">
      <x:c r="A7" s="11" t="str">
        <x:v>01530.HK</x:v>
      </x:c>
      <x:c r="B7" s="11" t="str">
        <x:v>三生制药</x:v>
      </x:c>
      <x:c r="C7" s="11" t="str">
        <x:v>2026年底</x:v>
      </x:c>
      <x:c r="D7" s="11" t="str">
        <x:v>HKD</x:v>
      </x:c>
      <x:c r="E7" s="25" t="n">
        <x:f>'情景快照'!I8</x:f>
        <x:v>0.2965789062385318</x:v>
      </x:c>
      <x:c r="F7" s="25" t="n">
        <x:f>(1+E7)*0.95-1</x:f>
        <x:v>0.23174996092660516</x:v>
      </x:c>
      <x:c r="G7" s="25" t="n">
        <x:f>E7</x:f>
        <x:v>0.2965789062385318</x:v>
      </x:c>
      <x:c r="H7" s="25" t="n">
        <x:f>(1+E7)*1.05-1</x:f>
        <x:v>0.3614078515504584</x:v>
      </x:c>
      <x:c r="I7" s="25" t="str">
        <x:f>""</x:f>
      </x:c>
      <x:c r="J7" s="25" t="str">
        <x:f>""</x:f>
      </x:c>
      <x:c r="K7" s="11" t="str">
        <x:v>仅投资者换汇；目标价固定，不再次改变盈利换算率</x:v>
      </x:c>
    </x:row>
    <x:row r="8" ht="23" customHeight="1">
      <x:c r="A8" s="11" t="str">
        <x:v>01530.HK</x:v>
      </x:c>
      <x:c r="B8" s="11" t="str">
        <x:v>三生制药</x:v>
      </x:c>
      <x:c r="C8" s="11" t="str">
        <x:v>半年</x:v>
      </x:c>
      <x:c r="D8" s="11" t="str">
        <x:v>HKD</x:v>
      </x:c>
      <x:c r="E8" s="25" t="n">
        <x:f>'情景快照'!I11</x:f>
        <x:v>0.35992253531943574</x:v>
      </x:c>
      <x:c r="F8" s="25" t="n">
        <x:f>(1+E8)*0.95-1</x:f>
        <x:v>0.29192640855346386</x:v>
      </x:c>
      <x:c r="G8" s="25" t="n">
        <x:f>E8</x:f>
        <x:v>0.35992253531943574</x:v>
      </x:c>
      <x:c r="H8" s="25" t="n">
        <x:f>(1+E8)*1.05-1</x:f>
        <x:v>0.42791866208540763</x:v>
      </x:c>
      <x:c r="I8" s="25" t="str">
        <x:f>""</x:f>
      </x:c>
      <x:c r="J8" s="25" t="str">
        <x:f>""</x:f>
      </x:c>
      <x:c r="K8" s="11" t="str">
        <x:v>仅投资者换汇；目标价固定，不再次改变盈利换算率</x:v>
      </x:c>
    </x:row>
    <x:row r="9" ht="23" customHeight="1">
      <x:c r="A9" s="11" t="str">
        <x:v>01530.HK</x:v>
      </x:c>
      <x:c r="B9" s="11" t="str">
        <x:v>三生制药</x:v>
      </x:c>
      <x:c r="C9" s="11" t="str">
        <x:v>一年</x:v>
      </x:c>
      <x:c r="D9" s="11" t="str">
        <x:v>HKD</x:v>
      </x:c>
      <x:c r="E9" s="25" t="n">
        <x:f>'情景快照'!I14</x:f>
        <x:v>0.6797477595400758</x:v>
      </x:c>
      <x:c r="F9" s="25" t="n">
        <x:f>(1+E9)*0.95-1</x:f>
        <x:v>0.5957603715630719</x:v>
      </x:c>
      <x:c r="G9" s="25" t="n">
        <x:f>E9</x:f>
        <x:v>0.6797477595400758</x:v>
      </x:c>
      <x:c r="H9" s="25" t="n">
        <x:f>(1+E9)*1.05-1</x:f>
        <x:v>0.7637351475170797</x:v>
      </x:c>
      <x:c r="I9" s="25" t="str">
        <x:f>""</x:f>
      </x:c>
      <x:c r="J9" s="25" t="str">
        <x:f>""</x:f>
      </x:c>
      <x:c r="K9" s="11" t="str">
        <x:v>仅投资者换汇；目标价固定，不再次改变盈利换算率</x:v>
      </x:c>
    </x:row>
    <x:row r="10" ht="23" customHeight="1">
      <x:c r="A10" s="11" t="str">
        <x:v>01530.HK</x:v>
      </x:c>
      <x:c r="B10" s="11" t="str">
        <x:v>三生制药</x:v>
      </x:c>
      <x:c r="C10" s="11" t="str">
        <x:v>三年</x:v>
      </x:c>
      <x:c r="D10" s="11" t="str">
        <x:v>HKD</x:v>
      </x:c>
      <x:c r="E10" s="25" t="n">
        <x:f>'情景快照'!I17</x:f>
        <x:v>1.1445894836688186</x:v>
      </x:c>
      <x:c r="F10" s="25" t="n">
        <x:f>(1+E10)*0.95-1</x:f>
        <x:v>1.0373600094853774</x:v>
      </x:c>
      <x:c r="G10" s="25" t="n">
        <x:f>E10</x:f>
        <x:v>1.1445894836688186</x:v>
      </x:c>
      <x:c r="H10" s="25" t="n">
        <x:f>(1+E10)*1.05-1</x:f>
        <x:v>1.2518189578522598</x:v>
      </x:c>
      <x:c r="I10" s="25" t="n">
        <x:f>(1+F10)^(1/3)-1</x:f>
        <x:v>0.267717812106155</x:v>
      </x:c>
      <x:c r="J10" s="25" t="n">
        <x:f>(1+H10)^(1/3)-1</x:f>
        <x:v>0.3107237144467465</x:v>
      </x:c>
      <x:c r="K10" s="11" t="str">
        <x:v>仅投资者换汇；目标价固定，不再次改变盈利换算率</x:v>
      </x:c>
    </x:row>
    <x:row r="11" ht="23" customHeight="1">
      <x:c r="A11" s="11" t="str">
        <x:v>01530.HK</x:v>
      </x:c>
      <x:c r="B11" s="11" t="str">
        <x:v>三生制药</x:v>
      </x:c>
      <x:c r="C11" s="11" t="str">
        <x:v>五年</x:v>
      </x:c>
      <x:c r="D11" s="11" t="str">
        <x:v>HKD</x:v>
      </x:c>
      <x:c r="E11" s="25" t="n">
        <x:f>'情景快照'!I20</x:f>
        <x:v>1.6288157619127355</x:v>
      </x:c>
      <x:c r="F11" s="25" t="n">
        <x:f>(1+E11)*0.95-1</x:f>
        <x:v>1.4973749738170987</x:v>
      </x:c>
      <x:c r="G11" s="25" t="n">
        <x:f>E11</x:f>
        <x:v>1.6288157619127355</x:v>
      </x:c>
      <x:c r="H11" s="25" t="n">
        <x:f>(1+E11)*1.05-1</x:f>
        <x:v>1.7602565500083722</x:v>
      </x:c>
      <x:c r="I11" s="25" t="n">
        <x:f>(1+F11)^(1/5)-1</x:f>
        <x:v>0.20087208932630007</x:v>
      </x:c>
      <x:c r="J11" s="25" t="n">
        <x:f>(1+H11)^(1/5)-1</x:f>
        <x:v>0.2251517644404195</x:v>
      </x:c>
      <x:c r="K11" s="11" t="str">
        <x:v>仅投资者换汇；目标价固定，不再次改变盈利换算率</x:v>
      </x:c>
    </x:row>
    <x:row r="12" ht="23" customHeight="1">
      <x:c r="A12" s="11" t="str">
        <x:v>09926.HK</x:v>
      </x:c>
      <x:c r="B12" s="11" t="str">
        <x:v>康方生物</x:v>
      </x:c>
      <x:c r="C12" s="11" t="str">
        <x:v>2026年底</x:v>
      </x:c>
      <x:c r="D12" s="11" t="str">
        <x:v>HKD</x:v>
      </x:c>
      <x:c r="E12" s="25" t="n">
        <x:f>'情景快照'!I23</x:f>
        <x:v>-0.3832906895482503</x:v>
      </x:c>
      <x:c r="F12" s="25" t="n">
        <x:f>(1+E12)*0.95-1</x:f>
        <x:v>-0.41412615507083783</x:v>
      </x:c>
      <x:c r="G12" s="25" t="n">
        <x:f>E12</x:f>
        <x:v>-0.3832906895482503</x:v>
      </x:c>
      <x:c r="H12" s="25" t="n">
        <x:f>(1+E12)*1.05-1</x:f>
        <x:v>-0.35245522402566276</x:v>
      </x:c>
      <x:c r="I12" s="25" t="str">
        <x:f>""</x:f>
      </x:c>
      <x:c r="J12" s="25" t="str">
        <x:f>""</x:f>
      </x:c>
      <x:c r="K12" s="11" t="str">
        <x:v>仅投资者换汇；目标价固定，不再次改变盈利换算率</x:v>
      </x:c>
    </x:row>
    <x:row r="13" ht="23" customHeight="1">
      <x:c r="A13" s="11" t="str">
        <x:v>09926.HK</x:v>
      </x:c>
      <x:c r="B13" s="11" t="str">
        <x:v>康方生物</x:v>
      </x:c>
      <x:c r="C13" s="11" t="str">
        <x:v>半年</x:v>
      </x:c>
      <x:c r="D13" s="11" t="str">
        <x:v>HKD</x:v>
      </x:c>
      <x:c r="E13" s="25" t="n">
        <x:f>'情景快照'!I26</x:f>
        <x:v>-0.3465304905093203</x:v>
      </x:c>
      <x:c r="F13" s="25" t="n">
        <x:f>(1+E13)*0.95-1</x:f>
        <x:v>-0.3792039659838543</x:v>
      </x:c>
      <x:c r="G13" s="25" t="n">
        <x:f>E13</x:f>
        <x:v>-0.3465304905093203</x:v>
      </x:c>
      <x:c r="H13" s="25" t="n">
        <x:f>(1+E13)*1.05-1</x:f>
        <x:v>-0.31385701503478625</x:v>
      </x:c>
      <x:c r="I13" s="25" t="str">
        <x:f>""</x:f>
      </x:c>
      <x:c r="J13" s="25" t="str">
        <x:f>""</x:f>
      </x:c>
      <x:c r="K13" s="11" t="str">
        <x:v>仅投资者换汇；目标价固定，不再次改变盈利换算率</x:v>
      </x:c>
    </x:row>
    <x:row r="14" ht="23" customHeight="1">
      <x:c r="A14" s="11" t="str">
        <x:v>09926.HK</x:v>
      </x:c>
      <x:c r="B14" s="11" t="str">
        <x:v>康方生物</x:v>
      </x:c>
      <x:c r="C14" s="11" t="str">
        <x:v>一年</x:v>
      </x:c>
      <x:c r="D14" s="11" t="str">
        <x:v>HKD</x:v>
      </x:c>
      <x:c r="E14" s="25" t="n">
        <x:f>'情景快照'!I29</x:f>
        <x:v>-0.20378642468440844</x:v>
      </x:c>
      <x:c r="F14" s="25" t="n">
        <x:f>(1+E14)*0.95-1</x:f>
        <x:v>-0.24359710345018804</x:v>
      </x:c>
      <x:c r="G14" s="25" t="n">
        <x:f>E14</x:f>
        <x:v>-0.20378642468440844</x:v>
      </x:c>
      <x:c r="H14" s="25" t="n">
        <x:f>(1+E14)*1.05-1</x:f>
        <x:v>-0.16397574591862885</x:v>
      </x:c>
      <x:c r="I14" s="25" t="str">
        <x:f>""</x:f>
      </x:c>
      <x:c r="J14" s="25" t="str">
        <x:f>""</x:f>
      </x:c>
      <x:c r="K14" s="11" t="str">
        <x:v>仅投资者换汇；目标价固定，不再次改变盈利换算率</x:v>
      </x:c>
    </x:row>
    <x:row r="15" ht="23" customHeight="1">
      <x:c r="A15" s="11" t="str">
        <x:v>09926.HK</x:v>
      </x:c>
      <x:c r="B15" s="11" t="str">
        <x:v>康方生物</x:v>
      </x:c>
      <x:c r="C15" s="11" t="str">
        <x:v>三年</x:v>
      </x:c>
      <x:c r="D15" s="11" t="str">
        <x:v>HKD</x:v>
      </x:c>
      <x:c r="E15" s="25" t="n">
        <x:f>'情景快照'!I32</x:f>
        <x:v>0.14601723147212753</x:v>
      </x:c>
      <x:c r="F15" s="25" t="n">
        <x:f>(1+E15)*0.95-1</x:f>
        <x:v>0.08871636989852116</x:v>
      </x:c>
      <x:c r="G15" s="25" t="n">
        <x:f>E15</x:f>
        <x:v>0.14601723147212753</x:v>
      </x:c>
      <x:c r="H15" s="25" t="n">
        <x:f>(1+E15)*1.05-1</x:f>
        <x:v>0.2033180930457339</x:v>
      </x:c>
      <x:c r="I15" s="25" t="n">
        <x:f>(1+F15)^(1/3)-1</x:f>
        <x:v>0.028738320651472193</x:v>
      </x:c>
      <x:c r="J15" s="25" t="n">
        <x:f>(1+H15)^(1/3)-1</x:f>
        <x:v>0.06363711226698099</x:v>
      </x:c>
      <x:c r="K15" s="11" t="str">
        <x:v>仅投资者换汇；目标价固定，不再次改变盈利换算率</x:v>
      </x:c>
    </x:row>
    <x:row r="16" ht="23" customHeight="1">
      <x:c r="A16" s="11" t="str">
        <x:v>09926.HK</x:v>
      </x:c>
      <x:c r="B16" s="11" t="str">
        <x:v>康方生物</x:v>
      </x:c>
      <x:c r="C16" s="11" t="str">
        <x:v>五年</x:v>
      </x:c>
      <x:c r="D16" s="11" t="str">
        <x:v>HKD</x:v>
      </x:c>
      <x:c r="E16" s="25" t="n">
        <x:f>'情景快照'!I35</x:f>
        <x:v>0.4025829056910353</x:v>
      </x:c>
      <x:c r="F16" s="25" t="n">
        <x:f>(1+E16)*0.95-1</x:f>
        <x:v>0.33245376040648345</x:v>
      </x:c>
      <x:c r="G16" s="25" t="n">
        <x:f>E16</x:f>
        <x:v>0.4025829056910353</x:v>
      </x:c>
      <x:c r="H16" s="25" t="n">
        <x:f>(1+E16)*1.05-1</x:f>
        <x:v>0.4727120509755871</x:v>
      </x:c>
      <x:c r="I16" s="25" t="n">
        <x:f>(1+F16)^(1/5)-1</x:f>
        <x:v>0.05908405446608689</x:v>
      </x:c>
      <x:c r="J16" s="25" t="n">
        <x:f>(1+H16)^(1/5)-1</x:f>
        <x:v>0.08049700676095362</x:v>
      </x:c>
      <x:c r="K16" s="11" t="str">
        <x:v>仅投资者换汇；目标价固定，不再次改变盈利换算率</x:v>
      </x:c>
    </x:row>
    <x:row r="17" ht="23" customHeight="1">
      <x:c r="A17" s="11" t="str">
        <x:v>09988.HK</x:v>
      </x:c>
      <x:c r="B17" s="11" t="str">
        <x:v>阿里巴巴-W</x:v>
      </x:c>
      <x:c r="C17" s="11" t="str">
        <x:v>2026年底</x:v>
      </x:c>
      <x:c r="D17" s="11" t="str">
        <x:v>HKD</x:v>
      </x:c>
      <x:c r="E17" s="25" t="n">
        <x:f>'情景快照'!I38</x:f>
        <x:v>0.24392523364485985</x:v>
      </x:c>
      <x:c r="F17" s="25" t="n">
        <x:f>(1+E17)*0.95-1</x:f>
        <x:v>0.18172897196261673</x:v>
      </x:c>
      <x:c r="G17" s="25" t="n">
        <x:f>E17</x:f>
        <x:v>0.24392523364485985</x:v>
      </x:c>
      <x:c r="H17" s="25" t="n">
        <x:f>(1+E17)*1.05-1</x:f>
        <x:v>0.306121495327103</x:v>
      </x:c>
      <x:c r="I17" s="25" t="str">
        <x:f>""</x:f>
      </x:c>
      <x:c r="J17" s="25" t="str">
        <x:f>""</x:f>
      </x:c>
      <x:c r="K17" s="11" t="str">
        <x:v>仅投资者换汇；目标价固定，不再次改变盈利换算率</x:v>
      </x:c>
    </x:row>
    <x:row r="18" ht="23" customHeight="1">
      <x:c r="A18" s="11" t="str">
        <x:v>09988.HK</x:v>
      </x:c>
      <x:c r="B18" s="11" t="str">
        <x:v>阿里巴巴-W</x:v>
      </x:c>
      <x:c r="C18" s="11" t="str">
        <x:v>半年</x:v>
      </x:c>
      <x:c r="D18" s="11" t="str">
        <x:v>HKD</x:v>
      </x:c>
      <x:c r="E18" s="25" t="n">
        <x:f>'情景快照'!I41</x:f>
        <x:v>0.42037383177570087</x:v>
      </x:c>
      <x:c r="F18" s="25" t="n">
        <x:f>(1+E18)*0.95-1</x:f>
        <x:v>0.3493551401869157</x:v>
      </x:c>
      <x:c r="G18" s="25" t="n">
        <x:f>E18</x:f>
        <x:v>0.42037383177570087</x:v>
      </x:c>
      <x:c r="H18" s="25" t="n">
        <x:f>(1+E18)*1.05-1</x:f>
        <x:v>0.491392523364486</x:v>
      </x:c>
      <x:c r="I18" s="25" t="str">
        <x:f>""</x:f>
      </x:c>
      <x:c r="J18" s="25" t="str">
        <x:f>""</x:f>
      </x:c>
      <x:c r="K18" s="11" t="str">
        <x:v>仅投资者换汇；目标价固定，不再次改变盈利换算率</x:v>
      </x:c>
    </x:row>
    <x:row r="19" ht="23" customHeight="1">
      <x:c r="A19" s="11" t="str">
        <x:v>09988.HK</x:v>
      </x:c>
      <x:c r="B19" s="11" t="str">
        <x:v>阿里巴巴-W</x:v>
      </x:c>
      <x:c r="C19" s="11" t="str">
        <x:v>一年</x:v>
      </x:c>
      <x:c r="D19" s="11" t="str">
        <x:v>HKD</x:v>
      </x:c>
      <x:c r="E19" s="25" t="n">
        <x:f>'情景快照'!I44</x:f>
        <x:v>0.615233644859813</x:v>
      </x:c>
      <x:c r="F19" s="25" t="n">
        <x:f>(1+E19)*0.95-1</x:f>
        <x:v>0.5344719626168224</x:v>
      </x:c>
      <x:c r="G19" s="25" t="n">
        <x:f>E19</x:f>
        <x:v>0.615233644859813</x:v>
      </x:c>
      <x:c r="H19" s="25" t="n">
        <x:f>(1+E19)*1.05-1</x:f>
        <x:v>0.6959953271028037</x:v>
      </x:c>
      <x:c r="I19" s="25" t="str">
        <x:f>""</x:f>
      </x:c>
      <x:c r="J19" s="25" t="str">
        <x:f>""</x:f>
      </x:c>
      <x:c r="K19" s="11" t="str">
        <x:v>仅投资者换汇；目标价固定，不再次改变盈利换算率</x:v>
      </x:c>
    </x:row>
    <x:row r="20" ht="23" customHeight="1">
      <x:c r="A20" s="11" t="str">
        <x:v>09988.HK</x:v>
      </x:c>
      <x:c r="B20" s="11" t="str">
        <x:v>阿里巴巴-W</x:v>
      </x:c>
      <x:c r="C20" s="11" t="str">
        <x:v>三年</x:v>
      </x:c>
      <x:c r="D20" s="11" t="str">
        <x:v>HKD</x:v>
      </x:c>
      <x:c r="E20" s="25" t="n">
        <x:f>'情景快照'!I47</x:f>
        <x:v>1.2996261682242989</x:v>
      </x:c>
      <x:c r="F20" s="25" t="n">
        <x:f>(1+E20)*0.95-1</x:f>
        <x:v>1.1846448598130839</x:v>
      </x:c>
      <x:c r="G20" s="25" t="n">
        <x:f>E20</x:f>
        <x:v>1.2996261682242989</x:v>
      </x:c>
      <x:c r="H20" s="25" t="n">
        <x:f>(1+E20)*1.05-1</x:f>
        <x:v>1.414607476635514</x:v>
      </x:c>
      <x:c r="I20" s="25" t="n">
        <x:f>(1+F20)^(1/3)-1</x:f>
        <x:v>0.29755850628985603</x:v>
      </x:c>
      <x:c r="J20" s="25" t="n">
        <x:f>(1+H20)^(1/3)-1</x:f>
        <x:v>0.3415767206509812</x:v>
      </x:c>
      <x:c r="K20" s="11" t="str">
        <x:v>仅投资者换汇；目标价固定，不再次改变盈利换算率</x:v>
      </x:c>
    </x:row>
    <x:row r="21" ht="23" customHeight="1">
      <x:c r="A21" s="11" t="str">
        <x:v>09988.HK</x:v>
      </x:c>
      <x:c r="B21" s="11" t="str">
        <x:v>阿里巴巴-W</x:v>
      </x:c>
      <x:c r="C21" s="11" t="str">
        <x:v>五年</x:v>
      </x:c>
      <x:c r="D21" s="11" t="str">
        <x:v>HKD</x:v>
      </x:c>
      <x:c r="E21" s="25" t="n">
        <x:f>'情景快照'!I50</x:f>
        <x:v>1.854205607476635</x:v>
      </x:c>
      <x:c r="F21" s="25" t="n">
        <x:f>(1+E21)*0.95-1</x:f>
        <x:v>1.7114953271028033</x:v>
      </x:c>
      <x:c r="G21" s="25" t="n">
        <x:f>E21</x:f>
        <x:v>1.854205607476635</x:v>
      </x:c>
      <x:c r="H21" s="25" t="n">
        <x:f>(1+E21)*1.05-1</x:f>
        <x:v>1.996915887850467</x:v>
      </x:c>
      <x:c r="I21" s="25" t="n">
        <x:f>(1+F21)^(1/5)-1</x:f>
        <x:v>0.22079227387297018</x:v>
      </x:c>
      <x:c r="J21" s="25" t="n">
        <x:f>(1+H21)^(1/5)-1</x:f>
        <x:v>0.24547470263030058</x:v>
      </x:c>
      <x:c r="K21" s="11" t="str">
        <x:v>仅投资者换汇；目标价固定，不再次改变盈利换算率</x:v>
      </x:c>
    </x:row>
    <x:row r="22" ht="23" customHeight="1">
      <x:c r="A22" s="11" t="str">
        <x:v>002821.SZ</x:v>
      </x:c>
      <x:c r="B22" s="11" t="str">
        <x:v>凯莱英</x:v>
      </x:c>
      <x:c r="C22" s="11" t="str">
        <x:v>2026年底</x:v>
      </x:c>
      <x:c r="D22" s="11" t="str">
        <x:v>CNY</x:v>
      </x:c>
      <x:c r="E22" s="25" t="n">
        <x:f>'情景快照'!I53</x:f>
        <x:v>-0.03332771314561911</x:v>
      </x:c>
      <x:c r="F22" s="25" t="n">
        <x:f>(1+E22)*1-1</x:f>
        <x:v>-0.03332771314561911</x:v>
      </x:c>
      <x:c r="G22" s="25" t="n">
        <x:f>E22</x:f>
        <x:v>-0.03332771314561911</x:v>
      </x:c>
      <x:c r="H22" s="25" t="n">
        <x:f>(1+E22)*1-1</x:f>
        <x:v>-0.03332771314561911</x:v>
      </x:c>
      <x:c r="I22" s="25" t="str">
        <x:f>""</x:f>
      </x:c>
      <x:c r="J22" s="25" t="str">
        <x:f>""</x:f>
      </x:c>
      <x:c r="K22" s="11" t="str">
        <x:v>仅投资者换汇；目标价固定，不再次改变盈利换算率</x:v>
      </x:c>
    </x:row>
    <x:row r="23" ht="23" customHeight="1">
      <x:c r="A23" s="11" t="str">
        <x:v>002821.SZ</x:v>
      </x:c>
      <x:c r="B23" s="11" t="str">
        <x:v>凯莱英</x:v>
      </x:c>
      <x:c r="C23" s="11" t="str">
        <x:v>半年</x:v>
      </x:c>
      <x:c r="D23" s="11" t="str">
        <x:v>CNY</x:v>
      </x:c>
      <x:c r="E23" s="25" t="n">
        <x:f>'情景快照'!I56</x:f>
        <x:v>0.06221547799696503</x:v>
      </x:c>
      <x:c r="F23" s="25" t="n">
        <x:f>(1+E23)*1-1</x:f>
        <x:v>0.06221547799696503</x:v>
      </x:c>
      <x:c r="G23" s="25" t="n">
        <x:f>E23</x:f>
        <x:v>0.06221547799696503</x:v>
      </x:c>
      <x:c r="H23" s="25" t="n">
        <x:f>(1+E23)*1-1</x:f>
        <x:v>0.06221547799696503</x:v>
      </x:c>
      <x:c r="I23" s="25" t="str">
        <x:f>""</x:f>
      </x:c>
      <x:c r="J23" s="25" t="str">
        <x:f>""</x:f>
      </x:c>
      <x:c r="K23" s="11" t="str">
        <x:v>仅投资者换汇；目标价固定，不再次改变盈利换算率</x:v>
      </x:c>
    </x:row>
    <x:row r="24" ht="23" customHeight="1">
      <x:c r="A24" s="11" t="str">
        <x:v>002821.SZ</x:v>
      </x:c>
      <x:c r="B24" s="11" t="str">
        <x:v>凯莱英</x:v>
      </x:c>
      <x:c r="C24" s="11" t="str">
        <x:v>一年</x:v>
      </x:c>
      <x:c r="D24" s="11" t="str">
        <x:v>CNY</x:v>
      </x:c>
      <x:c r="E24" s="25" t="n">
        <x:f>'情景快照'!I59</x:f>
        <x:v>0.24487157871072895</x:v>
      </x:c>
      <x:c r="F24" s="25" t="n">
        <x:f>(1+E24)*1-1</x:f>
        <x:v>0.24487157871072895</x:v>
      </x:c>
      <x:c r="G24" s="25" t="n">
        <x:f>E24</x:f>
        <x:v>0.24487157871072895</x:v>
      </x:c>
      <x:c r="H24" s="25" t="n">
        <x:f>(1+E24)*1-1</x:f>
        <x:v>0.24487157871072895</x:v>
      </x:c>
      <x:c r="I24" s="25" t="str">
        <x:f>""</x:f>
      </x:c>
      <x:c r="J24" s="25" t="str">
        <x:f>""</x:f>
      </x:c>
      <x:c r="K24" s="11" t="str">
        <x:v>仅投资者换汇；目标价固定，不再次改变盈利换算率</x:v>
      </x:c>
    </x:row>
    <x:row r="25" ht="23" customHeight="1">
      <x:c r="A25" s="11" t="str">
        <x:v>002821.SZ</x:v>
      </x:c>
      <x:c r="B25" s="11" t="str">
        <x:v>凯莱英</x:v>
      </x:c>
      <x:c r="C25" s="11" t="str">
        <x:v>三年</x:v>
      </x:c>
      <x:c r="D25" s="11" t="str">
        <x:v>CNY</x:v>
      </x:c>
      <x:c r="E25" s="25" t="n">
        <x:f>'情景快照'!I62</x:f>
        <x:v>0.6663856572809532</x:v>
      </x:c>
      <x:c r="F25" s="25" t="n">
        <x:f>(1+E25)*1-1</x:f>
        <x:v>0.6663856572809532</x:v>
      </x:c>
      <x:c r="G25" s="25" t="n">
        <x:f>E25</x:f>
        <x:v>0.6663856572809532</x:v>
      </x:c>
      <x:c r="H25" s="25" t="n">
        <x:f>(1+E25)*1-1</x:f>
        <x:v>0.6663856572809532</x:v>
      </x:c>
      <x:c r="I25" s="25" t="n">
        <x:f>(1+F25)^(1/3)-1</x:f>
        <x:v>0.18556446305783902</x:v>
      </x:c>
      <x:c r="J25" s="25" t="n">
        <x:f>(1+H25)^(1/3)-1</x:f>
        <x:v>0.18556446305783902</x:v>
      </x:c>
      <x:c r="K25" s="11" t="str">
        <x:v>仅投资者换汇；目标价固定，不再次改变盈利换算率</x:v>
      </x:c>
    </x:row>
    <x:row r="26" ht="23" customHeight="1">
      <x:c r="A26" s="11" t="str">
        <x:v>002821.SZ</x:v>
      </x:c>
      <x:c r="B26" s="11" t="str">
        <x:v>凯莱英</x:v>
      </x:c>
      <x:c r="C26" s="11" t="str">
        <x:v>五年</x:v>
      </x:c>
      <x:c r="D26" s="11" t="str">
        <x:v>CNY</x:v>
      </x:c>
      <x:c r="E26" s="25" t="n">
        <x:f>'情景快照'!I65</x:f>
        <x:v>1.1300511437082</x:v>
      </x:c>
      <x:c r="F26" s="25" t="n">
        <x:f>(1+E26)*1-1</x:f>
        <x:v>1.1300511437082</x:v>
      </x:c>
      <x:c r="G26" s="25" t="n">
        <x:f>E26</x:f>
        <x:v>1.1300511437082</x:v>
      </x:c>
      <x:c r="H26" s="25" t="n">
        <x:f>(1+E26)*1-1</x:f>
        <x:v>1.1300511437082</x:v>
      </x:c>
      <x:c r="I26" s="25" t="n">
        <x:f>(1+F26)^(1/5)-1</x:f>
        <x:v>0.16326324527044433</x:v>
      </x:c>
      <x:c r="J26" s="25" t="n">
        <x:f>(1+H26)^(1/5)-1</x:f>
        <x:v>0.16326324527044433</x:v>
      </x:c>
      <x:c r="K26" s="11" t="str">
        <x:v>仅投资者换汇；目标价固定，不再次改变盈利换算率</x:v>
      </x:c>
    </x:row>
    <x:row r="27" ht="23" customHeight="1">
      <x:c r="A27" s="11" t="str">
        <x:v>06821.HK</x:v>
      </x:c>
      <x:c r="B27" s="11" t="str">
        <x:v>凯莱英</x:v>
      </x:c>
      <x:c r="C27" s="11" t="str">
        <x:v>2026年底</x:v>
      </x:c>
      <x:c r="D27" s="11" t="str">
        <x:v>HKD</x:v>
      </x:c>
      <x:c r="E27" s="25" t="n">
        <x:f>'情景快照'!I68</x:f>
        <x:v>-0.06382978723404242</x:v>
      </x:c>
      <x:c r="F27" s="25" t="n">
        <x:f>(1+E27)*0.95-1</x:f>
        <x:v>-0.11063829787234036</x:v>
      </x:c>
      <x:c r="G27" s="25" t="n">
        <x:f>E27</x:f>
        <x:v>-0.06382978723404242</x:v>
      </x:c>
      <x:c r="H27" s="25" t="n">
        <x:f>(1+E27)*1.05-1</x:f>
        <x:v>-0.017021276595744483</x:v>
      </x:c>
      <x:c r="I27" s="25" t="str">
        <x:f>""</x:f>
      </x:c>
      <x:c r="J27" s="25" t="str">
        <x:f>""</x:f>
      </x:c>
      <x:c r="K27" s="11" t="str">
        <x:v>仅投资者换汇；目标价固定，不再次改变盈利换算率</x:v>
      </x:c>
    </x:row>
    <x:row r="28" ht="23" customHeight="1">
      <x:c r="A28" s="11" t="str">
        <x:v>06821.HK</x:v>
      </x:c>
      <x:c r="B28" s="11" t="str">
        <x:v>凯莱英</x:v>
      </x:c>
      <x:c r="C28" s="11" t="str">
        <x:v>半年</x:v>
      </x:c>
      <x:c r="D28" s="11" t="str">
        <x:v>HKD</x:v>
      </x:c>
      <x:c r="E28" s="25" t="n">
        <x:f>'情景快照'!I71</x:f>
        <x:v>0.08510638297872353</x:v>
      </x:c>
      <x:c r="F28" s="25" t="n">
        <x:f>(1+E28)*0.95-1</x:f>
        <x:v>0.030851063829787195</x:v>
      </x:c>
      <x:c r="G28" s="25" t="n">
        <x:f>E28</x:f>
        <x:v>0.08510638297872353</x:v>
      </x:c>
      <x:c r="H28" s="25" t="n">
        <x:f>(1+E28)*1.05-1</x:f>
        <x:v>0.13936170212765986</x:v>
      </x:c>
      <x:c r="I28" s="25" t="str">
        <x:f>""</x:f>
      </x:c>
      <x:c r="J28" s="25" t="str">
        <x:f>""</x:f>
      </x:c>
      <x:c r="K28" s="11" t="str">
        <x:v>仅投资者换汇；目标价固定，不再次改变盈利换算率</x:v>
      </x:c>
    </x:row>
    <x:row r="29" ht="23" customHeight="1">
      <x:c r="A29" s="11" t="str">
        <x:v>06821.HK</x:v>
      </x:c>
      <x:c r="B29" s="11" t="str">
        <x:v>凯莱英</x:v>
      </x:c>
      <x:c r="C29" s="11" t="str">
        <x:v>一年</x:v>
      </x:c>
      <x:c r="D29" s="11" t="str">
        <x:v>HKD</x:v>
      </x:c>
      <x:c r="E29" s="25" t="n">
        <x:f>'情景快照'!I74</x:f>
        <x:v>0.3368794326241136</x:v>
      </x:c>
      <x:c r="F29" s="25" t="n">
        <x:f>(1+E29)*0.95-1</x:f>
        <x:v>0.27003546099290787</x:v>
      </x:c>
      <x:c r="G29" s="25" t="n">
        <x:f>E29</x:f>
        <x:v>0.3368794326241136</x:v>
      </x:c>
      <x:c r="H29" s="25" t="n">
        <x:f>(1+E29)*1.05-1</x:f>
        <x:v>0.4037234042553193</x:v>
      </x:c>
      <x:c r="I29" s="25" t="str">
        <x:f>""</x:f>
      </x:c>
      <x:c r="J29" s="25" t="str">
        <x:f>""</x:f>
      </x:c>
      <x:c r="K29" s="11" t="str">
        <x:v>仅投资者换汇；目标价固定，不再次改变盈利换算率</x:v>
      </x:c>
    </x:row>
    <x:row r="30" ht="23" customHeight="1">
      <x:c r="A30" s="11" t="str">
        <x:v>06821.HK</x:v>
      </x:c>
      <x:c r="B30" s="11" t="str">
        <x:v>凯莱英</x:v>
      </x:c>
      <x:c r="C30" s="11" t="str">
        <x:v>三年</x:v>
      </x:c>
      <x:c r="D30" s="11" t="str">
        <x:v>HKD</x:v>
      </x:c>
      <x:c r="E30" s="25" t="n">
        <x:f>'情景快照'!I77</x:f>
        <x:v>0.8085106382978728</x:v>
      </x:c>
      <x:c r="F30" s="25" t="n">
        <x:f>(1+E30)*0.95-1</x:f>
        <x:v>0.7180851063829792</x:v>
      </x:c>
      <x:c r="G30" s="25" t="n">
        <x:f>E30</x:f>
        <x:v>0.8085106382978728</x:v>
      </x:c>
      <x:c r="H30" s="25" t="n">
        <x:f>(1+E30)*1.05-1</x:f>
        <x:v>0.8989361702127665</x:v>
      </x:c>
      <x:c r="I30" s="25" t="n">
        <x:f>(1+F30)^(1/3)-1</x:f>
        <x:v>0.19770048206585744</x:v>
      </x:c>
      <x:c r="J30" s="25" t="n">
        <x:f>(1+H30)^(1/3)-1</x:f>
        <x:v>0.23833112515781596</x:v>
      </x:c>
      <x:c r="K30" s="11" t="str">
        <x:v>仅投资者换汇；目标价固定，不再次改变盈利换算率</x:v>
      </x:c>
    </x:row>
    <x:row r="31" ht="23" customHeight="1">
      <x:c r="A31" s="11" t="str">
        <x:v>06821.HK</x:v>
      </x:c>
      <x:c r="B31" s="11" t="str">
        <x:v>凯莱英</x:v>
      </x:c>
      <x:c r="C31" s="11" t="str">
        <x:v>五年</x:v>
      </x:c>
      <x:c r="D31" s="11" t="str">
        <x:v>HKD</x:v>
      </x:c>
      <x:c r="E31" s="25" t="n">
        <x:f>'情景快照'!I80</x:f>
        <x:v>1.361702127659575</x:v>
      </x:c>
      <x:c r="F31" s="25" t="n">
        <x:f>(1+E31)*0.95-1</x:f>
        <x:v>1.2436170212765965</x:v>
      </x:c>
      <x:c r="G31" s="25" t="n">
        <x:f>E31</x:f>
        <x:v>1.361702127659575</x:v>
      </x:c>
      <x:c r="H31" s="25" t="n">
        <x:f>(1+E31)*1.05-1</x:f>
        <x:v>1.4797872340425537</x:v>
      </x:c>
      <x:c r="I31" s="25" t="n">
        <x:f>(1+F31)^(1/5)-1</x:f>
        <x:v>0.1754109851593466</x:v>
      </x:c>
      <x:c r="J31" s="25" t="n">
        <x:f>(1+H31)^(1/5)-1</x:f>
        <x:v>0.19917587827235606</x:v>
      </x:c>
      <x:c r="K31" s="11" t="str">
        <x:v>仅投资者换汇；目标价固定，不再次改变盈利换算率</x:v>
      </x:c>
    </x:row>
    <x:row r="32" ht="23" customHeight="1">
      <x:c r="A32" s="11" t="str">
        <x:v>09888.HK</x:v>
      </x:c>
      <x:c r="B32" s="11" t="str">
        <x:v>百度集团-W</x:v>
      </x:c>
      <x:c r="C32" s="11" t="str">
        <x:v>2026年底</x:v>
      </x:c>
      <x:c r="D32" s="11" t="str">
        <x:v>HKD</x:v>
      </x:c>
      <x:c r="E32" s="25" t="n">
        <x:f>'情景快照'!I83</x:f>
        <x:v>0.21024096385542168</x:v>
      </x:c>
      <x:c r="F32" s="25" t="n">
        <x:f>(1+E32)*0.95-1</x:f>
        <x:v>0.14972891566265045</x:v>
      </x:c>
      <x:c r="G32" s="25" t="n">
        <x:f>E32</x:f>
        <x:v>0.21024096385542168</x:v>
      </x:c>
      <x:c r="H32" s="25" t="n">
        <x:f>(1+E32)*1.05-1</x:f>
        <x:v>0.2707530120481929</x:v>
      </x:c>
      <x:c r="I32" s="25" t="str">
        <x:f>""</x:f>
      </x:c>
      <x:c r="J32" s="25" t="str">
        <x:f>""</x:f>
      </x:c>
      <x:c r="K32" s="11" t="str">
        <x:v>仅投资者换汇；目标价固定，不再次改变盈利换算率</x:v>
      </x:c>
    </x:row>
    <x:row r="33" ht="23" customHeight="1">
      <x:c r="A33" s="11" t="str">
        <x:v>09888.HK</x:v>
      </x:c>
      <x:c r="B33" s="11" t="str">
        <x:v>百度集团-W</x:v>
      </x:c>
      <x:c r="C33" s="11" t="str">
        <x:v>半年</x:v>
      </x:c>
      <x:c r="D33" s="11" t="str">
        <x:v>HKD</x:v>
      </x:c>
      <x:c r="E33" s="25" t="n">
        <x:f>'情景快照'!I86</x:f>
        <x:v>0.2956626506024098</x:v>
      </x:c>
      <x:c r="F33" s="25" t="n">
        <x:f>(1+E33)*0.95-1</x:f>
        <x:v>0.23087951807228935</x:v>
      </x:c>
      <x:c r="G33" s="25" t="n">
        <x:f>E33</x:f>
        <x:v>0.2956626506024098</x:v>
      </x:c>
      <x:c r="H33" s="25" t="n">
        <x:f>(1+E33)*1.05-1</x:f>
        <x:v>0.3604457831325303</x:v>
      </x:c>
      <x:c r="I33" s="25" t="str">
        <x:f>""</x:f>
      </x:c>
      <x:c r="J33" s="25" t="str">
        <x:f>""</x:f>
      </x:c>
      <x:c r="K33" s="11" t="str">
        <x:v>仅投资者换汇；目标价固定，不再次改变盈利换算率</x:v>
      </x:c>
    </x:row>
    <x:row r="34" ht="23" customHeight="1">
      <x:c r="A34" s="11" t="str">
        <x:v>09888.HK</x:v>
      </x:c>
      <x:c r="B34" s="11" t="str">
        <x:v>百度集团-W</x:v>
      </x:c>
      <x:c r="C34" s="11" t="str">
        <x:v>一年</x:v>
      </x:c>
      <x:c r="D34" s="11" t="str">
        <x:v>HKD</x:v>
      </x:c>
      <x:c r="E34" s="25" t="n">
        <x:f>'情景快照'!I89</x:f>
        <x:v>0.42807228915662643</x:v>
      </x:c>
      <x:c r="F34" s="25" t="n">
        <x:f>(1+E34)*0.95-1</x:f>
        <x:v>0.35666867469879504</x:v>
      </x:c>
      <x:c r="G34" s="25" t="n">
        <x:f>E34</x:f>
        <x:v>0.42807228915662643</x:v>
      </x:c>
      <x:c r="H34" s="25" t="n">
        <x:f>(1+E34)*1.05-1</x:f>
        <x:v>0.4994759036144578</x:v>
      </x:c>
      <x:c r="I34" s="25" t="str">
        <x:f>""</x:f>
      </x:c>
      <x:c r="J34" s="25" t="str">
        <x:f>""</x:f>
      </x:c>
      <x:c r="K34" s="11" t="str">
        <x:v>仅投资者换汇；目标价固定，不再次改变盈利换算率</x:v>
      </x:c>
    </x:row>
    <x:row r="35" ht="23" customHeight="1">
      <x:c r="A35" s="11" t="str">
        <x:v>09888.HK</x:v>
      </x:c>
      <x:c r="B35" s="11" t="str">
        <x:v>百度集团-W</x:v>
      </x:c>
      <x:c r="C35" s="11" t="str">
        <x:v>三年</x:v>
      </x:c>
      <x:c r="D35" s="11" t="str">
        <x:v>HKD</x:v>
      </x:c>
      <x:c r="E35" s="25" t="n">
        <x:f>'情景快照'!I92</x:f>
        <x:v>1.1150602409638557</x:v>
      </x:c>
      <x:c r="F35" s="25" t="n">
        <x:f>(1+E35)*0.95-1</x:f>
        <x:v>1.0093072289156626</x:v>
      </x:c>
      <x:c r="G35" s="25" t="n">
        <x:f>E35</x:f>
        <x:v>1.1150602409638557</x:v>
      </x:c>
      <x:c r="H35" s="25" t="n">
        <x:f>(1+E35)*1.05-1</x:f>
        <x:v>1.2208132530120488</x:v>
      </x:c>
      <x:c r="I35" s="25" t="n">
        <x:f>(1+F35)^(1/3)-1</x:f>
        <x:v>0.2618724216451609</x:v>
      </x:c>
      <x:c r="J35" s="25" t="n">
        <x:f>(1+H35)^(1/3)-1</x:f>
        <x:v>0.3046800256823703</x:v>
      </x:c>
      <x:c r="K35" s="11" t="str">
        <x:v>仅投资者换汇；目标价固定，不再次改变盈利换算率</x:v>
      </x:c>
    </x:row>
    <x:row r="36" ht="23" customHeight="1">
      <x:c r="A36" s="11" t="str">
        <x:v>09888.HK</x:v>
      </x:c>
      <x:c r="B36" s="11" t="str">
        <x:v>百度集团-W</x:v>
      </x:c>
      <x:c r="C36" s="11" t="str">
        <x:v>五年</x:v>
      </x:c>
      <x:c r="D36" s="11" t="str">
        <x:v>HKD</x:v>
      </x:c>
      <x:c r="E36" s="25" t="n">
        <x:f>'情景快照'!I95</x:f>
        <x:v>1.6872289156626503</x:v>
      </x:c>
      <x:c r="F36" s="25" t="n">
        <x:f>(1+E36)*0.95-1</x:f>
        <x:v>1.5528674698795175</x:v>
      </x:c>
      <x:c r="G36" s="25" t="n">
        <x:f>E36</x:f>
        <x:v>1.6872289156626503</x:v>
      </x:c>
      <x:c r="H36" s="25" t="n">
        <x:f>(1+E36)*1.05-1</x:f>
        <x:v>1.8215903614457831</x:v>
      </x:c>
      <x:c r="I36" s="25" t="n">
        <x:f>(1+F36)^(1/5)-1</x:f>
        <x:v>0.20616203309183345</x:v>
      </x:c>
      <x:c r="J36" s="25" t="n">
        <x:f>(1+H36)^(1/5)-1</x:f>
        <x:v>0.2305486622413917</x:v>
      </x:c>
      <x:c r="K36" s="11" t="str">
        <x:v>仅投资者换汇；目标价固定，不再次改变盈利换算率</x:v>
      </x:c>
    </x:row>
    <x:row r="37" ht="23" customHeight="1">
      <x:c r="A37" s="11" t="str">
        <x:v>688235.SH</x:v>
      </x:c>
      <x:c r="B37" s="11" t="str">
        <x:v>百济神州</x:v>
      </x:c>
      <x:c r="C37" s="11" t="str">
        <x:v>2026年底</x:v>
      </x:c>
      <x:c r="D37" s="11" t="str">
        <x:v>CNY</x:v>
      </x:c>
      <x:c r="E37" s="25" t="n">
        <x:f>'情景快照'!I98</x:f>
        <x:v>0.12803271476484213</x:v>
      </x:c>
      <x:c r="F37" s="25" t="n">
        <x:f>(1+E37)*1-1</x:f>
        <x:v>0.12803271476484213</x:v>
      </x:c>
      <x:c r="G37" s="25" t="n">
        <x:f>E37</x:f>
        <x:v>0.12803271476484213</x:v>
      </x:c>
      <x:c r="H37" s="25" t="n">
        <x:f>(1+E37)*1-1</x:f>
        <x:v>0.12803271476484213</x:v>
      </x:c>
      <x:c r="I37" s="25" t="str">
        <x:f>""</x:f>
      </x:c>
      <x:c r="J37" s="25" t="str">
        <x:f>""</x:f>
      </x:c>
      <x:c r="K37" s="11" t="str">
        <x:v>仅投资者换汇；目标价固定，不再次改变盈利换算率</x:v>
      </x:c>
    </x:row>
    <x:row r="38" ht="23" customHeight="1">
      <x:c r="A38" s="11" t="str">
        <x:v>688235.SH</x:v>
      </x:c>
      <x:c r="B38" s="11" t="str">
        <x:v>百济神州</x:v>
      </x:c>
      <x:c r="C38" s="11" t="str">
        <x:v>半年</x:v>
      </x:c>
      <x:c r="D38" s="11" t="str">
        <x:v>CNY</x:v>
      </x:c>
      <x:c r="E38" s="25" t="n">
        <x:f>'情景快照'!I101</x:f>
        <x:v>0.2253067115708436</x:v>
      </x:c>
      <x:c r="F38" s="25" t="n">
        <x:f>(1+E38)*1-1</x:f>
        <x:v>0.2253067115708436</x:v>
      </x:c>
      <x:c r="G38" s="25" t="n">
        <x:f>E38</x:f>
        <x:v>0.2253067115708436</x:v>
      </x:c>
      <x:c r="H38" s="25" t="n">
        <x:f>(1+E38)*1-1</x:f>
        <x:v>0.2253067115708436</x:v>
      </x:c>
      <x:c r="I38" s="25" t="str">
        <x:f>""</x:f>
      </x:c>
      <x:c r="J38" s="25" t="str">
        <x:f>""</x:f>
      </x:c>
      <x:c r="K38" s="11" t="str">
        <x:v>仅投资者换汇；目标价固定，不再次改变盈利换算率</x:v>
      </x:c>
    </x:row>
    <x:row r="39" ht="23" customHeight="1">
      <x:c r="A39" s="11" t="str">
        <x:v>688235.SH</x:v>
      </x:c>
      <x:c r="B39" s="11" t="str">
        <x:v>百济神州</x:v>
      </x:c>
      <x:c r="C39" s="11" t="str">
        <x:v>一年</x:v>
      </x:c>
      <x:c r="D39" s="11" t="str">
        <x:v>CNY</x:v>
      </x:c>
      <x:c r="E39" s="25" t="n">
        <x:f>'情景快照'!I104</x:f>
        <x:v>0.6475094856430548</x:v>
      </x:c>
      <x:c r="F39" s="25" t="n">
        <x:f>(1+E39)*1-1</x:f>
        <x:v>0.6475094856430548</x:v>
      </x:c>
      <x:c r="G39" s="25" t="n">
        <x:f>E39</x:f>
        <x:v>0.6475094856430548</x:v>
      </x:c>
      <x:c r="H39" s="25" t="n">
        <x:f>(1+E39)*1-1</x:f>
        <x:v>0.6475094856430548</x:v>
      </x:c>
      <x:c r="I39" s="25" t="str">
        <x:f>""</x:f>
      </x:c>
      <x:c r="J39" s="25" t="str">
        <x:f>""</x:f>
      </x:c>
      <x:c r="K39" s="11" t="str">
        <x:v>仅投资者换汇；目标价固定，不再次改变盈利换算率</x:v>
      </x:c>
    </x:row>
    <x:row r="40" ht="23" customHeight="1">
      <x:c r="A40" s="11" t="str">
        <x:v>688235.SH</x:v>
      </x:c>
      <x:c r="B40" s="11" t="str">
        <x:v>百济神州</x:v>
      </x:c>
      <x:c r="C40" s="11" t="str">
        <x:v>三年</x:v>
      </x:c>
      <x:c r="D40" s="11" t="str">
        <x:v>CNY</x:v>
      </x:c>
      <x:c r="E40" s="25" t="n">
        <x:f>'情景快照'!I107</x:f>
        <x:v>0.9794108607293603</x:v>
      </x:c>
      <x:c r="F40" s="25" t="n">
        <x:f>(1+E40)*1-1</x:f>
        <x:v>0.9794108607293603</x:v>
      </x:c>
      <x:c r="G40" s="25" t="n">
        <x:f>E40</x:f>
        <x:v>0.9794108607293603</x:v>
      </x:c>
      <x:c r="H40" s="25" t="n">
        <x:f>(1+E40)*1-1</x:f>
        <x:v>0.9794108607293603</x:v>
      </x:c>
      <x:c r="I40" s="25" t="n">
        <x:f>(1+F40)^(1/3)-1</x:f>
        <x:v>0.25558268011689633</x:v>
      </x:c>
      <x:c r="J40" s="25" t="n">
        <x:f>(1+H40)^(1/3)-1</x:f>
        <x:v>0.25558268011689633</x:v>
      </x:c>
      <x:c r="K40" s="11" t="str">
        <x:v>仅投资者换汇；目标价固定，不再次改变盈利换算率</x:v>
      </x:c>
    </x:row>
    <x:row r="41" ht="23" customHeight="1">
      <x:c r="A41" s="11" t="str">
        <x:v>688235.SH</x:v>
      </x:c>
      <x:c r="B41" s="11" t="str">
        <x:v>百济神州</x:v>
      </x:c>
      <x:c r="C41" s="11" t="str">
        <x:v>五年</x:v>
      </x:c>
      <x:c r="D41" s="11" t="str">
        <x:v>CNY</x:v>
      </x:c>
      <x:c r="E41" s="25" t="n">
        <x:f>'情景快照'!I110</x:f>
        <x:v>1.3836160498416934</x:v>
      </x:c>
      <x:c r="F41" s="25" t="n">
        <x:f>(1+E41)*1-1</x:f>
        <x:v>1.3836160498416934</x:v>
      </x:c>
      <x:c r="G41" s="25" t="n">
        <x:f>E41</x:f>
        <x:v>1.3836160498416934</x:v>
      </x:c>
      <x:c r="H41" s="25" t="n">
        <x:f>(1+E41)*1-1</x:f>
        <x:v>1.3836160498416934</x:v>
      </x:c>
      <x:c r="I41" s="25" t="n">
        <x:f>(1+F41)^(1/5)-1</x:f>
        <x:v>0.18972684250747096</x:v>
      </x:c>
      <x:c r="J41" s="25" t="n">
        <x:f>(1+H41)^(1/5)-1</x:f>
        <x:v>0.18972684250747096</x:v>
      </x:c>
      <x:c r="K41" s="11" t="str">
        <x:v>仅投资者换汇；目标价固定，不再次改变盈利换算率</x:v>
      </x:c>
    </x:row>
    <x:row r="42" ht="23" customHeight="1">
      <x:c r="A42" s="11" t="str">
        <x:v>06160.HK</x:v>
      </x:c>
      <x:c r="B42" s="11" t="str">
        <x:v>百济神州</x:v>
      </x:c>
      <x:c r="C42" s="11" t="str">
        <x:v>2026年底</x:v>
      </x:c>
      <x:c r="D42" s="11" t="str">
        <x:v>HKD</x:v>
      </x:c>
      <x:c r="E42" s="25" t="n">
        <x:f>'情景快照'!I113</x:f>
        <x:v>0.1812569148408838</x:v>
      </x:c>
      <x:c r="F42" s="25" t="n">
        <x:f>(1+E42)*0.95-1</x:f>
        <x:v>0.12219406909883945</x:v>
      </x:c>
      <x:c r="G42" s="25" t="n">
        <x:f>E42</x:f>
        <x:v>0.1812569148408838</x:v>
      </x:c>
      <x:c r="H42" s="25" t="n">
        <x:f>(1+E42)*1.05-1</x:f>
        <x:v>0.24031976058292814</x:v>
      </x:c>
      <x:c r="I42" s="25" t="str">
        <x:f>""</x:f>
      </x:c>
      <x:c r="J42" s="25" t="str">
        <x:f>""</x:f>
      </x:c>
      <x:c r="K42" s="11" t="str">
        <x:v>仅投资者换汇；目标价固定，不再次改变盈利换算率</x:v>
      </x:c>
    </x:row>
    <x:row r="43" ht="23" customHeight="1">
      <x:c r="A43" s="11" t="str">
        <x:v>06160.HK</x:v>
      </x:c>
      <x:c r="B43" s="11" t="str">
        <x:v>百济神州</x:v>
      </x:c>
      <x:c r="C43" s="11" t="str">
        <x:v>半年</x:v>
      </x:c>
      <x:c r="D43" s="11" t="str">
        <x:v>HKD</x:v>
      </x:c>
      <x:c r="E43" s="25" t="n">
        <x:f>'情景快照'!I116</x:f>
        <x:v>0.3365839694656483</x:v>
      </x:c>
      <x:c r="F43" s="25" t="n">
        <x:f>(1+E43)*0.95-1</x:f>
        <x:v>0.2697547709923658</x:v>
      </x:c>
      <x:c r="G43" s="25" t="n">
        <x:f>E43</x:f>
        <x:v>0.3365839694656483</x:v>
      </x:c>
      <x:c r="H43" s="25" t="n">
        <x:f>(1+E43)*1.05-1</x:f>
        <x:v>0.4034131679389308</x:v>
      </x:c>
      <x:c r="I43" s="25" t="str">
        <x:f>""</x:f>
      </x:c>
      <x:c r="J43" s="25" t="str">
        <x:f>""</x:f>
      </x:c>
      <x:c r="K43" s="11" t="str">
        <x:v>仅投资者换汇；目标价固定，不再次改变盈利换算率</x:v>
      </x:c>
    </x:row>
    <x:row r="44" ht="23" customHeight="1">
      <x:c r="A44" s="11" t="str">
        <x:v>06160.HK</x:v>
      </x:c>
      <x:c r="B44" s="11" t="str">
        <x:v>百济神州</x:v>
      </x:c>
      <x:c r="C44" s="11" t="str">
        <x:v>一年</x:v>
      </x:c>
      <x:c r="D44" s="11" t="str">
        <x:v>HKD</x:v>
      </x:c>
      <x:c r="E44" s="25" t="n">
        <x:f>'情景快照'!I119</x:f>
        <x:v>0.8752655057251901</x:v>
      </x:c>
      <x:c r="F44" s="25" t="n">
        <x:f>(1+E44)*0.95-1</x:f>
        <x:v>0.7815022304389305</x:v>
      </x:c>
      <x:c r="G44" s="25" t="n">
        <x:f>E44</x:f>
        <x:v>0.8752655057251901</x:v>
      </x:c>
      <x:c r="H44" s="25" t="n">
        <x:f>(1+E44)*1.05-1</x:f>
        <x:v>0.9690287810114497</x:v>
      </x:c>
      <x:c r="I44" s="25" t="str">
        <x:f>""</x:f>
      </x:c>
      <x:c r="J44" s="25" t="str">
        <x:f>""</x:f>
      </x:c>
      <x:c r="K44" s="11" t="str">
        <x:v>仅投资者换汇；目标价固定，不再次改变盈利换算率</x:v>
      </x:c>
    </x:row>
    <x:row r="45" ht="23" customHeight="1">
      <x:c r="A45" s="11" t="str">
        <x:v>06160.HK</x:v>
      </x:c>
      <x:c r="B45" s="11" t="str">
        <x:v>百济神州</x:v>
      </x:c>
      <x:c r="C45" s="11" t="str">
        <x:v>三年</x:v>
      </x:c>
      <x:c r="D45" s="11" t="str">
        <x:v>HKD</x:v>
      </x:c>
      <x:c r="E45" s="25" t="n">
        <x:f>'情景快照'!I122</x:f>
        <x:v>1.3990808001635777</x:v>
      </x:c>
      <x:c r="F45" s="25" t="n">
        <x:f>(1+E45)*0.95-1</x:f>
        <x:v>1.2791267601553988</x:v>
      </x:c>
      <x:c r="G45" s="25" t="n">
        <x:f>E45</x:f>
        <x:v>1.3990808001635777</x:v>
      </x:c>
      <x:c r="H45" s="25" t="n">
        <x:f>(1+E45)*1.05-1</x:f>
        <x:v>1.5190348401717566</x:v>
      </x:c>
      <x:c r="I45" s="25" t="n">
        <x:f>(1+F45)^(1/3)-1</x:f>
        <x:v>0.31600082072888647</x:v>
      </x:c>
      <x:c r="J45" s="25" t="n">
        <x:f>(1+H45)^(1/3)-1</x:f>
        <x:v>0.3606446698851731</x:v>
      </x:c>
      <x:c r="K45" s="11" t="str">
        <x:v>仅投资者换汇；目标价固定，不再次改变盈利换算率</x:v>
      </x:c>
    </x:row>
    <x:row r="46" ht="23" customHeight="1">
      <x:c r="A46" s="11" t="str">
        <x:v>06160.HK</x:v>
      </x:c>
      <x:c r="B46" s="11" t="str">
        <x:v>百济神州</x:v>
      </x:c>
      <x:c r="C46" s="11" t="str">
        <x:v>五年</x:v>
      </x:c>
      <x:c r="D46" s="11" t="str">
        <x:v>HKD</x:v>
      </x:c>
      <x:c r="E46" s="25" t="n">
        <x:f>'情景快照'!I125</x:f>
        <x:v>2.000099395674301</x:v>
      </x:c>
      <x:c r="F46" s="25" t="n">
        <x:f>(1+E46)*0.95-1</x:f>
        <x:v>1.8500944258905858</x:v>
      </x:c>
      <x:c r="G46" s="25" t="n">
        <x:f>E46</x:f>
        <x:v>2.000099395674301</x:v>
      </x:c>
      <x:c r="H46" s="25" t="n">
        <x:f>(1+E46)*1.05-1</x:f>
        <x:v>2.150104365458016</x:v>
      </x:c>
      <x:c r="I46" s="25" t="n">
        <x:f>(1+F46)^(1/5)-1</x:f>
        <x:v>0.23302490801358755</x:v>
      </x:c>
      <x:c r="J46" s="25" t="n">
        <x:f>(1+H46)^(1/5)-1</x:f>
        <x:v>0.257954660682735</x:v>
      </x:c>
      <x:c r="K46" s="11" t="str">
        <x:v>仅投资者换汇；目标价固定，不再次改变盈利换算率</x:v>
      </x:c>
    </x:row>
    <x:row r="47" ht="23" customHeight="1">
      <x:c r="A47" s="11" t="str">
        <x:v>09626.HK</x:v>
      </x:c>
      <x:c r="B47" s="11" t="str">
        <x:v>哔哩哔哩-W</x:v>
      </x:c>
      <x:c r="C47" s="11" t="str">
        <x:v>2026年底</x:v>
      </x:c>
      <x:c r="D47" s="11" t="str">
        <x:v>HKD</x:v>
      </x:c>
      <x:c r="E47" s="25" t="n">
        <x:f>'情景快照'!I128</x:f>
        <x:v>0.1460963455149502</x:v>
      </x:c>
      <x:c r="F47" s="25" t="n">
        <x:f>(1+E47)*0.95-1</x:f>
        <x:v>0.08879152823920267</x:v>
      </x:c>
      <x:c r="G47" s="25" t="n">
        <x:f>E47</x:f>
        <x:v>0.1460963455149502</x:v>
      </x:c>
      <x:c r="H47" s="25" t="n">
        <x:f>(1+E47)*1.05-1</x:f>
        <x:v>0.20340116279069775</x:v>
      </x:c>
      <x:c r="I47" s="25" t="str">
        <x:f>""</x:f>
      </x:c>
      <x:c r="J47" s="25" t="str">
        <x:f>""</x:f>
      </x:c>
      <x:c r="K47" s="11" t="str">
        <x:v>仅投资者换汇；目标价固定，不再次改变盈利换算率</x:v>
      </x:c>
    </x:row>
    <x:row r="48" ht="23" customHeight="1">
      <x:c r="A48" s="11" t="str">
        <x:v>09626.HK</x:v>
      </x:c>
      <x:c r="B48" s="11" t="str">
        <x:v>哔哩哔哩-W</x:v>
      </x:c>
      <x:c r="C48" s="11" t="str">
        <x:v>半年</x:v>
      </x:c>
      <x:c r="D48" s="11" t="str">
        <x:v>HKD</x:v>
      </x:c>
      <x:c r="E48" s="25" t="n">
        <x:f>'情景快照'!I131</x:f>
        <x:v>0.3067275747508307</x:v>
      </x:c>
      <x:c r="F48" s="25" t="n">
        <x:f>(1+E48)*0.95-1</x:f>
        <x:v>0.24139119601328907</x:v>
      </x:c>
      <x:c r="G48" s="25" t="n">
        <x:f>E48</x:f>
        <x:v>0.3067275747508307</x:v>
      </x:c>
      <x:c r="H48" s="25" t="n">
        <x:f>(1+E48)*1.05-1</x:f>
        <x:v>0.3720639534883723</x:v>
      </x:c>
      <x:c r="I48" s="25" t="str">
        <x:f>""</x:f>
      </x:c>
      <x:c r="J48" s="25" t="str">
        <x:f>""</x:f>
      </x:c>
      <x:c r="K48" s="11" t="str">
        <x:v>仅投资者换汇；目标价固定，不再次改变盈利换算率</x:v>
      </x:c>
    </x:row>
    <x:row r="49" ht="23" customHeight="1">
      <x:c r="A49" s="11" t="str">
        <x:v>09626.HK</x:v>
      </x:c>
      <x:c r="B49" s="11" t="str">
        <x:v>哔哩哔哩-W</x:v>
      </x:c>
      <x:c r="C49" s="11" t="str">
        <x:v>一年</x:v>
      </x:c>
      <x:c r="D49" s="11" t="str">
        <x:v>HKD</x:v>
      </x:c>
      <x:c r="E49" s="25" t="n">
        <x:f>'情景快照'!I134</x:f>
        <x:v>0.5176079734219268</x:v>
      </x:c>
      <x:c r="F49" s="25" t="n">
        <x:f>(1+E49)*0.95-1</x:f>
        <x:v>0.44172757475083047</x:v>
      </x:c>
      <x:c r="G49" s="25" t="n">
        <x:f>E49</x:f>
        <x:v>0.5176079734219268</x:v>
      </x:c>
      <x:c r="H49" s="25" t="n">
        <x:f>(1+E49)*1.05-1</x:f>
        <x:v>0.5934883720930231</x:v>
      </x:c>
      <x:c r="I49" s="25" t="str">
        <x:f>""</x:f>
      </x:c>
      <x:c r="J49" s="25" t="str">
        <x:f>""</x:f>
      </x:c>
      <x:c r="K49" s="11" t="str">
        <x:v>仅投资者换汇；目标价固定，不再次改变盈利换算率</x:v>
      </x:c>
    </x:row>
    <x:row r="50" ht="23" customHeight="1">
      <x:c r="A50" s="11" t="str">
        <x:v>09626.HK</x:v>
      </x:c>
      <x:c r="B50" s="11" t="str">
        <x:v>哔哩哔哩-W</x:v>
      </x:c>
      <x:c r="C50" s="11" t="str">
        <x:v>三年</x:v>
      </x:c>
      <x:c r="D50" s="11" t="str">
        <x:v>HKD</x:v>
      </x:c>
      <x:c r="E50" s="25" t="n">
        <x:f>'情景快照'!I137</x:f>
        <x:v>1.3065614617940198</x:v>
      </x:c>
      <x:c r="F50" s="25" t="n">
        <x:f>(1+E50)*0.95-1</x:f>
        <x:v>1.1912333887043185</x:v>
      </x:c>
      <x:c r="G50" s="25" t="n">
        <x:f>E50</x:f>
        <x:v>1.3065614617940198</x:v>
      </x:c>
      <x:c r="H50" s="25" t="n">
        <x:f>(1+E50)*1.05-1</x:f>
        <x:v>1.421889534883721</x:v>
      </x:c>
      <x:c r="I50" s="25" t="n">
        <x:f>(1+F50)^(1/3)-1</x:f>
        <x:v>0.2988616047335033</x:v>
      </x:c>
      <x:c r="J50" s="25" t="n">
        <x:f>(1+H50)^(1/3)-1</x:f>
        <x:v>0.34292402524513976</x:v>
      </x:c>
      <x:c r="K50" s="11" t="str">
        <x:v>仅投资者换汇；目标价固定，不再次改变盈利换算率</x:v>
      </x:c>
    </x:row>
    <x:row r="51" ht="23" customHeight="1">
      <x:c r="A51" s="11" t="str">
        <x:v>09626.HK</x:v>
      </x:c>
      <x:c r="B51" s="11" t="str">
        <x:v>哔哩哔哩-W</x:v>
      </x:c>
      <x:c r="C51" s="11" t="str">
        <x:v>五年</x:v>
      </x:c>
      <x:c r="D51" s="11" t="str">
        <x:v>HKD</x:v>
      </x:c>
      <x:c r="E51" s="25" t="n">
        <x:f>'情景快照'!I140</x:f>
        <x:v>1.6875415282392026</x:v>
      </x:c>
      <x:c r="F51" s="25" t="n">
        <x:f>(1+E51)*0.95-1</x:f>
        <x:v>1.5531644518272425</x:v>
      </x:c>
      <x:c r="G51" s="25" t="n">
        <x:f>E51</x:f>
        <x:v>1.6875415282392026</x:v>
      </x:c>
      <x:c r="H51" s="25" t="n">
        <x:f>(1+E51)*1.05-1</x:f>
        <x:v>1.8219186046511626</x:v>
      </x:c>
      <x:c r="I51" s="25" t="n">
        <x:f>(1+F51)^(1/5)-1</x:f>
        <x:v>0.20619009500156538</x:v>
      </x:c>
      <x:c r="J51" s="25" t="n">
        <x:f>(1+H51)^(1/5)-1</x:f>
        <x:v>0.23057729151717132</x:v>
      </x:c>
      <x:c r="K51" s="11" t="str">
        <x:v>仅投资者换汇；目标价固定，不再次改变盈利换算率</x:v>
      </x:c>
    </x:row>
    <x:row r="52" ht="23" customHeight="1">
      <x:c r="A52" s="11" t="str">
        <x:v>01211.HK</x:v>
      </x:c>
      <x:c r="B52" s="11" t="str">
        <x:v>比亚迪股份</x:v>
      </x:c>
      <x:c r="C52" s="11" t="str">
        <x:v>2026年底</x:v>
      </x:c>
      <x:c r="D52" s="11" t="str">
        <x:v>HKD</x:v>
      </x:c>
      <x:c r="E52" s="25" t="n">
        <x:f>'情景快照'!I143</x:f>
        <x:v>0.3648148148148149</x:v>
      </x:c>
      <x:c r="F52" s="25" t="n">
        <x:f>(1+E52)*0.95-1</x:f>
        <x:v>0.2965740740740741</x:v>
      </x:c>
      <x:c r="G52" s="25" t="n">
        <x:f>E52</x:f>
        <x:v>0.3648148148148149</x:v>
      </x:c>
      <x:c r="H52" s="25" t="n">
        <x:f>(1+E52)*1.05-1</x:f>
        <x:v>0.43305555555555575</x:v>
      </x:c>
      <x:c r="I52" s="25" t="str">
        <x:f>""</x:f>
      </x:c>
      <x:c r="J52" s="25" t="str">
        <x:f>""</x:f>
      </x:c>
      <x:c r="K52" s="11" t="str">
        <x:v>仅投资者换汇；目标价固定，不再次改变盈利换算率</x:v>
      </x:c>
    </x:row>
    <x:row r="53" ht="23" customHeight="1">
      <x:c r="A53" s="11" t="str">
        <x:v>01211.HK</x:v>
      </x:c>
      <x:c r="B53" s="11" t="str">
        <x:v>比亚迪股份</x:v>
      </x:c>
      <x:c r="C53" s="11" t="str">
        <x:v>半年</x:v>
      </x:c>
      <x:c r="D53" s="11" t="str">
        <x:v>HKD</x:v>
      </x:c>
      <x:c r="E53" s="25" t="n">
        <x:f>'情景快照'!I146</x:f>
        <x:v>0.5333333333333334</x:v>
      </x:c>
      <x:c r="F53" s="25" t="n">
        <x:f>(1+E53)*0.95-1</x:f>
        <x:v>0.4566666666666668</x:v>
      </x:c>
      <x:c r="G53" s="25" t="n">
        <x:f>E53</x:f>
        <x:v>0.5333333333333334</x:v>
      </x:c>
      <x:c r="H53" s="25" t="n">
        <x:f>(1+E53)*1.05-1</x:f>
        <x:v>0.6100000000000001</x:v>
      </x:c>
      <x:c r="I53" s="25" t="str">
        <x:f>""</x:f>
      </x:c>
      <x:c r="J53" s="25" t="str">
        <x:f>""</x:f>
      </x:c>
      <x:c r="K53" s="11" t="str">
        <x:v>仅投资者换汇；目标价固定，不再次改变盈利换算率</x:v>
      </x:c>
    </x:row>
    <x:row r="54" ht="23" customHeight="1">
      <x:c r="A54" s="11" t="str">
        <x:v>01211.HK</x:v>
      </x:c>
      <x:c r="B54" s="11" t="str">
        <x:v>比亚迪股份</x:v>
      </x:c>
      <x:c r="C54" s="11" t="str">
        <x:v>一年</x:v>
      </x:c>
      <x:c r="D54" s="11" t="str">
        <x:v>HKD</x:v>
      </x:c>
      <x:c r="E54" s="25" t="n">
        <x:f>'情景快照'!I149</x:f>
        <x:v>0.6783068783068784</x:v>
      </x:c>
      <x:c r="F54" s="25" t="n">
        <x:f>(1+E54)*0.95-1</x:f>
        <x:v>0.5943915343915345</x:v>
      </x:c>
      <x:c r="G54" s="25" t="n">
        <x:f>E54</x:f>
        <x:v>0.6783068783068784</x:v>
      </x:c>
      <x:c r="H54" s="25" t="n">
        <x:f>(1+E54)*1.05-1</x:f>
        <x:v>0.7622222222222224</x:v>
      </x:c>
      <x:c r="I54" s="25" t="str">
        <x:f>""</x:f>
      </x:c>
      <x:c r="J54" s="25" t="str">
        <x:f>""</x:f>
      </x:c>
      <x:c r="K54" s="11" t="str">
        <x:v>仅投资者换汇；目标价固定，不再次改变盈利换算率</x:v>
      </x:c>
    </x:row>
    <x:row r="55" ht="23" customHeight="1">
      <x:c r="A55" s="11" t="str">
        <x:v>01211.HK</x:v>
      </x:c>
      <x:c r="B55" s="11" t="str">
        <x:v>比亚迪股份</x:v>
      </x:c>
      <x:c r="C55" s="11" t="str">
        <x:v>三年</x:v>
      </x:c>
      <x:c r="D55" s="11" t="str">
        <x:v>HKD</x:v>
      </x:c>
      <x:c r="E55" s="25" t="n">
        <x:f>'情景快照'!I152</x:f>
        <x:v>1.2513227513227512</x:v>
      </x:c>
      <x:c r="F55" s="25" t="n">
        <x:f>(1+E55)*0.95-1</x:f>
        <x:v>1.1387566137566134</x:v>
      </x:c>
      <x:c r="G55" s="25" t="n">
        <x:f>E55</x:f>
        <x:v>1.2513227513227512</x:v>
      </x:c>
      <x:c r="H55" s="25" t="n">
        <x:f>(1+E55)*1.05-1</x:f>
        <x:v>1.363888888888889</x:v>
      </x:c>
      <x:c r="I55" s="25" t="n">
        <x:f>(1+F55)^(1/3)-1</x:f>
        <x:v>0.28840911466408325</x:v>
      </x:c>
      <x:c r="J55" s="25" t="n">
        <x:f>(1+H55)^(1/3)-1</x:f>
        <x:v>0.33211694619475796</x:v>
      </x:c>
      <x:c r="K55" s="11" t="str">
        <x:v>仅投资者换汇；目标价固定，不再次改变盈利换算率</x:v>
      </x:c>
    </x:row>
    <x:row r="56" ht="23" customHeight="1">
      <x:c r="A56" s="11" t="str">
        <x:v>01211.HK</x:v>
      </x:c>
      <x:c r="B56" s="11" t="str">
        <x:v>比亚迪股份</x:v>
      </x:c>
      <x:c r="C56" s="11" t="str">
        <x:v>五年</x:v>
      </x:c>
      <x:c r="D56" s="11" t="str">
        <x:v>HKD</x:v>
      </x:c>
      <x:c r="E56" s="25" t="n">
        <x:f>'情景快照'!I155</x:f>
        <x:v>1.69484126984127</x:v>
      </x:c>
      <x:c r="F56" s="25" t="n">
        <x:f>(1+E56)*0.95-1</x:f>
        <x:v>1.5600992063492063</x:v>
      </x:c>
      <x:c r="G56" s="25" t="n">
        <x:f>E56</x:f>
        <x:v>1.69484126984127</x:v>
      </x:c>
      <x:c r="H56" s="25" t="n">
        <x:f>(1+E56)*1.05-1</x:f>
        <x:v>1.8295833333333338</x:v>
      </x:c>
      <x:c r="I56" s="25" t="n">
        <x:f>(1+F56)^(1/5)-1</x:f>
        <x:v>0.20684462073599663</x:v>
      </x:c>
      <x:c r="J56" s="25" t="n">
        <x:f>(1+H56)^(1/5)-1</x:f>
        <x:v>0.23124505069447054</x:v>
      </x:c>
      <x:c r="K56" s="11" t="str">
        <x:v>仅投资者换汇；目标价固定，不再次改变盈利换算率</x:v>
      </x:c>
    </x:row>
    <x:row r="57" ht="23" customHeight="1">
      <x:c r="A57" s="11" t="str">
        <x:v>03750.HK</x:v>
      </x:c>
      <x:c r="B57" s="11" t="str">
        <x:v>宁德时代</x:v>
      </x:c>
      <x:c r="C57" s="11" t="str">
        <x:v>2026年底</x:v>
      </x:c>
      <x:c r="D57" s="11" t="str">
        <x:v>HKD</x:v>
      </x:c>
      <x:c r="E57" s="25" t="n">
        <x:f>'情景快照'!I158</x:f>
        <x:v>0.060195360195360204</x:v>
      </x:c>
      <x:c r="F57" s="25" t="n">
        <x:f>(1+E57)*0.95-1</x:f>
        <x:v>0.007185592185592116</x:v>
      </x:c>
      <x:c r="G57" s="25" t="n">
        <x:f>E57</x:f>
        <x:v>0.060195360195360204</x:v>
      </x:c>
      <x:c r="H57" s="25" t="n">
        <x:f>(1+E57)*1.05-1</x:f>
        <x:v>0.11320512820512829</x:v>
      </x:c>
      <x:c r="I57" s="25" t="str">
        <x:f>""</x:f>
      </x:c>
      <x:c r="J57" s="25" t="str">
        <x:f>""</x:f>
      </x:c>
      <x:c r="K57" s="11" t="str">
        <x:v>仅投资者换汇；目标价固定，不再次改变盈利换算率</x:v>
      </x:c>
    </x:row>
    <x:row r="58" ht="23" customHeight="1">
      <x:c r="A58" s="11" t="str">
        <x:v>03750.HK</x:v>
      </x:c>
      <x:c r="B58" s="11" t="str">
        <x:v>宁德时代</x:v>
      </x:c>
      <x:c r="C58" s="11" t="str">
        <x:v>半年</x:v>
      </x:c>
      <x:c r="D58" s="11" t="str">
        <x:v>HKD</x:v>
      </x:c>
      <x:c r="E58" s="25" t="n">
        <x:f>'情景快照'!I161</x:f>
        <x:v>0.1808506308506308</x:v>
      </x:c>
      <x:c r="F58" s="25" t="n">
        <x:f>(1+E58)*0.95-1</x:f>
        <x:v>0.12180809930809922</x:v>
      </x:c>
      <x:c r="G58" s="25" t="n">
        <x:f>E58</x:f>
        <x:v>0.1808506308506308</x:v>
      </x:c>
      <x:c r="H58" s="25" t="n">
        <x:f>(1+E58)*1.05-1</x:f>
        <x:v>0.23989316239316238</x:v>
      </x:c>
      <x:c r="I58" s="25" t="str">
        <x:f>""</x:f>
      </x:c>
      <x:c r="J58" s="25" t="str">
        <x:f>""</x:f>
      </x:c>
      <x:c r="K58" s="11" t="str">
        <x:v>仅投资者换汇；目标价固定，不再次改变盈利换算率</x:v>
      </x:c>
    </x:row>
    <x:row r="59" ht="23" customHeight="1">
      <x:c r="A59" s="11" t="str">
        <x:v>03750.HK</x:v>
      </x:c>
      <x:c r="B59" s="11" t="str">
        <x:v>宁德时代</x:v>
      </x:c>
      <x:c r="C59" s="11" t="str">
        <x:v>一年</x:v>
      </x:c>
      <x:c r="D59" s="11" t="str">
        <x:v>HKD</x:v>
      </x:c>
      <x:c r="E59" s="25" t="n">
        <x:f>'情景快照'!I164</x:f>
        <x:v>0.35586080586080593</x:v>
      </x:c>
      <x:c r="F59" s="25" t="n">
        <x:f>(1+E59)*0.95-1</x:f>
        <x:v>0.2880677655677655</x:v>
      </x:c>
      <x:c r="G59" s="25" t="n">
        <x:f>E59</x:f>
        <x:v>0.35586080586080593</x:v>
      </x:c>
      <x:c r="H59" s="25" t="n">
        <x:f>(1+E59)*1.05-1</x:f>
        <x:v>0.4236538461538464</x:v>
      </x:c>
      <x:c r="I59" s="25" t="str">
        <x:f>""</x:f>
      </x:c>
      <x:c r="J59" s="25" t="str">
        <x:f>""</x:f>
      </x:c>
      <x:c r="K59" s="11" t="str">
        <x:v>仅投资者换汇；目标价固定，不再次改变盈利换算率</x:v>
      </x:c>
    </x:row>
    <x:row r="60" ht="23" customHeight="1">
      <x:c r="A60" s="11" t="str">
        <x:v>03750.HK</x:v>
      </x:c>
      <x:c r="B60" s="11" t="str">
        <x:v>宁德时代</x:v>
      </x:c>
      <x:c r="C60" s="11" t="str">
        <x:v>三年</x:v>
      </x:c>
      <x:c r="D60" s="11" t="str">
        <x:v>HKD</x:v>
      </x:c>
      <x:c r="E60" s="25" t="n">
        <x:f>'情景快照'!I167</x:f>
        <x:v>0.9228327228327229</x:v>
      </x:c>
      <x:c r="F60" s="25" t="n">
        <x:f>(1+E60)*0.95-1</x:f>
        <x:v>0.8266910866910866</x:v>
      </x:c>
      <x:c r="G60" s="25" t="n">
        <x:f>E60</x:f>
        <x:v>0.9228327228327229</x:v>
      </x:c>
      <x:c r="H60" s="25" t="n">
        <x:f>(1+E60)*1.05-1</x:f>
        <x:v>1.0189743589743592</x:v>
      </x:c>
      <x:c r="I60" s="25" t="n">
        <x:f>(1+F60)^(1/3)-1</x:f>
        <x:v>0.22242353653565128</x:v>
      </x:c>
      <x:c r="J60" s="25" t="n">
        <x:f>(1+H60)^(1/3)-1</x:f>
        <x:v>0.26389288147113965</x:v>
      </x:c>
      <x:c r="K60" s="11" t="str">
        <x:v>仅投资者换汇；目标价固定，不再次改变盈利换算率</x:v>
      </x:c>
    </x:row>
    <x:row r="61" ht="23" customHeight="1">
      <x:c r="A61" s="11" t="str">
        <x:v>03750.HK</x:v>
      </x:c>
      <x:c r="B61" s="11" t="str">
        <x:v>宁德时代</x:v>
      </x:c>
      <x:c r="C61" s="11" t="str">
        <x:v>五年</x:v>
      </x:c>
      <x:c r="D61" s="11" t="str">
        <x:v>HKD</x:v>
      </x:c>
      <x:c r="E61" s="25" t="n">
        <x:f>'情景快照'!I170</x:f>
        <x:v>1.4916971916971922</x:v>
      </x:c>
      <x:c r="F61" s="25" t="n">
        <x:f>(1+E61)*0.95-1</x:f>
        <x:v>1.3671123321123324</x:v>
      </x:c>
      <x:c r="G61" s="25" t="n">
        <x:f>E61</x:f>
        <x:v>1.4916971916971922</x:v>
      </x:c>
      <x:c r="H61" s="25" t="n">
        <x:f>(1+E61)*1.05-1</x:f>
        <x:v>1.616282051282052</x:v>
      </x:c>
      <x:c r="I61" s="25" t="n">
        <x:f>(1+F61)^(1/5)-1</x:f>
        <x:v>0.18807477086549795</x:v>
      </x:c>
      <x:c r="J61" s="25" t="n">
        <x:f>(1+H61)^(1/5)-1</x:f>
        <x:v>0.21209570507180397</x:v>
      </x:c>
      <x:c r="K61" s="11" t="str">
        <x:v>仅投资者换汇；目标价固定，不再次改变盈利换算率</x:v>
      </x:c>
    </x:row>
    <x:row r="62" ht="23" customHeight="1">
      <x:c r="A62" s="11" t="str">
        <x:v>01093.HK</x:v>
      </x:c>
      <x:c r="B62" s="11" t="str">
        <x:v>石药集团</x:v>
      </x:c>
      <x:c r="C62" s="11" t="str">
        <x:v>2026年底</x:v>
      </x:c>
      <x:c r="D62" s="11" t="str">
        <x:v>HKD</x:v>
      </x:c>
      <x:c r="E62" s="25" t="n">
        <x:f>'情景快照'!I173</x:f>
        <x:v>0.04293070351667305</x:v>
      </x:c>
      <x:c r="F62" s="25" t="n">
        <x:f>(1+E62)*0.95-1</x:f>
        <x:v>-0.009215831659160623</x:v>
      </x:c>
      <x:c r="G62" s="25" t="n">
        <x:f>E62</x:f>
        <x:v>0.04293070351667305</x:v>
      </x:c>
      <x:c r="H62" s="25" t="n">
        <x:f>(1+E62)*1.05-1</x:f>
        <x:v>0.09507723869250673</x:v>
      </x:c>
      <x:c r="I62" s="25" t="str">
        <x:f>""</x:f>
      </x:c>
      <x:c r="J62" s="25" t="str">
        <x:f>""</x:f>
      </x:c>
      <x:c r="K62" s="11" t="str">
        <x:v>仅投资者换汇；目标价固定，不再次改变盈利换算率</x:v>
      </x:c>
    </x:row>
    <x:row r="63" ht="23" customHeight="1">
      <x:c r="A63" s="11" t="str">
        <x:v>01093.HK</x:v>
      </x:c>
      <x:c r="B63" s="11" t="str">
        <x:v>石药集团</x:v>
      </x:c>
      <x:c r="C63" s="11" t="str">
        <x:v>半年</x:v>
      </x:c>
      <x:c r="D63" s="11" t="str">
        <x:v>HKD</x:v>
      </x:c>
      <x:c r="E63" s="25" t="n">
        <x:f>'情景快照'!I176</x:f>
        <x:v>0.09327246598200278</x:v>
      </x:c>
      <x:c r="F63" s="25" t="n">
        <x:f>(1+E63)*0.95-1</x:f>
        <x:v>0.038608842682902544</x:v>
      </x:c>
      <x:c r="G63" s="25" t="n">
        <x:f>E63</x:f>
        <x:v>0.09327246598200278</x:v>
      </x:c>
      <x:c r="H63" s="25" t="n">
        <x:f>(1+E63)*1.05-1</x:f>
        <x:v>0.14793608928110302</x:v>
      </x:c>
      <x:c r="I63" s="25" t="str">
        <x:f>""</x:f>
      </x:c>
      <x:c r="J63" s="25" t="str">
        <x:f>""</x:f>
      </x:c>
      <x:c r="K63" s="11" t="str">
        <x:v>仅投资者换汇；目标价固定，不再次改变盈利换算率</x:v>
      </x:c>
    </x:row>
    <x:row r="64" ht="23" customHeight="1">
      <x:c r="A64" s="11" t="str">
        <x:v>01093.HK</x:v>
      </x:c>
      <x:c r="B64" s="11" t="str">
        <x:v>石药集团</x:v>
      </x:c>
      <x:c r="C64" s="11" t="str">
        <x:v>一年</x:v>
      </x:c>
      <x:c r="D64" s="11" t="str">
        <x:v>HKD</x:v>
      </x:c>
      <x:c r="E64" s="25" t="n">
        <x:f>'情景快照'!I179</x:f>
        <x:v>0.25025063677964154</x:v>
      </x:c>
      <x:c r="F64" s="25" t="n">
        <x:f>(1+E64)*0.95-1</x:f>
        <x:v>0.18773810494065946</x:v>
      </x:c>
      <x:c r="G64" s="25" t="n">
        <x:f>E64</x:f>
        <x:v>0.25025063677964154</x:v>
      </x:c>
      <x:c r="H64" s="25" t="n">
        <x:f>(1+E64)*1.05-1</x:f>
        <x:v>0.31276316861862363</x:v>
      </x:c>
      <x:c r="I64" s="25" t="str">
        <x:f>""</x:f>
      </x:c>
      <x:c r="J64" s="25" t="str">
        <x:f>""</x:f>
      </x:c>
      <x:c r="K64" s="11" t="str">
        <x:v>仅投资者换汇；目标价固定，不再次改变盈利换算率</x:v>
      </x:c>
    </x:row>
    <x:row r="65" ht="23" customHeight="1">
      <x:c r="A65" s="11" t="str">
        <x:v>01093.HK</x:v>
      </x:c>
      <x:c r="B65" s="11" t="str">
        <x:v>石药集团</x:v>
      </x:c>
      <x:c r="C65" s="11" t="str">
        <x:v>三年</x:v>
      </x:c>
      <x:c r="D65" s="11" t="str">
        <x:v>HKD</x:v>
      </x:c>
      <x:c r="E65" s="25" t="n">
        <x:f>'情景快照'!I182</x:f>
        <x:v>0.5459125805050842</x:v>
      </x:c>
      <x:c r="F65" s="25" t="n">
        <x:f>(1+E65)*0.95-1</x:f>
        <x:v>0.46861695147982996</x:v>
      </x:c>
      <x:c r="G65" s="25" t="n">
        <x:f>E65</x:f>
        <x:v>0.5459125805050842</x:v>
      </x:c>
      <x:c r="H65" s="25" t="n">
        <x:f>(1+E65)*1.05-1</x:f>
        <x:v>0.6232082095303384</x:v>
      </x:c>
      <x:c r="I65" s="25" t="n">
        <x:f>(1+F65)^(1/3)-1</x:f>
        <x:v>0.13667466151507024</x:v>
      </x:c>
      <x:c r="J65" s="25" t="n">
        <x:f>(1+H65)^(1/3)-1</x:f>
        <x:v>0.17523507221477308</x:v>
      </x:c>
      <x:c r="K65" s="11" t="str">
        <x:v>仅投资者换汇；目标价固定，不再次改变盈利换算率</x:v>
      </x:c>
    </x:row>
    <x:row r="66" ht="23" customHeight="1">
      <x:c r="A66" s="11" t="str">
        <x:v>01093.HK</x:v>
      </x:c>
      <x:c r="B66" s="11" t="str">
        <x:v>石药集团</x:v>
      </x:c>
      <x:c r="C66" s="11" t="str">
        <x:v>五年</x:v>
      </x:c>
      <x:c r="D66" s="11" t="str">
        <x:v>HKD</x:v>
      </x:c>
      <x:c r="E66" s="25" t="n">
        <x:f>'情景快照'!I185</x:f>
        <x:v>0.9398243171434855</x:v>
      </x:c>
      <x:c r="F66" s="25" t="n">
        <x:f>(1+E66)*0.95-1</x:f>
        <x:v>0.8428331012863111</x:v>
      </x:c>
      <x:c r="G66" s="25" t="n">
        <x:f>E66</x:f>
        <x:v>0.9398243171434855</x:v>
      </x:c>
      <x:c r="H66" s="25" t="n">
        <x:f>(1+E66)*1.05-1</x:f>
        <x:v>1.0368155330006599</x:v>
      </x:c>
      <x:c r="I66" s="25" t="n">
        <x:f>(1+F66)^(1/5)-1</x:f>
        <x:v>0.1300488063850489</x:v>
      </x:c>
      <x:c r="J66" s="25" t="n">
        <x:f>(1+H66)^(1/5)-1</x:f>
        <x:v>0.15289655022554394</x:v>
      </x:c>
      <x:c r="K66" s="11" t="str">
        <x:v>仅投资者换汇；目标价固定，不再次改变盈利换算率</x:v>
      </x:c>
    </x:row>
    <x:row r="67" ht="23" customHeight="1">
      <x:c r="A67" s="11" t="str">
        <x:v>688192.SH</x:v>
      </x:c>
      <x:c r="B67" s="11" t="str">
        <x:v>迪哲医药</x:v>
      </x:c>
      <x:c r="C67" s="11" t="str">
        <x:v>2026年底</x:v>
      </x:c>
      <x:c r="D67" s="11" t="str">
        <x:v>CNY</x:v>
      </x:c>
      <x:c r="E67" s="25" t="n">
        <x:f>'情景快照'!I188</x:f>
        <x:v>-0.32638561872727356</x:v>
      </x:c>
      <x:c r="F67" s="25" t="n">
        <x:f>(1+E67)*1-1</x:f>
        <x:v>-0.32638561872727356</x:v>
      </x:c>
      <x:c r="G67" s="25" t="n">
        <x:f>E67</x:f>
        <x:v>-0.32638561872727356</x:v>
      </x:c>
      <x:c r="H67" s="25" t="n">
        <x:f>(1+E67)*1-1</x:f>
        <x:v>-0.32638561872727356</x:v>
      </x:c>
      <x:c r="I67" s="25" t="str">
        <x:f>""</x:f>
      </x:c>
      <x:c r="J67" s="25" t="str">
        <x:f>""</x:f>
      </x:c>
      <x:c r="K67" s="11" t="str">
        <x:v>仅投资者换汇；目标价固定，不再次改变盈利换算率</x:v>
      </x:c>
    </x:row>
    <x:row r="68" ht="23" customHeight="1">
      <x:c r="A68" s="11" t="str">
        <x:v>688192.SH</x:v>
      </x:c>
      <x:c r="B68" s="11" t="str">
        <x:v>迪哲医药</x:v>
      </x:c>
      <x:c r="C68" s="11" t="str">
        <x:v>半年</x:v>
      </x:c>
      <x:c r="D68" s="11" t="str">
        <x:v>CNY</x:v>
      </x:c>
      <x:c r="E68" s="25" t="n">
        <x:f>'情景快照'!I191</x:f>
        <x:v>-0.29541051773701066</x:v>
      </x:c>
      <x:c r="F68" s="25" t="n">
        <x:f>(1+E68)*1-1</x:f>
        <x:v>-0.29541051773701066</x:v>
      </x:c>
      <x:c r="G68" s="25" t="n">
        <x:f>E68</x:f>
        <x:v>-0.29541051773701066</x:v>
      </x:c>
      <x:c r="H68" s="25" t="n">
        <x:f>(1+E68)*1-1</x:f>
        <x:v>-0.29541051773701066</x:v>
      </x:c>
      <x:c r="I68" s="25" t="str">
        <x:f>""</x:f>
      </x:c>
      <x:c r="J68" s="25" t="str">
        <x:f>""</x:f>
      </x:c>
      <x:c r="K68" s="11" t="str">
        <x:v>仅投资者换汇；目标价固定，不再次改变盈利换算率</x:v>
      </x:c>
    </x:row>
    <x:row r="69" ht="23" customHeight="1">
      <x:c r="A69" s="11" t="str">
        <x:v>688192.SH</x:v>
      </x:c>
      <x:c r="B69" s="11" t="str">
        <x:v>迪哲医药</x:v>
      </x:c>
      <x:c r="C69" s="11" t="str">
        <x:v>一年</x:v>
      </x:c>
      <x:c r="D69" s="11" t="str">
        <x:v>CNY</x:v>
      </x:c>
      <x:c r="E69" s="25" t="n">
        <x:f>'情景快照'!I194</x:f>
        <x:v>-0.21114652371956055</x:v>
      </x:c>
      <x:c r="F69" s="25" t="n">
        <x:f>(1+E69)*1-1</x:f>
        <x:v>-0.21114652371956055</x:v>
      </x:c>
      <x:c r="G69" s="25" t="n">
        <x:f>E69</x:f>
        <x:v>-0.21114652371956055</x:v>
      </x:c>
      <x:c r="H69" s="25" t="n">
        <x:f>(1+E69)*1-1</x:f>
        <x:v>-0.21114652371956055</x:v>
      </x:c>
      <x:c r="I69" s="25" t="str">
        <x:f>""</x:f>
      </x:c>
      <x:c r="J69" s="25" t="str">
        <x:f>""</x:f>
      </x:c>
      <x:c r="K69" s="11" t="str">
        <x:v>仅投资者换汇；目标价固定，不再次改变盈利换算率</x:v>
      </x:c>
    </x:row>
    <x:row r="70" ht="23" customHeight="1">
      <x:c r="A70" s="11" t="str">
        <x:v>688192.SH</x:v>
      </x:c>
      <x:c r="B70" s="11" t="str">
        <x:v>迪哲医药</x:v>
      </x:c>
      <x:c r="C70" s="11" t="str">
        <x:v>三年</x:v>
      </x:c>
      <x:c r="D70" s="11" t="str">
        <x:v>CNY</x:v>
      </x:c>
      <x:c r="E70" s="25" t="n">
        <x:f>'情景快照'!I197</x:f>
        <x:v>0.1732741439564045</x:v>
      </x:c>
      <x:c r="F70" s="25" t="n">
        <x:f>(1+E70)*1-1</x:f>
        <x:v>0.1732741439564045</x:v>
      </x:c>
      <x:c r="G70" s="25" t="n">
        <x:f>E70</x:f>
        <x:v>0.1732741439564045</x:v>
      </x:c>
      <x:c r="H70" s="25" t="n">
        <x:f>(1+E70)*1-1</x:f>
        <x:v>0.1732741439564045</x:v>
      </x:c>
      <x:c r="I70" s="25" t="n">
        <x:f>(1+F70)^(1/3)-1</x:f>
        <x:v>0.054710250073176425</x:v>
      </x:c>
      <x:c r="J70" s="25" t="n">
        <x:f>(1+H70)^(1/3)-1</x:f>
        <x:v>0.054710250073176425</x:v>
      </x:c>
      <x:c r="K70" s="11" t="str">
        <x:v>仅投资者换汇；目标价固定，不再次改变盈利换算率</x:v>
      </x:c>
    </x:row>
    <x:row r="71" ht="23" customHeight="1">
      <x:c r="A71" s="11" t="str">
        <x:v>688192.SH</x:v>
      </x:c>
      <x:c r="B71" s="11" t="str">
        <x:v>迪哲医药</x:v>
      </x:c>
      <x:c r="C71" s="11" t="str">
        <x:v>五年</x:v>
      </x:c>
      <x:c r="D71" s="11" t="str">
        <x:v>CNY</x:v>
      </x:c>
      <x:c r="E71" s="25" t="n">
        <x:f>'情景快照'!I200</x:f>
        <x:v>0.5442005890026078</x:v>
      </x:c>
      <x:c r="F71" s="25" t="n">
        <x:f>(1+E71)*1-1</x:f>
        <x:v>0.5442005890026078</x:v>
      </x:c>
      <x:c r="G71" s="25" t="n">
        <x:f>E71</x:f>
        <x:v>0.5442005890026078</x:v>
      </x:c>
      <x:c r="H71" s="25" t="n">
        <x:f>(1+E71)*1-1</x:f>
        <x:v>0.5442005890026078</x:v>
      </x:c>
      <x:c r="I71" s="25" t="n">
        <x:f>(1+F71)^(1/5)-1</x:f>
        <x:v>0.09078898262112722</x:v>
      </x:c>
      <x:c r="J71" s="25" t="n">
        <x:f>(1+H71)^(1/5)-1</x:f>
        <x:v>0.09078898262112722</x:v>
      </x:c>
      <x:c r="K71" s="11" t="str">
        <x:v>仅投资者换汇；目标价固定，不再次改变盈利换算率</x:v>
      </x:c>
    </x:row>
    <x:row r="72" ht="23" customHeight="1">
      <x:c r="A72" s="11" t="str">
        <x:v>02196.HK</x:v>
      </x:c>
      <x:c r="B72" s="11" t="str">
        <x:v>复星医药</x:v>
      </x:c>
      <x:c r="C72" s="11" t="str">
        <x:v>2026年底</x:v>
      </x:c>
      <x:c r="D72" s="11" t="str">
        <x:v>HKD</x:v>
      </x:c>
      <x:c r="E72" s="25" t="n">
        <x:f>'情景快照'!I203</x:f>
        <x:v>0.04255560810636516</x:v>
      </x:c>
      <x:c r="F72" s="25" t="n">
        <x:f>(1+E72)*0.95-1</x:f>
        <x:v>-0.00957217229895313</x:v>
      </x:c>
      <x:c r="G72" s="25" t="n">
        <x:f>E72</x:f>
        <x:v>0.04255560810636516</x:v>
      </x:c>
      <x:c r="H72" s="25" t="n">
        <x:f>(1+E72)*1.05-1</x:f>
        <x:v>0.09468338851168356</x:v>
      </x:c>
      <x:c r="I72" s="25" t="str">
        <x:f>""</x:f>
      </x:c>
      <x:c r="J72" s="25" t="str">
        <x:f>""</x:f>
      </x:c>
      <x:c r="K72" s="11" t="str">
        <x:v>仅投资者换汇；目标价固定，不再次改变盈利换算率</x:v>
      </x:c>
    </x:row>
    <x:row r="73" ht="23" customHeight="1">
      <x:c r="A73" s="11" t="str">
        <x:v>02196.HK</x:v>
      </x:c>
      <x:c r="B73" s="11" t="str">
        <x:v>复星医药</x:v>
      </x:c>
      <x:c r="C73" s="11" t="str">
        <x:v>半年</x:v>
      </x:c>
      <x:c r="D73" s="11" t="str">
        <x:v>HKD</x:v>
      </x:c>
      <x:c r="E73" s="25" t="n">
        <x:f>'情景快照'!I206</x:f>
        <x:v>0.15998578038737699</x:v>
      </x:c>
      <x:c r="F73" s="25" t="n">
        <x:f>(1+E73)*0.95-1</x:f>
        <x:v>0.10198649136800819</x:v>
      </x:c>
      <x:c r="G73" s="25" t="n">
        <x:f>E73</x:f>
        <x:v>0.15998578038737699</x:v>
      </x:c>
      <x:c r="H73" s="25" t="n">
        <x:f>(1+E73)*1.05-1</x:f>
        <x:v>0.21798506940674578</x:v>
      </x:c>
      <x:c r="I73" s="25" t="str">
        <x:f>""</x:f>
      </x:c>
      <x:c r="J73" s="25" t="str">
        <x:f>""</x:f>
      </x:c>
      <x:c r="K73" s="11" t="str">
        <x:v>仅投资者换汇；目标价固定，不再次改变盈利换算率</x:v>
      </x:c>
    </x:row>
    <x:row r="74" ht="23" customHeight="1">
      <x:c r="A74" s="11" t="str">
        <x:v>02196.HK</x:v>
      </x:c>
      <x:c r="B74" s="11" t="str">
        <x:v>复星医药</x:v>
      </x:c>
      <x:c r="C74" s="11" t="str">
        <x:v>一年</x:v>
      </x:c>
      <x:c r="D74" s="11" t="str">
        <x:v>HKD</x:v>
      </x:c>
      <x:c r="E74" s="25" t="n">
        <x:f>'情景快照'!I209</x:f>
        <x:v>0.5797724444370189</x:v>
      </x:c>
      <x:c r="F74" s="25" t="n">
        <x:f>(1+E74)*0.95-1</x:f>
        <x:v>0.5007838222151679</x:v>
      </x:c>
      <x:c r="G74" s="25" t="n">
        <x:f>E74</x:f>
        <x:v>0.5797724444370189</x:v>
      </x:c>
      <x:c r="H74" s="25" t="n">
        <x:f>(1+E74)*1.05-1</x:f>
        <x:v>0.6587610666588699</x:v>
      </x:c>
      <x:c r="I74" s="25" t="str">
        <x:f>""</x:f>
      </x:c>
      <x:c r="J74" s="25" t="str">
        <x:f>""</x:f>
      </x:c>
      <x:c r="K74" s="11" t="str">
        <x:v>仅投资者换汇；目标价固定，不再次改变盈利换算率</x:v>
      </x:c>
    </x:row>
    <x:row r="75" ht="23" customHeight="1">
      <x:c r="A75" s="11" t="str">
        <x:v>02196.HK</x:v>
      </x:c>
      <x:c r="B75" s="11" t="str">
        <x:v>复星医药</x:v>
      </x:c>
      <x:c r="C75" s="11" t="str">
        <x:v>三年</x:v>
      </x:c>
      <x:c r="D75" s="11" t="str">
        <x:v>HKD</x:v>
      </x:c>
      <x:c r="E75" s="25" t="n">
        <x:f>'情景快照'!I212</x:f>
        <x:v>1.3953923763125844</x:v>
      </x:c>
      <x:c r="F75" s="25" t="n">
        <x:f>(1+E75)*0.95-1</x:f>
        <x:v>1.2756227574969552</x:v>
      </x:c>
      <x:c r="G75" s="25" t="n">
        <x:f>E75</x:f>
        <x:v>1.3953923763125844</x:v>
      </x:c>
      <x:c r="H75" s="25" t="n">
        <x:f>(1+E75)*1.05-1</x:f>
        <x:v>1.5151619951282136</x:v>
      </x:c>
      <x:c r="I75" s="25" t="n">
        <x:f>(1+F75)^(1/3)-1</x:f>
        <x:v>0.3153260541695708</x:v>
      </x:c>
      <x:c r="J75" s="25" t="n">
        <x:f>(1+H75)^(1/3)-1</x:f>
        <x:v>0.3599470126285149</x:v>
      </x:c>
      <x:c r="K75" s="11" t="str">
        <x:v>仅投资者换汇；目标价固定，不再次改变盈利换算率</x:v>
      </x:c>
    </x:row>
    <x:row r="76" ht="23" customHeight="1">
      <x:c r="A76" s="11" t="str">
        <x:v>02196.HK</x:v>
      </x:c>
      <x:c r="B76" s="11" t="str">
        <x:v>复星医药</x:v>
      </x:c>
      <x:c r="C76" s="11" t="str">
        <x:v>五年</x:v>
      </x:c>
      <x:c r="D76" s="11" t="str">
        <x:v>HKD</x:v>
      </x:c>
      <x:c r="E76" s="25" t="n">
        <x:f>'情景快照'!I215</x:f>
        <x:v>2.0229370852985853</x:v>
      </x:c>
      <x:c r="F76" s="25" t="n">
        <x:f>(1+E76)*0.95-1</x:f>
        <x:v>1.871790231033656</x:v>
      </x:c>
      <x:c r="G76" s="25" t="n">
        <x:f>E76</x:f>
        <x:v>2.0229370852985853</x:v>
      </x:c>
      <x:c r="H76" s="25" t="n">
        <x:f>(1+E76)*1.05-1</x:f>
        <x:v>2.1740839395635145</x:v>
      </x:c>
      <x:c r="I76" s="25" t="n">
        <x:f>(1+F76)^(1/5)-1</x:f>
        <x:v>0.23489645176114626</x:v>
      </x:c>
      <x:c r="J76" s="25" t="n">
        <x:f>(1+H76)^(1/5)-1</x:f>
        <x:v>0.25986404399252216</x:v>
      </x:c>
      <x:c r="K76" s="11" t="str">
        <x:v>仅投资者换汇；目标价固定，不再次改变盈利换算率</x:v>
      </x:c>
    </x:row>
    <x:row r="77" ht="23" customHeight="1">
      <x:c r="A77" s="11" t="str">
        <x:v>01548.HK</x:v>
      </x:c>
      <x:c r="B77" s="11" t="str">
        <x:v>金斯瑞生物科技</x:v>
      </x:c>
      <x:c r="C77" s="11" t="str">
        <x:v>2026年底</x:v>
      </x:c>
      <x:c r="D77" s="11" t="str">
        <x:v>HKD</x:v>
      </x:c>
      <x:c r="E77" s="25" t="n">
        <x:f>'情景快照'!I218</x:f>
        <x:v>-0.20235401677322573</x:v>
      </x:c>
      <x:c r="F77" s="25" t="n">
        <x:f>(1+E77)*0.95-1</x:f>
        <x:v>-0.24223631593456452</x:v>
      </x:c>
      <x:c r="G77" s="25" t="n">
        <x:f>E77</x:f>
        <x:v>-0.20235401677322573</x:v>
      </x:c>
      <x:c r="H77" s="25" t="n">
        <x:f>(1+E77)*1.05-1</x:f>
        <x:v>-0.16247171761188695</x:v>
      </x:c>
      <x:c r="I77" s="25" t="str">
        <x:f>""</x:f>
      </x:c>
      <x:c r="J77" s="25" t="str">
        <x:f>""</x:f>
      </x:c>
      <x:c r="K77" s="11" t="str">
        <x:v>仅投资者换汇；目标价固定，不再次改变盈利换算率</x:v>
      </x:c>
    </x:row>
    <x:row r="78" ht="23" customHeight="1">
      <x:c r="A78" s="11" t="str">
        <x:v>01548.HK</x:v>
      </x:c>
      <x:c r="B78" s="11" t="str">
        <x:v>金斯瑞生物科技</x:v>
      </x:c>
      <x:c r="C78" s="11" t="str">
        <x:v>半年</x:v>
      </x:c>
      <x:c r="D78" s="11" t="str">
        <x:v>HKD</x:v>
      </x:c>
      <x:c r="E78" s="25" t="n">
        <x:f>'情景快照'!I221</x:f>
        <x:v>-0.08693143325800146</x:v>
      </x:c>
      <x:c r="F78" s="25" t="n">
        <x:f>(1+E78)*0.95-1</x:f>
        <x:v>-0.1325848615951014</x:v>
      </x:c>
      <x:c r="G78" s="25" t="n">
        <x:f>E78</x:f>
        <x:v>-0.08693143325800146</x:v>
      </x:c>
      <x:c r="H78" s="25" t="n">
        <x:f>(1+E78)*1.05-1</x:f>
        <x:v>-0.0412780049209015</x:v>
      </x:c>
      <x:c r="I78" s="25" t="str">
        <x:f>""</x:f>
      </x:c>
      <x:c r="J78" s="25" t="str">
        <x:f>""</x:f>
      </x:c>
      <x:c r="K78" s="11" t="str">
        <x:v>仅投资者换汇；目标价固定，不再次改变盈利换算率</x:v>
      </x:c>
    </x:row>
    <x:row r="79" ht="23" customHeight="1">
      <x:c r="A79" s="11" t="str">
        <x:v>01548.HK</x:v>
      </x:c>
      <x:c r="B79" s="11" t="str">
        <x:v>金斯瑞生物科技</x:v>
      </x:c>
      <x:c r="C79" s="11" t="str">
        <x:v>一年</x:v>
      </x:c>
      <x:c r="D79" s="11" t="str">
        <x:v>HKD</x:v>
      </x:c>
      <x:c r="E79" s="25" t="n">
        <x:f>'情景快照'!I224</x:f>
        <x:v>0.13269268405910406</x:v>
      </x:c>
      <x:c r="F79" s="25" t="n">
        <x:f>(1+E79)*0.95-1</x:f>
        <x:v>0.07605804985614872</x:v>
      </x:c>
      <x:c r="G79" s="25" t="n">
        <x:f>E79</x:f>
        <x:v>0.13269268405910406</x:v>
      </x:c>
      <x:c r="H79" s="25" t="n">
        <x:f>(1+E79)*1.05-1</x:f>
        <x:v>0.1893273182620594</x:v>
      </x:c>
      <x:c r="I79" s="25" t="str">
        <x:f>""</x:f>
      </x:c>
      <x:c r="J79" s="25" t="str">
        <x:f>""</x:f>
      </x:c>
      <x:c r="K79" s="11" t="str">
        <x:v>仅投资者换汇；目标价固定，不再次改变盈利换算率</x:v>
      </x:c>
    </x:row>
    <x:row r="80" ht="23" customHeight="1">
      <x:c r="A80" s="11" t="str">
        <x:v>01548.HK</x:v>
      </x:c>
      <x:c r="B80" s="11" t="str">
        <x:v>金斯瑞生物科技</x:v>
      </x:c>
      <x:c r="C80" s="11" t="str">
        <x:v>三年</x:v>
      </x:c>
      <x:c r="D80" s="11" t="str">
        <x:v>HKD</x:v>
      </x:c>
      <x:c r="E80" s="25" t="n">
        <x:f>'情景快照'!I227</x:f>
        <x:v>0.2934963629155485</x:v>
      </x:c>
      <x:c r="F80" s="25" t="n">
        <x:f>(1+E80)*0.95-1</x:f>
        <x:v>0.228821544769771</x:v>
      </x:c>
      <x:c r="G80" s="25" t="n">
        <x:f>E80</x:f>
        <x:v>0.2934963629155485</x:v>
      </x:c>
      <x:c r="H80" s="25" t="n">
        <x:f>(1+E80)*1.05-1</x:f>
        <x:v>0.35817118106132595</x:v>
      </x:c>
      <x:c r="I80" s="25" t="n">
        <x:f>(1+F80)^(1/3)-1</x:f>
        <x:v>0.07109897998151249</x:v>
      </x:c>
      <x:c r="J80" s="25" t="n">
        <x:f>(1+H80)^(1/3)-1</x:f>
        <x:v>0.10743480936744132</x:v>
      </x:c>
      <x:c r="K80" s="11" t="str">
        <x:v>仅投资者换汇；目标价固定，不再次改变盈利换算率</x:v>
      </x:c>
    </x:row>
    <x:row r="81" ht="23" customHeight="1">
      <x:c r="A81" s="11" t="str">
        <x:v>01548.HK</x:v>
      </x:c>
      <x:c r="B81" s="11" t="str">
        <x:v>金斯瑞生物科技</x:v>
      </x:c>
      <x:c r="C81" s="11" t="str">
        <x:v>五年</x:v>
      </x:c>
      <x:c r="D81" s="11" t="str">
        <x:v>HKD</x:v>
      </x:c>
      <x:c r="E81" s="25" t="n">
        <x:f>'情景快照'!I230</x:f>
        <x:v>0.7123455694105365</x:v>
      </x:c>
      <x:c r="F81" s="25" t="n">
        <x:f>(1+E81)*0.95-1</x:f>
        <x:v>0.6267282909400096</x:v>
      </x:c>
      <x:c r="G81" s="25" t="n">
        <x:f>E81</x:f>
        <x:v>0.7123455694105365</x:v>
      </x:c>
      <x:c r="H81" s="25" t="n">
        <x:f>(1+E81)*1.05-1</x:f>
        <x:v>0.7979628478810634</x:v>
      </x:c>
      <x:c r="I81" s="25" t="n">
        <x:f>(1+F81)^(1/5)-1</x:f>
        <x:v>0.10220659159873025</x:v>
      </x:c>
      <x:c r="J81" s="25" t="n">
        <x:f>(1+H81)^(1/5)-1</x:f>
        <x:v>0.12449141126480412</x:v>
      </x:c>
      <x:c r="K81" s="11" t="str">
        <x:v>仅投资者换汇；目标价固定，不再次改变盈利换算率</x:v>
      </x:c>
    </x:row>
    <x:row r="82" ht="23" customHeight="1">
      <x:c r="A82" s="11" t="str">
        <x:v>688139.SH</x:v>
      </x:c>
      <x:c r="B82" s="11" t="str">
        <x:v>海尔生物</x:v>
      </x:c>
      <x:c r="C82" s="11" t="str">
        <x:v>2026年底</x:v>
      </x:c>
      <x:c r="D82" s="11" t="str">
        <x:v>CNY</x:v>
      </x:c>
      <x:c r="E82" s="25" t="n">
        <x:f>'情景快照'!I233</x:f>
        <x:v>0.004269854824935804</x:v>
      </x:c>
      <x:c r="F82" s="25" t="n">
        <x:f>(1+E82)*1-1</x:f>
        <x:v>0.004269854824935804</x:v>
      </x:c>
      <x:c r="G82" s="25" t="n">
        <x:f>E82</x:f>
        <x:v>0.004269854824935804</x:v>
      </x:c>
      <x:c r="H82" s="25" t="n">
        <x:f>(1+E82)*1-1</x:f>
        <x:v>0.004269854824935804</x:v>
      </x:c>
      <x:c r="I82" s="25" t="str">
        <x:f>""</x:f>
      </x:c>
      <x:c r="J82" s="25" t="str">
        <x:f>""</x:f>
      </x:c>
      <x:c r="K82" s="11" t="str">
        <x:v>仅投资者换汇；目标价固定，不再次改变盈利换算率</x:v>
      </x:c>
    </x:row>
    <x:row r="83" ht="23" customHeight="1">
      <x:c r="A83" s="11" t="str">
        <x:v>688139.SH</x:v>
      </x:c>
      <x:c r="B83" s="11" t="str">
        <x:v>海尔生物</x:v>
      </x:c>
      <x:c r="C83" s="11" t="str">
        <x:v>半年</x:v>
      </x:c>
      <x:c r="D83" s="11" t="str">
        <x:v>CNY</x:v>
      </x:c>
      <x:c r="E83" s="25" t="n">
        <x:f>'情景快照'!I236</x:f>
        <x:v>0.10674637062339887</x:v>
      </x:c>
      <x:c r="F83" s="25" t="n">
        <x:f>(1+E83)*1-1</x:f>
        <x:v>0.10674637062339887</x:v>
      </x:c>
      <x:c r="G83" s="25" t="n">
        <x:f>E83</x:f>
        <x:v>0.10674637062339887</x:v>
      </x:c>
      <x:c r="H83" s="25" t="n">
        <x:f>(1+E83)*1-1</x:f>
        <x:v>0.10674637062339887</x:v>
      </x:c>
      <x:c r="I83" s="25" t="str">
        <x:f>""</x:f>
      </x:c>
      <x:c r="J83" s="25" t="str">
        <x:f>""</x:f>
      </x:c>
      <x:c r="K83" s="11" t="str">
        <x:v>仅投资者换汇；目标价固定，不再次改变盈利换算率</x:v>
      </x:c>
    </x:row>
    <x:row r="84" ht="23" customHeight="1">
      <x:c r="A84" s="11" t="str">
        <x:v>688139.SH</x:v>
      </x:c>
      <x:c r="B84" s="11" t="str">
        <x:v>海尔生物</x:v>
      </x:c>
      <x:c r="C84" s="11" t="str">
        <x:v>一年</x:v>
      </x:c>
      <x:c r="D84" s="11" t="str">
        <x:v>CNY</x:v>
      </x:c>
      <x:c r="E84" s="25" t="n">
        <x:f>'情景快照'!I239</x:f>
        <x:v>0.30657557643040123</x:v>
      </x:c>
      <x:c r="F84" s="25" t="n">
        <x:f>(1+E84)*1-1</x:f>
        <x:v>0.30657557643040123</x:v>
      </x:c>
      <x:c r="G84" s="25" t="n">
        <x:f>E84</x:f>
        <x:v>0.30657557643040123</x:v>
      </x:c>
      <x:c r="H84" s="25" t="n">
        <x:f>(1+E84)*1-1</x:f>
        <x:v>0.30657557643040123</x:v>
      </x:c>
      <x:c r="I84" s="25" t="str">
        <x:f>""</x:f>
      </x:c>
      <x:c r="J84" s="25" t="str">
        <x:f>""</x:f>
      </x:c>
      <x:c r="K84" s="11" t="str">
        <x:v>仅投资者换汇；目标价固定，不再次改变盈利换算率</x:v>
      </x:c>
    </x:row>
    <x:row r="85" ht="23" customHeight="1">
      <x:c r="A85" s="11" t="str">
        <x:v>688139.SH</x:v>
      </x:c>
      <x:c r="B85" s="11" t="str">
        <x:v>海尔生物</x:v>
      </x:c>
      <x:c r="C85" s="11" t="str">
        <x:v>三年</x:v>
      </x:c>
      <x:c r="D85" s="11" t="str">
        <x:v>CNY</x:v>
      </x:c>
      <x:c r="E85" s="25" t="n">
        <x:f>'情景快照'!I242</x:f>
        <x:v>0.8246512951892966</x:v>
      </x:c>
      <x:c r="F85" s="25" t="n">
        <x:f>(1+E85)*1-1</x:f>
        <x:v>0.8246512951892966</x:v>
      </x:c>
      <x:c r="G85" s="25" t="n">
        <x:f>E85</x:f>
        <x:v>0.8246512951892966</x:v>
      </x:c>
      <x:c r="H85" s="25" t="n">
        <x:f>(1+E85)*1-1</x:f>
        <x:v>0.8246512951892966</x:v>
      </x:c>
      <x:c r="I85" s="25" t="n">
        <x:f>(1+F85)^(1/3)-1</x:f>
        <x:v>0.22196835688290828</x:v>
      </x:c>
      <x:c r="J85" s="25" t="n">
        <x:f>(1+H85)^(1/3)-1</x:f>
        <x:v>0.22196835688290828</x:v>
      </x:c>
      <x:c r="K85" s="11" t="str">
        <x:v>仅投资者换汇；目标价固定，不再次改变盈利换算率</x:v>
      </x:c>
    </x:row>
    <x:row r="86" ht="23" customHeight="1">
      <x:c r="A86" s="11" t="str">
        <x:v>688139.SH</x:v>
      </x:c>
      <x:c r="B86" s="11" t="str">
        <x:v>海尔生物</x:v>
      </x:c>
      <x:c r="C86" s="11" t="str">
        <x:v>五年</x:v>
      </x:c>
      <x:c r="D86" s="11" t="str">
        <x:v>CNY</x:v>
      </x:c>
      <x:c r="E86" s="25" t="n">
        <x:f>'情景快照'!I245</x:f>
        <x:v>1.359806433247936</x:v>
      </x:c>
      <x:c r="F86" s="25" t="n">
        <x:f>(1+E86)*1-1</x:f>
        <x:v>1.359806433247936</x:v>
      </x:c>
      <x:c r="G86" s="25" t="n">
        <x:f>E86</x:f>
        <x:v>1.359806433247936</x:v>
      </x:c>
      <x:c r="H86" s="25" t="n">
        <x:f>(1+E86)*1-1</x:f>
        <x:v>1.359806433247936</x:v>
      </x:c>
      <x:c r="I86" s="25" t="n">
        <x:f>(1+F86)^(1/5)-1</x:f>
        <x:v>0.18734048463188469</x:v>
      </x:c>
      <x:c r="J86" s="25" t="n">
        <x:f>(1+H86)^(1/5)-1</x:f>
        <x:v>0.18734048463188469</x:v>
      </x:c>
      <x:c r="K86" s="11" t="str">
        <x:v>仅投资者换汇；目标价固定，不再次改变盈利换算率</x:v>
      </x:c>
    </x:row>
    <x:row r="87" ht="23" customHeight="1">
      <x:c r="A87" s="11" t="str">
        <x:v>03692.HK</x:v>
      </x:c>
      <x:c r="B87" s="11" t="str">
        <x:v>翰森制药</x:v>
      </x:c>
      <x:c r="C87" s="11" t="str">
        <x:v>2026年底</x:v>
      </x:c>
      <x:c r="D87" s="11" t="str">
        <x:v>HKD</x:v>
      </x:c>
      <x:c r="E87" s="25" t="n">
        <x:f>'情景快照'!I248</x:f>
        <x:v>0.17233139672911557</x:v>
      </x:c>
      <x:c r="F87" s="25" t="n">
        <x:f>(1+E87)*0.95-1</x:f>
        <x:v>0.11371482689265977</x:v>
      </x:c>
      <x:c r="G87" s="25" t="n">
        <x:f>E87</x:f>
        <x:v>0.17233139672911557</x:v>
      </x:c>
      <x:c r="H87" s="25" t="n">
        <x:f>(1+E87)*1.05-1</x:f>
        <x:v>0.23094796656557137</x:v>
      </x:c>
      <x:c r="I87" s="25" t="str">
        <x:f>""</x:f>
      </x:c>
      <x:c r="J87" s="25" t="str">
        <x:f>""</x:f>
      </x:c>
      <x:c r="K87" s="11" t="str">
        <x:v>仅投资者换汇；目标价固定，不再次改变盈利换算率</x:v>
      </x:c>
    </x:row>
    <x:row r="88" ht="23" customHeight="1">
      <x:c r="A88" s="11" t="str">
        <x:v>03692.HK</x:v>
      </x:c>
      <x:c r="B88" s="11" t="str">
        <x:v>翰森制药</x:v>
      </x:c>
      <x:c r="C88" s="11" t="str">
        <x:v>半年</x:v>
      </x:c>
      <x:c r="D88" s="11" t="str">
        <x:v>HKD</x:v>
      </x:c>
      <x:c r="E88" s="25" t="n">
        <x:f>'情景快照'!I251</x:f>
        <x:v>0.24068903781979412</x:v>
      </x:c>
      <x:c r="F88" s="25" t="n">
        <x:f>(1+E88)*0.95-1</x:f>
        <x:v>0.17865458592880445</x:v>
      </x:c>
      <x:c r="G88" s="25" t="n">
        <x:f>E88</x:f>
        <x:v>0.24068903781979412</x:v>
      </x:c>
      <x:c r="H88" s="25" t="n">
        <x:f>(1+E88)*1.05-1</x:f>
        <x:v>0.3027234897107838</x:v>
      </x:c>
      <x:c r="I88" s="25" t="str">
        <x:f>""</x:f>
      </x:c>
      <x:c r="J88" s="25" t="str">
        <x:f>""</x:f>
      </x:c>
      <x:c r="K88" s="11" t="str">
        <x:v>仅投资者换汇；目标价固定，不再次改变盈利换算率</x:v>
      </x:c>
    </x:row>
    <x:row r="89" ht="23" customHeight="1">
      <x:c r="A89" s="11" t="str">
        <x:v>03692.HK</x:v>
      </x:c>
      <x:c r="B89" s="11" t="str">
        <x:v>翰森制药</x:v>
      </x:c>
      <x:c r="C89" s="11" t="str">
        <x:v>一年</x:v>
      </x:c>
      <x:c r="D89" s="11" t="str">
        <x:v>HKD</x:v>
      </x:c>
      <x:c r="E89" s="25" t="n">
        <x:f>'情景快照'!I254</x:f>
        <x:v>0.47620847763523755</x:v>
      </x:c>
      <x:c r="F89" s="25" t="n">
        <x:f>(1+E89)*0.95-1</x:f>
        <x:v>0.4023980537534757</x:v>
      </x:c>
      <x:c r="G89" s="25" t="n">
        <x:f>E89</x:f>
        <x:v>0.47620847763523755</x:v>
      </x:c>
      <x:c r="H89" s="25" t="n">
        <x:f>(1+E89)*1.05-1</x:f>
        <x:v>0.5500189015169994</x:v>
      </x:c>
      <x:c r="I89" s="25" t="str">
        <x:f>""</x:f>
      </x:c>
      <x:c r="J89" s="25" t="str">
        <x:f>""</x:f>
      </x:c>
      <x:c r="K89" s="11" t="str">
        <x:v>仅投资者换汇；目标价固定，不再次改变盈利换算率</x:v>
      </x:c>
    </x:row>
    <x:row r="90" ht="23" customHeight="1">
      <x:c r="A90" s="11" t="str">
        <x:v>03692.HK</x:v>
      </x:c>
      <x:c r="B90" s="11" t="str">
        <x:v>翰森制药</x:v>
      </x:c>
      <x:c r="C90" s="11" t="str">
        <x:v>三年</x:v>
      </x:c>
      <x:c r="D90" s="11" t="str">
        <x:v>HKD</x:v>
      </x:c>
      <x:c r="E90" s="25" t="n">
        <x:f>'情景快照'!I257</x:f>
        <x:v>0.8007609384908059</x:v>
      </x:c>
      <x:c r="F90" s="25" t="n">
        <x:f>(1+E90)*0.95-1</x:f>
        <x:v>0.7107228915662656</x:v>
      </x:c>
      <x:c r="G90" s="25" t="n">
        <x:f>E90</x:f>
        <x:v>0.8007609384908059</x:v>
      </x:c>
      <x:c r="H90" s="25" t="n">
        <x:f>(1+E90)*1.05-1</x:f>
        <x:v>0.8907989854153462</x:v>
      </x:c>
      <x:c r="I90" s="25" t="n">
        <x:f>(1+F90)^(1/3)-1</x:f>
        <x:v>0.19598726593859195</x:v>
      </x:c>
      <x:c r="J90" s="25" t="n">
        <x:f>(1+H90)^(1/3)-1</x:f>
        <x:v>0.23655979009843953</x:v>
      </x:c>
      <x:c r="K90" s="11" t="str">
        <x:v>仅投资者换汇；目标价固定，不再次改变盈利换算率</x:v>
      </x:c>
    </x:row>
    <x:row r="91" ht="23" customHeight="1">
      <x:c r="A91" s="11" t="str">
        <x:v>03692.HK</x:v>
      </x:c>
      <x:c r="B91" s="11" t="str">
        <x:v>翰森制药</x:v>
      </x:c>
      <x:c r="C91" s="11" t="str">
        <x:v>五年</x:v>
      </x:c>
      <x:c r="D91" s="11" t="str">
        <x:v>HKD</x:v>
      </x:c>
      <x:c r="E91" s="25" t="n">
        <x:f>'情景快照'!I260</x:f>
        <x:v>1.3512470936377086</x:v>
      </x:c>
      <x:c r="F91" s="25" t="n">
        <x:f>(1+E91)*0.95-1</x:f>
        <x:v>1.233684738955823</x:v>
      </x:c>
      <x:c r="G91" s="25" t="n">
        <x:f>E91</x:f>
        <x:v>1.3512470936377086</x:v>
      </x:c>
      <x:c r="H91" s="25" t="n">
        <x:f>(1+E91)*1.05-1</x:f>
        <x:v>1.4688094483195941</x:v>
      </x:c>
      <x:c r="I91" s="25" t="n">
        <x:f>(1+F91)^(1/5)-1</x:f>
        <x:v>0.1743684505815961</x:v>
      </x:c>
      <x:c r="J91" s="25" t="n">
        <x:f>(1+H91)^(1/5)-1</x:f>
        <x:v>0.19811226534573922</x:v>
      </x:c>
      <x:c r="K91" s="11" t="str">
        <x:v>仅投资者换汇；目标价固定，不再次改变盈利换算率</x:v>
      </x:c>
    </x:row>
    <x:row r="92" ht="23" customHeight="1">
      <x:c r="A92" s="11" t="str">
        <x:v>688131.SH</x:v>
      </x:c>
      <x:c r="B92" s="11" t="str">
        <x:v>皓元医药</x:v>
      </x:c>
      <x:c r="C92" s="11" t="str">
        <x:v>2026年底</x:v>
      </x:c>
      <x:c r="D92" s="11" t="str">
        <x:v>CNY</x:v>
      </x:c>
      <x:c r="E92" s="25" t="n">
        <x:f>'情景快照'!I263</x:f>
        <x:v>-0.034993559467582536</x:v>
      </x:c>
      <x:c r="F92" s="25" t="n">
        <x:f>(1+E92)*1-1</x:f>
        <x:v>-0.034993559467582536</x:v>
      </x:c>
      <x:c r="G92" s="25" t="n">
        <x:f>E92</x:f>
        <x:v>-0.034993559467582536</x:v>
      </x:c>
      <x:c r="H92" s="25" t="n">
        <x:f>(1+E92)*1-1</x:f>
        <x:v>-0.034993559467582536</x:v>
      </x:c>
      <x:c r="I92" s="25" t="str">
        <x:f>""</x:f>
      </x:c>
      <x:c r="J92" s="25" t="str">
        <x:f>""</x:f>
      </x:c>
      <x:c r="K92" s="11" t="str">
        <x:v>仅投资者换汇；目标价固定，不再次改变盈利换算率</x:v>
      </x:c>
    </x:row>
    <x:row r="93" ht="23" customHeight="1">
      <x:c r="A93" s="11" t="str">
        <x:v>688131.SH</x:v>
      </x:c>
      <x:c r="B93" s="11" t="str">
        <x:v>皓元医药</x:v>
      </x:c>
      <x:c r="C93" s="11" t="str">
        <x:v>半年</x:v>
      </x:c>
      <x:c r="D93" s="11" t="str">
        <x:v>CNY</x:v>
      </x:c>
      <x:c r="E93" s="25" t="n">
        <x:f>'情景快照'!I266</x:f>
        <x:v>0.06268784886217271</x:v>
      </x:c>
      <x:c r="F93" s="25" t="n">
        <x:f>(1+E93)*1-1</x:f>
        <x:v>0.06268784886217271</x:v>
      </x:c>
      <x:c r="G93" s="25" t="n">
        <x:f>E93</x:f>
        <x:v>0.06268784886217271</x:v>
      </x:c>
      <x:c r="H93" s="25" t="n">
        <x:f>(1+E93)*1-1</x:f>
        <x:v>0.06268784886217271</x:v>
      </x:c>
      <x:c r="I93" s="25" t="str">
        <x:f>""</x:f>
      </x:c>
      <x:c r="J93" s="25" t="str">
        <x:f>""</x:f>
      </x:c>
      <x:c r="K93" s="11" t="str">
        <x:v>仅投资者换汇；目标价固定，不再次改变盈利换算率</x:v>
      </x:c>
    </x:row>
    <x:row r="94" ht="23" customHeight="1">
      <x:c r="A94" s="11" t="str">
        <x:v>688131.SH</x:v>
      </x:c>
      <x:c r="B94" s="11" t="str">
        <x:v>皓元医药</x:v>
      </x:c>
      <x:c r="C94" s="11" t="str">
        <x:v>一年</x:v>
      </x:c>
      <x:c r="D94" s="11" t="str">
        <x:v>CNY</x:v>
      </x:c>
      <x:c r="E94" s="25" t="n">
        <x:f>'情景快照'!I269</x:f>
        <x:v>0.25890940317732936</x:v>
      </x:c>
      <x:c r="F94" s="25" t="n">
        <x:f>(1+E94)*1-1</x:f>
        <x:v>0.25890940317732936</x:v>
      </x:c>
      <x:c r="G94" s="25" t="n">
        <x:f>E94</x:f>
        <x:v>0.25890940317732936</x:v>
      </x:c>
      <x:c r="H94" s="25" t="n">
        <x:f>(1+E94)*1-1</x:f>
        <x:v>0.25890940317732936</x:v>
      </x:c>
      <x:c r="I94" s="25" t="str">
        <x:f>""</x:f>
      </x:c>
      <x:c r="J94" s="25" t="str">
        <x:f>""</x:f>
      </x:c>
      <x:c r="K94" s="11" t="str">
        <x:v>仅投资者换汇；目标价固定，不再次改变盈利换算率</x:v>
      </x:c>
    </x:row>
    <x:row r="95" ht="23" customHeight="1">
      <x:c r="A95" s="11" t="str">
        <x:v>688131.SH</x:v>
      </x:c>
      <x:c r="B95" s="11" t="str">
        <x:v>皓元医药</x:v>
      </x:c>
      <x:c r="C95" s="11" t="str">
        <x:v>三年</x:v>
      </x:c>
      <x:c r="D95" s="11" t="str">
        <x:v>CNY</x:v>
      </x:c>
      <x:c r="E95" s="25" t="n">
        <x:f>'情景快照'!I272</x:f>
        <x:v>0.8537999141262345</x:v>
      </x:c>
      <x:c r="F95" s="25" t="n">
        <x:f>(1+E95)*1-1</x:f>
        <x:v>0.8537999141262345</x:v>
      </x:c>
      <x:c r="G95" s="25" t="n">
        <x:f>E95</x:f>
        <x:v>0.8537999141262345</x:v>
      </x:c>
      <x:c r="H95" s="25" t="n">
        <x:f>(1+E95)*1-1</x:f>
        <x:v>0.8537999141262345</x:v>
      </x:c>
      <x:c r="I95" s="25" t="n">
        <x:f>(1+F95)^(1/3)-1</x:f>
        <x:v>0.22844095201019288</x:v>
      </x:c>
      <x:c r="J95" s="25" t="n">
        <x:f>(1+H95)^(1/3)-1</x:f>
        <x:v>0.22844095201019288</x:v>
      </x:c>
      <x:c r="K95" s="11" t="str">
        <x:v>仅投资者换汇；目标价固定，不再次改变盈利换算率</x:v>
      </x:c>
    </x:row>
    <x:row r="96" ht="23" customHeight="1">
      <x:c r="A96" s="11" t="str">
        <x:v>688131.SH</x:v>
      </x:c>
      <x:c r="B96" s="11" t="str">
        <x:v>皓元医药</x:v>
      </x:c>
      <x:c r="C96" s="11" t="str">
        <x:v>五年</x:v>
      </x:c>
      <x:c r="D96" s="11" t="str">
        <x:v>CNY</x:v>
      </x:c>
      <x:c r="E96" s="25" t="n">
        <x:f>'情景快照'!I275</x:f>
        <x:v>1.2681408329755262</x:v>
      </x:c>
      <x:c r="F96" s="25" t="n">
        <x:f>(1+E96)*1-1</x:f>
        <x:v>1.2681408329755262</x:v>
      </x:c>
      <x:c r="G96" s="25" t="n">
        <x:f>E96</x:f>
        <x:v>1.2681408329755262</x:v>
      </x:c>
      <x:c r="H96" s="25" t="n">
        <x:f>(1+E96)*1-1</x:f>
        <x:v>1.2681408329755262</x:v>
      </x:c>
      <x:c r="I96" s="25" t="n">
        <x:f>(1+F96)^(1/5)-1</x:f>
        <x:v>0.17796938499274906</x:v>
      </x:c>
      <x:c r="J96" s="25" t="n">
        <x:f>(1+H96)^(1/5)-1</x:f>
        <x:v>0.17796938499274906</x:v>
      </x:c>
      <x:c r="K96" s="11" t="str">
        <x:v>仅投资者换汇；目标价固定，不再次改变盈利换算率</x:v>
      </x:c>
    </x:row>
    <x:row r="97" ht="23" customHeight="1">
      <x:c r="A97" s="11" t="str">
        <x:v>600276.SH</x:v>
      </x:c>
      <x:c r="B97" s="11" t="str">
        <x:v>恒瑞医药</x:v>
      </x:c>
      <x:c r="C97" s="11" t="str">
        <x:v>2026年底</x:v>
      </x:c>
      <x:c r="D97" s="11" t="str">
        <x:v>CNY</x:v>
      </x:c>
      <x:c r="E97" s="25" t="n">
        <x:f>'情景快照'!I278</x:f>
        <x:v>0.05229455709711828</x:v>
      </x:c>
      <x:c r="F97" s="25" t="n">
        <x:f>(1+E97)*1-1</x:f>
        <x:v>0.05229455709711828</x:v>
      </x:c>
      <x:c r="G97" s="25" t="n">
        <x:f>E97</x:f>
        <x:v>0.05229455709711828</x:v>
      </x:c>
      <x:c r="H97" s="25" t="n">
        <x:f>(1+E97)*1-1</x:f>
        <x:v>0.05229455709711828</x:v>
      </x:c>
      <x:c r="I97" s="25" t="str">
        <x:f>""</x:f>
      </x:c>
      <x:c r="J97" s="25" t="str">
        <x:f>""</x:f>
      </x:c>
      <x:c r="K97" s="11" t="str">
        <x:v>仅投资者换汇；目标价固定，不再次改变盈利换算率</x:v>
      </x:c>
    </x:row>
    <x:row r="98" ht="23" customHeight="1">
      <x:c r="A98" s="11" t="str">
        <x:v>600276.SH</x:v>
      </x:c>
      <x:c r="B98" s="11" t="str">
        <x:v>恒瑞医药</x:v>
      </x:c>
      <x:c r="C98" s="11" t="str">
        <x:v>半年</x:v>
      </x:c>
      <x:c r="D98" s="11" t="str">
        <x:v>CNY</x:v>
      </x:c>
      <x:c r="E98" s="25" t="n">
        <x:f>'情景快照'!I281</x:f>
        <x:v>0.22945570971184637</x:v>
      </x:c>
      <x:c r="F98" s="25" t="n">
        <x:f>(1+E98)*1-1</x:f>
        <x:v>0.22945570971184637</x:v>
      </x:c>
      <x:c r="G98" s="25" t="n">
        <x:f>E98</x:f>
        <x:v>0.22945570971184637</x:v>
      </x:c>
      <x:c r="H98" s="25" t="n">
        <x:f>(1+E98)*1-1</x:f>
        <x:v>0.22945570971184637</x:v>
      </x:c>
      <x:c r="I98" s="25" t="str">
        <x:f>""</x:f>
      </x:c>
      <x:c r="J98" s="25" t="str">
        <x:f>""</x:f>
      </x:c>
      <x:c r="K98" s="11" t="str">
        <x:v>仅投资者换汇；目标价固定，不再次改变盈利换算率</x:v>
      </x:c>
    </x:row>
    <x:row r="99" ht="23" customHeight="1">
      <x:c r="A99" s="11" t="str">
        <x:v>600276.SH</x:v>
      </x:c>
      <x:c r="B99" s="11" t="str">
        <x:v>恒瑞医药</x:v>
      </x:c>
      <x:c r="C99" s="11" t="str">
        <x:v>一年</x:v>
      </x:c>
      <x:c r="D99" s="11" t="str">
        <x:v>CNY</x:v>
      </x:c>
      <x:c r="E99" s="25" t="n">
        <x:f>'情景快照'!I284</x:f>
        <x:v>0.3884738527214513</x:v>
      </x:c>
      <x:c r="F99" s="25" t="n">
        <x:f>(1+E99)*1-1</x:f>
        <x:v>0.3884738527214513</x:v>
      </x:c>
      <x:c r="G99" s="25" t="n">
        <x:f>E99</x:f>
        <x:v>0.3884738527214513</x:v>
      </x:c>
      <x:c r="H99" s="25" t="n">
        <x:f>(1+E99)*1-1</x:f>
        <x:v>0.3884738527214513</x:v>
      </x:c>
      <x:c r="I99" s="25" t="str">
        <x:f>""</x:f>
      </x:c>
      <x:c r="J99" s="25" t="str">
        <x:f>""</x:f>
      </x:c>
      <x:c r="K99" s="11" t="str">
        <x:v>仅投资者换汇；目标价固定，不再次改变盈利换算率</x:v>
      </x:c>
    </x:row>
    <x:row r="100" ht="23" customHeight="1">
      <x:c r="A100" s="11" t="str">
        <x:v>600276.SH</x:v>
      </x:c>
      <x:c r="B100" s="11" t="str">
        <x:v>恒瑞医药</x:v>
      </x:c>
      <x:c r="C100" s="11" t="str">
        <x:v>三年</x:v>
      </x:c>
      <x:c r="D100" s="11" t="str">
        <x:v>CNY</x:v>
      </x:c>
      <x:c r="E100" s="25" t="n">
        <x:f>'情景快照'!I287</x:f>
        <x:v>0.7972251867662756</x:v>
      </x:c>
      <x:c r="F100" s="25" t="n">
        <x:f>(1+E100)*1-1</x:f>
        <x:v>0.7972251867662756</x:v>
      </x:c>
      <x:c r="G100" s="25" t="n">
        <x:f>E100</x:f>
        <x:v>0.7972251867662756</x:v>
      </x:c>
      <x:c r="H100" s="25" t="n">
        <x:f>(1+E100)*1-1</x:f>
        <x:v>0.7972251867662756</x:v>
      </x:c>
      <x:c r="I100" s="25" t="n">
        <x:f>(1+F100)^(1/3)-1</x:f>
        <x:v>0.2158150045099274</x:v>
      </x:c>
      <x:c r="J100" s="25" t="n">
        <x:f>(1+H100)^(1/3)-1</x:f>
        <x:v>0.2158150045099274</x:v>
      </x:c>
      <x:c r="K100" s="11" t="str">
        <x:v>仅投资者换汇；目标价固定，不再次改变盈利换算率</x:v>
      </x:c>
    </x:row>
    <x:row r="101" ht="23" customHeight="1">
      <x:c r="A101" s="11" t="str">
        <x:v>600276.SH</x:v>
      </x:c>
      <x:c r="B101" s="11" t="str">
        <x:v>恒瑞医药</x:v>
      </x:c>
      <x:c r="C101" s="11" t="str">
        <x:v>五年</x:v>
      </x:c>
      <x:c r="D101" s="11" t="str">
        <x:v>CNY</x:v>
      </x:c>
      <x:c r="E101" s="25" t="n">
        <x:f>'情景快照'!I290</x:f>
        <x:v>1.2572038420490927</x:v>
      </x:c>
      <x:c r="F101" s="25" t="n">
        <x:f>(1+E101)*1-1</x:f>
        <x:v>1.2572038420490927</x:v>
      </x:c>
      <x:c r="G101" s="25" t="n">
        <x:f>E101</x:f>
        <x:v>1.2572038420490927</x:v>
      </x:c>
      <x:c r="H101" s="25" t="n">
        <x:f>(1+E101)*1-1</x:f>
        <x:v>1.2572038420490927</x:v>
      </x:c>
      <x:c r="I101" s="25" t="n">
        <x:f>(1+F101)^(1/5)-1</x:f>
        <x:v>0.17683115212447653</x:v>
      </x:c>
      <x:c r="J101" s="25" t="n">
        <x:f>(1+H101)^(1/5)-1</x:f>
        <x:v>0.17683115212447653</x:v>
      </x:c>
      <x:c r="K101" s="11" t="str">
        <x:v>仅投资者换汇；目标价固定，不再次改变盈利换算率</x:v>
      </x:c>
    </x:row>
    <x:row r="102" ht="23" customHeight="1">
      <x:c r="A102" s="11" t="str">
        <x:v>01276.HK</x:v>
      </x:c>
      <x:c r="B102" s="11" t="str">
        <x:v>恒瑞医药</x:v>
      </x:c>
      <x:c r="C102" s="11" t="str">
        <x:v>2026年底</x:v>
      </x:c>
      <x:c r="D102" s="11" t="str">
        <x:v>HKD</x:v>
      </x:c>
      <x:c r="E102" s="25" t="n">
        <x:f>'情景快照'!I293</x:f>
        <x:v>0.0965625000000001</x:v>
      </x:c>
      <x:c r="F102" s="25" t="n">
        <x:f>(1+E102)*0.95-1</x:f>
        <x:v>0.0417343750000001</x:v>
      </x:c>
      <x:c r="G102" s="25" t="n">
        <x:f>E102</x:f>
        <x:v>0.0965625000000001</x:v>
      </x:c>
      <x:c r="H102" s="25" t="n">
        <x:f>(1+E102)*1.05-1</x:f>
        <x:v>0.1513906250000001</x:v>
      </x:c>
      <x:c r="I102" s="25" t="str">
        <x:f>""</x:f>
      </x:c>
      <x:c r="J102" s="25" t="str">
        <x:f>""</x:f>
      </x:c>
      <x:c r="K102" s="11" t="str">
        <x:v>仅投资者换汇；目标价固定，不再次改变盈利换算率</x:v>
      </x:c>
    </x:row>
    <x:row r="103" ht="23" customHeight="1">
      <x:c r="A103" s="11" t="str">
        <x:v>01276.HK</x:v>
      </x:c>
      <x:c r="B103" s="11" t="str">
        <x:v>恒瑞医药</x:v>
      </x:c>
      <x:c r="C103" s="11" t="str">
        <x:v>半年</x:v>
      </x:c>
      <x:c r="D103" s="11" t="str">
        <x:v>HKD</x:v>
      </x:c>
      <x:c r="E103" s="25" t="n">
        <x:f>'情景快照'!I296</x:f>
        <x:v>0.2466666666666668</x:v>
      </x:c>
      <x:c r="F103" s="25" t="n">
        <x:f>(1+E103)*0.95-1</x:f>
        <x:v>0.18433333333333346</x:v>
      </x:c>
      <x:c r="G103" s="25" t="n">
        <x:f>E103</x:f>
        <x:v>0.2466666666666668</x:v>
      </x:c>
      <x:c r="H103" s="25" t="n">
        <x:f>(1+E103)*1.05-1</x:f>
        <x:v>0.30900000000000016</x:v>
      </x:c>
      <x:c r="I103" s="25" t="str">
        <x:f>""</x:f>
      </x:c>
      <x:c r="J103" s="25" t="str">
        <x:f>""</x:f>
      </x:c>
      <x:c r="K103" s="11" t="str">
        <x:v>仅投资者换汇；目标价固定，不再次改变盈利换算率</x:v>
      </x:c>
    </x:row>
    <x:row r="104" ht="23" customHeight="1">
      <x:c r="A104" s="11" t="str">
        <x:v>01276.HK</x:v>
      </x:c>
      <x:c r="B104" s="11" t="str">
        <x:v>恒瑞医药</x:v>
      </x:c>
      <x:c r="C104" s="11" t="str">
        <x:v>一年</x:v>
      </x:c>
      <x:c r="D104" s="11" t="str">
        <x:v>HKD</x:v>
      </x:c>
      <x:c r="E104" s="25" t="n">
        <x:f>'情景快照'!I299</x:f>
        <x:v>0.4494791666666671</x:v>
      </x:c>
      <x:c r="F104" s="25" t="n">
        <x:f>(1+E104)*0.95-1</x:f>
        <x:v>0.37700520833333373</x:v>
      </x:c>
      <x:c r="G104" s="25" t="n">
        <x:f>E104</x:f>
        <x:v>0.4494791666666671</x:v>
      </x:c>
      <x:c r="H104" s="25" t="n">
        <x:f>(1+E104)*1.05-1</x:f>
        <x:v>0.5219531250000005</x:v>
      </x:c>
      <x:c r="I104" s="25" t="str">
        <x:f>""</x:f>
      </x:c>
      <x:c r="J104" s="25" t="str">
        <x:f>""</x:f>
      </x:c>
      <x:c r="K104" s="11" t="str">
        <x:v>仅投资者换汇；目标价固定，不再次改变盈利换算率</x:v>
      </x:c>
    </x:row>
    <x:row r="105" ht="23" customHeight="1">
      <x:c r="A105" s="11" t="str">
        <x:v>01276.HK</x:v>
      </x:c>
      <x:c r="B105" s="11" t="str">
        <x:v>恒瑞医药</x:v>
      </x:c>
      <x:c r="C105" s="11" t="str">
        <x:v>三年</x:v>
      </x:c>
      <x:c r="D105" s="11" t="str">
        <x:v>HKD</x:v>
      </x:c>
      <x:c r="E105" s="25" t="n">
        <x:f>'情景快照'!I302</x:f>
        <x:v>0.8734375000000003</x:v>
      </x:c>
      <x:c r="F105" s="25" t="n">
        <x:f>(1+E105)*0.95-1</x:f>
        <x:v>0.7797656250000002</x:v>
      </x:c>
      <x:c r="G105" s="25" t="n">
        <x:f>E105</x:f>
        <x:v>0.8734375000000003</x:v>
      </x:c>
      <x:c r="H105" s="25" t="n">
        <x:f>(1+E105)*1.05-1</x:f>
        <x:v>0.9671093750000004</x:v>
      </x:c>
      <x:c r="I105" s="25" t="n">
        <x:f>(1+F105)^(1/3)-1</x:f>
        <x:v>0.21186508013352934</x:v>
      </x:c>
      <x:c r="J105" s="25" t="n">
        <x:f>(1+H105)^(1/3)-1</x:f>
        <x:v>0.2529762412992853</x:v>
      </x:c>
      <x:c r="K105" s="11" t="str">
        <x:v>仅投资者换汇；目标价固定，不再次改变盈利换算率</x:v>
      </x:c>
    </x:row>
    <x:row r="106" ht="23" customHeight="1">
      <x:c r="A106" s="11" t="str">
        <x:v>01276.HK</x:v>
      </x:c>
      <x:c r="B106" s="11" t="str">
        <x:v>恒瑞医药</x:v>
      </x:c>
      <x:c r="C106" s="11" t="str">
        <x:v>五年</x:v>
      </x:c>
      <x:c r="D106" s="11" t="str">
        <x:v>HKD</x:v>
      </x:c>
      <x:c r="E106" s="25" t="n">
        <x:f>'情景快照'!I305</x:f>
        <x:v>1.3489583333333335</x:v>
      </x:c>
      <x:c r="F106" s="25" t="n">
        <x:f>(1+E106)*0.95-1</x:f>
        <x:v>1.2315104166666666</x:v>
      </x:c>
      <x:c r="G106" s="25" t="n">
        <x:f>E106</x:f>
        <x:v>1.3489583333333335</x:v>
      </x:c>
      <x:c r="H106" s="25" t="n">
        <x:f>(1+E106)*1.05-1</x:f>
        <x:v>1.4664062500000004</x:v>
      </x:c>
      <x:c r="I106" s="25" t="n">
        <x:f>(1+F106)^(1/5)-1</x:f>
        <x:v>0.17413972982505954</x:v>
      </x:c>
      <x:c r="J106" s="25" t="n">
        <x:f>(1+H106)^(1/5)-1</x:f>
        <x:v>0.1978789202285316</x:v>
      </x:c>
      <x:c r="K106" s="11" t="str">
        <x:v>仅投资者换汇；目标价固定，不再次改变盈利换算率</x:v>
      </x:c>
    </x:row>
    <x:row r="107" ht="23" customHeight="1">
      <x:c r="A107" s="11" t="str">
        <x:v>688302.SH</x:v>
      </x:c>
      <x:c r="B107" s="11" t="str">
        <x:v>海创药业</x:v>
      </x:c>
      <x:c r="C107" s="11" t="str">
        <x:v>2026年底</x:v>
      </x:c>
      <x:c r="D107" s="11" t="str">
        <x:v>CNY</x:v>
      </x:c>
      <x:c r="E107" s="25" t="n">
        <x:f>'情景快照'!I308</x:f>
        <x:v>-0.07696641217621869</x:v>
      </x:c>
      <x:c r="F107" s="25" t="n">
        <x:f>(1+E107)*1-1</x:f>
        <x:v>-0.07696641217621869</x:v>
      </x:c>
      <x:c r="G107" s="25" t="n">
        <x:f>E107</x:f>
        <x:v>-0.07696641217621869</x:v>
      </x:c>
      <x:c r="H107" s="25" t="n">
        <x:f>(1+E107)*1-1</x:f>
        <x:v>-0.07696641217621869</x:v>
      </x:c>
      <x:c r="I107" s="25" t="str">
        <x:f>""</x:f>
      </x:c>
      <x:c r="J107" s="25" t="str">
        <x:f>""</x:f>
      </x:c>
      <x:c r="K107" s="11" t="str">
        <x:v>仅投资者换汇；目标价固定，不再次改变盈利换算率</x:v>
      </x:c>
    </x:row>
    <x:row r="108" ht="23" customHeight="1">
      <x:c r="A108" s="11" t="str">
        <x:v>688302.SH</x:v>
      </x:c>
      <x:c r="B108" s="11" t="str">
        <x:v>海创药业</x:v>
      </x:c>
      <x:c r="C108" s="11" t="str">
        <x:v>半年</x:v>
      </x:c>
      <x:c r="D108" s="11" t="str">
        <x:v>CNY</x:v>
      </x:c>
      <x:c r="E108" s="25" t="n">
        <x:f>'情景快照'!I311</x:f>
        <x:v>-0.1285408187198006</x:v>
      </x:c>
      <x:c r="F108" s="25" t="n">
        <x:f>(1+E108)*1-1</x:f>
        <x:v>-0.1285408187198006</x:v>
      </x:c>
      <x:c r="G108" s="25" t="n">
        <x:f>E108</x:f>
        <x:v>-0.1285408187198006</x:v>
      </x:c>
      <x:c r="H108" s="25" t="n">
        <x:f>(1+E108)*1-1</x:f>
        <x:v>-0.1285408187198006</x:v>
      </x:c>
      <x:c r="I108" s="25" t="str">
        <x:f>""</x:f>
      </x:c>
      <x:c r="J108" s="25" t="str">
        <x:f>""</x:f>
      </x:c>
      <x:c r="K108" s="11" t="str">
        <x:v>仅投资者换汇；目标价固定，不再次改变盈利换算率</x:v>
      </x:c>
    </x:row>
    <x:row r="109" ht="23" customHeight="1">
      <x:c r="A109" s="11" t="str">
        <x:v>688302.SH</x:v>
      </x:c>
      <x:c r="B109" s="11" t="str">
        <x:v>海创药业</x:v>
      </x:c>
      <x:c r="C109" s="11" t="str">
        <x:v>一年</x:v>
      </x:c>
      <x:c r="D109" s="11" t="str">
        <x:v>CNY</x:v>
      </x:c>
      <x:c r="E109" s="25" t="n">
        <x:f>'情景快照'!I314</x:f>
        <x:v>-0.10683263068213289</x:v>
      </x:c>
      <x:c r="F109" s="25" t="n">
        <x:f>(1+E109)*1-1</x:f>
        <x:v>-0.10683263068213289</x:v>
      </x:c>
      <x:c r="G109" s="25" t="n">
        <x:f>E109</x:f>
        <x:v>-0.10683263068213289</x:v>
      </x:c>
      <x:c r="H109" s="25" t="n">
        <x:f>(1+E109)*1-1</x:f>
        <x:v>-0.10683263068213289</x:v>
      </x:c>
      <x:c r="I109" s="25" t="str">
        <x:f>""</x:f>
      </x:c>
      <x:c r="J109" s="25" t="str">
        <x:f>""</x:f>
      </x:c>
      <x:c r="K109" s="11" t="str">
        <x:v>仅投资者换汇；目标价固定，不再次改变盈利换算率</x:v>
      </x:c>
    </x:row>
    <x:row r="110" ht="23" customHeight="1">
      <x:c r="A110" s="11" t="str">
        <x:v>688302.SH</x:v>
      </x:c>
      <x:c r="B110" s="11" t="str">
        <x:v>海创药业</x:v>
      </x:c>
      <x:c r="C110" s="11" t="str">
        <x:v>三年</x:v>
      </x:c>
      <x:c r="D110" s="11" t="str">
        <x:v>CNY</x:v>
      </x:c>
      <x:c r="E110" s="25" t="n">
        <x:f>'情景快照'!I317</x:f>
        <x:v>0.4506826623360236</x:v>
      </x:c>
      <x:c r="F110" s="25" t="n">
        <x:f>(1+E110)*1-1</x:f>
        <x:v>0.4506826623360236</x:v>
      </x:c>
      <x:c r="G110" s="25" t="n">
        <x:f>E110</x:f>
        <x:v>0.4506826623360236</x:v>
      </x:c>
      <x:c r="H110" s="25" t="n">
        <x:f>(1+E110)*1-1</x:f>
        <x:v>0.4506826623360236</x:v>
      </x:c>
      <x:c r="I110" s="25" t="n">
        <x:f>(1+F110)^(1/3)-1</x:f>
        <x:v>0.13202879388358002</x:v>
      </x:c>
      <x:c r="J110" s="25" t="n">
        <x:f>(1+H110)^(1/3)-1</x:f>
        <x:v>0.13202879388358002</x:v>
      </x:c>
      <x:c r="K110" s="11" t="str">
        <x:v>仅投资者换汇；目标价固定，不再次改变盈利换算率</x:v>
      </x:c>
    </x:row>
    <x:row r="111" ht="23" customHeight="1">
      <x:c r="A111" s="11" t="str">
        <x:v>688302.SH</x:v>
      </x:c>
      <x:c r="B111" s="11" t="str">
        <x:v>海创药业</x:v>
      </x:c>
      <x:c r="C111" s="11" t="str">
        <x:v>五年</x:v>
      </x:c>
      <x:c r="D111" s="11" t="str">
        <x:v>CNY</x:v>
      </x:c>
      <x:c r="E111" s="25" t="n">
        <x:f>'情景快照'!I320</x:f>
        <x:v>1.0104803579677664</x:v>
      </x:c>
      <x:c r="F111" s="25" t="n">
        <x:f>(1+E111)*1-1</x:f>
        <x:v>1.0104803579677664</x:v>
      </x:c>
      <x:c r="G111" s="25" t="n">
        <x:f>E111</x:f>
        <x:v>1.0104803579677664</x:v>
      </x:c>
      <x:c r="H111" s="25" t="n">
        <x:f>(1+E111)*1-1</x:f>
        <x:v>1.0104803579677664</x:v>
      </x:c>
      <x:c r="I111" s="25" t="n">
        <x:f>(1+F111)^(1/5)-1</x:f>
        <x:v>0.14989971648529</x:v>
      </x:c>
      <x:c r="J111" s="25" t="n">
        <x:f>(1+H111)^(1/5)-1</x:f>
        <x:v>0.14989971648529</x:v>
      </x:c>
      <x:c r="K111" s="11" t="str">
        <x:v>仅投资者换汇；目标价固定，不再次改变盈利换算率</x:v>
      </x:c>
    </x:row>
    <x:row r="112" ht="23" customHeight="1">
      <x:c r="A112" s="11" t="str">
        <x:v>01801.HK</x:v>
      </x:c>
      <x:c r="B112" s="11" t="str">
        <x:v>信达生物</x:v>
      </x:c>
      <x:c r="C112" s="11" t="str">
        <x:v>2026年底</x:v>
      </x:c>
      <x:c r="D112" s="11" t="str">
        <x:v>HKD</x:v>
      </x:c>
      <x:c r="E112" s="25" t="n">
        <x:f>'情景快照'!I323</x:f>
        <x:v>0.10415542363734498</x:v>
      </x:c>
      <x:c r="F112" s="25" t="n">
        <x:f>(1+E112)*0.95-1</x:f>
        <x:v>0.04894765245547772</x:v>
      </x:c>
      <x:c r="G112" s="25" t="n">
        <x:f>E112</x:f>
        <x:v>0.10415542363734498</x:v>
      </x:c>
      <x:c r="H112" s="25" t="n">
        <x:f>(1+E112)*1.05-1</x:f>
        <x:v>0.15936319481921224</x:v>
      </x:c>
      <x:c r="I112" s="25" t="str">
        <x:f>""</x:f>
      </x:c>
      <x:c r="J112" s="25" t="str">
        <x:f>""</x:f>
      </x:c>
      <x:c r="K112" s="11" t="str">
        <x:v>仅投资者换汇；目标价固定，不再次改变盈利换算率</x:v>
      </x:c>
    </x:row>
    <x:row r="113" ht="23" customHeight="1">
      <x:c r="A113" s="11" t="str">
        <x:v>01801.HK</x:v>
      </x:c>
      <x:c r="B113" s="11" t="str">
        <x:v>信达生物</x:v>
      </x:c>
      <x:c r="C113" s="11" t="str">
        <x:v>半年</x:v>
      </x:c>
      <x:c r="D113" s="11" t="str">
        <x:v>HKD</x:v>
      </x:c>
      <x:c r="E113" s="25" t="n">
        <x:f>'情景快照'!I326</x:f>
        <x:v>0.2110091743119269</x:v>
      </x:c>
      <x:c r="F113" s="25" t="n">
        <x:f>(1+E113)*0.95-1</x:f>
        <x:v>0.1504587155963304</x:v>
      </x:c>
      <x:c r="G113" s="25" t="n">
        <x:f>E113</x:f>
        <x:v>0.2110091743119269</x:v>
      </x:c>
      <x:c r="H113" s="25" t="n">
        <x:f>(1+E113)*1.05-1</x:f>
        <x:v>0.2715596330275234</x:v>
      </x:c>
      <x:c r="I113" s="25" t="str">
        <x:f>""</x:f>
      </x:c>
      <x:c r="J113" s="25" t="str">
        <x:f>""</x:f>
      </x:c>
      <x:c r="K113" s="11" t="str">
        <x:v>仅投资者换汇；目标价固定，不再次改变盈利换算率</x:v>
      </x:c>
    </x:row>
    <x:row r="114" ht="23" customHeight="1">
      <x:c r="A114" s="11" t="str">
        <x:v>01801.HK</x:v>
      </x:c>
      <x:c r="B114" s="11" t="str">
        <x:v>信达生物</x:v>
      </x:c>
      <x:c r="C114" s="11" t="str">
        <x:v>一年</x:v>
      </x:c>
      <x:c r="D114" s="11" t="str">
        <x:v>HKD</x:v>
      </x:c>
      <x:c r="E114" s="25" t="n">
        <x:f>'情景快照'!I329</x:f>
        <x:v>0.5090124123043713</x:v>
      </x:c>
      <x:c r="F114" s="25" t="n">
        <x:f>(1+E114)*0.95-1</x:f>
        <x:v>0.43356179168915276</x:v>
      </x:c>
      <x:c r="G114" s="25" t="n">
        <x:f>E114</x:f>
        <x:v>0.5090124123043713</x:v>
      </x:c>
      <x:c r="H114" s="25" t="n">
        <x:f>(1+E114)*1.05-1</x:f>
        <x:v>0.5844630329195899</x:v>
      </x:c>
      <x:c r="I114" s="25" t="str">
        <x:f>""</x:f>
      </x:c>
      <x:c r="J114" s="25" t="str">
        <x:f>""</x:f>
      </x:c>
      <x:c r="K114" s="11" t="str">
        <x:v>仅投资者换汇；目标价固定，不再次改变盈利换算率</x:v>
      </x:c>
    </x:row>
    <x:row r="115" ht="23" customHeight="1">
      <x:c r="A115" s="11" t="str">
        <x:v>01801.HK</x:v>
      </x:c>
      <x:c r="B115" s="11" t="str">
        <x:v>信达生物</x:v>
      </x:c>
      <x:c r="C115" s="11" t="str">
        <x:v>三年</x:v>
      </x:c>
      <x:c r="D115" s="11" t="str">
        <x:v>HKD</x:v>
      </x:c>
      <x:c r="E115" s="25" t="n">
        <x:f>'情景快照'!I332</x:f>
        <x:v>0.8283864004317323</x:v>
      </x:c>
      <x:c r="F115" s="25" t="n">
        <x:f>(1+E115)*0.95-1</x:f>
        <x:v>0.7369670804101456</x:v>
      </x:c>
      <x:c r="G115" s="25" t="n">
        <x:f>E115</x:f>
        <x:v>0.8283864004317323</x:v>
      </x:c>
      <x:c r="H115" s="25" t="n">
        <x:f>(1+E115)*1.05-1</x:f>
        <x:v>0.919805720453319</x:v>
      </x:c>
      <x:c r="I115" s="25" t="n">
        <x:f>(1+F115)^(1/3)-1</x:f>
        <x:v>0.20207213288612147</x:v>
      </x:c>
      <x:c r="J115" s="25" t="n">
        <x:f>(1+H115)^(1/3)-1</x:f>
        <x:v>0.2428510793200762</x:v>
      </x:c>
      <x:c r="K115" s="11" t="str">
        <x:v>仅投资者换汇；目标价固定，不再次改变盈利换算率</x:v>
      </x:c>
    </x:row>
    <x:row r="116" ht="23" customHeight="1">
      <x:c r="A116" s="11" t="str">
        <x:v>01801.HK</x:v>
      </x:c>
      <x:c r="B116" s="11" t="str">
        <x:v>信达生物</x:v>
      </x:c>
      <x:c r="C116" s="11" t="str">
        <x:v>五年</x:v>
      </x:c>
      <x:c r="D116" s="11" t="str">
        <x:v>HKD</x:v>
      </x:c>
      <x:c r="E116" s="25" t="n">
        <x:f>'情景快照'!I335</x:f>
        <x:v>1.2261198057204536</x:v>
      </x:c>
      <x:c r="F116" s="25" t="n">
        <x:f>(1+E116)*0.95-1</x:f>
        <x:v>1.114813815434431</x:v>
      </x:c>
      <x:c r="G116" s="25" t="n">
        <x:f>E116</x:f>
        <x:v>1.2261198057204536</x:v>
      </x:c>
      <x:c r="H116" s="25" t="n">
        <x:f>(1+E116)*1.05-1</x:f>
        <x:v>1.3374257960064764</x:v>
      </x:c>
      <x:c r="I116" s="25" t="n">
        <x:f>(1+F116)^(1/5)-1</x:f>
        <x:v>0.16159418101512868</x:v>
      </x:c>
      <x:c r="J116" s="25" t="n">
        <x:f>(1+H116)^(1/5)-1</x:f>
        <x:v>0.18507972088251057</x:v>
      </x:c>
      <x:c r="K116" s="11" t="str">
        <x:v>仅投资者换汇；目标价固定，不再次改变盈利换算率</x:v>
      </x:c>
    </x:row>
    <x:row r="117" ht="23" customHeight="1">
      <x:c r="A117" s="11" t="str">
        <x:v>688382.SH</x:v>
      </x:c>
      <x:c r="B117" s="11" t="str">
        <x:v>益方生物</x:v>
      </x:c>
      <x:c r="C117" s="11" t="str">
        <x:v>2026年底</x:v>
      </x:c>
      <x:c r="D117" s="11" t="str">
        <x:v>CNY</x:v>
      </x:c>
      <x:c r="E117" s="25" t="n">
        <x:f>'情景快照'!I338</x:f>
        <x:v>-0.2074266078523581</x:v>
      </x:c>
      <x:c r="F117" s="25" t="n">
        <x:f>(1+E117)*1-1</x:f>
        <x:v>-0.2074266078523581</x:v>
      </x:c>
      <x:c r="G117" s="25" t="n">
        <x:f>E117</x:f>
        <x:v>-0.2074266078523581</x:v>
      </x:c>
      <x:c r="H117" s="25" t="n">
        <x:f>(1+E117)*1-1</x:f>
        <x:v>-0.2074266078523581</x:v>
      </x:c>
      <x:c r="I117" s="25" t="str">
        <x:f>""</x:f>
      </x:c>
      <x:c r="J117" s="25" t="str">
        <x:f>""</x:f>
      </x:c>
      <x:c r="K117" s="11" t="str">
        <x:v>仅投资者换汇；目标价固定，不再次改变盈利换算率</x:v>
      </x:c>
    </x:row>
    <x:row r="118" ht="23" customHeight="1">
      <x:c r="A118" s="11" t="str">
        <x:v>688382.SH</x:v>
      </x:c>
      <x:c r="B118" s="11" t="str">
        <x:v>益方生物</x:v>
      </x:c>
      <x:c r="C118" s="11" t="str">
        <x:v>半年</x:v>
      </x:c>
      <x:c r="D118" s="11" t="str">
        <x:v>CNY</x:v>
      </x:c>
      <x:c r="E118" s="25" t="n">
        <x:f>'情景快照'!I341</x:f>
        <x:v>-0.3728882835304419</x:v>
      </x:c>
      <x:c r="F118" s="25" t="n">
        <x:f>(1+E118)*1-1</x:f>
        <x:v>-0.3728882835304419</x:v>
      </x:c>
      <x:c r="G118" s="25" t="n">
        <x:f>E118</x:f>
        <x:v>-0.3728882835304419</x:v>
      </x:c>
      <x:c r="H118" s="25" t="n">
        <x:f>(1+E118)*1-1</x:f>
        <x:v>-0.3728882835304419</x:v>
      </x:c>
      <x:c r="I118" s="25" t="str">
        <x:f>""</x:f>
      </x:c>
      <x:c r="J118" s="25" t="str">
        <x:f>""</x:f>
      </x:c>
      <x:c r="K118" s="11" t="str">
        <x:v>仅投资者换汇；目标价固定，不再次改变盈利换算率</x:v>
      </x:c>
    </x:row>
    <x:row r="119" ht="23" customHeight="1">
      <x:c r="A119" s="11" t="str">
        <x:v>688382.SH</x:v>
      </x:c>
      <x:c r="B119" s="11" t="str">
        <x:v>益方生物</x:v>
      </x:c>
      <x:c r="C119" s="11" t="str">
        <x:v>一年</x:v>
      </x:c>
      <x:c r="D119" s="11" t="str">
        <x:v>CNY</x:v>
      </x:c>
      <x:c r="E119" s="25" t="n">
        <x:f>'情景快照'!I344</x:f>
        <x:v>-0.47120750229770747</x:v>
      </x:c>
      <x:c r="F119" s="25" t="n">
        <x:f>(1+E119)*1-1</x:f>
        <x:v>-0.47120750229770747</x:v>
      </x:c>
      <x:c r="G119" s="25" t="n">
        <x:f>E119</x:f>
        <x:v>-0.47120750229770747</x:v>
      </x:c>
      <x:c r="H119" s="25" t="n">
        <x:f>(1+E119)*1-1</x:f>
        <x:v>-0.47120750229770747</x:v>
      </x:c>
      <x:c r="I119" s="25" t="str">
        <x:f>""</x:f>
      </x:c>
      <x:c r="J119" s="25" t="str">
        <x:f>""</x:f>
      </x:c>
      <x:c r="K119" s="11" t="str">
        <x:v>仅投资者换汇；目标价固定，不再次改变盈利换算率</x:v>
      </x:c>
    </x:row>
    <x:row r="120" ht="23" customHeight="1">
      <x:c r="A120" s="11" t="str">
        <x:v>688382.SH</x:v>
      </x:c>
      <x:c r="B120" s="11" t="str">
        <x:v>益方生物</x:v>
      </x:c>
      <x:c r="C120" s="11" t="str">
        <x:v>三年</x:v>
      </x:c>
      <x:c r="D120" s="11" t="str">
        <x:v>CNY</x:v>
      </x:c>
      <x:c r="E120" s="25" t="n">
        <x:f>'情景快照'!I347</x:f>
        <x:v>-0.2578366082926926</x:v>
      </x:c>
      <x:c r="F120" s="25" t="n">
        <x:f>(1+E120)*1-1</x:f>
        <x:v>-0.2578366082926926</x:v>
      </x:c>
      <x:c r="G120" s="25" t="n">
        <x:f>E120</x:f>
        <x:v>-0.2578366082926926</x:v>
      </x:c>
      <x:c r="H120" s="25" t="n">
        <x:f>(1+E120)*1-1</x:f>
        <x:v>-0.2578366082926926</x:v>
      </x:c>
      <x:c r="I120" s="25" t="n">
        <x:f>(1+F120)^(1/3)-1</x:f>
        <x:v>-0.09461524791161002</x:v>
      </x:c>
      <x:c r="J120" s="25" t="n">
        <x:f>(1+H120)^(1/3)-1</x:f>
        <x:v>-0.09461524791161002</x:v>
      </x:c>
      <x:c r="K120" s="11" t="str">
        <x:v>仅投资者换汇；目标价固定，不再次改变盈利换算率</x:v>
      </x:c>
    </x:row>
    <x:row r="121" ht="23" customHeight="1">
      <x:c r="A121" s="11" t="str">
        <x:v>688382.SH</x:v>
      </x:c>
      <x:c r="B121" s="11" t="str">
        <x:v>益方生物</x:v>
      </x:c>
      <x:c r="C121" s="11" t="str">
        <x:v>五年</x:v>
      </x:c>
      <x:c r="D121" s="11" t="str">
        <x:v>CNY</x:v>
      </x:c>
      <x:c r="E121" s="25" t="n">
        <x:f>'情景快照'!I350</x:f>
        <x:v>-0.03392049297451827</x:v>
      </x:c>
      <x:c r="F121" s="25" t="n">
        <x:f>(1+E121)*1-1</x:f>
        <x:v>-0.03392049297451827</x:v>
      </x:c>
      <x:c r="G121" s="25" t="n">
        <x:f>E121</x:f>
        <x:v>-0.03392049297451827</x:v>
      </x:c>
      <x:c r="H121" s="25" t="n">
        <x:f>(1+E121)*1-1</x:f>
        <x:v>-0.03392049297451827</x:v>
      </x:c>
      <x:c r="I121" s="25" t="n">
        <x:f>(1+F121)^(1/5)-1</x:f>
        <x:v>-0.006878065631385599</x:v>
      </x:c>
      <x:c r="J121" s="25" t="n">
        <x:f>(1+H121)^(1/5)-1</x:f>
        <x:v>-0.006878065631385599</x:v>
      </x:c>
      <x:c r="K121" s="11" t="str">
        <x:v>仅投资者换汇；目标价固定，不再次改变盈利换算率</x:v>
      </x:c>
    </x:row>
    <x:row r="122" ht="23" customHeight="1">
      <x:c r="A122" s="11" t="str">
        <x:v>06618.HK</x:v>
      </x:c>
      <x:c r="B122" s="11" t="str">
        <x:v>京东健康</x:v>
      </x:c>
      <x:c r="C122" s="11" t="str">
        <x:v>2026年底</x:v>
      </x:c>
      <x:c r="D122" s="11" t="str">
        <x:v>HKD</x:v>
      </x:c>
      <x:c r="E122" s="25" t="n">
        <x:f>'情景快照'!I353</x:f>
        <x:v>0.20066518847006654</x:v>
      </x:c>
      <x:c r="F122" s="25" t="n">
        <x:f>(1+E122)*0.95-1</x:f>
        <x:v>0.1406319290465632</x:v>
      </x:c>
      <x:c r="G122" s="25" t="n">
        <x:f>E122</x:f>
        <x:v>0.20066518847006654</x:v>
      </x:c>
      <x:c r="H122" s="25" t="n">
        <x:f>(1+E122)*1.05-1</x:f>
        <x:v>0.2606984478935699</x:v>
      </x:c>
      <x:c r="I122" s="25" t="str">
        <x:f>""</x:f>
      </x:c>
      <x:c r="J122" s="25" t="str">
        <x:f>""</x:f>
      </x:c>
      <x:c r="K122" s="11" t="str">
        <x:v>仅投资者换汇；目标价固定，不再次改变盈利换算率</x:v>
      </x:c>
    </x:row>
    <x:row r="123" ht="23" customHeight="1">
      <x:c r="A123" s="11" t="str">
        <x:v>06618.HK</x:v>
      </x:c>
      <x:c r="B123" s="11" t="str">
        <x:v>京东健康</x:v>
      </x:c>
      <x:c r="C123" s="11" t="str">
        <x:v>半年</x:v>
      </x:c>
      <x:c r="D123" s="11" t="str">
        <x:v>HKD</x:v>
      </x:c>
      <x:c r="E123" s="25" t="n">
        <x:f>'情景快照'!I356</x:f>
        <x:v>0.39606430155210637</x:v>
      </x:c>
      <x:c r="F123" s="25" t="n">
        <x:f>(1+E123)*0.95-1</x:f>
        <x:v>0.326261086474501</x:v>
      </x:c>
      <x:c r="G123" s="25" t="n">
        <x:f>E123</x:f>
        <x:v>0.39606430155210637</x:v>
      </x:c>
      <x:c r="H123" s="25" t="n">
        <x:f>(1+E123)*1.05-1</x:f>
        <x:v>0.4658675166297117</x:v>
      </x:c>
      <x:c r="I123" s="25" t="str">
        <x:f>""</x:f>
      </x:c>
      <x:c r="J123" s="25" t="str">
        <x:f>""</x:f>
      </x:c>
      <x:c r="K123" s="11" t="str">
        <x:v>仅投资者换汇；目标价固定，不再次改变盈利换算率</x:v>
      </x:c>
    </x:row>
    <x:row r="124" ht="23" customHeight="1">
      <x:c r="A124" s="11" t="str">
        <x:v>06618.HK</x:v>
      </x:c>
      <x:c r="B124" s="11" t="str">
        <x:v>京东健康</x:v>
      </x:c>
      <x:c r="C124" s="11" t="str">
        <x:v>一年</x:v>
      </x:c>
      <x:c r="D124" s="11" t="str">
        <x:v>HKD</x:v>
      </x:c>
      <x:c r="E124" s="25" t="n">
        <x:f>'情景快照'!I359</x:f>
        <x:v>0.6917960088691797</x:v>
      </x:c>
      <x:c r="F124" s="25" t="n">
        <x:f>(1+E124)*0.95-1</x:f>
        <x:v>0.6072062084257206</x:v>
      </x:c>
      <x:c r="G124" s="25" t="n">
        <x:f>E124</x:f>
        <x:v>0.6917960088691797</x:v>
      </x:c>
      <x:c r="H124" s="25" t="n">
        <x:f>(1+E124)*1.05-1</x:f>
        <x:v>0.7763858093126388</x:v>
      </x:c>
      <x:c r="I124" s="25" t="str">
        <x:f>""</x:f>
      </x:c>
      <x:c r="J124" s="25" t="str">
        <x:f>""</x:f>
      </x:c>
      <x:c r="K124" s="11" t="str">
        <x:v>仅投资者换汇；目标价固定，不再次改变盈利换算率</x:v>
      </x:c>
    </x:row>
    <x:row r="125" ht="23" customHeight="1">
      <x:c r="A125" s="11" t="str">
        <x:v>06618.HK</x:v>
      </x:c>
      <x:c r="B125" s="11" t="str">
        <x:v>京东健康</x:v>
      </x:c>
      <x:c r="C125" s="11" t="str">
        <x:v>三年</x:v>
      </x:c>
      <x:c r="D125" s="11" t="str">
        <x:v>HKD</x:v>
      </x:c>
      <x:c r="E125" s="25" t="n">
        <x:f>'情景快照'!I362</x:f>
        <x:v>1.4905764966740578</x:v>
      </x:c>
      <x:c r="F125" s="25" t="n">
        <x:f>(1+E125)*0.95-1</x:f>
        <x:v>1.366047671840355</x:v>
      </x:c>
      <x:c r="G125" s="25" t="n">
        <x:f>E125</x:f>
        <x:v>1.4905764966740578</x:v>
      </x:c>
      <x:c r="H125" s="25" t="n">
        <x:f>(1+E125)*1.05-1</x:f>
        <x:v>1.6151053215077606</x:v>
      </x:c>
      <x:c r="I125" s="25" t="n">
        <x:f>(1+F125)^(1/3)-1</x:f>
        <x:v>0.3325223341692367</x:v>
      </x:c>
      <x:c r="J125" s="25" t="n">
        <x:f>(1+H125)^(1/3)-1</x:f>
        <x:v>0.3777266571050577</x:v>
      </x:c>
      <x:c r="K125" s="11" t="str">
        <x:v>仅投资者换汇；目标价固定，不再次改变盈利换算率</x:v>
      </x:c>
    </x:row>
    <x:row r="126" ht="23" customHeight="1">
      <x:c r="A126" s="11" t="str">
        <x:v>06618.HK</x:v>
      </x:c>
      <x:c r="B126" s="11" t="str">
        <x:v>京东健康</x:v>
      </x:c>
      <x:c r="C126" s="11" t="str">
        <x:v>五年</x:v>
      </x:c>
      <x:c r="D126" s="11" t="str">
        <x:v>HKD</x:v>
      </x:c>
      <x:c r="E126" s="25" t="n">
        <x:f>'情景快照'!I365</x:f>
        <x:v>2.2048226164079825</x:v>
      </x:c>
      <x:c r="F126" s="25" t="n">
        <x:f>(1+E126)*0.95-1</x:f>
        <x:v>2.044581485587583</x:v>
      </x:c>
      <x:c r="G126" s="25" t="n">
        <x:f>E126</x:f>
        <x:v>2.2048226164079825</x:v>
      </x:c>
      <x:c r="H126" s="25" t="n">
        <x:f>(1+E126)*1.05-1</x:f>
        <x:v>2.365063747228382</x:v>
      </x:c>
      <x:c r="I126" s="25" t="n">
        <x:f>(1+F126)^(1/5)-1</x:f>
        <x:v>0.24941156154437105</x:v>
      </x:c>
      <x:c r="J126" s="25" t="n">
        <x:f>(1+H126)^(1/5)-1</x:f>
        <x:v>0.2746726256225114</x:v>
      </x:c>
      <x:c r="K126" s="11" t="str">
        <x:v>仅投资者换汇；目标价固定，不再次改变盈利换算率</x:v>
      </x:c>
    </x:row>
    <x:row r="127" ht="23" customHeight="1">
      <x:c r="A127" s="11" t="str">
        <x:v>09618.HK</x:v>
      </x:c>
      <x:c r="B127" s="11" t="str">
        <x:v>京东集团-SW</x:v>
      </x:c>
      <x:c r="C127" s="11" t="str">
        <x:v>2026年底</x:v>
      </x:c>
      <x:c r="D127" s="11" t="str">
        <x:v>HKD</x:v>
      </x:c>
      <x:c r="E127" s="25" t="n">
        <x:f>'情景快照'!I368</x:f>
        <x:v>0.2500946969696969</x:v>
      </x:c>
      <x:c r="F127" s="25" t="n">
        <x:f>(1+E127)*0.95-1</x:f>
        <x:v>0.18758996212121204</x:v>
      </x:c>
      <x:c r="G127" s="25" t="n">
        <x:f>E127</x:f>
        <x:v>0.2500946969696969</x:v>
      </x:c>
      <x:c r="H127" s="25" t="n">
        <x:f>(1+E127)*1.05-1</x:f>
        <x:v>0.3125994318181817</x:v>
      </x:c>
      <x:c r="I127" s="25" t="str">
        <x:f>""</x:f>
      </x:c>
      <x:c r="J127" s="25" t="str">
        <x:f>""</x:f>
      </x:c>
      <x:c r="K127" s="11" t="str">
        <x:v>仅投资者换汇；目标价固定，不再次改变盈利换算率</x:v>
      </x:c>
    </x:row>
    <x:row r="128" ht="23" customHeight="1">
      <x:c r="A128" s="11" t="str">
        <x:v>09618.HK</x:v>
      </x:c>
      <x:c r="B128" s="11" t="str">
        <x:v>京东集团-SW</x:v>
      </x:c>
      <x:c r="C128" s="11" t="str">
        <x:v>半年</x:v>
      </x:c>
      <x:c r="D128" s="11" t="str">
        <x:v>HKD</x:v>
      </x:c>
      <x:c r="E128" s="25" t="n">
        <x:f>'情景快照'!I371</x:f>
        <x:v>0.4745265151515152</x:v>
      </x:c>
      <x:c r="F128" s="25" t="n">
        <x:f>(1+E128)*0.95-1</x:f>
        <x:v>0.40080018939393947</x:v>
      </x:c>
      <x:c r="G128" s="25" t="n">
        <x:f>E128</x:f>
        <x:v>0.4745265151515152</x:v>
      </x:c>
      <x:c r="H128" s="25" t="n">
        <x:f>(1+E128)*1.05-1</x:f>
        <x:v>0.548252840909091</x:v>
      </x:c>
      <x:c r="I128" s="25" t="str">
        <x:f>""</x:f>
      </x:c>
      <x:c r="J128" s="25" t="str">
        <x:f>""</x:f>
      </x:c>
      <x:c r="K128" s="11" t="str">
        <x:v>仅投资者换汇；目标价固定，不再次改变盈利换算率</x:v>
      </x:c>
    </x:row>
    <x:row r="129" ht="23" customHeight="1">
      <x:c r="A129" s="11" t="str">
        <x:v>09618.HK</x:v>
      </x:c>
      <x:c r="B129" s="11" t="str">
        <x:v>京东集团-SW</x:v>
      </x:c>
      <x:c r="C129" s="11" t="str">
        <x:v>一年</x:v>
      </x:c>
      <x:c r="D129" s="11" t="str">
        <x:v>HKD</x:v>
      </x:c>
      <x:c r="E129" s="25" t="n">
        <x:f>'情景快照'!I374</x:f>
        <x:v>0.6387310606060608</x:v>
      </x:c>
      <x:c r="F129" s="25" t="n">
        <x:f>(1+E129)*0.95-1</x:f>
        <x:v>0.5567945075757577</x:v>
      </x:c>
      <x:c r="G129" s="25" t="n">
        <x:f>E129</x:f>
        <x:v>0.6387310606060608</x:v>
      </x:c>
      <x:c r="H129" s="25" t="n">
        <x:f>(1+E129)*1.05-1</x:f>
        <x:v>0.7206676136363639</x:v>
      </x:c>
      <x:c r="I129" s="25" t="str">
        <x:f>""</x:f>
      </x:c>
      <x:c r="J129" s="25" t="str">
        <x:f>""</x:f>
      </x:c>
      <x:c r="K129" s="11" t="str">
        <x:v>仅投资者换汇；目标价固定，不再次改变盈利换算率</x:v>
      </x:c>
    </x:row>
    <x:row r="130" ht="23" customHeight="1">
      <x:c r="A130" s="11" t="str">
        <x:v>09618.HK</x:v>
      </x:c>
      <x:c r="B130" s="11" t="str">
        <x:v>京东集团-SW</x:v>
      </x:c>
      <x:c r="C130" s="11" t="str">
        <x:v>三年</x:v>
      </x:c>
      <x:c r="D130" s="11" t="str">
        <x:v>HKD</x:v>
      </x:c>
      <x:c r="E130" s="25" t="n">
        <x:f>'情景快照'!I377</x:f>
        <x:v>2.094791666666667</x:v>
      </x:c>
      <x:c r="F130" s="25" t="n">
        <x:f>(1+E130)*0.95-1</x:f>
        <x:v>1.9400520833333337</x:v>
      </x:c>
      <x:c r="G130" s="25" t="n">
        <x:f>E130</x:f>
        <x:v>2.094791666666667</x:v>
      </x:c>
      <x:c r="H130" s="25" t="n">
        <x:f>(1+E130)*1.05-1</x:f>
        <x:v>2.2495312500000004</x:v>
      </x:c>
      <x:c r="I130" s="25" t="n">
        <x:f>(1+F130)^(1/3)-1</x:f>
        <x:v>0.4325782108060874</x:v>
      </x:c>
      <x:c r="J130" s="25" t="n">
        <x:f>(1+H130)^(1/3)-1</x:f>
        <x:v>0.48117681693187</x:v>
      </x:c>
      <x:c r="K130" s="11" t="str">
        <x:v>仅投资者换汇；目标价固定，不再次改变盈利换算率</x:v>
      </x:c>
    </x:row>
    <x:row r="131" ht="23" customHeight="1">
      <x:c r="A131" s="11" t="str">
        <x:v>09618.HK</x:v>
      </x:c>
      <x:c r="B131" s="11" t="str">
        <x:v>京东集团-SW</x:v>
      </x:c>
      <x:c r="C131" s="11" t="str">
        <x:v>五年</x:v>
      </x:c>
      <x:c r="D131" s="11" t="str">
        <x:v>HKD</x:v>
      </x:c>
      <x:c r="E131" s="25" t="n">
        <x:f>'情景快照'!I380</x:f>
        <x:v>3.2645833333333334</x:v>
      </x:c>
      <x:c r="F131" s="25" t="n">
        <x:f>(1+E131)*0.95-1</x:f>
        <x:v>3.051354166666666</x:v>
      </x:c>
      <x:c r="G131" s="25" t="n">
        <x:f>E131</x:f>
        <x:v>3.2645833333333334</x:v>
      </x:c>
      <x:c r="H131" s="25" t="n">
        <x:f>(1+E131)*1.05-1</x:f>
        <x:v>3.4778125000000006</x:v>
      </x:c>
      <x:c r="I131" s="25" t="n">
        <x:f>(1+F131)^(1/5)-1</x:f>
        <x:v>0.32287875570382263</x:v>
      </x:c>
      <x:c r="J131" s="25" t="n">
        <x:f>(1+H131)^(1/5)-1</x:f>
        <x:v>0.34962520662839913</x:v>
      </x:c>
      <x:c r="K131" s="11" t="str">
        <x:v>仅投资者换汇；目标价固定，不再次改变盈利换算率</x:v>
      </x:c>
    </x:row>
    <x:row r="132" ht="23" customHeight="1">
      <x:c r="A132" s="11" t="str">
        <x:v>688356.SH</x:v>
      </x:c>
      <x:c r="B132" s="11" t="str">
        <x:v>键凯科技</x:v>
      </x:c>
      <x:c r="C132" s="11" t="str">
        <x:v>2026年底</x:v>
      </x:c>
      <x:c r="D132" s="11" t="str">
        <x:v>CNY</x:v>
      </x:c>
      <x:c r="E132" s="25" t="n">
        <x:f>'情景快照'!I383</x:f>
        <x:v>-0.11028730305838741</x:v>
      </x:c>
      <x:c r="F132" s="25" t="n">
        <x:f>(1+E132)*1-1</x:f>
        <x:v>-0.11028730305838741</x:v>
      </x:c>
      <x:c r="G132" s="25" t="n">
        <x:f>E132</x:f>
        <x:v>-0.11028730305838741</x:v>
      </x:c>
      <x:c r="H132" s="25" t="n">
        <x:f>(1+E132)*1-1</x:f>
        <x:v>-0.11028730305838741</x:v>
      </x:c>
      <x:c r="I132" s="25" t="str">
        <x:f>""</x:f>
      </x:c>
      <x:c r="J132" s="25" t="str">
        <x:f>""</x:f>
      </x:c>
      <x:c r="K132" s="11" t="str">
        <x:v>仅投资者换汇；目标价固定，不再次改变盈利换算率</x:v>
      </x:c>
    </x:row>
    <x:row r="133" ht="23" customHeight="1">
      <x:c r="A133" s="11" t="str">
        <x:v>688356.SH</x:v>
      </x:c>
      <x:c r="B133" s="11" t="str">
        <x:v>键凯科技</x:v>
      </x:c>
      <x:c r="C133" s="11" t="str">
        <x:v>半年</x:v>
      </x:c>
      <x:c r="D133" s="11" t="str">
        <x:v>CNY</x:v>
      </x:c>
      <x:c r="E133" s="25" t="n">
        <x:f>'情景快照'!I386</x:f>
        <x:v>-0.06580166821130673</x:v>
      </x:c>
      <x:c r="F133" s="25" t="n">
        <x:f>(1+E133)*1-1</x:f>
        <x:v>-0.06580166821130673</x:v>
      </x:c>
      <x:c r="G133" s="25" t="n">
        <x:f>E133</x:f>
        <x:v>-0.06580166821130673</x:v>
      </x:c>
      <x:c r="H133" s="25" t="n">
        <x:f>(1+E133)*1-1</x:f>
        <x:v>-0.06580166821130673</x:v>
      </x:c>
      <x:c r="I133" s="25" t="str">
        <x:f>""</x:f>
      </x:c>
      <x:c r="J133" s="25" t="str">
        <x:f>""</x:f>
      </x:c>
      <x:c r="K133" s="11" t="str">
        <x:v>仅投资者换汇；目标价固定，不再次改变盈利换算率</x:v>
      </x:c>
    </x:row>
    <x:row r="134" ht="23" customHeight="1">
      <x:c r="A134" s="11" t="str">
        <x:v>688356.SH</x:v>
      </x:c>
      <x:c r="B134" s="11" t="str">
        <x:v>键凯科技</x:v>
      </x:c>
      <x:c r="C134" s="11" t="str">
        <x:v>一年</x:v>
      </x:c>
      <x:c r="D134" s="11" t="str">
        <x:v>CNY</x:v>
      </x:c>
      <x:c r="E134" s="25" t="n">
        <x:f>'情景快照'!I389</x:f>
        <x:v>0.08730305838739572</x:v>
      </x:c>
      <x:c r="F134" s="25" t="n">
        <x:f>(1+E134)*1-1</x:f>
        <x:v>0.08730305838739572</x:v>
      </x:c>
      <x:c r="G134" s="25" t="n">
        <x:f>E134</x:f>
        <x:v>0.08730305838739572</x:v>
      </x:c>
      <x:c r="H134" s="25" t="n">
        <x:f>(1+E134)*1-1</x:f>
        <x:v>0.08730305838739572</x:v>
      </x:c>
      <x:c r="I134" s="25" t="str">
        <x:f>""</x:f>
      </x:c>
      <x:c r="J134" s="25" t="str">
        <x:f>""</x:f>
      </x:c>
      <x:c r="K134" s="11" t="str">
        <x:v>仅投资者换汇；目标价固定，不再次改变盈利换算率</x:v>
      </x:c>
    </x:row>
    <x:row r="135" ht="23" customHeight="1">
      <x:c r="A135" s="11" t="str">
        <x:v>688356.SH</x:v>
      </x:c>
      <x:c r="B135" s="11" t="str">
        <x:v>键凯科技</x:v>
      </x:c>
      <x:c r="C135" s="11" t="str">
        <x:v>三年</x:v>
      </x:c>
      <x:c r="D135" s="11" t="str">
        <x:v>CNY</x:v>
      </x:c>
      <x:c r="E135" s="25" t="n">
        <x:f>'情景快照'!I392</x:f>
        <x:v>0.41983317886932325</x:v>
      </x:c>
      <x:c r="F135" s="25" t="n">
        <x:f>(1+E135)*1-1</x:f>
        <x:v>0.41983317886932325</x:v>
      </x:c>
      <x:c r="G135" s="25" t="n">
        <x:f>E135</x:f>
        <x:v>0.41983317886932325</x:v>
      </x:c>
      <x:c r="H135" s="25" t="n">
        <x:f>(1+E135)*1-1</x:f>
        <x:v>0.41983317886932325</x:v>
      </x:c>
      <x:c r="I135" s="25" t="n">
        <x:f>(1+F135)^(1/3)-1</x:f>
        <x:v>0.1239468475320491</x:v>
      </x:c>
      <x:c r="J135" s="25" t="n">
        <x:f>(1+H135)^(1/3)-1</x:f>
        <x:v>0.1239468475320491</x:v>
      </x:c>
      <x:c r="K135" s="11" t="str">
        <x:v>仅投资者换汇；目标价固定，不再次改变盈利换算率</x:v>
      </x:c>
    </x:row>
    <x:row r="136" ht="23" customHeight="1">
      <x:c r="A136" s="11" t="str">
        <x:v>688356.SH</x:v>
      </x:c>
      <x:c r="B136" s="11" t="str">
        <x:v>键凯科技</x:v>
      </x:c>
      <x:c r="C136" s="11" t="str">
        <x:v>五年</x:v>
      </x:c>
      <x:c r="D136" s="11" t="str">
        <x:v>CNY</x:v>
      </x:c>
      <x:c r="E136" s="25" t="n">
        <x:f>'情景快照'!I395</x:f>
        <x:v>0.6459684893419833</x:v>
      </x:c>
      <x:c r="F136" s="25" t="n">
        <x:f>(1+E136)*1-1</x:f>
        <x:v>0.6459684893419833</x:v>
      </x:c>
      <x:c r="G136" s="25" t="n">
        <x:f>E136</x:f>
        <x:v>0.6459684893419833</x:v>
      </x:c>
      <x:c r="H136" s="25" t="n">
        <x:f>(1+E136)*1-1</x:f>
        <x:v>0.6459684893419833</x:v>
      </x:c>
      <x:c r="I136" s="25" t="n">
        <x:f>(1+F136)^(1/5)-1</x:f>
        <x:v>0.10480162245064739</x:v>
      </x:c>
      <x:c r="J136" s="25" t="n">
        <x:f>(1+H136)^(1/5)-1</x:f>
        <x:v>0.10480162245064739</x:v>
      </x:c>
      <x:c r="K136" s="11" t="str">
        <x:v>仅投资者换汇；目标价固定，不再次改变盈利换算率</x:v>
      </x:c>
    </x:row>
    <x:row r="137" ht="23" customHeight="1">
      <x:c r="A137" s="11" t="str">
        <x:v>02162.HK</x:v>
      </x:c>
      <x:c r="B137" s="11" t="str">
        <x:v>康诺亚-B</x:v>
      </x:c>
      <x:c r="C137" s="11" t="str">
        <x:v>2026年底</x:v>
      </x:c>
      <x:c r="D137" s="11" t="str">
        <x:v>HKD</x:v>
      </x:c>
      <x:c r="E137" s="25" t="n">
        <x:f>'情景快照'!I398</x:f>
        <x:v>-0.039620227250264706</x:v>
      </x:c>
      <x:c r="F137" s="25" t="n">
        <x:f>(1+E137)*0.95-1</x:f>
        <x:v>-0.08763921588775148</x:v>
      </x:c>
      <x:c r="G137" s="25" t="n">
        <x:f>E137</x:f>
        <x:v>-0.039620227250264706</x:v>
      </x:c>
      <x:c r="H137" s="25" t="n">
        <x:f>(1+E137)*1.05-1</x:f>
        <x:v>0.008398761387222065</x:v>
      </x:c>
      <x:c r="I137" s="25" t="str">
        <x:f>""</x:f>
      </x:c>
      <x:c r="J137" s="25" t="str">
        <x:f>""</x:f>
      </x:c>
      <x:c r="K137" s="11" t="str">
        <x:v>仅投资者换汇；目标价固定，不再次改变盈利换算率</x:v>
      </x:c>
    </x:row>
    <x:row r="138" ht="23" customHeight="1">
      <x:c r="A138" s="11" t="str">
        <x:v>02162.HK</x:v>
      </x:c>
      <x:c r="B138" s="11" t="str">
        <x:v>康诺亚-B</x:v>
      </x:c>
      <x:c r="C138" s="11" t="str">
        <x:v>半年</x:v>
      </x:c>
      <x:c r="D138" s="11" t="str">
        <x:v>HKD</x:v>
      </x:c>
      <x:c r="E138" s="25" t="n">
        <x:f>'情景快照'!I401</x:f>
        <x:v>-0.04165171519829236</x:v>
      </x:c>
      <x:c r="F138" s="25" t="n">
        <x:f>(1+E138)*0.95-1</x:f>
        <x:v>-0.0895691294383778</x:v>
      </x:c>
      <x:c r="G138" s="25" t="n">
        <x:f>E138</x:f>
        <x:v>-0.04165171519829236</x:v>
      </x:c>
      <x:c r="H138" s="25" t="n">
        <x:f>(1+E138)*1.05-1</x:f>
        <x:v>0.0062656990417930825</x:v>
      </x:c>
      <x:c r="I138" s="25" t="str">
        <x:f>""</x:f>
      </x:c>
      <x:c r="J138" s="25" t="str">
        <x:f>""</x:f>
      </x:c>
      <x:c r="K138" s="11" t="str">
        <x:v>仅投资者换汇；目标价固定，不再次改变盈利换算率</x:v>
      </x:c>
    </x:row>
    <x:row r="139" ht="23" customHeight="1">
      <x:c r="A139" s="11" t="str">
        <x:v>02162.HK</x:v>
      </x:c>
      <x:c r="B139" s="11" t="str">
        <x:v>康诺亚-B</x:v>
      </x:c>
      <x:c r="C139" s="11" t="str">
        <x:v>一年</x:v>
      </x:c>
      <x:c r="D139" s="11" t="str">
        <x:v>HKD</x:v>
      </x:c>
      <x:c r="E139" s="25" t="n">
        <x:f>'情景快照'!I404</x:f>
        <x:v>-0.026724246297099907</x:v>
      </x:c>
      <x:c r="F139" s="25" t="n">
        <x:f>(1+E139)*0.95-1</x:f>
        <x:v>-0.07538803398224492</x:v>
      </x:c>
      <x:c r="G139" s="25" t="n">
        <x:f>E139</x:f>
        <x:v>-0.026724246297099907</x:v>
      </x:c>
      <x:c r="H139" s="25" t="n">
        <x:f>(1+E139)*1.05-1</x:f>
        <x:v>0.021939541388045214</x:v>
      </x:c>
      <x:c r="I139" s="25" t="str">
        <x:f>""</x:f>
      </x:c>
      <x:c r="J139" s="25" t="str">
        <x:f>""</x:f>
      </x:c>
      <x:c r="K139" s="11" t="str">
        <x:v>仅投资者换汇；目标价固定，不再次改变盈利换算率</x:v>
      </x:c>
    </x:row>
    <x:row r="140" ht="23" customHeight="1">
      <x:c r="A140" s="11" t="str">
        <x:v>02162.HK</x:v>
      </x:c>
      <x:c r="B140" s="11" t="str">
        <x:v>康诺亚-B</x:v>
      </x:c>
      <x:c r="C140" s="11" t="str">
        <x:v>三年</x:v>
      </x:c>
      <x:c r="D140" s="11" t="str">
        <x:v>HKD</x:v>
      </x:c>
      <x:c r="E140" s="25" t="n">
        <x:f>'情景快照'!I407</x:f>
        <x:v>0.10584004631861377</x:v>
      </x:c>
      <x:c r="F140" s="25" t="n">
        <x:f>(1+E140)*0.95-1</x:f>
        <x:v>0.05054804400268309</x:v>
      </x:c>
      <x:c r="G140" s="25" t="n">
        <x:f>E140</x:f>
        <x:v>0.10584004631861377</x:v>
      </x:c>
      <x:c r="H140" s="25" t="n">
        <x:f>(1+E140)*1.05-1</x:f>
        <x:v>0.16113204863454444</x:v>
      </x:c>
      <x:c r="I140" s="25" t="n">
        <x:f>(1+F140)^(1/3)-1</x:f>
        <x:v>0.016573160955325905</x:v>
      </x:c>
      <x:c r="J140" s="25" t="n">
        <x:f>(1+H140)^(1/3)-1</x:f>
        <x:v>0.051059263197178906</x:v>
      </x:c>
      <x:c r="K140" s="11" t="str">
        <x:v>仅投资者换汇；目标价固定，不再次改变盈利换算率</x:v>
      </x:c>
    </x:row>
    <x:row r="141" ht="23" customHeight="1">
      <x:c r="A141" s="11" t="str">
        <x:v>02162.HK</x:v>
      </x:c>
      <x:c r="B141" s="11" t="str">
        <x:v>康诺亚-B</x:v>
      </x:c>
      <x:c r="C141" s="11" t="str">
        <x:v>五年</x:v>
      </x:c>
      <x:c r="D141" s="11" t="str">
        <x:v>HKD</x:v>
      </x:c>
      <x:c r="E141" s="25" t="n">
        <x:f>'情景快照'!I410</x:f>
        <x:v>0.16936406737933019</x:v>
      </x:c>
      <x:c r="F141" s="25" t="n">
        <x:f>(1+E141)*0.95-1</x:f>
        <x:v>0.11089586401036367</x:v>
      </x:c>
      <x:c r="G141" s="25" t="n">
        <x:f>E141</x:f>
        <x:v>0.16936406737933019</x:v>
      </x:c>
      <x:c r="H141" s="25" t="n">
        <x:f>(1+E141)*1.05-1</x:f>
        <x:v>0.2278322707482967</x:v>
      </x:c>
      <x:c r="I141" s="25" t="n">
        <x:f>(1+F141)^(1/5)-1</x:f>
        <x:v>0.021256114965136907</x:v>
      </x:c>
      <x:c r="J141" s="25" t="n">
        <x:f>(1+H141)^(1/5)-1</x:f>
        <x:v>0.04190424801781867</x:v>
      </x:c>
      <x:c r="K141" s="11" t="str">
        <x:v>仅投资者换汇；目标价固定，不再次改变盈利换算率</x:v>
      </x:c>
    </x:row>
    <x:row r="142" ht="23" customHeight="1">
      <x:c r="A142" s="11" t="str">
        <x:v>00268.HK</x:v>
      </x:c>
      <x:c r="B142" s="11" t="str">
        <x:v>金蝶国际</x:v>
      </x:c>
      <x:c r="C142" s="11" t="str">
        <x:v>2026年底</x:v>
      </x:c>
      <x:c r="D142" s="11" t="str">
        <x:v>HKD</x:v>
      </x:c>
      <x:c r="E142" s="25" t="n">
        <x:f>'情景快照'!I413</x:f>
        <x:v>0.17549457562220816</x:v>
      </x:c>
      <x:c r="F142" s="25" t="n">
        <x:f>(1+E142)*0.95-1</x:f>
        <x:v>0.11671984684109771</x:v>
      </x:c>
      <x:c r="G142" s="25" t="n">
        <x:f>E142</x:f>
        <x:v>0.17549457562220816</x:v>
      </x:c>
      <x:c r="H142" s="25" t="n">
        <x:f>(1+E142)*1.05-1</x:f>
        <x:v>0.2342693044033186</x:v>
      </x:c>
      <x:c r="I142" s="25" t="str">
        <x:f>""</x:f>
      </x:c>
      <x:c r="J142" s="25" t="str">
        <x:f>""</x:f>
      </x:c>
      <x:c r="K142" s="11" t="str">
        <x:v>仅投资者换汇；目标价固定，不再次改变盈利换算率</x:v>
      </x:c>
    </x:row>
    <x:row r="143" ht="23" customHeight="1">
      <x:c r="A143" s="11" t="str">
        <x:v>00268.HK</x:v>
      </x:c>
      <x:c r="B143" s="11" t="str">
        <x:v>金蝶国际</x:v>
      </x:c>
      <x:c r="C143" s="11" t="str">
        <x:v>半年</x:v>
      </x:c>
      <x:c r="D143" s="11" t="str">
        <x:v>HKD</x:v>
      </x:c>
      <x:c r="E143" s="25" t="n">
        <x:f>'情景快照'!I416</x:f>
        <x:v>0.2673899170389278</x:v>
      </x:c>
      <x:c r="F143" s="25" t="n">
        <x:f>(1+E143)*0.95-1</x:f>
        <x:v>0.20402042118698138</x:v>
      </x:c>
      <x:c r="G143" s="25" t="n">
        <x:f>E143</x:f>
        <x:v>0.2673899170389278</x:v>
      </x:c>
      <x:c r="H143" s="25" t="n">
        <x:f>(1+E143)*1.05-1</x:f>
        <x:v>0.3307594128908742</x:v>
      </x:c>
      <x:c r="I143" s="25" t="str">
        <x:f>""</x:f>
      </x:c>
      <x:c r="J143" s="25" t="str">
        <x:f>""</x:f>
      </x:c>
      <x:c r="K143" s="11" t="str">
        <x:v>仅投资者换汇；目标价固定，不再次改变盈利换算率</x:v>
      </x:c>
    </x:row>
    <x:row r="144" ht="23" customHeight="1">
      <x:c r="A144" s="11" t="str">
        <x:v>00268.HK</x:v>
      </x:c>
      <x:c r="B144" s="11" t="str">
        <x:v>金蝶国际</x:v>
      </x:c>
      <x:c r="C144" s="11" t="str">
        <x:v>一年</x:v>
      </x:c>
      <x:c r="D144" s="11" t="str">
        <x:v>HKD</x:v>
      </x:c>
      <x:c r="E144" s="25" t="n">
        <x:f>'情景快照'!I419</x:f>
        <x:v>0.43203573707721765</x:v>
      </x:c>
      <x:c r="F144" s="25" t="n">
        <x:f>(1+E144)*0.95-1</x:f>
        <x:v>0.36043395022335667</x:v>
      </x:c>
      <x:c r="G144" s="25" t="n">
        <x:f>E144</x:f>
        <x:v>0.43203573707721765</x:v>
      </x:c>
      <x:c r="H144" s="25" t="n">
        <x:f>(1+E144)*1.05-1</x:f>
        <x:v>0.5036375239310786</x:v>
      </x:c>
      <x:c r="I144" s="25" t="str">
        <x:f>""</x:f>
      </x:c>
      <x:c r="J144" s="25" t="str">
        <x:f>""</x:f>
      </x:c>
      <x:c r="K144" s="11" t="str">
        <x:v>仅投资者换汇；目标价固定，不再次改变盈利换算率</x:v>
      </x:c>
    </x:row>
    <x:row r="145" ht="23" customHeight="1">
      <x:c r="A145" s="11" t="str">
        <x:v>00268.HK</x:v>
      </x:c>
      <x:c r="B145" s="11" t="str">
        <x:v>金蝶国际</x:v>
      </x:c>
      <x:c r="C145" s="11" t="str">
        <x:v>三年</x:v>
      </x:c>
      <x:c r="D145" s="11" t="str">
        <x:v>HKD</x:v>
      </x:c>
      <x:c r="E145" s="25" t="n">
        <x:f>'情景快照'!I422</x:f>
        <x:v>0.8404594767070837</x:v>
      </x:c>
      <x:c r="F145" s="25" t="n">
        <x:f>(1+E145)*0.95-1</x:f>
        <x:v>0.7484365028717295</x:v>
      </x:c>
      <x:c r="G145" s="25" t="n">
        <x:f>E145</x:f>
        <x:v>0.8404594767070837</x:v>
      </x:c>
      <x:c r="H145" s="25" t="n">
        <x:f>(1+E145)*1.05-1</x:f>
        <x:v>0.9324824505424378</x:v>
      </x:c>
      <x:c r="I145" s="25" t="n">
        <x:f>(1+F145)^(1/3)-1</x:f>
        <x:v>0.20471214415571648</x:v>
      </x:c>
      <x:c r="J145" s="25" t="n">
        <x:f>(1+H145)^(1/3)-1</x:f>
        <x:v>0.24558065000561857</x:v>
      </x:c>
      <x:c r="K145" s="11" t="str">
        <x:v>仅投资者换汇；目标价固定，不再次改变盈利换算率</x:v>
      </x:c>
    </x:row>
    <x:row r="146" ht="23" customHeight="1">
      <x:c r="A146" s="11" t="str">
        <x:v>00268.HK</x:v>
      </x:c>
      <x:c r="B146" s="11" t="str">
        <x:v>金蝶国际</x:v>
      </x:c>
      <x:c r="C146" s="11" t="str">
        <x:v>五年</x:v>
      </x:c>
      <x:c r="D146" s="11" t="str">
        <x:v>HKD</x:v>
      </x:c>
      <x:c r="E146" s="25" t="n">
        <x:f>'情景快照'!I425</x:f>
        <x:v>0.9872367581365666</x:v>
      </x:c>
      <x:c r="F146" s="25" t="n">
        <x:f>(1+E146)*0.95-1</x:f>
        <x:v>0.8878749202297382</x:v>
      </x:c>
      <x:c r="G146" s="25" t="n">
        <x:f>E146</x:f>
        <x:v>0.9872367581365666</x:v>
      </x:c>
      <x:c r="H146" s="25" t="n">
        <x:f>(1+E146)*1.05-1</x:f>
        <x:v>1.086598596043395</x:v>
      </x:c>
      <x:c r="I146" s="25" t="n">
        <x:f>(1+F146)^(1/5)-1</x:f>
        <x:v>0.1355196222529138</x:v>
      </x:c>
      <x:c r="J146" s="25" t="n">
        <x:f>(1+H146)^(1/5)-1</x:f>
        <x:v>0.15847797706776778</x:v>
      </x:c>
      <x:c r="K146" s="11" t="str">
        <x:v>仅投资者换汇；目标价固定，不再次改变盈利换算率</x:v>
      </x:c>
    </x:row>
    <x:row r="147" ht="23" customHeight="1">
      <x:c r="A147" s="11" t="str">
        <x:v>01024.HK</x:v>
      </x:c>
      <x:c r="B147" s="11" t="str">
        <x:v>快手-W</x:v>
      </x:c>
      <x:c r="C147" s="11" t="str">
        <x:v>2026年底</x:v>
      </x:c>
      <x:c r="D147" s="11" t="str">
        <x:v>HKD</x:v>
      </x:c>
      <x:c r="E147" s="25" t="n">
        <x:f>'情景快照'!I428</x:f>
        <x:v>0.43089700996677727</x:v>
      </x:c>
      <x:c r="F147" s="25" t="n">
        <x:f>(1+E147)*0.95-1</x:f>
        <x:v>0.35935215946843835</x:v>
      </x:c>
      <x:c r="G147" s="25" t="n">
        <x:f>E147</x:f>
        <x:v>0.43089700996677727</x:v>
      </x:c>
      <x:c r="H147" s="25" t="n">
        <x:f>(1+E147)*1.05-1</x:f>
        <x:v>0.5024418604651162</x:v>
      </x:c>
      <x:c r="I147" s="25" t="str">
        <x:f>""</x:f>
      </x:c>
      <x:c r="J147" s="25" t="str">
        <x:f>""</x:f>
      </x:c>
      <x:c r="K147" s="11" t="str">
        <x:v>仅投资者换汇；目标价固定，不再次改变盈利换算率</x:v>
      </x:c>
    </x:row>
    <x:row r="148" ht="23" customHeight="1">
      <x:c r="A148" s="11" t="str">
        <x:v>01024.HK</x:v>
      </x:c>
      <x:c r="B148" s="11" t="str">
        <x:v>快手-W</x:v>
      </x:c>
      <x:c r="C148" s="11" t="str">
        <x:v>半年</x:v>
      </x:c>
      <x:c r="D148" s="11" t="str">
        <x:v>HKD</x:v>
      </x:c>
      <x:c r="E148" s="25" t="n">
        <x:f>'情景快照'!I431</x:f>
        <x:v>0.6056478405315613</x:v>
      </x:c>
      <x:c r="F148" s="25" t="n">
        <x:f>(1+E148)*0.95-1</x:f>
        <x:v>0.5253654485049832</x:v>
      </x:c>
      <x:c r="G148" s="25" t="n">
        <x:f>E148</x:f>
        <x:v>0.6056478405315613</x:v>
      </x:c>
      <x:c r="H148" s="25" t="n">
        <x:f>(1+E148)*1.05-1</x:f>
        <x:v>0.6859302325581393</x:v>
      </x:c>
      <x:c r="I148" s="25" t="str">
        <x:f>""</x:f>
      </x:c>
      <x:c r="J148" s="25" t="str">
        <x:f>""</x:f>
      </x:c>
      <x:c r="K148" s="11" t="str">
        <x:v>仅投资者换汇；目标价固定，不再次改变盈利换算率</x:v>
      </x:c>
    </x:row>
    <x:row r="149" ht="23" customHeight="1">
      <x:c r="A149" s="11" t="str">
        <x:v>01024.HK</x:v>
      </x:c>
      <x:c r="B149" s="11" t="str">
        <x:v>快手-W</x:v>
      </x:c>
      <x:c r="C149" s="11" t="str">
        <x:v>一年</x:v>
      </x:c>
      <x:c r="D149" s="11" t="str">
        <x:v>HKD</x:v>
      </x:c>
      <x:c r="E149" s="25" t="n">
        <x:f>'情景快照'!I434</x:f>
        <x:v>1.03953488372093</x:v>
      </x:c>
      <x:c r="F149" s="25" t="n">
        <x:f>(1+E149)*0.95-1</x:f>
        <x:v>0.9375581395348833</x:v>
      </x:c>
      <x:c r="G149" s="25" t="n">
        <x:f>E149</x:f>
        <x:v>1.03953488372093</x:v>
      </x:c>
      <x:c r="H149" s="25" t="n">
        <x:f>(1+E149)*1.05-1</x:f>
        <x:v>1.1415116279069766</x:v>
      </x:c>
      <x:c r="I149" s="25" t="str">
        <x:f>""</x:f>
      </x:c>
      <x:c r="J149" s="25" t="str">
        <x:f>""</x:f>
      </x:c>
      <x:c r="K149" s="11" t="str">
        <x:v>仅投资者换汇；目标价固定，不再次改变盈利换算率</x:v>
      </x:c>
    </x:row>
    <x:row r="150" ht="23" customHeight="1">
      <x:c r="A150" s="11" t="str">
        <x:v>01024.HK</x:v>
      </x:c>
      <x:c r="B150" s="11" t="str">
        <x:v>快手-W</x:v>
      </x:c>
      <x:c r="C150" s="11" t="str">
        <x:v>三年</x:v>
      </x:c>
      <x:c r="D150" s="11" t="str">
        <x:v>HKD</x:v>
      </x:c>
      <x:c r="E150" s="25" t="n">
        <x:f>'情景快照'!I437</x:f>
        <x:v>2.50797342192691</x:v>
      </x:c>
      <x:c r="F150" s="25" t="n">
        <x:f>(1+E150)*0.95-1</x:f>
        <x:v>2.3325747508305645</x:v>
      </x:c>
      <x:c r="G150" s="25" t="n">
        <x:f>E150</x:f>
        <x:v>2.50797342192691</x:v>
      </x:c>
      <x:c r="H150" s="25" t="n">
        <x:f>(1+E150)*1.05-1</x:f>
        <x:v>2.6833720930232556</x:v>
      </x:c>
      <x:c r="I150" s="25" t="n">
        <x:f>(1+F150)^(1/3)-1</x:f>
        <x:v>0.4936882564143066</x:v>
      </x:c>
      <x:c r="J150" s="25" t="n">
        <x:f>(1+H150)^(1/3)-1</x:f>
        <x:v>0.5443599521727811</x:v>
      </x:c>
      <x:c r="K150" s="11" t="str">
        <x:v>仅投资者换汇；目标价固定，不再次改变盈利换算率</x:v>
      </x:c>
    </x:row>
    <x:row r="151" ht="23" customHeight="1">
      <x:c r="A151" s="11" t="str">
        <x:v>01024.HK</x:v>
      </x:c>
      <x:c r="B151" s="11" t="str">
        <x:v>快手-W</x:v>
      </x:c>
      <x:c r="C151" s="11" t="str">
        <x:v>五年</x:v>
      </x:c>
      <x:c r="D151" s="11" t="str">
        <x:v>HKD</x:v>
      </x:c>
      <x:c r="E151" s="25" t="n">
        <x:f>'情景快照'!I440</x:f>
        <x:v>3.9667774086378733</x:v>
      </x:c>
      <x:c r="F151" s="25" t="n">
        <x:f>(1+E151)*0.95-1</x:f>
        <x:v>3.7184385382059792</x:v>
      </x:c>
      <x:c r="G151" s="25" t="n">
        <x:f>E151</x:f>
        <x:v>3.9667774086378733</x:v>
      </x:c>
      <x:c r="H151" s="25" t="n">
        <x:f>(1+E151)*1.05-1</x:f>
        <x:v>4.215116279069767</x:v>
      </x:c>
      <x:c r="I151" s="25" t="n">
        <x:f>(1+F151)^(1/5)-1</x:f>
        <x:v>0.3638281821724958</x:v>
      </x:c>
      <x:c r="J151" s="25" t="n">
        <x:f>(1+H151)^(1/5)-1</x:f>
        <x:v>0.3914025637148342</x:v>
      </x:c>
      <x:c r="K151" s="11" t="str">
        <x:v>仅投资者换汇；目标价固定，不再次改变盈利换算率</x:v>
      </x:c>
    </x:row>
    <x:row r="152" ht="23" customHeight="1">
      <x:c r="A152" s="11" t="str">
        <x:v>00992.HK</x:v>
      </x:c>
      <x:c r="B152" s="11" t="str">
        <x:v>联想集团</x:v>
      </x:c>
      <x:c r="C152" s="11" t="str">
        <x:v>2026年底</x:v>
      </x:c>
      <x:c r="D152" s="11" t="str">
        <x:v>HKD</x:v>
      </x:c>
      <x:c r="E152" s="25" t="n">
        <x:f>'情景快照'!I443</x:f>
        <x:v>0.14159561510353225</x:v>
      </x:c>
      <x:c r="F152" s="25" t="n">
        <x:f>(1+E152)*0.95-1</x:f>
        <x:v>0.08451583434835563</x:v>
      </x:c>
      <x:c r="G152" s="25" t="n">
        <x:f>E152</x:f>
        <x:v>0.14159561510353225</x:v>
      </x:c>
      <x:c r="H152" s="25" t="n">
        <x:f>(1+E152)*1.05-1</x:f>
        <x:v>0.19867539585870886</x:v>
      </x:c>
      <x:c r="I152" s="25" t="str">
        <x:f>""</x:f>
      </x:c>
      <x:c r="J152" s="25" t="str">
        <x:f>""</x:f>
      </x:c>
      <x:c r="K152" s="11" t="str">
        <x:v>仅投资者换汇；目标价固定，不再次改变盈利换算率</x:v>
      </x:c>
    </x:row>
    <x:row r="153" ht="23" customHeight="1">
      <x:c r="A153" s="11" t="str">
        <x:v>00992.HK</x:v>
      </x:c>
      <x:c r="B153" s="11" t="str">
        <x:v>联想集团</x:v>
      </x:c>
      <x:c r="C153" s="11" t="str">
        <x:v>半年</x:v>
      </x:c>
      <x:c r="D153" s="11" t="str">
        <x:v>HKD</x:v>
      </x:c>
      <x:c r="E153" s="25" t="n">
        <x:f>'情景快照'!I446</x:f>
        <x:v>0.3209500609013398</x:v>
      </x:c>
      <x:c r="F153" s="25" t="n">
        <x:f>(1+E153)*0.95-1</x:f>
        <x:v>0.2549025578562727</x:v>
      </x:c>
      <x:c r="G153" s="25" t="n">
        <x:f>E153</x:f>
        <x:v>0.3209500609013398</x:v>
      </x:c>
      <x:c r="H153" s="25" t="n">
        <x:f>(1+E153)*1.05-1</x:f>
        <x:v>0.38699756394640694</x:v>
      </x:c>
      <x:c r="I153" s="25" t="str">
        <x:f>""</x:f>
      </x:c>
      <x:c r="J153" s="25" t="str">
        <x:f>""</x:f>
      </x:c>
      <x:c r="K153" s="11" t="str">
        <x:v>仅投资者换汇；目标价固定，不再次改变盈利换算率</x:v>
      </x:c>
    </x:row>
    <x:row r="154" ht="23" customHeight="1">
      <x:c r="A154" s="11" t="str">
        <x:v>00992.HK</x:v>
      </x:c>
      <x:c r="B154" s="11" t="str">
        <x:v>联想集团</x:v>
      </x:c>
      <x:c r="C154" s="11" t="str">
        <x:v>一年</x:v>
      </x:c>
      <x:c r="D154" s="11" t="str">
        <x:v>HKD</x:v>
      </x:c>
      <x:c r="E154" s="25" t="n">
        <x:f>'情景快照'!I449</x:f>
        <x:v>0.5520706455542019</x:v>
      </x:c>
      <x:c r="F154" s="25" t="n">
        <x:f>(1+E154)*0.95-1</x:f>
        <x:v>0.4744671132764917</x:v>
      </x:c>
      <x:c r="G154" s="25" t="n">
        <x:f>E154</x:f>
        <x:v>0.5520706455542019</x:v>
      </x:c>
      <x:c r="H154" s="25" t="n">
        <x:f>(1+E154)*1.05-1</x:f>
        <x:v>0.6296741778319122</x:v>
      </x:c>
      <x:c r="I154" s="25" t="str">
        <x:f>""</x:f>
      </x:c>
      <x:c r="J154" s="25" t="str">
        <x:f>""</x:f>
      </x:c>
      <x:c r="K154" s="11" t="str">
        <x:v>仅投资者换汇；目标价固定，不再次改变盈利换算率</x:v>
      </x:c>
    </x:row>
    <x:row r="155" ht="23" customHeight="1">
      <x:c r="A155" s="11" t="str">
        <x:v>00992.HK</x:v>
      </x:c>
      <x:c r="B155" s="11" t="str">
        <x:v>联想集团</x:v>
      </x:c>
      <x:c r="C155" s="11" t="str">
        <x:v>三年</x:v>
      </x:c>
      <x:c r="D155" s="11" t="str">
        <x:v>HKD</x:v>
      </x:c>
      <x:c r="E155" s="25" t="n">
        <x:f>'情景快照'!I452</x:f>
        <x:v>1.4598051157125456</x:v>
      </x:c>
      <x:c r="F155" s="25" t="n">
        <x:f>(1+E155)*0.95-1</x:f>
        <x:v>1.336814859926918</x:v>
      </x:c>
      <x:c r="G155" s="25" t="n">
        <x:f>E155</x:f>
        <x:v>1.4598051157125456</x:v>
      </x:c>
      <x:c r="H155" s="25" t="n">
        <x:f>(1+E155)*1.05-1</x:f>
        <x:v>1.582795371498173</x:v>
      </x:c>
      <x:c r="I155" s="25" t="n">
        <x:f>(1+F155)^(1/3)-1</x:f>
        <x:v>0.3270117506871326</x:v>
      </x:c>
      <x:c r="J155" s="25" t="n">
        <x:f>(1+H155)^(1/3)-1</x:f>
        <x:v>0.372029133270134</x:v>
      </x:c>
      <x:c r="K155" s="11" t="str">
        <x:v>仅投资者换汇；目标价固定，不再次改变盈利换算率</x:v>
      </x:c>
    </x:row>
    <x:row r="156" ht="23" customHeight="1">
      <x:c r="A156" s="11" t="str">
        <x:v>00992.HK</x:v>
      </x:c>
      <x:c r="B156" s="11" t="str">
        <x:v>联想集团</x:v>
      </x:c>
      <x:c r="C156" s="11" t="str">
        <x:v>五年</x:v>
      </x:c>
      <x:c r="D156" s="11" t="str">
        <x:v>HKD</x:v>
      </x:c>
      <x:c r="E156" s="25" t="n">
        <x:f>'情景快照'!I455</x:f>
        <x:v>2.1997563946406817</x:v>
      </x:c>
      <x:c r="F156" s="25" t="n">
        <x:f>(1+E156)*0.95-1</x:f>
        <x:v>2.0397685749086474</x:v>
      </x:c>
      <x:c r="G156" s="25" t="n">
        <x:f>E156</x:f>
        <x:v>2.1997563946406817</x:v>
      </x:c>
      <x:c r="H156" s="25" t="n">
        <x:f>(1+E156)*1.05-1</x:f>
        <x:v>2.359744214372716</x:v>
      </x:c>
      <x:c r="I156" s="25" t="n">
        <x:f>(1+F156)^(1/5)-1</x:f>
        <x:v>0.2490162945923533</x:v>
      </x:c>
      <x:c r="J156" s="25" t="n">
        <x:f>(1+H156)^(1/5)-1</x:f>
        <x:v>0.2742693670173746</x:v>
      </x:c>
      <x:c r="K156" s="11" t="str">
        <x:v>仅投资者换汇；目标价固定，不再次改变盈利换算率</x:v>
      </x:c>
    </x:row>
    <x:row r="157" ht="23" customHeight="1">
      <x:c r="A157" s="11" t="str">
        <x:v>01513.HK</x:v>
      </x:c>
      <x:c r="B157" s="11" t="str">
        <x:v>丽珠医药</x:v>
      </x:c>
      <x:c r="C157" s="11" t="str">
        <x:v>2026年底</x:v>
      </x:c>
      <x:c r="D157" s="11" t="str">
        <x:v>HKD</x:v>
      </x:c>
      <x:c r="E157" s="25" t="n">
        <x:f>'情景快照'!I458</x:f>
        <x:v>0.06983303249097461</x:v>
      </x:c>
      <x:c r="F157" s="25" t="n">
        <x:f>(1+E157)*0.95-1</x:f>
        <x:v>0.016341380866425892</x:v>
      </x:c>
      <x:c r="G157" s="25" t="n">
        <x:f>E157</x:f>
        <x:v>0.06983303249097461</x:v>
      </x:c>
      <x:c r="H157" s="25" t="n">
        <x:f>(1+E157)*1.05-1</x:f>
        <x:v>0.12332468411552333</x:v>
      </x:c>
      <x:c r="I157" s="25" t="str">
        <x:f>""</x:f>
      </x:c>
      <x:c r="J157" s="25" t="str">
        <x:f>""</x:f>
      </x:c>
      <x:c r="K157" s="11" t="str">
        <x:v>仅投资者换汇；目标价固定，不再次改变盈利换算率</x:v>
      </x:c>
    </x:row>
    <x:row r="158" ht="23" customHeight="1">
      <x:c r="A158" s="11" t="str">
        <x:v>01513.HK</x:v>
      </x:c>
      <x:c r="B158" s="11" t="str">
        <x:v>丽珠医药</x:v>
      </x:c>
      <x:c r="C158" s="11" t="str">
        <x:v>半年</x:v>
      </x:c>
      <x:c r="D158" s="11" t="str">
        <x:v>HKD</x:v>
      </x:c>
      <x:c r="E158" s="25" t="n">
        <x:f>'情景快照'!I461</x:f>
        <x:v>0.25225631768953094</x:v>
      </x:c>
      <x:c r="F158" s="25" t="n">
        <x:f>(1+E158)*0.95-1</x:f>
        <x:v>0.1896435018050544</x:v>
      </x:c>
      <x:c r="G158" s="25" t="n">
        <x:f>E158</x:f>
        <x:v>0.25225631768953094</x:v>
      </x:c>
      <x:c r="H158" s="25" t="n">
        <x:f>(1+E158)*1.05-1</x:f>
        <x:v>0.3148691335740075</x:v>
      </x:c>
      <x:c r="I158" s="25" t="str">
        <x:f>""</x:f>
      </x:c>
      <x:c r="J158" s="25" t="str">
        <x:f>""</x:f>
      </x:c>
      <x:c r="K158" s="11" t="str">
        <x:v>仅投资者换汇；目标价固定，不再次改变盈利换算率</x:v>
      </x:c>
    </x:row>
    <x:row r="159" ht="23" customHeight="1">
      <x:c r="A159" s="11" t="str">
        <x:v>01513.HK</x:v>
      </x:c>
      <x:c r="B159" s="11" t="str">
        <x:v>丽珠医药</x:v>
      </x:c>
      <x:c r="C159" s="11" t="str">
        <x:v>一年</x:v>
      </x:c>
      <x:c r="D159" s="11" t="str">
        <x:v>HKD</x:v>
      </x:c>
      <x:c r="E159" s="25" t="n">
        <x:f>'情景快照'!I464</x:f>
        <x:v>0.48307761732851984</x:v>
      </x:c>
      <x:c r="F159" s="25" t="n">
        <x:f>(1+E159)*0.95-1</x:f>
        <x:v>0.4089237364620937</x:v>
      </x:c>
      <x:c r="G159" s="25" t="n">
        <x:f>E159</x:f>
        <x:v>0.48307761732851984</x:v>
      </x:c>
      <x:c r="H159" s="25" t="n">
        <x:f>(1+E159)*1.05-1</x:f>
        <x:v>0.557231498194946</x:v>
      </x:c>
      <x:c r="I159" s="25" t="str">
        <x:f>""</x:f>
      </x:c>
      <x:c r="J159" s="25" t="str">
        <x:f>""</x:f>
      </x:c>
      <x:c r="K159" s="11" t="str">
        <x:v>仅投资者换汇；目标价固定，不再次改变盈利换算率</x:v>
      </x:c>
    </x:row>
    <x:row r="160" ht="23" customHeight="1">
      <x:c r="A160" s="11" t="str">
        <x:v>01513.HK</x:v>
      </x:c>
      <x:c r="B160" s="11" t="str">
        <x:v>丽珠医药</x:v>
      </x:c>
      <x:c r="C160" s="11" t="str">
        <x:v>三年</x:v>
      </x:c>
      <x:c r="D160" s="11" t="str">
        <x:v>HKD</x:v>
      </x:c>
      <x:c r="E160" s="25" t="n">
        <x:f>'情景快照'!I467</x:f>
        <x:v>1.0970216606498195</x:v>
      </x:c>
      <x:c r="F160" s="25" t="n">
        <x:f>(1+E160)*0.95-1</x:f>
        <x:v>0.9921705776173284</x:v>
      </x:c>
      <x:c r="G160" s="25" t="n">
        <x:f>E160</x:f>
        <x:v>1.0970216606498195</x:v>
      </x:c>
      <x:c r="H160" s="25" t="n">
        <x:f>(1+E160)*1.05-1</x:f>
        <x:v>1.2018727436823107</x:v>
      </x:c>
      <x:c r="I160" s="25" t="n">
        <x:f>(1+F160)^(1/3)-1</x:f>
        <x:v>0.2582748241782866</x:v>
      </x:c>
      <x:c r="J160" s="25" t="n">
        <x:f>(1+H160)^(1/3)-1</x:f>
        <x:v>0.30096038376377043</x:v>
      </x:c>
      <x:c r="K160" s="11" t="str">
        <x:v>仅投资者换汇；目标价固定，不再次改变盈利换算率</x:v>
      </x:c>
    </x:row>
    <x:row r="161" ht="23" customHeight="1">
      <x:c r="A161" s="11" t="str">
        <x:v>01513.HK</x:v>
      </x:c>
      <x:c r="B161" s="11" t="str">
        <x:v>丽珠医药</x:v>
      </x:c>
      <x:c r="C161" s="11" t="str">
        <x:v>五年</x:v>
      </x:c>
      <x:c r="D161" s="11" t="str">
        <x:v>HKD</x:v>
      </x:c>
      <x:c r="E161" s="25" t="n">
        <x:f>'情景快照'!I470</x:f>
        <x:v>1.5505415162454876</x:v>
      </x:c>
      <x:c r="F161" s="25" t="n">
        <x:f>(1+E161)*0.95-1</x:f>
        <x:v>1.4230144404332132</x:v>
      </x:c>
      <x:c r="G161" s="25" t="n">
        <x:f>E161</x:f>
        <x:v>1.5505415162454876</x:v>
      </x:c>
      <x:c r="H161" s="25" t="n">
        <x:f>(1+E161)*1.05-1</x:f>
        <x:v>1.678068592057762</x:v>
      </x:c>
      <x:c r="I161" s="25" t="n">
        <x:f>(1+F161)^(1/5)-1</x:f>
        <x:v>0.19363405370587383</x:v>
      </x:c>
      <x:c r="J161" s="25" t="n">
        <x:f>(1+H161)^(1/5)-1</x:f>
        <x:v>0.21776738754443992</x:v>
      </x:c>
      <x:c r="K161" s="11" t="str">
        <x:v>仅投资者换汇；目标价固定，不再次改变盈利换算率</x:v>
      </x:c>
    </x:row>
    <x:row r="162" ht="23" customHeight="1">
      <x:c r="A162" s="11" t="str">
        <x:v>688062.SH</x:v>
      </x:c>
      <x:c r="B162" s="11" t="str">
        <x:v>迈威生物</x:v>
      </x:c>
      <x:c r="C162" s="11" t="str">
        <x:v>2026年底</x:v>
      </x:c>
      <x:c r="D162" s="11" t="str">
        <x:v>CNY</x:v>
      </x:c>
      <x:c r="E162" s="25" t="n">
        <x:f>'情景快照'!I473</x:f>
        <x:v>-0.2903474952505426</x:v>
      </x:c>
      <x:c r="F162" s="25" t="n">
        <x:f>(1+E162)*1-1</x:f>
        <x:v>-0.2903474952505426</x:v>
      </x:c>
      <x:c r="G162" s="25" t="n">
        <x:f>E162</x:f>
        <x:v>-0.2903474952505426</x:v>
      </x:c>
      <x:c r="H162" s="25" t="n">
        <x:f>(1+E162)*1-1</x:f>
        <x:v>-0.2903474952505426</x:v>
      </x:c>
      <x:c r="I162" s="25" t="str">
        <x:f>""</x:f>
      </x:c>
      <x:c r="J162" s="25" t="str">
        <x:f>""</x:f>
      </x:c>
      <x:c r="K162" s="11" t="str">
        <x:v>仅投资者换汇；目标价固定，不再次改变盈利换算率</x:v>
      </x:c>
    </x:row>
    <x:row r="163" ht="23" customHeight="1">
      <x:c r="A163" s="11" t="str">
        <x:v>688062.SH</x:v>
      </x:c>
      <x:c r="B163" s="11" t="str">
        <x:v>迈威生物</x:v>
      </x:c>
      <x:c r="C163" s="11" t="str">
        <x:v>半年</x:v>
      </x:c>
      <x:c r="D163" s="11" t="str">
        <x:v>CNY</x:v>
      </x:c>
      <x:c r="E163" s="25" t="n">
        <x:f>'情景快照'!I476</x:f>
        <x:v>-0.48244354203339224</x:v>
      </x:c>
      <x:c r="F163" s="25" t="n">
        <x:f>(1+E163)*1-1</x:f>
        <x:v>-0.48244354203339224</x:v>
      </x:c>
      <x:c r="G163" s="25" t="n">
        <x:f>E163</x:f>
        <x:v>-0.48244354203339224</x:v>
      </x:c>
      <x:c r="H163" s="25" t="n">
        <x:f>(1+E163)*1-1</x:f>
        <x:v>-0.48244354203339224</x:v>
      </x:c>
      <x:c r="I163" s="25" t="str">
        <x:f>""</x:f>
      </x:c>
      <x:c r="J163" s="25" t="str">
        <x:f>""</x:f>
      </x:c>
      <x:c r="K163" s="11" t="str">
        <x:v>仅投资者换汇；目标价固定，不再次改变盈利换算率</x:v>
      </x:c>
    </x:row>
    <x:row r="164" ht="23" customHeight="1">
      <x:c r="A164" s="11" t="str">
        <x:v>688062.SH</x:v>
      </x:c>
      <x:c r="B164" s="11" t="str">
        <x:v>迈威生物</x:v>
      </x:c>
      <x:c r="C164" s="11" t="str">
        <x:v>一年</x:v>
      </x:c>
      <x:c r="D164" s="11" t="str">
        <x:v>CNY</x:v>
      </x:c>
      <x:c r="E164" s="25" t="n">
        <x:f>'情景快照'!I479</x:f>
        <x:v>-0.6396053520850461</x:v>
      </x:c>
      <x:c r="F164" s="25" t="n">
        <x:f>(1+E164)*1-1</x:f>
        <x:v>-0.6396053520850461</x:v>
      </x:c>
      <x:c r="G164" s="25" t="n">
        <x:f>E164</x:f>
        <x:v>-0.6396053520850461</x:v>
      </x:c>
      <x:c r="H164" s="25" t="n">
        <x:f>(1+E164)*1-1</x:f>
        <x:v>-0.6396053520850461</x:v>
      </x:c>
      <x:c r="I164" s="25" t="str">
        <x:f>""</x:f>
      </x:c>
      <x:c r="J164" s="25" t="str">
        <x:f>""</x:f>
      </x:c>
      <x:c r="K164" s="11" t="str">
        <x:v>仅投资者换汇；目标价固定，不再次改变盈利换算率</x:v>
      </x:c>
    </x:row>
    <x:row r="165" ht="23" customHeight="1">
      <x:c r="A165" s="11" t="str">
        <x:v>688062.SH</x:v>
      </x:c>
      <x:c r="B165" s="11" t="str">
        <x:v>迈威生物</x:v>
      </x:c>
      <x:c r="C165" s="11" t="str">
        <x:v>三年</x:v>
      </x:c>
      <x:c r="D165" s="11" t="str">
        <x:v>CNY</x:v>
      </x:c>
      <x:c r="E165" s="25" t="n">
        <x:f>'情景快照'!I482</x:f>
        <x:v>-0.47390918109582214</x:v>
      </x:c>
      <x:c r="F165" s="25" t="n">
        <x:f>(1+E165)*1-1</x:f>
        <x:v>-0.47390918109582214</x:v>
      </x:c>
      <x:c r="G165" s="25" t="n">
        <x:f>E165</x:f>
        <x:v>-0.47390918109582214</x:v>
      </x:c>
      <x:c r="H165" s="25" t="n">
        <x:f>(1+E165)*1-1</x:f>
        <x:v>-0.47390918109582214</x:v>
      </x:c>
      <x:c r="I165" s="25" t="n">
        <x:f>(1+F165)^(1/3)-1</x:f>
        <x:v>-0.19272734652594736</x:v>
      </x:c>
      <x:c r="J165" s="25" t="n">
        <x:f>(1+H165)^(1/3)-1</x:f>
        <x:v>-0.19272734652594736</x:v>
      </x:c>
      <x:c r="K165" s="11" t="str">
        <x:v>仅投资者换汇；目标价固定，不再次改变盈利换算率</x:v>
      </x:c>
    </x:row>
    <x:row r="166" ht="23" customHeight="1">
      <x:c r="A166" s="11" t="str">
        <x:v>688062.SH</x:v>
      </x:c>
      <x:c r="B166" s="11" t="str">
        <x:v>迈威生物</x:v>
      </x:c>
      <x:c r="C166" s="11" t="str">
        <x:v>五年</x:v>
      </x:c>
      <x:c r="D166" s="11" t="str">
        <x:v>CNY</x:v>
      </x:c>
      <x:c r="E166" s="25" t="n">
        <x:f>'情景快照'!I485</x:f>
        <x:v>-0.23528926003052264</x:v>
      </x:c>
      <x:c r="F166" s="25" t="n">
        <x:f>(1+E166)*1-1</x:f>
        <x:v>-0.23528926003052264</x:v>
      </x:c>
      <x:c r="G166" s="25" t="n">
        <x:f>E166</x:f>
        <x:v>-0.23528926003052264</x:v>
      </x:c>
      <x:c r="H166" s="25" t="n">
        <x:f>(1+E166)*1-1</x:f>
        <x:v>-0.23528926003052264</x:v>
      </x:c>
      <x:c r="I166" s="25" t="n">
        <x:f>(1+F166)^(1/5)-1</x:f>
        <x:v>-0.052237681334340924</x:v>
      </x:c>
      <x:c r="J166" s="25" t="n">
        <x:f>(1+H166)^(1/5)-1</x:f>
        <x:v>-0.052237681334340924</x:v>
      </x:c>
      <x:c r="K166" s="11" t="str">
        <x:v>仅投资者换汇；目标价固定，不再次改变盈利换算率</x:v>
      </x:c>
    </x:row>
    <x:row r="167" ht="23" customHeight="1">
      <x:c r="A167" s="11" t="str">
        <x:v>688202.SH</x:v>
      </x:c>
      <x:c r="B167" s="11" t="str">
        <x:v>美迪西</x:v>
      </x:c>
      <x:c r="C167" s="11" t="str">
        <x:v>2026年底</x:v>
      </x:c>
      <x:c r="D167" s="11" t="str">
        <x:v>CNY</x:v>
      </x:c>
      <x:c r="E167" s="25" t="n">
        <x:f>'情景快照'!I488</x:f>
        <x:v>-0.42307692307692313</x:v>
      </x:c>
      <x:c r="F167" s="25" t="n">
        <x:f>(1+E167)*1-1</x:f>
        <x:v>-0.42307692307692313</x:v>
      </x:c>
      <x:c r="G167" s="25" t="n">
        <x:f>E167</x:f>
        <x:v>-0.42307692307692313</x:v>
      </x:c>
      <x:c r="H167" s="25" t="n">
        <x:f>(1+E167)*1-1</x:f>
        <x:v>-0.42307692307692313</x:v>
      </x:c>
      <x:c r="I167" s="25" t="str">
        <x:f>""</x:f>
      </x:c>
      <x:c r="J167" s="25" t="str">
        <x:f>""</x:f>
      </x:c>
      <x:c r="K167" s="11" t="str">
        <x:v>仅投资者换汇；目标价固定，不再次改变盈利换算率</x:v>
      </x:c>
    </x:row>
    <x:row r="168" ht="23" customHeight="1">
      <x:c r="A168" s="11" t="str">
        <x:v>688202.SH</x:v>
      </x:c>
      <x:c r="B168" s="11" t="str">
        <x:v>美迪西</x:v>
      </x:c>
      <x:c r="C168" s="11" t="str">
        <x:v>半年</x:v>
      </x:c>
      <x:c r="D168" s="11" t="str">
        <x:v>CNY</x:v>
      </x:c>
      <x:c r="E168" s="25" t="n">
        <x:f>'情景快照'!I491</x:f>
        <x:v>-0.3076923076923077</x:v>
      </x:c>
      <x:c r="F168" s="25" t="n">
        <x:f>(1+E168)*1-1</x:f>
        <x:v>-0.3076923076923077</x:v>
      </x:c>
      <x:c r="G168" s="25" t="n">
        <x:f>E168</x:f>
        <x:v>-0.3076923076923077</x:v>
      </x:c>
      <x:c r="H168" s="25" t="n">
        <x:f>(1+E168)*1-1</x:f>
        <x:v>-0.3076923076923077</x:v>
      </x:c>
      <x:c r="I168" s="25" t="str">
        <x:f>""</x:f>
      </x:c>
      <x:c r="J168" s="25" t="str">
        <x:f>""</x:f>
      </x:c>
      <x:c r="K168" s="11" t="str">
        <x:v>仅投资者换汇；目标价固定，不再次改变盈利换算率</x:v>
      </x:c>
    </x:row>
    <x:row r="169" ht="23" customHeight="1">
      <x:c r="A169" s="11" t="str">
        <x:v>688202.SH</x:v>
      </x:c>
      <x:c r="B169" s="11" t="str">
        <x:v>美迪西</x:v>
      </x:c>
      <x:c r="C169" s="11" t="str">
        <x:v>一年</x:v>
      </x:c>
      <x:c r="D169" s="11" t="str">
        <x:v>CNY</x:v>
      </x:c>
      <x:c r="E169" s="25" t="n">
        <x:f>'情景快照'!I494</x:f>
        <x:v>-0.2317307692307693</x:v>
      </x:c>
      <x:c r="F169" s="25" t="n">
        <x:f>(1+E169)*1-1</x:f>
        <x:v>-0.2317307692307693</x:v>
      </x:c>
      <x:c r="G169" s="25" t="n">
        <x:f>E169</x:f>
        <x:v>-0.2317307692307693</x:v>
      </x:c>
      <x:c r="H169" s="25" t="n">
        <x:f>(1+E169)*1-1</x:f>
        <x:v>-0.2317307692307693</x:v>
      </x:c>
      <x:c r="I169" s="25" t="str">
        <x:f>""</x:f>
      </x:c>
      <x:c r="J169" s="25" t="str">
        <x:f>""</x:f>
      </x:c>
      <x:c r="K169" s="11" t="str">
        <x:v>仅投资者换汇；目标价固定，不再次改变盈利换算率</x:v>
      </x:c>
    </x:row>
    <x:row r="170" ht="23" customHeight="1">
      <x:c r="A170" s="11" t="str">
        <x:v>688202.SH</x:v>
      </x:c>
      <x:c r="B170" s="11" t="str">
        <x:v>美迪西</x:v>
      </x:c>
      <x:c r="C170" s="11" t="str">
        <x:v>三年</x:v>
      </x:c>
      <x:c r="D170" s="11" t="str">
        <x:v>CNY</x:v>
      </x:c>
      <x:c r="E170" s="25" t="n">
        <x:f>'情景快照'!I497</x:f>
        <x:v>0.2384615384615385</x:v>
      </x:c>
      <x:c r="F170" s="25" t="n">
        <x:f>(1+E170)*1-1</x:f>
        <x:v>0.2384615384615385</x:v>
      </x:c>
      <x:c r="G170" s="25" t="n">
        <x:f>E170</x:f>
        <x:v>0.2384615384615385</x:v>
      </x:c>
      <x:c r="H170" s="25" t="n">
        <x:f>(1+E170)*1-1</x:f>
        <x:v>0.2384615384615385</x:v>
      </x:c>
      <x:c r="I170" s="25" t="n">
        <x:f>(1+F170)^(1/3)-1</x:f>
        <x:v>0.07389257897671331</x:v>
      </x:c>
      <x:c r="J170" s="25" t="n">
        <x:f>(1+H170)^(1/3)-1</x:f>
        <x:v>0.07389257897671331</x:v>
      </x:c>
      <x:c r="K170" s="11" t="str">
        <x:v>仅投资者换汇；目标价固定，不再次改变盈利换算率</x:v>
      </x:c>
    </x:row>
    <x:row r="171" ht="23" customHeight="1">
      <x:c r="A171" s="11" t="str">
        <x:v>688202.SH</x:v>
      </x:c>
      <x:c r="B171" s="11" t="str">
        <x:v>美迪西</x:v>
      </x:c>
      <x:c r="C171" s="11" t="str">
        <x:v>五年</x:v>
      </x:c>
      <x:c r="D171" s="11" t="str">
        <x:v>CNY</x:v>
      </x:c>
      <x:c r="E171" s="25" t="n">
        <x:f>'情景快照'!I500</x:f>
        <x:v>0.5</x:v>
      </x:c>
      <x:c r="F171" s="25" t="n">
        <x:f>(1+E171)*1-1</x:f>
        <x:v>0.5</x:v>
      </x:c>
      <x:c r="G171" s="25" t="n">
        <x:f>E171</x:f>
        <x:v>0.5</x:v>
      </x:c>
      <x:c r="H171" s="25" t="n">
        <x:f>(1+E171)*1-1</x:f>
        <x:v>0.5</x:v>
      </x:c>
      <x:c r="I171" s="25" t="n">
        <x:f>(1+F171)^(1/5)-1</x:f>
        <x:v>0.08447177119769855</x:v>
      </x:c>
      <x:c r="J171" s="25" t="n">
        <x:f>(1+H171)^(1/5)-1</x:f>
        <x:v>0.08447177119769855</x:v>
      </x:c>
      <x:c r="K171" s="11" t="str">
        <x:v>仅投资者换汇；目标价固定，不再次改变盈利换算率</x:v>
      </x:c>
    </x:row>
    <x:row r="172" ht="23" customHeight="1">
      <x:c r="A172" s="11" t="str">
        <x:v>03690.HK</x:v>
      </x:c>
      <x:c r="B172" s="11" t="str">
        <x:v>美团-W</x:v>
      </x:c>
      <x:c r="C172" s="11" t="str">
        <x:v>2026年底</x:v>
      </x:c>
      <x:c r="D172" s="11" t="str">
        <x:v>HKD</x:v>
      </x:c>
      <x:c r="E172" s="25" t="n">
        <x:f>'情景快照'!I503</x:f>
        <x:v>0.38979020979020995</x:v>
      </x:c>
      <x:c r="F172" s="25" t="n">
        <x:f>(1+E172)*0.95-1</x:f>
        <x:v>0.3203006993006994</x:v>
      </x:c>
      <x:c r="G172" s="25" t="n">
        <x:f>E172</x:f>
        <x:v>0.38979020979020995</x:v>
      </x:c>
      <x:c r="H172" s="25" t="n">
        <x:f>(1+E172)*1.05-1</x:f>
        <x:v>0.4592797202797205</x:v>
      </x:c>
      <x:c r="I172" s="25" t="str">
        <x:f>""</x:f>
      </x:c>
      <x:c r="J172" s="25" t="str">
        <x:f>""</x:f>
      </x:c>
      <x:c r="K172" s="11" t="str">
        <x:v>仅投资者换汇；目标价固定，不再次改变盈利换算率</x:v>
      </x:c>
    </x:row>
    <x:row r="173" ht="23" customHeight="1">
      <x:c r="A173" s="11" t="str">
        <x:v>03690.HK</x:v>
      </x:c>
      <x:c r="B173" s="11" t="str">
        <x:v>美团-W</x:v>
      </x:c>
      <x:c r="C173" s="11" t="str">
        <x:v>半年</x:v>
      </x:c>
      <x:c r="D173" s="11" t="str">
        <x:v>HKD</x:v>
      </x:c>
      <x:c r="E173" s="25" t="n">
        <x:f>'情景快照'!I506</x:f>
        <x:v>0.6706293706293707</x:v>
      </x:c>
      <x:c r="F173" s="25" t="n">
        <x:f>(1+E173)*0.95-1</x:f>
        <x:v>0.5870979020979021</x:v>
      </x:c>
      <x:c r="G173" s="25" t="n">
        <x:f>E173</x:f>
        <x:v>0.6706293706293707</x:v>
      </x:c>
      <x:c r="H173" s="25" t="n">
        <x:f>(1+E173)*1.05-1</x:f>
        <x:v>0.7541608391608392</x:v>
      </x:c>
      <x:c r="I173" s="25" t="str">
        <x:f>""</x:f>
      </x:c>
      <x:c r="J173" s="25" t="str">
        <x:f>""</x:f>
      </x:c>
      <x:c r="K173" s="11" t="str">
        <x:v>仅投资者换汇；目标价固定，不再次改变盈利换算率</x:v>
      </x:c>
    </x:row>
    <x:row r="174" ht="23" customHeight="1">
      <x:c r="A174" s="11" t="str">
        <x:v>03690.HK</x:v>
      </x:c>
      <x:c r="B174" s="11" t="str">
        <x:v>美团-W</x:v>
      </x:c>
      <x:c r="C174" s="11" t="str">
        <x:v>一年</x:v>
      </x:c>
      <x:c r="D174" s="11" t="str">
        <x:v>HKD</x:v>
      </x:c>
      <x:c r="E174" s="25" t="n">
        <x:f>'情景快照'!I509</x:f>
        <x:v>1.1433566433566433</x:v>
      </x:c>
      <x:c r="F174" s="25" t="n">
        <x:f>(1+E174)*0.95-1</x:f>
        <x:v>1.036188811188811</x:v>
      </x:c>
      <x:c r="G174" s="25" t="n">
        <x:f>E174</x:f>
        <x:v>1.1433566433566433</x:v>
      </x:c>
      <x:c r="H174" s="25" t="n">
        <x:f>(1+E174)*1.05-1</x:f>
        <x:v>1.2505244755244758</x:v>
      </x:c>
      <x:c r="I174" s="25" t="str">
        <x:f>""</x:f>
      </x:c>
      <x:c r="J174" s="25" t="str">
        <x:f>""</x:f>
      </x:c>
      <x:c r="K174" s="11" t="str">
        <x:v>仅投资者换汇；目标价固定，不再次改变盈利换算率</x:v>
      </x:c>
    </x:row>
    <x:row r="175" ht="23" customHeight="1">
      <x:c r="A175" s="11" t="str">
        <x:v>03690.HK</x:v>
      </x:c>
      <x:c r="B175" s="11" t="str">
        <x:v>美团-W</x:v>
      </x:c>
      <x:c r="C175" s="11" t="str">
        <x:v>三年</x:v>
      </x:c>
      <x:c r="D175" s="11" t="str">
        <x:v>HKD</x:v>
      </x:c>
      <x:c r="E175" s="25" t="n">
        <x:f>'情景快照'!I512</x:f>
        <x:v>2.317622377622378</x:v>
      </x:c>
      <x:c r="F175" s="25" t="n">
        <x:f>(1+E175)*0.95-1</x:f>
        <x:v>2.151741258741259</x:v>
      </x:c>
      <x:c r="G175" s="25" t="n">
        <x:f>E175</x:f>
        <x:v>2.317622377622378</x:v>
      </x:c>
      <x:c r="H175" s="25" t="n">
        <x:f>(1+E175)*1.05-1</x:f>
        <x:v>2.4835034965034968</x:v>
      </x:c>
      <x:c r="I175" s="25" t="n">
        <x:f>(1+F175)^(1/3)-1</x:f>
        <x:v>0.4661672656134592</x:v>
      </x:c>
      <x:c r="J175" s="25" t="n">
        <x:f>(1+H175)^(1/3)-1</x:f>
        <x:v>0.5159053426821945</x:v>
      </x:c>
      <x:c r="K175" s="11" t="str">
        <x:v>仅投资者换汇；目标价固定，不再次改变盈利换算率</x:v>
      </x:c>
    </x:row>
    <x:row r="176" ht="23" customHeight="1">
      <x:c r="A176" s="11" t="str">
        <x:v>03690.HK</x:v>
      </x:c>
      <x:c r="B176" s="11" t="str">
        <x:v>美团-W</x:v>
      </x:c>
      <x:c r="C176" s="11" t="str">
        <x:v>五年</x:v>
      </x:c>
      <x:c r="D176" s="11" t="str">
        <x:v>HKD</x:v>
      </x:c>
      <x:c r="E176" s="25" t="n">
        <x:f>'情景快照'!I515</x:f>
        <x:v>3.122937062937063</x:v>
      </x:c>
      <x:c r="F176" s="25" t="n">
        <x:f>(1+E176)*0.95-1</x:f>
        <x:v>2.9167902097902094</x:v>
      </x:c>
      <x:c r="G176" s="25" t="n">
        <x:f>E176</x:f>
        <x:v>3.122937062937063</x:v>
      </x:c>
      <x:c r="H176" s="25" t="n">
        <x:f>(1+E176)*1.05-1</x:f>
        <x:v>3.329083916083916</x:v>
      </x:c>
      <x:c r="I176" s="25" t="n">
        <x:f>(1+F176)^(1/5)-1</x:f>
        <x:v>0.3139718528545701</x:v>
      </x:c>
      <x:c r="J176" s="25" t="n">
        <x:f>(1+H176)^(1/5)-1</x:f>
        <x:v>0.34053822073002316</x:v>
      </x:c>
      <x:c r="K176" s="11" t="str">
        <x:v>仅投资者换汇；目标价固定，不再次改变盈利换算率</x:v>
      </x:c>
    </x:row>
    <x:row r="177" ht="23" customHeight="1">
      <x:c r="A177" s="11" t="str">
        <x:v>00300.HK</x:v>
      </x:c>
      <x:c r="B177" s="11" t="str">
        <x:v>美的集团</x:v>
      </x:c>
      <x:c r="C177" s="11" t="str">
        <x:v>2026年底</x:v>
      </x:c>
      <x:c r="D177" s="11" t="str">
        <x:v>HKD</x:v>
      </x:c>
      <x:c r="E177" s="25" t="n">
        <x:f>'情景快照'!I518</x:f>
        <x:v>0.17234383342231707</x:v>
      </x:c>
      <x:c r="F177" s="25" t="n">
        <x:f>(1+E177)*0.95-1</x:f>
        <x:v>0.11372664175120106</x:v>
      </x:c>
      <x:c r="G177" s="25" t="n">
        <x:f>E177</x:f>
        <x:v>0.17234383342231707</x:v>
      </x:c>
      <x:c r="H177" s="25" t="n">
        <x:f>(1+E177)*1.05-1</x:f>
        <x:v>0.23096102509343308</x:v>
      </x:c>
      <x:c r="I177" s="25" t="str">
        <x:f>""</x:f>
      </x:c>
      <x:c r="J177" s="25" t="str">
        <x:f>""</x:f>
      </x:c>
      <x:c r="K177" s="11" t="str">
        <x:v>仅投资者换汇；目标价固定，不再次改变盈利换算率</x:v>
      </x:c>
    </x:row>
    <x:row r="178" ht="23" customHeight="1">
      <x:c r="A178" s="11" t="str">
        <x:v>00300.HK</x:v>
      </x:c>
      <x:c r="B178" s="11" t="str">
        <x:v>美的集团</x:v>
      </x:c>
      <x:c r="C178" s="11" t="str">
        <x:v>半年</x:v>
      </x:c>
      <x:c r="D178" s="11" t="str">
        <x:v>HKD</x:v>
      </x:c>
      <x:c r="E178" s="25" t="n">
        <x:f>'情景快照'!I521</x:f>
        <x:v>0.2750667378537106</x:v>
      </x:c>
      <x:c r="F178" s="25" t="n">
        <x:f>(1+E178)*0.95-1</x:f>
        <x:v>0.2113134009610249</x:v>
      </x:c>
      <x:c r="G178" s="25" t="n">
        <x:f>E178</x:f>
        <x:v>0.2750667378537106</x:v>
      </x:c>
      <x:c r="H178" s="25" t="n">
        <x:f>(1+E178)*1.05-1</x:f>
        <x:v>0.3388200747463963</x:v>
      </x:c>
      <x:c r="I178" s="25" t="str">
        <x:f>""</x:f>
      </x:c>
      <x:c r="J178" s="25" t="str">
        <x:f>""</x:f>
      </x:c>
      <x:c r="K178" s="11" t="str">
        <x:v>仅投资者换汇；目标价固定，不再次改变盈利换算率</x:v>
      </x:c>
    </x:row>
    <x:row r="179" ht="23" customHeight="1">
      <x:c r="A179" s="11" t="str">
        <x:v>00300.HK</x:v>
      </x:c>
      <x:c r="B179" s="11" t="str">
        <x:v>美的集团</x:v>
      </x:c>
      <x:c r="C179" s="11" t="str">
        <x:v>一年</x:v>
      </x:c>
      <x:c r="D179" s="11" t="str">
        <x:v>HKD</x:v>
      </x:c>
      <x:c r="E179" s="25" t="n">
        <x:f>'情景快照'!I524</x:f>
        <x:v>0.46268019220501855</x:v>
      </x:c>
      <x:c r="F179" s="25" t="n">
        <x:f>(1+E179)*0.95-1</x:f>
        <x:v>0.3895461825947675</x:v>
      </x:c>
      <x:c r="G179" s="25" t="n">
        <x:f>E179</x:f>
        <x:v>0.46268019220501855</x:v>
      </x:c>
      <x:c r="H179" s="25" t="n">
        <x:f>(1+E179)*1.05-1</x:f>
        <x:v>0.5358142018152696</x:v>
      </x:c>
      <x:c r="I179" s="25" t="str">
        <x:f>""</x:f>
      </x:c>
      <x:c r="J179" s="25" t="str">
        <x:f>""</x:f>
      </x:c>
      <x:c r="K179" s="11" t="str">
        <x:v>仅投资者换汇；目标价固定，不再次改变盈利换算率</x:v>
      </x:c>
    </x:row>
    <x:row r="180" ht="23" customHeight="1">
      <x:c r="A180" s="11" t="str">
        <x:v>00300.HK</x:v>
      </x:c>
      <x:c r="B180" s="11" t="str">
        <x:v>美的集团</x:v>
      </x:c>
      <x:c r="C180" s="11" t="str">
        <x:v>三年</x:v>
      </x:c>
      <x:c r="D180" s="11" t="str">
        <x:v>HKD</x:v>
      </x:c>
      <x:c r="E180" s="25" t="n">
        <x:f>'情景快照'!I527</x:f>
        <x:v>1.0131340096102508</x:v>
      </x:c>
      <x:c r="F180" s="25" t="n">
        <x:f>(1+E180)*0.95-1</x:f>
        <x:v>0.9124773091297382</x:v>
      </x:c>
      <x:c r="G180" s="25" t="n">
        <x:f>E180</x:f>
        <x:v>1.0131340096102508</x:v>
      </x:c>
      <x:c r="H180" s="25" t="n">
        <x:f>(1+E180)*1.05-1</x:f>
        <x:v>1.1137907100907634</x:v>
      </x:c>
      <x:c r="I180" s="25" t="n">
        <x:f>(1+F180)^(1/3)-1</x:f>
        <x:v>0.2412676312577382</x:v>
      </x:c>
      <x:c r="J180" s="25" t="n">
        <x:f>(1+H180)^(1/3)-1</x:f>
        <x:v>0.2833762409330416</x:v>
      </x:c>
      <x:c r="K180" s="11" t="str">
        <x:v>仅投资者换汇；目标价固定，不再次改变盈利换算率</x:v>
      </x:c>
    </x:row>
    <x:row r="181" ht="23" customHeight="1">
      <x:c r="A181" s="11" t="str">
        <x:v>00300.HK</x:v>
      </x:c>
      <x:c r="B181" s="11" t="str">
        <x:v>美的集团</x:v>
      </x:c>
      <x:c r="C181" s="11" t="str">
        <x:v>五年</x:v>
      </x:c>
      <x:c r="D181" s="11" t="str">
        <x:v>HKD</x:v>
      </x:c>
      <x:c r="E181" s="25" t="n">
        <x:f>'情景快照'!I530</x:f>
        <x:v>1.60854244527496</x:v>
      </x:c>
      <x:c r="F181" s="25" t="n">
        <x:f>(1+E181)*0.95-1</x:f>
        <x:v>1.4781153230112118</x:v>
      </x:c>
      <x:c r="G181" s="25" t="n">
        <x:f>E181</x:f>
        <x:v>1.60854244527496</x:v>
      </x:c>
      <x:c r="H181" s="25" t="n">
        <x:f>(1+E181)*1.05-1</x:f>
        <x:v>1.738969567538708</x:v>
      </x:c>
      <x:c r="I181" s="25" t="n">
        <x:f>(1+F181)^(1/5)-1</x:f>
        <x:v>0.19901413404940604</x:v>
      </x:c>
      <x:c r="J181" s="25" t="n">
        <x:f>(1+H181)^(1/5)-1</x:f>
        <x:v>0.22325624433801194</x:v>
      </x:c>
      <x:c r="K181" s="11" t="str">
        <x:v>仅投资者换汇；目标价固定，不再次改变盈利换算率</x:v>
      </x:c>
    </x:row>
    <x:row r="182" ht="23" customHeight="1">
      <x:c r="A182" s="11" t="str">
        <x:v>300760.SZ</x:v>
      </x:c>
      <x:c r="B182" s="11" t="str">
        <x:v>迈瑞医疗</x:v>
      </x:c>
      <x:c r="C182" s="11" t="str">
        <x:v>2026年底</x:v>
      </x:c>
      <x:c r="D182" s="11" t="str">
        <x:v>CNY</x:v>
      </x:c>
      <x:c r="E182" s="25" t="n">
        <x:f>'情景快照'!I533</x:f>
        <x:v>0.0631970260223047</x:v>
      </x:c>
      <x:c r="F182" s="25" t="n">
        <x:f>(1+E182)*1-1</x:f>
        <x:v>0.0631970260223047</x:v>
      </x:c>
      <x:c r="G182" s="25" t="n">
        <x:f>E182</x:f>
        <x:v>0.0631970260223047</x:v>
      </x:c>
      <x:c r="H182" s="25" t="n">
        <x:f>(1+E182)*1-1</x:f>
        <x:v>0.0631970260223047</x:v>
      </x:c>
      <x:c r="I182" s="25" t="str">
        <x:f>""</x:f>
      </x:c>
      <x:c r="J182" s="25" t="str">
        <x:f>""</x:f>
      </x:c>
      <x:c r="K182" s="11" t="str">
        <x:v>仅投资者换汇；目标价固定，不再次改变盈利换算率</x:v>
      </x:c>
    </x:row>
    <x:row r="183" ht="23" customHeight="1">
      <x:c r="A183" s="11" t="str">
        <x:v>300760.SZ</x:v>
      </x:c>
      <x:c r="B183" s="11" t="str">
        <x:v>迈瑞医疗</x:v>
      </x:c>
      <x:c r="C183" s="11" t="str">
        <x:v>半年</x:v>
      </x:c>
      <x:c r="D183" s="11" t="str">
        <x:v>CNY</x:v>
      </x:c>
      <x:c r="E183" s="25" t="n">
        <x:f>'情景快照'!I536</x:f>
        <x:v>0.21127633209417596</x:v>
      </x:c>
      <x:c r="F183" s="25" t="n">
        <x:f>(1+E183)*1-1</x:f>
        <x:v>0.21127633209417596</x:v>
      </x:c>
      <x:c r="G183" s="25" t="n">
        <x:f>E183</x:f>
        <x:v>0.21127633209417596</x:v>
      </x:c>
      <x:c r="H183" s="25" t="n">
        <x:f>(1+E183)*1-1</x:f>
        <x:v>0.21127633209417596</x:v>
      </x:c>
      <x:c r="I183" s="25" t="str">
        <x:f>""</x:f>
      </x:c>
      <x:c r="J183" s="25" t="str">
        <x:f>""</x:f>
      </x:c>
      <x:c r="K183" s="11" t="str">
        <x:v>仅投资者换汇；目标价固定，不再次改变盈利换算率</x:v>
      </x:c>
    </x:row>
    <x:row r="184" ht="23" customHeight="1">
      <x:c r="A184" s="11" t="str">
        <x:v>300760.SZ</x:v>
      </x:c>
      <x:c r="B184" s="11" t="str">
        <x:v>迈瑞医疗</x:v>
      </x:c>
      <x:c r="C184" s="11" t="str">
        <x:v>一年</x:v>
      </x:c>
      <x:c r="D184" s="11" t="str">
        <x:v>CNY</x:v>
      </x:c>
      <x:c r="E184" s="25" t="n">
        <x:f>'情景快照'!I539</x:f>
        <x:v>0.4374225526641884</x:v>
      </x:c>
      <x:c r="F184" s="25" t="n">
        <x:f>(1+E184)*1-1</x:f>
        <x:v>0.4374225526641884</x:v>
      </x:c>
      <x:c r="G184" s="25" t="n">
        <x:f>E184</x:f>
        <x:v>0.4374225526641884</x:v>
      </x:c>
      <x:c r="H184" s="25" t="n">
        <x:f>(1+E184)*1-1</x:f>
        <x:v>0.4374225526641884</x:v>
      </x:c>
      <x:c r="I184" s="25" t="str">
        <x:f>""</x:f>
      </x:c>
      <x:c r="J184" s="25" t="str">
        <x:f>""</x:f>
      </x:c>
      <x:c r="K184" s="11" t="str">
        <x:v>仅投资者换汇；目标价固定，不再次改变盈利换算率</x:v>
      </x:c>
    </x:row>
    <x:row r="185" ht="23" customHeight="1">
      <x:c r="A185" s="11" t="str">
        <x:v>300760.SZ</x:v>
      </x:c>
      <x:c r="B185" s="11" t="str">
        <x:v>迈瑞医疗</x:v>
      </x:c>
      <x:c r="C185" s="11" t="str">
        <x:v>三年</x:v>
      </x:c>
      <x:c r="D185" s="11" t="str">
        <x:v>CNY</x:v>
      </x:c>
      <x:c r="E185" s="25" t="n">
        <x:f>'情景快照'!I542</x:f>
        <x:v>0.7967781908302354</x:v>
      </x:c>
      <x:c r="F185" s="25" t="n">
        <x:f>(1+E185)*1-1</x:f>
        <x:v>0.7967781908302354</x:v>
      </x:c>
      <x:c r="G185" s="25" t="n">
        <x:f>E185</x:f>
        <x:v>0.7967781908302354</x:v>
      </x:c>
      <x:c r="H185" s="25" t="n">
        <x:f>(1+E185)*1-1</x:f>
        <x:v>0.7967781908302354</x:v>
      </x:c>
      <x:c r="I185" s="25" t="n">
        <x:f>(1+F185)^(1/3)-1</x:f>
        <x:v>0.2157141992181475</x:v>
      </x:c>
      <x:c r="J185" s="25" t="n">
        <x:f>(1+H185)^(1/3)-1</x:f>
        <x:v>0.2157141992181475</x:v>
      </x:c>
      <x:c r="K185" s="11" t="str">
        <x:v>仅投资者换汇；目标价固定，不再次改变盈利换算率</x:v>
      </x:c>
    </x:row>
    <x:row r="186" ht="23" customHeight="1">
      <x:c r="A186" s="11" t="str">
        <x:v>300760.SZ</x:v>
      </x:c>
      <x:c r="B186" s="11" t="str">
        <x:v>迈瑞医疗</x:v>
      </x:c>
      <x:c r="C186" s="11" t="str">
        <x:v>五年</x:v>
      </x:c>
      <x:c r="D186" s="11" t="str">
        <x:v>CNY</x:v>
      </x:c>
      <x:c r="E186" s="25" t="n">
        <x:f>'情景快照'!I545</x:f>
        <x:v>1.2800495662949194</x:v>
      </x:c>
      <x:c r="F186" s="25" t="n">
        <x:f>(1+E186)*1-1</x:f>
        <x:v>1.2800495662949194</x:v>
      </x:c>
      <x:c r="G186" s="25" t="n">
        <x:f>E186</x:f>
        <x:v>1.2800495662949194</x:v>
      </x:c>
      <x:c r="H186" s="25" t="n">
        <x:f>(1+E186)*1-1</x:f>
        <x:v>1.2800495662949194</x:v>
      </x:c>
      <x:c r="I186" s="25" t="n">
        <x:f>(1+F186)^(1/5)-1</x:f>
        <x:v>0.17920376638694813</x:v>
      </x:c>
      <x:c r="J186" s="25" t="n">
        <x:f>(1+H186)^(1/5)-1</x:f>
        <x:v>0.17920376638694813</x:v>
      </x:c>
      <x:c r="K186" s="11" t="str">
        <x:v>仅投资者换汇；目标价固定，不再次改变盈利换算率</x:v>
      </x:c>
    </x:row>
    <x:row r="187" ht="23" customHeight="1">
      <x:c r="A187" s="11" t="str">
        <x:v>09999.HK</x:v>
      </x:c>
      <x:c r="B187" s="11" t="str">
        <x:v>网易</x:v>
      </x:c>
      <x:c r="C187" s="11" t="str">
        <x:v>2026年底</x:v>
      </x:c>
      <x:c r="D187" s="11" t="str">
        <x:v>HKD</x:v>
      </x:c>
      <x:c r="E187" s="25" t="n">
        <x:f>'情景快照'!I548</x:f>
        <x:v>0.09147286821705425</x:v>
      </x:c>
      <x:c r="F187" s="25" t="n">
        <x:f>(1+E187)*0.95-1</x:f>
        <x:v>0.03689922480620145</x:v>
      </x:c>
      <x:c r="G187" s="25" t="n">
        <x:f>E187</x:f>
        <x:v>0.09147286821705425</x:v>
      </x:c>
      <x:c r="H187" s="25" t="n">
        <x:f>(1+E187)*1.05-1</x:f>
        <x:v>0.14604651162790705</x:v>
      </x:c>
      <x:c r="I187" s="25" t="str">
        <x:f>""</x:f>
      </x:c>
      <x:c r="J187" s="25" t="str">
        <x:f>""</x:f>
      </x:c>
      <x:c r="K187" s="11" t="str">
        <x:v>仅投资者换汇；目标价固定，不再次改变盈利换算率</x:v>
      </x:c>
    </x:row>
    <x:row r="188" ht="23" customHeight="1">
      <x:c r="A188" s="11" t="str">
        <x:v>09999.HK</x:v>
      </x:c>
      <x:c r="B188" s="11" t="str">
        <x:v>网易</x:v>
      </x:c>
      <x:c r="C188" s="11" t="str">
        <x:v>半年</x:v>
      </x:c>
      <x:c r="D188" s="11" t="str">
        <x:v>HKD</x:v>
      </x:c>
      <x:c r="E188" s="25" t="n">
        <x:f>'情景快照'!I551</x:f>
        <x:v>0.21834625322997425</x:v>
      </x:c>
      <x:c r="F188" s="25" t="n">
        <x:f>(1+E188)*0.95-1</x:f>
        <x:v>0.15742894056847545</x:v>
      </x:c>
      <x:c r="G188" s="25" t="n">
        <x:f>E188</x:f>
        <x:v>0.21834625322997425</x:v>
      </x:c>
      <x:c r="H188" s="25" t="n">
        <x:f>(1+E188)*1.05-1</x:f>
        <x:v>0.27926356589147305</x:v>
      </x:c>
      <x:c r="I188" s="25" t="str">
        <x:f>""</x:f>
      </x:c>
      <x:c r="J188" s="25" t="str">
        <x:f>""</x:f>
      </x:c>
      <x:c r="K188" s="11" t="str">
        <x:v>仅投资者换汇；目标价固定，不再次改变盈利换算率</x:v>
      </x:c>
    </x:row>
    <x:row r="189" ht="23" customHeight="1">
      <x:c r="A189" s="11" t="str">
        <x:v>09999.HK</x:v>
      </x:c>
      <x:c r="B189" s="11" t="str">
        <x:v>网易</x:v>
      </x:c>
      <x:c r="C189" s="11" t="str">
        <x:v>一年</x:v>
      </x:c>
      <x:c r="D189" s="11" t="str">
        <x:v>HKD</x:v>
      </x:c>
      <x:c r="E189" s="25" t="n">
        <x:f>'情景快照'!I554</x:f>
        <x:v>0.3509043927648581</x:v>
      </x:c>
      <x:c r="F189" s="25" t="n">
        <x:f>(1+E189)*0.95-1</x:f>
        <x:v>0.2833591731266152</x:v>
      </x:c>
      <x:c r="G189" s="25" t="n">
        <x:f>E189</x:f>
        <x:v>0.3509043927648581</x:v>
      </x:c>
      <x:c r="H189" s="25" t="n">
        <x:f>(1+E189)*1.05-1</x:f>
        <x:v>0.41844961240310097</x:v>
      </x:c>
      <x:c r="I189" s="25" t="str">
        <x:f>""</x:f>
      </x:c>
      <x:c r="J189" s="25" t="str">
        <x:f>""</x:f>
      </x:c>
      <x:c r="K189" s="11" t="str">
        <x:v>仅投资者换汇；目标价固定，不再次改变盈利换算率</x:v>
      </x:c>
    </x:row>
    <x:row r="190" ht="23" customHeight="1">
      <x:c r="A190" s="11" t="str">
        <x:v>09999.HK</x:v>
      </x:c>
      <x:c r="B190" s="11" t="str">
        <x:v>网易</x:v>
      </x:c>
      <x:c r="C190" s="11" t="str">
        <x:v>三年</x:v>
      </x:c>
      <x:c r="D190" s="11" t="str">
        <x:v>HKD</x:v>
      </x:c>
      <x:c r="E190" s="25" t="n">
        <x:f>'情景快照'!I557</x:f>
        <x:v>0.618604651162791</x:v>
      </x:c>
      <x:c r="F190" s="25" t="n">
        <x:f>(1+E190)*0.95-1</x:f>
        <x:v>0.5376744186046514</x:v>
      </x:c>
      <x:c r="G190" s="25" t="n">
        <x:f>E190</x:f>
        <x:v>0.618604651162791</x:v>
      </x:c>
      <x:c r="H190" s="25" t="n">
        <x:f>(1+E190)*1.05-1</x:f>
        <x:v>0.6995348837209305</x:v>
      </x:c>
      <x:c r="I190" s="25" t="n">
        <x:f>(1+F190)^(1/3)-1</x:f>
        <x:v>0.1542187625872702</x:v>
      </x:c>
      <x:c r="J190" s="25" t="n">
        <x:f>(1+H190)^(1/3)-1</x:f>
        <x:v>0.1933743372029164</x:v>
      </x:c>
      <x:c r="K190" s="11" t="str">
        <x:v>仅投资者换汇；目标价固定，不再次改变盈利换算率</x:v>
      </x:c>
    </x:row>
    <x:row r="191" ht="23" customHeight="1">
      <x:c r="A191" s="11" t="str">
        <x:v>09999.HK</x:v>
      </x:c>
      <x:c r="B191" s="11" t="str">
        <x:v>网易</x:v>
      </x:c>
      <x:c r="C191" s="11" t="str">
        <x:v>五年</x:v>
      </x:c>
      <x:c r="D191" s="11" t="str">
        <x:v>HKD</x:v>
      </x:c>
      <x:c r="E191" s="25" t="n">
        <x:f>'情景快照'!I560</x:f>
        <x:v>0.8573643410852716</x:v>
      </x:c>
      <x:c r="F191" s="25" t="n">
        <x:f>(1+E191)*0.95-1</x:f>
        <x:v>0.764496124031008</x:v>
      </x:c>
      <x:c r="G191" s="25" t="n">
        <x:f>E191</x:f>
        <x:v>0.8573643410852716</x:v>
      </x:c>
      <x:c r="H191" s="25" t="n">
        <x:f>(1+E191)*1.05-1</x:f>
        <x:v>0.9502325581395352</x:v>
      </x:c>
      <x:c r="I191" s="25" t="n">
        <x:f>(1+F191)^(1/5)-1</x:f>
        <x:v>0.12027370341248567</x:v>
      </x:c>
      <x:c r="J191" s="25" t="n">
        <x:f>(1+H191)^(1/5)-1</x:f>
        <x:v>0.14292381061333326</x:v>
      </x:c>
      <x:c r="K191" s="11" t="str">
        <x:v>仅投资者换汇；目标价固定，不再次改变盈利换算率</x:v>
      </x:c>
    </x:row>
    <x:row r="192" ht="23" customHeight="1">
      <x:c r="A192" s="11" t="str">
        <x:v>03759.HK</x:v>
      </x:c>
      <x:c r="B192" s="11" t="str">
        <x:v>康龙化成</x:v>
      </x:c>
      <x:c r="C192" s="11" t="str">
        <x:v>2026年底</x:v>
      </x:c>
      <x:c r="D192" s="11" t="str">
        <x:v>HKD</x:v>
      </x:c>
      <x:c r="E192" s="25" t="n">
        <x:f>'情景快照'!I563</x:f>
        <x:v>0.26391035952389585</x:v>
      </x:c>
      <x:c r="F192" s="25" t="n">
        <x:f>(1+E192)*0.95-1</x:f>
        <x:v>0.20071484154770092</x:v>
      </x:c>
      <x:c r="G192" s="25" t="n">
        <x:f>E192</x:f>
        <x:v>0.26391035952389585</x:v>
      </x:c>
      <x:c r="H192" s="25" t="n">
        <x:f>(1+E192)*1.05-1</x:f>
        <x:v>0.3271058775000908</x:v>
      </x:c>
      <x:c r="I192" s="25" t="str">
        <x:f>""</x:f>
      </x:c>
      <x:c r="J192" s="25" t="str">
        <x:f>""</x:f>
      </x:c>
      <x:c r="K192" s="11" t="str">
        <x:v>仅投资者换汇；目标价固定，不再次改变盈利换算率</x:v>
      </x:c>
    </x:row>
    <x:row r="193" ht="23" customHeight="1">
      <x:c r="A193" s="11" t="str">
        <x:v>03759.HK</x:v>
      </x:c>
      <x:c r="B193" s="11" t="str">
        <x:v>康龙化成</x:v>
      </x:c>
      <x:c r="C193" s="11" t="str">
        <x:v>半年</x:v>
      </x:c>
      <x:c r="D193" s="11" t="str">
        <x:v>HKD</x:v>
      </x:c>
      <x:c r="E193" s="25" t="n">
        <x:f>'情景快照'!I566</x:f>
        <x:v>0.35418967091845976</x:v>
      </x:c>
      <x:c r="F193" s="25" t="n">
        <x:f>(1+E193)*0.95-1</x:f>
        <x:v>0.28648018737253667</x:v>
      </x:c>
      <x:c r="G193" s="25" t="n">
        <x:f>E193</x:f>
        <x:v>0.35418967091845976</x:v>
      </x:c>
      <x:c r="H193" s="25" t="n">
        <x:f>(1+E193)*1.05-1</x:f>
        <x:v>0.42189915446438286</x:v>
      </x:c>
      <x:c r="I193" s="25" t="str">
        <x:f>""</x:f>
      </x:c>
      <x:c r="J193" s="25" t="str">
        <x:f>""</x:f>
      </x:c>
      <x:c r="K193" s="11" t="str">
        <x:v>仅投资者换汇；目标价固定，不再次改变盈利换算率</x:v>
      </x:c>
    </x:row>
    <x:row r="194" ht="23" customHeight="1">
      <x:c r="A194" s="11" t="str">
        <x:v>03759.HK</x:v>
      </x:c>
      <x:c r="B194" s="11" t="str">
        <x:v>康龙化成</x:v>
      </x:c>
      <x:c r="C194" s="11" t="str">
        <x:v>一年</x:v>
      </x:c>
      <x:c r="D194" s="11" t="str">
        <x:v>HKD</x:v>
      </x:c>
      <x:c r="E194" s="25" t="n">
        <x:f>'情景快照'!I569</x:f>
        <x:v>0.6792686910420489</x:v>
      </x:c>
      <x:c r="F194" s="25" t="n">
        <x:f>(1+E194)*0.95-1</x:f>
        <x:v>0.5953052564899464</x:v>
      </x:c>
      <x:c r="G194" s="25" t="n">
        <x:f>E194</x:f>
        <x:v>0.6792686910420489</x:v>
      </x:c>
      <x:c r="H194" s="25" t="n">
        <x:f>(1+E194)*1.05-1</x:f>
        <x:v>0.7632321255941514</x:v>
      </x:c>
      <x:c r="I194" s="25" t="str">
        <x:f>""</x:f>
      </x:c>
      <x:c r="J194" s="25" t="str">
        <x:f>""</x:f>
      </x:c>
      <x:c r="K194" s="11" t="str">
        <x:v>仅投资者换汇；目标价固定，不再次改变盈利换算率</x:v>
      </x:c>
    </x:row>
    <x:row r="195" ht="23" customHeight="1">
      <x:c r="A195" s="11" t="str">
        <x:v>03759.HK</x:v>
      </x:c>
      <x:c r="B195" s="11" t="str">
        <x:v>康龙化成</x:v>
      </x:c>
      <x:c r="C195" s="11" t="str">
        <x:v>三年</x:v>
      </x:c>
      <x:c r="D195" s="11" t="str">
        <x:v>HKD</x:v>
      </x:c>
      <x:c r="E195" s="25" t="n">
        <x:f>'情景快照'!I572</x:f>
        <x:v>0.954403083931503</x:v>
      </x:c>
      <x:c r="F195" s="25" t="n">
        <x:f>(1+E195)*0.95-1</x:f>
        <x:v>0.8566829297349277</x:v>
      </x:c>
      <x:c r="G195" s="25" t="n">
        <x:f>E195</x:f>
        <x:v>0.954403083931503</x:v>
      </x:c>
      <x:c r="H195" s="25" t="n">
        <x:f>(1+E195)*1.05-1</x:f>
        <x:v>1.052123238128078</x:v>
      </x:c>
      <x:c r="I195" s="25" t="n">
        <x:f>(1+F195)^(1/3)-1</x:f>
        <x:v>0.229077442862065</x:v>
      </x:c>
      <x:c r="J195" s="25" t="n">
        <x:f>(1+H195)^(1/3)-1</x:f>
        <x:v>0.270772514093204</x:v>
      </x:c>
      <x:c r="K195" s="11" t="str">
        <x:v>仅投资者换汇；目标价固定，不再次改变盈利换算率</x:v>
      </x:c>
    </x:row>
    <x:row r="196" ht="23" customHeight="1">
      <x:c r="A196" s="11" t="str">
        <x:v>03759.HK</x:v>
      </x:c>
      <x:c r="B196" s="11" t="str">
        <x:v>康龙化成</x:v>
      </x:c>
      <x:c r="C196" s="11" t="str">
        <x:v>五年</x:v>
      </x:c>
      <x:c r="D196" s="11" t="str">
        <x:v>HKD</x:v>
      </x:c>
      <x:c r="E196" s="25" t="n">
        <x:f>'情景快照'!I575</x:f>
        <x:v>1.3882962291094358</x:v>
      </x:c>
      <x:c r="F196" s="25" t="n">
        <x:f>(1+E196)*0.95-1</x:f>
        <x:v>1.2688814176539638</x:v>
      </x:c>
      <x:c r="G196" s="25" t="n">
        <x:f>E196</x:f>
        <x:v>1.3882962291094358</x:v>
      </x:c>
      <x:c r="H196" s="25" t="n">
        <x:f>(1+E196)*1.05-1</x:f>
        <x:v>1.507711040564908</x:v>
      </x:c>
      <x:c r="I196" s="25" t="n">
        <x:f>(1+F196)^(1/5)-1</x:f>
        <x:v>0.17804630016032252</x:v>
      </x:c>
      <x:c r="J196" s="25" t="n">
        <x:f>(1+H196)^(1/5)-1</x:f>
        <x:v>0.20186447504465144</x:v>
      </x:c>
      <x:c r="K196" s="11" t="str">
        <x:v>仅投资者换汇；目标价固定，不再次改变盈利换算率</x:v>
      </x:c>
    </x:row>
    <x:row r="197" ht="23" customHeight="1">
      <x:c r="A197" s="11" t="str">
        <x:v>09992.HK</x:v>
      </x:c>
      <x:c r="B197" s="11" t="str">
        <x:v>泡泡玛特</x:v>
      </x:c>
      <x:c r="C197" s="11" t="str">
        <x:v>2026年底</x:v>
      </x:c>
      <x:c r="D197" s="11" t="str">
        <x:v>HKD</x:v>
      </x:c>
      <x:c r="E197" s="25" t="n">
        <x:f>'情景快照'!I578</x:f>
        <x:v>0.11168745896257382</x:v>
      </x:c>
      <x:c r="F197" s="25" t="n">
        <x:f>(1+E197)*0.95-1</x:f>
        <x:v>0.056103086014445136</x:v>
      </x:c>
      <x:c r="G197" s="25" t="n">
        <x:f>E197</x:f>
        <x:v>0.11168745896257382</x:v>
      </x:c>
      <x:c r="H197" s="25" t="n">
        <x:f>(1+E197)*1.05-1</x:f>
        <x:v>0.1672718319107025</x:v>
      </x:c>
      <x:c r="I197" s="25" t="str">
        <x:f>""</x:f>
      </x:c>
      <x:c r="J197" s="25" t="str">
        <x:f>""</x:f>
      </x:c>
      <x:c r="K197" s="11" t="str">
        <x:v>仅投资者换汇；目标价固定，不再次改变盈利换算率</x:v>
      </x:c>
    </x:row>
    <x:row r="198" ht="23" customHeight="1">
      <x:c r="A198" s="11" t="str">
        <x:v>09992.HK</x:v>
      </x:c>
      <x:c r="B198" s="11" t="str">
        <x:v>泡泡玛特</x:v>
      </x:c>
      <x:c r="C198" s="11" t="str">
        <x:v>半年</x:v>
      </x:c>
      <x:c r="D198" s="11" t="str">
        <x:v>HKD</x:v>
      </x:c>
      <x:c r="E198" s="25" t="n">
        <x:f>'情景快照'!I581</x:f>
        <x:v>0.28601444517399877</x:v>
      </x:c>
      <x:c r="F198" s="25" t="n">
        <x:f>(1+E198)*0.95-1</x:f>
        <x:v>0.22171372291529878</x:v>
      </x:c>
      <x:c r="G198" s="25" t="n">
        <x:f>E198</x:f>
        <x:v>0.28601444517399877</x:v>
      </x:c>
      <x:c r="H198" s="25" t="n">
        <x:f>(1+E198)*1.05-1</x:f>
        <x:v>0.35031516743269875</x:v>
      </x:c>
      <x:c r="I198" s="25" t="str">
        <x:f>""</x:f>
      </x:c>
      <x:c r="J198" s="25" t="str">
        <x:f>""</x:f>
      </x:c>
      <x:c r="K198" s="11" t="str">
        <x:v>仅投资者换汇；目标价固定，不再次改变盈利换算率</x:v>
      </x:c>
    </x:row>
    <x:row r="199" ht="23" customHeight="1">
      <x:c r="A199" s="11" t="str">
        <x:v>09992.HK</x:v>
      </x:c>
      <x:c r="B199" s="11" t="str">
        <x:v>泡泡玛特</x:v>
      </x:c>
      <x:c r="C199" s="11" t="str">
        <x:v>一年</x:v>
      </x:c>
      <x:c r="D199" s="11" t="str">
        <x:v>HKD</x:v>
      </x:c>
      <x:c r="E199" s="25" t="n">
        <x:f>'情景快照'!I584</x:f>
        <x:v>0.585489166119501</x:v>
      </x:c>
      <x:c r="F199" s="25" t="n">
        <x:f>(1+E199)*0.95-1</x:f>
        <x:v>0.506214707813526</x:v>
      </x:c>
      <x:c r="G199" s="25" t="n">
        <x:f>E199</x:f>
        <x:v>0.585489166119501</x:v>
      </x:c>
      <x:c r="H199" s="25" t="n">
        <x:f>(1+E199)*1.05-1</x:f>
        <x:v>0.664763624425476</x:v>
      </x:c>
      <x:c r="I199" s="25" t="str">
        <x:f>""</x:f>
      </x:c>
      <x:c r="J199" s="25" t="str">
        <x:f>""</x:f>
      </x:c>
      <x:c r="K199" s="11" t="str">
        <x:v>仅投资者换汇；目标价固定，不再次改变盈利换算率</x:v>
      </x:c>
    </x:row>
    <x:row r="200" ht="23" customHeight="1">
      <x:c r="A200" s="11" t="str">
        <x:v>09992.HK</x:v>
      </x:c>
      <x:c r="B200" s="11" t="str">
        <x:v>泡泡玛特</x:v>
      </x:c>
      <x:c r="C200" s="11" t="str">
        <x:v>三年</x:v>
      </x:c>
      <x:c r="D200" s="11" t="str">
        <x:v>HKD</x:v>
      </x:c>
      <x:c r="E200" s="25" t="n">
        <x:f>'情景快照'!I587</x:f>
        <x:v>1.65193696651346</x:v>
      </x:c>
      <x:c r="F200" s="25" t="n">
        <x:f>(1+E200)*0.95-1</x:f>
        <x:v>1.5193401181877868</x:v>
      </x:c>
      <x:c r="G200" s="25" t="n">
        <x:f>E200</x:f>
        <x:v>1.65193696651346</x:v>
      </x:c>
      <x:c r="H200" s="25" t="n">
        <x:f>(1+E200)*1.05-1</x:f>
        <x:v>1.7845338148391332</x:v>
      </x:c>
      <x:c r="I200" s="25" t="n">
        <x:f>(1+F200)^(1/3)-1</x:f>
        <x:v>0.36069963248702597</x:v>
      </x:c>
      <x:c r="J200" s="25" t="n">
        <x:f>(1+H200)^(1/3)-1</x:f>
        <x:v>0.4068598386076572</x:v>
      </x:c>
      <x:c r="K200" s="11" t="str">
        <x:v>仅投资者换汇；目标价固定，不再次改变盈利换算率</x:v>
      </x:c>
    </x:row>
    <x:row r="201" ht="23" customHeight="1">
      <x:c r="A201" s="11" t="str">
        <x:v>09992.HK</x:v>
      </x:c>
      <x:c r="B201" s="11" t="str">
        <x:v>泡泡玛特</x:v>
      </x:c>
      <x:c r="C201" s="11" t="str">
        <x:v>五年</x:v>
      </x:c>
      <x:c r="D201" s="11" t="str">
        <x:v>HKD</x:v>
      </x:c>
      <x:c r="E201" s="25" t="n">
        <x:f>'情景快照'!I590</x:f>
        <x:v>2.693762311227839</x:v>
      </x:c>
      <x:c r="F201" s="25" t="n">
        <x:f>(1+E201)*0.95-1</x:f>
        <x:v>2.509074195666447</x:v>
      </x:c>
      <x:c r="G201" s="25" t="n">
        <x:f>E201</x:f>
        <x:v>2.693762311227839</x:v>
      </x:c>
      <x:c r="H201" s="25" t="n">
        <x:f>(1+E201)*1.05-1</x:f>
        <x:v>2.878450426789231</x:v>
      </x:c>
      <x:c r="I201" s="25" t="n">
        <x:f>(1+F201)^(1/5)-1</x:f>
        <x:v>0.2854006352429981</x:v>
      </x:c>
      <x:c r="J201" s="25" t="n">
        <x:f>(1+H201)^(1/5)-1</x:f>
        <x:v>0.31138933969585225</x:v>
      </x:c>
      <x:c r="K201" s="11" t="str">
        <x:v>仅投资者换汇；目标价固定，不再次改变盈利换算率</x:v>
      </x:c>
    </x:row>
    <x:row r="202" ht="23" customHeight="1">
      <x:c r="A202" s="11" t="str">
        <x:v>300363.SZ</x:v>
      </x:c>
      <x:c r="B202" s="11" t="str">
        <x:v>博腾股份</x:v>
      </x:c>
      <x:c r="C202" s="11" t="str">
        <x:v>2026年底</x:v>
      </x:c>
      <x:c r="D202" s="11" t="str">
        <x:v>CNY</x:v>
      </x:c>
      <x:c r="E202" s="25" t="n">
        <x:f>'情景快照'!I593</x:f>
        <x:v>-0.36655405405405406</x:v>
      </x:c>
      <x:c r="F202" s="25" t="n">
        <x:f>(1+E202)*1-1</x:f>
        <x:v>-0.36655405405405406</x:v>
      </x:c>
      <x:c r="G202" s="25" t="n">
        <x:f>E202</x:f>
        <x:v>-0.36655405405405406</x:v>
      </x:c>
      <x:c r="H202" s="25" t="n">
        <x:f>(1+E202)*1-1</x:f>
        <x:v>-0.36655405405405406</x:v>
      </x:c>
      <x:c r="I202" s="25" t="str">
        <x:f>""</x:f>
      </x:c>
      <x:c r="J202" s="25" t="str">
        <x:f>""</x:f>
      </x:c>
      <x:c r="K202" s="11" t="str">
        <x:v>仅投资者换汇；目标价固定，不再次改变盈利换算率</x:v>
      </x:c>
    </x:row>
    <x:row r="203" ht="23" customHeight="1">
      <x:c r="A203" s="11" t="str">
        <x:v>300363.SZ</x:v>
      </x:c>
      <x:c r="B203" s="11" t="str">
        <x:v>博腾股份</x:v>
      </x:c>
      <x:c r="C203" s="11" t="str">
        <x:v>半年</x:v>
      </x:c>
      <x:c r="D203" s="11" t="str">
        <x:v>CNY</x:v>
      </x:c>
      <x:c r="E203" s="25" t="n">
        <x:f>'情景快照'!I596</x:f>
        <x:v>-0.18918918918918926</x:v>
      </x:c>
      <x:c r="F203" s="25" t="n">
        <x:f>(1+E203)*1-1</x:f>
        <x:v>-0.18918918918918926</x:v>
      </x:c>
      <x:c r="G203" s="25" t="n">
        <x:f>E203</x:f>
        <x:v>-0.18918918918918926</x:v>
      </x:c>
      <x:c r="H203" s="25" t="n">
        <x:f>(1+E203)*1-1</x:f>
        <x:v>-0.18918918918918926</x:v>
      </x:c>
      <x:c r="I203" s="25" t="str">
        <x:f>""</x:f>
      </x:c>
      <x:c r="J203" s="25" t="str">
        <x:f>""</x:f>
      </x:c>
      <x:c r="K203" s="11" t="str">
        <x:v>仅投资者换汇；目标价固定，不再次改变盈利换算率</x:v>
      </x:c>
    </x:row>
    <x:row r="204" ht="23" customHeight="1">
      <x:c r="A204" s="11" t="str">
        <x:v>300363.SZ</x:v>
      </x:c>
      <x:c r="B204" s="11" t="str">
        <x:v>博腾股份</x:v>
      </x:c>
      <x:c r="C204" s="11" t="str">
        <x:v>一年</x:v>
      </x:c>
      <x:c r="D204" s="11" t="str">
        <x:v>CNY</x:v>
      </x:c>
      <x:c r="E204" s="25" t="n">
        <x:f>'情景快照'!I599</x:f>
        <x:v>0.016891891891891886</x:v>
      </x:c>
      <x:c r="F204" s="25" t="n">
        <x:f>(1+E204)*1-1</x:f>
        <x:v>0.016891891891891886</x:v>
      </x:c>
      <x:c r="G204" s="25" t="n">
        <x:f>E204</x:f>
        <x:v>0.016891891891891886</x:v>
      </x:c>
      <x:c r="H204" s="25" t="n">
        <x:f>(1+E204)*1-1</x:f>
        <x:v>0.016891891891891886</x:v>
      </x:c>
      <x:c r="I204" s="25" t="str">
        <x:f>""</x:f>
      </x:c>
      <x:c r="J204" s="25" t="str">
        <x:f>""</x:f>
      </x:c>
      <x:c r="K204" s="11" t="str">
        <x:v>仅投资者换汇；目标价固定，不再次改变盈利换算率</x:v>
      </x:c>
    </x:row>
    <x:row r="205" ht="23" customHeight="1">
      <x:c r="A205" s="11" t="str">
        <x:v>300363.SZ</x:v>
      </x:c>
      <x:c r="B205" s="11" t="str">
        <x:v>博腾股份</x:v>
      </x:c>
      <x:c r="C205" s="11" t="str">
        <x:v>三年</x:v>
      </x:c>
      <x:c r="D205" s="11" t="str">
        <x:v>CNY</x:v>
      </x:c>
      <x:c r="E205" s="25" t="n">
        <x:f>'情景快照'!I602</x:f>
        <x:v>0.7884290540540542</x:v>
      </x:c>
      <x:c r="F205" s="25" t="n">
        <x:f>(1+E205)*1-1</x:f>
        <x:v>0.7884290540540542</x:v>
      </x:c>
      <x:c r="G205" s="25" t="n">
        <x:f>E205</x:f>
        <x:v>0.7884290540540542</x:v>
      </x:c>
      <x:c r="H205" s="25" t="n">
        <x:f>(1+E205)*1-1</x:f>
        <x:v>0.7884290540540542</x:v>
      </x:c>
      <x:c r="I205" s="25" t="n">
        <x:f>(1+F205)^(1/3)-1</x:f>
        <x:v>0.21382824457396388</x:v>
      </x:c>
      <x:c r="J205" s="25" t="n">
        <x:f>(1+H205)^(1/3)-1</x:f>
        <x:v>0.21382824457396388</x:v>
      </x:c>
      <x:c r="K205" s="11" t="str">
        <x:v>仅投资者换汇；目标价固定，不再次改变盈利换算率</x:v>
      </x:c>
    </x:row>
    <x:row r="206" ht="23" customHeight="1">
      <x:c r="A206" s="11" t="str">
        <x:v>300363.SZ</x:v>
      </x:c>
      <x:c r="B206" s="11" t="str">
        <x:v>博腾股份</x:v>
      </x:c>
      <x:c r="C206" s="11" t="str">
        <x:v>五年</x:v>
      </x:c>
      <x:c r="D206" s="11" t="str">
        <x:v>CNY</x:v>
      </x:c>
      <x:c r="E206" s="25" t="n">
        <x:f>'情景快照'!I605</x:f>
        <x:v>1.3564189189189193</x:v>
      </x:c>
      <x:c r="F206" s="25" t="n">
        <x:f>(1+E206)*1-1</x:f>
        <x:v>1.3564189189189193</x:v>
      </x:c>
      <x:c r="G206" s="25" t="n">
        <x:f>E206</x:f>
        <x:v>1.3564189189189193</x:v>
      </x:c>
      <x:c r="H206" s="25" t="n">
        <x:f>(1+E206)*1-1</x:f>
        <x:v>1.3564189189189193</x:v>
      </x:c>
      <x:c r="I206" s="25" t="n">
        <x:f>(1+F206)^(1/5)-1</x:f>
        <x:v>0.18699940204505605</x:v>
      </x:c>
      <x:c r="J206" s="25" t="n">
        <x:f>(1+H206)^(1/5)-1</x:f>
        <x:v>0.18699940204505605</x:v>
      </x:c>
      <x:c r="K206" s="11" t="str">
        <x:v>仅投资者换汇；目标价固定，不再次改变盈利换算率</x:v>
      </x:c>
    </x:row>
    <x:row r="207" ht="23" customHeight="1">
      <x:c r="A207" s="11" t="str">
        <x:v>09995.HK</x:v>
      </x:c>
      <x:c r="B207" s="11" t="str">
        <x:v>荣昌生物</x:v>
      </x:c>
      <x:c r="C207" s="11" t="str">
        <x:v>2026年底</x:v>
      </x:c>
      <x:c r="D207" s="11" t="str">
        <x:v>HKD</x:v>
      </x:c>
      <x:c r="E207" s="25" t="n">
        <x:f>'情景快照'!I608</x:f>
        <x:v>-0.01522329097664532</x:v>
      </x:c>
      <x:c r="F207" s="25" t="n">
        <x:f>(1+E207)*0.95-1</x:f>
        <x:v>-0.06446212642781313</x:v>
      </x:c>
      <x:c r="G207" s="25" t="n">
        <x:f>E207</x:f>
        <x:v>-0.01522329097664532</x:v>
      </x:c>
      <x:c r="H207" s="25" t="n">
        <x:f>(1+E207)*1.05-1</x:f>
        <x:v>0.034015544474522486</x:v>
      </x:c>
      <x:c r="I207" s="25" t="str">
        <x:f>""</x:f>
      </x:c>
      <x:c r="J207" s="25" t="str">
        <x:f>""</x:f>
      </x:c>
      <x:c r="K207" s="11" t="str">
        <x:v>仅投资者换汇；目标价固定，不再次改变盈利换算率</x:v>
      </x:c>
    </x:row>
    <x:row r="208" ht="23" customHeight="1">
      <x:c r="A208" s="11" t="str">
        <x:v>09995.HK</x:v>
      </x:c>
      <x:c r="B208" s="11" t="str">
        <x:v>荣昌生物</x:v>
      </x:c>
      <x:c r="C208" s="11" t="str">
        <x:v>半年</x:v>
      </x:c>
      <x:c r="D208" s="11" t="str">
        <x:v>HKD</x:v>
      </x:c>
      <x:c r="E208" s="25" t="n">
        <x:f>'情景快照'!I611</x:f>
        <x:v>-0.010975116123085216</x:v>
      </x:c>
      <x:c r="F208" s="25" t="n">
        <x:f>(1+E208)*0.95-1</x:f>
        <x:v>-0.06042636031693105</x:v>
      </x:c>
      <x:c r="G208" s="25" t="n">
        <x:f>E208</x:f>
        <x:v>-0.010975116123085216</x:v>
      </x:c>
      <x:c r="H208" s="25" t="n">
        <x:f>(1+E208)*1.05-1</x:f>
        <x:v>0.03847612807076062</x:v>
      </x:c>
      <x:c r="I208" s="25" t="str">
        <x:f>""</x:f>
      </x:c>
      <x:c r="J208" s="25" t="str">
        <x:f>""</x:f>
      </x:c>
      <x:c r="K208" s="11" t="str">
        <x:v>仅投资者换汇；目标价固定，不再次改变盈利换算率</x:v>
      </x:c>
    </x:row>
    <x:row r="209" ht="23" customHeight="1">
      <x:c r="A209" s="11" t="str">
        <x:v>09995.HK</x:v>
      </x:c>
      <x:c r="B209" s="11" t="str">
        <x:v>荣昌生物</x:v>
      </x:c>
      <x:c r="C209" s="11" t="str">
        <x:v>一年</x:v>
      </x:c>
      <x:c r="D209" s="11" t="str">
        <x:v>HKD</x:v>
      </x:c>
      <x:c r="E209" s="25" t="n">
        <x:f>'情景快照'!I614</x:f>
        <x:v>0.020323799916255325</x:v>
      </x:c>
      <x:c r="F209" s="25" t="n">
        <x:f>(1+E209)*0.95-1</x:f>
        <x:v>-0.030692390079557486</x:v>
      </x:c>
      <x:c r="G209" s="25" t="n">
        <x:f>E209</x:f>
        <x:v>0.020323799916255325</x:v>
      </x:c>
      <x:c r="H209" s="25" t="n">
        <x:f>(1+E209)*1.05-1</x:f>
        <x:v>0.07133998991206814</x:v>
      </x:c>
      <x:c r="I209" s="25" t="str">
        <x:f>""</x:f>
      </x:c>
      <x:c r="J209" s="25" t="str">
        <x:f>""</x:f>
      </x:c>
      <x:c r="K209" s="11" t="str">
        <x:v>仅投资者换汇；目标价固定，不再次改变盈利换算率</x:v>
      </x:c>
    </x:row>
    <x:row r="210" ht="23" customHeight="1">
      <x:c r="A210" s="11" t="str">
        <x:v>09995.HK</x:v>
      </x:c>
      <x:c r="B210" s="11" t="str">
        <x:v>荣昌生物</x:v>
      </x:c>
      <x:c r="C210" s="11" t="str">
        <x:v>三年</x:v>
      </x:c>
      <x:c r="D210" s="11" t="str">
        <x:v>HKD</x:v>
      </x:c>
      <x:c r="E210" s="25" t="n">
        <x:f>'情景快照'!I617</x:f>
        <x:v>0.15093685095022802</x:v>
      </x:c>
      <x:c r="F210" s="25" t="n">
        <x:f>(1+E210)*0.95-1</x:f>
        <x:v>0.0933900084027166</x:v>
      </x:c>
      <x:c r="G210" s="25" t="n">
        <x:f>E210</x:f>
        <x:v>0.15093685095022802</x:v>
      </x:c>
      <x:c r="H210" s="25" t="n">
        <x:f>(1+E210)*1.05-1</x:f>
        <x:v>0.20848369349773943</x:v>
      </x:c>
      <x:c r="I210" s="25" t="n">
        <x:f>(1+F210)^(1/3)-1</x:f>
        <x:v>0.03020827421849326</x:v>
      </x:c>
      <x:c r="J210" s="25" t="n">
        <x:f>(1+H210)^(1/3)-1</x:f>
        <x:v>0.06515693235709152</x:v>
      </x:c>
      <x:c r="K210" s="11" t="str">
        <x:v>仅投资者换汇；目标价固定，不再次改变盈利换算率</x:v>
      </x:c>
    </x:row>
    <x:row r="211" ht="23" customHeight="1">
      <x:c r="A211" s="11" t="str">
        <x:v>09995.HK</x:v>
      </x:c>
      <x:c r="B211" s="11" t="str">
        <x:v>荣昌生物</x:v>
      </x:c>
      <x:c r="C211" s="11" t="str">
        <x:v>五年</x:v>
      </x:c>
      <x:c r="D211" s="11" t="str">
        <x:v>HKD</x:v>
      </x:c>
      <x:c r="E211" s="25" t="n">
        <x:f>'情景快照'!I620</x:f>
        <x:v>0.16985040385234007</x:v>
      </x:c>
      <x:c r="F211" s="25" t="n">
        <x:f>(1+E211)*0.95-1</x:f>
        <x:v>0.1113578836597231</x:v>
      </x:c>
      <x:c r="G211" s="25" t="n">
        <x:f>E211</x:f>
        <x:v>0.16985040385234007</x:v>
      </x:c>
      <x:c r="H211" s="25" t="n">
        <x:f>(1+E211)*1.05-1</x:f>
        <x:v>0.22834292404495704</x:v>
      </x:c>
      <x:c r="I211" s="25" t="n">
        <x:f>(1+F211)^(1/5)-1</x:f>
        <x:v>0.021341048563680243</x:v>
      </x:c>
      <x:c r="J211" s="25" t="n">
        <x:f>(1+H211)^(1/5)-1</x:f>
        <x:v>0.04199089883520424</x:v>
      </x:c>
      <x:c r="K211" s="11" t="str">
        <x:v>仅投资者换汇；目标价固定，不再次改变盈利换算率</x:v>
      </x:c>
    </x:row>
    <x:row r="212" ht="23" customHeight="1">
      <x:c r="A212" s="11" t="str">
        <x:v>02607.HK</x:v>
      </x:c>
      <x:c r="B212" s="11" t="str">
        <x:v>上海医药</x:v>
      </x:c>
      <x:c r="C212" s="11" t="str">
        <x:v>2026年底</x:v>
      </x:c>
      <x:c r="D212" s="11" t="str">
        <x:v>HKD</x:v>
      </x:c>
      <x:c r="E212" s="25" t="n">
        <x:f>'情景快照'!I623</x:f>
        <x:v>0.03417951042611067</x:v>
      </x:c>
      <x:c r="F212" s="25" t="n">
        <x:f>(1+E212)*0.95-1</x:f>
        <x:v>-0.01752946509519493</x:v>
      </x:c>
      <x:c r="G212" s="25" t="n">
        <x:f>E212</x:f>
        <x:v>0.03417951042611067</x:v>
      </x:c>
      <x:c r="H212" s="25" t="n">
        <x:f>(1+E212)*1.05-1</x:f>
        <x:v>0.08588848594741627</x:v>
      </x:c>
      <x:c r="I212" s="25" t="str">
        <x:f>""</x:f>
      </x:c>
      <x:c r="J212" s="25" t="str">
        <x:f>""</x:f>
      </x:c>
      <x:c r="K212" s="11" t="str">
        <x:v>仅投资者换汇；目标价固定，不再次改变盈利换算率</x:v>
      </x:c>
    </x:row>
    <x:row r="213" ht="23" customHeight="1">
      <x:c r="A213" s="11" t="str">
        <x:v>02607.HK</x:v>
      </x:c>
      <x:c r="B213" s="11" t="str">
        <x:v>上海医药</x:v>
      </x:c>
      <x:c r="C213" s="11" t="str">
        <x:v>半年</x:v>
      </x:c>
      <x:c r="D213" s="11" t="str">
        <x:v>HKD</x:v>
      </x:c>
      <x:c r="E213" s="25" t="n">
        <x:f>'情景快照'!I626</x:f>
        <x:v>0.18427017225747977</x:v>
      </x:c>
      <x:c r="F213" s="25" t="n">
        <x:f>(1+E213)*0.95-1</x:f>
        <x:v>0.12505666364460577</x:v>
      </x:c>
      <x:c r="G213" s="25" t="n">
        <x:f>E213</x:f>
        <x:v>0.18427017225747977</x:v>
      </x:c>
      <x:c r="H213" s="25" t="n">
        <x:f>(1+E213)*1.05-1</x:f>
        <x:v>0.24348368087035377</x:v>
      </x:c>
      <x:c r="I213" s="25" t="str">
        <x:f>""</x:f>
      </x:c>
      <x:c r="J213" s="25" t="str">
        <x:f>""</x:f>
      </x:c>
      <x:c r="K213" s="11" t="str">
        <x:v>仅投资者换汇；目标价固定，不再次改变盈利换算率</x:v>
      </x:c>
    </x:row>
    <x:row r="214" ht="23" customHeight="1">
      <x:c r="A214" s="11" t="str">
        <x:v>02607.HK</x:v>
      </x:c>
      <x:c r="B214" s="11" t="str">
        <x:v>上海医药</x:v>
      </x:c>
      <x:c r="C214" s="11" t="str">
        <x:v>一年</x:v>
      </x:c>
      <x:c r="D214" s="11" t="str">
        <x:v>HKD</x:v>
      </x:c>
      <x:c r="E214" s="25" t="n">
        <x:f>'情景快照'!I629</x:f>
        <x:v>0.4397098821396195</x:v>
      </x:c>
      <x:c r="F214" s="25" t="n">
        <x:f>(1+E214)*0.95-1</x:f>
        <x:v>0.3677243880326384</x:v>
      </x:c>
      <x:c r="G214" s="25" t="n">
        <x:f>E214</x:f>
        <x:v>0.4397098821396195</x:v>
      </x:c>
      <x:c r="H214" s="25" t="n">
        <x:f>(1+E214)*1.05-1</x:f>
        <x:v>0.5116953762466006</x:v>
      </x:c>
      <x:c r="I214" s="25" t="str">
        <x:f>""</x:f>
      </x:c>
      <x:c r="J214" s="25" t="str">
        <x:f>""</x:f>
      </x:c>
      <x:c r="K214" s="11" t="str">
        <x:v>仅投资者换汇；目标价固定，不再次改变盈利换算率</x:v>
      </x:c>
    </x:row>
    <x:row r="215" ht="23" customHeight="1">
      <x:c r="A215" s="11" t="str">
        <x:v>02607.HK</x:v>
      </x:c>
      <x:c r="B215" s="11" t="str">
        <x:v>上海医药</x:v>
      </x:c>
      <x:c r="C215" s="11" t="str">
        <x:v>三年</x:v>
      </x:c>
      <x:c r="D215" s="11" t="str">
        <x:v>HKD</x:v>
      </x:c>
      <x:c r="E215" s="25" t="n">
        <x:f>'情景快照'!I632</x:f>
        <x:v>1.0299184043517684</x:v>
      </x:c>
      <x:c r="F215" s="25" t="n">
        <x:f>(1+E215)*0.95-1</x:f>
        <x:v>0.9284224841341799</x:v>
      </x:c>
      <x:c r="G215" s="25" t="n">
        <x:f>E215</x:f>
        <x:v>1.0299184043517684</x:v>
      </x:c>
      <x:c r="H215" s="25" t="n">
        <x:f>(1+E215)*1.05-1</x:f>
        <x:v>1.131414324569357</x:v>
      </x:c>
      <x:c r="I215" s="25" t="n">
        <x:f>(1+F215)^(1/3)-1</x:f>
        <x:v>0.24470775528654842</x:v>
      </x:c>
      <x:c r="J215" s="25" t="n">
        <x:f>(1+H215)^(1/3)-1</x:f>
        <x:v>0.2869330673041317</x:v>
      </x:c>
      <x:c r="K215" s="11" t="str">
        <x:v>仅投资者换汇；目标价固定，不再次改变盈利换算率</x:v>
      </x:c>
    </x:row>
    <x:row r="216" ht="23" customHeight="1">
      <x:c r="A216" s="11" t="str">
        <x:v>02607.HK</x:v>
      </x:c>
      <x:c r="B216" s="11" t="str">
        <x:v>上海医药</x:v>
      </x:c>
      <x:c r="C216" s="11" t="str">
        <x:v>五年</x:v>
      </x:c>
      <x:c r="D216" s="11" t="str">
        <x:v>HKD</x:v>
      </x:c>
      <x:c r="E216" s="25" t="n">
        <x:f>'情景快照'!I635</x:f>
        <x:v>1.4660018132366277</x:v>
      </x:c>
      <x:c r="F216" s="25" t="n">
        <x:f>(1+E216)*0.95-1</x:f>
        <x:v>1.3427017225747964</x:v>
      </x:c>
      <x:c r="G216" s="25" t="n">
        <x:f>E216</x:f>
        <x:v>1.4660018132366277</x:v>
      </x:c>
      <x:c r="H216" s="25" t="n">
        <x:f>(1+E216)*1.05-1</x:f>
        <x:v>1.589301903898459</x:v>
      </x:c>
      <x:c r="I216" s="25" t="n">
        <x:f>(1+F216)^(1/5)-1</x:f>
        <x:v>0.18561421966199765</x:v>
      </x:c>
      <x:c r="J216" s="25" t="n">
        <x:f>(1+H216)^(1/5)-1</x:f>
        <x:v>0.20958540553594274</x:v>
      </x:c>
      <x:c r="K216" s="11" t="str">
        <x:v>仅投资者换汇；目标价固定，不再次改变盈利换算率</x:v>
      </x:c>
    </x:row>
    <x:row r="217" ht="23" customHeight="1">
      <x:c r="A217" s="11" t="str">
        <x:v>02096.HK</x:v>
      </x:c>
      <x:c r="B217" s="11" t="str">
        <x:v>先声药业</x:v>
      </x:c>
      <x:c r="C217" s="11" t="str">
        <x:v>2026年底</x:v>
      </x:c>
      <x:c r="D217" s="11" t="str">
        <x:v>HKD</x:v>
      </x:c>
      <x:c r="E217" s="25" t="n">
        <x:f>'情景快照'!I638</x:f>
        <x:v>0.2239619047619048</x:v>
      </x:c>
      <x:c r="F217" s="25" t="n">
        <x:f>(1+E217)*0.95-1</x:f>
        <x:v>0.16276380952380953</x:v>
      </x:c>
      <x:c r="G217" s="25" t="n">
        <x:f>E217</x:f>
        <x:v>0.2239619047619048</x:v>
      </x:c>
      <x:c r="H217" s="25" t="n">
        <x:f>(1+E217)*1.05-1</x:f>
        <x:v>0.2851600000000001</x:v>
      </x:c>
      <x:c r="I217" s="25" t="str">
        <x:f>""</x:f>
      </x:c>
      <x:c r="J217" s="25" t="str">
        <x:f>""</x:f>
      </x:c>
      <x:c r="K217" s="11" t="str">
        <x:v>仅投资者换汇；目标价固定，不再次改变盈利换算率</x:v>
      </x:c>
    </x:row>
    <x:row r="218" ht="23" customHeight="1">
      <x:c r="A218" s="11" t="str">
        <x:v>02096.HK</x:v>
      </x:c>
      <x:c r="B218" s="11" t="str">
        <x:v>先声药业</x:v>
      </x:c>
      <x:c r="C218" s="11" t="str">
        <x:v>半年</x:v>
      </x:c>
      <x:c r="D218" s="11" t="str">
        <x:v>HKD</x:v>
      </x:c>
      <x:c r="E218" s="25" t="n">
        <x:f>'情景快照'!I641</x:f>
        <x:v>0.4346649350649352</x:v>
      </x:c>
      <x:c r="F218" s="25" t="n">
        <x:f>(1+E218)*0.95-1</x:f>
        <x:v>0.3629316883116884</x:v>
      </x:c>
      <x:c r="G218" s="25" t="n">
        <x:f>E218</x:f>
        <x:v>0.4346649350649352</x:v>
      </x:c>
      <x:c r="H218" s="25" t="n">
        <x:f>(1+E218)*1.05-1</x:f>
        <x:v>0.506398181818182</x:v>
      </x:c>
      <x:c r="I218" s="25" t="str">
        <x:f>""</x:f>
      </x:c>
      <x:c r="J218" s="25" t="str">
        <x:f>""</x:f>
      </x:c>
      <x:c r="K218" s="11" t="str">
        <x:v>仅投资者换汇；目标价固定，不再次改变盈利换算率</x:v>
      </x:c>
    </x:row>
    <x:row r="219" ht="23" customHeight="1">
      <x:c r="A219" s="11" t="str">
        <x:v>02096.HK</x:v>
      </x:c>
      <x:c r="B219" s="11" t="str">
        <x:v>先声药业</x:v>
      </x:c>
      <x:c r="C219" s="11" t="str">
        <x:v>一年</x:v>
      </x:c>
      <x:c r="D219" s="11" t="str">
        <x:v>HKD</x:v>
      </x:c>
      <x:c r="E219" s="25" t="n">
        <x:f>'情景快照'!I644</x:f>
        <x:v>0.9217005017222026</x:v>
      </x:c>
      <x:c r="F219" s="25" t="n">
        <x:f>(1+E219)*0.95-1</x:f>
        <x:v>0.8256154766360924</x:v>
      </x:c>
      <x:c r="G219" s="25" t="n">
        <x:f>E219</x:f>
        <x:v>0.9217005017222026</x:v>
      </x:c>
      <x:c r="H219" s="25" t="n">
        <x:f>(1+E219)*1.05-1</x:f>
        <x:v>1.017785526808313</x:v>
      </x:c>
      <x:c r="I219" s="25" t="str">
        <x:f>""</x:f>
      </x:c>
      <x:c r="J219" s="25" t="str">
        <x:f>""</x:f>
      </x:c>
      <x:c r="K219" s="11" t="str">
        <x:v>仅投资者换汇；目标价固定，不再次改变盈利换算率</x:v>
      </x:c>
    </x:row>
    <x:row r="220" ht="23" customHeight="1">
      <x:c r="A220" s="11" t="str">
        <x:v>02096.HK</x:v>
      </x:c>
      <x:c r="B220" s="11" t="str">
        <x:v>先声药业</x:v>
      </x:c>
      <x:c r="C220" s="11" t="str">
        <x:v>三年</x:v>
      </x:c>
      <x:c r="D220" s="11" t="str">
        <x:v>HKD</x:v>
      </x:c>
      <x:c r="E220" s="25" t="n">
        <x:f>'情景快照'!I647</x:f>
        <x:v>1.4257781847929012</x:v>
      </x:c>
      <x:c r="F220" s="25" t="n">
        <x:f>(1+E220)*0.95-1</x:f>
        <x:v>1.304489275553256</x:v>
      </x:c>
      <x:c r="G220" s="25" t="n">
        <x:f>E220</x:f>
        <x:v>1.4257781847929012</x:v>
      </x:c>
      <x:c r="H220" s="25" t="n">
        <x:f>(1+E220)*1.05-1</x:f>
        <x:v>1.5470670940325464</x:v>
      </x:c>
      <x:c r="I220" s="25" t="n">
        <x:f>(1+F220)^(1/3)-1</x:f>
        <x:v>0.3208643855495106</x:v>
      </x:c>
      <x:c r="J220" s="25" t="n">
        <x:f>(1+H220)^(1/3)-1</x:f>
        <x:v>0.36567322567753036</x:v>
      </x:c>
      <x:c r="K220" s="11" t="str">
        <x:v>仅投资者换汇；目标价固定，不再次改变盈利换算率</x:v>
      </x:c>
    </x:row>
    <x:row r="221" ht="23" customHeight="1">
      <x:c r="A221" s="11" t="str">
        <x:v>02096.HK</x:v>
      </x:c>
      <x:c r="B221" s="11" t="str">
        <x:v>先声药业</x:v>
      </x:c>
      <x:c r="C221" s="11" t="str">
        <x:v>五年</x:v>
      </x:c>
      <x:c r="D221" s="11" t="str">
        <x:v>HKD</x:v>
      </x:c>
      <x:c r="E221" s="25" t="n">
        <x:f>'情景快照'!I650</x:f>
        <x:v>2.3119317058856703</x:v>
      </x:c>
      <x:c r="F221" s="25" t="n">
        <x:f>(1+E221)*0.95-1</x:f>
        <x:v>2.1463351205913868</x:v>
      </x:c>
      <x:c r="G221" s="25" t="n">
        <x:f>E221</x:f>
        <x:v>2.3119317058856703</x:v>
      </x:c>
      <x:c r="H221" s="25" t="n">
        <x:f>(1+E221)*1.05-1</x:f>
        <x:v>2.477528291179954</x:v>
      </x:c>
      <x:c r="I221" s="25" t="n">
        <x:f>(1+F221)^(1/5)-1</x:f>
        <x:v>0.25765347636530067</x:v>
      </x:c>
      <x:c r="J221" s="25" t="n">
        <x:f>(1+H221)^(1/5)-1</x:f>
        <x:v>0.2830811785191769</x:v>
      </x:c>
      <x:c r="K221" s="11" t="str">
        <x:v>仅投资者换汇；目标价固定，不再次改变盈利换算率</x:v>
      </x:c>
    </x:row>
    <x:row r="222" ht="23" customHeight="1">
      <x:c r="A222" s="11" t="str">
        <x:v>01177.HK</x:v>
      </x:c>
      <x:c r="B222" s="11" t="str">
        <x:v>中国生物制药</x:v>
      </x:c>
      <x:c r="C222" s="11" t="str">
        <x:v>2026年底</x:v>
      </x:c>
      <x:c r="D222" s="11" t="str">
        <x:v>HKD</x:v>
      </x:c>
      <x:c r="E222" s="25" t="n">
        <x:f>'情景快照'!I653</x:f>
        <x:v>0.40633137657167273</x:v>
      </x:c>
      <x:c r="F222" s="25" t="n">
        <x:f>(1+E222)*0.95-1</x:f>
        <x:v>0.3360148077430891</x:v>
      </x:c>
      <x:c r="G222" s="25" t="n">
        <x:f>E222</x:f>
        <x:v>0.40633137657167273</x:v>
      </x:c>
      <x:c r="H222" s="25" t="n">
        <x:f>(1+E222)*1.05-1</x:f>
        <x:v>0.47664794540025635</x:v>
      </x:c>
      <x:c r="I222" s="25" t="str">
        <x:f>""</x:f>
      </x:c>
      <x:c r="J222" s="25" t="str">
        <x:f>""</x:f>
      </x:c>
      <x:c r="K222" s="11" t="str">
        <x:v>仅投资者换汇；目标价固定，不再次改变盈利换算率</x:v>
      </x:c>
    </x:row>
    <x:row r="223" ht="23" customHeight="1">
      <x:c r="A223" s="11" t="str">
        <x:v>01177.HK</x:v>
      </x:c>
      <x:c r="B223" s="11" t="str">
        <x:v>中国生物制药</x:v>
      </x:c>
      <x:c r="C223" s="11" t="str">
        <x:v>半年</x:v>
      </x:c>
      <x:c r="D223" s="11" t="str">
        <x:v>HKD</x:v>
      </x:c>
      <x:c r="E223" s="25" t="n">
        <x:f>'情景快照'!I656</x:f>
        <x:v>0.5379801344681199</x:v>
      </x:c>
      <x:c r="F223" s="25" t="n">
        <x:f>(1+E223)*0.95-1</x:f>
        <x:v>0.46108112774471377</x:v>
      </x:c>
      <x:c r="G223" s="25" t="n">
        <x:f>E223</x:f>
        <x:v>0.5379801344681199</x:v>
      </x:c>
      <x:c r="H223" s="25" t="n">
        <x:f>(1+E223)*1.05-1</x:f>
        <x:v>0.614879141191526</x:v>
      </x:c>
      <x:c r="I223" s="25" t="str">
        <x:f>""</x:f>
      </x:c>
      <x:c r="J223" s="25" t="str">
        <x:f>""</x:f>
      </x:c>
      <x:c r="K223" s="11" t="str">
        <x:v>仅投资者换汇；目标价固定，不再次改变盈利换算率</x:v>
      </x:c>
    </x:row>
    <x:row r="224" ht="23" customHeight="1">
      <x:c r="A224" s="11" t="str">
        <x:v>01177.HK</x:v>
      </x:c>
      <x:c r="B224" s="11" t="str">
        <x:v>中国生物制药</x:v>
      </x:c>
      <x:c r="C224" s="11" t="str">
        <x:v>一年</x:v>
      </x:c>
      <x:c r="D224" s="11" t="str">
        <x:v>HKD</x:v>
      </x:c>
      <x:c r="E224" s="25" t="n">
        <x:f>'情景快照'!I659</x:f>
        <x:v>0.9535963995820946</x:v>
      </x:c>
      <x:c r="F224" s="25" t="n">
        <x:f>(1+E224)*0.95-1</x:f>
        <x:v>0.8559165796029897</x:v>
      </x:c>
      <x:c r="G224" s="25" t="n">
        <x:f>E224</x:f>
        <x:v>0.9535963995820946</x:v>
      </x:c>
      <x:c r="H224" s="25" t="n">
        <x:f>(1+E224)*1.05-1</x:f>
        <x:v>1.0512762195611995</x:v>
      </x:c>
      <x:c r="I224" s="25" t="str">
        <x:f>""</x:f>
      </x:c>
      <x:c r="J224" s="25" t="str">
        <x:f>""</x:f>
      </x:c>
      <x:c r="K224" s="11" t="str">
        <x:v>仅投资者换汇；目标价固定，不再次改变盈利换算率</x:v>
      </x:c>
    </x:row>
    <x:row r="225" ht="23" customHeight="1">
      <x:c r="A225" s="11" t="str">
        <x:v>01177.HK</x:v>
      </x:c>
      <x:c r="B225" s="11" t="str">
        <x:v>中国生物制药</x:v>
      </x:c>
      <x:c r="C225" s="11" t="str">
        <x:v>三年</x:v>
      </x:c>
      <x:c r="D225" s="11" t="str">
        <x:v>HKD</x:v>
      </x:c>
      <x:c r="E225" s="25" t="n">
        <x:f>'情景快照'!I662</x:f>
        <x:v>1.6038148424902667</x:v>
      </x:c>
      <x:c r="F225" s="25" t="n">
        <x:f>(1+E225)*0.95-1</x:f>
        <x:v>1.473624100365753</x:v>
      </x:c>
      <x:c r="G225" s="25" t="n">
        <x:f>E225</x:f>
        <x:v>1.6038148424902667</x:v>
      </x:c>
      <x:c r="H225" s="25" t="n">
        <x:f>(1+E225)*1.05-1</x:f>
        <x:v>1.7340055846147804</x:v>
      </x:c>
      <x:c r="I225" s="25" t="n">
        <x:f>(1+F225)^(1/3)-1</x:f>
        <x:v>0.35241890976832524</x:v>
      </x:c>
      <x:c r="J225" s="25" t="n">
        <x:f>(1+H225)^(1/3)-1</x:f>
        <x:v>0.39829820167512353</x:v>
      </x:c>
      <x:c r="K225" s="11" t="str">
        <x:v>仅投资者换汇；目标价固定，不再次改变盈利换算率</x:v>
      </x:c>
    </x:row>
    <x:row r="226" ht="23" customHeight="1">
      <x:c r="A226" s="11" t="str">
        <x:v>01177.HK</x:v>
      </x:c>
      <x:c r="B226" s="11" t="str">
        <x:v>中国生物制药</x:v>
      </x:c>
      <x:c r="C226" s="11" t="str">
        <x:v>五年</x:v>
      </x:c>
      <x:c r="D226" s="11" t="str">
        <x:v>HKD</x:v>
      </x:c>
      <x:c r="E226" s="25" t="n">
        <x:f>'情景快照'!I665</x:f>
        <x:v>2.5007336547439833</x:v>
      </x:c>
      <x:c r="F226" s="25" t="n">
        <x:f>(1+E226)*0.95-1</x:f>
        <x:v>2.325696972006784</x:v>
      </x:c>
      <x:c r="G226" s="25" t="n">
        <x:f>E226</x:f>
        <x:v>2.5007336547439833</x:v>
      </x:c>
      <x:c r="H226" s="25" t="n">
        <x:f>(1+E226)*1.05-1</x:f>
        <x:v>2.6757703374811825</x:v>
      </x:c>
      <x:c r="I226" s="25" t="n">
        <x:f>(1+F226)^(1/5)-1</x:f>
        <x:v>0.2716761755747412</x:v>
      </x:c>
      <x:c r="J226" s="25" t="n">
        <x:f>(1+H226)^(1/5)-1</x:f>
        <x:v>0.2973873938366647</x:v>
      </x:c>
      <x:c r="K226" s="11" t="str">
        <x:v>仅投资者换汇；目标价固定，不再次改变盈利换算率</x:v>
      </x:c>
    </x:row>
    <x:row r="227" ht="23" customHeight="1">
      <x:c r="A227" s="11" t="str">
        <x:v>00981.HK</x:v>
      </x:c>
      <x:c r="B227" s="11" t="str">
        <x:v>中芯国际</x:v>
      </x:c>
      <x:c r="C227" s="11" t="str">
        <x:v>2026年底</x:v>
      </x:c>
      <x:c r="D227" s="11" t="str">
        <x:v>HKD</x:v>
      </x:c>
      <x:c r="E227" s="25" t="n">
        <x:f>'情景快照'!I668</x:f>
        <x:v>0.09679098005203812</x:v>
      </x:c>
      <x:c r="F227" s="25" t="n">
        <x:f>(1+E227)*0.95-1</x:f>
        <x:v>0.041951431049436216</x:v>
      </x:c>
      <x:c r="G227" s="25" t="n">
        <x:f>E227</x:f>
        <x:v>0.09679098005203812</x:v>
      </x:c>
      <x:c r="H227" s="25" t="n">
        <x:f>(1+E227)*1.05-1</x:f>
        <x:v>0.15163052905464003</x:v>
      </x:c>
      <x:c r="I227" s="25" t="str">
        <x:f>""</x:f>
      </x:c>
      <x:c r="J227" s="25" t="str">
        <x:f>""</x:f>
      </x:c>
      <x:c r="K227" s="11" t="str">
        <x:v>仅投资者换汇；目标价固定，不再次改变盈利换算率</x:v>
      </x:c>
    </x:row>
    <x:row r="228" ht="23" customHeight="1">
      <x:c r="A228" s="11" t="str">
        <x:v>00981.HK</x:v>
      </x:c>
      <x:c r="B228" s="11" t="str">
        <x:v>中芯国际</x:v>
      </x:c>
      <x:c r="C228" s="11" t="str">
        <x:v>半年</x:v>
      </x:c>
      <x:c r="D228" s="11" t="str">
        <x:v>HKD</x:v>
      </x:c>
      <x:c r="E228" s="25" t="n">
        <x:f>'情景快照'!I671</x:f>
        <x:v>0.30529054640069386</x:v>
      </x:c>
      <x:c r="F228" s="25" t="n">
        <x:f>(1+E228)*0.95-1</x:f>
        <x:v>0.24002601908065913</x:v>
      </x:c>
      <x:c r="G228" s="25" t="n">
        <x:f>E228</x:f>
        <x:v>0.30529054640069386</x:v>
      </x:c>
      <x:c r="H228" s="25" t="n">
        <x:f>(1+E228)*1.05-1</x:f>
        <x:v>0.3705550737207286</x:v>
      </x:c>
      <x:c r="I228" s="25" t="str">
        <x:f>""</x:f>
      </x:c>
      <x:c r="J228" s="25" t="str">
        <x:f>""</x:f>
      </x:c>
      <x:c r="K228" s="11" t="str">
        <x:v>仅投资者换汇；目标价固定，不再次改变盈利换算率</x:v>
      </x:c>
    </x:row>
    <x:row r="229" ht="23" customHeight="1">
      <x:c r="A229" s="11" t="str">
        <x:v>00981.HK</x:v>
      </x:c>
      <x:c r="B229" s="11" t="str">
        <x:v>中芯国际</x:v>
      </x:c>
      <x:c r="C229" s="11" t="str">
        <x:v>一年</x:v>
      </x:c>
      <x:c r="D229" s="11" t="str">
        <x:v>HKD</x:v>
      </x:c>
      <x:c r="E229" s="25" t="n">
        <x:f>'情景快照'!I674</x:f>
        <x:v>0.44995663486556814</x:v>
      </x:c>
      <x:c r="F229" s="25" t="n">
        <x:f>(1+E229)*0.95-1</x:f>
        <x:v>0.37745880312228963</x:v>
      </x:c>
      <x:c r="G229" s="25" t="n">
        <x:f>E229</x:f>
        <x:v>0.44995663486556814</x:v>
      </x:c>
      <x:c r="H229" s="25" t="n">
        <x:f>(1+E229)*1.05-1</x:f>
        <x:v>0.5224544666088466</x:v>
      </x:c>
      <x:c r="I229" s="25" t="str">
        <x:f>""</x:f>
      </x:c>
      <x:c r="J229" s="25" t="str">
        <x:f>""</x:f>
      </x:c>
      <x:c r="K229" s="11" t="str">
        <x:v>仅投资者换汇；目标价固定，不再次改变盈利换算率</x:v>
      </x:c>
    </x:row>
    <x:row r="230" ht="23" customHeight="1">
      <x:c r="A230" s="11" t="str">
        <x:v>00981.HK</x:v>
      </x:c>
      <x:c r="B230" s="11" t="str">
        <x:v>中芯国际</x:v>
      </x:c>
      <x:c r="C230" s="11" t="str">
        <x:v>三年</x:v>
      </x:c>
      <x:c r="D230" s="11" t="str">
        <x:v>HKD</x:v>
      </x:c>
      <x:c r="E230" s="25" t="n">
        <x:f>'情景快照'!I677</x:f>
        <x:v>0.9793581960104076</x:v>
      </x:c>
      <x:c r="F230" s="25" t="n">
        <x:f>(1+E230)*0.95-1</x:f>
        <x:v>0.8803902862098871</x:v>
      </x:c>
      <x:c r="G230" s="25" t="n">
        <x:f>E230</x:f>
        <x:v>0.9793581960104076</x:v>
      </x:c>
      <x:c r="H230" s="25" t="n">
        <x:f>(1+E230)*1.05-1</x:f>
        <x:v>1.0783261058109281</x:v>
      </x:c>
      <x:c r="I230" s="25" t="n">
        <x:f>(1+F230)^(1/3)-1</x:f>
        <x:v>0.2342865589743759</x:v>
      </x:c>
      <x:c r="J230" s="25" t="n">
        <x:f>(1+H230)^(1/3)-1</x:f>
        <x:v>0.2761583436165498</x:v>
      </x:c>
      <x:c r="K230" s="11" t="str">
        <x:v>仅投资者换汇；目标价固定，不再次改变盈利换算率</x:v>
      </x:c>
    </x:row>
    <x:row r="231" ht="23" customHeight="1">
      <x:c r="A231" s="11" t="str">
        <x:v>00981.HK</x:v>
      </x:c>
      <x:c r="B231" s="11" t="str">
        <x:v>中芯国际</x:v>
      </x:c>
      <x:c r="C231" s="11" t="str">
        <x:v>五年</x:v>
      </x:c>
      <x:c r="D231" s="11" t="str">
        <x:v>HKD</x:v>
      </x:c>
      <x:c r="E231" s="25" t="n">
        <x:f>'情景快照'!I680</x:f>
        <x:v>1.2766695576756288</x:v>
      </x:c>
      <x:c r="F231" s="25" t="n">
        <x:f>(1+E231)*0.95-1</x:f>
        <x:v>1.1628360797918473</x:v>
      </x:c>
      <x:c r="G231" s="25" t="n">
        <x:f>E231</x:f>
        <x:v>1.2766695576756288</x:v>
      </x:c>
      <x:c r="H231" s="25" t="n">
        <x:f>(1+E231)*1.05-1</x:f>
        <x:v>1.3905030355594103</x:v>
      </x:c>
      <x:c r="I231" s="25" t="n">
        <x:f>(1+F231)^(1/5)-1</x:f>
        <x:v>0.16682230133432352</x:v>
      </x:c>
      <x:c r="J231" s="25" t="n">
        <x:f>(1+H231)^(1/5)-1</x:f>
        <x:v>0.19041354526788856</x:v>
      </x:c>
      <x:c r="K231" s="11" t="str">
        <x:v>仅投资者换汇；目标价固定，不再次改变盈利换算率</x:v>
      </x:c>
    </x:row>
    <x:row r="232" ht="23" customHeight="1">
      <x:c r="A232" s="11" t="str">
        <x:v>00700.HK</x:v>
      </x:c>
      <x:c r="B232" s="11" t="str">
        <x:v>腾讯控股</x:v>
      </x:c>
      <x:c r="C232" s="11" t="str">
        <x:v>2026年底</x:v>
      </x:c>
      <x:c r="D232" s="11" t="str">
        <x:v>HKD</x:v>
      </x:c>
      <x:c r="E232" s="25" t="n">
        <x:f>'情景快照'!I683</x:f>
        <x:v>0.1600753295668551</x:v>
      </x:c>
      <x:c r="F232" s="25" t="n">
        <x:f>(1+E232)*0.95-1</x:f>
        <x:v>0.10207156308851228</x:v>
      </x:c>
      <x:c r="G232" s="25" t="n">
        <x:f>E232</x:f>
        <x:v>0.1600753295668551</x:v>
      </x:c>
      <x:c r="H232" s="25" t="n">
        <x:f>(1+E232)*1.05-1</x:f>
        <x:v>0.21807909604519793</x:v>
      </x:c>
      <x:c r="I232" s="25" t="str">
        <x:f>""</x:f>
      </x:c>
      <x:c r="J232" s="25" t="str">
        <x:f>""</x:f>
      </x:c>
      <x:c r="K232" s="11" t="str">
        <x:v>仅投资者换汇；目标价固定，不再次改变盈利换算率</x:v>
      </x:c>
    </x:row>
    <x:row r="233" ht="23" customHeight="1">
      <x:c r="A233" s="11" t="str">
        <x:v>00700.HK</x:v>
      </x:c>
      <x:c r="B233" s="11" t="str">
        <x:v>腾讯控股</x:v>
      </x:c>
      <x:c r="C233" s="11" t="str">
        <x:v>半年</x:v>
      </x:c>
      <x:c r="D233" s="11" t="str">
        <x:v>HKD</x:v>
      </x:c>
      <x:c r="E233" s="25" t="n">
        <x:f>'情景快照'!I686</x:f>
        <x:v>0.32062146892655363</x:v>
      </x:c>
      <x:c r="F233" s="25" t="n">
        <x:f>(1+E233)*0.95-1</x:f>
        <x:v>0.254590395480226</x:v>
      </x:c>
      <x:c r="G233" s="25" t="n">
        <x:f>E233</x:f>
        <x:v>0.32062146892655363</x:v>
      </x:c>
      <x:c r="H233" s="25" t="n">
        <x:f>(1+E233)*1.05-1</x:f>
        <x:v>0.38665254237288127</x:v>
      </x:c>
      <x:c r="I233" s="25" t="str">
        <x:f>""</x:f>
      </x:c>
      <x:c r="J233" s="25" t="str">
        <x:f>""</x:f>
      </x:c>
      <x:c r="K233" s="11" t="str">
        <x:v>仅投资者换汇；目标价固定，不再次改变盈利换算率</x:v>
      </x:c>
    </x:row>
    <x:row r="234" ht="23" customHeight="1">
      <x:c r="A234" s="11" t="str">
        <x:v>00700.HK</x:v>
      </x:c>
      <x:c r="B234" s="11" t="str">
        <x:v>腾讯控股</x:v>
      </x:c>
      <x:c r="C234" s="11" t="str">
        <x:v>一年</x:v>
      </x:c>
      <x:c r="D234" s="11" t="str">
        <x:v>HKD</x:v>
      </x:c>
      <x:c r="E234" s="25" t="n">
        <x:f>'情景快照'!I689</x:f>
        <x:v>0.5040018832391713</x:v>
      </x:c>
      <x:c r="F234" s="25" t="n">
        <x:f>(1+E234)*0.95-1</x:f>
        <x:v>0.42880178907721267</x:v>
      </x:c>
      <x:c r="G234" s="25" t="n">
        <x:f>E234</x:f>
        <x:v>0.5040018832391713</x:v>
      </x:c>
      <x:c r="H234" s="25" t="n">
        <x:f>(1+E234)*1.05-1</x:f>
        <x:v>0.5792019774011299</x:v>
      </x:c>
      <x:c r="I234" s="25" t="str">
        <x:f>""</x:f>
      </x:c>
      <x:c r="J234" s="25" t="str">
        <x:f>""</x:f>
      </x:c>
      <x:c r="K234" s="11" t="str">
        <x:v>仅投资者换汇；目标价固定，不再次改变盈利换算率</x:v>
      </x:c>
    </x:row>
    <x:row r="235" ht="23" customHeight="1">
      <x:c r="A235" s="11" t="str">
        <x:v>00700.HK</x:v>
      </x:c>
      <x:c r="B235" s="11" t="str">
        <x:v>腾讯控股</x:v>
      </x:c>
      <x:c r="C235" s="11" t="str">
        <x:v>三年</x:v>
      </x:c>
      <x:c r="D235" s="11" t="str">
        <x:v>HKD</x:v>
      </x:c>
      <x:c r="E235" s="25" t="n">
        <x:f>'情景快照'!I692</x:f>
        <x:v>0.8032015065913374</x:v>
      </x:c>
      <x:c r="F235" s="25" t="n">
        <x:f>(1+E235)*0.95-1</x:f>
        <x:v>0.7130414312617703</x:v>
      </x:c>
      <x:c r="G235" s="25" t="n">
        <x:f>E235</x:f>
        <x:v>0.8032015065913374</x:v>
      </x:c>
      <x:c r="H235" s="25" t="n">
        <x:f>(1+E235)*1.05-1</x:f>
        <x:v>0.8933615819209044</x:v>
      </x:c>
      <x:c r="I235" s="25" t="n">
        <x:f>(1+F235)^(1/3)-1</x:f>
        <x:v>0.19652732850228638</x:v>
      </x:c>
      <x:c r="J235" s="25" t="n">
        <x:f>(1+H235)^(1/3)-1</x:f>
        <x:v>0.23711817367778143</x:v>
      </x:c>
      <x:c r="K235" s="11" t="str">
        <x:v>仅投资者换汇；目标价固定，不再次改变盈利换算率</x:v>
      </x:c>
    </x:row>
    <x:row r="236" ht="23" customHeight="1">
      <x:c r="A236" s="11" t="str">
        <x:v>00700.HK</x:v>
      </x:c>
      <x:c r="B236" s="11" t="str">
        <x:v>腾讯控股</x:v>
      </x:c>
      <x:c r="C236" s="11" t="str">
        <x:v>五年</x:v>
      </x:c>
      <x:c r="D236" s="11" t="str">
        <x:v>HKD</x:v>
      </x:c>
      <x:c r="E236" s="25" t="n">
        <x:f>'情景快照'!I695</x:f>
        <x:v>1.1539548022598871</x:v>
      </x:c>
      <x:c r="F236" s="25" t="n">
        <x:f>(1+E236)*0.95-1</x:f>
        <x:v>1.0462570621468927</x:v>
      </x:c>
      <x:c r="G236" s="25" t="n">
        <x:f>E236</x:f>
        <x:v>1.1539548022598871</x:v>
      </x:c>
      <x:c r="H236" s="25" t="n">
        <x:f>(1+E236)*1.05-1</x:f>
        <x:v>1.2616525423728815</x:v>
      </x:c>
      <x:c r="I236" s="25" t="n">
        <x:f>(1+F236)^(1/5)-1</x:f>
        <x:v>0.1539634096705904</x:v>
      </x:c>
      <x:c r="J236" s="25" t="n">
        <x:f>(1+H236)^(1/5)-1</x:f>
        <x:v>0.17729466778659986</x:v>
      </x:c>
      <x:c r="K236" s="11" t="str">
        <x:v>仅投资者换汇；目标价固定，不再次改变盈利换算率</x:v>
      </x:c>
    </x:row>
    <x:row r="237" ht="23" customHeight="1">
      <x:c r="A237" s="11" t="str">
        <x:v>09961.HK</x:v>
      </x:c>
      <x:c r="B237" s="11" t="str">
        <x:v>携程集团-S</x:v>
      </x:c>
      <x:c r="C237" s="11" t="str">
        <x:v>2026年底</x:v>
      </x:c>
      <x:c r="D237" s="11" t="str">
        <x:v>HKD</x:v>
      </x:c>
      <x:c r="E237" s="25" t="n">
        <x:f>'情景快照'!I698</x:f>
        <x:v>0.41767411300919854</x:v>
      </x:c>
      <x:c r="F237" s="25" t="n">
        <x:f>(1+E237)*0.95-1</x:f>
        <x:v>0.34679040735873845</x:v>
      </x:c>
      <x:c r="G237" s="25" t="n">
        <x:f>E237</x:f>
        <x:v>0.41767411300919854</x:v>
      </x:c>
      <x:c r="H237" s="25" t="n">
        <x:f>(1+E237)*1.05-1</x:f>
        <x:v>0.48855781865965864</x:v>
      </x:c>
      <x:c r="I237" s="25" t="str">
        <x:f>""</x:f>
      </x:c>
      <x:c r="J237" s="25" t="str">
        <x:f>""</x:f>
      </x:c>
      <x:c r="K237" s="11" t="str">
        <x:v>仅投资者换汇；目标价固定，不再次改变盈利换算率</x:v>
      </x:c>
    </x:row>
    <x:row r="238" ht="23" customHeight="1">
      <x:c r="A238" s="11" t="str">
        <x:v>09961.HK</x:v>
      </x:c>
      <x:c r="B238" s="11" t="str">
        <x:v>携程集团-S</x:v>
      </x:c>
      <x:c r="C238" s="11" t="str">
        <x:v>半年</x:v>
      </x:c>
      <x:c r="D238" s="11" t="str">
        <x:v>HKD</x:v>
      </x:c>
      <x:c r="E238" s="25" t="n">
        <x:f>'情景快照'!I701</x:f>
        <x:v>0.5371550591327203</x:v>
      </x:c>
      <x:c r="F238" s="25" t="n">
        <x:f>(1+E238)*0.95-1</x:f>
        <x:v>0.4602973061760842</x:v>
      </x:c>
      <x:c r="G238" s="25" t="n">
        <x:f>E238</x:f>
        <x:v>0.5371550591327203</x:v>
      </x:c>
      <x:c r="H238" s="25" t="n">
        <x:f>(1+E238)*1.05-1</x:f>
        <x:v>0.6140128120893564</x:v>
      </x:c>
      <x:c r="I238" s="25" t="str">
        <x:f>""</x:f>
      </x:c>
      <x:c r="J238" s="25" t="str">
        <x:f>""</x:f>
      </x:c>
      <x:c r="K238" s="11" t="str">
        <x:v>仅投资者换汇；目标价固定，不再次改变盈利换算率</x:v>
      </x:c>
    </x:row>
    <x:row r="239" ht="23" customHeight="1">
      <x:c r="A239" s="11" t="str">
        <x:v>09961.HK</x:v>
      </x:c>
      <x:c r="B239" s="11" t="str">
        <x:v>携程集团-S</x:v>
      </x:c>
      <x:c r="C239" s="11" t="str">
        <x:v>一年</x:v>
      </x:c>
      <x:c r="D239" s="11" t="str">
        <x:v>HKD</x:v>
      </x:c>
      <x:c r="E239" s="25" t="n">
        <x:f>'情景快照'!I704</x:f>
        <x:v>0.7090341655716166</x:v>
      </x:c>
      <x:c r="F239" s="25" t="n">
        <x:f>(1+E239)*0.95-1</x:f>
        <x:v>0.6235824572930357</x:v>
      </x:c>
      <x:c r="G239" s="25" t="n">
        <x:f>E239</x:f>
        <x:v>0.7090341655716166</x:v>
      </x:c>
      <x:c r="H239" s="25" t="n">
        <x:f>(1+E239)*1.05-1</x:f>
        <x:v>0.7944858738501974</x:v>
      </x:c>
      <x:c r="I239" s="25" t="str">
        <x:f>""</x:f>
      </x:c>
      <x:c r="J239" s="25" t="str">
        <x:f>""</x:f>
      </x:c>
      <x:c r="K239" s="11" t="str">
        <x:v>仅投资者换汇；目标价固定，不再次改变盈利换算率</x:v>
      </x:c>
    </x:row>
    <x:row r="240" ht="23" customHeight="1">
      <x:c r="A240" s="11" t="str">
        <x:v>09961.HK</x:v>
      </x:c>
      <x:c r="B240" s="11" t="str">
        <x:v>携程集团-S</x:v>
      </x:c>
      <x:c r="C240" s="11" t="str">
        <x:v>三年</x:v>
      </x:c>
      <x:c r="D240" s="11" t="str">
        <x:v>HKD</x:v>
      </x:c>
      <x:c r="E240" s="25" t="n">
        <x:f>'情景快照'!I707</x:f>
        <x:v>1.3928712220762156</x:v>
      </x:c>
      <x:c r="F240" s="25" t="n">
        <x:f>(1+E240)*0.95-1</x:f>
        <x:v>1.2732276609724047</x:v>
      </x:c>
      <x:c r="G240" s="25" t="n">
        <x:f>E240</x:f>
        <x:v>1.3928712220762156</x:v>
      </x:c>
      <x:c r="H240" s="25" t="n">
        <x:f>(1+E240)*1.05-1</x:f>
        <x:v>1.5125147831800265</x:v>
      </x:c>
      <x:c r="I240" s="25" t="n">
        <x:f>(1+F240)^(1/3)-1</x:f>
        <x:v>0.31486443126645525</x:v>
      </x:c>
      <x:c r="J240" s="25" t="n">
        <x:f>(1+H240)^(1/3)-1</x:f>
        <x:v>0.35946972968710056</x:v>
      </x:c>
      <x:c r="K240" s="11" t="str">
        <x:v>仅投资者换汇；目标价固定，不再次改变盈利换算率</x:v>
      </x:c>
    </x:row>
    <x:row r="241" ht="23" customHeight="1">
      <x:c r="A241" s="11" t="str">
        <x:v>09961.HK</x:v>
      </x:c>
      <x:c r="B241" s="11" t="str">
        <x:v>携程集团-S</x:v>
      </x:c>
      <x:c r="C241" s="11" t="str">
        <x:v>五年</x:v>
      </x:c>
      <x:c r="D241" s="11" t="str">
        <x:v>HKD</x:v>
      </x:c>
      <x:c r="E241" s="25" t="n">
        <x:f>'情景快照'!I710</x:f>
        <x:v>1.872109067017083</x:v>
      </x:c>
      <x:c r="F241" s="25" t="n">
        <x:f>(1+E241)*0.95-1</x:f>
        <x:v>1.7285036136662288</x:v>
      </x:c>
      <x:c r="G241" s="25" t="n">
        <x:f>E241</x:f>
        <x:v>1.872109067017083</x:v>
      </x:c>
      <x:c r="H241" s="25" t="n">
        <x:f>(1+E241)*1.05-1</x:f>
        <x:v>2.015714520367937</x:v>
      </x:c>
      <x:c r="I241" s="25" t="n">
        <x:f>(1+F241)^(1/5)-1</x:f>
        <x:v>0.22231996840220392</x:v>
      </x:c>
      <x:c r="J241" s="25" t="n">
        <x:f>(1+H241)^(1/5)-1</x:f>
        <x:v>0.24703328465136054</x:v>
      </x:c>
      <x:c r="K241" s="11" t="str">
        <x:v>仅投资者换汇；目标价固定，不再次改变盈利换算率</x:v>
      </x:c>
    </x:row>
    <x:row r="242" ht="23" customHeight="1">
      <x:c r="A242" s="11" t="str">
        <x:v>603259.SH</x:v>
      </x:c>
      <x:c r="B242" s="11" t="str">
        <x:v>药明康德</x:v>
      </x:c>
      <x:c r="C242" s="11" t="str">
        <x:v>2026年底</x:v>
      </x:c>
      <x:c r="D242" s="11" t="str">
        <x:v>CNY</x:v>
      </x:c>
      <x:c r="E242" s="25" t="n">
        <x:f>'情景快照'!I713</x:f>
        <x:v>0.14321926489226855</x:v>
      </x:c>
      <x:c r="F242" s="25" t="n">
        <x:f>(1+E242)*1-1</x:f>
        <x:v>0.14321926489226855</x:v>
      </x:c>
      <x:c r="G242" s="25" t="n">
        <x:f>E242</x:f>
        <x:v>0.14321926489226855</x:v>
      </x:c>
      <x:c r="H242" s="25" t="n">
        <x:f>(1+E242)*1-1</x:f>
        <x:v>0.14321926489226855</x:v>
      </x:c>
      <x:c r="I242" s="25" t="str">
        <x:f>""</x:f>
      </x:c>
      <x:c r="J242" s="25" t="str">
        <x:f>""</x:f>
      </x:c>
      <x:c r="K242" s="11" t="str">
        <x:v>仅投资者换汇；目标价固定，不再次改变盈利换算率</x:v>
      </x:c>
    </x:row>
    <x:row r="243" ht="23" customHeight="1">
      <x:c r="A243" s="11" t="str">
        <x:v>603259.SH</x:v>
      </x:c>
      <x:c r="B243" s="11" t="str">
        <x:v>药明康德</x:v>
      </x:c>
      <x:c r="C243" s="11" t="str">
        <x:v>半年</x:v>
      </x:c>
      <x:c r="D243" s="11" t="str">
        <x:v>CNY</x:v>
      </x:c>
      <x:c r="E243" s="25" t="n">
        <x:f>'情景快照'!I716</x:f>
        <x:v>0.2826362484157161</x:v>
      </x:c>
      <x:c r="F243" s="25" t="n">
        <x:f>(1+E243)*1-1</x:f>
        <x:v>0.2826362484157161</x:v>
      </x:c>
      <x:c r="G243" s="25" t="n">
        <x:f>E243</x:f>
        <x:v>0.2826362484157161</x:v>
      </x:c>
      <x:c r="H243" s="25" t="n">
        <x:f>(1+E243)*1-1</x:f>
        <x:v>0.2826362484157161</x:v>
      </x:c>
      <x:c r="I243" s="25" t="str">
        <x:f>""</x:f>
      </x:c>
      <x:c r="J243" s="25" t="str">
        <x:f>""</x:f>
      </x:c>
      <x:c r="K243" s="11" t="str">
        <x:v>仅投资者换汇；目标价固定，不再次改变盈利换算率</x:v>
      </x:c>
    </x:row>
    <x:row r="244" ht="23" customHeight="1">
      <x:c r="A244" s="11" t="str">
        <x:v>603259.SH</x:v>
      </x:c>
      <x:c r="B244" s="11" t="str">
        <x:v>药明康德</x:v>
      </x:c>
      <x:c r="C244" s="11" t="str">
        <x:v>一年</x:v>
      </x:c>
      <x:c r="D244" s="11" t="str">
        <x:v>CNY</x:v>
      </x:c>
      <x:c r="E244" s="25" t="n">
        <x:f>'情景快照'!I719</x:f>
        <x:v>0.39607097591888474</x:v>
      </x:c>
      <x:c r="F244" s="25" t="n">
        <x:f>(1+E244)*1-1</x:f>
        <x:v>0.39607097591888474</x:v>
      </x:c>
      <x:c r="G244" s="25" t="n">
        <x:f>E244</x:f>
        <x:v>0.39607097591888474</x:v>
      </x:c>
      <x:c r="H244" s="25" t="n">
        <x:f>(1+E244)*1-1</x:f>
        <x:v>0.39607097591888474</x:v>
      </x:c>
      <x:c r="I244" s="25" t="str">
        <x:f>""</x:f>
      </x:c>
      <x:c r="J244" s="25" t="str">
        <x:f>""</x:f>
      </x:c>
      <x:c r="K244" s="11" t="str">
        <x:v>仅投资者换汇；目标价固定，不再次改变盈利换算率</x:v>
      </x:c>
    </x:row>
    <x:row r="245" ht="23" customHeight="1">
      <x:c r="A245" s="11" t="str">
        <x:v>603259.SH</x:v>
      </x:c>
      <x:c r="B245" s="11" t="str">
        <x:v>药明康德</x:v>
      </x:c>
      <x:c r="C245" s="11" t="str">
        <x:v>三年</x:v>
      </x:c>
      <x:c r="D245" s="11" t="str">
        <x:v>CNY</x:v>
      </x:c>
      <x:c r="E245" s="25" t="n">
        <x:f>'情景快照'!I722</x:f>
        <x:v>0.7870722433460076</x:v>
      </x:c>
      <x:c r="F245" s="25" t="n">
        <x:f>(1+E245)*1-1</x:f>
        <x:v>0.7870722433460076</x:v>
      </x:c>
      <x:c r="G245" s="25" t="n">
        <x:f>E245</x:f>
        <x:v>0.7870722433460076</x:v>
      </x:c>
      <x:c r="H245" s="25" t="n">
        <x:f>(1+E245)*1-1</x:f>
        <x:v>0.7870722433460076</x:v>
      </x:c>
      <x:c r="I245" s="25" t="n">
        <x:f>(1+F245)^(1/3)-1</x:f>
        <x:v>0.21352120568227106</x:v>
      </x:c>
      <x:c r="J245" s="25" t="n">
        <x:f>(1+H245)^(1/3)-1</x:f>
        <x:v>0.21352120568227106</x:v>
      </x:c>
      <x:c r="K245" s="11" t="str">
        <x:v>仅投资者换汇；目标价固定，不再次改变盈利换算率</x:v>
      </x:c>
    </x:row>
    <x:row r="246" ht="23" customHeight="1">
      <x:c r="A246" s="11" t="str">
        <x:v>603259.SH</x:v>
      </x:c>
      <x:c r="B246" s="11" t="str">
        <x:v>药明康德</x:v>
      </x:c>
      <x:c r="C246" s="11" t="str">
        <x:v>五年</x:v>
      </x:c>
      <x:c r="D246" s="11" t="str">
        <x:v>CNY</x:v>
      </x:c>
      <x:c r="E246" s="25" t="n">
        <x:f>'情景快照'!I725</x:f>
        <x:v>1.0532319391634979</x:v>
      </x:c>
      <x:c r="F246" s="25" t="n">
        <x:f>(1+E246)*1-1</x:f>
        <x:v>1.0532319391634979</x:v>
      </x:c>
      <x:c r="G246" s="25" t="n">
        <x:f>E246</x:f>
        <x:v>1.0532319391634979</x:v>
      </x:c>
      <x:c r="H246" s="25" t="n">
        <x:f>(1+E246)*1-1</x:f>
        <x:v>1.0532319391634979</x:v>
      </x:c>
      <x:c r="I246" s="25" t="n">
        <x:f>(1+F246)^(1/5)-1</x:f>
        <x:v>0.15474901978803013</x:v>
      </x:c>
      <x:c r="J246" s="25" t="n">
        <x:f>(1+H246)^(1/5)-1</x:f>
        <x:v>0.15474901978803013</x:v>
      </x:c>
      <x:c r="K246" s="11" t="str">
        <x:v>仅投资者换汇；目标价固定，不再次改变盈利换算率</x:v>
      </x:c>
    </x:row>
    <x:row r="247" ht="23" customHeight="1">
      <x:c r="A247" s="11" t="str">
        <x:v>02359.HK</x:v>
      </x:c>
      <x:c r="B247" s="11" t="str">
        <x:v>药明康德</x:v>
      </x:c>
      <x:c r="C247" s="11" t="str">
        <x:v>2026年底</x:v>
      </x:c>
      <x:c r="D247" s="11" t="str">
        <x:v>HKD</x:v>
      </x:c>
      <x:c r="E247" s="25" t="n">
        <x:f>'情景快照'!I728</x:f>
        <x:v>0.04076923076923067</x:v>
      </x:c>
      <x:c r="F247" s="25" t="n">
        <x:f>(1+E247)*0.95-1</x:f>
        <x:v>-0.01126923076923092</x:v>
      </x:c>
      <x:c r="G247" s="25" t="n">
        <x:f>E247</x:f>
        <x:v>0.04076923076923067</x:v>
      </x:c>
      <x:c r="H247" s="25" t="n">
        <x:f>(1+E247)*1.05-1</x:f>
        <x:v>0.09280769230769215</x:v>
      </x:c>
      <x:c r="I247" s="25" t="str">
        <x:f>""</x:f>
      </x:c>
      <x:c r="J247" s="25" t="str">
        <x:f>""</x:f>
      </x:c>
      <x:c r="K247" s="11" t="str">
        <x:v>仅投资者换汇；目标价固定，不再次改变盈利换算率</x:v>
      </x:c>
    </x:row>
    <x:row r="248" ht="23" customHeight="1">
      <x:c r="A248" s="11" t="str">
        <x:v>02359.HK</x:v>
      </x:c>
      <x:c r="B248" s="11" t="str">
        <x:v>药明康德</x:v>
      </x:c>
      <x:c r="C248" s="11" t="str">
        <x:v>半年</x:v>
      </x:c>
      <x:c r="D248" s="11" t="str">
        <x:v>HKD</x:v>
      </x:c>
      <x:c r="E248" s="25" t="n">
        <x:f>'情景快照'!I731</x:f>
        <x:v>0.16346153846153877</x:v>
      </x:c>
      <x:c r="F248" s="25" t="n">
        <x:f>(1+E248)*0.95-1</x:f>
        <x:v>0.10528846153846172</x:v>
      </x:c>
      <x:c r="G248" s="25" t="n">
        <x:f>E248</x:f>
        <x:v>0.16346153846153877</x:v>
      </x:c>
      <x:c r="H248" s="25" t="n">
        <x:f>(1+E248)*1.05-1</x:f>
        <x:v>0.22163461538461582</x:v>
      </x:c>
      <x:c r="I248" s="25" t="str">
        <x:f>""</x:f>
      </x:c>
      <x:c r="J248" s="25" t="str">
        <x:f>""</x:f>
      </x:c>
      <x:c r="K248" s="11" t="str">
        <x:v>仅投资者换汇；目标价固定，不再次改变盈利换算率</x:v>
      </x:c>
    </x:row>
    <x:row r="249" ht="23" customHeight="1">
      <x:c r="A249" s="11" t="str">
        <x:v>02359.HK</x:v>
      </x:c>
      <x:c r="B249" s="11" t="str">
        <x:v>药明康德</x:v>
      </x:c>
      <x:c r="C249" s="11" t="str">
        <x:v>一年</x:v>
      </x:c>
      <x:c r="D249" s="11" t="str">
        <x:v>HKD</x:v>
      </x:c>
      <x:c r="E249" s="25" t="n">
        <x:f>'情景快照'!I734</x:f>
        <x:v>0.2655288461538463</x:v>
      </x:c>
      <x:c r="F249" s="25" t="n">
        <x:f>(1+E249)*0.95-1</x:f>
        <x:v>0.20225240384615395</x:v>
      </x:c>
      <x:c r="G249" s="25" t="n">
        <x:f>E249</x:f>
        <x:v>0.2655288461538463</x:v>
      </x:c>
      <x:c r="H249" s="25" t="n">
        <x:f>(1+E249)*1.05-1</x:f>
        <x:v>0.32880528846153867</x:v>
      </x:c>
      <x:c r="I249" s="25" t="str">
        <x:f>""</x:f>
      </x:c>
      <x:c r="J249" s="25" t="str">
        <x:f>""</x:f>
      </x:c>
      <x:c r="K249" s="11" t="str">
        <x:v>仅投资者换汇；目标价固定，不再次改变盈利换算率</x:v>
      </x:c>
    </x:row>
    <x:row r="250" ht="23" customHeight="1">
      <x:c r="A250" s="11" t="str">
        <x:v>02359.HK</x:v>
      </x:c>
      <x:c r="B250" s="11" t="str">
        <x:v>药明康德</x:v>
      </x:c>
      <x:c r="C250" s="11" t="str">
        <x:v>三年</x:v>
      </x:c>
      <x:c r="D250" s="11" t="str">
        <x:v>HKD</x:v>
      </x:c>
      <x:c r="E250" s="25" t="n">
        <x:f>'情景快照'!I737</x:f>
        <x:v>0.6235576923076922</x:v>
      </x:c>
      <x:c r="F250" s="25" t="n">
        <x:f>(1+E250)*0.95-1</x:f>
        <x:v>0.5423798076923074</x:v>
      </x:c>
      <x:c r="G250" s="25" t="n">
        <x:f>E250</x:f>
        <x:v>0.6235576923076922</x:v>
      </x:c>
      <x:c r="H250" s="25" t="n">
        <x:f>(1+E250)*1.05-1</x:f>
        <x:v>0.704735576923077</x:v>
      </x:c>
      <x:c r="I250" s="25" t="n">
        <x:f>(1+F250)^(1/3)-1</x:f>
        <x:v>0.15539489322322764</x:v>
      </x:c>
      <x:c r="J250" s="25" t="n">
        <x:f>(1+H250)^(1/3)-1</x:f>
        <x:v>0.19459036674917307</x:v>
      </x:c>
      <x:c r="K250" s="11" t="str">
        <x:v>仅投资者换汇；目标价固定，不再次改变盈利换算率</x:v>
      </x:c>
    </x:row>
    <x:row r="251" ht="23" customHeight="1">
      <x:c r="A251" s="11" t="str">
        <x:v>02359.HK</x:v>
      </x:c>
      <x:c r="B251" s="11" t="str">
        <x:v>药明康德</x:v>
      </x:c>
      <x:c r="C251" s="11" t="str">
        <x:v>五年</x:v>
      </x:c>
      <x:c r="D251" s="11" t="str">
        <x:v>HKD</x:v>
      </x:c>
      <x:c r="E251" s="25" t="n">
        <x:f>'情景快照'!I740</x:f>
        <x:v>0.8774038461538463</x:v>
      </x:c>
      <x:c r="F251" s="25" t="n">
        <x:f>(1+E251)*0.95-1</x:f>
        <x:v>0.7835336538461539</x:v>
      </x:c>
      <x:c r="G251" s="25" t="n">
        <x:f>E251</x:f>
        <x:v>0.8774038461538463</x:v>
      </x:c>
      <x:c r="H251" s="25" t="n">
        <x:f>(1+E251)*1.05-1</x:f>
        <x:v>0.9712740384615386</x:v>
      </x:c>
      <x:c r="I251" s="25" t="n">
        <x:f>(1+F251)^(1/5)-1</x:f>
        <x:v>0.1226807128034193</x:v>
      </x:c>
      <x:c r="J251" s="25" t="n">
        <x:f>(1+H251)^(1/5)-1</x:f>
        <x:v>0.14537948580850024</x:v>
      </x:c>
      <x:c r="K251" s="11" t="str">
        <x:v>仅投资者换汇；目标价固定，不再次改变盈利换算率</x:v>
      </x:c>
    </x:row>
    <x:row r="252" ht="23" customHeight="1">
      <x:c r="A252" s="11" t="str">
        <x:v>02269.HK</x:v>
      </x:c>
      <x:c r="B252" s="11" t="str">
        <x:v>药明生物</x:v>
      </x:c>
      <x:c r="C252" s="11" t="str">
        <x:v>2026年底</x:v>
      </x:c>
      <x:c r="D252" s="11" t="str">
        <x:v>HKD</x:v>
      </x:c>
      <x:c r="E252" s="25" t="n">
        <x:f>'情景快照'!I743</x:f>
        <x:v>0.03361188486536659</x:v>
      </x:c>
      <x:c r="F252" s="25" t="n">
        <x:f>(1+E252)*0.95-1</x:f>
        <x:v>-0.018068709377901837</x:v>
      </x:c>
      <x:c r="G252" s="25" t="n">
        <x:f>E252</x:f>
        <x:v>0.03361188486536659</x:v>
      </x:c>
      <x:c r="H252" s="25" t="n">
        <x:f>(1+E252)*1.05-1</x:f>
        <x:v>0.08529247910863491</x:v>
      </x:c>
      <x:c r="I252" s="25" t="str">
        <x:f>""</x:f>
      </x:c>
      <x:c r="J252" s="25" t="str">
        <x:f>""</x:f>
      </x:c>
      <x:c r="K252" s="11" t="str">
        <x:v>仅投资者换汇；目标价固定，不再次改变盈利换算率</x:v>
      </x:c>
    </x:row>
    <x:row r="253" ht="23" customHeight="1">
      <x:c r="A253" s="11" t="str">
        <x:v>02269.HK</x:v>
      </x:c>
      <x:c r="B253" s="11" t="str">
        <x:v>药明生物</x:v>
      </x:c>
      <x:c r="C253" s="11" t="str">
        <x:v>半年</x:v>
      </x:c>
      <x:c r="D253" s="11" t="str">
        <x:v>HKD</x:v>
      </x:c>
      <x:c r="E253" s="25" t="n">
        <x:f>'情景快照'!I746</x:f>
        <x:v>0.12757660167130913</x:v>
      </x:c>
      <x:c r="F253" s="25" t="n">
        <x:f>(1+E253)*0.95-1</x:f>
        <x:v>0.07119777158774365</x:v>
      </x:c>
      <x:c r="G253" s="25" t="n">
        <x:f>E253</x:f>
        <x:v>0.12757660167130913</x:v>
      </x:c>
      <x:c r="H253" s="25" t="n">
        <x:f>(1+E253)*1.05-1</x:f>
        <x:v>0.1839554317548746</x:v>
      </x:c>
      <x:c r="I253" s="25" t="str">
        <x:f>""</x:f>
      </x:c>
      <x:c r="J253" s="25" t="str">
        <x:f>""</x:f>
      </x:c>
      <x:c r="K253" s="11" t="str">
        <x:v>仅投资者换汇；目标价固定，不再次改变盈利换算率</x:v>
      </x:c>
    </x:row>
    <x:row r="254" ht="23" customHeight="1">
      <x:c r="A254" s="11" t="str">
        <x:v>02269.HK</x:v>
      </x:c>
      <x:c r="B254" s="11" t="str">
        <x:v>药明生物</x:v>
      </x:c>
      <x:c r="C254" s="11" t="str">
        <x:v>一年</x:v>
      </x:c>
      <x:c r="D254" s="11" t="str">
        <x:v>HKD</x:v>
      </x:c>
      <x:c r="E254" s="25" t="n">
        <x:f>'情景快照'!I749</x:f>
        <x:v>0.3481894150417828</x:v>
      </x:c>
      <x:c r="F254" s="25" t="n">
        <x:f>(1+E254)*0.95-1</x:f>
        <x:v>0.28077994428969366</x:v>
      </x:c>
      <x:c r="G254" s="25" t="n">
        <x:f>E254</x:f>
        <x:v>0.3481894150417828</x:v>
      </x:c>
      <x:c r="H254" s="25" t="n">
        <x:f>(1+E254)*1.05-1</x:f>
        <x:v>0.41559888579387194</x:v>
      </x:c>
      <x:c r="I254" s="25" t="str">
        <x:f>""</x:f>
      </x:c>
      <x:c r="J254" s="25" t="str">
        <x:f>""</x:f>
      </x:c>
      <x:c r="K254" s="11" t="str">
        <x:v>仅投资者换汇；目标价固定，不再次改变盈利换算率</x:v>
      </x:c>
    </x:row>
    <x:row r="255" ht="23" customHeight="1">
      <x:c r="A255" s="11" t="str">
        <x:v>02269.HK</x:v>
      </x:c>
      <x:c r="B255" s="11" t="str">
        <x:v>药明生物</x:v>
      </x:c>
      <x:c r="C255" s="11" t="str">
        <x:v>三年</x:v>
      </x:c>
      <x:c r="D255" s="11" t="str">
        <x:v>HKD</x:v>
      </x:c>
      <x:c r="E255" s="25" t="n">
        <x:f>'情景快照'!I752</x:f>
        <x:v>0.5728876508820799</x:v>
      </x:c>
      <x:c r="F255" s="25" t="n">
        <x:f>(1+E255)*0.95-1</x:f>
        <x:v>0.4942432683379758</x:v>
      </x:c>
      <x:c r="G255" s="25" t="n">
        <x:f>E255</x:f>
        <x:v>0.5728876508820799</x:v>
      </x:c>
      <x:c r="H255" s="25" t="n">
        <x:f>(1+E255)*1.05-1</x:f>
        <x:v>0.651532033426184</x:v>
      </x:c>
      <x:c r="I255" s="25" t="n">
        <x:f>(1+F255)^(1/3)-1</x:f>
        <x:v>0.1432479623492242</x:v>
      </x:c>
      <x:c r="J255" s="25" t="n">
        <x:f>(1+H255)^(1/3)-1</x:f>
        <x:v>0.182031364893823</x:v>
      </x:c>
      <x:c r="K255" s="11" t="str">
        <x:v>仅投资者换汇；目标价固定，不再次改变盈利换算率</x:v>
      </x:c>
    </x:row>
    <x:row r="256" ht="23" customHeight="1">
      <x:c r="A256" s="11" t="str">
        <x:v>02269.HK</x:v>
      </x:c>
      <x:c r="B256" s="11" t="str">
        <x:v>药明生物</x:v>
      </x:c>
      <x:c r="C256" s="11" t="str">
        <x:v>五年</x:v>
      </x:c>
      <x:c r="D256" s="11" t="str">
        <x:v>HKD</x:v>
      </x:c>
      <x:c r="E256" s="25" t="n">
        <x:f>'情景快照'!I755</x:f>
        <x:v>0.8792943361188486</x:v>
      </x:c>
      <x:c r="F256" s="25" t="n">
        <x:f>(1+E256)*0.95-1</x:f>
        <x:v>0.785329619312906</x:v>
      </x:c>
      <x:c r="G256" s="25" t="n">
        <x:f>E256</x:f>
        <x:v>0.8792943361188486</x:v>
      </x:c>
      <x:c r="H256" s="25" t="n">
        <x:f>(1+E256)*1.05-1</x:f>
        <x:v>0.9732590529247911</x:v>
      </x:c>
      <x:c r="I256" s="25" t="n">
        <x:f>(1+F256)^(1/5)-1</x:f>
        <x:v>0.12290672302042416</x:v>
      </x:c>
      <x:c r="J256" s="25" t="n">
        <x:f>(1+H256)^(1/5)-1</x:f>
        <x:v>0.14561006558348732</x:v>
      </x:c>
      <x:c r="K256" s="11" t="str">
        <x:v>仅投资者换汇；目标价固定，不再次改变盈利换算率</x:v>
      </x:c>
    </x:row>
    <x:row r="257" ht="23" customHeight="1">
      <x:c r="A257" s="11" t="str">
        <x:v>02268.HK</x:v>
      </x:c>
      <x:c r="B257" s="11" t="str">
        <x:v>药明合联</x:v>
      </x:c>
      <x:c r="C257" s="11" t="str">
        <x:v>2026年底</x:v>
      </x:c>
      <x:c r="D257" s="11" t="str">
        <x:v>HKD</x:v>
      </x:c>
      <x:c r="E257" s="25" t="n">
        <x:f>'情景快照'!I758</x:f>
        <x:v>0.0021924482338613327</x:v>
      </x:c>
      <x:c r="F257" s="25" t="n">
        <x:f>(1+E257)*0.95-1</x:f>
        <x:v>-0.04791717417783181</x:v>
      </x:c>
      <x:c r="G257" s="25" t="n">
        <x:f>E257</x:f>
        <x:v>0.0021924482338613327</x:v>
      </x:c>
      <x:c r="H257" s="25" t="n">
        <x:f>(1+E257)*1.05-1</x:f>
        <x:v>0.052302070645554366</x:v>
      </x:c>
      <x:c r="I257" s="25" t="str">
        <x:f>""</x:f>
      </x:c>
      <x:c r="J257" s="25" t="str">
        <x:f>""</x:f>
      </x:c>
      <x:c r="K257" s="11" t="str">
        <x:v>仅投资者换汇；目标价固定，不再次改变盈利换算率</x:v>
      </x:c>
    </x:row>
    <x:row r="258" ht="23" customHeight="1">
      <x:c r="A258" s="11" t="str">
        <x:v>02268.HK</x:v>
      </x:c>
      <x:c r="B258" s="11" t="str">
        <x:v>药明合联</x:v>
      </x:c>
      <x:c r="C258" s="11" t="str">
        <x:v>半年</x:v>
      </x:c>
      <x:c r="D258" s="11" t="str">
        <x:v>HKD</x:v>
      </x:c>
      <x:c r="E258" s="25" t="n">
        <x:f>'情景快照'!I761</x:f>
        <x:v>0.09062119366626109</x:v>
      </x:c>
      <x:c r="F258" s="25" t="n">
        <x:f>(1+E258)*0.95-1</x:f>
        <x:v>0.036090133982948025</x:v>
      </x:c>
      <x:c r="G258" s="25" t="n">
        <x:f>E258</x:f>
        <x:v>0.09062119366626109</x:v>
      </x:c>
      <x:c r="H258" s="25" t="n">
        <x:f>(1+E258)*1.05-1</x:f>
        <x:v>0.14515225334957416</x:v>
      </x:c>
      <x:c r="I258" s="25" t="str">
        <x:f>""</x:f>
      </x:c>
      <x:c r="J258" s="25" t="str">
        <x:f>""</x:f>
      </x:c>
      <x:c r="K258" s="11" t="str">
        <x:v>仅投资者换汇；目标价固定，不再次改变盈利换算率</x:v>
      </x:c>
    </x:row>
    <x:row r="259" ht="23" customHeight="1">
      <x:c r="A259" s="11" t="str">
        <x:v>02268.HK</x:v>
      </x:c>
      <x:c r="B259" s="11" t="str">
        <x:v>药明合联</x:v>
      </x:c>
      <x:c r="C259" s="11" t="str">
        <x:v>一年</x:v>
      </x:c>
      <x:c r="D259" s="11" t="str">
        <x:v>HKD</x:v>
      </x:c>
      <x:c r="E259" s="25" t="n">
        <x:f>'情景快照'!I764</x:f>
        <x:v>0.34384896467722315</x:v>
      </x:c>
      <x:c r="F259" s="25" t="n">
        <x:f>(1+E259)*0.95-1</x:f>
        <x:v>0.27665651644336187</x:v>
      </x:c>
      <x:c r="G259" s="25" t="n">
        <x:f>E259</x:f>
        <x:v>0.34384896467722315</x:v>
      </x:c>
      <x:c r="H259" s="25" t="n">
        <x:f>(1+E259)*1.05-1</x:f>
        <x:v>0.4110414129110844</x:v>
      </x:c>
      <x:c r="I259" s="25" t="str">
        <x:f>""</x:f>
      </x:c>
      <x:c r="J259" s="25" t="str">
        <x:f>""</x:f>
      </x:c>
      <x:c r="K259" s="11" t="str">
        <x:v>仅投资者换汇；目标价固定，不再次改变盈利换算率</x:v>
      </x:c>
    </x:row>
    <x:row r="260" ht="23" customHeight="1">
      <x:c r="A260" s="11" t="str">
        <x:v>02268.HK</x:v>
      </x:c>
      <x:c r="B260" s="11" t="str">
        <x:v>药明合联</x:v>
      </x:c>
      <x:c r="C260" s="11" t="str">
        <x:v>三年</x:v>
      </x:c>
      <x:c r="D260" s="11" t="str">
        <x:v>HKD</x:v>
      </x:c>
      <x:c r="E260" s="25" t="n">
        <x:f>'情景快照'!I767</x:f>
        <x:v>0.6479902557856279</x:v>
      </x:c>
      <x:c r="F260" s="25" t="n">
        <x:f>(1+E260)*0.95-1</x:f>
        <x:v>0.5655907429963465</x:v>
      </x:c>
      <x:c r="G260" s="25" t="n">
        <x:f>E260</x:f>
        <x:v>0.6479902557856279</x:v>
      </x:c>
      <x:c r="H260" s="25" t="n">
        <x:f>(1+E260)*1.05-1</x:f>
        <x:v>0.7303897685749092</x:v>
      </x:c>
      <x:c r="I260" s="25" t="n">
        <x:f>(1+F260)^(1/3)-1</x:f>
        <x:v>0.16116182223951991</x:v>
      </x:c>
      <x:c r="J260" s="25" t="n">
        <x:f>(1+H260)^(1/3)-1</x:f>
        <x:v>0.20055293235249705</x:v>
      </x:c>
      <x:c r="K260" s="11" t="str">
        <x:v>仅投资者换汇；目标价固定，不再次改变盈利换算率</x:v>
      </x:c>
    </x:row>
    <x:row r="261" ht="23" customHeight="1">
      <x:c r="A261" s="11" t="str">
        <x:v>02268.HK</x:v>
      </x:c>
      <x:c r="B261" s="11" t="str">
        <x:v>药明合联</x:v>
      </x:c>
      <x:c r="C261" s="11" t="str">
        <x:v>五年</x:v>
      </x:c>
      <x:c r="D261" s="11" t="str">
        <x:v>HKD</x:v>
      </x:c>
      <x:c r="E261" s="25" t="n">
        <x:f>'情景快照'!I770</x:f>
        <x:v>1.2428745432399517</x:v>
      </x:c>
      <x:c r="F261" s="25" t="n">
        <x:f>(1+E261)*0.95-1</x:f>
        <x:v>1.130730816077954</x:v>
      </x:c>
      <x:c r="G261" s="25" t="n">
        <x:f>E261</x:f>
        <x:v>1.2428745432399517</x:v>
      </x:c>
      <x:c r="H261" s="25" t="n">
        <x:f>(1+E261)*1.05-1</x:f>
        <x:v>1.3550182704019496</x:v>
      </x:c>
      <x:c r="I261" s="25" t="n">
        <x:f>(1+F261)^(1/5)-1</x:f>
        <x:v>0.1633374723137897</x:v>
      </x:c>
      <x:c r="J261" s="25" t="n">
        <x:f>(1+H261)^(1/5)-1</x:f>
        <x:v>0.1868582586880536</x:v>
      </x:c>
      <x:c r="K261" s="11" t="str">
        <x:v>仅投资者换汇；目标价固定，不再次改变盈利换算率</x:v>
      </x:c>
    </x:row>
    <x:row r="262" ht="23" customHeight="1">
      <x:c r="A262" s="11" t="str">
        <x:v>01810.HK</x:v>
      </x:c>
      <x:c r="B262" s="11" t="str">
        <x:v>小米集团-W</x:v>
      </x:c>
      <x:c r="C262" s="11" t="str">
        <x:v>2026年底</x:v>
      </x:c>
      <x:c r="D262" s="11" t="str">
        <x:v>HKD</x:v>
      </x:c>
      <x:c r="E262" s="25" t="n">
        <x:f>'情景快照'!I773</x:f>
        <x:v>0.055469953775038494</x:v>
      </x:c>
      <x:c r="F262" s="25" t="n">
        <x:f>(1+E262)*0.95-1</x:f>
        <x:v>0.002696456086286547</x:v>
      </x:c>
      <x:c r="G262" s="25" t="n">
        <x:f>E262</x:f>
        <x:v>0.055469953775038494</x:v>
      </x:c>
      <x:c r="H262" s="25" t="n">
        <x:f>(1+E262)*1.05-1</x:f>
        <x:v>0.10824345146379044</x:v>
      </x:c>
      <x:c r="I262" s="25" t="str">
        <x:f>""</x:f>
      </x:c>
      <x:c r="J262" s="25" t="str">
        <x:f>""</x:f>
      </x:c>
      <x:c r="K262" s="11" t="str">
        <x:v>仅投资者换汇；目标价固定，不再次改变盈利换算率</x:v>
      </x:c>
    </x:row>
    <x:row r="263" ht="23" customHeight="1">
      <x:c r="A263" s="11" t="str">
        <x:v>01810.HK</x:v>
      </x:c>
      <x:c r="B263" s="11" t="str">
        <x:v>小米集团-W</x:v>
      </x:c>
      <x:c r="C263" s="11" t="str">
        <x:v>半年</x:v>
      </x:c>
      <x:c r="D263" s="11" t="str">
        <x:v>HKD</x:v>
      </x:c>
      <x:c r="E263" s="25" t="n">
        <x:f>'情景快照'!I776</x:f>
        <x:v>0.26463790446841284</x:v>
      </x:c>
      <x:c r="F263" s="25" t="n">
        <x:f>(1+E263)*0.95-1</x:f>
        <x:v>0.20140600924499208</x:v>
      </x:c>
      <x:c r="G263" s="25" t="n">
        <x:f>E263</x:f>
        <x:v>0.26463790446841284</x:v>
      </x:c>
      <x:c r="H263" s="25" t="n">
        <x:f>(1+E263)*1.05-1</x:f>
        <x:v>0.3278697996918336</x:v>
      </x:c>
      <x:c r="I263" s="25" t="str">
        <x:f>""</x:f>
      </x:c>
      <x:c r="J263" s="25" t="str">
        <x:f>""</x:f>
      </x:c>
      <x:c r="K263" s="11" t="str">
        <x:v>仅投资者换汇；目标价固定，不再次改变盈利换算率</x:v>
      </x:c>
    </x:row>
    <x:row r="264" ht="23" customHeight="1">
      <x:c r="A264" s="11" t="str">
        <x:v>01810.HK</x:v>
      </x:c>
      <x:c r="B264" s="11" t="str">
        <x:v>小米集团-W</x:v>
      </x:c>
      <x:c r="C264" s="11" t="str">
        <x:v>一年</x:v>
      </x:c>
      <x:c r="D264" s="11" t="str">
        <x:v>HKD</x:v>
      </x:c>
      <x:c r="E264" s="25" t="n">
        <x:f>'情景快照'!I779</x:f>
        <x:v>0.49152542372881336</x:v>
      </x:c>
      <x:c r="F264" s="25" t="n">
        <x:f>(1+E264)*0.95-1</x:f>
        <x:v>0.4169491525423725</x:v>
      </x:c>
      <x:c r="G264" s="25" t="n">
        <x:f>E264</x:f>
        <x:v>0.49152542372881336</x:v>
      </x:c>
      <x:c r="H264" s="25" t="n">
        <x:f>(1+E264)*1.05-1</x:f>
        <x:v>0.5661016949152542</x:v>
      </x:c>
      <x:c r="I264" s="25" t="str">
        <x:f>""</x:f>
      </x:c>
      <x:c r="J264" s="25" t="str">
        <x:f>""</x:f>
      </x:c>
      <x:c r="K264" s="11" t="str">
        <x:v>仅投资者换汇；目标价固定，不再次改变盈利换算率</x:v>
      </x:c>
    </x:row>
    <x:row r="265" ht="23" customHeight="1">
      <x:c r="A265" s="11" t="str">
        <x:v>01810.HK</x:v>
      </x:c>
      <x:c r="B265" s="11" t="str">
        <x:v>小米集团-W</x:v>
      </x:c>
      <x:c r="C265" s="11" t="str">
        <x:v>三年</x:v>
      </x:c>
      <x:c r="D265" s="11" t="str">
        <x:v>HKD</x:v>
      </x:c>
      <x:c r="E265" s="25" t="n">
        <x:f>'情景快照'!I782</x:f>
        <x:v>1.1367488443759628</x:v>
      </x:c>
      <x:c r="F265" s="25" t="n">
        <x:f>(1+E265)*0.95-1</x:f>
        <x:v>1.0299114021571647</x:v>
      </x:c>
      <x:c r="G265" s="25" t="n">
        <x:f>E265</x:f>
        <x:v>1.1367488443759628</x:v>
      </x:c>
      <x:c r="H265" s="25" t="n">
        <x:f>(1+E265)*1.05-1</x:f>
        <x:v>1.243586286594761</x:v>
      </x:c>
      <x:c r="I265" s="25" t="n">
        <x:f>(1+F265)^(1/3)-1</x:f>
        <x:v>0.26617099610502293</x:v>
      </x:c>
      <x:c r="J265" s="25" t="n">
        <x:f>(1+H265)^(1/3)-1</x:f>
        <x:v>0.3091244244508118</x:v>
      </x:c>
      <x:c r="K265" s="11" t="str">
        <x:v>仅投资者换汇；目标价固定，不再次改变盈利换算率</x:v>
      </x:c>
    </x:row>
    <x:row r="266" ht="23" customHeight="1">
      <x:c r="A266" s="11" t="str">
        <x:v>01810.HK</x:v>
      </x:c>
      <x:c r="B266" s="11" t="str">
        <x:v>小米集团-W</x:v>
      </x:c>
      <x:c r="C266" s="11" t="str">
        <x:v>五年</x:v>
      </x:c>
      <x:c r="D266" s="11" t="str">
        <x:v>HKD</x:v>
      </x:c>
      <x:c r="E266" s="25" t="n">
        <x:f>'情景快照'!I785</x:f>
        <x:v>1.6829738058551618</x:v>
      </x:c>
      <x:c r="F266" s="25" t="n">
        <x:f>(1+E266)*0.95-1</x:f>
        <x:v>1.5488251155624035</x:v>
      </x:c>
      <x:c r="G266" s="25" t="n">
        <x:f>E266</x:f>
        <x:v>1.6829738058551618</x:v>
      </x:c>
      <x:c r="H266" s="25" t="n">
        <x:f>(1+E266)*1.05-1</x:f>
        <x:v>1.81712249614792</x:v>
      </x:c>
      <x:c r="I266" s="25" t="n">
        <x:f>(1+F266)^(1/5)-1</x:f>
        <x:v>0.2057798099250212</x:v>
      </x:c>
      <x:c r="J266" s="25" t="n">
        <x:f>(1+H266)^(1/5)-1</x:f>
        <x:v>0.23015871114552344</x:v>
      </x:c>
      <x:c r="K266" s="11" t="str">
        <x:v>仅投资者换汇；目标价固定，不再次改变盈利换算率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16" hidden="0" customWidth="1"/>
    <x:col min="2" max="2" width="43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65" hidden="0" customWidth="1"/>
    <x:col min="9" max="9" width="6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4" t="str">
        <x:v>七项产品与指数 · 与公司股票分开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52" customHeight="1">
      <x:c r="A6" s="12" t="str">
        <x:v>代码</x:v>
      </x:c>
      <x:c r="B6" s="12" t="str">
        <x:v>名称</x:v>
      </x:c>
      <x:c r="C6" s="12" t="str">
        <x:v>类别</x:v>
      </x:c>
      <x:c r="D6" s="12" t="str">
        <x:v>币种</x:v>
      </x:c>
      <x:c r="E6" s="12" t="str">
        <x:v>价格</x:v>
      </x:c>
      <x:c r="F6" s="12" t="str">
        <x:v>价格日</x:v>
      </x:c>
      <x:c r="G6" s="12" t="str">
        <x:v>研究状态</x:v>
      </x:c>
      <x:c r="H6" s="12" t="str">
        <x:v>核心限制</x:v>
      </x:c>
      <x:c r="I6" s="12" t="str">
        <x:v>官方资料</x:v>
      </x:c>
    </x:row>
    <x:row r="7" ht="23" customHeight="1">
      <x:c r="A7" s="11" t="str">
        <x:v>159502.SZ</x:v>
      </x:c>
      <x:c r="B7" s="11" t="str">
        <x:v>嘉实标普生物科技精选行业ETF(QDII)</x:v>
      </x:c>
      <x:c r="C7" s="11" t="str">
        <x:v>ETF</x:v>
      </x:c>
      <x:c r="D7" s="11" t="str">
        <x:v>CNY</x:v>
      </x:c>
      <x:c r="E7" s="11" t="n">
        <x:v>1.58</x:v>
      </x:c>
      <x:c r="F7" s="11" t="str">
        <x:v>2026-10-09</x:v>
      </x:c>
      <x:c r="G7" s="11" t="str">
        <x:v>产品专项初版；资料缺口见总报告</x:v>
      </x:c>
      <x:c r="H7" s="11" t="str">
        <x:v>已核验两只QDII六月持仓/费用；基准日净值溢价与完整模型待完成</x:v>
      </x:c>
      <x:c r="I7" s="11" t="str">
        <x:v>https://pdf.dfcfw.com/pdf/H2_AN202608301828738374_1.pdf</x:v>
      </x:c>
    </x:row>
    <x:row r="8" ht="23" customHeight="1">
      <x:c r="A8" s="11" t="str">
        <x:v>513290.SH</x:v>
      </x:c>
      <x:c r="B8" s="11" t="str">
        <x:v>汇添富纳斯达克生物科技ETF</x:v>
      </x:c>
      <x:c r="C8" s="11" t="str">
        <x:v>ETF</x:v>
      </x:c>
      <x:c r="D8" s="11" t="str">
        <x:v>CNY</x:v>
      </x:c>
      <x:c r="E8" s="11" t="n">
        <x:v>1.785</x:v>
      </x:c>
      <x:c r="F8" s="11" t="str">
        <x:v>2026-10-09</x:v>
      </x:c>
      <x:c r="G8" s="11" t="str">
        <x:v>产品专项初版；资料缺口见总报告</x:v>
      </x:c>
      <x:c r="H8" s="11" t="str">
        <x:v>已核验两只QDII六月持仓/费用；基准日净值溢价与完整模型待完成</x:v>
      </x:c>
      <x:c r="I8" s="11" t="str">
        <x:v>https://pdf.dfcfw.com/pdf/H2_AN202608311828757291_1.pdf</x:v>
      </x:c>
    </x:row>
    <x:row r="9" ht="23" customHeight="1">
      <x:c r="A9" s="11" t="str">
        <x:v>987018.SZ</x:v>
      </x:c>
      <x:c r="B9" s="11" t="str">
        <x:v>港股通创新药</x:v>
      </x:c>
      <x:c r="C9" s="11" t="str">
        <x:v>指数</x:v>
      </x:c>
      <x:c r="D9" s="11" t="str">
        <x:v>HKD计价指数点</x:v>
      </x:c>
      <x:c r="E9" s="11" t="n">
        <x:v>1791.2169</x:v>
      </x:c>
      <x:c r="F9" s="11" t="str">
        <x:v>2026-10-09</x:v>
      </x:c>
      <x:c r="G9" s="11" t="str">
        <x:v>产品专项初版；资料缺口见总报告</x:v>
      </x:c>
      <x:c r="H9" s="11" t="str">
        <x:v>市场/行业基准，非直接交易</x:v>
      </x:c>
      <x:c r="I9" s="11" t="str">
        <x:v>https://www.cnindex.com.cn/docs/gz_987018.pdf</x:v>
      </x:c>
    </x:row>
    <x:row r="10" ht="23" customHeight="1">
      <x:c r="A10" s="11" t="str">
        <x:v>931787.CSI</x:v>
      </x:c>
      <x:c r="B10" s="11" t="str">
        <x:v>港股创新药</x:v>
      </x:c>
      <x:c r="C10" s="11" t="str">
        <x:v>指数</x:v>
      </x:c>
      <x:c r="D10" s="11" t="str">
        <x:v>CNY计价指数点</x:v>
      </x:c>
      <x:c r="E10" s="11" t="n">
        <x:v>1450.66</x:v>
      </x:c>
      <x:c r="F10" s="11" t="str">
        <x:v>2026-10-09</x:v>
      </x:c>
      <x:c r="G10" s="11" t="str">
        <x:v>产品专项初版；资料缺口见总报告</x:v>
      </x:c>
      <x:c r="H10" s="11" t="str">
        <x:v>市场/行业基准，非直接交易</x:v>
      </x:c>
      <x:c r="I10" s="11" t="str">
        <x:v>官方文件待核验</x:v>
      </x:c>
    </x:row>
    <x:row r="11" ht="23" customHeight="1">
      <x:c r="A11" s="11" t="str">
        <x:v>03442.HK</x:v>
      </x:c>
      <x:c r="B11" s="11" t="str">
        <x:v>南方東英恒生港美科技ETF</x:v>
      </x:c>
      <x:c r="C11" s="11" t="str">
        <x:v>ETF</x:v>
      </x:c>
      <x:c r="D11" s="11" t="str">
        <x:v>HKD</x:v>
      </x:c>
      <x:c r="E11" s="11" t="n">
        <x:v>7.785</x:v>
      </x:c>
      <x:c r="F11" s="11" t="str">
        <x:v>2026-10-09</x:v>
      </x:c>
      <x:c r="G11" s="11" t="str">
        <x:v>官方页面费率及10/8持仓已核；法定版本仍待核</x:v>
      </x:c>
      <x:c r="H11" s="11" t="str">
        <x:v>实物及合成抽样；经常费1.20%不含掉期；16:29参考净值与16:08报价非同步</x:v>
      </x:c>
      <x:c r="I11" s="11" t="str">
        <x:v>https://www.csopasset.com/tc/products/hk-chsu</x:v>
      </x:c>
    </x:row>
    <x:row r="12" ht="23" customHeight="1">
      <x:c r="A12" s="11" t="str">
        <x:v>07709.HK</x:v>
      </x:c>
      <x:c r="B12" s="11" t="str">
        <x:v>南方東英SK海力士每日槓桿最多(2x)產品</x:v>
      </x:c>
      <x:c r="C12" s="11" t="str">
        <x:v>每日杠杆</x:v>
      </x:c>
      <x:c r="D12" s="11" t="str">
        <x:v>HKD</x:v>
      </x:c>
      <x:c r="E12" s="11" t="n">
        <x:v>35.4</x:v>
      </x:c>
      <x:c r="F12" s="11" t="str">
        <x:v>2026-10-09</x:v>
      </x:c>
      <x:c r="G12" s="11" t="str">
        <x:v>官方页面机制已核；695页法定全文未完成</x:v>
      </x:c>
      <x:c r="H12" s="11" t="str">
        <x:v>8/3每日可变最高2倍；经常费2%不含衍生品；40%为成本上限；不作多年目标</x:v>
      </x:c>
      <x:c r="I12" s="11" t="str">
        <x:v>https://www.csopasset.com/tc/products/hk-skhy-2l</x:v>
      </x:c>
    </x:row>
    <x:row r="13" ht="23" customHeight="1">
      <x:c r="A13" s="11" t="str">
        <x:v>HSTECH.HK</x:v>
      </x:c>
      <x:c r="B13" s="11" t="str">
        <x:v>恒生科技</x:v>
      </x:c>
      <x:c r="C13" s="11" t="str">
        <x:v>指数</x:v>
      </x:c>
      <x:c r="D13" s="11" t="str">
        <x:v>HKD计价指数点</x:v>
      </x:c>
      <x:c r="E13" s="11" t="n">
        <x:v>4197.84</x:v>
      </x:c>
      <x:c r="F13" s="11" t="str">
        <x:v>2026-10-09</x:v>
      </x:c>
      <x:c r="G13" s="11" t="str">
        <x:v>产品专项初版；资料缺口见总报告</x:v>
      </x:c>
      <x:c r="H13" s="11" t="str">
        <x:v>市场/行业基准，非直接交易</x:v>
      </x:c>
      <x:c r="I13" s="11" t="str">
        <x:v>官方文件待核验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4" t="str">
        <x:v>单套估值计算 · 情景切换后重新计算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52" customHeight="1">
      <x:c r="A6" s="12" t="str">
        <x:v>代码</x:v>
      </x:c>
      <x:c r="B6" s="12" t="str">
        <x:v>名称</x:v>
      </x:c>
      <x:c r="C6" s="12" t="str">
        <x:v>期限</x:v>
      </x:c>
      <x:c r="D6" s="12" t="str">
        <x:v>现价本币</x:v>
      </x:c>
      <x:c r="E6" s="12" t="str">
        <x:v>EPS方法</x:v>
      </x:c>
      <x:c r="F6" s="12" t="str">
        <x:v>核心收入十亿</x:v>
      </x:c>
      <x:c r="G6" s="12" t="str">
        <x:v>净利率</x:v>
      </x:c>
      <x:c r="H6" s="12" t="str">
        <x:v>摊薄股数十亿</x:v>
      </x:c>
      <x:c r="I6" s="12" t="str">
        <x:v>EPS 盈利币种</x:v>
      </x:c>
      <x:c r="J6" s="12" t="str">
        <x:v>PE倍</x:v>
      </x:c>
      <x:c r="K6" s="12" t="str">
        <x:v>本币/盈利币种</x:v>
      </x:c>
      <x:c r="L6" s="12" t="str">
        <x:v>目标价本币</x:v>
      </x:c>
      <x:c r="M6" s="12" t="str">
        <x:v>累计分红</x:v>
      </x:c>
      <x:c r="N6" s="12" t="str">
        <x:v>股价回报</x:v>
      </x:c>
      <x:c r="O6" s="12" t="str">
        <x:v>含分红回报</x:v>
      </x:c>
      <x:c r="P6" s="12" t="str">
        <x:v>年化总回报</x:v>
      </x:c>
      <x:c r="Q6" s="12" t="str">
        <x:v>年数</x:v>
      </x:c>
      <x:c r="R6" s="12" t="str">
        <x:v>输入行</x:v>
      </x:c>
      <x:c r="S6" t="str">
        <x:v>超额净现金CNY十亿</x:v>
      </x:c>
      <x:c r="T6" t="str">
        <x:v>盈利币种</x:v>
      </x:c>
      <x:c r="U6" t="str">
        <x:v>内在估值目标本币</x:v>
      </x:c>
    </x:row>
    <x:row r="7" ht="23" customHeight="1">
      <x:c r="A7" s="11" t="str">
        <x:v>01530.HK</x:v>
      </x:c>
      <x:c r="B7" s="11" t="str">
        <x:v>三生制药</x:v>
      </x:c>
      <x:c r="C7" s="11" t="str">
        <x:v>2026年底</x:v>
      </x:c>
      <x:c r="D7" s="11" t="n">
        <x:v>15.07</x:v>
      </x:c>
      <x:c r="E7" s="11" t="str">
        <x:v>风险调整PV</x:v>
      </x:c>
      <x:c r="F7" s="23" t="n">
        <x:f>'假设'!I7</x:f>
        <x:v>8.2</x:v>
      </x:c>
      <x:c r="G7" s="24" t="n">
        <x:f>'假设'!J7</x:f>
        <x:v>0.219390243902439</x:v>
      </x:c>
      <x:c r="H7" s="23" t="n">
        <x:f>'假设'!K7</x:f>
        <x:v>2.57</x:v>
      </x:c>
      <x:c r="I7" s="23"/>
      <x:c r="J7" s="23" t="n">
        <x:f>'假设'!F7</x:f>
        <x:v>15</x:v>
      </x:c>
      <x:c r="K7" s="23" t="n">
        <x:f>'假设'!G7</x:f>
        <x:v>1.1</x:v>
      </x:c>
      <x:c r="L7" s="23" t="n">
        <x:f>'风险净现值'!AD7</x:f>
        <x:v>20.552916225914018</x:v>
      </x:c>
      <x:c r="M7" s="23" t="n">
        <x:f>'假设'!H7</x:f>
        <x:v>0</x:v>
      </x:c>
      <x:c r="N7" s="25" t="n">
        <x:f>L7/D7-1</x:f>
        <x:v>0.3638298756412752</x:v>
      </x:c>
      <x:c r="O7" s="25" t="n">
        <x:f>(L7+M7)/D7-1</x:f>
        <x:v>0.3638298756412752</x:v>
      </x:c>
      <x:c r="P7" s="25" t="str">
        <x:f>IF(Q7&gt;=3,(1+O7)^(1/Q7)-1,"")</x:f>
      </x:c>
      <x:c r="Q7" s="11" t="n">
        <x:v>0</x:v>
      </x:c>
      <x:c r="R7" s="11" t="n">
        <x:v>7</x:v>
      </x:c>
      <x:c r="S7" t="n">
        <x:f>'假设'!N7</x:f>
        <x:v>11.8</x:v>
      </x:c>
      <x:c r="T7" t="str">
        <x:v>CNY</x:v>
      </x:c>
    </x:row>
    <x:row r="8" ht="23" customHeight="1">
      <x:c r="A8" s="11" t="str">
        <x:v>01530.HK</x:v>
      </x:c>
      <x:c r="B8" s="11" t="str">
        <x:v>三生制药</x:v>
      </x:c>
      <x:c r="C8" s="11" t="str">
        <x:v>半年</x:v>
      </x:c>
      <x:c r="D8" s="11" t="n">
        <x:v>15.07</x:v>
      </x:c>
      <x:c r="E8" s="11" t="str">
        <x:v>风险调整PV</x:v>
      </x:c>
      <x:c r="F8" s="23" t="n">
        <x:f>'假设'!I11</x:f>
        <x:v>8.2</x:v>
      </x:c>
      <x:c r="G8" s="24" t="n">
        <x:f>'假设'!J11</x:f>
        <x:v>0.219390243902439</x:v>
      </x:c>
      <x:c r="H8" s="23" t="n">
        <x:f>'假设'!K11</x:f>
        <x:v>2.57</x:v>
      </x:c>
      <x:c r="I8" s="23"/>
      <x:c r="J8" s="23" t="n">
        <x:f>'假设'!F11</x:f>
        <x:v>16</x:v>
      </x:c>
      <x:c r="K8" s="23" t="n">
        <x:f>'假设'!G11</x:f>
        <x:v>1.1</x:v>
      </x:c>
      <x:c r="L8" s="23" t="n">
        <x:f>'风险净现值'!AD8</x:f>
        <x:v>20.494032607263897</x:v>
      </x:c>
      <x:c r="M8" s="23" t="n">
        <x:f>'假设'!H11</x:f>
        <x:v>0</x:v>
      </x:c>
      <x:c r="N8" s="25" t="n">
        <x:f>L8/D8-1</x:f>
        <x:v>0.35992253531943574</x:v>
      </x:c>
      <x:c r="O8" s="25" t="n">
        <x:f>(L8+M8)/D8-1</x:f>
        <x:v>0.35992253531943574</x:v>
      </x:c>
      <x:c r="P8" s="25" t="str">
        <x:f>IF(Q8&gt;=3,(1+O8)^(1/Q8)-1,"")</x:f>
      </x:c>
      <x:c r="Q8" s="11" t="n">
        <x:v>0.5</x:v>
      </x:c>
      <x:c r="R8" s="11" t="n">
        <x:v>11</x:v>
      </x:c>
      <x:c r="S8" t="n">
        <x:f>'假设'!N11</x:f>
        <x:v>12</x:v>
      </x:c>
      <x:c r="T8" t="str">
        <x:v>CNY</x:v>
      </x:c>
    </x:row>
    <x:row r="9" ht="23" customHeight="1">
      <x:c r="A9" s="11" t="str">
        <x:v>01530.HK</x:v>
      </x:c>
      <x:c r="B9" s="11" t="str">
        <x:v>三生制药</x:v>
      </x:c>
      <x:c r="C9" s="11" t="str">
        <x:v>一年</x:v>
      </x:c>
      <x:c r="D9" s="11" t="n">
        <x:v>15.07</x:v>
      </x:c>
      <x:c r="E9" s="11" t="str">
        <x:v>风险调整PV</x:v>
      </x:c>
      <x:c r="F9" s="23" t="n">
        <x:f>'假设'!I15</x:f>
        <x:v>9.6</x:v>
      </x:c>
      <x:c r="G9" s="24" t="n">
        <x:f>'假设'!J15</x:f>
        <x:v>0.23833333333333337</x:v>
      </x:c>
      <x:c r="H9" s="23" t="n">
        <x:f>'假设'!K15</x:f>
        <x:v>2.6</x:v>
      </x:c>
      <x:c r="I9" s="23"/>
      <x:c r="J9" s="23" t="n">
        <x:f>'假设'!F15</x:f>
        <x:v>17</x:v>
      </x:c>
      <x:c r="K9" s="23" t="n">
        <x:f>'假设'!G15</x:f>
        <x:v>1.1</x:v>
      </x:c>
      <x:c r="L9" s="23" t="n">
        <x:f>'风险净现值'!AD9</x:f>
        <x:v>25.063798736268943</x:v>
      </x:c>
      <x:c r="M9" s="23" t="n">
        <x:f>'假设'!H15</x:f>
        <x:v>0.25</x:v>
      </x:c>
      <x:c r="N9" s="25" t="n">
        <x:f>L9/D9-1</x:f>
        <x:v>0.6631585093741834</x:v>
      </x:c>
      <x:c r="O9" s="25" t="n">
        <x:f>(L9+M9)/D9-1</x:f>
        <x:v>0.6797477595400758</x:v>
      </x:c>
      <x:c r="P9" s="25" t="str">
        <x:f>IF(Q9&gt;=3,(1+O9)^(1/Q9)-1,"")</x:f>
      </x:c>
      <x:c r="Q9" s="11" t="n">
        <x:v>1</x:v>
      </x:c>
      <x:c r="R9" s="11" t="n">
        <x:v>15</x:v>
      </x:c>
      <x:c r="S9" t="n">
        <x:f>'假设'!N15</x:f>
        <x:v>12.8</x:v>
      </x:c>
      <x:c r="T9" t="str">
        <x:v>CNY</x:v>
      </x:c>
    </x:row>
    <x:row r="10" ht="23" customHeight="1">
      <x:c r="A10" s="11" t="str">
        <x:v>01530.HK</x:v>
      </x:c>
      <x:c r="B10" s="11" t="str">
        <x:v>三生制药</x:v>
      </x:c>
      <x:c r="C10" s="11" t="str">
        <x:v>三年</x:v>
      </x:c>
      <x:c r="D10" s="11" t="n">
        <x:v>15.07</x:v>
      </x:c>
      <x:c r="E10" s="11" t="str">
        <x:v>风险调整PV</x:v>
      </x:c>
      <x:c r="F10" s="23" t="n">
        <x:f>'假设'!I19</x:f>
        <x:v>11.5</x:v>
      </x:c>
      <x:c r="G10" s="24" t="n">
        <x:f>'假设'!J19</x:f>
        <x:v>0.25906086956521746</x:v>
      </x:c>
      <x:c r="H10" s="23" t="n">
        <x:f>'假设'!K19</x:f>
        <x:v>2.66</x:v>
      </x:c>
      <x:c r="I10" s="23"/>
      <x:c r="J10" s="23" t="n">
        <x:f>'假设'!F19</x:f>
        <x:v>18</x:v>
      </x:c>
      <x:c r="K10" s="23" t="n">
        <x:f>'假设'!G19</x:f>
        <x:v>1.1</x:v>
      </x:c>
      <x:c r="L10" s="23" t="n">
        <x:f>'风险净现值'!AD10</x:f>
        <x:v>31.4689635188891</x:v>
      </x:c>
      <x:c r="M10" s="23" t="n">
        <x:f>'假设'!H19</x:f>
        <x:v>0.85</x:v>
      </x:c>
      <x:c r="N10" s="25" t="n">
        <x:f>L10/D10-1</x:f>
        <x:v>1.0881860331047846</x:v>
      </x:c>
      <x:c r="O10" s="25" t="n">
        <x:f>(L10+M10)/D10-1</x:f>
        <x:v>1.1445894836688186</x:v>
      </x:c>
      <x:c r="P10" s="25" t="n">
        <x:f>IF(Q10&gt;=3,(1+O10)^(1/Q10)-1,"")</x:f>
        <x:v>0.2895793119076555</x:v>
      </x:c>
      <x:c r="Q10" s="11" t="n">
        <x:v>3</x:v>
      </x:c>
      <x:c r="R10" s="11" t="n">
        <x:v>19</x:v>
      </x:c>
      <x:c r="S10" t="n">
        <x:f>'假设'!N19</x:f>
        <x:v>13.5</x:v>
      </x:c>
      <x:c r="T10" t="str">
        <x:v>CNY</x:v>
      </x:c>
    </x:row>
    <x:row r="11" ht="23" customHeight="1">
      <x:c r="A11" s="11" t="str">
        <x:v>01530.HK</x:v>
      </x:c>
      <x:c r="B11" s="11" t="str">
        <x:v>三生制药</x:v>
      </x:c>
      <x:c r="C11" s="11" t="str">
        <x:v>五年</x:v>
      </x:c>
      <x:c r="D11" s="11" t="n">
        <x:v>15.07</x:v>
      </x:c>
      <x:c r="E11" s="11" t="str">
        <x:v>风险调整PV</x:v>
      </x:c>
      <x:c r="F11" s="23" t="n">
        <x:f>'假设'!I23</x:f>
        <x:v>15</x:v>
      </x:c>
      <x:c r="G11" s="24" t="n">
        <x:f>'假设'!J23</x:f>
        <x:v>0.27799999999999997</x:v>
      </x:c>
      <x:c r="H11" s="23" t="n">
        <x:f>'假设'!K23</x:f>
        <x:v>2.78</x:v>
      </x:c>
      <x:c r="I11" s="23"/>
      <x:c r="J11" s="23" t="n">
        <x:f>'假设'!F23</x:f>
        <x:v>17</x:v>
      </x:c>
      <x:c r="K11" s="23" t="n">
        <x:f>'假设'!G23</x:f>
        <x:v>1.1</x:v>
      </x:c>
      <x:c r="L11" s="23" t="n">
        <x:f>'风险净现值'!AD11</x:f>
        <x:v>37.96625353202493</x:v>
      </x:c>
      <x:c r="M11" s="23" t="n">
        <x:f>'假设'!H23</x:f>
        <x:v>1.65</x:v>
      </x:c>
      <x:c r="N11" s="25" t="n">
        <x:f>L11/D11-1</x:f>
        <x:v>1.5193267108178454</x:v>
      </x:c>
      <x:c r="O11" s="25" t="n">
        <x:f>(L11+M11)/D11-1</x:f>
        <x:v>1.6288157619127355</x:v>
      </x:c>
      <x:c r="P11" s="25" t="n">
        <x:f>IF(Q11&gt;=3,(1+O11)^(1/Q11)-1,"")</x:f>
        <x:v>0.21325483302143322</x:v>
      </x:c>
      <x:c r="Q11" s="11" t="n">
        <x:v>5</x:v>
      </x:c>
      <x:c r="R11" s="11" t="n">
        <x:v>23</x:v>
      </x:c>
      <x:c r="S11" t="n">
        <x:f>'假设'!N23</x:f>
        <x:v>15</x:v>
      </x:c>
      <x:c r="T11" t="str">
        <x:v>CNY</x:v>
      </x:c>
    </x:row>
    <x:row r="12" ht="23" customHeight="1">
      <x:c r="A12" s="11" t="str">
        <x:v>09926.HK</x:v>
      </x:c>
      <x:c r="B12" s="11" t="str">
        <x:v>康方生物</x:v>
      </x:c>
      <x:c r="C12" s="11" t="str">
        <x:v>2026年底</x:v>
      </x:c>
      <x:c r="D12" s="11" t="n">
        <x:v>109.1</x:v>
      </x:c>
      <x:c r="E12" s="11" t="str">
        <x:v>风险调整PV</x:v>
      </x:c>
      <x:c r="F12" s="23" t="n">
        <x:f>'假设'!I27</x:f>
        <x:v>0</x:v>
      </x:c>
      <x:c r="G12" s="24" t="str">
        <x:f>'假设'!J27</x:f>
      </x:c>
      <x:c r="H12" s="23" t="n">
        <x:f>'假设'!K27</x:f>
        <x:v>0.95</x:v>
      </x:c>
      <x:c r="I12" s="23"/>
      <x:c r="J12" s="23" t="n">
        <x:f>'假设'!F27</x:f>
        <x:v>30</x:v>
      </x:c>
      <x:c r="K12" s="23" t="n">
        <x:f>'假设'!G27</x:f>
        <x:v>1.1</x:v>
      </x:c>
      <x:c r="L12" s="23" t="n">
        <x:f>'风险净现值'!AD12</x:f>
        <x:v>65.1368381693911</x:v>
      </x:c>
      <x:c r="M12" s="23" t="n">
        <x:f>'假设'!H27</x:f>
        <x:v>0</x:v>
      </x:c>
      <x:c r="N12" s="25" t="n">
        <x:f>L12/D12-1</x:f>
        <x:v>-0.4029620699414198</x:v>
      </x:c>
      <x:c r="O12" s="25" t="n">
        <x:f>(L12+M12)/D12-1</x:f>
        <x:v>-0.4029620699414198</x:v>
      </x:c>
      <x:c r="P12" s="25" t="str">
        <x:f>IF(Q12&gt;=3,(1+O12)^(1/Q12)-1,"")</x:f>
      </x:c>
      <x:c r="Q12" s="11" t="n">
        <x:v>0</x:v>
      </x:c>
      <x:c r="R12" s="11" t="n">
        <x:v>27</x:v>
      </x:c>
      <x:c r="T12" t="str">
        <x:v>CNY</x:v>
      </x:c>
    </x:row>
    <x:row r="13" ht="23" customHeight="1">
      <x:c r="A13" s="11" t="str">
        <x:v>09926.HK</x:v>
      </x:c>
      <x:c r="B13" s="11" t="str">
        <x:v>康方生物</x:v>
      </x:c>
      <x:c r="C13" s="11" t="str">
        <x:v>半年</x:v>
      </x:c>
      <x:c r="D13" s="11" t="n">
        <x:v>109.1</x:v>
      </x:c>
      <x:c r="E13" s="11" t="str">
        <x:v>风险调整PV</x:v>
      </x:c>
      <x:c r="F13" s="23" t="n">
        <x:f>'假设'!I31</x:f>
        <x:v>0</x:v>
      </x:c>
      <x:c r="G13" s="24" t="str">
        <x:f>'假设'!J31</x:f>
      </x:c>
      <x:c r="H13" s="23" t="n">
        <x:f>'假设'!K31</x:f>
        <x:v>0.955</x:v>
      </x:c>
      <x:c r="I13" s="23"/>
      <x:c r="J13" s="23" t="n">
        <x:f>'假设'!F31</x:f>
        <x:v>32</x:v>
      </x:c>
      <x:c r="K13" s="23" t="n">
        <x:f>'假设'!G31</x:f>
        <x:v>1.1</x:v>
      </x:c>
      <x:c r="L13" s="23" t="n">
        <x:f>'风险净现值'!AD13</x:f>
        <x:v>71.29352348543316</x:v>
      </x:c>
      <x:c r="M13" s="23" t="n">
        <x:f>'假设'!H31</x:f>
        <x:v>0</x:v>
      </x:c>
      <x:c r="N13" s="25" t="n">
        <x:f>L13/D13-1</x:f>
        <x:v>-0.3465304905093203</x:v>
      </x:c>
      <x:c r="O13" s="25" t="n">
        <x:f>(L13+M13)/D13-1</x:f>
        <x:v>-0.3465304905093203</x:v>
      </x:c>
      <x:c r="P13" s="25" t="str">
        <x:f>IF(Q13&gt;=3,(1+O13)^(1/Q13)-1,"")</x:f>
      </x:c>
      <x:c r="Q13" s="11" t="n">
        <x:v>0.5</x:v>
      </x:c>
      <x:c r="R13" s="11" t="n">
        <x:v>31</x:v>
      </x:c>
      <x:c r="T13" t="str">
        <x:v>CNY</x:v>
      </x:c>
    </x:row>
    <x:row r="14" ht="23" customHeight="1">
      <x:c r="A14" s="11" t="str">
        <x:v>09926.HK</x:v>
      </x:c>
      <x:c r="B14" s="11" t="str">
        <x:v>康方生物</x:v>
      </x:c>
      <x:c r="C14" s="11" t="str">
        <x:v>一年</x:v>
      </x:c>
      <x:c r="D14" s="11" t="n">
        <x:v>109.1</x:v>
      </x:c>
      <x:c r="E14" s="11" t="str">
        <x:v>风险调整PV</x:v>
      </x:c>
      <x:c r="F14" s="23" t="n">
        <x:f>'假设'!I35</x:f>
        <x:v>0</x:v>
      </x:c>
      <x:c r="G14" s="24" t="str">
        <x:f>'假设'!J35</x:f>
      </x:c>
      <x:c r="H14" s="23" t="n">
        <x:f>'假设'!K35</x:f>
        <x:v>0.97</x:v>
      </x:c>
      <x:c r="I14" s="23"/>
      <x:c r="J14" s="23" t="n">
        <x:f>'假设'!F35</x:f>
        <x:v>29</x:v>
      </x:c>
      <x:c r="K14" s="23" t="n">
        <x:f>'假设'!G35</x:f>
        <x:v>1.1</x:v>
      </x:c>
      <x:c r="L14" s="23" t="n">
        <x:f>'风险净现值'!AD14</x:f>
        <x:v>86.86690106693104</x:v>
      </x:c>
      <x:c r="M14" s="23" t="n">
        <x:f>'假设'!H35</x:f>
        <x:v>0</x:v>
      </x:c>
      <x:c r="N14" s="25" t="n">
        <x:f>L14/D14-1</x:f>
        <x:v>-0.20378642468440844</x:v>
      </x:c>
      <x:c r="O14" s="25" t="n">
        <x:f>(L14+M14)/D14-1</x:f>
        <x:v>-0.20378642468440844</x:v>
      </x:c>
      <x:c r="P14" s="25" t="str">
        <x:f>IF(Q14&gt;=3,(1+O14)^(1/Q14)-1,"")</x:f>
      </x:c>
      <x:c r="Q14" s="11" t="n">
        <x:v>1</x:v>
      </x:c>
      <x:c r="R14" s="11" t="n">
        <x:v>35</x:v>
      </x:c>
      <x:c r="T14" t="str">
        <x:v>CNY</x:v>
      </x:c>
    </x:row>
    <x:row r="15" ht="23" customHeight="1">
      <x:c r="A15" s="11" t="str">
        <x:v>09926.HK</x:v>
      </x:c>
      <x:c r="B15" s="11" t="str">
        <x:v>康方生物</x:v>
      </x:c>
      <x:c r="C15" s="11" t="str">
        <x:v>三年</x:v>
      </x:c>
      <x:c r="D15" s="11" t="n">
        <x:v>109.1</x:v>
      </x:c>
      <x:c r="E15" s="11" t="str">
        <x:v>风险调整PV</x:v>
      </x:c>
      <x:c r="F15" s="23" t="n">
        <x:f>'假设'!I39</x:f>
        <x:v>0</x:v>
      </x:c>
      <x:c r="G15" s="24" t="str">
        <x:f>'假设'!J39</x:f>
      </x:c>
      <x:c r="H15" s="23" t="n">
        <x:f>'假设'!K39</x:f>
        <x:v>1</x:v>
      </x:c>
      <x:c r="I15" s="23"/>
      <x:c r="J15" s="23" t="n">
        <x:f>'假设'!F39</x:f>
        <x:v>25</x:v>
      </x:c>
      <x:c r="K15" s="23" t="n">
        <x:f>'假设'!G39</x:f>
        <x:v>1.1</x:v>
      </x:c>
      <x:c r="L15" s="23" t="n">
        <x:f>'风险净现值'!AD15</x:f>
        <x:v>125.0304799536091</x:v>
      </x:c>
      <x:c r="M15" s="23" t="n">
        <x:f>'假设'!H39</x:f>
        <x:v>0</x:v>
      </x:c>
      <x:c r="N15" s="25" t="n">
        <x:f>L15/D15-1</x:f>
        <x:v>0.14601723147212753</x:v>
      </x:c>
      <x:c r="O15" s="25" t="n">
        <x:f>(L15+M15)/D15-1</x:f>
        <x:v>0.14601723147212753</x:v>
      </x:c>
      <x:c r="P15" s="25" t="n">
        <x:f>IF(Q15&gt;=3,(1+O15)^(1/Q15)-1,"")</x:f>
        <x:v>0.046478674520409324</x:v>
      </x:c>
      <x:c r="Q15" s="11" t="n">
        <x:v>3</x:v>
      </x:c>
      <x:c r="R15" s="11" t="n">
        <x:v>39</x:v>
      </x:c>
      <x:c r="T15" t="str">
        <x:v>CNY</x:v>
      </x:c>
    </x:row>
    <x:row r="16" ht="23" customHeight="1">
      <x:c r="A16" s="11" t="str">
        <x:v>09926.HK</x:v>
      </x:c>
      <x:c r="B16" s="11" t="str">
        <x:v>康方生物</x:v>
      </x:c>
      <x:c r="C16" s="11" t="str">
        <x:v>五年</x:v>
      </x:c>
      <x:c r="D16" s="11" t="n">
        <x:v>109.1</x:v>
      </x:c>
      <x:c r="E16" s="11" t="str">
        <x:v>风险调整PV</x:v>
      </x:c>
      <x:c r="F16" s="23" t="n">
        <x:f>'假设'!I43</x:f>
        <x:v>0</x:v>
      </x:c>
      <x:c r="G16" s="24" t="str">
        <x:f>'假设'!J43</x:f>
      </x:c>
      <x:c r="H16" s="23" t="n">
        <x:f>'假设'!K43</x:f>
        <x:v>1.04</x:v>
      </x:c>
      <x:c r="I16" s="23"/>
      <x:c r="J16" s="23" t="n">
        <x:f>'假设'!F43</x:f>
        <x:v>22</x:v>
      </x:c>
      <x:c r="K16" s="23" t="n">
        <x:f>'假设'!G43</x:f>
        <x:v>1.1</x:v>
      </x:c>
      <x:c r="L16" s="23" t="n">
        <x:f>'风险净现值'!AD16</x:f>
        <x:v>153.02179501089194</x:v>
      </x:c>
      <x:c r="M16" s="23" t="n">
        <x:f>'假设'!H43</x:f>
        <x:v>0</x:v>
      </x:c>
      <x:c r="N16" s="25" t="n">
        <x:f>L16/D16-1</x:f>
        <x:v>0.4025829056910353</x:v>
      </x:c>
      <x:c r="O16" s="25" t="n">
        <x:f>(L16+M16)/D16-1</x:f>
        <x:v>0.4025829056910353</x:v>
      </x:c>
      <x:c r="P16" s="25" t="n">
        <x:f>IF(Q16&gt;=3,(1+O16)^(1/Q16)-1,"")</x:f>
        <x:v>0.07000475660798888</x:v>
      </x:c>
      <x:c r="Q16" s="11" t="n">
        <x:v>5</x:v>
      </x:c>
      <x:c r="R16" s="11" t="n">
        <x:v>43</x:v>
      </x:c>
      <x:c r="T16" t="str">
        <x:v>CNY</x:v>
      </x:c>
    </x:row>
    <x:row r="17" ht="23" customHeight="1">
      <x:c r="A17" s="11" t="str">
        <x:v>09988.HK</x:v>
      </x:c>
      <x:c r="B17" s="11" t="str">
        <x:v>阿里巴巴-W</x:v>
      </x:c>
      <x:c r="C17" s="11" t="str">
        <x:v>2026年底</x:v>
      </x:c>
      <x:c r="D17" s="11" t="n">
        <x:v>107</x:v>
      </x:c>
      <x:c r="E17" s="11" t="str">
        <x:v>经营盈利桥</x:v>
      </x:c>
      <x:c r="F17" s="23" t="n">
        <x:f>'假设'!I47</x:f>
        <x:v>0</x:v>
      </x:c>
      <x:c r="G17" s="24" t="n">
        <x:f>'假设'!J47</x:f>
        <x:v>0</x:v>
      </x:c>
      <x:c r="H17" s="23" t="str">
        <x:f>'假设'!K47</x:f>
      </x:c>
      <x:c r="I17" s="23" t="n">
        <x:f>'经营桥'!M7</x:f>
        <x:v>5.5</x:v>
      </x:c>
      <x:c r="J17" s="23" t="n">
        <x:f>'假设'!F47</x:f>
        <x:v>22</x:v>
      </x:c>
      <x:c r="K17" s="23" t="n">
        <x:f>'假设'!G47</x:f>
        <x:v>1.1</x:v>
      </x:c>
      <x:c r="L17" s="23" t="n">
        <x:f>ROUND(I17*J17*K17,2)</x:f>
        <x:v>133.1</x:v>
      </x:c>
      <x:c r="M17" s="23" t="n">
        <x:f>'假设'!H47</x:f>
        <x:v>0</x:v>
      </x:c>
      <x:c r="N17" s="25" t="n">
        <x:f>L17/D17-1</x:f>
        <x:v>0.24392523364485985</x:v>
      </x:c>
      <x:c r="O17" s="25" t="n">
        <x:f>(L17+M17)/D17-1</x:f>
        <x:v>0.24392523364485985</x:v>
      </x:c>
      <x:c r="P17" s="25" t="str">
        <x:f>IF(Q17&gt;=3,(1+O17)^(1/Q17)-1,"")</x:f>
      </x:c>
      <x:c r="Q17" s="11" t="n">
        <x:v>0</x:v>
      </x:c>
      <x:c r="R17" s="11" t="n">
        <x:v>47</x:v>
      </x:c>
      <x:c r="T17" t="str">
        <x:v>CNY</x:v>
      </x:c>
    </x:row>
    <x:row r="18" ht="23" customHeight="1">
      <x:c r="A18" s="11" t="str">
        <x:v>09988.HK</x:v>
      </x:c>
      <x:c r="B18" s="11" t="str">
        <x:v>阿里巴巴-W</x:v>
      </x:c>
      <x:c r="C18" s="11" t="str">
        <x:v>半年</x:v>
      </x:c>
      <x:c r="D18" s="11" t="n">
        <x:v>107</x:v>
      </x:c>
      <x:c r="E18" s="11" t="str">
        <x:v>经营盈利桥</x:v>
      </x:c>
      <x:c r="F18" s="23" t="n">
        <x:f>'假设'!I51</x:f>
        <x:v>0</x:v>
      </x:c>
      <x:c r="G18" s="24" t="n">
        <x:f>'假设'!J51</x:f>
        <x:v>0</x:v>
      </x:c>
      <x:c r="H18" s="23" t="str">
        <x:f>'假设'!K51</x:f>
      </x:c>
      <x:c r="I18" s="23" t="n">
        <x:f>'经营桥'!M8</x:f>
        <x:v>6.28</x:v>
      </x:c>
      <x:c r="J18" s="23" t="n">
        <x:f>'假设'!F51</x:f>
        <x:v>22</x:v>
      </x:c>
      <x:c r="K18" s="23" t="n">
        <x:f>'假设'!G51</x:f>
        <x:v>1.1</x:v>
      </x:c>
      <x:c r="L18" s="23" t="n">
        <x:f>ROUND(I18*J18*K18,2)</x:f>
        <x:v>151.98</x:v>
      </x:c>
      <x:c r="M18" s="23" t="n">
        <x:f>'假设'!H51</x:f>
        <x:v>0</x:v>
      </x:c>
      <x:c r="N18" s="25" t="n">
        <x:f>L18/D18-1</x:f>
        <x:v>0.42037383177570087</x:v>
      </x:c>
      <x:c r="O18" s="25" t="n">
        <x:f>(L18+M18)/D18-1</x:f>
        <x:v>0.42037383177570087</x:v>
      </x:c>
      <x:c r="P18" s="25" t="str">
        <x:f>IF(Q18&gt;=3,(1+O18)^(1/Q18)-1,"")</x:f>
      </x:c>
      <x:c r="Q18" s="11" t="n">
        <x:v>0.5</x:v>
      </x:c>
      <x:c r="R18" s="11" t="n">
        <x:v>51</x:v>
      </x:c>
      <x:c r="T18" t="str">
        <x:v>CNY</x:v>
      </x:c>
    </x:row>
    <x:row r="19" ht="23" customHeight="1">
      <x:c r="A19" s="11" t="str">
        <x:v>09988.HK</x:v>
      </x:c>
      <x:c r="B19" s="11" t="str">
        <x:v>阿里巴巴-W</x:v>
      </x:c>
      <x:c r="C19" s="11" t="str">
        <x:v>一年</x:v>
      </x:c>
      <x:c r="D19" s="11" t="n">
        <x:v>107</x:v>
      </x:c>
      <x:c r="E19" s="11" t="str">
        <x:v>经营盈利桥</x:v>
      </x:c>
      <x:c r="F19" s="23" t="n">
        <x:f>'假设'!I55</x:f>
        <x:v>0</x:v>
      </x:c>
      <x:c r="G19" s="24" t="n">
        <x:f>'假设'!J55</x:f>
        <x:v>0</x:v>
      </x:c>
      <x:c r="H19" s="23" t="str">
        <x:f>'假设'!K55</x:f>
      </x:c>
      <x:c r="I19" s="23" t="n">
        <x:f>'经营桥'!M9</x:f>
        <x:v>7.43</x:v>
      </x:c>
      <x:c r="J19" s="23" t="n">
        <x:f>'假设'!F55</x:f>
        <x:v>21</x:v>
      </x:c>
      <x:c r="K19" s="23" t="n">
        <x:f>'假设'!G55</x:f>
        <x:v>1.1</x:v>
      </x:c>
      <x:c r="L19" s="23" t="n">
        <x:f>ROUND(I19*J19*K19,2)</x:f>
        <x:v>171.63</x:v>
      </x:c>
      <x:c r="M19" s="23" t="n">
        <x:f>'假设'!H55</x:f>
        <x:v>1.2</x:v>
      </x:c>
      <x:c r="N19" s="25" t="n">
        <x:f>L19/D19-1</x:f>
        <x:v>0.6040186915887851</x:v>
      </x:c>
      <x:c r="O19" s="25" t="n">
        <x:f>(L19+M19)/D19-1</x:f>
        <x:v>0.615233644859813</x:v>
      </x:c>
      <x:c r="P19" s="25" t="str">
        <x:f>IF(Q19&gt;=3,(1+O19)^(1/Q19)-1,"")</x:f>
      </x:c>
      <x:c r="Q19" s="11" t="n">
        <x:v>1</x:v>
      </x:c>
      <x:c r="R19" s="11" t="n">
        <x:v>55</x:v>
      </x:c>
      <x:c r="T19" t="str">
        <x:v>CNY</x:v>
      </x:c>
    </x:row>
    <x:row r="20" ht="23" customHeight="1">
      <x:c r="A20" s="11" t="str">
        <x:v>09988.HK</x:v>
      </x:c>
      <x:c r="B20" s="11" t="str">
        <x:v>阿里巴巴-W</x:v>
      </x:c>
      <x:c r="C20" s="11" t="str">
        <x:v>三年</x:v>
      </x:c>
      <x:c r="D20" s="11" t="n">
        <x:v>107</x:v>
      </x:c>
      <x:c r="E20" s="11" t="str">
        <x:v>经营盈利桥</x:v>
      </x:c>
      <x:c r="F20" s="23" t="n">
        <x:f>'假设'!I59</x:f>
        <x:v>0</x:v>
      </x:c>
      <x:c r="G20" s="24" t="n">
        <x:f>'假设'!J59</x:f>
        <x:v>0</x:v>
      </x:c>
      <x:c r="H20" s="23" t="str">
        <x:f>'假设'!K59</x:f>
      </x:c>
      <x:c r="I20" s="23" t="n">
        <x:f>'经营桥'!M10</x:f>
        <x:v>10.98</x:v>
      </x:c>
      <x:c r="J20" s="23" t="n">
        <x:f>'假设'!F59</x:f>
        <x:v>20</x:v>
      </x:c>
      <x:c r="K20" s="23" t="n">
        <x:f>'假设'!G59</x:f>
        <x:v>1.1</x:v>
      </x:c>
      <x:c r="L20" s="23" t="n">
        <x:f>ROUND(I20*J20*K20,2)</x:f>
        <x:v>241.56</x:v>
      </x:c>
      <x:c r="M20" s="23" t="n">
        <x:f>'假设'!H59</x:f>
        <x:v>4.5</x:v>
      </x:c>
      <x:c r="N20" s="25" t="n">
        <x:f>L20/D20-1</x:f>
        <x:v>1.257570093457944</x:v>
      </x:c>
      <x:c r="O20" s="25" t="n">
        <x:f>(L20+M20)/D20-1</x:f>
        <x:v>1.2996261682242989</x:v>
      </x:c>
      <x:c r="P20" s="25" t="n">
        <x:f>IF(Q20&gt;=3,(1+O20)^(1/Q20)-1,"")</x:f>
        <x:v>0.31993460194521584</x:v>
      </x:c>
      <x:c r="Q20" s="11" t="n">
        <x:v>3</x:v>
      </x:c>
      <x:c r="R20" s="11" t="n">
        <x:v>59</x:v>
      </x:c>
      <x:c r="T20" t="str">
        <x:v>CNY</x:v>
      </x:c>
    </x:row>
    <x:row r="21" ht="23" customHeight="1">
      <x:c r="A21" s="11" t="str">
        <x:v>09988.HK</x:v>
      </x:c>
      <x:c r="B21" s="11" t="str">
        <x:v>阿里巴巴-W</x:v>
      </x:c>
      <x:c r="C21" s="11" t="str">
        <x:v>五年</x:v>
      </x:c>
      <x:c r="D21" s="11" t="n">
        <x:v>107</x:v>
      </x:c>
      <x:c r="E21" s="11" t="str">
        <x:v>经营盈利桥</x:v>
      </x:c>
      <x:c r="F21" s="23" t="n">
        <x:f>'假设'!I63</x:f>
        <x:v>0</x:v>
      </x:c>
      <x:c r="G21" s="24" t="n">
        <x:f>'假设'!J63</x:f>
        <x:v>0</x:v>
      </x:c>
      <x:c r="H21" s="23" t="str">
        <x:f>'假设'!K63</x:f>
      </x:c>
      <x:c r="I21" s="23" t="n">
        <x:f>'经营桥'!M11</x:f>
        <x:v>15.02</x:v>
      </x:c>
      <x:c r="J21" s="23" t="n">
        <x:f>'假设'!F63</x:f>
        <x:v>18</x:v>
      </x:c>
      <x:c r="K21" s="23" t="n">
        <x:f>'假设'!G63</x:f>
        <x:v>1.1</x:v>
      </x:c>
      <x:c r="L21" s="23" t="n">
        <x:f>ROUND(I21*J21*K21,2)</x:f>
        <x:v>297.4</x:v>
      </x:c>
      <x:c r="M21" s="23" t="n">
        <x:f>'假设'!H63</x:f>
        <x:v>8</x:v>
      </x:c>
      <x:c r="N21" s="25" t="n">
        <x:f>L21/D21-1</x:f>
        <x:v>1.7794392523364482</x:v>
      </x:c>
      <x:c r="O21" s="25" t="n">
        <x:f>(L21+M21)/D21-1</x:f>
        <x:v>1.854205607476635</x:v>
      </x:c>
      <x:c r="P21" s="25" t="n">
        <x:f>IF(Q21&gt;=3,(1+O21)^(1/Q21)-1,"")</x:f>
        <x:v>0.23338042374066204</x:v>
      </x:c>
      <x:c r="Q21" s="11" t="n">
        <x:v>5</x:v>
      </x:c>
      <x:c r="R21" s="11" t="n">
        <x:v>63</x:v>
      </x:c>
      <x:c r="T21" t="str">
        <x:v>CNY</x:v>
      </x:c>
    </x:row>
    <x:row r="22" ht="23" customHeight="1">
      <x:c r="A22" s="11" t="str">
        <x:v>002821.SZ</x:v>
      </x:c>
      <x:c r="B22" s="11" t="str">
        <x:v>凯莱英</x:v>
      </x:c>
      <x:c r="C22" s="11" t="str">
        <x:v>2026年底</x:v>
      </x:c>
      <x:c r="D22" s="11" t="n">
        <x:v>177.93</x:v>
      </x:c>
      <x:c r="E22" s="11" t="str">
        <x:v>EPS</x:v>
      </x:c>
      <x:c r="F22" s="23" t="n">
        <x:f>'假设'!I67</x:f>
        <x:v>0</x:v>
      </x:c>
      <x:c r="G22" s="24" t="n">
        <x:f>'假设'!J67</x:f>
        <x:v>0</x:v>
      </x:c>
      <x:c r="H22" s="23" t="str">
        <x:f>'假设'!K67</x:f>
      </x:c>
      <x:c r="I22" s="23" t="n">
        <x:f>IF(E22="收入利润率",F22*G22/H22,'假设'!E67)</x:f>
        <x:v>4</x:v>
      </x:c>
      <x:c r="J22" s="23" t="n">
        <x:f>'假设'!F67</x:f>
        <x:v>43</x:v>
      </x:c>
      <x:c r="K22" s="23" t="n">
        <x:f>'假设'!G67</x:f>
        <x:v>1</x:v>
      </x:c>
      <x:c r="L22" s="23" t="n">
        <x:f>I22*J22*K22</x:f>
        <x:v>172</x:v>
      </x:c>
      <x:c r="M22" s="23" t="n">
        <x:f>'假设'!H67</x:f>
        <x:v>0</x:v>
      </x:c>
      <x:c r="N22" s="25" t="n">
        <x:f>L22/D22-1</x:f>
        <x:v>-0.03332771314561911</x:v>
      </x:c>
      <x:c r="O22" s="25" t="n">
        <x:f>(L22+M22)/D22-1</x:f>
        <x:v>-0.03332771314561911</x:v>
      </x:c>
      <x:c r="P22" s="25" t="str">
        <x:f>IF(Q22&gt;=3,(1+O22)^(1/Q22)-1,"")</x:f>
      </x:c>
      <x:c r="Q22" s="11" t="n">
        <x:v>0</x:v>
      </x:c>
      <x:c r="R22" s="11" t="n">
        <x:v>67</x:v>
      </x:c>
      <x:c r="T22" t="str">
        <x:v>CNY</x:v>
      </x:c>
    </x:row>
    <x:row r="23" ht="23" customHeight="1">
      <x:c r="A23" s="11" t="str">
        <x:v>002821.SZ</x:v>
      </x:c>
      <x:c r="B23" s="11" t="str">
        <x:v>凯莱英</x:v>
      </x:c>
      <x:c r="C23" s="11" t="str">
        <x:v>半年</x:v>
      </x:c>
      <x:c r="D23" s="11" t="n">
        <x:v>177.93</x:v>
      </x:c>
      <x:c r="E23" s="11" t="str">
        <x:v>EPS</x:v>
      </x:c>
      <x:c r="F23" s="23" t="n">
        <x:f>'假设'!I71</x:f>
        <x:v>0</x:v>
      </x:c>
      <x:c r="G23" s="24" t="n">
        <x:f>'假设'!J71</x:f>
        <x:v>0</x:v>
      </x:c>
      <x:c r="H23" s="23" t="str">
        <x:f>'假设'!K71</x:f>
      </x:c>
      <x:c r="I23" s="23" t="n">
        <x:f>IF(E23="收入利润率",F23*G23/H23,'假设'!E71)</x:f>
        <x:v>4.5</x:v>
      </x:c>
      <x:c r="J23" s="23" t="n">
        <x:f>'假设'!F71</x:f>
        <x:v>42</x:v>
      </x:c>
      <x:c r="K23" s="23" t="n">
        <x:f>'假设'!G71</x:f>
        <x:v>1</x:v>
      </x:c>
      <x:c r="L23" s="23" t="n">
        <x:f>I23*J23*K23</x:f>
        <x:v>189</x:v>
      </x:c>
      <x:c r="M23" s="23" t="n">
        <x:f>'假设'!H71</x:f>
        <x:v>0</x:v>
      </x:c>
      <x:c r="N23" s="25" t="n">
        <x:f>L23/D23-1</x:f>
        <x:v>0.06221547799696503</x:v>
      </x:c>
      <x:c r="O23" s="25" t="n">
        <x:f>(L23+M23)/D23-1</x:f>
        <x:v>0.06221547799696503</x:v>
      </x:c>
      <x:c r="P23" s="25" t="str">
        <x:f>IF(Q23&gt;=3,(1+O23)^(1/Q23)-1,"")</x:f>
      </x:c>
      <x:c r="Q23" s="11" t="n">
        <x:v>0.5</x:v>
      </x:c>
      <x:c r="R23" s="11" t="n">
        <x:v>71</x:v>
      </x:c>
      <x:c r="T23" t="str">
        <x:v>CNY</x:v>
      </x:c>
    </x:row>
    <x:row r="24" ht="23" customHeight="1">
      <x:c r="A24" s="11" t="str">
        <x:v>002821.SZ</x:v>
      </x:c>
      <x:c r="B24" s="11" t="str">
        <x:v>凯莱英</x:v>
      </x:c>
      <x:c r="C24" s="11" t="str">
        <x:v>一年</x:v>
      </x:c>
      <x:c r="D24" s="11" t="n">
        <x:v>177.93</x:v>
      </x:c>
      <x:c r="E24" s="11" t="str">
        <x:v>EPS</x:v>
      </x:c>
      <x:c r="F24" s="23" t="n">
        <x:f>'假设'!I75</x:f>
        <x:v>0</x:v>
      </x:c>
      <x:c r="G24" s="24" t="n">
        <x:f>'假设'!J75</x:f>
        <x:v>0</x:v>
      </x:c>
      <x:c r="H24" s="23" t="str">
        <x:f>'假设'!K75</x:f>
      </x:c>
      <x:c r="I24" s="23" t="n">
        <x:f>IF(E24="收入利润率",F24*G24/H24,'假设'!E75)</x:f>
        <x:v>6.5</x:v>
      </x:c>
      <x:c r="J24" s="23" t="n">
        <x:f>'假设'!F75</x:f>
        <x:v>40</x:v>
      </x:c>
      <x:c r="K24" s="23" t="n">
        <x:f>'假设'!G75</x:f>
        <x:v>1</x:v>
      </x:c>
      <x:c r="L24" s="23" t="n">
        <x:f>I24*J24*K24</x:f>
        <x:v>260</x:v>
      </x:c>
      <x:c r="M24" s="23" t="n">
        <x:f>'假设'!H75</x:f>
        <x:v>1.5</x:v>
      </x:c>
      <x:c r="N24" s="25" t="n">
        <x:f>L24/D24-1</x:f>
        <x:v>0.46124880571011073</x:v>
      </x:c>
      <x:c r="O24" s="25" t="n">
        <x:f>(L24+M24)/D24-1</x:f>
        <x:v>0.4696790872815151</x:v>
      </x:c>
      <x:c r="P24" s="25" t="str">
        <x:f>IF(Q24&gt;=3,(1+O24)^(1/Q24)-1,"")</x:f>
      </x:c>
      <x:c r="Q24" s="11" t="n">
        <x:v>1</x:v>
      </x:c>
      <x:c r="R24" s="11" t="n">
        <x:v>75</x:v>
      </x:c>
      <x:c r="T24" t="str">
        <x:v>CNY</x:v>
      </x:c>
    </x:row>
    <x:row r="25" ht="23" customHeight="1">
      <x:c r="A25" s="11" t="str">
        <x:v>002821.SZ</x:v>
      </x:c>
      <x:c r="B25" s="11" t="str">
        <x:v>凯莱英</x:v>
      </x:c>
      <x:c r="C25" s="11" t="str">
        <x:v>三年</x:v>
      </x:c>
      <x:c r="D25" s="11" t="n">
        <x:v>177.93</x:v>
      </x:c>
      <x:c r="E25" s="11" t="str">
        <x:v>EPS</x:v>
      </x:c>
      <x:c r="F25" s="23" t="n">
        <x:f>'假设'!I79</x:f>
        <x:v>0</x:v>
      </x:c>
      <x:c r="G25" s="24" t="n">
        <x:f>'假设'!J79</x:f>
        <x:v>0</x:v>
      </x:c>
      <x:c r="H25" s="23" t="str">
        <x:f>'假设'!K79</x:f>
      </x:c>
      <x:c r="I25" s="23" t="n">
        <x:f>IF(E25="收入利润率",F25*G25/H25,'假设'!E79)</x:f>
        <x:v>8.3</x:v>
      </x:c>
      <x:c r="J25" s="23" t="n">
        <x:f>'假设'!F79</x:f>
        <x:v>35</x:v>
      </x:c>
      <x:c r="K25" s="23" t="n">
        <x:f>'假设'!G79</x:f>
        <x:v>1</x:v>
      </x:c>
      <x:c r="L25" s="23" t="n">
        <x:f>I25*J25*K25</x:f>
        <x:v>290.5</x:v>
      </x:c>
      <x:c r="M25" s="23" t="n">
        <x:f>'假设'!H79</x:f>
        <x:v>6</x:v>
      </x:c>
      <x:c r="N25" s="25" t="n">
        <x:f>L25/D25-1</x:f>
        <x:v>0.6326645309953352</x:v>
      </x:c>
      <x:c r="O25" s="25" t="n">
        <x:f>(L25+M25)/D25-1</x:f>
        <x:v>0.6663856572809532</x:v>
      </x:c>
      <x:c r="P25" s="25" t="n">
        <x:f>IF(Q25&gt;=3,(1+O25)^(1/Q25)-1,"")</x:f>
        <x:v>0.18556446305783902</x:v>
      </x:c>
      <x:c r="Q25" s="11" t="n">
        <x:v>3</x:v>
      </x:c>
      <x:c r="R25" s="11" t="n">
        <x:v>79</x:v>
      </x:c>
      <x:c r="T25" t="str">
        <x:v>CNY</x:v>
      </x:c>
    </x:row>
    <x:row r="26" ht="23" customHeight="1">
      <x:c r="A26" s="11" t="str">
        <x:v>002821.SZ</x:v>
      </x:c>
      <x:c r="B26" s="11" t="str">
        <x:v>凯莱英</x:v>
      </x:c>
      <x:c r="C26" s="11" t="str">
        <x:v>五年</x:v>
      </x:c>
      <x:c r="D26" s="11" t="n">
        <x:v>177.93</x:v>
      </x:c>
      <x:c r="E26" s="11" t="str">
        <x:v>EPS</x:v>
      </x:c>
      <x:c r="F26" s="23" t="n">
        <x:f>'假设'!I83</x:f>
        <x:v>0</x:v>
      </x:c>
      <x:c r="G26" s="24" t="n">
        <x:f>'假设'!J83</x:f>
        <x:v>0</x:v>
      </x:c>
      <x:c r="H26" s="23" t="str">
        <x:f>'假设'!K83</x:f>
      </x:c>
      <x:c r="I26" s="23" t="n">
        <x:f>IF(E26="收入利润率",F26*G26/H26,'假设'!E83)</x:f>
        <x:v>11.5</x:v>
      </x:c>
      <x:c r="J26" s="23" t="n">
        <x:f>'假设'!F83</x:f>
        <x:v>32</x:v>
      </x:c>
      <x:c r="K26" s="23" t="n">
        <x:f>'假设'!G83</x:f>
        <x:v>1</x:v>
      </x:c>
      <x:c r="L26" s="23" t="n">
        <x:f>I26*J26*K26</x:f>
        <x:v>368</x:v>
      </x:c>
      <x:c r="M26" s="23" t="n">
        <x:f>'假设'!H83</x:f>
        <x:v>11</x:v>
      </x:c>
      <x:c r="N26" s="25" t="n">
        <x:f>L26/D26-1</x:f>
        <x:v>1.0682290788512336</x:v>
      </x:c>
      <x:c r="O26" s="25" t="n">
        <x:f>(L26+M26)/D26-1</x:f>
        <x:v>1.1300511437082</x:v>
      </x:c>
      <x:c r="P26" s="25" t="n">
        <x:f>IF(Q26&gt;=3,(1+O26)^(1/Q26)-1,"")</x:f>
        <x:v>0.16326324527044433</x:v>
      </x:c>
      <x:c r="Q26" s="11" t="n">
        <x:v>5</x:v>
      </x:c>
      <x:c r="R26" s="11" t="n">
        <x:v>83</x:v>
      </x:c>
      <x:c r="T26" t="str">
        <x:v>CNY</x:v>
      </x:c>
    </x:row>
    <x:row r="27" ht="23" customHeight="1">
      <x:c r="A27" s="11" t="str">
        <x:v>06821.HK</x:v>
      </x:c>
      <x:c r="B27" s="11" t="str">
        <x:v>凯莱英</x:v>
      </x:c>
      <x:c r="C27" s="11" t="str">
        <x:v>2026年底</x:v>
      </x:c>
      <x:c r="D27" s="11" t="n">
        <x:v>155.1</x:v>
      </x:c>
      <x:c r="E27" s="11" t="str">
        <x:v>EPS</x:v>
      </x:c>
      <x:c r="F27" s="23" t="n">
        <x:f>'假设'!I87</x:f>
        <x:v>0</x:v>
      </x:c>
      <x:c r="G27" s="24" t="n">
        <x:f>'假设'!J87</x:f>
        <x:v>0</x:v>
      </x:c>
      <x:c r="H27" s="23" t="str">
        <x:f>'假设'!K87</x:f>
      </x:c>
      <x:c r="I27" s="23" t="n">
        <x:f>IF(E27="收入利润率",F27*G27/H27,'假设'!E87)</x:f>
        <x:v>4</x:v>
      </x:c>
      <x:c r="J27" s="23" t="n">
        <x:f>'假设'!F87</x:f>
        <x:v>33</x:v>
      </x:c>
      <x:c r="K27" s="23" t="n">
        <x:f>'假设'!G87</x:f>
        <x:v>1.1</x:v>
      </x:c>
      <x:c r="L27" s="23" t="n">
        <x:f>I27*J27*K27</x:f>
        <x:v>145.20000000000002</x:v>
      </x:c>
      <x:c r="M27" s="23" t="n">
        <x:f>'假设'!H87</x:f>
        <x:v>0</x:v>
      </x:c>
      <x:c r="N27" s="25" t="n">
        <x:f>L27/D27-1</x:f>
        <x:v>-0.06382978723404242</x:v>
      </x:c>
      <x:c r="O27" s="25" t="n">
        <x:f>(L27+M27)/D27-1</x:f>
        <x:v>-0.06382978723404242</x:v>
      </x:c>
      <x:c r="P27" s="25" t="str">
        <x:f>IF(Q27&gt;=3,(1+O27)^(1/Q27)-1,"")</x:f>
      </x:c>
      <x:c r="Q27" s="11" t="n">
        <x:v>0</x:v>
      </x:c>
      <x:c r="R27" s="11" t="n">
        <x:v>87</x:v>
      </x:c>
      <x:c r="T27" t="str">
        <x:v>CNY</x:v>
      </x:c>
    </x:row>
    <x:row r="28" ht="23" customHeight="1">
      <x:c r="A28" s="11" t="str">
        <x:v>06821.HK</x:v>
      </x:c>
      <x:c r="B28" s="11" t="str">
        <x:v>凯莱英</x:v>
      </x:c>
      <x:c r="C28" s="11" t="str">
        <x:v>半年</x:v>
      </x:c>
      <x:c r="D28" s="11" t="n">
        <x:v>155.1</x:v>
      </x:c>
      <x:c r="E28" s="11" t="str">
        <x:v>EPS</x:v>
      </x:c>
      <x:c r="F28" s="23" t="n">
        <x:f>'假设'!I91</x:f>
        <x:v>0</x:v>
      </x:c>
      <x:c r="G28" s="24" t="n">
        <x:f>'假设'!J91</x:f>
        <x:v>0</x:v>
      </x:c>
      <x:c r="H28" s="23" t="str">
        <x:f>'假设'!K91</x:f>
      </x:c>
      <x:c r="I28" s="23" t="n">
        <x:f>IF(E28="收入利润率",F28*G28/H28,'假设'!E91)</x:f>
        <x:v>4.5</x:v>
      </x:c>
      <x:c r="J28" s="23" t="n">
        <x:f>'假设'!F91</x:f>
        <x:v>34</x:v>
      </x:c>
      <x:c r="K28" s="23" t="n">
        <x:f>'假设'!G91</x:f>
        <x:v>1.1</x:v>
      </x:c>
      <x:c r="L28" s="23" t="n">
        <x:f>I28*J28*K28</x:f>
        <x:v>168.3</x:v>
      </x:c>
      <x:c r="M28" s="23" t="n">
        <x:f>'假设'!H91</x:f>
        <x:v>0</x:v>
      </x:c>
      <x:c r="N28" s="25" t="n">
        <x:f>L28/D28-1</x:f>
        <x:v>0.08510638297872353</x:v>
      </x:c>
      <x:c r="O28" s="25" t="n">
        <x:f>(L28+M28)/D28-1</x:f>
        <x:v>0.08510638297872353</x:v>
      </x:c>
      <x:c r="P28" s="25" t="str">
        <x:f>IF(Q28&gt;=3,(1+O28)^(1/Q28)-1,"")</x:f>
      </x:c>
      <x:c r="Q28" s="11" t="n">
        <x:v>0.5</x:v>
      </x:c>
      <x:c r="R28" s="11" t="n">
        <x:v>91</x:v>
      </x:c>
      <x:c r="T28" t="str">
        <x:v>CNY</x:v>
      </x:c>
    </x:row>
    <x:row r="29" ht="23" customHeight="1">
      <x:c r="A29" s="11" t="str">
        <x:v>06821.HK</x:v>
      </x:c>
      <x:c r="B29" s="11" t="str">
        <x:v>凯莱英</x:v>
      </x:c>
      <x:c r="C29" s="11" t="str">
        <x:v>一年</x:v>
      </x:c>
      <x:c r="D29" s="11" t="n">
        <x:v>155.1</x:v>
      </x:c>
      <x:c r="E29" s="11" t="str">
        <x:v>EPS</x:v>
      </x:c>
      <x:c r="F29" s="23" t="n">
        <x:f>'假设'!I95</x:f>
        <x:v>0</x:v>
      </x:c>
      <x:c r="G29" s="24" t="n">
        <x:f>'假设'!J95</x:f>
        <x:v>0</x:v>
      </x:c>
      <x:c r="H29" s="23" t="str">
        <x:f>'假设'!K95</x:f>
      </x:c>
      <x:c r="I29" s="23" t="n">
        <x:f>IF(E29="收入利润率",F29*G29/H29,'假设'!E95)</x:f>
        <x:v>6.5</x:v>
      </x:c>
      <x:c r="J29" s="23" t="n">
        <x:f>'假设'!F95</x:f>
        <x:v>34</x:v>
      </x:c>
      <x:c r="K29" s="23" t="n">
        <x:f>'假设'!G95</x:f>
        <x:v>1.1</x:v>
      </x:c>
      <x:c r="L29" s="23" t="n">
        <x:f>I29*J29*K29</x:f>
        <x:v>243.10000000000002</x:v>
      </x:c>
      <x:c r="M29" s="23" t="n">
        <x:f>'假设'!H95</x:f>
        <x:v>1.6500000000000001</x:v>
      </x:c>
      <x:c r="N29" s="25" t="n">
        <x:f>L29/D29-1</x:f>
        <x:v>0.5673758865248228</x:v>
      </x:c>
      <x:c r="O29" s="25" t="n">
        <x:f>(L29+M29)/D29-1</x:f>
        <x:v>0.5780141843971633</x:v>
      </x:c>
      <x:c r="P29" s="25" t="str">
        <x:f>IF(Q29&gt;=3,(1+O29)^(1/Q29)-1,"")</x:f>
      </x:c>
      <x:c r="Q29" s="11" t="n">
        <x:v>1</x:v>
      </x:c>
      <x:c r="R29" s="11" t="n">
        <x:v>95</x:v>
      </x:c>
      <x:c r="T29" t="str">
        <x:v>CNY</x:v>
      </x:c>
    </x:row>
    <x:row r="30" ht="23" customHeight="1">
      <x:c r="A30" s="11" t="str">
        <x:v>06821.HK</x:v>
      </x:c>
      <x:c r="B30" s="11" t="str">
        <x:v>凯莱英</x:v>
      </x:c>
      <x:c r="C30" s="11" t="str">
        <x:v>三年</x:v>
      </x:c>
      <x:c r="D30" s="11" t="n">
        <x:v>155.1</x:v>
      </x:c>
      <x:c r="E30" s="11" t="str">
        <x:v>EPS</x:v>
      </x:c>
      <x:c r="F30" s="23" t="n">
        <x:f>'假设'!I99</x:f>
        <x:v>0</x:v>
      </x:c>
      <x:c r="G30" s="24" t="n">
        <x:f>'假设'!J99</x:f>
        <x:v>0</x:v>
      </x:c>
      <x:c r="H30" s="23" t="str">
        <x:f>'假设'!K99</x:f>
      </x:c>
      <x:c r="I30" s="23" t="n">
        <x:f>IF(E30="收入利润率",F30*G30/H30,'假设'!E99)</x:f>
        <x:v>8.3</x:v>
      </x:c>
      <x:c r="J30" s="23" t="n">
        <x:f>'假设'!F99</x:f>
        <x:v>30</x:v>
      </x:c>
      <x:c r="K30" s="23" t="n">
        <x:f>'假设'!G99</x:f>
        <x:v>1.1</x:v>
      </x:c>
      <x:c r="L30" s="23" t="n">
        <x:f>I30*J30*K30</x:f>
        <x:v>273.90000000000003</x:v>
      </x:c>
      <x:c r="M30" s="23" t="n">
        <x:f>'假设'!H99</x:f>
        <x:v>6.6000000000000005</x:v>
      </x:c>
      <x:c r="N30" s="25" t="n">
        <x:f>L30/D30-1</x:f>
        <x:v>0.7659574468085109</x:v>
      </x:c>
      <x:c r="O30" s="25" t="n">
        <x:f>(L30+M30)/D30-1</x:f>
        <x:v>0.8085106382978728</x:v>
      </x:c>
      <x:c r="P30" s="25" t="n">
        <x:f>IF(Q30&gt;=3,(1+O30)^(1/Q30)-1,"")</x:f>
        <x:v>0.21835454924145314</x:v>
      </x:c>
      <x:c r="Q30" s="11" t="n">
        <x:v>3</x:v>
      </x:c>
      <x:c r="R30" s="11" t="n">
        <x:v>99</x:v>
      </x:c>
      <x:c r="T30" t="str">
        <x:v>CNY</x:v>
      </x:c>
    </x:row>
    <x:row r="31" ht="23" customHeight="1">
      <x:c r="A31" s="11" t="str">
        <x:v>06821.HK</x:v>
      </x:c>
      <x:c r="B31" s="11" t="str">
        <x:v>凯莱英</x:v>
      </x:c>
      <x:c r="C31" s="11" t="str">
        <x:v>五年</x:v>
      </x:c>
      <x:c r="D31" s="11" t="n">
        <x:v>155.1</x:v>
      </x:c>
      <x:c r="E31" s="11" t="str">
        <x:v>EPS</x:v>
      </x:c>
      <x:c r="F31" s="23" t="n">
        <x:f>'假设'!I103</x:f>
        <x:v>0</x:v>
      </x:c>
      <x:c r="G31" s="24" t="n">
        <x:f>'假设'!J103</x:f>
        <x:v>0</x:v>
      </x:c>
      <x:c r="H31" s="23" t="str">
        <x:f>'假设'!K103</x:f>
      </x:c>
      <x:c r="I31" s="23" t="n">
        <x:f>IF(E31="收入利润率",F31*G31/H31,'假设'!E103)</x:f>
        <x:v>11.5</x:v>
      </x:c>
      <x:c r="J31" s="23" t="n">
        <x:f>'假设'!F103</x:f>
        <x:v>28</x:v>
      </x:c>
      <x:c r="K31" s="23" t="n">
        <x:f>'假设'!G103</x:f>
        <x:v>1.1</x:v>
      </x:c>
      <x:c r="L31" s="23" t="n">
        <x:f>I31*J31*K31</x:f>
        <x:v>354.20000000000005</x:v>
      </x:c>
      <x:c r="M31" s="23" t="n">
        <x:f>'假设'!H103</x:f>
        <x:v>12.100000000000001</x:v>
      </x:c>
      <x:c r="N31" s="25" t="n">
        <x:f>L31/D31-1</x:f>
        <x:v>1.2836879432624118</x:v>
      </x:c>
      <x:c r="O31" s="25" t="n">
        <x:f>(L31+M31)/D31-1</x:f>
        <x:v>1.361702127659575</x:v>
      </x:c>
      <x:c r="P31" s="25" t="n">
        <x:f>IF(Q31&gt;=3,(1+O31)^(1/Q31)-1,"")</x:f>
        <x:v>0.18753118771467236</x:v>
      </x:c>
      <x:c r="Q31" s="11" t="n">
        <x:v>5</x:v>
      </x:c>
      <x:c r="R31" s="11" t="n">
        <x:v>103</x:v>
      </x:c>
      <x:c r="T31" t="str">
        <x:v>CNY</x:v>
      </x:c>
    </x:row>
    <x:row r="32" ht="23" customHeight="1">
      <x:c r="A32" s="11" t="str">
        <x:v>09888.HK</x:v>
      </x:c>
      <x:c r="B32" s="11" t="str">
        <x:v>百度集团-W</x:v>
      </x:c>
      <x:c r="C32" s="11" t="str">
        <x:v>2026年底</x:v>
      </x:c>
      <x:c r="D32" s="11" t="n">
        <x:v>83</x:v>
      </x:c>
      <x:c r="E32" s="11" t="str">
        <x:v>互斥AI经营桥</x:v>
      </x:c>
      <x:c r="F32" s="23" t="n">
        <x:f>'假设'!I107</x:f>
        <x:v>0</x:v>
      </x:c>
      <x:c r="G32" s="24" t="n">
        <x:f>'假设'!J107</x:f>
        <x:v>0</x:v>
      </x:c>
      <x:c r="H32" s="23" t="str">
        <x:f>'假设'!K107</x:f>
      </x:c>
      <x:c r="I32" s="23" t="n">
        <x:f>'AI经营桥'!L7</x:f>
        <x:v>4.806</x:v>
      </x:c>
      <x:c r="J32" s="23" t="n">
        <x:f>'假设'!F107</x:f>
        <x:v>19</x:v>
      </x:c>
      <x:c r="K32" s="23" t="n">
        <x:f>'假设'!G107</x:f>
        <x:v>1.1</x:v>
      </x:c>
      <x:c r="L32" s="23" t="n">
        <x:f>'AI经营桥'!O7</x:f>
        <x:v>100.45</x:v>
      </x:c>
      <x:c r="M32" s="23" t="n">
        <x:f>'假设'!H107</x:f>
        <x:v>0</x:v>
      </x:c>
      <x:c r="N32" s="25" t="n">
        <x:f>L32/D32-1</x:f>
        <x:v>0.21024096385542168</x:v>
      </x:c>
      <x:c r="O32" s="25" t="n">
        <x:f>(L32+M32)/D32-1</x:f>
        <x:v>0.21024096385542168</x:v>
      </x:c>
      <x:c r="P32" s="25" t="str">
        <x:f>IF(Q32&gt;=3,(1+O32)^(1/Q32)-1,"")</x:f>
      </x:c>
      <x:c r="Q32" s="11" t="n">
        <x:v>0</x:v>
      </x:c>
      <x:c r="R32" s="11" t="n">
        <x:v>107</x:v>
      </x:c>
      <x:c r="T32" t="str">
        <x:v>CNY</x:v>
      </x:c>
    </x:row>
    <x:row r="33" ht="23" customHeight="1">
      <x:c r="A33" s="11" t="str">
        <x:v>09888.HK</x:v>
      </x:c>
      <x:c r="B33" s="11" t="str">
        <x:v>百度集团-W</x:v>
      </x:c>
      <x:c r="C33" s="11" t="str">
        <x:v>半年</x:v>
      </x:c>
      <x:c r="D33" s="11" t="n">
        <x:v>83</x:v>
      </x:c>
      <x:c r="E33" s="11" t="str">
        <x:v>互斥AI经营桥</x:v>
      </x:c>
      <x:c r="F33" s="23" t="n">
        <x:f>'假设'!I111</x:f>
        <x:v>0</x:v>
      </x:c>
      <x:c r="G33" s="24" t="n">
        <x:f>'假设'!J111</x:f>
        <x:v>0</x:v>
      </x:c>
      <x:c r="H33" s="23" t="str">
        <x:f>'假设'!K111</x:f>
      </x:c>
      <x:c r="I33" s="23" t="n">
        <x:f>'AI经营桥'!L8</x:f>
        <x:v>4.888</x:v>
      </x:c>
      <x:c r="J33" s="23" t="n">
        <x:f>'假设'!F111</x:f>
        <x:v>20</x:v>
      </x:c>
      <x:c r="K33" s="23" t="n">
        <x:f>'假设'!G111</x:f>
        <x:v>1.1</x:v>
      </x:c>
      <x:c r="L33" s="23" t="n">
        <x:f>'AI经营桥'!O8</x:f>
        <x:v>107.54</x:v>
      </x:c>
      <x:c r="M33" s="23" t="n">
        <x:f>'假设'!H111</x:f>
        <x:v>0</x:v>
      </x:c>
      <x:c r="N33" s="25" t="n">
        <x:f>L33/D33-1</x:f>
        <x:v>0.2956626506024098</x:v>
      </x:c>
      <x:c r="O33" s="25" t="n">
        <x:f>(L33+M33)/D33-1</x:f>
        <x:v>0.2956626506024098</x:v>
      </x:c>
      <x:c r="P33" s="25" t="str">
        <x:f>IF(Q33&gt;=3,(1+O33)^(1/Q33)-1,"")</x:f>
      </x:c>
      <x:c r="Q33" s="11" t="n">
        <x:v>0.5</x:v>
      </x:c>
      <x:c r="R33" s="11" t="n">
        <x:v>111</x:v>
      </x:c>
      <x:c r="T33" t="str">
        <x:v>CNY</x:v>
      </x:c>
    </x:row>
    <x:row r="34" ht="23" customHeight="1">
      <x:c r="A34" s="11" t="str">
        <x:v>09888.HK</x:v>
      </x:c>
      <x:c r="B34" s="11" t="str">
        <x:v>百度集团-W</x:v>
      </x:c>
      <x:c r="C34" s="11" t="str">
        <x:v>一年</x:v>
      </x:c>
      <x:c r="D34" s="11" t="n">
        <x:v>83</x:v>
      </x:c>
      <x:c r="E34" s="11" t="str">
        <x:v>互斥AI经营桥</x:v>
      </x:c>
      <x:c r="F34" s="23" t="n">
        <x:f>'假设'!I115</x:f>
        <x:v>0</x:v>
      </x:c>
      <x:c r="G34" s="24" t="n">
        <x:f>'假设'!J115</x:f>
        <x:v>0</x:v>
      </x:c>
      <x:c r="H34" s="23" t="str">
        <x:f>'假设'!K115</x:f>
      </x:c>
      <x:c r="I34" s="23" t="n">
        <x:f>'AI经营桥'!L9</x:f>
        <x:v>5.182</x:v>
      </x:c>
      <x:c r="J34" s="23" t="n">
        <x:f>'假设'!F115</x:f>
        <x:v>21</x:v>
      </x:c>
      <x:c r="K34" s="23" t="n">
        <x:f>'假设'!G115</x:f>
        <x:v>1.1</x:v>
      </x:c>
      <x:c r="L34" s="23" t="n">
        <x:f>'AI经营桥'!O9</x:f>
        <x:v>119.7</x:v>
      </x:c>
      <x:c r="M34" s="23" t="n">
        <x:f>'假设'!H115</x:f>
        <x:v>0</x:v>
      </x:c>
      <x:c r="N34" s="25" t="n">
        <x:f>L34/D34-1</x:f>
        <x:v>0.44216867469879517</x:v>
      </x:c>
      <x:c r="O34" s="25" t="n">
        <x:f>(L34+M34)/D34-1</x:f>
        <x:v>0.44216867469879517</x:v>
      </x:c>
      <x:c r="P34" s="25" t="str">
        <x:f>IF(Q34&gt;=3,(1+O34)^(1/Q34)-1,"")</x:f>
      </x:c>
      <x:c r="Q34" s="11" t="n">
        <x:v>1</x:v>
      </x:c>
      <x:c r="R34" s="11" t="n">
        <x:v>115</x:v>
      </x:c>
      <x:c r="T34" t="str">
        <x:v>CNY</x:v>
      </x:c>
    </x:row>
    <x:row r="35" ht="23" customHeight="1">
      <x:c r="A35" s="11" t="str">
        <x:v>09888.HK</x:v>
      </x:c>
      <x:c r="B35" s="11" t="str">
        <x:v>百度集团-W</x:v>
      </x:c>
      <x:c r="C35" s="11" t="str">
        <x:v>三年</x:v>
      </x:c>
      <x:c r="D35" s="11" t="n">
        <x:v>83</x:v>
      </x:c>
      <x:c r="E35" s="11" t="str">
        <x:v>互斥AI经营桥</x:v>
      </x:c>
      <x:c r="F35" s="23" t="n">
        <x:f>'假设'!I119</x:f>
        <x:v>0</x:v>
      </x:c>
      <x:c r="G35" s="24" t="n">
        <x:f>'假设'!J119</x:f>
        <x:v>0</x:v>
      </x:c>
      <x:c r="H35" s="23" t="str">
        <x:f>'假设'!K119</x:f>
      </x:c>
      <x:c r="I35" s="23" t="n">
        <x:f>'AI经营桥'!L10</x:f>
        <x:v>6.82</x:v>
      </x:c>
      <x:c r="J35" s="23" t="n">
        <x:f>'假设'!F119</x:f>
        <x:v>23</x:v>
      </x:c>
      <x:c r="K35" s="23" t="n">
        <x:f>'假设'!G119</x:f>
        <x:v>1.1</x:v>
      </x:c>
      <x:c r="L35" s="23" t="n">
        <x:f>'AI经营桥'!O10</x:f>
        <x:v>172.55</x:v>
      </x:c>
      <x:c r="M35" s="23" t="n">
        <x:f>'假设'!H119</x:f>
        <x:v>3</x:v>
      </x:c>
      <x:c r="N35" s="25" t="n">
        <x:f>L35/D35-1</x:f>
        <x:v>1.0789156626506027</x:v>
      </x:c>
      <x:c r="O35" s="25" t="n">
        <x:f>(L35+M35)/D35-1</x:f>
        <x:v>1.1150602409638557</x:v>
      </x:c>
      <x:c r="P35" s="25" t="n">
        <x:f>IF(Q35&gt;=3,(1+O35)^(1/Q35)-1,"")</x:f>
        <x:v>0.2836331190431751</x:v>
      </x:c>
      <x:c r="Q35" s="11" t="n">
        <x:v>3</x:v>
      </x:c>
      <x:c r="R35" s="11" t="n">
        <x:v>119</x:v>
      </x:c>
      <x:c r="T35" t="str">
        <x:v>CNY</x:v>
      </x:c>
    </x:row>
    <x:row r="36" ht="23" customHeight="1">
      <x:c r="A36" s="11" t="str">
        <x:v>09888.HK</x:v>
      </x:c>
      <x:c r="B36" s="11" t="str">
        <x:v>百度集团-W</x:v>
      </x:c>
      <x:c r="C36" s="11" t="str">
        <x:v>五年</x:v>
      </x:c>
      <x:c r="D36" s="11" t="n">
        <x:v>83</x:v>
      </x:c>
      <x:c r="E36" s="11" t="str">
        <x:v>互斥AI经营桥</x:v>
      </x:c>
      <x:c r="F36" s="23" t="n">
        <x:f>'假设'!I123</x:f>
        <x:v>0</x:v>
      </x:c>
      <x:c r="G36" s="24" t="n">
        <x:f>'假设'!J123</x:f>
        <x:v>0</x:v>
      </x:c>
      <x:c r="H36" s="23" t="str">
        <x:f>'假设'!K123</x:f>
      </x:c>
      <x:c r="I36" s="23" t="n">
        <x:f>'AI经营桥'!L11</x:f>
        <x:v>8.539</x:v>
      </x:c>
      <x:c r="J36" s="23" t="n">
        <x:f>'假设'!F123</x:f>
        <x:v>23</x:v>
      </x:c>
      <x:c r="K36" s="23" t="n">
        <x:f>'假设'!G123</x:f>
        <x:v>1.1</x:v>
      </x:c>
      <x:c r="L36" s="23" t="n">
        <x:f>'AI经营桥'!O11</x:f>
        <x:v>216.04</x:v>
      </x:c>
      <x:c r="M36" s="23" t="n">
        <x:f>'假设'!H123</x:f>
        <x:v>7</x:v>
      </x:c>
      <x:c r="N36" s="25" t="n">
        <x:f>L36/D36-1</x:f>
        <x:v>1.6028915662650602</x:v>
      </x:c>
      <x:c r="O36" s="25" t="n">
        <x:f>(L36+M36)/D36-1</x:f>
        <x:v>1.6872289156626503</x:v>
      </x:c>
      <x:c r="P36" s="25" t="n">
        <x:f>IF(Q36&gt;=3,(1+O36)^(1/Q36)-1,"")</x:f>
        <x:v>0.21859932382689906</x:v>
      </x:c>
      <x:c r="Q36" s="11" t="n">
        <x:v>5</x:v>
      </x:c>
      <x:c r="R36" s="11" t="n">
        <x:v>123</x:v>
      </x:c>
      <x:c r="T36" t="str">
        <x:v>CNY</x:v>
      </x:c>
    </x:row>
    <x:row r="37" ht="23" customHeight="1">
      <x:c r="A37" s="11" t="str">
        <x:v>688235.SH</x:v>
      </x:c>
      <x:c r="B37" s="11" t="str">
        <x:v>百济神州</x:v>
      </x:c>
      <x:c r="C37" s="11" t="str">
        <x:v>2026年底</x:v>
      </x:c>
      <x:c r="D37" s="11" t="n">
        <x:v>249.42</x:v>
      </x:c>
      <x:c r="E37" s="11" t="str">
        <x:v>USD产品经营桥</x:v>
      </x:c>
      <x:c r="F37" s="23" t="str">
        <x:f>'假设'!I127</x:f>
      </x:c>
      <x:c r="G37" s="24" t="n">
        <x:f>'假设'!J127</x:f>
        <x:v>0.18486329113924047</x:v>
      </x:c>
      <x:c r="H37" s="23" t="n">
        <x:f>'产品经营桥'!K7</x:f>
        <x:v>1.54</x:v>
      </x:c>
      <x:c r="I37" s="23" t="n">
        <x:f>'产品经营桥'!L7</x:f>
        <x:v>0.9483246753246749</x:v>
      </x:c>
      <x:c r="J37" s="23" t="n">
        <x:f>'假设'!F127</x:f>
        <x:v>40</x:v>
      </x:c>
      <x:c r="K37" s="23" t="n">
        <x:f>'假设'!G127</x:f>
        <x:v>7.090909090909091</x:v>
      </x:c>
      <x:c r="L37" s="23" t="n">
        <x:f>'产品经营桥'!Q7</x:f>
        <x:v>281.3539197166469</x:v>
      </x:c>
      <x:c r="M37" s="23" t="n">
        <x:f>'假设'!H127</x:f>
        <x:v>0</x:v>
      </x:c>
      <x:c r="N37" s="25" t="n">
        <x:f>L37/D37-1</x:f>
        <x:v>0.12803271476484213</x:v>
      </x:c>
      <x:c r="O37" s="25" t="n">
        <x:f>(L37+M37)/D37-1</x:f>
        <x:v>0.12803271476484213</x:v>
      </x:c>
      <x:c r="P37" s="25" t="str">
        <x:f>IF(Q37&gt;=3,(1+O37)^(1/Q37)-1,"")</x:f>
      </x:c>
      <x:c r="Q37" s="11" t="n">
        <x:v>0</x:v>
      </x:c>
      <x:c r="R37" s="11" t="n">
        <x:v>127</x:v>
      </x:c>
      <x:c r="T37" t="str">
        <x:v>USD</x:v>
      </x:c>
    </x:row>
    <x:row r="38" ht="23" customHeight="1">
      <x:c r="A38" s="11" t="str">
        <x:v>688235.SH</x:v>
      </x:c>
      <x:c r="B38" s="11" t="str">
        <x:v>百济神州</x:v>
      </x:c>
      <x:c r="C38" s="11" t="str">
        <x:v>半年</x:v>
      </x:c>
      <x:c r="D38" s="11" t="n">
        <x:v>249.42</x:v>
      </x:c>
      <x:c r="E38" s="11" t="str">
        <x:v>USD产品经营桥</x:v>
      </x:c>
      <x:c r="F38" s="23" t="str">
        <x:f>'假设'!I131</x:f>
      </x:c>
      <x:c r="G38" s="24" t="n">
        <x:f>'假设'!J131</x:f>
        <x:v>0.21241904761904756</x:v>
      </x:c>
      <x:c r="H38" s="23" t="n">
        <x:f>'产品经营桥'!K8</x:f>
        <x:v>1.56</x:v>
      </x:c>
      <x:c r="I38" s="23" t="n">
        <x:f>'产品经营桥'!L8</x:f>
        <x:v>1.1437948717948712</x:v>
      </x:c>
      <x:c r="J38" s="23" t="n">
        <x:f>'假设'!F131</x:f>
        <x:v>36</x:v>
      </x:c>
      <x:c r="K38" s="23" t="n">
        <x:f>'假设'!G131</x:f>
        <x:v>7.090909090909091</x:v>
      </x:c>
      <x:c r="L38" s="23" t="n">
        <x:f>'产品经营桥'!Q8</x:f>
        <x:v>305.6159999999998</x:v>
      </x:c>
      <x:c r="M38" s="23" t="n">
        <x:f>'假设'!H131</x:f>
        <x:v>0</x:v>
      </x:c>
      <x:c r="N38" s="25" t="n">
        <x:f>L38/D38-1</x:f>
        <x:v>0.2253067115708436</x:v>
      </x:c>
      <x:c r="O38" s="25" t="n">
        <x:f>(L38+M38)/D38-1</x:f>
        <x:v>0.2253067115708436</x:v>
      </x:c>
      <x:c r="P38" s="25" t="str">
        <x:f>IF(Q38&gt;=3,(1+O38)^(1/Q38)-1,"")</x:f>
      </x:c>
      <x:c r="Q38" s="11" t="n">
        <x:v>0.5</x:v>
      </x:c>
      <x:c r="R38" s="11" t="n">
        <x:v>131</x:v>
      </x:c>
      <x:c r="T38" t="str">
        <x:v>USD</x:v>
      </x:c>
    </x:row>
    <x:row r="39" ht="23" customHeight="1">
      <x:c r="A39" s="11" t="str">
        <x:v>688235.SH</x:v>
      </x:c>
      <x:c r="B39" s="11" t="str">
        <x:v>百济神州</x:v>
      </x:c>
      <x:c r="C39" s="11" t="str">
        <x:v>一年</x:v>
      </x:c>
      <x:c r="D39" s="11" t="n">
        <x:v>249.42</x:v>
      </x:c>
      <x:c r="E39" s="11" t="str">
        <x:v>USD产品经营桥</x:v>
      </x:c>
      <x:c r="F39" s="23" t="str">
        <x:f>'假设'!I135</x:f>
      </x:c>
      <x:c r="G39" s="24" t="n">
        <x:f>'假设'!J135</x:f>
        <x:v>0.25596135265700476</x:v>
      </x:c>
      <x:c r="H39" s="23" t="n">
        <x:f>'产品经营桥'!K9</x:f>
        <x:v>1.6</x:v>
      </x:c>
      <x:c r="I39" s="23" t="n">
        <x:f>'产品经营桥'!L9</x:f>
        <x:v>2.1007499999999997</x:v>
      </x:c>
      <x:c r="J39" s="23" t="n">
        <x:f>'假设'!F135</x:f>
        <x:v>33.349999999999994</x:v>
      </x:c>
      <x:c r="K39" s="23" t="n">
        <x:f>'假设'!G135</x:f>
        <x:v>7.090909090909091</x:v>
      </x:c>
      <x:c r="L39" s="23" t="n">
        <x:f>'产品经营桥'!Q9</x:f>
        <x:v>516.1562249999998</x:v>
      </x:c>
      <x:c r="M39" s="23" t="n">
        <x:f>'假设'!H135</x:f>
        <x:v>0</x:v>
      </x:c>
      <x:c r="N39" s="25" t="n">
        <x:f>L39/D39-1</x:f>
        <x:v>1.069425968246331</x:v>
      </x:c>
      <x:c r="O39" s="25" t="n">
        <x:f>(L39+M39)/D39-1</x:f>
        <x:v>1.069425968246331</x:v>
      </x:c>
      <x:c r="P39" s="25" t="str">
        <x:f>IF(Q39&gt;=3,(1+O39)^(1/Q39)-1,"")</x:f>
      </x:c>
      <x:c r="Q39" s="11" t="n">
        <x:v>1</x:v>
      </x:c>
      <x:c r="R39" s="11" t="n">
        <x:v>135</x:v>
      </x:c>
      <x:c r="T39" t="str">
        <x:v>USD</x:v>
      </x:c>
    </x:row>
    <x:row r="40" ht="23" customHeight="1">
      <x:c r="A40" s="11" t="str">
        <x:v>688235.SH</x:v>
      </x:c>
      <x:c r="B40" s="11" t="str">
        <x:v>百济神州</x:v>
      </x:c>
      <x:c r="C40" s="11" t="str">
        <x:v>三年</x:v>
      </x:c>
      <x:c r="D40" s="11" t="n">
        <x:v>249.42</x:v>
      </x:c>
      <x:c r="E40" s="11" t="str">
        <x:v>USD产品经营桥</x:v>
      </x:c>
      <x:c r="F40" s="23" t="str">
        <x:f>'假设'!I139</x:f>
      </x:c>
      <x:c r="G40" s="24" t="n">
        <x:f>'假设'!J139</x:f>
        <x:v>0.2786223880597016</x:v>
      </x:c>
      <x:c r="H40" s="23" t="n">
        <x:f>'产品经营桥'!K10</x:f>
        <x:v>1.68</x:v>
      </x:c>
      <x:c r="I40" s="23" t="n">
        <x:f>'产品经营桥'!L10</x:f>
        <x:v>2.222345238095239</x:v>
      </x:c>
      <x:c r="J40" s="23" t="n">
        <x:f>'假设'!F139</x:f>
        <x:v>29.160000000000004</x:v>
      </x:c>
      <x:c r="K40" s="23" t="n">
        <x:f>'假设'!G139</x:f>
        <x:v>7.090909090909091</x:v>
      </x:c>
      <x:c r="L40" s="23" t="n">
        <x:f>'产品经营桥'!Q10</x:f>
        <x:v>493.704656883117</x:v>
      </x:c>
      <x:c r="M40" s="23" t="n">
        <x:f>'假设'!H139</x:f>
        <x:v>0</x:v>
      </x:c>
      <x:c r="N40" s="25" t="n">
        <x:f>L40/D40-1</x:f>
        <x:v>0.9794108607293603</x:v>
      </x:c>
      <x:c r="O40" s="25" t="n">
        <x:f>(L40+M40)/D40-1</x:f>
        <x:v>0.9794108607293603</x:v>
      </x:c>
      <x:c r="P40" s="25" t="n">
        <x:f>IF(Q40&gt;=3,(1+O40)^(1/Q40)-1,"")</x:f>
        <x:v>0.25558268011689633</x:v>
      </x:c>
      <x:c r="Q40" s="11" t="n">
        <x:v>3</x:v>
      </x:c>
      <x:c r="R40" s="11" t="n">
        <x:v>139</x:v>
      </x:c>
      <x:c r="T40" t="str">
        <x:v>USD</x:v>
      </x:c>
    </x:row>
    <x:row r="41" ht="23" customHeight="1">
      <x:c r="A41" s="11" t="str">
        <x:v>688235.SH</x:v>
      </x:c>
      <x:c r="B41" s="11" t="str">
        <x:v>百济神州</x:v>
      </x:c>
      <x:c r="C41" s="11" t="str">
        <x:v>五年</x:v>
      </x:c>
      <x:c r="D41" s="11" t="n">
        <x:v>249.42</x:v>
      </x:c>
      <x:c r="E41" s="11" t="str">
        <x:v>USD产品经营桥</x:v>
      </x:c>
      <x:c r="F41" s="23" t="str">
        <x:f>'假设'!I143</x:f>
      </x:c>
      <x:c r="G41" s="24" t="n">
        <x:f>'假设'!J143</x:f>
        <x:v>0.3019714285714286</x:v>
      </x:c>
      <x:c r="H41" s="23" t="n">
        <x:f>'产品经营桥'!K11</x:f>
        <x:v>1.8</x:v>
      </x:c>
      <x:c r="I41" s="23" t="n">
        <x:f>'产品经营桥'!L11</x:f>
        <x:v>2.9358333333333335</x:v>
      </x:c>
      <x:c r="J41" s="23" t="n">
        <x:f>'假设'!F143</x:f>
        <x:v>26</x:v>
      </x:c>
      <x:c r="K41" s="23" t="n">
        <x:f>'假设'!G143</x:f>
        <x:v>7.090909090909091</x:v>
      </x:c>
      <x:c r="L41" s="23" t="n">
        <x:f>'产品经营桥'!Q11</x:f>
        <x:v>594.5215151515151</x:v>
      </x:c>
      <x:c r="M41" s="23" t="n">
        <x:f>'假设'!H143</x:f>
        <x:v>0</x:v>
      </x:c>
      <x:c r="N41" s="25" t="n">
        <x:f>L41/D41-1</x:f>
        <x:v>1.3836160498416934</x:v>
      </x:c>
      <x:c r="O41" s="25" t="n">
        <x:f>(L41+M41)/D41-1</x:f>
        <x:v>1.3836160498416934</x:v>
      </x:c>
      <x:c r="P41" s="25" t="n">
        <x:f>IF(Q41&gt;=3,(1+O41)^(1/Q41)-1,"")</x:f>
        <x:v>0.18972684250747096</x:v>
      </x:c>
      <x:c r="Q41" s="11" t="n">
        <x:v>5</x:v>
      </x:c>
      <x:c r="R41" s="11" t="n">
        <x:v>143</x:v>
      </x:c>
      <x:c r="T41" t="str">
        <x:v>USD</x:v>
      </x:c>
    </x:row>
    <x:row r="42" ht="23" customHeight="1">
      <x:c r="A42" s="11" t="str">
        <x:v>06160.HK</x:v>
      </x:c>
      <x:c r="B42" s="11" t="str">
        <x:v>百济神州</x:v>
      </x:c>
      <x:c r="C42" s="11" t="str">
        <x:v>2026年底</x:v>
      </x:c>
      <x:c r="D42" s="11" t="n">
        <x:v>209.6</x:v>
      </x:c>
      <x:c r="E42" s="11" t="str">
        <x:v>USD产品经营桥</x:v>
      </x:c>
      <x:c r="F42" s="23" t="str">
        <x:f>'假设'!I147</x:f>
      </x:c>
      <x:c r="G42" s="24" t="n">
        <x:f>'假设'!J147</x:f>
        <x:v>0.18486329113924047</x:v>
      </x:c>
      <x:c r="H42" s="23" t="n">
        <x:f>'产品经营桥'!K12</x:f>
        <x:v>1.54</x:v>
      </x:c>
      <x:c r="I42" s="23" t="n">
        <x:f>'产品经营桥'!L12</x:f>
        <x:v>0.9483246753246749</x:v>
      </x:c>
      <x:c r="J42" s="23" t="n">
        <x:f>'假设'!F147</x:f>
        <x:v>32</x:v>
      </x:c>
      <x:c r="K42" s="23" t="n">
        <x:f>'假设'!G147</x:f>
        <x:v>7.8</x:v>
      </x:c>
      <x:c r="L42" s="23" t="n">
        <x:f>'产品经营桥'!Q12</x:f>
        <x:v>247.59144935064924</x:v>
      </x:c>
      <x:c r="M42" s="23" t="n">
        <x:f>'假设'!H147</x:f>
        <x:v>0</x:v>
      </x:c>
      <x:c r="N42" s="25" t="n">
        <x:f>L42/D42-1</x:f>
        <x:v>0.1812569148408838</x:v>
      </x:c>
      <x:c r="O42" s="25" t="n">
        <x:f>(L42+M42)/D42-1</x:f>
        <x:v>0.1812569148408838</x:v>
      </x:c>
      <x:c r="P42" s="25" t="str">
        <x:f>IF(Q42&gt;=3,(1+O42)^(1/Q42)-1,"")</x:f>
      </x:c>
      <x:c r="Q42" s="11" t="n">
        <x:v>0</x:v>
      </x:c>
      <x:c r="R42" s="11" t="n">
        <x:v>147</x:v>
      </x:c>
      <x:c r="T42" t="str">
        <x:v>USD</x:v>
      </x:c>
    </x:row>
    <x:row r="43" ht="23" customHeight="1">
      <x:c r="A43" s="11" t="str">
        <x:v>06160.HK</x:v>
      </x:c>
      <x:c r="B43" s="11" t="str">
        <x:v>百济神州</x:v>
      </x:c>
      <x:c r="C43" s="11" t="str">
        <x:v>半年</x:v>
      </x:c>
      <x:c r="D43" s="11" t="n">
        <x:v>209.6</x:v>
      </x:c>
      <x:c r="E43" s="11" t="str">
        <x:v>USD产品经营桥</x:v>
      </x:c>
      <x:c r="F43" s="23" t="str">
        <x:f>'假设'!I151</x:f>
      </x:c>
      <x:c r="G43" s="24" t="n">
        <x:f>'假设'!J151</x:f>
        <x:v>0.21241904761904756</x:v>
      </x:c>
      <x:c r="H43" s="23" t="n">
        <x:f>'产品经营桥'!K13</x:f>
        <x:v>1.56</x:v>
      </x:c>
      <x:c r="I43" s="23" t="n">
        <x:f>'产品经营桥'!L13</x:f>
        <x:v>1.1437948717948712</x:v>
      </x:c>
      <x:c r="J43" s="23" t="n">
        <x:f>'假设'!F151</x:f>
        <x:v>30</x:v>
      </x:c>
      <x:c r="K43" s="23" t="n">
        <x:f>'假设'!G151</x:f>
        <x:v>7.8</x:v>
      </x:c>
      <x:c r="L43" s="23" t="n">
        <x:f>'产品经营桥'!Q13</x:f>
        <x:v>280.14799999999985</x:v>
      </x:c>
      <x:c r="M43" s="23" t="n">
        <x:f>'假设'!H151</x:f>
        <x:v>0</x:v>
      </x:c>
      <x:c r="N43" s="25" t="n">
        <x:f>L43/D43-1</x:f>
        <x:v>0.3365839694656483</x:v>
      </x:c>
      <x:c r="O43" s="25" t="n">
        <x:f>(L43+M43)/D43-1</x:f>
        <x:v>0.3365839694656483</x:v>
      </x:c>
      <x:c r="P43" s="25" t="str">
        <x:f>IF(Q43&gt;=3,(1+O43)^(1/Q43)-1,"")</x:f>
      </x:c>
      <x:c r="Q43" s="11" t="n">
        <x:v>0.5</x:v>
      </x:c>
      <x:c r="R43" s="11" t="n">
        <x:v>151</x:v>
      </x:c>
      <x:c r="T43" t="str">
        <x:v>USD</x:v>
      </x:c>
    </x:row>
    <x:row r="44" ht="23" customHeight="1">
      <x:c r="A44" s="11" t="str">
        <x:v>06160.HK</x:v>
      </x:c>
      <x:c r="B44" s="11" t="str">
        <x:v>百济神州</x:v>
      </x:c>
      <x:c r="C44" s="11" t="str">
        <x:v>一年</x:v>
      </x:c>
      <x:c r="D44" s="11" t="n">
        <x:v>209.6</x:v>
      </x:c>
      <x:c r="E44" s="11" t="str">
        <x:v>USD产品经营桥</x:v>
      </x:c>
      <x:c r="F44" s="23" t="str">
        <x:f>'假设'!I155</x:f>
      </x:c>
      <x:c r="G44" s="24" t="n">
        <x:f>'假设'!J155</x:f>
        <x:v>0.25596135265700476</x:v>
      </x:c>
      <x:c r="H44" s="23" t="n">
        <x:f>'产品经营桥'!K14</x:f>
        <x:v>1.6</x:v>
      </x:c>
      <x:c r="I44" s="23" t="n">
        <x:f>'产品经营桥'!L14</x:f>
        <x:v>2.1007499999999997</x:v>
      </x:c>
      <x:c r="J44" s="23" t="n">
        <x:f>'假设'!F155</x:f>
        <x:v>29</x:v>
      </x:c>
      <x:c r="K44" s="23" t="n">
        <x:f>'假设'!G155</x:f>
        <x:v>7.8</x:v>
      </x:c>
      <x:c r="L44" s="23" t="n">
        <x:f>'产品经营桥'!Q14</x:f>
        <x:v>493.7146499999999</x:v>
      </x:c>
      <x:c r="M44" s="23" t="n">
        <x:f>'假设'!H155</x:f>
        <x:v>0</x:v>
      </x:c>
      <x:c r="N44" s="25" t="n">
        <x:f>L44/D44-1</x:f>
        <x:v>1.3555088263358774</x:v>
      </x:c>
      <x:c r="O44" s="25" t="n">
        <x:f>(L44+M44)/D44-1</x:f>
        <x:v>1.3555088263358774</x:v>
      </x:c>
      <x:c r="P44" s="25" t="str">
        <x:f>IF(Q44&gt;=3,(1+O44)^(1/Q44)-1,"")</x:f>
      </x:c>
      <x:c r="Q44" s="11" t="n">
        <x:v>1</x:v>
      </x:c>
      <x:c r="R44" s="11" t="n">
        <x:v>155</x:v>
      </x:c>
      <x:c r="T44" t="str">
        <x:v>USD</x:v>
      </x:c>
    </x:row>
    <x:row r="45" ht="23" customHeight="1">
      <x:c r="A45" s="11" t="str">
        <x:v>06160.HK</x:v>
      </x:c>
      <x:c r="B45" s="11" t="str">
        <x:v>百济神州</x:v>
      </x:c>
      <x:c r="C45" s="11" t="str">
        <x:v>三年</x:v>
      </x:c>
      <x:c r="D45" s="11" t="n">
        <x:v>209.6</x:v>
      </x:c>
      <x:c r="E45" s="11" t="str">
        <x:v>USD产品经营桥</x:v>
      </x:c>
      <x:c r="F45" s="23" t="str">
        <x:f>'假设'!I159</x:f>
      </x:c>
      <x:c r="G45" s="24" t="n">
        <x:f>'假设'!J159</x:f>
        <x:v>0.2786223880597016</x:v>
      </x:c>
      <x:c r="H45" s="23" t="n">
        <x:f>'产品经营桥'!K15</x:f>
        <x:v>1.68</x:v>
      </x:c>
      <x:c r="I45" s="23" t="n">
        <x:f>'产品经营桥'!L15</x:f>
        <x:v>2.222345238095239</x:v>
      </x:c>
      <x:c r="J45" s="23" t="n">
        <x:f>'假设'!F159</x:f>
        <x:v>27</x:v>
      </x:c>
      <x:c r="K45" s="23" t="n">
        <x:f>'假设'!G159</x:f>
        <x:v>7.8</x:v>
      </x:c>
      <x:c r="L45" s="23" t="n">
        <x:f>'产品经营桥'!Q15</x:f>
        <x:v>502.84733571428586</x:v>
      </x:c>
      <x:c r="M45" s="23" t="n">
        <x:f>'假设'!H159</x:f>
        <x:v>0</x:v>
      </x:c>
      <x:c r="N45" s="25" t="n">
        <x:f>L45/D45-1</x:f>
        <x:v>1.3990808001635777</x:v>
      </x:c>
      <x:c r="O45" s="25" t="n">
        <x:f>(L45+M45)/D45-1</x:f>
        <x:v>1.3990808001635777</x:v>
      </x:c>
      <x:c r="P45" s="25" t="n">
        <x:f>IF(Q45&gt;=3,(1+O45)^(1/Q45)-1,"")</x:f>
        <x:v>0.33869494982165493</x:v>
      </x:c>
      <x:c r="Q45" s="11" t="n">
        <x:v>3</x:v>
      </x:c>
      <x:c r="R45" s="11" t="n">
        <x:v>159</x:v>
      </x:c>
      <x:c r="T45" t="str">
        <x:v>USD</x:v>
      </x:c>
    </x:row>
    <x:row r="46" ht="23" customHeight="1">
      <x:c r="A46" s="11" t="str">
        <x:v>06160.HK</x:v>
      </x:c>
      <x:c r="B46" s="11" t="str">
        <x:v>百济神州</x:v>
      </x:c>
      <x:c r="C46" s="11" t="str">
        <x:v>五年</x:v>
      </x:c>
      <x:c r="D46" s="11" t="n">
        <x:v>209.6</x:v>
      </x:c>
      <x:c r="E46" s="11" t="str">
        <x:v>USD产品经营桥</x:v>
      </x:c>
      <x:c r="F46" s="23" t="str">
        <x:f>'假设'!I163</x:f>
      </x:c>
      <x:c r="G46" s="24" t="n">
        <x:f>'假设'!J163</x:f>
        <x:v>0.3019714285714286</x:v>
      </x:c>
      <x:c r="H46" s="23" t="n">
        <x:f>'产品经营桥'!K16</x:f>
        <x:v>1.8</x:v>
      </x:c>
      <x:c r="I46" s="23" t="n">
        <x:f>'产品经营桥'!L16</x:f>
        <x:v>2.9358333333333335</x:v>
      </x:c>
      <x:c r="J46" s="23" t="n">
        <x:f>'假设'!F163</x:f>
        <x:v>25</x:v>
      </x:c>
      <x:c r="K46" s="23" t="n">
        <x:f>'假设'!G163</x:f>
        <x:v>7.8</x:v>
      </x:c>
      <x:c r="L46" s="23" t="n">
        <x:f>'产品经营桥'!Q16</x:f>
        <x:v>628.8208333333334</x:v>
      </x:c>
      <x:c r="M46" s="23" t="n">
        <x:f>'假设'!H163</x:f>
        <x:v>0</x:v>
      </x:c>
      <x:c r="N46" s="25" t="n">
        <x:f>L46/D46-1</x:f>
        <x:v>2.000099395674301</x:v>
      </x:c>
      <x:c r="O46" s="25" t="n">
        <x:f>(L46+M46)/D46-1</x:f>
        <x:v>2.000099395674301</x:v>
      </x:c>
      <x:c r="P46" s="25" t="n">
        <x:f>IF(Q46&gt;=3,(1+O46)^(1/Q46)-1,"")</x:f>
        <x:v>0.24573919419057155</x:v>
      </x:c>
      <x:c r="Q46" s="11" t="n">
        <x:v>5</x:v>
      </x:c>
      <x:c r="R46" s="11" t="n">
        <x:v>163</x:v>
      </x:c>
      <x:c r="T46" t="str">
        <x:v>USD</x:v>
      </x:c>
    </x:row>
    <x:row r="47" ht="23" customHeight="1">
      <x:c r="A47" s="11" t="str">
        <x:v>09626.HK</x:v>
      </x:c>
      <x:c r="B47" s="11" t="str">
        <x:v>哔哩哔哩-W</x:v>
      </x:c>
      <x:c r="C47" s="11" t="str">
        <x:v>2026年底</x:v>
      </x:c>
      <x:c r="D47" s="11" t="n">
        <x:v>120.4</x:v>
      </x:c>
      <x:c r="E47" s="11" t="str">
        <x:v>经营盈利桥</x:v>
      </x:c>
      <x:c r="F47" s="23" t="n">
        <x:f>'假设'!I167</x:f>
        <x:v>0</x:v>
      </x:c>
      <x:c r="G47" s="24" t="n">
        <x:f>'假设'!J167</x:f>
        <x:v>0</x:v>
      </x:c>
      <x:c r="H47" s="23" t="str">
        <x:f>'假设'!K167</x:f>
      </x:c>
      <x:c r="I47" s="23" t="n">
        <x:f>'经营桥'!M12</x:f>
        <x:v>5.454316</x:v>
      </x:c>
      <x:c r="J47" s="23" t="n">
        <x:f>'假设'!F167</x:f>
        <x:v>23</x:v>
      </x:c>
      <x:c r="K47" s="23" t="n">
        <x:f>'假设'!G167</x:f>
        <x:v>1.1</x:v>
      </x:c>
      <x:c r="L47" s="23" t="n">
        <x:f>ROUND(ROUND(I47*J47*K47-'经营假设'!M27/'经营假设'!J27*K47,2),2)</x:f>
        <x:v>137.99</x:v>
      </x:c>
      <x:c r="M47" s="23" t="n">
        <x:f>'假设'!H167</x:f>
        <x:v>0</x:v>
      </x:c>
      <x:c r="N47" s="25" t="n">
        <x:f>L47/D47-1</x:f>
        <x:v>0.1460963455149502</x:v>
      </x:c>
      <x:c r="O47" s="25" t="n">
        <x:f>(L47+M47)/D47-1</x:f>
        <x:v>0.1460963455149502</x:v>
      </x:c>
      <x:c r="P47" s="25" t="str">
        <x:f>IF(Q47&gt;=3,(1+O47)^(1/Q47)-1,"")</x:f>
      </x:c>
      <x:c r="Q47" s="11" t="n">
        <x:v>0</x:v>
      </x:c>
      <x:c r="R47" s="11" t="n">
        <x:v>167</x:v>
      </x:c>
      <x:c r="T47" t="str">
        <x:v>CNY</x:v>
      </x:c>
    </x:row>
    <x:row r="48" ht="23" customHeight="1">
      <x:c r="A48" s="11" t="str">
        <x:v>09626.HK</x:v>
      </x:c>
      <x:c r="B48" s="11" t="str">
        <x:v>哔哩哔哩-W</x:v>
      </x:c>
      <x:c r="C48" s="11" t="str">
        <x:v>半年</x:v>
      </x:c>
      <x:c r="D48" s="11" t="n">
        <x:v>120.4</x:v>
      </x:c>
      <x:c r="E48" s="11" t="str">
        <x:v>经营盈利桥</x:v>
      </x:c>
      <x:c r="F48" s="23" t="n">
        <x:f>'假设'!I171</x:f>
        <x:v>0</x:v>
      </x:c>
      <x:c r="G48" s="24" t="n">
        <x:f>'假设'!J171</x:f>
        <x:v>0</x:v>
      </x:c>
      <x:c r="H48" s="23" t="str">
        <x:f>'假设'!K171</x:f>
      </x:c>
      <x:c r="I48" s="23" t="n">
        <x:f>'经营桥'!M13</x:f>
        <x:v>6.21841</x:v>
      </x:c>
      <x:c r="J48" s="23" t="n">
        <x:f>'假设'!F171</x:f>
        <x:v>23</x:v>
      </x:c>
      <x:c r="K48" s="23" t="n">
        <x:f>'假设'!G171</x:f>
        <x:v>1.1</x:v>
      </x:c>
      <x:c r="L48" s="23" t="n">
        <x:f>ROUND(ROUND(I48*J48*K48-'经营假设'!M31/'经营假设'!J31*K48,2),2)</x:f>
        <x:v>157.33</x:v>
      </x:c>
      <x:c r="M48" s="23" t="n">
        <x:f>'假设'!H171</x:f>
        <x:v>0</x:v>
      </x:c>
      <x:c r="N48" s="25" t="n">
        <x:f>L48/D48-1</x:f>
        <x:v>0.3067275747508307</x:v>
      </x:c>
      <x:c r="O48" s="25" t="n">
        <x:f>(L48+M48)/D48-1</x:f>
        <x:v>0.3067275747508307</x:v>
      </x:c>
      <x:c r="P48" s="25" t="str">
        <x:f>IF(Q48&gt;=3,(1+O48)^(1/Q48)-1,"")</x:f>
      </x:c>
      <x:c r="Q48" s="11" t="n">
        <x:v>0.5</x:v>
      </x:c>
      <x:c r="R48" s="11" t="n">
        <x:v>171</x:v>
      </x:c>
      <x:c r="T48" t="str">
        <x:v>CNY</x:v>
      </x:c>
    </x:row>
    <x:row r="49" ht="23" customHeight="1">
      <x:c r="A49" s="11" t="str">
        <x:v>09626.HK</x:v>
      </x:c>
      <x:c r="B49" s="11" t="str">
        <x:v>哔哩哔哩-W</x:v>
      </x:c>
      <x:c r="C49" s="11" t="str">
        <x:v>一年</x:v>
      </x:c>
      <x:c r="D49" s="11" t="n">
        <x:v>120.4</x:v>
      </x:c>
      <x:c r="E49" s="11" t="str">
        <x:v>经营盈利桥</x:v>
      </x:c>
      <x:c r="F49" s="23" t="n">
        <x:f>'假设'!I175</x:f>
        <x:v>0</x:v>
      </x:c>
      <x:c r="G49" s="24" t="n">
        <x:f>'假设'!J175</x:f>
        <x:v>0</x:v>
      </x:c>
      <x:c r="H49" s="23" t="str">
        <x:f>'假设'!K175</x:f>
      </x:c>
      <x:c r="I49" s="23" t="n">
        <x:f>'经营桥'!M14</x:f>
        <x:v>7.550207</x:v>
      </x:c>
      <x:c r="J49" s="23" t="n">
        <x:f>'假设'!F175</x:f>
        <x:v>22</x:v>
      </x:c>
      <x:c r="K49" s="23" t="n">
        <x:f>'假设'!G175</x:f>
        <x:v>1.1</x:v>
      </x:c>
      <x:c r="L49" s="23" t="n">
        <x:f>ROUND(ROUND(I49*J49*K49-'经营假设'!M35/'经营假设'!J35*K49,2),2)</x:f>
        <x:v>182.72</x:v>
      </x:c>
      <x:c r="M49" s="23" t="n">
        <x:f>'假设'!H175</x:f>
        <x:v>0</x:v>
      </x:c>
      <x:c r="N49" s="25" t="n">
        <x:f>L49/D49-1</x:f>
        <x:v>0.5176079734219268</x:v>
      </x:c>
      <x:c r="O49" s="25" t="n">
        <x:f>(L49+M49)/D49-1</x:f>
        <x:v>0.5176079734219268</x:v>
      </x:c>
      <x:c r="P49" s="25" t="str">
        <x:f>IF(Q49&gt;=3,(1+O49)^(1/Q49)-1,"")</x:f>
      </x:c>
      <x:c r="Q49" s="11" t="n">
        <x:v>1</x:v>
      </x:c>
      <x:c r="R49" s="11" t="n">
        <x:v>175</x:v>
      </x:c>
      <x:c r="T49" t="str">
        <x:v>CNY</x:v>
      </x:c>
    </x:row>
    <x:row r="50" ht="23" customHeight="1">
      <x:c r="A50" s="11" t="str">
        <x:v>09626.HK</x:v>
      </x:c>
      <x:c r="B50" s="11" t="str">
        <x:v>哔哩哔哩-W</x:v>
      </x:c>
      <x:c r="C50" s="11" t="str">
        <x:v>三年</x:v>
      </x:c>
      <x:c r="D50" s="11" t="n">
        <x:v>120.4</x:v>
      </x:c>
      <x:c r="E50" s="11" t="str">
        <x:v>经营盈利桥</x:v>
      </x:c>
      <x:c r="F50" s="23" t="n">
        <x:f>'假设'!I179</x:f>
        <x:v>0</x:v>
      </x:c>
      <x:c r="G50" s="24" t="n">
        <x:f>'假设'!J179</x:f>
        <x:v>0</x:v>
      </x:c>
      <x:c r="H50" s="23" t="str">
        <x:f>'假设'!K179</x:f>
      </x:c>
      <x:c r="I50" s="23" t="n">
        <x:f>'经营桥'!M15</x:f>
        <x:v>11.978776</x:v>
      </x:c>
      <x:c r="J50" s="23" t="n">
        <x:f>'假设'!F179</x:f>
        <x:v>21</x:v>
      </x:c>
      <x:c r="K50" s="23" t="n">
        <x:f>'假设'!G179</x:f>
        <x:v>1.1</x:v>
      </x:c>
      <x:c r="L50" s="23" t="n">
        <x:f>ROUND(ROUND(I50*J50*K50-'经营假设'!M39/'经营假设'!J39*K50,2),2)</x:f>
        <x:v>276.71</x:v>
      </x:c>
      <x:c r="M50" s="23" t="n">
        <x:f>'假设'!H179</x:f>
        <x:v>1</x:v>
      </x:c>
      <x:c r="N50" s="25" t="n">
        <x:f>L50/D50-1</x:f>
        <x:v>1.2982558139534879</x:v>
      </x:c>
      <x:c r="O50" s="25" t="n">
        <x:f>(L50+M50)/D50-1</x:f>
        <x:v>1.3065614617940198</x:v>
      </x:c>
      <x:c r="P50" s="25" t="n">
        <x:f>IF(Q50&gt;=3,(1+O50)^(1/Q50)-1,"")</x:f>
        <x:v>0.3212601720194541</x:v>
      </x:c>
      <x:c r="Q50" s="11" t="n">
        <x:v>3</x:v>
      </x:c>
      <x:c r="R50" s="11" t="n">
        <x:v>179</x:v>
      </x:c>
      <x:c r="T50" t="str">
        <x:v>CNY</x:v>
      </x:c>
    </x:row>
    <x:row r="51" ht="23" customHeight="1">
      <x:c r="A51" s="11" t="str">
        <x:v>09626.HK</x:v>
      </x:c>
      <x:c r="B51" s="11" t="str">
        <x:v>哔哩哔哩-W</x:v>
      </x:c>
      <x:c r="C51" s="11" t="str">
        <x:v>五年</x:v>
      </x:c>
      <x:c r="D51" s="11" t="n">
        <x:v>120.4</x:v>
      </x:c>
      <x:c r="E51" s="11" t="str">
        <x:v>经营盈利桥</x:v>
      </x:c>
      <x:c r="F51" s="23" t="n">
        <x:f>'假设'!I183</x:f>
        <x:v>0</x:v>
      </x:c>
      <x:c r="G51" s="24" t="n">
        <x:f>'假设'!J183</x:f>
        <x:v>0</x:v>
      </x:c>
      <x:c r="H51" s="23" t="str">
        <x:f>'假设'!K183</x:f>
      </x:c>
      <x:c r="I51" s="23" t="n">
        <x:f>'经营桥'!M16</x:f>
        <x:v>15.291089</x:v>
      </x:c>
      <x:c r="J51" s="23" t="n">
        <x:f>'假设'!F183</x:f>
        <x:v>19</x:v>
      </x:c>
      <x:c r="K51" s="23" t="n">
        <x:f>'假设'!G183</x:f>
        <x:v>1.1</x:v>
      </x:c>
      <x:c r="L51" s="23" t="n">
        <x:f>ROUND(ROUND(I51*J51*K51-'经营假设'!M43/'经营假设'!J43*K51,2),2)</x:f>
        <x:v>319.58</x:v>
      </x:c>
      <x:c r="M51" s="23" t="n">
        <x:f>'假设'!H183</x:f>
        <x:v>4</x:v>
      </x:c>
      <x:c r="N51" s="25" t="n">
        <x:f>L51/D51-1</x:f>
        <x:v>1.6543189368770763</x:v>
      </x:c>
      <x:c r="O51" s="25" t="n">
        <x:f>(L51+M51)/D51-1</x:f>
        <x:v>1.6875415282392026</x:v>
      </x:c>
      <x:c r="P51" s="25" t="n">
        <x:f>IF(Q51&gt;=3,(1+O51)^(1/Q51)-1,"")</x:f>
        <x:v>0.21862767509587155</x:v>
      </x:c>
      <x:c r="Q51" s="11" t="n">
        <x:v>5</x:v>
      </x:c>
      <x:c r="R51" s="11" t="n">
        <x:v>183</x:v>
      </x:c>
      <x:c r="T51" t="str">
        <x:v>CNY</x:v>
      </x:c>
    </x:row>
    <x:row r="52" ht="23" customHeight="1">
      <x:c r="A52" s="11" t="str">
        <x:v>01211.HK</x:v>
      </x:c>
      <x:c r="B52" s="11" t="str">
        <x:v>比亚迪股份</x:v>
      </x:c>
      <x:c r="C52" s="11" t="str">
        <x:v>2026年底</x:v>
      </x:c>
      <x:c r="D52" s="11" t="n">
        <x:v>75.6</x:v>
      </x:c>
      <x:c r="E52" s="11" t="str">
        <x:v>销量单车归母桥</x:v>
      </x:c>
      <x:c r="F52" s="23" t="n">
        <x:f>'假设'!I187</x:f>
        <x:v>0</x:v>
      </x:c>
      <x:c r="G52" s="24" t="n">
        <x:f>'假设'!J187</x:f>
        <x:v>0</x:v>
      </x:c>
      <x:c r="H52" s="23" t="str">
        <x:f>'假设'!K187</x:f>
      </x:c>
      <x:c r="I52" s="23" t="n">
        <x:f>'经营假设'!AN7</x:f>
        <x:v>4.69</x:v>
      </x:c>
      <x:c r="J52" s="23" t="n">
        <x:f>'假设'!F187</x:f>
        <x:v>20</x:v>
      </x:c>
      <x:c r="K52" s="23" t="n">
        <x:f>'假设'!G187</x:f>
        <x:v>1.1</x:v>
      </x:c>
      <x:c r="L52" s="23" t="n">
        <x:f>'经营假设'!AP7</x:f>
        <x:v>103.18</x:v>
      </x:c>
      <x:c r="M52" s="23" t="n">
        <x:f>'假设'!H187</x:f>
        <x:v>0</x:v>
      </x:c>
      <x:c r="N52" s="25" t="n">
        <x:f>L52/D52-1</x:f>
        <x:v>0.3648148148148149</x:v>
      </x:c>
      <x:c r="O52" s="25" t="n">
        <x:f>(L52+M52)/D52-1</x:f>
        <x:v>0.3648148148148149</x:v>
      </x:c>
      <x:c r="P52" s="25" t="str">
        <x:f>IF(Q52&gt;=3,(1+O52)^(1/Q52)-1,"")</x:f>
      </x:c>
      <x:c r="Q52" s="11" t="n">
        <x:v>0</x:v>
      </x:c>
      <x:c r="R52" s="11" t="n">
        <x:v>187</x:v>
      </x:c>
      <x:c r="T52" t="str">
        <x:v>CNY</x:v>
      </x:c>
    </x:row>
    <x:row r="53" ht="23" customHeight="1">
      <x:c r="A53" s="11" t="str">
        <x:v>01211.HK</x:v>
      </x:c>
      <x:c r="B53" s="11" t="str">
        <x:v>比亚迪股份</x:v>
      </x:c>
      <x:c r="C53" s="11" t="str">
        <x:v>半年</x:v>
      </x:c>
      <x:c r="D53" s="11" t="n">
        <x:v>75.6</x:v>
      </x:c>
      <x:c r="E53" s="11" t="str">
        <x:v>销量单车归母桥</x:v>
      </x:c>
      <x:c r="F53" s="23" t="n">
        <x:f>'假设'!I191</x:f>
        <x:v>0</x:v>
      </x:c>
      <x:c r="G53" s="24" t="n">
        <x:f>'假设'!J191</x:f>
        <x:v>0</x:v>
      </x:c>
      <x:c r="H53" s="23" t="str">
        <x:f>'假设'!K191</x:f>
      </x:c>
      <x:c r="I53" s="23" t="n">
        <x:f>'经营假设'!AN11</x:f>
        <x:v>5.269</x:v>
      </x:c>
      <x:c r="J53" s="23" t="n">
        <x:f>'假设'!F191</x:f>
        <x:v>20</x:v>
      </x:c>
      <x:c r="K53" s="23" t="n">
        <x:f>'假设'!G191</x:f>
        <x:v>1.1</x:v>
      </x:c>
      <x:c r="L53" s="23" t="n">
        <x:f>'经营假设'!AP11</x:f>
        <x:v>115.92</x:v>
      </x:c>
      <x:c r="M53" s="23" t="n">
        <x:f>'假设'!H191</x:f>
        <x:v>0</x:v>
      </x:c>
      <x:c r="N53" s="25" t="n">
        <x:f>L53/D53-1</x:f>
        <x:v>0.5333333333333334</x:v>
      </x:c>
      <x:c r="O53" s="25" t="n">
        <x:f>(L53+M53)/D53-1</x:f>
        <x:v>0.5333333333333334</x:v>
      </x:c>
      <x:c r="P53" s="25" t="str">
        <x:f>IF(Q53&gt;=3,(1+O53)^(1/Q53)-1,"")</x:f>
      </x:c>
      <x:c r="Q53" s="11" t="n">
        <x:v>0.5</x:v>
      </x:c>
      <x:c r="R53" s="11" t="n">
        <x:v>191</x:v>
      </x:c>
      <x:c r="T53" t="str">
        <x:v>CNY</x:v>
      </x:c>
    </x:row>
    <x:row r="54" ht="23" customHeight="1">
      <x:c r="A54" s="11" t="str">
        <x:v>01211.HK</x:v>
      </x:c>
      <x:c r="B54" s="11" t="str">
        <x:v>比亚迪股份</x:v>
      </x:c>
      <x:c r="C54" s="11" t="str">
        <x:v>一年</x:v>
      </x:c>
      <x:c r="D54" s="11" t="n">
        <x:v>75.6</x:v>
      </x:c>
      <x:c r="E54" s="11" t="str">
        <x:v>销量单车归母桥</x:v>
      </x:c>
      <x:c r="F54" s="23" t="n">
        <x:f>'假设'!I195</x:f>
        <x:v>0</x:v>
      </x:c>
      <x:c r="G54" s="24" t="n">
        <x:f>'假设'!J195</x:f>
        <x:v>0</x:v>
      </x:c>
      <x:c r="H54" s="23" t="str">
        <x:f>'假设'!K195</x:f>
      </x:c>
      <x:c r="I54" s="23" t="n">
        <x:f>'经营假设'!AN15</x:f>
        <x:v>6.078</x:v>
      </x:c>
      <x:c r="J54" s="23" t="n">
        <x:f>'假设'!F195</x:f>
        <x:v>19</x:v>
      </x:c>
      <x:c r="K54" s="23" t="n">
        <x:f>'假设'!G195</x:f>
        <x:v>1.1</x:v>
      </x:c>
      <x:c r="L54" s="23" t="n">
        <x:f>'经营假设'!AP15</x:f>
        <x:v>127.03</x:v>
      </x:c>
      <x:c r="M54" s="23" t="n">
        <x:f>'假设'!H195</x:f>
        <x:v>0.5</x:v>
      </x:c>
      <x:c r="N54" s="25" t="n">
        <x:f>L54/D54-1</x:f>
        <x:v>0.6802910052910054</x:v>
      </x:c>
      <x:c r="O54" s="25" t="n">
        <x:f>(L54+M54)/D54-1</x:f>
        <x:v>0.6869047619047621</x:v>
      </x:c>
      <x:c r="P54" s="25" t="str">
        <x:f>IF(Q54&gt;=3,(1+O54)^(1/Q54)-1,"")</x:f>
      </x:c>
      <x:c r="Q54" s="11" t="n">
        <x:v>1</x:v>
      </x:c>
      <x:c r="R54" s="11" t="n">
        <x:v>195</x:v>
      </x:c>
      <x:c r="T54" t="str">
        <x:v>CNY</x:v>
      </x:c>
    </x:row>
    <x:row r="55" ht="23" customHeight="1">
      <x:c r="A55" s="11" t="str">
        <x:v>01211.HK</x:v>
      </x:c>
      <x:c r="B55" s="11" t="str">
        <x:v>比亚迪股份</x:v>
      </x:c>
      <x:c r="C55" s="11" t="str">
        <x:v>三年</x:v>
      </x:c>
      <x:c r="D55" s="11" t="n">
        <x:v>75.6</x:v>
      </x:c>
      <x:c r="E55" s="11" t="str">
        <x:v>销量单车归母桥</x:v>
      </x:c>
      <x:c r="F55" s="23" t="n">
        <x:f>'假设'!I199</x:f>
        <x:v>0</x:v>
      </x:c>
      <x:c r="G55" s="24" t="n">
        <x:f>'假设'!J199</x:f>
        <x:v>0</x:v>
      </x:c>
      <x:c r="H55" s="23" t="str">
        <x:f>'假设'!K199</x:f>
      </x:c>
      <x:c r="I55" s="23" t="n">
        <x:f>'经营假设'!AN19</x:f>
        <x:v>8.495</x:v>
      </x:c>
      <x:c r="J55" s="23" t="n">
        <x:f>'假设'!F199</x:f>
        <x:v>18</x:v>
      </x:c>
      <x:c r="K55" s="23" t="n">
        <x:f>'假设'!G199</x:f>
        <x:v>1.1</x:v>
      </x:c>
      <x:c r="L55" s="23" t="n">
        <x:f>'经营假设'!AP19</x:f>
        <x:v>168.2</x:v>
      </x:c>
      <x:c r="M55" s="23" t="n">
        <x:f>'假设'!H199</x:f>
        <x:v>2</x:v>
      </x:c>
      <x:c r="N55" s="25" t="n">
        <x:f>L55/D55-1</x:f>
        <x:v>1.224867724867725</x:v>
      </x:c>
      <x:c r="O55" s="25" t="n">
        <x:f>(L55+M55)/D55-1</x:f>
        <x:v>1.2513227513227512</x:v>
      </x:c>
      <x:c r="P55" s="25" t="n">
        <x:f>IF(Q55&gt;=3,(1+O55)^(1/Q55)-1,"")</x:f>
        <x:v>0.31062743118176694</x:v>
      </x:c>
      <x:c r="Q55" s="11" t="n">
        <x:v>3</x:v>
      </x:c>
      <x:c r="R55" s="11" t="n">
        <x:v>199</x:v>
      </x:c>
      <x:c r="T55" t="str">
        <x:v>CNY</x:v>
      </x:c>
    </x:row>
    <x:row r="56" ht="23" customHeight="1">
      <x:c r="A56" s="11" t="str">
        <x:v>01211.HK</x:v>
      </x:c>
      <x:c r="B56" s="11" t="str">
        <x:v>比亚迪股份</x:v>
      </x:c>
      <x:c r="C56" s="11" t="str">
        <x:v>五年</x:v>
      </x:c>
      <x:c r="D56" s="11" t="n">
        <x:v>75.6</x:v>
      </x:c>
      <x:c r="E56" s="11" t="str">
        <x:v>销量单车归母桥</x:v>
      </x:c>
      <x:c r="F56" s="23" t="n">
        <x:f>'假设'!I203</x:f>
        <x:v>0</x:v>
      </x:c>
      <x:c r="G56" s="24" t="n">
        <x:f>'假设'!J203</x:f>
        <x:v>0</x:v>
      </x:c>
      <x:c r="H56" s="23" t="str">
        <x:f>'假设'!K203</x:f>
      </x:c>
      <x:c r="I56" s="23" t="n">
        <x:f>'经营假设'!AN23</x:f>
        <x:v>10.681</x:v>
      </x:c>
      <x:c r="J56" s="23" t="n">
        <x:f>'假设'!F203</x:f>
        <x:v>17</x:v>
      </x:c>
      <x:c r="K56" s="23" t="n">
        <x:f>'假设'!G203</x:f>
        <x:v>1.1</x:v>
      </x:c>
      <x:c r="L56" s="23" t="n">
        <x:f>'经营假设'!AP23</x:f>
        <x:v>199.73</x:v>
      </x:c>
      <x:c r="M56" s="23" t="n">
        <x:f>'假设'!H203</x:f>
        <x:v>4</x:v>
      </x:c>
      <x:c r="N56" s="25" t="n">
        <x:f>L56/D56-1</x:f>
        <x:v>1.641931216931217</x:v>
      </x:c>
      <x:c r="O56" s="25" t="n">
        <x:f>(L56+M56)/D56-1</x:f>
        <x:v>1.69484126984127</x:v>
      </x:c>
      <x:c r="P56" s="25" t="n">
        <x:f>IF(Q56&gt;=3,(1+O56)^(1/Q56)-1,"")</x:f>
        <x:v>0.21928894994578596</x:v>
      </x:c>
      <x:c r="Q56" s="11" t="n">
        <x:v>5</x:v>
      </x:c>
      <x:c r="R56" s="11" t="n">
        <x:v>203</x:v>
      </x:c>
      <x:c r="T56" t="str">
        <x:v>CNY</x:v>
      </x:c>
    </x:row>
    <x:row r="57" ht="23" customHeight="1">
      <x:c r="A57" s="11" t="str">
        <x:v>03750.HK</x:v>
      </x:c>
      <x:c r="B57" s="11" t="str">
        <x:v>宁德时代</x:v>
      </x:c>
      <x:c r="C57" s="11" t="str">
        <x:v>2026年底</x:v>
      </x:c>
      <x:c r="D57" s="11" t="n">
        <x:v>491.4</x:v>
      </x:c>
      <x:c r="E57" s="11" t="str">
        <x:v>四分部归母桥</x:v>
      </x:c>
      <x:c r="F57" s="23" t="n">
        <x:f>'假设'!I207</x:f>
        <x:v>0</x:v>
      </x:c>
      <x:c r="G57" s="24" t="n">
        <x:f>'假设'!J207</x:f>
        <x:v>0</x:v>
      </x:c>
      <x:c r="H57" s="23" t="str">
        <x:f>'假设'!K207</x:f>
      </x:c>
      <x:c r="I57" s="23" t="n">
        <x:f>'经营假设'!BH7</x:f>
        <x:v>18.216</x:v>
      </x:c>
      <x:c r="J57" s="23" t="n">
        <x:f>'假设'!F207</x:f>
        <x:v>26</x:v>
      </x:c>
      <x:c r="K57" s="23" t="n">
        <x:f>'假设'!G207</x:f>
        <x:v>1.1</x:v>
      </x:c>
      <x:c r="L57" s="23" t="n">
        <x:f>ROUND(I57*J57*K57,2)</x:f>
        <x:v>520.98</x:v>
      </x:c>
      <x:c r="M57" s="23" t="n">
        <x:f>'假设'!H207</x:f>
        <x:v>0</x:v>
      </x:c>
      <x:c r="N57" s="25" t="n">
        <x:f>L57/D57-1</x:f>
        <x:v>0.060195360195360204</x:v>
      </x:c>
      <x:c r="O57" s="25" t="n">
        <x:f>(L57+M57)/D57-1</x:f>
        <x:v>0.060195360195360204</x:v>
      </x:c>
      <x:c r="P57" s="25" t="str">
        <x:f>IF(Q57&gt;=3,(1+O57)^(1/Q57)-1,"")</x:f>
      </x:c>
      <x:c r="Q57" s="11" t="n">
        <x:v>0</x:v>
      </x:c>
      <x:c r="R57" s="11" t="n">
        <x:v>207</x:v>
      </x:c>
      <x:c r="T57" t="str">
        <x:v>CNY</x:v>
      </x:c>
    </x:row>
    <x:row r="58" ht="23" customHeight="1">
      <x:c r="A58" s="11" t="str">
        <x:v>03750.HK</x:v>
      </x:c>
      <x:c r="B58" s="11" t="str">
        <x:v>宁德时代</x:v>
      </x:c>
      <x:c r="C58" s="11" t="str">
        <x:v>半年</x:v>
      </x:c>
      <x:c r="D58" s="11" t="n">
        <x:v>491.4</x:v>
      </x:c>
      <x:c r="E58" s="11" t="str">
        <x:v>四分部归母桥</x:v>
      </x:c>
      <x:c r="F58" s="23" t="n">
        <x:f>'假设'!I211</x:f>
        <x:v>0</x:v>
      </x:c>
      <x:c r="G58" s="24" t="n">
        <x:f>'假设'!J211</x:f>
        <x:v>0</x:v>
      </x:c>
      <x:c r="H58" s="23" t="str">
        <x:f>'假设'!K211</x:f>
      </x:c>
      <x:c r="I58" s="23" t="n">
        <x:f>'经营假设'!BH11</x:f>
        <x:v>20.289</x:v>
      </x:c>
      <x:c r="J58" s="23" t="n">
        <x:f>'假设'!F211</x:f>
        <x:v>26</x:v>
      </x:c>
      <x:c r="K58" s="23" t="n">
        <x:f>'假设'!G211</x:f>
        <x:v>1.1</x:v>
      </x:c>
      <x:c r="L58" s="23" t="n">
        <x:f>ROUND(I58*J58*K58,2)</x:f>
        <x:v>580.27</x:v>
      </x:c>
      <x:c r="M58" s="23" t="n">
        <x:f>'假设'!H211</x:f>
        <x:v>0</x:v>
      </x:c>
      <x:c r="N58" s="25" t="n">
        <x:f>L58/D58-1</x:f>
        <x:v>0.1808506308506308</x:v>
      </x:c>
      <x:c r="O58" s="25" t="n">
        <x:f>(L58+M58)/D58-1</x:f>
        <x:v>0.1808506308506308</x:v>
      </x:c>
      <x:c r="P58" s="25" t="str">
        <x:f>IF(Q58&gt;=3,(1+O58)^(1/Q58)-1,"")</x:f>
      </x:c>
      <x:c r="Q58" s="11" t="n">
        <x:v>0.5</x:v>
      </x:c>
      <x:c r="R58" s="11" t="n">
        <x:v>211</x:v>
      </x:c>
      <x:c r="T58" t="str">
        <x:v>CNY</x:v>
      </x:c>
    </x:row>
    <x:row r="59" ht="23" customHeight="1">
      <x:c r="A59" s="11" t="str">
        <x:v>03750.HK</x:v>
      </x:c>
      <x:c r="B59" s="11" t="str">
        <x:v>宁德时代</x:v>
      </x:c>
      <x:c r="C59" s="11" t="str">
        <x:v>一年</x:v>
      </x:c>
      <x:c r="D59" s="11" t="n">
        <x:v>491.4</x:v>
      </x:c>
      <x:c r="E59" s="11" t="str">
        <x:v>四分部归母桥</x:v>
      </x:c>
      <x:c r="F59" s="23" t="n">
        <x:f>'假设'!I215</x:f>
        <x:v>0</x:v>
      </x:c>
      <x:c r="G59" s="24" t="n">
        <x:f>'假设'!J215</x:f>
        <x:v>0</x:v>
      </x:c>
      <x:c r="H59" s="23" t="str">
        <x:f>'假设'!K215</x:f>
      </x:c>
      <x:c r="I59" s="23" t="n">
        <x:f>'经营假设'!BH15</x:f>
        <x:v>23.937</x:v>
      </x:c>
      <x:c r="J59" s="23" t="n">
        <x:f>'假设'!F215</x:f>
        <x:v>25</x:v>
      </x:c>
      <x:c r="K59" s="23" t="n">
        <x:f>'假设'!G215</x:f>
        <x:v>1.1</x:v>
      </x:c>
      <x:c r="L59" s="23" t="n">
        <x:f>ROUND(I59*J59*K59,2)</x:f>
        <x:v>658.27</x:v>
      </x:c>
      <x:c r="M59" s="23" t="n">
        <x:f>'假设'!H215</x:f>
        <x:v>8</x:v>
      </x:c>
      <x:c r="N59" s="25" t="n">
        <x:f>L59/D59-1</x:f>
        <x:v>0.33958078958078963</x:v>
      </x:c>
      <x:c r="O59" s="25" t="n">
        <x:f>(L59+M59)/D59-1</x:f>
        <x:v>0.35586080586080593</x:v>
      </x:c>
      <x:c r="P59" s="25" t="str">
        <x:f>IF(Q59&gt;=3,(1+O59)^(1/Q59)-1,"")</x:f>
      </x:c>
      <x:c r="Q59" s="11" t="n">
        <x:v>1</x:v>
      </x:c>
      <x:c r="R59" s="11" t="n">
        <x:v>215</x:v>
      </x:c>
      <x:c r="T59" t="str">
        <x:v>CNY</x:v>
      </x:c>
    </x:row>
    <x:row r="60" ht="23" customHeight="1">
      <x:c r="A60" s="11" t="str">
        <x:v>03750.HK</x:v>
      </x:c>
      <x:c r="B60" s="11" t="str">
        <x:v>宁德时代</x:v>
      </x:c>
      <x:c r="C60" s="11" t="str">
        <x:v>三年</x:v>
      </x:c>
      <x:c r="D60" s="11" t="n">
        <x:v>491.4</x:v>
      </x:c>
      <x:c r="E60" s="11" t="str">
        <x:v>四分部归母桥</x:v>
      </x:c>
      <x:c r="F60" s="23" t="n">
        <x:f>'假设'!I219</x:f>
        <x:v>0</x:v>
      </x:c>
      <x:c r="G60" s="24" t="n">
        <x:f>'假设'!J219</x:f>
        <x:v>0</x:v>
      </x:c>
      <x:c r="H60" s="23" t="str">
        <x:f>'假设'!K219</x:f>
      </x:c>
      <x:c r="I60" s="23" t="n">
        <x:f>'经营假设'!BH19</x:f>
        <x:v>34.768</x:v>
      </x:c>
      <x:c r="J60" s="23" t="n">
        <x:f>'假设'!F219</x:f>
        <x:v>24</x:v>
      </x:c>
      <x:c r="K60" s="23" t="n">
        <x:f>'假设'!G219</x:f>
        <x:v>1.1</x:v>
      </x:c>
      <x:c r="L60" s="23" t="n">
        <x:f>ROUND(I60*J60*K60,2)</x:f>
        <x:v>917.88</x:v>
      </x:c>
      <x:c r="M60" s="23" t="n">
        <x:f>'假设'!H219</x:f>
        <x:v>27</x:v>
      </x:c>
      <x:c r="N60" s="25" t="n">
        <x:f>L60/D60-1</x:f>
        <x:v>0.8678876678876679</x:v>
      </x:c>
      <x:c r="O60" s="25" t="n">
        <x:f>(L60+M60)/D60-1</x:f>
        <x:v>0.9228327228327229</x:v>
      </x:c>
      <x:c r="P60" s="25" t="n">
        <x:f>IF(Q60&gt;=3,(1+O60)^(1/Q60)-1,"")</x:f>
        <x:v>0.24350394705455458</x:v>
      </x:c>
      <x:c r="Q60" s="11" t="n">
        <x:v>3</x:v>
      </x:c>
      <x:c r="R60" s="11" t="n">
        <x:v>219</x:v>
      </x:c>
      <x:c r="T60" t="str">
        <x:v>CNY</x:v>
      </x:c>
    </x:row>
    <x:row r="61" ht="23" customHeight="1">
      <x:c r="A61" s="11" t="str">
        <x:v>03750.HK</x:v>
      </x:c>
      <x:c r="B61" s="11" t="str">
        <x:v>宁德时代</x:v>
      </x:c>
      <x:c r="C61" s="11" t="str">
        <x:v>五年</x:v>
      </x:c>
      <x:c r="D61" s="11" t="n">
        <x:v>491.4</x:v>
      </x:c>
      <x:c r="E61" s="11" t="str">
        <x:v>四分部归母桥</x:v>
      </x:c>
      <x:c r="F61" s="23" t="n">
        <x:f>'假设'!I223</x:f>
        <x:v>0</x:v>
      </x:c>
      <x:c r="G61" s="24" t="n">
        <x:f>'假设'!J223</x:f>
        <x:v>0</x:v>
      </x:c>
      <x:c r="H61" s="23" t="str">
        <x:f>'假设'!K223</x:f>
      </x:c>
      <x:c r="I61" s="23" t="n">
        <x:f>'经营假设'!BH23</x:f>
        <x:v>46.301</x:v>
      </x:c>
      <x:c r="J61" s="23" t="n">
        <x:f>'假设'!F223</x:f>
        <x:v>23</x:v>
      </x:c>
      <x:c r="K61" s="23" t="n">
        <x:f>'假设'!G223</x:f>
        <x:v>1.1</x:v>
      </x:c>
      <x:c r="L61" s="23" t="n">
        <x:f>ROUND(I61*J61*K61,2)</x:f>
        <x:v>1171.42</x:v>
      </x:c>
      <x:c r="M61" s="23" t="n">
        <x:f>'假设'!H223</x:f>
        <x:v>53</x:v>
      </x:c>
      <x:c r="N61" s="25" t="n">
        <x:f>L61/D61-1</x:f>
        <x:v>1.383842083842084</x:v>
      </x:c>
      <x:c r="O61" s="25" t="n">
        <x:f>(L61+M61)/D61-1</x:f>
        <x:v>1.4916971916971922</x:v>
      </x:c>
      <x:c r="P61" s="25" t="n">
        <x:f>IF(Q61&gt;=3,(1+O61)^(1/Q61)-1,"")</x:f>
        <x:v>0.20032555553194387</x:v>
      </x:c>
      <x:c r="Q61" s="11" t="n">
        <x:v>5</x:v>
      </x:c>
      <x:c r="R61" s="11" t="n">
        <x:v>223</x:v>
      </x:c>
      <x:c r="T61" t="str">
        <x:v>CNY</x:v>
      </x:c>
    </x:row>
    <x:row r="62" ht="23" customHeight="1">
      <x:c r="A62" s="11" t="str">
        <x:v>01093.HK</x:v>
      </x:c>
      <x:c r="B62" s="11" t="str">
        <x:v>石药集团</x:v>
      </x:c>
      <x:c r="C62" s="11" t="str">
        <x:v>2026年底</x:v>
      </x:c>
      <x:c r="D62" s="11" t="n">
        <x:v>9.085</x:v>
      </x:c>
      <x:c r="E62" s="11" t="str">
        <x:v>EPS</x:v>
      </x:c>
      <x:c r="F62" s="23" t="str">
        <x:f>'假设'!I227</x:f>
      </x:c>
      <x:c r="G62" s="24" t="n">
        <x:f>'假设'!J227</x:f>
        <x:v>0.14544444444444446</x:v>
      </x:c>
      <x:c r="H62" s="23" t="n">
        <x:f>'假设'!K227</x:f>
        <x:v>11.55</x:v>
      </x:c>
      <x:c r="I62" s="23" t="n">
        <x:f>IF(E62="收入利润率",F62*G62/H62,'假设'!E227)</x:f>
        <x:v>0.34</x:v>
      </x:c>
      <x:c r="J62" s="23" t="n">
        <x:f>'假设'!F227</x:f>
        <x:v>19</x:v>
      </x:c>
      <x:c r="K62" s="23" t="n">
        <x:f>'假设'!G227</x:f>
        <x:v>1.1</x:v>
      </x:c>
      <x:c r="L62" s="23" t="n">
        <x:f>(I62*J62+S62/H62)*K62+'管线现金流'!AH7</x:f>
        <x:v>9.298280996472792</x:v>
      </x:c>
      <x:c r="M62" s="23" t="n">
        <x:f>'假设'!H227</x:f>
        <x:v>0.18</x:v>
      </x:c>
      <x:c r="N62" s="25" t="n">
        <x:f>L62/D62-1</x:f>
        <x:v>0.023476169121936286</x:v>
      </x:c>
      <x:c r="O62" s="25" t="n">
        <x:f>(L62+M62)/D62-1</x:f>
        <x:v>0.04328904749287732</x:v>
      </x:c>
      <x:c r="P62" s="25" t="str">
        <x:f>IF(Q62&gt;=3,(1+O62)^(1/Q62)-1,"")</x:f>
      </x:c>
      <x:c r="Q62" s="11" t="n">
        <x:v>0</x:v>
      </x:c>
      <x:c r="R62" s="11" t="n">
        <x:v>227</x:v>
      </x:c>
      <x:c r="S62" t="n">
        <x:f>'假设'!N227</x:f>
        <x:v>14.2</x:v>
      </x:c>
      <x:c r="T62" t="str">
        <x:v>CNY</x:v>
      </x:c>
    </x:row>
    <x:row r="63" ht="23" customHeight="1">
      <x:c r="A63" s="11" t="str">
        <x:v>01093.HK</x:v>
      </x:c>
      <x:c r="B63" s="11" t="str">
        <x:v>石药集团</x:v>
      </x:c>
      <x:c r="C63" s="11" t="str">
        <x:v>半年</x:v>
      </x:c>
      <x:c r="D63" s="11" t="n">
        <x:v>9.085</x:v>
      </x:c>
      <x:c r="E63" s="11" t="str">
        <x:v>EPS</x:v>
      </x:c>
      <x:c r="F63" s="23" t="str">
        <x:f>'假设'!I231</x:f>
      </x:c>
      <x:c r="G63" s="24" t="n">
        <x:f>'假设'!J231</x:f>
        <x:v>0.14557037037037038</x:v>
      </x:c>
      <x:c r="H63" s="23" t="n">
        <x:f>'假设'!K231</x:f>
        <x:v>11.56</x:v>
      </x:c>
      <x:c r="I63" s="23" t="n">
        <x:f>IF(E63="收入利润率",F63*G63/H63,'假设'!E231)</x:f>
        <x:v>0.34</x:v>
      </x:c>
      <x:c r="J63" s="23" t="n">
        <x:f>'假设'!F231</x:f>
        <x:v>20</x:v>
      </x:c>
      <x:c r="K63" s="23" t="n">
        <x:f>'假设'!G231</x:f>
        <x:v>1.1</x:v>
      </x:c>
      <x:c r="L63" s="23" t="n">
        <x:f>(I63*J63+S63/H63)*K63+'管线现金流'!AH8</x:f>
        <x:v>9.752380353446496</x:v>
      </x:c>
      <x:c r="M63" s="23" t="n">
        <x:f>'假设'!H231</x:f>
        <x:v>0.18</x:v>
      </x:c>
      <x:c r="N63" s="25" t="n">
        <x:f>L63/D63-1</x:f>
        <x:v>0.07345958761106153</x:v>
      </x:c>
      <x:c r="O63" s="25" t="n">
        <x:f>(L63+M63)/D63-1</x:f>
        <x:v>0.09327246598200278</x:v>
      </x:c>
      <x:c r="P63" s="25" t="str">
        <x:f>IF(Q63&gt;=3,(1+O63)^(1/Q63)-1,"")</x:f>
      </x:c>
      <x:c r="Q63" s="11" t="n">
        <x:v>0.5</x:v>
      </x:c>
      <x:c r="R63" s="11" t="n">
        <x:v>231</x:v>
      </x:c>
      <x:c r="S63" t="n">
        <x:f>'假设'!N231</x:f>
        <x:v>14.8</x:v>
      </x:c>
      <x:c r="T63" t="str">
        <x:v>CNY</x:v>
      </x:c>
    </x:row>
    <x:row r="64" ht="23" customHeight="1">
      <x:c r="A64" s="11" t="str">
        <x:v>01093.HK</x:v>
      </x:c>
      <x:c r="B64" s="11" t="str">
        <x:v>石药集团</x:v>
      </x:c>
      <x:c r="C64" s="11" t="str">
        <x:v>一年</x:v>
      </x:c>
      <x:c r="D64" s="11" t="n">
        <x:v>9.085</x:v>
      </x:c>
      <x:c r="E64" s="11" t="str">
        <x:v>EPS</x:v>
      </x:c>
      <x:c r="F64" s="23" t="str">
        <x:f>'假设'!I235</x:f>
      </x:c>
      <x:c r="G64" s="24" t="n">
        <x:f>'假设'!J235</x:f>
        <x:v>0.15626896551724137</x:v>
      </x:c>
      <x:c r="H64" s="23" t="n">
        <x:f>'假设'!K235</x:f>
        <x:v>11.62</x:v>
      </x:c>
      <x:c r="I64" s="23" t="n">
        <x:f>IF(E64="收入利润率",F64*G64/H64,'假设'!E235)</x:f>
        <x:v>0.39</x:v>
      </x:c>
      <x:c r="J64" s="23" t="n">
        <x:f>'假设'!F235</x:f>
        <x:v>20</x:v>
      </x:c>
      <x:c r="K64" s="23" t="n">
        <x:f>'假设'!G235</x:f>
        <x:v>1.1</x:v>
      </x:c>
      <x:c r="L64" s="23" t="n">
        <x:f>(I64*J64+S64/H64)*K64+'管线现金流'!AH9</x:f>
        <x:v>11.008527035143045</x:v>
      </x:c>
      <x:c r="M64" s="23" t="n">
        <x:f>'假设'!H235</x:f>
        <x:v>0.35</x:v>
      </x:c>
      <x:c r="N64" s="25" t="n">
        <x:f>L64/D64-1</x:f>
        <x:v>0.21172559550281167</x:v>
      </x:c>
      <x:c r="O64" s="25" t="n">
        <x:f>(L64+M64)/D64-1</x:f>
        <x:v>0.25025063677964154</x:v>
      </x:c>
      <x:c r="P64" s="25" t="str">
        <x:f>IF(Q64&gt;=3,(1+O64)^(1/Q64)-1,"")</x:f>
      </x:c>
      <x:c r="Q64" s="11" t="n">
        <x:v>1</x:v>
      </x:c>
      <x:c r="R64" s="11" t="n">
        <x:v>235</x:v>
      </x:c>
      <x:c r="S64" t="n">
        <x:f>'假设'!N235</x:f>
        <x:v>16</x:v>
      </x:c>
      <x:c r="T64" t="str">
        <x:v>CNY</x:v>
      </x:c>
    </x:row>
    <x:row r="65" ht="23" customHeight="1">
      <x:c r="A65" s="11" t="str">
        <x:v>01093.HK</x:v>
      </x:c>
      <x:c r="B65" s="11" t="str">
        <x:v>石药集团</x:v>
      </x:c>
      <x:c r="C65" s="11" t="str">
        <x:v>三年</x:v>
      </x:c>
      <x:c r="D65" s="11" t="n">
        <x:v>9.085</x:v>
      </x:c>
      <x:c r="E65" s="11" t="str">
        <x:v>EPS</x:v>
      </x:c>
      <x:c r="F65" s="23" t="str">
        <x:f>'假设'!I239</x:f>
      </x:c>
      <x:c r="G65" s="24" t="n">
        <x:f>'假设'!J239</x:f>
        <x:v>0.17236363636363636</x:v>
      </x:c>
      <x:c r="H65" s="23" t="n">
        <x:f>'假设'!K239</x:f>
        <x:v>11.85</x:v>
      </x:c>
      <x:c r="I65" s="23" t="n">
        <x:f>IF(E65="收入利润率",F65*G65/H65,'假设'!E239)</x:f>
        <x:v>0.48</x:v>
      </x:c>
      <x:c r="J65" s="23" t="n">
        <x:f>'假设'!F239</x:f>
        <x:v>19</x:v>
      </x:c>
      <x:c r="K65" s="23" t="n">
        <x:f>'假设'!G239</x:f>
        <x:v>1.1</x:v>
      </x:c>
      <x:c r="L65" s="23" t="n">
        <x:f>(I65*J65+S65/H65)*K65+'管线现金流'!AH10</x:f>
        <x:v>12.94461579388869</x:v>
      </x:c>
      <x:c r="M65" s="23" t="n">
        <x:f>'假设'!H239</x:f>
        <x:v>1.1</x:v>
      </x:c>
      <x:c r="N65" s="25" t="n">
        <x:f>L65/D65-1</x:f>
        <x:v>0.4248338793493329</x:v>
      </x:c>
      <x:c r="O65" s="25" t="n">
        <x:f>(L65+M65)/D65-1</x:f>
        <x:v>0.5459125805050842</x:v>
      </x:c>
      <x:c r="P65" s="25" t="n">
        <x:f>IF(Q65&gt;=3,(1+O65)^(1/Q65)-1,"")</x:f>
        <x:v>0.156276352561596</x:v>
      </x:c>
      <x:c r="Q65" s="11" t="n">
        <x:v>3</x:v>
      </x:c>
      <x:c r="R65" s="11" t="n">
        <x:v>239</x:v>
      </x:c>
      <x:c r="S65" t="n">
        <x:f>'假设'!N239</x:f>
        <x:v>20</x:v>
      </x:c>
      <x:c r="T65" t="str">
        <x:v>CNY</x:v>
      </x:c>
    </x:row>
    <x:row r="66" ht="23" customHeight="1">
      <x:c r="A66" s="11" t="str">
        <x:v>01093.HK</x:v>
      </x:c>
      <x:c r="B66" s="11" t="str">
        <x:v>石药集团</x:v>
      </x:c>
      <x:c r="C66" s="11" t="str">
        <x:v>五年</x:v>
      </x:c>
      <x:c r="D66" s="11" t="n">
        <x:v>9.085</x:v>
      </x:c>
      <x:c r="E66" s="11" t="str">
        <x:v>EPS</x:v>
      </x:c>
      <x:c r="F66" s="23" t="str">
        <x:f>'假设'!I243</x:f>
      </x:c>
      <x:c r="G66" s="24" t="n">
        <x:f>'假设'!J243</x:f>
        <x:v>0.19394871794871793</x:v>
      </x:c>
      <x:c r="H66" s="23" t="n">
        <x:f>'假设'!K243</x:f>
        <x:v>12.2</x:v>
      </x:c>
      <x:c r="I66" s="23" t="n">
        <x:f>IF(E66="收入利润率",F66*G66/H66,'假设'!E243)</x:f>
        <x:v>0.62</x:v>
      </x:c>
      <x:c r="J66" s="23" t="n">
        <x:f>'假设'!F243</x:f>
        <x:v>18</x:v>
      </x:c>
      <x:c r="K66" s="23" t="n">
        <x:f>'假设'!G243</x:f>
        <x:v>1.1</x:v>
      </x:c>
      <x:c r="L66" s="23" t="n">
        <x:f>(I66*J66+S66/H66)*K66+'管线现金流'!AH11</x:f>
        <x:v>15.623303921248567</x:v>
      </x:c>
      <x:c r="M66" s="23" t="n">
        <x:f>'假设'!H243</x:f>
        <x:v>2</x:v>
      </x:c>
      <x:c r="N66" s="25" t="n">
        <x:f>L66/D66-1</x:f>
        <x:v>0.7196812241330286</x:v>
      </x:c>
      <x:c r="O66" s="25" t="n">
        <x:f>(L66+M66)/D66-1</x:f>
        <x:v>0.9398243171434855</x:v>
      </x:c>
      <x:c r="P66" s="25" t="n">
        <x:f>IF(Q66&gt;=3,(1+O66)^(1/Q66)-1,"")</x:f>
        <x:v>0.14170125867937045</x:v>
      </x:c>
      <x:c r="Q66" s="11" t="n">
        <x:v>5</x:v>
      </x:c>
      <x:c r="R66" s="11" t="n">
        <x:v>243</x:v>
      </x:c>
      <x:c r="S66" t="n">
        <x:f>'假设'!N243</x:f>
        <x:v>25</x:v>
      </x:c>
      <x:c r="T66" t="str">
        <x:v>CNY</x:v>
      </x:c>
    </x:row>
    <x:row r="67" ht="23" customHeight="1">
      <x:c r="A67" s="11" t="str">
        <x:v>688192.SH</x:v>
      </x:c>
      <x:c r="B67" s="11" t="str">
        <x:v>迪哲医药</x:v>
      </x:c>
      <x:c r="C67" s="11" t="str">
        <x:v>2026年底</x:v>
      </x:c>
      <x:c r="D67" s="11" t="n">
        <x:v>59.95</x:v>
      </x:c>
      <x:c r="E67" s="11" t="str">
        <x:v>分资产rNPV</x:v>
      </x:c>
      <x:c r="F67" s="23" t="n">
        <x:f>'假设'!I247</x:f>
        <x:v>0</x:v>
      </x:c>
      <x:c r="G67" s="24" t="n">
        <x:f>'假设'!J247</x:f>
        <x:v>0</x:v>
      </x:c>
      <x:c r="H67" s="23" t="n">
        <x:f>'假设'!K247</x:f>
        <x:v>0.48</x:v>
      </x:c>
      <x:c r="I67" s="23" t="n">
        <x:f>IF(E67="收入利润率",F67*G67/H67,'假设'!E247)</x:f>
        <x:v>0</x:v>
      </x:c>
      <x:c r="J67" s="23" t="n">
        <x:f>'假设'!F247</x:f>
        <x:v>0</x:v>
      </x:c>
      <x:c r="K67" s="23" t="n">
        <x:f>'假设'!G247</x:f>
        <x:v>1</x:v>
      </x:c>
      <x:c r="L67" s="23" t="n">
        <x:f>(S67-'假设'!Q247)/H67*K67+'管线现金流'!AH12</x:f>
        <x:v>40.38318215729995</x:v>
      </x:c>
      <x:c r="M67" s="23" t="n">
        <x:f>'假设'!H247</x:f>
        <x:v>0</x:v>
      </x:c>
      <x:c r="N67" s="25" t="n">
        <x:f>L67/D67-1</x:f>
        <x:v>-0.32638561872727356</x:v>
      </x:c>
      <x:c r="O67" s="25" t="n">
        <x:f>(L67+M67)/D67-1</x:f>
        <x:v>-0.32638561872727356</x:v>
      </x:c>
      <x:c r="P67" s="25" t="str">
        <x:f>IF(Q67&gt;=3,(1+O67)^(1/Q67)-1,"")</x:f>
      </x:c>
      <x:c r="Q67" s="11" t="n">
        <x:v>0</x:v>
      </x:c>
      <x:c r="R67" s="11" t="n">
        <x:v>247</x:v>
      </x:c>
      <x:c r="S67" t="n">
        <x:f>'假设'!N247</x:f>
        <x:v>4.15</x:v>
      </x:c>
      <x:c r="T67" t="str">
        <x:v>CNY</x:v>
      </x:c>
    </x:row>
    <x:row r="68" ht="23" customHeight="1">
      <x:c r="A68" s="11" t="str">
        <x:v>688192.SH</x:v>
      </x:c>
      <x:c r="B68" s="11" t="str">
        <x:v>迪哲医药</x:v>
      </x:c>
      <x:c r="C68" s="11" t="str">
        <x:v>半年</x:v>
      </x:c>
      <x:c r="D68" s="11" t="n">
        <x:v>59.95</x:v>
      </x:c>
      <x:c r="E68" s="11" t="str">
        <x:v>分资产rNPV</x:v>
      </x:c>
      <x:c r="F68" s="23" t="n">
        <x:f>'假设'!I251</x:f>
        <x:v>0</x:v>
      </x:c>
      <x:c r="G68" s="24" t="n">
        <x:f>'假设'!J251</x:f>
        <x:v>0</x:v>
      </x:c>
      <x:c r="H68" s="23" t="n">
        <x:f>'假设'!K251</x:f>
        <x:v>0.485</x:v>
      </x:c>
      <x:c r="I68" s="23" t="n">
        <x:f>IF(E68="收入利润率",F68*G68/H68,'假设'!E251)</x:f>
        <x:v>0</x:v>
      </x:c>
      <x:c r="J68" s="23" t="n">
        <x:f>'假设'!F251</x:f>
        <x:v>0</x:v>
      </x:c>
      <x:c r="K68" s="23" t="n">
        <x:f>'假设'!G251</x:f>
        <x:v>1</x:v>
      </x:c>
      <x:c r="L68" s="23" t="n">
        <x:f>(S68-'假设'!Q251)/H68*K68+'管线现金流'!AH13</x:f>
        <x:v>42.24013946166621</x:v>
      </x:c>
      <x:c r="M68" s="23" t="n">
        <x:f>'假设'!H251</x:f>
        <x:v>0</x:v>
      </x:c>
      <x:c r="N68" s="25" t="n">
        <x:f>L68/D68-1</x:f>
        <x:v>-0.29541051773701066</x:v>
      </x:c>
      <x:c r="O68" s="25" t="n">
        <x:f>(L68+M68)/D68-1</x:f>
        <x:v>-0.29541051773701066</x:v>
      </x:c>
      <x:c r="P68" s="25" t="str">
        <x:f>IF(Q68&gt;=3,(1+O68)^(1/Q68)-1,"")</x:f>
      </x:c>
      <x:c r="Q68" s="11" t="n">
        <x:v>0.5</x:v>
      </x:c>
      <x:c r="R68" s="11" t="n">
        <x:v>251</x:v>
      </x:c>
      <x:c r="S68" t="n">
        <x:f>'假设'!N251</x:f>
        <x:v>4.05</x:v>
      </x:c>
      <x:c r="T68" t="str">
        <x:v>CNY</x:v>
      </x:c>
    </x:row>
    <x:row r="69" ht="23" customHeight="1">
      <x:c r="A69" s="11" t="str">
        <x:v>688192.SH</x:v>
      </x:c>
      <x:c r="B69" s="11" t="str">
        <x:v>迪哲医药</x:v>
      </x:c>
      <x:c r="C69" s="11" t="str">
        <x:v>一年</x:v>
      </x:c>
      <x:c r="D69" s="11" t="n">
        <x:v>59.95</x:v>
      </x:c>
      <x:c r="E69" s="11" t="str">
        <x:v>分资产rNPV</x:v>
      </x:c>
      <x:c r="F69" s="23" t="n">
        <x:f>'假设'!I255</x:f>
        <x:v>0</x:v>
      </x:c>
      <x:c r="G69" s="24" t="n">
        <x:f>'假设'!J255</x:f>
        <x:v>0</x:v>
      </x:c>
      <x:c r="H69" s="23" t="n">
        <x:f>'假设'!K255</x:f>
        <x:v>0.495</x:v>
      </x:c>
      <x:c r="I69" s="23" t="n">
        <x:f>IF(E69="收入利润率",F69*G69/H69,'假设'!E255)</x:f>
        <x:v>0</x:v>
      </x:c>
      <x:c r="J69" s="23" t="n">
        <x:f>'假设'!F255</x:f>
        <x:v>0</x:v>
      </x:c>
      <x:c r="K69" s="23" t="n">
        <x:f>'假设'!G255</x:f>
        <x:v>1</x:v>
      </x:c>
      <x:c r="L69" s="23" t="n">
        <x:f>(S69-'假设'!Q255)/H69*K69+'管线现金流'!AH14</x:f>
        <x:v>47.29176590301235</x:v>
      </x:c>
      <x:c r="M69" s="23" t="n">
        <x:f>'假设'!H255</x:f>
        <x:v>0</x:v>
      </x:c>
      <x:c r="N69" s="25" t="n">
        <x:f>L69/D69-1</x:f>
        <x:v>-0.21114652371956055</x:v>
      </x:c>
      <x:c r="O69" s="25" t="n">
        <x:f>(L69+M69)/D69-1</x:f>
        <x:v>-0.21114652371956055</x:v>
      </x:c>
      <x:c r="P69" s="25" t="str">
        <x:f>IF(Q69&gt;=3,(1+O69)^(1/Q69)-1,"")</x:f>
      </x:c>
      <x:c r="Q69" s="11" t="n">
        <x:v>1</x:v>
      </x:c>
      <x:c r="R69" s="11" t="n">
        <x:v>255</x:v>
      </x:c>
      <x:c r="S69" t="n">
        <x:f>'假设'!N255</x:f>
        <x:v>4</x:v>
      </x:c>
      <x:c r="T69" t="str">
        <x:v>CNY</x:v>
      </x:c>
    </x:row>
    <x:row r="70" ht="23" customHeight="1">
      <x:c r="A70" s="11" t="str">
        <x:v>688192.SH</x:v>
      </x:c>
      <x:c r="B70" s="11" t="str">
        <x:v>迪哲医药</x:v>
      </x:c>
      <x:c r="C70" s="11" t="str">
        <x:v>三年</x:v>
      </x:c>
      <x:c r="D70" s="11" t="n">
        <x:v>59.95</x:v>
      </x:c>
      <x:c r="E70" s="11" t="str">
        <x:v>分资产rNPV</x:v>
      </x:c>
      <x:c r="F70" s="23" t="n">
        <x:f>'假设'!I259</x:f>
        <x:v>0</x:v>
      </x:c>
      <x:c r="G70" s="24" t="n">
        <x:f>'假设'!J259</x:f>
        <x:v>0</x:v>
      </x:c>
      <x:c r="H70" s="23" t="n">
        <x:f>'假设'!K259</x:f>
        <x:v>0.52</x:v>
      </x:c>
      <x:c r="I70" s="23" t="n">
        <x:f>IF(E70="收入利润率",F70*G70/H70,'假设'!E259)</x:f>
        <x:v>0</x:v>
      </x:c>
      <x:c r="J70" s="23" t="n">
        <x:f>'假设'!F259</x:f>
        <x:v>0</x:v>
      </x:c>
      <x:c r="K70" s="23" t="n">
        <x:f>'假设'!G259</x:f>
        <x:v>1</x:v>
      </x:c>
      <x:c r="L70" s="23" t="n">
        <x:f>(S70-'假设'!Q259)/H70*K70+'管线现金流'!AH15</x:f>
        <x:v>70.33778493018646</x:v>
      </x:c>
      <x:c r="M70" s="23" t="n">
        <x:f>'假设'!H259</x:f>
        <x:v>0</x:v>
      </x:c>
      <x:c r="N70" s="25" t="n">
        <x:f>L70/D70-1</x:f>
        <x:v>0.1732741439564045</x:v>
      </x:c>
      <x:c r="O70" s="25" t="n">
        <x:f>(L70+M70)/D70-1</x:f>
        <x:v>0.1732741439564045</x:v>
      </x:c>
      <x:c r="P70" s="25" t="n">
        <x:f>IF(Q70&gt;=3,(1+O70)^(1/Q70)-1,"")</x:f>
        <x:v>0.054710250073176425</x:v>
      </x:c>
      <x:c r="Q70" s="11" t="n">
        <x:v>3</x:v>
      </x:c>
      <x:c r="R70" s="11" t="n">
        <x:v>259</x:v>
      </x:c>
      <x:c r="S70" t="n">
        <x:f>'假设'!N259</x:f>
        <x:v>4.4</x:v>
      </x:c>
      <x:c r="T70" t="str">
        <x:v>CNY</x:v>
      </x:c>
    </x:row>
    <x:row r="71" ht="23" customHeight="1">
      <x:c r="A71" s="11" t="str">
        <x:v>688192.SH</x:v>
      </x:c>
      <x:c r="B71" s="11" t="str">
        <x:v>迪哲医药</x:v>
      </x:c>
      <x:c r="C71" s="11" t="str">
        <x:v>五年</x:v>
      </x:c>
      <x:c r="D71" s="11" t="n">
        <x:v>59.95</x:v>
      </x:c>
      <x:c r="E71" s="11" t="str">
        <x:v>分资产rNPV</x:v>
      </x:c>
      <x:c r="F71" s="23" t="n">
        <x:f>'假设'!I263</x:f>
        <x:v>0</x:v>
      </x:c>
      <x:c r="G71" s="24" t="n">
        <x:f>'假设'!J263</x:f>
        <x:v>0</x:v>
      </x:c>
      <x:c r="H71" s="23" t="n">
        <x:f>'假设'!K263</x:f>
        <x:v>0.55</x:v>
      </x:c>
      <x:c r="I71" s="23" t="n">
        <x:f>IF(E71="收入利润率",F71*G71/H71,'假设'!E263)</x:f>
        <x:v>0</x:v>
      </x:c>
      <x:c r="J71" s="23" t="n">
        <x:f>'假设'!F263</x:f>
        <x:v>0</x:v>
      </x:c>
      <x:c r="K71" s="23" t="n">
        <x:f>'假设'!G263</x:f>
        <x:v>1</x:v>
      </x:c>
      <x:c r="L71" s="23" t="n">
        <x:f>(S71-'假设'!Q263)/H71*K71+'管线现金流'!AH16</x:f>
        <x:v>92.57482531070634</x:v>
      </x:c>
      <x:c r="M71" s="23" t="n">
        <x:f>'假设'!H263</x:f>
        <x:v>0</x:v>
      </x:c>
      <x:c r="N71" s="25" t="n">
        <x:f>L71/D71-1</x:f>
        <x:v>0.5442005890026078</x:v>
      </x:c>
      <x:c r="O71" s="25" t="n">
        <x:f>(L71+M71)/D71-1</x:f>
        <x:v>0.5442005890026078</x:v>
      </x:c>
      <x:c r="P71" s="25" t="n">
        <x:f>IF(Q71&gt;=3,(1+O71)^(1/Q71)-1,"")</x:f>
        <x:v>0.09078898262112722</x:v>
      </x:c>
      <x:c r="Q71" s="11" t="n">
        <x:v>5</x:v>
      </x:c>
      <x:c r="R71" s="11" t="n">
        <x:v>263</x:v>
      </x:c>
      <x:c r="S71" t="n">
        <x:f>'假设'!N263</x:f>
        <x:v>5.5</x:v>
      </x:c>
      <x:c r="T71" t="str">
        <x:v>CNY</x:v>
      </x:c>
    </x:row>
    <x:row r="72" ht="23" customHeight="1">
      <x:c r="A72" s="11" t="str">
        <x:v>02196.HK</x:v>
      </x:c>
      <x:c r="B72" s="11" t="str">
        <x:v>复星医药</x:v>
      </x:c>
      <x:c r="C72" s="11" t="str">
        <x:v>2026年底</x:v>
      </x:c>
      <x:c r="D72" s="11" t="n">
        <x:v>17.87</x:v>
      </x:c>
      <x:c r="E72" s="11" t="str">
        <x:v>复星正常利润桥</x:v>
      </x:c>
      <x:c r="F72" s="23" t="n">
        <x:f>'复星经营桥'!C7</x:f>
        <x:v>42.300000000000004</x:v>
      </x:c>
      <x:c r="G72" s="24" t="n">
        <x:f>'复星经营桥'!J7/'复星经营桥'!C7</x:f>
        <x:v>0.06289598108747052</x:v>
      </x:c>
      <x:c r="H72" s="23" t="n">
        <x:f>'复星经营桥'!K7</x:f>
        <x:v>2.670429325</x:v>
      </x:c>
      <x:c r="I72" s="23" t="n">
        <x:f>'复星经营桥'!L7</x:f>
        <x:v>0.9962817495647458</x:v>
      </x:c>
      <x:c r="J72" s="23" t="n">
        <x:f>'假设'!F267</x:f>
        <x:v>17</x:v>
      </x:c>
      <x:c r="K72" s="23" t="n">
        <x:f>'假设'!G267</x:f>
        <x:v>1.1</x:v>
      </x:c>
      <x:c r="L72" s="23" t="n">
        <x:f>I72*J72*K72</x:f>
        <x:v>18.630468716860747</x:v>
      </x:c>
      <x:c r="M72" s="23" t="n">
        <x:f>'假设'!H267</x:f>
        <x:v>0</x:v>
      </x:c>
      <x:c r="N72" s="25" t="n">
        <x:f>L72/D72-1</x:f>
        <x:v>0.04255560810636516</x:v>
      </x:c>
      <x:c r="O72" s="25" t="n">
        <x:f>(L72+M72)/D72-1</x:f>
        <x:v>0.04255560810636516</x:v>
      </x:c>
      <x:c r="P72" s="25" t="str">
        <x:f>IF(Q72&gt;=3,(1+O72)^(1/Q72)-1,"")</x:f>
      </x:c>
      <x:c r="Q72" s="11" t="n">
        <x:v>0</x:v>
      </x:c>
      <x:c r="R72" s="11" t="n">
        <x:v>267</x:v>
      </x:c>
      <x:c r="T72" t="str">
        <x:v>CNY</x:v>
      </x:c>
    </x:row>
    <x:row r="73" ht="23" customHeight="1">
      <x:c r="A73" s="11" t="str">
        <x:v>02196.HK</x:v>
      </x:c>
      <x:c r="B73" s="11" t="str">
        <x:v>复星医药</x:v>
      </x:c>
      <x:c r="C73" s="11" t="str">
        <x:v>半年</x:v>
      </x:c>
      <x:c r="D73" s="11" t="n">
        <x:v>17.87</x:v>
      </x:c>
      <x:c r="E73" s="11" t="str">
        <x:v>复星正常利润桥</x:v>
      </x:c>
      <x:c r="F73" s="23" t="n">
        <x:f>'复星经营桥'!C8</x:f>
        <x:v>43.650000000000006</x:v>
      </x:c>
      <x:c r="G73" s="24" t="n">
        <x:f>'复星经营桥'!J8/'复星经营桥'!C8</x:f>
        <x:v>0.06611454753722808</x:v>
      </x:c>
      <x:c r="H73" s="23" t="n">
        <x:f>'复星经营桥'!K8</x:f>
        <x:v>2.68</x:v>
      </x:c>
      <x:c r="I73" s="23" t="n">
        <x:f>'复星经营桥'!L8</x:f>
        <x:v>1.0768283582089573</x:v>
      </x:c>
      <x:c r="J73" s="23" t="n">
        <x:f>'假设'!F271</x:f>
        <x:v>17.5</x:v>
      </x:c>
      <x:c r="K73" s="23" t="n">
        <x:f>'假设'!G271</x:f>
        <x:v>1.1</x:v>
      </x:c>
      <x:c r="L73" s="23" t="n">
        <x:f>I73*J73*K73</x:f>
        <x:v>20.72894589552243</x:v>
      </x:c>
      <x:c r="M73" s="23" t="n">
        <x:f>'假设'!H271</x:f>
        <x:v>0</x:v>
      </x:c>
      <x:c r="N73" s="25" t="n">
        <x:f>L73/D73-1</x:f>
        <x:v>0.15998578038737699</x:v>
      </x:c>
      <x:c r="O73" s="25" t="n">
        <x:f>(L73+M73)/D73-1</x:f>
        <x:v>0.15998578038737699</x:v>
      </x:c>
      <x:c r="P73" s="25" t="str">
        <x:f>IF(Q73&gt;=3,(1+O73)^(1/Q73)-1,"")</x:f>
      </x:c>
      <x:c r="Q73" s="11" t="n">
        <x:v>0.5</x:v>
      </x:c>
      <x:c r="R73" s="11" t="n">
        <x:v>271</x:v>
      </x:c>
      <x:c r="T73" t="str">
        <x:v>CNY</x:v>
      </x:c>
    </x:row>
    <x:row r="74" ht="23" customHeight="1">
      <x:c r="A74" s="11" t="str">
        <x:v>02196.HK</x:v>
      </x:c>
      <x:c r="B74" s="11" t="str">
        <x:v>复星医药</x:v>
      </x:c>
      <x:c r="C74" s="11" t="str">
        <x:v>一年</x:v>
      </x:c>
      <x:c r="D74" s="11" t="n">
        <x:v>17.87</x:v>
      </x:c>
      <x:c r="E74" s="11" t="str">
        <x:v>复星正常利润桥</x:v>
      </x:c>
      <x:c r="F74" s="23" t="n">
        <x:f>'复星经营桥'!C9</x:f>
        <x:v>46</x:v>
      </x:c>
      <x:c r="G74" s="24" t="n">
        <x:f>'复星经营桥'!J9/'复星经营桥'!C9</x:f>
        <x:v>0.07758043478260863</x:v>
      </x:c>
      <x:c r="H74" s="23" t="n">
        <x:f>'复星经营桥'!K9</x:f>
        <x:v>2.68</x:v>
      </x:c>
      <x:c r="I74" s="23" t="n">
        <x:f>'复星经营桥'!L9</x:f>
        <x:v>1.3316044776119391</x:v>
      </x:c>
      <x:c r="J74" s="23" t="n">
        <x:f>'假设'!F275</x:f>
        <x:v>19</x:v>
      </x:c>
      <x:c r="K74" s="23" t="n">
        <x:f>'假设'!G275</x:f>
        <x:v>1.1</x:v>
      </x:c>
      <x:c r="L74" s="23" t="n">
        <x:f>I74*J74*K74</x:f>
        <x:v>27.83053358208953</x:v>
      </x:c>
      <x:c r="M74" s="23" t="n">
        <x:f>'假设'!H275</x:f>
        <x:v>0.4</x:v>
      </x:c>
      <x:c r="N74" s="25" t="n">
        <x:f>L74/D74-1</x:f>
        <x:v>0.5573885608332136</x:v>
      </x:c>
      <x:c r="O74" s="25" t="n">
        <x:f>(L74+M74)/D74-1</x:f>
        <x:v>0.5797724444370189</x:v>
      </x:c>
      <x:c r="P74" s="25" t="str">
        <x:f>IF(Q74&gt;=3,(1+O74)^(1/Q74)-1,"")</x:f>
      </x:c>
      <x:c r="Q74" s="11" t="n">
        <x:v>1</x:v>
      </x:c>
      <x:c r="R74" s="11" t="n">
        <x:v>275</x:v>
      </x:c>
      <x:c r="T74" t="str">
        <x:v>CNY</x:v>
      </x:c>
    </x:row>
    <x:row r="75" ht="23" customHeight="1">
      <x:c r="A75" s="11" t="str">
        <x:v>02196.HK</x:v>
      </x:c>
      <x:c r="B75" s="11" t="str">
        <x:v>复星医药</x:v>
      </x:c>
      <x:c r="C75" s="11" t="str">
        <x:v>三年</x:v>
      </x:c>
      <x:c r="D75" s="11" t="n">
        <x:v>17.87</x:v>
      </x:c>
      <x:c r="E75" s="11" t="str">
        <x:v>复星正常利润桥</x:v>
      </x:c>
      <x:c r="F75" s="23" t="n">
        <x:f>'复星经营桥'!C10</x:f>
        <x:v>58</x:v>
      </x:c>
      <x:c r="G75" s="24" t="n">
        <x:f>'复星经营桥'!J10/'复星经营桥'!C10</x:f>
        <x:v>0.08794310344827587</x:v>
      </x:c>
      <x:c r="H75" s="23" t="n">
        <x:f>'复星经营桥'!K10</x:f>
        <x:v>2.72</x:v>
      </x:c>
      <x:c r="I75" s="23" t="n">
        <x:f>'复星经营桥'!L10</x:f>
        <x:v>1.8752573529411767</x:v>
      </x:c>
      <x:c r="J75" s="23" t="n">
        <x:f>'假设'!F279</x:f>
        <x:v>20</x:v>
      </x:c>
      <x:c r="K75" s="23" t="n">
        <x:f>'假设'!G279</x:f>
        <x:v>1.1</x:v>
      </x:c>
      <x:c r="L75" s="23" t="n">
        <x:f>I75*J75*K75</x:f>
        <x:v>41.25566176470589</x:v>
      </x:c>
      <x:c r="M75" s="23" t="n">
        <x:f>'假设'!H279</x:f>
        <x:v>1.55</x:v>
      </x:c>
      <x:c r="N75" s="25" t="n">
        <x:f>L75/D75-1</x:f>
        <x:v>1.3086548273478393</x:v>
      </x:c>
      <x:c r="O75" s="25" t="n">
        <x:f>(L75+M75)/D75-1</x:f>
        <x:v>1.3953923763125844</x:v>
      </x:c>
      <x:c r="P75" s="25" t="n">
        <x:f>IF(Q75&gt;=3,(1+O75)^(1/Q75)-1,"")</x:f>
        <x:v>0.3380085470694407</x:v>
      </x:c>
      <x:c r="Q75" s="11" t="n">
        <x:v>3</x:v>
      </x:c>
      <x:c r="R75" s="11" t="n">
        <x:v>279</x:v>
      </x:c>
      <x:c r="T75" t="str">
        <x:v>CNY</x:v>
      </x:c>
    </x:row>
    <x:row r="76" ht="23" customHeight="1">
      <x:c r="A76" s="11" t="str">
        <x:v>02196.HK</x:v>
      </x:c>
      <x:c r="B76" s="11" t="str">
        <x:v>复星医药</x:v>
      </x:c>
      <x:c r="C76" s="11" t="str">
        <x:v>五年</x:v>
      </x:c>
      <x:c r="D76" s="11" t="n">
        <x:v>17.87</x:v>
      </x:c>
      <x:c r="E76" s="11" t="str">
        <x:v>复星正常利润桥</x:v>
      </x:c>
      <x:c r="F76" s="23" t="n">
        <x:f>'复星经营桥'!C11</x:f>
        <x:v>73</x:v>
      </x:c>
      <x:c r="G76" s="24" t="n">
        <x:f>'复星经营桥'!J11/'复星经营桥'!C11</x:f>
        <x:v>0.09363287671232876</x:v>
      </x:c>
      <x:c r="H76" s="23" t="n">
        <x:f>'复星经营桥'!K11</x:f>
        <x:v>2.8</x:v>
      </x:c>
      <x:c r="I76" s="23" t="n">
        <x:f>'复星经营桥'!L11</x:f>
        <x:v>2.4411428571428573</x:v>
      </x:c>
      <x:c r="J76" s="23" t="n">
        <x:f>'假设'!F283</x:f>
        <x:v>19</x:v>
      </x:c>
      <x:c r="K76" s="23" t="n">
        <x:f>'假设'!G283</x:f>
        <x:v>1.1</x:v>
      </x:c>
      <x:c r="L76" s="23" t="n">
        <x:f>I76*J76*K76</x:f>
        <x:v>51.01988571428572</x:v>
      </x:c>
      <x:c r="M76" s="23" t="n">
        <x:f>'假设'!H283</x:f>
        <x:v>3</x:v>
      </x:c>
      <x:c r="N76" s="25" t="n">
        <x:f>L76/D76-1</x:f>
        <x:v>1.855057958270046</x:v>
      </x:c>
      <x:c r="O76" s="25" t="n">
        <x:f>(L76+M76)/D76-1</x:f>
        <x:v>2.0229370852985853</x:v>
      </x:c>
      <x:c r="P76" s="25" t="n">
        <x:f>IF(Q76&gt;=3,(1+O76)^(1/Q76)-1,"")</x:f>
        <x:v>0.24763003628534497</x:v>
      </x:c>
      <x:c r="Q76" s="11" t="n">
        <x:v>5</x:v>
      </x:c>
      <x:c r="R76" s="11" t="n">
        <x:v>283</x:v>
      </x:c>
      <x:c r="T76" t="str">
        <x:v>CNY</x:v>
      </x:c>
    </x:row>
    <x:row r="77" ht="23" customHeight="1">
      <x:c r="A77" s="11" t="str">
        <x:v>01548.HK</x:v>
      </x:c>
      <x:c r="B77" s="11" t="str">
        <x:v>金斯瑞生物科技</x:v>
      </x:c>
      <x:c r="C77" s="11" t="str">
        <x:v>2026年底</x:v>
      </x:c>
      <x:c r="D77" s="11" t="n">
        <x:v>42.4</x:v>
      </x:c>
      <x:c r="E77" s="11" t="str">
        <x:v>分部SOTP</x:v>
      </x:c>
      <x:c r="F77" s="23" t="n">
        <x:f>'假设'!I287</x:f>
        <x:v>0</x:v>
      </x:c>
      <x:c r="G77" s="24" t="str">
        <x:f>'假设'!J287</x:f>
      </x:c>
      <x:c r="H77" s="23" t="n">
        <x:f>'假设'!K287</x:f>
        <x:v>2.31</x:v>
      </x:c>
      <x:c r="I77" s="23" t="str">
        <x:v>不适用</x:v>
      </x:c>
      <x:c r="J77" s="23" t="str">
        <x:v>不适用</x:v>
      </x:c>
      <x:c r="K77" s="23" t="n">
        <x:f>'假设'!G287</x:f>
        <x:v>7.8</x:v>
      </x:c>
      <x:c r="L77" s="23" t="n">
        <x:f>'SOTP估值桥'!Q7</x:f>
        <x:v>33.820189688815226</x:v>
      </x:c>
      <x:c r="M77" s="23" t="n">
        <x:f>'假设'!H287</x:f>
        <x:v>0</x:v>
      </x:c>
      <x:c r="N77" s="25" t="n">
        <x:f>L77/D77-1</x:f>
        <x:v>-0.20235401677322573</x:v>
      </x:c>
      <x:c r="O77" s="25" t="n">
        <x:f>(L77+M77)/D77-1</x:f>
        <x:v>-0.20235401677322573</x:v>
      </x:c>
      <x:c r="P77" s="25" t="str">
        <x:f>IF(Q77&gt;=3,(1+O77)^(1/Q77)-1,"")</x:f>
      </x:c>
      <x:c r="Q77" s="11" t="n">
        <x:v>0</x:v>
      </x:c>
      <x:c r="R77" s="11" t="n">
        <x:v>287</x:v>
      </x:c>
      <x:c r="T77" t="str">
        <x:v>USD</x:v>
      </x:c>
    </x:row>
    <x:row r="78" ht="23" customHeight="1">
      <x:c r="A78" s="11" t="str">
        <x:v>01548.HK</x:v>
      </x:c>
      <x:c r="B78" s="11" t="str">
        <x:v>金斯瑞生物科技</x:v>
      </x:c>
      <x:c r="C78" s="11" t="str">
        <x:v>半年</x:v>
      </x:c>
      <x:c r="D78" s="11" t="n">
        <x:v>42.4</x:v>
      </x:c>
      <x:c r="E78" s="11" t="str">
        <x:v>分部SOTP</x:v>
      </x:c>
      <x:c r="F78" s="23" t="n">
        <x:f>'假设'!I291</x:f>
        <x:v>0</x:v>
      </x:c>
      <x:c r="G78" s="24" t="str">
        <x:f>'假设'!J291</x:f>
      </x:c>
      <x:c r="H78" s="23" t="n">
        <x:f>'假设'!K291</x:f>
        <x:v>2.34</x:v>
      </x:c>
      <x:c r="I78" s="23" t="str">
        <x:v>不适用</x:v>
      </x:c>
      <x:c r="J78" s="23" t="str">
        <x:v>不适用</x:v>
      </x:c>
      <x:c r="K78" s="23" t="n">
        <x:f>'假设'!G291</x:f>
        <x:v>7.8</x:v>
      </x:c>
      <x:c r="L78" s="23" t="n">
        <x:f>'SOTP估值桥'!Q8</x:f>
        <x:v>38.71410722986074</x:v>
      </x:c>
      <x:c r="M78" s="23" t="n">
        <x:f>'假设'!H291</x:f>
        <x:v>0</x:v>
      </x:c>
      <x:c r="N78" s="25" t="n">
        <x:f>L78/D78-1</x:f>
        <x:v>-0.08693143325800146</x:v>
      </x:c>
      <x:c r="O78" s="25" t="n">
        <x:f>(L78+M78)/D78-1</x:f>
        <x:v>-0.08693143325800146</x:v>
      </x:c>
      <x:c r="P78" s="25" t="str">
        <x:f>IF(Q78&gt;=3,(1+O78)^(1/Q78)-1,"")</x:f>
      </x:c>
      <x:c r="Q78" s="11" t="n">
        <x:v>0.5</x:v>
      </x:c>
      <x:c r="R78" s="11" t="n">
        <x:v>291</x:v>
      </x:c>
      <x:c r="T78" t="str">
        <x:v>USD</x:v>
      </x:c>
    </x:row>
    <x:row r="79" ht="23" customHeight="1">
      <x:c r="A79" s="11" t="str">
        <x:v>01548.HK</x:v>
      </x:c>
      <x:c r="B79" s="11" t="str">
        <x:v>金斯瑞生物科技</x:v>
      </x:c>
      <x:c r="C79" s="11" t="str">
        <x:v>一年</x:v>
      </x:c>
      <x:c r="D79" s="11" t="n">
        <x:v>42.4</x:v>
      </x:c>
      <x:c r="E79" s="11" t="str">
        <x:v>分部SOTP</x:v>
      </x:c>
      <x:c r="F79" s="23" t="n">
        <x:f>'假设'!I295</x:f>
        <x:v>0</x:v>
      </x:c>
      <x:c r="G79" s="24" t="str">
        <x:f>'假设'!J295</x:f>
      </x:c>
      <x:c r="H79" s="23" t="n">
        <x:f>'假设'!K295</x:f>
        <x:v>2.4</x:v>
      </x:c>
      <x:c r="I79" s="23" t="str">
        <x:v>不适用</x:v>
      </x:c>
      <x:c r="J79" s="23" t="str">
        <x:v>不适用</x:v>
      </x:c>
      <x:c r="K79" s="23" t="n">
        <x:f>'假设'!G295</x:f>
        <x:v>7.8</x:v>
      </x:c>
      <x:c r="L79" s="23" t="n">
        <x:f>'SOTP估值桥'!Q9</x:f>
        <x:v>74.46296980410604</x:v>
      </x:c>
      <x:c r="M79" s="23" t="n">
        <x:f>'假设'!H295</x:f>
        <x:v>0</x:v>
      </x:c>
      <x:c r="N79" s="25" t="n">
        <x:f>L79/D79-1</x:f>
        <x:v>0.7562021180213689</x:v>
      </x:c>
      <x:c r="O79" s="25" t="n">
        <x:f>(L79+M79)/D79-1</x:f>
        <x:v>0.7562021180213689</x:v>
      </x:c>
      <x:c r="P79" s="25" t="str">
        <x:f>IF(Q79&gt;=3,(1+O79)^(1/Q79)-1,"")</x:f>
      </x:c>
      <x:c r="Q79" s="11" t="n">
        <x:v>1</x:v>
      </x:c>
      <x:c r="R79" s="11" t="n">
        <x:v>295</x:v>
      </x:c>
      <x:c r="T79" t="str">
        <x:v>USD</x:v>
      </x:c>
    </x:row>
    <x:row r="80" ht="23" customHeight="1">
      <x:c r="A80" s="11" t="str">
        <x:v>01548.HK</x:v>
      </x:c>
      <x:c r="B80" s="11" t="str">
        <x:v>金斯瑞生物科技</x:v>
      </x:c>
      <x:c r="C80" s="11" t="str">
        <x:v>三年</x:v>
      </x:c>
      <x:c r="D80" s="11" t="n">
        <x:v>42.4</x:v>
      </x:c>
      <x:c r="E80" s="11" t="str">
        <x:v>分部SOTP</x:v>
      </x:c>
      <x:c r="F80" s="23" t="n">
        <x:f>'假设'!I299</x:f>
        <x:v>0</x:v>
      </x:c>
      <x:c r="G80" s="24" t="str">
        <x:f>'假设'!J299</x:f>
      </x:c>
      <x:c r="H80" s="23" t="n">
        <x:f>'假设'!K299</x:f>
        <x:v>2.52</x:v>
      </x:c>
      <x:c r="I80" s="23" t="str">
        <x:v>不适用</x:v>
      </x:c>
      <x:c r="J80" s="23" t="str">
        <x:v>不适用</x:v>
      </x:c>
      <x:c r="K80" s="23" t="n">
        <x:f>'假设'!G299</x:f>
        <x:v>7.8</x:v>
      </x:c>
      <x:c r="L80" s="23" t="n">
        <x:f>'SOTP估值桥'!Q10</x:f>
        <x:v>54.87118464068008</x:v>
      </x:c>
      <x:c r="M80" s="23" t="n">
        <x:f>'假设'!H299</x:f>
        <x:v>0</x:v>
      </x:c>
      <x:c r="N80" s="25" t="n">
        <x:f>L80/D80-1</x:f>
        <x:v>0.2941317132235868</x:v>
      </x:c>
      <x:c r="O80" s="25" t="n">
        <x:f>(L80+M80)/D80-1</x:f>
        <x:v>0.2941317132235868</x:v>
      </x:c>
      <x:c r="P80" s="25" t="n">
        <x:f>IF(Q80&gt;=3,(1+O80)^(1/Q80)-1,"")</x:f>
        <x:v>0.08974819905995823</x:v>
      </x:c>
      <x:c r="Q80" s="11" t="n">
        <x:v>3</x:v>
      </x:c>
      <x:c r="R80" s="11" t="n">
        <x:v>299</x:v>
      </x:c>
      <x:c r="T80" t="str">
        <x:v>USD</x:v>
      </x:c>
    </x:row>
    <x:row r="81" ht="23" customHeight="1">
      <x:c r="A81" s="11" t="str">
        <x:v>01548.HK</x:v>
      </x:c>
      <x:c r="B81" s="11" t="str">
        <x:v>金斯瑞生物科技</x:v>
      </x:c>
      <x:c r="C81" s="11" t="str">
        <x:v>五年</x:v>
      </x:c>
      <x:c r="D81" s="11" t="n">
        <x:v>42.4</x:v>
      </x:c>
      <x:c r="E81" s="11" t="str">
        <x:v>分部SOTP</x:v>
      </x:c>
      <x:c r="F81" s="23" t="n">
        <x:f>'假设'!I303</x:f>
        <x:v>0</x:v>
      </x:c>
      <x:c r="G81" s="24" t="str">
        <x:f>'假设'!J303</x:f>
      </x:c>
      <x:c r="H81" s="23" t="n">
        <x:f>'假设'!K303</x:f>
        <x:v>2.65</x:v>
      </x:c>
      <x:c r="I81" s="23" t="str">
        <x:v>不适用</x:v>
      </x:c>
      <x:c r="J81" s="23" t="str">
        <x:v>不适用</x:v>
      </x:c>
      <x:c r="K81" s="23" t="n">
        <x:f>'假设'!G303</x:f>
        <x:v>7.8</x:v>
      </x:c>
      <x:c r="L81" s="23" t="n">
        <x:f>'SOTP估值桥'!Q11</x:f>
        <x:v>72.60345214300675</x:v>
      </x:c>
      <x:c r="M81" s="23" t="n">
        <x:f>'假设'!H303</x:f>
        <x:v>0</x:v>
      </x:c>
      <x:c r="N81" s="25" t="n">
        <x:f>L81/D81-1</x:f>
        <x:v>0.7123455694105365</x:v>
      </x:c>
      <x:c r="O81" s="25" t="n">
        <x:f>(L81+M81)/D81-1</x:f>
        <x:v>0.7123455694105365</x:v>
      </x:c>
      <x:c r="P81" s="25" t="n">
        <x:f>IF(Q81&gt;=3,(1+O81)^(1/Q81)-1,"")</x:f>
        <x:v>0.1135719500279615</x:v>
      </x:c>
      <x:c r="Q81" s="11" t="n">
        <x:v>5</x:v>
      </x:c>
      <x:c r="R81" s="11" t="n">
        <x:v>303</x:v>
      </x:c>
      <x:c r="T81" t="str">
        <x:v>USD</x:v>
      </x:c>
    </x:row>
    <x:row r="82" ht="23" customHeight="1">
      <x:c r="A82" s="11" t="str">
        <x:v>688139.SH</x:v>
      </x:c>
      <x:c r="B82" s="11" t="str">
        <x:v>海尔生物</x:v>
      </x:c>
      <x:c r="C82" s="11" t="str">
        <x:v>2026年底</x:v>
      </x:c>
      <x:c r="D82" s="11" t="n">
        <x:v>35.13</x:v>
      </x:c>
      <x:c r="E82" s="11" t="str">
        <x:v>EPS</x:v>
      </x:c>
      <x:c r="F82" s="23" t="n">
        <x:f>'假设'!I307</x:f>
        <x:v>0</x:v>
      </x:c>
      <x:c r="G82" s="24" t="n">
        <x:f>'假设'!J307</x:f>
        <x:v>0</x:v>
      </x:c>
      <x:c r="H82" s="23" t="str">
        <x:f>'假设'!K307</x:f>
      </x:c>
      <x:c r="I82" s="23" t="n">
        <x:f>IF(E82="收入利润率",F82*G82/H82,'假设'!E307)</x:f>
        <x:v>0.98</x:v>
      </x:c>
      <x:c r="J82" s="23" t="n">
        <x:f>'假设'!F307</x:f>
        <x:v>36</x:v>
      </x:c>
      <x:c r="K82" s="23" t="n">
        <x:f>'假设'!G307</x:f>
        <x:v>1</x:v>
      </x:c>
      <x:c r="L82" s="23" t="n">
        <x:f>I82*J82*K82</x:f>
        <x:v>35.28</x:v>
      </x:c>
      <x:c r="M82" s="23" t="n">
        <x:f>'假设'!H307</x:f>
        <x:v>0</x:v>
      </x:c>
      <x:c r="N82" s="25" t="n">
        <x:f>L82/D82-1</x:f>
        <x:v>0.004269854824935804</x:v>
      </x:c>
      <x:c r="O82" s="25" t="n">
        <x:f>(L82+M82)/D82-1</x:f>
        <x:v>0.004269854824935804</x:v>
      </x:c>
      <x:c r="P82" s="25" t="str">
        <x:f>IF(Q82&gt;=3,(1+O82)^(1/Q82)-1,"")</x:f>
      </x:c>
      <x:c r="Q82" s="11" t="n">
        <x:v>0</x:v>
      </x:c>
      <x:c r="R82" s="11" t="n">
        <x:v>307</x:v>
      </x:c>
      <x:c r="T82" t="str">
        <x:v>CNY</x:v>
      </x:c>
    </x:row>
    <x:row r="83" ht="23" customHeight="1">
      <x:c r="A83" s="11" t="str">
        <x:v>688139.SH</x:v>
      </x:c>
      <x:c r="B83" s="11" t="str">
        <x:v>海尔生物</x:v>
      </x:c>
      <x:c r="C83" s="11" t="str">
        <x:v>半年</x:v>
      </x:c>
      <x:c r="D83" s="11" t="n">
        <x:v>35.13</x:v>
      </x:c>
      <x:c r="E83" s="11" t="str">
        <x:v>EPS</x:v>
      </x:c>
      <x:c r="F83" s="23" t="n">
        <x:f>'假设'!I311</x:f>
        <x:v>0</x:v>
      </x:c>
      <x:c r="G83" s="24" t="n">
        <x:f>'假设'!J311</x:f>
        <x:v>0</x:v>
      </x:c>
      <x:c r="H83" s="23" t="str">
        <x:f>'假设'!K311</x:f>
      </x:c>
      <x:c r="I83" s="23" t="n">
        <x:f>IF(E83="收入利润率",F83*G83/H83,'假设'!E311)</x:f>
        <x:v>1.08</x:v>
      </x:c>
      <x:c r="J83" s="23" t="n">
        <x:f>'假设'!F311</x:f>
        <x:v>36</x:v>
      </x:c>
      <x:c r="K83" s="23" t="n">
        <x:f>'假设'!G311</x:f>
        <x:v>1</x:v>
      </x:c>
      <x:c r="L83" s="23" t="n">
        <x:f>I83*J83*K83</x:f>
        <x:v>38.88</x:v>
      </x:c>
      <x:c r="M83" s="23" t="n">
        <x:f>'假设'!H311</x:f>
        <x:v>0</x:v>
      </x:c>
      <x:c r="N83" s="25" t="n">
        <x:f>L83/D83-1</x:f>
        <x:v>0.10674637062339887</x:v>
      </x:c>
      <x:c r="O83" s="25" t="n">
        <x:f>(L83+M83)/D83-1</x:f>
        <x:v>0.10674637062339887</x:v>
      </x:c>
      <x:c r="P83" s="25" t="str">
        <x:f>IF(Q83&gt;=3,(1+O83)^(1/Q83)-1,"")</x:f>
      </x:c>
      <x:c r="Q83" s="11" t="n">
        <x:v>0.5</x:v>
      </x:c>
      <x:c r="R83" s="11" t="n">
        <x:v>311</x:v>
      </x:c>
      <x:c r="T83" t="str">
        <x:v>CNY</x:v>
      </x:c>
    </x:row>
    <x:row r="84" ht="23" customHeight="1">
      <x:c r="A84" s="11" t="str">
        <x:v>688139.SH</x:v>
      </x:c>
      <x:c r="B84" s="11" t="str">
        <x:v>海尔生物</x:v>
      </x:c>
      <x:c r="C84" s="11" t="str">
        <x:v>一年</x:v>
      </x:c>
      <x:c r="D84" s="11" t="n">
        <x:v>35.13</x:v>
      </x:c>
      <x:c r="E84" s="11" t="str">
        <x:v>EPS</x:v>
      </x:c>
      <x:c r="F84" s="23" t="n">
        <x:f>'假设'!I315</x:f>
        <x:v>0</x:v>
      </x:c>
      <x:c r="G84" s="24" t="n">
        <x:f>'假设'!J315</x:f>
        <x:v>0</x:v>
      </x:c>
      <x:c r="H84" s="23" t="str">
        <x:f>'假设'!K315</x:f>
      </x:c>
      <x:c r="I84" s="23" t="n">
        <x:f>IF(E84="收入利润率",F84*G84/H84,'假设'!E315)</x:f>
        <x:v>1.3</x:v>
      </x:c>
      <x:c r="J84" s="23" t="n">
        <x:f>'假设'!F315</x:f>
        <x:v>35</x:v>
      </x:c>
      <x:c r="K84" s="23" t="n">
        <x:f>'假设'!G315</x:f>
        <x:v>1</x:v>
      </x:c>
      <x:c r="L84" s="23" t="n">
        <x:f>I84*J84*K84</x:f>
        <x:v>45.5</x:v>
      </x:c>
      <x:c r="M84" s="23" t="n">
        <x:f>'假设'!H315</x:f>
        <x:v>0.4</x:v>
      </x:c>
      <x:c r="N84" s="25" t="n">
        <x:f>L84/D84-1</x:f>
        <x:v>0.2951892968972387</x:v>
      </x:c>
      <x:c r="O84" s="25" t="n">
        <x:f>(L84+M84)/D84-1</x:f>
        <x:v>0.30657557643040123</x:v>
      </x:c>
      <x:c r="P84" s="25" t="str">
        <x:f>IF(Q84&gt;=3,(1+O84)^(1/Q84)-1,"")</x:f>
      </x:c>
      <x:c r="Q84" s="11" t="n">
        <x:v>1</x:v>
      </x:c>
      <x:c r="R84" s="11" t="n">
        <x:v>315</x:v>
      </x:c>
      <x:c r="T84" t="str">
        <x:v>CNY</x:v>
      </x:c>
    </x:row>
    <x:row r="85" ht="23" customHeight="1">
      <x:c r="A85" s="11" t="str">
        <x:v>688139.SH</x:v>
      </x:c>
      <x:c r="B85" s="11" t="str">
        <x:v>海尔生物</x:v>
      </x:c>
      <x:c r="C85" s="11" t="str">
        <x:v>三年</x:v>
      </x:c>
      <x:c r="D85" s="11" t="n">
        <x:v>35.13</x:v>
      </x:c>
      <x:c r="E85" s="11" t="str">
        <x:v>EPS</x:v>
      </x:c>
      <x:c r="F85" s="23" t="n">
        <x:f>'假设'!I319</x:f>
        <x:v>0</x:v>
      </x:c>
      <x:c r="G85" s="24" t="n">
        <x:f>'假设'!J319</x:f>
        <x:v>0</x:v>
      </x:c>
      <x:c r="H85" s="23" t="str">
        <x:f>'假设'!K319</x:f>
      </x:c>
      <x:c r="I85" s="23" t="n">
        <x:f>IF(E85="收入利润率",F85*G85/H85,'假设'!E319)</x:f>
        <x:v>1.95</x:v>
      </x:c>
      <x:c r="J85" s="23" t="n">
        <x:f>'假设'!F319</x:f>
        <x:v>32</x:v>
      </x:c>
      <x:c r="K85" s="23" t="n">
        <x:f>'假设'!G319</x:f>
        <x:v>1</x:v>
      </x:c>
      <x:c r="L85" s="23" t="n">
        <x:f>I85*J85*K85</x:f>
        <x:v>62.4</x:v>
      </x:c>
      <x:c r="M85" s="23" t="n">
        <x:f>'假设'!H319</x:f>
        <x:v>1.7</x:v>
      </x:c>
      <x:c r="N85" s="25" t="n">
        <x:f>L85/D85-1</x:f>
        <x:v>0.7762596071733558</x:v>
      </x:c>
      <x:c r="O85" s="25" t="n">
        <x:f>(L85+M85)/D85-1</x:f>
        <x:v>0.8246512951892966</x:v>
      </x:c>
      <x:c r="P85" s="25" t="n">
        <x:f>IF(Q85&gt;=3,(1+O85)^(1/Q85)-1,"")</x:f>
        <x:v>0.22196835688290828</x:v>
      </x:c>
      <x:c r="Q85" s="11" t="n">
        <x:v>3</x:v>
      </x:c>
      <x:c r="R85" s="11" t="n">
        <x:v>319</x:v>
      </x:c>
      <x:c r="T85" t="str">
        <x:v>CNY</x:v>
      </x:c>
    </x:row>
    <x:row r="86" ht="23" customHeight="1">
      <x:c r="A86" s="11" t="str">
        <x:v>688139.SH</x:v>
      </x:c>
      <x:c r="B86" s="11" t="str">
        <x:v>海尔生物</x:v>
      </x:c>
      <x:c r="C86" s="11" t="str">
        <x:v>五年</x:v>
      </x:c>
      <x:c r="D86" s="11" t="n">
        <x:v>35.13</x:v>
      </x:c>
      <x:c r="E86" s="11" t="str">
        <x:v>EPS</x:v>
      </x:c>
      <x:c r="F86" s="23" t="n">
        <x:f>'假设'!I323</x:f>
        <x:v>0</x:v>
      </x:c>
      <x:c r="G86" s="24" t="n">
        <x:f>'假设'!J323</x:f>
        <x:v>0</x:v>
      </x:c>
      <x:c r="H86" s="23" t="str">
        <x:f>'假设'!K323</x:f>
      </x:c>
      <x:c r="I86" s="23" t="n">
        <x:f>IF(E86="收入利润率",F86*G86/H86,'假设'!E323)</x:f>
        <x:v>2.65</x:v>
      </x:c>
      <x:c r="J86" s="23" t="n">
        <x:f>'假设'!F323</x:f>
        <x:v>30</x:v>
      </x:c>
      <x:c r="K86" s="23" t="n">
        <x:f>'假设'!G323</x:f>
        <x:v>1</x:v>
      </x:c>
      <x:c r="L86" s="23" t="n">
        <x:f>I86*J86*K86</x:f>
        <x:v>79.5</x:v>
      </x:c>
      <x:c r="M86" s="23" t="n">
        <x:f>'假设'!H323</x:f>
        <x:v>3.4</x:v>
      </x:c>
      <x:c r="N86" s="25" t="n">
        <x:f>L86/D86-1</x:f>
        <x:v>1.2630230572160546</x:v>
      </x:c>
      <x:c r="O86" s="25" t="n">
        <x:f>(L86+M86)/D86-1</x:f>
        <x:v>1.359806433247936</x:v>
      </x:c>
      <x:c r="P86" s="25" t="n">
        <x:f>IF(Q86&gt;=3,(1+O86)^(1/Q86)-1,"")</x:f>
        <x:v>0.18734048463188469</x:v>
      </x:c>
      <x:c r="Q86" s="11" t="n">
        <x:v>5</x:v>
      </x:c>
      <x:c r="R86" s="11" t="n">
        <x:v>323</x:v>
      </x:c>
      <x:c r="T86" t="str">
        <x:v>CNY</x:v>
      </x:c>
    </x:row>
    <x:row r="87" ht="23" customHeight="1">
      <x:c r="A87" s="11" t="str">
        <x:v>03692.HK</x:v>
      </x:c>
      <x:c r="B87" s="11" t="str">
        <x:v>翰森制药</x:v>
      </x:c>
      <x:c r="C87" s="11" t="str">
        <x:v>2026年底</x:v>
      </x:c>
      <x:c r="D87" s="11" t="n">
        <x:v>31.54</x:v>
      </x:c>
      <x:c r="E87" s="11" t="str">
        <x:v>收入利润率</x:v>
      </x:c>
      <x:c r="F87" s="23" t="n">
        <x:f>'假设'!I327</x:f>
        <x:v>18.8</x:v>
      </x:c>
      <x:c r="G87" s="24" t="n">
        <x:f>'假设'!J327</x:f>
        <x:v>0.32162765957446804</x:v>
      </x:c>
      <x:c r="H87" s="23" t="n">
        <x:f>'假设'!K327</x:f>
        <x:v>6.17</x:v>
      </x:c>
      <x:c r="I87" s="23" t="n">
        <x:f>IF(E87="收入利润率",F87*G87/H87,'假设'!E327)</x:f>
        <x:v>0.98</x:v>
      </x:c>
      <x:c r="J87" s="23" t="n">
        <x:f>'假设'!F327</x:f>
        <x:v>30</x:v>
      </x:c>
      <x:c r="K87" s="23" t="n">
        <x:f>'假设'!G327</x:f>
        <x:v>1.1</x:v>
      </x:c>
      <x:c r="L87" s="23" t="n">
        <x:f>(I87*J87+S87/H87)*K87</x:f>
        <x:v>37.15361426256078</x:v>
      </x:c>
      <x:c r="M87" s="23" t="n">
        <x:f>'假设'!H327</x:f>
        <x:v>0</x:v>
      </x:c>
      <x:c r="N87" s="25" t="n">
        <x:f>L87/D87-1</x:f>
        <x:v>0.17798396520484405</x:v>
      </x:c>
      <x:c r="O87" s="25" t="n">
        <x:f>(L87+M87)/D87-1</x:f>
        <x:v>0.17798396520484405</x:v>
      </x:c>
      <x:c r="P87" s="25" t="str">
        <x:f>IF(Q87&gt;=3,(1+O87)^(1/Q87)-1,"")</x:f>
      </x:c>
      <x:c r="Q87" s="11" t="n">
        <x:v>0</x:v>
      </x:c>
      <x:c r="R87" s="11" t="n">
        <x:v>327</x:v>
      </x:c>
      <x:c r="S87" t="n">
        <x:f>'假设'!N327</x:f>
        <x:v>27</x:v>
      </x:c>
      <x:c r="T87" t="str">
        <x:v>CNY</x:v>
      </x:c>
    </x:row>
    <x:row r="88" ht="23" customHeight="1">
      <x:c r="A88" s="11" t="str">
        <x:v>03692.HK</x:v>
      </x:c>
      <x:c r="B88" s="11" t="str">
        <x:v>翰森制药</x:v>
      </x:c>
      <x:c r="C88" s="11" t="str">
        <x:v>半年</x:v>
      </x:c>
      <x:c r="D88" s="11" t="n">
        <x:v>31.54</x:v>
      </x:c>
      <x:c r="E88" s="11" t="str">
        <x:v>收入利润率</x:v>
      </x:c>
      <x:c r="F88" s="23" t="n">
        <x:f>'假设'!I331</x:f>
        <x:v>18.8</x:v>
      </x:c>
      <x:c r="G88" s="24" t="n">
        <x:f>'假设'!J331</x:f>
        <x:v>0.32162765957446804</x:v>
      </x:c>
      <x:c r="H88" s="23" t="n">
        <x:f>'假设'!K331</x:f>
        <x:v>6.17</x:v>
      </x:c>
      <x:c r="I88" s="23" t="n">
        <x:f>IF(E88="收入利润率",F88*G88/H88,'假设'!E331)</x:f>
        <x:v>0.98</x:v>
      </x:c>
      <x:c r="J88" s="23" t="n">
        <x:f>'假设'!F331</x:f>
        <x:v>32</x:v>
      </x:c>
      <x:c r="K88" s="23" t="n">
        <x:f>'假设'!G331</x:f>
        <x:v>1.1</x:v>
      </x:c>
      <x:c r="L88" s="23" t="n">
        <x:f>(I88*J88+S88/H88)*K88</x:f>
        <x:v>39.13133225283631</x:v>
      </x:c>
      <x:c r="M88" s="23" t="n">
        <x:f>'假设'!H331</x:f>
        <x:v>0</x:v>
      </x:c>
      <x:c r="N88" s="25" t="n">
        <x:f>L88/D88-1</x:f>
        <x:v>0.24068903781979412</x:v>
      </x:c>
      <x:c r="O88" s="25" t="n">
        <x:f>(L88+M88)/D88-1</x:f>
        <x:v>0.24068903781979412</x:v>
      </x:c>
      <x:c r="P88" s="25" t="str">
        <x:f>IF(Q88&gt;=3,(1+O88)^(1/Q88)-1,"")</x:f>
      </x:c>
      <x:c r="Q88" s="11" t="n">
        <x:v>0.5</x:v>
      </x:c>
      <x:c r="R88" s="11" t="n">
        <x:v>331</x:v>
      </x:c>
      <x:c r="S88" t="n">
        <x:f>'假设'!N331</x:f>
        <x:v>26</x:v>
      </x:c>
      <x:c r="T88" t="str">
        <x:v>CNY</x:v>
      </x:c>
    </x:row>
    <x:row r="89" ht="23" customHeight="1">
      <x:c r="A89" s="11" t="str">
        <x:v>03692.HK</x:v>
      </x:c>
      <x:c r="B89" s="11" t="str">
        <x:v>翰森制药</x:v>
      </x:c>
      <x:c r="C89" s="11" t="str">
        <x:v>一年</x:v>
      </x:c>
      <x:c r="D89" s="11" t="n">
        <x:v>31.54</x:v>
      </x:c>
      <x:c r="E89" s="11" t="str">
        <x:v>收入利润率</x:v>
      </x:c>
      <x:c r="F89" s="23" t="n">
        <x:f>'假设'!I335</x:f>
        <x:v>23.3</x:v>
      </x:c>
      <x:c r="G89" s="24" t="n">
        <x:f>'假设'!J335</x:f>
        <x:v>0.3347639484978541</x:v>
      </x:c>
      <x:c r="H89" s="23" t="n">
        <x:f>'假设'!K335</x:f>
        <x:v>6.24</x:v>
      </x:c>
      <x:c r="I89" s="23" t="n">
        <x:f>IF(E89="收入利润率",F89*G89/H89,'假设'!E335)</x:f>
        <x:v>1.2500000000000002</x:v>
      </x:c>
      <x:c r="J89" s="23" t="n">
        <x:f>'假设'!F335</x:f>
        <x:v>30</x:v>
      </x:c>
      <x:c r="K89" s="23" t="n">
        <x:f>'假设'!G335</x:f>
        <x:v>1.1</x:v>
      </x:c>
      <x:c r="L89" s="23" t="n">
        <x:f>(I89*J89+S89/H89)*K89</x:f>
        <x:v>46.009615384615394</x:v>
      </x:c>
      <x:c r="M89" s="23" t="n">
        <x:f>'假设'!H335</x:f>
        <x:v>0.55</x:v>
      </x:c>
      <x:c r="N89" s="25" t="n">
        <x:f>L89/D89-1</x:f>
        <x:v>0.45877030388761564</x:v>
      </x:c>
      <x:c r="O89" s="25" t="n">
        <x:f>(L89+M89)/D89-1</x:f>
        <x:v>0.47620847763523755</x:v>
      </x:c>
      <x:c r="P89" s="25" t="str">
        <x:f>IF(Q89&gt;=3,(1+O89)^(1/Q89)-1,"")</x:f>
      </x:c>
      <x:c r="Q89" s="11" t="n">
        <x:v>1</x:v>
      </x:c>
      <x:c r="R89" s="11" t="n">
        <x:v>335</x:v>
      </x:c>
      <x:c r="S89" t="n">
        <x:f>'假设'!N335</x:f>
        <x:v>27</x:v>
      </x:c>
      <x:c r="T89" t="str">
        <x:v>CNY</x:v>
      </x:c>
    </x:row>
    <x:row r="90" ht="23" customHeight="1">
      <x:c r="A90" s="11" t="str">
        <x:v>03692.HK</x:v>
      </x:c>
      <x:c r="B90" s="11" t="str">
        <x:v>翰森制药</x:v>
      </x:c>
      <x:c r="C90" s="11" t="str">
        <x:v>三年</x:v>
      </x:c>
      <x:c r="D90" s="11" t="n">
        <x:v>31.54</x:v>
      </x:c>
      <x:c r="E90" s="11" t="str">
        <x:v>收入利润率</x:v>
      </x:c>
      <x:c r="F90" s="23" t="n">
        <x:f>'假设'!I339</x:f>
        <x:v>30</x:v>
      </x:c>
      <x:c r="G90" s="24" t="n">
        <x:f>'假设'!J339</x:f>
        <x:v>0.34452000000000005</x:v>
      </x:c>
      <x:c r="H90" s="23" t="n">
        <x:f>'假设'!K339</x:f>
        <x:v>6.38</x:v>
      </x:c>
      <x:c r="I90" s="23" t="n">
        <x:f>IF(E90="收入利润率",F90*G90/H90,'假设'!E339)</x:f>
        <x:v>1.6200000000000003</x:v>
      </x:c>
      <x:c r="J90" s="23" t="n">
        <x:f>'假设'!F339</x:f>
        <x:v>28</x:v>
      </x:c>
      <x:c r="K90" s="23" t="n">
        <x:f>'假设'!G339</x:f>
        <x:v>1.1</x:v>
      </x:c>
      <x:c r="L90" s="23" t="n">
        <x:f>(I90*J90+S90/H90)*K90</x:f>
        <x:v>54.896000000000015</x:v>
      </x:c>
      <x:c r="M90" s="23" t="n">
        <x:f>'假设'!H339</x:f>
        <x:v>1.9</x:v>
      </x:c>
      <x:c r="N90" s="25" t="n">
        <x:f>L90/D90-1</x:f>
        <x:v>0.7405199746353841</x:v>
      </x:c>
      <x:c r="O90" s="25" t="n">
        <x:f>(L90+M90)/D90-1</x:f>
        <x:v>0.8007609384908059</x:v>
      </x:c>
      <x:c r="P90" s="25" t="n">
        <x:f>IF(Q90&gt;=3,(1+O90)^(1/Q90)-1,"")</x:f>
        <x:v>0.21661178909921164</x:v>
      </x:c>
      <x:c r="Q90" s="11" t="n">
        <x:v>3</x:v>
      </x:c>
      <x:c r="R90" s="11" t="n">
        <x:v>339</x:v>
      </x:c>
      <x:c r="S90" t="n">
        <x:f>'假设'!N339</x:f>
        <x:v>29</x:v>
      </x:c>
      <x:c r="T90" t="str">
        <x:v>CNY</x:v>
      </x:c>
    </x:row>
    <x:row r="91" ht="23" customHeight="1">
      <x:c r="A91" s="11" t="str">
        <x:v>03692.HK</x:v>
      </x:c>
      <x:c r="B91" s="11" t="str">
        <x:v>翰森制药</x:v>
      </x:c>
      <x:c r="C91" s="11" t="str">
        <x:v>五年</x:v>
      </x:c>
      <x:c r="D91" s="11" t="n">
        <x:v>31.54</x:v>
      </x:c>
      <x:c r="E91" s="11" t="str">
        <x:v>收入利润率</x:v>
      </x:c>
      <x:c r="F91" s="23" t="n">
        <x:f>'假设'!I343</x:f>
        <x:v>43</x:v>
      </x:c>
      <x:c r="G91" s="24" t="n">
        <x:f>'假设'!J343</x:f>
        <x:v>0.3606976744186046</x:v>
      </x:c>
      <x:c r="H91" s="23" t="n">
        <x:f>'假设'!K343</x:f>
        <x:v>6.6</x:v>
      </x:c>
      <x:c r="I91" s="23" t="n">
        <x:f>IF(E91="收入利润率",F91*G91/H91,'假设'!E343)</x:f>
        <x:v>2.3499999999999996</x:v>
      </x:c>
      <x:c r="J91" s="23" t="n">
        <x:f>'假设'!F343</x:f>
        <x:v>25</x:v>
      </x:c>
      <x:c r="K91" s="23" t="n">
        <x:f>'假设'!G343</x:f>
        <x:v>1.1</x:v>
      </x:c>
      <x:c r="L91" s="23" t="n">
        <x:f>(I91*J91+S91/H91)*K91</x:f>
        <x:v>70.45833333333333</x:v>
      </x:c>
      <x:c r="M91" s="23" t="n">
        <x:f>'假设'!H343</x:f>
        <x:v>3.7</x:v>
      </x:c>
      <x:c r="N91" s="25" t="n">
        <x:f>L91/D91-1</x:f>
        <x:v>1.2339357429718874</x:v>
      </x:c>
      <x:c r="O91" s="25" t="n">
        <x:f>(L91+M91)/D91-1</x:f>
        <x:v>1.3512470936377086</x:v>
      </x:c>
      <x:c r="P91" s="25" t="n">
        <x:f>IF(Q91&gt;=3,(1+O91)^(1/Q91)-1,"")</x:f>
        <x:v>0.186477903084036</x:v>
      </x:c>
      <x:c r="Q91" s="11" t="n">
        <x:v>5</x:v>
      </x:c>
      <x:c r="R91" s="11" t="n">
        <x:v>343</x:v>
      </x:c>
      <x:c r="S91" t="n">
        <x:f>'假设'!N343</x:f>
        <x:v>35</x:v>
      </x:c>
      <x:c r="T91" t="str">
        <x:v>CNY</x:v>
      </x:c>
    </x:row>
    <x:row r="92" ht="23" customHeight="1">
      <x:c r="A92" s="11" t="str">
        <x:v>688131.SH</x:v>
      </x:c>
      <x:c r="B92" s="11" t="str">
        <x:v>皓元医药</x:v>
      </x:c>
      <x:c r="C92" s="11" t="str">
        <x:v>2026年底</x:v>
      </x:c>
      <x:c r="D92" s="11" t="n">
        <x:v>93.16</x:v>
      </x:c>
      <x:c r="E92" s="11" t="str">
        <x:v>EPS</x:v>
      </x:c>
      <x:c r="F92" s="23" t="n">
        <x:f>'假设'!I347</x:f>
        <x:v>0</x:v>
      </x:c>
      <x:c r="G92" s="24" t="n">
        <x:f>'假设'!J347</x:f>
        <x:v>0</x:v>
      </x:c>
      <x:c r="H92" s="23" t="str">
        <x:f>'假设'!K347</x:f>
      </x:c>
      <x:c r="I92" s="23" t="n">
        <x:f>IF(E92="收入利润率",F92*G92/H92,'假设'!E347)</x:f>
        <x:v>1.55</x:v>
      </x:c>
      <x:c r="J92" s="23" t="n">
        <x:f>'假设'!F347</x:f>
        <x:v>58</x:v>
      </x:c>
      <x:c r="K92" s="23" t="n">
        <x:f>'假设'!G347</x:f>
        <x:v>1</x:v>
      </x:c>
      <x:c r="L92" s="23" t="n">
        <x:f>I92*J92*K92</x:f>
        <x:v>89.9</x:v>
      </x:c>
      <x:c r="M92" s="23" t="n">
        <x:f>'假设'!H347</x:f>
        <x:v>0</x:v>
      </x:c>
      <x:c r="N92" s="25" t="n">
        <x:f>L92/D92-1</x:f>
        <x:v>-0.034993559467582536</x:v>
      </x:c>
      <x:c r="O92" s="25" t="n">
        <x:f>(L92+M92)/D92-1</x:f>
        <x:v>-0.034993559467582536</x:v>
      </x:c>
      <x:c r="P92" s="25" t="str">
        <x:f>IF(Q92&gt;=3,(1+O92)^(1/Q92)-1,"")</x:f>
      </x:c>
      <x:c r="Q92" s="11" t="n">
        <x:v>0</x:v>
      </x:c>
      <x:c r="R92" s="11" t="n">
        <x:v>347</x:v>
      </x:c>
      <x:c r="T92" t="str">
        <x:v>CNY</x:v>
      </x:c>
    </x:row>
    <x:row r="93" ht="23" customHeight="1">
      <x:c r="A93" s="11" t="str">
        <x:v>688131.SH</x:v>
      </x:c>
      <x:c r="B93" s="11" t="str">
        <x:v>皓元医药</x:v>
      </x:c>
      <x:c r="C93" s="11" t="str">
        <x:v>半年</x:v>
      </x:c>
      <x:c r="D93" s="11" t="n">
        <x:v>93.16</x:v>
      </x:c>
      <x:c r="E93" s="11" t="str">
        <x:v>EPS</x:v>
      </x:c>
      <x:c r="F93" s="23" t="n">
        <x:f>'假设'!I351</x:f>
        <x:v>0</x:v>
      </x:c>
      <x:c r="G93" s="24" t="n">
        <x:f>'假设'!J351</x:f>
        <x:v>0</x:v>
      </x:c>
      <x:c r="H93" s="23" t="str">
        <x:f>'假设'!K351</x:f>
      </x:c>
      <x:c r="I93" s="23" t="n">
        <x:f>IF(E93="收入利润率",F93*G93/H93,'假设'!E351)</x:f>
        <x:v>1.8</x:v>
      </x:c>
      <x:c r="J93" s="23" t="n">
        <x:f>'假设'!F351</x:f>
        <x:v>55</x:v>
      </x:c>
      <x:c r="K93" s="23" t="n">
        <x:f>'假设'!G351</x:f>
        <x:v>1</x:v>
      </x:c>
      <x:c r="L93" s="23" t="n">
        <x:f>I93*J93*K93</x:f>
        <x:v>99</x:v>
      </x:c>
      <x:c r="M93" s="23" t="n">
        <x:f>'假设'!H351</x:f>
        <x:v>0</x:v>
      </x:c>
      <x:c r="N93" s="25" t="n">
        <x:f>L93/D93-1</x:f>
        <x:v>0.06268784886217271</x:v>
      </x:c>
      <x:c r="O93" s="25" t="n">
        <x:f>(L93+M93)/D93-1</x:f>
        <x:v>0.06268784886217271</x:v>
      </x:c>
      <x:c r="P93" s="25" t="str">
        <x:f>IF(Q93&gt;=3,(1+O93)^(1/Q93)-1,"")</x:f>
      </x:c>
      <x:c r="Q93" s="11" t="n">
        <x:v>0.5</x:v>
      </x:c>
      <x:c r="R93" s="11" t="n">
        <x:v>351</x:v>
      </x:c>
      <x:c r="T93" t="str">
        <x:v>CNY</x:v>
      </x:c>
    </x:row>
    <x:row r="94" ht="23" customHeight="1">
      <x:c r="A94" s="11" t="str">
        <x:v>688131.SH</x:v>
      </x:c>
      <x:c r="B94" s="11" t="str">
        <x:v>皓元医药</x:v>
      </x:c>
      <x:c r="C94" s="11" t="str">
        <x:v>一年</x:v>
      </x:c>
      <x:c r="D94" s="11" t="n">
        <x:v>93.16</x:v>
      </x:c>
      <x:c r="E94" s="11" t="str">
        <x:v>EPS</x:v>
      </x:c>
      <x:c r="F94" s="23" t="n">
        <x:f>'假设'!I355</x:f>
        <x:v>0</x:v>
      </x:c>
      <x:c r="G94" s="24" t="n">
        <x:f>'假设'!J355</x:f>
        <x:v>0</x:v>
      </x:c>
      <x:c r="H94" s="23" t="str">
        <x:f>'假设'!K355</x:f>
      </x:c>
      <x:c r="I94" s="23" t="n">
        <x:f>IF(E94="收入利润率",F94*G94/H94,'假设'!E355)</x:f>
        <x:v>2.25</x:v>
      </x:c>
      <x:c r="J94" s="23" t="n">
        <x:f>'假设'!F355</x:f>
        <x:v>52</x:v>
      </x:c>
      <x:c r="K94" s="23" t="n">
        <x:f>'假设'!G355</x:f>
        <x:v>1</x:v>
      </x:c>
      <x:c r="L94" s="23" t="n">
        <x:f>I94*J94*K94</x:f>
        <x:v>117</x:v>
      </x:c>
      <x:c r="M94" s="23" t="n">
        <x:f>'假设'!H355</x:f>
        <x:v>0.28</x:v>
      </x:c>
      <x:c r="N94" s="25" t="n">
        <x:f>L94/D94-1</x:f>
        <x:v>0.25590382138256773</x:v>
      </x:c>
      <x:c r="O94" s="25" t="n">
        <x:f>(L94+M94)/D94-1</x:f>
        <x:v>0.25890940317732936</x:v>
      </x:c>
      <x:c r="P94" s="25" t="str">
        <x:f>IF(Q94&gt;=3,(1+O94)^(1/Q94)-1,"")</x:f>
      </x:c>
      <x:c r="Q94" s="11" t="n">
        <x:v>1</x:v>
      </x:c>
      <x:c r="R94" s="11" t="n">
        <x:v>355</x:v>
      </x:c>
      <x:c r="T94" t="str">
        <x:v>CNY</x:v>
      </x:c>
    </x:row>
    <x:row r="95" ht="23" customHeight="1">
      <x:c r="A95" s="11" t="str">
        <x:v>688131.SH</x:v>
      </x:c>
      <x:c r="B95" s="11" t="str">
        <x:v>皓元医药</x:v>
      </x:c>
      <x:c r="C95" s="11" t="str">
        <x:v>三年</x:v>
      </x:c>
      <x:c r="D95" s="11" t="n">
        <x:v>93.16</x:v>
      </x:c>
      <x:c r="E95" s="11" t="str">
        <x:v>EPS</x:v>
      </x:c>
      <x:c r="F95" s="23" t="n">
        <x:f>'假设'!I359</x:f>
        <x:v>0</x:v>
      </x:c>
      <x:c r="G95" s="24" t="n">
        <x:f>'假设'!J359</x:f>
        <x:v>0</x:v>
      </x:c>
      <x:c r="H95" s="23" t="str">
        <x:f>'假设'!K359</x:f>
      </x:c>
      <x:c r="I95" s="23" t="n">
        <x:f>IF(E95="收入利润率",F95*G95/H95,'假设'!E359)</x:f>
        <x:v>3.9</x:v>
      </x:c>
      <x:c r="J95" s="23" t="n">
        <x:f>'假设'!F359</x:f>
        <x:v>44</x:v>
      </x:c>
      <x:c r="K95" s="23" t="n">
        <x:f>'假设'!G359</x:f>
        <x:v>1</x:v>
      </x:c>
      <x:c r="L95" s="23" t="n">
        <x:f>I95*J95*K95</x:f>
        <x:v>171.6</x:v>
      </x:c>
      <x:c r="M95" s="23" t="n">
        <x:f>'假设'!H359</x:f>
        <x:v>1.1</x:v>
      </x:c>
      <x:c r="N95" s="25" t="n">
        <x:f>L95/D95-1</x:f>
        <x:v>0.8419922713610992</x:v>
      </x:c>
      <x:c r="O95" s="25" t="n">
        <x:f>(L95+M95)/D95-1</x:f>
        <x:v>0.8537999141262345</x:v>
      </x:c>
      <x:c r="P95" s="25" t="n">
        <x:f>IF(Q95&gt;=3,(1+O95)^(1/Q95)-1,"")</x:f>
        <x:v>0.22844095201019288</x:v>
      </x:c>
      <x:c r="Q95" s="11" t="n">
        <x:v>3</x:v>
      </x:c>
      <x:c r="R95" s="11" t="n">
        <x:v>359</x:v>
      </x:c>
      <x:c r="T95" t="str">
        <x:v>CNY</x:v>
      </x:c>
    </x:row>
    <x:row r="96" ht="23" customHeight="1">
      <x:c r="A96" s="11" t="str">
        <x:v>688131.SH</x:v>
      </x:c>
      <x:c r="B96" s="11" t="str">
        <x:v>皓元医药</x:v>
      </x:c>
      <x:c r="C96" s="11" t="str">
        <x:v>五年</x:v>
      </x:c>
      <x:c r="D96" s="11" t="n">
        <x:v>93.16</x:v>
      </x:c>
      <x:c r="E96" s="11" t="str">
        <x:v>EPS</x:v>
      </x:c>
      <x:c r="F96" s="23" t="n">
        <x:f>'假设'!I363</x:f>
        <x:v>0</x:v>
      </x:c>
      <x:c r="G96" s="24" t="n">
        <x:f>'假设'!J363</x:f>
        <x:v>0</x:v>
      </x:c>
      <x:c r="H96" s="23" t="str">
        <x:f>'假设'!K363</x:f>
      </x:c>
      <x:c r="I96" s="23" t="n">
        <x:f>IF(E96="收入利润率",F96*G96/H96,'假设'!E363)</x:f>
        <x:v>5.5</x:v>
      </x:c>
      <x:c r="J96" s="23" t="n">
        <x:f>'假设'!F363</x:f>
        <x:v>38</x:v>
      </x:c>
      <x:c r="K96" s="23" t="n">
        <x:f>'假设'!G363</x:f>
        <x:v>1</x:v>
      </x:c>
      <x:c r="L96" s="23" t="n">
        <x:f>I96*J96*K96</x:f>
        <x:v>209</x:v>
      </x:c>
      <x:c r="M96" s="23" t="n">
        <x:f>'假设'!H363</x:f>
        <x:v>2.3</x:v>
      </x:c>
      <x:c r="N96" s="25" t="n">
        <x:f>L96/D96-1</x:f>
        <x:v>1.2434521253756978</x:v>
      </x:c>
      <x:c r="O96" s="25" t="n">
        <x:f>(L96+M96)/D96-1</x:f>
        <x:v>1.2681408329755262</x:v>
      </x:c>
      <x:c r="P96" s="25" t="n">
        <x:f>IF(Q96&gt;=3,(1+O96)^(1/Q96)-1,"")</x:f>
        <x:v>0.17796938499274906</x:v>
      </x:c>
      <x:c r="Q96" s="11" t="n">
        <x:v>5</x:v>
      </x:c>
      <x:c r="R96" s="11" t="n">
        <x:v>363</x:v>
      </x:c>
      <x:c r="T96" t="str">
        <x:v>CNY</x:v>
      </x:c>
    </x:row>
    <x:row r="97" ht="23" customHeight="1">
      <x:c r="A97" s="11" t="str">
        <x:v>600276.SH</x:v>
      </x:c>
      <x:c r="B97" s="11" t="str">
        <x:v>恒瑞医药</x:v>
      </x:c>
      <x:c r="C97" s="11" t="str">
        <x:v>2026年底</x:v>
      </x:c>
      <x:c r="D97" s="11" t="n">
        <x:v>46.85</x:v>
      </x:c>
      <x:c r="E97" s="11" t="str">
        <x:v>EPS</x:v>
      </x:c>
      <x:c r="F97" s="23" t="n">
        <x:f>'假设'!I367</x:f>
        <x:v>0</x:v>
      </x:c>
      <x:c r="G97" s="24" t="n">
        <x:f>'假设'!J367</x:f>
        <x:v>0</x:v>
      </x:c>
      <x:c r="H97" s="23" t="str">
        <x:f>'假设'!K367</x:f>
      </x:c>
      <x:c r="I97" s="23" t="n">
        <x:f>IF(E97="收入利润率",F97*G97/H97,'假设'!E367)</x:f>
        <x:v>1.45</x:v>
      </x:c>
      <x:c r="J97" s="23" t="n">
        <x:f>'假设'!F367</x:f>
        <x:v>34</x:v>
      </x:c>
      <x:c r="K97" s="23" t="n">
        <x:f>'假设'!G367</x:f>
        <x:v>1</x:v>
      </x:c>
      <x:c r="L97" s="23" t="n">
        <x:f>I97*J97*K97</x:f>
        <x:v>49.3</x:v>
      </x:c>
      <x:c r="M97" s="23" t="n">
        <x:f>'假设'!H367</x:f>
        <x:v>0</x:v>
      </x:c>
      <x:c r="N97" s="25" t="n">
        <x:f>L97/D97-1</x:f>
        <x:v>0.05229455709711828</x:v>
      </x:c>
      <x:c r="O97" s="25" t="n">
        <x:f>(L97+M97)/D97-1</x:f>
        <x:v>0.05229455709711828</x:v>
      </x:c>
      <x:c r="P97" s="25" t="str">
        <x:f>IF(Q97&gt;=3,(1+O97)^(1/Q97)-1,"")</x:f>
      </x:c>
      <x:c r="Q97" s="11" t="n">
        <x:v>0</x:v>
      </x:c>
      <x:c r="R97" s="11" t="n">
        <x:v>367</x:v>
      </x:c>
      <x:c r="T97" t="str">
        <x:v>CNY</x:v>
      </x:c>
    </x:row>
    <x:row r="98" ht="23" customHeight="1">
      <x:c r="A98" s="11" t="str">
        <x:v>600276.SH</x:v>
      </x:c>
      <x:c r="B98" s="11" t="str">
        <x:v>恒瑞医药</x:v>
      </x:c>
      <x:c r="C98" s="11" t="str">
        <x:v>半年</x:v>
      </x:c>
      <x:c r="D98" s="11" t="n">
        <x:v>46.85</x:v>
      </x:c>
      <x:c r="E98" s="11" t="str">
        <x:v>EPS</x:v>
      </x:c>
      <x:c r="F98" s="23" t="n">
        <x:f>'假设'!I371</x:f>
        <x:v>0</x:v>
      </x:c>
      <x:c r="G98" s="24" t="n">
        <x:f>'假设'!J371</x:f>
        <x:v>0</x:v>
      </x:c>
      <x:c r="H98" s="23" t="str">
        <x:f>'假设'!K371</x:f>
      </x:c>
      <x:c r="I98" s="23" t="n">
        <x:f>IF(E98="收入利润率",F98*G98/H98,'假设'!E371)</x:f>
        <x:v>1.6</x:v>
      </x:c>
      <x:c r="J98" s="23" t="n">
        <x:f>'假设'!F371</x:f>
        <x:v>36</x:v>
      </x:c>
      <x:c r="K98" s="23" t="n">
        <x:f>'假设'!G371</x:f>
        <x:v>1</x:v>
      </x:c>
      <x:c r="L98" s="23" t="n">
        <x:f>I98*J98*K98</x:f>
        <x:v>57.6</x:v>
      </x:c>
      <x:c r="M98" s="23" t="n">
        <x:f>'假设'!H371</x:f>
        <x:v>0</x:v>
      </x:c>
      <x:c r="N98" s="25" t="n">
        <x:f>L98/D98-1</x:f>
        <x:v>0.22945570971184637</x:v>
      </x:c>
      <x:c r="O98" s="25" t="n">
        <x:f>(L98+M98)/D98-1</x:f>
        <x:v>0.22945570971184637</x:v>
      </x:c>
      <x:c r="P98" s="25" t="str">
        <x:f>IF(Q98&gt;=3,(1+O98)^(1/Q98)-1,"")</x:f>
      </x:c>
      <x:c r="Q98" s="11" t="n">
        <x:v>0.5</x:v>
      </x:c>
      <x:c r="R98" s="11" t="n">
        <x:v>371</x:v>
      </x:c>
      <x:c r="T98" t="str">
        <x:v>CNY</x:v>
      </x:c>
    </x:row>
    <x:row r="99" ht="23" customHeight="1">
      <x:c r="A99" s="11" t="str">
        <x:v>600276.SH</x:v>
      </x:c>
      <x:c r="B99" s="11" t="str">
        <x:v>恒瑞医药</x:v>
      </x:c>
      <x:c r="C99" s="11" t="str">
        <x:v>一年</x:v>
      </x:c>
      <x:c r="D99" s="11" t="n">
        <x:v>46.85</x:v>
      </x:c>
      <x:c r="E99" s="11" t="str">
        <x:v>EPS</x:v>
      </x:c>
      <x:c r="F99" s="23" t="n">
        <x:f>'假设'!I375</x:f>
        <x:v>0</x:v>
      </x:c>
      <x:c r="G99" s="24" t="n">
        <x:f>'假设'!J375</x:f>
        <x:v>0</x:v>
      </x:c>
      <x:c r="H99" s="23" t="str">
        <x:f>'假设'!K375</x:f>
      </x:c>
      <x:c r="I99" s="23" t="n">
        <x:f>IF(E99="收入利润率",F99*G99/H99,'假设'!E375)</x:f>
        <x:v>1.8</x:v>
      </x:c>
      <x:c r="J99" s="23" t="n">
        <x:f>'假设'!F375</x:f>
        <x:v>36</x:v>
      </x:c>
      <x:c r="K99" s="23" t="n">
        <x:f>'假设'!G375</x:f>
        <x:v>1</x:v>
      </x:c>
      <x:c r="L99" s="23" t="n">
        <x:f>I99*J99*K99</x:f>
        <x:v>64.8</x:v>
      </x:c>
      <x:c r="M99" s="23" t="n">
        <x:f>'假设'!H375</x:f>
        <x:v>0.25</x:v>
      </x:c>
      <x:c r="N99" s="25" t="n">
        <x:f>L99/D99-1</x:f>
        <x:v>0.38313767342582694</x:v>
      </x:c>
      <x:c r="O99" s="25" t="n">
        <x:f>(L99+M99)/D99-1</x:f>
        <x:v>0.3884738527214513</x:v>
      </x:c>
      <x:c r="P99" s="25" t="str">
        <x:f>IF(Q99&gt;=3,(1+O99)^(1/Q99)-1,"")</x:f>
      </x:c>
      <x:c r="Q99" s="11" t="n">
        <x:v>1</x:v>
      </x:c>
      <x:c r="R99" s="11" t="n">
        <x:v>375</x:v>
      </x:c>
      <x:c r="T99" t="str">
        <x:v>CNY</x:v>
      </x:c>
    </x:row>
    <x:row r="100" ht="23" customHeight="1">
      <x:c r="A100" s="11" t="str">
        <x:v>600276.SH</x:v>
      </x:c>
      <x:c r="B100" s="11" t="str">
        <x:v>恒瑞医药</x:v>
      </x:c>
      <x:c r="C100" s="11" t="str">
        <x:v>三年</x:v>
      </x:c>
      <x:c r="D100" s="11" t="n">
        <x:v>46.85</x:v>
      </x:c>
      <x:c r="E100" s="11" t="str">
        <x:v>EPS</x:v>
      </x:c>
      <x:c r="F100" s="23" t="n">
        <x:f>'假设'!I379</x:f>
        <x:v>0</x:v>
      </x:c>
      <x:c r="G100" s="24" t="n">
        <x:f>'假设'!J379</x:f>
        <x:v>0</x:v>
      </x:c>
      <x:c r="H100" s="23" t="str">
        <x:f>'假设'!K379</x:f>
      </x:c>
      <x:c r="I100" s="23" t="n">
        <x:f>IF(E100="收入利润率",F100*G100/H100,'假设'!E379)</x:f>
        <x:v>2.45</x:v>
      </x:c>
      <x:c r="J100" s="23" t="n">
        <x:f>'假设'!F379</x:f>
        <x:v>34</x:v>
      </x:c>
      <x:c r="K100" s="23" t="n">
        <x:f>'假设'!G379</x:f>
        <x:v>1</x:v>
      </x:c>
      <x:c r="L100" s="23" t="n">
        <x:f>I100*J100*K100</x:f>
        <x:v>83.30000000000001</x:v>
      </x:c>
      <x:c r="M100" s="23" t="n">
        <x:f>'假设'!H379</x:f>
        <x:v>0.9</x:v>
      </x:c>
      <x:c r="N100" s="25" t="n">
        <x:f>L100/D100-1</x:f>
        <x:v>0.7780149413020279</x:v>
      </x:c>
      <x:c r="O100" s="25" t="n">
        <x:f>(L100+M100)/D100-1</x:f>
        <x:v>0.7972251867662756</x:v>
      </x:c>
      <x:c r="P100" s="25" t="n">
        <x:f>IF(Q100&gt;=3,(1+O100)^(1/Q100)-1,"")</x:f>
        <x:v>0.2158150045099274</x:v>
      </x:c>
      <x:c r="Q100" s="11" t="n">
        <x:v>3</x:v>
      </x:c>
      <x:c r="R100" s="11" t="n">
        <x:v>379</x:v>
      </x:c>
      <x:c r="T100" t="str">
        <x:v>CNY</x:v>
      </x:c>
    </x:row>
    <x:row r="101" ht="23" customHeight="1">
      <x:c r="A101" s="11" t="str">
        <x:v>600276.SH</x:v>
      </x:c>
      <x:c r="B101" s="11" t="str">
        <x:v>恒瑞医药</x:v>
      </x:c>
      <x:c r="C101" s="11" t="str">
        <x:v>五年</x:v>
      </x:c>
      <x:c r="D101" s="11" t="n">
        <x:v>46.85</x:v>
      </x:c>
      <x:c r="E101" s="11" t="str">
        <x:v>EPS</x:v>
      </x:c>
      <x:c r="F101" s="23" t="n">
        <x:f>'假设'!I383</x:f>
        <x:v>0</x:v>
      </x:c>
      <x:c r="G101" s="24" t="n">
        <x:f>'假设'!J383</x:f>
        <x:v>0</x:v>
      </x:c>
      <x:c r="H101" s="23" t="str">
        <x:f>'假设'!K383</x:f>
      </x:c>
      <x:c r="I101" s="23" t="n">
        <x:f>IF(E101="收入利润率",F101*G101/H101,'假设'!E383)</x:f>
        <x:v>3.25</x:v>
      </x:c>
      <x:c r="J101" s="23" t="n">
        <x:f>'假设'!F383</x:f>
        <x:v>32</x:v>
      </x:c>
      <x:c r="K101" s="23" t="n">
        <x:f>'假设'!G383</x:f>
        <x:v>1</x:v>
      </x:c>
      <x:c r="L101" s="23" t="n">
        <x:f>I101*J101*K101</x:f>
        <x:v>104</x:v>
      </x:c>
      <x:c r="M101" s="23" t="n">
        <x:f>'假设'!H383</x:f>
        <x:v>1.75</x:v>
      </x:c>
      <x:c r="N101" s="25" t="n">
        <x:f>L101/D101-1</x:f>
        <x:v>1.2198505869797223</x:v>
      </x:c>
      <x:c r="O101" s="25" t="n">
        <x:f>(L101+M101)/D101-1</x:f>
        <x:v>1.2572038420490927</x:v>
      </x:c>
      <x:c r="P101" s="25" t="n">
        <x:f>IF(Q101&gt;=3,(1+O101)^(1/Q101)-1,"")</x:f>
        <x:v>0.17683115212447653</x:v>
      </x:c>
      <x:c r="Q101" s="11" t="n">
        <x:v>5</x:v>
      </x:c>
      <x:c r="R101" s="11" t="n">
        <x:v>383</x:v>
      </x:c>
      <x:c r="T101" t="str">
        <x:v>CNY</x:v>
      </x:c>
    </x:row>
    <x:row r="102" ht="23" customHeight="1">
      <x:c r="A102" s="11" t="str">
        <x:v>01276.HK</x:v>
      </x:c>
      <x:c r="B102" s="11" t="str">
        <x:v>恒瑞医药</x:v>
      </x:c>
      <x:c r="C102" s="11" t="str">
        <x:v>2026年底</x:v>
      </x:c>
      <x:c r="D102" s="11" t="n">
        <x:v>48</x:v>
      </x:c>
      <x:c r="E102" s="11" t="str">
        <x:v>EPS</x:v>
      </x:c>
      <x:c r="F102" s="23" t="n">
        <x:f>'假设'!I387</x:f>
        <x:v>0</x:v>
      </x:c>
      <x:c r="G102" s="24" t="n">
        <x:f>'假设'!J387</x:f>
        <x:v>0</x:v>
      </x:c>
      <x:c r="H102" s="23" t="str">
        <x:f>'假设'!K387</x:f>
      </x:c>
      <x:c r="I102" s="23" t="n">
        <x:f>IF(E102="收入利润率",F102*G102/H102,'假设'!E387)</x:f>
        <x:v>1.45</x:v>
      </x:c>
      <x:c r="J102" s="23" t="n">
        <x:f>'假设'!F387</x:f>
        <x:v>33</x:v>
      </x:c>
      <x:c r="K102" s="23" t="n">
        <x:f>'假设'!G387</x:f>
        <x:v>1.1</x:v>
      </x:c>
      <x:c r="L102" s="23" t="n">
        <x:f>I102*J102*K102</x:f>
        <x:v>52.635000000000005</x:v>
      </x:c>
      <x:c r="M102" s="23" t="n">
        <x:f>'假设'!H387</x:f>
        <x:v>0</x:v>
      </x:c>
      <x:c r="N102" s="25" t="n">
        <x:f>L102/D102-1</x:f>
        <x:v>0.0965625000000001</x:v>
      </x:c>
      <x:c r="O102" s="25" t="n">
        <x:f>(L102+M102)/D102-1</x:f>
        <x:v>0.0965625000000001</x:v>
      </x:c>
      <x:c r="P102" s="25" t="str">
        <x:f>IF(Q102&gt;=3,(1+O102)^(1/Q102)-1,"")</x:f>
      </x:c>
      <x:c r="Q102" s="11" t="n">
        <x:v>0</x:v>
      </x:c>
      <x:c r="R102" s="11" t="n">
        <x:v>387</x:v>
      </x:c>
      <x:c r="T102" t="str">
        <x:v>CNY</x:v>
      </x:c>
    </x:row>
    <x:row r="103" ht="23" customHeight="1">
      <x:c r="A103" s="11" t="str">
        <x:v>01276.HK</x:v>
      </x:c>
      <x:c r="B103" s="11" t="str">
        <x:v>恒瑞医药</x:v>
      </x:c>
      <x:c r="C103" s="11" t="str">
        <x:v>半年</x:v>
      </x:c>
      <x:c r="D103" s="11" t="n">
        <x:v>48</x:v>
      </x:c>
      <x:c r="E103" s="11" t="str">
        <x:v>EPS</x:v>
      </x:c>
      <x:c r="F103" s="23" t="n">
        <x:f>'假设'!I391</x:f>
        <x:v>0</x:v>
      </x:c>
      <x:c r="G103" s="24" t="n">
        <x:f>'假设'!J391</x:f>
        <x:v>0</x:v>
      </x:c>
      <x:c r="H103" s="23" t="str">
        <x:f>'假设'!K391</x:f>
      </x:c>
      <x:c r="I103" s="23" t="n">
        <x:f>IF(E103="收入利润率",F103*G103/H103,'假设'!E391)</x:f>
        <x:v>1.6</x:v>
      </x:c>
      <x:c r="J103" s="23" t="n">
        <x:f>'假设'!F391</x:f>
        <x:v>34</x:v>
      </x:c>
      <x:c r="K103" s="23" t="n">
        <x:f>'假设'!G391</x:f>
        <x:v>1.1</x:v>
      </x:c>
      <x:c r="L103" s="23" t="n">
        <x:f>I103*J103*K103</x:f>
        <x:v>59.84000000000001</x:v>
      </x:c>
      <x:c r="M103" s="23" t="n">
        <x:f>'假设'!H391</x:f>
        <x:v>0</x:v>
      </x:c>
      <x:c r="N103" s="25" t="n">
        <x:f>L103/D103-1</x:f>
        <x:v>0.2466666666666668</x:v>
      </x:c>
      <x:c r="O103" s="25" t="n">
        <x:f>(L103+M103)/D103-1</x:f>
        <x:v>0.2466666666666668</x:v>
      </x:c>
      <x:c r="P103" s="25" t="str">
        <x:f>IF(Q103&gt;=3,(1+O103)^(1/Q103)-1,"")</x:f>
      </x:c>
      <x:c r="Q103" s="11" t="n">
        <x:v>0.5</x:v>
      </x:c>
      <x:c r="R103" s="11" t="n">
        <x:v>391</x:v>
      </x:c>
      <x:c r="T103" t="str">
        <x:v>CNY</x:v>
      </x:c>
    </x:row>
    <x:row r="104" ht="23" customHeight="1">
      <x:c r="A104" s="11" t="str">
        <x:v>01276.HK</x:v>
      </x:c>
      <x:c r="B104" s="11" t="str">
        <x:v>恒瑞医药</x:v>
      </x:c>
      <x:c r="C104" s="11" t="str">
        <x:v>一年</x:v>
      </x:c>
      <x:c r="D104" s="11" t="n">
        <x:v>48</x:v>
      </x:c>
      <x:c r="E104" s="11" t="str">
        <x:v>EPS</x:v>
      </x:c>
      <x:c r="F104" s="23" t="n">
        <x:f>'假设'!I395</x:f>
        <x:v>0</x:v>
      </x:c>
      <x:c r="G104" s="24" t="n">
        <x:f>'假设'!J395</x:f>
        <x:v>0</x:v>
      </x:c>
      <x:c r="H104" s="23" t="str">
        <x:f>'假设'!K395</x:f>
      </x:c>
      <x:c r="I104" s="23" t="n">
        <x:f>IF(E104="收入利润率",F104*G104/H104,'假设'!E395)</x:f>
        <x:v>1.8</x:v>
      </x:c>
      <x:c r="J104" s="23" t="n">
        <x:f>'假设'!F395</x:f>
        <x:v>35</x:v>
      </x:c>
      <x:c r="K104" s="23" t="n">
        <x:f>'假设'!G395</x:f>
        <x:v>1.1</x:v>
      </x:c>
      <x:c r="L104" s="23" t="n">
        <x:f>I104*J104*K104</x:f>
        <x:v>69.30000000000001</x:v>
      </x:c>
      <x:c r="M104" s="23" t="n">
        <x:f>'假设'!H395</x:f>
        <x:v>0.275</x:v>
      </x:c>
      <x:c r="N104" s="25" t="n">
        <x:f>L104/D104-1</x:f>
        <x:v>0.4437500000000003</x:v>
      </x:c>
      <x:c r="O104" s="25" t="n">
        <x:f>(L104+M104)/D104-1</x:f>
        <x:v>0.4494791666666671</x:v>
      </x:c>
      <x:c r="P104" s="25" t="str">
        <x:f>IF(Q104&gt;=3,(1+O104)^(1/Q104)-1,"")</x:f>
      </x:c>
      <x:c r="Q104" s="11" t="n">
        <x:v>1</x:v>
      </x:c>
      <x:c r="R104" s="11" t="n">
        <x:v>395</x:v>
      </x:c>
      <x:c r="T104" t="str">
        <x:v>CNY</x:v>
      </x:c>
    </x:row>
    <x:row r="105" ht="23" customHeight="1">
      <x:c r="A105" s="11" t="str">
        <x:v>01276.HK</x:v>
      </x:c>
      <x:c r="B105" s="11" t="str">
        <x:v>恒瑞医药</x:v>
      </x:c>
      <x:c r="C105" s="11" t="str">
        <x:v>三年</x:v>
      </x:c>
      <x:c r="D105" s="11" t="n">
        <x:v>48</x:v>
      </x:c>
      <x:c r="E105" s="11" t="str">
        <x:v>EPS</x:v>
      </x:c>
      <x:c r="F105" s="23" t="n">
        <x:f>'假设'!I399</x:f>
        <x:v>0</x:v>
      </x:c>
      <x:c r="G105" s="24" t="n">
        <x:f>'假设'!J399</x:f>
        <x:v>0</x:v>
      </x:c>
      <x:c r="H105" s="23" t="str">
        <x:f>'假设'!K399</x:f>
      </x:c>
      <x:c r="I105" s="23" t="n">
        <x:f>IF(E105="收入利润率",F105*G105/H105,'假设'!E399)</x:f>
        <x:v>2.45</x:v>
      </x:c>
      <x:c r="J105" s="23" t="n">
        <x:f>'假设'!F399</x:f>
        <x:v>33</x:v>
      </x:c>
      <x:c r="K105" s="23" t="n">
        <x:f>'假设'!G399</x:f>
        <x:v>1.1</x:v>
      </x:c>
      <x:c r="L105" s="23" t="n">
        <x:f>I105*J105*K105</x:f>
        <x:v>88.93500000000002</x:v>
      </x:c>
      <x:c r="M105" s="23" t="n">
        <x:f>'假设'!H399</x:f>
        <x:v>0.9900000000000001</x:v>
      </x:c>
      <x:c r="N105" s="25" t="n">
        <x:f>L105/D105-1</x:f>
        <x:v>0.8528125000000004</x:v>
      </x:c>
      <x:c r="O105" s="25" t="n">
        <x:f>(L105+M105)/D105-1</x:f>
        <x:v>0.8734375000000003</x:v>
      </x:c>
      <x:c r="P105" s="25" t="n">
        <x:f>IF(Q105&gt;=3,(1+O105)^(1/Q105)-1,"")</x:f>
        <x:v>0.2327634125193221</x:v>
      </x:c>
      <x:c r="Q105" s="11" t="n">
        <x:v>3</x:v>
      </x:c>
      <x:c r="R105" s="11" t="n">
        <x:v>399</x:v>
      </x:c>
      <x:c r="T105" t="str">
        <x:v>CNY</x:v>
      </x:c>
    </x:row>
    <x:row r="106" ht="23" customHeight="1">
      <x:c r="A106" s="11" t="str">
        <x:v>01276.HK</x:v>
      </x:c>
      <x:c r="B106" s="11" t="str">
        <x:v>恒瑞医药</x:v>
      </x:c>
      <x:c r="C106" s="11" t="str">
        <x:v>五年</x:v>
      </x:c>
      <x:c r="D106" s="11" t="n">
        <x:v>48</x:v>
      </x:c>
      <x:c r="E106" s="11" t="str">
        <x:v>EPS</x:v>
      </x:c>
      <x:c r="F106" s="23" t="n">
        <x:f>'假设'!I403</x:f>
        <x:v>0</x:v>
      </x:c>
      <x:c r="G106" s="24" t="n">
        <x:f>'假设'!J403</x:f>
        <x:v>0</x:v>
      </x:c>
      <x:c r="H106" s="23" t="str">
        <x:f>'假设'!K403</x:f>
      </x:c>
      <x:c r="I106" s="23" t="n">
        <x:f>IF(E106="收入利润率",F106*G106/H106,'假设'!E403)</x:f>
        <x:v>3.25</x:v>
      </x:c>
      <x:c r="J106" s="23" t="n">
        <x:f>'假设'!F403</x:f>
        <x:v>31</x:v>
      </x:c>
      <x:c r="K106" s="23" t="n">
        <x:f>'假设'!G403</x:f>
        <x:v>1.1</x:v>
      </x:c>
      <x:c r="L106" s="23" t="n">
        <x:f>I106*J106*K106</x:f>
        <x:v>110.825</x:v>
      </x:c>
      <x:c r="M106" s="23" t="n">
        <x:f>'假设'!H403</x:f>
        <x:v>1.9250000000000003</x:v>
      </x:c>
      <x:c r="N106" s="25" t="n">
        <x:f>L106/D106-1</x:f>
        <x:v>1.3088541666666669</x:v>
      </x:c>
      <x:c r="O106" s="25" t="n">
        <x:f>(L106+M106)/D106-1</x:f>
        <x:v>1.3489583333333335</x:v>
      </x:c>
      <x:c r="P106" s="25" t="n">
        <x:f>IF(Q106&gt;=3,(1+O106)^(1/Q106)-1,"")</x:f>
        <x:v>0.18624682388272307</x:v>
      </x:c>
      <x:c r="Q106" s="11" t="n">
        <x:v>5</x:v>
      </x:c>
      <x:c r="R106" s="11" t="n">
        <x:v>403</x:v>
      </x:c>
      <x:c r="T106" t="str">
        <x:v>CNY</x:v>
      </x:c>
    </x:row>
    <x:row r="107" ht="23" customHeight="1">
      <x:c r="A107" s="11" t="str">
        <x:v>688302.SH</x:v>
      </x:c>
      <x:c r="B107" s="11" t="str">
        <x:v>海创药业</x:v>
      </x:c>
      <x:c r="C107" s="11" t="str">
        <x:v>2026年底</x:v>
      </x:c>
      <x:c r="D107" s="11" t="n">
        <x:v>32.09</x:v>
      </x:c>
      <x:c r="E107" s="11" t="str">
        <x:v>分资产rNPV</x:v>
      </x:c>
      <x:c r="F107" s="23" t="n">
        <x:f>'假设'!I407</x:f>
        <x:v>0</x:v>
      </x:c>
      <x:c r="G107" s="24" t="n">
        <x:f>'假设'!J407</x:f>
        <x:v>0</x:v>
      </x:c>
      <x:c r="H107" s="23" t="n">
        <x:f>'假设'!K407</x:f>
        <x:v>0.1</x:v>
      </x:c>
      <x:c r="I107" s="23" t="n">
        <x:f>IF(E107="收入利润率",F107*G107/H107,'假设'!E407)</x:f>
        <x:v>0</x:v>
      </x:c>
      <x:c r="J107" s="23" t="n">
        <x:f>'假设'!F407</x:f>
        <x:v>0</x:v>
      </x:c>
      <x:c r="K107" s="23" t="n">
        <x:f>'假设'!G407</x:f>
        <x:v>1</x:v>
      </x:c>
      <x:c r="L107" s="23" t="n">
        <x:f>D107+(U107-D107)*'假设'!U407</x:f>
        <x:v>29.620147833265147</x:v>
      </x:c>
      <x:c r="M107" s="23" t="n">
        <x:f>'假设'!H407</x:f>
        <x:v>0</x:v>
      </x:c>
      <x:c r="N107" s="25" t="n">
        <x:f>L107/D107-1</x:f>
        <x:v>-0.07696641217621869</x:v>
      </x:c>
      <x:c r="O107" s="25" t="n">
        <x:f>(L107+M107)/D107-1</x:f>
        <x:v>-0.07696641217621869</x:v>
      </x:c>
      <x:c r="P107" s="25" t="str">
        <x:f>IF(Q107&gt;=3,(1+O107)^(1/Q107)-1,"")</x:f>
      </x:c>
      <x:c r="Q107" s="11" t="n">
        <x:v>0</x:v>
      </x:c>
      <x:c r="R107" s="11" t="n">
        <x:v>407</x:v>
      </x:c>
      <x:c r="S107" t="n">
        <x:f>'假设'!N407</x:f>
        <x:v>0.62</x:v>
      </x:c>
      <x:c r="T107" t="str">
        <x:v>CNY</x:v>
      </x:c>
      <x:c r="U107" t="n">
        <x:f>MAX(0,(S107-'假设'!Q407)/H107*K107+'管线现金流'!AH17)</x:f>
        <x:v>25.033279523614702</x:v>
      </x:c>
    </x:row>
    <x:row r="108" ht="23" customHeight="1">
      <x:c r="A108" s="11" t="str">
        <x:v>688302.SH</x:v>
      </x:c>
      <x:c r="B108" s="11" t="str">
        <x:v>海创药业</x:v>
      </x:c>
      <x:c r="C108" s="11" t="str">
        <x:v>半年</x:v>
      </x:c>
      <x:c r="D108" s="11" t="n">
        <x:v>32.09</x:v>
      </x:c>
      <x:c r="E108" s="11" t="str">
        <x:v>分资产rNPV</x:v>
      </x:c>
      <x:c r="F108" s="23" t="n">
        <x:f>'假设'!I411</x:f>
        <x:v>0</x:v>
      </x:c>
      <x:c r="G108" s="24" t="n">
        <x:f>'假设'!J411</x:f>
        <x:v>0</x:v>
      </x:c>
      <x:c r="H108" s="23" t="n">
        <x:f>'假设'!K411</x:f>
        <x:v>0.103</x:v>
      </x:c>
      <x:c r="I108" s="23" t="n">
        <x:f>IF(E108="收入利润率",F108*G108/H108,'假设'!E411)</x:f>
        <x:v>0</x:v>
      </x:c>
      <x:c r="J108" s="23" t="n">
        <x:f>'假设'!F411</x:f>
        <x:v>0</x:v>
      </x:c>
      <x:c r="K108" s="23" t="n">
        <x:f>'假设'!G411</x:f>
        <x:v>1</x:v>
      </x:c>
      <x:c r="L108" s="23" t="n">
        <x:f>D108+(U108-D108)*'假设'!U411</x:f>
        <x:v>27.965125127281603</x:v>
      </x:c>
      <x:c r="M108" s="23" t="n">
        <x:f>'假设'!H411</x:f>
        <x:v>0</x:v>
      </x:c>
      <x:c r="N108" s="25" t="n">
        <x:f>L108/D108-1</x:f>
        <x:v>-0.1285408187198006</x:v>
      </x:c>
      <x:c r="O108" s="25" t="n">
        <x:f>(L108+M108)/D108-1</x:f>
        <x:v>-0.1285408187198006</x:v>
      </x:c>
      <x:c r="P108" s="25" t="str">
        <x:f>IF(Q108&gt;=3,(1+O108)^(1/Q108)-1,"")</x:f>
      </x:c>
      <x:c r="Q108" s="11" t="n">
        <x:v>0.5</x:v>
      </x:c>
      <x:c r="R108" s="11" t="n">
        <x:v>411</x:v>
      </x:c>
      <x:c r="S108" t="n">
        <x:f>'假设'!N411</x:f>
        <x:v>0.6</x:v>
      </x:c>
      <x:c r="T108" t="str">
        <x:v>CNY</x:v>
      </x:c>
      <x:c r="U108" t="n">
        <x:f>MAX(0,(S108-'假设'!Q411)/H108*K108+'管线现金流'!AH18)</x:f>
        <x:v>25.215208545469334</x:v>
      </x:c>
    </x:row>
    <x:row r="109" ht="23" customHeight="1">
      <x:c r="A109" s="11" t="str">
        <x:v>688302.SH</x:v>
      </x:c>
      <x:c r="B109" s="11" t="str">
        <x:v>海创药业</x:v>
      </x:c>
      <x:c r="C109" s="11" t="str">
        <x:v>一年</x:v>
      </x:c>
      <x:c r="D109" s="11" t="n">
        <x:v>32.09</x:v>
      </x:c>
      <x:c r="E109" s="11" t="str">
        <x:v>分资产rNPV</x:v>
      </x:c>
      <x:c r="F109" s="23" t="n">
        <x:f>'假设'!I415</x:f>
        <x:v>0</x:v>
      </x:c>
      <x:c r="G109" s="24" t="n">
        <x:f>'假设'!J415</x:f>
        <x:v>0</x:v>
      </x:c>
      <x:c r="H109" s="23" t="n">
        <x:f>'假设'!K415</x:f>
        <x:v>0.108</x:v>
      </x:c>
      <x:c r="I109" s="23" t="n">
        <x:f>IF(E109="收入利润率",F109*G109/H109,'假设'!E415)</x:f>
        <x:v>0</x:v>
      </x:c>
      <x:c r="J109" s="23" t="n">
        <x:f>'假设'!F415</x:f>
        <x:v>0</x:v>
      </x:c>
      <x:c r="K109" s="23" t="n">
        <x:f>'假设'!G415</x:f>
        <x:v>1</x:v>
      </x:c>
      <x:c r="L109" s="23" t="n">
        <x:f>D109+(U109-D109)*'假设'!U415</x:f>
        <x:v>28.66174088141036</x:v>
      </x:c>
      <x:c r="M109" s="23" t="n">
        <x:f>'假设'!H415</x:f>
        <x:v>0</x:v>
      </x:c>
      <x:c r="N109" s="25" t="n">
        <x:f>L109/D109-1</x:f>
        <x:v>-0.10683263068213289</x:v>
      </x:c>
      <x:c r="O109" s="25" t="n">
        <x:f>(L109+M109)/D109-1</x:f>
        <x:v>-0.10683263068213289</x:v>
      </x:c>
      <x:c r="P109" s="25" t="str">
        <x:f>IF(Q109&gt;=3,(1+O109)^(1/Q109)-1,"")</x:f>
      </x:c>
      <x:c r="Q109" s="11" t="n">
        <x:v>1</x:v>
      </x:c>
      <x:c r="R109" s="11" t="n">
        <x:v>415</x:v>
      </x:c>
      <x:c r="S109" t="n">
        <x:f>'假设'!N415</x:f>
        <x:v>0.55</x:v>
      </x:c>
      <x:c r="T109" t="str">
        <x:v>CNY</x:v>
      </x:c>
      <x:c r="U109" t="n">
        <x:f>MAX(0,(S109-'假设'!Q415)/H109*K109+'管线现金流'!AH19)</x:f>
        <x:v>28.056753978129834</x:v>
      </x:c>
    </x:row>
    <x:row r="110" ht="23" customHeight="1">
      <x:c r="A110" s="11" t="str">
        <x:v>688302.SH</x:v>
      </x:c>
      <x:c r="B110" s="11" t="str">
        <x:v>海创药业</x:v>
      </x:c>
      <x:c r="C110" s="11" t="str">
        <x:v>三年</x:v>
      </x:c>
      <x:c r="D110" s="11" t="n">
        <x:v>32.09</x:v>
      </x:c>
      <x:c r="E110" s="11" t="str">
        <x:v>分资产rNPV</x:v>
      </x:c>
      <x:c r="F110" s="23" t="n">
        <x:f>'假设'!I419</x:f>
        <x:v>0</x:v>
      </x:c>
      <x:c r="G110" s="24" t="n">
        <x:f>'假设'!J419</x:f>
        <x:v>0</x:v>
      </x:c>
      <x:c r="H110" s="23" t="n">
        <x:f>'假设'!K419</x:f>
        <x:v>0.12</x:v>
      </x:c>
      <x:c r="I110" s="23" t="n">
        <x:f>IF(E110="收入利润率",F110*G110/H110,'假设'!E419)</x:f>
        <x:v>0</x:v>
      </x:c>
      <x:c r="J110" s="23" t="n">
        <x:f>'假设'!F419</x:f>
        <x:v>0</x:v>
      </x:c>
      <x:c r="K110" s="23" t="n">
        <x:f>'假设'!G419</x:f>
        <x:v>1</x:v>
      </x:c>
      <x:c r="L110" s="23" t="n">
        <x:f>D110+(U110-D110)*'假设'!U419</x:f>
        <x:v>46.552406634363</x:v>
      </x:c>
      <x:c r="M110" s="23" t="n">
        <x:f>'假设'!H419</x:f>
        <x:v>0</x:v>
      </x:c>
      <x:c r="N110" s="25" t="n">
        <x:f>L110/D110-1</x:f>
        <x:v>0.4506826623360236</x:v>
      </x:c>
      <x:c r="O110" s="25" t="n">
        <x:f>(L110+M110)/D110-1</x:f>
        <x:v>0.4506826623360236</x:v>
      </x:c>
      <x:c r="P110" s="25" t="n">
        <x:f>IF(Q110&gt;=3,(1+O110)^(1/Q110)-1,"")</x:f>
        <x:v>0.13202879388358002</x:v>
      </x:c>
      <x:c r="Q110" s="11" t="n">
        <x:v>3</x:v>
      </x:c>
      <x:c r="R110" s="11" t="n">
        <x:v>419</x:v>
      </x:c>
      <x:c r="S110" t="n">
        <x:f>'假设'!N419</x:f>
        <x:v>0.8</x:v>
      </x:c>
      <x:c r="T110" t="str">
        <x:v>CNY</x:v>
      </x:c>
      <x:c r="U110" t="n">
        <x:f>MAX(0,(S110-'假设'!Q419)/H110*K110+'管线现金流'!AH20)</x:f>
        <x:v>46.552406634363</x:v>
      </x:c>
    </x:row>
    <x:row r="111" ht="23" customHeight="1">
      <x:c r="A111" s="11" t="str">
        <x:v>688302.SH</x:v>
      </x:c>
      <x:c r="B111" s="11" t="str">
        <x:v>海创药业</x:v>
      </x:c>
      <x:c r="C111" s="11" t="str">
        <x:v>五年</x:v>
      </x:c>
      <x:c r="D111" s="11" t="n">
        <x:v>32.09</x:v>
      </x:c>
      <x:c r="E111" s="11" t="str">
        <x:v>分资产rNPV</x:v>
      </x:c>
      <x:c r="F111" s="23" t="n">
        <x:f>'假设'!I423</x:f>
        <x:v>0</x:v>
      </x:c>
      <x:c r="G111" s="24" t="n">
        <x:f>'假设'!J423</x:f>
        <x:v>0</x:v>
      </x:c>
      <x:c r="H111" s="23" t="n">
        <x:f>'假设'!K423</x:f>
        <x:v>0.135</x:v>
      </x:c>
      <x:c r="I111" s="23" t="n">
        <x:f>IF(E111="收入利润率",F111*G111/H111,'假设'!E423)</x:f>
        <x:v>0</x:v>
      </x:c>
      <x:c r="J111" s="23" t="n">
        <x:f>'假设'!F423</x:f>
        <x:v>0</x:v>
      </x:c>
      <x:c r="K111" s="23" t="n">
        <x:f>'假设'!G423</x:f>
        <x:v>1</x:v>
      </x:c>
      <x:c r="L111" s="23" t="n">
        <x:f>D111+(U111-D111)*'假设'!U423</x:f>
        <x:v>64.51631468718563</x:v>
      </x:c>
      <x:c r="M111" s="23" t="n">
        <x:f>'假设'!H423</x:f>
        <x:v>0</x:v>
      </x:c>
      <x:c r="N111" s="25" t="n">
        <x:f>L111/D111-1</x:f>
        <x:v>1.0104803579677664</x:v>
      </x:c>
      <x:c r="O111" s="25" t="n">
        <x:f>(L111+M111)/D111-1</x:f>
        <x:v>1.0104803579677664</x:v>
      </x:c>
      <x:c r="P111" s="25" t="n">
        <x:f>IF(Q111&gt;=3,(1+O111)^(1/Q111)-1,"")</x:f>
        <x:v>0.14989971648529</x:v>
      </x:c>
      <x:c r="Q111" s="11" t="n">
        <x:v>5</x:v>
      </x:c>
      <x:c r="R111" s="11" t="n">
        <x:v>423</x:v>
      </x:c>
      <x:c r="S111" t="n">
        <x:f>'假设'!N423</x:f>
        <x:v>1</x:v>
      </x:c>
      <x:c r="T111" t="str">
        <x:v>CNY</x:v>
      </x:c>
      <x:c r="U111" t="n">
        <x:f>MAX(0,(S111-'假设'!Q423)/H111*K111+'管线现金流'!AH21)</x:f>
        <x:v>64.51631468718563</x:v>
      </x:c>
    </x:row>
    <x:row r="112" ht="23" customHeight="1">
      <x:c r="A112" s="11" t="str">
        <x:v>01801.HK</x:v>
      </x:c>
      <x:c r="B112" s="11" t="str">
        <x:v>信达生物</x:v>
      </x:c>
      <x:c r="C112" s="11" t="str">
        <x:v>2026年底</x:v>
      </x:c>
      <x:c r="D112" s="11" t="n">
        <x:v>92.65</x:v>
      </x:c>
      <x:c r="E112" s="11" t="str">
        <x:v>收入利润率</x:v>
      </x:c>
      <x:c r="F112" s="23" t="n">
        <x:f>'假设'!I427</x:f>
        <x:v>23</x:v>
      </x:c>
      <x:c r="G112" s="24" t="n">
        <x:f>'假设'!J427</x:f>
        <x:v>0.24130434782608698</x:v>
      </x:c>
      <x:c r="H112" s="23" t="n">
        <x:f>'假设'!K427</x:f>
        <x:v>1.85</x:v>
      </x:c>
      <x:c r="I112" s="23" t="n">
        <x:f>IF(E112="收入利润率",F112*G112/H112,'假设'!E427)</x:f>
        <x:v>3.0000000000000004</x:v>
      </x:c>
      <x:c r="J112" s="23" t="n">
        <x:f>'假设'!F427</x:f>
        <x:v>31</x:v>
      </x:c>
      <x:c r="K112" s="23" t="n">
        <x:f>'假设'!G427</x:f>
        <x:v>1.1</x:v>
      </x:c>
      <x:c r="L112" s="23" t="n">
        <x:f>I112*J112*K112</x:f>
        <x:v>102.30000000000003</x:v>
      </x:c>
      <x:c r="M112" s="23" t="n">
        <x:f>'假设'!H427</x:f>
        <x:v>0</x:v>
      </x:c>
      <x:c r="N112" s="25" t="n">
        <x:f>L112/D112-1</x:f>
        <x:v>0.10415542363734498</x:v>
      </x:c>
      <x:c r="O112" s="25" t="n">
        <x:f>(L112+M112)/D112-1</x:f>
        <x:v>0.10415542363734498</x:v>
      </x:c>
      <x:c r="P112" s="25" t="str">
        <x:f>IF(Q112&gt;=3,(1+O112)^(1/Q112)-1,"")</x:f>
      </x:c>
      <x:c r="Q112" s="11" t="n">
        <x:v>0</x:v>
      </x:c>
      <x:c r="R112" s="11" t="n">
        <x:v>427</x:v>
      </x:c>
      <x:c r="T112" t="str">
        <x:v>CNY</x:v>
      </x:c>
    </x:row>
    <x:row r="113" ht="23" customHeight="1">
      <x:c r="A113" s="11" t="str">
        <x:v>01801.HK</x:v>
      </x:c>
      <x:c r="B113" s="11" t="str">
        <x:v>信达生物</x:v>
      </x:c>
      <x:c r="C113" s="11" t="str">
        <x:v>半年</x:v>
      </x:c>
      <x:c r="D113" s="11" t="n">
        <x:v>92.65</x:v>
      </x:c>
      <x:c r="E113" s="11" t="str">
        <x:v>收入利润率</x:v>
      </x:c>
      <x:c r="F113" s="23" t="n">
        <x:f>'假设'!I431</x:f>
        <x:v>23</x:v>
      </x:c>
      <x:c r="G113" s="24" t="n">
        <x:f>'假设'!J431</x:f>
        <x:v>0.24130434782608698</x:v>
      </x:c>
      <x:c r="H113" s="23" t="n">
        <x:f>'假设'!K431</x:f>
        <x:v>1.85</x:v>
      </x:c>
      <x:c r="I113" s="23" t="n">
        <x:f>IF(E113="收入利润率",F113*G113/H113,'假设'!E431)</x:f>
        <x:v>3.0000000000000004</x:v>
      </x:c>
      <x:c r="J113" s="23" t="n">
        <x:f>'假设'!F431</x:f>
        <x:v>34</x:v>
      </x:c>
      <x:c r="K113" s="23" t="n">
        <x:f>'假设'!G431</x:f>
        <x:v>1.1</x:v>
      </x:c>
      <x:c r="L113" s="23" t="n">
        <x:f>I113*J113*K113</x:f>
        <x:v>112.20000000000003</x:v>
      </x:c>
      <x:c r="M113" s="23" t="n">
        <x:f>'假设'!H431</x:f>
        <x:v>0</x:v>
      </x:c>
      <x:c r="N113" s="25" t="n">
        <x:f>L113/D113-1</x:f>
        <x:v>0.2110091743119269</x:v>
      </x:c>
      <x:c r="O113" s="25" t="n">
        <x:f>(L113+M113)/D113-1</x:f>
        <x:v>0.2110091743119269</x:v>
      </x:c>
      <x:c r="P113" s="25" t="str">
        <x:f>IF(Q113&gt;=3,(1+O113)^(1/Q113)-1,"")</x:f>
      </x:c>
      <x:c r="Q113" s="11" t="n">
        <x:v>0.5</x:v>
      </x:c>
      <x:c r="R113" s="11" t="n">
        <x:v>431</x:v>
      </x:c>
      <x:c r="T113" t="str">
        <x:v>CNY</x:v>
      </x:c>
    </x:row>
    <x:row r="114" ht="23" customHeight="1">
      <x:c r="A114" s="11" t="str">
        <x:v>01801.HK</x:v>
      </x:c>
      <x:c r="B114" s="11" t="str">
        <x:v>信达生物</x:v>
      </x:c>
      <x:c r="C114" s="11" t="str">
        <x:v>一年</x:v>
      </x:c>
      <x:c r="D114" s="11" t="n">
        <x:v>92.65</x:v>
      </x:c>
      <x:c r="E114" s="11" t="str">
        <x:v>收入利润率</x:v>
      </x:c>
      <x:c r="F114" s="23" t="n">
        <x:f>'假设'!I435</x:f>
        <x:v>28</x:v>
      </x:c>
      <x:c r="G114" s="24" t="n">
        <x:f>'假设'!J435</x:f>
        <x:v>0.27528571428571424</x:v>
      </x:c>
      <x:c r="H114" s="23" t="n">
        <x:f>'假设'!K435</x:f>
        <x:v>1.88</x:v>
      </x:c>
      <x:c r="I114" s="23" t="n">
        <x:f>IF(E114="收入利润率",F114*G114/H114,'假设'!E435)</x:f>
        <x:v>4.1</x:v>
      </x:c>
      <x:c r="J114" s="23" t="n">
        <x:f>'假设'!F435</x:f>
        <x:v>31</x:v>
      </x:c>
      <x:c r="K114" s="23" t="n">
        <x:f>'假设'!G435</x:f>
        <x:v>1.1</x:v>
      </x:c>
      <x:c r="L114" s="23" t="n">
        <x:f>I114*J114*K114</x:f>
        <x:v>139.81</x:v>
      </x:c>
      <x:c r="M114" s="23" t="n">
        <x:f>'假设'!H435</x:f>
        <x:v>0</x:v>
      </x:c>
      <x:c r="N114" s="25" t="n">
        <x:f>L114/D114-1</x:f>
        <x:v>0.5090124123043713</x:v>
      </x:c>
      <x:c r="O114" s="25" t="n">
        <x:f>(L114+M114)/D114-1</x:f>
        <x:v>0.5090124123043713</x:v>
      </x:c>
      <x:c r="P114" s="25" t="str">
        <x:f>IF(Q114&gt;=3,(1+O114)^(1/Q114)-1,"")</x:f>
      </x:c>
      <x:c r="Q114" s="11" t="n">
        <x:v>1</x:v>
      </x:c>
      <x:c r="R114" s="11" t="n">
        <x:v>435</x:v>
      </x:c>
      <x:c r="T114" t="str">
        <x:v>CNY</x:v>
      </x:c>
    </x:row>
    <x:row r="115" ht="23" customHeight="1">
      <x:c r="A115" s="11" t="str">
        <x:v>01801.HK</x:v>
      </x:c>
      <x:c r="B115" s="11" t="str">
        <x:v>信达生物</x:v>
      </x:c>
      <x:c r="C115" s="11" t="str">
        <x:v>三年</x:v>
      </x:c>
      <x:c r="D115" s="11" t="n">
        <x:v>92.65</x:v>
      </x:c>
      <x:c r="E115" s="11" t="str">
        <x:v>收入利润率</x:v>
      </x:c>
      <x:c r="F115" s="23" t="n">
        <x:f>'假设'!I439</x:f>
        <x:v>34</x:v>
      </x:c>
      <x:c r="G115" s="24" t="n">
        <x:f>'假设'!J439</x:f>
        <x:v>0.3089705882352941</x:v>
      </x:c>
      <x:c r="H115" s="23" t="n">
        <x:f>'假设'!K439</x:f>
        <x:v>1.91</x:v>
      </x:c>
      <x:c r="I115" s="23" t="n">
        <x:f>IF(E115="收入利润率",F115*G115/H115,'假设'!E439)</x:f>
        <x:v>5.5</x:v>
      </x:c>
      <x:c r="J115" s="23" t="n">
        <x:f>'假设'!F439</x:f>
        <x:v>28</x:v>
      </x:c>
      <x:c r="K115" s="23" t="n">
        <x:f>'假设'!G439</x:f>
        <x:v>1.1</x:v>
      </x:c>
      <x:c r="L115" s="23" t="n">
        <x:f>I115*J115*K115</x:f>
        <x:v>169.4</x:v>
      </x:c>
      <x:c r="M115" s="23" t="n">
        <x:f>'假设'!H439</x:f>
        <x:v>0</x:v>
      </x:c>
      <x:c r="N115" s="25" t="n">
        <x:f>L115/D115-1</x:f>
        <x:v>0.8283864004317323</x:v>
      </x:c>
      <x:c r="O115" s="25" t="n">
        <x:f>(L115+M115)/D115-1</x:f>
        <x:v>0.8283864004317323</x:v>
      </x:c>
      <x:c r="P115" s="25" t="n">
        <x:f>IF(Q115&gt;=3,(1+O115)^(1/Q115)-1,"")</x:f>
        <x:v>0.22280158816672513</x:v>
      </x:c>
      <x:c r="Q115" s="11" t="n">
        <x:v>3</x:v>
      </x:c>
      <x:c r="R115" s="11" t="n">
        <x:v>439</x:v>
      </x:c>
      <x:c r="T115" t="str">
        <x:v>CNY</x:v>
      </x:c>
    </x:row>
    <x:row r="116" ht="23" customHeight="1">
      <x:c r="A116" s="11" t="str">
        <x:v>01801.HK</x:v>
      </x:c>
      <x:c r="B116" s="11" t="str">
        <x:v>信达生物</x:v>
      </x:c>
      <x:c r="C116" s="11" t="str">
        <x:v>五年</x:v>
      </x:c>
      <x:c r="D116" s="11" t="n">
        <x:v>92.65</x:v>
      </x:c>
      <x:c r="E116" s="11" t="str">
        <x:v>收入利润率</x:v>
      </x:c>
      <x:c r="F116" s="23" t="n">
        <x:f>'假设'!I443</x:f>
        <x:v>45</x:v>
      </x:c>
      <x:c r="G116" s="24" t="n">
        <x:f>'假设'!J443</x:f>
        <x:v>0.33</x:v>
      </x:c>
      <x:c r="H116" s="23" t="n">
        <x:f>'假设'!K443</x:f>
        <x:v>1.98</x:v>
      </x:c>
      <x:c r="I116" s="23" t="n">
        <x:f>IF(E116="收入利润率",F116*G116/H116,'假设'!E443)</x:f>
        <x:v>7.500000000000001</x:v>
      </x:c>
      <x:c r="J116" s="23" t="n">
        <x:f>'假设'!F443</x:f>
        <x:v>25</x:v>
      </x:c>
      <x:c r="K116" s="23" t="n">
        <x:f>'假设'!G443</x:f>
        <x:v>1.1</x:v>
      </x:c>
      <x:c r="L116" s="23" t="n">
        <x:f>I116*J116*K116</x:f>
        <x:v>206.25000000000006</x:v>
      </x:c>
      <x:c r="M116" s="23" t="n">
        <x:f>'假设'!H443</x:f>
        <x:v>0</x:v>
      </x:c>
      <x:c r="N116" s="25" t="n">
        <x:f>L116/D116-1</x:f>
        <x:v>1.2261198057204536</x:v>
      </x:c>
      <x:c r="O116" s="25" t="n">
        <x:f>(L116+M116)/D116-1</x:f>
        <x:v>1.2261198057204536</x:v>
      </x:c>
      <x:c r="P116" s="25" t="n">
        <x:f>IF(Q116&gt;=3,(1+O116)^(1/Q116)-1,"")</x:f>
        <x:v>0.1735719121566175</x:v>
      </x:c>
      <x:c r="Q116" s="11" t="n">
        <x:v>5</x:v>
      </x:c>
      <x:c r="R116" s="11" t="n">
        <x:v>443</x:v>
      </x:c>
      <x:c r="T116" t="str">
        <x:v>CNY</x:v>
      </x:c>
    </x:row>
    <x:row r="117" ht="23" customHeight="1">
      <x:c r="A117" s="11" t="str">
        <x:v>688382.SH</x:v>
      </x:c>
      <x:c r="B117" s="11" t="str">
        <x:v>益方生物</x:v>
      </x:c>
      <x:c r="C117" s="11" t="str">
        <x:v>2026年底</x:v>
      </x:c>
      <x:c r="D117" s="11" t="n">
        <x:v>17.26</x:v>
      </x:c>
      <x:c r="E117" s="11" t="str">
        <x:v>分资产rNPV</x:v>
      </x:c>
      <x:c r="F117" s="23" t="n">
        <x:f>'假设'!I447</x:f>
        <x:v>0</x:v>
      </x:c>
      <x:c r="G117" s="24" t="n">
        <x:f>'假设'!J447</x:f>
        <x:v>0</x:v>
      </x:c>
      <x:c r="H117" s="23" t="n">
        <x:f>'假设'!K447</x:f>
        <x:v>0.585</x:v>
      </x:c>
      <x:c r="I117" s="23" t="n">
        <x:f>IF(E117="收入利润率",F117*G117/H117,'假设'!E447)</x:f>
        <x:v>0</x:v>
      </x:c>
      <x:c r="J117" s="23" t="n">
        <x:f>'假设'!F447</x:f>
        <x:v>0</x:v>
      </x:c>
      <x:c r="K117" s="23" t="n">
        <x:f>'假设'!G447</x:f>
        <x:v>1</x:v>
      </x:c>
      <x:c r="L117" s="23" t="n">
        <x:f>D117+(U117-D117)*'假设'!U447</x:f>
        <x:v>13.6798167484683</x:v>
      </x:c>
      <x:c r="M117" s="23" t="n">
        <x:f>'假设'!H447</x:f>
        <x:v>0</x:v>
      </x:c>
      <x:c r="N117" s="25" t="n">
        <x:f>L117/D117-1</x:f>
        <x:v>-0.2074266078523581</x:v>
      </x:c>
      <x:c r="O117" s="25" t="n">
        <x:f>(L117+M117)/D117-1</x:f>
        <x:v>-0.2074266078523581</x:v>
      </x:c>
      <x:c r="P117" s="25" t="str">
        <x:f>IF(Q117&gt;=3,(1+O117)^(1/Q117)-1,"")</x:f>
      </x:c>
      <x:c r="Q117" s="11" t="n">
        <x:v>0</x:v>
      </x:c>
      <x:c r="R117" s="11" t="n">
        <x:v>447</x:v>
      </x:c>
      <x:c r="S117" t="n">
        <x:f>'假设'!N447</x:f>
        <x:v>1.05</x:v>
      </x:c>
      <x:c r="T117" t="str">
        <x:v>CNY</x:v>
      </x:c>
      <x:c r="U117" t="n">
        <x:f>MAX(0,(S117-'假设'!Q447)/H117*K117+'管线现金流'!AH22)</x:f>
        <x:v>7.030904995623711</x:v>
      </x:c>
    </x:row>
    <x:row r="118" ht="23" customHeight="1">
      <x:c r="A118" s="11" t="str">
        <x:v>688382.SH</x:v>
      </x:c>
      <x:c r="B118" s="11" t="str">
        <x:v>益方生物</x:v>
      </x:c>
      <x:c r="C118" s="11" t="str">
        <x:v>半年</x:v>
      </x:c>
      <x:c r="D118" s="11" t="n">
        <x:v>17.26</x:v>
      </x:c>
      <x:c r="E118" s="11" t="str">
        <x:v>分资产rNPV</x:v>
      </x:c>
      <x:c r="F118" s="23" t="n">
        <x:f>'假设'!I451</x:f>
        <x:v>0</x:v>
      </x:c>
      <x:c r="G118" s="24" t="n">
        <x:f>'假设'!J451</x:f>
        <x:v>0</x:v>
      </x:c>
      <x:c r="H118" s="23" t="n">
        <x:f>'假设'!K451</x:f>
        <x:v>0.6</x:v>
      </x:c>
      <x:c r="I118" s="23" t="n">
        <x:f>IF(E118="收入利润率",F118*G118/H118,'假设'!E451)</x:f>
        <x:v>0</x:v>
      </x:c>
      <x:c r="J118" s="23" t="n">
        <x:f>'假设'!F451</x:f>
        <x:v>0</x:v>
      </x:c>
      <x:c r="K118" s="23" t="n">
        <x:f>'假设'!G451</x:f>
        <x:v>1</x:v>
      </x:c>
      <x:c r="L118" s="23" t="n">
        <x:f>D118+(U118-D118)*'假设'!U451</x:f>
        <x:v>10.823948226264573</x:v>
      </x:c>
      <x:c r="M118" s="23" t="n">
        <x:f>'假设'!H451</x:f>
        <x:v>0</x:v>
      </x:c>
      <x:c r="N118" s="25" t="n">
        <x:f>L118/D118-1</x:f>
        <x:v>-0.3728882835304419</x:v>
      </x:c>
      <x:c r="O118" s="25" t="n">
        <x:f>(L118+M118)/D118-1</x:f>
        <x:v>-0.3728882835304419</x:v>
      </x:c>
      <x:c r="P118" s="25" t="str">
        <x:f>IF(Q118&gt;=3,(1+O118)^(1/Q118)-1,"")</x:f>
      </x:c>
      <x:c r="Q118" s="11" t="n">
        <x:v>0.5</x:v>
      </x:c>
      <x:c r="R118" s="11" t="n">
        <x:v>451</x:v>
      </x:c>
      <x:c r="S118" t="n">
        <x:f>'假设'!N451</x:f>
        <x:v>1</x:v>
      </x:c>
      <x:c r="T118" t="str">
        <x:v>CNY</x:v>
      </x:c>
      <x:c r="U118" t="n">
        <x:f>MAX(0,(S118-'假设'!Q451)/H118*K118+'管线现金流'!AH23)</x:f>
        <x:v>7.358381886560881</x:v>
      </x:c>
    </x:row>
    <x:row r="119" ht="23" customHeight="1">
      <x:c r="A119" s="11" t="str">
        <x:v>688382.SH</x:v>
      </x:c>
      <x:c r="B119" s="11" t="str">
        <x:v>益方生物</x:v>
      </x:c>
      <x:c r="C119" s="11" t="str">
        <x:v>一年</x:v>
      </x:c>
      <x:c r="D119" s="11" t="n">
        <x:v>17.26</x:v>
      </x:c>
      <x:c r="E119" s="11" t="str">
        <x:v>分资产rNPV</x:v>
      </x:c>
      <x:c r="F119" s="23" t="n">
        <x:f>'假设'!I455</x:f>
        <x:v>0</x:v>
      </x:c>
      <x:c r="G119" s="24" t="n">
        <x:f>'假设'!J455</x:f>
        <x:v>0</x:v>
      </x:c>
      <x:c r="H119" s="23" t="n">
        <x:f>'假设'!K455</x:f>
        <x:v>0.625</x:v>
      </x:c>
      <x:c r="I119" s="23" t="n">
        <x:f>IF(E119="收入利润率",F119*G119/H119,'假设'!E455)</x:f>
        <x:v>0</x:v>
      </x:c>
      <x:c r="J119" s="23" t="n">
        <x:f>'假设'!F455</x:f>
        <x:v>0</x:v>
      </x:c>
      <x:c r="K119" s="23" t="n">
        <x:f>'假设'!G455</x:f>
        <x:v>1</x:v>
      </x:c>
      <x:c r="L119" s="23" t="n">
        <x:f>D119+(U119-D119)*'假设'!U455</x:f>
        <x:v>9.187054386247924</x:v>
      </x:c>
      <x:c r="M119" s="23" t="n">
        <x:f>'假设'!H455</x:f>
        <x:v>0</x:v>
      </x:c>
      <x:c r="N119" s="25" t="n">
        <x:f>L119/D119-1</x:f>
        <x:v>-0.4677257018396337</x:v>
      </x:c>
      <x:c r="O119" s="25" t="n">
        <x:f>(L119+M119)/D119-1</x:f>
        <x:v>-0.4677257018396337</x:v>
      </x:c>
      <x:c r="P119" s="25" t="str">
        <x:f>IF(Q119&gt;=3,(1+O119)^(1/Q119)-1,"")</x:f>
      </x:c>
      <x:c r="Q119" s="11" t="n">
        <x:v>1</x:v>
      </x:c>
      <x:c r="R119" s="11" t="n">
        <x:v>455</x:v>
      </x:c>
      <x:c r="S119" t="n">
        <x:f>'假设'!N455</x:f>
        <x:v>0.9</x:v>
      </x:c>
      <x:c r="T119" t="str">
        <x:v>CNY</x:v>
      </x:c>
      <x:c r="U119" t="n">
        <x:f>MAX(0,(S119-'假设'!Q455)/H119*K119+'管线现金流'!AH24)</x:f>
        <x:v>8.29006042916436</x:v>
      </x:c>
    </x:row>
    <x:row r="120" ht="23" customHeight="1">
      <x:c r="A120" s="11" t="str">
        <x:v>688382.SH</x:v>
      </x:c>
      <x:c r="B120" s="11" t="str">
        <x:v>益方生物</x:v>
      </x:c>
      <x:c r="C120" s="11" t="str">
        <x:v>三年</x:v>
      </x:c>
      <x:c r="D120" s="11" t="n">
        <x:v>17.26</x:v>
      </x:c>
      <x:c r="E120" s="11" t="str">
        <x:v>分资产rNPV</x:v>
      </x:c>
      <x:c r="F120" s="23" t="n">
        <x:f>'假设'!I459</x:f>
        <x:v>0</x:v>
      </x:c>
      <x:c r="G120" s="24" t="n">
        <x:f>'假设'!J459</x:f>
        <x:v>0</x:v>
      </x:c>
      <x:c r="H120" s="23" t="n">
        <x:f>'假设'!K459</x:f>
        <x:v>0.68</x:v>
      </x:c>
      <x:c r="I120" s="23" t="n">
        <x:f>IF(E120="收入利润率",F120*G120/H120,'假设'!E459)</x:f>
        <x:v>0</x:v>
      </x:c>
      <x:c r="J120" s="23" t="n">
        <x:f>'假设'!F459</x:f>
        <x:v>0</x:v>
      </x:c>
      <x:c r="K120" s="23" t="n">
        <x:f>'假设'!G459</x:f>
        <x:v>1</x:v>
      </x:c>
      <x:c r="L120" s="23" t="n">
        <x:f>D120+(U120-D120)*'假设'!U459</x:f>
        <x:v>12.809740140868128</x:v>
      </x:c>
      <x:c r="M120" s="23" t="n">
        <x:f>'假设'!H459</x:f>
        <x:v>0</x:v>
      </x:c>
      <x:c r="N120" s="25" t="n">
        <x:f>L120/D120-1</x:f>
        <x:v>-0.2578366082926926</x:v>
      </x:c>
      <x:c r="O120" s="25" t="n">
        <x:f>(L120+M120)/D120-1</x:f>
        <x:v>-0.2578366082926926</x:v>
      </x:c>
      <x:c r="P120" s="25" t="n">
        <x:f>IF(Q120&gt;=3,(1+O120)^(1/Q120)-1,"")</x:f>
        <x:v>-0.09461524791161002</x:v>
      </x:c>
      <x:c r="Q120" s="11" t="n">
        <x:v>3</x:v>
      </x:c>
      <x:c r="R120" s="11" t="n">
        <x:v>459</x:v>
      </x:c>
      <x:c r="S120" t="n">
        <x:f>'假设'!N459</x:f>
        <x:v>1.2</x:v>
      </x:c>
      <x:c r="T120" t="str">
        <x:v>CNY</x:v>
      </x:c>
      <x:c r="U120" t="n">
        <x:f>MAX(0,(S120-'假设'!Q459)/H120*K120+'管线现金流'!AH25)</x:f>
        <x:v>12.809740140868128</x:v>
      </x:c>
    </x:row>
    <x:row r="121" ht="23" customHeight="1">
      <x:c r="A121" s="11" t="str">
        <x:v>688382.SH</x:v>
      </x:c>
      <x:c r="B121" s="11" t="str">
        <x:v>益方生物</x:v>
      </x:c>
      <x:c r="C121" s="11" t="str">
        <x:v>五年</x:v>
      </x:c>
      <x:c r="D121" s="11" t="n">
        <x:v>17.26</x:v>
      </x:c>
      <x:c r="E121" s="11" t="str">
        <x:v>分资产rNPV</x:v>
      </x:c>
      <x:c r="F121" s="23" t="n">
        <x:f>'假设'!I463</x:f>
        <x:v>0</x:v>
      </x:c>
      <x:c r="G121" s="24" t="n">
        <x:f>'假设'!J463</x:f>
        <x:v>0</x:v>
      </x:c>
      <x:c r="H121" s="23" t="n">
        <x:f>'假设'!K463</x:f>
        <x:v>0.74</x:v>
      </x:c>
      <x:c r="I121" s="23" t="n">
        <x:f>IF(E121="收入利润率",F121*G121/H121,'假设'!E463)</x:f>
        <x:v>0</x:v>
      </x:c>
      <x:c r="J121" s="23" t="n">
        <x:f>'假设'!F463</x:f>
        <x:v>0</x:v>
      </x:c>
      <x:c r="K121" s="23" t="n">
        <x:f>'假设'!G463</x:f>
        <x:v>1</x:v>
      </x:c>
      <x:c r="L121" s="23" t="n">
        <x:f>D121+(U121-D121)*'假设'!U463</x:f>
        <x:v>16.674532291259816</x:v>
      </x:c>
      <x:c r="M121" s="23" t="n">
        <x:f>'假设'!H463</x:f>
        <x:v>0</x:v>
      </x:c>
      <x:c r="N121" s="25" t="n">
        <x:f>L121/D121-1</x:f>
        <x:v>-0.03392049297451827</x:v>
      </x:c>
      <x:c r="O121" s="25" t="n">
        <x:f>(L121+M121)/D121-1</x:f>
        <x:v>-0.03392049297451827</x:v>
      </x:c>
      <x:c r="P121" s="25" t="n">
        <x:f>IF(Q121&gt;=3,(1+O121)^(1/Q121)-1,"")</x:f>
        <x:v>-0.006878065631385599</x:v>
      </x:c>
      <x:c r="Q121" s="11" t="n">
        <x:v>5</x:v>
      </x:c>
      <x:c r="R121" s="11" t="n">
        <x:v>463</x:v>
      </x:c>
      <x:c r="S121" t="n">
        <x:f>'假设'!N463</x:f>
        <x:v>1.8</x:v>
      </x:c>
      <x:c r="T121" t="str">
        <x:v>CNY</x:v>
      </x:c>
      <x:c r="U121" t="n">
        <x:f>MAX(0,(S121-'假设'!Q463)/H121*K121+'管线现金流'!AH26)</x:f>
        <x:v>16.674532291259816</x:v>
      </x:c>
    </x:row>
    <x:row r="122" ht="23" customHeight="1">
      <x:c r="A122" s="11" t="str">
        <x:v>06618.HK</x:v>
      </x:c>
      <x:c r="B122" s="11" t="str">
        <x:v>京东健康</x:v>
      </x:c>
      <x:c r="C122" s="11" t="str">
        <x:v>2026年底</x:v>
      </x:c>
      <x:c r="D122" s="11" t="n">
        <x:v>36.08</x:v>
      </x:c>
      <x:c r="E122" s="11" t="str">
        <x:v>经营盈利桥</x:v>
      </x:c>
      <x:c r="F122" s="23" t="n">
        <x:f>'假设'!I467</x:f>
        <x:v>0</x:v>
      </x:c>
      <x:c r="G122" s="24" t="n">
        <x:f>'假设'!J467</x:f>
        <x:v>0</x:v>
      </x:c>
      <x:c r="H122" s="23" t="str">
        <x:f>'假设'!K467</x:f>
      </x:c>
      <x:c r="I122" s="23" t="n">
        <x:f>'经营桥'!M17</x:f>
        <x:v>2.072897</x:v>
      </x:c>
      <x:c r="J122" s="23" t="n">
        <x:f>'假设'!F467</x:f>
        <x:v>19</x:v>
      </x:c>
      <x:c r="K122" s="23" t="n">
        <x:f>'假设'!G467</x:f>
        <x:v>1.1</x:v>
      </x:c>
      <x:c r="L122" s="23" t="n">
        <x:f>ROUND(ROUND(I122*J122*K122-'经营假设'!M47/'经营假设'!J47*K122,2),2)</x:f>
        <x:v>43.32</x:v>
      </x:c>
      <x:c r="M122" s="23" t="n">
        <x:f>'假设'!H467</x:f>
        <x:v>0</x:v>
      </x:c>
      <x:c r="N122" s="25" t="n">
        <x:f>L122/D122-1</x:f>
        <x:v>0.20066518847006654</x:v>
      </x:c>
      <x:c r="O122" s="25" t="n">
        <x:f>(L122+M122)/D122-1</x:f>
        <x:v>0.20066518847006654</x:v>
      </x:c>
      <x:c r="P122" s="25" t="str">
        <x:f>IF(Q122&gt;=3,(1+O122)^(1/Q122)-1,"")</x:f>
      </x:c>
      <x:c r="Q122" s="11" t="n">
        <x:v>0</x:v>
      </x:c>
      <x:c r="R122" s="11" t="n">
        <x:v>467</x:v>
      </x:c>
      <x:c r="T122" t="str">
        <x:v>CNY</x:v>
      </x:c>
    </x:row>
    <x:row r="123" ht="23" customHeight="1">
      <x:c r="A123" s="11" t="str">
        <x:v>06618.HK</x:v>
      </x:c>
      <x:c r="B123" s="11" t="str">
        <x:v>京东健康</x:v>
      </x:c>
      <x:c r="C123" s="11" t="str">
        <x:v>半年</x:v>
      </x:c>
      <x:c r="D123" s="11" t="n">
        <x:v>36.08</x:v>
      </x:c>
      <x:c r="E123" s="11" t="str">
        <x:v>经营盈利桥</x:v>
      </x:c>
      <x:c r="F123" s="23" t="n">
        <x:f>'假设'!I471</x:f>
        <x:v>0</x:v>
      </x:c>
      <x:c r="G123" s="24" t="n">
        <x:f>'假设'!J471</x:f>
        <x:v>0</x:v>
      </x:c>
      <x:c r="H123" s="23" t="str">
        <x:f>'假设'!K471</x:f>
      </x:c>
      <x:c r="I123" s="23" t="n">
        <x:f>'经营桥'!M18</x:f>
        <x:v>2.289688</x:v>
      </x:c>
      <x:c r="J123" s="23" t="n">
        <x:f>'假设'!F471</x:f>
        <x:v>20</x:v>
      </x:c>
      <x:c r="K123" s="23" t="n">
        <x:f>'假设'!G471</x:f>
        <x:v>1.1</x:v>
      </x:c>
      <x:c r="L123" s="23" t="n">
        <x:f>ROUND(ROUND(I123*J123*K123-'经营假设'!M51/'经营假设'!J51*K123,2),2)</x:f>
        <x:v>50.37</x:v>
      </x:c>
      <x:c r="M123" s="23" t="n">
        <x:f>'假设'!H471</x:f>
        <x:v>0</x:v>
      </x:c>
      <x:c r="N123" s="25" t="n">
        <x:f>L123/D123-1</x:f>
        <x:v>0.39606430155210637</x:v>
      </x:c>
      <x:c r="O123" s="25" t="n">
        <x:f>(L123+M123)/D123-1</x:f>
        <x:v>0.39606430155210637</x:v>
      </x:c>
      <x:c r="P123" s="25" t="str">
        <x:f>IF(Q123&gt;=3,(1+O123)^(1/Q123)-1,"")</x:f>
      </x:c>
      <x:c r="Q123" s="11" t="n">
        <x:v>0.5</x:v>
      </x:c>
      <x:c r="R123" s="11" t="n">
        <x:v>471</x:v>
      </x:c>
      <x:c r="T123" t="str">
        <x:v>CNY</x:v>
      </x:c>
    </x:row>
    <x:row r="124" ht="23" customHeight="1">
      <x:c r="A124" s="11" t="str">
        <x:v>06618.HK</x:v>
      </x:c>
      <x:c r="B124" s="11" t="str">
        <x:v>京东健康</x:v>
      </x:c>
      <x:c r="C124" s="11" t="str">
        <x:v>一年</x:v>
      </x:c>
      <x:c r="D124" s="11" t="n">
        <x:v>36.08</x:v>
      </x:c>
      <x:c r="E124" s="11" t="str">
        <x:v>经营盈利桥</x:v>
      </x:c>
      <x:c r="F124" s="23" t="n">
        <x:f>'假设'!I475</x:f>
        <x:v>0</x:v>
      </x:c>
      <x:c r="G124" s="24" t="n">
        <x:f>'假设'!J475</x:f>
        <x:v>0</x:v>
      </x:c>
      <x:c r="H124" s="23" t="str">
        <x:f>'假设'!K475</x:f>
      </x:c>
      <x:c r="I124" s="23" t="n">
        <x:f>'经营桥'!M19</x:f>
        <x:v>2.642219</x:v>
      </x:c>
      <x:c r="J124" s="23" t="n">
        <x:f>'假设'!F475</x:f>
        <x:v>21</x:v>
      </x:c>
      <x:c r="K124" s="23" t="n">
        <x:f>'假设'!G475</x:f>
        <x:v>1.1</x:v>
      </x:c>
      <x:c r="L124" s="23" t="n">
        <x:f>ROUND(ROUND(I124*J124*K124-'经营假设'!M55/'经营假设'!J55*K124,2),2)</x:f>
        <x:v>61.04</x:v>
      </x:c>
      <x:c r="M124" s="23" t="n">
        <x:f>'假设'!H475</x:f>
        <x:v>0</x:v>
      </x:c>
      <x:c r="N124" s="25" t="n">
        <x:f>L124/D124-1</x:f>
        <x:v>0.6917960088691797</x:v>
      </x:c>
      <x:c r="O124" s="25" t="n">
        <x:f>(L124+M124)/D124-1</x:f>
        <x:v>0.6917960088691797</x:v>
      </x:c>
      <x:c r="P124" s="25" t="str">
        <x:f>IF(Q124&gt;=3,(1+O124)^(1/Q124)-1,"")</x:f>
      </x:c>
      <x:c r="Q124" s="11" t="n">
        <x:v>1</x:v>
      </x:c>
      <x:c r="R124" s="11" t="n">
        <x:v>475</x:v>
      </x:c>
      <x:c r="T124" t="str">
        <x:v>CNY</x:v>
      </x:c>
    </x:row>
    <x:row r="125" ht="23" customHeight="1">
      <x:c r="A125" s="11" t="str">
        <x:v>06618.HK</x:v>
      </x:c>
      <x:c r="B125" s="11" t="str">
        <x:v>京东健康</x:v>
      </x:c>
      <x:c r="C125" s="11" t="str">
        <x:v>三年</x:v>
      </x:c>
      <x:c r="D125" s="11" t="n">
        <x:v>36.08</x:v>
      </x:c>
      <x:c r="E125" s="11" t="str">
        <x:v>经营盈利桥</x:v>
      </x:c>
      <x:c r="F125" s="23" t="n">
        <x:f>'假设'!I479</x:f>
        <x:v>0</x:v>
      </x:c>
      <x:c r="G125" s="24" t="n">
        <x:f>'假设'!J479</x:f>
        <x:v>0</x:v>
      </x:c>
      <x:c r="H125" s="23" t="str">
        <x:f>'假设'!K479</x:f>
      </x:c>
      <x:c r="I125" s="23" t="n">
        <x:f>'经营桥'!M20</x:f>
        <x:v>4.039252</x:v>
      </x:c>
      <x:c r="J125" s="23" t="n">
        <x:f>'假设'!F479</x:f>
        <x:v>20</x:v>
      </x:c>
      <x:c r="K125" s="23" t="n">
        <x:f>'假设'!G479</x:f>
        <x:v>1.1</x:v>
      </x:c>
      <x:c r="L125" s="23" t="n">
        <x:f>ROUND(ROUND(I125*J125*K125-'经营假设'!M59/'经营假设'!J59*K125,2),2)</x:f>
        <x:v>88.86</x:v>
      </x:c>
      <x:c r="M125" s="23" t="n">
        <x:f>'假设'!H479</x:f>
        <x:v>1</x:v>
      </x:c>
      <x:c r="N125" s="25" t="n">
        <x:f>L125/D125-1</x:f>
        <x:v>1.462860310421286</x:v>
      </x:c>
      <x:c r="O125" s="25" t="n">
        <x:f>(L125+M125)/D125-1</x:f>
        <x:v>1.4905764966740578</x:v>
      </x:c>
      <x:c r="P125" s="25" t="n">
        <x:f>IF(Q125&gt;=3,(1+O125)^(1/Q125)-1,"")</x:f>
        <x:v>0.35550137293145</x:v>
      </x:c>
      <x:c r="Q125" s="11" t="n">
        <x:v>3</x:v>
      </x:c>
      <x:c r="R125" s="11" t="n">
        <x:v>479</x:v>
      </x:c>
      <x:c r="T125" t="str">
        <x:v>CNY</x:v>
      </x:c>
    </x:row>
    <x:row r="126" ht="23" customHeight="1">
      <x:c r="A126" s="11" t="str">
        <x:v>06618.HK</x:v>
      </x:c>
      <x:c r="B126" s="11" t="str">
        <x:v>京东健康</x:v>
      </x:c>
      <x:c r="C126" s="11" t="str">
        <x:v>五年</x:v>
      </x:c>
      <x:c r="D126" s="11" t="n">
        <x:v>36.08</x:v>
      </x:c>
      <x:c r="E126" s="11" t="str">
        <x:v>经营盈利桥</x:v>
      </x:c>
      <x:c r="F126" s="23" t="n">
        <x:f>'假设'!I483</x:f>
        <x:v>0</x:v>
      </x:c>
      <x:c r="G126" s="24" t="n">
        <x:f>'假设'!J483</x:f>
        <x:v>0</x:v>
      </x:c>
      <x:c r="H126" s="23" t="str">
        <x:f>'假设'!K483</x:f>
      </x:c>
      <x:c r="I126" s="23" t="n">
        <x:f>'经营桥'!M21</x:f>
        <x:v>5.688514</x:v>
      </x:c>
      <x:c r="J126" s="23" t="n">
        <x:f>'假设'!F483</x:f>
        <x:v>18</x:v>
      </x:c>
      <x:c r="K126" s="23" t="n">
        <x:f>'假设'!G483</x:f>
        <x:v>1.1</x:v>
      </x:c>
      <x:c r="L126" s="23" t="n">
        <x:f>ROUND(ROUND(I126*J126*K126-'经营假设'!M63/'经营假设'!J63*K126,2),2)</x:f>
        <x:v>112.63</x:v>
      </x:c>
      <x:c r="M126" s="23" t="n">
        <x:f>'假设'!H483</x:f>
        <x:v>3</x:v>
      </x:c>
      <x:c r="N126" s="25" t="n">
        <x:f>L126/D126-1</x:f>
        <x:v>2.1216740576496673</x:v>
      </x:c>
      <x:c r="O126" s="25" t="n">
        <x:f>(L126+M126)/D126-1</x:f>
        <x:v>2.2048226164079825</x:v>
      </x:c>
      <x:c r="P126" s="25" t="n">
        <x:f>IF(Q126&gt;=3,(1+O126)^(1/Q126)-1,"")</x:f>
        <x:v>0.2622948180325948</x:v>
      </x:c>
      <x:c r="Q126" s="11" t="n">
        <x:v>5</x:v>
      </x:c>
      <x:c r="R126" s="11" t="n">
        <x:v>483</x:v>
      </x:c>
      <x:c r="T126" t="str">
        <x:v>CNY</x:v>
      </x:c>
    </x:row>
    <x:row r="127" ht="23" customHeight="1">
      <x:c r="A127" s="11" t="str">
        <x:v>09618.HK</x:v>
      </x:c>
      <x:c r="B127" s="11" t="str">
        <x:v>京东集团-SW</x:v>
      </x:c>
      <x:c r="C127" s="11" t="str">
        <x:v>2026年底</x:v>
      </x:c>
      <x:c r="D127" s="11" t="n">
        <x:v>105.6</x:v>
      </x:c>
      <x:c r="E127" s="11" t="str">
        <x:v>零售物流桥</x:v>
      </x:c>
      <x:c r="F127" s="23" t="n">
        <x:f>'假设'!I487</x:f>
        <x:v>0</x:v>
      </x:c>
      <x:c r="G127" s="24" t="n">
        <x:f>'假设'!J487</x:f>
        <x:v>0</x:v>
      </x:c>
      <x:c r="H127" s="23" t="str">
        <x:f>'假设'!K487</x:f>
      </x:c>
      <x:c r="I127" s="23" t="n">
        <x:f>'零售物流桥'!L7</x:f>
        <x:v>10.001</x:v>
      </x:c>
      <x:c r="J127" s="23" t="n">
        <x:f>'假设'!F487</x:f>
        <x:v>12</x:v>
      </x:c>
      <x:c r="K127" s="23" t="n">
        <x:f>'假设'!G487</x:f>
        <x:v>1.1</x:v>
      </x:c>
      <x:c r="L127" s="23" t="n">
        <x:f>'零售物流桥'!O7</x:f>
        <x:v>132.01</x:v>
      </x:c>
      <x:c r="M127" s="23" t="n">
        <x:f>'假设'!H487</x:f>
        <x:v>0</x:v>
      </x:c>
      <x:c r="N127" s="25" t="n">
        <x:f>L127/D127-1</x:f>
        <x:v>0.2500946969696969</x:v>
      </x:c>
      <x:c r="O127" s="25" t="n">
        <x:f>(L127+M127)/D127-1</x:f>
        <x:v>0.2500946969696969</x:v>
      </x:c>
      <x:c r="P127" s="25" t="str">
        <x:f>IF(Q127&gt;=3,(1+O127)^(1/Q127)-1,"")</x:f>
      </x:c>
      <x:c r="Q127" s="11" t="n">
        <x:v>0</x:v>
      </x:c>
      <x:c r="R127" s="11" t="n">
        <x:v>487</x:v>
      </x:c>
      <x:c r="T127" t="str">
        <x:v>CNY</x:v>
      </x:c>
    </x:row>
    <x:row r="128" ht="23" customHeight="1">
      <x:c r="A128" s="11" t="str">
        <x:v>09618.HK</x:v>
      </x:c>
      <x:c r="B128" s="11" t="str">
        <x:v>京东集团-SW</x:v>
      </x:c>
      <x:c r="C128" s="11" t="str">
        <x:v>半年</x:v>
      </x:c>
      <x:c r="D128" s="11" t="n">
        <x:v>105.6</x:v>
      </x:c>
      <x:c r="E128" s="11" t="str">
        <x:v>零售物流桥</x:v>
      </x:c>
      <x:c r="F128" s="23" t="n">
        <x:f>'假设'!I491</x:f>
        <x:v>0</x:v>
      </x:c>
      <x:c r="G128" s="24" t="n">
        <x:f>'假设'!J491</x:f>
        <x:v>0</x:v>
      </x:c>
      <x:c r="H128" s="23" t="str">
        <x:f>'假设'!K491</x:f>
      </x:c>
      <x:c r="I128" s="23" t="n">
        <x:f>'零售物流桥'!L8</x:f>
        <x:v>11.796</x:v>
      </x:c>
      <x:c r="J128" s="23" t="n">
        <x:f>'假设'!F491</x:f>
        <x:v>12</x:v>
      </x:c>
      <x:c r="K128" s="23" t="n">
        <x:f>'假设'!G491</x:f>
        <x:v>1.1</x:v>
      </x:c>
      <x:c r="L128" s="23" t="n">
        <x:f>'零售物流桥'!O8</x:f>
        <x:v>155.71</x:v>
      </x:c>
      <x:c r="M128" s="23" t="n">
        <x:f>'假设'!H491</x:f>
        <x:v>0</x:v>
      </x:c>
      <x:c r="N128" s="25" t="n">
        <x:f>L128/D128-1</x:f>
        <x:v>0.4745265151515152</x:v>
      </x:c>
      <x:c r="O128" s="25" t="n">
        <x:f>(L128+M128)/D128-1</x:f>
        <x:v>0.4745265151515152</x:v>
      </x:c>
      <x:c r="P128" s="25" t="str">
        <x:f>IF(Q128&gt;=3,(1+O128)^(1/Q128)-1,"")</x:f>
      </x:c>
      <x:c r="Q128" s="11" t="n">
        <x:v>0.5</x:v>
      </x:c>
      <x:c r="R128" s="11" t="n">
        <x:v>491</x:v>
      </x:c>
      <x:c r="T128" t="str">
        <x:v>CNY</x:v>
      </x:c>
    </x:row>
    <x:row r="129" ht="23" customHeight="1">
      <x:c r="A129" s="11" t="str">
        <x:v>09618.HK</x:v>
      </x:c>
      <x:c r="B129" s="11" t="str">
        <x:v>京东集团-SW</x:v>
      </x:c>
      <x:c r="C129" s="11" t="str">
        <x:v>一年</x:v>
      </x:c>
      <x:c r="D129" s="11" t="n">
        <x:v>105.6</x:v>
      </x:c>
      <x:c r="E129" s="11" t="str">
        <x:v>零售物流桥</x:v>
      </x:c>
      <x:c r="F129" s="23" t="n">
        <x:f>'假设'!I495</x:f>
        <x:v>0</x:v>
      </x:c>
      <x:c r="G129" s="24" t="n">
        <x:f>'假设'!J495</x:f>
        <x:v>0</x:v>
      </x:c>
      <x:c r="H129" s="23" t="str">
        <x:f>'假设'!K495</x:f>
      </x:c>
      <x:c r="I129" s="23" t="n">
        <x:f>'零售物流桥'!L9</x:f>
        <x:v>16.133</x:v>
      </x:c>
      <x:c r="J129" s="23" t="n">
        <x:f>'假设'!F495</x:f>
        <x:v>12</x:v>
      </x:c>
      <x:c r="K129" s="23" t="n">
        <x:f>'假设'!G495</x:f>
        <x:v>1.1</x:v>
      </x:c>
      <x:c r="L129" s="23" t="n">
        <x:f>'零售物流桥'!O9</x:f>
        <x:v>212.96</x:v>
      </x:c>
      <x:c r="M129" s="23" t="n">
        <x:f>'假设'!H495</x:f>
        <x:v>4</x:v>
      </x:c>
      <x:c r="N129" s="25" t="n">
        <x:f>L129/D129-1</x:f>
        <x:v>1.016666666666667</x:v>
      </x:c>
      <x:c r="O129" s="25" t="n">
        <x:f>(L129+M129)/D129-1</x:f>
        <x:v>1.0545454545454547</x:v>
      </x:c>
      <x:c r="P129" s="25" t="str">
        <x:f>IF(Q129&gt;=3,(1+O129)^(1/Q129)-1,"")</x:f>
      </x:c>
      <x:c r="Q129" s="11" t="n">
        <x:v>1</x:v>
      </x:c>
      <x:c r="R129" s="11" t="n">
        <x:v>495</x:v>
      </x:c>
      <x:c r="T129" t="str">
        <x:v>CNY</x:v>
      </x:c>
    </x:row>
    <x:row r="130" ht="23" customHeight="1">
      <x:c r="A130" s="11" t="str">
        <x:v>09618.HK</x:v>
      </x:c>
      <x:c r="B130" s="11" t="str">
        <x:v>京东集团-SW</x:v>
      </x:c>
      <x:c r="C130" s="11" t="str">
        <x:v>三年</x:v>
      </x:c>
      <x:c r="D130" s="11" t="n">
        <x:v>105.6</x:v>
      </x:c>
      <x:c r="E130" s="11" t="str">
        <x:v>零售物流桥</x:v>
      </x:c>
      <x:c r="F130" s="23" t="n">
        <x:f>'假设'!I499</x:f>
        <x:v>0</x:v>
      </x:c>
      <x:c r="G130" s="24" t="n">
        <x:f>'假设'!J499</x:f>
        <x:v>0</x:v>
      </x:c>
      <x:c r="H130" s="23" t="str">
        <x:f>'假设'!K499</x:f>
      </x:c>
      <x:c r="I130" s="23" t="n">
        <x:f>'零售物流桥'!L10</x:f>
        <x:v>21.875</x:v>
      </x:c>
      <x:c r="J130" s="23" t="n">
        <x:f>'假设'!F499</x:f>
        <x:v>13</x:v>
      </x:c>
      <x:c r="K130" s="23" t="n">
        <x:f>'假设'!G499</x:f>
        <x:v>1.1</x:v>
      </x:c>
      <x:c r="L130" s="23" t="n">
        <x:f>'零售物流桥'!O10</x:f>
        <x:v>312.81</x:v>
      </x:c>
      <x:c r="M130" s="23" t="n">
        <x:f>'假设'!H499</x:f>
        <x:v>14</x:v>
      </x:c>
      <x:c r="N130" s="25" t="n">
        <x:f>L130/D130-1</x:f>
        <x:v>1.9622159090909093</x:v>
      </x:c>
      <x:c r="O130" s="25" t="n">
        <x:f>(L130+M130)/D130-1</x:f>
        <x:v>2.094791666666667</x:v>
      </x:c>
      <x:c r="P130" s="25" t="n">
        <x:f>IF(Q130&gt;=3,(1+O130)^(1/Q130)-1,"")</x:f>
        <x:v>0.45728268996706056</x:v>
      </x:c>
      <x:c r="Q130" s="11" t="n">
        <x:v>3</x:v>
      </x:c>
      <x:c r="R130" s="11" t="n">
        <x:v>499</x:v>
      </x:c>
      <x:c r="T130" t="str">
        <x:v>CNY</x:v>
      </x:c>
    </x:row>
    <x:row r="131" ht="23" customHeight="1">
      <x:c r="A131" s="11" t="str">
        <x:v>09618.HK</x:v>
      </x:c>
      <x:c r="B131" s="11" t="str">
        <x:v>京东集团-SW</x:v>
      </x:c>
      <x:c r="C131" s="11" t="str">
        <x:v>五年</x:v>
      </x:c>
      <x:c r="D131" s="11" t="n">
        <x:v>105.6</x:v>
      </x:c>
      <x:c r="E131" s="11" t="str">
        <x:v>零售物流桥</x:v>
      </x:c>
      <x:c r="F131" s="23" t="n">
        <x:f>'假设'!I503</x:f>
        <x:v>0</x:v>
      </x:c>
      <x:c r="G131" s="24" t="n">
        <x:f>'假设'!J503</x:f>
        <x:v>0</x:v>
      </x:c>
      <x:c r="H131" s="23" t="str">
        <x:f>'假设'!K503</x:f>
      </x:c>
      <x:c r="I131" s="23" t="n">
        <x:f>'零售物流桥'!L11</x:f>
        <x:v>29.604</x:v>
      </x:c>
      <x:c r="J131" s="23" t="n">
        <x:f>'假设'!F503</x:f>
        <x:v>13</x:v>
      </x:c>
      <x:c r="K131" s="23" t="n">
        <x:f>'假设'!G503</x:f>
        <x:v>1.1</x:v>
      </x:c>
      <x:c r="L131" s="23" t="n">
        <x:f>'零售物流桥'!O11</x:f>
        <x:v>423.34</x:v>
      </x:c>
      <x:c r="M131" s="23" t="n">
        <x:f>'假设'!H503</x:f>
        <x:v>27</x:v>
      </x:c>
      <x:c r="N131" s="25" t="n">
        <x:f>L131/D131-1</x:f>
        <x:v>3.008901515151515</x:v>
      </x:c>
      <x:c r="O131" s="25" t="n">
        <x:f>(L131+M131)/D131-1</x:f>
        <x:v>3.2645833333333334</x:v>
      </x:c>
      <x:c r="P131" s="25" t="n">
        <x:f>IF(Q131&gt;=3,(1+O131)^(1/Q131)-1,"")</x:f>
        <x:v>0.33651956617582446</x:v>
      </x:c>
      <x:c r="Q131" s="11" t="n">
        <x:v>5</x:v>
      </x:c>
      <x:c r="R131" s="11" t="n">
        <x:v>503</x:v>
      </x:c>
      <x:c r="T131" t="str">
        <x:v>CNY</x:v>
      </x:c>
    </x:row>
    <x:row r="132" ht="23" customHeight="1">
      <x:c r="A132" s="11" t="str">
        <x:v>688356.SH</x:v>
      </x:c>
      <x:c r="B132" s="11" t="str">
        <x:v>键凯科技</x:v>
      </x:c>
      <x:c r="C132" s="11" t="str">
        <x:v>2026年底</x:v>
      </x:c>
      <x:c r="D132" s="11" t="n">
        <x:v>107.9</x:v>
      </x:c>
      <x:c r="E132" s="11" t="str">
        <x:v>EPS</x:v>
      </x:c>
      <x:c r="F132" s="23" t="n">
        <x:f>'假设'!I507</x:f>
        <x:v>0</x:v>
      </x:c>
      <x:c r="G132" s="24" t="n">
        <x:f>'假设'!J507</x:f>
        <x:v>0</x:v>
      </x:c>
      <x:c r="H132" s="23" t="str">
        <x:f>'假设'!K507</x:f>
      </x:c>
      <x:c r="I132" s="23" t="n">
        <x:f>IF(E132="收入利润率",F132*G132/H132,'假设'!E507)</x:f>
        <x:v>2</x:v>
      </x:c>
      <x:c r="J132" s="23" t="n">
        <x:f>'假设'!F507</x:f>
        <x:v>48</x:v>
      </x:c>
      <x:c r="K132" s="23" t="n">
        <x:f>'假设'!G507</x:f>
        <x:v>1</x:v>
      </x:c>
      <x:c r="L132" s="23" t="n">
        <x:f>I132*J132*K132</x:f>
        <x:v>96</x:v>
      </x:c>
      <x:c r="M132" s="23" t="n">
        <x:f>'假设'!H507</x:f>
        <x:v>0</x:v>
      </x:c>
      <x:c r="N132" s="25" t="n">
        <x:f>L132/D132-1</x:f>
        <x:v>-0.11028730305838741</x:v>
      </x:c>
      <x:c r="O132" s="25" t="n">
        <x:f>(L132+M132)/D132-1</x:f>
        <x:v>-0.11028730305838741</x:v>
      </x:c>
      <x:c r="P132" s="25" t="str">
        <x:f>IF(Q132&gt;=3,(1+O132)^(1/Q132)-1,"")</x:f>
      </x:c>
      <x:c r="Q132" s="11" t="n">
        <x:v>0</x:v>
      </x:c>
      <x:c r="R132" s="11" t="n">
        <x:v>507</x:v>
      </x:c>
      <x:c r="T132" t="str">
        <x:v>CNY</x:v>
      </x:c>
    </x:row>
    <x:row r="133" ht="23" customHeight="1">
      <x:c r="A133" s="11" t="str">
        <x:v>688356.SH</x:v>
      </x:c>
      <x:c r="B133" s="11" t="str">
        <x:v>键凯科技</x:v>
      </x:c>
      <x:c r="C133" s="11" t="str">
        <x:v>半年</x:v>
      </x:c>
      <x:c r="D133" s="11" t="n">
        <x:v>107.9</x:v>
      </x:c>
      <x:c r="E133" s="11" t="str">
        <x:v>EPS</x:v>
      </x:c>
      <x:c r="F133" s="23" t="n">
        <x:f>'假设'!I511</x:f>
        <x:v>0</x:v>
      </x:c>
      <x:c r="G133" s="24" t="n">
        <x:f>'假设'!J511</x:f>
        <x:v>0</x:v>
      </x:c>
      <x:c r="H133" s="23" t="str">
        <x:f>'假设'!K511</x:f>
      </x:c>
      <x:c r="I133" s="23" t="n">
        <x:f>IF(E133="收入利润率",F133*G133/H133,'假设'!E511)</x:f>
        <x:v>2.1</x:v>
      </x:c>
      <x:c r="J133" s="23" t="n">
        <x:f>'假设'!F511</x:f>
        <x:v>48</x:v>
      </x:c>
      <x:c r="K133" s="23" t="n">
        <x:f>'假设'!G511</x:f>
        <x:v>1</x:v>
      </x:c>
      <x:c r="L133" s="23" t="n">
        <x:f>I133*J133*K133</x:f>
        <x:v>100.80000000000001</x:v>
      </x:c>
      <x:c r="M133" s="23" t="n">
        <x:f>'假设'!H511</x:f>
        <x:v>0</x:v>
      </x:c>
      <x:c r="N133" s="25" t="n">
        <x:f>L133/D133-1</x:f>
        <x:v>-0.06580166821130673</x:v>
      </x:c>
      <x:c r="O133" s="25" t="n">
        <x:f>(L133+M133)/D133-1</x:f>
        <x:v>-0.06580166821130673</x:v>
      </x:c>
      <x:c r="P133" s="25" t="str">
        <x:f>IF(Q133&gt;=3,(1+O133)^(1/Q133)-1,"")</x:f>
      </x:c>
      <x:c r="Q133" s="11" t="n">
        <x:v>0.5</x:v>
      </x:c>
      <x:c r="R133" s="11" t="n">
        <x:v>511</x:v>
      </x:c>
      <x:c r="T133" t="str">
        <x:v>CNY</x:v>
      </x:c>
    </x:row>
    <x:row r="134" ht="23" customHeight="1">
      <x:c r="A134" s="11" t="str">
        <x:v>688356.SH</x:v>
      </x:c>
      <x:c r="B134" s="11" t="str">
        <x:v>键凯科技</x:v>
      </x:c>
      <x:c r="C134" s="11" t="str">
        <x:v>一年</x:v>
      </x:c>
      <x:c r="D134" s="11" t="n">
        <x:v>107.9</x:v>
      </x:c>
      <x:c r="E134" s="11" t="str">
        <x:v>EPS</x:v>
      </x:c>
      <x:c r="F134" s="23" t="n">
        <x:f>'假设'!I515</x:f>
        <x:v>0</x:v>
      </x:c>
      <x:c r="G134" s="24" t="n">
        <x:f>'假设'!J515</x:f>
        <x:v>0</x:v>
      </x:c>
      <x:c r="H134" s="23" t="str">
        <x:f>'假设'!K515</x:f>
      </x:c>
      <x:c r="I134" s="23" t="n">
        <x:f>IF(E134="收入利润率",F134*G134/H134,'假设'!E515)</x:f>
        <x:v>2.6</x:v>
      </x:c>
      <x:c r="J134" s="23" t="n">
        <x:f>'假设'!F515</x:f>
        <x:v>45</x:v>
      </x:c>
      <x:c r="K134" s="23" t="n">
        <x:f>'假设'!G515</x:f>
        <x:v>1</x:v>
      </x:c>
      <x:c r="L134" s="23" t="n">
        <x:f>I134*J134*K134</x:f>
        <x:v>117</x:v>
      </x:c>
      <x:c r="M134" s="23" t="n">
        <x:f>'假设'!H515</x:f>
        <x:v>0.32</x:v>
      </x:c>
      <x:c r="N134" s="25" t="n">
        <x:f>L134/D134-1</x:f>
        <x:v>0.0843373493975903</x:v>
      </x:c>
      <x:c r="O134" s="25" t="n">
        <x:f>(L134+M134)/D134-1</x:f>
        <x:v>0.08730305838739572</x:v>
      </x:c>
      <x:c r="P134" s="25" t="str">
        <x:f>IF(Q134&gt;=3,(1+O134)^(1/Q134)-1,"")</x:f>
      </x:c>
      <x:c r="Q134" s="11" t="n">
        <x:v>1</x:v>
      </x:c>
      <x:c r="R134" s="11" t="n">
        <x:v>515</x:v>
      </x:c>
      <x:c r="T134" t="str">
        <x:v>CNY</x:v>
      </x:c>
    </x:row>
    <x:row r="135" ht="23" customHeight="1">
      <x:c r="A135" s="11" t="str">
        <x:v>688356.SH</x:v>
      </x:c>
      <x:c r="B135" s="11" t="str">
        <x:v>键凯科技</x:v>
      </x:c>
      <x:c r="C135" s="11" t="str">
        <x:v>三年</x:v>
      </x:c>
      <x:c r="D135" s="11" t="n">
        <x:v>107.9</x:v>
      </x:c>
      <x:c r="E135" s="11" t="str">
        <x:v>EPS</x:v>
      </x:c>
      <x:c r="F135" s="23" t="n">
        <x:f>'假设'!I519</x:f>
        <x:v>0</x:v>
      </x:c>
      <x:c r="G135" s="24" t="n">
        <x:f>'假设'!J519</x:f>
        <x:v>0</x:v>
      </x:c>
      <x:c r="H135" s="23" t="str">
        <x:f>'假设'!K519</x:f>
      </x:c>
      <x:c r="I135" s="23" t="n">
        <x:f>IF(E135="收入利润率",F135*G135/H135,'假设'!E519)</x:f>
        <x:v>3.8</x:v>
      </x:c>
      <x:c r="J135" s="23" t="n">
        <x:f>'假设'!F519</x:f>
        <x:v>40</x:v>
      </x:c>
      <x:c r="K135" s="23" t="n">
        <x:f>'假设'!G519</x:f>
        <x:v>1</x:v>
      </x:c>
      <x:c r="L135" s="23" t="n">
        <x:f>I135*J135*K135</x:f>
        <x:v>152</x:v>
      </x:c>
      <x:c r="M135" s="23" t="n">
        <x:f>'假设'!H519</x:f>
        <x:v>1.2</x:v>
      </x:c>
      <x:c r="N135" s="25" t="n">
        <x:f>L135/D135-1</x:f>
        <x:v>0.4087117701575531</x:v>
      </x:c>
      <x:c r="O135" s="25" t="n">
        <x:f>(L135+M135)/D135-1</x:f>
        <x:v>0.41983317886932325</x:v>
      </x:c>
      <x:c r="P135" s="25" t="n">
        <x:f>IF(Q135&gt;=3,(1+O135)^(1/Q135)-1,"")</x:f>
        <x:v>0.1239468475320491</x:v>
      </x:c>
      <x:c r="Q135" s="11" t="n">
        <x:v>3</x:v>
      </x:c>
      <x:c r="R135" s="11" t="n">
        <x:v>519</x:v>
      </x:c>
      <x:c r="T135" t="str">
        <x:v>CNY</x:v>
      </x:c>
    </x:row>
    <x:row r="136" ht="23" customHeight="1">
      <x:c r="A136" s="11" t="str">
        <x:v>688356.SH</x:v>
      </x:c>
      <x:c r="B136" s="11" t="str">
        <x:v>键凯科技</x:v>
      </x:c>
      <x:c r="C136" s="11" t="str">
        <x:v>五年</x:v>
      </x:c>
      <x:c r="D136" s="11" t="n">
        <x:v>107.9</x:v>
      </x:c>
      <x:c r="E136" s="11" t="str">
        <x:v>EPS</x:v>
      </x:c>
      <x:c r="F136" s="23" t="n">
        <x:f>'假设'!I523</x:f>
        <x:v>0</x:v>
      </x:c>
      <x:c r="G136" s="24" t="n">
        <x:f>'假设'!J523</x:f>
        <x:v>0</x:v>
      </x:c>
      <x:c r="H136" s="23" t="str">
        <x:f>'假设'!K523</x:f>
      </x:c>
      <x:c r="I136" s="23" t="n">
        <x:f>IF(E136="收入利润率",F136*G136/H136,'假设'!E523)</x:f>
        <x:v>5</x:v>
      </x:c>
      <x:c r="J136" s="23" t="n">
        <x:f>'假设'!F523</x:f>
        <x:v>35</x:v>
      </x:c>
      <x:c r="K136" s="23" t="n">
        <x:f>'假设'!G523</x:f>
        <x:v>1</x:v>
      </x:c>
      <x:c r="L136" s="23" t="n">
        <x:f>I136*J136*K136</x:f>
        <x:v>175</x:v>
      </x:c>
      <x:c r="M136" s="23" t="n">
        <x:f>'假设'!H523</x:f>
        <x:v>2.6</x:v>
      </x:c>
      <x:c r="N136" s="25" t="n">
        <x:f>L136/D136-1</x:f>
        <x:v>0.6218721037998145</x:v>
      </x:c>
      <x:c r="O136" s="25" t="n">
        <x:f>(L136+M136)/D136-1</x:f>
        <x:v>0.6459684893419833</x:v>
      </x:c>
      <x:c r="P136" s="25" t="n">
        <x:f>IF(Q136&gt;=3,(1+O136)^(1/Q136)-1,"")</x:f>
        <x:v>0.10480162245064739</x:v>
      </x:c>
      <x:c r="Q136" s="11" t="n">
        <x:v>5</x:v>
      </x:c>
      <x:c r="R136" s="11" t="n">
        <x:v>523</x:v>
      </x:c>
      <x:c r="T136" t="str">
        <x:v>CNY</x:v>
      </x:c>
    </x:row>
    <x:row r="137" ht="23" customHeight="1">
      <x:c r="A137" s="11" t="str">
        <x:v>02162.HK</x:v>
      </x:c>
      <x:c r="B137" s="11" t="str">
        <x:v>康诺亚-B</x:v>
      </x:c>
      <x:c r="C137" s="11" t="str">
        <x:v>2026年底</x:v>
      </x:c>
      <x:c r="D137" s="11" t="n">
        <x:v>78.3</x:v>
      </x:c>
      <x:c r="E137" s="11" t="str">
        <x:v>分资产rNPV</x:v>
      </x:c>
      <x:c r="F137" s="23" t="n">
        <x:f>'假设'!I527</x:f>
        <x:v>0</x:v>
      </x:c>
      <x:c r="G137" s="24" t="n">
        <x:f>'假设'!J527</x:f>
        <x:v>0</x:v>
      </x:c>
      <x:c r="H137" s="23" t="n">
        <x:f>'假设'!K527</x:f>
        <x:v>0.3</x:v>
      </x:c>
      <x:c r="I137" s="23" t="n">
        <x:f>IF(E137="收入利润率",F137*G137/H137,'假设'!E527)</x:f>
        <x:v>0</x:v>
      </x:c>
      <x:c r="J137" s="23" t="n">
        <x:f>'假设'!F527</x:f>
        <x:v>0</x:v>
      </x:c>
      <x:c r="K137" s="23" t="n">
        <x:f>'假设'!G527</x:f>
        <x:v>1.1</x:v>
      </x:c>
      <x:c r="L137" s="23" t="n">
        <x:f>D137+(U137-D137)*'假设'!U527</x:f>
        <x:v>75.19773620630427</x:v>
      </x:c>
      <x:c r="M137" s="23" t="n">
        <x:f>'假设'!H527</x:f>
        <x:v>0</x:v>
      </x:c>
      <x:c r="N137" s="25" t="n">
        <x:f>L137/D137-1</x:f>
        <x:v>-0.039620227250264706</x:v>
      </x:c>
      <x:c r="O137" s="25" t="n">
        <x:f>(L137+M137)/D137-1</x:f>
        <x:v>-0.039620227250264706</x:v>
      </x:c>
      <x:c r="P137" s="25" t="str">
        <x:f>IF(Q137&gt;=3,(1+O137)^(1/Q137)-1,"")</x:f>
      </x:c>
      <x:c r="Q137" s="11" t="n">
        <x:v>0</x:v>
      </x:c>
      <x:c r="R137" s="11" t="n">
        <x:v>527</x:v>
      </x:c>
      <x:c r="S137" t="n">
        <x:f>'假设'!N527</x:f>
        <x:v>1.65</x:v>
      </x:c>
      <x:c r="T137" t="str">
        <x:v>CNY</x:v>
      </x:c>
      <x:c r="U137" t="n">
        <x:f>MAX(0,(S137-'假设'!Q527)/H137*K137+'管线现金流'!AH27)</x:f>
        <x:v>73.12956034384045</x:v>
      </x:c>
    </x:row>
    <x:row r="138" ht="23" customHeight="1">
      <x:c r="A138" s="11" t="str">
        <x:v>02162.HK</x:v>
      </x:c>
      <x:c r="B138" s="11" t="str">
        <x:v>康诺亚-B</x:v>
      </x:c>
      <x:c r="C138" s="11" t="str">
        <x:v>半年</x:v>
      </x:c>
      <x:c r="D138" s="11" t="n">
        <x:v>78.3</x:v>
      </x:c>
      <x:c r="E138" s="11" t="str">
        <x:v>分资产rNPV</x:v>
      </x:c>
      <x:c r="F138" s="23" t="n">
        <x:f>'假设'!I531</x:f>
        <x:v>0</x:v>
      </x:c>
      <x:c r="G138" s="24" t="n">
        <x:f>'假设'!J531</x:f>
        <x:v>0</x:v>
      </x:c>
      <x:c r="H138" s="23" t="n">
        <x:f>'假设'!K531</x:f>
        <x:v>0.305</x:v>
      </x:c>
      <x:c r="I138" s="23" t="n">
        <x:f>IF(E138="收入利润率",F138*G138/H138,'假设'!E531)</x:f>
        <x:v>0</x:v>
      </x:c>
      <x:c r="J138" s="23" t="n">
        <x:f>'假设'!F531</x:f>
        <x:v>0</x:v>
      </x:c>
      <x:c r="K138" s="23" t="n">
        <x:f>'假设'!G531</x:f>
        <x:v>1.1</x:v>
      </x:c>
      <x:c r="L138" s="23" t="n">
        <x:f>D138+(U138-D138)*'假设'!U531</x:f>
        <x:v>74.99790408372338</x:v>
      </x:c>
      <x:c r="M138" s="23" t="n">
        <x:f>'假设'!H531</x:f>
        <x:v>0</x:v>
      </x:c>
      <x:c r="N138" s="25" t="n">
        <x:f>L138/D138-1</x:f>
        <x:v>-0.04217236163827087</x:v>
      </x:c>
      <x:c r="O138" s="25" t="n">
        <x:f>(L138+M138)/D138-1</x:f>
        <x:v>-0.04217236163827087</x:v>
      </x:c>
      <x:c r="P138" s="25" t="str">
        <x:f>IF(Q138&gt;=3,(1+O138)^(1/Q138)-1,"")</x:f>
      </x:c>
      <x:c r="Q138" s="11" t="n">
        <x:v>0.5</x:v>
      </x:c>
      <x:c r="R138" s="11" t="n">
        <x:v>531</x:v>
      </x:c>
      <x:c r="S138" t="n">
        <x:f>'假设'!N531</x:f>
        <x:v>1.55</x:v>
      </x:c>
      <x:c r="T138" t="str">
        <x:v>CNY</x:v>
      </x:c>
      <x:c r="U138" t="n">
        <x:f>MAX(0,(S138-'假设'!Q531)/H138*K138+'管线现金流'!AH28)</x:f>
        <x:v>74.22333837496714</x:v>
      </x:c>
    </x:row>
    <x:row r="139" ht="23" customHeight="1">
      <x:c r="A139" s="11" t="str">
        <x:v>02162.HK</x:v>
      </x:c>
      <x:c r="B139" s="11" t="str">
        <x:v>康诺亚-B</x:v>
      </x:c>
      <x:c r="C139" s="11" t="str">
        <x:v>一年</x:v>
      </x:c>
      <x:c r="D139" s="11" t="n">
        <x:v>78.3</x:v>
      </x:c>
      <x:c r="E139" s="11" t="str">
        <x:v>分资产rNPV</x:v>
      </x:c>
      <x:c r="F139" s="23" t="n">
        <x:f>'假设'!I535</x:f>
        <x:v>0</x:v>
      </x:c>
      <x:c r="G139" s="24" t="n">
        <x:f>'假设'!J535</x:f>
        <x:v>0</x:v>
      </x:c>
      <x:c r="H139" s="23" t="n">
        <x:f>'假设'!K535</x:f>
        <x:v>0.32</x:v>
      </x:c>
      <x:c r="I139" s="23" t="n">
        <x:f>IF(E139="收入利润率",F139*G139/H139,'假设'!E535)</x:f>
        <x:v>0</x:v>
      </x:c>
      <x:c r="J139" s="23" t="n">
        <x:f>'假设'!F535</x:f>
        <x:v>0</x:v>
      </x:c>
      <x:c r="K139" s="23" t="n">
        <x:f>'假设'!G535</x:f>
        <x:v>1.1</x:v>
      </x:c>
      <x:c r="L139" s="23" t="n">
        <x:f>D139+(U139-D139)*'假设'!U535</x:f>
        <x:v>76.20749151493708</x:v>
      </x:c>
      <x:c r="M139" s="23" t="n">
        <x:f>'假设'!H535</x:f>
        <x:v>0</x:v>
      </x:c>
      <x:c r="N139" s="25" t="n">
        <x:f>L139/D139-1</x:f>
        <x:v>-0.026724246297099907</x:v>
      </x:c>
      <x:c r="O139" s="25" t="n">
        <x:f>(L139+M139)/D139-1</x:f>
        <x:v>-0.026724246297099907</x:v>
      </x:c>
      <x:c r="P139" s="25" t="str">
        <x:f>IF(Q139&gt;=3,(1+O139)^(1/Q139)-1,"")</x:f>
      </x:c>
      <x:c r="Q139" s="11" t="n">
        <x:v>1</x:v>
      </x:c>
      <x:c r="R139" s="11" t="n">
        <x:v>535</x:v>
      </x:c>
      <x:c r="S139" t="n">
        <x:f>'假设'!N535</x:f>
        <x:v>1.7</x:v>
      </x:c>
      <x:c r="T139" t="str">
        <x:v>CNY</x:v>
      </x:c>
      <x:c r="U139" t="n">
        <x:f>MAX(0,(S139-'假设'!Q535)/H139*K139+'管线现金流'!AH29)</x:f>
        <x:v>76.20749151493708</x:v>
      </x:c>
    </x:row>
    <x:row r="140" ht="23" customHeight="1">
      <x:c r="A140" s="11" t="str">
        <x:v>02162.HK</x:v>
      </x:c>
      <x:c r="B140" s="11" t="str">
        <x:v>康诺亚-B</x:v>
      </x:c>
      <x:c r="C140" s="11" t="str">
        <x:v>三年</x:v>
      </x:c>
      <x:c r="D140" s="11" t="n">
        <x:v>78.3</x:v>
      </x:c>
      <x:c r="E140" s="11" t="str">
        <x:v>分资产rNPV</x:v>
      </x:c>
      <x:c r="F140" s="23" t="n">
        <x:f>'假设'!I539</x:f>
        <x:v>0</x:v>
      </x:c>
      <x:c r="G140" s="24" t="n">
        <x:f>'假设'!J539</x:f>
        <x:v>0</x:v>
      </x:c>
      <x:c r="H140" s="23" t="n">
        <x:f>'假设'!K539</x:f>
        <x:v>0.35</x:v>
      </x:c>
      <x:c r="I140" s="23" t="n">
        <x:f>IF(E140="收入利润率",F140*G140/H140,'假设'!E539)</x:f>
        <x:v>0</x:v>
      </x:c>
      <x:c r="J140" s="23" t="n">
        <x:f>'假设'!F539</x:f>
        <x:v>0</x:v>
      </x:c>
      <x:c r="K140" s="23" t="n">
        <x:f>'假设'!G539</x:f>
        <x:v>1.1</x:v>
      </x:c>
      <x:c r="L140" s="23" t="n">
        <x:f>D140+(U140-D140)*'假设'!U539</x:f>
        <x:v>86.58727562674746</x:v>
      </x:c>
      <x:c r="M140" s="23" t="n">
        <x:f>'假设'!H539</x:f>
        <x:v>0</x:v>
      </x:c>
      <x:c r="N140" s="25" t="n">
        <x:f>L140/D140-1</x:f>
        <x:v>0.10584004631861377</x:v>
      </x:c>
      <x:c r="O140" s="25" t="n">
        <x:f>(L140+M140)/D140-1</x:f>
        <x:v>0.10584004631861377</x:v>
      </x:c>
      <x:c r="P140" s="25" t="n">
        <x:f>IF(Q140&gt;=3,(1+O140)^(1/Q140)-1,"")</x:f>
        <x:v>0.034103729465295274</x:v>
      </x:c>
      <x:c r="Q140" s="11" t="n">
        <x:v>3</x:v>
      </x:c>
      <x:c r="R140" s="11" t="n">
        <x:v>539</x:v>
      </x:c>
      <x:c r="S140" t="n">
        <x:f>'假设'!N539</x:f>
        <x:v>2.3</x:v>
      </x:c>
      <x:c r="T140" t="str">
        <x:v>CNY</x:v>
      </x:c>
      <x:c r="U140" t="n">
        <x:f>MAX(0,(S140-'假设'!Q539)/H140*K140+'管线现金流'!AH30)</x:f>
        <x:v>86.58727562674746</x:v>
      </x:c>
    </x:row>
    <x:row r="141" ht="23" customHeight="1">
      <x:c r="A141" s="11" t="str">
        <x:v>02162.HK</x:v>
      </x:c>
      <x:c r="B141" s="11" t="str">
        <x:v>康诺亚-B</x:v>
      </x:c>
      <x:c r="C141" s="11" t="str">
        <x:v>五年</x:v>
      </x:c>
      <x:c r="D141" s="11" t="n">
        <x:v>78.3</x:v>
      </x:c>
      <x:c r="E141" s="11" t="str">
        <x:v>分资产rNPV</x:v>
      </x:c>
      <x:c r="F141" s="23" t="n">
        <x:f>'假设'!I543</x:f>
        <x:v>0</x:v>
      </x:c>
      <x:c r="G141" s="24" t="n">
        <x:f>'假设'!J543</x:f>
        <x:v>0</x:v>
      </x:c>
      <x:c r="H141" s="23" t="n">
        <x:f>'假设'!K543</x:f>
        <x:v>0.38</x:v>
      </x:c>
      <x:c r="I141" s="23" t="n">
        <x:f>IF(E141="收入利润率",F141*G141/H141,'假设'!E543)</x:f>
        <x:v>0</x:v>
      </x:c>
      <x:c r="J141" s="23" t="n">
        <x:f>'假设'!F543</x:f>
        <x:v>0</x:v>
      </x:c>
      <x:c r="K141" s="23" t="n">
        <x:f>'假设'!G543</x:f>
        <x:v>1.1</x:v>
      </x:c>
      <x:c r="L141" s="23" t="n">
        <x:f>D141+(U141-D141)*'假设'!U543</x:f>
        <x:v>91.56120647580155</x:v>
      </x:c>
      <x:c r="M141" s="23" t="n">
        <x:f>'假设'!H543</x:f>
        <x:v>0</x:v>
      </x:c>
      <x:c r="N141" s="25" t="n">
        <x:f>L141/D141-1</x:f>
        <x:v>0.16936406737933019</x:v>
      </x:c>
      <x:c r="O141" s="25" t="n">
        <x:f>(L141+M141)/D141-1</x:f>
        <x:v>0.16936406737933019</x:v>
      </x:c>
      <x:c r="P141" s="25" t="n">
        <x:f>IF(Q141&gt;=3,(1+O141)^(1/Q141)-1,"")</x:f>
        <x:v>0.031786755847793335</x:v>
      </x:c>
      <x:c r="Q141" s="11" t="n">
        <x:v>5</x:v>
      </x:c>
      <x:c r="R141" s="11" t="n">
        <x:v>543</x:v>
      </x:c>
      <x:c r="S141" t="n">
        <x:f>'假设'!N543</x:f>
        <x:v>4.5</x:v>
      </x:c>
      <x:c r="T141" t="str">
        <x:v>CNY</x:v>
      </x:c>
      <x:c r="U141" t="n">
        <x:f>MAX(0,(S141-'假设'!Q543)/H141*K141+'管线现金流'!AH31)</x:f>
        <x:v>91.56120647580155</x:v>
      </x:c>
    </x:row>
    <x:row r="142" ht="23" customHeight="1">
      <x:c r="A142" s="11" t="str">
        <x:v>00268.HK</x:v>
      </x:c>
      <x:c r="B142" s="11" t="str">
        <x:v>金蝶国际</x:v>
      </x:c>
      <x:c r="C142" s="11" t="str">
        <x:v>2026年底</x:v>
      </x:c>
      <x:c r="D142" s="11" t="n">
        <x:v>7.835</x:v>
      </x:c>
      <x:c r="E142" s="11" t="str">
        <x:v>业务分拆桥</x:v>
      </x:c>
      <x:c r="F142" s="23" t="n">
        <x:f>'假设'!I547</x:f>
        <x:v>0</x:v>
      </x:c>
      <x:c r="G142" s="24" t="n">
        <x:f>'假设'!J547</x:f>
        <x:v>0</x:v>
      </x:c>
      <x:c r="H142" s="23" t="str">
        <x:f>'假设'!K547</x:f>
      </x:c>
      <x:c r="I142" s="23" t="n">
        <x:f>'业务分拆桥'!I7</x:f>
        <x:v>0.03661</x:v>
      </x:c>
      <x:c r="J142" s="23" t="n">
        <x:f>'假设'!F547</x:f>
        <x:v>12</x:v>
      </x:c>
      <x:c r="K142" s="23" t="n">
        <x:f>'假设'!G547</x:f>
        <x:v>1.1</x:v>
      </x:c>
      <x:c r="L142" s="23" t="n">
        <x:f>ROUND('业务分拆桥'!P7,2)</x:f>
        <x:v>9.21</x:v>
      </x:c>
      <x:c r="M142" s="23" t="n">
        <x:f>'假设'!H547</x:f>
        <x:v>0</x:v>
      </x:c>
      <x:c r="N142" s="25" t="n">
        <x:f>L142/D142-1</x:f>
        <x:v>0.17549457562220816</x:v>
      </x:c>
      <x:c r="O142" s="25" t="n">
        <x:f>(L142+M142)/D142-1</x:f>
        <x:v>0.17549457562220816</x:v>
      </x:c>
      <x:c r="P142" s="25" t="str">
        <x:f>IF(Q142&gt;=3,(1+O142)^(1/Q142)-1,"")</x:f>
      </x:c>
      <x:c r="Q142" s="11" t="n">
        <x:v>0</x:v>
      </x:c>
      <x:c r="R142" s="11" t="n">
        <x:v>547</x:v>
      </x:c>
      <x:c r="T142" t="str">
        <x:v>CNY</x:v>
      </x:c>
    </x:row>
    <x:row r="143" ht="23" customHeight="1">
      <x:c r="A143" s="11" t="str">
        <x:v>00268.HK</x:v>
      </x:c>
      <x:c r="B143" s="11" t="str">
        <x:v>金蝶国际</x:v>
      </x:c>
      <x:c r="C143" s="11" t="str">
        <x:v>半年</x:v>
      </x:c>
      <x:c r="D143" s="11" t="n">
        <x:v>7.835</x:v>
      </x:c>
      <x:c r="E143" s="11" t="str">
        <x:v>业务分拆桥</x:v>
      </x:c>
      <x:c r="F143" s="23" t="n">
        <x:f>'假设'!I551</x:f>
        <x:v>0</x:v>
      </x:c>
      <x:c r="G143" s="24" t="n">
        <x:f>'假设'!J551</x:f>
        <x:v>0</x:v>
      </x:c>
      <x:c r="H143" s="23" t="str">
        <x:f>'假设'!K551</x:f>
      </x:c>
      <x:c r="I143" s="23" t="n">
        <x:f>'业务分拆桥'!I8</x:f>
        <x:v>0.032563</x:v>
      </x:c>
      <x:c r="J143" s="23" t="n">
        <x:f>'假设'!F551</x:f>
        <x:v>12</x:v>
      </x:c>
      <x:c r="K143" s="23" t="n">
        <x:f>'假设'!G551</x:f>
        <x:v>1.1</x:v>
      </x:c>
      <x:c r="L143" s="23" t="n">
        <x:f>ROUND('业务分拆桥'!P8,2)</x:f>
        <x:v>9.93</x:v>
      </x:c>
      <x:c r="M143" s="23" t="n">
        <x:f>'假设'!H551</x:f>
        <x:v>0</x:v>
      </x:c>
      <x:c r="N143" s="25" t="n">
        <x:f>L143/D143-1</x:f>
        <x:v>0.2673899170389278</x:v>
      </x:c>
      <x:c r="O143" s="25" t="n">
        <x:f>(L143+M143)/D143-1</x:f>
        <x:v>0.2673899170389278</x:v>
      </x:c>
      <x:c r="P143" s="25" t="str">
        <x:f>IF(Q143&gt;=3,(1+O143)^(1/Q143)-1,"")</x:f>
      </x:c>
      <x:c r="Q143" s="11" t="n">
        <x:v>0.5</x:v>
      </x:c>
      <x:c r="R143" s="11" t="n">
        <x:v>551</x:v>
      </x:c>
      <x:c r="T143" t="str">
        <x:v>CNY</x:v>
      </x:c>
    </x:row>
    <x:row r="144" ht="23" customHeight="1">
      <x:c r="A144" s="11" t="str">
        <x:v>00268.HK</x:v>
      </x:c>
      <x:c r="B144" s="11" t="str">
        <x:v>金蝶国际</x:v>
      </x:c>
      <x:c r="C144" s="11" t="str">
        <x:v>一年</x:v>
      </x:c>
      <x:c r="D144" s="11" t="n">
        <x:v>7.835</x:v>
      </x:c>
      <x:c r="E144" s="11" t="str">
        <x:v>业务分拆桥</x:v>
      </x:c>
      <x:c r="F144" s="23" t="n">
        <x:f>'假设'!I555</x:f>
        <x:v>0</x:v>
      </x:c>
      <x:c r="G144" s="24" t="n">
        <x:f>'假设'!J555</x:f>
        <x:v>0</x:v>
      </x:c>
      <x:c r="H144" s="23" t="str">
        <x:f>'假设'!K555</x:f>
      </x:c>
      <x:c r="I144" s="23" t="n">
        <x:f>'业务分拆桥'!I9</x:f>
        <x:v>0.028764</x:v>
      </x:c>
      <x:c r="J144" s="23" t="n">
        <x:f>'假设'!F555</x:f>
        <x:v>12</x:v>
      </x:c>
      <x:c r="K144" s="23" t="n">
        <x:f>'假设'!G555</x:f>
        <x:v>1.1</x:v>
      </x:c>
      <x:c r="L144" s="23" t="n">
        <x:f>ROUND('业务分拆桥'!P9,2)</x:f>
        <x:v>13.81</x:v>
      </x:c>
      <x:c r="M144" s="23" t="n">
        <x:f>'假设'!H555</x:f>
        <x:v>0</x:v>
      </x:c>
      <x:c r="N144" s="25" t="n">
        <x:f>L144/D144-1</x:f>
        <x:v>0.7626037013401405</x:v>
      </x:c>
      <x:c r="O144" s="25" t="n">
        <x:f>(L144+M144)/D144-1</x:f>
        <x:v>0.7626037013401405</x:v>
      </x:c>
      <x:c r="P144" s="25" t="str">
        <x:f>IF(Q144&gt;=3,(1+O144)^(1/Q144)-1,"")</x:f>
      </x:c>
      <x:c r="Q144" s="11" t="n">
        <x:v>1</x:v>
      </x:c>
      <x:c r="R144" s="11" t="n">
        <x:v>555</x:v>
      </x:c>
      <x:c r="T144" t="str">
        <x:v>CNY</x:v>
      </x:c>
    </x:row>
    <x:row r="145" ht="23" customHeight="1">
      <x:c r="A145" s="11" t="str">
        <x:v>00268.HK</x:v>
      </x:c>
      <x:c r="B145" s="11" t="str">
        <x:v>金蝶国际</x:v>
      </x:c>
      <x:c r="C145" s="11" t="str">
        <x:v>三年</x:v>
      </x:c>
      <x:c r="D145" s="11" t="n">
        <x:v>7.835</x:v>
      </x:c>
      <x:c r="E145" s="11" t="str">
        <x:v>业务分拆桥</x:v>
      </x:c>
      <x:c r="F145" s="23" t="n">
        <x:f>'假设'!I559</x:f>
        <x:v>0</x:v>
      </x:c>
      <x:c r="G145" s="24" t="n">
        <x:f>'假设'!J559</x:f>
        <x:v>0</x:v>
      </x:c>
      <x:c r="H145" s="23" t="str">
        <x:f>'假设'!K559</x:f>
      </x:c>
      <x:c r="I145" s="23" t="n">
        <x:f>'业务分拆桥'!I10</x:f>
        <x:v>0.02</x:v>
      </x:c>
      <x:c r="J145" s="23" t="n">
        <x:f>'假设'!F559</x:f>
        <x:v>11</x:v>
      </x:c>
      <x:c r="K145" s="23" t="n">
        <x:f>'假设'!G559</x:f>
        <x:v>1.1</x:v>
      </x:c>
      <x:c r="L145" s="23" t="n">
        <x:f>ROUND('业务分拆桥'!P10,2)</x:f>
        <x:v>14.3</x:v>
      </x:c>
      <x:c r="M145" s="23" t="n">
        <x:f>'假设'!H559</x:f>
        <x:v>0.12</x:v>
      </x:c>
      <x:c r="N145" s="25" t="n">
        <x:f>L145/D145-1</x:f>
        <x:v>0.8251435864709638</x:v>
      </x:c>
      <x:c r="O145" s="25" t="n">
        <x:f>(L145+M145)/D145-1</x:f>
        <x:v>0.8404594767070837</x:v>
      </x:c>
      <x:c r="P145" s="25" t="n">
        <x:f>IF(Q145&gt;=3,(1+O145)^(1/Q145)-1,"")</x:f>
        <x:v>0.22548712581868613</x:v>
      </x:c>
      <x:c r="Q145" s="11" t="n">
        <x:v>3</x:v>
      </x:c>
      <x:c r="R145" s="11" t="n">
        <x:v>559</x:v>
      </x:c>
      <x:c r="T145" t="str">
        <x:v>CNY</x:v>
      </x:c>
    </x:row>
    <x:row r="146" ht="23" customHeight="1">
      <x:c r="A146" s="11" t="str">
        <x:v>00268.HK</x:v>
      </x:c>
      <x:c r="B146" s="11" t="str">
        <x:v>金蝶国际</x:v>
      </x:c>
      <x:c r="C146" s="11" t="str">
        <x:v>五年</x:v>
      </x:c>
      <x:c r="D146" s="11" t="n">
        <x:v>7.835</x:v>
      </x:c>
      <x:c r="E146" s="11" t="str">
        <x:v>业务分拆桥</x:v>
      </x:c>
      <x:c r="F146" s="23" t="n">
        <x:f>'假设'!I563</x:f>
        <x:v>0</x:v>
      </x:c>
      <x:c r="G146" s="24" t="n">
        <x:f>'假设'!J563</x:f>
        <x:v>0</x:v>
      </x:c>
      <x:c r="H146" s="23" t="str">
        <x:f>'假设'!K563</x:f>
      </x:c>
      <x:c r="I146" s="23" t="n">
        <x:f>'业务分拆桥'!I11</x:f>
        <x:v>0.013733</x:v>
      </x:c>
      <x:c r="J146" s="23" t="n">
        <x:f>'假设'!F563</x:f>
        <x:v>10</x:v>
      </x:c>
      <x:c r="K146" s="23" t="n">
        <x:f>'假设'!G563</x:f>
        <x:v>1.1</x:v>
      </x:c>
      <x:c r="L146" s="23" t="n">
        <x:f>ROUND('业务分拆桥'!P11,2)</x:f>
        <x:v>15.17</x:v>
      </x:c>
      <x:c r="M146" s="23" t="n">
        <x:f>'假设'!H563</x:f>
        <x:v>0.4</x:v>
      </x:c>
      <x:c r="N146" s="25" t="n">
        <x:f>L146/D146-1</x:f>
        <x:v>0.9361837906828334</x:v>
      </x:c>
      <x:c r="O146" s="25" t="n">
        <x:f>(L146+M146)/D146-1</x:f>
        <x:v>0.9872367581365666</x:v>
      </x:c>
      <x:c r="P146" s="25" t="n">
        <x:f>IF(Q146&gt;=3,(1+O146)^(1/Q146)-1,"")</x:f>
        <x:v>0.14722848664249288</x:v>
      </x:c>
      <x:c r="Q146" s="11" t="n">
        <x:v>5</x:v>
      </x:c>
      <x:c r="R146" s="11" t="n">
        <x:v>563</x:v>
      </x:c>
      <x:c r="T146" t="str">
        <x:v>CNY</x:v>
      </x:c>
    </x:row>
    <x:row r="147" ht="23" customHeight="1">
      <x:c r="A147" s="11" t="str">
        <x:v>01024.HK</x:v>
      </x:c>
      <x:c r="B147" s="11" t="str">
        <x:v>快手-W</x:v>
      </x:c>
      <x:c r="C147" s="11" t="str">
        <x:v>2026年底</x:v>
      </x:c>
      <x:c r="D147" s="11" t="n">
        <x:v>30.1</x:v>
      </x:c>
      <x:c r="E147" s="11" t="str">
        <x:v>内容可灵经营桥</x:v>
      </x:c>
      <x:c r="F147" s="23" t="n">
        <x:f>'假设'!I567</x:f>
        <x:v>0</x:v>
      </x:c>
      <x:c r="G147" s="24" t="n">
        <x:f>'假设'!J567</x:f>
        <x:v>0</x:v>
      </x:c>
      <x:c r="H147" s="23" t="str">
        <x:f>'假设'!K567</x:f>
      </x:c>
      <x:c r="I147" s="23" t="n">
        <x:f>'内容经营桥'!Q7</x:f>
        <x:v>2.303</x:v>
      </x:c>
      <x:c r="J147" s="23" t="n">
        <x:f>'假设'!F567</x:f>
        <x:v>17</x:v>
      </x:c>
      <x:c r="K147" s="23" t="n">
        <x:f>'假设'!G567</x:f>
        <x:v>1.1</x:v>
      </x:c>
      <x:c r="L147" s="23" t="n">
        <x:f>'内容经营桥'!T7</x:f>
        <x:v>43.07</x:v>
      </x:c>
      <x:c r="M147" s="23" t="n">
        <x:f>'假设'!H567</x:f>
        <x:v>0</x:v>
      </x:c>
      <x:c r="N147" s="25" t="n">
        <x:f>L147/D147-1</x:f>
        <x:v>0.43089700996677727</x:v>
      </x:c>
      <x:c r="O147" s="25" t="n">
        <x:f>(L147+M147)/D147-1</x:f>
        <x:v>0.43089700996677727</x:v>
      </x:c>
      <x:c r="P147" s="25" t="str">
        <x:f>IF(Q147&gt;=3,(1+O147)^(1/Q147)-1,"")</x:f>
      </x:c>
      <x:c r="Q147" s="11" t="n">
        <x:v>0</x:v>
      </x:c>
      <x:c r="R147" s="11" t="n">
        <x:v>567</x:v>
      </x:c>
      <x:c r="T147" t="str">
        <x:v>CNY</x:v>
      </x:c>
    </x:row>
    <x:row r="148" ht="23" customHeight="1">
      <x:c r="A148" s="11" t="str">
        <x:v>01024.HK</x:v>
      </x:c>
      <x:c r="B148" s="11" t="str">
        <x:v>快手-W</x:v>
      </x:c>
      <x:c r="C148" s="11" t="str">
        <x:v>半年</x:v>
      </x:c>
      <x:c r="D148" s="11" t="n">
        <x:v>30.1</x:v>
      </x:c>
      <x:c r="E148" s="11" t="str">
        <x:v>内容可灵经营桥</x:v>
      </x:c>
      <x:c r="F148" s="23" t="n">
        <x:f>'假设'!I571</x:f>
        <x:v>0</x:v>
      </x:c>
      <x:c r="G148" s="24" t="n">
        <x:f>'假设'!J571</x:f>
        <x:v>0</x:v>
      </x:c>
      <x:c r="H148" s="23" t="str">
        <x:f>'假设'!K571</x:f>
      </x:c>
      <x:c r="I148" s="23" t="n">
        <x:f>'内容经营桥'!Q8</x:f>
        <x:v>2.441</x:v>
      </x:c>
      <x:c r="J148" s="23" t="n">
        <x:f>'假设'!F571</x:f>
        <x:v>18</x:v>
      </x:c>
      <x:c r="K148" s="23" t="n">
        <x:f>'假设'!G571</x:f>
        <x:v>1.1</x:v>
      </x:c>
      <x:c r="L148" s="23" t="n">
        <x:f>'内容经营桥'!T8</x:f>
        <x:v>48.33</x:v>
      </x:c>
      <x:c r="M148" s="23" t="n">
        <x:f>'假设'!H571</x:f>
        <x:v>0</x:v>
      </x:c>
      <x:c r="N148" s="25" t="n">
        <x:f>L148/D148-1</x:f>
        <x:v>0.6056478405315613</x:v>
      </x:c>
      <x:c r="O148" s="25" t="n">
        <x:f>(L148+M148)/D148-1</x:f>
        <x:v>0.6056478405315613</x:v>
      </x:c>
      <x:c r="P148" s="25" t="str">
        <x:f>IF(Q148&gt;=3,(1+O148)^(1/Q148)-1,"")</x:f>
      </x:c>
      <x:c r="Q148" s="11" t="n">
        <x:v>0.5</x:v>
      </x:c>
      <x:c r="R148" s="11" t="n">
        <x:v>571</x:v>
      </x:c>
      <x:c r="T148" t="str">
        <x:v>CNY</x:v>
      </x:c>
    </x:row>
    <x:row r="149" ht="23" customHeight="1">
      <x:c r="A149" s="11" t="str">
        <x:v>01024.HK</x:v>
      </x:c>
      <x:c r="B149" s="11" t="str">
        <x:v>快手-W</x:v>
      </x:c>
      <x:c r="C149" s="11" t="str">
        <x:v>一年</x:v>
      </x:c>
      <x:c r="D149" s="11" t="n">
        <x:v>30.1</x:v>
      </x:c>
      <x:c r="E149" s="11" t="str">
        <x:v>内容可灵经营桥</x:v>
      </x:c>
      <x:c r="F149" s="23" t="n">
        <x:f>'假设'!I575</x:f>
        <x:v>0</x:v>
      </x:c>
      <x:c r="G149" s="24" t="n">
        <x:f>'假设'!J575</x:f>
        <x:v>0</x:v>
      </x:c>
      <x:c r="H149" s="23" t="str">
        <x:f>'假设'!K575</x:f>
      </x:c>
      <x:c r="I149" s="23" t="n">
        <x:f>'内容经营桥'!Q9</x:f>
        <x:v>2.908</x:v>
      </x:c>
      <x:c r="J149" s="23" t="n">
        <x:f>'假设'!F575</x:f>
        <x:v>19</x:v>
      </x:c>
      <x:c r="K149" s="23" t="n">
        <x:f>'假设'!G575</x:f>
        <x:v>1.1</x:v>
      </x:c>
      <x:c r="L149" s="23" t="n">
        <x:f>'内容经营桥'!T9</x:f>
        <x:v>60.78</x:v>
      </x:c>
      <x:c r="M149" s="23" t="n">
        <x:f>'假设'!H575</x:f>
        <x:v>0.4</x:v>
      </x:c>
      <x:c r="N149" s="25" t="n">
        <x:f>L149/D149-1</x:f>
        <x:v>1.0192691029900334</x:v>
      </x:c>
      <x:c r="O149" s="25" t="n">
        <x:f>(L149+M149)/D149-1</x:f>
        <x:v>1.0325581395348835</x:v>
      </x:c>
      <x:c r="P149" s="25" t="str">
        <x:f>IF(Q149&gt;=3,(1+O149)^(1/Q149)-1,"")</x:f>
      </x:c>
      <x:c r="Q149" s="11" t="n">
        <x:v>1</x:v>
      </x:c>
      <x:c r="R149" s="11" t="n">
        <x:v>575</x:v>
      </x:c>
      <x:c r="T149" t="str">
        <x:v>CNY</x:v>
      </x:c>
    </x:row>
    <x:row r="150" ht="23" customHeight="1">
      <x:c r="A150" s="11" t="str">
        <x:v>01024.HK</x:v>
      </x:c>
      <x:c r="B150" s="11" t="str">
        <x:v>快手-W</x:v>
      </x:c>
      <x:c r="C150" s="11" t="str">
        <x:v>三年</x:v>
      </x:c>
      <x:c r="D150" s="11" t="n">
        <x:v>30.1</x:v>
      </x:c>
      <x:c r="E150" s="11" t="str">
        <x:v>内容可灵经营桥</x:v>
      </x:c>
      <x:c r="F150" s="23" t="n">
        <x:f>'假设'!I579</x:f>
        <x:v>0</x:v>
      </x:c>
      <x:c r="G150" s="24" t="n">
        <x:f>'假设'!J579</x:f>
        <x:v>0</x:v>
      </x:c>
      <x:c r="H150" s="23" t="str">
        <x:f>'假设'!K579</x:f>
      </x:c>
      <x:c r="I150" s="23" t="n">
        <x:f>'内容经营桥'!Q10</x:f>
        <x:v>4.493</x:v>
      </x:c>
      <x:c r="J150" s="23" t="n">
        <x:f>'假设'!F579</x:f>
        <x:v>21</x:v>
      </x:c>
      <x:c r="K150" s="23" t="n">
        <x:f>'假设'!G579</x:f>
        <x:v>1.1</x:v>
      </x:c>
      <x:c r="L150" s="23" t="n">
        <x:f>'内容经营桥'!T10</x:f>
        <x:v>103.79</x:v>
      </x:c>
      <x:c r="M150" s="23" t="n">
        <x:f>'假设'!H579</x:f>
        <x:v>1.8</x:v>
      </x:c>
      <x:c r="N150" s="25" t="n">
        <x:f>L150/D150-1</x:f>
        <x:v>2.448172757475083</x:v>
      </x:c>
      <x:c r="O150" s="25" t="n">
        <x:f>(L150+M150)/D150-1</x:f>
        <x:v>2.50797342192691</x:v>
      </x:c>
      <x:c r="P150" s="25" t="n">
        <x:f>IF(Q150&gt;=3,(1+O150)^(1/Q150)-1,"")</x:f>
        <x:v>0.5194465641459411</x:v>
      </x:c>
      <x:c r="Q150" s="11" t="n">
        <x:v>3</x:v>
      </x:c>
      <x:c r="R150" s="11" t="n">
        <x:v>579</x:v>
      </x:c>
      <x:c r="T150" t="str">
        <x:v>CNY</x:v>
      </x:c>
    </x:row>
    <x:row r="151" ht="23" customHeight="1">
      <x:c r="A151" s="11" t="str">
        <x:v>01024.HK</x:v>
      </x:c>
      <x:c r="B151" s="11" t="str">
        <x:v>快手-W</x:v>
      </x:c>
      <x:c r="C151" s="11" t="str">
        <x:v>五年</x:v>
      </x:c>
      <x:c r="D151" s="11" t="n">
        <x:v>30.1</x:v>
      </x:c>
      <x:c r="E151" s="11" t="str">
        <x:v>内容可灵经营桥</x:v>
      </x:c>
      <x:c r="F151" s="23" t="n">
        <x:f>'假设'!I583</x:f>
        <x:v>0</x:v>
      </x:c>
      <x:c r="G151" s="24" t="n">
        <x:f>'假设'!J583</x:f>
        <x:v>0</x:v>
      </x:c>
      <x:c r="H151" s="23" t="str">
        <x:f>'假设'!K583</x:f>
      </x:c>
      <x:c r="I151" s="23" t="n">
        <x:f>'内容经营桥'!Q11</x:f>
        <x:v>6.29</x:v>
      </x:c>
      <x:c r="J151" s="23" t="n">
        <x:f>'假设'!F583</x:f>
        <x:v>21</x:v>
      </x:c>
      <x:c r="K151" s="23" t="n">
        <x:f>'假设'!G583</x:f>
        <x:v>1.1</x:v>
      </x:c>
      <x:c r="L151" s="23" t="n">
        <x:f>'内容经营桥'!T11</x:f>
        <x:v>145.3</x:v>
      </x:c>
      <x:c r="M151" s="23" t="n">
        <x:f>'假设'!H583</x:f>
        <x:v>4.2</x:v>
      </x:c>
      <x:c r="N151" s="25" t="n">
        <x:f>L151/D151-1</x:f>
        <x:v>3.8272425249169437</x:v>
      </x:c>
      <x:c r="O151" s="25" t="n">
        <x:f>(L151+M151)/D151-1</x:f>
        <x:v>3.9667774086378733</x:v>
      </x:c>
      <x:c r="P151" s="25" t="n">
        <x:f>IF(Q151&gt;=3,(1+O151)^(1/Q151)-1,"")</x:f>
        <x:v>0.37789124098962223</x:v>
      </x:c>
      <x:c r="Q151" s="11" t="n">
        <x:v>5</x:v>
      </x:c>
      <x:c r="R151" s="11" t="n">
        <x:v>583</x:v>
      </x:c>
      <x:c r="T151" t="str">
        <x:v>CNY</x:v>
      </x:c>
    </x:row>
    <x:row r="152" ht="23" customHeight="1">
      <x:c r="A152" s="11" t="str">
        <x:v>00992.HK</x:v>
      </x:c>
      <x:c r="B152" s="11" t="str">
        <x:v>联想集团</x:v>
      </x:c>
      <x:c r="C152" s="11" t="str">
        <x:v>2026年底</x:v>
      </x:c>
      <x:c r="D152" s="11" t="n">
        <x:v>32.84</x:v>
      </x:c>
      <x:c r="E152" s="11" t="str">
        <x:v>经营盈利桥</x:v>
      </x:c>
      <x:c r="F152" s="23" t="n">
        <x:f>'假设'!I587</x:f>
        <x:v>0</x:v>
      </x:c>
      <x:c r="G152" s="24" t="n">
        <x:f>'假设'!J587</x:f>
        <x:v>0</x:v>
      </x:c>
      <x:c r="H152" s="23" t="str">
        <x:f>'假设'!K587</x:f>
      </x:c>
      <x:c r="I152" s="23" t="n">
        <x:f>'经营桥'!M22</x:f>
        <x:v>0.266994</x:v>
      </x:c>
      <x:c r="J152" s="23" t="n">
        <x:f>'假设'!F587</x:f>
        <x:v>18</x:v>
      </x:c>
      <x:c r="K152" s="23" t="n">
        <x:f>'假设'!G587</x:f>
        <x:v>7.8</x:v>
      </x:c>
      <x:c r="L152" s="23" t="n">
        <x:f>ROUND(ROUND(I152*J152*K152-'经营假设'!M67/'经营假设'!J67*K152,2),2)</x:f>
        <x:v>37.49</x:v>
      </x:c>
      <x:c r="M152" s="23" t="n">
        <x:f>'假设'!H587</x:f>
        <x:v>0</x:v>
      </x:c>
      <x:c r="N152" s="25" t="n">
        <x:f>L152/D152-1</x:f>
        <x:v>0.14159561510353225</x:v>
      </x:c>
      <x:c r="O152" s="25" t="n">
        <x:f>(L152+M152)/D152-1</x:f>
        <x:v>0.14159561510353225</x:v>
      </x:c>
      <x:c r="P152" s="25" t="str">
        <x:f>IF(Q152&gt;=3,(1+O152)^(1/Q152)-1,"")</x:f>
      </x:c>
      <x:c r="Q152" s="11" t="n">
        <x:v>0</x:v>
      </x:c>
      <x:c r="R152" s="11" t="n">
        <x:v>587</x:v>
      </x:c>
      <x:c r="T152" t="str">
        <x:v>USD</x:v>
      </x:c>
    </x:row>
    <x:row r="153" ht="23" customHeight="1">
      <x:c r="A153" s="11" t="str">
        <x:v>00992.HK</x:v>
      </x:c>
      <x:c r="B153" s="11" t="str">
        <x:v>联想集团</x:v>
      </x:c>
      <x:c r="C153" s="11" t="str">
        <x:v>半年</x:v>
      </x:c>
      <x:c r="D153" s="11" t="n">
        <x:v>32.84</x:v>
      </x:c>
      <x:c r="E153" s="11" t="str">
        <x:v>经营盈利桥</x:v>
      </x:c>
      <x:c r="F153" s="23" t="n">
        <x:f>'假设'!I591</x:f>
        <x:v>0</x:v>
      </x:c>
      <x:c r="G153" s="24" t="n">
        <x:f>'假设'!J591</x:f>
        <x:v>0</x:v>
      </x:c>
      <x:c r="H153" s="23" t="str">
        <x:f>'假设'!K591</x:f>
      </x:c>
      <x:c r="I153" s="23" t="n">
        <x:f>'经营桥'!M23</x:f>
        <x:v>0.299975</x:v>
      </x:c>
      <x:c r="J153" s="23" t="n">
        <x:f>'假设'!F591</x:f>
        <x:v>18.5</x:v>
      </x:c>
      <x:c r="K153" s="23" t="n">
        <x:f>'假设'!G591</x:f>
        <x:v>7.8</x:v>
      </x:c>
      <x:c r="L153" s="23" t="n">
        <x:f>ROUND(ROUND(I153*J153*K153-'经营假设'!M71/'经营假设'!J71*K153,2),2)</x:f>
        <x:v>43.29</x:v>
      </x:c>
      <x:c r="M153" s="23" t="n">
        <x:f>'假设'!H591</x:f>
        <x:v>0.09</x:v>
      </x:c>
      <x:c r="N153" s="25" t="n">
        <x:f>L153/D153-1</x:f>
        <x:v>0.3182095006090133</x:v>
      </x:c>
      <x:c r="O153" s="25" t="n">
        <x:f>(L153+M153)/D153-1</x:f>
        <x:v>0.3209500609013398</x:v>
      </x:c>
      <x:c r="P153" s="25" t="str">
        <x:f>IF(Q153&gt;=3,(1+O153)^(1/Q153)-1,"")</x:f>
      </x:c>
      <x:c r="Q153" s="11" t="n">
        <x:v>0.5</x:v>
      </x:c>
      <x:c r="R153" s="11" t="n">
        <x:v>591</x:v>
      </x:c>
      <x:c r="T153" t="str">
        <x:v>USD</x:v>
      </x:c>
    </x:row>
    <x:row r="154" ht="23" customHeight="1">
      <x:c r="A154" s="11" t="str">
        <x:v>00992.HK</x:v>
      </x:c>
      <x:c r="B154" s="11" t="str">
        <x:v>联想集团</x:v>
      </x:c>
      <x:c r="C154" s="11" t="str">
        <x:v>一年</x:v>
      </x:c>
      <x:c r="D154" s="11" t="n">
        <x:v>32.84</x:v>
      </x:c>
      <x:c r="E154" s="11" t="str">
        <x:v>经营盈利桥</x:v>
      </x:c>
      <x:c r="F154" s="23" t="n">
        <x:f>'假设'!I595</x:f>
        <x:v>0</x:v>
      </x:c>
      <x:c r="G154" s="24" t="n">
        <x:f>'假设'!J595</x:f>
        <x:v>0</x:v>
      </x:c>
      <x:c r="H154" s="23" t="str">
        <x:f>'假设'!K595</x:f>
      </x:c>
      <x:c r="I154" s="23" t="n">
        <x:f>'经营桥'!M24</x:f>
        <x:v>0.40122</x:v>
      </x:c>
      <x:c r="J154" s="23" t="n">
        <x:f>'假设'!F595</x:f>
        <x:v>19</x:v>
      </x:c>
      <x:c r="K154" s="23" t="n">
        <x:f>'假设'!G595</x:f>
        <x:v>7.8</x:v>
      </x:c>
      <x:c r="L154" s="23" t="n">
        <x:f>ROUND(ROUND(I154*J154*K154-'经营假设'!M75/'经营假设'!J75*K154,2),2)</x:f>
        <x:v>59.46</x:v>
      </x:c>
      <x:c r="M154" s="23" t="n">
        <x:f>'假设'!H595</x:f>
        <x:v>0.55</x:v>
      </x:c>
      <x:c r="N154" s="25" t="n">
        <x:f>L154/D154-1</x:f>
        <x:v>0.8105968331303286</x:v>
      </x:c>
      <x:c r="O154" s="25" t="n">
        <x:f>(L154+M154)/D154-1</x:f>
        <x:v>0.8273447015834345</x:v>
      </x:c>
      <x:c r="P154" s="25" t="str">
        <x:f>IF(Q154&gt;=3,(1+O154)^(1/Q154)-1,"")</x:f>
      </x:c>
      <x:c r="Q154" s="11" t="n">
        <x:v>1</x:v>
      </x:c>
      <x:c r="R154" s="11" t="n">
        <x:v>595</x:v>
      </x:c>
      <x:c r="T154" t="str">
        <x:v>USD</x:v>
      </x:c>
    </x:row>
    <x:row r="155" ht="23" customHeight="1">
      <x:c r="A155" s="11" t="str">
        <x:v>00992.HK</x:v>
      </x:c>
      <x:c r="B155" s="11" t="str">
        <x:v>联想集团</x:v>
      </x:c>
      <x:c r="C155" s="11" t="str">
        <x:v>三年</x:v>
      </x:c>
      <x:c r="D155" s="11" t="n">
        <x:v>32.84</x:v>
      </x:c>
      <x:c r="E155" s="11" t="str">
        <x:v>经营盈利桥</x:v>
      </x:c>
      <x:c r="F155" s="23" t="n">
        <x:f>'假设'!I599</x:f>
        <x:v>0</x:v>
      </x:c>
      <x:c r="G155" s="24" t="n">
        <x:f>'假设'!J599</x:f>
        <x:v>0</x:v>
      </x:c>
      <x:c r="H155" s="23" t="str">
        <x:f>'假设'!K599</x:f>
      </x:c>
      <x:c r="I155" s="23" t="n">
        <x:f>'经营桥'!M25</x:f>
        <x:v>0.50241</x:v>
      </x:c>
      <x:c r="J155" s="23" t="n">
        <x:f>'假设'!F599</x:f>
        <x:v>20</x:v>
      </x:c>
      <x:c r="K155" s="23" t="n">
        <x:f>'假设'!G599</x:f>
        <x:v>7.8</x:v>
      </x:c>
      <x:c r="L155" s="23" t="n">
        <x:f>ROUND(ROUND(I155*J155*K155-'经营假设'!M79/'经营假设'!J79*K155,2),2)</x:f>
        <x:v>78.38</x:v>
      </x:c>
      <x:c r="M155" s="23" t="n">
        <x:f>'假设'!H599</x:f>
        <x:v>2.4</x:v>
      </x:c>
      <x:c r="N155" s="25" t="n">
        <x:f>L155/D155-1</x:f>
        <x:v>1.3867235079171736</x:v>
      </x:c>
      <x:c r="O155" s="25" t="n">
        <x:f>(L155+M155)/D155-1</x:f>
        <x:v>1.4598051157125456</x:v>
      </x:c>
      <x:c r="P155" s="25" t="n">
        <x:f>IF(Q155&gt;=3,(1+O155)^(1/Q155)-1,"")</x:f>
        <x:v>0.3498957607145994</x:v>
      </x:c>
      <x:c r="Q155" s="11" t="n">
        <x:v>3</x:v>
      </x:c>
      <x:c r="R155" s="11" t="n">
        <x:v>599</x:v>
      </x:c>
      <x:c r="T155" t="str">
        <x:v>USD</x:v>
      </x:c>
    </x:row>
    <x:row r="156" ht="23" customHeight="1">
      <x:c r="A156" s="11" t="str">
        <x:v>00992.HK</x:v>
      </x:c>
      <x:c r="B156" s="11" t="str">
        <x:v>联想集团</x:v>
      </x:c>
      <x:c r="C156" s="11" t="str">
        <x:v>五年</x:v>
      </x:c>
      <x:c r="D156" s="11" t="n">
        <x:v>32.84</x:v>
      </x:c>
      <x:c r="E156" s="11" t="str">
        <x:v>经营盈利桥</x:v>
      </x:c>
      <x:c r="F156" s="23" t="n">
        <x:f>'假设'!I603</x:f>
        <x:v>0</x:v>
      </x:c>
      <x:c r="G156" s="24" t="n">
        <x:f>'假设'!J603</x:f>
        <x:v>0</x:v>
      </x:c>
      <x:c r="H156" s="23" t="str">
        <x:f>'假设'!K603</x:f>
      </x:c>
      <x:c r="I156" s="23" t="n">
        <x:f>'经营桥'!M26</x:f>
        <x:v>0.643432</x:v>
      </x:c>
      <x:c r="J156" s="23" t="n">
        <x:f>'假设'!F603</x:f>
        <x:v>20</x:v>
      </x:c>
      <x:c r="K156" s="23" t="n">
        <x:f>'假设'!G603</x:f>
        <x:v>7.8</x:v>
      </x:c>
      <x:c r="L156" s="23" t="n">
        <x:f>ROUND(ROUND(I156*J156*K156-'经营假设'!M83/'经营假设'!J83*K156,2),2)</x:f>
        <x:v>100.38</x:v>
      </x:c>
      <x:c r="M156" s="23" t="n">
        <x:f>'假设'!H603</x:f>
        <x:v>4.7</x:v>
      </x:c>
      <x:c r="N156" s="25" t="n">
        <x:f>L156/D156-1</x:f>
        <x:v>2.0566382460414125</x:v>
      </x:c>
      <x:c r="O156" s="25" t="n">
        <x:f>(L156+M156)/D156-1</x:f>
        <x:v>2.1997563946406817</x:v>
      </x:c>
      <x:c r="P156" s="25" t="n">
        <x:f>IF(Q156&gt;=3,(1+O156)^(1/Q156)-1,"")</x:f>
        <x:v>0.2618954753014817</x:v>
      </x:c>
      <x:c r="Q156" s="11" t="n">
        <x:v>5</x:v>
      </x:c>
      <x:c r="R156" s="11" t="n">
        <x:v>603</x:v>
      </x:c>
      <x:c r="T156" t="str">
        <x:v>USD</x:v>
      </x:c>
    </x:row>
    <x:row r="157" ht="23" customHeight="1">
      <x:c r="A157" s="11" t="str">
        <x:v>01513.HK</x:v>
      </x:c>
      <x:c r="B157" s="11" t="str">
        <x:v>丽珠医药</x:v>
      </x:c>
      <x:c r="C157" s="11" t="str">
        <x:v>2026年底</x:v>
      </x:c>
      <x:c r="D157" s="11" t="n">
        <x:v>22.16</x:v>
      </x:c>
      <x:c r="E157" s="11" t="str">
        <x:v>EPS</x:v>
      </x:c>
      <x:c r="F157" s="23" t="n">
        <x:f>'假设'!I607</x:f>
        <x:v>0</x:v>
      </x:c>
      <x:c r="G157" s="24" t="n">
        <x:f>'假设'!J607</x:f>
        <x:v>0</x:v>
      </x:c>
      <x:c r="H157" s="23" t="str">
        <x:f>'假设'!K607</x:f>
      </x:c>
      <x:c r="I157" s="23" t="n">
        <x:f>IF(E157="收入利润率",F157*G157/H157,'假设'!E607)</x:f>
        <x:v>1.95</x:v>
      </x:c>
      <x:c r="J157" s="23" t="n">
        <x:f>'假设'!F607</x:f>
        <x:v>10.5</x:v>
      </x:c>
      <x:c r="K157" s="23" t="n">
        <x:f>'假设'!G607</x:f>
        <x:v>1.1</x:v>
      </x:c>
      <x:c r="L157" s="23" t="n">
        <x:f>I157*J157*K157</x:f>
        <x:v>22.5225</x:v>
      </x:c>
      <x:c r="M157" s="23" t="n">
        <x:f>'假设'!H607</x:f>
        <x:v>1.185</x:v>
      </x:c>
      <x:c r="N157" s="25" t="n">
        <x:f>L157/D157-1</x:f>
        <x:v>0.016358303249097483</x:v>
      </x:c>
      <x:c r="O157" s="25" t="n">
        <x:f>(L157+M157)/D157-1</x:f>
        <x:v>0.06983303249097461</x:v>
      </x:c>
      <x:c r="P157" s="25" t="str">
        <x:f>IF(Q157&gt;=3,(1+O157)^(1/Q157)-1,"")</x:f>
      </x:c>
      <x:c r="Q157" s="11" t="n">
        <x:v>0</x:v>
      </x:c>
      <x:c r="R157" s="11" t="n">
        <x:v>607</x:v>
      </x:c>
      <x:c r="T157" t="str">
        <x:v>CNY</x:v>
      </x:c>
    </x:row>
    <x:row r="158" ht="23" customHeight="1">
      <x:c r="A158" s="11" t="str">
        <x:v>01513.HK</x:v>
      </x:c>
      <x:c r="B158" s="11" t="str">
        <x:v>丽珠医药</x:v>
      </x:c>
      <x:c r="C158" s="11" t="str">
        <x:v>半年</x:v>
      </x:c>
      <x:c r="D158" s="11" t="n">
        <x:v>22.16</x:v>
      </x:c>
      <x:c r="E158" s="11" t="str">
        <x:v>EPS</x:v>
      </x:c>
      <x:c r="F158" s="23" t="n">
        <x:f>'假设'!I611</x:f>
        <x:v>0</x:v>
      </x:c>
      <x:c r="G158" s="24" t="n">
        <x:f>'假设'!J611</x:f>
        <x:v>0</x:v>
      </x:c>
      <x:c r="H158" s="23" t="str">
        <x:f>'假设'!K611</x:f>
      </x:c>
      <x:c r="I158" s="23" t="n">
        <x:f>IF(E158="收入利润率",F158*G158/H158,'假设'!E611)</x:f>
        <x:v>2.1</x:v>
      </x:c>
      <x:c r="J158" s="23" t="n">
        <x:f>'假设'!F611</x:f>
        <x:v>11.5</x:v>
      </x:c>
      <x:c r="K158" s="23" t="n">
        <x:f>'假设'!G611</x:f>
        <x:v>1.1</x:v>
      </x:c>
      <x:c r="L158" s="23" t="n">
        <x:f>I158*J158*K158</x:f>
        <x:v>26.565000000000005</x:v>
      </x:c>
      <x:c r="M158" s="23" t="n">
        <x:f>'假设'!H611</x:f>
        <x:v>1.185</x:v>
      </x:c>
      <x:c r="N158" s="25" t="n">
        <x:f>L158/D158-1</x:f>
        <x:v>0.1987815884476536</x:v>
      </x:c>
      <x:c r="O158" s="25" t="n">
        <x:f>(L158+M158)/D158-1</x:f>
        <x:v>0.25225631768953094</x:v>
      </x:c>
      <x:c r="P158" s="25" t="str">
        <x:f>IF(Q158&gt;=3,(1+O158)^(1/Q158)-1,"")</x:f>
      </x:c>
      <x:c r="Q158" s="11" t="n">
        <x:v>0.5</x:v>
      </x:c>
      <x:c r="R158" s="11" t="n">
        <x:v>611</x:v>
      </x:c>
      <x:c r="T158" t="str">
        <x:v>CNY</x:v>
      </x:c>
    </x:row>
    <x:row r="159" ht="23" customHeight="1">
      <x:c r="A159" s="11" t="str">
        <x:v>01513.HK</x:v>
      </x:c>
      <x:c r="B159" s="11" t="str">
        <x:v>丽珠医药</x:v>
      </x:c>
      <x:c r="C159" s="11" t="str">
        <x:v>一年</x:v>
      </x:c>
      <x:c r="D159" s="11" t="n">
        <x:v>22.16</x:v>
      </x:c>
      <x:c r="E159" s="11" t="str">
        <x:v>EPS</x:v>
      </x:c>
      <x:c r="F159" s="23" t="n">
        <x:f>'假设'!I615</x:f>
        <x:v>0</x:v>
      </x:c>
      <x:c r="G159" s="24" t="n">
        <x:f>'假设'!J615</x:f>
        <x:v>0</x:v>
      </x:c>
      <x:c r="H159" s="23" t="str">
        <x:f>'假设'!K615</x:f>
      </x:c>
      <x:c r="I159" s="23" t="n">
        <x:f>IF(E159="收入利润率",F159*G159/H159,'假设'!E615)</x:f>
        <x:v>2.3</x:v>
      </x:c>
      <x:c r="J159" s="23" t="n">
        <x:f>'假设'!F615</x:f>
        <x:v>12</x:v>
      </x:c>
      <x:c r="K159" s="23" t="n">
        <x:f>'假设'!G615</x:f>
        <x:v>1.1</x:v>
      </x:c>
      <x:c r="L159" s="23" t="n">
        <x:f>I159*J159*K159</x:f>
        <x:v>30.36</x:v>
      </x:c>
      <x:c r="M159" s="23" t="n">
        <x:f>'假设'!H615</x:f>
        <x:v>2.505</x:v>
      </x:c>
      <x:c r="N159" s="25" t="n">
        <x:f>L159/D159-1</x:f>
        <x:v>0.3700361010830324</x:v>
      </x:c>
      <x:c r="O159" s="25" t="n">
        <x:f>(L159+M159)/D159-1</x:f>
        <x:v>0.48307761732851984</x:v>
      </x:c>
      <x:c r="P159" s="25" t="str">
        <x:f>IF(Q159&gt;=3,(1+O159)^(1/Q159)-1,"")</x:f>
      </x:c>
      <x:c r="Q159" s="11" t="n">
        <x:v>1</x:v>
      </x:c>
      <x:c r="R159" s="11" t="n">
        <x:v>615</x:v>
      </x:c>
      <x:c r="T159" t="str">
        <x:v>CNY</x:v>
      </x:c>
    </x:row>
    <x:row r="160" ht="23" customHeight="1">
      <x:c r="A160" s="11" t="str">
        <x:v>01513.HK</x:v>
      </x:c>
      <x:c r="B160" s="11" t="str">
        <x:v>丽珠医药</x:v>
      </x:c>
      <x:c r="C160" s="11" t="str">
        <x:v>三年</x:v>
      </x:c>
      <x:c r="D160" s="11" t="n">
        <x:v>22.16</x:v>
      </x:c>
      <x:c r="E160" s="11" t="str">
        <x:v>EPS</x:v>
      </x:c>
      <x:c r="F160" s="23" t="n">
        <x:f>'假设'!I619</x:f>
        <x:v>0</x:v>
      </x:c>
      <x:c r="G160" s="24" t="n">
        <x:f>'假设'!J619</x:f>
        <x:v>0</x:v>
      </x:c>
      <x:c r="H160" s="23" t="str">
        <x:f>'假设'!K619</x:f>
      </x:c>
      <x:c r="I160" s="23" t="n">
        <x:f>IF(E160="收入利润率",F160*G160/H160,'假设'!E619)</x:f>
        <x:v>2.9</x:v>
      </x:c>
      <x:c r="J160" s="23" t="n">
        <x:f>'假设'!F619</x:f>
        <x:v>13</x:v>
      </x:c>
      <x:c r="K160" s="23" t="n">
        <x:f>'假设'!G619</x:f>
        <x:v>1.1</x:v>
      </x:c>
      <x:c r="L160" s="23" t="n">
        <x:f>I160*J160*K160</x:f>
        <x:v>41.47</x:v>
      </x:c>
      <x:c r="M160" s="23" t="n">
        <x:f>'假设'!H619</x:f>
        <x:v>5</x:v>
      </x:c>
      <x:c r="N160" s="25" t="n">
        <x:f>L160/D160-1</x:f>
        <x:v>0.8713898916967509</x:v>
      </x:c>
      <x:c r="O160" s="25" t="n">
        <x:f>(L160+M160)/D160-1</x:f>
        <x:v>1.0970216606498195</x:v>
      </x:c>
      <x:c r="P160" s="25" t="n">
        <x:f>IF(Q160&gt;=3,(1+O160)^(1/Q160)-1,"")</x:f>
        <x:v>0.2799734818419395</x:v>
      </x:c>
      <x:c r="Q160" s="11" t="n">
        <x:v>3</x:v>
      </x:c>
      <x:c r="R160" s="11" t="n">
        <x:v>619</x:v>
      </x:c>
      <x:c r="T160" t="str">
        <x:v>CNY</x:v>
      </x:c>
    </x:row>
    <x:row r="161" ht="23" customHeight="1">
      <x:c r="A161" s="11" t="str">
        <x:v>01513.HK</x:v>
      </x:c>
      <x:c r="B161" s="11" t="str">
        <x:v>丽珠医药</x:v>
      </x:c>
      <x:c r="C161" s="11" t="str">
        <x:v>五年</x:v>
      </x:c>
      <x:c r="D161" s="11" t="n">
        <x:v>22.16</x:v>
      </x:c>
      <x:c r="E161" s="11" t="str">
        <x:v>EPS</x:v>
      </x:c>
      <x:c r="F161" s="23" t="n">
        <x:f>'假设'!I623</x:f>
        <x:v>0</x:v>
      </x:c>
      <x:c r="G161" s="24" t="n">
        <x:f>'假设'!J623</x:f>
        <x:v>0</x:v>
      </x:c>
      <x:c r="H161" s="23" t="str">
        <x:f>'假设'!K623</x:f>
      </x:c>
      <x:c r="I161" s="23" t="n">
        <x:f>IF(E161="收入利润率",F161*G161/H161,'假设'!E623)</x:f>
        <x:v>3.6</x:v>
      </x:c>
      <x:c r="J161" s="23" t="n">
        <x:f>'假设'!F623</x:f>
        <x:v>12</x:v>
      </x:c>
      <x:c r="K161" s="23" t="n">
        <x:f>'假设'!G623</x:f>
        <x:v>1.1</x:v>
      </x:c>
      <x:c r="L161" s="23" t="n">
        <x:f>I161*J161*K161</x:f>
        <x:v>47.52000000000001</x:v>
      </x:c>
      <x:c r="M161" s="23" t="n">
        <x:f>'假设'!H623</x:f>
        <x:v>9</x:v>
      </x:c>
      <x:c r="N161" s="25" t="n">
        <x:f>L161/D161-1</x:f>
        <x:v>1.1444043321299642</x:v>
      </x:c>
      <x:c r="O161" s="25" t="n">
        <x:f>(L161+M161)/D161-1</x:f>
        <x:v>1.5505415162454876</x:v>
      </x:c>
      <x:c r="P161" s="25" t="n">
        <x:f>IF(Q161&gt;=3,(1+O161)^(1/Q161)-1,"")</x:f>
        <x:v>0.20594216269116505</x:v>
      </x:c>
      <x:c r="Q161" s="11" t="n">
        <x:v>5</x:v>
      </x:c>
      <x:c r="R161" s="11" t="n">
        <x:v>623</x:v>
      </x:c>
      <x:c r="T161" t="str">
        <x:v>CNY</x:v>
      </x:c>
    </x:row>
    <x:row r="162" ht="23" customHeight="1">
      <x:c r="A162" s="11" t="str">
        <x:v>688062.SH</x:v>
      </x:c>
      <x:c r="B162" s="11" t="str">
        <x:v>迈威生物</x:v>
      </x:c>
      <x:c r="C162" s="11" t="str">
        <x:v>2026年底</x:v>
      </x:c>
      <x:c r="D162" s="11" t="n">
        <x:v>24.78</x:v>
      </x:c>
      <x:c r="E162" s="11" t="str">
        <x:v>分资产rNPV</x:v>
      </x:c>
      <x:c r="F162" s="23" t="n">
        <x:f>'假设'!I627</x:f>
        <x:v>0</x:v>
      </x:c>
      <x:c r="G162" s="24" t="n">
        <x:f>'假设'!J627</x:f>
        <x:v>0</x:v>
      </x:c>
      <x:c r="H162" s="23" t="n">
        <x:f>'假设'!K627</x:f>
        <x:v>0.46</x:v>
      </x:c>
      <x:c r="I162" s="23" t="n">
        <x:f>IF(E162="收入利润率",F162*G162/H162,'假设'!E627)</x:f>
        <x:v>0</x:v>
      </x:c>
      <x:c r="J162" s="23" t="n">
        <x:f>'假设'!F627</x:f>
        <x:v>0</x:v>
      </x:c>
      <x:c r="K162" s="23" t="n">
        <x:f>'假设'!G627</x:f>
        <x:v>1</x:v>
      </x:c>
      <x:c r="L162" s="23" t="n">
        <x:f>D162+(U162-D162)*'假设'!U627</x:f>
        <x:v>17.996004449743364</x:v>
      </x:c>
      <x:c r="M162" s="23" t="n">
        <x:f>'假设'!H627</x:f>
        <x:v>0</x:v>
      </x:c>
      <x:c r="N162" s="25" t="n">
        <x:f>L162/D162-1</x:f>
        <x:v>-0.2737689891144729</x:v>
      </x:c>
      <x:c r="O162" s="25" t="n">
        <x:f>(L162+M162)/D162-1</x:f>
        <x:v>-0.2737689891144729</x:v>
      </x:c>
      <x:c r="P162" s="25" t="str">
        <x:f>IF(Q162&gt;=3,(1+O162)^(1/Q162)-1,"")</x:f>
      </x:c>
      <x:c r="Q162" s="11" t="n">
        <x:v>0</x:v>
      </x:c>
      <x:c r="R162" s="11" t="n">
        <x:v>627</x:v>
      </x:c>
      <x:c r="S162" t="n">
        <x:f>'假设'!N627</x:f>
        <x:v>-1.6</x:v>
      </x:c>
      <x:c r="T162" t="str">
        <x:v>CNY</x:v>
      </x:c>
      <x:c r="U162" t="n">
        <x:f>MAX(0,(S162-'假设'!Q627)/H162*K162+'管线现金流'!AH32)</x:f>
        <x:v>5.397155570695322</x:v>
      </x:c>
    </x:row>
    <x:row r="163" ht="23" customHeight="1">
      <x:c r="A163" s="11" t="str">
        <x:v>688062.SH</x:v>
      </x:c>
      <x:c r="B163" s="11" t="str">
        <x:v>迈威生物</x:v>
      </x:c>
      <x:c r="C163" s="11" t="str">
        <x:v>半年</x:v>
      </x:c>
      <x:c r="D163" s="11" t="n">
        <x:v>24.78</x:v>
      </x:c>
      <x:c r="E163" s="11" t="str">
        <x:v>分资产rNPV</x:v>
      </x:c>
      <x:c r="F163" s="23" t="n">
        <x:f>'假设'!I631</x:f>
        <x:v>0</x:v>
      </x:c>
      <x:c r="G163" s="24" t="n">
        <x:f>'假设'!J631</x:f>
        <x:v>0</x:v>
      </x:c>
      <x:c r="H163" s="23" t="n">
        <x:f>'假设'!K631</x:f>
        <x:v>0.475</x:v>
      </x:c>
      <x:c r="I163" s="23" t="n">
        <x:f>IF(E163="收入利润率",F163*G163/H163,'假设'!E631)</x:f>
        <x:v>0</x:v>
      </x:c>
      <x:c r="J163" s="23" t="n">
        <x:f>'假设'!F631</x:f>
        <x:v>0</x:v>
      </x:c>
      <x:c r="K163" s="23" t="n">
        <x:f>'假设'!G631</x:f>
        <x:v>1</x:v>
      </x:c>
      <x:c r="L163" s="23" t="n">
        <x:f>D163+(U163-D163)*'假设'!U631</x:f>
        <x:v>12.82504902841254</x:v>
      </x:c>
      <x:c r="M163" s="23" t="n">
        <x:f>'假设'!H631</x:f>
        <x:v>0</x:v>
      </x:c>
      <x:c r="N163" s="25" t="n">
        <x:f>L163/D163-1</x:f>
        <x:v>-0.48244354203339224</x:v>
      </x:c>
      <x:c r="O163" s="25" t="n">
        <x:f>(L163+M163)/D163-1</x:f>
        <x:v>-0.48244354203339224</x:v>
      </x:c>
      <x:c r="P163" s="25" t="str">
        <x:f>IF(Q163&gt;=3,(1+O163)^(1/Q163)-1,"")</x:f>
      </x:c>
      <x:c r="Q163" s="11" t="n">
        <x:v>0.5</x:v>
      </x:c>
      <x:c r="R163" s="11" t="n">
        <x:v>631</x:v>
      </x:c>
      <x:c r="S163" t="n">
        <x:f>'假设'!N631</x:f>
        <x:v>-1.75</x:v>
      </x:c>
      <x:c r="T163" t="str">
        <x:v>CNY</x:v>
      </x:c>
      <x:c r="U163" t="n">
        <x:f>MAX(0,(S163-'假设'!Q631)/H163*K163+'管线现金流'!AH33)</x:f>
        <x:v>4.855081714020896</x:v>
      </x:c>
    </x:row>
    <x:row r="164" ht="23" customHeight="1">
      <x:c r="A164" s="11" t="str">
        <x:v>688062.SH</x:v>
      </x:c>
      <x:c r="B164" s="11" t="str">
        <x:v>迈威生物</x:v>
      </x:c>
      <x:c r="C164" s="11" t="str">
        <x:v>一年</x:v>
      </x:c>
      <x:c r="D164" s="11" t="n">
        <x:v>24.78</x:v>
      </x:c>
      <x:c r="E164" s="11" t="str">
        <x:v>分资产rNPV</x:v>
      </x:c>
      <x:c r="F164" s="23" t="n">
        <x:f>'假设'!I635</x:f>
        <x:v>0</x:v>
      </x:c>
      <x:c r="G164" s="24" t="n">
        <x:f>'假设'!J635</x:f>
        <x:v>0</x:v>
      </x:c>
      <x:c r="H164" s="23" t="n">
        <x:f>'假设'!K635</x:f>
        <x:v>0.49</x:v>
      </x:c>
      <x:c r="I164" s="23" t="n">
        <x:f>IF(E164="收入利润率",F164*G164/H164,'假设'!E635)</x:f>
        <x:v>0</x:v>
      </x:c>
      <x:c r="J164" s="23" t="n">
        <x:f>'假设'!F635</x:f>
        <x:v>0</x:v>
      </x:c>
      <x:c r="K164" s="23" t="n">
        <x:f>'假设'!G635</x:f>
        <x:v>1</x:v>
      </x:c>
      <x:c r="L164" s="23" t="n">
        <x:f>D164+(U164-D164)*'假设'!U635</x:f>
        <x:v>8.930579375332558</x:v>
      </x:c>
      <x:c r="M164" s="23" t="n">
        <x:f>'假设'!H635</x:f>
        <x:v>0</x:v>
      </x:c>
      <x:c r="N164" s="25" t="n">
        <x:f>L164/D164-1</x:f>
        <x:v>-0.6396053520850461</x:v>
      </x:c>
      <x:c r="O164" s="25" t="n">
        <x:f>(L164+M164)/D164-1</x:f>
        <x:v>-0.6396053520850461</x:v>
      </x:c>
      <x:c r="P164" s="25" t="str">
        <x:f>IF(Q164&gt;=3,(1+O164)^(1/Q164)-1,"")</x:f>
      </x:c>
      <x:c r="Q164" s="11" t="n">
        <x:v>1</x:v>
      </x:c>
      <x:c r="R164" s="11" t="n">
        <x:v>635</x:v>
      </x:c>
      <x:c r="S164" t="n">
        <x:f>'假设'!N635</x:f>
        <x:v>-1.9</x:v>
      </x:c>
      <x:c r="T164" t="str">
        <x:v>CNY</x:v>
      </x:c>
      <x:c r="U164" t="n">
        <x:f>MAX(0,(S164-'假设'!Q635)/H164*K164+'管线现金流'!AH34)</x:f>
        <x:v>6.1336227945088915</x:v>
      </x:c>
    </x:row>
    <x:row r="165" ht="23" customHeight="1">
      <x:c r="A165" s="11" t="str">
        <x:v>688062.SH</x:v>
      </x:c>
      <x:c r="B165" s="11" t="str">
        <x:v>迈威生物</x:v>
      </x:c>
      <x:c r="C165" s="11" t="str">
        <x:v>三年</x:v>
      </x:c>
      <x:c r="D165" s="11" t="n">
        <x:v>24.78</x:v>
      </x:c>
      <x:c r="E165" s="11" t="str">
        <x:v>分资产rNPV</x:v>
      </x:c>
      <x:c r="F165" s="23" t="n">
        <x:f>'假设'!I639</x:f>
        <x:v>0</x:v>
      </x:c>
      <x:c r="G165" s="24" t="n">
        <x:f>'假设'!J639</x:f>
        <x:v>0</x:v>
      </x:c>
      <x:c r="H165" s="23" t="n">
        <x:f>'假设'!K639</x:f>
        <x:v>0.55</x:v>
      </x:c>
      <x:c r="I165" s="23" t="n">
        <x:f>IF(E165="收入利润率",F165*G165/H165,'假设'!E639)</x:f>
        <x:v>0</x:v>
      </x:c>
      <x:c r="J165" s="23" t="n">
        <x:f>'假设'!F639</x:f>
        <x:v>0</x:v>
      </x:c>
      <x:c r="K165" s="23" t="n">
        <x:f>'假设'!G639</x:f>
        <x:v>1</x:v>
      </x:c>
      <x:c r="L165" s="23" t="n">
        <x:f>D165+(U165-D165)*'假设'!U639</x:f>
        <x:v>13.036530492445527</x:v>
      </x:c>
      <x:c r="M165" s="23" t="n">
        <x:f>'假设'!H639</x:f>
        <x:v>0</x:v>
      </x:c>
      <x:c r="N165" s="25" t="n">
        <x:f>L165/D165-1</x:f>
        <x:v>-0.47390918109582214</x:v>
      </x:c>
      <x:c r="O165" s="25" t="n">
        <x:f>(L165+M165)/D165-1</x:f>
        <x:v>-0.47390918109582214</x:v>
      </x:c>
      <x:c r="P165" s="25" t="n">
        <x:f>IF(Q165&gt;=3,(1+O165)^(1/Q165)-1,"")</x:f>
        <x:v>-0.19272734652594736</x:v>
      </x:c>
      <x:c r="Q165" s="11" t="n">
        <x:v>3</x:v>
      </x:c>
      <x:c r="R165" s="11" t="n">
        <x:v>639</x:v>
      </x:c>
      <x:c r="S165" t="n">
        <x:f>'假设'!N639</x:f>
        <x:v>-1.6</x:v>
      </x:c>
      <x:c r="T165" t="str">
        <x:v>CNY</x:v>
      </x:c>
      <x:c r="U165" t="n">
        <x:f>MAX(0,(S165-'假设'!Q639)/H165*K165+'管线现金流'!AH35)</x:f>
        <x:v>13.036530492445527</x:v>
      </x:c>
    </x:row>
    <x:row r="166" ht="23" customHeight="1">
      <x:c r="A166" s="11" t="str">
        <x:v>688062.SH</x:v>
      </x:c>
      <x:c r="B166" s="11" t="str">
        <x:v>迈威生物</x:v>
      </x:c>
      <x:c r="C166" s="11" t="str">
        <x:v>五年</x:v>
      </x:c>
      <x:c r="D166" s="11" t="n">
        <x:v>24.78</x:v>
      </x:c>
      <x:c r="E166" s="11" t="str">
        <x:v>分资产rNPV</x:v>
      </x:c>
      <x:c r="F166" s="23" t="n">
        <x:f>'假设'!I643</x:f>
        <x:v>0</x:v>
      </x:c>
      <x:c r="G166" s="24" t="n">
        <x:f>'假设'!J643</x:f>
        <x:v>0</x:v>
      </x:c>
      <x:c r="H166" s="23" t="n">
        <x:f>'假设'!K643</x:f>
        <x:v>0.61</x:v>
      </x:c>
      <x:c r="I166" s="23" t="n">
        <x:f>IF(E166="收入利润率",F166*G166/H166,'假设'!E643)</x:f>
        <x:v>0</x:v>
      </x:c>
      <x:c r="J166" s="23" t="n">
        <x:f>'假设'!F643</x:f>
        <x:v>0</x:v>
      </x:c>
      <x:c r="K166" s="23" t="n">
        <x:f>'假设'!G643</x:f>
        <x:v>1</x:v>
      </x:c>
      <x:c r="L166" s="23" t="n">
        <x:f>D166+(U166-D166)*'假设'!U643</x:f>
        <x:v>18.94953213644365</x:v>
      </x:c>
      <x:c r="M166" s="23" t="n">
        <x:f>'假设'!H643</x:f>
        <x:v>0</x:v>
      </x:c>
      <x:c r="N166" s="25" t="n">
        <x:f>L166/D166-1</x:f>
        <x:v>-0.23528926003052264</x:v>
      </x:c>
      <x:c r="O166" s="25" t="n">
        <x:f>(L166+M166)/D166-1</x:f>
        <x:v>-0.23528926003052264</x:v>
      </x:c>
      <x:c r="P166" s="25" t="n">
        <x:f>IF(Q166&gt;=3,(1+O166)^(1/Q166)-1,"")</x:f>
        <x:v>-0.052237681334340924</x:v>
      </x:c>
      <x:c r="Q166" s="11" t="n">
        <x:v>5</x:v>
      </x:c>
      <x:c r="R166" s="11" t="n">
        <x:v>643</x:v>
      </x:c>
      <x:c r="S166" t="n">
        <x:f>'假设'!N643</x:f>
        <x:v>-0.8</x:v>
      </x:c>
      <x:c r="T166" t="str">
        <x:v>CNY</x:v>
      </x:c>
      <x:c r="U166" t="n">
        <x:f>MAX(0,(S166-'假设'!Q643)/H166*K166+'管线现金流'!AH36)</x:f>
        <x:v>18.94953213644365</x:v>
      </x:c>
    </x:row>
    <x:row r="167" ht="23" customHeight="1">
      <x:c r="A167" s="11" t="str">
        <x:v>688202.SH</x:v>
      </x:c>
      <x:c r="B167" s="11" t="str">
        <x:v>美迪西</x:v>
      </x:c>
      <x:c r="C167" s="11" t="str">
        <x:v>2026年底</x:v>
      </x:c>
      <x:c r="D167" s="11" t="n">
        <x:v>104</x:v>
      </x:c>
      <x:c r="E167" s="11" t="str">
        <x:v>EPS</x:v>
      </x:c>
      <x:c r="F167" s="23" t="n">
        <x:f>'假设'!I647</x:f>
        <x:v>0</x:v>
      </x:c>
      <x:c r="G167" s="24" t="n">
        <x:f>'假设'!J647</x:f>
        <x:v>0</x:v>
      </x:c>
      <x:c r="H167" s="23" t="str">
        <x:f>'假设'!K647</x:f>
      </x:c>
      <x:c r="I167" s="23" t="n">
        <x:f>IF(E167="收入利润率",F167*G167/H167,'假设'!E647)</x:f>
        <x:v>1.2</x:v>
      </x:c>
      <x:c r="J167" s="23" t="n">
        <x:f>'假设'!F647</x:f>
        <x:v>50</x:v>
      </x:c>
      <x:c r="K167" s="23" t="n">
        <x:f>'假设'!G647</x:f>
        <x:v>1</x:v>
      </x:c>
      <x:c r="L167" s="23" t="n">
        <x:f>I167*J167*K167</x:f>
        <x:v>60</x:v>
      </x:c>
      <x:c r="M167" s="23" t="n">
        <x:f>'假设'!H647</x:f>
        <x:v>0</x:v>
      </x:c>
      <x:c r="N167" s="25" t="n">
        <x:f>L167/D167-1</x:f>
        <x:v>-0.42307692307692313</x:v>
      </x:c>
      <x:c r="O167" s="25" t="n">
        <x:f>(L167+M167)/D167-1</x:f>
        <x:v>-0.42307692307692313</x:v>
      </x:c>
      <x:c r="P167" s="25" t="str">
        <x:f>IF(Q167&gt;=3,(1+O167)^(1/Q167)-1,"")</x:f>
      </x:c>
      <x:c r="Q167" s="11" t="n">
        <x:v>0</x:v>
      </x:c>
      <x:c r="R167" s="11" t="n">
        <x:v>647</x:v>
      </x:c>
      <x:c r="T167" t="str">
        <x:v>CNY</x:v>
      </x:c>
    </x:row>
    <x:row r="168" ht="23" customHeight="1">
      <x:c r="A168" s="11" t="str">
        <x:v>688202.SH</x:v>
      </x:c>
      <x:c r="B168" s="11" t="str">
        <x:v>美迪西</x:v>
      </x:c>
      <x:c r="C168" s="11" t="str">
        <x:v>半年</x:v>
      </x:c>
      <x:c r="D168" s="11" t="n">
        <x:v>104</x:v>
      </x:c>
      <x:c r="E168" s="11" t="str">
        <x:v>EPS</x:v>
      </x:c>
      <x:c r="F168" s="23" t="n">
        <x:f>'假设'!I651</x:f>
        <x:v>0</x:v>
      </x:c>
      <x:c r="G168" s="24" t="n">
        <x:f>'假设'!J651</x:f>
        <x:v>0</x:v>
      </x:c>
      <x:c r="H168" s="23" t="str">
        <x:f>'假设'!K651</x:f>
      </x:c>
      <x:c r="I168" s="23" t="n">
        <x:f>IF(E168="收入利润率",F168*G168/H168,'假设'!E651)</x:f>
        <x:v>1.6</x:v>
      </x:c>
      <x:c r="J168" s="23" t="n">
        <x:f>'假设'!F651</x:f>
        <x:v>45</x:v>
      </x:c>
      <x:c r="K168" s="23" t="n">
        <x:f>'假设'!G651</x:f>
        <x:v>1</x:v>
      </x:c>
      <x:c r="L168" s="23" t="n">
        <x:f>I168*J168*K168</x:f>
        <x:v>72</x:v>
      </x:c>
      <x:c r="M168" s="23" t="n">
        <x:f>'假设'!H651</x:f>
        <x:v>0</x:v>
      </x:c>
      <x:c r="N168" s="25" t="n">
        <x:f>L168/D168-1</x:f>
        <x:v>-0.3076923076923077</x:v>
      </x:c>
      <x:c r="O168" s="25" t="n">
        <x:f>(L168+M168)/D168-1</x:f>
        <x:v>-0.3076923076923077</x:v>
      </x:c>
      <x:c r="P168" s="25" t="str">
        <x:f>IF(Q168&gt;=3,(1+O168)^(1/Q168)-1,"")</x:f>
      </x:c>
      <x:c r="Q168" s="11" t="n">
        <x:v>0.5</x:v>
      </x:c>
      <x:c r="R168" s="11" t="n">
        <x:v>651</x:v>
      </x:c>
      <x:c r="T168" t="str">
        <x:v>CNY</x:v>
      </x:c>
    </x:row>
    <x:row r="169" ht="23" customHeight="1">
      <x:c r="A169" s="11" t="str">
        <x:v>688202.SH</x:v>
      </x:c>
      <x:c r="B169" s="11" t="str">
        <x:v>美迪西</x:v>
      </x:c>
      <x:c r="C169" s="11" t="str">
        <x:v>一年</x:v>
      </x:c>
      <x:c r="D169" s="11" t="n">
        <x:v>104</x:v>
      </x:c>
      <x:c r="E169" s="11" t="str">
        <x:v>EPS</x:v>
      </x:c>
      <x:c r="F169" s="23" t="n">
        <x:f>'假设'!I655</x:f>
        <x:v>0</x:v>
      </x:c>
      <x:c r="G169" s="24" t="n">
        <x:f>'假设'!J655</x:f>
        <x:v>0</x:v>
      </x:c>
      <x:c r="H169" s="23" t="str">
        <x:f>'假设'!K655</x:f>
      </x:c>
      <x:c r="I169" s="23" t="n">
        <x:f>IF(E169="收入利润率",F169*G169/H169,'假设'!E655)</x:f>
        <x:v>2.1</x:v>
      </x:c>
      <x:c r="J169" s="23" t="n">
        <x:f>'假设'!F655</x:f>
        <x:v>38</x:v>
      </x:c>
      <x:c r="K169" s="23" t="n">
        <x:f>'假设'!G655</x:f>
        <x:v>1</x:v>
      </x:c>
      <x:c r="L169" s="23" t="n">
        <x:f>I169*J169*K169</x:f>
        <x:v>79.8</x:v>
      </x:c>
      <x:c r="M169" s="23" t="n">
        <x:f>'假设'!H655</x:f>
        <x:v>0.1</x:v>
      </x:c>
      <x:c r="N169" s="25" t="n">
        <x:f>L169/D169-1</x:f>
        <x:v>-0.23269230769230775</x:v>
      </x:c>
      <x:c r="O169" s="25" t="n">
        <x:f>(L169+M169)/D169-1</x:f>
        <x:v>-0.2317307692307693</x:v>
      </x:c>
      <x:c r="P169" s="25" t="str">
        <x:f>IF(Q169&gt;=3,(1+O169)^(1/Q169)-1,"")</x:f>
      </x:c>
      <x:c r="Q169" s="11" t="n">
        <x:v>1</x:v>
      </x:c>
      <x:c r="R169" s="11" t="n">
        <x:v>655</x:v>
      </x:c>
      <x:c r="T169" t="str">
        <x:v>CNY</x:v>
      </x:c>
    </x:row>
    <x:row r="170" ht="23" customHeight="1">
      <x:c r="A170" s="11" t="str">
        <x:v>688202.SH</x:v>
      </x:c>
      <x:c r="B170" s="11" t="str">
        <x:v>美迪西</x:v>
      </x:c>
      <x:c r="C170" s="11" t="str">
        <x:v>三年</x:v>
      </x:c>
      <x:c r="D170" s="11" t="n">
        <x:v>104</x:v>
      </x:c>
      <x:c r="E170" s="11" t="str">
        <x:v>EPS</x:v>
      </x:c>
      <x:c r="F170" s="23" t="n">
        <x:f>'假设'!I659</x:f>
        <x:v>0</x:v>
      </x:c>
      <x:c r="G170" s="24" t="n">
        <x:f>'假设'!J659</x:f>
        <x:v>0</x:v>
      </x:c>
      <x:c r="H170" s="23" t="str">
        <x:f>'假设'!K659</x:f>
      </x:c>
      <x:c r="I170" s="23" t="n">
        <x:f>IF(E170="收入利润率",F170*G170/H170,'假设'!E659)</x:f>
        <x:v>4</x:v>
      </x:c>
      <x:c r="J170" s="23" t="n">
        <x:f>'假设'!F659</x:f>
        <x:v>32</x:v>
      </x:c>
      <x:c r="K170" s="23" t="n">
        <x:f>'假设'!G659</x:f>
        <x:v>1</x:v>
      </x:c>
      <x:c r="L170" s="23" t="n">
        <x:f>I170*J170*K170</x:f>
        <x:v>128</x:v>
      </x:c>
      <x:c r="M170" s="23" t="n">
        <x:f>'假设'!H659</x:f>
        <x:v>0.8</x:v>
      </x:c>
      <x:c r="N170" s="25" t="n">
        <x:f>L170/D170-1</x:f>
        <x:v>0.23076923076923084</x:v>
      </x:c>
      <x:c r="O170" s="25" t="n">
        <x:f>(L170+M170)/D170-1</x:f>
        <x:v>0.2384615384615385</x:v>
      </x:c>
      <x:c r="P170" s="25" t="n">
        <x:f>IF(Q170&gt;=3,(1+O170)^(1/Q170)-1,"")</x:f>
        <x:v>0.07389257897671331</x:v>
      </x:c>
      <x:c r="Q170" s="11" t="n">
        <x:v>3</x:v>
      </x:c>
      <x:c r="R170" s="11" t="n">
        <x:v>659</x:v>
      </x:c>
      <x:c r="T170" t="str">
        <x:v>CNY</x:v>
      </x:c>
    </x:row>
    <x:row r="171" ht="23" customHeight="1">
      <x:c r="A171" s="11" t="str">
        <x:v>688202.SH</x:v>
      </x:c>
      <x:c r="B171" s="11" t="str">
        <x:v>美迪西</x:v>
      </x:c>
      <x:c r="C171" s="11" t="str">
        <x:v>五年</x:v>
      </x:c>
      <x:c r="D171" s="11" t="n">
        <x:v>104</x:v>
      </x:c>
      <x:c r="E171" s="11" t="str">
        <x:v>EPS</x:v>
      </x:c>
      <x:c r="F171" s="23" t="n">
        <x:f>'假设'!I663</x:f>
        <x:v>0</x:v>
      </x:c>
      <x:c r="G171" s="24" t="n">
        <x:f>'假设'!J663</x:f>
        <x:v>0</x:v>
      </x:c>
      <x:c r="H171" s="23" t="str">
        <x:f>'假设'!K663</x:f>
      </x:c>
      <x:c r="I171" s="23" t="n">
        <x:f>IF(E171="收入利润率",F171*G171/H171,'假设'!E663)</x:f>
        <x:v>5.5</x:v>
      </x:c>
      <x:c r="J171" s="23" t="n">
        <x:f>'假设'!F663</x:f>
        <x:v>28</x:v>
      </x:c>
      <x:c r="K171" s="23" t="n">
        <x:f>'假设'!G663</x:f>
        <x:v>1</x:v>
      </x:c>
      <x:c r="L171" s="23" t="n">
        <x:f>I171*J171*K171</x:f>
        <x:v>154</x:v>
      </x:c>
      <x:c r="M171" s="23" t="n">
        <x:f>'假设'!H663</x:f>
        <x:v>2</x:v>
      </x:c>
      <x:c r="N171" s="25" t="n">
        <x:f>L171/D171-1</x:f>
        <x:v>0.48076923076923084</x:v>
      </x:c>
      <x:c r="O171" s="25" t="n">
        <x:f>(L171+M171)/D171-1</x:f>
        <x:v>0.5</x:v>
      </x:c>
      <x:c r="P171" s="25" t="n">
        <x:f>IF(Q171&gt;=3,(1+O171)^(1/Q171)-1,"")</x:f>
        <x:v>0.08447177119769855</x:v>
      </x:c>
      <x:c r="Q171" s="11" t="n">
        <x:v>5</x:v>
      </x:c>
      <x:c r="R171" s="11" t="n">
        <x:v>663</x:v>
      </x:c>
      <x:c r="T171" t="str">
        <x:v>CNY</x:v>
      </x:c>
    </x:row>
    <x:row r="172" ht="23" customHeight="1">
      <x:c r="A172" s="11" t="str">
        <x:v>03690.HK</x:v>
      </x:c>
      <x:c r="B172" s="11" t="str">
        <x:v>美团-W</x:v>
      </x:c>
      <x:c r="C172" s="11" t="str">
        <x:v>2026年底</x:v>
      </x:c>
      <x:c r="D172" s="11" t="n">
        <x:v>71.5</x:v>
      </x:c>
      <x:c r="E172" s="11" t="str">
        <x:v>业务分拆桥</x:v>
      </x:c>
      <x:c r="F172" s="23" t="n">
        <x:f>'假设'!I667</x:f>
        <x:v>0</x:v>
      </x:c>
      <x:c r="G172" s="24" t="n">
        <x:f>'假设'!J667</x:f>
        <x:v>0</x:v>
      </x:c>
      <x:c r="H172" s="23" t="str">
        <x:f>'假设'!K667</x:f>
      </x:c>
      <x:c r="I172" s="23" t="n">
        <x:f>'业务分拆桥'!I12</x:f>
        <x:v>3.448</x:v>
      </x:c>
      <x:c r="J172" s="23" t="n">
        <x:f>'假设'!F667</x:f>
        <x:v>22</x:v>
      </x:c>
      <x:c r="K172" s="23" t="n">
        <x:f>'假设'!G667</x:f>
        <x:v>1.1</x:v>
      </x:c>
      <x:c r="L172" s="23" t="n">
        <x:f>'业务分拆桥'!P12</x:f>
        <x:v>99.37</x:v>
      </x:c>
      <x:c r="M172" s="23" t="n">
        <x:f>'假设'!H667</x:f>
        <x:v>0</x:v>
      </x:c>
      <x:c r="N172" s="25" t="n">
        <x:f>L172/D172-1</x:f>
        <x:v>0.38979020979020995</x:v>
      </x:c>
      <x:c r="O172" s="25" t="n">
        <x:f>(L172+M172)/D172-1</x:f>
        <x:v>0.38979020979020995</x:v>
      </x:c>
      <x:c r="P172" s="25" t="str">
        <x:f>IF(Q172&gt;=3,(1+O172)^(1/Q172)-1,"")</x:f>
      </x:c>
      <x:c r="Q172" s="11" t="n">
        <x:v>0</x:v>
      </x:c>
      <x:c r="R172" s="11" t="n">
        <x:v>667</x:v>
      </x:c>
      <x:c r="T172" t="str">
        <x:v>CNY</x:v>
      </x:c>
    </x:row>
    <x:row r="173" ht="23" customHeight="1">
      <x:c r="A173" s="11" t="str">
        <x:v>03690.HK</x:v>
      </x:c>
      <x:c r="B173" s="11" t="str">
        <x:v>美团-W</x:v>
      </x:c>
      <x:c r="C173" s="11" t="str">
        <x:v>半年</x:v>
      </x:c>
      <x:c r="D173" s="11" t="n">
        <x:v>71.5</x:v>
      </x:c>
      <x:c r="E173" s="11" t="str">
        <x:v>业务分拆桥</x:v>
      </x:c>
      <x:c r="F173" s="23" t="n">
        <x:f>'假设'!I671</x:f>
        <x:v>0</x:v>
      </x:c>
      <x:c r="G173" s="24" t="n">
        <x:f>'假设'!J671</x:f>
        <x:v>0</x:v>
      </x:c>
      <x:c r="H173" s="23" t="str">
        <x:f>'假设'!K671</x:f>
      </x:c>
      <x:c r="I173" s="23" t="n">
        <x:f>'业务分拆桥'!I13</x:f>
        <x:v>4.209</x:v>
      </x:c>
      <x:c r="J173" s="23" t="n">
        <x:f>'假设'!F671</x:f>
        <x:v>22</x:v>
      </x:c>
      <x:c r="K173" s="23" t="n">
        <x:f>'假设'!G671</x:f>
        <x:v>1.1</x:v>
      </x:c>
      <x:c r="L173" s="23" t="n">
        <x:f>'业务分拆桥'!P13</x:f>
        <x:v>119.45</x:v>
      </x:c>
      <x:c r="M173" s="23" t="n">
        <x:f>'假设'!H671</x:f>
        <x:v>0</x:v>
      </x:c>
      <x:c r="N173" s="25" t="n">
        <x:f>L173/D173-1</x:f>
        <x:v>0.6706293706293707</x:v>
      </x:c>
      <x:c r="O173" s="25" t="n">
        <x:f>(L173+M173)/D173-1</x:f>
        <x:v>0.6706293706293707</x:v>
      </x:c>
      <x:c r="P173" s="25" t="str">
        <x:f>IF(Q173&gt;=3,(1+O173)^(1/Q173)-1,"")</x:f>
      </x:c>
      <x:c r="Q173" s="11" t="n">
        <x:v>0.5</x:v>
      </x:c>
      <x:c r="R173" s="11" t="n">
        <x:v>671</x:v>
      </x:c>
      <x:c r="T173" t="str">
        <x:v>CNY</x:v>
      </x:c>
    </x:row>
    <x:row r="174" ht="23" customHeight="1">
      <x:c r="A174" s="11" t="str">
        <x:v>03690.HK</x:v>
      </x:c>
      <x:c r="B174" s="11" t="str">
        <x:v>美团-W</x:v>
      </x:c>
      <x:c r="C174" s="11" t="str">
        <x:v>一年</x:v>
      </x:c>
      <x:c r="D174" s="11" t="n">
        <x:v>71.5</x:v>
      </x:c>
      <x:c r="E174" s="11" t="str">
        <x:v>业务分拆桥</x:v>
      </x:c>
      <x:c r="F174" s="23" t="n">
        <x:f>'假设'!I675</x:f>
        <x:v>0</x:v>
      </x:c>
      <x:c r="G174" s="24" t="n">
        <x:f>'假设'!J675</x:f>
        <x:v>0</x:v>
      </x:c>
      <x:c r="H174" s="23" t="str">
        <x:f>'假设'!K675</x:f>
      </x:c>
      <x:c r="I174" s="23" t="n">
        <x:f>'业务分拆桥'!I14</x:f>
        <x:v>5.419</x:v>
      </x:c>
      <x:c r="J174" s="23" t="n">
        <x:f>'假设'!F675</x:f>
        <x:v>22</x:v>
      </x:c>
      <x:c r="K174" s="23" t="n">
        <x:f>'假设'!G675</x:f>
        <x:v>1.1</x:v>
      </x:c>
      <x:c r="L174" s="23" t="n">
        <x:f>'业务分拆桥'!P14</x:f>
        <x:v>182.15</x:v>
      </x:c>
      <x:c r="M174" s="23" t="n">
        <x:f>'假设'!H675</x:f>
        <x:v>0</x:v>
      </x:c>
      <x:c r="N174" s="25" t="n">
        <x:f>L174/D174-1</x:f>
        <x:v>1.5475524475524476</x:v>
      </x:c>
      <x:c r="O174" s="25" t="n">
        <x:f>(L174+M174)/D174-1</x:f>
        <x:v>1.5475524475524476</x:v>
      </x:c>
      <x:c r="P174" s="25" t="str">
        <x:f>IF(Q174&gt;=3,(1+O174)^(1/Q174)-1,"")</x:f>
      </x:c>
      <x:c r="Q174" s="11" t="n">
        <x:v>1</x:v>
      </x:c>
      <x:c r="R174" s="11" t="n">
        <x:v>675</x:v>
      </x:c>
      <x:c r="T174" t="str">
        <x:v>CNY</x:v>
      </x:c>
    </x:row>
    <x:row r="175" ht="23" customHeight="1">
      <x:c r="A175" s="11" t="str">
        <x:v>03690.HK</x:v>
      </x:c>
      <x:c r="B175" s="11" t="str">
        <x:v>美团-W</x:v>
      </x:c>
      <x:c r="C175" s="11" t="str">
        <x:v>三年</x:v>
      </x:c>
      <x:c r="D175" s="11" t="n">
        <x:v>71.5</x:v>
      </x:c>
      <x:c r="E175" s="11" t="str">
        <x:v>业务分拆桥</x:v>
      </x:c>
      <x:c r="F175" s="23" t="n">
        <x:f>'假设'!I679</x:f>
        <x:v>0</x:v>
      </x:c>
      <x:c r="G175" s="24" t="n">
        <x:f>'假设'!J679</x:f>
        <x:v>0</x:v>
      </x:c>
      <x:c r="H175" s="23" t="str">
        <x:f>'假设'!K679</x:f>
      </x:c>
      <x:c r="I175" s="23" t="n">
        <x:f>'业务分拆桥'!I15</x:f>
        <x:v>8.276</x:v>
      </x:c>
      <x:c r="J175" s="23" t="n">
        <x:f>'假设'!F679</x:f>
        <x:v>22</x:v>
      </x:c>
      <x:c r="K175" s="23" t="n">
        <x:f>'假设'!G679</x:f>
        <x:v>1.1</x:v>
      </x:c>
      <x:c r="L175" s="23" t="n">
        <x:f>'业务分拆桥'!P15</x:f>
        <x:v>237.21</x:v>
      </x:c>
      <x:c r="M175" s="23" t="n">
        <x:f>'假设'!H679</x:f>
        <x:v>0</x:v>
      </x:c>
      <x:c r="N175" s="25" t="n">
        <x:f>L175/D175-1</x:f>
        <x:v>2.317622377622378</x:v>
      </x:c>
      <x:c r="O175" s="25" t="n">
        <x:f>(L175+M175)/D175-1</x:f>
        <x:v>2.317622377622378</x:v>
      </x:c>
      <x:c r="P175" s="25" t="n">
        <x:f>IF(Q175&gt;=3,(1+O175)^(1/Q175)-1,"")</x:f>
        <x:v>0.49145098023834377</x:v>
      </x:c>
      <x:c r="Q175" s="11" t="n">
        <x:v>3</x:v>
      </x:c>
      <x:c r="R175" s="11" t="n">
        <x:v>679</x:v>
      </x:c>
      <x:c r="T175" t="str">
        <x:v>CNY</x:v>
      </x:c>
    </x:row>
    <x:row r="176" ht="23" customHeight="1">
      <x:c r="A176" s="11" t="str">
        <x:v>03690.HK</x:v>
      </x:c>
      <x:c r="B176" s="11" t="str">
        <x:v>美团-W</x:v>
      </x:c>
      <x:c r="C176" s="11" t="str">
        <x:v>五年</x:v>
      </x:c>
      <x:c r="D176" s="11" t="n">
        <x:v>71.5</x:v>
      </x:c>
      <x:c r="E176" s="11" t="str">
        <x:v>业务分拆桥</x:v>
      </x:c>
      <x:c r="F176" s="23" t="n">
        <x:f>'假设'!I683</x:f>
        <x:v>0</x:v>
      </x:c>
      <x:c r="G176" s="24" t="n">
        <x:f>'假设'!J683</x:f>
        <x:v>0</x:v>
      </x:c>
      <x:c r="H176" s="23" t="str">
        <x:f>'假设'!K683</x:f>
      </x:c>
      <x:c r="I176" s="23" t="n">
        <x:f>'业务分拆桥'!I16</x:f>
        <x:v>11.006</x:v>
      </x:c>
      <x:c r="J176" s="23" t="n">
        <x:f>'假设'!F683</x:f>
        <x:v>20</x:v>
      </x:c>
      <x:c r="K176" s="23" t="n">
        <x:f>'假设'!G683</x:f>
        <x:v>1.1</x:v>
      </x:c>
      <x:c r="L176" s="23" t="n">
        <x:f>'业务分拆桥'!P16</x:f>
        <x:v>294.79</x:v>
      </x:c>
      <x:c r="M176" s="23" t="n">
        <x:f>'假设'!H683</x:f>
        <x:v>0</x:v>
      </x:c>
      <x:c r="N176" s="25" t="n">
        <x:f>L176/D176-1</x:f>
        <x:v>3.122937062937063</x:v>
      </x:c>
      <x:c r="O176" s="25" t="n">
        <x:f>(L176+M176)/D176-1</x:f>
        <x:v>3.122937062937063</x:v>
      </x:c>
      <x:c r="P176" s="25" t="n">
        <x:f>IF(Q176&gt;=3,(1+O176)^(1/Q176)-1,"")</x:f>
        <x:v>0.3275208201601929</x:v>
      </x:c>
      <x:c r="Q176" s="11" t="n">
        <x:v>5</x:v>
      </x:c>
      <x:c r="R176" s="11" t="n">
        <x:v>683</x:v>
      </x:c>
      <x:c r="T176" t="str">
        <x:v>CNY</x:v>
      </x:c>
    </x:row>
    <x:row r="177" ht="23" customHeight="1">
      <x:c r="A177" s="11" t="str">
        <x:v>00300.HK</x:v>
      </x:c>
      <x:c r="B177" s="11" t="str">
        <x:v>美的集团</x:v>
      </x:c>
      <x:c r="C177" s="11" t="str">
        <x:v>2026年底</x:v>
      </x:c>
      <x:c r="D177" s="11" t="n">
        <x:v>93.65</x:v>
      </x:c>
      <x:c r="E177" s="11" t="str">
        <x:v>收入利润率</x:v>
      </x:c>
      <x:c r="F177" s="23" t="n">
        <x:f>'假设'!I687</x:f>
        <x:v>490</x:v>
      </x:c>
      <x:c r="G177" s="24" t="n">
        <x:f>'假设'!J687</x:f>
        <x:v>0.095</x:v>
      </x:c>
      <x:c r="H177" s="23" t="n">
        <x:f>'假设'!K687</x:f>
        <x:v>7.5</x:v>
      </x:c>
      <x:c r="I177" s="23" t="n">
        <x:f>IF(E177="收入利润率",F177*G177/H177,'假设'!E687)</x:f>
        <x:v>6.206666666666666</x:v>
      </x:c>
      <x:c r="J177" s="23" t="n">
        <x:f>'假设'!F687</x:f>
        <x:v>16</x:v>
      </x:c>
      <x:c r="K177" s="23" t="n">
        <x:f>'假设'!G687</x:f>
        <x:v>1.1</x:v>
      </x:c>
      <x:c r="L177" s="23" t="n">
        <x:f>ROUND(I177*J177*K177,2)</x:f>
        <x:v>109.24</x:v>
      </x:c>
      <x:c r="M177" s="23" t="n">
        <x:f>'假设'!H687</x:f>
        <x:v>0.55</x:v>
      </x:c>
      <x:c r="N177" s="25" t="n">
        <x:f>L177/D177-1</x:f>
        <x:v>0.166470902295782</x:v>
      </x:c>
      <x:c r="O177" s="25" t="n">
        <x:f>(L177+M177)/D177-1</x:f>
        <x:v>0.17234383342231707</x:v>
      </x:c>
      <x:c r="P177" s="25" t="str">
        <x:f>IF(Q177&gt;=3,(1+O177)^(1/Q177)-1,"")</x:f>
      </x:c>
      <x:c r="Q177" s="11" t="n">
        <x:v>0</x:v>
      </x:c>
      <x:c r="R177" s="11" t="n">
        <x:v>687</x:v>
      </x:c>
      <x:c r="T177" t="str">
        <x:v>CNY</x:v>
      </x:c>
    </x:row>
    <x:row r="178" ht="23" customHeight="1">
      <x:c r="A178" s="11" t="str">
        <x:v>00300.HK</x:v>
      </x:c>
      <x:c r="B178" s="11" t="str">
        <x:v>美的集团</x:v>
      </x:c>
      <x:c r="C178" s="11" t="str">
        <x:v>半年</x:v>
      </x:c>
      <x:c r="D178" s="11" t="n">
        <x:v>93.65</x:v>
      </x:c>
      <x:c r="E178" s="11" t="str">
        <x:v>收入利润率</x:v>
      </x:c>
      <x:c r="F178" s="23" t="n">
        <x:f>'假设'!I691</x:f>
        <x:v>505</x:v>
      </x:c>
      <x:c r="G178" s="24" t="n">
        <x:f>'假设'!J691</x:f>
        <x:v>0.097</x:v>
      </x:c>
      <x:c r="H178" s="23" t="n">
        <x:f>'假设'!K691</x:f>
        <x:v>7.48</x:v>
      </x:c>
      <x:c r="I178" s="23" t="n">
        <x:f>IF(E178="收入利润率",F178*G178/H178,'假设'!E691)</x:f>
        <x:v>6.548796791443849</x:v>
      </x:c>
      <x:c r="J178" s="23" t="n">
        <x:f>'假设'!F691</x:f>
        <x:v>16.5</x:v>
      </x:c>
      <x:c r="K178" s="23" t="n">
        <x:f>'假设'!G691</x:f>
        <x:v>1.1</x:v>
      </x:c>
      <x:c r="L178" s="23" t="n">
        <x:f>ROUND(I178*J178*K178,2)</x:f>
        <x:v>118.86</x:v>
      </x:c>
      <x:c r="M178" s="23" t="n">
        <x:f>'假设'!H691</x:f>
        <x:v>0.55</x:v>
      </x:c>
      <x:c r="N178" s="25" t="n">
        <x:f>L178/D178-1</x:f>
        <x:v>0.2691938067271755</x:v>
      </x:c>
      <x:c r="O178" s="25" t="n">
        <x:f>(L178+M178)/D178-1</x:f>
        <x:v>0.2750667378537106</x:v>
      </x:c>
      <x:c r="P178" s="25" t="str">
        <x:f>IF(Q178&gt;=3,(1+O178)^(1/Q178)-1,"")</x:f>
      </x:c>
      <x:c r="Q178" s="11" t="n">
        <x:v>0.5</x:v>
      </x:c>
      <x:c r="R178" s="11" t="n">
        <x:v>691</x:v>
      </x:c>
      <x:c r="T178" t="str">
        <x:v>CNY</x:v>
      </x:c>
    </x:row>
    <x:row r="179" ht="23" customHeight="1">
      <x:c r="A179" s="11" t="str">
        <x:v>00300.HK</x:v>
      </x:c>
      <x:c r="B179" s="11" t="str">
        <x:v>美的集团</x:v>
      </x:c>
      <x:c r="C179" s="11" t="str">
        <x:v>一年</x:v>
      </x:c>
      <x:c r="D179" s="11" t="n">
        <x:v>93.65</x:v>
      </x:c>
      <x:c r="E179" s="11" t="str">
        <x:v>收入利润率</x:v>
      </x:c>
      <x:c r="F179" s="23" t="n">
        <x:f>'假设'!I695</x:f>
        <x:v>530</x:v>
      </x:c>
      <x:c r="G179" s="24" t="n">
        <x:f>'假设'!J695</x:f>
        <x:v>0.099</x:v>
      </x:c>
      <x:c r="H179" s="23" t="n">
        <x:f>'假设'!K695</x:f>
        <x:v>7.44</x:v>
      </x:c>
      <x:c r="I179" s="23" t="n">
        <x:f>IF(E179="收入利润率",F179*G179/H179,'假设'!E695)</x:f>
        <x:v>7.05241935483871</x:v>
      </x:c>
      <x:c r="J179" s="23" t="n">
        <x:f>'假设'!F695</x:f>
        <x:v>17</x:v>
      </x:c>
      <x:c r="K179" s="23" t="n">
        <x:f>'假设'!G695</x:f>
        <x:v>1.1</x:v>
      </x:c>
      <x:c r="L179" s="23" t="n">
        <x:f>ROUND(I179*J179*K179,2)</x:f>
        <x:v>131.88</x:v>
      </x:c>
      <x:c r="M179" s="23" t="n">
        <x:f>'假设'!H695</x:f>
        <x:v>5.1</x:v>
      </x:c>
      <x:c r="N179" s="25" t="n">
        <x:f>L179/D179-1</x:f>
        <x:v>0.4082221035771487</x:v>
      </x:c>
      <x:c r="O179" s="25" t="n">
        <x:f>(L179+M179)/D179-1</x:f>
        <x:v>0.46268019220501855</x:v>
      </x:c>
      <x:c r="P179" s="25" t="str">
        <x:f>IF(Q179&gt;=3,(1+O179)^(1/Q179)-1,"")</x:f>
      </x:c>
      <x:c r="Q179" s="11" t="n">
        <x:v>1</x:v>
      </x:c>
      <x:c r="R179" s="11" t="n">
        <x:v>695</x:v>
      </x:c>
      <x:c r="T179" t="str">
        <x:v>CNY</x:v>
      </x:c>
    </x:row>
    <x:row r="180" ht="23" customHeight="1">
      <x:c r="A180" s="11" t="str">
        <x:v>00300.HK</x:v>
      </x:c>
      <x:c r="B180" s="11" t="str">
        <x:v>美的集团</x:v>
      </x:c>
      <x:c r="C180" s="11" t="str">
        <x:v>三年</x:v>
      </x:c>
      <x:c r="D180" s="11" t="n">
        <x:v>93.65</x:v>
      </x:c>
      <x:c r="E180" s="11" t="str">
        <x:v>收入利润率</x:v>
      </x:c>
      <x:c r="F180" s="23" t="n">
        <x:f>'假设'!I699</x:f>
        <x:v>620</x:v>
      </x:c>
      <x:c r="G180" s="24" t="n">
        <x:f>'假设'!J699</x:f>
        <x:v>0.102</x:v>
      </x:c>
      <x:c r="H180" s="23" t="n">
        <x:f>'假设'!K699</x:f>
        <x:v>7.3</x:v>
      </x:c>
      <x:c r="I180" s="23" t="n">
        <x:f>IF(E180="收入利润率",F180*G180/H180,'假设'!E699)</x:f>
        <x:v>8.663013698630136</x:v>
      </x:c>
      <x:c r="J180" s="23" t="n">
        <x:f>'假设'!F699</x:f>
        <x:v>18</x:v>
      </x:c>
      <x:c r="K180" s="23" t="n">
        <x:f>'假设'!G699</x:f>
        <x:v>1.1</x:v>
      </x:c>
      <x:c r="L180" s="23" t="n">
        <x:f>ROUND(I180*J180*K180,2)</x:f>
        <x:v>171.53</x:v>
      </x:c>
      <x:c r="M180" s="23" t="n">
        <x:f>'假设'!H699</x:f>
        <x:v>17</x:v>
      </x:c>
      <x:c r="N180" s="25" t="n">
        <x:f>L180/D180-1</x:f>
        <x:v>0.8316070475173518</x:v>
      </x:c>
      <x:c r="O180" s="25" t="n">
        <x:f>(L180+M180)/D180-1</x:f>
        <x:v>1.0131340096102508</x:v>
      </x:c>
      <x:c r="P180" s="25" t="n">
        <x:f>IF(Q180&gt;=3,(1+O180)^(1/Q180)-1,"")</x:f>
        <x:v>0.26267300382189496</x:v>
      </x:c>
      <x:c r="Q180" s="11" t="n">
        <x:v>3</x:v>
      </x:c>
      <x:c r="R180" s="11" t="n">
        <x:v>699</x:v>
      </x:c>
      <x:c r="T180" t="str">
        <x:v>CNY</x:v>
      </x:c>
    </x:row>
    <x:row r="181" ht="23" customHeight="1">
      <x:c r="A181" s="11" t="str">
        <x:v>00300.HK</x:v>
      </x:c>
      <x:c r="B181" s="11" t="str">
        <x:v>美的集团</x:v>
      </x:c>
      <x:c r="C181" s="11" t="str">
        <x:v>五年</x:v>
      </x:c>
      <x:c r="D181" s="11" t="n">
        <x:v>93.65</x:v>
      </x:c>
      <x:c r="E181" s="11" t="str">
        <x:v>收入利润率</x:v>
      </x:c>
      <x:c r="F181" s="23" t="n">
        <x:f>'假设'!I703</x:f>
        <x:v>725</x:v>
      </x:c>
      <x:c r="G181" s="24" t="n">
        <x:f>'假设'!J703</x:f>
        <x:v>0.105</x:v>
      </x:c>
      <x:c r="H181" s="23" t="n">
        <x:f>'假设'!K703</x:f>
        <x:v>7.1</x:v>
      </x:c>
      <x:c r="I181" s="23" t="n">
        <x:f>IF(E181="收入利润率",F181*G181/H181,'假设'!E703)</x:f>
        <x:v>10.721830985915494</x:v>
      </x:c>
      <x:c r="J181" s="23" t="n">
        <x:f>'假设'!F703</x:f>
        <x:v>18</x:v>
      </x:c>
      <x:c r="K181" s="23" t="n">
        <x:f>'假设'!G703</x:f>
        <x:v>1.1</x:v>
      </x:c>
      <x:c r="L181" s="23" t="n">
        <x:f>ROUND(I181*J181*K181,2)</x:f>
        <x:v>212.29</x:v>
      </x:c>
      <x:c r="M181" s="23" t="n">
        <x:f>'假设'!H703</x:f>
        <x:v>32</x:v>
      </x:c>
      <x:c r="N181" s="25" t="n">
        <x:f>L181/D181-1</x:f>
        <x:v>1.2668446342765614</x:v>
      </x:c>
      <x:c r="O181" s="25" t="n">
        <x:f>(L181+M181)/D181-1</x:f>
        <x:v>1.60854244527496</x:v>
      </x:c>
      <x:c r="P181" s="25" t="n">
        <x:f>IF(Q181&gt;=3,(1+O181)^(1/Q181)-1,"")</x:f>
        <x:v>0.21137771951428697</x:v>
      </x:c>
      <x:c r="Q181" s="11" t="n">
        <x:v>5</x:v>
      </x:c>
      <x:c r="R181" s="11" t="n">
        <x:v>703</x:v>
      </x:c>
      <x:c r="T181" t="str">
        <x:v>CNY</x:v>
      </x:c>
    </x:row>
    <x:row r="182" ht="23" customHeight="1">
      <x:c r="A182" s="11" t="str">
        <x:v>300760.SZ</x:v>
      </x:c>
      <x:c r="B182" s="11" t="str">
        <x:v>迈瑞医疗</x:v>
      </x:c>
      <x:c r="C182" s="11" t="str">
        <x:v>2026年底</x:v>
      </x:c>
      <x:c r="D182" s="11" t="n">
        <x:v>161.4</x:v>
      </x:c>
      <x:c r="E182" s="11" t="str">
        <x:v>EPS</x:v>
      </x:c>
      <x:c r="F182" s="23" t="n">
        <x:f>'假设'!I707</x:f>
        <x:v>0</x:v>
      </x:c>
      <x:c r="G182" s="24" t="n">
        <x:f>'假设'!J707</x:f>
        <x:v>0</x:v>
      </x:c>
      <x:c r="H182" s="23" t="str">
        <x:f>'假设'!K707</x:f>
      </x:c>
      <x:c r="I182" s="23" t="n">
        <x:f>IF(E182="收入利润率",F182*G182/H182,'假设'!E707)</x:f>
        <x:v>7.8</x:v>
      </x:c>
      <x:c r="J182" s="23" t="n">
        <x:f>'假设'!F707</x:f>
        <x:v>22</x:v>
      </x:c>
      <x:c r="K182" s="23" t="n">
        <x:f>'假设'!G707</x:f>
        <x:v>1</x:v>
      </x:c>
      <x:c r="L182" s="23" t="n">
        <x:f>I182*J182*K182</x:f>
        <x:v>171.6</x:v>
      </x:c>
      <x:c r="M182" s="23" t="n">
        <x:f>'假设'!H707</x:f>
        <x:v>0</x:v>
      </x:c>
      <x:c r="N182" s="25" t="n">
        <x:f>L182/D182-1</x:f>
        <x:v>0.0631970260223047</x:v>
      </x:c>
      <x:c r="O182" s="25" t="n">
        <x:f>(L182+M182)/D182-1</x:f>
        <x:v>0.0631970260223047</x:v>
      </x:c>
      <x:c r="P182" s="25" t="str">
        <x:f>IF(Q182&gt;=3,(1+O182)^(1/Q182)-1,"")</x:f>
      </x:c>
      <x:c r="Q182" s="11" t="n">
        <x:v>0</x:v>
      </x:c>
      <x:c r="R182" s="11" t="n">
        <x:v>707</x:v>
      </x:c>
      <x:c r="T182" t="str">
        <x:v>CNY</x:v>
      </x:c>
    </x:row>
    <x:row r="183" ht="23" customHeight="1">
      <x:c r="A183" s="11" t="str">
        <x:v>300760.SZ</x:v>
      </x:c>
      <x:c r="B183" s="11" t="str">
        <x:v>迈瑞医疗</x:v>
      </x:c>
      <x:c r="C183" s="11" t="str">
        <x:v>半年</x:v>
      </x:c>
      <x:c r="D183" s="11" t="n">
        <x:v>161.4</x:v>
      </x:c>
      <x:c r="E183" s="11" t="str">
        <x:v>EPS</x:v>
      </x:c>
      <x:c r="F183" s="23" t="n">
        <x:f>'假设'!I711</x:f>
        <x:v>0</x:v>
      </x:c>
      <x:c r="G183" s="24" t="n">
        <x:f>'假设'!J711</x:f>
        <x:v>0</x:v>
      </x:c>
      <x:c r="H183" s="23" t="str">
        <x:f>'假设'!K711</x:f>
      </x:c>
      <x:c r="I183" s="23" t="n">
        <x:f>IF(E183="收入利润率",F183*G183/H183,'假设'!E711)</x:f>
        <x:v>8.5</x:v>
      </x:c>
      <x:c r="J183" s="23" t="n">
        <x:f>'假设'!F711</x:f>
        <x:v>23</x:v>
      </x:c>
      <x:c r="K183" s="23" t="n">
        <x:f>'假设'!G711</x:f>
        <x:v>1</x:v>
      </x:c>
      <x:c r="L183" s="23" t="n">
        <x:f>I183*J183*K183</x:f>
        <x:v>195.5</x:v>
      </x:c>
      <x:c r="M183" s="23" t="n">
        <x:f>'假设'!H711</x:f>
        <x:v>0</x:v>
      </x:c>
      <x:c r="N183" s="25" t="n">
        <x:f>L183/D183-1</x:f>
        <x:v>0.21127633209417596</x:v>
      </x:c>
      <x:c r="O183" s="25" t="n">
        <x:f>(L183+M183)/D183-1</x:f>
        <x:v>0.21127633209417596</x:v>
      </x:c>
      <x:c r="P183" s="25" t="str">
        <x:f>IF(Q183&gt;=3,(1+O183)^(1/Q183)-1,"")</x:f>
      </x:c>
      <x:c r="Q183" s="11" t="n">
        <x:v>0.5</x:v>
      </x:c>
      <x:c r="R183" s="11" t="n">
        <x:v>711</x:v>
      </x:c>
      <x:c r="T183" t="str">
        <x:v>CNY</x:v>
      </x:c>
    </x:row>
    <x:row r="184" ht="23" customHeight="1">
      <x:c r="A184" s="11" t="str">
        <x:v>300760.SZ</x:v>
      </x:c>
      <x:c r="B184" s="11" t="str">
        <x:v>迈瑞医疗</x:v>
      </x:c>
      <x:c r="C184" s="11" t="str">
        <x:v>一年</x:v>
      </x:c>
      <x:c r="D184" s="11" t="n">
        <x:v>161.4</x:v>
      </x:c>
      <x:c r="E184" s="11" t="str">
        <x:v>EPS</x:v>
      </x:c>
      <x:c r="F184" s="23" t="n">
        <x:f>'假设'!I715</x:f>
        <x:v>0</x:v>
      </x:c>
      <x:c r="G184" s="24" t="n">
        <x:f>'假设'!J715</x:f>
        <x:v>0</x:v>
      </x:c>
      <x:c r="H184" s="23" t="str">
        <x:f>'假设'!K715</x:f>
      </x:c>
      <x:c r="I184" s="23" t="n">
        <x:f>IF(E184="收入利润率",F184*G184/H184,'假设'!E715)</x:f>
        <x:v>9.5</x:v>
      </x:c>
      <x:c r="J184" s="23" t="n">
        <x:f>'假设'!F715</x:f>
        <x:v>24</x:v>
      </x:c>
      <x:c r="K184" s="23" t="n">
        <x:f>'假设'!G715</x:f>
        <x:v>1</x:v>
      </x:c>
      <x:c r="L184" s="23" t="n">
        <x:f>I184*J184*K184</x:f>
        <x:v>228</x:v>
      </x:c>
      <x:c r="M184" s="23" t="n">
        <x:f>'假设'!H715</x:f>
        <x:v>4</x:v>
      </x:c>
      <x:c r="N184" s="25" t="n">
        <x:f>L184/D184-1</x:f>
        <x:v>0.41263940520446085</x:v>
      </x:c>
      <x:c r="O184" s="25" t="n">
        <x:f>(L184+M184)/D184-1</x:f>
        <x:v>0.4374225526641884</x:v>
      </x:c>
      <x:c r="P184" s="25" t="str">
        <x:f>IF(Q184&gt;=3,(1+O184)^(1/Q184)-1,"")</x:f>
      </x:c>
      <x:c r="Q184" s="11" t="n">
        <x:v>1</x:v>
      </x:c>
      <x:c r="R184" s="11" t="n">
        <x:v>715</x:v>
      </x:c>
      <x:c r="T184" t="str">
        <x:v>CNY</x:v>
      </x:c>
    </x:row>
    <x:row r="185" ht="23" customHeight="1">
      <x:c r="A185" s="11" t="str">
        <x:v>300760.SZ</x:v>
      </x:c>
      <x:c r="B185" s="11" t="str">
        <x:v>迈瑞医疗</x:v>
      </x:c>
      <x:c r="C185" s="11" t="str">
        <x:v>三年</x:v>
      </x:c>
      <x:c r="D185" s="11" t="n">
        <x:v>161.4</x:v>
      </x:c>
      <x:c r="E185" s="11" t="str">
        <x:v>EPS</x:v>
      </x:c>
      <x:c r="F185" s="23" t="n">
        <x:f>'假设'!I719</x:f>
        <x:v>0</x:v>
      </x:c>
      <x:c r="G185" s="24" t="n">
        <x:f>'假设'!J719</x:f>
        <x:v>0</x:v>
      </x:c>
      <x:c r="H185" s="23" t="str">
        <x:f>'假设'!K719</x:f>
      </x:c>
      <x:c r="I185" s="23" t="n">
        <x:f>IF(E185="收入利润率",F185*G185/H185,'假设'!E719)</x:f>
        <x:v>12</x:v>
      </x:c>
      <x:c r="J185" s="23" t="n">
        <x:f>'假设'!F719</x:f>
        <x:v>23</x:v>
      </x:c>
      <x:c r="K185" s="23" t="n">
        <x:f>'假设'!G719</x:f>
        <x:v>1</x:v>
      </x:c>
      <x:c r="L185" s="23" t="n">
        <x:f>I185*J185*K185</x:f>
        <x:v>276</x:v>
      </x:c>
      <x:c r="M185" s="23" t="n">
        <x:f>'假设'!H719</x:f>
        <x:v>14</x:v>
      </x:c>
      <x:c r="N185" s="25" t="n">
        <x:f>L185/D185-1</x:f>
        <x:v>0.7100371747211895</x:v>
      </x:c>
      <x:c r="O185" s="25" t="n">
        <x:f>(L185+M185)/D185-1</x:f>
        <x:v>0.7967781908302354</x:v>
      </x:c>
      <x:c r="P185" s="25" t="n">
        <x:f>IF(Q185&gt;=3,(1+O185)^(1/Q185)-1,"")</x:f>
        <x:v>0.2157141992181475</x:v>
      </x:c>
      <x:c r="Q185" s="11" t="n">
        <x:v>3</x:v>
      </x:c>
      <x:c r="R185" s="11" t="n">
        <x:v>719</x:v>
      </x:c>
      <x:c r="T185" t="str">
        <x:v>CNY</x:v>
      </x:c>
    </x:row>
    <x:row r="186" ht="23" customHeight="1">
      <x:c r="A186" s="11" t="str">
        <x:v>300760.SZ</x:v>
      </x:c>
      <x:c r="B186" s="11" t="str">
        <x:v>迈瑞医疗</x:v>
      </x:c>
      <x:c r="C186" s="11" t="str">
        <x:v>五年</x:v>
      </x:c>
      <x:c r="D186" s="11" t="n">
        <x:v>161.4</x:v>
      </x:c>
      <x:c r="E186" s="11" t="str">
        <x:v>EPS</x:v>
      </x:c>
      <x:c r="F186" s="23" t="n">
        <x:f>'假设'!I723</x:f>
        <x:v>0</x:v>
      </x:c>
      <x:c r="G186" s="24" t="n">
        <x:f>'假设'!J723</x:f>
        <x:v>0</x:v>
      </x:c>
      <x:c r="H186" s="23" t="str">
        <x:f>'假设'!K723</x:f>
      </x:c>
      <x:c r="I186" s="23" t="n">
        <x:f>IF(E186="收入利润率",F186*G186/H186,'假设'!E723)</x:f>
        <x:v>15.5</x:v>
      </x:c>
      <x:c r="J186" s="23" t="n">
        <x:f>'假设'!F723</x:f>
        <x:v>22</x:v>
      </x:c>
      <x:c r="K186" s="23" t="n">
        <x:f>'假设'!G723</x:f>
        <x:v>1</x:v>
      </x:c>
      <x:c r="L186" s="23" t="n">
        <x:f>I186*J186*K186</x:f>
        <x:v>341</x:v>
      </x:c>
      <x:c r="M186" s="23" t="n">
        <x:f>'假设'!H723</x:f>
        <x:v>27</x:v>
      </x:c>
      <x:c r="N186" s="25" t="n">
        <x:f>L186/D186-1</x:f>
        <x:v>1.1127633209417596</x:v>
      </x:c>
      <x:c r="O186" s="25" t="n">
        <x:f>(L186+M186)/D186-1</x:f>
        <x:v>1.2800495662949194</x:v>
      </x:c>
      <x:c r="P186" s="25" t="n">
        <x:f>IF(Q186&gt;=3,(1+O186)^(1/Q186)-1,"")</x:f>
        <x:v>0.17920376638694813</x:v>
      </x:c>
      <x:c r="Q186" s="11" t="n">
        <x:v>5</x:v>
      </x:c>
      <x:c r="R186" s="11" t="n">
        <x:v>723</x:v>
      </x:c>
      <x:c r="T186" t="str">
        <x:v>CNY</x:v>
      </x:c>
    </x:row>
    <x:row r="187" ht="23" customHeight="1">
      <x:c r="A187" s="11" t="str">
        <x:v>09999.HK</x:v>
      </x:c>
      <x:c r="B187" s="11" t="str">
        <x:v>网易</x:v>
      </x:c>
      <x:c r="C187" s="11" t="str">
        <x:v>2026年底</x:v>
      </x:c>
      <x:c r="D187" s="11" t="n">
        <x:v>193.5</x:v>
      </x:c>
      <x:c r="E187" s="11" t="str">
        <x:v>EPS</x:v>
      </x:c>
      <x:c r="F187" s="23" t="n">
        <x:f>'假设'!I727</x:f>
        <x:v>0</x:v>
      </x:c>
      <x:c r="G187" s="24" t="n">
        <x:f>'假设'!J727</x:f>
        <x:v>0</x:v>
      </x:c>
      <x:c r="H187" s="23" t="str">
        <x:f>'假设'!K727</x:f>
      </x:c>
      <x:c r="I187" s="23" t="n">
        <x:f>IF(E187="收入利润率",F187*G187/H187,'假设'!E727)</x:f>
        <x:v>12</x:v>
      </x:c>
      <x:c r="J187" s="23" t="n">
        <x:f>'假设'!F727</x:f>
        <x:v>16</x:v>
      </x:c>
      <x:c r="K187" s="23" t="n">
        <x:f>'假设'!G727</x:f>
        <x:v>1.1</x:v>
      </x:c>
      <x:c r="L187" s="23" t="n">
        <x:f>I187*J187*K187</x:f>
        <x:v>211.20000000000002</x:v>
      </x:c>
      <x:c r="M187" s="23" t="n">
        <x:f>'假设'!H727</x:f>
        <x:v>0</x:v>
      </x:c>
      <x:c r="N187" s="25" t="n">
        <x:f>L187/D187-1</x:f>
        <x:v>0.09147286821705425</x:v>
      </x:c>
      <x:c r="O187" s="25" t="n">
        <x:f>(L187+M187)/D187-1</x:f>
        <x:v>0.09147286821705425</x:v>
      </x:c>
      <x:c r="P187" s="25" t="str">
        <x:f>IF(Q187&gt;=3,(1+O187)^(1/Q187)-1,"")</x:f>
      </x:c>
      <x:c r="Q187" s="11" t="n">
        <x:v>0</x:v>
      </x:c>
      <x:c r="R187" s="11" t="n">
        <x:v>727</x:v>
      </x:c>
      <x:c r="T187" t="str">
        <x:v>CNY</x:v>
      </x:c>
    </x:row>
    <x:row r="188" ht="23" customHeight="1">
      <x:c r="A188" s="11" t="str">
        <x:v>09999.HK</x:v>
      </x:c>
      <x:c r="B188" s="11" t="str">
        <x:v>网易</x:v>
      </x:c>
      <x:c r="C188" s="11" t="str">
        <x:v>半年</x:v>
      </x:c>
      <x:c r="D188" s="11" t="n">
        <x:v>193.5</x:v>
      </x:c>
      <x:c r="E188" s="11" t="str">
        <x:v>EPS</x:v>
      </x:c>
      <x:c r="F188" s="23" t="n">
        <x:f>'假设'!I731</x:f>
        <x:v>0</x:v>
      </x:c>
      <x:c r="G188" s="24" t="n">
        <x:f>'假设'!J731</x:f>
        <x:v>0</x:v>
      </x:c>
      <x:c r="H188" s="23" t="str">
        <x:f>'假设'!K731</x:f>
      </x:c>
      <x:c r="I188" s="23" t="n">
        <x:f>IF(E188="收入利润率",F188*G188/H188,'假设'!E731)</x:f>
        <x:v>12.5</x:v>
      </x:c>
      <x:c r="J188" s="23" t="n">
        <x:f>'假设'!F731</x:f>
        <x:v>17</x:v>
      </x:c>
      <x:c r="K188" s="23" t="n">
        <x:f>'假设'!G731</x:f>
        <x:v>1.1</x:v>
      </x:c>
      <x:c r="L188" s="23" t="n">
        <x:f>I188*J188*K188</x:f>
        <x:v>233.75000000000003</x:v>
      </x:c>
      <x:c r="M188" s="23" t="n">
        <x:f>'假设'!H731</x:f>
        <x:v>2</x:v>
      </x:c>
      <x:c r="N188" s="25" t="n">
        <x:f>L188/D188-1</x:f>
        <x:v>0.20801033591731288</x:v>
      </x:c>
      <x:c r="O188" s="25" t="n">
        <x:f>(L188+M188)/D188-1</x:f>
        <x:v>0.21834625322997425</x:v>
      </x:c>
      <x:c r="P188" s="25" t="str">
        <x:f>IF(Q188&gt;=3,(1+O188)^(1/Q188)-1,"")</x:f>
      </x:c>
      <x:c r="Q188" s="11" t="n">
        <x:v>0.5</x:v>
      </x:c>
      <x:c r="R188" s="11" t="n">
        <x:v>731</x:v>
      </x:c>
      <x:c r="T188" t="str">
        <x:v>CNY</x:v>
      </x:c>
    </x:row>
    <x:row r="189" ht="23" customHeight="1">
      <x:c r="A189" s="11" t="str">
        <x:v>09999.HK</x:v>
      </x:c>
      <x:c r="B189" s="11" t="str">
        <x:v>网易</x:v>
      </x:c>
      <x:c r="C189" s="11" t="str">
        <x:v>一年</x:v>
      </x:c>
      <x:c r="D189" s="11" t="n">
        <x:v>193.5</x:v>
      </x:c>
      <x:c r="E189" s="11" t="str">
        <x:v>EPS</x:v>
      </x:c>
      <x:c r="F189" s="23" t="n">
        <x:f>'假设'!I735</x:f>
        <x:v>0</x:v>
      </x:c>
      <x:c r="G189" s="24" t="n">
        <x:f>'假设'!J735</x:f>
        <x:v>0</x:v>
      </x:c>
      <x:c r="H189" s="23" t="str">
        <x:f>'假设'!K735</x:f>
      </x:c>
      <x:c r="I189" s="23" t="n">
        <x:f>IF(E189="收入利润率",F189*G189/H189,'假设'!E735)</x:f>
        <x:v>13</x:v>
      </x:c>
      <x:c r="J189" s="23" t="n">
        <x:f>'假设'!F735</x:f>
        <x:v>18</x:v>
      </x:c>
      <x:c r="K189" s="23" t="n">
        <x:f>'假设'!G735</x:f>
        <x:v>1.1</x:v>
      </x:c>
      <x:c r="L189" s="23" t="n">
        <x:f>I189*J189*K189</x:f>
        <x:v>257.40000000000003</x:v>
      </x:c>
      <x:c r="M189" s="23" t="n">
        <x:f>'假设'!H735</x:f>
        <x:v>4</x:v>
      </x:c>
      <x:c r="N189" s="25" t="n">
        <x:f>L189/D189-1</x:f>
        <x:v>0.3302325581395351</x:v>
      </x:c>
      <x:c r="O189" s="25" t="n">
        <x:f>(L189+M189)/D189-1</x:f>
        <x:v>0.3509043927648581</x:v>
      </x:c>
      <x:c r="P189" s="25" t="str">
        <x:f>IF(Q189&gt;=3,(1+O189)^(1/Q189)-1,"")</x:f>
      </x:c>
      <x:c r="Q189" s="11" t="n">
        <x:v>1</x:v>
      </x:c>
      <x:c r="R189" s="11" t="n">
        <x:v>735</x:v>
      </x:c>
      <x:c r="T189" t="str">
        <x:v>CNY</x:v>
      </x:c>
    </x:row>
    <x:row r="190" ht="23" customHeight="1">
      <x:c r="A190" s="11" t="str">
        <x:v>09999.HK</x:v>
      </x:c>
      <x:c r="B190" s="11" t="str">
        <x:v>网易</x:v>
      </x:c>
      <x:c r="C190" s="11" t="str">
        <x:v>三年</x:v>
      </x:c>
      <x:c r="D190" s="11" t="n">
        <x:v>193.5</x:v>
      </x:c>
      <x:c r="E190" s="11" t="str">
        <x:v>EPS</x:v>
      </x:c>
      <x:c r="F190" s="23" t="n">
        <x:f>'假设'!I739</x:f>
        <x:v>0</x:v>
      </x:c>
      <x:c r="G190" s="24" t="n">
        <x:f>'假设'!J739</x:f>
        <x:v>0</x:v>
      </x:c>
      <x:c r="H190" s="23" t="str">
        <x:f>'假设'!K739</x:f>
      </x:c>
      <x:c r="I190" s="23" t="n">
        <x:f>IF(E190="收入利润率",F190*G190/H190,'假设'!E739)</x:f>
        <x:v>16</x:v>
      </x:c>
      <x:c r="J190" s="23" t="n">
        <x:f>'假设'!F739</x:f>
        <x:v>17</x:v>
      </x:c>
      <x:c r="K190" s="23" t="n">
        <x:f>'假设'!G739</x:f>
        <x:v>1.1</x:v>
      </x:c>
      <x:c r="L190" s="23" t="n">
        <x:f>I190*J190*K190</x:f>
        <x:v>299.20000000000005</x:v>
      </x:c>
      <x:c r="M190" s="23" t="n">
        <x:f>'假设'!H739</x:f>
        <x:v>14</x:v>
      </x:c>
      <x:c r="N190" s="25" t="n">
        <x:f>L190/D190-1</x:f>
        <x:v>0.5462532299741605</x:v>
      </x:c>
      <x:c r="O190" s="25" t="n">
        <x:f>(L190+M190)/D190-1</x:f>
        <x:v>0.618604651162791</x:v>
      </x:c>
      <x:c r="P190" s="25" t="n">
        <x:f>IF(Q190&gt;=3,(1+O190)^(1/Q190)-1,"")</x:f>
        <x:v>0.174122997589907</x:v>
      </x:c>
      <x:c r="Q190" s="11" t="n">
        <x:v>3</x:v>
      </x:c>
      <x:c r="R190" s="11" t="n">
        <x:v>739</x:v>
      </x:c>
      <x:c r="T190" t="str">
        <x:v>CNY</x:v>
      </x:c>
    </x:row>
    <x:row r="191" ht="23" customHeight="1">
      <x:c r="A191" s="11" t="str">
        <x:v>09999.HK</x:v>
      </x:c>
      <x:c r="B191" s="11" t="str">
        <x:v>网易</x:v>
      </x:c>
      <x:c r="C191" s="11" t="str">
        <x:v>五年</x:v>
      </x:c>
      <x:c r="D191" s="11" t="n">
        <x:v>193.5</x:v>
      </x:c>
      <x:c r="E191" s="11" t="str">
        <x:v>EPS</x:v>
      </x:c>
      <x:c r="F191" s="23" t="n">
        <x:f>'假设'!I743</x:f>
        <x:v>0</x:v>
      </x:c>
      <x:c r="G191" s="24" t="n">
        <x:f>'假设'!J743</x:f>
        <x:v>0</x:v>
      </x:c>
      <x:c r="H191" s="23" t="str">
        <x:f>'假设'!K743</x:f>
      </x:c>
      <x:c r="I191" s="23" t="n">
        <x:f>IF(E191="收入利润率",F191*G191/H191,'假设'!E743)</x:f>
        <x:v>19</x:v>
      </x:c>
      <x:c r="J191" s="23" t="n">
        <x:f>'假设'!F743</x:f>
        <x:v>16</x:v>
      </x:c>
      <x:c r="K191" s="23" t="n">
        <x:f>'假设'!G743</x:f>
        <x:v>1.1</x:v>
      </x:c>
      <x:c r="L191" s="23" t="n">
        <x:f>I191*J191*K191</x:f>
        <x:v>334.40000000000003</x:v>
      </x:c>
      <x:c r="M191" s="23" t="n">
        <x:f>'假设'!H743</x:f>
        <x:v>25</x:v>
      </x:c>
      <x:c r="N191" s="25" t="n">
        <x:f>L191/D191-1</x:f>
        <x:v>0.7281653746770027</x:v>
      </x:c>
      <x:c r="O191" s="25" t="n">
        <x:f>(L191+M191)/D191-1</x:f>
        <x:v>0.8573643410852716</x:v>
      </x:c>
      <x:c r="P191" s="25" t="n">
        <x:f>IF(Q191&gt;=3,(1+O191)^(1/Q191)-1,"")</x:f>
        <x:v>0.1318253601301771</x:v>
      </x:c>
      <x:c r="Q191" s="11" t="n">
        <x:v>5</x:v>
      </x:c>
      <x:c r="R191" s="11" t="n">
        <x:v>743</x:v>
      </x:c>
      <x:c r="T191" t="str">
        <x:v>CNY</x:v>
      </x:c>
    </x:row>
    <x:row r="192" ht="23" customHeight="1">
      <x:c r="A192" s="11" t="str">
        <x:v>03759.HK</x:v>
      </x:c>
      <x:c r="B192" s="11" t="str">
        <x:v>康龙化成</x:v>
      </x:c>
      <x:c r="C192" s="11" t="str">
        <x:v>2026年底</x:v>
      </x:c>
      <x:c r="D192" s="11" t="n">
        <x:v>30.6</x:v>
      </x:c>
      <x:c r="E192" s="11" t="str">
        <x:v>年度分部盈利桥</x:v>
      </x:c>
      <x:c r="F192" s="23" t="n">
        <x:f>'年度经营资金桥'!C8</x:f>
        <x:v>20.05</x:v>
      </x:c>
      <x:c r="G192" s="24" t="n">
        <x:f>'年度经营资金桥'!G8/'年度经营资金桥'!C8</x:f>
        <x:v>0.12247486284289276</x:v>
      </x:c>
      <x:c r="H192" s="23" t="n">
        <x:f>'年度经营资金桥'!H8</x:f>
        <x:v>1.85</x:v>
      </x:c>
      <x:c r="I192" s="23" t="n">
        <x:f>'年度经营资金桥'!I8</x:f>
        <x:v>1.3273627027027026</x:v>
      </x:c>
      <x:c r="J192" s="23" t="n">
        <x:f>'假设'!F747</x:f>
        <x:v>28</x:v>
      </x:c>
      <x:c r="K192" s="23" t="n">
        <x:f>'假设'!G747</x:f>
        <x:v>1.1</x:v>
      </x:c>
      <x:c r="L192" s="23" t="n">
        <x:f>I192*J192*K192</x:f>
        <x:v>40.88277124324325</x:v>
      </x:c>
      <x:c r="M192" s="23" t="n">
        <x:f>0</x:f>
        <x:v>0</x:v>
      </x:c>
      <x:c r="N192" s="25" t="n">
        <x:f>L192/D192-1</x:f>
        <x:v>0.33603827592298186</x:v>
      </x:c>
      <x:c r="O192" s="25" t="n">
        <x:f>(L192+M192)/D192-1</x:f>
        <x:v>0.33603827592298186</x:v>
      </x:c>
      <x:c r="P192" s="25" t="str">
        <x:f>IF(Q192&gt;=3,(1+O192)^(1/Q192)-1,"")</x:f>
      </x:c>
      <x:c r="Q192" s="11" t="n">
        <x:v>0</x:v>
      </x:c>
      <x:c r="R192" s="11" t="n">
        <x:v>747</x:v>
      </x:c>
      <x:c r="T192" t="str">
        <x:v>CNY</x:v>
      </x:c>
    </x:row>
    <x:row r="193" ht="23" customHeight="1">
      <x:c r="A193" s="11" t="str">
        <x:v>03759.HK</x:v>
      </x:c>
      <x:c r="B193" s="11" t="str">
        <x:v>康龙化成</x:v>
      </x:c>
      <x:c r="C193" s="11" t="str">
        <x:v>半年</x:v>
      </x:c>
      <x:c r="D193" s="11" t="n">
        <x:v>30.6</x:v>
      </x:c>
      <x:c r="E193" s="11" t="str">
        <x:v>年度分部盈利桥</x:v>
      </x:c>
      <x:c r="F193" s="23" t="n">
        <x:f>'年度经营资金桥'!C8</x:f>
        <x:v>20.05</x:v>
      </x:c>
      <x:c r="G193" s="24" t="n">
        <x:f>'年度经营资金桥'!G8/'年度经营资金桥'!C8</x:f>
        <x:v>0.12247486284289276</x:v>
      </x:c>
      <x:c r="H193" s="23" t="n">
        <x:f>'年度经营资金桥'!H8</x:f>
        <x:v>1.85</x:v>
      </x:c>
      <x:c r="I193" s="23" t="n">
        <x:f>'年度经营资金桥'!I8</x:f>
        <x:v>1.3273627027027026</x:v>
      </x:c>
      <x:c r="J193" s="23" t="n">
        <x:f>'假设'!F751</x:f>
        <x:v>30</x:v>
      </x:c>
      <x:c r="K193" s="23" t="n">
        <x:f>'假设'!G751</x:f>
        <x:v>1.1</x:v>
      </x:c>
      <x:c r="L193" s="23" t="n">
        <x:f>I193*J193*K193</x:f>
        <x:v>43.802969189189184</x:v>
      </x:c>
      <x:c r="M193" s="23" t="n">
        <x:f>0</x:f>
        <x:v>0</x:v>
      </x:c>
      <x:c r="N193" s="25" t="n">
        <x:f>L193/D193-1</x:f>
        <x:v>0.4314695813460516</x:v>
      </x:c>
      <x:c r="O193" s="25" t="n">
        <x:f>(L193+M193)/D193-1</x:f>
        <x:v>0.4314695813460516</x:v>
      </x:c>
      <x:c r="P193" s="25" t="str">
        <x:f>IF(Q193&gt;=3,(1+O193)^(1/Q193)-1,"")</x:f>
      </x:c>
      <x:c r="Q193" s="11" t="n">
        <x:v>0.5</x:v>
      </x:c>
      <x:c r="R193" s="11" t="n">
        <x:v>751</x:v>
      </x:c>
      <x:c r="T193" t="str">
        <x:v>CNY</x:v>
      </x:c>
    </x:row>
    <x:row r="194" ht="23" customHeight="1">
      <x:c r="A194" s="11" t="str">
        <x:v>03759.HK</x:v>
      </x:c>
      <x:c r="B194" s="11" t="str">
        <x:v>康龙化成</x:v>
      </x:c>
      <x:c r="C194" s="11" t="str">
        <x:v>一年</x:v>
      </x:c>
      <x:c r="D194" s="11" t="n">
        <x:v>30.6</x:v>
      </x:c>
      <x:c r="E194" s="11" t="str">
        <x:v>年度分部盈利桥</x:v>
      </x:c>
      <x:c r="F194" s="23" t="n">
        <x:f>'年度经营资金桥'!C9</x:f>
        <x:v>23.470000000000002</x:v>
      </x:c>
      <x:c r="G194" s="24" t="n">
        <x:f>'年度经营资金桥'!G9/'年度经营资金桥'!C9</x:f>
        <x:v>0.1321567106945036</x:v>
      </x:c>
      <x:c r="H194" s="23" t="n">
        <x:f>'年度经营资金桥'!H9</x:f>
        <x:v>1.865</x:v>
      </x:c>
      <x:c r="I194" s="23" t="n">
        <x:f>'年度经营资金桥'!I9</x:f>
        <x:v>1.6631195710455764</x:v>
      </x:c>
      <x:c r="J194" s="23" t="n">
        <x:f>'假设'!F755</x:f>
        <x:v>29</x:v>
      </x:c>
      <x:c r="K194" s="23" t="n">
        <x:f>'假设'!G755</x:f>
        <x:v>1.1</x:v>
      </x:c>
      <x:c r="L194" s="23" t="n">
        <x:f>I194*J194*K194</x:f>
        <x:v>53.05351431635389</x:v>
      </x:c>
      <x:c r="M194" s="23" t="n">
        <x:f>('年度分部假设'!X7)*K194</x:f>
        <x:v>0.264</x:v>
      </x:c>
      <x:c r="N194" s="25" t="n">
        <x:f>L194/D194-1</x:f>
        <x:v>0.7337749776586238</x:v>
      </x:c>
      <x:c r="O194" s="25" t="n">
        <x:f>(L194+M194)/D194-1</x:f>
        <x:v>0.7424024286390161</x:v>
      </x:c>
      <x:c r="P194" s="25" t="str">
        <x:f>IF(Q194&gt;=3,(1+O194)^(1/Q194)-1,"")</x:f>
      </x:c>
      <x:c r="Q194" s="11" t="n">
        <x:v>1</x:v>
      </x:c>
      <x:c r="R194" s="11" t="n">
        <x:v>755</x:v>
      </x:c>
      <x:c r="T194" t="str">
        <x:v>CNY</x:v>
      </x:c>
    </x:row>
    <x:row r="195" ht="23" customHeight="1">
      <x:c r="A195" s="11" t="str">
        <x:v>03759.HK</x:v>
      </x:c>
      <x:c r="B195" s="11" t="str">
        <x:v>康龙化成</x:v>
      </x:c>
      <x:c r="C195" s="11" t="str">
        <x:v>三年</x:v>
      </x:c>
      <x:c r="D195" s="11" t="n">
        <x:v>30.6</x:v>
      </x:c>
      <x:c r="E195" s="11" t="str">
        <x:v>年度分部盈利桥</x:v>
      </x:c>
      <x:c r="F195" s="23" t="n">
        <x:f>'年度经营资金桥'!C10</x:f>
        <x:v>27.16</x:v>
      </x:c>
      <x:c r="G195" s="24" t="n">
        <x:f>'年度经营资金桥'!G10/'年度经营资金桥'!C10</x:f>
        <x:v>0.14200081001472756</x:v>
      </x:c>
      <x:c r="H195" s="23" t="n">
        <x:f>'年度经营资金桥'!H10</x:f>
        <x:v>1.88</x:v>
      </x:c>
      <x:c r="I195" s="23" t="n">
        <x:f>'年度经营资金桥'!I10</x:f>
        <x:v>2.051458510638298</x:v>
      </x:c>
      <x:c r="J195" s="23" t="n">
        <x:f>'假设'!F759</x:f>
        <x:v>27</x:v>
      </x:c>
      <x:c r="K195" s="23" t="n">
        <x:f>'假设'!G759</x:f>
        <x:v>1.1</x:v>
      </x:c>
      <x:c r="L195" s="23" t="n">
        <x:f>I195*J195*K195</x:f>
        <x:v>60.92831776595746</x:v>
      </x:c>
      <x:c r="M195" s="23" t="n">
        <x:f>('年度分部假设'!X7+'年度分部假设'!X11+'年度分部假设'!X15)*K195</x:f>
        <x:v>1.078</x:v>
      </x:c>
      <x:c r="N195" s="25" t="n">
        <x:f>L195/D195-1</x:f>
        <x:v>0.9911214956195247</x:v>
      </x:c>
      <x:c r="O195" s="25" t="n">
        <x:f>(L195+M195)/D195-1</x:f>
        <x:v>1.0263502537894595</x:v>
      </x:c>
      <x:c r="P195" s="25" t="n">
        <x:f>IF(Q195&gt;=3,(1+O195)^(1/Q195)-1,"")</x:f>
        <x:v>0.26543013255046577</x:v>
      </x:c>
      <x:c r="Q195" s="11" t="n">
        <x:v>3</x:v>
      </x:c>
      <x:c r="R195" s="11" t="n">
        <x:v>759</x:v>
      </x:c>
      <x:c r="T195" t="str">
        <x:v>CNY</x:v>
      </x:c>
    </x:row>
    <x:row r="196" ht="23" customHeight="1">
      <x:c r="A196" s="11" t="str">
        <x:v>03759.HK</x:v>
      </x:c>
      <x:c r="B196" s="11" t="str">
        <x:v>康龙化成</x:v>
      </x:c>
      <x:c r="C196" s="11" t="str">
        <x:v>五年</x:v>
      </x:c>
      <x:c r="D196" s="11" t="n">
        <x:v>30.6</x:v>
      </x:c>
      <x:c r="E196" s="11" t="str">
        <x:v>年度分部盈利桥</x:v>
      </x:c>
      <x:c r="F196" s="23" t="n">
        <x:f>'年度经营资金桥'!C12</x:f>
        <x:v>34.81</x:v>
      </x:c>
      <x:c r="G196" s="24" t="n">
        <x:f>'年度经营资金桥'!G12/'年度经营资金桥'!C12</x:f>
        <x:v>0.1524237862683137</x:v>
      </x:c>
      <x:c r="H196" s="23" t="n">
        <x:f>'年度经营资金桥'!H12</x:f>
        <x:v>1.91</x:v>
      </x:c>
      <x:c r="I196" s="23" t="n">
        <x:f>'年度经营资金桥'!I12</x:f>
        <x:v>2.7779434554973825</x:v>
      </x:c>
      <x:c r="J196" s="23" t="n">
        <x:f>'假设'!F763</x:f>
        <x:v>24</x:v>
      </x:c>
      <x:c r="K196" s="23" t="n">
        <x:f>'假设'!G763</x:f>
        <x:v>1.1</x:v>
      </x:c>
      <x:c r="L196" s="23" t="n">
        <x:f>I196*J196*K196</x:f>
        <x:v>73.3377072251309</x:v>
      </x:c>
      <x:c r="M196" s="23" t="n">
        <x:f>('年度分部假设'!X7+'年度分部假设'!X11+'年度分部假设'!X15+'年度分部假设'!X19+'年度分部假设'!X23)*K196</x:f>
        <x:v>2.3540000000000005</x:v>
      </x:c>
      <x:c r="N196" s="25" t="n">
        <x:f>L196/D196-1</x:f>
        <x:v>1.3966570988604867</x:v>
      </x:c>
      <x:c r="O196" s="25" t="n">
        <x:f>(L196+M196)/D196-1</x:f>
        <x:v>1.47358520343565</x:v>
      </x:c>
      <x:c r="P196" s="25" t="n">
        <x:f>IF(Q196&gt;=3,(1+O196)^(1/Q196)-1,"")</x:f>
        <x:v>0.19857544151049322</x:v>
      </x:c>
      <x:c r="Q196" s="11" t="n">
        <x:v>5</x:v>
      </x:c>
      <x:c r="R196" s="11" t="n">
        <x:v>763</x:v>
      </x:c>
      <x:c r="T196" t="str">
        <x:v>CNY</x:v>
      </x:c>
    </x:row>
    <x:row r="197" ht="23" customHeight="1">
      <x:c r="A197" s="11" t="str">
        <x:v>09992.HK</x:v>
      </x:c>
      <x:c r="B197" s="11" t="str">
        <x:v>泡泡玛特</x:v>
      </x:c>
      <x:c r="C197" s="11" t="str">
        <x:v>2026年底</x:v>
      </x:c>
      <x:c r="D197" s="11" t="n">
        <x:v>152.3</x:v>
      </x:c>
      <x:c r="E197" s="11" t="str">
        <x:v>地域经营桥</x:v>
      </x:c>
      <x:c r="F197" s="23" t="n">
        <x:f>'假设'!I767</x:f>
        <x:v>0</x:v>
      </x:c>
      <x:c r="G197" s="24" t="n">
        <x:f>'假设'!J767</x:f>
        <x:v>0</x:v>
      </x:c>
      <x:c r="H197" s="23" t="str">
        <x:f>'假设'!K767</x:f>
      </x:c>
      <x:c r="I197" s="23" t="n">
        <x:f>'地域经营桥'!L7</x:f>
        <x:v>7.696</x:v>
      </x:c>
      <x:c r="J197" s="23" t="n">
        <x:f>'假设'!F767</x:f>
        <x:v>20</x:v>
      </x:c>
      <x:c r="K197" s="23" t="n">
        <x:f>'假设'!G767</x:f>
        <x:v>1.1</x:v>
      </x:c>
      <x:c r="L197" s="23" t="n">
        <x:f>'地域经营桥'!O7</x:f>
        <x:v>169.31</x:v>
      </x:c>
      <x:c r="M197" s="23" t="n">
        <x:f>'假设'!H767</x:f>
        <x:v>0</x:v>
      </x:c>
      <x:c r="N197" s="25" t="n">
        <x:f>L197/D197-1</x:f>
        <x:v>0.11168745896257382</x:v>
      </x:c>
      <x:c r="O197" s="25" t="n">
        <x:f>(L197+M197)/D197-1</x:f>
        <x:v>0.11168745896257382</x:v>
      </x:c>
      <x:c r="P197" s="25" t="str">
        <x:f>IF(Q197&gt;=3,(1+O197)^(1/Q197)-1,"")</x:f>
      </x:c>
      <x:c r="Q197" s="11" t="n">
        <x:v>0</x:v>
      </x:c>
      <x:c r="R197" s="11" t="n">
        <x:v>767</x:v>
      </x:c>
      <x:c r="T197" t="str">
        <x:v>CNY</x:v>
      </x:c>
    </x:row>
    <x:row r="198" ht="23" customHeight="1">
      <x:c r="A198" s="11" t="str">
        <x:v>09992.HK</x:v>
      </x:c>
      <x:c r="B198" s="11" t="str">
        <x:v>泡泡玛特</x:v>
      </x:c>
      <x:c r="C198" s="11" t="str">
        <x:v>半年</x:v>
      </x:c>
      <x:c r="D198" s="11" t="n">
        <x:v>152.3</x:v>
      </x:c>
      <x:c r="E198" s="11" t="str">
        <x:v>地域经营桥</x:v>
      </x:c>
      <x:c r="F198" s="23" t="n">
        <x:f>'假设'!I771</x:f>
        <x:v>0</x:v>
      </x:c>
      <x:c r="G198" s="24" t="n">
        <x:f>'假设'!J771</x:f>
        <x:v>0</x:v>
      </x:c>
      <x:c r="H198" s="23" t="str">
        <x:f>'假设'!K771</x:f>
      </x:c>
      <x:c r="I198" s="23" t="n">
        <x:f>'地域经营桥'!L8</x:f>
        <x:v>8.479</x:v>
      </x:c>
      <x:c r="J198" s="23" t="n">
        <x:f>'假设'!F771</x:f>
        <x:v>21</x:v>
      </x:c>
      <x:c r="K198" s="23" t="n">
        <x:f>'假设'!G771</x:f>
        <x:v>1.1</x:v>
      </x:c>
      <x:c r="L198" s="23" t="n">
        <x:f>'地域经营桥'!O8</x:f>
        <x:v>195.86</x:v>
      </x:c>
      <x:c r="M198" s="23" t="n">
        <x:f>'假设'!H771</x:f>
        <x:v>0</x:v>
      </x:c>
      <x:c r="N198" s="25" t="n">
        <x:f>L198/D198-1</x:f>
        <x:v>0.28601444517399877</x:v>
      </x:c>
      <x:c r="O198" s="25" t="n">
        <x:f>(L198+M198)/D198-1</x:f>
        <x:v>0.28601444517399877</x:v>
      </x:c>
      <x:c r="P198" s="25" t="str">
        <x:f>IF(Q198&gt;=3,(1+O198)^(1/Q198)-1,"")</x:f>
      </x:c>
      <x:c r="Q198" s="11" t="n">
        <x:v>0.5</x:v>
      </x:c>
      <x:c r="R198" s="11" t="n">
        <x:v>771</x:v>
      </x:c>
      <x:c r="T198" t="str">
        <x:v>CNY</x:v>
      </x:c>
    </x:row>
    <x:row r="199" ht="23" customHeight="1">
      <x:c r="A199" s="11" t="str">
        <x:v>09992.HK</x:v>
      </x:c>
      <x:c r="B199" s="11" t="str">
        <x:v>泡泡玛特</x:v>
      </x:c>
      <x:c r="C199" s="11" t="str">
        <x:v>一年</x:v>
      </x:c>
      <x:c r="D199" s="11" t="n">
        <x:v>152.3</x:v>
      </x:c>
      <x:c r="E199" s="11" t="str">
        <x:v>地域经营桥</x:v>
      </x:c>
      <x:c r="F199" s="23" t="n">
        <x:f>'假设'!I775</x:f>
        <x:v>0</x:v>
      </x:c>
      <x:c r="G199" s="24" t="n">
        <x:f>'假设'!J775</x:f>
        <x:v>0</x:v>
      </x:c>
      <x:c r="H199" s="23" t="str">
        <x:f>'假设'!K775</x:f>
      </x:c>
      <x:c r="I199" s="23" t="n">
        <x:f>'地域经营桥'!L9</x:f>
        <x:v>9.961</x:v>
      </x:c>
      <x:c r="J199" s="23" t="n">
        <x:f>'假设'!F775</x:f>
        <x:v>22</x:v>
      </x:c>
      <x:c r="K199" s="23" t="n">
        <x:f>'假设'!G775</x:f>
        <x:v>1.1</x:v>
      </x:c>
      <x:c r="L199" s="23" t="n">
        <x:f>'地域经营桥'!O9</x:f>
        <x:v>241.06</x:v>
      </x:c>
      <x:c r="M199" s="23" t="n">
        <x:f>'假设'!H775</x:f>
        <x:v>2.2</x:v>
      </x:c>
      <x:c r="N199" s="25" t="n">
        <x:f>L199/D199-1</x:f>
        <x:v>0.5827971109652001</x:v>
      </x:c>
      <x:c r="O199" s="25" t="n">
        <x:f>(L199+M199)/D199-1</x:f>
        <x:v>0.597242284963887</x:v>
      </x:c>
      <x:c r="P199" s="25" t="str">
        <x:f>IF(Q199&gt;=3,(1+O199)^(1/Q199)-1,"")</x:f>
      </x:c>
      <x:c r="Q199" s="11" t="n">
        <x:v>1</x:v>
      </x:c>
      <x:c r="R199" s="11" t="n">
        <x:v>775</x:v>
      </x:c>
      <x:c r="T199" t="str">
        <x:v>CNY</x:v>
      </x:c>
    </x:row>
    <x:row r="200" ht="23" customHeight="1">
      <x:c r="A200" s="11" t="str">
        <x:v>09992.HK</x:v>
      </x:c>
      <x:c r="B200" s="11" t="str">
        <x:v>泡泡玛特</x:v>
      </x:c>
      <x:c r="C200" s="11" t="str">
        <x:v>三年</x:v>
      </x:c>
      <x:c r="D200" s="11" t="n">
        <x:v>152.3</x:v>
      </x:c>
      <x:c r="E200" s="11" t="str">
        <x:v>地域经营桥</x:v>
      </x:c>
      <x:c r="F200" s="23" t="n">
        <x:f>'假设'!I779</x:f>
        <x:v>0</x:v>
      </x:c>
      <x:c r="G200" s="24" t="n">
        <x:f>'假设'!J779</x:f>
        <x:v>0</x:v>
      </x:c>
      <x:c r="H200" s="23" t="str">
        <x:f>'假设'!K779</x:f>
      </x:c>
      <x:c r="I200" s="23" t="n">
        <x:f>'地域经营桥'!L10</x:f>
        <x:v>14.996</x:v>
      </x:c>
      <x:c r="J200" s="23" t="n">
        <x:f>'假设'!F779</x:f>
        <x:v>24</x:v>
      </x:c>
      <x:c r="K200" s="23" t="n">
        <x:f>'假设'!G779</x:f>
        <x:v>1.1</x:v>
      </x:c>
      <x:c r="L200" s="23" t="n">
        <x:f>'地域经营桥'!O10</x:f>
        <x:v>395.89</x:v>
      </x:c>
      <x:c r="M200" s="23" t="n">
        <x:f>'假设'!H779</x:f>
        <x:v>8</x:v>
      </x:c>
      <x:c r="N200" s="25" t="n">
        <x:f>L200/D200-1</x:f>
        <x:v>1.5994090610636897</x:v>
      </x:c>
      <x:c r="O200" s="25" t="n">
        <x:f>(L200+M200)/D200-1</x:f>
        <x:v>1.65193696651346</x:v>
      </x:c>
      <x:c r="P200" s="25" t="n">
        <x:f>IF(Q200&gt;=3,(1+O200)^(1/Q200)-1,"")</x:f>
        <x:v>0.384164582226981</x:v>
      </x:c>
      <x:c r="Q200" s="11" t="n">
        <x:v>3</x:v>
      </x:c>
      <x:c r="R200" s="11" t="n">
        <x:v>779</x:v>
      </x:c>
      <x:c r="T200" t="str">
        <x:v>CNY</x:v>
      </x:c>
    </x:row>
    <x:row r="201" ht="23" customHeight="1">
      <x:c r="A201" s="11" t="str">
        <x:v>09992.HK</x:v>
      </x:c>
      <x:c r="B201" s="11" t="str">
        <x:v>泡泡玛特</x:v>
      </x:c>
      <x:c r="C201" s="11" t="str">
        <x:v>五年</x:v>
      </x:c>
      <x:c r="D201" s="11" t="n">
        <x:v>152.3</x:v>
      </x:c>
      <x:c r="E201" s="11" t="str">
        <x:v>地域经营桥</x:v>
      </x:c>
      <x:c r="F201" s="23" t="n">
        <x:f>'假设'!I783</x:f>
        <x:v>0</x:v>
      </x:c>
      <x:c r="G201" s="24" t="n">
        <x:f>'假设'!J783</x:f>
        <x:v>0</x:v>
      </x:c>
      <x:c r="H201" s="23" t="str">
        <x:f>'假设'!K783</x:f>
      </x:c>
      <x:c r="I201" s="23" t="n">
        <x:f>'地域经营桥'!L11</x:f>
        <x:v>20.665</x:v>
      </x:c>
      <x:c r="J201" s="23" t="n">
        <x:f>'假设'!F783</x:f>
        <x:v>24</x:v>
      </x:c>
      <x:c r="K201" s="23" t="n">
        <x:f>'假设'!G783</x:f>
        <x:v>1.1</x:v>
      </x:c>
      <x:c r="L201" s="23" t="n">
        <x:f>'地域经营桥'!O11</x:f>
        <x:v>545.56</x:v>
      </x:c>
      <x:c r="M201" s="23" t="n">
        <x:f>'假设'!H783</x:f>
        <x:v>17</x:v>
      </x:c>
      <x:c r="N201" s="25" t="n">
        <x:f>L201/D201-1</x:f>
        <x:v>2.5821405121470775</x:v>
      </x:c>
      <x:c r="O201" s="25" t="n">
        <x:f>(L201+M201)/D201-1</x:f>
        <x:v>2.693762311227839</x:v>
      </x:c>
      <x:c r="P201" s="25" t="n">
        <x:f>IF(Q201&gt;=3,(1+O201)^(1/Q201)-1,"")</x:f>
        <x:v>0.2986549916005554</x:v>
      </x:c>
      <x:c r="Q201" s="11" t="n">
        <x:v>5</x:v>
      </x:c>
      <x:c r="R201" s="11" t="n">
        <x:v>783</x:v>
      </x:c>
      <x:c r="T201" t="str">
        <x:v>CNY</x:v>
      </x:c>
    </x:row>
    <x:row r="202" ht="23" customHeight="1">
      <x:c r="A202" s="11" t="str">
        <x:v>300363.SZ</x:v>
      </x:c>
      <x:c r="B202" s="11" t="str">
        <x:v>博腾股份</x:v>
      </x:c>
      <x:c r="C202" s="11" t="str">
        <x:v>2026年底</x:v>
      </x:c>
      <x:c r="D202" s="11" t="n">
        <x:v>23.68</x:v>
      </x:c>
      <x:c r="E202" s="11" t="str">
        <x:v>EPS</x:v>
      </x:c>
      <x:c r="F202" s="23" t="n">
        <x:f>'假设'!I787</x:f>
        <x:v>0</x:v>
      </x:c>
      <x:c r="G202" s="24" t="n">
        <x:f>'假设'!J787</x:f>
        <x:v>0</x:v>
      </x:c>
      <x:c r="H202" s="23" t="str">
        <x:f>'假设'!K787</x:f>
      </x:c>
      <x:c r="I202" s="23" t="n">
        <x:f>IF(E202="收入利润率",F202*G202/H202,'假设'!E787)</x:f>
        <x:v>0.5</x:v>
      </x:c>
      <x:c r="J202" s="23" t="n">
        <x:f>'假设'!F787</x:f>
        <x:v>30</x:v>
      </x:c>
      <x:c r="K202" s="23" t="n">
        <x:f>'假设'!G787</x:f>
        <x:v>1</x:v>
      </x:c>
      <x:c r="L202" s="23" t="n">
        <x:f>I202*J202*K202</x:f>
        <x:v>15</x:v>
      </x:c>
      <x:c r="M202" s="23" t="n">
        <x:f>'假设'!H787</x:f>
        <x:v>0</x:v>
      </x:c>
      <x:c r="N202" s="25" t="n">
        <x:f>L202/D202-1</x:f>
        <x:v>-0.36655405405405406</x:v>
      </x:c>
      <x:c r="O202" s="25" t="n">
        <x:f>(L202+M202)/D202-1</x:f>
        <x:v>-0.36655405405405406</x:v>
      </x:c>
      <x:c r="P202" s="25" t="str">
        <x:f>IF(Q202&gt;=3,(1+O202)^(1/Q202)-1,"")</x:f>
      </x:c>
      <x:c r="Q202" s="11" t="n">
        <x:v>0</x:v>
      </x:c>
      <x:c r="R202" s="11" t="n">
        <x:v>787</x:v>
      </x:c>
      <x:c r="T202" t="str">
        <x:v>CNY</x:v>
      </x:c>
    </x:row>
    <x:row r="203" ht="23" customHeight="1">
      <x:c r="A203" s="11" t="str">
        <x:v>300363.SZ</x:v>
      </x:c>
      <x:c r="B203" s="11" t="str">
        <x:v>博腾股份</x:v>
      </x:c>
      <x:c r="C203" s="11" t="str">
        <x:v>半年</x:v>
      </x:c>
      <x:c r="D203" s="11" t="n">
        <x:v>23.68</x:v>
      </x:c>
      <x:c r="E203" s="11" t="str">
        <x:v>EPS</x:v>
      </x:c>
      <x:c r="F203" s="23" t="n">
        <x:f>'假设'!I791</x:f>
        <x:v>0</x:v>
      </x:c>
      <x:c r="G203" s="24" t="n">
        <x:f>'假设'!J791</x:f>
        <x:v>0</x:v>
      </x:c>
      <x:c r="H203" s="23" t="str">
        <x:f>'假设'!K791</x:f>
      </x:c>
      <x:c r="I203" s="23" t="n">
        <x:f>IF(E203="收入利润率",F203*G203/H203,'假设'!E791)</x:f>
        <x:v>0.6</x:v>
      </x:c>
      <x:c r="J203" s="23" t="n">
        <x:f>'假设'!F791</x:f>
        <x:v>32</x:v>
      </x:c>
      <x:c r="K203" s="23" t="n">
        <x:f>'假设'!G791</x:f>
        <x:v>1</x:v>
      </x:c>
      <x:c r="L203" s="23" t="n">
        <x:f>I203*J203*K203</x:f>
        <x:v>19.2</x:v>
      </x:c>
      <x:c r="M203" s="23" t="n">
        <x:f>'假设'!H791</x:f>
        <x:v>0</x:v>
      </x:c>
      <x:c r="N203" s="25" t="n">
        <x:f>L203/D203-1</x:f>
        <x:v>-0.18918918918918926</x:v>
      </x:c>
      <x:c r="O203" s="25" t="n">
        <x:f>(L203+M203)/D203-1</x:f>
        <x:v>-0.18918918918918926</x:v>
      </x:c>
      <x:c r="P203" s="25" t="str">
        <x:f>IF(Q203&gt;=3,(1+O203)^(1/Q203)-1,"")</x:f>
      </x:c>
      <x:c r="Q203" s="11" t="n">
        <x:v>0.5</x:v>
      </x:c>
      <x:c r="R203" s="11" t="n">
        <x:v>791</x:v>
      </x:c>
      <x:c r="T203" t="str">
        <x:v>CNY</x:v>
      </x:c>
    </x:row>
    <x:row r="204" ht="23" customHeight="1">
      <x:c r="A204" s="11" t="str">
        <x:v>300363.SZ</x:v>
      </x:c>
      <x:c r="B204" s="11" t="str">
        <x:v>博腾股份</x:v>
      </x:c>
      <x:c r="C204" s="11" t="str">
        <x:v>一年</x:v>
      </x:c>
      <x:c r="D204" s="11" t="n">
        <x:v>23.68</x:v>
      </x:c>
      <x:c r="E204" s="11" t="str">
        <x:v>EPS</x:v>
      </x:c>
      <x:c r="F204" s="23" t="n">
        <x:f>'假设'!I795</x:f>
        <x:v>0</x:v>
      </x:c>
      <x:c r="G204" s="24" t="n">
        <x:f>'假设'!J795</x:f>
        <x:v>0</x:v>
      </x:c>
      <x:c r="H204" s="23" t="str">
        <x:f>'假设'!K795</x:f>
      </x:c>
      <x:c r="I204" s="23" t="n">
        <x:f>IF(E204="收入利润率",F204*G204/H204,'假设'!E795)</x:f>
        <x:v>0.8</x:v>
      </x:c>
      <x:c r="J204" s="23" t="n">
        <x:f>'假设'!F795</x:f>
        <x:v>30</x:v>
      </x:c>
      <x:c r="K204" s="23" t="n">
        <x:f>'假设'!G795</x:f>
        <x:v>1</x:v>
      </x:c>
      <x:c r="L204" s="23" t="n">
        <x:f>I204*J204*K204</x:f>
        <x:v>24</x:v>
      </x:c>
      <x:c r="M204" s="23" t="n">
        <x:f>'假设'!H795</x:f>
        <x:v>0.08</x:v>
      </x:c>
      <x:c r="N204" s="25" t="n">
        <x:f>L204/D204-1</x:f>
        <x:v>0.013513513513513598</x:v>
      </x:c>
      <x:c r="O204" s="25" t="n">
        <x:f>(L204+M204)/D204-1</x:f>
        <x:v>0.016891891891891886</x:v>
      </x:c>
      <x:c r="P204" s="25" t="str">
        <x:f>IF(Q204&gt;=3,(1+O204)^(1/Q204)-1,"")</x:f>
      </x:c>
      <x:c r="Q204" s="11" t="n">
        <x:v>1</x:v>
      </x:c>
      <x:c r="R204" s="11" t="n">
        <x:v>795</x:v>
      </x:c>
      <x:c r="T204" t="str">
        <x:v>CNY</x:v>
      </x:c>
    </x:row>
    <x:row r="205" ht="23" customHeight="1">
      <x:c r="A205" s="11" t="str">
        <x:v>300363.SZ</x:v>
      </x:c>
      <x:c r="B205" s="11" t="str">
        <x:v>博腾股份</x:v>
      </x:c>
      <x:c r="C205" s="11" t="str">
        <x:v>三年</x:v>
      </x:c>
      <x:c r="D205" s="11" t="n">
        <x:v>23.68</x:v>
      </x:c>
      <x:c r="E205" s="11" t="str">
        <x:v>EPS</x:v>
      </x:c>
      <x:c r="F205" s="23" t="n">
        <x:f>'假设'!I799</x:f>
        <x:v>0</x:v>
      </x:c>
      <x:c r="G205" s="24" t="n">
        <x:f>'假设'!J799</x:f>
        <x:v>0</x:v>
      </x:c>
      <x:c r="H205" s="23" t="str">
        <x:f>'假设'!K799</x:f>
      </x:c>
      <x:c r="I205" s="23" t="n">
        <x:f>IF(E205="收入利润率",F205*G205/H205,'假设'!E799)</x:f>
        <x:v>1.5</x:v>
      </x:c>
      <x:c r="J205" s="23" t="n">
        <x:f>'假设'!F799</x:f>
        <x:v>28</x:v>
      </x:c>
      <x:c r="K205" s="23" t="n">
        <x:f>'假设'!G799</x:f>
        <x:v>1</x:v>
      </x:c>
      <x:c r="L205" s="23" t="n">
        <x:f>I205*J205*K205</x:f>
        <x:v>42</x:v>
      </x:c>
      <x:c r="M205" s="23" t="n">
        <x:f>'假设'!H799</x:f>
        <x:v>0.35</x:v>
      </x:c>
      <x:c r="N205" s="25" t="n">
        <x:f>L205/D205-1</x:f>
        <x:v>0.7736486486486487</x:v>
      </x:c>
      <x:c r="O205" s="25" t="n">
        <x:f>(L205+M205)/D205-1</x:f>
        <x:v>0.7884290540540542</x:v>
      </x:c>
      <x:c r="P205" s="25" t="n">
        <x:f>IF(Q205&gt;=3,(1+O205)^(1/Q205)-1,"")</x:f>
        <x:v>0.21382824457396388</x:v>
      </x:c>
      <x:c r="Q205" s="11" t="n">
        <x:v>3</x:v>
      </x:c>
      <x:c r="R205" s="11" t="n">
        <x:v>799</x:v>
      </x:c>
      <x:c r="T205" t="str">
        <x:v>CNY</x:v>
      </x:c>
    </x:row>
    <x:row r="206" ht="23" customHeight="1">
      <x:c r="A206" s="11" t="str">
        <x:v>300363.SZ</x:v>
      </x:c>
      <x:c r="B206" s="11" t="str">
        <x:v>博腾股份</x:v>
      </x:c>
      <x:c r="C206" s="11" t="str">
        <x:v>五年</x:v>
      </x:c>
      <x:c r="D206" s="11" t="n">
        <x:v>23.68</x:v>
      </x:c>
      <x:c r="E206" s="11" t="str">
        <x:v>EPS</x:v>
      </x:c>
      <x:c r="F206" s="23" t="n">
        <x:f>'假设'!I803</x:f>
        <x:v>0</x:v>
      </x:c>
      <x:c r="G206" s="24" t="n">
        <x:f>'假设'!J803</x:f>
        <x:v>0</x:v>
      </x:c>
      <x:c r="H206" s="23" t="str">
        <x:f>'假设'!K803</x:f>
      </x:c>
      <x:c r="I206" s="23" t="n">
        <x:f>IF(E206="收入利润率",F206*G206/H206,'假设'!E803)</x:f>
        <x:v>2.2</x:v>
      </x:c>
      <x:c r="J206" s="23" t="n">
        <x:f>'假设'!F803</x:f>
        <x:v>25</x:v>
      </x:c>
      <x:c r="K206" s="23" t="n">
        <x:f>'假设'!G803</x:f>
        <x:v>1</x:v>
      </x:c>
      <x:c r="L206" s="23" t="n">
        <x:f>I206*J206*K206</x:f>
        <x:v>55.00000000000001</x:v>
      </x:c>
      <x:c r="M206" s="23" t="n">
        <x:f>'假设'!H803</x:f>
        <x:v>0.8</x:v>
      </x:c>
      <x:c r="N206" s="25" t="n">
        <x:f>L206/D206-1</x:f>
        <x:v>1.3226351351351355</x:v>
      </x:c>
      <x:c r="O206" s="25" t="n">
        <x:f>(L206+M206)/D206-1</x:f>
        <x:v>1.3564189189189193</x:v>
      </x:c>
      <x:c r="P206" s="25" t="n">
        <x:f>IF(Q206&gt;=3,(1+O206)^(1/Q206)-1,"")</x:f>
        <x:v>0.18699940204505605</x:v>
      </x:c>
      <x:c r="Q206" s="11" t="n">
        <x:v>5</x:v>
      </x:c>
      <x:c r="R206" s="11" t="n">
        <x:v>803</x:v>
      </x:c>
      <x:c r="T206" t="str">
        <x:v>CNY</x:v>
      </x:c>
    </x:row>
    <x:row r="207" ht="23" customHeight="1">
      <x:c r="A207" s="11" t="str">
        <x:v>09995.HK</x:v>
      </x:c>
      <x:c r="B207" s="11" t="str">
        <x:v>荣昌生物</x:v>
      </x:c>
      <x:c r="C207" s="11" t="str">
        <x:v>2026年底</x:v>
      </x:c>
      <x:c r="D207" s="11" t="n">
        <x:v>70.4</x:v>
      </x:c>
      <x:c r="E207" s="11" t="str">
        <x:v>分资产rNPV</x:v>
      </x:c>
      <x:c r="F207" s="23" t="n">
        <x:f>'假设'!I807</x:f>
        <x:v>0</x:v>
      </x:c>
      <x:c r="G207" s="24" t="n">
        <x:f>'假设'!J807</x:f>
        <x:v>0</x:v>
      </x:c>
      <x:c r="H207" s="23" t="n">
        <x:f>'假设'!K807</x:f>
        <x:v>0.569</x:v>
      </x:c>
      <x:c r="I207" s="23" t="n">
        <x:f>IF(E207="收入利润率",F207*G207/H207,'假设'!E807)</x:f>
        <x:v>0</x:v>
      </x:c>
      <x:c r="J207" s="23" t="n">
        <x:f>'假设'!F807</x:f>
        <x:v>0</x:v>
      </x:c>
      <x:c r="K207" s="23" t="n">
        <x:f>'假设'!G807</x:f>
        <x:v>1.1</x:v>
      </x:c>
      <x:c r="L207" s="23" t="n">
        <x:f>D207+(U207-D207)*'假设'!U807</x:f>
        <x:v>70.37221704635137</x:v>
      </x:c>
      <x:c r="M207" s="23" t="n">
        <x:f>'假设'!H807</x:f>
        <x:v>0</x:v>
      </x:c>
      <x:c r="N207" s="25" t="n">
        <x:f>L207/D207-1</x:f>
        <x:v>-0.0003946442279636475</x:v>
      </x:c>
      <x:c r="O207" s="25" t="n">
        <x:f>(L207+M207)/D207-1</x:f>
        <x:v>-0.0003946442279636475</x:v>
      </x:c>
      <x:c r="P207" s="25" t="str">
        <x:f>IF(Q207&gt;=3,(1+O207)^(1/Q207)-1,"")</x:f>
      </x:c>
      <x:c r="Q207" s="11" t="n">
        <x:v>0</x:v>
      </x:c>
      <x:c r="R207" s="11" t="n">
        <x:v>807</x:v>
      </x:c>
      <x:c r="S207" t="n">
        <x:f>'假设'!N807</x:f>
        <x:v>2.7</x:v>
      </x:c>
      <x:c r="T207" t="str">
        <x:v>CNY</x:v>
      </x:c>
      <x:c r="U207" t="n">
        <x:f>MAX(0,(S207-'假设'!Q807+'许可受让方权益'!M7+'管线现金流'!AF37)/H207*K207)</x:f>
        <x:v>70.35369507725228</x:v>
      </x:c>
    </x:row>
    <x:row r="208" ht="23" customHeight="1">
      <x:c r="A208" s="11" t="str">
        <x:v>09995.HK</x:v>
      </x:c>
      <x:c r="B208" s="11" t="str">
        <x:v>荣昌生物</x:v>
      </x:c>
      <x:c r="C208" s="11" t="str">
        <x:v>半年</x:v>
      </x:c>
      <x:c r="D208" s="11" t="n">
        <x:v>70.4</x:v>
      </x:c>
      <x:c r="E208" s="11" t="str">
        <x:v>分资产rNPV</x:v>
      </x:c>
      <x:c r="F208" s="23" t="n">
        <x:f>'假设'!I811</x:f>
        <x:v>0</x:v>
      </x:c>
      <x:c r="G208" s="24" t="n">
        <x:f>'假设'!J811</x:f>
        <x:v>0</x:v>
      </x:c>
      <x:c r="H208" s="23" t="n">
        <x:f>'假设'!K811</x:f>
        <x:v>0.576</x:v>
      </x:c>
      <x:c r="I208" s="23" t="n">
        <x:f>IF(E208="收入利润率",F208*G208/H208,'假设'!E811)</x:f>
        <x:v>0</x:v>
      </x:c>
      <x:c r="J208" s="23" t="n">
        <x:f>'假设'!F811</x:f>
        <x:v>0</x:v>
      </x:c>
      <x:c r="K208" s="23" t="n">
        <x:f>'假设'!G811</x:f>
        <x:v>1.1</x:v>
      </x:c>
      <x:c r="L208" s="23" t="n">
        <x:f>D208+(U208-D208)*'假设'!U811</x:f>
        <x:v>69.62570771725393</x:v>
      </x:c>
      <x:c r="M208" s="23" t="n">
        <x:f>'假设'!H811</x:f>
        <x:v>0</x:v>
      </x:c>
      <x:c r="N208" s="25" t="n">
        <x:f>L208/D208-1</x:f>
        <x:v>-0.010998469925370347</x:v>
      </x:c>
      <x:c r="O208" s="25" t="n">
        <x:f>(L208+M208)/D208-1</x:f>
        <x:v>-0.010998469925370347</x:v>
      </x:c>
      <x:c r="P208" s="25" t="str">
        <x:f>IF(Q208&gt;=3,(1+O208)^(1/Q208)-1,"")</x:f>
      </x:c>
      <x:c r="Q208" s="11" t="n">
        <x:v>0.5</x:v>
      </x:c>
      <x:c r="R208" s="11" t="n">
        <x:v>811</x:v>
      </x:c>
      <x:c r="S208" t="n">
        <x:f>'假设'!N811</x:f>
        <x:v>2.65</x:v>
      </x:c>
      <x:c r="T208" t="str">
        <x:v>CNY</x:v>
      </x:c>
      <x:c r="U208" t="n">
        <x:f>MAX(0,(S208-'假设'!Q811+'许可受让方权益'!M8+'管线现金流'!AF38)/H208*K208)</x:f>
        <x:v>69.53967524139325</x:v>
      </x:c>
    </x:row>
    <x:row r="209" ht="23" customHeight="1">
      <x:c r="A209" s="11" t="str">
        <x:v>09995.HK</x:v>
      </x:c>
      <x:c r="B209" s="11" t="str">
        <x:v>荣昌生物</x:v>
      </x:c>
      <x:c r="C209" s="11" t="str">
        <x:v>一年</x:v>
      </x:c>
      <x:c r="D209" s="11" t="n">
        <x:v>70.4</x:v>
      </x:c>
      <x:c r="E209" s="11" t="str">
        <x:v>分资产rNPV</x:v>
      </x:c>
      <x:c r="F209" s="23" t="n">
        <x:f>'假设'!I815</x:f>
        <x:v>0</x:v>
      </x:c>
      <x:c r="G209" s="24" t="n">
        <x:f>'假设'!J815</x:f>
        <x:v>0</x:v>
      </x:c>
      <x:c r="H209" s="23" t="n">
        <x:f>'假设'!K815</x:f>
        <x:v>0.59</x:v>
      </x:c>
      <x:c r="I209" s="23" t="n">
        <x:f>IF(E209="收入利润率",F209*G209/H209,'假设'!E815)</x:f>
        <x:v>0</x:v>
      </x:c>
      <x:c r="J209" s="23" t="n">
        <x:f>'假设'!F815</x:f>
        <x:v>0</x:v>
      </x:c>
      <x:c r="K209" s="23" t="n">
        <x:f>'假设'!G815</x:f>
        <x:v>1.1</x:v>
      </x:c>
      <x:c r="L209" s="23" t="n">
        <x:f>D209+(U209-D209)*'假设'!U815</x:f>
        <x:v>71.83079551410438</x:v>
      </x:c>
      <x:c r="M209" s="23" t="n">
        <x:f>'假设'!H815</x:f>
        <x:v>0</x:v>
      </x:c>
      <x:c r="N209" s="25" t="n">
        <x:f>L209/D209-1</x:f>
        <x:v>0.020323799916255325</x:v>
      </x:c>
      <x:c r="O209" s="25" t="n">
        <x:f>(L209+M209)/D209-1</x:f>
        <x:v>0.020323799916255325</x:v>
      </x:c>
      <x:c r="P209" s="25" t="str">
        <x:f>IF(Q209&gt;=3,(1+O209)^(1/Q209)-1,"")</x:f>
      </x:c>
      <x:c r="Q209" s="11" t="n">
        <x:v>1</x:v>
      </x:c>
      <x:c r="R209" s="11" t="n">
        <x:v>815</x:v>
      </x:c>
      <x:c r="S209" t="n">
        <x:f>'假设'!N815</x:f>
        <x:v>2.8</x:v>
      </x:c>
      <x:c r="T209" t="str">
        <x:v>CNY</x:v>
      </x:c>
      <x:c r="U209" t="n">
        <x:f>MAX(0,(S209-'假设'!Q815+'许可受让方权益'!M9+'管线现金流'!AF39)/H209*K209)</x:f>
        <x:v>71.83079551410438</x:v>
      </x:c>
    </x:row>
    <x:row r="210" ht="23" customHeight="1">
      <x:c r="A210" s="11" t="str">
        <x:v>09995.HK</x:v>
      </x:c>
      <x:c r="B210" s="11" t="str">
        <x:v>荣昌生物</x:v>
      </x:c>
      <x:c r="C210" s="11" t="str">
        <x:v>三年</x:v>
      </x:c>
      <x:c r="D210" s="11" t="n">
        <x:v>70.4</x:v>
      </x:c>
      <x:c r="E210" s="11" t="str">
        <x:v>分资产rNPV</x:v>
      </x:c>
      <x:c r="F210" s="23" t="n">
        <x:f>'假设'!I819</x:f>
        <x:v>0</x:v>
      </x:c>
      <x:c r="G210" s="24" t="n">
        <x:f>'假设'!J819</x:f>
        <x:v>0</x:v>
      </x:c>
      <x:c r="H210" s="23" t="n">
        <x:f>'假设'!K819</x:f>
        <x:v>0.63</x:v>
      </x:c>
      <x:c r="I210" s="23" t="n">
        <x:f>IF(E210="收入利润率",F210*G210/H210,'假设'!E819)</x:f>
        <x:v>0</x:v>
      </x:c>
      <x:c r="J210" s="23" t="n">
        <x:f>'假设'!F819</x:f>
        <x:v>0</x:v>
      </x:c>
      <x:c r="K210" s="23" t="n">
        <x:f>'假设'!G819</x:f>
        <x:v>1.1</x:v>
      </x:c>
      <x:c r="L210" s="23" t="n">
        <x:f>D210+(U210-D210)*'假设'!U819</x:f>
        <x:v>81.02595430689605</x:v>
      </x:c>
      <x:c r="M210" s="23" t="n">
        <x:f>'假设'!H819</x:f>
        <x:v>0</x:v>
      </x:c>
      <x:c r="N210" s="25" t="n">
        <x:f>L210/D210-1</x:f>
        <x:v>0.15093685095022802</x:v>
      </x:c>
      <x:c r="O210" s="25" t="n">
        <x:f>(L210+M210)/D210-1</x:f>
        <x:v>0.15093685095022802</x:v>
      </x:c>
      <x:c r="P210" s="25" t="n">
        <x:f>IF(Q210&gt;=3,(1+O210)^(1/Q210)-1,"")</x:f>
        <x:v>0.04797397709594531</x:v>
      </x:c>
      <x:c r="Q210" s="11" t="n">
        <x:v>3</x:v>
      </x:c>
      <x:c r="R210" s="11" t="n">
        <x:v>819</x:v>
      </x:c>
      <x:c r="S210" t="n">
        <x:f>'假设'!N819</x:f>
        <x:v>3.6</x:v>
      </x:c>
      <x:c r="T210" t="str">
        <x:v>CNY</x:v>
      </x:c>
      <x:c r="U210" t="n">
        <x:f>MAX(0,(S210-'假设'!Q819+'许可受让方权益'!M10+'管线现金流'!AF40)/H210*K210)</x:f>
        <x:v>81.02595430689605</x:v>
      </x:c>
    </x:row>
    <x:row r="211" ht="23" customHeight="1">
      <x:c r="A211" s="11" t="str">
        <x:v>09995.HK</x:v>
      </x:c>
      <x:c r="B211" s="11" t="str">
        <x:v>荣昌生物</x:v>
      </x:c>
      <x:c r="C211" s="11" t="str">
        <x:v>五年</x:v>
      </x:c>
      <x:c r="D211" s="11" t="n">
        <x:v>70.4</x:v>
      </x:c>
      <x:c r="E211" s="11" t="str">
        <x:v>分资产rNPV</x:v>
      </x:c>
      <x:c r="F211" s="23" t="n">
        <x:f>'假设'!I823</x:f>
        <x:v>0</x:v>
      </x:c>
      <x:c r="G211" s="24" t="n">
        <x:f>'假设'!J823</x:f>
        <x:v>0</x:v>
      </x:c>
      <x:c r="H211" s="23" t="n">
        <x:f>'假设'!K823</x:f>
        <x:v>0.675</x:v>
      </x:c>
      <x:c r="I211" s="23" t="n">
        <x:f>IF(E211="收入利润率",F211*G211/H211,'假设'!E823)</x:f>
        <x:v>0</x:v>
      </x:c>
      <x:c r="J211" s="23" t="n">
        <x:f>'假设'!F823</x:f>
        <x:v>0</x:v>
      </x:c>
      <x:c r="K211" s="23" t="n">
        <x:f>'假设'!G823</x:f>
        <x:v>1.1</x:v>
      </x:c>
      <x:c r="L211" s="23" t="n">
        <x:f>D211+(U211-D211)*'假设'!U823</x:f>
        <x:v>82.35746843120475</x:v>
      </x:c>
      <x:c r="M211" s="23" t="n">
        <x:f>'假设'!H823</x:f>
        <x:v>0</x:v>
      </x:c>
      <x:c r="N211" s="25" t="n">
        <x:f>L211/D211-1</x:f>
        <x:v>0.16985040385234007</x:v>
      </x:c>
      <x:c r="O211" s="25" t="n">
        <x:f>(L211+M211)/D211-1</x:f>
        <x:v>0.16985040385234007</x:v>
      </x:c>
      <x:c r="P211" s="25" t="n">
        <x:f>IF(Q211&gt;=3,(1+O211)^(1/Q211)-1,"")</x:f>
        <x:v>0.031872565235682826</x:v>
      </x:c>
      <x:c r="Q211" s="11" t="n">
        <x:v>5</x:v>
      </x:c>
      <x:c r="R211" s="11" t="n">
        <x:v>823</x:v>
      </x:c>
      <x:c r="S211" t="n">
        <x:f>'假设'!N823</x:f>
        <x:v>5</x:v>
      </x:c>
      <x:c r="T211" t="str">
        <x:v>CNY</x:v>
      </x:c>
      <x:c r="U211" t="n">
        <x:f>MAX(0,(S211-'假设'!Q823+'许可受让方权益'!M11+'管线现金流'!AF41)/H211*K211)</x:f>
        <x:v>82.35746843120475</x:v>
      </x:c>
    </x:row>
    <x:row r="212" ht="23" customHeight="1">
      <x:c r="A212" s="11" t="str">
        <x:v>02607.HK</x:v>
      </x:c>
      <x:c r="B212" s="11" t="str">
        <x:v>上海医药</x:v>
      </x:c>
      <x:c r="C212" s="11" t="str">
        <x:v>2026年底</x:v>
      </x:c>
      <x:c r="D212" s="11" t="n">
        <x:v>11.03</x:v>
      </x:c>
      <x:c r="E212" s="11" t="str">
        <x:v>EPS</x:v>
      </x:c>
      <x:c r="F212" s="23" t="n">
        <x:f>'假设'!I827</x:f>
        <x:v>0</x:v>
      </x:c>
      <x:c r="G212" s="24" t="n">
        <x:f>'假设'!J827</x:f>
        <x:v>0</x:v>
      </x:c>
      <x:c r="H212" s="23" t="str">
        <x:f>'假设'!K827</x:f>
      </x:c>
      <x:c r="I212" s="23" t="n">
        <x:f>IF(E212="收入利润率",F212*G212/H212,'假设'!E827)</x:f>
        <x:v>1.22</x:v>
      </x:c>
      <x:c r="J212" s="23" t="n">
        <x:f>'假设'!F827</x:f>
        <x:v>8.5</x:v>
      </x:c>
      <x:c r="K212" s="23" t="n">
        <x:f>'假设'!G827</x:f>
        <x:v>1.1</x:v>
      </x:c>
      <x:c r="L212" s="23" t="n">
        <x:f>I212*J212*K212</x:f>
        <x:v>11.407</x:v>
      </x:c>
      <x:c r="M212" s="23" t="n">
        <x:f>'假设'!H827</x:f>
        <x:v>0</x:v>
      </x:c>
      <x:c r="N212" s="25" t="n">
        <x:f>L212/D212-1</x:f>
        <x:v>0.03417951042611067</x:v>
      </x:c>
      <x:c r="O212" s="25" t="n">
        <x:f>(L212+M212)/D212-1</x:f>
        <x:v>0.03417951042611067</x:v>
      </x:c>
      <x:c r="P212" s="25" t="str">
        <x:f>IF(Q212&gt;=3,(1+O212)^(1/Q212)-1,"")</x:f>
      </x:c>
      <x:c r="Q212" s="11" t="n">
        <x:v>0</x:v>
      </x:c>
      <x:c r="R212" s="11" t="n">
        <x:v>827</x:v>
      </x:c>
      <x:c r="T212" t="str">
        <x:v>CNY</x:v>
      </x:c>
    </x:row>
    <x:row r="213" ht="23" customHeight="1">
      <x:c r="A213" s="11" t="str">
        <x:v>02607.HK</x:v>
      </x:c>
      <x:c r="B213" s="11" t="str">
        <x:v>上海医药</x:v>
      </x:c>
      <x:c r="C213" s="11" t="str">
        <x:v>半年</x:v>
      </x:c>
      <x:c r="D213" s="11" t="n">
        <x:v>11.03</x:v>
      </x:c>
      <x:c r="E213" s="11" t="str">
        <x:v>EPS</x:v>
      </x:c>
      <x:c r="F213" s="23" t="n">
        <x:f>'假设'!I831</x:f>
        <x:v>0</x:v>
      </x:c>
      <x:c r="G213" s="24" t="n">
        <x:f>'假设'!J831</x:f>
        <x:v>0</x:v>
      </x:c>
      <x:c r="H213" s="23" t="str">
        <x:f>'假设'!K831</x:f>
      </x:c>
      <x:c r="I213" s="23" t="n">
        <x:f>IF(E213="收入利润率",F213*G213/H213,'假设'!E831)</x:f>
        <x:v>1.25</x:v>
      </x:c>
      <x:c r="J213" s="23" t="n">
        <x:f>'假设'!F831</x:f>
        <x:v>9.5</x:v>
      </x:c>
      <x:c r="K213" s="23" t="n">
        <x:f>'假设'!G831</x:f>
        <x:v>1.1</x:v>
      </x:c>
      <x:c r="L213" s="23" t="n">
        <x:f>I213*J213*K213</x:f>
        <x:v>13.062500000000002</x:v>
      </x:c>
      <x:c r="M213" s="23" t="n">
        <x:f>'假设'!H831</x:f>
        <x:v>0</x:v>
      </x:c>
      <x:c r="N213" s="25" t="n">
        <x:f>L213/D213-1</x:f>
        <x:v>0.18427017225747977</x:v>
      </x:c>
      <x:c r="O213" s="25" t="n">
        <x:f>(L213+M213)/D213-1</x:f>
        <x:v>0.18427017225747977</x:v>
      </x:c>
      <x:c r="P213" s="25" t="str">
        <x:f>IF(Q213&gt;=3,(1+O213)^(1/Q213)-1,"")</x:f>
      </x:c>
      <x:c r="Q213" s="11" t="n">
        <x:v>0.5</x:v>
      </x:c>
      <x:c r="R213" s="11" t="n">
        <x:v>831</x:v>
      </x:c>
      <x:c r="T213" t="str">
        <x:v>CNY</x:v>
      </x:c>
    </x:row>
    <x:row r="214" ht="23" customHeight="1">
      <x:c r="A214" s="11" t="str">
        <x:v>02607.HK</x:v>
      </x:c>
      <x:c r="B214" s="11" t="str">
        <x:v>上海医药</x:v>
      </x:c>
      <x:c r="C214" s="11" t="str">
        <x:v>一年</x:v>
      </x:c>
      <x:c r="D214" s="11" t="n">
        <x:v>11.03</x:v>
      </x:c>
      <x:c r="E214" s="11" t="str">
        <x:v>EPS</x:v>
      </x:c>
      <x:c r="F214" s="23" t="n">
        <x:f>'假设'!I835</x:f>
        <x:v>0</x:v>
      </x:c>
      <x:c r="G214" s="24" t="n">
        <x:f>'假设'!J835</x:f>
        <x:v>0</x:v>
      </x:c>
      <x:c r="H214" s="23" t="str">
        <x:f>'假设'!K835</x:f>
      </x:c>
      <x:c r="I214" s="23" t="n">
        <x:f>IF(E214="收入利润率",F214*G214/H214,'假设'!E835)</x:f>
        <x:v>1.4</x:v>
      </x:c>
      <x:c r="J214" s="23" t="n">
        <x:f>'假设'!F835</x:f>
        <x:v>10</x:v>
      </x:c>
      <x:c r="K214" s="23" t="n">
        <x:f>'假设'!G835</x:f>
        <x:v>1.1</x:v>
      </x:c>
      <x:c r="L214" s="23" t="n">
        <x:f>I214*J214*K214</x:f>
        <x:v>15.400000000000002</x:v>
      </x:c>
      <x:c r="M214" s="23" t="n">
        <x:f>'假设'!H835</x:f>
        <x:v>0.48</x:v>
      </x:c>
      <x:c r="N214" s="25" t="n">
        <x:f>L214/D214-1</x:f>
        <x:v>0.39619220308250247</x:v>
      </x:c>
      <x:c r="O214" s="25" t="n">
        <x:f>(L214+M214)/D214-1</x:f>
        <x:v>0.4397098821396195</x:v>
      </x:c>
      <x:c r="P214" s="25" t="str">
        <x:f>IF(Q214&gt;=3,(1+O214)^(1/Q214)-1,"")</x:f>
      </x:c>
      <x:c r="Q214" s="11" t="n">
        <x:v>1</x:v>
      </x:c>
      <x:c r="R214" s="11" t="n">
        <x:v>835</x:v>
      </x:c>
      <x:c r="T214" t="str">
        <x:v>CNY</x:v>
      </x:c>
    </x:row>
    <x:row r="215" ht="23" customHeight="1">
      <x:c r="A215" s="11" t="str">
        <x:v>02607.HK</x:v>
      </x:c>
      <x:c r="B215" s="11" t="str">
        <x:v>上海医药</x:v>
      </x:c>
      <x:c r="C215" s="11" t="str">
        <x:v>三年</x:v>
      </x:c>
      <x:c r="D215" s="11" t="n">
        <x:v>11.03</x:v>
      </x:c>
      <x:c r="E215" s="11" t="str">
        <x:v>EPS</x:v>
      </x:c>
      <x:c r="F215" s="23" t="n">
        <x:f>'假设'!I839</x:f>
        <x:v>0</x:v>
      </x:c>
      <x:c r="G215" s="24" t="n">
        <x:f>'假设'!J839</x:f>
        <x:v>0</x:v>
      </x:c>
      <x:c r="H215" s="23" t="str">
        <x:f>'假设'!K839</x:f>
      </x:c>
      <x:c r="I215" s="23" t="n">
        <x:f>IF(E215="收入利润率",F215*G215/H215,'假设'!E839)</x:f>
        <x:v>1.8</x:v>
      </x:c>
      <x:c r="J215" s="23" t="n">
        <x:f>'假设'!F839</x:f>
        <x:v>10.5</x:v>
      </x:c>
      <x:c r="K215" s="23" t="n">
        <x:f>'假设'!G839</x:f>
        <x:v>1.1</x:v>
      </x:c>
      <x:c r="L215" s="23" t="n">
        <x:f>I215*J215*K215</x:f>
        <x:v>20.790000000000003</x:v>
      </x:c>
      <x:c r="M215" s="23" t="n">
        <x:f>'假设'!H839</x:f>
        <x:v>1.6</x:v>
      </x:c>
      <x:c r="N215" s="25" t="n">
        <x:f>L215/D215-1</x:f>
        <x:v>0.8848594741613784</x:v>
      </x:c>
      <x:c r="O215" s="25" t="n">
        <x:f>(L215+M215)/D215-1</x:f>
        <x:v>1.0299184043517684</x:v>
      </x:c>
      <x:c r="P215" s="25" t="n">
        <x:f>IF(Q215&gt;=3,(1+O215)^(1/Q215)-1,"")</x:f>
        <x:v>0.2661724519921307</x:v>
      </x:c>
      <x:c r="Q215" s="11" t="n">
        <x:v>3</x:v>
      </x:c>
      <x:c r="R215" s="11" t="n">
        <x:v>839</x:v>
      </x:c>
      <x:c r="T215" t="str">
        <x:v>CNY</x:v>
      </x:c>
    </x:row>
    <x:row r="216" ht="23" customHeight="1">
      <x:c r="A216" s="11" t="str">
        <x:v>02607.HK</x:v>
      </x:c>
      <x:c r="B216" s="11" t="str">
        <x:v>上海医药</x:v>
      </x:c>
      <x:c r="C216" s="11" t="str">
        <x:v>五年</x:v>
      </x:c>
      <x:c r="D216" s="11" t="n">
        <x:v>11.03</x:v>
      </x:c>
      <x:c r="E216" s="11" t="str">
        <x:v>EPS</x:v>
      </x:c>
      <x:c r="F216" s="23" t="n">
        <x:f>'假设'!I843</x:f>
        <x:v>0</x:v>
      </x:c>
      <x:c r="G216" s="24" t="n">
        <x:f>'假设'!J843</x:f>
        <x:v>0</x:v>
      </x:c>
      <x:c r="H216" s="23" t="str">
        <x:f>'假设'!K843</x:f>
      </x:c>
      <x:c r="I216" s="23" t="n">
        <x:f>IF(E216="收入利润率",F216*G216/H216,'假设'!E843)</x:f>
        <x:v>2.2</x:v>
      </x:c>
      <x:c r="J216" s="23" t="n">
        <x:f>'假设'!F843</x:f>
        <x:v>10</x:v>
      </x:c>
      <x:c r="K216" s="23" t="n">
        <x:f>'假设'!G843</x:f>
        <x:v>1.1</x:v>
      </x:c>
      <x:c r="L216" s="23" t="n">
        <x:f>I216*J216*K216</x:f>
        <x:v>24.200000000000003</x:v>
      </x:c>
      <x:c r="M216" s="23" t="n">
        <x:f>'假设'!H843</x:f>
        <x:v>3</x:v>
      </x:c>
      <x:c r="N216" s="25" t="n">
        <x:f>L216/D216-1</x:f>
        <x:v>1.1940163191296467</x:v>
      </x:c>
      <x:c r="O216" s="25" t="n">
        <x:f>(L216+M216)/D216-1</x:f>
        <x:v>1.4660018132366277</x:v>
      </x:c>
      <x:c r="P216" s="25" t="n">
        <x:f>IF(Q216&gt;=3,(1+O216)^(1/Q216)-1,"")</x:f>
        <x:v>0.19783963245480884</x:v>
      </x:c>
      <x:c r="Q216" s="11" t="n">
        <x:v>5</x:v>
      </x:c>
      <x:c r="R216" s="11" t="n">
        <x:v>843</x:v>
      </x:c>
      <x:c r="T216" t="str">
        <x:v>CNY</x:v>
      </x:c>
    </x:row>
    <x:row r="217" ht="23" customHeight="1">
      <x:c r="A217" s="11" t="str">
        <x:v>02096.HK</x:v>
      </x:c>
      <x:c r="B217" s="11" t="str">
        <x:v>先声药业</x:v>
      </x:c>
      <x:c r="C217" s="11" t="str">
        <x:v>2026年底</x:v>
      </x:c>
      <x:c r="D217" s="11" t="n">
        <x:v>10.89</x:v>
      </x:c>
      <x:c r="E217" s="11" t="str">
        <x:v>先声年度盈利桥</x:v>
      </x:c>
      <x:c r="F217" s="23" t="n">
        <x:f>'先声年度经营桥'!C8</x:f>
        <x:v>11.514</x:v>
      </x:c>
      <x:c r="G217" s="24" t="n">
        <x:f>'先声年度经营桥'!M8/'先声年度经营桥'!C8</x:f>
        <x:v>0.1465655028660761</x:v>
      </x:c>
      <x:c r="H217" s="23" t="n">
        <x:f>'先声年度经营桥'!N8</x:f>
        <x:v>2.59</x:v>
      </x:c>
      <x:c r="I217" s="23" t="n">
        <x:f>'先声年度经营桥'!O8</x:f>
        <x:v>0.6515657142857143</x:v>
      </x:c>
      <x:c r="J217" s="23" t="n">
        <x:f>'假设'!F847</x:f>
        <x:v>22</x:v>
      </x:c>
      <x:c r="K217" s="23" t="n">
        <x:f>'假设'!G847</x:f>
        <x:v>1.1</x:v>
      </x:c>
      <x:c r="L217" s="23" t="n">
        <x:f>D217+(U217-D217)*'假设'!U847</x:f>
        <x:v>13.328945142857144</x:v>
      </x:c>
      <x:c r="M217" s="23" t="n">
        <x:f>0</x:f>
        <x:v>0</x:v>
      </x:c>
      <x:c r="N217" s="25" t="n">
        <x:f>L217/D217-1</x:f>
        <x:v>0.2239619047619048</x:v>
      </x:c>
      <x:c r="O217" s="25" t="n">
        <x:f>(L217+M217)/D217-1</x:f>
        <x:v>0.2239619047619048</x:v>
      </x:c>
      <x:c r="P217" s="25" t="str">
        <x:f>IF(Q217&gt;=3,(1+O217)^(1/Q217)-1,"")</x:f>
      </x:c>
      <x:c r="Q217" s="11" t="n">
        <x:v>0</x:v>
      </x:c>
      <x:c r="R217" s="11" t="n">
        <x:v>847</x:v>
      </x:c>
      <x:c r="T217" t="str">
        <x:v>CNY</x:v>
      </x:c>
      <x:c r="U217" t="n">
        <x:f>I217*J217*K217</x:f>
        <x:v>15.767890285714287</x:v>
      </x:c>
    </x:row>
    <x:row r="218" ht="23" customHeight="1">
      <x:c r="A218" s="11" t="str">
        <x:v>02096.HK</x:v>
      </x:c>
      <x:c r="B218" s="11" t="str">
        <x:v>先声药业</x:v>
      </x:c>
      <x:c r="C218" s="11" t="str">
        <x:v>半年</x:v>
      </x:c>
      <x:c r="D218" s="11" t="n">
        <x:v>10.89</x:v>
      </x:c>
      <x:c r="E218" s="11" t="str">
        <x:v>先声年度盈利桥</x:v>
      </x:c>
      <x:c r="F218" s="23" t="n">
        <x:f>'先声年度经营桥'!C8</x:f>
        <x:v>11.514</x:v>
      </x:c>
      <x:c r="G218" s="24" t="n">
        <x:f>'先声年度经营桥'!M8/'先声年度经营桥'!C8</x:f>
        <x:v>0.1465655028660761</x:v>
      </x:c>
      <x:c r="H218" s="23" t="n">
        <x:f>'先声年度经营桥'!N8</x:f>
        <x:v>2.59</x:v>
      </x:c>
      <x:c r="I218" s="23" t="n">
        <x:f>'先声年度经营桥'!O8</x:f>
        <x:v>0.6515657142857143</x:v>
      </x:c>
      <x:c r="J218" s="23" t="n">
        <x:f>'假设'!F851</x:f>
        <x:v>24</x:v>
      </x:c>
      <x:c r="K218" s="23" t="n">
        <x:f>'假设'!G851</x:f>
        <x:v>1.1</x:v>
      </x:c>
      <x:c r="L218" s="23" t="n">
        <x:f>D218+(U218-D218)*'假设'!U851</x:f>
        <x:v>15.623501142857144</x:v>
      </x:c>
      <x:c r="M218" s="23" t="n">
        <x:f>0</x:f>
        <x:v>0</x:v>
      </x:c>
      <x:c r="N218" s="25" t="n">
        <x:f>L218/D218-1</x:f>
        <x:v>0.4346649350649352</x:v>
      </x:c>
      <x:c r="O218" s="25" t="n">
        <x:f>(L218+M218)/D218-1</x:f>
        <x:v>0.4346649350649352</x:v>
      </x:c>
      <x:c r="P218" s="25" t="str">
        <x:f>IF(Q218&gt;=3,(1+O218)^(1/Q218)-1,"")</x:f>
      </x:c>
      <x:c r="Q218" s="11" t="n">
        <x:v>0.5</x:v>
      </x:c>
      <x:c r="R218" s="11" t="n">
        <x:v>851</x:v>
      </x:c>
      <x:c r="T218" t="str">
        <x:v>CNY</x:v>
      </x:c>
      <x:c r="U218" t="n">
        <x:f>I218*J218*K218</x:f>
        <x:v>17.201334857142857</x:v>
      </x:c>
    </x:row>
    <x:row r="219" ht="23" customHeight="1">
      <x:c r="A219" s="11" t="str">
        <x:v>02096.HK</x:v>
      </x:c>
      <x:c r="B219" s="11" t="str">
        <x:v>先声药业</x:v>
      </x:c>
      <x:c r="C219" s="11" t="str">
        <x:v>一年</x:v>
      </x:c>
      <x:c r="D219" s="11" t="n">
        <x:v>10.89</x:v>
      </x:c>
      <x:c r="E219" s="11" t="str">
        <x:v>先声年度盈利桥</x:v>
      </x:c>
      <x:c r="F219" s="23" t="n">
        <x:f>'先声年度经营桥'!C9</x:f>
        <x:v>13.6516</x:v>
      </x:c>
      <x:c r="G219" s="24" t="n">
        <x:f>'先声年度经营桥'!M9/'先声年度经营桥'!C9</x:f>
        <x:v>0.15631427583579943</x:v>
      </x:c>
      <x:c r="H219" s="23" t="n">
        <x:f>'先声年度经营桥'!N9</x:f>
        <x:v>2.61</x:v>
      </x:c>
      <x:c r="I219" s="23" t="n">
        <x:f>'先声年度经营桥'!O9</x:f>
        <x:v>0.8176015203065132</x:v>
      </x:c>
      <x:c r="J219" s="23" t="n">
        <x:f>'假设'!F855</x:f>
        <x:v>23</x:v>
      </x:c>
      <x:c r="K219" s="23" t="n">
        <x:f>'假设'!G855</x:f>
        <x:v>1.1</x:v>
      </x:c>
      <x:c r="L219" s="23" t="n">
        <x:f>D219+(U219-D219)*'假设'!U855</x:f>
        <x:v>20.685318463754786</x:v>
      </x:c>
      <x:c r="M219" s="23" t="n">
        <x:f>('先声年度假设'!V7)*K219</x:f>
        <x:v>0.24200000000000002</x:v>
      </x:c>
      <x:c r="N219" s="25" t="n">
        <x:f>L219/D219-1</x:f>
        <x:v>0.8994782794999803</x:v>
      </x:c>
      <x:c r="O219" s="25" t="n">
        <x:f>(L219+M219)/D219-1</x:f>
        <x:v>0.9217005017222026</x:v>
      </x:c>
      <x:c r="P219" s="25" t="str">
        <x:f>IF(Q219&gt;=3,(1+O219)^(1/Q219)-1,"")</x:f>
      </x:c>
      <x:c r="Q219" s="11" t="n">
        <x:v>1</x:v>
      </x:c>
      <x:c r="R219" s="11" t="n">
        <x:v>855</x:v>
      </x:c>
      <x:c r="T219" t="str">
        <x:v>CNY</x:v>
      </x:c>
      <x:c r="U219" t="n">
        <x:f>I219*J219*K219</x:f>
        <x:v>20.685318463754786</x:v>
      </x:c>
    </x:row>
    <x:row r="220" ht="23" customHeight="1">
      <x:c r="A220" s="11" t="str">
        <x:v>02096.HK</x:v>
      </x:c>
      <x:c r="B220" s="11" t="str">
        <x:v>先声药业</x:v>
      </x:c>
      <x:c r="C220" s="11" t="str">
        <x:v>三年</x:v>
      </x:c>
      <x:c r="D220" s="11" t="n">
        <x:v>10.89</x:v>
      </x:c>
      <x:c r="E220" s="11" t="str">
        <x:v>先声年度盈利桥</x:v>
      </x:c>
      <x:c r="F220" s="23" t="n">
        <x:f>'先声年度经营桥'!C10</x:f>
        <x:v>16.03024</x:v>
      </x:c>
      <x:c r="G220" s="24" t="n">
        <x:f>'先声年度经营桥'!M10/'先声年度经营桥'!C10</x:f>
        <x:v>0.17345643613570355</x:v>
      </x:c>
      <x:c r="H220" s="23" t="n">
        <x:f>'先声年度经营桥'!N10</x:f>
        <x:v>2.635</x:v>
      </x:c>
      <x:c r="I220" s="23" t="n">
        <x:f>'先声年度经营桥'!O10</x:f>
        <x:v>1.0552365467931692</x:v>
      </x:c>
      <x:c r="J220" s="23" t="n">
        <x:f>'假设'!F859</x:f>
        <x:v>22</x:v>
      </x:c>
      <x:c r="K220" s="23" t="n">
        <x:f>'假设'!G859</x:f>
        <x:v>1.1</x:v>
      </x:c>
      <x:c r="L220" s="23" t="n">
        <x:f>D220+(U220-D220)*'假设'!U859</x:f>
        <x:v>25.536724432394696</x:v>
      </x:c>
      <x:c r="M220" s="23" t="n">
        <x:f>('先声年度假设'!V7+'先声年度假设'!V11+'先声年度假设'!V15)*K220</x:f>
        <x:v>0.8800000000000001</x:v>
      </x:c>
      <x:c r="N220" s="25" t="n">
        <x:f>L220/D220-1</x:f>
        <x:v>1.3449701039848203</x:v>
      </x:c>
      <x:c r="O220" s="25" t="n">
        <x:f>(L220+M220)/D220-1</x:f>
        <x:v>1.4257781847929012</x:v>
      </x:c>
      <x:c r="P220" s="25" t="n">
        <x:f>IF(Q220&gt;=3,(1+O220)^(1/Q220)-1,"")</x:f>
        <x:v>0.3436423856901931</x:v>
      </x:c>
      <x:c r="Q220" s="11" t="n">
        <x:v>3</x:v>
      </x:c>
      <x:c r="R220" s="11" t="n">
        <x:v>859</x:v>
      </x:c>
      <x:c r="T220" t="str">
        <x:v>CNY</x:v>
      </x:c>
      <x:c r="U220" t="n">
        <x:f>I220*J220*K220</x:f>
        <x:v>25.536724432394696</x:v>
      </x:c>
    </x:row>
    <x:row r="221" ht="23" customHeight="1">
      <x:c r="A221" s="11" t="str">
        <x:v>02096.HK</x:v>
      </x:c>
      <x:c r="B221" s="11" t="str">
        <x:v>先声药业</x:v>
      </x:c>
      <x:c r="C221" s="11" t="str">
        <x:v>五年</x:v>
      </x:c>
      <x:c r="D221" s="11" t="n">
        <x:v>10.89</x:v>
      </x:c>
      <x:c r="E221" s="11" t="str">
        <x:v>先声年度盈利桥</x:v>
      </x:c>
      <x:c r="F221" s="23" t="n">
        <x:f>'先声年度经营桥'!C12</x:f>
        <x:v>20.544020000000007</x:v>
      </x:c>
      <x:c r="G221" s="24" t="n">
        <x:f>'先声年度经营桥'!M12/'先声年度经营桥'!C12</x:f>
        <x:v>0.20328376004306833</x:v>
      </x:c>
      <x:c r="H221" s="23" t="n">
        <x:f>'先声年度经营桥'!N12</x:f>
        <x:v>2.685</x:v>
      </x:c>
      <x:c r="I221" s="23" t="n">
        <x:f>'先声年度经营桥'!O12</x:f>
        <x:v>1.555406194413407</x:v>
      </x:c>
      <x:c r="J221" s="23" t="n">
        <x:f>'假设'!F863</x:f>
        <x:v>20</x:v>
      </x:c>
      <x:c r="K221" s="23" t="n">
        <x:f>'假设'!G863</x:f>
        <x:v>1.1</x:v>
      </x:c>
      <x:c r="L221" s="23" t="n">
        <x:f>D221+(U221-D221)*'假设'!U863</x:f>
        <x:v>34.218936277094954</x:v>
      </x:c>
      <x:c r="M221" s="23" t="n">
        <x:f>('先声年度假设'!V7+'先声年度假设'!V11+'先声年度假设'!V15+'先声年度假设'!V19+'先声年度假设'!V23)*K221</x:f>
        <x:v>1.8480000000000003</x:v>
      </x:c>
      <x:c r="N221" s="25" t="n">
        <x:f>L221/D221-1</x:f>
        <x:v>2.142234736188701</x:v>
      </x:c>
      <x:c r="O221" s="25" t="n">
        <x:f>(L221+M221)/D221-1</x:f>
        <x:v>2.3119317058856703</x:v>
      </x:c>
      <x:c r="P221" s="25" t="n">
        <x:f>IF(Q221&gt;=3,(1+O221)^(1/Q221)-1,"")</x:f>
        <x:v>0.27062171902290233</x:v>
      </x:c>
      <x:c r="Q221" s="11" t="n">
        <x:v>5</x:v>
      </x:c>
      <x:c r="R221" s="11" t="n">
        <x:v>863</x:v>
      </x:c>
      <x:c r="T221" t="str">
        <x:v>CNY</x:v>
      </x:c>
      <x:c r="U221" t="n">
        <x:f>I221*J221*K221</x:f>
        <x:v>34.218936277094954</x:v>
      </x:c>
    </x:row>
    <x:row r="222" ht="23" customHeight="1">
      <x:c r="A222" s="11" t="str">
        <x:v>01177.HK</x:v>
      </x:c>
      <x:c r="B222" s="11" t="str">
        <x:v>中国生物制药</x:v>
      </x:c>
      <x:c r="C222" s="11" t="str">
        <x:v>2026年底</x:v>
      </x:c>
      <x:c r="D222" s="11" t="n">
        <x:v>5.41</x:v>
      </x:c>
      <x:c r="E222" s="11" t="str">
        <x:v>收入利润率</x:v>
      </x:c>
      <x:c r="F222" s="23" t="n">
        <x:f>'假设'!I867</x:f>
        <x:v>42</x:v>
      </x:c>
      <x:c r="G222" s="24" t="n">
        <x:f>'假设'!J867</x:f>
        <x:v>0.13433333333333333</x:v>
      </x:c>
      <x:c r="H222" s="23" t="n">
        <x:f>'假设'!K867</x:f>
        <x:v>18.2</x:v>
      </x:c>
      <x:c r="I222" s="23" t="n">
        <x:f>IF(E222="收入利润率",F222*G222/H222,'假设'!E867)</x:f>
        <x:v>0.31000000000000005</x:v>
      </x:c>
      <x:c r="J222" s="23" t="n">
        <x:f>'假设'!F867</x:f>
        <x:v>21</x:v>
      </x:c>
      <x:c r="K222" s="23" t="n">
        <x:f>'假设'!G867</x:f>
        <x:v>1.1</x:v>
      </x:c>
      <x:c r="L222" s="23" t="n">
        <x:f>(I222*J222+(S222+'假设'!P867)/H222)*K222</x:f>
        <x:v>7.60825274725275</x:v>
      </x:c>
      <x:c r="M222" s="23" t="n">
        <x:f>'假设'!H867</x:f>
        <x:v>0</x:v>
      </x:c>
      <x:c r="N222" s="25" t="n">
        <x:f>L222/D222-1</x:f>
        <x:v>0.40633137657167273</x:v>
      </x:c>
      <x:c r="O222" s="25" t="n">
        <x:f>(L222+M222)/D222-1</x:f>
        <x:v>0.40633137657167273</x:v>
      </x:c>
      <x:c r="P222" s="25" t="str">
        <x:f>IF(Q222&gt;=3,(1+O222)^(1/Q222)-1,"")</x:f>
      </x:c>
      <x:c r="Q222" s="11" t="n">
        <x:v>0</x:v>
      </x:c>
      <x:c r="R222" s="11" t="n">
        <x:v>867</x:v>
      </x:c>
      <x:c r="S222" t="n">
        <x:f>'假设'!N867</x:f>
        <x:v>2</x:v>
      </x:c>
      <x:c r="T222" t="str">
        <x:v>CNY</x:v>
      </x:c>
    </x:row>
    <x:row r="223" ht="23" customHeight="1">
      <x:c r="A223" s="11" t="str">
        <x:v>01177.HK</x:v>
      </x:c>
      <x:c r="B223" s="11" t="str">
        <x:v>中国生物制药</x:v>
      </x:c>
      <x:c r="C223" s="11" t="str">
        <x:v>半年</x:v>
      </x:c>
      <x:c r="D223" s="11" t="n">
        <x:v>5.41</x:v>
      </x:c>
      <x:c r="E223" s="11" t="str">
        <x:v>收入利润率</x:v>
      </x:c>
      <x:c r="F223" s="23" t="n">
        <x:f>'假设'!I871</x:f>
        <x:v>42</x:v>
      </x:c>
      <x:c r="G223" s="24" t="n">
        <x:f>'假设'!J871</x:f>
        <x:v>0.13433333333333333</x:v>
      </x:c>
      <x:c r="H223" s="23" t="n">
        <x:f>'假设'!K871</x:f>
        <x:v>18.2</x:v>
      </x:c>
      <x:c r="I223" s="23" t="n">
        <x:f>IF(E223="收入利润率",F223*G223/H223,'假设'!E871)</x:f>
        <x:v>0.31000000000000005</x:v>
      </x:c>
      <x:c r="J223" s="23" t="n">
        <x:f>'假设'!F871</x:f>
        <x:v>23</x:v>
      </x:c>
      <x:c r="K223" s="23" t="n">
        <x:f>'假设'!G871</x:f>
        <x:v>1.1</x:v>
      </x:c>
      <x:c r="L223" s="23" t="n">
        <x:f>(I223*J223+(S223+'假设'!P871)/H223)*K223</x:f>
        <x:v>8.320472527472528</x:v>
      </x:c>
      <x:c r="M223" s="23" t="n">
        <x:f>'假设'!H871</x:f>
        <x:v>0</x:v>
      </x:c>
      <x:c r="N223" s="25" t="n">
        <x:f>L223/D223-1</x:f>
        <x:v>0.5379801344681199</x:v>
      </x:c>
      <x:c r="O223" s="25" t="n">
        <x:f>(L223+M223)/D223-1</x:f>
        <x:v>0.5379801344681199</x:v>
      </x:c>
      <x:c r="P223" s="25" t="str">
        <x:f>IF(Q223&gt;=3,(1+O223)^(1/Q223)-1,"")</x:f>
      </x:c>
      <x:c r="Q223" s="11" t="n">
        <x:v>0.5</x:v>
      </x:c>
      <x:c r="R223" s="11" t="n">
        <x:v>871</x:v>
      </x:c>
      <x:c r="S223" t="n">
        <x:f>'假设'!N871</x:f>
        <x:v>2.5</x:v>
      </x:c>
      <x:c r="T223" t="str">
        <x:v>CNY</x:v>
      </x:c>
    </x:row>
    <x:row r="224" ht="23" customHeight="1">
      <x:c r="A224" s="11" t="str">
        <x:v>01177.HK</x:v>
      </x:c>
      <x:c r="B224" s="11" t="str">
        <x:v>中国生物制药</x:v>
      </x:c>
      <x:c r="C224" s="11" t="str">
        <x:v>一年</x:v>
      </x:c>
      <x:c r="D224" s="11" t="n">
        <x:v>5.41</x:v>
      </x:c>
      <x:c r="E224" s="11" t="str">
        <x:v>收入利润率</x:v>
      </x:c>
      <x:c r="F224" s="23" t="n">
        <x:f>'假设'!I875</x:f>
        <x:v>49</x:v>
      </x:c>
      <x:c r="G224" s="24" t="n">
        <x:f>'假设'!J875</x:f>
        <x:v>0.14644897959183673</x:v>
      </x:c>
      <x:c r="H224" s="23" t="n">
        <x:f>'假设'!K875</x:f>
        <x:v>18.4</x:v>
      </x:c>
      <x:c r="I224" s="23" t="n">
        <x:f>IF(E224="收入利润率",F224*G224/H224,'假设'!E875)</x:f>
        <x:v>0.39</x:v>
      </x:c>
      <x:c r="J224" s="23" t="n">
        <x:f>'假设'!F875</x:f>
        <x:v>23</x:v>
      </x:c>
      <x:c r="K224" s="23" t="n">
        <x:f>'假设'!G875</x:f>
        <x:v>1.1</x:v>
      </x:c>
      <x:c r="L224" s="23" t="n">
        <x:f>(I224*J224+(S224+'假设'!P875)/H224)*K224</x:f>
        <x:v>10.428956521739131</x:v>
      </x:c>
      <x:c r="M224" s="23" t="n">
        <x:f>'假设'!H875</x:f>
        <x:v>0.14</x:v>
      </x:c>
      <x:c r="N224" s="25" t="n">
        <x:f>L224/D224-1</x:f>
        <x:v>0.9277183958852369</x:v>
      </x:c>
      <x:c r="O224" s="25" t="n">
        <x:f>(L224+M224)/D224-1</x:f>
        <x:v>0.9535963995820946</x:v>
      </x:c>
      <x:c r="P224" s="25" t="str">
        <x:f>IF(Q224&gt;=3,(1+O224)^(1/Q224)-1,"")</x:f>
      </x:c>
      <x:c r="Q224" s="11" t="n">
        <x:v>1</x:v>
      </x:c>
      <x:c r="R224" s="11" t="n">
        <x:v>875</x:v>
      </x:c>
      <x:c r="S224" t="n">
        <x:f>'假设'!N875</x:f>
        <x:v>3.8</x:v>
      </x:c>
      <x:c r="T224" t="str">
        <x:v>CNY</x:v>
      </x:c>
    </x:row>
    <x:row r="225" ht="23" customHeight="1">
      <x:c r="A225" s="11" t="str">
        <x:v>01177.HK</x:v>
      </x:c>
      <x:c r="B225" s="11" t="str">
        <x:v>中国生物制药</x:v>
      </x:c>
      <x:c r="C225" s="11" t="str">
        <x:v>三年</x:v>
      </x:c>
      <x:c r="D225" s="11" t="n">
        <x:v>5.41</x:v>
      </x:c>
      <x:c r="E225" s="11" t="str">
        <x:v>收入利润率</x:v>
      </x:c>
      <x:c r="F225" s="23" t="n">
        <x:f>'假设'!I879</x:f>
        <x:v>60.7</x:v>
      </x:c>
      <x:c r="G225" s="24" t="n">
        <x:f>'假设'!J879</x:f>
        <x:v>0.1641515650741351</x:v>
      </x:c>
      <x:c r="H225" s="23" t="n">
        <x:f>'假设'!K879</x:f>
        <x:v>18.8</x:v>
      </x:c>
      <x:c r="I225" s="23" t="n">
        <x:f>IF(E225="收入利润率",F225*G225/H225,'假设'!E879)</x:f>
        <x:v>0.53</x:v>
      </x:c>
      <x:c r="J225" s="23" t="n">
        <x:f>'假设'!F879</x:f>
        <x:v>22</x:v>
      </x:c>
      <x:c r="K225" s="23" t="n">
        <x:f>'假设'!G879</x:f>
        <x:v>1.1</x:v>
      </x:c>
      <x:c r="L225" s="23" t="n">
        <x:f>(I225*J225+(S225+'假设'!P879)/H225)*K225</x:f>
        <x:v>13.586638297872343</x:v>
      </x:c>
      <x:c r="M225" s="23" t="n">
        <x:f>'假设'!H879</x:f>
        <x:v>0.5</x:v>
      </x:c>
      <x:c r="N225" s="25" t="n">
        <x:f>L225/D225-1</x:f>
        <x:v>1.5113934007157748</x:v>
      </x:c>
      <x:c r="O225" s="25" t="n">
        <x:f>(L225+M225)/D225-1</x:f>
        <x:v>1.6038148424902667</x:v>
      </x:c>
      <x:c r="P225" s="25" t="n">
        <x:f>IF(Q225&gt;=3,(1+O225)^(1/Q225)-1,"")</x:f>
        <x:v>0.3757410603645417</x:v>
      </x:c>
      <x:c r="Q225" s="11" t="n">
        <x:v>3</x:v>
      </x:c>
      <x:c r="R225" s="11" t="n">
        <x:v>879</x:v>
      </x:c>
      <x:c r="S225" t="n">
        <x:f>'假设'!N879</x:f>
        <x:v>7</x:v>
      </x:c>
      <x:c r="T225" t="str">
        <x:v>CNY</x:v>
      </x:c>
    </x:row>
    <x:row r="226" ht="23" customHeight="1">
      <x:c r="A226" s="11" t="str">
        <x:v>01177.HK</x:v>
      </x:c>
      <x:c r="B226" s="11" t="str">
        <x:v>中国生物制药</x:v>
      </x:c>
      <x:c r="C226" s="11" t="str">
        <x:v>五年</x:v>
      </x:c>
      <x:c r="D226" s="11" t="n">
        <x:v>5.41</x:v>
      </x:c>
      <x:c r="E226" s="11" t="str">
        <x:v>收入利润率</x:v>
      </x:c>
      <x:c r="F226" s="23" t="n">
        <x:f>'假设'!I883</x:f>
        <x:v>84.5</x:v>
      </x:c>
      <x:c r="G226" s="24" t="n">
        <x:f>'假设'!J883</x:f>
        <x:v>0.17678106508875738</x:v>
      </x:c>
      <x:c r="H226" s="23" t="n">
        <x:f>'假设'!K883</x:f>
        <x:v>19.4</x:v>
      </x:c>
      <x:c r="I226" s="23" t="n">
        <x:f>IF(E226="收入利润率",F226*G226/H226,'假设'!E883)</x:f>
        <x:v>0.77</x:v>
      </x:c>
      <x:c r="J226" s="23" t="n">
        <x:f>'假设'!F883</x:f>
        <x:v>20</x:v>
      </x:c>
      <x:c r="K226" s="23" t="n">
        <x:f>'假设'!G883</x:f>
        <x:v>1.1</x:v>
      </x:c>
      <x:c r="L226" s="23" t="n">
        <x:f>(I226*J226+(S226+'假设'!P883)/H226)*K226</x:f>
        <x:v>17.988969072164952</x:v>
      </x:c>
      <x:c r="M226" s="23" t="n">
        <x:f>'假设'!H883</x:f>
        <x:v>0.95</x:v>
      </x:c>
      <x:c r="N226" s="25" t="n">
        <x:f>L226/D226-1</x:f>
        <x:v>2.3251329153724494</x:v>
      </x:c>
      <x:c r="O226" s="25" t="n">
        <x:f>(L226+M226)/D226-1</x:f>
        <x:v>2.5007336547439833</x:v>
      </x:c>
      <x:c r="P226" s="25" t="n">
        <x:f>IF(Q226&gt;=3,(1+O226)^(1/Q226)-1,"")</x:f>
        <x:v>0.28478901272476875</x:v>
      </x:c>
      <x:c r="Q226" s="11" t="n">
        <x:v>5</x:v>
      </x:c>
      <x:c r="R226" s="11" t="n">
        <x:v>883</x:v>
      </x:c>
      <x:c r="S226" t="n">
        <x:f>'假设'!N883</x:f>
        <x:v>12</x:v>
      </x:c>
      <x:c r="T226" t="str">
        <x:v>CNY</x:v>
      </x:c>
    </x:row>
    <x:row r="227" ht="23" customHeight="1">
      <x:c r="A227" s="11" t="str">
        <x:v>00981.HK</x:v>
      </x:c>
      <x:c r="B227" s="11" t="str">
        <x:v>中芯国际</x:v>
      </x:c>
      <x:c r="C227" s="11" t="str">
        <x:v>2026年底</x:v>
      </x:c>
      <x:c r="D227" s="11" t="n">
        <x:v>57.65</x:v>
      </x:c>
      <x:c r="E227" s="11" t="str">
        <x:v>USD归母桥</x:v>
      </x:c>
      <x:c r="F227" s="23" t="n">
        <x:f>'假设'!I887</x:f>
        <x:v>0</x:v>
      </x:c>
      <x:c r="G227" s="24" t="n">
        <x:f>'假设'!J887</x:f>
        <x:v>0</x:v>
      </x:c>
      <x:c r="H227" s="23" t="str">
        <x:f>'假设'!K887</x:f>
      </x:c>
      <x:c r="I227" s="23" t="n">
        <x:f>'经营假设'!Y7</x:f>
        <x:v>0.1474</x:v>
      </x:c>
      <x:c r="J227" s="23" t="n">
        <x:f>'假设'!F887</x:f>
        <x:v>55</x:v>
      </x:c>
      <x:c r="K227" s="23" t="n">
        <x:f>'假设'!G887</x:f>
        <x:v>7.8</x:v>
      </x:c>
      <x:c r="L227" s="23" t="n">
        <x:f>'经营假设'!AB7</x:f>
        <x:v>63.23</x:v>
      </x:c>
      <x:c r="M227" s="23" t="n">
        <x:f>'假设'!H887</x:f>
        <x:v>0</x:v>
      </x:c>
      <x:c r="N227" s="25" t="n">
        <x:f>L227/D227-1</x:f>
        <x:v>0.09679098005203812</x:v>
      </x:c>
      <x:c r="O227" s="25" t="n">
        <x:f>(L227+M227)/D227-1</x:f>
        <x:v>0.09679098005203812</x:v>
      </x:c>
      <x:c r="P227" s="25" t="str">
        <x:f>IF(Q227&gt;=3,(1+O227)^(1/Q227)-1,"")</x:f>
      </x:c>
      <x:c r="Q227" s="11" t="n">
        <x:v>0</x:v>
      </x:c>
      <x:c r="R227" s="11" t="n">
        <x:v>887</x:v>
      </x:c>
      <x:c r="T227" t="str">
        <x:v>USD</x:v>
      </x:c>
    </x:row>
    <x:row r="228" ht="23" customHeight="1">
      <x:c r="A228" s="11" t="str">
        <x:v>00981.HK</x:v>
      </x:c>
      <x:c r="B228" s="11" t="str">
        <x:v>中芯国际</x:v>
      </x:c>
      <x:c r="C228" s="11" t="str">
        <x:v>半年</x:v>
      </x:c>
      <x:c r="D228" s="11" t="n">
        <x:v>57.65</x:v>
      </x:c>
      <x:c r="E228" s="11" t="str">
        <x:v>USD归母桥</x:v>
      </x:c>
      <x:c r="F228" s="23" t="n">
        <x:f>'假设'!I891</x:f>
        <x:v>0</x:v>
      </x:c>
      <x:c r="G228" s="24" t="n">
        <x:f>'假设'!J891</x:f>
        <x:v>0</x:v>
      </x:c>
      <x:c r="H228" s="23" t="str">
        <x:f>'假设'!K891</x:f>
      </x:c>
      <x:c r="I228" s="23" t="n">
        <x:f>'经营假设'!Y11</x:f>
        <x:v>0.1754</x:v>
      </x:c>
      <x:c r="J228" s="23" t="n">
        <x:f>'假设'!F891</x:f>
        <x:v>55</x:v>
      </x:c>
      <x:c r="K228" s="23" t="n">
        <x:f>'假设'!G891</x:f>
        <x:v>7.8</x:v>
      </x:c>
      <x:c r="L228" s="23" t="n">
        <x:f>'经营假设'!AB11</x:f>
        <x:v>75.25</x:v>
      </x:c>
      <x:c r="M228" s="23" t="n">
        <x:f>'假设'!H891</x:f>
        <x:v>0</x:v>
      </x:c>
      <x:c r="N228" s="25" t="n">
        <x:f>L228/D228-1</x:f>
        <x:v>0.30529054640069386</x:v>
      </x:c>
      <x:c r="O228" s="25" t="n">
        <x:f>(L228+M228)/D228-1</x:f>
        <x:v>0.30529054640069386</x:v>
      </x:c>
      <x:c r="P228" s="25" t="str">
        <x:f>IF(Q228&gt;=3,(1+O228)^(1/Q228)-1,"")</x:f>
      </x:c>
      <x:c r="Q228" s="11" t="n">
        <x:v>0.5</x:v>
      </x:c>
      <x:c r="R228" s="11" t="n">
        <x:v>891</x:v>
      </x:c>
      <x:c r="T228" t="str">
        <x:v>USD</x:v>
      </x:c>
    </x:row>
    <x:row r="229" ht="23" customHeight="1">
      <x:c r="A229" s="11" t="str">
        <x:v>00981.HK</x:v>
      </x:c>
      <x:c r="B229" s="11" t="str">
        <x:v>中芯国际</x:v>
      </x:c>
      <x:c r="C229" s="11" t="str">
        <x:v>一年</x:v>
      </x:c>
      <x:c r="D229" s="11" t="n">
        <x:v>57.65</x:v>
      </x:c>
      <x:c r="E229" s="11" t="str">
        <x:v>USD归母桥</x:v>
      </x:c>
      <x:c r="F229" s="23" t="n">
        <x:f>'假设'!I895</x:f>
        <x:v>0</x:v>
      </x:c>
      <x:c r="G229" s="24" t="n">
        <x:f>'假设'!J895</x:f>
        <x:v>0</x:v>
      </x:c>
      <x:c r="H229" s="23" t="str">
        <x:f>'假设'!K895</x:f>
      </x:c>
      <x:c r="I229" s="23" t="n">
        <x:f>'经营假设'!Y15</x:f>
        <x:v>0.2061</x:v>
      </x:c>
      <x:c r="J229" s="23" t="n">
        <x:f>'假设'!F895</x:f>
        <x:v>52</x:v>
      </x:c>
      <x:c r="K229" s="23" t="n">
        <x:f>'假设'!G895</x:f>
        <x:v>7.8</x:v>
      </x:c>
      <x:c r="L229" s="23" t="n">
        <x:f>'经营假设'!AB15</x:f>
        <x:v>83.59</x:v>
      </x:c>
      <x:c r="M229" s="23" t="n">
        <x:f>'假设'!H895</x:f>
        <x:v>0</x:v>
      </x:c>
      <x:c r="N229" s="25" t="n">
        <x:f>L229/D229-1</x:f>
        <x:v>0.44995663486556814</x:v>
      </x:c>
      <x:c r="O229" s="25" t="n">
        <x:f>(L229+M229)/D229-1</x:f>
        <x:v>0.44995663486556814</x:v>
      </x:c>
      <x:c r="P229" s="25" t="str">
        <x:f>IF(Q229&gt;=3,(1+O229)^(1/Q229)-1,"")</x:f>
      </x:c>
      <x:c r="Q229" s="11" t="n">
        <x:v>1</x:v>
      </x:c>
      <x:c r="R229" s="11" t="n">
        <x:v>895</x:v>
      </x:c>
      <x:c r="T229" t="str">
        <x:v>USD</x:v>
      </x:c>
    </x:row>
    <x:row r="230" ht="23" customHeight="1">
      <x:c r="A230" s="11" t="str">
        <x:v>00981.HK</x:v>
      </x:c>
      <x:c r="B230" s="11" t="str">
        <x:v>中芯国际</x:v>
      </x:c>
      <x:c r="C230" s="11" t="str">
        <x:v>三年</x:v>
      </x:c>
      <x:c r="D230" s="11" t="n">
        <x:v>57.65</x:v>
      </x:c>
      <x:c r="E230" s="11" t="str">
        <x:v>USD归母桥</x:v>
      </x:c>
      <x:c r="F230" s="23" t="n">
        <x:f>'假设'!I899</x:f>
        <x:v>0</x:v>
      </x:c>
      <x:c r="G230" s="24" t="n">
        <x:f>'假设'!J899</x:f>
        <x:v>0</x:v>
      </x:c>
      <x:c r="H230" s="23" t="str">
        <x:f>'假设'!K899</x:f>
      </x:c>
      <x:c r="I230" s="23" t="n">
        <x:f>'经营假设'!Y19</x:f>
        <x:v>0.3251</x:v>
      </x:c>
      <x:c r="J230" s="23" t="n">
        <x:f>'假设'!F899</x:f>
        <x:v>45</x:v>
      </x:c>
      <x:c r="K230" s="23" t="n">
        <x:f>'假设'!G899</x:f>
        <x:v>7.8</x:v>
      </x:c>
      <x:c r="L230" s="23" t="n">
        <x:f>'经营假设'!AB19</x:f>
        <x:v>114.11</x:v>
      </x:c>
      <x:c r="M230" s="23" t="n">
        <x:f>'假设'!H899</x:f>
        <x:v>0</x:v>
      </x:c>
      <x:c r="N230" s="25" t="n">
        <x:f>L230/D230-1</x:f>
        <x:v>0.9793581960104076</x:v>
      </x:c>
      <x:c r="O230" s="25" t="n">
        <x:f>(L230+M230)/D230-1</x:f>
        <x:v>0.9793581960104076</x:v>
      </x:c>
      <x:c r="P230" s="25" t="n">
        <x:f>IF(Q230&gt;=3,(1+O230)^(1/Q230)-1,"")</x:f>
        <x:v>0.25557154456528086</x:v>
      </x:c>
      <x:c r="Q230" s="11" t="n">
        <x:v>3</x:v>
      </x:c>
      <x:c r="R230" s="11" t="n">
        <x:v>899</x:v>
      </x:c>
      <x:c r="T230" t="str">
        <x:v>USD</x:v>
      </x:c>
    </x:row>
    <x:row r="231" ht="23" customHeight="1">
      <x:c r="A231" s="11" t="str">
        <x:v>00981.HK</x:v>
      </x:c>
      <x:c r="B231" s="11" t="str">
        <x:v>中芯国际</x:v>
      </x:c>
      <x:c r="C231" s="11" t="str">
        <x:v>五年</x:v>
      </x:c>
      <x:c r="D231" s="11" t="n">
        <x:v>57.65</x:v>
      </x:c>
      <x:c r="E231" s="11" t="str">
        <x:v>USD归母桥</x:v>
      </x:c>
      <x:c r="F231" s="23" t="n">
        <x:f>'假设'!I903</x:f>
        <x:v>0</x:v>
      </x:c>
      <x:c r="G231" s="24" t="n">
        <x:f>'假设'!J903</x:f>
        <x:v>0</x:v>
      </x:c>
      <x:c r="H231" s="23" t="str">
        <x:f>'假设'!K903</x:f>
      </x:c>
      <x:c r="I231" s="23" t="n">
        <x:f>'经营假设'!Y23</x:f>
        <x:v>0.4428</x:v>
      </x:c>
      <x:c r="J231" s="23" t="n">
        <x:f>'假设'!F903</x:f>
        <x:v>38</x:v>
      </x:c>
      <x:c r="K231" s="23" t="n">
        <x:f>'假设'!G903</x:f>
        <x:v>7.8</x:v>
      </x:c>
      <x:c r="L231" s="23" t="n">
        <x:f>'经营假设'!AB23</x:f>
        <x:v>131.25</x:v>
      </x:c>
      <x:c r="M231" s="23" t="n">
        <x:f>'假设'!H903</x:f>
        <x:v>0</x:v>
      </x:c>
      <x:c r="N231" s="25" t="n">
        <x:f>L231/D231-1</x:f>
        <x:v>1.2766695576756288</x:v>
      </x:c>
      <x:c r="O231" s="25" t="n">
        <x:f>(L231+M231)/D231-1</x:f>
        <x:v>1.2766695576756288</x:v>
      </x:c>
      <x:c r="P231" s="25" t="n">
        <x:f>IF(Q231&gt;=3,(1+O231)^(1/Q231)-1,"")</x:f>
        <x:v>0.17885394202579308</x:v>
      </x:c>
      <x:c r="Q231" s="11" t="n">
        <x:v>5</x:v>
      </x:c>
      <x:c r="R231" s="11" t="n">
        <x:v>903</x:v>
      </x:c>
      <x:c r="T231" t="str">
        <x:v>USD</x:v>
      </x:c>
    </x:row>
    <x:row r="232" ht="23" customHeight="1">
      <x:c r="A232" s="11" t="str">
        <x:v>00700.HK</x:v>
      </x:c>
      <x:c r="B232" s="11" t="str">
        <x:v>腾讯控股</x:v>
      </x:c>
      <x:c r="C232" s="11" t="str">
        <x:v>2026年底</x:v>
      </x:c>
      <x:c r="D232" s="11" t="n">
        <x:v>424.8</x:v>
      </x:c>
      <x:c r="E232" s="11" t="str">
        <x:v>EPS</x:v>
      </x:c>
      <x:c r="F232" s="23" t="n">
        <x:f>'假设'!I907</x:f>
        <x:v>0</x:v>
      </x:c>
      <x:c r="G232" s="24" t="n">
        <x:f>'假设'!J907</x:f>
        <x:v>0</x:v>
      </x:c>
      <x:c r="H232" s="23" t="str">
        <x:f>'假设'!K907</x:f>
      </x:c>
      <x:c r="I232" s="23" t="n">
        <x:f>IF(E232="收入利润率",F232*G232/H232,'假设'!E907)</x:f>
        <x:v>28</x:v>
      </x:c>
      <x:c r="J232" s="23" t="n">
        <x:f>'假设'!F907</x:f>
        <x:v>16</x:v>
      </x:c>
      <x:c r="K232" s="23" t="n">
        <x:f>'假设'!G907</x:f>
        <x:v>1.1</x:v>
      </x:c>
      <x:c r="L232" s="23" t="n">
        <x:f>I232*J232*K232</x:f>
        <x:v>492.80000000000007</x:v>
      </x:c>
      <x:c r="M232" s="23" t="n">
        <x:f>'假设'!H907</x:f>
        <x:v>0</x:v>
      </x:c>
      <x:c r="N232" s="25" t="n">
        <x:f>L232/D232-1</x:f>
        <x:v>0.1600753295668551</x:v>
      </x:c>
      <x:c r="O232" s="25" t="n">
        <x:f>(L232+M232)/D232-1</x:f>
        <x:v>0.1600753295668551</x:v>
      </x:c>
      <x:c r="P232" s="25" t="str">
        <x:f>IF(Q232&gt;=3,(1+O232)^(1/Q232)-1,"")</x:f>
      </x:c>
      <x:c r="Q232" s="11" t="n">
        <x:v>0</x:v>
      </x:c>
      <x:c r="R232" s="11" t="n">
        <x:v>907</x:v>
      </x:c>
      <x:c r="T232" t="str">
        <x:v>CNY</x:v>
      </x:c>
    </x:row>
    <x:row r="233" ht="23" customHeight="1">
      <x:c r="A233" s="11" t="str">
        <x:v>00700.HK</x:v>
      </x:c>
      <x:c r="B233" s="11" t="str">
        <x:v>腾讯控股</x:v>
      </x:c>
      <x:c r="C233" s="11" t="str">
        <x:v>半年</x:v>
      </x:c>
      <x:c r="D233" s="11" t="n">
        <x:v>424.8</x:v>
      </x:c>
      <x:c r="E233" s="11" t="str">
        <x:v>EPS</x:v>
      </x:c>
      <x:c r="F233" s="23" t="n">
        <x:f>'假设'!I911</x:f>
        <x:v>0</x:v>
      </x:c>
      <x:c r="G233" s="24" t="n">
        <x:f>'假设'!J911</x:f>
        <x:v>0</x:v>
      </x:c>
      <x:c r="H233" s="23" t="str">
        <x:f>'假设'!K911</x:f>
      </x:c>
      <x:c r="I233" s="23" t="n">
        <x:f>IF(E233="收入利润率",F233*G233/H233,'假设'!E911)</x:f>
        <x:v>30</x:v>
      </x:c>
      <x:c r="J233" s="23" t="n">
        <x:f>'假设'!F911</x:f>
        <x:v>17</x:v>
      </x:c>
      <x:c r="K233" s="23" t="n">
        <x:f>'假设'!G911</x:f>
        <x:v>1.1</x:v>
      </x:c>
      <x:c r="L233" s="23" t="n">
        <x:f>I233*J233*K233</x:f>
        <x:v>561</x:v>
      </x:c>
      <x:c r="M233" s="23" t="n">
        <x:f>'假设'!H911</x:f>
        <x:v>0</x:v>
      </x:c>
      <x:c r="N233" s="25" t="n">
        <x:f>L233/D233-1</x:f>
        <x:v>0.32062146892655363</x:v>
      </x:c>
      <x:c r="O233" s="25" t="n">
        <x:f>(L233+M233)/D233-1</x:f>
        <x:v>0.32062146892655363</x:v>
      </x:c>
      <x:c r="P233" s="25" t="str">
        <x:f>IF(Q233&gt;=3,(1+O233)^(1/Q233)-1,"")</x:f>
      </x:c>
      <x:c r="Q233" s="11" t="n">
        <x:v>0.5</x:v>
      </x:c>
      <x:c r="R233" s="11" t="n">
        <x:v>911</x:v>
      </x:c>
      <x:c r="T233" t="str">
        <x:v>CNY</x:v>
      </x:c>
    </x:row>
    <x:row r="234" ht="23" customHeight="1">
      <x:c r="A234" s="11" t="str">
        <x:v>00700.HK</x:v>
      </x:c>
      <x:c r="B234" s="11" t="str">
        <x:v>腾讯控股</x:v>
      </x:c>
      <x:c r="C234" s="11" t="str">
        <x:v>一年</x:v>
      </x:c>
      <x:c r="D234" s="11" t="n">
        <x:v>424.8</x:v>
      </x:c>
      <x:c r="E234" s="11" t="str">
        <x:v>EPS</x:v>
      </x:c>
      <x:c r="F234" s="23" t="n">
        <x:f>'假设'!I915</x:f>
        <x:v>0</x:v>
      </x:c>
      <x:c r="G234" s="24" t="n">
        <x:f>'假设'!J915</x:f>
        <x:v>0</x:v>
      </x:c>
      <x:c r="H234" s="23" t="str">
        <x:f>'假设'!K915</x:f>
      </x:c>
      <x:c r="I234" s="23" t="n">
        <x:f>IF(E234="收入利润率",F234*G234/H234,'假设'!E915)</x:f>
        <x:v>32</x:v>
      </x:c>
      <x:c r="J234" s="23" t="n">
        <x:f>'假设'!F915</x:f>
        <x:v>19</x:v>
      </x:c>
      <x:c r="K234" s="23" t="n">
        <x:f>'假设'!G915</x:f>
        <x:v>1.1</x:v>
      </x:c>
      <x:c r="L234" s="23" t="n">
        <x:f>I234*J234*K234</x:f>
        <x:v>668.8000000000001</x:v>
      </x:c>
      <x:c r="M234" s="23" t="n">
        <x:f>'假设'!H915</x:f>
        <x:v>5.3</x:v>
      </x:c>
      <x:c r="N234" s="25" t="n">
        <x:f>L234/D234-1</x:f>
        <x:v>0.5743879472693034</x:v>
      </x:c>
      <x:c r="O234" s="25" t="n">
        <x:f>(L234+M234)/D234-1</x:f>
        <x:v>0.5868644067796611</x:v>
      </x:c>
      <x:c r="P234" s="25" t="str">
        <x:f>IF(Q234&gt;=3,(1+O234)^(1/Q234)-1,"")</x:f>
      </x:c>
      <x:c r="Q234" s="11" t="n">
        <x:v>1</x:v>
      </x:c>
      <x:c r="R234" s="11" t="n">
        <x:v>915</x:v>
      </x:c>
      <x:c r="T234" t="str">
        <x:v>CNY</x:v>
      </x:c>
    </x:row>
    <x:row r="235" ht="23" customHeight="1">
      <x:c r="A235" s="11" t="str">
        <x:v>00700.HK</x:v>
      </x:c>
      <x:c r="B235" s="11" t="str">
        <x:v>腾讯控股</x:v>
      </x:c>
      <x:c r="C235" s="11" t="str">
        <x:v>三年</x:v>
      </x:c>
      <x:c r="D235" s="11" t="n">
        <x:v>424.8</x:v>
      </x:c>
      <x:c r="E235" s="11" t="str">
        <x:v>EPS</x:v>
      </x:c>
      <x:c r="F235" s="23" t="n">
        <x:f>'假设'!I919</x:f>
        <x:v>0</x:v>
      </x:c>
      <x:c r="G235" s="24" t="n">
        <x:f>'假设'!J919</x:f>
        <x:v>0</x:v>
      </x:c>
      <x:c r="H235" s="23" t="str">
        <x:f>'假设'!K919</x:f>
      </x:c>
      <x:c r="I235" s="23" t="n">
        <x:f>IF(E235="收入利润率",F235*G235/H235,'假设'!E919)</x:f>
        <x:v>40</x:v>
      </x:c>
      <x:c r="J235" s="23" t="n">
        <x:f>'假设'!F919</x:f>
        <x:v>17</x:v>
      </x:c>
      <x:c r="K235" s="23" t="n">
        <x:f>'假设'!G919</x:f>
        <x:v>1.1</x:v>
      </x:c>
      <x:c r="L235" s="23" t="n">
        <x:f>I235*J235*K235</x:f>
        <x:v>748.0000000000001</x:v>
      </x:c>
      <x:c r="M235" s="23" t="n">
        <x:f>'假设'!H919</x:f>
        <x:v>18</x:v>
      </x:c>
      <x:c r="N235" s="25" t="n">
        <x:f>L235/D235-1</x:f>
        <x:v>0.7608286252354051</x:v>
      </x:c>
      <x:c r="O235" s="25" t="n">
        <x:f>(L235+M235)/D235-1</x:f>
        <x:v>0.8032015065913374</x:v>
      </x:c>
      <x:c r="P235" s="25" t="n">
        <x:f>IF(Q235&gt;=3,(1+O235)^(1/Q235)-1,"")</x:f>
        <x:v>0.21716116491662585</x:v>
      </x:c>
      <x:c r="Q235" s="11" t="n">
        <x:v>3</x:v>
      </x:c>
      <x:c r="R235" s="11" t="n">
        <x:v>919</x:v>
      </x:c>
      <x:c r="T235" t="str">
        <x:v>CNY</x:v>
      </x:c>
    </x:row>
    <x:row r="236" ht="23" customHeight="1">
      <x:c r="A236" s="11" t="str">
        <x:v>00700.HK</x:v>
      </x:c>
      <x:c r="B236" s="11" t="str">
        <x:v>腾讯控股</x:v>
      </x:c>
      <x:c r="C236" s="11" t="str">
        <x:v>五年</x:v>
      </x:c>
      <x:c r="D236" s="11" t="n">
        <x:v>424.8</x:v>
      </x:c>
      <x:c r="E236" s="11" t="str">
        <x:v>EPS</x:v>
      </x:c>
      <x:c r="F236" s="23" t="n">
        <x:f>'假设'!I923</x:f>
        <x:v>0</x:v>
      </x:c>
      <x:c r="G236" s="24" t="n">
        <x:f>'假设'!J923</x:f>
        <x:v>0</x:v>
      </x:c>
      <x:c r="H236" s="23" t="str">
        <x:f>'假设'!K923</x:f>
      </x:c>
      <x:c r="I236" s="23" t="n">
        <x:f>IF(E236="收入利润率",F236*G236/H236,'假设'!E923)</x:f>
        <x:v>50</x:v>
      </x:c>
      <x:c r="J236" s="23" t="n">
        <x:f>'假设'!F923</x:f>
        <x:v>16</x:v>
      </x:c>
      <x:c r="K236" s="23" t="n">
        <x:f>'假设'!G923</x:f>
        <x:v>1.1</x:v>
      </x:c>
      <x:c r="L236" s="23" t="n">
        <x:f>I236*J236*K236</x:f>
        <x:v>880.0000000000001</x:v>
      </x:c>
      <x:c r="M236" s="23" t="n">
        <x:f>'假设'!H923</x:f>
        <x:v>35</x:v>
      </x:c>
      <x:c r="N236" s="25" t="n">
        <x:f>L236/D236-1</x:f>
        <x:v>1.0715630885122414</x:v>
      </x:c>
      <x:c r="O236" s="25" t="n">
        <x:f>(L236+M236)/D236-1</x:f>
        <x:v>1.1539548022598871</x:v>
      </x:c>
      <x:c r="P236" s="25" t="n">
        <x:f>IF(Q236&gt;=3,(1+O236)^(1/Q236)-1,"")</x:f>
        <x:v>0.1658624564237956</x:v>
      </x:c>
      <x:c r="Q236" s="11" t="n">
        <x:v>5</x:v>
      </x:c>
      <x:c r="R236" s="11" t="n">
        <x:v>923</x:v>
      </x:c>
      <x:c r="T236" t="str">
        <x:v>CNY</x:v>
      </x:c>
    </x:row>
    <x:row r="237" ht="23" customHeight="1">
      <x:c r="A237" s="11" t="str">
        <x:v>09961.HK</x:v>
      </x:c>
      <x:c r="B237" s="11" t="str">
        <x:v>携程集团-S</x:v>
      </x:c>
      <x:c r="C237" s="11" t="str">
        <x:v>2026年底</x:v>
      </x:c>
      <x:c r="D237" s="11" t="n">
        <x:v>304.4</x:v>
      </x:c>
      <x:c r="E237" s="11" t="str">
        <x:v>经营盈利桥</x:v>
      </x:c>
      <x:c r="F237" s="23" t="n">
        <x:f>'假设'!I927</x:f>
        <x:v>0</x:v>
      </x:c>
      <x:c r="G237" s="24" t="n">
        <x:f>'假设'!J927</x:f>
        <x:v>0</x:v>
      </x:c>
      <x:c r="H237" s="23" t="str">
        <x:f>'假设'!K927</x:f>
      </x:c>
      <x:c r="I237" s="23" t="n">
        <x:f>'经营桥'!M27</x:f>
        <x:v>25.01</x:v>
      </x:c>
      <x:c r="J237" s="23" t="n">
        <x:f>'假设'!F927</x:f>
        <x:v>16</x:v>
      </x:c>
      <x:c r="K237" s="23" t="n">
        <x:f>'假设'!G927</x:f>
        <x:v>1.1</x:v>
      </x:c>
      <x:c r="L237" s="23" t="n">
        <x:f>ROUND(I237*J237*K237-'经营假设'!M87/'经营假设'!J87*K237,2)</x:f>
        <x:v>431.54</x:v>
      </x:c>
      <x:c r="M237" s="23" t="n">
        <x:f>'假设'!H927</x:f>
        <x:v>0</x:v>
      </x:c>
      <x:c r="N237" s="25" t="n">
        <x:f>L237/D237-1</x:f>
        <x:v>0.41767411300919854</x:v>
      </x:c>
      <x:c r="O237" s="25" t="n">
        <x:f>(L237+M237)/D237-1</x:f>
        <x:v>0.41767411300919854</x:v>
      </x:c>
      <x:c r="P237" s="25" t="str">
        <x:f>IF(Q237&gt;=3,(1+O237)^(1/Q237)-1,"")</x:f>
      </x:c>
      <x:c r="Q237" s="11" t="n">
        <x:v>0</x:v>
      </x:c>
      <x:c r="R237" s="11" t="n">
        <x:v>927</x:v>
      </x:c>
      <x:c r="T237" t="str">
        <x:v>CNY</x:v>
      </x:c>
    </x:row>
    <x:row r="238" ht="23" customHeight="1">
      <x:c r="A238" s="11" t="str">
        <x:v>09961.HK</x:v>
      </x:c>
      <x:c r="B238" s="11" t="str">
        <x:v>携程集团-S</x:v>
      </x:c>
      <x:c r="C238" s="11" t="str">
        <x:v>半年</x:v>
      </x:c>
      <x:c r="D238" s="11" t="n">
        <x:v>304.4</x:v>
      </x:c>
      <x:c r="E238" s="11" t="str">
        <x:v>经营盈利桥</x:v>
      </x:c>
      <x:c r="F238" s="23" t="n">
        <x:f>'假设'!I931</x:f>
        <x:v>0</x:v>
      </x:c>
      <x:c r="G238" s="24" t="n">
        <x:f>'假设'!J931</x:f>
        <x:v>0</x:v>
      </x:c>
      <x:c r="H238" s="23" t="str">
        <x:f>'假设'!K931</x:f>
      </x:c>
      <x:c r="I238" s="23" t="n">
        <x:f>'经营桥'!M28</x:f>
        <x:v>27.08</x:v>
      </x:c>
      <x:c r="J238" s="23" t="n">
        <x:f>'假设'!F931</x:f>
        <x:v>16</x:v>
      </x:c>
      <x:c r="K238" s="23" t="n">
        <x:f>'假设'!G931</x:f>
        <x:v>1.1</x:v>
      </x:c>
      <x:c r="L238" s="23" t="n">
        <x:f>ROUND(I238*J238*K238-'经营假设'!M91/'经营假设'!J91*K238,2)</x:f>
        <x:v>467.91</x:v>
      </x:c>
      <x:c r="M238" s="23" t="n">
        <x:f>'假设'!H931</x:f>
        <x:v>0</x:v>
      </x:c>
      <x:c r="N238" s="25" t="n">
        <x:f>L238/D238-1</x:f>
        <x:v>0.5371550591327203</x:v>
      </x:c>
      <x:c r="O238" s="25" t="n">
        <x:f>(L238+M238)/D238-1</x:f>
        <x:v>0.5371550591327203</x:v>
      </x:c>
      <x:c r="P238" s="25" t="str">
        <x:f>IF(Q238&gt;=3,(1+O238)^(1/Q238)-1,"")</x:f>
      </x:c>
      <x:c r="Q238" s="11" t="n">
        <x:v>0.5</x:v>
      </x:c>
      <x:c r="R238" s="11" t="n">
        <x:v>931</x:v>
      </x:c>
      <x:c r="T238" t="str">
        <x:v>CNY</x:v>
      </x:c>
    </x:row>
    <x:row r="239" ht="23" customHeight="1">
      <x:c r="A239" s="11" t="str">
        <x:v>09961.HK</x:v>
      </x:c>
      <x:c r="B239" s="11" t="str">
        <x:v>携程集团-S</x:v>
      </x:c>
      <x:c r="C239" s="11" t="str">
        <x:v>一年</x:v>
      </x:c>
      <x:c r="D239" s="11" t="n">
        <x:v>304.4</x:v>
      </x:c>
      <x:c r="E239" s="11" t="str">
        <x:v>经营盈利桥</x:v>
      </x:c>
      <x:c r="F239" s="23" t="n">
        <x:f>'假设'!I935</x:f>
        <x:v>0</x:v>
      </x:c>
      <x:c r="G239" s="24" t="n">
        <x:f>'假设'!J935</x:f>
        <x:v>0</x:v>
      </x:c>
      <x:c r="H239" s="23" t="str">
        <x:f>'假设'!K935</x:f>
      </x:c>
      <x:c r="I239" s="23" t="n">
        <x:f>'经营桥'!M29</x:f>
        <x:v>30</x:v>
      </x:c>
      <x:c r="J239" s="23" t="n">
        <x:f>'假设'!F935</x:f>
        <x:v>16</x:v>
      </x:c>
      <x:c r="K239" s="23" t="n">
        <x:f>'假设'!G935</x:f>
        <x:v>1.1</x:v>
      </x:c>
      <x:c r="L239" s="23" t="n">
        <x:f>ROUND(I239*J239*K239-'经营假设'!M95/'经营假设'!J95*K239,2)</x:f>
        <x:v>519.23</x:v>
      </x:c>
      <x:c r="M239" s="23" t="n">
        <x:f>'假设'!H935</x:f>
        <x:v>1</x:v>
      </x:c>
      <x:c r="N239" s="25" t="n">
        <x:f>L239/D239-1</x:f>
        <x:v>0.7057490144546652</x:v>
      </x:c>
      <x:c r="O239" s="25" t="n">
        <x:f>(L239+M239)/D239-1</x:f>
        <x:v>0.7090341655716166</x:v>
      </x:c>
      <x:c r="P239" s="25" t="str">
        <x:f>IF(Q239&gt;=3,(1+O239)^(1/Q239)-1,"")</x:f>
      </x:c>
      <x:c r="Q239" s="11" t="n">
        <x:v>1</x:v>
      </x:c>
      <x:c r="R239" s="11" t="n">
        <x:v>935</x:v>
      </x:c>
      <x:c r="T239" t="str">
        <x:v>CNY</x:v>
      </x:c>
    </x:row>
    <x:row r="240" ht="23" customHeight="1">
      <x:c r="A240" s="11" t="str">
        <x:v>09961.HK</x:v>
      </x:c>
      <x:c r="B240" s="11" t="str">
        <x:v>携程集团-S</x:v>
      </x:c>
      <x:c r="C240" s="11" t="str">
        <x:v>三年</x:v>
      </x:c>
      <x:c r="D240" s="11" t="n">
        <x:v>304.4</x:v>
      </x:c>
      <x:c r="E240" s="11" t="str">
        <x:v>经营盈利桥</x:v>
      </x:c>
      <x:c r="F240" s="23" t="n">
        <x:f>'假设'!I939</x:f>
        <x:v>0</x:v>
      </x:c>
      <x:c r="G240" s="24" t="n">
        <x:f>'假设'!J939</x:f>
        <x:v>0</x:v>
      </x:c>
      <x:c r="H240" s="23" t="str">
        <x:f>'假设'!K939</x:f>
      </x:c>
      <x:c r="I240" s="23" t="n">
        <x:f>'经营桥'!M30</x:f>
        <x:v>39.16</x:v>
      </x:c>
      <x:c r="J240" s="23" t="n">
        <x:f>'假设'!F939</x:f>
        <x:v>17</x:v>
      </x:c>
      <x:c r="K240" s="23" t="n">
        <x:f>'假设'!G939</x:f>
        <x:v>1.1</x:v>
      </x:c>
      <x:c r="L240" s="23" t="n">
        <x:f>ROUND(I240*J240*K240-'经营假设'!M99/'经营假设'!J99*K240,2)</x:f>
        <x:v>723.39</x:v>
      </x:c>
      <x:c r="M240" s="23" t="n">
        <x:f>'假设'!H939</x:f>
        <x:v>5</x:v>
      </x:c>
      <x:c r="N240" s="25" t="n">
        <x:f>L240/D240-1</x:f>
        <x:v>1.3764454664914587</x:v>
      </x:c>
      <x:c r="O240" s="25" t="n">
        <x:f>(L240+M240)/D240-1</x:f>
        <x:v>1.3928712220762156</x:v>
      </x:c>
      <x:c r="P240" s="25" t="n">
        <x:f>IF(Q240&gt;=3,(1+O240)^(1/Q240)-1,"")</x:f>
        <x:v>0.33753896358636926</x:v>
      </x:c>
      <x:c r="Q240" s="11" t="n">
        <x:v>3</x:v>
      </x:c>
      <x:c r="R240" s="11" t="n">
        <x:v>939</x:v>
      </x:c>
      <x:c r="T240" t="str">
        <x:v>CNY</x:v>
      </x:c>
    </x:row>
    <x:row r="241" ht="23" customHeight="1">
      <x:c r="A241" s="11" t="str">
        <x:v>09961.HK</x:v>
      </x:c>
      <x:c r="B241" s="11" t="str">
        <x:v>携程集团-S</x:v>
      </x:c>
      <x:c r="C241" s="11" t="str">
        <x:v>五年</x:v>
      </x:c>
      <x:c r="D241" s="11" t="n">
        <x:v>304.4</x:v>
      </x:c>
      <x:c r="E241" s="11" t="str">
        <x:v>经营盈利桥</x:v>
      </x:c>
      <x:c r="F241" s="23" t="n">
        <x:f>'假设'!I943</x:f>
        <x:v>0</x:v>
      </x:c>
      <x:c r="G241" s="24" t="n">
        <x:f>'假设'!J943</x:f>
        <x:v>0</x:v>
      </x:c>
      <x:c r="H241" s="23" t="str">
        <x:f>'假设'!K943</x:f>
      </x:c>
      <x:c r="I241" s="23" t="n">
        <x:f>'经营桥'!M31</x:f>
        <x:v>49.62</x:v>
      </x:c>
      <x:c r="J241" s="23" t="n">
        <x:f>'假设'!F943</x:f>
        <x:v>16</x:v>
      </x:c>
      <x:c r="K241" s="23" t="n">
        <x:f>'假设'!G943</x:f>
        <x:v>1.1</x:v>
      </x:c>
      <x:c r="L241" s="23" t="n">
        <x:f>ROUND(I241*J241*K241-'经营假设'!M103/'经营假设'!J103*K241,2)</x:f>
        <x:v>864.27</x:v>
      </x:c>
      <x:c r="M241" s="23" t="n">
        <x:f>'假设'!H943</x:f>
        <x:v>10</x:v>
      </x:c>
      <x:c r="N241" s="25" t="n">
        <x:f>L241/D241-1</x:f>
        <x:v>1.8392575558475692</x:v>
      </x:c>
      <x:c r="O241" s="25" t="n">
        <x:f>(L241+M241)/D241-1</x:f>
        <x:v>1.872109067017083</x:v>
      </x:c>
      <x:c r="P241" s="25" t="n">
        <x:f>IF(Q241&gt;=3,(1+O241)^(1/Q241)-1,"")</x:f>
        <x:v>0.2349238710298842</x:v>
      </x:c>
      <x:c r="Q241" s="11" t="n">
        <x:v>5</x:v>
      </x:c>
      <x:c r="R241" s="11" t="n">
        <x:v>943</x:v>
      </x:c>
      <x:c r="T241" t="str">
        <x:v>CNY</x:v>
      </x:c>
    </x:row>
    <x:row r="242" ht="23" customHeight="1">
      <x:c r="A242" s="11" t="str">
        <x:v>603259.SH</x:v>
      </x:c>
      <x:c r="B242" s="11" t="str">
        <x:v>药明康德</x:v>
      </x:c>
      <x:c r="C242" s="11" t="str">
        <x:v>2026年底</x:v>
      </x:c>
      <x:c r="D242" s="11" t="n">
        <x:v>157.8</x:v>
      </x:c>
      <x:c r="E242" s="11" t="str">
        <x:v>EPS</x:v>
      </x:c>
      <x:c r="F242" s="23" t="n">
        <x:f>'假设'!I947</x:f>
        <x:v>0</x:v>
      </x:c>
      <x:c r="G242" s="24" t="n">
        <x:f>'假设'!J947</x:f>
        <x:v>0</x:v>
      </x:c>
      <x:c r="H242" s="23" t="str">
        <x:f>'假设'!K947</x:f>
      </x:c>
      <x:c r="I242" s="23" t="n">
        <x:f>IF(E242="收入利润率",F242*G242/H242,'假设'!E947)</x:f>
        <x:v>8.2</x:v>
      </x:c>
      <x:c r="J242" s="23" t="n">
        <x:f>'假设'!F947</x:f>
        <x:v>22</x:v>
      </x:c>
      <x:c r="K242" s="23" t="n">
        <x:f>'假设'!G947</x:f>
        <x:v>1</x:v>
      </x:c>
      <x:c r="L242" s="23" t="n">
        <x:f>I242*J242*K242</x:f>
        <x:v>180.39999999999998</x:v>
      </x:c>
      <x:c r="M242" s="23" t="n">
        <x:f>'假设'!H947</x:f>
        <x:v>0</x:v>
      </x:c>
      <x:c r="N242" s="25" t="n">
        <x:f>L242/D242-1</x:f>
        <x:v>0.14321926489226855</x:v>
      </x:c>
      <x:c r="O242" s="25" t="n">
        <x:f>(L242+M242)/D242-1</x:f>
        <x:v>0.14321926489226855</x:v>
      </x:c>
      <x:c r="P242" s="25" t="str">
        <x:f>IF(Q242&gt;=3,(1+O242)^(1/Q242)-1,"")</x:f>
      </x:c>
      <x:c r="Q242" s="11" t="n">
        <x:v>0</x:v>
      </x:c>
      <x:c r="R242" s="11" t="n">
        <x:v>947</x:v>
      </x:c>
      <x:c r="T242" t="str">
        <x:v>CNY</x:v>
      </x:c>
    </x:row>
    <x:row r="243" ht="23" customHeight="1">
      <x:c r="A243" s="11" t="str">
        <x:v>603259.SH</x:v>
      </x:c>
      <x:c r="B243" s="11" t="str">
        <x:v>药明康德</x:v>
      </x:c>
      <x:c r="C243" s="11" t="str">
        <x:v>半年</x:v>
      </x:c>
      <x:c r="D243" s="11" t="n">
        <x:v>157.8</x:v>
      </x:c>
      <x:c r="E243" s="11" t="str">
        <x:v>EPS</x:v>
      </x:c>
      <x:c r="F243" s="23" t="n">
        <x:f>'假设'!I951</x:f>
        <x:v>0</x:v>
      </x:c>
      <x:c r="G243" s="24" t="n">
        <x:f>'假设'!J951</x:f>
        <x:v>0</x:v>
      </x:c>
      <x:c r="H243" s="23" t="str">
        <x:f>'假设'!K951</x:f>
      </x:c>
      <x:c r="I243" s="23" t="n">
        <x:f>IF(E243="收入利润率",F243*G243/H243,'假设'!E951)</x:f>
        <x:v>8.8</x:v>
      </x:c>
      <x:c r="J243" s="23" t="n">
        <x:f>'假设'!F951</x:f>
        <x:v>23</x:v>
      </x:c>
      <x:c r="K243" s="23" t="n">
        <x:f>'假设'!G951</x:f>
        <x:v>1</x:v>
      </x:c>
      <x:c r="L243" s="23" t="n">
        <x:f>I243*J243*K243</x:f>
        <x:v>202.4</x:v>
      </x:c>
      <x:c r="M243" s="23" t="n">
        <x:f>'假设'!H951</x:f>
        <x:v>0</x:v>
      </x:c>
      <x:c r="N243" s="25" t="n">
        <x:f>L243/D243-1</x:f>
        <x:v>0.2826362484157161</x:v>
      </x:c>
      <x:c r="O243" s="25" t="n">
        <x:f>(L243+M243)/D243-1</x:f>
        <x:v>0.2826362484157161</x:v>
      </x:c>
      <x:c r="P243" s="25" t="str">
        <x:f>IF(Q243&gt;=3,(1+O243)^(1/Q243)-1,"")</x:f>
      </x:c>
      <x:c r="Q243" s="11" t="n">
        <x:v>0.5</x:v>
      </x:c>
      <x:c r="R243" s="11" t="n">
        <x:v>951</x:v>
      </x:c>
      <x:c r="T243" t="str">
        <x:v>CNY</x:v>
      </x:c>
    </x:row>
    <x:row r="244" ht="23" customHeight="1">
      <x:c r="A244" s="11" t="str">
        <x:v>603259.SH</x:v>
      </x:c>
      <x:c r="B244" s="11" t="str">
        <x:v>药明康德</x:v>
      </x:c>
      <x:c r="C244" s="11" t="str">
        <x:v>一年</x:v>
      </x:c>
      <x:c r="D244" s="11" t="n">
        <x:v>157.8</x:v>
      </x:c>
      <x:c r="E244" s="11" t="str">
        <x:v>EPS</x:v>
      </x:c>
      <x:c r="F244" s="23" t="n">
        <x:f>'假设'!I955</x:f>
        <x:v>0</x:v>
      </x:c>
      <x:c r="G244" s="24" t="n">
        <x:f>'假设'!J955</x:f>
        <x:v>0</x:v>
      </x:c>
      <x:c r="H244" s="23" t="str">
        <x:f>'假设'!K955</x:f>
      </x:c>
      <x:c r="I244" s="23" t="n">
        <x:f>IF(E244="收入利润率",F244*G244/H244,'假设'!E955)</x:f>
        <x:v>9.5</x:v>
      </x:c>
      <x:c r="J244" s="23" t="n">
        <x:f>'假设'!F955</x:f>
        <x:v>23</x:v>
      </x:c>
      <x:c r="K244" s="23" t="n">
        <x:f>'假设'!G955</x:f>
        <x:v>1</x:v>
      </x:c>
      <x:c r="L244" s="23" t="n">
        <x:f>I244*J244*K244</x:f>
        <x:v>218.5</x:v>
      </x:c>
      <x:c r="M244" s="23" t="n">
        <x:f>'假设'!H955</x:f>
        <x:v>1.8</x:v>
      </x:c>
      <x:c r="N244" s="25" t="n">
        <x:f>L244/D244-1</x:f>
        <x:v>0.38466413181242065</x:v>
      </x:c>
      <x:c r="O244" s="25" t="n">
        <x:f>(L244+M244)/D244-1</x:f>
        <x:v>0.39607097591888474</x:v>
      </x:c>
      <x:c r="P244" s="25" t="str">
        <x:f>IF(Q244&gt;=3,(1+O244)^(1/Q244)-1,"")</x:f>
      </x:c>
      <x:c r="Q244" s="11" t="n">
        <x:v>1</x:v>
      </x:c>
      <x:c r="R244" s="11" t="n">
        <x:v>955</x:v>
      </x:c>
      <x:c r="T244" t="str">
        <x:v>CNY</x:v>
      </x:c>
    </x:row>
    <x:row r="245" ht="23" customHeight="1">
      <x:c r="A245" s="11" t="str">
        <x:v>603259.SH</x:v>
      </x:c>
      <x:c r="B245" s="11" t="str">
        <x:v>药明康德</x:v>
      </x:c>
      <x:c r="C245" s="11" t="str">
        <x:v>三年</x:v>
      </x:c>
      <x:c r="D245" s="11" t="n">
        <x:v>157.8</x:v>
      </x:c>
      <x:c r="E245" s="11" t="str">
        <x:v>EPS</x:v>
      </x:c>
      <x:c r="F245" s="23" t="n">
        <x:f>'假设'!I959</x:f>
        <x:v>0</x:v>
      </x:c>
      <x:c r="G245" s="24" t="n">
        <x:f>'假设'!J959</x:f>
        <x:v>0</x:v>
      </x:c>
      <x:c r="H245" s="23" t="str">
        <x:f>'假设'!K959</x:f>
      </x:c>
      <x:c r="I245" s="23" t="n">
        <x:f>IF(E245="收入利润率",F245*G245/H245,'假设'!E959)</x:f>
        <x:v>12.5</x:v>
      </x:c>
      <x:c r="J245" s="23" t="n">
        <x:f>'假设'!F959</x:f>
        <x:v>22</x:v>
      </x:c>
      <x:c r="K245" s="23" t="n">
        <x:f>'假设'!G959</x:f>
        <x:v>1</x:v>
      </x:c>
      <x:c r="L245" s="23" t="n">
        <x:f>I245*J245*K245</x:f>
        <x:v>275</x:v>
      </x:c>
      <x:c r="M245" s="23" t="n">
        <x:f>'假设'!H959</x:f>
        <x:v>7</x:v>
      </x:c>
      <x:c r="N245" s="25" t="n">
        <x:f>L245/D245-1</x:f>
        <x:v>0.7427122940430924</x:v>
      </x:c>
      <x:c r="O245" s="25" t="n">
        <x:f>(L245+M245)/D245-1</x:f>
        <x:v>0.7870722433460076</x:v>
      </x:c>
      <x:c r="P245" s="25" t="n">
        <x:f>IF(Q245&gt;=3,(1+O245)^(1/Q245)-1,"")</x:f>
        <x:v>0.21352120568227106</x:v>
      </x:c>
      <x:c r="Q245" s="11" t="n">
        <x:v>3</x:v>
      </x:c>
      <x:c r="R245" s="11" t="n">
        <x:v>959</x:v>
      </x:c>
      <x:c r="T245" t="str">
        <x:v>CNY</x:v>
      </x:c>
    </x:row>
    <x:row r="246" ht="23" customHeight="1">
      <x:c r="A246" s="11" t="str">
        <x:v>603259.SH</x:v>
      </x:c>
      <x:c r="B246" s="11" t="str">
        <x:v>药明康德</x:v>
      </x:c>
      <x:c r="C246" s="11" t="str">
        <x:v>五年</x:v>
      </x:c>
      <x:c r="D246" s="11" t="n">
        <x:v>157.8</x:v>
      </x:c>
      <x:c r="E246" s="11" t="str">
        <x:v>EPS</x:v>
      </x:c>
      <x:c r="F246" s="23" t="n">
        <x:f>'假设'!I963</x:f>
        <x:v>0</x:v>
      </x:c>
      <x:c r="G246" s="24" t="n">
        <x:f>'假设'!J963</x:f>
        <x:v>0</x:v>
      </x:c>
      <x:c r="H246" s="23" t="str">
        <x:f>'假设'!K963</x:f>
      </x:c>
      <x:c r="I246" s="23" t="n">
        <x:f>IF(E246="收入利润率",F246*G246/H246,'假设'!E963)</x:f>
        <x:v>15.5</x:v>
      </x:c>
      <x:c r="J246" s="23" t="n">
        <x:f>'假设'!F963</x:f>
        <x:v>20</x:v>
      </x:c>
      <x:c r="K246" s="23" t="n">
        <x:f>'假设'!G963</x:f>
        <x:v>1</x:v>
      </x:c>
      <x:c r="L246" s="23" t="n">
        <x:f>I246*J246*K246</x:f>
        <x:v>310</x:v>
      </x:c>
      <x:c r="M246" s="23" t="n">
        <x:f>'假设'!H963</x:f>
        <x:v>14</x:v>
      </x:c>
      <x:c r="N246" s="25" t="n">
        <x:f>L246/D246-1</x:f>
        <x:v>0.9645120405576677</x:v>
      </x:c>
      <x:c r="O246" s="25" t="n">
        <x:f>(L246+M246)/D246-1</x:f>
        <x:v>1.0532319391634979</x:v>
      </x:c>
      <x:c r="P246" s="25" t="n">
        <x:f>IF(Q246&gt;=3,(1+O246)^(1/Q246)-1,"")</x:f>
        <x:v>0.15474901978803013</x:v>
      </x:c>
      <x:c r="Q246" s="11" t="n">
        <x:v>5</x:v>
      </x:c>
      <x:c r="R246" s="11" t="n">
        <x:v>963</x:v>
      </x:c>
      <x:c r="T246" t="str">
        <x:v>CNY</x:v>
      </x:c>
    </x:row>
    <x:row r="247" ht="23" customHeight="1">
      <x:c r="A247" s="11" t="str">
        <x:v>02359.HK</x:v>
      </x:c>
      <x:c r="B247" s="11" t="str">
        <x:v>药明康德</x:v>
      </x:c>
      <x:c r="C247" s="11" t="str">
        <x:v>2026年底</x:v>
      </x:c>
      <x:c r="D247" s="11" t="n">
        <x:v>208</x:v>
      </x:c>
      <x:c r="E247" s="11" t="str">
        <x:v>EPS</x:v>
      </x:c>
      <x:c r="F247" s="23" t="n">
        <x:f>'假设'!I967</x:f>
        <x:v>0</x:v>
      </x:c>
      <x:c r="G247" s="24" t="n">
        <x:f>'假设'!J967</x:f>
        <x:v>0</x:v>
      </x:c>
      <x:c r="H247" s="23" t="str">
        <x:f>'假设'!K967</x:f>
      </x:c>
      <x:c r="I247" s="23" t="n">
        <x:f>IF(E247="收入利润率",F247*G247/H247,'假设'!E967)</x:f>
        <x:v>8.2</x:v>
      </x:c>
      <x:c r="J247" s="23" t="n">
        <x:f>'假设'!F967</x:f>
        <x:v>24</x:v>
      </x:c>
      <x:c r="K247" s="23" t="n">
        <x:f>'假设'!G967</x:f>
        <x:v>1.1</x:v>
      </x:c>
      <x:c r="L247" s="23" t="n">
        <x:f>I247*J247*K247</x:f>
        <x:v>216.48</x:v>
      </x:c>
      <x:c r="M247" s="23" t="n">
        <x:f>'假设'!H967</x:f>
        <x:v>0</x:v>
      </x:c>
      <x:c r="N247" s="25" t="n">
        <x:f>L247/D247-1</x:f>
        <x:v>0.04076923076923067</x:v>
      </x:c>
      <x:c r="O247" s="25" t="n">
        <x:f>(L247+M247)/D247-1</x:f>
        <x:v>0.04076923076923067</x:v>
      </x:c>
      <x:c r="P247" s="25" t="str">
        <x:f>IF(Q247&gt;=3,(1+O247)^(1/Q247)-1,"")</x:f>
      </x:c>
      <x:c r="Q247" s="11" t="n">
        <x:v>0</x:v>
      </x:c>
      <x:c r="R247" s="11" t="n">
        <x:v>967</x:v>
      </x:c>
      <x:c r="T247" t="str">
        <x:v>CNY</x:v>
      </x:c>
    </x:row>
    <x:row r="248" ht="23" customHeight="1">
      <x:c r="A248" s="11" t="str">
        <x:v>02359.HK</x:v>
      </x:c>
      <x:c r="B248" s="11" t="str">
        <x:v>药明康德</x:v>
      </x:c>
      <x:c r="C248" s="11" t="str">
        <x:v>半年</x:v>
      </x:c>
      <x:c r="D248" s="11" t="n">
        <x:v>208</x:v>
      </x:c>
      <x:c r="E248" s="11" t="str">
        <x:v>EPS</x:v>
      </x:c>
      <x:c r="F248" s="23" t="n">
        <x:f>'假设'!I971</x:f>
        <x:v>0</x:v>
      </x:c>
      <x:c r="G248" s="24" t="n">
        <x:f>'假设'!J971</x:f>
        <x:v>0</x:v>
      </x:c>
      <x:c r="H248" s="23" t="str">
        <x:f>'假设'!K971</x:f>
      </x:c>
      <x:c r="I248" s="23" t="n">
        <x:f>IF(E248="收入利润率",F248*G248/H248,'假设'!E971)</x:f>
        <x:v>8.8</x:v>
      </x:c>
      <x:c r="J248" s="23" t="n">
        <x:f>'假设'!F971</x:f>
        <x:v>25</x:v>
      </x:c>
      <x:c r="K248" s="23" t="n">
        <x:f>'假设'!G971</x:f>
        <x:v>1.1</x:v>
      </x:c>
      <x:c r="L248" s="23" t="n">
        <x:f>I248*J248*K248</x:f>
        <x:v>242.00000000000006</x:v>
      </x:c>
      <x:c r="M248" s="23" t="n">
        <x:f>'假设'!H971</x:f>
        <x:v>0</x:v>
      </x:c>
      <x:c r="N248" s="25" t="n">
        <x:f>L248/D248-1</x:f>
        <x:v>0.16346153846153877</x:v>
      </x:c>
      <x:c r="O248" s="25" t="n">
        <x:f>(L248+M248)/D248-1</x:f>
        <x:v>0.16346153846153877</x:v>
      </x:c>
      <x:c r="P248" s="25" t="str">
        <x:f>IF(Q248&gt;=3,(1+O248)^(1/Q248)-1,"")</x:f>
      </x:c>
      <x:c r="Q248" s="11" t="n">
        <x:v>0.5</x:v>
      </x:c>
      <x:c r="R248" s="11" t="n">
        <x:v>971</x:v>
      </x:c>
      <x:c r="T248" t="str">
        <x:v>CNY</x:v>
      </x:c>
    </x:row>
    <x:row r="249" ht="23" customHeight="1">
      <x:c r="A249" s="11" t="str">
        <x:v>02359.HK</x:v>
      </x:c>
      <x:c r="B249" s="11" t="str">
        <x:v>药明康德</x:v>
      </x:c>
      <x:c r="C249" s="11" t="str">
        <x:v>一年</x:v>
      </x:c>
      <x:c r="D249" s="11" t="n">
        <x:v>208</x:v>
      </x:c>
      <x:c r="E249" s="11" t="str">
        <x:v>EPS</x:v>
      </x:c>
      <x:c r="F249" s="23" t="n">
        <x:f>'假设'!I975</x:f>
        <x:v>0</x:v>
      </x:c>
      <x:c r="G249" s="24" t="n">
        <x:f>'假设'!J975</x:f>
        <x:v>0</x:v>
      </x:c>
      <x:c r="H249" s="23" t="str">
        <x:f>'假设'!K975</x:f>
      </x:c>
      <x:c r="I249" s="23" t="n">
        <x:f>IF(E249="收入利润率",F249*G249/H249,'假设'!E975)</x:f>
        <x:v>9.5</x:v>
      </x:c>
      <x:c r="J249" s="23" t="n">
        <x:f>'假设'!F975</x:f>
        <x:v>25</x:v>
      </x:c>
      <x:c r="K249" s="23" t="n">
        <x:f>'假设'!G975</x:f>
        <x:v>1.1</x:v>
      </x:c>
      <x:c r="L249" s="23" t="n">
        <x:f>I249*J249*K249</x:f>
        <x:v>261.25</x:v>
      </x:c>
      <x:c r="M249" s="23" t="n">
        <x:f>'假设'!H975</x:f>
        <x:v>1.9800000000000002</x:v>
      </x:c>
      <x:c r="N249" s="25" t="n">
        <x:f>L249/D249-1</x:f>
        <x:v>0.2560096153846154</x:v>
      </x:c>
      <x:c r="O249" s="25" t="n">
        <x:f>(L249+M249)/D249-1</x:f>
        <x:v>0.2655288461538463</x:v>
      </x:c>
      <x:c r="P249" s="25" t="str">
        <x:f>IF(Q249&gt;=3,(1+O249)^(1/Q249)-1,"")</x:f>
      </x:c>
      <x:c r="Q249" s="11" t="n">
        <x:v>1</x:v>
      </x:c>
      <x:c r="R249" s="11" t="n">
        <x:v>975</x:v>
      </x:c>
      <x:c r="T249" t="str">
        <x:v>CNY</x:v>
      </x:c>
    </x:row>
    <x:row r="250" ht="23" customHeight="1">
      <x:c r="A250" s="11" t="str">
        <x:v>02359.HK</x:v>
      </x:c>
      <x:c r="B250" s="11" t="str">
        <x:v>药明康德</x:v>
      </x:c>
      <x:c r="C250" s="11" t="str">
        <x:v>三年</x:v>
      </x:c>
      <x:c r="D250" s="11" t="n">
        <x:v>208</x:v>
      </x:c>
      <x:c r="E250" s="11" t="str">
        <x:v>EPS</x:v>
      </x:c>
      <x:c r="F250" s="23" t="n">
        <x:f>'假设'!I979</x:f>
        <x:v>0</x:v>
      </x:c>
      <x:c r="G250" s="24" t="n">
        <x:f>'假设'!J979</x:f>
        <x:v>0</x:v>
      </x:c>
      <x:c r="H250" s="23" t="str">
        <x:f>'假设'!K979</x:f>
      </x:c>
      <x:c r="I250" s="23" t="n">
        <x:f>IF(E250="收入利润率",F250*G250/H250,'假设'!E979)</x:f>
        <x:v>12.5</x:v>
      </x:c>
      <x:c r="J250" s="23" t="n">
        <x:f>'假设'!F979</x:f>
        <x:v>24</x:v>
      </x:c>
      <x:c r="K250" s="23" t="n">
        <x:f>'假设'!G979</x:f>
        <x:v>1.1</x:v>
      </x:c>
      <x:c r="L250" s="23" t="n">
        <x:f>I250*J250*K250</x:f>
        <x:v>330</x:v>
      </x:c>
      <x:c r="M250" s="23" t="n">
        <x:f>'假设'!H979</x:f>
        <x:v>7.700000000000001</x:v>
      </x:c>
      <x:c r="N250" s="25" t="n">
        <x:f>L250/D250-1</x:f>
        <x:v>0.5865384615384615</x:v>
      </x:c>
      <x:c r="O250" s="25" t="n">
        <x:f>(L250+M250)/D250-1</x:f>
        <x:v>0.6235576923076922</x:v>
      </x:c>
      <x:c r="P250" s="25" t="n">
        <x:f>IF(Q250&gt;=3,(1+O250)^(1/Q250)-1,"")</x:f>
        <x:v>0.17531941032604403</x:v>
      </x:c>
      <x:c r="Q250" s="11" t="n">
        <x:v>3</x:v>
      </x:c>
      <x:c r="R250" s="11" t="n">
        <x:v>979</x:v>
      </x:c>
      <x:c r="T250" t="str">
        <x:v>CNY</x:v>
      </x:c>
    </x:row>
    <x:row r="251" ht="23" customHeight="1">
      <x:c r="A251" s="11" t="str">
        <x:v>02359.HK</x:v>
      </x:c>
      <x:c r="B251" s="11" t="str">
        <x:v>药明康德</x:v>
      </x:c>
      <x:c r="C251" s="11" t="str">
        <x:v>五年</x:v>
      </x:c>
      <x:c r="D251" s="11" t="n">
        <x:v>208</x:v>
      </x:c>
      <x:c r="E251" s="11" t="str">
        <x:v>EPS</x:v>
      </x:c>
      <x:c r="F251" s="23" t="n">
        <x:f>'假设'!I983</x:f>
        <x:v>0</x:v>
      </x:c>
      <x:c r="G251" s="24" t="n">
        <x:f>'假设'!J983</x:f>
        <x:v>0</x:v>
      </x:c>
      <x:c r="H251" s="23" t="str">
        <x:f>'假设'!K983</x:f>
      </x:c>
      <x:c r="I251" s="23" t="n">
        <x:f>IF(E251="收入利润率",F251*G251/H251,'假设'!E983)</x:f>
        <x:v>15.5</x:v>
      </x:c>
      <x:c r="J251" s="23" t="n">
        <x:f>'假设'!F983</x:f>
        <x:v>22</x:v>
      </x:c>
      <x:c r="K251" s="23" t="n">
        <x:f>'假设'!G983</x:f>
        <x:v>1.1</x:v>
      </x:c>
      <x:c r="L251" s="23" t="n">
        <x:f>I251*J251*K251</x:f>
        <x:v>375.1</x:v>
      </x:c>
      <x:c r="M251" s="23" t="n">
        <x:f>'假设'!H983</x:f>
        <x:v>15.400000000000002</x:v>
      </x:c>
      <x:c r="N251" s="25" t="n">
        <x:f>L251/D251-1</x:f>
        <x:v>0.8033653846153848</x:v>
      </x:c>
      <x:c r="O251" s="25" t="n">
        <x:f>(L251+M251)/D251-1</x:f>
        <x:v>0.8774038461538463</x:v>
      </x:c>
      <x:c r="P251" s="25" t="n">
        <x:f>IF(Q251&gt;=3,(1+O251)^(1/Q251)-1,"")</x:f>
        <x:v>0.1342571893005231</x:v>
      </x:c>
      <x:c r="Q251" s="11" t="n">
        <x:v>5</x:v>
      </x:c>
      <x:c r="R251" s="11" t="n">
        <x:v>983</x:v>
      </x:c>
      <x:c r="T251" t="str">
        <x:v>CNY</x:v>
      </x:c>
    </x:row>
    <x:row r="252" ht="23" customHeight="1">
      <x:c r="A252" s="11" t="str">
        <x:v>02269.HK</x:v>
      </x:c>
      <x:c r="B252" s="11" t="str">
        <x:v>药明生物</x:v>
      </x:c>
      <x:c r="C252" s="11" t="str">
        <x:v>2026年底</x:v>
      </x:c>
      <x:c r="D252" s="11" t="n">
        <x:v>53.85</x:v>
      </x:c>
      <x:c r="E252" s="11" t="str">
        <x:v>EPS</x:v>
      </x:c>
      <x:c r="F252" s="23" t="n">
        <x:f>'假设'!I987</x:f>
        <x:v>0</x:v>
      </x:c>
      <x:c r="G252" s="24" t="n">
        <x:f>'假设'!J987</x:f>
        <x:v>0</x:v>
      </x:c>
      <x:c r="H252" s="23" t="str">
        <x:f>'假设'!K987</x:f>
      </x:c>
      <x:c r="I252" s="23" t="n">
        <x:f>IF(E252="收入利润率",F252*G252/H252,'假设'!E987)</x:f>
        <x:v>2.3</x:v>
      </x:c>
      <x:c r="J252" s="23" t="n">
        <x:f>'假设'!F987</x:f>
        <x:v>22</x:v>
      </x:c>
      <x:c r="K252" s="23" t="n">
        <x:f>'假设'!G987</x:f>
        <x:v>1.1</x:v>
      </x:c>
      <x:c r="L252" s="23" t="n">
        <x:f>I252*J252*K252</x:f>
        <x:v>55.66</x:v>
      </x:c>
      <x:c r="M252" s="23" t="n">
        <x:f>'假设'!H987</x:f>
        <x:v>0</x:v>
      </x:c>
      <x:c r="N252" s="25" t="n">
        <x:f>L252/D252-1</x:f>
        <x:v>0.03361188486536659</x:v>
      </x:c>
      <x:c r="O252" s="25" t="n">
        <x:f>(L252+M252)/D252-1</x:f>
        <x:v>0.03361188486536659</x:v>
      </x:c>
      <x:c r="P252" s="25" t="str">
        <x:f>IF(Q252&gt;=3,(1+O252)^(1/Q252)-1,"")</x:f>
      </x:c>
      <x:c r="Q252" s="11" t="n">
        <x:v>0</x:v>
      </x:c>
      <x:c r="R252" s="11" t="n">
        <x:v>987</x:v>
      </x:c>
      <x:c r="T252" t="str">
        <x:v>CNY</x:v>
      </x:c>
    </x:row>
    <x:row r="253" ht="23" customHeight="1">
      <x:c r="A253" s="11" t="str">
        <x:v>02269.HK</x:v>
      </x:c>
      <x:c r="B253" s="11" t="str">
        <x:v>药明生物</x:v>
      </x:c>
      <x:c r="C253" s="11" t="str">
        <x:v>半年</x:v>
      </x:c>
      <x:c r="D253" s="11" t="n">
        <x:v>53.85</x:v>
      </x:c>
      <x:c r="E253" s="11" t="str">
        <x:v>EPS</x:v>
      </x:c>
      <x:c r="F253" s="23" t="n">
        <x:f>'假设'!I991</x:f>
        <x:v>0</x:v>
      </x:c>
      <x:c r="G253" s="24" t="n">
        <x:f>'假设'!J991</x:f>
        <x:v>0</x:v>
      </x:c>
      <x:c r="H253" s="23" t="str">
        <x:f>'假设'!K991</x:f>
      </x:c>
      <x:c r="I253" s="23" t="n">
        <x:f>IF(E253="收入利润率",F253*G253/H253,'假设'!E991)</x:f>
        <x:v>2.3</x:v>
      </x:c>
      <x:c r="J253" s="23" t="n">
        <x:f>'假设'!F991</x:f>
        <x:v>24</x:v>
      </x:c>
      <x:c r="K253" s="23" t="n">
        <x:f>'假设'!G991</x:f>
        <x:v>1.1</x:v>
      </x:c>
      <x:c r="L253" s="23" t="n">
        <x:f>I253*J253*K253</x:f>
        <x:v>60.72</x:v>
      </x:c>
      <x:c r="M253" s="23" t="n">
        <x:f>'假设'!H991</x:f>
        <x:v>0</x:v>
      </x:c>
      <x:c r="N253" s="25" t="n">
        <x:f>L253/D253-1</x:f>
        <x:v>0.12757660167130913</x:v>
      </x:c>
      <x:c r="O253" s="25" t="n">
        <x:f>(L253+M253)/D253-1</x:f>
        <x:v>0.12757660167130913</x:v>
      </x:c>
      <x:c r="P253" s="25" t="str">
        <x:f>IF(Q253&gt;=3,(1+O253)^(1/Q253)-1,"")</x:f>
      </x:c>
      <x:c r="Q253" s="11" t="n">
        <x:v>0.5</x:v>
      </x:c>
      <x:c r="R253" s="11" t="n">
        <x:v>991</x:v>
      </x:c>
      <x:c r="T253" t="str">
        <x:v>CNY</x:v>
      </x:c>
    </x:row>
    <x:row r="254" ht="23" customHeight="1">
      <x:c r="A254" s="11" t="str">
        <x:v>02269.HK</x:v>
      </x:c>
      <x:c r="B254" s="11" t="str">
        <x:v>药明生物</x:v>
      </x:c>
      <x:c r="C254" s="11" t="str">
        <x:v>一年</x:v>
      </x:c>
      <x:c r="D254" s="11" t="n">
        <x:v>53.85</x:v>
      </x:c>
      <x:c r="E254" s="11" t="str">
        <x:v>EPS</x:v>
      </x:c>
      <x:c r="F254" s="23" t="n">
        <x:f>'假设'!I995</x:f>
        <x:v>0</x:v>
      </x:c>
      <x:c r="G254" s="24" t="n">
        <x:f>'假设'!J995</x:f>
        <x:v>0</x:v>
      </x:c>
      <x:c r="H254" s="23" t="str">
        <x:f>'假设'!K995</x:f>
      </x:c>
      <x:c r="I254" s="23" t="n">
        <x:f>IF(E254="收入利润率",F254*G254/H254,'假设'!E995)</x:f>
        <x:v>2.75</x:v>
      </x:c>
      <x:c r="J254" s="23" t="n">
        <x:f>'假设'!F995</x:f>
        <x:v>24</x:v>
      </x:c>
      <x:c r="K254" s="23" t="n">
        <x:f>'假设'!G995</x:f>
        <x:v>1.1</x:v>
      </x:c>
      <x:c r="L254" s="23" t="n">
        <x:f>I254*J254*K254</x:f>
        <x:v>72.60000000000001</x:v>
      </x:c>
      <x:c r="M254" s="23" t="n">
        <x:f>'假设'!H995</x:f>
        <x:v>0</x:v>
      </x:c>
      <x:c r="N254" s="25" t="n">
        <x:f>L254/D254-1</x:f>
        <x:v>0.3481894150417828</x:v>
      </x:c>
      <x:c r="O254" s="25" t="n">
        <x:f>(L254+M254)/D254-1</x:f>
        <x:v>0.3481894150417828</x:v>
      </x:c>
      <x:c r="P254" s="25" t="str">
        <x:f>IF(Q254&gt;=3,(1+O254)^(1/Q254)-1,"")</x:f>
      </x:c>
      <x:c r="Q254" s="11" t="n">
        <x:v>1</x:v>
      </x:c>
      <x:c r="R254" s="11" t="n">
        <x:v>995</x:v>
      </x:c>
      <x:c r="T254" t="str">
        <x:v>CNY</x:v>
      </x:c>
    </x:row>
    <x:row r="255" ht="23" customHeight="1">
      <x:c r="A255" s="11" t="str">
        <x:v>02269.HK</x:v>
      </x:c>
      <x:c r="B255" s="11" t="str">
        <x:v>药明生物</x:v>
      </x:c>
      <x:c r="C255" s="11" t="str">
        <x:v>三年</x:v>
      </x:c>
      <x:c r="D255" s="11" t="n">
        <x:v>53.85</x:v>
      </x:c>
      <x:c r="E255" s="11" t="str">
        <x:v>EPS</x:v>
      </x:c>
      <x:c r="F255" s="23" t="n">
        <x:f>'假设'!I999</x:f>
        <x:v>0</x:v>
      </x:c>
      <x:c r="G255" s="24" t="n">
        <x:f>'假设'!J999</x:f>
        <x:v>0</x:v>
      </x:c>
      <x:c r="H255" s="23" t="str">
        <x:f>'假设'!K999</x:f>
      </x:c>
      <x:c r="I255" s="23" t="n">
        <x:f>IF(E255="收入利润率",F255*G255/H255,'假设'!E999)</x:f>
        <x:v>3.5</x:v>
      </x:c>
      <x:c r="J255" s="23" t="n">
        <x:f>'假设'!F999</x:f>
        <x:v>22</x:v>
      </x:c>
      <x:c r="K255" s="23" t="n">
        <x:f>'假设'!G999</x:f>
        <x:v>1.1</x:v>
      </x:c>
      <x:c r="L255" s="23" t="n">
        <x:f>I255*J255*K255</x:f>
        <x:v>84.7</x:v>
      </x:c>
      <x:c r="M255" s="23" t="n">
        <x:f>'假设'!H999</x:f>
        <x:v>0</x:v>
      </x:c>
      <x:c r="N255" s="25" t="n">
        <x:f>L255/D255-1</x:f>
        <x:v>0.5728876508820799</x:v>
      </x:c>
      <x:c r="O255" s="25" t="n">
        <x:f>(L255+M255)/D255-1</x:f>
        <x:v>0.5728876508820799</x:v>
      </x:c>
      <x:c r="P255" s="25" t="n">
        <x:f>IF(Q255&gt;=3,(1+O255)^(1/Q255)-1,"")</x:f>
        <x:v>0.1629630084448852</x:v>
      </x:c>
      <x:c r="Q255" s="11" t="n">
        <x:v>3</x:v>
      </x:c>
      <x:c r="R255" s="11" t="n">
        <x:v>999</x:v>
      </x:c>
      <x:c r="T255" t="str">
        <x:v>CNY</x:v>
      </x:c>
    </x:row>
    <x:row r="256" ht="23" customHeight="1">
      <x:c r="A256" s="11" t="str">
        <x:v>02269.HK</x:v>
      </x:c>
      <x:c r="B256" s="11" t="str">
        <x:v>药明生物</x:v>
      </x:c>
      <x:c r="C256" s="11" t="str">
        <x:v>五年</x:v>
      </x:c>
      <x:c r="D256" s="11" t="n">
        <x:v>53.85</x:v>
      </x:c>
      <x:c r="E256" s="11" t="str">
        <x:v>EPS</x:v>
      </x:c>
      <x:c r="F256" s="23" t="n">
        <x:f>'假设'!I1003</x:f>
        <x:v>0</x:v>
      </x:c>
      <x:c r="G256" s="24" t="n">
        <x:f>'假设'!J1003</x:f>
        <x:v>0</x:v>
      </x:c>
      <x:c r="H256" s="23" t="str">
        <x:f>'假设'!K1003</x:f>
      </x:c>
      <x:c r="I256" s="23" t="n">
        <x:f>IF(E256="收入利润率",F256*G256/H256,'假设'!E1003)</x:f>
        <x:v>4.6</x:v>
      </x:c>
      <x:c r="J256" s="23" t="n">
        <x:f>'假设'!F1003</x:f>
        <x:v>20</x:v>
      </x:c>
      <x:c r="K256" s="23" t="n">
        <x:f>'假设'!G1003</x:f>
        <x:v>1.1</x:v>
      </x:c>
      <x:c r="L256" s="23" t="n">
        <x:f>I256*J256*K256</x:f>
        <x:v>101.2</x:v>
      </x:c>
      <x:c r="M256" s="23" t="n">
        <x:f>'假设'!H1003</x:f>
        <x:v>0</x:v>
      </x:c>
      <x:c r="N256" s="25" t="n">
        <x:f>L256/D256-1</x:f>
        <x:v>0.8792943361188486</x:v>
      </x:c>
      <x:c r="O256" s="25" t="n">
        <x:f>(L256+M256)/D256-1</x:f>
        <x:v>0.8792943361188486</x:v>
      </x:c>
      <x:c r="P256" s="25" t="n">
        <x:f>IF(Q256&gt;=3,(1+O256)^(1/Q256)-1,"")</x:f>
        <x:v>0.13448553001268615</x:v>
      </x:c>
      <x:c r="Q256" s="11" t="n">
        <x:v>5</x:v>
      </x:c>
      <x:c r="R256" s="11" t="n">
        <x:v>1003</x:v>
      </x:c>
      <x:c r="T256" t="str">
        <x:v>CNY</x:v>
      </x:c>
    </x:row>
    <x:row r="257" ht="23" customHeight="1">
      <x:c r="A257" s="11" t="str">
        <x:v>02268.HK</x:v>
      </x:c>
      <x:c r="B257" s="11" t="str">
        <x:v>药明合联</x:v>
      </x:c>
      <x:c r="C257" s="11" t="str">
        <x:v>2026年底</x:v>
      </x:c>
      <x:c r="D257" s="11" t="n">
        <x:v>82.1</x:v>
      </x:c>
      <x:c r="E257" s="11" t="str">
        <x:v>收入利润率</x:v>
      </x:c>
      <x:c r="F257" s="23" t="n">
        <x:f>'假设'!I1007</x:f>
        <x:v>11.4</x:v>
      </x:c>
      <x:c r="G257" s="24" t="n">
        <x:f>'假设'!J1007</x:f>
        <x:v>0.27017543859649124</x:v>
      </x:c>
      <x:c r="H257" s="23" t="n">
        <x:f>'假设'!K1007</x:f>
        <x:v>1.4</x:v>
      </x:c>
      <x:c r="I257" s="23" t="n">
        <x:f>IF(E257="收入利润率",F257*G257/H257,'假设'!E1007)</x:f>
        <x:v>2.2</x:v>
      </x:c>
      <x:c r="J257" s="23" t="n">
        <x:f>'假设'!F1007</x:f>
        <x:v>34</x:v>
      </x:c>
      <x:c r="K257" s="23" t="n">
        <x:f>'假设'!G1007</x:f>
        <x:v>1.1</x:v>
      </x:c>
      <x:c r="L257" s="23" t="n">
        <x:f>I257*J257*K257</x:f>
        <x:v>82.28000000000002</x:v>
      </x:c>
      <x:c r="M257" s="23" t="n">
        <x:f>'假设'!H1007</x:f>
        <x:v>0</x:v>
      </x:c>
      <x:c r="N257" s="25" t="n">
        <x:f>L257/D257-1</x:f>
        <x:v>0.0021924482338613327</x:v>
      </x:c>
      <x:c r="O257" s="25" t="n">
        <x:f>(L257+M257)/D257-1</x:f>
        <x:v>0.0021924482338613327</x:v>
      </x:c>
      <x:c r="P257" s="25" t="str">
        <x:f>IF(Q257&gt;=3,(1+O257)^(1/Q257)-1,"")</x:f>
      </x:c>
      <x:c r="Q257" s="11" t="n">
        <x:v>0</x:v>
      </x:c>
      <x:c r="R257" s="11" t="n">
        <x:v>1007</x:v>
      </x:c>
      <x:c r="T257" t="str">
        <x:v>CNY</x:v>
      </x:c>
    </x:row>
    <x:row r="258" ht="23" customHeight="1">
      <x:c r="A258" s="11" t="str">
        <x:v>02268.HK</x:v>
      </x:c>
      <x:c r="B258" s="11" t="str">
        <x:v>药明合联</x:v>
      </x:c>
      <x:c r="C258" s="11" t="str">
        <x:v>半年</x:v>
      </x:c>
      <x:c r="D258" s="11" t="n">
        <x:v>82.1</x:v>
      </x:c>
      <x:c r="E258" s="11" t="str">
        <x:v>收入利润率</x:v>
      </x:c>
      <x:c r="F258" s="23" t="n">
        <x:f>'假设'!I1011</x:f>
        <x:v>11.4</x:v>
      </x:c>
      <x:c r="G258" s="24" t="n">
        <x:f>'假设'!J1011</x:f>
        <x:v>0.27017543859649124</x:v>
      </x:c>
      <x:c r="H258" s="23" t="n">
        <x:f>'假设'!K1011</x:f>
        <x:v>1.4</x:v>
      </x:c>
      <x:c r="I258" s="23" t="n">
        <x:f>IF(E258="收入利润率",F258*G258/H258,'假设'!E1011)</x:f>
        <x:v>2.2</x:v>
      </x:c>
      <x:c r="J258" s="23" t="n">
        <x:f>'假设'!F1011</x:f>
        <x:v>37</x:v>
      </x:c>
      <x:c r="K258" s="23" t="n">
        <x:f>'假设'!G1011</x:f>
        <x:v>1.1</x:v>
      </x:c>
      <x:c r="L258" s="23" t="n">
        <x:f>I258*J258*K258</x:f>
        <x:v>89.54000000000002</x:v>
      </x:c>
      <x:c r="M258" s="23" t="n">
        <x:f>'假设'!H1011</x:f>
        <x:v>0</x:v>
      </x:c>
      <x:c r="N258" s="25" t="n">
        <x:f>L258/D258-1</x:f>
        <x:v>0.09062119366626109</x:v>
      </x:c>
      <x:c r="O258" s="25" t="n">
        <x:f>(L258+M258)/D258-1</x:f>
        <x:v>0.09062119366626109</x:v>
      </x:c>
      <x:c r="P258" s="25" t="str">
        <x:f>IF(Q258&gt;=3,(1+O258)^(1/Q258)-1,"")</x:f>
      </x:c>
      <x:c r="Q258" s="11" t="n">
        <x:v>0.5</x:v>
      </x:c>
      <x:c r="R258" s="11" t="n">
        <x:v>1011</x:v>
      </x:c>
      <x:c r="T258" t="str">
        <x:v>CNY</x:v>
      </x:c>
    </x:row>
    <x:row r="259" ht="23" customHeight="1">
      <x:c r="A259" s="11" t="str">
        <x:v>02268.HK</x:v>
      </x:c>
      <x:c r="B259" s="11" t="str">
        <x:v>药明合联</x:v>
      </x:c>
      <x:c r="C259" s="11" t="str">
        <x:v>一年</x:v>
      </x:c>
      <x:c r="D259" s="11" t="n">
        <x:v>82.1</x:v>
      </x:c>
      <x:c r="E259" s="11" t="str">
        <x:v>收入利润率</x:v>
      </x:c>
      <x:c r="F259" s="23" t="n">
        <x:f>'假设'!I1015</x:f>
        <x:v>14.8</x:v>
      </x:c>
      <x:c r="G259" s="24" t="n">
        <x:f>'假设'!J1015</x:f>
        <x:v>0.28503378378378375</x:v>
      </x:c>
      <x:c r="H259" s="23" t="n">
        <x:f>'假设'!K1015</x:f>
        <x:v>1.43</x:v>
      </x:c>
      <x:c r="I259" s="23" t="n">
        <x:f>IF(E259="收入利润率",F259*G259/H259,'假设'!E1015)</x:f>
        <x:v>2.9499999999999997</x:v>
      </x:c>
      <x:c r="J259" s="23" t="n">
        <x:f>'假设'!F1015</x:f>
        <x:v>34</x:v>
      </x:c>
      <x:c r="K259" s="23" t="n">
        <x:f>'假设'!G1015</x:f>
        <x:v>1.1</x:v>
      </x:c>
      <x:c r="L259" s="23" t="n">
        <x:f>I259*J259*K259</x:f>
        <x:v>110.33000000000001</x:v>
      </x:c>
      <x:c r="M259" s="23" t="n">
        <x:f>'假设'!H1015</x:f>
        <x:v>0</x:v>
      </x:c>
      <x:c r="N259" s="25" t="n">
        <x:f>L259/D259-1</x:f>
        <x:v>0.34384896467722315</x:v>
      </x:c>
      <x:c r="O259" s="25" t="n">
        <x:f>(L259+M259)/D259-1</x:f>
        <x:v>0.34384896467722315</x:v>
      </x:c>
      <x:c r="P259" s="25" t="str">
        <x:f>IF(Q259&gt;=3,(1+O259)^(1/Q259)-1,"")</x:f>
      </x:c>
      <x:c r="Q259" s="11" t="n">
        <x:v>1</x:v>
      </x:c>
      <x:c r="R259" s="11" t="n">
        <x:v>1015</x:v>
      </x:c>
      <x:c r="T259" t="str">
        <x:v>CNY</x:v>
      </x:c>
    </x:row>
    <x:row r="260" ht="23" customHeight="1">
      <x:c r="A260" s="11" t="str">
        <x:v>02268.HK</x:v>
      </x:c>
      <x:c r="B260" s="11" t="str">
        <x:v>药明合联</x:v>
      </x:c>
      <x:c r="C260" s="11" t="str">
        <x:v>三年</x:v>
      </x:c>
      <x:c r="D260" s="11" t="n">
        <x:v>82.1</x:v>
      </x:c>
      <x:c r="E260" s="11" t="str">
        <x:v>收入利润率</x:v>
      </x:c>
      <x:c r="F260" s="23" t="n">
        <x:f>'假设'!I1019</x:f>
        <x:v>19.5</x:v>
      </x:c>
      <x:c r="G260" s="24" t="n">
        <x:f>'假设'!J1019</x:f>
        <x:v>0.306974358974359</x:v>
      </x:c>
      <x:c r="H260" s="23" t="n">
        <x:f>'假设'!K1019</x:f>
        <x:v>1.46</x:v>
      </x:c>
      <x:c r="I260" s="23" t="n">
        <x:f>IF(E260="收入利润率",F260*G260/H260,'假设'!E1019)</x:f>
        <x:v>4.1000000000000005</x:v>
      </x:c>
      <x:c r="J260" s="23" t="n">
        <x:f>'假设'!F1019</x:f>
        <x:v>30</x:v>
      </x:c>
      <x:c r="K260" s="23" t="n">
        <x:f>'假设'!G1019</x:f>
        <x:v>1.1</x:v>
      </x:c>
      <x:c r="L260" s="23" t="n">
        <x:f>I260*J260*K260</x:f>
        <x:v>135.30000000000004</x:v>
      </x:c>
      <x:c r="M260" s="23" t="n">
        <x:f>'假设'!H1019</x:f>
        <x:v>0</x:v>
      </x:c>
      <x:c r="N260" s="25" t="n">
        <x:f>L260/D260-1</x:f>
        <x:v>0.6479902557856279</x:v>
      </x:c>
      <x:c r="O260" s="25" t="n">
        <x:f>(L260+M260)/D260-1</x:f>
        <x:v>0.6479902557856279</x:v>
      </x:c>
      <x:c r="P260" s="25" t="n">
        <x:f>IF(Q260&gt;=3,(1+O260)^(1/Q260)-1,"")</x:f>
        <x:v>0.181185788696397</x:v>
      </x:c>
      <x:c r="Q260" s="11" t="n">
        <x:v>3</x:v>
      </x:c>
      <x:c r="R260" s="11" t="n">
        <x:v>1019</x:v>
      </x:c>
      <x:c r="T260" t="str">
        <x:v>CNY</x:v>
      </x:c>
    </x:row>
    <x:row r="261" ht="23" customHeight="1">
      <x:c r="A261" s="11" t="str">
        <x:v>02268.HK</x:v>
      </x:c>
      <x:c r="B261" s="11" t="str">
        <x:v>药明合联</x:v>
      </x:c>
      <x:c r="C261" s="11" t="str">
        <x:v>五年</x:v>
      </x:c>
      <x:c r="D261" s="11" t="n">
        <x:v>82.1</x:v>
      </x:c>
      <x:c r="E261" s="11" t="str">
        <x:v>收入利润率</x:v>
      </x:c>
      <x:c r="F261" s="23" t="n">
        <x:f>'假设'!I1023</x:f>
        <x:v>31</x:v>
      </x:c>
      <x:c r="G261" s="24" t="n">
        <x:f>'假设'!J1023</x:f>
        <x:v>0.306</x:v>
      </x:c>
      <x:c r="H261" s="23" t="n">
        <x:f>'假设'!K1023</x:f>
        <x:v>1.53</x:v>
      </x:c>
      <x:c r="I261" s="23" t="n">
        <x:f>IF(E261="收入利润率",F261*G261/H261,'假设'!E1023)</x:f>
        <x:v>6.2</x:v>
      </x:c>
      <x:c r="J261" s="23" t="n">
        <x:f>'假设'!F1023</x:f>
        <x:v>27</x:v>
      </x:c>
      <x:c r="K261" s="23" t="n">
        <x:f>'假设'!G1023</x:f>
        <x:v>1.1</x:v>
      </x:c>
      <x:c r="L261" s="23" t="n">
        <x:f>I261*J261*K261</x:f>
        <x:v>184.14000000000001</x:v>
      </x:c>
      <x:c r="M261" s="23" t="n">
        <x:f>'假设'!H1023</x:f>
        <x:v>0</x:v>
      </x:c>
      <x:c r="N261" s="25" t="n">
        <x:f>L261/D261-1</x:f>
        <x:v>1.2428745432399517</x:v>
      </x:c>
      <x:c r="O261" s="25" t="n">
        <x:f>(L261+M261)/D261-1</x:f>
        <x:v>1.2428745432399517</x:v>
      </x:c>
      <x:c r="P261" s="25" t="n">
        <x:f>IF(Q261&gt;=3,(1+O261)^(1/Q261)-1,"")</x:f>
        <x:v>0.17533317933258386</x:v>
      </x:c>
      <x:c r="Q261" s="11" t="n">
        <x:v>5</x:v>
      </x:c>
      <x:c r="R261" s="11" t="n">
        <x:v>1023</x:v>
      </x:c>
      <x:c r="T261" t="str">
        <x:v>CNY</x:v>
      </x:c>
    </x:row>
    <x:row r="262" ht="23" customHeight="1">
      <x:c r="A262" s="11" t="str">
        <x:v>01810.HK</x:v>
      </x:c>
      <x:c r="B262" s="11" t="str">
        <x:v>小米集团-W</x:v>
      </x:c>
      <x:c r="C262" s="11" t="str">
        <x:v>2026年底</x:v>
      </x:c>
      <x:c r="D262" s="11" t="n">
        <x:v>25.96</x:v>
      </x:c>
      <x:c r="E262" s="11" t="str">
        <x:v>经营盈利桥</x:v>
      </x:c>
      <x:c r="F262" s="23" t="n">
        <x:f>'假设'!I1027</x:f>
        <x:v>0</x:v>
      </x:c>
      <x:c r="G262" s="24" t="n">
        <x:f>'假设'!J1027</x:f>
        <x:v>0</x:v>
      </x:c>
      <x:c r="H262" s="23" t="str">
        <x:f>'假设'!K1027</x:f>
      </x:c>
      <x:c r="I262" s="23" t="n">
        <x:f>'经营桥'!M32</x:f>
        <x:v>0.958</x:v>
      </x:c>
      <x:c r="J262" s="23" t="n">
        <x:f>'假设'!F1027</x:f>
        <x:v>26</x:v>
      </x:c>
      <x:c r="K262" s="23" t="n">
        <x:f>'假设'!G1027</x:f>
        <x:v>1.1</x:v>
      </x:c>
      <x:c r="L262" s="23" t="n">
        <x:f>ROUND(I262*J262*K262,2)</x:f>
        <x:v>27.4</x:v>
      </x:c>
      <x:c r="M262" s="23" t="n">
        <x:f>'假设'!H1027</x:f>
        <x:v>0</x:v>
      </x:c>
      <x:c r="N262" s="25" t="n">
        <x:f>L262/D262-1</x:f>
        <x:v>0.055469953775038494</x:v>
      </x:c>
      <x:c r="O262" s="25" t="n">
        <x:f>(L262+M262)/D262-1</x:f>
        <x:v>0.055469953775038494</x:v>
      </x:c>
      <x:c r="P262" s="25" t="str">
        <x:f>IF(Q262&gt;=3,(1+O262)^(1/Q262)-1,"")</x:f>
      </x:c>
      <x:c r="Q262" s="11" t="n">
        <x:v>0</x:v>
      </x:c>
      <x:c r="R262" s="11" t="n">
        <x:v>1027</x:v>
      </x:c>
      <x:c r="T262" t="str">
        <x:v>CNY</x:v>
      </x:c>
    </x:row>
    <x:row r="263" ht="23" customHeight="1">
      <x:c r="A263" s="11" t="str">
        <x:v>01810.HK</x:v>
      </x:c>
      <x:c r="B263" s="11" t="str">
        <x:v>小米集团-W</x:v>
      </x:c>
      <x:c r="C263" s="11" t="str">
        <x:v>半年</x:v>
      </x:c>
      <x:c r="D263" s="11" t="n">
        <x:v>25.96</x:v>
      </x:c>
      <x:c r="E263" s="11" t="str">
        <x:v>经营盈利桥</x:v>
      </x:c>
      <x:c r="F263" s="23" t="n">
        <x:f>'假设'!I1031</x:f>
        <x:v>0</x:v>
      </x:c>
      <x:c r="G263" s="24" t="n">
        <x:f>'假设'!J1031</x:f>
        <x:v>0</x:v>
      </x:c>
      <x:c r="H263" s="23" t="str">
        <x:f>'假设'!K1031</x:f>
      </x:c>
      <x:c r="I263" s="23" t="n">
        <x:f>'经营桥'!M33</x:f>
        <x:v>1.148</x:v>
      </x:c>
      <x:c r="J263" s="23" t="n">
        <x:f>'假设'!F1031</x:f>
        <x:v>26</x:v>
      </x:c>
      <x:c r="K263" s="23" t="n">
        <x:f>'假设'!G1031</x:f>
        <x:v>1.1</x:v>
      </x:c>
      <x:c r="L263" s="23" t="n">
        <x:f>ROUND(I263*J263*K263,2)</x:f>
        <x:v>32.83</x:v>
      </x:c>
      <x:c r="M263" s="23" t="n">
        <x:f>'假设'!H1031</x:f>
        <x:v>0</x:v>
      </x:c>
      <x:c r="N263" s="25" t="n">
        <x:f>L263/D263-1</x:f>
        <x:v>0.26463790446841284</x:v>
      </x:c>
      <x:c r="O263" s="25" t="n">
        <x:f>(L263+M263)/D263-1</x:f>
        <x:v>0.26463790446841284</x:v>
      </x:c>
      <x:c r="P263" s="25" t="str">
        <x:f>IF(Q263&gt;=3,(1+O263)^(1/Q263)-1,"")</x:f>
      </x:c>
      <x:c r="Q263" s="11" t="n">
        <x:v>0.5</x:v>
      </x:c>
      <x:c r="R263" s="11" t="n">
        <x:v>1031</x:v>
      </x:c>
      <x:c r="T263" t="str">
        <x:v>CNY</x:v>
      </x:c>
    </x:row>
    <x:row r="264" ht="23" customHeight="1">
      <x:c r="A264" s="11" t="str">
        <x:v>01810.HK</x:v>
      </x:c>
      <x:c r="B264" s="11" t="str">
        <x:v>小米集团-W</x:v>
      </x:c>
      <x:c r="C264" s="11" t="str">
        <x:v>一年</x:v>
      </x:c>
      <x:c r="D264" s="11" t="n">
        <x:v>25.96</x:v>
      </x:c>
      <x:c r="E264" s="11" t="str">
        <x:v>经营盈利桥</x:v>
      </x:c>
      <x:c r="F264" s="23" t="n">
        <x:f>'假设'!I1035</x:f>
        <x:v>0</x:v>
      </x:c>
      <x:c r="G264" s="24" t="n">
        <x:f>'假设'!J1035</x:f>
        <x:v>0</x:v>
      </x:c>
      <x:c r="H264" s="23" t="str">
        <x:f>'假设'!K1035</x:f>
      </x:c>
      <x:c r="I264" s="23" t="n">
        <x:f>'经营桥'!M34</x:f>
        <x:v>1.438</x:v>
      </x:c>
      <x:c r="J264" s="23" t="n">
        <x:f>'假设'!F1035</x:f>
        <x:v>25</x:v>
      </x:c>
      <x:c r="K264" s="23" t="n">
        <x:f>'假设'!G1035</x:f>
        <x:v>1.1</x:v>
      </x:c>
      <x:c r="L264" s="23" t="n">
        <x:f>ROUND(I264*J264*K264,2)</x:f>
        <x:v>39.55</x:v>
      </x:c>
      <x:c r="M264" s="23" t="n">
        <x:f>'假设'!H1035</x:f>
        <x:v>0</x:v>
      </x:c>
      <x:c r="N264" s="25" t="n">
        <x:f>L264/D264-1</x:f>
        <x:v>0.5234976887519258</x:v>
      </x:c>
      <x:c r="O264" s="25" t="n">
        <x:f>(L264+M264)/D264-1</x:f>
        <x:v>0.5234976887519258</x:v>
      </x:c>
      <x:c r="P264" s="25" t="str">
        <x:f>IF(Q264&gt;=3,(1+O264)^(1/Q264)-1,"")</x:f>
      </x:c>
      <x:c r="Q264" s="11" t="n">
        <x:v>1</x:v>
      </x:c>
      <x:c r="R264" s="11" t="n">
        <x:v>1035</x:v>
      </x:c>
      <x:c r="T264" t="str">
        <x:v>CNY</x:v>
      </x:c>
    </x:row>
    <x:row r="265" ht="23" customHeight="1">
      <x:c r="A265" s="11" t="str">
        <x:v>01810.HK</x:v>
      </x:c>
      <x:c r="B265" s="11" t="str">
        <x:v>小米集团-W</x:v>
      </x:c>
      <x:c r="C265" s="11" t="str">
        <x:v>三年</x:v>
      </x:c>
      <x:c r="D265" s="11" t="n">
        <x:v>25.96</x:v>
      </x:c>
      <x:c r="E265" s="11" t="str">
        <x:v>经营盈利桥</x:v>
      </x:c>
      <x:c r="F265" s="23" t="n">
        <x:f>'假设'!I1039</x:f>
        <x:v>0</x:v>
      </x:c>
      <x:c r="G265" s="24" t="n">
        <x:f>'假设'!J1039</x:f>
        <x:v>0</x:v>
      </x:c>
      <x:c r="H265" s="23" t="str">
        <x:f>'假设'!K1039</x:f>
      </x:c>
      <x:c r="I265" s="23" t="n">
        <x:f>'经营桥'!M35</x:f>
        <x:v>2.101</x:v>
      </x:c>
      <x:c r="J265" s="23" t="n">
        <x:f>'假设'!F1039</x:f>
        <x:v>24</x:v>
      </x:c>
      <x:c r="K265" s="23" t="n">
        <x:f>'假设'!G1039</x:f>
        <x:v>1.1</x:v>
      </x:c>
      <x:c r="L265" s="23" t="n">
        <x:f>ROUND(I265*J265*K265,2)</x:f>
        <x:v>55.47</x:v>
      </x:c>
      <x:c r="M265" s="23" t="n">
        <x:f>'假设'!H1039</x:f>
        <x:v>0</x:v>
      </x:c>
      <x:c r="N265" s="25" t="n">
        <x:f>L265/D265-1</x:f>
        <x:v>1.1367488443759628</x:v>
      </x:c>
      <x:c r="O265" s="25" t="n">
        <x:f>(L265+M265)/D265-1</x:f>
        <x:v>1.1367488443759628</x:v>
      </x:c>
      <x:c r="P265" s="25" t="n">
        <x:f>IF(Q265&gt;=3,(1+O265)^(1/Q265)-1,"")</x:f>
        <x:v>0.28800582142314934</x:v>
      </x:c>
      <x:c r="Q265" s="11" t="n">
        <x:v>3</x:v>
      </x:c>
      <x:c r="R265" s="11" t="n">
        <x:v>1039</x:v>
      </x:c>
      <x:c r="T265" t="str">
        <x:v>CNY</x:v>
      </x:c>
    </x:row>
    <x:row r="266" ht="23" customHeight="1">
      <x:c r="A266" s="11" t="str">
        <x:v>01810.HK</x:v>
      </x:c>
      <x:c r="B266" s="11" t="str">
        <x:v>小米集团-W</x:v>
      </x:c>
      <x:c r="C266" s="11" t="str">
        <x:v>五年</x:v>
      </x:c>
      <x:c r="D266" s="11" t="n">
        <x:v>25.96</x:v>
      </x:c>
      <x:c r="E266" s="11" t="str">
        <x:v>经营盈利桥</x:v>
      </x:c>
      <x:c r="F266" s="23" t="n">
        <x:f>'假设'!I1043</x:f>
        <x:v>0</x:v>
      </x:c>
      <x:c r="G266" s="24" t="n">
        <x:f>'假设'!J1043</x:f>
        <x:v>0</x:v>
      </x:c>
      <x:c r="H266" s="23" t="str">
        <x:f>'假设'!K1043</x:f>
      </x:c>
      <x:c r="I266" s="23" t="n">
        <x:f>'经营桥'!M36</x:f>
        <x:v>2.878</x:v>
      </x:c>
      <x:c r="J266" s="23" t="n">
        <x:f>'假设'!F1043</x:f>
        <x:v>22</x:v>
      </x:c>
      <x:c r="K266" s="23" t="n">
        <x:f>'假设'!G1043</x:f>
        <x:v>1.1</x:v>
      </x:c>
      <x:c r="L266" s="23" t="n">
        <x:f>ROUND(I266*J266*K266,2)</x:f>
        <x:v>69.65</x:v>
      </x:c>
      <x:c r="M266" s="23" t="n">
        <x:f>'假设'!H1043</x:f>
        <x:v>0</x:v>
      </x:c>
      <x:c r="N266" s="25" t="n">
        <x:f>L266/D266-1</x:f>
        <x:v>1.6829738058551618</x:v>
      </x:c>
      <x:c r="O266" s="25" t="n">
        <x:f>(L266+M266)/D266-1</x:f>
        <x:v>1.6829738058551618</x:v>
      </x:c>
      <x:c r="P266" s="25" t="n">
        <x:f>IF(Q266&gt;=3,(1+O266)^(1/Q266)-1,"")</x:f>
        <x:v>0.2182131593814518</x:v>
      </x:c>
      <x:c r="Q266" s="11" t="n">
        <x:v>5</x:v>
      </x:c>
      <x:c r="R266" s="11" t="n">
        <x:v>1043</x:v>
      </x:c>
      <x:c r="T266" t="str">
        <x:v>CNY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8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经营盈利桥 税后利润及摊薄EPS 币种逐行列明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52" customHeight="1">
      <x:c r="A6" s="12" t="str">
        <x:v>代码</x:v>
      </x:c>
      <x:c r="B6" s="12" t="str">
        <x:v>期限</x:v>
      </x:c>
      <x:c r="C6" s="12" t="str">
        <x:v>电商EBITA</x:v>
      </x:c>
      <x:c r="D6" s="12" t="str">
        <x:v>云EBITA</x:v>
      </x:c>
      <x:c r="E6" s="12" t="str">
        <x:v>Labs EBITA</x:v>
      </x:c>
      <x:c r="F6" s="12" t="str">
        <x:v>其他EBITA</x:v>
      </x:c>
      <x:c r="G6" s="12" t="str">
        <x:v>合计经营盈利</x:v>
      </x:c>
      <x:c r="H6" s="12" t="str">
        <x:v>税率</x:v>
      </x:c>
      <x:c r="I6" s="12" t="str">
        <x:v>税后经营盈利</x:v>
      </x:c>
      <x:c r="J6" s="12" t="str">
        <x:v>税后其他贡献</x:v>
      </x:c>
      <x:c r="K6" s="12" t="str">
        <x:v>税后归母盈利</x:v>
      </x:c>
      <x:c r="L6" s="12" t="str">
        <x:v>摊薄股数十亿</x:v>
      </x:c>
      <x:c r="M6" s="12" t="str">
        <x:v>EPS盈利币种</x:v>
      </x:c>
      <x:c r="N6" s="12" t="str">
        <x:v>原EPS快照</x:v>
      </x:c>
      <x:c r="O6" s="12" t="str">
        <x:v>股本及资本支出限制</x:v>
      </x:c>
      <x:c r="P6" t="str">
        <x:v>盈利币种</x:v>
      </x:c>
    </x:row>
    <x:row r="7" ht="23" customHeight="1">
      <x:c r="A7" s="11" t="str">
        <x:v>09988.HK</x:v>
      </x:c>
      <x:c r="B7" s="11" t="str">
        <x:v>2026年底</x:v>
      </x:c>
      <x:c r="C7" s="11" t="n">
        <x:f>'经营假设'!D7</x:f>
        <x:v>166</x:v>
      </x:c>
      <x:c r="D7" s="11" t="n">
        <x:f>'经营假设'!E7</x:f>
        <x:v>34</x:v>
      </x:c>
      <x:c r="E7" s="11" t="n">
        <x:f>'经营假设'!F7</x:f>
        <x:v>-54</x:v>
      </x:c>
      <x:c r="F7" s="11" t="n">
        <x:f>'经营假设'!G7</x:f>
        <x:v>-10</x:v>
      </x:c>
      <x:c r="G7" s="11" t="n">
        <x:f>SUM(C7:F7)</x:f>
        <x:v>136</x:v>
      </x:c>
      <x:c r="H7" s="11" t="n">
        <x:f>'经营假设'!H7</x:f>
        <x:v>0.22</x:v>
      </x:c>
      <x:c r="I7" s="11" t="n">
        <x:f>G7*(1-H7)</x:f>
        <x:v>106.08</x:v>
      </x:c>
      <x:c r="J7" s="11" t="n">
        <x:f>'经营假设'!I7</x:f>
        <x:v>4</x:v>
      </x:c>
      <x:c r="K7" s="11" t="n">
        <x:f>I7+J7</x:f>
        <x:v>110.08</x:v>
      </x:c>
      <x:c r="L7" s="11" t="n">
        <x:f>'经营假设'!J7</x:f>
        <x:v>20</x:v>
      </x:c>
      <x:c r="M7" s="11" t="n">
        <x:f>ROUND(K7/L7,2)</x:f>
        <x:v>5.5</x:v>
      </x:c>
      <x:c r="N7" s="11" t="n">
        <x:v>5.5</x:v>
      </x:c>
      <x:c r="O7" s="11" t="str">
        <x:v>EBITA已含折旧，剔SBC；非FCF。净现金不额外加值</x:v>
      </x:c>
      <x:c r="P7" t="str">
        <x:v>CNY</x:v>
      </x:c>
    </x:row>
    <x:row r="8" ht="23" customHeight="1">
      <x:c r="A8" s="11" t="str">
        <x:v>09988.HK</x:v>
      </x:c>
      <x:c r="B8" s="11" t="str">
        <x:v>半年</x:v>
      </x:c>
      <x:c r="C8" s="11" t="n">
        <x:f>'经营假设'!D11</x:f>
        <x:v>174</x:v>
      </x:c>
      <x:c r="D8" s="11" t="n">
        <x:f>'经营假设'!E11</x:f>
        <x:v>39</x:v>
      </x:c>
      <x:c r="E8" s="11" t="n">
        <x:f>'经营假设'!F11</x:f>
        <x:v>-54</x:v>
      </x:c>
      <x:c r="F8" s="11" t="n">
        <x:f>'经营假设'!G11</x:f>
        <x:v>-3</x:v>
      </x:c>
      <x:c r="G8" s="11" t="n">
        <x:f>SUM(C8:F8)</x:f>
        <x:v>156</x:v>
      </x:c>
      <x:c r="H8" s="11" t="n">
        <x:f>'经营假设'!H11</x:f>
        <x:v>0.22</x:v>
      </x:c>
      <x:c r="I8" s="11" t="n">
        <x:f>G8*(1-H8)</x:f>
        <x:v>121.68</x:v>
      </x:c>
      <x:c r="J8" s="11" t="n">
        <x:f>'经营假设'!I11</x:f>
        <x:v>4</x:v>
      </x:c>
      <x:c r="K8" s="11" t="n">
        <x:f>I8+J8</x:f>
        <x:v>125.68</x:v>
      </x:c>
      <x:c r="L8" s="11" t="n">
        <x:f>'经营假设'!J11</x:f>
        <x:v>20</x:v>
      </x:c>
      <x:c r="M8" s="11" t="n">
        <x:f>ROUND(K8/L8,2)</x:f>
        <x:v>6.28</x:v>
      </x:c>
      <x:c r="N8" s="11" t="n">
        <x:v>6.28</x:v>
      </x:c>
      <x:c r="O8" s="11" t="str">
        <x:v>EBITA已含折旧，剔SBC；非FCF。净现金不额外加值</x:v>
      </x:c>
      <x:c r="P8" t="str">
        <x:v>CNY</x:v>
      </x:c>
    </x:row>
    <x:row r="9" ht="23" customHeight="1">
      <x:c r="A9" s="11" t="str">
        <x:v>09988.HK</x:v>
      </x:c>
      <x:c r="B9" s="11" t="str">
        <x:v>一年</x:v>
      </x:c>
      <x:c r="C9" s="11" t="n">
        <x:f>'经营假设'!D15</x:f>
        <x:v>182</x:v>
      </x:c>
      <x:c r="D9" s="11" t="n">
        <x:f>'经营假设'!E15</x:f>
        <x:v>50</x:v>
      </x:c>
      <x:c r="E9" s="11" t="n">
        <x:f>'经营假设'!F15</x:f>
        <x:v>-42</x:v>
      </x:c>
      <x:c r="F9" s="11" t="n">
        <x:f>'经营假设'!G15</x:f>
        <x:v>-6</x:v>
      </x:c>
      <x:c r="G9" s="11" t="n">
        <x:f>SUM(C9:F9)</x:f>
        <x:v>184</x:v>
      </x:c>
      <x:c r="H9" s="11" t="n">
        <x:f>'经营假设'!H15</x:f>
        <x:v>0.22</x:v>
      </x:c>
      <x:c r="I9" s="11" t="n">
        <x:f>G9*(1-H9)</x:f>
        <x:v>143.52</x:v>
      </x:c>
      <x:c r="J9" s="11" t="n">
        <x:f>'经营假设'!I15</x:f>
        <x:v>5</x:v>
      </x:c>
      <x:c r="K9" s="11" t="n">
        <x:f>I9+J9</x:f>
        <x:v>148.52</x:v>
      </x:c>
      <x:c r="L9" s="11" t="n">
        <x:f>'经营假设'!J15</x:f>
        <x:v>20</x:v>
      </x:c>
      <x:c r="M9" s="11" t="n">
        <x:f>ROUND(K9/L9,2)</x:f>
        <x:v>7.43</x:v>
      </x:c>
      <x:c r="N9" s="11" t="n">
        <x:v>7.43</x:v>
      </x:c>
      <x:c r="O9" s="11" t="str">
        <x:v>EBITA已含折旧，剔SBC；非FCF。净现金不额外加值</x:v>
      </x:c>
      <x:c r="P9" t="str">
        <x:v>CNY</x:v>
      </x:c>
    </x:row>
    <x:row r="10" ht="23" customHeight="1">
      <x:c r="A10" s="11" t="str">
        <x:v>09988.HK</x:v>
      </x:c>
      <x:c r="B10" s="11" t="str">
        <x:v>三年</x:v>
      </x:c>
      <x:c r="C10" s="11" t="n">
        <x:f>'经营假设'!D19</x:f>
        <x:v>205</x:v>
      </x:c>
      <x:c r="D10" s="11" t="n">
        <x:f>'经营假设'!E19</x:f>
        <x:v>105</x:v>
      </x:c>
      <x:c r="E10" s="11" t="n">
        <x:f>'经营假设'!F19</x:f>
        <x:v>-42</x:v>
      </x:c>
      <x:c r="F10" s="11" t="n">
        <x:f>'经营假设'!G19</x:f>
        <x:v>-4</x:v>
      </x:c>
      <x:c r="G10" s="11" t="n">
        <x:f>SUM(C10:F10)</x:f>
        <x:v>264</x:v>
      </x:c>
      <x:c r="H10" s="11" t="n">
        <x:f>'经营假设'!H19</x:f>
        <x:v>0.22</x:v>
      </x:c>
      <x:c r="I10" s="11" t="n">
        <x:f>G10*(1-H10)</x:f>
        <x:v>205.92000000000002</x:v>
      </x:c>
      <x:c r="J10" s="11" t="n">
        <x:f>'经营假设'!I19</x:f>
        <x:v>6</x:v>
      </x:c>
      <x:c r="K10" s="11" t="n">
        <x:f>I10+J10</x:f>
        <x:v>211.92000000000002</x:v>
      </x:c>
      <x:c r="L10" s="11" t="n">
        <x:f>'经营假设'!J19</x:f>
        <x:v>19.3</x:v>
      </x:c>
      <x:c r="M10" s="11" t="n">
        <x:f>ROUND(K10/L10,2)</x:f>
        <x:v>10.98</x:v>
      </x:c>
      <x:c r="N10" s="11" t="n">
        <x:v>10.98</x:v>
      </x:c>
      <x:c r="O10" s="11" t="str">
        <x:v>EBITA已含折旧，剔SBC；非FCF。净现金不额外加值</x:v>
      </x:c>
      <x:c r="P10" t="str">
        <x:v>CNY</x:v>
      </x:c>
    </x:row>
    <x:row r="11" ht="23" customHeight="1">
      <x:c r="A11" s="11" t="str">
        <x:v>09988.HK</x:v>
      </x:c>
      <x:c r="B11" s="11" t="str">
        <x:v>五年</x:v>
      </x:c>
      <x:c r="C11" s="11" t="n">
        <x:f>'经营假设'!D23</x:f>
        <x:v>230</x:v>
      </x:c>
      <x:c r="D11" s="11" t="n">
        <x:f>'经营假设'!E23</x:f>
        <x:v>173</x:v>
      </x:c>
      <x:c r="E11" s="11" t="n">
        <x:f>'经营假设'!F23</x:f>
        <x:v>-41</x:v>
      </x:c>
      <x:c r="F11" s="11" t="n">
        <x:f>'经营假设'!G23</x:f>
        <x:v>-2</x:v>
      </x:c>
      <x:c r="G11" s="11" t="n">
        <x:f>SUM(C11:F11)</x:f>
        <x:v>360</x:v>
      </x:c>
      <x:c r="H11" s="11" t="n">
        <x:f>'经营假设'!H23</x:f>
        <x:v>0.22</x:v>
      </x:c>
      <x:c r="I11" s="11" t="n">
        <x:f>G11*(1-H11)</x:f>
        <x:v>280.8</x:v>
      </x:c>
      <x:c r="J11" s="11" t="n">
        <x:f>'经营假设'!I23</x:f>
        <x:v>6</x:v>
      </x:c>
      <x:c r="K11" s="11" t="n">
        <x:f>I11+J11</x:f>
        <x:v>286.8</x:v>
      </x:c>
      <x:c r="L11" s="11" t="n">
        <x:f>'经营假设'!J23</x:f>
        <x:v>19.1</x:v>
      </x:c>
      <x:c r="M11" s="11" t="n">
        <x:f>ROUND(K11/L11,2)</x:f>
        <x:v>15.02</x:v>
      </x:c>
      <x:c r="N11" s="11" t="n">
        <x:v>15.02</x:v>
      </x:c>
      <x:c r="O11" s="11" t="str">
        <x:v>EBITA已含折旧，剔SBC；非FCF。净现金不额外加值</x:v>
      </x:c>
      <x:c r="P11" t="str">
        <x:v>CNY</x:v>
      </x:c>
    </x:row>
    <x:row r="12" ht="23" customHeight="1">
      <x:c r="A12" s="11" t="str">
        <x:v>09626.HK</x:v>
      </x:c>
      <x:c r="B12" s="11" t="str">
        <x:v>2026年底</x:v>
      </x:c>
      <x:c r="C12" s="11" t="n">
        <x:f>'经营假设'!D27</x:f>
        <x:v>0</x:v>
      </x:c>
      <x:c r="D12" s="11" t="n">
        <x:f>'经营假设'!E27</x:f>
        <x:v>0</x:v>
      </x:c>
      <x:c r="E12" s="11" t="n">
        <x:f>'经营假设'!F27</x:f>
        <x:v>0</x:v>
      </x:c>
      <x:c r="F12" s="11" t="str">
        <x:f>'经营假设'!G27</x:f>
      </x:c>
      <x:c r="G12" s="11" t="n">
        <x:f>'经营假设'!K27*'经营假设'!L27</x:f>
        <x:v>3.0885</x:v>
      </x:c>
      <x:c r="H12" s="11" t="n">
        <x:f>'经营假设'!H27</x:f>
        <x:v>0.2</x:v>
      </x:c>
      <x:c r="I12" s="11" t="n">
        <x:f>G12*(1-H12)</x:f>
        <x:v>2.4708</x:v>
      </x:c>
      <x:c r="J12" s="11" t="n">
        <x:f>'经营假设'!I27</x:f>
        <x:v>0.12</x:v>
      </x:c>
      <x:c r="K12" s="11" t="n">
        <x:f>I12+J12</x:f>
        <x:v>2.5908</x:v>
      </x:c>
      <x:c r="L12" s="11" t="n">
        <x:f>'经营假设'!J27</x:f>
        <x:v>0.475</x:v>
      </x:c>
      <x:c r="M12" s="11" t="n">
        <x:f>ROUND(K12/L12,6)</x:f>
        <x:v>5.454316</x:v>
      </x:c>
      <x:c r="N12" s="11" t="n">
        <x:v>5.454316</x:v>
      </x:c>
      <x:c r="O12" s="11" t="str">
        <x:v>收入×含折旧经营利润率；单次罚款资本储备，不逐年扣利润</x:v>
      </x:c>
      <x:c r="P12" t="str">
        <x:v>CNY</x:v>
      </x:c>
    </x:row>
    <x:row r="13" ht="23" customHeight="1">
      <x:c r="A13" s="11" t="str">
        <x:v>09626.HK</x:v>
      </x:c>
      <x:c r="B13" s="11" t="str">
        <x:v>半年</x:v>
      </x:c>
      <x:c r="C13" s="11" t="n">
        <x:f>'经营假设'!D31</x:f>
        <x:v>0</x:v>
      </x:c>
      <x:c r="D13" s="11" t="n">
        <x:f>'经营假设'!E31</x:f>
        <x:v>0</x:v>
      </x:c>
      <x:c r="E13" s="11" t="n">
        <x:f>'经营假设'!F31</x:f>
        <x:v>0</x:v>
      </x:c>
      <x:c r="F13" s="11" t="str">
        <x:f>'经营假设'!G31</x:f>
      </x:c>
      <x:c r="G13" s="11" t="n">
        <x:f>'经营假设'!K31*'经营假设'!L31</x:f>
        <x:v>3.553</x:v>
      </x:c>
      <x:c r="H13" s="11" t="n">
        <x:f>'经营假设'!H31</x:f>
        <x:v>0.2</x:v>
      </x:c>
      <x:c r="I13" s="11" t="n">
        <x:f>G13*(1-H13)</x:f>
        <x:v>2.8424</x:v>
      </x:c>
      <x:c r="J13" s="11" t="n">
        <x:f>'经营假设'!I31</x:f>
        <x:v>0.13</x:v>
      </x:c>
      <x:c r="K13" s="11" t="n">
        <x:f>I13+J13</x:f>
        <x:v>2.9724</x:v>
      </x:c>
      <x:c r="L13" s="11" t="n">
        <x:f>'经营假设'!J31</x:f>
        <x:v>0.478</x:v>
      </x:c>
      <x:c r="M13" s="11" t="n">
        <x:f>ROUND(K13/L13,6)</x:f>
        <x:v>6.21841</x:v>
      </x:c>
      <x:c r="N13" s="11" t="n">
        <x:v>6.21841</x:v>
      </x:c>
      <x:c r="O13" s="11" t="str">
        <x:v>收入×含折旧经营利润率；单次罚款资本储备，不逐年扣利润</x:v>
      </x:c>
      <x:c r="P13" t="str">
        <x:v>CNY</x:v>
      </x:c>
    </x:row>
    <x:row r="14" ht="23" customHeight="1">
      <x:c r="A14" s="11" t="str">
        <x:v>09626.HK</x:v>
      </x:c>
      <x:c r="B14" s="11" t="str">
        <x:v>一年</x:v>
      </x:c>
      <x:c r="C14" s="11" t="n">
        <x:f>'经营假设'!D35</x:f>
        <x:v>0</x:v>
      </x:c>
      <x:c r="D14" s="11" t="n">
        <x:f>'经营假设'!E35</x:f>
        <x:v>0</x:v>
      </x:c>
      <x:c r="E14" s="11" t="n">
        <x:f>'经营假设'!F35</x:f>
        <x:v>0</x:v>
      </x:c>
      <x:c r="F14" s="11" t="str">
        <x:f>'经营假设'!G35</x:f>
      </x:c>
      <x:c r="G14" s="11" t="n">
        <x:f>'经营假设'!K35*'经营假设'!L35</x:f>
        <x:v>4.3740000000000006</x:v>
      </x:c>
      <x:c r="H14" s="11" t="n">
        <x:f>'经营假设'!H35</x:f>
        <x:v>0.2</x:v>
      </x:c>
      <x:c r="I14" s="11" t="n">
        <x:f>G14*(1-H14)</x:f>
        <x:v>3.4992000000000005</x:v>
      </x:c>
      <x:c r="J14" s="11" t="n">
        <x:f>'经营假设'!I35</x:f>
        <x:v>0.14</x:v>
      </x:c>
      <x:c r="K14" s="11" t="n">
        <x:f>I14+J14</x:f>
        <x:v>3.6392000000000007</x:v>
      </x:c>
      <x:c r="L14" s="11" t="n">
        <x:f>'经营假设'!J35</x:f>
        <x:v>0.482</x:v>
      </x:c>
      <x:c r="M14" s="11" t="n">
        <x:f>ROUND(K14/L14,6)</x:f>
        <x:v>7.550207</x:v>
      </x:c>
      <x:c r="N14" s="11" t="n">
        <x:v>7.550207</x:v>
      </x:c>
      <x:c r="O14" s="11" t="str">
        <x:v>收入×含折旧经营利润率；单次罚款资本储备，不逐年扣利润</x:v>
      </x:c>
      <x:c r="P14" t="str">
        <x:v>CNY</x:v>
      </x:c>
    </x:row>
    <x:row r="15" ht="23" customHeight="1">
      <x:c r="A15" s="11" t="str">
        <x:v>09626.HK</x:v>
      </x:c>
      <x:c r="B15" s="11" t="str">
        <x:v>三年</x:v>
      </x:c>
      <x:c r="C15" s="11" t="n">
        <x:f>'经营假设'!D39</x:f>
        <x:v>0</x:v>
      </x:c>
      <x:c r="D15" s="11" t="n">
        <x:f>'经营假设'!E39</x:f>
        <x:v>0</x:v>
      </x:c>
      <x:c r="E15" s="11" t="n">
        <x:f>'经营假设'!F39</x:f>
        <x:v>0</x:v>
      </x:c>
      <x:c r="F15" s="11" t="str">
        <x:f>'经营假设'!G39</x:f>
      </x:c>
      <x:c r="G15" s="11" t="n">
        <x:f>'经营假设'!K39*'经营假设'!L39</x:f>
        <x:v>7.112</x:v>
      </x:c>
      <x:c r="H15" s="11" t="n">
        <x:f>'经营假设'!H39</x:f>
        <x:v>0.2</x:v>
      </x:c>
      <x:c r="I15" s="11" t="n">
        <x:f>G15*(1-H15)</x:f>
        <x:v>5.6896</x:v>
      </x:c>
      <x:c r="J15" s="11" t="n">
        <x:f>'经营假设'!I39</x:f>
        <x:v>0.18</x:v>
      </x:c>
      <x:c r="K15" s="11" t="n">
        <x:f>I15+J15</x:f>
        <x:v>5.8696</x:v>
      </x:c>
      <x:c r="L15" s="11" t="n">
        <x:f>'经营假设'!J39</x:f>
        <x:v>0.49</x:v>
      </x:c>
      <x:c r="M15" s="11" t="n">
        <x:f>ROUND(K15/L15,6)</x:f>
        <x:v>11.978776</x:v>
      </x:c>
      <x:c r="N15" s="11" t="n">
        <x:v>11.978776</x:v>
      </x:c>
      <x:c r="O15" s="11" t="str">
        <x:v>收入×含折旧经营利润率；单次罚款资本储备，不逐年扣利润</x:v>
      </x:c>
      <x:c r="P15" t="str">
        <x:v>CNY</x:v>
      </x:c>
    </x:row>
    <x:row r="16" ht="23" customHeight="1">
      <x:c r="A16" s="11" t="str">
        <x:v>09626.HK</x:v>
      </x:c>
      <x:c r="B16" s="11" t="str">
        <x:v>五年</x:v>
      </x:c>
      <x:c r="C16" s="11" t="n">
        <x:f>'经营假设'!D43</x:f>
        <x:v>0</x:v>
      </x:c>
      <x:c r="D16" s="11" t="n">
        <x:f>'经营假设'!E43</x:f>
        <x:v>0</x:v>
      </x:c>
      <x:c r="E16" s="11" t="n">
        <x:f>'经营假设'!F43</x:f>
        <x:v>0</x:v>
      </x:c>
      <x:c r="F16" s="11" t="str">
        <x:f>'经营假设'!G43</x:f>
      </x:c>
      <x:c r="G16" s="11" t="n">
        <x:f>'经营假设'!K43*'经营假设'!L43</x:f>
        <x:v>9.3775</x:v>
      </x:c>
      <x:c r="H16" s="11" t="n">
        <x:f>'经营假设'!H43</x:f>
        <x:v>0.2</x:v>
      </x:c>
      <x:c r="I16" s="11" t="n">
        <x:f>G16*(1-H16)</x:f>
        <x:v>7.502</x:v>
      </x:c>
      <x:c r="J16" s="11" t="n">
        <x:f>'经营假设'!I43</x:f>
        <x:v>0.22</x:v>
      </x:c>
      <x:c r="K16" s="11" t="n">
        <x:f>I16+J16</x:f>
        <x:v>7.7219999999999995</x:v>
      </x:c>
      <x:c r="L16" s="11" t="n">
        <x:f>'经营假设'!J43</x:f>
        <x:v>0.505</x:v>
      </x:c>
      <x:c r="M16" s="11" t="n">
        <x:f>ROUND(K16/L16,6)</x:f>
        <x:v>15.291089</x:v>
      </x:c>
      <x:c r="N16" s="11" t="n">
        <x:v>15.291089</x:v>
      </x:c>
      <x:c r="O16" s="11" t="str">
        <x:v>收入×含折旧经营利润率；单次罚款资本储备，不逐年扣利润</x:v>
      </x:c>
      <x:c r="P16" t="str">
        <x:v>CNY</x:v>
      </x:c>
    </x:row>
    <x:row r="17" ht="23" customHeight="1">
      <x:c r="A17" s="11" t="str">
        <x:v>06618.HK</x:v>
      </x:c>
      <x:c r="B17" s="11" t="str">
        <x:v>2026年底</x:v>
      </x:c>
      <x:c r="C17" s="11" t="n">
        <x:f>'经营假设'!D47</x:f>
        <x:v>0</x:v>
      </x:c>
      <x:c r="D17" s="11" t="n">
        <x:f>'经营假设'!E47</x:f>
        <x:v>0</x:v>
      </x:c>
      <x:c r="E17" s="11" t="n">
        <x:f>'经营假设'!F47</x:f>
        <x:v>0</x:v>
      </x:c>
      <x:c r="F17" s="11" t="str">
        <x:f>'经营假设'!G47</x:f>
      </x:c>
      <x:c r="G17" s="11" t="n">
        <x:f>'经营假设'!K47*'经营假设'!L47</x:f>
        <x:v>6.8</x:v>
      </x:c>
      <x:c r="H17" s="11" t="n">
        <x:f>'经营假设'!H47</x:f>
        <x:v>0.22</x:v>
      </x:c>
      <x:c r="I17" s="11" t="n">
        <x:f>G17*(1-H17)</x:f>
        <x:v>5.304</x:v>
      </x:c>
      <x:c r="J17" s="11" t="n">
        <x:f>'经营假设'!I47</x:f>
        <x:v>1.35</x:v>
      </x:c>
      <x:c r="K17" s="11" t="n">
        <x:f>I17+J17</x:f>
        <x:v>6.654</x:v>
      </x:c>
      <x:c r="L17" s="11" t="n">
        <x:f>'经营假设'!J47</x:f>
        <x:v>3.21</x:v>
      </x:c>
      <x:c r="M17" s="11" t="n">
        <x:f>ROUND(K17/L17,6)</x:f>
        <x:v>2.072897</x:v>
      </x:c>
      <x:c r="N17" s="11" t="n">
        <x:v>2.072897</x:v>
      </x:c>
      <x:c r="O17" s="11" t="str">
        <x:v>收入×含折旧经营利润率；单次罚款资本储备，不逐年扣利润</x:v>
      </x:c>
      <x:c r="P17" t="str">
        <x:v>CNY</x:v>
      </x:c>
    </x:row>
    <x:row r="18" ht="23" customHeight="1">
      <x:c r="A18" s="11" t="str">
        <x:v>06618.HK</x:v>
      </x:c>
      <x:c r="B18" s="11" t="str">
        <x:v>半年</x:v>
      </x:c>
      <x:c r="C18" s="11" t="n">
        <x:f>'经营假设'!D51</x:f>
        <x:v>0</x:v>
      </x:c>
      <x:c r="D18" s="11" t="n">
        <x:f>'经营假设'!E51</x:f>
        <x:v>0</x:v>
      </x:c>
      <x:c r="E18" s="11" t="n">
        <x:f>'经营假设'!F51</x:f>
        <x:v>0</x:v>
      </x:c>
      <x:c r="F18" s="11" t="str">
        <x:f>'经营假设'!G51</x:f>
      </x:c>
      <x:c r="G18" s="11" t="n">
        <x:f>'经营假设'!K51*'经营假设'!L51</x:f>
        <x:v>7.6775</x:v>
      </x:c>
      <x:c r="H18" s="11" t="n">
        <x:f>'经营假设'!H51</x:f>
        <x:v>0.22</x:v>
      </x:c>
      <x:c r="I18" s="11" t="n">
        <x:f>G18*(1-H18)</x:f>
        <x:v>5.98845</x:v>
      </x:c>
      <x:c r="J18" s="11" t="n">
        <x:f>'经营假设'!I51</x:f>
        <x:v>1.35</x:v>
      </x:c>
      <x:c r="K18" s="11" t="n">
        <x:f>I18+J18</x:f>
        <x:v>7.33845</x:v>
      </x:c>
      <x:c r="L18" s="11" t="n">
        <x:f>'经营假设'!J51</x:f>
        <x:v>3.205</x:v>
      </x:c>
      <x:c r="M18" s="11" t="n">
        <x:f>ROUND(K18/L18,6)</x:f>
        <x:v>2.289688</x:v>
      </x:c>
      <x:c r="N18" s="11" t="n">
        <x:v>2.289688</x:v>
      </x:c>
      <x:c r="O18" s="11" t="str">
        <x:v>收入×含折旧经营利润率；单次罚款资本储备，不逐年扣利润</x:v>
      </x:c>
      <x:c r="P18" t="str">
        <x:v>CNY</x:v>
      </x:c>
    </x:row>
    <x:row r="19" ht="23" customHeight="1">
      <x:c r="A19" s="11" t="str">
        <x:v>06618.HK</x:v>
      </x:c>
      <x:c r="B19" s="11" t="str">
        <x:v>一年</x:v>
      </x:c>
      <x:c r="C19" s="11" t="n">
        <x:f>'经营假设'!D55</x:f>
        <x:v>0</x:v>
      </x:c>
      <x:c r="D19" s="11" t="n">
        <x:f>'经营假设'!E55</x:f>
        <x:v>0</x:v>
      </x:c>
      <x:c r="E19" s="11" t="n">
        <x:f>'经营假设'!F55</x:f>
        <x:v>0</x:v>
      </x:c>
      <x:c r="F19" s="11" t="str">
        <x:f>'经营假设'!G55</x:f>
      </x:c>
      <x:c r="G19" s="11" t="n">
        <x:f>'经营假设'!K55*'经营假设'!L55</x:f>
        <x:v>9.045</x:v>
      </x:c>
      <x:c r="H19" s="11" t="n">
        <x:f>'经营假设'!H55</x:f>
        <x:v>0.22</x:v>
      </x:c>
      <x:c r="I19" s="11" t="n">
        <x:f>G19*(1-H19)</x:f>
        <x:v>7.0551</x:v>
      </x:c>
      <x:c r="J19" s="11" t="n">
        <x:f>'经营假设'!I55</x:f>
        <x:v>1.4</x:v>
      </x:c>
      <x:c r="K19" s="11" t="n">
        <x:f>I19+J19</x:f>
        <x:v>8.4551</x:v>
      </x:c>
      <x:c r="L19" s="11" t="n">
        <x:f>'经营假设'!J55</x:f>
        <x:v>3.2</x:v>
      </x:c>
      <x:c r="M19" s="11" t="n">
        <x:f>ROUND(K19/L19,6)</x:f>
        <x:v>2.642219</x:v>
      </x:c>
      <x:c r="N19" s="11" t="n">
        <x:v>2.642219</x:v>
      </x:c>
      <x:c r="O19" s="11" t="str">
        <x:v>收入×含折旧经营利润率；单次罚款资本储备，不逐年扣利润</x:v>
      </x:c>
      <x:c r="P19" t="str">
        <x:v>CNY</x:v>
      </x:c>
    </x:row>
    <x:row r="20" ht="23" customHeight="1">
      <x:c r="A20" s="11" t="str">
        <x:v>06618.HK</x:v>
      </x:c>
      <x:c r="B20" s="11" t="str">
        <x:v>三年</x:v>
      </x:c>
      <x:c r="C20" s="11" t="n">
        <x:f>'经营假设'!D59</x:f>
        <x:v>0</x:v>
      </x:c>
      <x:c r="D20" s="11" t="n">
        <x:f>'经营假设'!E59</x:f>
        <x:v>0</x:v>
      </x:c>
      <x:c r="E20" s="11" t="n">
        <x:f>'经营假设'!F59</x:f>
        <x:v>0</x:v>
      </x:c>
      <x:c r="F20" s="11" t="str">
        <x:f>'经营假设'!G59</x:f>
      </x:c>
      <x:c r="G20" s="11" t="n">
        <x:f>'经营假设'!K59*'经营假设'!L59</x:f>
        <x:v>14.7</x:v>
      </x:c>
      <x:c r="H20" s="11" t="n">
        <x:f>'经营假设'!H59</x:f>
        <x:v>0.22</x:v>
      </x:c>
      <x:c r="I20" s="11" t="n">
        <x:f>G20*(1-H20)</x:f>
        <x:v>11.466</x:v>
      </x:c>
      <x:c r="J20" s="11" t="n">
        <x:f>'经营假设'!I59</x:f>
        <x:v>1.5</x:v>
      </x:c>
      <x:c r="K20" s="11" t="n">
        <x:f>I20+J20</x:f>
        <x:v>12.966</x:v>
      </x:c>
      <x:c r="L20" s="11" t="n">
        <x:f>'经营假设'!J59</x:f>
        <x:v>3.21</x:v>
      </x:c>
      <x:c r="M20" s="11" t="n">
        <x:f>ROUND(K20/L20,6)</x:f>
        <x:v>4.039252</x:v>
      </x:c>
      <x:c r="N20" s="11" t="n">
        <x:v>4.039252</x:v>
      </x:c>
      <x:c r="O20" s="11" t="str">
        <x:v>收入×含折旧经营利润率；单次罚款资本储备，不逐年扣利润</x:v>
      </x:c>
      <x:c r="P20" t="str">
        <x:v>CNY</x:v>
      </x:c>
    </x:row>
    <x:row r="21" ht="23" customHeight="1">
      <x:c r="A21" s="11" t="str">
        <x:v>06618.HK</x:v>
      </x:c>
      <x:c r="B21" s="11" t="str">
        <x:v>五年</x:v>
      </x:c>
      <x:c r="C21" s="11" t="n">
        <x:f>'经营假设'!D63</x:f>
        <x:v>0</x:v>
      </x:c>
      <x:c r="D21" s="11" t="n">
        <x:f>'经营假设'!E63</x:f>
        <x:v>0</x:v>
      </x:c>
      <x:c r="E21" s="11" t="n">
        <x:f>'经营假设'!F63</x:f>
        <x:v>0</x:v>
      </x:c>
      <x:c r="F21" s="11" t="str">
        <x:f>'经营假设'!G63</x:f>
      </x:c>
      <x:c r="G21" s="11" t="n">
        <x:f>'经营假设'!K63*'经营假设'!L63</x:f>
        <x:v>21.505000000000003</x:v>
      </x:c>
      <x:c r="H21" s="11" t="n">
        <x:f>'经营假设'!H63</x:f>
        <x:v>0.22</x:v>
      </x:c>
      <x:c r="I21" s="11" t="n">
        <x:f>G21*(1-H21)</x:f>
        <x:v>16.7739</x:v>
      </x:c>
      <x:c r="J21" s="11" t="n">
        <x:f>'经营假设'!I63</x:f>
        <x:v>1.6</x:v>
      </x:c>
      <x:c r="K21" s="11" t="n">
        <x:f>I21+J21</x:f>
        <x:v>18.373900000000003</x:v>
      </x:c>
      <x:c r="L21" s="11" t="n">
        <x:f>'经营假设'!J63</x:f>
        <x:v>3.23</x:v>
      </x:c>
      <x:c r="M21" s="11" t="n">
        <x:f>ROUND(K21/L21,6)</x:f>
        <x:v>5.688514</x:v>
      </x:c>
      <x:c r="N21" s="11" t="n">
        <x:v>5.688514</x:v>
      </x:c>
      <x:c r="O21" s="11" t="str">
        <x:v>收入×含折旧经营利润率；单次罚款资本储备，不逐年扣利润</x:v>
      </x:c>
      <x:c r="P21" t="str">
        <x:v>CNY</x:v>
      </x:c>
    </x:row>
    <x:row r="22" ht="23" customHeight="1">
      <x:c r="A22" s="11" t="str">
        <x:v>00992.HK</x:v>
      </x:c>
      <x:c r="B22" s="11" t="str">
        <x:v>2026年底</x:v>
      </x:c>
      <x:c r="C22" s="11" t="n">
        <x:f>'经营假设'!D67</x:f>
        <x:v>0</x:v>
      </x:c>
      <x:c r="D22" s="11" t="n">
        <x:f>'经营假设'!E67</x:f>
        <x:v>0</x:v>
      </x:c>
      <x:c r="E22" s="11" t="n">
        <x:f>'经营假设'!F67</x:f>
        <x:v>0</x:v>
      </x:c>
      <x:c r="F22" s="11" t="str">
        <x:f>'经营假设'!G67</x:f>
      </x:c>
      <x:c r="G22" s="11" t="n">
        <x:f>'经营假设'!K67*'经营假设'!L67</x:f>
        <x:v>5.94</x:v>
      </x:c>
      <x:c r="H22" s="11" t="n">
        <x:f>'经营假设'!H67</x:f>
        <x:v>0.2</x:v>
      </x:c>
      <x:c r="I22" s="11" t="n">
        <x:f>G22*(1-H22)</x:f>
        <x:v>4.752000000000001</x:v>
      </x:c>
      <x:c r="J22" s="11" t="n">
        <x:f>'经营假设'!I67</x:f>
        <x:v>-0.4</x:v>
      </x:c>
      <x:c r="K22" s="11" t="n">
        <x:f>I22+J22</x:f>
        <x:v>4.352</x:v>
      </x:c>
      <x:c r="L22" s="11" t="n">
        <x:f>'经营假设'!J67</x:f>
        <x:v>16.3</x:v>
      </x:c>
      <x:c r="M22" s="11" t="n">
        <x:f>ROUND(K22/L22,6)</x:f>
        <x:v>0.266994</x:v>
      </x:c>
      <x:c r="N22" s="11" t="n">
        <x:v>0.266994</x:v>
      </x:c>
      <x:c r="O22" s="11" t="str">
        <x:v>收入×含折旧经营利润率；单次罚款资本储备，不逐年扣利润</x:v>
      </x:c>
      <x:c r="P22" t="str">
        <x:v>USD</x:v>
      </x:c>
    </x:row>
    <x:row r="23" ht="23" customHeight="1">
      <x:c r="A23" s="11" t="str">
        <x:v>00992.HK</x:v>
      </x:c>
      <x:c r="B23" s="11" t="str">
        <x:v>半年</x:v>
      </x:c>
      <x:c r="C23" s="11" t="n">
        <x:f>'经营假设'!D71</x:f>
        <x:v>0</x:v>
      </x:c>
      <x:c r="D23" s="11" t="n">
        <x:f>'经营假设'!E71</x:f>
        <x:v>0</x:v>
      </x:c>
      <x:c r="E23" s="11" t="n">
        <x:f>'经营假设'!F71</x:f>
        <x:v>0</x:v>
      </x:c>
      <x:c r="F23" s="11" t="str">
        <x:f>'经营假设'!G71</x:f>
      </x:c>
      <x:c r="G23" s="11" t="n">
        <x:f>'经营假设'!K71*'经营假设'!L71</x:f>
        <x:v>6.612</x:v>
      </x:c>
      <x:c r="H23" s="11" t="n">
        <x:f>'经营假设'!H71</x:f>
        <x:v>0.2</x:v>
      </x:c>
      <x:c r="I23" s="11" t="n">
        <x:f>G23*(1-H23)</x:f>
        <x:v>5.2896</x:v>
      </x:c>
      <x:c r="J23" s="11" t="n">
        <x:f>'经营假设'!I71</x:f>
        <x:v>-0.4</x:v>
      </x:c>
      <x:c r="K23" s="11" t="n">
        <x:f>I23+J23</x:f>
        <x:v>4.8896</x:v>
      </x:c>
      <x:c r="L23" s="11" t="n">
        <x:f>'经营假设'!J71</x:f>
        <x:v>16.3</x:v>
      </x:c>
      <x:c r="M23" s="11" t="n">
        <x:f>ROUND(K23/L23,6)</x:f>
        <x:v>0.299975</x:v>
      </x:c>
      <x:c r="N23" s="11" t="n">
        <x:v>0.299975</x:v>
      </x:c>
      <x:c r="O23" s="11" t="str">
        <x:v>收入×含折旧经营利润率；单次罚款资本储备，不逐年扣利润</x:v>
      </x:c>
      <x:c r="P23" t="str">
        <x:v>USD</x:v>
      </x:c>
    </x:row>
    <x:row r="24" ht="23" customHeight="1">
      <x:c r="A24" s="11" t="str">
        <x:v>00992.HK</x:v>
      </x:c>
      <x:c r="B24" s="11" t="str">
        <x:v>一年</x:v>
      </x:c>
      <x:c r="C24" s="11" t="n">
        <x:f>'经营假设'!D75</x:f>
        <x:v>0</x:v>
      </x:c>
      <x:c r="D24" s="11" t="n">
        <x:f>'经营假设'!E75</x:f>
        <x:v>0</x:v>
      </x:c>
      <x:c r="E24" s="11" t="n">
        <x:f>'经营假设'!F75</x:f>
        <x:v>0</x:v>
      </x:c>
      <x:c r="F24" s="11" t="str">
        <x:f>'经营假设'!G75</x:f>
      </x:c>
      <x:c r="G24" s="11" t="n">
        <x:f>'经营假设'!K75*'经营假设'!L75</x:f>
        <x:v>8.749999999999998</x:v>
      </x:c>
      <x:c r="H24" s="11" t="n">
        <x:f>'经营假设'!H75</x:f>
        <x:v>0.2</x:v>
      </x:c>
      <x:c r="I24" s="11" t="n">
        <x:f>G24*(1-H24)</x:f>
        <x:v>6.999999999999999</x:v>
      </x:c>
      <x:c r="J24" s="11" t="n">
        <x:f>'经营假设'!I75</x:f>
        <x:v>-0.42</x:v>
      </x:c>
      <x:c r="K24" s="11" t="n">
        <x:f>I24+J24</x:f>
        <x:v>6.579999999999999</x:v>
      </x:c>
      <x:c r="L24" s="11" t="n">
        <x:f>'经营假设'!J75</x:f>
        <x:v>16.4</x:v>
      </x:c>
      <x:c r="M24" s="11" t="n">
        <x:f>ROUND(K24/L24,6)</x:f>
        <x:v>0.40122</x:v>
      </x:c>
      <x:c r="N24" s="11" t="n">
        <x:v>0.340244</x:v>
      </x:c>
      <x:c r="O24" s="11" t="str">
        <x:v>收入×含折旧经营利润率；单次罚款资本储备，不逐年扣利润</x:v>
      </x:c>
      <x:c r="P24" t="str">
        <x:v>USD</x:v>
      </x:c>
    </x:row>
    <x:row r="25" ht="23" customHeight="1">
      <x:c r="A25" s="11" t="str">
        <x:v>00992.HK</x:v>
      </x:c>
      <x:c r="B25" s="11" t="str">
        <x:v>三年</x:v>
      </x:c>
      <x:c r="C25" s="11" t="n">
        <x:f>'经营假设'!D79</x:f>
        <x:v>0</x:v>
      </x:c>
      <x:c r="D25" s="11" t="n">
        <x:f>'经营假设'!E79</x:f>
        <x:v>0</x:v>
      </x:c>
      <x:c r="E25" s="11" t="n">
        <x:f>'经营假设'!F79</x:f>
        <x:v>0</x:v>
      </x:c>
      <x:c r="F25" s="11" t="str">
        <x:f>'经营假设'!G79</x:f>
      </x:c>
      <x:c r="G25" s="11" t="n">
        <x:f>'经营假设'!K79*'经营假设'!L79</x:f>
        <x:v>11.05</x:v>
      </x:c>
      <x:c r="H25" s="11" t="n">
        <x:f>'经营假设'!H79</x:f>
        <x:v>0.2</x:v>
      </x:c>
      <x:c r="I25" s="11" t="n">
        <x:f>G25*(1-H25)</x:f>
        <x:v>8.840000000000002</x:v>
      </x:c>
      <x:c r="J25" s="11" t="n">
        <x:f>'经营假设'!I79</x:f>
        <x:v>-0.5</x:v>
      </x:c>
      <x:c r="K25" s="11" t="n">
        <x:f>I25+J25</x:f>
        <x:v>8.340000000000002</x:v>
      </x:c>
      <x:c r="L25" s="11" t="n">
        <x:f>'经营假设'!J79</x:f>
        <x:v>16.6</x:v>
      </x:c>
      <x:c r="M25" s="11" t="n">
        <x:f>ROUND(K25/L25,6)</x:f>
        <x:v>0.50241</x:v>
      </x:c>
      <x:c r="N25" s="11" t="n">
        <x:v>0.50241</x:v>
      </x:c>
      <x:c r="O25" s="11" t="str">
        <x:v>收入×含折旧经营利润率；单次罚款资本储备，不逐年扣利润</x:v>
      </x:c>
      <x:c r="P25" t="str">
        <x:v>USD</x:v>
      </x:c>
    </x:row>
    <x:row r="26" ht="23" customHeight="1">
      <x:c r="A26" s="11" t="str">
        <x:v>00992.HK</x:v>
      </x:c>
      <x:c r="B26" s="11" t="str">
        <x:v>五年</x:v>
      </x:c>
      <x:c r="C26" s="11" t="n">
        <x:f>'经营假设'!D83</x:f>
        <x:v>0</x:v>
      </x:c>
      <x:c r="D26" s="11" t="n">
        <x:f>'经营假设'!E83</x:f>
        <x:v>0</x:v>
      </x:c>
      <x:c r="E26" s="11" t="n">
        <x:f>'经营假设'!F83</x:f>
        <x:v>0</x:v>
      </x:c>
      <x:c r="F26" s="11" t="str">
        <x:f>'经营假设'!G83</x:f>
      </x:c>
      <x:c r="G26" s="11" t="n">
        <x:f>'经营假设'!K83*'经营假设'!L83</x:f>
        <x:v>14.280000000000001</x:v>
      </x:c>
      <x:c r="H26" s="11" t="n">
        <x:f>'经营假设'!H83</x:f>
        <x:v>0.2</x:v>
      </x:c>
      <x:c r="I26" s="11" t="n">
        <x:f>G26*(1-H26)</x:f>
        <x:v>11.424000000000001</x:v>
      </x:c>
      <x:c r="J26" s="11" t="n">
        <x:f>'经营假设'!I83</x:f>
        <x:v>-0.55</x:v>
      </x:c>
      <x:c r="K26" s="11" t="n">
        <x:f>I26+J26</x:f>
        <x:v>10.874</x:v>
      </x:c>
      <x:c r="L26" s="11" t="n">
        <x:f>'经营假设'!J83</x:f>
        <x:v>16.9</x:v>
      </x:c>
      <x:c r="M26" s="11" t="n">
        <x:f>ROUND(K26/L26,6)</x:f>
        <x:v>0.643432</x:v>
      </x:c>
      <x:c r="N26" s="11" t="n">
        <x:v>0.643432</x:v>
      </x:c>
      <x:c r="O26" s="11" t="str">
        <x:v>收入×含折旧经营利润率；单次罚款资本储备，不逐年扣利润</x:v>
      </x:c>
      <x:c r="P26" t="str">
        <x:v>USD</x:v>
      </x:c>
    </x:row>
    <x:row r="27" ht="23" customHeight="1">
      <x:c r="A27" s="11" t="str">
        <x:v>09961.HK</x:v>
      </x:c>
      <x:c r="B27" s="11" t="str">
        <x:v>2026年底</x:v>
      </x:c>
      <x:c r="C27" s="11" t="n">
        <x:f>'经营假设'!D87</x:f>
        <x:v>0</x:v>
      </x:c>
      <x:c r="D27" s="11" t="n">
        <x:f>'经营假设'!E87</x:f>
        <x:v>0</x:v>
      </x:c>
      <x:c r="E27" s="11" t="n">
        <x:f>'经营假设'!F87</x:f>
        <x:v>0</x:v>
      </x:c>
      <x:c r="F27" s="11" t="str">
        <x:f>'经营假设'!G87</x:f>
      </x:c>
      <x:c r="G27" s="11" t="n">
        <x:f>'经营假设'!K87*'经营假设'!L87</x:f>
        <x:v>18.76</x:v>
      </x:c>
      <x:c r="H27" s="11" t="n">
        <x:f>'经营假设'!H87</x:f>
        <x:v>0.2</x:v>
      </x:c>
      <x:c r="I27" s="11" t="n">
        <x:f>G27*(1-H27)</x:f>
        <x:v>15.008000000000003</x:v>
      </x:c>
      <x:c r="J27" s="11" t="n">
        <x:f>'经营假设'!I87</x:f>
        <x:v>1.5</x:v>
      </x:c>
      <x:c r="K27" s="11" t="n">
        <x:f>I27+J27</x:f>
        <x:v>16.508000000000003</x:v>
      </x:c>
      <x:c r="L27" s="11" t="n">
        <x:f>'经营假设'!J87</x:f>
        <x:v>0.66</x:v>
      </x:c>
      <x:c r="M27" s="11" t="n">
        <x:f>ROUND(K27/L27,2)</x:f>
        <x:v>25.01</x:v>
      </x:c>
      <x:c r="N27" s="11" t="n">
        <x:v>25.01</x:v>
      </x:c>
      <x:c r="O27" s="11" t="str">
        <x:v>收入×含折旧经营利润率；单次罚款资本储备，不逐年扣利润</x:v>
      </x:c>
      <x:c r="P27" t="str">
        <x:v>CNY</x:v>
      </x:c>
    </x:row>
    <x:row r="28" ht="23" customHeight="1">
      <x:c r="A28" s="11" t="str">
        <x:v>09961.HK</x:v>
      </x:c>
      <x:c r="B28" s="11" t="str">
        <x:v>半年</x:v>
      </x:c>
      <x:c r="C28" s="11" t="n">
        <x:f>'经营假设'!D91</x:f>
        <x:v>0</x:v>
      </x:c>
      <x:c r="D28" s="11" t="n">
        <x:f>'经营假设'!E91</x:f>
        <x:v>0</x:v>
      </x:c>
      <x:c r="E28" s="11" t="n">
        <x:f>'经营假设'!F91</x:f>
        <x:v>0</x:v>
      </x:c>
      <x:c r="F28" s="11" t="str">
        <x:f>'经营假设'!G91</x:f>
      </x:c>
      <x:c r="G28" s="11" t="n">
        <x:f>'经营假设'!K91*'经营假设'!L91</x:f>
        <x:v>20.299999999999997</x:v>
      </x:c>
      <x:c r="H28" s="11" t="n">
        <x:f>'经营假设'!H91</x:f>
        <x:v>0.2</x:v>
      </x:c>
      <x:c r="I28" s="11" t="n">
        <x:f>G28*(1-H28)</x:f>
        <x:v>16.24</x:v>
      </x:c>
      <x:c r="J28" s="11" t="n">
        <x:f>'经营假设'!I91</x:f>
        <x:v>1.5</x:v>
      </x:c>
      <x:c r="K28" s="11" t="n">
        <x:f>I28+J28</x:f>
        <x:v>17.74</x:v>
      </x:c>
      <x:c r="L28" s="11" t="n">
        <x:f>'经营假设'!J91</x:f>
        <x:v>0.655</x:v>
      </x:c>
      <x:c r="M28" s="11" t="n">
        <x:f>ROUND(K28/L28,2)</x:f>
        <x:v>27.08</x:v>
      </x:c>
      <x:c r="N28" s="11" t="n">
        <x:v>27.08</x:v>
      </x:c>
      <x:c r="O28" s="11" t="str">
        <x:v>收入×含折旧经营利润率；单次罚款资本储备，不逐年扣利润</x:v>
      </x:c>
      <x:c r="P28" t="str">
        <x:v>CNY</x:v>
      </x:c>
    </x:row>
    <x:row r="29" ht="23" customHeight="1">
      <x:c r="A29" s="11" t="str">
        <x:v>09961.HK</x:v>
      </x:c>
      <x:c r="B29" s="11" t="str">
        <x:v>一年</x:v>
      </x:c>
      <x:c r="C29" s="11" t="n">
        <x:f>'经营假设'!D95</x:f>
        <x:v>0</x:v>
      </x:c>
      <x:c r="D29" s="11" t="n">
        <x:f>'经营假设'!E95</x:f>
        <x:v>0</x:v>
      </x:c>
      <x:c r="E29" s="11" t="n">
        <x:f>'经营假设'!F95</x:f>
        <x:v>0</x:v>
      </x:c>
      <x:c r="F29" s="11" t="str">
        <x:f>'经营假设'!G95</x:f>
      </x:c>
      <x:c r="G29" s="11" t="n">
        <x:f>'经营假设'!K95*'经营假设'!L95</x:f>
        <x:v>22.5</x:v>
      </x:c>
      <x:c r="H29" s="11" t="n">
        <x:f>'经营假设'!H95</x:f>
        <x:v>0.2</x:v>
      </x:c>
      <x:c r="I29" s="11" t="n">
        <x:f>G29*(1-H29)</x:f>
        <x:v>18</x:v>
      </x:c>
      <x:c r="J29" s="11" t="n">
        <x:f>'经营假设'!I95</x:f>
        <x:v>1.5</x:v>
      </x:c>
      <x:c r="K29" s="11" t="n">
        <x:f>I29+J29</x:f>
        <x:v>19.5</x:v>
      </x:c>
      <x:c r="L29" s="11" t="n">
        <x:f>'经营假设'!J95</x:f>
        <x:v>0.65</x:v>
      </x:c>
      <x:c r="M29" s="11" t="n">
        <x:f>ROUND(K29/L29,2)</x:f>
        <x:v>30</x:v>
      </x:c>
      <x:c r="N29" s="11" t="n">
        <x:v>30</x:v>
      </x:c>
      <x:c r="O29" s="11" t="str">
        <x:v>收入×含折旧经营利润率；单次罚款资本储备，不逐年扣利润</x:v>
      </x:c>
      <x:c r="P29" t="str">
        <x:v>CNY</x:v>
      </x:c>
    </x:row>
    <x:row r="30" ht="23" customHeight="1">
      <x:c r="A30" s="11" t="str">
        <x:v>09961.HK</x:v>
      </x:c>
      <x:c r="B30" s="11" t="str">
        <x:v>三年</x:v>
      </x:c>
      <x:c r="C30" s="11" t="n">
        <x:f>'经营假设'!D99</x:f>
        <x:v>0</x:v>
      </x:c>
      <x:c r="D30" s="11" t="n">
        <x:f>'经营假设'!E99</x:f>
        <x:v>0</x:v>
      </x:c>
      <x:c r="E30" s="11" t="n">
        <x:f>'经营假设'!F99</x:f>
        <x:v>0</x:v>
      </x:c>
      <x:c r="F30" s="11" t="str">
        <x:f>'经营假设'!G99</x:f>
      </x:c>
      <x:c r="G30" s="11" t="n">
        <x:f>'经营假设'!K99*'经营假设'!L99</x:f>
        <x:v>29.45</x:v>
      </x:c>
      <x:c r="H30" s="11" t="n">
        <x:f>'经营假设'!H99</x:f>
        <x:v>0.2</x:v>
      </x:c>
      <x:c r="I30" s="11" t="n">
        <x:f>G30*(1-H30)</x:f>
        <x:v>23.560000000000002</x:v>
      </x:c>
      <x:c r="J30" s="11" t="n">
        <x:f>'经营假设'!I99</x:f>
        <x:v>1.5</x:v>
      </x:c>
      <x:c r="K30" s="11" t="n">
        <x:f>I30+J30</x:f>
        <x:v>25.060000000000002</x:v>
      </x:c>
      <x:c r="L30" s="11" t="n">
        <x:f>'经营假设'!J99</x:f>
        <x:v>0.64</x:v>
      </x:c>
      <x:c r="M30" s="11" t="n">
        <x:f>ROUND(K30/L30,2)</x:f>
        <x:v>39.16</x:v>
      </x:c>
      <x:c r="N30" s="11" t="n">
        <x:v>39.16</x:v>
      </x:c>
      <x:c r="O30" s="11" t="str">
        <x:v>收入×含折旧经营利润率；单次罚款资本储备，不逐年扣利润</x:v>
      </x:c>
      <x:c r="P30" t="str">
        <x:v>CNY</x:v>
      </x:c>
    </x:row>
    <x:row r="31" ht="23" customHeight="1">
      <x:c r="A31" s="11" t="str">
        <x:v>09961.HK</x:v>
      </x:c>
      <x:c r="B31" s="11" t="str">
        <x:v>五年</x:v>
      </x:c>
      <x:c r="C31" s="11" t="n">
        <x:f>'经营假设'!D103</x:f>
        <x:v>0</x:v>
      </x:c>
      <x:c r="D31" s="11" t="n">
        <x:f>'经营假设'!E103</x:f>
        <x:v>0</x:v>
      </x:c>
      <x:c r="E31" s="11" t="n">
        <x:f>'经营假设'!F103</x:f>
        <x:v>0</x:v>
      </x:c>
      <x:c r="F31" s="11" t="str">
        <x:f>'经营假设'!G103</x:f>
      </x:c>
      <x:c r="G31" s="11" t="n">
        <x:f>'经营假设'!K103*'经营假设'!L103</x:f>
        <x:v>37.2</x:v>
      </x:c>
      <x:c r="H31" s="11" t="n">
        <x:f>'经营假设'!H103</x:f>
        <x:v>0.2</x:v>
      </x:c>
      <x:c r="I31" s="11" t="n">
        <x:f>G31*(1-H31)</x:f>
        <x:v>29.760000000000005</x:v>
      </x:c>
      <x:c r="J31" s="11" t="n">
        <x:f>'经营假设'!I103</x:f>
        <x:v>1.5</x:v>
      </x:c>
      <x:c r="K31" s="11" t="n">
        <x:f>I31+J31</x:f>
        <x:v>31.260000000000005</x:v>
      </x:c>
      <x:c r="L31" s="11" t="n">
        <x:f>'经营假设'!J103</x:f>
        <x:v>0.63</x:v>
      </x:c>
      <x:c r="M31" s="11" t="n">
        <x:f>ROUND(K31/L31,2)</x:f>
        <x:v>49.62</x:v>
      </x:c>
      <x:c r="N31" s="11" t="n">
        <x:v>49.62</x:v>
      </x:c>
      <x:c r="O31" s="11" t="str">
        <x:v>收入×含折旧经营利润率；单次罚款资本储备，不逐年扣利润</x:v>
      </x:c>
      <x:c r="P31" t="str">
        <x:v>CNY</x:v>
      </x:c>
    </x:row>
    <x:row r="32" ht="23" customHeight="1">
      <x:c r="A32" s="11" t="str">
        <x:v>01810.HK</x:v>
      </x:c>
      <x:c r="B32" s="11" t="str">
        <x:v>2026年底</x:v>
      </x:c>
      <x:c r="C32" s="11" t="n">
        <x:f>'经营假设'!D107</x:f>
        <x:v>34</x:v>
      </x:c>
      <x:c r="D32" s="11" t="n">
        <x:f>'经营假设'!E107</x:f>
        <x:v>-6</x:v>
      </x:c>
      <x:c r="E32" s="11" t="n">
        <x:f>'经营假设'!F107</x:f>
        <x:v>0</x:v>
      </x:c>
      <x:c r="F32" s="11" t="n">
        <x:f>'经营假设'!G107</x:f>
        <x:v>0</x:v>
      </x:c>
      <x:c r="G32" s="11" t="n">
        <x:f>SUM(C32:F32)</x:f>
        <x:v>28</x:v>
      </x:c>
      <x:c r="H32" s="11" t="n">
        <x:f>'经营假设'!H107</x:f>
        <x:v>0.2</x:v>
      </x:c>
      <x:c r="I32" s="11" t="n">
        <x:f>G32*(1-H32)</x:f>
        <x:v>22.400000000000002</x:v>
      </x:c>
      <x:c r="J32" s="11" t="n">
        <x:f>'经营假设'!I107</x:f>
        <x:v>3</x:v>
      </x:c>
      <x:c r="K32" s="11" t="n">
        <x:f>I32+J32</x:f>
        <x:v>25.400000000000002</x:v>
      </x:c>
      <x:c r="L32" s="11" t="n">
        <x:f>'经营假设'!J107</x:f>
        <x:v>26.5</x:v>
      </x:c>
      <x:c r="M32" s="11" t="n">
        <x:f>ROUND(K32/L32,3)</x:f>
        <x:v>0.958</x:v>
      </x:c>
      <x:c r="N32" s="11" t="n">
        <x:v>0.958</x:v>
      </x:c>
      <x:c r="O32" s="11" t="str">
        <x:v>C手机AIoT正常EBIT；D汽车AI正常EBIT；已含研发和股权成本；其他贡献不含非经常公允价值收益</x:v>
      </x:c>
      <x:c r="P32" t="str">
        <x:v>CNY</x:v>
      </x:c>
    </x:row>
    <x:row r="33" ht="23" customHeight="1">
      <x:c r="A33" s="11" t="str">
        <x:v>01810.HK</x:v>
      </x:c>
      <x:c r="B33" s="11" t="str">
        <x:v>半年</x:v>
      </x:c>
      <x:c r="C33" s="11" t="n">
        <x:f>'经营假设'!D111</x:f>
        <x:v>36</x:v>
      </x:c>
      <x:c r="D33" s="11" t="n">
        <x:f>'经营假设'!E111</x:f>
        <x:v>-2</x:v>
      </x:c>
      <x:c r="E33" s="11" t="n">
        <x:f>'经营假设'!F111</x:f>
        <x:v>0</x:v>
      </x:c>
      <x:c r="F33" s="11" t="n">
        <x:f>'经营假设'!G111</x:f>
        <x:v>0</x:v>
      </x:c>
      <x:c r="G33" s="11" t="n">
        <x:f>SUM(C33:F33)</x:f>
        <x:v>34</x:v>
      </x:c>
      <x:c r="H33" s="11" t="n">
        <x:f>'经营假设'!H111</x:f>
        <x:v>0.2</x:v>
      </x:c>
      <x:c r="I33" s="11" t="n">
        <x:f>G33*(1-H33)</x:f>
        <x:v>27.200000000000003</x:v>
      </x:c>
      <x:c r="J33" s="11" t="n">
        <x:f>'经营假设'!I111</x:f>
        <x:v>3</x:v>
      </x:c>
      <x:c r="K33" s="11" t="n">
        <x:f>I33+J33</x:f>
        <x:v>30.200000000000003</x:v>
      </x:c>
      <x:c r="L33" s="11" t="n">
        <x:f>'经营假设'!J111</x:f>
        <x:v>26.3</x:v>
      </x:c>
      <x:c r="M33" s="11" t="n">
        <x:f>ROUND(K33/L33,3)</x:f>
        <x:v>1.148</x:v>
      </x:c>
      <x:c r="N33" s="11" t="n">
        <x:v>1.148</x:v>
      </x:c>
      <x:c r="O33" s="11" t="str">
        <x:v>C手机AIoT正常EBIT；D汽车AI正常EBIT；已含研发和股权成本；其他贡献不含非经常公允价值收益</x:v>
      </x:c>
      <x:c r="P33" t="str">
        <x:v>CNY</x:v>
      </x:c>
    </x:row>
    <x:row r="34" ht="23" customHeight="1">
      <x:c r="A34" s="11" t="str">
        <x:v>01810.HK</x:v>
      </x:c>
      <x:c r="B34" s="11" t="str">
        <x:v>一年</x:v>
      </x:c>
      <x:c r="C34" s="11" t="n">
        <x:f>'经营假设'!D115</x:f>
        <x:v>39</x:v>
      </x:c>
      <x:c r="D34" s="11" t="n">
        <x:f>'经营假设'!E115</x:f>
        <x:v>4</x:v>
      </x:c>
      <x:c r="E34" s="11" t="n">
        <x:f>'经营假设'!F115</x:f>
        <x:v>0</x:v>
      </x:c>
      <x:c r="F34" s="11" t="n">
        <x:f>'经营假设'!G115</x:f>
        <x:v>0</x:v>
      </x:c>
      <x:c r="G34" s="11" t="n">
        <x:f>SUM(C34:F34)</x:f>
        <x:v>43</x:v>
      </x:c>
      <x:c r="H34" s="11" t="n">
        <x:f>'经营假设'!H115</x:f>
        <x:v>0.2</x:v>
      </x:c>
      <x:c r="I34" s="11" t="n">
        <x:f>G34*(1-H34)</x:f>
        <x:v>34.4</x:v>
      </x:c>
      <x:c r="J34" s="11" t="n">
        <x:f>'经营假设'!I115</x:f>
        <x:v>3</x:v>
      </x:c>
      <x:c r="K34" s="11" t="n">
        <x:f>I34+J34</x:f>
        <x:v>37.4</x:v>
      </x:c>
      <x:c r="L34" s="11" t="n">
        <x:f>'经营假设'!J115</x:f>
        <x:v>26</x:v>
      </x:c>
      <x:c r="M34" s="11" t="n">
        <x:f>ROUND(K34/L34,3)</x:f>
        <x:v>1.438</x:v>
      </x:c>
      <x:c r="N34" s="11" t="n">
        <x:v>1.408</x:v>
      </x:c>
      <x:c r="O34" s="11" t="str">
        <x:v>C手机AIoT正常EBIT；D汽车AI正常EBIT；已含研发和股权成本；其他贡献不含非经常公允价值收益</x:v>
      </x:c>
      <x:c r="P34" t="str">
        <x:v>CNY</x:v>
      </x:c>
    </x:row>
    <x:row r="35" ht="23" customHeight="1">
      <x:c r="A35" s="11" t="str">
        <x:v>01810.HK</x:v>
      </x:c>
      <x:c r="B35" s="11" t="str">
        <x:v>三年</x:v>
      </x:c>
      <x:c r="C35" s="11" t="n">
        <x:f>'经营假设'!D119</x:f>
        <x:v>46</x:v>
      </x:c>
      <x:c r="D35" s="11" t="n">
        <x:f>'经营假设'!E119</x:f>
        <x:v>18</x:v>
      </x:c>
      <x:c r="E35" s="11" t="n">
        <x:f>'经营假设'!F119</x:f>
        <x:v>0</x:v>
      </x:c>
      <x:c r="F35" s="11" t="n">
        <x:f>'经营假设'!G119</x:f>
        <x:v>0</x:v>
      </x:c>
      <x:c r="G35" s="11" t="n">
        <x:f>SUM(C35:F35)</x:f>
        <x:v>64</x:v>
      </x:c>
      <x:c r="H35" s="11" t="n">
        <x:f>'经营假设'!H119</x:f>
        <x:v>0.2</x:v>
      </x:c>
      <x:c r="I35" s="11" t="n">
        <x:f>G35*(1-H35)</x:f>
        <x:v>51.2</x:v>
      </x:c>
      <x:c r="J35" s="11" t="n">
        <x:f>'经营假设'!I119</x:f>
        <x:v>3</x:v>
      </x:c>
      <x:c r="K35" s="11" t="n">
        <x:f>I35+J35</x:f>
        <x:v>54.2</x:v>
      </x:c>
      <x:c r="L35" s="11" t="n">
        <x:f>'经营假设'!J119</x:f>
        <x:v>25.8</x:v>
      </x:c>
      <x:c r="M35" s="11" t="n">
        <x:f>ROUND(K35/L35,3)</x:f>
        <x:v>2.101</x:v>
      </x:c>
      <x:c r="N35" s="11" t="n">
        <x:v>2.101</x:v>
      </x:c>
      <x:c r="O35" s="11" t="str">
        <x:v>C手机AIoT正常EBIT；D汽车AI正常EBIT；已含研发和股权成本；其他贡献不含非经常公允价值收益</x:v>
      </x:c>
      <x:c r="P35" t="str">
        <x:v>CNY</x:v>
      </x:c>
    </x:row>
    <x:row r="36" ht="23" customHeight="1">
      <x:c r="A36" s="11" t="str">
        <x:v>01810.HK</x:v>
      </x:c>
      <x:c r="B36" s="11" t="str">
        <x:v>五年</x:v>
      </x:c>
      <x:c r="C36" s="11" t="n">
        <x:f>'经营假设'!D123</x:f>
        <x:v>56</x:v>
      </x:c>
      <x:c r="D36" s="11" t="n">
        <x:f>'经营假设'!E123</x:f>
        <x:v>32</x:v>
      </x:c>
      <x:c r="E36" s="11" t="n">
        <x:f>'经营假设'!F123</x:f>
        <x:v>0</x:v>
      </x:c>
      <x:c r="F36" s="11" t="n">
        <x:f>'经营假设'!G123</x:f>
        <x:v>0</x:v>
      </x:c>
      <x:c r="G36" s="11" t="n">
        <x:f>SUM(C36:F36)</x:f>
        <x:v>88</x:v>
      </x:c>
      <x:c r="H36" s="11" t="n">
        <x:f>'经营假设'!H123</x:f>
        <x:v>0.2</x:v>
      </x:c>
      <x:c r="I36" s="11" t="n">
        <x:f>G36*(1-H36)</x:f>
        <x:v>70.4</x:v>
      </x:c>
      <x:c r="J36" s="11" t="n">
        <x:f>'经营假设'!I123</x:f>
        <x:v>3</x:v>
      </x:c>
      <x:c r="K36" s="11" t="n">
        <x:f>I36+J36</x:f>
        <x:v>73.4</x:v>
      </x:c>
      <x:c r="L36" s="11" t="n">
        <x:f>'经营假设'!J123</x:f>
        <x:v>25.5</x:v>
      </x:c>
      <x:c r="M36" s="11" t="n">
        <x:f>ROUND(K36/L36,3)</x:f>
        <x:v>2.878</x:v>
      </x:c>
      <x:c r="N36" s="11" t="n">
        <x:v>2.878</x:v>
      </x:c>
      <x:c r="O36" s="11" t="str">
        <x:v>C手机AIoT正常EBIT；D汽车AI正常EBIT；已含研发和股权成本；其他贡献不含非经常公允价值收益</x:v>
      </x:c>
      <x:c r="P36" t="str">
        <x:v>CNY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>
      <x:c r="A2" s="4" t="str">
        <x:v>保留经济收益 → 正常经营盈利 → 普通股价值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52" customHeight="1">
      <x:c r="A6" s="12" t="str">
        <x:v>代码</x:v>
      </x:c>
      <x:c r="B6" s="12" t="str">
        <x:v>期限</x:v>
      </x:c>
      <x:c r="C6" s="12" t="str">
        <x:v>收入USD十亿</x:v>
      </x:c>
      <x:c r="D6" s="12" t="str">
        <x:v>毛利率</x:v>
      </x:c>
      <x:c r="E6" s="12" t="str">
        <x:v>毛利USD十亿</x:v>
      </x:c>
      <x:c r="F6" s="12" t="str">
        <x:v>研发</x:v>
      </x:c>
      <x:c r="G6" s="12" t="str">
        <x:v>销售管理</x:v>
      </x:c>
      <x:c r="H6" s="12" t="str">
        <x:v>正常经营利润</x:v>
      </x:c>
      <x:c r="I6" s="12" t="str">
        <x:v>税率</x:v>
      </x:c>
      <x:c r="J6" s="12" t="str">
        <x:v>税后经营利润</x:v>
      </x:c>
      <x:c r="K6" s="12" t="str">
        <x:v>稀释普通股十亿</x:v>
      </x:c>
      <x:c r="L6" s="12" t="str">
        <x:v>EPS USD</x:v>
      </x:c>
      <x:c r="M6" s="12" t="str">
        <x:v>超额现金USD十亿</x:v>
      </x:c>
      <x:c r="N6" s="12" t="str">
        <x:v>A股现金溢价因子</x:v>
      </x:c>
      <x:c r="O6" s="12" t="str">
        <x:v>上市PE</x:v>
      </x:c>
      <x:c r="P6" s="12" t="str">
        <x:v>本币/USD</x:v>
      </x:c>
      <x:c r="Q6" s="12" t="str">
        <x:v>目标价本币</x:v>
      </x:c>
    </x:row>
    <x:row r="7" ht="23" customHeight="1">
      <x:c r="A7" s="11" t="str">
        <x:v>688235.SH</x:v>
      </x:c>
      <x:c r="B7" s="11" t="str">
        <x:v>2026年底</x:v>
      </x:c>
      <x:c r="C7" s="11" t="n">
        <x:f>SUM('产品经营假设'!D7:I7)</x:f>
        <x:v>7.899999999999999</x:v>
      </x:c>
      <x:c r="D7" s="11" t="n">
        <x:f>'产品经营假设'!J7</x:f>
        <x:v>0.89</x:v>
      </x:c>
      <x:c r="E7" s="11" t="n">
        <x:f>C7*D7</x:f>
        <x:v>7.030999999999999</x:v>
      </x:c>
      <x:c r="F7" s="11" t="n">
        <x:f>'产品经营假设'!K7</x:f>
        <x:v>2.6</x:v>
      </x:c>
      <x:c r="G7" s="11" t="n">
        <x:f>'产品经营假设'!L7</x:f>
        <x:v>2.65</x:v>
      </x:c>
      <x:c r="H7" s="11" t="n">
        <x:f>E7-F7-G7</x:f>
        <x:v>1.7809999999999993</x:v>
      </x:c>
      <x:c r="I7" s="11" t="n">
        <x:f>'产品经营假设'!M7</x:f>
        <x:v>0.18</x:v>
      </x:c>
      <x:c r="J7" s="11" t="n">
        <x:f>H7*(1-I7)</x:f>
        <x:v>1.4604199999999994</x:v>
      </x:c>
      <x:c r="K7" s="11" t="n">
        <x:f>'产品经营假设'!N7</x:f>
        <x:v>1.54</x:v>
      </x:c>
      <x:c r="L7" s="11" t="n">
        <x:f>J7/K7</x:f>
        <x:v>0.9483246753246749</x:v>
      </x:c>
      <x:c r="M7" s="11" t="n">
        <x:f>'假设'!R127</x:f>
        <x:v>2.15</x:v>
      </x:c>
      <x:c r="N7" s="11" t="n">
        <x:f>'假设'!S127</x:f>
        <x:v>1.25</x:v>
      </x:c>
      <x:c r="O7" s="11" t="n">
        <x:f>'假设'!F127</x:f>
        <x:v>40</x:v>
      </x:c>
      <x:c r="P7" s="11" t="n">
        <x:f>'假设'!G127</x:f>
        <x:v>7.090909090909091</x:v>
      </x:c>
      <x:c r="Q7" s="11" t="n">
        <x:f>(L7*O7+M7*N7/K7)*P7</x:f>
        <x:v>281.3539197166469</x:v>
      </x:c>
    </x:row>
    <x:row r="8" ht="23" customHeight="1">
      <x:c r="A8" s="11" t="str">
        <x:v>688235.SH</x:v>
      </x:c>
      <x:c r="B8" s="11" t="str">
        <x:v>半年</x:v>
      </x:c>
      <x:c r="C8" s="11" t="n">
        <x:f>SUM('产品经营假设'!D11:I11)</x:f>
        <x:v>8.399999999999999</x:v>
      </x:c>
      <x:c r="D8" s="11" t="n">
        <x:f>'产品经营假设'!J11</x:f>
        <x:v>0.89</x:v>
      </x:c>
      <x:c r="E8" s="11" t="n">
        <x:f>C8*D8</x:f>
        <x:v>7.475999999999999</x:v>
      </x:c>
      <x:c r="F8" s="11" t="n">
        <x:f>'产品经营假设'!K11</x:f>
        <x:v>2.65</x:v>
      </x:c>
      <x:c r="G8" s="11" t="n">
        <x:f>'产品经营假设'!L11</x:f>
        <x:v>2.65</x:v>
      </x:c>
      <x:c r="H8" s="11" t="n">
        <x:f>E8-F8-G8</x:f>
        <x:v>2.175999999999999</x:v>
      </x:c>
      <x:c r="I8" s="11" t="n">
        <x:f>'产品经营假设'!M11</x:f>
        <x:v>0.18</x:v>
      </x:c>
      <x:c r="J8" s="11" t="n">
        <x:f>H8*(1-I8)</x:f>
        <x:v>1.7843199999999992</x:v>
      </x:c>
      <x:c r="K8" s="11" t="n">
        <x:f>'产品经营假设'!N11</x:f>
        <x:v>1.56</x:v>
      </x:c>
      <x:c r="L8" s="11" t="n">
        <x:f>J8/K8</x:f>
        <x:v>1.1437948717948712</x:v>
      </x:c>
      <x:c r="M8" s="11" t="n">
        <x:f>'假设'!R131</x:f>
        <x:v>2.5</x:v>
      </x:c>
      <x:c r="N8" s="11" t="n">
        <x:f>'假设'!S131</x:f>
        <x:v>1.2</x:v>
      </x:c>
      <x:c r="O8" s="11" t="n">
        <x:f>'假设'!F131</x:f>
        <x:v>36</x:v>
      </x:c>
      <x:c r="P8" s="11" t="n">
        <x:f>'假设'!G131</x:f>
        <x:v>7.090909090909091</x:v>
      </x:c>
      <x:c r="Q8" s="11" t="n">
        <x:f>(L8*O8+M8*N8/K8)*P8</x:f>
        <x:v>305.6159999999998</x:v>
      </x:c>
    </x:row>
    <x:row r="9" ht="23" customHeight="1">
      <x:c r="A9" s="11" t="str">
        <x:v>688235.SH</x:v>
      </x:c>
      <x:c r="B9" s="11" t="str">
        <x:v>一年</x:v>
      </x:c>
      <x:c r="C9" s="11" t="n">
        <x:f>SUM('产品经营假设'!D15:I15)</x:f>
        <x:v>11.35</x:v>
      </x:c>
      <x:c r="D9" s="11" t="n">
        <x:f>'产品经营假设'!J15</x:f>
        <x:v>0.89</x:v>
      </x:c>
      <x:c r="E9" s="11" t="n">
        <x:f>C9*D9</x:f>
        <x:v>10.1015</x:v>
      </x:c>
      <x:c r="F9" s="11" t="n">
        <x:f>'产品经营假设'!K15</x:f>
        <x:v>2.95</x:v>
      </x:c>
      <x:c r="G9" s="11" t="n">
        <x:f>'产品经营假设'!L15</x:f>
        <x:v>2.95</x:v>
      </x:c>
      <x:c r="H9" s="11" t="n">
        <x:f>E9-F9-G9</x:f>
        <x:v>4.201499999999999</x:v>
      </x:c>
      <x:c r="I9" s="11" t="n">
        <x:f>'产品经营假设'!M15</x:f>
        <x:v>0.2</x:v>
      </x:c>
      <x:c r="J9" s="11" t="n">
        <x:f>H9*(1-I9)</x:f>
        <x:v>3.3611999999999997</x:v>
      </x:c>
      <x:c r="K9" s="11" t="n">
        <x:f>'产品经营假设'!N15</x:f>
        <x:v>1.6</x:v>
      </x:c>
      <x:c r="L9" s="11" t="n">
        <x:f>J9/K9</x:f>
        <x:v>2.1007499999999997</x:v>
      </x:c>
      <x:c r="M9" s="11" t="n">
        <x:f>'假设'!R135</x:f>
        <x:v>3.8</x:v>
      </x:c>
      <x:c r="N9" s="11" t="n">
        <x:f>'假设'!S135</x:f>
        <x:v>1.15</x:v>
      </x:c>
      <x:c r="O9" s="11" t="n">
        <x:f>'假设'!F135</x:f>
        <x:v>33.349999999999994</x:v>
      </x:c>
      <x:c r="P9" s="11" t="n">
        <x:f>'假设'!G135</x:f>
        <x:v>7.090909090909091</x:v>
      </x:c>
      <x:c r="Q9" s="11" t="n">
        <x:f>(L9*O9+M9*N9/K9)*P9</x:f>
        <x:v>516.1562249999998</x:v>
      </x:c>
    </x:row>
    <x:row r="10" ht="23" customHeight="1">
      <x:c r="A10" s="11" t="str">
        <x:v>688235.SH</x:v>
      </x:c>
      <x:c r="B10" s="11" t="str">
        <x:v>三年</x:v>
      </x:c>
      <x:c r="C10" s="11" t="n">
        <x:f>SUM('产品经营假设'!D19:I19)</x:f>
        <x:v>13.4</x:v>
      </x:c>
      <x:c r="D10" s="11" t="n">
        <x:f>'产品经营假设'!J19</x:f>
        <x:v>0.89</x:v>
      </x:c>
      <x:c r="E10" s="11" t="n">
        <x:f>C10*D10</x:f>
        <x:v>11.926</x:v>
      </x:c>
      <x:c r="F10" s="11" t="n">
        <x:f>'产品经营假设'!K19</x:f>
        <x:v>3.6</x:v>
      </x:c>
      <x:c r="G10" s="11" t="n">
        <x:f>'产品经营假设'!L19</x:f>
        <x:v>3.6</x:v>
      </x:c>
      <x:c r="H10" s="11" t="n">
        <x:f>E10-F10-G10</x:f>
        <x:v>4.726000000000001</x:v>
      </x:c>
      <x:c r="I10" s="11" t="n">
        <x:f>'产品经营假设'!M19</x:f>
        <x:v>0.21</x:v>
      </x:c>
      <x:c r="J10" s="11" t="n">
        <x:f>H10*(1-I10)</x:f>
        <x:v>3.733540000000001</x:v>
      </x:c>
      <x:c r="K10" s="11" t="n">
        <x:f>'产品经营假设'!N19</x:f>
        <x:v>1.68</x:v>
      </x:c>
      <x:c r="L10" s="11" t="n">
        <x:f>J10/K10</x:f>
        <x:v>2.222345238095239</x:v>
      </x:c>
      <x:c r="M10" s="11" t="n">
        <x:f>'假设'!R139</x:f>
        <x:v>7.5</x:v>
      </x:c>
      <x:c r="N10" s="11" t="n">
        <x:f>'假设'!S139</x:f>
        <x:v>1.08</x:v>
      </x:c>
      <x:c r="O10" s="11" t="n">
        <x:f>'假设'!F139</x:f>
        <x:v>29.160000000000004</x:v>
      </x:c>
      <x:c r="P10" s="11" t="n">
        <x:f>'假设'!G139</x:f>
        <x:v>7.090909090909091</x:v>
      </x:c>
      <x:c r="Q10" s="11" t="n">
        <x:f>(L10*O10+M10*N10/K10)*P10</x:f>
        <x:v>493.704656883117</x:v>
      </x:c>
    </x:row>
    <x:row r="11" ht="23" customHeight="1">
      <x:c r="A11" s="11" t="str">
        <x:v>688235.SH</x:v>
      </x:c>
      <x:c r="B11" s="11" t="str">
        <x:v>五年</x:v>
      </x:c>
      <x:c r="C11" s="11" t="n">
        <x:f>SUM('产品经营假设'!D23:I23)</x:f>
        <x:v>17.5</x:v>
      </x:c>
      <x:c r="D11" s="11" t="n">
        <x:f>'产品经营假设'!J23</x:f>
        <x:v>0.89</x:v>
      </x:c>
      <x:c r="E11" s="11" t="n">
        <x:f>C11*D11</x:f>
        <x:v>15.575000000000001</x:v>
      </x:c>
      <x:c r="F11" s="11" t="n">
        <x:f>'产品经营假设'!K23</x:f>
        <x:v>4.4</x:v>
      </x:c>
      <x:c r="G11" s="11" t="n">
        <x:f>'产品经营假设'!L23</x:f>
        <x:v>4.4</x:v>
      </x:c>
      <x:c r="H11" s="11" t="n">
        <x:f>E11-F11-G11</x:f>
        <x:v>6.775</x:v>
      </x:c>
      <x:c r="I11" s="11" t="n">
        <x:f>'产品经营假设'!M23</x:f>
        <x:v>0.22</x:v>
      </x:c>
      <x:c r="J11" s="11" t="n">
        <x:f>H11*(1-I11)</x:f>
        <x:v>5.2845</x:v>
      </x:c>
      <x:c r="K11" s="11" t="n">
        <x:f>'产品经营假设'!N23</x:f>
        <x:v>1.8</x:v>
      </x:c>
      <x:c r="L11" s="11" t="n">
        <x:f>J11/K11</x:f>
        <x:v>2.9358333333333335</x:v>
      </x:c>
      <x:c r="M11" s="11" t="n">
        <x:f>'假设'!R143</x:f>
        <x:v>13</x:v>
      </x:c>
      <x:c r="N11" s="11" t="n">
        <x:f>'假设'!S143</x:f>
        <x:v>1.04</x:v>
      </x:c>
      <x:c r="O11" s="11" t="n">
        <x:f>'假设'!F143</x:f>
        <x:v>26</x:v>
      </x:c>
      <x:c r="P11" s="11" t="n">
        <x:f>'假设'!G143</x:f>
        <x:v>7.090909090909091</x:v>
      </x:c>
      <x:c r="Q11" s="11" t="n">
        <x:f>(L11*O11+M11*N11/K11)*P11</x:f>
        <x:v>594.5215151515151</x:v>
      </x:c>
    </x:row>
    <x:row r="12" ht="23" customHeight="1">
      <x:c r="A12" s="11" t="str">
        <x:v>06160.HK</x:v>
      </x:c>
      <x:c r="B12" s="11" t="str">
        <x:v>2026年底</x:v>
      </x:c>
      <x:c r="C12" s="11" t="n">
        <x:f>SUM('产品经营假设'!D7:I7)</x:f>
        <x:v>7.899999999999999</x:v>
      </x:c>
      <x:c r="D12" s="11" t="n">
        <x:f>'产品经营假设'!J7</x:f>
        <x:v>0.89</x:v>
      </x:c>
      <x:c r="E12" s="11" t="n">
        <x:f>C12*D12</x:f>
        <x:v>7.030999999999999</x:v>
      </x:c>
      <x:c r="F12" s="11" t="n">
        <x:f>'产品经营假设'!K7</x:f>
        <x:v>2.6</x:v>
      </x:c>
      <x:c r="G12" s="11" t="n">
        <x:f>'产品经营假设'!L7</x:f>
        <x:v>2.65</x:v>
      </x:c>
      <x:c r="H12" s="11" t="n">
        <x:f>E12-F12-G12</x:f>
        <x:v>1.7809999999999993</x:v>
      </x:c>
      <x:c r="I12" s="11" t="n">
        <x:f>'产品经营假设'!M7</x:f>
        <x:v>0.18</x:v>
      </x:c>
      <x:c r="J12" s="11" t="n">
        <x:f>H12*(1-I12)</x:f>
        <x:v>1.4604199999999994</x:v>
      </x:c>
      <x:c r="K12" s="11" t="n">
        <x:f>'产品经营假设'!N7</x:f>
        <x:v>1.54</x:v>
      </x:c>
      <x:c r="L12" s="11" t="n">
        <x:f>J12/K12</x:f>
        <x:v>0.9483246753246749</x:v>
      </x:c>
      <x:c r="M12" s="11" t="n">
        <x:f>'假设'!R147</x:f>
        <x:v>2.15</x:v>
      </x:c>
      <x:c r="N12" s="11" t="n">
        <x:f>'假设'!S147</x:f>
        <x:v>1</x:v>
      </x:c>
      <x:c r="O12" s="11" t="n">
        <x:f>'假设'!F147</x:f>
        <x:v>32</x:v>
      </x:c>
      <x:c r="P12" s="11" t="n">
        <x:f>'假设'!G147</x:f>
        <x:v>7.8</x:v>
      </x:c>
      <x:c r="Q12" s="11" t="n">
        <x:f>(L12*O12+M12*N12/K12)*P12</x:f>
        <x:v>247.59144935064924</x:v>
      </x:c>
    </x:row>
    <x:row r="13" ht="23" customHeight="1">
      <x:c r="A13" s="11" t="str">
        <x:v>06160.HK</x:v>
      </x:c>
      <x:c r="B13" s="11" t="str">
        <x:v>半年</x:v>
      </x:c>
      <x:c r="C13" s="11" t="n">
        <x:f>SUM('产品经营假设'!D11:I11)</x:f>
        <x:v>8.399999999999999</x:v>
      </x:c>
      <x:c r="D13" s="11" t="n">
        <x:f>'产品经营假设'!J11</x:f>
        <x:v>0.89</x:v>
      </x:c>
      <x:c r="E13" s="11" t="n">
        <x:f>C13*D13</x:f>
        <x:v>7.475999999999999</x:v>
      </x:c>
      <x:c r="F13" s="11" t="n">
        <x:f>'产品经营假设'!K11</x:f>
        <x:v>2.65</x:v>
      </x:c>
      <x:c r="G13" s="11" t="n">
        <x:f>'产品经营假设'!L11</x:f>
        <x:v>2.65</x:v>
      </x:c>
      <x:c r="H13" s="11" t="n">
        <x:f>E13-F13-G13</x:f>
        <x:v>2.175999999999999</x:v>
      </x:c>
      <x:c r="I13" s="11" t="n">
        <x:f>'产品经营假设'!M11</x:f>
        <x:v>0.18</x:v>
      </x:c>
      <x:c r="J13" s="11" t="n">
        <x:f>H13*(1-I13)</x:f>
        <x:v>1.7843199999999992</x:v>
      </x:c>
      <x:c r="K13" s="11" t="n">
        <x:f>'产品经营假设'!N11</x:f>
        <x:v>1.56</x:v>
      </x:c>
      <x:c r="L13" s="11" t="n">
        <x:f>J13/K13</x:f>
        <x:v>1.1437948717948712</x:v>
      </x:c>
      <x:c r="M13" s="11" t="n">
        <x:f>'假设'!R151</x:f>
        <x:v>2.5</x:v>
      </x:c>
      <x:c r="N13" s="11" t="n">
        <x:f>'假设'!S151</x:f>
        <x:v>1</x:v>
      </x:c>
      <x:c r="O13" s="11" t="n">
        <x:f>'假设'!F151</x:f>
        <x:v>30</x:v>
      </x:c>
      <x:c r="P13" s="11" t="n">
        <x:f>'假设'!G151</x:f>
        <x:v>7.8</x:v>
      </x:c>
      <x:c r="Q13" s="11" t="n">
        <x:f>(L13*O13+M13*N13/K13)*P13</x:f>
        <x:v>280.14799999999985</x:v>
      </x:c>
    </x:row>
    <x:row r="14" ht="23" customHeight="1">
      <x:c r="A14" s="11" t="str">
        <x:v>06160.HK</x:v>
      </x:c>
      <x:c r="B14" s="11" t="str">
        <x:v>一年</x:v>
      </x:c>
      <x:c r="C14" s="11" t="n">
        <x:f>SUM('产品经营假设'!D15:I15)</x:f>
        <x:v>11.35</x:v>
      </x:c>
      <x:c r="D14" s="11" t="n">
        <x:f>'产品经营假设'!J15</x:f>
        <x:v>0.89</x:v>
      </x:c>
      <x:c r="E14" s="11" t="n">
        <x:f>C14*D14</x:f>
        <x:v>10.1015</x:v>
      </x:c>
      <x:c r="F14" s="11" t="n">
        <x:f>'产品经营假设'!K15</x:f>
        <x:v>2.95</x:v>
      </x:c>
      <x:c r="G14" s="11" t="n">
        <x:f>'产品经营假设'!L15</x:f>
        <x:v>2.95</x:v>
      </x:c>
      <x:c r="H14" s="11" t="n">
        <x:f>E14-F14-G14</x:f>
        <x:v>4.201499999999999</x:v>
      </x:c>
      <x:c r="I14" s="11" t="n">
        <x:f>'产品经营假设'!M15</x:f>
        <x:v>0.2</x:v>
      </x:c>
      <x:c r="J14" s="11" t="n">
        <x:f>H14*(1-I14)</x:f>
        <x:v>3.3611999999999997</x:v>
      </x:c>
      <x:c r="K14" s="11" t="n">
        <x:f>'产品经营假设'!N15</x:f>
        <x:v>1.6</x:v>
      </x:c>
      <x:c r="L14" s="11" t="n">
        <x:f>J14/K14</x:f>
        <x:v>2.1007499999999997</x:v>
      </x:c>
      <x:c r="M14" s="11" t="n">
        <x:f>'假设'!R155</x:f>
        <x:v>3.8</x:v>
      </x:c>
      <x:c r="N14" s="11" t="n">
        <x:f>'假设'!S155</x:f>
        <x:v>1</x:v>
      </x:c>
      <x:c r="O14" s="11" t="n">
        <x:f>'假设'!F155</x:f>
        <x:v>29</x:v>
      </x:c>
      <x:c r="P14" s="11" t="n">
        <x:f>'假设'!G155</x:f>
        <x:v>7.8</x:v>
      </x:c>
      <x:c r="Q14" s="11" t="n">
        <x:f>(L14*O14+M14*N14/K14)*P14</x:f>
        <x:v>493.7146499999999</x:v>
      </x:c>
    </x:row>
    <x:row r="15" ht="23" customHeight="1">
      <x:c r="A15" s="11" t="str">
        <x:v>06160.HK</x:v>
      </x:c>
      <x:c r="B15" s="11" t="str">
        <x:v>三年</x:v>
      </x:c>
      <x:c r="C15" s="11" t="n">
        <x:f>SUM('产品经营假设'!D19:I19)</x:f>
        <x:v>13.4</x:v>
      </x:c>
      <x:c r="D15" s="11" t="n">
        <x:f>'产品经营假设'!J19</x:f>
        <x:v>0.89</x:v>
      </x:c>
      <x:c r="E15" s="11" t="n">
        <x:f>C15*D15</x:f>
        <x:v>11.926</x:v>
      </x:c>
      <x:c r="F15" s="11" t="n">
        <x:f>'产品经营假设'!K19</x:f>
        <x:v>3.6</x:v>
      </x:c>
      <x:c r="G15" s="11" t="n">
        <x:f>'产品经营假设'!L19</x:f>
        <x:v>3.6</x:v>
      </x:c>
      <x:c r="H15" s="11" t="n">
        <x:f>E15-F15-G15</x:f>
        <x:v>4.726000000000001</x:v>
      </x:c>
      <x:c r="I15" s="11" t="n">
        <x:f>'产品经营假设'!M19</x:f>
        <x:v>0.21</x:v>
      </x:c>
      <x:c r="J15" s="11" t="n">
        <x:f>H15*(1-I15)</x:f>
        <x:v>3.733540000000001</x:v>
      </x:c>
      <x:c r="K15" s="11" t="n">
        <x:f>'产品经营假设'!N19</x:f>
        <x:v>1.68</x:v>
      </x:c>
      <x:c r="L15" s="11" t="n">
        <x:f>J15/K15</x:f>
        <x:v>2.222345238095239</x:v>
      </x:c>
      <x:c r="M15" s="11" t="n">
        <x:f>'假设'!R159</x:f>
        <x:v>7.5</x:v>
      </x:c>
      <x:c r="N15" s="11" t="n">
        <x:f>'假设'!S159</x:f>
        <x:v>1</x:v>
      </x:c>
      <x:c r="O15" s="11" t="n">
        <x:f>'假设'!F159</x:f>
        <x:v>27</x:v>
      </x:c>
      <x:c r="P15" s="11" t="n">
        <x:f>'假设'!G159</x:f>
        <x:v>7.8</x:v>
      </x:c>
      <x:c r="Q15" s="11" t="n">
        <x:f>(L15*O15+M15*N15/K15)*P15</x:f>
        <x:v>502.84733571428586</x:v>
      </x:c>
    </x:row>
    <x:row r="16" ht="23" customHeight="1">
      <x:c r="A16" s="11" t="str">
        <x:v>06160.HK</x:v>
      </x:c>
      <x:c r="B16" s="11" t="str">
        <x:v>五年</x:v>
      </x:c>
      <x:c r="C16" s="11" t="n">
        <x:f>SUM('产品经营假设'!D23:I23)</x:f>
        <x:v>17.5</x:v>
      </x:c>
      <x:c r="D16" s="11" t="n">
        <x:f>'产品经营假设'!J23</x:f>
        <x:v>0.89</x:v>
      </x:c>
      <x:c r="E16" s="11" t="n">
        <x:f>C16*D16</x:f>
        <x:v>15.575000000000001</x:v>
      </x:c>
      <x:c r="F16" s="11" t="n">
        <x:f>'产品经营假设'!K23</x:f>
        <x:v>4.4</x:v>
      </x:c>
      <x:c r="G16" s="11" t="n">
        <x:f>'产品经营假设'!L23</x:f>
        <x:v>4.4</x:v>
      </x:c>
      <x:c r="H16" s="11" t="n">
        <x:f>E16-F16-G16</x:f>
        <x:v>6.775</x:v>
      </x:c>
      <x:c r="I16" s="11" t="n">
        <x:f>'产品经营假设'!M23</x:f>
        <x:v>0.22</x:v>
      </x:c>
      <x:c r="J16" s="11" t="n">
        <x:f>H16*(1-I16)</x:f>
        <x:v>5.2845</x:v>
      </x:c>
      <x:c r="K16" s="11" t="n">
        <x:f>'产品经营假设'!N23</x:f>
        <x:v>1.8</x:v>
      </x:c>
      <x:c r="L16" s="11" t="n">
        <x:f>J16/K16</x:f>
        <x:v>2.9358333333333335</x:v>
      </x:c>
      <x:c r="M16" s="11" t="n">
        <x:f>'假设'!R163</x:f>
        <x:v>13</x:v>
      </x:c>
      <x:c r="N16" s="11" t="n">
        <x:f>'假设'!S163</x:f>
        <x:v>1</x:v>
      </x:c>
      <x:c r="O16" s="11" t="n">
        <x:f>'假设'!F163</x:f>
        <x:v>25</x:v>
      </x:c>
      <x:c r="P16" s="11" t="n">
        <x:f>'假设'!G163</x:f>
        <x:v>7.8</x:v>
      </x:c>
      <x:c r="Q16" s="11" t="n">
        <x:f>(L16*O16+M16*N16/K16)*P16</x:f>
        <x:v>628.8208333333334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地区盈利 → 税后归母 → 摊薄EPS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52" customHeight="1">
      <x:c r="A6" s="12" t="str">
        <x:v>代码</x:v>
      </x:c>
      <x:c r="B6" s="12" t="str">
        <x:v>期限</x:v>
      </x:c>
      <x:c r="C6" s="12" t="str">
        <x:v>中国EBIT</x:v>
      </x:c>
      <x:c r="D6" s="12" t="str">
        <x:v>海外EBIT</x:v>
      </x:c>
      <x:c r="E6" s="12" t="str">
        <x:v>中心成本</x:v>
      </x:c>
      <x:c r="F6" s="12" t="str">
        <x:v>正常其他</x:v>
      </x:c>
      <x:c r="G6" s="12" t="str">
        <x:v>正常税前</x:v>
      </x:c>
      <x:c r="H6" s="12" t="str">
        <x:v>税率</x:v>
      </x:c>
      <x:c r="I6" s="12" t="str">
        <x:v>归母比例</x:v>
      </x:c>
      <x:c r="J6" s="12" t="str">
        <x:v>归母利润CNY十亿</x:v>
      </x:c>
      <x:c r="K6" s="12" t="str">
        <x:v>稀释股数十亿</x:v>
      </x:c>
      <x:c r="L6" s="12" t="str">
        <x:v>EPS CNY</x:v>
      </x:c>
      <x:c r="M6" s="12" t="str">
        <x:v>PE</x:v>
      </x:c>
      <x:c r="N6" s="12" t="str">
        <x:v>HKD/CNY</x:v>
      </x:c>
      <x:c r="O6" s="12" t="str">
        <x:v>目标价HKD</x:v>
      </x:c>
    </x:row>
    <x:row r="7" ht="23" customHeight="1">
      <x:c r="A7" s="11" t="str">
        <x:v>09992.HK</x:v>
      </x:c>
      <x:c r="B7" s="11" t="str">
        <x:v>2026年底</x:v>
      </x:c>
      <x:c r="C7" s="11" t="n">
        <x:f>'地域经营假设'!D7*'地域经营假设'!E7</x:f>
        <x:v>12.75</x:v>
      </x:c>
      <x:c r="D7" s="11" t="n">
        <x:f>'地域经营假设'!F7*'地域经营假设'!G7</x:f>
        <x:v>2.66</x:v>
      </x:c>
      <x:c r="E7" s="11" t="n">
        <x:f>'地域经营假设'!H7</x:f>
        <x:v>1.8</x:v>
      </x:c>
      <x:c r="F7" s="11" t="n">
        <x:f>'地域经营假设'!I7</x:f>
        <x:v>0.1</x:v>
      </x:c>
      <x:c r="G7" s="11" t="n">
        <x:f>C7+D7-E7+F7</x:f>
        <x:v>13.709999999999999</x:v>
      </x:c>
      <x:c r="H7" s="11" t="n">
        <x:f>'地域经营假设'!J7</x:f>
        <x:v>0.25</x:v>
      </x:c>
      <x:c r="I7" s="11" t="n">
        <x:f>'地域经营假设'!K7</x:f>
        <x:v>0.988</x:v>
      </x:c>
      <x:c r="J7" s="11" t="n">
        <x:f>G7*(1-H7)*I7</x:f>
        <x:v>10.159109999999998</x:v>
      </x:c>
      <x:c r="K7" s="11" t="n">
        <x:f>'地域经营假设'!L7</x:f>
        <x:v>1.32</x:v>
      </x:c>
      <x:c r="L7" s="11" t="n">
        <x:f>ROUND(J7/K7,3)</x:f>
        <x:v>7.696</x:v>
      </x:c>
      <x:c r="M7" s="11" t="n">
        <x:f>'假设'!F767</x:f>
        <x:v>20</x:v>
      </x:c>
      <x:c r="N7" s="11" t="n">
        <x:f>'假设'!G767</x:f>
        <x:v>1.1</x:v>
      </x:c>
      <x:c r="O7" s="11" t="n">
        <x:f>ROUND(L7*M7*N7,2)</x:f>
        <x:v>169.31</x:v>
      </x:c>
    </x:row>
    <x:row r="8" ht="23" customHeight="1">
      <x:c r="A8" s="11" t="str">
        <x:v>09992.HK</x:v>
      </x:c>
      <x:c r="B8" s="11" t="str">
        <x:v>半年</x:v>
      </x:c>
      <x:c r="C8" s="11" t="n">
        <x:f>'地域经营假设'!D11*'地域经营假设'!E11</x:f>
        <x:v>13.5</x:v>
      </x:c>
      <x:c r="D8" s="11" t="n">
        <x:f>'地域经营假设'!F11*'地域经营假设'!G11</x:f>
        <x:v>3.24</x:v>
      </x:c>
      <x:c r="E8" s="11" t="n">
        <x:f>'地域经营假设'!H11</x:f>
        <x:v>1.85</x:v>
      </x:c>
      <x:c r="F8" s="11" t="n">
        <x:f>'地域经营假设'!I11</x:f>
        <x:v>0.1</x:v>
      </x:c>
      <x:c r="G8" s="11" t="n">
        <x:f>C8+D8-E8+F8</x:f>
        <x:v>14.990000000000002</x:v>
      </x:c>
      <x:c r="H8" s="11" t="n">
        <x:f>'地域经营假设'!J11</x:f>
        <x:v>0.25</x:v>
      </x:c>
      <x:c r="I8" s="11" t="n">
        <x:f>'地域经营假设'!K11</x:f>
        <x:v>0.988</x:v>
      </x:c>
      <x:c r="J8" s="11" t="n">
        <x:f>G8*(1-H8)*I8</x:f>
        <x:v>11.107590000000002</x:v>
      </x:c>
      <x:c r="K8" s="11" t="n">
        <x:f>'地域经营假设'!L11</x:f>
        <x:v>1.31</x:v>
      </x:c>
      <x:c r="L8" s="11" t="n">
        <x:f>ROUND(J8/K8,3)</x:f>
        <x:v>8.479</x:v>
      </x:c>
      <x:c r="M8" s="11" t="n">
        <x:f>'假设'!F771</x:f>
        <x:v>21</x:v>
      </x:c>
      <x:c r="N8" s="11" t="n">
        <x:f>'假设'!G771</x:f>
        <x:v>1.1</x:v>
      </x:c>
      <x:c r="O8" s="11" t="n">
        <x:f>ROUND(L8*M8*N8,2)</x:f>
        <x:v>195.86</x:v>
      </x:c>
    </x:row>
    <x:row r="9" ht="23" customHeight="1">
      <x:c r="A9" s="11" t="str">
        <x:v>09992.HK</x:v>
      </x:c>
      <x:c r="B9" s="11" t="str">
        <x:v>一年</x:v>
      </x:c>
      <x:c r="C9" s="11" t="n">
        <x:f>'地域经营假设'!D15*'地域经营假设'!E15</x:f>
        <x:v>15</x:v>
      </x:c>
      <x:c r="D9" s="11" t="n">
        <x:f>'地域经营假设'!F15*'地域经营假设'!G15</x:f>
        <x:v>4.29</x:v>
      </x:c>
      <x:c r="E9" s="11" t="n">
        <x:f>'地域经营假设'!H15</x:f>
        <x:v>2</x:v>
      </x:c>
      <x:c r="F9" s="11" t="n">
        <x:f>'地域经营假设'!I15</x:f>
        <x:v>0.15</x:v>
      </x:c>
      <x:c r="G9" s="11" t="n">
        <x:f>C9+D9-E9+F9</x:f>
        <x:v>17.439999999999998</x:v>
      </x:c>
      <x:c r="H9" s="11" t="n">
        <x:f>'地域经营假设'!J15</x:f>
        <x:v>0.25</x:v>
      </x:c>
      <x:c r="I9" s="11" t="n">
        <x:f>'地域经营假设'!K15</x:f>
        <x:v>0.99</x:v>
      </x:c>
      <x:c r="J9" s="11" t="n">
        <x:f>G9*(1-H9)*I9</x:f>
        <x:v>12.949199999999998</x:v>
      </x:c>
      <x:c r="K9" s="11" t="n">
        <x:f>'地域经营假设'!L15</x:f>
        <x:v>1.3</x:v>
      </x:c>
      <x:c r="L9" s="11" t="n">
        <x:f>ROUND(J9/K9,3)</x:f>
        <x:v>9.961</x:v>
      </x:c>
      <x:c r="M9" s="11" t="n">
        <x:f>'假设'!F775</x:f>
        <x:v>22</x:v>
      </x:c>
      <x:c r="N9" s="11" t="n">
        <x:f>'假设'!G775</x:f>
        <x:v>1.1</x:v>
      </x:c>
      <x:c r="O9" s="11" t="n">
        <x:f>ROUND(L9*M9*N9,2)</x:f>
        <x:v>241.06</x:v>
      </x:c>
    </x:row>
    <x:row r="10" ht="23" customHeight="1">
      <x:c r="A10" s="11" t="str">
        <x:v>09992.HK</x:v>
      </x:c>
      <x:c r="B10" s="11" t="str">
        <x:v>三年</x:v>
      </x:c>
      <x:c r="C10" s="11" t="n">
        <x:f>'地域经营假设'!D19*'地域经营假设'!E19</x:f>
        <x:v>20.09</x:v>
      </x:c>
      <x:c r="D10" s="11" t="n">
        <x:f>'地域经营假设'!F19*'地域经营假设'!G19</x:f>
        <x:v>8.16</x:v>
      </x:c>
      <x:c r="E10" s="11" t="n">
        <x:f>'地域经营假设'!H19</x:f>
        <x:v>2.8</x:v>
      </x:c>
      <x:c r="F10" s="11" t="n">
        <x:f>'地域经营假设'!I19</x:f>
        <x:v>0.2</x:v>
      </x:c>
      <x:c r="G10" s="11" t="n">
        <x:f>C10+D10-E10+F10</x:f>
        <x:v>25.65</x:v>
      </x:c>
      <x:c r="H10" s="11" t="n">
        <x:f>'地域经营假设'!J19</x:f>
        <x:v>0.25</x:v>
      </x:c>
      <x:c r="I10" s="11" t="n">
        <x:f>'地域经营假设'!K19</x:f>
        <x:v>0.99</x:v>
      </x:c>
      <x:c r="J10" s="11" t="n">
        <x:f>G10*(1-H10)*I10</x:f>
        <x:v>19.045125</x:v>
      </x:c>
      <x:c r="K10" s="11" t="n">
        <x:f>'地域经营假设'!L19</x:f>
        <x:v>1.27</x:v>
      </x:c>
      <x:c r="L10" s="11" t="n">
        <x:f>ROUND(J10/K10,3)</x:f>
        <x:v>14.996</x:v>
      </x:c>
      <x:c r="M10" s="11" t="n">
        <x:f>'假设'!F779</x:f>
        <x:v>24</x:v>
      </x:c>
      <x:c r="N10" s="11" t="n">
        <x:f>'假设'!G779</x:f>
        <x:v>1.1</x:v>
      </x:c>
      <x:c r="O10" s="11" t="n">
        <x:f>ROUND(L10*M10*N10,2)</x:f>
        <x:v>395.89</x:v>
      </x:c>
    </x:row>
    <x:row r="11" ht="23" customHeight="1">
      <x:c r="A11" s="11" t="str">
        <x:v>09992.HK</x:v>
      </x:c>
      <x:c r="B11" s="11" t="str">
        <x:v>五年</x:v>
      </x:c>
      <x:c r="C11" s="11" t="n">
        <x:f>'地域经营假设'!D23*'地域经营假设'!E23</x:f>
        <x:v>25.439999999999998</x:v>
      </x:c>
      <x:c r="D11" s="11" t="n">
        <x:f>'地域经营假设'!F23*'地域经营假设'!G23</x:f>
        <x:v>12.95</x:v>
      </x:c>
      <x:c r="E11" s="11" t="n">
        <x:f>'地域经营假设'!H23</x:f>
        <x:v>3.8</x:v>
      </x:c>
      <x:c r="F11" s="11" t="n">
        <x:f>'地域经营假设'!I23</x:f>
        <x:v>0.2</x:v>
      </x:c>
      <x:c r="G11" s="11" t="n">
        <x:f>C11+D11-E11+F11</x:f>
        <x:v>34.790000000000006</x:v>
      </x:c>
      <x:c r="H11" s="11" t="n">
        <x:f>'地域经营假设'!J23</x:f>
        <x:v>0.25</x:v>
      </x:c>
      <x:c r="I11" s="11" t="n">
        <x:f>'地域经营假设'!K23</x:f>
        <x:v>0.99</x:v>
      </x:c>
      <x:c r="J11" s="11" t="n">
        <x:f>G11*(1-H11)*I11</x:f>
        <x:v>25.831575000000004</x:v>
      </x:c>
      <x:c r="K11" s="11" t="n">
        <x:f>'地域经营假设'!L23</x:f>
        <x:v>1.25</x:v>
      </x:c>
      <x:c r="L11" s="11" t="n">
        <x:f>ROUND(J11/K11,3)</x:f>
        <x:v>20.665</x:v>
      </x:c>
      <x:c r="M11" s="11" t="n">
        <x:f>'假设'!F783</x:f>
        <x:v>24</x:v>
      </x:c>
      <x:c r="N11" s="11" t="n">
        <x:f>'假设'!G783</x:f>
        <x:v>1.1</x:v>
      </x:c>
      <x:c r="O11" s="11" t="n">
        <x:f>ROUND(L11*M11*N11,2)</x:f>
        <x:v>545.56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4" t="str">
        <x:v>核心PE + 新业务EV + 净资金 − 过渡融资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52" customHeight="1">
      <x:c r="A6" s="12" t="str">
        <x:v>代码</x:v>
      </x:c>
      <x:c r="B6" s="12" t="str">
        <x:v>期限</x:v>
      </x:c>
      <x:c r="C6" s="12" t="str">
        <x:v>核心EBIT</x:v>
      </x:c>
      <x:c r="D6" s="12" t="str">
        <x:v>中心成本</x:v>
      </x:c>
      <x:c r="E6" s="12" t="str">
        <x:v>税率</x:v>
      </x:c>
      <x:c r="F6" s="12" t="str">
        <x:v>归母比例</x:v>
      </x:c>
      <x:c r="G6" s="12" t="str">
        <x:v>核心归母利润</x:v>
      </x:c>
      <x:c r="H6" s="12" t="str">
        <x:v>股数十亿</x:v>
      </x:c>
      <x:c r="I6" s="12" t="str">
        <x:v>核心EPS CNY</x:v>
      </x:c>
      <x:c r="J6" s="12" t="str">
        <x:v>PE</x:v>
      </x:c>
      <x:c r="K6" s="12" t="str">
        <x:v>核心经营价值</x:v>
      </x:c>
      <x:c r="L6" s="12" t="str">
        <x:v>新业务EV</x:v>
      </x:c>
      <x:c r="M6" s="12" t="str">
        <x:v>可分配资金</x:v>
      </x:c>
      <x:c r="N6" s="12" t="str">
        <x:v>过渡融资PV</x:v>
      </x:c>
      <x:c r="O6" s="12" t="str">
        <x:v>本币/CNY</x:v>
      </x:c>
      <x:c r="P6" s="12" t="str">
        <x:v>目标价本币</x:v>
      </x:c>
    </x:row>
    <x:row r="7" ht="23" customHeight="1">
      <x:c r="A7" s="11" t="str">
        <x:v>00268.HK</x:v>
      </x:c>
      <x:c r="B7" s="11" t="str">
        <x:v>2026年底</x:v>
      </x:c>
      <x:c r="C7" s="11" t="n">
        <x:f>'业务分拆假设'!D7*'业务分拆假设'!E7</x:f>
        <x:v>0.162</x:v>
      </x:c>
      <x:c r="D7" s="11" t="n">
        <x:f>'业务分拆假设'!F7</x:f>
        <x:v>0</x:v>
      </x:c>
      <x:c r="E7" s="11" t="n">
        <x:f>'业务分拆假设'!G7</x:f>
        <x:v>0.2</x:v>
      </x:c>
      <x:c r="F7" s="11" t="n">
        <x:f>'业务分拆假设'!H7</x:f>
        <x:v>1</x:v>
      </x:c>
      <x:c r="G7" s="11" t="n">
        <x:f>(C7-D7)*(1-E7)*F7</x:f>
        <x:v>0.12960000000000002</x:v>
      </x:c>
      <x:c r="H7" s="11" t="n">
        <x:f>'业务分拆假设'!I7</x:f>
        <x:v>3.54</x:v>
      </x:c>
      <x:c r="I7" s="11" t="n">
        <x:f>ROUND(G7/H7,6)</x:f>
        <x:v>0.03661</x:v>
      </x:c>
      <x:c r="J7" s="11" t="n">
        <x:f>'假设'!F547</x:f>
        <x:v>12</x:v>
      </x:c>
      <x:c r="K7" s="11" t="n">
        <x:f>MAX(0,I7)*J7*H7</x:f>
        <x:v>1.5551927999999997</x:v>
      </x:c>
      <x:c r="L7" s="11" t="n">
        <x:f>'业务分拆假设'!J7*'业务分拆假设'!K7</x:f>
        <x:v>28</x:v>
      </x:c>
      <x:c r="M7" s="11" t="n">
        <x:f>'业务分拆假设'!L7</x:f>
        <x:v>1</x:v>
      </x:c>
      <x:c r="N7" s="11" t="n">
        <x:f>'业务分拆假设'!M7</x:f>
        <x:v>0.9</x:v>
      </x:c>
      <x:c r="O7" s="11" t="n">
        <x:f>'假设'!G547</x:f>
        <x:v>1.1</x:v>
      </x:c>
      <x:c r="P7" s="11" t="n">
        <x:f>ROUND((K7+L7+M7-N7)/H7*O7,2)</x:f>
        <x:v>9.21</x:v>
      </x:c>
    </x:row>
    <x:row r="8" ht="23" customHeight="1">
      <x:c r="A8" s="11" t="str">
        <x:v>00268.HK</x:v>
      </x:c>
      <x:c r="B8" s="11" t="str">
        <x:v>半年</x:v>
      </x:c>
      <x:c r="C8" s="11" t="n">
        <x:f>'业务分拆假设'!D11*'业务分拆假设'!E11</x:f>
        <x:v>0.14450000000000002</x:v>
      </x:c>
      <x:c r="D8" s="11" t="n">
        <x:f>'业务分拆假设'!F11</x:f>
        <x:v>0</x:v>
      </x:c>
      <x:c r="E8" s="11" t="n">
        <x:f>'业务分拆假设'!G11</x:f>
        <x:v>0.2</x:v>
      </x:c>
      <x:c r="F8" s="11" t="n">
        <x:f>'业务分拆假设'!H11</x:f>
        <x:v>1</x:v>
      </x:c>
      <x:c r="G8" s="11" t="n">
        <x:f>(C8-D8)*(1-E8)*F8</x:f>
        <x:v>0.11560000000000002</x:v>
      </x:c>
      <x:c r="H8" s="11" t="n">
        <x:f>'业务分拆假设'!I11</x:f>
        <x:v>3.55</x:v>
      </x:c>
      <x:c r="I8" s="11" t="n">
        <x:f>ROUND(G8/H8,6)</x:f>
        <x:v>0.032563</x:v>
      </x:c>
      <x:c r="J8" s="11" t="n">
        <x:f>'假设'!F551</x:f>
        <x:v>12</x:v>
      </x:c>
      <x:c r="K8" s="11" t="n">
        <x:f>MAX(0,I8)*J8*H8</x:f>
        <x:v>1.3871837999999999</x:v>
      </x:c>
      <x:c r="L8" s="11" t="n">
        <x:f>'业务分拆假设'!J11*'业务分拆假设'!K11</x:f>
        <x:v>30.749999999999996</x:v>
      </x:c>
      <x:c r="M8" s="11" t="n">
        <x:f>'业务分拆假设'!L11</x:f>
        <x:v>0.9</x:v>
      </x:c>
      <x:c r="N8" s="11" t="n">
        <x:f>'业务分拆假设'!M11</x:f>
        <x:v>1</x:v>
      </x:c>
      <x:c r="O8" s="11" t="n">
        <x:f>'假设'!G551</x:f>
        <x:v>1.1</x:v>
      </x:c>
      <x:c r="P8" s="11" t="n">
        <x:f>ROUND((K8+L8+M8-N8)/H8*O8,2)</x:f>
        <x:v>9.93</x:v>
      </x:c>
    </x:row>
    <x:row r="9" ht="23" customHeight="1">
      <x:c r="A9" s="11" t="str">
        <x:v>00268.HK</x:v>
      </x:c>
      <x:c r="B9" s="11" t="str">
        <x:v>一年</x:v>
      </x:c>
      <x:c r="C9" s="11" t="n">
        <x:f>'业务分拆假设'!D15*'业务分拆假设'!E15</x:f>
        <x:v>0.128</x:v>
      </x:c>
      <x:c r="D9" s="11" t="n">
        <x:f>'业务分拆假设'!F15</x:f>
        <x:v>0</x:v>
      </x:c>
      <x:c r="E9" s="11" t="n">
        <x:f>'业务分拆假设'!G15</x:f>
        <x:v>0.2</x:v>
      </x:c>
      <x:c r="F9" s="11" t="n">
        <x:f>'业务分拆假设'!H15</x:f>
        <x:v>1</x:v>
      </x:c>
      <x:c r="G9" s="11" t="n">
        <x:f>(C9-D9)*(1-E9)*F9</x:f>
        <x:v>0.1024</x:v>
      </x:c>
      <x:c r="H9" s="11" t="n">
        <x:f>'业务分拆假设'!I15</x:f>
        <x:v>3.56</x:v>
      </x:c>
      <x:c r="I9" s="11" t="n">
        <x:f>ROUND(G9/H9,6)</x:f>
        <x:v>0.028764</x:v>
      </x:c>
      <x:c r="J9" s="11" t="n">
        <x:f>'假设'!F555</x:f>
        <x:v>12</x:v>
      </x:c>
      <x:c r="K9" s="11" t="n">
        <x:f>MAX(0,I9)*J9*H9</x:f>
        <x:v>1.2287980800000002</x:v>
      </x:c>
      <x:c r="L9" s="11" t="n">
        <x:f>'业务分拆假设'!J15*'业务分拆假设'!K15</x:f>
        <x:v>43.68000000000001</x:v>
      </x:c>
      <x:c r="M9" s="11" t="n">
        <x:f>'业务分拆假设'!L15</x:f>
        <x:v>0.8</x:v>
      </x:c>
      <x:c r="N9" s="11" t="n">
        <x:f>'业务分拆假设'!M15</x:f>
        <x:v>1</x:v>
      </x:c>
      <x:c r="O9" s="11" t="n">
        <x:f>'假设'!G555</x:f>
        <x:v>1.1</x:v>
      </x:c>
      <x:c r="P9" s="11" t="n">
        <x:f>ROUND((K9+L9+M9-N9)/H9*O9,2)</x:f>
        <x:v>13.81</x:v>
      </x:c>
    </x:row>
    <x:row r="10" ht="23" customHeight="1">
      <x:c r="A10" s="11" t="str">
        <x:v>00268.HK</x:v>
      </x:c>
      <x:c r="B10" s="11" t="str">
        <x:v>三年</x:v>
      </x:c>
      <x:c r="C10" s="11" t="n">
        <x:f>'业务分拆假设'!D19*'业务分拆假设'!E19</x:f>
        <x:v>0.09</x:v>
      </x:c>
      <x:c r="D10" s="11" t="n">
        <x:f>'业务分拆假设'!F19</x:f>
        <x:v>0</x:v>
      </x:c>
      <x:c r="E10" s="11" t="n">
        <x:f>'业务分拆假设'!G19</x:f>
        <x:v>0.2</x:v>
      </x:c>
      <x:c r="F10" s="11" t="n">
        <x:f>'业务分拆假设'!H19</x:f>
        <x:v>1</x:v>
      </x:c>
      <x:c r="G10" s="11" t="n">
        <x:f>(C10-D10)*(1-E10)*F10</x:f>
        <x:v>0.072</x:v>
      </x:c>
      <x:c r="H10" s="11" t="n">
        <x:f>'业务分拆假设'!I19</x:f>
        <x:v>3.6</x:v>
      </x:c>
      <x:c r="I10" s="11" t="n">
        <x:f>ROUND(G10/H10,6)</x:f>
        <x:v>0.02</x:v>
      </x:c>
      <x:c r="J10" s="11" t="n">
        <x:f>'假设'!F559</x:f>
        <x:v>11</x:v>
      </x:c>
      <x:c r="K10" s="11" t="n">
        <x:f>MAX(0,I10)*J10*H10</x:f>
        <x:v>0.792</x:v>
      </x:c>
      <x:c r="L10" s="11" t="n">
        <x:f>'业务分拆假设'!J19*'业务分拆假设'!K19</x:f>
        <x:v>45.919999999999995</x:v>
      </x:c>
      <x:c r="M10" s="11" t="n">
        <x:f>'业务分拆假设'!L19</x:f>
        <x:v>1.1</x:v>
      </x:c>
      <x:c r="N10" s="11" t="n">
        <x:f>'业务分拆假设'!M19</x:f>
        <x:v>1</x:v>
      </x:c>
      <x:c r="O10" s="11" t="n">
        <x:f>'假设'!G559</x:f>
        <x:v>1.1</x:v>
      </x:c>
      <x:c r="P10" s="11" t="n">
        <x:f>ROUND((K10+L10+M10-N10)/H10*O10,2)</x:f>
        <x:v>14.3</x:v>
      </x:c>
    </x:row>
    <x:row r="11" ht="23" customHeight="1">
      <x:c r="A11" s="11" t="str">
        <x:v>00268.HK</x:v>
      </x:c>
      <x:c r="B11" s="11" t="str">
        <x:v>五年</x:v>
      </x:c>
      <x:c r="C11" s="11" t="n">
        <x:f>'业务分拆假设'!D23*'业务分拆假设'!E23</x:f>
        <x:v>0.06300000000000001</x:v>
      </x:c>
      <x:c r="D11" s="11" t="n">
        <x:f>'业务分拆假设'!F23</x:f>
        <x:v>0</x:v>
      </x:c>
      <x:c r="E11" s="11" t="n">
        <x:f>'业务分拆假设'!G23</x:f>
        <x:v>0.2</x:v>
      </x:c>
      <x:c r="F11" s="11" t="n">
        <x:f>'业务分拆假设'!H23</x:f>
        <x:v>1</x:v>
      </x:c>
      <x:c r="G11" s="11" t="n">
        <x:f>(C11-D11)*(1-E11)*F11</x:f>
        <x:v>0.050400000000000014</x:v>
      </x:c>
      <x:c r="H11" s="11" t="n">
        <x:f>'业务分拆假设'!I23</x:f>
        <x:v>3.67</x:v>
      </x:c>
      <x:c r="I11" s="11" t="n">
        <x:f>ROUND(G11/H11,6)</x:f>
        <x:v>0.013733</x:v>
      </x:c>
      <x:c r="J11" s="11" t="n">
        <x:f>'假设'!F563</x:f>
        <x:v>10</x:v>
      </x:c>
      <x:c r="K11" s="11" t="n">
        <x:f>MAX(0,I11)*J11*H11</x:f>
        <x:v>0.5040011</x:v>
      </x:c>
      <x:c r="L11" s="11" t="n">
        <x:f>'业务分拆假设'!J23*'业务分拆假设'!K23</x:f>
        <x:v>49.32</x:v>
      </x:c>
      <x:c r="M11" s="11" t="n">
        <x:f>'业务分拆假设'!L23</x:f>
        <x:v>1.5</x:v>
      </x:c>
      <x:c r="N11" s="11" t="n">
        <x:f>'业务分拆假设'!M23</x:f>
        <x:v>0.7</x:v>
      </x:c>
      <x:c r="O11" s="11" t="n">
        <x:f>'假设'!G563</x:f>
        <x:v>1.1</x:v>
      </x:c>
      <x:c r="P11" s="11" t="n">
        <x:f>ROUND((K11+L11+M11-N11)/H11*O11,2)</x:f>
        <x:v>15.17</x:v>
      </x:c>
    </x:row>
    <x:row r="12" ht="23" customHeight="1">
      <x:c r="A12" s="11" t="str">
        <x:v>03690.HK</x:v>
      </x:c>
      <x:c r="B12" s="11" t="str">
        <x:v>2026年底</x:v>
      </x:c>
      <x:c r="C12" s="11" t="n">
        <x:f>'业务分拆假设'!D27*'业务分拆假设'!E27</x:f>
        <x:v>35.075</x:v>
      </x:c>
      <x:c r="D12" s="11" t="n">
        <x:f>'业务分拆假设'!F27</x:f>
        <x:v>8</x:v>
      </x:c>
      <x:c r="E12" s="11" t="n">
        <x:f>'业务分拆假设'!G27</x:f>
        <x:v>0.2</x:v>
      </x:c>
      <x:c r="F12" s="11" t="n">
        <x:f>'业务分拆假设'!H27</x:f>
        <x:v>0.995</x:v>
      </x:c>
      <x:c r="G12" s="11" t="n">
        <x:f>(C12-D12)*(1-E12)*F12</x:f>
        <x:v>21.551700000000004</x:v>
      </x:c>
      <x:c r="H12" s="11" t="n">
        <x:f>'业务分拆假设'!I27</x:f>
        <x:v>6.25</x:v>
      </x:c>
      <x:c r="I12" s="11" t="n">
        <x:f>ROUND(G12/H12,3)</x:f>
        <x:v>3.448</x:v>
      </x:c>
      <x:c r="J12" s="11" t="n">
        <x:f>'假设'!F667</x:f>
        <x:v>22</x:v>
      </x:c>
      <x:c r="K12" s="11" t="n">
        <x:f>MAX(0,I12)*J12*H12</x:f>
        <x:v>474.09999999999997</x:v>
      </x:c>
      <x:c r="L12" s="11" t="n">
        <x:f>'业务分拆假设'!J27*'业务分拆假设'!K27</x:f>
        <x:v>45.5</x:v>
      </x:c>
      <x:c r="M12" s="11" t="n">
        <x:f>'业务分拆假设'!L27</x:f>
        <x:v>65</x:v>
      </x:c>
      <x:c r="N12" s="11" t="n">
        <x:f>'业务分拆假设'!M27</x:f>
        <x:v>20</x:v>
      </x:c>
      <x:c r="O12" s="11" t="n">
        <x:f>'假设'!G667</x:f>
        <x:v>1.1</x:v>
      </x:c>
      <x:c r="P12" s="11" t="n">
        <x:f>ROUND((K12+L12+M12-N12)/H12*O12,2)</x:f>
        <x:v>99.37</x:v>
      </x:c>
    </x:row>
    <x:row r="13" ht="23" customHeight="1">
      <x:c r="A13" s="11" t="str">
        <x:v>03690.HK</x:v>
      </x:c>
      <x:c r="B13" s="11" t="str">
        <x:v>半年</x:v>
      </x:c>
      <x:c r="C13" s="11" t="n">
        <x:f>'业务分拆假设'!D31*'业务分拆假设'!E31</x:f>
        <x:v>41.6</x:v>
      </x:c>
      <x:c r="D13" s="11" t="n">
        <x:f>'业务分拆假设'!F31</x:f>
        <x:v>8.5</x:v>
      </x:c>
      <x:c r="E13" s="11" t="n">
        <x:f>'业务分拆假设'!G31</x:f>
        <x:v>0.2</x:v>
      </x:c>
      <x:c r="F13" s="11" t="n">
        <x:f>'业务分拆假设'!H31</x:f>
        <x:v>0.995</x:v>
      </x:c>
      <x:c r="G13" s="11" t="n">
        <x:f>(C13-D13)*(1-E13)*F13</x:f>
        <x:v>26.347600000000003</x:v>
      </x:c>
      <x:c r="H13" s="11" t="n">
        <x:f>'业务分拆假设'!I31</x:f>
        <x:v>6.26</x:v>
      </x:c>
      <x:c r="I13" s="11" t="n">
        <x:f>ROUND(G13/H13,3)</x:f>
        <x:v>4.209</x:v>
      </x:c>
      <x:c r="J13" s="11" t="n">
        <x:f>'假设'!F671</x:f>
        <x:v>22</x:v>
      </x:c>
      <x:c r="K13" s="11" t="n">
        <x:f>MAX(0,I13)*J13*H13</x:f>
        <x:v>579.6634799999999</x:v>
      </x:c>
      <x:c r="L13" s="11" t="n">
        <x:f>'业务分拆假设'!J31*'业务分拆假设'!K31</x:f>
        <x:v>55.1</x:v>
      </x:c>
      <x:c r="M13" s="11" t="n">
        <x:f>'业务分拆假设'!L31</x:f>
        <x:v>65</x:v>
      </x:c>
      <x:c r="N13" s="11" t="n">
        <x:f>'业务分拆假设'!M31</x:f>
        <x:v>20</x:v>
      </x:c>
      <x:c r="O13" s="11" t="n">
        <x:f>'假设'!G671</x:f>
        <x:v>1.1</x:v>
      </x:c>
      <x:c r="P13" s="11" t="n">
        <x:f>ROUND((K13+L13+M13-N13)/H13*O13,2)</x:f>
        <x:v>119.45</x:v>
      </x:c>
    </x:row>
    <x:row r="14" ht="23" customHeight="1">
      <x:c r="A14" s="11" t="str">
        <x:v>03690.HK</x:v>
      </x:c>
      <x:c r="B14" s="11" t="str">
        <x:v>一年</x:v>
      </x:c>
      <x:c r="C14" s="11" t="n">
        <x:f>'业务分拆假设'!D35*'业务分拆假设'!E35</x:f>
        <x:v>51.75</x:v>
      </x:c>
      <x:c r="D14" s="11" t="n">
        <x:f>'业务分拆假设'!F35</x:f>
        <x:v>9</x:v>
      </x:c>
      <x:c r="E14" s="11" t="n">
        <x:f>'业务分拆假设'!G35</x:f>
        <x:v>0.2</x:v>
      </x:c>
      <x:c r="F14" s="11" t="n">
        <x:f>'业务分拆假设'!H35</x:f>
        <x:v>0.995</x:v>
      </x:c>
      <x:c r="G14" s="11" t="n">
        <x:f>(C14-D14)*(1-E14)*F14</x:f>
        <x:v>34.029</x:v>
      </x:c>
      <x:c r="H14" s="11" t="n">
        <x:f>'业务分拆假设'!I35</x:f>
        <x:v>6.28</x:v>
      </x:c>
      <x:c r="I14" s="11" t="n">
        <x:f>ROUND(G14/H14,3)</x:f>
        <x:v>5.419</x:v>
      </x:c>
      <x:c r="J14" s="11" t="n">
        <x:f>'假设'!F675</x:f>
        <x:v>22</x:v>
      </x:c>
      <x:c r="K14" s="11" t="n">
        <x:f>MAX(0,I14)*J14*H14</x:f>
        <x:v>748.68904</x:v>
      </x:c>
      <x:c r="L14" s="11" t="n">
        <x:f>'业务分拆假设'!J35*'业务分拆假设'!K35</x:f>
        <x:v>239.25</x:v>
      </x:c>
      <x:c r="M14" s="11" t="n">
        <x:f>'业务分拆假设'!L35</x:f>
        <x:v>70</x:v>
      </x:c>
      <x:c r="N14" s="11" t="n">
        <x:f>'业务分拆假设'!M35</x:f>
        <x:v>18</x:v>
      </x:c>
      <x:c r="O14" s="11" t="n">
        <x:f>'假设'!G675</x:f>
        <x:v>1.1</x:v>
      </x:c>
      <x:c r="P14" s="11" t="n">
        <x:f>ROUND((K14+L14+M14-N14)/H14*O14,2)</x:f>
        <x:v>182.15</x:v>
      </x:c>
    </x:row>
    <x:row r="15" ht="23" customHeight="1">
      <x:c r="A15" s="11" t="str">
        <x:v>03690.HK</x:v>
      </x:c>
      <x:c r="B15" s="11" t="str">
        <x:v>三年</x:v>
      </x:c>
      <x:c r="C15" s="11" t="n">
        <x:f>'业务分拆假设'!D39*'业务分拆假设'!E39</x:f>
        <x:v>76.5</x:v>
      </x:c>
      <x:c r="D15" s="11" t="n">
        <x:f>'业务分拆假设'!F39</x:f>
        <x:v>11</x:v>
      </x:c>
      <x:c r="E15" s="11" t="n">
        <x:f>'业务分拆假设'!G39</x:f>
        <x:v>0.2</x:v>
      </x:c>
      <x:c r="F15" s="11" t="n">
        <x:f>'业务分拆假设'!H39</x:f>
        <x:v>0.995</x:v>
      </x:c>
      <x:c r="G15" s="11" t="n">
        <x:f>(C15-D15)*(1-E15)*F15</x:f>
        <x:v>52.138000000000005</x:v>
      </x:c>
      <x:c r="H15" s="11" t="n">
        <x:f>'业务分拆假设'!I39</x:f>
        <x:v>6.3</x:v>
      </x:c>
      <x:c r="I15" s="11" t="n">
        <x:f>ROUND(G15/H15,3)</x:f>
        <x:v>8.276</x:v>
      </x:c>
      <x:c r="J15" s="11" t="n">
        <x:f>'假设'!F679</x:f>
        <x:v>22</x:v>
      </x:c>
      <x:c r="K15" s="11" t="n">
        <x:f>MAX(0,I15)*J15*H15</x:f>
        <x:v>1147.0536</x:v>
      </x:c>
      <x:c r="L15" s="11" t="n">
        <x:f>'业务分拆假设'!J39*'业务分拆假设'!K39</x:f>
        <x:v>126.50000000000001</x:v>
      </x:c>
      <x:c r="M15" s="11" t="n">
        <x:f>'业务分拆假设'!L39</x:f>
        <x:v>95</x:v>
      </x:c>
      <x:c r="N15" s="11" t="n">
        <x:f>'业务分拆假设'!M39</x:f>
        <x:v>10</x:v>
      </x:c>
      <x:c r="O15" s="11" t="n">
        <x:f>'假设'!G679</x:f>
        <x:v>1.1</x:v>
      </x:c>
      <x:c r="P15" s="11" t="n">
        <x:f>ROUND((K15+L15+M15-N15)/H15*O15,2)</x:f>
        <x:v>237.21</x:v>
      </x:c>
    </x:row>
    <x:row r="16" ht="23" customHeight="1">
      <x:c r="A16" s="11" t="str">
        <x:v>03690.HK</x:v>
      </x:c>
      <x:c r="B16" s="11" t="str">
        <x:v>五年</x:v>
      </x:c>
      <x:c r="C16" s="11" t="n">
        <x:f>'业务分拆假设'!D43*'业务分拆假设'!E43</x:f>
        <x:v>100.8</x:v>
      </x:c>
      <x:c r="D16" s="11" t="n">
        <x:f>'业务分拆假设'!F43</x:f>
        <x:v>13</x:v>
      </x:c>
      <x:c r="E16" s="11" t="n">
        <x:f>'业务分拆假设'!G43</x:f>
        <x:v>0.2</x:v>
      </x:c>
      <x:c r="F16" s="11" t="n">
        <x:f>'业务分拆假设'!H43</x:f>
        <x:v>0.995</x:v>
      </x:c>
      <x:c r="G16" s="11" t="n">
        <x:f>(C16-D16)*(1-E16)*F16</x:f>
        <x:v>69.88879999999999</x:v>
      </x:c>
      <x:c r="H16" s="11" t="n">
        <x:f>'业务分拆假设'!I43</x:f>
        <x:v>6.35</x:v>
      </x:c>
      <x:c r="I16" s="11" t="n">
        <x:f>ROUND(G16/H16,3)</x:f>
        <x:v>11.006</x:v>
      </x:c>
      <x:c r="J16" s="11" t="n">
        <x:f>'假设'!F683</x:f>
        <x:v>20</x:v>
      </x:c>
      <x:c r="K16" s="11" t="n">
        <x:f>MAX(0,I16)*J16*H16</x:f>
        <x:v>1397.762</x:v>
      </x:c>
      <x:c r="L16" s="11" t="n">
        <x:f>'业务分拆假设'!J43*'业务分拆假设'!K43</x:f>
        <x:v>180</x:v>
      </x:c>
      <x:c r="M16" s="11" t="n">
        <x:f>'业务分拆假设'!L43</x:f>
        <x:v>130</x:v>
      </x:c>
      <x:c r="N16" s="11" t="n">
        <x:f>'业务分拆假设'!M43</x:f>
        <x:v>6</x:v>
      </x:c>
      <x:c r="O16" s="11" t="n">
        <x:f>'假设'!G683</x:f>
        <x:v>1.1</x:v>
      </x:c>
      <x:c r="P16" s="11" t="n">
        <x:f>ROUND((K16+L16+M16-N16)/H16*O16,2)</x:f>
        <x:v>294.79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分部经营利润 → 正常归母利润 → EPS → 港股估值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52" customHeight="1">
      <x:c r="A6" s="12" t="str">
        <x:v>代码</x:v>
      </x:c>
      <x:c r="B6" s="12" t="str">
        <x:v>期限</x:v>
      </x:c>
      <x:c r="C6" s="12" t="str">
        <x:v>零售EBIT</x:v>
      </x:c>
      <x:c r="D6" s="12" t="str">
        <x:v>物流EBIT</x:v>
      </x:c>
      <x:c r="E6" s="12" t="str">
        <x:v>新业务亏损</x:v>
      </x:c>
      <x:c r="F6" s="12" t="str">
        <x:v>总部费用</x:v>
      </x:c>
      <x:c r="G6" s="12" t="str">
        <x:v>税前利润</x:v>
      </x:c>
      <x:c r="H6" s="12" t="str">
        <x:v>税率</x:v>
      </x:c>
      <x:c r="I6" s="12" t="str">
        <x:v>归属率</x:v>
      </x:c>
      <x:c r="J6" s="12" t="str">
        <x:v>正常归母利润</x:v>
      </x:c>
      <x:c r="K6" s="12" t="str">
        <x:v>股数十亿</x:v>
      </x:c>
      <x:c r="L6" s="12" t="str">
        <x:v>EPS CNY</x:v>
      </x:c>
      <x:c r="M6" s="12" t="str">
        <x:v>PE倍</x:v>
      </x:c>
      <x:c r="N6" s="12" t="str">
        <x:v>HKD/CNY</x:v>
      </x:c>
      <x:c r="O6" s="12" t="str">
        <x:v>目标HKD</x:v>
      </x:c>
    </x:row>
    <x:row r="7" ht="23" customHeight="1">
      <x:c r="A7" s="11" t="str">
        <x:v>09618.HK</x:v>
      </x:c>
      <x:c r="B7" s="11" t="str">
        <x:v>2026年底</x:v>
      </x:c>
      <x:c r="C7" s="11" t="n">
        <x:f>'零售物流假设'!D7*'零售物流假设'!E7</x:f>
        <x:v>57.6</x:v>
      </x:c>
      <x:c r="D7" s="11" t="n">
        <x:f>'零售物流假设'!F7*'零售物流假设'!G7</x:f>
        <x:v>9.450000000000001</x:v>
      </x:c>
      <x:c r="E7" s="11" t="n">
        <x:f>'零售物流假设'!H7</x:f>
        <x:v>30</x:v>
      </x:c>
      <x:c r="F7" s="11" t="n">
        <x:f>'零售物流假设'!I7</x:f>
        <x:v>4</x:v>
      </x:c>
      <x:c r="G7" s="11" t="n">
        <x:f>C7+D7-E7-F7+'零售物流假设'!J7</x:f>
        <x:v>39.05</x:v>
      </x:c>
      <x:c r="H7" s="11" t="n">
        <x:f>'零售物流假设'!K7</x:f>
        <x:v>0.2</x:v>
      </x:c>
      <x:c r="I7" s="11" t="n">
        <x:f>'零售物流假设'!L7</x:f>
        <x:v>0.89</x:v>
      </x:c>
      <x:c r="J7" s="11" t="n">
        <x:f>G7*(1-H7)*I7</x:f>
        <x:v>27.8036</x:v>
      </x:c>
      <x:c r="K7" s="11" t="n">
        <x:f>'零售物流假设'!M7</x:f>
        <x:v>2.78</x:v>
      </x:c>
      <x:c r="L7" s="11" t="n">
        <x:f>ROUND(J7/K7,3)</x:f>
        <x:v>10.001</x:v>
      </x:c>
      <x:c r="M7" s="11" t="n">
        <x:f>'假设'!F487</x:f>
        <x:v>12</x:v>
      </x:c>
      <x:c r="N7" s="11" t="n">
        <x:f>'假设'!G487</x:f>
        <x:v>1.1</x:v>
      </x:c>
      <x:c r="O7" s="11" t="n">
        <x:f>ROUND(L7*M7*N7,2)</x:f>
        <x:v>132.01</x:v>
      </x:c>
    </x:row>
    <x:row r="8" ht="23" customHeight="1">
      <x:c r="A8" s="11" t="str">
        <x:v>09618.HK</x:v>
      </x:c>
      <x:c r="B8" s="11" t="str">
        <x:v>半年</x:v>
      </x:c>
      <x:c r="C8" s="11" t="n">
        <x:f>'零售物流假设'!D11*'零售物流假设'!E11</x:f>
        <x:v>61.5</x:v>
      </x:c>
      <x:c r="D8" s="11" t="n">
        <x:f>'零售物流假设'!F11*'零售物流假设'!G11</x:f>
        <x:v>10.26</x:v>
      </x:c>
      <x:c r="E8" s="11" t="n">
        <x:f>'零售物流假设'!H11</x:f>
        <x:v>28</x:v>
      </x:c>
      <x:c r="F8" s="11" t="n">
        <x:f>'零售物流假设'!I11</x:f>
        <x:v>4.2</x:v>
      </x:c>
      <x:c r="G8" s="11" t="n">
        <x:f>C8+D8-E8-F8+'零售物流假设'!J11</x:f>
        <x:v>45.56</x:v>
      </x:c>
      <x:c r="H8" s="11" t="n">
        <x:f>'零售物流假设'!K11</x:f>
        <x:v>0.2</x:v>
      </x:c>
      <x:c r="I8" s="11" t="n">
        <x:f>'零售物流假设'!L11</x:f>
        <x:v>0.89</x:v>
      </x:c>
      <x:c r="J8" s="11" t="n">
        <x:f>G8*(1-H8)*I8</x:f>
        <x:v>32.43872</x:v>
      </x:c>
      <x:c r="K8" s="11" t="n">
        <x:f>'零售物流假设'!M11</x:f>
        <x:v>2.75</x:v>
      </x:c>
      <x:c r="L8" s="11" t="n">
        <x:f>ROUND(J8/K8,3)</x:f>
        <x:v>11.796</x:v>
      </x:c>
      <x:c r="M8" s="11" t="n">
        <x:f>'假设'!F491</x:f>
        <x:v>12</x:v>
      </x:c>
      <x:c r="N8" s="11" t="n">
        <x:f>'假设'!G491</x:f>
        <x:v>1.1</x:v>
      </x:c>
      <x:c r="O8" s="11" t="n">
        <x:f>ROUND(L8*M8*N8,2)</x:f>
        <x:v>155.71</x:v>
      </x:c>
    </x:row>
    <x:row r="9" ht="23" customHeight="1">
      <x:c r="A9" s="11" t="str">
        <x:v>09618.HK</x:v>
      </x:c>
      <x:c r="B9" s="11" t="str">
        <x:v>一年</x:v>
      </x:c>
      <x:c r="C9" s="11" t="n">
        <x:f>'零售物流假设'!D15*'零售物流假设'!E15</x:f>
        <x:v>76.80000000000001</x:v>
      </x:c>
      <x:c r="D9" s="11" t="n">
        <x:f>'零售物流假设'!F15*'零售物流假设'!G15</x:f>
        <x:v>11.285</x:v>
      </x:c>
      <x:c r="E9" s="11" t="n">
        <x:f>'零售物流假设'!H15</x:f>
        <x:v>28</x:v>
      </x:c>
      <x:c r="F9" s="11" t="n">
        <x:f>'零售物流假设'!I15</x:f>
        <x:v>4.5</x:v>
      </x:c>
      <x:c r="G9" s="11" t="n">
        <x:f>C9+D9-E9-F9+'零售物流假设'!J15</x:f>
        <x:v>62.08500000000001</x:v>
      </x:c>
      <x:c r="H9" s="11" t="n">
        <x:f>'零售物流假设'!K15</x:f>
        <x:v>0.2</x:v>
      </x:c>
      <x:c r="I9" s="11" t="n">
        <x:f>'零售物流假设'!L15</x:f>
        <x:v>0.89</x:v>
      </x:c>
      <x:c r="J9" s="11" t="n">
        <x:f>G9*(1-H9)*I9</x:f>
        <x:v>44.20452000000001</x:v>
      </x:c>
      <x:c r="K9" s="11" t="n">
        <x:f>'零售物流假设'!M15</x:f>
        <x:v>2.74</x:v>
      </x:c>
      <x:c r="L9" s="11" t="n">
        <x:f>ROUND(J9/K9,3)</x:f>
        <x:v>16.133</x:v>
      </x:c>
      <x:c r="M9" s="11" t="n">
        <x:f>'假设'!F495</x:f>
        <x:v>12</x:v>
      </x:c>
      <x:c r="N9" s="11" t="n">
        <x:f>'假设'!G495</x:f>
        <x:v>1.1</x:v>
      </x:c>
      <x:c r="O9" s="11" t="n">
        <x:f>ROUND(L9*M9*N9,2)</x:f>
        <x:v>212.96</x:v>
      </x:c>
    </x:row>
    <x:row r="10" ht="23" customHeight="1">
      <x:c r="A10" s="11" t="str">
        <x:v>09618.HK</x:v>
      </x:c>
      <x:c r="B10" s="11" t="str">
        <x:v>三年</x:v>
      </x:c>
      <x:c r="C10" s="11" t="n">
        <x:f>'零售物流假设'!D19*'零售物流假设'!E19</x:f>
        <x:v>81</x:v>
      </x:c>
      <x:c r="D10" s="11" t="n">
        <x:f>'零售物流假设'!F19*'零售物流假设'!G19</x:f>
        <x:v>15.6</x:v>
      </x:c>
      <x:c r="E10" s="11" t="n">
        <x:f>'零售物流假设'!H19</x:f>
        <x:v>18</x:v>
      </x:c>
      <x:c r="F10" s="11" t="n">
        <x:f>'零售物流假设'!I19</x:f>
        <x:v>5.5</x:v>
      </x:c>
      <x:c r="G10" s="11" t="n">
        <x:f>C10+D10-E10-F10+'零售物流假设'!J19</x:f>
        <x:v>79.6</x:v>
      </x:c>
      <x:c r="H10" s="11" t="n">
        <x:f>'零售物流假设'!K19</x:f>
        <x:v>0.2</x:v>
      </x:c>
      <x:c r="I10" s="11" t="n">
        <x:f>'零售物流假设'!L19</x:f>
        <x:v>0.9</x:v>
      </x:c>
      <x:c r="J10" s="11" t="n">
        <x:f>G10*(1-H10)*I10</x:f>
        <x:v>57.312</x:v>
      </x:c>
      <x:c r="K10" s="11" t="n">
        <x:f>'零售物流假设'!M19</x:f>
        <x:v>2.62</x:v>
      </x:c>
      <x:c r="L10" s="11" t="n">
        <x:f>ROUND(J10/K10,3)</x:f>
        <x:v>21.875</x:v>
      </x:c>
      <x:c r="M10" s="11" t="n">
        <x:f>'假设'!F499</x:f>
        <x:v>13</x:v>
      </x:c>
      <x:c r="N10" s="11" t="n">
        <x:f>'假设'!G499</x:f>
        <x:v>1.1</x:v>
      </x:c>
      <x:c r="O10" s="11" t="n">
        <x:f>ROUND(L10*M10*N10,2)</x:f>
        <x:v>312.81</x:v>
      </x:c>
    </x:row>
    <x:row r="11" ht="23" customHeight="1">
      <x:c r="A11" s="11" t="str">
        <x:v>09618.HK</x:v>
      </x:c>
      <x:c r="B11" s="11" t="str">
        <x:v>五年</x:v>
      </x:c>
      <x:c r="C11" s="11" t="n">
        <x:f>'零售物流假设'!D23*'零售物流假设'!E23</x:f>
        <x:v>94.08</x:v>
      </x:c>
      <x:c r="D11" s="11" t="n">
        <x:f>'零售物流假设'!F23*'零售物流假设'!G23</x:f>
        <x:v>20.209999999999997</x:v>
      </x:c>
      <x:c r="E11" s="11" t="n">
        <x:f>'零售物流假设'!H23</x:f>
        <x:v>12</x:v>
      </x:c>
      <x:c r="F11" s="11" t="n">
        <x:f>'零售物流假设'!I23</x:f>
        <x:v>7</x:v>
      </x:c>
      <x:c r="G11" s="11" t="n">
        <x:f>C11+D11-E11-F11+'零售物流假设'!J23</x:f>
        <x:v>102.78999999999999</x:v>
      </x:c>
      <x:c r="H11" s="11" t="n">
        <x:f>'零售物流假设'!K23</x:f>
        <x:v>0.2</x:v>
      </x:c>
      <x:c r="I11" s="11" t="n">
        <x:f>'零售物流假设'!L23</x:f>
        <x:v>0.9</x:v>
      </x:c>
      <x:c r="J11" s="11" t="n">
        <x:f>G11*(1-H11)*I11</x:f>
        <x:v>74.00880000000001</x:v>
      </x:c>
      <x:c r="K11" s="11" t="n">
        <x:f>'零售物流假设'!M23</x:f>
        <x:v>2.5</x:v>
      </x:c>
      <x:c r="L11" s="11" t="n">
        <x:f>ROUND(J11/K11,3)</x:f>
        <x:v>29.604</x:v>
      </x:c>
      <x:c r="M11" s="11" t="n">
        <x:f>'假设'!F503</x:f>
        <x:v>13</x:v>
      </x:c>
      <x:c r="N11" s="11" t="n">
        <x:f>'假设'!G503</x:f>
        <x:v>1.1</x:v>
      </x:c>
      <x:c r="O11" s="11" t="n">
        <x:f>ROUND(L11*M11*N11,2)</x:f>
        <x:v>423.34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正常经营CNY十亿 · 新业务亏损含补贴 · 子公司不另加市值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零售收入</x:v>
      </x:c>
      <x:c r="E6" s="12" t="str">
        <x:v>零售EBIT率</x:v>
      </x:c>
      <x:c r="F6" s="12" t="str">
        <x:v>物流收入</x:v>
      </x:c>
      <x:c r="G6" s="12" t="str">
        <x:v>物流EBIT率</x:v>
      </x:c>
      <x:c r="H6" s="12" t="str">
        <x:v>新业务亏损</x:v>
      </x:c>
      <x:c r="I6" s="12" t="str">
        <x:v>总部费用</x:v>
      </x:c>
      <x:c r="J6" s="12" t="str">
        <x:v>常态财务联营收益</x:v>
      </x:c>
      <x:c r="K6" s="12" t="str">
        <x:v>税率</x:v>
      </x:c>
      <x:c r="L6" s="12" t="str">
        <x:v>利润归属率</x:v>
      </x:c>
      <x:c r="M6" s="12" t="str">
        <x:v>普通股十亿</x:v>
      </x:c>
    </x:row>
    <x:row r="7" ht="23" customHeight="1">
      <x:c r="A7" s="11" t="str">
        <x:v>09618.HK</x:v>
      </x:c>
      <x:c r="B7" s="11" t="str">
        <x:v>2026年底</x:v>
      </x:c>
      <x:c r="C7" s="11" t="str">
        <x:v>活动输入</x:v>
      </x:c>
      <x:c r="D7" s="11" t="n">
        <x:f>CHOOSE('假设'!$B$3,D8,D9,D10)</x:f>
        <x:v>1200</x:v>
      </x:c>
      <x:c r="E7" s="11" t="n">
        <x:f>CHOOSE('假设'!$B$3,E8,E9,E10)</x:f>
        <x:v>0.048</x:v>
      </x:c>
      <x:c r="F7" s="11" t="n">
        <x:f>CHOOSE('假设'!$B$3,F8,F9,F10)</x:f>
        <x:v>270</x:v>
      </x:c>
      <x:c r="G7" s="11" t="n">
        <x:f>CHOOSE('假设'!$B$3,G8,G9,G10)</x:f>
        <x:v>0.035</x:v>
      </x:c>
      <x:c r="H7" s="11" t="n">
        <x:f>CHOOSE('假设'!$B$3,H8,H9,H10)</x:f>
        <x:v>30</x:v>
      </x:c>
      <x:c r="I7" s="11" t="n">
        <x:f>CHOOSE('假设'!$B$3,I8,I9,I10)</x:f>
        <x:v>4</x:v>
      </x:c>
      <x:c r="J7" s="11" t="n">
        <x:f>CHOOSE('假设'!$B$3,J8,J9,J10)</x:f>
        <x:v>6</x:v>
      </x:c>
      <x:c r="K7" s="11" t="n">
        <x:f>CHOOSE('假设'!$B$3,K8,K9,K10)</x:f>
        <x:v>0.2</x:v>
      </x:c>
      <x:c r="L7" s="11" t="n">
        <x:f>CHOOSE('假设'!$B$3,L8,L9,L10)</x:f>
        <x:v>0.89</x:v>
      </x:c>
      <x:c r="M7" s="11" t="n">
        <x:f>CHOOSE('假设'!$B$3,M8,M9,M10)</x:f>
        <x:v>2.78</x:v>
      </x:c>
    </x:row>
    <x:row r="8" ht="23" customHeight="1">
      <x:c r="A8" s="11" t="str">
        <x:v>09618.HK</x:v>
      </x:c>
      <x:c r="B8" s="11" t="str">
        <x:v>2026年底</x:v>
      </x:c>
      <x:c r="C8" s="11" t="str">
        <x:v>悲观</x:v>
      </x:c>
      <x:c r="D8" s="16" t="n">
        <x:v>1130</x:v>
      </x:c>
      <x:c r="E8" s="16" t="n">
        <x:v>0.042</x:v>
      </x:c>
      <x:c r="F8" s="16" t="n">
        <x:v>250</x:v>
      </x:c>
      <x:c r="G8" s="16" t="n">
        <x:v>0.032</x:v>
      </x:c>
      <x:c r="H8" s="16" t="n">
        <x:v>34</x:v>
      </x:c>
      <x:c r="I8" s="16" t="n">
        <x:v>5</x:v>
      </x:c>
      <x:c r="J8" s="16" t="n">
        <x:v>5</x:v>
      </x:c>
      <x:c r="K8" s="16" t="n">
        <x:v>0.2</x:v>
      </x:c>
      <x:c r="L8" s="16" t="n">
        <x:v>0.85</x:v>
      </x:c>
      <x:c r="M8" s="16" t="n">
        <x:v>2.92</x:v>
      </x:c>
    </x:row>
    <x:row r="9" ht="23" customHeight="1">
      <x:c r="A9" s="11" t="str">
        <x:v>09618.HK</x:v>
      </x:c>
      <x:c r="B9" s="11" t="str">
        <x:v>2026年底</x:v>
      </x:c>
      <x:c r="C9" s="11" t="str">
        <x:v>基准</x:v>
      </x:c>
      <x:c r="D9" s="16" t="n">
        <x:v>1200</x:v>
      </x:c>
      <x:c r="E9" s="16" t="n">
        <x:v>0.048</x:v>
      </x:c>
      <x:c r="F9" s="16" t="n">
        <x:v>270</x:v>
      </x:c>
      <x:c r="G9" s="16" t="n">
        <x:v>0.035</x:v>
      </x:c>
      <x:c r="H9" s="16" t="n">
        <x:v>30</x:v>
      </x:c>
      <x:c r="I9" s="16" t="n">
        <x:v>4</x:v>
      </x:c>
      <x:c r="J9" s="16" t="n">
        <x:v>6</x:v>
      </x:c>
      <x:c r="K9" s="16" t="n">
        <x:v>0.2</x:v>
      </x:c>
      <x:c r="L9" s="16" t="n">
        <x:v>0.89</x:v>
      </x:c>
      <x:c r="M9" s="16" t="n">
        <x:v>2.78</x:v>
      </x:c>
    </x:row>
    <x:row r="10" ht="23" customHeight="1">
      <x:c r="A10" s="11" t="str">
        <x:v>09618.HK</x:v>
      </x:c>
      <x:c r="B10" s="11" t="str">
        <x:v>2026年底</x:v>
      </x:c>
      <x:c r="C10" s="11" t="str">
        <x:v>乐观</x:v>
      </x:c>
      <x:c r="D10" s="16" t="n">
        <x:v>1250</x:v>
      </x:c>
      <x:c r="E10" s="16" t="n">
        <x:v>0.052</x:v>
      </x:c>
      <x:c r="F10" s="16" t="n">
        <x:v>290</x:v>
      </x:c>
      <x:c r="G10" s="16" t="n">
        <x:v>0.045</x:v>
      </x:c>
      <x:c r="H10" s="16" t="n">
        <x:v>22</x:v>
      </x:c>
      <x:c r="I10" s="16" t="n">
        <x:v>4</x:v>
      </x:c>
      <x:c r="J10" s="16" t="n">
        <x:v>7</x:v>
      </x:c>
      <x:c r="K10" s="16" t="n">
        <x:v>0.2</x:v>
      </x:c>
      <x:c r="L10" s="16" t="n">
        <x:v>0.91</x:v>
      </x:c>
      <x:c r="M10" s="16" t="n">
        <x:v>2.72</x:v>
      </x:c>
    </x:row>
    <x:row r="11" ht="23" customHeight="1">
      <x:c r="A11" s="11" t="str">
        <x:v>09618.HK</x:v>
      </x:c>
      <x:c r="B11" s="11" t="str">
        <x:v>半年</x:v>
      </x:c>
      <x:c r="C11" s="11" t="str">
        <x:v>活动输入</x:v>
      </x:c>
      <x:c r="D11" s="11" t="n">
        <x:f>CHOOSE('假设'!$B$3,D12,D13,D14)</x:f>
        <x:v>1230</x:v>
      </x:c>
      <x:c r="E11" s="11" t="n">
        <x:f>CHOOSE('假设'!$B$3,E12,E13,E14)</x:f>
        <x:v>0.05</x:v>
      </x:c>
      <x:c r="F11" s="11" t="n">
        <x:f>CHOOSE('假设'!$B$3,F12,F13,F14)</x:f>
        <x:v>285</x:v>
      </x:c>
      <x:c r="G11" s="11" t="n">
        <x:f>CHOOSE('假设'!$B$3,G12,G13,G14)</x:f>
        <x:v>0.036</x:v>
      </x:c>
      <x:c r="H11" s="11" t="n">
        <x:f>CHOOSE('假设'!$B$3,H12,H13,H14)</x:f>
        <x:v>28</x:v>
      </x:c>
      <x:c r="I11" s="11" t="n">
        <x:f>CHOOSE('假设'!$B$3,I12,I13,I14)</x:f>
        <x:v>4.2</x:v>
      </x:c>
      <x:c r="J11" s="11" t="n">
        <x:f>CHOOSE('假设'!$B$3,J12,J13,J14)</x:f>
        <x:v>6</x:v>
      </x:c>
      <x:c r="K11" s="11" t="n">
        <x:f>CHOOSE('假设'!$B$3,K12,K13,K14)</x:f>
        <x:v>0.2</x:v>
      </x:c>
      <x:c r="L11" s="11" t="n">
        <x:f>CHOOSE('假设'!$B$3,L12,L13,L14)</x:f>
        <x:v>0.89</x:v>
      </x:c>
      <x:c r="M11" s="11" t="n">
        <x:f>CHOOSE('假设'!$B$3,M12,M13,M14)</x:f>
        <x:v>2.75</x:v>
      </x:c>
    </x:row>
    <x:row r="12" ht="23" customHeight="1">
      <x:c r="A12" s="11" t="str">
        <x:v>09618.HK</x:v>
      </x:c>
      <x:c r="B12" s="11" t="str">
        <x:v>半年</x:v>
      </x:c>
      <x:c r="C12" s="11" t="str">
        <x:v>悲观</x:v>
      </x:c>
      <x:c r="D12" s="16" t="n">
        <x:v>1120</x:v>
      </x:c>
      <x:c r="E12" s="16" t="n">
        <x:v>0.043</x:v>
      </x:c>
      <x:c r="F12" s="16" t="n">
        <x:v>255</x:v>
      </x:c>
      <x:c r="G12" s="16" t="n">
        <x:v>0.033</x:v>
      </x:c>
      <x:c r="H12" s="16" t="n">
        <x:v>34</x:v>
      </x:c>
      <x:c r="I12" s="16" t="n">
        <x:v>5</x:v>
      </x:c>
      <x:c r="J12" s="16" t="n">
        <x:v>5</x:v>
      </x:c>
      <x:c r="K12" s="16" t="n">
        <x:v>0.2</x:v>
      </x:c>
      <x:c r="L12" s="16" t="n">
        <x:v>0.85</x:v>
      </x:c>
      <x:c r="M12" s="16" t="n">
        <x:v>2.94</x:v>
      </x:c>
    </x:row>
    <x:row r="13" ht="23" customHeight="1">
      <x:c r="A13" s="11" t="str">
        <x:v>09618.HK</x:v>
      </x:c>
      <x:c r="B13" s="11" t="str">
        <x:v>半年</x:v>
      </x:c>
      <x:c r="C13" s="11" t="str">
        <x:v>基准</x:v>
      </x:c>
      <x:c r="D13" s="16" t="n">
        <x:v>1230</x:v>
      </x:c>
      <x:c r="E13" s="16" t="n">
        <x:v>0.05</x:v>
      </x:c>
      <x:c r="F13" s="16" t="n">
        <x:v>285</x:v>
      </x:c>
      <x:c r="G13" s="16" t="n">
        <x:v>0.036</x:v>
      </x:c>
      <x:c r="H13" s="16" t="n">
        <x:v>28</x:v>
      </x:c>
      <x:c r="I13" s="16" t="n">
        <x:v>4.2</x:v>
      </x:c>
      <x:c r="J13" s="16" t="n">
        <x:v>6</x:v>
      </x:c>
      <x:c r="K13" s="16" t="n">
        <x:v>0.2</x:v>
      </x:c>
      <x:c r="L13" s="16" t="n">
        <x:v>0.89</x:v>
      </x:c>
      <x:c r="M13" s="16" t="n">
        <x:v>2.75</x:v>
      </x:c>
    </x:row>
    <x:row r="14" ht="23" customHeight="1">
      <x:c r="A14" s="11" t="str">
        <x:v>09618.HK</x:v>
      </x:c>
      <x:c r="B14" s="11" t="str">
        <x:v>半年</x:v>
      </x:c>
      <x:c r="C14" s="11" t="str">
        <x:v>乐观</x:v>
      </x:c>
      <x:c r="D14" s="16" t="n">
        <x:v>1300</x:v>
      </x:c>
      <x:c r="E14" s="16" t="n">
        <x:v>0.054</x:v>
      </x:c>
      <x:c r="F14" s="16" t="n">
        <x:v>310</x:v>
      </x:c>
      <x:c r="G14" s="16" t="n">
        <x:v>0.047</x:v>
      </x:c>
      <x:c r="H14" s="16" t="n">
        <x:v>18</x:v>
      </x:c>
      <x:c r="I14" s="16" t="n">
        <x:v>4.2</x:v>
      </x:c>
      <x:c r="J14" s="16" t="n">
        <x:v>7.5</x:v>
      </x:c>
      <x:c r="K14" s="16" t="n">
        <x:v>0.2</x:v>
      </x:c>
      <x:c r="L14" s="16" t="n">
        <x:v>0.91</x:v>
      </x:c>
      <x:c r="M14" s="16" t="n">
        <x:v>2.68</x:v>
      </x:c>
    </x:row>
    <x:row r="15" ht="23" customHeight="1">
      <x:c r="A15" s="11" t="str">
        <x:v>09618.HK</x:v>
      </x:c>
      <x:c r="B15" s="11" t="str">
        <x:v>一年</x:v>
      </x:c>
      <x:c r="C15" s="11" t="str">
        <x:v>活动输入</x:v>
      </x:c>
      <x:c r="D15" s="11" t="n">
        <x:f>CHOOSE('假设'!$B$3,D16,D17,D18)</x:f>
        <x:v>1280</x:v>
      </x:c>
      <x:c r="E15" s="11" t="n">
        <x:f>CHOOSE('假设'!$B$3,E16,E17,E18)</x:f>
        <x:v>0.060000000000000005</x:v>
      </x:c>
      <x:c r="F15" s="11" t="n">
        <x:f>CHOOSE('假设'!$B$3,F16,F17,F18)</x:f>
        <x:v>305</x:v>
      </x:c>
      <x:c r="G15" s="11" t="n">
        <x:f>CHOOSE('假设'!$B$3,G16,G17,G18)</x:f>
        <x:v>0.037</x:v>
      </x:c>
      <x:c r="H15" s="11" t="n">
        <x:f>CHOOSE('假设'!$B$3,H16,H17,H18)</x:f>
        <x:v>28</x:v>
      </x:c>
      <x:c r="I15" s="11" t="n">
        <x:f>CHOOSE('假设'!$B$3,I16,I17,I18)</x:f>
        <x:v>4.5</x:v>
      </x:c>
      <x:c r="J15" s="11" t="n">
        <x:f>CHOOSE('假设'!$B$3,J16,J17,J18)</x:f>
        <x:v>6.5</x:v>
      </x:c>
      <x:c r="K15" s="11" t="n">
        <x:f>CHOOSE('假设'!$B$3,K16,K17,K18)</x:f>
        <x:v>0.2</x:v>
      </x:c>
      <x:c r="L15" s="11" t="n">
        <x:f>CHOOSE('假设'!$B$3,L16,L17,L18)</x:f>
        <x:v>0.89</x:v>
      </x:c>
      <x:c r="M15" s="11" t="n">
        <x:f>CHOOSE('假设'!$B$3,M16,M17,M18)</x:f>
        <x:v>2.74</x:v>
      </x:c>
    </x:row>
    <x:row r="16" ht="23" customHeight="1">
      <x:c r="A16" s="11" t="str">
        <x:v>09618.HK</x:v>
      </x:c>
      <x:c r="B16" s="11" t="str">
        <x:v>一年</x:v>
      </x:c>
      <x:c r="C16" s="11" t="str">
        <x:v>悲观</x:v>
      </x:c>
      <x:c r="D16" s="16" t="n">
        <x:v>1160</x:v>
      </x:c>
      <x:c r="E16" s="16" t="n">
        <x:v>0.042</x:v>
      </x:c>
      <x:c r="F16" s="16" t="n">
        <x:v>270</x:v>
      </x:c>
      <x:c r="G16" s="16" t="n">
        <x:v>0.032</x:v>
      </x:c>
      <x:c r="H16" s="16" t="n">
        <x:v>35</x:v>
      </x:c>
      <x:c r="I16" s="16" t="n">
        <x:v>5.2</x:v>
      </x:c>
      <x:c r="J16" s="16" t="n">
        <x:v>5</x:v>
      </x:c>
      <x:c r="K16" s="16" t="n">
        <x:v>0.2</x:v>
      </x:c>
      <x:c r="L16" s="16" t="n">
        <x:v>0.85</x:v>
      </x:c>
      <x:c r="M16" s="16" t="n">
        <x:v>2.99</x:v>
      </x:c>
    </x:row>
    <x:row r="17" ht="23" customHeight="1">
      <x:c r="A17" s="11" t="str">
        <x:v>09618.HK</x:v>
      </x:c>
      <x:c r="B17" s="11" t="str">
        <x:v>一年</x:v>
      </x:c>
      <x:c r="C17" s="11" t="str">
        <x:v>基准</x:v>
      </x:c>
      <x:c r="D17" s="16" t="n">
        <x:v>1280</x:v>
      </x:c>
      <x:c r="E17" s="16" t="n">
        <x:v>0.060000000000000005</x:v>
      </x:c>
      <x:c r="F17" s="16" t="n">
        <x:v>305</x:v>
      </x:c>
      <x:c r="G17" s="16" t="n">
        <x:v>0.037</x:v>
      </x:c>
      <x:c r="H17" s="16" t="n">
        <x:v>28</x:v>
      </x:c>
      <x:c r="I17" s="16" t="n">
        <x:v>4.5</x:v>
      </x:c>
      <x:c r="J17" s="16" t="n">
        <x:v>6.5</x:v>
      </x:c>
      <x:c r="K17" s="16" t="n">
        <x:v>0.2</x:v>
      </x:c>
      <x:c r="L17" s="16" t="n">
        <x:v>0.89</x:v>
      </x:c>
      <x:c r="M17" s="16" t="n">
        <x:v>2.74</x:v>
      </x:c>
    </x:row>
    <x:row r="18" ht="23" customHeight="1">
      <x:c r="A18" s="11" t="str">
        <x:v>09618.HK</x:v>
      </x:c>
      <x:c r="B18" s="11" t="str">
        <x:v>一年</x:v>
      </x:c>
      <x:c r="C18" s="11" t="str">
        <x:v>乐观</x:v>
      </x:c>
      <x:c r="D18" s="16" t="n">
        <x:v>1380</x:v>
      </x:c>
      <x:c r="E18" s="16" t="n">
        <x:v>0.055</x:v>
      </x:c>
      <x:c r="F18" s="16" t="n">
        <x:v>340</x:v>
      </x:c>
      <x:c r="G18" s="16" t="n">
        <x:v>0.048</x:v>
      </x:c>
      <x:c r="H18" s="16" t="n">
        <x:v>15</x:v>
      </x:c>
      <x:c r="I18" s="16" t="n">
        <x:v>4.8</x:v>
      </x:c>
      <x:c r="J18" s="16" t="n">
        <x:v>8</x:v>
      </x:c>
      <x:c r="K18" s="16" t="n">
        <x:v>0.2</x:v>
      </x:c>
      <x:c r="L18" s="16" t="n">
        <x:v>0.92</x:v>
      </x:c>
      <x:c r="M18" s="16" t="n">
        <x:v>2.65</x:v>
      </x:c>
    </x:row>
    <x:row r="19" ht="23" customHeight="1">
      <x:c r="A19" s="11" t="str">
        <x:v>09618.HK</x:v>
      </x:c>
      <x:c r="B19" s="11" t="str">
        <x:v>三年</x:v>
      </x:c>
      <x:c r="C19" s="11" t="str">
        <x:v>活动输入</x:v>
      </x:c>
      <x:c r="D19" s="11" t="n">
        <x:f>CHOOSE('假设'!$B$3,D20,D21,D22)</x:f>
        <x:v>1500</x:v>
      </x:c>
      <x:c r="E19" s="11" t="n">
        <x:f>CHOOSE('假设'!$B$3,E20,E21,E22)</x:f>
        <x:v>0.054</x:v>
      </x:c>
      <x:c r="F19" s="11" t="n">
        <x:f>CHOOSE('假设'!$B$3,F20,F21,F22)</x:f>
        <x:v>390</x:v>
      </x:c>
      <x:c r="G19" s="11" t="n">
        <x:f>CHOOSE('假设'!$B$3,G20,G21,G22)</x:f>
        <x:v>0.04</x:v>
      </x:c>
      <x:c r="H19" s="11" t="n">
        <x:f>CHOOSE('假设'!$B$3,H20,H21,H22)</x:f>
        <x:v>18</x:v>
      </x:c>
      <x:c r="I19" s="11" t="n">
        <x:f>CHOOSE('假设'!$B$3,I20,I21,I22)</x:f>
        <x:v>5.5</x:v>
      </x:c>
      <x:c r="J19" s="11" t="n">
        <x:f>CHOOSE('假设'!$B$3,J20,J21,J22)</x:f>
        <x:v>6.5</x:v>
      </x:c>
      <x:c r="K19" s="11" t="n">
        <x:f>CHOOSE('假设'!$B$3,K20,K21,K22)</x:f>
        <x:v>0.2</x:v>
      </x:c>
      <x:c r="L19" s="11" t="n">
        <x:f>CHOOSE('假设'!$B$3,L20,L21,L22)</x:f>
        <x:v>0.9</x:v>
      </x:c>
      <x:c r="M19" s="11" t="n">
        <x:f>CHOOSE('假设'!$B$3,M20,M21,M22)</x:f>
        <x:v>2.62</x:v>
      </x:c>
    </x:row>
    <x:row r="20" ht="23" customHeight="1">
      <x:c r="A20" s="11" t="str">
        <x:v>09618.HK</x:v>
      </x:c>
      <x:c r="B20" s="11" t="str">
        <x:v>三年</x:v>
      </x:c>
      <x:c r="C20" s="11" t="str">
        <x:v>悲观</x:v>
      </x:c>
      <x:c r="D20" s="16" t="n">
        <x:v>1230</x:v>
      </x:c>
      <x:c r="E20" s="16" t="n">
        <x:v>0.04</x:v>
      </x:c>
      <x:c r="F20" s="16" t="n">
        <x:v>320</x:v>
      </x:c>
      <x:c r="G20" s="16" t="n">
        <x:v>0.03</x:v>
      </x:c>
      <x:c r="H20" s="16" t="n">
        <x:v>32</x:v>
      </x:c>
      <x:c r="I20" s="16" t="n">
        <x:v>6</x:v>
      </x:c>
      <x:c r="J20" s="16" t="n">
        <x:v>4.5</x:v>
      </x:c>
      <x:c r="K20" s="16" t="n">
        <x:v>0.2</x:v>
      </x:c>
      <x:c r="L20" s="16" t="n">
        <x:v>0.84</x:v>
      </x:c>
      <x:c r="M20" s="16" t="n">
        <x:v>3.1</x:v>
      </x:c>
    </x:row>
    <x:row r="21" ht="23" customHeight="1">
      <x:c r="A21" s="11" t="str">
        <x:v>09618.HK</x:v>
      </x:c>
      <x:c r="B21" s="11" t="str">
        <x:v>三年</x:v>
      </x:c>
      <x:c r="C21" s="11" t="str">
        <x:v>基准</x:v>
      </x:c>
      <x:c r="D21" s="16" t="n">
        <x:v>1500</x:v>
      </x:c>
      <x:c r="E21" s="16" t="n">
        <x:v>0.054</x:v>
      </x:c>
      <x:c r="F21" s="16" t="n">
        <x:v>390</x:v>
      </x:c>
      <x:c r="G21" s="16" t="n">
        <x:v>0.04</x:v>
      </x:c>
      <x:c r="H21" s="16" t="n">
        <x:v>18</x:v>
      </x:c>
      <x:c r="I21" s="16" t="n">
        <x:v>5.5</x:v>
      </x:c>
      <x:c r="J21" s="16" t="n">
        <x:v>6.5</x:v>
      </x:c>
      <x:c r="K21" s="16" t="n">
        <x:v>0.2</x:v>
      </x:c>
      <x:c r="L21" s="16" t="n">
        <x:v>0.9</x:v>
      </x:c>
      <x:c r="M21" s="16" t="n">
        <x:v>2.62</x:v>
      </x:c>
    </x:row>
    <x:row r="22" ht="23" customHeight="1">
      <x:c r="A22" s="11" t="str">
        <x:v>09618.HK</x:v>
      </x:c>
      <x:c r="B22" s="11" t="str">
        <x:v>三年</x:v>
      </x:c>
      <x:c r="C22" s="11" t="str">
        <x:v>乐观</x:v>
      </x:c>
      <x:c r="D22" s="16" t="n">
        <x:v>1730</x:v>
      </x:c>
      <x:c r="E22" s="16" t="n">
        <x:v>0.062</x:v>
      </x:c>
      <x:c r="F22" s="16" t="n">
        <x:v>500</x:v>
      </x:c>
      <x:c r="G22" s="16" t="n">
        <x:v>0.055</x:v>
      </x:c>
      <x:c r="H22" s="16" t="n">
        <x:v>2</x:v>
      </x:c>
      <x:c r="I22" s="16" t="n">
        <x:v>6.5</x:v>
      </x:c>
      <x:c r="J22" s="16" t="n">
        <x:v>9</x:v>
      </x:c>
      <x:c r="K22" s="16" t="n">
        <x:v>0.2</x:v>
      </x:c>
      <x:c r="L22" s="16" t="n">
        <x:v>0.93</x:v>
      </x:c>
      <x:c r="M22" s="16" t="n">
        <x:v>2.45</x:v>
      </x:c>
    </x:row>
    <x:row r="23" ht="23" customHeight="1">
      <x:c r="A23" s="11" t="str">
        <x:v>09618.HK</x:v>
      </x:c>
      <x:c r="B23" s="11" t="str">
        <x:v>五年</x:v>
      </x:c>
      <x:c r="C23" s="11" t="str">
        <x:v>活动输入</x:v>
      </x:c>
      <x:c r="D23" s="11" t="n">
        <x:f>CHOOSE('假设'!$B$3,D24,D25,D26)</x:f>
        <x:v>1680</x:v>
      </x:c>
      <x:c r="E23" s="11" t="n">
        <x:f>CHOOSE('假设'!$B$3,E24,E25,E26)</x:f>
        <x:v>0.056</x:v>
      </x:c>
      <x:c r="F23" s="11" t="n">
        <x:f>CHOOSE('假设'!$B$3,F24,F25,F26)</x:f>
        <x:v>470</x:v>
      </x:c>
      <x:c r="G23" s="11" t="n">
        <x:f>CHOOSE('假设'!$B$3,G24,G25,G26)</x:f>
        <x:v>0.043</x:v>
      </x:c>
      <x:c r="H23" s="11" t="n">
        <x:f>CHOOSE('假设'!$B$3,H24,H25,H26)</x:f>
        <x:v>12</x:v>
      </x:c>
      <x:c r="I23" s="11" t="n">
        <x:f>CHOOSE('假设'!$B$3,I24,I25,I26)</x:f>
        <x:v>7</x:v>
      </x:c>
      <x:c r="J23" s="11" t="n">
        <x:f>CHOOSE('假设'!$B$3,J24,J25,J26)</x:f>
        <x:v>7.5</x:v>
      </x:c>
      <x:c r="K23" s="11" t="n">
        <x:f>CHOOSE('假设'!$B$3,K24,K25,K26)</x:f>
        <x:v>0.2</x:v>
      </x:c>
      <x:c r="L23" s="11" t="n">
        <x:f>CHOOSE('假设'!$B$3,L24,L25,L26)</x:f>
        <x:v>0.9</x:v>
      </x:c>
      <x:c r="M23" s="11" t="n">
        <x:f>CHOOSE('假设'!$B$3,M24,M25,M26)</x:f>
        <x:v>2.5</x:v>
      </x:c>
    </x:row>
    <x:row r="24" ht="23" customHeight="1">
      <x:c r="A24" s="11" t="str">
        <x:v>09618.HK</x:v>
      </x:c>
      <x:c r="B24" s="11" t="str">
        <x:v>五年</x:v>
      </x:c>
      <x:c r="C24" s="11" t="str">
        <x:v>悲观</x:v>
      </x:c>
      <x:c r="D24" s="16" t="n">
        <x:v>1300</x:v>
      </x:c>
      <x:c r="E24" s="16" t="n">
        <x:v>0.038</x:v>
      </x:c>
      <x:c r="F24" s="16" t="n">
        <x:v>380</x:v>
      </x:c>
      <x:c r="G24" s="16" t="n">
        <x:v>0.03</x:v>
      </x:c>
      <x:c r="H24" s="16" t="n">
        <x:v>28</x:v>
      </x:c>
      <x:c r="I24" s="16" t="n">
        <x:v>7</x:v>
      </x:c>
      <x:c r="J24" s="16" t="n">
        <x:v>4</x:v>
      </x:c>
      <x:c r="K24" s="16" t="n">
        <x:v>0.2</x:v>
      </x:c>
      <x:c r="L24" s="16" t="n">
        <x:v>0.84</x:v>
      </x:c>
      <x:c r="M24" s="16" t="n">
        <x:v>3.25</x:v>
      </x:c>
    </x:row>
    <x:row r="25" ht="23" customHeight="1">
      <x:c r="A25" s="11" t="str">
        <x:v>09618.HK</x:v>
      </x:c>
      <x:c r="B25" s="11" t="str">
        <x:v>五年</x:v>
      </x:c>
      <x:c r="C25" s="11" t="str">
        <x:v>基准</x:v>
      </x:c>
      <x:c r="D25" s="16" t="n">
        <x:v>1680</x:v>
      </x:c>
      <x:c r="E25" s="16" t="n">
        <x:v>0.056</x:v>
      </x:c>
      <x:c r="F25" s="16" t="n">
        <x:v>470</x:v>
      </x:c>
      <x:c r="G25" s="16" t="n">
        <x:v>0.043</x:v>
      </x:c>
      <x:c r="H25" s="16" t="n">
        <x:v>12</x:v>
      </x:c>
      <x:c r="I25" s="16" t="n">
        <x:v>7</x:v>
      </x:c>
      <x:c r="J25" s="16" t="n">
        <x:v>7.5</x:v>
      </x:c>
      <x:c r="K25" s="16" t="n">
        <x:v>0.2</x:v>
      </x:c>
      <x:c r="L25" s="16" t="n">
        <x:v>0.9</x:v>
      </x:c>
      <x:c r="M25" s="16" t="n">
        <x:v>2.5</x:v>
      </x:c>
    </x:row>
    <x:row r="26" ht="23" customHeight="1">
      <x:c r="A26" s="11" t="str">
        <x:v>09618.HK</x:v>
      </x:c>
      <x:c r="B26" s="11" t="str">
        <x:v>五年</x:v>
      </x:c>
      <x:c r="C26" s="11" t="str">
        <x:v>乐观</x:v>
      </x:c>
      <x:c r="D26" s="16" t="n">
        <x:v>2100</x:v>
      </x:c>
      <x:c r="E26" s="16" t="n">
        <x:v>0.065</x:v>
      </x:c>
      <x:c r="F26" s="16" t="n">
        <x:v>650</x:v>
      </x:c>
      <x:c r="G26" s="16" t="n">
        <x:v>0.06</x:v>
      </x:c>
      <x:c r="H26" s="16" t="n">
        <x:v>-5</x:v>
      </x:c>
      <x:c r="I26" s="16" t="n">
        <x:v>9</x:v>
      </x:c>
      <x:c r="J26" s="16" t="n">
        <x:v>11</x:v>
      </x:c>
      <x:c r="K26" s="16" t="n">
        <x:v>0.2</x:v>
      </x:c>
      <x:c r="L26" s="16" t="n">
        <x:v>0.94</x:v>
      </x:c>
      <x:c r="M26" s="16" t="n">
        <x:v>2.3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4" t="str">
        <x:v>互斥业务贡献 → 税后归属 → 股权分子储备 → 每股港元估值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52" customHeight="1">
      <x:c r="A6" s="12" t="str">
        <x:v>代码</x:v>
      </x:c>
      <x:c r="B6" s="12" t="str">
        <x:v>期限</x:v>
      </x:c>
      <x:c r="C6" s="12" t="str">
        <x:v>五块贡献</x:v>
      </x:c>
      <x:c r="D6" s="12" t="str">
        <x:v>总部费用</x:v>
      </x:c>
      <x:c r="E6" s="12" t="str">
        <x:v>爱奇艺贡献</x:v>
      </x:c>
      <x:c r="F6" s="12" t="str">
        <x:v>税前利润</x:v>
      </x:c>
      <x:c r="G6" s="12" t="str">
        <x:v>税率</x:v>
      </x:c>
      <x:c r="H6" s="12" t="str">
        <x:v>归属率</x:v>
      </x:c>
      <x:c r="I6" s="12" t="str">
        <x:v>分子储备</x:v>
      </x:c>
      <x:c r="J6" s="12" t="str">
        <x:v>EPS分子</x:v>
      </x:c>
      <x:c r="K6" s="12" t="str">
        <x:v>股数</x:v>
      </x:c>
      <x:c r="L6" s="12" t="str">
        <x:v>EPS CNY</x:v>
      </x:c>
      <x:c r="M6" s="12" t="str">
        <x:v>PE倍</x:v>
      </x:c>
      <x:c r="N6" s="12" t="str">
        <x:v>HKD/CNY</x:v>
      </x:c>
      <x:c r="O6" s="12" t="str">
        <x:v>目标HKD</x:v>
      </x:c>
    </x:row>
    <x:row r="7" ht="23" customHeight="1">
      <x:c r="A7" s="11" t="str">
        <x:v>09888.HK</x:v>
      </x:c>
      <x:c r="B7" s="11" t="str">
        <x:v>2026年底</x:v>
      </x:c>
      <x:c r="C7" s="11" t="n">
        <x:f>'AI经营假设'!D7*'AI经营假设'!E7+'AI经营假设'!F7*'AI经营假设'!G7+'AI经营假设'!H7*'AI经营假设'!I7+'AI经营假设'!J7*'AI经营假设'!K7+'AI经营假设'!L7*'AI经营假设'!M7</x:f>
        <x:v>27.85</x:v>
      </x:c>
      <x:c r="D7" s="11" t="n">
        <x:f>'AI经营假设'!N7</x:f>
        <x:v>12</x:v>
      </x:c>
      <x:c r="E7" s="11" t="n">
        <x:f>'AI经营假设'!O7</x:f>
        <x:v>-0.4</x:v>
      </x:c>
      <x:c r="F7" s="11" t="n">
        <x:f>C7-D7+E7+'AI经营假设'!P7</x:f>
        <x:v>18.25</x:v>
      </x:c>
      <x:c r="G7" s="11" t="n">
        <x:f>'AI经营假设'!Q7</x:f>
        <x:v>0.2</x:v>
      </x:c>
      <x:c r="H7" s="11" t="n">
        <x:f>'AI经营假设'!R7</x:f>
        <x:v>0.97</x:v>
      </x:c>
      <x:c r="I7" s="11" t="n">
        <x:f>'AI经营假设'!S7</x:f>
        <x:v>0.8</x:v>
      </x:c>
      <x:c r="J7" s="11" t="n">
        <x:f>F7*(1-G7)*H7-I7</x:f>
        <x:v>13.362</x:v>
      </x:c>
      <x:c r="K7" s="11" t="n">
        <x:f>'AI经营假设'!T7</x:f>
        <x:v>2.78</x:v>
      </x:c>
      <x:c r="L7" s="11" t="n">
        <x:f>ROUND(J7/K7,3)</x:f>
        <x:v>4.806</x:v>
      </x:c>
      <x:c r="M7" s="11" t="n">
        <x:f>'假设'!F107</x:f>
        <x:v>19</x:v>
      </x:c>
      <x:c r="N7" s="11" t="n">
        <x:f>'假设'!G107</x:f>
        <x:v>1.1</x:v>
      </x:c>
      <x:c r="O7" s="11" t="n">
        <x:f>ROUND(L7*M7*N7,2)</x:f>
        <x:v>100.45</x:v>
      </x:c>
    </x:row>
    <x:row r="8" ht="23" customHeight="1">
      <x:c r="A8" s="11" t="str">
        <x:v>09888.HK</x:v>
      </x:c>
      <x:c r="B8" s="11" t="str">
        <x:v>半年</x:v>
      </x:c>
      <x:c r="C8" s="11" t="n">
        <x:f>'AI经营假设'!D11*'AI经营假设'!E11+'AI经营假设'!F11*'AI经营假设'!G11+'AI经营假设'!H11*'AI经营假设'!I11+'AI经营假设'!J11*'AI经营假设'!K11+'AI经营假设'!L11*'AI经营假设'!M11</x:f>
        <x:v>29.080000000000002</x:v>
      </x:c>
      <x:c r="D8" s="11" t="n">
        <x:f>'AI经营假设'!N11</x:f>
        <x:v>13</x:v>
      </x:c>
      <x:c r="E8" s="11" t="n">
        <x:f>'AI经营假设'!O11</x:f>
        <x:v>-0.3</x:v>
      </x:c>
      <x:c r="F8" s="11" t="n">
        <x:f>C8-D8+E8+'AI经营假设'!P11</x:f>
        <x:v>18.48</x:v>
      </x:c>
      <x:c r="G8" s="11" t="n">
        <x:f>'AI经营假设'!Q11</x:f>
        <x:v>0.2</x:v>
      </x:c>
      <x:c r="H8" s="11" t="n">
        <x:f>'AI经营假设'!R11</x:f>
        <x:v>0.97</x:v>
      </x:c>
      <x:c r="I8" s="11" t="n">
        <x:f>'AI经营假设'!S11</x:f>
        <x:v>0.8</x:v>
      </x:c>
      <x:c r="J8" s="11" t="n">
        <x:f>F8*(1-G8)*H8-I8</x:f>
        <x:v>13.540479999999999</x:v>
      </x:c>
      <x:c r="K8" s="11" t="n">
        <x:f>'AI经营假设'!T11</x:f>
        <x:v>2.77</x:v>
      </x:c>
      <x:c r="L8" s="11" t="n">
        <x:f>ROUND(J8/K8,3)</x:f>
        <x:v>4.888</x:v>
      </x:c>
      <x:c r="M8" s="11" t="n">
        <x:f>'假设'!F111</x:f>
        <x:v>20</x:v>
      </x:c>
      <x:c r="N8" s="11" t="n">
        <x:f>'假设'!G111</x:f>
        <x:v>1.1</x:v>
      </x:c>
      <x:c r="O8" s="11" t="n">
        <x:f>ROUND(L8*M8*N8,2)</x:f>
        <x:v>107.54</x:v>
      </x:c>
    </x:row>
    <x:row r="9" ht="23" customHeight="1">
      <x:c r="A9" s="11" t="str">
        <x:v>09888.HK</x:v>
      </x:c>
      <x:c r="B9" s="11" t="str">
        <x:v>一年</x:v>
      </x:c>
      <x:c r="C9" s="11" t="n">
        <x:f>'AI经营假设'!D15*'AI经营假设'!E15+'AI经营假设'!F15*'AI经营假设'!G15+'AI经营假设'!H15*'AI经营假设'!I15+'AI经营假设'!J15*'AI经营假设'!K15+'AI经营假设'!L15*'AI经营假设'!M15</x:f>
        <x:v>31.96</x:v>
      </x:c>
      <x:c r="D9" s="11" t="n">
        <x:f>'AI经营假设'!N15</x:f>
        <x:v>15</x:v>
      </x:c>
      <x:c r="E9" s="11" t="n">
        <x:f>'AI经营假设'!O15</x:f>
        <x:v>-0.1</x:v>
      </x:c>
      <x:c r="F9" s="11" t="n">
        <x:f>C9-D9+E9+'AI经营假设'!P15</x:f>
        <x:v>19.46</x:v>
      </x:c>
      <x:c r="G9" s="11" t="n">
        <x:f>'AI经营假设'!Q15</x:f>
        <x:v>0.2</x:v>
      </x:c>
      <x:c r="H9" s="11" t="n">
        <x:f>'AI经营假设'!R15</x:f>
        <x:v>0.97</x:v>
      </x:c>
      <x:c r="I9" s="11" t="n">
        <x:f>'AI经营假设'!S15</x:f>
        <x:v>0.8</x:v>
      </x:c>
      <x:c r="J9" s="11" t="n">
        <x:f>F9*(1-G9)*H9-I9</x:f>
        <x:v>14.30096</x:v>
      </x:c>
      <x:c r="K9" s="11" t="n">
        <x:f>'AI经营假设'!T15</x:f>
        <x:v>2.76</x:v>
      </x:c>
      <x:c r="L9" s="11" t="n">
        <x:f>ROUND(J9/K9,3)</x:f>
        <x:v>5.182</x:v>
      </x:c>
      <x:c r="M9" s="11" t="n">
        <x:f>'假设'!F115</x:f>
        <x:v>21</x:v>
      </x:c>
      <x:c r="N9" s="11" t="n">
        <x:f>'假设'!G115</x:f>
        <x:v>1.1</x:v>
      </x:c>
      <x:c r="O9" s="11" t="n">
        <x:f>ROUND(L9*M9*N9,2)</x:f>
        <x:v>119.7</x:v>
      </x:c>
    </x:row>
    <x:row r="10" ht="23" customHeight="1">
      <x:c r="A10" s="11" t="str">
        <x:v>09888.HK</x:v>
      </x:c>
      <x:c r="B10" s="11" t="str">
        <x:v>三年</x:v>
      </x:c>
      <x:c r="C10" s="11" t="n">
        <x:f>'AI经营假设'!D19*'AI经营假设'!E19+'AI经营假设'!F19*'AI经营假设'!G19+'AI经营假设'!H19*'AI经营假设'!I19+'AI经营假设'!J19*'AI经营假设'!K19+'AI经营假设'!L19*'AI经营假设'!M19</x:f>
        <x:v>44.89</x:v>
      </x:c>
      <x:c r="D10" s="11" t="n">
        <x:f>'AI经营假设'!N19</x:f>
        <x:v>23</x:v>
      </x:c>
      <x:c r="E10" s="11" t="n">
        <x:f>'AI经营假设'!O19</x:f>
        <x:v>0.5</x:v>
      </x:c>
      <x:c r="F10" s="11" t="n">
        <x:f>C10-D10+E10+'AI经营假设'!P19</x:f>
        <x:v>24.89</x:v>
      </x:c>
      <x:c r="G10" s="11" t="n">
        <x:f>'AI经营假设'!Q19</x:f>
        <x:v>0.2</x:v>
      </x:c>
      <x:c r="H10" s="11" t="n">
        <x:f>'AI经营假设'!R19</x:f>
        <x:v>0.97</x:v>
      </x:c>
      <x:c r="I10" s="11" t="n">
        <x:f>'AI经营假设'!S19</x:f>
        <x:v>0.9</x:v>
      </x:c>
      <x:c r="J10" s="11" t="n">
        <x:f>F10*(1-G10)*H10-I10</x:f>
        <x:v>18.414640000000002</x:v>
      </x:c>
      <x:c r="K10" s="11" t="n">
        <x:f>'AI经营假设'!T19</x:f>
        <x:v>2.7</x:v>
      </x:c>
      <x:c r="L10" s="11" t="n">
        <x:f>ROUND(J10/K10,3)</x:f>
        <x:v>6.82</x:v>
      </x:c>
      <x:c r="M10" s="11" t="n">
        <x:f>'假设'!F119</x:f>
        <x:v>23</x:v>
      </x:c>
      <x:c r="N10" s="11" t="n">
        <x:f>'假设'!G119</x:f>
        <x:v>1.1</x:v>
      </x:c>
      <x:c r="O10" s="11" t="n">
        <x:f>ROUND(L10*M10*N10,2)</x:f>
        <x:v>172.55</x:v>
      </x:c>
    </x:row>
    <x:row r="11" ht="23" customHeight="1">
      <x:c r="A11" s="11" t="str">
        <x:v>09888.HK</x:v>
      </x:c>
      <x:c r="B11" s="11" t="str">
        <x:v>五年</x:v>
      </x:c>
      <x:c r="C11" s="11" t="n">
        <x:f>'AI经营假设'!D23*'AI经营假设'!E23+'AI经营假设'!F23*'AI经营假设'!G23+'AI经营假设'!H23*'AI经营假设'!I23+'AI经营假设'!J23*'AI经营假设'!K23+'AI经营假设'!L23*'AI经营假设'!M23</x:f>
        <x:v>59.15</x:v>
      </x:c>
      <x:c r="D11" s="11" t="n">
        <x:f>'AI经营假设'!N23</x:f>
        <x:v>32</x:v>
      </x:c>
      <x:c r="E11" s="11" t="n">
        <x:f>'AI经营假设'!O23</x:f>
        <x:v>0.8</x:v>
      </x:c>
      <x:c r="F11" s="11" t="n">
        <x:f>C11-D11+E11+'AI经营假设'!P23</x:f>
        <x:v>30.45</x:v>
      </x:c>
      <x:c r="G11" s="11" t="n">
        <x:f>'AI经营假设'!Q23</x:f>
        <x:v>0.2</x:v>
      </x:c>
      <x:c r="H11" s="11" t="n">
        <x:f>'AI经营假设'!R23</x:f>
        <x:v>0.97</x:v>
      </x:c>
      <x:c r="I11" s="11" t="n">
        <x:f>'AI经营假设'!S23</x:f>
        <x:v>1</x:v>
      </x:c>
      <x:c r="J11" s="11" t="n">
        <x:f>F11*(1-G11)*H11-I11</x:f>
        <x:v>22.629199999999997</x:v>
      </x:c>
      <x:c r="K11" s="11" t="n">
        <x:f>'AI经营假设'!T23</x:f>
        <x:v>2.65</x:v>
      </x:c>
      <x:c r="L11" s="11" t="n">
        <x:f>ROUND(J11/K11,3)</x:f>
        <x:v>8.539</x:v>
      </x:c>
      <x:c r="M11" s="11" t="n">
        <x:f>'假设'!F123</x:f>
        <x:v>23</x:v>
      </x:c>
      <x:c r="N11" s="11" t="n">
        <x:f>'假设'!G123</x:f>
        <x:v>1.1</x:v>
      </x:c>
      <x:c r="O11" s="11" t="n">
        <x:f>ROUND(L11*M11*N11,2)</x:f>
        <x:v>216.04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4" t="str">
        <x:v>互斥五块收入及贡献率 · CNY十亿 · 正常成本与融资权益储备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Infra收入</x:v>
      </x:c>
      <x:c r="E6" s="12" t="str">
        <x:v>Infra贡献率</x:v>
      </x:c>
      <x:c r="F6" s="12" t="str">
        <x:v>应用收入</x:v>
      </x:c>
      <x:c r="G6" s="12" t="str">
        <x:v>应用贡献率</x:v>
      </x:c>
      <x:c r="H6" s="12" t="str">
        <x:v>AI营销收入</x:v>
      </x:c>
      <x:c r="I6" s="12" t="str">
        <x:v>AI营销贡献率</x:v>
      </x:c>
      <x:c r="J6" s="12" t="str">
        <x:v>传统收入</x:v>
      </x:c>
      <x:c r="K6" s="12" t="str">
        <x:v>传统贡献率</x:v>
      </x:c>
      <x:c r="L6" s="12" t="str">
        <x:v>其他收入</x:v>
      </x:c>
      <x:c r="M6" s="12" t="str">
        <x:v>其他贡献率</x:v>
      </x:c>
      <x:c r="N6" s="12" t="str">
        <x:v>总部费用</x:v>
      </x:c>
      <x:c r="O6" s="12" t="str">
        <x:v>爱奇艺归属贡献</x:v>
      </x:c>
      <x:c r="P6" s="12" t="str">
        <x:v>常态财资联营</x:v>
      </x:c>
      <x:c r="Q6" s="12" t="str">
        <x:v>税率</x:v>
      </x:c>
      <x:c r="R6" s="12" t="str">
        <x:v>归属率</x:v>
      </x:c>
      <x:c r="S6" s="12" t="str">
        <x:v>EPS分子储备</x:v>
      </x:c>
      <x:c r="T6" s="12" t="str">
        <x:v>普通股十亿</x:v>
      </x:c>
    </x:row>
    <x:row r="7" ht="23" customHeight="1">
      <x:c r="A7" s="11" t="str">
        <x:v>09888.HK</x:v>
      </x:c>
      <x:c r="B7" s="11" t="str">
        <x:v>2026年底</x:v>
      </x:c>
      <x:c r="C7" s="11" t="str">
        <x:v>活动输入</x:v>
      </x:c>
      <x:c r="D7" s="11" t="n">
        <x:f>CHOOSE('假设'!$B$3,D8,D9,D10)</x:f>
        <x:v>34</x:v>
      </x:c>
      <x:c r="E7" s="11" t="n">
        <x:f>CHOOSE('假设'!$B$3,E8,E9,E10)</x:f>
        <x:v>0.18</x:v>
      </x:c>
      <x:c r="F7" s="11" t="n">
        <x:f>CHOOSE('假设'!$B$3,F8,F9,F10)</x:f>
        <x:v>11</x:v>
      </x:c>
      <x:c r="G7" s="11" t="n">
        <x:f>CHOOSE('假设'!$B$3,G8,G9,G10)</x:f>
        <x:v>0.38</x:v>
      </x:c>
      <x:c r="H7" s="11" t="n">
        <x:f>CHOOSE('假设'!$B$3,H8,H9,H10)</x:f>
        <x:v>11</x:v>
      </x:c>
      <x:c r="I7" s="11" t="n">
        <x:f>CHOOSE('假设'!$B$3,I8,I9,I10)</x:f>
        <x:v>0.37</x:v>
      </x:c>
      <x:c r="J7" s="11" t="n">
        <x:f>CHOOSE('假设'!$B$3,J8,J9,J10)</x:f>
        <x:v>42</x:v>
      </x:c>
      <x:c r="K7" s="11" t="n">
        <x:f>CHOOSE('假设'!$B$3,K8,K9,K10)</x:f>
        <x:v>0.34</x:v>
      </x:c>
      <x:c r="L7" s="11" t="n">
        <x:f>CHOOSE('假设'!$B$3,L8,L9,L10)</x:f>
        <x:v>10</x:v>
      </x:c>
      <x:c r="M7" s="11" t="n">
        <x:f>CHOOSE('假设'!$B$3,M8,M9,M10)</x:f>
        <x:v>-0.08</x:v>
      </x:c>
      <x:c r="N7" s="11" t="n">
        <x:f>CHOOSE('假设'!$B$3,N8,N9,N10)</x:f>
        <x:v>12</x:v>
      </x:c>
      <x:c r="O7" s="11" t="n">
        <x:f>CHOOSE('假设'!$B$3,O8,O9,O10)</x:f>
        <x:v>-0.4</x:v>
      </x:c>
      <x:c r="P7" s="11" t="n">
        <x:f>CHOOSE('假设'!$B$3,P8,P9,P10)</x:f>
        <x:v>2.8</x:v>
      </x:c>
      <x:c r="Q7" s="11" t="n">
        <x:f>CHOOSE('假设'!$B$3,Q8,Q9,Q10)</x:f>
        <x:v>0.2</x:v>
      </x:c>
      <x:c r="R7" s="11" t="n">
        <x:f>CHOOSE('假设'!$B$3,R8,R9,R10)</x:f>
        <x:v>0.97</x:v>
      </x:c>
      <x:c r="S7" s="11" t="n">
        <x:f>CHOOSE('假设'!$B$3,S8,S9,S10)</x:f>
        <x:v>0.8</x:v>
      </x:c>
      <x:c r="T7" s="11" t="n">
        <x:f>CHOOSE('假设'!$B$3,T8,T9,T10)</x:f>
        <x:v>2.78</x:v>
      </x:c>
    </x:row>
    <x:row r="8" ht="23" customHeight="1">
      <x:c r="A8" s="11" t="str">
        <x:v>09888.HK</x:v>
      </x:c>
      <x:c r="B8" s="11" t="str">
        <x:v>2026年底</x:v>
      </x:c>
      <x:c r="C8" s="11" t="str">
        <x:v>悲观</x:v>
      </x:c>
      <x:c r="D8" s="16" t="n">
        <x:v>30</x:v>
      </x:c>
      <x:c r="E8" s="16" t="n">
        <x:v>0.1</x:v>
      </x:c>
      <x:c r="F8" s="16" t="n">
        <x:v>10</x:v>
      </x:c>
      <x:c r="G8" s="16" t="n">
        <x:v>0.29</x:v>
      </x:c>
      <x:c r="H8" s="16" t="n">
        <x:v>9</x:v>
      </x:c>
      <x:c r="I8" s="16" t="n">
        <x:v>0.29</x:v>
      </x:c>
      <x:c r="J8" s="16" t="n">
        <x:v>40</x:v>
      </x:c>
      <x:c r="K8" s="16" t="n">
        <x:v>0.3</x:v>
      </x:c>
      <x:c r="L8" s="16" t="n">
        <x:v>9</x:v>
      </x:c>
      <x:c r="M8" s="16" t="n">
        <x:v>-0.14</x:v>
      </x:c>
      <x:c r="N8" s="16" t="n">
        <x:v>10.5</x:v>
      </x:c>
      <x:c r="O8" s="16" t="n">
        <x:v>-0.8</x:v>
      </x:c>
      <x:c r="P8" s="16" t="n">
        <x:v>2</x:v>
      </x:c>
      <x:c r="Q8" s="16" t="n">
        <x:v>0.2</x:v>
      </x:c>
      <x:c r="R8" s="16" t="n">
        <x:v>0.95</x:v>
      </x:c>
      <x:c r="S8" s="16" t="n">
        <x:v>1.1</x:v>
      </x:c>
      <x:c r="T8" s="16" t="n">
        <x:v>2.9</x:v>
      </x:c>
    </x:row>
    <x:row r="9" ht="23" customHeight="1">
      <x:c r="A9" s="11" t="str">
        <x:v>09888.HK</x:v>
      </x:c>
      <x:c r="B9" s="11" t="str">
        <x:v>2026年底</x:v>
      </x:c>
      <x:c r="C9" s="11" t="str">
        <x:v>基准</x:v>
      </x:c>
      <x:c r="D9" s="16" t="n">
        <x:v>34</x:v>
      </x:c>
      <x:c r="E9" s="16" t="n">
        <x:v>0.18</x:v>
      </x:c>
      <x:c r="F9" s="16" t="n">
        <x:v>11</x:v>
      </x:c>
      <x:c r="G9" s="16" t="n">
        <x:v>0.38</x:v>
      </x:c>
      <x:c r="H9" s="16" t="n">
        <x:v>11</x:v>
      </x:c>
      <x:c r="I9" s="16" t="n">
        <x:v>0.37</x:v>
      </x:c>
      <x:c r="J9" s="16" t="n">
        <x:v>42</x:v>
      </x:c>
      <x:c r="K9" s="16" t="n">
        <x:v>0.34</x:v>
      </x:c>
      <x:c r="L9" s="16" t="n">
        <x:v>10</x:v>
      </x:c>
      <x:c r="M9" s="16" t="n">
        <x:v>-0.08</x:v>
      </x:c>
      <x:c r="N9" s="16" t="n">
        <x:v>12</x:v>
      </x:c>
      <x:c r="O9" s="16" t="n">
        <x:v>-0.4</x:v>
      </x:c>
      <x:c r="P9" s="16" t="n">
        <x:v>2.8</x:v>
      </x:c>
      <x:c r="Q9" s="16" t="n">
        <x:v>0.2</x:v>
      </x:c>
      <x:c r="R9" s="16" t="n">
        <x:v>0.97</x:v>
      </x:c>
      <x:c r="S9" s="16" t="n">
        <x:v>0.8</x:v>
      </x:c>
      <x:c r="T9" s="16" t="n">
        <x:v>2.78</x:v>
      </x:c>
    </x:row>
    <x:row r="10" ht="23" customHeight="1">
      <x:c r="A10" s="11" t="str">
        <x:v>09888.HK</x:v>
      </x:c>
      <x:c r="B10" s="11" t="str">
        <x:v>2026年底</x:v>
      </x:c>
      <x:c r="C10" s="11" t="str">
        <x:v>乐观</x:v>
      </x:c>
      <x:c r="D10" s="16" t="n">
        <x:v>40</x:v>
      </x:c>
      <x:c r="E10" s="16" t="n">
        <x:v>0.24</x:v>
      </x:c>
      <x:c r="F10" s="16" t="n">
        <x:v>12</x:v>
      </x:c>
      <x:c r="G10" s="16" t="n">
        <x:v>0.43</x:v>
      </x:c>
      <x:c r="H10" s="16" t="n">
        <x:v>13</x:v>
      </x:c>
      <x:c r="I10" s="16" t="n">
        <x:v>0.43</x:v>
      </x:c>
      <x:c r="J10" s="16" t="n">
        <x:v>45</x:v>
      </x:c>
      <x:c r="K10" s="16" t="n">
        <x:v>0.38</x:v>
      </x:c>
      <x:c r="L10" s="16" t="n">
        <x:v>11</x:v>
      </x:c>
      <x:c r="M10" s="16" t="n">
        <x:v>-0.03</x:v>
      </x:c>
      <x:c r="N10" s="16" t="n">
        <x:v>14</x:v>
      </x:c>
      <x:c r="O10" s="16" t="n">
        <x:v>0.3</x:v>
      </x:c>
      <x:c r="P10" s="16" t="n">
        <x:v>3.5</x:v>
      </x:c>
      <x:c r="Q10" s="16" t="n">
        <x:v>0.2</x:v>
      </x:c>
      <x:c r="R10" s="16" t="n">
        <x:v>0.98</x:v>
      </x:c>
      <x:c r="S10" s="16" t="n">
        <x:v>0.5</x:v>
      </x:c>
      <x:c r="T10" s="16" t="n">
        <x:v>2.73</x:v>
      </x:c>
    </x:row>
    <x:row r="11" ht="23" customHeight="1">
      <x:c r="A11" s="11" t="str">
        <x:v>09888.HK</x:v>
      </x:c>
      <x:c r="B11" s="11" t="str">
        <x:v>半年</x:v>
      </x:c>
      <x:c r="C11" s="11" t="str">
        <x:v>活动输入</x:v>
      </x:c>
      <x:c r="D11" s="11" t="n">
        <x:f>CHOOSE('假设'!$B$3,D12,D13,D14)</x:f>
        <x:v>39</x:v>
      </x:c>
      <x:c r="E11" s="11" t="n">
        <x:f>CHOOSE('假设'!$B$3,E12,E13,E14)</x:f>
        <x:v>0.18</x:v>
      </x:c>
      <x:c r="F11" s="11" t="n">
        <x:f>CHOOSE('假设'!$B$3,F12,F13,F14)</x:f>
        <x:v>12</x:v>
      </x:c>
      <x:c r="G11" s="11" t="n">
        <x:f>CHOOSE('假设'!$B$3,G12,G13,G14)</x:f>
        <x:v>0.38</x:v>
      </x:c>
      <x:c r="H11" s="11" t="n">
        <x:f>CHOOSE('假设'!$B$3,H12,H13,H14)</x:f>
        <x:v>12</x:v>
      </x:c>
      <x:c r="I11" s="11" t="n">
        <x:f>CHOOSE('假设'!$B$3,I12,I13,I14)</x:f>
        <x:v>0.37</x:v>
      </x:c>
      <x:c r="J11" s="11" t="n">
        <x:f>CHOOSE('假设'!$B$3,J12,J13,J14)</x:f>
        <x:v>41</x:v>
      </x:c>
      <x:c r="K11" s="11" t="n">
        <x:f>CHOOSE('假设'!$B$3,K12,K13,K14)</x:f>
        <x:v>0.34</x:v>
      </x:c>
      <x:c r="L11" s="11" t="n">
        <x:f>CHOOSE('假设'!$B$3,L12,L13,L14)</x:f>
        <x:v>11</x:v>
      </x:c>
      <x:c r="M11" s="11" t="n">
        <x:f>CHOOSE('假设'!$B$3,M12,M13,M14)</x:f>
        <x:v>-0.08</x:v>
      </x:c>
      <x:c r="N11" s="11" t="n">
        <x:f>CHOOSE('假设'!$B$3,N12,N13,N14)</x:f>
        <x:v>13</x:v>
      </x:c>
      <x:c r="O11" s="11" t="n">
        <x:f>CHOOSE('假设'!$B$3,O12,O13,O14)</x:f>
        <x:v>-0.3</x:v>
      </x:c>
      <x:c r="P11" s="11" t="n">
        <x:f>CHOOSE('假设'!$B$3,P12,P13,P14)</x:f>
        <x:v>2.7</x:v>
      </x:c>
      <x:c r="Q11" s="11" t="n">
        <x:f>CHOOSE('假设'!$B$3,Q12,Q13,Q14)</x:f>
        <x:v>0.2</x:v>
      </x:c>
      <x:c r="R11" s="11" t="n">
        <x:f>CHOOSE('假设'!$B$3,R12,R13,R14)</x:f>
        <x:v>0.97</x:v>
      </x:c>
      <x:c r="S11" s="11" t="n">
        <x:f>CHOOSE('假设'!$B$3,S12,S13,S14)</x:f>
        <x:v>0.8</x:v>
      </x:c>
      <x:c r="T11" s="11" t="n">
        <x:f>CHOOSE('假设'!$B$3,T12,T13,T14)</x:f>
        <x:v>2.77</x:v>
      </x:c>
    </x:row>
    <x:row r="12" ht="23" customHeight="1">
      <x:c r="A12" s="11" t="str">
        <x:v>09888.HK</x:v>
      </x:c>
      <x:c r="B12" s="11" t="str">
        <x:v>半年</x:v>
      </x:c>
      <x:c r="C12" s="11" t="str">
        <x:v>悲观</x:v>
      </x:c>
      <x:c r="D12" s="16" t="n">
        <x:v>32</x:v>
      </x:c>
      <x:c r="E12" s="16" t="n">
        <x:v>0.1</x:v>
      </x:c>
      <x:c r="F12" s="16" t="n">
        <x:v>10</x:v>
      </x:c>
      <x:c r="G12" s="16" t="n">
        <x:v>0.29</x:v>
      </x:c>
      <x:c r="H12" s="16" t="n">
        <x:v>9</x:v>
      </x:c>
      <x:c r="I12" s="16" t="n">
        <x:v>0.29</x:v>
      </x:c>
      <x:c r="J12" s="16" t="n">
        <x:v>37</x:v>
      </x:c>
      <x:c r="K12" s="16" t="n">
        <x:v>0.3</x:v>
      </x:c>
      <x:c r="L12" s="16" t="n">
        <x:v>9</x:v>
      </x:c>
      <x:c r="M12" s="16" t="n">
        <x:v>-0.14</x:v>
      </x:c>
      <x:c r="N12" s="16" t="n">
        <x:v>11</x:v>
      </x:c>
      <x:c r="O12" s="16" t="n">
        <x:v>-0.9</x:v>
      </x:c>
      <x:c r="P12" s="16" t="n">
        <x:v>1.8</x:v>
      </x:c>
      <x:c r="Q12" s="16" t="n">
        <x:v>0.2</x:v>
      </x:c>
      <x:c r="R12" s="16" t="n">
        <x:v>0.95</x:v>
      </x:c>
      <x:c r="S12" s="16" t="n">
        <x:v>1.1</x:v>
      </x:c>
      <x:c r="T12" s="16" t="n">
        <x:v>2.95</x:v>
      </x:c>
    </x:row>
    <x:row r="13" ht="23" customHeight="1">
      <x:c r="A13" s="11" t="str">
        <x:v>09888.HK</x:v>
      </x:c>
      <x:c r="B13" s="11" t="str">
        <x:v>半年</x:v>
      </x:c>
      <x:c r="C13" s="11" t="str">
        <x:v>基准</x:v>
      </x:c>
      <x:c r="D13" s="16" t="n">
        <x:v>39</x:v>
      </x:c>
      <x:c r="E13" s="16" t="n">
        <x:v>0.18</x:v>
      </x:c>
      <x:c r="F13" s="16" t="n">
        <x:v>12</x:v>
      </x:c>
      <x:c r="G13" s="16" t="n">
        <x:v>0.38</x:v>
      </x:c>
      <x:c r="H13" s="16" t="n">
        <x:v>12</x:v>
      </x:c>
      <x:c r="I13" s="16" t="n">
        <x:v>0.37</x:v>
      </x:c>
      <x:c r="J13" s="16" t="n">
        <x:v>41</x:v>
      </x:c>
      <x:c r="K13" s="16" t="n">
        <x:v>0.34</x:v>
      </x:c>
      <x:c r="L13" s="16" t="n">
        <x:v>11</x:v>
      </x:c>
      <x:c r="M13" s="16" t="n">
        <x:v>-0.08</x:v>
      </x:c>
      <x:c r="N13" s="16" t="n">
        <x:v>13</x:v>
      </x:c>
      <x:c r="O13" s="16" t="n">
        <x:v>-0.3</x:v>
      </x:c>
      <x:c r="P13" s="16" t="n">
        <x:v>2.7</x:v>
      </x:c>
      <x:c r="Q13" s="16" t="n">
        <x:v>0.2</x:v>
      </x:c>
      <x:c r="R13" s="16" t="n">
        <x:v>0.97</x:v>
      </x:c>
      <x:c r="S13" s="16" t="n">
        <x:v>0.8</x:v>
      </x:c>
      <x:c r="T13" s="16" t="n">
        <x:v>2.77</x:v>
      </x:c>
    </x:row>
    <x:row r="14" ht="23" customHeight="1">
      <x:c r="A14" s="11" t="str">
        <x:v>09888.HK</x:v>
      </x:c>
      <x:c r="B14" s="11" t="str">
        <x:v>半年</x:v>
      </x:c>
      <x:c r="C14" s="11" t="str">
        <x:v>乐观</x:v>
      </x:c>
      <x:c r="D14" s="16" t="n">
        <x:v>48</x:v>
      </x:c>
      <x:c r="E14" s="16" t="n">
        <x:v>0.24</x:v>
      </x:c>
      <x:c r="F14" s="16" t="n">
        <x:v>14</x:v>
      </x:c>
      <x:c r="G14" s="16" t="n">
        <x:v>0.43</x:v>
      </x:c>
      <x:c r="H14" s="16" t="n">
        <x:v>15</x:v>
      </x:c>
      <x:c r="I14" s="16" t="n">
        <x:v>0.43</x:v>
      </x:c>
      <x:c r="J14" s="16" t="n">
        <x:v>45</x:v>
      </x:c>
      <x:c r="K14" s="16" t="n">
        <x:v>0.38</x:v>
      </x:c>
      <x:c r="L14" s="16" t="n">
        <x:v>12</x:v>
      </x:c>
      <x:c r="M14" s="16" t="n">
        <x:v>-0.03</x:v>
      </x:c>
      <x:c r="N14" s="16" t="n">
        <x:v>15.5</x:v>
      </x:c>
      <x:c r="O14" s="16" t="n">
        <x:v>0.5</x:v>
      </x:c>
      <x:c r="P14" s="16" t="n">
        <x:v>3.5</x:v>
      </x:c>
      <x:c r="Q14" s="16" t="n">
        <x:v>0.2</x:v>
      </x:c>
      <x:c r="R14" s="16" t="n">
        <x:v>0.98</x:v>
      </x:c>
      <x:c r="S14" s="16" t="n">
        <x:v>0.5</x:v>
      </x:c>
      <x:c r="T14" s="16" t="n">
        <x:v>2.7</x:v>
      </x:c>
    </x:row>
    <x:row r="15" ht="23" customHeight="1">
      <x:c r="A15" s="11" t="str">
        <x:v>09888.HK</x:v>
      </x:c>
      <x:c r="B15" s="11" t="str">
        <x:v>一年</x:v>
      </x:c>
      <x:c r="C15" s="11" t="str">
        <x:v>活动输入</x:v>
      </x:c>
      <x:c r="D15" s="11" t="n">
        <x:f>CHOOSE('假设'!$B$3,D16,D17,D18)</x:f>
        <x:v>49</x:v>
      </x:c>
      <x:c r="E15" s="11" t="n">
        <x:f>CHOOSE('假设'!$B$3,E16,E17,E18)</x:f>
        <x:v>0.18</x:v>
      </x:c>
      <x:c r="F15" s="11" t="n">
        <x:f>CHOOSE('假设'!$B$3,F16,F17,F18)</x:f>
        <x:v>14</x:v>
      </x:c>
      <x:c r="G15" s="11" t="n">
        <x:f>CHOOSE('假设'!$B$3,G16,G17,G18)</x:f>
        <x:v>0.38</x:v>
      </x:c>
      <x:c r="H15" s="11" t="n">
        <x:f>CHOOSE('假设'!$B$3,H16,H17,H18)</x:f>
        <x:v>14</x:v>
      </x:c>
      <x:c r="I15" s="11" t="n">
        <x:f>CHOOSE('假设'!$B$3,I16,I17,I18)</x:f>
        <x:v>0.37</x:v>
      </x:c>
      <x:c r="J15" s="11" t="n">
        <x:f>CHOOSE('假设'!$B$3,J16,J17,J18)</x:f>
        <x:v>40</x:v>
      </x:c>
      <x:c r="K15" s="11" t="n">
        <x:f>CHOOSE('假设'!$B$3,K16,K17,K18)</x:f>
        <x:v>0.34</x:v>
      </x:c>
      <x:c r="L15" s="11" t="n">
        <x:f>CHOOSE('假设'!$B$3,L16,L17,L18)</x:f>
        <x:v>12</x:v>
      </x:c>
      <x:c r="M15" s="11" t="n">
        <x:f>CHOOSE('假设'!$B$3,M16,M17,M18)</x:f>
        <x:v>-0.08</x:v>
      </x:c>
      <x:c r="N15" s="11" t="n">
        <x:f>CHOOSE('假设'!$B$3,N16,N17,N18)</x:f>
        <x:v>15</x:v>
      </x:c>
      <x:c r="O15" s="11" t="n">
        <x:f>CHOOSE('假设'!$B$3,O16,O17,O18)</x:f>
        <x:v>-0.1</x:v>
      </x:c>
      <x:c r="P15" s="11" t="n">
        <x:f>CHOOSE('假设'!$B$3,P16,P17,P18)</x:f>
        <x:v>2.6</x:v>
      </x:c>
      <x:c r="Q15" s="11" t="n">
        <x:f>CHOOSE('假设'!$B$3,Q16,Q17,Q18)</x:f>
        <x:v>0.2</x:v>
      </x:c>
      <x:c r="R15" s="11" t="n">
        <x:f>CHOOSE('假设'!$B$3,R16,R17,R18)</x:f>
        <x:v>0.97</x:v>
      </x:c>
      <x:c r="S15" s="11" t="n">
        <x:f>CHOOSE('假设'!$B$3,S16,S17,S18)</x:f>
        <x:v>0.8</x:v>
      </x:c>
      <x:c r="T15" s="11" t="n">
        <x:f>CHOOSE('假设'!$B$3,T16,T17,T18)</x:f>
        <x:v>2.76</x:v>
      </x:c>
    </x:row>
    <x:row r="16" ht="23" customHeight="1">
      <x:c r="A16" s="11" t="str">
        <x:v>09888.HK</x:v>
      </x:c>
      <x:c r="B16" s="11" t="str">
        <x:v>一年</x:v>
      </x:c>
      <x:c r="C16" s="11" t="str">
        <x:v>悲观</x:v>
      </x:c>
      <x:c r="D16" s="16" t="n">
        <x:v>35</x:v>
      </x:c>
      <x:c r="E16" s="16" t="n">
        <x:v>0.1</x:v>
      </x:c>
      <x:c r="F16" s="16" t="n">
        <x:v>10</x:v>
      </x:c>
      <x:c r="G16" s="16" t="n">
        <x:v>0.29</x:v>
      </x:c>
      <x:c r="H16" s="16" t="n">
        <x:v>9</x:v>
      </x:c>
      <x:c r="I16" s="16" t="n">
        <x:v>0.29</x:v>
      </x:c>
      <x:c r="J16" s="16" t="n">
        <x:v>33</x:v>
      </x:c>
      <x:c r="K16" s="16" t="n">
        <x:v>0.3</x:v>
      </x:c>
      <x:c r="L16" s="16" t="n">
        <x:v>9</x:v>
      </x:c>
      <x:c r="M16" s="16" t="n">
        <x:v>-0.14</x:v>
      </x:c>
      <x:c r="N16" s="16" t="n">
        <x:v>11.5</x:v>
      </x:c>
      <x:c r="O16" s="16" t="n">
        <x:v>-1</x:v>
      </x:c>
      <x:c r="P16" s="16" t="n">
        <x:v>1.5</x:v>
      </x:c>
      <x:c r="Q16" s="16" t="n">
        <x:v>0.2</x:v>
      </x:c>
      <x:c r="R16" s="16" t="n">
        <x:v>0.95</x:v>
      </x:c>
      <x:c r="S16" s="16" t="n">
        <x:v>1.2</x:v>
      </x:c>
      <x:c r="T16" s="16" t="n">
        <x:v>3.03</x:v>
      </x:c>
    </x:row>
    <x:row r="17" ht="23" customHeight="1">
      <x:c r="A17" s="11" t="str">
        <x:v>09888.HK</x:v>
      </x:c>
      <x:c r="B17" s="11" t="str">
        <x:v>一年</x:v>
      </x:c>
      <x:c r="C17" s="11" t="str">
        <x:v>基准</x:v>
      </x:c>
      <x:c r="D17" s="16" t="n">
        <x:v>49</x:v>
      </x:c>
      <x:c r="E17" s="16" t="n">
        <x:v>0.18</x:v>
      </x:c>
      <x:c r="F17" s="16" t="n">
        <x:v>14</x:v>
      </x:c>
      <x:c r="G17" s="16" t="n">
        <x:v>0.38</x:v>
      </x:c>
      <x:c r="H17" s="16" t="n">
        <x:v>14</x:v>
      </x:c>
      <x:c r="I17" s="16" t="n">
        <x:v>0.37</x:v>
      </x:c>
      <x:c r="J17" s="16" t="n">
        <x:v>40</x:v>
      </x:c>
      <x:c r="K17" s="16" t="n">
        <x:v>0.34</x:v>
      </x:c>
      <x:c r="L17" s="16" t="n">
        <x:v>12</x:v>
      </x:c>
      <x:c r="M17" s="16" t="n">
        <x:v>-0.08</x:v>
      </x:c>
      <x:c r="N17" s="16" t="n">
        <x:v>15</x:v>
      </x:c>
      <x:c r="O17" s="16" t="n">
        <x:v>-0.1</x:v>
      </x:c>
      <x:c r="P17" s="16" t="n">
        <x:v>2.6</x:v>
      </x:c>
      <x:c r="Q17" s="16" t="n">
        <x:v>0.2</x:v>
      </x:c>
      <x:c r="R17" s="16" t="n">
        <x:v>0.97</x:v>
      </x:c>
      <x:c r="S17" s="16" t="n">
        <x:v>0.8</x:v>
      </x:c>
      <x:c r="T17" s="16" t="n">
        <x:v>2.76</x:v>
      </x:c>
    </x:row>
    <x:row r="18" ht="23" customHeight="1">
      <x:c r="A18" s="11" t="str">
        <x:v>09888.HK</x:v>
      </x:c>
      <x:c r="B18" s="11" t="str">
        <x:v>一年</x:v>
      </x:c>
      <x:c r="C18" s="11" t="str">
        <x:v>乐观</x:v>
      </x:c>
      <x:c r="D18" s="16" t="n">
        <x:v>65</x:v>
      </x:c>
      <x:c r="E18" s="16" t="n">
        <x:v>0.24</x:v>
      </x:c>
      <x:c r="F18" s="16" t="n">
        <x:v>18</x:v>
      </x:c>
      <x:c r="G18" s="16" t="n">
        <x:v>0.43</x:v>
      </x:c>
      <x:c r="H18" s="16" t="n">
        <x:v>19</x:v>
      </x:c>
      <x:c r="I18" s="16" t="n">
        <x:v>0.43</x:v>
      </x:c>
      <x:c r="J18" s="16" t="n">
        <x:v>46</x:v>
      </x:c>
      <x:c r="K18" s="16" t="n">
        <x:v>0.38</x:v>
      </x:c>
      <x:c r="L18" s="16" t="n">
        <x:v>14</x:v>
      </x:c>
      <x:c r="M18" s="16" t="n">
        <x:v>-0.03</x:v>
      </x:c>
      <x:c r="N18" s="16" t="n">
        <x:v>18</x:v>
      </x:c>
      <x:c r="O18" s="16" t="n">
        <x:v>0.8</x:v>
      </x:c>
      <x:c r="P18" s="16" t="n">
        <x:v>3.5</x:v>
      </x:c>
      <x:c r="Q18" s="16" t="n">
        <x:v>0.2</x:v>
      </x:c>
      <x:c r="R18" s="16" t="n">
        <x:v>0.98</x:v>
      </x:c>
      <x:c r="S18" s="16" t="n">
        <x:v>0.5</x:v>
      </x:c>
      <x:c r="T18" s="16" t="n">
        <x:v>2.66</x:v>
      </x:c>
    </x:row>
    <x:row r="19" ht="23" customHeight="1">
      <x:c r="A19" s="11" t="str">
        <x:v>09888.HK</x:v>
      </x:c>
      <x:c r="B19" s="11" t="str">
        <x:v>三年</x:v>
      </x:c>
      <x:c r="C19" s="11" t="str">
        <x:v>活动输入</x:v>
      </x:c>
      <x:c r="D19" s="11" t="n">
        <x:f>CHOOSE('假设'!$B$3,D20,D21,D22)</x:f>
        <x:v>85</x:v>
      </x:c>
      <x:c r="E19" s="11" t="n">
        <x:f>CHOOSE('假设'!$B$3,E20,E21,E22)</x:f>
        <x:v>0.18</x:v>
      </x:c>
      <x:c r="F19" s="11" t="n">
        <x:f>CHOOSE('假设'!$B$3,F20,F21,F22)</x:f>
        <x:v>24</x:v>
      </x:c>
      <x:c r="G19" s="11" t="n">
        <x:f>CHOOSE('假设'!$B$3,G20,G21,G22)</x:f>
        <x:v>0.38</x:v>
      </x:c>
      <x:c r="H19" s="11" t="n">
        <x:f>CHOOSE('假设'!$B$3,H20,H21,H22)</x:f>
        <x:v>25</x:v>
      </x:c>
      <x:c r="I19" s="11" t="n">
        <x:f>CHOOSE('假设'!$B$3,I20,I21,I22)</x:f>
        <x:v>0.37</x:v>
      </x:c>
      <x:c r="J19" s="11" t="n">
        <x:f>CHOOSE('假设'!$B$3,J20,J21,J22)</x:f>
        <x:v>37</x:v>
      </x:c>
      <x:c r="K19" s="11" t="n">
        <x:f>CHOOSE('假设'!$B$3,K20,K21,K22)</x:f>
        <x:v>0.34</x:v>
      </x:c>
      <x:c r="L19" s="11" t="n">
        <x:f>CHOOSE('假设'!$B$3,L20,L21,L22)</x:f>
        <x:v>17</x:v>
      </x:c>
      <x:c r="M19" s="11" t="n">
        <x:f>CHOOSE('假设'!$B$3,M20,M21,M22)</x:f>
        <x:v>-0.08</x:v>
      </x:c>
      <x:c r="N19" s="11" t="n">
        <x:f>CHOOSE('假设'!$B$3,N20,N21,N22)</x:f>
        <x:v>23</x:v>
      </x:c>
      <x:c r="O19" s="11" t="n">
        <x:f>CHOOSE('假设'!$B$3,O20,O21,O22)</x:f>
        <x:v>0.5</x:v>
      </x:c>
      <x:c r="P19" s="11" t="n">
        <x:f>CHOOSE('假设'!$B$3,P20,P21,P22)</x:f>
        <x:v>2.5</x:v>
      </x:c>
      <x:c r="Q19" s="11" t="n">
        <x:f>CHOOSE('假设'!$B$3,Q20,Q21,Q22)</x:f>
        <x:v>0.2</x:v>
      </x:c>
      <x:c r="R19" s="11" t="n">
        <x:f>CHOOSE('假设'!$B$3,R20,R21,R22)</x:f>
        <x:v>0.97</x:v>
      </x:c>
      <x:c r="S19" s="11" t="n">
        <x:f>CHOOSE('假设'!$B$3,S20,S21,S22)</x:f>
        <x:v>0.9</x:v>
      </x:c>
      <x:c r="T19" s="11" t="n">
        <x:f>CHOOSE('假设'!$B$3,T20,T21,T22)</x:f>
        <x:v>2.7</x:v>
      </x:c>
    </x:row>
    <x:row r="20" ht="23" customHeight="1">
      <x:c r="A20" s="11" t="str">
        <x:v>09888.HK</x:v>
      </x:c>
      <x:c r="B20" s="11" t="str">
        <x:v>三年</x:v>
      </x:c>
      <x:c r="C20" s="11" t="str">
        <x:v>悲观</x:v>
      </x:c>
      <x:c r="D20" s="16" t="n">
        <x:v>43</x:v>
      </x:c>
      <x:c r="E20" s="16" t="n">
        <x:v>0.1</x:v>
      </x:c>
      <x:c r="F20" s="16" t="n">
        <x:v>11</x:v>
      </x:c>
      <x:c r="G20" s="16" t="n">
        <x:v>0.29</x:v>
      </x:c>
      <x:c r="H20" s="16" t="n">
        <x:v>10</x:v>
      </x:c>
      <x:c r="I20" s="16" t="n">
        <x:v>0.29</x:v>
      </x:c>
      <x:c r="J20" s="16" t="n">
        <x:v>25</x:v>
      </x:c>
      <x:c r="K20" s="16" t="n">
        <x:v>0.3</x:v>
      </x:c>
      <x:c r="L20" s="16" t="n">
        <x:v>9</x:v>
      </x:c>
      <x:c r="M20" s="16" t="n">
        <x:v>-0.14</x:v>
      </x:c>
      <x:c r="N20" s="16" t="n">
        <x:v>13</x:v>
      </x:c>
      <x:c r="O20" s="16" t="n">
        <x:v>-1.2</x:v>
      </x:c>
      <x:c r="P20" s="16" t="n">
        <x:v>1</x:v>
      </x:c>
      <x:c r="Q20" s="16" t="n">
        <x:v>0.2</x:v>
      </x:c>
      <x:c r="R20" s="16" t="n">
        <x:v>0.94</x:v>
      </x:c>
      <x:c r="S20" s="16" t="n">
        <x:v>1.3</x:v>
      </x:c>
      <x:c r="T20" s="16" t="n">
        <x:v>3.3</x:v>
      </x:c>
    </x:row>
    <x:row r="21" ht="23" customHeight="1">
      <x:c r="A21" s="11" t="str">
        <x:v>09888.HK</x:v>
      </x:c>
      <x:c r="B21" s="11" t="str">
        <x:v>三年</x:v>
      </x:c>
      <x:c r="C21" s="11" t="str">
        <x:v>基准</x:v>
      </x:c>
      <x:c r="D21" s="16" t="n">
        <x:v>85</x:v>
      </x:c>
      <x:c r="E21" s="16" t="n">
        <x:v>0.18</x:v>
      </x:c>
      <x:c r="F21" s="16" t="n">
        <x:v>24</x:v>
      </x:c>
      <x:c r="G21" s="16" t="n">
        <x:v>0.38</x:v>
      </x:c>
      <x:c r="H21" s="16" t="n">
        <x:v>25</x:v>
      </x:c>
      <x:c r="I21" s="16" t="n">
        <x:v>0.37</x:v>
      </x:c>
      <x:c r="J21" s="16" t="n">
        <x:v>37</x:v>
      </x:c>
      <x:c r="K21" s="16" t="n">
        <x:v>0.34</x:v>
      </x:c>
      <x:c r="L21" s="16" t="n">
        <x:v>17</x:v>
      </x:c>
      <x:c r="M21" s="16" t="n">
        <x:v>-0.08</x:v>
      </x:c>
      <x:c r="N21" s="16" t="n">
        <x:v>23</x:v>
      </x:c>
      <x:c r="O21" s="16" t="n">
        <x:v>0.5</x:v>
      </x:c>
      <x:c r="P21" s="16" t="n">
        <x:v>2.5</x:v>
      </x:c>
      <x:c r="Q21" s="16" t="n">
        <x:v>0.2</x:v>
      </x:c>
      <x:c r="R21" s="16" t="n">
        <x:v>0.97</x:v>
      </x:c>
      <x:c r="S21" s="16" t="n">
        <x:v>0.9</x:v>
      </x:c>
      <x:c r="T21" s="16" t="n">
        <x:v>2.7</x:v>
      </x:c>
    </x:row>
    <x:row r="22" ht="23" customHeight="1">
      <x:c r="A22" s="11" t="str">
        <x:v>09888.HK</x:v>
      </x:c>
      <x:c r="B22" s="11" t="str">
        <x:v>三年</x:v>
      </x:c>
      <x:c r="C22" s="11" t="str">
        <x:v>乐观</x:v>
      </x:c>
      <x:c r="D22" s="16" t="n">
        <x:v>130</x:v>
      </x:c>
      <x:c r="E22" s="16" t="n">
        <x:v>0.24</x:v>
      </x:c>
      <x:c r="F22" s="16" t="n">
        <x:v>40</x:v>
      </x:c>
      <x:c r="G22" s="16" t="n">
        <x:v>0.43</x:v>
      </x:c>
      <x:c r="H22" s="16" t="n">
        <x:v>42</x:v>
      </x:c>
      <x:c r="I22" s="16" t="n">
        <x:v>0.43</x:v>
      </x:c>
      <x:c r="J22" s="16" t="n">
        <x:v>47</x:v>
      </x:c>
      <x:c r="K22" s="16" t="n">
        <x:v>0.38</x:v>
      </x:c>
      <x:c r="L22" s="16" t="n">
        <x:v>25</x:v>
      </x:c>
      <x:c r="M22" s="16" t="n">
        <x:v>-0.03</x:v>
      </x:c>
      <x:c r="N22" s="16" t="n">
        <x:v>31</x:v>
      </x:c>
      <x:c r="O22" s="16" t="n">
        <x:v>1.5</x:v>
      </x:c>
      <x:c r="P22" s="16" t="n">
        <x:v>3.5</x:v>
      </x:c>
      <x:c r="Q22" s="16" t="n">
        <x:v>0.2</x:v>
      </x:c>
      <x:c r="R22" s="16" t="n">
        <x:v>0.98</x:v>
      </x:c>
      <x:c r="S22" s="16" t="n">
        <x:v>0.6</x:v>
      </x:c>
      <x:c r="T22" s="16" t="n">
        <x:v>2.5</x:v>
      </x:c>
    </x:row>
    <x:row r="23" ht="23" customHeight="1">
      <x:c r="A23" s="11" t="str">
        <x:v>09888.HK</x:v>
      </x:c>
      <x:c r="B23" s="11" t="str">
        <x:v>五年</x:v>
      </x:c>
      <x:c r="C23" s="11" t="str">
        <x:v>活动输入</x:v>
      </x:c>
      <x:c r="D23" s="11" t="n">
        <x:f>CHOOSE('假设'!$B$3,D24,D25,D26)</x:f>
        <x:v>120</x:v>
      </x:c>
      <x:c r="E23" s="11" t="n">
        <x:f>CHOOSE('假设'!$B$3,E24,E25,E26)</x:f>
        <x:v>0.18</x:v>
      </x:c>
      <x:c r="F23" s="11" t="n">
        <x:f>CHOOSE('假设'!$B$3,F24,F25,F26)</x:f>
        <x:v>37</x:v>
      </x:c>
      <x:c r="G23" s="11" t="n">
        <x:f>CHOOSE('假设'!$B$3,G24,G25,G26)</x:f>
        <x:v>0.38</x:v>
      </x:c>
      <x:c r="H23" s="11" t="n">
        <x:f>CHOOSE('假设'!$B$3,H24,H25,H26)</x:f>
        <x:v>37</x:v>
      </x:c>
      <x:c r="I23" s="11" t="n">
        <x:f>CHOOSE('假设'!$B$3,I24,I25,I26)</x:f>
        <x:v>0.37</x:v>
      </x:c>
      <x:c r="J23" s="11" t="n">
        <x:f>CHOOSE('假设'!$B$3,J24,J25,J26)</x:f>
        <x:v>34</x:v>
      </x:c>
      <x:c r="K23" s="11" t="n">
        <x:f>CHOOSE('假设'!$B$3,K24,K25,K26)</x:f>
        <x:v>0.34</x:v>
      </x:c>
      <x:c r="L23" s="11" t="n">
        <x:f>CHOOSE('假设'!$B$3,L24,L25,L26)</x:f>
        <x:v>22</x:v>
      </x:c>
      <x:c r="M23" s="11" t="n">
        <x:f>CHOOSE('假设'!$B$3,M24,M25,M26)</x:f>
        <x:v>-0.08</x:v>
      </x:c>
      <x:c r="N23" s="11" t="n">
        <x:f>CHOOSE('假设'!$B$3,N24,N25,N26)</x:f>
        <x:v>32</x:v>
      </x:c>
      <x:c r="O23" s="11" t="n">
        <x:f>CHOOSE('假设'!$B$3,O24,O25,O26)</x:f>
        <x:v>0.8</x:v>
      </x:c>
      <x:c r="P23" s="11" t="n">
        <x:f>CHOOSE('假设'!$B$3,P24,P25,P26)</x:f>
        <x:v>2.5</x:v>
      </x:c>
      <x:c r="Q23" s="11" t="n">
        <x:f>CHOOSE('假设'!$B$3,Q24,Q25,Q26)</x:f>
        <x:v>0.2</x:v>
      </x:c>
      <x:c r="R23" s="11" t="n">
        <x:f>CHOOSE('假设'!$B$3,R24,R25,R26)</x:f>
        <x:v>0.97</x:v>
      </x:c>
      <x:c r="S23" s="11" t="n">
        <x:f>CHOOSE('假设'!$B$3,S24,S25,S26)</x:f>
        <x:v>1</x:v>
      </x:c>
      <x:c r="T23" s="11" t="n">
        <x:f>CHOOSE('假设'!$B$3,T24,T25,T26)</x:f>
        <x:v>2.65</x:v>
      </x:c>
    </x:row>
    <x:row r="24" ht="23" customHeight="1">
      <x:c r="A24" s="11" t="str">
        <x:v>09888.HK</x:v>
      </x:c>
      <x:c r="B24" s="11" t="str">
        <x:v>五年</x:v>
      </x:c>
      <x:c r="C24" s="11" t="str">
        <x:v>悲观</x:v>
      </x:c>
      <x:c r="D24" s="16" t="n">
        <x:v>50</x:v>
      </x:c>
      <x:c r="E24" s="16" t="n">
        <x:v>0.1</x:v>
      </x:c>
      <x:c r="F24" s="16" t="n">
        <x:v>12</x:v>
      </x:c>
      <x:c r="G24" s="16" t="n">
        <x:v>0.29</x:v>
      </x:c>
      <x:c r="H24" s="16" t="n">
        <x:v>11</x:v>
      </x:c>
      <x:c r="I24" s="16" t="n">
        <x:v>0.29</x:v>
      </x:c>
      <x:c r="J24" s="16" t="n">
        <x:v>19</x:v>
      </x:c>
      <x:c r="K24" s="16" t="n">
        <x:v>0.3</x:v>
      </x:c>
      <x:c r="L24" s="16" t="n">
        <x:v>9</x:v>
      </x:c>
      <x:c r="M24" s="16" t="n">
        <x:v>-0.14</x:v>
      </x:c>
      <x:c r="N24" s="16" t="n">
        <x:v>12</x:v>
      </x:c>
      <x:c r="O24" s="16" t="n">
        <x:v>-1.4</x:v>
      </x:c>
      <x:c r="P24" s="16" t="n">
        <x:v>0.8</x:v>
      </x:c>
      <x:c r="Q24" s="16" t="n">
        <x:v>0.2</x:v>
      </x:c>
      <x:c r="R24" s="16" t="n">
        <x:v>0.94</x:v>
      </x:c>
      <x:c r="S24" s="16" t="n">
        <x:v>1.5</x:v>
      </x:c>
      <x:c r="T24" s="16" t="n">
        <x:v>3.55</x:v>
      </x:c>
    </x:row>
    <x:row r="25" ht="23" customHeight="1">
      <x:c r="A25" s="11" t="str">
        <x:v>09888.HK</x:v>
      </x:c>
      <x:c r="B25" s="11" t="str">
        <x:v>五年</x:v>
      </x:c>
      <x:c r="C25" s="11" t="str">
        <x:v>基准</x:v>
      </x:c>
      <x:c r="D25" s="16" t="n">
        <x:v>120</x:v>
      </x:c>
      <x:c r="E25" s="16" t="n">
        <x:v>0.18</x:v>
      </x:c>
      <x:c r="F25" s="16" t="n">
        <x:v>37</x:v>
      </x:c>
      <x:c r="G25" s="16" t="n">
        <x:v>0.38</x:v>
      </x:c>
      <x:c r="H25" s="16" t="n">
        <x:v>37</x:v>
      </x:c>
      <x:c r="I25" s="16" t="n">
        <x:v>0.37</x:v>
      </x:c>
      <x:c r="J25" s="16" t="n">
        <x:v>34</x:v>
      </x:c>
      <x:c r="K25" s="16" t="n">
        <x:v>0.34</x:v>
      </x:c>
      <x:c r="L25" s="16" t="n">
        <x:v>22</x:v>
      </x:c>
      <x:c r="M25" s="16" t="n">
        <x:v>-0.08</x:v>
      </x:c>
      <x:c r="N25" s="16" t="n">
        <x:v>32</x:v>
      </x:c>
      <x:c r="O25" s="16" t="n">
        <x:v>0.8</x:v>
      </x:c>
      <x:c r="P25" s="16" t="n">
        <x:v>2.5</x:v>
      </x:c>
      <x:c r="Q25" s="16" t="n">
        <x:v>0.2</x:v>
      </x:c>
      <x:c r="R25" s="16" t="n">
        <x:v>0.97</x:v>
      </x:c>
      <x:c r="S25" s="16" t="n">
        <x:v>1</x:v>
      </x:c>
      <x:c r="T25" s="16" t="n">
        <x:v>2.65</x:v>
      </x:c>
    </x:row>
    <x:row r="26" ht="23" customHeight="1">
      <x:c r="A26" s="11" t="str">
        <x:v>09888.HK</x:v>
      </x:c>
      <x:c r="B26" s="11" t="str">
        <x:v>五年</x:v>
      </x:c>
      <x:c r="C26" s="11" t="str">
        <x:v>乐观</x:v>
      </x:c>
      <x:c r="D26" s="16" t="n">
        <x:v>210</x:v>
      </x:c>
      <x:c r="E26" s="16" t="n">
        <x:v>0.24</x:v>
      </x:c>
      <x:c r="F26" s="16" t="n">
        <x:v>70</x:v>
      </x:c>
      <x:c r="G26" s="16" t="n">
        <x:v>0.43</x:v>
      </x:c>
      <x:c r="H26" s="16" t="n">
        <x:v>70</x:v>
      </x:c>
      <x:c r="I26" s="16" t="n">
        <x:v>0.43</x:v>
      </x:c>
      <x:c r="J26" s="16" t="n">
        <x:v>48</x:v>
      </x:c>
      <x:c r="K26" s="16" t="n">
        <x:v>0.38</x:v>
      </x:c>
      <x:c r="L26" s="16" t="n">
        <x:v>40</x:v>
      </x:c>
      <x:c r="M26" s="16" t="n">
        <x:v>-0.03</x:v>
      </x:c>
      <x:c r="N26" s="16" t="n">
        <x:v>48</x:v>
      </x:c>
      <x:c r="O26" s="16" t="n">
        <x:v>2</x:v>
      </x:c>
      <x:c r="P26" s="16" t="n">
        <x:v>4</x:v>
      </x:c>
      <x:c r="Q26" s="16" t="n">
        <x:v>0.2</x:v>
      </x:c>
      <x:c r="R26" s="16" t="n">
        <x:v>0.98</x:v>
      </x:c>
      <x:c r="S26" s="16" t="n">
        <x:v>0.7</x:v>
      </x:c>
      <x:c r="T26" s="16" t="n">
        <x:v>2.35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4" t="str">
        <x:v>核心盈利与可灵归属 → 税后分子 → EPS → 目标港元价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52" customHeight="1">
      <x:c r="A6" s="12" t="str">
        <x:v>代码</x:v>
      </x:c>
      <x:c r="B6" s="12" t="str">
        <x:v>期限</x:v>
      </x:c>
      <x:c r="C6" s="12" t="str">
        <x:v>核心业务贡献</x:v>
      </x:c>
      <x:c r="D6" s="12" t="str">
        <x:v>核心共享成本</x:v>
      </x:c>
      <x:c r="E6" s="12" t="str">
        <x:v>核心EBIT</x:v>
      </x:c>
      <x:c r="F6" s="12" t="str">
        <x:v>可灵直接贡献</x:v>
      </x:c>
      <x:c r="G6" s="12" t="str">
        <x:v>可灵固定研发</x:v>
      </x:c>
      <x:c r="H6" s="12" t="str">
        <x:v>可灵EBIT</x:v>
      </x:c>
      <x:c r="I6" s="12" t="str">
        <x:v>可灵归属率</x:v>
      </x:c>
      <x:c r="J6" s="12" t="str">
        <x:v>可灵归属贡献</x:v>
      </x:c>
      <x:c r="K6" s="12" t="str">
        <x:v>常态财资联营</x:v>
      </x:c>
      <x:c r="L6" s="12" t="str">
        <x:v>税前归属盈利</x:v>
      </x:c>
      <x:c r="M6" s="12" t="str">
        <x:v>税率</x:v>
      </x:c>
      <x:c r="N6" s="12" t="str">
        <x:v>税后分子储备</x:v>
      </x:c>
      <x:c r="O6" s="12" t="str">
        <x:v>EPS分子</x:v>
      </x:c>
      <x:c r="P6" s="12" t="str">
        <x:v>普通股十亿</x:v>
      </x:c>
      <x:c r="Q6" s="12" t="str">
        <x:v>EPS CNY</x:v>
      </x:c>
      <x:c r="R6" s="12" t="str">
        <x:v>PE倍</x:v>
      </x:c>
      <x:c r="S6" s="12" t="str">
        <x:v>HKD/CNY</x:v>
      </x:c>
      <x:c r="T6" s="12" t="str">
        <x:v>目标HKD</x:v>
      </x:c>
    </x:row>
    <x:row r="7" ht="23" customHeight="1">
      <x:c r="A7" s="11" t="str">
        <x:v>01024.HK</x:v>
      </x:c>
      <x:c r="B7" s="11" t="str">
        <x:v>2026年底</x:v>
      </x:c>
      <x:c r="C7" s="11" t="n">
        <x:f>'内容经营假设'!D7*'内容经营假设'!E7+'内容经营假设'!F7*'内容经营假设'!G7+'内容经营假设'!H7*'内容经营假设'!I7</x:f>
        <x:v>39.39</x:v>
      </x:c>
      <x:c r="D7" s="11" t="n">
        <x:f>'内容经营假设'!J7</x:f>
        <x:v>23</x:v>
      </x:c>
      <x:c r="E7" s="11" t="n">
        <x:f>C7-D7</x:f>
        <x:v>16.39</x:v>
      </x:c>
      <x:c r="F7" s="11" t="n">
        <x:f>'内容经营假设'!K7*'内容经营假设'!L7</x:f>
        <x:v>1.748</x:v>
      </x:c>
      <x:c r="G7" s="11" t="n">
        <x:f>'内容经营假设'!M7</x:f>
        <x:v>8</x:v>
      </x:c>
      <x:c r="H7" s="11" t="n">
        <x:f>F7-G7</x:f>
        <x:v>-6.252</x:v>
      </x:c>
      <x:c r="I7" s="11" t="n">
        <x:f>'内容经营假设'!N7</x:f>
        <x:v>0.6833</x:v>
      </x:c>
      <x:c r="J7" s="11" t="n">
        <x:f>H7*I7</x:f>
        <x:v>-4.2719916</x:v>
      </x:c>
      <x:c r="K7" s="11" t="n">
        <x:f>'内容经营假设'!O7</x:f>
        <x:v>0.8</x:v>
      </x:c>
      <x:c r="L7" s="11" t="n">
        <x:f>E7+J7+K7</x:f>
        <x:v>12.918008400000002</x:v>
      </x:c>
      <x:c r="M7" s="11" t="n">
        <x:f>'内容经营假设'!P7</x:f>
        <x:v>0.2</x:v>
      </x:c>
      <x:c r="N7" s="11" t="n">
        <x:f>'内容经营假设'!Q7</x:f>
        <x:v>0.2</x:v>
      </x:c>
      <x:c r="O7" s="11" t="n">
        <x:f>L7*(1-M7)-N7</x:f>
        <x:v>10.134406720000003</x:v>
      </x:c>
      <x:c r="P7" s="11" t="n">
        <x:f>'内容经营假设'!R7</x:f>
        <x:v>4.4</x:v>
      </x:c>
      <x:c r="Q7" s="11" t="n">
        <x:f>ROUND(O7/P7,3)</x:f>
        <x:v>2.303</x:v>
      </x:c>
      <x:c r="R7" s="11" t="n">
        <x:f>'假设'!F567</x:f>
        <x:v>17</x:v>
      </x:c>
      <x:c r="S7" s="11" t="n">
        <x:f>'假设'!G567</x:f>
        <x:v>1.1</x:v>
      </x:c>
      <x:c r="T7" s="11" t="n">
        <x:f>ROUND(Q7*R7*S7,2)</x:f>
        <x:v>43.07</x:v>
      </x:c>
    </x:row>
    <x:row r="8" ht="23" customHeight="1">
      <x:c r="A8" s="11" t="str">
        <x:v>01024.HK</x:v>
      </x:c>
      <x:c r="B8" s="11" t="str">
        <x:v>半年</x:v>
      </x:c>
      <x:c r="C8" s="11" t="n">
        <x:f>'内容经营假设'!D11*'内容经营假设'!E11+'内容经营假设'!F11*'内容经营假设'!G11+'内容经营假设'!H11*'内容经营假设'!I11</x:f>
        <x:v>40.95</x:v>
      </x:c>
      <x:c r="D8" s="11" t="n">
        <x:f>'内容经营假设'!J11</x:f>
        <x:v>24</x:v>
      </x:c>
      <x:c r="E8" s="11" t="n">
        <x:f>C8-D8</x:f>
        <x:v>16.950000000000003</x:v>
      </x:c>
      <x:c r="F8" s="11" t="n">
        <x:f>'内容经营假设'!K11*'内容经营假设'!L11</x:f>
        <x:v>2.4</x:v>
      </x:c>
      <x:c r="G8" s="11" t="n">
        <x:f>'内容经营假设'!M11</x:f>
        <x:v>8.5</x:v>
      </x:c>
      <x:c r="H8" s="11" t="n">
        <x:f>F8-G8</x:f>
        <x:v>-6.1</x:v>
      </x:c>
      <x:c r="I8" s="11" t="n">
        <x:f>'内容经营假设'!N11</x:f>
        <x:v>0.6833</x:v>
      </x:c>
      <x:c r="J8" s="11" t="n">
        <x:f>H8*I8</x:f>
        <x:v>-4.16813</x:v>
      </x:c>
      <x:c r="K8" s="11" t="n">
        <x:f>'内容经营假设'!O11</x:f>
        <x:v>0.8</x:v>
      </x:c>
      <x:c r="L8" s="11" t="n">
        <x:f>E8+J8+K8</x:f>
        <x:v>13.581870000000004</x:v>
      </x:c>
      <x:c r="M8" s="11" t="n">
        <x:f>'内容经营假设'!P11</x:f>
        <x:v>0.2</x:v>
      </x:c>
      <x:c r="N8" s="11" t="n">
        <x:f>'内容经营假设'!Q11</x:f>
        <x:v>0.2</x:v>
      </x:c>
      <x:c r="O8" s="11" t="n">
        <x:f>L8*(1-M8)-N8</x:f>
        <x:v>10.665496000000005</x:v>
      </x:c>
      <x:c r="P8" s="11" t="n">
        <x:f>'内容经营假设'!R11</x:f>
        <x:v>4.37</x:v>
      </x:c>
      <x:c r="Q8" s="11" t="n">
        <x:f>ROUND(O8/P8,3)</x:f>
        <x:v>2.441</x:v>
      </x:c>
      <x:c r="R8" s="11" t="n">
        <x:f>'假设'!F571</x:f>
        <x:v>18</x:v>
      </x:c>
      <x:c r="S8" s="11" t="n">
        <x:f>'假设'!G571</x:f>
        <x:v>1.1</x:v>
      </x:c>
      <x:c r="T8" s="11" t="n">
        <x:f>ROUND(Q8*R8*S8,2)</x:f>
        <x:v>48.33</x:v>
      </x:c>
    </x:row>
    <x:row r="9" ht="23" customHeight="1">
      <x:c r="A9" s="11" t="str">
        <x:v>01024.HK</x:v>
      </x:c>
      <x:c r="B9" s="11" t="str">
        <x:v>一年</x:v>
      </x:c>
      <x:c r="C9" s="11" t="n">
        <x:f>'内容经营假设'!D15*'内容经营假设'!E15+'内容经营假设'!F15*'内容经营假设'!G15+'内容经营假设'!H15*'内容经营假设'!I15</x:f>
        <x:v>44.480000000000004</x:v>
      </x:c>
      <x:c r="D9" s="11" t="n">
        <x:f>'内容经营假设'!J15</x:f>
        <x:v>25.5</x:v>
      </x:c>
      <x:c r="E9" s="11" t="n">
        <x:f>C9-D9</x:f>
        <x:v>18.980000000000004</x:v>
      </x:c>
      <x:c r="F9" s="11" t="n">
        <x:f>'内容经营假设'!K15*'内容经营假设'!L15</x:f>
        <x:v>3.5700000000000003</x:v>
      </x:c>
      <x:c r="G9" s="11" t="n">
        <x:f>'内容经营假设'!M15</x:f>
        <x:v>9</x:v>
      </x:c>
      <x:c r="H9" s="11" t="n">
        <x:f>F9-G9</x:f>
        <x:v>-5.43</x:v>
      </x:c>
      <x:c r="I9" s="11" t="n">
        <x:f>'内容经营假设'!N15</x:f>
        <x:v>0.68</x:v>
      </x:c>
      <x:c r="J9" s="11" t="n">
        <x:f>H9*I9</x:f>
        <x:v>-3.6924</x:v>
      </x:c>
      <x:c r="K9" s="11" t="n">
        <x:f>'内容经营假设'!O15</x:f>
        <x:v>0.8</x:v>
      </x:c>
      <x:c r="L9" s="11" t="n">
        <x:f>E9+J9+K9</x:f>
        <x:v>16.087600000000005</x:v>
      </x:c>
      <x:c r="M9" s="11" t="n">
        <x:f>'内容经营假设'!P15</x:f>
        <x:v>0.2</x:v>
      </x:c>
      <x:c r="N9" s="11" t="n">
        <x:f>'内容经营假设'!Q15</x:f>
        <x:v>0.25</x:v>
      </x:c>
      <x:c r="O9" s="11" t="n">
        <x:f>L9*(1-M9)-N9</x:f>
        <x:v>12.620080000000005</x:v>
      </x:c>
      <x:c r="P9" s="11" t="n">
        <x:f>'内容经营假设'!R15</x:f>
        <x:v>4.34</x:v>
      </x:c>
      <x:c r="Q9" s="11" t="n">
        <x:f>ROUND(O9/P9,3)</x:f>
        <x:v>2.908</x:v>
      </x:c>
      <x:c r="R9" s="11" t="n">
        <x:f>'假设'!F575</x:f>
        <x:v>19</x:v>
      </x:c>
      <x:c r="S9" s="11" t="n">
        <x:f>'假设'!G575</x:f>
        <x:v>1.1</x:v>
      </x:c>
      <x:c r="T9" s="11" t="n">
        <x:f>ROUND(Q9*R9*S9,2)</x:f>
        <x:v>60.78</x:v>
      </x:c>
    </x:row>
    <x:row r="10" ht="23" customHeight="1">
      <x:c r="A10" s="11" t="str">
        <x:v>01024.HK</x:v>
      </x:c>
      <x:c r="B10" s="11" t="str">
        <x:v>三年</x:v>
      </x:c>
      <x:c r="C10" s="11" t="n">
        <x:f>'内容经营假设'!D19*'内容经营假设'!E19+'内容经营假设'!F19*'内容经营假设'!G19+'内容经营假设'!H19*'内容经营假设'!I19</x:f>
        <x:v>55.769999999999996</x:v>
      </x:c>
      <x:c r="D10" s="11" t="n">
        <x:f>'内容经营假设'!J19</x:f>
        <x:v>31</x:v>
      </x:c>
      <x:c r="E10" s="11" t="n">
        <x:f>C10-D10</x:f>
        <x:v>24.769999999999996</x:v>
      </x:c>
      <x:c r="F10" s="11" t="n">
        <x:f>'内容经营假设'!K19*'内容经营假设'!L19</x:f>
        <x:v>9.69</x:v>
      </x:c>
      <x:c r="G10" s="11" t="n">
        <x:f>'内容经营假设'!M19</x:f>
        <x:v>12</x:v>
      </x:c>
      <x:c r="H10" s="11" t="n">
        <x:f>F10-G10</x:f>
        <x:v>-2.3100000000000005</x:v>
      </x:c>
      <x:c r="I10" s="11" t="n">
        <x:f>'内容经营假设'!N19</x:f>
        <x:v>0.62</x:v>
      </x:c>
      <x:c r="J10" s="11" t="n">
        <x:f>H10*I10</x:f>
        <x:v>-1.4322000000000004</x:v>
      </x:c>
      <x:c r="K10" s="11" t="n">
        <x:f>'内容经营假设'!O19</x:f>
        <x:v>0.8</x:v>
      </x:c>
      <x:c r="L10" s="11" t="n">
        <x:f>E10+J10+K10</x:f>
        <x:v>24.137799999999995</x:v>
      </x:c>
      <x:c r="M10" s="11" t="n">
        <x:f>'内容经营假设'!P19</x:f>
        <x:v>0.2</x:v>
      </x:c>
      <x:c r="N10" s="11" t="n">
        <x:f>'内容经营假设'!Q19</x:f>
        <x:v>0.35</x:v>
      </x:c>
      <x:c r="O10" s="11" t="n">
        <x:f>L10*(1-M10)-N10</x:f>
        <x:v>18.960239999999995</x:v>
      </x:c>
      <x:c r="P10" s="11" t="n">
        <x:f>'内容经营假设'!R19</x:f>
        <x:v>4.22</x:v>
      </x:c>
      <x:c r="Q10" s="11" t="n">
        <x:f>ROUND(O10/P10,3)</x:f>
        <x:v>4.493</x:v>
      </x:c>
      <x:c r="R10" s="11" t="n">
        <x:f>'假设'!F579</x:f>
        <x:v>21</x:v>
      </x:c>
      <x:c r="S10" s="11" t="n">
        <x:f>'假设'!G579</x:f>
        <x:v>1.1</x:v>
      </x:c>
      <x:c r="T10" s="11" t="n">
        <x:f>ROUND(Q10*R10*S10,2)</x:f>
        <x:v>103.79</x:v>
      </x:c>
    </x:row>
    <x:row r="11" ht="23" customHeight="1">
      <x:c r="A11" s="11" t="str">
        <x:v>01024.HK</x:v>
      </x:c>
      <x:c r="B11" s="11" t="str">
        <x:v>五年</x:v>
      </x:c>
      <x:c r="C11" s="11" t="n">
        <x:f>'内容经营假设'!D23*'内容经营假设'!E23+'内容经营假设'!F23*'内容经营假设'!G23+'内容经营假设'!H23*'内容经营假设'!I23</x:f>
        <x:v>66.33</x:v>
      </x:c>
      <x:c r="D11" s="11" t="n">
        <x:f>'内容经营假设'!J23</x:f>
        <x:v>36</x:v>
      </x:c>
      <x:c r="E11" s="11" t="n">
        <x:f>C11-D11</x:f>
        <x:v>30.33</x:v>
      </x:c>
      <x:c r="F11" s="11" t="n">
        <x:f>'内容经营假设'!K23*'内容经营假设'!L23</x:f>
        <x:v>19.2</x:v>
      </x:c>
      <x:c r="G11" s="11" t="n">
        <x:f>'内容经营假设'!M23</x:f>
        <x:v>16</x:v>
      </x:c>
      <x:c r="H11" s="11" t="n">
        <x:f>F11-G11</x:f>
        <x:v>3.1999999999999993</x:v>
      </x:c>
      <x:c r="I11" s="11" t="n">
        <x:f>'内容经营假设'!N23</x:f>
        <x:v>0.57</x:v>
      </x:c>
      <x:c r="J11" s="11" t="n">
        <x:f>H11*I11</x:f>
        <x:v>1.8239999999999994</x:v>
      </x:c>
      <x:c r="K11" s="11" t="n">
        <x:f>'内容经营假设'!O23</x:f>
        <x:v>0.8</x:v>
      </x:c>
      <x:c r="L11" s="11" t="n">
        <x:f>E11+J11+K11</x:f>
        <x:v>32.95399999999999</x:v>
      </x:c>
      <x:c r="M11" s="11" t="n">
        <x:f>'内容经营假设'!P23</x:f>
        <x:v>0.2</x:v>
      </x:c>
      <x:c r="N11" s="11" t="n">
        <x:f>'内容经营假设'!Q23</x:f>
        <x:v>0.45</x:v>
      </x:c>
      <x:c r="O11" s="11" t="n">
        <x:f>L11*(1-M11)-N11</x:f>
        <x:v>25.913199999999996</x:v>
      </x:c>
      <x:c r="P11" s="11" t="n">
        <x:f>'内容经营假设'!R23</x:f>
        <x:v>4.12</x:v>
      </x:c>
      <x:c r="Q11" s="11" t="n">
        <x:f>ROUND(O11/P11,3)</x:f>
        <x:v>6.29</x:v>
      </x:c>
      <x:c r="R11" s="11" t="n">
        <x:f>'假设'!F583</x:f>
        <x:v>21</x:v>
      </x:c>
      <x:c r="S11" s="11" t="n">
        <x:f>'假设'!G583</x:f>
        <x:v>1.1</x:v>
      </x:c>
      <x:c r="T11" s="11" t="n">
        <x:f>ROUND(Q11*R11*S11,2)</x:f>
        <x:v>145.3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4" t="str">
        <x:v>广告直播与电商核心盈利 + 可灵保留经济 · CNY十亿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广告收入</x:v>
      </x:c>
      <x:c r="E6" s="12" t="str">
        <x:v>广告贡献率</x:v>
      </x:c>
      <x:c r="F6" s="12" t="str">
        <x:v>直播收入</x:v>
      </x:c>
      <x:c r="G6" s="12" t="str">
        <x:v>直播贡献率</x:v>
      </x:c>
      <x:c r="H6" s="12" t="str">
        <x:v>Other剔可灵收入</x:v>
      </x:c>
      <x:c r="I6" s="12" t="str">
        <x:v>Other贡献率</x:v>
      </x:c>
      <x:c r="J6" s="12" t="str">
        <x:v>核心共享成本</x:v>
      </x:c>
      <x:c r="K6" s="12" t="str">
        <x:v>可灵收入</x:v>
      </x:c>
      <x:c r="L6" s="12" t="str">
        <x:v>可灵贡献率</x:v>
      </x:c>
      <x:c r="M6" s="12" t="str">
        <x:v>可灵固定研发</x:v>
      </x:c>
      <x:c r="N6" s="12" t="str">
        <x:v>可灵归属比例</x:v>
      </x:c>
      <x:c r="O6" s="12" t="str">
        <x:v>常态财资联营</x:v>
      </x:c>
      <x:c r="P6" s="12" t="str">
        <x:v>税率</x:v>
      </x:c>
      <x:c r="Q6" s="12" t="str">
        <x:v>税后分子储备</x:v>
      </x:c>
      <x:c r="R6" s="12" t="str">
        <x:v>普通股十亿</x:v>
      </x:c>
    </x:row>
    <x:row r="7" ht="23" customHeight="1">
      <x:c r="A7" s="11" t="str">
        <x:v>01024.HK</x:v>
      </x:c>
      <x:c r="B7" s="11" t="str">
        <x:v>2026年底</x:v>
      </x:c>
      <x:c r="C7" s="11" t="str">
        <x:v>活动输入</x:v>
      </x:c>
      <x:c r="D7" s="11" t="n">
        <x:f>CHOOSE('假设'!$B$3,D8,D9,D10)</x:f>
        <x:v>79</x:v>
      </x:c>
      <x:c r="E7" s="11" t="n">
        <x:f>CHOOSE('假设'!$B$3,E8,E9,E10)</x:f>
        <x:v>0.31</x:v>
      </x:c>
      <x:c r="F7" s="11" t="n">
        <x:f>CHOOSE('假设'!$B$3,F8,F9,F10)</x:f>
        <x:v>32</x:v>
      </x:c>
      <x:c r="G7" s="11" t="n">
        <x:f>CHOOSE('假设'!$B$3,G8,G9,G10)</x:f>
        <x:v>0.19</x:v>
      </x:c>
      <x:c r="H7" s="11" t="n">
        <x:f>CHOOSE('假设'!$B$3,H8,H9,H10)</x:f>
        <x:v>21</x:v>
      </x:c>
      <x:c r="I7" s="11" t="n">
        <x:f>CHOOSE('假设'!$B$3,I8,I9,I10)</x:f>
        <x:v>0.42</x:v>
      </x:c>
      <x:c r="J7" s="11" t="n">
        <x:f>CHOOSE('假设'!$B$3,J8,J9,J10)</x:f>
        <x:v>23</x:v>
      </x:c>
      <x:c r="K7" s="11" t="n">
        <x:f>CHOOSE('假设'!$B$3,K8,K9,K10)</x:f>
        <x:v>3.8</x:v>
      </x:c>
      <x:c r="L7" s="11" t="n">
        <x:f>CHOOSE('假设'!$B$3,L8,L9,L10)</x:f>
        <x:v>0.46</x:v>
      </x:c>
      <x:c r="M7" s="11" t="n">
        <x:f>CHOOSE('假设'!$B$3,M8,M9,M10)</x:f>
        <x:v>8</x:v>
      </x:c>
      <x:c r="N7" s="11" t="n">
        <x:f>CHOOSE('假设'!$B$3,N8,N9,N10)</x:f>
        <x:v>0.6833</x:v>
      </x:c>
      <x:c r="O7" s="11" t="n">
        <x:f>CHOOSE('假设'!$B$3,O8,O9,O10)</x:f>
        <x:v>0.8</x:v>
      </x:c>
      <x:c r="P7" s="11" t="n">
        <x:f>CHOOSE('假设'!$B$3,P8,P9,P10)</x:f>
        <x:v>0.2</x:v>
      </x:c>
      <x:c r="Q7" s="11" t="n">
        <x:f>CHOOSE('假设'!$B$3,Q8,Q9,Q10)</x:f>
        <x:v>0.2</x:v>
      </x:c>
      <x:c r="R7" s="11" t="n">
        <x:f>CHOOSE('假设'!$B$3,R8,R9,R10)</x:f>
        <x:v>4.4</x:v>
      </x:c>
    </x:row>
    <x:row r="8" ht="23" customHeight="1">
      <x:c r="A8" s="11" t="str">
        <x:v>01024.HK</x:v>
      </x:c>
      <x:c r="B8" s="11" t="str">
        <x:v>2026年底</x:v>
      </x:c>
      <x:c r="C8" s="11" t="str">
        <x:v>悲观</x:v>
      </x:c>
      <x:c r="D8" s="16" t="n">
        <x:v>75</x:v>
      </x:c>
      <x:c r="E8" s="16" t="n">
        <x:v>0.27</x:v>
      </x:c>
      <x:c r="F8" s="16" t="n">
        <x:v>30</x:v>
      </x:c>
      <x:c r="G8" s="16" t="n">
        <x:v>0.17</x:v>
      </x:c>
      <x:c r="H8" s="16" t="n">
        <x:v>19</x:v>
      </x:c>
      <x:c r="I8" s="16" t="n">
        <x:v>0.37</x:v>
      </x:c>
      <x:c r="J8" s="16" t="n">
        <x:v>20</x:v>
      </x:c>
      <x:c r="K8" s="16" t="n">
        <x:v>3.2</x:v>
      </x:c>
      <x:c r="L8" s="16" t="n">
        <x:v>0.3</x:v>
      </x:c>
      <x:c r="M8" s="16" t="n">
        <x:v>8</x:v>
      </x:c>
      <x:c r="N8" s="16" t="n">
        <x:v>0.64</x:v>
      </x:c>
      <x:c r="O8" s="16" t="n">
        <x:v>0.4</x:v>
      </x:c>
      <x:c r="P8" s="16" t="n">
        <x:v>0.2</x:v>
      </x:c>
      <x:c r="Q8" s="16" t="n">
        <x:v>0.4</x:v>
      </x:c>
      <x:c r="R8" s="16" t="n">
        <x:v>4.5</x:v>
      </x:c>
    </x:row>
    <x:row r="9" ht="23" customHeight="1">
      <x:c r="A9" s="11" t="str">
        <x:v>01024.HK</x:v>
      </x:c>
      <x:c r="B9" s="11" t="str">
        <x:v>2026年底</x:v>
      </x:c>
      <x:c r="C9" s="11" t="str">
        <x:v>基准</x:v>
      </x:c>
      <x:c r="D9" s="16" t="n">
        <x:v>79</x:v>
      </x:c>
      <x:c r="E9" s="16" t="n">
        <x:v>0.31</x:v>
      </x:c>
      <x:c r="F9" s="16" t="n">
        <x:v>32</x:v>
      </x:c>
      <x:c r="G9" s="16" t="n">
        <x:v>0.19</x:v>
      </x:c>
      <x:c r="H9" s="16" t="n">
        <x:v>21</x:v>
      </x:c>
      <x:c r="I9" s="16" t="n">
        <x:v>0.42</x:v>
      </x:c>
      <x:c r="J9" s="16" t="n">
        <x:v>23</x:v>
      </x:c>
      <x:c r="K9" s="16" t="n">
        <x:v>3.8</x:v>
      </x:c>
      <x:c r="L9" s="16" t="n">
        <x:v>0.46</x:v>
      </x:c>
      <x:c r="M9" s="16" t="n">
        <x:v>8</x:v>
      </x:c>
      <x:c r="N9" s="16" t="n">
        <x:v>0.6833</x:v>
      </x:c>
      <x:c r="O9" s="16" t="n">
        <x:v>0.8</x:v>
      </x:c>
      <x:c r="P9" s="16" t="n">
        <x:v>0.2</x:v>
      </x:c>
      <x:c r="Q9" s="16" t="n">
        <x:v>0.2</x:v>
      </x:c>
      <x:c r="R9" s="16" t="n">
        <x:v>4.4</x:v>
      </x:c>
    </x:row>
    <x:row r="10" ht="23" customHeight="1">
      <x:c r="A10" s="11" t="str">
        <x:v>01024.HK</x:v>
      </x:c>
      <x:c r="B10" s="11" t="str">
        <x:v>2026年底</x:v>
      </x:c>
      <x:c r="C10" s="11" t="str">
        <x:v>乐观</x:v>
      </x:c>
      <x:c r="D10" s="16" t="n">
        <x:v>83</x:v>
      </x:c>
      <x:c r="E10" s="16" t="n">
        <x:v>0.34</x:v>
      </x:c>
      <x:c r="F10" s="16" t="n">
        <x:v>34</x:v>
      </x:c>
      <x:c r="G10" s="16" t="n">
        <x:v>0.21</x:v>
      </x:c>
      <x:c r="H10" s="16" t="n">
        <x:v>23</x:v>
      </x:c>
      <x:c r="I10" s="16" t="n">
        <x:v>0.46</x:v>
      </x:c>
      <x:c r="J10" s="16" t="n">
        <x:v>25</x:v>
      </x:c>
      <x:c r="K10" s="16" t="n">
        <x:v>4.8</x:v>
      </x:c>
      <x:c r="L10" s="16" t="n">
        <x:v>0.58</x:v>
      </x:c>
      <x:c r="M10" s="16" t="n">
        <x:v>7.5</x:v>
      </x:c>
      <x:c r="N10" s="16" t="n">
        <x:v>0.72</x:v>
      </x:c>
      <x:c r="O10" s="16" t="n">
        <x:v>1.2</x:v>
      </x:c>
      <x:c r="P10" s="16" t="n">
        <x:v>0.2</x:v>
      </x:c>
      <x:c r="Q10" s="16" t="n">
        <x:v>0.1</x:v>
      </x:c>
      <x:c r="R10" s="16" t="n">
        <x:v>4.3</x:v>
      </x:c>
    </x:row>
    <x:row r="11" ht="23" customHeight="1">
      <x:c r="A11" s="11" t="str">
        <x:v>01024.HK</x:v>
      </x:c>
      <x:c r="B11" s="11" t="str">
        <x:v>半年</x:v>
      </x:c>
      <x:c r="C11" s="11" t="str">
        <x:v>活动输入</x:v>
      </x:c>
      <x:c r="D11" s="11" t="n">
        <x:f>CHOOSE('假设'!$B$3,D12,D13,D14)</x:f>
        <x:v>80</x:v>
      </x:c>
      <x:c r="E11" s="11" t="n">
        <x:f>CHOOSE('假设'!$B$3,E12,E13,E14)</x:f>
        <x:v>0.32</x:v>
      </x:c>
      <x:c r="F11" s="11" t="n">
        <x:f>CHOOSE('假设'!$B$3,F12,F13,F14)</x:f>
        <x:v>31</x:v>
      </x:c>
      <x:c r="G11" s="11" t="n">
        <x:f>CHOOSE('假设'!$B$3,G12,G13,G14)</x:f>
        <x:v>0.19</x:v>
      </x:c>
      <x:c r="H11" s="11" t="n">
        <x:f>CHOOSE('假设'!$B$3,H12,H13,H14)</x:f>
        <x:v>22</x:v>
      </x:c>
      <x:c r="I11" s="11" t="n">
        <x:f>CHOOSE('假设'!$B$3,I12,I13,I14)</x:f>
        <x:v>0.43</x:v>
      </x:c>
      <x:c r="J11" s="11" t="n">
        <x:f>CHOOSE('假设'!$B$3,J12,J13,J14)</x:f>
        <x:v>24</x:v>
      </x:c>
      <x:c r="K11" s="11" t="n">
        <x:f>CHOOSE('假设'!$B$3,K12,K13,K14)</x:f>
        <x:v>5</x:v>
      </x:c>
      <x:c r="L11" s="11" t="n">
        <x:f>CHOOSE('假设'!$B$3,L12,L13,L14)</x:f>
        <x:v>0.48</x:v>
      </x:c>
      <x:c r="M11" s="11" t="n">
        <x:f>CHOOSE('假设'!$B$3,M12,M13,M14)</x:f>
        <x:v>8.5</x:v>
      </x:c>
      <x:c r="N11" s="11" t="n">
        <x:f>CHOOSE('假设'!$B$3,N12,N13,N14)</x:f>
        <x:v>0.6833</x:v>
      </x:c>
      <x:c r="O11" s="11" t="n">
        <x:f>CHOOSE('假设'!$B$3,O12,O13,O14)</x:f>
        <x:v>0.8</x:v>
      </x:c>
      <x:c r="P11" s="11" t="n">
        <x:f>CHOOSE('假设'!$B$3,P12,P13,P14)</x:f>
        <x:v>0.2</x:v>
      </x:c>
      <x:c r="Q11" s="11" t="n">
        <x:f>CHOOSE('假设'!$B$3,Q12,Q13,Q14)</x:f>
        <x:v>0.2</x:v>
      </x:c>
      <x:c r="R11" s="11" t="n">
        <x:f>CHOOSE('假设'!$B$3,R12,R13,R14)</x:f>
        <x:v>4.37</x:v>
      </x:c>
    </x:row>
    <x:row r="12" ht="23" customHeight="1">
      <x:c r="A12" s="11" t="str">
        <x:v>01024.HK</x:v>
      </x:c>
      <x:c r="B12" s="11" t="str">
        <x:v>半年</x:v>
      </x:c>
      <x:c r="C12" s="11" t="str">
        <x:v>悲观</x:v>
      </x:c>
      <x:c r="D12" s="16" t="n">
        <x:v>72</x:v>
      </x:c>
      <x:c r="E12" s="16" t="n">
        <x:v>0.265</x:v>
      </x:c>
      <x:c r="F12" s="16" t="n">
        <x:v>29</x:v>
      </x:c>
      <x:c r="G12" s="16" t="n">
        <x:v>0.17</x:v>
      </x:c>
      <x:c r="H12" s="16" t="n">
        <x:v>18</x:v>
      </x:c>
      <x:c r="I12" s="16" t="n">
        <x:v>0.37</x:v>
      </x:c>
      <x:c r="J12" s="16" t="n">
        <x:v>19</x:v>
      </x:c>
      <x:c r="K12" s="16" t="n">
        <x:v>3.5</x:v>
      </x:c>
      <x:c r="L12" s="16" t="n">
        <x:v>0.3</x:v>
      </x:c>
      <x:c r="M12" s="16" t="n">
        <x:v>8</x:v>
      </x:c>
      <x:c r="N12" s="16" t="n">
        <x:v>0.62</x:v>
      </x:c>
      <x:c r="O12" s="16" t="n">
        <x:v>0.3</x:v>
      </x:c>
      <x:c r="P12" s="16" t="n">
        <x:v>0.2</x:v>
      </x:c>
      <x:c r="Q12" s="16" t="n">
        <x:v>0.4</x:v>
      </x:c>
      <x:c r="R12" s="16" t="n">
        <x:v>4.55</x:v>
      </x:c>
    </x:row>
    <x:row r="13" ht="23" customHeight="1">
      <x:c r="A13" s="11" t="str">
        <x:v>01024.HK</x:v>
      </x:c>
      <x:c r="B13" s="11" t="str">
        <x:v>半年</x:v>
      </x:c>
      <x:c r="C13" s="11" t="str">
        <x:v>基准</x:v>
      </x:c>
      <x:c r="D13" s="16" t="n">
        <x:v>80</x:v>
      </x:c>
      <x:c r="E13" s="16" t="n">
        <x:v>0.32</x:v>
      </x:c>
      <x:c r="F13" s="16" t="n">
        <x:v>31</x:v>
      </x:c>
      <x:c r="G13" s="16" t="n">
        <x:v>0.19</x:v>
      </x:c>
      <x:c r="H13" s="16" t="n">
        <x:v>22</x:v>
      </x:c>
      <x:c r="I13" s="16" t="n">
        <x:v>0.43</x:v>
      </x:c>
      <x:c r="J13" s="16" t="n">
        <x:v>24</x:v>
      </x:c>
      <x:c r="K13" s="16" t="n">
        <x:v>5</x:v>
      </x:c>
      <x:c r="L13" s="16" t="n">
        <x:v>0.48</x:v>
      </x:c>
      <x:c r="M13" s="16" t="n">
        <x:v>8.5</x:v>
      </x:c>
      <x:c r="N13" s="16" t="n">
        <x:v>0.6833</x:v>
      </x:c>
      <x:c r="O13" s="16" t="n">
        <x:v>0.8</x:v>
      </x:c>
      <x:c r="P13" s="16" t="n">
        <x:v>0.2</x:v>
      </x:c>
      <x:c r="Q13" s="16" t="n">
        <x:v>0.2</x:v>
      </x:c>
      <x:c r="R13" s="16" t="n">
        <x:v>4.37</x:v>
      </x:c>
    </x:row>
    <x:row r="14" ht="23" customHeight="1">
      <x:c r="A14" s="11" t="str">
        <x:v>01024.HK</x:v>
      </x:c>
      <x:c r="B14" s="11" t="str">
        <x:v>半年</x:v>
      </x:c>
      <x:c r="C14" s="11" t="str">
        <x:v>乐观</x:v>
      </x:c>
      <x:c r="D14" s="16" t="n">
        <x:v>86</x:v>
      </x:c>
      <x:c r="E14" s="16" t="n">
        <x:v>0.35</x:v>
      </x:c>
      <x:c r="F14" s="16" t="n">
        <x:v>34</x:v>
      </x:c>
      <x:c r="G14" s="16" t="n">
        <x:v>0.22</x:v>
      </x:c>
      <x:c r="H14" s="16" t="n">
        <x:v>25</x:v>
      </x:c>
      <x:c r="I14" s="16" t="n">
        <x:v>0.47</x:v>
      </x:c>
      <x:c r="J14" s="16" t="n">
        <x:v>26</x:v>
      </x:c>
      <x:c r="K14" s="16" t="n">
        <x:v>7</x:v>
      </x:c>
      <x:c r="L14" s="16" t="n">
        <x:v>0.6</x:v>
      </x:c>
      <x:c r="M14" s="16" t="n">
        <x:v>8</x:v>
      </x:c>
      <x:c r="N14" s="16" t="n">
        <x:v>0.72</x:v>
      </x:c>
      <x:c r="O14" s="16" t="n">
        <x:v>1.2</x:v>
      </x:c>
      <x:c r="P14" s="16" t="n">
        <x:v>0.2</x:v>
      </x:c>
      <x:c r="Q14" s="16" t="n">
        <x:v>0.1</x:v>
      </x:c>
      <x:c r="R14" s="16" t="n">
        <x:v>4.25</x:v>
      </x:c>
    </x:row>
    <x:row r="15" ht="23" customHeight="1">
      <x:c r="A15" s="11" t="str">
        <x:v>01024.HK</x:v>
      </x:c>
      <x:c r="B15" s="11" t="str">
        <x:v>一年</x:v>
      </x:c>
      <x:c r="C15" s="11" t="str">
        <x:v>活动输入</x:v>
      </x:c>
      <x:c r="D15" s="11" t="n">
        <x:f>CHOOSE('假设'!$B$3,D16,D17,D18)</x:f>
        <x:v>84</x:v>
      </x:c>
      <x:c r="E15" s="11" t="n">
        <x:f>CHOOSE('假设'!$B$3,E16,E17,E18)</x:f>
        <x:v>0.33</x:v>
      </x:c>
      <x:c r="F15" s="11" t="n">
        <x:f>CHOOSE('假设'!$B$3,F16,F17,F18)</x:f>
        <x:v>31</x:v>
      </x:c>
      <x:c r="G15" s="11" t="n">
        <x:f>CHOOSE('假设'!$B$3,G16,G17,G18)</x:f>
        <x:v>0.2</x:v>
      </x:c>
      <x:c r="H15" s="11" t="n">
        <x:f>CHOOSE('假设'!$B$3,H16,H17,H18)</x:f>
        <x:v>24</x:v>
      </x:c>
      <x:c r="I15" s="11" t="n">
        <x:f>CHOOSE('假设'!$B$3,I16,I17,I18)</x:f>
        <x:v>0.44</x:v>
      </x:c>
      <x:c r="J15" s="11" t="n">
        <x:f>CHOOSE('假设'!$B$3,J16,J17,J18)</x:f>
        <x:v>25.5</x:v>
      </x:c>
      <x:c r="K15" s="11" t="n">
        <x:f>CHOOSE('假设'!$B$3,K16,K17,K18)</x:f>
        <x:v>7</x:v>
      </x:c>
      <x:c r="L15" s="11" t="n">
        <x:f>CHOOSE('假设'!$B$3,L16,L17,L18)</x:f>
        <x:v>0.51</x:v>
      </x:c>
      <x:c r="M15" s="11" t="n">
        <x:f>CHOOSE('假设'!$B$3,M16,M17,M18)</x:f>
        <x:v>9</x:v>
      </x:c>
      <x:c r="N15" s="11" t="n">
        <x:f>CHOOSE('假设'!$B$3,N16,N17,N18)</x:f>
        <x:v>0.68</x:v>
      </x:c>
      <x:c r="O15" s="11" t="n">
        <x:f>CHOOSE('假设'!$B$3,O16,O17,O18)</x:f>
        <x:v>0.8</x:v>
      </x:c>
      <x:c r="P15" s="11" t="n">
        <x:f>CHOOSE('假设'!$B$3,P16,P17,P18)</x:f>
        <x:v>0.2</x:v>
      </x:c>
      <x:c r="Q15" s="11" t="n">
        <x:f>CHOOSE('假设'!$B$3,Q16,Q17,Q18)</x:f>
        <x:v>0.25</x:v>
      </x:c>
      <x:c r="R15" s="11" t="n">
        <x:f>CHOOSE('假设'!$B$3,R16,R17,R18)</x:f>
        <x:v>4.34</x:v>
      </x:c>
    </x:row>
    <x:row r="16" ht="23" customHeight="1">
      <x:c r="A16" s="11" t="str">
        <x:v>01024.HK</x:v>
      </x:c>
      <x:c r="B16" s="11" t="str">
        <x:v>一年</x:v>
      </x:c>
      <x:c r="C16" s="11" t="str">
        <x:v>悲观</x:v>
      </x:c>
      <x:c r="D16" s="16" t="n">
        <x:v>70</x:v>
      </x:c>
      <x:c r="E16" s="16" t="n">
        <x:v>0.265</x:v>
      </x:c>
      <x:c r="F16" s="16" t="n">
        <x:v>27</x:v>
      </x:c>
      <x:c r="G16" s="16" t="n">
        <x:v>0.17</x:v>
      </x:c>
      <x:c r="H16" s="16" t="n">
        <x:v>18</x:v>
      </x:c>
      <x:c r="I16" s="16" t="n">
        <x:v>0.37</x:v>
      </x:c>
      <x:c r="J16" s="16" t="n">
        <x:v>18.5</x:v>
      </x:c>
      <x:c r="K16" s="16" t="n">
        <x:v>4</x:v>
      </x:c>
      <x:c r="L16" s="16" t="n">
        <x:v>0.32</x:v>
      </x:c>
      <x:c r="M16" s="16" t="n">
        <x:v>8.3</x:v>
      </x:c>
      <x:c r="N16" s="16" t="n">
        <x:v>0.6</x:v>
      </x:c>
      <x:c r="O16" s="16" t="n">
        <x:v>0.2</x:v>
      </x:c>
      <x:c r="P16" s="16" t="n">
        <x:v>0.2</x:v>
      </x:c>
      <x:c r="Q16" s="16" t="n">
        <x:v>0.45</x:v>
      </x:c>
      <x:c r="R16" s="16" t="n">
        <x:v>4.65</x:v>
      </x:c>
    </x:row>
    <x:row r="17" ht="23" customHeight="1">
      <x:c r="A17" s="11" t="str">
        <x:v>01024.HK</x:v>
      </x:c>
      <x:c r="B17" s="11" t="str">
        <x:v>一年</x:v>
      </x:c>
      <x:c r="C17" s="11" t="str">
        <x:v>基准</x:v>
      </x:c>
      <x:c r="D17" s="16" t="n">
        <x:v>84</x:v>
      </x:c>
      <x:c r="E17" s="16" t="n">
        <x:v>0.33</x:v>
      </x:c>
      <x:c r="F17" s="16" t="n">
        <x:v>31</x:v>
      </x:c>
      <x:c r="G17" s="16" t="n">
        <x:v>0.2</x:v>
      </x:c>
      <x:c r="H17" s="16" t="n">
        <x:v>24</x:v>
      </x:c>
      <x:c r="I17" s="16" t="n">
        <x:v>0.44</x:v>
      </x:c>
      <x:c r="J17" s="16" t="n">
        <x:v>25.5</x:v>
      </x:c>
      <x:c r="K17" s="16" t="n">
        <x:v>7</x:v>
      </x:c>
      <x:c r="L17" s="16" t="n">
        <x:v>0.51</x:v>
      </x:c>
      <x:c r="M17" s="16" t="n">
        <x:v>9</x:v>
      </x:c>
      <x:c r="N17" s="16" t="n">
        <x:v>0.68</x:v>
      </x:c>
      <x:c r="O17" s="16" t="n">
        <x:v>0.8</x:v>
      </x:c>
      <x:c r="P17" s="16" t="n">
        <x:v>0.2</x:v>
      </x:c>
      <x:c r="Q17" s="16" t="n">
        <x:v>0.25</x:v>
      </x:c>
      <x:c r="R17" s="16" t="n">
        <x:v>4.34</x:v>
      </x:c>
    </x:row>
    <x:row r="18" ht="23" customHeight="1">
      <x:c r="A18" s="11" t="str">
        <x:v>01024.HK</x:v>
      </x:c>
      <x:c r="B18" s="11" t="str">
        <x:v>一年</x:v>
      </x:c>
      <x:c r="C18" s="11" t="str">
        <x:v>乐观</x:v>
      </x:c>
      <x:c r="D18" s="16" t="n">
        <x:v>93</x:v>
      </x:c>
      <x:c r="E18" s="16" t="n">
        <x:v>0.36</x:v>
      </x:c>
      <x:c r="F18" s="16" t="n">
        <x:v>35</x:v>
      </x:c>
      <x:c r="G18" s="16" t="n">
        <x:v>0.23</x:v>
      </x:c>
      <x:c r="H18" s="16" t="n">
        <x:v>28</x:v>
      </x:c>
      <x:c r="I18" s="16" t="n">
        <x:v>0.48</x:v>
      </x:c>
      <x:c r="J18" s="16" t="n">
        <x:v>28</x:v>
      </x:c>
      <x:c r="K18" s="16" t="n">
        <x:v>11</x:v>
      </x:c>
      <x:c r="L18" s="16" t="n">
        <x:v>0.62</x:v>
      </x:c>
      <x:c r="M18" s="16" t="n">
        <x:v>9</x:v>
      </x:c>
      <x:c r="N18" s="16" t="n">
        <x:v>0.72</x:v>
      </x:c>
      <x:c r="O18" s="16" t="n">
        <x:v>1.2</x:v>
      </x:c>
      <x:c r="P18" s="16" t="n">
        <x:v>0.2</x:v>
      </x:c>
      <x:c r="Q18" s="16" t="n">
        <x:v>0.1</x:v>
      </x:c>
      <x:c r="R18" s="16" t="n">
        <x:v>4.18</x:v>
      </x:c>
    </x:row>
    <x:row r="19" ht="23" customHeight="1">
      <x:c r="A19" s="11" t="str">
        <x:v>01024.HK</x:v>
      </x:c>
      <x:c r="B19" s="11" t="str">
        <x:v>三年</x:v>
      </x:c>
      <x:c r="C19" s="11" t="str">
        <x:v>活动输入</x:v>
      </x:c>
      <x:c r="D19" s="11" t="n">
        <x:f>CHOOSE('假设'!$B$3,D20,D21,D22)</x:f>
        <x:v>100</x:v>
      </x:c>
      <x:c r="E19" s="11" t="n">
        <x:f>CHOOSE('假设'!$B$3,E20,E21,E22)</x:f>
        <x:v>0.35</x:v>
      </x:c>
      <x:c r="F19" s="11" t="n">
        <x:f>CHOOSE('假设'!$B$3,F20,F21,F22)</x:f>
        <x:v>31</x:v>
      </x:c>
      <x:c r="G19" s="11" t="n">
        <x:f>CHOOSE('假设'!$B$3,G20,G21,G22)</x:f>
        <x:v>0.21</x:v>
      </x:c>
      <x:c r="H19" s="11" t="n">
        <x:f>CHOOSE('假设'!$B$3,H20,H21,H22)</x:f>
        <x:v>31</x:v>
      </x:c>
      <x:c r="I19" s="11" t="n">
        <x:f>CHOOSE('假设'!$B$3,I20,I21,I22)</x:f>
        <x:v>0.46</x:v>
      </x:c>
      <x:c r="J19" s="11" t="n">
        <x:f>CHOOSE('假设'!$B$3,J20,J21,J22)</x:f>
        <x:v>31</x:v>
      </x:c>
      <x:c r="K19" s="11" t="n">
        <x:f>CHOOSE('假设'!$B$3,K20,K21,K22)</x:f>
        <x:v>17</x:v>
      </x:c>
      <x:c r="L19" s="11" t="n">
        <x:f>CHOOSE('假设'!$B$3,L20,L21,L22)</x:f>
        <x:v>0.57</x:v>
      </x:c>
      <x:c r="M19" s="11" t="n">
        <x:f>CHOOSE('假设'!$B$3,M20,M21,M22)</x:f>
        <x:v>12</x:v>
      </x:c>
      <x:c r="N19" s="11" t="n">
        <x:f>CHOOSE('假设'!$B$3,N20,N21,N22)</x:f>
        <x:v>0.62</x:v>
      </x:c>
      <x:c r="O19" s="11" t="n">
        <x:f>CHOOSE('假设'!$B$3,O20,O21,O22)</x:f>
        <x:v>0.8</x:v>
      </x:c>
      <x:c r="P19" s="11" t="n">
        <x:f>CHOOSE('假设'!$B$3,P20,P21,P22)</x:f>
        <x:v>0.2</x:v>
      </x:c>
      <x:c r="Q19" s="11" t="n">
        <x:f>CHOOSE('假设'!$B$3,Q20,Q21,Q22)</x:f>
        <x:v>0.35</x:v>
      </x:c>
      <x:c r="R19" s="11" t="n">
        <x:f>CHOOSE('假设'!$B$3,R20,R21,R22)</x:f>
        <x:v>4.22</x:v>
      </x:c>
    </x:row>
    <x:row r="20" ht="23" customHeight="1">
      <x:c r="A20" s="11" t="str">
        <x:v>01024.HK</x:v>
      </x:c>
      <x:c r="B20" s="11" t="str">
        <x:v>三年</x:v>
      </x:c>
      <x:c r="C20" s="11" t="str">
        <x:v>悲观</x:v>
      </x:c>
      <x:c r="D20" s="16" t="n">
        <x:v>65</x:v>
      </x:c>
      <x:c r="E20" s="16" t="n">
        <x:v>0.255</x:v>
      </x:c>
      <x:c r="F20" s="16" t="n">
        <x:v>22</x:v>
      </x:c>
      <x:c r="G20" s="16" t="n">
        <x:v>0.17</x:v>
      </x:c>
      <x:c r="H20" s="16" t="n">
        <x:v>17</x:v>
      </x:c>
      <x:c r="I20" s="16" t="n">
        <x:v>0.36</x:v>
      </x:c>
      <x:c r="J20" s="16" t="n">
        <x:v>17</x:v>
      </x:c>
      <x:c r="K20" s="16" t="n">
        <x:v>6</x:v>
      </x:c>
      <x:c r="L20" s="16" t="n">
        <x:v>0.35</x:v>
      </x:c>
      <x:c r="M20" s="16" t="n">
        <x:v>8.5</x:v>
      </x:c>
      <x:c r="N20" s="16" t="n">
        <x:v>0.5</x:v>
      </x:c>
      <x:c r="O20" s="16" t="n">
        <x:v>0</x:v>
      </x:c>
      <x:c r="P20" s="16" t="n">
        <x:v>0.2</x:v>
      </x:c>
      <x:c r="Q20" s="16" t="n">
        <x:v>0.55</x:v>
      </x:c>
      <x:c r="R20" s="16" t="n">
        <x:v>4.95</x:v>
      </x:c>
    </x:row>
    <x:row r="21" ht="23" customHeight="1">
      <x:c r="A21" s="11" t="str">
        <x:v>01024.HK</x:v>
      </x:c>
      <x:c r="B21" s="11" t="str">
        <x:v>三年</x:v>
      </x:c>
      <x:c r="C21" s="11" t="str">
        <x:v>基准</x:v>
      </x:c>
      <x:c r="D21" s="16" t="n">
        <x:v>100</x:v>
      </x:c>
      <x:c r="E21" s="16" t="n">
        <x:v>0.35</x:v>
      </x:c>
      <x:c r="F21" s="16" t="n">
        <x:v>31</x:v>
      </x:c>
      <x:c r="G21" s="16" t="n">
        <x:v>0.21</x:v>
      </x:c>
      <x:c r="H21" s="16" t="n">
        <x:v>31</x:v>
      </x:c>
      <x:c r="I21" s="16" t="n">
        <x:v>0.46</x:v>
      </x:c>
      <x:c r="J21" s="16" t="n">
        <x:v>31</x:v>
      </x:c>
      <x:c r="K21" s="16" t="n">
        <x:v>17</x:v>
      </x:c>
      <x:c r="L21" s="16" t="n">
        <x:v>0.57</x:v>
      </x:c>
      <x:c r="M21" s="16" t="n">
        <x:v>12</x:v>
      </x:c>
      <x:c r="N21" s="16" t="n">
        <x:v>0.62</x:v>
      </x:c>
      <x:c r="O21" s="16" t="n">
        <x:v>0.8</x:v>
      </x:c>
      <x:c r="P21" s="16" t="n">
        <x:v>0.2</x:v>
      </x:c>
      <x:c r="Q21" s="16" t="n">
        <x:v>0.35</x:v>
      </x:c>
      <x:c r="R21" s="16" t="n">
        <x:v>4.22</x:v>
      </x:c>
    </x:row>
    <x:row r="22" ht="23" customHeight="1">
      <x:c r="A22" s="11" t="str">
        <x:v>01024.HK</x:v>
      </x:c>
      <x:c r="B22" s="11" t="str">
        <x:v>三年</x:v>
      </x:c>
      <x:c r="C22" s="11" t="str">
        <x:v>乐观</x:v>
      </x:c>
      <x:c r="D22" s="16" t="n">
        <x:v>130</x:v>
      </x:c>
      <x:c r="E22" s="16" t="n">
        <x:v>0.39</x:v>
      </x:c>
      <x:c r="F22" s="16" t="n">
        <x:v>38</x:v>
      </x:c>
      <x:c r="G22" s="16" t="n">
        <x:v>0.25</x:v>
      </x:c>
      <x:c r="H22" s="16" t="n">
        <x:v>42</x:v>
      </x:c>
      <x:c r="I22" s="16" t="n">
        <x:v>0.5</x:v>
      </x:c>
      <x:c r="J22" s="16" t="n">
        <x:v>39</x:v>
      </x:c>
      <x:c r="K22" s="16" t="n">
        <x:v>32</x:v>
      </x:c>
      <x:c r="L22" s="16" t="n">
        <x:v>0.68</x:v>
      </x:c>
      <x:c r="M22" s="16" t="n">
        <x:v>16</x:v>
      </x:c>
      <x:c r="N22" s="16" t="n">
        <x:v>0.7</x:v>
      </x:c>
      <x:c r="O22" s="16" t="n">
        <x:v>1.4</x:v>
      </x:c>
      <x:c r="P22" s="16" t="n">
        <x:v>0.2</x:v>
      </x:c>
      <x:c r="Q22" s="16" t="n">
        <x:v>0.15</x:v>
      </x:c>
      <x:c r="R22" s="16" t="n">
        <x:v>3.92</x:v>
      </x:c>
    </x:row>
    <x:row r="23" ht="23" customHeight="1">
      <x:c r="A23" s="11" t="str">
        <x:v>01024.HK</x:v>
      </x:c>
      <x:c r="B23" s="11" t="str">
        <x:v>五年</x:v>
      </x:c>
      <x:c r="C23" s="11" t="str">
        <x:v>活动输入</x:v>
      </x:c>
      <x:c r="D23" s="11" t="n">
        <x:f>CHOOSE('假设'!$B$3,D24,D25,D26)</x:f>
        <x:v>115</x:v>
      </x:c>
      <x:c r="E23" s="11" t="n">
        <x:f>CHOOSE('假设'!$B$3,E24,E25,E26)</x:f>
        <x:v>0.36</x:v>
      </x:c>
      <x:c r="F23" s="11" t="n">
        <x:f>CHOOSE('假设'!$B$3,F24,F25,F26)</x:f>
        <x:v>30</x:v>
      </x:c>
      <x:c r="G23" s="11" t="n">
        <x:f>CHOOSE('假设'!$B$3,G24,G25,G26)</x:f>
        <x:v>0.22</x:v>
      </x:c>
      <x:c r="H23" s="11" t="n">
        <x:f>CHOOSE('假设'!$B$3,H24,H25,H26)</x:f>
        <x:v>39</x:v>
      </x:c>
      <x:c r="I23" s="11" t="n">
        <x:f>CHOOSE('假设'!$B$3,I24,I25,I26)</x:f>
        <x:v>0.47</x:v>
      </x:c>
      <x:c r="J23" s="11" t="n">
        <x:f>CHOOSE('假设'!$B$3,J24,J25,J26)</x:f>
        <x:v>36</x:v>
      </x:c>
      <x:c r="K23" s="11" t="n">
        <x:f>CHOOSE('假设'!$B$3,K24,K25,K26)</x:f>
        <x:v>32</x:v>
      </x:c>
      <x:c r="L23" s="11" t="n">
        <x:f>CHOOSE('假设'!$B$3,L24,L25,L26)</x:f>
        <x:v>0.6</x:v>
      </x:c>
      <x:c r="M23" s="11" t="n">
        <x:f>CHOOSE('假设'!$B$3,M24,M25,M26)</x:f>
        <x:v>16</x:v>
      </x:c>
      <x:c r="N23" s="11" t="n">
        <x:f>CHOOSE('假设'!$B$3,N24,N25,N26)</x:f>
        <x:v>0.57</x:v>
      </x:c>
      <x:c r="O23" s="11" t="n">
        <x:f>CHOOSE('假设'!$B$3,O24,O25,O26)</x:f>
        <x:v>0.8</x:v>
      </x:c>
      <x:c r="P23" s="11" t="n">
        <x:f>CHOOSE('假设'!$B$3,P24,P25,P26)</x:f>
        <x:v>0.2</x:v>
      </x:c>
      <x:c r="Q23" s="11" t="n">
        <x:f>CHOOSE('假设'!$B$3,Q24,Q25,Q26)</x:f>
        <x:v>0.45</x:v>
      </x:c>
      <x:c r="R23" s="11" t="n">
        <x:f>CHOOSE('假设'!$B$3,R24,R25,R26)</x:f>
        <x:v>4.12</x:v>
      </x:c>
    </x:row>
    <x:row r="24" ht="23" customHeight="1">
      <x:c r="A24" s="11" t="str">
        <x:v>01024.HK</x:v>
      </x:c>
      <x:c r="B24" s="11" t="str">
        <x:v>五年</x:v>
      </x:c>
      <x:c r="C24" s="11" t="str">
        <x:v>悲观</x:v>
      </x:c>
      <x:c r="D24" s="16" t="n">
        <x:v>60</x:v>
      </x:c>
      <x:c r="E24" s="16" t="n">
        <x:v>0.25</x:v>
      </x:c>
      <x:c r="F24" s="16" t="n">
        <x:v>18</x:v>
      </x:c>
      <x:c r="G24" s="16" t="n">
        <x:v>0.16</x:v>
      </x:c>
      <x:c r="H24" s="16" t="n">
        <x:v>16</x:v>
      </x:c>
      <x:c r="I24" s="16" t="n">
        <x:v>0.35</x:v>
      </x:c>
      <x:c r="J24" s="16" t="n">
        <x:v>16</x:v>
      </x:c>
      <x:c r="K24" s="16" t="n">
        <x:v>8</x:v>
      </x:c>
      <x:c r="L24" s="16" t="n">
        <x:v>0.37</x:v>
      </x:c>
      <x:c r="M24" s="16" t="n">
        <x:v>9</x:v>
      </x:c>
      <x:c r="N24" s="16" t="n">
        <x:v>0.45</x:v>
      </x:c>
      <x:c r="O24" s="16" t="n">
        <x:v>0</x:v>
      </x:c>
      <x:c r="P24" s="16" t="n">
        <x:v>0.2</x:v>
      </x:c>
      <x:c r="Q24" s="16" t="n">
        <x:v>0.6</x:v>
      </x:c>
      <x:c r="R24" s="16" t="n">
        <x:v>5.25</x:v>
      </x:c>
    </x:row>
    <x:row r="25" ht="23" customHeight="1">
      <x:c r="A25" s="11" t="str">
        <x:v>01024.HK</x:v>
      </x:c>
      <x:c r="B25" s="11" t="str">
        <x:v>五年</x:v>
      </x:c>
      <x:c r="C25" s="11" t="str">
        <x:v>基准</x:v>
      </x:c>
      <x:c r="D25" s="16" t="n">
        <x:v>115</x:v>
      </x:c>
      <x:c r="E25" s="16" t="n">
        <x:v>0.36</x:v>
      </x:c>
      <x:c r="F25" s="16" t="n">
        <x:v>30</x:v>
      </x:c>
      <x:c r="G25" s="16" t="n">
        <x:v>0.22</x:v>
      </x:c>
      <x:c r="H25" s="16" t="n">
        <x:v>39</x:v>
      </x:c>
      <x:c r="I25" s="16" t="n">
        <x:v>0.47</x:v>
      </x:c>
      <x:c r="J25" s="16" t="n">
        <x:v>36</x:v>
      </x:c>
      <x:c r="K25" s="16" t="n">
        <x:v>32</x:v>
      </x:c>
      <x:c r="L25" s="16" t="n">
        <x:v>0.6</x:v>
      </x:c>
      <x:c r="M25" s="16" t="n">
        <x:v>16</x:v>
      </x:c>
      <x:c r="N25" s="16" t="n">
        <x:v>0.57</x:v>
      </x:c>
      <x:c r="O25" s="16" t="n">
        <x:v>0.8</x:v>
      </x:c>
      <x:c r="P25" s="16" t="n">
        <x:v>0.2</x:v>
      </x:c>
      <x:c r="Q25" s="16" t="n">
        <x:v>0.45</x:v>
      </x:c>
      <x:c r="R25" s="16" t="n">
        <x:v>4.12</x:v>
      </x:c>
    </x:row>
    <x:row r="26" ht="23" customHeight="1">
      <x:c r="A26" s="11" t="str">
        <x:v>01024.HK</x:v>
      </x:c>
      <x:c r="B26" s="11" t="str">
        <x:v>五年</x:v>
      </x:c>
      <x:c r="C26" s="11" t="str">
        <x:v>乐观</x:v>
      </x:c>
      <x:c r="D26" s="16" t="n">
        <x:v>165</x:v>
      </x:c>
      <x:c r="E26" s="16" t="n">
        <x:v>0.4</x:v>
      </x:c>
      <x:c r="F26" s="16" t="n">
        <x:v>42</x:v>
      </x:c>
      <x:c r="G26" s="16" t="n">
        <x:v>0.26</x:v>
      </x:c>
      <x:c r="H26" s="16" t="n">
        <x:v>60</x:v>
      </x:c>
      <x:c r="I26" s="16" t="n">
        <x:v>0.52</x:v>
      </x:c>
      <x:c r="J26" s="16" t="n">
        <x:v>52</x:v>
      </x:c>
      <x:c r="K26" s="16" t="n">
        <x:v>70</x:v>
      </x:c>
      <x:c r="L26" s="16" t="n">
        <x:v>0.7</x:v>
      </x:c>
      <x:c r="M26" s="16" t="n">
        <x:v>25</x:v>
      </x:c>
      <x:c r="N26" s="16" t="n">
        <x:v>0.67</x:v>
      </x:c>
      <x:c r="O26" s="16" t="n">
        <x:v>1.6</x:v>
      </x:c>
      <x:c r="P26" s="16" t="n">
        <x:v>0.2</x:v>
      </x:c>
      <x:c r="Q26" s="16" t="n">
        <x:v>0.2</x:v>
      </x:c>
      <x:c r="R26" s="16" t="n">
        <x:v>3.65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>
      <x:c r="A2" s="4" t="str">
        <x:v>全企业价值与持股价值 → 母公司股权 → HKD每股；普通EPS/PE不适用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52" customHeight="1">
      <x:c r="A6" s="12" t="str">
        <x:v>代码</x:v>
      </x:c>
      <x:c r="B6" s="12" t="str">
        <x:v>期限</x:v>
      </x:c>
      <x:c r="C6" s="12" t="str">
        <x:v>LSG企业USD十亿</x:v>
      </x:c>
      <x:c r="D6" s="12" t="str">
        <x:v>ProBio企业USD十亿</x:v>
      </x:c>
      <x:c r="E6" s="12" t="str">
        <x:v>Bestzyme企业USD十亿</x:v>
      </x:c>
      <x:c r="F6" s="12" t="str">
        <x:v>总部费用PV</x:v>
      </x:c>
      <x:c r="G6" s="12" t="str">
        <x:v>传奇正常NOPAT</x:v>
      </x:c>
      <x:c r="H6" s="12" t="str">
        <x:v>传奇经营值</x:v>
      </x:c>
      <x:c r="I6" s="12" t="str">
        <x:v>传奇管线净PV</x:v>
      </x:c>
      <x:c r="J6" s="12" t="str">
        <x:v>传奇超额现金</x:v>
      </x:c>
      <x:c r="K6" s="12" t="str">
        <x:v>传奇全股权值</x:v>
      </x:c>
      <x:c r="L6" s="12" t="str">
        <x:v>传奇归属持股值</x:v>
      </x:c>
      <x:c r="M6" s="12" t="str">
        <x:v>集团金融余值</x:v>
      </x:c>
      <x:c r="N6" s="12" t="str">
        <x:v>母公司股权USD十亿</x:v>
      </x:c>
      <x:c r="O6" s="12" t="str">
        <x:v>母公司股数十亿</x:v>
      </x:c>
      <x:c r="P6" s="12" t="str">
        <x:v>HKD/USD假设</x:v>
      </x:c>
      <x:c r="Q6" s="12" t="str">
        <x:v>目标价HKD</x:v>
      </x:c>
    </x:row>
    <x:row r="7" ht="23" customHeight="1">
      <x:c r="A7" s="11" t="str">
        <x:v>01548.HK</x:v>
      </x:c>
      <x:c r="B7" s="11" t="str">
        <x:v>2026年底</x:v>
      </x:c>
      <x:c r="C7" s="11" t="n">
        <x:f>'SOTP假设'!D7*'SOTP假设'!E7*(1-'SOTP假设'!M7)*'SOTP假设'!F7</x:f>
        <x:v>6.46816</x:v>
      </x:c>
      <x:c r="D7" s="11" t="n">
        <x:f>'SOTP假设'!G7*'SOTP假设'!H7</x:f>
        <x:v>0.99</x:v>
      </x:c>
      <x:c r="E7" s="11" t="n">
        <x:f>'SOTP假设'!I7*'SOTP假设'!J7</x:f>
        <x:v>0.1875</x:v>
      </x:c>
      <x:c r="F7" s="11" t="n">
        <x:f>'SOTP假设'!K7*(1-'SOTP假设'!M7)*'SOTP假设'!L7</x:f>
        <x:v>0.6314000000000001</x:v>
      </x:c>
      <x:c r="G7" s="11" t="n">
        <x:f>('SOTP假设'!N7*'SOTP假设'!O7-'SOTP假设'!P7-'SOTP假设'!Q7)*(1-'SOTP假设'!R7)</x:f>
        <x:v>0.1652</x:v>
      </x:c>
      <x:c r="H7" s="11" t="n">
        <x:f>MAX(0,G7)*'SOTP假设'!S7</x:f>
        <x:v>6.6080000000000005</x:v>
      </x:c>
      <x:c r="I7" s="11" t="n">
        <x:f>SUM('SOTP管线现金流'!L7:L37)-'SOTP管线参数'!I7</x:f>
        <x:v>0.03790682460986747</x:v>
      </x:c>
      <x:c r="J7" s="11" t="n">
        <x:f>'SOTP假设'!T7</x:f>
        <x:v>0.45</x:v>
      </x:c>
      <x:c r="K7" s="11" t="n">
        <x:f>MAX(0,H7+I7+J7)</x:f>
        <x:v>7.095906824609868</x:v>
      </x:c>
      <x:c r="L7" s="11" t="n">
        <x:f>K7*'SOTP假设'!U7*'SOTP假设'!V7</x:f>
        <x:v>2.90506425399528</x:v>
      </x:c>
      <x:c r="M7" s="11" t="n">
        <x:f>'SOTP假设'!W7-('SOTP假设'!X7-0.361655)</x:f>
        <x:v>0.09665500000000002</x:v>
      </x:c>
      <x:c r="N7" s="11" t="n">
        <x:f>MAX(0,C7+D7+E7-F7+L7+M7)</x:f>
        <x:v>10.01597925399528</x:v>
      </x:c>
      <x:c r="O7" s="11" t="n">
        <x:f>'SOTP假设'!Y7</x:f>
        <x:v>2.31</x:v>
      </x:c>
      <x:c r="P7" s="11" t="n">
        <x:f>'假设'!G287</x:f>
        <x:v>7.8</x:v>
      </x:c>
      <x:c r="Q7" s="11" t="n">
        <x:f>N7/O7*P7</x:f>
        <x:v>33.820189688815226</x:v>
      </x:c>
    </x:row>
    <x:row r="8" ht="23" customHeight="1">
      <x:c r="A8" s="11" t="str">
        <x:v>01548.HK</x:v>
      </x:c>
      <x:c r="B8" s="11" t="str">
        <x:v>半年</x:v>
      </x:c>
      <x:c r="C8" s="11" t="n">
        <x:f>'SOTP假设'!D11*'SOTP假设'!E11*(1-'SOTP假设'!M11)*'SOTP假设'!F11</x:f>
        <x:v>7.193040000000001</x:v>
      </x:c>
      <x:c r="D8" s="11" t="n">
        <x:f>'SOTP假设'!G11*'SOTP假设'!H11</x:f>
        <x:v>1.2000000000000002</x:v>
      </x:c>
      <x:c r="E8" s="11" t="n">
        <x:f>'SOTP假设'!I11*'SOTP假设'!J11</x:f>
        <x:v>0.2</x:v>
      </x:c>
      <x:c r="F8" s="11" t="n">
        <x:f>'SOTP假设'!K11*(1-'SOTP假设'!M11)*'SOTP假设'!L11</x:f>
        <x:v>0.64944</x:v>
      </x:c>
      <x:c r="G8" s="11" t="n">
        <x:f>('SOTP假设'!N11*'SOTP假设'!O11-'SOTP假设'!P11-'SOTP假设'!Q11)*(1-'SOTP假设'!R11)</x:f>
        <x:v>0.20400000000000001</x:v>
      </x:c>
      <x:c r="H8" s="11" t="n">
        <x:f>MAX(0,G8)*'SOTP假设'!S11</x:f>
        <x:v>8.16</x:v>
      </x:c>
      <x:c r="I8" s="11" t="n">
        <x:f>SUM('SOTP管线现金流'!L38:L68)-'SOTP管线参数'!I15</x:f>
        <x:v>0.047864287364363406</x:v>
      </x:c>
      <x:c r="J8" s="11" t="n">
        <x:f>'SOTP假设'!T11</x:f>
        <x:v>0.5</x:v>
      </x:c>
      <x:c r="K8" s="11" t="n">
        <x:f>MAX(0,H8+I8+J8)</x:f>
        <x:v>8.707864287364364</x:v>
      </x:c>
      <x:c r="L8" s="11" t="n">
        <x:f>K8*'SOTP假设'!U11*'SOTP假设'!V11</x:f>
        <x:v>3.5489771689582206</x:v>
      </x:c>
      <x:c r="M8" s="11" t="n">
        <x:f>'SOTP假设'!W11-('SOTP假设'!X11-0.361655)</x:f>
        <x:v>0.12165500000000001</x:v>
      </x:c>
      <x:c r="N8" s="11" t="n">
        <x:f>MAX(0,C8+D8+E8-F8+L8+M8)</x:f>
        <x:v>11.614232168958221</x:v>
      </x:c>
      <x:c r="O8" s="11" t="n">
        <x:f>'SOTP假设'!Y11</x:f>
        <x:v>2.34</x:v>
      </x:c>
      <x:c r="P8" s="11" t="n">
        <x:f>'假设'!G291</x:f>
        <x:v>7.8</x:v>
      </x:c>
      <x:c r="Q8" s="11" t="n">
        <x:f>N8/O8*P8</x:f>
        <x:v>38.71410722986074</x:v>
      </x:c>
    </x:row>
    <x:row r="9" ht="23" customHeight="1">
      <x:c r="A9" s="11" t="str">
        <x:v>01548.HK</x:v>
      </x:c>
      <x:c r="B9" s="11" t="str">
        <x:v>一年</x:v>
      </x:c>
      <x:c r="C9" s="11" t="n">
        <x:f>'SOTP假设'!D15*'SOTP假设'!E15*(1-'SOTP假设'!M15)*'SOTP假设'!F15</x:f>
        <x:v>16.838208</x:v>
      </x:c>
      <x:c r="D9" s="11" t="n">
        <x:f>'SOTP假设'!G15*'SOTP假设'!H15</x:f>
        <x:v>1.62</x:v>
      </x:c>
      <x:c r="E9" s="11" t="n">
        <x:f>'SOTP假设'!I15*'SOTP假设'!J15</x:f>
        <x:v>0.22799999999999998</x:v>
      </x:c>
      <x:c r="F9" s="11" t="n">
        <x:f>'SOTP假设'!K15*(1-'SOTP假设'!M15)*'SOTP假设'!L15</x:f>
        <x:v>0.7749</x:v>
      </x:c>
      <x:c r="G9" s="11" t="n">
        <x:f>('SOTP假设'!N15*'SOTP假设'!O15-'SOTP假设'!P15-'SOTP假设'!Q15)*(1-'SOTP假设'!R15)</x:f>
        <x:v>0.30816000000000016</x:v>
      </x:c>
      <x:c r="H9" s="11" t="n">
        <x:f>MAX(0,G9)*'SOTP假设'!S15</x:f>
        <x:v>11.093760000000005</x:v>
      </x:c>
      <x:c r="I9" s="11" t="n">
        <x:f>SUM('SOTP管线现金流'!L69:L99)-'SOTP管线参数'!I23</x:f>
        <x:v>0.06729366791364236</x:v>
      </x:c>
      <x:c r="J9" s="11" t="n">
        <x:f>'SOTP假设'!T15</x:f>
        <x:v>0.75</x:v>
      </x:c>
      <x:c r="K9" s="11" t="n">
        <x:f>MAX(0,H9+I9+J9)</x:f>
        <x:v>11.911053667913647</x:v>
      </x:c>
      <x:c r="L9" s="11" t="n">
        <x:f>K9*'SOTP假设'!U15*'SOTP假设'!V15</x:f>
        <x:v>4.788720016648003</x:v>
      </x:c>
      <x:c r="M9" s="11" t="n">
        <x:f>'SOTP假设'!W15-('SOTP假设'!X15-0.361655)</x:f>
        <x:v>0.21165499999999998</x:v>
      </x:c>
      <x:c r="N9" s="11" t="n">
        <x:f>MAX(0,C9+D9+E9-F9+L9+M9)</x:f>
        <x:v>22.91168301664801</x:v>
      </x:c>
      <x:c r="O9" s="11" t="n">
        <x:f>'SOTP假设'!Y15</x:f>
        <x:v>2.4</x:v>
      </x:c>
      <x:c r="P9" s="11" t="n">
        <x:f>'假设'!G295</x:f>
        <x:v>7.8</x:v>
      </x:c>
      <x:c r="Q9" s="11" t="n">
        <x:f>N9/O9*P9</x:f>
        <x:v>74.46296980410604</x:v>
      </x:c>
    </x:row>
    <x:row r="10" ht="23" customHeight="1">
      <x:c r="A10" s="11" t="str">
        <x:v>01548.HK</x:v>
      </x:c>
      <x:c r="B10" s="11" t="str">
        <x:v>三年</x:v>
      </x:c>
      <x:c r="C10" s="11" t="n">
        <x:f>'SOTP假设'!D19*'SOTP假设'!E19*(1-'SOTP假设'!M19)*'SOTP假设'!F19</x:f>
        <x:v>10.332</x:v>
      </x:c>
      <x:c r="D10" s="11" t="n">
        <x:f>'SOTP假设'!G19*'SOTP假设'!H19</x:f>
        <x:v>1.9</x:v>
      </x:c>
      <x:c r="E10" s="11" t="n">
        <x:f>'SOTP假设'!I19*'SOTP假设'!J19</x:f>
        <x:v>0.28600000000000003</x:v>
      </x:c>
      <x:c r="F10" s="11" t="n">
        <x:f>'SOTP假设'!K19*(1-'SOTP假设'!M19)*'SOTP假设'!L19</x:f>
        <x:v>0.984</x:v>
      </x:c>
      <x:c r="G10" s="11" t="n">
        <x:f>('SOTP假设'!N19*'SOTP假设'!O19-'SOTP假设'!P19-'SOTP假设'!Q19)*(1-'SOTP假设'!R19)</x:f>
        <x:v>0.41200000000000014</x:v>
      </x:c>
      <x:c r="H10" s="11" t="n">
        <x:f>MAX(0,G10)*'SOTP假设'!S19</x:f>
        <x:v>12.360000000000005</x:v>
      </x:c>
      <x:c r="I10" s="11" t="n">
        <x:f>SUM('SOTP管线现金流'!L100:L130)-'SOTP管线参数'!I31</x:f>
        <x:v>0.18254270004305947</x:v>
      </x:c>
      <x:c r="J10" s="11" t="n">
        <x:f>'SOTP假设'!T19</x:f>
        <x:v>1.8</x:v>
      </x:c>
      <x:c r="K10" s="11" t="n">
        <x:f>MAX(0,H10+I10+J10)</x:f>
        <x:v>14.342542700043065</x:v>
      </x:c>
      <x:c r="L10" s="11" t="n">
        <x:f>K10*'SOTP假设'!U19*'SOTP假设'!V19</x:f>
        <x:v>5.541958499296641</x:v>
      </x:c>
      <x:c r="M10" s="11" t="n">
        <x:f>'SOTP假设'!W19-('SOTP假设'!X19-0.361655)</x:f>
        <x:v>0.651655</x:v>
      </x:c>
      <x:c r="N10" s="11" t="n">
        <x:f>MAX(0,C10+D10+E10-F10+L10+M10)</x:f>
        <x:v>17.72761349929664</x:v>
      </x:c>
      <x:c r="O10" s="11" t="n">
        <x:f>'SOTP假设'!Y19</x:f>
        <x:v>2.52</x:v>
      </x:c>
      <x:c r="P10" s="11" t="n">
        <x:f>'假设'!G299</x:f>
        <x:v>7.8</x:v>
      </x:c>
      <x:c r="Q10" s="11" t="n">
        <x:f>N10/O10*P10</x:f>
        <x:v>54.87118464068008</x:v>
      </x:c>
    </x:row>
    <x:row r="11" ht="23" customHeight="1">
      <x:c r="A11" s="11" t="str">
        <x:v>01548.HK</x:v>
      </x:c>
      <x:c r="B11" s="11" t="str">
        <x:v>五年</x:v>
      </x:c>
      <x:c r="C11" s="11" t="n">
        <x:f>'SOTP假设'!D23*'SOTP假设'!E23*(1-'SOTP假设'!M23)*'SOTP假设'!F23</x:f>
        <x:v>14.071200000000001</x:v>
      </x:c>
      <x:c r="D11" s="11" t="n">
        <x:f>'SOTP假设'!G23*'SOTP假设'!H23</x:f>
        <x:v>2.6999999999999997</x:v>
      </x:c>
      <x:c r="E11" s="11" t="n">
        <x:f>'SOTP假设'!I23*'SOTP假设'!J23</x:f>
        <x:v>0.44</x:v>
      </x:c>
      <x:c r="F11" s="11" t="n">
        <x:f>'SOTP假设'!K23*(1-'SOTP假设'!M23)*'SOTP假设'!L23</x:f>
        <x:v>1.312</x:v>
      </x:c>
      <x:c r="G11" s="11" t="n">
        <x:f>('SOTP假设'!N23*'SOTP假设'!O23-'SOTP假设'!P23-'SOTP假设'!Q23)*(1-'SOTP假设'!R23)</x:f>
        <x:v>0.6176000000000003</x:v>
      </x:c>
      <x:c r="H11" s="11" t="n">
        <x:f>MAX(0,G11)*'SOTP假设'!S23</x:f>
        <x:v>17.292800000000007</x:v>
      </x:c>
      <x:c r="I11" s="11" t="n">
        <x:f>SUM('SOTP管线现金流'!L131:L161)-'SOTP管线参数'!I39</x:f>
        <x:v>0.28247842076638474</x:v>
      </x:c>
      <x:c r="J11" s="11" t="n">
        <x:f>'SOTP假设'!T23</x:f>
        <x:v>3.5</x:v>
      </x:c>
      <x:c r="K11" s="11" t="n">
        <x:f>MAX(0,H11+I11+J11)</x:f>
        <x:v>21.07527842076639</x:v>
      </x:c>
      <x:c r="L11" s="11" t="n">
        <x:f>K11*'SOTP假设'!U23*'SOTP假设'!V23</x:f>
        <x:v>7.755702458842033</x:v>
      </x:c>
      <x:c r="M11" s="11" t="n">
        <x:f>'SOTP假设'!W23-('SOTP假设'!X23-0.361655)</x:f>
        <x:v>1.011655</x:v>
      </x:c>
      <x:c r="N11" s="11" t="n">
        <x:f>MAX(0,C11+D11+E11-F11+L11+M11)</x:f>
        <x:v>24.666557458842036</x:v>
      </x:c>
      <x:c r="O11" s="11" t="n">
        <x:f>'SOTP假设'!Y23</x:f>
        <x:v>2.65</x:v>
      </x:c>
      <x:c r="P11" s="11" t="n">
        <x:f>'假设'!G303</x:f>
        <x:v>7.8</x:v>
      </x:c>
      <x:c r="Q11" s="11" t="n">
        <x:f>N11/O11*P11</x:f>
        <x:v>72.60345214300675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>
      <x:c r="A2" s="4" t="str">
        <x:v>各业务USD十亿 · 传奇归属单列 · 外部优先义务仅扣一次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LSG收入USD十亿</x:v>
      </x:c>
      <x:c r="E6" s="12" t="str">
        <x:v>LSG经营利润率</x:v>
      </x:c>
      <x:c r="F6" s="12" t="str">
        <x:v>LSG税后经营倍数</x:v>
      </x:c>
      <x:c r="G6" s="12" t="str">
        <x:v>ProBio外部收入USD十亿</x:v>
      </x:c>
      <x:c r="H6" s="12" t="str">
        <x:v>ProBio销售倍数</x:v>
      </x:c>
      <x:c r="I6" s="12" t="str">
        <x:v>Bestzyme外部收入USD十亿</x:v>
      </x:c>
      <x:c r="J6" s="12" t="str">
        <x:v>Bestzyme销售倍数</x:v>
      </x:c>
      <x:c r="K6" s="12" t="str">
        <x:v>总部年费用USD十亿</x:v>
      </x:c>
      <x:c r="L6" s="12" t="str">
        <x:v>总部费用倍数</x:v>
      </x:c>
      <x:c r="M6" s="12" t="str">
        <x:v>集团正常税率</x:v>
      </x:c>
      <x:c r="N6" s="12" t="str">
        <x:v>传奇确认合作收入USD十亿</x:v>
      </x:c>
      <x:c r="O6" s="12" t="str">
        <x:v>传奇毛利率</x:v>
      </x:c>
      <x:c r="P6" s="12" t="str">
        <x:v>传奇研发USD十亿</x:v>
      </x:c>
      <x:c r="Q6" s="12" t="str">
        <x:v>传奇销售管理USD十亿</x:v>
      </x:c>
      <x:c r="R6" s="12" t="str">
        <x:v>传奇正常税率</x:v>
      </x:c>
      <x:c r="S6" s="12" t="str">
        <x:v>传奇经营倍数</x:v>
      </x:c>
      <x:c r="T6" s="12" t="str">
        <x:v>传奇超额现金USD十亿</x:v>
      </x:c>
      <x:c r="U6" s="12" t="str">
        <x:v>母公司持传奇比例</x:v>
      </x:c>
      <x:c r="V6" s="12" t="str">
        <x:v>控股价值因子</x:v>
      </x:c>
      <x:c r="W6" s="12" t="str">
        <x:v>集团金融余值USD十亿</x:v>
      </x:c>
      <x:c r="X6" s="12" t="str">
        <x:v>未来外部优先义务USD十亿</x:v>
      </x:c>
      <x:c r="Y6" s="12" t="str">
        <x:v>母公司摊薄股数十亿</x:v>
      </x:c>
    </x:row>
    <x:row r="7" ht="23" customHeight="1">
      <x:c r="A7" s="11" t="str">
        <x:v>01548.HK</x:v>
      </x:c>
      <x:c r="B7" s="11" t="str">
        <x:v>2026年底</x:v>
      </x:c>
      <x:c r="C7" s="11" t="str">
        <x:v>活动输入</x:v>
      </x:c>
      <x:c r="D7" s="11" t="n">
        <x:f>CHOOSE('假设'!$B$3,D8,D9,D10)</x:f>
        <x:v>0.8</x:v>
      </x:c>
      <x:c r="E7" s="11" t="n">
        <x:f>CHOOSE('假设'!$B$3,E8,E9,E10)</x:f>
        <x:v>0.29</x:v>
      </x:c>
      <x:c r="F7" s="11" t="n">
        <x:f>CHOOSE('假设'!$B$3,F8,F9,F10)</x:f>
        <x:v>34</x:v>
      </x:c>
      <x:c r="G7" s="11" t="n">
        <x:f>CHOOSE('假设'!$B$3,G8,G9,G10)</x:f>
        <x:v>0.18</x:v>
      </x:c>
      <x:c r="H7" s="11" t="n">
        <x:f>CHOOSE('假设'!$B$3,H8,H9,H10)</x:f>
        <x:v>5.5</x:v>
      </x:c>
      <x:c r="I7" s="11" t="n">
        <x:f>CHOOSE('假设'!$B$3,I8,I9,I10)</x:f>
        <x:v>0.075</x:v>
      </x:c>
      <x:c r="J7" s="11" t="n">
        <x:f>CHOOSE('假设'!$B$3,J8,J9,J10)</x:f>
        <x:v>2.5</x:v>
      </x:c>
      <x:c r="K7" s="11" t="n">
        <x:f>CHOOSE('假设'!$B$3,K8,K9,K10)</x:f>
        <x:v>0.035</x:v>
      </x:c>
      <x:c r="L7" s="11" t="n">
        <x:f>CHOOSE('假设'!$B$3,L8,L9,L10)</x:f>
        <x:v>22</x:v>
      </x:c>
      <x:c r="M7" s="11" t="n">
        <x:f>CHOOSE('假设'!$B$3,M8,M9,M10)</x:f>
        <x:v>0.18</x:v>
      </x:c>
      <x:c r="N7" s="11" t="n">
        <x:f>CHOOSE('假设'!$B$3,N8,N9,N10)</x:f>
        <x:v>1.65</x:v>
      </x:c>
      <x:c r="O7" s="11" t="n">
        <x:f>CHOOSE('假设'!$B$3,O8,O9,O10)</x:f>
        <x:v>0.61</x:v>
      </x:c>
      <x:c r="P7" s="11" t="n">
        <x:f>CHOOSE('假设'!$B$3,P8,P9,P10)</x:f>
        <x:v>0.43</x:v>
      </x:c>
      <x:c r="Q7" s="11" t="n">
        <x:f>CHOOSE('假设'!$B$3,Q8,Q9,Q10)</x:f>
        <x:v>0.37</x:v>
      </x:c>
      <x:c r="R7" s="11" t="n">
        <x:f>CHOOSE('假设'!$B$3,R8,R9,R10)</x:f>
        <x:v>0.2</x:v>
      </x:c>
      <x:c r="S7" s="11" t="n">
        <x:f>CHOOSE('假设'!$B$3,S8,S9,S10)</x:f>
        <x:v>40</x:v>
      </x:c>
      <x:c r="T7" s="11" t="n">
        <x:f>CHOOSE('假设'!$B$3,T8,T9,T10)</x:f>
        <x:v>0.45</x:v>
      </x:c>
      <x:c r="U7" s="11" t="n">
        <x:f>CHOOSE('假设'!$B$3,U8,U9,U10)</x:f>
        <x:v>0.445</x:v>
      </x:c>
      <x:c r="V7" s="11" t="n">
        <x:f>CHOOSE('假设'!$B$3,V8,V9,V10)</x:f>
        <x:v>0.92</x:v>
      </x:c>
      <x:c r="W7" s="11" t="n">
        <x:f>CHOOSE('假设'!$B$3,W8,W9,W10)</x:f>
        <x:v>0.1</x:v>
      </x:c>
      <x:c r="X7" s="11" t="n">
        <x:f>CHOOSE('假设'!$B$3,X8,X9,X10)</x:f>
        <x:v>0.365</x:v>
      </x:c>
      <x:c r="Y7" s="11" t="n">
        <x:f>CHOOSE('假设'!$B$3,Y8,Y9,Y10)</x:f>
        <x:v>2.31</x:v>
      </x:c>
    </x:row>
    <x:row r="8" ht="23" customHeight="1">
      <x:c r="A8" s="11" t="str">
        <x:v>01548.HK</x:v>
      </x:c>
      <x:c r="B8" s="11" t="str">
        <x:v>2026年底</x:v>
      </x:c>
      <x:c r="C8" s="11" t="str">
        <x:v>悲观</x:v>
      </x:c>
      <x:c r="D8" s="16" t="n">
        <x:v>0.65</x:v>
      </x:c>
      <x:c r="E8" s="16" t="n">
        <x:v>0.23</x:v>
      </x:c>
      <x:c r="F8" s="16" t="n">
        <x:v>25</x:v>
      </x:c>
      <x:c r="G8" s="16" t="n">
        <x:v>0.14</x:v>
      </x:c>
      <x:c r="H8" s="16" t="n">
        <x:v>3</x:v>
      </x:c>
      <x:c r="I8" s="16" t="n">
        <x:v>0.065</x:v>
      </x:c>
      <x:c r="J8" s="16" t="n">
        <x:v>1.5</x:v>
      </x:c>
      <x:c r="K8" s="16" t="n">
        <x:v>0.04</x:v>
      </x:c>
      <x:c r="L8" s="16" t="n">
        <x:v>20</x:v>
      </x:c>
      <x:c r="M8" s="16" t="n">
        <x:v>0.23</x:v>
      </x:c>
      <x:c r="N8" s="16" t="n">
        <x:v>1.38</x:v>
      </x:c>
      <x:c r="O8" s="16" t="n">
        <x:v>0.58</x:v>
      </x:c>
      <x:c r="P8" s="16" t="n">
        <x:v>0.44</x:v>
      </x:c>
      <x:c r="Q8" s="16" t="n">
        <x:v>0.38</x:v>
      </x:c>
      <x:c r="R8" s="16" t="n">
        <x:v>0.23</x:v>
      </x:c>
      <x:c r="S8" s="16" t="n">
        <x:v>28</x:v>
      </x:c>
      <x:c r="T8" s="16" t="n">
        <x:v>0.15</x:v>
      </x:c>
      <x:c r="U8" s="16" t="n">
        <x:v>0.44</x:v>
      </x:c>
      <x:c r="V8" s="16" t="n">
        <x:v>0.8</x:v>
      </x:c>
      <x:c r="W8" s="16" t="n">
        <x:v>0</x:v>
      </x:c>
      <x:c r="X8" s="16" t="n">
        <x:v>0.4</x:v>
      </x:c>
      <x:c r="Y8" s="16" t="n">
        <x:v>2.34</x:v>
      </x:c>
    </x:row>
    <x:row r="9" ht="23" customHeight="1">
      <x:c r="A9" s="11" t="str">
        <x:v>01548.HK</x:v>
      </x:c>
      <x:c r="B9" s="11" t="str">
        <x:v>2026年底</x:v>
      </x:c>
      <x:c r="C9" s="11" t="str">
        <x:v>基准</x:v>
      </x:c>
      <x:c r="D9" s="16" t="n">
        <x:v>0.8</x:v>
      </x:c>
      <x:c r="E9" s="16" t="n">
        <x:v>0.29</x:v>
      </x:c>
      <x:c r="F9" s="16" t="n">
        <x:v>34</x:v>
      </x:c>
      <x:c r="G9" s="16" t="n">
        <x:v>0.18</x:v>
      </x:c>
      <x:c r="H9" s="16" t="n">
        <x:v>5.5</x:v>
      </x:c>
      <x:c r="I9" s="16" t="n">
        <x:v>0.075</x:v>
      </x:c>
      <x:c r="J9" s="16" t="n">
        <x:v>2.5</x:v>
      </x:c>
      <x:c r="K9" s="16" t="n">
        <x:v>0.035</x:v>
      </x:c>
      <x:c r="L9" s="16" t="n">
        <x:v>22</x:v>
      </x:c>
      <x:c r="M9" s="16" t="n">
        <x:v>0.18</x:v>
      </x:c>
      <x:c r="N9" s="16" t="n">
        <x:v>1.65</x:v>
      </x:c>
      <x:c r="O9" s="16" t="n">
        <x:v>0.61</x:v>
      </x:c>
      <x:c r="P9" s="16" t="n">
        <x:v>0.43</x:v>
      </x:c>
      <x:c r="Q9" s="16" t="n">
        <x:v>0.37</x:v>
      </x:c>
      <x:c r="R9" s="16" t="n">
        <x:v>0.2</x:v>
      </x:c>
      <x:c r="S9" s="16" t="n">
        <x:v>40</x:v>
      </x:c>
      <x:c r="T9" s="16" t="n">
        <x:v>0.45</x:v>
      </x:c>
      <x:c r="U9" s="16" t="n">
        <x:v>0.445</x:v>
      </x:c>
      <x:c r="V9" s="16" t="n">
        <x:v>0.92</x:v>
      </x:c>
      <x:c r="W9" s="16" t="n">
        <x:v>0.1</x:v>
      </x:c>
      <x:c r="X9" s="16" t="n">
        <x:v>0.365</x:v>
      </x:c>
      <x:c r="Y9" s="16" t="n">
        <x:v>2.31</x:v>
      </x:c>
    </x:row>
    <x:row r="10" ht="23" customHeight="1">
      <x:c r="A10" s="11" t="str">
        <x:v>01548.HK</x:v>
      </x:c>
      <x:c r="B10" s="11" t="str">
        <x:v>2026年底</x:v>
      </x:c>
      <x:c r="C10" s="11" t="str">
        <x:v>乐观</x:v>
      </x:c>
      <x:c r="D10" s="16" t="n">
        <x:v>0.95</x:v>
      </x:c>
      <x:c r="E10" s="16" t="n">
        <x:v>0.32</x:v>
      </x:c>
      <x:c r="F10" s="16" t="n">
        <x:v>40</x:v>
      </x:c>
      <x:c r="G10" s="16" t="n">
        <x:v>0.23</x:v>
      </x:c>
      <x:c r="H10" s="16" t="n">
        <x:v>8</x:v>
      </x:c>
      <x:c r="I10" s="16" t="n">
        <x:v>0.09</x:v>
      </x:c>
      <x:c r="J10" s="16" t="n">
        <x:v>3.5</x:v>
      </x:c>
      <x:c r="K10" s="16" t="n">
        <x:v>0.035</x:v>
      </x:c>
      <x:c r="L10" s="16" t="n">
        <x:v>24</x:v>
      </x:c>
      <x:c r="M10" s="16" t="n">
        <x:v>0.15</x:v>
      </x:c>
      <x:c r="N10" s="16" t="n">
        <x:v>1.95</x:v>
      </x:c>
      <x:c r="O10" s="16" t="n">
        <x:v>0.64</x:v>
      </x:c>
      <x:c r="P10" s="16" t="n">
        <x:v>0.46</x:v>
      </x:c>
      <x:c r="Q10" s="16" t="n">
        <x:v>0.39</x:v>
      </x:c>
      <x:c r="R10" s="16" t="n">
        <x:v>0.18</x:v>
      </x:c>
      <x:c r="S10" s="16" t="n">
        <x:v>48</x:v>
      </x:c>
      <x:c r="T10" s="16" t="n">
        <x:v>0.65</x:v>
      </x:c>
      <x:c r="U10" s="16" t="n">
        <x:v>0.4503</x:v>
      </x:c>
      <x:c r="V10" s="16" t="n">
        <x:v>1</x:v>
      </x:c>
      <x:c r="W10" s="16" t="n">
        <x:v>0.18</x:v>
      </x:c>
      <x:c r="X10" s="16" t="n">
        <x:v>0.36</x:v>
      </x:c>
      <x:c r="Y10" s="16" t="n">
        <x:v>2.3</x:v>
      </x:c>
    </x:row>
    <x:row r="11" ht="23" customHeight="1">
      <x:c r="A11" s="11" t="str">
        <x:v>01548.HK</x:v>
      </x:c>
      <x:c r="B11" s="11" t="str">
        <x:v>半年</x:v>
      </x:c>
      <x:c r="C11" s="11" t="str">
        <x:v>活动输入</x:v>
      </x:c>
      <x:c r="D11" s="11" t="n">
        <x:f>CHOOSE('假设'!$B$3,D12,D13,D14)</x:f>
        <x:v>0.86</x:v>
      </x:c>
      <x:c r="E11" s="11" t="n">
        <x:f>CHOOSE('假设'!$B$3,E12,E13,E14)</x:f>
        <x:v>0.3</x:v>
      </x:c>
      <x:c r="F11" s="11" t="n">
        <x:f>CHOOSE('假设'!$B$3,F12,F13,F14)</x:f>
        <x:v>34</x:v>
      </x:c>
      <x:c r="G11" s="11" t="n">
        <x:f>CHOOSE('假设'!$B$3,G12,G13,G14)</x:f>
        <x:v>0.2</x:v>
      </x:c>
      <x:c r="H11" s="11" t="n">
        <x:f>CHOOSE('假设'!$B$3,H12,H13,H14)</x:f>
        <x:v>6</x:v>
      </x:c>
      <x:c r="I11" s="11" t="n">
        <x:f>CHOOSE('假设'!$B$3,I12,I13,I14)</x:f>
        <x:v>0.08</x:v>
      </x:c>
      <x:c r="J11" s="11" t="n">
        <x:f>CHOOSE('假设'!$B$3,J12,J13,J14)</x:f>
        <x:v>2.5</x:v>
      </x:c>
      <x:c r="K11" s="11" t="n">
        <x:f>CHOOSE('假设'!$B$3,K12,K13,K14)</x:f>
        <x:v>0.036</x:v>
      </x:c>
      <x:c r="L11" s="11" t="n">
        <x:f>CHOOSE('假设'!$B$3,L12,L13,L14)</x:f>
        <x:v>22</x:v>
      </x:c>
      <x:c r="M11" s="11" t="n">
        <x:f>CHOOSE('假设'!$B$3,M12,M13,M14)</x:f>
        <x:v>0.18</x:v>
      </x:c>
      <x:c r="N11" s="11" t="n">
        <x:f>CHOOSE('假设'!$B$3,N12,N13,N14)</x:f>
        <x:v>1.75</x:v>
      </x:c>
      <x:c r="O11" s="11" t="n">
        <x:f>CHOOSE('假设'!$B$3,O12,O13,O14)</x:f>
        <x:v>0.62</x:v>
      </x:c>
      <x:c r="P11" s="11" t="n">
        <x:f>CHOOSE('假设'!$B$3,P12,P13,P14)</x:f>
        <x:v>0.44</x:v>
      </x:c>
      <x:c r="Q11" s="11" t="n">
        <x:f>CHOOSE('假设'!$B$3,Q12,Q13,Q14)</x:f>
        <x:v>0.39</x:v>
      </x:c>
      <x:c r="R11" s="11" t="n">
        <x:f>CHOOSE('假设'!$B$3,R12,R13,R14)</x:f>
        <x:v>0.2</x:v>
      </x:c>
      <x:c r="S11" s="11" t="n">
        <x:f>CHOOSE('假设'!$B$3,S12,S13,S14)</x:f>
        <x:v>40</x:v>
      </x:c>
      <x:c r="T11" s="11" t="n">
        <x:f>CHOOSE('假设'!$B$3,T12,T13,T14)</x:f>
        <x:v>0.5</x:v>
      </x:c>
      <x:c r="U11" s="11" t="n">
        <x:f>CHOOSE('假设'!$B$3,U12,U13,U14)</x:f>
        <x:v>0.443</x:v>
      </x:c>
      <x:c r="V11" s="11" t="n">
        <x:f>CHOOSE('假设'!$B$3,V12,V13,V14)</x:f>
        <x:v>0.92</x:v>
      </x:c>
      <x:c r="W11" s="11" t="n">
        <x:f>CHOOSE('假设'!$B$3,W12,W13,W14)</x:f>
        <x:v>0.14</x:v>
      </x:c>
      <x:c r="X11" s="11" t="n">
        <x:f>CHOOSE('假设'!$B$3,X12,X13,X14)</x:f>
        <x:v>0.38</x:v>
      </x:c>
      <x:c r="Y11" s="11" t="n">
        <x:f>CHOOSE('假设'!$B$3,Y12,Y13,Y14)</x:f>
        <x:v>2.34</x:v>
      </x:c>
    </x:row>
    <x:row r="12" ht="23" customHeight="1">
      <x:c r="A12" s="11" t="str">
        <x:v>01548.HK</x:v>
      </x:c>
      <x:c r="B12" s="11" t="str">
        <x:v>半年</x:v>
      </x:c>
      <x:c r="C12" s="11" t="str">
        <x:v>悲观</x:v>
      </x:c>
      <x:c r="D12" s="16" t="n">
        <x:v>0.65</x:v>
      </x:c>
      <x:c r="E12" s="16" t="n">
        <x:v>0.23</x:v>
      </x:c>
      <x:c r="F12" s="16" t="n">
        <x:v>24</x:v>
      </x:c>
      <x:c r="G12" s="16" t="n">
        <x:v>0.14</x:v>
      </x:c>
      <x:c r="H12" s="16" t="n">
        <x:v>3</x:v>
      </x:c>
      <x:c r="I12" s="16" t="n">
        <x:v>0.065</x:v>
      </x:c>
      <x:c r="J12" s="16" t="n">
        <x:v>1.5</x:v>
      </x:c>
      <x:c r="K12" s="16" t="n">
        <x:v>0.042</x:v>
      </x:c>
      <x:c r="L12" s="16" t="n">
        <x:v>20</x:v>
      </x:c>
      <x:c r="M12" s="16" t="n">
        <x:v>0.23</x:v>
      </x:c>
      <x:c r="N12" s="16" t="n">
        <x:v>1.35</x:v>
      </x:c>
      <x:c r="O12" s="16" t="n">
        <x:v>0.57</x:v>
      </x:c>
      <x:c r="P12" s="16" t="n">
        <x:v>0.45</x:v>
      </x:c>
      <x:c r="Q12" s="16" t="n">
        <x:v>0.39</x:v>
      </x:c>
      <x:c r="R12" s="16" t="n">
        <x:v>0.23</x:v>
      </x:c>
      <x:c r="S12" s="16" t="n">
        <x:v>26</x:v>
      </x:c>
      <x:c r="T12" s="16" t="n">
        <x:v>0.08</x:v>
      </x:c>
      <x:c r="U12" s="16" t="n">
        <x:v>0.435</x:v>
      </x:c>
      <x:c r="V12" s="16" t="n">
        <x:v>0.8</x:v>
      </x:c>
      <x:c r="W12" s="16" t="n">
        <x:v>-0.03</x:v>
      </x:c>
      <x:c r="X12" s="16" t="n">
        <x:v>0.43</x:v>
      </x:c>
      <x:c r="Y12" s="16" t="n">
        <x:v>2.38</x:v>
      </x:c>
    </x:row>
    <x:row r="13" ht="23" customHeight="1">
      <x:c r="A13" s="11" t="str">
        <x:v>01548.HK</x:v>
      </x:c>
      <x:c r="B13" s="11" t="str">
        <x:v>半年</x:v>
      </x:c>
      <x:c r="C13" s="11" t="str">
        <x:v>基准</x:v>
      </x:c>
      <x:c r="D13" s="16" t="n">
        <x:v>0.86</x:v>
      </x:c>
      <x:c r="E13" s="16" t="n">
        <x:v>0.3</x:v>
      </x:c>
      <x:c r="F13" s="16" t="n">
        <x:v>34</x:v>
      </x:c>
      <x:c r="G13" s="16" t="n">
        <x:v>0.2</x:v>
      </x:c>
      <x:c r="H13" s="16" t="n">
        <x:v>6</x:v>
      </x:c>
      <x:c r="I13" s="16" t="n">
        <x:v>0.08</x:v>
      </x:c>
      <x:c r="J13" s="16" t="n">
        <x:v>2.5</x:v>
      </x:c>
      <x:c r="K13" s="16" t="n">
        <x:v>0.036</x:v>
      </x:c>
      <x:c r="L13" s="16" t="n">
        <x:v>22</x:v>
      </x:c>
      <x:c r="M13" s="16" t="n">
        <x:v>0.18</x:v>
      </x:c>
      <x:c r="N13" s="16" t="n">
        <x:v>1.75</x:v>
      </x:c>
      <x:c r="O13" s="16" t="n">
        <x:v>0.62</x:v>
      </x:c>
      <x:c r="P13" s="16" t="n">
        <x:v>0.44</x:v>
      </x:c>
      <x:c r="Q13" s="16" t="n">
        <x:v>0.39</x:v>
      </x:c>
      <x:c r="R13" s="16" t="n">
        <x:v>0.2</x:v>
      </x:c>
      <x:c r="S13" s="16" t="n">
        <x:v>40</x:v>
      </x:c>
      <x:c r="T13" s="16" t="n">
        <x:v>0.5</x:v>
      </x:c>
      <x:c r="U13" s="16" t="n">
        <x:v>0.443</x:v>
      </x:c>
      <x:c r="V13" s="16" t="n">
        <x:v>0.92</x:v>
      </x:c>
      <x:c r="W13" s="16" t="n">
        <x:v>0.14</x:v>
      </x:c>
      <x:c r="X13" s="16" t="n">
        <x:v>0.38</x:v>
      </x:c>
      <x:c r="Y13" s="16" t="n">
        <x:v>2.34</x:v>
      </x:c>
    </x:row>
    <x:row r="14" ht="23" customHeight="1">
      <x:c r="A14" s="11" t="str">
        <x:v>01548.HK</x:v>
      </x:c>
      <x:c r="B14" s="11" t="str">
        <x:v>半年</x:v>
      </x:c>
      <x:c r="C14" s="11" t="str">
        <x:v>乐观</x:v>
      </x:c>
      <x:c r="D14" s="16" t="n">
        <x:v>1.03</x:v>
      </x:c>
      <x:c r="E14" s="16" t="n">
        <x:v>0.33</x:v>
      </x:c>
      <x:c r="F14" s="16" t="n">
        <x:v>40</x:v>
      </x:c>
      <x:c r="G14" s="16" t="n">
        <x:v>0.26</x:v>
      </x:c>
      <x:c r="H14" s="16" t="n">
        <x:v>8</x:v>
      </x:c>
      <x:c r="I14" s="16" t="n">
        <x:v>0.1</x:v>
      </x:c>
      <x:c r="J14" s="16" t="n">
        <x:v>3.5</x:v>
      </x:c>
      <x:c r="K14" s="16" t="n">
        <x:v>0.037</x:v>
      </x:c>
      <x:c r="L14" s="16" t="n">
        <x:v>24</x:v>
      </x:c>
      <x:c r="M14" s="16" t="n">
        <x:v>0.15</x:v>
      </x:c>
      <x:c r="N14" s="16" t="n">
        <x:v>2.1</x:v>
      </x:c>
      <x:c r="O14" s="16" t="n">
        <x:v>0.65</x:v>
      </x:c>
      <x:c r="P14" s="16" t="n">
        <x:v>0.48</x:v>
      </x:c>
      <x:c r="Q14" s="16" t="n">
        <x:v>0.41</x:v>
      </x:c>
      <x:c r="R14" s="16" t="n">
        <x:v>0.18</x:v>
      </x:c>
      <x:c r="S14" s="16" t="n">
        <x:v>48</x:v>
      </x:c>
      <x:c r="T14" s="16" t="n">
        <x:v>0.75</x:v>
      </x:c>
      <x:c r="U14" s="16" t="n">
        <x:v>0.449</x:v>
      </x:c>
      <x:c r="V14" s="16" t="n">
        <x:v>1</x:v>
      </x:c>
      <x:c r="W14" s="16" t="n">
        <x:v>0.24</x:v>
      </x:c>
      <x:c r="X14" s="16" t="n">
        <x:v>0.36</x:v>
      </x:c>
      <x:c r="Y14" s="16" t="n">
        <x:v>2.31</x:v>
      </x:c>
    </x:row>
    <x:row r="15" ht="23" customHeight="1">
      <x:c r="A15" s="11" t="str">
        <x:v>01548.HK</x:v>
      </x:c>
      <x:c r="B15" s="11" t="str">
        <x:v>一年</x:v>
      </x:c>
      <x:c r="C15" s="11" t="str">
        <x:v>活动输入</x:v>
      </x:c>
      <x:c r="D15" s="11" t="n">
        <x:f>CHOOSE('假设'!$B$3,D16,D17,D18)</x:f>
        <x:v>2.0700000000000003</x:v>
      </x:c>
      <x:c r="E15" s="11" t="n">
        <x:f>CHOOSE('假设'!$B$3,E16,E17,E18)</x:f>
        <x:v>0.31</x:v>
      </x:c>
      <x:c r="F15" s="11" t="n">
        <x:f>CHOOSE('假设'!$B$3,F16,F17,F18)</x:f>
        <x:v>32</x:v>
      </x:c>
      <x:c r="G15" s="11" t="n">
        <x:f>CHOOSE('假设'!$B$3,G16,G17,G18)</x:f>
        <x:v>0.27</x:v>
      </x:c>
      <x:c r="H15" s="11" t="n">
        <x:f>CHOOSE('假设'!$B$3,H16,H17,H18)</x:f>
        <x:v>6</x:v>
      </x:c>
      <x:c r="I15" s="11" t="n">
        <x:f>CHOOSE('假设'!$B$3,I16,I17,I18)</x:f>
        <x:v>0.095</x:v>
      </x:c>
      <x:c r="J15" s="11" t="n">
        <x:f>CHOOSE('假设'!$B$3,J16,J17,J18)</x:f>
        <x:v>2.4</x:v>
      </x:c>
      <x:c r="K15" s="11" t="n">
        <x:f>CHOOSE('假设'!$B$3,K16,K17,K18)</x:f>
        <x:v>0.045</x:v>
      </x:c>
      <x:c r="L15" s="11" t="n">
        <x:f>CHOOSE('假设'!$B$3,L16,L17,L18)</x:f>
        <x:v>21</x:v>
      </x:c>
      <x:c r="M15" s="11" t="n">
        <x:f>CHOOSE('假设'!$B$3,M16,M17,M18)</x:f>
        <x:v>0.18</x:v>
      </x:c>
      <x:c r="N15" s="11" t="n">
        <x:f>CHOOSE('假设'!$B$3,N16,N17,N18)</x:f>
        <x:v>2.18</x:v>
      </x:c>
      <x:c r="O15" s="11" t="n">
        <x:f>CHOOSE('假设'!$B$3,O16,O17,O18)</x:f>
        <x:v>0.64</x:v>
      </x:c>
      <x:c r="P15" s="11" t="n">
        <x:f>CHOOSE('假设'!$B$3,P16,P17,P18)</x:f>
        <x:v>0.55</x:v>
      </x:c>
      <x:c r="Q15" s="11" t="n">
        <x:f>CHOOSE('假设'!$B$3,Q16,Q17,Q18)</x:f>
        <x:v>0.46</x:v>
      </x:c>
      <x:c r="R15" s="11" t="n">
        <x:f>CHOOSE('假设'!$B$3,R16,R17,R18)</x:f>
        <x:v>0.2</x:v>
      </x:c>
      <x:c r="S15" s="11" t="n">
        <x:f>CHOOSE('假设'!$B$3,S16,S17,S18)</x:f>
        <x:v>36</x:v>
      </x:c>
      <x:c r="T15" s="11" t="n">
        <x:f>CHOOSE('假设'!$B$3,T16,T17,T18)</x:f>
        <x:v>0.75</x:v>
      </x:c>
      <x:c r="U15" s="11" t="n">
        <x:f>CHOOSE('假设'!$B$3,U16,U17,U18)</x:f>
        <x:v>0.437</x:v>
      </x:c>
      <x:c r="V15" s="11" t="n">
        <x:f>CHOOSE('假设'!$B$3,V16,V17,V18)</x:f>
        <x:v>0.92</x:v>
      </x:c>
      <x:c r="W15" s="11" t="n">
        <x:f>CHOOSE('假设'!$B$3,W16,W17,W18)</x:f>
        <x:v>0.25</x:v>
      </x:c>
      <x:c r="X15" s="11" t="n">
        <x:f>CHOOSE('假设'!$B$3,X16,X17,X18)</x:f>
        <x:v>0.4</x:v>
      </x:c>
      <x:c r="Y15" s="11" t="n">
        <x:f>CHOOSE('假设'!$B$3,Y16,Y17,Y18)</x:f>
        <x:v>2.4</x:v>
      </x:c>
    </x:row>
    <x:row r="16" ht="23" customHeight="1">
      <x:c r="A16" s="11" t="str">
        <x:v>01548.HK</x:v>
      </x:c>
      <x:c r="B16" s="11" t="str">
        <x:v>一年</x:v>
      </x:c>
      <x:c r="C16" s="11" t="str">
        <x:v>悲观</x:v>
      </x:c>
      <x:c r="D16" s="16" t="n">
        <x:v>0.72</x:v>
      </x:c>
      <x:c r="E16" s="16" t="n">
        <x:v>0.23</x:v>
      </x:c>
      <x:c r="F16" s="16" t="n">
        <x:v>23</x:v>
      </x:c>
      <x:c r="G16" s="16" t="n">
        <x:v>0.16</x:v>
      </x:c>
      <x:c r="H16" s="16" t="n">
        <x:v>3</x:v>
      </x:c>
      <x:c r="I16" s="16" t="n">
        <x:v>0.07</x:v>
      </x:c>
      <x:c r="J16" s="16" t="n">
        <x:v>1.4</x:v>
      </x:c>
      <x:c r="K16" s="16" t="n">
        <x:v>0.045</x:v>
      </x:c>
      <x:c r="L16" s="16" t="n">
        <x:v>20</x:v>
      </x:c>
      <x:c r="M16" s="16" t="n">
        <x:v>0.23</x:v>
      </x:c>
      <x:c r="N16" s="16" t="n">
        <x:v>1.5</x:v>
      </x:c>
      <x:c r="O16" s="16" t="n">
        <x:v>0.58</x:v>
      </x:c>
      <x:c r="P16" s="16" t="n">
        <x:v>0.49</x:v>
      </x:c>
      <x:c r="Q16" s="16" t="n">
        <x:v>0.43</x:v>
      </x:c>
      <x:c r="R16" s="16" t="n">
        <x:v>0.23</x:v>
      </x:c>
      <x:c r="S16" s="16" t="n">
        <x:v>24</x:v>
      </x:c>
      <x:c r="T16" s="16" t="n">
        <x:v>0.02</x:v>
      </x:c>
      <x:c r="U16" s="16" t="n">
        <x:v>0.42</x:v>
      </x:c>
      <x:c r="V16" s="16" t="n">
        <x:v>0.78</x:v>
      </x:c>
      <x:c r="W16" s="16" t="n">
        <x:v>-0.08</x:v>
      </x:c>
      <x:c r="X16" s="16" t="n">
        <x:v>0.47</x:v>
      </x:c>
      <x:c r="Y16" s="16" t="n">
        <x:v>2.46</x:v>
      </x:c>
    </x:row>
    <x:row r="17" ht="23" customHeight="1">
      <x:c r="A17" s="11" t="str">
        <x:v>01548.HK</x:v>
      </x:c>
      <x:c r="B17" s="11" t="str">
        <x:v>一年</x:v>
      </x:c>
      <x:c r="C17" s="11" t="str">
        <x:v>基准</x:v>
      </x:c>
      <x:c r="D17" s="16" t="n">
        <x:v>2.0700000000000003</x:v>
      </x:c>
      <x:c r="E17" s="16" t="n">
        <x:v>0.31</x:v>
      </x:c>
      <x:c r="F17" s="16" t="n">
        <x:v>32</x:v>
      </x:c>
      <x:c r="G17" s="16" t="n">
        <x:v>0.27</x:v>
      </x:c>
      <x:c r="H17" s="16" t="n">
        <x:v>6</x:v>
      </x:c>
      <x:c r="I17" s="16" t="n">
        <x:v>0.095</x:v>
      </x:c>
      <x:c r="J17" s="16" t="n">
        <x:v>2.4</x:v>
      </x:c>
      <x:c r="K17" s="16" t="n">
        <x:v>0.045</x:v>
      </x:c>
      <x:c r="L17" s="16" t="n">
        <x:v>21</x:v>
      </x:c>
      <x:c r="M17" s="16" t="n">
        <x:v>0.18</x:v>
      </x:c>
      <x:c r="N17" s="16" t="n">
        <x:v>2.18</x:v>
      </x:c>
      <x:c r="O17" s="16" t="n">
        <x:v>0.64</x:v>
      </x:c>
      <x:c r="P17" s="16" t="n">
        <x:v>0.55</x:v>
      </x:c>
      <x:c r="Q17" s="16" t="n">
        <x:v>0.46</x:v>
      </x:c>
      <x:c r="R17" s="16" t="n">
        <x:v>0.2</x:v>
      </x:c>
      <x:c r="S17" s="16" t="n">
        <x:v>36</x:v>
      </x:c>
      <x:c r="T17" s="16" t="n">
        <x:v>0.75</x:v>
      </x:c>
      <x:c r="U17" s="16" t="n">
        <x:v>0.437</x:v>
      </x:c>
      <x:c r="V17" s="16" t="n">
        <x:v>0.92</x:v>
      </x:c>
      <x:c r="W17" s="16" t="n">
        <x:v>0.25</x:v>
      </x:c>
      <x:c r="X17" s="16" t="n">
        <x:v>0.4</x:v>
      </x:c>
      <x:c r="Y17" s="16" t="n">
        <x:v>2.4</x:v>
      </x:c>
    </x:row>
    <x:row r="18" ht="23" customHeight="1">
      <x:c r="A18" s="11" t="str">
        <x:v>01548.HK</x:v>
      </x:c>
      <x:c r="B18" s="11" t="str">
        <x:v>一年</x:v>
      </x:c>
      <x:c r="C18" s="11" t="str">
        <x:v>乐观</x:v>
      </x:c>
      <x:c r="D18" s="16" t="n">
        <x:v>1.35</x:v>
      </x:c>
      <x:c r="E18" s="16" t="n">
        <x:v>0.34</x:v>
      </x:c>
      <x:c r="F18" s="16" t="n">
        <x:v>39</x:v>
      </x:c>
      <x:c r="G18" s="16" t="n">
        <x:v>0.37</x:v>
      </x:c>
      <x:c r="H18" s="16" t="n">
        <x:v>8</x:v>
      </x:c>
      <x:c r="I18" s="16" t="n">
        <x:v>0.12</x:v>
      </x:c>
      <x:c r="J18" s="16" t="n">
        <x:v>3.4</x:v>
      </x:c>
      <x:c r="K18" s="16" t="n">
        <x:v>0.047</x:v>
      </x:c>
      <x:c r="L18" s="16" t="n">
        <x:v>23</x:v>
      </x:c>
      <x:c r="M18" s="16" t="n">
        <x:v>0.15</x:v>
      </x:c>
      <x:c r="N18" s="16" t="n">
        <x:v>2.65</x:v>
      </x:c>
      <x:c r="O18" s="16" t="n">
        <x:v>0.66</x:v>
      </x:c>
      <x:c r="P18" s="16" t="n">
        <x:v>0.6</x:v>
      </x:c>
      <x:c r="Q18" s="16" t="n">
        <x:v>0.5</x:v>
      </x:c>
      <x:c r="R18" s="16" t="n">
        <x:v>0.18</x:v>
      </x:c>
      <x:c r="S18" s="16" t="n">
        <x:v>44</x:v>
      </x:c>
      <x:c r="T18" s="16" t="n">
        <x:v>1.2</x:v>
      </x:c>
      <x:c r="U18" s="16" t="n">
        <x:v>0.445</x:v>
      </x:c>
      <x:c r="V18" s="16" t="n">
        <x:v>1</x:v>
      </x:c>
      <x:c r="W18" s="16" t="n">
        <x:v>0.5</x:v>
      </x:c>
      <x:c r="X18" s="16" t="n">
        <x:v>0.38</x:v>
      </x:c>
      <x:c r="Y18" s="16" t="n">
        <x:v>2.34</x:v>
      </x:c>
    </x:row>
    <x:row r="19" ht="23" customHeight="1">
      <x:c r="A19" s="11" t="str">
        <x:v>01548.HK</x:v>
      </x:c>
      <x:c r="B19" s="11" t="str">
        <x:v>三年</x:v>
      </x:c>
      <x:c r="C19" s="11" t="str">
        <x:v>活动输入</x:v>
      </x:c>
      <x:c r="D19" s="11" t="n">
        <x:f>CHOOSE('假设'!$B$3,D20,D21,D22)</x:f>
        <x:v>1.5</x:v>
      </x:c>
      <x:c r="E19" s="11" t="n">
        <x:f>CHOOSE('假设'!$B$3,E20,E21,E22)</x:f>
        <x:v>0.3</x:v>
      </x:c>
      <x:c r="F19" s="11" t="n">
        <x:f>CHOOSE('假设'!$B$3,F20,F21,F22)</x:f>
        <x:v>28</x:v>
      </x:c>
      <x:c r="G19" s="11" t="n">
        <x:f>CHOOSE('假设'!$B$3,G20,G21,G22)</x:f>
        <x:v>0.38</x:v>
      </x:c>
      <x:c r="H19" s="11" t="n">
        <x:f>CHOOSE('假设'!$B$3,H20,H21,H22)</x:f>
        <x:v>5</x:v>
      </x:c>
      <x:c r="I19" s="11" t="n">
        <x:f>CHOOSE('假设'!$B$3,I20,I21,I22)</x:f>
        <x:v>0.13</x:v>
      </x:c>
      <x:c r="J19" s="11" t="n">
        <x:f>CHOOSE('假设'!$B$3,J20,J21,J22)</x:f>
        <x:v>2.2</x:v>
      </x:c>
      <x:c r="K19" s="11" t="n">
        <x:f>CHOOSE('假设'!$B$3,K20,K21,K22)</x:f>
        <x:v>0.06</x:v>
      </x:c>
      <x:c r="L19" s="11" t="n">
        <x:f>CHOOSE('假设'!$B$3,L20,L21,L22)</x:f>
        <x:v>20</x:v>
      </x:c>
      <x:c r="M19" s="11" t="n">
        <x:f>CHOOSE('假设'!$B$3,M20,M21,M22)</x:f>
        <x:v>0.18</x:v>
      </x:c>
      <x:c r="N19" s="11" t="n">
        <x:f>CHOOSE('假设'!$B$3,N20,N21,N22)</x:f>
        <x:v>3.1</x:v>
      </x:c>
      <x:c r="O19" s="11" t="n">
        <x:f>CHOOSE('假设'!$B$3,O20,O21,O22)</x:f>
        <x:v>0.65</x:v>
      </x:c>
      <x:c r="P19" s="11" t="n">
        <x:f>CHOOSE('假设'!$B$3,P20,P21,P22)</x:f>
        <x:v>0.75</x:v>
      </x:c>
      <x:c r="Q19" s="11" t="n">
        <x:f>CHOOSE('假设'!$B$3,Q20,Q21,Q22)</x:f>
        <x:v>0.75</x:v>
      </x:c>
      <x:c r="R19" s="11" t="n">
        <x:f>CHOOSE('假设'!$B$3,R20,R21,R22)</x:f>
        <x:v>0.2</x:v>
      </x:c>
      <x:c r="S19" s="11" t="n">
        <x:f>CHOOSE('假设'!$B$3,S20,S21,S22)</x:f>
        <x:v>30</x:v>
      </x:c>
      <x:c r="T19" s="11" t="n">
        <x:f>CHOOSE('假设'!$B$3,T20,T21,T22)</x:f>
        <x:v>1.8</x:v>
      </x:c>
      <x:c r="U19" s="11" t="n">
        <x:f>CHOOSE('假设'!$B$3,U20,U21,U22)</x:f>
        <x:v>0.42</x:v>
      </x:c>
      <x:c r="V19" s="11" t="n">
        <x:f>CHOOSE('假设'!$B$3,V20,V21,V22)</x:f>
        <x:v>0.92</x:v>
      </x:c>
      <x:c r="W19" s="11" t="n">
        <x:f>CHOOSE('假设'!$B$3,W20,W21,W22)</x:f>
        <x:v>0.75</x:v>
      </x:c>
      <x:c r="X19" s="11" t="n">
        <x:f>CHOOSE('假设'!$B$3,X20,X21,X22)</x:f>
        <x:v>0.46</x:v>
      </x:c>
      <x:c r="Y19" s="11" t="n">
        <x:f>CHOOSE('假设'!$B$3,Y20,Y21,Y22)</x:f>
        <x:v>2.52</x:v>
      </x:c>
    </x:row>
    <x:row r="20" ht="23" customHeight="1">
      <x:c r="A20" s="11" t="str">
        <x:v>01548.HK</x:v>
      </x:c>
      <x:c r="B20" s="11" t="str">
        <x:v>三年</x:v>
      </x:c>
      <x:c r="C20" s="11" t="str">
        <x:v>悲观</x:v>
      </x:c>
      <x:c r="D20" s="16" t="n">
        <x:v>0.88</x:v>
      </x:c>
      <x:c r="E20" s="16" t="n">
        <x:v>0.22</x:v>
      </x:c>
      <x:c r="F20" s="16" t="n">
        <x:v>20</x:v>
      </x:c>
      <x:c r="G20" s="16" t="n">
        <x:v>0.22</x:v>
      </x:c>
      <x:c r="H20" s="16" t="n">
        <x:v>2.5</x:v>
      </x:c>
      <x:c r="I20" s="16" t="n">
        <x:v>0.09</x:v>
      </x:c>
      <x:c r="J20" s="16" t="n">
        <x:v>1.2</x:v>
      </x:c>
      <x:c r="K20" s="16" t="n">
        <x:v>0.05</x:v>
      </x:c>
      <x:c r="L20" s="16" t="n">
        <x:v>18</x:v>
      </x:c>
      <x:c r="M20" s="16" t="n">
        <x:v>0.24</x:v>
      </x:c>
      <x:c r="N20" s="16" t="n">
        <x:v>1.7</x:v>
      </x:c>
      <x:c r="O20" s="16" t="n">
        <x:v>0.57</x:v>
      </x:c>
      <x:c r="P20" s="16" t="n">
        <x:v>0.62</x:v>
      </x:c>
      <x:c r="Q20" s="16" t="n">
        <x:v>0.52</x:v>
      </x:c>
      <x:c r="R20" s="16" t="n">
        <x:v>0.24</x:v>
      </x:c>
      <x:c r="S20" s="16" t="n">
        <x:v>20</x:v>
      </x:c>
      <x:c r="T20" s="16" t="n">
        <x:v>-0.05</x:v>
      </x:c>
      <x:c r="U20" s="16" t="n">
        <x:v>0.38</x:v>
      </x:c>
      <x:c r="V20" s="16" t="n">
        <x:v>0.75</x:v>
      </x:c>
      <x:c r="W20" s="16" t="n">
        <x:v>-0.25</x:v>
      </x:c>
      <x:c r="X20" s="16" t="n">
        <x:v>0.6</x:v>
      </x:c>
      <x:c r="Y20" s="16" t="n">
        <x:v>2.68</x:v>
      </x:c>
    </x:row>
    <x:row r="21" ht="23" customHeight="1">
      <x:c r="A21" s="11" t="str">
        <x:v>01548.HK</x:v>
      </x:c>
      <x:c r="B21" s="11" t="str">
        <x:v>三年</x:v>
      </x:c>
      <x:c r="C21" s="11" t="str">
        <x:v>基准</x:v>
      </x:c>
      <x:c r="D21" s="16" t="n">
        <x:v>1.5</x:v>
      </x:c>
      <x:c r="E21" s="16" t="n">
        <x:v>0.3</x:v>
      </x:c>
      <x:c r="F21" s="16" t="n">
        <x:v>28</x:v>
      </x:c>
      <x:c r="G21" s="16" t="n">
        <x:v>0.38</x:v>
      </x:c>
      <x:c r="H21" s="16" t="n">
        <x:v>5</x:v>
      </x:c>
      <x:c r="I21" s="16" t="n">
        <x:v>0.13</x:v>
      </x:c>
      <x:c r="J21" s="16" t="n">
        <x:v>2.2</x:v>
      </x:c>
      <x:c r="K21" s="16" t="n">
        <x:v>0.06</x:v>
      </x:c>
      <x:c r="L21" s="16" t="n">
        <x:v>20</x:v>
      </x:c>
      <x:c r="M21" s="16" t="n">
        <x:v>0.18</x:v>
      </x:c>
      <x:c r="N21" s="16" t="n">
        <x:v>3.1</x:v>
      </x:c>
      <x:c r="O21" s="16" t="n">
        <x:v>0.65</x:v>
      </x:c>
      <x:c r="P21" s="16" t="n">
        <x:v>0.75</x:v>
      </x:c>
      <x:c r="Q21" s="16" t="n">
        <x:v>0.75</x:v>
      </x:c>
      <x:c r="R21" s="16" t="n">
        <x:v>0.2</x:v>
      </x:c>
      <x:c r="S21" s="16" t="n">
        <x:v>30</x:v>
      </x:c>
      <x:c r="T21" s="16" t="n">
        <x:v>1.8</x:v>
      </x:c>
      <x:c r="U21" s="16" t="n">
        <x:v>0.42</x:v>
      </x:c>
      <x:c r="V21" s="16" t="n">
        <x:v>0.92</x:v>
      </x:c>
      <x:c r="W21" s="16" t="n">
        <x:v>0.75</x:v>
      </x:c>
      <x:c r="X21" s="16" t="n">
        <x:v>0.46</x:v>
      </x:c>
      <x:c r="Y21" s="16" t="n">
        <x:v>2.52</x:v>
      </x:c>
    </x:row>
    <x:row r="22" ht="23" customHeight="1">
      <x:c r="A22" s="11" t="str">
        <x:v>01548.HK</x:v>
      </x:c>
      <x:c r="B22" s="11" t="str">
        <x:v>三年</x:v>
      </x:c>
      <x:c r="C22" s="11" t="str">
        <x:v>乐观</x:v>
      </x:c>
      <x:c r="D22" s="16" t="n">
        <x:v>2.05</x:v>
      </x:c>
      <x:c r="E22" s="16" t="n">
        <x:v>0.34</x:v>
      </x:c>
      <x:c r="F22" s="16" t="n">
        <x:v>34</x:v>
      </x:c>
      <x:c r="G22" s="16" t="n">
        <x:v>0.62</x:v>
      </x:c>
      <x:c r="H22" s="16" t="n">
        <x:v>7</x:v>
      </x:c>
      <x:c r="I22" s="16" t="n">
        <x:v>0.19</x:v>
      </x:c>
      <x:c r="J22" s="16" t="n">
        <x:v>3</x:v>
      </x:c>
      <x:c r="K22" s="16" t="n">
        <x:v>0.07</x:v>
      </x:c>
      <x:c r="L22" s="16" t="n">
        <x:v>22</x:v>
      </x:c>
      <x:c r="M22" s="16" t="n">
        <x:v>0.16</x:v>
      </x:c>
      <x:c r="N22" s="16" t="n">
        <x:v>4.1</x:v>
      </x:c>
      <x:c r="O22" s="16" t="n">
        <x:v>0.68</x:v>
      </x:c>
      <x:c r="P22" s="16" t="n">
        <x:v>0.9</x:v>
      </x:c>
      <x:c r="Q22" s="16" t="n">
        <x:v>0.88</x:v>
      </x:c>
      <x:c r="R22" s="16" t="n">
        <x:v>0.18</x:v>
      </x:c>
      <x:c r="S22" s="16" t="n">
        <x:v>38</x:v>
      </x:c>
      <x:c r="T22" s="16" t="n">
        <x:v>3.2</x:v>
      </x:c>
      <x:c r="U22" s="16" t="n">
        <x:v>0.44</x:v>
      </x:c>
      <x:c r="V22" s="16" t="n">
        <x:v>1</x:v>
      </x:c>
      <x:c r="W22" s="16" t="n">
        <x:v>1.4</x:v>
      </x:c>
      <x:c r="X22" s="16" t="n">
        <x:v>0.41</x:v>
      </x:c>
      <x:c r="Y22" s="16" t="n">
        <x:v>2.44</x:v>
      </x:c>
    </x:row>
    <x:row r="23" ht="23" customHeight="1">
      <x:c r="A23" s="11" t="str">
        <x:v>01548.HK</x:v>
      </x:c>
      <x:c r="B23" s="11" t="str">
        <x:v>五年</x:v>
      </x:c>
      <x:c r="C23" s="11" t="str">
        <x:v>活动输入</x:v>
      </x:c>
      <x:c r="D23" s="11" t="n">
        <x:f>CHOOSE('假设'!$B$3,D24,D25,D26)</x:f>
        <x:v>2.2</x:v>
      </x:c>
      <x:c r="E23" s="11" t="n">
        <x:f>CHOOSE('假设'!$B$3,E24,E25,E26)</x:f>
        <x:v>0.3</x:v>
      </x:c>
      <x:c r="F23" s="11" t="n">
        <x:f>CHOOSE('假设'!$B$3,F24,F25,F26)</x:f>
        <x:v>26</x:v>
      </x:c>
      <x:c r="G23" s="11" t="n">
        <x:f>CHOOSE('假设'!$B$3,G24,G25,G26)</x:f>
        <x:v>0.6</x:v>
      </x:c>
      <x:c r="H23" s="11" t="n">
        <x:f>CHOOSE('假设'!$B$3,H24,H25,H26)</x:f>
        <x:v>4.5</x:v>
      </x:c>
      <x:c r="I23" s="11" t="n">
        <x:f>CHOOSE('假设'!$B$3,I24,I25,I26)</x:f>
        <x:v>0.22</x:v>
      </x:c>
      <x:c r="J23" s="11" t="n">
        <x:f>CHOOSE('假设'!$B$3,J24,J25,J26)</x:f>
        <x:v>2</x:v>
      </x:c>
      <x:c r="K23" s="11" t="n">
        <x:f>CHOOSE('假设'!$B$3,K24,K25,K26)</x:f>
        <x:v>0.08</x:v>
      </x:c>
      <x:c r="L23" s="11" t="n">
        <x:f>CHOOSE('假设'!$B$3,L24,L25,L26)</x:f>
        <x:v>20</x:v>
      </x:c>
      <x:c r="M23" s="11" t="n">
        <x:f>CHOOSE('假设'!$B$3,M24,M25,M26)</x:f>
        <x:v>0.18</x:v>
      </x:c>
      <x:c r="N23" s="11" t="n">
        <x:f>CHOOSE('假设'!$B$3,N24,N25,N26)</x:f>
        <x:v>4.2</x:v>
      </x:c>
      <x:c r="O23" s="11" t="n">
        <x:f>CHOOSE('假设'!$B$3,O24,O25,O26)</x:f>
        <x:v>0.66</x:v>
      </x:c>
      <x:c r="P23" s="11" t="n">
        <x:f>CHOOSE('假设'!$B$3,P24,P25,P26)</x:f>
        <x:v>1</x:v>
      </x:c>
      <x:c r="Q23" s="11" t="n">
        <x:f>CHOOSE('假设'!$B$3,Q24,Q25,Q26)</x:f>
        <x:v>1</x:v>
      </x:c>
      <x:c r="R23" s="11" t="n">
        <x:f>CHOOSE('假设'!$B$3,R24,R25,R26)</x:f>
        <x:v>0.2</x:v>
      </x:c>
      <x:c r="S23" s="11" t="n">
        <x:f>CHOOSE('假设'!$B$3,S24,S25,S26)</x:f>
        <x:v>28</x:v>
      </x:c>
      <x:c r="T23" s="11" t="n">
        <x:f>CHOOSE('假设'!$B$3,T24,T25,T26)</x:f>
        <x:v>3.5</x:v>
      </x:c>
      <x:c r="U23" s="11" t="n">
        <x:f>CHOOSE('假设'!$B$3,U24,U25,U26)</x:f>
        <x:v>0.4</x:v>
      </x:c>
      <x:c r="V23" s="11" t="n">
        <x:f>CHOOSE('假设'!$B$3,V24,V25,V26)</x:f>
        <x:v>0.92</x:v>
      </x:c>
      <x:c r="W23" s="11" t="n">
        <x:f>CHOOSE('假设'!$B$3,W24,W25,W26)</x:f>
        <x:v>1.2</x:v>
      </x:c>
      <x:c r="X23" s="11" t="n">
        <x:f>CHOOSE('假设'!$B$3,X24,X25,X26)</x:f>
        <x:v>0.55</x:v>
      </x:c>
      <x:c r="Y23" s="11" t="n">
        <x:f>CHOOSE('假设'!$B$3,Y24,Y25,Y26)</x:f>
        <x:v>2.65</x:v>
      </x:c>
    </x:row>
    <x:row r="24" ht="23" customHeight="1">
      <x:c r="A24" s="11" t="str">
        <x:v>01548.HK</x:v>
      </x:c>
      <x:c r="B24" s="11" t="str">
        <x:v>五年</x:v>
      </x:c>
      <x:c r="C24" s="11" t="str">
        <x:v>悲观</x:v>
      </x:c>
      <x:c r="D24" s="16" t="n">
        <x:v>1</x:v>
      </x:c>
      <x:c r="E24" s="16" t="n">
        <x:v>0.2</x:v>
      </x:c>
      <x:c r="F24" s="16" t="n">
        <x:v>18</x:v>
      </x:c>
      <x:c r="G24" s="16" t="n">
        <x:v>0.28</x:v>
      </x:c>
      <x:c r="H24" s="16" t="n">
        <x:v>2</x:v>
      </x:c>
      <x:c r="I24" s="16" t="n">
        <x:v>0.11</x:v>
      </x:c>
      <x:c r="J24" s="16" t="n">
        <x:v>1.1</x:v>
      </x:c>
      <x:c r="K24" s="16" t="n">
        <x:v>0.06</x:v>
      </x:c>
      <x:c r="L24" s="16" t="n">
        <x:v>18</x:v>
      </x:c>
      <x:c r="M24" s="16" t="n">
        <x:v>0.25</x:v>
      </x:c>
      <x:c r="N24" s="16" t="n">
        <x:v>1.75</x:v>
      </x:c>
      <x:c r="O24" s="16" t="n">
        <x:v>0.56</x:v>
      </x:c>
      <x:c r="P24" s="16" t="n">
        <x:v>0.68</x:v>
      </x:c>
      <x:c r="Q24" s="16" t="n">
        <x:v>0.6</x:v>
      </x:c>
      <x:c r="R24" s="16" t="n">
        <x:v>0.25</x:v>
      </x:c>
      <x:c r="S24" s="16" t="n">
        <x:v>18</x:v>
      </x:c>
      <x:c r="T24" s="16" t="n">
        <x:v>-0.1</x:v>
      </x:c>
      <x:c r="U24" s="16" t="n">
        <x:v>0.33</x:v>
      </x:c>
      <x:c r="V24" s="16" t="n">
        <x:v>0.7</x:v>
      </x:c>
      <x:c r="W24" s="16" t="n">
        <x:v>-0.4</x:v>
      </x:c>
      <x:c r="X24" s="16" t="n">
        <x:v>0.8</x:v>
      </x:c>
      <x:c r="Y24" s="16" t="n">
        <x:v>2.94</x:v>
      </x:c>
    </x:row>
    <x:row r="25" ht="23" customHeight="1">
      <x:c r="A25" s="11" t="str">
        <x:v>01548.HK</x:v>
      </x:c>
      <x:c r="B25" s="11" t="str">
        <x:v>五年</x:v>
      </x:c>
      <x:c r="C25" s="11" t="str">
        <x:v>基准</x:v>
      </x:c>
      <x:c r="D25" s="16" t="n">
        <x:v>2.2</x:v>
      </x:c>
      <x:c r="E25" s="16" t="n">
        <x:v>0.3</x:v>
      </x:c>
      <x:c r="F25" s="16" t="n">
        <x:v>26</x:v>
      </x:c>
      <x:c r="G25" s="16" t="n">
        <x:v>0.6</x:v>
      </x:c>
      <x:c r="H25" s="16" t="n">
        <x:v>4.5</x:v>
      </x:c>
      <x:c r="I25" s="16" t="n">
        <x:v>0.22</x:v>
      </x:c>
      <x:c r="J25" s="16" t="n">
        <x:v>2</x:v>
      </x:c>
      <x:c r="K25" s="16" t="n">
        <x:v>0.08</x:v>
      </x:c>
      <x:c r="L25" s="16" t="n">
        <x:v>20</x:v>
      </x:c>
      <x:c r="M25" s="16" t="n">
        <x:v>0.18</x:v>
      </x:c>
      <x:c r="N25" s="16" t="n">
        <x:v>4.2</x:v>
      </x:c>
      <x:c r="O25" s="16" t="n">
        <x:v>0.66</x:v>
      </x:c>
      <x:c r="P25" s="16" t="n">
        <x:v>1</x:v>
      </x:c>
      <x:c r="Q25" s="16" t="n">
        <x:v>1</x:v>
      </x:c>
      <x:c r="R25" s="16" t="n">
        <x:v>0.2</x:v>
      </x:c>
      <x:c r="S25" s="16" t="n">
        <x:v>28</x:v>
      </x:c>
      <x:c r="T25" s="16" t="n">
        <x:v>3.5</x:v>
      </x:c>
      <x:c r="U25" s="16" t="n">
        <x:v>0.4</x:v>
      </x:c>
      <x:c r="V25" s="16" t="n">
        <x:v>0.92</x:v>
      </x:c>
      <x:c r="W25" s="16" t="n">
        <x:v>1.2</x:v>
      </x:c>
      <x:c r="X25" s="16" t="n">
        <x:v>0.55</x:v>
      </x:c>
      <x:c r="Y25" s="16" t="n">
        <x:v>2.65</x:v>
      </x:c>
    </x:row>
    <x:row r="26" ht="23" customHeight="1">
      <x:c r="A26" s="11" t="str">
        <x:v>01548.HK</x:v>
      </x:c>
      <x:c r="B26" s="11" t="str">
        <x:v>五年</x:v>
      </x:c>
      <x:c r="C26" s="11" t="str">
        <x:v>乐观</x:v>
      </x:c>
      <x:c r="D26" s="16" t="n">
        <x:v>3.1</x:v>
      </x:c>
      <x:c r="E26" s="16" t="n">
        <x:v>0.34</x:v>
      </x:c>
      <x:c r="F26" s="16" t="n">
        <x:v>32</x:v>
      </x:c>
      <x:c r="G26" s="16" t="n">
        <x:v>0.95</x:v>
      </x:c>
      <x:c r="H26" s="16" t="n">
        <x:v>6.5</x:v>
      </x:c>
      <x:c r="I26" s="16" t="n">
        <x:v>0.32</x:v>
      </x:c>
      <x:c r="J26" s="16" t="n">
        <x:v>2.8</x:v>
      </x:c>
      <x:c r="K26" s="16" t="n">
        <x:v>0.1</x:v>
      </x:c>
      <x:c r="L26" s="16" t="n">
        <x:v>22</x:v>
      </x:c>
      <x:c r="M26" s="16" t="n">
        <x:v>0.16</x:v>
      </x:c>
      <x:c r="N26" s="16" t="n">
        <x:v>5.8</x:v>
      </x:c>
      <x:c r="O26" s="16" t="n">
        <x:v>0.69</x:v>
      </x:c>
      <x:c r="P26" s="16" t="n">
        <x:v>1.35</x:v>
      </x:c>
      <x:c r="Q26" s="16" t="n">
        <x:v>1.3</x:v>
      </x:c>
      <x:c r="R26" s="16" t="n">
        <x:v>0.18</x:v>
      </x:c>
      <x:c r="S26" s="16" t="n">
        <x:v>35</x:v>
      </x:c>
      <x:c r="T26" s="16" t="n">
        <x:v>6</x:v>
      </x:c>
      <x:c r="U26" s="16" t="n">
        <x:v>0.435</x:v>
      </x:c>
      <x:c r="V26" s="16" t="n">
        <x:v>1</x:v>
      </x:c>
      <x:c r="W26" s="16" t="n">
        <x:v>2.3</x:v>
      </x:c>
      <x:c r="X26" s="16" t="n">
        <x:v>0.45</x:v>
      </x:c>
      <x:c r="Y26" s="16" t="n">
        <x:v>2.55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4" t="str">
        <x:v>传奇两资产聚合组 · USD现金流 · 全部未来参数为研究假设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52" customHeight="1">
      <x:c r="A6" s="12" t="str">
        <x:v>代码</x:v>
      </x:c>
      <x:c r="B6" s="12" t="str">
        <x:v>期限</x:v>
      </x:c>
      <x:c r="C6" s="12" t="str">
        <x:v>资产组</x:v>
      </x:c>
      <x:c r="D6" s="12" t="str">
        <x:v>情景</x:v>
      </x:c>
      <x:c r="E6" s="12" t="str">
        <x:v>成功因子</x:v>
      </x:c>
      <x:c r="F6" s="12" t="str">
        <x:v>净现金率</x:v>
      </x:c>
      <x:c r="G6" s="12" t="str">
        <x:v>授权提成率</x:v>
      </x:c>
      <x:c r="H6" s="12" t="str">
        <x:v>折现率</x:v>
      </x:c>
      <x:c r="I6" s="12" t="str">
        <x:v>专项研发储备USD十亿</x:v>
      </x:c>
    </x:row>
    <x:row r="7" ht="23" customHeight="1">
      <x:c r="A7" s="11" t="str">
        <x:v>01548.HK</x:v>
      </x:c>
      <x:c r="B7" s="11" t="str">
        <x:v>2026年底</x:v>
      </x:c>
      <x:c r="C7" s="11" t="str">
        <x:v>LB2501</x:v>
      </x:c>
      <x:c r="D7" s="11" t="str">
        <x:v>活动输入</x:v>
      </x:c>
      <x:c r="E7" s="11" t="n">
        <x:f>CHOOSE('假设'!$B$3,E8,E9,E10)</x:f>
        <x:v>0.12</x:v>
      </x:c>
      <x:c r="F7" s="11" t="n">
        <x:f>CHOOSE('假设'!$B$3,F8,F9,F10)</x:f>
        <x:v>0.25</x:v>
      </x:c>
      <x:c r="G7" s="11" t="n">
        <x:f>CHOOSE('假设'!$B$3,G8,G9,G10)</x:f>
        <x:v>1</x:v>
      </x:c>
      <x:c r="H7" s="11" t="n">
        <x:f>CHOOSE('假设'!$B$3,H8,H9,H10)</x:f>
        <x:v>0.15</x:v>
      </x:c>
      <x:c r="I7" s="11" t="n">
        <x:f>CHOOSE('假设'!$B$3,I8,I9,I10)</x:f>
        <x:v>0.22</x:v>
      </x:c>
    </x:row>
    <x:row r="8" ht="23" customHeight="1">
      <x:c r="A8" s="11" t="str">
        <x:v>01548.HK</x:v>
      </x:c>
      <x:c r="B8" s="11" t="str">
        <x:v>2026年底</x:v>
      </x:c>
      <x:c r="C8" s="11" t="str">
        <x:v>LB2501</x:v>
      </x:c>
      <x:c r="D8" s="11" t="str">
        <x:v>悲观</x:v>
      </x:c>
      <x:c r="E8" s="16" t="n">
        <x:v>0.03</x:v>
      </x:c>
      <x:c r="F8" s="16" t="n">
        <x:v>0.18</x:v>
      </x:c>
      <x:c r="G8" s="16" t="n">
        <x:v>1</x:v>
      </x:c>
      <x:c r="H8" s="16" t="n">
        <x:v>0.18</x:v>
      </x:c>
      <x:c r="I8" s="16" t="n">
        <x:v>0.1</x:v>
      </x:c>
    </x:row>
    <x:row r="9" ht="23" customHeight="1">
      <x:c r="A9" s="11" t="str">
        <x:v>01548.HK</x:v>
      </x:c>
      <x:c r="B9" s="11" t="str">
        <x:v>2026年底</x:v>
      </x:c>
      <x:c r="C9" s="11" t="str">
        <x:v>LB2501</x:v>
      </x:c>
      <x:c r="D9" s="11" t="str">
        <x:v>基准</x:v>
      </x:c>
      <x:c r="E9" s="16" t="n">
        <x:v>0.12</x:v>
      </x:c>
      <x:c r="F9" s="16" t="n">
        <x:v>0.25</x:v>
      </x:c>
      <x:c r="G9" s="16" t="n">
        <x:v>1</x:v>
      </x:c>
      <x:c r="H9" s="16" t="n">
        <x:v>0.15</x:v>
      </x:c>
      <x:c r="I9" s="16" t="n">
        <x:v>0.22</x:v>
      </x:c>
    </x:row>
    <x:row r="10" ht="23" customHeight="1">
      <x:c r="A10" s="11" t="str">
        <x:v>01548.HK</x:v>
      </x:c>
      <x:c r="B10" s="11" t="str">
        <x:v>2026年底</x:v>
      </x:c>
      <x:c r="C10" s="11" t="str">
        <x:v>LB2501</x:v>
      </x:c>
      <x:c r="D10" s="11" t="str">
        <x:v>乐观</x:v>
      </x:c>
      <x:c r="E10" s="16" t="n">
        <x:v>0.25</x:v>
      </x:c>
      <x:c r="F10" s="16" t="n">
        <x:v>0.3</x:v>
      </x:c>
      <x:c r="G10" s="16" t="n">
        <x:v>1</x:v>
      </x:c>
      <x:c r="H10" s="16" t="n">
        <x:v>0.12</x:v>
      </x:c>
      <x:c r="I10" s="16" t="n">
        <x:v>0.45</x:v>
      </x:c>
    </x:row>
    <x:row r="11" ht="23" customHeight="1">
      <x:c r="A11" s="11" t="str">
        <x:v>01548.HK</x:v>
      </x:c>
      <x:c r="B11" s="11" t="str">
        <x:v>2026年底</x:v>
      </x:c>
      <x:c r="C11" s="11" t="str">
        <x:v>LB2102</x:v>
      </x:c>
      <x:c r="D11" s="11" t="str">
        <x:v>活动输入</x:v>
      </x:c>
      <x:c r="E11" s="11" t="n">
        <x:f>CHOOSE('假设'!$B$3,E12,E13,E14)</x:f>
        <x:v>0.18</x:v>
      </x:c>
      <x:c r="F11" s="11" t="n">
        <x:f>CHOOSE('假设'!$B$3,F12,F13,F14)</x:f>
        <x:v>0.8</x:v>
      </x:c>
      <x:c r="G11" s="11" t="n">
        <x:f>CHOOSE('假设'!$B$3,G12,G13,G14)</x:f>
        <x:v>0.1</x:v>
      </x:c>
      <x:c r="H11" s="11" t="n">
        <x:f>CHOOSE('假设'!$B$3,H12,H13,H14)</x:f>
        <x:v>0.15</x:v>
      </x:c>
      <x:c r="I11" s="11" t="n">
        <x:f>CHOOSE('假设'!$B$3,I12,I13,I14)</x:f>
        <x:v>0.22</x:v>
      </x:c>
    </x:row>
    <x:row r="12" ht="23" customHeight="1">
      <x:c r="A12" s="11" t="str">
        <x:v>01548.HK</x:v>
      </x:c>
      <x:c r="B12" s="11" t="str">
        <x:v>2026年底</x:v>
      </x:c>
      <x:c r="C12" s="11" t="str">
        <x:v>LB2102</x:v>
      </x:c>
      <x:c r="D12" s="11" t="str">
        <x:v>悲观</x:v>
      </x:c>
      <x:c r="E12" s="16" t="n">
        <x:v>0.05</x:v>
      </x:c>
      <x:c r="F12" s="16" t="n">
        <x:v>0.78</x:v>
      </x:c>
      <x:c r="G12" s="16" t="n">
        <x:v>0.08</x:v>
      </x:c>
      <x:c r="H12" s="11" t="n">
        <x:f>H8</x:f>
        <x:v>0.18</x:v>
      </x:c>
      <x:c r="I12" s="11" t="n">
        <x:f>I8</x:f>
        <x:v>0.1</x:v>
      </x:c>
    </x:row>
    <x:row r="13" ht="23" customHeight="1">
      <x:c r="A13" s="11" t="str">
        <x:v>01548.HK</x:v>
      </x:c>
      <x:c r="B13" s="11" t="str">
        <x:v>2026年底</x:v>
      </x:c>
      <x:c r="C13" s="11" t="str">
        <x:v>LB2102</x:v>
      </x:c>
      <x:c r="D13" s="11" t="str">
        <x:v>基准</x:v>
      </x:c>
      <x:c r="E13" s="16" t="n">
        <x:v>0.18</x:v>
      </x:c>
      <x:c r="F13" s="16" t="n">
        <x:v>0.8</x:v>
      </x:c>
      <x:c r="G13" s="16" t="n">
        <x:v>0.1</x:v>
      </x:c>
      <x:c r="H13" s="11" t="n">
        <x:f>H9</x:f>
        <x:v>0.15</x:v>
      </x:c>
      <x:c r="I13" s="11" t="n">
        <x:f>I9</x:f>
        <x:v>0.22</x:v>
      </x:c>
    </x:row>
    <x:row r="14" ht="23" customHeight="1">
      <x:c r="A14" s="11" t="str">
        <x:v>01548.HK</x:v>
      </x:c>
      <x:c r="B14" s="11" t="str">
        <x:v>2026年底</x:v>
      </x:c>
      <x:c r="C14" s="11" t="str">
        <x:v>LB2102</x:v>
      </x:c>
      <x:c r="D14" s="11" t="str">
        <x:v>乐观</x:v>
      </x:c>
      <x:c r="E14" s="16" t="n">
        <x:v>0.35</x:v>
      </x:c>
      <x:c r="F14" s="16" t="n">
        <x:v>0.82</x:v>
      </x:c>
      <x:c r="G14" s="16" t="n">
        <x:v>0.12</x:v>
      </x:c>
      <x:c r="H14" s="11" t="n">
        <x:f>H10</x:f>
        <x:v>0.12</x:v>
      </x:c>
      <x:c r="I14" s="11" t="n">
        <x:f>I10</x:f>
        <x:v>0.45</x:v>
      </x:c>
    </x:row>
    <x:row r="15" ht="23" customHeight="1">
      <x:c r="A15" s="11" t="str">
        <x:v>01548.HK</x:v>
      </x:c>
      <x:c r="B15" s="11" t="str">
        <x:v>半年</x:v>
      </x:c>
      <x:c r="C15" s="11" t="str">
        <x:v>LB2501</x:v>
      </x:c>
      <x:c r="D15" s="11" t="str">
        <x:v>活动输入</x:v>
      </x:c>
      <x:c r="E15" s="11" t="n">
        <x:f>CHOOSE('假设'!$B$3,E16,E17,E18)</x:f>
        <x:v>0.12</x:v>
      </x:c>
      <x:c r="F15" s="11" t="n">
        <x:f>CHOOSE('假设'!$B$3,F16,F17,F18)</x:f>
        <x:v>0.25</x:v>
      </x:c>
      <x:c r="G15" s="11" t="n">
        <x:f>CHOOSE('假设'!$B$3,G16,G17,G18)</x:f>
        <x:v>1</x:v>
      </x:c>
      <x:c r="H15" s="11" t="n">
        <x:f>CHOOSE('假设'!$B$3,H16,H17,H18)</x:f>
        <x:v>0.15</x:v>
      </x:c>
      <x:c r="I15" s="11" t="n">
        <x:f>CHOOSE('假设'!$B$3,I16,I17,I18)</x:f>
        <x:v>0.22</x:v>
      </x:c>
    </x:row>
    <x:row r="16" ht="23" customHeight="1">
      <x:c r="A16" s="11" t="str">
        <x:v>01548.HK</x:v>
      </x:c>
      <x:c r="B16" s="11" t="str">
        <x:v>半年</x:v>
      </x:c>
      <x:c r="C16" s="11" t="str">
        <x:v>LB2501</x:v>
      </x:c>
      <x:c r="D16" s="11" t="str">
        <x:v>悲观</x:v>
      </x:c>
      <x:c r="E16" s="16" t="n">
        <x:v>0.03</x:v>
      </x:c>
      <x:c r="F16" s="16" t="n">
        <x:v>0.18</x:v>
      </x:c>
      <x:c r="G16" s="16" t="n">
        <x:v>1</x:v>
      </x:c>
      <x:c r="H16" s="16" t="n">
        <x:v>0.18</x:v>
      </x:c>
      <x:c r="I16" s="16" t="n">
        <x:v>0.1</x:v>
      </x:c>
    </x:row>
    <x:row r="17" ht="23" customHeight="1">
      <x:c r="A17" s="11" t="str">
        <x:v>01548.HK</x:v>
      </x:c>
      <x:c r="B17" s="11" t="str">
        <x:v>半年</x:v>
      </x:c>
      <x:c r="C17" s="11" t="str">
        <x:v>LB2501</x:v>
      </x:c>
      <x:c r="D17" s="11" t="str">
        <x:v>基准</x:v>
      </x:c>
      <x:c r="E17" s="16" t="n">
        <x:v>0.12</x:v>
      </x:c>
      <x:c r="F17" s="16" t="n">
        <x:v>0.25</x:v>
      </x:c>
      <x:c r="G17" s="16" t="n">
        <x:v>1</x:v>
      </x:c>
      <x:c r="H17" s="16" t="n">
        <x:v>0.15</x:v>
      </x:c>
      <x:c r="I17" s="16" t="n">
        <x:v>0.22</x:v>
      </x:c>
    </x:row>
    <x:row r="18" ht="23" customHeight="1">
      <x:c r="A18" s="11" t="str">
        <x:v>01548.HK</x:v>
      </x:c>
      <x:c r="B18" s="11" t="str">
        <x:v>半年</x:v>
      </x:c>
      <x:c r="C18" s="11" t="str">
        <x:v>LB2501</x:v>
      </x:c>
      <x:c r="D18" s="11" t="str">
        <x:v>乐观</x:v>
      </x:c>
      <x:c r="E18" s="16" t="n">
        <x:v>0.25</x:v>
      </x:c>
      <x:c r="F18" s="16" t="n">
        <x:v>0.3</x:v>
      </x:c>
      <x:c r="G18" s="16" t="n">
        <x:v>1</x:v>
      </x:c>
      <x:c r="H18" s="16" t="n">
        <x:v>0.12</x:v>
      </x:c>
      <x:c r="I18" s="16" t="n">
        <x:v>0.45</x:v>
      </x:c>
    </x:row>
    <x:row r="19" ht="23" customHeight="1">
      <x:c r="A19" s="11" t="str">
        <x:v>01548.HK</x:v>
      </x:c>
      <x:c r="B19" s="11" t="str">
        <x:v>半年</x:v>
      </x:c>
      <x:c r="C19" s="11" t="str">
        <x:v>LB2102</x:v>
      </x:c>
      <x:c r="D19" s="11" t="str">
        <x:v>活动输入</x:v>
      </x:c>
      <x:c r="E19" s="11" t="n">
        <x:f>CHOOSE('假设'!$B$3,E20,E21,E22)</x:f>
        <x:v>0.18</x:v>
      </x:c>
      <x:c r="F19" s="11" t="n">
        <x:f>CHOOSE('假设'!$B$3,F20,F21,F22)</x:f>
        <x:v>0.8</x:v>
      </x:c>
      <x:c r="G19" s="11" t="n">
        <x:f>CHOOSE('假设'!$B$3,G20,G21,G22)</x:f>
        <x:v>0.1</x:v>
      </x:c>
      <x:c r="H19" s="11" t="n">
        <x:f>CHOOSE('假设'!$B$3,H20,H21,H22)</x:f>
        <x:v>0.15</x:v>
      </x:c>
      <x:c r="I19" s="11" t="n">
        <x:f>CHOOSE('假设'!$B$3,I20,I21,I22)</x:f>
        <x:v>0.22</x:v>
      </x:c>
    </x:row>
    <x:row r="20" ht="23" customHeight="1">
      <x:c r="A20" s="11" t="str">
        <x:v>01548.HK</x:v>
      </x:c>
      <x:c r="B20" s="11" t="str">
        <x:v>半年</x:v>
      </x:c>
      <x:c r="C20" s="11" t="str">
        <x:v>LB2102</x:v>
      </x:c>
      <x:c r="D20" s="11" t="str">
        <x:v>悲观</x:v>
      </x:c>
      <x:c r="E20" s="16" t="n">
        <x:v>0.05</x:v>
      </x:c>
      <x:c r="F20" s="16" t="n">
        <x:v>0.78</x:v>
      </x:c>
      <x:c r="G20" s="16" t="n">
        <x:v>0.08</x:v>
      </x:c>
      <x:c r="H20" s="11" t="n">
        <x:f>H16</x:f>
        <x:v>0.18</x:v>
      </x:c>
      <x:c r="I20" s="11" t="n">
        <x:f>I16</x:f>
        <x:v>0.1</x:v>
      </x:c>
    </x:row>
    <x:row r="21" ht="23" customHeight="1">
      <x:c r="A21" s="11" t="str">
        <x:v>01548.HK</x:v>
      </x:c>
      <x:c r="B21" s="11" t="str">
        <x:v>半年</x:v>
      </x:c>
      <x:c r="C21" s="11" t="str">
        <x:v>LB2102</x:v>
      </x:c>
      <x:c r="D21" s="11" t="str">
        <x:v>基准</x:v>
      </x:c>
      <x:c r="E21" s="16" t="n">
        <x:v>0.18</x:v>
      </x:c>
      <x:c r="F21" s="16" t="n">
        <x:v>0.8</x:v>
      </x:c>
      <x:c r="G21" s="16" t="n">
        <x:v>0.1</x:v>
      </x:c>
      <x:c r="H21" s="11" t="n">
        <x:f>H17</x:f>
        <x:v>0.15</x:v>
      </x:c>
      <x:c r="I21" s="11" t="n">
        <x:f>I17</x:f>
        <x:v>0.22</x:v>
      </x:c>
    </x:row>
    <x:row r="22" ht="23" customHeight="1">
      <x:c r="A22" s="11" t="str">
        <x:v>01548.HK</x:v>
      </x:c>
      <x:c r="B22" s="11" t="str">
        <x:v>半年</x:v>
      </x:c>
      <x:c r="C22" s="11" t="str">
        <x:v>LB2102</x:v>
      </x:c>
      <x:c r="D22" s="11" t="str">
        <x:v>乐观</x:v>
      </x:c>
      <x:c r="E22" s="16" t="n">
        <x:v>0.35</x:v>
      </x:c>
      <x:c r="F22" s="16" t="n">
        <x:v>0.82</x:v>
      </x:c>
      <x:c r="G22" s="16" t="n">
        <x:v>0.12</x:v>
      </x:c>
      <x:c r="H22" s="11" t="n">
        <x:f>H18</x:f>
        <x:v>0.12</x:v>
      </x:c>
      <x:c r="I22" s="11" t="n">
        <x:f>I18</x:f>
        <x:v>0.45</x:v>
      </x:c>
    </x:row>
    <x:row r="23" ht="23" customHeight="1">
      <x:c r="A23" s="11" t="str">
        <x:v>01548.HK</x:v>
      </x:c>
      <x:c r="B23" s="11" t="str">
        <x:v>一年</x:v>
      </x:c>
      <x:c r="C23" s="11" t="str">
        <x:v>LB2501</x:v>
      </x:c>
      <x:c r="D23" s="11" t="str">
        <x:v>活动输入</x:v>
      </x:c>
      <x:c r="E23" s="11" t="n">
        <x:f>CHOOSE('假设'!$B$3,E24,E25,E26)</x:f>
        <x:v>0.12</x:v>
      </x:c>
      <x:c r="F23" s="11" t="n">
        <x:f>CHOOSE('假设'!$B$3,F24,F25,F26)</x:f>
        <x:v>0.25</x:v>
      </x:c>
      <x:c r="G23" s="11" t="n">
        <x:f>CHOOSE('假设'!$B$3,G24,G25,G26)</x:f>
        <x:v>1</x:v>
      </x:c>
      <x:c r="H23" s="11" t="n">
        <x:f>CHOOSE('假设'!$B$3,H24,H25,H26)</x:f>
        <x:v>0.15</x:v>
      </x:c>
      <x:c r="I23" s="11" t="n">
        <x:f>CHOOSE('假设'!$B$3,I24,I25,I26)</x:f>
        <x:v>0.22</x:v>
      </x:c>
    </x:row>
    <x:row r="24" ht="23" customHeight="1">
      <x:c r="A24" s="11" t="str">
        <x:v>01548.HK</x:v>
      </x:c>
      <x:c r="B24" s="11" t="str">
        <x:v>一年</x:v>
      </x:c>
      <x:c r="C24" s="11" t="str">
        <x:v>LB2501</x:v>
      </x:c>
      <x:c r="D24" s="11" t="str">
        <x:v>悲观</x:v>
      </x:c>
      <x:c r="E24" s="16" t="n">
        <x:v>0.03</x:v>
      </x:c>
      <x:c r="F24" s="16" t="n">
        <x:v>0.18</x:v>
      </x:c>
      <x:c r="G24" s="16" t="n">
        <x:v>1</x:v>
      </x:c>
      <x:c r="H24" s="16" t="n">
        <x:v>0.18</x:v>
      </x:c>
      <x:c r="I24" s="16" t="n">
        <x:v>0.1</x:v>
      </x:c>
    </x:row>
    <x:row r="25" ht="23" customHeight="1">
      <x:c r="A25" s="11" t="str">
        <x:v>01548.HK</x:v>
      </x:c>
      <x:c r="B25" s="11" t="str">
        <x:v>一年</x:v>
      </x:c>
      <x:c r="C25" s="11" t="str">
        <x:v>LB2501</x:v>
      </x:c>
      <x:c r="D25" s="11" t="str">
        <x:v>基准</x:v>
      </x:c>
      <x:c r="E25" s="16" t="n">
        <x:v>0.12</x:v>
      </x:c>
      <x:c r="F25" s="16" t="n">
        <x:v>0.25</x:v>
      </x:c>
      <x:c r="G25" s="16" t="n">
        <x:v>1</x:v>
      </x:c>
      <x:c r="H25" s="16" t="n">
        <x:v>0.15</x:v>
      </x:c>
      <x:c r="I25" s="16" t="n">
        <x:v>0.22</x:v>
      </x:c>
    </x:row>
    <x:row r="26" ht="23" customHeight="1">
      <x:c r="A26" s="11" t="str">
        <x:v>01548.HK</x:v>
      </x:c>
      <x:c r="B26" s="11" t="str">
        <x:v>一年</x:v>
      </x:c>
      <x:c r="C26" s="11" t="str">
        <x:v>LB2501</x:v>
      </x:c>
      <x:c r="D26" s="11" t="str">
        <x:v>乐观</x:v>
      </x:c>
      <x:c r="E26" s="16" t="n">
        <x:v>0.25</x:v>
      </x:c>
      <x:c r="F26" s="16" t="n">
        <x:v>0.3</x:v>
      </x:c>
      <x:c r="G26" s="16" t="n">
        <x:v>1</x:v>
      </x:c>
      <x:c r="H26" s="16" t="n">
        <x:v>0.12</x:v>
      </x:c>
      <x:c r="I26" s="16" t="n">
        <x:v>0.45</x:v>
      </x:c>
    </x:row>
    <x:row r="27" ht="23" customHeight="1">
      <x:c r="A27" s="11" t="str">
        <x:v>01548.HK</x:v>
      </x:c>
      <x:c r="B27" s="11" t="str">
        <x:v>一年</x:v>
      </x:c>
      <x:c r="C27" s="11" t="str">
        <x:v>LB2102</x:v>
      </x:c>
      <x:c r="D27" s="11" t="str">
        <x:v>活动输入</x:v>
      </x:c>
      <x:c r="E27" s="11" t="n">
        <x:f>CHOOSE('假设'!$B$3,E28,E29,E30)</x:f>
        <x:v>0.18</x:v>
      </x:c>
      <x:c r="F27" s="11" t="n">
        <x:f>CHOOSE('假设'!$B$3,F28,F29,F30)</x:f>
        <x:v>0.8</x:v>
      </x:c>
      <x:c r="G27" s="11" t="n">
        <x:f>CHOOSE('假设'!$B$3,G28,G29,G30)</x:f>
        <x:v>0.1</x:v>
      </x:c>
      <x:c r="H27" s="11" t="n">
        <x:f>CHOOSE('假设'!$B$3,H28,H29,H30)</x:f>
        <x:v>0.15</x:v>
      </x:c>
      <x:c r="I27" s="11" t="n">
        <x:f>CHOOSE('假设'!$B$3,I28,I29,I30)</x:f>
        <x:v>0.22</x:v>
      </x:c>
    </x:row>
    <x:row r="28" ht="23" customHeight="1">
      <x:c r="A28" s="11" t="str">
        <x:v>01548.HK</x:v>
      </x:c>
      <x:c r="B28" s="11" t="str">
        <x:v>一年</x:v>
      </x:c>
      <x:c r="C28" s="11" t="str">
        <x:v>LB2102</x:v>
      </x:c>
      <x:c r="D28" s="11" t="str">
        <x:v>悲观</x:v>
      </x:c>
      <x:c r="E28" s="16" t="n">
        <x:v>0.05</x:v>
      </x:c>
      <x:c r="F28" s="16" t="n">
        <x:v>0.78</x:v>
      </x:c>
      <x:c r="G28" s="16" t="n">
        <x:v>0.08</x:v>
      </x:c>
      <x:c r="H28" s="11" t="n">
        <x:f>H24</x:f>
        <x:v>0.18</x:v>
      </x:c>
      <x:c r="I28" s="11" t="n">
        <x:f>I24</x:f>
        <x:v>0.1</x:v>
      </x:c>
    </x:row>
    <x:row r="29" ht="23" customHeight="1">
      <x:c r="A29" s="11" t="str">
        <x:v>01548.HK</x:v>
      </x:c>
      <x:c r="B29" s="11" t="str">
        <x:v>一年</x:v>
      </x:c>
      <x:c r="C29" s="11" t="str">
        <x:v>LB2102</x:v>
      </x:c>
      <x:c r="D29" s="11" t="str">
        <x:v>基准</x:v>
      </x:c>
      <x:c r="E29" s="16" t="n">
        <x:v>0.18</x:v>
      </x:c>
      <x:c r="F29" s="16" t="n">
        <x:v>0.8</x:v>
      </x:c>
      <x:c r="G29" s="16" t="n">
        <x:v>0.1</x:v>
      </x:c>
      <x:c r="H29" s="11" t="n">
        <x:f>H25</x:f>
        <x:v>0.15</x:v>
      </x:c>
      <x:c r="I29" s="11" t="n">
        <x:f>I25</x:f>
        <x:v>0.22</x:v>
      </x:c>
    </x:row>
    <x:row r="30" ht="23" customHeight="1">
      <x:c r="A30" s="11" t="str">
        <x:v>01548.HK</x:v>
      </x:c>
      <x:c r="B30" s="11" t="str">
        <x:v>一年</x:v>
      </x:c>
      <x:c r="C30" s="11" t="str">
        <x:v>LB2102</x:v>
      </x:c>
      <x:c r="D30" s="11" t="str">
        <x:v>乐观</x:v>
      </x:c>
      <x:c r="E30" s="16" t="n">
        <x:v>0.35</x:v>
      </x:c>
      <x:c r="F30" s="16" t="n">
        <x:v>0.82</x:v>
      </x:c>
      <x:c r="G30" s="16" t="n">
        <x:v>0.12</x:v>
      </x:c>
      <x:c r="H30" s="11" t="n">
        <x:f>H26</x:f>
        <x:v>0.12</x:v>
      </x:c>
      <x:c r="I30" s="11" t="n">
        <x:f>I26</x:f>
        <x:v>0.45</x:v>
      </x:c>
    </x:row>
    <x:row r="31" ht="23" customHeight="1">
      <x:c r="A31" s="11" t="str">
        <x:v>01548.HK</x:v>
      </x:c>
      <x:c r="B31" s="11" t="str">
        <x:v>三年</x:v>
      </x:c>
      <x:c r="C31" s="11" t="str">
        <x:v>LB2501</x:v>
      </x:c>
      <x:c r="D31" s="11" t="str">
        <x:v>活动输入</x:v>
      </x:c>
      <x:c r="E31" s="11" t="n">
        <x:f>CHOOSE('假设'!$B$3,E32,E33,E34)</x:f>
        <x:v>0.13</x:v>
      </x:c>
      <x:c r="F31" s="11" t="n">
        <x:f>CHOOSE('假设'!$B$3,F32,F33,F34)</x:f>
        <x:v>0.25</x:v>
      </x:c>
      <x:c r="G31" s="11" t="n">
        <x:f>CHOOSE('假设'!$B$3,G32,G33,G34)</x:f>
        <x:v>1</x:v>
      </x:c>
      <x:c r="H31" s="11" t="n">
        <x:f>CHOOSE('假设'!$B$3,H32,H33,H34)</x:f>
        <x:v>0.15</x:v>
      </x:c>
      <x:c r="I31" s="11" t="n">
        <x:f>CHOOSE('假设'!$B$3,I32,I33,I34)</x:f>
        <x:v>0.22</x:v>
      </x:c>
    </x:row>
    <x:row r="32" ht="23" customHeight="1">
      <x:c r="A32" s="11" t="str">
        <x:v>01548.HK</x:v>
      </x:c>
      <x:c r="B32" s="11" t="str">
        <x:v>三年</x:v>
      </x:c>
      <x:c r="C32" s="11" t="str">
        <x:v>LB2501</x:v>
      </x:c>
      <x:c r="D32" s="11" t="str">
        <x:v>悲观</x:v>
      </x:c>
      <x:c r="E32" s="16" t="n">
        <x:v>0.03</x:v>
      </x:c>
      <x:c r="F32" s="16" t="n">
        <x:v>0.18</x:v>
      </x:c>
      <x:c r="G32" s="16" t="n">
        <x:v>1</x:v>
      </x:c>
      <x:c r="H32" s="16" t="n">
        <x:v>0.18</x:v>
      </x:c>
      <x:c r="I32" s="16" t="n">
        <x:v>0.1</x:v>
      </x:c>
    </x:row>
    <x:row r="33" ht="23" customHeight="1">
      <x:c r="A33" s="11" t="str">
        <x:v>01548.HK</x:v>
      </x:c>
      <x:c r="B33" s="11" t="str">
        <x:v>三年</x:v>
      </x:c>
      <x:c r="C33" s="11" t="str">
        <x:v>LB2501</x:v>
      </x:c>
      <x:c r="D33" s="11" t="str">
        <x:v>基准</x:v>
      </x:c>
      <x:c r="E33" s="16" t="n">
        <x:v>0.13</x:v>
      </x:c>
      <x:c r="F33" s="16" t="n">
        <x:v>0.25</x:v>
      </x:c>
      <x:c r="G33" s="16" t="n">
        <x:v>1</x:v>
      </x:c>
      <x:c r="H33" s="16" t="n">
        <x:v>0.15</x:v>
      </x:c>
      <x:c r="I33" s="16" t="n">
        <x:v>0.22</x:v>
      </x:c>
    </x:row>
    <x:row r="34" ht="23" customHeight="1">
      <x:c r="A34" s="11" t="str">
        <x:v>01548.HK</x:v>
      </x:c>
      <x:c r="B34" s="11" t="str">
        <x:v>三年</x:v>
      </x:c>
      <x:c r="C34" s="11" t="str">
        <x:v>LB2501</x:v>
      </x:c>
      <x:c r="D34" s="11" t="str">
        <x:v>乐观</x:v>
      </x:c>
      <x:c r="E34" s="16" t="n">
        <x:v>0.25</x:v>
      </x:c>
      <x:c r="F34" s="16" t="n">
        <x:v>0.3</x:v>
      </x:c>
      <x:c r="G34" s="16" t="n">
        <x:v>1</x:v>
      </x:c>
      <x:c r="H34" s="16" t="n">
        <x:v>0.12</x:v>
      </x:c>
      <x:c r="I34" s="16" t="n">
        <x:v>0.45</x:v>
      </x:c>
    </x:row>
    <x:row r="35" ht="23" customHeight="1">
      <x:c r="A35" s="11" t="str">
        <x:v>01548.HK</x:v>
      </x:c>
      <x:c r="B35" s="11" t="str">
        <x:v>三年</x:v>
      </x:c>
      <x:c r="C35" s="11" t="str">
        <x:v>LB2102</x:v>
      </x:c>
      <x:c r="D35" s="11" t="str">
        <x:v>活动输入</x:v>
      </x:c>
      <x:c r="E35" s="11" t="n">
        <x:f>CHOOSE('假设'!$B$3,E36,E37,E38)</x:f>
        <x:v>0.18</x:v>
      </x:c>
      <x:c r="F35" s="11" t="n">
        <x:f>CHOOSE('假设'!$B$3,F36,F37,F38)</x:f>
        <x:v>0.8</x:v>
      </x:c>
      <x:c r="G35" s="11" t="n">
        <x:f>CHOOSE('假设'!$B$3,G36,G37,G38)</x:f>
        <x:v>0.1</x:v>
      </x:c>
      <x:c r="H35" s="11" t="n">
        <x:f>CHOOSE('假设'!$B$3,H36,H37,H38)</x:f>
        <x:v>0.15</x:v>
      </x:c>
      <x:c r="I35" s="11" t="n">
        <x:f>CHOOSE('假设'!$B$3,I36,I37,I38)</x:f>
        <x:v>0.22</x:v>
      </x:c>
    </x:row>
    <x:row r="36" ht="23" customHeight="1">
      <x:c r="A36" s="11" t="str">
        <x:v>01548.HK</x:v>
      </x:c>
      <x:c r="B36" s="11" t="str">
        <x:v>三年</x:v>
      </x:c>
      <x:c r="C36" s="11" t="str">
        <x:v>LB2102</x:v>
      </x:c>
      <x:c r="D36" s="11" t="str">
        <x:v>悲观</x:v>
      </x:c>
      <x:c r="E36" s="16" t="n">
        <x:v>0.05</x:v>
      </x:c>
      <x:c r="F36" s="16" t="n">
        <x:v>0.78</x:v>
      </x:c>
      <x:c r="G36" s="16" t="n">
        <x:v>0.08</x:v>
      </x:c>
      <x:c r="H36" s="11" t="n">
        <x:f>H32</x:f>
        <x:v>0.18</x:v>
      </x:c>
      <x:c r="I36" s="11" t="n">
        <x:f>I32</x:f>
        <x:v>0.1</x:v>
      </x:c>
    </x:row>
    <x:row r="37" ht="23" customHeight="1">
      <x:c r="A37" s="11" t="str">
        <x:v>01548.HK</x:v>
      </x:c>
      <x:c r="B37" s="11" t="str">
        <x:v>三年</x:v>
      </x:c>
      <x:c r="C37" s="11" t="str">
        <x:v>LB2102</x:v>
      </x:c>
      <x:c r="D37" s="11" t="str">
        <x:v>基准</x:v>
      </x:c>
      <x:c r="E37" s="16" t="n">
        <x:v>0.18</x:v>
      </x:c>
      <x:c r="F37" s="16" t="n">
        <x:v>0.8</x:v>
      </x:c>
      <x:c r="G37" s="16" t="n">
        <x:v>0.1</x:v>
      </x:c>
      <x:c r="H37" s="11" t="n">
        <x:f>H33</x:f>
        <x:v>0.15</x:v>
      </x:c>
      <x:c r="I37" s="11" t="n">
        <x:f>I33</x:f>
        <x:v>0.22</x:v>
      </x:c>
    </x:row>
    <x:row r="38" ht="23" customHeight="1">
      <x:c r="A38" s="11" t="str">
        <x:v>01548.HK</x:v>
      </x:c>
      <x:c r="B38" s="11" t="str">
        <x:v>三年</x:v>
      </x:c>
      <x:c r="C38" s="11" t="str">
        <x:v>LB2102</x:v>
      </x:c>
      <x:c r="D38" s="11" t="str">
        <x:v>乐观</x:v>
      </x:c>
      <x:c r="E38" s="16" t="n">
        <x:v>0.35</x:v>
      </x:c>
      <x:c r="F38" s="16" t="n">
        <x:v>0.82</x:v>
      </x:c>
      <x:c r="G38" s="16" t="n">
        <x:v>0.12</x:v>
      </x:c>
      <x:c r="H38" s="11" t="n">
        <x:f>H34</x:f>
        <x:v>0.12</x:v>
      </x:c>
      <x:c r="I38" s="11" t="n">
        <x:f>I34</x:f>
        <x:v>0.45</x:v>
      </x:c>
    </x:row>
    <x:row r="39" ht="23" customHeight="1">
      <x:c r="A39" s="11" t="str">
        <x:v>01548.HK</x:v>
      </x:c>
      <x:c r="B39" s="11" t="str">
        <x:v>五年</x:v>
      </x:c>
      <x:c r="C39" s="11" t="str">
        <x:v>LB2501</x:v>
      </x:c>
      <x:c r="D39" s="11" t="str">
        <x:v>活动输入</x:v>
      </x:c>
      <x:c r="E39" s="11" t="n">
        <x:f>CHOOSE('假设'!$B$3,E40,E41,E42)</x:f>
        <x:v>0.12</x:v>
      </x:c>
      <x:c r="F39" s="11" t="n">
        <x:f>CHOOSE('假设'!$B$3,F40,F41,F42)</x:f>
        <x:v>0.25</x:v>
      </x:c>
      <x:c r="G39" s="11" t="n">
        <x:f>CHOOSE('假设'!$B$3,G40,G41,G42)</x:f>
        <x:v>1</x:v>
      </x:c>
      <x:c r="H39" s="11" t="n">
        <x:f>CHOOSE('假设'!$B$3,H40,H41,H42)</x:f>
        <x:v>0.15</x:v>
      </x:c>
      <x:c r="I39" s="11" t="n">
        <x:f>CHOOSE('假设'!$B$3,I40,I41,I42)</x:f>
        <x:v>0.22</x:v>
      </x:c>
    </x:row>
    <x:row r="40" ht="23" customHeight="1">
      <x:c r="A40" s="11" t="str">
        <x:v>01548.HK</x:v>
      </x:c>
      <x:c r="B40" s="11" t="str">
        <x:v>五年</x:v>
      </x:c>
      <x:c r="C40" s="11" t="str">
        <x:v>LB2501</x:v>
      </x:c>
      <x:c r="D40" s="11" t="str">
        <x:v>悲观</x:v>
      </x:c>
      <x:c r="E40" s="16" t="n">
        <x:v>0.03</x:v>
      </x:c>
      <x:c r="F40" s="16" t="n">
        <x:v>0.18</x:v>
      </x:c>
      <x:c r="G40" s="16" t="n">
        <x:v>1</x:v>
      </x:c>
      <x:c r="H40" s="16" t="n">
        <x:v>0.18</x:v>
      </x:c>
      <x:c r="I40" s="16" t="n">
        <x:v>0.1</x:v>
      </x:c>
    </x:row>
    <x:row r="41" ht="23" customHeight="1">
      <x:c r="A41" s="11" t="str">
        <x:v>01548.HK</x:v>
      </x:c>
      <x:c r="B41" s="11" t="str">
        <x:v>五年</x:v>
      </x:c>
      <x:c r="C41" s="11" t="str">
        <x:v>LB2501</x:v>
      </x:c>
      <x:c r="D41" s="11" t="str">
        <x:v>基准</x:v>
      </x:c>
      <x:c r="E41" s="16" t="n">
        <x:v>0.12</x:v>
      </x:c>
      <x:c r="F41" s="16" t="n">
        <x:v>0.25</x:v>
      </x:c>
      <x:c r="G41" s="16" t="n">
        <x:v>1</x:v>
      </x:c>
      <x:c r="H41" s="16" t="n">
        <x:v>0.15</x:v>
      </x:c>
      <x:c r="I41" s="16" t="n">
        <x:v>0.22</x:v>
      </x:c>
    </x:row>
    <x:row r="42" ht="23" customHeight="1">
      <x:c r="A42" s="11" t="str">
        <x:v>01548.HK</x:v>
      </x:c>
      <x:c r="B42" s="11" t="str">
        <x:v>五年</x:v>
      </x:c>
      <x:c r="C42" s="11" t="str">
        <x:v>LB2501</x:v>
      </x:c>
      <x:c r="D42" s="11" t="str">
        <x:v>乐观</x:v>
      </x:c>
      <x:c r="E42" s="16" t="n">
        <x:v>0.25</x:v>
      </x:c>
      <x:c r="F42" s="16" t="n">
        <x:v>0.3</x:v>
      </x:c>
      <x:c r="G42" s="16" t="n">
        <x:v>1</x:v>
      </x:c>
      <x:c r="H42" s="16" t="n">
        <x:v>0.12</x:v>
      </x:c>
      <x:c r="I42" s="16" t="n">
        <x:v>0.45</x:v>
      </x:c>
    </x:row>
    <x:row r="43" ht="23" customHeight="1">
      <x:c r="A43" s="11" t="str">
        <x:v>01548.HK</x:v>
      </x:c>
      <x:c r="B43" s="11" t="str">
        <x:v>五年</x:v>
      </x:c>
      <x:c r="C43" s="11" t="str">
        <x:v>LB2102</x:v>
      </x:c>
      <x:c r="D43" s="11" t="str">
        <x:v>活动输入</x:v>
      </x:c>
      <x:c r="E43" s="11" t="n">
        <x:f>CHOOSE('假设'!$B$3,E44,E45,E46)</x:f>
        <x:v>0.18</x:v>
      </x:c>
      <x:c r="F43" s="11" t="n">
        <x:f>CHOOSE('假设'!$B$3,F44,F45,F46)</x:f>
        <x:v>0.8</x:v>
      </x:c>
      <x:c r="G43" s="11" t="n">
        <x:f>CHOOSE('假设'!$B$3,G44,G45,G46)</x:f>
        <x:v>0.1</x:v>
      </x:c>
      <x:c r="H43" s="11" t="n">
        <x:f>CHOOSE('假设'!$B$3,H44,H45,H46)</x:f>
        <x:v>0.15</x:v>
      </x:c>
      <x:c r="I43" s="11" t="n">
        <x:f>CHOOSE('假设'!$B$3,I44,I45,I46)</x:f>
        <x:v>0.22</x:v>
      </x:c>
    </x:row>
    <x:row r="44" ht="23" customHeight="1">
      <x:c r="A44" s="11" t="str">
        <x:v>01548.HK</x:v>
      </x:c>
      <x:c r="B44" s="11" t="str">
        <x:v>五年</x:v>
      </x:c>
      <x:c r="C44" s="11" t="str">
        <x:v>LB2102</x:v>
      </x:c>
      <x:c r="D44" s="11" t="str">
        <x:v>悲观</x:v>
      </x:c>
      <x:c r="E44" s="16" t="n">
        <x:v>0.05</x:v>
      </x:c>
      <x:c r="F44" s="16" t="n">
        <x:v>0.78</x:v>
      </x:c>
      <x:c r="G44" s="16" t="n">
        <x:v>0.08</x:v>
      </x:c>
      <x:c r="H44" s="11" t="n">
        <x:f>H40</x:f>
        <x:v>0.18</x:v>
      </x:c>
      <x:c r="I44" s="11" t="n">
        <x:f>I40</x:f>
        <x:v>0.1</x:v>
      </x:c>
    </x:row>
    <x:row r="45" ht="23" customHeight="1">
      <x:c r="A45" s="11" t="str">
        <x:v>01548.HK</x:v>
      </x:c>
      <x:c r="B45" s="11" t="str">
        <x:v>五年</x:v>
      </x:c>
      <x:c r="C45" s="11" t="str">
        <x:v>LB2102</x:v>
      </x:c>
      <x:c r="D45" s="11" t="str">
        <x:v>基准</x:v>
      </x:c>
      <x:c r="E45" s="16" t="n">
        <x:v>0.18</x:v>
      </x:c>
      <x:c r="F45" s="16" t="n">
        <x:v>0.8</x:v>
      </x:c>
      <x:c r="G45" s="16" t="n">
        <x:v>0.1</x:v>
      </x:c>
      <x:c r="H45" s="11" t="n">
        <x:f>H41</x:f>
        <x:v>0.15</x:v>
      </x:c>
      <x:c r="I45" s="11" t="n">
        <x:f>I41</x:f>
        <x:v>0.22</x:v>
      </x:c>
    </x:row>
    <x:row r="46" ht="23" customHeight="1">
      <x:c r="A46" s="11" t="str">
        <x:v>01548.HK</x:v>
      </x:c>
      <x:c r="B46" s="11" t="str">
        <x:v>五年</x:v>
      </x:c>
      <x:c r="C46" s="11" t="str">
        <x:v>LB2102</x:v>
      </x:c>
      <x:c r="D46" s="11" t="str">
        <x:v>乐观</x:v>
      </x:c>
      <x:c r="E46" s="16" t="n">
        <x:v>0.35</x:v>
      </x:c>
      <x:c r="F46" s="16" t="n">
        <x:v>0.82</x:v>
      </x:c>
      <x:c r="G46" s="16" t="n">
        <x:v>0.12</x:v>
      </x:c>
      <x:c r="H46" s="11" t="n">
        <x:f>H42</x:f>
        <x:v>0.12</x:v>
      </x:c>
      <x:c r="I46" s="11" t="n">
        <x:f>I42</x:f>
        <x:v>0.45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4" t="str">
        <x:v>销售 → 成功与净现金率 → USD风险现值；目标日已过去现金不重复计值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52" customHeight="1">
      <x:c r="A6" s="12" t="str">
        <x:v>代码</x:v>
      </x:c>
      <x:c r="B6" s="12" t="str">
        <x:v>期限</x:v>
      </x:c>
      <x:c r="C6" s="12" t="str">
        <x:v>资产组</x:v>
      </x:c>
      <x:c r="D6" s="12" t="str">
        <x:v>现金日</x:v>
      </x:c>
      <x:c r="E6" s="12" t="str">
        <x:v>折现间隔ACT365.25</x:v>
      </x:c>
      <x:c r="F6" s="12" t="str">
        <x:v>目标日后</x:v>
      </x:c>
      <x:c r="G6" s="12" t="str">
        <x:v>悲观销售USD十亿</x:v>
      </x:c>
      <x:c r="H6" s="12" t="str">
        <x:v>基准销售USD十亿</x:v>
      </x:c>
      <x:c r="I6" s="12" t="str">
        <x:v>乐观销售USD十亿</x:v>
      </x:c>
      <x:c r="J6" s="12" t="str">
        <x:v>活动销售</x:v>
      </x:c>
      <x:c r="K6" s="12" t="str">
        <x:v>风险净现金USD十亿</x:v>
      </x:c>
      <x:c r="L6" s="12" t="str">
        <x:v>PV USD十亿</x:v>
      </x:c>
    </x:row>
    <x:row r="7" ht="23" customHeight="1">
      <x:c r="A7" s="11" t="str">
        <x:v>01548.HK</x:v>
      </x:c>
      <x:c r="B7" s="11" t="str">
        <x:v>2026年底</x:v>
      </x:c>
      <x:c r="C7" s="11" t="str">
        <x:v>LB2501</x:v>
      </x:c>
      <x:c r="D7" s="11" t="str">
        <x:v>2029-12-31</x:v>
      </x:c>
      <x:c r="E7" s="11" t="n">
        <x:v>3.0006844626967832</x:v>
      </x:c>
      <x:c r="F7" s="26" t="b">
        <x:v>1</x:v>
      </x:c>
      <x:c r="G7" s="16" t="n">
        <x:v>0</x:v>
      </x:c>
      <x:c r="H7" s="16" t="n">
        <x:v>0</x:v>
      </x:c>
      <x:c r="I7" s="16" t="n">
        <x:v>0.35000000000000003</x:v>
      </x:c>
      <x:c r="J7" s="11" t="n">
        <x:f>CHOOSE('假设'!$B$3,G7,H7,I7)</x:f>
        <x:v>0</x:v>
      </x:c>
      <x:c r="K7" s="11" t="n">
        <x:f>J7*'SOTP管线参数'!E7*'SOTP管线参数'!F7*'SOTP管线参数'!G7</x:f>
        <x:v>0</x:v>
      </x:c>
      <x:c r="L7" s="11" t="n">
        <x:f>IF(F7,K7/(1+'SOTP管线参数'!H7)^E7,0)</x:f>
        <x:v>0</x:v>
      </x:c>
    </x:row>
    <x:row r="8" ht="23" customHeight="1">
      <x:c r="A8" s="11" t="str">
        <x:v>01548.HK</x:v>
      </x:c>
      <x:c r="B8" s="11" t="str">
        <x:v>2026年底</x:v>
      </x:c>
      <x:c r="C8" s="11" t="str">
        <x:v>LB2501</x:v>
      </x:c>
      <x:c r="D8" s="11" t="str">
        <x:v>2030-12-31</x:v>
      </x:c>
      <x:c r="E8" s="11" t="n">
        <x:v>4</x:v>
      </x:c>
      <x:c r="F8" s="26" t="b">
        <x:v>1</x:v>
      </x:c>
      <x:c r="G8" s="16" t="n">
        <x:v>0</x:v>
      </x:c>
      <x:c r="H8" s="16" t="n">
        <x:v>0</x:v>
      </x:c>
      <x:c r="I8" s="16" t="n">
        <x:v>1.05</x:v>
      </x:c>
      <x:c r="J8" s="11" t="n">
        <x:f>CHOOSE('假设'!$B$3,G8,H8,I8)</x:f>
        <x:v>0</x:v>
      </x:c>
      <x:c r="K8" s="11" t="n">
        <x:f>J8*'SOTP管线参数'!E7*'SOTP管线参数'!F7*'SOTP管线参数'!G7</x:f>
        <x:v>0</x:v>
      </x:c>
      <x:c r="L8" s="11" t="n">
        <x:f>IF(F8,K8/(1+'SOTP管线参数'!H7)^E8,0)</x:f>
        <x:v>0</x:v>
      </x:c>
    </x:row>
    <x:row r="9" ht="23" customHeight="1">
      <x:c r="A9" s="11" t="str">
        <x:v>01548.HK</x:v>
      </x:c>
      <x:c r="B9" s="11" t="str">
        <x:v>2026年底</x:v>
      </x:c>
      <x:c r="C9" s="11" t="str">
        <x:v>LB2501</x:v>
      </x:c>
      <x:c r="D9" s="11" t="str">
        <x:v>2031-12-31</x:v>
      </x:c>
      <x:c r="E9" s="11" t="n">
        <x:v>4.999315537303217</x:v>
      </x:c>
      <x:c r="F9" s="26" t="b">
        <x:v>1</x:v>
      </x:c>
      <x:c r="G9" s="16" t="n">
        <x:v>0</x:v>
      </x:c>
      <x:c r="H9" s="16" t="n">
        <x:v>0.17500000000000002</x:v>
      </x:c>
      <x:c r="I9" s="16" t="n">
        <x:v>2.4499999999999997</x:v>
      </x:c>
      <x:c r="J9" s="11" t="n">
        <x:f>CHOOSE('假设'!$B$3,G9,H9,I9)</x:f>
        <x:v>0.17500000000000002</x:v>
      </x:c>
      <x:c r="K9" s="11" t="n">
        <x:f>J9*'SOTP管线参数'!E7*'SOTP管线参数'!F7*'SOTP管线参数'!G7</x:f>
        <x:v>0.00525</x:v>
      </x:c>
      <x:c r="L9" s="11" t="n">
        <x:f>IF(F9,K9/(1+'SOTP管线参数'!H7)^E9,0)</x:f>
        <x:v>0.0026104275666658833</x:v>
      </x:c>
    </x:row>
    <x:row r="10" ht="23" customHeight="1">
      <x:c r="A10" s="11" t="str">
        <x:v>01548.HK</x:v>
      </x:c>
      <x:c r="B10" s="11" t="str">
        <x:v>2026年底</x:v>
      </x:c>
      <x:c r="C10" s="11" t="str">
        <x:v>LB2501</x:v>
      </x:c>
      <x:c r="D10" s="11" t="str">
        <x:v>2032-12-31</x:v>
      </x:c>
      <x:c r="E10" s="11" t="n">
        <x:v>6.0013689253935665</x:v>
      </x:c>
      <x:c r="F10" s="26" t="b">
        <x:v>1</x:v>
      </x:c>
      <x:c r="G10" s="16" t="n">
        <x:v>0.07500000000000001</x:v>
      </x:c>
      <x:c r="H10" s="16" t="n">
        <x:v>0.525</x:v>
      </x:c>
      <x:c r="I10" s="16" t="n">
        <x:v>4.2</x:v>
      </x:c>
      <x:c r="J10" s="11" t="n">
        <x:f>CHOOSE('假设'!$B$3,G10,H10,I10)</x:f>
        <x:v>0.525</x:v>
      </x:c>
      <x:c r="K10" s="11" t="n">
        <x:f>J10*'SOTP管线参数'!E7*'SOTP管线参数'!F7*'SOTP管线参数'!G7</x:f>
        <x:v>0.01575</x:v>
      </x:c>
      <x:c r="L10" s="11" t="n">
        <x:f>IF(F10,K10/(1+'SOTP管线参数'!H7)^E10,0)</x:f>
        <x:v>0.006807857006798327</x:v>
      </x:c>
    </x:row>
    <x:row r="11" ht="23" customHeight="1">
      <x:c r="A11" s="11" t="str">
        <x:v>01548.HK</x:v>
      </x:c>
      <x:c r="B11" s="11" t="str">
        <x:v>2026年底</x:v>
      </x:c>
      <x:c r="C11" s="11" t="str">
        <x:v>LB2501</x:v>
      </x:c>
      <x:c r="D11" s="11" t="str">
        <x:v>2033-12-31</x:v>
      </x:c>
      <x:c r="E11" s="11" t="n">
        <x:v>7.000684462696783</x:v>
      </x:c>
      <x:c r="F11" s="26" t="b">
        <x:v>1</x:v>
      </x:c>
      <x:c r="G11" s="16" t="n">
        <x:v>0.22499999999999998</x:v>
      </x:c>
      <x:c r="H11" s="16" t="n">
        <x:v>1.2249999999999999</x:v>
      </x:c>
      <x:c r="I11" s="16" t="n">
        <x:v>5.95</x:v>
      </x:c>
      <x:c r="J11" s="11" t="n">
        <x:f>CHOOSE('假设'!$B$3,G11,H11,I11)</x:f>
        <x:v>1.2249999999999999</x:v>
      </x:c>
      <x:c r="K11" s="11" t="n">
        <x:f>J11*'SOTP管线参数'!E7*'SOTP管线参数'!F7*'SOTP管线参数'!G7</x:f>
        <x:v>0.03675</x:v>
      </x:c>
      <x:c r="L11" s="11" t="n">
        <x:f>IF(F11,K11/(1+'SOTP管线参数'!H7)^E11,0)</x:f>
        <x:v>0.013814364646477664</x:v>
      </x:c>
    </x:row>
    <x:row r="12" ht="23" customHeight="1">
      <x:c r="A12" s="11" t="str">
        <x:v>01548.HK</x:v>
      </x:c>
      <x:c r="B12" s="11" t="str">
        <x:v>2026年底</x:v>
      </x:c>
      <x:c r="C12" s="11" t="str">
        <x:v>LB2501</x:v>
      </x:c>
      <x:c r="D12" s="11" t="str">
        <x:v>2034-12-31</x:v>
      </x:c>
      <x:c r="E12" s="11" t="n">
        <x:v>8</x:v>
      </x:c>
      <x:c r="F12" s="26" t="b">
        <x:v>1</x:v>
      </x:c>
      <x:c r="G12" s="16" t="n">
        <x:v>0.5249999999999999</x:v>
      </x:c>
      <x:c r="H12" s="16" t="n">
        <x:v>2.1</x:v>
      </x:c>
      <x:c r="I12" s="16" t="n">
        <x:v>7</x:v>
      </x:c>
      <x:c r="J12" s="11" t="n">
        <x:f>CHOOSE('假设'!$B$3,G12,H12,I12)</x:f>
        <x:v>2.1</x:v>
      </x:c>
      <x:c r="K12" s="11" t="n">
        <x:f>J12*'SOTP管线参数'!E7*'SOTP管线参数'!F7*'SOTP管线参数'!G7</x:f>
        <x:v>0.063</x:v>
      </x:c>
      <x:c r="L12" s="11" t="n">
        <x:f>IF(F12,K12/(1+'SOTP管线参数'!H7)^E12,0)</x:f>
        <x:v>0.020594811752308553</x:v>
      </x:c>
    </x:row>
    <x:row r="13" ht="23" customHeight="1">
      <x:c r="A13" s="11" t="str">
        <x:v>01548.HK</x:v>
      </x:c>
      <x:c r="B13" s="11" t="str">
        <x:v>2026年底</x:v>
      </x:c>
      <x:c r="C13" s="11" t="str">
        <x:v>LB2501</x:v>
      </x:c>
      <x:c r="D13" s="11" t="str">
        <x:v>2035-12-31</x:v>
      </x:c>
      <x:c r="E13" s="11" t="n">
        <x:v>8.999315537303216</x:v>
      </x:c>
      <x:c r="F13" s="26" t="b">
        <x:v>1</x:v>
      </x:c>
      <x:c r="G13" s="16" t="n">
        <x:v>0.8999999999999999</x:v>
      </x:c>
      <x:c r="H13" s="16" t="n">
        <x:v>2.975</x:v>
      </x:c>
      <x:c r="I13" s="16" t="n">
        <x:v>7</x:v>
      </x:c>
      <x:c r="J13" s="11" t="n">
        <x:f>CHOOSE('假设'!$B$3,G13,H13,I13)</x:f>
        <x:v>2.975</x:v>
      </x:c>
      <x:c r="K13" s="11" t="n">
        <x:f>J13*'SOTP管线参数'!E7*'SOTP管线参数'!F7*'SOTP管线参数'!G7</x:f>
        <x:v>0.08925</x:v>
      </x:c>
      <x:c r="L13" s="11" t="n">
        <x:f>IF(F13,K13/(1+'SOTP管线参数'!H7)^E13,0)</x:f>
        <x:v>0.02537284737165463</x:v>
      </x:c>
    </x:row>
    <x:row r="14" ht="23" customHeight="1">
      <x:c r="A14" s="11" t="str">
        <x:v>01548.HK</x:v>
      </x:c>
      <x:c r="B14" s="11" t="str">
        <x:v>2026年底</x:v>
      </x:c>
      <x:c r="C14" s="11" t="str">
        <x:v>LB2501</x:v>
      </x:c>
      <x:c r="D14" s="11" t="str">
        <x:v>2036-12-31</x:v>
      </x:c>
      <x:c r="E14" s="11" t="n">
        <x:v>10.001368925393566</x:v>
      </x:c>
      <x:c r="F14" s="26" t="b">
        <x:v>1</x:v>
      </x:c>
      <x:c r="G14" s="16" t="n">
        <x:v>1.275</x:v>
      </x:c>
      <x:c r="H14" s="16" t="n">
        <x:v>3.5</x:v>
      </x:c>
      <x:c r="I14" s="16" t="n">
        <x:v>6.6499999999999995</x:v>
      </x:c>
      <x:c r="J14" s="11" t="n">
        <x:f>CHOOSE('假设'!$B$3,G14,H14,I14)</x:f>
        <x:v>3.5</x:v>
      </x:c>
      <x:c r="K14" s="11" t="n">
        <x:f>J14*'SOTP管线参数'!E7*'SOTP管线参数'!F7*'SOTP管线参数'!G7</x:f>
        <x:v>0.105</x:v>
      </x:c>
      <x:c r="L14" s="11" t="n">
        <x:f>IF(F14,K14/(1+'SOTP管线参数'!H7)^E14,0)</x:f>
        <x:v>0.025949428927801447</x:v>
      </x:c>
    </x:row>
    <x:row r="15" ht="23" customHeight="1">
      <x:c r="A15" s="11" t="str">
        <x:v>01548.HK</x:v>
      </x:c>
      <x:c r="B15" s="11" t="str">
        <x:v>2026年底</x:v>
      </x:c>
      <x:c r="C15" s="11" t="str">
        <x:v>LB2501</x:v>
      </x:c>
      <x:c r="D15" s="11" t="str">
        <x:v>2037-12-31</x:v>
      </x:c>
      <x:c r="E15" s="11" t="n">
        <x:v>11.000684462696784</x:v>
      </x:c>
      <x:c r="F15" s="26" t="b">
        <x:v>1</x:v>
      </x:c>
      <x:c r="G15" s="16" t="n">
        <x:v>1.5</x:v>
      </x:c>
      <x:c r="H15" s="16" t="n">
        <x:v>3.5</x:v>
      </x:c>
      <x:c r="I15" s="16" t="n">
        <x:v>6.3</x:v>
      </x:c>
      <x:c r="J15" s="11" t="n">
        <x:f>CHOOSE('假设'!$B$3,G15,H15,I15)</x:f>
        <x:v>3.5</x:v>
      </x:c>
      <x:c r="K15" s="11" t="n">
        <x:f>J15*'SOTP管线参数'!E7*'SOTP管线参数'!F7*'SOTP管线参数'!G7</x:f>
        <x:v>0.105</x:v>
      </x:c>
      <x:c r="L15" s="11" t="n">
        <x:f>IF(F15,K15/(1+'SOTP管线参数'!H7)^E15,0)</x:f>
        <x:v>0.02256687949265503</x:v>
      </x:c>
    </x:row>
    <x:row r="16" ht="23" customHeight="1">
      <x:c r="A16" s="11" t="str">
        <x:v>01548.HK</x:v>
      </x:c>
      <x:c r="B16" s="11" t="str">
        <x:v>2026年底</x:v>
      </x:c>
      <x:c r="C16" s="11" t="str">
        <x:v>LB2501</x:v>
      </x:c>
      <x:c r="D16" s="11" t="str">
        <x:v>2038-12-31</x:v>
      </x:c>
      <x:c r="E16" s="11" t="n">
        <x:v>12</x:v>
      </x:c>
      <x:c r="F16" s="26" t="b">
        <x:v>1</x:v>
      </x:c>
      <x:c r="G16" s="16" t="n">
        <x:v>1.5</x:v>
      </x:c>
      <x:c r="H16" s="16" t="n">
        <x:v>3.3249999999999997</x:v>
      </x:c>
      <x:c r="I16" s="16" t="n">
        <x:v>5.6000000000000005</x:v>
      </x:c>
      <x:c r="J16" s="11" t="n">
        <x:f>CHOOSE('假设'!$B$3,G16,H16,I16)</x:f>
        <x:v>3.3249999999999997</x:v>
      </x:c>
      <x:c r="K16" s="11" t="n">
        <x:f>J16*'SOTP管线参数'!E7*'SOTP管线参数'!F7*'SOTP管线参数'!G7</x:f>
        <x:v>0.09974999999999999</x:v>
      </x:c>
      <x:c r="L16" s="11" t="n">
        <x:f>IF(F16,K16/(1+'SOTP管线参数'!H7)^E16,0)</x:f>
        <x:v>0.01864398823111994</x:v>
      </x:c>
    </x:row>
    <x:row r="17" ht="23" customHeight="1">
      <x:c r="A17" s="11" t="str">
        <x:v>01548.HK</x:v>
      </x:c>
      <x:c r="B17" s="11" t="str">
        <x:v>2026年底</x:v>
      </x:c>
      <x:c r="C17" s="11" t="str">
        <x:v>LB2501</x:v>
      </x:c>
      <x:c r="D17" s="11" t="str">
        <x:v>2039-12-31</x:v>
      </x:c>
      <x:c r="E17" s="11" t="n">
        <x:v>12.999315537303216</x:v>
      </x:c>
      <x:c r="F17" s="26" t="b">
        <x:v>1</x:v>
      </x:c>
      <x:c r="G17" s="16" t="n">
        <x:v>1.4249999999999998</x:v>
      </x:c>
      <x:c r="H17" s="16" t="n">
        <x:v>3.15</x:v>
      </x:c>
      <x:c r="I17" s="16" t="n">
        <x:v>4.55</x:v>
      </x:c>
      <x:c r="J17" s="11" t="n">
        <x:f>CHOOSE('假设'!$B$3,G17,H17,I17)</x:f>
        <x:v>3.15</x:v>
      </x:c>
      <x:c r="K17" s="11" t="n">
        <x:f>J17*'SOTP管线参数'!E7*'SOTP管线参数'!F7*'SOTP管线参数'!G7</x:f>
        <x:v>0.0945</x:v>
      </x:c>
      <x:c r="L17" s="11" t="n">
        <x:f>IF(F17,K17/(1+'SOTP管线参数'!H7)^E17,0)</x:f>
        <x:v>0.015360361236720214</x:v>
      </x:c>
    </x:row>
    <x:row r="18" ht="23" customHeight="1">
      <x:c r="A18" s="11" t="str">
        <x:v>01548.HK</x:v>
      </x:c>
      <x:c r="B18" s="11" t="str">
        <x:v>2026年底</x:v>
      </x:c>
      <x:c r="C18" s="11" t="str">
        <x:v>LB2501</x:v>
      </x:c>
      <x:c r="D18" s="11" t="str">
        <x:v>2040-12-31</x:v>
      </x:c>
      <x:c r="E18" s="11" t="n">
        <x:v>14.001368925393566</x:v>
      </x:c>
      <x:c r="F18" s="26" t="b">
        <x:v>1</x:v>
      </x:c>
      <x:c r="G18" s="16" t="n">
        <x:v>1.35</x:v>
      </x:c>
      <x:c r="H18" s="16" t="n">
        <x:v>2.8000000000000003</x:v>
      </x:c>
      <x:c r="I18" s="16" t="n">
        <x:v>3.5</x:v>
      </x:c>
      <x:c r="J18" s="11" t="n">
        <x:f>CHOOSE('假设'!$B$3,G18,H18,I18)</x:f>
        <x:v>2.8000000000000003</x:v>
      </x:c>
      <x:c r="K18" s="11" t="n">
        <x:f>J18*'SOTP管线参数'!E7*'SOTP管线参数'!F7*'SOTP管线参数'!G7</x:f>
        <x:v>0.084</x:v>
      </x:c>
      <x:c r="L18" s="11" t="n">
        <x:f>IF(F18,K18/(1+'SOTP管线参数'!H7)^E18,0)</x:f>
        <x:v>0.01186933616860498</x:v>
      </x:c>
    </x:row>
    <x:row r="19" ht="23" customHeight="1">
      <x:c r="A19" s="11" t="str">
        <x:v>01548.HK</x:v>
      </x:c>
      <x:c r="B19" s="11" t="str">
        <x:v>2026年底</x:v>
      </x:c>
      <x:c r="C19" s="11" t="str">
        <x:v>LB2501</x:v>
      </x:c>
      <x:c r="D19" s="11" t="str">
        <x:v>2041-12-31</x:v>
      </x:c>
      <x:c r="E19" s="11" t="n">
        <x:v>15.000684462696784</x:v>
      </x:c>
      <x:c r="F19" s="26" t="b">
        <x:v>1</x:v>
      </x:c>
      <x:c r="G19" s="16" t="n">
        <x:v>1.2000000000000002</x:v>
      </x:c>
      <x:c r="H19" s="16" t="n">
        <x:v>2.275</x:v>
      </x:c>
      <x:c r="I19" s="16" t="n">
        <x:v>2.4499999999999997</x:v>
      </x:c>
      <x:c r="J19" s="11" t="n">
        <x:f>CHOOSE('假设'!$B$3,G19,H19,I19)</x:f>
        <x:v>2.275</x:v>
      </x:c>
      <x:c r="K19" s="11" t="n">
        <x:f>J19*'SOTP管线参数'!E7*'SOTP管线参数'!F7*'SOTP管线参数'!G7</x:f>
        <x:v>0.06824999999999999</x:v>
      </x:c>
      <x:c r="L19" s="11" t="n">
        <x:f>IF(F19,K19/(1+'SOTP管线参数'!H7)^E19,0)</x:f>
        <x:v>0.008386746285341045</x:v>
      </x:c>
    </x:row>
    <x:row r="20" ht="23" customHeight="1">
      <x:c r="A20" s="11" t="str">
        <x:v>01548.HK</x:v>
      </x:c>
      <x:c r="B20" s="11" t="str">
        <x:v>2026年底</x:v>
      </x:c>
      <x:c r="C20" s="11" t="str">
        <x:v>LB2501</x:v>
      </x:c>
      <x:c r="D20" s="11" t="str">
        <x:v>2042-12-31</x:v>
      </x:c>
      <x:c r="E20" s="11" t="n">
        <x:v>16</x:v>
      </x:c>
      <x:c r="F20" s="26" t="b">
        <x:v>1</x:v>
      </x:c>
      <x:c r="G20" s="16" t="n">
        <x:v>0.9750000000000001</x:v>
      </x:c>
      <x:c r="H20" s="16" t="n">
        <x:v>1.75</x:v>
      </x:c>
      <x:c r="I20" s="16" t="n">
        <x:v>1.4000000000000001</x:v>
      </x:c>
      <x:c r="J20" s="11" t="n">
        <x:f>CHOOSE('假设'!$B$3,G20,H20,I20)</x:f>
        <x:v>1.75</x:v>
      </x:c>
      <x:c r="K20" s="11" t="n">
        <x:f>J20*'SOTP管线参数'!E7*'SOTP管线参数'!F7*'SOTP管线参数'!G7</x:f>
        <x:v>0.0525</x:v>
      </x:c>
      <x:c r="L20" s="11" t="n">
        <x:f>IF(F20,K20/(1+'SOTP管线参数'!H7)^E20,0)</x:f>
        <x:v>0.00561040041154797</x:v>
      </x:c>
    </x:row>
    <x:row r="21" ht="23" customHeight="1">
      <x:c r="A21" s="11" t="str">
        <x:v>01548.HK</x:v>
      </x:c>
      <x:c r="B21" s="11" t="str">
        <x:v>2026年底</x:v>
      </x:c>
      <x:c r="C21" s="11" t="str">
        <x:v>LB2501</x:v>
      </x:c>
      <x:c r="D21" s="11" t="str">
        <x:v>2043-12-31</x:v>
      </x:c>
      <x:c r="E21" s="11" t="n">
        <x:v>16.999315537303218</x:v>
      </x:c>
      <x:c r="F21" s="26" t="b">
        <x:v>1</x:v>
      </x:c>
      <x:c r="G21" s="16" t="n">
        <x:v>0.75</x:v>
      </x:c>
      <x:c r="H21" s="16" t="n">
        <x:v>1.2249999999999999</x:v>
      </x:c>
      <x:c r="I21" s="16" t="n">
        <x:v>0.7000000000000001</x:v>
      </x:c>
      <x:c r="J21" s="11" t="n">
        <x:f>CHOOSE('假设'!$B$3,G21,H21,I21)</x:f>
        <x:v>1.2249999999999999</x:v>
      </x:c>
      <x:c r="K21" s="11" t="n">
        <x:f>J21*'SOTP管线参数'!E7*'SOTP管线参数'!F7*'SOTP管线参数'!G7</x:f>
        <x:v>0.03675</x:v>
      </x:c>
      <x:c r="L21" s="11" t="n">
        <x:f>IF(F21,K21/(1+'SOTP管线参数'!H7)^E21,0)</x:f>
        <x:v>0.0034153530407796335</x:v>
      </x:c>
    </x:row>
    <x:row r="22" ht="23" customHeight="1">
      <x:c r="A22" s="11" t="str">
        <x:v>01548.HK</x:v>
      </x:c>
      <x:c r="B22" s="11" t="str">
        <x:v>2026年底</x:v>
      </x:c>
      <x:c r="C22" s="11" t="str">
        <x:v>LB2501</x:v>
      </x:c>
      <x:c r="D22" s="11" t="str">
        <x:v>2044-12-31</x:v>
      </x:c>
      <x:c r="E22" s="11" t="n">
        <x:v>18.001368925393567</x:v>
      </x:c>
      <x:c r="F22" s="26" t="b">
        <x:v>1</x:v>
      </x:c>
      <x:c r="G22" s="16" t="n">
        <x:v>0.5249999999999999</x:v>
      </x:c>
      <x:c r="H22" s="16" t="n">
        <x:v>0.7000000000000001</x:v>
      </x:c>
      <x:c r="I22" s="16" t="n">
        <x:v>0.35000000000000003</x:v>
      </x:c>
      <x:c r="J22" s="11" t="n">
        <x:f>CHOOSE('假设'!$B$3,G22,H22,I22)</x:f>
        <x:v>0.7000000000000001</x:v>
      </x:c>
      <x:c r="K22" s="11" t="n">
        <x:f>J22*'SOTP管线参数'!E7*'SOTP管线参数'!F7*'SOTP管线参数'!G7</x:f>
        <x:v>0.021</x:v>
      </x:c>
      <x:c r="L22" s="11" t="n">
        <x:f>IF(F22,K22/(1+'SOTP管线参数'!H7)^E22,0)</x:f>
        <x:v>0.001696582869358669</x:v>
      </x:c>
    </x:row>
    <x:row r="23" ht="23" customHeight="1">
      <x:c r="A23" s="11" t="str">
        <x:v>01548.HK</x:v>
      </x:c>
      <x:c r="B23" s="11" t="str">
        <x:v>2026年底</x:v>
      </x:c>
      <x:c r="C23" s="11" t="str">
        <x:v>LB2501</x:v>
      </x:c>
      <x:c r="D23" s="11" t="str">
        <x:v>2045-12-31</x:v>
      </x:c>
      <x:c r="E23" s="11" t="n">
        <x:v>19.000684462696782</x:v>
      </x:c>
      <x:c r="F23" s="26" t="b">
        <x:v>1</x:v>
      </x:c>
      <x:c r="G23" s="16" t="n">
        <x:v>0.30000000000000004</x:v>
      </x:c>
      <x:c r="H23" s="16" t="n">
        <x:v>0.35000000000000003</x:v>
      </x:c>
      <x:c r="I23" s="16" t="n">
        <x:v>0.35000000000000003</x:v>
      </x:c>
      <x:c r="J23" s="11" t="n">
        <x:f>CHOOSE('假设'!$B$3,G23,H23,I23)</x:f>
        <x:v>0.35000000000000003</x:v>
      </x:c>
      <x:c r="K23" s="11" t="n">
        <x:f>J23*'SOTP管线参数'!E7*'SOTP管线参数'!F7*'SOTP管线参数'!G7</x:f>
        <x:v>0.0105</x:v>
      </x:c>
      <x:c r="L23" s="11" t="n">
        <x:f>IF(F23,K23/(1+'SOTP管线参数'!H7)^E23,0)</x:f>
        <x:v>0.0007377152936321633</x:v>
      </x:c>
    </x:row>
    <x:row r="24" ht="23" customHeight="1">
      <x:c r="A24" s="11" t="str">
        <x:v>01548.HK</x:v>
      </x:c>
      <x:c r="B24" s="11" t="str">
        <x:v>2026年底</x:v>
      </x:c>
      <x:c r="C24" s="11" t="str">
        <x:v>LB2102</x:v>
      </x:c>
      <x:c r="D24" s="11" t="str">
        <x:v>2030-12-31</x:v>
      </x:c>
      <x:c r="E24" s="11" t="n">
        <x:v>4</x:v>
      </x:c>
      <x:c r="F24" s="26" t="b">
        <x:v>1</x:v>
      </x:c>
      <x:c r="G24" s="16" t="n">
        <x:v>0</x:v>
      </x:c>
      <x:c r="H24" s="16" t="n">
        <x:v>0</x:v>
      </x:c>
      <x:c r="I24" s="16" t="n">
        <x:v>0.25</x:v>
      </x:c>
      <x:c r="J24" s="11" t="n">
        <x:f>CHOOSE('假设'!$B$3,G24,H24,I24)</x:f>
        <x:v>0</x:v>
      </x:c>
      <x:c r="K24" s="11" t="n">
        <x:f>J24*'SOTP管线参数'!E11*'SOTP管线参数'!F11*'SOTP管线参数'!G11</x:f>
        <x:v>0</x:v>
      </x:c>
      <x:c r="L24" s="11" t="n">
        <x:f>IF(F24,K24/(1+'SOTP管线参数'!H11)^E24,0)</x:f>
        <x:v>0</x:v>
      </x:c>
    </x:row>
    <x:row r="25" ht="23" customHeight="1">
      <x:c r="A25" s="11" t="str">
        <x:v>01548.HK</x:v>
      </x:c>
      <x:c r="B25" s="11" t="str">
        <x:v>2026年底</x:v>
      </x:c>
      <x:c r="C25" s="11" t="str">
        <x:v>LB2102</x:v>
      </x:c>
      <x:c r="D25" s="11" t="str">
        <x:v>2031-12-31</x:v>
      </x:c>
      <x:c r="E25" s="11" t="n">
        <x:v>4.999315537303217</x:v>
      </x:c>
      <x:c r="F25" s="26" t="b">
        <x:v>1</x:v>
      </x:c>
      <x:c r="G25" s="16" t="n">
        <x:v>0</x:v>
      </x:c>
      <x:c r="H25" s="16" t="n">
        <x:v>0.15000000000000002</x:v>
      </x:c>
      <x:c r="I25" s="16" t="n">
        <x:v>0.75</x:v>
      </x:c>
      <x:c r="J25" s="11" t="n">
        <x:f>CHOOSE('假设'!$B$3,G25,H25,I25)</x:f>
        <x:v>0.15000000000000002</x:v>
      </x:c>
      <x:c r="K25" s="11" t="n">
        <x:f>J25*'SOTP管线参数'!E11*'SOTP管线参数'!F11*'SOTP管线参数'!G11</x:f>
        <x:v>0.0021600000000000005</x:v>
      </x:c>
      <x:c r="L25" s="11" t="n">
        <x:f>IF(F25,K25/(1+'SOTP管线参数'!H11)^E25,0)</x:f>
        <x:v>0.0010740044845711063</x:v>
      </x:c>
    </x:row>
    <x:row r="26" ht="23" customHeight="1">
      <x:c r="A26" s="11" t="str">
        <x:v>01548.HK</x:v>
      </x:c>
      <x:c r="B26" s="11" t="str">
        <x:v>2026年底</x:v>
      </x:c>
      <x:c r="C26" s="11" t="str">
        <x:v>LB2102</x:v>
      </x:c>
      <x:c r="D26" s="11" t="str">
        <x:v>2032-12-31</x:v>
      </x:c>
      <x:c r="E26" s="11" t="n">
        <x:v>6.0013689253935665</x:v>
      </x:c>
      <x:c r="F26" s="26" t="b">
        <x:v>1</x:v>
      </x:c>
      <x:c r="G26" s="16" t="n">
        <x:v>0.07500000000000001</x:v>
      </x:c>
      <x:c r="H26" s="16" t="n">
        <x:v>0.44999999999999996</x:v>
      </x:c>
      <x:c r="I26" s="16" t="n">
        <x:v>1.75</x:v>
      </x:c>
      <x:c r="J26" s="11" t="n">
        <x:f>CHOOSE('假设'!$B$3,G26,H26,I26)</x:f>
        <x:v>0.44999999999999996</x:v>
      </x:c>
      <x:c r="K26" s="11" t="n">
        <x:f>J26*'SOTP管线参数'!E11*'SOTP管线参数'!F11*'SOTP管线参数'!G11</x:f>
        <x:v>0.00648</x:v>
      </x:c>
      <x:c r="L26" s="11" t="n">
        <x:f>IF(F26,K26/(1+'SOTP管线参数'!H11)^E26,0)</x:f>
        <x:v>0.002800946882797026</x:v>
      </x:c>
    </x:row>
    <x:row r="27" ht="23" customHeight="1">
      <x:c r="A27" s="11" t="str">
        <x:v>01548.HK</x:v>
      </x:c>
      <x:c r="B27" s="11" t="str">
        <x:v>2026年底</x:v>
      </x:c>
      <x:c r="C27" s="11" t="str">
        <x:v>LB2102</x:v>
      </x:c>
      <x:c r="D27" s="11" t="str">
        <x:v>2033-12-31</x:v>
      </x:c>
      <x:c r="E27" s="11" t="n">
        <x:v>7.000684462696783</x:v>
      </x:c>
      <x:c r="F27" s="26" t="b">
        <x:v>1</x:v>
      </x:c>
      <x:c r="G27" s="16" t="n">
        <x:v>0.22499999999999998</x:v>
      </x:c>
      <x:c r="H27" s="16" t="n">
        <x:v>1.0499999999999998</x:v>
      </x:c>
      <x:c r="I27" s="16" t="n">
        <x:v>3</x:v>
      </x:c>
      <x:c r="J27" s="11" t="n">
        <x:f>CHOOSE('假设'!$B$3,G27,H27,I27)</x:f>
        <x:v>1.0499999999999998</x:v>
      </x:c>
      <x:c r="K27" s="11" t="n">
        <x:f>J27*'SOTP管线参数'!E11*'SOTP管线参数'!F11*'SOTP管线参数'!G11</x:f>
        <x:v>0.015120000000000001</x:v>
      </x:c>
      <x:c r="L27" s="11" t="n">
        <x:f>IF(F27,K27/(1+'SOTP管线参数'!H11)^E27,0)</x:f>
        <x:v>0.005683624311693668</x:v>
      </x:c>
    </x:row>
    <x:row r="28" ht="23" customHeight="1">
      <x:c r="A28" s="11" t="str">
        <x:v>01548.HK</x:v>
      </x:c>
      <x:c r="B28" s="11" t="str">
        <x:v>2026年底</x:v>
      </x:c>
      <x:c r="C28" s="11" t="str">
        <x:v>LB2102</x:v>
      </x:c>
      <x:c r="D28" s="11" t="str">
        <x:v>2034-12-31</x:v>
      </x:c>
      <x:c r="E28" s="11" t="n">
        <x:v>8</x:v>
      </x:c>
      <x:c r="F28" s="26" t="b">
        <x:v>1</x:v>
      </x:c>
      <x:c r="G28" s="16" t="n">
        <x:v>0.5249999999999999</x:v>
      </x:c>
      <x:c r="H28" s="16" t="n">
        <x:v>1.7999999999999998</x:v>
      </x:c>
      <x:c r="I28" s="16" t="n">
        <x:v>4.25</x:v>
      </x:c>
      <x:c r="J28" s="11" t="n">
        <x:f>CHOOSE('假设'!$B$3,G28,H28,I28)</x:f>
        <x:v>1.7999999999999998</x:v>
      </x:c>
      <x:c r="K28" s="11" t="n">
        <x:f>J28*'SOTP管线参数'!E11*'SOTP管线参数'!F11*'SOTP管线参数'!G11</x:f>
        <x:v>0.02592</x:v>
      </x:c>
      <x:c r="L28" s="11" t="n">
        <x:f>IF(F28,K28/(1+'SOTP管线参数'!H11)^E28,0)</x:f>
        <x:v>0.008473293978092662</x:v>
      </x:c>
    </x:row>
    <x:row r="29" ht="23" customHeight="1">
      <x:c r="A29" s="11" t="str">
        <x:v>01548.HK</x:v>
      </x:c>
      <x:c r="B29" s="11" t="str">
        <x:v>2026年底</x:v>
      </x:c>
      <x:c r="C29" s="11" t="str">
        <x:v>LB2102</x:v>
      </x:c>
      <x:c r="D29" s="11" t="str">
        <x:v>2035-12-31</x:v>
      </x:c>
      <x:c r="E29" s="11" t="n">
        <x:v>8.999315537303216</x:v>
      </x:c>
      <x:c r="F29" s="26" t="b">
        <x:v>1</x:v>
      </x:c>
      <x:c r="G29" s="16" t="n">
        <x:v>0.8999999999999999</x:v>
      </x:c>
      <x:c r="H29" s="16" t="n">
        <x:v>2.55</x:v>
      </x:c>
      <x:c r="I29" s="16" t="n">
        <x:v>5</x:v>
      </x:c>
      <x:c r="J29" s="11" t="n">
        <x:f>CHOOSE('假设'!$B$3,G29,H29,I29)</x:f>
        <x:v>2.55</x:v>
      </x:c>
      <x:c r="K29" s="11" t="n">
        <x:f>J29*'SOTP管线参数'!E11*'SOTP管线参数'!F11*'SOTP管线参数'!G11</x:f>
        <x:v>0.036719999999999996</x:v>
      </x:c>
      <x:c r="L29" s="11" t="n">
        <x:f>IF(F29,K29/(1+'SOTP管线参数'!H11)^E29,0)</x:f>
        <x:v>0.010439114347195046</x:v>
      </x:c>
    </x:row>
    <x:row r="30" ht="23" customHeight="1">
      <x:c r="A30" s="11" t="str">
        <x:v>01548.HK</x:v>
      </x:c>
      <x:c r="B30" s="11" t="str">
        <x:v>2026年底</x:v>
      </x:c>
      <x:c r="C30" s="11" t="str">
        <x:v>LB2102</x:v>
      </x:c>
      <x:c r="D30" s="11" t="str">
        <x:v>2036-12-31</x:v>
      </x:c>
      <x:c r="E30" s="11" t="n">
        <x:v>10.001368925393566</x:v>
      </x:c>
      <x:c r="F30" s="26" t="b">
        <x:v>1</x:v>
      </x:c>
      <x:c r="G30" s="16" t="n">
        <x:v>1.275</x:v>
      </x:c>
      <x:c r="H30" s="16" t="n">
        <x:v>3</x:v>
      </x:c>
      <x:c r="I30" s="16" t="n">
        <x:v>5</x:v>
      </x:c>
      <x:c r="J30" s="11" t="n">
        <x:f>CHOOSE('假设'!$B$3,G30,H30,I30)</x:f>
        <x:v>3</x:v>
      </x:c>
      <x:c r="K30" s="11" t="n">
        <x:f>J30*'SOTP管线参数'!E11*'SOTP管线参数'!F11*'SOTP管线参数'!G11</x:f>
        <x:v>0.04320000000000001</x:v>
      </x:c>
      <x:c r="L30" s="11" t="n">
        <x:f>IF(F30,K30/(1+'SOTP管线参数'!H11)^E30,0)</x:f>
        <x:v>0.010676336473152599</x:v>
      </x:c>
    </x:row>
    <x:row r="31" ht="23" customHeight="1">
      <x:c r="A31" s="11" t="str">
        <x:v>01548.HK</x:v>
      </x:c>
      <x:c r="B31" s="11" t="str">
        <x:v>2026年底</x:v>
      </x:c>
      <x:c r="C31" s="11" t="str">
        <x:v>LB2102</x:v>
      </x:c>
      <x:c r="D31" s="11" t="str">
        <x:v>2037-12-31</x:v>
      </x:c>
      <x:c r="E31" s="11" t="n">
        <x:v>11.000684462696784</x:v>
      </x:c>
      <x:c r="F31" s="26" t="b">
        <x:v>1</x:v>
      </x:c>
      <x:c r="G31" s="16" t="n">
        <x:v>1.5</x:v>
      </x:c>
      <x:c r="H31" s="16" t="n">
        <x:v>3</x:v>
      </x:c>
      <x:c r="I31" s="16" t="n">
        <x:v>4.75</x:v>
      </x:c>
      <x:c r="J31" s="11" t="n">
        <x:f>CHOOSE('假设'!$B$3,G31,H31,I31)</x:f>
        <x:v>3</x:v>
      </x:c>
      <x:c r="K31" s="11" t="n">
        <x:f>J31*'SOTP管线参数'!E11*'SOTP管线参数'!F11*'SOTP管线参数'!G11</x:f>
        <x:v>0.04320000000000001</x:v>
      </x:c>
      <x:c r="L31" s="11" t="n">
        <x:f>IF(F31,K31/(1+'SOTP管线参数'!H11)^E31,0)</x:f>
        <x:v>0.009284658991263786</x:v>
      </x:c>
    </x:row>
    <x:row r="32" ht="23" customHeight="1">
      <x:c r="A32" s="11" t="str">
        <x:v>01548.HK</x:v>
      </x:c>
      <x:c r="B32" s="11" t="str">
        <x:v>2026年底</x:v>
      </x:c>
      <x:c r="C32" s="11" t="str">
        <x:v>LB2102</x:v>
      </x:c>
      <x:c r="D32" s="11" t="str">
        <x:v>2038-12-31</x:v>
      </x:c>
      <x:c r="E32" s="11" t="n">
        <x:v>12</x:v>
      </x:c>
      <x:c r="F32" s="26" t="b">
        <x:v>1</x:v>
      </x:c>
      <x:c r="G32" s="16" t="n">
        <x:v>1.5</x:v>
      </x:c>
      <x:c r="H32" s="16" t="n">
        <x:v>2.8499999999999996</x:v>
      </x:c>
      <x:c r="I32" s="16" t="n">
        <x:v>4.5</x:v>
      </x:c>
      <x:c r="J32" s="11" t="n">
        <x:f>CHOOSE('假设'!$B$3,G32,H32,I32)</x:f>
        <x:v>2.8499999999999996</x:v>
      </x:c>
      <x:c r="K32" s="11" t="n">
        <x:f>J32*'SOTP管线参数'!E11*'SOTP管线参数'!F11*'SOTP管线参数'!G11</x:f>
        <x:v>0.04103999999999999</x:v>
      </x:c>
      <x:c r="L32" s="11" t="n">
        <x:f>IF(F32,K32/(1+'SOTP管线参数'!H11)^E32,0)</x:f>
        <x:v>0.0076706694436607745</x:v>
      </x:c>
    </x:row>
    <x:row r="33" ht="23" customHeight="1">
      <x:c r="A33" s="11" t="str">
        <x:v>01548.HK</x:v>
      </x:c>
      <x:c r="B33" s="11" t="str">
        <x:v>2026年底</x:v>
      </x:c>
      <x:c r="C33" s="11" t="str">
        <x:v>LB2102</x:v>
      </x:c>
      <x:c r="D33" s="11" t="str">
        <x:v>2039-12-31</x:v>
      </x:c>
      <x:c r="E33" s="11" t="n">
        <x:v>12.999315537303216</x:v>
      </x:c>
      <x:c r="F33" s="26" t="b">
        <x:v>1</x:v>
      </x:c>
      <x:c r="G33" s="16" t="n">
        <x:v>1.4249999999999998</x:v>
      </x:c>
      <x:c r="H33" s="16" t="n">
        <x:v>2.7</x:v>
      </x:c>
      <x:c r="I33" s="16" t="n">
        <x:v>4</x:v>
      </x:c>
      <x:c r="J33" s="11" t="n">
        <x:f>CHOOSE('假设'!$B$3,G33,H33,I33)</x:f>
        <x:v>2.7</x:v>
      </x:c>
      <x:c r="K33" s="11" t="n">
        <x:f>J33*'SOTP管线参数'!E11*'SOTP管线参数'!F11*'SOTP管线参数'!G11</x:f>
        <x:v>0.038880000000000005</x:v>
      </x:c>
      <x:c r="L33" s="11" t="n">
        <x:f>IF(F33,K33/(1+'SOTP管线参数'!H11)^E33,0)</x:f>
        <x:v>0.006319691480250604</x:v>
      </x:c>
    </x:row>
    <x:row r="34" ht="23" customHeight="1">
      <x:c r="A34" s="11" t="str">
        <x:v>01548.HK</x:v>
      </x:c>
      <x:c r="B34" s="11" t="str">
        <x:v>2026年底</x:v>
      </x:c>
      <x:c r="C34" s="11" t="str">
        <x:v>LB2102</x:v>
      </x:c>
      <x:c r="D34" s="11" t="str">
        <x:v>2040-12-31</x:v>
      </x:c>
      <x:c r="E34" s="11" t="n">
        <x:v>14.001368925393566</x:v>
      </x:c>
      <x:c r="F34" s="26" t="b">
        <x:v>1</x:v>
      </x:c>
      <x:c r="G34" s="16" t="n">
        <x:v>1.35</x:v>
      </x:c>
      <x:c r="H34" s="16" t="n">
        <x:v>2.4000000000000004</x:v>
      </x:c>
      <x:c r="I34" s="16" t="n">
        <x:v>3.25</x:v>
      </x:c>
      <x:c r="J34" s="11" t="n">
        <x:f>CHOOSE('假设'!$B$3,G34,H34,I34)</x:f>
        <x:v>2.4000000000000004</x:v>
      </x:c>
      <x:c r="K34" s="11" t="n">
        <x:f>J34*'SOTP管线参数'!E11*'SOTP管线参数'!F11*'SOTP管线参数'!G11</x:f>
        <x:v>0.03456000000000001</x:v>
      </x:c>
      <x:c r="L34" s="11" t="n">
        <x:f>IF(F34,K34/(1+'SOTP管线参数'!H11)^E34,0)</x:f>
        <x:v>0.004883384023654622</x:v>
      </x:c>
    </x:row>
    <x:row r="35" ht="23" customHeight="1">
      <x:c r="A35" s="11" t="str">
        <x:v>01548.HK</x:v>
      </x:c>
      <x:c r="B35" s="11" t="str">
        <x:v>2026年底</x:v>
      </x:c>
      <x:c r="C35" s="11" t="str">
        <x:v>LB2102</x:v>
      </x:c>
      <x:c r="D35" s="11" t="str">
        <x:v>2041-12-31</x:v>
      </x:c>
      <x:c r="E35" s="11" t="n">
        <x:v>15.000684462696784</x:v>
      </x:c>
      <x:c r="F35" s="26" t="b">
        <x:v>1</x:v>
      </x:c>
      <x:c r="G35" s="16" t="n">
        <x:v>1.2000000000000002</x:v>
      </x:c>
      <x:c r="H35" s="16" t="n">
        <x:v>1.9500000000000002</x:v>
      </x:c>
      <x:c r="I35" s="16" t="n">
        <x:v>2.5</x:v>
      </x:c>
      <x:c r="J35" s="11" t="n">
        <x:f>CHOOSE('假设'!$B$3,G35,H35,I35)</x:f>
        <x:v>1.9500000000000002</x:v>
      </x:c>
      <x:c r="K35" s="11" t="n">
        <x:f>J35*'SOTP管线参数'!E11*'SOTP管线参数'!F11*'SOTP管线参数'!G11</x:f>
        <x:v>0.028080000000000008</x:v>
      </x:c>
      <x:c r="L35" s="11" t="n">
        <x:f>IF(F35,K35/(1+'SOTP管线参数'!H11)^E35,0)</x:f>
        <x:v>0.0034505470431117455</x:v>
      </x:c>
    </x:row>
    <x:row r="36" ht="23" customHeight="1">
      <x:c r="A36" s="11" t="str">
        <x:v>01548.HK</x:v>
      </x:c>
      <x:c r="B36" s="11" t="str">
        <x:v>2026年底</x:v>
      </x:c>
      <x:c r="C36" s="11" t="str">
        <x:v>LB2102</x:v>
      </x:c>
      <x:c r="D36" s="11" t="str">
        <x:v>2042-12-31</x:v>
      </x:c>
      <x:c r="E36" s="11" t="n">
        <x:v>16</x:v>
      </x:c>
      <x:c r="F36" s="26" t="b">
        <x:v>1</x:v>
      </x:c>
      <x:c r="G36" s="16" t="n">
        <x:v>0.9750000000000001</x:v>
      </x:c>
      <x:c r="H36" s="16" t="n">
        <x:v>1.5</x:v>
      </x:c>
      <x:c r="I36" s="16" t="n">
        <x:v>1.75</x:v>
      </x:c>
      <x:c r="J36" s="11" t="n">
        <x:f>CHOOSE('假设'!$B$3,G36,H36,I36)</x:f>
        <x:v>1.5</x:v>
      </x:c>
      <x:c r="K36" s="11" t="n">
        <x:f>J36*'SOTP管线参数'!E11*'SOTP管线参数'!F11*'SOTP管线参数'!G11</x:f>
        <x:v>0.021600000000000005</x:v>
      </x:c>
      <x:c r="L36" s="11" t="n">
        <x:f>IF(F36,K36/(1+'SOTP管线参数'!H11)^E36,0)</x:f>
        <x:v>0.0023082790264654512</x:v>
      </x:c>
    </x:row>
    <x:row r="37" ht="23" customHeight="1">
      <x:c r="A37" s="11" t="str">
        <x:v>01548.HK</x:v>
      </x:c>
      <x:c r="B37" s="11" t="str">
        <x:v>2026年底</x:v>
      </x:c>
      <x:c r="C37" s="11" t="str">
        <x:v>LB2102</x:v>
      </x:c>
      <x:c r="D37" s="11" t="str">
        <x:v>2043-12-31</x:v>
      </x:c>
      <x:c r="E37" s="11" t="n">
        <x:v>16.999315537303218</x:v>
      </x:c>
      <x:c r="F37" s="26" t="b">
        <x:v>1</x:v>
      </x:c>
      <x:c r="G37" s="16" t="n">
        <x:v>0.75</x:v>
      </x:c>
      <x:c r="H37" s="16" t="n">
        <x:v>1.0499999999999998</x:v>
      </x:c>
      <x:c r="I37" s="16" t="n">
        <x:v>1</x:v>
      </x:c>
      <x:c r="J37" s="11" t="n">
        <x:f>CHOOSE('假设'!$B$3,G37,H37,I37)</x:f>
        <x:v>1.0499999999999998</x:v>
      </x:c>
      <x:c r="K37" s="11" t="n">
        <x:f>J37*'SOTP管线参数'!E11*'SOTP管线参数'!F11*'SOTP管线参数'!G11</x:f>
        <x:v>0.015120000000000001</x:v>
      </x:c>
      <x:c r="L37" s="11" t="n">
        <x:f>IF(F37,K37/(1+'SOTP管线参数'!H11)^E37,0)</x:f>
        <x:v>0.0014051738224921922</x:v>
      </x:c>
    </x:row>
    <x:row r="38" ht="23" customHeight="1">
      <x:c r="A38" s="11" t="str">
        <x:v>01548.HK</x:v>
      </x:c>
      <x:c r="B38" s="11" t="str">
        <x:v>半年</x:v>
      </x:c>
      <x:c r="C38" s="11" t="str">
        <x:v>LB2501</x:v>
      </x:c>
      <x:c r="D38" s="11" t="str">
        <x:v>2029-12-31</x:v>
      </x:c>
      <x:c r="E38" s="11" t="n">
        <x:v>2.729637234770705</x:v>
      </x:c>
      <x:c r="F38" s="26" t="b">
        <x:v>1</x:v>
      </x:c>
      <x:c r="G38" s="16" t="n">
        <x:v>0</x:v>
      </x:c>
      <x:c r="H38" s="16" t="n">
        <x:v>0</x:v>
      </x:c>
      <x:c r="I38" s="16" t="n">
        <x:v>0.35000000000000003</x:v>
      </x:c>
      <x:c r="J38" s="11" t="n">
        <x:f>CHOOSE('假设'!$B$3,G38,H38,I38)</x:f>
        <x:v>0</x:v>
      </x:c>
      <x:c r="K38" s="11" t="n">
        <x:f>J38*'SOTP管线参数'!E15*'SOTP管线参数'!F15*'SOTP管线参数'!G15</x:f>
        <x:v>0</x:v>
      </x:c>
      <x:c r="L38" s="11" t="n">
        <x:f>IF(F38,K38/(1+'SOTP管线参数'!H15)^E38,0)</x:f>
        <x:v>0</x:v>
      </x:c>
    </x:row>
    <x:row r="39" ht="23" customHeight="1">
      <x:c r="A39" s="11" t="str">
        <x:v>01548.HK</x:v>
      </x:c>
      <x:c r="B39" s="11" t="str">
        <x:v>半年</x:v>
      </x:c>
      <x:c r="C39" s="11" t="str">
        <x:v>LB2501</x:v>
      </x:c>
      <x:c r="D39" s="11" t="str">
        <x:v>2030-12-31</x:v>
      </x:c>
      <x:c r="E39" s="11" t="n">
        <x:v>3.728952772073922</x:v>
      </x:c>
      <x:c r="F39" s="26" t="b">
        <x:v>1</x:v>
      </x:c>
      <x:c r="G39" s="16" t="n">
        <x:v>0</x:v>
      </x:c>
      <x:c r="H39" s="16" t="n">
        <x:v>0</x:v>
      </x:c>
      <x:c r="I39" s="16" t="n">
        <x:v>1.05</x:v>
      </x:c>
      <x:c r="J39" s="11" t="n">
        <x:f>CHOOSE('假设'!$B$3,G39,H39,I39)</x:f>
        <x:v>0</x:v>
      </x:c>
      <x:c r="K39" s="11" t="n">
        <x:f>J39*'SOTP管线参数'!E15*'SOTP管线参数'!F15*'SOTP管线参数'!G15</x:f>
        <x:v>0</x:v>
      </x:c>
      <x:c r="L39" s="11" t="n">
        <x:f>IF(F39,K39/(1+'SOTP管线参数'!H15)^E39,0)</x:f>
        <x:v>0</x:v>
      </x:c>
    </x:row>
    <x:row r="40" ht="23" customHeight="1">
      <x:c r="A40" s="11" t="str">
        <x:v>01548.HK</x:v>
      </x:c>
      <x:c r="B40" s="11" t="str">
        <x:v>半年</x:v>
      </x:c>
      <x:c r="C40" s="11" t="str">
        <x:v>LB2501</x:v>
      </x:c>
      <x:c r="D40" s="11" t="str">
        <x:v>2031-12-31</x:v>
      </x:c>
      <x:c r="E40" s="11" t="n">
        <x:v>4.728268309377139</x:v>
      </x:c>
      <x:c r="F40" s="26" t="b">
        <x:v>1</x:v>
      </x:c>
      <x:c r="G40" s="16" t="n">
        <x:v>0</x:v>
      </x:c>
      <x:c r="H40" s="16" t="n">
        <x:v>0.17500000000000002</x:v>
      </x:c>
      <x:c r="I40" s="16" t="n">
        <x:v>2.4499999999999997</x:v>
      </x:c>
      <x:c r="J40" s="11" t="n">
        <x:f>CHOOSE('假设'!$B$3,G40,H40,I40)</x:f>
        <x:v>0.17500000000000002</x:v>
      </x:c>
      <x:c r="K40" s="11" t="n">
        <x:f>J40*'SOTP管线参数'!E15*'SOTP管线参数'!F15*'SOTP管线参数'!G15</x:f>
        <x:v>0.00525</x:v>
      </x:c>
      <x:c r="L40" s="11" t="n">
        <x:f>IF(F40,K40/(1+'SOTP管线参数'!H15)^E40,0)</x:f>
        <x:v>0.0027112129386997743</x:v>
      </x:c>
    </x:row>
    <x:row r="41" ht="23" customHeight="1">
      <x:c r="A41" s="11" t="str">
        <x:v>01548.HK</x:v>
      </x:c>
      <x:c r="B41" s="11" t="str">
        <x:v>半年</x:v>
      </x:c>
      <x:c r="C41" s="11" t="str">
        <x:v>LB2501</x:v>
      </x:c>
      <x:c r="D41" s="11" t="str">
        <x:v>2032-12-31</x:v>
      </x:c>
      <x:c r="E41" s="11" t="n">
        <x:v>5.730321697467488</x:v>
      </x:c>
      <x:c r="F41" s="26" t="b">
        <x:v>1</x:v>
      </x:c>
      <x:c r="G41" s="16" t="n">
        <x:v>0.07500000000000001</x:v>
      </x:c>
      <x:c r="H41" s="16" t="n">
        <x:v>0.525</x:v>
      </x:c>
      <x:c r="I41" s="16" t="n">
        <x:v>4.2</x:v>
      </x:c>
      <x:c r="J41" s="11" t="n">
        <x:f>CHOOSE('假设'!$B$3,G41,H41,I41)</x:f>
        <x:v>0.525</x:v>
      </x:c>
      <x:c r="K41" s="11" t="n">
        <x:f>J41*'SOTP管线参数'!E15*'SOTP管线参数'!F15*'SOTP管线参数'!G15</x:f>
        <x:v>0.01575</x:v>
      </x:c>
      <x:c r="L41" s="11" t="n">
        <x:f>IF(F41,K41/(1+'SOTP管线参数'!H15)^E41,0)</x:f>
        <x:v>0.007070699925692283</x:v>
      </x:c>
    </x:row>
    <x:row r="42" ht="23" customHeight="1">
      <x:c r="A42" s="11" t="str">
        <x:v>01548.HK</x:v>
      </x:c>
      <x:c r="B42" s="11" t="str">
        <x:v>半年</x:v>
      </x:c>
      <x:c r="C42" s="11" t="str">
        <x:v>LB2501</x:v>
      </x:c>
      <x:c r="D42" s="11" t="str">
        <x:v>2033-12-31</x:v>
      </x:c>
      <x:c r="E42" s="11" t="n">
        <x:v>6.729637234770705</x:v>
      </x:c>
      <x:c r="F42" s="26" t="b">
        <x:v>1</x:v>
      </x:c>
      <x:c r="G42" s="16" t="n">
        <x:v>0.22499999999999998</x:v>
      </x:c>
      <x:c r="H42" s="16" t="n">
        <x:v>1.2249999999999999</x:v>
      </x:c>
      <x:c r="I42" s="16" t="n">
        <x:v>5.95</x:v>
      </x:c>
      <x:c r="J42" s="11" t="n">
        <x:f>CHOOSE('假设'!$B$3,G42,H42,I42)</x:f>
        <x:v>1.2249999999999999</x:v>
      </x:c>
      <x:c r="K42" s="11" t="n">
        <x:f>J42*'SOTP管线参数'!E15*'SOTP管线参数'!F15*'SOTP管线参数'!G15</x:f>
        <x:v>0.03675</x:v>
      </x:c>
      <x:c r="L42" s="11" t="n">
        <x:f>IF(F42,K42/(1+'SOTP管线参数'!H15)^E42,0)</x:f>
        <x:v>0.014347720138921133</x:v>
      </x:c>
    </x:row>
    <x:row r="43" ht="23" customHeight="1">
      <x:c r="A43" s="11" t="str">
        <x:v>01548.HK</x:v>
      </x:c>
      <x:c r="B43" s="11" t="str">
        <x:v>半年</x:v>
      </x:c>
      <x:c r="C43" s="11" t="str">
        <x:v>LB2501</x:v>
      </x:c>
      <x:c r="D43" s="11" t="str">
        <x:v>2034-12-31</x:v>
      </x:c>
      <x:c r="E43" s="11" t="n">
        <x:v>7.728952772073922</x:v>
      </x:c>
      <x:c r="F43" s="26" t="b">
        <x:v>1</x:v>
      </x:c>
      <x:c r="G43" s="16" t="n">
        <x:v>0.5249999999999999</x:v>
      </x:c>
      <x:c r="H43" s="16" t="n">
        <x:v>2.1</x:v>
      </x:c>
      <x:c r="I43" s="16" t="n">
        <x:v>7</x:v>
      </x:c>
      <x:c r="J43" s="11" t="n">
        <x:f>CHOOSE('假设'!$B$3,G43,H43,I43)</x:f>
        <x:v>2.1</x:v>
      </x:c>
      <x:c r="K43" s="11" t="n">
        <x:f>J43*'SOTP管线参数'!E15*'SOTP管线参数'!F15*'SOTP管线参数'!G15</x:f>
        <x:v>0.063</x:v>
      </x:c>
      <x:c r="L43" s="11" t="n">
        <x:f>IF(F43,K43/(1+'SOTP管线参数'!H15)^E43,0)</x:f>
        <x:v>0.021389951901351446</x:v>
      </x:c>
    </x:row>
    <x:row r="44" ht="23" customHeight="1">
      <x:c r="A44" s="11" t="str">
        <x:v>01548.HK</x:v>
      </x:c>
      <x:c r="B44" s="11" t="str">
        <x:v>半年</x:v>
      </x:c>
      <x:c r="C44" s="11" t="str">
        <x:v>LB2501</x:v>
      </x:c>
      <x:c r="D44" s="11" t="str">
        <x:v>2035-12-31</x:v>
      </x:c>
      <x:c r="E44" s="11" t="n">
        <x:v>8.728268309377139</x:v>
      </x:c>
      <x:c r="F44" s="26" t="b">
        <x:v>1</x:v>
      </x:c>
      <x:c r="G44" s="16" t="n">
        <x:v>0.8999999999999999</x:v>
      </x:c>
      <x:c r="H44" s="16" t="n">
        <x:v>2.975</x:v>
      </x:c>
      <x:c r="I44" s="16" t="n">
        <x:v>7</x:v>
      </x:c>
      <x:c r="J44" s="11" t="n">
        <x:f>CHOOSE('假设'!$B$3,G44,H44,I44)</x:f>
        <x:v>2.975</x:v>
      </x:c>
      <x:c r="K44" s="11" t="n">
        <x:f>J44*'SOTP管线参数'!E15*'SOTP管线参数'!F15*'SOTP管线参数'!G15</x:f>
        <x:v>0.08925</x:v>
      </x:c>
      <x:c r="L44" s="11" t="n">
        <x:f>IF(F44,K44/(1+'SOTP管线参数'!H15)^E44,0)</x:f>
        <x:v>0.02635246155232217</x:v>
      </x:c>
    </x:row>
    <x:row r="45" ht="23" customHeight="1">
      <x:c r="A45" s="11" t="str">
        <x:v>01548.HK</x:v>
      </x:c>
      <x:c r="B45" s="11" t="str">
        <x:v>半年</x:v>
      </x:c>
      <x:c r="C45" s="11" t="str">
        <x:v>LB2501</x:v>
      </x:c>
      <x:c r="D45" s="11" t="str">
        <x:v>2036-12-31</x:v>
      </x:c>
      <x:c r="E45" s="11" t="n">
        <x:v>9.730321697467488</x:v>
      </x:c>
      <x:c r="F45" s="26" t="b">
        <x:v>1</x:v>
      </x:c>
      <x:c r="G45" s="16" t="n">
        <x:v>1.275</x:v>
      </x:c>
      <x:c r="H45" s="16" t="n">
        <x:v>3.5</x:v>
      </x:c>
      <x:c r="I45" s="16" t="n">
        <x:v>6.6499999999999995</x:v>
      </x:c>
      <x:c r="J45" s="11" t="n">
        <x:f>CHOOSE('假设'!$B$3,G45,H45,I45)</x:f>
        <x:v>3.5</x:v>
      </x:c>
      <x:c r="K45" s="11" t="n">
        <x:f>J45*'SOTP管线参数'!E15*'SOTP管线参数'!F15*'SOTP管线参数'!G15</x:f>
        <x:v>0.105</x:v>
      </x:c>
      <x:c r="L45" s="11" t="n">
        <x:f>IF(F45,K45/(1+'SOTP管线参数'!H15)^E45,0)</x:f>
        <x:v>0.02695130420752655</x:v>
      </x:c>
    </x:row>
    <x:row r="46" ht="23" customHeight="1">
      <x:c r="A46" s="11" t="str">
        <x:v>01548.HK</x:v>
      </x:c>
      <x:c r="B46" s="11" t="str">
        <x:v>半年</x:v>
      </x:c>
      <x:c r="C46" s="11" t="str">
        <x:v>LB2501</x:v>
      </x:c>
      <x:c r="D46" s="11" t="str">
        <x:v>2037-12-31</x:v>
      </x:c>
      <x:c r="E46" s="11" t="n">
        <x:v>10.729637234770705</x:v>
      </x:c>
      <x:c r="F46" s="26" t="b">
        <x:v>1</x:v>
      </x:c>
      <x:c r="G46" s="16" t="n">
        <x:v>1.5</x:v>
      </x:c>
      <x:c r="H46" s="16" t="n">
        <x:v>3.5</x:v>
      </x:c>
      <x:c r="I46" s="16" t="n">
        <x:v>6.3</x:v>
      </x:c>
      <x:c r="J46" s="11" t="n">
        <x:f>CHOOSE('假设'!$B$3,G46,H46,I46)</x:f>
        <x:v>3.5</x:v>
      </x:c>
      <x:c r="K46" s="11" t="n">
        <x:f>J46*'SOTP管线参数'!E15*'SOTP管线参数'!F15*'SOTP管线参数'!G15</x:f>
        <x:v>0.105</x:v>
      </x:c>
      <x:c r="L46" s="11" t="n">
        <x:f>IF(F46,K46/(1+'SOTP管线参数'!H15)^E46,0)</x:f>
        <x:v>0.023438158732253387</x:v>
      </x:c>
    </x:row>
    <x:row r="47" ht="23" customHeight="1">
      <x:c r="A47" s="11" t="str">
        <x:v>01548.HK</x:v>
      </x:c>
      <x:c r="B47" s="11" t="str">
        <x:v>半年</x:v>
      </x:c>
      <x:c r="C47" s="11" t="str">
        <x:v>LB2501</x:v>
      </x:c>
      <x:c r="D47" s="11" t="str">
        <x:v>2038-12-31</x:v>
      </x:c>
      <x:c r="E47" s="11" t="n">
        <x:v>11.728952772073923</x:v>
      </x:c>
      <x:c r="F47" s="26" t="b">
        <x:v>1</x:v>
      </x:c>
      <x:c r="G47" s="16" t="n">
        <x:v>1.5</x:v>
      </x:c>
      <x:c r="H47" s="16" t="n">
        <x:v>3.3249999999999997</x:v>
      </x:c>
      <x:c r="I47" s="16" t="n">
        <x:v>5.6000000000000005</x:v>
      </x:c>
      <x:c r="J47" s="11" t="n">
        <x:f>CHOOSE('假设'!$B$3,G47,H47,I47)</x:f>
        <x:v>3.3249999999999997</x:v>
      </x:c>
      <x:c r="K47" s="11" t="n">
        <x:f>J47*'SOTP管线参数'!E15*'SOTP管线参数'!F15*'SOTP管线参数'!G15</x:f>
        <x:v>0.09974999999999999</x:v>
      </x:c>
      <x:c r="L47" s="11" t="n">
        <x:f>IF(F47,K47/(1+'SOTP管线参数'!H15)^E47,0)</x:f>
        <x:v>0.019363809502571223</x:v>
      </x:c>
    </x:row>
    <x:row r="48" ht="23" customHeight="1">
      <x:c r="A48" s="11" t="str">
        <x:v>01548.HK</x:v>
      </x:c>
      <x:c r="B48" s="11" t="str">
        <x:v>半年</x:v>
      </x:c>
      <x:c r="C48" s="11" t="str">
        <x:v>LB2501</x:v>
      </x:c>
      <x:c r="D48" s="11" t="str">
        <x:v>2039-12-31</x:v>
      </x:c>
      <x:c r="E48" s="11" t="n">
        <x:v>12.728268309377139</x:v>
      </x:c>
      <x:c r="F48" s="26" t="b">
        <x:v>1</x:v>
      </x:c>
      <x:c r="G48" s="16" t="n">
        <x:v>1.4249999999999998</x:v>
      </x:c>
      <x:c r="H48" s="16" t="n">
        <x:v>3.15</x:v>
      </x:c>
      <x:c r="I48" s="16" t="n">
        <x:v>4.55</x:v>
      </x:c>
      <x:c r="J48" s="11" t="n">
        <x:f>CHOOSE('假设'!$B$3,G48,H48,I48)</x:f>
        <x:v>3.15</x:v>
      </x:c>
      <x:c r="K48" s="11" t="n">
        <x:f>J48*'SOTP管线参数'!E15*'SOTP管线参数'!F15*'SOTP管线参数'!G15</x:f>
        <x:v>0.0945</x:v>
      </x:c>
      <x:c r="L48" s="11" t="n">
        <x:f>IF(F48,K48/(1+'SOTP管线参数'!H15)^E48,0)</x:f>
        <x:v>0.015953405740841465</x:v>
      </x:c>
    </x:row>
    <x:row r="49" ht="23" customHeight="1">
      <x:c r="A49" s="11" t="str">
        <x:v>01548.HK</x:v>
      </x:c>
      <x:c r="B49" s="11" t="str">
        <x:v>半年</x:v>
      </x:c>
      <x:c r="C49" s="11" t="str">
        <x:v>LB2501</x:v>
      </x:c>
      <x:c r="D49" s="11" t="str">
        <x:v>2040-12-31</x:v>
      </x:c>
      <x:c r="E49" s="11" t="n">
        <x:v>13.730321697467488</x:v>
      </x:c>
      <x:c r="F49" s="26" t="b">
        <x:v>1</x:v>
      </x:c>
      <x:c r="G49" s="16" t="n">
        <x:v>1.35</x:v>
      </x:c>
      <x:c r="H49" s="16" t="n">
        <x:v>2.8000000000000003</x:v>
      </x:c>
      <x:c r="I49" s="16" t="n">
        <x:v>3.5</x:v>
      </x:c>
      <x:c r="J49" s="11" t="n">
        <x:f>CHOOSE('假设'!$B$3,G49,H49,I49)</x:f>
        <x:v>2.8000000000000003</x:v>
      </x:c>
      <x:c r="K49" s="11" t="n">
        <x:f>J49*'SOTP管线参数'!E15*'SOTP管线参数'!F15*'SOTP管线参数'!G15</x:f>
        <x:v>0.084</x:v>
      </x:c>
      <x:c r="L49" s="11" t="n">
        <x:f>IF(F49,K49/(1+'SOTP管线参数'!H15)^E49,0)</x:f>
        <x:v>0.012327596522894784</x:v>
      </x:c>
    </x:row>
    <x:row r="50" ht="23" customHeight="1">
      <x:c r="A50" s="11" t="str">
        <x:v>01548.HK</x:v>
      </x:c>
      <x:c r="B50" s="11" t="str">
        <x:v>半年</x:v>
      </x:c>
      <x:c r="C50" s="11" t="str">
        <x:v>LB2501</x:v>
      </x:c>
      <x:c r="D50" s="11" t="str">
        <x:v>2041-12-31</x:v>
      </x:c>
      <x:c r="E50" s="11" t="n">
        <x:v>14.729637234770705</x:v>
      </x:c>
      <x:c r="F50" s="26" t="b">
        <x:v>1</x:v>
      </x:c>
      <x:c r="G50" s="16" t="n">
        <x:v>1.2000000000000002</x:v>
      </x:c>
      <x:c r="H50" s="16" t="n">
        <x:v>2.275</x:v>
      </x:c>
      <x:c r="I50" s="16" t="n">
        <x:v>2.4499999999999997</x:v>
      </x:c>
      <x:c r="J50" s="11" t="n">
        <x:f>CHOOSE('假设'!$B$3,G50,H50,I50)</x:f>
        <x:v>2.275</x:v>
      </x:c>
      <x:c r="K50" s="11" t="n">
        <x:f>J50*'SOTP管线参数'!E15*'SOTP管线参数'!F15*'SOTP管线参数'!G15</x:f>
        <x:v>0.06824999999999999</x:v>
      </x:c>
      <x:c r="L50" s="11" t="n">
        <x:f>IF(F50,K50/(1+'SOTP管线参数'!H15)^E50,0)</x:f>
        <x:v>0.00871054816182887</x:v>
      </x:c>
    </x:row>
    <x:row r="51" ht="23" customHeight="1">
      <x:c r="A51" s="11" t="str">
        <x:v>01548.HK</x:v>
      </x:c>
      <x:c r="B51" s="11" t="str">
        <x:v>半年</x:v>
      </x:c>
      <x:c r="C51" s="11" t="str">
        <x:v>LB2501</x:v>
      </x:c>
      <x:c r="D51" s="11" t="str">
        <x:v>2042-12-31</x:v>
      </x:c>
      <x:c r="E51" s="11" t="n">
        <x:v>15.728952772073923</x:v>
      </x:c>
      <x:c r="F51" s="26" t="b">
        <x:v>1</x:v>
      </x:c>
      <x:c r="G51" s="16" t="n">
        <x:v>0.9750000000000001</x:v>
      </x:c>
      <x:c r="H51" s="16" t="n">
        <x:v>1.75</x:v>
      </x:c>
      <x:c r="I51" s="16" t="n">
        <x:v>1.4000000000000001</x:v>
      </x:c>
      <x:c r="J51" s="11" t="n">
        <x:f>CHOOSE('假设'!$B$3,G51,H51,I51)</x:f>
        <x:v>1.75</x:v>
      </x:c>
      <x:c r="K51" s="11" t="n">
        <x:f>J51*'SOTP管线参数'!E15*'SOTP管线参数'!F15*'SOTP管线参数'!G15</x:f>
        <x:v>0.0525</x:v>
      </x:c>
      <x:c r="L51" s="11" t="n">
        <x:f>IF(F51,K51/(1+'SOTP管线参数'!H15)^E51,0)</x:f>
        <x:v>0.005827011015863325</x:v>
      </x:c>
    </x:row>
    <x:row r="52" ht="23" customHeight="1">
      <x:c r="A52" s="11" t="str">
        <x:v>01548.HK</x:v>
      </x:c>
      <x:c r="B52" s="11" t="str">
        <x:v>半年</x:v>
      </x:c>
      <x:c r="C52" s="11" t="str">
        <x:v>LB2501</x:v>
      </x:c>
      <x:c r="D52" s="11" t="str">
        <x:v>2043-12-31</x:v>
      </x:c>
      <x:c r="E52" s="11" t="n">
        <x:v>16.72826830937714</x:v>
      </x:c>
      <x:c r="F52" s="26" t="b">
        <x:v>1</x:v>
      </x:c>
      <x:c r="G52" s="16" t="n">
        <x:v>0.75</x:v>
      </x:c>
      <x:c r="H52" s="16" t="n">
        <x:v>1.2249999999999999</x:v>
      </x:c>
      <x:c r="I52" s="16" t="n">
        <x:v>0.7000000000000001</x:v>
      </x:c>
      <x:c r="J52" s="11" t="n">
        <x:f>CHOOSE('假设'!$B$3,G52,H52,I52)</x:f>
        <x:v>1.2249999999999999</x:v>
      </x:c>
      <x:c r="K52" s="11" t="n">
        <x:f>J52*'SOTP管线参数'!E15*'SOTP管线参数'!F15*'SOTP管线参数'!G15</x:f>
        <x:v>0.03675</x:v>
      </x:c>
      <x:c r="L52" s="11" t="n">
        <x:f>IF(F52,K52/(1+'SOTP管线参数'!H15)^E52,0)</x:f>
        <x:v>0.003547215587451137</x:v>
      </x:c>
    </x:row>
    <x:row r="53" ht="23" customHeight="1">
      <x:c r="A53" s="11" t="str">
        <x:v>01548.HK</x:v>
      </x:c>
      <x:c r="B53" s="11" t="str">
        <x:v>半年</x:v>
      </x:c>
      <x:c r="C53" s="11" t="str">
        <x:v>LB2501</x:v>
      </x:c>
      <x:c r="D53" s="11" t="str">
        <x:v>2044-12-31</x:v>
      </x:c>
      <x:c r="E53" s="11" t="n">
        <x:v>17.730321697467488</x:v>
      </x:c>
      <x:c r="F53" s="26" t="b">
        <x:v>1</x:v>
      </x:c>
      <x:c r="G53" s="16" t="n">
        <x:v>0.5249999999999999</x:v>
      </x:c>
      <x:c r="H53" s="16" t="n">
        <x:v>0.7000000000000001</x:v>
      </x:c>
      <x:c r="I53" s="16" t="n">
        <x:v>0.35000000000000003</x:v>
      </x:c>
      <x:c r="J53" s="11" t="n">
        <x:f>CHOOSE('假设'!$B$3,G53,H53,I53)</x:f>
        <x:v>0.7000000000000001</x:v>
      </x:c>
      <x:c r="K53" s="11" t="n">
        <x:f>J53*'SOTP管线参数'!E15*'SOTP管线参数'!F15*'SOTP管线参数'!G15</x:f>
        <x:v>0.021</x:v>
      </x:c>
      <x:c r="L53" s="11" t="n">
        <x:f>IF(F53,K53/(1+'SOTP管线参数'!H15)^E53,0)</x:f>
        <x:v>0.0017620858305816215</x:v>
      </x:c>
    </x:row>
    <x:row r="54" ht="23" customHeight="1">
      <x:c r="A54" s="11" t="str">
        <x:v>01548.HK</x:v>
      </x:c>
      <x:c r="B54" s="11" t="str">
        <x:v>半年</x:v>
      </x:c>
      <x:c r="C54" s="11" t="str">
        <x:v>LB2501</x:v>
      </x:c>
      <x:c r="D54" s="11" t="str">
        <x:v>2045-12-31</x:v>
      </x:c>
      <x:c r="E54" s="11" t="n">
        <x:v>18.729637234770706</x:v>
      </x:c>
      <x:c r="F54" s="26" t="b">
        <x:v>1</x:v>
      </x:c>
      <x:c r="G54" s="16" t="n">
        <x:v>0.30000000000000004</x:v>
      </x:c>
      <x:c r="H54" s="16" t="n">
        <x:v>0.35000000000000003</x:v>
      </x:c>
      <x:c r="I54" s="16" t="n">
        <x:v>0.35000000000000003</x:v>
      </x:c>
      <x:c r="J54" s="11" t="n">
        <x:f>CHOOSE('假设'!$B$3,G54,H54,I54)</x:f>
        <x:v>0.35000000000000003</x:v>
      </x:c>
      <x:c r="K54" s="11" t="n">
        <x:f>J54*'SOTP管线参数'!E15*'SOTP管线参数'!F15*'SOTP管线参数'!G15</x:f>
        <x:v>0.0105</x:v>
      </x:c>
      <x:c r="L54" s="11" t="n">
        <x:f>IF(F54,K54/(1+'SOTP管线参数'!H15)^E54,0)</x:f>
        <x:v>0.0007661975665261673</x:v>
      </x:c>
    </x:row>
    <x:row r="55" ht="23" customHeight="1">
      <x:c r="A55" s="11" t="str">
        <x:v>01548.HK</x:v>
      </x:c>
      <x:c r="B55" s="11" t="str">
        <x:v>半年</x:v>
      </x:c>
      <x:c r="C55" s="11" t="str">
        <x:v>LB2102</x:v>
      </x:c>
      <x:c r="D55" s="11" t="str">
        <x:v>2030-12-31</x:v>
      </x:c>
      <x:c r="E55" s="11" t="n">
        <x:v>3.728952772073922</x:v>
      </x:c>
      <x:c r="F55" s="26" t="b">
        <x:v>1</x:v>
      </x:c>
      <x:c r="G55" s="16" t="n">
        <x:v>0</x:v>
      </x:c>
      <x:c r="H55" s="16" t="n">
        <x:v>0</x:v>
      </x:c>
      <x:c r="I55" s="16" t="n">
        <x:v>0.25</x:v>
      </x:c>
      <x:c r="J55" s="11" t="n">
        <x:f>CHOOSE('假设'!$B$3,G55,H55,I55)</x:f>
        <x:v>0</x:v>
      </x:c>
      <x:c r="K55" s="11" t="n">
        <x:f>J55*'SOTP管线参数'!E19*'SOTP管线参数'!F19*'SOTP管线参数'!G19</x:f>
        <x:v>0</x:v>
      </x:c>
      <x:c r="L55" s="11" t="n">
        <x:f>IF(F55,K55/(1+'SOTP管线参数'!H19)^E55,0)</x:f>
        <x:v>0</x:v>
      </x:c>
    </x:row>
    <x:row r="56" ht="23" customHeight="1">
      <x:c r="A56" s="11" t="str">
        <x:v>01548.HK</x:v>
      </x:c>
      <x:c r="B56" s="11" t="str">
        <x:v>半年</x:v>
      </x:c>
      <x:c r="C56" s="11" t="str">
        <x:v>LB2102</x:v>
      </x:c>
      <x:c r="D56" s="11" t="str">
        <x:v>2031-12-31</x:v>
      </x:c>
      <x:c r="E56" s="11" t="n">
        <x:v>4.728268309377139</x:v>
      </x:c>
      <x:c r="F56" s="26" t="b">
        <x:v>1</x:v>
      </x:c>
      <x:c r="G56" s="16" t="n">
        <x:v>0</x:v>
      </x:c>
      <x:c r="H56" s="16" t="n">
        <x:v>0.15000000000000002</x:v>
      </x:c>
      <x:c r="I56" s="16" t="n">
        <x:v>0.75</x:v>
      </x:c>
      <x:c r="J56" s="11" t="n">
        <x:f>CHOOSE('假设'!$B$3,G56,H56,I56)</x:f>
        <x:v>0.15000000000000002</x:v>
      </x:c>
      <x:c r="K56" s="11" t="n">
        <x:f>J56*'SOTP管线参数'!E19*'SOTP管线参数'!F19*'SOTP管线参数'!G19</x:f>
        <x:v>0.0021600000000000005</x:v>
      </x:c>
      <x:c r="L56" s="11" t="n">
        <x:f>IF(F56,K56/(1+'SOTP管线参数'!H19)^E56,0)</x:f>
        <x:v>0.0011154704662079075</x:v>
      </x:c>
    </x:row>
    <x:row r="57" ht="23" customHeight="1">
      <x:c r="A57" s="11" t="str">
        <x:v>01548.HK</x:v>
      </x:c>
      <x:c r="B57" s="11" t="str">
        <x:v>半年</x:v>
      </x:c>
      <x:c r="C57" s="11" t="str">
        <x:v>LB2102</x:v>
      </x:c>
      <x:c r="D57" s="11" t="str">
        <x:v>2032-12-31</x:v>
      </x:c>
      <x:c r="E57" s="11" t="n">
        <x:v>5.730321697467488</x:v>
      </x:c>
      <x:c r="F57" s="26" t="b">
        <x:v>1</x:v>
      </x:c>
      <x:c r="G57" s="16" t="n">
        <x:v>0.07500000000000001</x:v>
      </x:c>
      <x:c r="H57" s="16" t="n">
        <x:v>0.44999999999999996</x:v>
      </x:c>
      <x:c r="I57" s="16" t="n">
        <x:v>1.75</x:v>
      </x:c>
      <x:c r="J57" s="11" t="n">
        <x:f>CHOOSE('假设'!$B$3,G57,H57,I57)</x:f>
        <x:v>0.44999999999999996</x:v>
      </x:c>
      <x:c r="K57" s="11" t="n">
        <x:f>J57*'SOTP管线参数'!E19*'SOTP管线参数'!F19*'SOTP管线参数'!G19</x:f>
        <x:v>0.00648</x:v>
      </x:c>
      <x:c r="L57" s="11" t="n">
        <x:f>IF(F57,K57/(1+'SOTP管线参数'!H19)^E57,0)</x:f>
        <x:v>0.0029090879694276817</x:v>
      </x:c>
    </x:row>
    <x:row r="58" ht="23" customHeight="1">
      <x:c r="A58" s="11" t="str">
        <x:v>01548.HK</x:v>
      </x:c>
      <x:c r="B58" s="11" t="str">
        <x:v>半年</x:v>
      </x:c>
      <x:c r="C58" s="11" t="str">
        <x:v>LB2102</x:v>
      </x:c>
      <x:c r="D58" s="11" t="str">
        <x:v>2033-12-31</x:v>
      </x:c>
      <x:c r="E58" s="11" t="n">
        <x:v>6.729637234770705</x:v>
      </x:c>
      <x:c r="F58" s="26" t="b">
        <x:v>1</x:v>
      </x:c>
      <x:c r="G58" s="16" t="n">
        <x:v>0.22499999999999998</x:v>
      </x:c>
      <x:c r="H58" s="16" t="n">
        <x:v>1.0499999999999998</x:v>
      </x:c>
      <x:c r="I58" s="16" t="n">
        <x:v>3</x:v>
      </x:c>
      <x:c r="J58" s="11" t="n">
        <x:f>CHOOSE('假设'!$B$3,G58,H58,I58)</x:f>
        <x:v>1.0499999999999998</x:v>
      </x:c>
      <x:c r="K58" s="11" t="n">
        <x:f>J58*'SOTP管线参数'!E19*'SOTP管线参数'!F19*'SOTP管线参数'!G19</x:f>
        <x:v>0.015120000000000001</x:v>
      </x:c>
      <x:c r="L58" s="11" t="n">
        <x:f>IF(F58,K58/(1+'SOTP管线参数'!H19)^E58,0)</x:f>
        <x:v>0.005903062000013267</x:v>
      </x:c>
    </x:row>
    <x:row r="59" ht="23" customHeight="1">
      <x:c r="A59" s="11" t="str">
        <x:v>01548.HK</x:v>
      </x:c>
      <x:c r="B59" s="11" t="str">
        <x:v>半年</x:v>
      </x:c>
      <x:c r="C59" s="11" t="str">
        <x:v>LB2102</x:v>
      </x:c>
      <x:c r="D59" s="11" t="str">
        <x:v>2034-12-31</x:v>
      </x:c>
      <x:c r="E59" s="11" t="n">
        <x:v>7.728952772073922</x:v>
      </x:c>
      <x:c r="F59" s="26" t="b">
        <x:v>1</x:v>
      </x:c>
      <x:c r="G59" s="16" t="n">
        <x:v>0.5249999999999999</x:v>
      </x:c>
      <x:c r="H59" s="16" t="n">
        <x:v>1.7999999999999998</x:v>
      </x:c>
      <x:c r="I59" s="16" t="n">
        <x:v>4.25</x:v>
      </x:c>
      <x:c r="J59" s="11" t="n">
        <x:f>CHOOSE('假设'!$B$3,G59,H59,I59)</x:f>
        <x:v>1.7999999999999998</x:v>
      </x:c>
      <x:c r="K59" s="11" t="n">
        <x:f>J59*'SOTP管线参数'!E19*'SOTP管线参数'!F19*'SOTP管线参数'!G19</x:f>
        <x:v>0.02592</x:v>
      </x:c>
      <x:c r="L59" s="11" t="n">
        <x:f>IF(F59,K59/(1+'SOTP管线参数'!H19)^E59,0)</x:f>
        <x:v>0.00880043735369888</x:v>
      </x:c>
    </x:row>
    <x:row r="60" ht="23" customHeight="1">
      <x:c r="A60" s="11" t="str">
        <x:v>01548.HK</x:v>
      </x:c>
      <x:c r="B60" s="11" t="str">
        <x:v>半年</x:v>
      </x:c>
      <x:c r="C60" s="11" t="str">
        <x:v>LB2102</x:v>
      </x:c>
      <x:c r="D60" s="11" t="str">
        <x:v>2035-12-31</x:v>
      </x:c>
      <x:c r="E60" s="11" t="n">
        <x:v>8.728268309377139</x:v>
      </x:c>
      <x:c r="F60" s="26" t="b">
        <x:v>1</x:v>
      </x:c>
      <x:c r="G60" s="16" t="n">
        <x:v>0.8999999999999999</x:v>
      </x:c>
      <x:c r="H60" s="16" t="n">
        <x:v>2.55</x:v>
      </x:c>
      <x:c r="I60" s="16" t="n">
        <x:v>5</x:v>
      </x:c>
      <x:c r="J60" s="11" t="n">
        <x:f>CHOOSE('假设'!$B$3,G60,H60,I60)</x:f>
        <x:v>2.55</x:v>
      </x:c>
      <x:c r="K60" s="11" t="n">
        <x:f>J60*'SOTP管线参数'!E19*'SOTP管线参数'!F19*'SOTP管线参数'!G19</x:f>
        <x:v>0.036719999999999996</x:v>
      </x:c>
      <x:c r="L60" s="11" t="n">
        <x:f>IF(F60,K60/(1+'SOTP管线参数'!H19)^E60,0)</x:f>
        <x:v>0.010842155610098264</x:v>
      </x:c>
    </x:row>
    <x:row r="61" ht="23" customHeight="1">
      <x:c r="A61" s="11" t="str">
        <x:v>01548.HK</x:v>
      </x:c>
      <x:c r="B61" s="11" t="str">
        <x:v>半年</x:v>
      </x:c>
      <x:c r="C61" s="11" t="str">
        <x:v>LB2102</x:v>
      </x:c>
      <x:c r="D61" s="11" t="str">
        <x:v>2036-12-31</x:v>
      </x:c>
      <x:c r="E61" s="11" t="n">
        <x:v>9.730321697467488</x:v>
      </x:c>
      <x:c r="F61" s="26" t="b">
        <x:v>1</x:v>
      </x:c>
      <x:c r="G61" s="16" t="n">
        <x:v>1.275</x:v>
      </x:c>
      <x:c r="H61" s="16" t="n">
        <x:v>3</x:v>
      </x:c>
      <x:c r="I61" s="16" t="n">
        <x:v>5</x:v>
      </x:c>
      <x:c r="J61" s="11" t="n">
        <x:f>CHOOSE('假设'!$B$3,G61,H61,I61)</x:f>
        <x:v>3</x:v>
      </x:c>
      <x:c r="K61" s="11" t="n">
        <x:f>J61*'SOTP管线参数'!E19*'SOTP管线参数'!F19*'SOTP管线参数'!G19</x:f>
        <x:v>0.04320000000000001</x:v>
      </x:c>
      <x:c r="L61" s="11" t="n">
        <x:f>IF(F61,K61/(1+'SOTP管线参数'!H19)^E61,0)</x:f>
        <x:v>0.011088536588239498</x:v>
      </x:c>
    </x:row>
    <x:row r="62" ht="23" customHeight="1">
      <x:c r="A62" s="11" t="str">
        <x:v>01548.HK</x:v>
      </x:c>
      <x:c r="B62" s="11" t="str">
        <x:v>半年</x:v>
      </x:c>
      <x:c r="C62" s="11" t="str">
        <x:v>LB2102</x:v>
      </x:c>
      <x:c r="D62" s="11" t="str">
        <x:v>2037-12-31</x:v>
      </x:c>
      <x:c r="E62" s="11" t="n">
        <x:v>10.729637234770705</x:v>
      </x:c>
      <x:c r="F62" s="26" t="b">
        <x:v>1</x:v>
      </x:c>
      <x:c r="G62" s="16" t="n">
        <x:v>1.5</x:v>
      </x:c>
      <x:c r="H62" s="16" t="n">
        <x:v>3</x:v>
      </x:c>
      <x:c r="I62" s="16" t="n">
        <x:v>4.75</x:v>
      </x:c>
      <x:c r="J62" s="11" t="n">
        <x:f>CHOOSE('假设'!$B$3,G62,H62,I62)</x:f>
        <x:v>3</x:v>
      </x:c>
      <x:c r="K62" s="11" t="n">
        <x:f>J62*'SOTP管线参数'!E19*'SOTP管线参数'!F19*'SOTP管线参数'!G19</x:f>
        <x:v>0.04320000000000001</x:v>
      </x:c>
      <x:c r="L62" s="11" t="n">
        <x:f>IF(F62,K62/(1+'SOTP管线参数'!H19)^E62,0)</x:f>
        <x:v>0.00964312816412711</x:v>
      </x:c>
    </x:row>
    <x:row r="63" ht="23" customHeight="1">
      <x:c r="A63" s="11" t="str">
        <x:v>01548.HK</x:v>
      </x:c>
      <x:c r="B63" s="11" t="str">
        <x:v>半年</x:v>
      </x:c>
      <x:c r="C63" s="11" t="str">
        <x:v>LB2102</x:v>
      </x:c>
      <x:c r="D63" s="11" t="str">
        <x:v>2038-12-31</x:v>
      </x:c>
      <x:c r="E63" s="11" t="n">
        <x:v>11.728952772073923</x:v>
      </x:c>
      <x:c r="F63" s="26" t="b">
        <x:v>1</x:v>
      </x:c>
      <x:c r="G63" s="16" t="n">
        <x:v>1.5</x:v>
      </x:c>
      <x:c r="H63" s="16" t="n">
        <x:v>2.8499999999999996</x:v>
      </x:c>
      <x:c r="I63" s="16" t="n">
        <x:v>4.5</x:v>
      </x:c>
      <x:c r="J63" s="11" t="n">
        <x:f>CHOOSE('假设'!$B$3,G63,H63,I63)</x:f>
        <x:v>2.8499999999999996</x:v>
      </x:c>
      <x:c r="K63" s="11" t="n">
        <x:f>J63*'SOTP管线参数'!E19*'SOTP管线参数'!F19*'SOTP管线参数'!G19</x:f>
        <x:v>0.04103999999999999</x:v>
      </x:c>
      <x:c r="L63" s="11" t="n">
        <x:f>IF(F63,K63/(1+'SOTP管线参数'!H19)^E63,0)</x:f>
        <x:v>0.007966824481057875</x:v>
      </x:c>
    </x:row>
    <x:row r="64" ht="23" customHeight="1">
      <x:c r="A64" s="11" t="str">
        <x:v>01548.HK</x:v>
      </x:c>
      <x:c r="B64" s="11" t="str">
        <x:v>半年</x:v>
      </x:c>
      <x:c r="C64" s="11" t="str">
        <x:v>LB2102</x:v>
      </x:c>
      <x:c r="D64" s="11" t="str">
        <x:v>2039-12-31</x:v>
      </x:c>
      <x:c r="E64" s="11" t="n">
        <x:v>12.728268309377139</x:v>
      </x:c>
      <x:c r="F64" s="26" t="b">
        <x:v>1</x:v>
      </x:c>
      <x:c r="G64" s="16" t="n">
        <x:v>1.4249999999999998</x:v>
      </x:c>
      <x:c r="H64" s="16" t="n">
        <x:v>2.7</x:v>
      </x:c>
      <x:c r="I64" s="16" t="n">
        <x:v>4</x:v>
      </x:c>
      <x:c r="J64" s="11" t="n">
        <x:f>CHOOSE('假设'!$B$3,G64,H64,I64)</x:f>
        <x:v>2.7</x:v>
      </x:c>
      <x:c r="K64" s="11" t="n">
        <x:f>J64*'SOTP管线参数'!E19*'SOTP管线参数'!F19*'SOTP管线参数'!G19</x:f>
        <x:v>0.038880000000000005</x:v>
      </x:c>
      <x:c r="L64" s="11" t="n">
        <x:f>IF(F64,K64/(1+'SOTP管线参数'!H19)^E64,0)</x:f>
        <x:v>0.006563686933374774</x:v>
      </x:c>
    </x:row>
    <x:row r="65" ht="23" customHeight="1">
      <x:c r="A65" s="11" t="str">
        <x:v>01548.HK</x:v>
      </x:c>
      <x:c r="B65" s="11" t="str">
        <x:v>半年</x:v>
      </x:c>
      <x:c r="C65" s="11" t="str">
        <x:v>LB2102</x:v>
      </x:c>
      <x:c r="D65" s="11" t="str">
        <x:v>2040-12-31</x:v>
      </x:c>
      <x:c r="E65" s="11" t="n">
        <x:v>13.730321697467488</x:v>
      </x:c>
      <x:c r="F65" s="26" t="b">
        <x:v>1</x:v>
      </x:c>
      <x:c r="G65" s="16" t="n">
        <x:v>1.35</x:v>
      </x:c>
      <x:c r="H65" s="16" t="n">
        <x:v>2.4000000000000004</x:v>
      </x:c>
      <x:c r="I65" s="16" t="n">
        <x:v>3.25</x:v>
      </x:c>
      <x:c r="J65" s="11" t="n">
        <x:f>CHOOSE('假设'!$B$3,G65,H65,I65)</x:f>
        <x:v>2.4000000000000004</x:v>
      </x:c>
      <x:c r="K65" s="11" t="n">
        <x:f>J65*'SOTP管线参数'!E19*'SOTP管线参数'!F19*'SOTP管线参数'!G19</x:f>
        <x:v>0.03456000000000001</x:v>
      </x:c>
      <x:c r="L65" s="11" t="n">
        <x:f>IF(F65,K65/(1+'SOTP管线参数'!H19)^E65,0)</x:f>
        <x:v>0.005071925426562427</x:v>
      </x:c>
    </x:row>
    <x:row r="66" ht="23" customHeight="1">
      <x:c r="A66" s="11" t="str">
        <x:v>01548.HK</x:v>
      </x:c>
      <x:c r="B66" s="11" t="str">
        <x:v>半年</x:v>
      </x:c>
      <x:c r="C66" s="11" t="str">
        <x:v>LB2102</x:v>
      </x:c>
      <x:c r="D66" s="11" t="str">
        <x:v>2041-12-31</x:v>
      </x:c>
      <x:c r="E66" s="11" t="n">
        <x:v>14.729637234770705</x:v>
      </x:c>
      <x:c r="F66" s="26" t="b">
        <x:v>1</x:v>
      </x:c>
      <x:c r="G66" s="16" t="n">
        <x:v>1.2000000000000002</x:v>
      </x:c>
      <x:c r="H66" s="16" t="n">
        <x:v>1.9500000000000002</x:v>
      </x:c>
      <x:c r="I66" s="16" t="n">
        <x:v>2.5</x:v>
      </x:c>
      <x:c r="J66" s="11" t="n">
        <x:f>CHOOSE('假设'!$B$3,G66,H66,I66)</x:f>
        <x:v>1.9500000000000002</x:v>
      </x:c>
      <x:c r="K66" s="11" t="n">
        <x:f>J66*'SOTP管线参数'!E19*'SOTP管线参数'!F19*'SOTP管线参数'!G19</x:f>
        <x:v>0.028080000000000008</x:v>
      </x:c>
      <x:c r="L66" s="11" t="n">
        <x:f>IF(F66,K66/(1+'SOTP管线参数'!H19)^E66,0)</x:f>
        <x:v>0.003583768386581022</x:v>
      </x:c>
    </x:row>
    <x:row r="67" ht="23" customHeight="1">
      <x:c r="A67" s="11" t="str">
        <x:v>01548.HK</x:v>
      </x:c>
      <x:c r="B67" s="11" t="str">
        <x:v>半年</x:v>
      </x:c>
      <x:c r="C67" s="11" t="str">
        <x:v>LB2102</x:v>
      </x:c>
      <x:c r="D67" s="11" t="str">
        <x:v>2042-12-31</x:v>
      </x:c>
      <x:c r="E67" s="11" t="n">
        <x:v>15.728952772073923</x:v>
      </x:c>
      <x:c r="F67" s="26" t="b">
        <x:v>1</x:v>
      </x:c>
      <x:c r="G67" s="16" t="n">
        <x:v>0.9750000000000001</x:v>
      </x:c>
      <x:c r="H67" s="16" t="n">
        <x:v>1.5</x:v>
      </x:c>
      <x:c r="I67" s="16" t="n">
        <x:v>1.75</x:v>
      </x:c>
      <x:c r="J67" s="11" t="n">
        <x:f>CHOOSE('假设'!$B$3,G67,H67,I67)</x:f>
        <x:v>1.5</x:v>
      </x:c>
      <x:c r="K67" s="11" t="n">
        <x:f>J67*'SOTP管线参数'!E19*'SOTP管线参数'!F19*'SOTP管线参数'!G19</x:f>
        <x:v>0.021600000000000005</x:v>
      </x:c>
      <x:c r="L67" s="11" t="n">
        <x:f>IF(F67,K67/(1+'SOTP管线参数'!H19)^E67,0)</x:f>
        <x:v>0.0023973988179551973</x:v>
      </x:c>
    </x:row>
    <x:row r="68" ht="23" customHeight="1">
      <x:c r="A68" s="11" t="str">
        <x:v>01548.HK</x:v>
      </x:c>
      <x:c r="B68" s="11" t="str">
        <x:v>半年</x:v>
      </x:c>
      <x:c r="C68" s="11" t="str">
        <x:v>LB2102</x:v>
      </x:c>
      <x:c r="D68" s="11" t="str">
        <x:v>2043-12-31</x:v>
      </x:c>
      <x:c r="E68" s="11" t="n">
        <x:v>16.72826830937714</x:v>
      </x:c>
      <x:c r="F68" s="26" t="b">
        <x:v>1</x:v>
      </x:c>
      <x:c r="G68" s="16" t="n">
        <x:v>0.75</x:v>
      </x:c>
      <x:c r="H68" s="16" t="n">
        <x:v>1.0499999999999998</x:v>
      </x:c>
      <x:c r="I68" s="16" t="n">
        <x:v>1</x:v>
      </x:c>
      <x:c r="J68" s="11" t="n">
        <x:f>CHOOSE('假设'!$B$3,G68,H68,I68)</x:f>
        <x:v>1.0499999999999998</x:v>
      </x:c>
      <x:c r="K68" s="11" t="n">
        <x:f>J68*'SOTP管线参数'!E19*'SOTP管线参数'!F19*'SOTP管线参数'!G19</x:f>
        <x:v>0.015120000000000001</x:v>
      </x:c>
      <x:c r="L68" s="11" t="n">
        <x:f>IF(F68,K68/(1+'SOTP管线参数'!H19)^E68,0)</x:f>
        <x:v>0.0014594258416941823</x:v>
      </x:c>
    </x:row>
    <x:row r="69" ht="23" customHeight="1">
      <x:c r="A69" s="11" t="str">
        <x:v>01548.HK</x:v>
      </x:c>
      <x:c r="B69" s="11" t="str">
        <x:v>一年</x:v>
      </x:c>
      <x:c r="C69" s="11" t="str">
        <x:v>LB2501</x:v>
      </x:c>
      <x:c r="D69" s="11" t="str">
        <x:v>2029-12-31</x:v>
      </x:c>
      <x:c r="E69" s="11" t="n">
        <x:v>2.2286105407255303</x:v>
      </x:c>
      <x:c r="F69" s="26" t="b">
        <x:v>1</x:v>
      </x:c>
      <x:c r="G69" s="16" t="n">
        <x:v>0</x:v>
      </x:c>
      <x:c r="H69" s="16" t="n">
        <x:v>0</x:v>
      </x:c>
      <x:c r="I69" s="16" t="n">
        <x:v>0.35000000000000003</x:v>
      </x:c>
      <x:c r="J69" s="11" t="n">
        <x:f>CHOOSE('假设'!$B$3,G69,H69,I69)</x:f>
        <x:v>0</x:v>
      </x:c>
      <x:c r="K69" s="11" t="n">
        <x:f>J69*'SOTP管线参数'!E23*'SOTP管线参数'!F23*'SOTP管线参数'!G23</x:f>
        <x:v>0</x:v>
      </x:c>
      <x:c r="L69" s="11" t="n">
        <x:f>IF(F69,K69/(1+'SOTP管线参数'!H23)^E69,0)</x:f>
        <x:v>0</x:v>
      </x:c>
    </x:row>
    <x:row r="70" ht="23" customHeight="1">
      <x:c r="A70" s="11" t="str">
        <x:v>01548.HK</x:v>
      </x:c>
      <x:c r="B70" s="11" t="str">
        <x:v>一年</x:v>
      </x:c>
      <x:c r="C70" s="11" t="str">
        <x:v>LB2501</x:v>
      </x:c>
      <x:c r="D70" s="11" t="str">
        <x:v>2030-12-31</x:v>
      </x:c>
      <x:c r="E70" s="11" t="n">
        <x:v>3.2279260780287475</x:v>
      </x:c>
      <x:c r="F70" s="26" t="b">
        <x:v>1</x:v>
      </x:c>
      <x:c r="G70" s="16" t="n">
        <x:v>0</x:v>
      </x:c>
      <x:c r="H70" s="16" t="n">
        <x:v>0</x:v>
      </x:c>
      <x:c r="I70" s="16" t="n">
        <x:v>1.05</x:v>
      </x:c>
      <x:c r="J70" s="11" t="n">
        <x:f>CHOOSE('假设'!$B$3,G70,H70,I70)</x:f>
        <x:v>0</x:v>
      </x:c>
      <x:c r="K70" s="11" t="n">
        <x:f>J70*'SOTP管线参数'!E23*'SOTP管线参数'!F23*'SOTP管线参数'!G23</x:f>
        <x:v>0</x:v>
      </x:c>
      <x:c r="L70" s="11" t="n">
        <x:f>IF(F70,K70/(1+'SOTP管线参数'!H23)^E70,0)</x:f>
        <x:v>0</x:v>
      </x:c>
    </x:row>
    <x:row r="71" ht="23" customHeight="1">
      <x:c r="A71" s="11" t="str">
        <x:v>01548.HK</x:v>
      </x:c>
      <x:c r="B71" s="11" t="str">
        <x:v>一年</x:v>
      </x:c>
      <x:c r="C71" s="11" t="str">
        <x:v>LB2501</x:v>
      </x:c>
      <x:c r="D71" s="11" t="str">
        <x:v>2031-12-31</x:v>
      </x:c>
      <x:c r="E71" s="11" t="n">
        <x:v>4.227241615331964</x:v>
      </x:c>
      <x:c r="F71" s="26" t="b">
        <x:v>1</x:v>
      </x:c>
      <x:c r="G71" s="16" t="n">
        <x:v>0</x:v>
      </x:c>
      <x:c r="H71" s="16" t="n">
        <x:v>0.17500000000000002</x:v>
      </x:c>
      <x:c r="I71" s="16" t="n">
        <x:v>2.4499999999999997</x:v>
      </x:c>
      <x:c r="J71" s="11" t="n">
        <x:f>CHOOSE('假设'!$B$3,G71,H71,I71)</x:f>
        <x:v>0.17500000000000002</x:v>
      </x:c>
      <x:c r="K71" s="11" t="n">
        <x:f>J71*'SOTP管线参数'!E23*'SOTP管线参数'!F23*'SOTP管线参数'!G23</x:f>
        <x:v>0.00525</x:v>
      </x:c>
      <x:c r="L71" s="11" t="n">
        <x:f>IF(F71,K71/(1+'SOTP管线参数'!H23)^E71,0)</x:f>
        <x:v>0.002907869194949688</x:v>
      </x:c>
    </x:row>
    <x:row r="72" ht="23" customHeight="1">
      <x:c r="A72" s="11" t="str">
        <x:v>01548.HK</x:v>
      </x:c>
      <x:c r="B72" s="11" t="str">
        <x:v>一年</x:v>
      </x:c>
      <x:c r="C72" s="11" t="str">
        <x:v>LB2501</x:v>
      </x:c>
      <x:c r="D72" s="11" t="str">
        <x:v>2032-12-31</x:v>
      </x:c>
      <x:c r="E72" s="11" t="n">
        <x:v>5.229295003422314</x:v>
      </x:c>
      <x:c r="F72" s="26" t="b">
        <x:v>1</x:v>
      </x:c>
      <x:c r="G72" s="16" t="n">
        <x:v>0.07500000000000001</x:v>
      </x:c>
      <x:c r="H72" s="16" t="n">
        <x:v>0.525</x:v>
      </x:c>
      <x:c r="I72" s="16" t="n">
        <x:v>4.2</x:v>
      </x:c>
      <x:c r="J72" s="11" t="n">
        <x:f>CHOOSE('假设'!$B$3,G72,H72,I72)</x:f>
        <x:v>0.525</x:v>
      </x:c>
      <x:c r="K72" s="11" t="n">
        <x:f>J72*'SOTP管线参数'!E23*'SOTP管线参数'!F23*'SOTP管线参数'!G23</x:f>
        <x:v>0.01575</x:v>
      </x:c>
      <x:c r="L72" s="11" t="n">
        <x:f>IF(F72,K72/(1+'SOTP管线参数'!H23)^E72,0)</x:f>
        <x:v>0.007583569039219024</x:v>
      </x:c>
    </x:row>
    <x:row r="73" ht="23" customHeight="1">
      <x:c r="A73" s="11" t="str">
        <x:v>01548.HK</x:v>
      </x:c>
      <x:c r="B73" s="11" t="str">
        <x:v>一年</x:v>
      </x:c>
      <x:c r="C73" s="11" t="str">
        <x:v>LB2501</x:v>
      </x:c>
      <x:c r="D73" s="11" t="str">
        <x:v>2033-12-31</x:v>
      </x:c>
      <x:c r="E73" s="11" t="n">
        <x:v>6.228610540725531</x:v>
      </x:c>
      <x:c r="F73" s="26" t="b">
        <x:v>1</x:v>
      </x:c>
      <x:c r="G73" s="16" t="n">
        <x:v>0.22499999999999998</x:v>
      </x:c>
      <x:c r="H73" s="16" t="n">
        <x:v>1.2249999999999999</x:v>
      </x:c>
      <x:c r="I73" s="16" t="n">
        <x:v>5.95</x:v>
      </x:c>
      <x:c r="J73" s="11" t="n">
        <x:f>CHOOSE('假设'!$B$3,G73,H73,I73)</x:f>
        <x:v>1.2249999999999999</x:v>
      </x:c>
      <x:c r="K73" s="11" t="n">
        <x:f>J73*'SOTP管线参数'!E23*'SOTP管线参数'!F23*'SOTP管线参数'!G23</x:f>
        <x:v>0.03675</x:v>
      </x:c>
      <x:c r="L73" s="11" t="n">
        <x:f>IF(F73,K73/(1+'SOTP管线参数'!H23)^E73,0)</x:f>
        <x:v>0.015388423688231748</x:v>
      </x:c>
    </x:row>
    <x:row r="74" ht="23" customHeight="1">
      <x:c r="A74" s="11" t="str">
        <x:v>01548.HK</x:v>
      </x:c>
      <x:c r="B74" s="11" t="str">
        <x:v>一年</x:v>
      </x:c>
      <x:c r="C74" s="11" t="str">
        <x:v>LB2501</x:v>
      </x:c>
      <x:c r="D74" s="11" t="str">
        <x:v>2034-12-31</x:v>
      </x:c>
      <x:c r="E74" s="11" t="n">
        <x:v>7.227926078028747</x:v>
      </x:c>
      <x:c r="F74" s="26" t="b">
        <x:v>1</x:v>
      </x:c>
      <x:c r="G74" s="16" t="n">
        <x:v>0.5249999999999999</x:v>
      </x:c>
      <x:c r="H74" s="16" t="n">
        <x:v>2.1</x:v>
      </x:c>
      <x:c r="I74" s="16" t="n">
        <x:v>7</x:v>
      </x:c>
      <x:c r="J74" s="11" t="n">
        <x:f>CHOOSE('假设'!$B$3,G74,H74,I74)</x:f>
        <x:v>2.1</x:v>
      </x:c>
      <x:c r="K74" s="11" t="n">
        <x:f>J74*'SOTP管线参数'!E23*'SOTP管线参数'!F23*'SOTP管线参数'!G23</x:f>
        <x:v>0.063</x:v>
      </x:c>
      <x:c r="L74" s="11" t="n">
        <x:f>IF(F74,K74/(1+'SOTP管线参数'!H23)^E74,0)</x:f>
        <x:v>0.02294145964249656</x:v>
      </x:c>
    </x:row>
    <x:row r="75" ht="23" customHeight="1">
      <x:c r="A75" s="11" t="str">
        <x:v>01548.HK</x:v>
      </x:c>
      <x:c r="B75" s="11" t="str">
        <x:v>一年</x:v>
      </x:c>
      <x:c r="C75" s="11" t="str">
        <x:v>LB2501</x:v>
      </x:c>
      <x:c r="D75" s="11" t="str">
        <x:v>2035-12-31</x:v>
      </x:c>
      <x:c r="E75" s="11" t="n">
        <x:v>8.227241615331964</x:v>
      </x:c>
      <x:c r="F75" s="26" t="b">
        <x:v>1</x:v>
      </x:c>
      <x:c r="G75" s="16" t="n">
        <x:v>0.8999999999999999</x:v>
      </x:c>
      <x:c r="H75" s="16" t="n">
        <x:v>2.975</x:v>
      </x:c>
      <x:c r="I75" s="16" t="n">
        <x:v>7</x:v>
      </x:c>
      <x:c r="J75" s="11" t="n">
        <x:f>CHOOSE('假设'!$B$3,G75,H75,I75)</x:f>
        <x:v>2.975</x:v>
      </x:c>
      <x:c r="K75" s="11" t="n">
        <x:f>J75*'SOTP管线参数'!E23*'SOTP管线参数'!F23*'SOTP管线参数'!G23</x:f>
        <x:v>0.08925</x:v>
      </x:c>
      <x:c r="L75" s="11" t="n">
        <x:f>IF(F75,K75/(1+'SOTP管线参数'!H23)^E75,0)</x:f>
        <x:v>0.028263922049532247</x:v>
      </x:c>
    </x:row>
    <x:row r="76" ht="23" customHeight="1">
      <x:c r="A76" s="11" t="str">
        <x:v>01548.HK</x:v>
      </x:c>
      <x:c r="B76" s="11" t="str">
        <x:v>一年</x:v>
      </x:c>
      <x:c r="C76" s="11" t="str">
        <x:v>LB2501</x:v>
      </x:c>
      <x:c r="D76" s="11" t="str">
        <x:v>2036-12-31</x:v>
      </x:c>
      <x:c r="E76" s="11" t="n">
        <x:v>9.229295003422314</x:v>
      </x:c>
      <x:c r="F76" s="26" t="b">
        <x:v>1</x:v>
      </x:c>
      <x:c r="G76" s="16" t="n">
        <x:v>1.275</x:v>
      </x:c>
      <x:c r="H76" s="16" t="n">
        <x:v>3.5</x:v>
      </x:c>
      <x:c r="I76" s="16" t="n">
        <x:v>6.6499999999999995</x:v>
      </x:c>
      <x:c r="J76" s="11" t="n">
        <x:f>CHOOSE('假设'!$B$3,G76,H76,I76)</x:f>
        <x:v>3.5</x:v>
      </x:c>
      <x:c r="K76" s="11" t="n">
        <x:f>J76*'SOTP管线参数'!E23*'SOTP管线参数'!F23*'SOTP管线参数'!G23</x:f>
        <x:v>0.105</x:v>
      </x:c>
      <x:c r="L76" s="11" t="n">
        <x:f>IF(F76,K76/(1+'SOTP管线参数'!H23)^E76,0)</x:f>
        <x:v>0.028906201409015456</x:v>
      </x:c>
    </x:row>
    <x:row r="77" ht="23" customHeight="1">
      <x:c r="A77" s="11" t="str">
        <x:v>01548.HK</x:v>
      </x:c>
      <x:c r="B77" s="11" t="str">
        <x:v>一年</x:v>
      </x:c>
      <x:c r="C77" s="11" t="str">
        <x:v>LB2501</x:v>
      </x:c>
      <x:c r="D77" s="11" t="str">
        <x:v>2037-12-31</x:v>
      </x:c>
      <x:c r="E77" s="11" t="n">
        <x:v>10.22861054072553</x:v>
      </x:c>
      <x:c r="F77" s="26" t="b">
        <x:v>1</x:v>
      </x:c>
      <x:c r="G77" s="16" t="n">
        <x:v>1.5</x:v>
      </x:c>
      <x:c r="H77" s="16" t="n">
        <x:v>3.5</x:v>
      </x:c>
      <x:c r="I77" s="16" t="n">
        <x:v>6.3</x:v>
      </x:c>
      <x:c r="J77" s="11" t="n">
        <x:f>CHOOSE('假设'!$B$3,G77,H77,I77)</x:f>
        <x:v>3.5</x:v>
      </x:c>
      <x:c r="K77" s="11" t="n">
        <x:f>J77*'SOTP管线参数'!E23*'SOTP管线参数'!F23*'SOTP管线参数'!G23</x:f>
        <x:v>0.105</x:v>
      </x:c>
      <x:c r="L77" s="11" t="n">
        <x:f>IF(F77,K77/(1+'SOTP管线参数'!H23)^E77,0)</x:f>
        <x:v>0.025138231966592053</x:v>
      </x:c>
    </x:row>
    <x:row r="78" ht="23" customHeight="1">
      <x:c r="A78" s="11" t="str">
        <x:v>01548.HK</x:v>
      </x:c>
      <x:c r="B78" s="11" t="str">
        <x:v>一年</x:v>
      </x:c>
      <x:c r="C78" s="11" t="str">
        <x:v>LB2501</x:v>
      </x:c>
      <x:c r="D78" s="11" t="str">
        <x:v>2038-12-31</x:v>
      </x:c>
      <x:c r="E78" s="11" t="n">
        <x:v>11.227926078028748</x:v>
      </x:c>
      <x:c r="F78" s="26" t="b">
        <x:v>1</x:v>
      </x:c>
      <x:c r="G78" s="16" t="n">
        <x:v>1.5</x:v>
      </x:c>
      <x:c r="H78" s="16" t="n">
        <x:v>3.3249999999999997</x:v>
      </x:c>
      <x:c r="I78" s="16" t="n">
        <x:v>5.6000000000000005</x:v>
      </x:c>
      <x:c r="J78" s="11" t="n">
        <x:f>CHOOSE('假设'!$B$3,G78,H78,I78)</x:f>
        <x:v>3.3249999999999997</x:v>
      </x:c>
      <x:c r="K78" s="11" t="n">
        <x:f>J78*'SOTP管线参数'!E23*'SOTP管线参数'!F23*'SOTP管线参数'!G23</x:f>
        <x:v>0.09974999999999999</x:v>
      </x:c>
      <x:c r="L78" s="11" t="n">
        <x:f>IF(F78,K78/(1+'SOTP管线参数'!H23)^E78,0)</x:f>
        <x:v>0.020768352181295077</x:v>
      </x:c>
    </x:row>
    <x:row r="79" ht="23" customHeight="1">
      <x:c r="A79" s="11" t="str">
        <x:v>01548.HK</x:v>
      </x:c>
      <x:c r="B79" s="11" t="str">
        <x:v>一年</x:v>
      </x:c>
      <x:c r="C79" s="11" t="str">
        <x:v>LB2501</x:v>
      </x:c>
      <x:c r="D79" s="11" t="str">
        <x:v>2039-12-31</x:v>
      </x:c>
      <x:c r="E79" s="11" t="n">
        <x:v>12.227241615331964</x:v>
      </x:c>
      <x:c r="F79" s="26" t="b">
        <x:v>1</x:v>
      </x:c>
      <x:c r="G79" s="16" t="n">
        <x:v>1.4249999999999998</x:v>
      </x:c>
      <x:c r="H79" s="16" t="n">
        <x:v>3.15</x:v>
      </x:c>
      <x:c r="I79" s="16" t="n">
        <x:v>4.55</x:v>
      </x:c>
      <x:c r="J79" s="11" t="n">
        <x:f>CHOOSE('假设'!$B$3,G79,H79,I79)</x:f>
        <x:v>3.15</x:v>
      </x:c>
      <x:c r="K79" s="11" t="n">
        <x:f>J79*'SOTP管线参数'!E23*'SOTP管线参数'!F23*'SOTP管线参数'!G23</x:f>
        <x:v>0.0945</x:v>
      </x:c>
      <x:c r="L79" s="11" t="n">
        <x:f>IF(F79,K79/(1+'SOTP管线参数'!H23)^E79,0)</x:f>
        <x:v>0.01711057676295024</x:v>
      </x:c>
    </x:row>
    <x:row r="80" ht="23" customHeight="1">
      <x:c r="A80" s="11" t="str">
        <x:v>01548.HK</x:v>
      </x:c>
      <x:c r="B80" s="11" t="str">
        <x:v>一年</x:v>
      </x:c>
      <x:c r="C80" s="11" t="str">
        <x:v>LB2501</x:v>
      </x:c>
      <x:c r="D80" s="11" t="str">
        <x:v>2040-12-31</x:v>
      </x:c>
      <x:c r="E80" s="11" t="n">
        <x:v>13.229295003422314</x:v>
      </x:c>
      <x:c r="F80" s="26" t="b">
        <x:v>1</x:v>
      </x:c>
      <x:c r="G80" s="16" t="n">
        <x:v>1.35</x:v>
      </x:c>
      <x:c r="H80" s="16" t="n">
        <x:v>2.8000000000000003</x:v>
      </x:c>
      <x:c r="I80" s="16" t="n">
        <x:v>3.5</x:v>
      </x:c>
      <x:c r="J80" s="11" t="n">
        <x:f>CHOOSE('假设'!$B$3,G80,H80,I80)</x:f>
        <x:v>2.8000000000000003</x:v>
      </x:c>
      <x:c r="K80" s="11" t="n">
        <x:f>J80*'SOTP管线参数'!E23*'SOTP管线参数'!F23*'SOTP管线参数'!G23</x:f>
        <x:v>0.084</x:v>
      </x:c>
      <x:c r="L80" s="11" t="n">
        <x:f>IF(F80,K80/(1+'SOTP管线参数'!H23)^E80,0)</x:f>
        <x:v>0.013221771578696404</x:v>
      </x:c>
    </x:row>
    <x:row r="81" ht="23" customHeight="1">
      <x:c r="A81" s="11" t="str">
        <x:v>01548.HK</x:v>
      </x:c>
      <x:c r="B81" s="11" t="str">
        <x:v>一年</x:v>
      </x:c>
      <x:c r="C81" s="11" t="str">
        <x:v>LB2501</x:v>
      </x:c>
      <x:c r="D81" s="11" t="str">
        <x:v>2041-12-31</x:v>
      </x:c>
      <x:c r="E81" s="11" t="n">
        <x:v>14.22861054072553</x:v>
      </x:c>
      <x:c r="F81" s="26" t="b">
        <x:v>1</x:v>
      </x:c>
      <x:c r="G81" s="16" t="n">
        <x:v>1.2000000000000002</x:v>
      </x:c>
      <x:c r="H81" s="16" t="n">
        <x:v>2.275</x:v>
      </x:c>
      <x:c r="I81" s="16" t="n">
        <x:v>2.4499999999999997</x:v>
      </x:c>
      <x:c r="J81" s="11" t="n">
        <x:f>CHOOSE('假设'!$B$3,G81,H81,I81)</x:f>
        <x:v>2.275</x:v>
      </x:c>
      <x:c r="K81" s="11" t="n">
        <x:f>J81*'SOTP管线参数'!E23*'SOTP管线参数'!F23*'SOTP管线参数'!G23</x:f>
        <x:v>0.06824999999999999</x:v>
      </x:c>
      <x:c r="L81" s="11" t="n">
        <x:f>IF(F81,K81/(1+'SOTP管线参数'!H23)^E81,0)</x:f>
        <x:v>0.009342362714990206</x:v>
      </x:c>
    </x:row>
    <x:row r="82" ht="23" customHeight="1">
      <x:c r="A82" s="11" t="str">
        <x:v>01548.HK</x:v>
      </x:c>
      <x:c r="B82" s="11" t="str">
        <x:v>一年</x:v>
      </x:c>
      <x:c r="C82" s="11" t="str">
        <x:v>LB2501</x:v>
      </x:c>
      <x:c r="D82" s="11" t="str">
        <x:v>2042-12-31</x:v>
      </x:c>
      <x:c r="E82" s="11" t="n">
        <x:v>15.227926078028748</x:v>
      </x:c>
      <x:c r="F82" s="26" t="b">
        <x:v>1</x:v>
      </x:c>
      <x:c r="G82" s="16" t="n">
        <x:v>0.9750000000000001</x:v>
      </x:c>
      <x:c r="H82" s="16" t="n">
        <x:v>1.75</x:v>
      </x:c>
      <x:c r="I82" s="16" t="n">
        <x:v>1.4000000000000001</x:v>
      </x:c>
      <x:c r="J82" s="11" t="n">
        <x:f>CHOOSE('假设'!$B$3,G82,H82,I82)</x:f>
        <x:v>1.75</x:v>
      </x:c>
      <x:c r="K82" s="11" t="n">
        <x:f>J82*'SOTP管线参数'!E23*'SOTP管线参数'!F23*'SOTP管线参数'!G23</x:f>
        <x:v>0.0525</x:v>
      </x:c>
      <x:c r="L82" s="11" t="n">
        <x:f>IF(F82,K82/(1+'SOTP管线参数'!H23)^E82,0)</x:f>
        <x:v>0.006249669876460323</x:v>
      </x:c>
    </x:row>
    <x:row r="83" ht="23" customHeight="1">
      <x:c r="A83" s="11" t="str">
        <x:v>01548.HK</x:v>
      </x:c>
      <x:c r="B83" s="11" t="str">
        <x:v>一年</x:v>
      </x:c>
      <x:c r="C83" s="11" t="str">
        <x:v>LB2501</x:v>
      </x:c>
      <x:c r="D83" s="11" t="str">
        <x:v>2043-12-31</x:v>
      </x:c>
      <x:c r="E83" s="11" t="n">
        <x:v>16.227241615331966</x:v>
      </x:c>
      <x:c r="F83" s="26" t="b">
        <x:v>1</x:v>
      </x:c>
      <x:c r="G83" s="16" t="n">
        <x:v>0.75</x:v>
      </x:c>
      <x:c r="H83" s="16" t="n">
        <x:v>1.2249999999999999</x:v>
      </x:c>
      <x:c r="I83" s="16" t="n">
        <x:v>0.7000000000000001</x:v>
      </x:c>
      <x:c r="J83" s="11" t="n">
        <x:f>CHOOSE('假设'!$B$3,G83,H83,I83)</x:f>
        <x:v>1.2249999999999999</x:v>
      </x:c>
      <x:c r="K83" s="11" t="n">
        <x:f>J83*'SOTP管线参数'!E23*'SOTP管线参数'!F23*'SOTP管线参数'!G23</x:f>
        <x:v>0.03675</x:v>
      </x:c>
      <x:c r="L83" s="11" t="n">
        <x:f>IF(F83,K83/(1+'SOTP管线参数'!H23)^E83,0)</x:f>
        <x:v>0.0038045108104054863</x:v>
      </x:c>
    </x:row>
    <x:row r="84" ht="23" customHeight="1">
      <x:c r="A84" s="11" t="str">
        <x:v>01548.HK</x:v>
      </x:c>
      <x:c r="B84" s="11" t="str">
        <x:v>一年</x:v>
      </x:c>
      <x:c r="C84" s="11" t="str">
        <x:v>LB2501</x:v>
      </x:c>
      <x:c r="D84" s="11" t="str">
        <x:v>2044-12-31</x:v>
      </x:c>
      <x:c r="E84" s="11" t="n">
        <x:v>17.229295003422312</x:v>
      </x:c>
      <x:c r="F84" s="26" t="b">
        <x:v>1</x:v>
      </x:c>
      <x:c r="G84" s="16" t="n">
        <x:v>0.5249999999999999</x:v>
      </x:c>
      <x:c r="H84" s="16" t="n">
        <x:v>0.7000000000000001</x:v>
      </x:c>
      <x:c r="I84" s="16" t="n">
        <x:v>0.35000000000000003</x:v>
      </x:c>
      <x:c r="J84" s="11" t="n">
        <x:f>CHOOSE('假设'!$B$3,G84,H84,I84)</x:f>
        <x:v>0.7000000000000001</x:v>
      </x:c>
      <x:c r="K84" s="11" t="n">
        <x:f>J84*'SOTP管线参数'!E23*'SOTP管线参数'!F23*'SOTP管线参数'!G23</x:f>
        <x:v>0.021</x:v>
      </x:c>
      <x:c r="L84" s="11" t="n">
        <x:f>IF(F84,K84/(1+'SOTP管线参数'!H23)^E84,0)</x:f>
        <x:v>0.0018898977031523486</x:v>
      </x:c>
    </x:row>
    <x:row r="85" ht="23" customHeight="1">
      <x:c r="A85" s="11" t="str">
        <x:v>01548.HK</x:v>
      </x:c>
      <x:c r="B85" s="11" t="str">
        <x:v>一年</x:v>
      </x:c>
      <x:c r="C85" s="11" t="str">
        <x:v>LB2501</x:v>
      </x:c>
      <x:c r="D85" s="11" t="str">
        <x:v>2045-12-31</x:v>
      </x:c>
      <x:c r="E85" s="11" t="n">
        <x:v>18.22861054072553</x:v>
      </x:c>
      <x:c r="F85" s="26" t="b">
        <x:v>1</x:v>
      </x:c>
      <x:c r="G85" s="16" t="n">
        <x:v>0.30000000000000004</x:v>
      </x:c>
      <x:c r="H85" s="16" t="n">
        <x:v>0.35000000000000003</x:v>
      </x:c>
      <x:c r="I85" s="16" t="n">
        <x:v>0.35000000000000003</x:v>
      </x:c>
      <x:c r="J85" s="11" t="n">
        <x:f>CHOOSE('假设'!$B$3,G85,H85,I85)</x:f>
        <x:v>0.35000000000000003</x:v>
      </x:c>
      <x:c r="K85" s="11" t="n">
        <x:f>J85*'SOTP管线参数'!E23*'SOTP管线参数'!F23*'SOTP管线参数'!G23</x:f>
        <x:v>0.0105</x:v>
      </x:c>
      <x:c r="L85" s="11" t="n">
        <x:f>IF(F85,K85/(1+'SOTP管线参数'!H23)^E85,0)</x:f>
        <x:v>0.0008217732621235376</x:v>
      </x:c>
    </x:row>
    <x:row r="86" ht="23" customHeight="1">
      <x:c r="A86" s="11" t="str">
        <x:v>01548.HK</x:v>
      </x:c>
      <x:c r="B86" s="11" t="str">
        <x:v>一年</x:v>
      </x:c>
      <x:c r="C86" s="11" t="str">
        <x:v>LB2102</x:v>
      </x:c>
      <x:c r="D86" s="11" t="str">
        <x:v>2030-12-31</x:v>
      </x:c>
      <x:c r="E86" s="11" t="n">
        <x:v>3.2279260780287475</x:v>
      </x:c>
      <x:c r="F86" s="26" t="b">
        <x:v>1</x:v>
      </x:c>
      <x:c r="G86" s="16" t="n">
        <x:v>0</x:v>
      </x:c>
      <x:c r="H86" s="16" t="n">
        <x:v>0</x:v>
      </x:c>
      <x:c r="I86" s="16" t="n">
        <x:v>0.25</x:v>
      </x:c>
      <x:c r="J86" s="11" t="n">
        <x:f>CHOOSE('假设'!$B$3,G86,H86,I86)</x:f>
        <x:v>0</x:v>
      </x:c>
      <x:c r="K86" s="11" t="n">
        <x:f>J86*'SOTP管线参数'!E27*'SOTP管线参数'!F27*'SOTP管线参数'!G27</x:f>
        <x:v>0</x:v>
      </x:c>
      <x:c r="L86" s="11" t="n">
        <x:f>IF(F86,K86/(1+'SOTP管线参数'!H27)^E86,0)</x:f>
        <x:v>0</x:v>
      </x:c>
    </x:row>
    <x:row r="87" ht="23" customHeight="1">
      <x:c r="A87" s="11" t="str">
        <x:v>01548.HK</x:v>
      </x:c>
      <x:c r="B87" s="11" t="str">
        <x:v>一年</x:v>
      </x:c>
      <x:c r="C87" s="11" t="str">
        <x:v>LB2102</x:v>
      </x:c>
      <x:c r="D87" s="11" t="str">
        <x:v>2031-12-31</x:v>
      </x:c>
      <x:c r="E87" s="11" t="n">
        <x:v>4.227241615331964</x:v>
      </x:c>
      <x:c r="F87" s="26" t="b">
        <x:v>1</x:v>
      </x:c>
      <x:c r="G87" s="16" t="n">
        <x:v>0</x:v>
      </x:c>
      <x:c r="H87" s="16" t="n">
        <x:v>0.15000000000000002</x:v>
      </x:c>
      <x:c r="I87" s="16" t="n">
        <x:v>0.75</x:v>
      </x:c>
      <x:c r="J87" s="11" t="n">
        <x:f>CHOOSE('假设'!$B$3,G87,H87,I87)</x:f>
        <x:v>0.15000000000000002</x:v>
      </x:c>
      <x:c r="K87" s="11" t="n">
        <x:f>J87*'SOTP管线参数'!E27*'SOTP管线参数'!F27*'SOTP管线参数'!G27</x:f>
        <x:v>0.0021600000000000005</x:v>
      </x:c>
      <x:c r="L87" s="11" t="n">
        <x:f>IF(F87,K87/(1+'SOTP管线参数'!H27)^E87,0)</x:f>
        <x:v>0.0011963804687793005</x:v>
      </x:c>
    </x:row>
    <x:row r="88" ht="23" customHeight="1">
      <x:c r="A88" s="11" t="str">
        <x:v>01548.HK</x:v>
      </x:c>
      <x:c r="B88" s="11" t="str">
        <x:v>一年</x:v>
      </x:c>
      <x:c r="C88" s="11" t="str">
        <x:v>LB2102</x:v>
      </x:c>
      <x:c r="D88" s="11" t="str">
        <x:v>2032-12-31</x:v>
      </x:c>
      <x:c r="E88" s="11" t="n">
        <x:v>5.229295003422314</x:v>
      </x:c>
      <x:c r="F88" s="26" t="b">
        <x:v>1</x:v>
      </x:c>
      <x:c r="G88" s="16" t="n">
        <x:v>0.07500000000000001</x:v>
      </x:c>
      <x:c r="H88" s="16" t="n">
        <x:v>0.44999999999999996</x:v>
      </x:c>
      <x:c r="I88" s="16" t="n">
        <x:v>1.75</x:v>
      </x:c>
      <x:c r="J88" s="11" t="n">
        <x:f>CHOOSE('假设'!$B$3,G88,H88,I88)</x:f>
        <x:v>0.44999999999999996</x:v>
      </x:c>
      <x:c r="K88" s="11" t="n">
        <x:f>J88*'SOTP管线参数'!E27*'SOTP管线参数'!F27*'SOTP管线参数'!G27</x:f>
        <x:v>0.00648</x:v>
      </x:c>
      <x:c r="L88" s="11" t="n">
        <x:f>IF(F88,K88/(1+'SOTP管线参数'!H27)^E88,0)</x:f>
        <x:v>0.003120096976135827</x:v>
      </x:c>
    </x:row>
    <x:row r="89" ht="23" customHeight="1">
      <x:c r="A89" s="11" t="str">
        <x:v>01548.HK</x:v>
      </x:c>
      <x:c r="B89" s="11" t="str">
        <x:v>一年</x:v>
      </x:c>
      <x:c r="C89" s="11" t="str">
        <x:v>LB2102</x:v>
      </x:c>
      <x:c r="D89" s="11" t="str">
        <x:v>2033-12-31</x:v>
      </x:c>
      <x:c r="E89" s="11" t="n">
        <x:v>6.228610540725531</x:v>
      </x:c>
      <x:c r="F89" s="26" t="b">
        <x:v>1</x:v>
      </x:c>
      <x:c r="G89" s="16" t="n">
        <x:v>0.22499999999999998</x:v>
      </x:c>
      <x:c r="H89" s="16" t="n">
        <x:v>1.0499999999999998</x:v>
      </x:c>
      <x:c r="I89" s="16" t="n">
        <x:v>3</x:v>
      </x:c>
      <x:c r="J89" s="11" t="n">
        <x:f>CHOOSE('假设'!$B$3,G89,H89,I89)</x:f>
        <x:v>1.0499999999999998</x:v>
      </x:c>
      <x:c r="K89" s="11" t="n">
        <x:f>J89*'SOTP管线参数'!E27*'SOTP管线参数'!F27*'SOTP管线参数'!G27</x:f>
        <x:v>0.015120000000000001</x:v>
      </x:c>
      <x:c r="L89" s="11" t="n">
        <x:f>IF(F89,K89/(1+'SOTP管线参数'!H27)^E89,0)</x:f>
        <x:v>0.006331237174586777</x:v>
      </x:c>
    </x:row>
    <x:row r="90" ht="23" customHeight="1">
      <x:c r="A90" s="11" t="str">
        <x:v>01548.HK</x:v>
      </x:c>
      <x:c r="B90" s="11" t="str">
        <x:v>一年</x:v>
      </x:c>
      <x:c r="C90" s="11" t="str">
        <x:v>LB2102</x:v>
      </x:c>
      <x:c r="D90" s="11" t="str">
        <x:v>2034-12-31</x:v>
      </x:c>
      <x:c r="E90" s="11" t="n">
        <x:v>7.227926078028747</x:v>
      </x:c>
      <x:c r="F90" s="26" t="b">
        <x:v>1</x:v>
      </x:c>
      <x:c r="G90" s="16" t="n">
        <x:v>0.5249999999999999</x:v>
      </x:c>
      <x:c r="H90" s="16" t="n">
        <x:v>1.7999999999999998</x:v>
      </x:c>
      <x:c r="I90" s="16" t="n">
        <x:v>4.25</x:v>
      </x:c>
      <x:c r="J90" s="11" t="n">
        <x:f>CHOOSE('假设'!$B$3,G90,H90,I90)</x:f>
        <x:v>1.7999999999999998</x:v>
      </x:c>
      <x:c r="K90" s="11" t="n">
        <x:f>J90*'SOTP管线参数'!E27*'SOTP管线参数'!F27*'SOTP管线参数'!G27</x:f>
        <x:v>0.02592</x:v>
      </x:c>
      <x:c r="L90" s="11" t="n">
        <x:f>IF(F90,K90/(1+'SOTP管线参数'!H27)^E90,0)</x:f>
        <x:v>0.009438771967198585</x:v>
      </x:c>
    </x:row>
    <x:row r="91" ht="23" customHeight="1">
      <x:c r="A91" s="11" t="str">
        <x:v>01548.HK</x:v>
      </x:c>
      <x:c r="B91" s="11" t="str">
        <x:v>一年</x:v>
      </x:c>
      <x:c r="C91" s="11" t="str">
        <x:v>LB2102</x:v>
      </x:c>
      <x:c r="D91" s="11" t="str">
        <x:v>2035-12-31</x:v>
      </x:c>
      <x:c r="E91" s="11" t="n">
        <x:v>8.227241615331964</x:v>
      </x:c>
      <x:c r="F91" s="26" t="b">
        <x:v>1</x:v>
      </x:c>
      <x:c r="G91" s="16" t="n">
        <x:v>0.8999999999999999</x:v>
      </x:c>
      <x:c r="H91" s="16" t="n">
        <x:v>2.55</x:v>
      </x:c>
      <x:c r="I91" s="16" t="n">
        <x:v>5</x:v>
      </x:c>
      <x:c r="J91" s="11" t="n">
        <x:f>CHOOSE('假设'!$B$3,G91,H91,I91)</x:f>
        <x:v>2.55</x:v>
      </x:c>
      <x:c r="K91" s="11" t="n">
        <x:f>J91*'SOTP管线参数'!E27*'SOTP管线参数'!F27*'SOTP管线参数'!G27</x:f>
        <x:v>0.036719999999999996</x:v>
      </x:c>
      <x:c r="L91" s="11" t="n">
        <x:f>IF(F91,K91/(1+'SOTP管线参数'!H27)^E91,0)</x:f>
        <x:v>0.011628585071807552</x:v>
      </x:c>
    </x:row>
    <x:row r="92" ht="23" customHeight="1">
      <x:c r="A92" s="11" t="str">
        <x:v>01548.HK</x:v>
      </x:c>
      <x:c r="B92" s="11" t="str">
        <x:v>一年</x:v>
      </x:c>
      <x:c r="C92" s="11" t="str">
        <x:v>LB2102</x:v>
      </x:c>
      <x:c r="D92" s="11" t="str">
        <x:v>2036-12-31</x:v>
      </x:c>
      <x:c r="E92" s="11" t="n">
        <x:v>9.229295003422314</x:v>
      </x:c>
      <x:c r="F92" s="26" t="b">
        <x:v>1</x:v>
      </x:c>
      <x:c r="G92" s="16" t="n">
        <x:v>1.275</x:v>
      </x:c>
      <x:c r="H92" s="16" t="n">
        <x:v>3</x:v>
      </x:c>
      <x:c r="I92" s="16" t="n">
        <x:v>5</x:v>
      </x:c>
      <x:c r="J92" s="11" t="n">
        <x:f>CHOOSE('假设'!$B$3,G92,H92,I92)</x:f>
        <x:v>3</x:v>
      </x:c>
      <x:c r="K92" s="11" t="n">
        <x:f>J92*'SOTP管线参数'!E27*'SOTP管线参数'!F27*'SOTP管线参数'!G27</x:f>
        <x:v>0.04320000000000001</x:v>
      </x:c>
      <x:c r="L92" s="11" t="n">
        <x:f>IF(F92,K92/(1+'SOTP管线参数'!H27)^E92,0)</x:f>
        <x:v>0.011892837151137791</x:v>
      </x:c>
    </x:row>
    <x:row r="93" ht="23" customHeight="1">
      <x:c r="A93" s="11" t="str">
        <x:v>01548.HK</x:v>
      </x:c>
      <x:c r="B93" s="11" t="str">
        <x:v>一年</x:v>
      </x:c>
      <x:c r="C93" s="11" t="str">
        <x:v>LB2102</x:v>
      </x:c>
      <x:c r="D93" s="11" t="str">
        <x:v>2037-12-31</x:v>
      </x:c>
      <x:c r="E93" s="11" t="n">
        <x:v>10.22861054072553</x:v>
      </x:c>
      <x:c r="F93" s="26" t="b">
        <x:v>1</x:v>
      </x:c>
      <x:c r="G93" s="16" t="n">
        <x:v>1.5</x:v>
      </x:c>
      <x:c r="H93" s="16" t="n">
        <x:v>3</x:v>
      </x:c>
      <x:c r="I93" s="16" t="n">
        <x:v>4.75</x:v>
      </x:c>
      <x:c r="J93" s="11" t="n">
        <x:f>CHOOSE('假设'!$B$3,G93,H93,I93)</x:f>
        <x:v>3</x:v>
      </x:c>
      <x:c r="K93" s="11" t="n">
        <x:f>J93*'SOTP管线参数'!E27*'SOTP管线参数'!F27*'SOTP管线参数'!G27</x:f>
        <x:v>0.04320000000000001</x:v>
      </x:c>
      <x:c r="L93" s="11" t="n">
        <x:f>IF(F93,K93/(1+'SOTP管线参数'!H27)^E93,0)</x:f>
        <x:v>0.01034258686625502</x:v>
      </x:c>
    </x:row>
    <x:row r="94" ht="23" customHeight="1">
      <x:c r="A94" s="11" t="str">
        <x:v>01548.HK</x:v>
      </x:c>
      <x:c r="B94" s="11" t="str">
        <x:v>一年</x:v>
      </x:c>
      <x:c r="C94" s="11" t="str">
        <x:v>LB2102</x:v>
      </x:c>
      <x:c r="D94" s="11" t="str">
        <x:v>2038-12-31</x:v>
      </x:c>
      <x:c r="E94" s="11" t="n">
        <x:v>11.227926078028748</x:v>
      </x:c>
      <x:c r="F94" s="26" t="b">
        <x:v>1</x:v>
      </x:c>
      <x:c r="G94" s="16" t="n">
        <x:v>1.5</x:v>
      </x:c>
      <x:c r="H94" s="16" t="n">
        <x:v>2.8499999999999996</x:v>
      </x:c>
      <x:c r="I94" s="16" t="n">
        <x:v>4.5</x:v>
      </x:c>
      <x:c r="J94" s="11" t="n">
        <x:f>CHOOSE('假设'!$B$3,G94,H94,I94)</x:f>
        <x:v>2.8499999999999996</x:v>
      </x:c>
      <x:c r="K94" s="11" t="n">
        <x:f>J94*'SOTP管线参数'!E27*'SOTP管线参数'!F27*'SOTP管线参数'!G27</x:f>
        <x:v>0.04103999999999999</x:v>
      </x:c>
      <x:c r="L94" s="11" t="n">
        <x:f>IF(F94,K94/(1+'SOTP管线参数'!H27)^E94,0)</x:f>
        <x:v>0.008544693468875689</x:v>
      </x:c>
    </x:row>
    <x:row r="95" ht="23" customHeight="1">
      <x:c r="A95" s="11" t="str">
        <x:v>01548.HK</x:v>
      </x:c>
      <x:c r="B95" s="11" t="str">
        <x:v>一年</x:v>
      </x:c>
      <x:c r="C95" s="11" t="str">
        <x:v>LB2102</x:v>
      </x:c>
      <x:c r="D95" s="11" t="str">
        <x:v>2039-12-31</x:v>
      </x:c>
      <x:c r="E95" s="11" t="n">
        <x:v>12.227241615331964</x:v>
      </x:c>
      <x:c r="F95" s="26" t="b">
        <x:v>1</x:v>
      </x:c>
      <x:c r="G95" s="16" t="n">
        <x:v>1.4249999999999998</x:v>
      </x:c>
      <x:c r="H95" s="16" t="n">
        <x:v>2.7</x:v>
      </x:c>
      <x:c r="I95" s="16" t="n">
        <x:v>4</x:v>
      </x:c>
      <x:c r="J95" s="11" t="n">
        <x:f>CHOOSE('假设'!$B$3,G95,H95,I95)</x:f>
        <x:v>2.7</x:v>
      </x:c>
      <x:c r="K95" s="11" t="n">
        <x:f>J95*'SOTP管线参数'!E27*'SOTP管线参数'!F27*'SOTP管线参数'!G27</x:f>
        <x:v>0.038880000000000005</x:v>
      </x:c>
      <x:c r="L95" s="11" t="n">
        <x:f>IF(F95,K95/(1+'SOTP管线参数'!H27)^E95,0)</x:f>
        <x:v>0.007039780153899529</x:v>
      </x:c>
    </x:row>
    <x:row r="96" ht="23" customHeight="1">
      <x:c r="A96" s="11" t="str">
        <x:v>01548.HK</x:v>
      </x:c>
      <x:c r="B96" s="11" t="str">
        <x:v>一年</x:v>
      </x:c>
      <x:c r="C96" s="11" t="str">
        <x:v>LB2102</x:v>
      </x:c>
      <x:c r="D96" s="11" t="str">
        <x:v>2040-12-31</x:v>
      </x:c>
      <x:c r="E96" s="11" t="n">
        <x:v>13.229295003422314</x:v>
      </x:c>
      <x:c r="F96" s="26" t="b">
        <x:v>1</x:v>
      </x:c>
      <x:c r="G96" s="16" t="n">
        <x:v>1.35</x:v>
      </x:c>
      <x:c r="H96" s="16" t="n">
        <x:v>2.4000000000000004</x:v>
      </x:c>
      <x:c r="I96" s="16" t="n">
        <x:v>3.25</x:v>
      </x:c>
      <x:c r="J96" s="11" t="n">
        <x:f>CHOOSE('假设'!$B$3,G96,H96,I96)</x:f>
        <x:v>2.4000000000000004</x:v>
      </x:c>
      <x:c r="K96" s="11" t="n">
        <x:f>J96*'SOTP管线参数'!E27*'SOTP管线参数'!F27*'SOTP管线参数'!G27</x:f>
        <x:v>0.03456000000000001</x:v>
      </x:c>
      <x:c r="L96" s="11" t="n">
        <x:f>IF(F96,K96/(1+'SOTP管线参数'!H27)^E96,0)</x:f>
        <x:v>0.00543981459237795</x:v>
      </x:c>
    </x:row>
    <x:row r="97" ht="23" customHeight="1">
      <x:c r="A97" s="11" t="str">
        <x:v>01548.HK</x:v>
      </x:c>
      <x:c r="B97" s="11" t="str">
        <x:v>一年</x:v>
      </x:c>
      <x:c r="C97" s="11" t="str">
        <x:v>LB2102</x:v>
      </x:c>
      <x:c r="D97" s="11" t="str">
        <x:v>2041-12-31</x:v>
      </x:c>
      <x:c r="E97" s="11" t="n">
        <x:v>14.22861054072553</x:v>
      </x:c>
      <x:c r="F97" s="26" t="b">
        <x:v>1</x:v>
      </x:c>
      <x:c r="G97" s="16" t="n">
        <x:v>1.2000000000000002</x:v>
      </x:c>
      <x:c r="H97" s="16" t="n">
        <x:v>1.9500000000000002</x:v>
      </x:c>
      <x:c r="I97" s="16" t="n">
        <x:v>2.5</x:v>
      </x:c>
      <x:c r="J97" s="11" t="n">
        <x:f>CHOOSE('假设'!$B$3,G97,H97,I97)</x:f>
        <x:v>1.9500000000000002</x:v>
      </x:c>
      <x:c r="K97" s="11" t="n">
        <x:f>J97*'SOTP管线参数'!E27*'SOTP管线参数'!F27*'SOTP管线参数'!G27</x:f>
        <x:v>0.028080000000000008</x:v>
      </x:c>
      <x:c r="L97" s="11" t="n">
        <x:f>IF(F97,K97/(1+'SOTP管线参数'!H27)^E97,0)</x:f>
        <x:v>0.003843714945595972</x:v>
      </x:c>
    </x:row>
    <x:row r="98" ht="23" customHeight="1">
      <x:c r="A98" s="11" t="str">
        <x:v>01548.HK</x:v>
      </x:c>
      <x:c r="B98" s="11" t="str">
        <x:v>一年</x:v>
      </x:c>
      <x:c r="C98" s="11" t="str">
        <x:v>LB2102</x:v>
      </x:c>
      <x:c r="D98" s="11" t="str">
        <x:v>2042-12-31</x:v>
      </x:c>
      <x:c r="E98" s="11" t="n">
        <x:v>15.227926078028748</x:v>
      </x:c>
      <x:c r="F98" s="26" t="b">
        <x:v>1</x:v>
      </x:c>
      <x:c r="G98" s="16" t="n">
        <x:v>0.9750000000000001</x:v>
      </x:c>
      <x:c r="H98" s="16" t="n">
        <x:v>1.5</x:v>
      </x:c>
      <x:c r="I98" s="16" t="n">
        <x:v>1.75</x:v>
      </x:c>
      <x:c r="J98" s="11" t="n">
        <x:f>CHOOSE('假设'!$B$3,G98,H98,I98)</x:f>
        <x:v>1.5</x:v>
      </x:c>
      <x:c r="K98" s="11" t="n">
        <x:f>J98*'SOTP管线参数'!E27*'SOTP管线参数'!F27*'SOTP管线参数'!G27</x:f>
        <x:v>0.021600000000000005</x:v>
      </x:c>
      <x:c r="L98" s="11" t="n">
        <x:f>IF(F98,K98/(1+'SOTP管线参数'!H27)^E98,0)</x:f>
        <x:v>0.002571292749172248</x:v>
      </x:c>
    </x:row>
    <x:row r="99" ht="23" customHeight="1">
      <x:c r="A99" s="11" t="str">
        <x:v>01548.HK</x:v>
      </x:c>
      <x:c r="B99" s="11" t="str">
        <x:v>一年</x:v>
      </x:c>
      <x:c r="C99" s="11" t="str">
        <x:v>LB2102</x:v>
      </x:c>
      <x:c r="D99" s="11" t="str">
        <x:v>2043-12-31</x:v>
      </x:c>
      <x:c r="E99" s="11" t="n">
        <x:v>16.227241615331966</x:v>
      </x:c>
      <x:c r="F99" s="26" t="b">
        <x:v>1</x:v>
      </x:c>
      <x:c r="G99" s="16" t="n">
        <x:v>0.75</x:v>
      </x:c>
      <x:c r="H99" s="16" t="n">
        <x:v>1.0499999999999998</x:v>
      </x:c>
      <x:c r="I99" s="16" t="n">
        <x:v>1</x:v>
      </x:c>
      <x:c r="J99" s="11" t="n">
        <x:f>CHOOSE('假设'!$B$3,G99,H99,I99)</x:f>
        <x:v>1.0499999999999998</x:v>
      </x:c>
      <x:c r="K99" s="11" t="n">
        <x:f>J99*'SOTP管线参数'!E27*'SOTP管线参数'!F27*'SOTP管线参数'!G27</x:f>
        <x:v>0.015120000000000001</x:v>
      </x:c>
      <x:c r="L99" s="11" t="n">
        <x:f>IF(F99,K99/(1+'SOTP管线参数'!H27)^E99,0)</x:f>
        <x:v>0.001565284447709686</x:v>
      </x:c>
    </x:row>
    <x:row r="100" ht="23" customHeight="1">
      <x:c r="A100" s="11" t="str">
        <x:v>01548.HK</x:v>
      </x:c>
      <x:c r="B100" s="11" t="str">
        <x:v>三年</x:v>
      </x:c>
      <x:c r="C100" s="11" t="str">
        <x:v>LB2501</x:v>
      </x:c>
      <x:c r="D100" s="11" t="str">
        <x:v>2029-12-31</x:v>
      </x:c>
      <x:c r="E100" s="11" t="n">
        <x:v>0.2272416153319644</x:v>
      </x:c>
      <x:c r="F100" s="26" t="b">
        <x:v>1</x:v>
      </x:c>
      <x:c r="G100" s="16" t="n">
        <x:v>0</x:v>
      </x:c>
      <x:c r="H100" s="16" t="n">
        <x:v>0</x:v>
      </x:c>
      <x:c r="I100" s="16" t="n">
        <x:v>0.35000000000000003</x:v>
      </x:c>
      <x:c r="J100" s="11" t="n">
        <x:f>CHOOSE('假设'!$B$3,G100,H100,I100)</x:f>
        <x:v>0</x:v>
      </x:c>
      <x:c r="K100" s="11" t="n">
        <x:f>J100*'SOTP管线参数'!E31*'SOTP管线参数'!F31*'SOTP管线参数'!G31</x:f>
        <x:v>0</x:v>
      </x:c>
      <x:c r="L100" s="11" t="n">
        <x:f>IF(F100,K100/(1+'SOTP管线参数'!H31)^E100,0)</x:f>
        <x:v>0</x:v>
      </x:c>
    </x:row>
    <x:row r="101" ht="23" customHeight="1">
      <x:c r="A101" s="11" t="str">
        <x:v>01548.HK</x:v>
      </x:c>
      <x:c r="B101" s="11" t="str">
        <x:v>三年</x:v>
      </x:c>
      <x:c r="C101" s="11" t="str">
        <x:v>LB2501</x:v>
      </x:c>
      <x:c r="D101" s="11" t="str">
        <x:v>2030-12-31</x:v>
      </x:c>
      <x:c r="E101" s="11" t="n">
        <x:v>1.2265571526351813</x:v>
      </x:c>
      <x:c r="F101" s="26" t="b">
        <x:v>1</x:v>
      </x:c>
      <x:c r="G101" s="16" t="n">
        <x:v>0</x:v>
      </x:c>
      <x:c r="H101" s="16" t="n">
        <x:v>0</x:v>
      </x:c>
      <x:c r="I101" s="16" t="n">
        <x:v>1.05</x:v>
      </x:c>
      <x:c r="J101" s="11" t="n">
        <x:f>CHOOSE('假设'!$B$3,G101,H101,I101)</x:f>
        <x:v>0</x:v>
      </x:c>
      <x:c r="K101" s="11" t="n">
        <x:f>J101*'SOTP管线参数'!E31*'SOTP管线参数'!F31*'SOTP管线参数'!G31</x:f>
        <x:v>0</x:v>
      </x:c>
      <x:c r="L101" s="11" t="n">
        <x:f>IF(F101,K101/(1+'SOTP管线参数'!H31)^E101,0)</x:f>
        <x:v>0</x:v>
      </x:c>
    </x:row>
    <x:row r="102" ht="23" customHeight="1">
      <x:c r="A102" s="11" t="str">
        <x:v>01548.HK</x:v>
      </x:c>
      <x:c r="B102" s="11" t="str">
        <x:v>三年</x:v>
      </x:c>
      <x:c r="C102" s="11" t="str">
        <x:v>LB2501</x:v>
      </x:c>
      <x:c r="D102" s="11" t="str">
        <x:v>2031-12-31</x:v>
      </x:c>
      <x:c r="E102" s="11" t="n">
        <x:v>2.2258726899383983</x:v>
      </x:c>
      <x:c r="F102" s="26" t="b">
        <x:v>1</x:v>
      </x:c>
      <x:c r="G102" s="16" t="n">
        <x:v>0</x:v>
      </x:c>
      <x:c r="H102" s="16" t="n">
        <x:v>0.17500000000000002</x:v>
      </x:c>
      <x:c r="I102" s="16" t="n">
        <x:v>2.4499999999999997</x:v>
      </x:c>
      <x:c r="J102" s="11" t="n">
        <x:f>CHOOSE('假设'!$B$3,G102,H102,I102)</x:f>
        <x:v>0.17500000000000002</x:v>
      </x:c>
      <x:c r="K102" s="11" t="n">
        <x:f>J102*'SOTP管线参数'!E31*'SOTP管线参数'!F31*'SOTP管线参数'!G31</x:f>
        <x:v>0.005687500000000001</x:v>
      </x:c>
      <x:c r="L102" s="11" t="n">
        <x:f>IF(F102,K102/(1+'SOTP管线参数'!H31)^E102,0)</x:f>
        <x:v>0.004166925583091332</x:v>
      </x:c>
    </x:row>
    <x:row r="103" ht="23" customHeight="1">
      <x:c r="A103" s="11" t="str">
        <x:v>01548.HK</x:v>
      </x:c>
      <x:c r="B103" s="11" t="str">
        <x:v>三年</x:v>
      </x:c>
      <x:c r="C103" s="11" t="str">
        <x:v>LB2501</x:v>
      </x:c>
      <x:c r="D103" s="11" t="str">
        <x:v>2032-12-31</x:v>
      </x:c>
      <x:c r="E103" s="11" t="n">
        <x:v>3.2279260780287475</x:v>
      </x:c>
      <x:c r="F103" s="26" t="b">
        <x:v>1</x:v>
      </x:c>
      <x:c r="G103" s="16" t="n">
        <x:v>0.07500000000000001</x:v>
      </x:c>
      <x:c r="H103" s="16" t="n">
        <x:v>0.525</x:v>
      </x:c>
      <x:c r="I103" s="16" t="n">
        <x:v>4.2</x:v>
      </x:c>
      <x:c r="J103" s="11" t="n">
        <x:f>CHOOSE('假设'!$B$3,G103,H103,I103)</x:f>
        <x:v>0.525</x:v>
      </x:c>
      <x:c r="K103" s="11" t="n">
        <x:f>J103*'SOTP管线参数'!E31*'SOTP管线参数'!F31*'SOTP管线参数'!G31</x:f>
        <x:v>0.0170625</x:v>
      </x:c>
      <x:c r="L103" s="11" t="n">
        <x:f>IF(F103,K103/(1+'SOTP管线参数'!H31)^E103,0)</x:f>
        <x:v>0.010867121497605001</x:v>
      </x:c>
    </x:row>
    <x:row r="104" ht="23" customHeight="1">
      <x:c r="A104" s="11" t="str">
        <x:v>01548.HK</x:v>
      </x:c>
      <x:c r="B104" s="11" t="str">
        <x:v>三年</x:v>
      </x:c>
      <x:c r="C104" s="11" t="str">
        <x:v>LB2501</x:v>
      </x:c>
      <x:c r="D104" s="11" t="str">
        <x:v>2033-12-31</x:v>
      </x:c>
      <x:c r="E104" s="11" t="n">
        <x:v>4.227241615331964</x:v>
      </x:c>
      <x:c r="F104" s="26" t="b">
        <x:v>1</x:v>
      </x:c>
      <x:c r="G104" s="16" t="n">
        <x:v>0.22499999999999998</x:v>
      </x:c>
      <x:c r="H104" s="16" t="n">
        <x:v>1.2249999999999999</x:v>
      </x:c>
      <x:c r="I104" s="16" t="n">
        <x:v>5.95</x:v>
      </x:c>
      <x:c r="J104" s="11" t="n">
        <x:f>CHOOSE('假设'!$B$3,G104,H104,I104)</x:f>
        <x:v>1.2249999999999999</x:v>
      </x:c>
      <x:c r="K104" s="11" t="n">
        <x:f>J104*'SOTP管线参数'!E31*'SOTP管线参数'!F31*'SOTP管线参数'!G31</x:f>
        <x:v>0.039812499999999994</x:v>
      </x:c>
      <x:c r="L104" s="11" t="n">
        <x:f>IF(F104,K104/(1+'SOTP管线参数'!H31)^E104,0)</x:f>
        <x:v>0.022051341395035128</x:v>
      </x:c>
    </x:row>
    <x:row r="105" ht="23" customHeight="1">
      <x:c r="A105" s="11" t="str">
        <x:v>01548.HK</x:v>
      </x:c>
      <x:c r="B105" s="11" t="str">
        <x:v>三年</x:v>
      </x:c>
      <x:c r="C105" s="11" t="str">
        <x:v>LB2501</x:v>
      </x:c>
      <x:c r="D105" s="11" t="str">
        <x:v>2034-12-31</x:v>
      </x:c>
      <x:c r="E105" s="11" t="n">
        <x:v>5.2265571526351815</x:v>
      </x:c>
      <x:c r="F105" s="26" t="b">
        <x:v>1</x:v>
      </x:c>
      <x:c r="G105" s="16" t="n">
        <x:v>0.5249999999999999</x:v>
      </x:c>
      <x:c r="H105" s="16" t="n">
        <x:v>2.1</x:v>
      </x:c>
      <x:c r="I105" s="16" t="n">
        <x:v>7</x:v>
      </x:c>
      <x:c r="J105" s="11" t="n">
        <x:f>CHOOSE('假设'!$B$3,G105,H105,I105)</x:f>
        <x:v>2.1</x:v>
      </x:c>
      <x:c r="K105" s="11" t="n">
        <x:f>J105*'SOTP管线参数'!E31*'SOTP管线参数'!F31*'SOTP管线参数'!G31</x:f>
        <x:v>0.06825</x:v>
      </x:c>
      <x:c r="L105" s="11" t="n">
        <x:f>IF(F105,K105/(1+'SOTP管线参数'!H31)^E105,0)</x:f>
        <x:v>0.032874709517128134</x:v>
      </x:c>
    </x:row>
    <x:row r="106" ht="23" customHeight="1">
      <x:c r="A106" s="11" t="str">
        <x:v>01548.HK</x:v>
      </x:c>
      <x:c r="B106" s="11" t="str">
        <x:v>三年</x:v>
      </x:c>
      <x:c r="C106" s="11" t="str">
        <x:v>LB2501</x:v>
      </x:c>
      <x:c r="D106" s="11" t="str">
        <x:v>2035-12-31</x:v>
      </x:c>
      <x:c r="E106" s="11" t="n">
        <x:v>6.225872689938399</x:v>
      </x:c>
      <x:c r="F106" s="26" t="b">
        <x:v>1</x:v>
      </x:c>
      <x:c r="G106" s="16" t="n">
        <x:v>0.8999999999999999</x:v>
      </x:c>
      <x:c r="H106" s="16" t="n">
        <x:v>2.975</x:v>
      </x:c>
      <x:c r="I106" s="16" t="n">
        <x:v>7</x:v>
      </x:c>
      <x:c r="J106" s="11" t="n">
        <x:f>CHOOSE('假设'!$B$3,G106,H106,I106)</x:f>
        <x:v>2.975</x:v>
      </x:c>
      <x:c r="K106" s="11" t="n">
        <x:f>J106*'SOTP管线参数'!E31*'SOTP管线参数'!F31*'SOTP管线参数'!G31</x:f>
        <x:v>0.09668750000000001</x:v>
      </x:c>
      <x:c r="L106" s="11" t="n">
        <x:f>IF(F106,K106/(1+'SOTP管线参数'!H31)^E106,0)</x:f>
        <x:v>0.040501704846710895</x:v>
      </x:c>
    </x:row>
    <x:row r="107" ht="23" customHeight="1">
      <x:c r="A107" s="11" t="str">
        <x:v>01548.HK</x:v>
      </x:c>
      <x:c r="B107" s="11" t="str">
        <x:v>三年</x:v>
      </x:c>
      <x:c r="C107" s="11" t="str">
        <x:v>LB2501</x:v>
      </x:c>
      <x:c r="D107" s="11" t="str">
        <x:v>2036-12-31</x:v>
      </x:c>
      <x:c r="E107" s="11" t="n">
        <x:v>7.227926078028747</x:v>
      </x:c>
      <x:c r="F107" s="26" t="b">
        <x:v>1</x:v>
      </x:c>
      <x:c r="G107" s="16" t="n">
        <x:v>1.275</x:v>
      </x:c>
      <x:c r="H107" s="16" t="n">
        <x:v>3.5</x:v>
      </x:c>
      <x:c r="I107" s="16" t="n">
        <x:v>6.6499999999999995</x:v>
      </x:c>
      <x:c r="J107" s="11" t="n">
        <x:f>CHOOSE('假设'!$B$3,G107,H107,I107)</x:f>
        <x:v>3.5</x:v>
      </x:c>
      <x:c r="K107" s="11" t="n">
        <x:f>J107*'SOTP管线参数'!E31*'SOTP管线参数'!F31*'SOTP管线参数'!G31</x:f>
        <x:v>0.11375</x:v>
      </x:c>
      <x:c r="L107" s="11" t="n">
        <x:f>IF(F107,K107/(1+'SOTP管线参数'!H31)^E107,0)</x:f>
        <x:v>0.041422079910063234</x:v>
      </x:c>
    </x:row>
    <x:row r="108" ht="23" customHeight="1">
      <x:c r="A108" s="11" t="str">
        <x:v>01548.HK</x:v>
      </x:c>
      <x:c r="B108" s="11" t="str">
        <x:v>三年</x:v>
      </x:c>
      <x:c r="C108" s="11" t="str">
        <x:v>LB2501</x:v>
      </x:c>
      <x:c r="D108" s="11" t="str">
        <x:v>2037-12-31</x:v>
      </x:c>
      <x:c r="E108" s="11" t="n">
        <x:v>8.227241615331964</x:v>
      </x:c>
      <x:c r="F108" s="26" t="b">
        <x:v>1</x:v>
      </x:c>
      <x:c r="G108" s="16" t="n">
        <x:v>1.5</x:v>
      </x:c>
      <x:c r="H108" s="16" t="n">
        <x:v>3.5</x:v>
      </x:c>
      <x:c r="I108" s="16" t="n">
        <x:v>6.3</x:v>
      </x:c>
      <x:c r="J108" s="11" t="n">
        <x:f>CHOOSE('假设'!$B$3,G108,H108,I108)</x:f>
        <x:v>3.5</x:v>
      </x:c>
      <x:c r="K108" s="11" t="n">
        <x:f>J108*'SOTP管线参数'!E31*'SOTP管线参数'!F31*'SOTP管线参数'!G31</x:f>
        <x:v>0.11375</x:v>
      </x:c>
      <x:c r="L108" s="11" t="n">
        <x:f>IF(F108,K108/(1+'SOTP管线参数'!H31)^E108,0)</x:f>
        <x:v>0.036022645749403844</x:v>
      </x:c>
    </x:row>
    <x:row r="109" ht="23" customHeight="1">
      <x:c r="A109" s="11" t="str">
        <x:v>01548.HK</x:v>
      </x:c>
      <x:c r="B109" s="11" t="str">
        <x:v>三年</x:v>
      </x:c>
      <x:c r="C109" s="11" t="str">
        <x:v>LB2501</x:v>
      </x:c>
      <x:c r="D109" s="11" t="str">
        <x:v>2038-12-31</x:v>
      </x:c>
      <x:c r="E109" s="11" t="n">
        <x:v>9.22655715263518</x:v>
      </x:c>
      <x:c r="F109" s="26" t="b">
        <x:v>1</x:v>
      </x:c>
      <x:c r="G109" s="16" t="n">
        <x:v>1.5</x:v>
      </x:c>
      <x:c r="H109" s="16" t="n">
        <x:v>3.3249999999999997</x:v>
      </x:c>
      <x:c r="I109" s="16" t="n">
        <x:v>5.6000000000000005</x:v>
      </x:c>
      <x:c r="J109" s="11" t="n">
        <x:f>CHOOSE('假设'!$B$3,G109,H109,I109)</x:f>
        <x:v>3.3249999999999997</x:v>
      </x:c>
      <x:c r="K109" s="11" t="n">
        <x:f>J109*'SOTP管线参数'!E31*'SOTP管线参数'!F31*'SOTP管线参数'!G31</x:f>
        <x:v>0.10806249999999999</x:v>
      </x:c>
      <x:c r="L109" s="11" t="n">
        <x:f>IF(F109,K109/(1+'SOTP管线参数'!H31)^E109,0)</x:f>
        <x:v>0.02976068461854814</x:v>
      </x:c>
    </x:row>
    <x:row r="110" ht="23" customHeight="1">
      <x:c r="A110" s="11" t="str">
        <x:v>01548.HK</x:v>
      </x:c>
      <x:c r="B110" s="11" t="str">
        <x:v>三年</x:v>
      </x:c>
      <x:c r="C110" s="11" t="str">
        <x:v>LB2501</x:v>
      </x:c>
      <x:c r="D110" s="11" t="str">
        <x:v>2039-12-31</x:v>
      </x:c>
      <x:c r="E110" s="11" t="n">
        <x:v>10.225872689938399</x:v>
      </x:c>
      <x:c r="F110" s="26" t="b">
        <x:v>1</x:v>
      </x:c>
      <x:c r="G110" s="16" t="n">
        <x:v>1.4249999999999998</x:v>
      </x:c>
      <x:c r="H110" s="16" t="n">
        <x:v>3.15</x:v>
      </x:c>
      <x:c r="I110" s="16" t="n">
        <x:v>4.55</x:v>
      </x:c>
      <x:c r="J110" s="11" t="n">
        <x:f>CHOOSE('假设'!$B$3,G110,H110,I110)</x:f>
        <x:v>3.15</x:v>
      </x:c>
      <x:c r="K110" s="11" t="n">
        <x:f>J110*'SOTP管线参数'!E31*'SOTP管线参数'!F31*'SOTP管线参数'!G31</x:f>
        <x:v>0.102375</x:v>
      </x:c>
      <x:c r="L110" s="11" t="n">
        <x:f>IF(F110,K110/(1+'SOTP管线参数'!H31)^E110,0)</x:f>
        <x:v>0.02451915656275558</x:v>
      </x:c>
    </x:row>
    <x:row r="111" ht="23" customHeight="1">
      <x:c r="A111" s="11" t="str">
        <x:v>01548.HK</x:v>
      </x:c>
      <x:c r="B111" s="11" t="str">
        <x:v>三年</x:v>
      </x:c>
      <x:c r="C111" s="11" t="str">
        <x:v>LB2501</x:v>
      </x:c>
      <x:c r="D111" s="11" t="str">
        <x:v>2040-12-31</x:v>
      </x:c>
      <x:c r="E111" s="11" t="n">
        <x:v>11.227926078028748</x:v>
      </x:c>
      <x:c r="F111" s="26" t="b">
        <x:v>1</x:v>
      </x:c>
      <x:c r="G111" s="16" t="n">
        <x:v>1.35</x:v>
      </x:c>
      <x:c r="H111" s="16" t="n">
        <x:v>2.8000000000000003</x:v>
      </x:c>
      <x:c r="I111" s="16" t="n">
        <x:v>3.5</x:v>
      </x:c>
      <x:c r="J111" s="11" t="n">
        <x:f>CHOOSE('假设'!$B$3,G111,H111,I111)</x:f>
        <x:v>2.8000000000000003</x:v>
      </x:c>
      <x:c r="K111" s="11" t="n">
        <x:f>J111*'SOTP管线参数'!E31*'SOTP管线参数'!F31*'SOTP管线参数'!G31</x:f>
        <x:v>0.09100000000000001</x:v>
      </x:c>
      <x:c r="L111" s="11" t="n">
        <x:f>IF(F111,K111/(1+'SOTP管线参数'!H31)^E111,0)</x:f>
        <x:v>0.01894656690223411</x:v>
      </x:c>
    </x:row>
    <x:row r="112" ht="23" customHeight="1">
      <x:c r="A112" s="11" t="str">
        <x:v>01548.HK</x:v>
      </x:c>
      <x:c r="B112" s="11" t="str">
        <x:v>三年</x:v>
      </x:c>
      <x:c r="C112" s="11" t="str">
        <x:v>LB2501</x:v>
      </x:c>
      <x:c r="D112" s="11" t="str">
        <x:v>2041-12-31</x:v>
      </x:c>
      <x:c r="E112" s="11" t="n">
        <x:v>12.227241615331964</x:v>
      </x:c>
      <x:c r="F112" s="26" t="b">
        <x:v>1</x:v>
      </x:c>
      <x:c r="G112" s="16" t="n">
        <x:v>1.2000000000000002</x:v>
      </x:c>
      <x:c r="H112" s="16" t="n">
        <x:v>2.275</x:v>
      </x:c>
      <x:c r="I112" s="16" t="n">
        <x:v>2.4499999999999997</x:v>
      </x:c>
      <x:c r="J112" s="11" t="n">
        <x:f>CHOOSE('假设'!$B$3,G112,H112,I112)</x:f>
        <x:v>2.275</x:v>
      </x:c>
      <x:c r="K112" s="11" t="n">
        <x:f>J112*'SOTP管线参数'!E31*'SOTP管线参数'!F31*'SOTP管线参数'!G31</x:f>
        <x:v>0.0739375</x:v>
      </x:c>
      <x:c r="L112" s="11" t="n">
        <x:f>IF(F112,K112/(1+'SOTP管线参数'!H31)^E112,0)</x:f>
        <x:v>0.013387442004345329</x:v>
      </x:c>
    </x:row>
    <x:row r="113" ht="23" customHeight="1">
      <x:c r="A113" s="11" t="str">
        <x:v>01548.HK</x:v>
      </x:c>
      <x:c r="B113" s="11" t="str">
        <x:v>三年</x:v>
      </x:c>
      <x:c r="C113" s="11" t="str">
        <x:v>LB2501</x:v>
      </x:c>
      <x:c r="D113" s="11" t="str">
        <x:v>2042-12-31</x:v>
      </x:c>
      <x:c r="E113" s="11" t="n">
        <x:v>13.22655715263518</x:v>
      </x:c>
      <x:c r="F113" s="26" t="b">
        <x:v>1</x:v>
      </x:c>
      <x:c r="G113" s="16" t="n">
        <x:v>0.9750000000000001</x:v>
      </x:c>
      <x:c r="H113" s="16" t="n">
        <x:v>1.75</x:v>
      </x:c>
      <x:c r="I113" s="16" t="n">
        <x:v>1.4000000000000001</x:v>
      </x:c>
      <x:c r="J113" s="11" t="n">
        <x:f>CHOOSE('假设'!$B$3,G113,H113,I113)</x:f>
        <x:v>1.75</x:v>
      </x:c>
      <x:c r="K113" s="11" t="n">
        <x:f>J113*'SOTP管线参数'!E31*'SOTP管线参数'!F31*'SOTP管线参数'!G31</x:f>
        <x:v>0.056875</x:v>
      </x:c>
      <x:c r="L113" s="11" t="n">
        <x:f>IF(F113,K113/(1+'SOTP管线参数'!H31)^E113,0)</x:f>
        <x:v>0.00895566737985556</x:v>
      </x:c>
    </x:row>
    <x:row r="114" ht="23" customHeight="1">
      <x:c r="A114" s="11" t="str">
        <x:v>01548.HK</x:v>
      </x:c>
      <x:c r="B114" s="11" t="str">
        <x:v>三年</x:v>
      </x:c>
      <x:c r="C114" s="11" t="str">
        <x:v>LB2501</x:v>
      </x:c>
      <x:c r="D114" s="11" t="str">
        <x:v>2043-12-31</x:v>
      </x:c>
      <x:c r="E114" s="11" t="n">
        <x:v>14.225872689938399</x:v>
      </x:c>
      <x:c r="F114" s="26" t="b">
        <x:v>1</x:v>
      </x:c>
      <x:c r="G114" s="16" t="n">
        <x:v>0.75</x:v>
      </x:c>
      <x:c r="H114" s="16" t="n">
        <x:v>1.2249999999999999</x:v>
      </x:c>
      <x:c r="I114" s="16" t="n">
        <x:v>0.7000000000000001</x:v>
      </x:c>
      <x:c r="J114" s="11" t="n">
        <x:f>CHOOSE('假设'!$B$3,G114,H114,I114)</x:f>
        <x:v>1.2249999999999999</x:v>
      </x:c>
      <x:c r="K114" s="11" t="n">
        <x:f>J114*'SOTP管线参数'!E31*'SOTP管线参数'!F31*'SOTP管线参数'!G31</x:f>
        <x:v>0.039812499999999994</x:v>
      </x:c>
      <x:c r="L114" s="11" t="n">
        <x:f>IF(F114,K114/(1+'SOTP管线参数'!H31)^E114,0)</x:f>
        <x:v>0.005451797300428587</x:v>
      </x:c>
    </x:row>
    <x:row r="115" ht="23" customHeight="1">
      <x:c r="A115" s="11" t="str">
        <x:v>01548.HK</x:v>
      </x:c>
      <x:c r="B115" s="11" t="str">
        <x:v>三年</x:v>
      </x:c>
      <x:c r="C115" s="11" t="str">
        <x:v>LB2501</x:v>
      </x:c>
      <x:c r="D115" s="11" t="str">
        <x:v>2044-12-31</x:v>
      </x:c>
      <x:c r="E115" s="11" t="n">
        <x:v>15.227926078028748</x:v>
      </x:c>
      <x:c r="F115" s="26" t="b">
        <x:v>1</x:v>
      </x:c>
      <x:c r="G115" s="16" t="n">
        <x:v>0.5249999999999999</x:v>
      </x:c>
      <x:c r="H115" s="16" t="n">
        <x:v>0.7000000000000001</x:v>
      </x:c>
      <x:c r="I115" s="16" t="n">
        <x:v>0.35000000000000003</x:v>
      </x:c>
      <x:c r="J115" s="11" t="n">
        <x:f>CHOOSE('假设'!$B$3,G115,H115,I115)</x:f>
        <x:v>0.7000000000000001</x:v>
      </x:c>
      <x:c r="K115" s="11" t="n">
        <x:f>J115*'SOTP管线参数'!E31*'SOTP管线参数'!F31*'SOTP管线参数'!G31</x:f>
        <x:v>0.022750000000000003</x:v>
      </x:c>
      <x:c r="L115" s="11" t="n">
        <x:f>IF(F115,K115/(1+'SOTP管线参数'!H31)^E115,0)</x:f>
        <x:v>0.0027081902797994736</x:v>
      </x:c>
    </x:row>
    <x:row r="116" ht="23" customHeight="1">
      <x:c r="A116" s="11" t="str">
        <x:v>01548.HK</x:v>
      </x:c>
      <x:c r="B116" s="11" t="str">
        <x:v>三年</x:v>
      </x:c>
      <x:c r="C116" s="11" t="str">
        <x:v>LB2501</x:v>
      </x:c>
      <x:c r="D116" s="11" t="str">
        <x:v>2045-12-31</x:v>
      </x:c>
      <x:c r="E116" s="11" t="n">
        <x:v>16.227241615331966</x:v>
      </x:c>
      <x:c r="F116" s="26" t="b">
        <x:v>1</x:v>
      </x:c>
      <x:c r="G116" s="16" t="n">
        <x:v>0.30000000000000004</x:v>
      </x:c>
      <x:c r="H116" s="16" t="n">
        <x:v>0.35000000000000003</x:v>
      </x:c>
      <x:c r="I116" s="16" t="n">
        <x:v>0.35000000000000003</x:v>
      </x:c>
      <x:c r="J116" s="11" t="n">
        <x:f>CHOOSE('假设'!$B$3,G116,H116,I116)</x:f>
        <x:v>0.35000000000000003</x:v>
      </x:c>
      <x:c r="K116" s="11" t="n">
        <x:f>J116*'SOTP管线参数'!E31*'SOTP管线参数'!F31*'SOTP管线参数'!G31</x:f>
        <x:v>0.011375000000000001</x:v>
      </x:c>
      <x:c r="L116" s="11" t="n">
        <x:f>IF(F116,K116/(1+'SOTP管线参数'!H31)^E116,0)</x:f>
        <x:v>0.0011775866794112222</x:v>
      </x:c>
    </x:row>
    <x:row r="117" ht="23" customHeight="1">
      <x:c r="A117" s="11" t="str">
        <x:v>01548.HK</x:v>
      </x:c>
      <x:c r="B117" s="11" t="str">
        <x:v>三年</x:v>
      </x:c>
      <x:c r="C117" s="11" t="str">
        <x:v>LB2102</x:v>
      </x:c>
      <x:c r="D117" s="11" t="str">
        <x:v>2030-12-31</x:v>
      </x:c>
      <x:c r="E117" s="11" t="n">
        <x:v>1.2265571526351813</x:v>
      </x:c>
      <x:c r="F117" s="26" t="b">
        <x:v>1</x:v>
      </x:c>
      <x:c r="G117" s="16" t="n">
        <x:v>0</x:v>
      </x:c>
      <x:c r="H117" s="16" t="n">
        <x:v>0</x:v>
      </x:c>
      <x:c r="I117" s="16" t="n">
        <x:v>0.25</x:v>
      </x:c>
      <x:c r="J117" s="11" t="n">
        <x:f>CHOOSE('假设'!$B$3,G117,H117,I117)</x:f>
        <x:v>0</x:v>
      </x:c>
      <x:c r="K117" s="11" t="n">
        <x:f>J117*'SOTP管线参数'!E35*'SOTP管线参数'!F35*'SOTP管线参数'!G35</x:f>
        <x:v>0</x:v>
      </x:c>
      <x:c r="L117" s="11" t="n">
        <x:f>IF(F117,K117/(1+'SOTP管线参数'!H35)^E117,0)</x:f>
        <x:v>0</x:v>
      </x:c>
    </x:row>
    <x:row r="118" ht="23" customHeight="1">
      <x:c r="A118" s="11" t="str">
        <x:v>01548.HK</x:v>
      </x:c>
      <x:c r="B118" s="11" t="str">
        <x:v>三年</x:v>
      </x:c>
      <x:c r="C118" s="11" t="str">
        <x:v>LB2102</x:v>
      </x:c>
      <x:c r="D118" s="11" t="str">
        <x:v>2031-12-31</x:v>
      </x:c>
      <x:c r="E118" s="11" t="n">
        <x:v>2.2258726899383983</x:v>
      </x:c>
      <x:c r="F118" s="26" t="b">
        <x:v>1</x:v>
      </x:c>
      <x:c r="G118" s="16" t="n">
        <x:v>0</x:v>
      </x:c>
      <x:c r="H118" s="16" t="n">
        <x:v>0.15000000000000002</x:v>
      </x:c>
      <x:c r="I118" s="16" t="n">
        <x:v>0.75</x:v>
      </x:c>
      <x:c r="J118" s="11" t="n">
        <x:f>CHOOSE('假设'!$B$3,G118,H118,I118)</x:f>
        <x:v>0.15000000000000002</x:v>
      </x:c>
      <x:c r="K118" s="11" t="n">
        <x:f>J118*'SOTP管线参数'!E35*'SOTP管线参数'!F35*'SOTP管线参数'!G35</x:f>
        <x:v>0.0021600000000000005</x:v>
      </x:c>
      <x:c r="L118" s="11" t="n">
        <x:f>IF(F118,K118/(1+'SOTP管线参数'!H35)^E118,0)</x:f>
        <x:v>0.0015825159137542468</x:v>
      </x:c>
    </x:row>
    <x:row r="119" ht="23" customHeight="1">
      <x:c r="A119" s="11" t="str">
        <x:v>01548.HK</x:v>
      </x:c>
      <x:c r="B119" s="11" t="str">
        <x:v>三年</x:v>
      </x:c>
      <x:c r="C119" s="11" t="str">
        <x:v>LB2102</x:v>
      </x:c>
      <x:c r="D119" s="11" t="str">
        <x:v>2032-12-31</x:v>
      </x:c>
      <x:c r="E119" s="11" t="n">
        <x:v>3.2279260780287475</x:v>
      </x:c>
      <x:c r="F119" s="26" t="b">
        <x:v>1</x:v>
      </x:c>
      <x:c r="G119" s="16" t="n">
        <x:v>0.07500000000000001</x:v>
      </x:c>
      <x:c r="H119" s="16" t="n">
        <x:v>0.44999999999999996</x:v>
      </x:c>
      <x:c r="I119" s="16" t="n">
        <x:v>1.75</x:v>
      </x:c>
      <x:c r="J119" s="11" t="n">
        <x:f>CHOOSE('假设'!$B$3,G119,H119,I119)</x:f>
        <x:v>0.44999999999999996</x:v>
      </x:c>
      <x:c r="K119" s="11" t="n">
        <x:f>J119*'SOTP管线参数'!E35*'SOTP管线参数'!F35*'SOTP管线参数'!G35</x:f>
        <x:v>0.00648</x:v>
      </x:c>
      <x:c r="L119" s="11" t="n">
        <x:f>IF(F119,K119/(1+'SOTP管线参数'!H35)^E119,0)</x:f>
        <x:v>0.004127117790738778</x:v>
      </x:c>
    </x:row>
    <x:row r="120" ht="23" customHeight="1">
      <x:c r="A120" s="11" t="str">
        <x:v>01548.HK</x:v>
      </x:c>
      <x:c r="B120" s="11" t="str">
        <x:v>三年</x:v>
      </x:c>
      <x:c r="C120" s="11" t="str">
        <x:v>LB2102</x:v>
      </x:c>
      <x:c r="D120" s="11" t="str">
        <x:v>2033-12-31</x:v>
      </x:c>
      <x:c r="E120" s="11" t="n">
        <x:v>4.227241615331964</x:v>
      </x:c>
      <x:c r="F120" s="26" t="b">
        <x:v>1</x:v>
      </x:c>
      <x:c r="G120" s="16" t="n">
        <x:v>0.22499999999999998</x:v>
      </x:c>
      <x:c r="H120" s="16" t="n">
        <x:v>1.0499999999999998</x:v>
      </x:c>
      <x:c r="I120" s="16" t="n">
        <x:v>3</x:v>
      </x:c>
      <x:c r="J120" s="11" t="n">
        <x:f>CHOOSE('假设'!$B$3,G120,H120,I120)</x:f>
        <x:v>1.0499999999999998</x:v>
      </x:c>
      <x:c r="K120" s="11" t="n">
        <x:f>J120*'SOTP管线参数'!E35*'SOTP管线参数'!F35*'SOTP管线参数'!G35</x:f>
        <x:v>0.015120000000000001</x:v>
      </x:c>
      <x:c r="L120" s="11" t="n">
        <x:f>IF(F120,K120/(1+'SOTP管线参数'!H35)^E120,0)</x:f>
        <x:v>0.008374663281455101</x:v>
      </x:c>
    </x:row>
    <x:row r="121" ht="23" customHeight="1">
      <x:c r="A121" s="11" t="str">
        <x:v>01548.HK</x:v>
      </x:c>
      <x:c r="B121" s="11" t="str">
        <x:v>三年</x:v>
      </x:c>
      <x:c r="C121" s="11" t="str">
        <x:v>LB2102</x:v>
      </x:c>
      <x:c r="D121" s="11" t="str">
        <x:v>2034-12-31</x:v>
      </x:c>
      <x:c r="E121" s="11" t="n">
        <x:v>5.2265571526351815</x:v>
      </x:c>
      <x:c r="F121" s="26" t="b">
        <x:v>1</x:v>
      </x:c>
      <x:c r="G121" s="16" t="n">
        <x:v>0.5249999999999999</x:v>
      </x:c>
      <x:c r="H121" s="16" t="n">
        <x:v>1.7999999999999998</x:v>
      </x:c>
      <x:c r="I121" s="16" t="n">
        <x:v>4.25</x:v>
      </x:c>
      <x:c r="J121" s="11" t="n">
        <x:f>CHOOSE('假设'!$B$3,G121,H121,I121)</x:f>
        <x:v>1.7999999999999998</x:v>
      </x:c>
      <x:c r="K121" s="11" t="n">
        <x:f>J121*'SOTP管线参数'!E35*'SOTP管线参数'!F35*'SOTP管线参数'!G35</x:f>
        <x:v>0.02592</x:v>
      </x:c>
      <x:c r="L121" s="11" t="n">
        <x:f>IF(F121,K121/(1+'SOTP管线参数'!H35)^E121,0)</x:f>
        <x:v>0.012485164405625804</x:v>
      </x:c>
    </x:row>
    <x:row r="122" ht="23" customHeight="1">
      <x:c r="A122" s="11" t="str">
        <x:v>01548.HK</x:v>
      </x:c>
      <x:c r="B122" s="11" t="str">
        <x:v>三年</x:v>
      </x:c>
      <x:c r="C122" s="11" t="str">
        <x:v>LB2102</x:v>
      </x:c>
      <x:c r="D122" s="11" t="str">
        <x:v>2035-12-31</x:v>
      </x:c>
      <x:c r="E122" s="11" t="n">
        <x:v>6.225872689938399</x:v>
      </x:c>
      <x:c r="F122" s="26" t="b">
        <x:v>1</x:v>
      </x:c>
      <x:c r="G122" s="16" t="n">
        <x:v>0.8999999999999999</x:v>
      </x:c>
      <x:c r="H122" s="16" t="n">
        <x:v>2.55</x:v>
      </x:c>
      <x:c r="I122" s="16" t="n">
        <x:v>5</x:v>
      </x:c>
      <x:c r="J122" s="11" t="n">
        <x:f>CHOOSE('假设'!$B$3,G122,H122,I122)</x:f>
        <x:v>2.55</x:v>
      </x:c>
      <x:c r="K122" s="11" t="n">
        <x:f>J122*'SOTP管线参数'!E35*'SOTP管线参数'!F35*'SOTP管线参数'!G35</x:f>
        <x:v>0.036719999999999996</x:v>
      </x:c>
      <x:c r="L122" s="11" t="n">
        <x:f>IF(F122,K122/(1+'SOTP管线参数'!H35)^E122,0)</x:f>
        <x:v>0.015381746368157454</x:v>
      </x:c>
    </x:row>
    <x:row r="123" ht="23" customHeight="1">
      <x:c r="A123" s="11" t="str">
        <x:v>01548.HK</x:v>
      </x:c>
      <x:c r="B123" s="11" t="str">
        <x:v>三年</x:v>
      </x:c>
      <x:c r="C123" s="11" t="str">
        <x:v>LB2102</x:v>
      </x:c>
      <x:c r="D123" s="11" t="str">
        <x:v>2036-12-31</x:v>
      </x:c>
      <x:c r="E123" s="11" t="n">
        <x:v>7.227926078028747</x:v>
      </x:c>
      <x:c r="F123" s="26" t="b">
        <x:v>1</x:v>
      </x:c>
      <x:c r="G123" s="16" t="n">
        <x:v>1.275</x:v>
      </x:c>
      <x:c r="H123" s="16" t="n">
        <x:v>3</x:v>
      </x:c>
      <x:c r="I123" s="16" t="n">
        <x:v>5</x:v>
      </x:c>
      <x:c r="J123" s="11" t="n">
        <x:f>CHOOSE('假设'!$B$3,G123,H123,I123)</x:f>
        <x:v>3</x:v>
      </x:c>
      <x:c r="K123" s="11" t="n">
        <x:f>J123*'SOTP管线参数'!E35*'SOTP管线参数'!F35*'SOTP管线参数'!G35</x:f>
        <x:v>0.04320000000000001</x:v>
      </x:c>
      <x:c r="L123" s="11" t="n">
        <x:f>IF(F123,K123/(1+'SOTP管线参数'!H35)^E123,0)</x:f>
        <x:v>0.015731286611997644</x:v>
      </x:c>
    </x:row>
    <x:row r="124" ht="23" customHeight="1">
      <x:c r="A124" s="11" t="str">
        <x:v>01548.HK</x:v>
      </x:c>
      <x:c r="B124" s="11" t="str">
        <x:v>三年</x:v>
      </x:c>
      <x:c r="C124" s="11" t="str">
        <x:v>LB2102</x:v>
      </x:c>
      <x:c r="D124" s="11" t="str">
        <x:v>2037-12-31</x:v>
      </x:c>
      <x:c r="E124" s="11" t="n">
        <x:v>8.227241615331964</x:v>
      </x:c>
      <x:c r="F124" s="26" t="b">
        <x:v>1</x:v>
      </x:c>
      <x:c r="G124" s="16" t="n">
        <x:v>1.5</x:v>
      </x:c>
      <x:c r="H124" s="16" t="n">
        <x:v>3</x:v>
      </x:c>
      <x:c r="I124" s="16" t="n">
        <x:v>4.75</x:v>
      </x:c>
      <x:c r="J124" s="11" t="n">
        <x:f>CHOOSE('假设'!$B$3,G124,H124,I124)</x:f>
        <x:v>3</x:v>
      </x:c>
      <x:c r="K124" s="11" t="n">
        <x:f>J124*'SOTP管线参数'!E35*'SOTP管线参数'!F35*'SOTP管线参数'!G35</x:f>
        <x:v>0.04320000000000001</x:v>
      </x:c>
      <x:c r="L124" s="11" t="n">
        <x:f>IF(F124,K124/(1+'SOTP管线参数'!H35)^E124,0)</x:f>
        <x:v>0.013680688319773595</x:v>
      </x:c>
    </x:row>
    <x:row r="125" ht="23" customHeight="1">
      <x:c r="A125" s="11" t="str">
        <x:v>01548.HK</x:v>
      </x:c>
      <x:c r="B125" s="11" t="str">
        <x:v>三年</x:v>
      </x:c>
      <x:c r="C125" s="11" t="str">
        <x:v>LB2102</x:v>
      </x:c>
      <x:c r="D125" s="11" t="str">
        <x:v>2038-12-31</x:v>
      </x:c>
      <x:c r="E125" s="11" t="n">
        <x:v>9.22655715263518</x:v>
      </x:c>
      <x:c r="F125" s="26" t="b">
        <x:v>1</x:v>
      </x:c>
      <x:c r="G125" s="16" t="n">
        <x:v>1.5</x:v>
      </x:c>
      <x:c r="H125" s="16" t="n">
        <x:v>2.8499999999999996</x:v>
      </x:c>
      <x:c r="I125" s="16" t="n">
        <x:v>4.5</x:v>
      </x:c>
      <x:c r="J125" s="11" t="n">
        <x:f>CHOOSE('假设'!$B$3,G125,H125,I125)</x:f>
        <x:v>2.8499999999999996</x:v>
      </x:c>
      <x:c r="K125" s="11" t="n">
        <x:f>J125*'SOTP管线参数'!E35*'SOTP管线参数'!F35*'SOTP管线参数'!G35</x:f>
        <x:v>0.04103999999999999</x:v>
      </x:c>
      <x:c r="L125" s="11" t="n">
        <x:f>IF(F125,K125/(1+'SOTP管线参数'!H35)^E125,0)</x:f>
        <x:v>0.011302519345242016</x:v>
      </x:c>
    </x:row>
    <x:row r="126" ht="23" customHeight="1">
      <x:c r="A126" s="11" t="str">
        <x:v>01548.HK</x:v>
      </x:c>
      <x:c r="B126" s="11" t="str">
        <x:v>三年</x:v>
      </x:c>
      <x:c r="C126" s="11" t="str">
        <x:v>LB2102</x:v>
      </x:c>
      <x:c r="D126" s="11" t="str">
        <x:v>2039-12-31</x:v>
      </x:c>
      <x:c r="E126" s="11" t="n">
        <x:v>10.225872689938399</x:v>
      </x:c>
      <x:c r="F126" s="26" t="b">
        <x:v>1</x:v>
      </x:c>
      <x:c r="G126" s="16" t="n">
        <x:v>1.4249999999999998</x:v>
      </x:c>
      <x:c r="H126" s="16" t="n">
        <x:v>2.7</x:v>
      </x:c>
      <x:c r="I126" s="16" t="n">
        <x:v>4</x:v>
      </x:c>
      <x:c r="J126" s="11" t="n">
        <x:f>CHOOSE('假设'!$B$3,G126,H126,I126)</x:f>
        <x:v>2.7</x:v>
      </x:c>
      <x:c r="K126" s="11" t="n">
        <x:f>J126*'SOTP管线参数'!E35*'SOTP管线参数'!F35*'SOTP管线参数'!G35</x:f>
        <x:v>0.038880000000000005</x:v>
      </x:c>
      <x:c r="L126" s="11" t="n">
        <x:f>IF(F126,K126/(1+'SOTP管线参数'!H35)^E126,0)</x:f>
        <x:v>0.009311890668228934</x:v>
      </x:c>
    </x:row>
    <x:row r="127" ht="23" customHeight="1">
      <x:c r="A127" s="11" t="str">
        <x:v>01548.HK</x:v>
      </x:c>
      <x:c r="B127" s="11" t="str">
        <x:v>三年</x:v>
      </x:c>
      <x:c r="C127" s="11" t="str">
        <x:v>LB2102</x:v>
      </x:c>
      <x:c r="D127" s="11" t="str">
        <x:v>2040-12-31</x:v>
      </x:c>
      <x:c r="E127" s="11" t="n">
        <x:v>11.227926078028748</x:v>
      </x:c>
      <x:c r="F127" s="26" t="b">
        <x:v>1</x:v>
      </x:c>
      <x:c r="G127" s="16" t="n">
        <x:v>1.35</x:v>
      </x:c>
      <x:c r="H127" s="16" t="n">
        <x:v>2.4000000000000004</x:v>
      </x:c>
      <x:c r="I127" s="16" t="n">
        <x:v>3.25</x:v>
      </x:c>
      <x:c r="J127" s="11" t="n">
        <x:f>CHOOSE('假设'!$B$3,G127,H127,I127)</x:f>
        <x:v>2.4000000000000004</x:v>
      </x:c>
      <x:c r="K127" s="11" t="n">
        <x:f>J127*'SOTP管线参数'!E35*'SOTP管线参数'!F35*'SOTP管线参数'!G35</x:f>
        <x:v>0.03456000000000001</x:v>
      </x:c>
      <x:c r="L127" s="11" t="n">
        <x:f>IF(F127,K127/(1+'SOTP管线参数'!H35)^E127,0)</x:f>
        <x:v>0.007195531342211109</x:v>
      </x:c>
    </x:row>
    <x:row r="128" ht="23" customHeight="1">
      <x:c r="A128" s="11" t="str">
        <x:v>01548.HK</x:v>
      </x:c>
      <x:c r="B128" s="11" t="str">
        <x:v>三年</x:v>
      </x:c>
      <x:c r="C128" s="11" t="str">
        <x:v>LB2102</x:v>
      </x:c>
      <x:c r="D128" s="11" t="str">
        <x:v>2041-12-31</x:v>
      </x:c>
      <x:c r="E128" s="11" t="n">
        <x:v>12.227241615331964</x:v>
      </x:c>
      <x:c r="F128" s="26" t="b">
        <x:v>1</x:v>
      </x:c>
      <x:c r="G128" s="16" t="n">
        <x:v>1.2000000000000002</x:v>
      </x:c>
      <x:c r="H128" s="16" t="n">
        <x:v>1.9500000000000002</x:v>
      </x:c>
      <x:c r="I128" s="16" t="n">
        <x:v>2.5</x:v>
      </x:c>
      <x:c r="J128" s="11" t="n">
        <x:f>CHOOSE('假设'!$B$3,G128,H128,I128)</x:f>
        <x:v>1.9500000000000002</x:v>
      </x:c>
      <x:c r="K128" s="11" t="n">
        <x:f>J128*'SOTP管线参数'!E35*'SOTP管线参数'!F35*'SOTP管线参数'!G35</x:f>
        <x:v>0.028080000000000008</x:v>
      </x:c>
      <x:c r="L128" s="11" t="n">
        <x:f>IF(F128,K128/(1+'SOTP管线参数'!H35)^E128,0)</x:f>
        <x:v>0.005084285666705216</x:v>
      </x:c>
    </x:row>
    <x:row r="129" ht="23" customHeight="1">
      <x:c r="A129" s="11" t="str">
        <x:v>01548.HK</x:v>
      </x:c>
      <x:c r="B129" s="11" t="str">
        <x:v>三年</x:v>
      </x:c>
      <x:c r="C129" s="11" t="str">
        <x:v>LB2102</x:v>
      </x:c>
      <x:c r="D129" s="11" t="str">
        <x:v>2042-12-31</x:v>
      </x:c>
      <x:c r="E129" s="11" t="n">
        <x:v>13.22655715263518</x:v>
      </x:c>
      <x:c r="F129" s="26" t="b">
        <x:v>1</x:v>
      </x:c>
      <x:c r="G129" s="16" t="n">
        <x:v>0.9750000000000001</x:v>
      </x:c>
      <x:c r="H129" s="16" t="n">
        <x:v>1.5</x:v>
      </x:c>
      <x:c r="I129" s="16" t="n">
        <x:v>1.75</x:v>
      </x:c>
      <x:c r="J129" s="11" t="n">
        <x:f>CHOOSE('假设'!$B$3,G129,H129,I129)</x:f>
        <x:v>1.5</x:v>
      </x:c>
      <x:c r="K129" s="11" t="n">
        <x:f>J129*'SOTP管线参数'!E35*'SOTP管线参数'!F35*'SOTP管线参数'!G35</x:f>
        <x:v>0.021600000000000005</x:v>
      </x:c>
      <x:c r="L129" s="11" t="n">
        <x:f>IF(F129,K129/(1+'SOTP管线参数'!H35)^E129,0)</x:f>
        <x:v>0.0034011853258000906</x:v>
      </x:c>
    </x:row>
    <x:row r="130" ht="23" customHeight="1">
      <x:c r="A130" s="11" t="str">
        <x:v>01548.HK</x:v>
      </x:c>
      <x:c r="B130" s="11" t="str">
        <x:v>三年</x:v>
      </x:c>
      <x:c r="C130" s="11" t="str">
        <x:v>LB2102</x:v>
      </x:c>
      <x:c r="D130" s="11" t="str">
        <x:v>2043-12-31</x:v>
      </x:c>
      <x:c r="E130" s="11" t="n">
        <x:v>14.225872689938399</x:v>
      </x:c>
      <x:c r="F130" s="26" t="b">
        <x:v>1</x:v>
      </x:c>
      <x:c r="G130" s="16" t="n">
        <x:v>0.75</x:v>
      </x:c>
      <x:c r="H130" s="16" t="n">
        <x:v>1.0499999999999998</x:v>
      </x:c>
      <x:c r="I130" s="16" t="n">
        <x:v>1</x:v>
      </x:c>
      <x:c r="J130" s="11" t="n">
        <x:f>CHOOSE('假设'!$B$3,G130,H130,I130)</x:f>
        <x:v>1.0499999999999998</x:v>
      </x:c>
      <x:c r="K130" s="11" t="n">
        <x:f>J130*'SOTP管线参数'!E35*'SOTP管线参数'!F35*'SOTP管线参数'!G35</x:f>
        <x:v>0.015120000000000001</x:v>
      </x:c>
      <x:c r="L130" s="11" t="n">
        <x:f>IF(F130,K130/(1+'SOTP管线参数'!H35)^E130,0)</x:f>
        <x:v>0.002070484776953978</x:v>
      </x:c>
    </x:row>
    <x:row r="131" ht="23" customHeight="1">
      <x:c r="A131" s="11" t="str">
        <x:v>01548.HK</x:v>
      </x:c>
      <x:c r="B131" s="11" t="str">
        <x:v>五年</x:v>
      </x:c>
      <x:c r="C131" s="11" t="str">
        <x:v>LB2501</x:v>
      </x:c>
      <x:c r="D131" s="11" t="str">
        <x:v>2029-12-31</x:v>
      </x:c>
      <x:c r="E131" s="11" t="n">
        <x:v>-1.7713894592744694</x:v>
      </x:c>
      <x:c r="F131" s="26" t="b">
        <x:v>0</x:v>
      </x:c>
      <x:c r="G131" s="16" t="n">
        <x:v>0</x:v>
      </x:c>
      <x:c r="H131" s="16" t="n">
        <x:v>0</x:v>
      </x:c>
      <x:c r="I131" s="16" t="n">
        <x:v>0.35000000000000003</x:v>
      </x:c>
      <x:c r="J131" s="11" t="n">
        <x:f>CHOOSE('假设'!$B$3,G131,H131,I131)</x:f>
        <x:v>0</x:v>
      </x:c>
      <x:c r="K131" s="11" t="n">
        <x:f>J131*'SOTP管线参数'!E39*'SOTP管线参数'!F39*'SOTP管线参数'!G39</x:f>
        <x:v>0</x:v>
      </x:c>
      <x:c r="L131" s="11" t="n">
        <x:f>IF(F131,K131/(1+'SOTP管线参数'!H39)^E131,0)</x:f>
        <x:v>0</x:v>
      </x:c>
    </x:row>
    <x:row r="132" ht="23" customHeight="1">
      <x:c r="A132" s="11" t="str">
        <x:v>01548.HK</x:v>
      </x:c>
      <x:c r="B132" s="11" t="str">
        <x:v>五年</x:v>
      </x:c>
      <x:c r="C132" s="11" t="str">
        <x:v>LB2501</x:v>
      </x:c>
      <x:c r="D132" s="11" t="str">
        <x:v>2030-12-31</x:v>
      </x:c>
      <x:c r="E132" s="11" t="n">
        <x:v>-0.7720739219712526</x:v>
      </x:c>
      <x:c r="F132" s="26" t="b">
        <x:v>0</x:v>
      </x:c>
      <x:c r="G132" s="16" t="n">
        <x:v>0</x:v>
      </x:c>
      <x:c r="H132" s="16" t="n">
        <x:v>0</x:v>
      </x:c>
      <x:c r="I132" s="16" t="n">
        <x:v>1.05</x:v>
      </x:c>
      <x:c r="J132" s="11" t="n">
        <x:f>CHOOSE('假设'!$B$3,G132,H132,I132)</x:f>
        <x:v>0</x:v>
      </x:c>
      <x:c r="K132" s="11" t="n">
        <x:f>J132*'SOTP管线参数'!E39*'SOTP管线参数'!F39*'SOTP管线参数'!G39</x:f>
        <x:v>0</x:v>
      </x:c>
      <x:c r="L132" s="11" t="n">
        <x:f>IF(F132,K132/(1+'SOTP管线参数'!H39)^E132,0)</x:f>
        <x:v>0</x:v>
      </x:c>
    </x:row>
    <x:row r="133" ht="23" customHeight="1">
      <x:c r="A133" s="11" t="str">
        <x:v>01548.HK</x:v>
      </x:c>
      <x:c r="B133" s="11" t="str">
        <x:v>五年</x:v>
      </x:c>
      <x:c r="C133" s="11" t="str">
        <x:v>LB2501</x:v>
      </x:c>
      <x:c r="D133" s="11" t="str">
        <x:v>2031-12-31</x:v>
      </x:c>
      <x:c r="E133" s="11" t="n">
        <x:v>0.2272416153319644</x:v>
      </x:c>
      <x:c r="F133" s="26" t="b">
        <x:v>1</x:v>
      </x:c>
      <x:c r="G133" s="16" t="n">
        <x:v>0</x:v>
      </x:c>
      <x:c r="H133" s="16" t="n">
        <x:v>0.17500000000000002</x:v>
      </x:c>
      <x:c r="I133" s="16" t="n">
        <x:v>2.4499999999999997</x:v>
      </x:c>
      <x:c r="J133" s="11" t="n">
        <x:f>CHOOSE('假设'!$B$3,G133,H133,I133)</x:f>
        <x:v>0.17500000000000002</x:v>
      </x:c>
      <x:c r="K133" s="11" t="n">
        <x:f>J133*'SOTP管线参数'!E39*'SOTP管线参数'!F39*'SOTP管线参数'!G39</x:f>
        <x:v>0.00525</x:v>
      </x:c>
      <x:c r="L133" s="11" t="n">
        <x:f>IF(F133,K133/(1+'SOTP管线参数'!H39)^E133,0)</x:f>
        <x:v>0.005085881396149471</x:v>
      </x:c>
    </x:row>
    <x:row r="134" ht="23" customHeight="1">
      <x:c r="A134" s="11" t="str">
        <x:v>01548.HK</x:v>
      </x:c>
      <x:c r="B134" s="11" t="str">
        <x:v>五年</x:v>
      </x:c>
      <x:c r="C134" s="11" t="str">
        <x:v>LB2501</x:v>
      </x:c>
      <x:c r="D134" s="11" t="str">
        <x:v>2032-12-31</x:v>
      </x:c>
      <x:c r="E134" s="11" t="n">
        <x:v>1.2292950034223136</x:v>
      </x:c>
      <x:c r="F134" s="26" t="b">
        <x:v>1</x:v>
      </x:c>
      <x:c r="G134" s="16" t="n">
        <x:v>0.07500000000000001</x:v>
      </x:c>
      <x:c r="H134" s="16" t="n">
        <x:v>0.525</x:v>
      </x:c>
      <x:c r="I134" s="16" t="n">
        <x:v>4.2</x:v>
      </x:c>
      <x:c r="J134" s="11" t="n">
        <x:f>CHOOSE('假设'!$B$3,G134,H134,I134)</x:f>
        <x:v>0.525</x:v>
      </x:c>
      <x:c r="K134" s="11" t="n">
        <x:f>J134*'SOTP管线参数'!E39*'SOTP管线参数'!F39*'SOTP管线参数'!G39</x:f>
        <x:v>0.01575</x:v>
      </x:c>
      <x:c r="L134" s="11" t="n">
        <x:f>IF(F134,K134/(1+'SOTP管线参数'!H39)^E134,0)</x:f>
        <x:v>0.013263709646900565</x:v>
      </x:c>
    </x:row>
    <x:row r="135" ht="23" customHeight="1">
      <x:c r="A135" s="11" t="str">
        <x:v>01548.HK</x:v>
      </x:c>
      <x:c r="B135" s="11" t="str">
        <x:v>五年</x:v>
      </x:c>
      <x:c r="C135" s="11" t="str">
        <x:v>LB2501</x:v>
      </x:c>
      <x:c r="D135" s="11" t="str">
        <x:v>2033-12-31</x:v>
      </x:c>
      <x:c r="E135" s="11" t="n">
        <x:v>2.2286105407255303</x:v>
      </x:c>
      <x:c r="F135" s="26" t="b">
        <x:v>1</x:v>
      </x:c>
      <x:c r="G135" s="16" t="n">
        <x:v>0.22499999999999998</x:v>
      </x:c>
      <x:c r="H135" s="16" t="n">
        <x:v>1.2249999999999999</x:v>
      </x:c>
      <x:c r="I135" s="16" t="n">
        <x:v>5.95</x:v>
      </x:c>
      <x:c r="J135" s="11" t="n">
        <x:f>CHOOSE('假设'!$B$3,G135,H135,I135)</x:f>
        <x:v>1.2249999999999999</x:v>
      </x:c>
      <x:c r="K135" s="11" t="n">
        <x:f>J135*'SOTP管线参数'!E39*'SOTP管线参数'!F39*'SOTP管线参数'!G39</x:f>
        <x:v>0.03675</x:v>
      </x:c>
      <x:c r="L135" s="11" t="n">
        <x:f>IF(F135,K135/(1+'SOTP管线参数'!H39)^E135,0)</x:f>
        <x:v>0.02691444920836537</x:v>
      </x:c>
    </x:row>
    <x:row r="136" ht="23" customHeight="1">
      <x:c r="A136" s="11" t="str">
        <x:v>01548.HK</x:v>
      </x:c>
      <x:c r="B136" s="11" t="str">
        <x:v>五年</x:v>
      </x:c>
      <x:c r="C136" s="11" t="str">
        <x:v>LB2501</x:v>
      </x:c>
      <x:c r="D136" s="11" t="str">
        <x:v>2034-12-31</x:v>
      </x:c>
      <x:c r="E136" s="11" t="n">
        <x:v>3.2279260780287475</x:v>
      </x:c>
      <x:c r="F136" s="26" t="b">
        <x:v>1</x:v>
      </x:c>
      <x:c r="G136" s="16" t="n">
        <x:v>0.5249999999999999</x:v>
      </x:c>
      <x:c r="H136" s="16" t="n">
        <x:v>2.1</x:v>
      </x:c>
      <x:c r="I136" s="16" t="n">
        <x:v>7</x:v>
      </x:c>
      <x:c r="J136" s="11" t="n">
        <x:f>CHOOSE('假设'!$B$3,G136,H136,I136)</x:f>
        <x:v>2.1</x:v>
      </x:c>
      <x:c r="K136" s="11" t="n">
        <x:f>J136*'SOTP管线参数'!E39*'SOTP管线参数'!F39*'SOTP管线参数'!G39</x:f>
        <x:v>0.063</x:v>
      </x:c>
      <x:c r="L136" s="11" t="n">
        <x:f>IF(F136,K136/(1+'SOTP管线参数'!H39)^E136,0)</x:f>
        <x:v>0.040124756298849235</x:v>
      </x:c>
    </x:row>
    <x:row r="137" ht="23" customHeight="1">
      <x:c r="A137" s="11" t="str">
        <x:v>01548.HK</x:v>
      </x:c>
      <x:c r="B137" s="11" t="str">
        <x:v>五年</x:v>
      </x:c>
      <x:c r="C137" s="11" t="str">
        <x:v>LB2501</x:v>
      </x:c>
      <x:c r="D137" s="11" t="str">
        <x:v>2035-12-31</x:v>
      </x:c>
      <x:c r="E137" s="11" t="n">
        <x:v>4.227241615331964</x:v>
      </x:c>
      <x:c r="F137" s="26" t="b">
        <x:v>1</x:v>
      </x:c>
      <x:c r="G137" s="16" t="n">
        <x:v>0.8999999999999999</x:v>
      </x:c>
      <x:c r="H137" s="16" t="n">
        <x:v>2.975</x:v>
      </x:c>
      <x:c r="I137" s="16" t="n">
        <x:v>7</x:v>
      </x:c>
      <x:c r="J137" s="11" t="n">
        <x:f>CHOOSE('假设'!$B$3,G137,H137,I137)</x:f>
        <x:v>2.975</x:v>
      </x:c>
      <x:c r="K137" s="11" t="n">
        <x:f>J137*'SOTP管线参数'!E39*'SOTP管线参数'!F39*'SOTP管线参数'!G39</x:f>
        <x:v>0.08925</x:v>
      </x:c>
      <x:c r="L137" s="11" t="n">
        <x:f>IF(F137,K137/(1+'SOTP管线参数'!H39)^E137,0)</x:f>
        <x:v>0.04943377631414469</x:v>
      </x:c>
    </x:row>
    <x:row r="138" ht="23" customHeight="1">
      <x:c r="A138" s="11" t="str">
        <x:v>01548.HK</x:v>
      </x:c>
      <x:c r="B138" s="11" t="str">
        <x:v>五年</x:v>
      </x:c>
      <x:c r="C138" s="11" t="str">
        <x:v>LB2501</x:v>
      </x:c>
      <x:c r="D138" s="11" t="str">
        <x:v>2036-12-31</x:v>
      </x:c>
      <x:c r="E138" s="11" t="n">
        <x:v>5.229295003422314</x:v>
      </x:c>
      <x:c r="F138" s="26" t="b">
        <x:v>1</x:v>
      </x:c>
      <x:c r="G138" s="16" t="n">
        <x:v>1.275</x:v>
      </x:c>
      <x:c r="H138" s="16" t="n">
        <x:v>3.5</x:v>
      </x:c>
      <x:c r="I138" s="16" t="n">
        <x:v>6.6499999999999995</x:v>
      </x:c>
      <x:c r="J138" s="11" t="n">
        <x:f>CHOOSE('假设'!$B$3,G138,H138,I138)</x:f>
        <x:v>3.5</x:v>
      </x:c>
      <x:c r="K138" s="11" t="n">
        <x:f>J138*'SOTP管线参数'!E39*'SOTP管线参数'!F39*'SOTP管线参数'!G39</x:f>
        <x:v>0.105</x:v>
      </x:c>
      <x:c r="L138" s="11" t="n">
        <x:f>IF(F138,K138/(1+'SOTP管线参数'!H39)^E138,0)</x:f>
        <x:v>0.05055712692812682</x:v>
      </x:c>
    </x:row>
    <x:row r="139" ht="23" customHeight="1">
      <x:c r="A139" s="11" t="str">
        <x:v>01548.HK</x:v>
      </x:c>
      <x:c r="B139" s="11" t="str">
        <x:v>五年</x:v>
      </x:c>
      <x:c r="C139" s="11" t="str">
        <x:v>LB2501</x:v>
      </x:c>
      <x:c r="D139" s="11" t="str">
        <x:v>2037-12-31</x:v>
      </x:c>
      <x:c r="E139" s="11" t="n">
        <x:v>6.228610540725531</x:v>
      </x:c>
      <x:c r="F139" s="26" t="b">
        <x:v>1</x:v>
      </x:c>
      <x:c r="G139" s="16" t="n">
        <x:v>1.5</x:v>
      </x:c>
      <x:c r="H139" s="16" t="n">
        <x:v>3.5</x:v>
      </x:c>
      <x:c r="I139" s="16" t="n">
        <x:v>6.3</x:v>
      </x:c>
      <x:c r="J139" s="11" t="n">
        <x:f>CHOOSE('假设'!$B$3,G139,H139,I139)</x:f>
        <x:v>3.5</x:v>
      </x:c>
      <x:c r="K139" s="11" t="n">
        <x:f>J139*'SOTP管线参数'!E39*'SOTP管线参数'!F39*'SOTP管线参数'!G39</x:f>
        <x:v>0.105</x:v>
      </x:c>
      <x:c r="L139" s="11" t="n">
        <x:f>IF(F139,K139/(1+'SOTP管线参数'!H39)^E139,0)</x:f>
        <x:v>0.043966924823519285</x:v>
      </x:c>
    </x:row>
    <x:row r="140" ht="23" customHeight="1">
      <x:c r="A140" s="11" t="str">
        <x:v>01548.HK</x:v>
      </x:c>
      <x:c r="B140" s="11" t="str">
        <x:v>五年</x:v>
      </x:c>
      <x:c r="C140" s="11" t="str">
        <x:v>LB2501</x:v>
      </x:c>
      <x:c r="D140" s="11" t="str">
        <x:v>2038-12-31</x:v>
      </x:c>
      <x:c r="E140" s="11" t="n">
        <x:v>7.227926078028747</x:v>
      </x:c>
      <x:c r="F140" s="26" t="b">
        <x:v>1</x:v>
      </x:c>
      <x:c r="G140" s="16" t="n">
        <x:v>1.5</x:v>
      </x:c>
      <x:c r="H140" s="16" t="n">
        <x:v>3.3249999999999997</x:v>
      </x:c>
      <x:c r="I140" s="16" t="n">
        <x:v>5.6000000000000005</x:v>
      </x:c>
      <x:c r="J140" s="11" t="n">
        <x:f>CHOOSE('假设'!$B$3,G140,H140,I140)</x:f>
        <x:v>3.3249999999999997</x:v>
      </x:c>
      <x:c r="K140" s="11" t="n">
        <x:f>J140*'SOTP管线参数'!E39*'SOTP管线参数'!F39*'SOTP管线参数'!G39</x:f>
        <x:v>0.09974999999999999</x:v>
      </x:c>
      <x:c r="L140" s="11" t="n">
        <x:f>IF(F140,K140/(1+'SOTP管线参数'!H39)^E140,0)</x:f>
        <x:v>0.03632397776728622</x:v>
      </x:c>
    </x:row>
    <x:row r="141" ht="23" customHeight="1">
      <x:c r="A141" s="11" t="str">
        <x:v>01548.HK</x:v>
      </x:c>
      <x:c r="B141" s="11" t="str">
        <x:v>五年</x:v>
      </x:c>
      <x:c r="C141" s="11" t="str">
        <x:v>LB2501</x:v>
      </x:c>
      <x:c r="D141" s="11" t="str">
        <x:v>2039-12-31</x:v>
      </x:c>
      <x:c r="E141" s="11" t="n">
        <x:v>8.227241615331964</x:v>
      </x:c>
      <x:c r="F141" s="26" t="b">
        <x:v>1</x:v>
      </x:c>
      <x:c r="G141" s="16" t="n">
        <x:v>1.4249999999999998</x:v>
      </x:c>
      <x:c r="H141" s="16" t="n">
        <x:v>3.15</x:v>
      </x:c>
      <x:c r="I141" s="16" t="n">
        <x:v>4.55</x:v>
      </x:c>
      <x:c r="J141" s="11" t="n">
        <x:f>CHOOSE('假设'!$B$3,G141,H141,I141)</x:f>
        <x:v>3.15</x:v>
      </x:c>
      <x:c r="K141" s="11" t="n">
        <x:f>J141*'SOTP管线参数'!E39*'SOTP管线参数'!F39*'SOTP管线参数'!G39</x:f>
        <x:v>0.0945</x:v>
      </x:c>
      <x:c r="L141" s="11" t="n">
        <x:f>IF(F141,K141/(1+'SOTP管线参数'!H39)^E141,0)</x:f>
        <x:v>0.02992650569950473</x:v>
      </x:c>
    </x:row>
    <x:row r="142" ht="23" customHeight="1">
      <x:c r="A142" s="11" t="str">
        <x:v>01548.HK</x:v>
      </x:c>
      <x:c r="B142" s="11" t="str">
        <x:v>五年</x:v>
      </x:c>
      <x:c r="C142" s="11" t="str">
        <x:v>LB2501</x:v>
      </x:c>
      <x:c r="D142" s="11" t="str">
        <x:v>2040-12-31</x:v>
      </x:c>
      <x:c r="E142" s="11" t="n">
        <x:v>9.229295003422314</x:v>
      </x:c>
      <x:c r="F142" s="26" t="b">
        <x:v>1</x:v>
      </x:c>
      <x:c r="G142" s="16" t="n">
        <x:v>1.35</x:v>
      </x:c>
      <x:c r="H142" s="16" t="n">
        <x:v>2.8000000000000003</x:v>
      </x:c>
      <x:c r="I142" s="16" t="n">
        <x:v>3.5</x:v>
      </x:c>
      <x:c r="J142" s="11" t="n">
        <x:f>CHOOSE('假设'!$B$3,G142,H142,I142)</x:f>
        <x:v>2.8000000000000003</x:v>
      </x:c>
      <x:c r="K142" s="11" t="n">
        <x:f>J142*'SOTP管线参数'!E39*'SOTP管线参数'!F39*'SOTP管线参数'!G39</x:f>
        <x:v>0.084</x:v>
      </x:c>
      <x:c r="L142" s="11" t="n">
        <x:f>IF(F142,K142/(1+'SOTP管线参数'!H39)^E142,0)</x:f>
        <x:v>0.02312496112721237</x:v>
      </x:c>
    </x:row>
    <x:row r="143" ht="23" customHeight="1">
      <x:c r="A143" s="11" t="str">
        <x:v>01548.HK</x:v>
      </x:c>
      <x:c r="B143" s="11" t="str">
        <x:v>五年</x:v>
      </x:c>
      <x:c r="C143" s="11" t="str">
        <x:v>LB2501</x:v>
      </x:c>
      <x:c r="D143" s="11" t="str">
        <x:v>2041-12-31</x:v>
      </x:c>
      <x:c r="E143" s="11" t="n">
        <x:v>10.22861054072553</x:v>
      </x:c>
      <x:c r="F143" s="26" t="b">
        <x:v>1</x:v>
      </x:c>
      <x:c r="G143" s="16" t="n">
        <x:v>1.2000000000000002</x:v>
      </x:c>
      <x:c r="H143" s="16" t="n">
        <x:v>2.275</x:v>
      </x:c>
      <x:c r="I143" s="16" t="n">
        <x:v>2.4499999999999997</x:v>
      </x:c>
      <x:c r="J143" s="11" t="n">
        <x:f>CHOOSE('假设'!$B$3,G143,H143,I143)</x:f>
        <x:v>2.275</x:v>
      </x:c>
      <x:c r="K143" s="11" t="n">
        <x:f>J143*'SOTP管线参数'!E39*'SOTP管线参数'!F39*'SOTP管线参数'!G39</x:f>
        <x:v>0.06824999999999999</x:v>
      </x:c>
      <x:c r="L143" s="11" t="n">
        <x:f>IF(F143,K143/(1+'SOTP管线参数'!H39)^E143,0)</x:f>
        <x:v>0.016339850778284832</x:v>
      </x:c>
    </x:row>
    <x:row r="144" ht="23" customHeight="1">
      <x:c r="A144" s="11" t="str">
        <x:v>01548.HK</x:v>
      </x:c>
      <x:c r="B144" s="11" t="str">
        <x:v>五年</x:v>
      </x:c>
      <x:c r="C144" s="11" t="str">
        <x:v>LB2501</x:v>
      </x:c>
      <x:c r="D144" s="11" t="str">
        <x:v>2042-12-31</x:v>
      </x:c>
      <x:c r="E144" s="11" t="n">
        <x:v>11.227926078028748</x:v>
      </x:c>
      <x:c r="F144" s="26" t="b">
        <x:v>1</x:v>
      </x:c>
      <x:c r="G144" s="16" t="n">
        <x:v>0.9750000000000001</x:v>
      </x:c>
      <x:c r="H144" s="16" t="n">
        <x:v>1.75</x:v>
      </x:c>
      <x:c r="I144" s="16" t="n">
        <x:v>1.4000000000000001</x:v>
      </x:c>
      <x:c r="J144" s="11" t="n">
        <x:f>CHOOSE('假设'!$B$3,G144,H144,I144)</x:f>
        <x:v>1.75</x:v>
      </x:c>
      <x:c r="K144" s="11" t="n">
        <x:f>J144*'SOTP管线参数'!E39*'SOTP管线参数'!F39*'SOTP管线参数'!G39</x:f>
        <x:v>0.0525</x:v>
      </x:c>
      <x:c r="L144" s="11" t="n">
        <x:f>IF(F144,K144/(1+'SOTP管线参数'!H39)^E144,0)</x:f>
        <x:v>0.010930711674365831</x:v>
      </x:c>
    </x:row>
    <x:row r="145" ht="23" customHeight="1">
      <x:c r="A145" s="11" t="str">
        <x:v>01548.HK</x:v>
      </x:c>
      <x:c r="B145" s="11" t="str">
        <x:v>五年</x:v>
      </x:c>
      <x:c r="C145" s="11" t="str">
        <x:v>LB2501</x:v>
      </x:c>
      <x:c r="D145" s="11" t="str">
        <x:v>2043-12-31</x:v>
      </x:c>
      <x:c r="E145" s="11" t="n">
        <x:v>12.227241615331964</x:v>
      </x:c>
      <x:c r="F145" s="26" t="b">
        <x:v>1</x:v>
      </x:c>
      <x:c r="G145" s="16" t="n">
        <x:v>0.75</x:v>
      </x:c>
      <x:c r="H145" s="16" t="n">
        <x:v>1.2249999999999999</x:v>
      </x:c>
      <x:c r="I145" s="16" t="n">
        <x:v>0.7000000000000001</x:v>
      </x:c>
      <x:c r="J145" s="11" t="n">
        <x:f>CHOOSE('假设'!$B$3,G145,H145,I145)</x:f>
        <x:v>1.2249999999999999</x:v>
      </x:c>
      <x:c r="K145" s="11" t="n">
        <x:f>J145*'SOTP管线参数'!E39*'SOTP管线参数'!F39*'SOTP管线参数'!G39</x:f>
        <x:v>0.03675</x:v>
      </x:c>
      <x:c r="L145" s="11" t="n">
        <x:f>IF(F145,K145/(1+'SOTP管线参数'!H39)^E145,0)</x:f>
        <x:v>0.00665411318559176</x:v>
      </x:c>
    </x:row>
    <x:row r="146" ht="23" customHeight="1">
      <x:c r="A146" s="11" t="str">
        <x:v>01548.HK</x:v>
      </x:c>
      <x:c r="B146" s="11" t="str">
        <x:v>五年</x:v>
      </x:c>
      <x:c r="C146" s="11" t="str">
        <x:v>LB2501</x:v>
      </x:c>
      <x:c r="D146" s="11" t="str">
        <x:v>2044-12-31</x:v>
      </x:c>
      <x:c r="E146" s="11" t="n">
        <x:v>13.229295003422314</x:v>
      </x:c>
      <x:c r="F146" s="26" t="b">
        <x:v>1</x:v>
      </x:c>
      <x:c r="G146" s="16" t="n">
        <x:v>0.5249999999999999</x:v>
      </x:c>
      <x:c r="H146" s="16" t="n">
        <x:v>0.7000000000000001</x:v>
      </x:c>
      <x:c r="I146" s="16" t="n">
        <x:v>0.35000000000000003</x:v>
      </x:c>
      <x:c r="J146" s="11" t="n">
        <x:f>CHOOSE('假设'!$B$3,G146,H146,I146)</x:f>
        <x:v>0.7000000000000001</x:v>
      </x:c>
      <x:c r="K146" s="11" t="n">
        <x:f>J146*'SOTP管线参数'!E39*'SOTP管线参数'!F39*'SOTP管线参数'!G39</x:f>
        <x:v>0.021</x:v>
      </x:c>
      <x:c r="L146" s="11" t="n">
        <x:f>IF(F146,K146/(1+'SOTP管线参数'!H39)^E146,0)</x:f>
        <x:v>0.003305442894674101</x:v>
      </x:c>
    </x:row>
    <x:row r="147" ht="23" customHeight="1">
      <x:c r="A147" s="11" t="str">
        <x:v>01548.HK</x:v>
      </x:c>
      <x:c r="B147" s="11" t="str">
        <x:v>五年</x:v>
      </x:c>
      <x:c r="C147" s="11" t="str">
        <x:v>LB2501</x:v>
      </x:c>
      <x:c r="D147" s="11" t="str">
        <x:v>2045-12-31</x:v>
      </x:c>
      <x:c r="E147" s="11" t="n">
        <x:v>14.22861054072553</x:v>
      </x:c>
      <x:c r="F147" s="26" t="b">
        <x:v>1</x:v>
      </x:c>
      <x:c r="G147" s="16" t="n">
        <x:v>0.30000000000000004</x:v>
      </x:c>
      <x:c r="H147" s="16" t="n">
        <x:v>0.35000000000000003</x:v>
      </x:c>
      <x:c r="I147" s="16" t="n">
        <x:v>0.35000000000000003</x:v>
      </x:c>
      <x:c r="J147" s="11" t="n">
        <x:f>CHOOSE('假设'!$B$3,G147,H147,I147)</x:f>
        <x:v>0.35000000000000003</x:v>
      </x:c>
      <x:c r="K147" s="11" t="n">
        <x:f>J147*'SOTP管线参数'!E39*'SOTP管线参数'!F39*'SOTP管线参数'!G39</x:f>
        <x:v>0.0105</x:v>
      </x:c>
      <x:c r="L147" s="11" t="n">
        <x:f>IF(F147,K147/(1+'SOTP管线参数'!H39)^E147,0)</x:f>
        <x:v>0.001437286571536955</x:v>
      </x:c>
    </x:row>
    <x:row r="148" ht="23" customHeight="1">
      <x:c r="A148" s="11" t="str">
        <x:v>01548.HK</x:v>
      </x:c>
      <x:c r="B148" s="11" t="str">
        <x:v>五年</x:v>
      </x:c>
      <x:c r="C148" s="11" t="str">
        <x:v>LB2102</x:v>
      </x:c>
      <x:c r="D148" s="11" t="str">
        <x:v>2030-12-31</x:v>
      </x:c>
      <x:c r="E148" s="11" t="n">
        <x:v>-0.7720739219712526</x:v>
      </x:c>
      <x:c r="F148" s="26" t="b">
        <x:v>0</x:v>
      </x:c>
      <x:c r="G148" s="16" t="n">
        <x:v>0</x:v>
      </x:c>
      <x:c r="H148" s="16" t="n">
        <x:v>0</x:v>
      </x:c>
      <x:c r="I148" s="16" t="n">
        <x:v>0.25</x:v>
      </x:c>
      <x:c r="J148" s="11" t="n">
        <x:f>CHOOSE('假设'!$B$3,G148,H148,I148)</x:f>
        <x:v>0</x:v>
      </x:c>
      <x:c r="K148" s="11" t="n">
        <x:f>J148*'SOTP管线参数'!E43*'SOTP管线参数'!F43*'SOTP管线参数'!G43</x:f>
        <x:v>0</x:v>
      </x:c>
      <x:c r="L148" s="11" t="n">
        <x:f>IF(F148,K148/(1+'SOTP管线参数'!H43)^E148,0)</x:f>
        <x:v>0</x:v>
      </x:c>
    </x:row>
    <x:row r="149" ht="23" customHeight="1">
      <x:c r="A149" s="11" t="str">
        <x:v>01548.HK</x:v>
      </x:c>
      <x:c r="B149" s="11" t="str">
        <x:v>五年</x:v>
      </x:c>
      <x:c r="C149" s="11" t="str">
        <x:v>LB2102</x:v>
      </x:c>
      <x:c r="D149" s="11" t="str">
        <x:v>2031-12-31</x:v>
      </x:c>
      <x:c r="E149" s="11" t="n">
        <x:v>0.2272416153319644</x:v>
      </x:c>
      <x:c r="F149" s="26" t="b">
        <x:v>1</x:v>
      </x:c>
      <x:c r="G149" s="16" t="n">
        <x:v>0</x:v>
      </x:c>
      <x:c r="H149" s="16" t="n">
        <x:v>0.15000000000000002</x:v>
      </x:c>
      <x:c r="I149" s="16" t="n">
        <x:v>0.75</x:v>
      </x:c>
      <x:c r="J149" s="11" t="n">
        <x:f>CHOOSE('假设'!$B$3,G149,H149,I149)</x:f>
        <x:v>0.15000000000000002</x:v>
      </x:c>
      <x:c r="K149" s="11" t="n">
        <x:f>J149*'SOTP管线参数'!E43*'SOTP管线参数'!F43*'SOTP管线参数'!G43</x:f>
        <x:v>0.0021600000000000005</x:v>
      </x:c>
      <x:c r="L149" s="11" t="n">
        <x:f>IF(F149,K149/(1+'SOTP管线参数'!H43)^E149,0)</x:f>
        <x:v>0.002092476917272926</x:v>
      </x:c>
    </x:row>
    <x:row r="150" ht="23" customHeight="1">
      <x:c r="A150" s="11" t="str">
        <x:v>01548.HK</x:v>
      </x:c>
      <x:c r="B150" s="11" t="str">
        <x:v>五年</x:v>
      </x:c>
      <x:c r="C150" s="11" t="str">
        <x:v>LB2102</x:v>
      </x:c>
      <x:c r="D150" s="11" t="str">
        <x:v>2032-12-31</x:v>
      </x:c>
      <x:c r="E150" s="11" t="n">
        <x:v>1.2292950034223136</x:v>
      </x:c>
      <x:c r="F150" s="26" t="b">
        <x:v>1</x:v>
      </x:c>
      <x:c r="G150" s="16" t="n">
        <x:v>0.07500000000000001</x:v>
      </x:c>
      <x:c r="H150" s="16" t="n">
        <x:v>0.44999999999999996</x:v>
      </x:c>
      <x:c r="I150" s="16" t="n">
        <x:v>1.75</x:v>
      </x:c>
      <x:c r="J150" s="11" t="n">
        <x:f>CHOOSE('假设'!$B$3,G150,H150,I150)</x:f>
        <x:v>0.44999999999999996</x:v>
      </x:c>
      <x:c r="K150" s="11" t="n">
        <x:f>J150*'SOTP管线参数'!E43*'SOTP管线参数'!F43*'SOTP管线参数'!G43</x:f>
        <x:v>0.00648</x:v>
      </x:c>
      <x:c r="L150" s="11" t="n">
        <x:f>IF(F150,K150/(1+'SOTP管线参数'!H43)^E150,0)</x:f>
        <x:v>0.005457069111867661</x:v>
      </x:c>
    </x:row>
    <x:row r="151" ht="23" customHeight="1">
      <x:c r="A151" s="11" t="str">
        <x:v>01548.HK</x:v>
      </x:c>
      <x:c r="B151" s="11" t="str">
        <x:v>五年</x:v>
      </x:c>
      <x:c r="C151" s="11" t="str">
        <x:v>LB2102</x:v>
      </x:c>
      <x:c r="D151" s="11" t="str">
        <x:v>2033-12-31</x:v>
      </x:c>
      <x:c r="E151" s="11" t="n">
        <x:v>2.2286105407255303</x:v>
      </x:c>
      <x:c r="F151" s="26" t="b">
        <x:v>1</x:v>
      </x:c>
      <x:c r="G151" s="16" t="n">
        <x:v>0.22499999999999998</x:v>
      </x:c>
      <x:c r="H151" s="16" t="n">
        <x:v>1.0499999999999998</x:v>
      </x:c>
      <x:c r="I151" s="16" t="n">
        <x:v>3</x:v>
      </x:c>
      <x:c r="J151" s="11" t="n">
        <x:f>CHOOSE('假设'!$B$3,G151,H151,I151)</x:f>
        <x:v>1.0499999999999998</x:v>
      </x:c>
      <x:c r="K151" s="11" t="n">
        <x:f>J151*'SOTP管线参数'!E43*'SOTP管线参数'!F43*'SOTP管线参数'!G43</x:f>
        <x:v>0.015120000000000001</x:v>
      </x:c>
      <x:c r="L151" s="11" t="n">
        <x:f>IF(F151,K151/(1+'SOTP管线参数'!H43)^E151,0)</x:f>
        <x:v>0.011073373388584612</x:v>
      </x:c>
    </x:row>
    <x:row r="152" ht="23" customHeight="1">
      <x:c r="A152" s="11" t="str">
        <x:v>01548.HK</x:v>
      </x:c>
      <x:c r="B152" s="11" t="str">
        <x:v>五年</x:v>
      </x:c>
      <x:c r="C152" s="11" t="str">
        <x:v>LB2102</x:v>
      </x:c>
      <x:c r="D152" s="11" t="str">
        <x:v>2034-12-31</x:v>
      </x:c>
      <x:c r="E152" s="11" t="n">
        <x:v>3.2279260780287475</x:v>
      </x:c>
      <x:c r="F152" s="26" t="b">
        <x:v>1</x:v>
      </x:c>
      <x:c r="G152" s="16" t="n">
        <x:v>0.5249999999999999</x:v>
      </x:c>
      <x:c r="H152" s="16" t="n">
        <x:v>1.7999999999999998</x:v>
      </x:c>
      <x:c r="I152" s="16" t="n">
        <x:v>4.25</x:v>
      </x:c>
      <x:c r="J152" s="11" t="n">
        <x:f>CHOOSE('假设'!$B$3,G152,H152,I152)</x:f>
        <x:v>1.7999999999999998</x:v>
      </x:c>
      <x:c r="K152" s="11" t="n">
        <x:f>J152*'SOTP管线参数'!E43*'SOTP管线参数'!F43*'SOTP管线参数'!G43</x:f>
        <x:v>0.02592</x:v>
      </x:c>
      <x:c r="L152" s="11" t="n">
        <x:f>IF(F152,K152/(1+'SOTP管线参数'!H43)^E152,0)</x:f>
        <x:v>0.01650847116295511</x:v>
      </x:c>
    </x:row>
    <x:row r="153" ht="23" customHeight="1">
      <x:c r="A153" s="11" t="str">
        <x:v>01548.HK</x:v>
      </x:c>
      <x:c r="B153" s="11" t="str">
        <x:v>五年</x:v>
      </x:c>
      <x:c r="C153" s="11" t="str">
        <x:v>LB2102</x:v>
      </x:c>
      <x:c r="D153" s="11" t="str">
        <x:v>2035-12-31</x:v>
      </x:c>
      <x:c r="E153" s="11" t="n">
        <x:v>4.227241615331964</x:v>
      </x:c>
      <x:c r="F153" s="26" t="b">
        <x:v>1</x:v>
      </x:c>
      <x:c r="G153" s="16" t="n">
        <x:v>0.8999999999999999</x:v>
      </x:c>
      <x:c r="H153" s="16" t="n">
        <x:v>2.55</x:v>
      </x:c>
      <x:c r="I153" s="16" t="n">
        <x:v>5</x:v>
      </x:c>
      <x:c r="J153" s="11" t="n">
        <x:f>CHOOSE('假设'!$B$3,G153,H153,I153)</x:f>
        <x:v>2.55</x:v>
      </x:c>
      <x:c r="K153" s="11" t="n">
        <x:f>J153*'SOTP管线参数'!E43*'SOTP管线参数'!F43*'SOTP管线参数'!G43</x:f>
        <x:v>0.036719999999999996</x:v>
      </x:c>
      <x:c r="L153" s="11" t="n">
        <x:f>IF(F153,K153/(1+'SOTP管线参数'!H43)^E153,0)</x:f>
        <x:v>0.0203384679692481</x:v>
      </x:c>
    </x:row>
    <x:row r="154" ht="23" customHeight="1">
      <x:c r="A154" s="11" t="str">
        <x:v>01548.HK</x:v>
      </x:c>
      <x:c r="B154" s="11" t="str">
        <x:v>五年</x:v>
      </x:c>
      <x:c r="C154" s="11" t="str">
        <x:v>LB2102</x:v>
      </x:c>
      <x:c r="D154" s="11" t="str">
        <x:v>2036-12-31</x:v>
      </x:c>
      <x:c r="E154" s="11" t="n">
        <x:v>5.229295003422314</x:v>
      </x:c>
      <x:c r="F154" s="26" t="b">
        <x:v>1</x:v>
      </x:c>
      <x:c r="G154" s="16" t="n">
        <x:v>1.275</x:v>
      </x:c>
      <x:c r="H154" s="16" t="n">
        <x:v>3</x:v>
      </x:c>
      <x:c r="I154" s="16" t="n">
        <x:v>5</x:v>
      </x:c>
      <x:c r="J154" s="11" t="n">
        <x:f>CHOOSE('假设'!$B$3,G154,H154,I154)</x:f>
        <x:v>3</x:v>
      </x:c>
      <x:c r="K154" s="11" t="n">
        <x:f>J154*'SOTP管线参数'!E43*'SOTP管线参数'!F43*'SOTP管线参数'!G43</x:f>
        <x:v>0.04320000000000001</x:v>
      </x:c>
      <x:c r="L154" s="11" t="n">
        <x:f>IF(F154,K154/(1+'SOTP管线参数'!H43)^E154,0)</x:f>
        <x:v>0.020800646507572185</x:v>
      </x:c>
    </x:row>
    <x:row r="155" ht="23" customHeight="1">
      <x:c r="A155" s="11" t="str">
        <x:v>01548.HK</x:v>
      </x:c>
      <x:c r="B155" s="11" t="str">
        <x:v>五年</x:v>
      </x:c>
      <x:c r="C155" s="11" t="str">
        <x:v>LB2102</x:v>
      </x:c>
      <x:c r="D155" s="11" t="str">
        <x:v>2037-12-31</x:v>
      </x:c>
      <x:c r="E155" s="11" t="n">
        <x:v>6.228610540725531</x:v>
      </x:c>
      <x:c r="F155" s="26" t="b">
        <x:v>1</x:v>
      </x:c>
      <x:c r="G155" s="16" t="n">
        <x:v>1.5</x:v>
      </x:c>
      <x:c r="H155" s="16" t="n">
        <x:v>3</x:v>
      </x:c>
      <x:c r="I155" s="16" t="n">
        <x:v>4.75</x:v>
      </x:c>
      <x:c r="J155" s="11" t="n">
        <x:f>CHOOSE('假设'!$B$3,G155,H155,I155)</x:f>
        <x:v>3</x:v>
      </x:c>
      <x:c r="K155" s="11" t="n">
        <x:f>J155*'SOTP管线参数'!E43*'SOTP管线参数'!F43*'SOTP管线参数'!G43</x:f>
        <x:v>0.04320000000000001</x:v>
      </x:c>
      <x:c r="L155" s="11" t="n">
        <x:f>IF(F155,K155/(1+'SOTP管线参数'!H43)^E155,0)</x:f>
        <x:v>0.018089249070247938</x:v>
      </x:c>
    </x:row>
    <x:row r="156" ht="23" customHeight="1">
      <x:c r="A156" s="11" t="str">
        <x:v>01548.HK</x:v>
      </x:c>
      <x:c r="B156" s="11" t="str">
        <x:v>五年</x:v>
      </x:c>
      <x:c r="C156" s="11" t="str">
        <x:v>LB2102</x:v>
      </x:c>
      <x:c r="D156" s="11" t="str">
        <x:v>2038-12-31</x:v>
      </x:c>
      <x:c r="E156" s="11" t="n">
        <x:v>7.227926078028747</x:v>
      </x:c>
      <x:c r="F156" s="26" t="b">
        <x:v>1</x:v>
      </x:c>
      <x:c r="G156" s="16" t="n">
        <x:v>1.5</x:v>
      </x:c>
      <x:c r="H156" s="16" t="n">
        <x:v>2.8499999999999996</x:v>
      </x:c>
      <x:c r="I156" s="16" t="n">
        <x:v>4.5</x:v>
      </x:c>
      <x:c r="J156" s="11" t="n">
        <x:f>CHOOSE('假设'!$B$3,G156,H156,I156)</x:f>
        <x:v>2.8499999999999996</x:v>
      </x:c>
      <x:c r="K156" s="11" t="n">
        <x:f>J156*'SOTP管线参数'!E43*'SOTP管线参数'!F43*'SOTP管线参数'!G43</x:f>
        <x:v>0.04103999999999999</x:v>
      </x:c>
      <x:c r="L156" s="11" t="n">
        <x:f>IF(F156,K156/(1+'SOTP管线参数'!H43)^E156,0)</x:f>
        <x:v>0.014944722281397756</x:v>
      </x:c>
    </x:row>
    <x:row r="157" ht="23" customHeight="1">
      <x:c r="A157" s="11" t="str">
        <x:v>01548.HK</x:v>
      </x:c>
      <x:c r="B157" s="11" t="str">
        <x:v>五年</x:v>
      </x:c>
      <x:c r="C157" s="11" t="str">
        <x:v>LB2102</x:v>
      </x:c>
      <x:c r="D157" s="11" t="str">
        <x:v>2039-12-31</x:v>
      </x:c>
      <x:c r="E157" s="11" t="n">
        <x:v>8.227241615331964</x:v>
      </x:c>
      <x:c r="F157" s="26" t="b">
        <x:v>1</x:v>
      </x:c>
      <x:c r="G157" s="16" t="n">
        <x:v>1.4249999999999998</x:v>
      </x:c>
      <x:c r="H157" s="16" t="n">
        <x:v>2.7</x:v>
      </x:c>
      <x:c r="I157" s="16" t="n">
        <x:v>4</x:v>
      </x:c>
      <x:c r="J157" s="11" t="n">
        <x:f>CHOOSE('假设'!$B$3,G157,H157,I157)</x:f>
        <x:v>2.7</x:v>
      </x:c>
      <x:c r="K157" s="11" t="n">
        <x:f>J157*'SOTP管线参数'!E43*'SOTP管线参数'!F43*'SOTP管线参数'!G43</x:f>
        <x:v>0.038880000000000005</x:v>
      </x:c>
      <x:c r="L157" s="11" t="n">
        <x:f>IF(F157,K157/(1+'SOTP管线参数'!H43)^E157,0)</x:f>
        <x:v>0.012312619487796234</x:v>
      </x:c>
    </x:row>
    <x:row r="158" ht="23" customHeight="1">
      <x:c r="A158" s="11" t="str">
        <x:v>01548.HK</x:v>
      </x:c>
      <x:c r="B158" s="11" t="str">
        <x:v>五年</x:v>
      </x:c>
      <x:c r="C158" s="11" t="str">
        <x:v>LB2102</x:v>
      </x:c>
      <x:c r="D158" s="11" t="str">
        <x:v>2040-12-31</x:v>
      </x:c>
      <x:c r="E158" s="11" t="n">
        <x:v>9.229295003422314</x:v>
      </x:c>
      <x:c r="F158" s="26" t="b">
        <x:v>1</x:v>
      </x:c>
      <x:c r="G158" s="16" t="n">
        <x:v>1.35</x:v>
      </x:c>
      <x:c r="H158" s="16" t="n">
        <x:v>2.4000000000000004</x:v>
      </x:c>
      <x:c r="I158" s="16" t="n">
        <x:v>3.25</x:v>
      </x:c>
      <x:c r="J158" s="11" t="n">
        <x:f>CHOOSE('假设'!$B$3,G158,H158,I158)</x:f>
        <x:v>2.4000000000000004</x:v>
      </x:c>
      <x:c r="K158" s="11" t="n">
        <x:f>J158*'SOTP管线参数'!E43*'SOTP管线参数'!F43*'SOTP管线参数'!G43</x:f>
        <x:v>0.03456000000000001</x:v>
      </x:c>
      <x:c r="L158" s="11" t="n">
        <x:f>IF(F158,K158/(1+'SOTP管线参数'!H43)^E158,0)</x:f>
        <x:v>0.009514269720910233</x:v>
      </x:c>
    </x:row>
    <x:row r="159" ht="23" customHeight="1">
      <x:c r="A159" s="11" t="str">
        <x:v>01548.HK</x:v>
      </x:c>
      <x:c r="B159" s="11" t="str">
        <x:v>五年</x:v>
      </x:c>
      <x:c r="C159" s="11" t="str">
        <x:v>LB2102</x:v>
      </x:c>
      <x:c r="D159" s="11" t="str">
        <x:v>2041-12-31</x:v>
      </x:c>
      <x:c r="E159" s="11" t="n">
        <x:v>10.22861054072553</x:v>
      </x:c>
      <x:c r="F159" s="26" t="b">
        <x:v>1</x:v>
      </x:c>
      <x:c r="G159" s="16" t="n">
        <x:v>1.2000000000000002</x:v>
      </x:c>
      <x:c r="H159" s="16" t="n">
        <x:v>1.9500000000000002</x:v>
      </x:c>
      <x:c r="I159" s="16" t="n">
        <x:v>2.5</x:v>
      </x:c>
      <x:c r="J159" s="11" t="n">
        <x:f>CHOOSE('假设'!$B$3,G159,H159,I159)</x:f>
        <x:v>1.9500000000000002</x:v>
      </x:c>
      <x:c r="K159" s="11" t="n">
        <x:f>J159*'SOTP管线参数'!E43*'SOTP管线参数'!F43*'SOTP管线参数'!G43</x:f>
        <x:v>0.028080000000000008</x:v>
      </x:c>
      <x:c r="L159" s="11" t="n">
        <x:f>IF(F159,K159/(1+'SOTP管线参数'!H43)^E159,0)</x:f>
        <x:v>0.006722681463065763</x:v>
      </x:c>
    </x:row>
    <x:row r="160" ht="23" customHeight="1">
      <x:c r="A160" s="11" t="str">
        <x:v>01548.HK</x:v>
      </x:c>
      <x:c r="B160" s="11" t="str">
        <x:v>五年</x:v>
      </x:c>
      <x:c r="C160" s="11" t="str">
        <x:v>LB2102</x:v>
      </x:c>
      <x:c r="D160" s="11" t="str">
        <x:v>2042-12-31</x:v>
      </x:c>
      <x:c r="E160" s="11" t="n">
        <x:v>11.227926078028748</x:v>
      </x:c>
      <x:c r="F160" s="26" t="b">
        <x:v>1</x:v>
      </x:c>
      <x:c r="G160" s="16" t="n">
        <x:v>0.9750000000000001</x:v>
      </x:c>
      <x:c r="H160" s="16" t="n">
        <x:v>1.5</x:v>
      </x:c>
      <x:c r="I160" s="16" t="n">
        <x:v>1.75</x:v>
      </x:c>
      <x:c r="J160" s="11" t="n">
        <x:f>CHOOSE('假设'!$B$3,G160,H160,I160)</x:f>
        <x:v>1.5</x:v>
      </x:c>
      <x:c r="K160" s="11" t="n">
        <x:f>J160*'SOTP管线参数'!E43*'SOTP管线参数'!F43*'SOTP管线参数'!G43</x:f>
        <x:v>0.021600000000000005</x:v>
      </x:c>
      <x:c r="L160" s="11" t="n">
        <x:f>IF(F160,K160/(1+'SOTP管线参数'!H43)^E160,0)</x:f>
        <x:v>0.004497207088881943</x:v>
      </x:c>
    </x:row>
    <x:row r="161" ht="23" customHeight="1">
      <x:c r="A161" s="11" t="str">
        <x:v>01548.HK</x:v>
      </x:c>
      <x:c r="B161" s="11" t="str">
        <x:v>五年</x:v>
      </x:c>
      <x:c r="C161" s="11" t="str">
        <x:v>LB2102</x:v>
      </x:c>
      <x:c r="D161" s="11" t="str">
        <x:v>2043-12-31</x:v>
      </x:c>
      <x:c r="E161" s="11" t="n">
        <x:v>12.227241615331964</x:v>
      </x:c>
      <x:c r="F161" s="26" t="b">
        <x:v>1</x:v>
      </x:c>
      <x:c r="G161" s="16" t="n">
        <x:v>0.75</x:v>
      </x:c>
      <x:c r="H161" s="16" t="n">
        <x:v>1.0499999999999998</x:v>
      </x:c>
      <x:c r="I161" s="16" t="n">
        <x:v>1</x:v>
      </x:c>
      <x:c r="J161" s="11" t="n">
        <x:f>CHOOSE('假设'!$B$3,G161,H161,I161)</x:f>
        <x:v>1.0499999999999998</x:v>
      </x:c>
      <x:c r="K161" s="11" t="n">
        <x:f>J161*'SOTP管线参数'!E43*'SOTP管线参数'!F43*'SOTP管线参数'!G43</x:f>
        <x:v>0.015120000000000001</x:v>
      </x:c>
      <x:c r="L161" s="11" t="n">
        <x:f>IF(F161,K161/(1+'SOTP管线参数'!H43)^E161,0)</x:f>
        <x:v>0.002737692282072039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1" max="21" width="28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4" t="str">
        <x:v>授权产品逐年现金流 · USD十亿 · 简化模型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52" customHeight="1">
      <x:c r="A6" s="12" t="str">
        <x:v>代码</x:v>
      </x:c>
      <x:c r="B6" s="12" t="str">
        <x:v>期限</x:v>
      </x:c>
      <x:c r="C6" s="12" t="str">
        <x:v>适应症组</x:v>
      </x:c>
      <x:c r="D6" s="12" t="str">
        <x:v>销售年</x:v>
      </x:c>
      <x:c r="E6" s="12" t="str">
        <x:v>活动销售</x:v>
      </x:c>
      <x:c r="F6" s="12" t="str">
        <x:v>版税率</x:v>
      </x:c>
      <x:c r="G6" s="12" t="str">
        <x:v>税后率</x:v>
      </x:c>
      <x:c r="H6" s="12" t="str">
        <x:v>成功因子</x:v>
      </x:c>
      <x:c r="I6" s="12" t="str">
        <x:v>税后风险现金</x:v>
      </x:c>
      <x:c r="J6" s="12" t="str">
        <x:v>估值年</x:v>
      </x:c>
      <x:c r="K6" s="12" t="str">
        <x:v>折现间隔</x:v>
      </x:c>
      <x:c r="L6" s="12" t="str">
        <x:v>折现率</x:v>
      </x:c>
      <x:c r="M6" s="12" t="str">
        <x:v>现值</x:v>
      </x:c>
      <x:c r="N6" s="12" t="str">
        <x:v>现值CNY</x:v>
      </x:c>
      <x:c r="O6" s="12" t="str">
        <x:v>目标日后现金</x:v>
      </x:c>
      <x:c r="P6" s="12" t="str">
        <x:v>输入行</x:v>
      </x:c>
      <x:c r="Q6" s="12" t="str">
        <x:v>悲观销售</x:v>
      </x:c>
      <x:c r="R6" s="12" t="str">
        <x:v>基准销售</x:v>
      </x:c>
      <x:c r="S6" s="12" t="str">
        <x:v>乐观销售</x:v>
      </x:c>
      <x:c r="U6" t="str">
        <x:v>代码/期限</x:v>
      </x:c>
      <x:c r="V6" t="str">
        <x:v>本土盈利价值</x:v>
      </x:c>
      <x:c r="W6" t="str">
        <x:v>肺癌PV CNY</x:v>
      </x:c>
      <x:c r="X6" t="str">
        <x:v>其他PV CNY</x:v>
      </x:c>
      <x:c r="Y6" t="str">
        <x:v>净现金</x:v>
      </x:c>
      <x:c r="Z6" t="str">
        <x:v>研发储备</x:v>
      </x:c>
      <x:c r="AA6" t="str">
        <x:v>股东价值CNY</x:v>
      </x:c>
      <x:c r="AB6" t="str">
        <x:v>稀释股数</x:v>
      </x:c>
      <x:c r="AC6" t="str">
        <x:v>换算率</x:v>
      </x:c>
      <x:c r="AD6" t="str">
        <x:v>目标价HKD</x:v>
      </x:c>
      <x:c r="AE6" t="str">
        <x:v>里程碑PV CNY</x:v>
      </x:c>
      <x:c r="AF6" t="str">
        <x:v>代码</x:v>
      </x:c>
      <x:c r="AG6" t="str">
        <x:v>期限</x:v>
      </x:c>
      <x:c r="AH6" t="str">
        <x:v>现金日期</x:v>
      </x:c>
      <x:c r="AI6" t="str">
        <x:v>折现间隔</x:v>
      </x:c>
      <x:c r="AJ6" t="str">
        <x:v>活动USD金额</x:v>
      </x:c>
      <x:c r="AK6" t="str">
        <x:v>成功因子</x:v>
      </x:c>
      <x:c r="AL6" t="str">
        <x:v>税后比例</x:v>
      </x:c>
      <x:c r="AM6" t="str">
        <x:v>归母比例</x:v>
      </x:c>
      <x:c r="AN6" t="str">
        <x:v>计入</x:v>
      </x:c>
      <x:c r="AO6" t="str">
        <x:v>PV CNY十亿</x:v>
      </x:c>
    </x:row>
    <x:row r="7" ht="23" customHeight="1">
      <x:c r="A7" s="11" t="str">
        <x:v>01530.HK</x:v>
      </x:c>
      <x:c r="B7" s="11" t="str">
        <x:v>2026年底</x:v>
      </x:c>
      <x:c r="C7" s="11" t="str">
        <x:v>肺癌</x:v>
      </x:c>
      <x:c r="D7" s="11" t="n">
        <x:v>2028</x:v>
      </x:c>
      <x:c r="E7" s="11" t="n">
        <x:f>CHOOSE('假设'!$B$3,Q7,R7,S7)</x:f>
        <x:v>0</x:v>
      </x:c>
      <x:c r="F7" s="11" t="n">
        <x:f>'药物假设'!K7</x:f>
        <x:v>0.15</x:v>
      </x:c>
      <x:c r="G7" s="11" t="n">
        <x:f>1-'药物假设'!L7</x:f>
        <x:v>0.78</x:v>
      </x:c>
      <x:c r="H7" s="11" t="n">
        <x:f>'药物假设'!I7</x:f>
        <x:v>0.35</x:v>
      </x:c>
      <x:c r="I7" s="11" t="n">
        <x:f>E7*F7*G7*H7*'药物假设'!Q7</x:f>
        <x:v>0</x:v>
      </x:c>
      <x:c r="J7" s="11" t="str">
        <x:v>2026-12-31</x:v>
      </x:c>
      <x:c r="K7" s="11" t="n">
        <x:v>2.001368925393566</x:v>
      </x:c>
      <x:c r="L7" s="11" t="n">
        <x:f>'药物假设'!M7</x:f>
        <x:v>0.13</x:v>
      </x:c>
      <x:c r="M7" s="11" t="n">
        <x:f>IF(O7,I7/(1+L7)^K7,0)</x:f>
        <x:v>0</x:v>
      </x:c>
      <x:c r="N7" s="11" t="n">
        <x:f>M7*'药物假设'!N7</x:f>
        <x:v>0</x:v>
      </x:c>
      <x:c r="O7" s="26" t="b">
        <x:v>1</x:v>
      </x:c>
      <x:c r="P7" s="11" t="n">
        <x:f>7</x:f>
        <x:v>7</x:v>
      </x:c>
      <x:c r="Q7" s="16" t="n">
        <x:v>0</x:v>
      </x:c>
      <x:c r="R7" s="16" t="n">
        <x:v>0</x:v>
      </x:c>
      <x:c r="S7" s="16" t="n">
        <x:v>0.5</x:v>
      </x:c>
      <x:c r="U7" t="str">
        <x:v>01530.HK 2026年底</x:v>
      </x:c>
      <x:c r="V7" t="n">
        <x:f>'药物假设'!D7*'药物假设'!E7</x:f>
        <x:v>26.984999999999996</x:v>
      </x:c>
      <x:c r="W7" t="n">
        <x:f>SUM(N7:N22)</x:f>
        <x:v>4.186758934469649</x:v>
      </x:c>
      <x:c r="X7" t="n">
        <x:f>SUM(N23:N38)</x:f>
        <x:v>1.180892702151335</x:v>
      </x:c>
      <x:c r="Y7" t="n">
        <x:f>'药物假设'!F7</x:f>
        <x:v>11.8</x:v>
      </x:c>
      <x:c r="Z7" t="n">
        <x:f>'药物假设'!G7</x:f>
        <x:v>0</x:v>
      </x:c>
      <x:c r="AA7" t="n">
        <x:f>SUM(V7:Y7)-Z7+AE7</x:f>
        <x:v>48.01908609145366</x:v>
      </x:c>
      <x:c r="AB7" t="n">
        <x:f>'药物假设'!H7</x:f>
        <x:v>2.57</x:v>
      </x:c>
      <x:c r="AC7" t="n">
        <x:f>'药物假设'!P7</x:f>
        <x:v>1.1</x:v>
      </x:c>
      <x:c r="AD7" t="n">
        <x:f>AA7/AB7*AC7</x:f>
        <x:v>20.552916225914018</x:v>
      </x:c>
      <x:c r="AE7" t="n">
        <x:f>SUM(AO7:AO9)</x:f>
        <x:v>3.866434454832683</x:v>
      </x:c>
      <x:c r="AF7" t="str">
        <x:v>01530.HK</x:v>
      </x:c>
      <x:c r="AG7" t="str">
        <x:v>2026年底</x:v>
      </x:c>
      <x:c r="AH7" t="str">
        <x:v>2028-12-31</x:v>
      </x:c>
      <x:c r="AI7" t="n">
        <x:v>2.001368925393566</x:v>
      </x:c>
      <x:c r="AJ7" t="n">
        <x:f>CHOOSE('假设'!$B$3,AP7,AQ7,AR7)</x:f>
        <x:v>1.2</x:v>
      </x:c>
      <x:c r="AK7" t="n">
        <x:f>CHOOSE('假设'!$B$3,AS7,AT7,AU7)</x:f>
        <x:v>0.6</x:v>
      </x:c>
      <x:c r="AL7" t="n">
        <x:v>0.8</x:v>
      </x:c>
      <x:c r="AM7" t="n">
        <x:f>'药物假设'!Q7</x:f>
        <x:v>0.9</x:v>
      </x:c>
      <x:c r="AN7" s="27" t="b">
        <x:v>1</x:v>
      </x:c>
      <x:c r="AO7" t="n">
        <x:f>IF(AN7,AJ7*AK7*AL7*AM7*'药物假设'!N7/(1+'药物假设'!M7)^AI7,0)</x:f>
        <x:v>2.8414072580414387</x:v>
      </x:c>
      <x:c r="AP7" s="42" t="n">
        <x:v>0.1</x:v>
      </x:c>
      <x:c r="AQ7" s="42" t="n">
        <x:v>1.2</x:v>
      </x:c>
      <x:c r="AR7" s="42" t="n">
        <x:v>0.35</x:v>
      </x:c>
      <x:c r="AS7" s="42" t="n">
        <x:v>0.35</x:v>
      </x:c>
      <x:c r="AT7" s="42" t="n">
        <x:v>0.6</x:v>
      </x:c>
      <x:c r="AU7" s="42" t="n">
        <x:v>0.85</x:v>
      </x:c>
    </x:row>
    <x:row r="8" ht="23" customHeight="1">
      <x:c r="A8" s="11" t="str">
        <x:v>01530.HK</x:v>
      </x:c>
      <x:c r="B8" s="11" t="str">
        <x:v>2026年底</x:v>
      </x:c>
      <x:c r="C8" s="11" t="str">
        <x:v>肺癌</x:v>
      </x:c>
      <x:c r="D8" s="11" t="n">
        <x:v>2029</x:v>
      </x:c>
      <x:c r="E8" s="11" t="n">
        <x:f>CHOOSE('假设'!$B$3,Q8,R8,S8)</x:f>
        <x:v>0.30000000000000004</x:v>
      </x:c>
      <x:c r="F8" s="11" t="n">
        <x:f>'药物假设'!K7</x:f>
        <x:v>0.15</x:v>
      </x:c>
      <x:c r="G8" s="11" t="n">
        <x:f>1-'药物假设'!L7</x:f>
        <x:v>0.78</x:v>
      </x:c>
      <x:c r="H8" s="11" t="n">
        <x:f>'药物假设'!I7</x:f>
        <x:v>0.35</x:v>
      </x:c>
      <x:c r="I8" s="11" t="n">
        <x:f>E8*F8*G8*H8*'药物假设'!Q7</x:f>
        <x:v>0.0110565</x:v>
      </x:c>
      <x:c r="J8" s="11" t="str">
        <x:v>2026-12-31</x:v>
      </x:c>
      <x:c r="K8" s="11" t="n">
        <x:v>3.0006844626967832</x:v>
      </x:c>
      <x:c r="L8" s="11" t="n">
        <x:f>'药物假设'!M7</x:f>
        <x:v>0.13</x:v>
      </x:c>
      <x:c r="M8" s="11" t="n">
        <x:f>IF(O8,I8/(1+L8)^K8,0)</x:f>
        <x:v>0.007662068134282597</x:v>
      </x:c>
      <x:c r="N8" s="11" t="n">
        <x:f>M8*'药物假设'!N7</x:f>
        <x:v>0.05363447693997818</x:v>
      </x:c>
      <x:c r="O8" s="26" t="b">
        <x:v>1</x:v>
      </x:c>
      <x:c r="P8" s="11" t="n">
        <x:f>7</x:f>
        <x:v>7</x:v>
      </x:c>
      <x:c r="Q8" s="16" t="n">
        <x:v>0</x:v>
      </x:c>
      <x:c r="R8" s="16" t="n">
        <x:v>0.30000000000000004</x:v>
      </x:c>
      <x:c r="S8" s="16" t="n">
        <x:v>1.5</x:v>
      </x:c>
      <x:c r="U8" t="str">
        <x:v>01530.HK 半年</x:v>
      </x:c>
      <x:c r="V8" t="n">
        <x:f>'药物假设'!D11*'药物假设'!E11</x:f>
        <x:v>28.783999999999995</x:v>
      </x:c>
      <x:c r="W8" t="n">
        <x:f>SUM(N39:N54)</x:f>
        <x:v>4.327775467567901</x:v>
      </x:c>
      <x:c r="X8" t="n">
        <x:f>SUM(N55:N70)</x:f>
        <x:v>1.2206669995075552</x:v>
      </x:c>
      <x:c r="Y8" t="n">
        <x:f>'药物假设'!F11</x:f>
        <x:v>12</x:v>
      </x:c>
      <x:c r="Z8" t="n">
        <x:f>'药物假设'!G11</x:f>
        <x:v>0</x:v>
      </x:c>
      <x:c r="AA8" t="n">
        <x:f>SUM(V8:Y8)-Z8+AE8</x:f>
        <x:v>47.881512546062005</x:v>
      </x:c>
      <x:c r="AB8" t="n">
        <x:f>'药物假设'!H11</x:f>
        <x:v>2.57</x:v>
      </x:c>
      <x:c r="AC8" t="n">
        <x:f>'药物假设'!P11</x:f>
        <x:v>1.1</x:v>
      </x:c>
      <x:c r="AD8" t="n">
        <x:f>AA8/AB8*AC8</x:f>
        <x:v>20.494032607263897</x:v>
      </x:c>
      <x:c r="AE8" t="n">
        <x:f>SUM(AO10:AO12)</x:f>
        <x:v>1.5490700789865546</x:v>
      </x:c>
      <x:c r="AF8" t="str">
        <x:v>01530.HK</x:v>
      </x:c>
      <x:c r="AG8" t="str">
        <x:v>2026年底</x:v>
      </x:c>
      <x:c r="AH8" t="str">
        <x:v>2030-12-31</x:v>
      </x:c>
      <x:c r="AI8" t="n">
        <x:v>4</x:v>
      </x:c>
      <x:c r="AJ8" t="n">
        <x:f>CHOOSE('假设'!$B$3,AP8,AQ8,AR8)</x:f>
        <x:v>0.5</x:v>
      </x:c>
      <x:c r="AK8" t="n">
        <x:f>CHOOSE('假设'!$B$3,AS8,AT8,AU8)</x:f>
        <x:v>0.35</x:v>
      </x:c>
      <x:c r="AL8" t="n">
        <x:v>0.8</x:v>
      </x:c>
      <x:c r="AM8" t="n">
        <x:f>'药物假设'!Q7</x:f>
        <x:v>0.9</x:v>
      </x:c>
      <x:c r="AN8" s="27" t="b">
        <x:v>1</x:v>
      </x:c>
      <x:c r="AO8" t="n">
        <x:f>IF(AN8,AJ8*AK8*AL8*AM8*'药物假设'!N7/(1+'药物假设'!M7)^AI8,0)</x:f>
        <x:v>0.5409471178132103</x:v>
      </x:c>
      <x:c r="AP8" s="42" t="n">
        <x:v>0.15</x:v>
      </x:c>
      <x:c r="AQ8" s="42" t="n">
        <x:v>0.5</x:v>
      </x:c>
      <x:c r="AR8" s="42" t="n">
        <x:v>0.9</x:v>
      </x:c>
      <x:c r="AS8" s="42" t="n">
        <x:v>0.12</x:v>
      </x:c>
      <x:c r="AT8" s="42" t="n">
        <x:v>0.35</x:v>
      </x:c>
      <x:c r="AU8" s="42" t="n">
        <x:v>0.65</x:v>
      </x:c>
    </x:row>
    <x:row r="9" ht="23" customHeight="1">
      <x:c r="A9" s="11" t="str">
        <x:v>01530.HK</x:v>
      </x:c>
      <x:c r="B9" s="11" t="str">
        <x:v>2026年底</x:v>
      </x:c>
      <x:c r="C9" s="11" t="str">
        <x:v>肺癌</x:v>
      </x:c>
      <x:c r="D9" s="11" t="n">
        <x:v>2030</x:v>
      </x:c>
      <x:c r="E9" s="11" t="n">
        <x:f>CHOOSE('假设'!$B$3,Q9,R9,S9)</x:f>
        <x:v>0.8999999999999999</x:v>
      </x:c>
      <x:c r="F9" s="11" t="n">
        <x:f>'药物假设'!K7</x:f>
        <x:v>0.15</x:v>
      </x:c>
      <x:c r="G9" s="11" t="n">
        <x:f>1-'药物假设'!L7</x:f>
        <x:v>0.78</x:v>
      </x:c>
      <x:c r="H9" s="11" t="n">
        <x:f>'药物假设'!I7</x:f>
        <x:v>0.35</x:v>
      </x:c>
      <x:c r="I9" s="11" t="n">
        <x:f>E9*F9*G9*H9*'药物假设'!Q7</x:f>
        <x:v>0.03316949999999999</x:v>
      </x:c>
      <x:c r="J9" s="11" t="str">
        <x:v>2026-12-31</x:v>
      </x:c>
      <x:c r="K9" s="11" t="n">
        <x:v>4</x:v>
      </x:c>
      <x:c r="L9" s="11" t="n">
        <x:f>'药物假设'!M7</x:f>
        <x:v>0.13</x:v>
      </x:c>
      <x:c r="M9" s="11" t="n">
        <x:f>IF(O9,I9/(1+L9)^K9,0)</x:f>
        <x:v>0.020343475537761082</x:v>
      </x:c>
      <x:c r="N9" s="11" t="n">
        <x:f>M9*'药物假设'!N7</x:f>
        <x:v>0.14240432876432757</x:v>
      </x:c>
      <x:c r="O9" s="26" t="b">
        <x:v>1</x:v>
      </x:c>
      <x:c r="P9" s="11" t="n">
        <x:f>7</x:f>
        <x:v>7</x:v>
      </x:c>
      <x:c r="Q9" s="16" t="n">
        <x:v>0.15000000000000002</x:v>
      </x:c>
      <x:c r="R9" s="16" t="n">
        <x:v>0.8999999999999999</x:v>
      </x:c>
      <x:c r="S9" s="16" t="n">
        <x:v>3</x:v>
      </x:c>
      <x:c r="U9" t="str">
        <x:v>01530.HK 一年</x:v>
      </x:c>
      <x:c r="V9" t="n">
        <x:f>'药物假设'!D15*'药物假设'!E15</x:f>
        <x:v>38.896</x:v>
      </x:c>
      <x:c r="W9" t="n">
        <x:f>SUM(N71:N86)</x:f>
        <x:v>4.601065732541911</x:v>
      </x:c>
      <x:c r="X9" t="n">
        <x:f>SUM(N87:N102)</x:f>
        <x:v>1.2977496509159752</x:v>
      </x:c>
      <x:c r="Y9" t="n">
        <x:f>'药物假设'!F15</x:f>
        <x:v>12.8</x:v>
      </x:c>
      <x:c r="Z9" t="n">
        <x:f>'药物假设'!G15</x:f>
        <x:v>0</x:v>
      </x:c>
      <x:c r="AA9" t="n">
        <x:f>SUM(V9:Y9)-Z9+AE9</x:f>
        <x:v>59.24170610390841</x:v>
      </x:c>
      <x:c r="AB9" t="n">
        <x:f>'药物假设'!H15</x:f>
        <x:v>2.6</x:v>
      </x:c>
      <x:c r="AC9" t="n">
        <x:f>'药物假设'!P15</x:f>
        <x:v>1.1</x:v>
      </x:c>
      <x:c r="AD9" t="n">
        <x:f>AA9/AB9*AC9</x:f>
        <x:v>25.063798736268943</x:v>
      </x:c>
      <x:c r="AE9" t="n">
        <x:f>SUM(AO13:AO15)</x:f>
        <x:v>1.6468907204505288</x:v>
      </x:c>
      <x:c r="AF9" t="str">
        <x:v>01530.HK</x:v>
      </x:c>
      <x:c r="AG9" t="str">
        <x:v>2026年底</x:v>
      </x:c>
      <x:c r="AH9" t="str">
        <x:v>2032-12-31</x:v>
      </x:c>
      <x:c r="AI9" t="n">
        <x:v>6.0013689253935665</x:v>
      </x:c>
      <x:c r="AJ9" t="n">
        <x:f>CHOOSE('假设'!$B$3,AP9,AQ9,AR9)</x:f>
        <x:v>0.8</x:v>
      </x:c>
      <x:c r="AK9" t="n">
        <x:f>CHOOSE('假设'!$B$3,AS9,AT9,AU9)</x:f>
        <x:v>0.25</x:v>
      </x:c>
      <x:c r="AL9" t="n">
        <x:v>0.8</x:v>
      </x:c>
      <x:c r="AM9" t="n">
        <x:f>'药物假设'!Q7</x:f>
        <x:v>0.9</x:v>
      </x:c>
      <x:c r="AN9" s="27" t="b">
        <x:v>1</x:v>
      </x:c>
      <x:c r="AO9" t="n">
        <x:f>IF(AN9,AJ9*AK9*AL9*AM9*'药物假设'!N7/(1+'药物假设'!M7)^AI9,0)</x:f>
        <x:v>0.4840800789780339</x:v>
      </x:c>
      <x:c r="AP9" s="42" t="n">
        <x:v>0.25</x:v>
      </x:c>
      <x:c r="AQ9" s="42" t="n">
        <x:v>0.8</x:v>
      </x:c>
      <x:c r="AR9" s="42" t="n">
        <x:v>1.5</x:v>
      </x:c>
      <x:c r="AS9" s="42" t="n">
        <x:v>0.08</x:v>
      </x:c>
      <x:c r="AT9" s="42" t="n">
        <x:v>0.25</x:v>
      </x:c>
      <x:c r="AU9" s="42" t="n">
        <x:v>0.55</x:v>
      </x:c>
    </x:row>
    <x:row r="10" ht="23" customHeight="1">
      <x:c r="A10" s="11" t="str">
        <x:v>01530.HK</x:v>
      </x:c>
      <x:c r="B10" s="11" t="str">
        <x:v>2026年底</x:v>
      </x:c>
      <x:c r="C10" s="11" t="str">
        <x:v>肺癌</x:v>
      </x:c>
      <x:c r="D10" s="11" t="n">
        <x:v>2031</x:v>
      </x:c>
      <x:c r="E10" s="11" t="n">
        <x:f>CHOOSE('假设'!$B$3,Q10,R10,S10)</x:f>
        <x:v>1.7999999999999998</x:v>
      </x:c>
      <x:c r="F10" s="11" t="n">
        <x:f>'药物假设'!K7</x:f>
        <x:v>0.15</x:v>
      </x:c>
      <x:c r="G10" s="11" t="n">
        <x:f>1-'药物假设'!L7</x:f>
        <x:v>0.78</x:v>
      </x:c>
      <x:c r="H10" s="11" t="n">
        <x:f>'药物假设'!I7</x:f>
        <x:v>0.35</x:v>
      </x:c>
      <x:c r="I10" s="11" t="n">
        <x:f>E10*F10*G10*H10*'药物假设'!Q7</x:f>
        <x:v>0.06633899999999998</x:v>
      </x:c>
      <x:c r="J10" s="11" t="str">
        <x:v>2026-12-31</x:v>
      </x:c>
      <x:c r="K10" s="11" t="n">
        <x:v>4.999315537303217</x:v>
      </x:c>
      <x:c r="L10" s="11" t="n">
        <x:f>'药物假设'!M7</x:f>
        <x:v>0.13</x:v>
      </x:c>
      <x:c r="M10" s="11" t="n">
        <x:f>IF(O10,I10/(1+L10)^K10,0)</x:f>
        <x:v>0.03600916355761723</x:v>
      </x:c>
      <x:c r="N10" s="11" t="n">
        <x:f>M10*'药物假设'!N7</x:f>
        <x:v>0.2520641449033206</x:v>
      </x:c>
      <x:c r="O10" s="26" t="b">
        <x:v>1</x:v>
      </x:c>
      <x:c r="P10" s="11" t="n">
        <x:f>7</x:f>
        <x:v>7</x:v>
      </x:c>
      <x:c r="Q10" s="16" t="n">
        <x:v>0.44999999999999996</x:v>
      </x:c>
      <x:c r="R10" s="16" t="n">
        <x:v>1.7999999999999998</x:v>
      </x:c>
      <x:c r="S10" s="16" t="n">
        <x:v>5</x:v>
      </x:c>
      <x:c r="U10" t="str">
        <x:v>01530.HK 三年</x:v>
      </x:c>
      <x:c r="V10" t="n">
        <x:f>'药物假设'!D19*'药物假设'!E19</x:f>
        <x:v>53.625600000000006</x:v>
      </x:c>
      <x:c r="W10" t="n">
        <x:f>SUM(N103:N118)</x:f>
        <x:v>5.876083860557447</x:v>
      </x:c>
      <x:c r="X10" t="n">
        <x:f>SUM(N119:N134)</x:f>
        <x:v>1.6573737960006334</x:v>
      </x:c>
      <x:c r="Y10" t="n">
        <x:f>'药物假设'!F19</x:f>
        <x:v>13.5</x:v>
      </x:c>
      <x:c r="Z10" t="n">
        <x:f>'药物假设'!G19</x:f>
        <x:v>0</x:v>
      </x:c>
      <x:c r="AA10" t="n">
        <x:f>SUM(V10:Y10)-Z10+AE10</x:f>
        <x:v>76.09767541840455</x:v>
      </x:c>
      <x:c r="AB10" t="n">
        <x:f>'药物假设'!H19</x:f>
        <x:v>2.66</x:v>
      </x:c>
      <x:c r="AC10" t="n">
        <x:f>'药物假设'!P19</x:f>
        <x:v>1.1</x:v>
      </x:c>
      <x:c r="AD10" t="n">
        <x:f>AA10/AB10*AC10</x:f>
        <x:v>31.4689635188891</x:v>
      </x:c>
      <x:c r="AE10" t="n">
        <x:f>SUM(AO16:AO18)</x:f>
        <x:v>1.4386177618464777</x:v>
      </x:c>
      <x:c r="AF10" t="str">
        <x:v>01530.HK</x:v>
      </x:c>
      <x:c r="AG10" t="str">
        <x:v>半年</x:v>
      </x:c>
      <x:c r="AH10" t="str">
        <x:v>2028-12-31</x:v>
      </x:c>
      <x:c r="AI10" t="n">
        <x:v>1.730321697467488</x:v>
      </x:c>
      <x:c r="AJ10" t="n">
        <x:f>CHOOSE('假设'!$B$3,AP10,AQ10,AR10)</x:f>
        <x:v>0.2</x:v>
      </x:c>
      <x:c r="AK10" t="n">
        <x:f>CHOOSE('假设'!$B$3,AS10,AT10,AU10)</x:f>
        <x:v>0.6</x:v>
      </x:c>
      <x:c r="AL10" t="n">
        <x:v>0.8</x:v>
      </x:c>
      <x:c r="AM10" t="n">
        <x:f>'药物假设'!Q11</x:f>
        <x:v>0.9</x:v>
      </x:c>
      <x:c r="AN10" s="27" t="b">
        <x:v>1</x:v>
      </x:c>
      <x:c r="AO10" t="n">
        <x:f>IF(AN10,AJ10*AK10*AL10*AM10*'药物假设'!N11/(1+'药物假设'!M11)^AI10,0)</x:f>
        <x:v>0.48951837675200083</x:v>
      </x:c>
      <x:c r="AP10" s="42" t="n">
        <x:v>0.1</x:v>
      </x:c>
      <x:c r="AQ10" s="42" t="n">
        <x:v>0.2</x:v>
      </x:c>
      <x:c r="AR10" s="42" t="n">
        <x:v>0.35</x:v>
      </x:c>
      <x:c r="AS10" s="42" t="n">
        <x:v>0.35</x:v>
      </x:c>
      <x:c r="AT10" s="42" t="n">
        <x:v>0.6</x:v>
      </x:c>
      <x:c r="AU10" s="42" t="n">
        <x:v>0.85</x:v>
      </x:c>
    </x:row>
    <x:row r="11" ht="23" customHeight="1">
      <x:c r="A11" s="11" t="str">
        <x:v>01530.HK</x:v>
      </x:c>
      <x:c r="B11" s="11" t="str">
        <x:v>2026年底</x:v>
      </x:c>
      <x:c r="C11" s="11" t="str">
        <x:v>肺癌</x:v>
      </x:c>
      <x:c r="D11" s="11" t="n">
        <x:v>2032</x:v>
      </x:c>
      <x:c r="E11" s="11" t="n">
        <x:f>CHOOSE('假设'!$B$3,Q11,R11,S11)</x:f>
        <x:v>3</x:v>
      </x:c>
      <x:c r="F11" s="11" t="n">
        <x:f>'药物假设'!K7</x:f>
        <x:v>0.15</x:v>
      </x:c>
      <x:c r="G11" s="11" t="n">
        <x:f>1-'药物假设'!L7</x:f>
        <x:v>0.78</x:v>
      </x:c>
      <x:c r="H11" s="11" t="n">
        <x:f>'药物假设'!I7</x:f>
        <x:v>0.35</x:v>
      </x:c>
      <x:c r="I11" s="11" t="n">
        <x:f>E11*F11*G11*H11*'药物假设'!Q7</x:f>
        <x:v>0.110565</x:v>
      </x:c>
      <x:c r="J11" s="11" t="str">
        <x:v>2026-12-31</x:v>
      </x:c>
      <x:c r="K11" s="11" t="n">
        <x:v>6.0013689253935665</x:v>
      </x:c>
      <x:c r="L11" s="11" t="n">
        <x:f>'药物假设'!M7</x:f>
        <x:v>0.13</x:v>
      </x:c>
      <x:c r="M11" s="11" t="n">
        <x:f>IF(O11,I11/(1+L11)^K11,0)</x:f>
        <x:v>0.05309753366290308</x:v>
      </x:c>
      <x:c r="N11" s="11" t="n">
        <x:f>M11*'药物假设'!N7</x:f>
        <x:v>0.37168273564032156</x:v>
      </x:c>
      <x:c r="O11" s="26" t="b">
        <x:v>1</x:v>
      </x:c>
      <x:c r="P11" s="11" t="n">
        <x:f>7</x:f>
        <x:v>7</x:v>
      </x:c>
      <x:c r="Q11" s="16" t="n">
        <x:v>0.8999999999999999</x:v>
      </x:c>
      <x:c r="R11" s="16" t="n">
        <x:v>3</x:v>
      </x:c>
      <x:c r="S11" s="16" t="n">
        <x:v>7</x:v>
      </x:c>
      <x:c r="U11" t="str">
        <x:v>01530.HK 五年</x:v>
      </x:c>
      <x:c r="V11" t="n">
        <x:f>'药物假设'!D23*'药物假设'!E23</x:f>
        <x:v>70.89</x:v>
      </x:c>
      <x:c r="W11" t="n">
        <x:f>SUM(N135:N150)</x:f>
        <x:v>7.150650102111592</x:v>
      </x:c>
      <x:c r="X11" t="n">
        <x:f>SUM(N151:N166)</x:f>
        <x:v>2.0430428863175982</x:v>
      </x:c>
      <x:c r="Y11" t="n">
        <x:f>'药物假设'!F23</x:f>
        <x:v>15</x:v>
      </x:c>
      <x:c r="Z11" t="n">
        <x:f>'药物假设'!G23</x:f>
        <x:v>0</x:v>
      </x:c>
      <x:c r="AA11" t="n">
        <x:f>SUM(V11:Y11)-Z11+AE11</x:f>
        <x:v>95.95107710820844</x:v>
      </x:c>
      <x:c r="AB11" t="n">
        <x:f>'药物假设'!H23</x:f>
        <x:v>2.78</x:v>
      </x:c>
      <x:c r="AC11" t="n">
        <x:f>'药物假设'!P23</x:f>
        <x:v>1.1</x:v>
      </x:c>
      <x:c r="AD11" t="n">
        <x:f>AA11/AB11*AC11</x:f>
        <x:v>37.96625353202493</x:v>
      </x:c>
      <x:c r="AE11" t="n">
        <x:f>SUM(AO19:AO21)</x:f>
        <x:v>0.8673841197792509</x:v>
      </x:c>
      <x:c r="AF11" t="str">
        <x:v>01530.HK</x:v>
      </x:c>
      <x:c r="AG11" t="str">
        <x:v>半年</x:v>
      </x:c>
      <x:c r="AH11" t="str">
        <x:v>2030-12-31</x:v>
      </x:c>
      <x:c r="AI11" t="n">
        <x:v>3.728952772073922</x:v>
      </x:c>
      <x:c r="AJ11" t="n">
        <x:f>CHOOSE('假设'!$B$3,AP11,AQ11,AR11)</x:f>
        <x:v>0.5</x:v>
      </x:c>
      <x:c r="AK11" t="n">
        <x:f>CHOOSE('假设'!$B$3,AS11,AT11,AU11)</x:f>
        <x:v>0.35</x:v>
      </x:c>
      <x:c r="AL11" t="n">
        <x:v>0.8</x:v>
      </x:c>
      <x:c r="AM11" t="n">
        <x:f>'药物假设'!Q11</x:f>
        <x:v>0.9</x:v>
      </x:c>
      <x:c r="AN11" s="27" t="b">
        <x:v>1</x:v>
      </x:c>
      <x:c r="AO11" t="n">
        <x:f>IF(AN11,AJ11*AK11*AL11*AM11*'药物假设'!N11/(1+'药物假设'!M11)^AI11,0)</x:f>
        <x:v>0.5591670555592018</x:v>
      </x:c>
      <x:c r="AP11" s="42" t="n">
        <x:v>0.15</x:v>
      </x:c>
      <x:c r="AQ11" s="42" t="n">
        <x:v>0.5</x:v>
      </x:c>
      <x:c r="AR11" s="42" t="n">
        <x:v>0.9</x:v>
      </x:c>
      <x:c r="AS11" s="42" t="n">
        <x:v>0.12</x:v>
      </x:c>
      <x:c r="AT11" s="42" t="n">
        <x:v>0.35</x:v>
      </x:c>
      <x:c r="AU11" s="42" t="n">
        <x:v>0.65</x:v>
      </x:c>
    </x:row>
    <x:row r="12" ht="23" customHeight="1">
      <x:c r="A12" s="11" t="str">
        <x:v>01530.HK</x:v>
      </x:c>
      <x:c r="B12" s="11" t="str">
        <x:v>2026年底</x:v>
      </x:c>
      <x:c r="C12" s="11" t="str">
        <x:v>肺癌</x:v>
      </x:c>
      <x:c r="D12" s="11" t="n">
        <x:v>2033</x:v>
      </x:c>
      <x:c r="E12" s="11" t="n">
        <x:f>CHOOSE('假设'!$B$3,Q12,R12,S12)</x:f>
        <x:v>4.199999999999999</x:v>
      </x:c>
      <x:c r="F12" s="11" t="n">
        <x:f>'药物假设'!K7</x:f>
        <x:v>0.15</x:v>
      </x:c>
      <x:c r="G12" s="11" t="n">
        <x:f>1-'药物假设'!L7</x:f>
        <x:v>0.78</x:v>
      </x:c>
      <x:c r="H12" s="11" t="n">
        <x:f>'药物假设'!I7</x:f>
        <x:v>0.35</x:v>
      </x:c>
      <x:c r="I12" s="11" t="n">
        <x:f>E12*F12*G12*H12*'药物假设'!Q7</x:f>
        <x:v>0.15479099999999998</x:v>
      </x:c>
      <x:c r="J12" s="11" t="str">
        <x:v>2026-12-31</x:v>
      </x:c>
      <x:c r="K12" s="11" t="n">
        <x:v>7.000684462696783</x:v>
      </x:c>
      <x:c r="L12" s="11" t="n">
        <x:f>'药物假设'!M7</x:f>
        <x:v>0.13</x:v>
      </x:c>
      <x:c r="M12" s="11" t="n">
        <x:f>IF(O12,I12/(1+L12)^K12,0)</x:f>
        <x:v>0.06579005831315259</x:v>
      </x:c>
      <x:c r="N12" s="11" t="n">
        <x:f>M12*'药物假设'!N7</x:f>
        <x:v>0.4605304081920681</x:v>
      </x:c>
      <x:c r="O12" s="26" t="b">
        <x:v>1</x:v>
      </x:c>
      <x:c r="P12" s="11" t="n">
        <x:f>7</x:f>
        <x:v>7</x:v>
      </x:c>
      <x:c r="Q12" s="16" t="n">
        <x:v>1.5</x:v>
      </x:c>
      <x:c r="R12" s="16" t="n">
        <x:v>4.199999999999999</x:v>
      </x:c>
      <x:c r="S12" s="16" t="n">
        <x:v>9</x:v>
      </x:c>
      <x:c r="U12" t="str">
        <x:v>09926.HK 2026年底</x:v>
      </x:c>
      <x:c r="V12" t="n">
        <x:f>'药物假设'!D27*'药物假设'!E27</x:f>
        <x:v>31.5</x:v>
      </x:c>
      <x:c r="W12" t="n">
        <x:f>SUM(N167:N182)</x:f>
        <x:v>20.397062310397587</x:v>
      </x:c>
      <x:c r="X12" t="n">
        <x:f>SUM(N183:N198)</x:f>
        <x:v>2.4574797449856343</x:v>
      </x:c>
      <x:c r="Y12" t="n">
        <x:f>'药物假设'!F27</x:f>
        <x:v>3.4</x:v>
      </x:c>
      <x:c r="Z12" t="n">
        <x:f>'药物假设'!G27</x:f>
        <x:v>1.5</x:v>
      </x:c>
      <x:c r="AA12" t="n">
        <x:f>SUM(V12:Y12)-Z12</x:f>
        <x:v>56.25454205538322</x:v>
      </x:c>
      <x:c r="AB12" t="n">
        <x:f>'药物假设'!H27</x:f>
        <x:v>0.95</x:v>
      </x:c>
      <x:c r="AC12" t="n">
        <x:f>'药物假设'!P27</x:f>
        <x:v>1.1</x:v>
      </x:c>
      <x:c r="AD12" t="n">
        <x:f>AA12/AB12*AC12</x:f>
        <x:v>65.1368381693911</x:v>
      </x:c>
      <x:c r="AF12" t="str">
        <x:v>01530.HK</x:v>
      </x:c>
      <x:c r="AG12" t="str">
        <x:v>半年</x:v>
      </x:c>
      <x:c r="AH12" t="str">
        <x:v>2032-12-31</x:v>
      </x:c>
      <x:c r="AI12" t="n">
        <x:v>5.730321697467488</x:v>
      </x:c>
      <x:c r="AJ12" t="n">
        <x:f>CHOOSE('假设'!$B$3,AP12,AQ12,AR12)</x:f>
        <x:v>0.8</x:v>
      </x:c>
      <x:c r="AK12" t="n">
        <x:f>CHOOSE('假设'!$B$3,AS12,AT12,AU12)</x:f>
        <x:v>0.25</x:v>
      </x:c>
      <x:c r="AL12" t="n">
        <x:v>0.8</x:v>
      </x:c>
      <x:c r="AM12" t="n">
        <x:f>'药物假设'!Q11</x:f>
        <x:v>0.9</x:v>
      </x:c>
      <x:c r="AN12" s="27" t="b">
        <x:v>1</x:v>
      </x:c>
      <x:c r="AO12" t="n">
        <x:f>IF(AN12,AJ12*AK12*AL12*AM12*'药物假设'!N11/(1+'药物假设'!M11)^AI12,0)</x:f>
        <x:v>0.5003846466753518</x:v>
      </x:c>
      <x:c r="AP12" s="42" t="n">
        <x:v>0.25</x:v>
      </x:c>
      <x:c r="AQ12" s="42" t="n">
        <x:v>0.8</x:v>
      </x:c>
      <x:c r="AR12" s="42" t="n">
        <x:v>1.5</x:v>
      </x:c>
      <x:c r="AS12" s="42" t="n">
        <x:v>0.08</x:v>
      </x:c>
      <x:c r="AT12" s="42" t="n">
        <x:v>0.25</x:v>
      </x:c>
      <x:c r="AU12" s="42" t="n">
        <x:v>0.55</x:v>
      </x:c>
    </x:row>
    <x:row r="13" ht="23" customHeight="1">
      <x:c r="A13" s="11" t="str">
        <x:v>01530.HK</x:v>
      </x:c>
      <x:c r="B13" s="11" t="str">
        <x:v>2026年底</x:v>
      </x:c>
      <x:c r="C13" s="11" t="str">
        <x:v>肺癌</x:v>
      </x:c>
      <x:c r="D13" s="11" t="n">
        <x:v>2034</x:v>
      </x:c>
      <x:c r="E13" s="11" t="n">
        <x:f>CHOOSE('假设'!$B$3,Q13,R13,S13)</x:f>
        <x:v>5.4</x:v>
      </x:c>
      <x:c r="F13" s="11" t="n">
        <x:f>'药物假设'!K7</x:f>
        <x:v>0.15</x:v>
      </x:c>
      <x:c r="G13" s="11" t="n">
        <x:f>1-'药物假设'!L7</x:f>
        <x:v>0.78</x:v>
      </x:c>
      <x:c r="H13" s="11" t="n">
        <x:f>'药物假设'!I7</x:f>
        <x:v>0.35</x:v>
      </x:c>
      <x:c r="I13" s="11" t="n">
        <x:f>E13*F13*G13*H13*'药物假设'!Q7</x:f>
        <x:v>0.199017</x:v>
      </x:c>
      <x:c r="J13" s="11" t="str">
        <x:v>2026-12-31</x:v>
      </x:c>
      <x:c r="K13" s="11" t="n">
        <x:v>8</x:v>
      </x:c>
      <x:c r="L13" s="11" t="n">
        <x:f>'药物假设'!M7</x:f>
        <x:v>0.13</x:v>
      </x:c>
      <x:c r="M13" s="11" t="n">
        <x:f>IF(O13,I13/(1+L13)^K13,0)</x:f>
        <x:v>0.07486220720037694</x:v>
      </x:c>
      <x:c r="N13" s="11" t="n">
        <x:f>M13*'药物假设'!N7</x:f>
        <x:v>0.5240354504026385</x:v>
      </x:c>
      <x:c r="O13" s="26" t="b">
        <x:v>1</x:v>
      </x:c>
      <x:c r="P13" s="11" t="n">
        <x:f>7</x:f>
        <x:v>7</x:v>
      </x:c>
      <x:c r="Q13" s="16" t="n">
        <x:v>2.0999999999999996</x:v>
      </x:c>
      <x:c r="R13" s="16" t="n">
        <x:v>5.4</x:v>
      </x:c>
      <x:c r="S13" s="16" t="n">
        <x:v>10</x:v>
      </x:c>
      <x:c r="U13" t="str">
        <x:v>09926.HK 半年</x:v>
      </x:c>
      <x:c r="V13" t="n">
        <x:f>'药物假设'!D31*'药物假设'!E31</x:f>
        <x:v>33.6</x:v>
      </x:c>
      <x:c r="W13" t="n">
        <x:f>SUM(N199:N214)</x:f>
        <x:v>23.30104953649706</x:v>
      </x:c>
      <x:c r="X13" t="n">
        <x:f>SUM(N215:N230)</x:f>
        <x:v>3.0946913076744393</x:v>
      </x:c>
      <x:c r="Y13" t="n">
        <x:f>'药物假设'!F31</x:f>
        <x:v>3.4</x:v>
      </x:c>
      <x:c r="Z13" t="n">
        <x:f>'药物假设'!G31</x:f>
        <x:v>1.5</x:v>
      </x:c>
      <x:c r="AA13" t="n">
        <x:f>SUM(V13:Y13)-Z13</x:f>
        <x:v>61.8957408441715</x:v>
      </x:c>
      <x:c r="AB13" t="n">
        <x:f>'药物假设'!H31</x:f>
        <x:v>0.955</x:v>
      </x:c>
      <x:c r="AC13" t="n">
        <x:f>'药物假设'!P31</x:f>
        <x:v>1.1</x:v>
      </x:c>
      <x:c r="AD13" t="n">
        <x:f>AA13/AB13*AC13</x:f>
        <x:v>71.29352348543316</x:v>
      </x:c>
      <x:c r="AF13" t="str">
        <x:v>01530.HK</x:v>
      </x:c>
      <x:c r="AG13" t="str">
        <x:v>一年</x:v>
      </x:c>
      <x:c r="AH13" t="str">
        <x:v>2028-12-31</x:v>
      </x:c>
      <x:c r="AI13" t="n">
        <x:v>1.2292950034223136</x:v>
      </x:c>
      <x:c r="AJ13" t="n">
        <x:f>CHOOSE('假设'!$B$3,AP13,AQ13,AR13)</x:f>
        <x:v>0.2</x:v>
      </x:c>
      <x:c r="AK13" t="n">
        <x:f>CHOOSE('假设'!$B$3,AS13,AT13,AU13)</x:f>
        <x:v>0.6</x:v>
      </x:c>
      <x:c r="AL13" t="n">
        <x:v>0.8</x:v>
      </x:c>
      <x:c r="AM13" t="n">
        <x:f>'药物假设'!Q15</x:f>
        <x:v>0.9</x:v>
      </x:c>
      <x:c r="AN13" s="27" t="b">
        <x:v>1</x:v>
      </x:c>
      <x:c r="AO13" t="n">
        <x:f>IF(AN13,AJ13*AK13*AL13*AM13*'药物假设'!N15/(1+'药物假设'!M15)^AI13,0)</x:f>
        <x:v>0.5204304718675504</x:v>
      </x:c>
      <x:c r="AP13" s="42" t="n">
        <x:v>0.1</x:v>
      </x:c>
      <x:c r="AQ13" s="42" t="n">
        <x:v>0.2</x:v>
      </x:c>
      <x:c r="AR13" s="42" t="n">
        <x:v>0.35</x:v>
      </x:c>
      <x:c r="AS13" s="42" t="n">
        <x:v>0.35</x:v>
      </x:c>
      <x:c r="AT13" s="42" t="n">
        <x:v>0.6</x:v>
      </x:c>
      <x:c r="AU13" s="42" t="n">
        <x:v>0.85</x:v>
      </x:c>
    </x:row>
    <x:row r="14" ht="23" customHeight="1">
      <x:c r="A14" s="11" t="str">
        <x:v>01530.HK</x:v>
      </x:c>
      <x:c r="B14" s="11" t="str">
        <x:v>2026年底</x:v>
      </x:c>
      <x:c r="C14" s="11" t="str">
        <x:v>肺癌</x:v>
      </x:c>
      <x:c r="D14" s="11" t="n">
        <x:v>2035</x:v>
      </x:c>
      <x:c r="E14" s="11" t="n">
        <x:f>CHOOSE('假设'!$B$3,Q14,R14,S14)</x:f>
        <x:v>6</x:v>
      </x:c>
      <x:c r="F14" s="11" t="n">
        <x:f>'药物假设'!K7</x:f>
        <x:v>0.15</x:v>
      </x:c>
      <x:c r="G14" s="11" t="n">
        <x:f>1-'药物假设'!L7</x:f>
        <x:v>0.78</x:v>
      </x:c>
      <x:c r="H14" s="11" t="n">
        <x:f>'药物假设'!I7</x:f>
        <x:v>0.35</x:v>
      </x:c>
      <x:c r="I14" s="11" t="n">
        <x:f>E14*F14*G14*H14*'药物假设'!Q7</x:f>
        <x:v>0.22113</x:v>
      </x:c>
      <x:c r="J14" s="11" t="str">
        <x:v>2026-12-31</x:v>
      </x:c>
      <x:c r="K14" s="11" t="n">
        <x:v>8.999315537303216</x:v>
      </x:c>
      <x:c r="L14" s="11" t="n">
        <x:f>'药物假设'!M7</x:f>
        <x:v>0.13</x:v>
      </x:c>
      <x:c r="M14" s="11" t="n">
        <x:f>IF(O14,I14/(1+L14)^K14,0)</x:f>
        <x:v>0.07361698125985461</x:v>
      </x:c>
      <x:c r="N14" s="11" t="n">
        <x:f>M14*'药物假设'!N7</x:f>
        <x:v>0.5153188688189823</x:v>
      </x:c>
      <x:c r="O14" s="26" t="b">
        <x:v>1</x:v>
      </x:c>
      <x:c r="P14" s="11" t="n">
        <x:f>7</x:f>
        <x:v>7</x:v>
      </x:c>
      <x:c r="Q14" s="16" t="n">
        <x:v>2.7</x:v>
      </x:c>
      <x:c r="R14" s="16" t="n">
        <x:v>6</x:v>
      </x:c>
      <x:c r="S14" s="16" t="n">
        <x:v>10</x:v>
      </x:c>
      <x:c r="U14" t="str">
        <x:v>09926.HK 一年</x:v>
      </x:c>
      <x:c r="V14" t="n">
        <x:f>'药物假设'!D35*'药物假设'!E35</x:f>
        <x:v>44.95</x:v>
      </x:c>
      <x:c r="W14" t="n">
        <x:f>SUM(N231:N246)</x:f>
        <x:v>25.5748015437062</x:v>
      </x:c>
      <x:c r="X14" t="n">
        <x:f>SUM(N247:N262)</x:f>
        <x:v>4.076011215314797</x:v>
      </x:c>
      <x:c r="Y14" t="n">
        <x:f>'药物假设'!F35</x:f>
        <x:v>3.5</x:v>
      </x:c>
      <x:c r="Z14" t="n">
        <x:f>'药物假设'!G35</x:f>
        <x:v>1.5</x:v>
      </x:c>
      <x:c r="AA14" t="n">
        <x:f>SUM(V14:Y14)-Z14</x:f>
        <x:v>76.600812759021</x:v>
      </x:c>
      <x:c r="AB14" t="n">
        <x:f>'药物假设'!H35</x:f>
        <x:v>0.97</x:v>
      </x:c>
      <x:c r="AC14" t="n">
        <x:f>'药物假设'!P35</x:f>
        <x:v>1.1</x:v>
      </x:c>
      <x:c r="AD14" t="n">
        <x:f>AA14/AB14*AC14</x:f>
        <x:v>86.86690106693104</x:v>
      </x:c>
      <x:c r="AF14" t="str">
        <x:v>01530.HK</x:v>
      </x:c>
      <x:c r="AG14" t="str">
        <x:v>一年</x:v>
      </x:c>
      <x:c r="AH14" t="str">
        <x:v>2030-12-31</x:v>
      </x:c>
      <x:c r="AI14" t="n">
        <x:v>3.2279260780287475</x:v>
      </x:c>
      <x:c r="AJ14" t="n">
        <x:f>CHOOSE('假设'!$B$3,AP14,AQ14,AR14)</x:f>
        <x:v>0.5</x:v>
      </x:c>
      <x:c r="AK14" t="n">
        <x:f>CHOOSE('假设'!$B$3,AS14,AT14,AU14)</x:f>
        <x:v>0.35</x:v>
      </x:c>
      <x:c r="AL14" t="n">
        <x:v>0.8</x:v>
      </x:c>
      <x:c r="AM14" t="n">
        <x:f>'药物假设'!Q15</x:f>
        <x:v>0.9</x:v>
      </x:c>
      <x:c r="AN14" s="27" t="b">
        <x:v>1</x:v>
      </x:c>
      <x:c r="AO14" t="n">
        <x:f>IF(AN14,AJ14*AK14*AL14*AM14*'药物假设'!N15/(1+'药物假设'!M15)^AI14,0)</x:f>
        <x:v>0.5944773238306721</x:v>
      </x:c>
      <x:c r="AP14" s="42" t="n">
        <x:v>0.15</x:v>
      </x:c>
      <x:c r="AQ14" s="42" t="n">
        <x:v>0.5</x:v>
      </x:c>
      <x:c r="AR14" s="42" t="n">
        <x:v>0.9</x:v>
      </x:c>
      <x:c r="AS14" s="42" t="n">
        <x:v>0.12</x:v>
      </x:c>
      <x:c r="AT14" s="42" t="n">
        <x:v>0.35</x:v>
      </x:c>
      <x:c r="AU14" s="42" t="n">
        <x:v>0.65</x:v>
      </x:c>
    </x:row>
    <x:row r="15" ht="23" customHeight="1">
      <x:c r="A15" s="11" t="str">
        <x:v>01530.HK</x:v>
      </x:c>
      <x:c r="B15" s="11" t="str">
        <x:v>2026年底</x:v>
      </x:c>
      <x:c r="C15" s="11" t="str">
        <x:v>肺癌</x:v>
      </x:c>
      <x:c r="D15" s="11" t="n">
        <x:v>2036</x:v>
      </x:c>
      <x:c r="E15" s="11" t="n">
        <x:f>CHOOSE('假设'!$B$3,Q15,R15,S15)</x:f>
        <x:v>6</x:v>
      </x:c>
      <x:c r="F15" s="11" t="n">
        <x:f>'药物假设'!K7</x:f>
        <x:v>0.15</x:v>
      </x:c>
      <x:c r="G15" s="11" t="n">
        <x:f>1-'药物假设'!L7</x:f>
        <x:v>0.78</x:v>
      </x:c>
      <x:c r="H15" s="11" t="n">
        <x:f>'药物假设'!I7</x:f>
        <x:v>0.35</x:v>
      </x:c>
      <x:c r="I15" s="11" t="n">
        <x:f>E15*F15*G15*H15*'药物假设'!Q7</x:f>
        <x:v>0.22113</x:v>
      </x:c>
      <x:c r="J15" s="11" t="str">
        <x:v>2026-12-31</x:v>
      </x:c>
      <x:c r="K15" s="11" t="n">
        <x:v>10.001368925393566</x:v>
      </x:c>
      <x:c r="L15" s="11" t="n">
        <x:f>'药物假设'!M7</x:f>
        <x:v>0.13</x:v>
      </x:c>
      <x:c r="M15" s="11" t="n">
        <x:f>IF(O15,I15/(1+L15)^K15,0)</x:f>
        <x:v>0.06513142357808921</x:v>
      </x:c>
      <x:c r="N15" s="11" t="n">
        <x:f>M15*'药物假设'!N7</x:f>
        <x:v>0.45591996504662446</x:v>
      </x:c>
      <x:c r="O15" s="26" t="b">
        <x:v>1</x:v>
      </x:c>
      <x:c r="P15" s="11" t="n">
        <x:f>7</x:f>
        <x:v>7</x:v>
      </x:c>
      <x:c r="Q15" s="16" t="n">
        <x:v>3</x:v>
      </x:c>
      <x:c r="R15" s="16" t="n">
        <x:v>6</x:v>
      </x:c>
      <x:c r="S15" s="16" t="n">
        <x:v>9.5</x:v>
      </x:c>
      <x:c r="U15" t="str">
        <x:v>09926.HK 三年</x:v>
      </x:c>
      <x:c r="V15" t="n">
        <x:f>'药物假设'!D39*'药物假设'!E39</x:f>
        <x:v>67.5</x:v>
      </x:c>
      <x:c r="W15" t="n">
        <x:f>SUM(N263:N278)</x:f>
        <x:v>36.588685648541485</x:v>
      </x:c>
      <x:c r="X15" t="n">
        <x:f>SUM(N279:N294)</x:f>
        <x:v>7.175387036557684</x:v>
      </x:c>
      <x:c r="Y15" t="n">
        <x:f>'药物假设'!F39</x:f>
        <x:v>4</x:v>
      </x:c>
      <x:c r="Z15" t="n">
        <x:f>'药物假设'!G39</x:f>
        <x:v>1.6</x:v>
      </x:c>
      <x:c r="AA15" t="n">
        <x:f>SUM(V15:Y15)-Z15</x:f>
        <x:v>113.66407268509917</x:v>
      </x:c>
      <x:c r="AB15" t="n">
        <x:f>'药物假设'!H39</x:f>
        <x:v>1</x:v>
      </x:c>
      <x:c r="AC15" t="n">
        <x:f>'药物假设'!P39</x:f>
        <x:v>1.1</x:v>
      </x:c>
      <x:c r="AD15" t="n">
        <x:f>AA15/AB15*AC15</x:f>
        <x:v>125.0304799536091</x:v>
      </x:c>
      <x:c r="AF15" t="str">
        <x:v>01530.HK</x:v>
      </x:c>
      <x:c r="AG15" t="str">
        <x:v>一年</x:v>
      </x:c>
      <x:c r="AH15" t="str">
        <x:v>2032-12-31</x:v>
      </x:c>
      <x:c r="AI15" t="n">
        <x:v>5.229295003422314</x:v>
      </x:c>
      <x:c r="AJ15" t="n">
        <x:f>CHOOSE('假设'!$B$3,AP15,AQ15,AR15)</x:f>
        <x:v>0.8</x:v>
      </x:c>
      <x:c r="AK15" t="n">
        <x:f>CHOOSE('假设'!$B$3,AS15,AT15,AU15)</x:f>
        <x:v>0.25</x:v>
      </x:c>
      <x:c r="AL15" t="n">
        <x:v>0.8</x:v>
      </x:c>
      <x:c r="AM15" t="n">
        <x:f>'药物假设'!Q15</x:f>
        <x:v>0.9</x:v>
      </x:c>
      <x:c r="AN15" s="27" t="b">
        <x:v>1</x:v>
      </x:c>
      <x:c r="AO15" t="n">
        <x:f>IF(AN15,AJ15*AK15*AL15*AM15*'药物假设'!N15/(1+'药物假设'!M15)^AI15,0)</x:f>
        <x:v>0.5319829247523062</x:v>
      </x:c>
      <x:c r="AP15" s="42" t="n">
        <x:v>0.25</x:v>
      </x:c>
      <x:c r="AQ15" s="42" t="n">
        <x:v>0.8</x:v>
      </x:c>
      <x:c r="AR15" s="42" t="n">
        <x:v>1.5</x:v>
      </x:c>
      <x:c r="AS15" s="42" t="n">
        <x:v>0.08</x:v>
      </x:c>
      <x:c r="AT15" s="42" t="n">
        <x:v>0.25</x:v>
      </x:c>
      <x:c r="AU15" s="42" t="n">
        <x:v>0.55</x:v>
      </x:c>
    </x:row>
    <x:row r="16" ht="23" customHeight="1">
      <x:c r="A16" s="11" t="str">
        <x:v>01530.HK</x:v>
      </x:c>
      <x:c r="B16" s="11" t="str">
        <x:v>2026年底</x:v>
      </x:c>
      <x:c r="C16" s="11" t="str">
        <x:v>肺癌</x:v>
      </x:c>
      <x:c r="D16" s="11" t="n">
        <x:v>2037</x:v>
      </x:c>
      <x:c r="E16" s="11" t="n">
        <x:f>CHOOSE('假设'!$B$3,Q16,R16,S16)</x:f>
        <x:v>5.699999999999999</x:v>
      </x:c>
      <x:c r="F16" s="11" t="n">
        <x:f>'药物假设'!K7</x:f>
        <x:v>0.15</x:v>
      </x:c>
      <x:c r="G16" s="11" t="n">
        <x:f>1-'药物假设'!L7</x:f>
        <x:v>0.78</x:v>
      </x:c>
      <x:c r="H16" s="11" t="n">
        <x:f>'药物假设'!I7</x:f>
        <x:v>0.35</x:v>
      </x:c>
      <x:c r="I16" s="11" t="n">
        <x:f>E16*F16*G16*H16*'药物假设'!Q7</x:f>
        <x:v>0.21007349999999997</x:v>
      </x:c>
      <x:c r="J16" s="11" t="str">
        <x:v>2026-12-31</x:v>
      </x:c>
      <x:c r="K16" s="11" t="n">
        <x:v>11.000684462696784</x:v>
      </x:c>
      <x:c r="L16" s="11" t="n">
        <x:f>'药物假设'!M7</x:f>
        <x:v>0.13</x:v>
      </x:c>
      <x:c r="M16" s="11" t="n">
        <x:f>IF(O16,I16/(1+L16)^K16,0)</x:f>
        <x:v>0.05476108730806572</x:v>
      </x:c>
      <x:c r="N16" s="11" t="n">
        <x:f>M16*'药物假设'!N7</x:f>
        <x:v>0.38332761115646</x:v>
      </x:c>
      <x:c r="O16" s="26" t="b">
        <x:v>1</x:v>
      </x:c>
      <x:c r="P16" s="11" t="n">
        <x:f>7</x:f>
        <x:v>7</x:v>
      </x:c>
      <x:c r="Q16" s="16" t="n">
        <x:v>3</x:v>
      </x:c>
      <x:c r="R16" s="16" t="n">
        <x:v>5.699999999999999</x:v>
      </x:c>
      <x:c r="S16" s="16" t="n">
        <x:v>9</x:v>
      </x:c>
      <x:c r="U16" t="str">
        <x:v>09926.HK 五年</x:v>
      </x:c>
      <x:c r="V16" t="n">
        <x:f>'药物假设'!D43*'药物假设'!E43</x:f>
        <x:v>85.8</x:v>
      </x:c>
      <x:c r="W16" t="n">
        <x:f>SUM(N295:N310)</x:f>
        <x:v>44.22691840897034</x:v>
      </x:c>
      <x:c r="X16" t="n">
        <x:f>SUM(N311:N326)</x:f>
        <x:v>10.448233237691129</x:v>
      </x:c>
      <x:c r="Y16" t="n">
        <x:f>'药物假设'!F43</x:f>
        <x:v>6</x:v>
      </x:c>
      <x:c r="Z16" t="n">
        <x:f>'药物假设'!G43</x:f>
        <x:v>1.8</x:v>
      </x:c>
      <x:c r="AA16" t="n">
        <x:f>SUM(V16:Y16)-Z16</x:f>
        <x:v>144.67515164666148</x:v>
      </x:c>
      <x:c r="AB16" t="n">
        <x:f>'药物假设'!H43</x:f>
        <x:v>1.04</x:v>
      </x:c>
      <x:c r="AC16" t="n">
        <x:f>'药物假设'!P43</x:f>
        <x:v>1.1</x:v>
      </x:c>
      <x:c r="AD16" t="n">
        <x:f>AA16/AB16*AC16</x:f>
        <x:v>153.02179501089194</x:v>
      </x:c>
      <x:c r="AF16" t="str">
        <x:v>01530.HK</x:v>
      </x:c>
      <x:c r="AG16" t="str">
        <x:v>三年</x:v>
      </x:c>
      <x:c r="AH16" t="str">
        <x:v>2028-12-31</x:v>
      </x:c>
      <x:c r="AI16" t="n">
        <x:v>-0.7720739219712526</x:v>
      </x:c>
      <x:c r="AJ16" t="n">
        <x:f>CHOOSE('假设'!$B$3,AP16,AQ16,AR16)</x:f>
        <x:v>0.2</x:v>
      </x:c>
      <x:c r="AK16" t="n">
        <x:f>CHOOSE('假设'!$B$3,AS16,AT16,AU16)</x:f>
        <x:v>0.6</x:v>
      </x:c>
      <x:c r="AL16" t="n">
        <x:v>0.8</x:v>
      </x:c>
      <x:c r="AM16" t="n">
        <x:f>'药物假设'!Q19</x:f>
        <x:v>0.9</x:v>
      </x:c>
      <x:c r="AN16" s="27" t="b">
        <x:v>0</x:v>
      </x:c>
      <x:c r="AO16" t="n">
        <x:f>IF(AN16,AJ16*AK16*AL16*AM16*'药物假设'!N19/(1+'药物假设'!M19)^AI16,0)</x:f>
        <x:v>0</x:v>
      </x:c>
      <x:c r="AP16" s="42" t="n">
        <x:v>0.1</x:v>
      </x:c>
      <x:c r="AQ16" s="42" t="n">
        <x:v>0.2</x:v>
      </x:c>
      <x:c r="AR16" s="42" t="n">
        <x:v>0.35</x:v>
      </x:c>
      <x:c r="AS16" s="42" t="n">
        <x:v>0.35</x:v>
      </x:c>
      <x:c r="AT16" s="42" t="n">
        <x:v>0.6</x:v>
      </x:c>
      <x:c r="AU16" s="42" t="n">
        <x:v>0.85</x:v>
      </x:c>
    </x:row>
    <x:row r="17" ht="23" customHeight="1">
      <x:c r="A17" s="11" t="str">
        <x:v>01530.HK</x:v>
      </x:c>
      <x:c r="B17" s="11" t="str">
        <x:v>2026年底</x:v>
      </x:c>
      <x:c r="C17" s="11" t="str">
        <x:v>肺癌</x:v>
      </x:c>
      <x:c r="D17" s="11" t="n">
        <x:v>2038</x:v>
      </x:c>
      <x:c r="E17" s="11" t="n">
        <x:f>CHOOSE('假设'!$B$3,Q17,R17,S17)</x:f>
        <x:v>5.4</x:v>
      </x:c>
      <x:c r="F17" s="11" t="n">
        <x:f>'药物假设'!K7</x:f>
        <x:v>0.15</x:v>
      </x:c>
      <x:c r="G17" s="11" t="n">
        <x:f>1-'药物假设'!L7</x:f>
        <x:v>0.78</x:v>
      </x:c>
      <x:c r="H17" s="11" t="n">
        <x:f>'药物假设'!I7</x:f>
        <x:v>0.35</x:v>
      </x:c>
      <x:c r="I17" s="11" t="n">
        <x:f>E17*F17*G17*H17*'药物假设'!Q7</x:f>
        <x:v>0.199017</x:v>
      </x:c>
      <x:c r="J17" s="11" t="str">
        <x:v>2026-12-31</x:v>
      </x:c>
      <x:c r="K17" s="11" t="n">
        <x:v>12</x:v>
      </x:c>
      <x:c r="L17" s="11" t="n">
        <x:f>'药物假设'!M7</x:f>
        <x:v>0.13</x:v>
      </x:c>
      <x:c r="M17" s="11" t="n">
        <x:f>IF(O17,I17/(1+L17)^K17,0)</x:f>
        <x:v>0.04591439367140506</x:v>
      </x:c>
      <x:c r="N17" s="11" t="n">
        <x:f>M17*'药物假设'!N7</x:f>
        <x:v>0.32140075569983545</x:v>
      </x:c>
      <x:c r="O17" s="26" t="b">
        <x:v>1</x:v>
      </x:c>
      <x:c r="P17" s="11" t="n">
        <x:f>7</x:f>
        <x:v>7</x:v>
      </x:c>
      <x:c r="Q17" s="16" t="n">
        <x:v>2.8499999999999996</x:v>
      </x:c>
      <x:c r="R17" s="16" t="n">
        <x:v>5.4</x:v>
      </x:c>
      <x:c r="S17" s="16" t="n">
        <x:v>8.2</x:v>
      </x:c>
      <x:c r="AF17" t="str">
        <x:v>01530.HK</x:v>
      </x:c>
      <x:c r="AG17" t="str">
        <x:v>三年</x:v>
      </x:c>
      <x:c r="AH17" t="str">
        <x:v>2030-12-31</x:v>
      </x:c>
      <x:c r="AI17" t="n">
        <x:v>1.2265571526351813</x:v>
      </x:c>
      <x:c r="AJ17" t="n">
        <x:f>CHOOSE('假设'!$B$3,AP17,AQ17,AR17)</x:f>
        <x:v>0.5</x:v>
      </x:c>
      <x:c r="AK17" t="n">
        <x:f>CHOOSE('假设'!$B$3,AS17,AT17,AU17)</x:f>
        <x:v>0.35</x:v>
      </x:c>
      <x:c r="AL17" t="n">
        <x:v>0.8</x:v>
      </x:c>
      <x:c r="AM17" t="n">
        <x:f>'药物假设'!Q19</x:f>
        <x:v>0.9</x:v>
      </x:c>
      <x:c r="AN17" s="27" t="b">
        <x:v>1</x:v>
      </x:c>
      <x:c r="AO17" t="n">
        <x:f>IF(AN17,AJ17*AK17*AL17*AM17*'药物假设'!N19/(1+'药物假设'!M19)^AI17,0)</x:f>
        <x:v>0.7592151060399953</x:v>
      </x:c>
      <x:c r="AP17" s="42" t="n">
        <x:v>0.15</x:v>
      </x:c>
      <x:c r="AQ17" s="42" t="n">
        <x:v>0.5</x:v>
      </x:c>
      <x:c r="AR17" s="42" t="n">
        <x:v>0.9</x:v>
      </x:c>
      <x:c r="AS17" s="42" t="n">
        <x:v>0.12</x:v>
      </x:c>
      <x:c r="AT17" s="42" t="n">
        <x:v>0.35</x:v>
      </x:c>
      <x:c r="AU17" s="42" t="n">
        <x:v>0.65</x:v>
      </x:c>
    </x:row>
    <x:row r="18" ht="23" customHeight="1">
      <x:c r="A18" s="11" t="str">
        <x:v>01530.HK</x:v>
      </x:c>
      <x:c r="B18" s="11" t="str">
        <x:v>2026年底</x:v>
      </x:c>
      <x:c r="C18" s="11" t="str">
        <x:v>肺癌</x:v>
      </x:c>
      <x:c r="D18" s="11" t="n">
        <x:v>2039</x:v>
      </x:c>
      <x:c r="E18" s="11" t="n">
        <x:f>CHOOSE('假设'!$B$3,Q18,R18,S18)</x:f>
        <x:v>4.92</x:v>
      </x:c>
      <x:c r="F18" s="11" t="n">
        <x:f>'药物假设'!K7</x:f>
        <x:v>0.15</x:v>
      </x:c>
      <x:c r="G18" s="11" t="n">
        <x:f>1-'药物假设'!L7</x:f>
        <x:v>0.78</x:v>
      </x:c>
      <x:c r="H18" s="11" t="n">
        <x:f>'药物假设'!I7</x:f>
        <x:v>0.35</x:v>
      </x:c>
      <x:c r="I18" s="11" t="n">
        <x:f>E18*F18*G18*H18*'药物假设'!Q7</x:f>
        <x:v>0.1813266</x:v>
      </x:c>
      <x:c r="J18" s="11" t="str">
        <x:v>2026-12-31</x:v>
      </x:c>
      <x:c r="K18" s="11" t="n">
        <x:v>12.999315537303216</x:v>
      </x:c>
      <x:c r="L18" s="11" t="n">
        <x:f>'药物假设'!M7</x:f>
        <x:v>0.13</x:v>
      </x:c>
      <x:c r="M18" s="11" t="n">
        <x:f>IF(O18,I18/(1+L18)^K18,0)</x:f>
        <x:v>0.037023552091150255</x:v>
      </x:c>
      <x:c r="N18" s="11" t="n">
        <x:f>M18*'药物假设'!N7</x:f>
        <x:v>0.2591648646380518</x:v>
      </x:c>
      <x:c r="O18" s="26" t="b">
        <x:v>1</x:v>
      </x:c>
      <x:c r="P18" s="11" t="n">
        <x:f>7</x:f>
        <x:v>7</x:v>
      </x:c>
      <x:c r="Q18" s="16" t="n">
        <x:v>2.7</x:v>
      </x:c>
      <x:c r="R18" s="16" t="n">
        <x:v>4.92</x:v>
      </x:c>
      <x:c r="S18" s="16" t="n">
        <x:v>7</x:v>
      </x:c>
      <x:c r="AF18" t="str">
        <x:v>01530.HK</x:v>
      </x:c>
      <x:c r="AG18" t="str">
        <x:v>三年</x:v>
      </x:c>
      <x:c r="AH18" t="str">
        <x:v>2032-12-31</x:v>
      </x:c>
      <x:c r="AI18" t="n">
        <x:v>3.2279260780287475</x:v>
      </x:c>
      <x:c r="AJ18" t="n">
        <x:f>CHOOSE('假设'!$B$3,AP18,AQ18,AR18)</x:f>
        <x:v>0.8</x:v>
      </x:c>
      <x:c r="AK18" t="n">
        <x:f>CHOOSE('假设'!$B$3,AS18,AT18,AU18)</x:f>
        <x:v>0.25</x:v>
      </x:c>
      <x:c r="AL18" t="n">
        <x:v>0.8</x:v>
      </x:c>
      <x:c r="AM18" t="n">
        <x:f>'药物假设'!Q19</x:f>
        <x:v>0.9</x:v>
      </x:c>
      <x:c r="AN18" s="27" t="b">
        <x:v>1</x:v>
      </x:c>
      <x:c r="AO18" t="n">
        <x:f>IF(AN18,AJ18*AK18*AL18*AM18*'药物假设'!N19/(1+'药物假设'!M19)^AI18,0)</x:f>
        <x:v>0.6794026558064825</x:v>
      </x:c>
      <x:c r="AP18" s="42" t="n">
        <x:v>0.25</x:v>
      </x:c>
      <x:c r="AQ18" s="42" t="n">
        <x:v>0.8</x:v>
      </x:c>
      <x:c r="AR18" s="42" t="n">
        <x:v>1.5</x:v>
      </x:c>
      <x:c r="AS18" s="42" t="n">
        <x:v>0.08</x:v>
      </x:c>
      <x:c r="AT18" s="42" t="n">
        <x:v>0.25</x:v>
      </x:c>
      <x:c r="AU18" s="42" t="n">
        <x:v>0.55</x:v>
      </x:c>
    </x:row>
    <x:row r="19" ht="23" customHeight="1">
      <x:c r="A19" s="11" t="str">
        <x:v>01530.HK</x:v>
      </x:c>
      <x:c r="B19" s="11" t="str">
        <x:v>2026年底</x:v>
      </x:c>
      <x:c r="C19" s="11" t="str">
        <x:v>肺癌</x:v>
      </x:c>
      <x:c r="D19" s="11" t="n">
        <x:v>2040</x:v>
      </x:c>
      <x:c r="E19" s="11" t="n">
        <x:f>CHOOSE('假设'!$B$3,Q19,R19,S19)</x:f>
        <x:v>4.199999999999999</x:v>
      </x:c>
      <x:c r="F19" s="11" t="n">
        <x:f>'药物假设'!K7</x:f>
        <x:v>0.15</x:v>
      </x:c>
      <x:c r="G19" s="11" t="n">
        <x:f>1-'药物假设'!L7</x:f>
        <x:v>0.78</x:v>
      </x:c>
      <x:c r="H19" s="11" t="n">
        <x:f>'药物假设'!I7</x:f>
        <x:v>0.35</x:v>
      </x:c>
      <x:c r="I19" s="11" t="n">
        <x:f>E19*F19*G19*H19*'药物假设'!Q7</x:f>
        <x:v>0.15479099999999998</x:v>
      </x:c>
      <x:c r="J19" s="11" t="str">
        <x:v>2026-12-31</x:v>
      </x:c>
      <x:c r="K19" s="11" t="n">
        <x:v>14.001368925393566</x:v>
      </x:c>
      <x:c r="L19" s="11" t="n">
        <x:f>'药物假设'!M7</x:f>
        <x:v>0.13</x:v>
      </x:c>
      <x:c r="M19" s="11" t="n">
        <x:f>IF(O19,I19/(1+L19)^K19,0)</x:f>
        <x:v>0.027962425288602162</x:v>
      </x:c>
      <x:c r="N19" s="11" t="n">
        <x:f>M19*'药物假设'!N7</x:f>
        <x:v>0.19573697702021514</x:v>
      </x:c>
      <x:c r="O19" s="26" t="b">
        <x:v>1</x:v>
      </x:c>
      <x:c r="P19" s="11" t="n">
        <x:f>7</x:f>
        <x:v>7</x:v>
      </x:c>
      <x:c r="Q19" s="16" t="n">
        <x:v>2.46</x:v>
      </x:c>
      <x:c r="R19" s="16" t="n">
        <x:v>4.199999999999999</x:v>
      </x:c>
      <x:c r="S19" s="16" t="n">
        <x:v>5.5</x:v>
      </x:c>
      <x:c r="AF19" t="str">
        <x:v>01530.HK</x:v>
      </x:c>
      <x:c r="AG19" t="str">
        <x:v>五年</x:v>
      </x:c>
      <x:c r="AH19" t="str">
        <x:v>2028-12-31</x:v>
      </x:c>
      <x:c r="AI19" t="n">
        <x:v>-2.7707049965776864</x:v>
      </x:c>
      <x:c r="AJ19" t="n">
        <x:f>CHOOSE('假设'!$B$3,AP19,AQ19,AR19)</x:f>
        <x:v>0.2</x:v>
      </x:c>
      <x:c r="AK19" t="n">
        <x:f>CHOOSE('假设'!$B$3,AS19,AT19,AU19)</x:f>
        <x:v>0.6</x:v>
      </x:c>
      <x:c r="AL19" t="n">
        <x:v>0.8</x:v>
      </x:c>
      <x:c r="AM19" t="n">
        <x:f>'药物假设'!Q23</x:f>
        <x:v>0.9</x:v>
      </x:c>
      <x:c r="AN19" s="27" t="b">
        <x:v>0</x:v>
      </x:c>
      <x:c r="AO19" t="n">
        <x:f>IF(AN19,AJ19*AK19*AL19*AM19*'药物假设'!N23/(1+'药物假设'!M23)^AI19,0)</x:f>
        <x:v>0</x:v>
      </x:c>
      <x:c r="AP19" s="42" t="n">
        <x:v>0.1</x:v>
      </x:c>
      <x:c r="AQ19" s="42" t="n">
        <x:v>0.2</x:v>
      </x:c>
      <x:c r="AR19" s="42" t="n">
        <x:v>0.35</x:v>
      </x:c>
      <x:c r="AS19" s="42" t="n">
        <x:v>0.35</x:v>
      </x:c>
      <x:c r="AT19" s="42" t="n">
        <x:v>0.6</x:v>
      </x:c>
      <x:c r="AU19" s="42" t="n">
        <x:v>0.85</x:v>
      </x:c>
    </x:row>
    <x:row r="20" ht="23" customHeight="1">
      <x:c r="A20" s="11" t="str">
        <x:v>01530.HK</x:v>
      </x:c>
      <x:c r="B20" s="11" t="str">
        <x:v>2026年底</x:v>
      </x:c>
      <x:c r="C20" s="11" t="str">
        <x:v>肺癌</x:v>
      </x:c>
      <x:c r="D20" s="11" t="n">
        <x:v>2041</x:v>
      </x:c>
      <x:c r="E20" s="11" t="n">
        <x:f>CHOOSE('假设'!$B$3,Q20,R20,S20)</x:f>
        <x:v>3.3000000000000003</x:v>
      </x:c>
      <x:c r="F20" s="11" t="n">
        <x:f>'药物假设'!K7</x:f>
        <x:v>0.15</x:v>
      </x:c>
      <x:c r="G20" s="11" t="n">
        <x:f>1-'药物假设'!L7</x:f>
        <x:v>0.78</x:v>
      </x:c>
      <x:c r="H20" s="11" t="n">
        <x:f>'药物假设'!I7</x:f>
        <x:v>0.35</x:v>
      </x:c>
      <x:c r="I20" s="11" t="n">
        <x:f>E20*F20*G20*H20*'药物假设'!Q7</x:f>
        <x:v>0.12162149999999998</x:v>
      </x:c>
      <x:c r="J20" s="11" t="str">
        <x:v>2026-12-31</x:v>
      </x:c>
      <x:c r="K20" s="11" t="n">
        <x:v>15.000684462696784</x:v>
      </x:c>
      <x:c r="L20" s="11" t="n">
        <x:f>'药物假设'!M7</x:f>
        <x:v>0.13</x:v>
      </x:c>
      <x:c r="M20" s="11" t="n">
        <x:f>IF(O20,I20/(1+L20)^K20,0)</x:f>
        <x:v>0.019444526543965446</x:v>
      </x:c>
      <x:c r="N20" s="11" t="n">
        <x:f>M20*'药物假设'!N7</x:f>
        <x:v>0.13611168580775812</x:v>
      </x:c>
      <x:c r="O20" s="26" t="b">
        <x:v>1</x:v>
      </x:c>
      <x:c r="P20" s="11" t="n">
        <x:f>7</x:f>
        <x:v>7</x:v>
      </x:c>
      <x:c r="Q20" s="16" t="n">
        <x:v>2.0999999999999996</x:v>
      </x:c>
      <x:c r="R20" s="16" t="n">
        <x:v>3.3000000000000003</x:v>
      </x:c>
      <x:c r="S20" s="16" t="n">
        <x:v>3.5</x:v>
      </x:c>
      <x:c r="AF20" t="str">
        <x:v>01530.HK</x:v>
      </x:c>
      <x:c r="AG20" t="str">
        <x:v>五年</x:v>
      </x:c>
      <x:c r="AH20" t="str">
        <x:v>2030-12-31</x:v>
      </x:c>
      <x:c r="AI20" t="n">
        <x:v>-0.7720739219712526</x:v>
      </x:c>
      <x:c r="AJ20" t="n">
        <x:f>CHOOSE('假设'!$B$3,AP20,AQ20,AR20)</x:f>
        <x:v>0.5</x:v>
      </x:c>
      <x:c r="AK20" t="n">
        <x:f>CHOOSE('假设'!$B$3,AS20,AT20,AU20)</x:f>
        <x:v>0.35</x:v>
      </x:c>
      <x:c r="AL20" t="n">
        <x:v>0.8</x:v>
      </x:c>
      <x:c r="AM20" t="n">
        <x:f>'药物假设'!Q23</x:f>
        <x:v>0.9</x:v>
      </x:c>
      <x:c r="AN20" s="27" t="b">
        <x:v>0</x:v>
      </x:c>
      <x:c r="AO20" t="n">
        <x:f>IF(AN20,AJ20*AK20*AL20*AM20*'药物假设'!N23/(1+'药物假设'!M23)^AI20,0)</x:f>
        <x:v>0</x:v>
      </x:c>
      <x:c r="AP20" s="42" t="n">
        <x:v>0.15</x:v>
      </x:c>
      <x:c r="AQ20" s="42" t="n">
        <x:v>0.5</x:v>
      </x:c>
      <x:c r="AR20" s="42" t="n">
        <x:v>0.9</x:v>
      </x:c>
      <x:c r="AS20" s="42" t="n">
        <x:v>0.12</x:v>
      </x:c>
      <x:c r="AT20" s="42" t="n">
        <x:v>0.35</x:v>
      </x:c>
      <x:c r="AU20" s="42" t="n">
        <x:v>0.65</x:v>
      </x:c>
    </x:row>
    <x:row r="21" ht="23" customHeight="1">
      <x:c r="A21" s="11" t="str">
        <x:v>01530.HK</x:v>
      </x:c>
      <x:c r="B21" s="11" t="str">
        <x:v>2026年底</x:v>
      </x:c>
      <x:c r="C21" s="11" t="str">
        <x:v>肺癌</x:v>
      </x:c>
      <x:c r="D21" s="11" t="n">
        <x:v>2042</x:v>
      </x:c>
      <x:c r="E21" s="11" t="n">
        <x:f>CHOOSE('假设'!$B$3,Q21,R21,S21)</x:f>
        <x:v>2.0999999999999996</x:v>
      </x:c>
      <x:c r="F21" s="11" t="n">
        <x:f>'药物假设'!K7</x:f>
        <x:v>0.15</x:v>
      </x:c>
      <x:c r="G21" s="11" t="n">
        <x:f>1-'药物假设'!L7</x:f>
        <x:v>0.78</x:v>
      </x:c>
      <x:c r="H21" s="11" t="n">
        <x:f>'药物假设'!I7</x:f>
        <x:v>0.35</x:v>
      </x:c>
      <x:c r="I21" s="11" t="n">
        <x:f>E21*F21*G21*H21*'药物假设'!Q7</x:f>
        <x:v>0.07739549999999999</x:v>
      </x:c>
      <x:c r="J21" s="11" t="str">
        <x:v>2026-12-31</x:v>
      </x:c>
      <x:c r="K21" s="11" t="n">
        <x:v>16</x:v>
      </x:c>
      <x:c r="L21" s="11" t="n">
        <x:f>'药物假设'!M7</x:f>
        <x:v>0.13</x:v>
      </x:c>
      <x:c r="M21" s="11" t="n">
        <x:f>IF(O21,I21/(1+L21)^K21,0)</x:f>
        <x:v>0.010951172364500735</x:v>
      </x:c>
      <x:c r="N21" s="11" t="n">
        <x:f>M21*'药物假设'!N7</x:f>
        <x:v>0.07665820655150515</x:v>
      </x:c>
      <x:c r="O21" s="26" t="b">
        <x:v>1</x:v>
      </x:c>
      <x:c r="P21" s="11" t="n">
        <x:f>7</x:f>
        <x:v>7</x:v>
      </x:c>
      <x:c r="Q21" s="16" t="n">
        <x:v>1.6500000000000001</x:v>
      </x:c>
      <x:c r="R21" s="16" t="n">
        <x:v>2.0999999999999996</x:v>
      </x:c>
      <x:c r="S21" s="16" t="n">
        <x:v>2</x:v>
      </x:c>
      <x:c r="AF21" t="str">
        <x:v>01530.HK</x:v>
      </x:c>
      <x:c r="AG21" t="str">
        <x:v>五年</x:v>
      </x:c>
      <x:c r="AH21" t="str">
        <x:v>2032-12-31</x:v>
      </x:c>
      <x:c r="AI21" t="n">
        <x:v>1.2292950034223136</x:v>
      </x:c>
      <x:c r="AJ21" t="n">
        <x:f>CHOOSE('假设'!$B$3,AP21,AQ21,AR21)</x:f>
        <x:v>0.8</x:v>
      </x:c>
      <x:c r="AK21" t="n">
        <x:f>CHOOSE('假设'!$B$3,AS21,AT21,AU21)</x:f>
        <x:v>0.25</x:v>
      </x:c>
      <x:c r="AL21" t="n">
        <x:v>0.8</x:v>
      </x:c>
      <x:c r="AM21" t="n">
        <x:f>'药物假设'!Q23</x:f>
        <x:v>0.9</x:v>
      </x:c>
      <x:c r="AN21" s="27" t="b">
        <x:v>1</x:v>
      </x:c>
      <x:c r="AO21" t="n">
        <x:f>IF(AN21,AJ21*AK21*AL21*AM21*'药物假设'!N23/(1+'药物假设'!M23)^AI21,0)</x:f>
        <x:v>0.8673841197792509</x:v>
      </x:c>
      <x:c r="AP21" s="42" t="n">
        <x:v>0.25</x:v>
      </x:c>
      <x:c r="AQ21" s="42" t="n">
        <x:v>0.8</x:v>
      </x:c>
      <x:c r="AR21" s="42" t="n">
        <x:v>1.5</x:v>
      </x:c>
      <x:c r="AS21" s="42" t="n">
        <x:v>0.08</x:v>
      </x:c>
      <x:c r="AT21" s="42" t="n">
        <x:v>0.25</x:v>
      </x:c>
      <x:c r="AU21" s="42" t="n">
        <x:v>0.55</x:v>
      </x:c>
    </x:row>
    <x:row r="22" ht="23" customHeight="1">
      <x:c r="A22" s="11" t="str">
        <x:v>01530.HK</x:v>
      </x:c>
      <x:c r="B22" s="11" t="str">
        <x:v>2026年底</x:v>
      </x:c>
      <x:c r="C22" s="11" t="str">
        <x:v>肺癌</x:v>
      </x:c>
      <x:c r="D22" s="11" t="n">
        <x:v>2043</x:v>
      </x:c>
      <x:c r="E22" s="11" t="n">
        <x:f>CHOOSE('假设'!$B$3,Q22,R22,S22)</x:f>
        <x:v>1.2000000000000002</x:v>
      </x:c>
      <x:c r="F22" s="11" t="n">
        <x:f>'药物假设'!K7</x:f>
        <x:v>0.15</x:v>
      </x:c>
      <x:c r="G22" s="11" t="n">
        <x:f>1-'药物假设'!L7</x:f>
        <x:v>0.78</x:v>
      </x:c>
      <x:c r="H22" s="11" t="n">
        <x:f>'药物假设'!I7</x:f>
        <x:v>0.35</x:v>
      </x:c>
      <x:c r="I22" s="11" t="n">
        <x:f>E22*F22*G22*H22*'药物假设'!Q7</x:f>
        <x:v>0.044226</x:v>
      </x:c>
      <x:c r="J22" s="11" t="str">
        <x:v>2026-12-31</x:v>
      </x:c>
      <x:c r="K22" s="11" t="n">
        <x:v>16.999315537303218</x:v>
      </x:c>
      <x:c r="L22" s="11" t="n">
        <x:f>'药物假设'!M7</x:f>
        <x:v>0.13</x:v>
      </x:c>
      <x:c r="M22" s="11" t="n">
        <x:f>IF(O22,I22/(1+L22)^K22,0)</x:f>
        <x:v>0.005538350698223269</x:v>
      </x:c>
      <x:c r="N22" s="11" t="n">
        <x:f>M22*'药物假设'!N7</x:f>
        <x:v>0.038768454887562885</x:v>
      </x:c>
      <x:c r="O22" s="26" t="b">
        <x:v>1</x:v>
      </x:c>
      <x:c r="P22" s="11" t="n">
        <x:f>7</x:f>
        <x:v>7</x:v>
      </x:c>
      <x:c r="Q22" s="16" t="n">
        <x:v>1.0499999999999998</x:v>
      </x:c>
      <x:c r="R22" s="16" t="n">
        <x:v>1.2000000000000002</x:v>
      </x:c>
      <x:c r="S22" s="16" t="n">
        <x:v>1</x:v>
      </x:c>
    </x:row>
    <x:row r="23" ht="23" customHeight="1">
      <x:c r="A23" s="11" t="str">
        <x:v>01530.HK</x:v>
      </x:c>
      <x:c r="B23" s="11" t="str">
        <x:v>2026年底</x:v>
      </x:c>
      <x:c r="C23" s="11" t="str">
        <x:v>其他适应症</x:v>
      </x:c>
      <x:c r="D23" s="11" t="n">
        <x:v>2028</x:v>
      </x:c>
      <x:c r="E23" s="11" t="n">
        <x:f>CHOOSE('假设'!$B$3,Q23,R23,S23)</x:f>
        <x:v>0</x:v>
      </x:c>
      <x:c r="F23" s="11" t="n">
        <x:f>'药物假设'!K7</x:f>
        <x:v>0.15</x:v>
      </x:c>
      <x:c r="G23" s="11" t="n">
        <x:f>1-'药物假设'!L7</x:f>
        <x:v>0.78</x:v>
      </x:c>
      <x:c r="H23" s="11" t="n">
        <x:f>'药物假设'!J7</x:f>
        <x:v>0.2</x:v>
      </x:c>
      <x:c r="I23" s="11" t="n">
        <x:f>E23*F23*G23*H23*'药物假设'!Q7</x:f>
        <x:v>0</x:v>
      </x:c>
      <x:c r="J23" s="11" t="str">
        <x:v>2026-12-31</x:v>
      </x:c>
      <x:c r="K23" s="11" t="n">
        <x:v>2.001368925393566</x:v>
      </x:c>
      <x:c r="L23" s="11" t="n">
        <x:f>'药物假设'!M7</x:f>
        <x:v>0.13</x:v>
      </x:c>
      <x:c r="M23" s="11" t="n">
        <x:f>IF(O23,I23/(1+L23)^K23,0)</x:f>
        <x:v>0</x:v>
      </x:c>
      <x:c r="N23" s="11" t="n">
        <x:f>M23*'药物假设'!N7</x:f>
        <x:v>0</x:v>
      </x:c>
      <x:c r="O23" s="26" t="b">
        <x:v>1</x:v>
      </x:c>
      <x:c r="P23" s="11" t="n">
        <x:f>7</x:f>
        <x:v>7</x:v>
      </x:c>
      <x:c r="Q23" s="16" t="n">
        <x:v>0</x:v>
      </x:c>
      <x:c r="R23" s="16" t="n">
        <x:v>0</x:v>
      </x:c>
      <x:c r="S23" s="16" t="n">
        <x:v>0</x:v>
      </x:c>
    </x:row>
    <x:row r="24" ht="23" customHeight="1">
      <x:c r="A24" s="11" t="str">
        <x:v>01530.HK</x:v>
      </x:c>
      <x:c r="B24" s="11" t="str">
        <x:v>2026年底</x:v>
      </x:c>
      <x:c r="C24" s="11" t="str">
        <x:v>其他适应症</x:v>
      </x:c>
      <x:c r="D24" s="11" t="n">
        <x:v>2029</x:v>
      </x:c>
      <x:c r="E24" s="11" t="n">
        <x:f>CHOOSE('假设'!$B$3,Q24,R24,S24)</x:f>
        <x:v>0</x:v>
      </x:c>
      <x:c r="F24" s="11" t="n">
        <x:f>'药物假设'!K7</x:f>
        <x:v>0.15</x:v>
      </x:c>
      <x:c r="G24" s="11" t="n">
        <x:f>1-'药物假设'!L7</x:f>
        <x:v>0.78</x:v>
      </x:c>
      <x:c r="H24" s="11" t="n">
        <x:f>'药物假设'!J7</x:f>
        <x:v>0.2</x:v>
      </x:c>
      <x:c r="I24" s="11" t="n">
        <x:f>E24*F24*G24*H24*'药物假设'!Q7</x:f>
        <x:v>0</x:v>
      </x:c>
      <x:c r="J24" s="11" t="str">
        <x:v>2026-12-31</x:v>
      </x:c>
      <x:c r="K24" s="11" t="n">
        <x:v>3.0006844626967832</x:v>
      </x:c>
      <x:c r="L24" s="11" t="n">
        <x:f>'药物假设'!M7</x:f>
        <x:v>0.13</x:v>
      </x:c>
      <x:c r="M24" s="11" t="n">
        <x:f>IF(O24,I24/(1+L24)^K24,0)</x:f>
        <x:v>0</x:v>
      </x:c>
      <x:c r="N24" s="11" t="n">
        <x:f>M24*'药物假设'!N7</x:f>
        <x:v>0</x:v>
      </x:c>
      <x:c r="O24" s="26" t="b">
        <x:v>1</x:v>
      </x:c>
      <x:c r="P24" s="11" t="n">
        <x:f>7</x:f>
        <x:v>7</x:v>
      </x:c>
      <x:c r="Q24" s="16" t="n">
        <x:v>0</x:v>
      </x:c>
      <x:c r="R24" s="16" t="n">
        <x:v>0</x:v>
      </x:c>
      <x:c r="S24" s="16" t="n">
        <x:v>1.05</x:v>
      </x:c>
    </x:row>
    <x:row r="25" ht="23" customHeight="1">
      <x:c r="A25" s="11" t="str">
        <x:v>01530.HK</x:v>
      </x:c>
      <x:c r="B25" s="11" t="str">
        <x:v>2026年底</x:v>
      </x:c>
      <x:c r="C25" s="11" t="str">
        <x:v>其他适应症</x:v>
      </x:c>
      <x:c r="D25" s="11" t="n">
        <x:v>2030</x:v>
      </x:c>
      <x:c r="E25" s="11" t="n">
        <x:f>CHOOSE('假设'!$B$3,Q25,R25,S25)</x:f>
        <x:v>0.44999999999999996</x:v>
      </x:c>
      <x:c r="F25" s="11" t="n">
        <x:f>'药物假设'!K7</x:f>
        <x:v>0.15</x:v>
      </x:c>
      <x:c r="G25" s="11" t="n">
        <x:f>1-'药物假设'!L7</x:f>
        <x:v>0.78</x:v>
      </x:c>
      <x:c r="H25" s="11" t="n">
        <x:f>'药物假设'!J7</x:f>
        <x:v>0.2</x:v>
      </x:c>
      <x:c r="I25" s="11" t="n">
        <x:f>E25*F25*G25*H25*'药物假设'!Q7</x:f>
        <x:v>0.009477</x:v>
      </x:c>
      <x:c r="J25" s="11" t="str">
        <x:v>2026-12-31</x:v>
      </x:c>
      <x:c r="K25" s="11" t="n">
        <x:v>4</x:v>
      </x:c>
      <x:c r="L25" s="11" t="n">
        <x:f>'药物假设'!M7</x:f>
        <x:v>0.13</x:v>
      </x:c>
      <x:c r="M25" s="11" t="n">
        <x:f>IF(O25,I25/(1+L25)^K25,0)</x:f>
        <x:v>0.005812421582217453</x:v>
      </x:c>
      <x:c r="N25" s="11" t="n">
        <x:f>M25*'药物假设'!N7</x:f>
        <x:v>0.04068695107552217</x:v>
      </x:c>
      <x:c r="O25" s="26" t="b">
        <x:v>1</x:v>
      </x:c>
      <x:c r="P25" s="11" t="n">
        <x:f>7</x:f>
        <x:v>7</x:v>
      </x:c>
      <x:c r="Q25" s="16" t="n">
        <x:v>0</x:v>
      </x:c>
      <x:c r="R25" s="16" t="n">
        <x:v>0.44999999999999996</x:v>
      </x:c>
      <x:c r="S25" s="16" t="n">
        <x:v>2.1</x:v>
      </x:c>
    </x:row>
    <x:row r="26" ht="23" customHeight="1">
      <x:c r="A26" s="11" t="str">
        <x:v>01530.HK</x:v>
      </x:c>
      <x:c r="B26" s="11" t="str">
        <x:v>2026年底</x:v>
      </x:c>
      <x:c r="C26" s="11" t="str">
        <x:v>其他适应症</x:v>
      </x:c>
      <x:c r="D26" s="11" t="n">
        <x:v>2031</x:v>
      </x:c>
      <x:c r="E26" s="11" t="n">
        <x:f>CHOOSE('假设'!$B$3,Q26,R26,S26)</x:f>
        <x:v>0.8999999999999999</x:v>
      </x:c>
      <x:c r="F26" s="11" t="n">
        <x:f>'药物假设'!K7</x:f>
        <x:v>0.15</x:v>
      </x:c>
      <x:c r="G26" s="11" t="n">
        <x:f>1-'药物假设'!L7</x:f>
        <x:v>0.78</x:v>
      </x:c>
      <x:c r="H26" s="11" t="n">
        <x:f>'药物假设'!J7</x:f>
        <x:v>0.2</x:v>
      </x:c>
      <x:c r="I26" s="11" t="n">
        <x:f>E26*F26*G26*H26*'药物假设'!Q7</x:f>
        <x:v>0.018954</x:v>
      </x:c>
      <x:c r="J26" s="11" t="str">
        <x:v>2026-12-31</x:v>
      </x:c>
      <x:c r="K26" s="11" t="n">
        <x:v>4.999315537303217</x:v>
      </x:c>
      <x:c r="L26" s="11" t="n">
        <x:f>'药物假设'!M7</x:f>
        <x:v>0.13</x:v>
      </x:c>
      <x:c r="M26" s="11" t="n">
        <x:f>IF(O26,I26/(1+L26)^K26,0)</x:f>
        <x:v>0.010288332445033495</x:v>
      </x:c>
      <x:c r="N26" s="11" t="n">
        <x:f>M26*'药物假设'!N7</x:f>
        <x:v>0.07201832711523447</x:v>
      </x:c>
      <x:c r="O26" s="26" t="b">
        <x:v>1</x:v>
      </x:c>
      <x:c r="P26" s="11" t="n">
        <x:f>7</x:f>
        <x:v>7</x:v>
      </x:c>
      <x:c r="Q26" s="16" t="n">
        <x:v>0.15</x:v>
      </x:c>
      <x:c r="R26" s="16" t="n">
        <x:v>0.8999999999999999</x:v>
      </x:c>
      <x:c r="S26" s="16" t="n">
        <x:v>3.5</x:v>
      </x:c>
    </x:row>
    <x:row r="27" ht="23" customHeight="1">
      <x:c r="A27" s="11" t="str">
        <x:v>01530.HK</x:v>
      </x:c>
      <x:c r="B27" s="11" t="str">
        <x:v>2026年底</x:v>
      </x:c>
      <x:c r="C27" s="11" t="str">
        <x:v>其他适应症</x:v>
      </x:c>
      <x:c r="D27" s="11" t="n">
        <x:v>2032</x:v>
      </x:c>
      <x:c r="E27" s="11" t="n">
        <x:f>CHOOSE('假设'!$B$3,Q27,R27,S27)</x:f>
        <x:v>1.5</x:v>
      </x:c>
      <x:c r="F27" s="11" t="n">
        <x:f>'药物假设'!K7</x:f>
        <x:v>0.15</x:v>
      </x:c>
      <x:c r="G27" s="11" t="n">
        <x:f>1-'药物假设'!L7</x:f>
        <x:v>0.78</x:v>
      </x:c>
      <x:c r="H27" s="11" t="n">
        <x:f>'药物假设'!J7</x:f>
        <x:v>0.2</x:v>
      </x:c>
      <x:c r="I27" s="11" t="n">
        <x:f>E27*F27*G27*H27*'药物假设'!Q7</x:f>
        <x:v>0.03159</x:v>
      </x:c>
      <x:c r="J27" s="11" t="str">
        <x:v>2026-12-31</x:v>
      </x:c>
      <x:c r="K27" s="11" t="n">
        <x:v>6.0013689253935665</x:v>
      </x:c>
      <x:c r="L27" s="11" t="n">
        <x:f>'药物假设'!M7</x:f>
        <x:v>0.13</x:v>
      </x:c>
      <x:c r="M27" s="11" t="n">
        <x:f>IF(O27,I27/(1+L27)^K27,0)</x:f>
        <x:v>0.015170723903686595</x:v>
      </x:c>
      <x:c r="N27" s="11" t="n">
        <x:f>M27*'药物假设'!N7</x:f>
        <x:v>0.10619506732580616</x:v>
      </x:c>
      <x:c r="O27" s="26" t="b">
        <x:v>1</x:v>
      </x:c>
      <x:c r="P27" s="11" t="n">
        <x:f>7</x:f>
        <x:v>7</x:v>
      </x:c>
      <x:c r="Q27" s="16" t="n">
        <x:v>0.3</x:v>
      </x:c>
      <x:c r="R27" s="16" t="n">
        <x:v>1.5</x:v>
      </x:c>
      <x:c r="S27" s="16" t="n">
        <x:v>4.8999999999999995</x:v>
      </x:c>
    </x:row>
    <x:row r="28" ht="23" customHeight="1">
      <x:c r="A28" s="11" t="str">
        <x:v>01530.HK</x:v>
      </x:c>
      <x:c r="B28" s="11" t="str">
        <x:v>2026年底</x:v>
      </x:c>
      <x:c r="C28" s="11" t="str">
        <x:v>其他适应症</x:v>
      </x:c>
      <x:c r="D28" s="11" t="n">
        <x:v>2033</x:v>
      </x:c>
      <x:c r="E28" s="11" t="n">
        <x:f>CHOOSE('假设'!$B$3,Q28,R28,S28)</x:f>
        <x:v>2.0999999999999996</x:v>
      </x:c>
      <x:c r="F28" s="11" t="n">
        <x:f>'药物假设'!K7</x:f>
        <x:v>0.15</x:v>
      </x:c>
      <x:c r="G28" s="11" t="n">
        <x:f>1-'药物假设'!L7</x:f>
        <x:v>0.78</x:v>
      </x:c>
      <x:c r="H28" s="11" t="n">
        <x:f>'药物假设'!J7</x:f>
        <x:v>0.2</x:v>
      </x:c>
      <x:c r="I28" s="11" t="n">
        <x:f>E28*F28*G28*H28*'药物假设'!Q7</x:f>
        <x:v>0.044225999999999994</x:v>
      </x:c>
      <x:c r="J28" s="11" t="str">
        <x:v>2026-12-31</x:v>
      </x:c>
      <x:c r="K28" s="11" t="n">
        <x:v>7.000684462696783</x:v>
      </x:c>
      <x:c r="L28" s="11" t="n">
        <x:f>'药物假设'!M7</x:f>
        <x:v>0.13</x:v>
      </x:c>
      <x:c r="M28" s="11" t="n">
        <x:f>IF(O28,I28/(1+L28)^K28,0)</x:f>
        <x:v>0.018797159518043595</x:v>
      </x:c>
      <x:c r="N28" s="11" t="n">
        <x:f>M28*'药物假设'!N7</x:f>
        <x:v>0.13158011662630517</x:v>
      </x:c>
      <x:c r="O28" s="26" t="b">
        <x:v>1</x:v>
      </x:c>
      <x:c r="P28" s="11" t="n">
        <x:f>7</x:f>
        <x:v>7</x:v>
      </x:c>
      <x:c r="Q28" s="16" t="n">
        <x:v>0.5</x:v>
      </x:c>
      <x:c r="R28" s="16" t="n">
        <x:v>2.0999999999999996</x:v>
      </x:c>
      <x:c r="S28" s="16" t="n">
        <x:v>6.3</x:v>
      </x:c>
    </x:row>
    <x:row r="29" ht="23" customHeight="1">
      <x:c r="A29" s="11" t="str">
        <x:v>01530.HK</x:v>
      </x:c>
      <x:c r="B29" s="11" t="str">
        <x:v>2026年底</x:v>
      </x:c>
      <x:c r="C29" s="11" t="str">
        <x:v>其他适应症</x:v>
      </x:c>
      <x:c r="D29" s="11" t="n">
        <x:v>2034</x:v>
      </x:c>
      <x:c r="E29" s="11" t="n">
        <x:f>CHOOSE('假设'!$B$3,Q29,R29,S29)</x:f>
        <x:v>2.7</x:v>
      </x:c>
      <x:c r="F29" s="11" t="n">
        <x:f>'药物假设'!K7</x:f>
        <x:v>0.15</x:v>
      </x:c>
      <x:c r="G29" s="11" t="n">
        <x:f>1-'药物假设'!L7</x:f>
        <x:v>0.78</x:v>
      </x:c>
      <x:c r="H29" s="11" t="n">
        <x:f>'药物假设'!J7</x:f>
        <x:v>0.2</x:v>
      </x:c>
      <x:c r="I29" s="11" t="n">
        <x:f>E29*F29*G29*H29*'药物假设'!Q7</x:f>
        <x:v>0.056862</x:v>
      </x:c>
      <x:c r="J29" s="11" t="str">
        <x:v>2026-12-31</x:v>
      </x:c>
      <x:c r="K29" s="11" t="n">
        <x:v>8</x:v>
      </x:c>
      <x:c r="L29" s="11" t="n">
        <x:f>'药物假设'!M7</x:f>
        <x:v>0.13</x:v>
      </x:c>
      <x:c r="M29" s="11" t="n">
        <x:f>IF(O29,I29/(1+L29)^K29,0)</x:f>
        <x:v>0.021389202057250555</x:v>
      </x:c>
      <x:c r="N29" s="11" t="n">
        <x:f>M29*'药物假设'!N7</x:f>
        <x:v>0.14972441440075387</x:v>
      </x:c>
      <x:c r="O29" s="26" t="b">
        <x:v>1</x:v>
      </x:c>
      <x:c r="P29" s="11" t="n">
        <x:f>7</x:f>
        <x:v>7</x:v>
      </x:c>
      <x:c r="Q29" s="16" t="n">
        <x:v>0.7</x:v>
      </x:c>
      <x:c r="R29" s="16" t="n">
        <x:v>2.7</x:v>
      </x:c>
      <x:c r="S29" s="16" t="n">
        <x:v>7</x:v>
      </x:c>
    </x:row>
    <x:row r="30" ht="23" customHeight="1">
      <x:c r="A30" s="11" t="str">
        <x:v>01530.HK</x:v>
      </x:c>
      <x:c r="B30" s="11" t="str">
        <x:v>2026年底</x:v>
      </x:c>
      <x:c r="C30" s="11" t="str">
        <x:v>其他适应症</x:v>
      </x:c>
      <x:c r="D30" s="11" t="n">
        <x:v>2035</x:v>
      </x:c>
      <x:c r="E30" s="11" t="n">
        <x:f>CHOOSE('假设'!$B$3,Q30,R30,S30)</x:f>
        <x:v>3</x:v>
      </x:c>
      <x:c r="F30" s="11" t="n">
        <x:f>'药物假设'!K7</x:f>
        <x:v>0.15</x:v>
      </x:c>
      <x:c r="G30" s="11" t="n">
        <x:f>1-'药物假设'!L7</x:f>
        <x:v>0.78</x:v>
      </x:c>
      <x:c r="H30" s="11" t="n">
        <x:f>'药物假设'!J7</x:f>
        <x:v>0.2</x:v>
      </x:c>
      <x:c r="I30" s="11" t="n">
        <x:f>E30*F30*G30*H30*'药物假设'!Q7</x:f>
        <x:v>0.06318</x:v>
      </x:c>
      <x:c r="J30" s="11" t="str">
        <x:v>2026-12-31</x:v>
      </x:c>
      <x:c r="K30" s="11" t="n">
        <x:v>8.999315537303216</x:v>
      </x:c>
      <x:c r="L30" s="11" t="n">
        <x:f>'药物假设'!M7</x:f>
        <x:v>0.13</x:v>
      </x:c>
      <x:c r="M30" s="11" t="n">
        <x:f>IF(O30,I30/(1+L30)^K30,0)</x:f>
        <x:v>0.02103342321710132</x:v>
      </x:c>
      <x:c r="N30" s="11" t="n">
        <x:f>M30*'药物假设'!N7</x:f>
        <x:v>0.14723396251970922</x:v>
      </x:c>
      <x:c r="O30" s="26" t="b">
        <x:v>1</x:v>
      </x:c>
      <x:c r="P30" s="11" t="n">
        <x:f>7</x:f>
        <x:v>7</x:v>
      </x:c>
      <x:c r="Q30" s="16" t="n">
        <x:v>0.9</x:v>
      </x:c>
      <x:c r="R30" s="16" t="n">
        <x:v>3</x:v>
      </x:c>
      <x:c r="S30" s="16" t="n">
        <x:v>7</x:v>
      </x:c>
    </x:row>
    <x:row r="31" ht="23" customHeight="1">
      <x:c r="A31" s="11" t="str">
        <x:v>01530.HK</x:v>
      </x:c>
      <x:c r="B31" s="11" t="str">
        <x:v>2026年底</x:v>
      </x:c>
      <x:c r="C31" s="11" t="str">
        <x:v>其他适应症</x:v>
      </x:c>
      <x:c r="D31" s="11" t="n">
        <x:v>2036</x:v>
      </x:c>
      <x:c r="E31" s="11" t="n">
        <x:f>CHOOSE('假设'!$B$3,Q31,R31,S31)</x:f>
        <x:v>3</x:v>
      </x:c>
      <x:c r="F31" s="11" t="n">
        <x:f>'药物假设'!K7</x:f>
        <x:v>0.15</x:v>
      </x:c>
      <x:c r="G31" s="11" t="n">
        <x:f>1-'药物假设'!L7</x:f>
        <x:v>0.78</x:v>
      </x:c>
      <x:c r="H31" s="11" t="n">
        <x:f>'药物假设'!J7</x:f>
        <x:v>0.2</x:v>
      </x:c>
      <x:c r="I31" s="11" t="n">
        <x:f>E31*F31*G31*H31*'药物假设'!Q7</x:f>
        <x:v>0.06318</x:v>
      </x:c>
      <x:c r="J31" s="11" t="str">
        <x:v>2026-12-31</x:v>
      </x:c>
      <x:c r="K31" s="11" t="n">
        <x:v>10.001368925393566</x:v>
      </x:c>
      <x:c r="L31" s="11" t="n">
        <x:f>'药物假设'!M7</x:f>
        <x:v>0.13</x:v>
      </x:c>
      <x:c r="M31" s="11" t="n">
        <x:f>IF(O31,I31/(1+L31)^K31,0)</x:f>
        <x:v>0.018608978165168346</x:v>
      </x:c>
      <x:c r="N31" s="11" t="n">
        <x:f>M31*'药物假设'!N7</x:f>
        <x:v>0.13026284715617842</x:v>
      </x:c>
      <x:c r="O31" s="26" t="b">
        <x:v>1</x:v>
      </x:c>
      <x:c r="P31" s="11" t="n">
        <x:f>7</x:f>
        <x:v>7</x:v>
      </x:c>
      <x:c r="Q31" s="16" t="n">
        <x:v>1</x:v>
      </x:c>
      <x:c r="R31" s="16" t="n">
        <x:v>3</x:v>
      </x:c>
      <x:c r="S31" s="16" t="n">
        <x:v>6.6499999999999995</x:v>
      </x:c>
    </x:row>
    <x:row r="32" ht="23" customHeight="1">
      <x:c r="A32" s="11" t="str">
        <x:v>01530.HK</x:v>
      </x:c>
      <x:c r="B32" s="11" t="str">
        <x:v>2026年底</x:v>
      </x:c>
      <x:c r="C32" s="11" t="str">
        <x:v>其他适应症</x:v>
      </x:c>
      <x:c r="D32" s="11" t="n">
        <x:v>2037</x:v>
      </x:c>
      <x:c r="E32" s="11" t="n">
        <x:f>CHOOSE('假设'!$B$3,Q32,R32,S32)</x:f>
        <x:v>2.8499999999999996</x:v>
      </x:c>
      <x:c r="F32" s="11" t="n">
        <x:f>'药物假设'!K7</x:f>
        <x:v>0.15</x:v>
      </x:c>
      <x:c r="G32" s="11" t="n">
        <x:f>1-'药物假设'!L7</x:f>
        <x:v>0.78</x:v>
      </x:c>
      <x:c r="H32" s="11" t="n">
        <x:f>'药物假设'!J7</x:f>
        <x:v>0.2</x:v>
      </x:c>
      <x:c r="I32" s="11" t="n">
        <x:f>E32*F32*G32*H32*'药物假设'!Q7</x:f>
        <x:v>0.060021</x:v>
      </x:c>
      <x:c r="J32" s="11" t="str">
        <x:v>2026-12-31</x:v>
      </x:c>
      <x:c r="K32" s="11" t="n">
        <x:v>11.000684462696784</x:v>
      </x:c>
      <x:c r="L32" s="11" t="n">
        <x:f>'药物假设'!M7</x:f>
        <x:v>0.13</x:v>
      </x:c>
      <x:c r="M32" s="11" t="n">
        <x:f>IF(O32,I32/(1+L32)^K32,0)</x:f>
        <x:v>0.015646024945161634</x:v>
      </x:c>
      <x:c r="N32" s="11" t="n">
        <x:f>M32*'药物假设'!N7</x:f>
        <x:v>0.10952217461613144</x:v>
      </x:c>
      <x:c r="O32" s="26" t="b">
        <x:v>1</x:v>
      </x:c>
      <x:c r="P32" s="11" t="n">
        <x:f>7</x:f>
        <x:v>7</x:v>
      </x:c>
      <x:c r="Q32" s="16" t="n">
        <x:v>1</x:v>
      </x:c>
      <x:c r="R32" s="16" t="n">
        <x:v>2.8499999999999996</x:v>
      </x:c>
      <x:c r="S32" s="16" t="n">
        <x:v>6.3</x:v>
      </x:c>
    </x:row>
    <x:row r="33" ht="23" customHeight="1">
      <x:c r="A33" s="11" t="str">
        <x:v>01530.HK</x:v>
      </x:c>
      <x:c r="B33" s="11" t="str">
        <x:v>2026年底</x:v>
      </x:c>
      <x:c r="C33" s="11" t="str">
        <x:v>其他适应症</x:v>
      </x:c>
      <x:c r="D33" s="11" t="n">
        <x:v>2038</x:v>
      </x:c>
      <x:c r="E33" s="11" t="n">
        <x:f>CHOOSE('假设'!$B$3,Q33,R33,S33)</x:f>
        <x:v>2.7</x:v>
      </x:c>
      <x:c r="F33" s="11" t="n">
        <x:f>'药物假设'!K7</x:f>
        <x:v>0.15</x:v>
      </x:c>
      <x:c r="G33" s="11" t="n">
        <x:f>1-'药物假设'!L7</x:f>
        <x:v>0.78</x:v>
      </x:c>
      <x:c r="H33" s="11" t="n">
        <x:f>'药物假设'!J7</x:f>
        <x:v>0.2</x:v>
      </x:c>
      <x:c r="I33" s="11" t="n">
        <x:f>E33*F33*G33*H33*'药物假设'!Q7</x:f>
        <x:v>0.056862</x:v>
      </x:c>
      <x:c r="J33" s="11" t="str">
        <x:v>2026-12-31</x:v>
      </x:c>
      <x:c r="K33" s="11" t="n">
        <x:v>12</x:v>
      </x:c>
      <x:c r="L33" s="11" t="n">
        <x:f>'药物假设'!M7</x:f>
        <x:v>0.13</x:v>
      </x:c>
      <x:c r="M33" s="11" t="n">
        <x:f>IF(O33,I33/(1+L33)^K33,0)</x:f>
        <x:v>0.013118398191830019</x:v>
      </x:c>
      <x:c r="N33" s="11" t="n">
        <x:f>M33*'药物假设'!N7</x:f>
        <x:v>0.09182878734281014</x:v>
      </x:c>
      <x:c r="O33" s="26" t="b">
        <x:v>1</x:v>
      </x:c>
      <x:c r="P33" s="11" t="n">
        <x:f>7</x:f>
        <x:v>7</x:v>
      </x:c>
      <x:c r="Q33" s="16" t="n">
        <x:v>0.95</x:v>
      </x:c>
      <x:c r="R33" s="16" t="n">
        <x:v>2.7</x:v>
      </x:c>
      <x:c r="S33" s="16" t="n">
        <x:v>5.739999999999999</x:v>
      </x:c>
    </x:row>
    <x:row r="34" ht="23" customHeight="1">
      <x:c r="A34" s="11" t="str">
        <x:v>01530.HK</x:v>
      </x:c>
      <x:c r="B34" s="11" t="str">
        <x:v>2026年底</x:v>
      </x:c>
      <x:c r="C34" s="11" t="str">
        <x:v>其他适应症</x:v>
      </x:c>
      <x:c r="D34" s="11" t="n">
        <x:v>2039</x:v>
      </x:c>
      <x:c r="E34" s="11" t="n">
        <x:f>CHOOSE('假设'!$B$3,Q34,R34,S34)</x:f>
        <x:v>2.46</x:v>
      </x:c>
      <x:c r="F34" s="11" t="n">
        <x:f>'药物假设'!K7</x:f>
        <x:v>0.15</x:v>
      </x:c>
      <x:c r="G34" s="11" t="n">
        <x:f>1-'药物假设'!L7</x:f>
        <x:v>0.78</x:v>
      </x:c>
      <x:c r="H34" s="11" t="n">
        <x:f>'药物假设'!J7</x:f>
        <x:v>0.2</x:v>
      </x:c>
      <x:c r="I34" s="11" t="n">
        <x:f>E34*F34*G34*H34*'药物假设'!Q7</x:f>
        <x:v>0.0518076</x:v>
      </x:c>
      <x:c r="J34" s="11" t="str">
        <x:v>2026-12-31</x:v>
      </x:c>
      <x:c r="K34" s="11" t="n">
        <x:v>12.999315537303216</x:v>
      </x:c>
      <x:c r="L34" s="11" t="n">
        <x:f>'药物假设'!M7</x:f>
        <x:v>0.13</x:v>
      </x:c>
      <x:c r="M34" s="11" t="n">
        <x:f>IF(O34,I34/(1+L34)^K34,0)</x:f>
        <x:v>0.010578157740328645</x:v>
      </x:c>
      <x:c r="N34" s="11" t="n">
        <x:f>M34*'药物假设'!N7</x:f>
        <x:v>0.07404710418230051</x:v>
      </x:c>
      <x:c r="O34" s="26" t="b">
        <x:v>1</x:v>
      </x:c>
      <x:c r="P34" s="11" t="n">
        <x:f>7</x:f>
        <x:v>7</x:v>
      </x:c>
      <x:c r="Q34" s="16" t="n">
        <x:v>0.9</x:v>
      </x:c>
      <x:c r="R34" s="16" t="n">
        <x:v>2.46</x:v>
      </x:c>
      <x:c r="S34" s="16" t="n">
        <x:v>4.8999999999999995</x:v>
      </x:c>
    </x:row>
    <x:row r="35" ht="23" customHeight="1">
      <x:c r="A35" s="11" t="str">
        <x:v>01530.HK</x:v>
      </x:c>
      <x:c r="B35" s="11" t="str">
        <x:v>2026年底</x:v>
      </x:c>
      <x:c r="C35" s="11" t="str">
        <x:v>其他适应症</x:v>
      </x:c>
      <x:c r="D35" s="11" t="n">
        <x:v>2040</x:v>
      </x:c>
      <x:c r="E35" s="11" t="n">
        <x:f>CHOOSE('假设'!$B$3,Q35,R35,S35)</x:f>
        <x:v>2.0999999999999996</x:v>
      </x:c>
      <x:c r="F35" s="11" t="n">
        <x:f>'药物假设'!K7</x:f>
        <x:v>0.15</x:v>
      </x:c>
      <x:c r="G35" s="11" t="n">
        <x:f>1-'药物假设'!L7</x:f>
        <x:v>0.78</x:v>
      </x:c>
      <x:c r="H35" s="11" t="n">
        <x:f>'药物假设'!J7</x:f>
        <x:v>0.2</x:v>
      </x:c>
      <x:c r="I35" s="11" t="n">
        <x:f>E35*F35*G35*H35*'药物假设'!Q7</x:f>
        <x:v>0.044225999999999994</x:v>
      </x:c>
      <x:c r="J35" s="11" t="str">
        <x:v>2026-12-31</x:v>
      </x:c>
      <x:c r="K35" s="11" t="n">
        <x:v>14.001368925393566</x:v>
      </x:c>
      <x:c r="L35" s="11" t="n">
        <x:f>'药物假设'!M7</x:f>
        <x:v>0.13</x:v>
      </x:c>
      <x:c r="M35" s="11" t="n">
        <x:f>IF(O35,I35/(1+L35)^K35,0)</x:f>
        <x:v>0.007989264368172046</x:v>
      </x:c>
      <x:c r="N35" s="11" t="n">
        <x:f>M35*'药物假设'!N7</x:f>
        <x:v>0.055924850577204324</x:v>
      </x:c>
      <x:c r="O35" s="26" t="b">
        <x:v>1</x:v>
      </x:c>
      <x:c r="P35" s="11" t="n">
        <x:f>7</x:f>
        <x:v>7</x:v>
      </x:c>
      <x:c r="Q35" s="16" t="n">
        <x:v>0.82</x:v>
      </x:c>
      <x:c r="R35" s="16" t="n">
        <x:v>2.0999999999999996</x:v>
      </x:c>
      <x:c r="S35" s="16" t="n">
        <x:v>3.8500000000000005</x:v>
      </x:c>
    </x:row>
    <x:row r="36" ht="23" customHeight="1">
      <x:c r="A36" s="11" t="str">
        <x:v>01530.HK</x:v>
      </x:c>
      <x:c r="B36" s="11" t="str">
        <x:v>2026年底</x:v>
      </x:c>
      <x:c r="C36" s="11" t="str">
        <x:v>其他适应症</x:v>
      </x:c>
      <x:c r="D36" s="11" t="n">
        <x:v>2041</x:v>
      </x:c>
      <x:c r="E36" s="11" t="n">
        <x:f>CHOOSE('假设'!$B$3,Q36,R36,S36)</x:f>
        <x:v>1.6500000000000001</x:v>
      </x:c>
      <x:c r="F36" s="11" t="n">
        <x:f>'药物假设'!K7</x:f>
        <x:v>0.15</x:v>
      </x:c>
      <x:c r="G36" s="11" t="n">
        <x:f>1-'药物假设'!L7</x:f>
        <x:v>0.78</x:v>
      </x:c>
      <x:c r="H36" s="11" t="n">
        <x:f>'药物假设'!J7</x:f>
        <x:v>0.2</x:v>
      </x:c>
      <x:c r="I36" s="11" t="n">
        <x:f>E36*F36*G36*H36*'药物假设'!Q7</x:f>
        <x:v>0.03474900000000001</x:v>
      </x:c>
      <x:c r="J36" s="11" t="str">
        <x:v>2026-12-31</x:v>
      </x:c>
      <x:c r="K36" s="11" t="n">
        <x:v>15.000684462696784</x:v>
      </x:c>
      <x:c r="L36" s="11" t="n">
        <x:f>'药物假设'!M7</x:f>
        <x:v>0.13</x:v>
      </x:c>
      <x:c r="M36" s="11" t="n">
        <x:f>IF(O36,I36/(1+L36)^K36,0)</x:f>
        <x:v>0.005555579012561558</x:v>
      </x:c>
      <x:c r="N36" s="11" t="n">
        <x:f>M36*'药物假设'!N7</x:f>
        <x:v>0.038889053087930905</x:v>
      </x:c>
      <x:c r="O36" s="26" t="b">
        <x:v>1</x:v>
      </x:c>
      <x:c r="P36" s="11" t="n">
        <x:f>7</x:f>
        <x:v>7</x:v>
      </x:c>
      <x:c r="Q36" s="16" t="n">
        <x:v>0.7</x:v>
      </x:c>
      <x:c r="R36" s="16" t="n">
        <x:v>1.6500000000000001</x:v>
      </x:c>
      <x:c r="S36" s="16" t="n">
        <x:v>2.4499999999999997</x:v>
      </x:c>
    </x:row>
    <x:row r="37" ht="23" customHeight="1">
      <x:c r="A37" s="11" t="str">
        <x:v>01530.HK</x:v>
      </x:c>
      <x:c r="B37" s="11" t="str">
        <x:v>2026年底</x:v>
      </x:c>
      <x:c r="C37" s="11" t="str">
        <x:v>其他适应症</x:v>
      </x:c>
      <x:c r="D37" s="11" t="n">
        <x:v>2042</x:v>
      </x:c>
      <x:c r="E37" s="11" t="n">
        <x:f>CHOOSE('假设'!$B$3,Q37,R37,S37)</x:f>
        <x:v>1.0499999999999998</x:v>
      </x:c>
      <x:c r="F37" s="11" t="n">
        <x:f>'药物假设'!K7</x:f>
        <x:v>0.15</x:v>
      </x:c>
      <x:c r="G37" s="11" t="n">
        <x:f>1-'药物假设'!L7</x:f>
        <x:v>0.78</x:v>
      </x:c>
      <x:c r="H37" s="11" t="n">
        <x:f>'药物假设'!J7</x:f>
        <x:v>0.2</x:v>
      </x:c>
      <x:c r="I37" s="11" t="n">
        <x:f>E37*F37*G37*H37*'药物假设'!Q7</x:f>
        <x:v>0.022112999999999997</x:v>
      </x:c>
      <x:c r="J37" s="11" t="str">
        <x:v>2026-12-31</x:v>
      </x:c>
      <x:c r="K37" s="11" t="n">
        <x:v>16</x:v>
      </x:c>
      <x:c r="L37" s="11" t="n">
        <x:f>'药物假设'!M7</x:f>
        <x:v>0.13</x:v>
      </x:c>
      <x:c r="M37" s="11" t="n">
        <x:f>IF(O37,I37/(1+L37)^K37,0)</x:f>
        <x:v>0.0031289063898573533</x:v>
      </x:c>
      <x:c r="N37" s="11" t="n">
        <x:f>M37*'药物假设'!N7</x:f>
        <x:v>0.021902344729001474</x:v>
      </x:c>
      <x:c r="O37" s="26" t="b">
        <x:v>1</x:v>
      </x:c>
      <x:c r="P37" s="11" t="n">
        <x:f>7</x:f>
        <x:v>7</x:v>
      </x:c>
      <x:c r="Q37" s="16" t="n">
        <x:v>0.55</x:v>
      </x:c>
      <x:c r="R37" s="16" t="n">
        <x:v>1.0499999999999998</x:v>
      </x:c>
      <x:c r="S37" s="16" t="n">
        <x:v>1.4000000000000001</x:v>
      </x:c>
    </x:row>
    <x:row r="38" ht="23" customHeight="1">
      <x:c r="A38" s="11" t="str">
        <x:v>01530.HK</x:v>
      </x:c>
      <x:c r="B38" s="11" t="str">
        <x:v>2026年底</x:v>
      </x:c>
      <x:c r="C38" s="11" t="str">
        <x:v>其他适应症</x:v>
      </x:c>
      <x:c r="D38" s="11" t="n">
        <x:v>2043</x:v>
      </x:c>
      <x:c r="E38" s="11" t="n">
        <x:f>CHOOSE('假设'!$B$3,Q38,R38,S38)</x:f>
        <x:v>0.6000000000000001</x:v>
      </x:c>
      <x:c r="F38" s="11" t="n">
        <x:f>'药物假设'!K7</x:f>
        <x:v>0.15</x:v>
      </x:c>
      <x:c r="G38" s="11" t="n">
        <x:f>1-'药物假设'!L7</x:f>
        <x:v>0.78</x:v>
      </x:c>
      <x:c r="H38" s="11" t="n">
        <x:f>'药物假设'!J7</x:f>
        <x:v>0.2</x:v>
      </x:c>
      <x:c r="I38" s="11" t="n">
        <x:f>E38*F38*G38*H38*'药物假设'!Q7</x:f>
        <x:v>0.012636000000000003</x:v>
      </x:c>
      <x:c r="J38" s="11" t="str">
        <x:v>2026-12-31</x:v>
      </x:c>
      <x:c r="K38" s="11" t="n">
        <x:v>16.999315537303218</x:v>
      </x:c>
      <x:c r="L38" s="11" t="n">
        <x:f>'药物假设'!M7</x:f>
        <x:v>0.13</x:v>
      </x:c>
      <x:c r="M38" s="11" t="n">
        <x:f>IF(O38,I38/(1+L38)^K38,0)</x:f>
        <x:v>0.0015823859137780772</x:v>
      </x:c>
      <x:c r="N38" s="11" t="n">
        <x:f>M38*'药物假设'!N7</x:f>
        <x:v>0.01107670139644654</x:v>
      </x:c>
      <x:c r="O38" s="26" t="b">
        <x:v>1</x:v>
      </x:c>
      <x:c r="P38" s="11" t="n">
        <x:f>7</x:f>
        <x:v>7</x:v>
      </x:c>
      <x:c r="Q38" s="16" t="n">
        <x:v>0.35</x:v>
      </x:c>
      <x:c r="R38" s="16" t="n">
        <x:v>0.6000000000000001</x:v>
      </x:c>
      <x:c r="S38" s="16" t="n">
        <x:v>0.7000000000000001</x:v>
      </x:c>
    </x:row>
    <x:row r="39" ht="23" customHeight="1">
      <x:c r="A39" s="11" t="str">
        <x:v>01530.HK</x:v>
      </x:c>
      <x:c r="B39" s="11" t="str">
        <x:v>半年</x:v>
      </x:c>
      <x:c r="C39" s="11" t="str">
        <x:v>肺癌</x:v>
      </x:c>
      <x:c r="D39" s="11" t="n">
        <x:v>2028</x:v>
      </x:c>
      <x:c r="E39" s="11" t="n">
        <x:f>CHOOSE('假设'!$B$3,Q39,R39,S39)</x:f>
        <x:v>0</x:v>
      </x:c>
      <x:c r="F39" s="11" t="n">
        <x:f>'药物假设'!K11</x:f>
        <x:v>0.15</x:v>
      </x:c>
      <x:c r="G39" s="11" t="n">
        <x:f>1-'药物假设'!L11</x:f>
        <x:v>0.78</x:v>
      </x:c>
      <x:c r="H39" s="11" t="n">
        <x:f>'药物假设'!I11</x:f>
        <x:v>0.35</x:v>
      </x:c>
      <x:c r="I39" s="11" t="n">
        <x:f>E39*F39*G39*H39*'药物假设'!Q11</x:f>
        <x:v>0</x:v>
      </x:c>
      <x:c r="J39" s="11" t="str">
        <x:v>2027-04-09</x:v>
      </x:c>
      <x:c r="K39" s="11" t="n">
        <x:v>1.730321697467488</x:v>
      </x:c>
      <x:c r="L39" s="11" t="n">
        <x:f>'药物假设'!M11</x:f>
        <x:v>0.13</x:v>
      </x:c>
      <x:c r="M39" s="11" t="n">
        <x:f>IF(O39,I39/(1+L39)^K39,0)</x:f>
        <x:v>0</x:v>
      </x:c>
      <x:c r="N39" s="11" t="n">
        <x:f>M39*'药物假设'!N11</x:f>
        <x:v>0</x:v>
      </x:c>
      <x:c r="O39" s="26" t="b">
        <x:v>1</x:v>
      </x:c>
      <x:c r="P39" s="11" t="n">
        <x:f>11</x:f>
        <x:v>11</x:v>
      </x:c>
      <x:c r="Q39" s="16" t="n">
        <x:v>0</x:v>
      </x:c>
      <x:c r="R39" s="16" t="n">
        <x:v>0</x:v>
      </x:c>
      <x:c r="S39" s="16" t="n">
        <x:v>0.5</x:v>
      </x:c>
    </x:row>
    <x:row r="40" ht="23" customHeight="1">
      <x:c r="A40" s="11" t="str">
        <x:v>01530.HK</x:v>
      </x:c>
      <x:c r="B40" s="11" t="str">
        <x:v>半年</x:v>
      </x:c>
      <x:c r="C40" s="11" t="str">
        <x:v>肺癌</x:v>
      </x:c>
      <x:c r="D40" s="11" t="n">
        <x:v>2029</x:v>
      </x:c>
      <x:c r="E40" s="11" t="n">
        <x:f>CHOOSE('假设'!$B$3,Q40,R40,S40)</x:f>
        <x:v>0.30000000000000004</x:v>
      </x:c>
      <x:c r="F40" s="11" t="n">
        <x:f>'药物假设'!K11</x:f>
        <x:v>0.15</x:v>
      </x:c>
      <x:c r="G40" s="11" t="n">
        <x:f>1-'药物假设'!L11</x:f>
        <x:v>0.78</x:v>
      </x:c>
      <x:c r="H40" s="11" t="n">
        <x:f>'药物假设'!I11</x:f>
        <x:v>0.35</x:v>
      </x:c>
      <x:c r="I40" s="11" t="n">
        <x:f>E40*F40*G40*H40*'药物假设'!Q11</x:f>
        <x:v>0.0110565</x:v>
      </x:c>
      <x:c r="J40" s="11" t="str">
        <x:v>2027-04-09</x:v>
      </x:c>
      <x:c r="K40" s="11" t="n">
        <x:v>2.729637234770705</x:v>
      </x:c>
      <x:c r="L40" s="11" t="n">
        <x:f>'药物假设'!M11</x:f>
        <x:v>0.13</x:v>
      </x:c>
      <x:c r="M40" s="11" t="n">
        <x:f>IF(O40,I40/(1+L40)^K40,0)</x:f>
        <x:v>0.007920138470208444</x:v>
      </x:c>
      <x:c r="N40" s="11" t="n">
        <x:f>M40*'药物假设'!N11</x:f>
        <x:v>0.055440969291459107</x:v>
      </x:c>
      <x:c r="O40" s="26" t="b">
        <x:v>1</x:v>
      </x:c>
      <x:c r="P40" s="11" t="n">
        <x:f>11</x:f>
        <x:v>11</x:v>
      </x:c>
      <x:c r="Q40" s="16" t="n">
        <x:v>0</x:v>
      </x:c>
      <x:c r="R40" s="16" t="n">
        <x:v>0.30000000000000004</x:v>
      </x:c>
      <x:c r="S40" s="16" t="n">
        <x:v>1.5</x:v>
      </x:c>
    </x:row>
    <x:row r="41" ht="23" customHeight="1">
      <x:c r="A41" s="11" t="str">
        <x:v>01530.HK</x:v>
      </x:c>
      <x:c r="B41" s="11" t="str">
        <x:v>半年</x:v>
      </x:c>
      <x:c r="C41" s="11" t="str">
        <x:v>肺癌</x:v>
      </x:c>
      <x:c r="D41" s="11" t="n">
        <x:v>2030</x:v>
      </x:c>
      <x:c r="E41" s="11" t="n">
        <x:f>CHOOSE('假设'!$B$3,Q41,R41,S41)</x:f>
        <x:v>0.8999999999999999</x:v>
      </x:c>
      <x:c r="F41" s="11" t="n">
        <x:f>'药物假设'!K11</x:f>
        <x:v>0.15</x:v>
      </x:c>
      <x:c r="G41" s="11" t="n">
        <x:f>1-'药物假设'!L11</x:f>
        <x:v>0.78</x:v>
      </x:c>
      <x:c r="H41" s="11" t="n">
        <x:f>'药物假设'!I11</x:f>
        <x:v>0.35</x:v>
      </x:c>
      <x:c r="I41" s="11" t="n">
        <x:f>E41*F41*G41*H41*'药物假设'!Q11</x:f>
        <x:v>0.03316949999999999</x:v>
      </x:c>
      <x:c r="J41" s="11" t="str">
        <x:v>2027-04-09</x:v>
      </x:c>
      <x:c r="K41" s="11" t="n">
        <x:v>3.728952772073922</x:v>
      </x:c>
      <x:c r="L41" s="11" t="n">
        <x:f>'药物假设'!M11</x:f>
        <x:v>0.13</x:v>
      </x:c>
      <x:c r="M41" s="11" t="n">
        <x:f>IF(O41,I41/(1+L41)^K41,0)</x:f>
        <x:v>0.021028675339422834</x:v>
      </x:c>
      <x:c r="N41" s="11" t="n">
        <x:f>M41*'药物假设'!N11</x:f>
        <x:v>0.14720072737595985</x:v>
      </x:c>
      <x:c r="O41" s="26" t="b">
        <x:v>1</x:v>
      </x:c>
      <x:c r="P41" s="11" t="n">
        <x:f>11</x:f>
        <x:v>11</x:v>
      </x:c>
      <x:c r="Q41" s="16" t="n">
        <x:v>0.15000000000000002</x:v>
      </x:c>
      <x:c r="R41" s="16" t="n">
        <x:v>0.8999999999999999</x:v>
      </x:c>
      <x:c r="S41" s="16" t="n">
        <x:v>3</x:v>
      </x:c>
    </x:row>
    <x:row r="42" ht="23" customHeight="1">
      <x:c r="A42" s="11" t="str">
        <x:v>01530.HK</x:v>
      </x:c>
      <x:c r="B42" s="11" t="str">
        <x:v>半年</x:v>
      </x:c>
      <x:c r="C42" s="11" t="str">
        <x:v>肺癌</x:v>
      </x:c>
      <x:c r="D42" s="11" t="n">
        <x:v>2031</x:v>
      </x:c>
      <x:c r="E42" s="11" t="n">
        <x:f>CHOOSE('假设'!$B$3,Q42,R42,S42)</x:f>
        <x:v>1.7999999999999998</x:v>
      </x:c>
      <x:c r="F42" s="11" t="n">
        <x:f>'药物假设'!K11</x:f>
        <x:v>0.15</x:v>
      </x:c>
      <x:c r="G42" s="11" t="n">
        <x:f>1-'药物假设'!L11</x:f>
        <x:v>0.78</x:v>
      </x:c>
      <x:c r="H42" s="11" t="n">
        <x:f>'药物假设'!I11</x:f>
        <x:v>0.35</x:v>
      </x:c>
      <x:c r="I42" s="11" t="n">
        <x:f>E42*F42*G42*H42*'药物假设'!Q11</x:f>
        <x:v>0.06633899999999998</x:v>
      </x:c>
      <x:c r="J42" s="11" t="str">
        <x:v>2027-04-09</x:v>
      </x:c>
      <x:c r="K42" s="11" t="n">
        <x:v>4.728268309377139</x:v>
      </x:c>
      <x:c r="L42" s="11" t="n">
        <x:f>'药物假设'!M11</x:f>
        <x:v>0.13</x:v>
      </x:c>
      <x:c r="M42" s="11" t="n">
        <x:f>IF(O42,I42/(1+L42)^K42,0)</x:f>
        <x:v>0.03722200802374036</x:v>
      </x:c>
      <x:c r="N42" s="11" t="n">
        <x:f>M42*'药物假设'!N11</x:f>
        <x:v>0.2605540561661825</x:v>
      </x:c>
      <x:c r="O42" s="26" t="b">
        <x:v>1</x:v>
      </x:c>
      <x:c r="P42" s="11" t="n">
        <x:f>11</x:f>
        <x:v>11</x:v>
      </x:c>
      <x:c r="Q42" s="16" t="n">
        <x:v>0.44999999999999996</x:v>
      </x:c>
      <x:c r="R42" s="16" t="n">
        <x:v>1.7999999999999998</x:v>
      </x:c>
      <x:c r="S42" s="16" t="n">
        <x:v>5</x:v>
      </x:c>
    </x:row>
    <x:row r="43" ht="23" customHeight="1">
      <x:c r="A43" s="11" t="str">
        <x:v>01530.HK</x:v>
      </x:c>
      <x:c r="B43" s="11" t="str">
        <x:v>半年</x:v>
      </x:c>
      <x:c r="C43" s="11" t="str">
        <x:v>肺癌</x:v>
      </x:c>
      <x:c r="D43" s="11" t="n">
        <x:v>2032</x:v>
      </x:c>
      <x:c r="E43" s="11" t="n">
        <x:f>CHOOSE('假设'!$B$3,Q43,R43,S43)</x:f>
        <x:v>3</x:v>
      </x:c>
      <x:c r="F43" s="11" t="n">
        <x:f>'药物假设'!K11</x:f>
        <x:v>0.15</x:v>
      </x:c>
      <x:c r="G43" s="11" t="n">
        <x:f>1-'药物假设'!L11</x:f>
        <x:v>0.78</x:v>
      </x:c>
      <x:c r="H43" s="11" t="n">
        <x:f>'药物假设'!I11</x:f>
        <x:v>0.35</x:v>
      </x:c>
      <x:c r="I43" s="11" t="n">
        <x:f>E43*F43*G43*H43*'药物假设'!Q11</x:f>
        <x:v>0.110565</x:v>
      </x:c>
      <x:c r="J43" s="11" t="str">
        <x:v>2027-04-09</x:v>
      </x:c>
      <x:c r="K43" s="11" t="n">
        <x:v>5.730321697467488</x:v>
      </x:c>
      <x:c r="L43" s="11" t="n">
        <x:f>'药物假设'!M11</x:f>
        <x:v>0.13</x:v>
      </x:c>
      <x:c r="M43" s="11" t="n">
        <x:f>IF(O43,I43/(1+L43)^K43,0)</x:f>
        <x:v>0.05488594093220263</x:v>
      </x:c>
      <x:c r="N43" s="11" t="n">
        <x:f>M43*'药物假设'!N11</x:f>
        <x:v>0.3842015865254184</x:v>
      </x:c>
      <x:c r="O43" s="26" t="b">
        <x:v>1</x:v>
      </x:c>
      <x:c r="P43" s="11" t="n">
        <x:f>11</x:f>
        <x:v>11</x:v>
      </x:c>
      <x:c r="Q43" s="16" t="n">
        <x:v>0.8999999999999999</x:v>
      </x:c>
      <x:c r="R43" s="16" t="n">
        <x:v>3</x:v>
      </x:c>
      <x:c r="S43" s="16" t="n">
        <x:v>7</x:v>
      </x:c>
    </x:row>
    <x:row r="44" ht="23" customHeight="1">
      <x:c r="A44" s="11" t="str">
        <x:v>01530.HK</x:v>
      </x:c>
      <x:c r="B44" s="11" t="str">
        <x:v>半年</x:v>
      </x:c>
      <x:c r="C44" s="11" t="str">
        <x:v>肺癌</x:v>
      </x:c>
      <x:c r="D44" s="11" t="n">
        <x:v>2033</x:v>
      </x:c>
      <x:c r="E44" s="11" t="n">
        <x:f>CHOOSE('假设'!$B$3,Q44,R44,S44)</x:f>
        <x:v>4.199999999999999</x:v>
      </x:c>
      <x:c r="F44" s="11" t="n">
        <x:f>'药物假设'!K11</x:f>
        <x:v>0.15</x:v>
      </x:c>
      <x:c r="G44" s="11" t="n">
        <x:f>1-'药物假设'!L11</x:f>
        <x:v>0.78</x:v>
      </x:c>
      <x:c r="H44" s="11" t="n">
        <x:f>'药物假设'!I11</x:f>
        <x:v>0.35</x:v>
      </x:c>
      <x:c r="I44" s="11" t="n">
        <x:f>E44*F44*G44*H44*'药物假设'!Q11</x:f>
        <x:v>0.15479099999999998</x:v>
      </x:c>
      <x:c r="J44" s="11" t="str">
        <x:v>2027-04-09</x:v>
      </x:c>
      <x:c r="K44" s="11" t="n">
        <x:v>6.729637234770705</x:v>
      </x:c>
      <x:c r="L44" s="11" t="n">
        <x:f>'药物假设'!M11</x:f>
        <x:v>0.13</x:v>
      </x:c>
      <x:c r="M44" s="11" t="n">
        <x:f>IF(O44,I44/(1+L44)^K44,0)</x:f>
        <x:v>0.06800596949429819</x:v>
      </x:c>
      <x:c r="N44" s="11" t="n">
        <x:f>M44*'药物假设'!N11</x:f>
        <x:v>0.4760417864600873</x:v>
      </x:c>
      <x:c r="O44" s="26" t="b">
        <x:v>1</x:v>
      </x:c>
      <x:c r="P44" s="11" t="n">
        <x:f>11</x:f>
        <x:v>11</x:v>
      </x:c>
      <x:c r="Q44" s="16" t="n">
        <x:v>1.5</x:v>
      </x:c>
      <x:c r="R44" s="16" t="n">
        <x:v>4.199999999999999</x:v>
      </x:c>
      <x:c r="S44" s="16" t="n">
        <x:v>9</x:v>
      </x:c>
    </x:row>
    <x:row r="45" ht="23" customHeight="1">
      <x:c r="A45" s="11" t="str">
        <x:v>01530.HK</x:v>
      </x:c>
      <x:c r="B45" s="11" t="str">
        <x:v>半年</x:v>
      </x:c>
      <x:c r="C45" s="11" t="str">
        <x:v>肺癌</x:v>
      </x:c>
      <x:c r="D45" s="11" t="n">
        <x:v>2034</x:v>
      </x:c>
      <x:c r="E45" s="11" t="n">
        <x:f>CHOOSE('假设'!$B$3,Q45,R45,S45)</x:f>
        <x:v>5.4</x:v>
      </x:c>
      <x:c r="F45" s="11" t="n">
        <x:f>'药物假设'!K11</x:f>
        <x:v>0.15</x:v>
      </x:c>
      <x:c r="G45" s="11" t="n">
        <x:f>1-'药物假设'!L11</x:f>
        <x:v>0.78</x:v>
      </x:c>
      <x:c r="H45" s="11" t="n">
        <x:f>'药物假设'!I11</x:f>
        <x:v>0.35</x:v>
      </x:c>
      <x:c r="I45" s="11" t="n">
        <x:f>E45*F45*G45*H45*'药物假设'!Q11</x:f>
        <x:v>0.199017</x:v>
      </x:c>
      <x:c r="J45" s="11" t="str">
        <x:v>2027-04-09</x:v>
      </x:c>
      <x:c r="K45" s="11" t="n">
        <x:v>7.728952772073922</x:v>
      </x:c>
      <x:c r="L45" s="11" t="n">
        <x:f>'药物假设'!M11</x:f>
        <x:v>0.13</x:v>
      </x:c>
      <x:c r="M45" s="11" t="n">
        <x:f>IF(O45,I45/(1+L45)^K45,0)</x:f>
        <x:v>0.077383682423745</x:v>
      </x:c>
      <x:c r="N45" s="11" t="n">
        <x:f>M45*'药物假设'!N11</x:f>
        <x:v>0.541685776966215</x:v>
      </x:c>
      <x:c r="O45" s="26" t="b">
        <x:v>1</x:v>
      </x:c>
      <x:c r="P45" s="11" t="n">
        <x:f>11</x:f>
        <x:v>11</x:v>
      </x:c>
      <x:c r="Q45" s="16" t="n">
        <x:v>2.0999999999999996</x:v>
      </x:c>
      <x:c r="R45" s="16" t="n">
        <x:v>5.4</x:v>
      </x:c>
      <x:c r="S45" s="16" t="n">
        <x:v>10</x:v>
      </x:c>
    </x:row>
    <x:row r="46" ht="23" customHeight="1">
      <x:c r="A46" s="11" t="str">
        <x:v>01530.HK</x:v>
      </x:c>
      <x:c r="B46" s="11" t="str">
        <x:v>半年</x:v>
      </x:c>
      <x:c r="C46" s="11" t="str">
        <x:v>肺癌</x:v>
      </x:c>
      <x:c r="D46" s="11" t="n">
        <x:v>2035</x:v>
      </x:c>
      <x:c r="E46" s="11" t="n">
        <x:f>CHOOSE('假设'!$B$3,Q46,R46,S46)</x:f>
        <x:v>6</x:v>
      </x:c>
      <x:c r="F46" s="11" t="n">
        <x:f>'药物假设'!K11</x:f>
        <x:v>0.15</x:v>
      </x:c>
      <x:c r="G46" s="11" t="n">
        <x:f>1-'药物假设'!L11</x:f>
        <x:v>0.78</x:v>
      </x:c>
      <x:c r="H46" s="11" t="n">
        <x:f>'药物假设'!I11</x:f>
        <x:v>0.35</x:v>
      </x:c>
      <x:c r="I46" s="11" t="n">
        <x:f>E46*F46*G46*H46*'药物假设'!Q11</x:f>
        <x:v>0.22113</x:v>
      </x:c>
      <x:c r="J46" s="11" t="str">
        <x:v>2027-04-09</x:v>
      </x:c>
      <x:c r="K46" s="11" t="n">
        <x:v>8.728268309377139</x:v>
      </x:c>
      <x:c r="L46" s="11" t="n">
        <x:f>'药物假设'!M11</x:f>
        <x:v>0.13</x:v>
      </x:c>
      <x:c r="M46" s="11" t="n">
        <x:f>IF(O46,I46/(1+L46)^K46,0)</x:f>
        <x:v>0.07609651534263999</x:v>
      </x:c>
      <x:c r="N46" s="11" t="n">
        <x:f>M46*'药物假设'!N11</x:f>
        <x:v>0.53267560739848</x:v>
      </x:c>
      <x:c r="O46" s="26" t="b">
        <x:v>1</x:v>
      </x:c>
      <x:c r="P46" s="11" t="n">
        <x:f>11</x:f>
        <x:v>11</x:v>
      </x:c>
      <x:c r="Q46" s="16" t="n">
        <x:v>2.7</x:v>
      </x:c>
      <x:c r="R46" s="16" t="n">
        <x:v>6</x:v>
      </x:c>
      <x:c r="S46" s="16" t="n">
        <x:v>10</x:v>
      </x:c>
    </x:row>
    <x:row r="47" ht="23" customHeight="1">
      <x:c r="A47" s="11" t="str">
        <x:v>01530.HK</x:v>
      </x:c>
      <x:c r="B47" s="11" t="str">
        <x:v>半年</x:v>
      </x:c>
      <x:c r="C47" s="11" t="str">
        <x:v>肺癌</x:v>
      </x:c>
      <x:c r="D47" s="11" t="n">
        <x:v>2036</x:v>
      </x:c>
      <x:c r="E47" s="11" t="n">
        <x:f>CHOOSE('假设'!$B$3,Q47,R47,S47)</x:f>
        <x:v>6</x:v>
      </x:c>
      <x:c r="F47" s="11" t="n">
        <x:f>'药物假设'!K11</x:f>
        <x:v>0.15</x:v>
      </x:c>
      <x:c r="G47" s="11" t="n">
        <x:f>1-'药物假设'!L11</x:f>
        <x:v>0.78</x:v>
      </x:c>
      <x:c r="H47" s="11" t="n">
        <x:f>'药物假设'!I11</x:f>
        <x:v>0.35</x:v>
      </x:c>
      <x:c r="I47" s="11" t="n">
        <x:f>E47*F47*G47*H47*'药物假设'!Q11</x:f>
        <x:v>0.22113</x:v>
      </x:c>
      <x:c r="J47" s="11" t="str">
        <x:v>2027-04-09</x:v>
      </x:c>
      <x:c r="K47" s="11" t="n">
        <x:v>9.730321697467488</x:v>
      </x:c>
      <x:c r="L47" s="11" t="n">
        <x:f>'药物假设'!M11</x:f>
        <x:v>0.13</x:v>
      </x:c>
      <x:c r="M47" s="11" t="n">
        <x:f>IF(O47,I47/(1+L47)^K47,0)</x:f>
        <x:v>0.06732515092004789</x:v>
      </x:c>
      <x:c r="N47" s="11" t="n">
        <x:f>M47*'药物假设'!N11</x:f>
        <x:v>0.4712760564403352</x:v>
      </x:c>
      <x:c r="O47" s="26" t="b">
        <x:v>1</x:v>
      </x:c>
      <x:c r="P47" s="11" t="n">
        <x:f>11</x:f>
        <x:v>11</x:v>
      </x:c>
      <x:c r="Q47" s="16" t="n">
        <x:v>3</x:v>
      </x:c>
      <x:c r="R47" s="16" t="n">
        <x:v>6</x:v>
      </x:c>
      <x:c r="S47" s="16" t="n">
        <x:v>9.5</x:v>
      </x:c>
    </x:row>
    <x:row r="48" ht="23" customHeight="1">
      <x:c r="A48" s="11" t="str">
        <x:v>01530.HK</x:v>
      </x:c>
      <x:c r="B48" s="11" t="str">
        <x:v>半年</x:v>
      </x:c>
      <x:c r="C48" s="11" t="str">
        <x:v>肺癌</x:v>
      </x:c>
      <x:c r="D48" s="11" t="n">
        <x:v>2037</x:v>
      </x:c>
      <x:c r="E48" s="11" t="n">
        <x:f>CHOOSE('假设'!$B$3,Q48,R48,S48)</x:f>
        <x:v>5.699999999999999</x:v>
      </x:c>
      <x:c r="F48" s="11" t="n">
        <x:f>'药物假设'!K11</x:f>
        <x:v>0.15</x:v>
      </x:c>
      <x:c r="G48" s="11" t="n">
        <x:f>1-'药物假设'!L11</x:f>
        <x:v>0.78</x:v>
      </x:c>
      <x:c r="H48" s="11" t="n">
        <x:f>'药物假设'!I11</x:f>
        <x:v>0.35</x:v>
      </x:c>
      <x:c r="I48" s="11" t="n">
        <x:f>E48*F48*G48*H48*'药物假设'!Q11</x:f>
        <x:v>0.21007349999999997</x:v>
      </x:c>
      <x:c r="J48" s="11" t="str">
        <x:v>2027-04-09</x:v>
      </x:c>
      <x:c r="K48" s="11" t="n">
        <x:v>10.729637234770705</x:v>
      </x:c>
      <x:c r="L48" s="11" t="n">
        <x:f>'药物假设'!M11</x:f>
        <x:v>0.13</x:v>
      </x:c>
      <x:c r="M48" s="11" t="n">
        <x:f>IF(O48,I48/(1+L48)^K48,0)</x:f>
        <x:v>0.05660552564371886</x:v>
      </x:c>
      <x:c r="N48" s="11" t="n">
        <x:f>M48*'药物假设'!N11</x:f>
        <x:v>0.39623867950603203</x:v>
      </x:c>
      <x:c r="O48" s="26" t="b">
        <x:v>1</x:v>
      </x:c>
      <x:c r="P48" s="11" t="n">
        <x:f>11</x:f>
        <x:v>11</x:v>
      </x:c>
      <x:c r="Q48" s="16" t="n">
        <x:v>3</x:v>
      </x:c>
      <x:c r="R48" s="16" t="n">
        <x:v>5.699999999999999</x:v>
      </x:c>
      <x:c r="S48" s="16" t="n">
        <x:v>9</x:v>
      </x:c>
    </x:row>
    <x:row r="49" ht="23" customHeight="1">
      <x:c r="A49" s="11" t="str">
        <x:v>01530.HK</x:v>
      </x:c>
      <x:c r="B49" s="11" t="str">
        <x:v>半年</x:v>
      </x:c>
      <x:c r="C49" s="11" t="str">
        <x:v>肺癌</x:v>
      </x:c>
      <x:c r="D49" s="11" t="n">
        <x:v>2038</x:v>
      </x:c>
      <x:c r="E49" s="11" t="n">
        <x:f>CHOOSE('假设'!$B$3,Q49,R49,S49)</x:f>
        <x:v>5.4</x:v>
      </x:c>
      <x:c r="F49" s="11" t="n">
        <x:f>'药物假设'!K11</x:f>
        <x:v>0.15</x:v>
      </x:c>
      <x:c r="G49" s="11" t="n">
        <x:f>1-'药物假设'!L11</x:f>
        <x:v>0.78</x:v>
      </x:c>
      <x:c r="H49" s="11" t="n">
        <x:f>'药物假设'!I11</x:f>
        <x:v>0.35</x:v>
      </x:c>
      <x:c r="I49" s="11" t="n">
        <x:f>E49*F49*G49*H49*'药物假设'!Q11</x:f>
        <x:v>0.199017</x:v>
      </x:c>
      <x:c r="J49" s="11" t="str">
        <x:v>2027-04-09</x:v>
      </x:c>
      <x:c r="K49" s="11" t="n">
        <x:v>11.728952772073923</x:v>
      </x:c>
      <x:c r="L49" s="11" t="n">
        <x:f>'药物假设'!M11</x:f>
        <x:v>0.13</x:v>
      </x:c>
      <x:c r="M49" s="11" t="n">
        <x:f>IF(O49,I49/(1+L49)^K49,0)</x:f>
        <x:v>0.04746086164727624</x:v>
      </x:c>
      <x:c r="N49" s="11" t="n">
        <x:f>M49*'药物假设'!N11</x:f>
        <x:v>0.33222603153093366</x:v>
      </x:c>
      <x:c r="O49" s="26" t="b">
        <x:v>1</x:v>
      </x:c>
      <x:c r="P49" s="11" t="n">
        <x:f>11</x:f>
        <x:v>11</x:v>
      </x:c>
      <x:c r="Q49" s="16" t="n">
        <x:v>2.8499999999999996</x:v>
      </x:c>
      <x:c r="R49" s="16" t="n">
        <x:v>5.4</x:v>
      </x:c>
      <x:c r="S49" s="16" t="n">
        <x:v>8.2</x:v>
      </x:c>
    </x:row>
    <x:row r="50" ht="23" customHeight="1">
      <x:c r="A50" s="11" t="str">
        <x:v>01530.HK</x:v>
      </x:c>
      <x:c r="B50" s="11" t="str">
        <x:v>半年</x:v>
      </x:c>
      <x:c r="C50" s="11" t="str">
        <x:v>肺癌</x:v>
      </x:c>
      <x:c r="D50" s="11" t="n">
        <x:v>2039</x:v>
      </x:c>
      <x:c r="E50" s="11" t="n">
        <x:f>CHOOSE('假设'!$B$3,Q50,R50,S50)</x:f>
        <x:v>4.92</x:v>
      </x:c>
      <x:c r="F50" s="11" t="n">
        <x:f>'药物假设'!K11</x:f>
        <x:v>0.15</x:v>
      </x:c>
      <x:c r="G50" s="11" t="n">
        <x:f>1-'药物假设'!L11</x:f>
        <x:v>0.78</x:v>
      </x:c>
      <x:c r="H50" s="11" t="n">
        <x:f>'药物假设'!I11</x:f>
        <x:v>0.35</x:v>
      </x:c>
      <x:c r="I50" s="11" t="n">
        <x:f>E50*F50*G50*H50*'药物假设'!Q11</x:f>
        <x:v>0.1813266</x:v>
      </x:c>
      <x:c r="J50" s="11" t="str">
        <x:v>2027-04-09</x:v>
      </x:c>
      <x:c r="K50" s="11" t="n">
        <x:v>12.728268309377139</x:v>
      </x:c>
      <x:c r="L50" s="11" t="n">
        <x:f>'药物假设'!M11</x:f>
        <x:v>0.13</x:v>
      </x:c>
      <x:c r="M50" s="11" t="n">
        <x:f>IF(O50,I50/(1+L50)^K50,0)</x:f>
        <x:v>0.038270562736041354</x:v>
      </x:c>
      <x:c r="N50" s="11" t="n">
        <x:f>M50*'药物假设'!N11</x:f>
        <x:v>0.2678939391522895</x:v>
      </x:c>
      <x:c r="O50" s="26" t="b">
        <x:v>1</x:v>
      </x:c>
      <x:c r="P50" s="11" t="n">
        <x:f>11</x:f>
        <x:v>11</x:v>
      </x:c>
      <x:c r="Q50" s="16" t="n">
        <x:v>2.7</x:v>
      </x:c>
      <x:c r="R50" s="16" t="n">
        <x:v>4.92</x:v>
      </x:c>
      <x:c r="S50" s="16" t="n">
        <x:v>7</x:v>
      </x:c>
    </x:row>
    <x:row r="51" ht="23" customHeight="1">
      <x:c r="A51" s="11" t="str">
        <x:v>01530.HK</x:v>
      </x:c>
      <x:c r="B51" s="11" t="str">
        <x:v>半年</x:v>
      </x:c>
      <x:c r="C51" s="11" t="str">
        <x:v>肺癌</x:v>
      </x:c>
      <x:c r="D51" s="11" t="n">
        <x:v>2040</x:v>
      </x:c>
      <x:c r="E51" s="11" t="n">
        <x:f>CHOOSE('假设'!$B$3,Q51,R51,S51)</x:f>
        <x:v>4.199999999999999</x:v>
      </x:c>
      <x:c r="F51" s="11" t="n">
        <x:f>'药物假设'!K11</x:f>
        <x:v>0.15</x:v>
      </x:c>
      <x:c r="G51" s="11" t="n">
        <x:f>1-'药物假设'!L11</x:f>
        <x:v>0.78</x:v>
      </x:c>
      <x:c r="H51" s="11" t="n">
        <x:f>'药物假设'!I11</x:f>
        <x:v>0.35</x:v>
      </x:c>
      <x:c r="I51" s="11" t="n">
        <x:f>E51*F51*G51*H51*'药物假设'!Q11</x:f>
        <x:v>0.15479099999999998</x:v>
      </x:c>
      <x:c r="J51" s="11" t="str">
        <x:v>2027-04-09</x:v>
      </x:c>
      <x:c r="K51" s="11" t="n">
        <x:v>13.730321697467488</x:v>
      </x:c>
      <x:c r="L51" s="11" t="n">
        <x:f>'药物假设'!M11</x:f>
        <x:v>0.13</x:v>
      </x:c>
      <x:c r="M51" s="11" t="n">
        <x:f>IF(O51,I51/(1+L51)^K51,0)</x:f>
        <x:v>0.028904243132174053</x:v>
      </x:c>
      <x:c r="N51" s="11" t="n">
        <x:f>M51*'药物假设'!N11</x:f>
        <x:v>0.20232970192521837</x:v>
      </x:c>
      <x:c r="O51" s="26" t="b">
        <x:v>1</x:v>
      </x:c>
      <x:c r="P51" s="11" t="n">
        <x:f>11</x:f>
        <x:v>11</x:v>
      </x:c>
      <x:c r="Q51" s="16" t="n">
        <x:v>2.46</x:v>
      </x:c>
      <x:c r="R51" s="16" t="n">
        <x:v>4.199999999999999</x:v>
      </x:c>
      <x:c r="S51" s="16" t="n">
        <x:v>5.5</x:v>
      </x:c>
    </x:row>
    <x:row r="52" ht="23" customHeight="1">
      <x:c r="A52" s="11" t="str">
        <x:v>01530.HK</x:v>
      </x:c>
      <x:c r="B52" s="11" t="str">
        <x:v>半年</x:v>
      </x:c>
      <x:c r="C52" s="11" t="str">
        <x:v>肺癌</x:v>
      </x:c>
      <x:c r="D52" s="11" t="n">
        <x:v>2041</x:v>
      </x:c>
      <x:c r="E52" s="11" t="n">
        <x:f>CHOOSE('假设'!$B$3,Q52,R52,S52)</x:f>
        <x:v>3.3000000000000003</x:v>
      </x:c>
      <x:c r="F52" s="11" t="n">
        <x:f>'药物假设'!K11</x:f>
        <x:v>0.15</x:v>
      </x:c>
      <x:c r="G52" s="11" t="n">
        <x:f>1-'药物假设'!L11</x:f>
        <x:v>0.78</x:v>
      </x:c>
      <x:c r="H52" s="11" t="n">
        <x:f>'药物假设'!I11</x:f>
        <x:v>0.35</x:v>
      </x:c>
      <x:c r="I52" s="11" t="n">
        <x:f>E52*F52*G52*H52*'药物假设'!Q11</x:f>
        <x:v>0.12162149999999998</x:v>
      </x:c>
      <x:c r="J52" s="11" t="str">
        <x:v>2027-04-09</x:v>
      </x:c>
      <x:c r="K52" s="11" t="n">
        <x:v>14.729637234770705</x:v>
      </x:c>
      <x:c r="L52" s="11" t="n">
        <x:f>'药物假设'!M11</x:f>
        <x:v>0.13</x:v>
      </x:c>
      <x:c r="M52" s="11" t="n">
        <x:f>IF(O52,I52/(1+L52)^K52,0)</x:f>
        <x:v>0.02009944834956357</x:v>
      </x:c>
      <x:c r="N52" s="11" t="n">
        <x:f>M52*'药物假设'!N11</x:f>
        <x:v>0.140696138446945</x:v>
      </x:c>
      <x:c r="O52" s="26" t="b">
        <x:v>1</x:v>
      </x:c>
      <x:c r="P52" s="11" t="n">
        <x:f>11</x:f>
        <x:v>11</x:v>
      </x:c>
      <x:c r="Q52" s="16" t="n">
        <x:v>2.0999999999999996</x:v>
      </x:c>
      <x:c r="R52" s="16" t="n">
        <x:v>3.3000000000000003</x:v>
      </x:c>
      <x:c r="S52" s="16" t="n">
        <x:v>3.5</x:v>
      </x:c>
    </x:row>
    <x:row r="53" ht="23" customHeight="1">
      <x:c r="A53" s="11" t="str">
        <x:v>01530.HK</x:v>
      </x:c>
      <x:c r="B53" s="11" t="str">
        <x:v>半年</x:v>
      </x:c>
      <x:c r="C53" s="11" t="str">
        <x:v>肺癌</x:v>
      </x:c>
      <x:c r="D53" s="11" t="n">
        <x:v>2042</x:v>
      </x:c>
      <x:c r="E53" s="11" t="n">
        <x:f>CHOOSE('假设'!$B$3,Q53,R53,S53)</x:f>
        <x:v>2.0999999999999996</x:v>
      </x:c>
      <x:c r="F53" s="11" t="n">
        <x:f>'药物假设'!K11</x:f>
        <x:v>0.15</x:v>
      </x:c>
      <x:c r="G53" s="11" t="n">
        <x:f>1-'药物假设'!L11</x:f>
        <x:v>0.78</x:v>
      </x:c>
      <x:c r="H53" s="11" t="n">
        <x:f>'药物假设'!I11</x:f>
        <x:v>0.35</x:v>
      </x:c>
      <x:c r="I53" s="11" t="n">
        <x:f>E53*F53*G53*H53*'药物假设'!Q11</x:f>
        <x:v>0.07739549999999999</x:v>
      </x:c>
      <x:c r="J53" s="11" t="str">
        <x:v>2027-04-09</x:v>
      </x:c>
      <x:c r="K53" s="11" t="n">
        <x:v>15.728952772073923</x:v>
      </x:c>
      <x:c r="L53" s="11" t="n">
        <x:f>'药物假设'!M11</x:f>
        <x:v>0.13</x:v>
      </x:c>
      <x:c r="M53" s="11" t="n">
        <x:f>IF(O53,I53/(1+L53)^K53,0)</x:f>
        <x:v>0.01132002483114004</x:v>
      </x:c>
      <x:c r="N53" s="11" t="n">
        <x:f>M53*'药物假设'!N11</x:f>
        <x:v>0.07924017381798028</x:v>
      </x:c>
      <x:c r="O53" s="26" t="b">
        <x:v>1</x:v>
      </x:c>
      <x:c r="P53" s="11" t="n">
        <x:f>11</x:f>
        <x:v>11</x:v>
      </x:c>
      <x:c r="Q53" s="16" t="n">
        <x:v>1.6500000000000001</x:v>
      </x:c>
      <x:c r="R53" s="16" t="n">
        <x:v>2.0999999999999996</x:v>
      </x:c>
      <x:c r="S53" s="16" t="n">
        <x:v>2</x:v>
      </x:c>
    </x:row>
    <x:row r="54" ht="23" customHeight="1">
      <x:c r="A54" s="11" t="str">
        <x:v>01530.HK</x:v>
      </x:c>
      <x:c r="B54" s="11" t="str">
        <x:v>半年</x:v>
      </x:c>
      <x:c r="C54" s="11" t="str">
        <x:v>肺癌</x:v>
      </x:c>
      <x:c r="D54" s="11" t="n">
        <x:v>2043</x:v>
      </x:c>
      <x:c r="E54" s="11" t="n">
        <x:f>CHOOSE('假设'!$B$3,Q54,R54,S54)</x:f>
        <x:v>1.2000000000000002</x:v>
      </x:c>
      <x:c r="F54" s="11" t="n">
        <x:f>'药物假设'!K11</x:f>
        <x:v>0.15</x:v>
      </x:c>
      <x:c r="G54" s="11" t="n">
        <x:f>1-'药物假设'!L11</x:f>
        <x:v>0.78</x:v>
      </x:c>
      <x:c r="H54" s="11" t="n">
        <x:f>'药物假设'!I11</x:f>
        <x:v>0.35</x:v>
      </x:c>
      <x:c r="I54" s="11" t="n">
        <x:f>E54*F54*G54*H54*'药物假设'!Q11</x:f>
        <x:v>0.044226</x:v>
      </x:c>
      <x:c r="J54" s="11" t="str">
        <x:v>2027-04-09</x:v>
      </x:c>
      <x:c r="K54" s="11" t="n">
        <x:v>16.72826830937714</x:v>
      </x:c>
      <x:c r="L54" s="11" t="n">
        <x:f>'药物假设'!M11</x:f>
        <x:v>0.13</x:v>
      </x:c>
      <x:c r="M54" s="11" t="n">
        <x:f>IF(O54,I54/(1+L54)^K54,0)</x:f>
        <x:v>0.0057248909377665</x:v>
      </x:c>
      <x:c r="N54" s="11" t="n">
        <x:f>M54*'药物假设'!N11</x:f>
        <x:v>0.0400742365643655</x:v>
      </x:c>
      <x:c r="O54" s="26" t="b">
        <x:v>1</x:v>
      </x:c>
      <x:c r="P54" s="11" t="n">
        <x:f>11</x:f>
        <x:v>11</x:v>
      </x:c>
      <x:c r="Q54" s="16" t="n">
        <x:v>1.0499999999999998</x:v>
      </x:c>
      <x:c r="R54" s="16" t="n">
        <x:v>1.2000000000000002</x:v>
      </x:c>
      <x:c r="S54" s="16" t="n">
        <x:v>1</x:v>
      </x:c>
    </x:row>
    <x:row r="55" ht="23" customHeight="1">
      <x:c r="A55" s="11" t="str">
        <x:v>01530.HK</x:v>
      </x:c>
      <x:c r="B55" s="11" t="str">
        <x:v>半年</x:v>
      </x:c>
      <x:c r="C55" s="11" t="str">
        <x:v>其他适应症</x:v>
      </x:c>
      <x:c r="D55" s="11" t="n">
        <x:v>2028</x:v>
      </x:c>
      <x:c r="E55" s="11" t="n">
        <x:f>CHOOSE('假设'!$B$3,Q55,R55,S55)</x:f>
        <x:v>0</x:v>
      </x:c>
      <x:c r="F55" s="11" t="n">
        <x:f>'药物假设'!K11</x:f>
        <x:v>0.15</x:v>
      </x:c>
      <x:c r="G55" s="11" t="n">
        <x:f>1-'药物假设'!L11</x:f>
        <x:v>0.78</x:v>
      </x:c>
      <x:c r="H55" s="11" t="n">
        <x:f>'药物假设'!J11</x:f>
        <x:v>0.2</x:v>
      </x:c>
      <x:c r="I55" s="11" t="n">
        <x:f>E55*F55*G55*H55*'药物假设'!Q11</x:f>
        <x:v>0</x:v>
      </x:c>
      <x:c r="J55" s="11" t="str">
        <x:v>2027-04-09</x:v>
      </x:c>
      <x:c r="K55" s="11" t="n">
        <x:v>1.730321697467488</x:v>
      </x:c>
      <x:c r="L55" s="11" t="n">
        <x:f>'药物假设'!M11</x:f>
        <x:v>0.13</x:v>
      </x:c>
      <x:c r="M55" s="11" t="n">
        <x:f>IF(O55,I55/(1+L55)^K55,0)</x:f>
        <x:v>0</x:v>
      </x:c>
      <x:c r="N55" s="11" t="n">
        <x:f>M55*'药物假设'!N11</x:f>
        <x:v>0</x:v>
      </x:c>
      <x:c r="O55" s="26" t="b">
        <x:v>1</x:v>
      </x:c>
      <x:c r="P55" s="11" t="n">
        <x:f>11</x:f>
        <x:v>11</x:v>
      </x:c>
      <x:c r="Q55" s="16" t="n">
        <x:v>0</x:v>
      </x:c>
      <x:c r="R55" s="16" t="n">
        <x:v>0</x:v>
      </x:c>
      <x:c r="S55" s="16" t="n">
        <x:v>0</x:v>
      </x:c>
    </x:row>
    <x:row r="56" ht="23" customHeight="1">
      <x:c r="A56" s="11" t="str">
        <x:v>01530.HK</x:v>
      </x:c>
      <x:c r="B56" s="11" t="str">
        <x:v>半年</x:v>
      </x:c>
      <x:c r="C56" s="11" t="str">
        <x:v>其他适应症</x:v>
      </x:c>
      <x:c r="D56" s="11" t="n">
        <x:v>2029</x:v>
      </x:c>
      <x:c r="E56" s="11" t="n">
        <x:f>CHOOSE('假设'!$B$3,Q56,R56,S56)</x:f>
        <x:v>0</x:v>
      </x:c>
      <x:c r="F56" s="11" t="n">
        <x:f>'药物假设'!K11</x:f>
        <x:v>0.15</x:v>
      </x:c>
      <x:c r="G56" s="11" t="n">
        <x:f>1-'药物假设'!L11</x:f>
        <x:v>0.78</x:v>
      </x:c>
      <x:c r="H56" s="11" t="n">
        <x:f>'药物假设'!J11</x:f>
        <x:v>0.2</x:v>
      </x:c>
      <x:c r="I56" s="11" t="n">
        <x:f>E56*F56*G56*H56*'药物假设'!Q11</x:f>
        <x:v>0</x:v>
      </x:c>
      <x:c r="J56" s="11" t="str">
        <x:v>2027-04-09</x:v>
      </x:c>
      <x:c r="K56" s="11" t="n">
        <x:v>2.729637234770705</x:v>
      </x:c>
      <x:c r="L56" s="11" t="n">
        <x:f>'药物假设'!M11</x:f>
        <x:v>0.13</x:v>
      </x:c>
      <x:c r="M56" s="11" t="n">
        <x:f>IF(O56,I56/(1+L56)^K56,0)</x:f>
        <x:v>0</x:v>
      </x:c>
      <x:c r="N56" s="11" t="n">
        <x:f>M56*'药物假设'!N11</x:f>
        <x:v>0</x:v>
      </x:c>
      <x:c r="O56" s="26" t="b">
        <x:v>1</x:v>
      </x:c>
      <x:c r="P56" s="11" t="n">
        <x:f>11</x:f>
        <x:v>11</x:v>
      </x:c>
      <x:c r="Q56" s="16" t="n">
        <x:v>0</x:v>
      </x:c>
      <x:c r="R56" s="16" t="n">
        <x:v>0</x:v>
      </x:c>
      <x:c r="S56" s="16" t="n">
        <x:v>1.05</x:v>
      </x:c>
    </x:row>
    <x:row r="57" ht="23" customHeight="1">
      <x:c r="A57" s="11" t="str">
        <x:v>01530.HK</x:v>
      </x:c>
      <x:c r="B57" s="11" t="str">
        <x:v>半年</x:v>
      </x:c>
      <x:c r="C57" s="11" t="str">
        <x:v>其他适应症</x:v>
      </x:c>
      <x:c r="D57" s="11" t="n">
        <x:v>2030</x:v>
      </x:c>
      <x:c r="E57" s="11" t="n">
        <x:f>CHOOSE('假设'!$B$3,Q57,R57,S57)</x:f>
        <x:v>0.44999999999999996</x:v>
      </x:c>
      <x:c r="F57" s="11" t="n">
        <x:f>'药物假设'!K11</x:f>
        <x:v>0.15</x:v>
      </x:c>
      <x:c r="G57" s="11" t="n">
        <x:f>1-'药物假设'!L11</x:f>
        <x:v>0.78</x:v>
      </x:c>
      <x:c r="H57" s="11" t="n">
        <x:f>'药物假设'!J11</x:f>
        <x:v>0.2</x:v>
      </x:c>
      <x:c r="I57" s="11" t="n">
        <x:f>E57*F57*G57*H57*'药物假设'!Q11</x:f>
        <x:v>0.009477</x:v>
      </x:c>
      <x:c r="J57" s="11" t="str">
        <x:v>2027-04-09</x:v>
      </x:c>
      <x:c r="K57" s="11" t="n">
        <x:v>3.728952772073922</x:v>
      </x:c>
      <x:c r="L57" s="11" t="n">
        <x:f>'药物假设'!M11</x:f>
        <x:v>0.13</x:v>
      </x:c>
      <x:c r="M57" s="11" t="n">
        <x:f>IF(O57,I57/(1+L57)^K57,0)</x:f>
        <x:v>0.006008192954120811</x:v>
      </x:c>
      <x:c r="N57" s="11" t="n">
        <x:f>M57*'药物假设'!N11</x:f>
        <x:v>0.042057350678845674</x:v>
      </x:c>
      <x:c r="O57" s="26" t="b">
        <x:v>1</x:v>
      </x:c>
      <x:c r="P57" s="11" t="n">
        <x:f>11</x:f>
        <x:v>11</x:v>
      </x:c>
      <x:c r="Q57" s="16" t="n">
        <x:v>0</x:v>
      </x:c>
      <x:c r="R57" s="16" t="n">
        <x:v>0.44999999999999996</x:v>
      </x:c>
      <x:c r="S57" s="16" t="n">
        <x:v>2.1</x:v>
      </x:c>
    </x:row>
    <x:row r="58" ht="23" customHeight="1">
      <x:c r="A58" s="11" t="str">
        <x:v>01530.HK</x:v>
      </x:c>
      <x:c r="B58" s="11" t="str">
        <x:v>半年</x:v>
      </x:c>
      <x:c r="C58" s="11" t="str">
        <x:v>其他适应症</x:v>
      </x:c>
      <x:c r="D58" s="11" t="n">
        <x:v>2031</x:v>
      </x:c>
      <x:c r="E58" s="11" t="n">
        <x:f>CHOOSE('假设'!$B$3,Q58,R58,S58)</x:f>
        <x:v>0.8999999999999999</x:v>
      </x:c>
      <x:c r="F58" s="11" t="n">
        <x:f>'药物假设'!K11</x:f>
        <x:v>0.15</x:v>
      </x:c>
      <x:c r="G58" s="11" t="n">
        <x:f>1-'药物假设'!L11</x:f>
        <x:v>0.78</x:v>
      </x:c>
      <x:c r="H58" s="11" t="n">
        <x:f>'药物假设'!J11</x:f>
        <x:v>0.2</x:v>
      </x:c>
      <x:c r="I58" s="11" t="n">
        <x:f>E58*F58*G58*H58*'药物假设'!Q11</x:f>
        <x:v>0.018954</x:v>
      </x:c>
      <x:c r="J58" s="11" t="str">
        <x:v>2027-04-09</x:v>
      </x:c>
      <x:c r="K58" s="11" t="n">
        <x:v>4.728268309377139</x:v>
      </x:c>
      <x:c r="L58" s="11" t="n">
        <x:f>'药物假设'!M11</x:f>
        <x:v>0.13</x:v>
      </x:c>
      <x:c r="M58" s="11" t="n">
        <x:f>IF(O58,I58/(1+L58)^K58,0)</x:f>
        <x:v>0.010634859435354391</x:v>
      </x:c>
      <x:c r="N58" s="11" t="n">
        <x:f>M58*'药物假设'!N11</x:f>
        <x:v>0.07444401604748074</x:v>
      </x:c>
      <x:c r="O58" s="26" t="b">
        <x:v>1</x:v>
      </x:c>
      <x:c r="P58" s="11" t="n">
        <x:f>11</x:f>
        <x:v>11</x:v>
      </x:c>
      <x:c r="Q58" s="16" t="n">
        <x:v>0.15</x:v>
      </x:c>
      <x:c r="R58" s="16" t="n">
        <x:v>0.8999999999999999</x:v>
      </x:c>
      <x:c r="S58" s="16" t="n">
        <x:v>3.5</x:v>
      </x:c>
    </x:row>
    <x:row r="59" ht="23" customHeight="1">
      <x:c r="A59" s="11" t="str">
        <x:v>01530.HK</x:v>
      </x:c>
      <x:c r="B59" s="11" t="str">
        <x:v>半年</x:v>
      </x:c>
      <x:c r="C59" s="11" t="str">
        <x:v>其他适应症</x:v>
      </x:c>
      <x:c r="D59" s="11" t="n">
        <x:v>2032</x:v>
      </x:c>
      <x:c r="E59" s="11" t="n">
        <x:f>CHOOSE('假设'!$B$3,Q59,R59,S59)</x:f>
        <x:v>1.5</x:v>
      </x:c>
      <x:c r="F59" s="11" t="n">
        <x:f>'药物假设'!K11</x:f>
        <x:v>0.15</x:v>
      </x:c>
      <x:c r="G59" s="11" t="n">
        <x:f>1-'药物假设'!L11</x:f>
        <x:v>0.78</x:v>
      </x:c>
      <x:c r="H59" s="11" t="n">
        <x:f>'药物假设'!J11</x:f>
        <x:v>0.2</x:v>
      </x:c>
      <x:c r="I59" s="11" t="n">
        <x:f>E59*F59*G59*H59*'药物假设'!Q11</x:f>
        <x:v>0.03159</x:v>
      </x:c>
      <x:c r="J59" s="11" t="str">
        <x:v>2027-04-09</x:v>
      </x:c>
      <x:c r="K59" s="11" t="n">
        <x:v>5.730321697467488</x:v>
      </x:c>
      <x:c r="L59" s="11" t="n">
        <x:f>'药物假设'!M11</x:f>
        <x:v>0.13</x:v>
      </x:c>
      <x:c r="M59" s="11" t="n">
        <x:f>IF(O59,I59/(1+L59)^K59,0)</x:f>
        <x:v>0.01568169740920075</x:v>
      </x:c>
      <x:c r="N59" s="11" t="n">
        <x:f>M59*'药物假设'!N11</x:f>
        <x:v>0.10977188186440526</x:v>
      </x:c>
      <x:c r="O59" s="26" t="b">
        <x:v>1</x:v>
      </x:c>
      <x:c r="P59" s="11" t="n">
        <x:f>11</x:f>
        <x:v>11</x:v>
      </x:c>
      <x:c r="Q59" s="16" t="n">
        <x:v>0.3</x:v>
      </x:c>
      <x:c r="R59" s="16" t="n">
        <x:v>1.5</x:v>
      </x:c>
      <x:c r="S59" s="16" t="n">
        <x:v>4.8999999999999995</x:v>
      </x:c>
    </x:row>
    <x:row r="60" ht="23" customHeight="1">
      <x:c r="A60" s="11" t="str">
        <x:v>01530.HK</x:v>
      </x:c>
      <x:c r="B60" s="11" t="str">
        <x:v>半年</x:v>
      </x:c>
      <x:c r="C60" s="11" t="str">
        <x:v>其他适应症</x:v>
      </x:c>
      <x:c r="D60" s="11" t="n">
        <x:v>2033</x:v>
      </x:c>
      <x:c r="E60" s="11" t="n">
        <x:f>CHOOSE('假设'!$B$3,Q60,R60,S60)</x:f>
        <x:v>2.0999999999999996</x:v>
      </x:c>
      <x:c r="F60" s="11" t="n">
        <x:f>'药物假设'!K11</x:f>
        <x:v>0.15</x:v>
      </x:c>
      <x:c r="G60" s="11" t="n">
        <x:f>1-'药物假设'!L11</x:f>
        <x:v>0.78</x:v>
      </x:c>
      <x:c r="H60" s="11" t="n">
        <x:f>'药物假设'!J11</x:f>
        <x:v>0.2</x:v>
      </x:c>
      <x:c r="I60" s="11" t="n">
        <x:f>E60*F60*G60*H60*'药物假设'!Q11</x:f>
        <x:v>0.044225999999999994</x:v>
      </x:c>
      <x:c r="J60" s="11" t="str">
        <x:v>2027-04-09</x:v>
      </x:c>
      <x:c r="K60" s="11" t="n">
        <x:v>6.729637234770705</x:v>
      </x:c>
      <x:c r="L60" s="11" t="n">
        <x:f>'药物假设'!M11</x:f>
        <x:v>0.13</x:v>
      </x:c>
      <x:c r="M60" s="11" t="n">
        <x:f>IF(O60,I60/(1+L60)^K60,0)</x:f>
        <x:v>0.01943027699837091</x:v>
      </x:c>
      <x:c r="N60" s="11" t="n">
        <x:f>M60*'药物假设'!N11</x:f>
        <x:v>0.13601193898859637</x:v>
      </x:c>
      <x:c r="O60" s="26" t="b">
        <x:v>1</x:v>
      </x:c>
      <x:c r="P60" s="11" t="n">
        <x:f>11</x:f>
        <x:v>11</x:v>
      </x:c>
      <x:c r="Q60" s="16" t="n">
        <x:v>0.5</x:v>
      </x:c>
      <x:c r="R60" s="16" t="n">
        <x:v>2.0999999999999996</x:v>
      </x:c>
      <x:c r="S60" s="16" t="n">
        <x:v>6.3</x:v>
      </x:c>
    </x:row>
    <x:row r="61" ht="23" customHeight="1">
      <x:c r="A61" s="11" t="str">
        <x:v>01530.HK</x:v>
      </x:c>
      <x:c r="B61" s="11" t="str">
        <x:v>半年</x:v>
      </x:c>
      <x:c r="C61" s="11" t="str">
        <x:v>其他适应症</x:v>
      </x:c>
      <x:c r="D61" s="11" t="n">
        <x:v>2034</x:v>
      </x:c>
      <x:c r="E61" s="11" t="n">
        <x:f>CHOOSE('假设'!$B$3,Q61,R61,S61)</x:f>
        <x:v>2.7</x:v>
      </x:c>
      <x:c r="F61" s="11" t="n">
        <x:f>'药物假设'!K11</x:f>
        <x:v>0.15</x:v>
      </x:c>
      <x:c r="G61" s="11" t="n">
        <x:f>1-'药物假设'!L11</x:f>
        <x:v>0.78</x:v>
      </x:c>
      <x:c r="H61" s="11" t="n">
        <x:f>'药物假设'!J11</x:f>
        <x:v>0.2</x:v>
      </x:c>
      <x:c r="I61" s="11" t="n">
        <x:f>E61*F61*G61*H61*'药物假设'!Q11</x:f>
        <x:v>0.056862</x:v>
      </x:c>
      <x:c r="J61" s="11" t="str">
        <x:v>2027-04-09</x:v>
      </x:c>
      <x:c r="K61" s="11" t="n">
        <x:v>7.728952772073922</x:v>
      </x:c>
      <x:c r="L61" s="11" t="n">
        <x:f>'药物假设'!M11</x:f>
        <x:v>0.13</x:v>
      </x:c>
      <x:c r="M61" s="11" t="n">
        <x:f>IF(O61,I61/(1+L61)^K61,0)</x:f>
        <x:v>0.02210962354964143</x:v>
      </x:c>
      <x:c r="N61" s="11" t="n">
        <x:f>M61*'药物假设'!N11</x:f>
        <x:v>0.15476736484749</x:v>
      </x:c>
      <x:c r="O61" s="26" t="b">
        <x:v>1</x:v>
      </x:c>
      <x:c r="P61" s="11" t="n">
        <x:f>11</x:f>
        <x:v>11</x:v>
      </x:c>
      <x:c r="Q61" s="16" t="n">
        <x:v>0.7</x:v>
      </x:c>
      <x:c r="R61" s="16" t="n">
        <x:v>2.7</x:v>
      </x:c>
      <x:c r="S61" s="16" t="n">
        <x:v>7</x:v>
      </x:c>
    </x:row>
    <x:row r="62" ht="23" customHeight="1">
      <x:c r="A62" s="11" t="str">
        <x:v>01530.HK</x:v>
      </x:c>
      <x:c r="B62" s="11" t="str">
        <x:v>半年</x:v>
      </x:c>
      <x:c r="C62" s="11" t="str">
        <x:v>其他适应症</x:v>
      </x:c>
      <x:c r="D62" s="11" t="n">
        <x:v>2035</x:v>
      </x:c>
      <x:c r="E62" s="11" t="n">
        <x:f>CHOOSE('假设'!$B$3,Q62,R62,S62)</x:f>
        <x:v>3</x:v>
      </x:c>
      <x:c r="F62" s="11" t="n">
        <x:f>'药物假设'!K11</x:f>
        <x:v>0.15</x:v>
      </x:c>
      <x:c r="G62" s="11" t="n">
        <x:f>1-'药物假设'!L11</x:f>
        <x:v>0.78</x:v>
      </x:c>
      <x:c r="H62" s="11" t="n">
        <x:f>'药物假设'!J11</x:f>
        <x:v>0.2</x:v>
      </x:c>
      <x:c r="I62" s="11" t="n">
        <x:f>E62*F62*G62*H62*'药物假设'!Q11</x:f>
        <x:v>0.06318</x:v>
      </x:c>
      <x:c r="J62" s="11" t="str">
        <x:v>2027-04-09</x:v>
      </x:c>
      <x:c r="K62" s="11" t="n">
        <x:v>8.728268309377139</x:v>
      </x:c>
      <x:c r="L62" s="11" t="n">
        <x:f>'药物假设'!M11</x:f>
        <x:v>0.13</x:v>
      </x:c>
      <x:c r="M62" s="11" t="n">
        <x:f>IF(O62,I62/(1+L62)^K62,0)</x:f>
        <x:v>0.021741861526468568</x:v>
      </x:c>
      <x:c r="N62" s="11" t="n">
        <x:f>M62*'药物假设'!N11</x:f>
        <x:v>0.15219303068527998</x:v>
      </x:c>
      <x:c r="O62" s="26" t="b">
        <x:v>1</x:v>
      </x:c>
      <x:c r="P62" s="11" t="n">
        <x:f>11</x:f>
        <x:v>11</x:v>
      </x:c>
      <x:c r="Q62" s="16" t="n">
        <x:v>0.9</x:v>
      </x:c>
      <x:c r="R62" s="16" t="n">
        <x:v>3</x:v>
      </x:c>
      <x:c r="S62" s="16" t="n">
        <x:v>7</x:v>
      </x:c>
    </x:row>
    <x:row r="63" ht="23" customHeight="1">
      <x:c r="A63" s="11" t="str">
        <x:v>01530.HK</x:v>
      </x:c>
      <x:c r="B63" s="11" t="str">
        <x:v>半年</x:v>
      </x:c>
      <x:c r="C63" s="11" t="str">
        <x:v>其他适应症</x:v>
      </x:c>
      <x:c r="D63" s="11" t="n">
        <x:v>2036</x:v>
      </x:c>
      <x:c r="E63" s="11" t="n">
        <x:f>CHOOSE('假设'!$B$3,Q63,R63,S63)</x:f>
        <x:v>3</x:v>
      </x:c>
      <x:c r="F63" s="11" t="n">
        <x:f>'药物假设'!K11</x:f>
        <x:v>0.15</x:v>
      </x:c>
      <x:c r="G63" s="11" t="n">
        <x:f>1-'药物假设'!L11</x:f>
        <x:v>0.78</x:v>
      </x:c>
      <x:c r="H63" s="11" t="n">
        <x:f>'药物假设'!J11</x:f>
        <x:v>0.2</x:v>
      </x:c>
      <x:c r="I63" s="11" t="n">
        <x:f>E63*F63*G63*H63*'药物假设'!Q11</x:f>
        <x:v>0.06318</x:v>
      </x:c>
      <x:c r="J63" s="11" t="str">
        <x:v>2027-04-09</x:v>
      </x:c>
      <x:c r="K63" s="11" t="n">
        <x:v>9.730321697467488</x:v>
      </x:c>
      <x:c r="L63" s="11" t="n">
        <x:f>'药物假设'!M11</x:f>
        <x:v>0.13</x:v>
      </x:c>
      <x:c r="M63" s="11" t="n">
        <x:f>IF(O63,I63/(1+L63)^K63,0)</x:f>
        <x:v>0.019235757405727968</x:v>
      </x:c>
      <x:c r="N63" s="11" t="n">
        <x:f>M63*'药物假设'!N11</x:f>
        <x:v>0.13465030184009577</x:v>
      </x:c>
      <x:c r="O63" s="26" t="b">
        <x:v>1</x:v>
      </x:c>
      <x:c r="P63" s="11" t="n">
        <x:f>11</x:f>
        <x:v>11</x:v>
      </x:c>
      <x:c r="Q63" s="16" t="n">
        <x:v>1</x:v>
      </x:c>
      <x:c r="R63" s="16" t="n">
        <x:v>3</x:v>
      </x:c>
      <x:c r="S63" s="16" t="n">
        <x:v>6.6499999999999995</x:v>
      </x:c>
    </x:row>
    <x:row r="64" ht="23" customHeight="1">
      <x:c r="A64" s="11" t="str">
        <x:v>01530.HK</x:v>
      </x:c>
      <x:c r="B64" s="11" t="str">
        <x:v>半年</x:v>
      </x:c>
      <x:c r="C64" s="11" t="str">
        <x:v>其他适应症</x:v>
      </x:c>
      <x:c r="D64" s="11" t="n">
        <x:v>2037</x:v>
      </x:c>
      <x:c r="E64" s="11" t="n">
        <x:f>CHOOSE('假设'!$B$3,Q64,R64,S64)</x:f>
        <x:v>2.8499999999999996</x:v>
      </x:c>
      <x:c r="F64" s="11" t="n">
        <x:f>'药物假设'!K11</x:f>
        <x:v>0.15</x:v>
      </x:c>
      <x:c r="G64" s="11" t="n">
        <x:f>1-'药物假设'!L11</x:f>
        <x:v>0.78</x:v>
      </x:c>
      <x:c r="H64" s="11" t="n">
        <x:f>'药物假设'!J11</x:f>
        <x:v>0.2</x:v>
      </x:c>
      <x:c r="I64" s="11" t="n">
        <x:f>E64*F64*G64*H64*'药物假设'!Q11</x:f>
        <x:v>0.060021</x:v>
      </x:c>
      <x:c r="J64" s="11" t="str">
        <x:v>2027-04-09</x:v>
      </x:c>
      <x:c r="K64" s="11" t="n">
        <x:v>10.729637234770705</x:v>
      </x:c>
      <x:c r="L64" s="11" t="n">
        <x:f>'药物假设'!M11</x:f>
        <x:v>0.13</x:v>
      </x:c>
      <x:c r="M64" s="11" t="n">
        <x:f>IF(O64,I64/(1+L64)^K64,0)</x:f>
        <x:v>0.01617300732677682</x:v>
      </x:c>
      <x:c r="N64" s="11" t="n">
        <x:f>M64*'药物假设'!N11</x:f>
        <x:v>0.11321105128743775</x:v>
      </x:c>
      <x:c r="O64" s="26" t="b">
        <x:v>1</x:v>
      </x:c>
      <x:c r="P64" s="11" t="n">
        <x:f>11</x:f>
        <x:v>11</x:v>
      </x:c>
      <x:c r="Q64" s="16" t="n">
        <x:v>1</x:v>
      </x:c>
      <x:c r="R64" s="16" t="n">
        <x:v>2.8499999999999996</x:v>
      </x:c>
      <x:c r="S64" s="16" t="n">
        <x:v>6.3</x:v>
      </x:c>
    </x:row>
    <x:row r="65" ht="23" customHeight="1">
      <x:c r="A65" s="11" t="str">
        <x:v>01530.HK</x:v>
      </x:c>
      <x:c r="B65" s="11" t="str">
        <x:v>半年</x:v>
      </x:c>
      <x:c r="C65" s="11" t="str">
        <x:v>其他适应症</x:v>
      </x:c>
      <x:c r="D65" s="11" t="n">
        <x:v>2038</x:v>
      </x:c>
      <x:c r="E65" s="11" t="n">
        <x:f>CHOOSE('假设'!$B$3,Q65,R65,S65)</x:f>
        <x:v>2.7</x:v>
      </x:c>
      <x:c r="F65" s="11" t="n">
        <x:f>'药物假设'!K11</x:f>
        <x:v>0.15</x:v>
      </x:c>
      <x:c r="G65" s="11" t="n">
        <x:f>1-'药物假设'!L11</x:f>
        <x:v>0.78</x:v>
      </x:c>
      <x:c r="H65" s="11" t="n">
        <x:f>'药物假设'!J11</x:f>
        <x:v>0.2</x:v>
      </x:c>
      <x:c r="I65" s="11" t="n">
        <x:f>E65*F65*G65*H65*'药物假设'!Q11</x:f>
        <x:v>0.056862</x:v>
      </x:c>
      <x:c r="J65" s="11" t="str">
        <x:v>2027-04-09</x:v>
      </x:c>
      <x:c r="K65" s="11" t="n">
        <x:v>11.728952772073923</x:v>
      </x:c>
      <x:c r="L65" s="11" t="n">
        <x:f>'药物假设'!M11</x:f>
        <x:v>0.13</x:v>
      </x:c>
      <x:c r="M65" s="11" t="n">
        <x:f>IF(O65,I65/(1+L65)^K65,0)</x:f>
        <x:v>0.013560246184936068</x:v>
      </x:c>
      <x:c r="N65" s="11" t="n">
        <x:f>M65*'药物假设'!N11</x:f>
        <x:v>0.09492172329455248</x:v>
      </x:c>
      <x:c r="O65" s="26" t="b">
        <x:v>1</x:v>
      </x:c>
      <x:c r="P65" s="11" t="n">
        <x:f>11</x:f>
        <x:v>11</x:v>
      </x:c>
      <x:c r="Q65" s="16" t="n">
        <x:v>0.95</x:v>
      </x:c>
      <x:c r="R65" s="16" t="n">
        <x:v>2.7</x:v>
      </x:c>
      <x:c r="S65" s="16" t="n">
        <x:v>5.739999999999999</x:v>
      </x:c>
    </x:row>
    <x:row r="66" ht="23" customHeight="1">
      <x:c r="A66" s="11" t="str">
        <x:v>01530.HK</x:v>
      </x:c>
      <x:c r="B66" s="11" t="str">
        <x:v>半年</x:v>
      </x:c>
      <x:c r="C66" s="11" t="str">
        <x:v>其他适应症</x:v>
      </x:c>
      <x:c r="D66" s="11" t="n">
        <x:v>2039</x:v>
      </x:c>
      <x:c r="E66" s="11" t="n">
        <x:f>CHOOSE('假设'!$B$3,Q66,R66,S66)</x:f>
        <x:v>2.46</x:v>
      </x:c>
      <x:c r="F66" s="11" t="n">
        <x:f>'药物假设'!K11</x:f>
        <x:v>0.15</x:v>
      </x:c>
      <x:c r="G66" s="11" t="n">
        <x:f>1-'药物假设'!L11</x:f>
        <x:v>0.78</x:v>
      </x:c>
      <x:c r="H66" s="11" t="n">
        <x:f>'药物假设'!J11</x:f>
        <x:v>0.2</x:v>
      </x:c>
      <x:c r="I66" s="11" t="n">
        <x:f>E66*F66*G66*H66*'药物假设'!Q11</x:f>
        <x:v>0.0518076</x:v>
      </x:c>
      <x:c r="J66" s="11" t="str">
        <x:v>2027-04-09</x:v>
      </x:c>
      <x:c r="K66" s="11" t="n">
        <x:v>12.728268309377139</x:v>
      </x:c>
      <x:c r="L66" s="11" t="n">
        <x:f>'药物假设'!M11</x:f>
        <x:v>0.13</x:v>
      </x:c>
      <x:c r="M66" s="11" t="n">
        <x:f>IF(O66,I66/(1+L66)^K66,0)</x:f>
        <x:v>0.010934446496011815</x:v>
      </x:c>
      <x:c r="N66" s="11" t="n">
        <x:f>M66*'药物假设'!N11</x:f>
        <x:v>0.07654112547208271</x:v>
      </x:c>
      <x:c r="O66" s="26" t="b">
        <x:v>1</x:v>
      </x:c>
      <x:c r="P66" s="11" t="n">
        <x:f>11</x:f>
        <x:v>11</x:v>
      </x:c>
      <x:c r="Q66" s="16" t="n">
        <x:v>0.9</x:v>
      </x:c>
      <x:c r="R66" s="16" t="n">
        <x:v>2.46</x:v>
      </x:c>
      <x:c r="S66" s="16" t="n">
        <x:v>4.8999999999999995</x:v>
      </x:c>
    </x:row>
    <x:row r="67" ht="23" customHeight="1">
      <x:c r="A67" s="11" t="str">
        <x:v>01530.HK</x:v>
      </x:c>
      <x:c r="B67" s="11" t="str">
        <x:v>半年</x:v>
      </x:c>
      <x:c r="C67" s="11" t="str">
        <x:v>其他适应症</x:v>
      </x:c>
      <x:c r="D67" s="11" t="n">
        <x:v>2040</x:v>
      </x:c>
      <x:c r="E67" s="11" t="n">
        <x:f>CHOOSE('假设'!$B$3,Q67,R67,S67)</x:f>
        <x:v>2.0999999999999996</x:v>
      </x:c>
      <x:c r="F67" s="11" t="n">
        <x:f>'药物假设'!K11</x:f>
        <x:v>0.15</x:v>
      </x:c>
      <x:c r="G67" s="11" t="n">
        <x:f>1-'药物假设'!L11</x:f>
        <x:v>0.78</x:v>
      </x:c>
      <x:c r="H67" s="11" t="n">
        <x:f>'药物假设'!J11</x:f>
        <x:v>0.2</x:v>
      </x:c>
      <x:c r="I67" s="11" t="n">
        <x:f>E67*F67*G67*H67*'药物假设'!Q11</x:f>
        <x:v>0.044225999999999994</x:v>
      </x:c>
      <x:c r="J67" s="11" t="str">
        <x:v>2027-04-09</x:v>
      </x:c>
      <x:c r="K67" s="11" t="n">
        <x:v>13.730321697467488</x:v>
      </x:c>
      <x:c r="L67" s="11" t="n">
        <x:f>'药物假设'!M11</x:f>
        <x:v>0.13</x:v>
      </x:c>
      <x:c r="M67" s="11" t="n">
        <x:f>IF(O67,I67/(1+L67)^K67,0)</x:f>
        <x:v>0.008258355180621157</x:v>
      </x:c>
      <x:c r="N67" s="11" t="n">
        <x:f>M67*'药物假设'!N11</x:f>
        <x:v>0.0578084862643481</x:v>
      </x:c>
      <x:c r="O67" s="26" t="b">
        <x:v>1</x:v>
      </x:c>
      <x:c r="P67" s="11" t="n">
        <x:f>11</x:f>
        <x:v>11</x:v>
      </x:c>
      <x:c r="Q67" s="16" t="n">
        <x:v>0.82</x:v>
      </x:c>
      <x:c r="R67" s="16" t="n">
        <x:v>2.0999999999999996</x:v>
      </x:c>
      <x:c r="S67" s="16" t="n">
        <x:v>3.8500000000000005</x:v>
      </x:c>
    </x:row>
    <x:row r="68" ht="23" customHeight="1">
      <x:c r="A68" s="11" t="str">
        <x:v>01530.HK</x:v>
      </x:c>
      <x:c r="B68" s="11" t="str">
        <x:v>半年</x:v>
      </x:c>
      <x:c r="C68" s="11" t="str">
        <x:v>其他适应症</x:v>
      </x:c>
      <x:c r="D68" s="11" t="n">
        <x:v>2041</x:v>
      </x:c>
      <x:c r="E68" s="11" t="n">
        <x:f>CHOOSE('假设'!$B$3,Q68,R68,S68)</x:f>
        <x:v>1.6500000000000001</x:v>
      </x:c>
      <x:c r="F68" s="11" t="n">
        <x:f>'药物假设'!K11</x:f>
        <x:v>0.15</x:v>
      </x:c>
      <x:c r="G68" s="11" t="n">
        <x:f>1-'药物假设'!L11</x:f>
        <x:v>0.78</x:v>
      </x:c>
      <x:c r="H68" s="11" t="n">
        <x:f>'药物假设'!J11</x:f>
        <x:v>0.2</x:v>
      </x:c>
      <x:c r="I68" s="11" t="n">
        <x:f>E68*F68*G68*H68*'药物假设'!Q11</x:f>
        <x:v>0.03474900000000001</x:v>
      </x:c>
      <x:c r="J68" s="11" t="str">
        <x:v>2027-04-09</x:v>
      </x:c>
      <x:c r="K68" s="11" t="n">
        <x:v>14.729637234770705</x:v>
      </x:c>
      <x:c r="L68" s="11" t="n">
        <x:f>'药物假设'!M11</x:f>
        <x:v>0.13</x:v>
      </x:c>
      <x:c r="M68" s="11" t="n">
        <x:f>IF(O68,I68/(1+L68)^K68,0)</x:f>
        <x:v>0.0057426995284467364</x:v>
      </x:c>
      <x:c r="N68" s="11" t="n">
        <x:f>M68*'药物假设'!N11</x:f>
        <x:v>0.04019889669912716</x:v>
      </x:c>
      <x:c r="O68" s="26" t="b">
        <x:v>1</x:v>
      </x:c>
      <x:c r="P68" s="11" t="n">
        <x:f>11</x:f>
        <x:v>11</x:v>
      </x:c>
      <x:c r="Q68" s="16" t="n">
        <x:v>0.7</x:v>
      </x:c>
      <x:c r="R68" s="16" t="n">
        <x:v>1.6500000000000001</x:v>
      </x:c>
      <x:c r="S68" s="16" t="n">
        <x:v>2.4499999999999997</x:v>
      </x:c>
    </x:row>
    <x:row r="69" ht="23" customHeight="1">
      <x:c r="A69" s="11" t="str">
        <x:v>01530.HK</x:v>
      </x:c>
      <x:c r="B69" s="11" t="str">
        <x:v>半年</x:v>
      </x:c>
      <x:c r="C69" s="11" t="str">
        <x:v>其他适应症</x:v>
      </x:c>
      <x:c r="D69" s="11" t="n">
        <x:v>2042</x:v>
      </x:c>
      <x:c r="E69" s="11" t="n">
        <x:f>CHOOSE('假设'!$B$3,Q69,R69,S69)</x:f>
        <x:v>1.0499999999999998</x:v>
      </x:c>
      <x:c r="F69" s="11" t="n">
        <x:f>'药物假设'!K11</x:f>
        <x:v>0.15</x:v>
      </x:c>
      <x:c r="G69" s="11" t="n">
        <x:f>1-'药物假设'!L11</x:f>
        <x:v>0.78</x:v>
      </x:c>
      <x:c r="H69" s="11" t="n">
        <x:f>'药物假设'!J11</x:f>
        <x:v>0.2</x:v>
      </x:c>
      <x:c r="I69" s="11" t="n">
        <x:f>E69*F69*G69*H69*'药物假设'!Q11</x:f>
        <x:v>0.022112999999999997</x:v>
      </x:c>
      <x:c r="J69" s="11" t="str">
        <x:v>2027-04-09</x:v>
      </x:c>
      <x:c r="K69" s="11" t="n">
        <x:v>15.728952772073923</x:v>
      </x:c>
      <x:c r="L69" s="11" t="n">
        <x:f>'药物假设'!M11</x:f>
        <x:v>0.13</x:v>
      </x:c>
      <x:c r="M69" s="11" t="n">
        <x:f>IF(O69,I69/(1+L69)^K69,0)</x:f>
        <x:v>0.0032342928088971543</x:v>
      </x:c>
      <x:c r="N69" s="11" t="n">
        <x:f>M69*'药物假设'!N11</x:f>
        <x:v>0.02264004966228008</x:v>
      </x:c>
      <x:c r="O69" s="26" t="b">
        <x:v>1</x:v>
      </x:c>
      <x:c r="P69" s="11" t="n">
        <x:f>11</x:f>
        <x:v>11</x:v>
      </x:c>
      <x:c r="Q69" s="16" t="n">
        <x:v>0.55</x:v>
      </x:c>
      <x:c r="R69" s="16" t="n">
        <x:v>1.0499999999999998</x:v>
      </x:c>
      <x:c r="S69" s="16" t="n">
        <x:v>1.4000000000000001</x:v>
      </x:c>
    </x:row>
    <x:row r="70" ht="23" customHeight="1">
      <x:c r="A70" s="11" t="str">
        <x:v>01530.HK</x:v>
      </x:c>
      <x:c r="B70" s="11" t="str">
        <x:v>半年</x:v>
      </x:c>
      <x:c r="C70" s="11" t="str">
        <x:v>其他适应症</x:v>
      </x:c>
      <x:c r="D70" s="11" t="n">
        <x:v>2043</x:v>
      </x:c>
      <x:c r="E70" s="11" t="n">
        <x:f>CHOOSE('假设'!$B$3,Q70,R70,S70)</x:f>
        <x:v>0.6000000000000001</x:v>
      </x:c>
      <x:c r="F70" s="11" t="n">
        <x:f>'药物假设'!K11</x:f>
        <x:v>0.15</x:v>
      </x:c>
      <x:c r="G70" s="11" t="n">
        <x:f>1-'药物假设'!L11</x:f>
        <x:v>0.78</x:v>
      </x:c>
      <x:c r="H70" s="11" t="n">
        <x:f>'药物假设'!J11</x:f>
        <x:v>0.2</x:v>
      </x:c>
      <x:c r="I70" s="11" t="n">
        <x:f>E70*F70*G70*H70*'药物假设'!Q11</x:f>
        <x:v>0.012636000000000003</x:v>
      </x:c>
      <x:c r="J70" s="11" t="str">
        <x:v>2027-04-09</x:v>
      </x:c>
      <x:c r="K70" s="11" t="n">
        <x:v>16.72826830937714</x:v>
      </x:c>
      <x:c r="L70" s="11" t="n">
        <x:f>'药物假设'!M11</x:f>
        <x:v>0.13</x:v>
      </x:c>
      <x:c r="M70" s="11" t="n">
        <x:f>IF(O70,I70/(1+L70)^K70,0)</x:f>
        <x:v>0.0016356831250761432</x:v>
      </x:c>
      <x:c r="N70" s="11" t="n">
        <x:f>M70*'药物假设'!N11</x:f>
        <x:v>0.011449781875533003</x:v>
      </x:c>
      <x:c r="O70" s="26" t="b">
        <x:v>1</x:v>
      </x:c>
      <x:c r="P70" s="11" t="n">
        <x:f>11</x:f>
        <x:v>11</x:v>
      </x:c>
      <x:c r="Q70" s="16" t="n">
        <x:v>0.35</x:v>
      </x:c>
      <x:c r="R70" s="16" t="n">
        <x:v>0.6000000000000001</x:v>
      </x:c>
      <x:c r="S70" s="16" t="n">
        <x:v>0.7000000000000001</x:v>
      </x:c>
    </x:row>
    <x:row r="71" ht="23" customHeight="1">
      <x:c r="A71" s="11" t="str">
        <x:v>01530.HK</x:v>
      </x:c>
      <x:c r="B71" s="11" t="str">
        <x:v>一年</x:v>
      </x:c>
      <x:c r="C71" s="11" t="str">
        <x:v>肺癌</x:v>
      </x:c>
      <x:c r="D71" s="11" t="n">
        <x:v>2028</x:v>
      </x:c>
      <x:c r="E71" s="11" t="n">
        <x:f>CHOOSE('假设'!$B$3,Q71,R71,S71)</x:f>
        <x:v>0</x:v>
      </x:c>
      <x:c r="F71" s="11" t="n">
        <x:f>'药物假设'!K15</x:f>
        <x:v>0.15</x:v>
      </x:c>
      <x:c r="G71" s="11" t="n">
        <x:f>1-'药物假设'!L15</x:f>
        <x:v>0.78</x:v>
      </x:c>
      <x:c r="H71" s="11" t="n">
        <x:f>'药物假设'!I15</x:f>
        <x:v>0.35</x:v>
      </x:c>
      <x:c r="I71" s="11" t="n">
        <x:f>E71*F71*G71*H71*'药物假设'!Q15</x:f>
        <x:v>0</x:v>
      </x:c>
      <x:c r="J71" s="11" t="str">
        <x:v>2027-10-09</x:v>
      </x:c>
      <x:c r="K71" s="11" t="n">
        <x:v>1.2292950034223136</x:v>
      </x:c>
      <x:c r="L71" s="11" t="n">
        <x:f>'药物假设'!M15</x:f>
        <x:v>0.13</x:v>
      </x:c>
      <x:c r="M71" s="11" t="n">
        <x:f>IF(O71,I71/(1+L71)^K71,0)</x:f>
        <x:v>0</x:v>
      </x:c>
      <x:c r="N71" s="11" t="n">
        <x:f>M71*'药物假设'!N15</x:f>
        <x:v>0</x:v>
      </x:c>
      <x:c r="O71" s="26" t="b">
        <x:v>1</x:v>
      </x:c>
      <x:c r="P71" s="11" t="n">
        <x:f>15</x:f>
        <x:v>15</x:v>
      </x:c>
      <x:c r="Q71" s="16" t="n">
        <x:v>0</x:v>
      </x:c>
      <x:c r="R71" s="16" t="n">
        <x:v>0</x:v>
      </x:c>
      <x:c r="S71" s="16" t="n">
        <x:v>0.5</x:v>
      </x:c>
    </x:row>
    <x:row r="72" ht="23" customHeight="1">
      <x:c r="A72" s="11" t="str">
        <x:v>01530.HK</x:v>
      </x:c>
      <x:c r="B72" s="11" t="str">
        <x:v>一年</x:v>
      </x:c>
      <x:c r="C72" s="11" t="str">
        <x:v>肺癌</x:v>
      </x:c>
      <x:c r="D72" s="11" t="n">
        <x:v>2029</x:v>
      </x:c>
      <x:c r="E72" s="11" t="n">
        <x:f>CHOOSE('假设'!$B$3,Q72,R72,S72)</x:f>
        <x:v>0.30000000000000004</x:v>
      </x:c>
      <x:c r="F72" s="11" t="n">
        <x:f>'药物假设'!K15</x:f>
        <x:v>0.15</x:v>
      </x:c>
      <x:c r="G72" s="11" t="n">
        <x:f>1-'药物假设'!L15</x:f>
        <x:v>0.78</x:v>
      </x:c>
      <x:c r="H72" s="11" t="n">
        <x:f>'药物假设'!I15</x:f>
        <x:v>0.35</x:v>
      </x:c>
      <x:c r="I72" s="11" t="n">
        <x:f>E72*F72*G72*H72*'药物假设'!Q15</x:f>
        <x:v>0.0110565</x:v>
      </x:c>
      <x:c r="J72" s="11" t="str">
        <x:v>2027-10-09</x:v>
      </x:c>
      <x:c r="K72" s="11" t="n">
        <x:v>2.2286105407255303</x:v>
      </x:c>
      <x:c r="L72" s="11" t="n">
        <x:f>'药物假设'!M15</x:f>
        <x:v>0.13</x:v>
      </x:c>
      <x:c r="M72" s="11" t="n">
        <x:f>IF(O72,I72/(1+L72)^K72,0)</x:f>
        <x:v>0.008420279190856897</x:v>
      </x:c>
      <x:c r="N72" s="11" t="n">
        <x:f>M72*'药物假设'!N15</x:f>
        <x:v>0.05894195433599828</x:v>
      </x:c>
      <x:c r="O72" s="26" t="b">
        <x:v>1</x:v>
      </x:c>
      <x:c r="P72" s="11" t="n">
        <x:f>15</x:f>
        <x:v>15</x:v>
      </x:c>
      <x:c r="Q72" s="16" t="n">
        <x:v>0</x:v>
      </x:c>
      <x:c r="R72" s="16" t="n">
        <x:v>0.30000000000000004</x:v>
      </x:c>
      <x:c r="S72" s="16" t="n">
        <x:v>1.5</x:v>
      </x:c>
    </x:row>
    <x:row r="73" ht="23" customHeight="1">
      <x:c r="A73" s="11" t="str">
        <x:v>01530.HK</x:v>
      </x:c>
      <x:c r="B73" s="11" t="str">
        <x:v>一年</x:v>
      </x:c>
      <x:c r="C73" s="11" t="str">
        <x:v>肺癌</x:v>
      </x:c>
      <x:c r="D73" s="11" t="n">
        <x:v>2030</x:v>
      </x:c>
      <x:c r="E73" s="11" t="n">
        <x:f>CHOOSE('假设'!$B$3,Q73,R73,S73)</x:f>
        <x:v>0.8999999999999999</x:v>
      </x:c>
      <x:c r="F73" s="11" t="n">
        <x:f>'药物假设'!K15</x:f>
        <x:v>0.15</x:v>
      </x:c>
      <x:c r="G73" s="11" t="n">
        <x:f>1-'药物假设'!L15</x:f>
        <x:v>0.78</x:v>
      </x:c>
      <x:c r="H73" s="11" t="n">
        <x:f>'药物假设'!I15</x:f>
        <x:v>0.35</x:v>
      </x:c>
      <x:c r="I73" s="11" t="n">
        <x:f>E73*F73*G73*H73*'药物假设'!Q15</x:f>
        <x:v>0.03316949999999999</x:v>
      </x:c>
      <x:c r="J73" s="11" t="str">
        <x:v>2027-10-09</x:v>
      </x:c>
      <x:c r="K73" s="11" t="n">
        <x:v>3.2279260780287475</x:v>
      </x:c>
      <x:c r="L73" s="11" t="n">
        <x:f>'药物假设'!M15</x:f>
        <x:v>0.13</x:v>
      </x:c>
      <x:c r="M73" s="11" t="n">
        <x:f>IF(O73,I73/(1+L73)^K73,0)</x:f>
        <x:v>0.022356593642632056</x:v>
      </x:c>
      <x:c r="N73" s="11" t="n">
        <x:f>M73*'药物假设'!N15</x:f>
        <x:v>0.15649615549842438</x:v>
      </x:c>
      <x:c r="O73" s="26" t="b">
        <x:v>1</x:v>
      </x:c>
      <x:c r="P73" s="11" t="n">
        <x:f>15</x:f>
        <x:v>15</x:v>
      </x:c>
      <x:c r="Q73" s="16" t="n">
        <x:v>0.15000000000000002</x:v>
      </x:c>
      <x:c r="R73" s="16" t="n">
        <x:v>0.8999999999999999</x:v>
      </x:c>
      <x:c r="S73" s="16" t="n">
        <x:v>3</x:v>
      </x:c>
    </x:row>
    <x:row r="74" ht="23" customHeight="1">
      <x:c r="A74" s="11" t="str">
        <x:v>01530.HK</x:v>
      </x:c>
      <x:c r="B74" s="11" t="str">
        <x:v>一年</x:v>
      </x:c>
      <x:c r="C74" s="11" t="str">
        <x:v>肺癌</x:v>
      </x:c>
      <x:c r="D74" s="11" t="n">
        <x:v>2031</x:v>
      </x:c>
      <x:c r="E74" s="11" t="n">
        <x:f>CHOOSE('假设'!$B$3,Q74,R74,S74)</x:f>
        <x:v>1.7999999999999998</x:v>
      </x:c>
      <x:c r="F74" s="11" t="n">
        <x:f>'药物假设'!K15</x:f>
        <x:v>0.15</x:v>
      </x:c>
      <x:c r="G74" s="11" t="n">
        <x:f>1-'药物假设'!L15</x:f>
        <x:v>0.78</x:v>
      </x:c>
      <x:c r="H74" s="11" t="n">
        <x:f>'药物假设'!I15</x:f>
        <x:v>0.35</x:v>
      </x:c>
      <x:c r="I74" s="11" t="n">
        <x:f>E74*F74*G74*H74*'药物假设'!Q15</x:f>
        <x:v>0.06633899999999998</x:v>
      </x:c>
      <x:c r="J74" s="11" t="str">
        <x:v>2027-10-09</x:v>
      </x:c>
      <x:c r="K74" s="11" t="n">
        <x:v>4.227241615331964</x:v>
      </x:c>
      <x:c r="L74" s="11" t="n">
        <x:f>'药物假设'!M15</x:f>
        <x:v>0.13</x:v>
      </x:c>
      <x:c r="M74" s="11" t="n">
        <x:f>IF(O74,I74/(1+L74)^K74,0)</x:f>
        <x:v>0.039572502524183865</x:v>
      </x:c>
      <x:c r="N74" s="11" t="n">
        <x:f>M74*'药物假设'!N15</x:f>
        <x:v>0.27700751766928705</x:v>
      </x:c>
      <x:c r="O74" s="26" t="b">
        <x:v>1</x:v>
      </x:c>
      <x:c r="P74" s="11" t="n">
        <x:f>15</x:f>
        <x:v>15</x:v>
      </x:c>
      <x:c r="Q74" s="16" t="n">
        <x:v>0.44999999999999996</x:v>
      </x:c>
      <x:c r="R74" s="16" t="n">
        <x:v>1.7999999999999998</x:v>
      </x:c>
      <x:c r="S74" s="16" t="n">
        <x:v>5</x:v>
      </x:c>
    </x:row>
    <x:row r="75" ht="23" customHeight="1">
      <x:c r="A75" s="11" t="str">
        <x:v>01530.HK</x:v>
      </x:c>
      <x:c r="B75" s="11" t="str">
        <x:v>一年</x:v>
      </x:c>
      <x:c r="C75" s="11" t="str">
        <x:v>肺癌</x:v>
      </x:c>
      <x:c r="D75" s="11" t="n">
        <x:v>2032</x:v>
      </x:c>
      <x:c r="E75" s="11" t="n">
        <x:f>CHOOSE('假设'!$B$3,Q75,R75,S75)</x:f>
        <x:v>3</x:v>
      </x:c>
      <x:c r="F75" s="11" t="n">
        <x:f>'药物假设'!K15</x:f>
        <x:v>0.15</x:v>
      </x:c>
      <x:c r="G75" s="11" t="n">
        <x:f>1-'药物假设'!L15</x:f>
        <x:v>0.78</x:v>
      </x:c>
      <x:c r="H75" s="11" t="n">
        <x:f>'药物假设'!I15</x:f>
        <x:v>0.35</x:v>
      </x:c>
      <x:c r="I75" s="11" t="n">
        <x:f>E75*F75*G75*H75*'药物假设'!Q15</x:f>
        <x:v>0.110565</x:v>
      </x:c>
      <x:c r="J75" s="11" t="str">
        <x:v>2027-10-09</x:v>
      </x:c>
      <x:c r="K75" s="11" t="n">
        <x:v>5.229295003422314</x:v>
      </x:c>
      <x:c r="L75" s="11" t="n">
        <x:f>'药物假设'!M15</x:f>
        <x:v>0.13</x:v>
      </x:c>
      <x:c r="M75" s="11" t="n">
        <x:f>IF(O75,I75/(1+L75)^K75,0)</x:f>
        <x:v>0.058351877058768584</x:v>
      </x:c>
      <x:c r="N75" s="11" t="n">
        <x:f>M75*'药物假设'!N15</x:f>
        <x:v>0.40846313941138007</x:v>
      </x:c>
      <x:c r="O75" s="26" t="b">
        <x:v>1</x:v>
      </x:c>
      <x:c r="P75" s="11" t="n">
        <x:f>15</x:f>
        <x:v>15</x:v>
      </x:c>
      <x:c r="Q75" s="16" t="n">
        <x:v>0.8999999999999999</x:v>
      </x:c>
      <x:c r="R75" s="16" t="n">
        <x:v>3</x:v>
      </x:c>
      <x:c r="S75" s="16" t="n">
        <x:v>7</x:v>
      </x:c>
    </x:row>
    <x:row r="76" ht="23" customHeight="1">
      <x:c r="A76" s="11" t="str">
        <x:v>01530.HK</x:v>
      </x:c>
      <x:c r="B76" s="11" t="str">
        <x:v>一年</x:v>
      </x:c>
      <x:c r="C76" s="11" t="str">
        <x:v>肺癌</x:v>
      </x:c>
      <x:c r="D76" s="11" t="n">
        <x:v>2033</x:v>
      </x:c>
      <x:c r="E76" s="11" t="n">
        <x:f>CHOOSE('假设'!$B$3,Q76,R76,S76)</x:f>
        <x:v>4.199999999999999</x:v>
      </x:c>
      <x:c r="F76" s="11" t="n">
        <x:f>'药物假设'!K15</x:f>
        <x:v>0.15</x:v>
      </x:c>
      <x:c r="G76" s="11" t="n">
        <x:f>1-'药物假设'!L15</x:f>
        <x:v>0.78</x:v>
      </x:c>
      <x:c r="H76" s="11" t="n">
        <x:f>'药物假设'!I15</x:f>
        <x:v>0.35</x:v>
      </x:c>
      <x:c r="I76" s="11" t="n">
        <x:f>E76*F76*G76*H76*'药物假设'!Q15</x:f>
        <x:v>0.15479099999999998</x:v>
      </x:c>
      <x:c r="J76" s="11" t="str">
        <x:v>2027-10-09</x:v>
      </x:c>
      <x:c r="K76" s="11" t="n">
        <x:v>6.228610540725531</x:v>
      </x:c>
      <x:c r="L76" s="11" t="n">
        <x:f>'药物假设'!M15</x:f>
        <x:v>0.13</x:v>
      </x:c>
      <x:c r="M76" s="11" t="n">
        <x:f>IF(O76,I76/(1+L76)^K76,0)</x:f>
        <x:v>0.07230040888058077</x:v>
      </x:c>
      <x:c r="N76" s="11" t="n">
        <x:f>M76*'药物假设'!N15</x:f>
        <x:v>0.5061028621640654</x:v>
      </x:c>
      <x:c r="O76" s="26" t="b">
        <x:v>1</x:v>
      </x:c>
      <x:c r="P76" s="11" t="n">
        <x:f>15</x:f>
        <x:v>15</x:v>
      </x:c>
      <x:c r="Q76" s="16" t="n">
        <x:v>1.5</x:v>
      </x:c>
      <x:c r="R76" s="16" t="n">
        <x:v>4.199999999999999</x:v>
      </x:c>
      <x:c r="S76" s="16" t="n">
        <x:v>9</x:v>
      </x:c>
    </x:row>
    <x:row r="77" ht="23" customHeight="1">
      <x:c r="A77" s="11" t="str">
        <x:v>01530.HK</x:v>
      </x:c>
      <x:c r="B77" s="11" t="str">
        <x:v>一年</x:v>
      </x:c>
      <x:c r="C77" s="11" t="str">
        <x:v>肺癌</x:v>
      </x:c>
      <x:c r="D77" s="11" t="n">
        <x:v>2034</x:v>
      </x:c>
      <x:c r="E77" s="11" t="n">
        <x:f>CHOOSE('假设'!$B$3,Q77,R77,S77)</x:f>
        <x:v>5.4</x:v>
      </x:c>
      <x:c r="F77" s="11" t="n">
        <x:f>'药物假设'!K15</x:f>
        <x:v>0.15</x:v>
      </x:c>
      <x:c r="G77" s="11" t="n">
        <x:f>1-'药物假设'!L15</x:f>
        <x:v>0.78</x:v>
      </x:c>
      <x:c r="H77" s="11" t="n">
        <x:f>'药物假设'!I15</x:f>
        <x:v>0.35</x:v>
      </x:c>
      <x:c r="I77" s="11" t="n">
        <x:f>E77*F77*G77*H77*'药物假设'!Q15</x:f>
        <x:v>0.199017</x:v>
      </x:c>
      <x:c r="J77" s="11" t="str">
        <x:v>2027-10-09</x:v>
      </x:c>
      <x:c r="K77" s="11" t="n">
        <x:v>7.227926078028747</x:v>
      </x:c>
      <x:c r="L77" s="11" t="n">
        <x:f>'药物假设'!M15</x:f>
        <x:v>0.13</x:v>
      </x:c>
      <x:c r="M77" s="11" t="n">
        <x:f>IF(O77,I77/(1+L77)^K77,0)</x:f>
        <x:v>0.08227030540886365</x:v>
      </x:c>
      <x:c r="N77" s="11" t="n">
        <x:f>M77*'药物假设'!N15</x:f>
        <x:v>0.5758921378620456</x:v>
      </x:c>
      <x:c r="O77" s="26" t="b">
        <x:v>1</x:v>
      </x:c>
      <x:c r="P77" s="11" t="n">
        <x:f>15</x:f>
        <x:v>15</x:v>
      </x:c>
      <x:c r="Q77" s="16" t="n">
        <x:v>2.0999999999999996</x:v>
      </x:c>
      <x:c r="R77" s="16" t="n">
        <x:v>5.4</x:v>
      </x:c>
      <x:c r="S77" s="16" t="n">
        <x:v>10</x:v>
      </x:c>
    </x:row>
    <x:row r="78" ht="23" customHeight="1">
      <x:c r="A78" s="11" t="str">
        <x:v>01530.HK</x:v>
      </x:c>
      <x:c r="B78" s="11" t="str">
        <x:v>一年</x:v>
      </x:c>
      <x:c r="C78" s="11" t="str">
        <x:v>肺癌</x:v>
      </x:c>
      <x:c r="D78" s="11" t="n">
        <x:v>2035</x:v>
      </x:c>
      <x:c r="E78" s="11" t="n">
        <x:f>CHOOSE('假设'!$B$3,Q78,R78,S78)</x:f>
        <x:v>6</x:v>
      </x:c>
      <x:c r="F78" s="11" t="n">
        <x:f>'药物假设'!K15</x:f>
        <x:v>0.15</x:v>
      </x:c>
      <x:c r="G78" s="11" t="n">
        <x:f>1-'药物假设'!L15</x:f>
        <x:v>0.78</x:v>
      </x:c>
      <x:c r="H78" s="11" t="n">
        <x:f>'药物假设'!I15</x:f>
        <x:v>0.35</x:v>
      </x:c>
      <x:c r="I78" s="11" t="n">
        <x:f>E78*F78*G78*H78*'药物假设'!Q15</x:f>
        <x:v>0.22113</x:v>
      </x:c>
      <x:c r="J78" s="11" t="str">
        <x:v>2027-10-09</x:v>
      </x:c>
      <x:c r="K78" s="11" t="n">
        <x:v>8.227241615331964</x:v>
      </x:c>
      <x:c r="L78" s="11" t="n">
        <x:f>'药物假设'!M15</x:f>
        <x:v>0.13</x:v>
      </x:c>
      <x:c r="M78" s="11" t="n">
        <x:f>IF(O78,I78/(1+L78)^K78,0)</x:f>
        <x:v>0.08090185633073795</x:v>
      </x:c>
      <x:c r="N78" s="11" t="n">
        <x:f>M78*'药物假设'!N15</x:f>
        <x:v>0.5663129943151656</x:v>
      </x:c>
      <x:c r="O78" s="26" t="b">
        <x:v>1</x:v>
      </x:c>
      <x:c r="P78" s="11" t="n">
        <x:f>15</x:f>
        <x:v>15</x:v>
      </x:c>
      <x:c r="Q78" s="16" t="n">
        <x:v>2.7</x:v>
      </x:c>
      <x:c r="R78" s="16" t="n">
        <x:v>6</x:v>
      </x:c>
      <x:c r="S78" s="16" t="n">
        <x:v>10</x:v>
      </x:c>
    </x:row>
    <x:row r="79" ht="23" customHeight="1">
      <x:c r="A79" s="11" t="str">
        <x:v>01530.HK</x:v>
      </x:c>
      <x:c r="B79" s="11" t="str">
        <x:v>一年</x:v>
      </x:c>
      <x:c r="C79" s="11" t="str">
        <x:v>肺癌</x:v>
      </x:c>
      <x:c r="D79" s="11" t="n">
        <x:v>2036</x:v>
      </x:c>
      <x:c r="E79" s="11" t="n">
        <x:f>CHOOSE('假设'!$B$3,Q79,R79,S79)</x:f>
        <x:v>6</x:v>
      </x:c>
      <x:c r="F79" s="11" t="n">
        <x:f>'药物假设'!K15</x:f>
        <x:v>0.15</x:v>
      </x:c>
      <x:c r="G79" s="11" t="n">
        <x:f>1-'药物假设'!L15</x:f>
        <x:v>0.78</x:v>
      </x:c>
      <x:c r="H79" s="11" t="n">
        <x:f>'药物假设'!I15</x:f>
        <x:v>0.35</x:v>
      </x:c>
      <x:c r="I79" s="11" t="n">
        <x:f>E79*F79*G79*H79*'药物假设'!Q15</x:f>
        <x:v>0.22113</x:v>
      </x:c>
      <x:c r="J79" s="11" t="str">
        <x:v>2027-10-09</x:v>
      </x:c>
      <x:c r="K79" s="11" t="n">
        <x:v>9.229295003422314</x:v>
      </x:c>
      <x:c r="L79" s="11" t="n">
        <x:f>'药物假设'!M15</x:f>
        <x:v>0.13</x:v>
      </x:c>
      <x:c r="M79" s="11" t="n">
        <x:f>IF(O79,I79/(1+L79)^K79,0)</x:f>
        <x:v>0.07157659799077472</x:v>
      </x:c>
      <x:c r="N79" s="11" t="n">
        <x:f>M79*'药物假设'!N15</x:f>
        <x:v>0.501036185935423</x:v>
      </x:c>
      <x:c r="O79" s="26" t="b">
        <x:v>1</x:v>
      </x:c>
      <x:c r="P79" s="11" t="n">
        <x:f>15</x:f>
        <x:v>15</x:v>
      </x:c>
      <x:c r="Q79" s="16" t="n">
        <x:v>3</x:v>
      </x:c>
      <x:c r="R79" s="16" t="n">
        <x:v>6</x:v>
      </x:c>
      <x:c r="S79" s="16" t="n">
        <x:v>9.5</x:v>
      </x:c>
    </x:row>
    <x:row r="80" ht="23" customHeight="1">
      <x:c r="A80" s="11" t="str">
        <x:v>01530.HK</x:v>
      </x:c>
      <x:c r="B80" s="11" t="str">
        <x:v>一年</x:v>
      </x:c>
      <x:c r="C80" s="11" t="str">
        <x:v>肺癌</x:v>
      </x:c>
      <x:c r="D80" s="11" t="n">
        <x:v>2037</x:v>
      </x:c>
      <x:c r="E80" s="11" t="n">
        <x:f>CHOOSE('假设'!$B$3,Q80,R80,S80)</x:f>
        <x:v>5.699999999999999</x:v>
      </x:c>
      <x:c r="F80" s="11" t="n">
        <x:f>'药物假设'!K15</x:f>
        <x:v>0.15</x:v>
      </x:c>
      <x:c r="G80" s="11" t="n">
        <x:f>1-'药物假设'!L15</x:f>
        <x:v>0.78</x:v>
      </x:c>
      <x:c r="H80" s="11" t="n">
        <x:f>'药物假设'!I15</x:f>
        <x:v>0.35</x:v>
      </x:c>
      <x:c r="I80" s="11" t="n">
        <x:f>E80*F80*G80*H80*'药物假设'!Q15</x:f>
        <x:v>0.21007349999999997</x:v>
      </x:c>
      <x:c r="J80" s="11" t="str">
        <x:v>2027-10-09</x:v>
      </x:c>
      <x:c r="K80" s="11" t="n">
        <x:v>10.22861054072553</x:v>
      </x:c>
      <x:c r="L80" s="11" t="n">
        <x:f>'药物假设'!M15</x:f>
        <x:v>0.13</x:v>
      </x:c>
      <x:c r="M80" s="11" t="n">
        <x:f>IF(O80,I80/(1+L80)^K80,0)</x:f>
        <x:v>0.06018005006581384</x:v>
      </x:c>
      <x:c r="N80" s="11" t="n">
        <x:f>M80*'药物假设'!N15</x:f>
        <x:v>0.4212603504606969</x:v>
      </x:c>
      <x:c r="O80" s="26" t="b">
        <x:v>1</x:v>
      </x:c>
      <x:c r="P80" s="11" t="n">
        <x:f>15</x:f>
        <x:v>15</x:v>
      </x:c>
      <x:c r="Q80" s="16" t="n">
        <x:v>3</x:v>
      </x:c>
      <x:c r="R80" s="16" t="n">
        <x:v>5.699999999999999</x:v>
      </x:c>
      <x:c r="S80" s="16" t="n">
        <x:v>9</x:v>
      </x:c>
    </x:row>
    <x:row r="81" ht="23" customHeight="1">
      <x:c r="A81" s="11" t="str">
        <x:v>01530.HK</x:v>
      </x:c>
      <x:c r="B81" s="11" t="str">
        <x:v>一年</x:v>
      </x:c>
      <x:c r="C81" s="11" t="str">
        <x:v>肺癌</x:v>
      </x:c>
      <x:c r="D81" s="11" t="n">
        <x:v>2038</x:v>
      </x:c>
      <x:c r="E81" s="11" t="n">
        <x:f>CHOOSE('假设'!$B$3,Q81,R81,S81)</x:f>
        <x:v>5.4</x:v>
      </x:c>
      <x:c r="F81" s="11" t="n">
        <x:f>'药物假设'!K15</x:f>
        <x:v>0.15</x:v>
      </x:c>
      <x:c r="G81" s="11" t="n">
        <x:f>1-'药物假设'!L15</x:f>
        <x:v>0.78</x:v>
      </x:c>
      <x:c r="H81" s="11" t="n">
        <x:f>'药物假设'!I15</x:f>
        <x:v>0.35</x:v>
      </x:c>
      <x:c r="I81" s="11" t="n">
        <x:f>E81*F81*G81*H81*'药物假设'!Q15</x:f>
        <x:v>0.199017</x:v>
      </x:c>
      <x:c r="J81" s="11" t="str">
        <x:v>2027-10-09</x:v>
      </x:c>
      <x:c r="K81" s="11" t="n">
        <x:v>11.227926078028748</x:v>
      </x:c>
      <x:c r="L81" s="11" t="n">
        <x:f>'药物假设'!M15</x:f>
        <x:v>0.13</x:v>
      </x:c>
      <x:c r="M81" s="11" t="n">
        <x:f>IF(O81,I81/(1+L81)^K81,0)</x:f>
        <x:v>0.05045791903915799</x:v>
      </x:c>
      <x:c r="N81" s="11" t="n">
        <x:f>M81*'药物假设'!N15</x:f>
        <x:v>0.353205433274106</x:v>
      </x:c>
      <x:c r="O81" s="26" t="b">
        <x:v>1</x:v>
      </x:c>
      <x:c r="P81" s="11" t="n">
        <x:f>15</x:f>
        <x:v>15</x:v>
      </x:c>
      <x:c r="Q81" s="16" t="n">
        <x:v>2.8499999999999996</x:v>
      </x:c>
      <x:c r="R81" s="16" t="n">
        <x:v>5.4</x:v>
      </x:c>
      <x:c r="S81" s="16" t="n">
        <x:v>8.2</x:v>
      </x:c>
    </x:row>
    <x:row r="82" ht="23" customHeight="1">
      <x:c r="A82" s="11" t="str">
        <x:v>01530.HK</x:v>
      </x:c>
      <x:c r="B82" s="11" t="str">
        <x:v>一年</x:v>
      </x:c>
      <x:c r="C82" s="11" t="str">
        <x:v>肺癌</x:v>
      </x:c>
      <x:c r="D82" s="11" t="n">
        <x:v>2039</x:v>
      </x:c>
      <x:c r="E82" s="11" t="n">
        <x:f>CHOOSE('假设'!$B$3,Q82,R82,S82)</x:f>
        <x:v>4.92</x:v>
      </x:c>
      <x:c r="F82" s="11" t="n">
        <x:f>'药物假设'!K15</x:f>
        <x:v>0.15</x:v>
      </x:c>
      <x:c r="G82" s="11" t="n">
        <x:f>1-'药物假设'!L15</x:f>
        <x:v>0.78</x:v>
      </x:c>
      <x:c r="H82" s="11" t="n">
        <x:f>'药物假设'!I15</x:f>
        <x:v>0.35</x:v>
      </x:c>
      <x:c r="I82" s="11" t="n">
        <x:f>E82*F82*G82*H82*'药物假设'!Q15</x:f>
        <x:v>0.1813266</x:v>
      </x:c>
      <x:c r="J82" s="11" t="str">
        <x:v>2027-10-09</x:v>
      </x:c>
      <x:c r="K82" s="11" t="n">
        <x:v>12.227241615331964</x:v>
      </x:c>
      <x:c r="L82" s="11" t="n">
        <x:f>'药物假设'!M15</x:f>
        <x:v>0.13</x:v>
      </x:c>
      <x:c r="M82" s="11" t="n">
        <x:f>IF(O82,I82/(1+L82)^K82,0)</x:f>
        <x:v>0.04068727134516771</x:v>
      </x:c>
      <x:c r="N82" s="11" t="n">
        <x:f>M82*'药物假设'!N15</x:f>
        <x:v>0.284810899416174</x:v>
      </x:c>
      <x:c r="O82" s="26" t="b">
        <x:v>1</x:v>
      </x:c>
      <x:c r="P82" s="11" t="n">
        <x:f>15</x:f>
        <x:v>15</x:v>
      </x:c>
      <x:c r="Q82" s="16" t="n">
        <x:v>2.7</x:v>
      </x:c>
      <x:c r="R82" s="16" t="n">
        <x:v>4.92</x:v>
      </x:c>
      <x:c r="S82" s="16" t="n">
        <x:v>7</x:v>
      </x:c>
    </x:row>
    <x:row r="83" ht="23" customHeight="1">
      <x:c r="A83" s="11" t="str">
        <x:v>01530.HK</x:v>
      </x:c>
      <x:c r="B83" s="11" t="str">
        <x:v>一年</x:v>
      </x:c>
      <x:c r="C83" s="11" t="str">
        <x:v>肺癌</x:v>
      </x:c>
      <x:c r="D83" s="11" t="n">
        <x:v>2040</x:v>
      </x:c>
      <x:c r="E83" s="11" t="n">
        <x:f>CHOOSE('假设'!$B$3,Q83,R83,S83)</x:f>
        <x:v>4.199999999999999</x:v>
      </x:c>
      <x:c r="F83" s="11" t="n">
        <x:f>'药物假设'!K15</x:f>
        <x:v>0.15</x:v>
      </x:c>
      <x:c r="G83" s="11" t="n">
        <x:f>1-'药物假设'!L15</x:f>
        <x:v>0.78</x:v>
      </x:c>
      <x:c r="H83" s="11" t="n">
        <x:f>'药物假设'!I15</x:f>
        <x:v>0.35</x:v>
      </x:c>
      <x:c r="I83" s="11" t="n">
        <x:f>E83*F83*G83*H83*'药物假设'!Q15</x:f>
        <x:v>0.15479099999999998</x:v>
      </x:c>
      <x:c r="J83" s="11" t="str">
        <x:v>2027-10-09</x:v>
      </x:c>
      <x:c r="K83" s="11" t="n">
        <x:v>13.229295003422314</x:v>
      </x:c>
      <x:c r="L83" s="11" t="n">
        <x:f>'药物假设'!M15</x:f>
        <x:v>0.13</x:v>
      </x:c>
      <x:c r="M83" s="11" t="n">
        <x:f>IF(O83,I83/(1+L83)^K83,0)</x:f>
        <x:v>0.03072948760792413</x:v>
      </x:c>
      <x:c r="N83" s="11" t="n">
        <x:f>M83*'药物假设'!N15</x:f>
        <x:v>0.21510641325546892</x:v>
      </x:c>
      <x:c r="O83" s="26" t="b">
        <x:v>1</x:v>
      </x:c>
      <x:c r="P83" s="11" t="n">
        <x:f>15</x:f>
        <x:v>15</x:v>
      </x:c>
      <x:c r="Q83" s="16" t="n">
        <x:v>2.46</x:v>
      </x:c>
      <x:c r="R83" s="16" t="n">
        <x:v>4.199999999999999</x:v>
      </x:c>
      <x:c r="S83" s="16" t="n">
        <x:v>5.5</x:v>
      </x:c>
    </x:row>
    <x:row r="84" ht="23" customHeight="1">
      <x:c r="A84" s="11" t="str">
        <x:v>01530.HK</x:v>
      </x:c>
      <x:c r="B84" s="11" t="str">
        <x:v>一年</x:v>
      </x:c>
      <x:c r="C84" s="11" t="str">
        <x:v>肺癌</x:v>
      </x:c>
      <x:c r="D84" s="11" t="n">
        <x:v>2041</x:v>
      </x:c>
      <x:c r="E84" s="11" t="n">
        <x:f>CHOOSE('假设'!$B$3,Q84,R84,S84)</x:f>
        <x:v>3.3000000000000003</x:v>
      </x:c>
      <x:c r="F84" s="11" t="n">
        <x:f>'药物假设'!K15</x:f>
        <x:v>0.15</x:v>
      </x:c>
      <x:c r="G84" s="11" t="n">
        <x:f>1-'药物假设'!L15</x:f>
        <x:v>0.78</x:v>
      </x:c>
      <x:c r="H84" s="11" t="n">
        <x:f>'药物假设'!I15</x:f>
        <x:v>0.35</x:v>
      </x:c>
      <x:c r="I84" s="11" t="n">
        <x:f>E84*F84*G84*H84*'药物假设'!Q15</x:f>
        <x:v>0.12162149999999998</x:v>
      </x:c>
      <x:c r="J84" s="11" t="str">
        <x:v>2027-10-09</x:v>
      </x:c>
      <x:c r="K84" s="11" t="n">
        <x:v>14.22861054072553</x:v>
      </x:c>
      <x:c r="L84" s="11" t="n">
        <x:f>'药物假设'!M15</x:f>
        <x:v>0.13</x:v>
      </x:c>
      <x:c r="M84" s="11" t="n">
        <x:f>IF(O84,I84/(1+L84)^K84,0)</x:f>
        <x:v>0.0213686878483425</x:v>
      </x:c>
      <x:c r="N84" s="11" t="n">
        <x:f>M84*'药物假设'!N15</x:f>
        <x:v>0.1495808149383975</x:v>
      </x:c>
      <x:c r="O84" s="26" t="b">
        <x:v>1</x:v>
      </x:c>
      <x:c r="P84" s="11" t="n">
        <x:f>15</x:f>
        <x:v>15</x:v>
      </x:c>
      <x:c r="Q84" s="16" t="n">
        <x:v>2.0999999999999996</x:v>
      </x:c>
      <x:c r="R84" s="16" t="n">
        <x:v>3.3000000000000003</x:v>
      </x:c>
      <x:c r="S84" s="16" t="n">
        <x:v>3.5</x:v>
      </x:c>
    </x:row>
    <x:row r="85" ht="23" customHeight="1">
      <x:c r="A85" s="11" t="str">
        <x:v>01530.HK</x:v>
      </x:c>
      <x:c r="B85" s="11" t="str">
        <x:v>一年</x:v>
      </x:c>
      <x:c r="C85" s="11" t="str">
        <x:v>肺癌</x:v>
      </x:c>
      <x:c r="D85" s="11" t="n">
        <x:v>2042</x:v>
      </x:c>
      <x:c r="E85" s="11" t="n">
        <x:f>CHOOSE('假设'!$B$3,Q85,R85,S85)</x:f>
        <x:v>2.0999999999999996</x:v>
      </x:c>
      <x:c r="F85" s="11" t="n">
        <x:f>'药物假设'!K15</x:f>
        <x:v>0.15</x:v>
      </x:c>
      <x:c r="G85" s="11" t="n">
        <x:f>1-'药物假设'!L15</x:f>
        <x:v>0.78</x:v>
      </x:c>
      <x:c r="H85" s="11" t="n">
        <x:f>'药物假设'!I15</x:f>
        <x:v>0.35</x:v>
      </x:c>
      <x:c r="I85" s="11" t="n">
        <x:f>E85*F85*G85*H85*'药物假设'!Q15</x:f>
        <x:v>0.07739549999999999</x:v>
      </x:c>
      <x:c r="J85" s="11" t="str">
        <x:v>2027-10-09</x:v>
      </x:c>
      <x:c r="K85" s="11" t="n">
        <x:v>15.227926078028748</x:v>
      </x:c>
      <x:c r="L85" s="11" t="n">
        <x:f>'药物假设'!M15</x:f>
        <x:v>0.13</x:v>
      </x:c>
      <x:c r="M85" s="11" t="n">
        <x:f>IF(O85,I85/(1+L85)^K85,0)</x:f>
        <x:v>0.012034861496950981</x:v>
      </x:c>
      <x:c r="N85" s="11" t="n">
        <x:f>M85*'药物假设'!N15</x:f>
        <x:v>0.08424403047865686</x:v>
      </x:c>
      <x:c r="O85" s="26" t="b">
        <x:v>1</x:v>
      </x:c>
      <x:c r="P85" s="11" t="n">
        <x:f>15</x:f>
        <x:v>15</x:v>
      </x:c>
      <x:c r="Q85" s="16" t="n">
        <x:v>1.6500000000000001</x:v>
      </x:c>
      <x:c r="R85" s="16" t="n">
        <x:v>2.0999999999999996</x:v>
      </x:c>
      <x:c r="S85" s="16" t="n">
        <x:v>2</x:v>
      </x:c>
    </x:row>
    <x:row r="86" ht="23" customHeight="1">
      <x:c r="A86" s="11" t="str">
        <x:v>01530.HK</x:v>
      </x:c>
      <x:c r="B86" s="11" t="str">
        <x:v>一年</x:v>
      </x:c>
      <x:c r="C86" s="11" t="str">
        <x:v>肺癌</x:v>
      </x:c>
      <x:c r="D86" s="11" t="n">
        <x:v>2043</x:v>
      </x:c>
      <x:c r="E86" s="11" t="n">
        <x:f>CHOOSE('假设'!$B$3,Q86,R86,S86)</x:f>
        <x:v>1.2000000000000002</x:v>
      </x:c>
      <x:c r="F86" s="11" t="n">
        <x:f>'药物假设'!K15</x:f>
        <x:v>0.15</x:v>
      </x:c>
      <x:c r="G86" s="11" t="n">
        <x:f>1-'药物假设'!L15</x:f>
        <x:v>0.78</x:v>
      </x:c>
      <x:c r="H86" s="11" t="n">
        <x:f>'药物假设'!I15</x:f>
        <x:v>0.35</x:v>
      </x:c>
      <x:c r="I86" s="11" t="n">
        <x:f>E86*F86*G86*H86*'药物假设'!Q15</x:f>
        <x:v>0.044226</x:v>
      </x:c>
      <x:c r="J86" s="11" t="str">
        <x:v>2027-10-09</x:v>
      </x:c>
      <x:c r="K86" s="11" t="n">
        <x:v>16.227241615331966</x:v>
      </x:c>
      <x:c r="L86" s="11" t="n">
        <x:f>'药物假设'!M15</x:f>
        <x:v>0.13</x:v>
      </x:c>
      <x:c r="M86" s="11" t="n">
        <x:f>IF(O86,I86/(1+L86)^K86,0)</x:f>
        <x:v>0.006086406218088736</x:v>
      </x:c>
      <x:c r="N86" s="11" t="n">
        <x:f>M86*'药物假设'!N15</x:f>
        <x:v>0.04260484352662115</x:v>
      </x:c>
      <x:c r="O86" s="26" t="b">
        <x:v>1</x:v>
      </x:c>
      <x:c r="P86" s="11" t="n">
        <x:f>15</x:f>
        <x:v>15</x:v>
      </x:c>
      <x:c r="Q86" s="16" t="n">
        <x:v>1.0499999999999998</x:v>
      </x:c>
      <x:c r="R86" s="16" t="n">
        <x:v>1.2000000000000002</x:v>
      </x:c>
      <x:c r="S86" s="16" t="n">
        <x:v>1</x:v>
      </x:c>
    </x:row>
    <x:row r="87" ht="23" customHeight="1">
      <x:c r="A87" s="11" t="str">
        <x:v>01530.HK</x:v>
      </x:c>
      <x:c r="B87" s="11" t="str">
        <x:v>一年</x:v>
      </x:c>
      <x:c r="C87" s="11" t="str">
        <x:v>其他适应症</x:v>
      </x:c>
      <x:c r="D87" s="11" t="n">
        <x:v>2028</x:v>
      </x:c>
      <x:c r="E87" s="11" t="n">
        <x:f>CHOOSE('假设'!$B$3,Q87,R87,S87)</x:f>
        <x:v>0</x:v>
      </x:c>
      <x:c r="F87" s="11" t="n">
        <x:f>'药物假设'!K15</x:f>
        <x:v>0.15</x:v>
      </x:c>
      <x:c r="G87" s="11" t="n">
        <x:f>1-'药物假设'!L15</x:f>
        <x:v>0.78</x:v>
      </x:c>
      <x:c r="H87" s="11" t="n">
        <x:f>'药物假设'!J15</x:f>
        <x:v>0.2</x:v>
      </x:c>
      <x:c r="I87" s="11" t="n">
        <x:f>E87*F87*G87*H87*'药物假设'!Q15</x:f>
        <x:v>0</x:v>
      </x:c>
      <x:c r="J87" s="11" t="str">
        <x:v>2027-10-09</x:v>
      </x:c>
      <x:c r="K87" s="11" t="n">
        <x:v>1.2292950034223136</x:v>
      </x:c>
      <x:c r="L87" s="11" t="n">
        <x:f>'药物假设'!M15</x:f>
        <x:v>0.13</x:v>
      </x:c>
      <x:c r="M87" s="11" t="n">
        <x:f>IF(O87,I87/(1+L87)^K87,0)</x:f>
        <x:v>0</x:v>
      </x:c>
      <x:c r="N87" s="11" t="n">
        <x:f>M87*'药物假设'!N15</x:f>
        <x:v>0</x:v>
      </x:c>
      <x:c r="O87" s="26" t="b">
        <x:v>1</x:v>
      </x:c>
      <x:c r="P87" s="11" t="n">
        <x:f>15</x:f>
        <x:v>15</x:v>
      </x:c>
      <x:c r="Q87" s="16" t="n">
        <x:v>0</x:v>
      </x:c>
      <x:c r="R87" s="16" t="n">
        <x:v>0</x:v>
      </x:c>
      <x:c r="S87" s="16" t="n">
        <x:v>0</x:v>
      </x:c>
    </x:row>
    <x:row r="88" ht="23" customHeight="1">
      <x:c r="A88" s="11" t="str">
        <x:v>01530.HK</x:v>
      </x:c>
      <x:c r="B88" s="11" t="str">
        <x:v>一年</x:v>
      </x:c>
      <x:c r="C88" s="11" t="str">
        <x:v>其他适应症</x:v>
      </x:c>
      <x:c r="D88" s="11" t="n">
        <x:v>2029</x:v>
      </x:c>
      <x:c r="E88" s="11" t="n">
        <x:f>CHOOSE('假设'!$B$3,Q88,R88,S88)</x:f>
        <x:v>0</x:v>
      </x:c>
      <x:c r="F88" s="11" t="n">
        <x:f>'药物假设'!K15</x:f>
        <x:v>0.15</x:v>
      </x:c>
      <x:c r="G88" s="11" t="n">
        <x:f>1-'药物假设'!L15</x:f>
        <x:v>0.78</x:v>
      </x:c>
      <x:c r="H88" s="11" t="n">
        <x:f>'药物假设'!J15</x:f>
        <x:v>0.2</x:v>
      </x:c>
      <x:c r="I88" s="11" t="n">
        <x:f>E88*F88*G88*H88*'药物假设'!Q15</x:f>
        <x:v>0</x:v>
      </x:c>
      <x:c r="J88" s="11" t="str">
        <x:v>2027-10-09</x:v>
      </x:c>
      <x:c r="K88" s="11" t="n">
        <x:v>2.2286105407255303</x:v>
      </x:c>
      <x:c r="L88" s="11" t="n">
        <x:f>'药物假设'!M15</x:f>
        <x:v>0.13</x:v>
      </x:c>
      <x:c r="M88" s="11" t="n">
        <x:f>IF(O88,I88/(1+L88)^K88,0)</x:f>
        <x:v>0</x:v>
      </x:c>
      <x:c r="N88" s="11" t="n">
        <x:f>M88*'药物假设'!N15</x:f>
        <x:v>0</x:v>
      </x:c>
      <x:c r="O88" s="26" t="b">
        <x:v>1</x:v>
      </x:c>
      <x:c r="P88" s="11" t="n">
        <x:f>15</x:f>
        <x:v>15</x:v>
      </x:c>
      <x:c r="Q88" s="16" t="n">
        <x:v>0</x:v>
      </x:c>
      <x:c r="R88" s="16" t="n">
        <x:v>0</x:v>
      </x:c>
      <x:c r="S88" s="16" t="n">
        <x:v>1.05</x:v>
      </x:c>
    </x:row>
    <x:row r="89" ht="23" customHeight="1">
      <x:c r="A89" s="11" t="str">
        <x:v>01530.HK</x:v>
      </x:c>
      <x:c r="B89" s="11" t="str">
        <x:v>一年</x:v>
      </x:c>
      <x:c r="C89" s="11" t="str">
        <x:v>其他适应症</x:v>
      </x:c>
      <x:c r="D89" s="11" t="n">
        <x:v>2030</x:v>
      </x:c>
      <x:c r="E89" s="11" t="n">
        <x:f>CHOOSE('假设'!$B$3,Q89,R89,S89)</x:f>
        <x:v>0.44999999999999996</x:v>
      </x:c>
      <x:c r="F89" s="11" t="n">
        <x:f>'药物假设'!K15</x:f>
        <x:v>0.15</x:v>
      </x:c>
      <x:c r="G89" s="11" t="n">
        <x:f>1-'药物假设'!L15</x:f>
        <x:v>0.78</x:v>
      </x:c>
      <x:c r="H89" s="11" t="n">
        <x:f>'药物假设'!J15</x:f>
        <x:v>0.2</x:v>
      </x:c>
      <x:c r="I89" s="11" t="n">
        <x:f>E89*F89*G89*H89*'药物假设'!Q15</x:f>
        <x:v>0.009477</x:v>
      </x:c>
      <x:c r="J89" s="11" t="str">
        <x:v>2027-10-09</x:v>
      </x:c>
      <x:c r="K89" s="11" t="n">
        <x:v>3.2279260780287475</x:v>
      </x:c>
      <x:c r="L89" s="11" t="n">
        <x:f>'药物假设'!M15</x:f>
        <x:v>0.13</x:v>
      </x:c>
      <x:c r="M89" s="11" t="n">
        <x:f>IF(O89,I89/(1+L89)^K89,0)</x:f>
        <x:v>0.0063875981836091595</x:v>
      </x:c>
      <x:c r="N89" s="11" t="n">
        <x:f>M89*'药物假设'!N15</x:f>
        <x:v>0.04471318728526412</x:v>
      </x:c>
      <x:c r="O89" s="26" t="b">
        <x:v>1</x:v>
      </x:c>
      <x:c r="P89" s="11" t="n">
        <x:f>15</x:f>
        <x:v>15</x:v>
      </x:c>
      <x:c r="Q89" s="16" t="n">
        <x:v>0</x:v>
      </x:c>
      <x:c r="R89" s="16" t="n">
        <x:v>0.44999999999999996</x:v>
      </x:c>
      <x:c r="S89" s="16" t="n">
        <x:v>2.1</x:v>
      </x:c>
    </x:row>
    <x:row r="90" ht="23" customHeight="1">
      <x:c r="A90" s="11" t="str">
        <x:v>01530.HK</x:v>
      </x:c>
      <x:c r="B90" s="11" t="str">
        <x:v>一年</x:v>
      </x:c>
      <x:c r="C90" s="11" t="str">
        <x:v>其他适应症</x:v>
      </x:c>
      <x:c r="D90" s="11" t="n">
        <x:v>2031</x:v>
      </x:c>
      <x:c r="E90" s="11" t="n">
        <x:f>CHOOSE('假设'!$B$3,Q90,R90,S90)</x:f>
        <x:v>0.8999999999999999</x:v>
      </x:c>
      <x:c r="F90" s="11" t="n">
        <x:f>'药物假设'!K15</x:f>
        <x:v>0.15</x:v>
      </x:c>
      <x:c r="G90" s="11" t="n">
        <x:f>1-'药物假设'!L15</x:f>
        <x:v>0.78</x:v>
      </x:c>
      <x:c r="H90" s="11" t="n">
        <x:f>'药物假设'!J15</x:f>
        <x:v>0.2</x:v>
      </x:c>
      <x:c r="I90" s="11" t="n">
        <x:f>E90*F90*G90*H90*'药物假设'!Q15</x:f>
        <x:v>0.018954</x:v>
      </x:c>
      <x:c r="J90" s="11" t="str">
        <x:v>2027-10-09</x:v>
      </x:c>
      <x:c r="K90" s="11" t="n">
        <x:v>4.227241615331964</x:v>
      </x:c>
      <x:c r="L90" s="11" t="n">
        <x:f>'药物假设'!M15</x:f>
        <x:v>0.13</x:v>
      </x:c>
      <x:c r="M90" s="11" t="n">
        <x:f>IF(O90,I90/(1+L90)^K90,0)</x:f>
        <x:v>0.011306429292623965</x:v>
      </x:c>
      <x:c r="N90" s="11" t="n">
        <x:f>M90*'药物假设'!N15</x:f>
        <x:v>0.07914500504836776</x:v>
      </x:c>
      <x:c r="O90" s="26" t="b">
        <x:v>1</x:v>
      </x:c>
      <x:c r="P90" s="11" t="n">
        <x:f>15</x:f>
        <x:v>15</x:v>
      </x:c>
      <x:c r="Q90" s="16" t="n">
        <x:v>0.15</x:v>
      </x:c>
      <x:c r="R90" s="16" t="n">
        <x:v>0.8999999999999999</x:v>
      </x:c>
      <x:c r="S90" s="16" t="n">
        <x:v>3.5</x:v>
      </x:c>
    </x:row>
    <x:row r="91" ht="23" customHeight="1">
      <x:c r="A91" s="11" t="str">
        <x:v>01530.HK</x:v>
      </x:c>
      <x:c r="B91" s="11" t="str">
        <x:v>一年</x:v>
      </x:c>
      <x:c r="C91" s="11" t="str">
        <x:v>其他适应症</x:v>
      </x:c>
      <x:c r="D91" s="11" t="n">
        <x:v>2032</x:v>
      </x:c>
      <x:c r="E91" s="11" t="n">
        <x:f>CHOOSE('假设'!$B$3,Q91,R91,S91)</x:f>
        <x:v>1.5</x:v>
      </x:c>
      <x:c r="F91" s="11" t="n">
        <x:f>'药物假设'!K15</x:f>
        <x:v>0.15</x:v>
      </x:c>
      <x:c r="G91" s="11" t="n">
        <x:f>1-'药物假设'!L15</x:f>
        <x:v>0.78</x:v>
      </x:c>
      <x:c r="H91" s="11" t="n">
        <x:f>'药物假设'!J15</x:f>
        <x:v>0.2</x:v>
      </x:c>
      <x:c r="I91" s="11" t="n">
        <x:f>E91*F91*G91*H91*'药物假设'!Q15</x:f>
        <x:v>0.03159</x:v>
      </x:c>
      <x:c r="J91" s="11" t="str">
        <x:v>2027-10-09</x:v>
      </x:c>
      <x:c r="K91" s="11" t="n">
        <x:v>5.229295003422314</x:v>
      </x:c>
      <x:c r="L91" s="11" t="n">
        <x:f>'药物假设'!M15</x:f>
        <x:v>0.13</x:v>
      </x:c>
      <x:c r="M91" s="11" t="n">
        <x:f>IF(O91,I91/(1+L91)^K91,0)</x:f>
        <x:v>0.01667196487393388</x:v>
      </x:c>
      <x:c r="N91" s="11" t="n">
        <x:f>M91*'药物假设'!N15</x:f>
        <x:v>0.11670375411753717</x:v>
      </x:c>
      <x:c r="O91" s="26" t="b">
        <x:v>1</x:v>
      </x:c>
      <x:c r="P91" s="11" t="n">
        <x:f>15</x:f>
        <x:v>15</x:v>
      </x:c>
      <x:c r="Q91" s="16" t="n">
        <x:v>0.3</x:v>
      </x:c>
      <x:c r="R91" s="16" t="n">
        <x:v>1.5</x:v>
      </x:c>
      <x:c r="S91" s="16" t="n">
        <x:v>4.8999999999999995</x:v>
      </x:c>
    </x:row>
    <x:row r="92" ht="23" customHeight="1">
      <x:c r="A92" s="11" t="str">
        <x:v>01530.HK</x:v>
      </x:c>
      <x:c r="B92" s="11" t="str">
        <x:v>一年</x:v>
      </x:c>
      <x:c r="C92" s="11" t="str">
        <x:v>其他适应症</x:v>
      </x:c>
      <x:c r="D92" s="11" t="n">
        <x:v>2033</x:v>
      </x:c>
      <x:c r="E92" s="11" t="n">
        <x:f>CHOOSE('假设'!$B$3,Q92,R92,S92)</x:f>
        <x:v>2.0999999999999996</x:v>
      </x:c>
      <x:c r="F92" s="11" t="n">
        <x:f>'药物假设'!K15</x:f>
        <x:v>0.15</x:v>
      </x:c>
      <x:c r="G92" s="11" t="n">
        <x:f>1-'药物假设'!L15</x:f>
        <x:v>0.78</x:v>
      </x:c>
      <x:c r="H92" s="11" t="n">
        <x:f>'药物假设'!J15</x:f>
        <x:v>0.2</x:v>
      </x:c>
      <x:c r="I92" s="11" t="n">
        <x:f>E92*F92*G92*H92*'药物假设'!Q15</x:f>
        <x:v>0.044225999999999994</x:v>
      </x:c>
      <x:c r="J92" s="11" t="str">
        <x:v>2027-10-09</x:v>
      </x:c>
      <x:c r="K92" s="11" t="n">
        <x:v>6.228610540725531</x:v>
      </x:c>
      <x:c r="L92" s="11" t="n">
        <x:f>'药物假设'!M15</x:f>
        <x:v>0.13</x:v>
      </x:c>
      <x:c r="M92" s="11" t="n">
        <x:f>IF(O92,I92/(1+L92)^K92,0)</x:f>
        <x:v>0.020657259680165935</x:v>
      </x:c>
      <x:c r="N92" s="11" t="n">
        <x:f>M92*'药物假设'!N15</x:f>
        <x:v>0.14460081776116154</x:v>
      </x:c>
      <x:c r="O92" s="26" t="b">
        <x:v>1</x:v>
      </x:c>
      <x:c r="P92" s="11" t="n">
        <x:f>15</x:f>
        <x:v>15</x:v>
      </x:c>
      <x:c r="Q92" s="16" t="n">
        <x:v>0.5</x:v>
      </x:c>
      <x:c r="R92" s="16" t="n">
        <x:v>2.0999999999999996</x:v>
      </x:c>
      <x:c r="S92" s="16" t="n">
        <x:v>6.3</x:v>
      </x:c>
    </x:row>
    <x:row r="93" ht="23" customHeight="1">
      <x:c r="A93" s="11" t="str">
        <x:v>01530.HK</x:v>
      </x:c>
      <x:c r="B93" s="11" t="str">
        <x:v>一年</x:v>
      </x:c>
      <x:c r="C93" s="11" t="str">
        <x:v>其他适应症</x:v>
      </x:c>
      <x:c r="D93" s="11" t="n">
        <x:v>2034</x:v>
      </x:c>
      <x:c r="E93" s="11" t="n">
        <x:f>CHOOSE('假设'!$B$3,Q93,R93,S93)</x:f>
        <x:v>2.7</x:v>
      </x:c>
      <x:c r="F93" s="11" t="n">
        <x:f>'药物假设'!K15</x:f>
        <x:v>0.15</x:v>
      </x:c>
      <x:c r="G93" s="11" t="n">
        <x:f>1-'药物假设'!L15</x:f>
        <x:v>0.78</x:v>
      </x:c>
      <x:c r="H93" s="11" t="n">
        <x:f>'药物假设'!J15</x:f>
        <x:v>0.2</x:v>
      </x:c>
      <x:c r="I93" s="11" t="n">
        <x:f>E93*F93*G93*H93*'药物假设'!Q15</x:f>
        <x:v>0.056862</x:v>
      </x:c>
      <x:c r="J93" s="11" t="str">
        <x:v>2027-10-09</x:v>
      </x:c>
      <x:c r="K93" s="11" t="n">
        <x:v>7.227926078028747</x:v>
      </x:c>
      <x:c r="L93" s="11" t="n">
        <x:f>'药物假设'!M15</x:f>
        <x:v>0.13</x:v>
      </x:c>
      <x:c r="M93" s="11" t="n">
        <x:f>IF(O93,I93/(1+L93)^K93,0)</x:f>
        <x:v>0.023505801545389615</x:v>
      </x:c>
      <x:c r="N93" s="11" t="n">
        <x:f>M93*'药物假设'!N15</x:f>
        <x:v>0.1645406108177273</x:v>
      </x:c>
      <x:c r="O93" s="26" t="b">
        <x:v>1</x:v>
      </x:c>
      <x:c r="P93" s="11" t="n">
        <x:f>15</x:f>
        <x:v>15</x:v>
      </x:c>
      <x:c r="Q93" s="16" t="n">
        <x:v>0.7</x:v>
      </x:c>
      <x:c r="R93" s="16" t="n">
        <x:v>2.7</x:v>
      </x:c>
      <x:c r="S93" s="16" t="n">
        <x:v>7</x:v>
      </x:c>
    </x:row>
    <x:row r="94" ht="23" customHeight="1">
      <x:c r="A94" s="11" t="str">
        <x:v>01530.HK</x:v>
      </x:c>
      <x:c r="B94" s="11" t="str">
        <x:v>一年</x:v>
      </x:c>
      <x:c r="C94" s="11" t="str">
        <x:v>其他适应症</x:v>
      </x:c>
      <x:c r="D94" s="11" t="n">
        <x:v>2035</x:v>
      </x:c>
      <x:c r="E94" s="11" t="n">
        <x:f>CHOOSE('假设'!$B$3,Q94,R94,S94)</x:f>
        <x:v>3</x:v>
      </x:c>
      <x:c r="F94" s="11" t="n">
        <x:f>'药物假设'!K15</x:f>
        <x:v>0.15</x:v>
      </x:c>
      <x:c r="G94" s="11" t="n">
        <x:f>1-'药物假设'!L15</x:f>
        <x:v>0.78</x:v>
      </x:c>
      <x:c r="H94" s="11" t="n">
        <x:f>'药物假设'!J15</x:f>
        <x:v>0.2</x:v>
      </x:c>
      <x:c r="I94" s="11" t="n">
        <x:f>E94*F94*G94*H94*'药物假设'!Q15</x:f>
        <x:v>0.06318</x:v>
      </x:c>
      <x:c r="J94" s="11" t="str">
        <x:v>2027-10-09</x:v>
      </x:c>
      <x:c r="K94" s="11" t="n">
        <x:v>8.227241615331964</x:v>
      </x:c>
      <x:c r="L94" s="11" t="n">
        <x:f>'药物假设'!M15</x:f>
        <x:v>0.13</x:v>
      </x:c>
      <x:c r="M94" s="11" t="n">
        <x:f>IF(O94,I94/(1+L94)^K94,0)</x:f>
        <x:v>0.023114816094496556</x:v>
      </x:c>
      <x:c r="N94" s="11" t="n">
        <x:f>M94*'药物假设'!N15</x:f>
        <x:v>0.1618037126614759</x:v>
      </x:c>
      <x:c r="O94" s="26" t="b">
        <x:v>1</x:v>
      </x:c>
      <x:c r="P94" s="11" t="n">
        <x:f>15</x:f>
        <x:v>15</x:v>
      </x:c>
      <x:c r="Q94" s="16" t="n">
        <x:v>0.9</x:v>
      </x:c>
      <x:c r="R94" s="16" t="n">
        <x:v>3</x:v>
      </x:c>
      <x:c r="S94" s="16" t="n">
        <x:v>7</x:v>
      </x:c>
    </x:row>
    <x:row r="95" ht="23" customHeight="1">
      <x:c r="A95" s="11" t="str">
        <x:v>01530.HK</x:v>
      </x:c>
      <x:c r="B95" s="11" t="str">
        <x:v>一年</x:v>
      </x:c>
      <x:c r="C95" s="11" t="str">
        <x:v>其他适应症</x:v>
      </x:c>
      <x:c r="D95" s="11" t="n">
        <x:v>2036</x:v>
      </x:c>
      <x:c r="E95" s="11" t="n">
        <x:f>CHOOSE('假设'!$B$3,Q95,R95,S95)</x:f>
        <x:v>3</x:v>
      </x:c>
      <x:c r="F95" s="11" t="n">
        <x:f>'药物假设'!K15</x:f>
        <x:v>0.15</x:v>
      </x:c>
      <x:c r="G95" s="11" t="n">
        <x:f>1-'药物假设'!L15</x:f>
        <x:v>0.78</x:v>
      </x:c>
      <x:c r="H95" s="11" t="n">
        <x:f>'药物假设'!J15</x:f>
        <x:v>0.2</x:v>
      </x:c>
      <x:c r="I95" s="11" t="n">
        <x:f>E95*F95*G95*H95*'药物假设'!Q15</x:f>
        <x:v>0.06318</x:v>
      </x:c>
      <x:c r="J95" s="11" t="str">
        <x:v>2027-10-09</x:v>
      </x:c>
      <x:c r="K95" s="11" t="n">
        <x:v>9.229295003422314</x:v>
      </x:c>
      <x:c r="L95" s="11" t="n">
        <x:f>'药物假设'!M15</x:f>
        <x:v>0.13</x:v>
      </x:c>
      <x:c r="M95" s="11" t="n">
        <x:f>IF(O95,I95/(1+L95)^K95,0)</x:f>
        <x:v>0.02045045656879278</x:v>
      </x:c>
      <x:c r="N95" s="11" t="n">
        <x:f>M95*'药物假设'!N15</x:f>
        <x:v>0.14315319598154946</x:v>
      </x:c>
      <x:c r="O95" s="26" t="b">
        <x:v>1</x:v>
      </x:c>
      <x:c r="P95" s="11" t="n">
        <x:f>15</x:f>
        <x:v>15</x:v>
      </x:c>
      <x:c r="Q95" s="16" t="n">
        <x:v>1</x:v>
      </x:c>
      <x:c r="R95" s="16" t="n">
        <x:v>3</x:v>
      </x:c>
      <x:c r="S95" s="16" t="n">
        <x:v>6.6499999999999995</x:v>
      </x:c>
    </x:row>
    <x:row r="96" ht="23" customHeight="1">
      <x:c r="A96" s="11" t="str">
        <x:v>01530.HK</x:v>
      </x:c>
      <x:c r="B96" s="11" t="str">
        <x:v>一年</x:v>
      </x:c>
      <x:c r="C96" s="11" t="str">
        <x:v>其他适应症</x:v>
      </x:c>
      <x:c r="D96" s="11" t="n">
        <x:v>2037</x:v>
      </x:c>
      <x:c r="E96" s="11" t="n">
        <x:f>CHOOSE('假设'!$B$3,Q96,R96,S96)</x:f>
        <x:v>2.8499999999999996</x:v>
      </x:c>
      <x:c r="F96" s="11" t="n">
        <x:f>'药物假设'!K15</x:f>
        <x:v>0.15</x:v>
      </x:c>
      <x:c r="G96" s="11" t="n">
        <x:f>1-'药物假设'!L15</x:f>
        <x:v>0.78</x:v>
      </x:c>
      <x:c r="H96" s="11" t="n">
        <x:f>'药物假设'!J15</x:f>
        <x:v>0.2</x:v>
      </x:c>
      <x:c r="I96" s="11" t="n">
        <x:f>E96*F96*G96*H96*'药物假设'!Q15</x:f>
        <x:v>0.060021</x:v>
      </x:c>
      <x:c r="J96" s="11" t="str">
        <x:v>2027-10-09</x:v>
      </x:c>
      <x:c r="K96" s="11" t="n">
        <x:v>10.22861054072553</x:v>
      </x:c>
      <x:c r="L96" s="11" t="n">
        <x:f>'药物假设'!M15</x:f>
        <x:v>0.13</x:v>
      </x:c>
      <x:c r="M96" s="11" t="n">
        <x:f>IF(O96,I96/(1+L96)^K96,0)</x:f>
        <x:v>0.017194300018803958</x:v>
      </x:c>
      <x:c r="N96" s="11" t="n">
        <x:f>M96*'药物假设'!N15</x:f>
        <x:v>0.1203601001316277</x:v>
      </x:c>
      <x:c r="O96" s="26" t="b">
        <x:v>1</x:v>
      </x:c>
      <x:c r="P96" s="11" t="n">
        <x:f>15</x:f>
        <x:v>15</x:v>
      </x:c>
      <x:c r="Q96" s="16" t="n">
        <x:v>1</x:v>
      </x:c>
      <x:c r="R96" s="16" t="n">
        <x:v>2.8499999999999996</x:v>
      </x:c>
      <x:c r="S96" s="16" t="n">
        <x:v>6.3</x:v>
      </x:c>
    </x:row>
    <x:row r="97" ht="23" customHeight="1">
      <x:c r="A97" s="11" t="str">
        <x:v>01530.HK</x:v>
      </x:c>
      <x:c r="B97" s="11" t="str">
        <x:v>一年</x:v>
      </x:c>
      <x:c r="C97" s="11" t="str">
        <x:v>其他适应症</x:v>
      </x:c>
      <x:c r="D97" s="11" t="n">
        <x:v>2038</x:v>
      </x:c>
      <x:c r="E97" s="11" t="n">
        <x:f>CHOOSE('假设'!$B$3,Q97,R97,S97)</x:f>
        <x:v>2.7</x:v>
      </x:c>
      <x:c r="F97" s="11" t="n">
        <x:f>'药物假设'!K15</x:f>
        <x:v>0.15</x:v>
      </x:c>
      <x:c r="G97" s="11" t="n">
        <x:f>1-'药物假设'!L15</x:f>
        <x:v>0.78</x:v>
      </x:c>
      <x:c r="H97" s="11" t="n">
        <x:f>'药物假设'!J15</x:f>
        <x:v>0.2</x:v>
      </x:c>
      <x:c r="I97" s="11" t="n">
        <x:f>E97*F97*G97*H97*'药物假设'!Q15</x:f>
        <x:v>0.056862</x:v>
      </x:c>
      <x:c r="J97" s="11" t="str">
        <x:v>2027-10-09</x:v>
      </x:c>
      <x:c r="K97" s="11" t="n">
        <x:v>11.227926078028748</x:v>
      </x:c>
      <x:c r="L97" s="11" t="n">
        <x:f>'药物假设'!M15</x:f>
        <x:v>0.13</x:v>
      </x:c>
      <x:c r="M97" s="11" t="n">
        <x:f>IF(O97,I97/(1+L97)^K97,0)</x:f>
        <x:v>0.014416548296902285</x:v>
      </x:c>
      <x:c r="N97" s="11" t="n">
        <x:f>M97*'药物假设'!N15</x:f>
        <x:v>0.100915838078316</x:v>
      </x:c>
      <x:c r="O97" s="26" t="b">
        <x:v>1</x:v>
      </x:c>
      <x:c r="P97" s="11" t="n">
        <x:f>15</x:f>
        <x:v>15</x:v>
      </x:c>
      <x:c r="Q97" s="16" t="n">
        <x:v>0.95</x:v>
      </x:c>
      <x:c r="R97" s="16" t="n">
        <x:v>2.7</x:v>
      </x:c>
      <x:c r="S97" s="16" t="n">
        <x:v>5.739999999999999</x:v>
      </x:c>
    </x:row>
    <x:row r="98" ht="23" customHeight="1">
      <x:c r="A98" s="11" t="str">
        <x:v>01530.HK</x:v>
      </x:c>
      <x:c r="B98" s="11" t="str">
        <x:v>一年</x:v>
      </x:c>
      <x:c r="C98" s="11" t="str">
        <x:v>其他适应症</x:v>
      </x:c>
      <x:c r="D98" s="11" t="n">
        <x:v>2039</x:v>
      </x:c>
      <x:c r="E98" s="11" t="n">
        <x:f>CHOOSE('假设'!$B$3,Q98,R98,S98)</x:f>
        <x:v>2.46</x:v>
      </x:c>
      <x:c r="F98" s="11" t="n">
        <x:f>'药物假设'!K15</x:f>
        <x:v>0.15</x:v>
      </x:c>
      <x:c r="G98" s="11" t="n">
        <x:f>1-'药物假设'!L15</x:f>
        <x:v>0.78</x:v>
      </x:c>
      <x:c r="H98" s="11" t="n">
        <x:f>'药物假设'!J15</x:f>
        <x:v>0.2</x:v>
      </x:c>
      <x:c r="I98" s="11" t="n">
        <x:f>E98*F98*G98*H98*'药物假设'!Q15</x:f>
        <x:v>0.0518076</x:v>
      </x:c>
      <x:c r="J98" s="11" t="str">
        <x:v>2027-10-09</x:v>
      </x:c>
      <x:c r="K98" s="11" t="n">
        <x:v>12.227241615331964</x:v>
      </x:c>
      <x:c r="L98" s="11" t="n">
        <x:f>'药物假设'!M15</x:f>
        <x:v>0.13</x:v>
      </x:c>
      <x:c r="M98" s="11" t="n">
        <x:f>IF(O98,I98/(1+L98)^K98,0)</x:f>
        <x:v>0.011624934670047916</x:v>
      </x:c>
      <x:c r="N98" s="11" t="n">
        <x:f>M98*'药物假设'!N15</x:f>
        <x:v>0.08137454269033542</x:v>
      </x:c>
      <x:c r="O98" s="26" t="b">
        <x:v>1</x:v>
      </x:c>
      <x:c r="P98" s="11" t="n">
        <x:f>15</x:f>
        <x:v>15</x:v>
      </x:c>
      <x:c r="Q98" s="16" t="n">
        <x:v>0.9</x:v>
      </x:c>
      <x:c r="R98" s="16" t="n">
        <x:v>2.46</x:v>
      </x:c>
      <x:c r="S98" s="16" t="n">
        <x:v>4.8999999999999995</x:v>
      </x:c>
    </x:row>
    <x:row r="99" ht="23" customHeight="1">
      <x:c r="A99" s="11" t="str">
        <x:v>01530.HK</x:v>
      </x:c>
      <x:c r="B99" s="11" t="str">
        <x:v>一年</x:v>
      </x:c>
      <x:c r="C99" s="11" t="str">
        <x:v>其他适应症</x:v>
      </x:c>
      <x:c r="D99" s="11" t="n">
        <x:v>2040</x:v>
      </x:c>
      <x:c r="E99" s="11" t="n">
        <x:f>CHOOSE('假设'!$B$3,Q99,R99,S99)</x:f>
        <x:v>2.0999999999999996</x:v>
      </x:c>
      <x:c r="F99" s="11" t="n">
        <x:f>'药物假设'!K15</x:f>
        <x:v>0.15</x:v>
      </x:c>
      <x:c r="G99" s="11" t="n">
        <x:f>1-'药物假设'!L15</x:f>
        <x:v>0.78</x:v>
      </x:c>
      <x:c r="H99" s="11" t="n">
        <x:f>'药物假设'!J15</x:f>
        <x:v>0.2</x:v>
      </x:c>
      <x:c r="I99" s="11" t="n">
        <x:f>E99*F99*G99*H99*'药物假设'!Q15</x:f>
        <x:v>0.044225999999999994</x:v>
      </x:c>
      <x:c r="J99" s="11" t="str">
        <x:v>2027-10-09</x:v>
      </x:c>
      <x:c r="K99" s="11" t="n">
        <x:v>13.229295003422314</x:v>
      </x:c>
      <x:c r="L99" s="11" t="n">
        <x:f>'药物假设'!M15</x:f>
        <x:v>0.13</x:v>
      </x:c>
      <x:c r="M99" s="11" t="n">
        <x:f>IF(O99,I99/(1+L99)^K99,0)</x:f>
        <x:v>0.008779853602264038</x:v>
      </x:c>
      <x:c r="N99" s="11" t="n">
        <x:f>M99*'药物假设'!N15</x:f>
        <x:v>0.06145897521584827</x:v>
      </x:c>
      <x:c r="O99" s="26" t="b">
        <x:v>1</x:v>
      </x:c>
      <x:c r="P99" s="11" t="n">
        <x:f>15</x:f>
        <x:v>15</x:v>
      </x:c>
      <x:c r="Q99" s="16" t="n">
        <x:v>0.82</x:v>
      </x:c>
      <x:c r="R99" s="16" t="n">
        <x:v>2.0999999999999996</x:v>
      </x:c>
      <x:c r="S99" s="16" t="n">
        <x:v>3.8500000000000005</x:v>
      </x:c>
    </x:row>
    <x:row r="100" ht="23" customHeight="1">
      <x:c r="A100" s="11" t="str">
        <x:v>01530.HK</x:v>
      </x:c>
      <x:c r="B100" s="11" t="str">
        <x:v>一年</x:v>
      </x:c>
      <x:c r="C100" s="11" t="str">
        <x:v>其他适应症</x:v>
      </x:c>
      <x:c r="D100" s="11" t="n">
        <x:v>2041</x:v>
      </x:c>
      <x:c r="E100" s="11" t="n">
        <x:f>CHOOSE('假设'!$B$3,Q100,R100,S100)</x:f>
        <x:v>1.6500000000000001</x:v>
      </x:c>
      <x:c r="F100" s="11" t="n">
        <x:f>'药物假设'!K15</x:f>
        <x:v>0.15</x:v>
      </x:c>
      <x:c r="G100" s="11" t="n">
        <x:f>1-'药物假设'!L15</x:f>
        <x:v>0.78</x:v>
      </x:c>
      <x:c r="H100" s="11" t="n">
        <x:f>'药物假设'!J15</x:f>
        <x:v>0.2</x:v>
      </x:c>
      <x:c r="I100" s="11" t="n">
        <x:f>E100*F100*G100*H100*'药物假设'!Q15</x:f>
        <x:v>0.03474900000000001</x:v>
      </x:c>
      <x:c r="J100" s="11" t="str">
        <x:v>2027-10-09</x:v>
      </x:c>
      <x:c r="K100" s="11" t="n">
        <x:v>14.22861054072553</x:v>
      </x:c>
      <x:c r="L100" s="11" t="n">
        <x:f>'药物假设'!M15</x:f>
        <x:v>0.13</x:v>
      </x:c>
      <x:c r="M100" s="11" t="n">
        <x:f>IF(O100,I100/(1+L100)^K100,0)</x:f>
        <x:v>0.006105339385240717</x:v>
      </x:c>
      <x:c r="N100" s="11" t="n">
        <x:f>M100*'药物假设'!N15</x:f>
        <x:v>0.04273737569668502</x:v>
      </x:c>
      <x:c r="O100" s="26" t="b">
        <x:v>1</x:v>
      </x:c>
      <x:c r="P100" s="11" t="n">
        <x:f>15</x:f>
        <x:v>15</x:v>
      </x:c>
      <x:c r="Q100" s="16" t="n">
        <x:v>0.7</x:v>
      </x:c>
      <x:c r="R100" s="16" t="n">
        <x:v>1.6500000000000001</x:v>
      </x:c>
      <x:c r="S100" s="16" t="n">
        <x:v>2.4499999999999997</x:v>
      </x:c>
    </x:row>
    <x:row r="101" ht="23" customHeight="1">
      <x:c r="A101" s="11" t="str">
        <x:v>01530.HK</x:v>
      </x:c>
      <x:c r="B101" s="11" t="str">
        <x:v>一年</x:v>
      </x:c>
      <x:c r="C101" s="11" t="str">
        <x:v>其他适应症</x:v>
      </x:c>
      <x:c r="D101" s="11" t="n">
        <x:v>2042</x:v>
      </x:c>
      <x:c r="E101" s="11" t="n">
        <x:f>CHOOSE('假设'!$B$3,Q101,R101,S101)</x:f>
        <x:v>1.0499999999999998</x:v>
      </x:c>
      <x:c r="F101" s="11" t="n">
        <x:f>'药物假设'!K15</x:f>
        <x:v>0.15</x:v>
      </x:c>
      <x:c r="G101" s="11" t="n">
        <x:f>1-'药物假设'!L15</x:f>
        <x:v>0.78</x:v>
      </x:c>
      <x:c r="H101" s="11" t="n">
        <x:f>'药物假设'!J15</x:f>
        <x:v>0.2</x:v>
      </x:c>
      <x:c r="I101" s="11" t="n">
        <x:f>E101*F101*G101*H101*'药物假设'!Q15</x:f>
        <x:v>0.022112999999999997</x:v>
      </x:c>
      <x:c r="J101" s="11" t="str">
        <x:v>2027-10-09</x:v>
      </x:c>
      <x:c r="K101" s="11" t="n">
        <x:v>15.227926078028748</x:v>
      </x:c>
      <x:c r="L101" s="11" t="n">
        <x:f>'药物假设'!M15</x:f>
        <x:v>0.13</x:v>
      </x:c>
      <x:c r="M101" s="11" t="n">
        <x:f>IF(O101,I101/(1+L101)^K101,0)</x:f>
        <x:v>0.0034385318562717092</x:v>
      </x:c>
      <x:c r="N101" s="11" t="n">
        <x:f>M101*'药物假设'!N15</x:f>
        <x:v>0.024069722993901966</x:v>
      </x:c>
      <x:c r="O101" s="26" t="b">
        <x:v>1</x:v>
      </x:c>
      <x:c r="P101" s="11" t="n">
        <x:f>15</x:f>
        <x:v>15</x:v>
      </x:c>
      <x:c r="Q101" s="16" t="n">
        <x:v>0.55</x:v>
      </x:c>
      <x:c r="R101" s="16" t="n">
        <x:v>1.0499999999999998</x:v>
      </x:c>
      <x:c r="S101" s="16" t="n">
        <x:v>1.4000000000000001</x:v>
      </x:c>
    </x:row>
    <x:row r="102" ht="23" customHeight="1">
      <x:c r="A102" s="11" t="str">
        <x:v>01530.HK</x:v>
      </x:c>
      <x:c r="B102" s="11" t="str">
        <x:v>一年</x:v>
      </x:c>
      <x:c r="C102" s="11" t="str">
        <x:v>其他适应症</x:v>
      </x:c>
      <x:c r="D102" s="11" t="n">
        <x:v>2043</x:v>
      </x:c>
      <x:c r="E102" s="11" t="n">
        <x:f>CHOOSE('假设'!$B$3,Q102,R102,S102)</x:f>
        <x:v>0.6000000000000001</x:v>
      </x:c>
      <x:c r="F102" s="11" t="n">
        <x:f>'药物假设'!K15</x:f>
        <x:v>0.15</x:v>
      </x:c>
      <x:c r="G102" s="11" t="n">
        <x:f>1-'药物假设'!L15</x:f>
        <x:v>0.78</x:v>
      </x:c>
      <x:c r="H102" s="11" t="n">
        <x:f>'药物假设'!J15</x:f>
        <x:v>0.2</x:v>
      </x:c>
      <x:c r="I102" s="11" t="n">
        <x:f>E102*F102*G102*H102*'药物假设'!Q15</x:f>
        <x:v>0.012636000000000003</x:v>
      </x:c>
      <x:c r="J102" s="11" t="str">
        <x:v>2027-10-09</x:v>
      </x:c>
      <x:c r="K102" s="11" t="n">
        <x:v>16.227241615331966</x:v>
      </x:c>
      <x:c r="L102" s="11" t="n">
        <x:f>'药物假设'!M15</x:f>
        <x:v>0.13</x:v>
      </x:c>
      <x:c r="M102" s="11" t="n">
        <x:f>IF(O102,I102/(1+L102)^K102,0)</x:f>
        <x:v>0.0017389732051682108</x:v>
      </x:c>
      <x:c r="N102" s="11" t="n">
        <x:f>M102*'药物假设'!N15</x:f>
        <x:v>0.012172812436177476</x:v>
      </x:c>
      <x:c r="O102" s="26" t="b">
        <x:v>1</x:v>
      </x:c>
      <x:c r="P102" s="11" t="n">
        <x:f>15</x:f>
        <x:v>15</x:v>
      </x:c>
      <x:c r="Q102" s="16" t="n">
        <x:v>0.35</x:v>
      </x:c>
      <x:c r="R102" s="16" t="n">
        <x:v>0.6000000000000001</x:v>
      </x:c>
      <x:c r="S102" s="16" t="n">
        <x:v>0.7000000000000001</x:v>
      </x:c>
    </x:row>
    <x:row r="103" ht="23" customHeight="1">
      <x:c r="A103" s="11" t="str">
        <x:v>01530.HK</x:v>
      </x:c>
      <x:c r="B103" s="11" t="str">
        <x:v>三年</x:v>
      </x:c>
      <x:c r="C103" s="11" t="str">
        <x:v>肺癌</x:v>
      </x:c>
      <x:c r="D103" s="11" t="n">
        <x:v>2028</x:v>
      </x:c>
      <x:c r="E103" s="11" t="n">
        <x:f>CHOOSE('假设'!$B$3,Q103,R103,S103)</x:f>
        <x:v>0</x:v>
      </x:c>
      <x:c r="F103" s="11" t="n">
        <x:f>'药物假设'!K19</x:f>
        <x:v>0.15</x:v>
      </x:c>
      <x:c r="G103" s="11" t="n">
        <x:f>1-'药物假设'!L19</x:f>
        <x:v>0.78</x:v>
      </x:c>
      <x:c r="H103" s="11" t="n">
        <x:f>'药物假设'!I19</x:f>
        <x:v>0.35</x:v>
      </x:c>
      <x:c r="I103" s="11" t="n">
        <x:f>E103*F103*G103*H103*'药物假设'!Q19</x:f>
        <x:v>0</x:v>
      </x:c>
      <x:c r="J103" s="11" t="str">
        <x:v>2029-10-09</x:v>
      </x:c>
      <x:c r="K103" s="11" t="n">
        <x:v>-0.7720739219712526</x:v>
      </x:c>
      <x:c r="L103" s="11" t="n">
        <x:f>'药物假设'!M19</x:f>
        <x:v>0.13</x:v>
      </x:c>
      <x:c r="M103" s="11" t="n">
        <x:f>IF(O103,I103/(1+L103)^K103,0)</x:f>
        <x:v>0</x:v>
      </x:c>
      <x:c r="N103" s="11" t="n">
        <x:f>M103*'药物假设'!N19</x:f>
        <x:v>0</x:v>
      </x:c>
      <x:c r="O103" s="26" t="b">
        <x:v>0</x:v>
      </x:c>
      <x:c r="P103" s="11" t="n">
        <x:f>19</x:f>
        <x:v>19</x:v>
      </x:c>
      <x:c r="Q103" s="16" t="n">
        <x:v>0</x:v>
      </x:c>
      <x:c r="R103" s="16" t="n">
        <x:v>0</x:v>
      </x:c>
      <x:c r="S103" s="16" t="n">
        <x:v>0.5</x:v>
      </x:c>
    </x:row>
    <x:row r="104" ht="23" customHeight="1">
      <x:c r="A104" s="11" t="str">
        <x:v>01530.HK</x:v>
      </x:c>
      <x:c r="B104" s="11" t="str">
        <x:v>三年</x:v>
      </x:c>
      <x:c r="C104" s="11" t="str">
        <x:v>肺癌</x:v>
      </x:c>
      <x:c r="D104" s="11" t="n">
        <x:v>2029</x:v>
      </x:c>
      <x:c r="E104" s="11" t="n">
        <x:f>CHOOSE('假设'!$B$3,Q104,R104,S104)</x:f>
        <x:v>0.30000000000000004</x:v>
      </x:c>
      <x:c r="F104" s="11" t="n">
        <x:f>'药物假设'!K19</x:f>
        <x:v>0.15</x:v>
      </x:c>
      <x:c r="G104" s="11" t="n">
        <x:f>1-'药物假设'!L19</x:f>
        <x:v>0.78</x:v>
      </x:c>
      <x:c r="H104" s="11" t="n">
        <x:f>'药物假设'!I19</x:f>
        <x:v>0.35</x:v>
      </x:c>
      <x:c r="I104" s="11" t="n">
        <x:f>E104*F104*G104*H104*'药物假设'!Q19</x:f>
        <x:v>0.0110565</x:v>
      </x:c>
      <x:c r="J104" s="11" t="str">
        <x:v>2029-10-09</x:v>
      </x:c>
      <x:c r="K104" s="11" t="n">
        <x:v>0.2272416153319644</x:v>
      </x:c>
      <x:c r="L104" s="11" t="n">
        <x:f>'药物假设'!M19</x:f>
        <x:v>0.13</x:v>
      </x:c>
      <x:c r="M104" s="11" t="n">
        <x:f>IF(O104,I104/(1+L104)^K104,0)</x:f>
        <x:v>0.01075365350789003</x:v>
      </x:c>
      <x:c r="N104" s="11" t="n">
        <x:f>M104*'药物假设'!N19</x:f>
        <x:v>0.0752755745552302</x:v>
      </x:c>
      <x:c r="O104" s="26" t="b">
        <x:v>1</x:v>
      </x:c>
      <x:c r="P104" s="11" t="n">
        <x:f>19</x:f>
        <x:v>19</x:v>
      </x:c>
      <x:c r="Q104" s="16" t="n">
        <x:v>0</x:v>
      </x:c>
      <x:c r="R104" s="16" t="n">
        <x:v>0.30000000000000004</x:v>
      </x:c>
      <x:c r="S104" s="16" t="n">
        <x:v>1.5</x:v>
      </x:c>
    </x:row>
    <x:row r="105" ht="23" customHeight="1">
      <x:c r="A105" s="11" t="str">
        <x:v>01530.HK</x:v>
      </x:c>
      <x:c r="B105" s="11" t="str">
        <x:v>三年</x:v>
      </x:c>
      <x:c r="C105" s="11" t="str">
        <x:v>肺癌</x:v>
      </x:c>
      <x:c r="D105" s="11" t="n">
        <x:v>2030</x:v>
      </x:c>
      <x:c r="E105" s="11" t="n">
        <x:f>CHOOSE('假设'!$B$3,Q105,R105,S105)</x:f>
        <x:v>0.8999999999999999</x:v>
      </x:c>
      <x:c r="F105" s="11" t="n">
        <x:f>'药物假设'!K19</x:f>
        <x:v>0.15</x:v>
      </x:c>
      <x:c r="G105" s="11" t="n">
        <x:f>1-'药物假设'!L19</x:f>
        <x:v>0.78</x:v>
      </x:c>
      <x:c r="H105" s="11" t="n">
        <x:f>'药物假设'!I19</x:f>
        <x:v>0.35</x:v>
      </x:c>
      <x:c r="I105" s="11" t="n">
        <x:f>E105*F105*G105*H105*'药物假设'!Q19</x:f>
        <x:v>0.03316949999999999</x:v>
      </x:c>
      <x:c r="J105" s="11" t="str">
        <x:v>2029-10-09</x:v>
      </x:c>
      <x:c r="K105" s="11" t="n">
        <x:v>1.2265571526351813</x:v>
      </x:c>
      <x:c r="L105" s="11" t="n">
        <x:f>'药物假设'!M19</x:f>
        <x:v>0.13</x:v>
      </x:c>
      <x:c r="M105" s="11" t="n">
        <x:f>IF(O105,I105/(1+L105)^K105,0)</x:f>
        <x:v>0.02855191095214696</x:v>
      </x:c>
      <x:c r="N105" s="11" t="n">
        <x:f>M105*'药物假设'!N19</x:f>
        <x:v>0.1998633766650287</x:v>
      </x:c>
      <x:c r="O105" s="26" t="b">
        <x:v>1</x:v>
      </x:c>
      <x:c r="P105" s="11" t="n">
        <x:f>19</x:f>
        <x:v>19</x:v>
      </x:c>
      <x:c r="Q105" s="16" t="n">
        <x:v>0.15000000000000002</x:v>
      </x:c>
      <x:c r="R105" s="16" t="n">
        <x:v>0.8999999999999999</x:v>
      </x:c>
      <x:c r="S105" s="16" t="n">
        <x:v>3</x:v>
      </x:c>
    </x:row>
    <x:row r="106" ht="23" customHeight="1">
      <x:c r="A106" s="11" t="str">
        <x:v>01530.HK</x:v>
      </x:c>
      <x:c r="B106" s="11" t="str">
        <x:v>三年</x:v>
      </x:c>
      <x:c r="C106" s="11" t="str">
        <x:v>肺癌</x:v>
      </x:c>
      <x:c r="D106" s="11" t="n">
        <x:v>2031</x:v>
      </x:c>
      <x:c r="E106" s="11" t="n">
        <x:f>CHOOSE('假设'!$B$3,Q106,R106,S106)</x:f>
        <x:v>1.7999999999999998</x:v>
      </x:c>
      <x:c r="F106" s="11" t="n">
        <x:f>'药物假设'!K19</x:f>
        <x:v>0.15</x:v>
      </x:c>
      <x:c r="G106" s="11" t="n">
        <x:f>1-'药物假设'!L19</x:f>
        <x:v>0.78</x:v>
      </x:c>
      <x:c r="H106" s="11" t="n">
        <x:f>'药物假设'!I19</x:f>
        <x:v>0.35</x:v>
      </x:c>
      <x:c r="I106" s="11" t="n">
        <x:f>E106*F106*G106*H106*'药物假设'!Q19</x:f>
        <x:v>0.06633899999999998</x:v>
      </x:c>
      <x:c r="J106" s="11" t="str">
        <x:v>2029-10-09</x:v>
      </x:c>
      <x:c r="K106" s="11" t="n">
        <x:v>2.2258726899383983</x:v>
      </x:c>
      <x:c r="L106" s="11" t="n">
        <x:f>'药物假设'!M19</x:f>
        <x:v>0.13</x:v>
      </x:c>
      <x:c r="M106" s="11" t="n">
        <x:f>IF(O106,I106/(1+L106)^K106,0)</x:f>
        <x:v>0.05053858321553712</x:v>
      </x:c>
      <x:c r="N106" s="11" t="n">
        <x:f>M106*'药物假设'!N19</x:f>
        <x:v>0.35377008250875985</x:v>
      </x:c>
      <x:c r="O106" s="26" t="b">
        <x:v>1</x:v>
      </x:c>
      <x:c r="P106" s="11" t="n">
        <x:f>19</x:f>
        <x:v>19</x:v>
      </x:c>
      <x:c r="Q106" s="16" t="n">
        <x:v>0.44999999999999996</x:v>
      </x:c>
      <x:c r="R106" s="16" t="n">
        <x:v>1.7999999999999998</x:v>
      </x:c>
      <x:c r="S106" s="16" t="n">
        <x:v>5</x:v>
      </x:c>
    </x:row>
    <x:row r="107" ht="23" customHeight="1">
      <x:c r="A107" s="11" t="str">
        <x:v>01530.HK</x:v>
      </x:c>
      <x:c r="B107" s="11" t="str">
        <x:v>三年</x:v>
      </x:c>
      <x:c r="C107" s="11" t="str">
        <x:v>肺癌</x:v>
      </x:c>
      <x:c r="D107" s="11" t="n">
        <x:v>2032</x:v>
      </x:c>
      <x:c r="E107" s="11" t="n">
        <x:f>CHOOSE('假设'!$B$3,Q107,R107,S107)</x:f>
        <x:v>3</x:v>
      </x:c>
      <x:c r="F107" s="11" t="n">
        <x:f>'药物假设'!K19</x:f>
        <x:v>0.15</x:v>
      </x:c>
      <x:c r="G107" s="11" t="n">
        <x:f>1-'药物假设'!L19</x:f>
        <x:v>0.78</x:v>
      </x:c>
      <x:c r="H107" s="11" t="n">
        <x:f>'药物假设'!I19</x:f>
        <x:v>0.35</x:v>
      </x:c>
      <x:c r="I107" s="11" t="n">
        <x:f>E107*F107*G107*H107*'药物假设'!Q19</x:f>
        <x:v>0.110565</x:v>
      </x:c>
      <x:c r="J107" s="11" t="str">
        <x:v>2029-10-09</x:v>
      </x:c>
      <x:c r="K107" s="11" t="n">
        <x:v>3.2279260780287475</x:v>
      </x:c>
      <x:c r="L107" s="11" t="n">
        <x:f>'药物假设'!M19</x:f>
        <x:v>0.13</x:v>
      </x:c>
      <x:c r="M107" s="11" t="n">
        <x:f>IF(O107,I107/(1+L107)^K107,0)</x:f>
        <x:v>0.07452197880877354</x:v>
      </x:c>
      <x:c r="N107" s="11" t="n">
        <x:f>M107*'药物假设'!N19</x:f>
        <x:v>0.5216538516614148</x:v>
      </x:c>
      <x:c r="O107" s="26" t="b">
        <x:v>1</x:v>
      </x:c>
      <x:c r="P107" s="11" t="n">
        <x:f>19</x:f>
        <x:v>19</x:v>
      </x:c>
      <x:c r="Q107" s="16" t="n">
        <x:v>0.8999999999999999</x:v>
      </x:c>
      <x:c r="R107" s="16" t="n">
        <x:v>3</x:v>
      </x:c>
      <x:c r="S107" s="16" t="n">
        <x:v>7</x:v>
      </x:c>
    </x:row>
    <x:row r="108" ht="23" customHeight="1">
      <x:c r="A108" s="11" t="str">
        <x:v>01530.HK</x:v>
      </x:c>
      <x:c r="B108" s="11" t="str">
        <x:v>三年</x:v>
      </x:c>
      <x:c r="C108" s="11" t="str">
        <x:v>肺癌</x:v>
      </x:c>
      <x:c r="D108" s="11" t="n">
        <x:v>2033</x:v>
      </x:c>
      <x:c r="E108" s="11" t="n">
        <x:f>CHOOSE('假设'!$B$3,Q108,R108,S108)</x:f>
        <x:v>4.199999999999999</x:v>
      </x:c>
      <x:c r="F108" s="11" t="n">
        <x:f>'药物假设'!K19</x:f>
        <x:v>0.15</x:v>
      </x:c>
      <x:c r="G108" s="11" t="n">
        <x:f>1-'药物假设'!L19</x:f>
        <x:v>0.78</x:v>
      </x:c>
      <x:c r="H108" s="11" t="n">
        <x:f>'药物假设'!I19</x:f>
        <x:v>0.35</x:v>
      </x:c>
      <x:c r="I108" s="11" t="n">
        <x:f>E108*F108*G108*H108*'药物假设'!Q19</x:f>
        <x:v>0.15479099999999998</x:v>
      </x:c>
      <x:c r="J108" s="11" t="str">
        <x:v>2029-10-09</x:v>
      </x:c>
      <x:c r="K108" s="11" t="n">
        <x:v>4.227241615331964</x:v>
      </x:c>
      <x:c r="L108" s="11" t="n">
        <x:f>'药物假设'!M19</x:f>
        <x:v>0.13</x:v>
      </x:c>
      <x:c r="M108" s="11" t="n">
        <x:f>IF(O108,I108/(1+L108)^K108,0)</x:f>
        <x:v>0.09233583922309571</x:v>
      </x:c>
      <x:c r="N108" s="11" t="n">
        <x:f>M108*'药物假设'!N19</x:f>
        <x:v>0.64635087456167</x:v>
      </x:c>
      <x:c r="O108" s="26" t="b">
        <x:v>1</x:v>
      </x:c>
      <x:c r="P108" s="11" t="n">
        <x:f>19</x:f>
        <x:v>19</x:v>
      </x:c>
      <x:c r="Q108" s="16" t="n">
        <x:v>1.5</x:v>
      </x:c>
      <x:c r="R108" s="16" t="n">
        <x:v>4.199999999999999</x:v>
      </x:c>
      <x:c r="S108" s="16" t="n">
        <x:v>9</x:v>
      </x:c>
    </x:row>
    <x:row r="109" ht="23" customHeight="1">
      <x:c r="A109" s="11" t="str">
        <x:v>01530.HK</x:v>
      </x:c>
      <x:c r="B109" s="11" t="str">
        <x:v>三年</x:v>
      </x:c>
      <x:c r="C109" s="11" t="str">
        <x:v>肺癌</x:v>
      </x:c>
      <x:c r="D109" s="11" t="n">
        <x:v>2034</x:v>
      </x:c>
      <x:c r="E109" s="11" t="n">
        <x:f>CHOOSE('假设'!$B$3,Q109,R109,S109)</x:f>
        <x:v>5.4</x:v>
      </x:c>
      <x:c r="F109" s="11" t="n">
        <x:f>'药物假设'!K19</x:f>
        <x:v>0.15</x:v>
      </x:c>
      <x:c r="G109" s="11" t="n">
        <x:f>1-'药物假设'!L19</x:f>
        <x:v>0.78</x:v>
      </x:c>
      <x:c r="H109" s="11" t="n">
        <x:f>'药物假设'!I19</x:f>
        <x:v>0.35</x:v>
      </x:c>
      <x:c r="I109" s="11" t="n">
        <x:f>E109*F109*G109*H109*'药物假设'!Q19</x:f>
        <x:v>0.199017</x:v>
      </x:c>
      <x:c r="J109" s="11" t="str">
        <x:v>2029-10-09</x:v>
      </x:c>
      <x:c r="K109" s="11" t="n">
        <x:v>5.2265571526351815</x:v>
      </x:c>
      <x:c r="L109" s="11" t="n">
        <x:f>'药物假设'!M19</x:f>
        <x:v>0.13</x:v>
      </x:c>
      <x:c r="M109" s="11" t="n">
        <x:f>IF(O109,I109/(1+L109)^K109,0)</x:f>
        <x:v>0.10506853018791383</x:v>
      </x:c>
      <x:c r="N109" s="11" t="n">
        <x:f>M109*'药物假设'!N19</x:f>
        <x:v>0.7354797113153968</x:v>
      </x:c>
      <x:c r="O109" s="26" t="b">
        <x:v>1</x:v>
      </x:c>
      <x:c r="P109" s="11" t="n">
        <x:f>19</x:f>
        <x:v>19</x:v>
      </x:c>
      <x:c r="Q109" s="16" t="n">
        <x:v>2.0999999999999996</x:v>
      </x:c>
      <x:c r="R109" s="16" t="n">
        <x:v>5.4</x:v>
      </x:c>
      <x:c r="S109" s="16" t="n">
        <x:v>10</x:v>
      </x:c>
    </x:row>
    <x:row r="110" ht="23" customHeight="1">
      <x:c r="A110" s="11" t="str">
        <x:v>01530.HK</x:v>
      </x:c>
      <x:c r="B110" s="11" t="str">
        <x:v>三年</x:v>
      </x:c>
      <x:c r="C110" s="11" t="str">
        <x:v>肺癌</x:v>
      </x:c>
      <x:c r="D110" s="11" t="n">
        <x:v>2035</x:v>
      </x:c>
      <x:c r="E110" s="11" t="n">
        <x:f>CHOOSE('假设'!$B$3,Q110,R110,S110)</x:f>
        <x:v>6</x:v>
      </x:c>
      <x:c r="F110" s="11" t="n">
        <x:f>'药物假设'!K19</x:f>
        <x:v>0.15</x:v>
      </x:c>
      <x:c r="G110" s="11" t="n">
        <x:f>1-'药物假设'!L19</x:f>
        <x:v>0.78</x:v>
      </x:c>
      <x:c r="H110" s="11" t="n">
        <x:f>'药物假设'!I19</x:f>
        <x:v>0.35</x:v>
      </x:c>
      <x:c r="I110" s="11" t="n">
        <x:f>E110*F110*G110*H110*'药物假设'!Q19</x:f>
        <x:v>0.22113</x:v>
      </x:c>
      <x:c r="J110" s="11" t="str">
        <x:v>2029-10-09</x:v>
      </x:c>
      <x:c r="K110" s="11" t="n">
        <x:v>6.225872689938399</x:v>
      </x:c>
      <x:c r="L110" s="11" t="n">
        <x:f>'药物假设'!M19</x:f>
        <x:v>0.13</x:v>
      </x:c>
      <x:c r="M110" s="11" t="n">
        <x:f>IF(O110,I110/(1+L110)^K110,0)</x:f>
        <x:v>0.10332086518823848</x:v>
      </x:c>
      <x:c r="N110" s="11" t="n">
        <x:f>M110*'药物假设'!N19</x:f>
        <x:v>0.7232460563176694</x:v>
      </x:c>
      <x:c r="O110" s="26" t="b">
        <x:v>1</x:v>
      </x:c>
      <x:c r="P110" s="11" t="n">
        <x:f>19</x:f>
        <x:v>19</x:v>
      </x:c>
      <x:c r="Q110" s="16" t="n">
        <x:v>2.7</x:v>
      </x:c>
      <x:c r="R110" s="16" t="n">
        <x:v>6</x:v>
      </x:c>
      <x:c r="S110" s="16" t="n">
        <x:v>10</x:v>
      </x:c>
    </x:row>
    <x:row r="111" ht="23" customHeight="1">
      <x:c r="A111" s="11" t="str">
        <x:v>01530.HK</x:v>
      </x:c>
      <x:c r="B111" s="11" t="str">
        <x:v>三年</x:v>
      </x:c>
      <x:c r="C111" s="11" t="str">
        <x:v>肺癌</x:v>
      </x:c>
      <x:c r="D111" s="11" t="n">
        <x:v>2036</x:v>
      </x:c>
      <x:c r="E111" s="11" t="n">
        <x:f>CHOOSE('假设'!$B$3,Q111,R111,S111)</x:f>
        <x:v>6</x:v>
      </x:c>
      <x:c r="F111" s="11" t="n">
        <x:f>'药物假设'!K19</x:f>
        <x:v>0.15</x:v>
      </x:c>
      <x:c r="G111" s="11" t="n">
        <x:f>1-'药物假设'!L19</x:f>
        <x:v>0.78</x:v>
      </x:c>
      <x:c r="H111" s="11" t="n">
        <x:f>'药物假设'!I19</x:f>
        <x:v>0.35</x:v>
      </x:c>
      <x:c r="I111" s="11" t="n">
        <x:f>E111*F111*G111*H111*'药物假设'!Q19</x:f>
        <x:v>0.22113</x:v>
      </x:c>
      <x:c r="J111" s="11" t="str">
        <x:v>2029-10-09</x:v>
      </x:c>
      <x:c r="K111" s="11" t="n">
        <x:v>7.227926078028747</x:v>
      </x:c>
      <x:c r="L111" s="11" t="n">
        <x:f>'药物假设'!M19</x:f>
        <x:v>0.13</x:v>
      </x:c>
      <x:c r="M111" s="11" t="n">
        <x:f>IF(O111,I111/(1+L111)^K111,0)</x:f>
        <x:v>0.09141145045429294</x:v>
      </x:c>
      <x:c r="N111" s="11" t="n">
        <x:f>M111*'药物假设'!N19</x:f>
        <x:v>0.6398801531800506</x:v>
      </x:c>
      <x:c r="O111" s="26" t="b">
        <x:v>1</x:v>
      </x:c>
      <x:c r="P111" s="11" t="n">
        <x:f>19</x:f>
        <x:v>19</x:v>
      </x:c>
      <x:c r="Q111" s="16" t="n">
        <x:v>3</x:v>
      </x:c>
      <x:c r="R111" s="16" t="n">
        <x:v>6</x:v>
      </x:c>
      <x:c r="S111" s="16" t="n">
        <x:v>9.5</x:v>
      </x:c>
    </x:row>
    <x:row r="112" ht="23" customHeight="1">
      <x:c r="A112" s="11" t="str">
        <x:v>01530.HK</x:v>
      </x:c>
      <x:c r="B112" s="11" t="str">
        <x:v>三年</x:v>
      </x:c>
      <x:c r="C112" s="11" t="str">
        <x:v>肺癌</x:v>
      </x:c>
      <x:c r="D112" s="11" t="n">
        <x:v>2037</x:v>
      </x:c>
      <x:c r="E112" s="11" t="n">
        <x:f>CHOOSE('假设'!$B$3,Q112,R112,S112)</x:f>
        <x:v>5.699999999999999</x:v>
      </x:c>
      <x:c r="F112" s="11" t="n">
        <x:f>'药物假设'!K19</x:f>
        <x:v>0.15</x:v>
      </x:c>
      <x:c r="G112" s="11" t="n">
        <x:f>1-'药物假设'!L19</x:f>
        <x:v>0.78</x:v>
      </x:c>
      <x:c r="H112" s="11" t="n">
        <x:f>'药物假设'!I19</x:f>
        <x:v>0.35</x:v>
      </x:c>
      <x:c r="I112" s="11" t="n">
        <x:f>E112*F112*G112*H112*'药物假设'!Q19</x:f>
        <x:v>0.21007349999999997</x:v>
      </x:c>
      <x:c r="J112" s="11" t="str">
        <x:v>2029-10-09</x:v>
      </x:c>
      <x:c r="K112" s="11" t="n">
        <x:v>8.227241615331964</x:v>
      </x:c>
      <x:c r="L112" s="11" t="n">
        <x:f>'药物假设'!M19</x:f>
        <x:v>0.13</x:v>
      </x:c>
      <x:c r="M112" s="11" t="n">
        <x:f>IF(O112,I112/(1+L112)^K112,0)</x:f>
        <x:v>0.07685676351420104</x:v>
      </x:c>
      <x:c r="N112" s="11" t="n">
        <x:f>M112*'药物假设'!N19</x:f>
        <x:v>0.5379973445994073</x:v>
      </x:c>
      <x:c r="O112" s="26" t="b">
        <x:v>1</x:v>
      </x:c>
      <x:c r="P112" s="11" t="n">
        <x:f>19</x:f>
        <x:v>19</x:v>
      </x:c>
      <x:c r="Q112" s="16" t="n">
        <x:v>3</x:v>
      </x:c>
      <x:c r="R112" s="16" t="n">
        <x:v>5.699999999999999</x:v>
      </x:c>
      <x:c r="S112" s="16" t="n">
        <x:v>9</x:v>
      </x:c>
    </x:row>
    <x:row r="113" ht="23" customHeight="1">
      <x:c r="A113" s="11" t="str">
        <x:v>01530.HK</x:v>
      </x:c>
      <x:c r="B113" s="11" t="str">
        <x:v>三年</x:v>
      </x:c>
      <x:c r="C113" s="11" t="str">
        <x:v>肺癌</x:v>
      </x:c>
      <x:c r="D113" s="11" t="n">
        <x:v>2038</x:v>
      </x:c>
      <x:c r="E113" s="11" t="n">
        <x:f>CHOOSE('假设'!$B$3,Q113,R113,S113)</x:f>
        <x:v>5.4</x:v>
      </x:c>
      <x:c r="F113" s="11" t="n">
        <x:f>'药物假设'!K19</x:f>
        <x:v>0.15</x:v>
      </x:c>
      <x:c r="G113" s="11" t="n">
        <x:f>1-'药物假设'!L19</x:f>
        <x:v>0.78</x:v>
      </x:c>
      <x:c r="H113" s="11" t="n">
        <x:f>'药物假设'!I19</x:f>
        <x:v>0.35</x:v>
      </x:c>
      <x:c r="I113" s="11" t="n">
        <x:f>E113*F113*G113*H113*'药物假设'!Q19</x:f>
        <x:v>0.199017</x:v>
      </x:c>
      <x:c r="J113" s="11" t="str">
        <x:v>2029-10-09</x:v>
      </x:c>
      <x:c r="K113" s="11" t="n">
        <x:v>9.22655715263518</x:v>
      </x:c>
      <x:c r="L113" s="11" t="n">
        <x:f>'药物假设'!M19</x:f>
        <x:v>0.13</x:v>
      </x:c>
      <x:c r="M113" s="11" t="n">
        <x:f>IF(O113,I113/(1+L113)^K113,0)</x:f>
        <x:v>0.0644404972539935</x:v>
      </x:c>
      <x:c r="N113" s="11" t="n">
        <x:f>M113*'药物假设'!N19</x:f>
        <x:v>0.45108348077795457</x:v>
      </x:c>
      <x:c r="O113" s="26" t="b">
        <x:v>1</x:v>
      </x:c>
      <x:c r="P113" s="11" t="n">
        <x:f>19</x:f>
        <x:v>19</x:v>
      </x:c>
      <x:c r="Q113" s="16" t="n">
        <x:v>2.8499999999999996</x:v>
      </x:c>
      <x:c r="R113" s="16" t="n">
        <x:v>5.4</x:v>
      </x:c>
      <x:c r="S113" s="16" t="n">
        <x:v>8.2</x:v>
      </x:c>
    </x:row>
    <x:row r="114" ht="23" customHeight="1">
      <x:c r="A114" s="11" t="str">
        <x:v>01530.HK</x:v>
      </x:c>
      <x:c r="B114" s="11" t="str">
        <x:v>三年</x:v>
      </x:c>
      <x:c r="C114" s="11" t="str">
        <x:v>肺癌</x:v>
      </x:c>
      <x:c r="D114" s="11" t="n">
        <x:v>2039</x:v>
      </x:c>
      <x:c r="E114" s="11" t="n">
        <x:f>CHOOSE('假设'!$B$3,Q114,R114,S114)</x:f>
        <x:v>4.92</x:v>
      </x:c>
      <x:c r="F114" s="11" t="n">
        <x:f>'药物假设'!K19</x:f>
        <x:v>0.15</x:v>
      </x:c>
      <x:c r="G114" s="11" t="n">
        <x:f>1-'药物假设'!L19</x:f>
        <x:v>0.78</x:v>
      </x:c>
      <x:c r="H114" s="11" t="n">
        <x:f>'药物假设'!I19</x:f>
        <x:v>0.35</x:v>
      </x:c>
      <x:c r="I114" s="11" t="n">
        <x:f>E114*F114*G114*H114*'药物假设'!Q19</x:f>
        <x:v>0.1813266</x:v>
      </x:c>
      <x:c r="J114" s="11" t="str">
        <x:v>2029-10-09</x:v>
      </x:c>
      <x:c r="K114" s="11" t="n">
        <x:v>10.225872689938399</x:v>
      </x:c>
      <x:c r="L114" s="11" t="n">
        <x:f>'药物假设'!M19</x:f>
        <x:v>0.13</x:v>
      </x:c>
      <x:c r="M114" s="11" t="n">
        <x:f>IF(O114,I114/(1+L114)^K114,0)</x:f>
        <x:v>0.05196226969558593</x:v>
      </x:c>
      <x:c r="N114" s="11" t="n">
        <x:f>M114*'药物假设'!N19</x:f>
        <x:v>0.3637358878691015</x:v>
      </x:c>
      <x:c r="O114" s="26" t="b">
        <x:v>1</x:v>
      </x:c>
      <x:c r="P114" s="11" t="n">
        <x:f>19</x:f>
        <x:v>19</x:v>
      </x:c>
      <x:c r="Q114" s="16" t="n">
        <x:v>2.7</x:v>
      </x:c>
      <x:c r="R114" s="16" t="n">
        <x:v>4.92</x:v>
      </x:c>
      <x:c r="S114" s="16" t="n">
        <x:v>7</x:v>
      </x:c>
    </x:row>
    <x:row r="115" ht="23" customHeight="1">
      <x:c r="A115" s="11" t="str">
        <x:v>01530.HK</x:v>
      </x:c>
      <x:c r="B115" s="11" t="str">
        <x:v>三年</x:v>
      </x:c>
      <x:c r="C115" s="11" t="str">
        <x:v>肺癌</x:v>
      </x:c>
      <x:c r="D115" s="11" t="n">
        <x:v>2040</x:v>
      </x:c>
      <x:c r="E115" s="11" t="n">
        <x:f>CHOOSE('假设'!$B$3,Q115,R115,S115)</x:f>
        <x:v>4.199999999999999</x:v>
      </x:c>
      <x:c r="F115" s="11" t="n">
        <x:f>'药物假设'!K19</x:f>
        <x:v>0.15</x:v>
      </x:c>
      <x:c r="G115" s="11" t="n">
        <x:f>1-'药物假设'!L19</x:f>
        <x:v>0.78</x:v>
      </x:c>
      <x:c r="H115" s="11" t="n">
        <x:f>'药物假设'!I19</x:f>
        <x:v>0.35</x:v>
      </x:c>
      <x:c r="I115" s="11" t="n">
        <x:f>E115*F115*G115*H115*'药物假设'!Q19</x:f>
        <x:v>0.15479099999999998</x:v>
      </x:c>
      <x:c r="J115" s="11" t="str">
        <x:v>2029-10-09</x:v>
      </x:c>
      <x:c r="K115" s="11" t="n">
        <x:v>11.227926078028748</x:v>
      </x:c>
      <x:c r="L115" s="11" t="n">
        <x:f>'药物假设'!M19</x:f>
        <x:v>0.13</x:v>
      </x:c>
      <x:c r="M115" s="11" t="n">
        <x:f>IF(O115,I115/(1+L115)^K115,0)</x:f>
        <x:v>0.039245048141567325</x:v>
      </x:c>
      <x:c r="N115" s="11" t="n">
        <x:f>M115*'药物假设'!N19</x:f>
        <x:v>0.2747153369909713</x:v>
      </x:c>
      <x:c r="O115" s="26" t="b">
        <x:v>1</x:v>
      </x:c>
      <x:c r="P115" s="11" t="n">
        <x:f>19</x:f>
        <x:v>19</x:v>
      </x:c>
      <x:c r="Q115" s="16" t="n">
        <x:v>2.46</x:v>
      </x:c>
      <x:c r="R115" s="16" t="n">
        <x:v>4.199999999999999</x:v>
      </x:c>
      <x:c r="S115" s="16" t="n">
        <x:v>5.5</x:v>
      </x:c>
    </x:row>
    <x:row r="116" ht="23" customHeight="1">
      <x:c r="A116" s="11" t="str">
        <x:v>01530.HK</x:v>
      </x:c>
      <x:c r="B116" s="11" t="str">
        <x:v>三年</x:v>
      </x:c>
      <x:c r="C116" s="11" t="str">
        <x:v>肺癌</x:v>
      </x:c>
      <x:c r="D116" s="11" t="n">
        <x:v>2041</x:v>
      </x:c>
      <x:c r="E116" s="11" t="n">
        <x:f>CHOOSE('假设'!$B$3,Q116,R116,S116)</x:f>
        <x:v>3.3000000000000003</x:v>
      </x:c>
      <x:c r="F116" s="11" t="n">
        <x:f>'药物假设'!K19</x:f>
        <x:v>0.15</x:v>
      </x:c>
      <x:c r="G116" s="11" t="n">
        <x:f>1-'药物假设'!L19</x:f>
        <x:v>0.78</x:v>
      </x:c>
      <x:c r="H116" s="11" t="n">
        <x:f>'药物假设'!I19</x:f>
        <x:v>0.35</x:v>
      </x:c>
      <x:c r="I116" s="11" t="n">
        <x:f>E116*F116*G116*H116*'药物假设'!Q19</x:f>
        <x:v>0.12162149999999998</x:v>
      </x:c>
      <x:c r="J116" s="11" t="str">
        <x:v>2029-10-09</x:v>
      </x:c>
      <x:c r="K116" s="11" t="n">
        <x:v>12.227241615331964</x:v>
      </x:c>
      <x:c r="L116" s="11" t="n">
        <x:f>'药物假设'!M19</x:f>
        <x:v>0.13</x:v>
      </x:c>
      <x:c r="M116" s="11" t="n">
        <x:f>IF(O116,I116/(1+L116)^K116,0)</x:f>
        <x:v>0.02729024297541736</x:v>
      </x:c>
      <x:c r="N116" s="11" t="n">
        <x:f>M116*'药物假设'!N19</x:f>
        <x:v>0.19103170082792154</x:v>
      </x:c>
      <x:c r="O116" s="26" t="b">
        <x:v>1</x:v>
      </x:c>
      <x:c r="P116" s="11" t="n">
        <x:f>19</x:f>
        <x:v>19</x:v>
      </x:c>
      <x:c r="Q116" s="16" t="n">
        <x:v>2.0999999999999996</x:v>
      </x:c>
      <x:c r="R116" s="16" t="n">
        <x:v>3.3000000000000003</x:v>
      </x:c>
      <x:c r="S116" s="16" t="n">
        <x:v>3.5</x:v>
      </x:c>
    </x:row>
    <x:row r="117" ht="23" customHeight="1">
      <x:c r="A117" s="11" t="str">
        <x:v>01530.HK</x:v>
      </x:c>
      <x:c r="B117" s="11" t="str">
        <x:v>三年</x:v>
      </x:c>
      <x:c r="C117" s="11" t="str">
        <x:v>肺癌</x:v>
      </x:c>
      <x:c r="D117" s="11" t="n">
        <x:v>2042</x:v>
      </x:c>
      <x:c r="E117" s="11" t="n">
        <x:f>CHOOSE('假设'!$B$3,Q117,R117,S117)</x:f>
        <x:v>2.0999999999999996</x:v>
      </x:c>
      <x:c r="F117" s="11" t="n">
        <x:f>'药物假设'!K19</x:f>
        <x:v>0.15</x:v>
      </x:c>
      <x:c r="G117" s="11" t="n">
        <x:f>1-'药物假设'!L19</x:f>
        <x:v>0.78</x:v>
      </x:c>
      <x:c r="H117" s="11" t="n">
        <x:f>'药物假设'!I19</x:f>
        <x:v>0.35</x:v>
      </x:c>
      <x:c r="I117" s="11" t="n">
        <x:f>E117*F117*G117*H117*'药物假设'!Q19</x:f>
        <x:v>0.07739549999999999</x:v>
      </x:c>
      <x:c r="J117" s="11" t="str">
        <x:v>2029-10-09</x:v>
      </x:c>
      <x:c r="K117" s="11" t="n">
        <x:v>13.22655715263518</x:v>
      </x:c>
      <x:c r="L117" s="11" t="n">
        <x:f>'药物假设'!M19</x:f>
        <x:v>0.13</x:v>
      </x:c>
      <x:c r="M117" s="11" t="n">
        <x:f>IF(O117,I117/(1+L117)^K117,0)</x:f>
        <x:v>0.015369885917106649</x:v>
      </x:c>
      <x:c r="N117" s="11" t="n">
        <x:f>M117*'药物假设'!N19</x:f>
        <x:v>0.10758920141974654</x:v>
      </x:c>
      <x:c r="O117" s="26" t="b">
        <x:v>1</x:v>
      </x:c>
      <x:c r="P117" s="11" t="n">
        <x:f>19</x:f>
        <x:v>19</x:v>
      </x:c>
      <x:c r="Q117" s="16" t="n">
        <x:v>1.6500000000000001</x:v>
      </x:c>
      <x:c r="R117" s="16" t="n">
        <x:v>2.0999999999999996</x:v>
      </x:c>
      <x:c r="S117" s="16" t="n">
        <x:v>2</x:v>
      </x:c>
    </x:row>
    <x:row r="118" ht="23" customHeight="1">
      <x:c r="A118" s="11" t="str">
        <x:v>01530.HK</x:v>
      </x:c>
      <x:c r="B118" s="11" t="str">
        <x:v>三年</x:v>
      </x:c>
      <x:c r="C118" s="11" t="str">
        <x:v>肺癌</x:v>
      </x:c>
      <x:c r="D118" s="11" t="n">
        <x:v>2043</x:v>
      </x:c>
      <x:c r="E118" s="11" t="n">
        <x:f>CHOOSE('假设'!$B$3,Q118,R118,S118)</x:f>
        <x:v>1.2000000000000002</x:v>
      </x:c>
      <x:c r="F118" s="11" t="n">
        <x:f>'药物假设'!K19</x:f>
        <x:v>0.15</x:v>
      </x:c>
      <x:c r="G118" s="11" t="n">
        <x:f>1-'药物假设'!L19</x:f>
        <x:v>0.78</x:v>
      </x:c>
      <x:c r="H118" s="11" t="n">
        <x:f>'药物假设'!I19</x:f>
        <x:v>0.35</x:v>
      </x:c>
      <x:c r="I118" s="11" t="n">
        <x:f>E118*F118*G118*H118*'药物假设'!Q19</x:f>
        <x:v>0.044226</x:v>
      </x:c>
      <x:c r="J118" s="11" t="str">
        <x:v>2029-10-09</x:v>
      </x:c>
      <x:c r="K118" s="11" t="n">
        <x:v>14.225872689938399</x:v>
      </x:c>
      <x:c r="L118" s="11" t="n">
        <x:f>'药物假设'!M19</x:f>
        <x:v>0.13</x:v>
      </x:c>
      <x:c r="M118" s="11" t="n">
        <x:f>IF(O118,I118/(1+L118)^K118,0)</x:f>
        <x:v>0.007773032472446194</x:v>
      </x:c>
      <x:c r="N118" s="11" t="n">
        <x:f>M118*'药物假设'!N19</x:f>
        <x:v>0.05441122730712336</x:v>
      </x:c>
      <x:c r="O118" s="26" t="b">
        <x:v>1</x:v>
      </x:c>
      <x:c r="P118" s="11" t="n">
        <x:f>19</x:f>
        <x:v>19</x:v>
      </x:c>
      <x:c r="Q118" s="16" t="n">
        <x:v>1.0499999999999998</x:v>
      </x:c>
      <x:c r="R118" s="16" t="n">
        <x:v>1.2000000000000002</x:v>
      </x:c>
      <x:c r="S118" s="16" t="n">
        <x:v>1</x:v>
      </x:c>
    </x:row>
    <x:row r="119" ht="23" customHeight="1">
      <x:c r="A119" s="11" t="str">
        <x:v>01530.HK</x:v>
      </x:c>
      <x:c r="B119" s="11" t="str">
        <x:v>三年</x:v>
      </x:c>
      <x:c r="C119" s="11" t="str">
        <x:v>其他适应症</x:v>
      </x:c>
      <x:c r="D119" s="11" t="n">
        <x:v>2028</x:v>
      </x:c>
      <x:c r="E119" s="11" t="n">
        <x:f>CHOOSE('假设'!$B$3,Q119,R119,S119)</x:f>
        <x:v>0</x:v>
      </x:c>
      <x:c r="F119" s="11" t="n">
        <x:f>'药物假设'!K19</x:f>
        <x:v>0.15</x:v>
      </x:c>
      <x:c r="G119" s="11" t="n">
        <x:f>1-'药物假设'!L19</x:f>
        <x:v>0.78</x:v>
      </x:c>
      <x:c r="H119" s="11" t="n">
        <x:f>'药物假设'!J19</x:f>
        <x:v>0.2</x:v>
      </x:c>
      <x:c r="I119" s="11" t="n">
        <x:f>E119*F119*G119*H119*'药物假设'!Q19</x:f>
        <x:v>0</x:v>
      </x:c>
      <x:c r="J119" s="11" t="str">
        <x:v>2029-10-09</x:v>
      </x:c>
      <x:c r="K119" s="11" t="n">
        <x:v>-0.7720739219712526</x:v>
      </x:c>
      <x:c r="L119" s="11" t="n">
        <x:f>'药物假设'!M19</x:f>
        <x:v>0.13</x:v>
      </x:c>
      <x:c r="M119" s="11" t="n">
        <x:f>IF(O119,I119/(1+L119)^K119,0)</x:f>
        <x:v>0</x:v>
      </x:c>
      <x:c r="N119" s="11" t="n">
        <x:f>M119*'药物假设'!N19</x:f>
        <x:v>0</x:v>
      </x:c>
      <x:c r="O119" s="26" t="b">
        <x:v>0</x:v>
      </x:c>
      <x:c r="P119" s="11" t="n">
        <x:f>19</x:f>
        <x:v>19</x:v>
      </x:c>
      <x:c r="Q119" s="16" t="n">
        <x:v>0</x:v>
      </x:c>
      <x:c r="R119" s="16" t="n">
        <x:v>0</x:v>
      </x:c>
      <x:c r="S119" s="16" t="n">
        <x:v>0</x:v>
      </x:c>
    </x:row>
    <x:row r="120" ht="23" customHeight="1">
      <x:c r="A120" s="11" t="str">
        <x:v>01530.HK</x:v>
      </x:c>
      <x:c r="B120" s="11" t="str">
        <x:v>三年</x:v>
      </x:c>
      <x:c r="C120" s="11" t="str">
        <x:v>其他适应症</x:v>
      </x:c>
      <x:c r="D120" s="11" t="n">
        <x:v>2029</x:v>
      </x:c>
      <x:c r="E120" s="11" t="n">
        <x:f>CHOOSE('假设'!$B$3,Q120,R120,S120)</x:f>
        <x:v>0</x:v>
      </x:c>
      <x:c r="F120" s="11" t="n">
        <x:f>'药物假设'!K19</x:f>
        <x:v>0.15</x:v>
      </x:c>
      <x:c r="G120" s="11" t="n">
        <x:f>1-'药物假设'!L19</x:f>
        <x:v>0.78</x:v>
      </x:c>
      <x:c r="H120" s="11" t="n">
        <x:f>'药物假设'!J19</x:f>
        <x:v>0.2</x:v>
      </x:c>
      <x:c r="I120" s="11" t="n">
        <x:f>E120*F120*G120*H120*'药物假设'!Q19</x:f>
        <x:v>0</x:v>
      </x:c>
      <x:c r="J120" s="11" t="str">
        <x:v>2029-10-09</x:v>
      </x:c>
      <x:c r="K120" s="11" t="n">
        <x:v>0.2272416153319644</x:v>
      </x:c>
      <x:c r="L120" s="11" t="n">
        <x:f>'药物假设'!M19</x:f>
        <x:v>0.13</x:v>
      </x:c>
      <x:c r="M120" s="11" t="n">
        <x:f>IF(O120,I120/(1+L120)^K120,0)</x:f>
        <x:v>0</x:v>
      </x:c>
      <x:c r="N120" s="11" t="n">
        <x:f>M120*'药物假设'!N19</x:f>
        <x:v>0</x:v>
      </x:c>
      <x:c r="O120" s="26" t="b">
        <x:v>1</x:v>
      </x:c>
      <x:c r="P120" s="11" t="n">
        <x:f>19</x:f>
        <x:v>19</x:v>
      </x:c>
      <x:c r="Q120" s="16" t="n">
        <x:v>0</x:v>
      </x:c>
      <x:c r="R120" s="16" t="n">
        <x:v>0</x:v>
      </x:c>
      <x:c r="S120" s="16" t="n">
        <x:v>1.05</x:v>
      </x:c>
    </x:row>
    <x:row r="121" ht="23" customHeight="1">
      <x:c r="A121" s="11" t="str">
        <x:v>01530.HK</x:v>
      </x:c>
      <x:c r="B121" s="11" t="str">
        <x:v>三年</x:v>
      </x:c>
      <x:c r="C121" s="11" t="str">
        <x:v>其他适应症</x:v>
      </x:c>
      <x:c r="D121" s="11" t="n">
        <x:v>2030</x:v>
      </x:c>
      <x:c r="E121" s="11" t="n">
        <x:f>CHOOSE('假设'!$B$3,Q121,R121,S121)</x:f>
        <x:v>0.44999999999999996</x:v>
      </x:c>
      <x:c r="F121" s="11" t="n">
        <x:f>'药物假设'!K19</x:f>
        <x:v>0.15</x:v>
      </x:c>
      <x:c r="G121" s="11" t="n">
        <x:f>1-'药物假设'!L19</x:f>
        <x:v>0.78</x:v>
      </x:c>
      <x:c r="H121" s="11" t="n">
        <x:f>'药物假设'!J19</x:f>
        <x:v>0.2</x:v>
      </x:c>
      <x:c r="I121" s="11" t="n">
        <x:f>E121*F121*G121*H121*'药物假设'!Q19</x:f>
        <x:v>0.009477</x:v>
      </x:c>
      <x:c r="J121" s="11" t="str">
        <x:v>2029-10-09</x:v>
      </x:c>
      <x:c r="K121" s="11" t="n">
        <x:v>1.2265571526351813</x:v>
      </x:c>
      <x:c r="L121" s="11" t="n">
        <x:f>'药物假设'!M19</x:f>
        <x:v>0.13</x:v>
      </x:c>
      <x:c r="M121" s="11" t="n">
        <x:f>IF(O121,I121/(1+L121)^K121,0)</x:f>
        <x:v>0.00815768884347056</x:v>
      </x:c>
      <x:c r="N121" s="11" t="n">
        <x:f>M121*'药物假设'!N19</x:f>
        <x:v>0.057103821904293924</x:v>
      </x:c>
      <x:c r="O121" s="26" t="b">
        <x:v>1</x:v>
      </x:c>
      <x:c r="P121" s="11" t="n">
        <x:f>19</x:f>
        <x:v>19</x:v>
      </x:c>
      <x:c r="Q121" s="16" t="n">
        <x:v>0</x:v>
      </x:c>
      <x:c r="R121" s="16" t="n">
        <x:v>0.44999999999999996</x:v>
      </x:c>
      <x:c r="S121" s="16" t="n">
        <x:v>2.1</x:v>
      </x:c>
    </x:row>
    <x:row r="122" ht="23" customHeight="1">
      <x:c r="A122" s="11" t="str">
        <x:v>01530.HK</x:v>
      </x:c>
      <x:c r="B122" s="11" t="str">
        <x:v>三年</x:v>
      </x:c>
      <x:c r="C122" s="11" t="str">
        <x:v>其他适应症</x:v>
      </x:c>
      <x:c r="D122" s="11" t="n">
        <x:v>2031</x:v>
      </x:c>
      <x:c r="E122" s="11" t="n">
        <x:f>CHOOSE('假设'!$B$3,Q122,R122,S122)</x:f>
        <x:v>0.8999999999999999</x:v>
      </x:c>
      <x:c r="F122" s="11" t="n">
        <x:f>'药物假设'!K19</x:f>
        <x:v>0.15</x:v>
      </x:c>
      <x:c r="G122" s="11" t="n">
        <x:f>1-'药物假设'!L19</x:f>
        <x:v>0.78</x:v>
      </x:c>
      <x:c r="H122" s="11" t="n">
        <x:f>'药物假设'!J19</x:f>
        <x:v>0.2</x:v>
      </x:c>
      <x:c r="I122" s="11" t="n">
        <x:f>E122*F122*G122*H122*'药物假设'!Q19</x:f>
        <x:v>0.018954</x:v>
      </x:c>
      <x:c r="J122" s="11" t="str">
        <x:v>2029-10-09</x:v>
      </x:c>
      <x:c r="K122" s="11" t="n">
        <x:v>2.2258726899383983</x:v>
      </x:c>
      <x:c r="L122" s="11" t="n">
        <x:f>'药物假设'!M19</x:f>
        <x:v>0.13</x:v>
      </x:c>
      <x:c r="M122" s="11" t="n">
        <x:f>IF(O122,I122/(1+L122)^K122,0)</x:f>
        <x:v>0.014439595204439182</x:v>
      </x:c>
      <x:c r="N122" s="11" t="n">
        <x:f>M122*'药物假设'!N19</x:f>
        <x:v>0.10107716643107427</x:v>
      </x:c>
      <x:c r="O122" s="26" t="b">
        <x:v>1</x:v>
      </x:c>
      <x:c r="P122" s="11" t="n">
        <x:f>19</x:f>
        <x:v>19</x:v>
      </x:c>
      <x:c r="Q122" s="16" t="n">
        <x:v>0.15</x:v>
      </x:c>
      <x:c r="R122" s="16" t="n">
        <x:v>0.8999999999999999</x:v>
      </x:c>
      <x:c r="S122" s="16" t="n">
        <x:v>3.5</x:v>
      </x:c>
    </x:row>
    <x:row r="123" ht="23" customHeight="1">
      <x:c r="A123" s="11" t="str">
        <x:v>01530.HK</x:v>
      </x:c>
      <x:c r="B123" s="11" t="str">
        <x:v>三年</x:v>
      </x:c>
      <x:c r="C123" s="11" t="str">
        <x:v>其他适应症</x:v>
      </x:c>
      <x:c r="D123" s="11" t="n">
        <x:v>2032</x:v>
      </x:c>
      <x:c r="E123" s="11" t="n">
        <x:f>CHOOSE('假设'!$B$3,Q123,R123,S123)</x:f>
        <x:v>1.5</x:v>
      </x:c>
      <x:c r="F123" s="11" t="n">
        <x:f>'药物假设'!K19</x:f>
        <x:v>0.15</x:v>
      </x:c>
      <x:c r="G123" s="11" t="n">
        <x:f>1-'药物假设'!L19</x:f>
        <x:v>0.78</x:v>
      </x:c>
      <x:c r="H123" s="11" t="n">
        <x:f>'药物假设'!J19</x:f>
        <x:v>0.2</x:v>
      </x:c>
      <x:c r="I123" s="11" t="n">
        <x:f>E123*F123*G123*H123*'药物假设'!Q19</x:f>
        <x:v>0.03159</x:v>
      </x:c>
      <x:c r="J123" s="11" t="str">
        <x:v>2029-10-09</x:v>
      </x:c>
      <x:c r="K123" s="11" t="n">
        <x:v>3.2279260780287475</x:v>
      </x:c>
      <x:c r="L123" s="11" t="n">
        <x:f>'药物假设'!M19</x:f>
        <x:v>0.13</x:v>
      </x:c>
      <x:c r="M123" s="11" t="n">
        <x:f>IF(O123,I123/(1+L123)^K123,0)</x:f>
        <x:v>0.02129199394536387</x:v>
      </x:c>
      <x:c r="N123" s="11" t="n">
        <x:f>M123*'药物假设'!N19</x:f>
        <x:v>0.14904395761754707</x:v>
      </x:c>
      <x:c r="O123" s="26" t="b">
        <x:v>1</x:v>
      </x:c>
      <x:c r="P123" s="11" t="n">
        <x:f>19</x:f>
        <x:v>19</x:v>
      </x:c>
      <x:c r="Q123" s="16" t="n">
        <x:v>0.3</x:v>
      </x:c>
      <x:c r="R123" s="16" t="n">
        <x:v>1.5</x:v>
      </x:c>
      <x:c r="S123" s="16" t="n">
        <x:v>4.8999999999999995</x:v>
      </x:c>
    </x:row>
    <x:row r="124" ht="23" customHeight="1">
      <x:c r="A124" s="11" t="str">
        <x:v>01530.HK</x:v>
      </x:c>
      <x:c r="B124" s="11" t="str">
        <x:v>三年</x:v>
      </x:c>
      <x:c r="C124" s="11" t="str">
        <x:v>其他适应症</x:v>
      </x:c>
      <x:c r="D124" s="11" t="n">
        <x:v>2033</x:v>
      </x:c>
      <x:c r="E124" s="11" t="n">
        <x:f>CHOOSE('假设'!$B$3,Q124,R124,S124)</x:f>
        <x:v>2.0999999999999996</x:v>
      </x:c>
      <x:c r="F124" s="11" t="n">
        <x:f>'药物假设'!K19</x:f>
        <x:v>0.15</x:v>
      </x:c>
      <x:c r="G124" s="11" t="n">
        <x:f>1-'药物假设'!L19</x:f>
        <x:v>0.78</x:v>
      </x:c>
      <x:c r="H124" s="11" t="n">
        <x:f>'药物假设'!J19</x:f>
        <x:v>0.2</x:v>
      </x:c>
      <x:c r="I124" s="11" t="n">
        <x:f>E124*F124*G124*H124*'药物假设'!Q19</x:f>
        <x:v>0.044225999999999994</x:v>
      </x:c>
      <x:c r="J124" s="11" t="str">
        <x:v>2029-10-09</x:v>
      </x:c>
      <x:c r="K124" s="11" t="n">
        <x:v>4.227241615331964</x:v>
      </x:c>
      <x:c r="L124" s="11" t="n">
        <x:f>'药物假设'!M19</x:f>
        <x:v>0.13</x:v>
      </x:c>
      <x:c r="M124" s="11" t="n">
        <x:f>IF(O124,I124/(1+L124)^K124,0)</x:f>
        <x:v>0.026381668349455916</x:v>
      </x:c>
      <x:c r="N124" s="11" t="n">
        <x:f>M124*'药物假设'!N19</x:f>
        <x:v>0.18467167844619142</x:v>
      </x:c>
      <x:c r="O124" s="26" t="b">
        <x:v>1</x:v>
      </x:c>
      <x:c r="P124" s="11" t="n">
        <x:f>19</x:f>
        <x:v>19</x:v>
      </x:c>
      <x:c r="Q124" s="16" t="n">
        <x:v>0.5</x:v>
      </x:c>
      <x:c r="R124" s="16" t="n">
        <x:v>2.0999999999999996</x:v>
      </x:c>
      <x:c r="S124" s="16" t="n">
        <x:v>6.3</x:v>
      </x:c>
    </x:row>
    <x:row r="125" ht="23" customHeight="1">
      <x:c r="A125" s="11" t="str">
        <x:v>01530.HK</x:v>
      </x:c>
      <x:c r="B125" s="11" t="str">
        <x:v>三年</x:v>
      </x:c>
      <x:c r="C125" s="11" t="str">
        <x:v>其他适应症</x:v>
      </x:c>
      <x:c r="D125" s="11" t="n">
        <x:v>2034</x:v>
      </x:c>
      <x:c r="E125" s="11" t="n">
        <x:f>CHOOSE('假设'!$B$3,Q125,R125,S125)</x:f>
        <x:v>2.7</x:v>
      </x:c>
      <x:c r="F125" s="11" t="n">
        <x:f>'药物假设'!K19</x:f>
        <x:v>0.15</x:v>
      </x:c>
      <x:c r="G125" s="11" t="n">
        <x:f>1-'药物假设'!L19</x:f>
        <x:v>0.78</x:v>
      </x:c>
      <x:c r="H125" s="11" t="n">
        <x:f>'药物假设'!J19</x:f>
        <x:v>0.2</x:v>
      </x:c>
      <x:c r="I125" s="11" t="n">
        <x:f>E125*F125*G125*H125*'药物假设'!Q19</x:f>
        <x:v>0.056862</x:v>
      </x:c>
      <x:c r="J125" s="11" t="str">
        <x:v>2029-10-09</x:v>
      </x:c>
      <x:c r="K125" s="11" t="n">
        <x:v>5.2265571526351815</x:v>
      </x:c>
      <x:c r="L125" s="11" t="n">
        <x:f>'药物假设'!M19</x:f>
        <x:v>0.13</x:v>
      </x:c>
      <x:c r="M125" s="11" t="n">
        <x:f>IF(O125,I125/(1+L125)^K125,0)</x:f>
        <x:v>0.030019580053689668</x:v>
      </x:c>
      <x:c r="N125" s="11" t="n">
        <x:f>M125*'药物假设'!N19</x:f>
        <x:v>0.2101370603758277</x:v>
      </x:c>
      <x:c r="O125" s="26" t="b">
        <x:v>1</x:v>
      </x:c>
      <x:c r="P125" s="11" t="n">
        <x:f>19</x:f>
        <x:v>19</x:v>
      </x:c>
      <x:c r="Q125" s="16" t="n">
        <x:v>0.7</x:v>
      </x:c>
      <x:c r="R125" s="16" t="n">
        <x:v>2.7</x:v>
      </x:c>
      <x:c r="S125" s="16" t="n">
        <x:v>7</x:v>
      </x:c>
    </x:row>
    <x:row r="126" ht="23" customHeight="1">
      <x:c r="A126" s="11" t="str">
        <x:v>01530.HK</x:v>
      </x:c>
      <x:c r="B126" s="11" t="str">
        <x:v>三年</x:v>
      </x:c>
      <x:c r="C126" s="11" t="str">
        <x:v>其他适应症</x:v>
      </x:c>
      <x:c r="D126" s="11" t="n">
        <x:v>2035</x:v>
      </x:c>
      <x:c r="E126" s="11" t="n">
        <x:f>CHOOSE('假设'!$B$3,Q126,R126,S126)</x:f>
        <x:v>3</x:v>
      </x:c>
      <x:c r="F126" s="11" t="n">
        <x:f>'药物假设'!K19</x:f>
        <x:v>0.15</x:v>
      </x:c>
      <x:c r="G126" s="11" t="n">
        <x:f>1-'药物假设'!L19</x:f>
        <x:v>0.78</x:v>
      </x:c>
      <x:c r="H126" s="11" t="n">
        <x:f>'药物假设'!J19</x:f>
        <x:v>0.2</x:v>
      </x:c>
      <x:c r="I126" s="11" t="n">
        <x:f>E126*F126*G126*H126*'药物假设'!Q19</x:f>
        <x:v>0.06318</x:v>
      </x:c>
      <x:c r="J126" s="11" t="str">
        <x:v>2029-10-09</x:v>
      </x:c>
      <x:c r="K126" s="11" t="n">
        <x:v>6.225872689938399</x:v>
      </x:c>
      <x:c r="L126" s="11" t="n">
        <x:f>'药物假设'!M19</x:f>
        <x:v>0.13</x:v>
      </x:c>
      <x:c r="M126" s="11" t="n">
        <x:f>IF(O126,I126/(1+L126)^K126,0)</x:f>
        <x:v>0.029520247196639565</x:v>
      </x:c>
      <x:c r="N126" s="11" t="n">
        <x:f>M126*'药物假设'!N19</x:f>
        <x:v>0.20664173037647696</x:v>
      </x:c>
      <x:c r="O126" s="26" t="b">
        <x:v>1</x:v>
      </x:c>
      <x:c r="P126" s="11" t="n">
        <x:f>19</x:f>
        <x:v>19</x:v>
      </x:c>
      <x:c r="Q126" s="16" t="n">
        <x:v>0.9</x:v>
      </x:c>
      <x:c r="R126" s="16" t="n">
        <x:v>3</x:v>
      </x:c>
      <x:c r="S126" s="16" t="n">
        <x:v>7</x:v>
      </x:c>
    </x:row>
    <x:row r="127" ht="23" customHeight="1">
      <x:c r="A127" s="11" t="str">
        <x:v>01530.HK</x:v>
      </x:c>
      <x:c r="B127" s="11" t="str">
        <x:v>三年</x:v>
      </x:c>
      <x:c r="C127" s="11" t="str">
        <x:v>其他适应症</x:v>
      </x:c>
      <x:c r="D127" s="11" t="n">
        <x:v>2036</x:v>
      </x:c>
      <x:c r="E127" s="11" t="n">
        <x:f>CHOOSE('假设'!$B$3,Q127,R127,S127)</x:f>
        <x:v>3</x:v>
      </x:c>
      <x:c r="F127" s="11" t="n">
        <x:f>'药物假设'!K19</x:f>
        <x:v>0.15</x:v>
      </x:c>
      <x:c r="G127" s="11" t="n">
        <x:f>1-'药物假设'!L19</x:f>
        <x:v>0.78</x:v>
      </x:c>
      <x:c r="H127" s="11" t="n">
        <x:f>'药物假设'!J19</x:f>
        <x:v>0.2</x:v>
      </x:c>
      <x:c r="I127" s="11" t="n">
        <x:f>E127*F127*G127*H127*'药物假设'!Q19</x:f>
        <x:v>0.06318</x:v>
      </x:c>
      <x:c r="J127" s="11" t="str">
        <x:v>2029-10-09</x:v>
      </x:c>
      <x:c r="K127" s="11" t="n">
        <x:v>7.227926078028747</x:v>
      </x:c>
      <x:c r="L127" s="11" t="n">
        <x:f>'药物假设'!M19</x:f>
        <x:v>0.13</x:v>
      </x:c>
      <x:c r="M127" s="11" t="n">
        <x:f>IF(O127,I127/(1+L127)^K127,0)</x:f>
        <x:v>0.026117557272655127</x:v>
      </x:c>
      <x:c r="N127" s="11" t="n">
        <x:f>M127*'药物假设'!N19</x:f>
        <x:v>0.18282290090858588</x:v>
      </x:c>
      <x:c r="O127" s="26" t="b">
        <x:v>1</x:v>
      </x:c>
      <x:c r="P127" s="11" t="n">
        <x:f>19</x:f>
        <x:v>19</x:v>
      </x:c>
      <x:c r="Q127" s="16" t="n">
        <x:v>1</x:v>
      </x:c>
      <x:c r="R127" s="16" t="n">
        <x:v>3</x:v>
      </x:c>
      <x:c r="S127" s="16" t="n">
        <x:v>6.6499999999999995</x:v>
      </x:c>
    </x:row>
    <x:row r="128" ht="23" customHeight="1">
      <x:c r="A128" s="11" t="str">
        <x:v>01530.HK</x:v>
      </x:c>
      <x:c r="B128" s="11" t="str">
        <x:v>三年</x:v>
      </x:c>
      <x:c r="C128" s="11" t="str">
        <x:v>其他适应症</x:v>
      </x:c>
      <x:c r="D128" s="11" t="n">
        <x:v>2037</x:v>
      </x:c>
      <x:c r="E128" s="11" t="n">
        <x:f>CHOOSE('假设'!$B$3,Q128,R128,S128)</x:f>
        <x:v>2.8499999999999996</x:v>
      </x:c>
      <x:c r="F128" s="11" t="n">
        <x:f>'药物假设'!K19</x:f>
        <x:v>0.15</x:v>
      </x:c>
      <x:c r="G128" s="11" t="n">
        <x:f>1-'药物假设'!L19</x:f>
        <x:v>0.78</x:v>
      </x:c>
      <x:c r="H128" s="11" t="n">
        <x:f>'药物假设'!J19</x:f>
        <x:v>0.2</x:v>
      </x:c>
      <x:c r="I128" s="11" t="n">
        <x:f>E128*F128*G128*H128*'药物假设'!Q19</x:f>
        <x:v>0.060021</x:v>
      </x:c>
      <x:c r="J128" s="11" t="str">
        <x:v>2029-10-09</x:v>
      </x:c>
      <x:c r="K128" s="11" t="n">
        <x:v>8.227241615331964</x:v>
      </x:c>
      <x:c r="L128" s="11" t="n">
        <x:f>'药物假设'!M19</x:f>
        <x:v>0.13</x:v>
      </x:c>
      <x:c r="M128" s="11" t="n">
        <x:f>IF(O128,I128/(1+L128)^K128,0)</x:f>
        <x:v>0.02195907528977173</x:v>
      </x:c>
      <x:c r="N128" s="11" t="n">
        <x:f>M128*'药物假设'!N19</x:f>
        <x:v>0.1537135270284021</x:v>
      </x:c>
      <x:c r="O128" s="26" t="b">
        <x:v>1</x:v>
      </x:c>
      <x:c r="P128" s="11" t="n">
        <x:f>19</x:f>
        <x:v>19</x:v>
      </x:c>
      <x:c r="Q128" s="16" t="n">
        <x:v>1</x:v>
      </x:c>
      <x:c r="R128" s="16" t="n">
        <x:v>2.8499999999999996</x:v>
      </x:c>
      <x:c r="S128" s="16" t="n">
        <x:v>6.3</x:v>
      </x:c>
    </x:row>
    <x:row r="129" ht="23" customHeight="1">
      <x:c r="A129" s="11" t="str">
        <x:v>01530.HK</x:v>
      </x:c>
      <x:c r="B129" s="11" t="str">
        <x:v>三年</x:v>
      </x:c>
      <x:c r="C129" s="11" t="str">
        <x:v>其他适应症</x:v>
      </x:c>
      <x:c r="D129" s="11" t="n">
        <x:v>2038</x:v>
      </x:c>
      <x:c r="E129" s="11" t="n">
        <x:f>CHOOSE('假设'!$B$3,Q129,R129,S129)</x:f>
        <x:v>2.7</x:v>
      </x:c>
      <x:c r="F129" s="11" t="n">
        <x:f>'药物假设'!K19</x:f>
        <x:v>0.15</x:v>
      </x:c>
      <x:c r="G129" s="11" t="n">
        <x:f>1-'药物假设'!L19</x:f>
        <x:v>0.78</x:v>
      </x:c>
      <x:c r="H129" s="11" t="n">
        <x:f>'药物假设'!J19</x:f>
        <x:v>0.2</x:v>
      </x:c>
      <x:c r="I129" s="11" t="n">
        <x:f>E129*F129*G129*H129*'药物假设'!Q19</x:f>
        <x:v>0.056862</x:v>
      </x:c>
      <x:c r="J129" s="11" t="str">
        <x:v>2029-10-09</x:v>
      </x:c>
      <x:c r="K129" s="11" t="n">
        <x:v>9.22655715263518</x:v>
      </x:c>
      <x:c r="L129" s="11" t="n">
        <x:f>'药物假设'!M19</x:f>
        <x:v>0.13</x:v>
      </x:c>
      <x:c r="M129" s="11" t="n">
        <x:f>IF(O129,I129/(1+L129)^K129,0)</x:f>
        <x:v>0.01841157064399815</x:v>
      </x:c>
      <x:c r="N129" s="11" t="n">
        <x:f>M129*'药物假设'!N19</x:f>
        <x:v>0.12888099450798704</x:v>
      </x:c>
      <x:c r="O129" s="26" t="b">
        <x:v>1</x:v>
      </x:c>
      <x:c r="P129" s="11" t="n">
        <x:f>19</x:f>
        <x:v>19</x:v>
      </x:c>
      <x:c r="Q129" s="16" t="n">
        <x:v>0.95</x:v>
      </x:c>
      <x:c r="R129" s="16" t="n">
        <x:v>2.7</x:v>
      </x:c>
      <x:c r="S129" s="16" t="n">
        <x:v>5.739999999999999</x:v>
      </x:c>
    </x:row>
    <x:row r="130" ht="23" customHeight="1">
      <x:c r="A130" s="11" t="str">
        <x:v>01530.HK</x:v>
      </x:c>
      <x:c r="B130" s="11" t="str">
        <x:v>三年</x:v>
      </x:c>
      <x:c r="C130" s="11" t="str">
        <x:v>其他适应症</x:v>
      </x:c>
      <x:c r="D130" s="11" t="n">
        <x:v>2039</x:v>
      </x:c>
      <x:c r="E130" s="11" t="n">
        <x:f>CHOOSE('假设'!$B$3,Q130,R130,S130)</x:f>
        <x:v>2.46</x:v>
      </x:c>
      <x:c r="F130" s="11" t="n">
        <x:f>'药物假设'!K19</x:f>
        <x:v>0.15</x:v>
      </x:c>
      <x:c r="G130" s="11" t="n">
        <x:f>1-'药物假设'!L19</x:f>
        <x:v>0.78</x:v>
      </x:c>
      <x:c r="H130" s="11" t="n">
        <x:f>'药物假设'!J19</x:f>
        <x:v>0.2</x:v>
      </x:c>
      <x:c r="I130" s="11" t="n">
        <x:f>E130*F130*G130*H130*'药物假设'!Q19</x:f>
        <x:v>0.0518076</x:v>
      </x:c>
      <x:c r="J130" s="11" t="str">
        <x:v>2029-10-09</x:v>
      </x:c>
      <x:c r="K130" s="11" t="n">
        <x:v>10.225872689938399</x:v>
      </x:c>
      <x:c r="L130" s="11" t="n">
        <x:f>'药物假设'!M19</x:f>
        <x:v>0.13</x:v>
      </x:c>
      <x:c r="M130" s="11" t="n">
        <x:f>IF(O130,I130/(1+L130)^K130,0)</x:f>
        <x:v>0.014846362770167409</x:v>
      </x:c>
      <x:c r="N130" s="11" t="n">
        <x:f>M130*'药物假设'!N19</x:f>
        <x:v>0.10392453939117187</x:v>
      </x:c>
      <x:c r="O130" s="26" t="b">
        <x:v>1</x:v>
      </x:c>
      <x:c r="P130" s="11" t="n">
        <x:f>19</x:f>
        <x:v>19</x:v>
      </x:c>
      <x:c r="Q130" s="16" t="n">
        <x:v>0.9</x:v>
      </x:c>
      <x:c r="R130" s="16" t="n">
        <x:v>2.46</x:v>
      </x:c>
      <x:c r="S130" s="16" t="n">
        <x:v>4.8999999999999995</x:v>
      </x:c>
    </x:row>
    <x:row r="131" ht="23" customHeight="1">
      <x:c r="A131" s="11" t="str">
        <x:v>01530.HK</x:v>
      </x:c>
      <x:c r="B131" s="11" t="str">
        <x:v>三年</x:v>
      </x:c>
      <x:c r="C131" s="11" t="str">
        <x:v>其他适应症</x:v>
      </x:c>
      <x:c r="D131" s="11" t="n">
        <x:v>2040</x:v>
      </x:c>
      <x:c r="E131" s="11" t="n">
        <x:f>CHOOSE('假设'!$B$3,Q131,R131,S131)</x:f>
        <x:v>2.0999999999999996</x:v>
      </x:c>
      <x:c r="F131" s="11" t="n">
        <x:f>'药物假设'!K19</x:f>
        <x:v>0.15</x:v>
      </x:c>
      <x:c r="G131" s="11" t="n">
        <x:f>1-'药物假设'!L19</x:f>
        <x:v>0.78</x:v>
      </x:c>
      <x:c r="H131" s="11" t="n">
        <x:f>'药物假设'!J19</x:f>
        <x:v>0.2</x:v>
      </x:c>
      <x:c r="I131" s="11" t="n">
        <x:f>E131*F131*G131*H131*'药物假设'!Q19</x:f>
        <x:v>0.044225999999999994</x:v>
      </x:c>
      <x:c r="J131" s="11" t="str">
        <x:v>2029-10-09</x:v>
      </x:c>
      <x:c r="K131" s="11" t="n">
        <x:v>11.227926078028748</x:v>
      </x:c>
      <x:c r="L131" s="11" t="n">
        <x:f>'药物假设'!M19</x:f>
        <x:v>0.13</x:v>
      </x:c>
      <x:c r="M131" s="11" t="n">
        <x:f>IF(O131,I131/(1+L131)^K131,0)</x:f>
        <x:v>0.011212870897590665</x:v>
      </x:c>
      <x:c r="N131" s="11" t="n">
        <x:f>M131*'药物假设'!N19</x:f>
        <x:v>0.07849009628313465</x:v>
      </x:c>
      <x:c r="O131" s="26" t="b">
        <x:v>1</x:v>
      </x:c>
      <x:c r="P131" s="11" t="n">
        <x:f>19</x:f>
        <x:v>19</x:v>
      </x:c>
      <x:c r="Q131" s="16" t="n">
        <x:v>0.82</x:v>
      </x:c>
      <x:c r="R131" s="16" t="n">
        <x:v>2.0999999999999996</x:v>
      </x:c>
      <x:c r="S131" s="16" t="n">
        <x:v>3.8500000000000005</x:v>
      </x:c>
    </x:row>
    <x:row r="132" ht="23" customHeight="1">
      <x:c r="A132" s="11" t="str">
        <x:v>01530.HK</x:v>
      </x:c>
      <x:c r="B132" s="11" t="str">
        <x:v>三年</x:v>
      </x:c>
      <x:c r="C132" s="11" t="str">
        <x:v>其他适应症</x:v>
      </x:c>
      <x:c r="D132" s="11" t="n">
        <x:v>2041</x:v>
      </x:c>
      <x:c r="E132" s="11" t="n">
        <x:f>CHOOSE('假设'!$B$3,Q132,R132,S132)</x:f>
        <x:v>1.6500000000000001</x:v>
      </x:c>
      <x:c r="F132" s="11" t="n">
        <x:f>'药物假设'!K19</x:f>
        <x:v>0.15</x:v>
      </x:c>
      <x:c r="G132" s="11" t="n">
        <x:f>1-'药物假设'!L19</x:f>
        <x:v>0.78</x:v>
      </x:c>
      <x:c r="H132" s="11" t="n">
        <x:f>'药物假设'!J19</x:f>
        <x:v>0.2</x:v>
      </x:c>
      <x:c r="I132" s="11" t="n">
        <x:f>E132*F132*G132*H132*'药物假设'!Q19</x:f>
        <x:v>0.03474900000000001</x:v>
      </x:c>
      <x:c r="J132" s="11" t="str">
        <x:v>2029-10-09</x:v>
      </x:c>
      <x:c r="K132" s="11" t="n">
        <x:v>12.227241615331964</x:v>
      </x:c>
      <x:c r="L132" s="11" t="n">
        <x:f>'药物假设'!M19</x:f>
        <x:v>0.13</x:v>
      </x:c>
      <x:c r="M132" s="11" t="n">
        <x:f>IF(O132,I132/(1+L132)^K132,0)</x:f>
        <x:v>0.007797212278690678</x:v>
      </x:c>
      <x:c r="N132" s="11" t="n">
        <x:f>M132*'药物假设'!N19</x:f>
        <x:v>0.05458048595083474</x:v>
      </x:c>
      <x:c r="O132" s="26" t="b">
        <x:v>1</x:v>
      </x:c>
      <x:c r="P132" s="11" t="n">
        <x:f>19</x:f>
        <x:v>19</x:v>
      </x:c>
      <x:c r="Q132" s="16" t="n">
        <x:v>0.7</x:v>
      </x:c>
      <x:c r="R132" s="16" t="n">
        <x:v>1.6500000000000001</x:v>
      </x:c>
      <x:c r="S132" s="16" t="n">
        <x:v>2.4499999999999997</x:v>
      </x:c>
    </x:row>
    <x:row r="133" ht="23" customHeight="1">
      <x:c r="A133" s="11" t="str">
        <x:v>01530.HK</x:v>
      </x:c>
      <x:c r="B133" s="11" t="str">
        <x:v>三年</x:v>
      </x:c>
      <x:c r="C133" s="11" t="str">
        <x:v>其他适应症</x:v>
      </x:c>
      <x:c r="D133" s="11" t="n">
        <x:v>2042</x:v>
      </x:c>
      <x:c r="E133" s="11" t="n">
        <x:f>CHOOSE('假设'!$B$3,Q133,R133,S133)</x:f>
        <x:v>1.0499999999999998</x:v>
      </x:c>
      <x:c r="F133" s="11" t="n">
        <x:f>'药物假设'!K19</x:f>
        <x:v>0.15</x:v>
      </x:c>
      <x:c r="G133" s="11" t="n">
        <x:f>1-'药物假设'!L19</x:f>
        <x:v>0.78</x:v>
      </x:c>
      <x:c r="H133" s="11" t="n">
        <x:f>'药物假设'!J19</x:f>
        <x:v>0.2</x:v>
      </x:c>
      <x:c r="I133" s="11" t="n">
        <x:f>E133*F133*G133*H133*'药物假设'!Q19</x:f>
        <x:v>0.022112999999999997</x:v>
      </x:c>
      <x:c r="J133" s="11" t="str">
        <x:v>2029-10-09</x:v>
      </x:c>
      <x:c r="K133" s="11" t="n">
        <x:v>13.22655715263518</x:v>
      </x:c>
      <x:c r="L133" s="11" t="n">
        <x:f>'药物假设'!M19</x:f>
        <x:v>0.13</x:v>
      </x:c>
      <x:c r="M133" s="11" t="n">
        <x:f>IF(O133,I133/(1+L133)^K133,0)</x:f>
        <x:v>0.004391395976316185</x:v>
      </x:c>
      <x:c r="N133" s="11" t="n">
        <x:f>M133*'药物假设'!N19</x:f>
        <x:v>0.030739771834213295</x:v>
      </x:c>
      <x:c r="O133" s="26" t="b">
        <x:v>1</x:v>
      </x:c>
      <x:c r="P133" s="11" t="n">
        <x:f>19</x:f>
        <x:v>19</x:v>
      </x:c>
      <x:c r="Q133" s="16" t="n">
        <x:v>0.55</x:v>
      </x:c>
      <x:c r="R133" s="16" t="n">
        <x:v>1.0499999999999998</x:v>
      </x:c>
      <x:c r="S133" s="16" t="n">
        <x:v>1.4000000000000001</x:v>
      </x:c>
    </x:row>
    <x:row r="134" ht="23" customHeight="1">
      <x:c r="A134" s="11" t="str">
        <x:v>01530.HK</x:v>
      </x:c>
      <x:c r="B134" s="11" t="str">
        <x:v>三年</x:v>
      </x:c>
      <x:c r="C134" s="11" t="str">
        <x:v>其他适应症</x:v>
      </x:c>
      <x:c r="D134" s="11" t="n">
        <x:v>2043</x:v>
      </x:c>
      <x:c r="E134" s="11" t="n">
        <x:f>CHOOSE('假设'!$B$3,Q134,R134,S134)</x:f>
        <x:v>0.6000000000000001</x:v>
      </x:c>
      <x:c r="F134" s="11" t="n">
        <x:f>'药物假设'!K19</x:f>
        <x:v>0.15</x:v>
      </x:c>
      <x:c r="G134" s="11" t="n">
        <x:f>1-'药物假设'!L19</x:f>
        <x:v>0.78</x:v>
      </x:c>
      <x:c r="H134" s="11" t="n">
        <x:f>'药物假设'!J19</x:f>
        <x:v>0.2</x:v>
      </x:c>
      <x:c r="I134" s="11" t="n">
        <x:f>E134*F134*G134*H134*'药物假设'!Q19</x:f>
        <x:v>0.012636000000000003</x:v>
      </x:c>
      <x:c r="J134" s="11" t="str">
        <x:v>2029-10-09</x:v>
      </x:c>
      <x:c r="K134" s="11" t="n">
        <x:v>14.225872689938399</x:v>
      </x:c>
      <x:c r="L134" s="11" t="n">
        <x:f>'药物假设'!M19</x:f>
        <x:v>0.13</x:v>
      </x:c>
      <x:c r="M134" s="11" t="n">
        <x:f>IF(O134,I134/(1+L134)^K134,0)</x:f>
        <x:v>0.0022208664206989134</x:v>
      </x:c>
      <x:c r="N134" s="11" t="n">
        <x:f>M134*'药物假设'!N19</x:f>
        <x:v>0.015546064944892394</x:v>
      </x:c>
      <x:c r="O134" s="26" t="b">
        <x:v>1</x:v>
      </x:c>
      <x:c r="P134" s="11" t="n">
        <x:f>19</x:f>
        <x:v>19</x:v>
      </x:c>
      <x:c r="Q134" s="16" t="n">
        <x:v>0.35</x:v>
      </x:c>
      <x:c r="R134" s="16" t="n">
        <x:v>0.6000000000000001</x:v>
      </x:c>
      <x:c r="S134" s="16" t="n">
        <x:v>0.7000000000000001</x:v>
      </x:c>
    </x:row>
    <x:row r="135" ht="23" customHeight="1">
      <x:c r="A135" s="11" t="str">
        <x:v>01530.HK</x:v>
      </x:c>
      <x:c r="B135" s="11" t="str">
        <x:v>五年</x:v>
      </x:c>
      <x:c r="C135" s="11" t="str">
        <x:v>肺癌</x:v>
      </x:c>
      <x:c r="D135" s="11" t="n">
        <x:v>2028</x:v>
      </x:c>
      <x:c r="E135" s="11" t="n">
        <x:f>CHOOSE('假设'!$B$3,Q135,R135,S135)</x:f>
        <x:v>0</x:v>
      </x:c>
      <x:c r="F135" s="11" t="n">
        <x:f>'药物假设'!K23</x:f>
        <x:v>0.15</x:v>
      </x:c>
      <x:c r="G135" s="11" t="n">
        <x:f>1-'药物假设'!L23</x:f>
        <x:v>0.78</x:v>
      </x:c>
      <x:c r="H135" s="11" t="n">
        <x:f>'药物假设'!I23</x:f>
        <x:v>0.35</x:v>
      </x:c>
      <x:c r="I135" s="11" t="n">
        <x:f>E135*F135*G135*H135*'药物假设'!Q23</x:f>
        <x:v>0</x:v>
      </x:c>
      <x:c r="J135" s="11" t="str">
        <x:v>2031-10-09</x:v>
      </x:c>
      <x:c r="K135" s="11" t="n">
        <x:v>-2.7707049965776864</x:v>
      </x:c>
      <x:c r="L135" s="11" t="n">
        <x:f>'药物假设'!M23</x:f>
        <x:v>0.13</x:v>
      </x:c>
      <x:c r="M135" s="11" t="n">
        <x:f>IF(O135,I135/(1+L135)^K135,0)</x:f>
        <x:v>0</x:v>
      </x:c>
      <x:c r="N135" s="11" t="n">
        <x:f>M135*'药物假设'!N23</x:f>
        <x:v>0</x:v>
      </x:c>
      <x:c r="O135" s="26" t="b">
        <x:v>0</x:v>
      </x:c>
      <x:c r="P135" s="11" t="n">
        <x:f>23</x:f>
        <x:v>23</x:v>
      </x:c>
      <x:c r="Q135" s="16" t="n">
        <x:v>0</x:v>
      </x:c>
      <x:c r="R135" s="16" t="n">
        <x:v>0</x:v>
      </x:c>
      <x:c r="S135" s="16" t="n">
        <x:v>0.5</x:v>
      </x:c>
    </x:row>
    <x:row r="136" ht="23" customHeight="1">
      <x:c r="A136" s="11" t="str">
        <x:v>01530.HK</x:v>
      </x:c>
      <x:c r="B136" s="11" t="str">
        <x:v>五年</x:v>
      </x:c>
      <x:c r="C136" s="11" t="str">
        <x:v>肺癌</x:v>
      </x:c>
      <x:c r="D136" s="11" t="n">
        <x:v>2029</x:v>
      </x:c>
      <x:c r="E136" s="11" t="n">
        <x:f>CHOOSE('假设'!$B$3,Q136,R136,S136)</x:f>
        <x:v>0.30000000000000004</x:v>
      </x:c>
      <x:c r="F136" s="11" t="n">
        <x:f>'药物假设'!K23</x:f>
        <x:v>0.15</x:v>
      </x:c>
      <x:c r="G136" s="11" t="n">
        <x:f>1-'药物假设'!L23</x:f>
        <x:v>0.78</x:v>
      </x:c>
      <x:c r="H136" s="11" t="n">
        <x:f>'药物假设'!I23</x:f>
        <x:v>0.35</x:v>
      </x:c>
      <x:c r="I136" s="11" t="n">
        <x:f>E136*F136*G136*H136*'药物假设'!Q23</x:f>
        <x:v>0.0110565</x:v>
      </x:c>
      <x:c r="J136" s="11" t="str">
        <x:v>2031-10-09</x:v>
      </x:c>
      <x:c r="K136" s="11" t="n">
        <x:v>-1.7713894592744694</x:v>
      </x:c>
      <x:c r="L136" s="11" t="n">
        <x:f>'药物假设'!M23</x:f>
        <x:v>0.13</x:v>
      </x:c>
      <x:c r="M136" s="11" t="n">
        <x:f>IF(O136,I136/(1+L136)^K136,0)</x:f>
        <x:v>0</x:v>
      </x:c>
      <x:c r="N136" s="11" t="n">
        <x:f>M136*'药物假设'!N23</x:f>
        <x:v>0</x:v>
      </x:c>
      <x:c r="O136" s="26" t="b">
        <x:v>0</x:v>
      </x:c>
      <x:c r="P136" s="11" t="n">
        <x:f>23</x:f>
        <x:v>23</x:v>
      </x:c>
      <x:c r="Q136" s="16" t="n">
        <x:v>0</x:v>
      </x:c>
      <x:c r="R136" s="16" t="n">
        <x:v>0.30000000000000004</x:v>
      </x:c>
      <x:c r="S136" s="16" t="n">
        <x:v>1.5</x:v>
      </x:c>
    </x:row>
    <x:row r="137" ht="23" customHeight="1">
      <x:c r="A137" s="11" t="str">
        <x:v>01530.HK</x:v>
      </x:c>
      <x:c r="B137" s="11" t="str">
        <x:v>五年</x:v>
      </x:c>
      <x:c r="C137" s="11" t="str">
        <x:v>肺癌</x:v>
      </x:c>
      <x:c r="D137" s="11" t="n">
        <x:v>2030</x:v>
      </x:c>
      <x:c r="E137" s="11" t="n">
        <x:f>CHOOSE('假设'!$B$3,Q137,R137,S137)</x:f>
        <x:v>0.8999999999999999</x:v>
      </x:c>
      <x:c r="F137" s="11" t="n">
        <x:f>'药物假设'!K23</x:f>
        <x:v>0.15</x:v>
      </x:c>
      <x:c r="G137" s="11" t="n">
        <x:f>1-'药物假设'!L23</x:f>
        <x:v>0.78</x:v>
      </x:c>
      <x:c r="H137" s="11" t="n">
        <x:f>'药物假设'!I23</x:f>
        <x:v>0.35</x:v>
      </x:c>
      <x:c r="I137" s="11" t="n">
        <x:f>E137*F137*G137*H137*'药物假设'!Q23</x:f>
        <x:v>0.03316949999999999</x:v>
      </x:c>
      <x:c r="J137" s="11" t="str">
        <x:v>2031-10-09</x:v>
      </x:c>
      <x:c r="K137" s="11" t="n">
        <x:v>-0.7720739219712526</x:v>
      </x:c>
      <x:c r="L137" s="11" t="n">
        <x:f>'药物假设'!M23</x:f>
        <x:v>0.13</x:v>
      </x:c>
      <x:c r="M137" s="11" t="n">
        <x:f>IF(O137,I137/(1+L137)^K137,0)</x:f>
        <x:v>0</x:v>
      </x:c>
      <x:c r="N137" s="11" t="n">
        <x:f>M137*'药物假设'!N23</x:f>
        <x:v>0</x:v>
      </x:c>
      <x:c r="O137" s="26" t="b">
        <x:v>0</x:v>
      </x:c>
      <x:c r="P137" s="11" t="n">
        <x:f>23</x:f>
        <x:v>23</x:v>
      </x:c>
      <x:c r="Q137" s="16" t="n">
        <x:v>0.15000000000000002</x:v>
      </x:c>
      <x:c r="R137" s="16" t="n">
        <x:v>0.8999999999999999</x:v>
      </x:c>
      <x:c r="S137" s="16" t="n">
        <x:v>3</x:v>
      </x:c>
    </x:row>
    <x:row r="138" ht="23" customHeight="1">
      <x:c r="A138" s="11" t="str">
        <x:v>01530.HK</x:v>
      </x:c>
      <x:c r="B138" s="11" t="str">
        <x:v>五年</x:v>
      </x:c>
      <x:c r="C138" s="11" t="str">
        <x:v>肺癌</x:v>
      </x:c>
      <x:c r="D138" s="11" t="n">
        <x:v>2031</x:v>
      </x:c>
      <x:c r="E138" s="11" t="n">
        <x:f>CHOOSE('假设'!$B$3,Q138,R138,S138)</x:f>
        <x:v>1.7999999999999998</x:v>
      </x:c>
      <x:c r="F138" s="11" t="n">
        <x:f>'药物假设'!K23</x:f>
        <x:v>0.15</x:v>
      </x:c>
      <x:c r="G138" s="11" t="n">
        <x:f>1-'药物假设'!L23</x:f>
        <x:v>0.78</x:v>
      </x:c>
      <x:c r="H138" s="11" t="n">
        <x:f>'药物假设'!I23</x:f>
        <x:v>0.35</x:v>
      </x:c>
      <x:c r="I138" s="11" t="n">
        <x:f>E138*F138*G138*H138*'药物假设'!Q23</x:f>
        <x:v>0.06633899999999998</x:v>
      </x:c>
      <x:c r="J138" s="11" t="str">
        <x:v>2031-10-09</x:v>
      </x:c>
      <x:c r="K138" s="11" t="n">
        <x:v>0.2272416153319644</x:v>
      </x:c>
      <x:c r="L138" s="11" t="n">
        <x:f>'药物假设'!M23</x:f>
        <x:v>0.13</x:v>
      </x:c>
      <x:c r="M138" s="11" t="n">
        <x:f>IF(O138,I138/(1+L138)^K138,0)</x:f>
        <x:v>0.06452192104734017</x:v>
      </x:c>
      <x:c r="N138" s="11" t="n">
        <x:f>M138*'药物假设'!N23</x:f>
        <x:v>0.4516534473313812</x:v>
      </x:c>
      <x:c r="O138" s="26" t="b">
        <x:v>1</x:v>
      </x:c>
      <x:c r="P138" s="11" t="n">
        <x:f>23</x:f>
        <x:v>23</x:v>
      </x:c>
      <x:c r="Q138" s="16" t="n">
        <x:v>0.44999999999999996</x:v>
      </x:c>
      <x:c r="R138" s="16" t="n">
        <x:v>1.7999999999999998</x:v>
      </x:c>
      <x:c r="S138" s="16" t="n">
        <x:v>5</x:v>
      </x:c>
    </x:row>
    <x:row r="139" ht="23" customHeight="1">
      <x:c r="A139" s="11" t="str">
        <x:v>01530.HK</x:v>
      </x:c>
      <x:c r="B139" s="11" t="str">
        <x:v>五年</x:v>
      </x:c>
      <x:c r="C139" s="11" t="str">
        <x:v>肺癌</x:v>
      </x:c>
      <x:c r="D139" s="11" t="n">
        <x:v>2032</x:v>
      </x:c>
      <x:c r="E139" s="11" t="n">
        <x:f>CHOOSE('假设'!$B$3,Q139,R139,S139)</x:f>
        <x:v>3</x:v>
      </x:c>
      <x:c r="F139" s="11" t="n">
        <x:f>'药物假设'!K23</x:f>
        <x:v>0.15</x:v>
      </x:c>
      <x:c r="G139" s="11" t="n">
        <x:f>1-'药物假设'!L23</x:f>
        <x:v>0.78</x:v>
      </x:c>
      <x:c r="H139" s="11" t="n">
        <x:f>'药物假设'!I23</x:f>
        <x:v>0.35</x:v>
      </x:c>
      <x:c r="I139" s="11" t="n">
        <x:f>E139*F139*G139*H139*'药物假设'!Q23</x:f>
        <x:v>0.110565</x:v>
      </x:c>
      <x:c r="J139" s="11" t="str">
        <x:v>2031-10-09</x:v>
      </x:c>
      <x:c r="K139" s="11" t="n">
        <x:v>1.2292950034223136</x:v>
      </x:c>
      <x:c r="L139" s="11" t="n">
        <x:f>'药物假设'!M23</x:f>
        <x:v>0.13</x:v>
      </x:c>
      <x:c r="M139" s="11" t="n">
        <x:f>IF(O139,I139/(1+L139)^K139,0)</x:f>
        <x:v>0.09514119563828656</x:v>
      </x:c>
      <x:c r="N139" s="11" t="n">
        <x:f>M139*'药物假设'!N23</x:f>
        <x:v>0.6659883694680059</x:v>
      </x:c>
      <x:c r="O139" s="26" t="b">
        <x:v>1</x:v>
      </x:c>
      <x:c r="P139" s="11" t="n">
        <x:f>23</x:f>
        <x:v>23</x:v>
      </x:c>
      <x:c r="Q139" s="16" t="n">
        <x:v>0.8999999999999999</x:v>
      </x:c>
      <x:c r="R139" s="16" t="n">
        <x:v>3</x:v>
      </x:c>
      <x:c r="S139" s="16" t="n">
        <x:v>7</x:v>
      </x:c>
    </x:row>
    <x:row r="140" ht="23" customHeight="1">
      <x:c r="A140" s="11" t="str">
        <x:v>01530.HK</x:v>
      </x:c>
      <x:c r="B140" s="11" t="str">
        <x:v>五年</x:v>
      </x:c>
      <x:c r="C140" s="11" t="str">
        <x:v>肺癌</x:v>
      </x:c>
      <x:c r="D140" s="11" t="n">
        <x:v>2033</x:v>
      </x:c>
      <x:c r="E140" s="11" t="n">
        <x:f>CHOOSE('假设'!$B$3,Q140,R140,S140)</x:f>
        <x:v>4.199999999999999</x:v>
      </x:c>
      <x:c r="F140" s="11" t="n">
        <x:f>'药物假设'!K23</x:f>
        <x:v>0.15</x:v>
      </x:c>
      <x:c r="G140" s="11" t="n">
        <x:f>1-'药物假设'!L23</x:f>
        <x:v>0.78</x:v>
      </x:c>
      <x:c r="H140" s="11" t="n">
        <x:f>'药物假设'!I23</x:f>
        <x:v>0.35</x:v>
      </x:c>
      <x:c r="I140" s="11" t="n">
        <x:f>E140*F140*G140*H140*'药物假设'!Q23</x:f>
        <x:v>0.15479099999999998</x:v>
      </x:c>
      <x:c r="J140" s="11" t="str">
        <x:v>2031-10-09</x:v>
      </x:c>
      <x:c r="K140" s="11" t="n">
        <x:v>2.2286105407255303</x:v>
      </x:c>
      <x:c r="L140" s="11" t="n">
        <x:f>'药物假设'!M23</x:f>
        <x:v>0.13</x:v>
      </x:c>
      <x:c r="M140" s="11" t="n">
        <x:f>IF(O140,I140/(1+L140)^K140,0)</x:f>
        <x:v>0.11788390867199655</x:v>
      </x:c>
      <x:c r="N140" s="11" t="n">
        <x:f>M140*'药物假设'!N23</x:f>
        <x:v>0.8251873607039759</x:v>
      </x:c>
      <x:c r="O140" s="26" t="b">
        <x:v>1</x:v>
      </x:c>
      <x:c r="P140" s="11" t="n">
        <x:f>23</x:f>
        <x:v>23</x:v>
      </x:c>
      <x:c r="Q140" s="16" t="n">
        <x:v>1.5</x:v>
      </x:c>
      <x:c r="R140" s="16" t="n">
        <x:v>4.199999999999999</x:v>
      </x:c>
      <x:c r="S140" s="16" t="n">
        <x:v>9</x:v>
      </x:c>
    </x:row>
    <x:row r="141" ht="23" customHeight="1">
      <x:c r="A141" s="11" t="str">
        <x:v>01530.HK</x:v>
      </x:c>
      <x:c r="B141" s="11" t="str">
        <x:v>五年</x:v>
      </x:c>
      <x:c r="C141" s="11" t="str">
        <x:v>肺癌</x:v>
      </x:c>
      <x:c r="D141" s="11" t="n">
        <x:v>2034</x:v>
      </x:c>
      <x:c r="E141" s="11" t="n">
        <x:f>CHOOSE('假设'!$B$3,Q141,R141,S141)</x:f>
        <x:v>5.4</x:v>
      </x:c>
      <x:c r="F141" s="11" t="n">
        <x:f>'药物假设'!K23</x:f>
        <x:v>0.15</x:v>
      </x:c>
      <x:c r="G141" s="11" t="n">
        <x:f>1-'药物假设'!L23</x:f>
        <x:v>0.78</x:v>
      </x:c>
      <x:c r="H141" s="11" t="n">
        <x:f>'药物假设'!I23</x:f>
        <x:v>0.35</x:v>
      </x:c>
      <x:c r="I141" s="11" t="n">
        <x:f>E141*F141*G141*H141*'药物假设'!Q23</x:f>
        <x:v>0.199017</x:v>
      </x:c>
      <x:c r="J141" s="11" t="str">
        <x:v>2031-10-09</x:v>
      </x:c>
      <x:c r="K141" s="11" t="n">
        <x:v>3.2279260780287475</x:v>
      </x:c>
      <x:c r="L141" s="11" t="n">
        <x:f>'药物假设'!M23</x:f>
        <x:v>0.13</x:v>
      </x:c>
      <x:c r="M141" s="11" t="n">
        <x:f>IF(O141,I141/(1+L141)^K141,0)</x:f>
        <x:v>0.13413956185579237</x:v>
      </x:c>
      <x:c r="N141" s="11" t="n">
        <x:f>M141*'药物假设'!N23</x:f>
        <x:v>0.9389769329905466</x:v>
      </x:c>
      <x:c r="O141" s="26" t="b">
        <x:v>1</x:v>
      </x:c>
      <x:c r="P141" s="11" t="n">
        <x:f>23</x:f>
        <x:v>23</x:v>
      </x:c>
      <x:c r="Q141" s="16" t="n">
        <x:v>2.0999999999999996</x:v>
      </x:c>
      <x:c r="R141" s="16" t="n">
        <x:v>5.4</x:v>
      </x:c>
      <x:c r="S141" s="16" t="n">
        <x:v>10</x:v>
      </x:c>
    </x:row>
    <x:row r="142" ht="23" customHeight="1">
      <x:c r="A142" s="11" t="str">
        <x:v>01530.HK</x:v>
      </x:c>
      <x:c r="B142" s="11" t="str">
        <x:v>五年</x:v>
      </x:c>
      <x:c r="C142" s="11" t="str">
        <x:v>肺癌</x:v>
      </x:c>
      <x:c r="D142" s="11" t="n">
        <x:v>2035</x:v>
      </x:c>
      <x:c r="E142" s="11" t="n">
        <x:f>CHOOSE('假设'!$B$3,Q142,R142,S142)</x:f>
        <x:v>6</x:v>
      </x:c>
      <x:c r="F142" s="11" t="n">
        <x:f>'药物假设'!K23</x:f>
        <x:v>0.15</x:v>
      </x:c>
      <x:c r="G142" s="11" t="n">
        <x:f>1-'药物假设'!L23</x:f>
        <x:v>0.78</x:v>
      </x:c>
      <x:c r="H142" s="11" t="n">
        <x:f>'药物假设'!I23</x:f>
        <x:v>0.35</x:v>
      </x:c>
      <x:c r="I142" s="11" t="n">
        <x:f>E142*F142*G142*H142*'药物假设'!Q23</x:f>
        <x:v>0.22113</x:v>
      </x:c>
      <x:c r="J142" s="11" t="str">
        <x:v>2031-10-09</x:v>
      </x:c>
      <x:c r="K142" s="11" t="n">
        <x:v>4.227241615331964</x:v>
      </x:c>
      <x:c r="L142" s="11" t="n">
        <x:f>'药物假设'!M23</x:f>
        <x:v>0.13</x:v>
      </x:c>
      <x:c r="M142" s="11" t="n">
        <x:f>IF(O142,I142/(1+L142)^K142,0)</x:f>
        <x:v>0.13190834174727958</x:v>
      </x:c>
      <x:c r="N142" s="11" t="n">
        <x:f>M142*'药物假设'!N23</x:f>
        <x:v>0.9233583922309571</x:v>
      </x:c>
      <x:c r="O142" s="26" t="b">
        <x:v>1</x:v>
      </x:c>
      <x:c r="P142" s="11" t="n">
        <x:f>23</x:f>
        <x:v>23</x:v>
      </x:c>
      <x:c r="Q142" s="16" t="n">
        <x:v>2.7</x:v>
      </x:c>
      <x:c r="R142" s="16" t="n">
        <x:v>6</x:v>
      </x:c>
      <x:c r="S142" s="16" t="n">
        <x:v>10</x:v>
      </x:c>
    </x:row>
    <x:row r="143" ht="23" customHeight="1">
      <x:c r="A143" s="11" t="str">
        <x:v>01530.HK</x:v>
      </x:c>
      <x:c r="B143" s="11" t="str">
        <x:v>五年</x:v>
      </x:c>
      <x:c r="C143" s="11" t="str">
        <x:v>肺癌</x:v>
      </x:c>
      <x:c r="D143" s="11" t="n">
        <x:v>2036</x:v>
      </x:c>
      <x:c r="E143" s="11" t="n">
        <x:f>CHOOSE('假设'!$B$3,Q143,R143,S143)</x:f>
        <x:v>6</x:v>
      </x:c>
      <x:c r="F143" s="11" t="n">
        <x:f>'药物假设'!K23</x:f>
        <x:v>0.15</x:v>
      </x:c>
      <x:c r="G143" s="11" t="n">
        <x:f>1-'药物假设'!L23</x:f>
        <x:v>0.78</x:v>
      </x:c>
      <x:c r="H143" s="11" t="n">
        <x:f>'药物假设'!I23</x:f>
        <x:v>0.35</x:v>
      </x:c>
      <x:c r="I143" s="11" t="n">
        <x:f>E143*F143*G143*H143*'药物假设'!Q23</x:f>
        <x:v>0.22113</x:v>
      </x:c>
      <x:c r="J143" s="11" t="str">
        <x:v>2031-10-09</x:v>
      </x:c>
      <x:c r="K143" s="11" t="n">
        <x:v>5.229295003422314</x:v>
      </x:c>
      <x:c r="L143" s="11" t="n">
        <x:f>'药物假设'!M23</x:f>
        <x:v>0.13</x:v>
      </x:c>
      <x:c r="M143" s="11" t="n">
        <x:f>IF(O143,I143/(1+L143)^K143,0)</x:f>
        <x:v>0.11670375411753717</x:v>
      </x:c>
      <x:c r="N143" s="11" t="n">
        <x:f>M143*'药物假设'!N23</x:f>
        <x:v>0.8169262788227601</x:v>
      </x:c>
      <x:c r="O143" s="26" t="b">
        <x:v>1</x:v>
      </x:c>
      <x:c r="P143" s="11" t="n">
        <x:f>23</x:f>
        <x:v>23</x:v>
      </x:c>
      <x:c r="Q143" s="16" t="n">
        <x:v>3</x:v>
      </x:c>
      <x:c r="R143" s="16" t="n">
        <x:v>6</x:v>
      </x:c>
      <x:c r="S143" s="16" t="n">
        <x:v>9.5</x:v>
      </x:c>
    </x:row>
    <x:row r="144" ht="23" customHeight="1">
      <x:c r="A144" s="11" t="str">
        <x:v>01530.HK</x:v>
      </x:c>
      <x:c r="B144" s="11" t="str">
        <x:v>五年</x:v>
      </x:c>
      <x:c r="C144" s="11" t="str">
        <x:v>肺癌</x:v>
      </x:c>
      <x:c r="D144" s="11" t="n">
        <x:v>2037</x:v>
      </x:c>
      <x:c r="E144" s="11" t="n">
        <x:f>CHOOSE('假设'!$B$3,Q144,R144,S144)</x:f>
        <x:v>5.699999999999999</x:v>
      </x:c>
      <x:c r="F144" s="11" t="n">
        <x:f>'药物假设'!K23</x:f>
        <x:v>0.15</x:v>
      </x:c>
      <x:c r="G144" s="11" t="n">
        <x:f>1-'药物假设'!L23</x:f>
        <x:v>0.78</x:v>
      </x:c>
      <x:c r="H144" s="11" t="n">
        <x:f>'药物假设'!I23</x:f>
        <x:v>0.35</x:v>
      </x:c>
      <x:c r="I144" s="11" t="n">
        <x:f>E144*F144*G144*H144*'药物假设'!Q23</x:f>
        <x:v>0.21007349999999997</x:v>
      </x:c>
      <x:c r="J144" s="11" t="str">
        <x:v>2031-10-09</x:v>
      </x:c>
      <x:c r="K144" s="11" t="n">
        <x:v>6.228610540725531</x:v>
      </x:c>
      <x:c r="L144" s="11" t="n">
        <x:f>'药物假设'!M23</x:f>
        <x:v>0.13</x:v>
      </x:c>
      <x:c r="M144" s="11" t="n">
        <x:f>IF(O144,I144/(1+L144)^K144,0)</x:f>
        <x:v>0.09812198348078818</x:v>
      </x:c>
      <x:c r="N144" s="11" t="n">
        <x:f>M144*'药物假设'!N23</x:f>
        <x:v>0.6868538843655173</x:v>
      </x:c>
      <x:c r="O144" s="26" t="b">
        <x:v>1</x:v>
      </x:c>
      <x:c r="P144" s="11" t="n">
        <x:f>23</x:f>
        <x:v>23</x:v>
      </x:c>
      <x:c r="Q144" s="16" t="n">
        <x:v>3</x:v>
      </x:c>
      <x:c r="R144" s="16" t="n">
        <x:v>5.699999999999999</x:v>
      </x:c>
      <x:c r="S144" s="16" t="n">
        <x:v>9</x:v>
      </x:c>
    </x:row>
    <x:row r="145" ht="23" customHeight="1">
      <x:c r="A145" s="11" t="str">
        <x:v>01530.HK</x:v>
      </x:c>
      <x:c r="B145" s="11" t="str">
        <x:v>五年</x:v>
      </x:c>
      <x:c r="C145" s="11" t="str">
        <x:v>肺癌</x:v>
      </x:c>
      <x:c r="D145" s="11" t="n">
        <x:v>2038</x:v>
      </x:c>
      <x:c r="E145" s="11" t="n">
        <x:f>CHOOSE('假设'!$B$3,Q145,R145,S145)</x:f>
        <x:v>5.4</x:v>
      </x:c>
      <x:c r="F145" s="11" t="n">
        <x:f>'药物假设'!K23</x:f>
        <x:v>0.15</x:v>
      </x:c>
      <x:c r="G145" s="11" t="n">
        <x:f>1-'药物假设'!L23</x:f>
        <x:v>0.78</x:v>
      </x:c>
      <x:c r="H145" s="11" t="n">
        <x:f>'药物假设'!I23</x:f>
        <x:v>0.35</x:v>
      </x:c>
      <x:c r="I145" s="11" t="n">
        <x:f>E145*F145*G145*H145*'药物假设'!Q23</x:f>
        <x:v>0.199017</x:v>
      </x:c>
      <x:c r="J145" s="11" t="str">
        <x:v>2031-10-09</x:v>
      </x:c>
      <x:c r="K145" s="11" t="n">
        <x:v>7.227926078028747</x:v>
      </x:c>
      <x:c r="L145" s="11" t="n">
        <x:f>'药物假设'!M23</x:f>
        <x:v>0.13</x:v>
      </x:c>
      <x:c r="M145" s="11" t="n">
        <x:f>IF(O145,I145/(1+L145)^K145,0)</x:f>
        <x:v>0.08227030540886365</x:v>
      </x:c>
      <x:c r="N145" s="11" t="n">
        <x:f>M145*'药物假设'!N23</x:f>
        <x:v>0.5758921378620456</x:v>
      </x:c>
      <x:c r="O145" s="26" t="b">
        <x:v>1</x:v>
      </x:c>
      <x:c r="P145" s="11" t="n">
        <x:f>23</x:f>
        <x:v>23</x:v>
      </x:c>
      <x:c r="Q145" s="16" t="n">
        <x:v>2.8499999999999996</x:v>
      </x:c>
      <x:c r="R145" s="16" t="n">
        <x:v>5.4</x:v>
      </x:c>
      <x:c r="S145" s="16" t="n">
        <x:v>8.2</x:v>
      </x:c>
    </x:row>
    <x:row r="146" ht="23" customHeight="1">
      <x:c r="A146" s="11" t="str">
        <x:v>01530.HK</x:v>
      </x:c>
      <x:c r="B146" s="11" t="str">
        <x:v>五年</x:v>
      </x:c>
      <x:c r="C146" s="11" t="str">
        <x:v>肺癌</x:v>
      </x:c>
      <x:c r="D146" s="11" t="n">
        <x:v>2039</x:v>
      </x:c>
      <x:c r="E146" s="11" t="n">
        <x:f>CHOOSE('假设'!$B$3,Q146,R146,S146)</x:f>
        <x:v>4.92</x:v>
      </x:c>
      <x:c r="F146" s="11" t="n">
        <x:f>'药物假设'!K23</x:f>
        <x:v>0.15</x:v>
      </x:c>
      <x:c r="G146" s="11" t="n">
        <x:f>1-'药物假设'!L23</x:f>
        <x:v>0.78</x:v>
      </x:c>
      <x:c r="H146" s="11" t="n">
        <x:f>'药物假设'!I23</x:f>
        <x:v>0.35</x:v>
      </x:c>
      <x:c r="I146" s="11" t="n">
        <x:f>E146*F146*G146*H146*'药物假设'!Q23</x:f>
        <x:v>0.1813266</x:v>
      </x:c>
      <x:c r="J146" s="11" t="str">
        <x:v>2031-10-09</x:v>
      </x:c>
      <x:c r="K146" s="11" t="n">
        <x:v>8.227241615331964</x:v>
      </x:c>
      <x:c r="L146" s="11" t="n">
        <x:f>'药物假设'!M23</x:f>
        <x:v>0.13</x:v>
      </x:c>
      <x:c r="M146" s="11" t="n">
        <x:f>IF(O146,I146/(1+L146)^K146,0)</x:f>
        <x:v>0.06633952219120512</x:v>
      </x:c>
      <x:c r="N146" s="11" t="n">
        <x:f>M146*'药物假设'!N23</x:f>
        <x:v>0.46437665533843586</x:v>
      </x:c>
      <x:c r="O146" s="26" t="b">
        <x:v>1</x:v>
      </x:c>
      <x:c r="P146" s="11" t="n">
        <x:f>23</x:f>
        <x:v>23</x:v>
      </x:c>
      <x:c r="Q146" s="16" t="n">
        <x:v>2.7</x:v>
      </x:c>
      <x:c r="R146" s="16" t="n">
        <x:v>4.92</x:v>
      </x:c>
      <x:c r="S146" s="16" t="n">
        <x:v>7</x:v>
      </x:c>
    </x:row>
    <x:row r="147" ht="23" customHeight="1">
      <x:c r="A147" s="11" t="str">
        <x:v>01530.HK</x:v>
      </x:c>
      <x:c r="B147" s="11" t="str">
        <x:v>五年</x:v>
      </x:c>
      <x:c r="C147" s="11" t="str">
        <x:v>肺癌</x:v>
      </x:c>
      <x:c r="D147" s="11" t="n">
        <x:v>2040</x:v>
      </x:c>
      <x:c r="E147" s="11" t="n">
        <x:f>CHOOSE('假设'!$B$3,Q147,R147,S147)</x:f>
        <x:v>4.199999999999999</x:v>
      </x:c>
      <x:c r="F147" s="11" t="n">
        <x:f>'药物假设'!K23</x:f>
        <x:v>0.15</x:v>
      </x:c>
      <x:c r="G147" s="11" t="n">
        <x:f>1-'药物假设'!L23</x:f>
        <x:v>0.78</x:v>
      </x:c>
      <x:c r="H147" s="11" t="n">
        <x:f>'药物假设'!I23</x:f>
        <x:v>0.35</x:v>
      </x:c>
      <x:c r="I147" s="11" t="n">
        <x:f>E147*F147*G147*H147*'药物假设'!Q23</x:f>
        <x:v>0.15479099999999998</x:v>
      </x:c>
      <x:c r="J147" s="11" t="str">
        <x:v>2031-10-09</x:v>
      </x:c>
      <x:c r="K147" s="11" t="n">
        <x:v>9.229295003422314</x:v>
      </x:c>
      <x:c r="L147" s="11" t="n">
        <x:f>'药物假设'!M23</x:f>
        <x:v>0.13</x:v>
      </x:c>
      <x:c r="M147" s="11" t="n">
        <x:f>IF(O147,I147/(1+L147)^K147,0)</x:f>
        <x:v>0.0501036185935423</x:v>
      </x:c>
      <x:c r="N147" s="11" t="n">
        <x:f>M147*'药物假设'!N23</x:f>
        <x:v>0.3507253301547961</x:v>
      </x:c>
      <x:c r="O147" s="26" t="b">
        <x:v>1</x:v>
      </x:c>
      <x:c r="P147" s="11" t="n">
        <x:f>23</x:f>
        <x:v>23</x:v>
      </x:c>
      <x:c r="Q147" s="16" t="n">
        <x:v>2.46</x:v>
      </x:c>
      <x:c r="R147" s="16" t="n">
        <x:v>4.199999999999999</x:v>
      </x:c>
      <x:c r="S147" s="16" t="n">
        <x:v>5.5</x:v>
      </x:c>
    </x:row>
    <x:row r="148" ht="23" customHeight="1">
      <x:c r="A148" s="11" t="str">
        <x:v>01530.HK</x:v>
      </x:c>
      <x:c r="B148" s="11" t="str">
        <x:v>五年</x:v>
      </x:c>
      <x:c r="C148" s="11" t="str">
        <x:v>肺癌</x:v>
      </x:c>
      <x:c r="D148" s="11" t="n">
        <x:v>2041</x:v>
      </x:c>
      <x:c r="E148" s="11" t="n">
        <x:f>CHOOSE('假设'!$B$3,Q148,R148,S148)</x:f>
        <x:v>3.3000000000000003</x:v>
      </x:c>
      <x:c r="F148" s="11" t="n">
        <x:f>'药物假设'!K23</x:f>
        <x:v>0.15</x:v>
      </x:c>
      <x:c r="G148" s="11" t="n">
        <x:f>1-'药物假设'!L23</x:f>
        <x:v>0.78</x:v>
      </x:c>
      <x:c r="H148" s="11" t="n">
        <x:f>'药物假设'!I23</x:f>
        <x:v>0.35</x:v>
      </x:c>
      <x:c r="I148" s="11" t="n">
        <x:f>E148*F148*G148*H148*'药物假设'!Q23</x:f>
        <x:v>0.12162149999999998</x:v>
      </x:c>
      <x:c r="J148" s="11" t="str">
        <x:v>2031-10-09</x:v>
      </x:c>
      <x:c r="K148" s="11" t="n">
        <x:v>10.22861054072553</x:v>
      </x:c>
      <x:c r="L148" s="11" t="n">
        <x:f>'药物假设'!M23</x:f>
        <x:v>0.13</x:v>
      </x:c>
      <x:c r="M148" s="11" t="n">
        <x:f>IF(O148,I148/(1+L148)^K148,0)</x:f>
        <x:v>0.03484108161705012</x:v>
      </x:c>
      <x:c r="N148" s="11" t="n">
        <x:f>M148*'药物假设'!N23</x:f>
        <x:v>0.24388757131935085</x:v>
      </x:c>
      <x:c r="O148" s="26" t="b">
        <x:v>1</x:v>
      </x:c>
      <x:c r="P148" s="11" t="n">
        <x:f>23</x:f>
        <x:v>23</x:v>
      </x:c>
      <x:c r="Q148" s="16" t="n">
        <x:v>2.0999999999999996</x:v>
      </x:c>
      <x:c r="R148" s="16" t="n">
        <x:v>3.3000000000000003</x:v>
      </x:c>
      <x:c r="S148" s="16" t="n">
        <x:v>3.5</x:v>
      </x:c>
    </x:row>
    <x:row r="149" ht="23" customHeight="1">
      <x:c r="A149" s="11" t="str">
        <x:v>01530.HK</x:v>
      </x:c>
      <x:c r="B149" s="11" t="str">
        <x:v>五年</x:v>
      </x:c>
      <x:c r="C149" s="11" t="str">
        <x:v>肺癌</x:v>
      </x:c>
      <x:c r="D149" s="11" t="n">
        <x:v>2042</x:v>
      </x:c>
      <x:c r="E149" s="11" t="n">
        <x:f>CHOOSE('假设'!$B$3,Q149,R149,S149)</x:f>
        <x:v>2.0999999999999996</x:v>
      </x:c>
      <x:c r="F149" s="11" t="n">
        <x:f>'药物假设'!K23</x:f>
        <x:v>0.15</x:v>
      </x:c>
      <x:c r="G149" s="11" t="n">
        <x:f>1-'药物假设'!L23</x:f>
        <x:v>0.78</x:v>
      </x:c>
      <x:c r="H149" s="11" t="n">
        <x:f>'药物假设'!I23</x:f>
        <x:v>0.35</x:v>
      </x:c>
      <x:c r="I149" s="11" t="n">
        <x:f>E149*F149*G149*H149*'药物假设'!Q23</x:f>
        <x:v>0.07739549999999999</x:v>
      </x:c>
      <x:c r="J149" s="11" t="str">
        <x:v>2031-10-09</x:v>
      </x:c>
      <x:c r="K149" s="11" t="n">
        <x:v>11.227926078028748</x:v>
      </x:c>
      <x:c r="L149" s="11" t="n">
        <x:f>'药物假设'!M23</x:f>
        <x:v>0.13</x:v>
      </x:c>
      <x:c r="M149" s="11" t="n">
        <x:f>IF(O149,I149/(1+L149)^K149,0)</x:f>
        <x:v>0.019622524070783662</x:v>
      </x:c>
      <x:c r="N149" s="11" t="n">
        <x:f>M149*'药物假设'!N23</x:f>
        <x:v>0.13735766849548564</x:v>
      </x:c>
      <x:c r="O149" s="26" t="b">
        <x:v>1</x:v>
      </x:c>
      <x:c r="P149" s="11" t="n">
        <x:f>23</x:f>
        <x:v>23</x:v>
      </x:c>
      <x:c r="Q149" s="16" t="n">
        <x:v>1.6500000000000001</x:v>
      </x:c>
      <x:c r="R149" s="16" t="n">
        <x:v>2.0999999999999996</x:v>
      </x:c>
      <x:c r="S149" s="16" t="n">
        <x:v>2</x:v>
      </x:c>
    </x:row>
    <x:row r="150" ht="23" customHeight="1">
      <x:c r="A150" s="11" t="str">
        <x:v>01530.HK</x:v>
      </x:c>
      <x:c r="B150" s="11" t="str">
        <x:v>五年</x:v>
      </x:c>
      <x:c r="C150" s="11" t="str">
        <x:v>肺癌</x:v>
      </x:c>
      <x:c r="D150" s="11" t="n">
        <x:v>2043</x:v>
      </x:c>
      <x:c r="E150" s="11" t="n">
        <x:f>CHOOSE('假设'!$B$3,Q150,R150,S150)</x:f>
        <x:v>1.2000000000000002</x:v>
      </x:c>
      <x:c r="F150" s="11" t="n">
        <x:f>'药物假设'!K23</x:f>
        <x:v>0.15</x:v>
      </x:c>
      <x:c r="G150" s="11" t="n">
        <x:f>1-'药物假设'!L23</x:f>
        <x:v>0.78</x:v>
      </x:c>
      <x:c r="H150" s="11" t="n">
        <x:f>'药物假设'!I23</x:f>
        <x:v>0.35</x:v>
      </x:c>
      <x:c r="I150" s="11" t="n">
        <x:f>E150*F150*G150*H150*'药物假设'!Q23</x:f>
        <x:v>0.044226</x:v>
      </x:c>
      <x:c r="J150" s="11" t="str">
        <x:v>2031-10-09</x:v>
      </x:c>
      <x:c r="K150" s="11" t="n">
        <x:v>12.227241615331964</x:v>
      </x:c>
      <x:c r="L150" s="11" t="n">
        <x:f>'药物假设'!M23</x:f>
        <x:v>0.13</x:v>
      </x:c>
      <x:c r="M150" s="11" t="n">
        <x:f>IF(O150,I150/(1+L150)^K150,0)</x:f>
        <x:v>0.009923724718333587</x:v>
      </x:c>
      <x:c r="N150" s="11" t="n">
        <x:f>M150*'药物假设'!N23</x:f>
        <x:v>0.06946607302833512</x:v>
      </x:c>
      <x:c r="O150" s="26" t="b">
        <x:v>1</x:v>
      </x:c>
      <x:c r="P150" s="11" t="n">
        <x:f>23</x:f>
        <x:v>23</x:v>
      </x:c>
      <x:c r="Q150" s="16" t="n">
        <x:v>1.0499999999999998</x:v>
      </x:c>
      <x:c r="R150" s="16" t="n">
        <x:v>1.2000000000000002</x:v>
      </x:c>
      <x:c r="S150" s="16" t="n">
        <x:v>1</x:v>
      </x:c>
    </x:row>
    <x:row r="151" ht="23" customHeight="1">
      <x:c r="A151" s="11" t="str">
        <x:v>01530.HK</x:v>
      </x:c>
      <x:c r="B151" s="11" t="str">
        <x:v>五年</x:v>
      </x:c>
      <x:c r="C151" s="11" t="str">
        <x:v>其他适应症</x:v>
      </x:c>
      <x:c r="D151" s="11" t="n">
        <x:v>2028</x:v>
      </x:c>
      <x:c r="E151" s="11" t="n">
        <x:f>CHOOSE('假设'!$B$3,Q151,R151,S151)</x:f>
        <x:v>0</x:v>
      </x:c>
      <x:c r="F151" s="11" t="n">
        <x:f>'药物假设'!K23</x:f>
        <x:v>0.15</x:v>
      </x:c>
      <x:c r="G151" s="11" t="n">
        <x:f>1-'药物假设'!L23</x:f>
        <x:v>0.78</x:v>
      </x:c>
      <x:c r="H151" s="11" t="n">
        <x:f>'药物假设'!J23</x:f>
        <x:v>0.2</x:v>
      </x:c>
      <x:c r="I151" s="11" t="n">
        <x:f>E151*F151*G151*H151*'药物假设'!Q23</x:f>
        <x:v>0</x:v>
      </x:c>
      <x:c r="J151" s="11" t="str">
        <x:v>2031-10-09</x:v>
      </x:c>
      <x:c r="K151" s="11" t="n">
        <x:v>-2.7707049965776864</x:v>
      </x:c>
      <x:c r="L151" s="11" t="n">
        <x:f>'药物假设'!M23</x:f>
        <x:v>0.13</x:v>
      </x:c>
      <x:c r="M151" s="11" t="n">
        <x:f>IF(O151,I151/(1+L151)^K151,0)</x:f>
        <x:v>0</x:v>
      </x:c>
      <x:c r="N151" s="11" t="n">
        <x:f>M151*'药物假设'!N23</x:f>
        <x:v>0</x:v>
      </x:c>
      <x:c r="O151" s="26" t="b">
        <x:v>0</x:v>
      </x:c>
      <x:c r="P151" s="11" t="n">
        <x:f>23</x:f>
        <x:v>23</x:v>
      </x:c>
      <x:c r="Q151" s="16" t="n">
        <x:v>0</x:v>
      </x:c>
      <x:c r="R151" s="16" t="n">
        <x:v>0</x:v>
      </x:c>
      <x:c r="S151" s="16" t="n">
        <x:v>0</x:v>
      </x:c>
    </x:row>
    <x:row r="152" ht="23" customHeight="1">
      <x:c r="A152" s="11" t="str">
        <x:v>01530.HK</x:v>
      </x:c>
      <x:c r="B152" s="11" t="str">
        <x:v>五年</x:v>
      </x:c>
      <x:c r="C152" s="11" t="str">
        <x:v>其他适应症</x:v>
      </x:c>
      <x:c r="D152" s="11" t="n">
        <x:v>2029</x:v>
      </x:c>
      <x:c r="E152" s="11" t="n">
        <x:f>CHOOSE('假设'!$B$3,Q152,R152,S152)</x:f>
        <x:v>0</x:v>
      </x:c>
      <x:c r="F152" s="11" t="n">
        <x:f>'药物假设'!K23</x:f>
        <x:v>0.15</x:v>
      </x:c>
      <x:c r="G152" s="11" t="n">
        <x:f>1-'药物假设'!L23</x:f>
        <x:v>0.78</x:v>
      </x:c>
      <x:c r="H152" s="11" t="n">
        <x:f>'药物假设'!J23</x:f>
        <x:v>0.2</x:v>
      </x:c>
      <x:c r="I152" s="11" t="n">
        <x:f>E152*F152*G152*H152*'药物假设'!Q23</x:f>
        <x:v>0</x:v>
      </x:c>
      <x:c r="J152" s="11" t="str">
        <x:v>2031-10-09</x:v>
      </x:c>
      <x:c r="K152" s="11" t="n">
        <x:v>-1.7713894592744694</x:v>
      </x:c>
      <x:c r="L152" s="11" t="n">
        <x:f>'药物假设'!M23</x:f>
        <x:v>0.13</x:v>
      </x:c>
      <x:c r="M152" s="11" t="n">
        <x:f>IF(O152,I152/(1+L152)^K152,0)</x:f>
        <x:v>0</x:v>
      </x:c>
      <x:c r="N152" s="11" t="n">
        <x:f>M152*'药物假设'!N23</x:f>
        <x:v>0</x:v>
      </x:c>
      <x:c r="O152" s="26" t="b">
        <x:v>0</x:v>
      </x:c>
      <x:c r="P152" s="11" t="n">
        <x:f>23</x:f>
        <x:v>23</x:v>
      </x:c>
      <x:c r="Q152" s="16" t="n">
        <x:v>0</x:v>
      </x:c>
      <x:c r="R152" s="16" t="n">
        <x:v>0</x:v>
      </x:c>
      <x:c r="S152" s="16" t="n">
        <x:v>1.05</x:v>
      </x:c>
    </x:row>
    <x:row r="153" ht="23" customHeight="1">
      <x:c r="A153" s="11" t="str">
        <x:v>01530.HK</x:v>
      </x:c>
      <x:c r="B153" s="11" t="str">
        <x:v>五年</x:v>
      </x:c>
      <x:c r="C153" s="11" t="str">
        <x:v>其他适应症</x:v>
      </x:c>
      <x:c r="D153" s="11" t="n">
        <x:v>2030</x:v>
      </x:c>
      <x:c r="E153" s="11" t="n">
        <x:f>CHOOSE('假设'!$B$3,Q153,R153,S153)</x:f>
        <x:v>0.44999999999999996</x:v>
      </x:c>
      <x:c r="F153" s="11" t="n">
        <x:f>'药物假设'!K23</x:f>
        <x:v>0.15</x:v>
      </x:c>
      <x:c r="G153" s="11" t="n">
        <x:f>1-'药物假设'!L23</x:f>
        <x:v>0.78</x:v>
      </x:c>
      <x:c r="H153" s="11" t="n">
        <x:f>'药物假设'!J23</x:f>
        <x:v>0.2</x:v>
      </x:c>
      <x:c r="I153" s="11" t="n">
        <x:f>E153*F153*G153*H153*'药物假设'!Q23</x:f>
        <x:v>0.009477</x:v>
      </x:c>
      <x:c r="J153" s="11" t="str">
        <x:v>2031-10-09</x:v>
      </x:c>
      <x:c r="K153" s="11" t="n">
        <x:v>-0.7720739219712526</x:v>
      </x:c>
      <x:c r="L153" s="11" t="n">
        <x:f>'药物假设'!M23</x:f>
        <x:v>0.13</x:v>
      </x:c>
      <x:c r="M153" s="11" t="n">
        <x:f>IF(O153,I153/(1+L153)^K153,0)</x:f>
        <x:v>0</x:v>
      </x:c>
      <x:c r="N153" s="11" t="n">
        <x:f>M153*'药物假设'!N23</x:f>
        <x:v>0</x:v>
      </x:c>
      <x:c r="O153" s="26" t="b">
        <x:v>0</x:v>
      </x:c>
      <x:c r="P153" s="11" t="n">
        <x:f>23</x:f>
        <x:v>23</x:v>
      </x:c>
      <x:c r="Q153" s="16" t="n">
        <x:v>0</x:v>
      </x:c>
      <x:c r="R153" s="16" t="n">
        <x:v>0.44999999999999996</x:v>
      </x:c>
      <x:c r="S153" s="16" t="n">
        <x:v>2.1</x:v>
      </x:c>
    </x:row>
    <x:row r="154" ht="23" customHeight="1">
      <x:c r="A154" s="11" t="str">
        <x:v>01530.HK</x:v>
      </x:c>
      <x:c r="B154" s="11" t="str">
        <x:v>五年</x:v>
      </x:c>
      <x:c r="C154" s="11" t="str">
        <x:v>其他适应症</x:v>
      </x:c>
      <x:c r="D154" s="11" t="n">
        <x:v>2031</x:v>
      </x:c>
      <x:c r="E154" s="11" t="n">
        <x:f>CHOOSE('假设'!$B$3,Q154,R154,S154)</x:f>
        <x:v>0.8999999999999999</x:v>
      </x:c>
      <x:c r="F154" s="11" t="n">
        <x:f>'药物假设'!K23</x:f>
        <x:v>0.15</x:v>
      </x:c>
      <x:c r="G154" s="11" t="n">
        <x:f>1-'药物假设'!L23</x:f>
        <x:v>0.78</x:v>
      </x:c>
      <x:c r="H154" s="11" t="n">
        <x:f>'药物假设'!J23</x:f>
        <x:v>0.2</x:v>
      </x:c>
      <x:c r="I154" s="11" t="n">
        <x:f>E154*F154*G154*H154*'药物假设'!Q23</x:f>
        <x:v>0.018954</x:v>
      </x:c>
      <x:c r="J154" s="11" t="str">
        <x:v>2031-10-09</x:v>
      </x:c>
      <x:c r="K154" s="11" t="n">
        <x:v>0.2272416153319644</x:v>
      </x:c>
      <x:c r="L154" s="11" t="n">
        <x:f>'药物假设'!M23</x:f>
        <x:v>0.13</x:v>
      </x:c>
      <x:c r="M154" s="11" t="n">
        <x:f>IF(O154,I154/(1+L154)^K154,0)</x:f>
        <x:v>0.01843483458495434</x:v>
      </x:c>
      <x:c r="N154" s="11" t="n">
        <x:f>M154*'药物假设'!N23</x:f>
        <x:v>0.12904384209468037</x:v>
      </x:c>
      <x:c r="O154" s="26" t="b">
        <x:v>1</x:v>
      </x:c>
      <x:c r="P154" s="11" t="n">
        <x:f>23</x:f>
        <x:v>23</x:v>
      </x:c>
      <x:c r="Q154" s="16" t="n">
        <x:v>0.15</x:v>
      </x:c>
      <x:c r="R154" s="16" t="n">
        <x:v>0.8999999999999999</x:v>
      </x:c>
      <x:c r="S154" s="16" t="n">
        <x:v>3.5</x:v>
      </x:c>
    </x:row>
    <x:row r="155" ht="23" customHeight="1">
      <x:c r="A155" s="11" t="str">
        <x:v>01530.HK</x:v>
      </x:c>
      <x:c r="B155" s="11" t="str">
        <x:v>五年</x:v>
      </x:c>
      <x:c r="C155" s="11" t="str">
        <x:v>其他适应症</x:v>
      </x:c>
      <x:c r="D155" s="11" t="n">
        <x:v>2032</x:v>
      </x:c>
      <x:c r="E155" s="11" t="n">
        <x:f>CHOOSE('假设'!$B$3,Q155,R155,S155)</x:f>
        <x:v>1.5</x:v>
      </x:c>
      <x:c r="F155" s="11" t="n">
        <x:f>'药物假设'!K23</x:f>
        <x:v>0.15</x:v>
      </x:c>
      <x:c r="G155" s="11" t="n">
        <x:f>1-'药物假设'!L23</x:f>
        <x:v>0.78</x:v>
      </x:c>
      <x:c r="H155" s="11" t="n">
        <x:f>'药物假设'!J23</x:f>
        <x:v>0.2</x:v>
      </x:c>
      <x:c r="I155" s="11" t="n">
        <x:f>E155*F155*G155*H155*'药物假设'!Q23</x:f>
        <x:v>0.03159</x:v>
      </x:c>
      <x:c r="J155" s="11" t="str">
        <x:v>2031-10-09</x:v>
      </x:c>
      <x:c r="K155" s="11" t="n">
        <x:v>1.2292950034223136</x:v>
      </x:c>
      <x:c r="L155" s="11" t="n">
        <x:f>'药物假设'!M23</x:f>
        <x:v>0.13</x:v>
      </x:c>
      <x:c r="M155" s="11" t="n">
        <x:f>IF(O155,I155/(1+L155)^K155,0)</x:f>
        <x:v>0.027183198753796163</x:v>
      </x:c>
      <x:c r="N155" s="11" t="n">
        <x:f>M155*'药物假设'!N23</x:f>
        <x:v>0.19028239127657315</x:v>
      </x:c>
      <x:c r="O155" s="26" t="b">
        <x:v>1</x:v>
      </x:c>
      <x:c r="P155" s="11" t="n">
        <x:f>23</x:f>
        <x:v>23</x:v>
      </x:c>
      <x:c r="Q155" s="16" t="n">
        <x:v>0.3</x:v>
      </x:c>
      <x:c r="R155" s="16" t="n">
        <x:v>1.5</x:v>
      </x:c>
      <x:c r="S155" s="16" t="n">
        <x:v>4.8999999999999995</x:v>
      </x:c>
    </x:row>
    <x:row r="156" ht="23" customHeight="1">
      <x:c r="A156" s="11" t="str">
        <x:v>01530.HK</x:v>
      </x:c>
      <x:c r="B156" s="11" t="str">
        <x:v>五年</x:v>
      </x:c>
      <x:c r="C156" s="11" t="str">
        <x:v>其他适应症</x:v>
      </x:c>
      <x:c r="D156" s="11" t="n">
        <x:v>2033</x:v>
      </x:c>
      <x:c r="E156" s="11" t="n">
        <x:f>CHOOSE('假设'!$B$3,Q156,R156,S156)</x:f>
        <x:v>2.0999999999999996</x:v>
      </x:c>
      <x:c r="F156" s="11" t="n">
        <x:f>'药物假设'!K23</x:f>
        <x:v>0.15</x:v>
      </x:c>
      <x:c r="G156" s="11" t="n">
        <x:f>1-'药物假设'!L23</x:f>
        <x:v>0.78</x:v>
      </x:c>
      <x:c r="H156" s="11" t="n">
        <x:f>'药物假设'!J23</x:f>
        <x:v>0.2</x:v>
      </x:c>
      <x:c r="I156" s="11" t="n">
        <x:f>E156*F156*G156*H156*'药物假设'!Q23</x:f>
        <x:v>0.044225999999999994</x:v>
      </x:c>
      <x:c r="J156" s="11" t="str">
        <x:v>2031-10-09</x:v>
      </x:c>
      <x:c r="K156" s="11" t="n">
        <x:v>2.2286105407255303</x:v>
      </x:c>
      <x:c r="L156" s="11" t="n">
        <x:f>'药物假设'!M23</x:f>
        <x:v>0.13</x:v>
      </x:c>
      <x:c r="M156" s="11" t="n">
        <x:f>IF(O156,I156/(1+L156)^K156,0)</x:f>
        <x:v>0.03368111676342759</x:v>
      </x:c>
      <x:c r="N156" s="11" t="n">
        <x:f>M156*'药物假设'!N23</x:f>
        <x:v>0.23576781734399313</x:v>
      </x:c>
      <x:c r="O156" s="26" t="b">
        <x:v>1</x:v>
      </x:c>
      <x:c r="P156" s="11" t="n">
        <x:f>23</x:f>
        <x:v>23</x:v>
      </x:c>
      <x:c r="Q156" s="16" t="n">
        <x:v>0.5</x:v>
      </x:c>
      <x:c r="R156" s="16" t="n">
        <x:v>2.0999999999999996</x:v>
      </x:c>
      <x:c r="S156" s="16" t="n">
        <x:v>6.3</x:v>
      </x:c>
    </x:row>
    <x:row r="157" ht="23" customHeight="1">
      <x:c r="A157" s="11" t="str">
        <x:v>01530.HK</x:v>
      </x:c>
      <x:c r="B157" s="11" t="str">
        <x:v>五年</x:v>
      </x:c>
      <x:c r="C157" s="11" t="str">
        <x:v>其他适应症</x:v>
      </x:c>
      <x:c r="D157" s="11" t="n">
        <x:v>2034</x:v>
      </x:c>
      <x:c r="E157" s="11" t="n">
        <x:f>CHOOSE('假设'!$B$3,Q157,R157,S157)</x:f>
        <x:v>2.7</x:v>
      </x:c>
      <x:c r="F157" s="11" t="n">
        <x:f>'药物假设'!K23</x:f>
        <x:v>0.15</x:v>
      </x:c>
      <x:c r="G157" s="11" t="n">
        <x:f>1-'药物假设'!L23</x:f>
        <x:v>0.78</x:v>
      </x:c>
      <x:c r="H157" s="11" t="n">
        <x:f>'药物假设'!J23</x:f>
        <x:v>0.2</x:v>
      </x:c>
      <x:c r="I157" s="11" t="n">
        <x:f>E157*F157*G157*H157*'药物假设'!Q23</x:f>
        <x:v>0.056862</x:v>
      </x:c>
      <x:c r="J157" s="11" t="str">
        <x:v>2031-10-09</x:v>
      </x:c>
      <x:c r="K157" s="11" t="n">
        <x:v>3.2279260780287475</x:v>
      </x:c>
      <x:c r="L157" s="11" t="n">
        <x:f>'药物假设'!M23</x:f>
        <x:v>0.13</x:v>
      </x:c>
      <x:c r="M157" s="11" t="n">
        <x:f>IF(O157,I157/(1+L157)^K157,0)</x:f>
        <x:v>0.03832558910165496</x:v>
      </x:c>
      <x:c r="N157" s="11" t="n">
        <x:f>M157*'药物假设'!N23</x:f>
        <x:v>0.26827912371158474</x:v>
      </x:c>
      <x:c r="O157" s="26" t="b">
        <x:v>1</x:v>
      </x:c>
      <x:c r="P157" s="11" t="n">
        <x:f>23</x:f>
        <x:v>23</x:v>
      </x:c>
      <x:c r="Q157" s="16" t="n">
        <x:v>0.7</x:v>
      </x:c>
      <x:c r="R157" s="16" t="n">
        <x:v>2.7</x:v>
      </x:c>
      <x:c r="S157" s="16" t="n">
        <x:v>7</x:v>
      </x:c>
    </x:row>
    <x:row r="158" ht="23" customHeight="1">
      <x:c r="A158" s="11" t="str">
        <x:v>01530.HK</x:v>
      </x:c>
      <x:c r="B158" s="11" t="str">
        <x:v>五年</x:v>
      </x:c>
      <x:c r="C158" s="11" t="str">
        <x:v>其他适应症</x:v>
      </x:c>
      <x:c r="D158" s="11" t="n">
        <x:v>2035</x:v>
      </x:c>
      <x:c r="E158" s="11" t="n">
        <x:f>CHOOSE('假设'!$B$3,Q158,R158,S158)</x:f>
        <x:v>3</x:v>
      </x:c>
      <x:c r="F158" s="11" t="n">
        <x:f>'药物假设'!K23</x:f>
        <x:v>0.15</x:v>
      </x:c>
      <x:c r="G158" s="11" t="n">
        <x:f>1-'药物假设'!L23</x:f>
        <x:v>0.78</x:v>
      </x:c>
      <x:c r="H158" s="11" t="n">
        <x:f>'药物假设'!J23</x:f>
        <x:v>0.2</x:v>
      </x:c>
      <x:c r="I158" s="11" t="n">
        <x:f>E158*F158*G158*H158*'药物假设'!Q23</x:f>
        <x:v>0.06318</x:v>
      </x:c>
      <x:c r="J158" s="11" t="str">
        <x:v>2031-10-09</x:v>
      </x:c>
      <x:c r="K158" s="11" t="n">
        <x:v>4.227241615331964</x:v>
      </x:c>
      <x:c r="L158" s="11" t="n">
        <x:f>'药物假设'!M23</x:f>
        <x:v>0.13</x:v>
      </x:c>
      <x:c r="M158" s="11" t="n">
        <x:f>IF(O158,I158/(1+L158)^K158,0)</x:f>
        <x:v>0.037688097642079886</x:v>
      </x:c>
      <x:c r="N158" s="11" t="n">
        <x:f>M158*'药物假设'!N23</x:f>
        <x:v>0.2638166834945592</x:v>
      </x:c>
      <x:c r="O158" s="26" t="b">
        <x:v>1</x:v>
      </x:c>
      <x:c r="P158" s="11" t="n">
        <x:f>23</x:f>
        <x:v>23</x:v>
      </x:c>
      <x:c r="Q158" s="16" t="n">
        <x:v>0.9</x:v>
      </x:c>
      <x:c r="R158" s="16" t="n">
        <x:v>3</x:v>
      </x:c>
      <x:c r="S158" s="16" t="n">
        <x:v>7</x:v>
      </x:c>
    </x:row>
    <x:row r="159" ht="23" customHeight="1">
      <x:c r="A159" s="11" t="str">
        <x:v>01530.HK</x:v>
      </x:c>
      <x:c r="B159" s="11" t="str">
        <x:v>五年</x:v>
      </x:c>
      <x:c r="C159" s="11" t="str">
        <x:v>其他适应症</x:v>
      </x:c>
      <x:c r="D159" s="11" t="n">
        <x:v>2036</x:v>
      </x:c>
      <x:c r="E159" s="11" t="n">
        <x:f>CHOOSE('假设'!$B$3,Q159,R159,S159)</x:f>
        <x:v>3</x:v>
      </x:c>
      <x:c r="F159" s="11" t="n">
        <x:f>'药物假设'!K23</x:f>
        <x:v>0.15</x:v>
      </x:c>
      <x:c r="G159" s="11" t="n">
        <x:f>1-'药物假设'!L23</x:f>
        <x:v>0.78</x:v>
      </x:c>
      <x:c r="H159" s="11" t="n">
        <x:f>'药物假设'!J23</x:f>
        <x:v>0.2</x:v>
      </x:c>
      <x:c r="I159" s="11" t="n">
        <x:f>E159*F159*G159*H159*'药物假设'!Q23</x:f>
        <x:v>0.06318</x:v>
      </x:c>
      <x:c r="J159" s="11" t="str">
        <x:v>2031-10-09</x:v>
      </x:c>
      <x:c r="K159" s="11" t="n">
        <x:v>5.229295003422314</x:v>
      </x:c>
      <x:c r="L159" s="11" t="n">
        <x:f>'药物假设'!M23</x:f>
        <x:v>0.13</x:v>
      </x:c>
      <x:c r="M159" s="11" t="n">
        <x:f>IF(O159,I159/(1+L159)^K159,0)</x:f>
        <x:v>0.03334392974786776</x:v>
      </x:c>
      <x:c r="N159" s="11" t="n">
        <x:f>M159*'药物假设'!N23</x:f>
        <x:v>0.23340750823507433</x:v>
      </x:c>
      <x:c r="O159" s="26" t="b">
        <x:v>1</x:v>
      </x:c>
      <x:c r="P159" s="11" t="n">
        <x:f>23</x:f>
        <x:v>23</x:v>
      </x:c>
      <x:c r="Q159" s="16" t="n">
        <x:v>1</x:v>
      </x:c>
      <x:c r="R159" s="16" t="n">
        <x:v>3</x:v>
      </x:c>
      <x:c r="S159" s="16" t="n">
        <x:v>6.6499999999999995</x:v>
      </x:c>
    </x:row>
    <x:row r="160" ht="23" customHeight="1">
      <x:c r="A160" s="11" t="str">
        <x:v>01530.HK</x:v>
      </x:c>
      <x:c r="B160" s="11" t="str">
        <x:v>五年</x:v>
      </x:c>
      <x:c r="C160" s="11" t="str">
        <x:v>其他适应症</x:v>
      </x:c>
      <x:c r="D160" s="11" t="n">
        <x:v>2037</x:v>
      </x:c>
      <x:c r="E160" s="11" t="n">
        <x:f>CHOOSE('假设'!$B$3,Q160,R160,S160)</x:f>
        <x:v>2.8499999999999996</x:v>
      </x:c>
      <x:c r="F160" s="11" t="n">
        <x:f>'药物假设'!K23</x:f>
        <x:v>0.15</x:v>
      </x:c>
      <x:c r="G160" s="11" t="n">
        <x:f>1-'药物假设'!L23</x:f>
        <x:v>0.78</x:v>
      </x:c>
      <x:c r="H160" s="11" t="n">
        <x:f>'药物假设'!J23</x:f>
        <x:v>0.2</x:v>
      </x:c>
      <x:c r="I160" s="11" t="n">
        <x:f>E160*F160*G160*H160*'药物假设'!Q23</x:f>
        <x:v>0.060021</x:v>
      </x:c>
      <x:c r="J160" s="11" t="str">
        <x:v>2031-10-09</x:v>
      </x:c>
      <x:c r="K160" s="11" t="n">
        <x:v>6.228610540725531</x:v>
      </x:c>
      <x:c r="L160" s="11" t="n">
        <x:f>'药物假设'!M23</x:f>
        <x:v>0.13</x:v>
      </x:c>
      <x:c r="M160" s="11" t="n">
        <x:f>IF(O160,I160/(1+L160)^K160,0)</x:f>
        <x:v>0.028034852423082342</x:v>
      </x:c>
      <x:c r="N160" s="11" t="n">
        <x:f>M160*'药物假设'!N23</x:f>
        <x:v>0.1962439669615764</x:v>
      </x:c>
      <x:c r="O160" s="26" t="b">
        <x:v>1</x:v>
      </x:c>
      <x:c r="P160" s="11" t="n">
        <x:f>23</x:f>
        <x:v>23</x:v>
      </x:c>
      <x:c r="Q160" s="16" t="n">
        <x:v>1</x:v>
      </x:c>
      <x:c r="R160" s="16" t="n">
        <x:v>2.8499999999999996</x:v>
      </x:c>
      <x:c r="S160" s="16" t="n">
        <x:v>6.3</x:v>
      </x:c>
    </x:row>
    <x:row r="161" ht="23" customHeight="1">
      <x:c r="A161" s="11" t="str">
        <x:v>01530.HK</x:v>
      </x:c>
      <x:c r="B161" s="11" t="str">
        <x:v>五年</x:v>
      </x:c>
      <x:c r="C161" s="11" t="str">
        <x:v>其他适应症</x:v>
      </x:c>
      <x:c r="D161" s="11" t="n">
        <x:v>2038</x:v>
      </x:c>
      <x:c r="E161" s="11" t="n">
        <x:f>CHOOSE('假设'!$B$3,Q161,R161,S161)</x:f>
        <x:v>2.7</x:v>
      </x:c>
      <x:c r="F161" s="11" t="n">
        <x:f>'药物假设'!K23</x:f>
        <x:v>0.15</x:v>
      </x:c>
      <x:c r="G161" s="11" t="n">
        <x:f>1-'药物假设'!L23</x:f>
        <x:v>0.78</x:v>
      </x:c>
      <x:c r="H161" s="11" t="n">
        <x:f>'药物假设'!J23</x:f>
        <x:v>0.2</x:v>
      </x:c>
      <x:c r="I161" s="11" t="n">
        <x:f>E161*F161*G161*H161*'药物假设'!Q23</x:f>
        <x:v>0.056862</x:v>
      </x:c>
      <x:c r="J161" s="11" t="str">
        <x:v>2031-10-09</x:v>
      </x:c>
      <x:c r="K161" s="11" t="n">
        <x:v>7.227926078028747</x:v>
      </x:c>
      <x:c r="L161" s="11" t="n">
        <x:f>'药物假设'!M23</x:f>
        <x:v>0.13</x:v>
      </x:c>
      <x:c r="M161" s="11" t="n">
        <x:f>IF(O161,I161/(1+L161)^K161,0)</x:f>
        <x:v>0.023505801545389615</x:v>
      </x:c>
      <x:c r="N161" s="11" t="n">
        <x:f>M161*'药物假设'!N23</x:f>
        <x:v>0.1645406108177273</x:v>
      </x:c>
      <x:c r="O161" s="26" t="b">
        <x:v>1</x:v>
      </x:c>
      <x:c r="P161" s="11" t="n">
        <x:f>23</x:f>
        <x:v>23</x:v>
      </x:c>
      <x:c r="Q161" s="16" t="n">
        <x:v>0.95</x:v>
      </x:c>
      <x:c r="R161" s="16" t="n">
        <x:v>2.7</x:v>
      </x:c>
      <x:c r="S161" s="16" t="n">
        <x:v>5.739999999999999</x:v>
      </x:c>
    </x:row>
    <x:row r="162" ht="23" customHeight="1">
      <x:c r="A162" s="11" t="str">
        <x:v>01530.HK</x:v>
      </x:c>
      <x:c r="B162" s="11" t="str">
        <x:v>五年</x:v>
      </x:c>
      <x:c r="C162" s="11" t="str">
        <x:v>其他适应症</x:v>
      </x:c>
      <x:c r="D162" s="11" t="n">
        <x:v>2039</x:v>
      </x:c>
      <x:c r="E162" s="11" t="n">
        <x:f>CHOOSE('假设'!$B$3,Q162,R162,S162)</x:f>
        <x:v>2.46</x:v>
      </x:c>
      <x:c r="F162" s="11" t="n">
        <x:f>'药物假设'!K23</x:f>
        <x:v>0.15</x:v>
      </x:c>
      <x:c r="G162" s="11" t="n">
        <x:f>1-'药物假设'!L23</x:f>
        <x:v>0.78</x:v>
      </x:c>
      <x:c r="H162" s="11" t="n">
        <x:f>'药物假设'!J23</x:f>
        <x:v>0.2</x:v>
      </x:c>
      <x:c r="I162" s="11" t="n">
        <x:f>E162*F162*G162*H162*'药物假设'!Q23</x:f>
        <x:v>0.0518076</x:v>
      </x:c>
      <x:c r="J162" s="11" t="str">
        <x:v>2031-10-09</x:v>
      </x:c>
      <x:c r="K162" s="11" t="n">
        <x:v>8.227241615331964</x:v>
      </x:c>
      <x:c r="L162" s="11" t="n">
        <x:f>'药物假设'!M23</x:f>
        <x:v>0.13</x:v>
      </x:c>
      <x:c r="M162" s="11" t="n">
        <x:f>IF(O162,I162/(1+L162)^K162,0)</x:f>
        <x:v>0.018954149197487176</x:v>
      </x:c>
      <x:c r="N162" s="11" t="n">
        <x:f>M162*'药物假设'!N23</x:f>
        <x:v>0.13267904438241024</x:v>
      </x:c>
      <x:c r="O162" s="26" t="b">
        <x:v>1</x:v>
      </x:c>
      <x:c r="P162" s="11" t="n">
        <x:f>23</x:f>
        <x:v>23</x:v>
      </x:c>
      <x:c r="Q162" s="16" t="n">
        <x:v>0.9</x:v>
      </x:c>
      <x:c r="R162" s="16" t="n">
        <x:v>2.46</x:v>
      </x:c>
      <x:c r="S162" s="16" t="n">
        <x:v>4.8999999999999995</x:v>
      </x:c>
    </x:row>
    <x:row r="163" ht="23" customHeight="1">
      <x:c r="A163" s="11" t="str">
        <x:v>01530.HK</x:v>
      </x:c>
      <x:c r="B163" s="11" t="str">
        <x:v>五年</x:v>
      </x:c>
      <x:c r="C163" s="11" t="str">
        <x:v>其他适应症</x:v>
      </x:c>
      <x:c r="D163" s="11" t="n">
        <x:v>2040</x:v>
      </x:c>
      <x:c r="E163" s="11" t="n">
        <x:f>CHOOSE('假设'!$B$3,Q163,R163,S163)</x:f>
        <x:v>2.0999999999999996</x:v>
      </x:c>
      <x:c r="F163" s="11" t="n">
        <x:f>'药物假设'!K23</x:f>
        <x:v>0.15</x:v>
      </x:c>
      <x:c r="G163" s="11" t="n">
        <x:f>1-'药物假设'!L23</x:f>
        <x:v>0.78</x:v>
      </x:c>
      <x:c r="H163" s="11" t="n">
        <x:f>'药物假设'!J23</x:f>
        <x:v>0.2</x:v>
      </x:c>
      <x:c r="I163" s="11" t="n">
        <x:f>E163*F163*G163*H163*'药物假设'!Q23</x:f>
        <x:v>0.044225999999999994</x:v>
      </x:c>
      <x:c r="J163" s="11" t="str">
        <x:v>2031-10-09</x:v>
      </x:c>
      <x:c r="K163" s="11" t="n">
        <x:v>9.229295003422314</x:v>
      </x:c>
      <x:c r="L163" s="11" t="n">
        <x:f>'药物假设'!M23</x:f>
        <x:v>0.13</x:v>
      </x:c>
      <x:c r="M163" s="11" t="n">
        <x:f>IF(O163,I163/(1+L163)^K163,0)</x:f>
        <x:v>0.014315319598154942</x:v>
      </x:c>
      <x:c r="N163" s="11" t="n">
        <x:f>M163*'药物假设'!N23</x:f>
        <x:v>0.1002072371870846</x:v>
      </x:c>
      <x:c r="O163" s="26" t="b">
        <x:v>1</x:v>
      </x:c>
      <x:c r="P163" s="11" t="n">
        <x:f>23</x:f>
        <x:v>23</x:v>
      </x:c>
      <x:c r="Q163" s="16" t="n">
        <x:v>0.82</x:v>
      </x:c>
      <x:c r="R163" s="16" t="n">
        <x:v>2.0999999999999996</x:v>
      </x:c>
      <x:c r="S163" s="16" t="n">
        <x:v>3.8500000000000005</x:v>
      </x:c>
    </x:row>
    <x:row r="164" ht="23" customHeight="1">
      <x:c r="A164" s="11" t="str">
        <x:v>01530.HK</x:v>
      </x:c>
      <x:c r="B164" s="11" t="str">
        <x:v>五年</x:v>
      </x:c>
      <x:c r="C164" s="11" t="str">
        <x:v>其他适应症</x:v>
      </x:c>
      <x:c r="D164" s="11" t="n">
        <x:v>2041</x:v>
      </x:c>
      <x:c r="E164" s="11" t="n">
        <x:f>CHOOSE('假设'!$B$3,Q164,R164,S164)</x:f>
        <x:v>1.6500000000000001</x:v>
      </x:c>
      <x:c r="F164" s="11" t="n">
        <x:f>'药物假设'!K23</x:f>
        <x:v>0.15</x:v>
      </x:c>
      <x:c r="G164" s="11" t="n">
        <x:f>1-'药物假设'!L23</x:f>
        <x:v>0.78</x:v>
      </x:c>
      <x:c r="H164" s="11" t="n">
        <x:f>'药物假设'!J23</x:f>
        <x:v>0.2</x:v>
      </x:c>
      <x:c r="I164" s="11" t="n">
        <x:f>E164*F164*G164*H164*'药物假设'!Q23</x:f>
        <x:v>0.03474900000000001</x:v>
      </x:c>
      <x:c r="J164" s="11" t="str">
        <x:v>2031-10-09</x:v>
      </x:c>
      <x:c r="K164" s="11" t="n">
        <x:v>10.22861054072553</x:v>
      </x:c>
      <x:c r="L164" s="11" t="n">
        <x:f>'药物假设'!M23</x:f>
        <x:v>0.13</x:v>
      </x:c>
      <x:c r="M164" s="11" t="n">
        <x:f>IF(O164,I164/(1+L164)^K164,0)</x:f>
        <x:v>0.009954594747728609</x:v>
      </x:c>
      <x:c r="N164" s="11" t="n">
        <x:f>M164*'药物假设'!N23</x:f>
        <x:v>0.06968216323410026</x:v>
      </x:c>
      <x:c r="O164" s="26" t="b">
        <x:v>1</x:v>
      </x:c>
      <x:c r="P164" s="11" t="n">
        <x:f>23</x:f>
        <x:v>23</x:v>
      </x:c>
      <x:c r="Q164" s="16" t="n">
        <x:v>0.7</x:v>
      </x:c>
      <x:c r="R164" s="16" t="n">
        <x:v>1.6500000000000001</x:v>
      </x:c>
      <x:c r="S164" s="16" t="n">
        <x:v>2.4499999999999997</x:v>
      </x:c>
    </x:row>
    <x:row r="165" ht="23" customHeight="1">
      <x:c r="A165" s="11" t="str">
        <x:v>01530.HK</x:v>
      </x:c>
      <x:c r="B165" s="11" t="str">
        <x:v>五年</x:v>
      </x:c>
      <x:c r="C165" s="11" t="str">
        <x:v>其他适应症</x:v>
      </x:c>
      <x:c r="D165" s="11" t="n">
        <x:v>2042</x:v>
      </x:c>
      <x:c r="E165" s="11" t="n">
        <x:f>CHOOSE('假设'!$B$3,Q165,R165,S165)</x:f>
        <x:v>1.0499999999999998</x:v>
      </x:c>
      <x:c r="F165" s="11" t="n">
        <x:f>'药物假设'!K23</x:f>
        <x:v>0.15</x:v>
      </x:c>
      <x:c r="G165" s="11" t="n">
        <x:f>1-'药物假设'!L23</x:f>
        <x:v>0.78</x:v>
      </x:c>
      <x:c r="H165" s="11" t="n">
        <x:f>'药物假设'!J23</x:f>
        <x:v>0.2</x:v>
      </x:c>
      <x:c r="I165" s="11" t="n">
        <x:f>E165*F165*G165*H165*'药物假设'!Q23</x:f>
        <x:v>0.022112999999999997</x:v>
      </x:c>
      <x:c r="J165" s="11" t="str">
        <x:v>2031-10-09</x:v>
      </x:c>
      <x:c r="K165" s="11" t="n">
        <x:v>11.227926078028748</x:v>
      </x:c>
      <x:c r="L165" s="11" t="n">
        <x:f>'药物假设'!M23</x:f>
        <x:v>0.13</x:v>
      </x:c>
      <x:c r="M165" s="11" t="n">
        <x:f>IF(O165,I165/(1+L165)^K165,0)</x:f>
        <x:v>0.005606435448795332</x:v>
      </x:c>
      <x:c r="N165" s="11" t="n">
        <x:f>M165*'药物假设'!N23</x:f>
        <x:v>0.039245048141567325</x:v>
      </x:c>
      <x:c r="O165" s="26" t="b">
        <x:v>1</x:v>
      </x:c>
      <x:c r="P165" s="11" t="n">
        <x:f>23</x:f>
        <x:v>23</x:v>
      </x:c>
      <x:c r="Q165" s="16" t="n">
        <x:v>0.55</x:v>
      </x:c>
      <x:c r="R165" s="16" t="n">
        <x:v>1.0499999999999998</x:v>
      </x:c>
      <x:c r="S165" s="16" t="n">
        <x:v>1.4000000000000001</x:v>
      </x:c>
    </x:row>
    <x:row r="166" ht="23" customHeight="1">
      <x:c r="A166" s="11" t="str">
        <x:v>01530.HK</x:v>
      </x:c>
      <x:c r="B166" s="11" t="str">
        <x:v>五年</x:v>
      </x:c>
      <x:c r="C166" s="11" t="str">
        <x:v>其他适应症</x:v>
      </x:c>
      <x:c r="D166" s="11" t="n">
        <x:v>2043</x:v>
      </x:c>
      <x:c r="E166" s="11" t="n">
        <x:f>CHOOSE('假设'!$B$3,Q166,R166,S166)</x:f>
        <x:v>0.6000000000000001</x:v>
      </x:c>
      <x:c r="F166" s="11" t="n">
        <x:f>'药物假设'!K23</x:f>
        <x:v>0.15</x:v>
      </x:c>
      <x:c r="G166" s="11" t="n">
        <x:f>1-'药物假设'!L23</x:f>
        <x:v>0.78</x:v>
      </x:c>
      <x:c r="H166" s="11" t="n">
        <x:f>'药物假设'!J23</x:f>
        <x:v>0.2</x:v>
      </x:c>
      <x:c r="I166" s="11" t="n">
        <x:f>E166*F166*G166*H166*'药物假设'!Q23</x:f>
        <x:v>0.012636000000000003</x:v>
      </x:c>
      <x:c r="J166" s="11" t="str">
        <x:v>2031-10-09</x:v>
      </x:c>
      <x:c r="K166" s="11" t="n">
        <x:v>12.227241615331964</x:v>
      </x:c>
      <x:c r="L166" s="11" t="n">
        <x:f>'药物假设'!M23</x:f>
        <x:v>0.13</x:v>
      </x:c>
      <x:c r="M166" s="11" t="n">
        <x:f>IF(O166,I166/(1+L166)^K166,0)</x:f>
        <x:v>0.002835349919523883</x:v>
      </x:c>
      <x:c r="N166" s="11" t="n">
        <x:f>M166*'药物假设'!N23</x:f>
        <x:v>0.01984744943666718</x:v>
      </x:c>
      <x:c r="O166" s="26" t="b">
        <x:v>1</x:v>
      </x:c>
      <x:c r="P166" s="11" t="n">
        <x:f>23</x:f>
        <x:v>23</x:v>
      </x:c>
      <x:c r="Q166" s="16" t="n">
        <x:v>0.35</x:v>
      </x:c>
      <x:c r="R166" s="16" t="n">
        <x:v>0.6000000000000001</x:v>
      </x:c>
      <x:c r="S166" s="16" t="n">
        <x:v>0.7000000000000001</x:v>
      </x:c>
    </x:row>
    <x:row r="167" ht="23" customHeight="1">
      <x:c r="A167" s="11" t="str">
        <x:v>09926.HK</x:v>
      </x:c>
      <x:c r="B167" s="11" t="str">
        <x:v>2026年底</x:v>
      </x:c>
      <x:c r="C167" s="11" t="str">
        <x:v>肺癌</x:v>
      </x:c>
      <x:c r="D167" s="11" t="n">
        <x:v>2027</x:v>
      </x:c>
      <x:c r="E167" s="11" t="n">
        <x:f>CHOOSE('假设'!$B$3,Q167,R167,S167)</x:f>
        <x:v>0</x:v>
      </x:c>
      <x:c r="F167" s="11" t="n">
        <x:f>'药物假设'!K27</x:f>
        <x:v>0.15</x:v>
      </x:c>
      <x:c r="G167" s="11" t="n">
        <x:f>1-'药物假设'!L27</x:f>
        <x:v>0.8</x:v>
      </x:c>
      <x:c r="H167" s="11" t="n">
        <x:f>'药物假设'!I27</x:f>
        <x:v>0.7</x:v>
      </x:c>
      <x:c r="I167" s="11" t="n">
        <x:f>E167*F167*G167*H167*'药物假设'!Q27</x:f>
        <x:v>0</x:v>
      </x:c>
      <x:c r="J167" s="11" t="str">
        <x:v>2026-12-31</x:v>
      </x:c>
      <x:c r="K167" s="11" t="n">
        <x:v>0.999315537303217</x:v>
      </x:c>
      <x:c r="L167" s="11" t="n">
        <x:f>'药物假设'!M27</x:f>
        <x:v>0.12</x:v>
      </x:c>
      <x:c r="M167" s="11" t="n">
        <x:f>IF(O167,I167/(1+L167)^K167,0)</x:f>
        <x:v>0</x:v>
      </x:c>
      <x:c r="N167" s="11" t="n">
        <x:f>M167*'药物假设'!N27</x:f>
        <x:v>0</x:v>
      </x:c>
      <x:c r="O167" s="26" t="b">
        <x:v>1</x:v>
      </x:c>
      <x:c r="P167" s="11" t="n">
        <x:f>27</x:f>
        <x:v>27</x:v>
      </x:c>
      <x:c r="Q167" s="16" t="n">
        <x:v>0</x:v>
      </x:c>
      <x:c r="R167" s="16" t="n">
        <x:v>0</x:v>
      </x:c>
      <x:c r="S167" s="16" t="n">
        <x:v>0.7</x:v>
      </x:c>
    </x:row>
    <x:row r="168" ht="23" customHeight="1">
      <x:c r="A168" s="11" t="str">
        <x:v>09926.HK</x:v>
      </x:c>
      <x:c r="B168" s="11" t="str">
        <x:v>2026年底</x:v>
      </x:c>
      <x:c r="C168" s="11" t="str">
        <x:v>肺癌</x:v>
      </x:c>
      <x:c r="D168" s="11" t="n">
        <x:v>2028</x:v>
      </x:c>
      <x:c r="E168" s="11" t="n">
        <x:f>CHOOSE('假设'!$B$3,Q168,R168,S168)</x:f>
        <x:v>0.5</x:v>
      </x:c>
      <x:c r="F168" s="11" t="n">
        <x:f>'药物假设'!K27</x:f>
        <x:v>0.15</x:v>
      </x:c>
      <x:c r="G168" s="11" t="n">
        <x:f>1-'药物假设'!L27</x:f>
        <x:v>0.8</x:v>
      </x:c>
      <x:c r="H168" s="11" t="n">
        <x:f>'药物假设'!I27</x:f>
        <x:v>0.7</x:v>
      </x:c>
      <x:c r="I168" s="11" t="n">
        <x:f>E168*F168*G168*H168*'药物假设'!Q27</x:f>
        <x:v>0.041999999999999996</x:v>
      </x:c>
      <x:c r="J168" s="11" t="str">
        <x:v>2026-12-31</x:v>
      </x:c>
      <x:c r="K168" s="11" t="n">
        <x:v>2.001368925393566</x:v>
      </x:c>
      <x:c r="L168" s="11" t="n">
        <x:f>'药物假设'!M27</x:f>
        <x:v>0.12</x:v>
      </x:c>
      <x:c r="M168" s="11" t="n">
        <x:f>IF(O168,I168/(1+L168)^K168,0)</x:f>
        <x:v>0.033476948890119</x:v>
      </x:c>
      <x:c r="N168" s="11" t="n">
        <x:f>M168*'药物假设'!N27</x:f>
        <x:v>0.2276432524528092</x:v>
      </x:c>
      <x:c r="O168" s="26" t="b">
        <x:v>1</x:v>
      </x:c>
      <x:c r="P168" s="11" t="n">
        <x:f>27</x:f>
        <x:v>27</x:v>
      </x:c>
      <x:c r="Q168" s="16" t="n">
        <x:v>0</x:v>
      </x:c>
      <x:c r="R168" s="16" t="n">
        <x:v>0.5</x:v>
      </x:c>
      <x:c r="S168" s="16" t="n">
        <x:v>2</x:v>
      </x:c>
    </x:row>
    <x:row r="169" ht="23" customHeight="1">
      <x:c r="A169" s="11" t="str">
        <x:v>09926.HK</x:v>
      </x:c>
      <x:c r="B169" s="11" t="str">
        <x:v>2026年底</x:v>
      </x:c>
      <x:c r="C169" s="11" t="str">
        <x:v>肺癌</x:v>
      </x:c>
      <x:c r="D169" s="11" t="n">
        <x:v>2029</x:v>
      </x:c>
      <x:c r="E169" s="11" t="n">
        <x:f>CHOOSE('假设'!$B$3,Q169,R169,S169)</x:f>
        <x:v>1.6</x:v>
      </x:c>
      <x:c r="F169" s="11" t="n">
        <x:f>'药物假设'!K27</x:f>
        <x:v>0.15</x:v>
      </x:c>
      <x:c r="G169" s="11" t="n">
        <x:f>1-'药物假设'!L27</x:f>
        <x:v>0.8</x:v>
      </x:c>
      <x:c r="H169" s="11" t="n">
        <x:f>'药物假设'!I27</x:f>
        <x:v>0.7</x:v>
      </x:c>
      <x:c r="I169" s="11" t="n">
        <x:f>E169*F169*G169*H169*'药物假设'!Q27</x:f>
        <x:v>0.1344</x:v>
      </x:c>
      <x:c r="J169" s="11" t="str">
        <x:v>2026-12-31</x:v>
      </x:c>
      <x:c r="K169" s="11" t="n">
        <x:v>3.0006844626967832</x:v>
      </x:c>
      <x:c r="L169" s="11" t="n">
        <x:f>'药物假设'!M27</x:f>
        <x:v>0.12</x:v>
      </x:c>
      <x:c r="M169" s="11" t="n">
        <x:f>IF(O169,I169/(1+L169)^K169,0)</x:f>
        <x:v>0.09565584506545108</x:v>
      </x:c>
      <x:c r="N169" s="11" t="n">
        <x:f>M169*'药物假设'!N27</x:f>
        <x:v>0.6504597464450673</x:v>
      </x:c>
      <x:c r="O169" s="26" t="b">
        <x:v>1</x:v>
      </x:c>
      <x:c r="P169" s="11" t="n">
        <x:f>27</x:f>
        <x:v>27</x:v>
      </x:c>
      <x:c r="Q169" s="16" t="n">
        <x:v>0.4</x:v>
      </x:c>
      <x:c r="R169" s="16" t="n">
        <x:v>1.6</x:v>
      </x:c>
      <x:c r="S169" s="16" t="n">
        <x:v>4.5</x:v>
      </x:c>
    </x:row>
    <x:row r="170" ht="23" customHeight="1">
      <x:c r="A170" s="11" t="str">
        <x:v>09926.HK</x:v>
      </x:c>
      <x:c r="B170" s="11" t="str">
        <x:v>2026年底</x:v>
      </x:c>
      <x:c r="C170" s="11" t="str">
        <x:v>肺癌</x:v>
      </x:c>
      <x:c r="D170" s="11" t="n">
        <x:v>2030</x:v>
      </x:c>
      <x:c r="E170" s="11" t="n">
        <x:f>CHOOSE('假设'!$B$3,Q170,R170,S170)</x:f>
        <x:v>3.5</x:v>
      </x:c>
      <x:c r="F170" s="11" t="n">
        <x:f>'药物假设'!K27</x:f>
        <x:v>0.15</x:v>
      </x:c>
      <x:c r="G170" s="11" t="n">
        <x:f>1-'药物假设'!L27</x:f>
        <x:v>0.8</x:v>
      </x:c>
      <x:c r="H170" s="11" t="n">
        <x:f>'药物假设'!I27</x:f>
        <x:v>0.7</x:v>
      </x:c>
      <x:c r="I170" s="11" t="n">
        <x:f>E170*F170*G170*H170*'药物假设'!Q27</x:f>
        <x:v>0.294</x:v>
      </x:c>
      <x:c r="J170" s="11" t="str">
        <x:v>2026-12-31</x:v>
      </x:c>
      <x:c r="K170" s="11" t="n">
        <x:v>4</x:v>
      </x:c>
      <x:c r="L170" s="11" t="n">
        <x:f>'药物假设'!M27</x:f>
        <x:v>0.12</x:v>
      </x:c>
      <x:c r="M170" s="11" t="n">
        <x:f>IF(O170,I170/(1+L170)^K170,0)</x:f>
        <x:v>0.18684231505102034</x:v>
      </x:c>
      <x:c r="N170" s="11" t="n">
        <x:f>M170*'药物假设'!N27</x:f>
        <x:v>1.2705277423469383</x:v>
      </x:c>
      <x:c r="O170" s="26" t="b">
        <x:v>1</x:v>
      </x:c>
      <x:c r="P170" s="11" t="n">
        <x:f>27</x:f>
        <x:v>27</x:v>
      </x:c>
      <x:c r="Q170" s="16" t="n">
        <x:v>0.9</x:v>
      </x:c>
      <x:c r="R170" s="16" t="n">
        <x:v>3.5</x:v>
      </x:c>
      <x:c r="S170" s="16" t="n">
        <x:v>7.5</x:v>
      </x:c>
    </x:row>
    <x:row r="171" ht="23" customHeight="1">
      <x:c r="A171" s="11" t="str">
        <x:v>09926.HK</x:v>
      </x:c>
      <x:c r="B171" s="11" t="str">
        <x:v>2026年底</x:v>
      </x:c>
      <x:c r="C171" s="11" t="str">
        <x:v>肺癌</x:v>
      </x:c>
      <x:c r="D171" s="11" t="n">
        <x:v>2031</x:v>
      </x:c>
      <x:c r="E171" s="11" t="n">
        <x:f>CHOOSE('假设'!$B$3,Q171,R171,S171)</x:f>
        <x:v>5.5</x:v>
      </x:c>
      <x:c r="F171" s="11" t="n">
        <x:f>'药物假设'!K27</x:f>
        <x:v>0.15</x:v>
      </x:c>
      <x:c r="G171" s="11" t="n">
        <x:f>1-'药物假设'!L27</x:f>
        <x:v>0.8</x:v>
      </x:c>
      <x:c r="H171" s="11" t="n">
        <x:f>'药物假设'!I27</x:f>
        <x:v>0.7</x:v>
      </x:c>
      <x:c r="I171" s="11" t="n">
        <x:f>E171*F171*G171*H171*'药物假设'!Q27</x:f>
        <x:v>0.46199999999999997</x:v>
      </x:c>
      <x:c r="J171" s="11" t="str">
        <x:v>2026-12-31</x:v>
      </x:c>
      <x:c r="K171" s="11" t="n">
        <x:v>4.999315537303217</x:v>
      </x:c>
      <x:c r="L171" s="11" t="n">
        <x:f>'药物假设'!M27</x:f>
        <x:v>0.12</x:v>
      </x:c>
      <x:c r="M171" s="11" t="n">
        <x:f>IF(O171,I171/(1+L171)^K171,0)</x:f>
        <x:v>0.26217154300521783</x:v>
      </x:c>
      <x:c r="N171" s="11" t="n">
        <x:f>M171*'药物假设'!N27</x:f>
        <x:v>1.7827664924354811</x:v>
      </x:c>
      <x:c r="O171" s="26" t="b">
        <x:v>1</x:v>
      </x:c>
      <x:c r="P171" s="11" t="n">
        <x:f>27</x:f>
        <x:v>27</x:v>
      </x:c>
      <x:c r="Q171" s="16" t="n">
        <x:v>1.3</x:v>
      </x:c>
      <x:c r="R171" s="16" t="n">
        <x:v>5.5</x:v>
      </x:c>
      <x:c r="S171" s="16" t="n">
        <x:v>11</x:v>
      </x:c>
    </x:row>
    <x:row r="172" ht="23" customHeight="1">
      <x:c r="A172" s="11" t="str">
        <x:v>09926.HK</x:v>
      </x:c>
      <x:c r="B172" s="11" t="str">
        <x:v>2026年底</x:v>
      </x:c>
      <x:c r="C172" s="11" t="str">
        <x:v>肺癌</x:v>
      </x:c>
      <x:c r="D172" s="11" t="n">
        <x:v>2032</x:v>
      </x:c>
      <x:c r="E172" s="11" t="n">
        <x:f>CHOOSE('假设'!$B$3,Q172,R172,S172)</x:f>
        <x:v>7.5</x:v>
      </x:c>
      <x:c r="F172" s="11" t="n">
        <x:f>'药物假设'!K27</x:f>
        <x:v>0.15</x:v>
      </x:c>
      <x:c r="G172" s="11" t="n">
        <x:f>1-'药物假设'!L27</x:f>
        <x:v>0.8</x:v>
      </x:c>
      <x:c r="H172" s="11" t="n">
        <x:f>'药物假设'!I27</x:f>
        <x:v>0.7</x:v>
      </x:c>
      <x:c r="I172" s="11" t="n">
        <x:f>E172*F172*G172*H172*'药物假设'!Q27</x:f>
        <x:v>0.63</x:v>
      </x:c>
      <x:c r="J172" s="11" t="str">
        <x:v>2026-12-31</x:v>
      </x:c>
      <x:c r="K172" s="11" t="n">
        <x:v>6.0013689253935665</x:v>
      </x:c>
      <x:c r="L172" s="11" t="n">
        <x:f>'药物假设'!M27</x:f>
        <x:v>0.12</x:v>
      </x:c>
      <x:c r="M172" s="11" t="n">
        <x:f>IF(O172,I172/(1+L172)^K172,0)</x:f>
        <x:v>0.31912809344257753</x:v>
      </x:c>
      <x:c r="N172" s="11" t="n">
        <x:f>M172*'药物假设'!N27</x:f>
        <x:v>2.170071035409527</x:v>
      </x:c>
      <x:c r="O172" s="26" t="b">
        <x:v>1</x:v>
      </x:c>
      <x:c r="P172" s="11" t="n">
        <x:f>27</x:f>
        <x:v>27</x:v>
      </x:c>
      <x:c r="Q172" s="16" t="n">
        <x:v>1.6</x:v>
      </x:c>
      <x:c r="R172" s="16" t="n">
        <x:v>7.5</x:v>
      </x:c>
      <x:c r="S172" s="16" t="n">
        <x:v>14</x:v>
      </x:c>
    </x:row>
    <x:row r="173" ht="23" customHeight="1">
      <x:c r="A173" s="11" t="str">
        <x:v>09926.HK</x:v>
      </x:c>
      <x:c r="B173" s="11" t="str">
        <x:v>2026年底</x:v>
      </x:c>
      <x:c r="C173" s="11" t="str">
        <x:v>肺癌</x:v>
      </x:c>
      <x:c r="D173" s="11" t="n">
        <x:v>2033</x:v>
      </x:c>
      <x:c r="E173" s="11" t="n">
        <x:f>CHOOSE('假设'!$B$3,Q173,R173,S173)</x:f>
        <x:v>9</x:v>
      </x:c>
      <x:c r="F173" s="11" t="n">
        <x:f>'药物假设'!K27</x:f>
        <x:v>0.15</x:v>
      </x:c>
      <x:c r="G173" s="11" t="n">
        <x:f>1-'药物假设'!L27</x:f>
        <x:v>0.8</x:v>
      </x:c>
      <x:c r="H173" s="11" t="n">
        <x:f>'药物假设'!I27</x:f>
        <x:v>0.7</x:v>
      </x:c>
      <x:c r="I173" s="11" t="n">
        <x:f>E173*F173*G173*H173*'药物假设'!Q27</x:f>
        <x:v>0.7559999999999999</x:v>
      </x:c>
      <x:c r="J173" s="11" t="str">
        <x:v>2026-12-31</x:v>
      </x:c>
      <x:c r="K173" s="11" t="n">
        <x:v>7.000684462696783</x:v>
      </x:c>
      <x:c r="L173" s="11" t="n">
        <x:f>'药物假设'!M27</x:f>
        <x:v>0.12</x:v>
      </x:c>
      <x:c r="M173" s="11" t="n">
        <x:f>IF(O173,I173/(1+L173)^K173,0)</x:f>
        <x:v>0.34194948099854466</x:v>
      </x:c>
      <x:c r="N173" s="11" t="n">
        <x:f>M173*'药物假设'!N27</x:f>
        <x:v>2.325256470790104</x:v>
      </x:c>
      <x:c r="O173" s="26" t="b">
        <x:v>1</x:v>
      </x:c>
      <x:c r="P173" s="11" t="n">
        <x:f>27</x:f>
        <x:v>27</x:v>
      </x:c>
      <x:c r="Q173" s="16" t="n">
        <x:v>1.8</x:v>
      </x:c>
      <x:c r="R173" s="16" t="n">
        <x:v>9</x:v>
      </x:c>
      <x:c r="S173" s="16" t="n">
        <x:v>16</x:v>
      </x:c>
    </x:row>
    <x:row r="174" ht="23" customHeight="1">
      <x:c r="A174" s="11" t="str">
        <x:v>09926.HK</x:v>
      </x:c>
      <x:c r="B174" s="11" t="str">
        <x:v>2026年底</x:v>
      </x:c>
      <x:c r="C174" s="11" t="str">
        <x:v>肺癌</x:v>
      </x:c>
      <x:c r="D174" s="11" t="n">
        <x:v>2034</x:v>
      </x:c>
      <x:c r="E174" s="11" t="n">
        <x:f>CHOOSE('假设'!$B$3,Q174,R174,S174)</x:f>
        <x:v>10</x:v>
      </x:c>
      <x:c r="F174" s="11" t="n">
        <x:f>'药物假设'!K27</x:f>
        <x:v>0.15</x:v>
      </x:c>
      <x:c r="G174" s="11" t="n">
        <x:f>1-'药物假设'!L27</x:f>
        <x:v>0.8</x:v>
      </x:c>
      <x:c r="H174" s="11" t="n">
        <x:f>'药物假设'!I27</x:f>
        <x:v>0.7</x:v>
      </x:c>
      <x:c r="I174" s="11" t="n">
        <x:f>E174*F174*G174*H174*'药物假设'!Q27</x:f>
        <x:v>0.8400000000000001</x:v>
      </x:c>
      <x:c r="J174" s="11" t="str">
        <x:v>2026-12-31</x:v>
      </x:c>
      <x:c r="K174" s="11" t="n">
        <x:v>8</x:v>
      </x:c>
      <x:c r="L174" s="11" t="n">
        <x:f>'药物假设'!M27</x:f>
        <x:v>0.12</x:v>
      </x:c>
      <x:c r="M174" s="11" t="n">
        <x:f>IF(O174,I174/(1+L174)^K174,0)</x:f>
        <x:v>0.33926191150267004</x:v>
      </x:c>
      <x:c r="N174" s="11" t="n">
        <x:f>M174*'药物假设'!N27</x:f>
        <x:v>2.3069809982181564</x:v>
      </x:c>
      <x:c r="O174" s="26" t="b">
        <x:v>1</x:v>
      </x:c>
      <x:c r="P174" s="11" t="n">
        <x:f>27</x:f>
        <x:v>27</x:v>
      </x:c>
      <x:c r="Q174" s="16" t="n">
        <x:v>1.9</x:v>
      </x:c>
      <x:c r="R174" s="16" t="n">
        <x:v>10</x:v>
      </x:c>
      <x:c r="S174" s="16" t="n">
        <x:v>18</x:v>
      </x:c>
    </x:row>
    <x:row r="175" ht="23" customHeight="1">
      <x:c r="A175" s="11" t="str">
        <x:v>09926.HK</x:v>
      </x:c>
      <x:c r="B175" s="11" t="str">
        <x:v>2026年底</x:v>
      </x:c>
      <x:c r="C175" s="11" t="str">
        <x:v>肺癌</x:v>
      </x:c>
      <x:c r="D175" s="11" t="n">
        <x:v>2035</x:v>
      </x:c>
      <x:c r="E175" s="11" t="n">
        <x:f>CHOOSE('假设'!$B$3,Q175,R175,S175)</x:f>
        <x:v>10.5</x:v>
      </x:c>
      <x:c r="F175" s="11" t="n">
        <x:f>'药物假设'!K27</x:f>
        <x:v>0.15</x:v>
      </x:c>
      <x:c r="G175" s="11" t="n">
        <x:f>1-'药物假设'!L27</x:f>
        <x:v>0.8</x:v>
      </x:c>
      <x:c r="H175" s="11" t="n">
        <x:f>'药物假设'!I27</x:f>
        <x:v>0.7</x:v>
      </x:c>
      <x:c r="I175" s="11" t="n">
        <x:f>E175*F175*G175*H175*'药物假设'!Q27</x:f>
        <x:v>0.8819999999999999</x:v>
      </x:c>
      <x:c r="J175" s="11" t="str">
        <x:v>2026-12-31</x:v>
      </x:c>
      <x:c r="K175" s="11" t="n">
        <x:v>8.999315537303216</x:v>
      </x:c>
      <x:c r="L175" s="11" t="n">
        <x:f>'药物假设'!M27</x:f>
        <x:v>0.12</x:v>
      </x:c>
      <x:c r="M175" s="11" t="n">
        <x:f>IF(O175,I175/(1+L175)^K175,0)</x:f>
        <x:v>0.3180827145168379</x:v>
      </x:c>
      <x:c r="N175" s="11" t="n">
        <x:f>M175*'药物假设'!N27</x:f>
        <x:v>2.1629624587144978</x:v>
      </x:c>
      <x:c r="O175" s="26" t="b">
        <x:v>1</x:v>
      </x:c>
      <x:c r="P175" s="11" t="n">
        <x:f>27</x:f>
        <x:v>27</x:v>
      </x:c>
      <x:c r="Q175" s="16" t="n">
        <x:v>1.9</x:v>
      </x:c>
      <x:c r="R175" s="16" t="n">
        <x:v>10.5</x:v>
      </x:c>
      <x:c r="S175" s="16" t="n">
        <x:v>19</x:v>
      </x:c>
    </x:row>
    <x:row r="176" ht="23" customHeight="1">
      <x:c r="A176" s="11" t="str">
        <x:v>09926.HK</x:v>
      </x:c>
      <x:c r="B176" s="11" t="str">
        <x:v>2026年底</x:v>
      </x:c>
      <x:c r="C176" s="11" t="str">
        <x:v>肺癌</x:v>
      </x:c>
      <x:c r="D176" s="11" t="n">
        <x:v>2036</x:v>
      </x:c>
      <x:c r="E176" s="11" t="n">
        <x:f>CHOOSE('假设'!$B$3,Q176,R176,S176)</x:f>
        <x:v>10.5</x:v>
      </x:c>
      <x:c r="F176" s="11" t="n">
        <x:f>'药物假设'!K27</x:f>
        <x:v>0.15</x:v>
      </x:c>
      <x:c r="G176" s="11" t="n">
        <x:f>1-'药物假设'!L27</x:f>
        <x:v>0.8</x:v>
      </x:c>
      <x:c r="H176" s="11" t="n">
        <x:f>'药物假设'!I27</x:f>
        <x:v>0.7</x:v>
      </x:c>
      <x:c r="I176" s="11" t="n">
        <x:f>E176*F176*G176*H176*'药物假设'!Q27</x:f>
        <x:v>0.8819999999999999</x:v>
      </x:c>
      <x:c r="J176" s="11" t="str">
        <x:v>2026-12-31</x:v>
      </x:c>
      <x:c r="K176" s="11" t="n">
        <x:v>10.001368925393566</x:v>
      </x:c>
      <x:c r="L176" s="11" t="n">
        <x:f>'药物假设'!M27</x:f>
        <x:v>0.12</x:v>
      </x:c>
      <x:c r="M176" s="11" t="n">
        <x:f>IF(O176,I176/(1+L176)^K176,0)</x:f>
        <x:v>0.2839363417934739</x:v>
      </x:c>
      <x:c r="N176" s="11" t="n">
        <x:f>M176*'药物假设'!N27</x:f>
        <x:v>1.9307671241956224</x:v>
      </x:c>
      <x:c r="O176" s="26" t="b">
        <x:v>1</x:v>
      </x:c>
      <x:c r="P176" s="11" t="n">
        <x:f>27</x:f>
        <x:v>27</x:v>
      </x:c>
      <x:c r="Q176" s="16" t="n">
        <x:v>1.8</x:v>
      </x:c>
      <x:c r="R176" s="16" t="n">
        <x:v>10.5</x:v>
      </x:c>
      <x:c r="S176" s="16" t="n">
        <x:v>19</x:v>
      </x:c>
    </x:row>
    <x:row r="177" ht="23" customHeight="1">
      <x:c r="A177" s="11" t="str">
        <x:v>09926.HK</x:v>
      </x:c>
      <x:c r="B177" s="11" t="str">
        <x:v>2026年底</x:v>
      </x:c>
      <x:c r="C177" s="11" t="str">
        <x:v>肺癌</x:v>
      </x:c>
      <x:c r="D177" s="11" t="n">
        <x:v>2037</x:v>
      </x:c>
      <x:c r="E177" s="11" t="n">
        <x:f>CHOOSE('假设'!$B$3,Q177,R177,S177)</x:f>
        <x:v>10</x:v>
      </x:c>
      <x:c r="F177" s="11" t="n">
        <x:f>'药物假设'!K27</x:f>
        <x:v>0.15</x:v>
      </x:c>
      <x:c r="G177" s="11" t="n">
        <x:f>1-'药物假设'!L27</x:f>
        <x:v>0.8</x:v>
      </x:c>
      <x:c r="H177" s="11" t="n">
        <x:f>'药物假设'!I27</x:f>
        <x:v>0.7</x:v>
      </x:c>
      <x:c r="I177" s="11" t="n">
        <x:f>E177*F177*G177*H177*'药物假设'!Q27</x:f>
        <x:v>0.8400000000000001</x:v>
      </x:c>
      <x:c r="J177" s="11" t="str">
        <x:v>2026-12-31</x:v>
      </x:c>
      <x:c r="K177" s="11" t="n">
        <x:v>11.000684462696784</x:v>
      </x:c>
      <x:c r="L177" s="11" t="n">
        <x:f>'药物假设'!M27</x:f>
        <x:v>0.12</x:v>
      </x:c>
      <x:c r="M177" s="11" t="n">
        <x:f>IF(O177,I177/(1+L177)^K177,0)</x:f>
        <x:v>0.2414611967508049</x:v>
      </x:c>
      <x:c r="N177" s="11" t="n">
        <x:f>M177*'药物假设'!N27</x:f>
        <x:v>1.6419361379054733</x:v>
      </x:c>
      <x:c r="O177" s="26" t="b">
        <x:v>1</x:v>
      </x:c>
      <x:c r="P177" s="11" t="n">
        <x:f>27</x:f>
        <x:v>27</x:v>
      </x:c>
      <x:c r="Q177" s="16" t="n">
        <x:v>1.7</x:v>
      </x:c>
      <x:c r="R177" s="16" t="n">
        <x:v>10</x:v>
      </x:c>
      <x:c r="S177" s="16" t="n">
        <x:v>18</x:v>
      </x:c>
    </x:row>
    <x:row r="178" ht="23" customHeight="1">
      <x:c r="A178" s="11" t="str">
        <x:v>09926.HK</x:v>
      </x:c>
      <x:c r="B178" s="11" t="str">
        <x:v>2026年底</x:v>
      </x:c>
      <x:c r="C178" s="11" t="str">
        <x:v>肺癌</x:v>
      </x:c>
      <x:c r="D178" s="11" t="n">
        <x:v>2038</x:v>
      </x:c>
      <x:c r="E178" s="11" t="n">
        <x:f>CHOOSE('假设'!$B$3,Q178,R178,S178)</x:f>
        <x:v>9</x:v>
      </x:c>
      <x:c r="F178" s="11" t="n">
        <x:f>'药物假设'!K27</x:f>
        <x:v>0.15</x:v>
      </x:c>
      <x:c r="G178" s="11" t="n">
        <x:f>1-'药物假设'!L27</x:f>
        <x:v>0.8</x:v>
      </x:c>
      <x:c r="H178" s="11" t="n">
        <x:f>'药物假设'!I27</x:f>
        <x:v>0.7</x:v>
      </x:c>
      <x:c r="I178" s="11" t="n">
        <x:f>E178*F178*G178*H178*'药物假设'!Q27</x:f>
        <x:v>0.7559999999999999</x:v>
      </x:c>
      <x:c r="J178" s="11" t="str">
        <x:v>2026-12-31</x:v>
      </x:c>
      <x:c r="K178" s="11" t="n">
        <x:v>12</x:v>
      </x:c>
      <x:c r="L178" s="11" t="n">
        <x:f>'药物假设'!M27</x:f>
        <x:v>0.12</x:v>
      </x:c>
      <x:c r="M178" s="11" t="n">
        <x:f>IF(O178,I178/(1+L178)^K178,0)</x:f>
        <x:v>0.19404637026671398</x:v>
      </x:c>
      <x:c r="N178" s="11" t="n">
        <x:f>M178*'药物假设'!N27</x:f>
        <x:v>1.319515317813655</x:v>
      </x:c>
      <x:c r="O178" s="26" t="b">
        <x:v>1</x:v>
      </x:c>
      <x:c r="P178" s="11" t="n">
        <x:f>27</x:f>
        <x:v>27</x:v>
      </x:c>
      <x:c r="Q178" s="16" t="n">
        <x:v>1.5</x:v>
      </x:c>
      <x:c r="R178" s="16" t="n">
        <x:v>9</x:v>
      </x:c>
      <x:c r="S178" s="16" t="n">
        <x:v>17</x:v>
      </x:c>
    </x:row>
    <x:row r="179" ht="23" customHeight="1">
      <x:c r="A179" s="11" t="str">
        <x:v>09926.HK</x:v>
      </x:c>
      <x:c r="B179" s="11" t="str">
        <x:v>2026年底</x:v>
      </x:c>
      <x:c r="C179" s="11" t="str">
        <x:v>肺癌</x:v>
      </x:c>
      <x:c r="D179" s="11" t="n">
        <x:v>2039</x:v>
      </x:c>
      <x:c r="E179" s="11" t="n">
        <x:f>CHOOSE('假设'!$B$3,Q179,R179,S179)</x:f>
        <x:v>8</x:v>
      </x:c>
      <x:c r="F179" s="11" t="n">
        <x:f>'药物假设'!K27</x:f>
        <x:v>0.15</x:v>
      </x:c>
      <x:c r="G179" s="11" t="n">
        <x:f>1-'药物假设'!L27</x:f>
        <x:v>0.8</x:v>
      </x:c>
      <x:c r="H179" s="11" t="n">
        <x:f>'药物假设'!I27</x:f>
        <x:v>0.7</x:v>
      </x:c>
      <x:c r="I179" s="11" t="n">
        <x:f>E179*F179*G179*H179*'药物假设'!Q27</x:f>
        <x:v>0.6719999999999999</x:v>
      </x:c>
      <x:c r="J179" s="11" t="str">
        <x:v>2026-12-31</x:v>
      </x:c>
      <x:c r="K179" s="11" t="n">
        <x:v>12.999315537303216</x:v>
      </x:c>
      <x:c r="L179" s="11" t="n">
        <x:f>'药物假设'!M27</x:f>
        <x:v>0.12</x:v>
      </x:c>
      <x:c r="M179" s="11" t="n">
        <x:f>IF(O179,I179/(1+L179)^K179,0)</x:f>
        <x:v>0.15401700228840634</x:v>
      </x:c>
      <x:c r="N179" s="11" t="n">
        <x:f>M179*'药物假设'!N27</x:f>
        <x:v>1.0473156155611631</x:v>
      </x:c>
      <x:c r="O179" s="26" t="b">
        <x:v>1</x:v>
      </x:c>
      <x:c r="P179" s="11" t="n">
        <x:f>27</x:f>
        <x:v>27</x:v>
      </x:c>
      <x:c r="Q179" s="16" t="n">
        <x:v>1.2</x:v>
      </x:c>
      <x:c r="R179" s="16" t="n">
        <x:v>8</x:v>
      </x:c>
      <x:c r="S179" s="16" t="n">
        <x:v>15</x:v>
      </x:c>
    </x:row>
    <x:row r="180" ht="23" customHeight="1">
      <x:c r="A180" s="11" t="str">
        <x:v>09926.HK</x:v>
      </x:c>
      <x:c r="B180" s="11" t="str">
        <x:v>2026年底</x:v>
      </x:c>
      <x:c r="C180" s="11" t="str">
        <x:v>肺癌</x:v>
      </x:c>
      <x:c r="D180" s="11" t="n">
        <x:v>2040</x:v>
      </x:c>
      <x:c r="E180" s="11" t="n">
        <x:f>CHOOSE('假设'!$B$3,Q180,R180,S180)</x:f>
        <x:v>6.5</x:v>
      </x:c>
      <x:c r="F180" s="11" t="n">
        <x:f>'药物假设'!K27</x:f>
        <x:v>0.15</x:v>
      </x:c>
      <x:c r="G180" s="11" t="n">
        <x:f>1-'药物假设'!L27</x:f>
        <x:v>0.8</x:v>
      </x:c>
      <x:c r="H180" s="11" t="n">
        <x:f>'药物假设'!I27</x:f>
        <x:v>0.7</x:v>
      </x:c>
      <x:c r="I180" s="11" t="n">
        <x:f>E180*F180*G180*H180*'药物假设'!Q27</x:f>
        <x:v>0.5459999999999999</x:v>
      </x:c>
      <x:c r="J180" s="11" t="str">
        <x:v>2026-12-31</x:v>
      </x:c>
      <x:c r="K180" s="11" t="n">
        <x:v>14.001368925393566</x:v>
      </x:c>
      <x:c r="L180" s="11" t="n">
        <x:f>'药物假设'!M27</x:f>
        <x:v>0.12</x:v>
      </x:c>
      <x:c r="M180" s="11" t="n">
        <x:f>IF(O180,I180/(1+L180)^K180,0)</x:f>
        <x:v>0.11170508658269125</x:v>
      </x:c>
      <x:c r="N180" s="11" t="n">
        <x:f>M180*'药物假设'!N27</x:f>
        <x:v>0.7595945887623005</x:v>
      </x:c>
      <x:c r="O180" s="26" t="b">
        <x:v>1</x:v>
      </x:c>
      <x:c r="P180" s="11" t="n">
        <x:f>27</x:f>
        <x:v>27</x:v>
      </x:c>
      <x:c r="Q180" s="16" t="n">
        <x:v>0.9</x:v>
      </x:c>
      <x:c r="R180" s="16" t="n">
        <x:v>6.5</x:v>
      </x:c>
      <x:c r="S180" s="16" t="n">
        <x:v>12</x:v>
      </x:c>
    </x:row>
    <x:row r="181" ht="23" customHeight="1">
      <x:c r="A181" s="11" t="str">
        <x:v>09926.HK</x:v>
      </x:c>
      <x:c r="B181" s="11" t="str">
        <x:v>2026年底</x:v>
      </x:c>
      <x:c r="C181" s="11" t="str">
        <x:v>肺癌</x:v>
      </x:c>
      <x:c r="D181" s="11" t="n">
        <x:v>2041</x:v>
      </x:c>
      <x:c r="E181" s="11" t="n">
        <x:f>CHOOSE('假设'!$B$3,Q181,R181,S181)</x:f>
        <x:v>5</x:v>
      </x:c>
      <x:c r="F181" s="11" t="n">
        <x:f>'药物假设'!K27</x:f>
        <x:v>0.15</x:v>
      </x:c>
      <x:c r="G181" s="11" t="n">
        <x:f>1-'药物假设'!L27</x:f>
        <x:v>0.8</x:v>
      </x:c>
      <x:c r="H181" s="11" t="n">
        <x:f>'药物假设'!I27</x:f>
        <x:v>0.7</x:v>
      </x:c>
      <x:c r="I181" s="11" t="n">
        <x:f>E181*F181*G181*H181*'药物假设'!Q27</x:f>
        <x:v>0.42000000000000004</x:v>
      </x:c>
      <x:c r="J181" s="11" t="str">
        <x:v>2026-12-31</x:v>
      </x:c>
      <x:c r="K181" s="11" t="n">
        <x:v>15.000684462696784</x:v>
      </x:c>
      <x:c r="L181" s="11" t="n">
        <x:f>'药物假设'!M27</x:f>
        <x:v>0.12</x:v>
      </x:c>
      <x:c r="M181" s="11" t="n">
        <x:f>IF(O181,I181/(1+L181)^K181,0)</x:f>
        <x:v>0.07672647788420119</x:v>
      </x:c>
      <x:c r="N181" s="11" t="n">
        <x:f>M181*'药物假设'!N27</x:f>
        <x:v>0.521740049612568</x:v>
      </x:c>
      <x:c r="O181" s="26" t="b">
        <x:v>1</x:v>
      </x:c>
      <x:c r="P181" s="11" t="n">
        <x:f>27</x:f>
        <x:v>27</x:v>
      </x:c>
      <x:c r="Q181" s="16" t="n">
        <x:v>0.6</x:v>
      </x:c>
      <x:c r="R181" s="16" t="n">
        <x:v>5</x:v>
      </x:c>
      <x:c r="S181" s="16" t="n">
        <x:v>9</x:v>
      </x:c>
    </x:row>
    <x:row r="182" ht="23" customHeight="1">
      <x:c r="A182" s="11" t="str">
        <x:v>09926.HK</x:v>
      </x:c>
      <x:c r="B182" s="11" t="str">
        <x:v>2026年底</x:v>
      </x:c>
      <x:c r="C182" s="11" t="str">
        <x:v>肺癌</x:v>
      </x:c>
      <x:c r="D182" s="11" t="n">
        <x:v>2042</x:v>
      </x:c>
      <x:c r="E182" s="11" t="n">
        <x:f>CHOOSE('假设'!$B$3,Q182,R182,S182)</x:f>
        <x:v>3</x:v>
      </x:c>
      <x:c r="F182" s="11" t="n">
        <x:f>'药物假设'!K27</x:f>
        <x:v>0.15</x:v>
      </x:c>
      <x:c r="G182" s="11" t="n">
        <x:f>1-'药物假设'!L27</x:f>
        <x:v>0.8</x:v>
      </x:c>
      <x:c r="H182" s="11" t="n">
        <x:f>'药物假设'!I27</x:f>
        <x:v>0.7</x:v>
      </x:c>
      <x:c r="I182" s="11" t="n">
        <x:f>E182*F182*G182*H182*'药物假设'!Q27</x:f>
        <x:v>0.252</x:v>
      </x:c>
      <x:c r="J182" s="11" t="str">
        <x:v>2026-12-31</x:v>
      </x:c>
      <x:c r="K182" s="11" t="n">
        <x:v>16</x:v>
      </x:c>
      <x:c r="L182" s="11" t="n">
        <x:f>'药物假设'!M27</x:f>
        <x:v>0.12</x:v>
      </x:c>
      <x:c r="M182" s="11" t="n">
        <x:f>IF(O182,I182/(1+L182)^K182,0)</x:f>
        <x:v>0.04110665878444481</x:v>
      </x:c>
      <x:c r="N182" s="11" t="n">
        <x:f>M182*'药物假设'!N27</x:f>
        <x:v>0.2795252797342247</x:v>
      </x:c>
      <x:c r="O182" s="26" t="b">
        <x:v>1</x:v>
      </x:c>
      <x:c r="P182" s="11" t="n">
        <x:f>27</x:f>
        <x:v>27</x:v>
      </x:c>
      <x:c r="Q182" s="16" t="n">
        <x:v>0.3</x:v>
      </x:c>
      <x:c r="R182" s="16" t="n">
        <x:v>3</x:v>
      </x:c>
      <x:c r="S182" s="16" t="n">
        <x:v>6</x:v>
      </x:c>
    </x:row>
    <x:row r="183" ht="23" customHeight="1">
      <x:c r="A183" s="11" t="str">
        <x:v>09926.HK</x:v>
      </x:c>
      <x:c r="B183" s="11" t="str">
        <x:v>2026年底</x:v>
      </x:c>
      <x:c r="C183" s="11" t="str">
        <x:v>其他适应症</x:v>
      </x:c>
      <x:c r="D183" s="11" t="n">
        <x:v>2027</x:v>
      </x:c>
      <x:c r="E183" s="11" t="n">
        <x:f>CHOOSE('假设'!$B$3,Q183,R183,S183)</x:f>
        <x:v>0</x:v>
      </x:c>
      <x:c r="F183" s="11" t="n">
        <x:f>'药物假设'!K27</x:f>
        <x:v>0.15</x:v>
      </x:c>
      <x:c r="G183" s="11" t="n">
        <x:f>1-'药物假设'!L27</x:f>
        <x:v>0.8</x:v>
      </x:c>
      <x:c r="H183" s="11" t="n">
        <x:f>'药物假设'!J27</x:f>
        <x:v>0.25</x:v>
      </x:c>
      <x:c r="I183" s="11" t="n">
        <x:f>E183*F183*G183*H183*'药物假设'!Q27</x:f>
        <x:v>0</x:v>
      </x:c>
      <x:c r="J183" s="11" t="str">
        <x:v>2026-12-31</x:v>
      </x:c>
      <x:c r="K183" s="11" t="n">
        <x:v>0.999315537303217</x:v>
      </x:c>
      <x:c r="L183" s="11" t="n">
        <x:f>'药物假设'!M27</x:f>
        <x:v>0.12</x:v>
      </x:c>
      <x:c r="M183" s="11" t="n">
        <x:f>IF(O183,I183/(1+L183)^K183,0)</x:f>
        <x:v>0</x:v>
      </x:c>
      <x:c r="N183" s="11" t="n">
        <x:f>M183*'药物假设'!N27</x:f>
        <x:v>0</x:v>
      </x:c>
      <x:c r="O183" s="26" t="b">
        <x:v>1</x:v>
      </x:c>
      <x:c r="P183" s="11" t="n">
        <x:f>27</x:f>
        <x:v>27</x:v>
      </x:c>
      <x:c r="Q183" s="16" t="n">
        <x:v>0</x:v>
      </x:c>
      <x:c r="R183" s="16" t="n">
        <x:v>0</x:v>
      </x:c>
      <x:c r="S183" s="16" t="n">
        <x:v>0</x:v>
      </x:c>
    </x:row>
    <x:row r="184" ht="23" customHeight="1">
      <x:c r="A184" s="11" t="str">
        <x:v>09926.HK</x:v>
      </x:c>
      <x:c r="B184" s="11" t="str">
        <x:v>2026年底</x:v>
      </x:c>
      <x:c r="C184" s="11" t="str">
        <x:v>其他适应症</x:v>
      </x:c>
      <x:c r="D184" s="11" t="n">
        <x:v>2028</x:v>
      </x:c>
      <x:c r="E184" s="11" t="n">
        <x:f>CHOOSE('假设'!$B$3,Q184,R184,S184)</x:f>
        <x:v>0</x:v>
      </x:c>
      <x:c r="F184" s="11" t="n">
        <x:f>'药物假设'!K27</x:f>
        <x:v>0.15</x:v>
      </x:c>
      <x:c r="G184" s="11" t="n">
        <x:f>1-'药物假设'!L27</x:f>
        <x:v>0.8</x:v>
      </x:c>
      <x:c r="H184" s="11" t="n">
        <x:f>'药物假设'!J27</x:f>
        <x:v>0.25</x:v>
      </x:c>
      <x:c r="I184" s="11" t="n">
        <x:f>E184*F184*G184*H184*'药物假设'!Q27</x:f>
        <x:v>0</x:v>
      </x:c>
      <x:c r="J184" s="11" t="str">
        <x:v>2026-12-31</x:v>
      </x:c>
      <x:c r="K184" s="11" t="n">
        <x:v>2.001368925393566</x:v>
      </x:c>
      <x:c r="L184" s="11" t="n">
        <x:f>'药物假设'!M27</x:f>
        <x:v>0.12</x:v>
      </x:c>
      <x:c r="M184" s="11" t="n">
        <x:f>IF(O184,I184/(1+L184)^K184,0)</x:f>
        <x:v>0</x:v>
      </x:c>
      <x:c r="N184" s="11" t="n">
        <x:f>M184*'药物假设'!N27</x:f>
        <x:v>0</x:v>
      </x:c>
      <x:c r="O184" s="26" t="b">
        <x:v>1</x:v>
      </x:c>
      <x:c r="P184" s="11" t="n">
        <x:f>27</x:f>
        <x:v>27</x:v>
      </x:c>
      <x:c r="Q184" s="16" t="n">
        <x:v>0</x:v>
      </x:c>
      <x:c r="R184" s="16" t="n">
        <x:v>0</x:v>
      </x:c>
      <x:c r="S184" s="16" t="n">
        <x:v>0</x:v>
      </x:c>
    </x:row>
    <x:row r="185" ht="23" customHeight="1">
      <x:c r="A185" s="11" t="str">
        <x:v>09926.HK</x:v>
      </x:c>
      <x:c r="B185" s="11" t="str">
        <x:v>2026年底</x:v>
      </x:c>
      <x:c r="C185" s="11" t="str">
        <x:v>其他适应症</x:v>
      </x:c>
      <x:c r="D185" s="11" t="n">
        <x:v>2029</x:v>
      </x:c>
      <x:c r="E185" s="11" t="n">
        <x:f>CHOOSE('假设'!$B$3,Q185,R185,S185)</x:f>
        <x:v>0</x:v>
      </x:c>
      <x:c r="F185" s="11" t="n">
        <x:f>'药物假设'!K27</x:f>
        <x:v>0.15</x:v>
      </x:c>
      <x:c r="G185" s="11" t="n">
        <x:f>1-'药物假设'!L27</x:f>
        <x:v>0.8</x:v>
      </x:c>
      <x:c r="H185" s="11" t="n">
        <x:f>'药物假设'!J27</x:f>
        <x:v>0.25</x:v>
      </x:c>
      <x:c r="I185" s="11" t="n">
        <x:f>E185*F185*G185*H185*'药物假设'!Q27</x:f>
        <x:v>0</x:v>
      </x:c>
      <x:c r="J185" s="11" t="str">
        <x:v>2026-12-31</x:v>
      </x:c>
      <x:c r="K185" s="11" t="n">
        <x:v>3.0006844626967832</x:v>
      </x:c>
      <x:c r="L185" s="11" t="n">
        <x:f>'药物假设'!M27</x:f>
        <x:v>0.12</x:v>
      </x:c>
      <x:c r="M185" s="11" t="n">
        <x:f>IF(O185,I185/(1+L185)^K185,0)</x:f>
        <x:v>0</x:v>
      </x:c>
      <x:c r="N185" s="11" t="n">
        <x:f>M185*'药物假设'!N27</x:f>
        <x:v>0</x:v>
      </x:c>
      <x:c r="O185" s="26" t="b">
        <x:v>1</x:v>
      </x:c>
      <x:c r="P185" s="11" t="n">
        <x:f>27</x:f>
        <x:v>27</x:v>
      </x:c>
      <x:c r="Q185" s="16" t="n">
        <x:v>0</x:v>
      </x:c>
      <x:c r="R185" s="16" t="n">
        <x:v>0</x:v>
      </x:c>
      <x:c r="S185" s="16" t="n">
        <x:v>0.3</x:v>
      </x:c>
    </x:row>
    <x:row r="186" ht="23" customHeight="1">
      <x:c r="A186" s="11" t="str">
        <x:v>09926.HK</x:v>
      </x:c>
      <x:c r="B186" s="11" t="str">
        <x:v>2026年底</x:v>
      </x:c>
      <x:c r="C186" s="11" t="str">
        <x:v>其他适应症</x:v>
      </x:c>
      <x:c r="D186" s="11" t="n">
        <x:v>2030</x:v>
      </x:c>
      <x:c r="E186" s="11" t="n">
        <x:f>CHOOSE('假设'!$B$3,Q186,R186,S186)</x:f>
        <x:v>0.3</x:v>
      </x:c>
      <x:c r="F186" s="11" t="n">
        <x:f>'药物假设'!K27</x:f>
        <x:v>0.15</x:v>
      </x:c>
      <x:c r="G186" s="11" t="n">
        <x:f>1-'药物假设'!L27</x:f>
        <x:v>0.8</x:v>
      </x:c>
      <x:c r="H186" s="11" t="n">
        <x:f>'药物假设'!J27</x:f>
        <x:v>0.25</x:v>
      </x:c>
      <x:c r="I186" s="11" t="n">
        <x:f>E186*F186*G186*H186*'药物假设'!Q27</x:f>
        <x:v>0.009</x:v>
      </x:c>
      <x:c r="J186" s="11" t="str">
        <x:v>2026-12-31</x:v>
      </x:c>
      <x:c r="K186" s="11" t="n">
        <x:v>4</x:v>
      </x:c>
      <x:c r="L186" s="11" t="n">
        <x:f>'药物假设'!M27</x:f>
        <x:v>0.12</x:v>
      </x:c>
      <x:c r="M186" s="11" t="n">
        <x:f>IF(O186,I186/(1+L186)^K186,0)</x:f>
        <x:v>0.005719662705643479</x:v>
      </x:c>
      <x:c r="N186" s="11" t="n">
        <x:f>M186*'药物假设'!N27</x:f>
        <x:v>0.03889370639837566</x:v>
      </x:c>
      <x:c r="O186" s="26" t="b">
        <x:v>1</x:v>
      </x:c>
      <x:c r="P186" s="11" t="n">
        <x:f>27</x:f>
        <x:v>27</x:v>
      </x:c>
      <x:c r="Q186" s="16" t="n">
        <x:v>0</x:v>
      </x:c>
      <x:c r="R186" s="16" t="n">
        <x:v>0.3</x:v>
      </x:c>
      <x:c r="S186" s="16" t="n">
        <x:v>1</x:v>
      </x:c>
    </x:row>
    <x:row r="187" ht="23" customHeight="1">
      <x:c r="A187" s="11" t="str">
        <x:v>09926.HK</x:v>
      </x:c>
      <x:c r="B187" s="11" t="str">
        <x:v>2026年底</x:v>
      </x:c>
      <x:c r="C187" s="11" t="str">
        <x:v>其他适应症</x:v>
      </x:c>
      <x:c r="D187" s="11" t="n">
        <x:v>2031</x:v>
      </x:c>
      <x:c r="E187" s="11" t="n">
        <x:f>CHOOSE('假设'!$B$3,Q187,R187,S187)</x:f>
        <x:v>0.8</x:v>
      </x:c>
      <x:c r="F187" s="11" t="n">
        <x:f>'药物假设'!K27</x:f>
        <x:v>0.15</x:v>
      </x:c>
      <x:c r="G187" s="11" t="n">
        <x:f>1-'药物假设'!L27</x:f>
        <x:v>0.8</x:v>
      </x:c>
      <x:c r="H187" s="11" t="n">
        <x:f>'药物假设'!J27</x:f>
        <x:v>0.25</x:v>
      </x:c>
      <x:c r="I187" s="11" t="n">
        <x:f>E187*F187*G187*H187*'药物假设'!Q27</x:f>
        <x:v>0.024</x:v>
      </x:c>
      <x:c r="J187" s="11" t="str">
        <x:v>2026-12-31</x:v>
      </x:c>
      <x:c r="K187" s="11" t="n">
        <x:v>4.999315537303217</x:v>
      </x:c>
      <x:c r="L187" s="11" t="n">
        <x:f>'药物假设'!M27</x:f>
        <x:v>0.12</x:v>
      </x:c>
      <x:c r="M187" s="11" t="n">
        <x:f>IF(O187,I187/(1+L187)^K187,0)</x:f>
        <x:v>0.013619300935335992</x:v>
      </x:c>
      <x:c r="N187" s="11" t="n">
        <x:f>M187*'药物假设'!N27</x:f>
        <x:v>0.09261124636028474</x:v>
      </x:c>
      <x:c r="O187" s="26" t="b">
        <x:v>1</x:v>
      </x:c>
      <x:c r="P187" s="11" t="n">
        <x:f>27</x:f>
        <x:v>27</x:v>
      </x:c>
      <x:c r="Q187" s="16" t="n">
        <x:v>0</x:v>
      </x:c>
      <x:c r="R187" s="16" t="n">
        <x:v>0.8</x:v>
      </x:c>
      <x:c r="S187" s="16" t="n">
        <x:v>2.5</x:v>
      </x:c>
    </x:row>
    <x:row r="188" ht="23" customHeight="1">
      <x:c r="A188" s="11" t="str">
        <x:v>09926.HK</x:v>
      </x:c>
      <x:c r="B188" s="11" t="str">
        <x:v>2026年底</x:v>
      </x:c>
      <x:c r="C188" s="11" t="str">
        <x:v>其他适应症</x:v>
      </x:c>
      <x:c r="D188" s="11" t="n">
        <x:v>2032</x:v>
      </x:c>
      <x:c r="E188" s="11" t="n">
        <x:f>CHOOSE('假设'!$B$3,Q188,R188,S188)</x:f>
        <x:v>1.5</x:v>
      </x:c>
      <x:c r="F188" s="11" t="n">
        <x:f>'药物假设'!K27</x:f>
        <x:v>0.15</x:v>
      </x:c>
      <x:c r="G188" s="11" t="n">
        <x:f>1-'药物假设'!L27</x:f>
        <x:v>0.8</x:v>
      </x:c>
      <x:c r="H188" s="11" t="n">
        <x:f>'药物假设'!J27</x:f>
        <x:v>0.25</x:v>
      </x:c>
      <x:c r="I188" s="11" t="n">
        <x:f>E188*F188*G188*H188*'药物假设'!Q27</x:f>
        <x:v>0.045</x:v>
      </x:c>
      <x:c r="J188" s="11" t="str">
        <x:v>2026-12-31</x:v>
      </x:c>
      <x:c r="K188" s="11" t="n">
        <x:v>6.0013689253935665</x:v>
      </x:c>
      <x:c r="L188" s="11" t="n">
        <x:f>'药物假设'!M27</x:f>
        <x:v>0.12</x:v>
      </x:c>
      <x:c r="M188" s="11" t="n">
        <x:f>IF(O188,I188/(1+L188)^K188,0)</x:f>
        <x:v>0.022794863817326965</x:v>
      </x:c>
      <x:c r="N188" s="11" t="n">
        <x:f>M188*'药物假设'!N27</x:f>
        <x:v>0.15500507395782337</x:v>
      </x:c>
      <x:c r="O188" s="26" t="b">
        <x:v>1</x:v>
      </x:c>
      <x:c r="P188" s="11" t="n">
        <x:f>27</x:f>
        <x:v>27</x:v>
      </x:c>
      <x:c r="Q188" s="16" t="n">
        <x:v>0.1</x:v>
      </x:c>
      <x:c r="R188" s="16" t="n">
        <x:v>1.5</x:v>
      </x:c>
      <x:c r="S188" s="16" t="n">
        <x:v>5</x:v>
      </x:c>
    </x:row>
    <x:row r="189" ht="23" customHeight="1">
      <x:c r="A189" s="11" t="str">
        <x:v>09926.HK</x:v>
      </x:c>
      <x:c r="B189" s="11" t="str">
        <x:v>2026年底</x:v>
      </x:c>
      <x:c r="C189" s="11" t="str">
        <x:v>其他适应症</x:v>
      </x:c>
      <x:c r="D189" s="11" t="n">
        <x:v>2033</x:v>
      </x:c>
      <x:c r="E189" s="11" t="n">
        <x:f>CHOOSE('假设'!$B$3,Q189,R189,S189)</x:f>
        <x:v>2.5</x:v>
      </x:c>
      <x:c r="F189" s="11" t="n">
        <x:f>'药物假设'!K27</x:f>
        <x:v>0.15</x:v>
      </x:c>
      <x:c r="G189" s="11" t="n">
        <x:f>1-'药物假设'!L27</x:f>
        <x:v>0.8</x:v>
      </x:c>
      <x:c r="H189" s="11" t="n">
        <x:f>'药物假设'!J27</x:f>
        <x:v>0.25</x:v>
      </x:c>
      <x:c r="I189" s="11" t="n">
        <x:f>E189*F189*G189*H189*'药物假设'!Q27</x:f>
        <x:v>0.07500000000000001</x:v>
      </x:c>
      <x:c r="J189" s="11" t="str">
        <x:v>2026-12-31</x:v>
      </x:c>
      <x:c r="K189" s="11" t="n">
        <x:v>7.000684462696783</x:v>
      </x:c>
      <x:c r="L189" s="11" t="n">
        <x:f>'药物假设'!M27</x:f>
        <x:v>0.12</x:v>
      </x:c>
      <x:c r="M189" s="11" t="n">
        <x:f>IF(O189,I189/(1+L189)^K189,0)</x:f>
        <x:v>0.0339235596228715</x:v>
      </x:c>
      <x:c r="N189" s="11" t="n">
        <x:f>M189*'药物假设'!N27</x:f>
        <x:v>0.23068020543552623</x:v>
      </x:c>
      <x:c r="O189" s="26" t="b">
        <x:v>1</x:v>
      </x:c>
      <x:c r="P189" s="11" t="n">
        <x:f>27</x:f>
        <x:v>27</x:v>
      </x:c>
      <x:c r="Q189" s="16" t="n">
        <x:v>0.2</x:v>
      </x:c>
      <x:c r="R189" s="16" t="n">
        <x:v>2.5</x:v>
      </x:c>
      <x:c r="S189" s="16" t="n">
        <x:v>7.5</x:v>
      </x:c>
    </x:row>
    <x:row r="190" ht="23" customHeight="1">
      <x:c r="A190" s="11" t="str">
        <x:v>09926.HK</x:v>
      </x:c>
      <x:c r="B190" s="11" t="str">
        <x:v>2026年底</x:v>
      </x:c>
      <x:c r="C190" s="11" t="str">
        <x:v>其他适应症</x:v>
      </x:c>
      <x:c r="D190" s="11" t="n">
        <x:v>2034</x:v>
      </x:c>
      <x:c r="E190" s="11" t="n">
        <x:f>CHOOSE('假设'!$B$3,Q190,R190,S190)</x:f>
        <x:v>3.5</x:v>
      </x:c>
      <x:c r="F190" s="11" t="n">
        <x:f>'药物假设'!K27</x:f>
        <x:v>0.15</x:v>
      </x:c>
      <x:c r="G190" s="11" t="n">
        <x:f>1-'药物假设'!L27</x:f>
        <x:v>0.8</x:v>
      </x:c>
      <x:c r="H190" s="11" t="n">
        <x:f>'药物假设'!J27</x:f>
        <x:v>0.25</x:v>
      </x:c>
      <x:c r="I190" s="11" t="n">
        <x:f>E190*F190*G190*H190*'药物假设'!Q27</x:f>
        <x:v>0.10500000000000001</x:v>
      </x:c>
      <x:c r="J190" s="11" t="str">
        <x:v>2026-12-31</x:v>
      </x:c>
      <x:c r="K190" s="11" t="n">
        <x:v>8</x:v>
      </x:c>
      <x:c r="L190" s="11" t="n">
        <x:f>'药物假设'!M27</x:f>
        <x:v>0.12</x:v>
      </x:c>
      <x:c r="M190" s="11" t="n">
        <x:f>IF(O190,I190/(1+L190)^K190,0)</x:f>
        <x:v>0.042407738937833755</x:v>
      </x:c>
      <x:c r="N190" s="11" t="n">
        <x:f>M190*'药物假设'!N27</x:f>
        <x:v>0.28837262477726955</x:v>
      </x:c>
      <x:c r="O190" s="26" t="b">
        <x:v>1</x:v>
      </x:c>
      <x:c r="P190" s="11" t="n">
        <x:f>27</x:f>
        <x:v>27</x:v>
      </x:c>
      <x:c r="Q190" s="16" t="n">
        <x:v>0.3</x:v>
      </x:c>
      <x:c r="R190" s="16" t="n">
        <x:v>3.5</x:v>
      </x:c>
      <x:c r="S190" s="16" t="n">
        <x:v>10</x:v>
      </x:c>
    </x:row>
    <x:row r="191" ht="23" customHeight="1">
      <x:c r="A191" s="11" t="str">
        <x:v>09926.HK</x:v>
      </x:c>
      <x:c r="B191" s="11" t="str">
        <x:v>2026年底</x:v>
      </x:c>
      <x:c r="C191" s="11" t="str">
        <x:v>其他适应症</x:v>
      </x:c>
      <x:c r="D191" s="11" t="n">
        <x:v>2035</x:v>
      </x:c>
      <x:c r="E191" s="11" t="n">
        <x:f>CHOOSE('假设'!$B$3,Q191,R191,S191)</x:f>
        <x:v>4.5</x:v>
      </x:c>
      <x:c r="F191" s="11" t="n">
        <x:f>'药物假设'!K27</x:f>
        <x:v>0.15</x:v>
      </x:c>
      <x:c r="G191" s="11" t="n">
        <x:f>1-'药物假设'!L27</x:f>
        <x:v>0.8</x:v>
      </x:c>
      <x:c r="H191" s="11" t="n">
        <x:f>'药物假设'!J27</x:f>
        <x:v>0.25</x:v>
      </x:c>
      <x:c r="I191" s="11" t="n">
        <x:f>E191*F191*G191*H191*'药物假设'!Q27</x:f>
        <x:v>0.13499999999999998</x:v>
      </x:c>
      <x:c r="J191" s="11" t="str">
        <x:v>2026-12-31</x:v>
      </x:c>
      <x:c r="K191" s="11" t="n">
        <x:v>8.999315537303216</x:v>
      </x:c>
      <x:c r="L191" s="11" t="n">
        <x:f>'药物假设'!M27</x:f>
        <x:v>0.12</x:v>
      </x:c>
      <x:c r="M191" s="11" t="n">
        <x:f>IF(O191,I191/(1+L191)^K191,0)</x:f>
        <x:v>0.04868612977298539</x:v>
      </x:c>
      <x:c r="N191" s="11" t="n">
        <x:f>M191*'药物假设'!N27</x:f>
        <x:v>0.33106568245630064</x:v>
      </x:c>
      <x:c r="O191" s="26" t="b">
        <x:v>1</x:v>
      </x:c>
      <x:c r="P191" s="11" t="n">
        <x:f>27</x:f>
        <x:v>27</x:v>
      </x:c>
      <x:c r="Q191" s="16" t="n">
        <x:v>0.4</x:v>
      </x:c>
      <x:c r="R191" s="16" t="n">
        <x:v>4.5</x:v>
      </x:c>
      <x:c r="S191" s="16" t="n">
        <x:v>12</x:v>
      </x:c>
    </x:row>
    <x:row r="192" ht="23" customHeight="1">
      <x:c r="A192" s="11" t="str">
        <x:v>09926.HK</x:v>
      </x:c>
      <x:c r="B192" s="11" t="str">
        <x:v>2026年底</x:v>
      </x:c>
      <x:c r="C192" s="11" t="str">
        <x:v>其他适应症</x:v>
      </x:c>
      <x:c r="D192" s="11" t="n">
        <x:v>2036</x:v>
      </x:c>
      <x:c r="E192" s="11" t="n">
        <x:f>CHOOSE('假设'!$B$3,Q192,R192,S192)</x:f>
        <x:v>5</x:v>
      </x:c>
      <x:c r="F192" s="11" t="n">
        <x:f>'药物假设'!K27</x:f>
        <x:v>0.15</x:v>
      </x:c>
      <x:c r="G192" s="11" t="n">
        <x:f>1-'药物假设'!L27</x:f>
        <x:v>0.8</x:v>
      </x:c>
      <x:c r="H192" s="11" t="n">
        <x:f>'药物假设'!J27</x:f>
        <x:v>0.25</x:v>
      </x:c>
      <x:c r="I192" s="11" t="n">
        <x:f>E192*F192*G192*H192*'药物假设'!Q27</x:f>
        <x:v>0.15000000000000002</x:v>
      </x:c>
      <x:c r="J192" s="11" t="str">
        <x:v>2026-12-31</x:v>
      </x:c>
      <x:c r="K192" s="11" t="n">
        <x:v>10.001368925393566</x:v>
      </x:c>
      <x:c r="L192" s="11" t="n">
        <x:f>'药物假设'!M27</x:f>
        <x:v>0.12</x:v>
      </x:c>
      <x:c r="M192" s="11" t="n">
        <x:f>IF(O192,I192/(1+L192)^K192,0)</x:f>
        <x:v>0.048288493502291495</x:v>
      </x:c>
      <x:c r="N192" s="11" t="n">
        <x:f>M192*'药物假设'!N27</x:f>
        <x:v>0.32836175581558213</x:v>
      </x:c>
      <x:c r="O192" s="26" t="b">
        <x:v>1</x:v>
      </x:c>
      <x:c r="P192" s="11" t="n">
        <x:f>27</x:f>
        <x:v>27</x:v>
      </x:c>
      <x:c r="Q192" s="16" t="n">
        <x:v>0.4</x:v>
      </x:c>
      <x:c r="R192" s="16" t="n">
        <x:v>5</x:v>
      </x:c>
      <x:c r="S192" s="16" t="n">
        <x:v>13</x:v>
      </x:c>
    </x:row>
    <x:row r="193" ht="23" customHeight="1">
      <x:c r="A193" s="11" t="str">
        <x:v>09926.HK</x:v>
      </x:c>
      <x:c r="B193" s="11" t="str">
        <x:v>2026年底</x:v>
      </x:c>
      <x:c r="C193" s="11" t="str">
        <x:v>其他适应症</x:v>
      </x:c>
      <x:c r="D193" s="11" t="n">
        <x:v>2037</x:v>
      </x:c>
      <x:c r="E193" s="11" t="n">
        <x:f>CHOOSE('假设'!$B$3,Q193,R193,S193)</x:f>
        <x:v>5</x:v>
      </x:c>
      <x:c r="F193" s="11" t="n">
        <x:f>'药物假设'!K27</x:f>
        <x:v>0.15</x:v>
      </x:c>
      <x:c r="G193" s="11" t="n">
        <x:f>1-'药物假设'!L27</x:f>
        <x:v>0.8</x:v>
      </x:c>
      <x:c r="H193" s="11" t="n">
        <x:f>'药物假设'!J27</x:f>
        <x:v>0.25</x:v>
      </x:c>
      <x:c r="I193" s="11" t="n">
        <x:f>E193*F193*G193*H193*'药物假设'!Q27</x:f>
        <x:v>0.15000000000000002</x:v>
      </x:c>
      <x:c r="J193" s="11" t="str">
        <x:v>2026-12-31</x:v>
      </x:c>
      <x:c r="K193" s="11" t="n">
        <x:v>11.000684462696784</x:v>
      </x:c>
      <x:c r="L193" s="11" t="n">
        <x:f>'药物假设'!M27</x:f>
        <x:v>0.12</x:v>
      </x:c>
      <x:c r="M193" s="11" t="n">
        <x:f>IF(O193,I193/(1+L193)^K193,0)</x:f>
        <x:v>0.043118070848358024</x:v>
      </x:c>
      <x:c r="N193" s="11" t="n">
        <x:f>M193*'药物假设'!N27</x:f>
        <x:v>0.2932028817688346</x:v>
      </x:c>
      <x:c r="O193" s="26" t="b">
        <x:v>1</x:v>
      </x:c>
      <x:c r="P193" s="11" t="n">
        <x:f>27</x:f>
        <x:v>27</x:v>
      </x:c>
      <x:c r="Q193" s="16" t="n">
        <x:v>0.4</x:v>
      </x:c>
      <x:c r="R193" s="16" t="n">
        <x:v>5</x:v>
      </x:c>
      <x:c r="S193" s="16" t="n">
        <x:v>13</x:v>
      </x:c>
    </x:row>
    <x:row r="194" ht="23" customHeight="1">
      <x:c r="A194" s="11" t="str">
        <x:v>09926.HK</x:v>
      </x:c>
      <x:c r="B194" s="11" t="str">
        <x:v>2026年底</x:v>
      </x:c>
      <x:c r="C194" s="11" t="str">
        <x:v>其他适应症</x:v>
      </x:c>
      <x:c r="D194" s="11" t="n">
        <x:v>2038</x:v>
      </x:c>
      <x:c r="E194" s="11" t="n">
        <x:f>CHOOSE('假设'!$B$3,Q194,R194,S194)</x:f>
        <x:v>4.5</x:v>
      </x:c>
      <x:c r="F194" s="11" t="n">
        <x:f>'药物假设'!K27</x:f>
        <x:v>0.15</x:v>
      </x:c>
      <x:c r="G194" s="11" t="n">
        <x:f>1-'药物假设'!L27</x:f>
        <x:v>0.8</x:v>
      </x:c>
      <x:c r="H194" s="11" t="n">
        <x:f>'药物假设'!J27</x:f>
        <x:v>0.25</x:v>
      </x:c>
      <x:c r="I194" s="11" t="n">
        <x:f>E194*F194*G194*H194*'药物假设'!Q27</x:f>
        <x:v>0.13499999999999998</x:v>
      </x:c>
      <x:c r="J194" s="11" t="str">
        <x:v>2026-12-31</x:v>
      </x:c>
      <x:c r="K194" s="11" t="n">
        <x:v>12</x:v>
      </x:c>
      <x:c r="L194" s="11" t="n">
        <x:f>'药物假设'!M27</x:f>
        <x:v>0.12</x:v>
      </x:c>
      <x:c r="M194" s="11" t="n">
        <x:f>IF(O194,I194/(1+L194)^K194,0)</x:f>
        <x:v>0.0346511375476275</x:v>
      </x:c>
      <x:c r="N194" s="11" t="n">
        <x:f>M194*'药物假设'!N27</x:f>
        <x:v>0.23562773532386697</x:v>
      </x:c>
      <x:c r="O194" s="26" t="b">
        <x:v>1</x:v>
      </x:c>
      <x:c r="P194" s="11" t="n">
        <x:f>27</x:f>
        <x:v>27</x:v>
      </x:c>
      <x:c r="Q194" s="16" t="n">
        <x:v>0.35</x:v>
      </x:c>
      <x:c r="R194" s="16" t="n">
        <x:v>4.5</x:v>
      </x:c>
      <x:c r="S194" s="16" t="n">
        <x:v>12</x:v>
      </x:c>
    </x:row>
    <x:row r="195" ht="23" customHeight="1">
      <x:c r="A195" s="11" t="str">
        <x:v>09926.HK</x:v>
      </x:c>
      <x:c r="B195" s="11" t="str">
        <x:v>2026年底</x:v>
      </x:c>
      <x:c r="C195" s="11" t="str">
        <x:v>其他适应症</x:v>
      </x:c>
      <x:c r="D195" s="11" t="n">
        <x:v>2039</x:v>
      </x:c>
      <x:c r="E195" s="11" t="n">
        <x:f>CHOOSE('假设'!$B$3,Q195,R195,S195)</x:f>
        <x:v>4</x:v>
      </x:c>
      <x:c r="F195" s="11" t="n">
        <x:f>'药物假设'!K27</x:f>
        <x:v>0.15</x:v>
      </x:c>
      <x:c r="G195" s="11" t="n">
        <x:f>1-'药物假设'!L27</x:f>
        <x:v>0.8</x:v>
      </x:c>
      <x:c r="H195" s="11" t="n">
        <x:f>'药物假设'!J27</x:f>
        <x:v>0.25</x:v>
      </x:c>
      <x:c r="I195" s="11" t="n">
        <x:f>E195*F195*G195*H195*'药物假设'!Q27</x:f>
        <x:v>0.12</x:v>
      </x:c>
      <x:c r="J195" s="11" t="str">
        <x:v>2026-12-31</x:v>
      </x:c>
      <x:c r="K195" s="11" t="n">
        <x:v>12.999315537303216</x:v>
      </x:c>
      <x:c r="L195" s="11" t="n">
        <x:f>'药物假设'!M27</x:f>
        <x:v>0.12</x:v>
      </x:c>
      <x:c r="M195" s="11" t="n">
        <x:f>IF(O195,I195/(1+L195)^K195,0)</x:f>
        <x:v>0.027503036122929703</x:v>
      </x:c>
      <x:c r="N195" s="11" t="n">
        <x:f>M195*'药物假设'!N27</x:f>
        <x:v>0.18702064563592197</x:v>
      </x:c>
      <x:c r="O195" s="26" t="b">
        <x:v>1</x:v>
      </x:c>
      <x:c r="P195" s="11" t="n">
        <x:f>27</x:f>
        <x:v>27</x:v>
      </x:c>
      <x:c r="Q195" s="16" t="n">
        <x:v>0.3</x:v>
      </x:c>
      <x:c r="R195" s="16" t="n">
        <x:v>4</x:v>
      </x:c>
      <x:c r="S195" s="16" t="n">
        <x:v>11</x:v>
      </x:c>
    </x:row>
    <x:row r="196" ht="23" customHeight="1">
      <x:c r="A196" s="11" t="str">
        <x:v>09926.HK</x:v>
      </x:c>
      <x:c r="B196" s="11" t="str">
        <x:v>2026年底</x:v>
      </x:c>
      <x:c r="C196" s="11" t="str">
        <x:v>其他适应症</x:v>
      </x:c>
      <x:c r="D196" s="11" t="n">
        <x:v>2040</x:v>
      </x:c>
      <x:c r="E196" s="11" t="n">
        <x:f>CHOOSE('假设'!$B$3,Q196,R196,S196)</x:f>
        <x:v>3.2</x:v>
      </x:c>
      <x:c r="F196" s="11" t="n">
        <x:f>'药物假设'!K27</x:f>
        <x:v>0.15</x:v>
      </x:c>
      <x:c r="G196" s="11" t="n">
        <x:f>1-'药物假设'!L27</x:f>
        <x:v>0.8</x:v>
      </x:c>
      <x:c r="H196" s="11" t="n">
        <x:f>'药物假设'!J27</x:f>
        <x:v>0.25</x:v>
      </x:c>
      <x:c r="I196" s="11" t="n">
        <x:f>E196*F196*G196*H196*'药物假设'!Q27</x:f>
        <x:v>0.096</x:v>
      </x:c>
      <x:c r="J196" s="11" t="str">
        <x:v>2026-12-31</x:v>
      </x:c>
      <x:c r="K196" s="11" t="n">
        <x:v>14.001368925393566</x:v>
      </x:c>
      <x:c r="L196" s="11" t="n">
        <x:f>'药物假设'!M27</x:f>
        <x:v>0.12</x:v>
      </x:c>
      <x:c r="M196" s="11" t="n">
        <x:f>IF(O196,I196/(1+L196)^K196,0)</x:f>
        <x:v>0.019640454783769894</x:v>
      </x:c>
      <x:c r="N196" s="11" t="n">
        <x:f>M196*'药物假设'!N27</x:f>
        <x:v>0.13355509252963527</x:v>
      </x:c>
      <x:c r="O196" s="26" t="b">
        <x:v>1</x:v>
      </x:c>
      <x:c r="P196" s="11" t="n">
        <x:f>27</x:f>
        <x:v>27</x:v>
      </x:c>
      <x:c r="Q196" s="16" t="n">
        <x:v>0.25</x:v>
      </x:c>
      <x:c r="R196" s="16" t="n">
        <x:v>3.2</x:v>
      </x:c>
      <x:c r="S196" s="16" t="n">
        <x:v>9</x:v>
      </x:c>
    </x:row>
    <x:row r="197" ht="23" customHeight="1">
      <x:c r="A197" s="11" t="str">
        <x:v>09926.HK</x:v>
      </x:c>
      <x:c r="B197" s="11" t="str">
        <x:v>2026年底</x:v>
      </x:c>
      <x:c r="C197" s="11" t="str">
        <x:v>其他适应症</x:v>
      </x:c>
      <x:c r="D197" s="11" t="n">
        <x:v>2041</x:v>
      </x:c>
      <x:c r="E197" s="11" t="n">
        <x:f>CHOOSE('假设'!$B$3,Q197,R197,S197)</x:f>
        <x:v>2.5</x:v>
      </x:c>
      <x:c r="F197" s="11" t="n">
        <x:f>'药物假设'!K27</x:f>
        <x:v>0.15</x:v>
      </x:c>
      <x:c r="G197" s="11" t="n">
        <x:f>1-'药物假设'!L27</x:f>
        <x:v>0.8</x:v>
      </x:c>
      <x:c r="H197" s="11" t="n">
        <x:f>'药物假设'!J27</x:f>
        <x:v>0.25</x:v>
      </x:c>
      <x:c r="I197" s="11" t="n">
        <x:f>E197*F197*G197*H197*'药物假设'!Q27</x:f>
        <x:v>0.07500000000000001</x:v>
      </x:c>
      <x:c r="J197" s="11" t="str">
        <x:v>2026-12-31</x:v>
      </x:c>
      <x:c r="K197" s="11" t="n">
        <x:v>15.000684462696784</x:v>
      </x:c>
      <x:c r="L197" s="11" t="n">
        <x:f>'药物假设'!M27</x:f>
        <x:v>0.12</x:v>
      </x:c>
      <x:c r="M197" s="11" t="n">
        <x:f>IF(O197,I197/(1+L197)^K197,0)</x:f>
        <x:v>0.013701156765035926</x:v>
      </x:c>
      <x:c r="N197" s="11" t="n">
        <x:f>M197*'药物假设'!N27</x:f>
        <x:v>0.09316786600224429</x:v>
      </x:c>
      <x:c r="O197" s="26" t="b">
        <x:v>1</x:v>
      </x:c>
      <x:c r="P197" s="11" t="n">
        <x:f>27</x:f>
        <x:v>27</x:v>
      </x:c>
      <x:c r="Q197" s="16" t="n">
        <x:v>0.2</x:v>
      </x:c>
      <x:c r="R197" s="16" t="n">
        <x:v>2.5</x:v>
      </x:c>
      <x:c r="S197" s="16" t="n">
        <x:v>7</x:v>
      </x:c>
    </x:row>
    <x:row r="198" ht="23" customHeight="1">
      <x:c r="A198" s="11" t="str">
        <x:v>09926.HK</x:v>
      </x:c>
      <x:c r="B198" s="11" t="str">
        <x:v>2026年底</x:v>
      </x:c>
      <x:c r="C198" s="11" t="str">
        <x:v>其他适应症</x:v>
      </x:c>
      <x:c r="D198" s="11" t="n">
        <x:v>2042</x:v>
      </x:c>
      <x:c r="E198" s="11" t="n">
        <x:f>CHOOSE('假设'!$B$3,Q198,R198,S198)</x:f>
        <x:v>1.5</x:v>
      </x:c>
      <x:c r="F198" s="11" t="n">
        <x:f>'药物假设'!K27</x:f>
        <x:v>0.15</x:v>
      </x:c>
      <x:c r="G198" s="11" t="n">
        <x:f>1-'药物假设'!L27</x:f>
        <x:v>0.8</x:v>
      </x:c>
      <x:c r="H198" s="11" t="n">
        <x:f>'药物假设'!J27</x:f>
        <x:v>0.25</x:v>
      </x:c>
      <x:c r="I198" s="11" t="n">
        <x:f>E198*F198*G198*H198*'药物假设'!Q27</x:f>
        <x:v>0.045</x:v>
      </x:c>
      <x:c r="J198" s="11" t="str">
        <x:v>2026-12-31</x:v>
      </x:c>
      <x:c r="K198" s="11" t="n">
        <x:v>16</x:v>
      </x:c>
      <x:c r="L198" s="11" t="n">
        <x:f>'药物假设'!M27</x:f>
        <x:v>0.12</x:v>
      </x:c>
      <x:c r="M198" s="11" t="n">
        <x:f>IF(O198,I198/(1+L198)^K198,0)</x:f>
        <x:v>0.007340474782936574</x:v>
      </x:c>
      <x:c r="N198" s="11" t="n">
        <x:f>M198*'药物假设'!N27</x:f>
        <x:v>0.0499152285239687</x:v>
      </x:c>
      <x:c r="O198" s="26" t="b">
        <x:v>1</x:v>
      </x:c>
      <x:c r="P198" s="11" t="n">
        <x:f>27</x:f>
        <x:v>27</x:v>
      </x:c>
      <x:c r="Q198" s="16" t="n">
        <x:v>0.1</x:v>
      </x:c>
      <x:c r="R198" s="16" t="n">
        <x:v>1.5</x:v>
      </x:c>
      <x:c r="S198" s="16" t="n">
        <x:v>5</x:v>
      </x:c>
    </x:row>
    <x:row r="199" ht="23" customHeight="1">
      <x:c r="A199" s="11" t="str">
        <x:v>09926.HK</x:v>
      </x:c>
      <x:c r="B199" s="11" t="str">
        <x:v>半年</x:v>
      </x:c>
      <x:c r="C199" s="11" t="str">
        <x:v>肺癌</x:v>
      </x:c>
      <x:c r="D199" s="11" t="n">
        <x:v>2027</x:v>
      </x:c>
      <x:c r="E199" s="11" t="n">
        <x:f>CHOOSE('假设'!$B$3,Q199,R199,S199)</x:f>
        <x:v>0</x:v>
      </x:c>
      <x:c r="F199" s="11" t="n">
        <x:f>'药物假设'!K31</x:f>
        <x:v>0.15</x:v>
      </x:c>
      <x:c r="G199" s="11" t="n">
        <x:f>1-'药物假设'!L31</x:f>
        <x:v>0.8</x:v>
      </x:c>
      <x:c r="H199" s="11" t="n">
        <x:f>'药物假设'!I31</x:f>
        <x:v>0.72</x:v>
      </x:c>
      <x:c r="I199" s="11" t="n">
        <x:f>E199*F199*G199*H199*'药物假设'!Q31</x:f>
        <x:v>0</x:v>
      </x:c>
      <x:c r="J199" s="11" t="str">
        <x:v>2027-04-09</x:v>
      </x:c>
      <x:c r="K199" s="11" t="n">
        <x:v>0.7282683093771389</x:v>
      </x:c>
      <x:c r="L199" s="11" t="n">
        <x:f>'药物假设'!M31</x:f>
        <x:v>0.11</x:v>
      </x:c>
      <x:c r="M199" s="11" t="n">
        <x:f>IF(O199,I199/(1+L199)^K199,0)</x:f>
        <x:v>0</x:v>
      </x:c>
      <x:c r="N199" s="11" t="n">
        <x:f>M199*'药物假设'!N31</x:f>
        <x:v>0</x:v>
      </x:c>
      <x:c r="O199" s="26" t="b">
        <x:v>1</x:v>
      </x:c>
      <x:c r="P199" s="11" t="n">
        <x:f>31</x:f>
        <x:v>31</x:v>
      </x:c>
      <x:c r="Q199" s="16" t="n">
        <x:v>0</x:v>
      </x:c>
      <x:c r="R199" s="16" t="n">
        <x:v>0</x:v>
      </x:c>
      <x:c r="S199" s="16" t="n">
        <x:v>0.7</x:v>
      </x:c>
    </x:row>
    <x:row r="200" ht="23" customHeight="1">
      <x:c r="A200" s="11" t="str">
        <x:v>09926.HK</x:v>
      </x:c>
      <x:c r="B200" s="11" t="str">
        <x:v>半年</x:v>
      </x:c>
      <x:c r="C200" s="11" t="str">
        <x:v>肺癌</x:v>
      </x:c>
      <x:c r="D200" s="11" t="n">
        <x:v>2028</x:v>
      </x:c>
      <x:c r="E200" s="11" t="n">
        <x:f>CHOOSE('假设'!$B$3,Q200,R200,S200)</x:f>
        <x:v>0.5</x:v>
      </x:c>
      <x:c r="F200" s="11" t="n">
        <x:f>'药物假设'!K31</x:f>
        <x:v>0.15</x:v>
      </x:c>
      <x:c r="G200" s="11" t="n">
        <x:f>1-'药物假设'!L31</x:f>
        <x:v>0.8</x:v>
      </x:c>
      <x:c r="H200" s="11" t="n">
        <x:f>'药物假设'!I31</x:f>
        <x:v>0.72</x:v>
      </x:c>
      <x:c r="I200" s="11" t="n">
        <x:f>E200*F200*G200*H200*'药物假设'!Q31</x:f>
        <x:v>0.043199999999999995</x:v>
      </x:c>
      <x:c r="J200" s="11" t="str">
        <x:v>2027-04-09</x:v>
      </x:c>
      <x:c r="K200" s="11" t="n">
        <x:v>1.730321697467488</x:v>
      </x:c>
      <x:c r="L200" s="11" t="n">
        <x:f>'药物假设'!M31</x:f>
        <x:v>0.11</x:v>
      </x:c>
      <x:c r="M200" s="11" t="n">
        <x:f>IF(O200,I200/(1+L200)^K200,0)</x:f>
        <x:v>0.03606288053776921</x:v>
      </x:c>
      <x:c r="N200" s="11" t="n">
        <x:f>M200*'药物假设'!N31</x:f>
        <x:v>0.24522758765683061</x:v>
      </x:c>
      <x:c r="O200" s="26" t="b">
        <x:v>1</x:v>
      </x:c>
      <x:c r="P200" s="11" t="n">
        <x:f>31</x:f>
        <x:v>31</x:v>
      </x:c>
      <x:c r="Q200" s="16" t="n">
        <x:v>0</x:v>
      </x:c>
      <x:c r="R200" s="16" t="n">
        <x:v>0.5</x:v>
      </x:c>
      <x:c r="S200" s="16" t="n">
        <x:v>2</x:v>
      </x:c>
    </x:row>
    <x:row r="201" ht="23" customHeight="1">
      <x:c r="A201" s="11" t="str">
        <x:v>09926.HK</x:v>
      </x:c>
      <x:c r="B201" s="11" t="str">
        <x:v>半年</x:v>
      </x:c>
      <x:c r="C201" s="11" t="str">
        <x:v>肺癌</x:v>
      </x:c>
      <x:c r="D201" s="11" t="n">
        <x:v>2029</x:v>
      </x:c>
      <x:c r="E201" s="11" t="n">
        <x:f>CHOOSE('假设'!$B$3,Q201,R201,S201)</x:f>
        <x:v>1.6</x:v>
      </x:c>
      <x:c r="F201" s="11" t="n">
        <x:f>'药物假设'!K31</x:f>
        <x:v>0.15</x:v>
      </x:c>
      <x:c r="G201" s="11" t="n">
        <x:f>1-'药物假设'!L31</x:f>
        <x:v>0.8</x:v>
      </x:c>
      <x:c r="H201" s="11" t="n">
        <x:f>'药物假设'!I31</x:f>
        <x:v>0.72</x:v>
      </x:c>
      <x:c r="I201" s="11" t="n">
        <x:f>E201*F201*G201*H201*'药物假设'!Q31</x:f>
        <x:v>0.13824</x:v>
      </x:c>
      <x:c r="J201" s="11" t="str">
        <x:v>2027-04-09</x:v>
      </x:c>
      <x:c r="K201" s="11" t="n">
        <x:v>2.729637234770705</x:v>
      </x:c>
      <x:c r="L201" s="11" t="n">
        <x:f>'药物假设'!M31</x:f>
        <x:v>0.11</x:v>
      </x:c>
      <x:c r="M201" s="11" t="n">
        <x:f>IF(O201,I201/(1+L201)^K201,0)</x:f>
        <x:v>0.10397248755521481</x:v>
      </x:c>
      <x:c r="N201" s="11" t="n">
        <x:f>M201*'药物假设'!N31</x:f>
        <x:v>0.7070129153754606</x:v>
      </x:c>
      <x:c r="O201" s="26" t="b">
        <x:v>1</x:v>
      </x:c>
      <x:c r="P201" s="11" t="n">
        <x:f>31</x:f>
        <x:v>31</x:v>
      </x:c>
      <x:c r="Q201" s="16" t="n">
        <x:v>0.4</x:v>
      </x:c>
      <x:c r="R201" s="16" t="n">
        <x:v>1.6</x:v>
      </x:c>
      <x:c r="S201" s="16" t="n">
        <x:v>4.5</x:v>
      </x:c>
    </x:row>
    <x:row r="202" ht="23" customHeight="1">
      <x:c r="A202" s="11" t="str">
        <x:v>09926.HK</x:v>
      </x:c>
      <x:c r="B202" s="11" t="str">
        <x:v>半年</x:v>
      </x:c>
      <x:c r="C202" s="11" t="str">
        <x:v>肺癌</x:v>
      </x:c>
      <x:c r="D202" s="11" t="n">
        <x:v>2030</x:v>
      </x:c>
      <x:c r="E202" s="11" t="n">
        <x:f>CHOOSE('假设'!$B$3,Q202,R202,S202)</x:f>
        <x:v>3.5</x:v>
      </x:c>
      <x:c r="F202" s="11" t="n">
        <x:f>'药物假设'!K31</x:f>
        <x:v>0.15</x:v>
      </x:c>
      <x:c r="G202" s="11" t="n">
        <x:f>1-'药物假设'!L31</x:f>
        <x:v>0.8</x:v>
      </x:c>
      <x:c r="H202" s="11" t="n">
        <x:f>'药物假设'!I31</x:f>
        <x:v>0.72</x:v>
      </x:c>
      <x:c r="I202" s="11" t="n">
        <x:f>E202*F202*G202*H202*'药物假设'!Q31</x:f>
        <x:v>0.3024</x:v>
      </x:c>
      <x:c r="J202" s="11" t="str">
        <x:v>2027-04-09</x:v>
      </x:c>
      <x:c r="K202" s="11" t="n">
        <x:v>3.728952772073922</x:v>
      </x:c>
      <x:c r="L202" s="11" t="n">
        <x:f>'药物假设'!M31</x:f>
        <x:v>0.11</x:v>
      </x:c>
      <x:c r="M202" s="11" t="n">
        <x:f>IF(O202,I202/(1+L202)^K202,0)</x:f>
        <x:v>0.20491537230237014</x:v>
      </x:c>
      <x:c r="N202" s="11" t="n">
        <x:f>M202*'药物假设'!N31</x:f>
        <x:v>1.393424531656117</x:v>
      </x:c>
      <x:c r="O202" s="26" t="b">
        <x:v>1</x:v>
      </x:c>
      <x:c r="P202" s="11" t="n">
        <x:f>31</x:f>
        <x:v>31</x:v>
      </x:c>
      <x:c r="Q202" s="16" t="n">
        <x:v>0.9</x:v>
      </x:c>
      <x:c r="R202" s="16" t="n">
        <x:v>3.5</x:v>
      </x:c>
      <x:c r="S202" s="16" t="n">
        <x:v>7.5</x:v>
      </x:c>
    </x:row>
    <x:row r="203" ht="23" customHeight="1">
      <x:c r="A203" s="11" t="str">
        <x:v>09926.HK</x:v>
      </x:c>
      <x:c r="B203" s="11" t="str">
        <x:v>半年</x:v>
      </x:c>
      <x:c r="C203" s="11" t="str">
        <x:v>肺癌</x:v>
      </x:c>
      <x:c r="D203" s="11" t="n">
        <x:v>2031</x:v>
      </x:c>
      <x:c r="E203" s="11" t="n">
        <x:f>CHOOSE('假设'!$B$3,Q203,R203,S203)</x:f>
        <x:v>5.5</x:v>
      </x:c>
      <x:c r="F203" s="11" t="n">
        <x:f>'药物假设'!K31</x:f>
        <x:v>0.15</x:v>
      </x:c>
      <x:c r="G203" s="11" t="n">
        <x:f>1-'药物假设'!L31</x:f>
        <x:v>0.8</x:v>
      </x:c>
      <x:c r="H203" s="11" t="n">
        <x:f>'药物假设'!I31</x:f>
        <x:v>0.72</x:v>
      </x:c>
      <x:c r="I203" s="11" t="n">
        <x:f>E203*F203*G203*H203*'药物假设'!Q31</x:f>
        <x:v>0.4752</x:v>
      </x:c>
      <x:c r="J203" s="11" t="str">
        <x:v>2027-04-09</x:v>
      </x:c>
      <x:c r="K203" s="11" t="n">
        <x:v>4.728268309377139</x:v>
      </x:c>
      <x:c r="L203" s="11" t="n">
        <x:f>'药物假设'!M31</x:f>
        <x:v>0.11</x:v>
      </x:c>
      <x:c r="M203" s="11" t="n">
        <x:f>IF(O203,I203/(1+L203)^K203,0)</x:f>
        <x:v>0.2901197053338223</x:v>
      </x:c>
      <x:c r="N203" s="11" t="n">
        <x:f>M203*'药物假设'!N31</x:f>
        <x:v>1.9728139962699915</x:v>
      </x:c>
      <x:c r="O203" s="26" t="b">
        <x:v>1</x:v>
      </x:c>
      <x:c r="P203" s="11" t="n">
        <x:f>31</x:f>
        <x:v>31</x:v>
      </x:c>
      <x:c r="Q203" s="16" t="n">
        <x:v>1.3</x:v>
      </x:c>
      <x:c r="R203" s="16" t="n">
        <x:v>5.5</x:v>
      </x:c>
      <x:c r="S203" s="16" t="n">
        <x:v>11</x:v>
      </x:c>
    </x:row>
    <x:row r="204" ht="23" customHeight="1">
      <x:c r="A204" s="11" t="str">
        <x:v>09926.HK</x:v>
      </x:c>
      <x:c r="B204" s="11" t="str">
        <x:v>半年</x:v>
      </x:c>
      <x:c r="C204" s="11" t="str">
        <x:v>肺癌</x:v>
      </x:c>
      <x:c r="D204" s="11" t="n">
        <x:v>2032</x:v>
      </x:c>
      <x:c r="E204" s="11" t="n">
        <x:f>CHOOSE('假设'!$B$3,Q204,R204,S204)</x:f>
        <x:v>7.5</x:v>
      </x:c>
      <x:c r="F204" s="11" t="n">
        <x:f>'药物假设'!K31</x:f>
        <x:v>0.15</x:v>
      </x:c>
      <x:c r="G204" s="11" t="n">
        <x:f>1-'药物假设'!L31</x:f>
        <x:v>0.8</x:v>
      </x:c>
      <x:c r="H204" s="11" t="n">
        <x:f>'药物假设'!I31</x:f>
        <x:v>0.72</x:v>
      </x:c>
      <x:c r="I204" s="11" t="n">
        <x:f>E204*F204*G204*H204*'药物假设'!Q31</x:f>
        <x:v>0.648</x:v>
      </x:c>
      <x:c r="J204" s="11" t="str">
        <x:v>2027-04-09</x:v>
      </x:c>
      <x:c r="K204" s="11" t="n">
        <x:v>5.730321697467488</x:v>
      </x:c>
      <x:c r="L204" s="11" t="n">
        <x:f>'药物假设'!M31</x:f>
        <x:v>0.11</x:v>
      </x:c>
      <x:c r="M204" s="11" t="n">
        <x:f>IF(O204,I204/(1+L204)^K204,0)</x:f>
        <x:v>0.35633604640679223</x:v>
      </x:c>
      <x:c r="N204" s="11" t="n">
        <x:f>M204*'药物假设'!N31</x:f>
        <x:v>2.423085115566187</x:v>
      </x:c>
      <x:c r="O204" s="26" t="b">
        <x:v>1</x:v>
      </x:c>
      <x:c r="P204" s="11" t="n">
        <x:f>31</x:f>
        <x:v>31</x:v>
      </x:c>
      <x:c r="Q204" s="16" t="n">
        <x:v>1.6</x:v>
      </x:c>
      <x:c r="R204" s="16" t="n">
        <x:v>7.5</x:v>
      </x:c>
      <x:c r="S204" s="16" t="n">
        <x:v>14</x:v>
      </x:c>
    </x:row>
    <x:row r="205" ht="23" customHeight="1">
      <x:c r="A205" s="11" t="str">
        <x:v>09926.HK</x:v>
      </x:c>
      <x:c r="B205" s="11" t="str">
        <x:v>半年</x:v>
      </x:c>
      <x:c r="C205" s="11" t="str">
        <x:v>肺癌</x:v>
      </x:c>
      <x:c r="D205" s="11" t="n">
        <x:v>2033</x:v>
      </x:c>
      <x:c r="E205" s="11" t="n">
        <x:f>CHOOSE('假设'!$B$3,Q205,R205,S205)</x:f>
        <x:v>9</x:v>
      </x:c>
      <x:c r="F205" s="11" t="n">
        <x:f>'药物假设'!K31</x:f>
        <x:v>0.15</x:v>
      </x:c>
      <x:c r="G205" s="11" t="n">
        <x:f>1-'药物假设'!L31</x:f>
        <x:v>0.8</x:v>
      </x:c>
      <x:c r="H205" s="11" t="n">
        <x:f>'药物假设'!I31</x:f>
        <x:v>0.72</x:v>
      </x:c>
      <x:c r="I205" s="11" t="n">
        <x:f>E205*F205*G205*H205*'药物假设'!Q31</x:f>
        <x:v>0.7775999999999998</x:v>
      </x:c>
      <x:c r="J205" s="11" t="str">
        <x:v>2027-04-09</x:v>
      </x:c>
      <x:c r="K205" s="11" t="n">
        <x:v>6.729637234770705</x:v>
      </x:c>
      <x:c r="L205" s="11" t="n">
        <x:f>'药物假设'!M31</x:f>
        <x:v>0.11</x:v>
      </x:c>
      <x:c r="M205" s="11" t="n">
        <x:f>IF(O205,I205/(1+L205)^K205,0)</x:f>
        <x:v>0.38525567631483104</x:v>
      </x:c>
      <x:c r="N205" s="11" t="n">
        <x:f>M205*'药物假设'!N31</x:f>
        <x:v>2.619738598940851</x:v>
      </x:c>
      <x:c r="O205" s="26" t="b">
        <x:v>1</x:v>
      </x:c>
      <x:c r="P205" s="11" t="n">
        <x:f>31</x:f>
        <x:v>31</x:v>
      </x:c>
      <x:c r="Q205" s="16" t="n">
        <x:v>1.8</x:v>
      </x:c>
      <x:c r="R205" s="16" t="n">
        <x:v>9</x:v>
      </x:c>
      <x:c r="S205" s="16" t="n">
        <x:v>16</x:v>
      </x:c>
    </x:row>
    <x:row r="206" ht="23" customHeight="1">
      <x:c r="A206" s="11" t="str">
        <x:v>09926.HK</x:v>
      </x:c>
      <x:c r="B206" s="11" t="str">
        <x:v>半年</x:v>
      </x:c>
      <x:c r="C206" s="11" t="str">
        <x:v>肺癌</x:v>
      </x:c>
      <x:c r="D206" s="11" t="n">
        <x:v>2034</x:v>
      </x:c>
      <x:c r="E206" s="11" t="n">
        <x:f>CHOOSE('假设'!$B$3,Q206,R206,S206)</x:f>
        <x:v>10</x:v>
      </x:c>
      <x:c r="F206" s="11" t="n">
        <x:f>'药物假设'!K31</x:f>
        <x:v>0.15</x:v>
      </x:c>
      <x:c r="G206" s="11" t="n">
        <x:f>1-'药物假设'!L31</x:f>
        <x:v>0.8</x:v>
      </x:c>
      <x:c r="H206" s="11" t="n">
        <x:f>'药物假设'!I31</x:f>
        <x:v>0.72</x:v>
      </x:c>
      <x:c r="I206" s="11" t="n">
        <x:f>E206*F206*G206*H206*'药物假设'!Q31</x:f>
        <x:v>0.8640000000000001</x:v>
      </x:c>
      <x:c r="J206" s="11" t="str">
        <x:v>2027-04-09</x:v>
      </x:c>
      <x:c r="K206" s="11" t="n">
        <x:v>7.728952772073922</x:v>
      </x:c>
      <x:c r="L206" s="11" t="n">
        <x:f>'药物假设'!M31</x:f>
        <x:v>0.11</x:v>
      </x:c>
      <x:c r="M206" s="11" t="n">
        <x:f>IF(O206,I206/(1+L206)^K206,0)</x:f>
        <x:v>0.38566886518293053</x:v>
      </x:c>
      <x:c r="N206" s="11" t="n">
        <x:f>M206*'药物假设'!N31</x:f>
        <x:v>2.6225482832439275</x:v>
      </x:c>
      <x:c r="O206" s="26" t="b">
        <x:v>1</x:v>
      </x:c>
      <x:c r="P206" s="11" t="n">
        <x:f>31</x:f>
        <x:v>31</x:v>
      </x:c>
      <x:c r="Q206" s="16" t="n">
        <x:v>1.9</x:v>
      </x:c>
      <x:c r="R206" s="16" t="n">
        <x:v>10</x:v>
      </x:c>
      <x:c r="S206" s="16" t="n">
        <x:v>18</x:v>
      </x:c>
    </x:row>
    <x:row r="207" ht="23" customHeight="1">
      <x:c r="A207" s="11" t="str">
        <x:v>09926.HK</x:v>
      </x:c>
      <x:c r="B207" s="11" t="str">
        <x:v>半年</x:v>
      </x:c>
      <x:c r="C207" s="11" t="str">
        <x:v>肺癌</x:v>
      </x:c>
      <x:c r="D207" s="11" t="n">
        <x:v>2035</x:v>
      </x:c>
      <x:c r="E207" s="11" t="n">
        <x:f>CHOOSE('假设'!$B$3,Q207,R207,S207)</x:f>
        <x:v>10.5</x:v>
      </x:c>
      <x:c r="F207" s="11" t="n">
        <x:f>'药物假设'!K31</x:f>
        <x:v>0.15</x:v>
      </x:c>
      <x:c r="G207" s="11" t="n">
        <x:f>1-'药物假设'!L31</x:f>
        <x:v>0.8</x:v>
      </x:c>
      <x:c r="H207" s="11" t="n">
        <x:f>'药物假设'!I31</x:f>
        <x:v>0.72</x:v>
      </x:c>
      <x:c r="I207" s="11" t="n">
        <x:f>E207*F207*G207*H207*'药物假设'!Q31</x:f>
        <x:v>0.9072</x:v>
      </x:c>
      <x:c r="J207" s="11" t="str">
        <x:v>2027-04-09</x:v>
      </x:c>
      <x:c r="K207" s="11" t="n">
        <x:v>8.728268309377139</x:v>
      </x:c>
      <x:c r="L207" s="11" t="n">
        <x:f>'药物假设'!M31</x:f>
        <x:v>0.11</x:v>
      </x:c>
      <x:c r="M207" s="11" t="n">
        <x:f>IF(O207,I207/(1+L207)^K207,0)</x:f>
        <x:v>0.36484795985249013</x:v>
      </x:c>
      <x:c r="N207" s="11" t="n">
        <x:f>M207*'药物假设'!N31</x:f>
        <x:v>2.480966126996933</x:v>
      </x:c>
      <x:c r="O207" s="26" t="b">
        <x:v>1</x:v>
      </x:c>
      <x:c r="P207" s="11" t="n">
        <x:f>31</x:f>
        <x:v>31</x:v>
      </x:c>
      <x:c r="Q207" s="16" t="n">
        <x:v>1.9</x:v>
      </x:c>
      <x:c r="R207" s="16" t="n">
        <x:v>10.5</x:v>
      </x:c>
      <x:c r="S207" s="16" t="n">
        <x:v>19</x:v>
      </x:c>
    </x:row>
    <x:row r="208" ht="23" customHeight="1">
      <x:c r="A208" s="11" t="str">
        <x:v>09926.HK</x:v>
      </x:c>
      <x:c r="B208" s="11" t="str">
        <x:v>半年</x:v>
      </x:c>
      <x:c r="C208" s="11" t="str">
        <x:v>肺癌</x:v>
      </x:c>
      <x:c r="D208" s="11" t="n">
        <x:v>2036</x:v>
      </x:c>
      <x:c r="E208" s="11" t="n">
        <x:f>CHOOSE('假设'!$B$3,Q208,R208,S208)</x:f>
        <x:v>10.5</x:v>
      </x:c>
      <x:c r="F208" s="11" t="n">
        <x:f>'药物假设'!K31</x:f>
        <x:v>0.15</x:v>
      </x:c>
      <x:c r="G208" s="11" t="n">
        <x:f>1-'药物假设'!L31</x:f>
        <x:v>0.8</x:v>
      </x:c>
      <x:c r="H208" s="11" t="n">
        <x:f>'药物假设'!I31</x:f>
        <x:v>0.72</x:v>
      </x:c>
      <x:c r="I208" s="11" t="n">
        <x:f>E208*F208*G208*H208*'药物假设'!Q31</x:f>
        <x:v>0.9072</x:v>
      </x:c>
      <x:c r="J208" s="11" t="str">
        <x:v>2027-04-09</x:v>
      </x:c>
      <x:c r="K208" s="11" t="n">
        <x:v>9.730321697467488</x:v>
      </x:c>
      <x:c r="L208" s="11" t="n">
        <x:f>'药物假设'!M31</x:f>
        <x:v>0.11</x:v>
      </x:c>
      <x:c r="M208" s="11" t="n">
        <x:f>IF(O208,I208/(1+L208)^K208,0)</x:f>
        <x:v>0.3286214273615338</x:v>
      </x:c>
      <x:c r="N208" s="11" t="n">
        <x:f>M208*'药物假设'!N31</x:f>
        <x:v>2.23462570605843</x:v>
      </x:c>
      <x:c r="O208" s="26" t="b">
        <x:v>1</x:v>
      </x:c>
      <x:c r="P208" s="11" t="n">
        <x:f>31</x:f>
        <x:v>31</x:v>
      </x:c>
      <x:c r="Q208" s="16" t="n">
        <x:v>1.8</x:v>
      </x:c>
      <x:c r="R208" s="16" t="n">
        <x:v>10.5</x:v>
      </x:c>
      <x:c r="S208" s="16" t="n">
        <x:v>19</x:v>
      </x:c>
    </x:row>
    <x:row r="209" ht="23" customHeight="1">
      <x:c r="A209" s="11" t="str">
        <x:v>09926.HK</x:v>
      </x:c>
      <x:c r="B209" s="11" t="str">
        <x:v>半年</x:v>
      </x:c>
      <x:c r="C209" s="11" t="str">
        <x:v>肺癌</x:v>
      </x:c>
      <x:c r="D209" s="11" t="n">
        <x:v>2037</x:v>
      </x:c>
      <x:c r="E209" s="11" t="n">
        <x:f>CHOOSE('假设'!$B$3,Q209,R209,S209)</x:f>
        <x:v>10</x:v>
      </x:c>
      <x:c r="F209" s="11" t="n">
        <x:f>'药物假设'!K31</x:f>
        <x:v>0.15</x:v>
      </x:c>
      <x:c r="G209" s="11" t="n">
        <x:f>1-'药物假设'!L31</x:f>
        <x:v>0.8</x:v>
      </x:c>
      <x:c r="H209" s="11" t="n">
        <x:f>'药物假设'!I31</x:f>
        <x:v>0.72</x:v>
      </x:c>
      <x:c r="I209" s="11" t="n">
        <x:f>E209*F209*G209*H209*'药物假设'!Q31</x:f>
        <x:v>0.8640000000000001</x:v>
      </x:c>
      <x:c r="J209" s="11" t="str">
        <x:v>2027-04-09</x:v>
      </x:c>
      <x:c r="K209" s="11" t="n">
        <x:v>10.729637234770705</x:v>
      </x:c>
      <x:c r="L209" s="11" t="n">
        <x:f>'药物假设'!M31</x:f>
        <x:v>0.11</x:v>
      </x:c>
      <x:c r="M209" s="11" t="n">
        <x:f>IF(O209,I209/(1+L209)^K209,0)</x:f>
        <x:v>0.28197760772639957</x:v>
      </x:c>
      <x:c r="N209" s="11" t="n">
        <x:f>M209*'药物假设'!N31</x:f>
        <x:v>1.917447732539517</x:v>
      </x:c>
      <x:c r="O209" s="26" t="b">
        <x:v>1</x:v>
      </x:c>
      <x:c r="P209" s="11" t="n">
        <x:f>31</x:f>
        <x:v>31</x:v>
      </x:c>
      <x:c r="Q209" s="16" t="n">
        <x:v>1.7</x:v>
      </x:c>
      <x:c r="R209" s="16" t="n">
        <x:v>10</x:v>
      </x:c>
      <x:c r="S209" s="16" t="n">
        <x:v>18</x:v>
      </x:c>
    </x:row>
    <x:row r="210" ht="23" customHeight="1">
      <x:c r="A210" s="11" t="str">
        <x:v>09926.HK</x:v>
      </x:c>
      <x:c r="B210" s="11" t="str">
        <x:v>半年</x:v>
      </x:c>
      <x:c r="C210" s="11" t="str">
        <x:v>肺癌</x:v>
      </x:c>
      <x:c r="D210" s="11" t="n">
        <x:v>2038</x:v>
      </x:c>
      <x:c r="E210" s="11" t="n">
        <x:f>CHOOSE('假设'!$B$3,Q210,R210,S210)</x:f>
        <x:v>9</x:v>
      </x:c>
      <x:c r="F210" s="11" t="n">
        <x:f>'药物假设'!K31</x:f>
        <x:v>0.15</x:v>
      </x:c>
      <x:c r="G210" s="11" t="n">
        <x:f>1-'药物假设'!L31</x:f>
        <x:v>0.8</x:v>
      </x:c>
      <x:c r="H210" s="11" t="n">
        <x:f>'药物假设'!I31</x:f>
        <x:v>0.72</x:v>
      </x:c>
      <x:c r="I210" s="11" t="n">
        <x:f>E210*F210*G210*H210*'药物假设'!Q31</x:f>
        <x:v>0.7775999999999998</x:v>
      </x:c>
      <x:c r="J210" s="11" t="str">
        <x:v>2027-04-09</x:v>
      </x:c>
      <x:c r="K210" s="11" t="n">
        <x:v>11.728952772073923</x:v>
      </x:c>
      <x:c r="L210" s="11" t="n">
        <x:f>'药物假设'!M31</x:f>
        <x:v>0.11</x:v>
      </x:c>
      <x:c r="M210" s="11" t="n">
        <x:f>IF(O210,I210/(1+L210)^K210,0)</x:f>
        <x:v>0.22864682453341356</x:v>
      </x:c>
      <x:c r="N210" s="11" t="n">
        <x:f>M210*'药物假设'!N31</x:f>
        <x:v>1.5547984068272123</x:v>
      </x:c>
      <x:c r="O210" s="26" t="b">
        <x:v>1</x:v>
      </x:c>
      <x:c r="P210" s="11" t="n">
        <x:f>31</x:f>
        <x:v>31</x:v>
      </x:c>
      <x:c r="Q210" s="16" t="n">
        <x:v>1.5</x:v>
      </x:c>
      <x:c r="R210" s="16" t="n">
        <x:v>9</x:v>
      </x:c>
      <x:c r="S210" s="16" t="n">
        <x:v>17</x:v>
      </x:c>
    </x:row>
    <x:row r="211" ht="23" customHeight="1">
      <x:c r="A211" s="11" t="str">
        <x:v>09926.HK</x:v>
      </x:c>
      <x:c r="B211" s="11" t="str">
        <x:v>半年</x:v>
      </x:c>
      <x:c r="C211" s="11" t="str">
        <x:v>肺癌</x:v>
      </x:c>
      <x:c r="D211" s="11" t="n">
        <x:v>2039</x:v>
      </x:c>
      <x:c r="E211" s="11" t="n">
        <x:f>CHOOSE('假设'!$B$3,Q211,R211,S211)</x:f>
        <x:v>8</x:v>
      </x:c>
      <x:c r="F211" s="11" t="n">
        <x:f>'药物假设'!K31</x:f>
        <x:v>0.15</x:v>
      </x:c>
      <x:c r="G211" s="11" t="n">
        <x:f>1-'药物假设'!L31</x:f>
        <x:v>0.8</x:v>
      </x:c>
      <x:c r="H211" s="11" t="n">
        <x:f>'药物假设'!I31</x:f>
        <x:v>0.72</x:v>
      </x:c>
      <x:c r="I211" s="11" t="n">
        <x:f>E211*F211*G211*H211*'药物假设'!Q31</x:f>
        <x:v>0.6911999999999999</x:v>
      </x:c>
      <x:c r="J211" s="11" t="str">
        <x:v>2027-04-09</x:v>
      </x:c>
      <x:c r="K211" s="11" t="n">
        <x:v>12.728268309377139</x:v>
      </x:c>
      <x:c r="L211" s="11" t="n">
        <x:f>'药物假设'!M31</x:f>
        <x:v>0.11</x:v>
      </x:c>
      <x:c r="M211" s="11" t="n">
        <x:f>IF(O211,I211/(1+L211)^K211,0)</x:f>
        <x:v>0.1831136396254832</x:v>
      </x:c>
      <x:c r="N211" s="11" t="n">
        <x:f>M211*'药物假设'!N31</x:f>
        <x:v>1.2451727494532856</x:v>
      </x:c>
      <x:c r="O211" s="26" t="b">
        <x:v>1</x:v>
      </x:c>
      <x:c r="P211" s="11" t="n">
        <x:f>31</x:f>
        <x:v>31</x:v>
      </x:c>
      <x:c r="Q211" s="16" t="n">
        <x:v>1.2</x:v>
      </x:c>
      <x:c r="R211" s="16" t="n">
        <x:v>8</x:v>
      </x:c>
      <x:c r="S211" s="16" t="n">
        <x:v>15</x:v>
      </x:c>
    </x:row>
    <x:row r="212" ht="23" customHeight="1">
      <x:c r="A212" s="11" t="str">
        <x:v>09926.HK</x:v>
      </x:c>
      <x:c r="B212" s="11" t="str">
        <x:v>半年</x:v>
      </x:c>
      <x:c r="C212" s="11" t="str">
        <x:v>肺癌</x:v>
      </x:c>
      <x:c r="D212" s="11" t="n">
        <x:v>2040</x:v>
      </x:c>
      <x:c r="E212" s="11" t="n">
        <x:f>CHOOSE('假设'!$B$3,Q212,R212,S212)</x:f>
        <x:v>6.5</x:v>
      </x:c>
      <x:c r="F212" s="11" t="n">
        <x:f>'药物假设'!K31</x:f>
        <x:v>0.15</x:v>
      </x:c>
      <x:c r="G212" s="11" t="n">
        <x:f>1-'药物假设'!L31</x:f>
        <x:v>0.8</x:v>
      </x:c>
      <x:c r="H212" s="11" t="n">
        <x:f>'药物假设'!I31</x:f>
        <x:v>0.72</x:v>
      </x:c>
      <x:c r="I212" s="11" t="n">
        <x:f>E212*F212*G212*H212*'药物假设'!Q31</x:f>
        <x:v>0.5616</x:v>
      </x:c>
      <x:c r="J212" s="11" t="str">
        <x:v>2027-04-09</x:v>
      </x:c>
      <x:c r="K212" s="11" t="n">
        <x:v>13.730321697467488</x:v>
      </x:c>
      <x:c r="L212" s="11" t="n">
        <x:f>'药物假设'!M31</x:f>
        <x:v>0.11</x:v>
      </x:c>
      <x:c r="M212" s="11" t="n">
        <x:f>IF(O212,I212/(1+L212)^K212,0)</x:f>
        <x:v>0.1340071651723898</x:v>
      </x:c>
      <x:c r="N212" s="11" t="n">
        <x:f>M212*'药物假设'!N31</x:f>
        <x:v>0.9112487231722507</x:v>
      </x:c>
      <x:c r="O212" s="26" t="b">
        <x:v>1</x:v>
      </x:c>
      <x:c r="P212" s="11" t="n">
        <x:f>31</x:f>
        <x:v>31</x:v>
      </x:c>
      <x:c r="Q212" s="16" t="n">
        <x:v>0.9</x:v>
      </x:c>
      <x:c r="R212" s="16" t="n">
        <x:v>6.5</x:v>
      </x:c>
      <x:c r="S212" s="16" t="n">
        <x:v>12</x:v>
      </x:c>
    </x:row>
    <x:row r="213" ht="23" customHeight="1">
      <x:c r="A213" s="11" t="str">
        <x:v>09926.HK</x:v>
      </x:c>
      <x:c r="B213" s="11" t="str">
        <x:v>半年</x:v>
      </x:c>
      <x:c r="C213" s="11" t="str">
        <x:v>肺癌</x:v>
      </x:c>
      <x:c r="D213" s="11" t="n">
        <x:v>2041</x:v>
      </x:c>
      <x:c r="E213" s="11" t="n">
        <x:f>CHOOSE('假设'!$B$3,Q213,R213,S213)</x:f>
        <x:v>5</x:v>
      </x:c>
      <x:c r="F213" s="11" t="n">
        <x:f>'药物假设'!K31</x:f>
        <x:v>0.15</x:v>
      </x:c>
      <x:c r="G213" s="11" t="n">
        <x:f>1-'药物假设'!L31</x:f>
        <x:v>0.8</x:v>
      </x:c>
      <x:c r="H213" s="11" t="n">
        <x:f>'药物假设'!I31</x:f>
        <x:v>0.72</x:v>
      </x:c>
      <x:c r="I213" s="11" t="n">
        <x:f>E213*F213*G213*H213*'药物假设'!Q31</x:f>
        <x:v>0.43200000000000005</x:v>
      </x:c>
      <x:c r="J213" s="11" t="str">
        <x:v>2027-04-09</x:v>
      </x:c>
      <x:c r="K213" s="11" t="n">
        <x:v>14.729637234770705</x:v>
      </x:c>
      <x:c r="L213" s="11" t="n">
        <x:f>'药物假设'!M31</x:f>
        <x:v>0.11</x:v>
      </x:c>
      <x:c r="M213" s="11" t="n">
        <x:f>IF(O213,I213/(1+L213)^K213,0)</x:f>
        <x:v>0.09287369211234393</x:v>
      </x:c>
      <x:c r="N213" s="11" t="n">
        <x:f>M213*'药物假设'!N31</x:f>
        <x:v>0.6315411063639388</x:v>
      </x:c>
      <x:c r="O213" s="26" t="b">
        <x:v>1</x:v>
      </x:c>
      <x:c r="P213" s="11" t="n">
        <x:f>31</x:f>
        <x:v>31</x:v>
      </x:c>
      <x:c r="Q213" s="16" t="n">
        <x:v>0.6</x:v>
      </x:c>
      <x:c r="R213" s="16" t="n">
        <x:v>5</x:v>
      </x:c>
      <x:c r="S213" s="16" t="n">
        <x:v>9</x:v>
      </x:c>
    </x:row>
    <x:row r="214" ht="23" customHeight="1">
      <x:c r="A214" s="11" t="str">
        <x:v>09926.HK</x:v>
      </x:c>
      <x:c r="B214" s="11" t="str">
        <x:v>半年</x:v>
      </x:c>
      <x:c r="C214" s="11" t="str">
        <x:v>肺癌</x:v>
      </x:c>
      <x:c r="D214" s="11" t="n">
        <x:v>2042</x:v>
      </x:c>
      <x:c r="E214" s="11" t="n">
        <x:f>CHOOSE('假设'!$B$3,Q214,R214,S214)</x:f>
        <x:v>3</x:v>
      </x:c>
      <x:c r="F214" s="11" t="n">
        <x:f>'药物假设'!K31</x:f>
        <x:v>0.15</x:v>
      </x:c>
      <x:c r="G214" s="11" t="n">
        <x:f>1-'药物假设'!L31</x:f>
        <x:v>0.8</x:v>
      </x:c>
      <x:c r="H214" s="11" t="n">
        <x:f>'药物假设'!I31</x:f>
        <x:v>0.72</x:v>
      </x:c>
      <x:c r="I214" s="11" t="n">
        <x:f>E214*F214*G214*H214*'药物假设'!Q31</x:f>
        <x:v>0.2592</x:v>
      </x:c>
      <x:c r="J214" s="11" t="str">
        <x:v>2027-04-09</x:v>
      </x:c>
      <x:c r="K214" s="11" t="n">
        <x:v>15.728952772073923</x:v>
      </x:c>
      <x:c r="L214" s="11" t="n">
        <x:f>'药物假设'!M31</x:f>
        <x:v>0.11</x:v>
      </x:c>
      <x:c r="M214" s="11" t="n">
        <x:f>IF(O214,I214/(1+L214)^K214,0)</x:f>
        <x:v>0.05020558182001881</x:v>
      </x:c>
      <x:c r="N214" s="11" t="n">
        <x:f>M214*'药物假设'!N31</x:f>
        <x:v>0.3413979563761279</x:v>
      </x:c>
      <x:c r="O214" s="26" t="b">
        <x:v>1</x:v>
      </x:c>
      <x:c r="P214" s="11" t="n">
        <x:f>31</x:f>
        <x:v>31</x:v>
      </x:c>
      <x:c r="Q214" s="16" t="n">
        <x:v>0.3</x:v>
      </x:c>
      <x:c r="R214" s="16" t="n">
        <x:v>3</x:v>
      </x:c>
      <x:c r="S214" s="16" t="n">
        <x:v>6</x:v>
      </x:c>
    </x:row>
    <x:row r="215" ht="23" customHeight="1">
      <x:c r="A215" s="11" t="str">
        <x:v>09926.HK</x:v>
      </x:c>
      <x:c r="B215" s="11" t="str">
        <x:v>半年</x:v>
      </x:c>
      <x:c r="C215" s="11" t="str">
        <x:v>其他适应症</x:v>
      </x:c>
      <x:c r="D215" s="11" t="n">
        <x:v>2027</x:v>
      </x:c>
      <x:c r="E215" s="11" t="n">
        <x:f>CHOOSE('假设'!$B$3,Q215,R215,S215)</x:f>
        <x:v>0</x:v>
      </x:c>
      <x:c r="F215" s="11" t="n">
        <x:f>'药物假设'!K31</x:f>
        <x:v>0.15</x:v>
      </x:c>
      <x:c r="G215" s="11" t="n">
        <x:f>1-'药物假设'!L31</x:f>
        <x:v>0.8</x:v>
      </x:c>
      <x:c r="H215" s="11" t="n">
        <x:f>'药物假设'!J31</x:f>
        <x:v>0.28</x:v>
      </x:c>
      <x:c r="I215" s="11" t="n">
        <x:f>E215*F215*G215*H215*'药物假设'!Q31</x:f>
        <x:v>0</x:v>
      </x:c>
      <x:c r="J215" s="11" t="str">
        <x:v>2027-04-09</x:v>
      </x:c>
      <x:c r="K215" s="11" t="n">
        <x:v>0.7282683093771389</x:v>
      </x:c>
      <x:c r="L215" s="11" t="n">
        <x:f>'药物假设'!M31</x:f>
        <x:v>0.11</x:v>
      </x:c>
      <x:c r="M215" s="11" t="n">
        <x:f>IF(O215,I215/(1+L215)^K215,0)</x:f>
        <x:v>0</x:v>
      </x:c>
      <x:c r="N215" s="11" t="n">
        <x:f>M215*'药物假设'!N31</x:f>
        <x:v>0</x:v>
      </x:c>
      <x:c r="O215" s="26" t="b">
        <x:v>1</x:v>
      </x:c>
      <x:c r="P215" s="11" t="n">
        <x:f>31</x:f>
        <x:v>31</x:v>
      </x:c>
      <x:c r="Q215" s="16" t="n">
        <x:v>0</x:v>
      </x:c>
      <x:c r="R215" s="16" t="n">
        <x:v>0</x:v>
      </x:c>
      <x:c r="S215" s="16" t="n">
        <x:v>0</x:v>
      </x:c>
    </x:row>
    <x:row r="216" ht="23" customHeight="1">
      <x:c r="A216" s="11" t="str">
        <x:v>09926.HK</x:v>
      </x:c>
      <x:c r="B216" s="11" t="str">
        <x:v>半年</x:v>
      </x:c>
      <x:c r="C216" s="11" t="str">
        <x:v>其他适应症</x:v>
      </x:c>
      <x:c r="D216" s="11" t="n">
        <x:v>2028</x:v>
      </x:c>
      <x:c r="E216" s="11" t="n">
        <x:f>CHOOSE('假设'!$B$3,Q216,R216,S216)</x:f>
        <x:v>0</x:v>
      </x:c>
      <x:c r="F216" s="11" t="n">
        <x:f>'药物假设'!K31</x:f>
        <x:v>0.15</x:v>
      </x:c>
      <x:c r="G216" s="11" t="n">
        <x:f>1-'药物假设'!L31</x:f>
        <x:v>0.8</x:v>
      </x:c>
      <x:c r="H216" s="11" t="n">
        <x:f>'药物假设'!J31</x:f>
        <x:v>0.28</x:v>
      </x:c>
      <x:c r="I216" s="11" t="n">
        <x:f>E216*F216*G216*H216*'药物假设'!Q31</x:f>
        <x:v>0</x:v>
      </x:c>
      <x:c r="J216" s="11" t="str">
        <x:v>2027-04-09</x:v>
      </x:c>
      <x:c r="K216" s="11" t="n">
        <x:v>1.730321697467488</x:v>
      </x:c>
      <x:c r="L216" s="11" t="n">
        <x:f>'药物假设'!M31</x:f>
        <x:v>0.11</x:v>
      </x:c>
      <x:c r="M216" s="11" t="n">
        <x:f>IF(O216,I216/(1+L216)^K216,0)</x:f>
        <x:v>0</x:v>
      </x:c>
      <x:c r="N216" s="11" t="n">
        <x:f>M216*'药物假设'!N31</x:f>
        <x:v>0</x:v>
      </x:c>
      <x:c r="O216" s="26" t="b">
        <x:v>1</x:v>
      </x:c>
      <x:c r="P216" s="11" t="n">
        <x:f>31</x:f>
        <x:v>31</x:v>
      </x:c>
      <x:c r="Q216" s="16" t="n">
        <x:v>0</x:v>
      </x:c>
      <x:c r="R216" s="16" t="n">
        <x:v>0</x:v>
      </x:c>
      <x:c r="S216" s="16" t="n">
        <x:v>0</x:v>
      </x:c>
    </x:row>
    <x:row r="217" ht="23" customHeight="1">
      <x:c r="A217" s="11" t="str">
        <x:v>09926.HK</x:v>
      </x:c>
      <x:c r="B217" s="11" t="str">
        <x:v>半年</x:v>
      </x:c>
      <x:c r="C217" s="11" t="str">
        <x:v>其他适应症</x:v>
      </x:c>
      <x:c r="D217" s="11" t="n">
        <x:v>2029</x:v>
      </x:c>
      <x:c r="E217" s="11" t="n">
        <x:f>CHOOSE('假设'!$B$3,Q217,R217,S217)</x:f>
        <x:v>0</x:v>
      </x:c>
      <x:c r="F217" s="11" t="n">
        <x:f>'药物假设'!K31</x:f>
        <x:v>0.15</x:v>
      </x:c>
      <x:c r="G217" s="11" t="n">
        <x:f>1-'药物假设'!L31</x:f>
        <x:v>0.8</x:v>
      </x:c>
      <x:c r="H217" s="11" t="n">
        <x:f>'药物假设'!J31</x:f>
        <x:v>0.28</x:v>
      </x:c>
      <x:c r="I217" s="11" t="n">
        <x:f>E217*F217*G217*H217*'药物假设'!Q31</x:f>
        <x:v>0</x:v>
      </x:c>
      <x:c r="J217" s="11" t="str">
        <x:v>2027-04-09</x:v>
      </x:c>
      <x:c r="K217" s="11" t="n">
        <x:v>2.729637234770705</x:v>
      </x:c>
      <x:c r="L217" s="11" t="n">
        <x:f>'药物假设'!M31</x:f>
        <x:v>0.11</x:v>
      </x:c>
      <x:c r="M217" s="11" t="n">
        <x:f>IF(O217,I217/(1+L217)^K217,0)</x:f>
        <x:v>0</x:v>
      </x:c>
      <x:c r="N217" s="11" t="n">
        <x:f>M217*'药物假设'!N31</x:f>
        <x:v>0</x:v>
      </x:c>
      <x:c r="O217" s="26" t="b">
        <x:v>1</x:v>
      </x:c>
      <x:c r="P217" s="11" t="n">
        <x:f>31</x:f>
        <x:v>31</x:v>
      </x:c>
      <x:c r="Q217" s="16" t="n">
        <x:v>0</x:v>
      </x:c>
      <x:c r="R217" s="16" t="n">
        <x:v>0</x:v>
      </x:c>
      <x:c r="S217" s="16" t="n">
        <x:v>0.3</x:v>
      </x:c>
    </x:row>
    <x:row r="218" ht="23" customHeight="1">
      <x:c r="A218" s="11" t="str">
        <x:v>09926.HK</x:v>
      </x:c>
      <x:c r="B218" s="11" t="str">
        <x:v>半年</x:v>
      </x:c>
      <x:c r="C218" s="11" t="str">
        <x:v>其他适应症</x:v>
      </x:c>
      <x:c r="D218" s="11" t="n">
        <x:v>2030</x:v>
      </x:c>
      <x:c r="E218" s="11" t="n">
        <x:f>CHOOSE('假设'!$B$3,Q218,R218,S218)</x:f>
        <x:v>0.3</x:v>
      </x:c>
      <x:c r="F218" s="11" t="n">
        <x:f>'药物假设'!K31</x:f>
        <x:v>0.15</x:v>
      </x:c>
      <x:c r="G218" s="11" t="n">
        <x:f>1-'药物假设'!L31</x:f>
        <x:v>0.8</x:v>
      </x:c>
      <x:c r="H218" s="11" t="n">
        <x:f>'药物假设'!J31</x:f>
        <x:v>0.28</x:v>
      </x:c>
      <x:c r="I218" s="11" t="n">
        <x:f>E218*F218*G218*H218*'药物假设'!Q31</x:f>
        <x:v>0.01008</x:v>
      </x:c>
      <x:c r="J218" s="11" t="str">
        <x:v>2027-04-09</x:v>
      </x:c>
      <x:c r="K218" s="11" t="n">
        <x:v>3.728952772073922</x:v>
      </x:c>
      <x:c r="L218" s="11" t="n">
        <x:f>'药物假设'!M31</x:f>
        <x:v>0.11</x:v>
      </x:c>
      <x:c r="M218" s="11" t="n">
        <x:f>IF(O218,I218/(1+L218)^K218,0)</x:f>
        <x:v>0.006830512410079005</x:v>
      </x:c>
      <x:c r="N218" s="11" t="n">
        <x:f>M218*'药物假设'!N31</x:f>
        <x:v>0.046447484388537234</x:v>
      </x:c>
      <x:c r="O218" s="26" t="b">
        <x:v>1</x:v>
      </x:c>
      <x:c r="P218" s="11" t="n">
        <x:f>31</x:f>
        <x:v>31</x:v>
      </x:c>
      <x:c r="Q218" s="16" t="n">
        <x:v>0</x:v>
      </x:c>
      <x:c r="R218" s="16" t="n">
        <x:v>0.3</x:v>
      </x:c>
      <x:c r="S218" s="16" t="n">
        <x:v>1</x:v>
      </x:c>
    </x:row>
    <x:row r="219" ht="23" customHeight="1">
      <x:c r="A219" s="11" t="str">
        <x:v>09926.HK</x:v>
      </x:c>
      <x:c r="B219" s="11" t="str">
        <x:v>半年</x:v>
      </x:c>
      <x:c r="C219" s="11" t="str">
        <x:v>其他适应症</x:v>
      </x:c>
      <x:c r="D219" s="11" t="n">
        <x:v>2031</x:v>
      </x:c>
      <x:c r="E219" s="11" t="n">
        <x:f>CHOOSE('假设'!$B$3,Q219,R219,S219)</x:f>
        <x:v>0.8</x:v>
      </x:c>
      <x:c r="F219" s="11" t="n">
        <x:f>'药物假设'!K31</x:f>
        <x:v>0.15</x:v>
      </x:c>
      <x:c r="G219" s="11" t="n">
        <x:f>1-'药物假设'!L31</x:f>
        <x:v>0.8</x:v>
      </x:c>
      <x:c r="H219" s="11" t="n">
        <x:f>'药物假设'!J31</x:f>
        <x:v>0.28</x:v>
      </x:c>
      <x:c r="I219" s="11" t="n">
        <x:f>E219*F219*G219*H219*'药物假设'!Q31</x:f>
        <x:v>0.026880000000000005</x:v>
      </x:c>
      <x:c r="J219" s="11" t="str">
        <x:v>2027-04-09</x:v>
      </x:c>
      <x:c r="K219" s="11" t="n">
        <x:v>4.728268309377139</x:v>
      </x:c>
      <x:c r="L219" s="11" t="n">
        <x:f>'药物假设'!M31</x:f>
        <x:v>0.11</x:v>
      </x:c>
      <x:c r="M219" s="11" t="n">
        <x:f>IF(O219,I219/(1+L219)^K219,0)</x:f>
        <x:v>0.016410811614842476</x:v>
      </x:c>
      <x:c r="N219" s="11" t="n">
        <x:f>M219*'药物假设'!N31</x:f>
        <x:v>0.11159351898092884</x:v>
      </x:c>
      <x:c r="O219" s="26" t="b">
        <x:v>1</x:v>
      </x:c>
      <x:c r="P219" s="11" t="n">
        <x:f>31</x:f>
        <x:v>31</x:v>
      </x:c>
      <x:c r="Q219" s="16" t="n">
        <x:v>0</x:v>
      </x:c>
      <x:c r="R219" s="16" t="n">
        <x:v>0.8</x:v>
      </x:c>
      <x:c r="S219" s="16" t="n">
        <x:v>2.5</x:v>
      </x:c>
    </x:row>
    <x:row r="220" ht="23" customHeight="1">
      <x:c r="A220" s="11" t="str">
        <x:v>09926.HK</x:v>
      </x:c>
      <x:c r="B220" s="11" t="str">
        <x:v>半年</x:v>
      </x:c>
      <x:c r="C220" s="11" t="str">
        <x:v>其他适应症</x:v>
      </x:c>
      <x:c r="D220" s="11" t="n">
        <x:v>2032</x:v>
      </x:c>
      <x:c r="E220" s="11" t="n">
        <x:f>CHOOSE('假设'!$B$3,Q220,R220,S220)</x:f>
        <x:v>1.5</x:v>
      </x:c>
      <x:c r="F220" s="11" t="n">
        <x:f>'药物假设'!K31</x:f>
        <x:v>0.15</x:v>
      </x:c>
      <x:c r="G220" s="11" t="n">
        <x:f>1-'药物假设'!L31</x:f>
        <x:v>0.8</x:v>
      </x:c>
      <x:c r="H220" s="11" t="n">
        <x:f>'药物假设'!J31</x:f>
        <x:v>0.28</x:v>
      </x:c>
      <x:c r="I220" s="11" t="n">
        <x:f>E220*F220*G220*H220*'药物假设'!Q31</x:f>
        <x:v>0.0504</x:v>
      </x:c>
      <x:c r="J220" s="11" t="str">
        <x:v>2027-04-09</x:v>
      </x:c>
      <x:c r="K220" s="11" t="n">
        <x:v>5.730321697467488</x:v>
      </x:c>
      <x:c r="L220" s="11" t="n">
        <x:f>'药物假设'!M31</x:f>
        <x:v>0.11</x:v>
      </x:c>
      <x:c r="M220" s="11" t="n">
        <x:f>IF(O220,I220/(1+L220)^K220,0)</x:f>
        <x:v>0.027715025831639394</x:v>
      </x:c>
      <x:c r="N220" s="11" t="n">
        <x:f>M220*'药物假设'!N31</x:f>
        <x:v>0.18846217565514786</x:v>
      </x:c>
      <x:c r="O220" s="26" t="b">
        <x:v>1</x:v>
      </x:c>
      <x:c r="P220" s="11" t="n">
        <x:f>31</x:f>
        <x:v>31</x:v>
      </x:c>
      <x:c r="Q220" s="16" t="n">
        <x:v>0.1</x:v>
      </x:c>
      <x:c r="R220" s="16" t="n">
        <x:v>1.5</x:v>
      </x:c>
      <x:c r="S220" s="16" t="n">
        <x:v>5</x:v>
      </x:c>
    </x:row>
    <x:row r="221" ht="23" customHeight="1">
      <x:c r="A221" s="11" t="str">
        <x:v>09926.HK</x:v>
      </x:c>
      <x:c r="B221" s="11" t="str">
        <x:v>半年</x:v>
      </x:c>
      <x:c r="C221" s="11" t="str">
        <x:v>其他适应症</x:v>
      </x:c>
      <x:c r="D221" s="11" t="n">
        <x:v>2033</x:v>
      </x:c>
      <x:c r="E221" s="11" t="n">
        <x:f>CHOOSE('假设'!$B$3,Q221,R221,S221)</x:f>
        <x:v>2.5</x:v>
      </x:c>
      <x:c r="F221" s="11" t="n">
        <x:f>'药物假设'!K31</x:f>
        <x:v>0.15</x:v>
      </x:c>
      <x:c r="G221" s="11" t="n">
        <x:f>1-'药物假设'!L31</x:f>
        <x:v>0.8</x:v>
      </x:c>
      <x:c r="H221" s="11" t="n">
        <x:f>'药物假设'!J31</x:f>
        <x:v>0.28</x:v>
      </x:c>
      <x:c r="I221" s="11" t="n">
        <x:f>E221*F221*G221*H221*'药物假设'!Q31</x:f>
        <x:v>0.08400000000000002</x:v>
      </x:c>
      <x:c r="J221" s="11" t="str">
        <x:v>2027-04-09</x:v>
      </x:c>
      <x:c r="K221" s="11" t="n">
        <x:v>6.729637234770705</x:v>
      </x:c>
      <x:c r="L221" s="11" t="n">
        <x:f>'药物假设'!M31</x:f>
        <x:v>0.11</x:v>
      </x:c>
      <x:c r="M221" s="11" t="n">
        <x:f>IF(O221,I221/(1+L221)^K221,0)</x:f>
        <x:v>0.0416171255278367</x:v>
      </x:c>
      <x:c r="N221" s="11" t="n">
        <x:f>M221*'药物假设'!N31</x:f>
        <x:v>0.2829964535892896</x:v>
      </x:c>
      <x:c r="O221" s="26" t="b">
        <x:v>1</x:v>
      </x:c>
      <x:c r="P221" s="11" t="n">
        <x:f>31</x:f>
        <x:v>31</x:v>
      </x:c>
      <x:c r="Q221" s="16" t="n">
        <x:v>0.2</x:v>
      </x:c>
      <x:c r="R221" s="16" t="n">
        <x:v>2.5</x:v>
      </x:c>
      <x:c r="S221" s="16" t="n">
        <x:v>7.5</x:v>
      </x:c>
    </x:row>
    <x:row r="222" ht="23" customHeight="1">
      <x:c r="A222" s="11" t="str">
        <x:v>09926.HK</x:v>
      </x:c>
      <x:c r="B222" s="11" t="str">
        <x:v>半年</x:v>
      </x:c>
      <x:c r="C222" s="11" t="str">
        <x:v>其他适应症</x:v>
      </x:c>
      <x:c r="D222" s="11" t="n">
        <x:v>2034</x:v>
      </x:c>
      <x:c r="E222" s="11" t="n">
        <x:f>CHOOSE('假设'!$B$3,Q222,R222,S222)</x:f>
        <x:v>3.5</x:v>
      </x:c>
      <x:c r="F222" s="11" t="n">
        <x:f>'药物假设'!K31</x:f>
        <x:v>0.15</x:v>
      </x:c>
      <x:c r="G222" s="11" t="n">
        <x:f>1-'药物假设'!L31</x:f>
        <x:v>0.8</x:v>
      </x:c>
      <x:c r="H222" s="11" t="n">
        <x:f>'药物假设'!J31</x:f>
        <x:v>0.28</x:v>
      </x:c>
      <x:c r="I222" s="11" t="n">
        <x:f>E222*F222*G222*H222*'药物假设'!Q31</x:f>
        <x:v>0.11760000000000002</x:v>
      </x:c>
      <x:c r="J222" s="11" t="str">
        <x:v>2027-04-09</x:v>
      </x:c>
      <x:c r="K222" s="11" t="n">
        <x:v>7.728952772073922</x:v>
      </x:c>
      <x:c r="L222" s="11" t="n">
        <x:f>'药物假设'!M31</x:f>
        <x:v>0.11</x:v>
      </x:c>
      <x:c r="M222" s="11" t="n">
        <x:f>IF(O222,I222/(1+L222)^K222,0)</x:f>
        <x:v>0.05249381776100999</x:v>
      </x:c>
      <x:c r="N222" s="11" t="n">
        <x:f>M222*'药物假设'!N31</x:f>
        <x:v>0.3569579607748679</x:v>
      </x:c>
      <x:c r="O222" s="26" t="b">
        <x:v>1</x:v>
      </x:c>
      <x:c r="P222" s="11" t="n">
        <x:f>31</x:f>
        <x:v>31</x:v>
      </x:c>
      <x:c r="Q222" s="16" t="n">
        <x:v>0.3</x:v>
      </x:c>
      <x:c r="R222" s="16" t="n">
        <x:v>3.5</x:v>
      </x:c>
      <x:c r="S222" s="16" t="n">
        <x:v>10</x:v>
      </x:c>
    </x:row>
    <x:row r="223" ht="23" customHeight="1">
      <x:c r="A223" s="11" t="str">
        <x:v>09926.HK</x:v>
      </x:c>
      <x:c r="B223" s="11" t="str">
        <x:v>半年</x:v>
      </x:c>
      <x:c r="C223" s="11" t="str">
        <x:v>其他适应症</x:v>
      </x:c>
      <x:c r="D223" s="11" t="n">
        <x:v>2035</x:v>
      </x:c>
      <x:c r="E223" s="11" t="n">
        <x:f>CHOOSE('假设'!$B$3,Q223,R223,S223)</x:f>
        <x:v>4.5</x:v>
      </x:c>
      <x:c r="F223" s="11" t="n">
        <x:f>'药物假设'!K31</x:f>
        <x:v>0.15</x:v>
      </x:c>
      <x:c r="G223" s="11" t="n">
        <x:f>1-'药物假设'!L31</x:f>
        <x:v>0.8</x:v>
      </x:c>
      <x:c r="H223" s="11" t="n">
        <x:f>'药物假设'!J31</x:f>
        <x:v>0.28</x:v>
      </x:c>
      <x:c r="I223" s="11" t="n">
        <x:f>E223*F223*G223*H223*'药物假设'!Q31</x:f>
        <x:v>0.1512</x:v>
      </x:c>
      <x:c r="J223" s="11" t="str">
        <x:v>2027-04-09</x:v>
      </x:c>
      <x:c r="K223" s="11" t="n">
        <x:v>8.728268309377139</x:v>
      </x:c>
      <x:c r="L223" s="11" t="n">
        <x:f>'药物假设'!M31</x:f>
        <x:v>0.11</x:v>
      </x:c>
      <x:c r="M223" s="11" t="n">
        <x:f>IF(O223,I223/(1+L223)^K223,0)</x:f>
        <x:v>0.06080799330874836</x:v>
      </x:c>
      <x:c r="N223" s="11" t="n">
        <x:f>M223*'药物假设'!N31</x:f>
        <x:v>0.41349435449948885</x:v>
      </x:c>
      <x:c r="O223" s="26" t="b">
        <x:v>1</x:v>
      </x:c>
      <x:c r="P223" s="11" t="n">
        <x:f>31</x:f>
        <x:v>31</x:v>
      </x:c>
      <x:c r="Q223" s="16" t="n">
        <x:v>0.4</x:v>
      </x:c>
      <x:c r="R223" s="16" t="n">
        <x:v>4.5</x:v>
      </x:c>
      <x:c r="S223" s="16" t="n">
        <x:v>12</x:v>
      </x:c>
    </x:row>
    <x:row r="224" ht="23" customHeight="1">
      <x:c r="A224" s="11" t="str">
        <x:v>09926.HK</x:v>
      </x:c>
      <x:c r="B224" s="11" t="str">
        <x:v>半年</x:v>
      </x:c>
      <x:c r="C224" s="11" t="str">
        <x:v>其他适应症</x:v>
      </x:c>
      <x:c r="D224" s="11" t="n">
        <x:v>2036</x:v>
      </x:c>
      <x:c r="E224" s="11" t="n">
        <x:f>CHOOSE('假设'!$B$3,Q224,R224,S224)</x:f>
        <x:v>5</x:v>
      </x:c>
      <x:c r="F224" s="11" t="n">
        <x:f>'药物假设'!K31</x:f>
        <x:v>0.15</x:v>
      </x:c>
      <x:c r="G224" s="11" t="n">
        <x:f>1-'药物假设'!L31</x:f>
        <x:v>0.8</x:v>
      </x:c>
      <x:c r="H224" s="11" t="n">
        <x:f>'药物假设'!J31</x:f>
        <x:v>0.28</x:v>
      </x:c>
      <x:c r="I224" s="11" t="n">
        <x:f>E224*F224*G224*H224*'药物假设'!Q31</x:f>
        <x:v>0.16800000000000004</x:v>
      </x:c>
      <x:c r="J224" s="11" t="str">
        <x:v>2027-04-09</x:v>
      </x:c>
      <x:c r="K224" s="11" t="n">
        <x:v>9.730321697467488</x:v>
      </x:c>
      <x:c r="L224" s="11" t="n">
        <x:f>'药物假设'!M31</x:f>
        <x:v>0.11</x:v>
      </x:c>
      <x:c r="M224" s="11" t="n">
        <x:f>IF(O224,I224/(1+L224)^K224,0)</x:f>
        <x:v>0.060855819881765534</x:v>
      </x:c>
      <x:c r="N224" s="11" t="n">
        <x:f>M224*'药物假设'!N31</x:f>
        <x:v>0.4138195751960056</x:v>
      </x:c>
      <x:c r="O224" s="26" t="b">
        <x:v>1</x:v>
      </x:c>
      <x:c r="P224" s="11" t="n">
        <x:f>31</x:f>
        <x:v>31</x:v>
      </x:c>
      <x:c r="Q224" s="16" t="n">
        <x:v>0.4</x:v>
      </x:c>
      <x:c r="R224" s="16" t="n">
        <x:v>5</x:v>
      </x:c>
      <x:c r="S224" s="16" t="n">
        <x:v>13</x:v>
      </x:c>
    </x:row>
    <x:row r="225" ht="23" customHeight="1">
      <x:c r="A225" s="11" t="str">
        <x:v>09926.HK</x:v>
      </x:c>
      <x:c r="B225" s="11" t="str">
        <x:v>半年</x:v>
      </x:c>
      <x:c r="C225" s="11" t="str">
        <x:v>其他适应症</x:v>
      </x:c>
      <x:c r="D225" s="11" t="n">
        <x:v>2037</x:v>
      </x:c>
      <x:c r="E225" s="11" t="n">
        <x:f>CHOOSE('假设'!$B$3,Q225,R225,S225)</x:f>
        <x:v>5</x:v>
      </x:c>
      <x:c r="F225" s="11" t="n">
        <x:f>'药物假设'!K31</x:f>
        <x:v>0.15</x:v>
      </x:c>
      <x:c r="G225" s="11" t="n">
        <x:f>1-'药物假设'!L31</x:f>
        <x:v>0.8</x:v>
      </x:c>
      <x:c r="H225" s="11" t="n">
        <x:f>'药物假设'!J31</x:f>
        <x:v>0.28</x:v>
      </x:c>
      <x:c r="I225" s="11" t="n">
        <x:f>E225*F225*G225*H225*'药物假设'!Q31</x:f>
        <x:v>0.16800000000000004</x:v>
      </x:c>
      <x:c r="J225" s="11" t="str">
        <x:v>2027-04-09</x:v>
      </x:c>
      <x:c r="K225" s="11" t="n">
        <x:v>10.729637234770705</x:v>
      </x:c>
      <x:c r="L225" s="11" t="n">
        <x:f>'药物假设'!M31</x:f>
        <x:v>0.11</x:v>
      </x:c>
      <x:c r="M225" s="11" t="n">
        <x:f>IF(O225,I225/(1+L225)^K225,0)</x:f>
        <x:v>0.05482897928013326</x:v>
      </x:c>
      <x:c r="N225" s="11" t="n">
        <x:f>M225*'药物假设'!N31</x:f>
        <x:v>0.3728370591049061</x:v>
      </x:c>
      <x:c r="O225" s="26" t="b">
        <x:v>1</x:v>
      </x:c>
      <x:c r="P225" s="11" t="n">
        <x:f>31</x:f>
        <x:v>31</x:v>
      </x:c>
      <x:c r="Q225" s="16" t="n">
        <x:v>0.4</x:v>
      </x:c>
      <x:c r="R225" s="16" t="n">
        <x:v>5</x:v>
      </x:c>
      <x:c r="S225" s="16" t="n">
        <x:v>13</x:v>
      </x:c>
    </x:row>
    <x:row r="226" ht="23" customHeight="1">
      <x:c r="A226" s="11" t="str">
        <x:v>09926.HK</x:v>
      </x:c>
      <x:c r="B226" s="11" t="str">
        <x:v>半年</x:v>
      </x:c>
      <x:c r="C226" s="11" t="str">
        <x:v>其他适应症</x:v>
      </x:c>
      <x:c r="D226" s="11" t="n">
        <x:v>2038</x:v>
      </x:c>
      <x:c r="E226" s="11" t="n">
        <x:f>CHOOSE('假设'!$B$3,Q226,R226,S226)</x:f>
        <x:v>4.5</x:v>
      </x:c>
      <x:c r="F226" s="11" t="n">
        <x:f>'药物假设'!K31</x:f>
        <x:v>0.15</x:v>
      </x:c>
      <x:c r="G226" s="11" t="n">
        <x:f>1-'药物假设'!L31</x:f>
        <x:v>0.8</x:v>
      </x:c>
      <x:c r="H226" s="11" t="n">
        <x:f>'药物假设'!J31</x:f>
        <x:v>0.28</x:v>
      </x:c>
      <x:c r="I226" s="11" t="n">
        <x:f>E226*F226*G226*H226*'药物假设'!Q31</x:f>
        <x:v>0.1512</x:v>
      </x:c>
      <x:c r="J226" s="11" t="str">
        <x:v>2027-04-09</x:v>
      </x:c>
      <x:c r="K226" s="11" t="n">
        <x:v>11.728952772073923</x:v>
      </x:c>
      <x:c r="L226" s="11" t="n">
        <x:f>'药物假设'!M31</x:f>
        <x:v>0.11</x:v>
      </x:c>
      <x:c r="M226" s="11" t="n">
        <x:f>IF(O226,I226/(1+L226)^K226,0)</x:f>
        <x:v>0.044459104770385977</x:v>
      </x:c>
      <x:c r="N226" s="11" t="n">
        <x:f>M226*'药物假设'!N31</x:f>
        <x:v>0.3023219124386246</x:v>
      </x:c>
      <x:c r="O226" s="26" t="b">
        <x:v>1</x:v>
      </x:c>
      <x:c r="P226" s="11" t="n">
        <x:f>31</x:f>
        <x:v>31</x:v>
      </x:c>
      <x:c r="Q226" s="16" t="n">
        <x:v>0.35</x:v>
      </x:c>
      <x:c r="R226" s="16" t="n">
        <x:v>4.5</x:v>
      </x:c>
      <x:c r="S226" s="16" t="n">
        <x:v>12</x:v>
      </x:c>
    </x:row>
    <x:row r="227" ht="23" customHeight="1">
      <x:c r="A227" s="11" t="str">
        <x:v>09926.HK</x:v>
      </x:c>
      <x:c r="B227" s="11" t="str">
        <x:v>半年</x:v>
      </x:c>
      <x:c r="C227" s="11" t="str">
        <x:v>其他适应症</x:v>
      </x:c>
      <x:c r="D227" s="11" t="n">
        <x:v>2039</x:v>
      </x:c>
      <x:c r="E227" s="11" t="n">
        <x:f>CHOOSE('假设'!$B$3,Q227,R227,S227)</x:f>
        <x:v>4</x:v>
      </x:c>
      <x:c r="F227" s="11" t="n">
        <x:f>'药物假设'!K31</x:f>
        <x:v>0.15</x:v>
      </x:c>
      <x:c r="G227" s="11" t="n">
        <x:f>1-'药物假设'!L31</x:f>
        <x:v>0.8</x:v>
      </x:c>
      <x:c r="H227" s="11" t="n">
        <x:f>'药物假设'!J31</x:f>
        <x:v>0.28</x:v>
      </x:c>
      <x:c r="I227" s="11" t="n">
        <x:f>E227*F227*G227*H227*'药物假设'!Q31</x:f>
        <x:v>0.13440000000000002</x:v>
      </x:c>
      <x:c r="J227" s="11" t="str">
        <x:v>2027-04-09</x:v>
      </x:c>
      <x:c r="K227" s="11" t="n">
        <x:v>12.728268309377139</x:v>
      </x:c>
      <x:c r="L227" s="11" t="n">
        <x:f>'药物假设'!M31</x:f>
        <x:v>0.11</x:v>
      </x:c>
      <x:c r="M227" s="11" t="n">
        <x:f>IF(O227,I227/(1+L227)^K227,0)</x:f>
        <x:v>0.035605429927177294</x:v>
      </x:c>
      <x:c r="N227" s="11" t="n">
        <x:f>M227*'药物假设'!N31</x:f>
        <x:v>0.2421169235048056</x:v>
      </x:c>
      <x:c r="O227" s="26" t="b">
        <x:v>1</x:v>
      </x:c>
      <x:c r="P227" s="11" t="n">
        <x:f>31</x:f>
        <x:v>31</x:v>
      </x:c>
      <x:c r="Q227" s="16" t="n">
        <x:v>0.3</x:v>
      </x:c>
      <x:c r="R227" s="16" t="n">
        <x:v>4</x:v>
      </x:c>
      <x:c r="S227" s="16" t="n">
        <x:v>11</x:v>
      </x:c>
    </x:row>
    <x:row r="228" ht="23" customHeight="1">
      <x:c r="A228" s="11" t="str">
        <x:v>09926.HK</x:v>
      </x:c>
      <x:c r="B228" s="11" t="str">
        <x:v>半年</x:v>
      </x:c>
      <x:c r="C228" s="11" t="str">
        <x:v>其他适应症</x:v>
      </x:c>
      <x:c r="D228" s="11" t="n">
        <x:v>2040</x:v>
      </x:c>
      <x:c r="E228" s="11" t="n">
        <x:f>CHOOSE('假设'!$B$3,Q228,R228,S228)</x:f>
        <x:v>3.2</x:v>
      </x:c>
      <x:c r="F228" s="11" t="n">
        <x:f>'药物假设'!K31</x:f>
        <x:v>0.15</x:v>
      </x:c>
      <x:c r="G228" s="11" t="n">
        <x:f>1-'药物假设'!L31</x:f>
        <x:v>0.8</x:v>
      </x:c>
      <x:c r="H228" s="11" t="n">
        <x:f>'药物假设'!J31</x:f>
        <x:v>0.28</x:v>
      </x:c>
      <x:c r="I228" s="11" t="n">
        <x:f>E228*F228*G228*H228*'药物假设'!Q31</x:f>
        <x:v>0.10752000000000002</x:v>
      </x:c>
      <x:c r="J228" s="11" t="str">
        <x:v>2027-04-09</x:v>
      </x:c>
      <x:c r="K228" s="11" t="n">
        <x:v>13.730321697467488</x:v>
      </x:c>
      <x:c r="L228" s="11" t="n">
        <x:f>'药物假设'!M31</x:f>
        <x:v>0.11</x:v>
      </x:c>
      <x:c r="M228" s="11" t="n">
        <x:f>IF(O228,I228/(1+L228)^K228,0)</x:f>
        <x:v>0.025656072648389167</x:v>
      </x:c>
      <x:c r="N228" s="11" t="n">
        <x:f>M228*'药物假设'!N31</x:f>
        <x:v>0.17446129400904634</x:v>
      </x:c>
      <x:c r="O228" s="26" t="b">
        <x:v>1</x:v>
      </x:c>
      <x:c r="P228" s="11" t="n">
        <x:f>31</x:f>
        <x:v>31</x:v>
      </x:c>
      <x:c r="Q228" s="16" t="n">
        <x:v>0.25</x:v>
      </x:c>
      <x:c r="R228" s="16" t="n">
        <x:v>3.2</x:v>
      </x:c>
      <x:c r="S228" s="16" t="n">
        <x:v>9</x:v>
      </x:c>
    </x:row>
    <x:row r="229" ht="23" customHeight="1">
      <x:c r="A229" s="11" t="str">
        <x:v>09926.HK</x:v>
      </x:c>
      <x:c r="B229" s="11" t="str">
        <x:v>半年</x:v>
      </x:c>
      <x:c r="C229" s="11" t="str">
        <x:v>其他适应症</x:v>
      </x:c>
      <x:c r="D229" s="11" t="n">
        <x:v>2041</x:v>
      </x:c>
      <x:c r="E229" s="11" t="n">
        <x:f>CHOOSE('假设'!$B$3,Q229,R229,S229)</x:f>
        <x:v>2.5</x:v>
      </x:c>
      <x:c r="F229" s="11" t="n">
        <x:f>'药物假设'!K31</x:f>
        <x:v>0.15</x:v>
      </x:c>
      <x:c r="G229" s="11" t="n">
        <x:f>1-'药物假设'!L31</x:f>
        <x:v>0.8</x:v>
      </x:c>
      <x:c r="H229" s="11" t="n">
        <x:f>'药物假设'!J31</x:f>
        <x:v>0.28</x:v>
      </x:c>
      <x:c r="I229" s="11" t="n">
        <x:f>E229*F229*G229*H229*'药物假设'!Q31</x:f>
        <x:v>0.08400000000000002</x:v>
      </x:c>
      <x:c r="J229" s="11" t="str">
        <x:v>2027-04-09</x:v>
      </x:c>
      <x:c r="K229" s="11" t="n">
        <x:v>14.729637234770705</x:v>
      </x:c>
      <x:c r="L229" s="11" t="n">
        <x:f>'药物假设'!M31</x:f>
        <x:v>0.11</x:v>
      </x:c>
      <x:c r="M229" s="11" t="n">
        <x:f>IF(O229,I229/(1+L229)^K229,0)</x:f>
        <x:v>0.0180587734662891</x:v>
      </x:c>
      <x:c r="N229" s="11" t="n">
        <x:f>M229*'药物假设'!N31</x:f>
        <x:v>0.12279965957076588</x:v>
      </x:c>
      <x:c r="O229" s="26" t="b">
        <x:v>1</x:v>
      </x:c>
      <x:c r="P229" s="11" t="n">
        <x:f>31</x:f>
        <x:v>31</x:v>
      </x:c>
      <x:c r="Q229" s="16" t="n">
        <x:v>0.2</x:v>
      </x:c>
      <x:c r="R229" s="16" t="n">
        <x:v>2.5</x:v>
      </x:c>
      <x:c r="S229" s="16" t="n">
        <x:v>7</x:v>
      </x:c>
    </x:row>
    <x:row r="230" ht="23" customHeight="1">
      <x:c r="A230" s="11" t="str">
        <x:v>09926.HK</x:v>
      </x:c>
      <x:c r="B230" s="11" t="str">
        <x:v>半年</x:v>
      </x:c>
      <x:c r="C230" s="11" t="str">
        <x:v>其他适应症</x:v>
      </x:c>
      <x:c r="D230" s="11" t="n">
        <x:v>2042</x:v>
      </x:c>
      <x:c r="E230" s="11" t="n">
        <x:f>CHOOSE('假设'!$B$3,Q230,R230,S230)</x:f>
        <x:v>1.5</x:v>
      </x:c>
      <x:c r="F230" s="11" t="n">
        <x:f>'药物假设'!K31</x:f>
        <x:v>0.15</x:v>
      </x:c>
      <x:c r="G230" s="11" t="n">
        <x:f>1-'药物假设'!L31</x:f>
        <x:v>0.8</x:v>
      </x:c>
      <x:c r="H230" s="11" t="n">
        <x:f>'药物假设'!J31</x:f>
        <x:v>0.28</x:v>
      </x:c>
      <x:c r="I230" s="11" t="n">
        <x:f>E230*F230*G230*H230*'药物假设'!Q31</x:f>
        <x:v>0.0504</x:v>
      </x:c>
      <x:c r="J230" s="11" t="str">
        <x:v>2027-04-09</x:v>
      </x:c>
      <x:c r="K230" s="11" t="n">
        <x:v>15.728952772073923</x:v>
      </x:c>
      <x:c r="L230" s="11" t="n">
        <x:f>'药物假设'!M31</x:f>
        <x:v>0.11</x:v>
      </x:c>
      <x:c r="M230" s="11" t="n">
        <x:f>IF(O230,I230/(1+L230)^K230,0)</x:f>
        <x:v>0.009762196465003658</x:v>
      </x:c>
      <x:c r="N230" s="11" t="n">
        <x:f>M230*'药物假设'!N31</x:f>
        <x:v>0.06638293596202487</x:v>
      </x:c>
      <x:c r="O230" s="26" t="b">
        <x:v>1</x:v>
      </x:c>
      <x:c r="P230" s="11" t="n">
        <x:f>31</x:f>
        <x:v>31</x:v>
      </x:c>
      <x:c r="Q230" s="16" t="n">
        <x:v>0.1</x:v>
      </x:c>
      <x:c r="R230" s="16" t="n">
        <x:v>1.5</x:v>
      </x:c>
      <x:c r="S230" s="16" t="n">
        <x:v>5</x:v>
      </x:c>
    </x:row>
    <x:row r="231" ht="23" customHeight="1">
      <x:c r="A231" s="11" t="str">
        <x:v>09926.HK</x:v>
      </x:c>
      <x:c r="B231" s="11" t="str">
        <x:v>一年</x:v>
      </x:c>
      <x:c r="C231" s="11" t="str">
        <x:v>肺癌</x:v>
      </x:c>
      <x:c r="D231" s="11" t="n">
        <x:v>2027</x:v>
      </x:c>
      <x:c r="E231" s="11" t="n">
        <x:f>CHOOSE('假设'!$B$3,Q231,R231,S231)</x:f>
        <x:v>0</x:v>
      </x:c>
      <x:c r="F231" s="11" t="n">
        <x:f>'药物假设'!K35</x:f>
        <x:v>0.15</x:v>
      </x:c>
      <x:c r="G231" s="11" t="n">
        <x:f>1-'药物假设'!L35</x:f>
        <x:v>0.8</x:v>
      </x:c>
      <x:c r="H231" s="11" t="n">
        <x:f>'药物假设'!I35</x:f>
        <x:v>0.75</x:v>
      </x:c>
      <x:c r="I231" s="11" t="n">
        <x:f>E231*F231*G231*H231*'药物假设'!Q35</x:f>
        <x:v>0</x:v>
      </x:c>
      <x:c r="J231" s="11" t="str">
        <x:v>2027-10-09</x:v>
      </x:c>
      <x:c r="K231" s="11" t="n">
        <x:v>0.2272416153319644</x:v>
      </x:c>
      <x:c r="L231" s="11" t="n">
        <x:f>'药物假设'!M35</x:f>
        <x:v>0.11</x:v>
      </x:c>
      <x:c r="M231" s="11" t="n">
        <x:f>IF(O231,I231/(1+L231)^K231,0)</x:f>
        <x:v>0</x:v>
      </x:c>
      <x:c r="N231" s="11" t="n">
        <x:f>M231*'药物假设'!N35</x:f>
        <x:v>0</x:v>
      </x:c>
      <x:c r="O231" s="26" t="b">
        <x:v>1</x:v>
      </x:c>
      <x:c r="P231" s="11" t="n">
        <x:f>35</x:f>
        <x:v>35</x:v>
      </x:c>
      <x:c r="Q231" s="16" t="n">
        <x:v>0</x:v>
      </x:c>
      <x:c r="R231" s="16" t="n">
        <x:v>0</x:v>
      </x:c>
      <x:c r="S231" s="16" t="n">
        <x:v>0.7</x:v>
      </x:c>
    </x:row>
    <x:row r="232" ht="23" customHeight="1">
      <x:c r="A232" s="11" t="str">
        <x:v>09926.HK</x:v>
      </x:c>
      <x:c r="B232" s="11" t="str">
        <x:v>一年</x:v>
      </x:c>
      <x:c r="C232" s="11" t="str">
        <x:v>肺癌</x:v>
      </x:c>
      <x:c r="D232" s="11" t="n">
        <x:v>2028</x:v>
      </x:c>
      <x:c r="E232" s="11" t="n">
        <x:f>CHOOSE('假设'!$B$3,Q232,R232,S232)</x:f>
        <x:v>0.5</x:v>
      </x:c>
      <x:c r="F232" s="11" t="n">
        <x:f>'药物假设'!K35</x:f>
        <x:v>0.15</x:v>
      </x:c>
      <x:c r="G232" s="11" t="n">
        <x:f>1-'药物假设'!L35</x:f>
        <x:v>0.8</x:v>
      </x:c>
      <x:c r="H232" s="11" t="n">
        <x:f>'药物假设'!I35</x:f>
        <x:v>0.75</x:v>
      </x:c>
      <x:c r="I232" s="11" t="n">
        <x:f>E232*F232*G232*H232*'药物假设'!Q35</x:f>
        <x:v>0.045</x:v>
      </x:c>
      <x:c r="J232" s="11" t="str">
        <x:v>2027-10-09</x:v>
      </x:c>
      <x:c r="K232" s="11" t="n">
        <x:v>1.2292950034223136</x:v>
      </x:c>
      <x:c r="L232" s="11" t="n">
        <x:f>'药物假设'!M35</x:f>
        <x:v>0.11</x:v>
      </x:c>
      <x:c r="M232" s="11" t="n">
        <x:f>IF(O232,I232/(1+L232)^K232,0)</x:f>
        <x:v>0.03958195150837337</x:v>
      </x:c>
      <x:c r="N232" s="11" t="n">
        <x:f>M232*'药物假设'!N35</x:f>
        <x:v>0.2691572702569389</x:v>
      </x:c>
      <x:c r="O232" s="26" t="b">
        <x:v>1</x:v>
      </x:c>
      <x:c r="P232" s="11" t="n">
        <x:f>35</x:f>
        <x:v>35</x:v>
      </x:c>
      <x:c r="Q232" s="16" t="n">
        <x:v>0</x:v>
      </x:c>
      <x:c r="R232" s="16" t="n">
        <x:v>0.5</x:v>
      </x:c>
      <x:c r="S232" s="16" t="n">
        <x:v>2</x:v>
      </x:c>
    </x:row>
    <x:row r="233" ht="23" customHeight="1">
      <x:c r="A233" s="11" t="str">
        <x:v>09926.HK</x:v>
      </x:c>
      <x:c r="B233" s="11" t="str">
        <x:v>一年</x:v>
      </x:c>
      <x:c r="C233" s="11" t="str">
        <x:v>肺癌</x:v>
      </x:c>
      <x:c r="D233" s="11" t="n">
        <x:v>2029</x:v>
      </x:c>
      <x:c r="E233" s="11" t="n">
        <x:f>CHOOSE('假设'!$B$3,Q233,R233,S233)</x:f>
        <x:v>1.6</x:v>
      </x:c>
      <x:c r="F233" s="11" t="n">
        <x:f>'药物假设'!K35</x:f>
        <x:v>0.15</x:v>
      </x:c>
      <x:c r="G233" s="11" t="n">
        <x:f>1-'药物假设'!L35</x:f>
        <x:v>0.8</x:v>
      </x:c>
      <x:c r="H233" s="11" t="n">
        <x:f>'药物假设'!I35</x:f>
        <x:v>0.75</x:v>
      </x:c>
      <x:c r="I233" s="11" t="n">
        <x:f>E233*F233*G233*H233*'药物假设'!Q35</x:f>
        <x:v>0.14400000000000002</x:v>
      </x:c>
      <x:c r="J233" s="11" t="str">
        <x:v>2027-10-09</x:v>
      </x:c>
      <x:c r="K233" s="11" t="n">
        <x:v>2.2286105407255303</x:v>
      </x:c>
      <x:c r="L233" s="11" t="n">
        <x:f>'药物假设'!M35</x:f>
        <x:v>0.11</x:v>
      </x:c>
      <x:c r="M233" s="11" t="n">
        <x:f>IF(O233,I233/(1+L233)^K233,0)</x:f>
        <x:v>0.11411828171366699</x:v>
      </x:c>
      <x:c r="N233" s="11" t="n">
        <x:f>M233*'药物假设'!N35</x:f>
        <x:v>0.7760043156529355</x:v>
      </x:c>
      <x:c r="O233" s="26" t="b">
        <x:v>1</x:v>
      </x:c>
      <x:c r="P233" s="11" t="n">
        <x:f>35</x:f>
        <x:v>35</x:v>
      </x:c>
      <x:c r="Q233" s="16" t="n">
        <x:v>0.4</x:v>
      </x:c>
      <x:c r="R233" s="16" t="n">
        <x:v>1.6</x:v>
      </x:c>
      <x:c r="S233" s="16" t="n">
        <x:v>4.5</x:v>
      </x:c>
    </x:row>
    <x:row r="234" ht="23" customHeight="1">
      <x:c r="A234" s="11" t="str">
        <x:v>09926.HK</x:v>
      </x:c>
      <x:c r="B234" s="11" t="str">
        <x:v>一年</x:v>
      </x:c>
      <x:c r="C234" s="11" t="str">
        <x:v>肺癌</x:v>
      </x:c>
      <x:c r="D234" s="11" t="n">
        <x:v>2030</x:v>
      </x:c>
      <x:c r="E234" s="11" t="n">
        <x:f>CHOOSE('假设'!$B$3,Q234,R234,S234)</x:f>
        <x:v>3.5</x:v>
      </x:c>
      <x:c r="F234" s="11" t="n">
        <x:f>'药物假设'!K35</x:f>
        <x:v>0.15</x:v>
      </x:c>
      <x:c r="G234" s="11" t="n">
        <x:f>1-'药物假设'!L35</x:f>
        <x:v>0.8</x:v>
      </x:c>
      <x:c r="H234" s="11" t="n">
        <x:f>'药物假设'!I35</x:f>
        <x:v>0.75</x:v>
      </x:c>
      <x:c r="I234" s="11" t="n">
        <x:f>E234*F234*G234*H234*'药物假设'!Q35</x:f>
        <x:v>0.31500000000000006</x:v>
      </x:c>
      <x:c r="J234" s="11" t="str">
        <x:v>2027-10-09</x:v>
      </x:c>
      <x:c r="K234" s="11" t="n">
        <x:v>3.2279260780287475</x:v>
      </x:c>
      <x:c r="L234" s="11" t="n">
        <x:f>'药物假设'!M35</x:f>
        <x:v>0.11</x:v>
      </x:c>
      <x:c r="M234" s="11" t="n">
        <x:f>IF(O234,I234/(1+L234)^K234,0)</x:f>
        <x:v>0.2249113273494048</x:v>
      </x:c>
      <x:c r="N234" s="11" t="n">
        <x:f>M234*'药物假设'!N35</x:f>
        <x:v>1.5293970259759526</x:v>
      </x:c>
      <x:c r="O234" s="26" t="b">
        <x:v>1</x:v>
      </x:c>
      <x:c r="P234" s="11" t="n">
        <x:f>35</x:f>
        <x:v>35</x:v>
      </x:c>
      <x:c r="Q234" s="16" t="n">
        <x:v>0.9</x:v>
      </x:c>
      <x:c r="R234" s="16" t="n">
        <x:v>3.5</x:v>
      </x:c>
      <x:c r="S234" s="16" t="n">
        <x:v>7.5</x:v>
      </x:c>
    </x:row>
    <x:row r="235" ht="23" customHeight="1">
      <x:c r="A235" s="11" t="str">
        <x:v>09926.HK</x:v>
      </x:c>
      <x:c r="B235" s="11" t="str">
        <x:v>一年</x:v>
      </x:c>
      <x:c r="C235" s="11" t="str">
        <x:v>肺癌</x:v>
      </x:c>
      <x:c r="D235" s="11" t="n">
        <x:v>2031</x:v>
      </x:c>
      <x:c r="E235" s="11" t="n">
        <x:f>CHOOSE('假设'!$B$3,Q235,R235,S235)</x:f>
        <x:v>5.5</x:v>
      </x:c>
      <x:c r="F235" s="11" t="n">
        <x:f>'药物假设'!K35</x:f>
        <x:v>0.15</x:v>
      </x:c>
      <x:c r="G235" s="11" t="n">
        <x:f>1-'药物假设'!L35</x:f>
        <x:v>0.8</x:v>
      </x:c>
      <x:c r="H235" s="11" t="n">
        <x:f>'药物假设'!I35</x:f>
        <x:v>0.75</x:v>
      </x:c>
      <x:c r="I235" s="11" t="n">
        <x:f>E235*F235*G235*H235*'药物假设'!Q35</x:f>
        <x:v>0.495</x:v>
      </x:c>
      <x:c r="J235" s="11" t="str">
        <x:v>2027-10-09</x:v>
      </x:c>
      <x:c r="K235" s="11" t="n">
        <x:v>4.227241615331964</x:v>
      </x:c>
      <x:c r="L235" s="11" t="n">
        <x:f>'药物假设'!M35</x:f>
        <x:v>0.11</x:v>
      </x:c>
      <x:c r="M235" s="11" t="n">
        <x:f>IF(O235,I235/(1+L235)^K235,0)</x:f>
        <x:v>0.31843002935165066</x:v>
      </x:c>
      <x:c r="N235" s="11" t="n">
        <x:f>M235*'药物假设'!N35</x:f>
        <x:v>2.1653241995912245</x:v>
      </x:c>
      <x:c r="O235" s="26" t="b">
        <x:v>1</x:v>
      </x:c>
      <x:c r="P235" s="11" t="n">
        <x:f>35</x:f>
        <x:v>35</x:v>
      </x:c>
      <x:c r="Q235" s="16" t="n">
        <x:v>1.3</x:v>
      </x:c>
      <x:c r="R235" s="16" t="n">
        <x:v>5.5</x:v>
      </x:c>
      <x:c r="S235" s="16" t="n">
        <x:v>11</x:v>
      </x:c>
    </x:row>
    <x:row r="236" ht="23" customHeight="1">
      <x:c r="A236" s="11" t="str">
        <x:v>09926.HK</x:v>
      </x:c>
      <x:c r="B236" s="11" t="str">
        <x:v>一年</x:v>
      </x:c>
      <x:c r="C236" s="11" t="str">
        <x:v>肺癌</x:v>
      </x:c>
      <x:c r="D236" s="11" t="n">
        <x:v>2032</x:v>
      </x:c>
      <x:c r="E236" s="11" t="n">
        <x:f>CHOOSE('假设'!$B$3,Q236,R236,S236)</x:f>
        <x:v>7.5</x:v>
      </x:c>
      <x:c r="F236" s="11" t="n">
        <x:f>'药物假设'!K35</x:f>
        <x:v>0.15</x:v>
      </x:c>
      <x:c r="G236" s="11" t="n">
        <x:f>1-'药物假设'!L35</x:f>
        <x:v>0.8</x:v>
      </x:c>
      <x:c r="H236" s="11" t="n">
        <x:f>'药物假设'!I35</x:f>
        <x:v>0.75</x:v>
      </x:c>
      <x:c r="I236" s="11" t="n">
        <x:f>E236*F236*G236*H236*'药物假设'!Q35</x:f>
        <x:v>0.675</x:v>
      </x:c>
      <x:c r="J236" s="11" t="str">
        <x:v>2027-10-09</x:v>
      </x:c>
      <x:c r="K236" s="11" t="n">
        <x:v>5.229295003422314</x:v>
      </x:c>
      <x:c r="L236" s="11" t="n">
        <x:f>'药物假设'!M35</x:f>
        <x:v>0.11</x:v>
      </x:c>
      <x:c r="M236" s="11" t="n">
        <x:f>IF(O236,I236/(1+L236)^K236,0)</x:f>
        <x:v>0.3911078621350642</x:v>
      </x:c>
      <x:c r="N236" s="11" t="n">
        <x:f>M236*'药物假设'!N35</x:f>
        <x:v>2.6595334625184366</x:v>
      </x:c>
      <x:c r="O236" s="26" t="b">
        <x:v>1</x:v>
      </x:c>
      <x:c r="P236" s="11" t="n">
        <x:f>35</x:f>
        <x:v>35</x:v>
      </x:c>
      <x:c r="Q236" s="16" t="n">
        <x:v>1.6</x:v>
      </x:c>
      <x:c r="R236" s="16" t="n">
        <x:v>7.5</x:v>
      </x:c>
      <x:c r="S236" s="16" t="n">
        <x:v>14</x:v>
      </x:c>
    </x:row>
    <x:row r="237" ht="23" customHeight="1">
      <x:c r="A237" s="11" t="str">
        <x:v>09926.HK</x:v>
      </x:c>
      <x:c r="B237" s="11" t="str">
        <x:v>一年</x:v>
      </x:c>
      <x:c r="C237" s="11" t="str">
        <x:v>肺癌</x:v>
      </x:c>
      <x:c r="D237" s="11" t="n">
        <x:v>2033</x:v>
      </x:c>
      <x:c r="E237" s="11" t="n">
        <x:f>CHOOSE('假设'!$B$3,Q237,R237,S237)</x:f>
        <x:v>9</x:v>
      </x:c>
      <x:c r="F237" s="11" t="n">
        <x:f>'药物假设'!K35</x:f>
        <x:v>0.15</x:v>
      </x:c>
      <x:c r="G237" s="11" t="n">
        <x:f>1-'药物假设'!L35</x:f>
        <x:v>0.8</x:v>
      </x:c>
      <x:c r="H237" s="11" t="n">
        <x:f>'药物假设'!I35</x:f>
        <x:v>0.75</x:v>
      </x:c>
      <x:c r="I237" s="11" t="n">
        <x:f>E237*F237*G237*H237*'药物假设'!Q35</x:f>
        <x:v>0.8099999999999998</x:v>
      </x:c>
      <x:c r="J237" s="11" t="str">
        <x:v>2027-10-09</x:v>
      </x:c>
      <x:c r="K237" s="11" t="n">
        <x:v>6.228610540725531</x:v>
      </x:c>
      <x:c r="L237" s="11" t="n">
        <x:f>'药物假设'!M35</x:f>
        <x:v>0.11</x:v>
      </x:c>
      <x:c r="M237" s="11" t="n">
        <x:f>IF(O237,I237/(1+L237)^K237,0)</x:f>
        <x:v>0.42284951370561025</x:v>
      </x:c>
      <x:c r="N237" s="11" t="n">
        <x:f>M237*'药物假设'!N35</x:f>
        <x:v>2.8753766931981497</x:v>
      </x:c>
      <x:c r="O237" s="26" t="b">
        <x:v>1</x:v>
      </x:c>
      <x:c r="P237" s="11" t="n">
        <x:f>35</x:f>
        <x:v>35</x:v>
      </x:c>
      <x:c r="Q237" s="16" t="n">
        <x:v>1.8</x:v>
      </x:c>
      <x:c r="R237" s="16" t="n">
        <x:v>9</x:v>
      </x:c>
      <x:c r="S237" s="16" t="n">
        <x:v>16</x:v>
      </x:c>
    </x:row>
    <x:row r="238" ht="23" customHeight="1">
      <x:c r="A238" s="11" t="str">
        <x:v>09926.HK</x:v>
      </x:c>
      <x:c r="B238" s="11" t="str">
        <x:v>一年</x:v>
      </x:c>
      <x:c r="C238" s="11" t="str">
        <x:v>肺癌</x:v>
      </x:c>
      <x:c r="D238" s="11" t="n">
        <x:v>2034</x:v>
      </x:c>
      <x:c r="E238" s="11" t="n">
        <x:f>CHOOSE('假设'!$B$3,Q238,R238,S238)</x:f>
        <x:v>10</x:v>
      </x:c>
      <x:c r="F238" s="11" t="n">
        <x:f>'药物假设'!K35</x:f>
        <x:v>0.15</x:v>
      </x:c>
      <x:c r="G238" s="11" t="n">
        <x:f>1-'药物假设'!L35</x:f>
        <x:v>0.8</x:v>
      </x:c>
      <x:c r="H238" s="11" t="n">
        <x:f>'药物假设'!I35</x:f>
        <x:v>0.75</x:v>
      </x:c>
      <x:c r="I238" s="11" t="n">
        <x:f>E238*F238*G238*H238*'药物假设'!Q35</x:f>
        <x:v>0.9000000000000001</x:v>
      </x:c>
      <x:c r="J238" s="11" t="str">
        <x:v>2027-10-09</x:v>
      </x:c>
      <x:c r="K238" s="11" t="n">
        <x:v>7.227926078028747</x:v>
      </x:c>
      <x:c r="L238" s="11" t="n">
        <x:f>'药物假设'!M35</x:f>
        <x:v>0.11</x:v>
      </x:c>
      <x:c r="M238" s="11" t="n">
        <x:f>IF(O238,I238/(1+L238)^K238,0)</x:f>
        <x:v>0.42330302217462407</x:v>
      </x:c>
      <x:c r="N238" s="11" t="n">
        <x:f>M238*'药物假设'!N35</x:f>
        <x:v>2.8784605507874437</x:v>
      </x:c>
      <x:c r="O238" s="26" t="b">
        <x:v>1</x:v>
      </x:c>
      <x:c r="P238" s="11" t="n">
        <x:f>35</x:f>
        <x:v>35</x:v>
      </x:c>
      <x:c r="Q238" s="16" t="n">
        <x:v>1.9</x:v>
      </x:c>
      <x:c r="R238" s="16" t="n">
        <x:v>10</x:v>
      </x:c>
      <x:c r="S238" s="16" t="n">
        <x:v>18</x:v>
      </x:c>
    </x:row>
    <x:row r="239" ht="23" customHeight="1">
      <x:c r="A239" s="11" t="str">
        <x:v>09926.HK</x:v>
      </x:c>
      <x:c r="B239" s="11" t="str">
        <x:v>一年</x:v>
      </x:c>
      <x:c r="C239" s="11" t="str">
        <x:v>肺癌</x:v>
      </x:c>
      <x:c r="D239" s="11" t="n">
        <x:v>2035</x:v>
      </x:c>
      <x:c r="E239" s="11" t="n">
        <x:f>CHOOSE('假设'!$B$3,Q239,R239,S239)</x:f>
        <x:v>10.5</x:v>
      </x:c>
      <x:c r="F239" s="11" t="n">
        <x:f>'药物假设'!K35</x:f>
        <x:v>0.15</x:v>
      </x:c>
      <x:c r="G239" s="11" t="n">
        <x:f>1-'药物假设'!L35</x:f>
        <x:v>0.8</x:v>
      </x:c>
      <x:c r="H239" s="11" t="n">
        <x:f>'药物假设'!I35</x:f>
        <x:v>0.75</x:v>
      </x:c>
      <x:c r="I239" s="11" t="n">
        <x:f>E239*F239*G239*H239*'药物假设'!Q35</x:f>
        <x:v>0.9450000000000001</x:v>
      </x:c>
      <x:c r="J239" s="11" t="str">
        <x:v>2027-10-09</x:v>
      </x:c>
      <x:c r="K239" s="11" t="n">
        <x:v>8.227241615331964</x:v>
      </x:c>
      <x:c r="L239" s="11" t="n">
        <x:f>'药物假设'!M35</x:f>
        <x:v>0.11</x:v>
      </x:c>
      <x:c r="M239" s="11" t="n">
        <x:f>IF(O239,I239/(1+L239)^K239,0)</x:f>
        <x:v>0.4004503810971373</x:v>
      </x:c>
      <x:c r="N239" s="11" t="n">
        <x:f>M239*'药物假设'!N35</x:f>
        <x:v>2.7230625914605335</x:v>
      </x:c>
      <x:c r="O239" s="26" t="b">
        <x:v>1</x:v>
      </x:c>
      <x:c r="P239" s="11" t="n">
        <x:f>35</x:f>
        <x:v>35</x:v>
      </x:c>
      <x:c r="Q239" s="16" t="n">
        <x:v>1.9</x:v>
      </x:c>
      <x:c r="R239" s="16" t="n">
        <x:v>10.5</x:v>
      </x:c>
      <x:c r="S239" s="16" t="n">
        <x:v>19</x:v>
      </x:c>
    </x:row>
    <x:row r="240" ht="23" customHeight="1">
      <x:c r="A240" s="11" t="str">
        <x:v>09926.HK</x:v>
      </x:c>
      <x:c r="B240" s="11" t="str">
        <x:v>一年</x:v>
      </x:c>
      <x:c r="C240" s="11" t="str">
        <x:v>肺癌</x:v>
      </x:c>
      <x:c r="D240" s="11" t="n">
        <x:v>2036</x:v>
      </x:c>
      <x:c r="E240" s="11" t="n">
        <x:f>CHOOSE('假设'!$B$3,Q240,R240,S240)</x:f>
        <x:v>10.5</x:v>
      </x:c>
      <x:c r="F240" s="11" t="n">
        <x:f>'药物假设'!K35</x:f>
        <x:v>0.15</x:v>
      </x:c>
      <x:c r="G240" s="11" t="n">
        <x:f>1-'药物假设'!L35</x:f>
        <x:v>0.8</x:v>
      </x:c>
      <x:c r="H240" s="11" t="n">
        <x:f>'药物假设'!I35</x:f>
        <x:v>0.75</x:v>
      </x:c>
      <x:c r="I240" s="11" t="n">
        <x:f>E240*F240*G240*H240*'药物假设'!Q35</x:f>
        <x:v>0.9450000000000001</x:v>
      </x:c>
      <x:c r="J240" s="11" t="str">
        <x:v>2027-10-09</x:v>
      </x:c>
      <x:c r="K240" s="11" t="n">
        <x:v>9.229295003422314</x:v>
      </x:c>
      <x:c r="L240" s="11" t="n">
        <x:f>'药物假设'!M35</x:f>
        <x:v>0.11</x:v>
      </x:c>
      <x:c r="M240" s="11" t="n">
        <x:f>IF(O240,I240/(1+L240)^K240,0)</x:f>
        <x:v>0.36068880822799887</x:v>
      </x:c>
      <x:c r="N240" s="11" t="n">
        <x:f>M240*'药物假设'!N35</x:f>
        <x:v>2.452683895950392</x:v>
      </x:c>
      <x:c r="O240" s="26" t="b">
        <x:v>1</x:v>
      </x:c>
      <x:c r="P240" s="11" t="n">
        <x:f>35</x:f>
        <x:v>35</x:v>
      </x:c>
      <x:c r="Q240" s="16" t="n">
        <x:v>1.8</x:v>
      </x:c>
      <x:c r="R240" s="16" t="n">
        <x:v>10.5</x:v>
      </x:c>
      <x:c r="S240" s="16" t="n">
        <x:v>19</x:v>
      </x:c>
    </x:row>
    <x:row r="241" ht="23" customHeight="1">
      <x:c r="A241" s="11" t="str">
        <x:v>09926.HK</x:v>
      </x:c>
      <x:c r="B241" s="11" t="str">
        <x:v>一年</x:v>
      </x:c>
      <x:c r="C241" s="11" t="str">
        <x:v>肺癌</x:v>
      </x:c>
      <x:c r="D241" s="11" t="n">
        <x:v>2037</x:v>
      </x:c>
      <x:c r="E241" s="11" t="n">
        <x:f>CHOOSE('假设'!$B$3,Q241,R241,S241)</x:f>
        <x:v>10</x:v>
      </x:c>
      <x:c r="F241" s="11" t="n">
        <x:f>'药物假设'!K35</x:f>
        <x:v>0.15</x:v>
      </x:c>
      <x:c r="G241" s="11" t="n">
        <x:f>1-'药物假设'!L35</x:f>
        <x:v>0.8</x:v>
      </x:c>
      <x:c r="H241" s="11" t="n">
        <x:f>'药物假设'!I35</x:f>
        <x:v>0.75</x:v>
      </x:c>
      <x:c r="I241" s="11" t="n">
        <x:f>E241*F241*G241*H241*'药物假设'!Q35</x:f>
        <x:v>0.9000000000000001</x:v>
      </x:c>
      <x:c r="J241" s="11" t="str">
        <x:v>2027-10-09</x:v>
      </x:c>
      <x:c r="K241" s="11" t="n">
        <x:v>10.22861054072553</x:v>
      </x:c>
      <x:c r="L241" s="11" t="n">
        <x:f>'药物假设'!M35</x:f>
        <x:v>0.11</x:v>
      </x:c>
      <x:c r="M241" s="11" t="n">
        <x:f>IF(O241,I241/(1+L241)^K241,0)</x:f>
        <x:v>0.30949341342226255</x:v>
      </x:c>
      <x:c r="N241" s="11" t="n">
        <x:f>M241*'药物假设'!N35</x:f>
        <x:v>2.1045552112713852</x:v>
      </x:c>
      <x:c r="O241" s="26" t="b">
        <x:v>1</x:v>
      </x:c>
      <x:c r="P241" s="11" t="n">
        <x:f>35</x:f>
        <x:v>35</x:v>
      </x:c>
      <x:c r="Q241" s="16" t="n">
        <x:v>1.7</x:v>
      </x:c>
      <x:c r="R241" s="16" t="n">
        <x:v>10</x:v>
      </x:c>
      <x:c r="S241" s="16" t="n">
        <x:v>18</x:v>
      </x:c>
    </x:row>
    <x:row r="242" ht="23" customHeight="1">
      <x:c r="A242" s="11" t="str">
        <x:v>09926.HK</x:v>
      </x:c>
      <x:c r="B242" s="11" t="str">
        <x:v>一年</x:v>
      </x:c>
      <x:c r="C242" s="11" t="str">
        <x:v>肺癌</x:v>
      </x:c>
      <x:c r="D242" s="11" t="n">
        <x:v>2038</x:v>
      </x:c>
      <x:c r="E242" s="11" t="n">
        <x:f>CHOOSE('假设'!$B$3,Q242,R242,S242)</x:f>
        <x:v>9</x:v>
      </x:c>
      <x:c r="F242" s="11" t="n">
        <x:f>'药物假设'!K35</x:f>
        <x:v>0.15</x:v>
      </x:c>
      <x:c r="G242" s="11" t="n">
        <x:f>1-'药物假设'!L35</x:f>
        <x:v>0.8</x:v>
      </x:c>
      <x:c r="H242" s="11" t="n">
        <x:f>'药物假设'!I35</x:f>
        <x:v>0.75</x:v>
      </x:c>
      <x:c r="I242" s="11" t="n">
        <x:f>E242*F242*G242*H242*'药物假设'!Q35</x:f>
        <x:v>0.8099999999999998</x:v>
      </x:c>
      <x:c r="J242" s="11" t="str">
        <x:v>2027-10-09</x:v>
      </x:c>
      <x:c r="K242" s="11" t="n">
        <x:v>11.227926078028748</x:v>
      </x:c>
      <x:c r="L242" s="11" t="n">
        <x:f>'药物假设'!M35</x:f>
        <x:v>0.11</x:v>
      </x:c>
      <x:c r="M242" s="11" t="n">
        <x:f>IF(O242,I242/(1+L242)^K242,0)</x:f>
        <x:v>0.25095853094005127</x:v>
      </x:c>
      <x:c r="N242" s="11" t="n">
        <x:f>M242*'药物假设'!N35</x:f>
        <x:v>1.7065180103923485</x:v>
      </x:c>
      <x:c r="O242" s="26" t="b">
        <x:v>1</x:v>
      </x:c>
      <x:c r="P242" s="11" t="n">
        <x:f>35</x:f>
        <x:v>35</x:v>
      </x:c>
      <x:c r="Q242" s="16" t="n">
        <x:v>1.5</x:v>
      </x:c>
      <x:c r="R242" s="16" t="n">
        <x:v>9</x:v>
      </x:c>
      <x:c r="S242" s="16" t="n">
        <x:v>17</x:v>
      </x:c>
    </x:row>
    <x:row r="243" ht="23" customHeight="1">
      <x:c r="A243" s="11" t="str">
        <x:v>09926.HK</x:v>
      </x:c>
      <x:c r="B243" s="11" t="str">
        <x:v>一年</x:v>
      </x:c>
      <x:c r="C243" s="11" t="str">
        <x:v>肺癌</x:v>
      </x:c>
      <x:c r="D243" s="11" t="n">
        <x:v>2039</x:v>
      </x:c>
      <x:c r="E243" s="11" t="n">
        <x:f>CHOOSE('假设'!$B$3,Q243,R243,S243)</x:f>
        <x:v>8</x:v>
      </x:c>
      <x:c r="F243" s="11" t="n">
        <x:f>'药物假设'!K35</x:f>
        <x:v>0.15</x:v>
      </x:c>
      <x:c r="G243" s="11" t="n">
        <x:f>1-'药物假设'!L35</x:f>
        <x:v>0.8</x:v>
      </x:c>
      <x:c r="H243" s="11" t="n">
        <x:f>'药物假设'!I35</x:f>
        <x:v>0.75</x:v>
      </x:c>
      <x:c r="I243" s="11" t="n">
        <x:f>E243*F243*G243*H243*'药物假设'!Q35</x:f>
        <x:v>0.72</x:v>
      </x:c>
      <x:c r="J243" s="11" t="str">
        <x:v>2027-10-09</x:v>
      </x:c>
      <x:c r="K243" s="11" t="n">
        <x:v>12.227241615331964</x:v>
      </x:c>
      <x:c r="L243" s="11" t="n">
        <x:f>'药物假设'!M35</x:f>
        <x:v>0.11</x:v>
      </x:c>
      <x:c r="M243" s="11" t="n">
        <x:f>IF(O243,I243/(1+L243)^K243,0)</x:f>
        <x:v>0.2009821482947457</x:v>
      </x:c>
      <x:c r="N243" s="11" t="n">
        <x:f>M243*'药物假设'!N35</x:f>
        <x:v>1.3666786084042708</x:v>
      </x:c>
      <x:c r="O243" s="26" t="b">
        <x:v>1</x:v>
      </x:c>
      <x:c r="P243" s="11" t="n">
        <x:f>35</x:f>
        <x:v>35</x:v>
      </x:c>
      <x:c r="Q243" s="16" t="n">
        <x:v>1.2</x:v>
      </x:c>
      <x:c r="R243" s="16" t="n">
        <x:v>8</x:v>
      </x:c>
      <x:c r="S243" s="16" t="n">
        <x:v>15</x:v>
      </x:c>
    </x:row>
    <x:row r="244" ht="23" customHeight="1">
      <x:c r="A244" s="11" t="str">
        <x:v>09926.HK</x:v>
      </x:c>
      <x:c r="B244" s="11" t="str">
        <x:v>一年</x:v>
      </x:c>
      <x:c r="C244" s="11" t="str">
        <x:v>肺癌</x:v>
      </x:c>
      <x:c r="D244" s="11" t="n">
        <x:v>2040</x:v>
      </x:c>
      <x:c r="E244" s="11" t="n">
        <x:f>CHOOSE('假设'!$B$3,Q244,R244,S244)</x:f>
        <x:v>6.5</x:v>
      </x:c>
      <x:c r="F244" s="11" t="n">
        <x:f>'药物假设'!K35</x:f>
        <x:v>0.15</x:v>
      </x:c>
      <x:c r="G244" s="11" t="n">
        <x:f>1-'药物假设'!L35</x:f>
        <x:v>0.8</x:v>
      </x:c>
      <x:c r="H244" s="11" t="n">
        <x:f>'药物假设'!I35</x:f>
        <x:v>0.75</x:v>
      </x:c>
      <x:c r="I244" s="11" t="n">
        <x:f>E244*F244*G244*H244*'药物假设'!Q35</x:f>
        <x:v>0.585</x:v>
      </x:c>
      <x:c r="J244" s="11" t="str">
        <x:v>2027-10-09</x:v>
      </x:c>
      <x:c r="K244" s="11" t="n">
        <x:v>13.229295003422314</x:v>
      </x:c>
      <x:c r="L244" s="11" t="n">
        <x:f>'药物假设'!M35</x:f>
        <x:v>0.11</x:v>
      </x:c>
      <x:c r="M244" s="11" t="n">
        <x:f>IF(O244,I244/(1+L244)^K244,0)</x:f>
        <x:v>0.14708378905209402</x:v>
      </x:c>
      <x:c r="N244" s="11" t="n">
        <x:f>M244*'药物假设'!N35</x:f>
        <x:v>1.0001697655542392</x:v>
      </x:c>
      <x:c r="O244" s="26" t="b">
        <x:v>1</x:v>
      </x:c>
      <x:c r="P244" s="11" t="n">
        <x:f>35</x:f>
        <x:v>35</x:v>
      </x:c>
      <x:c r="Q244" s="16" t="n">
        <x:v>0.9</x:v>
      </x:c>
      <x:c r="R244" s="16" t="n">
        <x:v>6.5</x:v>
      </x:c>
      <x:c r="S244" s="16" t="n">
        <x:v>12</x:v>
      </x:c>
    </x:row>
    <x:row r="245" ht="23" customHeight="1">
      <x:c r="A245" s="11" t="str">
        <x:v>09926.HK</x:v>
      </x:c>
      <x:c r="B245" s="11" t="str">
        <x:v>一年</x:v>
      </x:c>
      <x:c r="C245" s="11" t="str">
        <x:v>肺癌</x:v>
      </x:c>
      <x:c r="D245" s="11" t="n">
        <x:v>2041</x:v>
      </x:c>
      <x:c r="E245" s="11" t="n">
        <x:f>CHOOSE('假设'!$B$3,Q245,R245,S245)</x:f>
        <x:v>5</x:v>
      </x:c>
      <x:c r="F245" s="11" t="n">
        <x:f>'药物假设'!K35</x:f>
        <x:v>0.15</x:v>
      </x:c>
      <x:c r="G245" s="11" t="n">
        <x:f>1-'药物假设'!L35</x:f>
        <x:v>0.8</x:v>
      </x:c>
      <x:c r="H245" s="11" t="n">
        <x:f>'药物假设'!I35</x:f>
        <x:v>0.75</x:v>
      </x:c>
      <x:c r="I245" s="11" t="n">
        <x:f>E245*F245*G245*H245*'药物假设'!Q35</x:f>
        <x:v>0.45000000000000007</x:v>
      </x:c>
      <x:c r="J245" s="11" t="str">
        <x:v>2027-10-09</x:v>
      </x:c>
      <x:c r="K245" s="11" t="n">
        <x:v>14.22861054072553</x:v>
      </x:c>
      <x:c r="L245" s="11" t="n">
        <x:f>'药物假设'!M35</x:f>
        <x:v>0.11</x:v>
      </x:c>
      <x:c r="M245" s="11" t="n">
        <x:f>IF(O245,I245/(1+L245)^K245,0)</x:f>
        <x:v>0.10193644885755412</x:v>
      </x:c>
      <x:c r="N245" s="11" t="n">
        <x:f>M245*'药物假设'!N35</x:f>
        <x:v>0.693167852231368</x:v>
      </x:c>
      <x:c r="O245" s="26" t="b">
        <x:v>1</x:v>
      </x:c>
      <x:c r="P245" s="11" t="n">
        <x:f>35</x:f>
        <x:v>35</x:v>
      </x:c>
      <x:c r="Q245" s="16" t="n">
        <x:v>0.6</x:v>
      </x:c>
      <x:c r="R245" s="16" t="n">
        <x:v>5</x:v>
      </x:c>
      <x:c r="S245" s="16" t="n">
        <x:v>9</x:v>
      </x:c>
    </x:row>
    <x:row r="246" ht="23" customHeight="1">
      <x:c r="A246" s="11" t="str">
        <x:v>09926.HK</x:v>
      </x:c>
      <x:c r="B246" s="11" t="str">
        <x:v>一年</x:v>
      </x:c>
      <x:c r="C246" s="11" t="str">
        <x:v>肺癌</x:v>
      </x:c>
      <x:c r="D246" s="11" t="n">
        <x:v>2042</x:v>
      </x:c>
      <x:c r="E246" s="11" t="n">
        <x:f>CHOOSE('假设'!$B$3,Q246,R246,S246)</x:f>
        <x:v>3</x:v>
      </x:c>
      <x:c r="F246" s="11" t="n">
        <x:f>'药物假设'!K35</x:f>
        <x:v>0.15</x:v>
      </x:c>
      <x:c r="G246" s="11" t="n">
        <x:f>1-'药物假设'!L35</x:f>
        <x:v>0.8</x:v>
      </x:c>
      <x:c r="H246" s="11" t="n">
        <x:f>'药物假设'!I35</x:f>
        <x:v>0.75</x:v>
      </x:c>
      <x:c r="I246" s="11" t="n">
        <x:f>E246*F246*G246*H246*'药物假设'!Q35</x:f>
        <x:v>0.27</x:v>
      </x:c>
      <x:c r="J246" s="11" t="str">
        <x:v>2027-10-09</x:v>
      </x:c>
      <x:c r="K246" s="11" t="n">
        <x:v>15.227926078028748</x:v>
      </x:c>
      <x:c r="L246" s="11" t="n">
        <x:f>'药物假设'!M35</x:f>
        <x:v>0.11</x:v>
      </x:c>
      <x:c r="M246" s="11" t="n">
        <x:f>IF(O246,I246/(1+L246)^K246,0)</x:f>
        <x:v>0.055104719185379396</x:v>
      </x:c>
      <x:c r="N246" s="11" t="n">
        <x:f>M246*'药物假设'!N35</x:f>
        <x:v>0.3747120904605799</x:v>
      </x:c>
      <x:c r="O246" s="26" t="b">
        <x:v>1</x:v>
      </x:c>
      <x:c r="P246" s="11" t="n">
        <x:f>35</x:f>
        <x:v>35</x:v>
      </x:c>
      <x:c r="Q246" s="16" t="n">
        <x:v>0.3</x:v>
      </x:c>
      <x:c r="R246" s="16" t="n">
        <x:v>3</x:v>
      </x:c>
      <x:c r="S246" s="16" t="n">
        <x:v>6</x:v>
      </x:c>
    </x:row>
    <x:row r="247" ht="23" customHeight="1">
      <x:c r="A247" s="11" t="str">
        <x:v>09926.HK</x:v>
      </x:c>
      <x:c r="B247" s="11" t="str">
        <x:v>一年</x:v>
      </x:c>
      <x:c r="C247" s="11" t="str">
        <x:v>其他适应症</x:v>
      </x:c>
      <x:c r="D247" s="11" t="n">
        <x:v>2027</x:v>
      </x:c>
      <x:c r="E247" s="11" t="n">
        <x:f>CHOOSE('假设'!$B$3,Q247,R247,S247)</x:f>
        <x:v>0</x:v>
      </x:c>
      <x:c r="F247" s="11" t="n">
        <x:f>'药物假设'!K35</x:f>
        <x:v>0.15</x:v>
      </x:c>
      <x:c r="G247" s="11" t="n">
        <x:f>1-'药物假设'!L35</x:f>
        <x:v>0.8</x:v>
      </x:c>
      <x:c r="H247" s="11" t="n">
        <x:f>'药物假设'!J35</x:f>
        <x:v>0.35</x:v>
      </x:c>
      <x:c r="I247" s="11" t="n">
        <x:f>E247*F247*G247*H247*'药物假设'!Q35</x:f>
        <x:v>0</x:v>
      </x:c>
      <x:c r="J247" s="11" t="str">
        <x:v>2027-10-09</x:v>
      </x:c>
      <x:c r="K247" s="11" t="n">
        <x:v>0.2272416153319644</x:v>
      </x:c>
      <x:c r="L247" s="11" t="n">
        <x:f>'药物假设'!M35</x:f>
        <x:v>0.11</x:v>
      </x:c>
      <x:c r="M247" s="11" t="n">
        <x:f>IF(O247,I247/(1+L247)^K247,0)</x:f>
        <x:v>0</x:v>
      </x:c>
      <x:c r="N247" s="11" t="n">
        <x:f>M247*'药物假设'!N35</x:f>
        <x:v>0</x:v>
      </x:c>
      <x:c r="O247" s="26" t="b">
        <x:v>1</x:v>
      </x:c>
      <x:c r="P247" s="11" t="n">
        <x:f>35</x:f>
        <x:v>35</x:v>
      </x:c>
      <x:c r="Q247" s="16" t="n">
        <x:v>0</x:v>
      </x:c>
      <x:c r="R247" s="16" t="n">
        <x:v>0</x:v>
      </x:c>
      <x:c r="S247" s="16" t="n">
        <x:v>0</x:v>
      </x:c>
    </x:row>
    <x:row r="248" ht="23" customHeight="1">
      <x:c r="A248" s="11" t="str">
        <x:v>09926.HK</x:v>
      </x:c>
      <x:c r="B248" s="11" t="str">
        <x:v>一年</x:v>
      </x:c>
      <x:c r="C248" s="11" t="str">
        <x:v>其他适应症</x:v>
      </x:c>
      <x:c r="D248" s="11" t="n">
        <x:v>2028</x:v>
      </x:c>
      <x:c r="E248" s="11" t="n">
        <x:f>CHOOSE('假设'!$B$3,Q248,R248,S248)</x:f>
        <x:v>0</x:v>
      </x:c>
      <x:c r="F248" s="11" t="n">
        <x:f>'药物假设'!K35</x:f>
        <x:v>0.15</x:v>
      </x:c>
      <x:c r="G248" s="11" t="n">
        <x:f>1-'药物假设'!L35</x:f>
        <x:v>0.8</x:v>
      </x:c>
      <x:c r="H248" s="11" t="n">
        <x:f>'药物假设'!J35</x:f>
        <x:v>0.35</x:v>
      </x:c>
      <x:c r="I248" s="11" t="n">
        <x:f>E248*F248*G248*H248*'药物假设'!Q35</x:f>
        <x:v>0</x:v>
      </x:c>
      <x:c r="J248" s="11" t="str">
        <x:v>2027-10-09</x:v>
      </x:c>
      <x:c r="K248" s="11" t="n">
        <x:v>1.2292950034223136</x:v>
      </x:c>
      <x:c r="L248" s="11" t="n">
        <x:f>'药物假设'!M35</x:f>
        <x:v>0.11</x:v>
      </x:c>
      <x:c r="M248" s="11" t="n">
        <x:f>IF(O248,I248/(1+L248)^K248,0)</x:f>
        <x:v>0</x:v>
      </x:c>
      <x:c r="N248" s="11" t="n">
        <x:f>M248*'药物假设'!N35</x:f>
        <x:v>0</x:v>
      </x:c>
      <x:c r="O248" s="26" t="b">
        <x:v>1</x:v>
      </x:c>
      <x:c r="P248" s="11" t="n">
        <x:f>35</x:f>
        <x:v>35</x:v>
      </x:c>
      <x:c r="Q248" s="16" t="n">
        <x:v>0</x:v>
      </x:c>
      <x:c r="R248" s="16" t="n">
        <x:v>0</x:v>
      </x:c>
      <x:c r="S248" s="16" t="n">
        <x:v>0</x:v>
      </x:c>
    </x:row>
    <x:row r="249" ht="23" customHeight="1">
      <x:c r="A249" s="11" t="str">
        <x:v>09926.HK</x:v>
      </x:c>
      <x:c r="B249" s="11" t="str">
        <x:v>一年</x:v>
      </x:c>
      <x:c r="C249" s="11" t="str">
        <x:v>其他适应症</x:v>
      </x:c>
      <x:c r="D249" s="11" t="n">
        <x:v>2029</x:v>
      </x:c>
      <x:c r="E249" s="11" t="n">
        <x:f>CHOOSE('假设'!$B$3,Q249,R249,S249)</x:f>
        <x:v>0</x:v>
      </x:c>
      <x:c r="F249" s="11" t="n">
        <x:f>'药物假设'!K35</x:f>
        <x:v>0.15</x:v>
      </x:c>
      <x:c r="G249" s="11" t="n">
        <x:f>1-'药物假设'!L35</x:f>
        <x:v>0.8</x:v>
      </x:c>
      <x:c r="H249" s="11" t="n">
        <x:f>'药物假设'!J35</x:f>
        <x:v>0.35</x:v>
      </x:c>
      <x:c r="I249" s="11" t="n">
        <x:f>E249*F249*G249*H249*'药物假设'!Q35</x:f>
        <x:v>0</x:v>
      </x:c>
      <x:c r="J249" s="11" t="str">
        <x:v>2027-10-09</x:v>
      </x:c>
      <x:c r="K249" s="11" t="n">
        <x:v>2.2286105407255303</x:v>
      </x:c>
      <x:c r="L249" s="11" t="n">
        <x:f>'药物假设'!M35</x:f>
        <x:v>0.11</x:v>
      </x:c>
      <x:c r="M249" s="11" t="n">
        <x:f>IF(O249,I249/(1+L249)^K249,0)</x:f>
        <x:v>0</x:v>
      </x:c>
      <x:c r="N249" s="11" t="n">
        <x:f>M249*'药物假设'!N35</x:f>
        <x:v>0</x:v>
      </x:c>
      <x:c r="O249" s="26" t="b">
        <x:v>1</x:v>
      </x:c>
      <x:c r="P249" s="11" t="n">
        <x:f>35</x:f>
        <x:v>35</x:v>
      </x:c>
      <x:c r="Q249" s="16" t="n">
        <x:v>0</x:v>
      </x:c>
      <x:c r="R249" s="16" t="n">
        <x:v>0</x:v>
      </x:c>
      <x:c r="S249" s="16" t="n">
        <x:v>0.3</x:v>
      </x:c>
    </x:row>
    <x:row r="250" ht="23" customHeight="1">
      <x:c r="A250" s="11" t="str">
        <x:v>09926.HK</x:v>
      </x:c>
      <x:c r="B250" s="11" t="str">
        <x:v>一年</x:v>
      </x:c>
      <x:c r="C250" s="11" t="str">
        <x:v>其他适应症</x:v>
      </x:c>
      <x:c r="D250" s="11" t="n">
        <x:v>2030</x:v>
      </x:c>
      <x:c r="E250" s="11" t="n">
        <x:f>CHOOSE('假设'!$B$3,Q250,R250,S250)</x:f>
        <x:v>0.3</x:v>
      </x:c>
      <x:c r="F250" s="11" t="n">
        <x:f>'药物假设'!K35</x:f>
        <x:v>0.15</x:v>
      </x:c>
      <x:c r="G250" s="11" t="n">
        <x:f>1-'药物假设'!L35</x:f>
        <x:v>0.8</x:v>
      </x:c>
      <x:c r="H250" s="11" t="n">
        <x:f>'药物假设'!J35</x:f>
        <x:v>0.35</x:v>
      </x:c>
      <x:c r="I250" s="11" t="n">
        <x:f>E250*F250*G250*H250*'药物假设'!Q35</x:f>
        <x:v>0.012599999999999998</x:v>
      </x:c>
      <x:c r="J250" s="11" t="str">
        <x:v>2027-10-09</x:v>
      </x:c>
      <x:c r="K250" s="11" t="n">
        <x:v>3.2279260780287475</x:v>
      </x:c>
      <x:c r="L250" s="11" t="n">
        <x:f>'药物假设'!M35</x:f>
        <x:v>0.11</x:v>
      </x:c>
      <x:c r="M250" s="11" t="n">
        <x:f>IF(O250,I250/(1+L250)^K250,0)</x:f>
        <x:v>0.00899645309397619</x:v>
      </x:c>
      <x:c r="N250" s="11" t="n">
        <x:f>M250*'药物假设'!N35</x:f>
        <x:v>0.06117588103903809</x:v>
      </x:c>
      <x:c r="O250" s="26" t="b">
        <x:v>1</x:v>
      </x:c>
      <x:c r="P250" s="11" t="n">
        <x:f>35</x:f>
        <x:v>35</x:v>
      </x:c>
      <x:c r="Q250" s="16" t="n">
        <x:v>0</x:v>
      </x:c>
      <x:c r="R250" s="16" t="n">
        <x:v>0.3</x:v>
      </x:c>
      <x:c r="S250" s="16" t="n">
        <x:v>1</x:v>
      </x:c>
    </x:row>
    <x:row r="251" ht="23" customHeight="1">
      <x:c r="A251" s="11" t="str">
        <x:v>09926.HK</x:v>
      </x:c>
      <x:c r="B251" s="11" t="str">
        <x:v>一年</x:v>
      </x:c>
      <x:c r="C251" s="11" t="str">
        <x:v>其他适应症</x:v>
      </x:c>
      <x:c r="D251" s="11" t="n">
        <x:v>2031</x:v>
      </x:c>
      <x:c r="E251" s="11" t="n">
        <x:f>CHOOSE('假设'!$B$3,Q251,R251,S251)</x:f>
        <x:v>0.8</x:v>
      </x:c>
      <x:c r="F251" s="11" t="n">
        <x:f>'药物假设'!K35</x:f>
        <x:v>0.15</x:v>
      </x:c>
      <x:c r="G251" s="11" t="n">
        <x:f>1-'药物假设'!L35</x:f>
        <x:v>0.8</x:v>
      </x:c>
      <x:c r="H251" s="11" t="n">
        <x:f>'药物假设'!J35</x:f>
        <x:v>0.35</x:v>
      </x:c>
      <x:c r="I251" s="11" t="n">
        <x:f>E251*F251*G251*H251*'药物假设'!Q35</x:f>
        <x:v>0.0336</x:v>
      </x:c>
      <x:c r="J251" s="11" t="str">
        <x:v>2027-10-09</x:v>
      </x:c>
      <x:c r="K251" s="11" t="n">
        <x:v>4.227241615331964</x:v>
      </x:c>
      <x:c r="L251" s="11" t="n">
        <x:f>'药物假设'!M35</x:f>
        <x:v>0.11</x:v>
      </x:c>
      <x:c r="M251" s="11" t="n">
        <x:f>IF(O251,I251/(1+L251)^K251,0)</x:f>
        <x:v>0.021614644416596895</x:v>
      </x:c>
      <x:c r="N251" s="11" t="n">
        <x:f>M251*'药物假设'!N35</x:f>
        <x:v>0.14697958203285888</x:v>
      </x:c>
      <x:c r="O251" s="26" t="b">
        <x:v>1</x:v>
      </x:c>
      <x:c r="P251" s="11" t="n">
        <x:f>35</x:f>
        <x:v>35</x:v>
      </x:c>
      <x:c r="Q251" s="16" t="n">
        <x:v>0</x:v>
      </x:c>
      <x:c r="R251" s="16" t="n">
        <x:v>0.8</x:v>
      </x:c>
      <x:c r="S251" s="16" t="n">
        <x:v>2.5</x:v>
      </x:c>
    </x:row>
    <x:row r="252" ht="23" customHeight="1">
      <x:c r="A252" s="11" t="str">
        <x:v>09926.HK</x:v>
      </x:c>
      <x:c r="B252" s="11" t="str">
        <x:v>一年</x:v>
      </x:c>
      <x:c r="C252" s="11" t="str">
        <x:v>其他适应症</x:v>
      </x:c>
      <x:c r="D252" s="11" t="n">
        <x:v>2032</x:v>
      </x:c>
      <x:c r="E252" s="11" t="n">
        <x:f>CHOOSE('假设'!$B$3,Q252,R252,S252)</x:f>
        <x:v>1.5</x:v>
      </x:c>
      <x:c r="F252" s="11" t="n">
        <x:f>'药物假设'!K35</x:f>
        <x:v>0.15</x:v>
      </x:c>
      <x:c r="G252" s="11" t="n">
        <x:f>1-'药物假设'!L35</x:f>
        <x:v>0.8</x:v>
      </x:c>
      <x:c r="H252" s="11" t="n">
        <x:f>'药物假设'!J35</x:f>
        <x:v>0.35</x:v>
      </x:c>
      <x:c r="I252" s="11" t="n">
        <x:f>E252*F252*G252*H252*'药物假设'!Q35</x:f>
        <x:v>0.063</x:v>
      </x:c>
      <x:c r="J252" s="11" t="str">
        <x:v>2027-10-09</x:v>
      </x:c>
      <x:c r="K252" s="11" t="n">
        <x:v>5.229295003422314</x:v>
      </x:c>
      <x:c r="L252" s="11" t="n">
        <x:f>'药物假设'!M35</x:f>
        <x:v>0.11</x:v>
      </x:c>
      <x:c r="M252" s="11" t="n">
        <x:f>IF(O252,I252/(1+L252)^K252,0)</x:f>
        <x:v>0.03650340046593932</x:v>
      </x:c>
      <x:c r="N252" s="11" t="n">
        <x:f>M252*'药物假设'!N35</x:f>
        <x:v>0.24822312316838738</x:v>
      </x:c>
      <x:c r="O252" s="26" t="b">
        <x:v>1</x:v>
      </x:c>
      <x:c r="P252" s="11" t="n">
        <x:f>35</x:f>
        <x:v>35</x:v>
      </x:c>
      <x:c r="Q252" s="16" t="n">
        <x:v>0.1</x:v>
      </x:c>
      <x:c r="R252" s="16" t="n">
        <x:v>1.5</x:v>
      </x:c>
      <x:c r="S252" s="16" t="n">
        <x:v>5</x:v>
      </x:c>
    </x:row>
    <x:row r="253" ht="23" customHeight="1">
      <x:c r="A253" s="11" t="str">
        <x:v>09926.HK</x:v>
      </x:c>
      <x:c r="B253" s="11" t="str">
        <x:v>一年</x:v>
      </x:c>
      <x:c r="C253" s="11" t="str">
        <x:v>其他适应症</x:v>
      </x:c>
      <x:c r="D253" s="11" t="n">
        <x:v>2033</x:v>
      </x:c>
      <x:c r="E253" s="11" t="n">
        <x:f>CHOOSE('假设'!$B$3,Q253,R253,S253)</x:f>
        <x:v>2.5</x:v>
      </x:c>
      <x:c r="F253" s="11" t="n">
        <x:f>'药物假设'!K35</x:f>
        <x:v>0.15</x:v>
      </x:c>
      <x:c r="G253" s="11" t="n">
        <x:f>1-'药物假设'!L35</x:f>
        <x:v>0.8</x:v>
      </x:c>
      <x:c r="H253" s="11" t="n">
        <x:f>'药物假设'!J35</x:f>
        <x:v>0.35</x:v>
      </x:c>
      <x:c r="I253" s="11" t="n">
        <x:f>E253*F253*G253*H253*'药物假设'!Q35</x:f>
        <x:v>0.10500000000000001</x:v>
      </x:c>
      <x:c r="J253" s="11" t="str">
        <x:v>2027-10-09</x:v>
      </x:c>
      <x:c r="K253" s="11" t="n">
        <x:v>6.228610540725531</x:v>
      </x:c>
      <x:c r="L253" s="11" t="n">
        <x:f>'药物假设'!M35</x:f>
        <x:v>0.11</x:v>
      </x:c>
      <x:c r="M253" s="11" t="n">
        <x:f>IF(O253,I253/(1+L253)^K253,0)</x:f>
        <x:v>0.05481382585072727</x:v>
      </x:c>
      <x:c r="N253" s="11" t="n">
        <x:f>M253*'药物假设'!N35</x:f>
        <x:v>0.3727340157849454</x:v>
      </x:c>
      <x:c r="O253" s="26" t="b">
        <x:v>1</x:v>
      </x:c>
      <x:c r="P253" s="11" t="n">
        <x:f>35</x:f>
        <x:v>35</x:v>
      </x:c>
      <x:c r="Q253" s="16" t="n">
        <x:v>0.2</x:v>
      </x:c>
      <x:c r="R253" s="16" t="n">
        <x:v>2.5</x:v>
      </x:c>
      <x:c r="S253" s="16" t="n">
        <x:v>7.5</x:v>
      </x:c>
    </x:row>
    <x:row r="254" ht="23" customHeight="1">
      <x:c r="A254" s="11" t="str">
        <x:v>09926.HK</x:v>
      </x:c>
      <x:c r="B254" s="11" t="str">
        <x:v>一年</x:v>
      </x:c>
      <x:c r="C254" s="11" t="str">
        <x:v>其他适应症</x:v>
      </x:c>
      <x:c r="D254" s="11" t="n">
        <x:v>2034</x:v>
      </x:c>
      <x:c r="E254" s="11" t="n">
        <x:f>CHOOSE('假设'!$B$3,Q254,R254,S254)</x:f>
        <x:v>3.5</x:v>
      </x:c>
      <x:c r="F254" s="11" t="n">
        <x:f>'药物假设'!K35</x:f>
        <x:v>0.15</x:v>
      </x:c>
      <x:c r="G254" s="11" t="n">
        <x:f>1-'药物假设'!L35</x:f>
        <x:v>0.8</x:v>
      </x:c>
      <x:c r="H254" s="11" t="n">
        <x:f>'药物假设'!J35</x:f>
        <x:v>0.35</x:v>
      </x:c>
      <x:c r="I254" s="11" t="n">
        <x:f>E254*F254*G254*H254*'药物假设'!Q35</x:f>
        <x:v>0.147</x:v>
      </x:c>
      <x:c r="J254" s="11" t="str">
        <x:v>2027-10-09</x:v>
      </x:c>
      <x:c r="K254" s="11" t="n">
        <x:v>7.227926078028747</x:v>
      </x:c>
      <x:c r="L254" s="11" t="n">
        <x:f>'药物假设'!M35</x:f>
        <x:v>0.11</x:v>
      </x:c>
      <x:c r="M254" s="11" t="n">
        <x:f>IF(O254,I254/(1+L254)^K254,0)</x:f>
        <x:v>0.06913949362185526</x:v>
      </x:c>
      <x:c r="N254" s="11" t="n">
        <x:f>M254*'药物假设'!N35</x:f>
        <x:v>0.47014855662861577</x:v>
      </x:c>
      <x:c r="O254" s="26" t="b">
        <x:v>1</x:v>
      </x:c>
      <x:c r="P254" s="11" t="n">
        <x:f>35</x:f>
        <x:v>35</x:v>
      </x:c>
      <x:c r="Q254" s="16" t="n">
        <x:v>0.3</x:v>
      </x:c>
      <x:c r="R254" s="16" t="n">
        <x:v>3.5</x:v>
      </x:c>
      <x:c r="S254" s="16" t="n">
        <x:v>10</x:v>
      </x:c>
    </x:row>
    <x:row r="255" ht="23" customHeight="1">
      <x:c r="A255" s="11" t="str">
        <x:v>09926.HK</x:v>
      </x:c>
      <x:c r="B255" s="11" t="str">
        <x:v>一年</x:v>
      </x:c>
      <x:c r="C255" s="11" t="str">
        <x:v>其他适应症</x:v>
      </x:c>
      <x:c r="D255" s="11" t="n">
        <x:v>2035</x:v>
      </x:c>
      <x:c r="E255" s="11" t="n">
        <x:f>CHOOSE('假设'!$B$3,Q255,R255,S255)</x:f>
        <x:v>4.5</x:v>
      </x:c>
      <x:c r="F255" s="11" t="n">
        <x:f>'药物假设'!K35</x:f>
        <x:v>0.15</x:v>
      </x:c>
      <x:c r="G255" s="11" t="n">
        <x:f>1-'药物假设'!L35</x:f>
        <x:v>0.8</x:v>
      </x:c>
      <x:c r="H255" s="11" t="n">
        <x:f>'药物假设'!J35</x:f>
        <x:v>0.35</x:v>
      </x:c>
      <x:c r="I255" s="11" t="n">
        <x:f>E255*F255*G255*H255*'药物假设'!Q35</x:f>
        <x:v>0.18899999999999997</x:v>
      </x:c>
      <x:c r="J255" s="11" t="str">
        <x:v>2027-10-09</x:v>
      </x:c>
      <x:c r="K255" s="11" t="n">
        <x:v>8.227241615331964</x:v>
      </x:c>
      <x:c r="L255" s="11" t="n">
        <x:f>'药物假设'!M35</x:f>
        <x:v>0.11</x:v>
      </x:c>
      <x:c r="M255" s="11" t="n">
        <x:f>IF(O255,I255/(1+L255)^K255,0)</x:f>
        <x:v>0.08009007621942744</x:v>
      </x:c>
      <x:c r="N255" s="11" t="n">
        <x:f>M255*'药物假设'!N35</x:f>
        <x:v>0.5446125182921067</x:v>
      </x:c>
      <x:c r="O255" s="26" t="b">
        <x:v>1</x:v>
      </x:c>
      <x:c r="P255" s="11" t="n">
        <x:f>35</x:f>
        <x:v>35</x:v>
      </x:c>
      <x:c r="Q255" s="16" t="n">
        <x:v>0.4</x:v>
      </x:c>
      <x:c r="R255" s="16" t="n">
        <x:v>4.5</x:v>
      </x:c>
      <x:c r="S255" s="16" t="n">
        <x:v>12</x:v>
      </x:c>
    </x:row>
    <x:row r="256" ht="23" customHeight="1">
      <x:c r="A256" s="11" t="str">
        <x:v>09926.HK</x:v>
      </x:c>
      <x:c r="B256" s="11" t="str">
        <x:v>一年</x:v>
      </x:c>
      <x:c r="C256" s="11" t="str">
        <x:v>其他适应症</x:v>
      </x:c>
      <x:c r="D256" s="11" t="n">
        <x:v>2036</x:v>
      </x:c>
      <x:c r="E256" s="11" t="n">
        <x:f>CHOOSE('假设'!$B$3,Q256,R256,S256)</x:f>
        <x:v>5</x:v>
      </x:c>
      <x:c r="F256" s="11" t="n">
        <x:f>'药物假设'!K35</x:f>
        <x:v>0.15</x:v>
      </x:c>
      <x:c r="G256" s="11" t="n">
        <x:f>1-'药物假设'!L35</x:f>
        <x:v>0.8</x:v>
      </x:c>
      <x:c r="H256" s="11" t="n">
        <x:f>'药物假设'!J35</x:f>
        <x:v>0.35</x:v>
      </x:c>
      <x:c r="I256" s="11" t="n">
        <x:f>E256*F256*G256*H256*'药物假设'!Q35</x:f>
        <x:v>0.21000000000000002</x:v>
      </x:c>
      <x:c r="J256" s="11" t="str">
        <x:v>2027-10-09</x:v>
      </x:c>
      <x:c r="K256" s="11" t="n">
        <x:v>9.229295003422314</x:v>
      </x:c>
      <x:c r="L256" s="11" t="n">
        <x:f>'药物假设'!M35</x:f>
        <x:v>0.11</x:v>
      </x:c>
      <x:c r="M256" s="11" t="n">
        <x:f>IF(O256,I256/(1+L256)^K256,0)</x:f>
        <x:v>0.08015306849511086</x:v>
      </x:c>
      <x:c r="N256" s="11" t="n">
        <x:f>M256*'药物假设'!N35</x:f>
        <x:v>0.5450408657667538</x:v>
      </x:c>
      <x:c r="O256" s="26" t="b">
        <x:v>1</x:v>
      </x:c>
      <x:c r="P256" s="11" t="n">
        <x:f>35</x:f>
        <x:v>35</x:v>
      </x:c>
      <x:c r="Q256" s="16" t="n">
        <x:v>0.4</x:v>
      </x:c>
      <x:c r="R256" s="16" t="n">
        <x:v>5</x:v>
      </x:c>
      <x:c r="S256" s="16" t="n">
        <x:v>13</x:v>
      </x:c>
    </x:row>
    <x:row r="257" ht="23" customHeight="1">
      <x:c r="A257" s="11" t="str">
        <x:v>09926.HK</x:v>
      </x:c>
      <x:c r="B257" s="11" t="str">
        <x:v>一年</x:v>
      </x:c>
      <x:c r="C257" s="11" t="str">
        <x:v>其他适应症</x:v>
      </x:c>
      <x:c r="D257" s="11" t="n">
        <x:v>2037</x:v>
      </x:c>
      <x:c r="E257" s="11" t="n">
        <x:f>CHOOSE('假设'!$B$3,Q257,R257,S257)</x:f>
        <x:v>5</x:v>
      </x:c>
      <x:c r="F257" s="11" t="n">
        <x:f>'药物假设'!K35</x:f>
        <x:v>0.15</x:v>
      </x:c>
      <x:c r="G257" s="11" t="n">
        <x:f>1-'药物假设'!L35</x:f>
        <x:v>0.8</x:v>
      </x:c>
      <x:c r="H257" s="11" t="n">
        <x:f>'药物假设'!J35</x:f>
        <x:v>0.35</x:v>
      </x:c>
      <x:c r="I257" s="11" t="n">
        <x:f>E257*F257*G257*H257*'药物假设'!Q35</x:f>
        <x:v>0.21000000000000002</x:v>
      </x:c>
      <x:c r="J257" s="11" t="str">
        <x:v>2027-10-09</x:v>
      </x:c>
      <x:c r="K257" s="11" t="n">
        <x:v>10.22861054072553</x:v>
      </x:c>
      <x:c r="L257" s="11" t="n">
        <x:f>'药物假设'!M35</x:f>
        <x:v>0.11</x:v>
      </x:c>
      <x:c r="M257" s="11" t="n">
        <x:f>IF(O257,I257/(1+L257)^K257,0)</x:f>
        <x:v>0.07221512979852793</x:v>
      </x:c>
      <x:c r="N257" s="11" t="n">
        <x:f>M257*'药物假设'!N35</x:f>
        <x:v>0.49106288262998987</x:v>
      </x:c>
      <x:c r="O257" s="26" t="b">
        <x:v>1</x:v>
      </x:c>
      <x:c r="P257" s="11" t="n">
        <x:f>35</x:f>
        <x:v>35</x:v>
      </x:c>
      <x:c r="Q257" s="16" t="n">
        <x:v>0.4</x:v>
      </x:c>
      <x:c r="R257" s="16" t="n">
        <x:v>5</x:v>
      </x:c>
      <x:c r="S257" s="16" t="n">
        <x:v>13</x:v>
      </x:c>
    </x:row>
    <x:row r="258" ht="23" customHeight="1">
      <x:c r="A258" s="11" t="str">
        <x:v>09926.HK</x:v>
      </x:c>
      <x:c r="B258" s="11" t="str">
        <x:v>一年</x:v>
      </x:c>
      <x:c r="C258" s="11" t="str">
        <x:v>其他适应症</x:v>
      </x:c>
      <x:c r="D258" s="11" t="n">
        <x:v>2038</x:v>
      </x:c>
      <x:c r="E258" s="11" t="n">
        <x:f>CHOOSE('假设'!$B$3,Q258,R258,S258)</x:f>
        <x:v>4.5</x:v>
      </x:c>
      <x:c r="F258" s="11" t="n">
        <x:f>'药物假设'!K35</x:f>
        <x:v>0.15</x:v>
      </x:c>
      <x:c r="G258" s="11" t="n">
        <x:f>1-'药物假设'!L35</x:f>
        <x:v>0.8</x:v>
      </x:c>
      <x:c r="H258" s="11" t="n">
        <x:f>'药物假设'!J35</x:f>
        <x:v>0.35</x:v>
      </x:c>
      <x:c r="I258" s="11" t="n">
        <x:f>E258*F258*G258*H258*'药物假设'!Q35</x:f>
        <x:v>0.18899999999999997</x:v>
      </x:c>
      <x:c r="J258" s="11" t="str">
        <x:v>2027-10-09</x:v>
      </x:c>
      <x:c r="K258" s="11" t="n">
        <x:v>11.227926078028748</x:v>
      </x:c>
      <x:c r="L258" s="11" t="n">
        <x:f>'药物假设'!M35</x:f>
        <x:v>0.11</x:v>
      </x:c>
      <x:c r="M258" s="11" t="n">
        <x:f>IF(O258,I258/(1+L258)^K258,0)</x:f>
        <x:v>0.05855699055267864</x:v>
      </x:c>
      <x:c r="N258" s="11" t="n">
        <x:f>M258*'药物假设'!N35</x:f>
        <x:v>0.39818753575821475</x:v>
      </x:c>
      <x:c r="O258" s="26" t="b">
        <x:v>1</x:v>
      </x:c>
      <x:c r="P258" s="11" t="n">
        <x:f>35</x:f>
        <x:v>35</x:v>
      </x:c>
      <x:c r="Q258" s="16" t="n">
        <x:v>0.35</x:v>
      </x:c>
      <x:c r="R258" s="16" t="n">
        <x:v>4.5</x:v>
      </x:c>
      <x:c r="S258" s="16" t="n">
        <x:v>12</x:v>
      </x:c>
    </x:row>
    <x:row r="259" ht="23" customHeight="1">
      <x:c r="A259" s="11" t="str">
        <x:v>09926.HK</x:v>
      </x:c>
      <x:c r="B259" s="11" t="str">
        <x:v>一年</x:v>
      </x:c>
      <x:c r="C259" s="11" t="str">
        <x:v>其他适应症</x:v>
      </x:c>
      <x:c r="D259" s="11" t="n">
        <x:v>2039</x:v>
      </x:c>
      <x:c r="E259" s="11" t="n">
        <x:f>CHOOSE('假设'!$B$3,Q259,R259,S259)</x:f>
        <x:v>4</x:v>
      </x:c>
      <x:c r="F259" s="11" t="n">
        <x:f>'药物假设'!K35</x:f>
        <x:v>0.15</x:v>
      </x:c>
      <x:c r="G259" s="11" t="n">
        <x:f>1-'药物假设'!L35</x:f>
        <x:v>0.8</x:v>
      </x:c>
      <x:c r="H259" s="11" t="n">
        <x:f>'药物假设'!J35</x:f>
        <x:v>0.35</x:v>
      </x:c>
      <x:c r="I259" s="11" t="n">
        <x:f>E259*F259*G259*H259*'药物假设'!Q35</x:f>
        <x:v>0.16799999999999998</x:v>
      </x:c>
      <x:c r="J259" s="11" t="str">
        <x:v>2027-10-09</x:v>
      </x:c>
      <x:c r="K259" s="11" t="n">
        <x:v>12.227241615331964</x:v>
      </x:c>
      <x:c r="L259" s="11" t="n">
        <x:f>'药物假设'!M35</x:f>
        <x:v>0.11</x:v>
      </x:c>
      <x:c r="M259" s="11" t="n">
        <x:f>IF(O259,I259/(1+L259)^K259,0)</x:f>
        <x:v>0.04689583460210733</x:v>
      </x:c>
      <x:c r="N259" s="11" t="n">
        <x:f>M259*'药物假设'!N35</x:f>
        <x:v>0.3188916752943298</x:v>
      </x:c>
      <x:c r="O259" s="26" t="b">
        <x:v>1</x:v>
      </x:c>
      <x:c r="P259" s="11" t="n">
        <x:f>35</x:f>
        <x:v>35</x:v>
      </x:c>
      <x:c r="Q259" s="16" t="n">
        <x:v>0.3</x:v>
      </x:c>
      <x:c r="R259" s="16" t="n">
        <x:v>4</x:v>
      </x:c>
      <x:c r="S259" s="16" t="n">
        <x:v>11</x:v>
      </x:c>
    </x:row>
    <x:row r="260" ht="23" customHeight="1">
      <x:c r="A260" s="11" t="str">
        <x:v>09926.HK</x:v>
      </x:c>
      <x:c r="B260" s="11" t="str">
        <x:v>一年</x:v>
      </x:c>
      <x:c r="C260" s="11" t="str">
        <x:v>其他适应症</x:v>
      </x:c>
      <x:c r="D260" s="11" t="n">
        <x:v>2040</x:v>
      </x:c>
      <x:c r="E260" s="11" t="n">
        <x:f>CHOOSE('假设'!$B$3,Q260,R260,S260)</x:f>
        <x:v>3.2</x:v>
      </x:c>
      <x:c r="F260" s="11" t="n">
        <x:f>'药物假设'!K35</x:f>
        <x:v>0.15</x:v>
      </x:c>
      <x:c r="G260" s="11" t="n">
        <x:f>1-'药物假设'!L35</x:f>
        <x:v>0.8</x:v>
      </x:c>
      <x:c r="H260" s="11" t="n">
        <x:f>'药物假设'!J35</x:f>
        <x:v>0.35</x:v>
      </x:c>
      <x:c r="I260" s="11" t="n">
        <x:f>E260*F260*G260*H260*'药物假设'!Q35</x:f>
        <x:v>0.1344</x:v>
      </x:c>
      <x:c r="J260" s="11" t="str">
        <x:v>2027-10-09</x:v>
      </x:c>
      <x:c r="K260" s="11" t="n">
        <x:v>13.229295003422314</x:v>
      </x:c>
      <x:c r="L260" s="11" t="n">
        <x:f>'药物假设'!M35</x:f>
        <x:v>0.11</x:v>
      </x:c>
      <x:c r="M260" s="11" t="n">
        <x:f>IF(O260,I260/(1+L260)^K260,0)</x:f>
        <x:v>0.033791557689916984</x:v>
      </x:c>
      <x:c r="N260" s="11" t="n">
        <x:f>M260*'药物假设'!N35</x:f>
        <x:v>0.2297825922914355</x:v>
      </x:c>
      <x:c r="O260" s="26" t="b">
        <x:v>1</x:v>
      </x:c>
      <x:c r="P260" s="11" t="n">
        <x:f>35</x:f>
        <x:v>35</x:v>
      </x:c>
      <x:c r="Q260" s="16" t="n">
        <x:v>0.25</x:v>
      </x:c>
      <x:c r="R260" s="16" t="n">
        <x:v>3.2</x:v>
      </x:c>
      <x:c r="S260" s="16" t="n">
        <x:v>9</x:v>
      </x:c>
    </x:row>
    <x:row r="261" ht="23" customHeight="1">
      <x:c r="A261" s="11" t="str">
        <x:v>09926.HK</x:v>
      </x:c>
      <x:c r="B261" s="11" t="str">
        <x:v>一年</x:v>
      </x:c>
      <x:c r="C261" s="11" t="str">
        <x:v>其他适应症</x:v>
      </x:c>
      <x:c r="D261" s="11" t="n">
        <x:v>2041</x:v>
      </x:c>
      <x:c r="E261" s="11" t="n">
        <x:f>CHOOSE('假设'!$B$3,Q261,R261,S261)</x:f>
        <x:v>2.5</x:v>
      </x:c>
      <x:c r="F261" s="11" t="n">
        <x:f>'药物假设'!K35</x:f>
        <x:v>0.15</x:v>
      </x:c>
      <x:c r="G261" s="11" t="n">
        <x:f>1-'药物假设'!L35</x:f>
        <x:v>0.8</x:v>
      </x:c>
      <x:c r="H261" s="11" t="n">
        <x:f>'药物假设'!J35</x:f>
        <x:v>0.35</x:v>
      </x:c>
      <x:c r="I261" s="11" t="n">
        <x:f>E261*F261*G261*H261*'药物假设'!Q35</x:f>
        <x:v>0.10500000000000001</x:v>
      </x:c>
      <x:c r="J261" s="11" t="str">
        <x:v>2027-10-09</x:v>
      </x:c>
      <x:c r="K261" s="11" t="n">
        <x:v>14.22861054072553</x:v>
      </x:c>
      <x:c r="L261" s="11" t="n">
        <x:f>'药物假设'!M35</x:f>
        <x:v>0.11</x:v>
      </x:c>
      <x:c r="M261" s="11" t="n">
        <x:f>IF(O261,I261/(1+L261)^K261,0)</x:f>
        <x:v>0.023785171400095964</x:v>
      </x:c>
      <x:c r="N261" s="11" t="n">
        <x:f>M261*'药物假设'!N35</x:f>
        <x:v>0.16173916552065254</x:v>
      </x:c>
      <x:c r="O261" s="26" t="b">
        <x:v>1</x:v>
      </x:c>
      <x:c r="P261" s="11" t="n">
        <x:f>35</x:f>
        <x:v>35</x:v>
      </x:c>
      <x:c r="Q261" s="16" t="n">
        <x:v>0.2</x:v>
      </x:c>
      <x:c r="R261" s="16" t="n">
        <x:v>2.5</x:v>
      </x:c>
      <x:c r="S261" s="16" t="n">
        <x:v>7</x:v>
      </x:c>
    </x:row>
    <x:row r="262" ht="23" customHeight="1">
      <x:c r="A262" s="11" t="str">
        <x:v>09926.HK</x:v>
      </x:c>
      <x:c r="B262" s="11" t="str">
        <x:v>一年</x:v>
      </x:c>
      <x:c r="C262" s="11" t="str">
        <x:v>其他适应症</x:v>
      </x:c>
      <x:c r="D262" s="11" t="n">
        <x:v>2042</x:v>
      </x:c>
      <x:c r="E262" s="11" t="n">
        <x:f>CHOOSE('假设'!$B$3,Q262,R262,S262)</x:f>
        <x:v>1.5</x:v>
      </x:c>
      <x:c r="F262" s="11" t="n">
        <x:f>'药物假设'!K35</x:f>
        <x:v>0.15</x:v>
      </x:c>
      <x:c r="G262" s="11" t="n">
        <x:f>1-'药物假设'!L35</x:f>
        <x:v>0.8</x:v>
      </x:c>
      <x:c r="H262" s="11" t="n">
        <x:f>'药物假设'!J35</x:f>
        <x:v>0.35</x:v>
      </x:c>
      <x:c r="I262" s="11" t="n">
        <x:f>E262*F262*G262*H262*'药物假设'!Q35</x:f>
        <x:v>0.063</x:v>
      </x:c>
      <x:c r="J262" s="11" t="str">
        <x:v>2027-10-09</x:v>
      </x:c>
      <x:c r="K262" s="11" t="n">
        <x:v>15.227926078028748</x:v>
      </x:c>
      <x:c r="L262" s="11" t="n">
        <x:f>'药物假设'!M35</x:f>
        <x:v>0.11</x:v>
      </x:c>
      <x:c r="M262" s="11" t="n">
        <x:f>IF(O262,I262/(1+L262)^K262,0)</x:f>
        <x:v>0.012857767809921858</x:v>
      </x:c>
      <x:c r="N262" s="11" t="n">
        <x:f>M262*'药物假设'!N35</x:f>
        <x:v>0.08743282110746863</x:v>
      </x:c>
      <x:c r="O262" s="26" t="b">
        <x:v>1</x:v>
      </x:c>
      <x:c r="P262" s="11" t="n">
        <x:f>35</x:f>
        <x:v>35</x:v>
      </x:c>
      <x:c r="Q262" s="16" t="n">
        <x:v>0.1</x:v>
      </x:c>
      <x:c r="R262" s="16" t="n">
        <x:v>1.5</x:v>
      </x:c>
      <x:c r="S262" s="16" t="n">
        <x:v>5</x:v>
      </x:c>
    </x:row>
    <x:row r="263" ht="23" customHeight="1">
      <x:c r="A263" s="11" t="str">
        <x:v>09926.HK</x:v>
      </x:c>
      <x:c r="B263" s="11" t="str">
        <x:v>三年</x:v>
      </x:c>
      <x:c r="C263" s="11" t="str">
        <x:v>肺癌</x:v>
      </x:c>
      <x:c r="D263" s="11" t="n">
        <x:v>2027</x:v>
      </x:c>
      <x:c r="E263" s="11" t="n">
        <x:f>CHOOSE('假设'!$B$3,Q263,R263,S263)</x:f>
        <x:v>0</x:v>
      </x:c>
      <x:c r="F263" s="11" t="n">
        <x:f>'药物假设'!K39</x:f>
        <x:v>0.15</x:v>
      </x:c>
      <x:c r="G263" s="11" t="n">
        <x:f>1-'药物假设'!L39</x:f>
        <x:v>0.8</x:v>
      </x:c>
      <x:c r="H263" s="11" t="n">
        <x:f>'药物假设'!I39</x:f>
        <x:v>0.88</x:v>
      </x:c>
      <x:c r="I263" s="11" t="n">
        <x:f>E263*F263*G263*H263*'药物假设'!Q39</x:f>
        <x:v>0</x:v>
      </x:c>
      <x:c r="J263" s="11" t="str">
        <x:v>2029-10-09</x:v>
      </x:c>
      <x:c r="K263" s="11" t="n">
        <x:v>0</x:v>
      </x:c>
      <x:c r="L263" s="11" t="n">
        <x:f>'药物假设'!M39</x:f>
        <x:v>0.11</x:v>
      </x:c>
      <x:c r="M263" s="11" t="n">
        <x:f>IF(O263,I263/(1+L263)^K263,0)</x:f>
        <x:v>0</x:v>
      </x:c>
      <x:c r="N263" s="11" t="n">
        <x:f>M263*'药物假设'!N39</x:f>
        <x:v>0</x:v>
      </x:c>
      <x:c r="O263" s="26" t="b">
        <x:v>0</x:v>
      </x:c>
      <x:c r="P263" s="11" t="n">
        <x:f>39</x:f>
        <x:v>39</x:v>
      </x:c>
      <x:c r="Q263" s="16" t="n">
        <x:v>0</x:v>
      </x:c>
      <x:c r="R263" s="16" t="n">
        <x:v>0</x:v>
      </x:c>
      <x:c r="S263" s="16" t="n">
        <x:v>0.7</x:v>
      </x:c>
    </x:row>
    <x:row r="264" ht="23" customHeight="1">
      <x:c r="A264" s="11" t="str">
        <x:v>09926.HK</x:v>
      </x:c>
      <x:c r="B264" s="11" t="str">
        <x:v>三年</x:v>
      </x:c>
      <x:c r="C264" s="11" t="str">
        <x:v>肺癌</x:v>
      </x:c>
      <x:c r="D264" s="11" t="n">
        <x:v>2028</x:v>
      </x:c>
      <x:c r="E264" s="11" t="n">
        <x:f>CHOOSE('假设'!$B$3,Q264,R264,S264)</x:f>
        <x:v>0.5</x:v>
      </x:c>
      <x:c r="F264" s="11" t="n">
        <x:f>'药物假设'!K39</x:f>
        <x:v>0.15</x:v>
      </x:c>
      <x:c r="G264" s="11" t="n">
        <x:f>1-'药物假设'!L39</x:f>
        <x:v>0.8</x:v>
      </x:c>
      <x:c r="H264" s="11" t="n">
        <x:f>'药物假设'!I39</x:f>
        <x:v>0.88</x:v>
      </x:c>
      <x:c r="I264" s="11" t="n">
        <x:f>E264*F264*G264*H264*'药物假设'!Q39</x:f>
        <x:v>0.0528</x:v>
      </x:c>
      <x:c r="J264" s="11" t="str">
        <x:v>2029-10-09</x:v>
      </x:c>
      <x:c r="K264" s="11" t="n">
        <x:v>0</x:v>
      </x:c>
      <x:c r="L264" s="11" t="n">
        <x:f>'药物假设'!M39</x:f>
        <x:v>0.11</x:v>
      </x:c>
      <x:c r="M264" s="11" t="n">
        <x:f>IF(O264,I264/(1+L264)^K264,0)</x:f>
        <x:v>0</x:v>
      </x:c>
      <x:c r="N264" s="11" t="n">
        <x:f>M264*'药物假设'!N39</x:f>
        <x:v>0</x:v>
      </x:c>
      <x:c r="O264" s="26" t="b">
        <x:v>0</x:v>
      </x:c>
      <x:c r="P264" s="11" t="n">
        <x:f>39</x:f>
        <x:v>39</x:v>
      </x:c>
      <x:c r="Q264" s="16" t="n">
        <x:v>0</x:v>
      </x:c>
      <x:c r="R264" s="16" t="n">
        <x:v>0.5</x:v>
      </x:c>
      <x:c r="S264" s="16" t="n">
        <x:v>2</x:v>
      </x:c>
    </x:row>
    <x:row r="265" ht="23" customHeight="1">
      <x:c r="A265" s="11" t="str">
        <x:v>09926.HK</x:v>
      </x:c>
      <x:c r="B265" s="11" t="str">
        <x:v>三年</x:v>
      </x:c>
      <x:c r="C265" s="11" t="str">
        <x:v>肺癌</x:v>
      </x:c>
      <x:c r="D265" s="11" t="n">
        <x:v>2029</x:v>
      </x:c>
      <x:c r="E265" s="11" t="n">
        <x:f>CHOOSE('假设'!$B$3,Q265,R265,S265)</x:f>
        <x:v>1.6</x:v>
      </x:c>
      <x:c r="F265" s="11" t="n">
        <x:f>'药物假设'!K39</x:f>
        <x:v>0.15</x:v>
      </x:c>
      <x:c r="G265" s="11" t="n">
        <x:f>1-'药物假设'!L39</x:f>
        <x:v>0.8</x:v>
      </x:c>
      <x:c r="H265" s="11" t="n">
        <x:f>'药物假设'!I39</x:f>
        <x:v>0.88</x:v>
      </x:c>
      <x:c r="I265" s="11" t="n">
        <x:f>E265*F265*G265*H265*'药物假设'!Q39</x:f>
        <x:v>0.16896</x:v>
      </x:c>
      <x:c r="J265" s="11" t="str">
        <x:v>2029-10-09</x:v>
      </x:c>
      <x:c r="K265" s="11" t="n">
        <x:v>0.2272416153319644</x:v>
      </x:c>
      <x:c r="L265" s="11" t="n">
        <x:f>'药物假设'!M39</x:f>
        <x:v>0.11</x:v>
      </x:c>
      <x:c r="M265" s="11" t="n">
        <x:f>IF(O265,I265/(1+L265)^K265,0)</x:f>
        <x:v>0.16500026204643756</x:v>
      </x:c>
      <x:c r="N265" s="11" t="n">
        <x:f>M265*'药物假设'!N39</x:f>
        <x:v>1.1220017819157753</x:v>
      </x:c>
      <x:c r="O265" s="26" t="b">
        <x:v>1</x:v>
      </x:c>
      <x:c r="P265" s="11" t="n">
        <x:f>39</x:f>
        <x:v>39</x:v>
      </x:c>
      <x:c r="Q265" s="16" t="n">
        <x:v>0.4</x:v>
      </x:c>
      <x:c r="R265" s="16" t="n">
        <x:v>1.6</x:v>
      </x:c>
      <x:c r="S265" s="16" t="n">
        <x:v>4.5</x:v>
      </x:c>
    </x:row>
    <x:row r="266" ht="23" customHeight="1">
      <x:c r="A266" s="11" t="str">
        <x:v>09926.HK</x:v>
      </x:c>
      <x:c r="B266" s="11" t="str">
        <x:v>三年</x:v>
      </x:c>
      <x:c r="C266" s="11" t="str">
        <x:v>肺癌</x:v>
      </x:c>
      <x:c r="D266" s="11" t="n">
        <x:v>2030</x:v>
      </x:c>
      <x:c r="E266" s="11" t="n">
        <x:f>CHOOSE('假设'!$B$3,Q266,R266,S266)</x:f>
        <x:v>3.5</x:v>
      </x:c>
      <x:c r="F266" s="11" t="n">
        <x:f>'药物假设'!K39</x:f>
        <x:v>0.15</x:v>
      </x:c>
      <x:c r="G266" s="11" t="n">
        <x:f>1-'药物假设'!L39</x:f>
        <x:v>0.8</x:v>
      </x:c>
      <x:c r="H266" s="11" t="n">
        <x:f>'药物假设'!I39</x:f>
        <x:v>0.88</x:v>
      </x:c>
      <x:c r="I266" s="11" t="n">
        <x:f>E266*F266*G266*H266*'药物假设'!Q39</x:f>
        <x:v>0.36960000000000004</x:v>
      </x:c>
      <x:c r="J266" s="11" t="str">
        <x:v>2029-10-09</x:v>
      </x:c>
      <x:c r="K266" s="11" t="n">
        <x:v>1.2265571526351813</x:v>
      </x:c>
      <x:c r="L266" s="11" t="n">
        <x:f>'药物假设'!M39</x:f>
        <x:v>0.11</x:v>
      </x:c>
      <x:c r="M266" s="11" t="n">
        <x:f>IF(O266,I266/(1+L266)^K266,0)</x:f>
        <x:v>0.32519266319639556</x:v>
      </x:c>
      <x:c r="N266" s="11" t="n">
        <x:f>M266*'药物假设'!N39</x:f>
        <x:v>2.2113101097354897</x:v>
      </x:c>
      <x:c r="O266" s="26" t="b">
        <x:v>1</x:v>
      </x:c>
      <x:c r="P266" s="11" t="n">
        <x:f>39</x:f>
        <x:v>39</x:v>
      </x:c>
      <x:c r="Q266" s="16" t="n">
        <x:v>0.9</x:v>
      </x:c>
      <x:c r="R266" s="16" t="n">
        <x:v>3.5</x:v>
      </x:c>
      <x:c r="S266" s="16" t="n">
        <x:v>7.5</x:v>
      </x:c>
    </x:row>
    <x:row r="267" ht="23" customHeight="1">
      <x:c r="A267" s="11" t="str">
        <x:v>09926.HK</x:v>
      </x:c>
      <x:c r="B267" s="11" t="str">
        <x:v>三年</x:v>
      </x:c>
      <x:c r="C267" s="11" t="str">
        <x:v>肺癌</x:v>
      </x:c>
      <x:c r="D267" s="11" t="n">
        <x:v>2031</x:v>
      </x:c>
      <x:c r="E267" s="11" t="n">
        <x:f>CHOOSE('假设'!$B$3,Q267,R267,S267)</x:f>
        <x:v>5.5</x:v>
      </x:c>
      <x:c r="F267" s="11" t="n">
        <x:f>'药物假设'!K39</x:f>
        <x:v>0.15</x:v>
      </x:c>
      <x:c r="G267" s="11" t="n">
        <x:f>1-'药物假设'!L39</x:f>
        <x:v>0.8</x:v>
      </x:c>
      <x:c r="H267" s="11" t="n">
        <x:f>'药物假设'!I39</x:f>
        <x:v>0.88</x:v>
      </x:c>
      <x:c r="I267" s="11" t="n">
        <x:f>E267*F267*G267*H267*'药物假设'!Q39</x:f>
        <x:v>0.5808</x:v>
      </x:c>
      <x:c r="J267" s="11" t="str">
        <x:v>2029-10-09</x:v>
      </x:c>
      <x:c r="K267" s="11" t="n">
        <x:v>2.2258726899383983</x:v>
      </x:c>
      <x:c r="L267" s="11" t="n">
        <x:f>'药物假设'!M39</x:f>
        <x:v>0.11</x:v>
      </x:c>
      <x:c r="M267" s="11" t="n">
        <x:f>IF(O267,I267/(1+L267)^K267,0)</x:f>
        <x:v>0.46040859972206166</x:v>
      </x:c>
      <x:c r="N267" s="11" t="n">
        <x:f>M267*'药物假设'!N39</x:f>
        <x:v>3.1307784781100194</x:v>
      </x:c>
      <x:c r="O267" s="26" t="b">
        <x:v>1</x:v>
      </x:c>
      <x:c r="P267" s="11" t="n">
        <x:f>39</x:f>
        <x:v>39</x:v>
      </x:c>
      <x:c r="Q267" s="16" t="n">
        <x:v>1.3</x:v>
      </x:c>
      <x:c r="R267" s="16" t="n">
        <x:v>5.5</x:v>
      </x:c>
      <x:c r="S267" s="16" t="n">
        <x:v>11</x:v>
      </x:c>
    </x:row>
    <x:row r="268" ht="23" customHeight="1">
      <x:c r="A268" s="11" t="str">
        <x:v>09926.HK</x:v>
      </x:c>
      <x:c r="B268" s="11" t="str">
        <x:v>三年</x:v>
      </x:c>
      <x:c r="C268" s="11" t="str">
        <x:v>肺癌</x:v>
      </x:c>
      <x:c r="D268" s="11" t="n">
        <x:v>2032</x:v>
      </x:c>
      <x:c r="E268" s="11" t="n">
        <x:f>CHOOSE('假设'!$B$3,Q268,R268,S268)</x:f>
        <x:v>7.5</x:v>
      </x:c>
      <x:c r="F268" s="11" t="n">
        <x:f>'药物假设'!K39</x:f>
        <x:v>0.15</x:v>
      </x:c>
      <x:c r="G268" s="11" t="n">
        <x:f>1-'药物假设'!L39</x:f>
        <x:v>0.8</x:v>
      </x:c>
      <x:c r="H268" s="11" t="n">
        <x:f>'药物假设'!I39</x:f>
        <x:v>0.88</x:v>
      </x:c>
      <x:c r="I268" s="11" t="n">
        <x:f>E268*F268*G268*H268*'药物假设'!Q39</x:f>
        <x:v>0.792</x:v>
      </x:c>
      <x:c r="J268" s="11" t="str">
        <x:v>2029-10-09</x:v>
      </x:c>
      <x:c r="K268" s="11" t="n">
        <x:v>3.2279260780287475</x:v>
      </x:c>
      <x:c r="L268" s="11" t="n">
        <x:f>'药物假设'!M39</x:f>
        <x:v>0.11</x:v>
      </x:c>
      <x:c r="M268" s="11" t="n">
        <x:f>IF(O268,I268/(1+L268)^K268,0)</x:f>
        <x:v>0.5654913373356463</x:v>
      </x:c>
      <x:c r="N268" s="11" t="n">
        <x:f>M268*'药物假设'!N39</x:f>
        <x:v>3.8453410938823946</x:v>
      </x:c>
      <x:c r="O268" s="26" t="b">
        <x:v>1</x:v>
      </x:c>
      <x:c r="P268" s="11" t="n">
        <x:f>39</x:f>
        <x:v>39</x:v>
      </x:c>
      <x:c r="Q268" s="16" t="n">
        <x:v>1.6</x:v>
      </x:c>
      <x:c r="R268" s="16" t="n">
        <x:v>7.5</x:v>
      </x:c>
      <x:c r="S268" s="16" t="n">
        <x:v>14</x:v>
      </x:c>
    </x:row>
    <x:row r="269" ht="23" customHeight="1">
      <x:c r="A269" s="11" t="str">
        <x:v>09926.HK</x:v>
      </x:c>
      <x:c r="B269" s="11" t="str">
        <x:v>三年</x:v>
      </x:c>
      <x:c r="C269" s="11" t="str">
        <x:v>肺癌</x:v>
      </x:c>
      <x:c r="D269" s="11" t="n">
        <x:v>2033</x:v>
      </x:c>
      <x:c r="E269" s="11" t="n">
        <x:f>CHOOSE('假设'!$B$3,Q269,R269,S269)</x:f>
        <x:v>9</x:v>
      </x:c>
      <x:c r="F269" s="11" t="n">
        <x:f>'药物假设'!K39</x:f>
        <x:v>0.15</x:v>
      </x:c>
      <x:c r="G269" s="11" t="n">
        <x:f>1-'药物假设'!L39</x:f>
        <x:v>0.8</x:v>
      </x:c>
      <x:c r="H269" s="11" t="n">
        <x:f>'药物假设'!I39</x:f>
        <x:v>0.88</x:v>
      </x:c>
      <x:c r="I269" s="11" t="n">
        <x:f>E269*F269*G269*H269*'药物假设'!Q39</x:f>
        <x:v>0.9503999999999999</x:v>
      </x:c>
      <x:c r="J269" s="11" t="str">
        <x:v>2029-10-09</x:v>
      </x:c>
      <x:c r="K269" s="11" t="n">
        <x:v>4.227241615331964</x:v>
      </x:c>
      <x:c r="L269" s="11" t="n">
        <x:f>'药物假设'!M39</x:f>
        <x:v>0.11</x:v>
      </x:c>
      <x:c r="M269" s="11" t="n">
        <x:f>IF(O269,I269/(1+L269)^K269,0)</x:f>
        <x:v>0.6113856563551693</x:v>
      </x:c>
      <x:c r="N269" s="11" t="n">
        <x:f>M269*'药物假设'!N39</x:f>
        <x:v>4.157422463215151</x:v>
      </x:c>
      <x:c r="O269" s="26" t="b">
        <x:v>1</x:v>
      </x:c>
      <x:c r="P269" s="11" t="n">
        <x:f>39</x:f>
        <x:v>39</x:v>
      </x:c>
      <x:c r="Q269" s="16" t="n">
        <x:v>1.8</x:v>
      </x:c>
      <x:c r="R269" s="16" t="n">
        <x:v>9</x:v>
      </x:c>
      <x:c r="S269" s="16" t="n">
        <x:v>16</x:v>
      </x:c>
    </x:row>
    <x:row r="270" ht="23" customHeight="1">
      <x:c r="A270" s="11" t="str">
        <x:v>09926.HK</x:v>
      </x:c>
      <x:c r="B270" s="11" t="str">
        <x:v>三年</x:v>
      </x:c>
      <x:c r="C270" s="11" t="str">
        <x:v>肺癌</x:v>
      </x:c>
      <x:c r="D270" s="11" t="n">
        <x:v>2034</x:v>
      </x:c>
      <x:c r="E270" s="11" t="n">
        <x:f>CHOOSE('假设'!$B$3,Q270,R270,S270)</x:f>
        <x:v>10</x:v>
      </x:c>
      <x:c r="F270" s="11" t="n">
        <x:f>'药物假设'!K39</x:f>
        <x:v>0.15</x:v>
      </x:c>
      <x:c r="G270" s="11" t="n">
        <x:f>1-'药物假设'!L39</x:f>
        <x:v>0.8</x:v>
      </x:c>
      <x:c r="H270" s="11" t="n">
        <x:f>'药物假设'!I39</x:f>
        <x:v>0.88</x:v>
      </x:c>
      <x:c r="I270" s="11" t="n">
        <x:f>E270*F270*G270*H270*'药物假设'!Q39</x:f>
        <x:v>1.0560000000000003</x:v>
      </x:c>
      <x:c r="J270" s="11" t="str">
        <x:v>2029-10-09</x:v>
      </x:c>
      <x:c r="K270" s="11" t="n">
        <x:v>5.2265571526351815</x:v>
      </x:c>
      <x:c r="L270" s="11" t="n">
        <x:f>'药物假设'!M39</x:f>
        <x:v>0.11</x:v>
      </x:c>
      <x:c r="M270" s="11" t="n">
        <x:f>IF(O270,I270/(1+L270)^K270,0)</x:f>
        <x:v>0.6120413708919102</x:v>
      </x:c>
      <x:c r="N270" s="11" t="n">
        <x:f>M270*'药物假设'!N39</x:f>
        <x:v>4.16188132206499</x:v>
      </x:c>
      <x:c r="O270" s="26" t="b">
        <x:v>1</x:v>
      </x:c>
      <x:c r="P270" s="11" t="n">
        <x:f>39</x:f>
        <x:v>39</x:v>
      </x:c>
      <x:c r="Q270" s="16" t="n">
        <x:v>1.9</x:v>
      </x:c>
      <x:c r="R270" s="16" t="n">
        <x:v>10</x:v>
      </x:c>
      <x:c r="S270" s="16" t="n">
        <x:v>18</x:v>
      </x:c>
    </x:row>
    <x:row r="271" ht="23" customHeight="1">
      <x:c r="A271" s="11" t="str">
        <x:v>09926.HK</x:v>
      </x:c>
      <x:c r="B271" s="11" t="str">
        <x:v>三年</x:v>
      </x:c>
      <x:c r="C271" s="11" t="str">
        <x:v>肺癌</x:v>
      </x:c>
      <x:c r="D271" s="11" t="n">
        <x:v>2035</x:v>
      </x:c>
      <x:c r="E271" s="11" t="n">
        <x:f>CHOOSE('假设'!$B$3,Q271,R271,S271)</x:f>
        <x:v>10.5</x:v>
      </x:c>
      <x:c r="F271" s="11" t="n">
        <x:f>'药物假设'!K39</x:f>
        <x:v>0.15</x:v>
      </x:c>
      <x:c r="G271" s="11" t="n">
        <x:f>1-'药物假设'!L39</x:f>
        <x:v>0.8</x:v>
      </x:c>
      <x:c r="H271" s="11" t="n">
        <x:f>'药物假设'!I39</x:f>
        <x:v>0.88</x:v>
      </x:c>
      <x:c r="I271" s="11" t="n">
        <x:f>E271*F271*G271*H271*'药物假设'!Q39</x:f>
        <x:v>1.1088</x:v>
      </x:c>
      <x:c r="J271" s="11" t="str">
        <x:v>2029-10-09</x:v>
      </x:c>
      <x:c r="K271" s="11" t="n">
        <x:v>6.225872689938399</x:v>
      </x:c>
      <x:c r="L271" s="11" t="n">
        <x:f>'药物假设'!M39</x:f>
        <x:v>0.11</x:v>
      </x:c>
      <x:c r="M271" s="11" t="n">
        <x:f>IF(O271,I271/(1+L271)^K271,0)</x:f>
        <x:v>0.578999410308421</x:v>
      </x:c>
      <x:c r="N271" s="11" t="n">
        <x:f>M271*'药物假设'!N39</x:f>
        <x:v>3.9371959900972624</x:v>
      </x:c>
      <x:c r="O271" s="26" t="b">
        <x:v>1</x:v>
      </x:c>
      <x:c r="P271" s="11" t="n">
        <x:f>39</x:f>
        <x:v>39</x:v>
      </x:c>
      <x:c r="Q271" s="16" t="n">
        <x:v>1.9</x:v>
      </x:c>
      <x:c r="R271" s="16" t="n">
        <x:v>10.5</x:v>
      </x:c>
      <x:c r="S271" s="16" t="n">
        <x:v>19</x:v>
      </x:c>
    </x:row>
    <x:row r="272" ht="23" customHeight="1">
      <x:c r="A272" s="11" t="str">
        <x:v>09926.HK</x:v>
      </x:c>
      <x:c r="B272" s="11" t="str">
        <x:v>三年</x:v>
      </x:c>
      <x:c r="C272" s="11" t="str">
        <x:v>肺癌</x:v>
      </x:c>
      <x:c r="D272" s="11" t="n">
        <x:v>2036</x:v>
      </x:c>
      <x:c r="E272" s="11" t="n">
        <x:f>CHOOSE('假设'!$B$3,Q272,R272,S272)</x:f>
        <x:v>10.5</x:v>
      </x:c>
      <x:c r="F272" s="11" t="n">
        <x:f>'药物假设'!K39</x:f>
        <x:v>0.15</x:v>
      </x:c>
      <x:c r="G272" s="11" t="n">
        <x:f>1-'药物假设'!L39</x:f>
        <x:v>0.8</x:v>
      </x:c>
      <x:c r="H272" s="11" t="n">
        <x:f>'药物假设'!I39</x:f>
        <x:v>0.88</x:v>
      </x:c>
      <x:c r="I272" s="11" t="n">
        <x:f>E272*F272*G272*H272*'药物假设'!Q39</x:f>
        <x:v>1.1088</x:v>
      </x:c>
      <x:c r="J272" s="11" t="str">
        <x:v>2029-10-09</x:v>
      </x:c>
      <x:c r="K272" s="11" t="n">
        <x:v>7.227926078028747</x:v>
      </x:c>
      <x:c r="L272" s="11" t="n">
        <x:f>'药物假设'!M39</x:f>
        <x:v>0.11</x:v>
      </x:c>
      <x:c r="M272" s="11" t="n">
        <x:f>IF(O272,I272/(1+L272)^K272,0)</x:f>
        <x:v>0.5215093233191368</x:v>
      </x:c>
      <x:c r="N272" s="11" t="n">
        <x:f>M272*'药物假设'!N39</x:f>
        <x:v>3.54626339857013</x:v>
      </x:c>
      <x:c r="O272" s="26" t="b">
        <x:v>1</x:v>
      </x:c>
      <x:c r="P272" s="11" t="n">
        <x:f>39</x:f>
        <x:v>39</x:v>
      </x:c>
      <x:c r="Q272" s="16" t="n">
        <x:v>1.8</x:v>
      </x:c>
      <x:c r="R272" s="16" t="n">
        <x:v>10.5</x:v>
      </x:c>
      <x:c r="S272" s="16" t="n">
        <x:v>19</x:v>
      </x:c>
    </x:row>
    <x:row r="273" ht="23" customHeight="1">
      <x:c r="A273" s="11" t="str">
        <x:v>09926.HK</x:v>
      </x:c>
      <x:c r="B273" s="11" t="str">
        <x:v>三年</x:v>
      </x:c>
      <x:c r="C273" s="11" t="str">
        <x:v>肺癌</x:v>
      </x:c>
      <x:c r="D273" s="11" t="n">
        <x:v>2037</x:v>
      </x:c>
      <x:c r="E273" s="11" t="n">
        <x:f>CHOOSE('假设'!$B$3,Q273,R273,S273)</x:f>
        <x:v>10</x:v>
      </x:c>
      <x:c r="F273" s="11" t="n">
        <x:f>'药物假设'!K39</x:f>
        <x:v>0.15</x:v>
      </x:c>
      <x:c r="G273" s="11" t="n">
        <x:f>1-'药物假设'!L39</x:f>
        <x:v>0.8</x:v>
      </x:c>
      <x:c r="H273" s="11" t="n">
        <x:f>'药物假设'!I39</x:f>
        <x:v>0.88</x:v>
      </x:c>
      <x:c r="I273" s="11" t="n">
        <x:f>E273*F273*G273*H273*'药物假设'!Q39</x:f>
        <x:v>1.0560000000000003</x:v>
      </x:c>
      <x:c r="J273" s="11" t="str">
        <x:v>2029-10-09</x:v>
      </x:c>
      <x:c r="K273" s="11" t="n">
        <x:v>8.227241615331964</x:v>
      </x:c>
      <x:c r="L273" s="11" t="n">
        <x:f>'药物假设'!M39</x:f>
        <x:v>0.11</x:v>
      </x:c>
      <x:c r="M273" s="11" t="n">
        <x:f>IF(O273,I273/(1+L273)^K273,0)</x:f>
        <x:v>0.44748740998791225</x:v>
      </x:c>
      <x:c r="N273" s="11" t="n">
        <x:f>M273*'药物假设'!N39</x:f>
        <x:v>3.0429143879178033</x:v>
      </x:c>
      <x:c r="O273" s="26" t="b">
        <x:v>1</x:v>
      </x:c>
      <x:c r="P273" s="11" t="n">
        <x:f>39</x:f>
        <x:v>39</x:v>
      </x:c>
      <x:c r="Q273" s="16" t="n">
        <x:v>1.7</x:v>
      </x:c>
      <x:c r="R273" s="16" t="n">
        <x:v>10</x:v>
      </x:c>
      <x:c r="S273" s="16" t="n">
        <x:v>18</x:v>
      </x:c>
    </x:row>
    <x:row r="274" ht="23" customHeight="1">
      <x:c r="A274" s="11" t="str">
        <x:v>09926.HK</x:v>
      </x:c>
      <x:c r="B274" s="11" t="str">
        <x:v>三年</x:v>
      </x:c>
      <x:c r="C274" s="11" t="str">
        <x:v>肺癌</x:v>
      </x:c>
      <x:c r="D274" s="11" t="n">
        <x:v>2038</x:v>
      </x:c>
      <x:c r="E274" s="11" t="n">
        <x:f>CHOOSE('假设'!$B$3,Q274,R274,S274)</x:f>
        <x:v>9</x:v>
      </x:c>
      <x:c r="F274" s="11" t="n">
        <x:f>'药物假设'!K39</x:f>
        <x:v>0.15</x:v>
      </x:c>
      <x:c r="G274" s="11" t="n">
        <x:f>1-'药物假设'!L39</x:f>
        <x:v>0.8</x:v>
      </x:c>
      <x:c r="H274" s="11" t="n">
        <x:f>'药物假设'!I39</x:f>
        <x:v>0.88</x:v>
      </x:c>
      <x:c r="I274" s="11" t="n">
        <x:f>E274*F274*G274*H274*'药物假设'!Q39</x:f>
        <x:v>0.9503999999999999</x:v>
      </x:c>
      <x:c r="J274" s="11" t="str">
        <x:v>2029-10-09</x:v>
      </x:c>
      <x:c r="K274" s="11" t="n">
        <x:v>9.22655715263518</x:v>
      </x:c>
      <x:c r="L274" s="11" t="n">
        <x:f>'药物假设'!M39</x:f>
        <x:v>0.11</x:v>
      </x:c>
      <x:c r="M274" s="11" t="n">
        <x:f>IF(O274,I274/(1+L274)^K274,0)</x:f>
        <x:v>0.36285354761820227</x:v>
      </x:c>
      <x:c r="N274" s="11" t="n">
        <x:f>M274*'药物假设'!N39</x:f>
        <x:v>2.4674041238037754</x:v>
      </x:c>
      <x:c r="O274" s="26" t="b">
        <x:v>1</x:v>
      </x:c>
      <x:c r="P274" s="11" t="n">
        <x:f>39</x:f>
        <x:v>39</x:v>
      </x:c>
      <x:c r="Q274" s="16" t="n">
        <x:v>1.5</x:v>
      </x:c>
      <x:c r="R274" s="16" t="n">
        <x:v>9</x:v>
      </x:c>
      <x:c r="S274" s="16" t="n">
        <x:v>17</x:v>
      </x:c>
    </x:row>
    <x:row r="275" ht="23" customHeight="1">
      <x:c r="A275" s="11" t="str">
        <x:v>09926.HK</x:v>
      </x:c>
      <x:c r="B275" s="11" t="str">
        <x:v>三年</x:v>
      </x:c>
      <x:c r="C275" s="11" t="str">
        <x:v>肺癌</x:v>
      </x:c>
      <x:c r="D275" s="11" t="n">
        <x:v>2039</x:v>
      </x:c>
      <x:c r="E275" s="11" t="n">
        <x:f>CHOOSE('假设'!$B$3,Q275,R275,S275)</x:f>
        <x:v>8</x:v>
      </x:c>
      <x:c r="F275" s="11" t="n">
        <x:f>'药物假设'!K39</x:f>
        <x:v>0.15</x:v>
      </x:c>
      <x:c r="G275" s="11" t="n">
        <x:f>1-'药物假设'!L39</x:f>
        <x:v>0.8</x:v>
      </x:c>
      <x:c r="H275" s="11" t="n">
        <x:f>'药物假设'!I39</x:f>
        <x:v>0.88</x:v>
      </x:c>
      <x:c r="I275" s="11" t="n">
        <x:f>E275*F275*G275*H275*'药物假设'!Q39</x:f>
        <x:v>0.8448</x:v>
      </x:c>
      <x:c r="J275" s="11" t="str">
        <x:v>2029-10-09</x:v>
      </x:c>
      <x:c r="K275" s="11" t="n">
        <x:v>10.225872689938399</x:v>
      </x:c>
      <x:c r="L275" s="11" t="n">
        <x:f>'药物假设'!M39</x:f>
        <x:v>0.11</x:v>
      </x:c>
      <x:c r="M275" s="11" t="n">
        <x:f>IF(O275,I275/(1+L275)^K275,0)</x:f>
        <x:v>0.2905941680623594</x:v>
      </x:c>
      <x:c r="N275" s="11" t="n">
        <x:f>M275*'药物假设'!N39</x:f>
        <x:v>1.9760403428240438</x:v>
      </x:c>
      <x:c r="O275" s="26" t="b">
        <x:v>1</x:v>
      </x:c>
      <x:c r="P275" s="11" t="n">
        <x:f>39</x:f>
        <x:v>39</x:v>
      </x:c>
      <x:c r="Q275" s="16" t="n">
        <x:v>1.2</x:v>
      </x:c>
      <x:c r="R275" s="16" t="n">
        <x:v>8</x:v>
      </x:c>
      <x:c r="S275" s="16" t="n">
        <x:v>15</x:v>
      </x:c>
    </x:row>
    <x:row r="276" ht="23" customHeight="1">
      <x:c r="A276" s="11" t="str">
        <x:v>09926.HK</x:v>
      </x:c>
      <x:c r="B276" s="11" t="str">
        <x:v>三年</x:v>
      </x:c>
      <x:c r="C276" s="11" t="str">
        <x:v>肺癌</x:v>
      </x:c>
      <x:c r="D276" s="11" t="n">
        <x:v>2040</x:v>
      </x:c>
      <x:c r="E276" s="11" t="n">
        <x:f>CHOOSE('假设'!$B$3,Q276,R276,S276)</x:f>
        <x:v>6.5</x:v>
      </x:c>
      <x:c r="F276" s="11" t="n">
        <x:f>'药物假设'!K39</x:f>
        <x:v>0.15</x:v>
      </x:c>
      <x:c r="G276" s="11" t="n">
        <x:f>1-'药物假设'!L39</x:f>
        <x:v>0.8</x:v>
      </x:c>
      <x:c r="H276" s="11" t="n">
        <x:f>'药物假设'!I39</x:f>
        <x:v>0.88</x:v>
      </x:c>
      <x:c r="I276" s="11" t="n">
        <x:f>E276*F276*G276*H276*'药物假设'!Q39</x:f>
        <x:v>0.6864</x:v>
      </x:c>
      <x:c r="J276" s="11" t="str">
        <x:v>2029-10-09</x:v>
      </x:c>
      <x:c r="K276" s="11" t="n">
        <x:v>11.227926078028748</x:v>
      </x:c>
      <x:c r="L276" s="11" t="n">
        <x:f>'药物假设'!M39</x:f>
        <x:v>0.11</x:v>
      </x:c>
      <x:c r="M276" s="11" t="n">
        <x:f>IF(O276,I276/(1+L276)^K276,0)</x:f>
        <x:v>0.21266411807068056</x:v>
      </x:c>
      <x:c r="N276" s="11" t="n">
        <x:f>M276*'药物假设'!N39</x:f>
        <x:v>1.4461160028806277</x:v>
      </x:c>
      <x:c r="O276" s="26" t="b">
        <x:v>1</x:v>
      </x:c>
      <x:c r="P276" s="11" t="n">
        <x:f>39</x:f>
        <x:v>39</x:v>
      </x:c>
      <x:c r="Q276" s="16" t="n">
        <x:v>0.9</x:v>
      </x:c>
      <x:c r="R276" s="16" t="n">
        <x:v>6.5</x:v>
      </x:c>
      <x:c r="S276" s="16" t="n">
        <x:v>12</x:v>
      </x:c>
    </x:row>
    <x:row r="277" ht="23" customHeight="1">
      <x:c r="A277" s="11" t="str">
        <x:v>09926.HK</x:v>
      </x:c>
      <x:c r="B277" s="11" t="str">
        <x:v>三年</x:v>
      </x:c>
      <x:c r="C277" s="11" t="str">
        <x:v>肺癌</x:v>
      </x:c>
      <x:c r="D277" s="11" t="n">
        <x:v>2041</x:v>
      </x:c>
      <x:c r="E277" s="11" t="n">
        <x:f>CHOOSE('假设'!$B$3,Q277,R277,S277)</x:f>
        <x:v>5</x:v>
      </x:c>
      <x:c r="F277" s="11" t="n">
        <x:f>'药物假设'!K39</x:f>
        <x:v>0.15</x:v>
      </x:c>
      <x:c r="G277" s="11" t="n">
        <x:f>1-'药物假设'!L39</x:f>
        <x:v>0.8</x:v>
      </x:c>
      <x:c r="H277" s="11" t="n">
        <x:f>'药物假设'!I39</x:f>
        <x:v>0.88</x:v>
      </x:c>
      <x:c r="I277" s="11" t="n">
        <x:f>E277*F277*G277*H277*'药物假设'!Q39</x:f>
        <x:v>0.5280000000000001</x:v>
      </x:c>
      <x:c r="J277" s="11" t="str">
        <x:v>2029-10-09</x:v>
      </x:c>
      <x:c r="K277" s="11" t="n">
        <x:v>12.227241615331964</x:v>
      </x:c>
      <x:c r="L277" s="11" t="n">
        <x:f>'药物假设'!M39</x:f>
        <x:v>0.11</x:v>
      </x:c>
      <x:c r="M277" s="11" t="n">
        <x:f>IF(O277,I277/(1+L277)^K277,0)</x:f>
        <x:v>0.14738690874948024</x:v>
      </x:c>
      <x:c r="N277" s="11" t="n">
        <x:f>M277*'药物假设'!N39</x:f>
        <x:v>1.0022309794964657</x:v>
      </x:c>
      <x:c r="O277" s="26" t="b">
        <x:v>1</x:v>
      </x:c>
      <x:c r="P277" s="11" t="n">
        <x:f>39</x:f>
        <x:v>39</x:v>
      </x:c>
      <x:c r="Q277" s="16" t="n">
        <x:v>0.6</x:v>
      </x:c>
      <x:c r="R277" s="16" t="n">
        <x:v>5</x:v>
      </x:c>
      <x:c r="S277" s="16" t="n">
        <x:v>9</x:v>
      </x:c>
    </x:row>
    <x:row r="278" ht="23" customHeight="1">
      <x:c r="A278" s="11" t="str">
        <x:v>09926.HK</x:v>
      </x:c>
      <x:c r="B278" s="11" t="str">
        <x:v>三年</x:v>
      </x:c>
      <x:c r="C278" s="11" t="str">
        <x:v>肺癌</x:v>
      </x:c>
      <x:c r="D278" s="11" t="n">
        <x:v>2042</x:v>
      </x:c>
      <x:c r="E278" s="11" t="n">
        <x:f>CHOOSE('假设'!$B$3,Q278,R278,S278)</x:f>
        <x:v>3</x:v>
      </x:c>
      <x:c r="F278" s="11" t="n">
        <x:f>'药物假设'!K39</x:f>
        <x:v>0.15</x:v>
      </x:c>
      <x:c r="G278" s="11" t="n">
        <x:f>1-'药物假设'!L39</x:f>
        <x:v>0.8</x:v>
      </x:c>
      <x:c r="H278" s="11" t="n">
        <x:f>'药物假设'!I39</x:f>
        <x:v>0.88</x:v>
      </x:c>
      <x:c r="I278" s="11" t="n">
        <x:f>E278*F278*G278*H278*'药物假设'!Q39</x:f>
        <x:v>0.31679999999999997</x:v>
      </x:c>
      <x:c r="J278" s="11" t="str">
        <x:v>2029-10-09</x:v>
      </x:c>
      <x:c r="K278" s="11" t="n">
        <x:v>13.22655715263518</x:v>
      </x:c>
      <x:c r="L278" s="11" t="n">
        <x:f>'药物假设'!M39</x:f>
        <x:v>0.11</x:v>
      </x:c>
      <x:c r="M278" s="11" t="n">
        <x:f>IF(O278,I278/(1+L278)^K278,0)</x:f>
        <x:v>0.07967429029816919</x:v>
      </x:c>
      <x:c r="N278" s="11" t="n">
        <x:f>M278*'药物假设'!N39</x:f>
        <x:v>0.5417851740275504</x:v>
      </x:c>
      <x:c r="O278" s="26" t="b">
        <x:v>1</x:v>
      </x:c>
      <x:c r="P278" s="11" t="n">
        <x:f>39</x:f>
        <x:v>39</x:v>
      </x:c>
      <x:c r="Q278" s="16" t="n">
        <x:v>0.3</x:v>
      </x:c>
      <x:c r="R278" s="16" t="n">
        <x:v>3</x:v>
      </x:c>
      <x:c r="S278" s="16" t="n">
        <x:v>6</x:v>
      </x:c>
    </x:row>
    <x:row r="279" ht="23" customHeight="1">
      <x:c r="A279" s="11" t="str">
        <x:v>09926.HK</x:v>
      </x:c>
      <x:c r="B279" s="11" t="str">
        <x:v>三年</x:v>
      </x:c>
      <x:c r="C279" s="11" t="str">
        <x:v>其他适应症</x:v>
      </x:c>
      <x:c r="D279" s="11" t="n">
        <x:v>2027</x:v>
      </x:c>
      <x:c r="E279" s="11" t="n">
        <x:f>CHOOSE('假设'!$B$3,Q279,R279,S279)</x:f>
        <x:v>0</x:v>
      </x:c>
      <x:c r="F279" s="11" t="n">
        <x:f>'药物假设'!K39</x:f>
        <x:v>0.15</x:v>
      </x:c>
      <x:c r="G279" s="11" t="n">
        <x:f>1-'药物假设'!L39</x:f>
        <x:v>0.8</x:v>
      </x:c>
      <x:c r="H279" s="11" t="n">
        <x:f>'药物假设'!J39</x:f>
        <x:v>0.5</x:v>
      </x:c>
      <x:c r="I279" s="11" t="n">
        <x:f>E279*F279*G279*H279*'药物假设'!Q39</x:f>
        <x:v>0</x:v>
      </x:c>
      <x:c r="J279" s="11" t="str">
        <x:v>2029-10-09</x:v>
      </x:c>
      <x:c r="K279" s="11" t="n">
        <x:v>0</x:v>
      </x:c>
      <x:c r="L279" s="11" t="n">
        <x:f>'药物假设'!M39</x:f>
        <x:v>0.11</x:v>
      </x:c>
      <x:c r="M279" s="11" t="n">
        <x:f>IF(O279,I279/(1+L279)^K279,0)</x:f>
        <x:v>0</x:v>
      </x:c>
      <x:c r="N279" s="11" t="n">
        <x:f>M279*'药物假设'!N39</x:f>
        <x:v>0</x:v>
      </x:c>
      <x:c r="O279" s="26" t="b">
        <x:v>0</x:v>
      </x:c>
      <x:c r="P279" s="11" t="n">
        <x:f>39</x:f>
        <x:v>39</x:v>
      </x:c>
      <x:c r="Q279" s="16" t="n">
        <x:v>0</x:v>
      </x:c>
      <x:c r="R279" s="16" t="n">
        <x:v>0</x:v>
      </x:c>
      <x:c r="S279" s="16" t="n">
        <x:v>0</x:v>
      </x:c>
    </x:row>
    <x:row r="280" ht="23" customHeight="1">
      <x:c r="A280" s="11" t="str">
        <x:v>09926.HK</x:v>
      </x:c>
      <x:c r="B280" s="11" t="str">
        <x:v>三年</x:v>
      </x:c>
      <x:c r="C280" s="11" t="str">
        <x:v>其他适应症</x:v>
      </x:c>
      <x:c r="D280" s="11" t="n">
        <x:v>2028</x:v>
      </x:c>
      <x:c r="E280" s="11" t="n">
        <x:f>CHOOSE('假设'!$B$3,Q280,R280,S280)</x:f>
        <x:v>0</x:v>
      </x:c>
      <x:c r="F280" s="11" t="n">
        <x:f>'药物假设'!K39</x:f>
        <x:v>0.15</x:v>
      </x:c>
      <x:c r="G280" s="11" t="n">
        <x:f>1-'药物假设'!L39</x:f>
        <x:v>0.8</x:v>
      </x:c>
      <x:c r="H280" s="11" t="n">
        <x:f>'药物假设'!J39</x:f>
        <x:v>0.5</x:v>
      </x:c>
      <x:c r="I280" s="11" t="n">
        <x:f>E280*F280*G280*H280*'药物假设'!Q39</x:f>
        <x:v>0</x:v>
      </x:c>
      <x:c r="J280" s="11" t="str">
        <x:v>2029-10-09</x:v>
      </x:c>
      <x:c r="K280" s="11" t="n">
        <x:v>0</x:v>
      </x:c>
      <x:c r="L280" s="11" t="n">
        <x:f>'药物假设'!M39</x:f>
        <x:v>0.11</x:v>
      </x:c>
      <x:c r="M280" s="11" t="n">
        <x:f>IF(O280,I280/(1+L280)^K280,0)</x:f>
        <x:v>0</x:v>
      </x:c>
      <x:c r="N280" s="11" t="n">
        <x:f>M280*'药物假设'!N39</x:f>
        <x:v>0</x:v>
      </x:c>
      <x:c r="O280" s="26" t="b">
        <x:v>0</x:v>
      </x:c>
      <x:c r="P280" s="11" t="n">
        <x:f>39</x:f>
        <x:v>39</x:v>
      </x:c>
      <x:c r="Q280" s="16" t="n">
        <x:v>0</x:v>
      </x:c>
      <x:c r="R280" s="16" t="n">
        <x:v>0</x:v>
      </x:c>
      <x:c r="S280" s="16" t="n">
        <x:v>0</x:v>
      </x:c>
    </x:row>
    <x:row r="281" ht="23" customHeight="1">
      <x:c r="A281" s="11" t="str">
        <x:v>09926.HK</x:v>
      </x:c>
      <x:c r="B281" s="11" t="str">
        <x:v>三年</x:v>
      </x:c>
      <x:c r="C281" s="11" t="str">
        <x:v>其他适应症</x:v>
      </x:c>
      <x:c r="D281" s="11" t="n">
        <x:v>2029</x:v>
      </x:c>
      <x:c r="E281" s="11" t="n">
        <x:f>CHOOSE('假设'!$B$3,Q281,R281,S281)</x:f>
        <x:v>0</x:v>
      </x:c>
      <x:c r="F281" s="11" t="n">
        <x:f>'药物假设'!K39</x:f>
        <x:v>0.15</x:v>
      </x:c>
      <x:c r="G281" s="11" t="n">
        <x:f>1-'药物假设'!L39</x:f>
        <x:v>0.8</x:v>
      </x:c>
      <x:c r="H281" s="11" t="n">
        <x:f>'药物假设'!J39</x:f>
        <x:v>0.5</x:v>
      </x:c>
      <x:c r="I281" s="11" t="n">
        <x:f>E281*F281*G281*H281*'药物假设'!Q39</x:f>
        <x:v>0</x:v>
      </x:c>
      <x:c r="J281" s="11" t="str">
        <x:v>2029-10-09</x:v>
      </x:c>
      <x:c r="K281" s="11" t="n">
        <x:v>0.2272416153319644</x:v>
      </x:c>
      <x:c r="L281" s="11" t="n">
        <x:f>'药物假设'!M39</x:f>
        <x:v>0.11</x:v>
      </x:c>
      <x:c r="M281" s="11" t="n">
        <x:f>IF(O281,I281/(1+L281)^K281,0)</x:f>
        <x:v>0</x:v>
      </x:c>
      <x:c r="N281" s="11" t="n">
        <x:f>M281*'药物假设'!N39</x:f>
        <x:v>0</x:v>
      </x:c>
      <x:c r="O281" s="26" t="b">
        <x:v>1</x:v>
      </x:c>
      <x:c r="P281" s="11" t="n">
        <x:f>39</x:f>
        <x:v>39</x:v>
      </x:c>
      <x:c r="Q281" s="16" t="n">
        <x:v>0</x:v>
      </x:c>
      <x:c r="R281" s="16" t="n">
        <x:v>0</x:v>
      </x:c>
      <x:c r="S281" s="16" t="n">
        <x:v>0.3</x:v>
      </x:c>
    </x:row>
    <x:row r="282" ht="23" customHeight="1">
      <x:c r="A282" s="11" t="str">
        <x:v>09926.HK</x:v>
      </x:c>
      <x:c r="B282" s="11" t="str">
        <x:v>三年</x:v>
      </x:c>
      <x:c r="C282" s="11" t="str">
        <x:v>其他适应症</x:v>
      </x:c>
      <x:c r="D282" s="11" t="n">
        <x:v>2030</x:v>
      </x:c>
      <x:c r="E282" s="11" t="n">
        <x:f>CHOOSE('假设'!$B$3,Q282,R282,S282)</x:f>
        <x:v>0.3</x:v>
      </x:c>
      <x:c r="F282" s="11" t="n">
        <x:f>'药物假设'!K39</x:f>
        <x:v>0.15</x:v>
      </x:c>
      <x:c r="G282" s="11" t="n">
        <x:f>1-'药物假设'!L39</x:f>
        <x:v>0.8</x:v>
      </x:c>
      <x:c r="H282" s="11" t="n">
        <x:f>'药物假设'!J39</x:f>
        <x:v>0.5</x:v>
      </x:c>
      <x:c r="I282" s="11" t="n">
        <x:f>E282*F282*G282*H282*'药物假设'!Q39</x:f>
        <x:v>0.018</x:v>
      </x:c>
      <x:c r="J282" s="11" t="str">
        <x:v>2029-10-09</x:v>
      </x:c>
      <x:c r="K282" s="11" t="n">
        <x:v>1.2265571526351813</x:v>
      </x:c>
      <x:c r="L282" s="11" t="n">
        <x:f>'药物假设'!M39</x:f>
        <x:v>0.11</x:v>
      </x:c>
      <x:c r="M282" s="11" t="n">
        <x:f>IF(O282,I282/(1+L282)^K282,0)</x:f>
        <x:v>0.01583730502579848</x:v>
      </x:c>
      <x:c r="N282" s="11" t="n">
        <x:f>M282*'药物假设'!N39</x:f>
        <x:v>0.10769367417542966</x:v>
      </x:c>
      <x:c r="O282" s="26" t="b">
        <x:v>1</x:v>
      </x:c>
      <x:c r="P282" s="11" t="n">
        <x:f>39</x:f>
        <x:v>39</x:v>
      </x:c>
      <x:c r="Q282" s="16" t="n">
        <x:v>0</x:v>
      </x:c>
      <x:c r="R282" s="16" t="n">
        <x:v>0.3</x:v>
      </x:c>
      <x:c r="S282" s="16" t="n">
        <x:v>1</x:v>
      </x:c>
    </x:row>
    <x:row r="283" ht="23" customHeight="1">
      <x:c r="A283" s="11" t="str">
        <x:v>09926.HK</x:v>
      </x:c>
      <x:c r="B283" s="11" t="str">
        <x:v>三年</x:v>
      </x:c>
      <x:c r="C283" s="11" t="str">
        <x:v>其他适应症</x:v>
      </x:c>
      <x:c r="D283" s="11" t="n">
        <x:v>2031</x:v>
      </x:c>
      <x:c r="E283" s="11" t="n">
        <x:f>CHOOSE('假设'!$B$3,Q283,R283,S283)</x:f>
        <x:v>0.8</x:v>
      </x:c>
      <x:c r="F283" s="11" t="n">
        <x:f>'药物假设'!K39</x:f>
        <x:v>0.15</x:v>
      </x:c>
      <x:c r="G283" s="11" t="n">
        <x:f>1-'药物假设'!L39</x:f>
        <x:v>0.8</x:v>
      </x:c>
      <x:c r="H283" s="11" t="n">
        <x:f>'药物假设'!J39</x:f>
        <x:v>0.5</x:v>
      </x:c>
      <x:c r="I283" s="11" t="n">
        <x:f>E283*F283*G283*H283*'药物假设'!Q39</x:f>
        <x:v>0.048</x:v>
      </x:c>
      <x:c r="J283" s="11" t="str">
        <x:v>2029-10-09</x:v>
      </x:c>
      <x:c r="K283" s="11" t="n">
        <x:v>2.2258726899383983</x:v>
      </x:c>
      <x:c r="L283" s="11" t="n">
        <x:f>'药物假设'!M39</x:f>
        <x:v>0.11</x:v>
      </x:c>
      <x:c r="M283" s="11" t="n">
        <x:f>IF(O283,I283/(1+L283)^K283,0)</x:f>
        <x:v>0.038050297497691045</x:v>
      </x:c>
      <x:c r="N283" s="11" t="n">
        <x:f>M283*'药物假设'!N39</x:f>
        <x:v>0.2587420229842991</x:v>
      </x:c>
      <x:c r="O283" s="26" t="b">
        <x:v>1</x:v>
      </x:c>
      <x:c r="P283" s="11" t="n">
        <x:f>39</x:f>
        <x:v>39</x:v>
      </x:c>
      <x:c r="Q283" s="16" t="n">
        <x:v>0</x:v>
      </x:c>
      <x:c r="R283" s="16" t="n">
        <x:v>0.8</x:v>
      </x:c>
      <x:c r="S283" s="16" t="n">
        <x:v>2.5</x:v>
      </x:c>
    </x:row>
    <x:row r="284" ht="23" customHeight="1">
      <x:c r="A284" s="11" t="str">
        <x:v>09926.HK</x:v>
      </x:c>
      <x:c r="B284" s="11" t="str">
        <x:v>三年</x:v>
      </x:c>
      <x:c r="C284" s="11" t="str">
        <x:v>其他适应症</x:v>
      </x:c>
      <x:c r="D284" s="11" t="n">
        <x:v>2032</x:v>
      </x:c>
      <x:c r="E284" s="11" t="n">
        <x:f>CHOOSE('假设'!$B$3,Q284,R284,S284)</x:f>
        <x:v>1.5</x:v>
      </x:c>
      <x:c r="F284" s="11" t="n">
        <x:f>'药物假设'!K39</x:f>
        <x:v>0.15</x:v>
      </x:c>
      <x:c r="G284" s="11" t="n">
        <x:f>1-'药物假设'!L39</x:f>
        <x:v>0.8</x:v>
      </x:c>
      <x:c r="H284" s="11" t="n">
        <x:f>'药物假设'!J39</x:f>
        <x:v>0.5</x:v>
      </x:c>
      <x:c r="I284" s="11" t="n">
        <x:f>E284*F284*G284*H284*'药物假设'!Q39</x:f>
        <x:v>0.09</x:v>
      </x:c>
      <x:c r="J284" s="11" t="str">
        <x:v>2029-10-09</x:v>
      </x:c>
      <x:c r="K284" s="11" t="n">
        <x:v>3.2279260780287475</x:v>
      </x:c>
      <x:c r="L284" s="11" t="n">
        <x:f>'药物假设'!M39</x:f>
        <x:v>0.11</x:v>
      </x:c>
      <x:c r="M284" s="11" t="n">
        <x:f>IF(O284,I284/(1+L284)^K284,0)</x:f>
        <x:v>0.06426037924268707</x:v>
      </x:c>
      <x:c r="N284" s="11" t="n">
        <x:f>M284*'药物假设'!N39</x:f>
        <x:v>0.4369705788502721</x:v>
      </x:c>
      <x:c r="O284" s="26" t="b">
        <x:v>1</x:v>
      </x:c>
      <x:c r="P284" s="11" t="n">
        <x:f>39</x:f>
        <x:v>39</x:v>
      </x:c>
      <x:c r="Q284" s="16" t="n">
        <x:v>0.1</x:v>
      </x:c>
      <x:c r="R284" s="16" t="n">
        <x:v>1.5</x:v>
      </x:c>
      <x:c r="S284" s="16" t="n">
        <x:v>5</x:v>
      </x:c>
    </x:row>
    <x:row r="285" ht="23" customHeight="1">
      <x:c r="A285" s="11" t="str">
        <x:v>09926.HK</x:v>
      </x:c>
      <x:c r="B285" s="11" t="str">
        <x:v>三年</x:v>
      </x:c>
      <x:c r="C285" s="11" t="str">
        <x:v>其他适应症</x:v>
      </x:c>
      <x:c r="D285" s="11" t="n">
        <x:v>2033</x:v>
      </x:c>
      <x:c r="E285" s="11" t="n">
        <x:f>CHOOSE('假设'!$B$3,Q285,R285,S285)</x:f>
        <x:v>2.5</x:v>
      </x:c>
      <x:c r="F285" s="11" t="n">
        <x:f>'药物假设'!K39</x:f>
        <x:v>0.15</x:v>
      </x:c>
      <x:c r="G285" s="11" t="n">
        <x:f>1-'药物假设'!L39</x:f>
        <x:v>0.8</x:v>
      </x:c>
      <x:c r="H285" s="11" t="n">
        <x:f>'药物假设'!J39</x:f>
        <x:v>0.5</x:v>
      </x:c>
      <x:c r="I285" s="11" t="n">
        <x:f>E285*F285*G285*H285*'药物假设'!Q39</x:f>
        <x:v>0.15000000000000002</x:v>
      </x:c>
      <x:c r="J285" s="11" t="str">
        <x:v>2029-10-09</x:v>
      </x:c>
      <x:c r="K285" s="11" t="n">
        <x:v>4.227241615331964</x:v>
      </x:c>
      <x:c r="L285" s="11" t="n">
        <x:f>'药物假设'!M39</x:f>
        <x:v>0.11</x:v>
      </x:c>
      <x:c r="M285" s="11" t="n">
        <x:f>IF(O285,I285/(1+L285)^K285,0)</x:f>
        <x:v>0.09649394828837901</x:v>
      </x:c>
      <x:c r="N285" s="11" t="n">
        <x:f>M285*'药物假设'!N39</x:f>
        <x:v>0.6561588483609773</x:v>
      </x:c>
      <x:c r="O285" s="26" t="b">
        <x:v>1</x:v>
      </x:c>
      <x:c r="P285" s="11" t="n">
        <x:f>39</x:f>
        <x:v>39</x:v>
      </x:c>
      <x:c r="Q285" s="16" t="n">
        <x:v>0.2</x:v>
      </x:c>
      <x:c r="R285" s="16" t="n">
        <x:v>2.5</x:v>
      </x:c>
      <x:c r="S285" s="16" t="n">
        <x:v>7.5</x:v>
      </x:c>
    </x:row>
    <x:row r="286" ht="23" customHeight="1">
      <x:c r="A286" s="11" t="str">
        <x:v>09926.HK</x:v>
      </x:c>
      <x:c r="B286" s="11" t="str">
        <x:v>三年</x:v>
      </x:c>
      <x:c r="C286" s="11" t="str">
        <x:v>其他适应症</x:v>
      </x:c>
      <x:c r="D286" s="11" t="n">
        <x:v>2034</x:v>
      </x:c>
      <x:c r="E286" s="11" t="n">
        <x:f>CHOOSE('假设'!$B$3,Q286,R286,S286)</x:f>
        <x:v>3.5</x:v>
      </x:c>
      <x:c r="F286" s="11" t="n">
        <x:f>'药物假设'!K39</x:f>
        <x:v>0.15</x:v>
      </x:c>
      <x:c r="G286" s="11" t="n">
        <x:f>1-'药物假设'!L39</x:f>
        <x:v>0.8</x:v>
      </x:c>
      <x:c r="H286" s="11" t="n">
        <x:f>'药物假设'!J39</x:f>
        <x:v>0.5</x:v>
      </x:c>
      <x:c r="I286" s="11" t="n">
        <x:f>E286*F286*G286*H286*'药物假设'!Q39</x:f>
        <x:v>0.21000000000000002</x:v>
      </x:c>
      <x:c r="J286" s="11" t="str">
        <x:v>2029-10-09</x:v>
      </x:c>
      <x:c r="K286" s="11" t="n">
        <x:v>5.2265571526351815</x:v>
      </x:c>
      <x:c r="L286" s="11" t="n">
        <x:f>'药物假设'!M39</x:f>
        <x:v>0.11</x:v>
      </x:c>
      <x:c r="M286" s="11" t="n">
        <x:f>IF(O286,I286/(1+L286)^K286,0)</x:f>
        <x:v>0.12171277262055032</x:v>
      </x:c>
      <x:c r="N286" s="11" t="n">
        <x:f>M286*'药物假设'!N39</x:f>
        <x:v>0.8276468538197421</x:v>
      </x:c>
      <x:c r="O286" s="26" t="b">
        <x:v>1</x:v>
      </x:c>
      <x:c r="P286" s="11" t="n">
        <x:f>39</x:f>
        <x:v>39</x:v>
      </x:c>
      <x:c r="Q286" s="16" t="n">
        <x:v>0.3</x:v>
      </x:c>
      <x:c r="R286" s="16" t="n">
        <x:v>3.5</x:v>
      </x:c>
      <x:c r="S286" s="16" t="n">
        <x:v>10</x:v>
      </x:c>
    </x:row>
    <x:row r="287" ht="23" customHeight="1">
      <x:c r="A287" s="11" t="str">
        <x:v>09926.HK</x:v>
      </x:c>
      <x:c r="B287" s="11" t="str">
        <x:v>三年</x:v>
      </x:c>
      <x:c r="C287" s="11" t="str">
        <x:v>其他适应症</x:v>
      </x:c>
      <x:c r="D287" s="11" t="n">
        <x:v>2035</x:v>
      </x:c>
      <x:c r="E287" s="11" t="n">
        <x:f>CHOOSE('假设'!$B$3,Q287,R287,S287)</x:f>
        <x:v>4.5</x:v>
      </x:c>
      <x:c r="F287" s="11" t="n">
        <x:f>'药物假设'!K39</x:f>
        <x:v>0.15</x:v>
      </x:c>
      <x:c r="G287" s="11" t="n">
        <x:f>1-'药物假设'!L39</x:f>
        <x:v>0.8</x:v>
      </x:c>
      <x:c r="H287" s="11" t="n">
        <x:f>'药物假设'!J39</x:f>
        <x:v>0.5</x:v>
      </x:c>
      <x:c r="I287" s="11" t="n">
        <x:f>E287*F287*G287*H287*'药物假设'!Q39</x:f>
        <x:v>0.26999999999999996</x:v>
      </x:c>
      <x:c r="J287" s="11" t="str">
        <x:v>2029-10-09</x:v>
      </x:c>
      <x:c r="K287" s="11" t="n">
        <x:v>6.225872689938399</x:v>
      </x:c>
      <x:c r="L287" s="11" t="n">
        <x:f>'药物假设'!M39</x:f>
        <x:v>0.11</x:v>
      </x:c>
      <x:c r="M287" s="11" t="n">
        <x:f>IF(O287,I287/(1+L287)^K287,0)</x:f>
        <x:v>0.14099011614653106</x:v>
      </x:c>
      <x:c r="N287" s="11" t="n">
        <x:f>M287*'药物假设'!N39</x:f>
        <x:v>0.9587327897964112</x:v>
      </x:c>
      <x:c r="O287" s="26" t="b">
        <x:v>1</x:v>
      </x:c>
      <x:c r="P287" s="11" t="n">
        <x:f>39</x:f>
        <x:v>39</x:v>
      </x:c>
      <x:c r="Q287" s="16" t="n">
        <x:v>0.4</x:v>
      </x:c>
      <x:c r="R287" s="16" t="n">
        <x:v>4.5</x:v>
      </x:c>
      <x:c r="S287" s="16" t="n">
        <x:v>12</x:v>
      </x:c>
    </x:row>
    <x:row r="288" ht="23" customHeight="1">
      <x:c r="A288" s="11" t="str">
        <x:v>09926.HK</x:v>
      </x:c>
      <x:c r="B288" s="11" t="str">
        <x:v>三年</x:v>
      </x:c>
      <x:c r="C288" s="11" t="str">
        <x:v>其他适应症</x:v>
      </x:c>
      <x:c r="D288" s="11" t="n">
        <x:v>2036</x:v>
      </x:c>
      <x:c r="E288" s="11" t="n">
        <x:f>CHOOSE('假设'!$B$3,Q288,R288,S288)</x:f>
        <x:v>5</x:v>
      </x:c>
      <x:c r="F288" s="11" t="n">
        <x:f>'药物假设'!K39</x:f>
        <x:v>0.15</x:v>
      </x:c>
      <x:c r="G288" s="11" t="n">
        <x:f>1-'药物假设'!L39</x:f>
        <x:v>0.8</x:v>
      </x:c>
      <x:c r="H288" s="11" t="n">
        <x:f>'药物假设'!J39</x:f>
        <x:v>0.5</x:v>
      </x:c>
      <x:c r="I288" s="11" t="n">
        <x:f>E288*F288*G288*H288*'药物假设'!Q39</x:f>
        <x:v>0.30000000000000004</x:v>
      </x:c>
      <x:c r="J288" s="11" t="str">
        <x:v>2029-10-09</x:v>
      </x:c>
      <x:c r="K288" s="11" t="n">
        <x:v>7.227926078028747</x:v>
      </x:c>
      <x:c r="L288" s="11" t="n">
        <x:f>'药物假设'!M39</x:f>
        <x:v>0.11</x:v>
      </x:c>
      <x:c r="M288" s="11" t="n">
        <x:f>IF(O288,I288/(1+L288)^K288,0)</x:f>
        <x:v>0.14110100739154136</x:v>
      </x:c>
      <x:c r="N288" s="11" t="n">
        <x:f>M288*'药物假设'!N39</x:f>
        <x:v>0.9594868502624812</x:v>
      </x:c>
      <x:c r="O288" s="26" t="b">
        <x:v>1</x:v>
      </x:c>
      <x:c r="P288" s="11" t="n">
        <x:f>39</x:f>
        <x:v>39</x:v>
      </x:c>
      <x:c r="Q288" s="16" t="n">
        <x:v>0.4</x:v>
      </x:c>
      <x:c r="R288" s="16" t="n">
        <x:v>5</x:v>
      </x:c>
      <x:c r="S288" s="16" t="n">
        <x:v>13</x:v>
      </x:c>
    </x:row>
    <x:row r="289" ht="23" customHeight="1">
      <x:c r="A289" s="11" t="str">
        <x:v>09926.HK</x:v>
      </x:c>
      <x:c r="B289" s="11" t="str">
        <x:v>三年</x:v>
      </x:c>
      <x:c r="C289" s="11" t="str">
        <x:v>其他适应症</x:v>
      </x:c>
      <x:c r="D289" s="11" t="n">
        <x:v>2037</x:v>
      </x:c>
      <x:c r="E289" s="11" t="n">
        <x:f>CHOOSE('假设'!$B$3,Q289,R289,S289)</x:f>
        <x:v>5</x:v>
      </x:c>
      <x:c r="F289" s="11" t="n">
        <x:f>'药物假设'!K39</x:f>
        <x:v>0.15</x:v>
      </x:c>
      <x:c r="G289" s="11" t="n">
        <x:f>1-'药物假设'!L39</x:f>
        <x:v>0.8</x:v>
      </x:c>
      <x:c r="H289" s="11" t="n">
        <x:f>'药物假设'!J39</x:f>
        <x:v>0.5</x:v>
      </x:c>
      <x:c r="I289" s="11" t="n">
        <x:f>E289*F289*G289*H289*'药物假设'!Q39</x:f>
        <x:v>0.30000000000000004</x:v>
      </x:c>
      <x:c r="J289" s="11" t="str">
        <x:v>2029-10-09</x:v>
      </x:c>
      <x:c r="K289" s="11" t="n">
        <x:v>8.227241615331964</x:v>
      </x:c>
      <x:c r="L289" s="11" t="n">
        <x:f>'药物假设'!M39</x:f>
        <x:v>0.11</x:v>
      </x:c>
      <x:c r="M289" s="11" t="n">
        <x:f>IF(O289,I289/(1+L289)^K289,0)</x:f>
        <x:v>0.12712710511020234</x:v>
      </x:c>
      <x:c r="N289" s="11" t="n">
        <x:f>M289*'药物假设'!N39</x:f>
        <x:v>0.8644643147493759</x:v>
      </x:c>
      <x:c r="O289" s="26" t="b">
        <x:v>1</x:v>
      </x:c>
      <x:c r="P289" s="11" t="n">
        <x:f>39</x:f>
        <x:v>39</x:v>
      </x:c>
      <x:c r="Q289" s="16" t="n">
        <x:v>0.4</x:v>
      </x:c>
      <x:c r="R289" s="16" t="n">
        <x:v>5</x:v>
      </x:c>
      <x:c r="S289" s="16" t="n">
        <x:v>13</x:v>
      </x:c>
    </x:row>
    <x:row r="290" ht="23" customHeight="1">
      <x:c r="A290" s="11" t="str">
        <x:v>09926.HK</x:v>
      </x:c>
      <x:c r="B290" s="11" t="str">
        <x:v>三年</x:v>
      </x:c>
      <x:c r="C290" s="11" t="str">
        <x:v>其他适应症</x:v>
      </x:c>
      <x:c r="D290" s="11" t="n">
        <x:v>2038</x:v>
      </x:c>
      <x:c r="E290" s="11" t="n">
        <x:f>CHOOSE('假设'!$B$3,Q290,R290,S290)</x:f>
        <x:v>4.5</x:v>
      </x:c>
      <x:c r="F290" s="11" t="n">
        <x:f>'药物假设'!K39</x:f>
        <x:v>0.15</x:v>
      </x:c>
      <x:c r="G290" s="11" t="n">
        <x:f>1-'药物假设'!L39</x:f>
        <x:v>0.8</x:v>
      </x:c>
      <x:c r="H290" s="11" t="n">
        <x:f>'药物假设'!J39</x:f>
        <x:v>0.5</x:v>
      </x:c>
      <x:c r="I290" s="11" t="n">
        <x:f>E290*F290*G290*H290*'药物假设'!Q39</x:f>
        <x:v>0.26999999999999996</x:v>
      </x:c>
      <x:c r="J290" s="11" t="str">
        <x:v>2029-10-09</x:v>
      </x:c>
      <x:c r="K290" s="11" t="n">
        <x:v>9.22655715263518</x:v>
      </x:c>
      <x:c r="L290" s="11" t="n">
        <x:f>'药物假设'!M39</x:f>
        <x:v>0.11</x:v>
      </x:c>
      <x:c r="M290" s="11" t="n">
        <x:f>IF(O290,I290/(1+L290)^K290,0)</x:f>
        <x:v>0.10308339420971654</x:v>
      </x:c>
      <x:c r="N290" s="11" t="n">
        <x:f>M290*'药物假设'!N39</x:f>
        <x:v>0.7009670806260725</x:v>
      </x:c>
      <x:c r="O290" s="26" t="b">
        <x:v>1</x:v>
      </x:c>
      <x:c r="P290" s="11" t="n">
        <x:f>39</x:f>
        <x:v>39</x:v>
      </x:c>
      <x:c r="Q290" s="16" t="n">
        <x:v>0.35</x:v>
      </x:c>
      <x:c r="R290" s="16" t="n">
        <x:v>4.5</x:v>
      </x:c>
      <x:c r="S290" s="16" t="n">
        <x:v>12</x:v>
      </x:c>
    </x:row>
    <x:row r="291" ht="23" customHeight="1">
      <x:c r="A291" s="11" t="str">
        <x:v>09926.HK</x:v>
      </x:c>
      <x:c r="B291" s="11" t="str">
        <x:v>三年</x:v>
      </x:c>
      <x:c r="C291" s="11" t="str">
        <x:v>其他适应症</x:v>
      </x:c>
      <x:c r="D291" s="11" t="n">
        <x:v>2039</x:v>
      </x:c>
      <x:c r="E291" s="11" t="n">
        <x:f>CHOOSE('假设'!$B$3,Q291,R291,S291)</x:f>
        <x:v>4</x:v>
      </x:c>
      <x:c r="F291" s="11" t="n">
        <x:f>'药物假设'!K39</x:f>
        <x:v>0.15</x:v>
      </x:c>
      <x:c r="G291" s="11" t="n">
        <x:f>1-'药物假设'!L39</x:f>
        <x:v>0.8</x:v>
      </x:c>
      <x:c r="H291" s="11" t="n">
        <x:f>'药物假设'!J39</x:f>
        <x:v>0.5</x:v>
      </x:c>
      <x:c r="I291" s="11" t="n">
        <x:f>E291*F291*G291*H291*'药物假设'!Q39</x:f>
        <x:v>0.24</x:v>
      </x:c>
      <x:c r="J291" s="11" t="str">
        <x:v>2029-10-09</x:v>
      </x:c>
      <x:c r="K291" s="11" t="n">
        <x:v>10.225872689938399</x:v>
      </x:c>
      <x:c r="L291" s="11" t="n">
        <x:f>'药物假设'!M39</x:f>
        <x:v>0.11</x:v>
      </x:c>
      <x:c r="M291" s="11" t="n">
        <x:f>IF(O291,I291/(1+L291)^K291,0)</x:f>
        <x:v>0.0825551613813521</x:v>
      </x:c>
      <x:c r="N291" s="11" t="n">
        <x:f>M291*'药物假设'!N39</x:f>
        <x:v>0.5613750973931942</x:v>
      </x:c>
      <x:c r="O291" s="26" t="b">
        <x:v>1</x:v>
      </x:c>
      <x:c r="P291" s="11" t="n">
        <x:f>39</x:f>
        <x:v>39</x:v>
      </x:c>
      <x:c r="Q291" s="16" t="n">
        <x:v>0.3</x:v>
      </x:c>
      <x:c r="R291" s="16" t="n">
        <x:v>4</x:v>
      </x:c>
      <x:c r="S291" s="16" t="n">
        <x:v>11</x:v>
      </x:c>
    </x:row>
    <x:row r="292" ht="23" customHeight="1">
      <x:c r="A292" s="11" t="str">
        <x:v>09926.HK</x:v>
      </x:c>
      <x:c r="B292" s="11" t="str">
        <x:v>三年</x:v>
      </x:c>
      <x:c r="C292" s="11" t="str">
        <x:v>其他适应症</x:v>
      </x:c>
      <x:c r="D292" s="11" t="n">
        <x:v>2040</x:v>
      </x:c>
      <x:c r="E292" s="11" t="n">
        <x:f>CHOOSE('假设'!$B$3,Q292,R292,S292)</x:f>
        <x:v>3.2</x:v>
      </x:c>
      <x:c r="F292" s="11" t="n">
        <x:f>'药物假设'!K39</x:f>
        <x:v>0.15</x:v>
      </x:c>
      <x:c r="G292" s="11" t="n">
        <x:f>1-'药物假设'!L39</x:f>
        <x:v>0.8</x:v>
      </x:c>
      <x:c r="H292" s="11" t="n">
        <x:f>'药物假设'!J39</x:f>
        <x:v>0.5</x:v>
      </x:c>
      <x:c r="I292" s="11" t="n">
        <x:f>E292*F292*G292*H292*'药物假设'!Q39</x:f>
        <x:v>0.192</x:v>
      </x:c>
      <x:c r="J292" s="11" t="str">
        <x:v>2029-10-09</x:v>
      </x:c>
      <x:c r="K292" s="11" t="n">
        <x:v>11.227926078028748</x:v>
      </x:c>
      <x:c r="L292" s="11" t="n">
        <x:f>'药物假设'!M39</x:f>
        <x:v>0.11</x:v>
      </x:c>
      <x:c r="M292" s="11" t="n">
        <x:f>IF(O292,I292/(1+L292)^K292,0)</x:f>
        <x:v>0.05948646659319736</x:v>
      </x:c>
      <x:c r="N292" s="11" t="n">
        <x:f>M292*'药物假设'!N39</x:f>
        <x:v>0.40450797283374207</x:v>
      </x:c>
      <x:c r="O292" s="26" t="b">
        <x:v>1</x:v>
      </x:c>
      <x:c r="P292" s="11" t="n">
        <x:f>39</x:f>
        <x:v>39</x:v>
      </x:c>
      <x:c r="Q292" s="16" t="n">
        <x:v>0.25</x:v>
      </x:c>
      <x:c r="R292" s="16" t="n">
        <x:v>3.2</x:v>
      </x:c>
      <x:c r="S292" s="16" t="n">
        <x:v>9</x:v>
      </x:c>
    </x:row>
    <x:row r="293" ht="23" customHeight="1">
      <x:c r="A293" s="11" t="str">
        <x:v>09926.HK</x:v>
      </x:c>
      <x:c r="B293" s="11" t="str">
        <x:v>三年</x:v>
      </x:c>
      <x:c r="C293" s="11" t="str">
        <x:v>其他适应症</x:v>
      </x:c>
      <x:c r="D293" s="11" t="n">
        <x:v>2041</x:v>
      </x:c>
      <x:c r="E293" s="11" t="n">
        <x:f>CHOOSE('假设'!$B$3,Q293,R293,S293)</x:f>
        <x:v>2.5</x:v>
      </x:c>
      <x:c r="F293" s="11" t="n">
        <x:f>'药物假设'!K39</x:f>
        <x:v>0.15</x:v>
      </x:c>
      <x:c r="G293" s="11" t="n">
        <x:f>1-'药物假设'!L39</x:f>
        <x:v>0.8</x:v>
      </x:c>
      <x:c r="H293" s="11" t="n">
        <x:f>'药物假设'!J39</x:f>
        <x:v>0.5</x:v>
      </x:c>
      <x:c r="I293" s="11" t="n">
        <x:f>E293*F293*G293*H293*'药物假设'!Q39</x:f>
        <x:v>0.15000000000000002</x:v>
      </x:c>
      <x:c r="J293" s="11" t="str">
        <x:v>2029-10-09</x:v>
      </x:c>
      <x:c r="K293" s="11" t="n">
        <x:v>12.227241615331964</x:v>
      </x:c>
      <x:c r="L293" s="11" t="n">
        <x:f>'药物假设'!M39</x:f>
        <x:v>0.11</x:v>
      </x:c>
      <x:c r="M293" s="11" t="n">
        <x:f>IF(O293,I293/(1+L293)^K293,0)</x:f>
        <x:v>0.0418712808947387</x:v>
      </x:c>
      <x:c r="N293" s="11" t="n">
        <x:f>M293*'药物假设'!N39</x:f>
        <x:v>0.2847247100842231</x:v>
      </x:c>
      <x:c r="O293" s="26" t="b">
        <x:v>1</x:v>
      </x:c>
      <x:c r="P293" s="11" t="n">
        <x:f>39</x:f>
        <x:v>39</x:v>
      </x:c>
      <x:c r="Q293" s="16" t="n">
        <x:v>0.2</x:v>
      </x:c>
      <x:c r="R293" s="16" t="n">
        <x:v>2.5</x:v>
      </x:c>
      <x:c r="S293" s="16" t="n">
        <x:v>7</x:v>
      </x:c>
    </x:row>
    <x:row r="294" ht="23" customHeight="1">
      <x:c r="A294" s="11" t="str">
        <x:v>09926.HK</x:v>
      </x:c>
      <x:c r="B294" s="11" t="str">
        <x:v>三年</x:v>
      </x:c>
      <x:c r="C294" s="11" t="str">
        <x:v>其他适应症</x:v>
      </x:c>
      <x:c r="D294" s="11" t="n">
        <x:v>2042</x:v>
      </x:c>
      <x:c r="E294" s="11" t="n">
        <x:f>CHOOSE('假设'!$B$3,Q294,R294,S294)</x:f>
        <x:v>1.5</x:v>
      </x:c>
      <x:c r="F294" s="11" t="n">
        <x:f>'药物假设'!K39</x:f>
        <x:v>0.15</x:v>
      </x:c>
      <x:c r="G294" s="11" t="n">
        <x:f>1-'药物假设'!L39</x:f>
        <x:v>0.8</x:v>
      </x:c>
      <x:c r="H294" s="11" t="n">
        <x:f>'药物假设'!J39</x:f>
        <x:v>0.5</x:v>
      </x:c>
      <x:c r="I294" s="11" t="n">
        <x:f>E294*F294*G294*H294*'药物假设'!Q39</x:f>
        <x:v>0.09</x:v>
      </x:c>
      <x:c r="J294" s="11" t="str">
        <x:v>2029-10-09</x:v>
      </x:c>
      <x:c r="K294" s="11" t="n">
        <x:v>13.22655715263518</x:v>
      </x:c>
      <x:c r="L294" s="11" t="n">
        <x:f>'药物假设'!M39</x:f>
        <x:v>0.11</x:v>
      </x:c>
      <x:c r="M294" s="11" t="n">
        <x:f>IF(O294,I294/(1+L294)^K294,0)</x:f>
        <x:v>0.022634741561979886</x:v>
      </x:c>
      <x:c r="N294" s="11" t="n">
        <x:f>M294*'药物假设'!N39</x:f>
        <x:v>0.15391624262146322</x:v>
      </x:c>
      <x:c r="O294" s="26" t="b">
        <x:v>1</x:v>
      </x:c>
      <x:c r="P294" s="11" t="n">
        <x:f>39</x:f>
        <x:v>39</x:v>
      </x:c>
      <x:c r="Q294" s="16" t="n">
        <x:v>0.1</x:v>
      </x:c>
      <x:c r="R294" s="16" t="n">
        <x:v>1.5</x:v>
      </x:c>
      <x:c r="S294" s="16" t="n">
        <x:v>5</x:v>
      </x:c>
    </x:row>
    <x:row r="295" ht="23" customHeight="1">
      <x:c r="A295" s="11" t="str">
        <x:v>09926.HK</x:v>
      </x:c>
      <x:c r="B295" s="11" t="str">
        <x:v>五年</x:v>
      </x:c>
      <x:c r="C295" s="11" t="str">
        <x:v>肺癌</x:v>
      </x:c>
      <x:c r="D295" s="11" t="n">
        <x:v>2027</x:v>
      </x:c>
      <x:c r="E295" s="11" t="n">
        <x:f>CHOOSE('假设'!$B$3,Q295,R295,S295)</x:f>
        <x:v>0</x:v>
      </x:c>
      <x:c r="F295" s="11" t="n">
        <x:f>'药物假设'!K43</x:f>
        <x:v>0.15</x:v>
      </x:c>
      <x:c r="G295" s="11" t="n">
        <x:f>1-'药物假设'!L43</x:f>
        <x:v>0.8</x:v>
      </x:c>
      <x:c r="H295" s="11" t="n">
        <x:f>'药物假设'!I43</x:f>
        <x:v>0.95</x:v>
      </x:c>
      <x:c r="I295" s="11" t="n">
        <x:f>E295*F295*G295*H295*'药物假设'!Q43</x:f>
        <x:v>0</x:v>
      </x:c>
      <x:c r="J295" s="11" t="str">
        <x:v>2031-10-09</x:v>
      </x:c>
      <x:c r="K295" s="11" t="n">
        <x:v>0</x:v>
      </x:c>
      <x:c r="L295" s="11" t="n">
        <x:f>'药物假设'!M43</x:f>
        <x:v>0.11</x:v>
      </x:c>
      <x:c r="M295" s="11" t="n">
        <x:f>IF(O295,I295/(1+L295)^K295,0)</x:f>
        <x:v>0</x:v>
      </x:c>
      <x:c r="N295" s="11" t="n">
        <x:f>M295*'药物假设'!N43</x:f>
        <x:v>0</x:v>
      </x:c>
      <x:c r="O295" s="26" t="b">
        <x:v>0</x:v>
      </x:c>
      <x:c r="P295" s="11" t="n">
        <x:f>43</x:f>
        <x:v>43</x:v>
      </x:c>
      <x:c r="Q295" s="16" t="n">
        <x:v>0</x:v>
      </x:c>
      <x:c r="R295" s="16" t="n">
        <x:v>0</x:v>
      </x:c>
      <x:c r="S295" s="16" t="n">
        <x:v>0.7</x:v>
      </x:c>
    </x:row>
    <x:row r="296" ht="23" customHeight="1">
      <x:c r="A296" s="11" t="str">
        <x:v>09926.HK</x:v>
      </x:c>
      <x:c r="B296" s="11" t="str">
        <x:v>五年</x:v>
      </x:c>
      <x:c r="C296" s="11" t="str">
        <x:v>肺癌</x:v>
      </x:c>
      <x:c r="D296" s="11" t="n">
        <x:v>2028</x:v>
      </x:c>
      <x:c r="E296" s="11" t="n">
        <x:f>CHOOSE('假设'!$B$3,Q296,R296,S296)</x:f>
        <x:v>0.5</x:v>
      </x:c>
      <x:c r="F296" s="11" t="n">
        <x:f>'药物假设'!K43</x:f>
        <x:v>0.15</x:v>
      </x:c>
      <x:c r="G296" s="11" t="n">
        <x:f>1-'药物假设'!L43</x:f>
        <x:v>0.8</x:v>
      </x:c>
      <x:c r="H296" s="11" t="n">
        <x:f>'药物假设'!I43</x:f>
        <x:v>0.95</x:v>
      </x:c>
      <x:c r="I296" s="11" t="n">
        <x:f>E296*F296*G296*H296*'药物假设'!Q43</x:f>
        <x:v>0.056999999999999995</x:v>
      </x:c>
      <x:c r="J296" s="11" t="str">
        <x:v>2031-10-09</x:v>
      </x:c>
      <x:c r="K296" s="11" t="n">
        <x:v>0</x:v>
      </x:c>
      <x:c r="L296" s="11" t="n">
        <x:f>'药物假设'!M43</x:f>
        <x:v>0.11</x:v>
      </x:c>
      <x:c r="M296" s="11" t="n">
        <x:f>IF(O296,I296/(1+L296)^K296,0)</x:f>
        <x:v>0</x:v>
      </x:c>
      <x:c r="N296" s="11" t="n">
        <x:f>M296*'药物假设'!N43</x:f>
        <x:v>0</x:v>
      </x:c>
      <x:c r="O296" s="26" t="b">
        <x:v>0</x:v>
      </x:c>
      <x:c r="P296" s="11" t="n">
        <x:f>43</x:f>
        <x:v>43</x:v>
      </x:c>
      <x:c r="Q296" s="16" t="n">
        <x:v>0</x:v>
      </x:c>
      <x:c r="R296" s="16" t="n">
        <x:v>0.5</x:v>
      </x:c>
      <x:c r="S296" s="16" t="n">
        <x:v>2</x:v>
      </x:c>
    </x:row>
    <x:row r="297" ht="23" customHeight="1">
      <x:c r="A297" s="11" t="str">
        <x:v>09926.HK</x:v>
      </x:c>
      <x:c r="B297" s="11" t="str">
        <x:v>五年</x:v>
      </x:c>
      <x:c r="C297" s="11" t="str">
        <x:v>肺癌</x:v>
      </x:c>
      <x:c r="D297" s="11" t="n">
        <x:v>2029</x:v>
      </x:c>
      <x:c r="E297" s="11" t="n">
        <x:f>CHOOSE('假设'!$B$3,Q297,R297,S297)</x:f>
        <x:v>1.6</x:v>
      </x:c>
      <x:c r="F297" s="11" t="n">
        <x:f>'药物假设'!K43</x:f>
        <x:v>0.15</x:v>
      </x:c>
      <x:c r="G297" s="11" t="n">
        <x:f>1-'药物假设'!L43</x:f>
        <x:v>0.8</x:v>
      </x:c>
      <x:c r="H297" s="11" t="n">
        <x:f>'药物假设'!I43</x:f>
        <x:v>0.95</x:v>
      </x:c>
      <x:c r="I297" s="11" t="n">
        <x:f>E297*F297*G297*H297*'药物假设'!Q43</x:f>
        <x:v>0.1824</x:v>
      </x:c>
      <x:c r="J297" s="11" t="str">
        <x:v>2031-10-09</x:v>
      </x:c>
      <x:c r="K297" s="11" t="n">
        <x:v>0</x:v>
      </x:c>
      <x:c r="L297" s="11" t="n">
        <x:f>'药物假设'!M43</x:f>
        <x:v>0.11</x:v>
      </x:c>
      <x:c r="M297" s="11" t="n">
        <x:f>IF(O297,I297/(1+L297)^K297,0)</x:f>
        <x:v>0</x:v>
      </x:c>
      <x:c r="N297" s="11" t="n">
        <x:f>M297*'药物假设'!N43</x:f>
        <x:v>0</x:v>
      </x:c>
      <x:c r="O297" s="26" t="b">
        <x:v>0</x:v>
      </x:c>
      <x:c r="P297" s="11" t="n">
        <x:f>43</x:f>
        <x:v>43</x:v>
      </x:c>
      <x:c r="Q297" s="16" t="n">
        <x:v>0.4</x:v>
      </x:c>
      <x:c r="R297" s="16" t="n">
        <x:v>1.6</x:v>
      </x:c>
      <x:c r="S297" s="16" t="n">
        <x:v>4.5</x:v>
      </x:c>
    </x:row>
    <x:row r="298" ht="23" customHeight="1">
      <x:c r="A298" s="11" t="str">
        <x:v>09926.HK</x:v>
      </x:c>
      <x:c r="B298" s="11" t="str">
        <x:v>五年</x:v>
      </x:c>
      <x:c r="C298" s="11" t="str">
        <x:v>肺癌</x:v>
      </x:c>
      <x:c r="D298" s="11" t="n">
        <x:v>2030</x:v>
      </x:c>
      <x:c r="E298" s="11" t="n">
        <x:f>CHOOSE('假设'!$B$3,Q298,R298,S298)</x:f>
        <x:v>3.5</x:v>
      </x:c>
      <x:c r="F298" s="11" t="n">
        <x:f>'药物假设'!K43</x:f>
        <x:v>0.15</x:v>
      </x:c>
      <x:c r="G298" s="11" t="n">
        <x:f>1-'药物假设'!L43</x:f>
        <x:v>0.8</x:v>
      </x:c>
      <x:c r="H298" s="11" t="n">
        <x:f>'药物假设'!I43</x:f>
        <x:v>0.95</x:v>
      </x:c>
      <x:c r="I298" s="11" t="n">
        <x:f>E298*F298*G298*H298*'药物假设'!Q43</x:f>
        <x:v>0.399</x:v>
      </x:c>
      <x:c r="J298" s="11" t="str">
        <x:v>2031-10-09</x:v>
      </x:c>
      <x:c r="K298" s="11" t="n">
        <x:v>0</x:v>
      </x:c>
      <x:c r="L298" s="11" t="n">
        <x:f>'药物假设'!M43</x:f>
        <x:v>0.11</x:v>
      </x:c>
      <x:c r="M298" s="11" t="n">
        <x:f>IF(O298,I298/(1+L298)^K298,0)</x:f>
        <x:v>0</x:v>
      </x:c>
      <x:c r="N298" s="11" t="n">
        <x:f>M298*'药物假设'!N43</x:f>
        <x:v>0</x:v>
      </x:c>
      <x:c r="O298" s="26" t="b">
        <x:v>0</x:v>
      </x:c>
      <x:c r="P298" s="11" t="n">
        <x:f>43</x:f>
        <x:v>43</x:v>
      </x:c>
      <x:c r="Q298" s="16" t="n">
        <x:v>0.9</x:v>
      </x:c>
      <x:c r="R298" s="16" t="n">
        <x:v>3.5</x:v>
      </x:c>
      <x:c r="S298" s="16" t="n">
        <x:v>7.5</x:v>
      </x:c>
    </x:row>
    <x:row r="299" ht="23" customHeight="1">
      <x:c r="A299" s="11" t="str">
        <x:v>09926.HK</x:v>
      </x:c>
      <x:c r="B299" s="11" t="str">
        <x:v>五年</x:v>
      </x:c>
      <x:c r="C299" s="11" t="str">
        <x:v>肺癌</x:v>
      </x:c>
      <x:c r="D299" s="11" t="n">
        <x:v>2031</x:v>
      </x:c>
      <x:c r="E299" s="11" t="n">
        <x:f>CHOOSE('假设'!$B$3,Q299,R299,S299)</x:f>
        <x:v>5.5</x:v>
      </x:c>
      <x:c r="F299" s="11" t="n">
        <x:f>'药物假设'!K43</x:f>
        <x:v>0.15</x:v>
      </x:c>
      <x:c r="G299" s="11" t="n">
        <x:f>1-'药物假设'!L43</x:f>
        <x:v>0.8</x:v>
      </x:c>
      <x:c r="H299" s="11" t="n">
        <x:f>'药物假设'!I43</x:f>
        <x:v>0.95</x:v>
      </x:c>
      <x:c r="I299" s="11" t="n">
        <x:f>E299*F299*G299*H299*'药物假设'!Q43</x:f>
        <x:v>0.627</x:v>
      </x:c>
      <x:c r="J299" s="11" t="str">
        <x:v>2031-10-09</x:v>
      </x:c>
      <x:c r="K299" s="11" t="n">
        <x:v>0.2272416153319644</x:v>
      </x:c>
      <x:c r="L299" s="11" t="n">
        <x:f>'药物假设'!M43</x:f>
        <x:v>0.11</x:v>
      </x:c>
      <x:c r="M299" s="11" t="n">
        <x:f>IF(O299,I299/(1+L299)^K299,0)</x:f>
        <x:v>0.6123056599379518</x:v>
      </x:c>
      <x:c r="N299" s="11" t="n">
        <x:f>M299*'药物假设'!N43</x:f>
        <x:v>4.163678487578072</x:v>
      </x:c>
      <x:c r="O299" s="26" t="b">
        <x:v>1</x:v>
      </x:c>
      <x:c r="P299" s="11" t="n">
        <x:f>43</x:f>
        <x:v>43</x:v>
      </x:c>
      <x:c r="Q299" s="16" t="n">
        <x:v>1.3</x:v>
      </x:c>
      <x:c r="R299" s="16" t="n">
        <x:v>5.5</x:v>
      </x:c>
      <x:c r="S299" s="16" t="n">
        <x:v>11</x:v>
      </x:c>
    </x:row>
    <x:row r="300" ht="23" customHeight="1">
      <x:c r="A300" s="11" t="str">
        <x:v>09926.HK</x:v>
      </x:c>
      <x:c r="B300" s="11" t="str">
        <x:v>五年</x:v>
      </x:c>
      <x:c r="C300" s="11" t="str">
        <x:v>肺癌</x:v>
      </x:c>
      <x:c r="D300" s="11" t="n">
        <x:v>2032</x:v>
      </x:c>
      <x:c r="E300" s="11" t="n">
        <x:f>CHOOSE('假设'!$B$3,Q300,R300,S300)</x:f>
        <x:v>7.5</x:v>
      </x:c>
      <x:c r="F300" s="11" t="n">
        <x:f>'药物假设'!K43</x:f>
        <x:v>0.15</x:v>
      </x:c>
      <x:c r="G300" s="11" t="n">
        <x:f>1-'药物假设'!L43</x:f>
        <x:v>0.8</x:v>
      </x:c>
      <x:c r="H300" s="11" t="n">
        <x:f>'药物假设'!I43</x:f>
        <x:v>0.95</x:v>
      </x:c>
      <x:c r="I300" s="11" t="n">
        <x:f>E300*F300*G300*H300*'药物假设'!Q43</x:f>
        <x:v>0.855</x:v>
      </x:c>
      <x:c r="J300" s="11" t="str">
        <x:v>2031-10-09</x:v>
      </x:c>
      <x:c r="K300" s="11" t="n">
        <x:v>1.2292950034223136</x:v>
      </x:c>
      <x:c r="L300" s="11" t="n">
        <x:f>'药物假设'!M43</x:f>
        <x:v>0.11</x:v>
      </x:c>
      <x:c r="M300" s="11" t="n">
        <x:f>IF(O300,I300/(1+L300)^K300,0)</x:f>
        <x:v>0.752057078659094</x:v>
      </x:c>
      <x:c r="N300" s="11" t="n">
        <x:f>M300*'药物假设'!N43</x:f>
        <x:v>5.113988134881839</x:v>
      </x:c>
      <x:c r="O300" s="26" t="b">
        <x:v>1</x:v>
      </x:c>
      <x:c r="P300" s="11" t="n">
        <x:f>43</x:f>
        <x:v>43</x:v>
      </x:c>
      <x:c r="Q300" s="16" t="n">
        <x:v>1.6</x:v>
      </x:c>
      <x:c r="R300" s="16" t="n">
        <x:v>7.5</x:v>
      </x:c>
      <x:c r="S300" s="16" t="n">
        <x:v>14</x:v>
      </x:c>
    </x:row>
    <x:row r="301" ht="23" customHeight="1">
      <x:c r="A301" s="11" t="str">
        <x:v>09926.HK</x:v>
      </x:c>
      <x:c r="B301" s="11" t="str">
        <x:v>五年</x:v>
      </x:c>
      <x:c r="C301" s="11" t="str">
        <x:v>肺癌</x:v>
      </x:c>
      <x:c r="D301" s="11" t="n">
        <x:v>2033</x:v>
      </x:c>
      <x:c r="E301" s="11" t="n">
        <x:f>CHOOSE('假设'!$B$3,Q301,R301,S301)</x:f>
        <x:v>9</x:v>
      </x:c>
      <x:c r="F301" s="11" t="n">
        <x:f>'药物假设'!K43</x:f>
        <x:v>0.15</x:v>
      </x:c>
      <x:c r="G301" s="11" t="n">
        <x:f>1-'药物假设'!L43</x:f>
        <x:v>0.8</x:v>
      </x:c>
      <x:c r="H301" s="11" t="n">
        <x:f>'药物假设'!I43</x:f>
        <x:v>0.95</x:v>
      </x:c>
      <x:c r="I301" s="11" t="n">
        <x:f>E301*F301*G301*H301*'药物假设'!Q43</x:f>
        <x:v>1.0259999999999998</x:v>
      </x:c>
      <x:c r="J301" s="11" t="str">
        <x:v>2031-10-09</x:v>
      </x:c>
      <x:c r="K301" s="11" t="n">
        <x:v>2.2286105407255303</x:v>
      </x:c>
      <x:c r="L301" s="11" t="n">
        <x:f>'药物假设'!M43</x:f>
        <x:v>0.11</x:v>
      </x:c>
      <x:c r="M301" s="11" t="n">
        <x:f>IF(O301,I301/(1+L301)^K301,0)</x:f>
        <x:v>0.8130927572098771</x:v>
      </x:c>
      <x:c r="N301" s="11" t="n">
        <x:f>M301*'药物假设'!N43</x:f>
        <x:v>5.5290307490271635</x:v>
      </x:c>
      <x:c r="O301" s="26" t="b">
        <x:v>1</x:v>
      </x:c>
      <x:c r="P301" s="11" t="n">
        <x:f>43</x:f>
        <x:v>43</x:v>
      </x:c>
      <x:c r="Q301" s="16" t="n">
        <x:v>1.8</x:v>
      </x:c>
      <x:c r="R301" s="16" t="n">
        <x:v>9</x:v>
      </x:c>
      <x:c r="S301" s="16" t="n">
        <x:v>16</x:v>
      </x:c>
    </x:row>
    <x:row r="302" ht="23" customHeight="1">
      <x:c r="A302" s="11" t="str">
        <x:v>09926.HK</x:v>
      </x:c>
      <x:c r="B302" s="11" t="str">
        <x:v>五年</x:v>
      </x:c>
      <x:c r="C302" s="11" t="str">
        <x:v>肺癌</x:v>
      </x:c>
      <x:c r="D302" s="11" t="n">
        <x:v>2034</x:v>
      </x:c>
      <x:c r="E302" s="11" t="n">
        <x:f>CHOOSE('假设'!$B$3,Q302,R302,S302)</x:f>
        <x:v>10</x:v>
      </x:c>
      <x:c r="F302" s="11" t="n">
        <x:f>'药物假设'!K43</x:f>
        <x:v>0.15</x:v>
      </x:c>
      <x:c r="G302" s="11" t="n">
        <x:f>1-'药物假设'!L43</x:f>
        <x:v>0.8</x:v>
      </x:c>
      <x:c r="H302" s="11" t="n">
        <x:f>'药物假设'!I43</x:f>
        <x:v>0.95</x:v>
      </x:c>
      <x:c r="I302" s="11" t="n">
        <x:f>E302*F302*G302*H302*'药物假设'!Q43</x:f>
        <x:v>1.1400000000000001</x:v>
      </x:c>
      <x:c r="J302" s="11" t="str">
        <x:v>2031-10-09</x:v>
      </x:c>
      <x:c r="K302" s="11" t="n">
        <x:v>3.2279260780287475</x:v>
      </x:c>
      <x:c r="L302" s="11" t="n">
        <x:f>'药物假设'!M43</x:f>
        <x:v>0.11</x:v>
      </x:c>
      <x:c r="M302" s="11" t="n">
        <x:f>IF(O302,I302/(1+L302)^K302,0)</x:f>
        <x:v>0.813964803740703</x:v>
      </x:c>
      <x:c r="N302" s="11" t="n">
        <x:f>M302*'药物假设'!N43</x:f>
        <x:v>5.53496066543678</x:v>
      </x:c>
      <x:c r="O302" s="26" t="b">
        <x:v>1</x:v>
      </x:c>
      <x:c r="P302" s="11" t="n">
        <x:f>43</x:f>
        <x:v>43</x:v>
      </x:c>
      <x:c r="Q302" s="16" t="n">
        <x:v>1.9</x:v>
      </x:c>
      <x:c r="R302" s="16" t="n">
        <x:v>10</x:v>
      </x:c>
      <x:c r="S302" s="16" t="n">
        <x:v>18</x:v>
      </x:c>
    </x:row>
    <x:row r="303" ht="23" customHeight="1">
      <x:c r="A303" s="11" t="str">
        <x:v>09926.HK</x:v>
      </x:c>
      <x:c r="B303" s="11" t="str">
        <x:v>五年</x:v>
      </x:c>
      <x:c r="C303" s="11" t="str">
        <x:v>肺癌</x:v>
      </x:c>
      <x:c r="D303" s="11" t="n">
        <x:v>2035</x:v>
      </x:c>
      <x:c r="E303" s="11" t="n">
        <x:f>CHOOSE('假设'!$B$3,Q303,R303,S303)</x:f>
        <x:v>10.5</x:v>
      </x:c>
      <x:c r="F303" s="11" t="n">
        <x:f>'药物假设'!K43</x:f>
        <x:v>0.15</x:v>
      </x:c>
      <x:c r="G303" s="11" t="n">
        <x:f>1-'药物假设'!L43</x:f>
        <x:v>0.8</x:v>
      </x:c>
      <x:c r="H303" s="11" t="n">
        <x:f>'药物假设'!I43</x:f>
        <x:v>0.95</x:v>
      </x:c>
      <x:c r="I303" s="11" t="n">
        <x:f>E303*F303*G303*H303*'药物假设'!Q43</x:f>
        <x:v>1.1969999999999998</x:v>
      </x:c>
      <x:c r="J303" s="11" t="str">
        <x:v>2031-10-09</x:v>
      </x:c>
      <x:c r="K303" s="11" t="n">
        <x:v>4.227241615331964</x:v>
      </x:c>
      <x:c r="L303" s="11" t="n">
        <x:f>'药物假设'!M43</x:f>
        <x:v>0.11</x:v>
      </x:c>
      <x:c r="M303" s="11" t="n">
        <x:f>IF(O303,I303/(1+L303)^K303,0)</x:f>
        <x:v>0.7700217073412643</x:v>
      </x:c>
      <x:c r="N303" s="11" t="n">
        <x:f>M303*'药物假设'!N43</x:f>
        <x:v>5.2361476099205975</x:v>
      </x:c>
      <x:c r="O303" s="26" t="b">
        <x:v>1</x:v>
      </x:c>
      <x:c r="P303" s="11" t="n">
        <x:f>43</x:f>
        <x:v>43</x:v>
      </x:c>
      <x:c r="Q303" s="16" t="n">
        <x:v>1.9</x:v>
      </x:c>
      <x:c r="R303" s="16" t="n">
        <x:v>10.5</x:v>
      </x:c>
      <x:c r="S303" s="16" t="n">
        <x:v>19</x:v>
      </x:c>
    </x:row>
    <x:row r="304" ht="23" customHeight="1">
      <x:c r="A304" s="11" t="str">
        <x:v>09926.HK</x:v>
      </x:c>
      <x:c r="B304" s="11" t="str">
        <x:v>五年</x:v>
      </x:c>
      <x:c r="C304" s="11" t="str">
        <x:v>肺癌</x:v>
      </x:c>
      <x:c r="D304" s="11" t="n">
        <x:v>2036</x:v>
      </x:c>
      <x:c r="E304" s="11" t="n">
        <x:f>CHOOSE('假设'!$B$3,Q304,R304,S304)</x:f>
        <x:v>10.5</x:v>
      </x:c>
      <x:c r="F304" s="11" t="n">
        <x:f>'药物假设'!K43</x:f>
        <x:v>0.15</x:v>
      </x:c>
      <x:c r="G304" s="11" t="n">
        <x:f>1-'药物假设'!L43</x:f>
        <x:v>0.8</x:v>
      </x:c>
      <x:c r="H304" s="11" t="n">
        <x:f>'药物假设'!I43</x:f>
        <x:v>0.95</x:v>
      </x:c>
      <x:c r="I304" s="11" t="n">
        <x:f>E304*F304*G304*H304*'药物假设'!Q43</x:f>
        <x:v>1.1969999999999998</x:v>
      </x:c>
      <x:c r="J304" s="11" t="str">
        <x:v>2031-10-09</x:v>
      </x:c>
      <x:c r="K304" s="11" t="n">
        <x:v>5.229295003422314</x:v>
      </x:c>
      <x:c r="L304" s="11" t="n">
        <x:f>'药物假设'!M43</x:f>
        <x:v>0.11</x:v>
      </x:c>
      <x:c r="M304" s="11" t="n">
        <x:f>IF(O304,I304/(1+L304)^K304,0)</x:f>
        <x:v>0.693564608852847</x:v>
      </x:c>
      <x:c r="N304" s="11" t="n">
        <x:f>M304*'药物假设'!N43</x:f>
        <x:v>4.716239340199359</x:v>
      </x:c>
      <x:c r="O304" s="26" t="b">
        <x:v>1</x:v>
      </x:c>
      <x:c r="P304" s="11" t="n">
        <x:f>43</x:f>
        <x:v>43</x:v>
      </x:c>
      <x:c r="Q304" s="16" t="n">
        <x:v>1.8</x:v>
      </x:c>
      <x:c r="R304" s="16" t="n">
        <x:v>10.5</x:v>
      </x:c>
      <x:c r="S304" s="16" t="n">
        <x:v>19</x:v>
      </x:c>
    </x:row>
    <x:row r="305" ht="23" customHeight="1">
      <x:c r="A305" s="11" t="str">
        <x:v>09926.HK</x:v>
      </x:c>
      <x:c r="B305" s="11" t="str">
        <x:v>五年</x:v>
      </x:c>
      <x:c r="C305" s="11" t="str">
        <x:v>肺癌</x:v>
      </x:c>
      <x:c r="D305" s="11" t="n">
        <x:v>2037</x:v>
      </x:c>
      <x:c r="E305" s="11" t="n">
        <x:f>CHOOSE('假设'!$B$3,Q305,R305,S305)</x:f>
        <x:v>10</x:v>
      </x:c>
      <x:c r="F305" s="11" t="n">
        <x:f>'药物假设'!K43</x:f>
        <x:v>0.15</x:v>
      </x:c>
      <x:c r="G305" s="11" t="n">
        <x:f>1-'药物假设'!L43</x:f>
        <x:v>0.8</x:v>
      </x:c>
      <x:c r="H305" s="11" t="n">
        <x:f>'药物假设'!I43</x:f>
        <x:v>0.95</x:v>
      </x:c>
      <x:c r="I305" s="11" t="n">
        <x:f>E305*F305*G305*H305*'药物假设'!Q43</x:f>
        <x:v>1.1400000000000001</x:v>
      </x:c>
      <x:c r="J305" s="11" t="str">
        <x:v>2031-10-09</x:v>
      </x:c>
      <x:c r="K305" s="11" t="n">
        <x:v>6.228610540725531</x:v>
      </x:c>
      <x:c r="L305" s="11" t="n">
        <x:f>'药物假设'!M43</x:f>
        <x:v>0.11</x:v>
      </x:c>
      <x:c r="M305" s="11" t="n">
        <x:f>IF(O305,I305/(1+L305)^K305,0)</x:f>
        <x:v>0.5951215378078961</x:v>
      </x:c>
      <x:c r="N305" s="11" t="n">
        <x:f>M305*'药物假设'!N43</x:f>
        <x:v>4.046826457093694</x:v>
      </x:c>
      <x:c r="O305" s="26" t="b">
        <x:v>1</x:v>
      </x:c>
      <x:c r="P305" s="11" t="n">
        <x:f>43</x:f>
        <x:v>43</x:v>
      </x:c>
      <x:c r="Q305" s="16" t="n">
        <x:v>1.7</x:v>
      </x:c>
      <x:c r="R305" s="16" t="n">
        <x:v>10</x:v>
      </x:c>
      <x:c r="S305" s="16" t="n">
        <x:v>18</x:v>
      </x:c>
    </x:row>
    <x:row r="306" ht="23" customHeight="1">
      <x:c r="A306" s="11" t="str">
        <x:v>09926.HK</x:v>
      </x:c>
      <x:c r="B306" s="11" t="str">
        <x:v>五年</x:v>
      </x:c>
      <x:c r="C306" s="11" t="str">
        <x:v>肺癌</x:v>
      </x:c>
      <x:c r="D306" s="11" t="n">
        <x:v>2038</x:v>
      </x:c>
      <x:c r="E306" s="11" t="n">
        <x:f>CHOOSE('假设'!$B$3,Q306,R306,S306)</x:f>
        <x:v>9</x:v>
      </x:c>
      <x:c r="F306" s="11" t="n">
        <x:f>'药物假设'!K43</x:f>
        <x:v>0.15</x:v>
      </x:c>
      <x:c r="G306" s="11" t="n">
        <x:f>1-'药物假设'!L43</x:f>
        <x:v>0.8</x:v>
      </x:c>
      <x:c r="H306" s="11" t="n">
        <x:f>'药物假设'!I43</x:f>
        <x:v>0.95</x:v>
      </x:c>
      <x:c r="I306" s="11" t="n">
        <x:f>E306*F306*G306*H306*'药物假设'!Q43</x:f>
        <x:v>1.0259999999999998</x:v>
      </x:c>
      <x:c r="J306" s="11" t="str">
        <x:v>2031-10-09</x:v>
      </x:c>
      <x:c r="K306" s="11" t="n">
        <x:v>7.227926078028747</x:v>
      </x:c>
      <x:c r="L306" s="11" t="n">
        <x:f>'药物假设'!M43</x:f>
        <x:v>0.11</x:v>
      </x:c>
      <x:c r="M306" s="11" t="n">
        <x:f>IF(O306,I306/(1+L306)^K306,0)</x:f>
        <x:v>0.4825654452790713</x:v>
      </x:c>
      <x:c r="N306" s="11" t="n">
        <x:f>M306*'药物假设'!N43</x:f>
        <x:v>3.2814450278976848</x:v>
      </x:c>
      <x:c r="O306" s="26" t="b">
        <x:v>1</x:v>
      </x:c>
      <x:c r="P306" s="11" t="n">
        <x:f>43</x:f>
        <x:v>43</x:v>
      </x:c>
      <x:c r="Q306" s="16" t="n">
        <x:v>1.5</x:v>
      </x:c>
      <x:c r="R306" s="16" t="n">
        <x:v>9</x:v>
      </x:c>
      <x:c r="S306" s="16" t="n">
        <x:v>17</x:v>
      </x:c>
    </x:row>
    <x:row r="307" ht="23" customHeight="1">
      <x:c r="A307" s="11" t="str">
        <x:v>09926.HK</x:v>
      </x:c>
      <x:c r="B307" s="11" t="str">
        <x:v>五年</x:v>
      </x:c>
      <x:c r="C307" s="11" t="str">
        <x:v>肺癌</x:v>
      </x:c>
      <x:c r="D307" s="11" t="n">
        <x:v>2039</x:v>
      </x:c>
      <x:c r="E307" s="11" t="n">
        <x:f>CHOOSE('假设'!$B$3,Q307,R307,S307)</x:f>
        <x:v>8</x:v>
      </x:c>
      <x:c r="F307" s="11" t="n">
        <x:f>'药物假设'!K43</x:f>
        <x:v>0.15</x:v>
      </x:c>
      <x:c r="G307" s="11" t="n">
        <x:f>1-'药物假设'!L43</x:f>
        <x:v>0.8</x:v>
      </x:c>
      <x:c r="H307" s="11" t="n">
        <x:f>'药物假设'!I43</x:f>
        <x:v>0.95</x:v>
      </x:c>
      <x:c r="I307" s="11" t="n">
        <x:f>E307*F307*G307*H307*'药物假设'!Q43</x:f>
        <x:v>0.9119999999999999</x:v>
      </x:c>
      <x:c r="J307" s="11" t="str">
        <x:v>2031-10-09</x:v>
      </x:c>
      <x:c r="K307" s="11" t="n">
        <x:v>8.227241615331964</x:v>
      </x:c>
      <x:c r="L307" s="11" t="n">
        <x:f>'药物假设'!M43</x:f>
        <x:v>0.11</x:v>
      </x:c>
      <x:c r="M307" s="11" t="n">
        <x:f>IF(O307,I307/(1+L307)^K307,0)</x:f>
        <x:v>0.386466399535015</x:v>
      </x:c>
      <x:c r="N307" s="11" t="n">
        <x:f>M307*'药物假设'!N43</x:f>
        <x:v>2.6279715168381017</x:v>
      </x:c>
      <x:c r="O307" s="26" t="b">
        <x:v>1</x:v>
      </x:c>
      <x:c r="P307" s="11" t="n">
        <x:f>43</x:f>
        <x:v>43</x:v>
      </x:c>
      <x:c r="Q307" s="16" t="n">
        <x:v>1.2</x:v>
      </x:c>
      <x:c r="R307" s="16" t="n">
        <x:v>8</x:v>
      </x:c>
      <x:c r="S307" s="16" t="n">
        <x:v>15</x:v>
      </x:c>
    </x:row>
    <x:row r="308" ht="23" customHeight="1">
      <x:c r="A308" s="11" t="str">
        <x:v>09926.HK</x:v>
      </x:c>
      <x:c r="B308" s="11" t="str">
        <x:v>五年</x:v>
      </x:c>
      <x:c r="C308" s="11" t="str">
        <x:v>肺癌</x:v>
      </x:c>
      <x:c r="D308" s="11" t="n">
        <x:v>2040</x:v>
      </x:c>
      <x:c r="E308" s="11" t="n">
        <x:f>CHOOSE('假设'!$B$3,Q308,R308,S308)</x:f>
        <x:v>6.5</x:v>
      </x:c>
      <x:c r="F308" s="11" t="n">
        <x:f>'药物假设'!K43</x:f>
        <x:v>0.15</x:v>
      </x:c>
      <x:c r="G308" s="11" t="n">
        <x:f>1-'药物假设'!L43</x:f>
        <x:v>0.8</x:v>
      </x:c>
      <x:c r="H308" s="11" t="n">
        <x:f>'药物假设'!I43</x:f>
        <x:v>0.95</x:v>
      </x:c>
      <x:c r="I308" s="11" t="n">
        <x:f>E308*F308*G308*H308*'药物假设'!Q43</x:f>
        <x:v>0.741</x:v>
      </x:c>
      <x:c r="J308" s="11" t="str">
        <x:v>2031-10-09</x:v>
      </x:c>
      <x:c r="K308" s="11" t="n">
        <x:v>9.229295003422314</x:v>
      </x:c>
      <x:c r="L308" s="11" t="n">
        <x:f>'药物假设'!M43</x:f>
        <x:v>0.11</x:v>
      </x:c>
      <x:c r="M308" s="11" t="n">
        <x:f>IF(O308,I308/(1+L308)^K308,0)</x:f>
        <x:v>0.2828258274041769</x:v>
      </x:c>
      <x:c r="N308" s="11" t="n">
        <x:f>M308*'药物假设'!N43</x:f>
        <x:v>1.9232156263484028</x:v>
      </x:c>
      <x:c r="O308" s="26" t="b">
        <x:v>1</x:v>
      </x:c>
      <x:c r="P308" s="11" t="n">
        <x:f>43</x:f>
        <x:v>43</x:v>
      </x:c>
      <x:c r="Q308" s="16" t="n">
        <x:v>0.9</x:v>
      </x:c>
      <x:c r="R308" s="16" t="n">
        <x:v>6.5</x:v>
      </x:c>
      <x:c r="S308" s="16" t="n">
        <x:v>12</x:v>
      </x:c>
    </x:row>
    <x:row r="309" ht="23" customHeight="1">
      <x:c r="A309" s="11" t="str">
        <x:v>09926.HK</x:v>
      </x:c>
      <x:c r="B309" s="11" t="str">
        <x:v>五年</x:v>
      </x:c>
      <x:c r="C309" s="11" t="str">
        <x:v>肺癌</x:v>
      </x:c>
      <x:c r="D309" s="11" t="n">
        <x:v>2041</x:v>
      </x:c>
      <x:c r="E309" s="11" t="n">
        <x:f>CHOOSE('假设'!$B$3,Q309,R309,S309)</x:f>
        <x:v>5</x:v>
      </x:c>
      <x:c r="F309" s="11" t="n">
        <x:f>'药物假设'!K43</x:f>
        <x:v>0.15</x:v>
      </x:c>
      <x:c r="G309" s="11" t="n">
        <x:f>1-'药物假设'!L43</x:f>
        <x:v>0.8</x:v>
      </x:c>
      <x:c r="H309" s="11" t="n">
        <x:f>'药物假设'!I43</x:f>
        <x:v>0.95</x:v>
      </x:c>
      <x:c r="I309" s="11" t="n">
        <x:f>E309*F309*G309*H309*'药物假设'!Q43</x:f>
        <x:v>0.5700000000000001</x:v>
      </x:c>
      <x:c r="J309" s="11" t="str">
        <x:v>2031-10-09</x:v>
      </x:c>
      <x:c r="K309" s="11" t="n">
        <x:v>10.22861054072553</x:v>
      </x:c>
      <x:c r="L309" s="11" t="n">
        <x:f>'药物假设'!M43</x:f>
        <x:v>0.11</x:v>
      </x:c>
      <x:c r="M309" s="11" t="n">
        <x:f>IF(O309,I309/(1+L309)^K309,0)</x:f>
        <x:v>0.19601249516743294</x:v>
      </x:c>
      <x:c r="N309" s="11" t="n">
        <x:f>M309*'药物假设'!N43</x:f>
        <x:v>1.3328849671385439</x:v>
      </x:c>
      <x:c r="O309" s="26" t="b">
        <x:v>1</x:v>
      </x:c>
      <x:c r="P309" s="11" t="n">
        <x:f>43</x:f>
        <x:v>43</x:v>
      </x:c>
      <x:c r="Q309" s="16" t="n">
        <x:v>0.6</x:v>
      </x:c>
      <x:c r="R309" s="16" t="n">
        <x:v>5</x:v>
      </x:c>
      <x:c r="S309" s="16" t="n">
        <x:v>9</x:v>
      </x:c>
    </x:row>
    <x:row r="310" ht="23" customHeight="1">
      <x:c r="A310" s="11" t="str">
        <x:v>09926.HK</x:v>
      </x:c>
      <x:c r="B310" s="11" t="str">
        <x:v>五年</x:v>
      </x:c>
      <x:c r="C310" s="11" t="str">
        <x:v>肺癌</x:v>
      </x:c>
      <x:c r="D310" s="11" t="n">
        <x:v>2042</x:v>
      </x:c>
      <x:c r="E310" s="11" t="n">
        <x:f>CHOOSE('假设'!$B$3,Q310,R310,S310)</x:f>
        <x:v>3</x:v>
      </x:c>
      <x:c r="F310" s="11" t="n">
        <x:f>'药物假设'!K43</x:f>
        <x:v>0.15</x:v>
      </x:c>
      <x:c r="G310" s="11" t="n">
        <x:f>1-'药物假设'!L43</x:f>
        <x:v>0.8</x:v>
      </x:c>
      <x:c r="H310" s="11" t="n">
        <x:f>'药物假设'!I43</x:f>
        <x:v>0.95</x:v>
      </x:c>
      <x:c r="I310" s="11" t="n">
        <x:f>E310*F310*G310*H310*'药物假设'!Q43</x:f>
        <x:v>0.34199999999999997</x:v>
      </x:c>
      <x:c r="J310" s="11" t="str">
        <x:v>2031-10-09</x:v>
      </x:c>
      <x:c r="K310" s="11" t="n">
        <x:v>11.227926078028748</x:v>
      </x:c>
      <x:c r="L310" s="11" t="n">
        <x:f>'药物假设'!M43</x:f>
        <x:v>0.11</x:v>
      </x:c>
      <x:c r="M310" s="11" t="n">
        <x:f>IF(O310,I310/(1+L310)^K310,0)</x:f>
        <x:v>0.10596026861913278</x:v>
      </x:c>
      <x:c r="N310" s="11" t="n">
        <x:f>M310*'药物假设'!N43</x:f>
        <x:v>0.7205298266101029</x:v>
      </x:c>
      <x:c r="O310" s="26" t="b">
        <x:v>1</x:v>
      </x:c>
      <x:c r="P310" s="11" t="n">
        <x:f>43</x:f>
        <x:v>43</x:v>
      </x:c>
      <x:c r="Q310" s="16" t="n">
        <x:v>0.3</x:v>
      </x:c>
      <x:c r="R310" s="16" t="n">
        <x:v>3</x:v>
      </x:c>
      <x:c r="S310" s="16" t="n">
        <x:v>6</x:v>
      </x:c>
    </x:row>
    <x:row r="311" ht="23" customHeight="1">
      <x:c r="A311" s="11" t="str">
        <x:v>09926.HK</x:v>
      </x:c>
      <x:c r="B311" s="11" t="str">
        <x:v>五年</x:v>
      </x:c>
      <x:c r="C311" s="11" t="str">
        <x:v>其他适应症</x:v>
      </x:c>
      <x:c r="D311" s="11" t="n">
        <x:v>2027</x:v>
      </x:c>
      <x:c r="E311" s="11" t="n">
        <x:f>CHOOSE('假设'!$B$3,Q311,R311,S311)</x:f>
        <x:v>0</x:v>
      </x:c>
      <x:c r="F311" s="11" t="n">
        <x:f>'药物假设'!K43</x:f>
        <x:v>0.15</x:v>
      </x:c>
      <x:c r="G311" s="11" t="n">
        <x:f>1-'药物假设'!L43</x:f>
        <x:v>0.8</x:v>
      </x:c>
      <x:c r="H311" s="11" t="n">
        <x:f>'药物假设'!J43</x:f>
        <x:v>0.6</x:v>
      </x:c>
      <x:c r="I311" s="11" t="n">
        <x:f>E311*F311*G311*H311*'药物假设'!Q43</x:f>
        <x:v>0</x:v>
      </x:c>
      <x:c r="J311" s="11" t="str">
        <x:v>2031-10-09</x:v>
      </x:c>
      <x:c r="K311" s="11" t="n">
        <x:v>0</x:v>
      </x:c>
      <x:c r="L311" s="11" t="n">
        <x:f>'药物假设'!M43</x:f>
        <x:v>0.11</x:v>
      </x:c>
      <x:c r="M311" s="11" t="n">
        <x:f>IF(O311,I311/(1+L311)^K311,0)</x:f>
        <x:v>0</x:v>
      </x:c>
      <x:c r="N311" s="11" t="n">
        <x:f>M311*'药物假设'!N43</x:f>
        <x:v>0</x:v>
      </x:c>
      <x:c r="O311" s="26" t="b">
        <x:v>0</x:v>
      </x:c>
      <x:c r="P311" s="11" t="n">
        <x:f>43</x:f>
        <x:v>43</x:v>
      </x:c>
      <x:c r="Q311" s="16" t="n">
        <x:v>0</x:v>
      </x:c>
      <x:c r="R311" s="16" t="n">
        <x:v>0</x:v>
      </x:c>
      <x:c r="S311" s="16" t="n">
        <x:v>0</x:v>
      </x:c>
    </x:row>
    <x:row r="312" ht="23" customHeight="1">
      <x:c r="A312" s="11" t="str">
        <x:v>09926.HK</x:v>
      </x:c>
      <x:c r="B312" s="11" t="str">
        <x:v>五年</x:v>
      </x:c>
      <x:c r="C312" s="11" t="str">
        <x:v>其他适应症</x:v>
      </x:c>
      <x:c r="D312" s="11" t="n">
        <x:v>2028</x:v>
      </x:c>
      <x:c r="E312" s="11" t="n">
        <x:f>CHOOSE('假设'!$B$3,Q312,R312,S312)</x:f>
        <x:v>0</x:v>
      </x:c>
      <x:c r="F312" s="11" t="n">
        <x:f>'药物假设'!K43</x:f>
        <x:v>0.15</x:v>
      </x:c>
      <x:c r="G312" s="11" t="n">
        <x:f>1-'药物假设'!L43</x:f>
        <x:v>0.8</x:v>
      </x:c>
      <x:c r="H312" s="11" t="n">
        <x:f>'药物假设'!J43</x:f>
        <x:v>0.6</x:v>
      </x:c>
      <x:c r="I312" s="11" t="n">
        <x:f>E312*F312*G312*H312*'药物假设'!Q43</x:f>
        <x:v>0</x:v>
      </x:c>
      <x:c r="J312" s="11" t="str">
        <x:v>2031-10-09</x:v>
      </x:c>
      <x:c r="K312" s="11" t="n">
        <x:v>0</x:v>
      </x:c>
      <x:c r="L312" s="11" t="n">
        <x:f>'药物假设'!M43</x:f>
        <x:v>0.11</x:v>
      </x:c>
      <x:c r="M312" s="11" t="n">
        <x:f>IF(O312,I312/(1+L312)^K312,0)</x:f>
        <x:v>0</x:v>
      </x:c>
      <x:c r="N312" s="11" t="n">
        <x:f>M312*'药物假设'!N43</x:f>
        <x:v>0</x:v>
      </x:c>
      <x:c r="O312" s="26" t="b">
        <x:v>0</x:v>
      </x:c>
      <x:c r="P312" s="11" t="n">
        <x:f>43</x:f>
        <x:v>43</x:v>
      </x:c>
      <x:c r="Q312" s="16" t="n">
        <x:v>0</x:v>
      </x:c>
      <x:c r="R312" s="16" t="n">
        <x:v>0</x:v>
      </x:c>
      <x:c r="S312" s="16" t="n">
        <x:v>0</x:v>
      </x:c>
    </x:row>
    <x:row r="313" ht="23" customHeight="1">
      <x:c r="A313" s="11" t="str">
        <x:v>09926.HK</x:v>
      </x:c>
      <x:c r="B313" s="11" t="str">
        <x:v>五年</x:v>
      </x:c>
      <x:c r="C313" s="11" t="str">
        <x:v>其他适应症</x:v>
      </x:c>
      <x:c r="D313" s="11" t="n">
        <x:v>2029</x:v>
      </x:c>
      <x:c r="E313" s="11" t="n">
        <x:f>CHOOSE('假设'!$B$3,Q313,R313,S313)</x:f>
        <x:v>0</x:v>
      </x:c>
      <x:c r="F313" s="11" t="n">
        <x:f>'药物假设'!K43</x:f>
        <x:v>0.15</x:v>
      </x:c>
      <x:c r="G313" s="11" t="n">
        <x:f>1-'药物假设'!L43</x:f>
        <x:v>0.8</x:v>
      </x:c>
      <x:c r="H313" s="11" t="n">
        <x:f>'药物假设'!J43</x:f>
        <x:v>0.6</x:v>
      </x:c>
      <x:c r="I313" s="11" t="n">
        <x:f>E313*F313*G313*H313*'药物假设'!Q43</x:f>
        <x:v>0</x:v>
      </x:c>
      <x:c r="J313" s="11" t="str">
        <x:v>2031-10-09</x:v>
      </x:c>
      <x:c r="K313" s="11" t="n">
        <x:v>0</x:v>
      </x:c>
      <x:c r="L313" s="11" t="n">
        <x:f>'药物假设'!M43</x:f>
        <x:v>0.11</x:v>
      </x:c>
      <x:c r="M313" s="11" t="n">
        <x:f>IF(O313,I313/(1+L313)^K313,0)</x:f>
        <x:v>0</x:v>
      </x:c>
      <x:c r="N313" s="11" t="n">
        <x:f>M313*'药物假设'!N43</x:f>
        <x:v>0</x:v>
      </x:c>
      <x:c r="O313" s="26" t="b">
        <x:v>0</x:v>
      </x:c>
      <x:c r="P313" s="11" t="n">
        <x:f>43</x:f>
        <x:v>43</x:v>
      </x:c>
      <x:c r="Q313" s="16" t="n">
        <x:v>0</x:v>
      </x:c>
      <x:c r="R313" s="16" t="n">
        <x:v>0</x:v>
      </x:c>
      <x:c r="S313" s="16" t="n">
        <x:v>0.3</x:v>
      </x:c>
    </x:row>
    <x:row r="314" ht="23" customHeight="1">
      <x:c r="A314" s="11" t="str">
        <x:v>09926.HK</x:v>
      </x:c>
      <x:c r="B314" s="11" t="str">
        <x:v>五年</x:v>
      </x:c>
      <x:c r="C314" s="11" t="str">
        <x:v>其他适应症</x:v>
      </x:c>
      <x:c r="D314" s="11" t="n">
        <x:v>2030</x:v>
      </x:c>
      <x:c r="E314" s="11" t="n">
        <x:f>CHOOSE('假设'!$B$3,Q314,R314,S314)</x:f>
        <x:v>0.3</x:v>
      </x:c>
      <x:c r="F314" s="11" t="n">
        <x:f>'药物假设'!K43</x:f>
        <x:v>0.15</x:v>
      </x:c>
      <x:c r="G314" s="11" t="n">
        <x:f>1-'药物假设'!L43</x:f>
        <x:v>0.8</x:v>
      </x:c>
      <x:c r="H314" s="11" t="n">
        <x:f>'药物假设'!J43</x:f>
        <x:v>0.6</x:v>
      </x:c>
      <x:c r="I314" s="11" t="n">
        <x:f>E314*F314*G314*H314*'药物假设'!Q43</x:f>
        <x:v>0.021599999999999998</x:v>
      </x:c>
      <x:c r="J314" s="11" t="str">
        <x:v>2031-10-09</x:v>
      </x:c>
      <x:c r="K314" s="11" t="n">
        <x:v>0</x:v>
      </x:c>
      <x:c r="L314" s="11" t="n">
        <x:f>'药物假设'!M43</x:f>
        <x:v>0.11</x:v>
      </x:c>
      <x:c r="M314" s="11" t="n">
        <x:f>IF(O314,I314/(1+L314)^K314,0)</x:f>
        <x:v>0</x:v>
      </x:c>
      <x:c r="N314" s="11" t="n">
        <x:f>M314*'药物假设'!N43</x:f>
        <x:v>0</x:v>
      </x:c>
      <x:c r="O314" s="26" t="b">
        <x:v>0</x:v>
      </x:c>
      <x:c r="P314" s="11" t="n">
        <x:f>43</x:f>
        <x:v>43</x:v>
      </x:c>
      <x:c r="Q314" s="16" t="n">
        <x:v>0</x:v>
      </x:c>
      <x:c r="R314" s="16" t="n">
        <x:v>0.3</x:v>
      </x:c>
      <x:c r="S314" s="16" t="n">
        <x:v>1</x:v>
      </x:c>
    </x:row>
    <x:row r="315" ht="23" customHeight="1">
      <x:c r="A315" s="11" t="str">
        <x:v>09926.HK</x:v>
      </x:c>
      <x:c r="B315" s="11" t="str">
        <x:v>五年</x:v>
      </x:c>
      <x:c r="C315" s="11" t="str">
        <x:v>其他适应症</x:v>
      </x:c>
      <x:c r="D315" s="11" t="n">
        <x:v>2031</x:v>
      </x:c>
      <x:c r="E315" s="11" t="n">
        <x:f>CHOOSE('假设'!$B$3,Q315,R315,S315)</x:f>
        <x:v>0.8</x:v>
      </x:c>
      <x:c r="F315" s="11" t="n">
        <x:f>'药物假设'!K43</x:f>
        <x:v>0.15</x:v>
      </x:c>
      <x:c r="G315" s="11" t="n">
        <x:f>1-'药物假设'!L43</x:f>
        <x:v>0.8</x:v>
      </x:c>
      <x:c r="H315" s="11" t="n">
        <x:f>'药物假设'!J43</x:f>
        <x:v>0.6</x:v>
      </x:c>
      <x:c r="I315" s="11" t="n">
        <x:f>E315*F315*G315*H315*'药物假设'!Q43</x:f>
        <x:v>0.0576</x:v>
      </x:c>
      <x:c r="J315" s="11" t="str">
        <x:v>2031-10-09</x:v>
      </x:c>
      <x:c r="K315" s="11" t="n">
        <x:v>0.2272416153319644</x:v>
      </x:c>
      <x:c r="L315" s="11" t="n">
        <x:f>'药物假设'!M43</x:f>
        <x:v>0.11</x:v>
      </x:c>
      <x:c r="M315" s="11" t="n">
        <x:f>IF(O315,I315/(1+L315)^K315,0)</x:f>
        <x:v>0.0562500893340128</x:v>
      </x:c>
      <x:c r="N315" s="11" t="n">
        <x:f>M315*'药物假设'!N43</x:f>
        <x:v>0.382500607471287</x:v>
      </x:c>
      <x:c r="O315" s="26" t="b">
        <x:v>1</x:v>
      </x:c>
      <x:c r="P315" s="11" t="n">
        <x:f>43</x:f>
        <x:v>43</x:v>
      </x:c>
      <x:c r="Q315" s="16" t="n">
        <x:v>0</x:v>
      </x:c>
      <x:c r="R315" s="16" t="n">
        <x:v>0.8</x:v>
      </x:c>
      <x:c r="S315" s="16" t="n">
        <x:v>2.5</x:v>
      </x:c>
    </x:row>
    <x:row r="316" ht="23" customHeight="1">
      <x:c r="A316" s="11" t="str">
        <x:v>09926.HK</x:v>
      </x:c>
      <x:c r="B316" s="11" t="str">
        <x:v>五年</x:v>
      </x:c>
      <x:c r="C316" s="11" t="str">
        <x:v>其他适应症</x:v>
      </x:c>
      <x:c r="D316" s="11" t="n">
        <x:v>2032</x:v>
      </x:c>
      <x:c r="E316" s="11" t="n">
        <x:f>CHOOSE('假设'!$B$3,Q316,R316,S316)</x:f>
        <x:v>1.5</x:v>
      </x:c>
      <x:c r="F316" s="11" t="n">
        <x:f>'药物假设'!K43</x:f>
        <x:v>0.15</x:v>
      </x:c>
      <x:c r="G316" s="11" t="n">
        <x:f>1-'药物假设'!L43</x:f>
        <x:v>0.8</x:v>
      </x:c>
      <x:c r="H316" s="11" t="n">
        <x:f>'药物假设'!J43</x:f>
        <x:v>0.6</x:v>
      </x:c>
      <x:c r="I316" s="11" t="n">
        <x:f>E316*F316*G316*H316*'药物假设'!Q43</x:f>
        <x:v>0.108</x:v>
      </x:c>
      <x:c r="J316" s="11" t="str">
        <x:v>2031-10-09</x:v>
      </x:c>
      <x:c r="K316" s="11" t="n">
        <x:v>1.2292950034223136</x:v>
      </x:c>
      <x:c r="L316" s="11" t="n">
        <x:f>'药物假设'!M43</x:f>
        <x:v>0.11</x:v>
      </x:c>
      <x:c r="M316" s="11" t="n">
        <x:f>IF(O316,I316/(1+L316)^K316,0)</x:f>
        <x:v>0.09499668362009608</x:v>
      </x:c>
      <x:c r="N316" s="11" t="n">
        <x:f>M316*'药物假设'!N43</x:f>
        <x:v>0.6459774486166534</x:v>
      </x:c>
      <x:c r="O316" s="26" t="b">
        <x:v>1</x:v>
      </x:c>
      <x:c r="P316" s="11" t="n">
        <x:f>43</x:f>
        <x:v>43</x:v>
      </x:c>
      <x:c r="Q316" s="16" t="n">
        <x:v>0.1</x:v>
      </x:c>
      <x:c r="R316" s="16" t="n">
        <x:v>1.5</x:v>
      </x:c>
      <x:c r="S316" s="16" t="n">
        <x:v>5</x:v>
      </x:c>
    </x:row>
    <x:row r="317" ht="23" customHeight="1">
      <x:c r="A317" s="11" t="str">
        <x:v>09926.HK</x:v>
      </x:c>
      <x:c r="B317" s="11" t="str">
        <x:v>五年</x:v>
      </x:c>
      <x:c r="C317" s="11" t="str">
        <x:v>其他适应症</x:v>
      </x:c>
      <x:c r="D317" s="11" t="n">
        <x:v>2033</x:v>
      </x:c>
      <x:c r="E317" s="11" t="n">
        <x:f>CHOOSE('假设'!$B$3,Q317,R317,S317)</x:f>
        <x:v>2.5</x:v>
      </x:c>
      <x:c r="F317" s="11" t="n">
        <x:f>'药物假设'!K43</x:f>
        <x:v>0.15</x:v>
      </x:c>
      <x:c r="G317" s="11" t="n">
        <x:f>1-'药物假设'!L43</x:f>
        <x:v>0.8</x:v>
      </x:c>
      <x:c r="H317" s="11" t="n">
        <x:f>'药物假设'!J43</x:f>
        <x:v>0.6</x:v>
      </x:c>
      <x:c r="I317" s="11" t="n">
        <x:f>E317*F317*G317*H317*'药物假设'!Q43</x:f>
        <x:v>0.18000000000000002</x:v>
      </x:c>
      <x:c r="J317" s="11" t="str">
        <x:v>2031-10-09</x:v>
      </x:c>
      <x:c r="K317" s="11" t="n">
        <x:v>2.2286105407255303</x:v>
      </x:c>
      <x:c r="L317" s="11" t="n">
        <x:f>'药物假设'!M43</x:f>
        <x:v>0.11</x:v>
      </x:c>
      <x:c r="M317" s="11" t="n">
        <x:f>IF(O317,I317/(1+L317)^K317,0)</x:f>
        <x:v>0.14264785214208375</x:v>
      </x:c>
      <x:c r="N317" s="11" t="n">
        <x:f>M317*'药物假设'!N43</x:f>
        <x:v>0.9700053945661695</x:v>
      </x:c>
      <x:c r="O317" s="26" t="b">
        <x:v>1</x:v>
      </x:c>
      <x:c r="P317" s="11" t="n">
        <x:f>43</x:f>
        <x:v>43</x:v>
      </x:c>
      <x:c r="Q317" s="16" t="n">
        <x:v>0.2</x:v>
      </x:c>
      <x:c r="R317" s="16" t="n">
        <x:v>2.5</x:v>
      </x:c>
      <x:c r="S317" s="16" t="n">
        <x:v>7.5</x:v>
      </x:c>
    </x:row>
    <x:row r="318" ht="23" customHeight="1">
      <x:c r="A318" s="11" t="str">
        <x:v>09926.HK</x:v>
      </x:c>
      <x:c r="B318" s="11" t="str">
        <x:v>五年</x:v>
      </x:c>
      <x:c r="C318" s="11" t="str">
        <x:v>其他适应症</x:v>
      </x:c>
      <x:c r="D318" s="11" t="n">
        <x:v>2034</x:v>
      </x:c>
      <x:c r="E318" s="11" t="n">
        <x:f>CHOOSE('假设'!$B$3,Q318,R318,S318)</x:f>
        <x:v>3.5</x:v>
      </x:c>
      <x:c r="F318" s="11" t="n">
        <x:f>'药物假设'!K43</x:f>
        <x:v>0.15</x:v>
      </x:c>
      <x:c r="G318" s="11" t="n">
        <x:f>1-'药物假设'!L43</x:f>
        <x:v>0.8</x:v>
      </x:c>
      <x:c r="H318" s="11" t="n">
        <x:f>'药物假设'!J43</x:f>
        <x:v>0.6</x:v>
      </x:c>
      <x:c r="I318" s="11" t="n">
        <x:f>E318*F318*G318*H318*'药物假设'!Q43</x:f>
        <x:v>0.252</x:v>
      </x:c>
      <x:c r="J318" s="11" t="str">
        <x:v>2031-10-09</x:v>
      </x:c>
      <x:c r="K318" s="11" t="n">
        <x:v>3.2279260780287475</x:v>
      </x:c>
      <x:c r="L318" s="11" t="n">
        <x:f>'药物假设'!M43</x:f>
        <x:v>0.11</x:v>
      </x:c>
      <x:c r="M318" s="11" t="n">
        <x:f>IF(O318,I318/(1+L318)^K318,0)</x:f>
        <x:v>0.17992906187952382</x:v>
      </x:c>
      <x:c r="N318" s="11" t="n">
        <x:f>M318*'药物假设'!N43</x:f>
        <x:v>1.2235176207807619</x:v>
      </x:c>
      <x:c r="O318" s="26" t="b">
        <x:v>1</x:v>
      </x:c>
      <x:c r="P318" s="11" t="n">
        <x:f>43</x:f>
        <x:v>43</x:v>
      </x:c>
      <x:c r="Q318" s="16" t="n">
        <x:v>0.3</x:v>
      </x:c>
      <x:c r="R318" s="16" t="n">
        <x:v>3.5</x:v>
      </x:c>
      <x:c r="S318" s="16" t="n">
        <x:v>10</x:v>
      </x:c>
    </x:row>
    <x:row r="319" ht="23" customHeight="1">
      <x:c r="A319" s="11" t="str">
        <x:v>09926.HK</x:v>
      </x:c>
      <x:c r="B319" s="11" t="str">
        <x:v>五年</x:v>
      </x:c>
      <x:c r="C319" s="11" t="str">
        <x:v>其他适应症</x:v>
      </x:c>
      <x:c r="D319" s="11" t="n">
        <x:v>2035</x:v>
      </x:c>
      <x:c r="E319" s="11" t="n">
        <x:f>CHOOSE('假设'!$B$3,Q319,R319,S319)</x:f>
        <x:v>4.5</x:v>
      </x:c>
      <x:c r="F319" s="11" t="n">
        <x:f>'药物假设'!K43</x:f>
        <x:v>0.15</x:v>
      </x:c>
      <x:c r="G319" s="11" t="n">
        <x:f>1-'药物假设'!L43</x:f>
        <x:v>0.8</x:v>
      </x:c>
      <x:c r="H319" s="11" t="n">
        <x:f>'药物假设'!J43</x:f>
        <x:v>0.6</x:v>
      </x:c>
      <x:c r="I319" s="11" t="n">
        <x:f>E319*F319*G319*H319*'药物假设'!Q43</x:f>
        <x:v>0.32399999999999995</x:v>
      </x:c>
      <x:c r="J319" s="11" t="str">
        <x:v>2031-10-09</x:v>
      </x:c>
      <x:c r="K319" s="11" t="n">
        <x:v>4.227241615331964</x:v>
      </x:c>
      <x:c r="L319" s="11" t="n">
        <x:f>'药物假设'!M43</x:f>
        <x:v>0.11</x:v>
      </x:c>
      <x:c r="M319" s="11" t="n">
        <x:f>IF(O319,I319/(1+L319)^K319,0)</x:f>
        <x:v>0.2084269283028986</x:v>
      </x:c>
      <x:c r="N319" s="11" t="n">
        <x:f>M319*'药物假设'!N43</x:f>
        <x:v>1.4173031124597104</x:v>
      </x:c>
      <x:c r="O319" s="26" t="b">
        <x:v>1</x:v>
      </x:c>
      <x:c r="P319" s="11" t="n">
        <x:f>43</x:f>
        <x:v>43</x:v>
      </x:c>
      <x:c r="Q319" s="16" t="n">
        <x:v>0.4</x:v>
      </x:c>
      <x:c r="R319" s="16" t="n">
        <x:v>4.5</x:v>
      </x:c>
      <x:c r="S319" s="16" t="n">
        <x:v>12</x:v>
      </x:c>
    </x:row>
    <x:row r="320" ht="23" customHeight="1">
      <x:c r="A320" s="11" t="str">
        <x:v>09926.HK</x:v>
      </x:c>
      <x:c r="B320" s="11" t="str">
        <x:v>五年</x:v>
      </x:c>
      <x:c r="C320" s="11" t="str">
        <x:v>其他适应症</x:v>
      </x:c>
      <x:c r="D320" s="11" t="n">
        <x:v>2036</x:v>
      </x:c>
      <x:c r="E320" s="11" t="n">
        <x:f>CHOOSE('假设'!$B$3,Q320,R320,S320)</x:f>
        <x:v>5</x:v>
      </x:c>
      <x:c r="F320" s="11" t="n">
        <x:f>'药物假设'!K43</x:f>
        <x:v>0.15</x:v>
      </x:c>
      <x:c r="G320" s="11" t="n">
        <x:f>1-'药物假设'!L43</x:f>
        <x:v>0.8</x:v>
      </x:c>
      <x:c r="H320" s="11" t="n">
        <x:f>'药物假设'!J43</x:f>
        <x:v>0.6</x:v>
      </x:c>
      <x:c r="I320" s="11" t="n">
        <x:f>E320*F320*G320*H320*'药物假设'!Q43</x:f>
        <x:v>0.36000000000000004</x:v>
      </x:c>
      <x:c r="J320" s="11" t="str">
        <x:v>2031-10-09</x:v>
      </x:c>
      <x:c r="K320" s="11" t="n">
        <x:v>5.229295003422314</x:v>
      </x:c>
      <x:c r="L320" s="11" t="n">
        <x:f>'药物假设'!M43</x:f>
        <x:v>0.11</x:v>
      </x:c>
      <x:c r="M320" s="11" t="n">
        <x:f>IF(O320,I320/(1+L320)^K320,0)</x:f>
        <x:v>0.2085908598053676</x:v>
      </x:c>
      <x:c r="N320" s="11" t="n">
        <x:f>M320*'药物假设'!N43</x:f>
        <x:v>1.4184178466764996</x:v>
      </x:c>
      <x:c r="O320" s="26" t="b">
        <x:v>1</x:v>
      </x:c>
      <x:c r="P320" s="11" t="n">
        <x:f>43</x:f>
        <x:v>43</x:v>
      </x:c>
      <x:c r="Q320" s="16" t="n">
        <x:v>0.4</x:v>
      </x:c>
      <x:c r="R320" s="16" t="n">
        <x:v>5</x:v>
      </x:c>
      <x:c r="S320" s="16" t="n">
        <x:v>13</x:v>
      </x:c>
    </x:row>
    <x:row r="321" ht="23" customHeight="1">
      <x:c r="A321" s="11" t="str">
        <x:v>09926.HK</x:v>
      </x:c>
      <x:c r="B321" s="11" t="str">
        <x:v>五年</x:v>
      </x:c>
      <x:c r="C321" s="11" t="str">
        <x:v>其他适应症</x:v>
      </x:c>
      <x:c r="D321" s="11" t="n">
        <x:v>2037</x:v>
      </x:c>
      <x:c r="E321" s="11" t="n">
        <x:f>CHOOSE('假设'!$B$3,Q321,R321,S321)</x:f>
        <x:v>5</x:v>
      </x:c>
      <x:c r="F321" s="11" t="n">
        <x:f>'药物假设'!K43</x:f>
        <x:v>0.15</x:v>
      </x:c>
      <x:c r="G321" s="11" t="n">
        <x:f>1-'药物假设'!L43</x:f>
        <x:v>0.8</x:v>
      </x:c>
      <x:c r="H321" s="11" t="n">
        <x:f>'药物假设'!J43</x:f>
        <x:v>0.6</x:v>
      </x:c>
      <x:c r="I321" s="11" t="n">
        <x:f>E321*F321*G321*H321*'药物假设'!Q43</x:f>
        <x:v>0.36000000000000004</x:v>
      </x:c>
      <x:c r="J321" s="11" t="str">
        <x:v>2031-10-09</x:v>
      </x:c>
      <x:c r="K321" s="11" t="n">
        <x:v>6.228610540725531</x:v>
      </x:c>
      <x:c r="L321" s="11" t="n">
        <x:f>'药物假设'!M43</x:f>
        <x:v>0.11</x:v>
      </x:c>
      <x:c r="M321" s="11" t="n">
        <x:f>IF(O321,I321/(1+L321)^K321,0)</x:f>
        <x:v>0.1879331172024935</x:v>
      </x:c>
      <x:c r="N321" s="11" t="n">
        <x:f>M321*'药物假设'!N43</x:f>
        <x:v>1.2779451969769557</x:v>
      </x:c>
      <x:c r="O321" s="26" t="b">
        <x:v>1</x:v>
      </x:c>
      <x:c r="P321" s="11" t="n">
        <x:f>43</x:f>
        <x:v>43</x:v>
      </x:c>
      <x:c r="Q321" s="16" t="n">
        <x:v>0.4</x:v>
      </x:c>
      <x:c r="R321" s="16" t="n">
        <x:v>5</x:v>
      </x:c>
      <x:c r="S321" s="16" t="n">
        <x:v>13</x:v>
      </x:c>
    </x:row>
    <x:row r="322" ht="23" customHeight="1">
      <x:c r="A322" s="11" t="str">
        <x:v>09926.HK</x:v>
      </x:c>
      <x:c r="B322" s="11" t="str">
        <x:v>五年</x:v>
      </x:c>
      <x:c r="C322" s="11" t="str">
        <x:v>其他适应症</x:v>
      </x:c>
      <x:c r="D322" s="11" t="n">
        <x:v>2038</x:v>
      </x:c>
      <x:c r="E322" s="11" t="n">
        <x:f>CHOOSE('假设'!$B$3,Q322,R322,S322)</x:f>
        <x:v>4.5</x:v>
      </x:c>
      <x:c r="F322" s="11" t="n">
        <x:f>'药物假设'!K43</x:f>
        <x:v>0.15</x:v>
      </x:c>
      <x:c r="G322" s="11" t="n">
        <x:f>1-'药物假设'!L43</x:f>
        <x:v>0.8</x:v>
      </x:c>
      <x:c r="H322" s="11" t="n">
        <x:f>'药物假设'!J43</x:f>
        <x:v>0.6</x:v>
      </x:c>
      <x:c r="I322" s="11" t="n">
        <x:f>E322*F322*G322*H322*'药物假设'!Q43</x:f>
        <x:v>0.32399999999999995</x:v>
      </x:c>
      <x:c r="J322" s="11" t="str">
        <x:v>2031-10-09</x:v>
      </x:c>
      <x:c r="K322" s="11" t="n">
        <x:v>7.227926078028747</x:v>
      </x:c>
      <x:c r="L322" s="11" t="n">
        <x:f>'药物假设'!M43</x:f>
        <x:v>0.11</x:v>
      </x:c>
      <x:c r="M322" s="11" t="n">
        <x:f>IF(O322,I322/(1+L322)^K322,0)</x:f>
        <x:v>0.15238908798286463</x:v>
      </x:c>
      <x:c r="N322" s="11" t="n">
        <x:f>M322*'药物假设'!N43</x:f>
        <x:v>1.0362457982834794</x:v>
      </x:c>
      <x:c r="O322" s="26" t="b">
        <x:v>1</x:v>
      </x:c>
      <x:c r="P322" s="11" t="n">
        <x:f>43</x:f>
        <x:v>43</x:v>
      </x:c>
      <x:c r="Q322" s="16" t="n">
        <x:v>0.35</x:v>
      </x:c>
      <x:c r="R322" s="16" t="n">
        <x:v>4.5</x:v>
      </x:c>
      <x:c r="S322" s="16" t="n">
        <x:v>12</x:v>
      </x:c>
    </x:row>
    <x:row r="323" ht="23" customHeight="1">
      <x:c r="A323" s="11" t="str">
        <x:v>09926.HK</x:v>
      </x:c>
      <x:c r="B323" s="11" t="str">
        <x:v>五年</x:v>
      </x:c>
      <x:c r="C323" s="11" t="str">
        <x:v>其他适应症</x:v>
      </x:c>
      <x:c r="D323" s="11" t="n">
        <x:v>2039</x:v>
      </x:c>
      <x:c r="E323" s="11" t="n">
        <x:f>CHOOSE('假设'!$B$3,Q323,R323,S323)</x:f>
        <x:v>4</x:v>
      </x:c>
      <x:c r="F323" s="11" t="n">
        <x:f>'药物假设'!K43</x:f>
        <x:v>0.15</x:v>
      </x:c>
      <x:c r="G323" s="11" t="n">
        <x:f>1-'药物假设'!L43</x:f>
        <x:v>0.8</x:v>
      </x:c>
      <x:c r="H323" s="11" t="n">
        <x:f>'药物假设'!J43</x:f>
        <x:v>0.6</x:v>
      </x:c>
      <x:c r="I323" s="11" t="n">
        <x:f>E323*F323*G323*H323*'药物假设'!Q43</x:f>
        <x:v>0.288</x:v>
      </x:c>
      <x:c r="J323" s="11" t="str">
        <x:v>2031-10-09</x:v>
      </x:c>
      <x:c r="K323" s="11" t="n">
        <x:v>8.227241615331964</x:v>
      </x:c>
      <x:c r="L323" s="11" t="n">
        <x:f>'药物假设'!M43</x:f>
        <x:v>0.11</x:v>
      </x:c>
      <x:c r="M323" s="11" t="n">
        <x:f>IF(O323,I323/(1+L323)^K323,0)</x:f>
        <x:v>0.12204202090579422</x:v>
      </x:c>
      <x:c r="N323" s="11" t="n">
        <x:f>M323*'药物假设'!N43</x:f>
        <x:v>0.8298857421594007</x:v>
      </x:c>
      <x:c r="O323" s="26" t="b">
        <x:v>1</x:v>
      </x:c>
      <x:c r="P323" s="11" t="n">
        <x:f>43</x:f>
        <x:v>43</x:v>
      </x:c>
      <x:c r="Q323" s="16" t="n">
        <x:v>0.3</x:v>
      </x:c>
      <x:c r="R323" s="16" t="n">
        <x:v>4</x:v>
      </x:c>
      <x:c r="S323" s="16" t="n">
        <x:v>11</x:v>
      </x:c>
    </x:row>
    <x:row r="324" ht="23" customHeight="1">
      <x:c r="A324" s="11" t="str">
        <x:v>09926.HK</x:v>
      </x:c>
      <x:c r="B324" s="11" t="str">
        <x:v>五年</x:v>
      </x:c>
      <x:c r="C324" s="11" t="str">
        <x:v>其他适应症</x:v>
      </x:c>
      <x:c r="D324" s="11" t="n">
        <x:v>2040</x:v>
      </x:c>
      <x:c r="E324" s="11" t="n">
        <x:f>CHOOSE('假设'!$B$3,Q324,R324,S324)</x:f>
        <x:v>3.2</x:v>
      </x:c>
      <x:c r="F324" s="11" t="n">
        <x:f>'药物假设'!K43</x:f>
        <x:v>0.15</x:v>
      </x:c>
      <x:c r="G324" s="11" t="n">
        <x:f>1-'药物假设'!L43</x:f>
        <x:v>0.8</x:v>
      </x:c>
      <x:c r="H324" s="11" t="n">
        <x:f>'药物假设'!J43</x:f>
        <x:v>0.6</x:v>
      </x:c>
      <x:c r="I324" s="11" t="n">
        <x:f>E324*F324*G324*H324*'药物假设'!Q43</x:f>
        <x:v>0.2304</x:v>
      </x:c>
      <x:c r="J324" s="11" t="str">
        <x:v>2031-10-09</x:v>
      </x:c>
      <x:c r="K324" s="11" t="n">
        <x:v>9.229295003422314</x:v>
      </x:c>
      <x:c r="L324" s="11" t="n">
        <x:f>'药物假设'!M43</x:f>
        <x:v>0.11</x:v>
      </x:c>
      <x:c r="M324" s="11" t="n">
        <x:f>IF(O324,I324/(1+L324)^K324,0)</x:f>
        <x:v>0.08793936657749304</x:v>
      </x:c>
      <x:c r="N324" s="11" t="n">
        <x:f>M324*'药物假设'!N43</x:f>
        <x:v>0.5979876927269527</x:v>
      </x:c>
      <x:c r="O324" s="26" t="b">
        <x:v>1</x:v>
      </x:c>
      <x:c r="P324" s="11" t="n">
        <x:f>43</x:f>
        <x:v>43</x:v>
      </x:c>
      <x:c r="Q324" s="16" t="n">
        <x:v>0.25</x:v>
      </x:c>
      <x:c r="R324" s="16" t="n">
        <x:v>3.2</x:v>
      </x:c>
      <x:c r="S324" s="16" t="n">
        <x:v>9</x:v>
      </x:c>
    </x:row>
    <x:row r="325" ht="23" customHeight="1">
      <x:c r="A325" s="11" t="str">
        <x:v>09926.HK</x:v>
      </x:c>
      <x:c r="B325" s="11" t="str">
        <x:v>五年</x:v>
      </x:c>
      <x:c r="C325" s="11" t="str">
        <x:v>其他适应症</x:v>
      </x:c>
      <x:c r="D325" s="11" t="n">
        <x:v>2041</x:v>
      </x:c>
      <x:c r="E325" s="11" t="n">
        <x:f>CHOOSE('假设'!$B$3,Q325,R325,S325)</x:f>
        <x:v>2.5</x:v>
      </x:c>
      <x:c r="F325" s="11" t="n">
        <x:f>'药物假设'!K43</x:f>
        <x:v>0.15</x:v>
      </x:c>
      <x:c r="G325" s="11" t="n">
        <x:f>1-'药物假设'!L43</x:f>
        <x:v>0.8</x:v>
      </x:c>
      <x:c r="H325" s="11" t="n">
        <x:f>'药物假设'!J43</x:f>
        <x:v>0.6</x:v>
      </x:c>
      <x:c r="I325" s="11" t="n">
        <x:f>E325*F325*G325*H325*'药物假设'!Q43</x:f>
        <x:v>0.18000000000000002</x:v>
      </x:c>
      <x:c r="J325" s="11" t="str">
        <x:v>2031-10-09</x:v>
      </x:c>
      <x:c r="K325" s="11" t="n">
        <x:v>10.22861054072553</x:v>
      </x:c>
      <x:c r="L325" s="11" t="n">
        <x:f>'药物假设'!M43</x:f>
        <x:v>0.11</x:v>
      </x:c>
      <x:c r="M325" s="11" t="n">
        <x:f>IF(O325,I325/(1+L325)^K325,0)</x:f>
        <x:v>0.06189868268445251</x:v>
      </x:c>
      <x:c r="N325" s="11" t="n">
        <x:f>M325*'药物假设'!N43</x:f>
        <x:v>0.42091104225427706</x:v>
      </x:c>
      <x:c r="O325" s="26" t="b">
        <x:v>1</x:v>
      </x:c>
      <x:c r="P325" s="11" t="n">
        <x:f>43</x:f>
        <x:v>43</x:v>
      </x:c>
      <x:c r="Q325" s="16" t="n">
        <x:v>0.2</x:v>
      </x:c>
      <x:c r="R325" s="16" t="n">
        <x:v>2.5</x:v>
      </x:c>
      <x:c r="S325" s="16" t="n">
        <x:v>7</x:v>
      </x:c>
    </x:row>
    <x:row r="326" ht="23" customHeight="1">
      <x:c r="A326" s="11" t="str">
        <x:v>09926.HK</x:v>
      </x:c>
      <x:c r="B326" s="11" t="str">
        <x:v>五年</x:v>
      </x:c>
      <x:c r="C326" s="11" t="str">
        <x:v>其他适应症</x:v>
      </x:c>
      <x:c r="D326" s="11" t="n">
        <x:v>2042</x:v>
      </x:c>
      <x:c r="E326" s="11" t="n">
        <x:f>CHOOSE('假设'!$B$3,Q326,R326,S326)</x:f>
        <x:v>1.5</x:v>
      </x:c>
      <x:c r="F326" s="11" t="n">
        <x:f>'药物假设'!K43</x:f>
        <x:v>0.15</x:v>
      </x:c>
      <x:c r="G326" s="11" t="n">
        <x:f>1-'药物假设'!L43</x:f>
        <x:v>0.8</x:v>
      </x:c>
      <x:c r="H326" s="11" t="n">
        <x:f>'药物假设'!J43</x:f>
        <x:v>0.6</x:v>
      </x:c>
      <x:c r="I326" s="11" t="n">
        <x:f>E326*F326*G326*H326*'药物假设'!Q43</x:f>
        <x:v>0.108</x:v>
      </x:c>
      <x:c r="J326" s="11" t="str">
        <x:v>2031-10-09</x:v>
      </x:c>
      <x:c r="K326" s="11" t="n">
        <x:v>11.227926078028748</x:v>
      </x:c>
      <x:c r="L326" s="11" t="n">
        <x:f>'药物假设'!M43</x:f>
        <x:v>0.11</x:v>
      </x:c>
      <x:c r="M326" s="11" t="n">
        <x:f>IF(O326,I326/(1+L326)^K326,0)</x:f>
        <x:v>0.03346113745867351</x:v>
      </x:c>
      <x:c r="N326" s="11" t="n">
        <x:f>M326*'药物假设'!N43</x:f>
        <x:v>0.22753573471897987</x:v>
      </x:c>
      <x:c r="O326" s="26" t="b">
        <x:v>1</x:v>
      </x:c>
      <x:c r="P326" s="11" t="n">
        <x:f>43</x:f>
        <x:v>43</x:v>
      </x:c>
      <x:c r="Q326" s="16" t="n">
        <x:v>0.1</x:v>
      </x:c>
      <x:c r="R326" s="16" t="n">
        <x:v>1.5</x:v>
      </x:c>
      <x:c r="S326" s="16" t="n">
        <x:v>5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4" t="str">
        <x:v>分资产组净经济现金流假设 · 非完整逐适应症DCF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52" customHeight="1">
      <x:c r="A6" s="12" t="str">
        <x:v>代码</x:v>
      </x:c>
      <x:c r="B6" s="12" t="str">
        <x:v>期限</x:v>
      </x:c>
      <x:c r="C6" s="12" t="str">
        <x:v>资产组</x:v>
      </x:c>
      <x:c r="D6" s="12" t="str">
        <x:v>情景</x:v>
      </x:c>
      <x:c r="E6" s="12" t="str">
        <x:v>成功因子</x:v>
      </x:c>
      <x:c r="F6" s="12" t="str">
        <x:v>净经济现金率</x:v>
      </x:c>
      <x:c r="G6" s="12" t="str">
        <x:v>归母比例</x:v>
      </x:c>
      <x:c r="H6" s="12" t="str">
        <x:v>折现率</x:v>
      </x:c>
      <x:c r="I6" s="12" t="str">
        <x:v>CNY/USD</x:v>
      </x:c>
    </x:row>
    <x:row r="7" ht="23" customHeight="1">
      <x:c r="A7" s="11" t="str">
        <x:v>01093.HK</x:v>
      </x:c>
      <x:c r="B7" s="11" t="str">
        <x:v>2026年底</x:v>
      </x:c>
      <x:c r="C7" s="11" t="str">
        <x:v>SYS6010_DOM</x:v>
      </x:c>
      <x:c r="D7" s="11" t="str">
        <x:v>活动输入</x:v>
      </x:c>
      <x:c r="E7" s="11" t="n">
        <x:f>CHOOSE('假设'!$B$3,E8,E9,E10)</x:f>
        <x:v>0.71</x:v>
      </x:c>
      <x:c r="F7" s="11" t="n">
        <x:f>CHOOSE('假设'!$B$3,F8,F9,F10)</x:f>
        <x:v>0.2</x:v>
      </x:c>
      <x:c r="G7" s="11" t="n">
        <x:f>CHOOSE('假设'!$B$3,G8,G9,G10)</x:f>
        <x:v>0.95</x:v>
      </x:c>
      <x:c r="H7" s="11" t="n">
        <x:f>CHOOSE('假设'!$B$3,H8,H9,H10)</x:f>
        <x:v>0.13</x:v>
      </x:c>
      <x:c r="I7" s="11" t="n">
        <x:f>CHOOSE('假设'!$B$3,I8,I9,I10)</x:f>
        <x:v>7</x:v>
      </x:c>
    </x:row>
    <x:row r="8" ht="23" customHeight="1">
      <x:c r="A8" s="11" t="str">
        <x:v>01093.HK</x:v>
      </x:c>
      <x:c r="B8" s="11" t="str">
        <x:v>2026年底</x:v>
      </x:c>
      <x:c r="C8" s="11" t="str">
        <x:v>SYS6010_DOM</x:v>
      </x:c>
      <x:c r="D8" s="11" t="str">
        <x:v>悲观</x:v>
      </x:c>
      <x:c r="E8" s="16" t="n">
        <x:v>0.4</x:v>
      </x:c>
      <x:c r="F8" s="16" t="n">
        <x:v>0.14</x:v>
      </x:c>
      <x:c r="G8" s="16" t="n">
        <x:v>0.9</x:v>
      </x:c>
      <x:c r="H8" s="16" t="n">
        <x:v>0.16</x:v>
      </x:c>
      <x:c r="I8" s="16" t="n">
        <x:v>7</x:v>
      </x:c>
    </x:row>
    <x:row r="9" ht="23" customHeight="1">
      <x:c r="A9" s="11" t="str">
        <x:v>01093.HK</x:v>
      </x:c>
      <x:c r="B9" s="11" t="str">
        <x:v>2026年底</x:v>
      </x:c>
      <x:c r="C9" s="11" t="str">
        <x:v>SYS6010_DOM</x:v>
      </x:c>
      <x:c r="D9" s="11" t="str">
        <x:v>基准</x:v>
      </x:c>
      <x:c r="E9" s="16" t="n">
        <x:v>0.71</x:v>
      </x:c>
      <x:c r="F9" s="16" t="n">
        <x:v>0.2</x:v>
      </x:c>
      <x:c r="G9" s="16" t="n">
        <x:v>0.95</x:v>
      </x:c>
      <x:c r="H9" s="16" t="n">
        <x:v>0.13</x:v>
      </x:c>
      <x:c r="I9" s="16" t="n">
        <x:v>7</x:v>
      </x:c>
    </x:row>
    <x:row r="10" ht="23" customHeight="1">
      <x:c r="A10" s="11" t="str">
        <x:v>01093.HK</x:v>
      </x:c>
      <x:c r="B10" s="11" t="str">
        <x:v>2026年底</x:v>
      </x:c>
      <x:c r="C10" s="11" t="str">
        <x:v>SYS6010_DOM</x:v>
      </x:c>
      <x:c r="D10" s="11" t="str">
        <x:v>乐观</x:v>
      </x:c>
      <x:c r="E10" s="16" t="n">
        <x:v>0.88</x:v>
      </x:c>
      <x:c r="F10" s="16" t="n">
        <x:v>0.24</x:v>
      </x:c>
      <x:c r="G10" s="16" t="n">
        <x:v>0.97</x:v>
      </x:c>
      <x:c r="H10" s="16" t="n">
        <x:v>0.11</x:v>
      </x:c>
      <x:c r="I10" s="16" t="n">
        <x:v>7</x:v>
      </x:c>
    </x:row>
    <x:row r="11" ht="23" customHeight="1">
      <x:c r="A11" s="11" t="str">
        <x:v>01093.HK</x:v>
      </x:c>
      <x:c r="B11" s="11" t="str">
        <x:v>2026年底</x:v>
      </x:c>
      <x:c r="C11" s="11" t="str">
        <x:v>JMT101_DOM</x:v>
      </x:c>
      <x:c r="D11" s="11" t="str">
        <x:v>活动输入</x:v>
      </x:c>
      <x:c r="E11" s="11" t="n">
        <x:f>CHOOSE('假设'!$B$3,E12,E13,E14)</x:f>
        <x:v>0.65</x:v>
      </x:c>
      <x:c r="F11" s="11" t="n">
        <x:f>CHOOSE('假设'!$B$3,F12,F13,F14)</x:f>
        <x:v>0.18</x:v>
      </x:c>
      <x:c r="G11" s="11" t="n">
        <x:f>CHOOSE('假设'!$B$3,G12,G13,G14)</x:f>
        <x:v>0.9</x:v>
      </x:c>
      <x:c r="H11" s="11" t="n">
        <x:f>CHOOSE('假设'!$B$3,H12,H13,H14)</x:f>
        <x:v>0.13</x:v>
      </x:c>
      <x:c r="I11" s="11" t="n">
        <x:f>CHOOSE('假设'!$B$3,I12,I13,I14)</x:f>
        <x:v>7</x:v>
      </x:c>
    </x:row>
    <x:row r="12" ht="23" customHeight="1">
      <x:c r="A12" s="11" t="str">
        <x:v>01093.HK</x:v>
      </x:c>
      <x:c r="B12" s="11" t="str">
        <x:v>2026年底</x:v>
      </x:c>
      <x:c r="C12" s="11" t="str">
        <x:v>JMT101_DOM</x:v>
      </x:c>
      <x:c r="D12" s="11" t="str">
        <x:v>悲观</x:v>
      </x:c>
      <x:c r="E12" s="16" t="n">
        <x:v>0.35</x:v>
      </x:c>
      <x:c r="F12" s="16" t="n">
        <x:v>0.12</x:v>
      </x:c>
      <x:c r="G12" s="16" t="n">
        <x:v>0.85</x:v>
      </x:c>
      <x:c r="H12" s="11" t="n">
        <x:f>H8</x:f>
        <x:v>0.16</x:v>
      </x:c>
      <x:c r="I12" s="11" t="n">
        <x:f>I8</x:f>
        <x:v>7</x:v>
      </x:c>
    </x:row>
    <x:row r="13" ht="23" customHeight="1">
      <x:c r="A13" s="11" t="str">
        <x:v>01093.HK</x:v>
      </x:c>
      <x:c r="B13" s="11" t="str">
        <x:v>2026年底</x:v>
      </x:c>
      <x:c r="C13" s="11" t="str">
        <x:v>JMT101_DOM</x:v>
      </x:c>
      <x:c r="D13" s="11" t="str">
        <x:v>基准</x:v>
      </x:c>
      <x:c r="E13" s="16" t="n">
        <x:v>0.65</x:v>
      </x:c>
      <x:c r="F13" s="16" t="n">
        <x:v>0.18</x:v>
      </x:c>
      <x:c r="G13" s="16" t="n">
        <x:v>0.9</x:v>
      </x:c>
      <x:c r="H13" s="11" t="n">
        <x:f>H9</x:f>
        <x:v>0.13</x:v>
      </x:c>
      <x:c r="I13" s="11" t="n">
        <x:f>I9</x:f>
        <x:v>7</x:v>
      </x:c>
    </x:row>
    <x:row r="14" ht="23" customHeight="1">
      <x:c r="A14" s="11" t="str">
        <x:v>01093.HK</x:v>
      </x:c>
      <x:c r="B14" s="11" t="str">
        <x:v>2026年底</x:v>
      </x:c>
      <x:c r="C14" s="11" t="str">
        <x:v>JMT101_DOM</x:v>
      </x:c>
      <x:c r="D14" s="11" t="str">
        <x:v>乐观</x:v>
      </x:c>
      <x:c r="E14" s="16" t="n">
        <x:v>0.82</x:v>
      </x:c>
      <x:c r="F14" s="16" t="n">
        <x:v>0.22</x:v>
      </x:c>
      <x:c r="G14" s="16" t="n">
        <x:v>0.95</x:v>
      </x:c>
      <x:c r="H14" s="11" t="n">
        <x:f>H10</x:f>
        <x:v>0.11</x:v>
      </x:c>
      <x:c r="I14" s="11" t="n">
        <x:f>I10</x:f>
        <x:v>7</x:v>
      </x:c>
    </x:row>
    <x:row r="15" ht="23" customHeight="1">
      <x:c r="A15" s="11" t="str">
        <x:v>01093.HK</x:v>
      </x:c>
      <x:c r="B15" s="11" t="str">
        <x:v>2026年底</x:v>
      </x:c>
      <x:c r="C15" s="11" t="str">
        <x:v>KN026_HB_INCREMENT_DOM</x:v>
      </x:c>
      <x:c r="D15" s="11" t="str">
        <x:v>活动输入</x:v>
      </x:c>
      <x:c r="E15" s="11" t="n">
        <x:f>CHOOSE('假设'!$B$3,E16,E17,E18)</x:f>
        <x:v>0.7</x:v>
      </x:c>
      <x:c r="F15" s="11" t="n">
        <x:f>CHOOSE('假设'!$B$3,F16,F17,F18)</x:f>
        <x:v>0.16</x:v>
      </x:c>
      <x:c r="G15" s="11" t="n">
        <x:f>CHOOSE('假设'!$B$3,G16,G17,G18)</x:f>
        <x:v>0.9</x:v>
      </x:c>
      <x:c r="H15" s="11" t="n">
        <x:f>CHOOSE('假设'!$B$3,H16,H17,H18)</x:f>
        <x:v>0.13</x:v>
      </x:c>
      <x:c r="I15" s="11" t="n">
        <x:f>CHOOSE('假设'!$B$3,I16,I17,I18)</x:f>
        <x:v>7</x:v>
      </x:c>
    </x:row>
    <x:row r="16" ht="23" customHeight="1">
      <x:c r="A16" s="11" t="str">
        <x:v>01093.HK</x:v>
      </x:c>
      <x:c r="B16" s="11" t="str">
        <x:v>2026年底</x:v>
      </x:c>
      <x:c r="C16" s="11" t="str">
        <x:v>KN026_HB_INCREMENT_DOM</x:v>
      </x:c>
      <x:c r="D16" s="11" t="str">
        <x:v>悲观</x:v>
      </x:c>
      <x:c r="E16" s="16" t="n">
        <x:v>0.4</x:v>
      </x:c>
      <x:c r="F16" s="16" t="n">
        <x:v>0.1</x:v>
      </x:c>
      <x:c r="G16" s="16" t="n">
        <x:v>0.85</x:v>
      </x:c>
      <x:c r="H16" s="11" t="n">
        <x:f>H8</x:f>
        <x:v>0.16</x:v>
      </x:c>
      <x:c r="I16" s="11" t="n">
        <x:f>I8</x:f>
        <x:v>7</x:v>
      </x:c>
    </x:row>
    <x:row r="17" ht="23" customHeight="1">
      <x:c r="A17" s="11" t="str">
        <x:v>01093.HK</x:v>
      </x:c>
      <x:c r="B17" s="11" t="str">
        <x:v>2026年底</x:v>
      </x:c>
      <x:c r="C17" s="11" t="str">
        <x:v>KN026_HB_INCREMENT_DOM</x:v>
      </x:c>
      <x:c r="D17" s="11" t="str">
        <x:v>基准</x:v>
      </x:c>
      <x:c r="E17" s="16" t="n">
        <x:v>0.7</x:v>
      </x:c>
      <x:c r="F17" s="16" t="n">
        <x:v>0.16</x:v>
      </x:c>
      <x:c r="G17" s="16" t="n">
        <x:v>0.9</x:v>
      </x:c>
      <x:c r="H17" s="11" t="n">
        <x:f>H9</x:f>
        <x:v>0.13</x:v>
      </x:c>
      <x:c r="I17" s="11" t="n">
        <x:f>I9</x:f>
        <x:v>7</x:v>
      </x:c>
    </x:row>
    <x:row r="18" ht="23" customHeight="1">
      <x:c r="A18" s="11" t="str">
        <x:v>01093.HK</x:v>
      </x:c>
      <x:c r="B18" s="11" t="str">
        <x:v>2026年底</x:v>
      </x:c>
      <x:c r="C18" s="11" t="str">
        <x:v>KN026_HB_INCREMENT_DOM</x:v>
      </x:c>
      <x:c r="D18" s="11" t="str">
        <x:v>乐观</x:v>
      </x:c>
      <x:c r="E18" s="16" t="n">
        <x:v>0.88</x:v>
      </x:c>
      <x:c r="F18" s="16" t="n">
        <x:v>0.2</x:v>
      </x:c>
      <x:c r="G18" s="16" t="n">
        <x:v>0.95</x:v>
      </x:c>
      <x:c r="H18" s="11" t="n">
        <x:f>H10</x:f>
        <x:v>0.11</x:v>
      </x:c>
      <x:c r="I18" s="11" t="n">
        <x:f>I10</x:f>
        <x:v>7</x:v>
      </x:c>
    </x:row>
    <x:row r="19" ht="23" customHeight="1">
      <x:c r="A19" s="11" t="str">
        <x:v>01093.HK</x:v>
      </x:c>
      <x:c r="B19" s="11" t="str">
        <x:v>2026年底</x:v>
      </x:c>
      <x:c r="C19" s="11" t="str">
        <x:v>TG103_DOM</x:v>
      </x:c>
      <x:c r="D19" s="11" t="str">
        <x:v>活动输入</x:v>
      </x:c>
      <x:c r="E19" s="11" t="n">
        <x:f>CHOOSE('假设'!$B$3,E20,E21,E22)</x:f>
        <x:v>0.72</x:v>
      </x:c>
      <x:c r="F19" s="11" t="n">
        <x:f>CHOOSE('假设'!$B$3,F20,F21,F22)</x:f>
        <x:v>0.17</x:v>
      </x:c>
      <x:c r="G19" s="11" t="n">
        <x:f>CHOOSE('假设'!$B$3,G20,G21,G22)</x:f>
        <x:v>0.9</x:v>
      </x:c>
      <x:c r="H19" s="11" t="n">
        <x:f>CHOOSE('假设'!$B$3,H20,H21,H22)</x:f>
        <x:v>0.13</x:v>
      </x:c>
      <x:c r="I19" s="11" t="n">
        <x:f>CHOOSE('假设'!$B$3,I20,I21,I22)</x:f>
        <x:v>7</x:v>
      </x:c>
    </x:row>
    <x:row r="20" ht="23" customHeight="1">
      <x:c r="A20" s="11" t="str">
        <x:v>01093.HK</x:v>
      </x:c>
      <x:c r="B20" s="11" t="str">
        <x:v>2026年底</x:v>
      </x:c>
      <x:c r="C20" s="11" t="str">
        <x:v>TG103_DOM</x:v>
      </x:c>
      <x:c r="D20" s="11" t="str">
        <x:v>悲观</x:v>
      </x:c>
      <x:c r="E20" s="16" t="n">
        <x:v>0.45</x:v>
      </x:c>
      <x:c r="F20" s="16" t="n">
        <x:v>0.1</x:v>
      </x:c>
      <x:c r="G20" s="16" t="n">
        <x:v>0.85</x:v>
      </x:c>
      <x:c r="H20" s="11" t="n">
        <x:f>H8</x:f>
        <x:v>0.16</x:v>
      </x:c>
      <x:c r="I20" s="11" t="n">
        <x:f>I8</x:f>
        <x:v>7</x:v>
      </x:c>
    </x:row>
    <x:row r="21" ht="23" customHeight="1">
      <x:c r="A21" s="11" t="str">
        <x:v>01093.HK</x:v>
      </x:c>
      <x:c r="B21" s="11" t="str">
        <x:v>2026年底</x:v>
      </x:c>
      <x:c r="C21" s="11" t="str">
        <x:v>TG103_DOM</x:v>
      </x:c>
      <x:c r="D21" s="11" t="str">
        <x:v>基准</x:v>
      </x:c>
      <x:c r="E21" s="16" t="n">
        <x:v>0.72</x:v>
      </x:c>
      <x:c r="F21" s="16" t="n">
        <x:v>0.17</x:v>
      </x:c>
      <x:c r="G21" s="16" t="n">
        <x:v>0.9</x:v>
      </x:c>
      <x:c r="H21" s="11" t="n">
        <x:f>H9</x:f>
        <x:v>0.13</x:v>
      </x:c>
      <x:c r="I21" s="11" t="n">
        <x:f>I9</x:f>
        <x:v>7</x:v>
      </x:c>
    </x:row>
    <x:row r="22" ht="23" customHeight="1">
      <x:c r="A22" s="11" t="str">
        <x:v>01093.HK</x:v>
      </x:c>
      <x:c r="B22" s="11" t="str">
        <x:v>2026年底</x:v>
      </x:c>
      <x:c r="C22" s="11" t="str">
        <x:v>TG103_DOM</x:v>
      </x:c>
      <x:c r="D22" s="11" t="str">
        <x:v>乐观</x:v>
      </x:c>
      <x:c r="E22" s="16" t="n">
        <x:v>0.88</x:v>
      </x:c>
      <x:c r="F22" s="16" t="n">
        <x:v>0.21</x:v>
      </x:c>
      <x:c r="G22" s="16" t="n">
        <x:v>0.95</x:v>
      </x:c>
      <x:c r="H22" s="11" t="n">
        <x:f>H10</x:f>
        <x:v>0.11</x:v>
      </x:c>
      <x:c r="I22" s="11" t="n">
        <x:f>I10</x:f>
        <x:v>7</x:v>
      </x:c>
    </x:row>
    <x:row r="23" ht="23" customHeight="1">
      <x:c r="A23" s="11" t="str">
        <x:v>01093.HK</x:v>
      </x:c>
      <x:c r="B23" s="11" t="str">
        <x:v>2026年底</x:v>
      </x:c>
      <x:c r="C23" s="11" t="str">
        <x:v>AZ_OBESITY_EXCHINA</x:v>
      </x:c>
      <x:c r="D23" s="11" t="str">
        <x:v>活动输入</x:v>
      </x:c>
      <x:c r="E23" s="11" t="n">
        <x:f>CHOOSE('假设'!$B$3,E24,E25,E26)</x:f>
        <x:v>0.15</x:v>
      </x:c>
      <x:c r="F23" s="11" t="n">
        <x:f>CHOOSE('假设'!$B$3,F24,F25,F26)</x:f>
        <x:v>0.11699999999999999</x:v>
      </x:c>
      <x:c r="G23" s="11" t="n">
        <x:f>CHOOSE('假设'!$B$3,G24,G25,G26)</x:f>
        <x:v>0.9</x:v>
      </x:c>
      <x:c r="H23" s="11" t="n">
        <x:f>CHOOSE('假设'!$B$3,H24,H25,H26)</x:f>
        <x:v>0.13</x:v>
      </x:c>
      <x:c r="I23" s="11" t="n">
        <x:f>CHOOSE('假设'!$B$3,I24,I25,I26)</x:f>
        <x:v>7</x:v>
      </x:c>
    </x:row>
    <x:row r="24" ht="23" customHeight="1">
      <x:c r="A24" s="11" t="str">
        <x:v>01093.HK</x:v>
      </x:c>
      <x:c r="B24" s="11" t="str">
        <x:v>2026年底</x:v>
      </x:c>
      <x:c r="C24" s="11" t="str">
        <x:v>AZ_OBESITY_EXCHINA</x:v>
      </x:c>
      <x:c r="D24" s="11" t="str">
        <x:v>悲观</x:v>
      </x:c>
      <x:c r="E24" s="16" t="n">
        <x:v>0.05</x:v>
      </x:c>
      <x:c r="F24" s="16" t="n">
        <x:v>0.09</x:v>
      </x:c>
      <x:c r="G24" s="16" t="n">
        <x:v>0.85</x:v>
      </x:c>
      <x:c r="H24" s="11" t="n">
        <x:f>H8</x:f>
        <x:v>0.16</x:v>
      </x:c>
      <x:c r="I24" s="11" t="n">
        <x:f>I8</x:f>
        <x:v>7</x:v>
      </x:c>
    </x:row>
    <x:row r="25" ht="23" customHeight="1">
      <x:c r="A25" s="11" t="str">
        <x:v>01093.HK</x:v>
      </x:c>
      <x:c r="B25" s="11" t="str">
        <x:v>2026年底</x:v>
      </x:c>
      <x:c r="C25" s="11" t="str">
        <x:v>AZ_OBESITY_EXCHINA</x:v>
      </x:c>
      <x:c r="D25" s="11" t="str">
        <x:v>基准</x:v>
      </x:c>
      <x:c r="E25" s="16" t="n">
        <x:v>0.15</x:v>
      </x:c>
      <x:c r="F25" s="16" t="n">
        <x:v>0.11699999999999999</x:v>
      </x:c>
      <x:c r="G25" s="16" t="n">
        <x:v>0.9</x:v>
      </x:c>
      <x:c r="H25" s="11" t="n">
        <x:f>H9</x:f>
        <x:v>0.13</x:v>
      </x:c>
      <x:c r="I25" s="11" t="n">
        <x:f>I9</x:f>
        <x:v>7</x:v>
      </x:c>
    </x:row>
    <x:row r="26" ht="23" customHeight="1">
      <x:c r="A26" s="11" t="str">
        <x:v>01093.HK</x:v>
      </x:c>
      <x:c r="B26" s="11" t="str">
        <x:v>2026年底</x:v>
      </x:c>
      <x:c r="C26" s="11" t="str">
        <x:v>AZ_OBESITY_EXCHINA</x:v>
      </x:c>
      <x:c r="D26" s="11" t="str">
        <x:v>乐观</x:v>
      </x:c>
      <x:c r="E26" s="16" t="n">
        <x:v>0.35</x:v>
      </x:c>
      <x:c r="F26" s="16" t="n">
        <x:v>0.144</x:v>
      </x:c>
      <x:c r="G26" s="16" t="n">
        <x:v>0.95</x:v>
      </x:c>
      <x:c r="H26" s="11" t="n">
        <x:f>H10</x:f>
        <x:v>0.11</x:v>
      </x:c>
      <x:c r="I26" s="11" t="n">
        <x:f>I10</x:f>
        <x:v>7</x:v>
      </x:c>
    </x:row>
    <x:row r="27" ht="23" customHeight="1">
      <x:c r="A27" s="11" t="str">
        <x:v>01093.HK</x:v>
      </x:c>
      <x:c r="B27" s="11" t="str">
        <x:v>2026年底</x:v>
      </x:c>
      <x:c r="C27" s="11" t="str">
        <x:v>OTHER_OVERSEAS</x:v>
      </x:c>
      <x:c r="D27" s="11" t="str">
        <x:v>活动输入</x:v>
      </x:c>
      <x:c r="E27" s="11" t="n">
        <x:f>CHOOSE('假设'!$B$3,E28,E29,E30)</x:f>
        <x:v>0.12</x:v>
      </x:c>
      <x:c r="F27" s="11" t="n">
        <x:f>CHOOSE('假设'!$B$3,F28,F29,F30)</x:f>
        <x:v>0.062400000000000004</x:v>
      </x:c>
      <x:c r="G27" s="11" t="n">
        <x:f>CHOOSE('假设'!$B$3,G28,G29,G30)</x:f>
        <x:v>0.9</x:v>
      </x:c>
      <x:c r="H27" s="11" t="n">
        <x:f>CHOOSE('假设'!$B$3,H28,H29,H30)</x:f>
        <x:v>0.13</x:v>
      </x:c>
      <x:c r="I27" s="11" t="n">
        <x:f>CHOOSE('假设'!$B$3,I28,I29,I30)</x:f>
        <x:v>7</x:v>
      </x:c>
    </x:row>
    <x:row r="28" ht="23" customHeight="1">
      <x:c r="A28" s="11" t="str">
        <x:v>01093.HK</x:v>
      </x:c>
      <x:c r="B28" s="11" t="str">
        <x:v>2026年底</x:v>
      </x:c>
      <x:c r="C28" s="11" t="str">
        <x:v>OTHER_OVERSEAS</x:v>
      </x:c>
      <x:c r="D28" s="11" t="str">
        <x:v>悲观</x:v>
      </x:c>
      <x:c r="E28" s="16" t="n">
        <x:v>0.04</x:v>
      </x:c>
      <x:c r="F28" s="16" t="n">
        <x:v>0.045</x:v>
      </x:c>
      <x:c r="G28" s="16" t="n">
        <x:v>0.85</x:v>
      </x:c>
      <x:c r="H28" s="11" t="n">
        <x:f>H8</x:f>
        <x:v>0.16</x:v>
      </x:c>
      <x:c r="I28" s="11" t="n">
        <x:f>I8</x:f>
        <x:v>7</x:v>
      </x:c>
    </x:row>
    <x:row r="29" ht="23" customHeight="1">
      <x:c r="A29" s="11" t="str">
        <x:v>01093.HK</x:v>
      </x:c>
      <x:c r="B29" s="11" t="str">
        <x:v>2026年底</x:v>
      </x:c>
      <x:c r="C29" s="11" t="str">
        <x:v>OTHER_OVERSEAS</x:v>
      </x:c>
      <x:c r="D29" s="11" t="str">
        <x:v>基准</x:v>
      </x:c>
      <x:c r="E29" s="16" t="n">
        <x:v>0.12</x:v>
      </x:c>
      <x:c r="F29" s="16" t="n">
        <x:v>0.062400000000000004</x:v>
      </x:c>
      <x:c r="G29" s="16" t="n">
        <x:v>0.9</x:v>
      </x:c>
      <x:c r="H29" s="11" t="n">
        <x:f>H9</x:f>
        <x:v>0.13</x:v>
      </x:c>
      <x:c r="I29" s="11" t="n">
        <x:f>I9</x:f>
        <x:v>7</x:v>
      </x:c>
    </x:row>
    <x:row r="30" ht="23" customHeight="1">
      <x:c r="A30" s="11" t="str">
        <x:v>01093.HK</x:v>
      </x:c>
      <x:c r="B30" s="11" t="str">
        <x:v>2026年底</x:v>
      </x:c>
      <x:c r="C30" s="11" t="str">
        <x:v>OTHER_OVERSEAS</x:v>
      </x:c>
      <x:c r="D30" s="11" t="str">
        <x:v>乐观</x:v>
      </x:c>
      <x:c r="E30" s="16" t="n">
        <x:v>0.28</x:v>
      </x:c>
      <x:c r="F30" s="16" t="n">
        <x:v>0.08000000000000002</x:v>
      </x:c>
      <x:c r="G30" s="16" t="n">
        <x:v>0.95</x:v>
      </x:c>
      <x:c r="H30" s="11" t="n">
        <x:f>H10</x:f>
        <x:v>0.11</x:v>
      </x:c>
      <x:c r="I30" s="11" t="n">
        <x:f>I10</x:f>
        <x:v>7</x:v>
      </x:c>
    </x:row>
    <x:row r="31" ht="23" customHeight="1">
      <x:c r="A31" s="11" t="str">
        <x:v>01093.HK</x:v>
      </x:c>
      <x:c r="B31" s="11" t="str">
        <x:v>半年</x:v>
      </x:c>
      <x:c r="C31" s="11" t="str">
        <x:v>SYS6010_DOM</x:v>
      </x:c>
      <x:c r="D31" s="11" t="str">
        <x:v>活动输入</x:v>
      </x:c>
      <x:c r="E31" s="11" t="n">
        <x:f>CHOOSE('假设'!$B$3,E32,E33,E34)</x:f>
        <x:v>0.7</x:v>
      </x:c>
      <x:c r="F31" s="11" t="n">
        <x:f>CHOOSE('假设'!$B$3,F32,F33,F34)</x:f>
        <x:v>0.2</x:v>
      </x:c>
      <x:c r="G31" s="11" t="n">
        <x:f>CHOOSE('假设'!$B$3,G32,G33,G34)</x:f>
        <x:v>0.95</x:v>
      </x:c>
      <x:c r="H31" s="11" t="n">
        <x:f>CHOOSE('假设'!$B$3,H32,H33,H34)</x:f>
        <x:v>0.13</x:v>
      </x:c>
      <x:c r="I31" s="11" t="n">
        <x:f>CHOOSE('假设'!$B$3,I32,I33,I34)</x:f>
        <x:v>7</x:v>
      </x:c>
    </x:row>
    <x:row r="32" ht="23" customHeight="1">
      <x:c r="A32" s="11" t="str">
        <x:v>01093.HK</x:v>
      </x:c>
      <x:c r="B32" s="11" t="str">
        <x:v>半年</x:v>
      </x:c>
      <x:c r="C32" s="11" t="str">
        <x:v>SYS6010_DOM</x:v>
      </x:c>
      <x:c r="D32" s="11" t="str">
        <x:v>悲观</x:v>
      </x:c>
      <x:c r="E32" s="16" t="n">
        <x:v>0.4</x:v>
      </x:c>
      <x:c r="F32" s="16" t="n">
        <x:v>0.14</x:v>
      </x:c>
      <x:c r="G32" s="16" t="n">
        <x:v>0.9</x:v>
      </x:c>
      <x:c r="H32" s="16" t="n">
        <x:v>0.16</x:v>
      </x:c>
      <x:c r="I32" s="16" t="n">
        <x:v>7</x:v>
      </x:c>
    </x:row>
    <x:row r="33" ht="23" customHeight="1">
      <x:c r="A33" s="11" t="str">
        <x:v>01093.HK</x:v>
      </x:c>
      <x:c r="B33" s="11" t="str">
        <x:v>半年</x:v>
      </x:c>
      <x:c r="C33" s="11" t="str">
        <x:v>SYS6010_DOM</x:v>
      </x:c>
      <x:c r="D33" s="11" t="str">
        <x:v>基准</x:v>
      </x:c>
      <x:c r="E33" s="16" t="n">
        <x:v>0.7</x:v>
      </x:c>
      <x:c r="F33" s="16" t="n">
        <x:v>0.2</x:v>
      </x:c>
      <x:c r="G33" s="16" t="n">
        <x:v>0.95</x:v>
      </x:c>
      <x:c r="H33" s="16" t="n">
        <x:v>0.13</x:v>
      </x:c>
      <x:c r="I33" s="16" t="n">
        <x:v>7</x:v>
      </x:c>
    </x:row>
    <x:row r="34" ht="23" customHeight="1">
      <x:c r="A34" s="11" t="str">
        <x:v>01093.HK</x:v>
      </x:c>
      <x:c r="B34" s="11" t="str">
        <x:v>半年</x:v>
      </x:c>
      <x:c r="C34" s="11" t="str">
        <x:v>SYS6010_DOM</x:v>
      </x:c>
      <x:c r="D34" s="11" t="str">
        <x:v>乐观</x:v>
      </x:c>
      <x:c r="E34" s="16" t="n">
        <x:v>0.88</x:v>
      </x:c>
      <x:c r="F34" s="16" t="n">
        <x:v>0.24</x:v>
      </x:c>
      <x:c r="G34" s="16" t="n">
        <x:v>0.97</x:v>
      </x:c>
      <x:c r="H34" s="16" t="n">
        <x:v>0.11</x:v>
      </x:c>
      <x:c r="I34" s="16" t="n">
        <x:v>7</x:v>
      </x:c>
    </x:row>
    <x:row r="35" ht="23" customHeight="1">
      <x:c r="A35" s="11" t="str">
        <x:v>01093.HK</x:v>
      </x:c>
      <x:c r="B35" s="11" t="str">
        <x:v>半年</x:v>
      </x:c>
      <x:c r="C35" s="11" t="str">
        <x:v>JMT101_DOM</x:v>
      </x:c>
      <x:c r="D35" s="11" t="str">
        <x:v>活动输入</x:v>
      </x:c>
      <x:c r="E35" s="11" t="n">
        <x:f>CHOOSE('假设'!$B$3,E36,E37,E38)</x:f>
        <x:v>0.65</x:v>
      </x:c>
      <x:c r="F35" s="11" t="n">
        <x:f>CHOOSE('假设'!$B$3,F36,F37,F38)</x:f>
        <x:v>0.18</x:v>
      </x:c>
      <x:c r="G35" s="11" t="n">
        <x:f>CHOOSE('假设'!$B$3,G36,G37,G38)</x:f>
        <x:v>0.9</x:v>
      </x:c>
      <x:c r="H35" s="11" t="n">
        <x:f>CHOOSE('假设'!$B$3,H36,H37,H38)</x:f>
        <x:v>0.13</x:v>
      </x:c>
      <x:c r="I35" s="11" t="n">
        <x:f>CHOOSE('假设'!$B$3,I36,I37,I38)</x:f>
        <x:v>7</x:v>
      </x:c>
    </x:row>
    <x:row r="36" ht="23" customHeight="1">
      <x:c r="A36" s="11" t="str">
        <x:v>01093.HK</x:v>
      </x:c>
      <x:c r="B36" s="11" t="str">
        <x:v>半年</x:v>
      </x:c>
      <x:c r="C36" s="11" t="str">
        <x:v>JMT101_DOM</x:v>
      </x:c>
      <x:c r="D36" s="11" t="str">
        <x:v>悲观</x:v>
      </x:c>
      <x:c r="E36" s="16" t="n">
        <x:v>0.35</x:v>
      </x:c>
      <x:c r="F36" s="16" t="n">
        <x:v>0.12</x:v>
      </x:c>
      <x:c r="G36" s="16" t="n">
        <x:v>0.85</x:v>
      </x:c>
      <x:c r="H36" s="11" t="n">
        <x:f>H32</x:f>
        <x:v>0.16</x:v>
      </x:c>
      <x:c r="I36" s="11" t="n">
        <x:f>I32</x:f>
        <x:v>7</x:v>
      </x:c>
    </x:row>
    <x:row r="37" ht="23" customHeight="1">
      <x:c r="A37" s="11" t="str">
        <x:v>01093.HK</x:v>
      </x:c>
      <x:c r="B37" s="11" t="str">
        <x:v>半年</x:v>
      </x:c>
      <x:c r="C37" s="11" t="str">
        <x:v>JMT101_DOM</x:v>
      </x:c>
      <x:c r="D37" s="11" t="str">
        <x:v>基准</x:v>
      </x:c>
      <x:c r="E37" s="16" t="n">
        <x:v>0.65</x:v>
      </x:c>
      <x:c r="F37" s="16" t="n">
        <x:v>0.18</x:v>
      </x:c>
      <x:c r="G37" s="16" t="n">
        <x:v>0.9</x:v>
      </x:c>
      <x:c r="H37" s="11" t="n">
        <x:f>H33</x:f>
        <x:v>0.13</x:v>
      </x:c>
      <x:c r="I37" s="11" t="n">
        <x:f>I33</x:f>
        <x:v>7</x:v>
      </x:c>
    </x:row>
    <x:row r="38" ht="23" customHeight="1">
      <x:c r="A38" s="11" t="str">
        <x:v>01093.HK</x:v>
      </x:c>
      <x:c r="B38" s="11" t="str">
        <x:v>半年</x:v>
      </x:c>
      <x:c r="C38" s="11" t="str">
        <x:v>JMT101_DOM</x:v>
      </x:c>
      <x:c r="D38" s="11" t="str">
        <x:v>乐观</x:v>
      </x:c>
      <x:c r="E38" s="16" t="n">
        <x:v>0.82</x:v>
      </x:c>
      <x:c r="F38" s="16" t="n">
        <x:v>0.22</x:v>
      </x:c>
      <x:c r="G38" s="16" t="n">
        <x:v>0.95</x:v>
      </x:c>
      <x:c r="H38" s="11" t="n">
        <x:f>H34</x:f>
        <x:v>0.11</x:v>
      </x:c>
      <x:c r="I38" s="11" t="n">
        <x:f>I34</x:f>
        <x:v>7</x:v>
      </x:c>
    </x:row>
    <x:row r="39" ht="23" customHeight="1">
      <x:c r="A39" s="11" t="str">
        <x:v>01093.HK</x:v>
      </x:c>
      <x:c r="B39" s="11" t="str">
        <x:v>半年</x:v>
      </x:c>
      <x:c r="C39" s="11" t="str">
        <x:v>KN026_HB_INCREMENT_DOM</x:v>
      </x:c>
      <x:c r="D39" s="11" t="str">
        <x:v>活动输入</x:v>
      </x:c>
      <x:c r="E39" s="11" t="n">
        <x:f>CHOOSE('假设'!$B$3,E40,E41,E42)</x:f>
        <x:v>0.7</x:v>
      </x:c>
      <x:c r="F39" s="11" t="n">
        <x:f>CHOOSE('假设'!$B$3,F40,F41,F42)</x:f>
        <x:v>0.16</x:v>
      </x:c>
      <x:c r="G39" s="11" t="n">
        <x:f>CHOOSE('假设'!$B$3,G40,G41,G42)</x:f>
        <x:v>0.9</x:v>
      </x:c>
      <x:c r="H39" s="11" t="n">
        <x:f>CHOOSE('假设'!$B$3,H40,H41,H42)</x:f>
        <x:v>0.13</x:v>
      </x:c>
      <x:c r="I39" s="11" t="n">
        <x:f>CHOOSE('假设'!$B$3,I40,I41,I42)</x:f>
        <x:v>7</x:v>
      </x:c>
    </x:row>
    <x:row r="40" ht="23" customHeight="1">
      <x:c r="A40" s="11" t="str">
        <x:v>01093.HK</x:v>
      </x:c>
      <x:c r="B40" s="11" t="str">
        <x:v>半年</x:v>
      </x:c>
      <x:c r="C40" s="11" t="str">
        <x:v>KN026_HB_INCREMENT_DOM</x:v>
      </x:c>
      <x:c r="D40" s="11" t="str">
        <x:v>悲观</x:v>
      </x:c>
      <x:c r="E40" s="16" t="n">
        <x:v>0.4</x:v>
      </x:c>
      <x:c r="F40" s="16" t="n">
        <x:v>0.1</x:v>
      </x:c>
      <x:c r="G40" s="16" t="n">
        <x:v>0.85</x:v>
      </x:c>
      <x:c r="H40" s="11" t="n">
        <x:f>H32</x:f>
        <x:v>0.16</x:v>
      </x:c>
      <x:c r="I40" s="11" t="n">
        <x:f>I32</x:f>
        <x:v>7</x:v>
      </x:c>
    </x:row>
    <x:row r="41" ht="23" customHeight="1">
      <x:c r="A41" s="11" t="str">
        <x:v>01093.HK</x:v>
      </x:c>
      <x:c r="B41" s="11" t="str">
        <x:v>半年</x:v>
      </x:c>
      <x:c r="C41" s="11" t="str">
        <x:v>KN026_HB_INCREMENT_DOM</x:v>
      </x:c>
      <x:c r="D41" s="11" t="str">
        <x:v>基准</x:v>
      </x:c>
      <x:c r="E41" s="16" t="n">
        <x:v>0.7</x:v>
      </x:c>
      <x:c r="F41" s="16" t="n">
        <x:v>0.16</x:v>
      </x:c>
      <x:c r="G41" s="16" t="n">
        <x:v>0.9</x:v>
      </x:c>
      <x:c r="H41" s="11" t="n">
        <x:f>H33</x:f>
        <x:v>0.13</x:v>
      </x:c>
      <x:c r="I41" s="11" t="n">
        <x:f>I33</x:f>
        <x:v>7</x:v>
      </x:c>
    </x:row>
    <x:row r="42" ht="23" customHeight="1">
      <x:c r="A42" s="11" t="str">
        <x:v>01093.HK</x:v>
      </x:c>
      <x:c r="B42" s="11" t="str">
        <x:v>半年</x:v>
      </x:c>
      <x:c r="C42" s="11" t="str">
        <x:v>KN026_HB_INCREMENT_DOM</x:v>
      </x:c>
      <x:c r="D42" s="11" t="str">
        <x:v>乐观</x:v>
      </x:c>
      <x:c r="E42" s="16" t="n">
        <x:v>0.88</x:v>
      </x:c>
      <x:c r="F42" s="16" t="n">
        <x:v>0.2</x:v>
      </x:c>
      <x:c r="G42" s="16" t="n">
        <x:v>0.95</x:v>
      </x:c>
      <x:c r="H42" s="11" t="n">
        <x:f>H34</x:f>
        <x:v>0.11</x:v>
      </x:c>
      <x:c r="I42" s="11" t="n">
        <x:f>I34</x:f>
        <x:v>7</x:v>
      </x:c>
    </x:row>
    <x:row r="43" ht="23" customHeight="1">
      <x:c r="A43" s="11" t="str">
        <x:v>01093.HK</x:v>
      </x:c>
      <x:c r="B43" s="11" t="str">
        <x:v>半年</x:v>
      </x:c>
      <x:c r="C43" s="11" t="str">
        <x:v>TG103_DOM</x:v>
      </x:c>
      <x:c r="D43" s="11" t="str">
        <x:v>活动输入</x:v>
      </x:c>
      <x:c r="E43" s="11" t="n">
        <x:f>CHOOSE('假设'!$B$3,E44,E45,E46)</x:f>
        <x:v>0.72</x:v>
      </x:c>
      <x:c r="F43" s="11" t="n">
        <x:f>CHOOSE('假设'!$B$3,F44,F45,F46)</x:f>
        <x:v>0.17</x:v>
      </x:c>
      <x:c r="G43" s="11" t="n">
        <x:f>CHOOSE('假设'!$B$3,G44,G45,G46)</x:f>
        <x:v>0.9</x:v>
      </x:c>
      <x:c r="H43" s="11" t="n">
        <x:f>CHOOSE('假设'!$B$3,H44,H45,H46)</x:f>
        <x:v>0.13</x:v>
      </x:c>
      <x:c r="I43" s="11" t="n">
        <x:f>CHOOSE('假设'!$B$3,I44,I45,I46)</x:f>
        <x:v>7</x:v>
      </x:c>
    </x:row>
    <x:row r="44" ht="23" customHeight="1">
      <x:c r="A44" s="11" t="str">
        <x:v>01093.HK</x:v>
      </x:c>
      <x:c r="B44" s="11" t="str">
        <x:v>半年</x:v>
      </x:c>
      <x:c r="C44" s="11" t="str">
        <x:v>TG103_DOM</x:v>
      </x:c>
      <x:c r="D44" s="11" t="str">
        <x:v>悲观</x:v>
      </x:c>
      <x:c r="E44" s="16" t="n">
        <x:v>0.45</x:v>
      </x:c>
      <x:c r="F44" s="16" t="n">
        <x:v>0.1</x:v>
      </x:c>
      <x:c r="G44" s="16" t="n">
        <x:v>0.85</x:v>
      </x:c>
      <x:c r="H44" s="11" t="n">
        <x:f>H32</x:f>
        <x:v>0.16</x:v>
      </x:c>
      <x:c r="I44" s="11" t="n">
        <x:f>I32</x:f>
        <x:v>7</x:v>
      </x:c>
    </x:row>
    <x:row r="45" ht="23" customHeight="1">
      <x:c r="A45" s="11" t="str">
        <x:v>01093.HK</x:v>
      </x:c>
      <x:c r="B45" s="11" t="str">
        <x:v>半年</x:v>
      </x:c>
      <x:c r="C45" s="11" t="str">
        <x:v>TG103_DOM</x:v>
      </x:c>
      <x:c r="D45" s="11" t="str">
        <x:v>基准</x:v>
      </x:c>
      <x:c r="E45" s="16" t="n">
        <x:v>0.72</x:v>
      </x:c>
      <x:c r="F45" s="16" t="n">
        <x:v>0.17</x:v>
      </x:c>
      <x:c r="G45" s="16" t="n">
        <x:v>0.9</x:v>
      </x:c>
      <x:c r="H45" s="11" t="n">
        <x:f>H33</x:f>
        <x:v>0.13</x:v>
      </x:c>
      <x:c r="I45" s="11" t="n">
        <x:f>I33</x:f>
        <x:v>7</x:v>
      </x:c>
    </x:row>
    <x:row r="46" ht="23" customHeight="1">
      <x:c r="A46" s="11" t="str">
        <x:v>01093.HK</x:v>
      </x:c>
      <x:c r="B46" s="11" t="str">
        <x:v>半年</x:v>
      </x:c>
      <x:c r="C46" s="11" t="str">
        <x:v>TG103_DOM</x:v>
      </x:c>
      <x:c r="D46" s="11" t="str">
        <x:v>乐观</x:v>
      </x:c>
      <x:c r="E46" s="16" t="n">
        <x:v>0.88</x:v>
      </x:c>
      <x:c r="F46" s="16" t="n">
        <x:v>0.21</x:v>
      </x:c>
      <x:c r="G46" s="16" t="n">
        <x:v>0.95</x:v>
      </x:c>
      <x:c r="H46" s="11" t="n">
        <x:f>H34</x:f>
        <x:v>0.11</x:v>
      </x:c>
      <x:c r="I46" s="11" t="n">
        <x:f>I34</x:f>
        <x:v>7</x:v>
      </x:c>
    </x:row>
    <x:row r="47" ht="23" customHeight="1">
      <x:c r="A47" s="11" t="str">
        <x:v>01093.HK</x:v>
      </x:c>
      <x:c r="B47" s="11" t="str">
        <x:v>半年</x:v>
      </x:c>
      <x:c r="C47" s="11" t="str">
        <x:v>AZ_OBESITY_EXCHINA</x:v>
      </x:c>
      <x:c r="D47" s="11" t="str">
        <x:v>活动输入</x:v>
      </x:c>
      <x:c r="E47" s="11" t="n">
        <x:f>CHOOSE('假设'!$B$3,E48,E49,E50)</x:f>
        <x:v>0.15</x:v>
      </x:c>
      <x:c r="F47" s="11" t="n">
        <x:f>CHOOSE('假设'!$B$3,F48,F49,F50)</x:f>
        <x:v>0.11699999999999999</x:v>
      </x:c>
      <x:c r="G47" s="11" t="n">
        <x:f>CHOOSE('假设'!$B$3,G48,G49,G50)</x:f>
        <x:v>0.9</x:v>
      </x:c>
      <x:c r="H47" s="11" t="n">
        <x:f>CHOOSE('假设'!$B$3,H48,H49,H50)</x:f>
        <x:v>0.13</x:v>
      </x:c>
      <x:c r="I47" s="11" t="n">
        <x:f>CHOOSE('假设'!$B$3,I48,I49,I50)</x:f>
        <x:v>7</x:v>
      </x:c>
    </x:row>
    <x:row r="48" ht="23" customHeight="1">
      <x:c r="A48" s="11" t="str">
        <x:v>01093.HK</x:v>
      </x:c>
      <x:c r="B48" s="11" t="str">
        <x:v>半年</x:v>
      </x:c>
      <x:c r="C48" s="11" t="str">
        <x:v>AZ_OBESITY_EXCHINA</x:v>
      </x:c>
      <x:c r="D48" s="11" t="str">
        <x:v>悲观</x:v>
      </x:c>
      <x:c r="E48" s="16" t="n">
        <x:v>0.05</x:v>
      </x:c>
      <x:c r="F48" s="16" t="n">
        <x:v>0.09</x:v>
      </x:c>
      <x:c r="G48" s="16" t="n">
        <x:v>0.85</x:v>
      </x:c>
      <x:c r="H48" s="11" t="n">
        <x:f>H32</x:f>
        <x:v>0.16</x:v>
      </x:c>
      <x:c r="I48" s="11" t="n">
        <x:f>I32</x:f>
        <x:v>7</x:v>
      </x:c>
    </x:row>
    <x:row r="49" ht="23" customHeight="1">
      <x:c r="A49" s="11" t="str">
        <x:v>01093.HK</x:v>
      </x:c>
      <x:c r="B49" s="11" t="str">
        <x:v>半年</x:v>
      </x:c>
      <x:c r="C49" s="11" t="str">
        <x:v>AZ_OBESITY_EXCHINA</x:v>
      </x:c>
      <x:c r="D49" s="11" t="str">
        <x:v>基准</x:v>
      </x:c>
      <x:c r="E49" s="16" t="n">
        <x:v>0.15</x:v>
      </x:c>
      <x:c r="F49" s="16" t="n">
        <x:v>0.11699999999999999</x:v>
      </x:c>
      <x:c r="G49" s="16" t="n">
        <x:v>0.9</x:v>
      </x:c>
      <x:c r="H49" s="11" t="n">
        <x:f>H33</x:f>
        <x:v>0.13</x:v>
      </x:c>
      <x:c r="I49" s="11" t="n">
        <x:f>I33</x:f>
        <x:v>7</x:v>
      </x:c>
    </x:row>
    <x:row r="50" ht="23" customHeight="1">
      <x:c r="A50" s="11" t="str">
        <x:v>01093.HK</x:v>
      </x:c>
      <x:c r="B50" s="11" t="str">
        <x:v>半年</x:v>
      </x:c>
      <x:c r="C50" s="11" t="str">
        <x:v>AZ_OBESITY_EXCHINA</x:v>
      </x:c>
      <x:c r="D50" s="11" t="str">
        <x:v>乐观</x:v>
      </x:c>
      <x:c r="E50" s="16" t="n">
        <x:v>0.35</x:v>
      </x:c>
      <x:c r="F50" s="16" t="n">
        <x:v>0.144</x:v>
      </x:c>
      <x:c r="G50" s="16" t="n">
        <x:v>0.95</x:v>
      </x:c>
      <x:c r="H50" s="11" t="n">
        <x:f>H34</x:f>
        <x:v>0.11</x:v>
      </x:c>
      <x:c r="I50" s="11" t="n">
        <x:f>I34</x:f>
        <x:v>7</x:v>
      </x:c>
    </x:row>
    <x:row r="51" ht="23" customHeight="1">
      <x:c r="A51" s="11" t="str">
        <x:v>01093.HK</x:v>
      </x:c>
      <x:c r="B51" s="11" t="str">
        <x:v>半年</x:v>
      </x:c>
      <x:c r="C51" s="11" t="str">
        <x:v>OTHER_OVERSEAS</x:v>
      </x:c>
      <x:c r="D51" s="11" t="str">
        <x:v>活动输入</x:v>
      </x:c>
      <x:c r="E51" s="11" t="n">
        <x:f>CHOOSE('假设'!$B$3,E52,E53,E54)</x:f>
        <x:v>0.12</x:v>
      </x:c>
      <x:c r="F51" s="11" t="n">
        <x:f>CHOOSE('假设'!$B$3,F52,F53,F54)</x:f>
        <x:v>0.062400000000000004</x:v>
      </x:c>
      <x:c r="G51" s="11" t="n">
        <x:f>CHOOSE('假设'!$B$3,G52,G53,G54)</x:f>
        <x:v>0.9</x:v>
      </x:c>
      <x:c r="H51" s="11" t="n">
        <x:f>CHOOSE('假设'!$B$3,H52,H53,H54)</x:f>
        <x:v>0.13</x:v>
      </x:c>
      <x:c r="I51" s="11" t="n">
        <x:f>CHOOSE('假设'!$B$3,I52,I53,I54)</x:f>
        <x:v>7</x:v>
      </x:c>
    </x:row>
    <x:row r="52" ht="23" customHeight="1">
      <x:c r="A52" s="11" t="str">
        <x:v>01093.HK</x:v>
      </x:c>
      <x:c r="B52" s="11" t="str">
        <x:v>半年</x:v>
      </x:c>
      <x:c r="C52" s="11" t="str">
        <x:v>OTHER_OVERSEAS</x:v>
      </x:c>
      <x:c r="D52" s="11" t="str">
        <x:v>悲观</x:v>
      </x:c>
      <x:c r="E52" s="16" t="n">
        <x:v>0.04</x:v>
      </x:c>
      <x:c r="F52" s="16" t="n">
        <x:v>0.045</x:v>
      </x:c>
      <x:c r="G52" s="16" t="n">
        <x:v>0.85</x:v>
      </x:c>
      <x:c r="H52" s="11" t="n">
        <x:f>H32</x:f>
        <x:v>0.16</x:v>
      </x:c>
      <x:c r="I52" s="11" t="n">
        <x:f>I32</x:f>
        <x:v>7</x:v>
      </x:c>
    </x:row>
    <x:row r="53" ht="23" customHeight="1">
      <x:c r="A53" s="11" t="str">
        <x:v>01093.HK</x:v>
      </x:c>
      <x:c r="B53" s="11" t="str">
        <x:v>半年</x:v>
      </x:c>
      <x:c r="C53" s="11" t="str">
        <x:v>OTHER_OVERSEAS</x:v>
      </x:c>
      <x:c r="D53" s="11" t="str">
        <x:v>基准</x:v>
      </x:c>
      <x:c r="E53" s="16" t="n">
        <x:v>0.12</x:v>
      </x:c>
      <x:c r="F53" s="16" t="n">
        <x:v>0.062400000000000004</x:v>
      </x:c>
      <x:c r="G53" s="16" t="n">
        <x:v>0.9</x:v>
      </x:c>
      <x:c r="H53" s="11" t="n">
        <x:f>H33</x:f>
        <x:v>0.13</x:v>
      </x:c>
      <x:c r="I53" s="11" t="n">
        <x:f>I33</x:f>
        <x:v>7</x:v>
      </x:c>
    </x:row>
    <x:row r="54" ht="23" customHeight="1">
      <x:c r="A54" s="11" t="str">
        <x:v>01093.HK</x:v>
      </x:c>
      <x:c r="B54" s="11" t="str">
        <x:v>半年</x:v>
      </x:c>
      <x:c r="C54" s="11" t="str">
        <x:v>OTHER_OVERSEAS</x:v>
      </x:c>
      <x:c r="D54" s="11" t="str">
        <x:v>乐观</x:v>
      </x:c>
      <x:c r="E54" s="16" t="n">
        <x:v>0.28</x:v>
      </x:c>
      <x:c r="F54" s="16" t="n">
        <x:v>0.08000000000000002</x:v>
      </x:c>
      <x:c r="G54" s="16" t="n">
        <x:v>0.95</x:v>
      </x:c>
      <x:c r="H54" s="11" t="n">
        <x:f>H34</x:f>
        <x:v>0.11</x:v>
      </x:c>
      <x:c r="I54" s="11" t="n">
        <x:f>I34</x:f>
        <x:v>7</x:v>
      </x:c>
    </x:row>
    <x:row r="55" ht="23" customHeight="1">
      <x:c r="A55" s="11" t="str">
        <x:v>01093.HK</x:v>
      </x:c>
      <x:c r="B55" s="11" t="str">
        <x:v>一年</x:v>
      </x:c>
      <x:c r="C55" s="11" t="str">
        <x:v>SYS6010_DOM</x:v>
      </x:c>
      <x:c r="D55" s="11" t="str">
        <x:v>活动输入</x:v>
      </x:c>
      <x:c r="E55" s="11" t="n">
        <x:f>CHOOSE('假设'!$B$3,E56,E57,E58)</x:f>
        <x:v>0.7</x:v>
      </x:c>
      <x:c r="F55" s="11" t="n">
        <x:f>CHOOSE('假设'!$B$3,F56,F57,F58)</x:f>
        <x:v>0.2</x:v>
      </x:c>
      <x:c r="G55" s="11" t="n">
        <x:f>CHOOSE('假设'!$B$3,G56,G57,G58)</x:f>
        <x:v>0.95</x:v>
      </x:c>
      <x:c r="H55" s="11" t="n">
        <x:f>CHOOSE('假设'!$B$3,H56,H57,H58)</x:f>
        <x:v>0.13</x:v>
      </x:c>
      <x:c r="I55" s="11" t="n">
        <x:f>CHOOSE('假设'!$B$3,I56,I57,I58)</x:f>
        <x:v>7</x:v>
      </x:c>
    </x:row>
    <x:row r="56" ht="23" customHeight="1">
      <x:c r="A56" s="11" t="str">
        <x:v>01093.HK</x:v>
      </x:c>
      <x:c r="B56" s="11" t="str">
        <x:v>一年</x:v>
      </x:c>
      <x:c r="C56" s="11" t="str">
        <x:v>SYS6010_DOM</x:v>
      </x:c>
      <x:c r="D56" s="11" t="str">
        <x:v>悲观</x:v>
      </x:c>
      <x:c r="E56" s="16" t="n">
        <x:v>0.4</x:v>
      </x:c>
      <x:c r="F56" s="16" t="n">
        <x:v>0.14</x:v>
      </x:c>
      <x:c r="G56" s="16" t="n">
        <x:v>0.9</x:v>
      </x:c>
      <x:c r="H56" s="16" t="n">
        <x:v>0.16</x:v>
      </x:c>
      <x:c r="I56" s="16" t="n">
        <x:v>7</x:v>
      </x:c>
    </x:row>
    <x:row r="57" ht="23" customHeight="1">
      <x:c r="A57" s="11" t="str">
        <x:v>01093.HK</x:v>
      </x:c>
      <x:c r="B57" s="11" t="str">
        <x:v>一年</x:v>
      </x:c>
      <x:c r="C57" s="11" t="str">
        <x:v>SYS6010_DOM</x:v>
      </x:c>
      <x:c r="D57" s="11" t="str">
        <x:v>基准</x:v>
      </x:c>
      <x:c r="E57" s="16" t="n">
        <x:v>0.7</x:v>
      </x:c>
      <x:c r="F57" s="16" t="n">
        <x:v>0.2</x:v>
      </x:c>
      <x:c r="G57" s="16" t="n">
        <x:v>0.95</x:v>
      </x:c>
      <x:c r="H57" s="16" t="n">
        <x:v>0.13</x:v>
      </x:c>
      <x:c r="I57" s="16" t="n">
        <x:v>7</x:v>
      </x:c>
    </x:row>
    <x:row r="58" ht="23" customHeight="1">
      <x:c r="A58" s="11" t="str">
        <x:v>01093.HK</x:v>
      </x:c>
      <x:c r="B58" s="11" t="str">
        <x:v>一年</x:v>
      </x:c>
      <x:c r="C58" s="11" t="str">
        <x:v>SYS6010_DOM</x:v>
      </x:c>
      <x:c r="D58" s="11" t="str">
        <x:v>乐观</x:v>
      </x:c>
      <x:c r="E58" s="16" t="n">
        <x:v>0.88</x:v>
      </x:c>
      <x:c r="F58" s="16" t="n">
        <x:v>0.24</x:v>
      </x:c>
      <x:c r="G58" s="16" t="n">
        <x:v>0.97</x:v>
      </x:c>
      <x:c r="H58" s="16" t="n">
        <x:v>0.11</x:v>
      </x:c>
      <x:c r="I58" s="16" t="n">
        <x:v>7</x:v>
      </x:c>
    </x:row>
    <x:row r="59" ht="23" customHeight="1">
      <x:c r="A59" s="11" t="str">
        <x:v>01093.HK</x:v>
      </x:c>
      <x:c r="B59" s="11" t="str">
        <x:v>一年</x:v>
      </x:c>
      <x:c r="C59" s="11" t="str">
        <x:v>JMT101_DOM</x:v>
      </x:c>
      <x:c r="D59" s="11" t="str">
        <x:v>活动输入</x:v>
      </x:c>
      <x:c r="E59" s="11" t="n">
        <x:f>CHOOSE('假设'!$B$3,E60,E61,E62)</x:f>
        <x:v>0.65</x:v>
      </x:c>
      <x:c r="F59" s="11" t="n">
        <x:f>CHOOSE('假设'!$B$3,F60,F61,F62)</x:f>
        <x:v>0.18</x:v>
      </x:c>
      <x:c r="G59" s="11" t="n">
        <x:f>CHOOSE('假设'!$B$3,G60,G61,G62)</x:f>
        <x:v>0.9</x:v>
      </x:c>
      <x:c r="H59" s="11" t="n">
        <x:f>CHOOSE('假设'!$B$3,H60,H61,H62)</x:f>
        <x:v>0.13</x:v>
      </x:c>
      <x:c r="I59" s="11" t="n">
        <x:f>CHOOSE('假设'!$B$3,I60,I61,I62)</x:f>
        <x:v>7</x:v>
      </x:c>
    </x:row>
    <x:row r="60" ht="23" customHeight="1">
      <x:c r="A60" s="11" t="str">
        <x:v>01093.HK</x:v>
      </x:c>
      <x:c r="B60" s="11" t="str">
        <x:v>一年</x:v>
      </x:c>
      <x:c r="C60" s="11" t="str">
        <x:v>JMT101_DOM</x:v>
      </x:c>
      <x:c r="D60" s="11" t="str">
        <x:v>悲观</x:v>
      </x:c>
      <x:c r="E60" s="16" t="n">
        <x:v>0.35</x:v>
      </x:c>
      <x:c r="F60" s="16" t="n">
        <x:v>0.12</x:v>
      </x:c>
      <x:c r="G60" s="16" t="n">
        <x:v>0.85</x:v>
      </x:c>
      <x:c r="H60" s="11" t="n">
        <x:f>H56</x:f>
        <x:v>0.16</x:v>
      </x:c>
      <x:c r="I60" s="11" t="n">
        <x:f>I56</x:f>
        <x:v>7</x:v>
      </x:c>
    </x:row>
    <x:row r="61" ht="23" customHeight="1">
      <x:c r="A61" s="11" t="str">
        <x:v>01093.HK</x:v>
      </x:c>
      <x:c r="B61" s="11" t="str">
        <x:v>一年</x:v>
      </x:c>
      <x:c r="C61" s="11" t="str">
        <x:v>JMT101_DOM</x:v>
      </x:c>
      <x:c r="D61" s="11" t="str">
        <x:v>基准</x:v>
      </x:c>
      <x:c r="E61" s="16" t="n">
        <x:v>0.65</x:v>
      </x:c>
      <x:c r="F61" s="16" t="n">
        <x:v>0.18</x:v>
      </x:c>
      <x:c r="G61" s="16" t="n">
        <x:v>0.9</x:v>
      </x:c>
      <x:c r="H61" s="11" t="n">
        <x:f>H57</x:f>
        <x:v>0.13</x:v>
      </x:c>
      <x:c r="I61" s="11" t="n">
        <x:f>I57</x:f>
        <x:v>7</x:v>
      </x:c>
    </x:row>
    <x:row r="62" ht="23" customHeight="1">
      <x:c r="A62" s="11" t="str">
        <x:v>01093.HK</x:v>
      </x:c>
      <x:c r="B62" s="11" t="str">
        <x:v>一年</x:v>
      </x:c>
      <x:c r="C62" s="11" t="str">
        <x:v>JMT101_DOM</x:v>
      </x:c>
      <x:c r="D62" s="11" t="str">
        <x:v>乐观</x:v>
      </x:c>
      <x:c r="E62" s="16" t="n">
        <x:v>0.82</x:v>
      </x:c>
      <x:c r="F62" s="16" t="n">
        <x:v>0.22</x:v>
      </x:c>
      <x:c r="G62" s="16" t="n">
        <x:v>0.95</x:v>
      </x:c>
      <x:c r="H62" s="11" t="n">
        <x:f>H58</x:f>
        <x:v>0.11</x:v>
      </x:c>
      <x:c r="I62" s="11" t="n">
        <x:f>I58</x:f>
        <x:v>7</x:v>
      </x:c>
    </x:row>
    <x:row r="63" ht="23" customHeight="1">
      <x:c r="A63" s="11" t="str">
        <x:v>01093.HK</x:v>
      </x:c>
      <x:c r="B63" s="11" t="str">
        <x:v>一年</x:v>
      </x:c>
      <x:c r="C63" s="11" t="str">
        <x:v>KN026_HB_INCREMENT_DOM</x:v>
      </x:c>
      <x:c r="D63" s="11" t="str">
        <x:v>活动输入</x:v>
      </x:c>
      <x:c r="E63" s="11" t="n">
        <x:f>CHOOSE('假设'!$B$3,E64,E65,E66)</x:f>
        <x:v>0.7</x:v>
      </x:c>
      <x:c r="F63" s="11" t="n">
        <x:f>CHOOSE('假设'!$B$3,F64,F65,F66)</x:f>
        <x:v>0.16</x:v>
      </x:c>
      <x:c r="G63" s="11" t="n">
        <x:f>CHOOSE('假设'!$B$3,G64,G65,G66)</x:f>
        <x:v>0.9</x:v>
      </x:c>
      <x:c r="H63" s="11" t="n">
        <x:f>CHOOSE('假设'!$B$3,H64,H65,H66)</x:f>
        <x:v>0.13</x:v>
      </x:c>
      <x:c r="I63" s="11" t="n">
        <x:f>CHOOSE('假设'!$B$3,I64,I65,I66)</x:f>
        <x:v>7</x:v>
      </x:c>
    </x:row>
    <x:row r="64" ht="23" customHeight="1">
      <x:c r="A64" s="11" t="str">
        <x:v>01093.HK</x:v>
      </x:c>
      <x:c r="B64" s="11" t="str">
        <x:v>一年</x:v>
      </x:c>
      <x:c r="C64" s="11" t="str">
        <x:v>KN026_HB_INCREMENT_DOM</x:v>
      </x:c>
      <x:c r="D64" s="11" t="str">
        <x:v>悲观</x:v>
      </x:c>
      <x:c r="E64" s="16" t="n">
        <x:v>0.4</x:v>
      </x:c>
      <x:c r="F64" s="16" t="n">
        <x:v>0.1</x:v>
      </x:c>
      <x:c r="G64" s="16" t="n">
        <x:v>0.85</x:v>
      </x:c>
      <x:c r="H64" s="11" t="n">
        <x:f>H56</x:f>
        <x:v>0.16</x:v>
      </x:c>
      <x:c r="I64" s="11" t="n">
        <x:f>I56</x:f>
        <x:v>7</x:v>
      </x:c>
    </x:row>
    <x:row r="65" ht="23" customHeight="1">
      <x:c r="A65" s="11" t="str">
        <x:v>01093.HK</x:v>
      </x:c>
      <x:c r="B65" s="11" t="str">
        <x:v>一年</x:v>
      </x:c>
      <x:c r="C65" s="11" t="str">
        <x:v>KN026_HB_INCREMENT_DOM</x:v>
      </x:c>
      <x:c r="D65" s="11" t="str">
        <x:v>基准</x:v>
      </x:c>
      <x:c r="E65" s="16" t="n">
        <x:v>0.7</x:v>
      </x:c>
      <x:c r="F65" s="16" t="n">
        <x:v>0.16</x:v>
      </x:c>
      <x:c r="G65" s="16" t="n">
        <x:v>0.9</x:v>
      </x:c>
      <x:c r="H65" s="11" t="n">
        <x:f>H57</x:f>
        <x:v>0.13</x:v>
      </x:c>
      <x:c r="I65" s="11" t="n">
        <x:f>I57</x:f>
        <x:v>7</x:v>
      </x:c>
    </x:row>
    <x:row r="66" ht="23" customHeight="1">
      <x:c r="A66" s="11" t="str">
        <x:v>01093.HK</x:v>
      </x:c>
      <x:c r="B66" s="11" t="str">
        <x:v>一年</x:v>
      </x:c>
      <x:c r="C66" s="11" t="str">
        <x:v>KN026_HB_INCREMENT_DOM</x:v>
      </x:c>
      <x:c r="D66" s="11" t="str">
        <x:v>乐观</x:v>
      </x:c>
      <x:c r="E66" s="16" t="n">
        <x:v>0.88</x:v>
      </x:c>
      <x:c r="F66" s="16" t="n">
        <x:v>0.2</x:v>
      </x:c>
      <x:c r="G66" s="16" t="n">
        <x:v>0.95</x:v>
      </x:c>
      <x:c r="H66" s="11" t="n">
        <x:f>H58</x:f>
        <x:v>0.11</x:v>
      </x:c>
      <x:c r="I66" s="11" t="n">
        <x:f>I58</x:f>
        <x:v>7</x:v>
      </x:c>
    </x:row>
    <x:row r="67" ht="23" customHeight="1">
      <x:c r="A67" s="11" t="str">
        <x:v>01093.HK</x:v>
      </x:c>
      <x:c r="B67" s="11" t="str">
        <x:v>一年</x:v>
      </x:c>
      <x:c r="C67" s="11" t="str">
        <x:v>TG103_DOM</x:v>
      </x:c>
      <x:c r="D67" s="11" t="str">
        <x:v>活动输入</x:v>
      </x:c>
      <x:c r="E67" s="11" t="n">
        <x:f>CHOOSE('假设'!$B$3,E68,E69,E70)</x:f>
        <x:v>0.72</x:v>
      </x:c>
      <x:c r="F67" s="11" t="n">
        <x:f>CHOOSE('假设'!$B$3,F68,F69,F70)</x:f>
        <x:v>0.17</x:v>
      </x:c>
      <x:c r="G67" s="11" t="n">
        <x:f>CHOOSE('假设'!$B$3,G68,G69,G70)</x:f>
        <x:v>0.9</x:v>
      </x:c>
      <x:c r="H67" s="11" t="n">
        <x:f>CHOOSE('假设'!$B$3,H68,H69,H70)</x:f>
        <x:v>0.13</x:v>
      </x:c>
      <x:c r="I67" s="11" t="n">
        <x:f>CHOOSE('假设'!$B$3,I68,I69,I70)</x:f>
        <x:v>7</x:v>
      </x:c>
    </x:row>
    <x:row r="68" ht="23" customHeight="1">
      <x:c r="A68" s="11" t="str">
        <x:v>01093.HK</x:v>
      </x:c>
      <x:c r="B68" s="11" t="str">
        <x:v>一年</x:v>
      </x:c>
      <x:c r="C68" s="11" t="str">
        <x:v>TG103_DOM</x:v>
      </x:c>
      <x:c r="D68" s="11" t="str">
        <x:v>悲观</x:v>
      </x:c>
      <x:c r="E68" s="16" t="n">
        <x:v>0.45</x:v>
      </x:c>
      <x:c r="F68" s="16" t="n">
        <x:v>0.1</x:v>
      </x:c>
      <x:c r="G68" s="16" t="n">
        <x:v>0.85</x:v>
      </x:c>
      <x:c r="H68" s="11" t="n">
        <x:f>H56</x:f>
        <x:v>0.16</x:v>
      </x:c>
      <x:c r="I68" s="11" t="n">
        <x:f>I56</x:f>
        <x:v>7</x:v>
      </x:c>
    </x:row>
    <x:row r="69" ht="23" customHeight="1">
      <x:c r="A69" s="11" t="str">
        <x:v>01093.HK</x:v>
      </x:c>
      <x:c r="B69" s="11" t="str">
        <x:v>一年</x:v>
      </x:c>
      <x:c r="C69" s="11" t="str">
        <x:v>TG103_DOM</x:v>
      </x:c>
      <x:c r="D69" s="11" t="str">
        <x:v>基准</x:v>
      </x:c>
      <x:c r="E69" s="16" t="n">
        <x:v>0.72</x:v>
      </x:c>
      <x:c r="F69" s="16" t="n">
        <x:v>0.17</x:v>
      </x:c>
      <x:c r="G69" s="16" t="n">
        <x:v>0.9</x:v>
      </x:c>
      <x:c r="H69" s="11" t="n">
        <x:f>H57</x:f>
        <x:v>0.13</x:v>
      </x:c>
      <x:c r="I69" s="11" t="n">
        <x:f>I57</x:f>
        <x:v>7</x:v>
      </x:c>
    </x:row>
    <x:row r="70" ht="23" customHeight="1">
      <x:c r="A70" s="11" t="str">
        <x:v>01093.HK</x:v>
      </x:c>
      <x:c r="B70" s="11" t="str">
        <x:v>一年</x:v>
      </x:c>
      <x:c r="C70" s="11" t="str">
        <x:v>TG103_DOM</x:v>
      </x:c>
      <x:c r="D70" s="11" t="str">
        <x:v>乐观</x:v>
      </x:c>
      <x:c r="E70" s="16" t="n">
        <x:v>0.88</x:v>
      </x:c>
      <x:c r="F70" s="16" t="n">
        <x:v>0.21</x:v>
      </x:c>
      <x:c r="G70" s="16" t="n">
        <x:v>0.95</x:v>
      </x:c>
      <x:c r="H70" s="11" t="n">
        <x:f>H58</x:f>
        <x:v>0.11</x:v>
      </x:c>
      <x:c r="I70" s="11" t="n">
        <x:f>I58</x:f>
        <x:v>7</x:v>
      </x:c>
    </x:row>
    <x:row r="71" ht="23" customHeight="1">
      <x:c r="A71" s="11" t="str">
        <x:v>01093.HK</x:v>
      </x:c>
      <x:c r="B71" s="11" t="str">
        <x:v>一年</x:v>
      </x:c>
      <x:c r="C71" s="11" t="str">
        <x:v>AZ_OBESITY_EXCHINA</x:v>
      </x:c>
      <x:c r="D71" s="11" t="str">
        <x:v>活动输入</x:v>
      </x:c>
      <x:c r="E71" s="11" t="n">
        <x:f>CHOOSE('假设'!$B$3,E72,E73,E74)</x:f>
        <x:v>0.15</x:v>
      </x:c>
      <x:c r="F71" s="11" t="n">
        <x:f>CHOOSE('假设'!$B$3,F72,F73,F74)</x:f>
        <x:v>0.11699999999999999</x:v>
      </x:c>
      <x:c r="G71" s="11" t="n">
        <x:f>CHOOSE('假设'!$B$3,G72,G73,G74)</x:f>
        <x:v>0.9</x:v>
      </x:c>
      <x:c r="H71" s="11" t="n">
        <x:f>CHOOSE('假设'!$B$3,H72,H73,H74)</x:f>
        <x:v>0.13</x:v>
      </x:c>
      <x:c r="I71" s="11" t="n">
        <x:f>CHOOSE('假设'!$B$3,I72,I73,I74)</x:f>
        <x:v>7</x:v>
      </x:c>
    </x:row>
    <x:row r="72" ht="23" customHeight="1">
      <x:c r="A72" s="11" t="str">
        <x:v>01093.HK</x:v>
      </x:c>
      <x:c r="B72" s="11" t="str">
        <x:v>一年</x:v>
      </x:c>
      <x:c r="C72" s="11" t="str">
        <x:v>AZ_OBESITY_EXCHINA</x:v>
      </x:c>
      <x:c r="D72" s="11" t="str">
        <x:v>悲观</x:v>
      </x:c>
      <x:c r="E72" s="16" t="n">
        <x:v>0.05</x:v>
      </x:c>
      <x:c r="F72" s="16" t="n">
        <x:v>0.09</x:v>
      </x:c>
      <x:c r="G72" s="16" t="n">
        <x:v>0.85</x:v>
      </x:c>
      <x:c r="H72" s="11" t="n">
        <x:f>H56</x:f>
        <x:v>0.16</x:v>
      </x:c>
      <x:c r="I72" s="11" t="n">
        <x:f>I56</x:f>
        <x:v>7</x:v>
      </x:c>
    </x:row>
    <x:row r="73" ht="23" customHeight="1">
      <x:c r="A73" s="11" t="str">
        <x:v>01093.HK</x:v>
      </x:c>
      <x:c r="B73" s="11" t="str">
        <x:v>一年</x:v>
      </x:c>
      <x:c r="C73" s="11" t="str">
        <x:v>AZ_OBESITY_EXCHINA</x:v>
      </x:c>
      <x:c r="D73" s="11" t="str">
        <x:v>基准</x:v>
      </x:c>
      <x:c r="E73" s="16" t="n">
        <x:v>0.15</x:v>
      </x:c>
      <x:c r="F73" s="16" t="n">
        <x:v>0.11699999999999999</x:v>
      </x:c>
      <x:c r="G73" s="16" t="n">
        <x:v>0.9</x:v>
      </x:c>
      <x:c r="H73" s="11" t="n">
        <x:f>H57</x:f>
        <x:v>0.13</x:v>
      </x:c>
      <x:c r="I73" s="11" t="n">
        <x:f>I57</x:f>
        <x:v>7</x:v>
      </x:c>
    </x:row>
    <x:row r="74" ht="23" customHeight="1">
      <x:c r="A74" s="11" t="str">
        <x:v>01093.HK</x:v>
      </x:c>
      <x:c r="B74" s="11" t="str">
        <x:v>一年</x:v>
      </x:c>
      <x:c r="C74" s="11" t="str">
        <x:v>AZ_OBESITY_EXCHINA</x:v>
      </x:c>
      <x:c r="D74" s="11" t="str">
        <x:v>乐观</x:v>
      </x:c>
      <x:c r="E74" s="16" t="n">
        <x:v>0.35</x:v>
      </x:c>
      <x:c r="F74" s="16" t="n">
        <x:v>0.144</x:v>
      </x:c>
      <x:c r="G74" s="16" t="n">
        <x:v>0.95</x:v>
      </x:c>
      <x:c r="H74" s="11" t="n">
        <x:f>H58</x:f>
        <x:v>0.11</x:v>
      </x:c>
      <x:c r="I74" s="11" t="n">
        <x:f>I58</x:f>
        <x:v>7</x:v>
      </x:c>
    </x:row>
    <x:row r="75" ht="23" customHeight="1">
      <x:c r="A75" s="11" t="str">
        <x:v>01093.HK</x:v>
      </x:c>
      <x:c r="B75" s="11" t="str">
        <x:v>一年</x:v>
      </x:c>
      <x:c r="C75" s="11" t="str">
        <x:v>OTHER_OVERSEAS</x:v>
      </x:c>
      <x:c r="D75" s="11" t="str">
        <x:v>活动输入</x:v>
      </x:c>
      <x:c r="E75" s="11" t="n">
        <x:f>CHOOSE('假设'!$B$3,E76,E77,E78)</x:f>
        <x:v>0.12</x:v>
      </x:c>
      <x:c r="F75" s="11" t="n">
        <x:f>CHOOSE('假设'!$B$3,F76,F77,F78)</x:f>
        <x:v>0.062400000000000004</x:v>
      </x:c>
      <x:c r="G75" s="11" t="n">
        <x:f>CHOOSE('假设'!$B$3,G76,G77,G78)</x:f>
        <x:v>0.9</x:v>
      </x:c>
      <x:c r="H75" s="11" t="n">
        <x:f>CHOOSE('假设'!$B$3,H76,H77,H78)</x:f>
        <x:v>0.13</x:v>
      </x:c>
      <x:c r="I75" s="11" t="n">
        <x:f>CHOOSE('假设'!$B$3,I76,I77,I78)</x:f>
        <x:v>7</x:v>
      </x:c>
    </x:row>
    <x:row r="76" ht="23" customHeight="1">
      <x:c r="A76" s="11" t="str">
        <x:v>01093.HK</x:v>
      </x:c>
      <x:c r="B76" s="11" t="str">
        <x:v>一年</x:v>
      </x:c>
      <x:c r="C76" s="11" t="str">
        <x:v>OTHER_OVERSEAS</x:v>
      </x:c>
      <x:c r="D76" s="11" t="str">
        <x:v>悲观</x:v>
      </x:c>
      <x:c r="E76" s="16" t="n">
        <x:v>0.04</x:v>
      </x:c>
      <x:c r="F76" s="16" t="n">
        <x:v>0.045</x:v>
      </x:c>
      <x:c r="G76" s="16" t="n">
        <x:v>0.85</x:v>
      </x:c>
      <x:c r="H76" s="11" t="n">
        <x:f>H56</x:f>
        <x:v>0.16</x:v>
      </x:c>
      <x:c r="I76" s="11" t="n">
        <x:f>I56</x:f>
        <x:v>7</x:v>
      </x:c>
    </x:row>
    <x:row r="77" ht="23" customHeight="1">
      <x:c r="A77" s="11" t="str">
        <x:v>01093.HK</x:v>
      </x:c>
      <x:c r="B77" s="11" t="str">
        <x:v>一年</x:v>
      </x:c>
      <x:c r="C77" s="11" t="str">
        <x:v>OTHER_OVERSEAS</x:v>
      </x:c>
      <x:c r="D77" s="11" t="str">
        <x:v>基准</x:v>
      </x:c>
      <x:c r="E77" s="16" t="n">
        <x:v>0.12</x:v>
      </x:c>
      <x:c r="F77" s="16" t="n">
        <x:v>0.062400000000000004</x:v>
      </x:c>
      <x:c r="G77" s="16" t="n">
        <x:v>0.9</x:v>
      </x:c>
      <x:c r="H77" s="11" t="n">
        <x:f>H57</x:f>
        <x:v>0.13</x:v>
      </x:c>
      <x:c r="I77" s="11" t="n">
        <x:f>I57</x:f>
        <x:v>7</x:v>
      </x:c>
    </x:row>
    <x:row r="78" ht="23" customHeight="1">
      <x:c r="A78" s="11" t="str">
        <x:v>01093.HK</x:v>
      </x:c>
      <x:c r="B78" s="11" t="str">
        <x:v>一年</x:v>
      </x:c>
      <x:c r="C78" s="11" t="str">
        <x:v>OTHER_OVERSEAS</x:v>
      </x:c>
      <x:c r="D78" s="11" t="str">
        <x:v>乐观</x:v>
      </x:c>
      <x:c r="E78" s="16" t="n">
        <x:v>0.28</x:v>
      </x:c>
      <x:c r="F78" s="16" t="n">
        <x:v>0.08000000000000002</x:v>
      </x:c>
      <x:c r="G78" s="16" t="n">
        <x:v>0.95</x:v>
      </x:c>
      <x:c r="H78" s="11" t="n">
        <x:f>H58</x:f>
        <x:v>0.11</x:v>
      </x:c>
      <x:c r="I78" s="11" t="n">
        <x:f>I58</x:f>
        <x:v>7</x:v>
      </x:c>
    </x:row>
    <x:row r="79" ht="23" customHeight="1">
      <x:c r="A79" s="11" t="str">
        <x:v>01093.HK</x:v>
      </x:c>
      <x:c r="B79" s="11" t="str">
        <x:v>三年</x:v>
      </x:c>
      <x:c r="C79" s="11" t="str">
        <x:v>SYS6010_DOM</x:v>
      </x:c>
      <x:c r="D79" s="11" t="str">
        <x:v>活动输入</x:v>
      </x:c>
      <x:c r="E79" s="11" t="n">
        <x:f>CHOOSE('假设'!$B$3,E80,E81,E82)</x:f>
        <x:v>0.7</x:v>
      </x:c>
      <x:c r="F79" s="11" t="n">
        <x:f>CHOOSE('假设'!$B$3,F80,F81,F82)</x:f>
        <x:v>0.2</x:v>
      </x:c>
      <x:c r="G79" s="11" t="n">
        <x:f>CHOOSE('假设'!$B$3,G80,G81,G82)</x:f>
        <x:v>0.95</x:v>
      </x:c>
      <x:c r="H79" s="11" t="n">
        <x:f>CHOOSE('假设'!$B$3,H80,H81,H82)</x:f>
        <x:v>0.13</x:v>
      </x:c>
      <x:c r="I79" s="11" t="n">
        <x:f>CHOOSE('假设'!$B$3,I80,I81,I82)</x:f>
        <x:v>7</x:v>
      </x:c>
    </x:row>
    <x:row r="80" ht="23" customHeight="1">
      <x:c r="A80" s="11" t="str">
        <x:v>01093.HK</x:v>
      </x:c>
      <x:c r="B80" s="11" t="str">
        <x:v>三年</x:v>
      </x:c>
      <x:c r="C80" s="11" t="str">
        <x:v>SYS6010_DOM</x:v>
      </x:c>
      <x:c r="D80" s="11" t="str">
        <x:v>悲观</x:v>
      </x:c>
      <x:c r="E80" s="16" t="n">
        <x:v>0.4</x:v>
      </x:c>
      <x:c r="F80" s="16" t="n">
        <x:v>0.14</x:v>
      </x:c>
      <x:c r="G80" s="16" t="n">
        <x:v>0.9</x:v>
      </x:c>
      <x:c r="H80" s="16" t="n">
        <x:v>0.16</x:v>
      </x:c>
      <x:c r="I80" s="16" t="n">
        <x:v>7</x:v>
      </x:c>
    </x:row>
    <x:row r="81" ht="23" customHeight="1">
      <x:c r="A81" s="11" t="str">
        <x:v>01093.HK</x:v>
      </x:c>
      <x:c r="B81" s="11" t="str">
        <x:v>三年</x:v>
      </x:c>
      <x:c r="C81" s="11" t="str">
        <x:v>SYS6010_DOM</x:v>
      </x:c>
      <x:c r="D81" s="11" t="str">
        <x:v>基准</x:v>
      </x:c>
      <x:c r="E81" s="16" t="n">
        <x:v>0.7</x:v>
      </x:c>
      <x:c r="F81" s="16" t="n">
        <x:v>0.2</x:v>
      </x:c>
      <x:c r="G81" s="16" t="n">
        <x:v>0.95</x:v>
      </x:c>
      <x:c r="H81" s="16" t="n">
        <x:v>0.13</x:v>
      </x:c>
      <x:c r="I81" s="16" t="n">
        <x:v>7</x:v>
      </x:c>
    </x:row>
    <x:row r="82" ht="23" customHeight="1">
      <x:c r="A82" s="11" t="str">
        <x:v>01093.HK</x:v>
      </x:c>
      <x:c r="B82" s="11" t="str">
        <x:v>三年</x:v>
      </x:c>
      <x:c r="C82" s="11" t="str">
        <x:v>SYS6010_DOM</x:v>
      </x:c>
      <x:c r="D82" s="11" t="str">
        <x:v>乐观</x:v>
      </x:c>
      <x:c r="E82" s="16" t="n">
        <x:v>0.88</x:v>
      </x:c>
      <x:c r="F82" s="16" t="n">
        <x:v>0.24</x:v>
      </x:c>
      <x:c r="G82" s="16" t="n">
        <x:v>0.97</x:v>
      </x:c>
      <x:c r="H82" s="16" t="n">
        <x:v>0.11</x:v>
      </x:c>
      <x:c r="I82" s="16" t="n">
        <x:v>7</x:v>
      </x:c>
    </x:row>
    <x:row r="83" ht="23" customHeight="1">
      <x:c r="A83" s="11" t="str">
        <x:v>01093.HK</x:v>
      </x:c>
      <x:c r="B83" s="11" t="str">
        <x:v>三年</x:v>
      </x:c>
      <x:c r="C83" s="11" t="str">
        <x:v>JMT101_DOM</x:v>
      </x:c>
      <x:c r="D83" s="11" t="str">
        <x:v>活动输入</x:v>
      </x:c>
      <x:c r="E83" s="11" t="n">
        <x:f>CHOOSE('假设'!$B$3,E84,E85,E86)</x:f>
        <x:v>0.65</x:v>
      </x:c>
      <x:c r="F83" s="11" t="n">
        <x:f>CHOOSE('假设'!$B$3,F84,F85,F86)</x:f>
        <x:v>0.18</x:v>
      </x:c>
      <x:c r="G83" s="11" t="n">
        <x:f>CHOOSE('假设'!$B$3,G84,G85,G86)</x:f>
        <x:v>0.9</x:v>
      </x:c>
      <x:c r="H83" s="11" t="n">
        <x:f>CHOOSE('假设'!$B$3,H84,H85,H86)</x:f>
        <x:v>0.13</x:v>
      </x:c>
      <x:c r="I83" s="11" t="n">
        <x:f>CHOOSE('假设'!$B$3,I84,I85,I86)</x:f>
        <x:v>7</x:v>
      </x:c>
    </x:row>
    <x:row r="84" ht="23" customHeight="1">
      <x:c r="A84" s="11" t="str">
        <x:v>01093.HK</x:v>
      </x:c>
      <x:c r="B84" s="11" t="str">
        <x:v>三年</x:v>
      </x:c>
      <x:c r="C84" s="11" t="str">
        <x:v>JMT101_DOM</x:v>
      </x:c>
      <x:c r="D84" s="11" t="str">
        <x:v>悲观</x:v>
      </x:c>
      <x:c r="E84" s="16" t="n">
        <x:v>0.35</x:v>
      </x:c>
      <x:c r="F84" s="16" t="n">
        <x:v>0.12</x:v>
      </x:c>
      <x:c r="G84" s="16" t="n">
        <x:v>0.85</x:v>
      </x:c>
      <x:c r="H84" s="11" t="n">
        <x:f>H80</x:f>
        <x:v>0.16</x:v>
      </x:c>
      <x:c r="I84" s="11" t="n">
        <x:f>I80</x:f>
        <x:v>7</x:v>
      </x:c>
    </x:row>
    <x:row r="85" ht="23" customHeight="1">
      <x:c r="A85" s="11" t="str">
        <x:v>01093.HK</x:v>
      </x:c>
      <x:c r="B85" s="11" t="str">
        <x:v>三年</x:v>
      </x:c>
      <x:c r="C85" s="11" t="str">
        <x:v>JMT101_DOM</x:v>
      </x:c>
      <x:c r="D85" s="11" t="str">
        <x:v>基准</x:v>
      </x:c>
      <x:c r="E85" s="16" t="n">
        <x:v>0.65</x:v>
      </x:c>
      <x:c r="F85" s="16" t="n">
        <x:v>0.18</x:v>
      </x:c>
      <x:c r="G85" s="16" t="n">
        <x:v>0.9</x:v>
      </x:c>
      <x:c r="H85" s="11" t="n">
        <x:f>H81</x:f>
        <x:v>0.13</x:v>
      </x:c>
      <x:c r="I85" s="11" t="n">
        <x:f>I81</x:f>
        <x:v>7</x:v>
      </x:c>
    </x:row>
    <x:row r="86" ht="23" customHeight="1">
      <x:c r="A86" s="11" t="str">
        <x:v>01093.HK</x:v>
      </x:c>
      <x:c r="B86" s="11" t="str">
        <x:v>三年</x:v>
      </x:c>
      <x:c r="C86" s="11" t="str">
        <x:v>JMT101_DOM</x:v>
      </x:c>
      <x:c r="D86" s="11" t="str">
        <x:v>乐观</x:v>
      </x:c>
      <x:c r="E86" s="16" t="n">
        <x:v>0.82</x:v>
      </x:c>
      <x:c r="F86" s="16" t="n">
        <x:v>0.22</x:v>
      </x:c>
      <x:c r="G86" s="16" t="n">
        <x:v>0.95</x:v>
      </x:c>
      <x:c r="H86" s="11" t="n">
        <x:f>H82</x:f>
        <x:v>0.11</x:v>
      </x:c>
      <x:c r="I86" s="11" t="n">
        <x:f>I82</x:f>
        <x:v>7</x:v>
      </x:c>
    </x:row>
    <x:row r="87" ht="23" customHeight="1">
      <x:c r="A87" s="11" t="str">
        <x:v>01093.HK</x:v>
      </x:c>
      <x:c r="B87" s="11" t="str">
        <x:v>三年</x:v>
      </x:c>
      <x:c r="C87" s="11" t="str">
        <x:v>KN026_HB_INCREMENT_DOM</x:v>
      </x:c>
      <x:c r="D87" s="11" t="str">
        <x:v>活动输入</x:v>
      </x:c>
      <x:c r="E87" s="11" t="n">
        <x:f>CHOOSE('假设'!$B$3,E88,E89,E90)</x:f>
        <x:v>0.7</x:v>
      </x:c>
      <x:c r="F87" s="11" t="n">
        <x:f>CHOOSE('假设'!$B$3,F88,F89,F90)</x:f>
        <x:v>0.16</x:v>
      </x:c>
      <x:c r="G87" s="11" t="n">
        <x:f>CHOOSE('假设'!$B$3,G88,G89,G90)</x:f>
        <x:v>0.9</x:v>
      </x:c>
      <x:c r="H87" s="11" t="n">
        <x:f>CHOOSE('假设'!$B$3,H88,H89,H90)</x:f>
        <x:v>0.13</x:v>
      </x:c>
      <x:c r="I87" s="11" t="n">
        <x:f>CHOOSE('假设'!$B$3,I88,I89,I90)</x:f>
        <x:v>7</x:v>
      </x:c>
    </x:row>
    <x:row r="88" ht="23" customHeight="1">
      <x:c r="A88" s="11" t="str">
        <x:v>01093.HK</x:v>
      </x:c>
      <x:c r="B88" s="11" t="str">
        <x:v>三年</x:v>
      </x:c>
      <x:c r="C88" s="11" t="str">
        <x:v>KN026_HB_INCREMENT_DOM</x:v>
      </x:c>
      <x:c r="D88" s="11" t="str">
        <x:v>悲观</x:v>
      </x:c>
      <x:c r="E88" s="16" t="n">
        <x:v>0.4</x:v>
      </x:c>
      <x:c r="F88" s="16" t="n">
        <x:v>0.1</x:v>
      </x:c>
      <x:c r="G88" s="16" t="n">
        <x:v>0.85</x:v>
      </x:c>
      <x:c r="H88" s="11" t="n">
        <x:f>H80</x:f>
        <x:v>0.16</x:v>
      </x:c>
      <x:c r="I88" s="11" t="n">
        <x:f>I80</x:f>
        <x:v>7</x:v>
      </x:c>
    </x:row>
    <x:row r="89" ht="23" customHeight="1">
      <x:c r="A89" s="11" t="str">
        <x:v>01093.HK</x:v>
      </x:c>
      <x:c r="B89" s="11" t="str">
        <x:v>三年</x:v>
      </x:c>
      <x:c r="C89" s="11" t="str">
        <x:v>KN026_HB_INCREMENT_DOM</x:v>
      </x:c>
      <x:c r="D89" s="11" t="str">
        <x:v>基准</x:v>
      </x:c>
      <x:c r="E89" s="16" t="n">
        <x:v>0.7</x:v>
      </x:c>
      <x:c r="F89" s="16" t="n">
        <x:v>0.16</x:v>
      </x:c>
      <x:c r="G89" s="16" t="n">
        <x:v>0.9</x:v>
      </x:c>
      <x:c r="H89" s="11" t="n">
        <x:f>H81</x:f>
        <x:v>0.13</x:v>
      </x:c>
      <x:c r="I89" s="11" t="n">
        <x:f>I81</x:f>
        <x:v>7</x:v>
      </x:c>
    </x:row>
    <x:row r="90" ht="23" customHeight="1">
      <x:c r="A90" s="11" t="str">
        <x:v>01093.HK</x:v>
      </x:c>
      <x:c r="B90" s="11" t="str">
        <x:v>三年</x:v>
      </x:c>
      <x:c r="C90" s="11" t="str">
        <x:v>KN026_HB_INCREMENT_DOM</x:v>
      </x:c>
      <x:c r="D90" s="11" t="str">
        <x:v>乐观</x:v>
      </x:c>
      <x:c r="E90" s="16" t="n">
        <x:v>0.88</x:v>
      </x:c>
      <x:c r="F90" s="16" t="n">
        <x:v>0.2</x:v>
      </x:c>
      <x:c r="G90" s="16" t="n">
        <x:v>0.95</x:v>
      </x:c>
      <x:c r="H90" s="11" t="n">
        <x:f>H82</x:f>
        <x:v>0.11</x:v>
      </x:c>
      <x:c r="I90" s="11" t="n">
        <x:f>I82</x:f>
        <x:v>7</x:v>
      </x:c>
    </x:row>
    <x:row r="91" ht="23" customHeight="1">
      <x:c r="A91" s="11" t="str">
        <x:v>01093.HK</x:v>
      </x:c>
      <x:c r="B91" s="11" t="str">
        <x:v>三年</x:v>
      </x:c>
      <x:c r="C91" s="11" t="str">
        <x:v>TG103_DOM</x:v>
      </x:c>
      <x:c r="D91" s="11" t="str">
        <x:v>活动输入</x:v>
      </x:c>
      <x:c r="E91" s="11" t="n">
        <x:f>CHOOSE('假设'!$B$3,E92,E93,E94)</x:f>
        <x:v>0.72</x:v>
      </x:c>
      <x:c r="F91" s="11" t="n">
        <x:f>CHOOSE('假设'!$B$3,F92,F93,F94)</x:f>
        <x:v>0.17</x:v>
      </x:c>
      <x:c r="G91" s="11" t="n">
        <x:f>CHOOSE('假设'!$B$3,G92,G93,G94)</x:f>
        <x:v>0.9</x:v>
      </x:c>
      <x:c r="H91" s="11" t="n">
        <x:f>CHOOSE('假设'!$B$3,H92,H93,H94)</x:f>
        <x:v>0.13</x:v>
      </x:c>
      <x:c r="I91" s="11" t="n">
        <x:f>CHOOSE('假设'!$B$3,I92,I93,I94)</x:f>
        <x:v>7</x:v>
      </x:c>
    </x:row>
    <x:row r="92" ht="23" customHeight="1">
      <x:c r="A92" s="11" t="str">
        <x:v>01093.HK</x:v>
      </x:c>
      <x:c r="B92" s="11" t="str">
        <x:v>三年</x:v>
      </x:c>
      <x:c r="C92" s="11" t="str">
        <x:v>TG103_DOM</x:v>
      </x:c>
      <x:c r="D92" s="11" t="str">
        <x:v>悲观</x:v>
      </x:c>
      <x:c r="E92" s="16" t="n">
        <x:v>0.45</x:v>
      </x:c>
      <x:c r="F92" s="16" t="n">
        <x:v>0.1</x:v>
      </x:c>
      <x:c r="G92" s="16" t="n">
        <x:v>0.85</x:v>
      </x:c>
      <x:c r="H92" s="11" t="n">
        <x:f>H80</x:f>
        <x:v>0.16</x:v>
      </x:c>
      <x:c r="I92" s="11" t="n">
        <x:f>I80</x:f>
        <x:v>7</x:v>
      </x:c>
    </x:row>
    <x:row r="93" ht="23" customHeight="1">
      <x:c r="A93" s="11" t="str">
        <x:v>01093.HK</x:v>
      </x:c>
      <x:c r="B93" s="11" t="str">
        <x:v>三年</x:v>
      </x:c>
      <x:c r="C93" s="11" t="str">
        <x:v>TG103_DOM</x:v>
      </x:c>
      <x:c r="D93" s="11" t="str">
        <x:v>基准</x:v>
      </x:c>
      <x:c r="E93" s="16" t="n">
        <x:v>0.72</x:v>
      </x:c>
      <x:c r="F93" s="16" t="n">
        <x:v>0.17</x:v>
      </x:c>
      <x:c r="G93" s="16" t="n">
        <x:v>0.9</x:v>
      </x:c>
      <x:c r="H93" s="11" t="n">
        <x:f>H81</x:f>
        <x:v>0.13</x:v>
      </x:c>
      <x:c r="I93" s="11" t="n">
        <x:f>I81</x:f>
        <x:v>7</x:v>
      </x:c>
    </x:row>
    <x:row r="94" ht="23" customHeight="1">
      <x:c r="A94" s="11" t="str">
        <x:v>01093.HK</x:v>
      </x:c>
      <x:c r="B94" s="11" t="str">
        <x:v>三年</x:v>
      </x:c>
      <x:c r="C94" s="11" t="str">
        <x:v>TG103_DOM</x:v>
      </x:c>
      <x:c r="D94" s="11" t="str">
        <x:v>乐观</x:v>
      </x:c>
      <x:c r="E94" s="16" t="n">
        <x:v>0.88</x:v>
      </x:c>
      <x:c r="F94" s="16" t="n">
        <x:v>0.21</x:v>
      </x:c>
      <x:c r="G94" s="16" t="n">
        <x:v>0.95</x:v>
      </x:c>
      <x:c r="H94" s="11" t="n">
        <x:f>H82</x:f>
        <x:v>0.11</x:v>
      </x:c>
      <x:c r="I94" s="11" t="n">
        <x:f>I82</x:f>
        <x:v>7</x:v>
      </x:c>
    </x:row>
    <x:row r="95" ht="23" customHeight="1">
      <x:c r="A95" s="11" t="str">
        <x:v>01093.HK</x:v>
      </x:c>
      <x:c r="B95" s="11" t="str">
        <x:v>三年</x:v>
      </x:c>
      <x:c r="C95" s="11" t="str">
        <x:v>AZ_OBESITY_EXCHINA</x:v>
      </x:c>
      <x:c r="D95" s="11" t="str">
        <x:v>活动输入</x:v>
      </x:c>
      <x:c r="E95" s="11" t="n">
        <x:f>CHOOSE('假设'!$B$3,E96,E97,E98)</x:f>
        <x:v>0.15</x:v>
      </x:c>
      <x:c r="F95" s="11" t="n">
        <x:f>CHOOSE('假设'!$B$3,F96,F97,F98)</x:f>
        <x:v>0.11699999999999999</x:v>
      </x:c>
      <x:c r="G95" s="11" t="n">
        <x:f>CHOOSE('假设'!$B$3,G96,G97,G98)</x:f>
        <x:v>0.9</x:v>
      </x:c>
      <x:c r="H95" s="11" t="n">
        <x:f>CHOOSE('假设'!$B$3,H96,H97,H98)</x:f>
        <x:v>0.13</x:v>
      </x:c>
      <x:c r="I95" s="11" t="n">
        <x:f>CHOOSE('假设'!$B$3,I96,I97,I98)</x:f>
        <x:v>7</x:v>
      </x:c>
    </x:row>
    <x:row r="96" ht="23" customHeight="1">
      <x:c r="A96" s="11" t="str">
        <x:v>01093.HK</x:v>
      </x:c>
      <x:c r="B96" s="11" t="str">
        <x:v>三年</x:v>
      </x:c>
      <x:c r="C96" s="11" t="str">
        <x:v>AZ_OBESITY_EXCHINA</x:v>
      </x:c>
      <x:c r="D96" s="11" t="str">
        <x:v>悲观</x:v>
      </x:c>
      <x:c r="E96" s="16" t="n">
        <x:v>0.05</x:v>
      </x:c>
      <x:c r="F96" s="16" t="n">
        <x:v>0.09</x:v>
      </x:c>
      <x:c r="G96" s="16" t="n">
        <x:v>0.85</x:v>
      </x:c>
      <x:c r="H96" s="11" t="n">
        <x:f>H80</x:f>
        <x:v>0.16</x:v>
      </x:c>
      <x:c r="I96" s="11" t="n">
        <x:f>I80</x:f>
        <x:v>7</x:v>
      </x:c>
    </x:row>
    <x:row r="97" ht="23" customHeight="1">
      <x:c r="A97" s="11" t="str">
        <x:v>01093.HK</x:v>
      </x:c>
      <x:c r="B97" s="11" t="str">
        <x:v>三年</x:v>
      </x:c>
      <x:c r="C97" s="11" t="str">
        <x:v>AZ_OBESITY_EXCHINA</x:v>
      </x:c>
      <x:c r="D97" s="11" t="str">
        <x:v>基准</x:v>
      </x:c>
      <x:c r="E97" s="16" t="n">
        <x:v>0.15</x:v>
      </x:c>
      <x:c r="F97" s="16" t="n">
        <x:v>0.11699999999999999</x:v>
      </x:c>
      <x:c r="G97" s="16" t="n">
        <x:v>0.9</x:v>
      </x:c>
      <x:c r="H97" s="11" t="n">
        <x:f>H81</x:f>
        <x:v>0.13</x:v>
      </x:c>
      <x:c r="I97" s="11" t="n">
        <x:f>I81</x:f>
        <x:v>7</x:v>
      </x:c>
    </x:row>
    <x:row r="98" ht="23" customHeight="1">
      <x:c r="A98" s="11" t="str">
        <x:v>01093.HK</x:v>
      </x:c>
      <x:c r="B98" s="11" t="str">
        <x:v>三年</x:v>
      </x:c>
      <x:c r="C98" s="11" t="str">
        <x:v>AZ_OBESITY_EXCHINA</x:v>
      </x:c>
      <x:c r="D98" s="11" t="str">
        <x:v>乐观</x:v>
      </x:c>
      <x:c r="E98" s="16" t="n">
        <x:v>0.35</x:v>
      </x:c>
      <x:c r="F98" s="16" t="n">
        <x:v>0.144</x:v>
      </x:c>
      <x:c r="G98" s="16" t="n">
        <x:v>0.95</x:v>
      </x:c>
      <x:c r="H98" s="11" t="n">
        <x:f>H82</x:f>
        <x:v>0.11</x:v>
      </x:c>
      <x:c r="I98" s="11" t="n">
        <x:f>I82</x:f>
        <x:v>7</x:v>
      </x:c>
    </x:row>
    <x:row r="99" ht="23" customHeight="1">
      <x:c r="A99" s="11" t="str">
        <x:v>01093.HK</x:v>
      </x:c>
      <x:c r="B99" s="11" t="str">
        <x:v>三年</x:v>
      </x:c>
      <x:c r="C99" s="11" t="str">
        <x:v>OTHER_OVERSEAS</x:v>
      </x:c>
      <x:c r="D99" s="11" t="str">
        <x:v>活动输入</x:v>
      </x:c>
      <x:c r="E99" s="11" t="n">
        <x:f>CHOOSE('假设'!$B$3,E100,E101,E102)</x:f>
        <x:v>0.12</x:v>
      </x:c>
      <x:c r="F99" s="11" t="n">
        <x:f>CHOOSE('假设'!$B$3,F100,F101,F102)</x:f>
        <x:v>0.062400000000000004</x:v>
      </x:c>
      <x:c r="G99" s="11" t="n">
        <x:f>CHOOSE('假设'!$B$3,G100,G101,G102)</x:f>
        <x:v>0.9</x:v>
      </x:c>
      <x:c r="H99" s="11" t="n">
        <x:f>CHOOSE('假设'!$B$3,H100,H101,H102)</x:f>
        <x:v>0.13</x:v>
      </x:c>
      <x:c r="I99" s="11" t="n">
        <x:f>CHOOSE('假设'!$B$3,I100,I101,I102)</x:f>
        <x:v>7</x:v>
      </x:c>
    </x:row>
    <x:row r="100" ht="23" customHeight="1">
      <x:c r="A100" s="11" t="str">
        <x:v>01093.HK</x:v>
      </x:c>
      <x:c r="B100" s="11" t="str">
        <x:v>三年</x:v>
      </x:c>
      <x:c r="C100" s="11" t="str">
        <x:v>OTHER_OVERSEAS</x:v>
      </x:c>
      <x:c r="D100" s="11" t="str">
        <x:v>悲观</x:v>
      </x:c>
      <x:c r="E100" s="16" t="n">
        <x:v>0.04</x:v>
      </x:c>
      <x:c r="F100" s="16" t="n">
        <x:v>0.045</x:v>
      </x:c>
      <x:c r="G100" s="16" t="n">
        <x:v>0.85</x:v>
      </x:c>
      <x:c r="H100" s="11" t="n">
        <x:f>H80</x:f>
        <x:v>0.16</x:v>
      </x:c>
      <x:c r="I100" s="11" t="n">
        <x:f>I80</x:f>
        <x:v>7</x:v>
      </x:c>
    </x:row>
    <x:row r="101" ht="23" customHeight="1">
      <x:c r="A101" s="11" t="str">
        <x:v>01093.HK</x:v>
      </x:c>
      <x:c r="B101" s="11" t="str">
        <x:v>三年</x:v>
      </x:c>
      <x:c r="C101" s="11" t="str">
        <x:v>OTHER_OVERSEAS</x:v>
      </x:c>
      <x:c r="D101" s="11" t="str">
        <x:v>基准</x:v>
      </x:c>
      <x:c r="E101" s="16" t="n">
        <x:v>0.12</x:v>
      </x:c>
      <x:c r="F101" s="16" t="n">
        <x:v>0.062400000000000004</x:v>
      </x:c>
      <x:c r="G101" s="16" t="n">
        <x:v>0.9</x:v>
      </x:c>
      <x:c r="H101" s="11" t="n">
        <x:f>H81</x:f>
        <x:v>0.13</x:v>
      </x:c>
      <x:c r="I101" s="11" t="n">
        <x:f>I81</x:f>
        <x:v>7</x:v>
      </x:c>
    </x:row>
    <x:row r="102" ht="23" customHeight="1">
      <x:c r="A102" s="11" t="str">
        <x:v>01093.HK</x:v>
      </x:c>
      <x:c r="B102" s="11" t="str">
        <x:v>三年</x:v>
      </x:c>
      <x:c r="C102" s="11" t="str">
        <x:v>OTHER_OVERSEAS</x:v>
      </x:c>
      <x:c r="D102" s="11" t="str">
        <x:v>乐观</x:v>
      </x:c>
      <x:c r="E102" s="16" t="n">
        <x:v>0.28</x:v>
      </x:c>
      <x:c r="F102" s="16" t="n">
        <x:v>0.08000000000000002</x:v>
      </x:c>
      <x:c r="G102" s="16" t="n">
        <x:v>0.95</x:v>
      </x:c>
      <x:c r="H102" s="11" t="n">
        <x:f>H82</x:f>
        <x:v>0.11</x:v>
      </x:c>
      <x:c r="I102" s="11" t="n">
        <x:f>I82</x:f>
        <x:v>7</x:v>
      </x:c>
    </x:row>
    <x:row r="103" ht="23" customHeight="1">
      <x:c r="A103" s="11" t="str">
        <x:v>01093.HK</x:v>
      </x:c>
      <x:c r="B103" s="11" t="str">
        <x:v>五年</x:v>
      </x:c>
      <x:c r="C103" s="11" t="str">
        <x:v>SYS6010_DOM</x:v>
      </x:c>
      <x:c r="D103" s="11" t="str">
        <x:v>活动输入</x:v>
      </x:c>
      <x:c r="E103" s="11" t="n">
        <x:f>CHOOSE('假设'!$B$3,E104,E105,E106)</x:f>
        <x:v>0.7</x:v>
      </x:c>
      <x:c r="F103" s="11" t="n">
        <x:f>CHOOSE('假设'!$B$3,F104,F105,F106)</x:f>
        <x:v>0.2</x:v>
      </x:c>
      <x:c r="G103" s="11" t="n">
        <x:f>CHOOSE('假设'!$B$3,G104,G105,G106)</x:f>
        <x:v>0.95</x:v>
      </x:c>
      <x:c r="H103" s="11" t="n">
        <x:f>CHOOSE('假设'!$B$3,H104,H105,H106)</x:f>
        <x:v>0.13</x:v>
      </x:c>
      <x:c r="I103" s="11" t="n">
        <x:f>CHOOSE('假设'!$B$3,I104,I105,I106)</x:f>
        <x:v>7</x:v>
      </x:c>
    </x:row>
    <x:row r="104" ht="23" customHeight="1">
      <x:c r="A104" s="11" t="str">
        <x:v>01093.HK</x:v>
      </x:c>
      <x:c r="B104" s="11" t="str">
        <x:v>五年</x:v>
      </x:c>
      <x:c r="C104" s="11" t="str">
        <x:v>SYS6010_DOM</x:v>
      </x:c>
      <x:c r="D104" s="11" t="str">
        <x:v>悲观</x:v>
      </x:c>
      <x:c r="E104" s="16" t="n">
        <x:v>0.4</x:v>
      </x:c>
      <x:c r="F104" s="16" t="n">
        <x:v>0.14</x:v>
      </x:c>
      <x:c r="G104" s="16" t="n">
        <x:v>0.9</x:v>
      </x:c>
      <x:c r="H104" s="16" t="n">
        <x:v>0.16</x:v>
      </x:c>
      <x:c r="I104" s="16" t="n">
        <x:v>7</x:v>
      </x:c>
    </x:row>
    <x:row r="105" ht="23" customHeight="1">
      <x:c r="A105" s="11" t="str">
        <x:v>01093.HK</x:v>
      </x:c>
      <x:c r="B105" s="11" t="str">
        <x:v>五年</x:v>
      </x:c>
      <x:c r="C105" s="11" t="str">
        <x:v>SYS6010_DOM</x:v>
      </x:c>
      <x:c r="D105" s="11" t="str">
        <x:v>基准</x:v>
      </x:c>
      <x:c r="E105" s="16" t="n">
        <x:v>0.7</x:v>
      </x:c>
      <x:c r="F105" s="16" t="n">
        <x:v>0.2</x:v>
      </x:c>
      <x:c r="G105" s="16" t="n">
        <x:v>0.95</x:v>
      </x:c>
      <x:c r="H105" s="16" t="n">
        <x:v>0.13</x:v>
      </x:c>
      <x:c r="I105" s="16" t="n">
        <x:v>7</x:v>
      </x:c>
    </x:row>
    <x:row r="106" ht="23" customHeight="1">
      <x:c r="A106" s="11" t="str">
        <x:v>01093.HK</x:v>
      </x:c>
      <x:c r="B106" s="11" t="str">
        <x:v>五年</x:v>
      </x:c>
      <x:c r="C106" s="11" t="str">
        <x:v>SYS6010_DOM</x:v>
      </x:c>
      <x:c r="D106" s="11" t="str">
        <x:v>乐观</x:v>
      </x:c>
      <x:c r="E106" s="16" t="n">
        <x:v>0.88</x:v>
      </x:c>
      <x:c r="F106" s="16" t="n">
        <x:v>0.24</x:v>
      </x:c>
      <x:c r="G106" s="16" t="n">
        <x:v>0.97</x:v>
      </x:c>
      <x:c r="H106" s="16" t="n">
        <x:v>0.11</x:v>
      </x:c>
      <x:c r="I106" s="16" t="n">
        <x:v>7</x:v>
      </x:c>
    </x:row>
    <x:row r="107" ht="23" customHeight="1">
      <x:c r="A107" s="11" t="str">
        <x:v>01093.HK</x:v>
      </x:c>
      <x:c r="B107" s="11" t="str">
        <x:v>五年</x:v>
      </x:c>
      <x:c r="C107" s="11" t="str">
        <x:v>JMT101_DOM</x:v>
      </x:c>
      <x:c r="D107" s="11" t="str">
        <x:v>活动输入</x:v>
      </x:c>
      <x:c r="E107" s="11" t="n">
        <x:f>CHOOSE('假设'!$B$3,E108,E109,E110)</x:f>
        <x:v>0.65</x:v>
      </x:c>
      <x:c r="F107" s="11" t="n">
        <x:f>CHOOSE('假设'!$B$3,F108,F109,F110)</x:f>
        <x:v>0.18</x:v>
      </x:c>
      <x:c r="G107" s="11" t="n">
        <x:f>CHOOSE('假设'!$B$3,G108,G109,G110)</x:f>
        <x:v>0.9</x:v>
      </x:c>
      <x:c r="H107" s="11" t="n">
        <x:f>CHOOSE('假设'!$B$3,H108,H109,H110)</x:f>
        <x:v>0.13</x:v>
      </x:c>
      <x:c r="I107" s="11" t="n">
        <x:f>CHOOSE('假设'!$B$3,I108,I109,I110)</x:f>
        <x:v>7</x:v>
      </x:c>
    </x:row>
    <x:row r="108" ht="23" customHeight="1">
      <x:c r="A108" s="11" t="str">
        <x:v>01093.HK</x:v>
      </x:c>
      <x:c r="B108" s="11" t="str">
        <x:v>五年</x:v>
      </x:c>
      <x:c r="C108" s="11" t="str">
        <x:v>JMT101_DOM</x:v>
      </x:c>
      <x:c r="D108" s="11" t="str">
        <x:v>悲观</x:v>
      </x:c>
      <x:c r="E108" s="16" t="n">
        <x:v>0.35</x:v>
      </x:c>
      <x:c r="F108" s="16" t="n">
        <x:v>0.12</x:v>
      </x:c>
      <x:c r="G108" s="16" t="n">
        <x:v>0.85</x:v>
      </x:c>
      <x:c r="H108" s="11" t="n">
        <x:f>H104</x:f>
        <x:v>0.16</x:v>
      </x:c>
      <x:c r="I108" s="11" t="n">
        <x:f>I104</x:f>
        <x:v>7</x:v>
      </x:c>
    </x:row>
    <x:row r="109" ht="23" customHeight="1">
      <x:c r="A109" s="11" t="str">
        <x:v>01093.HK</x:v>
      </x:c>
      <x:c r="B109" s="11" t="str">
        <x:v>五年</x:v>
      </x:c>
      <x:c r="C109" s="11" t="str">
        <x:v>JMT101_DOM</x:v>
      </x:c>
      <x:c r="D109" s="11" t="str">
        <x:v>基准</x:v>
      </x:c>
      <x:c r="E109" s="16" t="n">
        <x:v>0.65</x:v>
      </x:c>
      <x:c r="F109" s="16" t="n">
        <x:v>0.18</x:v>
      </x:c>
      <x:c r="G109" s="16" t="n">
        <x:v>0.9</x:v>
      </x:c>
      <x:c r="H109" s="11" t="n">
        <x:f>H105</x:f>
        <x:v>0.13</x:v>
      </x:c>
      <x:c r="I109" s="11" t="n">
        <x:f>I105</x:f>
        <x:v>7</x:v>
      </x:c>
    </x:row>
    <x:row r="110" ht="23" customHeight="1">
      <x:c r="A110" s="11" t="str">
        <x:v>01093.HK</x:v>
      </x:c>
      <x:c r="B110" s="11" t="str">
        <x:v>五年</x:v>
      </x:c>
      <x:c r="C110" s="11" t="str">
        <x:v>JMT101_DOM</x:v>
      </x:c>
      <x:c r="D110" s="11" t="str">
        <x:v>乐观</x:v>
      </x:c>
      <x:c r="E110" s="16" t="n">
        <x:v>0.82</x:v>
      </x:c>
      <x:c r="F110" s="16" t="n">
        <x:v>0.22</x:v>
      </x:c>
      <x:c r="G110" s="16" t="n">
        <x:v>0.95</x:v>
      </x:c>
      <x:c r="H110" s="11" t="n">
        <x:f>H106</x:f>
        <x:v>0.11</x:v>
      </x:c>
      <x:c r="I110" s="11" t="n">
        <x:f>I106</x:f>
        <x:v>7</x:v>
      </x:c>
    </x:row>
    <x:row r="111" ht="23" customHeight="1">
      <x:c r="A111" s="11" t="str">
        <x:v>01093.HK</x:v>
      </x:c>
      <x:c r="B111" s="11" t="str">
        <x:v>五年</x:v>
      </x:c>
      <x:c r="C111" s="11" t="str">
        <x:v>KN026_HB_INCREMENT_DOM</x:v>
      </x:c>
      <x:c r="D111" s="11" t="str">
        <x:v>活动输入</x:v>
      </x:c>
      <x:c r="E111" s="11" t="n">
        <x:f>CHOOSE('假设'!$B$3,E112,E113,E114)</x:f>
        <x:v>0.7</x:v>
      </x:c>
      <x:c r="F111" s="11" t="n">
        <x:f>CHOOSE('假设'!$B$3,F112,F113,F114)</x:f>
        <x:v>0.16</x:v>
      </x:c>
      <x:c r="G111" s="11" t="n">
        <x:f>CHOOSE('假设'!$B$3,G112,G113,G114)</x:f>
        <x:v>0.9</x:v>
      </x:c>
      <x:c r="H111" s="11" t="n">
        <x:f>CHOOSE('假设'!$B$3,H112,H113,H114)</x:f>
        <x:v>0.13</x:v>
      </x:c>
      <x:c r="I111" s="11" t="n">
        <x:f>CHOOSE('假设'!$B$3,I112,I113,I114)</x:f>
        <x:v>7</x:v>
      </x:c>
    </x:row>
    <x:row r="112" ht="23" customHeight="1">
      <x:c r="A112" s="11" t="str">
        <x:v>01093.HK</x:v>
      </x:c>
      <x:c r="B112" s="11" t="str">
        <x:v>五年</x:v>
      </x:c>
      <x:c r="C112" s="11" t="str">
        <x:v>KN026_HB_INCREMENT_DOM</x:v>
      </x:c>
      <x:c r="D112" s="11" t="str">
        <x:v>悲观</x:v>
      </x:c>
      <x:c r="E112" s="16" t="n">
        <x:v>0.4</x:v>
      </x:c>
      <x:c r="F112" s="16" t="n">
        <x:v>0.1</x:v>
      </x:c>
      <x:c r="G112" s="16" t="n">
        <x:v>0.85</x:v>
      </x:c>
      <x:c r="H112" s="11" t="n">
        <x:f>H104</x:f>
        <x:v>0.16</x:v>
      </x:c>
      <x:c r="I112" s="11" t="n">
        <x:f>I104</x:f>
        <x:v>7</x:v>
      </x:c>
    </x:row>
    <x:row r="113" ht="23" customHeight="1">
      <x:c r="A113" s="11" t="str">
        <x:v>01093.HK</x:v>
      </x:c>
      <x:c r="B113" s="11" t="str">
        <x:v>五年</x:v>
      </x:c>
      <x:c r="C113" s="11" t="str">
        <x:v>KN026_HB_INCREMENT_DOM</x:v>
      </x:c>
      <x:c r="D113" s="11" t="str">
        <x:v>基准</x:v>
      </x:c>
      <x:c r="E113" s="16" t="n">
        <x:v>0.7</x:v>
      </x:c>
      <x:c r="F113" s="16" t="n">
        <x:v>0.16</x:v>
      </x:c>
      <x:c r="G113" s="16" t="n">
        <x:v>0.9</x:v>
      </x:c>
      <x:c r="H113" s="11" t="n">
        <x:f>H105</x:f>
        <x:v>0.13</x:v>
      </x:c>
      <x:c r="I113" s="11" t="n">
        <x:f>I105</x:f>
        <x:v>7</x:v>
      </x:c>
    </x:row>
    <x:row r="114" ht="23" customHeight="1">
      <x:c r="A114" s="11" t="str">
        <x:v>01093.HK</x:v>
      </x:c>
      <x:c r="B114" s="11" t="str">
        <x:v>五年</x:v>
      </x:c>
      <x:c r="C114" s="11" t="str">
        <x:v>KN026_HB_INCREMENT_DOM</x:v>
      </x:c>
      <x:c r="D114" s="11" t="str">
        <x:v>乐观</x:v>
      </x:c>
      <x:c r="E114" s="16" t="n">
        <x:v>0.88</x:v>
      </x:c>
      <x:c r="F114" s="16" t="n">
        <x:v>0.2</x:v>
      </x:c>
      <x:c r="G114" s="16" t="n">
        <x:v>0.95</x:v>
      </x:c>
      <x:c r="H114" s="11" t="n">
        <x:f>H106</x:f>
        <x:v>0.11</x:v>
      </x:c>
      <x:c r="I114" s="11" t="n">
        <x:f>I106</x:f>
        <x:v>7</x:v>
      </x:c>
    </x:row>
    <x:row r="115" ht="23" customHeight="1">
      <x:c r="A115" s="11" t="str">
        <x:v>01093.HK</x:v>
      </x:c>
      <x:c r="B115" s="11" t="str">
        <x:v>五年</x:v>
      </x:c>
      <x:c r="C115" s="11" t="str">
        <x:v>TG103_DOM</x:v>
      </x:c>
      <x:c r="D115" s="11" t="str">
        <x:v>活动输入</x:v>
      </x:c>
      <x:c r="E115" s="11" t="n">
        <x:f>CHOOSE('假设'!$B$3,E116,E117,E118)</x:f>
        <x:v>0.72</x:v>
      </x:c>
      <x:c r="F115" s="11" t="n">
        <x:f>CHOOSE('假设'!$B$3,F116,F117,F118)</x:f>
        <x:v>0.17</x:v>
      </x:c>
      <x:c r="G115" s="11" t="n">
        <x:f>CHOOSE('假设'!$B$3,G116,G117,G118)</x:f>
        <x:v>0.9</x:v>
      </x:c>
      <x:c r="H115" s="11" t="n">
        <x:f>CHOOSE('假设'!$B$3,H116,H117,H118)</x:f>
        <x:v>0.13</x:v>
      </x:c>
      <x:c r="I115" s="11" t="n">
        <x:f>CHOOSE('假设'!$B$3,I116,I117,I118)</x:f>
        <x:v>7</x:v>
      </x:c>
    </x:row>
    <x:row r="116" ht="23" customHeight="1">
      <x:c r="A116" s="11" t="str">
        <x:v>01093.HK</x:v>
      </x:c>
      <x:c r="B116" s="11" t="str">
        <x:v>五年</x:v>
      </x:c>
      <x:c r="C116" s="11" t="str">
        <x:v>TG103_DOM</x:v>
      </x:c>
      <x:c r="D116" s="11" t="str">
        <x:v>悲观</x:v>
      </x:c>
      <x:c r="E116" s="16" t="n">
        <x:v>0.45</x:v>
      </x:c>
      <x:c r="F116" s="16" t="n">
        <x:v>0.1</x:v>
      </x:c>
      <x:c r="G116" s="16" t="n">
        <x:v>0.85</x:v>
      </x:c>
      <x:c r="H116" s="11" t="n">
        <x:f>H104</x:f>
        <x:v>0.16</x:v>
      </x:c>
      <x:c r="I116" s="11" t="n">
        <x:f>I104</x:f>
        <x:v>7</x:v>
      </x:c>
    </x:row>
    <x:row r="117" ht="23" customHeight="1">
      <x:c r="A117" s="11" t="str">
        <x:v>01093.HK</x:v>
      </x:c>
      <x:c r="B117" s="11" t="str">
        <x:v>五年</x:v>
      </x:c>
      <x:c r="C117" s="11" t="str">
        <x:v>TG103_DOM</x:v>
      </x:c>
      <x:c r="D117" s="11" t="str">
        <x:v>基准</x:v>
      </x:c>
      <x:c r="E117" s="16" t="n">
        <x:v>0.72</x:v>
      </x:c>
      <x:c r="F117" s="16" t="n">
        <x:v>0.17</x:v>
      </x:c>
      <x:c r="G117" s="16" t="n">
        <x:v>0.9</x:v>
      </x:c>
      <x:c r="H117" s="11" t="n">
        <x:f>H105</x:f>
        <x:v>0.13</x:v>
      </x:c>
      <x:c r="I117" s="11" t="n">
        <x:f>I105</x:f>
        <x:v>7</x:v>
      </x:c>
    </x:row>
    <x:row r="118" ht="23" customHeight="1">
      <x:c r="A118" s="11" t="str">
        <x:v>01093.HK</x:v>
      </x:c>
      <x:c r="B118" s="11" t="str">
        <x:v>五年</x:v>
      </x:c>
      <x:c r="C118" s="11" t="str">
        <x:v>TG103_DOM</x:v>
      </x:c>
      <x:c r="D118" s="11" t="str">
        <x:v>乐观</x:v>
      </x:c>
      <x:c r="E118" s="16" t="n">
        <x:v>0.88</x:v>
      </x:c>
      <x:c r="F118" s="16" t="n">
        <x:v>0.21</x:v>
      </x:c>
      <x:c r="G118" s="16" t="n">
        <x:v>0.95</x:v>
      </x:c>
      <x:c r="H118" s="11" t="n">
        <x:f>H106</x:f>
        <x:v>0.11</x:v>
      </x:c>
      <x:c r="I118" s="11" t="n">
        <x:f>I106</x:f>
        <x:v>7</x:v>
      </x:c>
    </x:row>
    <x:row r="119" ht="23" customHeight="1">
      <x:c r="A119" s="11" t="str">
        <x:v>01093.HK</x:v>
      </x:c>
      <x:c r="B119" s="11" t="str">
        <x:v>五年</x:v>
      </x:c>
      <x:c r="C119" s="11" t="str">
        <x:v>AZ_OBESITY_EXCHINA</x:v>
      </x:c>
      <x:c r="D119" s="11" t="str">
        <x:v>活动输入</x:v>
      </x:c>
      <x:c r="E119" s="11" t="n">
        <x:f>CHOOSE('假设'!$B$3,E120,E121,E122)</x:f>
        <x:v>0.15</x:v>
      </x:c>
      <x:c r="F119" s="11" t="n">
        <x:f>CHOOSE('假设'!$B$3,F120,F121,F122)</x:f>
        <x:v>0.11699999999999999</x:v>
      </x:c>
      <x:c r="G119" s="11" t="n">
        <x:f>CHOOSE('假设'!$B$3,G120,G121,G122)</x:f>
        <x:v>0.9</x:v>
      </x:c>
      <x:c r="H119" s="11" t="n">
        <x:f>CHOOSE('假设'!$B$3,H120,H121,H122)</x:f>
        <x:v>0.13</x:v>
      </x:c>
      <x:c r="I119" s="11" t="n">
        <x:f>CHOOSE('假设'!$B$3,I120,I121,I122)</x:f>
        <x:v>7</x:v>
      </x:c>
    </x:row>
    <x:row r="120" ht="23" customHeight="1">
      <x:c r="A120" s="11" t="str">
        <x:v>01093.HK</x:v>
      </x:c>
      <x:c r="B120" s="11" t="str">
        <x:v>五年</x:v>
      </x:c>
      <x:c r="C120" s="11" t="str">
        <x:v>AZ_OBESITY_EXCHINA</x:v>
      </x:c>
      <x:c r="D120" s="11" t="str">
        <x:v>悲观</x:v>
      </x:c>
      <x:c r="E120" s="16" t="n">
        <x:v>0.05</x:v>
      </x:c>
      <x:c r="F120" s="16" t="n">
        <x:v>0.09</x:v>
      </x:c>
      <x:c r="G120" s="16" t="n">
        <x:v>0.85</x:v>
      </x:c>
      <x:c r="H120" s="11" t="n">
        <x:f>H104</x:f>
        <x:v>0.16</x:v>
      </x:c>
      <x:c r="I120" s="11" t="n">
        <x:f>I104</x:f>
        <x:v>7</x:v>
      </x:c>
    </x:row>
    <x:row r="121" ht="23" customHeight="1">
      <x:c r="A121" s="11" t="str">
        <x:v>01093.HK</x:v>
      </x:c>
      <x:c r="B121" s="11" t="str">
        <x:v>五年</x:v>
      </x:c>
      <x:c r="C121" s="11" t="str">
        <x:v>AZ_OBESITY_EXCHINA</x:v>
      </x:c>
      <x:c r="D121" s="11" t="str">
        <x:v>基准</x:v>
      </x:c>
      <x:c r="E121" s="16" t="n">
        <x:v>0.15</x:v>
      </x:c>
      <x:c r="F121" s="16" t="n">
        <x:v>0.11699999999999999</x:v>
      </x:c>
      <x:c r="G121" s="16" t="n">
        <x:v>0.9</x:v>
      </x:c>
      <x:c r="H121" s="11" t="n">
        <x:f>H105</x:f>
        <x:v>0.13</x:v>
      </x:c>
      <x:c r="I121" s="11" t="n">
        <x:f>I105</x:f>
        <x:v>7</x:v>
      </x:c>
    </x:row>
    <x:row r="122" ht="23" customHeight="1">
      <x:c r="A122" s="11" t="str">
        <x:v>01093.HK</x:v>
      </x:c>
      <x:c r="B122" s="11" t="str">
        <x:v>五年</x:v>
      </x:c>
      <x:c r="C122" s="11" t="str">
        <x:v>AZ_OBESITY_EXCHINA</x:v>
      </x:c>
      <x:c r="D122" s="11" t="str">
        <x:v>乐观</x:v>
      </x:c>
      <x:c r="E122" s="16" t="n">
        <x:v>0.35</x:v>
      </x:c>
      <x:c r="F122" s="16" t="n">
        <x:v>0.144</x:v>
      </x:c>
      <x:c r="G122" s="16" t="n">
        <x:v>0.95</x:v>
      </x:c>
      <x:c r="H122" s="11" t="n">
        <x:f>H106</x:f>
        <x:v>0.11</x:v>
      </x:c>
      <x:c r="I122" s="11" t="n">
        <x:f>I106</x:f>
        <x:v>7</x:v>
      </x:c>
    </x:row>
    <x:row r="123" ht="23" customHeight="1">
      <x:c r="A123" s="11" t="str">
        <x:v>01093.HK</x:v>
      </x:c>
      <x:c r="B123" s="11" t="str">
        <x:v>五年</x:v>
      </x:c>
      <x:c r="C123" s="11" t="str">
        <x:v>OTHER_OVERSEAS</x:v>
      </x:c>
      <x:c r="D123" s="11" t="str">
        <x:v>活动输入</x:v>
      </x:c>
      <x:c r="E123" s="11" t="n">
        <x:f>CHOOSE('假设'!$B$3,E124,E125,E126)</x:f>
        <x:v>0.12</x:v>
      </x:c>
      <x:c r="F123" s="11" t="n">
        <x:f>CHOOSE('假设'!$B$3,F124,F125,F126)</x:f>
        <x:v>0.062400000000000004</x:v>
      </x:c>
      <x:c r="G123" s="11" t="n">
        <x:f>CHOOSE('假设'!$B$3,G124,G125,G126)</x:f>
        <x:v>0.9</x:v>
      </x:c>
      <x:c r="H123" s="11" t="n">
        <x:f>CHOOSE('假设'!$B$3,H124,H125,H126)</x:f>
        <x:v>0.13</x:v>
      </x:c>
      <x:c r="I123" s="11" t="n">
        <x:f>CHOOSE('假设'!$B$3,I124,I125,I126)</x:f>
        <x:v>7</x:v>
      </x:c>
    </x:row>
    <x:row r="124" ht="23" customHeight="1">
      <x:c r="A124" s="11" t="str">
        <x:v>01093.HK</x:v>
      </x:c>
      <x:c r="B124" s="11" t="str">
        <x:v>五年</x:v>
      </x:c>
      <x:c r="C124" s="11" t="str">
        <x:v>OTHER_OVERSEAS</x:v>
      </x:c>
      <x:c r="D124" s="11" t="str">
        <x:v>悲观</x:v>
      </x:c>
      <x:c r="E124" s="16" t="n">
        <x:v>0.04</x:v>
      </x:c>
      <x:c r="F124" s="16" t="n">
        <x:v>0.045</x:v>
      </x:c>
      <x:c r="G124" s="16" t="n">
        <x:v>0.85</x:v>
      </x:c>
      <x:c r="H124" s="11" t="n">
        <x:f>H104</x:f>
        <x:v>0.16</x:v>
      </x:c>
      <x:c r="I124" s="11" t="n">
        <x:f>I104</x:f>
        <x:v>7</x:v>
      </x:c>
    </x:row>
    <x:row r="125" ht="23" customHeight="1">
      <x:c r="A125" s="11" t="str">
        <x:v>01093.HK</x:v>
      </x:c>
      <x:c r="B125" s="11" t="str">
        <x:v>五年</x:v>
      </x:c>
      <x:c r="C125" s="11" t="str">
        <x:v>OTHER_OVERSEAS</x:v>
      </x:c>
      <x:c r="D125" s="11" t="str">
        <x:v>基准</x:v>
      </x:c>
      <x:c r="E125" s="16" t="n">
        <x:v>0.12</x:v>
      </x:c>
      <x:c r="F125" s="16" t="n">
        <x:v>0.062400000000000004</x:v>
      </x:c>
      <x:c r="G125" s="16" t="n">
        <x:v>0.9</x:v>
      </x:c>
      <x:c r="H125" s="11" t="n">
        <x:f>H105</x:f>
        <x:v>0.13</x:v>
      </x:c>
      <x:c r="I125" s="11" t="n">
        <x:f>I105</x:f>
        <x:v>7</x:v>
      </x:c>
    </x:row>
    <x:row r="126" ht="23" customHeight="1">
      <x:c r="A126" s="11" t="str">
        <x:v>01093.HK</x:v>
      </x:c>
      <x:c r="B126" s="11" t="str">
        <x:v>五年</x:v>
      </x:c>
      <x:c r="C126" s="11" t="str">
        <x:v>OTHER_OVERSEAS</x:v>
      </x:c>
      <x:c r="D126" s="11" t="str">
        <x:v>乐观</x:v>
      </x:c>
      <x:c r="E126" s="16" t="n">
        <x:v>0.28</x:v>
      </x:c>
      <x:c r="F126" s="16" t="n">
        <x:v>0.08000000000000002</x:v>
      </x:c>
      <x:c r="G126" s="16" t="n">
        <x:v>0.95</x:v>
      </x:c>
      <x:c r="H126" s="11" t="n">
        <x:f>H106</x:f>
        <x:v>0.11</x:v>
      </x:c>
      <x:c r="I126" s="11" t="n">
        <x:f>I106</x:f>
        <x:v>7</x:v>
      </x:c>
    </x:row>
    <x:row r="127" ht="23" customHeight="1">
      <x:c r="A127" s="11" t="str">
        <x:v>688192.SH</x:v>
      </x:c>
      <x:c r="B127" s="11" t="str">
        <x:v>2026年底</x:v>
      </x:c>
      <x:c r="C127" s="11" t="str">
        <x:v>sun_later</x:v>
      </x:c>
      <x:c r="D127" s="11" t="str">
        <x:v>活动输入</x:v>
      </x:c>
      <x:c r="E127" s="11" t="n">
        <x:f>CHOOSE('假设'!$B$3,E128,E129,E130)</x:f>
        <x:v>1</x:v>
      </x:c>
      <x:c r="F127" s="11" t="n">
        <x:f>CHOOSE('假设'!$B$3,F128,F129,F130)</x:f>
        <x:v>0.08610000000000001</x:v>
      </x:c>
      <x:c r="G127" s="11" t="n">
        <x:f>CHOOSE('假设'!$B$3,G128,G129,G130)</x:f>
        <x:v>1</x:v>
      </x:c>
      <x:c r="H127" s="11" t="n">
        <x:f>CHOOSE('假设'!$B$3,H128,H129,H130)</x:f>
        <x:v>0.125</x:v>
      </x:c>
      <x:c r="I127" s="11" t="n">
        <x:f>CHOOSE('假设'!$B$3,I128,I129,I130)</x:f>
        <x:v>6.8</x:v>
      </x:c>
    </x:row>
    <x:row r="128" ht="23" customHeight="1">
      <x:c r="A128" s="11" t="str">
        <x:v>688192.SH</x:v>
      </x:c>
      <x:c r="B128" s="11" t="str">
        <x:v>2026年底</x:v>
      </x:c>
      <x:c r="C128" s="11" t="str">
        <x:v>sun_later</x:v>
      </x:c>
      <x:c r="D128" s="11" t="str">
        <x:v>悲观</x:v>
      </x:c>
      <x:c r="E128" s="16" t="n">
        <x:v>1</x:v>
      </x:c>
      <x:c r="F128" s="16" t="n">
        <x:v>0.064</x:v>
      </x:c>
      <x:c r="G128" s="16" t="n">
        <x:v>1</x:v>
      </x:c>
      <x:c r="H128" s="16" t="n">
        <x:v>0.16</x:v>
      </x:c>
      <x:c r="I128" s="16" t="n">
        <x:v>6.8</x:v>
      </x:c>
    </x:row>
    <x:row r="129" ht="23" customHeight="1">
      <x:c r="A129" s="11" t="str">
        <x:v>688192.SH</x:v>
      </x:c>
      <x:c r="B129" s="11" t="str">
        <x:v>2026年底</x:v>
      </x:c>
      <x:c r="C129" s="11" t="str">
        <x:v>sun_later</x:v>
      </x:c>
      <x:c r="D129" s="11" t="str">
        <x:v>基准</x:v>
      </x:c>
      <x:c r="E129" s="16" t="n">
        <x:v>1</x:v>
      </x:c>
      <x:c r="F129" s="16" t="n">
        <x:v>0.08610000000000001</x:v>
      </x:c>
      <x:c r="G129" s="16" t="n">
        <x:v>1</x:v>
      </x:c>
      <x:c r="H129" s="16" t="n">
        <x:v>0.125</x:v>
      </x:c>
      <x:c r="I129" s="16" t="n">
        <x:v>6.8</x:v>
      </x:c>
    </x:row>
    <x:row r="130" ht="23" customHeight="1">
      <x:c r="A130" s="11" t="str">
        <x:v>688192.SH</x:v>
      </x:c>
      <x:c r="B130" s="11" t="str">
        <x:v>2026年底</x:v>
      </x:c>
      <x:c r="C130" s="11" t="str">
        <x:v>sun_later</x:v>
      </x:c>
      <x:c r="D130" s="11" t="str">
        <x:v>乐观</x:v>
      </x:c>
      <x:c r="E130" s="16" t="n">
        <x:v>1</x:v>
      </x:c>
      <x:c r="F130" s="16" t="n">
        <x:v>0.1105</x:v>
      </x:c>
      <x:c r="G130" s="16" t="n">
        <x:v>1</x:v>
      </x:c>
      <x:c r="H130" s="16" t="n">
        <x:v>0.105</x:v>
      </x:c>
      <x:c r="I130" s="16" t="n">
        <x:v>6.8</x:v>
      </x:c>
    </x:row>
    <x:row r="131" ht="23" customHeight="1">
      <x:c r="A131" s="11" t="str">
        <x:v>688192.SH</x:v>
      </x:c>
      <x:c r="B131" s="11" t="str">
        <x:v>2026年底</x:v>
      </x:c>
      <x:c r="C131" s="11" t="str">
        <x:v>sun_first</x:v>
      </x:c>
      <x:c r="D131" s="11" t="str">
        <x:v>活动输入</x:v>
      </x:c>
      <x:c r="E131" s="11" t="n">
        <x:f>CHOOSE('假设'!$B$3,E132,E133,E134)</x:f>
        <x:v>0.78</x:v>
      </x:c>
      <x:c r="F131" s="11" t="n">
        <x:f>CHOOSE('假设'!$B$3,F132,F133,F134)</x:f>
        <x:v>0.08610000000000001</x:v>
      </x:c>
      <x:c r="G131" s="11" t="n">
        <x:f>CHOOSE('假设'!$B$3,G132,G133,G134)</x:f>
        <x:v>1</x:v>
      </x:c>
      <x:c r="H131" s="11" t="n">
        <x:f>CHOOSE('假设'!$B$3,H132,H133,H134)</x:f>
        <x:v>0.125</x:v>
      </x:c>
      <x:c r="I131" s="11" t="n">
        <x:f>CHOOSE('假设'!$B$3,I132,I133,I134)</x:f>
        <x:v>6.8</x:v>
      </x:c>
    </x:row>
    <x:row r="132" ht="23" customHeight="1">
      <x:c r="A132" s="11" t="str">
        <x:v>688192.SH</x:v>
      </x:c>
      <x:c r="B132" s="11" t="str">
        <x:v>2026年底</x:v>
      </x:c>
      <x:c r="C132" s="11" t="str">
        <x:v>sun_first</x:v>
      </x:c>
      <x:c r="D132" s="11" t="str">
        <x:v>悲观</x:v>
      </x:c>
      <x:c r="E132" s="16" t="n">
        <x:v>0.44999999999999996</x:v>
      </x:c>
      <x:c r="F132" s="16" t="n">
        <x:v>0.064</x:v>
      </x:c>
      <x:c r="G132" s="16" t="n">
        <x:v>1</x:v>
      </x:c>
      <x:c r="H132" s="11" t="n">
        <x:f>H128</x:f>
        <x:v>0.16</x:v>
      </x:c>
      <x:c r="I132" s="11" t="n">
        <x:f>I128</x:f>
        <x:v>6.8</x:v>
      </x:c>
    </x:row>
    <x:row r="133" ht="23" customHeight="1">
      <x:c r="A133" s="11" t="str">
        <x:v>688192.SH</x:v>
      </x:c>
      <x:c r="B133" s="11" t="str">
        <x:v>2026年底</x:v>
      </x:c>
      <x:c r="C133" s="11" t="str">
        <x:v>sun_first</x:v>
      </x:c>
      <x:c r="D133" s="11" t="str">
        <x:v>基准</x:v>
      </x:c>
      <x:c r="E133" s="16" t="n">
        <x:v>0.78</x:v>
      </x:c>
      <x:c r="F133" s="16" t="n">
        <x:v>0.08610000000000001</x:v>
      </x:c>
      <x:c r="G133" s="16" t="n">
        <x:v>1</x:v>
      </x:c>
      <x:c r="H133" s="11" t="n">
        <x:f>H129</x:f>
        <x:v>0.125</x:v>
      </x:c>
      <x:c r="I133" s="11" t="n">
        <x:f>I129</x:f>
        <x:v>6.8</x:v>
      </x:c>
    </x:row>
    <x:row r="134" ht="23" customHeight="1">
      <x:c r="A134" s="11" t="str">
        <x:v>688192.SH</x:v>
      </x:c>
      <x:c r="B134" s="11" t="str">
        <x:v>2026年底</x:v>
      </x:c>
      <x:c r="C134" s="11" t="str">
        <x:v>sun_first</x:v>
      </x:c>
      <x:c r="D134" s="11" t="str">
        <x:v>乐观</x:v>
      </x:c>
      <x:c r="E134" s="16" t="n">
        <x:v>0.92</x:v>
      </x:c>
      <x:c r="F134" s="16" t="n">
        <x:v>0.1105</x:v>
      </x:c>
      <x:c r="G134" s="16" t="n">
        <x:v>1</x:v>
      </x:c>
      <x:c r="H134" s="11" t="n">
        <x:f>H130</x:f>
        <x:v>0.105</x:v>
      </x:c>
      <x:c r="I134" s="11" t="n">
        <x:f>I130</x:f>
        <x:v>6.8</x:v>
      </x:c>
    </x:row>
    <x:row r="135" ht="23" customHeight="1">
      <x:c r="A135" s="11" t="str">
        <x:v>688192.SH</x:v>
      </x:c>
      <x:c r="B135" s="11" t="str">
        <x:v>2026年底</x:v>
      </x:c>
      <x:c r="C135" s="11" t="str">
        <x:v>goli_rr</x:v>
      </x:c>
      <x:c r="D135" s="11" t="str">
        <x:v>活动输入</x:v>
      </x:c>
      <x:c r="E135" s="11" t="n">
        <x:f>CHOOSE('假设'!$B$3,E136,E137,E138)</x:f>
        <x:v>1</x:v>
      </x:c>
      <x:c r="F135" s="11" t="n">
        <x:f>CHOOSE('假设'!$B$3,F136,F137,F138)</x:f>
        <x:v>0.33</x:v>
      </x:c>
      <x:c r="G135" s="11" t="n">
        <x:f>CHOOSE('假设'!$B$3,G136,G137,G138)</x:f>
        <x:v>1</x:v>
      </x:c>
      <x:c r="H135" s="11" t="n">
        <x:f>CHOOSE('假设'!$B$3,H136,H137,H138)</x:f>
        <x:v>0.125</x:v>
      </x:c>
      <x:c r="I135" s="11" t="n">
        <x:f>CHOOSE('假设'!$B$3,I136,I137,I138)</x:f>
        <x:v>6.8</x:v>
      </x:c>
    </x:row>
    <x:row r="136" ht="23" customHeight="1">
      <x:c r="A136" s="11" t="str">
        <x:v>688192.SH</x:v>
      </x:c>
      <x:c r="B136" s="11" t="str">
        <x:v>2026年底</x:v>
      </x:c>
      <x:c r="C136" s="11" t="str">
        <x:v>goli_rr</x:v>
      </x:c>
      <x:c r="D136" s="11" t="str">
        <x:v>悲观</x:v>
      </x:c>
      <x:c r="E136" s="16" t="n">
        <x:v>1</x:v>
      </x:c>
      <x:c r="F136" s="16" t="n">
        <x:v>0.22</x:v>
      </x:c>
      <x:c r="G136" s="16" t="n">
        <x:v>1</x:v>
      </x:c>
      <x:c r="H136" s="11" t="n">
        <x:f>H128</x:f>
        <x:v>0.16</x:v>
      </x:c>
      <x:c r="I136" s="11" t="n">
        <x:f>I128</x:f>
        <x:v>6.8</x:v>
      </x:c>
    </x:row>
    <x:row r="137" ht="23" customHeight="1">
      <x:c r="A137" s="11" t="str">
        <x:v>688192.SH</x:v>
      </x:c>
      <x:c r="B137" s="11" t="str">
        <x:v>2026年底</x:v>
      </x:c>
      <x:c r="C137" s="11" t="str">
        <x:v>goli_rr</x:v>
      </x:c>
      <x:c r="D137" s="11" t="str">
        <x:v>基准</x:v>
      </x:c>
      <x:c r="E137" s="16" t="n">
        <x:v>1</x:v>
      </x:c>
      <x:c r="F137" s="16" t="n">
        <x:v>0.33</x:v>
      </x:c>
      <x:c r="G137" s="16" t="n">
        <x:v>1</x:v>
      </x:c>
      <x:c r="H137" s="11" t="n">
        <x:f>H129</x:f>
        <x:v>0.125</x:v>
      </x:c>
      <x:c r="I137" s="11" t="n">
        <x:f>I129</x:f>
        <x:v>6.8</x:v>
      </x:c>
    </x:row>
    <x:row r="138" ht="23" customHeight="1">
      <x:c r="A138" s="11" t="str">
        <x:v>688192.SH</x:v>
      </x:c>
      <x:c r="B138" s="11" t="str">
        <x:v>2026年底</x:v>
      </x:c>
      <x:c r="C138" s="11" t="str">
        <x:v>goli_rr</x:v>
      </x:c>
      <x:c r="D138" s="11" t="str">
        <x:v>乐观</x:v>
      </x:c>
      <x:c r="E138" s="16" t="n">
        <x:v>1</x:v>
      </x:c>
      <x:c r="F138" s="16" t="n">
        <x:v>0.4</x:v>
      </x:c>
      <x:c r="G138" s="16" t="n">
        <x:v>1</x:v>
      </x:c>
      <x:c r="H138" s="11" t="n">
        <x:f>H130</x:f>
        <x:v>0.105</x:v>
      </x:c>
      <x:c r="I138" s="11" t="n">
        <x:f>I130</x:f>
        <x:v>6.8</x:v>
      </x:c>
    </x:row>
    <x:row r="139" ht="23" customHeight="1">
      <x:c r="A139" s="11" t="str">
        <x:v>688192.SH</x:v>
      </x:c>
      <x:c r="B139" s="11" t="str">
        <x:v>2026年底</x:v>
      </x:c>
      <x:c r="C139" s="11" t="str">
        <x:v>goli_first</x:v>
      </x:c>
      <x:c r="D139" s="11" t="str">
        <x:v>活动输入</x:v>
      </x:c>
      <x:c r="E139" s="11" t="n">
        <x:f>CHOOSE('假设'!$B$3,E140,E141,E142)</x:f>
        <x:v>0.4</x:v>
      </x:c>
      <x:c r="F139" s="11" t="n">
        <x:f>CHOOSE('假设'!$B$3,F140,F141,F142)</x:f>
        <x:v>0.33</x:v>
      </x:c>
      <x:c r="G139" s="11" t="n">
        <x:f>CHOOSE('假设'!$B$3,G140,G141,G142)</x:f>
        <x:v>1</x:v>
      </x:c>
      <x:c r="H139" s="11" t="n">
        <x:f>CHOOSE('假设'!$B$3,H140,H141,H142)</x:f>
        <x:v>0.125</x:v>
      </x:c>
      <x:c r="I139" s="11" t="n">
        <x:f>CHOOSE('假设'!$B$3,I140,I141,I142)</x:f>
        <x:v>6.8</x:v>
      </x:c>
    </x:row>
    <x:row r="140" ht="23" customHeight="1">
      <x:c r="A140" s="11" t="str">
        <x:v>688192.SH</x:v>
      </x:c>
      <x:c r="B140" s="11" t="str">
        <x:v>2026年底</x:v>
      </x:c>
      <x:c r="C140" s="11" t="str">
        <x:v>goli_first</x:v>
      </x:c>
      <x:c r="D140" s="11" t="str">
        <x:v>悲观</x:v>
      </x:c>
      <x:c r="E140" s="16" t="n">
        <x:v>0.15000000000000002</x:v>
      </x:c>
      <x:c r="F140" s="16" t="n">
        <x:v>0.22</x:v>
      </x:c>
      <x:c r="G140" s="16" t="n">
        <x:v>1</x:v>
      </x:c>
      <x:c r="H140" s="11" t="n">
        <x:f>H128</x:f>
        <x:v>0.16</x:v>
      </x:c>
      <x:c r="I140" s="11" t="n">
        <x:f>I128</x:f>
        <x:v>6.8</x:v>
      </x:c>
    </x:row>
    <x:row r="141" ht="23" customHeight="1">
      <x:c r="A141" s="11" t="str">
        <x:v>688192.SH</x:v>
      </x:c>
      <x:c r="B141" s="11" t="str">
        <x:v>2026年底</x:v>
      </x:c>
      <x:c r="C141" s="11" t="str">
        <x:v>goli_first</x:v>
      </x:c>
      <x:c r="D141" s="11" t="str">
        <x:v>基准</x:v>
      </x:c>
      <x:c r="E141" s="16" t="n">
        <x:v>0.4</x:v>
      </x:c>
      <x:c r="F141" s="16" t="n">
        <x:v>0.33</x:v>
      </x:c>
      <x:c r="G141" s="16" t="n">
        <x:v>1</x:v>
      </x:c>
      <x:c r="H141" s="11" t="n">
        <x:f>H129</x:f>
        <x:v>0.125</x:v>
      </x:c>
      <x:c r="I141" s="11" t="n">
        <x:f>I129</x:f>
        <x:v>6.8</x:v>
      </x:c>
    </x:row>
    <x:row r="142" ht="23" customHeight="1">
      <x:c r="A142" s="11" t="str">
        <x:v>688192.SH</x:v>
      </x:c>
      <x:c r="B142" s="11" t="str">
        <x:v>2026年底</x:v>
      </x:c>
      <x:c r="C142" s="11" t="str">
        <x:v>goli_first</x:v>
      </x:c>
      <x:c r="D142" s="11" t="str">
        <x:v>乐观</x:v>
      </x:c>
      <x:c r="E142" s="16" t="n">
        <x:v>0.65</x:v>
      </x:c>
      <x:c r="F142" s="16" t="n">
        <x:v>0.4</x:v>
      </x:c>
      <x:c r="G142" s="16" t="n">
        <x:v>1</x:v>
      </x:c>
      <x:c r="H142" s="11" t="n">
        <x:f>H130</x:f>
        <x:v>0.105</x:v>
      </x:c>
      <x:c r="I142" s="11" t="n">
        <x:f>I130</x:f>
        <x:v>6.8</x:v>
      </x:c>
    </x:row>
    <x:row r="143" ht="23" customHeight="1">
      <x:c r="A143" s="11" t="str">
        <x:v>688192.SH</x:v>
      </x:c>
      <x:c r="B143" s="11" t="str">
        <x:v>2026年底</x:v>
      </x:c>
      <x:c r="C143" s="11" t="str">
        <x:v>goli_lung</x:v>
      </x:c>
      <x:c r="D143" s="11" t="str">
        <x:v>活动输入</x:v>
      </x:c>
      <x:c r="E143" s="11" t="n">
        <x:f>CHOOSE('假设'!$B$3,E144,E145,E146)</x:f>
        <x:v>0.19999999999999996</x:v>
      </x:c>
      <x:c r="F143" s="11" t="n">
        <x:f>CHOOSE('假设'!$B$3,F144,F145,F146)</x:f>
        <x:v>0.3</x:v>
      </x:c>
      <x:c r="G143" s="11" t="n">
        <x:f>CHOOSE('假设'!$B$3,G144,G145,G146)</x:f>
        <x:v>1</x:v>
      </x:c>
      <x:c r="H143" s="11" t="n">
        <x:f>CHOOSE('假设'!$B$3,H144,H145,H146)</x:f>
        <x:v>0.125</x:v>
      </x:c>
      <x:c r="I143" s="11" t="n">
        <x:f>CHOOSE('假设'!$B$3,I144,I145,I146)</x:f>
        <x:v>6.8</x:v>
      </x:c>
    </x:row>
    <x:row r="144" ht="23" customHeight="1">
      <x:c r="A144" s="11" t="str">
        <x:v>688192.SH</x:v>
      </x:c>
      <x:c r="B144" s="11" t="str">
        <x:v>2026年底</x:v>
      </x:c>
      <x:c r="C144" s="11" t="str">
        <x:v>goli_lung</x:v>
      </x:c>
      <x:c r="D144" s="11" t="str">
        <x:v>悲观</x:v>
      </x:c>
      <x:c r="E144" s="16" t="n">
        <x:v>0.06000000000000005</x:v>
      </x:c>
      <x:c r="F144" s="16" t="n">
        <x:v>0.2</x:v>
      </x:c>
      <x:c r="G144" s="16" t="n">
        <x:v>1</x:v>
      </x:c>
      <x:c r="H144" s="11" t="n">
        <x:f>H128</x:f>
        <x:v>0.16</x:v>
      </x:c>
      <x:c r="I144" s="11" t="n">
        <x:f>I128</x:f>
        <x:v>6.8</x:v>
      </x:c>
    </x:row>
    <x:row r="145" ht="23" customHeight="1">
      <x:c r="A145" s="11" t="str">
        <x:v>688192.SH</x:v>
      </x:c>
      <x:c r="B145" s="11" t="str">
        <x:v>2026年底</x:v>
      </x:c>
      <x:c r="C145" s="11" t="str">
        <x:v>goli_lung</x:v>
      </x:c>
      <x:c r="D145" s="11" t="str">
        <x:v>基准</x:v>
      </x:c>
      <x:c r="E145" s="16" t="n">
        <x:v>0.19999999999999996</x:v>
      </x:c>
      <x:c r="F145" s="16" t="n">
        <x:v>0.3</x:v>
      </x:c>
      <x:c r="G145" s="16" t="n">
        <x:v>1</x:v>
      </x:c>
      <x:c r="H145" s="11" t="n">
        <x:f>H129</x:f>
        <x:v>0.125</x:v>
      </x:c>
      <x:c r="I145" s="11" t="n">
        <x:f>I129</x:f>
        <x:v>6.8</x:v>
      </x:c>
    </x:row>
    <x:row r="146" ht="23" customHeight="1">
      <x:c r="A146" s="11" t="str">
        <x:v>688192.SH</x:v>
      </x:c>
      <x:c r="B146" s="11" t="str">
        <x:v>2026年底</x:v>
      </x:c>
      <x:c r="C146" s="11" t="str">
        <x:v>goli_lung</x:v>
      </x:c>
      <x:c r="D146" s="11" t="str">
        <x:v>乐观</x:v>
      </x:c>
      <x:c r="E146" s="16" t="n">
        <x:v>0.4</x:v>
      </x:c>
      <x:c r="F146" s="16" t="n">
        <x:v>0.38</x:v>
      </x:c>
      <x:c r="G146" s="16" t="n">
        <x:v>1</x:v>
      </x:c>
      <x:c r="H146" s="11" t="n">
        <x:f>H130</x:f>
        <x:v>0.105</x:v>
      </x:c>
      <x:c r="I146" s="11" t="n">
        <x:f>I130</x:f>
        <x:v>6.8</x:v>
      </x:c>
    </x:row>
    <x:row r="147" ht="23" customHeight="1">
      <x:c r="A147" s="11" t="str">
        <x:v>688192.SH</x:v>
      </x:c>
      <x:c r="B147" s="11" t="str">
        <x:v>2026年底</x:v>
      </x:c>
      <x:c r="C147" s="11" t="str">
        <x:v>bire_cll</x:v>
      </x:c>
      <x:c r="D147" s="11" t="str">
        <x:v>活动输入</x:v>
      </x:c>
      <x:c r="E147" s="11" t="n">
        <x:f>CHOOSE('假设'!$B$3,E148,E149,E150)</x:f>
        <x:v>0.48</x:v>
      </x:c>
      <x:c r="F147" s="11" t="n">
        <x:f>CHOOSE('假设'!$B$3,F148,F149,F150)</x:f>
        <x:v>0.32</x:v>
      </x:c>
      <x:c r="G147" s="11" t="n">
        <x:f>CHOOSE('假设'!$B$3,G148,G149,G150)</x:f>
        <x:v>1</x:v>
      </x:c>
      <x:c r="H147" s="11" t="n">
        <x:f>CHOOSE('假设'!$B$3,H148,H149,H150)</x:f>
        <x:v>0.125</x:v>
      </x:c>
      <x:c r="I147" s="11" t="n">
        <x:f>CHOOSE('假设'!$B$3,I148,I149,I150)</x:f>
        <x:v>6.8</x:v>
      </x:c>
    </x:row>
    <x:row r="148" ht="23" customHeight="1">
      <x:c r="A148" s="11" t="str">
        <x:v>688192.SH</x:v>
      </x:c>
      <x:c r="B148" s="11" t="str">
        <x:v>2026年底</x:v>
      </x:c>
      <x:c r="C148" s="11" t="str">
        <x:v>bire_cll</x:v>
      </x:c>
      <x:c r="D148" s="11" t="str">
        <x:v>悲观</x:v>
      </x:c>
      <x:c r="E148" s="16" t="n">
        <x:v>0.17999999999999994</x:v>
      </x:c>
      <x:c r="F148" s="16" t="n">
        <x:v>0.22</x:v>
      </x:c>
      <x:c r="G148" s="16" t="n">
        <x:v>1</x:v>
      </x:c>
      <x:c r="H148" s="11" t="n">
        <x:f>H128</x:f>
        <x:v>0.16</x:v>
      </x:c>
      <x:c r="I148" s="11" t="n">
        <x:f>I128</x:f>
        <x:v>6.8</x:v>
      </x:c>
    </x:row>
    <x:row r="149" ht="23" customHeight="1">
      <x:c r="A149" s="11" t="str">
        <x:v>688192.SH</x:v>
      </x:c>
      <x:c r="B149" s="11" t="str">
        <x:v>2026年底</x:v>
      </x:c>
      <x:c r="C149" s="11" t="str">
        <x:v>bire_cll</x:v>
      </x:c>
      <x:c r="D149" s="11" t="str">
        <x:v>基准</x:v>
      </x:c>
      <x:c r="E149" s="16" t="n">
        <x:v>0.48</x:v>
      </x:c>
      <x:c r="F149" s="16" t="n">
        <x:v>0.32</x:v>
      </x:c>
      <x:c r="G149" s="16" t="n">
        <x:v>1</x:v>
      </x:c>
      <x:c r="H149" s="11" t="n">
        <x:f>H129</x:f>
        <x:v>0.125</x:v>
      </x:c>
      <x:c r="I149" s="11" t="n">
        <x:f>I129</x:f>
        <x:v>6.8</x:v>
      </x:c>
    </x:row>
    <x:row r="150" ht="23" customHeight="1">
      <x:c r="A150" s="11" t="str">
        <x:v>688192.SH</x:v>
      </x:c>
      <x:c r="B150" s="11" t="str">
        <x:v>2026年底</x:v>
      </x:c>
      <x:c r="C150" s="11" t="str">
        <x:v>bire_cll</x:v>
      </x:c>
      <x:c r="D150" s="11" t="str">
        <x:v>乐观</x:v>
      </x:c>
      <x:c r="E150" s="16" t="n">
        <x:v>0.7</x:v>
      </x:c>
      <x:c r="F150" s="16" t="n">
        <x:v>0.4</x:v>
      </x:c>
      <x:c r="G150" s="16" t="n">
        <x:v>1</x:v>
      </x:c>
      <x:c r="H150" s="11" t="n">
        <x:f>H130</x:f>
        <x:v>0.105</x:v>
      </x:c>
      <x:c r="I150" s="11" t="n">
        <x:f>I130</x:f>
        <x:v>6.8</x:v>
      </x:c>
    </x:row>
    <x:row r="151" ht="23" customHeight="1">
      <x:c r="A151" s="11" t="str">
        <x:v>688192.SH</x:v>
      </x:c>
      <x:c r="B151" s="11" t="str">
        <x:v>2026年底</x:v>
      </x:c>
      <x:c r="C151" s="11" t="str">
        <x:v>bire_dlbcl</x:v>
      </x:c>
      <x:c r="D151" s="11" t="str">
        <x:v>活动输入</x:v>
      </x:c>
      <x:c r="E151" s="11" t="n">
        <x:f>CHOOSE('假设'!$B$3,E152,E153,E154)</x:f>
        <x:v>0.30000000000000004</x:v>
      </x:c>
      <x:c r="F151" s="11" t="n">
        <x:f>CHOOSE('假设'!$B$3,F152,F153,F154)</x:f>
        <x:v>0.32</x:v>
      </x:c>
      <x:c r="G151" s="11" t="n">
        <x:f>CHOOSE('假设'!$B$3,G152,G153,G154)</x:f>
        <x:v>1</x:v>
      </x:c>
      <x:c r="H151" s="11" t="n">
        <x:f>CHOOSE('假设'!$B$3,H152,H153,H154)</x:f>
        <x:v>0.125</x:v>
      </x:c>
      <x:c r="I151" s="11" t="n">
        <x:f>CHOOSE('假设'!$B$3,I152,I153,I154)</x:f>
        <x:v>6.8</x:v>
      </x:c>
    </x:row>
    <x:row r="152" ht="23" customHeight="1">
      <x:c r="A152" s="11" t="str">
        <x:v>688192.SH</x:v>
      </x:c>
      <x:c r="B152" s="11" t="str">
        <x:v>2026年底</x:v>
      </x:c>
      <x:c r="C152" s="11" t="str">
        <x:v>bire_dlbcl</x:v>
      </x:c>
      <x:c r="D152" s="11" t="str">
        <x:v>悲观</x:v>
      </x:c>
      <x:c r="E152" s="16" t="n">
        <x:v>0.09999999999999998</x:v>
      </x:c>
      <x:c r="F152" s="16" t="n">
        <x:v>0.22</x:v>
      </x:c>
      <x:c r="G152" s="16" t="n">
        <x:v>1</x:v>
      </x:c>
      <x:c r="H152" s="11" t="n">
        <x:f>H128</x:f>
        <x:v>0.16</x:v>
      </x:c>
      <x:c r="I152" s="11" t="n">
        <x:f>I128</x:f>
        <x:v>6.8</x:v>
      </x:c>
    </x:row>
    <x:row r="153" ht="23" customHeight="1">
      <x:c r="A153" s="11" t="str">
        <x:v>688192.SH</x:v>
      </x:c>
      <x:c r="B153" s="11" t="str">
        <x:v>2026年底</x:v>
      </x:c>
      <x:c r="C153" s="11" t="str">
        <x:v>bire_dlbcl</x:v>
      </x:c>
      <x:c r="D153" s="11" t="str">
        <x:v>基准</x:v>
      </x:c>
      <x:c r="E153" s="16" t="n">
        <x:v>0.30000000000000004</x:v>
      </x:c>
      <x:c r="F153" s="16" t="n">
        <x:v>0.32</x:v>
      </x:c>
      <x:c r="G153" s="16" t="n">
        <x:v>1</x:v>
      </x:c>
      <x:c r="H153" s="11" t="n">
        <x:f>H129</x:f>
        <x:v>0.125</x:v>
      </x:c>
      <x:c r="I153" s="11" t="n">
        <x:f>I129</x:f>
        <x:v>6.8</x:v>
      </x:c>
    </x:row>
    <x:row r="154" ht="23" customHeight="1">
      <x:c r="A154" s="11" t="str">
        <x:v>688192.SH</x:v>
      </x:c>
      <x:c r="B154" s="11" t="str">
        <x:v>2026年底</x:v>
      </x:c>
      <x:c r="C154" s="11" t="str">
        <x:v>bire_dlbcl</x:v>
      </x:c>
      <x:c r="D154" s="11" t="str">
        <x:v>乐观</x:v>
      </x:c>
      <x:c r="E154" s="16" t="n">
        <x:v>0.55</x:v>
      </x:c>
      <x:c r="F154" s="16" t="n">
        <x:v>0.4</x:v>
      </x:c>
      <x:c r="G154" s="16" t="n">
        <x:v>1</x:v>
      </x:c>
      <x:c r="H154" s="11" t="n">
        <x:f>H130</x:f>
        <x:v>0.105</x:v>
      </x:c>
      <x:c r="I154" s="11" t="n">
        <x:f>I130</x:f>
        <x:v>6.8</x:v>
      </x:c>
    </x:row>
    <x:row r="155" ht="23" customHeight="1">
      <x:c r="A155" s="11" t="str">
        <x:v>688192.SH</x:v>
      </x:c>
      <x:c r="B155" s="11" t="str">
        <x:v>2026年底</x:v>
      </x:c>
      <x:c r="C155" s="11" t="str">
        <x:v>dzd6008</x:v>
      </x:c>
      <x:c r="D155" s="11" t="str">
        <x:v>活动输入</x:v>
      </x:c>
      <x:c r="E155" s="11" t="n">
        <x:f>CHOOSE('假设'!$B$3,E156,E157,E158)</x:f>
        <x:v>0.30000000000000004</x:v>
      </x:c>
      <x:c r="F155" s="11" t="n">
        <x:f>CHOOSE('假设'!$B$3,F156,F157,F158)</x:f>
        <x:v>0.32</x:v>
      </x:c>
      <x:c r="G155" s="11" t="n">
        <x:f>CHOOSE('假设'!$B$3,G156,G157,G158)</x:f>
        <x:v>1</x:v>
      </x:c>
      <x:c r="H155" s="11" t="n">
        <x:f>CHOOSE('假设'!$B$3,H156,H157,H158)</x:f>
        <x:v>0.125</x:v>
      </x:c>
      <x:c r="I155" s="11" t="n">
        <x:f>CHOOSE('假设'!$B$3,I156,I157,I158)</x:f>
        <x:v>6.8</x:v>
      </x:c>
    </x:row>
    <x:row r="156" ht="23" customHeight="1">
      <x:c r="A156" s="11" t="str">
        <x:v>688192.SH</x:v>
      </x:c>
      <x:c r="B156" s="11" t="str">
        <x:v>2026年底</x:v>
      </x:c>
      <x:c r="C156" s="11" t="str">
        <x:v>dzd6008</x:v>
      </x:c>
      <x:c r="D156" s="11" t="str">
        <x:v>悲观</x:v>
      </x:c>
      <x:c r="E156" s="16" t="n">
        <x:v>0.09999999999999998</x:v>
      </x:c>
      <x:c r="F156" s="16" t="n">
        <x:v>0.22</x:v>
      </x:c>
      <x:c r="G156" s="16" t="n">
        <x:v>1</x:v>
      </x:c>
      <x:c r="H156" s="11" t="n">
        <x:f>H128</x:f>
        <x:v>0.16</x:v>
      </x:c>
      <x:c r="I156" s="11" t="n">
        <x:f>I128</x:f>
        <x:v>6.8</x:v>
      </x:c>
    </x:row>
    <x:row r="157" ht="23" customHeight="1">
      <x:c r="A157" s="11" t="str">
        <x:v>688192.SH</x:v>
      </x:c>
      <x:c r="B157" s="11" t="str">
        <x:v>2026年底</x:v>
      </x:c>
      <x:c r="C157" s="11" t="str">
        <x:v>dzd6008</x:v>
      </x:c>
      <x:c r="D157" s="11" t="str">
        <x:v>基准</x:v>
      </x:c>
      <x:c r="E157" s="16" t="n">
        <x:v>0.30000000000000004</x:v>
      </x:c>
      <x:c r="F157" s="16" t="n">
        <x:v>0.32</x:v>
      </x:c>
      <x:c r="G157" s="16" t="n">
        <x:v>1</x:v>
      </x:c>
      <x:c r="H157" s="11" t="n">
        <x:f>H129</x:f>
        <x:v>0.125</x:v>
      </x:c>
      <x:c r="I157" s="11" t="n">
        <x:f>I129</x:f>
        <x:v>6.8</x:v>
      </x:c>
    </x:row>
    <x:row r="158" ht="23" customHeight="1">
      <x:c r="A158" s="11" t="str">
        <x:v>688192.SH</x:v>
      </x:c>
      <x:c r="B158" s="11" t="str">
        <x:v>2026年底</x:v>
      </x:c>
      <x:c r="C158" s="11" t="str">
        <x:v>dzd6008</x:v>
      </x:c>
      <x:c r="D158" s="11" t="str">
        <x:v>乐观</x:v>
      </x:c>
      <x:c r="E158" s="16" t="n">
        <x:v>0.55</x:v>
      </x:c>
      <x:c r="F158" s="16" t="n">
        <x:v>0.4</x:v>
      </x:c>
      <x:c r="G158" s="16" t="n">
        <x:v>1</x:v>
      </x:c>
      <x:c r="H158" s="11" t="n">
        <x:f>H130</x:f>
        <x:v>0.105</x:v>
      </x:c>
      <x:c r="I158" s="11" t="n">
        <x:f>I130</x:f>
        <x:v>6.8</x:v>
      </x:c>
    </x:row>
    <x:row r="159" ht="23" customHeight="1">
      <x:c r="A159" s="11" t="str">
        <x:v>688192.SH</x:v>
      </x:c>
      <x:c r="B159" s="11" t="str">
        <x:v>半年</x:v>
      </x:c>
      <x:c r="C159" s="11" t="str">
        <x:v>sun_later</x:v>
      </x:c>
      <x:c r="D159" s="11" t="str">
        <x:v>活动输入</x:v>
      </x:c>
      <x:c r="E159" s="11" t="n">
        <x:f>CHOOSE('假设'!$B$3,E160,E161,E162)</x:f>
        <x:v>1</x:v>
      </x:c>
      <x:c r="F159" s="11" t="n">
        <x:f>CHOOSE('假设'!$B$3,F160,F161,F162)</x:f>
        <x:v>0.08610000000000001</x:v>
      </x:c>
      <x:c r="G159" s="11" t="n">
        <x:f>CHOOSE('假设'!$B$3,G160,G161,G162)</x:f>
        <x:v>1</x:v>
      </x:c>
      <x:c r="H159" s="11" t="n">
        <x:f>CHOOSE('假设'!$B$3,H160,H161,H162)</x:f>
        <x:v>0.125</x:v>
      </x:c>
      <x:c r="I159" s="11" t="n">
        <x:f>CHOOSE('假设'!$B$3,I160,I161,I162)</x:f>
        <x:v>6.8</x:v>
      </x:c>
    </x:row>
    <x:row r="160" ht="23" customHeight="1">
      <x:c r="A160" s="11" t="str">
        <x:v>688192.SH</x:v>
      </x:c>
      <x:c r="B160" s="11" t="str">
        <x:v>半年</x:v>
      </x:c>
      <x:c r="C160" s="11" t="str">
        <x:v>sun_later</x:v>
      </x:c>
      <x:c r="D160" s="11" t="str">
        <x:v>悲观</x:v>
      </x:c>
      <x:c r="E160" s="16" t="n">
        <x:v>1</x:v>
      </x:c>
      <x:c r="F160" s="16" t="n">
        <x:v>0.064</x:v>
      </x:c>
      <x:c r="G160" s="16" t="n">
        <x:v>1</x:v>
      </x:c>
      <x:c r="H160" s="16" t="n">
        <x:v>0.16</x:v>
      </x:c>
      <x:c r="I160" s="16" t="n">
        <x:v>6.8</x:v>
      </x:c>
    </x:row>
    <x:row r="161" ht="23" customHeight="1">
      <x:c r="A161" s="11" t="str">
        <x:v>688192.SH</x:v>
      </x:c>
      <x:c r="B161" s="11" t="str">
        <x:v>半年</x:v>
      </x:c>
      <x:c r="C161" s="11" t="str">
        <x:v>sun_later</x:v>
      </x:c>
      <x:c r="D161" s="11" t="str">
        <x:v>基准</x:v>
      </x:c>
      <x:c r="E161" s="16" t="n">
        <x:v>1</x:v>
      </x:c>
      <x:c r="F161" s="16" t="n">
        <x:v>0.08610000000000001</x:v>
      </x:c>
      <x:c r="G161" s="16" t="n">
        <x:v>1</x:v>
      </x:c>
      <x:c r="H161" s="16" t="n">
        <x:v>0.125</x:v>
      </x:c>
      <x:c r="I161" s="16" t="n">
        <x:v>6.8</x:v>
      </x:c>
    </x:row>
    <x:row r="162" ht="23" customHeight="1">
      <x:c r="A162" s="11" t="str">
        <x:v>688192.SH</x:v>
      </x:c>
      <x:c r="B162" s="11" t="str">
        <x:v>半年</x:v>
      </x:c>
      <x:c r="C162" s="11" t="str">
        <x:v>sun_later</x:v>
      </x:c>
      <x:c r="D162" s="11" t="str">
        <x:v>乐观</x:v>
      </x:c>
      <x:c r="E162" s="16" t="n">
        <x:v>1</x:v>
      </x:c>
      <x:c r="F162" s="16" t="n">
        <x:v>0.1105</x:v>
      </x:c>
      <x:c r="G162" s="16" t="n">
        <x:v>1</x:v>
      </x:c>
      <x:c r="H162" s="16" t="n">
        <x:v>0.105</x:v>
      </x:c>
      <x:c r="I162" s="16" t="n">
        <x:v>6.8</x:v>
      </x:c>
    </x:row>
    <x:row r="163" ht="23" customHeight="1">
      <x:c r="A163" s="11" t="str">
        <x:v>688192.SH</x:v>
      </x:c>
      <x:c r="B163" s="11" t="str">
        <x:v>半年</x:v>
      </x:c>
      <x:c r="C163" s="11" t="str">
        <x:v>sun_first</x:v>
      </x:c>
      <x:c r="D163" s="11" t="str">
        <x:v>活动输入</x:v>
      </x:c>
      <x:c r="E163" s="11" t="n">
        <x:f>CHOOSE('假设'!$B$3,E164,E165,E166)</x:f>
        <x:v>0.7844</x:v>
      </x:c>
      <x:c r="F163" s="11" t="n">
        <x:f>CHOOSE('假设'!$B$3,F164,F165,F166)</x:f>
        <x:v>0.08610000000000001</x:v>
      </x:c>
      <x:c r="G163" s="11" t="n">
        <x:f>CHOOSE('假设'!$B$3,G164,G165,G166)</x:f>
        <x:v>1</x:v>
      </x:c>
      <x:c r="H163" s="11" t="n">
        <x:f>CHOOSE('假设'!$B$3,H164,H165,H166)</x:f>
        <x:v>0.125</x:v>
      </x:c>
      <x:c r="I163" s="11" t="n">
        <x:f>CHOOSE('假设'!$B$3,I164,I165,I166)</x:f>
        <x:v>6.8</x:v>
      </x:c>
    </x:row>
    <x:row r="164" ht="23" customHeight="1">
      <x:c r="A164" s="11" t="str">
        <x:v>688192.SH</x:v>
      </x:c>
      <x:c r="B164" s="11" t="str">
        <x:v>半年</x:v>
      </x:c>
      <x:c r="C164" s="11" t="str">
        <x:v>sun_first</x:v>
      </x:c>
      <x:c r="D164" s="11" t="str">
        <x:v>悲观</x:v>
      </x:c>
      <x:c r="E164" s="16" t="n">
        <x:v>0.44999999999999996</x:v>
      </x:c>
      <x:c r="F164" s="16" t="n">
        <x:v>0.064</x:v>
      </x:c>
      <x:c r="G164" s="16" t="n">
        <x:v>1</x:v>
      </x:c>
      <x:c r="H164" s="11" t="n">
        <x:f>H160</x:f>
        <x:v>0.16</x:v>
      </x:c>
      <x:c r="I164" s="11" t="n">
        <x:f>I160</x:f>
        <x:v>6.8</x:v>
      </x:c>
    </x:row>
    <x:row r="165" ht="23" customHeight="1">
      <x:c r="A165" s="11" t="str">
        <x:v>688192.SH</x:v>
      </x:c>
      <x:c r="B165" s="11" t="str">
        <x:v>半年</x:v>
      </x:c>
      <x:c r="C165" s="11" t="str">
        <x:v>sun_first</x:v>
      </x:c>
      <x:c r="D165" s="11" t="str">
        <x:v>基准</x:v>
      </x:c>
      <x:c r="E165" s="16" t="n">
        <x:v>0.7844</x:v>
      </x:c>
      <x:c r="F165" s="16" t="n">
        <x:v>0.08610000000000001</x:v>
      </x:c>
      <x:c r="G165" s="16" t="n">
        <x:v>1</x:v>
      </x:c>
      <x:c r="H165" s="11" t="n">
        <x:f>H161</x:f>
        <x:v>0.125</x:v>
      </x:c>
      <x:c r="I165" s="11" t="n">
        <x:f>I161</x:f>
        <x:v>6.8</x:v>
      </x:c>
    </x:row>
    <x:row r="166" ht="23" customHeight="1">
      <x:c r="A166" s="11" t="str">
        <x:v>688192.SH</x:v>
      </x:c>
      <x:c r="B166" s="11" t="str">
        <x:v>半年</x:v>
      </x:c>
      <x:c r="C166" s="11" t="str">
        <x:v>sun_first</x:v>
      </x:c>
      <x:c r="D166" s="11" t="str">
        <x:v>乐观</x:v>
      </x:c>
      <x:c r="E166" s="16" t="n">
        <x:v>0.924</x:v>
      </x:c>
      <x:c r="F166" s="16" t="n">
        <x:v>0.1105</x:v>
      </x:c>
      <x:c r="G166" s="16" t="n">
        <x:v>1</x:v>
      </x:c>
      <x:c r="H166" s="11" t="n">
        <x:f>H162</x:f>
        <x:v>0.105</x:v>
      </x:c>
      <x:c r="I166" s="11" t="n">
        <x:f>I162</x:f>
        <x:v>6.8</x:v>
      </x:c>
    </x:row>
    <x:row r="167" ht="23" customHeight="1">
      <x:c r="A167" s="11" t="str">
        <x:v>688192.SH</x:v>
      </x:c>
      <x:c r="B167" s="11" t="str">
        <x:v>半年</x:v>
      </x:c>
      <x:c r="C167" s="11" t="str">
        <x:v>goli_rr</x:v>
      </x:c>
      <x:c r="D167" s="11" t="str">
        <x:v>活动输入</x:v>
      </x:c>
      <x:c r="E167" s="11" t="n">
        <x:f>CHOOSE('假设'!$B$3,E168,E169,E170)</x:f>
        <x:v>1</x:v>
      </x:c>
      <x:c r="F167" s="11" t="n">
        <x:f>CHOOSE('假设'!$B$3,F168,F169,F170)</x:f>
        <x:v>0.33</x:v>
      </x:c>
      <x:c r="G167" s="11" t="n">
        <x:f>CHOOSE('假设'!$B$3,G168,G169,G170)</x:f>
        <x:v>1</x:v>
      </x:c>
      <x:c r="H167" s="11" t="n">
        <x:f>CHOOSE('假设'!$B$3,H168,H169,H170)</x:f>
        <x:v>0.125</x:v>
      </x:c>
      <x:c r="I167" s="11" t="n">
        <x:f>CHOOSE('假设'!$B$3,I168,I169,I170)</x:f>
        <x:v>6.8</x:v>
      </x:c>
    </x:row>
    <x:row r="168" ht="23" customHeight="1">
      <x:c r="A168" s="11" t="str">
        <x:v>688192.SH</x:v>
      </x:c>
      <x:c r="B168" s="11" t="str">
        <x:v>半年</x:v>
      </x:c>
      <x:c r="C168" s="11" t="str">
        <x:v>goli_rr</x:v>
      </x:c>
      <x:c r="D168" s="11" t="str">
        <x:v>悲观</x:v>
      </x:c>
      <x:c r="E168" s="16" t="n">
        <x:v>1</x:v>
      </x:c>
      <x:c r="F168" s="16" t="n">
        <x:v>0.22</x:v>
      </x:c>
      <x:c r="G168" s="16" t="n">
        <x:v>1</x:v>
      </x:c>
      <x:c r="H168" s="11" t="n">
        <x:f>H160</x:f>
        <x:v>0.16</x:v>
      </x:c>
      <x:c r="I168" s="11" t="n">
        <x:f>I160</x:f>
        <x:v>6.8</x:v>
      </x:c>
    </x:row>
    <x:row r="169" ht="23" customHeight="1">
      <x:c r="A169" s="11" t="str">
        <x:v>688192.SH</x:v>
      </x:c>
      <x:c r="B169" s="11" t="str">
        <x:v>半年</x:v>
      </x:c>
      <x:c r="C169" s="11" t="str">
        <x:v>goli_rr</x:v>
      </x:c>
      <x:c r="D169" s="11" t="str">
        <x:v>基准</x:v>
      </x:c>
      <x:c r="E169" s="16" t="n">
        <x:v>1</x:v>
      </x:c>
      <x:c r="F169" s="16" t="n">
        <x:v>0.33</x:v>
      </x:c>
      <x:c r="G169" s="16" t="n">
        <x:v>1</x:v>
      </x:c>
      <x:c r="H169" s="11" t="n">
        <x:f>H161</x:f>
        <x:v>0.125</x:v>
      </x:c>
      <x:c r="I169" s="11" t="n">
        <x:f>I161</x:f>
        <x:v>6.8</x:v>
      </x:c>
    </x:row>
    <x:row r="170" ht="23" customHeight="1">
      <x:c r="A170" s="11" t="str">
        <x:v>688192.SH</x:v>
      </x:c>
      <x:c r="B170" s="11" t="str">
        <x:v>半年</x:v>
      </x:c>
      <x:c r="C170" s="11" t="str">
        <x:v>goli_rr</x:v>
      </x:c>
      <x:c r="D170" s="11" t="str">
        <x:v>乐观</x:v>
      </x:c>
      <x:c r="E170" s="16" t="n">
        <x:v>1</x:v>
      </x:c>
      <x:c r="F170" s="16" t="n">
        <x:v>0.4</x:v>
      </x:c>
      <x:c r="G170" s="16" t="n">
        <x:v>1</x:v>
      </x:c>
      <x:c r="H170" s="11" t="n">
        <x:f>H162</x:f>
        <x:v>0.105</x:v>
      </x:c>
      <x:c r="I170" s="11" t="n">
        <x:f>I162</x:f>
        <x:v>6.8</x:v>
      </x:c>
    </x:row>
    <x:row r="171" ht="23" customHeight="1">
      <x:c r="A171" s="11" t="str">
        <x:v>688192.SH</x:v>
      </x:c>
      <x:c r="B171" s="11" t="str">
        <x:v>半年</x:v>
      </x:c>
      <x:c r="C171" s="11" t="str">
        <x:v>goli_first</x:v>
      </x:c>
      <x:c r="D171" s="11" t="str">
        <x:v>活动输入</x:v>
      </x:c>
      <x:c r="E171" s="11" t="n">
        <x:f>CHOOSE('假设'!$B$3,E172,E173,E174)</x:f>
        <x:v>0.41200000000000003</x:v>
      </x:c>
      <x:c r="F171" s="11" t="n">
        <x:f>CHOOSE('假设'!$B$3,F172,F173,F174)</x:f>
        <x:v>0.33</x:v>
      </x:c>
      <x:c r="G171" s="11" t="n">
        <x:f>CHOOSE('假设'!$B$3,G172,G173,G174)</x:f>
        <x:v>1</x:v>
      </x:c>
      <x:c r="H171" s="11" t="n">
        <x:f>CHOOSE('假设'!$B$3,H172,H173,H174)</x:f>
        <x:v>0.125</x:v>
      </x:c>
      <x:c r="I171" s="11" t="n">
        <x:f>CHOOSE('假设'!$B$3,I172,I173,I174)</x:f>
        <x:v>6.8</x:v>
      </x:c>
    </x:row>
    <x:row r="172" ht="23" customHeight="1">
      <x:c r="A172" s="11" t="str">
        <x:v>688192.SH</x:v>
      </x:c>
      <x:c r="B172" s="11" t="str">
        <x:v>半年</x:v>
      </x:c>
      <x:c r="C172" s="11" t="str">
        <x:v>goli_first</x:v>
      </x:c>
      <x:c r="D172" s="11" t="str">
        <x:v>悲观</x:v>
      </x:c>
      <x:c r="E172" s="16" t="n">
        <x:v>0.15000000000000002</x:v>
      </x:c>
      <x:c r="F172" s="16" t="n">
        <x:v>0.22</x:v>
      </x:c>
      <x:c r="G172" s="16" t="n">
        <x:v>1</x:v>
      </x:c>
      <x:c r="H172" s="11" t="n">
        <x:f>H160</x:f>
        <x:v>0.16</x:v>
      </x:c>
      <x:c r="I172" s="11" t="n">
        <x:f>I160</x:f>
        <x:v>6.8</x:v>
      </x:c>
    </x:row>
    <x:row r="173" ht="23" customHeight="1">
      <x:c r="A173" s="11" t="str">
        <x:v>688192.SH</x:v>
      </x:c>
      <x:c r="B173" s="11" t="str">
        <x:v>半年</x:v>
      </x:c>
      <x:c r="C173" s="11" t="str">
        <x:v>goli_first</x:v>
      </x:c>
      <x:c r="D173" s="11" t="str">
        <x:v>基准</x:v>
      </x:c>
      <x:c r="E173" s="16" t="n">
        <x:v>0.41200000000000003</x:v>
      </x:c>
      <x:c r="F173" s="16" t="n">
        <x:v>0.33</x:v>
      </x:c>
      <x:c r="G173" s="16" t="n">
        <x:v>1</x:v>
      </x:c>
      <x:c r="H173" s="11" t="n">
        <x:f>H161</x:f>
        <x:v>0.125</x:v>
      </x:c>
      <x:c r="I173" s="11" t="n">
        <x:f>I161</x:f>
        <x:v>6.8</x:v>
      </x:c>
    </x:row>
    <x:row r="174" ht="23" customHeight="1">
      <x:c r="A174" s="11" t="str">
        <x:v>688192.SH</x:v>
      </x:c>
      <x:c r="B174" s="11" t="str">
        <x:v>半年</x:v>
      </x:c>
      <x:c r="C174" s="11" t="str">
        <x:v>goli_first</x:v>
      </x:c>
      <x:c r="D174" s="11" t="str">
        <x:v>乐观</x:v>
      </x:c>
      <x:c r="E174" s="16" t="n">
        <x:v>0.6675</x:v>
      </x:c>
      <x:c r="F174" s="16" t="n">
        <x:v>0.4</x:v>
      </x:c>
      <x:c r="G174" s="16" t="n">
        <x:v>1</x:v>
      </x:c>
      <x:c r="H174" s="11" t="n">
        <x:f>H162</x:f>
        <x:v>0.105</x:v>
      </x:c>
      <x:c r="I174" s="11" t="n">
        <x:f>I162</x:f>
        <x:v>6.8</x:v>
      </x:c>
    </x:row>
    <x:row r="175" ht="23" customHeight="1">
      <x:c r="A175" s="11" t="str">
        <x:v>688192.SH</x:v>
      </x:c>
      <x:c r="B175" s="11" t="str">
        <x:v>半年</x:v>
      </x:c>
      <x:c r="C175" s="11" t="str">
        <x:v>goli_lung</x:v>
      </x:c>
      <x:c r="D175" s="11" t="str">
        <x:v>活动输入</x:v>
      </x:c>
      <x:c r="E175" s="11" t="n">
        <x:f>CHOOSE('假设'!$B$3,E176,E177,E178)</x:f>
        <x:v>0.21599999999999997</x:v>
      </x:c>
      <x:c r="F175" s="11" t="n">
        <x:f>CHOOSE('假设'!$B$3,F176,F177,F178)</x:f>
        <x:v>0.3</x:v>
      </x:c>
      <x:c r="G175" s="11" t="n">
        <x:f>CHOOSE('假设'!$B$3,G176,G177,G178)</x:f>
        <x:v>1</x:v>
      </x:c>
      <x:c r="H175" s="11" t="n">
        <x:f>CHOOSE('假设'!$B$3,H176,H177,H178)</x:f>
        <x:v>0.125</x:v>
      </x:c>
      <x:c r="I175" s="11" t="n">
        <x:f>CHOOSE('假设'!$B$3,I176,I177,I178)</x:f>
        <x:v>6.8</x:v>
      </x:c>
    </x:row>
    <x:row r="176" ht="23" customHeight="1">
      <x:c r="A176" s="11" t="str">
        <x:v>688192.SH</x:v>
      </x:c>
      <x:c r="B176" s="11" t="str">
        <x:v>半年</x:v>
      </x:c>
      <x:c r="C176" s="11" t="str">
        <x:v>goli_lung</x:v>
      </x:c>
      <x:c r="D176" s="11" t="str">
        <x:v>悲观</x:v>
      </x:c>
      <x:c r="E176" s="16" t="n">
        <x:v>0.06000000000000005</x:v>
      </x:c>
      <x:c r="F176" s="16" t="n">
        <x:v>0.2</x:v>
      </x:c>
      <x:c r="G176" s="16" t="n">
        <x:v>1</x:v>
      </x:c>
      <x:c r="H176" s="11" t="n">
        <x:f>H160</x:f>
        <x:v>0.16</x:v>
      </x:c>
      <x:c r="I176" s="11" t="n">
        <x:f>I160</x:f>
        <x:v>6.8</x:v>
      </x:c>
    </x:row>
    <x:row r="177" ht="23" customHeight="1">
      <x:c r="A177" s="11" t="str">
        <x:v>688192.SH</x:v>
      </x:c>
      <x:c r="B177" s="11" t="str">
        <x:v>半年</x:v>
      </x:c>
      <x:c r="C177" s="11" t="str">
        <x:v>goli_lung</x:v>
      </x:c>
      <x:c r="D177" s="11" t="str">
        <x:v>基准</x:v>
      </x:c>
      <x:c r="E177" s="16" t="n">
        <x:v>0.21599999999999997</x:v>
      </x:c>
      <x:c r="F177" s="16" t="n">
        <x:v>0.3</x:v>
      </x:c>
      <x:c r="G177" s="16" t="n">
        <x:v>1</x:v>
      </x:c>
      <x:c r="H177" s="11" t="n">
        <x:f>H161</x:f>
        <x:v>0.125</x:v>
      </x:c>
      <x:c r="I177" s="11" t="n">
        <x:f>I161</x:f>
        <x:v>6.8</x:v>
      </x:c>
    </x:row>
    <x:row r="178" ht="23" customHeight="1">
      <x:c r="A178" s="11" t="str">
        <x:v>688192.SH</x:v>
      </x:c>
      <x:c r="B178" s="11" t="str">
        <x:v>半年</x:v>
      </x:c>
      <x:c r="C178" s="11" t="str">
        <x:v>goli_lung</x:v>
      </x:c>
      <x:c r="D178" s="11" t="str">
        <x:v>乐观</x:v>
      </x:c>
      <x:c r="E178" s="16" t="n">
        <x:v>0.43000000000000005</x:v>
      </x:c>
      <x:c r="F178" s="16" t="n">
        <x:v>0.38</x:v>
      </x:c>
      <x:c r="G178" s="16" t="n">
        <x:v>1</x:v>
      </x:c>
      <x:c r="H178" s="11" t="n">
        <x:f>H162</x:f>
        <x:v>0.105</x:v>
      </x:c>
      <x:c r="I178" s="11" t="n">
        <x:f>I162</x:f>
        <x:v>6.8</x:v>
      </x:c>
    </x:row>
    <x:row r="179" ht="23" customHeight="1">
      <x:c r="A179" s="11" t="str">
        <x:v>688192.SH</x:v>
      </x:c>
      <x:c r="B179" s="11" t="str">
        <x:v>半年</x:v>
      </x:c>
      <x:c r="C179" s="11" t="str">
        <x:v>bire_cll</x:v>
      </x:c>
      <x:c r="D179" s="11" t="str">
        <x:v>活动输入</x:v>
      </x:c>
      <x:c r="E179" s="11" t="n">
        <x:f>CHOOSE('假设'!$B$3,E180,E181,E182)</x:f>
        <x:v>0.49039999999999995</x:v>
      </x:c>
      <x:c r="F179" s="11" t="n">
        <x:f>CHOOSE('假设'!$B$3,F180,F181,F182)</x:f>
        <x:v>0.32</x:v>
      </x:c>
      <x:c r="G179" s="11" t="n">
        <x:f>CHOOSE('假设'!$B$3,G180,G181,G182)</x:f>
        <x:v>1</x:v>
      </x:c>
      <x:c r="H179" s="11" t="n">
        <x:f>CHOOSE('假设'!$B$3,H180,H181,H182)</x:f>
        <x:v>0.125</x:v>
      </x:c>
      <x:c r="I179" s="11" t="n">
        <x:f>CHOOSE('假设'!$B$3,I180,I181,I182)</x:f>
        <x:v>6.8</x:v>
      </x:c>
    </x:row>
    <x:row r="180" ht="23" customHeight="1">
      <x:c r="A180" s="11" t="str">
        <x:v>688192.SH</x:v>
      </x:c>
      <x:c r="B180" s="11" t="str">
        <x:v>半年</x:v>
      </x:c>
      <x:c r="C180" s="11" t="str">
        <x:v>bire_cll</x:v>
      </x:c>
      <x:c r="D180" s="11" t="str">
        <x:v>悲观</x:v>
      </x:c>
      <x:c r="E180" s="16" t="n">
        <x:v>0.17999999999999994</x:v>
      </x:c>
      <x:c r="F180" s="16" t="n">
        <x:v>0.22</x:v>
      </x:c>
      <x:c r="G180" s="16" t="n">
        <x:v>1</x:v>
      </x:c>
      <x:c r="H180" s="11" t="n">
        <x:f>H160</x:f>
        <x:v>0.16</x:v>
      </x:c>
      <x:c r="I180" s="11" t="n">
        <x:f>I160</x:f>
        <x:v>6.8</x:v>
      </x:c>
    </x:row>
    <x:row r="181" ht="23" customHeight="1">
      <x:c r="A181" s="11" t="str">
        <x:v>688192.SH</x:v>
      </x:c>
      <x:c r="B181" s="11" t="str">
        <x:v>半年</x:v>
      </x:c>
      <x:c r="C181" s="11" t="str">
        <x:v>bire_cll</x:v>
      </x:c>
      <x:c r="D181" s="11" t="str">
        <x:v>基准</x:v>
      </x:c>
      <x:c r="E181" s="16" t="n">
        <x:v>0.49039999999999995</x:v>
      </x:c>
      <x:c r="F181" s="16" t="n">
        <x:v>0.32</x:v>
      </x:c>
      <x:c r="G181" s="16" t="n">
        <x:v>1</x:v>
      </x:c>
      <x:c r="H181" s="11" t="n">
        <x:f>H161</x:f>
        <x:v>0.125</x:v>
      </x:c>
      <x:c r="I181" s="11" t="n">
        <x:f>I161</x:f>
        <x:v>6.8</x:v>
      </x:c>
    </x:row>
    <x:row r="182" ht="23" customHeight="1">
      <x:c r="A182" s="11" t="str">
        <x:v>688192.SH</x:v>
      </x:c>
      <x:c r="B182" s="11" t="str">
        <x:v>半年</x:v>
      </x:c>
      <x:c r="C182" s="11" t="str">
        <x:v>bire_cll</x:v>
      </x:c>
      <x:c r="D182" s="11" t="str">
        <x:v>乐观</x:v>
      </x:c>
      <x:c r="E182" s="16" t="n">
        <x:v>0.715</x:v>
      </x:c>
      <x:c r="F182" s="16" t="n">
        <x:v>0.4</x:v>
      </x:c>
      <x:c r="G182" s="16" t="n">
        <x:v>1</x:v>
      </x:c>
      <x:c r="H182" s="11" t="n">
        <x:f>H162</x:f>
        <x:v>0.105</x:v>
      </x:c>
      <x:c r="I182" s="11" t="n">
        <x:f>I162</x:f>
        <x:v>6.8</x:v>
      </x:c>
    </x:row>
    <x:row r="183" ht="23" customHeight="1">
      <x:c r="A183" s="11" t="str">
        <x:v>688192.SH</x:v>
      </x:c>
      <x:c r="B183" s="11" t="str">
        <x:v>半年</x:v>
      </x:c>
      <x:c r="C183" s="11" t="str">
        <x:v>bire_dlbcl</x:v>
      </x:c>
      <x:c r="D183" s="11" t="str">
        <x:v>活动输入</x:v>
      </x:c>
      <x:c r="E183" s="11" t="n">
        <x:f>CHOOSE('假设'!$B$3,E184,E185,E186)</x:f>
        <x:v>0.31400000000000006</x:v>
      </x:c>
      <x:c r="F183" s="11" t="n">
        <x:f>CHOOSE('假设'!$B$3,F184,F185,F186)</x:f>
        <x:v>0.32</x:v>
      </x:c>
      <x:c r="G183" s="11" t="n">
        <x:f>CHOOSE('假设'!$B$3,G184,G185,G186)</x:f>
        <x:v>1</x:v>
      </x:c>
      <x:c r="H183" s="11" t="n">
        <x:f>CHOOSE('假设'!$B$3,H184,H185,H186)</x:f>
        <x:v>0.125</x:v>
      </x:c>
      <x:c r="I183" s="11" t="n">
        <x:f>CHOOSE('假设'!$B$3,I184,I185,I186)</x:f>
        <x:v>6.8</x:v>
      </x:c>
    </x:row>
    <x:row r="184" ht="23" customHeight="1">
      <x:c r="A184" s="11" t="str">
        <x:v>688192.SH</x:v>
      </x:c>
      <x:c r="B184" s="11" t="str">
        <x:v>半年</x:v>
      </x:c>
      <x:c r="C184" s="11" t="str">
        <x:v>bire_dlbcl</x:v>
      </x:c>
      <x:c r="D184" s="11" t="str">
        <x:v>悲观</x:v>
      </x:c>
      <x:c r="E184" s="16" t="n">
        <x:v>0.09999999999999998</x:v>
      </x:c>
      <x:c r="F184" s="16" t="n">
        <x:v>0.22</x:v>
      </x:c>
      <x:c r="G184" s="16" t="n">
        <x:v>1</x:v>
      </x:c>
      <x:c r="H184" s="11" t="n">
        <x:f>H160</x:f>
        <x:v>0.16</x:v>
      </x:c>
      <x:c r="I184" s="11" t="n">
        <x:f>I160</x:f>
        <x:v>6.8</x:v>
      </x:c>
    </x:row>
    <x:row r="185" ht="23" customHeight="1">
      <x:c r="A185" s="11" t="str">
        <x:v>688192.SH</x:v>
      </x:c>
      <x:c r="B185" s="11" t="str">
        <x:v>半年</x:v>
      </x:c>
      <x:c r="C185" s="11" t="str">
        <x:v>bire_dlbcl</x:v>
      </x:c>
      <x:c r="D185" s="11" t="str">
        <x:v>基准</x:v>
      </x:c>
      <x:c r="E185" s="16" t="n">
        <x:v>0.31400000000000006</x:v>
      </x:c>
      <x:c r="F185" s="16" t="n">
        <x:v>0.32</x:v>
      </x:c>
      <x:c r="G185" s="16" t="n">
        <x:v>1</x:v>
      </x:c>
      <x:c r="H185" s="11" t="n">
        <x:f>H161</x:f>
        <x:v>0.125</x:v>
      </x:c>
      <x:c r="I185" s="11" t="n">
        <x:f>I161</x:f>
        <x:v>6.8</x:v>
      </x:c>
    </x:row>
    <x:row r="186" ht="23" customHeight="1">
      <x:c r="A186" s="11" t="str">
        <x:v>688192.SH</x:v>
      </x:c>
      <x:c r="B186" s="11" t="str">
        <x:v>半年</x:v>
      </x:c>
      <x:c r="C186" s="11" t="str">
        <x:v>bire_dlbcl</x:v>
      </x:c>
      <x:c r="D186" s="11" t="str">
        <x:v>乐观</x:v>
      </x:c>
      <x:c r="E186" s="16" t="n">
        <x:v>0.5725</x:v>
      </x:c>
      <x:c r="F186" s="16" t="n">
        <x:v>0.4</x:v>
      </x:c>
      <x:c r="G186" s="16" t="n">
        <x:v>1</x:v>
      </x:c>
      <x:c r="H186" s="11" t="n">
        <x:f>H162</x:f>
        <x:v>0.105</x:v>
      </x:c>
      <x:c r="I186" s="11" t="n">
        <x:f>I162</x:f>
        <x:v>6.8</x:v>
      </x:c>
    </x:row>
    <x:row r="187" ht="23" customHeight="1">
      <x:c r="A187" s="11" t="str">
        <x:v>688192.SH</x:v>
      </x:c>
      <x:c r="B187" s="11" t="str">
        <x:v>半年</x:v>
      </x:c>
      <x:c r="C187" s="11" t="str">
        <x:v>dzd6008</x:v>
      </x:c>
      <x:c r="D187" s="11" t="str">
        <x:v>活动输入</x:v>
      </x:c>
      <x:c r="E187" s="11" t="n">
        <x:f>CHOOSE('假设'!$B$3,E188,E189,E190)</x:f>
        <x:v>0.31400000000000006</x:v>
      </x:c>
      <x:c r="F187" s="11" t="n">
        <x:f>CHOOSE('假设'!$B$3,F188,F189,F190)</x:f>
        <x:v>0.32</x:v>
      </x:c>
      <x:c r="G187" s="11" t="n">
        <x:f>CHOOSE('假设'!$B$3,G188,G189,G190)</x:f>
        <x:v>1</x:v>
      </x:c>
      <x:c r="H187" s="11" t="n">
        <x:f>CHOOSE('假设'!$B$3,H188,H189,H190)</x:f>
        <x:v>0.125</x:v>
      </x:c>
      <x:c r="I187" s="11" t="n">
        <x:f>CHOOSE('假设'!$B$3,I188,I189,I190)</x:f>
        <x:v>6.8</x:v>
      </x:c>
    </x:row>
    <x:row r="188" ht="23" customHeight="1">
      <x:c r="A188" s="11" t="str">
        <x:v>688192.SH</x:v>
      </x:c>
      <x:c r="B188" s="11" t="str">
        <x:v>半年</x:v>
      </x:c>
      <x:c r="C188" s="11" t="str">
        <x:v>dzd6008</x:v>
      </x:c>
      <x:c r="D188" s="11" t="str">
        <x:v>悲观</x:v>
      </x:c>
      <x:c r="E188" s="16" t="n">
        <x:v>0.09999999999999998</x:v>
      </x:c>
      <x:c r="F188" s="16" t="n">
        <x:v>0.22</x:v>
      </x:c>
      <x:c r="G188" s="16" t="n">
        <x:v>1</x:v>
      </x:c>
      <x:c r="H188" s="11" t="n">
        <x:f>H160</x:f>
        <x:v>0.16</x:v>
      </x:c>
      <x:c r="I188" s="11" t="n">
        <x:f>I160</x:f>
        <x:v>6.8</x:v>
      </x:c>
    </x:row>
    <x:row r="189" ht="23" customHeight="1">
      <x:c r="A189" s="11" t="str">
        <x:v>688192.SH</x:v>
      </x:c>
      <x:c r="B189" s="11" t="str">
        <x:v>半年</x:v>
      </x:c>
      <x:c r="C189" s="11" t="str">
        <x:v>dzd6008</x:v>
      </x:c>
      <x:c r="D189" s="11" t="str">
        <x:v>基准</x:v>
      </x:c>
      <x:c r="E189" s="16" t="n">
        <x:v>0.31400000000000006</x:v>
      </x:c>
      <x:c r="F189" s="16" t="n">
        <x:v>0.32</x:v>
      </x:c>
      <x:c r="G189" s="16" t="n">
        <x:v>1</x:v>
      </x:c>
      <x:c r="H189" s="11" t="n">
        <x:f>H161</x:f>
        <x:v>0.125</x:v>
      </x:c>
      <x:c r="I189" s="11" t="n">
        <x:f>I161</x:f>
        <x:v>6.8</x:v>
      </x:c>
    </x:row>
    <x:row r="190" ht="23" customHeight="1">
      <x:c r="A190" s="11" t="str">
        <x:v>688192.SH</x:v>
      </x:c>
      <x:c r="B190" s="11" t="str">
        <x:v>半年</x:v>
      </x:c>
      <x:c r="C190" s="11" t="str">
        <x:v>dzd6008</x:v>
      </x:c>
      <x:c r="D190" s="11" t="str">
        <x:v>乐观</x:v>
      </x:c>
      <x:c r="E190" s="16" t="n">
        <x:v>0.5725</x:v>
      </x:c>
      <x:c r="F190" s="16" t="n">
        <x:v>0.4</x:v>
      </x:c>
      <x:c r="G190" s="16" t="n">
        <x:v>1</x:v>
      </x:c>
      <x:c r="H190" s="11" t="n">
        <x:f>H162</x:f>
        <x:v>0.105</x:v>
      </x:c>
      <x:c r="I190" s="11" t="n">
        <x:f>I162</x:f>
        <x:v>6.8</x:v>
      </x:c>
    </x:row>
    <x:row r="191" ht="23" customHeight="1">
      <x:c r="A191" s="11" t="str">
        <x:v>688192.SH</x:v>
      </x:c>
      <x:c r="B191" s="11" t="str">
        <x:v>一年</x:v>
      </x:c>
      <x:c r="C191" s="11" t="str">
        <x:v>sun_later</x:v>
      </x:c>
      <x:c r="D191" s="11" t="str">
        <x:v>活动输入</x:v>
      </x:c>
      <x:c r="E191" s="11" t="n">
        <x:f>CHOOSE('假设'!$B$3,E192,E193,E194)</x:f>
        <x:v>1</x:v>
      </x:c>
      <x:c r="F191" s="11" t="n">
        <x:f>CHOOSE('假设'!$B$3,F192,F193,F194)</x:f>
        <x:v>0.08610000000000001</x:v>
      </x:c>
      <x:c r="G191" s="11" t="n">
        <x:f>CHOOSE('假设'!$B$3,G192,G193,G194)</x:f>
        <x:v>1</x:v>
      </x:c>
      <x:c r="H191" s="11" t="n">
        <x:f>CHOOSE('假设'!$B$3,H192,H193,H194)</x:f>
        <x:v>0.125</x:v>
      </x:c>
      <x:c r="I191" s="11" t="n">
        <x:f>CHOOSE('假设'!$B$3,I192,I193,I194)</x:f>
        <x:v>6.8</x:v>
      </x:c>
    </x:row>
    <x:row r="192" ht="23" customHeight="1">
      <x:c r="A192" s="11" t="str">
        <x:v>688192.SH</x:v>
      </x:c>
      <x:c r="B192" s="11" t="str">
        <x:v>一年</x:v>
      </x:c>
      <x:c r="C192" s="11" t="str">
        <x:v>sun_later</x:v>
      </x:c>
      <x:c r="D192" s="11" t="str">
        <x:v>悲观</x:v>
      </x:c>
      <x:c r="E192" s="16" t="n">
        <x:v>1</x:v>
      </x:c>
      <x:c r="F192" s="16" t="n">
        <x:v>0.064</x:v>
      </x:c>
      <x:c r="G192" s="16" t="n">
        <x:v>1</x:v>
      </x:c>
      <x:c r="H192" s="16" t="n">
        <x:v>0.16</x:v>
      </x:c>
      <x:c r="I192" s="16" t="n">
        <x:v>6.8</x:v>
      </x:c>
    </x:row>
    <x:row r="193" ht="23" customHeight="1">
      <x:c r="A193" s="11" t="str">
        <x:v>688192.SH</x:v>
      </x:c>
      <x:c r="B193" s="11" t="str">
        <x:v>一年</x:v>
      </x:c>
      <x:c r="C193" s="11" t="str">
        <x:v>sun_later</x:v>
      </x:c>
      <x:c r="D193" s="11" t="str">
        <x:v>基准</x:v>
      </x:c>
      <x:c r="E193" s="16" t="n">
        <x:v>1</x:v>
      </x:c>
      <x:c r="F193" s="16" t="n">
        <x:v>0.08610000000000001</x:v>
      </x:c>
      <x:c r="G193" s="16" t="n">
        <x:v>1</x:v>
      </x:c>
      <x:c r="H193" s="16" t="n">
        <x:v>0.125</x:v>
      </x:c>
      <x:c r="I193" s="16" t="n">
        <x:v>6.8</x:v>
      </x:c>
    </x:row>
    <x:row r="194" ht="23" customHeight="1">
      <x:c r="A194" s="11" t="str">
        <x:v>688192.SH</x:v>
      </x:c>
      <x:c r="B194" s="11" t="str">
        <x:v>一年</x:v>
      </x:c>
      <x:c r="C194" s="11" t="str">
        <x:v>sun_later</x:v>
      </x:c>
      <x:c r="D194" s="11" t="str">
        <x:v>乐观</x:v>
      </x:c>
      <x:c r="E194" s="16" t="n">
        <x:v>1</x:v>
      </x:c>
      <x:c r="F194" s="16" t="n">
        <x:v>0.1105</x:v>
      </x:c>
      <x:c r="G194" s="16" t="n">
        <x:v>1</x:v>
      </x:c>
      <x:c r="H194" s="16" t="n">
        <x:v>0.105</x:v>
      </x:c>
      <x:c r="I194" s="16" t="n">
        <x:v>6.8</x:v>
      </x:c>
    </x:row>
    <x:row r="195" ht="23" customHeight="1">
      <x:c r="A195" s="11" t="str">
        <x:v>688192.SH</x:v>
      </x:c>
      <x:c r="B195" s="11" t="str">
        <x:v>一年</x:v>
      </x:c>
      <x:c r="C195" s="11" t="str">
        <x:v>sun_first</x:v>
      </x:c>
      <x:c r="D195" s="11" t="str">
        <x:v>活动输入</x:v>
      </x:c>
      <x:c r="E195" s="11" t="n">
        <x:f>CHOOSE('假设'!$B$3,E196,E197,E198)</x:f>
        <x:v>0.7976</x:v>
      </x:c>
      <x:c r="F195" s="11" t="n">
        <x:f>CHOOSE('假设'!$B$3,F196,F197,F198)</x:f>
        <x:v>0.08610000000000001</x:v>
      </x:c>
      <x:c r="G195" s="11" t="n">
        <x:f>CHOOSE('假设'!$B$3,G196,G197,G198)</x:f>
        <x:v>1</x:v>
      </x:c>
      <x:c r="H195" s="11" t="n">
        <x:f>CHOOSE('假设'!$B$3,H196,H197,H198)</x:f>
        <x:v>0.125</x:v>
      </x:c>
      <x:c r="I195" s="11" t="n">
        <x:f>CHOOSE('假设'!$B$3,I196,I197,I198)</x:f>
        <x:v>6.8</x:v>
      </x:c>
    </x:row>
    <x:row r="196" ht="23" customHeight="1">
      <x:c r="A196" s="11" t="str">
        <x:v>688192.SH</x:v>
      </x:c>
      <x:c r="B196" s="11" t="str">
        <x:v>一年</x:v>
      </x:c>
      <x:c r="C196" s="11" t="str">
        <x:v>sun_first</x:v>
      </x:c>
      <x:c r="D196" s="11" t="str">
        <x:v>悲观</x:v>
      </x:c>
      <x:c r="E196" s="16" t="n">
        <x:v>0.4665</x:v>
      </x:c>
      <x:c r="F196" s="16" t="n">
        <x:v>0.064</x:v>
      </x:c>
      <x:c r="G196" s="16" t="n">
        <x:v>1</x:v>
      </x:c>
      <x:c r="H196" s="11" t="n">
        <x:f>H192</x:f>
        <x:v>0.16</x:v>
      </x:c>
      <x:c r="I196" s="11" t="n">
        <x:f>I192</x:f>
        <x:v>6.8</x:v>
      </x:c>
    </x:row>
    <x:row r="197" ht="23" customHeight="1">
      <x:c r="A197" s="11" t="str">
        <x:v>688192.SH</x:v>
      </x:c>
      <x:c r="B197" s="11" t="str">
        <x:v>一年</x:v>
      </x:c>
      <x:c r="C197" s="11" t="str">
        <x:v>sun_first</x:v>
      </x:c>
      <x:c r="D197" s="11" t="str">
        <x:v>基准</x:v>
      </x:c>
      <x:c r="E197" s="16" t="n">
        <x:v>0.7976</x:v>
      </x:c>
      <x:c r="F197" s="16" t="n">
        <x:v>0.08610000000000001</x:v>
      </x:c>
      <x:c r="G197" s="16" t="n">
        <x:v>1</x:v>
      </x:c>
      <x:c r="H197" s="11" t="n">
        <x:f>H193</x:f>
        <x:v>0.125</x:v>
      </x:c>
      <x:c r="I197" s="11" t="n">
        <x:f>I193</x:f>
        <x:v>6.8</x:v>
      </x:c>
    </x:row>
    <x:row r="198" ht="23" customHeight="1">
      <x:c r="A198" s="11" t="str">
        <x:v>688192.SH</x:v>
      </x:c>
      <x:c r="B198" s="11" t="str">
        <x:v>一年</x:v>
      </x:c>
      <x:c r="C198" s="11" t="str">
        <x:v>sun_first</x:v>
      </x:c>
      <x:c r="D198" s="11" t="str">
        <x:v>乐观</x:v>
      </x:c>
      <x:c r="E198" s="16" t="n">
        <x:v>0.932</x:v>
      </x:c>
      <x:c r="F198" s="16" t="n">
        <x:v>0.1105</x:v>
      </x:c>
      <x:c r="G198" s="16" t="n">
        <x:v>1</x:v>
      </x:c>
      <x:c r="H198" s="11" t="n">
        <x:f>H194</x:f>
        <x:v>0.105</x:v>
      </x:c>
      <x:c r="I198" s="11" t="n">
        <x:f>I194</x:f>
        <x:v>6.8</x:v>
      </x:c>
    </x:row>
    <x:row r="199" ht="23" customHeight="1">
      <x:c r="A199" s="11" t="str">
        <x:v>688192.SH</x:v>
      </x:c>
      <x:c r="B199" s="11" t="str">
        <x:v>一年</x:v>
      </x:c>
      <x:c r="C199" s="11" t="str">
        <x:v>goli_rr</x:v>
      </x:c>
      <x:c r="D199" s="11" t="str">
        <x:v>活动输入</x:v>
      </x:c>
      <x:c r="E199" s="11" t="n">
        <x:f>CHOOSE('假设'!$B$3,E200,E201,E202)</x:f>
        <x:v>1</x:v>
      </x:c>
      <x:c r="F199" s="11" t="n">
        <x:f>CHOOSE('假设'!$B$3,F200,F201,F202)</x:f>
        <x:v>0.33</x:v>
      </x:c>
      <x:c r="G199" s="11" t="n">
        <x:f>CHOOSE('假设'!$B$3,G200,G201,G202)</x:f>
        <x:v>1</x:v>
      </x:c>
      <x:c r="H199" s="11" t="n">
        <x:f>CHOOSE('假设'!$B$3,H200,H201,H202)</x:f>
        <x:v>0.125</x:v>
      </x:c>
      <x:c r="I199" s="11" t="n">
        <x:f>CHOOSE('假设'!$B$3,I200,I201,I202)</x:f>
        <x:v>6.8</x:v>
      </x:c>
    </x:row>
    <x:row r="200" ht="23" customHeight="1">
      <x:c r="A200" s="11" t="str">
        <x:v>688192.SH</x:v>
      </x:c>
      <x:c r="B200" s="11" t="str">
        <x:v>一年</x:v>
      </x:c>
      <x:c r="C200" s="11" t="str">
        <x:v>goli_rr</x:v>
      </x:c>
      <x:c r="D200" s="11" t="str">
        <x:v>悲观</x:v>
      </x:c>
      <x:c r="E200" s="16" t="n">
        <x:v>1</x:v>
      </x:c>
      <x:c r="F200" s="16" t="n">
        <x:v>0.22</x:v>
      </x:c>
      <x:c r="G200" s="16" t="n">
        <x:v>1</x:v>
      </x:c>
      <x:c r="H200" s="11" t="n">
        <x:f>H192</x:f>
        <x:v>0.16</x:v>
      </x:c>
      <x:c r="I200" s="11" t="n">
        <x:f>I192</x:f>
        <x:v>6.8</x:v>
      </x:c>
    </x:row>
    <x:row r="201" ht="23" customHeight="1">
      <x:c r="A201" s="11" t="str">
        <x:v>688192.SH</x:v>
      </x:c>
      <x:c r="B201" s="11" t="str">
        <x:v>一年</x:v>
      </x:c>
      <x:c r="C201" s="11" t="str">
        <x:v>goli_rr</x:v>
      </x:c>
      <x:c r="D201" s="11" t="str">
        <x:v>基准</x:v>
      </x:c>
      <x:c r="E201" s="16" t="n">
        <x:v>1</x:v>
      </x:c>
      <x:c r="F201" s="16" t="n">
        <x:v>0.33</x:v>
      </x:c>
      <x:c r="G201" s="16" t="n">
        <x:v>1</x:v>
      </x:c>
      <x:c r="H201" s="11" t="n">
        <x:f>H193</x:f>
        <x:v>0.125</x:v>
      </x:c>
      <x:c r="I201" s="11" t="n">
        <x:f>I193</x:f>
        <x:v>6.8</x:v>
      </x:c>
    </x:row>
    <x:row r="202" ht="23" customHeight="1">
      <x:c r="A202" s="11" t="str">
        <x:v>688192.SH</x:v>
      </x:c>
      <x:c r="B202" s="11" t="str">
        <x:v>一年</x:v>
      </x:c>
      <x:c r="C202" s="11" t="str">
        <x:v>goli_rr</x:v>
      </x:c>
      <x:c r="D202" s="11" t="str">
        <x:v>乐观</x:v>
      </x:c>
      <x:c r="E202" s="16" t="n">
        <x:v>1</x:v>
      </x:c>
      <x:c r="F202" s="16" t="n">
        <x:v>0.4</x:v>
      </x:c>
      <x:c r="G202" s="16" t="n">
        <x:v>1</x:v>
      </x:c>
      <x:c r="H202" s="11" t="n">
        <x:f>H194</x:f>
        <x:v>0.105</x:v>
      </x:c>
      <x:c r="I202" s="11" t="n">
        <x:f>I194</x:f>
        <x:v>6.8</x:v>
      </x:c>
    </x:row>
    <x:row r="203" ht="23" customHeight="1">
      <x:c r="A203" s="11" t="str">
        <x:v>688192.SH</x:v>
      </x:c>
      <x:c r="B203" s="11" t="str">
        <x:v>一年</x:v>
      </x:c>
      <x:c r="C203" s="11" t="str">
        <x:v>goli_first</x:v>
      </x:c>
      <x:c r="D203" s="11" t="str">
        <x:v>活动输入</x:v>
      </x:c>
      <x:c r="E203" s="11" t="n">
        <x:f>CHOOSE('假设'!$B$3,E204,E205,E206)</x:f>
        <x:v>0.44799999999999995</x:v>
      </x:c>
      <x:c r="F203" s="11" t="n">
        <x:f>CHOOSE('假设'!$B$3,F204,F205,F206)</x:f>
        <x:v>0.33</x:v>
      </x:c>
      <x:c r="G203" s="11" t="n">
        <x:f>CHOOSE('假设'!$B$3,G204,G205,G206)</x:f>
        <x:v>1</x:v>
      </x:c>
      <x:c r="H203" s="11" t="n">
        <x:f>CHOOSE('假设'!$B$3,H204,H205,H206)</x:f>
        <x:v>0.125</x:v>
      </x:c>
      <x:c r="I203" s="11" t="n">
        <x:f>CHOOSE('假设'!$B$3,I204,I205,I206)</x:f>
        <x:v>6.8</x:v>
      </x:c>
    </x:row>
    <x:row r="204" ht="23" customHeight="1">
      <x:c r="A204" s="11" t="str">
        <x:v>688192.SH</x:v>
      </x:c>
      <x:c r="B204" s="11" t="str">
        <x:v>一年</x:v>
      </x:c>
      <x:c r="C204" s="11" t="str">
        <x:v>goli_first</x:v>
      </x:c>
      <x:c r="D204" s="11" t="str">
        <x:v>悲观</x:v>
      </x:c>
      <x:c r="E204" s="16" t="n">
        <x:v>0.1755</x:v>
      </x:c>
      <x:c r="F204" s="16" t="n">
        <x:v>0.22</x:v>
      </x:c>
      <x:c r="G204" s="16" t="n">
        <x:v>1</x:v>
      </x:c>
      <x:c r="H204" s="11" t="n">
        <x:f>H192</x:f>
        <x:v>0.16</x:v>
      </x:c>
      <x:c r="I204" s="11" t="n">
        <x:f>I192</x:f>
        <x:v>6.8</x:v>
      </x:c>
    </x:row>
    <x:row r="205" ht="23" customHeight="1">
      <x:c r="A205" s="11" t="str">
        <x:v>688192.SH</x:v>
      </x:c>
      <x:c r="B205" s="11" t="str">
        <x:v>一年</x:v>
      </x:c>
      <x:c r="C205" s="11" t="str">
        <x:v>goli_first</x:v>
      </x:c>
      <x:c r="D205" s="11" t="str">
        <x:v>基准</x:v>
      </x:c>
      <x:c r="E205" s="16" t="n">
        <x:v>0.44799999999999995</x:v>
      </x:c>
      <x:c r="F205" s="16" t="n">
        <x:v>0.33</x:v>
      </x:c>
      <x:c r="G205" s="16" t="n">
        <x:v>1</x:v>
      </x:c>
      <x:c r="H205" s="11" t="n">
        <x:f>H193</x:f>
        <x:v>0.125</x:v>
      </x:c>
      <x:c r="I205" s="11" t="n">
        <x:f>I193</x:f>
        <x:v>6.8</x:v>
      </x:c>
    </x:row>
    <x:row r="206" ht="23" customHeight="1">
      <x:c r="A206" s="11" t="str">
        <x:v>688192.SH</x:v>
      </x:c>
      <x:c r="B206" s="11" t="str">
        <x:v>一年</x:v>
      </x:c>
      <x:c r="C206" s="11" t="str">
        <x:v>goli_first</x:v>
      </x:c>
      <x:c r="D206" s="11" t="str">
        <x:v>乐观</x:v>
      </x:c>
      <x:c r="E206" s="16" t="n">
        <x:v>0.7025</x:v>
      </x:c>
      <x:c r="F206" s="16" t="n">
        <x:v>0.4</x:v>
      </x:c>
      <x:c r="G206" s="16" t="n">
        <x:v>1</x:v>
      </x:c>
      <x:c r="H206" s="11" t="n">
        <x:f>H194</x:f>
        <x:v>0.105</x:v>
      </x:c>
      <x:c r="I206" s="11" t="n">
        <x:f>I194</x:f>
        <x:v>6.8</x:v>
      </x:c>
    </x:row>
    <x:row r="207" ht="23" customHeight="1">
      <x:c r="A207" s="11" t="str">
        <x:v>688192.SH</x:v>
      </x:c>
      <x:c r="B207" s="11" t="str">
        <x:v>一年</x:v>
      </x:c>
      <x:c r="C207" s="11" t="str">
        <x:v>goli_lung</x:v>
      </x:c>
      <x:c r="D207" s="11" t="str">
        <x:v>活动输入</x:v>
      </x:c>
      <x:c r="E207" s="11" t="n">
        <x:f>CHOOSE('假设'!$B$3,E208,E209,E210)</x:f>
        <x:v>0.2639999999999999</x:v>
      </x:c>
      <x:c r="F207" s="11" t="n">
        <x:f>CHOOSE('假设'!$B$3,F208,F209,F210)</x:f>
        <x:v>0.3</x:v>
      </x:c>
      <x:c r="G207" s="11" t="n">
        <x:f>CHOOSE('假设'!$B$3,G208,G209,G210)</x:f>
        <x:v>1</x:v>
      </x:c>
      <x:c r="H207" s="11" t="n">
        <x:f>CHOOSE('假设'!$B$3,H208,H209,H210)</x:f>
        <x:v>0.125</x:v>
      </x:c>
      <x:c r="I207" s="11" t="n">
        <x:f>CHOOSE('假设'!$B$3,I208,I209,I210)</x:f>
        <x:v>6.8</x:v>
      </x:c>
    </x:row>
    <x:row r="208" ht="23" customHeight="1">
      <x:c r="A208" s="11" t="str">
        <x:v>688192.SH</x:v>
      </x:c>
      <x:c r="B208" s="11" t="str">
        <x:v>一年</x:v>
      </x:c>
      <x:c r="C208" s="11" t="str">
        <x:v>goli_lung</x:v>
      </x:c>
      <x:c r="D208" s="11" t="str">
        <x:v>悲观</x:v>
      </x:c>
      <x:c r="E208" s="16" t="n">
        <x:v>0.08820000000000006</x:v>
      </x:c>
      <x:c r="F208" s="16" t="n">
        <x:v>0.2</x:v>
      </x:c>
      <x:c r="G208" s="16" t="n">
        <x:v>1</x:v>
      </x:c>
      <x:c r="H208" s="11" t="n">
        <x:f>H192</x:f>
        <x:v>0.16</x:v>
      </x:c>
      <x:c r="I208" s="11" t="n">
        <x:f>I192</x:f>
        <x:v>6.8</x:v>
      </x:c>
    </x:row>
    <x:row r="209" ht="23" customHeight="1">
      <x:c r="A209" s="11" t="str">
        <x:v>688192.SH</x:v>
      </x:c>
      <x:c r="B209" s="11" t="str">
        <x:v>一年</x:v>
      </x:c>
      <x:c r="C209" s="11" t="str">
        <x:v>goli_lung</x:v>
      </x:c>
      <x:c r="D209" s="11" t="str">
        <x:v>基准</x:v>
      </x:c>
      <x:c r="E209" s="16" t="n">
        <x:v>0.2639999999999999</x:v>
      </x:c>
      <x:c r="F209" s="16" t="n">
        <x:v>0.3</x:v>
      </x:c>
      <x:c r="G209" s="16" t="n">
        <x:v>1</x:v>
      </x:c>
      <x:c r="H209" s="11" t="n">
        <x:f>H193</x:f>
        <x:v>0.125</x:v>
      </x:c>
      <x:c r="I209" s="11" t="n">
        <x:f>I193</x:f>
        <x:v>6.8</x:v>
      </x:c>
    </x:row>
    <x:row r="210" ht="23" customHeight="1">
      <x:c r="A210" s="11" t="str">
        <x:v>688192.SH</x:v>
      </x:c>
      <x:c r="B210" s="11" t="str">
        <x:v>一年</x:v>
      </x:c>
      <x:c r="C210" s="11" t="str">
        <x:v>goli_lung</x:v>
      </x:c>
      <x:c r="D210" s="11" t="str">
        <x:v>乐观</x:v>
      </x:c>
      <x:c r="E210" s="16" t="n">
        <x:v>0.49</x:v>
      </x:c>
      <x:c r="F210" s="16" t="n">
        <x:v>0.38</x:v>
      </x:c>
      <x:c r="G210" s="16" t="n">
        <x:v>1</x:v>
      </x:c>
      <x:c r="H210" s="11" t="n">
        <x:f>H194</x:f>
        <x:v>0.105</x:v>
      </x:c>
      <x:c r="I210" s="11" t="n">
        <x:f>I194</x:f>
        <x:v>6.8</x:v>
      </x:c>
    </x:row>
    <x:row r="211" ht="23" customHeight="1">
      <x:c r="A211" s="11" t="str">
        <x:v>688192.SH</x:v>
      </x:c>
      <x:c r="B211" s="11" t="str">
        <x:v>一年</x:v>
      </x:c>
      <x:c r="C211" s="11" t="str">
        <x:v>bire_cll</x:v>
      </x:c>
      <x:c r="D211" s="11" t="str">
        <x:v>活动输入</x:v>
      </x:c>
      <x:c r="E211" s="11" t="n">
        <x:f>CHOOSE('假设'!$B$3,E212,E213,E214)</x:f>
        <x:v>0.5216</x:v>
      </x:c>
      <x:c r="F211" s="11" t="n">
        <x:f>CHOOSE('假设'!$B$3,F212,F213,F214)</x:f>
        <x:v>0.32</x:v>
      </x:c>
      <x:c r="G211" s="11" t="n">
        <x:f>CHOOSE('假设'!$B$3,G212,G213,G214)</x:f>
        <x:v>1</x:v>
      </x:c>
      <x:c r="H211" s="11" t="n">
        <x:f>CHOOSE('假设'!$B$3,H212,H213,H214)</x:f>
        <x:v>0.125</x:v>
      </x:c>
      <x:c r="I211" s="11" t="n">
        <x:f>CHOOSE('假设'!$B$3,I212,I213,I214)</x:f>
        <x:v>6.8</x:v>
      </x:c>
    </x:row>
    <x:row r="212" ht="23" customHeight="1">
      <x:c r="A212" s="11" t="str">
        <x:v>688192.SH</x:v>
      </x:c>
      <x:c r="B212" s="11" t="str">
        <x:v>一年</x:v>
      </x:c>
      <x:c r="C212" s="11" t="str">
        <x:v>bire_cll</x:v>
      </x:c>
      <x:c r="D212" s="11" t="str">
        <x:v>悲观</x:v>
      </x:c>
      <x:c r="E212" s="16" t="n">
        <x:v>0.2046</x:v>
      </x:c>
      <x:c r="F212" s="16" t="n">
        <x:v>0.22</x:v>
      </x:c>
      <x:c r="G212" s="16" t="n">
        <x:v>1</x:v>
      </x:c>
      <x:c r="H212" s="11" t="n">
        <x:f>H192</x:f>
        <x:v>0.16</x:v>
      </x:c>
      <x:c r="I212" s="11" t="n">
        <x:f>I192</x:f>
        <x:v>6.8</x:v>
      </x:c>
    </x:row>
    <x:row r="213" ht="23" customHeight="1">
      <x:c r="A213" s="11" t="str">
        <x:v>688192.SH</x:v>
      </x:c>
      <x:c r="B213" s="11" t="str">
        <x:v>一年</x:v>
      </x:c>
      <x:c r="C213" s="11" t="str">
        <x:v>bire_cll</x:v>
      </x:c>
      <x:c r="D213" s="11" t="str">
        <x:v>基准</x:v>
      </x:c>
      <x:c r="E213" s="16" t="n">
        <x:v>0.5216</x:v>
      </x:c>
      <x:c r="F213" s="16" t="n">
        <x:v>0.32</x:v>
      </x:c>
      <x:c r="G213" s="16" t="n">
        <x:v>1</x:v>
      </x:c>
      <x:c r="H213" s="11" t="n">
        <x:f>H193</x:f>
        <x:v>0.125</x:v>
      </x:c>
      <x:c r="I213" s="11" t="n">
        <x:f>I193</x:f>
        <x:v>6.8</x:v>
      </x:c>
    </x:row>
    <x:row r="214" ht="23" customHeight="1">
      <x:c r="A214" s="11" t="str">
        <x:v>688192.SH</x:v>
      </x:c>
      <x:c r="B214" s="11" t="str">
        <x:v>一年</x:v>
      </x:c>
      <x:c r="C214" s="11" t="str">
        <x:v>bire_cll</x:v>
      </x:c>
      <x:c r="D214" s="11" t="str">
        <x:v>乐观</x:v>
      </x:c>
      <x:c r="E214" s="16" t="n">
        <x:v>0.745</x:v>
      </x:c>
      <x:c r="F214" s="16" t="n">
        <x:v>0.4</x:v>
      </x:c>
      <x:c r="G214" s="16" t="n">
        <x:v>1</x:v>
      </x:c>
      <x:c r="H214" s="11" t="n">
        <x:f>H194</x:f>
        <x:v>0.105</x:v>
      </x:c>
      <x:c r="I214" s="11" t="n">
        <x:f>I194</x:f>
        <x:v>6.8</x:v>
      </x:c>
    </x:row>
    <x:row r="215" ht="23" customHeight="1">
      <x:c r="A215" s="11" t="str">
        <x:v>688192.SH</x:v>
      </x:c>
      <x:c r="B215" s="11" t="str">
        <x:v>一年</x:v>
      </x:c>
      <x:c r="C215" s="11" t="str">
        <x:v>bire_dlbcl</x:v>
      </x:c>
      <x:c r="D215" s="11" t="str">
        <x:v>活动输入</x:v>
      </x:c>
      <x:c r="E215" s="11" t="n">
        <x:f>CHOOSE('假设'!$B$3,E216,E217,E218)</x:f>
        <x:v>0.356</x:v>
      </x:c>
      <x:c r="F215" s="11" t="n">
        <x:f>CHOOSE('假设'!$B$3,F216,F217,F218)</x:f>
        <x:v>0.32</x:v>
      </x:c>
      <x:c r="G215" s="11" t="n">
        <x:f>CHOOSE('假设'!$B$3,G216,G217,G218)</x:f>
        <x:v>1</x:v>
      </x:c>
      <x:c r="H215" s="11" t="n">
        <x:f>CHOOSE('假设'!$B$3,H216,H217,H218)</x:f>
        <x:v>0.125</x:v>
      </x:c>
      <x:c r="I215" s="11" t="n">
        <x:f>CHOOSE('假设'!$B$3,I216,I217,I218)</x:f>
        <x:v>6.8</x:v>
      </x:c>
    </x:row>
    <x:row r="216" ht="23" customHeight="1">
      <x:c r="A216" s="11" t="str">
        <x:v>688192.SH</x:v>
      </x:c>
      <x:c r="B216" s="11" t="str">
        <x:v>一年</x:v>
      </x:c>
      <x:c r="C216" s="11" t="str">
        <x:v>bire_dlbcl</x:v>
      </x:c>
      <x:c r="D216" s="11" t="str">
        <x:v>悲观</x:v>
      </x:c>
      <x:c r="E216" s="16" t="n">
        <x:v>0.127</x:v>
      </x:c>
      <x:c r="F216" s="16" t="n">
        <x:v>0.22</x:v>
      </x:c>
      <x:c r="G216" s="16" t="n">
        <x:v>1</x:v>
      </x:c>
      <x:c r="H216" s="11" t="n">
        <x:f>H192</x:f>
        <x:v>0.16</x:v>
      </x:c>
      <x:c r="I216" s="11" t="n">
        <x:f>I192</x:f>
        <x:v>6.8</x:v>
      </x:c>
    </x:row>
    <x:row r="217" ht="23" customHeight="1">
      <x:c r="A217" s="11" t="str">
        <x:v>688192.SH</x:v>
      </x:c>
      <x:c r="B217" s="11" t="str">
        <x:v>一年</x:v>
      </x:c>
      <x:c r="C217" s="11" t="str">
        <x:v>bire_dlbcl</x:v>
      </x:c>
      <x:c r="D217" s="11" t="str">
        <x:v>基准</x:v>
      </x:c>
      <x:c r="E217" s="16" t="n">
        <x:v>0.356</x:v>
      </x:c>
      <x:c r="F217" s="16" t="n">
        <x:v>0.32</x:v>
      </x:c>
      <x:c r="G217" s="16" t="n">
        <x:v>1</x:v>
      </x:c>
      <x:c r="H217" s="11" t="n">
        <x:f>H193</x:f>
        <x:v>0.125</x:v>
      </x:c>
      <x:c r="I217" s="11" t="n">
        <x:f>I193</x:f>
        <x:v>6.8</x:v>
      </x:c>
    </x:row>
    <x:row r="218" ht="23" customHeight="1">
      <x:c r="A218" s="11" t="str">
        <x:v>688192.SH</x:v>
      </x:c>
      <x:c r="B218" s="11" t="str">
        <x:v>一年</x:v>
      </x:c>
      <x:c r="C218" s="11" t="str">
        <x:v>bire_dlbcl</x:v>
      </x:c>
      <x:c r="D218" s="11" t="str">
        <x:v>乐观</x:v>
      </x:c>
      <x:c r="E218" s="16" t="n">
        <x:v>0.6175</x:v>
      </x:c>
      <x:c r="F218" s="16" t="n">
        <x:v>0.4</x:v>
      </x:c>
      <x:c r="G218" s="16" t="n">
        <x:v>1</x:v>
      </x:c>
      <x:c r="H218" s="11" t="n">
        <x:f>H194</x:f>
        <x:v>0.105</x:v>
      </x:c>
      <x:c r="I218" s="11" t="n">
        <x:f>I194</x:f>
        <x:v>6.8</x:v>
      </x:c>
    </x:row>
    <x:row r="219" ht="23" customHeight="1">
      <x:c r="A219" s="11" t="str">
        <x:v>688192.SH</x:v>
      </x:c>
      <x:c r="B219" s="11" t="str">
        <x:v>一年</x:v>
      </x:c>
      <x:c r="C219" s="11" t="str">
        <x:v>dzd6008</x:v>
      </x:c>
      <x:c r="D219" s="11" t="str">
        <x:v>活动输入</x:v>
      </x:c>
      <x:c r="E219" s="11" t="n">
        <x:f>CHOOSE('假设'!$B$3,E220,E221,E222)</x:f>
        <x:v>0.356</x:v>
      </x:c>
      <x:c r="F219" s="11" t="n">
        <x:f>CHOOSE('假设'!$B$3,F220,F221,F222)</x:f>
        <x:v>0.32</x:v>
      </x:c>
      <x:c r="G219" s="11" t="n">
        <x:f>CHOOSE('假设'!$B$3,G220,G221,G222)</x:f>
        <x:v>1</x:v>
      </x:c>
      <x:c r="H219" s="11" t="n">
        <x:f>CHOOSE('假设'!$B$3,H220,H221,H222)</x:f>
        <x:v>0.125</x:v>
      </x:c>
      <x:c r="I219" s="11" t="n">
        <x:f>CHOOSE('假设'!$B$3,I220,I221,I222)</x:f>
        <x:v>6.8</x:v>
      </x:c>
    </x:row>
    <x:row r="220" ht="23" customHeight="1">
      <x:c r="A220" s="11" t="str">
        <x:v>688192.SH</x:v>
      </x:c>
      <x:c r="B220" s="11" t="str">
        <x:v>一年</x:v>
      </x:c>
      <x:c r="C220" s="11" t="str">
        <x:v>dzd6008</x:v>
      </x:c>
      <x:c r="D220" s="11" t="str">
        <x:v>悲观</x:v>
      </x:c>
      <x:c r="E220" s="16" t="n">
        <x:v>0.127</x:v>
      </x:c>
      <x:c r="F220" s="16" t="n">
        <x:v>0.22</x:v>
      </x:c>
      <x:c r="G220" s="16" t="n">
        <x:v>1</x:v>
      </x:c>
      <x:c r="H220" s="11" t="n">
        <x:f>H192</x:f>
        <x:v>0.16</x:v>
      </x:c>
      <x:c r="I220" s="11" t="n">
        <x:f>I192</x:f>
        <x:v>6.8</x:v>
      </x:c>
    </x:row>
    <x:row r="221" ht="23" customHeight="1">
      <x:c r="A221" s="11" t="str">
        <x:v>688192.SH</x:v>
      </x:c>
      <x:c r="B221" s="11" t="str">
        <x:v>一年</x:v>
      </x:c>
      <x:c r="C221" s="11" t="str">
        <x:v>dzd6008</x:v>
      </x:c>
      <x:c r="D221" s="11" t="str">
        <x:v>基准</x:v>
      </x:c>
      <x:c r="E221" s="16" t="n">
        <x:v>0.356</x:v>
      </x:c>
      <x:c r="F221" s="16" t="n">
        <x:v>0.32</x:v>
      </x:c>
      <x:c r="G221" s="16" t="n">
        <x:v>1</x:v>
      </x:c>
      <x:c r="H221" s="11" t="n">
        <x:f>H193</x:f>
        <x:v>0.125</x:v>
      </x:c>
      <x:c r="I221" s="11" t="n">
        <x:f>I193</x:f>
        <x:v>6.8</x:v>
      </x:c>
    </x:row>
    <x:row r="222" ht="23" customHeight="1">
      <x:c r="A222" s="11" t="str">
        <x:v>688192.SH</x:v>
      </x:c>
      <x:c r="B222" s="11" t="str">
        <x:v>一年</x:v>
      </x:c>
      <x:c r="C222" s="11" t="str">
        <x:v>dzd6008</x:v>
      </x:c>
      <x:c r="D222" s="11" t="str">
        <x:v>乐观</x:v>
      </x:c>
      <x:c r="E222" s="16" t="n">
        <x:v>0.6175</x:v>
      </x:c>
      <x:c r="F222" s="16" t="n">
        <x:v>0.4</x:v>
      </x:c>
      <x:c r="G222" s="16" t="n">
        <x:v>1</x:v>
      </x:c>
      <x:c r="H222" s="11" t="n">
        <x:f>H194</x:f>
        <x:v>0.105</x:v>
      </x:c>
      <x:c r="I222" s="11" t="n">
        <x:f>I194</x:f>
        <x:v>6.8</x:v>
      </x:c>
    </x:row>
    <x:row r="223" ht="23" customHeight="1">
      <x:c r="A223" s="11" t="str">
        <x:v>688192.SH</x:v>
      </x:c>
      <x:c r="B223" s="11" t="str">
        <x:v>三年</x:v>
      </x:c>
      <x:c r="C223" s="11" t="str">
        <x:v>sun_later</x:v>
      </x:c>
      <x:c r="D223" s="11" t="str">
        <x:v>活动输入</x:v>
      </x:c>
      <x:c r="E223" s="11" t="n">
        <x:f>CHOOSE('假设'!$B$3,E224,E225,E226)</x:f>
        <x:v>1</x:v>
      </x:c>
      <x:c r="F223" s="11" t="n">
        <x:f>CHOOSE('假设'!$B$3,F224,F225,F226)</x:f>
        <x:v>0.08610000000000001</x:v>
      </x:c>
      <x:c r="G223" s="11" t="n">
        <x:f>CHOOSE('假设'!$B$3,G224,G225,G226)</x:f>
        <x:v>1</x:v>
      </x:c>
      <x:c r="H223" s="11" t="n">
        <x:f>CHOOSE('假设'!$B$3,H224,H225,H226)</x:f>
        <x:v>0.125</x:v>
      </x:c>
      <x:c r="I223" s="11" t="n">
        <x:f>CHOOSE('假设'!$B$3,I224,I225,I226)</x:f>
        <x:v>6.8</x:v>
      </x:c>
    </x:row>
    <x:row r="224" ht="23" customHeight="1">
      <x:c r="A224" s="11" t="str">
        <x:v>688192.SH</x:v>
      </x:c>
      <x:c r="B224" s="11" t="str">
        <x:v>三年</x:v>
      </x:c>
      <x:c r="C224" s="11" t="str">
        <x:v>sun_later</x:v>
      </x:c>
      <x:c r="D224" s="11" t="str">
        <x:v>悲观</x:v>
      </x:c>
      <x:c r="E224" s="16" t="n">
        <x:v>1</x:v>
      </x:c>
      <x:c r="F224" s="16" t="n">
        <x:v>0.064</x:v>
      </x:c>
      <x:c r="G224" s="16" t="n">
        <x:v>1</x:v>
      </x:c>
      <x:c r="H224" s="16" t="n">
        <x:v>0.16</x:v>
      </x:c>
      <x:c r="I224" s="16" t="n">
        <x:v>6.8</x:v>
      </x:c>
    </x:row>
    <x:row r="225" ht="23" customHeight="1">
      <x:c r="A225" s="11" t="str">
        <x:v>688192.SH</x:v>
      </x:c>
      <x:c r="B225" s="11" t="str">
        <x:v>三年</x:v>
      </x:c>
      <x:c r="C225" s="11" t="str">
        <x:v>sun_later</x:v>
      </x:c>
      <x:c r="D225" s="11" t="str">
        <x:v>基准</x:v>
      </x:c>
      <x:c r="E225" s="16" t="n">
        <x:v>1</x:v>
      </x:c>
      <x:c r="F225" s="16" t="n">
        <x:v>0.08610000000000001</x:v>
      </x:c>
      <x:c r="G225" s="16" t="n">
        <x:v>1</x:v>
      </x:c>
      <x:c r="H225" s="16" t="n">
        <x:v>0.125</x:v>
      </x:c>
      <x:c r="I225" s="16" t="n">
        <x:v>6.8</x:v>
      </x:c>
    </x:row>
    <x:row r="226" ht="23" customHeight="1">
      <x:c r="A226" s="11" t="str">
        <x:v>688192.SH</x:v>
      </x:c>
      <x:c r="B226" s="11" t="str">
        <x:v>三年</x:v>
      </x:c>
      <x:c r="C226" s="11" t="str">
        <x:v>sun_later</x:v>
      </x:c>
      <x:c r="D226" s="11" t="str">
        <x:v>乐观</x:v>
      </x:c>
      <x:c r="E226" s="16" t="n">
        <x:v>1</x:v>
      </x:c>
      <x:c r="F226" s="16" t="n">
        <x:v>0.1105</x:v>
      </x:c>
      <x:c r="G226" s="16" t="n">
        <x:v>1</x:v>
      </x:c>
      <x:c r="H226" s="16" t="n">
        <x:v>0.105</x:v>
      </x:c>
      <x:c r="I226" s="16" t="n">
        <x:v>6.8</x:v>
      </x:c>
    </x:row>
    <x:row r="227" ht="23" customHeight="1">
      <x:c r="A227" s="11" t="str">
        <x:v>688192.SH</x:v>
      </x:c>
      <x:c r="B227" s="11" t="str">
        <x:v>三年</x:v>
      </x:c>
      <x:c r="C227" s="11" t="str">
        <x:v>sun_first</x:v>
      </x:c>
      <x:c r="D227" s="11" t="str">
        <x:v>活动输入</x:v>
      </x:c>
      <x:c r="E227" s="11" t="n">
        <x:f>CHOOSE('假设'!$B$3,E228,E229,E230)</x:f>
        <x:v>0.8416</x:v>
      </x:c>
      <x:c r="F227" s="11" t="n">
        <x:f>CHOOSE('假设'!$B$3,F228,F229,F230)</x:f>
        <x:v>0.08610000000000001</x:v>
      </x:c>
      <x:c r="G227" s="11" t="n">
        <x:f>CHOOSE('假设'!$B$3,G228,G229,G230)</x:f>
        <x:v>1</x:v>
      </x:c>
      <x:c r="H227" s="11" t="n">
        <x:f>CHOOSE('假设'!$B$3,H228,H229,H230)</x:f>
        <x:v>0.125</x:v>
      </x:c>
      <x:c r="I227" s="11" t="n">
        <x:f>CHOOSE('假设'!$B$3,I228,I229,I230)</x:f>
        <x:v>6.8</x:v>
      </x:c>
    </x:row>
    <x:row r="228" ht="23" customHeight="1">
      <x:c r="A228" s="11" t="str">
        <x:v>688192.SH</x:v>
      </x:c>
      <x:c r="B228" s="11" t="str">
        <x:v>三年</x:v>
      </x:c>
      <x:c r="C228" s="11" t="str">
        <x:v>sun_first</x:v>
      </x:c>
      <x:c r="D228" s="11" t="str">
        <x:v>悲观</x:v>
      </x:c>
      <x:c r="E228" s="16" t="n">
        <x:v>0.4939999999999999</x:v>
      </x:c>
      <x:c r="F228" s="16" t="n">
        <x:v>0.064</x:v>
      </x:c>
      <x:c r="G228" s="16" t="n">
        <x:v>1</x:v>
      </x:c>
      <x:c r="H228" s="11" t="n">
        <x:f>H224</x:f>
        <x:v>0.16</x:v>
      </x:c>
      <x:c r="I228" s="11" t="n">
        <x:f>I224</x:f>
        <x:v>6.8</x:v>
      </x:c>
    </x:row>
    <x:row r="229" ht="23" customHeight="1">
      <x:c r="A229" s="11" t="str">
        <x:v>688192.SH</x:v>
      </x:c>
      <x:c r="B229" s="11" t="str">
        <x:v>三年</x:v>
      </x:c>
      <x:c r="C229" s="11" t="str">
        <x:v>sun_first</x:v>
      </x:c>
      <x:c r="D229" s="11" t="str">
        <x:v>基准</x:v>
      </x:c>
      <x:c r="E229" s="16" t="n">
        <x:v>0.8416</x:v>
      </x:c>
      <x:c r="F229" s="16" t="n">
        <x:v>0.08610000000000001</x:v>
      </x:c>
      <x:c r="G229" s="16" t="n">
        <x:v>1</x:v>
      </x:c>
      <x:c r="H229" s="11" t="n">
        <x:f>H225</x:f>
        <x:v>0.125</x:v>
      </x:c>
      <x:c r="I229" s="11" t="n">
        <x:f>I225</x:f>
        <x:v>6.8</x:v>
      </x:c>
    </x:row>
    <x:row r="230" ht="23" customHeight="1">
      <x:c r="A230" s="11" t="str">
        <x:v>688192.SH</x:v>
      </x:c>
      <x:c r="B230" s="11" t="str">
        <x:v>三年</x:v>
      </x:c>
      <x:c r="C230" s="11" t="str">
        <x:v>sun_first</x:v>
      </x:c>
      <x:c r="D230" s="11" t="str">
        <x:v>乐观</x:v>
      </x:c>
      <x:c r="E230" s="16" t="n">
        <x:v>0.9520000000000001</x:v>
      </x:c>
      <x:c r="F230" s="16" t="n">
        <x:v>0.1105</x:v>
      </x:c>
      <x:c r="G230" s="16" t="n">
        <x:v>1</x:v>
      </x:c>
      <x:c r="H230" s="11" t="n">
        <x:f>H226</x:f>
        <x:v>0.105</x:v>
      </x:c>
      <x:c r="I230" s="11" t="n">
        <x:f>I226</x:f>
        <x:v>6.8</x:v>
      </x:c>
    </x:row>
    <x:row r="231" ht="23" customHeight="1">
      <x:c r="A231" s="11" t="str">
        <x:v>688192.SH</x:v>
      </x:c>
      <x:c r="B231" s="11" t="str">
        <x:v>三年</x:v>
      </x:c>
      <x:c r="C231" s="11" t="str">
        <x:v>goli_rr</x:v>
      </x:c>
      <x:c r="D231" s="11" t="str">
        <x:v>活动输入</x:v>
      </x:c>
      <x:c r="E231" s="11" t="n">
        <x:f>CHOOSE('假设'!$B$3,E232,E233,E234)</x:f>
        <x:v>1</x:v>
      </x:c>
      <x:c r="F231" s="11" t="n">
        <x:f>CHOOSE('假设'!$B$3,F232,F233,F234)</x:f>
        <x:v>0.33</x:v>
      </x:c>
      <x:c r="G231" s="11" t="n">
        <x:f>CHOOSE('假设'!$B$3,G232,G233,G234)</x:f>
        <x:v>1</x:v>
      </x:c>
      <x:c r="H231" s="11" t="n">
        <x:f>CHOOSE('假设'!$B$3,H232,H233,H234)</x:f>
        <x:v>0.125</x:v>
      </x:c>
      <x:c r="I231" s="11" t="n">
        <x:f>CHOOSE('假设'!$B$3,I232,I233,I234)</x:f>
        <x:v>6.8</x:v>
      </x:c>
    </x:row>
    <x:row r="232" ht="23" customHeight="1">
      <x:c r="A232" s="11" t="str">
        <x:v>688192.SH</x:v>
      </x:c>
      <x:c r="B232" s="11" t="str">
        <x:v>三年</x:v>
      </x:c>
      <x:c r="C232" s="11" t="str">
        <x:v>goli_rr</x:v>
      </x:c>
      <x:c r="D232" s="11" t="str">
        <x:v>悲观</x:v>
      </x:c>
      <x:c r="E232" s="16" t="n">
        <x:v>1</x:v>
      </x:c>
      <x:c r="F232" s="16" t="n">
        <x:v>0.22</x:v>
      </x:c>
      <x:c r="G232" s="16" t="n">
        <x:v>1</x:v>
      </x:c>
      <x:c r="H232" s="11" t="n">
        <x:f>H224</x:f>
        <x:v>0.16</x:v>
      </x:c>
      <x:c r="I232" s="11" t="n">
        <x:f>I224</x:f>
        <x:v>6.8</x:v>
      </x:c>
    </x:row>
    <x:row r="233" ht="23" customHeight="1">
      <x:c r="A233" s="11" t="str">
        <x:v>688192.SH</x:v>
      </x:c>
      <x:c r="B233" s="11" t="str">
        <x:v>三年</x:v>
      </x:c>
      <x:c r="C233" s="11" t="str">
        <x:v>goli_rr</x:v>
      </x:c>
      <x:c r="D233" s="11" t="str">
        <x:v>基准</x:v>
      </x:c>
      <x:c r="E233" s="16" t="n">
        <x:v>1</x:v>
      </x:c>
      <x:c r="F233" s="16" t="n">
        <x:v>0.33</x:v>
      </x:c>
      <x:c r="G233" s="16" t="n">
        <x:v>1</x:v>
      </x:c>
      <x:c r="H233" s="11" t="n">
        <x:f>H225</x:f>
        <x:v>0.125</x:v>
      </x:c>
      <x:c r="I233" s="11" t="n">
        <x:f>I225</x:f>
        <x:v>6.8</x:v>
      </x:c>
    </x:row>
    <x:row r="234" ht="23" customHeight="1">
      <x:c r="A234" s="11" t="str">
        <x:v>688192.SH</x:v>
      </x:c>
      <x:c r="B234" s="11" t="str">
        <x:v>三年</x:v>
      </x:c>
      <x:c r="C234" s="11" t="str">
        <x:v>goli_rr</x:v>
      </x:c>
      <x:c r="D234" s="11" t="str">
        <x:v>乐观</x:v>
      </x:c>
      <x:c r="E234" s="16" t="n">
        <x:v>1</x:v>
      </x:c>
      <x:c r="F234" s="16" t="n">
        <x:v>0.4</x:v>
      </x:c>
      <x:c r="G234" s="16" t="n">
        <x:v>1</x:v>
      </x:c>
      <x:c r="H234" s="11" t="n">
        <x:f>H226</x:f>
        <x:v>0.105</x:v>
      </x:c>
      <x:c r="I234" s="11" t="n">
        <x:f>I226</x:f>
        <x:v>6.8</x:v>
      </x:c>
    </x:row>
    <x:row r="235" ht="23" customHeight="1">
      <x:c r="A235" s="11" t="str">
        <x:v>688192.SH</x:v>
      </x:c>
      <x:c r="B235" s="11" t="str">
        <x:v>三年</x:v>
      </x:c>
      <x:c r="C235" s="11" t="str">
        <x:v>goli_first</x:v>
      </x:c>
      <x:c r="D235" s="11" t="str">
        <x:v>活动输入</x:v>
      </x:c>
      <x:c r="E235" s="11" t="n">
        <x:f>CHOOSE('假设'!$B$3,E236,E237,E238)</x:f>
        <x:v>0.5680000000000001</x:v>
      </x:c>
      <x:c r="F235" s="11" t="n">
        <x:f>CHOOSE('假设'!$B$3,F236,F237,F238)</x:f>
        <x:v>0.33</x:v>
      </x:c>
      <x:c r="G235" s="11" t="n">
        <x:f>CHOOSE('假设'!$B$3,G236,G237,G238)</x:f>
        <x:v>1</x:v>
      </x:c>
      <x:c r="H235" s="11" t="n">
        <x:f>CHOOSE('假设'!$B$3,H236,H237,H238)</x:f>
        <x:v>0.125</x:v>
      </x:c>
      <x:c r="I235" s="11" t="n">
        <x:f>CHOOSE('假设'!$B$3,I236,I237,I238)</x:f>
        <x:v>6.8</x:v>
      </x:c>
    </x:row>
    <x:row r="236" ht="23" customHeight="1">
      <x:c r="A236" s="11" t="str">
        <x:v>688192.SH</x:v>
      </x:c>
      <x:c r="B236" s="11" t="str">
        <x:v>三年</x:v>
      </x:c>
      <x:c r="C236" s="11" t="str">
        <x:v>goli_first</x:v>
      </x:c>
      <x:c r="D236" s="11" t="str">
        <x:v>悲观</x:v>
      </x:c>
      <x:c r="E236" s="16" t="n">
        <x:v>0.21799999999999997</x:v>
      </x:c>
      <x:c r="F236" s="16" t="n">
        <x:v>0.22</x:v>
      </x:c>
      <x:c r="G236" s="16" t="n">
        <x:v>1</x:v>
      </x:c>
      <x:c r="H236" s="11" t="n">
        <x:f>H224</x:f>
        <x:v>0.16</x:v>
      </x:c>
      <x:c r="I236" s="11" t="n">
        <x:f>I224</x:f>
        <x:v>6.8</x:v>
      </x:c>
    </x:row>
    <x:row r="237" ht="23" customHeight="1">
      <x:c r="A237" s="11" t="str">
        <x:v>688192.SH</x:v>
      </x:c>
      <x:c r="B237" s="11" t="str">
        <x:v>三年</x:v>
      </x:c>
      <x:c r="C237" s="11" t="str">
        <x:v>goli_first</x:v>
      </x:c>
      <x:c r="D237" s="11" t="str">
        <x:v>基准</x:v>
      </x:c>
      <x:c r="E237" s="16" t="n">
        <x:v>0.5680000000000001</x:v>
      </x:c>
      <x:c r="F237" s="16" t="n">
        <x:v>0.33</x:v>
      </x:c>
      <x:c r="G237" s="16" t="n">
        <x:v>1</x:v>
      </x:c>
      <x:c r="H237" s="11" t="n">
        <x:f>H225</x:f>
        <x:v>0.125</x:v>
      </x:c>
      <x:c r="I237" s="11" t="n">
        <x:f>I225</x:f>
        <x:v>6.8</x:v>
      </x:c>
    </x:row>
    <x:row r="238" ht="23" customHeight="1">
      <x:c r="A238" s="11" t="str">
        <x:v>688192.SH</x:v>
      </x:c>
      <x:c r="B238" s="11" t="str">
        <x:v>三年</x:v>
      </x:c>
      <x:c r="C238" s="11" t="str">
        <x:v>goli_first</x:v>
      </x:c>
      <x:c r="D238" s="11" t="str">
        <x:v>乐观</x:v>
      </x:c>
      <x:c r="E238" s="16" t="n">
        <x:v>0.79</x:v>
      </x:c>
      <x:c r="F238" s="16" t="n">
        <x:v>0.4</x:v>
      </x:c>
      <x:c r="G238" s="16" t="n">
        <x:v>1</x:v>
      </x:c>
      <x:c r="H238" s="11" t="n">
        <x:f>H226</x:f>
        <x:v>0.105</x:v>
      </x:c>
      <x:c r="I238" s="11" t="n">
        <x:f>I226</x:f>
        <x:v>6.8</x:v>
      </x:c>
    </x:row>
    <x:row r="239" ht="23" customHeight="1">
      <x:c r="A239" s="11" t="str">
        <x:v>688192.SH</x:v>
      </x:c>
      <x:c r="B239" s="11" t="str">
        <x:v>三年</x:v>
      </x:c>
      <x:c r="C239" s="11" t="str">
        <x:v>goli_lung</x:v>
      </x:c>
      <x:c r="D239" s="11" t="str">
        <x:v>活动输入</x:v>
      </x:c>
      <x:c r="E239" s="11" t="n">
        <x:f>CHOOSE('假设'!$B$3,E240,E241,E242)</x:f>
        <x:v>0.42400000000000004</x:v>
      </x:c>
      <x:c r="F239" s="11" t="n">
        <x:f>CHOOSE('假设'!$B$3,F240,F241,F242)</x:f>
        <x:v>0.3</x:v>
      </x:c>
      <x:c r="G239" s="11" t="n">
        <x:f>CHOOSE('假设'!$B$3,G240,G241,G242)</x:f>
        <x:v>1</x:v>
      </x:c>
      <x:c r="H239" s="11" t="n">
        <x:f>CHOOSE('假设'!$B$3,H240,H241,H242)</x:f>
        <x:v>0.125</x:v>
      </x:c>
      <x:c r="I239" s="11" t="n">
        <x:f>CHOOSE('假设'!$B$3,I240,I241,I242)</x:f>
        <x:v>6.8</x:v>
      </x:c>
    </x:row>
    <x:row r="240" ht="23" customHeight="1">
      <x:c r="A240" s="11" t="str">
        <x:v>688192.SH</x:v>
      </x:c>
      <x:c r="B240" s="11" t="str">
        <x:v>三年</x:v>
      </x:c>
      <x:c r="C240" s="11" t="str">
        <x:v>goli_lung</x:v>
      </x:c>
      <x:c r="D240" s="11" t="str">
        <x:v>悲观</x:v>
      </x:c>
      <x:c r="E240" s="16" t="n">
        <x:v>0.1352</x:v>
      </x:c>
      <x:c r="F240" s="16" t="n">
        <x:v>0.2</x:v>
      </x:c>
      <x:c r="G240" s="16" t="n">
        <x:v>1</x:v>
      </x:c>
      <x:c r="H240" s="11" t="n">
        <x:f>H224</x:f>
        <x:v>0.16</x:v>
      </x:c>
      <x:c r="I240" s="11" t="n">
        <x:f>I224</x:f>
        <x:v>6.8</x:v>
      </x:c>
    </x:row>
    <x:row r="241" ht="23" customHeight="1">
      <x:c r="A241" s="11" t="str">
        <x:v>688192.SH</x:v>
      </x:c>
      <x:c r="B241" s="11" t="str">
        <x:v>三年</x:v>
      </x:c>
      <x:c r="C241" s="11" t="str">
        <x:v>goli_lung</x:v>
      </x:c>
      <x:c r="D241" s="11" t="str">
        <x:v>基准</x:v>
      </x:c>
      <x:c r="E241" s="16" t="n">
        <x:v>0.42400000000000004</x:v>
      </x:c>
      <x:c r="F241" s="16" t="n">
        <x:v>0.3</x:v>
      </x:c>
      <x:c r="G241" s="16" t="n">
        <x:v>1</x:v>
      </x:c>
      <x:c r="H241" s="11" t="n">
        <x:f>H225</x:f>
        <x:v>0.125</x:v>
      </x:c>
      <x:c r="I241" s="11" t="n">
        <x:f>I225</x:f>
        <x:v>6.8</x:v>
      </x:c>
    </x:row>
    <x:row r="242" ht="23" customHeight="1">
      <x:c r="A242" s="11" t="str">
        <x:v>688192.SH</x:v>
      </x:c>
      <x:c r="B242" s="11" t="str">
        <x:v>三年</x:v>
      </x:c>
      <x:c r="C242" s="11" t="str">
        <x:v>goli_lung</x:v>
      </x:c>
      <x:c r="D242" s="11" t="str">
        <x:v>乐观</x:v>
      </x:c>
      <x:c r="E242" s="16" t="n">
        <x:v>0.64</x:v>
      </x:c>
      <x:c r="F242" s="16" t="n">
        <x:v>0.38</x:v>
      </x:c>
      <x:c r="G242" s="16" t="n">
        <x:v>1</x:v>
      </x:c>
      <x:c r="H242" s="11" t="n">
        <x:f>H226</x:f>
        <x:v>0.105</x:v>
      </x:c>
      <x:c r="I242" s="11" t="n">
        <x:f>I226</x:f>
        <x:v>6.8</x:v>
      </x:c>
    </x:row>
    <x:row r="243" ht="23" customHeight="1">
      <x:c r="A243" s="11" t="str">
        <x:v>688192.SH</x:v>
      </x:c>
      <x:c r="B243" s="11" t="str">
        <x:v>三年</x:v>
      </x:c>
      <x:c r="C243" s="11" t="str">
        <x:v>bire_cll</x:v>
      </x:c>
      <x:c r="D243" s="11" t="str">
        <x:v>活动输入</x:v>
      </x:c>
      <x:c r="E243" s="11" t="n">
        <x:f>CHOOSE('假设'!$B$3,E244,E245,E246)</x:f>
        <x:v>0.6255999999999999</x:v>
      </x:c>
      <x:c r="F243" s="11" t="n">
        <x:f>CHOOSE('假设'!$B$3,F244,F245,F246)</x:f>
        <x:v>0.32</x:v>
      </x:c>
      <x:c r="G243" s="11" t="n">
        <x:f>CHOOSE('假设'!$B$3,G244,G245,G246)</x:f>
        <x:v>1</x:v>
      </x:c>
      <x:c r="H243" s="11" t="n">
        <x:f>CHOOSE('假设'!$B$3,H244,H245,H246)</x:f>
        <x:v>0.125</x:v>
      </x:c>
      <x:c r="I243" s="11" t="n">
        <x:f>CHOOSE('假设'!$B$3,I244,I245,I246)</x:f>
        <x:v>6.8</x:v>
      </x:c>
    </x:row>
    <x:row r="244" ht="23" customHeight="1">
      <x:c r="A244" s="11" t="str">
        <x:v>688192.SH</x:v>
      </x:c>
      <x:c r="B244" s="11" t="str">
        <x:v>三年</x:v>
      </x:c>
      <x:c r="C244" s="11" t="str">
        <x:v>bire_cll</x:v>
      </x:c>
      <x:c r="D244" s="11" t="str">
        <x:v>悲观</x:v>
      </x:c>
      <x:c r="E244" s="16" t="n">
        <x:v>0.24559999999999993</x:v>
      </x:c>
      <x:c r="F244" s="16" t="n">
        <x:v>0.22</x:v>
      </x:c>
      <x:c r="G244" s="16" t="n">
        <x:v>1</x:v>
      </x:c>
      <x:c r="H244" s="11" t="n">
        <x:f>H224</x:f>
        <x:v>0.16</x:v>
      </x:c>
      <x:c r="I244" s="11" t="n">
        <x:f>I224</x:f>
        <x:v>6.8</x:v>
      </x:c>
    </x:row>
    <x:row r="245" ht="23" customHeight="1">
      <x:c r="A245" s="11" t="str">
        <x:v>688192.SH</x:v>
      </x:c>
      <x:c r="B245" s="11" t="str">
        <x:v>三年</x:v>
      </x:c>
      <x:c r="C245" s="11" t="str">
        <x:v>bire_cll</x:v>
      </x:c>
      <x:c r="D245" s="11" t="str">
        <x:v>基准</x:v>
      </x:c>
      <x:c r="E245" s="16" t="n">
        <x:v>0.6255999999999999</x:v>
      </x:c>
      <x:c r="F245" s="16" t="n">
        <x:v>0.32</x:v>
      </x:c>
      <x:c r="G245" s="16" t="n">
        <x:v>1</x:v>
      </x:c>
      <x:c r="H245" s="11" t="n">
        <x:f>H225</x:f>
        <x:v>0.125</x:v>
      </x:c>
      <x:c r="I245" s="11" t="n">
        <x:f>I225</x:f>
        <x:v>6.8</x:v>
      </x:c>
    </x:row>
    <x:row r="246" ht="23" customHeight="1">
      <x:c r="A246" s="11" t="str">
        <x:v>688192.SH</x:v>
      </x:c>
      <x:c r="B246" s="11" t="str">
        <x:v>三年</x:v>
      </x:c>
      <x:c r="C246" s="11" t="str">
        <x:v>bire_cll</x:v>
      </x:c>
      <x:c r="D246" s="11" t="str">
        <x:v>乐观</x:v>
      </x:c>
      <x:c r="E246" s="16" t="n">
        <x:v>0.82</x:v>
      </x:c>
      <x:c r="F246" s="16" t="n">
        <x:v>0.4</x:v>
      </x:c>
      <x:c r="G246" s="16" t="n">
        <x:v>1</x:v>
      </x:c>
      <x:c r="H246" s="11" t="n">
        <x:f>H226</x:f>
        <x:v>0.105</x:v>
      </x:c>
      <x:c r="I246" s="11" t="n">
        <x:f>I226</x:f>
        <x:v>6.8</x:v>
      </x:c>
    </x:row>
    <x:row r="247" ht="23" customHeight="1">
      <x:c r="A247" s="11" t="str">
        <x:v>688192.SH</x:v>
      </x:c>
      <x:c r="B247" s="11" t="str">
        <x:v>三年</x:v>
      </x:c>
      <x:c r="C247" s="11" t="str">
        <x:v>bire_dlbcl</x:v>
      </x:c>
      <x:c r="D247" s="11" t="str">
        <x:v>活动输入</x:v>
      </x:c>
      <x:c r="E247" s="11" t="n">
        <x:f>CHOOSE('假设'!$B$3,E248,E249,E250)</x:f>
        <x:v>0.496</x:v>
      </x:c>
      <x:c r="F247" s="11" t="n">
        <x:f>CHOOSE('假设'!$B$3,F248,F249,F250)</x:f>
        <x:v>0.32</x:v>
      </x:c>
      <x:c r="G247" s="11" t="n">
        <x:f>CHOOSE('假设'!$B$3,G248,G249,G250)</x:f>
        <x:v>1</x:v>
      </x:c>
      <x:c r="H247" s="11" t="n">
        <x:f>CHOOSE('假设'!$B$3,H248,H249,H250)</x:f>
        <x:v>0.125</x:v>
      </x:c>
      <x:c r="I247" s="11" t="n">
        <x:f>CHOOSE('假设'!$B$3,I248,I249,I250)</x:f>
        <x:v>6.8</x:v>
      </x:c>
    </x:row>
    <x:row r="248" ht="23" customHeight="1">
      <x:c r="A248" s="11" t="str">
        <x:v>688192.SH</x:v>
      </x:c>
      <x:c r="B248" s="11" t="str">
        <x:v>三年</x:v>
      </x:c>
      <x:c r="C248" s="11" t="str">
        <x:v>bire_dlbcl</x:v>
      </x:c>
      <x:c r="D248" s="11" t="str">
        <x:v>悲观</x:v>
      </x:c>
      <x:c r="E248" s="16" t="n">
        <x:v>0.17199999999999993</x:v>
      </x:c>
      <x:c r="F248" s="16" t="n">
        <x:v>0.22</x:v>
      </x:c>
      <x:c r="G248" s="16" t="n">
        <x:v>1</x:v>
      </x:c>
      <x:c r="H248" s="11" t="n">
        <x:f>H224</x:f>
        <x:v>0.16</x:v>
      </x:c>
      <x:c r="I248" s="11" t="n">
        <x:f>I224</x:f>
        <x:v>6.8</x:v>
      </x:c>
    </x:row>
    <x:row r="249" ht="23" customHeight="1">
      <x:c r="A249" s="11" t="str">
        <x:v>688192.SH</x:v>
      </x:c>
      <x:c r="B249" s="11" t="str">
        <x:v>三年</x:v>
      </x:c>
      <x:c r="C249" s="11" t="str">
        <x:v>bire_dlbcl</x:v>
      </x:c>
      <x:c r="D249" s="11" t="str">
        <x:v>基准</x:v>
      </x:c>
      <x:c r="E249" s="16" t="n">
        <x:v>0.496</x:v>
      </x:c>
      <x:c r="F249" s="16" t="n">
        <x:v>0.32</x:v>
      </x:c>
      <x:c r="G249" s="16" t="n">
        <x:v>1</x:v>
      </x:c>
      <x:c r="H249" s="11" t="n">
        <x:f>H225</x:f>
        <x:v>0.125</x:v>
      </x:c>
      <x:c r="I249" s="11" t="n">
        <x:f>I225</x:f>
        <x:v>6.8</x:v>
      </x:c>
    </x:row>
    <x:row r="250" ht="23" customHeight="1">
      <x:c r="A250" s="11" t="str">
        <x:v>688192.SH</x:v>
      </x:c>
      <x:c r="B250" s="11" t="str">
        <x:v>三年</x:v>
      </x:c>
      <x:c r="C250" s="11" t="str">
        <x:v>bire_dlbcl</x:v>
      </x:c>
      <x:c r="D250" s="11" t="str">
        <x:v>乐观</x:v>
      </x:c>
      <x:c r="E250" s="16" t="n">
        <x:v>0.73</x:v>
      </x:c>
      <x:c r="F250" s="16" t="n">
        <x:v>0.4</x:v>
      </x:c>
      <x:c r="G250" s="16" t="n">
        <x:v>1</x:v>
      </x:c>
      <x:c r="H250" s="11" t="n">
        <x:f>H226</x:f>
        <x:v>0.105</x:v>
      </x:c>
      <x:c r="I250" s="11" t="n">
        <x:f>I226</x:f>
        <x:v>6.8</x:v>
      </x:c>
    </x:row>
    <x:row r="251" ht="23" customHeight="1">
      <x:c r="A251" s="11" t="str">
        <x:v>688192.SH</x:v>
      </x:c>
      <x:c r="B251" s="11" t="str">
        <x:v>三年</x:v>
      </x:c>
      <x:c r="C251" s="11" t="str">
        <x:v>dzd6008</x:v>
      </x:c>
      <x:c r="D251" s="11" t="str">
        <x:v>活动输入</x:v>
      </x:c>
      <x:c r="E251" s="11" t="n">
        <x:f>CHOOSE('假设'!$B$3,E252,E253,E254)</x:f>
        <x:v>0.496</x:v>
      </x:c>
      <x:c r="F251" s="11" t="n">
        <x:f>CHOOSE('假设'!$B$3,F252,F253,F254)</x:f>
        <x:v>0.32</x:v>
      </x:c>
      <x:c r="G251" s="11" t="n">
        <x:f>CHOOSE('假设'!$B$3,G252,G253,G254)</x:f>
        <x:v>1</x:v>
      </x:c>
      <x:c r="H251" s="11" t="n">
        <x:f>CHOOSE('假设'!$B$3,H252,H253,H254)</x:f>
        <x:v>0.125</x:v>
      </x:c>
      <x:c r="I251" s="11" t="n">
        <x:f>CHOOSE('假设'!$B$3,I252,I253,I254)</x:f>
        <x:v>6.8</x:v>
      </x:c>
    </x:row>
    <x:row r="252" ht="23" customHeight="1">
      <x:c r="A252" s="11" t="str">
        <x:v>688192.SH</x:v>
      </x:c>
      <x:c r="B252" s="11" t="str">
        <x:v>三年</x:v>
      </x:c>
      <x:c r="C252" s="11" t="str">
        <x:v>dzd6008</x:v>
      </x:c>
      <x:c r="D252" s="11" t="str">
        <x:v>悲观</x:v>
      </x:c>
      <x:c r="E252" s="16" t="n">
        <x:v>0.17199999999999993</x:v>
      </x:c>
      <x:c r="F252" s="16" t="n">
        <x:v>0.22</x:v>
      </x:c>
      <x:c r="G252" s="16" t="n">
        <x:v>1</x:v>
      </x:c>
      <x:c r="H252" s="11" t="n">
        <x:f>H224</x:f>
        <x:v>0.16</x:v>
      </x:c>
      <x:c r="I252" s="11" t="n">
        <x:f>I224</x:f>
        <x:v>6.8</x:v>
      </x:c>
    </x:row>
    <x:row r="253" ht="23" customHeight="1">
      <x:c r="A253" s="11" t="str">
        <x:v>688192.SH</x:v>
      </x:c>
      <x:c r="B253" s="11" t="str">
        <x:v>三年</x:v>
      </x:c>
      <x:c r="C253" s="11" t="str">
        <x:v>dzd6008</x:v>
      </x:c>
      <x:c r="D253" s="11" t="str">
        <x:v>基准</x:v>
      </x:c>
      <x:c r="E253" s="16" t="n">
        <x:v>0.496</x:v>
      </x:c>
      <x:c r="F253" s="16" t="n">
        <x:v>0.32</x:v>
      </x:c>
      <x:c r="G253" s="16" t="n">
        <x:v>1</x:v>
      </x:c>
      <x:c r="H253" s="11" t="n">
        <x:f>H225</x:f>
        <x:v>0.125</x:v>
      </x:c>
      <x:c r="I253" s="11" t="n">
        <x:f>I225</x:f>
        <x:v>6.8</x:v>
      </x:c>
    </x:row>
    <x:row r="254" ht="23" customHeight="1">
      <x:c r="A254" s="11" t="str">
        <x:v>688192.SH</x:v>
      </x:c>
      <x:c r="B254" s="11" t="str">
        <x:v>三年</x:v>
      </x:c>
      <x:c r="C254" s="11" t="str">
        <x:v>dzd6008</x:v>
      </x:c>
      <x:c r="D254" s="11" t="str">
        <x:v>乐观</x:v>
      </x:c>
      <x:c r="E254" s="16" t="n">
        <x:v>0.73</x:v>
      </x:c>
      <x:c r="F254" s="16" t="n">
        <x:v>0.4</x:v>
      </x:c>
      <x:c r="G254" s="16" t="n">
        <x:v>1</x:v>
      </x:c>
      <x:c r="H254" s="11" t="n">
        <x:f>H226</x:f>
        <x:v>0.105</x:v>
      </x:c>
      <x:c r="I254" s="11" t="n">
        <x:f>I226</x:f>
        <x:v>6.8</x:v>
      </x:c>
    </x:row>
    <x:row r="255" ht="23" customHeight="1">
      <x:c r="A255" s="11" t="str">
        <x:v>688192.SH</x:v>
      </x:c>
      <x:c r="B255" s="11" t="str">
        <x:v>五年</x:v>
      </x:c>
      <x:c r="C255" s="11" t="str">
        <x:v>sun_later</x:v>
      </x:c>
      <x:c r="D255" s="11" t="str">
        <x:v>活动输入</x:v>
      </x:c>
      <x:c r="E255" s="11" t="n">
        <x:f>CHOOSE('假设'!$B$3,E256,E257,E258)</x:f>
        <x:v>1</x:v>
      </x:c>
      <x:c r="F255" s="11" t="n">
        <x:f>CHOOSE('假设'!$B$3,F256,F257,F258)</x:f>
        <x:v>0.08610000000000001</x:v>
      </x:c>
      <x:c r="G255" s="11" t="n">
        <x:f>CHOOSE('假设'!$B$3,G256,G257,G258)</x:f>
        <x:v>1</x:v>
      </x:c>
      <x:c r="H255" s="11" t="n">
        <x:f>CHOOSE('假设'!$B$3,H256,H257,H258)</x:f>
        <x:v>0.125</x:v>
      </x:c>
      <x:c r="I255" s="11" t="n">
        <x:f>CHOOSE('假设'!$B$3,I256,I257,I258)</x:f>
        <x:v>6.8</x:v>
      </x:c>
    </x:row>
    <x:row r="256" ht="23" customHeight="1">
      <x:c r="A256" s="11" t="str">
        <x:v>688192.SH</x:v>
      </x:c>
      <x:c r="B256" s="11" t="str">
        <x:v>五年</x:v>
      </x:c>
      <x:c r="C256" s="11" t="str">
        <x:v>sun_later</x:v>
      </x:c>
      <x:c r="D256" s="11" t="str">
        <x:v>悲观</x:v>
      </x:c>
      <x:c r="E256" s="16" t="n">
        <x:v>1</x:v>
      </x:c>
      <x:c r="F256" s="16" t="n">
        <x:v>0.064</x:v>
      </x:c>
      <x:c r="G256" s="16" t="n">
        <x:v>1</x:v>
      </x:c>
      <x:c r="H256" s="16" t="n">
        <x:v>0.16</x:v>
      </x:c>
      <x:c r="I256" s="16" t="n">
        <x:v>6.8</x:v>
      </x:c>
    </x:row>
    <x:row r="257" ht="23" customHeight="1">
      <x:c r="A257" s="11" t="str">
        <x:v>688192.SH</x:v>
      </x:c>
      <x:c r="B257" s="11" t="str">
        <x:v>五年</x:v>
      </x:c>
      <x:c r="C257" s="11" t="str">
        <x:v>sun_later</x:v>
      </x:c>
      <x:c r="D257" s="11" t="str">
        <x:v>基准</x:v>
      </x:c>
      <x:c r="E257" s="16" t="n">
        <x:v>1</x:v>
      </x:c>
      <x:c r="F257" s="16" t="n">
        <x:v>0.08610000000000001</x:v>
      </x:c>
      <x:c r="G257" s="16" t="n">
        <x:v>1</x:v>
      </x:c>
      <x:c r="H257" s="16" t="n">
        <x:v>0.125</x:v>
      </x:c>
      <x:c r="I257" s="16" t="n">
        <x:v>6.8</x:v>
      </x:c>
    </x:row>
    <x:row r="258" ht="23" customHeight="1">
      <x:c r="A258" s="11" t="str">
        <x:v>688192.SH</x:v>
      </x:c>
      <x:c r="B258" s="11" t="str">
        <x:v>五年</x:v>
      </x:c>
      <x:c r="C258" s="11" t="str">
        <x:v>sun_later</x:v>
      </x:c>
      <x:c r="D258" s="11" t="str">
        <x:v>乐观</x:v>
      </x:c>
      <x:c r="E258" s="16" t="n">
        <x:v>1</x:v>
      </x:c>
      <x:c r="F258" s="16" t="n">
        <x:v>0.1105</x:v>
      </x:c>
      <x:c r="G258" s="16" t="n">
        <x:v>1</x:v>
      </x:c>
      <x:c r="H258" s="16" t="n">
        <x:v>0.105</x:v>
      </x:c>
      <x:c r="I258" s="16" t="n">
        <x:v>6.8</x:v>
      </x:c>
    </x:row>
    <x:row r="259" ht="23" customHeight="1">
      <x:c r="A259" s="11" t="str">
        <x:v>688192.SH</x:v>
      </x:c>
      <x:c r="B259" s="11" t="str">
        <x:v>五年</x:v>
      </x:c>
      <x:c r="C259" s="11" t="str">
        <x:v>sun_first</x:v>
      </x:c>
      <x:c r="D259" s="11" t="str">
        <x:v>活动输入</x:v>
      </x:c>
      <x:c r="E259" s="11" t="n">
        <x:f>CHOOSE('假设'!$B$3,E260,E261,E262)</x:f>
        <x:v>0.879</x:v>
      </x:c>
      <x:c r="F259" s="11" t="n">
        <x:f>CHOOSE('假设'!$B$3,F260,F261,F262)</x:f>
        <x:v>0.08610000000000001</x:v>
      </x:c>
      <x:c r="G259" s="11" t="n">
        <x:f>CHOOSE('假设'!$B$3,G260,G261,G262)</x:f>
        <x:v>1</x:v>
      </x:c>
      <x:c r="H259" s="11" t="n">
        <x:f>CHOOSE('假设'!$B$3,H260,H261,H262)</x:f>
        <x:v>0.125</x:v>
      </x:c>
      <x:c r="I259" s="11" t="n">
        <x:f>CHOOSE('假设'!$B$3,I260,I261,I262)</x:f>
        <x:v>6.8</x:v>
      </x:c>
    </x:row>
    <x:row r="260" ht="23" customHeight="1">
      <x:c r="A260" s="11" t="str">
        <x:v>688192.SH</x:v>
      </x:c>
      <x:c r="B260" s="11" t="str">
        <x:v>五年</x:v>
      </x:c>
      <x:c r="C260" s="11" t="str">
        <x:v>sun_first</x:v>
      </x:c>
      <x:c r="D260" s="11" t="str">
        <x:v>悲观</x:v>
      </x:c>
      <x:c r="E260" s="16" t="n">
        <x:v>0.5325</x:v>
      </x:c>
      <x:c r="F260" s="16" t="n">
        <x:v>0.064</x:v>
      </x:c>
      <x:c r="G260" s="16" t="n">
        <x:v>1</x:v>
      </x:c>
      <x:c r="H260" s="11" t="n">
        <x:f>H256</x:f>
        <x:v>0.16</x:v>
      </x:c>
      <x:c r="I260" s="11" t="n">
        <x:f>I256</x:f>
        <x:v>6.8</x:v>
      </x:c>
    </x:row>
    <x:row r="261" ht="23" customHeight="1">
      <x:c r="A261" s="11" t="str">
        <x:v>688192.SH</x:v>
      </x:c>
      <x:c r="B261" s="11" t="str">
        <x:v>五年</x:v>
      </x:c>
      <x:c r="C261" s="11" t="str">
        <x:v>sun_first</x:v>
      </x:c>
      <x:c r="D261" s="11" t="str">
        <x:v>基准</x:v>
      </x:c>
      <x:c r="E261" s="16" t="n">
        <x:v>0.879</x:v>
      </x:c>
      <x:c r="F261" s="16" t="n">
        <x:v>0.08610000000000001</x:v>
      </x:c>
      <x:c r="G261" s="16" t="n">
        <x:v>1</x:v>
      </x:c>
      <x:c r="H261" s="11" t="n">
        <x:f>H257</x:f>
        <x:v>0.125</x:v>
      </x:c>
      <x:c r="I261" s="11" t="n">
        <x:f>I257</x:f>
        <x:v>6.8</x:v>
      </x:c>
    </x:row>
    <x:row r="262" ht="23" customHeight="1">
      <x:c r="A262" s="11" t="str">
        <x:v>688192.SH</x:v>
      </x:c>
      <x:c r="B262" s="11" t="str">
        <x:v>五年</x:v>
      </x:c>
      <x:c r="C262" s="11" t="str">
        <x:v>sun_first</x:v>
      </x:c>
      <x:c r="D262" s="11" t="str">
        <x:v>乐观</x:v>
      </x:c>
      <x:c r="E262" s="16" t="n">
        <x:v>0.972</x:v>
      </x:c>
      <x:c r="F262" s="16" t="n">
        <x:v>0.1105</x:v>
      </x:c>
      <x:c r="G262" s="16" t="n">
        <x:v>1</x:v>
      </x:c>
      <x:c r="H262" s="11" t="n">
        <x:f>H258</x:f>
        <x:v>0.105</x:v>
      </x:c>
      <x:c r="I262" s="11" t="n">
        <x:f>I258</x:f>
        <x:v>6.8</x:v>
      </x:c>
    </x:row>
    <x:row r="263" ht="23" customHeight="1">
      <x:c r="A263" s="11" t="str">
        <x:v>688192.SH</x:v>
      </x:c>
      <x:c r="B263" s="11" t="str">
        <x:v>五年</x:v>
      </x:c>
      <x:c r="C263" s="11" t="str">
        <x:v>goli_rr</x:v>
      </x:c>
      <x:c r="D263" s="11" t="str">
        <x:v>活动输入</x:v>
      </x:c>
      <x:c r="E263" s="11" t="n">
        <x:f>CHOOSE('假设'!$B$3,E264,E265,E266)</x:f>
        <x:v>1</x:v>
      </x:c>
      <x:c r="F263" s="11" t="n">
        <x:f>CHOOSE('假设'!$B$3,F264,F265,F266)</x:f>
        <x:v>0.33</x:v>
      </x:c>
      <x:c r="G263" s="11" t="n">
        <x:f>CHOOSE('假设'!$B$3,G264,G265,G266)</x:f>
        <x:v>1</x:v>
      </x:c>
      <x:c r="H263" s="11" t="n">
        <x:f>CHOOSE('假设'!$B$3,H264,H265,H266)</x:f>
        <x:v>0.125</x:v>
      </x:c>
      <x:c r="I263" s="11" t="n">
        <x:f>CHOOSE('假设'!$B$3,I264,I265,I266)</x:f>
        <x:v>6.8</x:v>
      </x:c>
    </x:row>
    <x:row r="264" ht="23" customHeight="1">
      <x:c r="A264" s="11" t="str">
        <x:v>688192.SH</x:v>
      </x:c>
      <x:c r="B264" s="11" t="str">
        <x:v>五年</x:v>
      </x:c>
      <x:c r="C264" s="11" t="str">
        <x:v>goli_rr</x:v>
      </x:c>
      <x:c r="D264" s="11" t="str">
        <x:v>悲观</x:v>
      </x:c>
      <x:c r="E264" s="16" t="n">
        <x:v>1</x:v>
      </x:c>
      <x:c r="F264" s="16" t="n">
        <x:v>0.22</x:v>
      </x:c>
      <x:c r="G264" s="16" t="n">
        <x:v>1</x:v>
      </x:c>
      <x:c r="H264" s="11" t="n">
        <x:f>H256</x:f>
        <x:v>0.16</x:v>
      </x:c>
      <x:c r="I264" s="11" t="n">
        <x:f>I256</x:f>
        <x:v>6.8</x:v>
      </x:c>
    </x:row>
    <x:row r="265" ht="23" customHeight="1">
      <x:c r="A265" s="11" t="str">
        <x:v>688192.SH</x:v>
      </x:c>
      <x:c r="B265" s="11" t="str">
        <x:v>五年</x:v>
      </x:c>
      <x:c r="C265" s="11" t="str">
        <x:v>goli_rr</x:v>
      </x:c>
      <x:c r="D265" s="11" t="str">
        <x:v>基准</x:v>
      </x:c>
      <x:c r="E265" s="16" t="n">
        <x:v>1</x:v>
      </x:c>
      <x:c r="F265" s="16" t="n">
        <x:v>0.33</x:v>
      </x:c>
      <x:c r="G265" s="16" t="n">
        <x:v>1</x:v>
      </x:c>
      <x:c r="H265" s="11" t="n">
        <x:f>H257</x:f>
        <x:v>0.125</x:v>
      </x:c>
      <x:c r="I265" s="11" t="n">
        <x:f>I257</x:f>
        <x:v>6.8</x:v>
      </x:c>
    </x:row>
    <x:row r="266" ht="23" customHeight="1">
      <x:c r="A266" s="11" t="str">
        <x:v>688192.SH</x:v>
      </x:c>
      <x:c r="B266" s="11" t="str">
        <x:v>五年</x:v>
      </x:c>
      <x:c r="C266" s="11" t="str">
        <x:v>goli_rr</x:v>
      </x:c>
      <x:c r="D266" s="11" t="str">
        <x:v>乐观</x:v>
      </x:c>
      <x:c r="E266" s="16" t="n">
        <x:v>1</x:v>
      </x:c>
      <x:c r="F266" s="16" t="n">
        <x:v>0.4</x:v>
      </x:c>
      <x:c r="G266" s="16" t="n">
        <x:v>1</x:v>
      </x:c>
      <x:c r="H266" s="11" t="n">
        <x:f>H258</x:f>
        <x:v>0.105</x:v>
      </x:c>
      <x:c r="I266" s="11" t="n">
        <x:f>I258</x:f>
        <x:v>6.8</x:v>
      </x:c>
    </x:row>
    <x:row r="267" ht="23" customHeight="1">
      <x:c r="A267" s="11" t="str">
        <x:v>688192.SH</x:v>
      </x:c>
      <x:c r="B267" s="11" t="str">
        <x:v>五年</x:v>
      </x:c>
      <x:c r="C267" s="11" t="str">
        <x:v>goli_first</x:v>
      </x:c>
      <x:c r="D267" s="11" t="str">
        <x:v>活动输入</x:v>
      </x:c>
      <x:c r="E267" s="11" t="n">
        <x:f>CHOOSE('假设'!$B$3,E268,E269,E270)</x:f>
        <x:v>0.6699999999999999</x:v>
      </x:c>
      <x:c r="F267" s="11" t="n">
        <x:f>CHOOSE('假设'!$B$3,F268,F269,F270)</x:f>
        <x:v>0.33</x:v>
      </x:c>
      <x:c r="G267" s="11" t="n">
        <x:f>CHOOSE('假设'!$B$3,G268,G269,G270)</x:f>
        <x:v>1</x:v>
      </x:c>
      <x:c r="H267" s="11" t="n">
        <x:f>CHOOSE('假设'!$B$3,H268,H269,H270)</x:f>
        <x:v>0.125</x:v>
      </x:c>
      <x:c r="I267" s="11" t="n">
        <x:f>CHOOSE('假设'!$B$3,I268,I269,I270)</x:f>
        <x:v>6.8</x:v>
      </x:c>
    </x:row>
    <x:row r="268" ht="23" customHeight="1">
      <x:c r="A268" s="11" t="str">
        <x:v>688192.SH</x:v>
      </x:c>
      <x:c r="B268" s="11" t="str">
        <x:v>五年</x:v>
      </x:c>
      <x:c r="C268" s="11" t="str">
        <x:v>goli_first</x:v>
      </x:c>
      <x:c r="D268" s="11" t="str">
        <x:v>悲观</x:v>
      </x:c>
      <x:c r="E268" s="16" t="n">
        <x:v>0.2775000000000001</x:v>
      </x:c>
      <x:c r="F268" s="16" t="n">
        <x:v>0.22</x:v>
      </x:c>
      <x:c r="G268" s="16" t="n">
        <x:v>1</x:v>
      </x:c>
      <x:c r="H268" s="11" t="n">
        <x:f>H256</x:f>
        <x:v>0.16</x:v>
      </x:c>
      <x:c r="I268" s="11" t="n">
        <x:f>I256</x:f>
        <x:v>6.8</x:v>
      </x:c>
    </x:row>
    <x:row r="269" ht="23" customHeight="1">
      <x:c r="A269" s="11" t="str">
        <x:v>688192.SH</x:v>
      </x:c>
      <x:c r="B269" s="11" t="str">
        <x:v>五年</x:v>
      </x:c>
      <x:c r="C269" s="11" t="str">
        <x:v>goli_first</x:v>
      </x:c>
      <x:c r="D269" s="11" t="str">
        <x:v>基准</x:v>
      </x:c>
      <x:c r="E269" s="16" t="n">
        <x:v>0.6699999999999999</x:v>
      </x:c>
      <x:c r="F269" s="16" t="n">
        <x:v>0.33</x:v>
      </x:c>
      <x:c r="G269" s="16" t="n">
        <x:v>1</x:v>
      </x:c>
      <x:c r="H269" s="11" t="n">
        <x:f>H257</x:f>
        <x:v>0.125</x:v>
      </x:c>
      <x:c r="I269" s="11" t="n">
        <x:f>I257</x:f>
        <x:v>6.8</x:v>
      </x:c>
    </x:row>
    <x:row r="270" ht="23" customHeight="1">
      <x:c r="A270" s="11" t="str">
        <x:v>688192.SH</x:v>
      </x:c>
      <x:c r="B270" s="11" t="str">
        <x:v>五年</x:v>
      </x:c>
      <x:c r="C270" s="11" t="str">
        <x:v>goli_first</x:v>
      </x:c>
      <x:c r="D270" s="11" t="str">
        <x:v>乐观</x:v>
      </x:c>
      <x:c r="E270" s="16" t="n">
        <x:v>0.8775000000000001</x:v>
      </x:c>
      <x:c r="F270" s="16" t="n">
        <x:v>0.4</x:v>
      </x:c>
      <x:c r="G270" s="16" t="n">
        <x:v>1</x:v>
      </x:c>
      <x:c r="H270" s="11" t="n">
        <x:f>H258</x:f>
        <x:v>0.105</x:v>
      </x:c>
      <x:c r="I270" s="11" t="n">
        <x:f>I258</x:f>
        <x:v>6.8</x:v>
      </x:c>
    </x:row>
    <x:row r="271" ht="23" customHeight="1">
      <x:c r="A271" s="11" t="str">
        <x:v>688192.SH</x:v>
      </x:c>
      <x:c r="B271" s="11" t="str">
        <x:v>五年</x:v>
      </x:c>
      <x:c r="C271" s="11" t="str">
        <x:v>goli_lung</x:v>
      </x:c>
      <x:c r="D271" s="11" t="str">
        <x:v>活动输入</x:v>
      </x:c>
      <x:c r="E271" s="11" t="n">
        <x:f>CHOOSE('假设'!$B$3,E272,E273,E274)</x:f>
        <x:v>0.5599999999999999</x:v>
      </x:c>
      <x:c r="F271" s="11" t="n">
        <x:f>CHOOSE('假设'!$B$3,F272,F273,F274)</x:f>
        <x:v>0.3</x:v>
      </x:c>
      <x:c r="G271" s="11" t="n">
        <x:f>CHOOSE('假设'!$B$3,G272,G273,G274)</x:f>
        <x:v>1</x:v>
      </x:c>
      <x:c r="H271" s="11" t="n">
        <x:f>CHOOSE('假设'!$B$3,H272,H273,H274)</x:f>
        <x:v>0.125</x:v>
      </x:c>
      <x:c r="I271" s="11" t="n">
        <x:f>CHOOSE('假设'!$B$3,I272,I273,I274)</x:f>
        <x:v>6.8</x:v>
      </x:c>
    </x:row>
    <x:row r="272" ht="23" customHeight="1">
      <x:c r="A272" s="11" t="str">
        <x:v>688192.SH</x:v>
      </x:c>
      <x:c r="B272" s="11" t="str">
        <x:v>五年</x:v>
      </x:c>
      <x:c r="C272" s="11" t="str">
        <x:v>goli_lung</x:v>
      </x:c>
      <x:c r="D272" s="11" t="str">
        <x:v>悲观</x:v>
      </x:c>
      <x:c r="E272" s="16" t="n">
        <x:v>0.20100000000000007</x:v>
      </x:c>
      <x:c r="F272" s="16" t="n">
        <x:v>0.2</x:v>
      </x:c>
      <x:c r="G272" s="16" t="n">
        <x:v>1</x:v>
      </x:c>
      <x:c r="H272" s="11" t="n">
        <x:f>H256</x:f>
        <x:v>0.16</x:v>
      </x:c>
      <x:c r="I272" s="11" t="n">
        <x:f>I256</x:f>
        <x:v>6.8</x:v>
      </x:c>
    </x:row>
    <x:row r="273" ht="23" customHeight="1">
      <x:c r="A273" s="11" t="str">
        <x:v>688192.SH</x:v>
      </x:c>
      <x:c r="B273" s="11" t="str">
        <x:v>五年</x:v>
      </x:c>
      <x:c r="C273" s="11" t="str">
        <x:v>goli_lung</x:v>
      </x:c>
      <x:c r="D273" s="11" t="str">
        <x:v>基准</x:v>
      </x:c>
      <x:c r="E273" s="16" t="n">
        <x:v>0.5599999999999999</x:v>
      </x:c>
      <x:c r="F273" s="16" t="n">
        <x:v>0.3</x:v>
      </x:c>
      <x:c r="G273" s="16" t="n">
        <x:v>1</x:v>
      </x:c>
      <x:c r="H273" s="11" t="n">
        <x:f>H257</x:f>
        <x:v>0.125</x:v>
      </x:c>
      <x:c r="I273" s="11" t="n">
        <x:f>I257</x:f>
        <x:v>6.8</x:v>
      </x:c>
    </x:row>
    <x:row r="274" ht="23" customHeight="1">
      <x:c r="A274" s="11" t="str">
        <x:v>688192.SH</x:v>
      </x:c>
      <x:c r="B274" s="11" t="str">
        <x:v>五年</x:v>
      </x:c>
      <x:c r="C274" s="11" t="str">
        <x:v>goli_lung</x:v>
      </x:c>
      <x:c r="D274" s="11" t="str">
        <x:v>乐观</x:v>
      </x:c>
      <x:c r="E274" s="16" t="n">
        <x:v>0.79</x:v>
      </x:c>
      <x:c r="F274" s="16" t="n">
        <x:v>0.38</x:v>
      </x:c>
      <x:c r="G274" s="16" t="n">
        <x:v>1</x:v>
      </x:c>
      <x:c r="H274" s="11" t="n">
        <x:f>H258</x:f>
        <x:v>0.105</x:v>
      </x:c>
      <x:c r="I274" s="11" t="n">
        <x:f>I258</x:f>
        <x:v>6.8</x:v>
      </x:c>
    </x:row>
    <x:row r="275" ht="23" customHeight="1">
      <x:c r="A275" s="11" t="str">
        <x:v>688192.SH</x:v>
      </x:c>
      <x:c r="B275" s="11" t="str">
        <x:v>五年</x:v>
      </x:c>
      <x:c r="C275" s="11" t="str">
        <x:v>bire_cll</x:v>
      </x:c>
      <x:c r="D275" s="11" t="str">
        <x:v>活动输入</x:v>
      </x:c>
      <x:c r="E275" s="11" t="n">
        <x:f>CHOOSE('假设'!$B$3,E276,E277,E278)</x:f>
        <x:v>0.714</x:v>
      </x:c>
      <x:c r="F275" s="11" t="n">
        <x:f>CHOOSE('假设'!$B$3,F276,F277,F278)</x:f>
        <x:v>0.32</x:v>
      </x:c>
      <x:c r="G275" s="11" t="n">
        <x:f>CHOOSE('假设'!$B$3,G276,G277,G278)</x:f>
        <x:v>1</x:v>
      </x:c>
      <x:c r="H275" s="11" t="n">
        <x:f>CHOOSE('假设'!$B$3,H276,H277,H278)</x:f>
        <x:v>0.125</x:v>
      </x:c>
      <x:c r="I275" s="11" t="n">
        <x:f>CHOOSE('假设'!$B$3,I276,I277,I278)</x:f>
        <x:v>6.8</x:v>
      </x:c>
    </x:row>
    <x:row r="276" ht="23" customHeight="1">
      <x:c r="A276" s="11" t="str">
        <x:v>688192.SH</x:v>
      </x:c>
      <x:c r="B276" s="11" t="str">
        <x:v>五年</x:v>
      </x:c>
      <x:c r="C276" s="11" t="str">
        <x:v>bire_cll</x:v>
      </x:c>
      <x:c r="D276" s="11" t="str">
        <x:v>悲观</x:v>
      </x:c>
      <x:c r="E276" s="16" t="n">
        <x:v>0.30299999999999994</x:v>
      </x:c>
      <x:c r="F276" s="16" t="n">
        <x:v>0.22</x:v>
      </x:c>
      <x:c r="G276" s="16" t="n">
        <x:v>1</x:v>
      </x:c>
      <x:c r="H276" s="11" t="n">
        <x:f>H256</x:f>
        <x:v>0.16</x:v>
      </x:c>
      <x:c r="I276" s="11" t="n">
        <x:f>I256</x:f>
        <x:v>6.8</x:v>
      </x:c>
    </x:row>
    <x:row r="277" ht="23" customHeight="1">
      <x:c r="A277" s="11" t="str">
        <x:v>688192.SH</x:v>
      </x:c>
      <x:c r="B277" s="11" t="str">
        <x:v>五年</x:v>
      </x:c>
      <x:c r="C277" s="11" t="str">
        <x:v>bire_cll</x:v>
      </x:c>
      <x:c r="D277" s="11" t="str">
        <x:v>基准</x:v>
      </x:c>
      <x:c r="E277" s="16" t="n">
        <x:v>0.714</x:v>
      </x:c>
      <x:c r="F277" s="16" t="n">
        <x:v>0.32</x:v>
      </x:c>
      <x:c r="G277" s="16" t="n">
        <x:v>1</x:v>
      </x:c>
      <x:c r="H277" s="11" t="n">
        <x:f>H257</x:f>
        <x:v>0.125</x:v>
      </x:c>
      <x:c r="I277" s="11" t="n">
        <x:f>I257</x:f>
        <x:v>6.8</x:v>
      </x:c>
    </x:row>
    <x:row r="278" ht="23" customHeight="1">
      <x:c r="A278" s="11" t="str">
        <x:v>688192.SH</x:v>
      </x:c>
      <x:c r="B278" s="11" t="str">
        <x:v>五年</x:v>
      </x:c>
      <x:c r="C278" s="11" t="str">
        <x:v>bire_cll</x:v>
      </x:c>
      <x:c r="D278" s="11" t="str">
        <x:v>乐观</x:v>
      </x:c>
      <x:c r="E278" s="16" t="n">
        <x:v>0.895</x:v>
      </x:c>
      <x:c r="F278" s="16" t="n">
        <x:v>0.4</x:v>
      </x:c>
      <x:c r="G278" s="16" t="n">
        <x:v>1</x:v>
      </x:c>
      <x:c r="H278" s="11" t="n">
        <x:f>H258</x:f>
        <x:v>0.105</x:v>
      </x:c>
      <x:c r="I278" s="11" t="n">
        <x:f>I258</x:f>
        <x:v>6.8</x:v>
      </x:c>
    </x:row>
    <x:row r="279" ht="23" customHeight="1">
      <x:c r="A279" s="11" t="str">
        <x:v>688192.SH</x:v>
      </x:c>
      <x:c r="B279" s="11" t="str">
        <x:v>五年</x:v>
      </x:c>
      <x:c r="C279" s="11" t="str">
        <x:v>bire_dlbcl</x:v>
      </x:c>
      <x:c r="D279" s="11" t="str">
        <x:v>活动输入</x:v>
      </x:c>
      <x:c r="E279" s="11" t="n">
        <x:f>CHOOSE('假设'!$B$3,E280,E281,E282)</x:f>
        <x:v>0.615</x:v>
      </x:c>
      <x:c r="F279" s="11" t="n">
        <x:f>CHOOSE('假设'!$B$3,F280,F281,F282)</x:f>
        <x:v>0.32</x:v>
      </x:c>
      <x:c r="G279" s="11" t="n">
        <x:f>CHOOSE('假设'!$B$3,G280,G281,G282)</x:f>
        <x:v>1</x:v>
      </x:c>
      <x:c r="H279" s="11" t="n">
        <x:f>CHOOSE('假设'!$B$3,H280,H281,H282)</x:f>
        <x:v>0.125</x:v>
      </x:c>
      <x:c r="I279" s="11" t="n">
        <x:f>CHOOSE('假设'!$B$3,I280,I281,I282)</x:f>
        <x:v>6.8</x:v>
      </x:c>
    </x:row>
    <x:row r="280" ht="23" customHeight="1">
      <x:c r="A280" s="11" t="str">
        <x:v>688192.SH</x:v>
      </x:c>
      <x:c r="B280" s="11" t="str">
        <x:v>五年</x:v>
      </x:c>
      <x:c r="C280" s="11" t="str">
        <x:v>bire_dlbcl</x:v>
      </x:c>
      <x:c r="D280" s="11" t="str">
        <x:v>悲观</x:v>
      </x:c>
      <x:c r="E280" s="16" t="n">
        <x:v>0.235</x:v>
      </x:c>
      <x:c r="F280" s="16" t="n">
        <x:v>0.22</x:v>
      </x:c>
      <x:c r="G280" s="16" t="n">
        <x:v>1</x:v>
      </x:c>
      <x:c r="H280" s="11" t="n">
        <x:f>H256</x:f>
        <x:v>0.16</x:v>
      </x:c>
      <x:c r="I280" s="11" t="n">
        <x:f>I256</x:f>
        <x:v>6.8</x:v>
      </x:c>
    </x:row>
    <x:row r="281" ht="23" customHeight="1">
      <x:c r="A281" s="11" t="str">
        <x:v>688192.SH</x:v>
      </x:c>
      <x:c r="B281" s="11" t="str">
        <x:v>五年</x:v>
      </x:c>
      <x:c r="C281" s="11" t="str">
        <x:v>bire_dlbcl</x:v>
      </x:c>
      <x:c r="D281" s="11" t="str">
        <x:v>基准</x:v>
      </x:c>
      <x:c r="E281" s="16" t="n">
        <x:v>0.615</x:v>
      </x:c>
      <x:c r="F281" s="16" t="n">
        <x:v>0.32</x:v>
      </x:c>
      <x:c r="G281" s="16" t="n">
        <x:v>1</x:v>
      </x:c>
      <x:c r="H281" s="11" t="n">
        <x:f>H257</x:f>
        <x:v>0.125</x:v>
      </x:c>
      <x:c r="I281" s="11" t="n">
        <x:f>I257</x:f>
        <x:v>6.8</x:v>
      </x:c>
    </x:row>
    <x:row r="282" ht="23" customHeight="1">
      <x:c r="A282" s="11" t="str">
        <x:v>688192.SH</x:v>
      </x:c>
      <x:c r="B282" s="11" t="str">
        <x:v>五年</x:v>
      </x:c>
      <x:c r="C282" s="11" t="str">
        <x:v>bire_dlbcl</x:v>
      </x:c>
      <x:c r="D282" s="11" t="str">
        <x:v>乐观</x:v>
      </x:c>
      <x:c r="E282" s="16" t="n">
        <x:v>0.8425</x:v>
      </x:c>
      <x:c r="F282" s="16" t="n">
        <x:v>0.4</x:v>
      </x:c>
      <x:c r="G282" s="16" t="n">
        <x:v>1</x:v>
      </x:c>
      <x:c r="H282" s="11" t="n">
        <x:f>H258</x:f>
        <x:v>0.105</x:v>
      </x:c>
      <x:c r="I282" s="11" t="n">
        <x:f>I258</x:f>
        <x:v>6.8</x:v>
      </x:c>
    </x:row>
    <x:row r="283" ht="23" customHeight="1">
      <x:c r="A283" s="11" t="str">
        <x:v>688192.SH</x:v>
      </x:c>
      <x:c r="B283" s="11" t="str">
        <x:v>五年</x:v>
      </x:c>
      <x:c r="C283" s="11" t="str">
        <x:v>dzd6008</x:v>
      </x:c>
      <x:c r="D283" s="11" t="str">
        <x:v>活动输入</x:v>
      </x:c>
      <x:c r="E283" s="11" t="n">
        <x:f>CHOOSE('假设'!$B$3,E284,E285,E286)</x:f>
        <x:v>0.615</x:v>
      </x:c>
      <x:c r="F283" s="11" t="n">
        <x:f>CHOOSE('假设'!$B$3,F284,F285,F286)</x:f>
        <x:v>0.32</x:v>
      </x:c>
      <x:c r="G283" s="11" t="n">
        <x:f>CHOOSE('假设'!$B$3,G284,G285,G286)</x:f>
        <x:v>1</x:v>
      </x:c>
      <x:c r="H283" s="11" t="n">
        <x:f>CHOOSE('假设'!$B$3,H284,H285,H286)</x:f>
        <x:v>0.125</x:v>
      </x:c>
      <x:c r="I283" s="11" t="n">
        <x:f>CHOOSE('假设'!$B$3,I284,I285,I286)</x:f>
        <x:v>6.8</x:v>
      </x:c>
    </x:row>
    <x:row r="284" ht="23" customHeight="1">
      <x:c r="A284" s="11" t="str">
        <x:v>688192.SH</x:v>
      </x:c>
      <x:c r="B284" s="11" t="str">
        <x:v>五年</x:v>
      </x:c>
      <x:c r="C284" s="11" t="str">
        <x:v>dzd6008</x:v>
      </x:c>
      <x:c r="D284" s="11" t="str">
        <x:v>悲观</x:v>
      </x:c>
      <x:c r="E284" s="16" t="n">
        <x:v>0.235</x:v>
      </x:c>
      <x:c r="F284" s="16" t="n">
        <x:v>0.22</x:v>
      </x:c>
      <x:c r="G284" s="16" t="n">
        <x:v>1</x:v>
      </x:c>
      <x:c r="H284" s="11" t="n">
        <x:f>H256</x:f>
        <x:v>0.16</x:v>
      </x:c>
      <x:c r="I284" s="11" t="n">
        <x:f>I256</x:f>
        <x:v>6.8</x:v>
      </x:c>
    </x:row>
    <x:row r="285" ht="23" customHeight="1">
      <x:c r="A285" s="11" t="str">
        <x:v>688192.SH</x:v>
      </x:c>
      <x:c r="B285" s="11" t="str">
        <x:v>五年</x:v>
      </x:c>
      <x:c r="C285" s="11" t="str">
        <x:v>dzd6008</x:v>
      </x:c>
      <x:c r="D285" s="11" t="str">
        <x:v>基准</x:v>
      </x:c>
      <x:c r="E285" s="16" t="n">
        <x:v>0.615</x:v>
      </x:c>
      <x:c r="F285" s="16" t="n">
        <x:v>0.32</x:v>
      </x:c>
      <x:c r="G285" s="16" t="n">
        <x:v>1</x:v>
      </x:c>
      <x:c r="H285" s="11" t="n">
        <x:f>H257</x:f>
        <x:v>0.125</x:v>
      </x:c>
      <x:c r="I285" s="11" t="n">
        <x:f>I257</x:f>
        <x:v>6.8</x:v>
      </x:c>
    </x:row>
    <x:row r="286" ht="23" customHeight="1">
      <x:c r="A286" s="11" t="str">
        <x:v>688192.SH</x:v>
      </x:c>
      <x:c r="B286" s="11" t="str">
        <x:v>五年</x:v>
      </x:c>
      <x:c r="C286" s="11" t="str">
        <x:v>dzd6008</x:v>
      </x:c>
      <x:c r="D286" s="11" t="str">
        <x:v>乐观</x:v>
      </x:c>
      <x:c r="E286" s="16" t="n">
        <x:v>0.8425</x:v>
      </x:c>
      <x:c r="F286" s="16" t="n">
        <x:v>0.4</x:v>
      </x:c>
      <x:c r="G286" s="16" t="n">
        <x:v>1</x:v>
      </x:c>
      <x:c r="H286" s="11" t="n">
        <x:f>H258</x:f>
        <x:v>0.105</x:v>
      </x:c>
      <x:c r="I286" s="11" t="n">
        <x:f>I258</x:f>
        <x:v>6.8</x:v>
      </x:c>
    </x:row>
    <x:row r="287" ht="23" customHeight="1">
      <x:c r="A287" s="11" t="str">
        <x:v>688302.SH</x:v>
      </x:c>
      <x:c r="B287" s="11" t="str">
        <x:v>2026年底</x:v>
      </x:c>
      <x:c r="C287" s="11" t="str">
        <x:v>hc1119_later</x:v>
      </x:c>
      <x:c r="D287" s="11" t="str">
        <x:v>活动输入</x:v>
      </x:c>
      <x:c r="E287" s="11" t="n">
        <x:f>CHOOSE('假设'!$B$3,E288,E289,E290)</x:f>
        <x:v>1</x:v>
      </x:c>
      <x:c r="F287" s="11" t="n">
        <x:f>CHOOSE('假设'!$B$3,F288,F289,F290)</x:f>
        <x:v>0.25</x:v>
      </x:c>
      <x:c r="G287" s="11" t="n">
        <x:f>CHOOSE('假设'!$B$3,G288,G289,G290)</x:f>
        <x:v>1</x:v>
      </x:c>
      <x:c r="H287" s="11" t="n">
        <x:f>CHOOSE('假设'!$B$3,H288,H289,H290)</x:f>
        <x:v>0.14</x:v>
      </x:c>
      <x:c r="I287" s="11" t="n">
        <x:f>CHOOSE('假设'!$B$3,I288,I289,I290)</x:f>
        <x:v>6.8</x:v>
      </x:c>
    </x:row>
    <x:row r="288" ht="23" customHeight="1">
      <x:c r="A288" s="11" t="str">
        <x:v>688302.SH</x:v>
      </x:c>
      <x:c r="B288" s="11" t="str">
        <x:v>2026年底</x:v>
      </x:c>
      <x:c r="C288" s="11" t="str">
        <x:v>hc1119_later</x:v>
      </x:c>
      <x:c r="D288" s="11" t="str">
        <x:v>悲观</x:v>
      </x:c>
      <x:c r="E288" s="16" t="n">
        <x:v>1</x:v>
      </x:c>
      <x:c r="F288" s="16" t="n">
        <x:v>0.15</x:v>
      </x:c>
      <x:c r="G288" s="16" t="n">
        <x:v>1</x:v>
      </x:c>
      <x:c r="H288" s="16" t="n">
        <x:v>0.18</x:v>
      </x:c>
      <x:c r="I288" s="16" t="n">
        <x:v>6.8</x:v>
      </x:c>
    </x:row>
    <x:row r="289" ht="23" customHeight="1">
      <x:c r="A289" s="11" t="str">
        <x:v>688302.SH</x:v>
      </x:c>
      <x:c r="B289" s="11" t="str">
        <x:v>2026年底</x:v>
      </x:c>
      <x:c r="C289" s="11" t="str">
        <x:v>hc1119_later</x:v>
      </x:c>
      <x:c r="D289" s="11" t="str">
        <x:v>基准</x:v>
      </x:c>
      <x:c r="E289" s="16" t="n">
        <x:v>1</x:v>
      </x:c>
      <x:c r="F289" s="16" t="n">
        <x:v>0.25</x:v>
      </x:c>
      <x:c r="G289" s="16" t="n">
        <x:v>1</x:v>
      </x:c>
      <x:c r="H289" s="16" t="n">
        <x:v>0.14</x:v>
      </x:c>
      <x:c r="I289" s="16" t="n">
        <x:v>6.8</x:v>
      </x:c>
    </x:row>
    <x:row r="290" ht="23" customHeight="1">
      <x:c r="A290" s="11" t="str">
        <x:v>688302.SH</x:v>
      </x:c>
      <x:c r="B290" s="11" t="str">
        <x:v>2026年底</x:v>
      </x:c>
      <x:c r="C290" s="11" t="str">
        <x:v>hc1119_later</x:v>
      </x:c>
      <x:c r="D290" s="11" t="str">
        <x:v>乐观</x:v>
      </x:c>
      <x:c r="E290" s="16" t="n">
        <x:v>1</x:v>
      </x:c>
      <x:c r="F290" s="16" t="n">
        <x:v>0.35</x:v>
      </x:c>
      <x:c r="G290" s="16" t="n">
        <x:v>1</x:v>
      </x:c>
      <x:c r="H290" s="16" t="n">
        <x:v>0.105</x:v>
      </x:c>
      <x:c r="I290" s="16" t="n">
        <x:v>6.8</x:v>
      </x:c>
    </x:row>
    <x:row r="291" ht="23" customHeight="1">
      <x:c r="A291" s="11" t="str">
        <x:v>688302.SH</x:v>
      </x:c>
      <x:c r="B291" s="11" t="str">
        <x:v>2026年底</x:v>
      </x:c>
      <x:c r="C291" s="11" t="str">
        <x:v>hc1119_bcr</x:v>
      </x:c>
      <x:c r="D291" s="11" t="str">
        <x:v>活动输入</x:v>
      </x:c>
      <x:c r="E291" s="11" t="n">
        <x:f>CHOOSE('假设'!$B$3,E292,E293,E294)</x:f>
        <x:v>0.44999999999999996</x:v>
      </x:c>
      <x:c r="F291" s="11" t="n">
        <x:f>CHOOSE('假设'!$B$3,F292,F293,F294)</x:f>
        <x:v>0.25</x:v>
      </x:c>
      <x:c r="G291" s="11" t="n">
        <x:f>CHOOSE('假设'!$B$3,G292,G293,G294)</x:f>
        <x:v>1</x:v>
      </x:c>
      <x:c r="H291" s="11" t="n">
        <x:f>CHOOSE('假设'!$B$3,H292,H293,H294)</x:f>
        <x:v>0.14</x:v>
      </x:c>
      <x:c r="I291" s="11" t="n">
        <x:f>CHOOSE('假设'!$B$3,I292,I293,I294)</x:f>
        <x:v>6.8</x:v>
      </x:c>
    </x:row>
    <x:row r="292" ht="23" customHeight="1">
      <x:c r="A292" s="11" t="str">
        <x:v>688302.SH</x:v>
      </x:c>
      <x:c r="B292" s="11" t="str">
        <x:v>2026年底</x:v>
      </x:c>
      <x:c r="C292" s="11" t="str">
        <x:v>hc1119_bcr</x:v>
      </x:c>
      <x:c r="D292" s="11" t="str">
        <x:v>悲观</x:v>
      </x:c>
      <x:c r="E292" s="16" t="n">
        <x:v>0.15000000000000002</x:v>
      </x:c>
      <x:c r="F292" s="16" t="n">
        <x:v>0.15</x:v>
      </x:c>
      <x:c r="G292" s="16" t="n">
        <x:v>1</x:v>
      </x:c>
      <x:c r="H292" s="11" t="n">
        <x:f>H288</x:f>
        <x:v>0.18</x:v>
      </x:c>
      <x:c r="I292" s="11" t="n">
        <x:f>I288</x:f>
        <x:v>6.8</x:v>
      </x:c>
    </x:row>
    <x:row r="293" ht="23" customHeight="1">
      <x:c r="A293" s="11" t="str">
        <x:v>688302.SH</x:v>
      </x:c>
      <x:c r="B293" s="11" t="str">
        <x:v>2026年底</x:v>
      </x:c>
      <x:c r="C293" s="11" t="str">
        <x:v>hc1119_bcr</x:v>
      </x:c>
      <x:c r="D293" s="11" t="str">
        <x:v>基准</x:v>
      </x:c>
      <x:c r="E293" s="16" t="n">
        <x:v>0.44999999999999996</x:v>
      </x:c>
      <x:c r="F293" s="16" t="n">
        <x:v>0.25</x:v>
      </x:c>
      <x:c r="G293" s="16" t="n">
        <x:v>1</x:v>
      </x:c>
      <x:c r="H293" s="11" t="n">
        <x:f>H289</x:f>
        <x:v>0.14</x:v>
      </x:c>
      <x:c r="I293" s="11" t="n">
        <x:f>I289</x:f>
        <x:v>6.8</x:v>
      </x:c>
    </x:row>
    <x:row r="294" ht="23" customHeight="1">
      <x:c r="A294" s="11" t="str">
        <x:v>688302.SH</x:v>
      </x:c>
      <x:c r="B294" s="11" t="str">
        <x:v>2026年底</x:v>
      </x:c>
      <x:c r="C294" s="11" t="str">
        <x:v>hc1119_bcr</x:v>
      </x:c>
      <x:c r="D294" s="11" t="str">
        <x:v>乐观</x:v>
      </x:c>
      <x:c r="E294" s="16" t="n">
        <x:v>0.7</x:v>
      </x:c>
      <x:c r="F294" s="16" t="n">
        <x:v>0.35</x:v>
      </x:c>
      <x:c r="G294" s="16" t="n">
        <x:v>1</x:v>
      </x:c>
      <x:c r="H294" s="11" t="n">
        <x:f>H290</x:f>
        <x:v>0.105</x:v>
      </x:c>
      <x:c r="I294" s="11" t="n">
        <x:f>I290</x:f>
        <x:v>6.8</x:v>
      </x:c>
    </x:row>
    <x:row r="295" ht="23" customHeight="1">
      <x:c r="A295" s="11" t="str">
        <x:v>688302.SH</x:v>
      </x:c>
      <x:c r="B295" s="11" t="str">
        <x:v>2026年底</x:v>
      </x:c>
      <x:c r="C295" s="11" t="str">
        <x:v>hp518_combo_cn</x:v>
      </x:c>
      <x:c r="D295" s="11" t="str">
        <x:v>活动输入</x:v>
      </x:c>
      <x:c r="E295" s="11" t="n">
        <x:f>CHOOSE('假设'!$B$3,E296,E297,E298)</x:f>
        <x:v>0.21999999999999997</x:v>
      </x:c>
      <x:c r="F295" s="11" t="n">
        <x:f>CHOOSE('假设'!$B$3,F296,F297,F298)</x:f>
        <x:v>0.23</x:v>
      </x:c>
      <x:c r="G295" s="11" t="n">
        <x:f>CHOOSE('假设'!$B$3,G296,G297,G298)</x:f>
        <x:v>1</x:v>
      </x:c>
      <x:c r="H295" s="11" t="n">
        <x:f>CHOOSE('假设'!$B$3,H296,H297,H298)</x:f>
        <x:v>0.14</x:v>
      </x:c>
      <x:c r="I295" s="11" t="n">
        <x:f>CHOOSE('假设'!$B$3,I296,I297,I298)</x:f>
        <x:v>6.8</x:v>
      </x:c>
    </x:row>
    <x:row r="296" ht="23" customHeight="1">
      <x:c r="A296" s="11" t="str">
        <x:v>688302.SH</x:v>
      </x:c>
      <x:c r="B296" s="11" t="str">
        <x:v>2026年底</x:v>
      </x:c>
      <x:c r="C296" s="11" t="str">
        <x:v>hp518_combo_cn</x:v>
      </x:c>
      <x:c r="D296" s="11" t="str">
        <x:v>悲观</x:v>
      </x:c>
      <x:c r="E296" s="16" t="n">
        <x:v>0.06000000000000005</x:v>
      </x:c>
      <x:c r="F296" s="16" t="n">
        <x:v>0.13</x:v>
      </x:c>
      <x:c r="G296" s="16" t="n">
        <x:v>1</x:v>
      </x:c>
      <x:c r="H296" s="11" t="n">
        <x:f>H288</x:f>
        <x:v>0.18</x:v>
      </x:c>
      <x:c r="I296" s="11" t="n">
        <x:f>I288</x:f>
        <x:v>6.8</x:v>
      </x:c>
    </x:row>
    <x:row r="297" ht="23" customHeight="1">
      <x:c r="A297" s="11" t="str">
        <x:v>688302.SH</x:v>
      </x:c>
      <x:c r="B297" s="11" t="str">
        <x:v>2026年底</x:v>
      </x:c>
      <x:c r="C297" s="11" t="str">
        <x:v>hp518_combo_cn</x:v>
      </x:c>
      <x:c r="D297" s="11" t="str">
        <x:v>基准</x:v>
      </x:c>
      <x:c r="E297" s="16" t="n">
        <x:v>0.21999999999999997</x:v>
      </x:c>
      <x:c r="F297" s="16" t="n">
        <x:v>0.23</x:v>
      </x:c>
      <x:c r="G297" s="16" t="n">
        <x:v>1</x:v>
      </x:c>
      <x:c r="H297" s="11" t="n">
        <x:f>H289</x:f>
        <x:v>0.14</x:v>
      </x:c>
      <x:c r="I297" s="11" t="n">
        <x:f>I289</x:f>
        <x:v>6.8</x:v>
      </x:c>
    </x:row>
    <x:row r="298" ht="23" customHeight="1">
      <x:c r="A298" s="11" t="str">
        <x:v>688302.SH</x:v>
      </x:c>
      <x:c r="B298" s="11" t="str">
        <x:v>2026年底</x:v>
      </x:c>
      <x:c r="C298" s="11" t="str">
        <x:v>hp518_combo_cn</x:v>
      </x:c>
      <x:c r="D298" s="11" t="str">
        <x:v>乐观</x:v>
      </x:c>
      <x:c r="E298" s="16" t="n">
        <x:v>0.44999999999999996</x:v>
      </x:c>
      <x:c r="F298" s="16" t="n">
        <x:v>0.33</x:v>
      </x:c>
      <x:c r="G298" s="16" t="n">
        <x:v>1</x:v>
      </x:c>
      <x:c r="H298" s="11" t="n">
        <x:f>H290</x:f>
        <x:v>0.105</x:v>
      </x:c>
      <x:c r="I298" s="11" t="n">
        <x:f>I290</x:f>
        <x:v>6.8</x:v>
      </x:c>
    </x:row>
    <x:row r="299" ht="23" customHeight="1">
      <x:c r="A299" s="11" t="str">
        <x:v>688302.SH</x:v>
      </x:c>
      <x:c r="B299" s="11" t="str">
        <x:v>2026年底</x:v>
      </x:c>
      <x:c r="C299" s="11" t="str">
        <x:v>hp518_combo_global</x:v>
      </x:c>
      <x:c r="D299" s="11" t="str">
        <x:v>活动输入</x:v>
      </x:c>
      <x:c r="E299" s="11" t="n">
        <x:f>CHOOSE('假设'!$B$3,E300,E301,E302)</x:f>
        <x:v>0.15000000000000002</x:v>
      </x:c>
      <x:c r="F299" s="11" t="n">
        <x:f>CHOOSE('假设'!$B$3,F300,F301,F302)</x:f>
        <x:v>0.0738</x:v>
      </x:c>
      <x:c r="G299" s="11" t="n">
        <x:f>CHOOSE('假设'!$B$3,G300,G301,G302)</x:f>
        <x:v>1</x:v>
      </x:c>
      <x:c r="H299" s="11" t="n">
        <x:f>CHOOSE('假设'!$B$3,H300,H301,H302)</x:f>
        <x:v>0.14</x:v>
      </x:c>
      <x:c r="I299" s="11" t="n">
        <x:f>CHOOSE('假设'!$B$3,I300,I301,I302)</x:f>
        <x:v>6.8</x:v>
      </x:c>
    </x:row>
    <x:row r="300" ht="23" customHeight="1">
      <x:c r="A300" s="11" t="str">
        <x:v>688302.SH</x:v>
      </x:c>
      <x:c r="B300" s="11" t="str">
        <x:v>2026年底</x:v>
      </x:c>
      <x:c r="C300" s="11" t="str">
        <x:v>hp518_combo_global</x:v>
      </x:c>
      <x:c r="D300" s="11" t="str">
        <x:v>悲观</x:v>
      </x:c>
      <x:c r="E300" s="16" t="n">
        <x:v>0.040000000000000036</x:v>
      </x:c>
      <x:c r="F300" s="16" t="n">
        <x:v>0.048</x:v>
      </x:c>
      <x:c r="G300" s="16" t="n">
        <x:v>1</x:v>
      </x:c>
      <x:c r="H300" s="11" t="n">
        <x:f>H288</x:f>
        <x:v>0.18</x:v>
      </x:c>
      <x:c r="I300" s="11" t="n">
        <x:f>I288</x:f>
        <x:v>6.8</x:v>
      </x:c>
    </x:row>
    <x:row r="301" ht="23" customHeight="1">
      <x:c r="A301" s="11" t="str">
        <x:v>688302.SH</x:v>
      </x:c>
      <x:c r="B301" s="11" t="str">
        <x:v>2026年底</x:v>
      </x:c>
      <x:c r="C301" s="11" t="str">
        <x:v>hp518_combo_global</x:v>
      </x:c>
      <x:c r="D301" s="11" t="str">
        <x:v>基准</x:v>
      </x:c>
      <x:c r="E301" s="16" t="n">
        <x:v>0.15000000000000002</x:v>
      </x:c>
      <x:c r="F301" s="16" t="n">
        <x:v>0.0738</x:v>
      </x:c>
      <x:c r="G301" s="16" t="n">
        <x:v>1</x:v>
      </x:c>
      <x:c r="H301" s="11" t="n">
        <x:f>H289</x:f>
        <x:v>0.14</x:v>
      </x:c>
      <x:c r="I301" s="11" t="n">
        <x:f>I289</x:f>
        <x:v>6.8</x:v>
      </x:c>
    </x:row>
    <x:row r="302" ht="23" customHeight="1">
      <x:c r="A302" s="11" t="str">
        <x:v>688302.SH</x:v>
      </x:c>
      <x:c r="B302" s="11" t="str">
        <x:v>2026年底</x:v>
      </x:c>
      <x:c r="C302" s="11" t="str">
        <x:v>hp518_combo_global</x:v>
      </x:c>
      <x:c r="D302" s="11" t="str">
        <x:v>乐观</x:v>
      </x:c>
      <x:c r="E302" s="16" t="n">
        <x:v>0.35</x:v>
      </x:c>
      <x:c r="F302" s="16" t="n">
        <x:v>0.102</x:v>
      </x:c>
      <x:c r="G302" s="16" t="n">
        <x:v>1</x:v>
      </x:c>
      <x:c r="H302" s="11" t="n">
        <x:f>H290</x:f>
        <x:v>0.105</x:v>
      </x:c>
      <x:c r="I302" s="11" t="n">
        <x:f>I290</x:f>
        <x:v>6.8</x:v>
      </x:c>
    </x:row>
    <x:row r="303" ht="23" customHeight="1">
      <x:c r="A303" s="11" t="str">
        <x:v>688302.SH</x:v>
      </x:c>
      <x:c r="B303" s="11" t="str">
        <x:v>2026年底</x:v>
      </x:c>
      <x:c r="C303" s="11" t="str">
        <x:v>hp518_tnbc_cn</x:v>
      </x:c>
      <x:c r="D303" s="11" t="str">
        <x:v>活动输入</x:v>
      </x:c>
      <x:c r="E303" s="11" t="n">
        <x:f>CHOOSE('假设'!$B$3,E304,E305,E306)</x:f>
        <x:v>0.12</x:v>
      </x:c>
      <x:c r="F303" s="11" t="n">
        <x:f>CHOOSE('假设'!$B$3,F304,F305,F306)</x:f>
        <x:v>0.23</x:v>
      </x:c>
      <x:c r="G303" s="11" t="n">
        <x:f>CHOOSE('假设'!$B$3,G304,G305,G306)</x:f>
        <x:v>1</x:v>
      </x:c>
      <x:c r="H303" s="11" t="n">
        <x:f>CHOOSE('假设'!$B$3,H304,H305,H306)</x:f>
        <x:v>0.14</x:v>
      </x:c>
      <x:c r="I303" s="11" t="n">
        <x:f>CHOOSE('假设'!$B$3,I304,I305,I306)</x:f>
        <x:v>6.8</x:v>
      </x:c>
    </x:row>
    <x:row r="304" ht="23" customHeight="1">
      <x:c r="A304" s="11" t="str">
        <x:v>688302.SH</x:v>
      </x:c>
      <x:c r="B304" s="11" t="str">
        <x:v>2026年底</x:v>
      </x:c>
      <x:c r="C304" s="11" t="str">
        <x:v>hp518_tnbc_cn</x:v>
      </x:c>
      <x:c r="D304" s="11" t="str">
        <x:v>悲观</x:v>
      </x:c>
      <x:c r="E304" s="16" t="n">
        <x:v>0.030000000000000027</x:v>
      </x:c>
      <x:c r="F304" s="16" t="n">
        <x:v>0.13</x:v>
      </x:c>
      <x:c r="G304" s="16" t="n">
        <x:v>1</x:v>
      </x:c>
      <x:c r="H304" s="11" t="n">
        <x:f>H288</x:f>
        <x:v>0.18</x:v>
      </x:c>
      <x:c r="I304" s="11" t="n">
        <x:f>I288</x:f>
        <x:v>6.8</x:v>
      </x:c>
    </x:row>
    <x:row r="305" ht="23" customHeight="1">
      <x:c r="A305" s="11" t="str">
        <x:v>688302.SH</x:v>
      </x:c>
      <x:c r="B305" s="11" t="str">
        <x:v>2026年底</x:v>
      </x:c>
      <x:c r="C305" s="11" t="str">
        <x:v>hp518_tnbc_cn</x:v>
      </x:c>
      <x:c r="D305" s="11" t="str">
        <x:v>基准</x:v>
      </x:c>
      <x:c r="E305" s="16" t="n">
        <x:v>0.12</x:v>
      </x:c>
      <x:c r="F305" s="16" t="n">
        <x:v>0.23</x:v>
      </x:c>
      <x:c r="G305" s="16" t="n">
        <x:v>1</x:v>
      </x:c>
      <x:c r="H305" s="11" t="n">
        <x:f>H289</x:f>
        <x:v>0.14</x:v>
      </x:c>
      <x:c r="I305" s="11" t="n">
        <x:f>I289</x:f>
        <x:v>6.8</x:v>
      </x:c>
    </x:row>
    <x:row r="306" ht="23" customHeight="1">
      <x:c r="A306" s="11" t="str">
        <x:v>688302.SH</x:v>
      </x:c>
      <x:c r="B306" s="11" t="str">
        <x:v>2026年底</x:v>
      </x:c>
      <x:c r="C306" s="11" t="str">
        <x:v>hp518_tnbc_cn</x:v>
      </x:c>
      <x:c r="D306" s="11" t="str">
        <x:v>乐观</x:v>
      </x:c>
      <x:c r="E306" s="16" t="n">
        <x:v>0.30000000000000004</x:v>
      </x:c>
      <x:c r="F306" s="16" t="n">
        <x:v>0.33</x:v>
      </x:c>
      <x:c r="G306" s="16" t="n">
        <x:v>1</x:v>
      </x:c>
      <x:c r="H306" s="11" t="n">
        <x:f>H290</x:f>
        <x:v>0.105</x:v>
      </x:c>
      <x:c r="I306" s="11" t="n">
        <x:f>I290</x:f>
        <x:v>6.8</x:v>
      </x:c>
    </x:row>
    <x:row r="307" ht="23" customHeight="1">
      <x:c r="A307" s="11" t="str">
        <x:v>688302.SH</x:v>
      </x:c>
      <x:c r="B307" s="11" t="str">
        <x:v>2026年底</x:v>
      </x:c>
      <x:c r="C307" s="11" t="str">
        <x:v>hp518_tnbc_global</x:v>
      </x:c>
      <x:c r="D307" s="11" t="str">
        <x:v>活动输入</x:v>
      </x:c>
      <x:c r="E307" s="11" t="n">
        <x:f>CHOOSE('假设'!$B$3,E308,E309,E310)</x:f>
        <x:v>0.09999999999999998</x:v>
      </x:c>
      <x:c r="F307" s="11" t="n">
        <x:f>CHOOSE('假设'!$B$3,F308,F309,F310)</x:f>
        <x:v>0.0738</x:v>
      </x:c>
      <x:c r="G307" s="11" t="n">
        <x:f>CHOOSE('假设'!$B$3,G308,G309,G310)</x:f>
        <x:v>1</x:v>
      </x:c>
      <x:c r="H307" s="11" t="n">
        <x:f>CHOOSE('假设'!$B$3,H308,H309,H310)</x:f>
        <x:v>0.14</x:v>
      </x:c>
      <x:c r="I307" s="11" t="n">
        <x:f>CHOOSE('假设'!$B$3,I308,I309,I310)</x:f>
        <x:v>6.8</x:v>
      </x:c>
    </x:row>
    <x:row r="308" ht="23" customHeight="1">
      <x:c r="A308" s="11" t="str">
        <x:v>688302.SH</x:v>
      </x:c>
      <x:c r="B308" s="11" t="str">
        <x:v>2026年底</x:v>
      </x:c>
      <x:c r="C308" s="11" t="str">
        <x:v>hp518_tnbc_global</x:v>
      </x:c>
      <x:c r="D308" s="11" t="str">
        <x:v>悲观</x:v>
      </x:c>
      <x:c r="E308" s="16" t="n">
        <x:v>0.020000000000000018</x:v>
      </x:c>
      <x:c r="F308" s="16" t="n">
        <x:v>0.048</x:v>
      </x:c>
      <x:c r="G308" s="16" t="n">
        <x:v>1</x:v>
      </x:c>
      <x:c r="H308" s="11" t="n">
        <x:f>H288</x:f>
        <x:v>0.18</x:v>
      </x:c>
      <x:c r="I308" s="11" t="n">
        <x:f>I288</x:f>
        <x:v>6.8</x:v>
      </x:c>
    </x:row>
    <x:row r="309" ht="23" customHeight="1">
      <x:c r="A309" s="11" t="str">
        <x:v>688302.SH</x:v>
      </x:c>
      <x:c r="B309" s="11" t="str">
        <x:v>2026年底</x:v>
      </x:c>
      <x:c r="C309" s="11" t="str">
        <x:v>hp518_tnbc_global</x:v>
      </x:c>
      <x:c r="D309" s="11" t="str">
        <x:v>基准</x:v>
      </x:c>
      <x:c r="E309" s="16" t="n">
        <x:v>0.09999999999999998</x:v>
      </x:c>
      <x:c r="F309" s="16" t="n">
        <x:v>0.0738</x:v>
      </x:c>
      <x:c r="G309" s="16" t="n">
        <x:v>1</x:v>
      </x:c>
      <x:c r="H309" s="11" t="n">
        <x:f>H289</x:f>
        <x:v>0.14</x:v>
      </x:c>
      <x:c r="I309" s="11" t="n">
        <x:f>I289</x:f>
        <x:v>6.8</x:v>
      </x:c>
    </x:row>
    <x:row r="310" ht="23" customHeight="1">
      <x:c r="A310" s="11" t="str">
        <x:v>688302.SH</x:v>
      </x:c>
      <x:c r="B310" s="11" t="str">
        <x:v>2026年底</x:v>
      </x:c>
      <x:c r="C310" s="11" t="str">
        <x:v>hp518_tnbc_global</x:v>
      </x:c>
      <x:c r="D310" s="11" t="str">
        <x:v>乐观</x:v>
      </x:c>
      <x:c r="E310" s="16" t="n">
        <x:v>0.25</x:v>
      </x:c>
      <x:c r="F310" s="16" t="n">
        <x:v>0.102</x:v>
      </x:c>
      <x:c r="G310" s="16" t="n">
        <x:v>1</x:v>
      </x:c>
      <x:c r="H310" s="11" t="n">
        <x:f>H290</x:f>
        <x:v>0.105</x:v>
      </x:c>
      <x:c r="I310" s="11" t="n">
        <x:f>I290</x:f>
        <x:v>6.8</x:v>
      </x:c>
    </x:row>
    <x:row r="311" ht="23" customHeight="1">
      <x:c r="A311" s="11" t="str">
        <x:v>688302.SH</x:v>
      </x:c>
      <x:c r="B311" s="11" t="str">
        <x:v>2026年底</x:v>
      </x:c>
      <x:c r="C311" s="11" t="str">
        <x:v>hp515_mash_cn</x:v>
      </x:c>
      <x:c r="D311" s="11" t="str">
        <x:v>活动输入</x:v>
      </x:c>
      <x:c r="E311" s="11" t="n">
        <x:f>CHOOSE('假设'!$B$3,E312,E313,E314)</x:f>
        <x:v>0.38</x:v>
      </x:c>
      <x:c r="F311" s="11" t="n">
        <x:f>CHOOSE('假设'!$B$3,F312,F313,F314)</x:f>
        <x:v>0.25</x:v>
      </x:c>
      <x:c r="G311" s="11" t="n">
        <x:f>CHOOSE('假设'!$B$3,G312,G313,G314)</x:f>
        <x:v>1</x:v>
      </x:c>
      <x:c r="H311" s="11" t="n">
        <x:f>CHOOSE('假设'!$B$3,H312,H313,H314)</x:f>
        <x:v>0.14</x:v>
      </x:c>
      <x:c r="I311" s="11" t="n">
        <x:f>CHOOSE('假设'!$B$3,I312,I313,I314)</x:f>
        <x:v>6.8</x:v>
      </x:c>
    </x:row>
    <x:row r="312" ht="23" customHeight="1">
      <x:c r="A312" s="11" t="str">
        <x:v>688302.SH</x:v>
      </x:c>
      <x:c r="B312" s="11" t="str">
        <x:v>2026年底</x:v>
      </x:c>
      <x:c r="C312" s="11" t="str">
        <x:v>hp515_mash_cn</x:v>
      </x:c>
      <x:c r="D312" s="11" t="str">
        <x:v>悲观</x:v>
      </x:c>
      <x:c r="E312" s="16" t="n">
        <x:v>0.12</x:v>
      </x:c>
      <x:c r="F312" s="16" t="n">
        <x:v>0.15</x:v>
      </x:c>
      <x:c r="G312" s="16" t="n">
        <x:v>1</x:v>
      </x:c>
      <x:c r="H312" s="11" t="n">
        <x:f>H288</x:f>
        <x:v>0.18</x:v>
      </x:c>
      <x:c r="I312" s="11" t="n">
        <x:f>I288</x:f>
        <x:v>6.8</x:v>
      </x:c>
    </x:row>
    <x:row r="313" ht="23" customHeight="1">
      <x:c r="A313" s="11" t="str">
        <x:v>688302.SH</x:v>
      </x:c>
      <x:c r="B313" s="11" t="str">
        <x:v>2026年底</x:v>
      </x:c>
      <x:c r="C313" s="11" t="str">
        <x:v>hp515_mash_cn</x:v>
      </x:c>
      <x:c r="D313" s="11" t="str">
        <x:v>基准</x:v>
      </x:c>
      <x:c r="E313" s="16" t="n">
        <x:v>0.38</x:v>
      </x:c>
      <x:c r="F313" s="16" t="n">
        <x:v>0.25</x:v>
      </x:c>
      <x:c r="G313" s="16" t="n">
        <x:v>1</x:v>
      </x:c>
      <x:c r="H313" s="11" t="n">
        <x:f>H289</x:f>
        <x:v>0.14</x:v>
      </x:c>
      <x:c r="I313" s="11" t="n">
        <x:f>I289</x:f>
        <x:v>6.8</x:v>
      </x:c>
    </x:row>
    <x:row r="314" ht="23" customHeight="1">
      <x:c r="A314" s="11" t="str">
        <x:v>688302.SH</x:v>
      </x:c>
      <x:c r="B314" s="11" t="str">
        <x:v>2026年底</x:v>
      </x:c>
      <x:c r="C314" s="11" t="str">
        <x:v>hp515_mash_cn</x:v>
      </x:c>
      <x:c r="D314" s="11" t="str">
        <x:v>乐观</x:v>
      </x:c>
      <x:c r="E314" s="16" t="n">
        <x:v>0.6</x:v>
      </x:c>
      <x:c r="F314" s="16" t="n">
        <x:v>0.35</x:v>
      </x:c>
      <x:c r="G314" s="16" t="n">
        <x:v>1</x:v>
      </x:c>
      <x:c r="H314" s="11" t="n">
        <x:f>H290</x:f>
        <x:v>0.105</x:v>
      </x:c>
      <x:c r="I314" s="11" t="n">
        <x:f>I290</x:f>
        <x:v>6.8</x:v>
      </x:c>
    </x:row>
    <x:row r="315" ht="23" customHeight="1">
      <x:c r="A315" s="11" t="str">
        <x:v>688302.SH</x:v>
      </x:c>
      <x:c r="B315" s="11" t="str">
        <x:v>2026年底</x:v>
      </x:c>
      <x:c r="C315" s="11" t="str">
        <x:v>hp515_mash_global</x:v>
      </x:c>
      <x:c r="D315" s="11" t="str">
        <x:v>活动输入</x:v>
      </x:c>
      <x:c r="E315" s="11" t="n">
        <x:f>CHOOSE('假设'!$B$3,E316,E317,E318)</x:f>
        <x:v>0.25</x:v>
      </x:c>
      <x:c r="F315" s="11" t="n">
        <x:f>CHOOSE('假设'!$B$3,F316,F317,F318)</x:f>
        <x:v>0.0738</x:v>
      </x:c>
      <x:c r="G315" s="11" t="n">
        <x:f>CHOOSE('假设'!$B$3,G316,G317,G318)</x:f>
        <x:v>1</x:v>
      </x:c>
      <x:c r="H315" s="11" t="n">
        <x:f>CHOOSE('假设'!$B$3,H316,H317,H318)</x:f>
        <x:v>0.14</x:v>
      </x:c>
      <x:c r="I315" s="11" t="n">
        <x:f>CHOOSE('假设'!$B$3,I316,I317,I318)</x:f>
        <x:v>6.8</x:v>
      </x:c>
    </x:row>
    <x:row r="316" ht="23" customHeight="1">
      <x:c r="A316" s="11" t="str">
        <x:v>688302.SH</x:v>
      </x:c>
      <x:c r="B316" s="11" t="str">
        <x:v>2026年底</x:v>
      </x:c>
      <x:c r="C316" s="11" t="str">
        <x:v>hp515_mash_global</x:v>
      </x:c>
      <x:c r="D316" s="11" t="str">
        <x:v>悲观</x:v>
      </x:c>
      <x:c r="E316" s="16" t="n">
        <x:v>0.06000000000000005</x:v>
      </x:c>
      <x:c r="F316" s="16" t="n">
        <x:v>0.048</x:v>
      </x:c>
      <x:c r="G316" s="16" t="n">
        <x:v>1</x:v>
      </x:c>
      <x:c r="H316" s="11" t="n">
        <x:f>H288</x:f>
        <x:v>0.18</x:v>
      </x:c>
      <x:c r="I316" s="11" t="n">
        <x:f>I288</x:f>
        <x:v>6.8</x:v>
      </x:c>
    </x:row>
    <x:row r="317" ht="23" customHeight="1">
      <x:c r="A317" s="11" t="str">
        <x:v>688302.SH</x:v>
      </x:c>
      <x:c r="B317" s="11" t="str">
        <x:v>2026年底</x:v>
      </x:c>
      <x:c r="C317" s="11" t="str">
        <x:v>hp515_mash_global</x:v>
      </x:c>
      <x:c r="D317" s="11" t="str">
        <x:v>基准</x:v>
      </x:c>
      <x:c r="E317" s="16" t="n">
        <x:v>0.25</x:v>
      </x:c>
      <x:c r="F317" s="16" t="n">
        <x:v>0.0738</x:v>
      </x:c>
      <x:c r="G317" s="16" t="n">
        <x:v>1</x:v>
      </x:c>
      <x:c r="H317" s="11" t="n">
        <x:f>H289</x:f>
        <x:v>0.14</x:v>
      </x:c>
      <x:c r="I317" s="11" t="n">
        <x:f>I289</x:f>
        <x:v>6.8</x:v>
      </x:c>
    </x:row>
    <x:row r="318" ht="23" customHeight="1">
      <x:c r="A318" s="11" t="str">
        <x:v>688302.SH</x:v>
      </x:c>
      <x:c r="B318" s="11" t="str">
        <x:v>2026年底</x:v>
      </x:c>
      <x:c r="C318" s="11" t="str">
        <x:v>hp515_mash_global</x:v>
      </x:c>
      <x:c r="D318" s="11" t="str">
        <x:v>乐观</x:v>
      </x:c>
      <x:c r="E318" s="16" t="n">
        <x:v>0.5</x:v>
      </x:c>
      <x:c r="F318" s="16" t="n">
        <x:v>0.102</x:v>
      </x:c>
      <x:c r="G318" s="16" t="n">
        <x:v>1</x:v>
      </x:c>
      <x:c r="H318" s="11" t="n">
        <x:f>H290</x:f>
        <x:v>0.105</x:v>
      </x:c>
      <x:c r="I318" s="11" t="n">
        <x:f>I290</x:f>
        <x:v>6.8</x:v>
      </x:c>
    </x:row>
    <x:row r="319" ht="23" customHeight="1">
      <x:c r="A319" s="11" t="str">
        <x:v>688302.SH</x:v>
      </x:c>
      <x:c r="B319" s="11" t="str">
        <x:v>2026年底</x:v>
      </x:c>
      <x:c r="C319" s="11" t="str">
        <x:v>hp515_obesity_cn</x:v>
      </x:c>
      <x:c r="D319" s="11" t="str">
        <x:v>活动输入</x:v>
      </x:c>
      <x:c r="E319" s="11" t="n">
        <x:f>CHOOSE('假设'!$B$3,E320,E321,E322)</x:f>
        <x:v>0.15000000000000002</x:v>
      </x:c>
      <x:c r="F319" s="11" t="n">
        <x:f>CHOOSE('假设'!$B$3,F320,F321,F322)</x:f>
        <x:v>0.18</x:v>
      </x:c>
      <x:c r="G319" s="11" t="n">
        <x:f>CHOOSE('假设'!$B$3,G320,G321,G322)</x:f>
        <x:v>1</x:v>
      </x:c>
      <x:c r="H319" s="11" t="n">
        <x:f>CHOOSE('假设'!$B$3,H320,H321,H322)</x:f>
        <x:v>0.14</x:v>
      </x:c>
      <x:c r="I319" s="11" t="n">
        <x:f>CHOOSE('假设'!$B$3,I320,I321,I322)</x:f>
        <x:v>6.8</x:v>
      </x:c>
    </x:row>
    <x:row r="320" ht="23" customHeight="1">
      <x:c r="A320" s="11" t="str">
        <x:v>688302.SH</x:v>
      </x:c>
      <x:c r="B320" s="11" t="str">
        <x:v>2026年底</x:v>
      </x:c>
      <x:c r="C320" s="11" t="str">
        <x:v>hp515_obesity_cn</x:v>
      </x:c>
      <x:c r="D320" s="11" t="str">
        <x:v>悲观</x:v>
      </x:c>
      <x:c r="E320" s="16" t="n">
        <x:v>0.040000000000000036</x:v>
      </x:c>
      <x:c r="F320" s="16" t="n">
        <x:v>0.1</x:v>
      </x:c>
      <x:c r="G320" s="16" t="n">
        <x:v>1</x:v>
      </x:c>
      <x:c r="H320" s="11" t="n">
        <x:f>H288</x:f>
        <x:v>0.18</x:v>
      </x:c>
      <x:c r="I320" s="11" t="n">
        <x:f>I288</x:f>
        <x:v>6.8</x:v>
      </x:c>
    </x:row>
    <x:row r="321" ht="23" customHeight="1">
      <x:c r="A321" s="11" t="str">
        <x:v>688302.SH</x:v>
      </x:c>
      <x:c r="B321" s="11" t="str">
        <x:v>2026年底</x:v>
      </x:c>
      <x:c r="C321" s="11" t="str">
        <x:v>hp515_obesity_cn</x:v>
      </x:c>
      <x:c r="D321" s="11" t="str">
        <x:v>基准</x:v>
      </x:c>
      <x:c r="E321" s="16" t="n">
        <x:v>0.15000000000000002</x:v>
      </x:c>
      <x:c r="F321" s="16" t="n">
        <x:v>0.18</x:v>
      </x:c>
      <x:c r="G321" s="16" t="n">
        <x:v>1</x:v>
      </x:c>
      <x:c r="H321" s="11" t="n">
        <x:f>H289</x:f>
        <x:v>0.14</x:v>
      </x:c>
      <x:c r="I321" s="11" t="n">
        <x:f>I289</x:f>
        <x:v>6.8</x:v>
      </x:c>
    </x:row>
    <x:row r="322" ht="23" customHeight="1">
      <x:c r="A322" s="11" t="str">
        <x:v>688302.SH</x:v>
      </x:c>
      <x:c r="B322" s="11" t="str">
        <x:v>2026年底</x:v>
      </x:c>
      <x:c r="C322" s="11" t="str">
        <x:v>hp515_obesity_cn</x:v>
      </x:c>
      <x:c r="D322" s="11" t="str">
        <x:v>乐观</x:v>
      </x:c>
      <x:c r="E322" s="16" t="n">
        <x:v>0.35</x:v>
      </x:c>
      <x:c r="F322" s="16" t="n">
        <x:v>0.28</x:v>
      </x:c>
      <x:c r="G322" s="16" t="n">
        <x:v>1</x:v>
      </x:c>
      <x:c r="H322" s="11" t="n">
        <x:f>H290</x:f>
        <x:v>0.105</x:v>
      </x:c>
      <x:c r="I322" s="11" t="n">
        <x:f>I290</x:f>
        <x:v>6.8</x:v>
      </x:c>
    </x:row>
    <x:row r="323" ht="23" customHeight="1">
      <x:c r="A323" s="11" t="str">
        <x:v>688302.SH</x:v>
      </x:c>
      <x:c r="B323" s="11" t="str">
        <x:v>2026年底</x:v>
      </x:c>
      <x:c r="C323" s="11" t="str">
        <x:v>hp515_obesity_global</x:v>
      </x:c>
      <x:c r="D323" s="11" t="str">
        <x:v>活动输入</x:v>
      </x:c>
      <x:c r="E323" s="11" t="n">
        <x:f>CHOOSE('假设'!$B$3,E324,E325,E326)</x:f>
        <x:v>0.09999999999999998</x:v>
      </x:c>
      <x:c r="F323" s="11" t="n">
        <x:f>CHOOSE('假设'!$B$3,F324,F325,F326)</x:f>
        <x:v>0.0656</x:v>
      </x:c>
      <x:c r="G323" s="11" t="n">
        <x:f>CHOOSE('假设'!$B$3,G324,G325,G326)</x:f>
        <x:v>1</x:v>
      </x:c>
      <x:c r="H323" s="11" t="n">
        <x:f>CHOOSE('假设'!$B$3,H324,H325,H326)</x:f>
        <x:v>0.14</x:v>
      </x:c>
      <x:c r="I323" s="11" t="n">
        <x:f>CHOOSE('假设'!$B$3,I324,I325,I326)</x:f>
        <x:v>6.8</x:v>
      </x:c>
    </x:row>
    <x:row r="324" ht="23" customHeight="1">
      <x:c r="A324" s="11" t="str">
        <x:v>688302.SH</x:v>
      </x:c>
      <x:c r="B324" s="11" t="str">
        <x:v>2026年底</x:v>
      </x:c>
      <x:c r="C324" s="11" t="str">
        <x:v>hp515_obesity_global</x:v>
      </x:c>
      <x:c r="D324" s="11" t="str">
        <x:v>悲观</x:v>
      </x:c>
      <x:c r="E324" s="16" t="n">
        <x:v>0.025000000000000022</x:v>
      </x:c>
      <x:c r="F324" s="16" t="n">
        <x:v>0.04000000000000001</x:v>
      </x:c>
      <x:c r="G324" s="16" t="n">
        <x:v>1</x:v>
      </x:c>
      <x:c r="H324" s="11" t="n">
        <x:f>H288</x:f>
        <x:v>0.18</x:v>
      </x:c>
      <x:c r="I324" s="11" t="n">
        <x:f>I288</x:f>
        <x:v>6.8</x:v>
      </x:c>
    </x:row>
    <x:row r="325" ht="23" customHeight="1">
      <x:c r="A325" s="11" t="str">
        <x:v>688302.SH</x:v>
      </x:c>
      <x:c r="B325" s="11" t="str">
        <x:v>2026年底</x:v>
      </x:c>
      <x:c r="C325" s="11" t="str">
        <x:v>hp515_obesity_global</x:v>
      </x:c>
      <x:c r="D325" s="11" t="str">
        <x:v>基准</x:v>
      </x:c>
      <x:c r="E325" s="16" t="n">
        <x:v>0.09999999999999998</x:v>
      </x:c>
      <x:c r="F325" s="16" t="n">
        <x:v>0.0656</x:v>
      </x:c>
      <x:c r="G325" s="16" t="n">
        <x:v>1</x:v>
      </x:c>
      <x:c r="H325" s="11" t="n">
        <x:f>H289</x:f>
        <x:v>0.14</x:v>
      </x:c>
      <x:c r="I325" s="11" t="n">
        <x:f>I289</x:f>
        <x:v>6.8</x:v>
      </x:c>
    </x:row>
    <x:row r="326" ht="23" customHeight="1">
      <x:c r="A326" s="11" t="str">
        <x:v>688302.SH</x:v>
      </x:c>
      <x:c r="B326" s="11" t="str">
        <x:v>2026年底</x:v>
      </x:c>
      <x:c r="C326" s="11" t="str">
        <x:v>hp515_obesity_global</x:v>
      </x:c>
      <x:c r="D326" s="11" t="str">
        <x:v>乐观</x:v>
      </x:c>
      <x:c r="E326" s="16" t="n">
        <x:v>0.25</x:v>
      </x:c>
      <x:c r="F326" s="16" t="n">
        <x:v>0.0935</x:v>
      </x:c>
      <x:c r="G326" s="16" t="n">
        <x:v>1</x:v>
      </x:c>
      <x:c r="H326" s="11" t="n">
        <x:f>H290</x:f>
        <x:v>0.105</x:v>
      </x:c>
      <x:c r="I326" s="11" t="n">
        <x:f>I290</x:f>
        <x:v>6.8</x:v>
      </x:c>
    </x:row>
    <x:row r="327" ht="23" customHeight="1">
      <x:c r="A327" s="11" t="str">
        <x:v>688302.SH</x:v>
      </x:c>
      <x:c r="B327" s="11" t="str">
        <x:v>2026年底</x:v>
      </x:c>
      <x:c r="C327" s="11" t="str">
        <x:v>hp570_global</x:v>
      </x:c>
      <x:c r="D327" s="11" t="str">
        <x:v>活动输入</x:v>
      </x:c>
      <x:c r="E327" s="11" t="n">
        <x:f>CHOOSE('假设'!$B$3,E328,E329,E330)</x:f>
        <x:v>0.06000000000000005</x:v>
      </x:c>
      <x:c r="F327" s="11" t="n">
        <x:f>CHOOSE('假设'!$B$3,F328,F329,F330)</x:f>
        <x:v>0.0656</x:v>
      </x:c>
      <x:c r="G327" s="11" t="n">
        <x:f>CHOOSE('假设'!$B$3,G328,G329,G330)</x:f>
        <x:v>1</x:v>
      </x:c>
      <x:c r="H327" s="11" t="n">
        <x:f>CHOOSE('假设'!$B$3,H328,H329,H330)</x:f>
        <x:v>0.14</x:v>
      </x:c>
      <x:c r="I327" s="11" t="n">
        <x:f>CHOOSE('假设'!$B$3,I328,I329,I330)</x:f>
        <x:v>6.8</x:v>
      </x:c>
    </x:row>
    <x:row r="328" ht="23" customHeight="1">
      <x:c r="A328" s="11" t="str">
        <x:v>688302.SH</x:v>
      </x:c>
      <x:c r="B328" s="11" t="str">
        <x:v>2026年底</x:v>
      </x:c>
      <x:c r="C328" s="11" t="str">
        <x:v>hp570_global</x:v>
      </x:c>
      <x:c r="D328" s="11" t="str">
        <x:v>悲观</x:v>
      </x:c>
      <x:c r="E328" s="16" t="n">
        <x:v>0.010000000000000009</x:v>
      </x:c>
      <x:c r="F328" s="16" t="n">
        <x:v>0.04000000000000001</x:v>
      </x:c>
      <x:c r="G328" s="16" t="n">
        <x:v>1</x:v>
      </x:c>
      <x:c r="H328" s="11" t="n">
        <x:f>H288</x:f>
        <x:v>0.18</x:v>
      </x:c>
      <x:c r="I328" s="11" t="n">
        <x:f>I288</x:f>
        <x:v>6.8</x:v>
      </x:c>
    </x:row>
    <x:row r="329" ht="23" customHeight="1">
      <x:c r="A329" s="11" t="str">
        <x:v>688302.SH</x:v>
      </x:c>
      <x:c r="B329" s="11" t="str">
        <x:v>2026年底</x:v>
      </x:c>
      <x:c r="C329" s="11" t="str">
        <x:v>hp570_global</x:v>
      </x:c>
      <x:c r="D329" s="11" t="str">
        <x:v>基准</x:v>
      </x:c>
      <x:c r="E329" s="16" t="n">
        <x:v>0.06000000000000005</x:v>
      </x:c>
      <x:c r="F329" s="16" t="n">
        <x:v>0.0656</x:v>
      </x:c>
      <x:c r="G329" s="16" t="n">
        <x:v>1</x:v>
      </x:c>
      <x:c r="H329" s="11" t="n">
        <x:f>H289</x:f>
        <x:v>0.14</x:v>
      </x:c>
      <x:c r="I329" s="11" t="n">
        <x:f>I289</x:f>
        <x:v>6.8</x:v>
      </x:c>
    </x:row>
    <x:row r="330" ht="23" customHeight="1">
      <x:c r="A330" s="11" t="str">
        <x:v>688302.SH</x:v>
      </x:c>
      <x:c r="B330" s="11" t="str">
        <x:v>2026年底</x:v>
      </x:c>
      <x:c r="C330" s="11" t="str">
        <x:v>hp570_global</x:v>
      </x:c>
      <x:c r="D330" s="11" t="str">
        <x:v>乐观</x:v>
      </x:c>
      <x:c r="E330" s="16" t="n">
        <x:v>0.17999999999999994</x:v>
      </x:c>
      <x:c r="F330" s="16" t="n">
        <x:v>0.0935</x:v>
      </x:c>
      <x:c r="G330" s="16" t="n">
        <x:v>1</x:v>
      </x:c>
      <x:c r="H330" s="11" t="n">
        <x:f>H290</x:f>
        <x:v>0.105</x:v>
      </x:c>
      <x:c r="I330" s="11" t="n">
        <x:f>I290</x:f>
        <x:v>6.8</x:v>
      </x:c>
    </x:row>
    <x:row r="331" ht="23" customHeight="1">
      <x:c r="A331" s="11" t="str">
        <x:v>688302.SH</x:v>
      </x:c>
      <x:c r="B331" s="11" t="str">
        <x:v>半年</x:v>
      </x:c>
      <x:c r="C331" s="11" t="str">
        <x:v>hc1119_later</x:v>
      </x:c>
      <x:c r="D331" s="11" t="str">
        <x:v>活动输入</x:v>
      </x:c>
      <x:c r="E331" s="11" t="n">
        <x:f>CHOOSE('假设'!$B$3,E332,E333,E334)</x:f>
        <x:v>1</x:v>
      </x:c>
      <x:c r="F331" s="11" t="n">
        <x:f>CHOOSE('假设'!$B$3,F332,F333,F334)</x:f>
        <x:v>0.25</x:v>
      </x:c>
      <x:c r="G331" s="11" t="n">
        <x:f>CHOOSE('假设'!$B$3,G332,G333,G334)</x:f>
        <x:v>1</x:v>
      </x:c>
      <x:c r="H331" s="11" t="n">
        <x:f>CHOOSE('假设'!$B$3,H332,H333,H334)</x:f>
        <x:v>0.14</x:v>
      </x:c>
      <x:c r="I331" s="11" t="n">
        <x:f>CHOOSE('假设'!$B$3,I332,I333,I334)</x:f>
        <x:v>6.8</x:v>
      </x:c>
    </x:row>
    <x:row r="332" ht="23" customHeight="1">
      <x:c r="A332" s="11" t="str">
        <x:v>688302.SH</x:v>
      </x:c>
      <x:c r="B332" s="11" t="str">
        <x:v>半年</x:v>
      </x:c>
      <x:c r="C332" s="11" t="str">
        <x:v>hc1119_later</x:v>
      </x:c>
      <x:c r="D332" s="11" t="str">
        <x:v>悲观</x:v>
      </x:c>
      <x:c r="E332" s="16" t="n">
        <x:v>1</x:v>
      </x:c>
      <x:c r="F332" s="16" t="n">
        <x:v>0.15</x:v>
      </x:c>
      <x:c r="G332" s="16" t="n">
        <x:v>1</x:v>
      </x:c>
      <x:c r="H332" s="16" t="n">
        <x:v>0.18</x:v>
      </x:c>
      <x:c r="I332" s="16" t="n">
        <x:v>6.8</x:v>
      </x:c>
    </x:row>
    <x:row r="333" ht="23" customHeight="1">
      <x:c r="A333" s="11" t="str">
        <x:v>688302.SH</x:v>
      </x:c>
      <x:c r="B333" s="11" t="str">
        <x:v>半年</x:v>
      </x:c>
      <x:c r="C333" s="11" t="str">
        <x:v>hc1119_later</x:v>
      </x:c>
      <x:c r="D333" s="11" t="str">
        <x:v>基准</x:v>
      </x:c>
      <x:c r="E333" s="16" t="n">
        <x:v>1</x:v>
      </x:c>
      <x:c r="F333" s="16" t="n">
        <x:v>0.25</x:v>
      </x:c>
      <x:c r="G333" s="16" t="n">
        <x:v>1</x:v>
      </x:c>
      <x:c r="H333" s="16" t="n">
        <x:v>0.14</x:v>
      </x:c>
      <x:c r="I333" s="16" t="n">
        <x:v>6.8</x:v>
      </x:c>
    </x:row>
    <x:row r="334" ht="23" customHeight="1">
      <x:c r="A334" s="11" t="str">
        <x:v>688302.SH</x:v>
      </x:c>
      <x:c r="B334" s="11" t="str">
        <x:v>半年</x:v>
      </x:c>
      <x:c r="C334" s="11" t="str">
        <x:v>hc1119_later</x:v>
      </x:c>
      <x:c r="D334" s="11" t="str">
        <x:v>乐观</x:v>
      </x:c>
      <x:c r="E334" s="16" t="n">
        <x:v>1</x:v>
      </x:c>
      <x:c r="F334" s="16" t="n">
        <x:v>0.35</x:v>
      </x:c>
      <x:c r="G334" s="16" t="n">
        <x:v>1</x:v>
      </x:c>
      <x:c r="H334" s="16" t="n">
        <x:v>0.105</x:v>
      </x:c>
      <x:c r="I334" s="16" t="n">
        <x:v>6.8</x:v>
      </x:c>
    </x:row>
    <x:row r="335" ht="23" customHeight="1">
      <x:c r="A335" s="11" t="str">
        <x:v>688302.SH</x:v>
      </x:c>
      <x:c r="B335" s="11" t="str">
        <x:v>半年</x:v>
      </x:c>
      <x:c r="C335" s="11" t="str">
        <x:v>hc1119_bcr</x:v>
      </x:c>
      <x:c r="D335" s="11" t="str">
        <x:v>活动输入</x:v>
      </x:c>
      <x:c r="E335" s="11" t="n">
        <x:f>CHOOSE('假设'!$B$3,E336,E337,E338)</x:f>
        <x:v>0.4555</x:v>
      </x:c>
      <x:c r="F335" s="11" t="n">
        <x:f>CHOOSE('假设'!$B$3,F336,F337,F338)</x:f>
        <x:v>0.25</x:v>
      </x:c>
      <x:c r="G335" s="11" t="n">
        <x:f>CHOOSE('假设'!$B$3,G336,G337,G338)</x:f>
        <x:v>1</x:v>
      </x:c>
      <x:c r="H335" s="11" t="n">
        <x:f>CHOOSE('假设'!$B$3,H336,H337,H338)</x:f>
        <x:v>0.14</x:v>
      </x:c>
      <x:c r="I335" s="11" t="n">
        <x:f>CHOOSE('假设'!$B$3,I336,I337,I338)</x:f>
        <x:v>6.8</x:v>
      </x:c>
    </x:row>
    <x:row r="336" ht="23" customHeight="1">
      <x:c r="A336" s="11" t="str">
        <x:v>688302.SH</x:v>
      </x:c>
      <x:c r="B336" s="11" t="str">
        <x:v>半年</x:v>
      </x:c>
      <x:c r="C336" s="11" t="str">
        <x:v>hc1119_bcr</x:v>
      </x:c>
      <x:c r="D336" s="11" t="str">
        <x:v>悲观</x:v>
      </x:c>
      <x:c r="E336" s="16" t="n">
        <x:v>0.15000000000000002</x:v>
      </x:c>
      <x:c r="F336" s="16" t="n">
        <x:v>0.15</x:v>
      </x:c>
      <x:c r="G336" s="16" t="n">
        <x:v>1</x:v>
      </x:c>
      <x:c r="H336" s="11" t="n">
        <x:f>H332</x:f>
        <x:v>0.18</x:v>
      </x:c>
      <x:c r="I336" s="11" t="n">
        <x:f>I332</x:f>
        <x:v>6.8</x:v>
      </x:c>
    </x:row>
    <x:row r="337" ht="23" customHeight="1">
      <x:c r="A337" s="11" t="str">
        <x:v>688302.SH</x:v>
      </x:c>
      <x:c r="B337" s="11" t="str">
        <x:v>半年</x:v>
      </x:c>
      <x:c r="C337" s="11" t="str">
        <x:v>hc1119_bcr</x:v>
      </x:c>
      <x:c r="D337" s="11" t="str">
        <x:v>基准</x:v>
      </x:c>
      <x:c r="E337" s="16" t="n">
        <x:v>0.4555</x:v>
      </x:c>
      <x:c r="F337" s="16" t="n">
        <x:v>0.25</x:v>
      </x:c>
      <x:c r="G337" s="16" t="n">
        <x:v>1</x:v>
      </x:c>
      <x:c r="H337" s="11" t="n">
        <x:f>H333</x:f>
        <x:v>0.14</x:v>
      </x:c>
      <x:c r="I337" s="11" t="n">
        <x:f>I333</x:f>
        <x:v>6.8</x:v>
      </x:c>
    </x:row>
    <x:row r="338" ht="23" customHeight="1">
      <x:c r="A338" s="11" t="str">
        <x:v>688302.SH</x:v>
      </x:c>
      <x:c r="B338" s="11" t="str">
        <x:v>半年</x:v>
      </x:c>
      <x:c r="C338" s="11" t="str">
        <x:v>hc1119_bcr</x:v>
      </x:c>
      <x:c r="D338" s="11" t="str">
        <x:v>乐观</x:v>
      </x:c>
      <x:c r="E338" s="16" t="n">
        <x:v>0.709</x:v>
      </x:c>
      <x:c r="F338" s="16" t="n">
        <x:v>0.35</x:v>
      </x:c>
      <x:c r="G338" s="16" t="n">
        <x:v>1</x:v>
      </x:c>
      <x:c r="H338" s="11" t="n">
        <x:f>H334</x:f>
        <x:v>0.105</x:v>
      </x:c>
      <x:c r="I338" s="11" t="n">
        <x:f>I334</x:f>
        <x:v>6.8</x:v>
      </x:c>
    </x:row>
    <x:row r="339" ht="23" customHeight="1">
      <x:c r="A339" s="11" t="str">
        <x:v>688302.SH</x:v>
      </x:c>
      <x:c r="B339" s="11" t="str">
        <x:v>半年</x:v>
      </x:c>
      <x:c r="C339" s="11" t="str">
        <x:v>hp518_combo_cn</x:v>
      </x:c>
      <x:c r="D339" s="11" t="str">
        <x:v>活动输入</x:v>
      </x:c>
      <x:c r="E339" s="11" t="n">
        <x:f>CHOOSE('假设'!$B$3,E340,E341,E342)</x:f>
        <x:v>0.2278</x:v>
      </x:c>
      <x:c r="F339" s="11" t="n">
        <x:f>CHOOSE('假设'!$B$3,F340,F341,F342)</x:f>
        <x:v>0.23</x:v>
      </x:c>
      <x:c r="G339" s="11" t="n">
        <x:f>CHOOSE('假设'!$B$3,G340,G341,G342)</x:f>
        <x:v>1</x:v>
      </x:c>
      <x:c r="H339" s="11" t="n">
        <x:f>CHOOSE('假设'!$B$3,H340,H341,H342)</x:f>
        <x:v>0.14</x:v>
      </x:c>
      <x:c r="I339" s="11" t="n">
        <x:f>CHOOSE('假设'!$B$3,I340,I341,I342)</x:f>
        <x:v>6.8</x:v>
      </x:c>
    </x:row>
    <x:row r="340" ht="23" customHeight="1">
      <x:c r="A340" s="11" t="str">
        <x:v>688302.SH</x:v>
      </x:c>
      <x:c r="B340" s="11" t="str">
        <x:v>半年</x:v>
      </x:c>
      <x:c r="C340" s="11" t="str">
        <x:v>hp518_combo_cn</x:v>
      </x:c>
      <x:c r="D340" s="11" t="str">
        <x:v>悲观</x:v>
      </x:c>
      <x:c r="E340" s="16" t="n">
        <x:v>0.06000000000000005</x:v>
      </x:c>
      <x:c r="F340" s="16" t="n">
        <x:v>0.13</x:v>
      </x:c>
      <x:c r="G340" s="16" t="n">
        <x:v>1</x:v>
      </x:c>
      <x:c r="H340" s="11" t="n">
        <x:f>H332</x:f>
        <x:v>0.18</x:v>
      </x:c>
      <x:c r="I340" s="11" t="n">
        <x:f>I332</x:f>
        <x:v>6.8</x:v>
      </x:c>
    </x:row>
    <x:row r="341" ht="23" customHeight="1">
      <x:c r="A341" s="11" t="str">
        <x:v>688302.SH</x:v>
      </x:c>
      <x:c r="B341" s="11" t="str">
        <x:v>半年</x:v>
      </x:c>
      <x:c r="C341" s="11" t="str">
        <x:v>hp518_combo_cn</x:v>
      </x:c>
      <x:c r="D341" s="11" t="str">
        <x:v>基准</x:v>
      </x:c>
      <x:c r="E341" s="16" t="n">
        <x:v>0.2278</x:v>
      </x:c>
      <x:c r="F341" s="16" t="n">
        <x:v>0.23</x:v>
      </x:c>
      <x:c r="G341" s="16" t="n">
        <x:v>1</x:v>
      </x:c>
      <x:c r="H341" s="11" t="n">
        <x:f>H333</x:f>
        <x:v>0.14</x:v>
      </x:c>
      <x:c r="I341" s="11" t="n">
        <x:f>I333</x:f>
        <x:v>6.8</x:v>
      </x:c>
    </x:row>
    <x:row r="342" ht="23" customHeight="1">
      <x:c r="A342" s="11" t="str">
        <x:v>688302.SH</x:v>
      </x:c>
      <x:c r="B342" s="11" t="str">
        <x:v>半年</x:v>
      </x:c>
      <x:c r="C342" s="11" t="str">
        <x:v>hp518_combo_cn</x:v>
      </x:c>
      <x:c r="D342" s="11" t="str">
        <x:v>乐观</x:v>
      </x:c>
      <x:c r="E342" s="16" t="n">
        <x:v>0.4665</x:v>
      </x:c>
      <x:c r="F342" s="16" t="n">
        <x:v>0.33</x:v>
      </x:c>
      <x:c r="G342" s="16" t="n">
        <x:v>1</x:v>
      </x:c>
      <x:c r="H342" s="11" t="n">
        <x:f>H334</x:f>
        <x:v>0.105</x:v>
      </x:c>
      <x:c r="I342" s="11" t="n">
        <x:f>I334</x:f>
        <x:v>6.8</x:v>
      </x:c>
    </x:row>
    <x:row r="343" ht="23" customHeight="1">
      <x:c r="A343" s="11" t="str">
        <x:v>688302.SH</x:v>
      </x:c>
      <x:c r="B343" s="11" t="str">
        <x:v>半年</x:v>
      </x:c>
      <x:c r="C343" s="11" t="str">
        <x:v>hp518_combo_global</x:v>
      </x:c>
      <x:c r="D343" s="11" t="str">
        <x:v>活动输入</x:v>
      </x:c>
      <x:c r="E343" s="11" t="n">
        <x:f>CHOOSE('假设'!$B$3,E344,E345,E346)</x:f>
        <x:v>0.15849999999999997</x:v>
      </x:c>
      <x:c r="F343" s="11" t="n">
        <x:f>CHOOSE('假设'!$B$3,F344,F345,F346)</x:f>
        <x:v>0.0738</x:v>
      </x:c>
      <x:c r="G343" s="11" t="n">
        <x:f>CHOOSE('假设'!$B$3,G344,G345,G346)</x:f>
        <x:v>1</x:v>
      </x:c>
      <x:c r="H343" s="11" t="n">
        <x:f>CHOOSE('假设'!$B$3,H344,H345,H346)</x:f>
        <x:v>0.14</x:v>
      </x:c>
      <x:c r="I343" s="11" t="n">
        <x:f>CHOOSE('假设'!$B$3,I344,I345,I346)</x:f>
        <x:v>6.8</x:v>
      </x:c>
    </x:row>
    <x:row r="344" ht="23" customHeight="1">
      <x:c r="A344" s="11" t="str">
        <x:v>688302.SH</x:v>
      </x:c>
      <x:c r="B344" s="11" t="str">
        <x:v>半年</x:v>
      </x:c>
      <x:c r="C344" s="11" t="str">
        <x:v>hp518_combo_global</x:v>
      </x:c>
      <x:c r="D344" s="11" t="str">
        <x:v>悲观</x:v>
      </x:c>
      <x:c r="E344" s="16" t="n">
        <x:v>0.040000000000000036</x:v>
      </x:c>
      <x:c r="F344" s="16" t="n">
        <x:v>0.048</x:v>
      </x:c>
      <x:c r="G344" s="16" t="n">
        <x:v>1</x:v>
      </x:c>
      <x:c r="H344" s="11" t="n">
        <x:f>H332</x:f>
        <x:v>0.18</x:v>
      </x:c>
      <x:c r="I344" s="11" t="n">
        <x:f>I332</x:f>
        <x:v>6.8</x:v>
      </x:c>
    </x:row>
    <x:row r="345" ht="23" customHeight="1">
      <x:c r="A345" s="11" t="str">
        <x:v>688302.SH</x:v>
      </x:c>
      <x:c r="B345" s="11" t="str">
        <x:v>半年</x:v>
      </x:c>
      <x:c r="C345" s="11" t="str">
        <x:v>hp518_combo_global</x:v>
      </x:c>
      <x:c r="D345" s="11" t="str">
        <x:v>基准</x:v>
      </x:c>
      <x:c r="E345" s="16" t="n">
        <x:v>0.15849999999999997</x:v>
      </x:c>
      <x:c r="F345" s="16" t="n">
        <x:v>0.0738</x:v>
      </x:c>
      <x:c r="G345" s="16" t="n">
        <x:v>1</x:v>
      </x:c>
      <x:c r="H345" s="11" t="n">
        <x:f>H333</x:f>
        <x:v>0.14</x:v>
      </x:c>
      <x:c r="I345" s="11" t="n">
        <x:f>I333</x:f>
        <x:v>6.8</x:v>
      </x:c>
    </x:row>
    <x:row r="346" ht="23" customHeight="1">
      <x:c r="A346" s="11" t="str">
        <x:v>688302.SH</x:v>
      </x:c>
      <x:c r="B346" s="11" t="str">
        <x:v>半年</x:v>
      </x:c>
      <x:c r="C346" s="11" t="str">
        <x:v>hp518_combo_global</x:v>
      </x:c>
      <x:c r="D346" s="11" t="str">
        <x:v>乐观</x:v>
      </x:c>
      <x:c r="E346" s="16" t="n">
        <x:v>0.36950000000000005</x:v>
      </x:c>
      <x:c r="F346" s="16" t="n">
        <x:v>0.102</x:v>
      </x:c>
      <x:c r="G346" s="16" t="n">
        <x:v>1</x:v>
      </x:c>
      <x:c r="H346" s="11" t="n">
        <x:f>H334</x:f>
        <x:v>0.105</x:v>
      </x:c>
      <x:c r="I346" s="11" t="n">
        <x:f>I334</x:f>
        <x:v>6.8</x:v>
      </x:c>
    </x:row>
    <x:row r="347" ht="23" customHeight="1">
      <x:c r="A347" s="11" t="str">
        <x:v>688302.SH</x:v>
      </x:c>
      <x:c r="B347" s="11" t="str">
        <x:v>半年</x:v>
      </x:c>
      <x:c r="C347" s="11" t="str">
        <x:v>hp518_tnbc_cn</x:v>
      </x:c>
      <x:c r="D347" s="11" t="str">
        <x:v>活动输入</x:v>
      </x:c>
      <x:c r="E347" s="11" t="n">
        <x:f>CHOOSE('假设'!$B$3,E348,E349,E350)</x:f>
        <x:v>0.12880000000000003</x:v>
      </x:c>
      <x:c r="F347" s="11" t="n">
        <x:f>CHOOSE('假设'!$B$3,F348,F349,F350)</x:f>
        <x:v>0.23</x:v>
      </x:c>
      <x:c r="G347" s="11" t="n">
        <x:f>CHOOSE('假设'!$B$3,G348,G349,G350)</x:f>
        <x:v>1</x:v>
      </x:c>
      <x:c r="H347" s="11" t="n">
        <x:f>CHOOSE('假设'!$B$3,H348,H349,H350)</x:f>
        <x:v>0.14</x:v>
      </x:c>
      <x:c r="I347" s="11" t="n">
        <x:f>CHOOSE('假设'!$B$3,I348,I349,I350)</x:f>
        <x:v>6.8</x:v>
      </x:c>
    </x:row>
    <x:row r="348" ht="23" customHeight="1">
      <x:c r="A348" s="11" t="str">
        <x:v>688302.SH</x:v>
      </x:c>
      <x:c r="B348" s="11" t="str">
        <x:v>半年</x:v>
      </x:c>
      <x:c r="C348" s="11" t="str">
        <x:v>hp518_tnbc_cn</x:v>
      </x:c>
      <x:c r="D348" s="11" t="str">
        <x:v>悲观</x:v>
      </x:c>
      <x:c r="E348" s="16" t="n">
        <x:v>0.030000000000000027</x:v>
      </x:c>
      <x:c r="F348" s="16" t="n">
        <x:v>0.13</x:v>
      </x:c>
      <x:c r="G348" s="16" t="n">
        <x:v>1</x:v>
      </x:c>
      <x:c r="H348" s="11" t="n">
        <x:f>H332</x:f>
        <x:v>0.18</x:v>
      </x:c>
      <x:c r="I348" s="11" t="n">
        <x:f>I332</x:f>
        <x:v>6.8</x:v>
      </x:c>
    </x:row>
    <x:row r="349" ht="23" customHeight="1">
      <x:c r="A349" s="11" t="str">
        <x:v>688302.SH</x:v>
      </x:c>
      <x:c r="B349" s="11" t="str">
        <x:v>半年</x:v>
      </x:c>
      <x:c r="C349" s="11" t="str">
        <x:v>hp518_tnbc_cn</x:v>
      </x:c>
      <x:c r="D349" s="11" t="str">
        <x:v>基准</x:v>
      </x:c>
      <x:c r="E349" s="16" t="n">
        <x:v>0.12880000000000003</x:v>
      </x:c>
      <x:c r="F349" s="16" t="n">
        <x:v>0.23</x:v>
      </x:c>
      <x:c r="G349" s="16" t="n">
        <x:v>1</x:v>
      </x:c>
      <x:c r="H349" s="11" t="n">
        <x:f>H333</x:f>
        <x:v>0.14</x:v>
      </x:c>
      <x:c r="I349" s="11" t="n">
        <x:f>I333</x:f>
        <x:v>6.8</x:v>
      </x:c>
    </x:row>
    <x:row r="350" ht="23" customHeight="1">
      <x:c r="A350" s="11" t="str">
        <x:v>688302.SH</x:v>
      </x:c>
      <x:c r="B350" s="11" t="str">
        <x:v>半年</x:v>
      </x:c>
      <x:c r="C350" s="11" t="str">
        <x:v>hp518_tnbc_cn</x:v>
      </x:c>
      <x:c r="D350" s="11" t="str">
        <x:v>乐观</x:v>
      </x:c>
      <x:c r="E350" s="16" t="n">
        <x:v>0.32100000000000006</x:v>
      </x:c>
      <x:c r="F350" s="16" t="n">
        <x:v>0.33</x:v>
      </x:c>
      <x:c r="G350" s="16" t="n">
        <x:v>1</x:v>
      </x:c>
      <x:c r="H350" s="11" t="n">
        <x:f>H334</x:f>
        <x:v>0.105</x:v>
      </x:c>
      <x:c r="I350" s="11" t="n">
        <x:f>I334</x:f>
        <x:v>6.8</x:v>
      </x:c>
    </x:row>
    <x:row r="351" ht="23" customHeight="1">
      <x:c r="A351" s="11" t="str">
        <x:v>688302.SH</x:v>
      </x:c>
      <x:c r="B351" s="11" t="str">
        <x:v>半年</x:v>
      </x:c>
      <x:c r="C351" s="11" t="str">
        <x:v>hp518_tnbc_global</x:v>
      </x:c>
      <x:c r="D351" s="11" t="str">
        <x:v>活动输入</x:v>
      </x:c>
      <x:c r="E351" s="11" t="n">
        <x:f>CHOOSE('假设'!$B$3,E352,E353,E354)</x:f>
        <x:v>0.10899999999999999</x:v>
      </x:c>
      <x:c r="F351" s="11" t="n">
        <x:f>CHOOSE('假设'!$B$3,F352,F353,F354)</x:f>
        <x:v>0.0738</x:v>
      </x:c>
      <x:c r="G351" s="11" t="n">
        <x:f>CHOOSE('假设'!$B$3,G352,G353,G354)</x:f>
        <x:v>1</x:v>
      </x:c>
      <x:c r="H351" s="11" t="n">
        <x:f>CHOOSE('假设'!$B$3,H352,H353,H354)</x:f>
        <x:v>0.14</x:v>
      </x:c>
      <x:c r="I351" s="11" t="n">
        <x:f>CHOOSE('假设'!$B$3,I352,I353,I354)</x:f>
        <x:v>6.8</x:v>
      </x:c>
    </x:row>
    <x:row r="352" ht="23" customHeight="1">
      <x:c r="A352" s="11" t="str">
        <x:v>688302.SH</x:v>
      </x:c>
      <x:c r="B352" s="11" t="str">
        <x:v>半年</x:v>
      </x:c>
      <x:c r="C352" s="11" t="str">
        <x:v>hp518_tnbc_global</x:v>
      </x:c>
      <x:c r="D352" s="11" t="str">
        <x:v>悲观</x:v>
      </x:c>
      <x:c r="E352" s="16" t="n">
        <x:v>0.020000000000000018</x:v>
      </x:c>
      <x:c r="F352" s="16" t="n">
        <x:v>0.048</x:v>
      </x:c>
      <x:c r="G352" s="16" t="n">
        <x:v>1</x:v>
      </x:c>
      <x:c r="H352" s="11" t="n">
        <x:f>H332</x:f>
        <x:v>0.18</x:v>
      </x:c>
      <x:c r="I352" s="11" t="n">
        <x:f>I332</x:f>
        <x:v>6.8</x:v>
      </x:c>
    </x:row>
    <x:row r="353" ht="23" customHeight="1">
      <x:c r="A353" s="11" t="str">
        <x:v>688302.SH</x:v>
      </x:c>
      <x:c r="B353" s="11" t="str">
        <x:v>半年</x:v>
      </x:c>
      <x:c r="C353" s="11" t="str">
        <x:v>hp518_tnbc_global</x:v>
      </x:c>
      <x:c r="D353" s="11" t="str">
        <x:v>基准</x:v>
      </x:c>
      <x:c r="E353" s="16" t="n">
        <x:v>0.10899999999999999</x:v>
      </x:c>
      <x:c r="F353" s="16" t="n">
        <x:v>0.0738</x:v>
      </x:c>
      <x:c r="G353" s="16" t="n">
        <x:v>1</x:v>
      </x:c>
      <x:c r="H353" s="11" t="n">
        <x:f>H333</x:f>
        <x:v>0.14</x:v>
      </x:c>
      <x:c r="I353" s="11" t="n">
        <x:f>I333</x:f>
        <x:v>6.8</x:v>
      </x:c>
    </x:row>
    <x:row r="354" ht="23" customHeight="1">
      <x:c r="A354" s="11" t="str">
        <x:v>688302.SH</x:v>
      </x:c>
      <x:c r="B354" s="11" t="str">
        <x:v>半年</x:v>
      </x:c>
      <x:c r="C354" s="11" t="str">
        <x:v>hp518_tnbc_global</x:v>
      </x:c>
      <x:c r="D354" s="11" t="str">
        <x:v>乐观</x:v>
      </x:c>
      <x:c r="E354" s="16" t="n">
        <x:v>0.27249999999999996</x:v>
      </x:c>
      <x:c r="F354" s="16" t="n">
        <x:v>0.102</x:v>
      </x:c>
      <x:c r="G354" s="16" t="n">
        <x:v>1</x:v>
      </x:c>
      <x:c r="H354" s="11" t="n">
        <x:f>H334</x:f>
        <x:v>0.105</x:v>
      </x:c>
      <x:c r="I354" s="11" t="n">
        <x:f>I334</x:f>
        <x:v>6.8</x:v>
      </x:c>
    </x:row>
    <x:row r="355" ht="23" customHeight="1">
      <x:c r="A355" s="11" t="str">
        <x:v>688302.SH</x:v>
      </x:c>
      <x:c r="B355" s="11" t="str">
        <x:v>半年</x:v>
      </x:c>
      <x:c r="C355" s="11" t="str">
        <x:v>hp515_mash_cn</x:v>
      </x:c>
      <x:c r="D355" s="11" t="str">
        <x:v>活动输入</x:v>
      </x:c>
      <x:c r="E355" s="11" t="n">
        <x:f>CHOOSE('假设'!$B$3,E356,E357,E358)</x:f>
        <x:v>0.3862</x:v>
      </x:c>
      <x:c r="F355" s="11" t="n">
        <x:f>CHOOSE('假设'!$B$3,F356,F357,F358)</x:f>
        <x:v>0.25</x:v>
      </x:c>
      <x:c r="G355" s="11" t="n">
        <x:f>CHOOSE('假设'!$B$3,G356,G357,G358)</x:f>
        <x:v>1</x:v>
      </x:c>
      <x:c r="H355" s="11" t="n">
        <x:f>CHOOSE('假设'!$B$3,H356,H357,H358)</x:f>
        <x:v>0.14</x:v>
      </x:c>
      <x:c r="I355" s="11" t="n">
        <x:f>CHOOSE('假设'!$B$3,I356,I357,I358)</x:f>
        <x:v>6.8</x:v>
      </x:c>
    </x:row>
    <x:row r="356" ht="23" customHeight="1">
      <x:c r="A356" s="11" t="str">
        <x:v>688302.SH</x:v>
      </x:c>
      <x:c r="B356" s="11" t="str">
        <x:v>半年</x:v>
      </x:c>
      <x:c r="C356" s="11" t="str">
        <x:v>hp515_mash_cn</x:v>
      </x:c>
      <x:c r="D356" s="11" t="str">
        <x:v>悲观</x:v>
      </x:c>
      <x:c r="E356" s="16" t="n">
        <x:v>0.12</x:v>
      </x:c>
      <x:c r="F356" s="16" t="n">
        <x:v>0.15</x:v>
      </x:c>
      <x:c r="G356" s="16" t="n">
        <x:v>1</x:v>
      </x:c>
      <x:c r="H356" s="11" t="n">
        <x:f>H332</x:f>
        <x:v>0.18</x:v>
      </x:c>
      <x:c r="I356" s="11" t="n">
        <x:f>I332</x:f>
        <x:v>6.8</x:v>
      </x:c>
    </x:row>
    <x:row r="357" ht="23" customHeight="1">
      <x:c r="A357" s="11" t="str">
        <x:v>688302.SH</x:v>
      </x:c>
      <x:c r="B357" s="11" t="str">
        <x:v>半年</x:v>
      </x:c>
      <x:c r="C357" s="11" t="str">
        <x:v>hp515_mash_cn</x:v>
      </x:c>
      <x:c r="D357" s="11" t="str">
        <x:v>基准</x:v>
      </x:c>
      <x:c r="E357" s="16" t="n">
        <x:v>0.3862</x:v>
      </x:c>
      <x:c r="F357" s="16" t="n">
        <x:v>0.25</x:v>
      </x:c>
      <x:c r="G357" s="16" t="n">
        <x:v>1</x:v>
      </x:c>
      <x:c r="H357" s="11" t="n">
        <x:f>H333</x:f>
        <x:v>0.14</x:v>
      </x:c>
      <x:c r="I357" s="11" t="n">
        <x:f>I333</x:f>
        <x:v>6.8</x:v>
      </x:c>
    </x:row>
    <x:row r="358" ht="23" customHeight="1">
      <x:c r="A358" s="11" t="str">
        <x:v>688302.SH</x:v>
      </x:c>
      <x:c r="B358" s="11" t="str">
        <x:v>半年</x:v>
      </x:c>
      <x:c r="C358" s="11" t="str">
        <x:v>hp515_mash_cn</x:v>
      </x:c>
      <x:c r="D358" s="11" t="str">
        <x:v>乐观</x:v>
      </x:c>
      <x:c r="E358" s="16" t="n">
        <x:v>0.612</x:v>
      </x:c>
      <x:c r="F358" s="16" t="n">
        <x:v>0.35</x:v>
      </x:c>
      <x:c r="G358" s="16" t="n">
        <x:v>1</x:v>
      </x:c>
      <x:c r="H358" s="11" t="n">
        <x:f>H334</x:f>
        <x:v>0.105</x:v>
      </x:c>
      <x:c r="I358" s="11" t="n">
        <x:f>I334</x:f>
        <x:v>6.8</x:v>
      </x:c>
    </x:row>
    <x:row r="359" ht="23" customHeight="1">
      <x:c r="A359" s="11" t="str">
        <x:v>688302.SH</x:v>
      </x:c>
      <x:c r="B359" s="11" t="str">
        <x:v>半年</x:v>
      </x:c>
      <x:c r="C359" s="11" t="str">
        <x:v>hp515_mash_global</x:v>
      </x:c>
      <x:c r="D359" s="11" t="str">
        <x:v>活动输入</x:v>
      </x:c>
      <x:c r="E359" s="11" t="n">
        <x:f>CHOOSE('假设'!$B$3,E360,E361,E362)</x:f>
        <x:v>0.25750000000000006</x:v>
      </x:c>
      <x:c r="F359" s="11" t="n">
        <x:f>CHOOSE('假设'!$B$3,F360,F361,F362)</x:f>
        <x:v>0.0738</x:v>
      </x:c>
      <x:c r="G359" s="11" t="n">
        <x:f>CHOOSE('假设'!$B$3,G360,G361,G362)</x:f>
        <x:v>1</x:v>
      </x:c>
      <x:c r="H359" s="11" t="n">
        <x:f>CHOOSE('假设'!$B$3,H360,H361,H362)</x:f>
        <x:v>0.14</x:v>
      </x:c>
      <x:c r="I359" s="11" t="n">
        <x:f>CHOOSE('假设'!$B$3,I360,I361,I362)</x:f>
        <x:v>6.8</x:v>
      </x:c>
    </x:row>
    <x:row r="360" ht="23" customHeight="1">
      <x:c r="A360" s="11" t="str">
        <x:v>688302.SH</x:v>
      </x:c>
      <x:c r="B360" s="11" t="str">
        <x:v>半年</x:v>
      </x:c>
      <x:c r="C360" s="11" t="str">
        <x:v>hp515_mash_global</x:v>
      </x:c>
      <x:c r="D360" s="11" t="str">
        <x:v>悲观</x:v>
      </x:c>
      <x:c r="E360" s="16" t="n">
        <x:v>0.06000000000000005</x:v>
      </x:c>
      <x:c r="F360" s="16" t="n">
        <x:v>0.048</x:v>
      </x:c>
      <x:c r="G360" s="16" t="n">
        <x:v>1</x:v>
      </x:c>
      <x:c r="H360" s="11" t="n">
        <x:f>H332</x:f>
        <x:v>0.18</x:v>
      </x:c>
      <x:c r="I360" s="11" t="n">
        <x:f>I332</x:f>
        <x:v>6.8</x:v>
      </x:c>
    </x:row>
    <x:row r="361" ht="23" customHeight="1">
      <x:c r="A361" s="11" t="str">
        <x:v>688302.SH</x:v>
      </x:c>
      <x:c r="B361" s="11" t="str">
        <x:v>半年</x:v>
      </x:c>
      <x:c r="C361" s="11" t="str">
        <x:v>hp515_mash_global</x:v>
      </x:c>
      <x:c r="D361" s="11" t="str">
        <x:v>基准</x:v>
      </x:c>
      <x:c r="E361" s="16" t="n">
        <x:v>0.25750000000000006</x:v>
      </x:c>
      <x:c r="F361" s="16" t="n">
        <x:v>0.0738</x:v>
      </x:c>
      <x:c r="G361" s="16" t="n">
        <x:v>1</x:v>
      </x:c>
      <x:c r="H361" s="11" t="n">
        <x:f>H333</x:f>
        <x:v>0.14</x:v>
      </x:c>
      <x:c r="I361" s="11" t="n">
        <x:f>I333</x:f>
        <x:v>6.8</x:v>
      </x:c>
    </x:row>
    <x:row r="362" ht="23" customHeight="1">
      <x:c r="A362" s="11" t="str">
        <x:v>688302.SH</x:v>
      </x:c>
      <x:c r="B362" s="11" t="str">
        <x:v>半年</x:v>
      </x:c>
      <x:c r="C362" s="11" t="str">
        <x:v>hp515_mash_global</x:v>
      </x:c>
      <x:c r="D362" s="11" t="str">
        <x:v>乐观</x:v>
      </x:c>
      <x:c r="E362" s="16" t="n">
        <x:v>0.515</x:v>
      </x:c>
      <x:c r="F362" s="16" t="n">
        <x:v>0.102</x:v>
      </x:c>
      <x:c r="G362" s="16" t="n">
        <x:v>1</x:v>
      </x:c>
      <x:c r="H362" s="11" t="n">
        <x:f>H334</x:f>
        <x:v>0.105</x:v>
      </x:c>
      <x:c r="I362" s="11" t="n">
        <x:f>I334</x:f>
        <x:v>6.8</x:v>
      </x:c>
    </x:row>
    <x:row r="363" ht="23" customHeight="1">
      <x:c r="A363" s="11" t="str">
        <x:v>688302.SH</x:v>
      </x:c>
      <x:c r="B363" s="11" t="str">
        <x:v>半年</x:v>
      </x:c>
      <x:c r="C363" s="11" t="str">
        <x:v>hp515_obesity_cn</x:v>
      </x:c>
      <x:c r="D363" s="11" t="str">
        <x:v>活动输入</x:v>
      </x:c>
      <x:c r="E363" s="11" t="n">
        <x:f>CHOOSE('假设'!$B$3,E364,E365,E366)</x:f>
        <x:v>0.15849999999999997</x:v>
      </x:c>
      <x:c r="F363" s="11" t="n">
        <x:f>CHOOSE('假设'!$B$3,F364,F365,F366)</x:f>
        <x:v>0.18</x:v>
      </x:c>
      <x:c r="G363" s="11" t="n">
        <x:f>CHOOSE('假设'!$B$3,G364,G365,G366)</x:f>
        <x:v>1</x:v>
      </x:c>
      <x:c r="H363" s="11" t="n">
        <x:f>CHOOSE('假设'!$B$3,H364,H365,H366)</x:f>
        <x:v>0.14</x:v>
      </x:c>
      <x:c r="I363" s="11" t="n">
        <x:f>CHOOSE('假设'!$B$3,I364,I365,I366)</x:f>
        <x:v>6.8</x:v>
      </x:c>
    </x:row>
    <x:row r="364" ht="23" customHeight="1">
      <x:c r="A364" s="11" t="str">
        <x:v>688302.SH</x:v>
      </x:c>
      <x:c r="B364" s="11" t="str">
        <x:v>半年</x:v>
      </x:c>
      <x:c r="C364" s="11" t="str">
        <x:v>hp515_obesity_cn</x:v>
      </x:c>
      <x:c r="D364" s="11" t="str">
        <x:v>悲观</x:v>
      </x:c>
      <x:c r="E364" s="16" t="n">
        <x:v>0.040000000000000036</x:v>
      </x:c>
      <x:c r="F364" s="16" t="n">
        <x:v>0.1</x:v>
      </x:c>
      <x:c r="G364" s="16" t="n">
        <x:v>1</x:v>
      </x:c>
      <x:c r="H364" s="11" t="n">
        <x:f>H332</x:f>
        <x:v>0.18</x:v>
      </x:c>
      <x:c r="I364" s="11" t="n">
        <x:f>I332</x:f>
        <x:v>6.8</x:v>
      </x:c>
    </x:row>
    <x:row r="365" ht="23" customHeight="1">
      <x:c r="A365" s="11" t="str">
        <x:v>688302.SH</x:v>
      </x:c>
      <x:c r="B365" s="11" t="str">
        <x:v>半年</x:v>
      </x:c>
      <x:c r="C365" s="11" t="str">
        <x:v>hp515_obesity_cn</x:v>
      </x:c>
      <x:c r="D365" s="11" t="str">
        <x:v>基准</x:v>
      </x:c>
      <x:c r="E365" s="16" t="n">
        <x:v>0.15849999999999997</x:v>
      </x:c>
      <x:c r="F365" s="16" t="n">
        <x:v>0.18</x:v>
      </x:c>
      <x:c r="G365" s="16" t="n">
        <x:v>1</x:v>
      </x:c>
      <x:c r="H365" s="11" t="n">
        <x:f>H333</x:f>
        <x:v>0.14</x:v>
      </x:c>
      <x:c r="I365" s="11" t="n">
        <x:f>I333</x:f>
        <x:v>6.8</x:v>
      </x:c>
    </x:row>
    <x:row r="366" ht="23" customHeight="1">
      <x:c r="A366" s="11" t="str">
        <x:v>688302.SH</x:v>
      </x:c>
      <x:c r="B366" s="11" t="str">
        <x:v>半年</x:v>
      </x:c>
      <x:c r="C366" s="11" t="str">
        <x:v>hp515_obesity_cn</x:v>
      </x:c>
      <x:c r="D366" s="11" t="str">
        <x:v>乐观</x:v>
      </x:c>
      <x:c r="E366" s="16" t="n">
        <x:v>0.36950000000000005</x:v>
      </x:c>
      <x:c r="F366" s="16" t="n">
        <x:v>0.28</x:v>
      </x:c>
      <x:c r="G366" s="16" t="n">
        <x:v>1</x:v>
      </x:c>
      <x:c r="H366" s="11" t="n">
        <x:f>H334</x:f>
        <x:v>0.105</x:v>
      </x:c>
      <x:c r="I366" s="11" t="n">
        <x:f>I334</x:f>
        <x:v>6.8</x:v>
      </x:c>
    </x:row>
    <x:row r="367" ht="23" customHeight="1">
      <x:c r="A367" s="11" t="str">
        <x:v>688302.SH</x:v>
      </x:c>
      <x:c r="B367" s="11" t="str">
        <x:v>半年</x:v>
      </x:c>
      <x:c r="C367" s="11" t="str">
        <x:v>hp515_obesity_global</x:v>
      </x:c>
      <x:c r="D367" s="11" t="str">
        <x:v>活动输入</x:v>
      </x:c>
      <x:c r="E367" s="11" t="n">
        <x:f>CHOOSE('假设'!$B$3,E368,E369,E370)</x:f>
        <x:v>0.10899999999999999</x:v>
      </x:c>
      <x:c r="F367" s="11" t="n">
        <x:f>CHOOSE('假设'!$B$3,F368,F369,F370)</x:f>
        <x:v>0.0656</x:v>
      </x:c>
      <x:c r="G367" s="11" t="n">
        <x:f>CHOOSE('假设'!$B$3,G368,G369,G370)</x:f>
        <x:v>1</x:v>
      </x:c>
      <x:c r="H367" s="11" t="n">
        <x:f>CHOOSE('假设'!$B$3,H368,H369,H370)</x:f>
        <x:v>0.14</x:v>
      </x:c>
      <x:c r="I367" s="11" t="n">
        <x:f>CHOOSE('假设'!$B$3,I368,I369,I370)</x:f>
        <x:v>6.8</x:v>
      </x:c>
    </x:row>
    <x:row r="368" ht="23" customHeight="1">
      <x:c r="A368" s="11" t="str">
        <x:v>688302.SH</x:v>
      </x:c>
      <x:c r="B368" s="11" t="str">
        <x:v>半年</x:v>
      </x:c>
      <x:c r="C368" s="11" t="str">
        <x:v>hp515_obesity_global</x:v>
      </x:c>
      <x:c r="D368" s="11" t="str">
        <x:v>悲观</x:v>
      </x:c>
      <x:c r="E368" s="16" t="n">
        <x:v>0.025000000000000022</x:v>
      </x:c>
      <x:c r="F368" s="16" t="n">
        <x:v>0.04000000000000001</x:v>
      </x:c>
      <x:c r="G368" s="16" t="n">
        <x:v>1</x:v>
      </x:c>
      <x:c r="H368" s="11" t="n">
        <x:f>H332</x:f>
        <x:v>0.18</x:v>
      </x:c>
      <x:c r="I368" s="11" t="n">
        <x:f>I332</x:f>
        <x:v>6.8</x:v>
      </x:c>
    </x:row>
    <x:row r="369" ht="23" customHeight="1">
      <x:c r="A369" s="11" t="str">
        <x:v>688302.SH</x:v>
      </x:c>
      <x:c r="B369" s="11" t="str">
        <x:v>半年</x:v>
      </x:c>
      <x:c r="C369" s="11" t="str">
        <x:v>hp515_obesity_global</x:v>
      </x:c>
      <x:c r="D369" s="11" t="str">
        <x:v>基准</x:v>
      </x:c>
      <x:c r="E369" s="16" t="n">
        <x:v>0.10899999999999999</x:v>
      </x:c>
      <x:c r="F369" s="16" t="n">
        <x:v>0.0656</x:v>
      </x:c>
      <x:c r="G369" s="16" t="n">
        <x:v>1</x:v>
      </x:c>
      <x:c r="H369" s="11" t="n">
        <x:f>H333</x:f>
        <x:v>0.14</x:v>
      </x:c>
      <x:c r="I369" s="11" t="n">
        <x:f>I333</x:f>
        <x:v>6.8</x:v>
      </x:c>
    </x:row>
    <x:row r="370" ht="23" customHeight="1">
      <x:c r="A370" s="11" t="str">
        <x:v>688302.SH</x:v>
      </x:c>
      <x:c r="B370" s="11" t="str">
        <x:v>半年</x:v>
      </x:c>
      <x:c r="C370" s="11" t="str">
        <x:v>hp515_obesity_global</x:v>
      </x:c>
      <x:c r="D370" s="11" t="str">
        <x:v>乐观</x:v>
      </x:c>
      <x:c r="E370" s="16" t="n">
        <x:v>0.27249999999999996</x:v>
      </x:c>
      <x:c r="F370" s="16" t="n">
        <x:v>0.0935</x:v>
      </x:c>
      <x:c r="G370" s="16" t="n">
        <x:v>1</x:v>
      </x:c>
      <x:c r="H370" s="11" t="n">
        <x:f>H334</x:f>
        <x:v>0.105</x:v>
      </x:c>
      <x:c r="I370" s="11" t="n">
        <x:f>I334</x:f>
        <x:v>6.8</x:v>
      </x:c>
    </x:row>
    <x:row r="371" ht="23" customHeight="1">
      <x:c r="A371" s="11" t="str">
        <x:v>688302.SH</x:v>
      </x:c>
      <x:c r="B371" s="11" t="str">
        <x:v>半年</x:v>
      </x:c>
      <x:c r="C371" s="11" t="str">
        <x:v>hp570_global</x:v>
      </x:c>
      <x:c r="D371" s="11" t="str">
        <x:v>活动输入</x:v>
      </x:c>
      <x:c r="E371" s="11" t="n">
        <x:f>CHOOSE('假设'!$B$3,E372,E373,E374)</x:f>
        <x:v>0.06940000000000002</x:v>
      </x:c>
      <x:c r="F371" s="11" t="n">
        <x:f>CHOOSE('假设'!$B$3,F372,F373,F374)</x:f>
        <x:v>0.0656</x:v>
      </x:c>
      <x:c r="G371" s="11" t="n">
        <x:f>CHOOSE('假设'!$B$3,G372,G373,G374)</x:f>
        <x:v>1</x:v>
      </x:c>
      <x:c r="H371" s="11" t="n">
        <x:f>CHOOSE('假设'!$B$3,H372,H373,H374)</x:f>
        <x:v>0.14</x:v>
      </x:c>
      <x:c r="I371" s="11" t="n">
        <x:f>CHOOSE('假设'!$B$3,I372,I373,I374)</x:f>
        <x:v>6.8</x:v>
      </x:c>
    </x:row>
    <x:row r="372" ht="23" customHeight="1">
      <x:c r="A372" s="11" t="str">
        <x:v>688302.SH</x:v>
      </x:c>
      <x:c r="B372" s="11" t="str">
        <x:v>半年</x:v>
      </x:c>
      <x:c r="C372" s="11" t="str">
        <x:v>hp570_global</x:v>
      </x:c>
      <x:c r="D372" s="11" t="str">
        <x:v>悲观</x:v>
      </x:c>
      <x:c r="E372" s="16" t="n">
        <x:v>0.010000000000000009</x:v>
      </x:c>
      <x:c r="F372" s="16" t="n">
        <x:v>0.04000000000000001</x:v>
      </x:c>
      <x:c r="G372" s="16" t="n">
        <x:v>1</x:v>
      </x:c>
      <x:c r="H372" s="11" t="n">
        <x:f>H332</x:f>
        <x:v>0.18</x:v>
      </x:c>
      <x:c r="I372" s="11" t="n">
        <x:f>I332</x:f>
        <x:v>6.8</x:v>
      </x:c>
    </x:row>
    <x:row r="373" ht="23" customHeight="1">
      <x:c r="A373" s="11" t="str">
        <x:v>688302.SH</x:v>
      </x:c>
      <x:c r="B373" s="11" t="str">
        <x:v>半年</x:v>
      </x:c>
      <x:c r="C373" s="11" t="str">
        <x:v>hp570_global</x:v>
      </x:c>
      <x:c r="D373" s="11" t="str">
        <x:v>基准</x:v>
      </x:c>
      <x:c r="E373" s="16" t="n">
        <x:v>0.06940000000000002</x:v>
      </x:c>
      <x:c r="F373" s="16" t="n">
        <x:v>0.0656</x:v>
      </x:c>
      <x:c r="G373" s="16" t="n">
        <x:v>1</x:v>
      </x:c>
      <x:c r="H373" s="11" t="n">
        <x:f>H333</x:f>
        <x:v>0.14</x:v>
      </x:c>
      <x:c r="I373" s="11" t="n">
        <x:f>I333</x:f>
        <x:v>6.8</x:v>
      </x:c>
    </x:row>
    <x:row r="374" ht="23" customHeight="1">
      <x:c r="A374" s="11" t="str">
        <x:v>688302.SH</x:v>
      </x:c>
      <x:c r="B374" s="11" t="str">
        <x:v>半年</x:v>
      </x:c>
      <x:c r="C374" s="11" t="str">
        <x:v>hp570_global</x:v>
      </x:c>
      <x:c r="D374" s="11" t="str">
        <x:v>乐观</x:v>
      </x:c>
      <x:c r="E374" s="16" t="n">
        <x:v>0.2046</x:v>
      </x:c>
      <x:c r="F374" s="16" t="n">
        <x:v>0.0935</x:v>
      </x:c>
      <x:c r="G374" s="16" t="n">
        <x:v>1</x:v>
      </x:c>
      <x:c r="H374" s="11" t="n">
        <x:f>H334</x:f>
        <x:v>0.105</x:v>
      </x:c>
      <x:c r="I374" s="11" t="n">
        <x:f>I334</x:f>
        <x:v>6.8</x:v>
      </x:c>
    </x:row>
    <x:row r="375" ht="23" customHeight="1">
      <x:c r="A375" s="11" t="str">
        <x:v>688302.SH</x:v>
      </x:c>
      <x:c r="B375" s="11" t="str">
        <x:v>一年</x:v>
      </x:c>
      <x:c r="C375" s="11" t="str">
        <x:v>hc1119_later</x:v>
      </x:c>
      <x:c r="D375" s="11" t="str">
        <x:v>活动输入</x:v>
      </x:c>
      <x:c r="E375" s="11" t="n">
        <x:f>CHOOSE('假设'!$B$3,E376,E377,E378)</x:f>
        <x:v>1</x:v>
      </x:c>
      <x:c r="F375" s="11" t="n">
        <x:f>CHOOSE('假设'!$B$3,F376,F377,F378)</x:f>
        <x:v>0.25</x:v>
      </x:c>
      <x:c r="G375" s="11" t="n">
        <x:f>CHOOSE('假设'!$B$3,G376,G377,G378)</x:f>
        <x:v>1</x:v>
      </x:c>
      <x:c r="H375" s="11" t="n">
        <x:f>CHOOSE('假设'!$B$3,H376,H377,H378)</x:f>
        <x:v>0.14</x:v>
      </x:c>
      <x:c r="I375" s="11" t="n">
        <x:f>CHOOSE('假设'!$B$3,I376,I377,I378)</x:f>
        <x:v>6.8</x:v>
      </x:c>
    </x:row>
    <x:row r="376" ht="23" customHeight="1">
      <x:c r="A376" s="11" t="str">
        <x:v>688302.SH</x:v>
      </x:c>
      <x:c r="B376" s="11" t="str">
        <x:v>一年</x:v>
      </x:c>
      <x:c r="C376" s="11" t="str">
        <x:v>hc1119_later</x:v>
      </x:c>
      <x:c r="D376" s="11" t="str">
        <x:v>悲观</x:v>
      </x:c>
      <x:c r="E376" s="16" t="n">
        <x:v>1</x:v>
      </x:c>
      <x:c r="F376" s="16" t="n">
        <x:v>0.15</x:v>
      </x:c>
      <x:c r="G376" s="16" t="n">
        <x:v>1</x:v>
      </x:c>
      <x:c r="H376" s="16" t="n">
        <x:v>0.18</x:v>
      </x:c>
      <x:c r="I376" s="16" t="n">
        <x:v>6.8</x:v>
      </x:c>
    </x:row>
    <x:row r="377" ht="23" customHeight="1">
      <x:c r="A377" s="11" t="str">
        <x:v>688302.SH</x:v>
      </x:c>
      <x:c r="B377" s="11" t="str">
        <x:v>一年</x:v>
      </x:c>
      <x:c r="C377" s="11" t="str">
        <x:v>hc1119_later</x:v>
      </x:c>
      <x:c r="D377" s="11" t="str">
        <x:v>基准</x:v>
      </x:c>
      <x:c r="E377" s="16" t="n">
        <x:v>1</x:v>
      </x:c>
      <x:c r="F377" s="16" t="n">
        <x:v>0.25</x:v>
      </x:c>
      <x:c r="G377" s="16" t="n">
        <x:v>1</x:v>
      </x:c>
      <x:c r="H377" s="16" t="n">
        <x:v>0.14</x:v>
      </x:c>
      <x:c r="I377" s="16" t="n">
        <x:v>6.8</x:v>
      </x:c>
    </x:row>
    <x:row r="378" ht="23" customHeight="1">
      <x:c r="A378" s="11" t="str">
        <x:v>688302.SH</x:v>
      </x:c>
      <x:c r="B378" s="11" t="str">
        <x:v>一年</x:v>
      </x:c>
      <x:c r="C378" s="11" t="str">
        <x:v>hc1119_later</x:v>
      </x:c>
      <x:c r="D378" s="11" t="str">
        <x:v>乐观</x:v>
      </x:c>
      <x:c r="E378" s="16" t="n">
        <x:v>1</x:v>
      </x:c>
      <x:c r="F378" s="16" t="n">
        <x:v>0.35</x:v>
      </x:c>
      <x:c r="G378" s="16" t="n">
        <x:v>1</x:v>
      </x:c>
      <x:c r="H378" s="16" t="n">
        <x:v>0.105</x:v>
      </x:c>
      <x:c r="I378" s="16" t="n">
        <x:v>6.8</x:v>
      </x:c>
    </x:row>
    <x:row r="379" ht="23" customHeight="1">
      <x:c r="A379" s="11" t="str">
        <x:v>688302.SH</x:v>
      </x:c>
      <x:c r="B379" s="11" t="str">
        <x:v>一年</x:v>
      </x:c>
      <x:c r="C379" s="11" t="str">
        <x:v>hc1119_bcr</x:v>
      </x:c>
      <x:c r="D379" s="11" t="str">
        <x:v>活动输入</x:v>
      </x:c>
      <x:c r="E379" s="11" t="n">
        <x:f>CHOOSE('假设'!$B$3,E380,E381,E382)</x:f>
        <x:v>0.47750000000000004</x:v>
      </x:c>
      <x:c r="F379" s="11" t="n">
        <x:f>CHOOSE('假设'!$B$3,F380,F381,F382)</x:f>
        <x:v>0.25</x:v>
      </x:c>
      <x:c r="G379" s="11" t="n">
        <x:f>CHOOSE('假设'!$B$3,G380,G381,G382)</x:f>
        <x:v>1</x:v>
      </x:c>
      <x:c r="H379" s="11" t="n">
        <x:f>CHOOSE('假设'!$B$3,H380,H381,H382)</x:f>
        <x:v>0.14</x:v>
      </x:c>
      <x:c r="I379" s="11" t="n">
        <x:f>CHOOSE('假设'!$B$3,I380,I381,I382)</x:f>
        <x:v>6.8</x:v>
      </x:c>
    </x:row>
    <x:row r="380" ht="23" customHeight="1">
      <x:c r="A380" s="11" t="str">
        <x:v>688302.SH</x:v>
      </x:c>
      <x:c r="B380" s="11" t="str">
        <x:v>一年</x:v>
      </x:c>
      <x:c r="C380" s="11" t="str">
        <x:v>hc1119_bcr</x:v>
      </x:c>
      <x:c r="D380" s="11" t="str">
        <x:v>悲观</x:v>
      </x:c>
      <x:c r="E380" s="16" t="n">
        <x:v>0.15000000000000002</x:v>
      </x:c>
      <x:c r="F380" s="16" t="n">
        <x:v>0.15</x:v>
      </x:c>
      <x:c r="G380" s="16" t="n">
        <x:v>1</x:v>
      </x:c>
      <x:c r="H380" s="11" t="n">
        <x:f>H376</x:f>
        <x:v>0.18</x:v>
      </x:c>
      <x:c r="I380" s="11" t="n">
        <x:f>I376</x:f>
        <x:v>6.8</x:v>
      </x:c>
    </x:row>
    <x:row r="381" ht="23" customHeight="1">
      <x:c r="A381" s="11" t="str">
        <x:v>688302.SH</x:v>
      </x:c>
      <x:c r="B381" s="11" t="str">
        <x:v>一年</x:v>
      </x:c>
      <x:c r="C381" s="11" t="str">
        <x:v>hc1119_bcr</x:v>
      </x:c>
      <x:c r="D381" s="11" t="str">
        <x:v>基准</x:v>
      </x:c>
      <x:c r="E381" s="16" t="n">
        <x:v>0.47750000000000004</x:v>
      </x:c>
      <x:c r="F381" s="16" t="n">
        <x:v>0.25</x:v>
      </x:c>
      <x:c r="G381" s="16" t="n">
        <x:v>1</x:v>
      </x:c>
      <x:c r="H381" s="11" t="n">
        <x:f>H377</x:f>
        <x:v>0.14</x:v>
      </x:c>
      <x:c r="I381" s="11" t="n">
        <x:f>I377</x:f>
        <x:v>6.8</x:v>
      </x:c>
    </x:row>
    <x:row r="382" ht="23" customHeight="1">
      <x:c r="A382" s="11" t="str">
        <x:v>688302.SH</x:v>
      </x:c>
      <x:c r="B382" s="11" t="str">
        <x:v>一年</x:v>
      </x:c>
      <x:c r="C382" s="11" t="str">
        <x:v>hc1119_bcr</x:v>
      </x:c>
      <x:c r="D382" s="11" t="str">
        <x:v>乐观</x:v>
      </x:c>
      <x:c r="E382" s="16" t="n">
        <x:v>0.736</x:v>
      </x:c>
      <x:c r="F382" s="16" t="n">
        <x:v>0.35</x:v>
      </x:c>
      <x:c r="G382" s="16" t="n">
        <x:v>1</x:v>
      </x:c>
      <x:c r="H382" s="11" t="n">
        <x:f>H378</x:f>
        <x:v>0.105</x:v>
      </x:c>
      <x:c r="I382" s="11" t="n">
        <x:f>I378</x:f>
        <x:v>6.8</x:v>
      </x:c>
    </x:row>
    <x:row r="383" ht="23" customHeight="1">
      <x:c r="A383" s="11" t="str">
        <x:v>688302.SH</x:v>
      </x:c>
      <x:c r="B383" s="11" t="str">
        <x:v>一年</x:v>
      </x:c>
      <x:c r="C383" s="11" t="str">
        <x:v>hp518_combo_cn</x:v>
      </x:c>
      <x:c r="D383" s="11" t="str">
        <x:v>活动输入</x:v>
      </x:c>
      <x:c r="E383" s="11" t="n">
        <x:f>CHOOSE('假设'!$B$3,E384,E385,E386)</x:f>
        <x:v>0.259</x:v>
      </x:c>
      <x:c r="F383" s="11" t="n">
        <x:f>CHOOSE('假设'!$B$3,F384,F385,F386)</x:f>
        <x:v>0.23</x:v>
      </x:c>
      <x:c r="G383" s="11" t="n">
        <x:f>CHOOSE('假设'!$B$3,G384,G385,G386)</x:f>
        <x:v>1</x:v>
      </x:c>
      <x:c r="H383" s="11" t="n">
        <x:f>CHOOSE('假设'!$B$3,H384,H385,H386)</x:f>
        <x:v>0.14</x:v>
      </x:c>
      <x:c r="I383" s="11" t="n">
        <x:f>CHOOSE('假设'!$B$3,I384,I385,I386)</x:f>
        <x:v>6.8</x:v>
      </x:c>
    </x:row>
    <x:row r="384" ht="23" customHeight="1">
      <x:c r="A384" s="11" t="str">
        <x:v>688302.SH</x:v>
      </x:c>
      <x:c r="B384" s="11" t="str">
        <x:v>一年</x:v>
      </x:c>
      <x:c r="C384" s="11" t="str">
        <x:v>hp518_combo_cn</x:v>
      </x:c>
      <x:c r="D384" s="11" t="str">
        <x:v>悲观</x:v>
      </x:c>
      <x:c r="E384" s="16" t="n">
        <x:v>0.06000000000000005</x:v>
      </x:c>
      <x:c r="F384" s="16" t="n">
        <x:v>0.13</x:v>
      </x:c>
      <x:c r="G384" s="16" t="n">
        <x:v>1</x:v>
      </x:c>
      <x:c r="H384" s="11" t="n">
        <x:f>H376</x:f>
        <x:v>0.18</x:v>
      </x:c>
      <x:c r="I384" s="11" t="n">
        <x:f>I376</x:f>
        <x:v>6.8</x:v>
      </x:c>
    </x:row>
    <x:row r="385" ht="23" customHeight="1">
      <x:c r="A385" s="11" t="str">
        <x:v>688302.SH</x:v>
      </x:c>
      <x:c r="B385" s="11" t="str">
        <x:v>一年</x:v>
      </x:c>
      <x:c r="C385" s="11" t="str">
        <x:v>hp518_combo_cn</x:v>
      </x:c>
      <x:c r="D385" s="11" t="str">
        <x:v>基准</x:v>
      </x:c>
      <x:c r="E385" s="16" t="n">
        <x:v>0.259</x:v>
      </x:c>
      <x:c r="F385" s="16" t="n">
        <x:v>0.23</x:v>
      </x:c>
      <x:c r="G385" s="16" t="n">
        <x:v>1</x:v>
      </x:c>
      <x:c r="H385" s="11" t="n">
        <x:f>H377</x:f>
        <x:v>0.14</x:v>
      </x:c>
      <x:c r="I385" s="11" t="n">
        <x:f>I377</x:f>
        <x:v>6.8</x:v>
      </x:c>
    </x:row>
    <x:row r="386" ht="23" customHeight="1">
      <x:c r="A386" s="11" t="str">
        <x:v>688302.SH</x:v>
      </x:c>
      <x:c r="B386" s="11" t="str">
        <x:v>一年</x:v>
      </x:c>
      <x:c r="C386" s="11" t="str">
        <x:v>hp518_combo_cn</x:v>
      </x:c>
      <x:c r="D386" s="11" t="str">
        <x:v>乐观</x:v>
      </x:c>
      <x:c r="E386" s="16" t="n">
        <x:v>0.516</x:v>
      </x:c>
      <x:c r="F386" s="16" t="n">
        <x:v>0.33</x:v>
      </x:c>
      <x:c r="G386" s="16" t="n">
        <x:v>1</x:v>
      </x:c>
      <x:c r="H386" s="11" t="n">
        <x:f>H378</x:f>
        <x:v>0.105</x:v>
      </x:c>
      <x:c r="I386" s="11" t="n">
        <x:f>I378</x:f>
        <x:v>6.8</x:v>
      </x:c>
    </x:row>
    <x:row r="387" ht="23" customHeight="1">
      <x:c r="A387" s="11" t="str">
        <x:v>688302.SH</x:v>
      </x:c>
      <x:c r="B387" s="11" t="str">
        <x:v>一年</x:v>
      </x:c>
      <x:c r="C387" s="11" t="str">
        <x:v>hp518_combo_global</x:v>
      </x:c>
      <x:c r="D387" s="11" t="str">
        <x:v>活动输入</x:v>
      </x:c>
      <x:c r="E387" s="11" t="n">
        <x:f>CHOOSE('假设'!$B$3,E388,E389,E390)</x:f>
        <x:v>0.1925</x:v>
      </x:c>
      <x:c r="F387" s="11" t="n">
        <x:f>CHOOSE('假设'!$B$3,F388,F389,F390)</x:f>
        <x:v>0.0738</x:v>
      </x:c>
      <x:c r="G387" s="11" t="n">
        <x:f>CHOOSE('假设'!$B$3,G388,G389,G390)</x:f>
        <x:v>1</x:v>
      </x:c>
      <x:c r="H387" s="11" t="n">
        <x:f>CHOOSE('假设'!$B$3,H388,H389,H390)</x:f>
        <x:v>0.14</x:v>
      </x:c>
      <x:c r="I387" s="11" t="n">
        <x:f>CHOOSE('假设'!$B$3,I388,I389,I390)</x:f>
        <x:v>6.8</x:v>
      </x:c>
    </x:row>
    <x:row r="388" ht="23" customHeight="1">
      <x:c r="A388" s="11" t="str">
        <x:v>688302.SH</x:v>
      </x:c>
      <x:c r="B388" s="11" t="str">
        <x:v>一年</x:v>
      </x:c>
      <x:c r="C388" s="11" t="str">
        <x:v>hp518_combo_global</x:v>
      </x:c>
      <x:c r="D388" s="11" t="str">
        <x:v>悲观</x:v>
      </x:c>
      <x:c r="E388" s="16" t="n">
        <x:v>0.040000000000000036</x:v>
      </x:c>
      <x:c r="F388" s="16" t="n">
        <x:v>0.048</x:v>
      </x:c>
      <x:c r="G388" s="16" t="n">
        <x:v>1</x:v>
      </x:c>
      <x:c r="H388" s="11" t="n">
        <x:f>H376</x:f>
        <x:v>0.18</x:v>
      </x:c>
      <x:c r="I388" s="11" t="n">
        <x:f>I376</x:f>
        <x:v>6.8</x:v>
      </x:c>
    </x:row>
    <x:row r="389" ht="23" customHeight="1">
      <x:c r="A389" s="11" t="str">
        <x:v>688302.SH</x:v>
      </x:c>
      <x:c r="B389" s="11" t="str">
        <x:v>一年</x:v>
      </x:c>
      <x:c r="C389" s="11" t="str">
        <x:v>hp518_combo_global</x:v>
      </x:c>
      <x:c r="D389" s="11" t="str">
        <x:v>基准</x:v>
      </x:c>
      <x:c r="E389" s="16" t="n">
        <x:v>0.1925</x:v>
      </x:c>
      <x:c r="F389" s="16" t="n">
        <x:v>0.0738</x:v>
      </x:c>
      <x:c r="G389" s="16" t="n">
        <x:v>1</x:v>
      </x:c>
      <x:c r="H389" s="11" t="n">
        <x:f>H377</x:f>
        <x:v>0.14</x:v>
      </x:c>
      <x:c r="I389" s="11" t="n">
        <x:f>I377</x:f>
        <x:v>6.8</x:v>
      </x:c>
    </x:row>
    <x:row r="390" ht="23" customHeight="1">
      <x:c r="A390" s="11" t="str">
        <x:v>688302.SH</x:v>
      </x:c>
      <x:c r="B390" s="11" t="str">
        <x:v>一年</x:v>
      </x:c>
      <x:c r="C390" s="11" t="str">
        <x:v>hp518_combo_global</x:v>
      </x:c>
      <x:c r="D390" s="11" t="str">
        <x:v>乐观</x:v>
      </x:c>
      <x:c r="E390" s="16" t="n">
        <x:v>0.42799999999999994</x:v>
      </x:c>
      <x:c r="F390" s="16" t="n">
        <x:v>0.102</x:v>
      </x:c>
      <x:c r="G390" s="16" t="n">
        <x:v>1</x:v>
      </x:c>
      <x:c r="H390" s="11" t="n">
        <x:f>H378</x:f>
        <x:v>0.105</x:v>
      </x:c>
      <x:c r="I390" s="11" t="n">
        <x:f>I378</x:f>
        <x:v>6.8</x:v>
      </x:c>
    </x:row>
    <x:row r="391" ht="23" customHeight="1">
      <x:c r="A391" s="11" t="str">
        <x:v>688302.SH</x:v>
      </x:c>
      <x:c r="B391" s="11" t="str">
        <x:v>一年</x:v>
      </x:c>
      <x:c r="C391" s="11" t="str">
        <x:v>hp518_tnbc_cn</x:v>
      </x:c>
      <x:c r="D391" s="11" t="str">
        <x:v>活动输入</x:v>
      </x:c>
      <x:c r="E391" s="11" t="n">
        <x:f>CHOOSE('假设'!$B$3,E392,E393,E394)</x:f>
        <x:v>0.16400000000000003</x:v>
      </x:c>
      <x:c r="F391" s="11" t="n">
        <x:f>CHOOSE('假设'!$B$3,F392,F393,F394)</x:f>
        <x:v>0.23</x:v>
      </x:c>
      <x:c r="G391" s="11" t="n">
        <x:f>CHOOSE('假设'!$B$3,G392,G393,G394)</x:f>
        <x:v>1</x:v>
      </x:c>
      <x:c r="H391" s="11" t="n">
        <x:f>CHOOSE('假设'!$B$3,H392,H393,H394)</x:f>
        <x:v>0.14</x:v>
      </x:c>
      <x:c r="I391" s="11" t="n">
        <x:f>CHOOSE('假设'!$B$3,I392,I393,I394)</x:f>
        <x:v>6.8</x:v>
      </x:c>
    </x:row>
    <x:row r="392" ht="23" customHeight="1">
      <x:c r="A392" s="11" t="str">
        <x:v>688302.SH</x:v>
      </x:c>
      <x:c r="B392" s="11" t="str">
        <x:v>一年</x:v>
      </x:c>
      <x:c r="C392" s="11" t="str">
        <x:v>hp518_tnbc_cn</x:v>
      </x:c>
      <x:c r="D392" s="11" t="str">
        <x:v>悲观</x:v>
      </x:c>
      <x:c r="E392" s="16" t="n">
        <x:v>0.030000000000000027</x:v>
      </x:c>
      <x:c r="F392" s="16" t="n">
        <x:v>0.13</x:v>
      </x:c>
      <x:c r="G392" s="16" t="n">
        <x:v>1</x:v>
      </x:c>
      <x:c r="H392" s="11" t="n">
        <x:f>H376</x:f>
        <x:v>0.18</x:v>
      </x:c>
      <x:c r="I392" s="11" t="n">
        <x:f>I376</x:f>
        <x:v>6.8</x:v>
      </x:c>
    </x:row>
    <x:row r="393" ht="23" customHeight="1">
      <x:c r="A393" s="11" t="str">
        <x:v>688302.SH</x:v>
      </x:c>
      <x:c r="B393" s="11" t="str">
        <x:v>一年</x:v>
      </x:c>
      <x:c r="C393" s="11" t="str">
        <x:v>hp518_tnbc_cn</x:v>
      </x:c>
      <x:c r="D393" s="11" t="str">
        <x:v>基准</x:v>
      </x:c>
      <x:c r="E393" s="16" t="n">
        <x:v>0.16400000000000003</x:v>
      </x:c>
      <x:c r="F393" s="16" t="n">
        <x:v>0.23</x:v>
      </x:c>
      <x:c r="G393" s="16" t="n">
        <x:v>1</x:v>
      </x:c>
      <x:c r="H393" s="11" t="n">
        <x:f>H377</x:f>
        <x:v>0.14</x:v>
      </x:c>
      <x:c r="I393" s="11" t="n">
        <x:f>I377</x:f>
        <x:v>6.8</x:v>
      </x:c>
    </x:row>
    <x:row r="394" ht="23" customHeight="1">
      <x:c r="A394" s="11" t="str">
        <x:v>688302.SH</x:v>
      </x:c>
      <x:c r="B394" s="11" t="str">
        <x:v>一年</x:v>
      </x:c>
      <x:c r="C394" s="11" t="str">
        <x:v>hp518_tnbc_cn</x:v>
      </x:c>
      <x:c r="D394" s="11" t="str">
        <x:v>乐观</x:v>
      </x:c>
      <x:c r="E394" s="16" t="n">
        <x:v>0.384</x:v>
      </x:c>
      <x:c r="F394" s="16" t="n">
        <x:v>0.33</x:v>
      </x:c>
      <x:c r="G394" s="16" t="n">
        <x:v>1</x:v>
      </x:c>
      <x:c r="H394" s="11" t="n">
        <x:f>H378</x:f>
        <x:v>0.105</x:v>
      </x:c>
      <x:c r="I394" s="11" t="n">
        <x:f>I378</x:f>
        <x:v>6.8</x:v>
      </x:c>
    </x:row>
    <x:row r="395" ht="23" customHeight="1">
      <x:c r="A395" s="11" t="str">
        <x:v>688302.SH</x:v>
      </x:c>
      <x:c r="B395" s="11" t="str">
        <x:v>一年</x:v>
      </x:c>
      <x:c r="C395" s="11" t="str">
        <x:v>hp518_tnbc_global</x:v>
      </x:c>
      <x:c r="D395" s="11" t="str">
        <x:v>活动输入</x:v>
      </x:c>
      <x:c r="E395" s="11" t="n">
        <x:f>CHOOSE('假设'!$B$3,E396,E397,E398)</x:f>
        <x:v>0.14500000000000002</x:v>
      </x:c>
      <x:c r="F395" s="11" t="n">
        <x:f>CHOOSE('假设'!$B$3,F396,F397,F398)</x:f>
        <x:v>0.0738</x:v>
      </x:c>
      <x:c r="G395" s="11" t="n">
        <x:f>CHOOSE('假设'!$B$3,G396,G397,G398)</x:f>
        <x:v>1</x:v>
      </x:c>
      <x:c r="H395" s="11" t="n">
        <x:f>CHOOSE('假设'!$B$3,H396,H397,H398)</x:f>
        <x:v>0.14</x:v>
      </x:c>
      <x:c r="I395" s="11" t="n">
        <x:f>CHOOSE('假设'!$B$3,I396,I397,I398)</x:f>
        <x:v>6.8</x:v>
      </x:c>
    </x:row>
    <x:row r="396" ht="23" customHeight="1">
      <x:c r="A396" s="11" t="str">
        <x:v>688302.SH</x:v>
      </x:c>
      <x:c r="B396" s="11" t="str">
        <x:v>一年</x:v>
      </x:c>
      <x:c r="C396" s="11" t="str">
        <x:v>hp518_tnbc_global</x:v>
      </x:c>
      <x:c r="D396" s="11" t="str">
        <x:v>悲观</x:v>
      </x:c>
      <x:c r="E396" s="16" t="n">
        <x:v>0.020000000000000018</x:v>
      </x:c>
      <x:c r="F396" s="16" t="n">
        <x:v>0.048</x:v>
      </x:c>
      <x:c r="G396" s="16" t="n">
        <x:v>1</x:v>
      </x:c>
      <x:c r="H396" s="11" t="n">
        <x:f>H376</x:f>
        <x:v>0.18</x:v>
      </x:c>
      <x:c r="I396" s="11" t="n">
        <x:f>I376</x:f>
        <x:v>6.8</x:v>
      </x:c>
    </x:row>
    <x:row r="397" ht="23" customHeight="1">
      <x:c r="A397" s="11" t="str">
        <x:v>688302.SH</x:v>
      </x:c>
      <x:c r="B397" s="11" t="str">
        <x:v>一年</x:v>
      </x:c>
      <x:c r="C397" s="11" t="str">
        <x:v>hp518_tnbc_global</x:v>
      </x:c>
      <x:c r="D397" s="11" t="str">
        <x:v>基准</x:v>
      </x:c>
      <x:c r="E397" s="16" t="n">
        <x:v>0.14500000000000002</x:v>
      </x:c>
      <x:c r="F397" s="16" t="n">
        <x:v>0.0738</x:v>
      </x:c>
      <x:c r="G397" s="16" t="n">
        <x:v>1</x:v>
      </x:c>
      <x:c r="H397" s="11" t="n">
        <x:f>H377</x:f>
        <x:v>0.14</x:v>
      </x:c>
      <x:c r="I397" s="11" t="n">
        <x:f>I377</x:f>
        <x:v>6.8</x:v>
      </x:c>
    </x:row>
    <x:row r="398" ht="23" customHeight="1">
      <x:c r="A398" s="11" t="str">
        <x:v>688302.SH</x:v>
      </x:c>
      <x:c r="B398" s="11" t="str">
        <x:v>一年</x:v>
      </x:c>
      <x:c r="C398" s="11" t="str">
        <x:v>hp518_tnbc_global</x:v>
      </x:c>
      <x:c r="D398" s="11" t="str">
        <x:v>乐观</x:v>
      </x:c>
      <x:c r="E398" s="16" t="n">
        <x:v>0.33999999999999997</x:v>
      </x:c>
      <x:c r="F398" s="16" t="n">
        <x:v>0.102</x:v>
      </x:c>
      <x:c r="G398" s="16" t="n">
        <x:v>1</x:v>
      </x:c>
      <x:c r="H398" s="11" t="n">
        <x:f>H378</x:f>
        <x:v>0.105</x:v>
      </x:c>
      <x:c r="I398" s="11" t="n">
        <x:f>I378</x:f>
        <x:v>6.8</x:v>
      </x:c>
    </x:row>
    <x:row r="399" ht="23" customHeight="1">
      <x:c r="A399" s="11" t="str">
        <x:v>688302.SH</x:v>
      </x:c>
      <x:c r="B399" s="11" t="str">
        <x:v>一年</x:v>
      </x:c>
      <x:c r="C399" s="11" t="str">
        <x:v>hp515_mash_cn</x:v>
      </x:c>
      <x:c r="D399" s="11" t="str">
        <x:v>活动输入</x:v>
      </x:c>
      <x:c r="E399" s="11" t="n">
        <x:f>CHOOSE('假设'!$B$3,E400,E401,E402)</x:f>
        <x:v>0.41100000000000003</x:v>
      </x:c>
      <x:c r="F399" s="11" t="n">
        <x:f>CHOOSE('假设'!$B$3,F400,F401,F402)</x:f>
        <x:v>0.25</x:v>
      </x:c>
      <x:c r="G399" s="11" t="n">
        <x:f>CHOOSE('假设'!$B$3,G400,G401,G402)</x:f>
        <x:v>1</x:v>
      </x:c>
      <x:c r="H399" s="11" t="n">
        <x:f>CHOOSE('假设'!$B$3,H400,H401,H402)</x:f>
        <x:v>0.14</x:v>
      </x:c>
      <x:c r="I399" s="11" t="n">
        <x:f>CHOOSE('假设'!$B$3,I400,I401,I402)</x:f>
        <x:v>6.8</x:v>
      </x:c>
    </x:row>
    <x:row r="400" ht="23" customHeight="1">
      <x:c r="A400" s="11" t="str">
        <x:v>688302.SH</x:v>
      </x:c>
      <x:c r="B400" s="11" t="str">
        <x:v>一年</x:v>
      </x:c>
      <x:c r="C400" s="11" t="str">
        <x:v>hp515_mash_cn</x:v>
      </x:c>
      <x:c r="D400" s="11" t="str">
        <x:v>悲观</x:v>
      </x:c>
      <x:c r="E400" s="16" t="n">
        <x:v>0.12</x:v>
      </x:c>
      <x:c r="F400" s="16" t="n">
        <x:v>0.15</x:v>
      </x:c>
      <x:c r="G400" s="16" t="n">
        <x:v>1</x:v>
      </x:c>
      <x:c r="H400" s="11" t="n">
        <x:f>H376</x:f>
        <x:v>0.18</x:v>
      </x:c>
      <x:c r="I400" s="11" t="n">
        <x:f>I376</x:f>
        <x:v>6.8</x:v>
      </x:c>
    </x:row>
    <x:row r="401" ht="23" customHeight="1">
      <x:c r="A401" s="11" t="str">
        <x:v>688302.SH</x:v>
      </x:c>
      <x:c r="B401" s="11" t="str">
        <x:v>一年</x:v>
      </x:c>
      <x:c r="C401" s="11" t="str">
        <x:v>hp515_mash_cn</x:v>
      </x:c>
      <x:c r="D401" s="11" t="str">
        <x:v>基准</x:v>
      </x:c>
      <x:c r="E401" s="16" t="n">
        <x:v>0.41100000000000003</x:v>
      </x:c>
      <x:c r="F401" s="16" t="n">
        <x:v>0.25</x:v>
      </x:c>
      <x:c r="G401" s="16" t="n">
        <x:v>1</x:v>
      </x:c>
      <x:c r="H401" s="11" t="n">
        <x:f>H377</x:f>
        <x:v>0.14</x:v>
      </x:c>
      <x:c r="I401" s="11" t="n">
        <x:f>I377</x:f>
        <x:v>6.8</x:v>
      </x:c>
    </x:row>
    <x:row r="402" ht="23" customHeight="1">
      <x:c r="A402" s="11" t="str">
        <x:v>688302.SH</x:v>
      </x:c>
      <x:c r="B402" s="11" t="str">
        <x:v>一年</x:v>
      </x:c>
      <x:c r="C402" s="11" t="str">
        <x:v>hp515_mash_cn</x:v>
      </x:c>
      <x:c r="D402" s="11" t="str">
        <x:v>乐观</x:v>
      </x:c>
      <x:c r="E402" s="16" t="n">
        <x:v>0.6479999999999999</x:v>
      </x:c>
      <x:c r="F402" s="16" t="n">
        <x:v>0.35</x:v>
      </x:c>
      <x:c r="G402" s="16" t="n">
        <x:v>1</x:v>
      </x:c>
      <x:c r="H402" s="11" t="n">
        <x:f>H378</x:f>
        <x:v>0.105</x:v>
      </x:c>
      <x:c r="I402" s="11" t="n">
        <x:f>I378</x:f>
        <x:v>6.8</x:v>
      </x:c>
    </x:row>
    <x:row r="403" ht="23" customHeight="1">
      <x:c r="A403" s="11" t="str">
        <x:v>688302.SH</x:v>
      </x:c>
      <x:c r="B403" s="11" t="str">
        <x:v>一年</x:v>
      </x:c>
      <x:c r="C403" s="11" t="str">
        <x:v>hp515_mash_global</x:v>
      </x:c>
      <x:c r="D403" s="11" t="str">
        <x:v>活动输入</x:v>
      </x:c>
      <x:c r="E403" s="11" t="n">
        <x:f>CHOOSE('假设'!$B$3,E404,E405,E406)</x:f>
        <x:v>0.2875000000000001</x:v>
      </x:c>
      <x:c r="F403" s="11" t="n">
        <x:f>CHOOSE('假设'!$B$3,F404,F405,F406)</x:f>
        <x:v>0.0738</x:v>
      </x:c>
      <x:c r="G403" s="11" t="n">
        <x:f>CHOOSE('假设'!$B$3,G404,G405,G406)</x:f>
        <x:v>1</x:v>
      </x:c>
      <x:c r="H403" s="11" t="n">
        <x:f>CHOOSE('假设'!$B$3,H404,H405,H406)</x:f>
        <x:v>0.14</x:v>
      </x:c>
      <x:c r="I403" s="11" t="n">
        <x:f>CHOOSE('假设'!$B$3,I404,I405,I406)</x:f>
        <x:v>6.8</x:v>
      </x:c>
    </x:row>
    <x:row r="404" ht="23" customHeight="1">
      <x:c r="A404" s="11" t="str">
        <x:v>688302.SH</x:v>
      </x:c>
      <x:c r="B404" s="11" t="str">
        <x:v>一年</x:v>
      </x:c>
      <x:c r="C404" s="11" t="str">
        <x:v>hp515_mash_global</x:v>
      </x:c>
      <x:c r="D404" s="11" t="str">
        <x:v>悲观</x:v>
      </x:c>
      <x:c r="E404" s="16" t="n">
        <x:v>0.06000000000000005</x:v>
      </x:c>
      <x:c r="F404" s="16" t="n">
        <x:v>0.048</x:v>
      </x:c>
      <x:c r="G404" s="16" t="n">
        <x:v>1</x:v>
      </x:c>
      <x:c r="H404" s="11" t="n">
        <x:f>H376</x:f>
        <x:v>0.18</x:v>
      </x:c>
      <x:c r="I404" s="11" t="n">
        <x:f>I376</x:f>
        <x:v>6.8</x:v>
      </x:c>
    </x:row>
    <x:row r="405" ht="23" customHeight="1">
      <x:c r="A405" s="11" t="str">
        <x:v>688302.SH</x:v>
      </x:c>
      <x:c r="B405" s="11" t="str">
        <x:v>一年</x:v>
      </x:c>
      <x:c r="C405" s="11" t="str">
        <x:v>hp515_mash_global</x:v>
      </x:c>
      <x:c r="D405" s="11" t="str">
        <x:v>基准</x:v>
      </x:c>
      <x:c r="E405" s="16" t="n">
        <x:v>0.2875000000000001</x:v>
      </x:c>
      <x:c r="F405" s="16" t="n">
        <x:v>0.0738</x:v>
      </x:c>
      <x:c r="G405" s="16" t="n">
        <x:v>1</x:v>
      </x:c>
      <x:c r="H405" s="11" t="n">
        <x:f>H377</x:f>
        <x:v>0.14</x:v>
      </x:c>
      <x:c r="I405" s="11" t="n">
        <x:f>I377</x:f>
        <x:v>6.8</x:v>
      </x:c>
    </x:row>
    <x:row r="406" ht="23" customHeight="1">
      <x:c r="A406" s="11" t="str">
        <x:v>688302.SH</x:v>
      </x:c>
      <x:c r="B406" s="11" t="str">
        <x:v>一年</x:v>
      </x:c>
      <x:c r="C406" s="11" t="str">
        <x:v>hp515_mash_global</x:v>
      </x:c>
      <x:c r="D406" s="11" t="str">
        <x:v>乐观</x:v>
      </x:c>
      <x:c r="E406" s="16" t="n">
        <x:v>0.56</x:v>
      </x:c>
      <x:c r="F406" s="16" t="n">
        <x:v>0.102</x:v>
      </x:c>
      <x:c r="G406" s="16" t="n">
        <x:v>1</x:v>
      </x:c>
      <x:c r="H406" s="11" t="n">
        <x:f>H378</x:f>
        <x:v>0.105</x:v>
      </x:c>
      <x:c r="I406" s="11" t="n">
        <x:f>I378</x:f>
        <x:v>6.8</x:v>
      </x:c>
    </x:row>
    <x:row r="407" ht="23" customHeight="1">
      <x:c r="A407" s="11" t="str">
        <x:v>688302.SH</x:v>
      </x:c>
      <x:c r="B407" s="11" t="str">
        <x:v>一年</x:v>
      </x:c>
      <x:c r="C407" s="11" t="str">
        <x:v>hp515_obesity_cn</x:v>
      </x:c>
      <x:c r="D407" s="11" t="str">
        <x:v>活动输入</x:v>
      </x:c>
      <x:c r="E407" s="11" t="n">
        <x:f>CHOOSE('假设'!$B$3,E408,E409,E410)</x:f>
        <x:v>0.1925</x:v>
      </x:c>
      <x:c r="F407" s="11" t="n">
        <x:f>CHOOSE('假设'!$B$3,F408,F409,F410)</x:f>
        <x:v>0.18</x:v>
      </x:c>
      <x:c r="G407" s="11" t="n">
        <x:f>CHOOSE('假设'!$B$3,G408,G409,G410)</x:f>
        <x:v>1</x:v>
      </x:c>
      <x:c r="H407" s="11" t="n">
        <x:f>CHOOSE('假设'!$B$3,H408,H409,H410)</x:f>
        <x:v>0.14</x:v>
      </x:c>
      <x:c r="I407" s="11" t="n">
        <x:f>CHOOSE('假设'!$B$3,I408,I409,I410)</x:f>
        <x:v>6.8</x:v>
      </x:c>
    </x:row>
    <x:row r="408" ht="23" customHeight="1">
      <x:c r="A408" s="11" t="str">
        <x:v>688302.SH</x:v>
      </x:c>
      <x:c r="B408" s="11" t="str">
        <x:v>一年</x:v>
      </x:c>
      <x:c r="C408" s="11" t="str">
        <x:v>hp515_obesity_cn</x:v>
      </x:c>
      <x:c r="D408" s="11" t="str">
        <x:v>悲观</x:v>
      </x:c>
      <x:c r="E408" s="16" t="n">
        <x:v>0.040000000000000036</x:v>
      </x:c>
      <x:c r="F408" s="16" t="n">
        <x:v>0.1</x:v>
      </x:c>
      <x:c r="G408" s="16" t="n">
        <x:v>1</x:v>
      </x:c>
      <x:c r="H408" s="11" t="n">
        <x:f>H376</x:f>
        <x:v>0.18</x:v>
      </x:c>
      <x:c r="I408" s="11" t="n">
        <x:f>I376</x:f>
        <x:v>6.8</x:v>
      </x:c>
    </x:row>
    <x:row r="409" ht="23" customHeight="1">
      <x:c r="A409" s="11" t="str">
        <x:v>688302.SH</x:v>
      </x:c>
      <x:c r="B409" s="11" t="str">
        <x:v>一年</x:v>
      </x:c>
      <x:c r="C409" s="11" t="str">
        <x:v>hp515_obesity_cn</x:v>
      </x:c>
      <x:c r="D409" s="11" t="str">
        <x:v>基准</x:v>
      </x:c>
      <x:c r="E409" s="16" t="n">
        <x:v>0.1925</x:v>
      </x:c>
      <x:c r="F409" s="16" t="n">
        <x:v>0.18</x:v>
      </x:c>
      <x:c r="G409" s="16" t="n">
        <x:v>1</x:v>
      </x:c>
      <x:c r="H409" s="11" t="n">
        <x:f>H377</x:f>
        <x:v>0.14</x:v>
      </x:c>
      <x:c r="I409" s="11" t="n">
        <x:f>I377</x:f>
        <x:v>6.8</x:v>
      </x:c>
    </x:row>
    <x:row r="410" ht="23" customHeight="1">
      <x:c r="A410" s="11" t="str">
        <x:v>688302.SH</x:v>
      </x:c>
      <x:c r="B410" s="11" t="str">
        <x:v>一年</x:v>
      </x:c>
      <x:c r="C410" s="11" t="str">
        <x:v>hp515_obesity_cn</x:v>
      </x:c>
      <x:c r="D410" s="11" t="str">
        <x:v>乐观</x:v>
      </x:c>
      <x:c r="E410" s="16" t="n">
        <x:v>0.42799999999999994</x:v>
      </x:c>
      <x:c r="F410" s="16" t="n">
        <x:v>0.28</x:v>
      </x:c>
      <x:c r="G410" s="16" t="n">
        <x:v>1</x:v>
      </x:c>
      <x:c r="H410" s="11" t="n">
        <x:f>H378</x:f>
        <x:v>0.105</x:v>
      </x:c>
      <x:c r="I410" s="11" t="n">
        <x:f>I378</x:f>
        <x:v>6.8</x:v>
      </x:c>
    </x:row>
    <x:row r="411" ht="23" customHeight="1">
      <x:c r="A411" s="11" t="str">
        <x:v>688302.SH</x:v>
      </x:c>
      <x:c r="B411" s="11" t="str">
        <x:v>一年</x:v>
      </x:c>
      <x:c r="C411" s="11" t="str">
        <x:v>hp515_obesity_global</x:v>
      </x:c>
      <x:c r="D411" s="11" t="str">
        <x:v>活动输入</x:v>
      </x:c>
      <x:c r="E411" s="11" t="n">
        <x:f>CHOOSE('假设'!$B$3,E412,E413,E414)</x:f>
        <x:v>0.14500000000000002</x:v>
      </x:c>
      <x:c r="F411" s="11" t="n">
        <x:f>CHOOSE('假设'!$B$3,F412,F413,F414)</x:f>
        <x:v>0.0656</x:v>
      </x:c>
      <x:c r="G411" s="11" t="n">
        <x:f>CHOOSE('假设'!$B$3,G412,G413,G414)</x:f>
        <x:v>1</x:v>
      </x:c>
      <x:c r="H411" s="11" t="n">
        <x:f>CHOOSE('假设'!$B$3,H412,H413,H414)</x:f>
        <x:v>0.14</x:v>
      </x:c>
      <x:c r="I411" s="11" t="n">
        <x:f>CHOOSE('假设'!$B$3,I412,I413,I414)</x:f>
        <x:v>6.8</x:v>
      </x:c>
    </x:row>
    <x:row r="412" ht="23" customHeight="1">
      <x:c r="A412" s="11" t="str">
        <x:v>688302.SH</x:v>
      </x:c>
      <x:c r="B412" s="11" t="str">
        <x:v>一年</x:v>
      </x:c>
      <x:c r="C412" s="11" t="str">
        <x:v>hp515_obesity_global</x:v>
      </x:c>
      <x:c r="D412" s="11" t="str">
        <x:v>悲观</x:v>
      </x:c>
      <x:c r="E412" s="16" t="n">
        <x:v>0.025000000000000022</x:v>
      </x:c>
      <x:c r="F412" s="16" t="n">
        <x:v>0.04000000000000001</x:v>
      </x:c>
      <x:c r="G412" s="16" t="n">
        <x:v>1</x:v>
      </x:c>
      <x:c r="H412" s="11" t="n">
        <x:f>H376</x:f>
        <x:v>0.18</x:v>
      </x:c>
      <x:c r="I412" s="11" t="n">
        <x:f>I376</x:f>
        <x:v>6.8</x:v>
      </x:c>
    </x:row>
    <x:row r="413" ht="23" customHeight="1">
      <x:c r="A413" s="11" t="str">
        <x:v>688302.SH</x:v>
      </x:c>
      <x:c r="B413" s="11" t="str">
        <x:v>一年</x:v>
      </x:c>
      <x:c r="C413" s="11" t="str">
        <x:v>hp515_obesity_global</x:v>
      </x:c>
      <x:c r="D413" s="11" t="str">
        <x:v>基准</x:v>
      </x:c>
      <x:c r="E413" s="16" t="n">
        <x:v>0.14500000000000002</x:v>
      </x:c>
      <x:c r="F413" s="16" t="n">
        <x:v>0.0656</x:v>
      </x:c>
      <x:c r="G413" s="16" t="n">
        <x:v>1</x:v>
      </x:c>
      <x:c r="H413" s="11" t="n">
        <x:f>H377</x:f>
        <x:v>0.14</x:v>
      </x:c>
      <x:c r="I413" s="11" t="n">
        <x:f>I377</x:f>
        <x:v>6.8</x:v>
      </x:c>
    </x:row>
    <x:row r="414" ht="23" customHeight="1">
      <x:c r="A414" s="11" t="str">
        <x:v>688302.SH</x:v>
      </x:c>
      <x:c r="B414" s="11" t="str">
        <x:v>一年</x:v>
      </x:c>
      <x:c r="C414" s="11" t="str">
        <x:v>hp515_obesity_global</x:v>
      </x:c>
      <x:c r="D414" s="11" t="str">
        <x:v>乐观</x:v>
      </x:c>
      <x:c r="E414" s="16" t="n">
        <x:v>0.33999999999999997</x:v>
      </x:c>
      <x:c r="F414" s="16" t="n">
        <x:v>0.0935</x:v>
      </x:c>
      <x:c r="G414" s="16" t="n">
        <x:v>1</x:v>
      </x:c>
      <x:c r="H414" s="11" t="n">
        <x:f>H378</x:f>
        <x:v>0.105</x:v>
      </x:c>
      <x:c r="I414" s="11" t="n">
        <x:f>I378</x:f>
        <x:v>6.8</x:v>
      </x:c>
    </x:row>
    <x:row r="415" ht="23" customHeight="1">
      <x:c r="A415" s="11" t="str">
        <x:v>688302.SH</x:v>
      </x:c>
      <x:c r="B415" s="11" t="str">
        <x:v>一年</x:v>
      </x:c>
      <x:c r="C415" s="11" t="str">
        <x:v>hp570_global</x:v>
      </x:c>
      <x:c r="D415" s="11" t="str">
        <x:v>活动输入</x:v>
      </x:c>
      <x:c r="E415" s="11" t="n">
        <x:f>CHOOSE('假设'!$B$3,E416,E417,E418)</x:f>
        <x:v>0.1070000000000001</x:v>
      </x:c>
      <x:c r="F415" s="11" t="n">
        <x:f>CHOOSE('假设'!$B$3,F416,F417,F418)</x:f>
        <x:v>0.0656</x:v>
      </x:c>
      <x:c r="G415" s="11" t="n">
        <x:f>CHOOSE('假设'!$B$3,G416,G417,G418)</x:f>
        <x:v>1</x:v>
      </x:c>
      <x:c r="H415" s="11" t="n">
        <x:f>CHOOSE('假设'!$B$3,H416,H417,H418)</x:f>
        <x:v>0.14</x:v>
      </x:c>
      <x:c r="I415" s="11" t="n">
        <x:f>CHOOSE('假设'!$B$3,I416,I417,I418)</x:f>
        <x:v>6.8</x:v>
      </x:c>
    </x:row>
    <x:row r="416" ht="23" customHeight="1">
      <x:c r="A416" s="11" t="str">
        <x:v>688302.SH</x:v>
      </x:c>
      <x:c r="B416" s="11" t="str">
        <x:v>一年</x:v>
      </x:c>
      <x:c r="C416" s="11" t="str">
        <x:v>hp570_global</x:v>
      </x:c>
      <x:c r="D416" s="11" t="str">
        <x:v>悲观</x:v>
      </x:c>
      <x:c r="E416" s="16" t="n">
        <x:v>0.010000000000000009</x:v>
      </x:c>
      <x:c r="F416" s="16" t="n">
        <x:v>0.04000000000000001</x:v>
      </x:c>
      <x:c r="G416" s="16" t="n">
        <x:v>1</x:v>
      </x:c>
      <x:c r="H416" s="11" t="n">
        <x:f>H376</x:f>
        <x:v>0.18</x:v>
      </x:c>
      <x:c r="I416" s="11" t="n">
        <x:f>I376</x:f>
        <x:v>6.8</x:v>
      </x:c>
    </x:row>
    <x:row r="417" ht="23" customHeight="1">
      <x:c r="A417" s="11" t="str">
        <x:v>688302.SH</x:v>
      </x:c>
      <x:c r="B417" s="11" t="str">
        <x:v>一年</x:v>
      </x:c>
      <x:c r="C417" s="11" t="str">
        <x:v>hp570_global</x:v>
      </x:c>
      <x:c r="D417" s="11" t="str">
        <x:v>基准</x:v>
      </x:c>
      <x:c r="E417" s="16" t="n">
        <x:v>0.1070000000000001</x:v>
      </x:c>
      <x:c r="F417" s="16" t="n">
        <x:v>0.0656</x:v>
      </x:c>
      <x:c r="G417" s="16" t="n">
        <x:v>1</x:v>
      </x:c>
      <x:c r="H417" s="11" t="n">
        <x:f>H377</x:f>
        <x:v>0.14</x:v>
      </x:c>
      <x:c r="I417" s="11" t="n">
        <x:f>I377</x:f>
        <x:v>6.8</x:v>
      </x:c>
    </x:row>
    <x:row r="418" ht="23" customHeight="1">
      <x:c r="A418" s="11" t="str">
        <x:v>688302.SH</x:v>
      </x:c>
      <x:c r="B418" s="11" t="str">
        <x:v>一年</x:v>
      </x:c>
      <x:c r="C418" s="11" t="str">
        <x:v>hp570_global</x:v>
      </x:c>
      <x:c r="D418" s="11" t="str">
        <x:v>乐观</x:v>
      </x:c>
      <x:c r="E418" s="16" t="n">
        <x:v>0.2784</x:v>
      </x:c>
      <x:c r="F418" s="16" t="n">
        <x:v>0.0935</x:v>
      </x:c>
      <x:c r="G418" s="16" t="n">
        <x:v>1</x:v>
      </x:c>
      <x:c r="H418" s="11" t="n">
        <x:f>H378</x:f>
        <x:v>0.105</x:v>
      </x:c>
      <x:c r="I418" s="11" t="n">
        <x:f>I378</x:f>
        <x:v>6.8</x:v>
      </x:c>
    </x:row>
    <x:row r="419" ht="23" customHeight="1">
      <x:c r="A419" s="11" t="str">
        <x:v>688302.SH</x:v>
      </x:c>
      <x:c r="B419" s="11" t="str">
        <x:v>三年</x:v>
      </x:c>
      <x:c r="C419" s="11" t="str">
        <x:v>hc1119_later</x:v>
      </x:c>
      <x:c r="D419" s="11" t="str">
        <x:v>活动输入</x:v>
      </x:c>
      <x:c r="E419" s="11" t="n">
        <x:f>CHOOSE('假设'!$B$3,E420,E421,E422)</x:f>
        <x:v>1</x:v>
      </x:c>
      <x:c r="F419" s="11" t="n">
        <x:f>CHOOSE('假设'!$B$3,F420,F421,F422)</x:f>
        <x:v>0.25</x:v>
      </x:c>
      <x:c r="G419" s="11" t="n">
        <x:f>CHOOSE('假设'!$B$3,G420,G421,G422)</x:f>
        <x:v>1</x:v>
      </x:c>
      <x:c r="H419" s="11" t="n">
        <x:f>CHOOSE('假设'!$B$3,H420,H421,H422)</x:f>
        <x:v>0.14</x:v>
      </x:c>
      <x:c r="I419" s="11" t="n">
        <x:f>CHOOSE('假设'!$B$3,I420,I421,I422)</x:f>
        <x:v>6.8</x:v>
      </x:c>
    </x:row>
    <x:row r="420" ht="23" customHeight="1">
      <x:c r="A420" s="11" t="str">
        <x:v>688302.SH</x:v>
      </x:c>
      <x:c r="B420" s="11" t="str">
        <x:v>三年</x:v>
      </x:c>
      <x:c r="C420" s="11" t="str">
        <x:v>hc1119_later</x:v>
      </x:c>
      <x:c r="D420" s="11" t="str">
        <x:v>悲观</x:v>
      </x:c>
      <x:c r="E420" s="16" t="n">
        <x:v>1</x:v>
      </x:c>
      <x:c r="F420" s="16" t="n">
        <x:v>0.15</x:v>
      </x:c>
      <x:c r="G420" s="16" t="n">
        <x:v>1</x:v>
      </x:c>
      <x:c r="H420" s="16" t="n">
        <x:v>0.18</x:v>
      </x:c>
      <x:c r="I420" s="16" t="n">
        <x:v>6.8</x:v>
      </x:c>
    </x:row>
    <x:row r="421" ht="23" customHeight="1">
      <x:c r="A421" s="11" t="str">
        <x:v>688302.SH</x:v>
      </x:c>
      <x:c r="B421" s="11" t="str">
        <x:v>三年</x:v>
      </x:c>
      <x:c r="C421" s="11" t="str">
        <x:v>hc1119_later</x:v>
      </x:c>
      <x:c r="D421" s="11" t="str">
        <x:v>基准</x:v>
      </x:c>
      <x:c r="E421" s="16" t="n">
        <x:v>1</x:v>
      </x:c>
      <x:c r="F421" s="16" t="n">
        <x:v>0.25</x:v>
      </x:c>
      <x:c r="G421" s="16" t="n">
        <x:v>1</x:v>
      </x:c>
      <x:c r="H421" s="16" t="n">
        <x:v>0.14</x:v>
      </x:c>
      <x:c r="I421" s="16" t="n">
        <x:v>6.8</x:v>
      </x:c>
    </x:row>
    <x:row r="422" ht="23" customHeight="1">
      <x:c r="A422" s="11" t="str">
        <x:v>688302.SH</x:v>
      </x:c>
      <x:c r="B422" s="11" t="str">
        <x:v>三年</x:v>
      </x:c>
      <x:c r="C422" s="11" t="str">
        <x:v>hc1119_later</x:v>
      </x:c>
      <x:c r="D422" s="11" t="str">
        <x:v>乐观</x:v>
      </x:c>
      <x:c r="E422" s="16" t="n">
        <x:v>1</x:v>
      </x:c>
      <x:c r="F422" s="16" t="n">
        <x:v>0.35</x:v>
      </x:c>
      <x:c r="G422" s="16" t="n">
        <x:v>1</x:v>
      </x:c>
      <x:c r="H422" s="16" t="n">
        <x:v>0.105</x:v>
      </x:c>
      <x:c r="I422" s="16" t="n">
        <x:v>6.8</x:v>
      </x:c>
    </x:row>
    <x:row r="423" ht="23" customHeight="1">
      <x:c r="A423" s="11" t="str">
        <x:v>688302.SH</x:v>
      </x:c>
      <x:c r="B423" s="11" t="str">
        <x:v>三年</x:v>
      </x:c>
      <x:c r="C423" s="11" t="str">
        <x:v>hc1119_bcr</x:v>
      </x:c>
      <x:c r="D423" s="11" t="str">
        <x:v>活动输入</x:v>
      </x:c>
      <x:c r="E423" s="11" t="n">
        <x:f>CHOOSE('假设'!$B$3,E424,E425,E426)</x:f>
        <x:v>0.5599999999999999</x:v>
      </x:c>
      <x:c r="F423" s="11" t="n">
        <x:f>CHOOSE('假设'!$B$3,F424,F425,F426)</x:f>
        <x:v>0.25</x:v>
      </x:c>
      <x:c r="G423" s="11" t="n">
        <x:f>CHOOSE('假设'!$B$3,G424,G425,G426)</x:f>
        <x:v>1</x:v>
      </x:c>
      <x:c r="H423" s="11" t="n">
        <x:f>CHOOSE('假设'!$B$3,H424,H425,H426)</x:f>
        <x:v>0.14</x:v>
      </x:c>
      <x:c r="I423" s="11" t="n">
        <x:f>CHOOSE('假设'!$B$3,I424,I425,I426)</x:f>
        <x:v>6.8</x:v>
      </x:c>
    </x:row>
    <x:row r="424" ht="23" customHeight="1">
      <x:c r="A424" s="11" t="str">
        <x:v>688302.SH</x:v>
      </x:c>
      <x:c r="B424" s="11" t="str">
        <x:v>三年</x:v>
      </x:c>
      <x:c r="C424" s="11" t="str">
        <x:v>hc1119_bcr</x:v>
      </x:c>
      <x:c r="D424" s="11" t="str">
        <x:v>悲观</x:v>
      </x:c>
      <x:c r="E424" s="16" t="n">
        <x:v>0.15000000000000002</x:v>
      </x:c>
      <x:c r="F424" s="16" t="n">
        <x:v>0.15</x:v>
      </x:c>
      <x:c r="G424" s="16" t="n">
        <x:v>1</x:v>
      </x:c>
      <x:c r="H424" s="11" t="n">
        <x:f>H420</x:f>
        <x:v>0.18</x:v>
      </x:c>
      <x:c r="I424" s="11" t="n">
        <x:f>I420</x:f>
        <x:v>6.8</x:v>
      </x:c>
    </x:row>
    <x:row r="425" ht="23" customHeight="1">
      <x:c r="A425" s="11" t="str">
        <x:v>688302.SH</x:v>
      </x:c>
      <x:c r="B425" s="11" t="str">
        <x:v>三年</x:v>
      </x:c>
      <x:c r="C425" s="11" t="str">
        <x:v>hc1119_bcr</x:v>
      </x:c>
      <x:c r="D425" s="11" t="str">
        <x:v>基准</x:v>
      </x:c>
      <x:c r="E425" s="16" t="n">
        <x:v>0.5599999999999999</x:v>
      </x:c>
      <x:c r="F425" s="16" t="n">
        <x:v>0.25</x:v>
      </x:c>
      <x:c r="G425" s="16" t="n">
        <x:v>1</x:v>
      </x:c>
      <x:c r="H425" s="11" t="n">
        <x:f>H421</x:f>
        <x:v>0.14</x:v>
      </x:c>
      <x:c r="I425" s="11" t="n">
        <x:f>I421</x:f>
        <x:v>6.8</x:v>
      </x:c>
    </x:row>
    <x:row r="426" ht="23" customHeight="1">
      <x:c r="A426" s="11" t="str">
        <x:v>688302.SH</x:v>
      </x:c>
      <x:c r="B426" s="11" t="str">
        <x:v>三年</x:v>
      </x:c>
      <x:c r="C426" s="11" t="str">
        <x:v>hc1119_bcr</x:v>
      </x:c>
      <x:c r="D426" s="11" t="str">
        <x:v>乐观</x:v>
      </x:c>
      <x:c r="E426" s="16" t="n">
        <x:v>0.82</x:v>
      </x:c>
      <x:c r="F426" s="16" t="n">
        <x:v>0.35</x:v>
      </x:c>
      <x:c r="G426" s="16" t="n">
        <x:v>1</x:v>
      </x:c>
      <x:c r="H426" s="11" t="n">
        <x:f>H422</x:f>
        <x:v>0.105</x:v>
      </x:c>
      <x:c r="I426" s="11" t="n">
        <x:f>I422</x:f>
        <x:v>6.8</x:v>
      </x:c>
    </x:row>
    <x:row r="427" ht="23" customHeight="1">
      <x:c r="A427" s="11" t="str">
        <x:v>688302.SH</x:v>
      </x:c>
      <x:c r="B427" s="11" t="str">
        <x:v>三年</x:v>
      </x:c>
      <x:c r="C427" s="11" t="str">
        <x:v>hp518_combo_cn</x:v>
      </x:c>
      <x:c r="D427" s="11" t="str">
        <x:v>活动输入</x:v>
      </x:c>
      <x:c r="E427" s="11" t="n">
        <x:f>CHOOSE('假设'!$B$3,E428,E429,E430)</x:f>
        <x:v>0.3759999999999999</x:v>
      </x:c>
      <x:c r="F427" s="11" t="n">
        <x:f>CHOOSE('假设'!$B$3,F428,F429,F430)</x:f>
        <x:v>0.23</x:v>
      </x:c>
      <x:c r="G427" s="11" t="n">
        <x:f>CHOOSE('假设'!$B$3,G428,G429,G430)</x:f>
        <x:v>1</x:v>
      </x:c>
      <x:c r="H427" s="11" t="n">
        <x:f>CHOOSE('假设'!$B$3,H428,H429,H430)</x:f>
        <x:v>0.14</x:v>
      </x:c>
      <x:c r="I427" s="11" t="n">
        <x:f>CHOOSE('假设'!$B$3,I428,I429,I430)</x:f>
        <x:v>6.8</x:v>
      </x:c>
    </x:row>
    <x:row r="428" ht="23" customHeight="1">
      <x:c r="A428" s="11" t="str">
        <x:v>688302.SH</x:v>
      </x:c>
      <x:c r="B428" s="11" t="str">
        <x:v>三年</x:v>
      </x:c>
      <x:c r="C428" s="11" t="str">
        <x:v>hp518_combo_cn</x:v>
      </x:c>
      <x:c r="D428" s="11" t="str">
        <x:v>悲观</x:v>
      </x:c>
      <x:c r="E428" s="16" t="n">
        <x:v>0.06000000000000005</x:v>
      </x:c>
      <x:c r="F428" s="16" t="n">
        <x:v>0.13</x:v>
      </x:c>
      <x:c r="G428" s="16" t="n">
        <x:v>1</x:v>
      </x:c>
      <x:c r="H428" s="11" t="n">
        <x:f>H420</x:f>
        <x:v>0.18</x:v>
      </x:c>
      <x:c r="I428" s="11" t="n">
        <x:f>I420</x:f>
        <x:v>6.8</x:v>
      </x:c>
    </x:row>
    <x:row r="429" ht="23" customHeight="1">
      <x:c r="A429" s="11" t="str">
        <x:v>688302.SH</x:v>
      </x:c>
      <x:c r="B429" s="11" t="str">
        <x:v>三年</x:v>
      </x:c>
      <x:c r="C429" s="11" t="str">
        <x:v>hp518_combo_cn</x:v>
      </x:c>
      <x:c r="D429" s="11" t="str">
        <x:v>基准</x:v>
      </x:c>
      <x:c r="E429" s="16" t="n">
        <x:v>0.3759999999999999</x:v>
      </x:c>
      <x:c r="F429" s="16" t="n">
        <x:v>0.23</x:v>
      </x:c>
      <x:c r="G429" s="16" t="n">
        <x:v>1</x:v>
      </x:c>
      <x:c r="H429" s="11" t="n">
        <x:f>H421</x:f>
        <x:v>0.14</x:v>
      </x:c>
      <x:c r="I429" s="11" t="n">
        <x:f>I421</x:f>
        <x:v>6.8</x:v>
      </x:c>
    </x:row>
    <x:row r="430" ht="23" customHeight="1">
      <x:c r="A430" s="11" t="str">
        <x:v>688302.SH</x:v>
      </x:c>
      <x:c r="B430" s="11" t="str">
        <x:v>三年</x:v>
      </x:c>
      <x:c r="C430" s="11" t="str">
        <x:v>hp518_combo_cn</x:v>
      </x:c>
      <x:c r="D430" s="11" t="str">
        <x:v>乐观</x:v>
      </x:c>
      <x:c r="E430" s="16" t="n">
        <x:v>0.6699999999999999</x:v>
      </x:c>
      <x:c r="F430" s="16" t="n">
        <x:v>0.33</x:v>
      </x:c>
      <x:c r="G430" s="16" t="n">
        <x:v>1</x:v>
      </x:c>
      <x:c r="H430" s="11" t="n">
        <x:f>H422</x:f>
        <x:v>0.105</x:v>
      </x:c>
      <x:c r="I430" s="11" t="n">
        <x:f>I422</x:f>
        <x:v>6.8</x:v>
      </x:c>
    </x:row>
    <x:row r="431" ht="23" customHeight="1">
      <x:c r="A431" s="11" t="str">
        <x:v>688302.SH</x:v>
      </x:c>
      <x:c r="B431" s="11" t="str">
        <x:v>三年</x:v>
      </x:c>
      <x:c r="C431" s="11" t="str">
        <x:v>hp518_combo_global</x:v>
      </x:c>
      <x:c r="D431" s="11" t="str">
        <x:v>活动输入</x:v>
      </x:c>
      <x:c r="E431" s="11" t="n">
        <x:f>CHOOSE('假设'!$B$3,E432,E433,E434)</x:f>
        <x:v>0.31999999999999995</x:v>
      </x:c>
      <x:c r="F431" s="11" t="n">
        <x:f>CHOOSE('假设'!$B$3,F432,F433,F434)</x:f>
        <x:v>0.0738</x:v>
      </x:c>
      <x:c r="G431" s="11" t="n">
        <x:f>CHOOSE('假设'!$B$3,G432,G433,G434)</x:f>
        <x:v>1</x:v>
      </x:c>
      <x:c r="H431" s="11" t="n">
        <x:f>CHOOSE('假设'!$B$3,H432,H433,H434)</x:f>
        <x:v>0.14</x:v>
      </x:c>
      <x:c r="I431" s="11" t="n">
        <x:f>CHOOSE('假设'!$B$3,I432,I433,I434)</x:f>
        <x:v>6.8</x:v>
      </x:c>
    </x:row>
    <x:row r="432" ht="23" customHeight="1">
      <x:c r="A432" s="11" t="str">
        <x:v>688302.SH</x:v>
      </x:c>
      <x:c r="B432" s="11" t="str">
        <x:v>三年</x:v>
      </x:c>
      <x:c r="C432" s="11" t="str">
        <x:v>hp518_combo_global</x:v>
      </x:c>
      <x:c r="D432" s="11" t="str">
        <x:v>悲观</x:v>
      </x:c>
      <x:c r="E432" s="16" t="n">
        <x:v>0.040000000000000036</x:v>
      </x:c>
      <x:c r="F432" s="16" t="n">
        <x:v>0.048</x:v>
      </x:c>
      <x:c r="G432" s="16" t="n">
        <x:v>1</x:v>
      </x:c>
      <x:c r="H432" s="11" t="n">
        <x:f>H420</x:f>
        <x:v>0.18</x:v>
      </x:c>
      <x:c r="I432" s="11" t="n">
        <x:f>I420</x:f>
        <x:v>6.8</x:v>
      </x:c>
    </x:row>
    <x:row r="433" ht="23" customHeight="1">
      <x:c r="A433" s="11" t="str">
        <x:v>688302.SH</x:v>
      </x:c>
      <x:c r="B433" s="11" t="str">
        <x:v>三年</x:v>
      </x:c>
      <x:c r="C433" s="11" t="str">
        <x:v>hp518_combo_global</x:v>
      </x:c>
      <x:c r="D433" s="11" t="str">
        <x:v>基准</x:v>
      </x:c>
      <x:c r="E433" s="16" t="n">
        <x:v>0.31999999999999995</x:v>
      </x:c>
      <x:c r="F433" s="16" t="n">
        <x:v>0.0738</x:v>
      </x:c>
      <x:c r="G433" s="16" t="n">
        <x:v>1</x:v>
      </x:c>
      <x:c r="H433" s="11" t="n">
        <x:f>H421</x:f>
        <x:v>0.14</x:v>
      </x:c>
      <x:c r="I433" s="11" t="n">
        <x:f>I421</x:f>
        <x:v>6.8</x:v>
      </x:c>
    </x:row>
    <x:row r="434" ht="23" customHeight="1">
      <x:c r="A434" s="11" t="str">
        <x:v>688302.SH</x:v>
      </x:c>
      <x:c r="B434" s="11" t="str">
        <x:v>三年</x:v>
      </x:c>
      <x:c r="C434" s="11" t="str">
        <x:v>hp518_combo_global</x:v>
      </x:c>
      <x:c r="D434" s="11" t="str">
        <x:v>乐观</x:v>
      </x:c>
      <x:c r="E434" s="16" t="n">
        <x:v>0.61</x:v>
      </x:c>
      <x:c r="F434" s="16" t="n">
        <x:v>0.102</x:v>
      </x:c>
      <x:c r="G434" s="16" t="n">
        <x:v>1</x:v>
      </x:c>
      <x:c r="H434" s="11" t="n">
        <x:f>H422</x:f>
        <x:v>0.105</x:v>
      </x:c>
      <x:c r="I434" s="11" t="n">
        <x:f>I422</x:f>
        <x:v>6.8</x:v>
      </x:c>
    </x:row>
    <x:row r="435" ht="23" customHeight="1">
      <x:c r="A435" s="11" t="str">
        <x:v>688302.SH</x:v>
      </x:c>
      <x:c r="B435" s="11" t="str">
        <x:v>三年</x:v>
      </x:c>
      <x:c r="C435" s="11" t="str">
        <x:v>hp518_tnbc_cn</x:v>
      </x:c>
      <x:c r="D435" s="11" t="str">
        <x:v>活动输入</x:v>
      </x:c>
      <x:c r="E435" s="11" t="n">
        <x:f>CHOOSE('假设'!$B$3,E436,E437,E438)</x:f>
        <x:v>0.29599999999999993</x:v>
      </x:c>
      <x:c r="F435" s="11" t="n">
        <x:f>CHOOSE('假设'!$B$3,F436,F437,F438)</x:f>
        <x:v>0.23</x:v>
      </x:c>
      <x:c r="G435" s="11" t="n">
        <x:f>CHOOSE('假设'!$B$3,G436,G437,G438)</x:f>
        <x:v>1</x:v>
      </x:c>
      <x:c r="H435" s="11" t="n">
        <x:f>CHOOSE('假设'!$B$3,H436,H437,H438)</x:f>
        <x:v>0.14</x:v>
      </x:c>
      <x:c r="I435" s="11" t="n">
        <x:f>CHOOSE('假设'!$B$3,I436,I437,I438)</x:f>
        <x:v>6.8</x:v>
      </x:c>
    </x:row>
    <x:row r="436" ht="23" customHeight="1">
      <x:c r="A436" s="11" t="str">
        <x:v>688302.SH</x:v>
      </x:c>
      <x:c r="B436" s="11" t="str">
        <x:v>三年</x:v>
      </x:c>
      <x:c r="C436" s="11" t="str">
        <x:v>hp518_tnbc_cn</x:v>
      </x:c>
      <x:c r="D436" s="11" t="str">
        <x:v>悲观</x:v>
      </x:c>
      <x:c r="E436" s="16" t="n">
        <x:v>0.030000000000000027</x:v>
      </x:c>
      <x:c r="F436" s="16" t="n">
        <x:v>0.13</x:v>
      </x:c>
      <x:c r="G436" s="16" t="n">
        <x:v>1</x:v>
      </x:c>
      <x:c r="H436" s="11" t="n">
        <x:f>H420</x:f>
        <x:v>0.18</x:v>
      </x:c>
      <x:c r="I436" s="11" t="n">
        <x:f>I420</x:f>
        <x:v>6.8</x:v>
      </x:c>
    </x:row>
    <x:row r="437" ht="23" customHeight="1">
      <x:c r="A437" s="11" t="str">
        <x:v>688302.SH</x:v>
      </x:c>
      <x:c r="B437" s="11" t="str">
        <x:v>三年</x:v>
      </x:c>
      <x:c r="C437" s="11" t="str">
        <x:v>hp518_tnbc_cn</x:v>
      </x:c>
      <x:c r="D437" s="11" t="str">
        <x:v>基准</x:v>
      </x:c>
      <x:c r="E437" s="16" t="n">
        <x:v>0.29599999999999993</x:v>
      </x:c>
      <x:c r="F437" s="16" t="n">
        <x:v>0.23</x:v>
      </x:c>
      <x:c r="G437" s="16" t="n">
        <x:v>1</x:v>
      </x:c>
      <x:c r="H437" s="11" t="n">
        <x:f>H421</x:f>
        <x:v>0.14</x:v>
      </x:c>
      <x:c r="I437" s="11" t="n">
        <x:f>I421</x:f>
        <x:v>6.8</x:v>
      </x:c>
    </x:row>
    <x:row r="438" ht="23" customHeight="1">
      <x:c r="A438" s="11" t="str">
        <x:v>688302.SH</x:v>
      </x:c>
      <x:c r="B438" s="11" t="str">
        <x:v>三年</x:v>
      </x:c>
      <x:c r="C438" s="11" t="str">
        <x:v>hp518_tnbc_cn</x:v>
      </x:c>
      <x:c r="D438" s="11" t="str">
        <x:v>乐观</x:v>
      </x:c>
      <x:c r="E438" s="16" t="n">
        <x:v>0.5800000000000001</x:v>
      </x:c>
      <x:c r="F438" s="16" t="n">
        <x:v>0.33</x:v>
      </x:c>
      <x:c r="G438" s="16" t="n">
        <x:v>1</x:v>
      </x:c>
      <x:c r="H438" s="11" t="n">
        <x:f>H422</x:f>
        <x:v>0.105</x:v>
      </x:c>
      <x:c r="I438" s="11" t="n">
        <x:f>I422</x:f>
        <x:v>6.8</x:v>
      </x:c>
    </x:row>
    <x:row r="439" ht="23" customHeight="1">
      <x:c r="A439" s="11" t="str">
        <x:v>688302.SH</x:v>
      </x:c>
      <x:c r="B439" s="11" t="str">
        <x:v>三年</x:v>
      </x:c>
      <x:c r="C439" s="11" t="str">
        <x:v>hp518_tnbc_global</x:v>
      </x:c>
      <x:c r="D439" s="11" t="str">
        <x:v>活动输入</x:v>
      </x:c>
      <x:c r="E439" s="11" t="n">
        <x:f>CHOOSE('假设'!$B$3,E440,E441,E442)</x:f>
        <x:v>0.2799999999999999</x:v>
      </x:c>
      <x:c r="F439" s="11" t="n">
        <x:f>CHOOSE('假设'!$B$3,F440,F441,F442)</x:f>
        <x:v>0.0738</x:v>
      </x:c>
      <x:c r="G439" s="11" t="n">
        <x:f>CHOOSE('假设'!$B$3,G440,G441,G442)</x:f>
        <x:v>1</x:v>
      </x:c>
      <x:c r="H439" s="11" t="n">
        <x:f>CHOOSE('假设'!$B$3,H440,H441,H442)</x:f>
        <x:v>0.14</x:v>
      </x:c>
      <x:c r="I439" s="11" t="n">
        <x:f>CHOOSE('假设'!$B$3,I440,I441,I442)</x:f>
        <x:v>6.8</x:v>
      </x:c>
    </x:row>
    <x:row r="440" ht="23" customHeight="1">
      <x:c r="A440" s="11" t="str">
        <x:v>688302.SH</x:v>
      </x:c>
      <x:c r="B440" s="11" t="str">
        <x:v>三年</x:v>
      </x:c>
      <x:c r="C440" s="11" t="str">
        <x:v>hp518_tnbc_global</x:v>
      </x:c>
      <x:c r="D440" s="11" t="str">
        <x:v>悲观</x:v>
      </x:c>
      <x:c r="E440" s="16" t="n">
        <x:v>0.020000000000000018</x:v>
      </x:c>
      <x:c r="F440" s="16" t="n">
        <x:v>0.048</x:v>
      </x:c>
      <x:c r="G440" s="16" t="n">
        <x:v>1</x:v>
      </x:c>
      <x:c r="H440" s="11" t="n">
        <x:f>H420</x:f>
        <x:v>0.18</x:v>
      </x:c>
      <x:c r="I440" s="11" t="n">
        <x:f>I420</x:f>
        <x:v>6.8</x:v>
      </x:c>
    </x:row>
    <x:row r="441" ht="23" customHeight="1">
      <x:c r="A441" s="11" t="str">
        <x:v>688302.SH</x:v>
      </x:c>
      <x:c r="B441" s="11" t="str">
        <x:v>三年</x:v>
      </x:c>
      <x:c r="C441" s="11" t="str">
        <x:v>hp518_tnbc_global</x:v>
      </x:c>
      <x:c r="D441" s="11" t="str">
        <x:v>基准</x:v>
      </x:c>
      <x:c r="E441" s="16" t="n">
        <x:v>0.2799999999999999</x:v>
      </x:c>
      <x:c r="F441" s="16" t="n">
        <x:v>0.0738</x:v>
      </x:c>
      <x:c r="G441" s="16" t="n">
        <x:v>1</x:v>
      </x:c>
      <x:c r="H441" s="11" t="n">
        <x:f>H421</x:f>
        <x:v>0.14</x:v>
      </x:c>
      <x:c r="I441" s="11" t="n">
        <x:f>I421</x:f>
        <x:v>6.8</x:v>
      </x:c>
    </x:row>
    <x:row r="442" ht="23" customHeight="1">
      <x:c r="A442" s="11" t="str">
        <x:v>688302.SH</x:v>
      </x:c>
      <x:c r="B442" s="11" t="str">
        <x:v>三年</x:v>
      </x:c>
      <x:c r="C442" s="11" t="str">
        <x:v>hp518_tnbc_global</x:v>
      </x:c>
      <x:c r="D442" s="11" t="str">
        <x:v>乐观</x:v>
      </x:c>
      <x:c r="E442" s="16" t="n">
        <x:v>0.55</x:v>
      </x:c>
      <x:c r="F442" s="16" t="n">
        <x:v>0.102</x:v>
      </x:c>
      <x:c r="G442" s="16" t="n">
        <x:v>1</x:v>
      </x:c>
      <x:c r="H442" s="11" t="n">
        <x:f>H422</x:f>
        <x:v>0.105</x:v>
      </x:c>
      <x:c r="I442" s="11" t="n">
        <x:f>I422</x:f>
        <x:v>6.8</x:v>
      </x:c>
    </x:row>
    <x:row r="443" ht="23" customHeight="1">
      <x:c r="A443" s="11" t="str">
        <x:v>688302.SH</x:v>
      </x:c>
      <x:c r="B443" s="11" t="str">
        <x:v>三年</x:v>
      </x:c>
      <x:c r="C443" s="11" t="str">
        <x:v>hp515_mash_cn</x:v>
      </x:c>
      <x:c r="D443" s="11" t="str">
        <x:v>活动输入</x:v>
      </x:c>
      <x:c r="E443" s="11" t="n">
        <x:f>CHOOSE('假设'!$B$3,E444,E445,E446)</x:f>
        <x:v>0.504</x:v>
      </x:c>
      <x:c r="F443" s="11" t="n">
        <x:f>CHOOSE('假设'!$B$3,F444,F445,F446)</x:f>
        <x:v>0.25</x:v>
      </x:c>
      <x:c r="G443" s="11" t="n">
        <x:f>CHOOSE('假设'!$B$3,G444,G445,G446)</x:f>
        <x:v>1</x:v>
      </x:c>
      <x:c r="H443" s="11" t="n">
        <x:f>CHOOSE('假设'!$B$3,H444,H445,H446)</x:f>
        <x:v>0.14</x:v>
      </x:c>
      <x:c r="I443" s="11" t="n">
        <x:f>CHOOSE('假设'!$B$3,I444,I445,I446)</x:f>
        <x:v>6.8</x:v>
      </x:c>
    </x:row>
    <x:row r="444" ht="23" customHeight="1">
      <x:c r="A444" s="11" t="str">
        <x:v>688302.SH</x:v>
      </x:c>
      <x:c r="B444" s="11" t="str">
        <x:v>三年</x:v>
      </x:c>
      <x:c r="C444" s="11" t="str">
        <x:v>hp515_mash_cn</x:v>
      </x:c>
      <x:c r="D444" s="11" t="str">
        <x:v>悲观</x:v>
      </x:c>
      <x:c r="E444" s="16" t="n">
        <x:v>0.12</x:v>
      </x:c>
      <x:c r="F444" s="16" t="n">
        <x:v>0.15</x:v>
      </x:c>
      <x:c r="G444" s="16" t="n">
        <x:v>1</x:v>
      </x:c>
      <x:c r="H444" s="11" t="n">
        <x:f>H420</x:f>
        <x:v>0.18</x:v>
      </x:c>
      <x:c r="I444" s="11" t="n">
        <x:f>I420</x:f>
        <x:v>6.8</x:v>
      </x:c>
    </x:row>
    <x:row r="445" ht="23" customHeight="1">
      <x:c r="A445" s="11" t="str">
        <x:v>688302.SH</x:v>
      </x:c>
      <x:c r="B445" s="11" t="str">
        <x:v>三年</x:v>
      </x:c>
      <x:c r="C445" s="11" t="str">
        <x:v>hp515_mash_cn</x:v>
      </x:c>
      <x:c r="D445" s="11" t="str">
        <x:v>基准</x:v>
      </x:c>
      <x:c r="E445" s="16" t="n">
        <x:v>0.504</x:v>
      </x:c>
      <x:c r="F445" s="16" t="n">
        <x:v>0.25</x:v>
      </x:c>
      <x:c r="G445" s="16" t="n">
        <x:v>1</x:v>
      </x:c>
      <x:c r="H445" s="11" t="n">
        <x:f>H421</x:f>
        <x:v>0.14</x:v>
      </x:c>
      <x:c r="I445" s="11" t="n">
        <x:f>I421</x:f>
        <x:v>6.8</x:v>
      </x:c>
    </x:row>
    <x:row r="446" ht="23" customHeight="1">
      <x:c r="A446" s="11" t="str">
        <x:v>688302.SH</x:v>
      </x:c>
      <x:c r="B446" s="11" t="str">
        <x:v>三年</x:v>
      </x:c>
      <x:c r="C446" s="11" t="str">
        <x:v>hp515_mash_cn</x:v>
      </x:c>
      <x:c r="D446" s="11" t="str">
        <x:v>乐观</x:v>
      </x:c>
      <x:c r="E446" s="16" t="n">
        <x:v>0.76</x:v>
      </x:c>
      <x:c r="F446" s="16" t="n">
        <x:v>0.35</x:v>
      </x:c>
      <x:c r="G446" s="16" t="n">
        <x:v>1</x:v>
      </x:c>
      <x:c r="H446" s="11" t="n">
        <x:f>H422</x:f>
        <x:v>0.105</x:v>
      </x:c>
      <x:c r="I446" s="11" t="n">
        <x:f>I422</x:f>
        <x:v>6.8</x:v>
      </x:c>
    </x:row>
    <x:row r="447" ht="23" customHeight="1">
      <x:c r="A447" s="11" t="str">
        <x:v>688302.SH</x:v>
      </x:c>
      <x:c r="B447" s="11" t="str">
        <x:v>三年</x:v>
      </x:c>
      <x:c r="C447" s="11" t="str">
        <x:v>hp515_mash_global</x:v>
      </x:c>
      <x:c r="D447" s="11" t="str">
        <x:v>活动输入</x:v>
      </x:c>
      <x:c r="E447" s="11" t="n">
        <x:f>CHOOSE('假设'!$B$3,E448,E449,E450)</x:f>
        <x:v>0.3999999999999999</x:v>
      </x:c>
      <x:c r="F447" s="11" t="n">
        <x:f>CHOOSE('假设'!$B$3,F448,F449,F450)</x:f>
        <x:v>0.0738</x:v>
      </x:c>
      <x:c r="G447" s="11" t="n">
        <x:f>CHOOSE('假设'!$B$3,G448,G449,G450)</x:f>
        <x:v>1</x:v>
      </x:c>
      <x:c r="H447" s="11" t="n">
        <x:f>CHOOSE('假设'!$B$3,H448,H449,H450)</x:f>
        <x:v>0.14</x:v>
      </x:c>
      <x:c r="I447" s="11" t="n">
        <x:f>CHOOSE('假设'!$B$3,I448,I449,I450)</x:f>
        <x:v>6.8</x:v>
      </x:c>
    </x:row>
    <x:row r="448" ht="23" customHeight="1">
      <x:c r="A448" s="11" t="str">
        <x:v>688302.SH</x:v>
      </x:c>
      <x:c r="B448" s="11" t="str">
        <x:v>三年</x:v>
      </x:c>
      <x:c r="C448" s="11" t="str">
        <x:v>hp515_mash_global</x:v>
      </x:c>
      <x:c r="D448" s="11" t="str">
        <x:v>悲观</x:v>
      </x:c>
      <x:c r="E448" s="16" t="n">
        <x:v>0.06000000000000005</x:v>
      </x:c>
      <x:c r="F448" s="16" t="n">
        <x:v>0.048</x:v>
      </x:c>
      <x:c r="G448" s="16" t="n">
        <x:v>1</x:v>
      </x:c>
      <x:c r="H448" s="11" t="n">
        <x:f>H420</x:f>
        <x:v>0.18</x:v>
      </x:c>
      <x:c r="I448" s="11" t="n">
        <x:f>I420</x:f>
        <x:v>6.8</x:v>
      </x:c>
    </x:row>
    <x:row r="449" ht="23" customHeight="1">
      <x:c r="A449" s="11" t="str">
        <x:v>688302.SH</x:v>
      </x:c>
      <x:c r="B449" s="11" t="str">
        <x:v>三年</x:v>
      </x:c>
      <x:c r="C449" s="11" t="str">
        <x:v>hp515_mash_global</x:v>
      </x:c>
      <x:c r="D449" s="11" t="str">
        <x:v>基准</x:v>
      </x:c>
      <x:c r="E449" s="16" t="n">
        <x:v>0.3999999999999999</x:v>
      </x:c>
      <x:c r="F449" s="16" t="n">
        <x:v>0.0738</x:v>
      </x:c>
      <x:c r="G449" s="16" t="n">
        <x:v>1</x:v>
      </x:c>
      <x:c r="H449" s="11" t="n">
        <x:f>H421</x:f>
        <x:v>0.14</x:v>
      </x:c>
      <x:c r="I449" s="11" t="n">
        <x:f>I421</x:f>
        <x:v>6.8</x:v>
      </x:c>
    </x:row>
    <x:row r="450" ht="23" customHeight="1">
      <x:c r="A450" s="11" t="str">
        <x:v>688302.SH</x:v>
      </x:c>
      <x:c r="B450" s="11" t="str">
        <x:v>三年</x:v>
      </x:c>
      <x:c r="C450" s="11" t="str">
        <x:v>hp515_mash_global</x:v>
      </x:c>
      <x:c r="D450" s="11" t="str">
        <x:v>乐观</x:v>
      </x:c>
      <x:c r="E450" s="16" t="n">
        <x:v>0.7</x:v>
      </x:c>
      <x:c r="F450" s="16" t="n">
        <x:v>0.102</x:v>
      </x:c>
      <x:c r="G450" s="16" t="n">
        <x:v>1</x:v>
      </x:c>
      <x:c r="H450" s="11" t="n">
        <x:f>H422</x:f>
        <x:v>0.105</x:v>
      </x:c>
      <x:c r="I450" s="11" t="n">
        <x:f>I422</x:f>
        <x:v>6.8</x:v>
      </x:c>
    </x:row>
    <x:row r="451" ht="23" customHeight="1">
      <x:c r="A451" s="11" t="str">
        <x:v>688302.SH</x:v>
      </x:c>
      <x:c r="B451" s="11" t="str">
        <x:v>三年</x:v>
      </x:c>
      <x:c r="C451" s="11" t="str">
        <x:v>hp515_obesity_cn</x:v>
      </x:c>
      <x:c r="D451" s="11" t="str">
        <x:v>活动输入</x:v>
      </x:c>
      <x:c r="E451" s="11" t="n">
        <x:f>CHOOSE('假设'!$B$3,E452,E453,E454)</x:f>
        <x:v>0.31999999999999995</x:v>
      </x:c>
      <x:c r="F451" s="11" t="n">
        <x:f>CHOOSE('假设'!$B$3,F452,F453,F454)</x:f>
        <x:v>0.18</x:v>
      </x:c>
      <x:c r="G451" s="11" t="n">
        <x:f>CHOOSE('假设'!$B$3,G452,G453,G454)</x:f>
        <x:v>1</x:v>
      </x:c>
      <x:c r="H451" s="11" t="n">
        <x:f>CHOOSE('假设'!$B$3,H452,H453,H454)</x:f>
        <x:v>0.14</x:v>
      </x:c>
      <x:c r="I451" s="11" t="n">
        <x:f>CHOOSE('假设'!$B$3,I452,I453,I454)</x:f>
        <x:v>6.8</x:v>
      </x:c>
    </x:row>
    <x:row r="452" ht="23" customHeight="1">
      <x:c r="A452" s="11" t="str">
        <x:v>688302.SH</x:v>
      </x:c>
      <x:c r="B452" s="11" t="str">
        <x:v>三年</x:v>
      </x:c>
      <x:c r="C452" s="11" t="str">
        <x:v>hp515_obesity_cn</x:v>
      </x:c>
      <x:c r="D452" s="11" t="str">
        <x:v>悲观</x:v>
      </x:c>
      <x:c r="E452" s="16" t="n">
        <x:v>0.040000000000000036</x:v>
      </x:c>
      <x:c r="F452" s="16" t="n">
        <x:v>0.1</x:v>
      </x:c>
      <x:c r="G452" s="16" t="n">
        <x:v>1</x:v>
      </x:c>
      <x:c r="H452" s="11" t="n">
        <x:f>H420</x:f>
        <x:v>0.18</x:v>
      </x:c>
      <x:c r="I452" s="11" t="n">
        <x:f>I420</x:f>
        <x:v>6.8</x:v>
      </x:c>
    </x:row>
    <x:row r="453" ht="23" customHeight="1">
      <x:c r="A453" s="11" t="str">
        <x:v>688302.SH</x:v>
      </x:c>
      <x:c r="B453" s="11" t="str">
        <x:v>三年</x:v>
      </x:c>
      <x:c r="C453" s="11" t="str">
        <x:v>hp515_obesity_cn</x:v>
      </x:c>
      <x:c r="D453" s="11" t="str">
        <x:v>基准</x:v>
      </x:c>
      <x:c r="E453" s="16" t="n">
        <x:v>0.31999999999999995</x:v>
      </x:c>
      <x:c r="F453" s="16" t="n">
        <x:v>0.18</x:v>
      </x:c>
      <x:c r="G453" s="16" t="n">
        <x:v>1</x:v>
      </x:c>
      <x:c r="H453" s="11" t="n">
        <x:f>H421</x:f>
        <x:v>0.14</x:v>
      </x:c>
      <x:c r="I453" s="11" t="n">
        <x:f>I421</x:f>
        <x:v>6.8</x:v>
      </x:c>
    </x:row>
    <x:row r="454" ht="23" customHeight="1">
      <x:c r="A454" s="11" t="str">
        <x:v>688302.SH</x:v>
      </x:c>
      <x:c r="B454" s="11" t="str">
        <x:v>三年</x:v>
      </x:c>
      <x:c r="C454" s="11" t="str">
        <x:v>hp515_obesity_cn</x:v>
      </x:c>
      <x:c r="D454" s="11" t="str">
        <x:v>乐观</x:v>
      </x:c>
      <x:c r="E454" s="16" t="n">
        <x:v>0.61</x:v>
      </x:c>
      <x:c r="F454" s="16" t="n">
        <x:v>0.28</x:v>
      </x:c>
      <x:c r="G454" s="16" t="n">
        <x:v>1</x:v>
      </x:c>
      <x:c r="H454" s="11" t="n">
        <x:f>H422</x:f>
        <x:v>0.105</x:v>
      </x:c>
      <x:c r="I454" s="11" t="n">
        <x:f>I422</x:f>
        <x:v>6.8</x:v>
      </x:c>
    </x:row>
    <x:row r="455" ht="23" customHeight="1">
      <x:c r="A455" s="11" t="str">
        <x:v>688302.SH</x:v>
      </x:c>
      <x:c r="B455" s="11" t="str">
        <x:v>三年</x:v>
      </x:c>
      <x:c r="C455" s="11" t="str">
        <x:v>hp515_obesity_global</x:v>
      </x:c>
      <x:c r="D455" s="11" t="str">
        <x:v>活动输入</x:v>
      </x:c>
      <x:c r="E455" s="11" t="n">
        <x:f>CHOOSE('假设'!$B$3,E456,E457,E458)</x:f>
        <x:v>0.2799999999999999</x:v>
      </x:c>
      <x:c r="F455" s="11" t="n">
        <x:f>CHOOSE('假设'!$B$3,F456,F457,F458)</x:f>
        <x:v>0.0656</x:v>
      </x:c>
      <x:c r="G455" s="11" t="n">
        <x:f>CHOOSE('假设'!$B$3,G456,G457,G458)</x:f>
        <x:v>1</x:v>
      </x:c>
      <x:c r="H455" s="11" t="n">
        <x:f>CHOOSE('假设'!$B$3,H456,H457,H458)</x:f>
        <x:v>0.14</x:v>
      </x:c>
      <x:c r="I455" s="11" t="n">
        <x:f>CHOOSE('假设'!$B$3,I456,I457,I458)</x:f>
        <x:v>6.8</x:v>
      </x:c>
    </x:row>
    <x:row r="456" ht="23" customHeight="1">
      <x:c r="A456" s="11" t="str">
        <x:v>688302.SH</x:v>
      </x:c>
      <x:c r="B456" s="11" t="str">
        <x:v>三年</x:v>
      </x:c>
      <x:c r="C456" s="11" t="str">
        <x:v>hp515_obesity_global</x:v>
      </x:c>
      <x:c r="D456" s="11" t="str">
        <x:v>悲观</x:v>
      </x:c>
      <x:c r="E456" s="16" t="n">
        <x:v>0.025000000000000022</x:v>
      </x:c>
      <x:c r="F456" s="16" t="n">
        <x:v>0.04000000000000001</x:v>
      </x:c>
      <x:c r="G456" s="16" t="n">
        <x:v>1</x:v>
      </x:c>
      <x:c r="H456" s="11" t="n">
        <x:f>H420</x:f>
        <x:v>0.18</x:v>
      </x:c>
      <x:c r="I456" s="11" t="n">
        <x:f>I420</x:f>
        <x:v>6.8</x:v>
      </x:c>
    </x:row>
    <x:row r="457" ht="23" customHeight="1">
      <x:c r="A457" s="11" t="str">
        <x:v>688302.SH</x:v>
      </x:c>
      <x:c r="B457" s="11" t="str">
        <x:v>三年</x:v>
      </x:c>
      <x:c r="C457" s="11" t="str">
        <x:v>hp515_obesity_global</x:v>
      </x:c>
      <x:c r="D457" s="11" t="str">
        <x:v>基准</x:v>
      </x:c>
      <x:c r="E457" s="16" t="n">
        <x:v>0.2799999999999999</x:v>
      </x:c>
      <x:c r="F457" s="16" t="n">
        <x:v>0.0656</x:v>
      </x:c>
      <x:c r="G457" s="16" t="n">
        <x:v>1</x:v>
      </x:c>
      <x:c r="H457" s="11" t="n">
        <x:f>H421</x:f>
        <x:v>0.14</x:v>
      </x:c>
      <x:c r="I457" s="11" t="n">
        <x:f>I421</x:f>
        <x:v>6.8</x:v>
      </x:c>
    </x:row>
    <x:row r="458" ht="23" customHeight="1">
      <x:c r="A458" s="11" t="str">
        <x:v>688302.SH</x:v>
      </x:c>
      <x:c r="B458" s="11" t="str">
        <x:v>三年</x:v>
      </x:c>
      <x:c r="C458" s="11" t="str">
        <x:v>hp515_obesity_global</x:v>
      </x:c>
      <x:c r="D458" s="11" t="str">
        <x:v>乐观</x:v>
      </x:c>
      <x:c r="E458" s="16" t="n">
        <x:v>0.55</x:v>
      </x:c>
      <x:c r="F458" s="16" t="n">
        <x:v>0.0935</x:v>
      </x:c>
      <x:c r="G458" s="16" t="n">
        <x:v>1</x:v>
      </x:c>
      <x:c r="H458" s="11" t="n">
        <x:f>H422</x:f>
        <x:v>0.105</x:v>
      </x:c>
      <x:c r="I458" s="11" t="n">
        <x:f>I422</x:f>
        <x:v>6.8</x:v>
      </x:c>
    </x:row>
    <x:row r="459" ht="23" customHeight="1">
      <x:c r="A459" s="11" t="str">
        <x:v>688302.SH</x:v>
      </x:c>
      <x:c r="B459" s="11" t="str">
        <x:v>三年</x:v>
      </x:c>
      <x:c r="C459" s="11" t="str">
        <x:v>hp570_global</x:v>
      </x:c>
      <x:c r="D459" s="11" t="str">
        <x:v>活动输入</x:v>
      </x:c>
      <x:c r="E459" s="11" t="n">
        <x:f>CHOOSE('假设'!$B$3,E460,E461,E462)</x:f>
        <x:v>0.248</x:v>
      </x:c>
      <x:c r="F459" s="11" t="n">
        <x:f>CHOOSE('假设'!$B$3,F460,F461,F462)</x:f>
        <x:v>0.0656</x:v>
      </x:c>
      <x:c r="G459" s="11" t="n">
        <x:f>CHOOSE('假设'!$B$3,G460,G461,G462)</x:f>
        <x:v>1</x:v>
      </x:c>
      <x:c r="H459" s="11" t="n">
        <x:f>CHOOSE('假设'!$B$3,H460,H461,H462)</x:f>
        <x:v>0.14</x:v>
      </x:c>
      <x:c r="I459" s="11" t="n">
        <x:f>CHOOSE('假设'!$B$3,I460,I461,I462)</x:f>
        <x:v>6.8</x:v>
      </x:c>
    </x:row>
    <x:row r="460" ht="23" customHeight="1">
      <x:c r="A460" s="11" t="str">
        <x:v>688302.SH</x:v>
      </x:c>
      <x:c r="B460" s="11" t="str">
        <x:v>三年</x:v>
      </x:c>
      <x:c r="C460" s="11" t="str">
        <x:v>hp570_global</x:v>
      </x:c>
      <x:c r="D460" s="11" t="str">
        <x:v>悲观</x:v>
      </x:c>
      <x:c r="E460" s="16" t="n">
        <x:v>0.010000000000000009</x:v>
      </x:c>
      <x:c r="F460" s="16" t="n">
        <x:v>0.04000000000000001</x:v>
      </x:c>
      <x:c r="G460" s="16" t="n">
        <x:v>1</x:v>
      </x:c>
      <x:c r="H460" s="11" t="n">
        <x:f>H420</x:f>
        <x:v>0.18</x:v>
      </x:c>
      <x:c r="I460" s="11" t="n">
        <x:f>I420</x:f>
        <x:v>6.8</x:v>
      </x:c>
    </x:row>
    <x:row r="461" ht="23" customHeight="1">
      <x:c r="A461" s="11" t="str">
        <x:v>688302.SH</x:v>
      </x:c>
      <x:c r="B461" s="11" t="str">
        <x:v>三年</x:v>
      </x:c>
      <x:c r="C461" s="11" t="str">
        <x:v>hp570_global</x:v>
      </x:c>
      <x:c r="D461" s="11" t="str">
        <x:v>基准</x:v>
      </x:c>
      <x:c r="E461" s="16" t="n">
        <x:v>0.248</x:v>
      </x:c>
      <x:c r="F461" s="16" t="n">
        <x:v>0.0656</x:v>
      </x:c>
      <x:c r="G461" s="16" t="n">
        <x:v>1</x:v>
      </x:c>
      <x:c r="H461" s="11" t="n">
        <x:f>H421</x:f>
        <x:v>0.14</x:v>
      </x:c>
      <x:c r="I461" s="11" t="n">
        <x:f>I421</x:f>
        <x:v>6.8</x:v>
      </x:c>
    </x:row>
    <x:row r="462" ht="23" customHeight="1">
      <x:c r="A462" s="11" t="str">
        <x:v>688302.SH</x:v>
      </x:c>
      <x:c r="B462" s="11" t="str">
        <x:v>三年</x:v>
      </x:c>
      <x:c r="C462" s="11" t="str">
        <x:v>hp570_global</x:v>
      </x:c>
      <x:c r="D462" s="11" t="str">
        <x:v>乐观</x:v>
      </x:c>
      <x:c r="E462" s="16" t="n">
        <x:v>0.508</x:v>
      </x:c>
      <x:c r="F462" s="16" t="n">
        <x:v>0.0935</x:v>
      </x:c>
      <x:c r="G462" s="16" t="n">
        <x:v>1</x:v>
      </x:c>
      <x:c r="H462" s="11" t="n">
        <x:f>H422</x:f>
        <x:v>0.105</x:v>
      </x:c>
      <x:c r="I462" s="11" t="n">
        <x:f>I422</x:f>
        <x:v>6.8</x:v>
      </x:c>
    </x:row>
    <x:row r="463" ht="23" customHeight="1">
      <x:c r="A463" s="11" t="str">
        <x:v>688302.SH</x:v>
      </x:c>
      <x:c r="B463" s="11" t="str">
        <x:v>五年</x:v>
      </x:c>
      <x:c r="C463" s="11" t="str">
        <x:v>hc1119_later</x:v>
      </x:c>
      <x:c r="D463" s="11" t="str">
        <x:v>活动输入</x:v>
      </x:c>
      <x:c r="E463" s="11" t="n">
        <x:f>CHOOSE('假设'!$B$3,E464,E465,E466)</x:f>
        <x:v>1</x:v>
      </x:c>
      <x:c r="F463" s="11" t="n">
        <x:f>CHOOSE('假设'!$B$3,F464,F465,F466)</x:f>
        <x:v>0.25</x:v>
      </x:c>
      <x:c r="G463" s="11" t="n">
        <x:f>CHOOSE('假设'!$B$3,G464,G465,G466)</x:f>
        <x:v>1</x:v>
      </x:c>
      <x:c r="H463" s="11" t="n">
        <x:f>CHOOSE('假设'!$B$3,H464,H465,H466)</x:f>
        <x:v>0.14</x:v>
      </x:c>
      <x:c r="I463" s="11" t="n">
        <x:f>CHOOSE('假设'!$B$3,I464,I465,I466)</x:f>
        <x:v>6.8</x:v>
      </x:c>
    </x:row>
    <x:row r="464" ht="23" customHeight="1">
      <x:c r="A464" s="11" t="str">
        <x:v>688302.SH</x:v>
      </x:c>
      <x:c r="B464" s="11" t="str">
        <x:v>五年</x:v>
      </x:c>
      <x:c r="C464" s="11" t="str">
        <x:v>hc1119_later</x:v>
      </x:c>
      <x:c r="D464" s="11" t="str">
        <x:v>悲观</x:v>
      </x:c>
      <x:c r="E464" s="16" t="n">
        <x:v>1</x:v>
      </x:c>
      <x:c r="F464" s="16" t="n">
        <x:v>0.15</x:v>
      </x:c>
      <x:c r="G464" s="16" t="n">
        <x:v>1</x:v>
      </x:c>
      <x:c r="H464" s="16" t="n">
        <x:v>0.18</x:v>
      </x:c>
      <x:c r="I464" s="16" t="n">
        <x:v>6.8</x:v>
      </x:c>
    </x:row>
    <x:row r="465" ht="23" customHeight="1">
      <x:c r="A465" s="11" t="str">
        <x:v>688302.SH</x:v>
      </x:c>
      <x:c r="B465" s="11" t="str">
        <x:v>五年</x:v>
      </x:c>
      <x:c r="C465" s="11" t="str">
        <x:v>hc1119_later</x:v>
      </x:c>
      <x:c r="D465" s="11" t="str">
        <x:v>基准</x:v>
      </x:c>
      <x:c r="E465" s="16" t="n">
        <x:v>1</x:v>
      </x:c>
      <x:c r="F465" s="16" t="n">
        <x:v>0.25</x:v>
      </x:c>
      <x:c r="G465" s="16" t="n">
        <x:v>1</x:v>
      </x:c>
      <x:c r="H465" s="16" t="n">
        <x:v>0.14</x:v>
      </x:c>
      <x:c r="I465" s="16" t="n">
        <x:v>6.8</x:v>
      </x:c>
    </x:row>
    <x:row r="466" ht="23" customHeight="1">
      <x:c r="A466" s="11" t="str">
        <x:v>688302.SH</x:v>
      </x:c>
      <x:c r="B466" s="11" t="str">
        <x:v>五年</x:v>
      </x:c>
      <x:c r="C466" s="11" t="str">
        <x:v>hc1119_later</x:v>
      </x:c>
      <x:c r="D466" s="11" t="str">
        <x:v>乐观</x:v>
      </x:c>
      <x:c r="E466" s="16" t="n">
        <x:v>1</x:v>
      </x:c>
      <x:c r="F466" s="16" t="n">
        <x:v>0.35</x:v>
      </x:c>
      <x:c r="G466" s="16" t="n">
        <x:v>1</x:v>
      </x:c>
      <x:c r="H466" s="16" t="n">
        <x:v>0.105</x:v>
      </x:c>
      <x:c r="I466" s="16" t="n">
        <x:v>6.8</x:v>
      </x:c>
    </x:row>
    <x:row r="467" ht="23" customHeight="1">
      <x:c r="A467" s="11" t="str">
        <x:v>688302.SH</x:v>
      </x:c>
      <x:c r="B467" s="11" t="str">
        <x:v>五年</x:v>
      </x:c>
      <x:c r="C467" s="11" t="str">
        <x:v>hc1119_bcr</x:v>
      </x:c>
      <x:c r="D467" s="11" t="str">
        <x:v>活动输入</x:v>
      </x:c>
      <x:c r="E467" s="11" t="n">
        <x:f>CHOOSE('假设'!$B$3,E468,E469,E470)</x:f>
        <x:v>0.6259999999999999</x:v>
      </x:c>
      <x:c r="F467" s="11" t="n">
        <x:f>CHOOSE('假设'!$B$3,F468,F469,F470)</x:f>
        <x:v>0.25</x:v>
      </x:c>
      <x:c r="G467" s="11" t="n">
        <x:f>CHOOSE('假设'!$B$3,G468,G469,G470)</x:f>
        <x:v>1</x:v>
      </x:c>
      <x:c r="H467" s="11" t="n">
        <x:f>CHOOSE('假设'!$B$3,H468,H469,H470)</x:f>
        <x:v>0.14</x:v>
      </x:c>
      <x:c r="I467" s="11" t="n">
        <x:f>CHOOSE('假设'!$B$3,I468,I469,I470)</x:f>
        <x:v>6.8</x:v>
      </x:c>
    </x:row>
    <x:row r="468" ht="23" customHeight="1">
      <x:c r="A468" s="11" t="str">
        <x:v>688302.SH</x:v>
      </x:c>
      <x:c r="B468" s="11" t="str">
        <x:v>五年</x:v>
      </x:c>
      <x:c r="C468" s="11" t="str">
        <x:v>hc1119_bcr</x:v>
      </x:c>
      <x:c r="D468" s="11" t="str">
        <x:v>悲观</x:v>
      </x:c>
      <x:c r="E468" s="16" t="n">
        <x:v>0.15000000000000002</x:v>
      </x:c>
      <x:c r="F468" s="16" t="n">
        <x:v>0.15</x:v>
      </x:c>
      <x:c r="G468" s="16" t="n">
        <x:v>1</x:v>
      </x:c>
      <x:c r="H468" s="11" t="n">
        <x:f>H464</x:f>
        <x:v>0.18</x:v>
      </x:c>
      <x:c r="I468" s="11" t="n">
        <x:f>I464</x:f>
        <x:v>6.8</x:v>
      </x:c>
    </x:row>
    <x:row r="469" ht="23" customHeight="1">
      <x:c r="A469" s="11" t="str">
        <x:v>688302.SH</x:v>
      </x:c>
      <x:c r="B469" s="11" t="str">
        <x:v>五年</x:v>
      </x:c>
      <x:c r="C469" s="11" t="str">
        <x:v>hc1119_bcr</x:v>
      </x:c>
      <x:c r="D469" s="11" t="str">
        <x:v>基准</x:v>
      </x:c>
      <x:c r="E469" s="16" t="n">
        <x:v>0.6259999999999999</x:v>
      </x:c>
      <x:c r="F469" s="16" t="n">
        <x:v>0.25</x:v>
      </x:c>
      <x:c r="G469" s="16" t="n">
        <x:v>1</x:v>
      </x:c>
      <x:c r="H469" s="11" t="n">
        <x:f>H465</x:f>
        <x:v>0.14</x:v>
      </x:c>
      <x:c r="I469" s="11" t="n">
        <x:f>I465</x:f>
        <x:v>6.8</x:v>
      </x:c>
    </x:row>
    <x:row r="470" ht="23" customHeight="1">
      <x:c r="A470" s="11" t="str">
        <x:v>688302.SH</x:v>
      </x:c>
      <x:c r="B470" s="11" t="str">
        <x:v>五年</x:v>
      </x:c>
      <x:c r="C470" s="11" t="str">
        <x:v>hc1119_bcr</x:v>
      </x:c>
      <x:c r="D470" s="11" t="str">
        <x:v>乐观</x:v>
      </x:c>
      <x:c r="E470" s="16" t="n">
        <x:v>0.865</x:v>
      </x:c>
      <x:c r="F470" s="16" t="n">
        <x:v>0.35</x:v>
      </x:c>
      <x:c r="G470" s="16" t="n">
        <x:v>1</x:v>
      </x:c>
      <x:c r="H470" s="11" t="n">
        <x:f>H466</x:f>
        <x:v>0.105</x:v>
      </x:c>
      <x:c r="I470" s="11" t="n">
        <x:f>I466</x:f>
        <x:v>6.8</x:v>
      </x:c>
    </x:row>
    <x:row r="471" ht="23" customHeight="1">
      <x:c r="A471" s="11" t="str">
        <x:v>688302.SH</x:v>
      </x:c>
      <x:c r="B471" s="11" t="str">
        <x:v>五年</x:v>
      </x:c>
      <x:c r="C471" s="11" t="str">
        <x:v>hp518_combo_cn</x:v>
      </x:c>
      <x:c r="D471" s="11" t="str">
        <x:v>活动输入</x:v>
      </x:c>
      <x:c r="E471" s="11" t="n">
        <x:f>CHOOSE('假设'!$B$3,E472,E473,E474)</x:f>
        <x:v>0.4695999999999999</x:v>
      </x:c>
      <x:c r="F471" s="11" t="n">
        <x:f>CHOOSE('假设'!$B$3,F472,F473,F474)</x:f>
        <x:v>0.23</x:v>
      </x:c>
      <x:c r="G471" s="11" t="n">
        <x:f>CHOOSE('假设'!$B$3,G472,G473,G474)</x:f>
        <x:v>1</x:v>
      </x:c>
      <x:c r="H471" s="11" t="n">
        <x:f>CHOOSE('假设'!$B$3,H472,H473,H474)</x:f>
        <x:v>0.14</x:v>
      </x:c>
      <x:c r="I471" s="11" t="n">
        <x:f>CHOOSE('假设'!$B$3,I472,I473,I474)</x:f>
        <x:v>6.8</x:v>
      </x:c>
    </x:row>
    <x:row r="472" ht="23" customHeight="1">
      <x:c r="A472" s="11" t="str">
        <x:v>688302.SH</x:v>
      </x:c>
      <x:c r="B472" s="11" t="str">
        <x:v>五年</x:v>
      </x:c>
      <x:c r="C472" s="11" t="str">
        <x:v>hp518_combo_cn</x:v>
      </x:c>
      <x:c r="D472" s="11" t="str">
        <x:v>悲观</x:v>
      </x:c>
      <x:c r="E472" s="16" t="n">
        <x:v>0.06000000000000005</x:v>
      </x:c>
      <x:c r="F472" s="16" t="n">
        <x:v>0.13</x:v>
      </x:c>
      <x:c r="G472" s="16" t="n">
        <x:v>1</x:v>
      </x:c>
      <x:c r="H472" s="11" t="n">
        <x:f>H464</x:f>
        <x:v>0.18</x:v>
      </x:c>
      <x:c r="I472" s="11" t="n">
        <x:f>I464</x:f>
        <x:v>6.8</x:v>
      </x:c>
    </x:row>
    <x:row r="473" ht="23" customHeight="1">
      <x:c r="A473" s="11" t="str">
        <x:v>688302.SH</x:v>
      </x:c>
      <x:c r="B473" s="11" t="str">
        <x:v>五年</x:v>
      </x:c>
      <x:c r="C473" s="11" t="str">
        <x:v>hp518_combo_cn</x:v>
      </x:c>
      <x:c r="D473" s="11" t="str">
        <x:v>基准</x:v>
      </x:c>
      <x:c r="E473" s="16" t="n">
        <x:v>0.4695999999999999</x:v>
      </x:c>
      <x:c r="F473" s="16" t="n">
        <x:v>0.23</x:v>
      </x:c>
      <x:c r="G473" s="16" t="n">
        <x:v>1</x:v>
      </x:c>
      <x:c r="H473" s="11" t="n">
        <x:f>H465</x:f>
        <x:v>0.14</x:v>
      </x:c>
      <x:c r="I473" s="11" t="n">
        <x:f>I465</x:f>
        <x:v>6.8</x:v>
      </x:c>
    </x:row>
    <x:row r="474" ht="23" customHeight="1">
      <x:c r="A474" s="11" t="str">
        <x:v>688302.SH</x:v>
      </x:c>
      <x:c r="B474" s="11" t="str">
        <x:v>五年</x:v>
      </x:c>
      <x:c r="C474" s="11" t="str">
        <x:v>hp518_combo_cn</x:v>
      </x:c>
      <x:c r="D474" s="11" t="str">
        <x:v>乐观</x:v>
      </x:c>
      <x:c r="E474" s="16" t="n">
        <x:v>0.7525</x:v>
      </x:c>
      <x:c r="F474" s="16" t="n">
        <x:v>0.33</x:v>
      </x:c>
      <x:c r="G474" s="16" t="n">
        <x:v>1</x:v>
      </x:c>
      <x:c r="H474" s="11" t="n">
        <x:f>H466</x:f>
        <x:v>0.105</x:v>
      </x:c>
      <x:c r="I474" s="11" t="n">
        <x:f>I466</x:f>
        <x:v>6.8</x:v>
      </x:c>
    </x:row>
    <x:row r="475" ht="23" customHeight="1">
      <x:c r="A475" s="11" t="str">
        <x:v>688302.SH</x:v>
      </x:c>
      <x:c r="B475" s="11" t="str">
        <x:v>五年</x:v>
      </x:c>
      <x:c r="C475" s="11" t="str">
        <x:v>hp518_combo_global</x:v>
      </x:c>
      <x:c r="D475" s="11" t="str">
        <x:v>活动输入</x:v>
      </x:c>
      <x:c r="E475" s="11" t="n">
        <x:f>CHOOSE('假设'!$B$3,E476,E477,E478)</x:f>
        <x:v>0.42199999999999993</x:v>
      </x:c>
      <x:c r="F475" s="11" t="n">
        <x:f>CHOOSE('假设'!$B$3,F476,F477,F478)</x:f>
        <x:v>0.0738</x:v>
      </x:c>
      <x:c r="G475" s="11" t="n">
        <x:f>CHOOSE('假设'!$B$3,G476,G477,G478)</x:f>
        <x:v>1</x:v>
      </x:c>
      <x:c r="H475" s="11" t="n">
        <x:f>CHOOSE('假设'!$B$3,H476,H477,H478)</x:f>
        <x:v>0.14</x:v>
      </x:c>
      <x:c r="I475" s="11" t="n">
        <x:f>CHOOSE('假设'!$B$3,I476,I477,I478)</x:f>
        <x:v>6.8</x:v>
      </x:c>
    </x:row>
    <x:row r="476" ht="23" customHeight="1">
      <x:c r="A476" s="11" t="str">
        <x:v>688302.SH</x:v>
      </x:c>
      <x:c r="B476" s="11" t="str">
        <x:v>五年</x:v>
      </x:c>
      <x:c r="C476" s="11" t="str">
        <x:v>hp518_combo_global</x:v>
      </x:c>
      <x:c r="D476" s="11" t="str">
        <x:v>悲观</x:v>
      </x:c>
      <x:c r="E476" s="16" t="n">
        <x:v>0.040000000000000036</x:v>
      </x:c>
      <x:c r="F476" s="16" t="n">
        <x:v>0.048</x:v>
      </x:c>
      <x:c r="G476" s="16" t="n">
        <x:v>1</x:v>
      </x:c>
      <x:c r="H476" s="11" t="n">
        <x:f>H464</x:f>
        <x:v>0.18</x:v>
      </x:c>
      <x:c r="I476" s="11" t="n">
        <x:f>I464</x:f>
        <x:v>6.8</x:v>
      </x:c>
    </x:row>
    <x:row r="477" ht="23" customHeight="1">
      <x:c r="A477" s="11" t="str">
        <x:v>688302.SH</x:v>
      </x:c>
      <x:c r="B477" s="11" t="str">
        <x:v>五年</x:v>
      </x:c>
      <x:c r="C477" s="11" t="str">
        <x:v>hp518_combo_global</x:v>
      </x:c>
      <x:c r="D477" s="11" t="str">
        <x:v>基准</x:v>
      </x:c>
      <x:c r="E477" s="16" t="n">
        <x:v>0.42199999999999993</x:v>
      </x:c>
      <x:c r="F477" s="16" t="n">
        <x:v>0.0738</x:v>
      </x:c>
      <x:c r="G477" s="16" t="n">
        <x:v>1</x:v>
      </x:c>
      <x:c r="H477" s="11" t="n">
        <x:f>H465</x:f>
        <x:v>0.14</x:v>
      </x:c>
      <x:c r="I477" s="11" t="n">
        <x:f>I465</x:f>
        <x:v>6.8</x:v>
      </x:c>
    </x:row>
    <x:row r="478" ht="23" customHeight="1">
      <x:c r="A478" s="11" t="str">
        <x:v>688302.SH</x:v>
      </x:c>
      <x:c r="B478" s="11" t="str">
        <x:v>五年</x:v>
      </x:c>
      <x:c r="C478" s="11" t="str">
        <x:v>hp518_combo_global</x:v>
      </x:c>
      <x:c r="D478" s="11" t="str">
        <x:v>乐观</x:v>
      </x:c>
      <x:c r="E478" s="16" t="n">
        <x:v>0.7075</x:v>
      </x:c>
      <x:c r="F478" s="16" t="n">
        <x:v>0.102</x:v>
      </x:c>
      <x:c r="G478" s="16" t="n">
        <x:v>1</x:v>
      </x:c>
      <x:c r="H478" s="11" t="n">
        <x:f>H466</x:f>
        <x:v>0.105</x:v>
      </x:c>
      <x:c r="I478" s="11" t="n">
        <x:f>I466</x:f>
        <x:v>6.8</x:v>
      </x:c>
    </x:row>
    <x:row r="479" ht="23" customHeight="1">
      <x:c r="A479" s="11" t="str">
        <x:v>688302.SH</x:v>
      </x:c>
      <x:c r="B479" s="11" t="str">
        <x:v>五年</x:v>
      </x:c>
      <x:c r="C479" s="11" t="str">
        <x:v>hp518_tnbc_cn</x:v>
      </x:c>
      <x:c r="D479" s="11" t="str">
        <x:v>活动输入</x:v>
      </x:c>
      <x:c r="E479" s="11" t="n">
        <x:f>CHOOSE('假设'!$B$3,E480,E481,E482)</x:f>
        <x:v>0.40159999999999996</x:v>
      </x:c>
      <x:c r="F479" s="11" t="n">
        <x:f>CHOOSE('假设'!$B$3,F480,F481,F482)</x:f>
        <x:v>0.23</x:v>
      </x:c>
      <x:c r="G479" s="11" t="n">
        <x:f>CHOOSE('假设'!$B$3,G480,G481,G482)</x:f>
        <x:v>1</x:v>
      </x:c>
      <x:c r="H479" s="11" t="n">
        <x:f>CHOOSE('假设'!$B$3,H480,H481,H482)</x:f>
        <x:v>0.14</x:v>
      </x:c>
      <x:c r="I479" s="11" t="n">
        <x:f>CHOOSE('假设'!$B$3,I480,I481,I482)</x:f>
        <x:v>6.8</x:v>
      </x:c>
    </x:row>
    <x:row r="480" ht="23" customHeight="1">
      <x:c r="A480" s="11" t="str">
        <x:v>688302.SH</x:v>
      </x:c>
      <x:c r="B480" s="11" t="str">
        <x:v>五年</x:v>
      </x:c>
      <x:c r="C480" s="11" t="str">
        <x:v>hp518_tnbc_cn</x:v>
      </x:c>
      <x:c r="D480" s="11" t="str">
        <x:v>悲观</x:v>
      </x:c>
      <x:c r="E480" s="16" t="n">
        <x:v>0.030000000000000027</x:v>
      </x:c>
      <x:c r="F480" s="16" t="n">
        <x:v>0.13</x:v>
      </x:c>
      <x:c r="G480" s="16" t="n">
        <x:v>1</x:v>
      </x:c>
      <x:c r="H480" s="11" t="n">
        <x:f>H464</x:f>
        <x:v>0.18</x:v>
      </x:c>
      <x:c r="I480" s="11" t="n">
        <x:f>I464</x:f>
        <x:v>6.8</x:v>
      </x:c>
    </x:row>
    <x:row r="481" ht="23" customHeight="1">
      <x:c r="A481" s="11" t="str">
        <x:v>688302.SH</x:v>
      </x:c>
      <x:c r="B481" s="11" t="str">
        <x:v>五年</x:v>
      </x:c>
      <x:c r="C481" s="11" t="str">
        <x:v>hp518_tnbc_cn</x:v>
      </x:c>
      <x:c r="D481" s="11" t="str">
        <x:v>基准</x:v>
      </x:c>
      <x:c r="E481" s="16" t="n">
        <x:v>0.40159999999999996</x:v>
      </x:c>
      <x:c r="F481" s="16" t="n">
        <x:v>0.23</x:v>
      </x:c>
      <x:c r="G481" s="16" t="n">
        <x:v>1</x:v>
      </x:c>
      <x:c r="H481" s="11" t="n">
        <x:f>H465</x:f>
        <x:v>0.14</x:v>
      </x:c>
      <x:c r="I481" s="11" t="n">
        <x:f>I465</x:f>
        <x:v>6.8</x:v>
      </x:c>
    </x:row>
    <x:row r="482" ht="23" customHeight="1">
      <x:c r="A482" s="11" t="str">
        <x:v>688302.SH</x:v>
      </x:c>
      <x:c r="B482" s="11" t="str">
        <x:v>五年</x:v>
      </x:c>
      <x:c r="C482" s="11" t="str">
        <x:v>hp518_tnbc_cn</x:v>
      </x:c>
      <x:c r="D482" s="11" t="str">
        <x:v>乐观</x:v>
      </x:c>
      <x:c r="E482" s="16" t="n">
        <x:v>0.685</x:v>
      </x:c>
      <x:c r="F482" s="16" t="n">
        <x:v>0.33</x:v>
      </x:c>
      <x:c r="G482" s="16" t="n">
        <x:v>1</x:v>
      </x:c>
      <x:c r="H482" s="11" t="n">
        <x:f>H466</x:f>
        <x:v>0.105</x:v>
      </x:c>
      <x:c r="I482" s="11" t="n">
        <x:f>I466</x:f>
        <x:v>6.8</x:v>
      </x:c>
    </x:row>
    <x:row r="483" ht="23" customHeight="1">
      <x:c r="A483" s="11" t="str">
        <x:v>688302.SH</x:v>
      </x:c>
      <x:c r="B483" s="11" t="str">
        <x:v>五年</x:v>
      </x:c>
      <x:c r="C483" s="11" t="str">
        <x:v>hp518_tnbc_global</x:v>
      </x:c>
      <x:c r="D483" s="11" t="str">
        <x:v>活动输入</x:v>
      </x:c>
      <x:c r="E483" s="11" t="n">
        <x:f>CHOOSE('假设'!$B$3,E484,E485,E486)</x:f>
        <x:v>0.3879999999999999</x:v>
      </x:c>
      <x:c r="F483" s="11" t="n">
        <x:f>CHOOSE('假设'!$B$3,F484,F485,F486)</x:f>
        <x:v>0.0738</x:v>
      </x:c>
      <x:c r="G483" s="11" t="n">
        <x:f>CHOOSE('假设'!$B$3,G484,G485,G486)</x:f>
        <x:v>1</x:v>
      </x:c>
      <x:c r="H483" s="11" t="n">
        <x:f>CHOOSE('假设'!$B$3,H484,H485,H486)</x:f>
        <x:v>0.14</x:v>
      </x:c>
      <x:c r="I483" s="11" t="n">
        <x:f>CHOOSE('假设'!$B$3,I484,I485,I486)</x:f>
        <x:v>6.8</x:v>
      </x:c>
    </x:row>
    <x:row r="484" ht="23" customHeight="1">
      <x:c r="A484" s="11" t="str">
        <x:v>688302.SH</x:v>
      </x:c>
      <x:c r="B484" s="11" t="str">
        <x:v>五年</x:v>
      </x:c>
      <x:c r="C484" s="11" t="str">
        <x:v>hp518_tnbc_global</x:v>
      </x:c>
      <x:c r="D484" s="11" t="str">
        <x:v>悲观</x:v>
      </x:c>
      <x:c r="E484" s="16" t="n">
        <x:v>0.020000000000000018</x:v>
      </x:c>
      <x:c r="F484" s="16" t="n">
        <x:v>0.048</x:v>
      </x:c>
      <x:c r="G484" s="16" t="n">
        <x:v>1</x:v>
      </x:c>
      <x:c r="H484" s="11" t="n">
        <x:f>H464</x:f>
        <x:v>0.18</x:v>
      </x:c>
      <x:c r="I484" s="11" t="n">
        <x:f>I464</x:f>
        <x:v>6.8</x:v>
      </x:c>
    </x:row>
    <x:row r="485" ht="23" customHeight="1">
      <x:c r="A485" s="11" t="str">
        <x:v>688302.SH</x:v>
      </x:c>
      <x:c r="B485" s="11" t="str">
        <x:v>五年</x:v>
      </x:c>
      <x:c r="C485" s="11" t="str">
        <x:v>hp518_tnbc_global</x:v>
      </x:c>
      <x:c r="D485" s="11" t="str">
        <x:v>基准</x:v>
      </x:c>
      <x:c r="E485" s="16" t="n">
        <x:v>0.3879999999999999</x:v>
      </x:c>
      <x:c r="F485" s="16" t="n">
        <x:v>0.0738</x:v>
      </x:c>
      <x:c r="G485" s="16" t="n">
        <x:v>1</x:v>
      </x:c>
      <x:c r="H485" s="11" t="n">
        <x:f>H465</x:f>
        <x:v>0.14</x:v>
      </x:c>
      <x:c r="I485" s="11" t="n">
        <x:f>I465</x:f>
        <x:v>6.8</x:v>
      </x:c>
    </x:row>
    <x:row r="486" ht="23" customHeight="1">
      <x:c r="A486" s="11" t="str">
        <x:v>688302.SH</x:v>
      </x:c>
      <x:c r="B486" s="11" t="str">
        <x:v>五年</x:v>
      </x:c>
      <x:c r="C486" s="11" t="str">
        <x:v>hp518_tnbc_global</x:v>
      </x:c>
      <x:c r="D486" s="11" t="str">
        <x:v>乐观</x:v>
      </x:c>
      <x:c r="E486" s="16" t="n">
        <x:v>0.6625</x:v>
      </x:c>
      <x:c r="F486" s="16" t="n">
        <x:v>0.102</x:v>
      </x:c>
      <x:c r="G486" s="16" t="n">
        <x:v>1</x:v>
      </x:c>
      <x:c r="H486" s="11" t="n">
        <x:f>H466</x:f>
        <x:v>0.105</x:v>
      </x:c>
      <x:c r="I486" s="11" t="n">
        <x:f>I466</x:f>
        <x:v>6.8</x:v>
      </x:c>
    </x:row>
    <x:row r="487" ht="23" customHeight="1">
      <x:c r="A487" s="11" t="str">
        <x:v>688302.SH</x:v>
      </x:c>
      <x:c r="B487" s="11" t="str">
        <x:v>五年</x:v>
      </x:c>
      <x:c r="C487" s="11" t="str">
        <x:v>hp515_mash_cn</x:v>
      </x:c>
      <x:c r="D487" s="11" t="str">
        <x:v>活动输入</x:v>
      </x:c>
      <x:c r="E487" s="11" t="n">
        <x:f>CHOOSE('假设'!$B$3,E488,E489,E490)</x:f>
        <x:v>0.5784</x:v>
      </x:c>
      <x:c r="F487" s="11" t="n">
        <x:f>CHOOSE('假设'!$B$3,F488,F489,F490)</x:f>
        <x:v>0.25</x:v>
      </x:c>
      <x:c r="G487" s="11" t="n">
        <x:f>CHOOSE('假设'!$B$3,G488,G489,G490)</x:f>
        <x:v>1</x:v>
      </x:c>
      <x:c r="H487" s="11" t="n">
        <x:f>CHOOSE('假设'!$B$3,H488,H489,H490)</x:f>
        <x:v>0.14</x:v>
      </x:c>
      <x:c r="I487" s="11" t="n">
        <x:f>CHOOSE('假设'!$B$3,I488,I489,I490)</x:f>
        <x:v>6.8</x:v>
      </x:c>
    </x:row>
    <x:row r="488" ht="23" customHeight="1">
      <x:c r="A488" s="11" t="str">
        <x:v>688302.SH</x:v>
      </x:c>
      <x:c r="B488" s="11" t="str">
        <x:v>五年</x:v>
      </x:c>
      <x:c r="C488" s="11" t="str">
        <x:v>hp515_mash_cn</x:v>
      </x:c>
      <x:c r="D488" s="11" t="str">
        <x:v>悲观</x:v>
      </x:c>
      <x:c r="E488" s="16" t="n">
        <x:v>0.12</x:v>
      </x:c>
      <x:c r="F488" s="16" t="n">
        <x:v>0.15</x:v>
      </x:c>
      <x:c r="G488" s="16" t="n">
        <x:v>1</x:v>
      </x:c>
      <x:c r="H488" s="11" t="n">
        <x:f>H464</x:f>
        <x:v>0.18</x:v>
      </x:c>
      <x:c r="I488" s="11" t="n">
        <x:f>I464</x:f>
        <x:v>6.8</x:v>
      </x:c>
    </x:row>
    <x:row r="489" ht="23" customHeight="1">
      <x:c r="A489" s="11" t="str">
        <x:v>688302.SH</x:v>
      </x:c>
      <x:c r="B489" s="11" t="str">
        <x:v>五年</x:v>
      </x:c>
      <x:c r="C489" s="11" t="str">
        <x:v>hp515_mash_cn</x:v>
      </x:c>
      <x:c r="D489" s="11" t="str">
        <x:v>基准</x:v>
      </x:c>
      <x:c r="E489" s="16" t="n">
        <x:v>0.5784</x:v>
      </x:c>
      <x:c r="F489" s="16" t="n">
        <x:v>0.25</x:v>
      </x:c>
      <x:c r="G489" s="16" t="n">
        <x:v>1</x:v>
      </x:c>
      <x:c r="H489" s="11" t="n">
        <x:f>H465</x:f>
        <x:v>0.14</x:v>
      </x:c>
      <x:c r="I489" s="11" t="n">
        <x:f>I465</x:f>
        <x:v>6.8</x:v>
      </x:c>
    </x:row>
    <x:row r="490" ht="23" customHeight="1">
      <x:c r="A490" s="11" t="str">
        <x:v>688302.SH</x:v>
      </x:c>
      <x:c r="B490" s="11" t="str">
        <x:v>五年</x:v>
      </x:c>
      <x:c r="C490" s="11" t="str">
        <x:v>hp515_mash_cn</x:v>
      </x:c>
      <x:c r="D490" s="11" t="str">
        <x:v>乐观</x:v>
      </x:c>
      <x:c r="E490" s="16" t="n">
        <x:v>0.82</x:v>
      </x:c>
      <x:c r="F490" s="16" t="n">
        <x:v>0.35</x:v>
      </x:c>
      <x:c r="G490" s="16" t="n">
        <x:v>1</x:v>
      </x:c>
      <x:c r="H490" s="11" t="n">
        <x:f>H466</x:f>
        <x:v>0.105</x:v>
      </x:c>
      <x:c r="I490" s="11" t="n">
        <x:f>I466</x:f>
        <x:v>6.8</x:v>
      </x:c>
    </x:row>
    <x:row r="491" ht="23" customHeight="1">
      <x:c r="A491" s="11" t="str">
        <x:v>688302.SH</x:v>
      </x:c>
      <x:c r="B491" s="11" t="str">
        <x:v>五年</x:v>
      </x:c>
      <x:c r="C491" s="11" t="str">
        <x:v>hp515_mash_global</x:v>
      </x:c>
      <x:c r="D491" s="11" t="str">
        <x:v>活动输入</x:v>
      </x:c>
      <x:c r="E491" s="11" t="n">
        <x:f>CHOOSE('假设'!$B$3,E492,E493,E494)</x:f>
        <x:v>0.49</x:v>
      </x:c>
      <x:c r="F491" s="11" t="n">
        <x:f>CHOOSE('假设'!$B$3,F492,F493,F494)</x:f>
        <x:v>0.0738</x:v>
      </x:c>
      <x:c r="G491" s="11" t="n">
        <x:f>CHOOSE('假设'!$B$3,G492,G493,G494)</x:f>
        <x:v>1</x:v>
      </x:c>
      <x:c r="H491" s="11" t="n">
        <x:f>CHOOSE('假设'!$B$3,H492,H493,H494)</x:f>
        <x:v>0.14</x:v>
      </x:c>
      <x:c r="I491" s="11" t="n">
        <x:f>CHOOSE('假设'!$B$3,I492,I493,I494)</x:f>
        <x:v>6.8</x:v>
      </x:c>
    </x:row>
    <x:row r="492" ht="23" customHeight="1">
      <x:c r="A492" s="11" t="str">
        <x:v>688302.SH</x:v>
      </x:c>
      <x:c r="B492" s="11" t="str">
        <x:v>五年</x:v>
      </x:c>
      <x:c r="C492" s="11" t="str">
        <x:v>hp515_mash_global</x:v>
      </x:c>
      <x:c r="D492" s="11" t="str">
        <x:v>悲观</x:v>
      </x:c>
      <x:c r="E492" s="16" t="n">
        <x:v>0.06000000000000005</x:v>
      </x:c>
      <x:c r="F492" s="16" t="n">
        <x:v>0.048</x:v>
      </x:c>
      <x:c r="G492" s="16" t="n">
        <x:v>1</x:v>
      </x:c>
      <x:c r="H492" s="11" t="n">
        <x:f>H464</x:f>
        <x:v>0.18</x:v>
      </x:c>
      <x:c r="I492" s="11" t="n">
        <x:f>I464</x:f>
        <x:v>6.8</x:v>
      </x:c>
    </x:row>
    <x:row r="493" ht="23" customHeight="1">
      <x:c r="A493" s="11" t="str">
        <x:v>688302.SH</x:v>
      </x:c>
      <x:c r="B493" s="11" t="str">
        <x:v>五年</x:v>
      </x:c>
      <x:c r="C493" s="11" t="str">
        <x:v>hp515_mash_global</x:v>
      </x:c>
      <x:c r="D493" s="11" t="str">
        <x:v>基准</x:v>
      </x:c>
      <x:c r="E493" s="16" t="n">
        <x:v>0.49</x:v>
      </x:c>
      <x:c r="F493" s="16" t="n">
        <x:v>0.0738</x:v>
      </x:c>
      <x:c r="G493" s="16" t="n">
        <x:v>1</x:v>
      </x:c>
      <x:c r="H493" s="11" t="n">
        <x:f>H465</x:f>
        <x:v>0.14</x:v>
      </x:c>
      <x:c r="I493" s="11" t="n">
        <x:f>I465</x:f>
        <x:v>6.8</x:v>
      </x:c>
    </x:row>
    <x:row r="494" ht="23" customHeight="1">
      <x:c r="A494" s="11" t="str">
        <x:v>688302.SH</x:v>
      </x:c>
      <x:c r="B494" s="11" t="str">
        <x:v>五年</x:v>
      </x:c>
      <x:c r="C494" s="11" t="str">
        <x:v>hp515_mash_global</x:v>
      </x:c>
      <x:c r="D494" s="11" t="str">
        <x:v>乐观</x:v>
      </x:c>
      <x:c r="E494" s="16" t="n">
        <x:v>0.775</x:v>
      </x:c>
      <x:c r="F494" s="16" t="n">
        <x:v>0.102</x:v>
      </x:c>
      <x:c r="G494" s="16" t="n">
        <x:v>1</x:v>
      </x:c>
      <x:c r="H494" s="11" t="n">
        <x:f>H466</x:f>
        <x:v>0.105</x:v>
      </x:c>
      <x:c r="I494" s="11" t="n">
        <x:f>I466</x:f>
        <x:v>6.8</x:v>
      </x:c>
    </x:row>
    <x:row r="495" ht="23" customHeight="1">
      <x:c r="A495" s="11" t="str">
        <x:v>688302.SH</x:v>
      </x:c>
      <x:c r="B495" s="11" t="str">
        <x:v>五年</x:v>
      </x:c>
      <x:c r="C495" s="11" t="str">
        <x:v>hp515_obesity_cn</x:v>
      </x:c>
      <x:c r="D495" s="11" t="str">
        <x:v>活动输入</x:v>
      </x:c>
      <x:c r="E495" s="11" t="n">
        <x:f>CHOOSE('假设'!$B$3,E496,E497,E498)</x:f>
        <x:v>0.42199999999999993</x:v>
      </x:c>
      <x:c r="F495" s="11" t="n">
        <x:f>CHOOSE('假设'!$B$3,F496,F497,F498)</x:f>
        <x:v>0.18</x:v>
      </x:c>
      <x:c r="G495" s="11" t="n">
        <x:f>CHOOSE('假设'!$B$3,G496,G497,G498)</x:f>
        <x:v>1</x:v>
      </x:c>
      <x:c r="H495" s="11" t="n">
        <x:f>CHOOSE('假设'!$B$3,H496,H497,H498)</x:f>
        <x:v>0.14</x:v>
      </x:c>
      <x:c r="I495" s="11" t="n">
        <x:f>CHOOSE('假设'!$B$3,I496,I497,I498)</x:f>
        <x:v>6.8</x:v>
      </x:c>
    </x:row>
    <x:row r="496" ht="23" customHeight="1">
      <x:c r="A496" s="11" t="str">
        <x:v>688302.SH</x:v>
      </x:c>
      <x:c r="B496" s="11" t="str">
        <x:v>五年</x:v>
      </x:c>
      <x:c r="C496" s="11" t="str">
        <x:v>hp515_obesity_cn</x:v>
      </x:c>
      <x:c r="D496" s="11" t="str">
        <x:v>悲观</x:v>
      </x:c>
      <x:c r="E496" s="16" t="n">
        <x:v>0.040000000000000036</x:v>
      </x:c>
      <x:c r="F496" s="16" t="n">
        <x:v>0.1</x:v>
      </x:c>
      <x:c r="G496" s="16" t="n">
        <x:v>1</x:v>
      </x:c>
      <x:c r="H496" s="11" t="n">
        <x:f>H464</x:f>
        <x:v>0.18</x:v>
      </x:c>
      <x:c r="I496" s="11" t="n">
        <x:f>I464</x:f>
        <x:v>6.8</x:v>
      </x:c>
    </x:row>
    <x:row r="497" ht="23" customHeight="1">
      <x:c r="A497" s="11" t="str">
        <x:v>688302.SH</x:v>
      </x:c>
      <x:c r="B497" s="11" t="str">
        <x:v>五年</x:v>
      </x:c>
      <x:c r="C497" s="11" t="str">
        <x:v>hp515_obesity_cn</x:v>
      </x:c>
      <x:c r="D497" s="11" t="str">
        <x:v>基准</x:v>
      </x:c>
      <x:c r="E497" s="16" t="n">
        <x:v>0.42199999999999993</x:v>
      </x:c>
      <x:c r="F497" s="16" t="n">
        <x:v>0.18</x:v>
      </x:c>
      <x:c r="G497" s="16" t="n">
        <x:v>1</x:v>
      </x:c>
      <x:c r="H497" s="11" t="n">
        <x:f>H465</x:f>
        <x:v>0.14</x:v>
      </x:c>
      <x:c r="I497" s="11" t="n">
        <x:f>I465</x:f>
        <x:v>6.8</x:v>
      </x:c>
    </x:row>
    <x:row r="498" ht="23" customHeight="1">
      <x:c r="A498" s="11" t="str">
        <x:v>688302.SH</x:v>
      </x:c>
      <x:c r="B498" s="11" t="str">
        <x:v>五年</x:v>
      </x:c>
      <x:c r="C498" s="11" t="str">
        <x:v>hp515_obesity_cn</x:v>
      </x:c>
      <x:c r="D498" s="11" t="str">
        <x:v>乐观</x:v>
      </x:c>
      <x:c r="E498" s="16" t="n">
        <x:v>0.7075</x:v>
      </x:c>
      <x:c r="F498" s="16" t="n">
        <x:v>0.28</x:v>
      </x:c>
      <x:c r="G498" s="16" t="n">
        <x:v>1</x:v>
      </x:c>
      <x:c r="H498" s="11" t="n">
        <x:f>H466</x:f>
        <x:v>0.105</x:v>
      </x:c>
      <x:c r="I498" s="11" t="n">
        <x:f>I466</x:f>
        <x:v>6.8</x:v>
      </x:c>
    </x:row>
    <x:row r="499" ht="23" customHeight="1">
      <x:c r="A499" s="11" t="str">
        <x:v>688302.SH</x:v>
      </x:c>
      <x:c r="B499" s="11" t="str">
        <x:v>五年</x:v>
      </x:c>
      <x:c r="C499" s="11" t="str">
        <x:v>hp515_obesity_global</x:v>
      </x:c>
      <x:c r="D499" s="11" t="str">
        <x:v>活动输入</x:v>
      </x:c>
      <x:c r="E499" s="11" t="n">
        <x:f>CHOOSE('假设'!$B$3,E500,E501,E502)</x:f>
        <x:v>0.3879999999999999</x:v>
      </x:c>
      <x:c r="F499" s="11" t="n">
        <x:f>CHOOSE('假设'!$B$3,F500,F501,F502)</x:f>
        <x:v>0.0656</x:v>
      </x:c>
      <x:c r="G499" s="11" t="n">
        <x:f>CHOOSE('假设'!$B$3,G500,G501,G502)</x:f>
        <x:v>1</x:v>
      </x:c>
      <x:c r="H499" s="11" t="n">
        <x:f>CHOOSE('假设'!$B$3,H500,H501,H502)</x:f>
        <x:v>0.14</x:v>
      </x:c>
      <x:c r="I499" s="11" t="n">
        <x:f>CHOOSE('假设'!$B$3,I500,I501,I502)</x:f>
        <x:v>6.8</x:v>
      </x:c>
    </x:row>
    <x:row r="500" ht="23" customHeight="1">
      <x:c r="A500" s="11" t="str">
        <x:v>688302.SH</x:v>
      </x:c>
      <x:c r="B500" s="11" t="str">
        <x:v>五年</x:v>
      </x:c>
      <x:c r="C500" s="11" t="str">
        <x:v>hp515_obesity_global</x:v>
      </x:c>
      <x:c r="D500" s="11" t="str">
        <x:v>悲观</x:v>
      </x:c>
      <x:c r="E500" s="16" t="n">
        <x:v>0.025000000000000022</x:v>
      </x:c>
      <x:c r="F500" s="16" t="n">
        <x:v>0.04000000000000001</x:v>
      </x:c>
      <x:c r="G500" s="16" t="n">
        <x:v>1</x:v>
      </x:c>
      <x:c r="H500" s="11" t="n">
        <x:f>H464</x:f>
        <x:v>0.18</x:v>
      </x:c>
      <x:c r="I500" s="11" t="n">
        <x:f>I464</x:f>
        <x:v>6.8</x:v>
      </x:c>
    </x:row>
    <x:row r="501" ht="23" customHeight="1">
      <x:c r="A501" s="11" t="str">
        <x:v>688302.SH</x:v>
      </x:c>
      <x:c r="B501" s="11" t="str">
        <x:v>五年</x:v>
      </x:c>
      <x:c r="C501" s="11" t="str">
        <x:v>hp515_obesity_global</x:v>
      </x:c>
      <x:c r="D501" s="11" t="str">
        <x:v>基准</x:v>
      </x:c>
      <x:c r="E501" s="16" t="n">
        <x:v>0.3879999999999999</x:v>
      </x:c>
      <x:c r="F501" s="16" t="n">
        <x:v>0.0656</x:v>
      </x:c>
      <x:c r="G501" s="16" t="n">
        <x:v>1</x:v>
      </x:c>
      <x:c r="H501" s="11" t="n">
        <x:f>H465</x:f>
        <x:v>0.14</x:v>
      </x:c>
      <x:c r="I501" s="11" t="n">
        <x:f>I465</x:f>
        <x:v>6.8</x:v>
      </x:c>
    </x:row>
    <x:row r="502" ht="23" customHeight="1">
      <x:c r="A502" s="11" t="str">
        <x:v>688302.SH</x:v>
      </x:c>
      <x:c r="B502" s="11" t="str">
        <x:v>五年</x:v>
      </x:c>
      <x:c r="C502" s="11" t="str">
        <x:v>hp515_obesity_global</x:v>
      </x:c>
      <x:c r="D502" s="11" t="str">
        <x:v>乐观</x:v>
      </x:c>
      <x:c r="E502" s="16" t="n">
        <x:v>0.6625</x:v>
      </x:c>
      <x:c r="F502" s="16" t="n">
        <x:v>0.0935</x:v>
      </x:c>
      <x:c r="G502" s="16" t="n">
        <x:v>1</x:v>
      </x:c>
      <x:c r="H502" s="11" t="n">
        <x:f>H466</x:f>
        <x:v>0.105</x:v>
      </x:c>
      <x:c r="I502" s="11" t="n">
        <x:f>I466</x:f>
        <x:v>6.8</x:v>
      </x:c>
    </x:row>
    <x:row r="503" ht="23" customHeight="1">
      <x:c r="A503" s="11" t="str">
        <x:v>688302.SH</x:v>
      </x:c>
      <x:c r="B503" s="11" t="str">
        <x:v>五年</x:v>
      </x:c>
      <x:c r="C503" s="11" t="str">
        <x:v>hp570_global</x:v>
      </x:c>
      <x:c r="D503" s="11" t="str">
        <x:v>活动输入</x:v>
      </x:c>
      <x:c r="E503" s="11" t="n">
        <x:f>CHOOSE('假设'!$B$3,E504,E505,E506)</x:f>
        <x:v>0.3608</x:v>
      </x:c>
      <x:c r="F503" s="11" t="n">
        <x:f>CHOOSE('假设'!$B$3,F504,F505,F506)</x:f>
        <x:v>0.0656</x:v>
      </x:c>
      <x:c r="G503" s="11" t="n">
        <x:f>CHOOSE('假设'!$B$3,G504,G505,G506)</x:f>
        <x:v>1</x:v>
      </x:c>
      <x:c r="H503" s="11" t="n">
        <x:f>CHOOSE('假设'!$B$3,H504,H505,H506)</x:f>
        <x:v>0.14</x:v>
      </x:c>
      <x:c r="I503" s="11" t="n">
        <x:f>CHOOSE('假设'!$B$3,I504,I505,I506)</x:f>
        <x:v>6.8</x:v>
      </x:c>
    </x:row>
    <x:row r="504" ht="23" customHeight="1">
      <x:c r="A504" s="11" t="str">
        <x:v>688302.SH</x:v>
      </x:c>
      <x:c r="B504" s="11" t="str">
        <x:v>五年</x:v>
      </x:c>
      <x:c r="C504" s="11" t="str">
        <x:v>hp570_global</x:v>
      </x:c>
      <x:c r="D504" s="11" t="str">
        <x:v>悲观</x:v>
      </x:c>
      <x:c r="E504" s="16" t="n">
        <x:v>0.010000000000000009</x:v>
      </x:c>
      <x:c r="F504" s="16" t="n">
        <x:v>0.04000000000000001</x:v>
      </x:c>
      <x:c r="G504" s="16" t="n">
        <x:v>1</x:v>
      </x:c>
      <x:c r="H504" s="11" t="n">
        <x:f>H464</x:f>
        <x:v>0.18</x:v>
      </x:c>
      <x:c r="I504" s="11" t="n">
        <x:f>I464</x:f>
        <x:v>6.8</x:v>
      </x:c>
    </x:row>
    <x:row r="505" ht="23" customHeight="1">
      <x:c r="A505" s="11" t="str">
        <x:v>688302.SH</x:v>
      </x:c>
      <x:c r="B505" s="11" t="str">
        <x:v>五年</x:v>
      </x:c>
      <x:c r="C505" s="11" t="str">
        <x:v>hp570_global</x:v>
      </x:c>
      <x:c r="D505" s="11" t="str">
        <x:v>基准</x:v>
      </x:c>
      <x:c r="E505" s="16" t="n">
        <x:v>0.3608</x:v>
      </x:c>
      <x:c r="F505" s="16" t="n">
        <x:v>0.0656</x:v>
      </x:c>
      <x:c r="G505" s="16" t="n">
        <x:v>1</x:v>
      </x:c>
      <x:c r="H505" s="11" t="n">
        <x:f>H465</x:f>
        <x:v>0.14</x:v>
      </x:c>
      <x:c r="I505" s="11" t="n">
        <x:f>I465</x:f>
        <x:v>6.8</x:v>
      </x:c>
    </x:row>
    <x:row r="506" ht="23" customHeight="1">
      <x:c r="A506" s="11" t="str">
        <x:v>688302.SH</x:v>
      </x:c>
      <x:c r="B506" s="11" t="str">
        <x:v>五年</x:v>
      </x:c>
      <x:c r="C506" s="11" t="str">
        <x:v>hp570_global</x:v>
      </x:c>
      <x:c r="D506" s="11" t="str">
        <x:v>乐观</x:v>
      </x:c>
      <x:c r="E506" s="16" t="n">
        <x:v>0.631</x:v>
      </x:c>
      <x:c r="F506" s="16" t="n">
        <x:v>0.0935</x:v>
      </x:c>
      <x:c r="G506" s="16" t="n">
        <x:v>1</x:v>
      </x:c>
      <x:c r="H506" s="11" t="n">
        <x:f>H466</x:f>
        <x:v>0.105</x:v>
      </x:c>
      <x:c r="I506" s="11" t="n">
        <x:f>I466</x:f>
        <x:v>6.8</x:v>
      </x:c>
    </x:row>
    <x:row r="507" ht="23" customHeight="1">
      <x:c r="A507" s="11" t="str">
        <x:v>688382.SH</x:v>
      </x:c>
      <x:c r="B507" s="11" t="str">
        <x:v>2026年底</x:v>
      </x:c>
      <x:c r="C507" s="11" t="str">
        <x:v>befu</x:v>
      </x:c>
      <x:c r="D507" s="11" t="str">
        <x:v>活动输入</x:v>
      </x:c>
      <x:c r="E507" s="11" t="n">
        <x:f>CHOOSE('假设'!$B$3,E508,E509,E510)</x:f>
        <x:v>1</x:v>
      </x:c>
      <x:c r="F507" s="11" t="n">
        <x:f>CHOOSE('假设'!$B$3,F508,F509,F510)</x:f>
        <x:v>0.0656</x:v>
      </x:c>
      <x:c r="G507" s="11" t="n">
        <x:f>CHOOSE('假设'!$B$3,G508,G509,G510)</x:f>
        <x:v>1</x:v>
      </x:c>
      <x:c r="H507" s="11" t="n">
        <x:f>CHOOSE('假设'!$B$3,H508,H509,H510)</x:f>
        <x:v>0.135</x:v>
      </x:c>
      <x:c r="I507" s="11" t="n">
        <x:f>CHOOSE('假设'!$B$3,I508,I509,I510)</x:f>
        <x:v>6.8</x:v>
      </x:c>
    </x:row>
    <x:row r="508" ht="23" customHeight="1">
      <x:c r="A508" s="11" t="str">
        <x:v>688382.SH</x:v>
      </x:c>
      <x:c r="B508" s="11" t="str">
        <x:v>2026年底</x:v>
      </x:c>
      <x:c r="C508" s="11" t="str">
        <x:v>befu</x:v>
      </x:c>
      <x:c r="D508" s="11" t="str">
        <x:v>悲观</x:v>
      </x:c>
      <x:c r="E508" s="16" t="n">
        <x:v>1</x:v>
      </x:c>
      <x:c r="F508" s="16" t="n">
        <x:v>0.04000000000000001</x:v>
      </x:c>
      <x:c r="G508" s="16" t="n">
        <x:v>1</x:v>
      </x:c>
      <x:c r="H508" s="16" t="n">
        <x:v>0.18</x:v>
      </x:c>
      <x:c r="I508" s="16" t="n">
        <x:v>6.8</x:v>
      </x:c>
    </x:row>
    <x:row r="509" ht="23" customHeight="1">
      <x:c r="A509" s="11" t="str">
        <x:v>688382.SH</x:v>
      </x:c>
      <x:c r="B509" s="11" t="str">
        <x:v>2026年底</x:v>
      </x:c>
      <x:c r="C509" s="11" t="str">
        <x:v>befu</x:v>
      </x:c>
      <x:c r="D509" s="11" t="str">
        <x:v>基准</x:v>
      </x:c>
      <x:c r="E509" s="16" t="n">
        <x:v>1</x:v>
      </x:c>
      <x:c r="F509" s="16" t="n">
        <x:v>0.0656</x:v>
      </x:c>
      <x:c r="G509" s="16" t="n">
        <x:v>1</x:v>
      </x:c>
      <x:c r="H509" s="16" t="n">
        <x:v>0.135</x:v>
      </x:c>
      <x:c r="I509" s="16" t="n">
        <x:v>6.8</x:v>
      </x:c>
    </x:row>
    <x:row r="510" ht="23" customHeight="1">
      <x:c r="A510" s="11" t="str">
        <x:v>688382.SH</x:v>
      </x:c>
      <x:c r="B510" s="11" t="str">
        <x:v>2026年底</x:v>
      </x:c>
      <x:c r="C510" s="11" t="str">
        <x:v>befu</x:v>
      </x:c>
      <x:c r="D510" s="11" t="str">
        <x:v>乐观</x:v>
      </x:c>
      <x:c r="E510" s="16" t="n">
        <x:v>1</x:v>
      </x:c>
      <x:c r="F510" s="16" t="n">
        <x:v>0.0935</x:v>
      </x:c>
      <x:c r="G510" s="16" t="n">
        <x:v>1</x:v>
      </x:c>
      <x:c r="H510" s="16" t="n">
        <x:v>0.105</x:v>
      </x:c>
      <x:c r="I510" s="16" t="n">
        <x:v>6.8</x:v>
      </x:c>
    </x:row>
    <x:row r="511" ht="23" customHeight="1">
      <x:c r="A511" s="11" t="str">
        <x:v>688382.SH</x:v>
      </x:c>
      <x:c r="B511" s="11" t="str">
        <x:v>2026年底</x:v>
      </x:c>
      <x:c r="C511" s="11" t="str">
        <x:v>g12c_later_cn</x:v>
      </x:c>
      <x:c r="D511" s="11" t="str">
        <x:v>活动输入</x:v>
      </x:c>
      <x:c r="E511" s="11" t="n">
        <x:f>CHOOSE('假设'!$B$3,E512,E513,E514)</x:f>
        <x:v>1</x:v>
      </x:c>
      <x:c r="F511" s="11" t="n">
        <x:f>CHOOSE('假设'!$B$3,F512,F513,F514)</x:f>
        <x:v>0.08200000000000002</x:v>
      </x:c>
      <x:c r="G511" s="11" t="n">
        <x:f>CHOOSE('假设'!$B$3,G512,G513,G514)</x:f>
        <x:v>1</x:v>
      </x:c>
      <x:c r="H511" s="11" t="n">
        <x:f>CHOOSE('假设'!$B$3,H512,H513,H514)</x:f>
        <x:v>0.135</x:v>
      </x:c>
      <x:c r="I511" s="11" t="n">
        <x:f>CHOOSE('假设'!$B$3,I512,I513,I514)</x:f>
        <x:v>6.8</x:v>
      </x:c>
    </x:row>
    <x:row r="512" ht="23" customHeight="1">
      <x:c r="A512" s="11" t="str">
        <x:v>688382.SH</x:v>
      </x:c>
      <x:c r="B512" s="11" t="str">
        <x:v>2026年底</x:v>
      </x:c>
      <x:c r="C512" s="11" t="str">
        <x:v>g12c_later_cn</x:v>
      </x:c>
      <x:c r="D512" s="11" t="str">
        <x:v>悲观</x:v>
      </x:c>
      <x:c r="E512" s="16" t="n">
        <x:v>1</x:v>
      </x:c>
      <x:c r="F512" s="16" t="n">
        <x:v>0.05600000000000001</x:v>
      </x:c>
      <x:c r="G512" s="16" t="n">
        <x:v>1</x:v>
      </x:c>
      <x:c r="H512" s="11" t="n">
        <x:f>H508</x:f>
        <x:v>0.18</x:v>
      </x:c>
      <x:c r="I512" s="11" t="n">
        <x:f>I508</x:f>
        <x:v>6.8</x:v>
      </x:c>
    </x:row>
    <x:row r="513" ht="23" customHeight="1">
      <x:c r="A513" s="11" t="str">
        <x:v>688382.SH</x:v>
      </x:c>
      <x:c r="B513" s="11" t="str">
        <x:v>2026年底</x:v>
      </x:c>
      <x:c r="C513" s="11" t="str">
        <x:v>g12c_later_cn</x:v>
      </x:c>
      <x:c r="D513" s="11" t="str">
        <x:v>基准</x:v>
      </x:c>
      <x:c r="E513" s="16" t="n">
        <x:v>1</x:v>
      </x:c>
      <x:c r="F513" s="16" t="n">
        <x:v>0.08200000000000002</x:v>
      </x:c>
      <x:c r="G513" s="16" t="n">
        <x:v>1</x:v>
      </x:c>
      <x:c r="H513" s="11" t="n">
        <x:f>H509</x:f>
        <x:v>0.135</x:v>
      </x:c>
      <x:c r="I513" s="11" t="n">
        <x:f>I509</x:f>
        <x:v>6.8</x:v>
      </x:c>
    </x:row>
    <x:row r="514" ht="23" customHeight="1">
      <x:c r="A514" s="11" t="str">
        <x:v>688382.SH</x:v>
      </x:c>
      <x:c r="B514" s="11" t="str">
        <x:v>2026年底</x:v>
      </x:c>
      <x:c r="C514" s="11" t="str">
        <x:v>g12c_later_cn</x:v>
      </x:c>
      <x:c r="D514" s="11" t="str">
        <x:v>乐观</x:v>
      </x:c>
      <x:c r="E514" s="16" t="n">
        <x:v>1</x:v>
      </x:c>
      <x:c r="F514" s="16" t="n">
        <x:v>0.1105</x:v>
      </x:c>
      <x:c r="G514" s="16" t="n">
        <x:v>1</x:v>
      </x:c>
      <x:c r="H514" s="11" t="n">
        <x:f>H510</x:f>
        <x:v>0.105</x:v>
      </x:c>
      <x:c r="I514" s="11" t="n">
        <x:f>I510</x:f>
        <x:v>6.8</x:v>
      </x:c>
    </x:row>
    <x:row r="515" ht="23" customHeight="1">
      <x:c r="A515" s="11" t="str">
        <x:v>688382.SH</x:v>
      </x:c>
      <x:c r="B515" s="11" t="str">
        <x:v>2026年底</x:v>
      </x:c>
      <x:c r="C515" s="11" t="str">
        <x:v>g12c_first_cn</x:v>
      </x:c>
      <x:c r="D515" s="11" t="str">
        <x:v>活动输入</x:v>
      </x:c>
      <x:c r="E515" s="11" t="n">
        <x:f>CHOOSE('假设'!$B$3,E516,E517,E518)</x:f>
        <x:v>0.48</x:v>
      </x:c>
      <x:c r="F515" s="11" t="n">
        <x:f>CHOOSE('假设'!$B$3,F516,F517,F518)</x:f>
        <x:v>0.08200000000000002</x:v>
      </x:c>
      <x:c r="G515" s="11" t="n">
        <x:f>CHOOSE('假设'!$B$3,G516,G517,G518)</x:f>
        <x:v>1</x:v>
      </x:c>
      <x:c r="H515" s="11" t="n">
        <x:f>CHOOSE('假设'!$B$3,H516,H517,H518)</x:f>
        <x:v>0.135</x:v>
      </x:c>
      <x:c r="I515" s="11" t="n">
        <x:f>CHOOSE('假设'!$B$3,I516,I517,I518)</x:f>
        <x:v>6.8</x:v>
      </x:c>
    </x:row>
    <x:row r="516" ht="23" customHeight="1">
      <x:c r="A516" s="11" t="str">
        <x:v>688382.SH</x:v>
      </x:c>
      <x:c r="B516" s="11" t="str">
        <x:v>2026年底</x:v>
      </x:c>
      <x:c r="C516" s="11" t="str">
        <x:v>g12c_first_cn</x:v>
      </x:c>
      <x:c r="D516" s="11" t="str">
        <x:v>悲观</x:v>
      </x:c>
      <x:c r="E516" s="16" t="n">
        <x:v>0.19999999999999996</x:v>
      </x:c>
      <x:c r="F516" s="16" t="n">
        <x:v>0.05600000000000001</x:v>
      </x:c>
      <x:c r="G516" s="16" t="n">
        <x:v>1</x:v>
      </x:c>
      <x:c r="H516" s="11" t="n">
        <x:f>H508</x:f>
        <x:v>0.18</x:v>
      </x:c>
      <x:c r="I516" s="11" t="n">
        <x:f>I508</x:f>
        <x:v>6.8</x:v>
      </x:c>
    </x:row>
    <x:row r="517" ht="23" customHeight="1">
      <x:c r="A517" s="11" t="str">
        <x:v>688382.SH</x:v>
      </x:c>
      <x:c r="B517" s="11" t="str">
        <x:v>2026年底</x:v>
      </x:c>
      <x:c r="C517" s="11" t="str">
        <x:v>g12c_first_cn</x:v>
      </x:c>
      <x:c r="D517" s="11" t="str">
        <x:v>基准</x:v>
      </x:c>
      <x:c r="E517" s="16" t="n">
        <x:v>0.48</x:v>
      </x:c>
      <x:c r="F517" s="16" t="n">
        <x:v>0.08200000000000002</x:v>
      </x:c>
      <x:c r="G517" s="16" t="n">
        <x:v>1</x:v>
      </x:c>
      <x:c r="H517" s="11" t="n">
        <x:f>H509</x:f>
        <x:v>0.135</x:v>
      </x:c>
      <x:c r="I517" s="11" t="n">
        <x:f>I509</x:f>
        <x:v>6.8</x:v>
      </x:c>
    </x:row>
    <x:row r="518" ht="23" customHeight="1">
      <x:c r="A518" s="11" t="str">
        <x:v>688382.SH</x:v>
      </x:c>
      <x:c r="B518" s="11" t="str">
        <x:v>2026年底</x:v>
      </x:c>
      <x:c r="C518" s="11" t="str">
        <x:v>g12c_first_cn</x:v>
      </x:c>
      <x:c r="D518" s="11" t="str">
        <x:v>乐观</x:v>
      </x:c>
      <x:c r="E518" s="16" t="n">
        <x:v>0.7</x:v>
      </x:c>
      <x:c r="F518" s="16" t="n">
        <x:v>0.1105</x:v>
      </x:c>
      <x:c r="G518" s="16" t="n">
        <x:v>1</x:v>
      </x:c>
      <x:c r="H518" s="11" t="n">
        <x:f>H510</x:f>
        <x:v>0.105</x:v>
      </x:c>
      <x:c r="I518" s="11" t="n">
        <x:f>I510</x:f>
        <x:v>6.8</x:v>
      </x:c>
    </x:row>
    <x:row r="519" ht="23" customHeight="1">
      <x:c r="A519" s="11" t="str">
        <x:v>688382.SH</x:v>
      </x:c>
      <x:c r="B519" s="11" t="str">
        <x:v>2026年底</x:v>
      </x:c>
      <x:c r="C519" s="11" t="str">
        <x:v>g12c_crc_cn</x:v>
      </x:c>
      <x:c r="D519" s="11" t="str">
        <x:v>活动输入</x:v>
      </x:c>
      <x:c r="E519" s="11" t="n">
        <x:f>CHOOSE('假设'!$B$3,E520,E521,E522)</x:f>
        <x:v>0.27</x:v>
      </x:c>
      <x:c r="F519" s="11" t="n">
        <x:f>CHOOSE('假设'!$B$3,F520,F521,F522)</x:f>
        <x:v>0.08200000000000002</x:v>
      </x:c>
      <x:c r="G519" s="11" t="n">
        <x:f>CHOOSE('假设'!$B$3,G520,G521,G522)</x:f>
        <x:v>1</x:v>
      </x:c>
      <x:c r="H519" s="11" t="n">
        <x:f>CHOOSE('假设'!$B$3,H520,H521,H522)</x:f>
        <x:v>0.135</x:v>
      </x:c>
      <x:c r="I519" s="11" t="n">
        <x:f>CHOOSE('假设'!$B$3,I520,I521,I522)</x:f>
        <x:v>6.8</x:v>
      </x:c>
    </x:row>
    <x:row r="520" ht="23" customHeight="1">
      <x:c r="A520" s="11" t="str">
        <x:v>688382.SH</x:v>
      </x:c>
      <x:c r="B520" s="11" t="str">
        <x:v>2026年底</x:v>
      </x:c>
      <x:c r="C520" s="11" t="str">
        <x:v>g12c_crc_cn</x:v>
      </x:c>
      <x:c r="D520" s="11" t="str">
        <x:v>悲观</x:v>
      </x:c>
      <x:c r="E520" s="16" t="n">
        <x:v>0.09999999999999998</x:v>
      </x:c>
      <x:c r="F520" s="16" t="n">
        <x:v>0.05600000000000001</x:v>
      </x:c>
      <x:c r="G520" s="16" t="n">
        <x:v>1</x:v>
      </x:c>
      <x:c r="H520" s="11" t="n">
        <x:f>H508</x:f>
        <x:v>0.18</x:v>
      </x:c>
      <x:c r="I520" s="11" t="n">
        <x:f>I508</x:f>
        <x:v>6.8</x:v>
      </x:c>
    </x:row>
    <x:row r="521" ht="23" customHeight="1">
      <x:c r="A521" s="11" t="str">
        <x:v>688382.SH</x:v>
      </x:c>
      <x:c r="B521" s="11" t="str">
        <x:v>2026年底</x:v>
      </x:c>
      <x:c r="C521" s="11" t="str">
        <x:v>g12c_crc_cn</x:v>
      </x:c>
      <x:c r="D521" s="11" t="str">
        <x:v>基准</x:v>
      </x:c>
      <x:c r="E521" s="16" t="n">
        <x:v>0.27</x:v>
      </x:c>
      <x:c r="F521" s="16" t="n">
        <x:v>0.08200000000000002</x:v>
      </x:c>
      <x:c r="G521" s="16" t="n">
        <x:v>1</x:v>
      </x:c>
      <x:c r="H521" s="11" t="n">
        <x:f>H509</x:f>
        <x:v>0.135</x:v>
      </x:c>
      <x:c r="I521" s="11" t="n">
        <x:f>I509</x:f>
        <x:v>6.8</x:v>
      </x:c>
    </x:row>
    <x:row r="522" ht="23" customHeight="1">
      <x:c r="A522" s="11" t="str">
        <x:v>688382.SH</x:v>
      </x:c>
      <x:c r="B522" s="11" t="str">
        <x:v>2026年底</x:v>
      </x:c>
      <x:c r="C522" s="11" t="str">
        <x:v>g12c_crc_cn</x:v>
      </x:c>
      <x:c r="D522" s="11" t="str">
        <x:v>乐观</x:v>
      </x:c>
      <x:c r="E522" s="16" t="n">
        <x:v>0.5</x:v>
      </x:c>
      <x:c r="F522" s="16" t="n">
        <x:v>0.1105</x:v>
      </x:c>
      <x:c r="G522" s="16" t="n">
        <x:v>1</x:v>
      </x:c>
      <x:c r="H522" s="11" t="n">
        <x:f>H510</x:f>
        <x:v>0.105</x:v>
      </x:c>
      <x:c r="I522" s="11" t="n">
        <x:f>I510</x:f>
        <x:v>6.8</x:v>
      </x:c>
    </x:row>
    <x:row r="523" ht="23" customHeight="1">
      <x:c r="A523" s="11" t="str">
        <x:v>688382.SH</x:v>
      </x:c>
      <x:c r="B523" s="11" t="str">
        <x:v>2026年底</x:v>
      </x:c>
      <x:c r="C523" s="11" t="str">
        <x:v>g12c_global</x:v>
      </x:c>
      <x:c r="D523" s="11" t="str">
        <x:v>活动输入</x:v>
      </x:c>
      <x:c r="E523" s="11" t="n">
        <x:f>CHOOSE('假设'!$B$3,E524,E525,E526)</x:f>
        <x:v>0.22999999999999998</x:v>
      </x:c>
      <x:c r="F523" s="11" t="n">
        <x:f>CHOOSE('假设'!$B$3,F524,F525,F526)</x:f>
        <x:v>0.08200000000000002</x:v>
      </x:c>
      <x:c r="G523" s="11" t="n">
        <x:f>CHOOSE('假设'!$B$3,G524,G525,G526)</x:f>
        <x:v>1</x:v>
      </x:c>
      <x:c r="H523" s="11" t="n">
        <x:f>CHOOSE('假设'!$B$3,H524,H525,H526)</x:f>
        <x:v>0.135</x:v>
      </x:c>
      <x:c r="I523" s="11" t="n">
        <x:f>CHOOSE('假设'!$B$3,I524,I525,I526)</x:f>
        <x:v>6.8</x:v>
      </x:c>
    </x:row>
    <x:row r="524" ht="23" customHeight="1">
      <x:c r="A524" s="11" t="str">
        <x:v>688382.SH</x:v>
      </x:c>
      <x:c r="B524" s="11" t="str">
        <x:v>2026年底</x:v>
      </x:c>
      <x:c r="C524" s="11" t="str">
        <x:v>g12c_global</x:v>
      </x:c>
      <x:c r="D524" s="11" t="str">
        <x:v>悲观</x:v>
      </x:c>
      <x:c r="E524" s="16" t="n">
        <x:v>0.07000000000000006</x:v>
      </x:c>
      <x:c r="F524" s="16" t="n">
        <x:v>0.05600000000000001</x:v>
      </x:c>
      <x:c r="G524" s="16" t="n">
        <x:v>1</x:v>
      </x:c>
      <x:c r="H524" s="11" t="n">
        <x:f>H508</x:f>
        <x:v>0.18</x:v>
      </x:c>
      <x:c r="I524" s="11" t="n">
        <x:f>I508</x:f>
        <x:v>6.8</x:v>
      </x:c>
    </x:row>
    <x:row r="525" ht="23" customHeight="1">
      <x:c r="A525" s="11" t="str">
        <x:v>688382.SH</x:v>
      </x:c>
      <x:c r="B525" s="11" t="str">
        <x:v>2026年底</x:v>
      </x:c>
      <x:c r="C525" s="11" t="str">
        <x:v>g12c_global</x:v>
      </x:c>
      <x:c r="D525" s="11" t="str">
        <x:v>基准</x:v>
      </x:c>
      <x:c r="E525" s="16" t="n">
        <x:v>0.22999999999999998</x:v>
      </x:c>
      <x:c r="F525" s="16" t="n">
        <x:v>0.08200000000000002</x:v>
      </x:c>
      <x:c r="G525" s="16" t="n">
        <x:v>1</x:v>
      </x:c>
      <x:c r="H525" s="11" t="n">
        <x:f>H509</x:f>
        <x:v>0.135</x:v>
      </x:c>
      <x:c r="I525" s="11" t="n">
        <x:f>I509</x:f>
        <x:v>6.8</x:v>
      </x:c>
    </x:row>
    <x:row r="526" ht="23" customHeight="1">
      <x:c r="A526" s="11" t="str">
        <x:v>688382.SH</x:v>
      </x:c>
      <x:c r="B526" s="11" t="str">
        <x:v>2026年底</x:v>
      </x:c>
      <x:c r="C526" s="11" t="str">
        <x:v>g12c_global</x:v>
      </x:c>
      <x:c r="D526" s="11" t="str">
        <x:v>乐观</x:v>
      </x:c>
      <x:c r="E526" s="16" t="n">
        <x:v>0.44999999999999996</x:v>
      </x:c>
      <x:c r="F526" s="16" t="n">
        <x:v>0.1105</x:v>
      </x:c>
      <x:c r="G526" s="16" t="n">
        <x:v>1</x:v>
      </x:c>
      <x:c r="H526" s="11" t="n">
        <x:f>H510</x:f>
        <x:v>0.105</x:v>
      </x:c>
      <x:c r="I526" s="11" t="n">
        <x:f>I510</x:f>
        <x:v>6.8</x:v>
      </x:c>
    </x:row>
    <x:row r="527" ht="23" customHeight="1">
      <x:c r="A527" s="11" t="str">
        <x:v>688382.SH</x:v>
      </x:c>
      <x:c r="B527" s="11" t="str">
        <x:v>2026年底</x:v>
      </x:c>
      <x:c r="C527" s="11" t="str">
        <x:v>tyk_ps_cn</x:v>
      </x:c>
      <x:c r="D527" s="11" t="str">
        <x:v>活动输入</x:v>
      </x:c>
      <x:c r="E527" s="11" t="n">
        <x:f>CHOOSE('假设'!$B$3,E528,E529,E530)</x:f>
        <x:v>0.62</x:v>
      </x:c>
      <x:c r="F527" s="11" t="n">
        <x:f>CHOOSE('假设'!$B$3,F528,F529,F530)</x:f>
        <x:v>0.28</x:v>
      </x:c>
      <x:c r="G527" s="11" t="n">
        <x:f>CHOOSE('假设'!$B$3,G528,G529,G530)</x:f>
        <x:v>1</x:v>
      </x:c>
      <x:c r="H527" s="11" t="n">
        <x:f>CHOOSE('假设'!$B$3,H528,H529,H530)</x:f>
        <x:v>0.135</x:v>
      </x:c>
      <x:c r="I527" s="11" t="n">
        <x:f>CHOOSE('假设'!$B$3,I528,I529,I530)</x:f>
        <x:v>6.8</x:v>
      </x:c>
    </x:row>
    <x:row r="528" ht="23" customHeight="1">
      <x:c r="A528" s="11" t="str">
        <x:v>688382.SH</x:v>
      </x:c>
      <x:c r="B528" s="11" t="str">
        <x:v>2026年底</x:v>
      </x:c>
      <x:c r="C528" s="11" t="str">
        <x:v>tyk_ps_cn</x:v>
      </x:c>
      <x:c r="D528" s="11" t="str">
        <x:v>悲观</x:v>
      </x:c>
      <x:c r="E528" s="16" t="n">
        <x:v>0.35</x:v>
      </x:c>
      <x:c r="F528" s="16" t="n">
        <x:v>0.18</x:v>
      </x:c>
      <x:c r="G528" s="16" t="n">
        <x:v>1</x:v>
      </x:c>
      <x:c r="H528" s="11" t="n">
        <x:f>H508</x:f>
        <x:v>0.18</x:v>
      </x:c>
      <x:c r="I528" s="11" t="n">
        <x:f>I508</x:f>
        <x:v>6.8</x:v>
      </x:c>
    </x:row>
    <x:row r="529" ht="23" customHeight="1">
      <x:c r="A529" s="11" t="str">
        <x:v>688382.SH</x:v>
      </x:c>
      <x:c r="B529" s="11" t="str">
        <x:v>2026年底</x:v>
      </x:c>
      <x:c r="C529" s="11" t="str">
        <x:v>tyk_ps_cn</x:v>
      </x:c>
      <x:c r="D529" s="11" t="str">
        <x:v>基准</x:v>
      </x:c>
      <x:c r="E529" s="16" t="n">
        <x:v>0.62</x:v>
      </x:c>
      <x:c r="F529" s="16" t="n">
        <x:v>0.28</x:v>
      </x:c>
      <x:c r="G529" s="16" t="n">
        <x:v>1</x:v>
      </x:c>
      <x:c r="H529" s="11" t="n">
        <x:f>H509</x:f>
        <x:v>0.135</x:v>
      </x:c>
      <x:c r="I529" s="11" t="n">
        <x:f>I509</x:f>
        <x:v>6.8</x:v>
      </x:c>
    </x:row>
    <x:row r="530" ht="23" customHeight="1">
      <x:c r="A530" s="11" t="str">
        <x:v>688382.SH</x:v>
      </x:c>
      <x:c r="B530" s="11" t="str">
        <x:v>2026年底</x:v>
      </x:c>
      <x:c r="C530" s="11" t="str">
        <x:v>tyk_ps_cn</x:v>
      </x:c>
      <x:c r="D530" s="11" t="str">
        <x:v>乐观</x:v>
      </x:c>
      <x:c r="E530" s="16" t="n">
        <x:v>0.82</x:v>
      </x:c>
      <x:c r="F530" s="16" t="n">
        <x:v>0.36</x:v>
      </x:c>
      <x:c r="G530" s="16" t="n">
        <x:v>1</x:v>
      </x:c>
      <x:c r="H530" s="11" t="n">
        <x:f>H510</x:f>
        <x:v>0.105</x:v>
      </x:c>
      <x:c r="I530" s="11" t="n">
        <x:f>I510</x:f>
        <x:v>6.8</x:v>
      </x:c>
    </x:row>
    <x:row r="531" ht="23" customHeight="1">
      <x:c r="A531" s="11" t="str">
        <x:v>688382.SH</x:v>
      </x:c>
      <x:c r="B531" s="11" t="str">
        <x:v>2026年底</x:v>
      </x:c>
      <x:c r="C531" s="11" t="str">
        <x:v>tyk_uc_cn</x:v>
      </x:c>
      <x:c r="D531" s="11" t="str">
        <x:v>活动输入</x:v>
      </x:c>
      <x:c r="E531" s="11" t="n">
        <x:f>CHOOSE('假设'!$B$3,E532,E533,E534)</x:f>
        <x:v>0.28</x:v>
      </x:c>
      <x:c r="F531" s="11" t="n">
        <x:f>CHOOSE('假设'!$B$3,F532,F533,F534)</x:f>
        <x:v>0.28</x:v>
      </x:c>
      <x:c r="G531" s="11" t="n">
        <x:f>CHOOSE('假设'!$B$3,G532,G533,G534)</x:f>
        <x:v>1</x:v>
      </x:c>
      <x:c r="H531" s="11" t="n">
        <x:f>CHOOSE('假设'!$B$3,H532,H533,H534)</x:f>
        <x:v>0.135</x:v>
      </x:c>
      <x:c r="I531" s="11" t="n">
        <x:f>CHOOSE('假设'!$B$3,I532,I533,I534)</x:f>
        <x:v>6.8</x:v>
      </x:c>
    </x:row>
    <x:row r="532" ht="23" customHeight="1">
      <x:c r="A532" s="11" t="str">
        <x:v>688382.SH</x:v>
      </x:c>
      <x:c r="B532" s="11" t="str">
        <x:v>2026年底</x:v>
      </x:c>
      <x:c r="C532" s="11" t="str">
        <x:v>tyk_uc_cn</x:v>
      </x:c>
      <x:c r="D532" s="11" t="str">
        <x:v>悲观</x:v>
      </x:c>
      <x:c r="E532" s="16" t="n">
        <x:v>0.07999999999999996</x:v>
      </x:c>
      <x:c r="F532" s="16" t="n">
        <x:v>0.18</x:v>
      </x:c>
      <x:c r="G532" s="16" t="n">
        <x:v>1</x:v>
      </x:c>
      <x:c r="H532" s="11" t="n">
        <x:f>H508</x:f>
        <x:v>0.18</x:v>
      </x:c>
      <x:c r="I532" s="11" t="n">
        <x:f>I508</x:f>
        <x:v>6.8</x:v>
      </x:c>
    </x:row>
    <x:row r="533" ht="23" customHeight="1">
      <x:c r="A533" s="11" t="str">
        <x:v>688382.SH</x:v>
      </x:c>
      <x:c r="B533" s="11" t="str">
        <x:v>2026年底</x:v>
      </x:c>
      <x:c r="C533" s="11" t="str">
        <x:v>tyk_uc_cn</x:v>
      </x:c>
      <x:c r="D533" s="11" t="str">
        <x:v>基准</x:v>
      </x:c>
      <x:c r="E533" s="16" t="n">
        <x:v>0.28</x:v>
      </x:c>
      <x:c r="F533" s="16" t="n">
        <x:v>0.28</x:v>
      </x:c>
      <x:c r="G533" s="16" t="n">
        <x:v>1</x:v>
      </x:c>
      <x:c r="H533" s="11" t="n">
        <x:f>H509</x:f>
        <x:v>0.135</x:v>
      </x:c>
      <x:c r="I533" s="11" t="n">
        <x:f>I509</x:f>
        <x:v>6.8</x:v>
      </x:c>
    </x:row>
    <x:row r="534" ht="23" customHeight="1">
      <x:c r="A534" s="11" t="str">
        <x:v>688382.SH</x:v>
      </x:c>
      <x:c r="B534" s="11" t="str">
        <x:v>2026年底</x:v>
      </x:c>
      <x:c r="C534" s="11" t="str">
        <x:v>tyk_uc_cn</x:v>
      </x:c>
      <x:c r="D534" s="11" t="str">
        <x:v>乐观</x:v>
      </x:c>
      <x:c r="E534" s="16" t="n">
        <x:v>0.5</x:v>
      </x:c>
      <x:c r="F534" s="16" t="n">
        <x:v>0.36</x:v>
      </x:c>
      <x:c r="G534" s="16" t="n">
        <x:v>1</x:v>
      </x:c>
      <x:c r="H534" s="11" t="n">
        <x:f>H510</x:f>
        <x:v>0.105</x:v>
      </x:c>
      <x:c r="I534" s="11" t="n">
        <x:f>I510</x:f>
        <x:v>6.8</x:v>
      </x:c>
    </x:row>
    <x:row r="535" ht="23" customHeight="1">
      <x:c r="A535" s="11" t="str">
        <x:v>688382.SH</x:v>
      </x:c>
      <x:c r="B535" s="11" t="str">
        <x:v>2026年底</x:v>
      </x:c>
      <x:c r="C535" s="11" t="str">
        <x:v>tyk_sle_cn</x:v>
      </x:c>
      <x:c r="D535" s="11" t="str">
        <x:v>活动输入</x:v>
      </x:c>
      <x:c r="E535" s="11" t="n">
        <x:f>CHOOSE('假设'!$B$3,E536,E537,E538)</x:f>
        <x:v>0.17999999999999994</x:v>
      </x:c>
      <x:c r="F535" s="11" t="n">
        <x:f>CHOOSE('假设'!$B$3,F536,F537,F538)</x:f>
        <x:v>0.28</x:v>
      </x:c>
      <x:c r="G535" s="11" t="n">
        <x:f>CHOOSE('假设'!$B$3,G536,G537,G538)</x:f>
        <x:v>1</x:v>
      </x:c>
      <x:c r="H535" s="11" t="n">
        <x:f>CHOOSE('假设'!$B$3,H536,H537,H538)</x:f>
        <x:v>0.135</x:v>
      </x:c>
      <x:c r="I535" s="11" t="n">
        <x:f>CHOOSE('假设'!$B$3,I536,I537,I538)</x:f>
        <x:v>6.8</x:v>
      </x:c>
    </x:row>
    <x:row r="536" ht="23" customHeight="1">
      <x:c r="A536" s="11" t="str">
        <x:v>688382.SH</x:v>
      </x:c>
      <x:c r="B536" s="11" t="str">
        <x:v>2026年底</x:v>
      </x:c>
      <x:c r="C536" s="11" t="str">
        <x:v>tyk_sle_cn</x:v>
      </x:c>
      <x:c r="D536" s="11" t="str">
        <x:v>悲观</x:v>
      </x:c>
      <x:c r="E536" s="16" t="n">
        <x:v>0.050000000000000044</x:v>
      </x:c>
      <x:c r="F536" s="16" t="n">
        <x:v>0.18</x:v>
      </x:c>
      <x:c r="G536" s="16" t="n">
        <x:v>1</x:v>
      </x:c>
      <x:c r="H536" s="11" t="n">
        <x:f>H508</x:f>
        <x:v>0.18</x:v>
      </x:c>
      <x:c r="I536" s="11" t="n">
        <x:f>I508</x:f>
        <x:v>6.8</x:v>
      </x:c>
    </x:row>
    <x:row r="537" ht="23" customHeight="1">
      <x:c r="A537" s="11" t="str">
        <x:v>688382.SH</x:v>
      </x:c>
      <x:c r="B537" s="11" t="str">
        <x:v>2026年底</x:v>
      </x:c>
      <x:c r="C537" s="11" t="str">
        <x:v>tyk_sle_cn</x:v>
      </x:c>
      <x:c r="D537" s="11" t="str">
        <x:v>基准</x:v>
      </x:c>
      <x:c r="E537" s="16" t="n">
        <x:v>0.17999999999999994</x:v>
      </x:c>
      <x:c r="F537" s="16" t="n">
        <x:v>0.28</x:v>
      </x:c>
      <x:c r="G537" s="16" t="n">
        <x:v>1</x:v>
      </x:c>
      <x:c r="H537" s="11" t="n">
        <x:f>H509</x:f>
        <x:v>0.135</x:v>
      </x:c>
      <x:c r="I537" s="11" t="n">
        <x:f>I509</x:f>
        <x:v>6.8</x:v>
      </x:c>
    </x:row>
    <x:row r="538" ht="23" customHeight="1">
      <x:c r="A538" s="11" t="str">
        <x:v>688382.SH</x:v>
      </x:c>
      <x:c r="B538" s="11" t="str">
        <x:v>2026年底</x:v>
      </x:c>
      <x:c r="C538" s="11" t="str">
        <x:v>tyk_sle_cn</x:v>
      </x:c>
      <x:c r="D538" s="11" t="str">
        <x:v>乐观</x:v>
      </x:c>
      <x:c r="E538" s="16" t="n">
        <x:v>0.38</x:v>
      </x:c>
      <x:c r="F538" s="16" t="n">
        <x:v>0.36</x:v>
      </x:c>
      <x:c r="G538" s="16" t="n">
        <x:v>1</x:v>
      </x:c>
      <x:c r="H538" s="11" t="n">
        <x:f>H510</x:f>
        <x:v>0.105</x:v>
      </x:c>
      <x:c r="I538" s="11" t="n">
        <x:f>I510</x:f>
        <x:v>6.8</x:v>
      </x:c>
    </x:row>
    <x:row r="539" ht="23" customHeight="1">
      <x:c r="A539" s="11" t="str">
        <x:v>688382.SH</x:v>
      </x:c>
      <x:c r="B539" s="11" t="str">
        <x:v>2026年底</x:v>
      </x:c>
      <x:c r="C539" s="11" t="str">
        <x:v>tyk_psa_cn</x:v>
      </x:c>
      <x:c r="D539" s="11" t="str">
        <x:v>活动输入</x:v>
      </x:c>
      <x:c r="E539" s="11" t="n">
        <x:f>CHOOSE('假设'!$B$3,E540,E541,E542)</x:f>
        <x:v>0.30000000000000004</x:v>
      </x:c>
      <x:c r="F539" s="11" t="n">
        <x:f>CHOOSE('假设'!$B$3,F540,F541,F542)</x:f>
        <x:v>0.28</x:v>
      </x:c>
      <x:c r="G539" s="11" t="n">
        <x:f>CHOOSE('假设'!$B$3,G540,G541,G542)</x:f>
        <x:v>1</x:v>
      </x:c>
      <x:c r="H539" s="11" t="n">
        <x:f>CHOOSE('假设'!$B$3,H540,H541,H542)</x:f>
        <x:v>0.135</x:v>
      </x:c>
      <x:c r="I539" s="11" t="n">
        <x:f>CHOOSE('假设'!$B$3,I540,I541,I542)</x:f>
        <x:v>6.8</x:v>
      </x:c>
    </x:row>
    <x:row r="540" ht="23" customHeight="1">
      <x:c r="A540" s="11" t="str">
        <x:v>688382.SH</x:v>
      </x:c>
      <x:c r="B540" s="11" t="str">
        <x:v>2026年底</x:v>
      </x:c>
      <x:c r="C540" s="11" t="str">
        <x:v>tyk_psa_cn</x:v>
      </x:c>
      <x:c r="D540" s="11" t="str">
        <x:v>悲观</x:v>
      </x:c>
      <x:c r="E540" s="16" t="n">
        <x:v>0.08999999999999997</x:v>
      </x:c>
      <x:c r="F540" s="16" t="n">
        <x:v>0.18</x:v>
      </x:c>
      <x:c r="G540" s="16" t="n">
        <x:v>1</x:v>
      </x:c>
      <x:c r="H540" s="11" t="n">
        <x:f>H508</x:f>
        <x:v>0.18</x:v>
      </x:c>
      <x:c r="I540" s="11" t="n">
        <x:f>I508</x:f>
        <x:v>6.8</x:v>
      </x:c>
    </x:row>
    <x:row r="541" ht="23" customHeight="1">
      <x:c r="A541" s="11" t="str">
        <x:v>688382.SH</x:v>
      </x:c>
      <x:c r="B541" s="11" t="str">
        <x:v>2026年底</x:v>
      </x:c>
      <x:c r="C541" s="11" t="str">
        <x:v>tyk_psa_cn</x:v>
      </x:c>
      <x:c r="D541" s="11" t="str">
        <x:v>基准</x:v>
      </x:c>
      <x:c r="E541" s="16" t="n">
        <x:v>0.30000000000000004</x:v>
      </x:c>
      <x:c r="F541" s="16" t="n">
        <x:v>0.28</x:v>
      </x:c>
      <x:c r="G541" s="16" t="n">
        <x:v>1</x:v>
      </x:c>
      <x:c r="H541" s="11" t="n">
        <x:f>H509</x:f>
        <x:v>0.135</x:v>
      </x:c>
      <x:c r="I541" s="11" t="n">
        <x:f>I509</x:f>
        <x:v>6.8</x:v>
      </x:c>
    </x:row>
    <x:row r="542" ht="23" customHeight="1">
      <x:c r="A542" s="11" t="str">
        <x:v>688382.SH</x:v>
      </x:c>
      <x:c r="B542" s="11" t="str">
        <x:v>2026年底</x:v>
      </x:c>
      <x:c r="C542" s="11" t="str">
        <x:v>tyk_psa_cn</x:v>
      </x:c>
      <x:c r="D542" s="11" t="str">
        <x:v>乐观</x:v>
      </x:c>
      <x:c r="E542" s="16" t="n">
        <x:v>0.55</x:v>
      </x:c>
      <x:c r="F542" s="16" t="n">
        <x:v>0.36</x:v>
      </x:c>
      <x:c r="G542" s="16" t="n">
        <x:v>1</x:v>
      </x:c>
      <x:c r="H542" s="11" t="n">
        <x:f>H510</x:f>
        <x:v>0.105</x:v>
      </x:c>
      <x:c r="I542" s="11" t="n">
        <x:f>I510</x:f>
        <x:v>6.8</x:v>
      </x:c>
    </x:row>
    <x:row r="543" ht="23" customHeight="1">
      <x:c r="A543" s="11" t="str">
        <x:v>688382.SH</x:v>
      </x:c>
      <x:c r="B543" s="11" t="str">
        <x:v>2026年底</x:v>
      </x:c>
      <x:c r="C543" s="11" t="str">
        <x:v>tyk_viti_cn</x:v>
      </x:c>
      <x:c r="D543" s="11" t="str">
        <x:v>活动输入</x:v>
      </x:c>
      <x:c r="E543" s="11" t="n">
        <x:f>CHOOSE('假设'!$B$3,E544,E545,E546)</x:f>
        <x:v>0.15000000000000002</x:v>
      </x:c>
      <x:c r="F543" s="11" t="n">
        <x:f>CHOOSE('假设'!$B$3,F544,F545,F546)</x:f>
        <x:v>0.28</x:v>
      </x:c>
      <x:c r="G543" s="11" t="n">
        <x:f>CHOOSE('假设'!$B$3,G544,G545,G546)</x:f>
        <x:v>1</x:v>
      </x:c>
      <x:c r="H543" s="11" t="n">
        <x:f>CHOOSE('假设'!$B$3,H544,H545,H546)</x:f>
        <x:v>0.135</x:v>
      </x:c>
      <x:c r="I543" s="11" t="n">
        <x:f>CHOOSE('假设'!$B$3,I544,I545,I546)</x:f>
        <x:v>6.8</x:v>
      </x:c>
    </x:row>
    <x:row r="544" ht="23" customHeight="1">
      <x:c r="A544" s="11" t="str">
        <x:v>688382.SH</x:v>
      </x:c>
      <x:c r="B544" s="11" t="str">
        <x:v>2026年底</x:v>
      </x:c>
      <x:c r="C544" s="11" t="str">
        <x:v>tyk_viti_cn</x:v>
      </x:c>
      <x:c r="D544" s="11" t="str">
        <x:v>悲观</x:v>
      </x:c>
      <x:c r="E544" s="16" t="n">
        <x:v>0.040000000000000036</x:v>
      </x:c>
      <x:c r="F544" s="16" t="n">
        <x:v>0.18</x:v>
      </x:c>
      <x:c r="G544" s="16" t="n">
        <x:v>1</x:v>
      </x:c>
      <x:c r="H544" s="11" t="n">
        <x:f>H508</x:f>
        <x:v>0.18</x:v>
      </x:c>
      <x:c r="I544" s="11" t="n">
        <x:f>I508</x:f>
        <x:v>6.8</x:v>
      </x:c>
    </x:row>
    <x:row r="545" ht="23" customHeight="1">
      <x:c r="A545" s="11" t="str">
        <x:v>688382.SH</x:v>
      </x:c>
      <x:c r="B545" s="11" t="str">
        <x:v>2026年底</x:v>
      </x:c>
      <x:c r="C545" s="11" t="str">
        <x:v>tyk_viti_cn</x:v>
      </x:c>
      <x:c r="D545" s="11" t="str">
        <x:v>基准</x:v>
      </x:c>
      <x:c r="E545" s="16" t="n">
        <x:v>0.15000000000000002</x:v>
      </x:c>
      <x:c r="F545" s="16" t="n">
        <x:v>0.28</x:v>
      </x:c>
      <x:c r="G545" s="16" t="n">
        <x:v>1</x:v>
      </x:c>
      <x:c r="H545" s="11" t="n">
        <x:f>H509</x:f>
        <x:v>0.135</x:v>
      </x:c>
      <x:c r="I545" s="11" t="n">
        <x:f>I509</x:f>
        <x:v>6.8</x:v>
      </x:c>
    </x:row>
    <x:row r="546" ht="23" customHeight="1">
      <x:c r="A546" s="11" t="str">
        <x:v>688382.SH</x:v>
      </x:c>
      <x:c r="B546" s="11" t="str">
        <x:v>2026年底</x:v>
      </x:c>
      <x:c r="C546" s="11" t="str">
        <x:v>tyk_viti_cn</x:v>
      </x:c>
      <x:c r="D546" s="11" t="str">
        <x:v>乐观</x:v>
      </x:c>
      <x:c r="E546" s="16" t="n">
        <x:v>0.3400000000000001</x:v>
      </x:c>
      <x:c r="F546" s="16" t="n">
        <x:v>0.36</x:v>
      </x:c>
      <x:c r="G546" s="16" t="n">
        <x:v>1</x:v>
      </x:c>
      <x:c r="H546" s="11" t="n">
        <x:f>H510</x:f>
        <x:v>0.105</x:v>
      </x:c>
      <x:c r="I546" s="11" t="n">
        <x:f>I510</x:f>
        <x:v>6.8</x:v>
      </x:c>
    </x:row>
    <x:row r="547" ht="23" customHeight="1">
      <x:c r="A547" s="11" t="str">
        <x:v>688382.SH</x:v>
      </x:c>
      <x:c r="B547" s="11" t="str">
        <x:v>2026年底</x:v>
      </x:c>
      <x:c r="C547" s="11" t="str">
        <x:v>tyk_global</x:v>
      </x:c>
      <x:c r="D547" s="11" t="str">
        <x:v>活动输入</x:v>
      </x:c>
      <x:c r="E547" s="11" t="n">
        <x:f>CHOOSE('假设'!$B$3,E548,E549,E550)</x:f>
        <x:v>0.35</x:v>
      </x:c>
      <x:c r="F547" s="11" t="n">
        <x:f>CHOOSE('假设'!$B$3,F548,F549,F550)</x:f>
        <x:v>0.08200000000000002</x:v>
      </x:c>
      <x:c r="G547" s="11" t="n">
        <x:f>CHOOSE('假设'!$B$3,G548,G549,G550)</x:f>
        <x:v>1</x:v>
      </x:c>
      <x:c r="H547" s="11" t="n">
        <x:f>CHOOSE('假设'!$B$3,H548,H549,H550)</x:f>
        <x:v>0.135</x:v>
      </x:c>
      <x:c r="I547" s="11" t="n">
        <x:f>CHOOSE('假设'!$B$3,I548,I549,I550)</x:f>
        <x:v>6.8</x:v>
      </x:c>
    </x:row>
    <x:row r="548" ht="23" customHeight="1">
      <x:c r="A548" s="11" t="str">
        <x:v>688382.SH</x:v>
      </x:c>
      <x:c r="B548" s="11" t="str">
        <x:v>2026年底</x:v>
      </x:c>
      <x:c r="C548" s="11" t="str">
        <x:v>tyk_global</x:v>
      </x:c>
      <x:c r="D548" s="11" t="str">
        <x:v>悲观</x:v>
      </x:c>
      <x:c r="E548" s="16" t="n">
        <x:v>0.12</x:v>
      </x:c>
      <x:c r="F548" s="16" t="n">
        <x:v>0.05600000000000001</x:v>
      </x:c>
      <x:c r="G548" s="16" t="n">
        <x:v>1</x:v>
      </x:c>
      <x:c r="H548" s="11" t="n">
        <x:f>H508</x:f>
        <x:v>0.18</x:v>
      </x:c>
      <x:c r="I548" s="11" t="n">
        <x:f>I508</x:f>
        <x:v>6.8</x:v>
      </x:c>
    </x:row>
    <x:row r="549" ht="23" customHeight="1">
      <x:c r="A549" s="11" t="str">
        <x:v>688382.SH</x:v>
      </x:c>
      <x:c r="B549" s="11" t="str">
        <x:v>2026年底</x:v>
      </x:c>
      <x:c r="C549" s="11" t="str">
        <x:v>tyk_global</x:v>
      </x:c>
      <x:c r="D549" s="11" t="str">
        <x:v>基准</x:v>
      </x:c>
      <x:c r="E549" s="16" t="n">
        <x:v>0.35</x:v>
      </x:c>
      <x:c r="F549" s="16" t="n">
        <x:v>0.08200000000000002</x:v>
      </x:c>
      <x:c r="G549" s="16" t="n">
        <x:v>1</x:v>
      </x:c>
      <x:c r="H549" s="11" t="n">
        <x:f>H509</x:f>
        <x:v>0.135</x:v>
      </x:c>
      <x:c r="I549" s="11" t="n">
        <x:f>I509</x:f>
        <x:v>6.8</x:v>
      </x:c>
    </x:row>
    <x:row r="550" ht="23" customHeight="1">
      <x:c r="A550" s="11" t="str">
        <x:v>688382.SH</x:v>
      </x:c>
      <x:c r="B550" s="11" t="str">
        <x:v>2026年底</x:v>
      </x:c>
      <x:c r="C550" s="11" t="str">
        <x:v>tyk_global</x:v>
      </x:c>
      <x:c r="D550" s="11" t="str">
        <x:v>乐观</x:v>
      </x:c>
      <x:c r="E550" s="16" t="n">
        <x:v>0.6</x:v>
      </x:c>
      <x:c r="F550" s="16" t="n">
        <x:v>0.1105</x:v>
      </x:c>
      <x:c r="G550" s="16" t="n">
        <x:v>1</x:v>
      </x:c>
      <x:c r="H550" s="11" t="n">
        <x:f>H510</x:f>
        <x:v>0.105</x:v>
      </x:c>
      <x:c r="I550" s="11" t="n">
        <x:f>I510</x:f>
        <x:v>6.8</x:v>
      </x:c>
    </x:row>
    <x:row r="551" ht="23" customHeight="1">
      <x:c r="A551" s="11" t="str">
        <x:v>688382.SH</x:v>
      </x:c>
      <x:c r="B551" s="11" t="str">
        <x:v>2026年底</x:v>
      </x:c>
      <x:c r="C551" s="11" t="str">
        <x:v>serd_cn</x:v>
      </x:c>
      <x:c r="D551" s="11" t="str">
        <x:v>活动输入</x:v>
      </x:c>
      <x:c r="E551" s="11" t="n">
        <x:f>CHOOSE('假设'!$B$3,E552,E553,E554)</x:f>
        <x:v>0.5</x:v>
      </x:c>
      <x:c r="F551" s="11" t="n">
        <x:f>CHOOSE('假设'!$B$3,F552,F553,F554)</x:f>
        <x:v>0.28</x:v>
      </x:c>
      <x:c r="G551" s="11" t="n">
        <x:f>CHOOSE('假设'!$B$3,G552,G553,G554)</x:f>
        <x:v>1</x:v>
      </x:c>
      <x:c r="H551" s="11" t="n">
        <x:f>CHOOSE('假设'!$B$3,H552,H553,H554)</x:f>
        <x:v>0.135</x:v>
      </x:c>
      <x:c r="I551" s="11" t="n">
        <x:f>CHOOSE('假设'!$B$3,I552,I553,I554)</x:f>
        <x:v>6.8</x:v>
      </x:c>
    </x:row>
    <x:row r="552" ht="23" customHeight="1">
      <x:c r="A552" s="11" t="str">
        <x:v>688382.SH</x:v>
      </x:c>
      <x:c r="B552" s="11" t="str">
        <x:v>2026年底</x:v>
      </x:c>
      <x:c r="C552" s="11" t="str">
        <x:v>serd_cn</x:v>
      </x:c>
      <x:c r="D552" s="11" t="str">
        <x:v>悲观</x:v>
      </x:c>
      <x:c r="E552" s="16" t="n">
        <x:v>0.25</x:v>
      </x:c>
      <x:c r="F552" s="16" t="n">
        <x:v>0.18</x:v>
      </x:c>
      <x:c r="G552" s="16" t="n">
        <x:v>1</x:v>
      </x:c>
      <x:c r="H552" s="11" t="n">
        <x:f>H508</x:f>
        <x:v>0.18</x:v>
      </x:c>
      <x:c r="I552" s="11" t="n">
        <x:f>I508</x:f>
        <x:v>6.8</x:v>
      </x:c>
    </x:row>
    <x:row r="553" ht="23" customHeight="1">
      <x:c r="A553" s="11" t="str">
        <x:v>688382.SH</x:v>
      </x:c>
      <x:c r="B553" s="11" t="str">
        <x:v>2026年底</x:v>
      </x:c>
      <x:c r="C553" s="11" t="str">
        <x:v>serd_cn</x:v>
      </x:c>
      <x:c r="D553" s="11" t="str">
        <x:v>基准</x:v>
      </x:c>
      <x:c r="E553" s="16" t="n">
        <x:v>0.5</x:v>
      </x:c>
      <x:c r="F553" s="16" t="n">
        <x:v>0.28</x:v>
      </x:c>
      <x:c r="G553" s="16" t="n">
        <x:v>1</x:v>
      </x:c>
      <x:c r="H553" s="11" t="n">
        <x:f>H509</x:f>
        <x:v>0.135</x:v>
      </x:c>
      <x:c r="I553" s="11" t="n">
        <x:f>I509</x:f>
        <x:v>6.8</x:v>
      </x:c>
    </x:row>
    <x:row r="554" ht="23" customHeight="1">
      <x:c r="A554" s="11" t="str">
        <x:v>688382.SH</x:v>
      </x:c>
      <x:c r="B554" s="11" t="str">
        <x:v>2026年底</x:v>
      </x:c>
      <x:c r="C554" s="11" t="str">
        <x:v>serd_cn</x:v>
      </x:c>
      <x:c r="D554" s="11" t="str">
        <x:v>乐观</x:v>
      </x:c>
      <x:c r="E554" s="16" t="n">
        <x:v>0.75</x:v>
      </x:c>
      <x:c r="F554" s="16" t="n">
        <x:v>0.36</x:v>
      </x:c>
      <x:c r="G554" s="16" t="n">
        <x:v>1</x:v>
      </x:c>
      <x:c r="H554" s="11" t="n">
        <x:f>H510</x:f>
        <x:v>0.105</x:v>
      </x:c>
      <x:c r="I554" s="11" t="n">
        <x:f>I510</x:f>
        <x:v>6.8</x:v>
      </x:c>
    </x:row>
    <x:row r="555" ht="23" customHeight="1">
      <x:c r="A555" s="11" t="str">
        <x:v>688382.SH</x:v>
      </x:c>
      <x:c r="B555" s="11" t="str">
        <x:v>2026年底</x:v>
      </x:c>
      <x:c r="C555" s="11" t="str">
        <x:v>serd_adc</x:v>
      </x:c>
      <x:c r="D555" s="11" t="str">
        <x:v>活动输入</x:v>
      </x:c>
      <x:c r="E555" s="11" t="n">
        <x:f>CHOOSE('假设'!$B$3,E556,E557,E558)</x:f>
        <x:v>0.17999999999999994</x:v>
      </x:c>
      <x:c r="F555" s="11" t="n">
        <x:f>CHOOSE('假设'!$B$3,F556,F557,F558)</x:f>
        <x:v>0.2</x:v>
      </x:c>
      <x:c r="G555" s="11" t="n">
        <x:f>CHOOSE('假设'!$B$3,G556,G557,G558)</x:f>
        <x:v>1</x:v>
      </x:c>
      <x:c r="H555" s="11" t="n">
        <x:f>CHOOSE('假设'!$B$3,H556,H557,H558)</x:f>
        <x:v>0.135</x:v>
      </x:c>
      <x:c r="I555" s="11" t="n">
        <x:f>CHOOSE('假设'!$B$3,I556,I557,I558)</x:f>
        <x:v>6.8</x:v>
      </x:c>
    </x:row>
    <x:row r="556" ht="23" customHeight="1">
      <x:c r="A556" s="11" t="str">
        <x:v>688382.SH</x:v>
      </x:c>
      <x:c r="B556" s="11" t="str">
        <x:v>2026年底</x:v>
      </x:c>
      <x:c r="C556" s="11" t="str">
        <x:v>serd_adc</x:v>
      </x:c>
      <x:c r="D556" s="11" t="str">
        <x:v>悲观</x:v>
      </x:c>
      <x:c r="E556" s="16" t="n">
        <x:v>0.050000000000000044</x:v>
      </x:c>
      <x:c r="F556" s="16" t="n">
        <x:v>0.12</x:v>
      </x:c>
      <x:c r="G556" s="16" t="n">
        <x:v>1</x:v>
      </x:c>
      <x:c r="H556" s="11" t="n">
        <x:f>H508</x:f>
        <x:v>0.18</x:v>
      </x:c>
      <x:c r="I556" s="11" t="n">
        <x:f>I508</x:f>
        <x:v>6.8</x:v>
      </x:c>
    </x:row>
    <x:row r="557" ht="23" customHeight="1">
      <x:c r="A557" s="11" t="str">
        <x:v>688382.SH</x:v>
      </x:c>
      <x:c r="B557" s="11" t="str">
        <x:v>2026年底</x:v>
      </x:c>
      <x:c r="C557" s="11" t="str">
        <x:v>serd_adc</x:v>
      </x:c>
      <x:c r="D557" s="11" t="str">
        <x:v>基准</x:v>
      </x:c>
      <x:c r="E557" s="16" t="n">
        <x:v>0.17999999999999994</x:v>
      </x:c>
      <x:c r="F557" s="16" t="n">
        <x:v>0.2</x:v>
      </x:c>
      <x:c r="G557" s="16" t="n">
        <x:v>1</x:v>
      </x:c>
      <x:c r="H557" s="11" t="n">
        <x:f>H509</x:f>
        <x:v>0.135</x:v>
      </x:c>
      <x:c r="I557" s="11" t="n">
        <x:f>I509</x:f>
        <x:v>6.8</x:v>
      </x:c>
    </x:row>
    <x:row r="558" ht="23" customHeight="1">
      <x:c r="A558" s="11" t="str">
        <x:v>688382.SH</x:v>
      </x:c>
      <x:c r="B558" s="11" t="str">
        <x:v>2026年底</x:v>
      </x:c>
      <x:c r="C558" s="11" t="str">
        <x:v>serd_adc</x:v>
      </x:c>
      <x:c r="D558" s="11" t="str">
        <x:v>乐观</x:v>
      </x:c>
      <x:c r="E558" s="16" t="n">
        <x:v>0.4</x:v>
      </x:c>
      <x:c r="F558" s="16" t="n">
        <x:v>0.28</x:v>
      </x:c>
      <x:c r="G558" s="16" t="n">
        <x:v>1</x:v>
      </x:c>
      <x:c r="H558" s="11" t="n">
        <x:f>H510</x:f>
        <x:v>0.105</x:v>
      </x:c>
      <x:c r="I558" s="11" t="n">
        <x:f>I510</x:f>
        <x:v>6.8</x:v>
      </x:c>
    </x:row>
    <x:row r="559" ht="23" customHeight="1">
      <x:c r="A559" s="11" t="str">
        <x:v>688382.SH</x:v>
      </x:c>
      <x:c r="B559" s="11" t="str">
        <x:v>2026年底</x:v>
      </x:c>
      <x:c r="C559" s="11" t="str">
        <x:v>urat_cn</x:v>
      </x:c>
      <x:c r="D559" s="11" t="str">
        <x:v>活动输入</x:v>
      </x:c>
      <x:c r="E559" s="11" t="n">
        <x:f>CHOOSE('假设'!$B$3,E560,E561,E562)</x:f>
        <x:v>0.38</x:v>
      </x:c>
      <x:c r="F559" s="11" t="n">
        <x:f>CHOOSE('假设'!$B$3,F560,F561,F562)</x:f>
        <x:v>0.28</x:v>
      </x:c>
      <x:c r="G559" s="11" t="n">
        <x:f>CHOOSE('假设'!$B$3,G560,G561,G562)</x:f>
        <x:v>1</x:v>
      </x:c>
      <x:c r="H559" s="11" t="n">
        <x:f>CHOOSE('假设'!$B$3,H560,H561,H562)</x:f>
        <x:v>0.135</x:v>
      </x:c>
      <x:c r="I559" s="11" t="n">
        <x:f>CHOOSE('假设'!$B$3,I560,I561,I562)</x:f>
        <x:v>6.8</x:v>
      </x:c>
    </x:row>
    <x:row r="560" ht="23" customHeight="1">
      <x:c r="A560" s="11" t="str">
        <x:v>688382.SH</x:v>
      </x:c>
      <x:c r="B560" s="11" t="str">
        <x:v>2026年底</x:v>
      </x:c>
      <x:c r="C560" s="11" t="str">
        <x:v>urat_cn</x:v>
      </x:c>
      <x:c r="D560" s="11" t="str">
        <x:v>悲观</x:v>
      </x:c>
      <x:c r="E560" s="16" t="n">
        <x:v>0.15000000000000002</x:v>
      </x:c>
      <x:c r="F560" s="16" t="n">
        <x:v>0.18</x:v>
      </x:c>
      <x:c r="G560" s="16" t="n">
        <x:v>1</x:v>
      </x:c>
      <x:c r="H560" s="11" t="n">
        <x:f>H508</x:f>
        <x:v>0.18</x:v>
      </x:c>
      <x:c r="I560" s="11" t="n">
        <x:f>I508</x:f>
        <x:v>6.8</x:v>
      </x:c>
    </x:row>
    <x:row r="561" ht="23" customHeight="1">
      <x:c r="A561" s="11" t="str">
        <x:v>688382.SH</x:v>
      </x:c>
      <x:c r="B561" s="11" t="str">
        <x:v>2026年底</x:v>
      </x:c>
      <x:c r="C561" s="11" t="str">
        <x:v>urat_cn</x:v>
      </x:c>
      <x:c r="D561" s="11" t="str">
        <x:v>基准</x:v>
      </x:c>
      <x:c r="E561" s="16" t="n">
        <x:v>0.38</x:v>
      </x:c>
      <x:c r="F561" s="16" t="n">
        <x:v>0.28</x:v>
      </x:c>
      <x:c r="G561" s="16" t="n">
        <x:v>1</x:v>
      </x:c>
      <x:c r="H561" s="11" t="n">
        <x:f>H509</x:f>
        <x:v>0.135</x:v>
      </x:c>
      <x:c r="I561" s="11" t="n">
        <x:f>I509</x:f>
        <x:v>6.8</x:v>
      </x:c>
    </x:row>
    <x:row r="562" ht="23" customHeight="1">
      <x:c r="A562" s="11" t="str">
        <x:v>688382.SH</x:v>
      </x:c>
      <x:c r="B562" s="11" t="str">
        <x:v>2026年底</x:v>
      </x:c>
      <x:c r="C562" s="11" t="str">
        <x:v>urat_cn</x:v>
      </x:c>
      <x:c r="D562" s="11" t="str">
        <x:v>乐观</x:v>
      </x:c>
      <x:c r="E562" s="16" t="n">
        <x:v>0.62</x:v>
      </x:c>
      <x:c r="F562" s="16" t="n">
        <x:v>0.36</x:v>
      </x:c>
      <x:c r="G562" s="16" t="n">
        <x:v>1</x:v>
      </x:c>
      <x:c r="H562" s="11" t="n">
        <x:f>H510</x:f>
        <x:v>0.105</x:v>
      </x:c>
      <x:c r="I562" s="11" t="n">
        <x:f>I510</x:f>
        <x:v>6.8</x:v>
      </x:c>
    </x:row>
    <x:row r="563" ht="23" customHeight="1">
      <x:c r="A563" s="11" t="str">
        <x:v>688382.SH</x:v>
      </x:c>
      <x:c r="B563" s="11" t="str">
        <x:v>2026年底</x:v>
      </x:c>
      <x:c r="C563" s="11" t="str">
        <x:v>urat_global</x:v>
      </x:c>
      <x:c r="D563" s="11" t="str">
        <x:v>活动输入</x:v>
      </x:c>
      <x:c r="E563" s="11" t="n">
        <x:f>CHOOSE('假设'!$B$3,E564,E565,E566)</x:f>
        <x:v>0.25</x:v>
      </x:c>
      <x:c r="F563" s="11" t="n">
        <x:f>CHOOSE('假设'!$B$3,F564,F565,F566)</x:f>
        <x:v>0.08200000000000002</x:v>
      </x:c>
      <x:c r="G563" s="11" t="n">
        <x:f>CHOOSE('假设'!$B$3,G564,G565,G566)</x:f>
        <x:v>1</x:v>
      </x:c>
      <x:c r="H563" s="11" t="n">
        <x:f>CHOOSE('假设'!$B$3,H564,H565,H566)</x:f>
        <x:v>0.135</x:v>
      </x:c>
      <x:c r="I563" s="11" t="n">
        <x:f>CHOOSE('假设'!$B$3,I564,I565,I566)</x:f>
        <x:v>6.8</x:v>
      </x:c>
    </x:row>
    <x:row r="564" ht="23" customHeight="1">
      <x:c r="A564" s="11" t="str">
        <x:v>688382.SH</x:v>
      </x:c>
      <x:c r="B564" s="11" t="str">
        <x:v>2026年底</x:v>
      </x:c>
      <x:c r="C564" s="11" t="str">
        <x:v>urat_global</x:v>
      </x:c>
      <x:c r="D564" s="11" t="str">
        <x:v>悲观</x:v>
      </x:c>
      <x:c r="E564" s="16" t="n">
        <x:v>0.07999999999999996</x:v>
      </x:c>
      <x:c r="F564" s="16" t="n">
        <x:v>0.05600000000000001</x:v>
      </x:c>
      <x:c r="G564" s="16" t="n">
        <x:v>1</x:v>
      </x:c>
      <x:c r="H564" s="11" t="n">
        <x:f>H508</x:f>
        <x:v>0.18</x:v>
      </x:c>
      <x:c r="I564" s="11" t="n">
        <x:f>I508</x:f>
        <x:v>6.8</x:v>
      </x:c>
    </x:row>
    <x:row r="565" ht="23" customHeight="1">
      <x:c r="A565" s="11" t="str">
        <x:v>688382.SH</x:v>
      </x:c>
      <x:c r="B565" s="11" t="str">
        <x:v>2026年底</x:v>
      </x:c>
      <x:c r="C565" s="11" t="str">
        <x:v>urat_global</x:v>
      </x:c>
      <x:c r="D565" s="11" t="str">
        <x:v>基准</x:v>
      </x:c>
      <x:c r="E565" s="16" t="n">
        <x:v>0.25</x:v>
      </x:c>
      <x:c r="F565" s="16" t="n">
        <x:v>0.08200000000000002</x:v>
      </x:c>
      <x:c r="G565" s="16" t="n">
        <x:v>1</x:v>
      </x:c>
      <x:c r="H565" s="11" t="n">
        <x:f>H509</x:f>
        <x:v>0.135</x:v>
      </x:c>
      <x:c r="I565" s="11" t="n">
        <x:f>I509</x:f>
        <x:v>6.8</x:v>
      </x:c>
    </x:row>
    <x:row r="566" ht="23" customHeight="1">
      <x:c r="A566" s="11" t="str">
        <x:v>688382.SH</x:v>
      </x:c>
      <x:c r="B566" s="11" t="str">
        <x:v>2026年底</x:v>
      </x:c>
      <x:c r="C566" s="11" t="str">
        <x:v>urat_global</x:v>
      </x:c>
      <x:c r="D566" s="11" t="str">
        <x:v>乐观</x:v>
      </x:c>
      <x:c r="E566" s="16" t="n">
        <x:v>0.48</x:v>
      </x:c>
      <x:c r="F566" s="16" t="n">
        <x:v>0.1105</x:v>
      </x:c>
      <x:c r="G566" s="16" t="n">
        <x:v>1</x:v>
      </x:c>
      <x:c r="H566" s="11" t="n">
        <x:f>H510</x:f>
        <x:v>0.105</x:v>
      </x:c>
      <x:c r="I566" s="11" t="n">
        <x:f>I510</x:f>
        <x:v>6.8</x:v>
      </x:c>
    </x:row>
    <x:row r="567" ht="23" customHeight="1">
      <x:c r="A567" s="11" t="str">
        <x:v>688382.SH</x:v>
      </x:c>
      <x:c r="B567" s="11" t="str">
        <x:v>半年</x:v>
      </x:c>
      <x:c r="C567" s="11" t="str">
        <x:v>befu</x:v>
      </x:c>
      <x:c r="D567" s="11" t="str">
        <x:v>活动输入</x:v>
      </x:c>
      <x:c r="E567" s="11" t="n">
        <x:f>CHOOSE('假设'!$B$3,E568,E569,E570)</x:f>
        <x:v>1</x:v>
      </x:c>
      <x:c r="F567" s="11" t="n">
        <x:f>CHOOSE('假设'!$B$3,F568,F569,F570)</x:f>
        <x:v>0.0656</x:v>
      </x:c>
      <x:c r="G567" s="11" t="n">
        <x:f>CHOOSE('假设'!$B$3,G568,G569,G570)</x:f>
        <x:v>1</x:v>
      </x:c>
      <x:c r="H567" s="11" t="n">
        <x:f>CHOOSE('假设'!$B$3,H568,H569,H570)</x:f>
        <x:v>0.135</x:v>
      </x:c>
      <x:c r="I567" s="11" t="n">
        <x:f>CHOOSE('假设'!$B$3,I568,I569,I570)</x:f>
        <x:v>6.8</x:v>
      </x:c>
    </x:row>
    <x:row r="568" ht="23" customHeight="1">
      <x:c r="A568" s="11" t="str">
        <x:v>688382.SH</x:v>
      </x:c>
      <x:c r="B568" s="11" t="str">
        <x:v>半年</x:v>
      </x:c>
      <x:c r="C568" s="11" t="str">
        <x:v>befu</x:v>
      </x:c>
      <x:c r="D568" s="11" t="str">
        <x:v>悲观</x:v>
      </x:c>
      <x:c r="E568" s="16" t="n">
        <x:v>1</x:v>
      </x:c>
      <x:c r="F568" s="16" t="n">
        <x:v>0.04000000000000001</x:v>
      </x:c>
      <x:c r="G568" s="16" t="n">
        <x:v>1</x:v>
      </x:c>
      <x:c r="H568" s="16" t="n">
        <x:v>0.18</x:v>
      </x:c>
      <x:c r="I568" s="16" t="n">
        <x:v>6.8</x:v>
      </x:c>
    </x:row>
    <x:row r="569" ht="23" customHeight="1">
      <x:c r="A569" s="11" t="str">
        <x:v>688382.SH</x:v>
      </x:c>
      <x:c r="B569" s="11" t="str">
        <x:v>半年</x:v>
      </x:c>
      <x:c r="C569" s="11" t="str">
        <x:v>befu</x:v>
      </x:c>
      <x:c r="D569" s="11" t="str">
        <x:v>基准</x:v>
      </x:c>
      <x:c r="E569" s="16" t="n">
        <x:v>1</x:v>
      </x:c>
      <x:c r="F569" s="16" t="n">
        <x:v>0.0656</x:v>
      </x:c>
      <x:c r="G569" s="16" t="n">
        <x:v>1</x:v>
      </x:c>
      <x:c r="H569" s="16" t="n">
        <x:v>0.135</x:v>
      </x:c>
      <x:c r="I569" s="16" t="n">
        <x:v>6.8</x:v>
      </x:c>
    </x:row>
    <x:row r="570" ht="23" customHeight="1">
      <x:c r="A570" s="11" t="str">
        <x:v>688382.SH</x:v>
      </x:c>
      <x:c r="B570" s="11" t="str">
        <x:v>半年</x:v>
      </x:c>
      <x:c r="C570" s="11" t="str">
        <x:v>befu</x:v>
      </x:c>
      <x:c r="D570" s="11" t="str">
        <x:v>乐观</x:v>
      </x:c>
      <x:c r="E570" s="16" t="n">
        <x:v>1</x:v>
      </x:c>
      <x:c r="F570" s="16" t="n">
        <x:v>0.0935</x:v>
      </x:c>
      <x:c r="G570" s="16" t="n">
        <x:v>1</x:v>
      </x:c>
      <x:c r="H570" s="16" t="n">
        <x:v>0.105</x:v>
      </x:c>
      <x:c r="I570" s="16" t="n">
        <x:v>6.8</x:v>
      </x:c>
    </x:row>
    <x:row r="571" ht="23" customHeight="1">
      <x:c r="A571" s="11" t="str">
        <x:v>688382.SH</x:v>
      </x:c>
      <x:c r="B571" s="11" t="str">
        <x:v>半年</x:v>
      </x:c>
      <x:c r="C571" s="11" t="str">
        <x:v>g12c_later_cn</x:v>
      </x:c>
      <x:c r="D571" s="11" t="str">
        <x:v>活动输入</x:v>
      </x:c>
      <x:c r="E571" s="11" t="n">
        <x:f>CHOOSE('假设'!$B$3,E572,E573,E574)</x:f>
        <x:v>1</x:v>
      </x:c>
      <x:c r="F571" s="11" t="n">
        <x:f>CHOOSE('假设'!$B$3,F572,F573,F574)</x:f>
        <x:v>0.08200000000000002</x:v>
      </x:c>
      <x:c r="G571" s="11" t="n">
        <x:f>CHOOSE('假设'!$B$3,G572,G573,G574)</x:f>
        <x:v>1</x:v>
      </x:c>
      <x:c r="H571" s="11" t="n">
        <x:f>CHOOSE('假设'!$B$3,H572,H573,H574)</x:f>
        <x:v>0.135</x:v>
      </x:c>
      <x:c r="I571" s="11" t="n">
        <x:f>CHOOSE('假设'!$B$3,I572,I573,I574)</x:f>
        <x:v>6.8</x:v>
      </x:c>
    </x:row>
    <x:row r="572" ht="23" customHeight="1">
      <x:c r="A572" s="11" t="str">
        <x:v>688382.SH</x:v>
      </x:c>
      <x:c r="B572" s="11" t="str">
        <x:v>半年</x:v>
      </x:c>
      <x:c r="C572" s="11" t="str">
        <x:v>g12c_later_cn</x:v>
      </x:c>
      <x:c r="D572" s="11" t="str">
        <x:v>悲观</x:v>
      </x:c>
      <x:c r="E572" s="16" t="n">
        <x:v>1</x:v>
      </x:c>
      <x:c r="F572" s="16" t="n">
        <x:v>0.05600000000000001</x:v>
      </x:c>
      <x:c r="G572" s="16" t="n">
        <x:v>1</x:v>
      </x:c>
      <x:c r="H572" s="11" t="n">
        <x:f>H568</x:f>
        <x:v>0.18</x:v>
      </x:c>
      <x:c r="I572" s="11" t="n">
        <x:f>I568</x:f>
        <x:v>6.8</x:v>
      </x:c>
    </x:row>
    <x:row r="573" ht="23" customHeight="1">
      <x:c r="A573" s="11" t="str">
        <x:v>688382.SH</x:v>
      </x:c>
      <x:c r="B573" s="11" t="str">
        <x:v>半年</x:v>
      </x:c>
      <x:c r="C573" s="11" t="str">
        <x:v>g12c_later_cn</x:v>
      </x:c>
      <x:c r="D573" s="11" t="str">
        <x:v>基准</x:v>
      </x:c>
      <x:c r="E573" s="16" t="n">
        <x:v>1</x:v>
      </x:c>
      <x:c r="F573" s="16" t="n">
        <x:v>0.08200000000000002</x:v>
      </x:c>
      <x:c r="G573" s="16" t="n">
        <x:v>1</x:v>
      </x:c>
      <x:c r="H573" s="11" t="n">
        <x:f>H569</x:f>
        <x:v>0.135</x:v>
      </x:c>
      <x:c r="I573" s="11" t="n">
        <x:f>I569</x:f>
        <x:v>6.8</x:v>
      </x:c>
    </x:row>
    <x:row r="574" ht="23" customHeight="1">
      <x:c r="A574" s="11" t="str">
        <x:v>688382.SH</x:v>
      </x:c>
      <x:c r="B574" s="11" t="str">
        <x:v>半年</x:v>
      </x:c>
      <x:c r="C574" s="11" t="str">
        <x:v>g12c_later_cn</x:v>
      </x:c>
      <x:c r="D574" s="11" t="str">
        <x:v>乐观</x:v>
      </x:c>
      <x:c r="E574" s="16" t="n">
        <x:v>1</x:v>
      </x:c>
      <x:c r="F574" s="16" t="n">
        <x:v>0.1105</x:v>
      </x:c>
      <x:c r="G574" s="16" t="n">
        <x:v>1</x:v>
      </x:c>
      <x:c r="H574" s="11" t="n">
        <x:f>H570</x:f>
        <x:v>0.105</x:v>
      </x:c>
      <x:c r="I574" s="11" t="n">
        <x:f>I570</x:f>
        <x:v>6.8</x:v>
      </x:c>
    </x:row>
    <x:row r="575" ht="23" customHeight="1">
      <x:c r="A575" s="11" t="str">
        <x:v>688382.SH</x:v>
      </x:c>
      <x:c r="B575" s="11" t="str">
        <x:v>半年</x:v>
      </x:c>
      <x:c r="C575" s="11" t="str">
        <x:v>g12c_first_cn</x:v>
      </x:c>
      <x:c r="D575" s="11" t="str">
        <x:v>活动输入</x:v>
      </x:c>
      <x:c r="E575" s="11" t="n">
        <x:f>CHOOSE('假设'!$B$3,E576,E577,E578)</x:f>
        <x:v>0.49039999999999995</x:v>
      </x:c>
      <x:c r="F575" s="11" t="n">
        <x:f>CHOOSE('假设'!$B$3,F576,F577,F578)</x:f>
        <x:v>0.08200000000000002</x:v>
      </x:c>
      <x:c r="G575" s="11" t="n">
        <x:f>CHOOSE('假设'!$B$3,G576,G577,G578)</x:f>
        <x:v>1</x:v>
      </x:c>
      <x:c r="H575" s="11" t="n">
        <x:f>CHOOSE('假设'!$B$3,H576,H577,H578)</x:f>
        <x:v>0.135</x:v>
      </x:c>
      <x:c r="I575" s="11" t="n">
        <x:f>CHOOSE('假设'!$B$3,I576,I577,I578)</x:f>
        <x:v>6.8</x:v>
      </x:c>
    </x:row>
    <x:row r="576" ht="23" customHeight="1">
      <x:c r="A576" s="11" t="str">
        <x:v>688382.SH</x:v>
      </x:c>
      <x:c r="B576" s="11" t="str">
        <x:v>半年</x:v>
      </x:c>
      <x:c r="C576" s="11" t="str">
        <x:v>g12c_first_cn</x:v>
      </x:c>
      <x:c r="D576" s="11" t="str">
        <x:v>悲观</x:v>
      </x:c>
      <x:c r="E576" s="16" t="n">
        <x:v>0.19999999999999996</x:v>
      </x:c>
      <x:c r="F576" s="16" t="n">
        <x:v>0.05600000000000001</x:v>
      </x:c>
      <x:c r="G576" s="16" t="n">
        <x:v>1</x:v>
      </x:c>
      <x:c r="H576" s="11" t="n">
        <x:f>H568</x:f>
        <x:v>0.18</x:v>
      </x:c>
      <x:c r="I576" s="11" t="n">
        <x:f>I568</x:f>
        <x:v>6.8</x:v>
      </x:c>
    </x:row>
    <x:row r="577" ht="23" customHeight="1">
      <x:c r="A577" s="11" t="str">
        <x:v>688382.SH</x:v>
      </x:c>
      <x:c r="B577" s="11" t="str">
        <x:v>半年</x:v>
      </x:c>
      <x:c r="C577" s="11" t="str">
        <x:v>g12c_first_cn</x:v>
      </x:c>
      <x:c r="D577" s="11" t="str">
        <x:v>基准</x:v>
      </x:c>
      <x:c r="E577" s="16" t="n">
        <x:v>0.49039999999999995</x:v>
      </x:c>
      <x:c r="F577" s="16" t="n">
        <x:v>0.08200000000000002</x:v>
      </x:c>
      <x:c r="G577" s="16" t="n">
        <x:v>1</x:v>
      </x:c>
      <x:c r="H577" s="11" t="n">
        <x:f>H569</x:f>
        <x:v>0.135</x:v>
      </x:c>
      <x:c r="I577" s="11" t="n">
        <x:f>I569</x:f>
        <x:v>6.8</x:v>
      </x:c>
    </x:row>
    <x:row r="578" ht="23" customHeight="1">
      <x:c r="A578" s="11" t="str">
        <x:v>688382.SH</x:v>
      </x:c>
      <x:c r="B578" s="11" t="str">
        <x:v>半年</x:v>
      </x:c>
      <x:c r="C578" s="11" t="str">
        <x:v>g12c_first_cn</x:v>
      </x:c>
      <x:c r="D578" s="11" t="str">
        <x:v>乐观</x:v>
      </x:c>
      <x:c r="E578" s="16" t="n">
        <x:v>0.715</x:v>
      </x:c>
      <x:c r="F578" s="16" t="n">
        <x:v>0.1105</x:v>
      </x:c>
      <x:c r="G578" s="16" t="n">
        <x:v>1</x:v>
      </x:c>
      <x:c r="H578" s="11" t="n">
        <x:f>H570</x:f>
        <x:v>0.105</x:v>
      </x:c>
      <x:c r="I578" s="11" t="n">
        <x:f>I570</x:f>
        <x:v>6.8</x:v>
      </x:c>
    </x:row>
    <x:row r="579" ht="23" customHeight="1">
      <x:c r="A579" s="11" t="str">
        <x:v>688382.SH</x:v>
      </x:c>
      <x:c r="B579" s="11" t="str">
        <x:v>半年</x:v>
      </x:c>
      <x:c r="C579" s="11" t="str">
        <x:v>g12c_crc_cn</x:v>
      </x:c>
      <x:c r="D579" s="11" t="str">
        <x:v>活动输入</x:v>
      </x:c>
      <x:c r="E579" s="11" t="n">
        <x:f>CHOOSE('假设'!$B$3,E580,E581,E582)</x:f>
        <x:v>0.2846000000000001</x:v>
      </x:c>
      <x:c r="F579" s="11" t="n">
        <x:f>CHOOSE('假设'!$B$3,F580,F581,F582)</x:f>
        <x:v>0.08200000000000002</x:v>
      </x:c>
      <x:c r="G579" s="11" t="n">
        <x:f>CHOOSE('假设'!$B$3,G580,G581,G582)</x:f>
        <x:v>1</x:v>
      </x:c>
      <x:c r="H579" s="11" t="n">
        <x:f>CHOOSE('假设'!$B$3,H580,H581,H582)</x:f>
        <x:v>0.135</x:v>
      </x:c>
      <x:c r="I579" s="11" t="n">
        <x:f>CHOOSE('假设'!$B$3,I580,I581,I582)</x:f>
        <x:v>6.8</x:v>
      </x:c>
    </x:row>
    <x:row r="580" ht="23" customHeight="1">
      <x:c r="A580" s="11" t="str">
        <x:v>688382.SH</x:v>
      </x:c>
      <x:c r="B580" s="11" t="str">
        <x:v>半年</x:v>
      </x:c>
      <x:c r="C580" s="11" t="str">
        <x:v>g12c_crc_cn</x:v>
      </x:c>
      <x:c r="D580" s="11" t="str">
        <x:v>悲观</x:v>
      </x:c>
      <x:c r="E580" s="16" t="n">
        <x:v>0.09999999999999998</x:v>
      </x:c>
      <x:c r="F580" s="16" t="n">
        <x:v>0.05600000000000001</x:v>
      </x:c>
      <x:c r="G580" s="16" t="n">
        <x:v>1</x:v>
      </x:c>
      <x:c r="H580" s="11" t="n">
        <x:f>H568</x:f>
        <x:v>0.18</x:v>
      </x:c>
      <x:c r="I580" s="11" t="n">
        <x:f>I568</x:f>
        <x:v>6.8</x:v>
      </x:c>
    </x:row>
    <x:row r="581" ht="23" customHeight="1">
      <x:c r="A581" s="11" t="str">
        <x:v>688382.SH</x:v>
      </x:c>
      <x:c r="B581" s="11" t="str">
        <x:v>半年</x:v>
      </x:c>
      <x:c r="C581" s="11" t="str">
        <x:v>g12c_crc_cn</x:v>
      </x:c>
      <x:c r="D581" s="11" t="str">
        <x:v>基准</x:v>
      </x:c>
      <x:c r="E581" s="16" t="n">
        <x:v>0.2846000000000001</x:v>
      </x:c>
      <x:c r="F581" s="16" t="n">
        <x:v>0.08200000000000002</x:v>
      </x:c>
      <x:c r="G581" s="16" t="n">
        <x:v>1</x:v>
      </x:c>
      <x:c r="H581" s="11" t="n">
        <x:f>H569</x:f>
        <x:v>0.135</x:v>
      </x:c>
      <x:c r="I581" s="11" t="n">
        <x:f>I569</x:f>
        <x:v>6.8</x:v>
      </x:c>
    </x:row>
    <x:row r="582" ht="23" customHeight="1">
      <x:c r="A582" s="11" t="str">
        <x:v>688382.SH</x:v>
      </x:c>
      <x:c r="B582" s="11" t="str">
        <x:v>半年</x:v>
      </x:c>
      <x:c r="C582" s="11" t="str">
        <x:v>g12c_crc_cn</x:v>
      </x:c>
      <x:c r="D582" s="11" t="str">
        <x:v>乐观</x:v>
      </x:c>
      <x:c r="E582" s="16" t="n">
        <x:v>0.525</x:v>
      </x:c>
      <x:c r="F582" s="16" t="n">
        <x:v>0.1105</x:v>
      </x:c>
      <x:c r="G582" s="16" t="n">
        <x:v>1</x:v>
      </x:c>
      <x:c r="H582" s="11" t="n">
        <x:f>H570</x:f>
        <x:v>0.105</x:v>
      </x:c>
      <x:c r="I582" s="11" t="n">
        <x:f>I570</x:f>
        <x:v>6.8</x:v>
      </x:c>
    </x:row>
    <x:row r="583" ht="23" customHeight="1">
      <x:c r="A583" s="11" t="str">
        <x:v>688382.SH</x:v>
      </x:c>
      <x:c r="B583" s="11" t="str">
        <x:v>半年</x:v>
      </x:c>
      <x:c r="C583" s="11" t="str">
        <x:v>g12c_global</x:v>
      </x:c>
      <x:c r="D583" s="11" t="str">
        <x:v>活动输入</x:v>
      </x:c>
      <x:c r="E583" s="11" t="n">
        <x:f>CHOOSE('假设'!$B$3,E584,E585,E586)</x:f>
        <x:v>0.24539999999999995</x:v>
      </x:c>
      <x:c r="F583" s="11" t="n">
        <x:f>CHOOSE('假设'!$B$3,F584,F585,F586)</x:f>
        <x:v>0.08200000000000002</x:v>
      </x:c>
      <x:c r="G583" s="11" t="n">
        <x:f>CHOOSE('假设'!$B$3,G584,G585,G586)</x:f>
        <x:v>1</x:v>
      </x:c>
      <x:c r="H583" s="11" t="n">
        <x:f>CHOOSE('假设'!$B$3,H584,H585,H586)</x:f>
        <x:v>0.135</x:v>
      </x:c>
      <x:c r="I583" s="11" t="n">
        <x:f>CHOOSE('假设'!$B$3,I584,I585,I586)</x:f>
        <x:v>6.8</x:v>
      </x:c>
    </x:row>
    <x:row r="584" ht="23" customHeight="1">
      <x:c r="A584" s="11" t="str">
        <x:v>688382.SH</x:v>
      </x:c>
      <x:c r="B584" s="11" t="str">
        <x:v>半年</x:v>
      </x:c>
      <x:c r="C584" s="11" t="str">
        <x:v>g12c_global</x:v>
      </x:c>
      <x:c r="D584" s="11" t="str">
        <x:v>悲观</x:v>
      </x:c>
      <x:c r="E584" s="16" t="n">
        <x:v>0.07000000000000006</x:v>
      </x:c>
      <x:c r="F584" s="16" t="n">
        <x:v>0.05600000000000001</x:v>
      </x:c>
      <x:c r="G584" s="16" t="n">
        <x:v>1</x:v>
      </x:c>
      <x:c r="H584" s="11" t="n">
        <x:f>H568</x:f>
        <x:v>0.18</x:v>
      </x:c>
      <x:c r="I584" s="11" t="n">
        <x:f>I568</x:f>
        <x:v>6.8</x:v>
      </x:c>
    </x:row>
    <x:row r="585" ht="23" customHeight="1">
      <x:c r="A585" s="11" t="str">
        <x:v>688382.SH</x:v>
      </x:c>
      <x:c r="B585" s="11" t="str">
        <x:v>半年</x:v>
      </x:c>
      <x:c r="C585" s="11" t="str">
        <x:v>g12c_global</x:v>
      </x:c>
      <x:c r="D585" s="11" t="str">
        <x:v>基准</x:v>
      </x:c>
      <x:c r="E585" s="16" t="n">
        <x:v>0.24539999999999995</x:v>
      </x:c>
      <x:c r="F585" s="16" t="n">
        <x:v>0.08200000000000002</x:v>
      </x:c>
      <x:c r="G585" s="16" t="n">
        <x:v>1</x:v>
      </x:c>
      <x:c r="H585" s="11" t="n">
        <x:f>H569</x:f>
        <x:v>0.135</x:v>
      </x:c>
      <x:c r="I585" s="11" t="n">
        <x:f>I569</x:f>
        <x:v>6.8</x:v>
      </x:c>
    </x:row>
    <x:row r="586" ht="23" customHeight="1">
      <x:c r="A586" s="11" t="str">
        <x:v>688382.SH</x:v>
      </x:c>
      <x:c r="B586" s="11" t="str">
        <x:v>半年</x:v>
      </x:c>
      <x:c r="C586" s="11" t="str">
        <x:v>g12c_global</x:v>
      </x:c>
      <x:c r="D586" s="11" t="str">
        <x:v>乐观</x:v>
      </x:c>
      <x:c r="E586" s="16" t="n">
        <x:v>0.47750000000000004</x:v>
      </x:c>
      <x:c r="F586" s="16" t="n">
        <x:v>0.1105</x:v>
      </x:c>
      <x:c r="G586" s="16" t="n">
        <x:v>1</x:v>
      </x:c>
      <x:c r="H586" s="11" t="n">
        <x:f>H570</x:f>
        <x:v>0.105</x:v>
      </x:c>
      <x:c r="I586" s="11" t="n">
        <x:f>I570</x:f>
        <x:v>6.8</x:v>
      </x:c>
    </x:row>
    <x:row r="587" ht="23" customHeight="1">
      <x:c r="A587" s="11" t="str">
        <x:v>688382.SH</x:v>
      </x:c>
      <x:c r="B587" s="11" t="str">
        <x:v>半年</x:v>
      </x:c>
      <x:c r="C587" s="11" t="str">
        <x:v>tyk_ps_cn</x:v>
      </x:c>
      <x:c r="D587" s="11" t="str">
        <x:v>活动输入</x:v>
      </x:c>
      <x:c r="E587" s="11" t="n">
        <x:f>CHOOSE('假设'!$B$3,E588,E589,E590)</x:f>
        <x:v>0.6275999999999999</x:v>
      </x:c>
      <x:c r="F587" s="11" t="n">
        <x:f>CHOOSE('假设'!$B$3,F588,F589,F590)</x:f>
        <x:v>0.28</x:v>
      </x:c>
      <x:c r="G587" s="11" t="n">
        <x:f>CHOOSE('假设'!$B$3,G588,G589,G590)</x:f>
        <x:v>1</x:v>
      </x:c>
      <x:c r="H587" s="11" t="n">
        <x:f>CHOOSE('假设'!$B$3,H588,H589,H590)</x:f>
        <x:v>0.135</x:v>
      </x:c>
      <x:c r="I587" s="11" t="n">
        <x:f>CHOOSE('假设'!$B$3,I588,I589,I590)</x:f>
        <x:v>6.8</x:v>
      </x:c>
    </x:row>
    <x:row r="588" ht="23" customHeight="1">
      <x:c r="A588" s="11" t="str">
        <x:v>688382.SH</x:v>
      </x:c>
      <x:c r="B588" s="11" t="str">
        <x:v>半年</x:v>
      </x:c>
      <x:c r="C588" s="11" t="str">
        <x:v>tyk_ps_cn</x:v>
      </x:c>
      <x:c r="D588" s="11" t="str">
        <x:v>悲观</x:v>
      </x:c>
      <x:c r="E588" s="16" t="n">
        <x:v>0.35</x:v>
      </x:c>
      <x:c r="F588" s="16" t="n">
        <x:v>0.18</x:v>
      </x:c>
      <x:c r="G588" s="16" t="n">
        <x:v>1</x:v>
      </x:c>
      <x:c r="H588" s="11" t="n">
        <x:f>H568</x:f>
        <x:v>0.18</x:v>
      </x:c>
      <x:c r="I588" s="11" t="n">
        <x:f>I568</x:f>
        <x:v>6.8</x:v>
      </x:c>
    </x:row>
    <x:row r="589" ht="23" customHeight="1">
      <x:c r="A589" s="11" t="str">
        <x:v>688382.SH</x:v>
      </x:c>
      <x:c r="B589" s="11" t="str">
        <x:v>半年</x:v>
      </x:c>
      <x:c r="C589" s="11" t="str">
        <x:v>tyk_ps_cn</x:v>
      </x:c>
      <x:c r="D589" s="11" t="str">
        <x:v>基准</x:v>
      </x:c>
      <x:c r="E589" s="16" t="n">
        <x:v>0.6275999999999999</x:v>
      </x:c>
      <x:c r="F589" s="16" t="n">
        <x:v>0.28</x:v>
      </x:c>
      <x:c r="G589" s="16" t="n">
        <x:v>1</x:v>
      </x:c>
      <x:c r="H589" s="11" t="n">
        <x:f>H569</x:f>
        <x:v>0.135</x:v>
      </x:c>
      <x:c r="I589" s="11" t="n">
        <x:f>I569</x:f>
        <x:v>6.8</x:v>
      </x:c>
    </x:row>
    <x:row r="590" ht="23" customHeight="1">
      <x:c r="A590" s="11" t="str">
        <x:v>688382.SH</x:v>
      </x:c>
      <x:c r="B590" s="11" t="str">
        <x:v>半年</x:v>
      </x:c>
      <x:c r="C590" s="11" t="str">
        <x:v>tyk_ps_cn</x:v>
      </x:c>
      <x:c r="D590" s="11" t="str">
        <x:v>乐观</x:v>
      </x:c>
      <x:c r="E590" s="16" t="n">
        <x:v>0.829</x:v>
      </x:c>
      <x:c r="F590" s="16" t="n">
        <x:v>0.36</x:v>
      </x:c>
      <x:c r="G590" s="16" t="n">
        <x:v>1</x:v>
      </x:c>
      <x:c r="H590" s="11" t="n">
        <x:f>H570</x:f>
        <x:v>0.105</x:v>
      </x:c>
      <x:c r="I590" s="11" t="n">
        <x:f>I570</x:f>
        <x:v>6.8</x:v>
      </x:c>
    </x:row>
    <x:row r="591" ht="23" customHeight="1">
      <x:c r="A591" s="11" t="str">
        <x:v>688382.SH</x:v>
      </x:c>
      <x:c r="B591" s="11" t="str">
        <x:v>半年</x:v>
      </x:c>
      <x:c r="C591" s="11" t="str">
        <x:v>tyk_uc_cn</x:v>
      </x:c>
      <x:c r="D591" s="11" t="str">
        <x:v>活动输入</x:v>
      </x:c>
      <x:c r="E591" s="11" t="n">
        <x:f>CHOOSE('假设'!$B$3,E592,E593,E594)</x:f>
        <x:v>0.2944</x:v>
      </x:c>
      <x:c r="F591" s="11" t="n">
        <x:f>CHOOSE('假设'!$B$3,F592,F593,F594)</x:f>
        <x:v>0.28</x:v>
      </x:c>
      <x:c r="G591" s="11" t="n">
        <x:f>CHOOSE('假设'!$B$3,G592,G593,G594)</x:f>
        <x:v>1</x:v>
      </x:c>
      <x:c r="H591" s="11" t="n">
        <x:f>CHOOSE('假设'!$B$3,H592,H593,H594)</x:f>
        <x:v>0.135</x:v>
      </x:c>
      <x:c r="I591" s="11" t="n">
        <x:f>CHOOSE('假设'!$B$3,I592,I593,I594)</x:f>
        <x:v>6.8</x:v>
      </x:c>
    </x:row>
    <x:row r="592" ht="23" customHeight="1">
      <x:c r="A592" s="11" t="str">
        <x:v>688382.SH</x:v>
      </x:c>
      <x:c r="B592" s="11" t="str">
        <x:v>半年</x:v>
      </x:c>
      <x:c r="C592" s="11" t="str">
        <x:v>tyk_uc_cn</x:v>
      </x:c>
      <x:c r="D592" s="11" t="str">
        <x:v>悲观</x:v>
      </x:c>
      <x:c r="E592" s="16" t="n">
        <x:v>0.07999999999999996</x:v>
      </x:c>
      <x:c r="F592" s="16" t="n">
        <x:v>0.18</x:v>
      </x:c>
      <x:c r="G592" s="16" t="n">
        <x:v>1</x:v>
      </x:c>
      <x:c r="H592" s="11" t="n">
        <x:f>H568</x:f>
        <x:v>0.18</x:v>
      </x:c>
      <x:c r="I592" s="11" t="n">
        <x:f>I568</x:f>
        <x:v>6.8</x:v>
      </x:c>
    </x:row>
    <x:row r="593" ht="23" customHeight="1">
      <x:c r="A593" s="11" t="str">
        <x:v>688382.SH</x:v>
      </x:c>
      <x:c r="B593" s="11" t="str">
        <x:v>半年</x:v>
      </x:c>
      <x:c r="C593" s="11" t="str">
        <x:v>tyk_uc_cn</x:v>
      </x:c>
      <x:c r="D593" s="11" t="str">
        <x:v>基准</x:v>
      </x:c>
      <x:c r="E593" s="16" t="n">
        <x:v>0.2944</x:v>
      </x:c>
      <x:c r="F593" s="16" t="n">
        <x:v>0.28</x:v>
      </x:c>
      <x:c r="G593" s="16" t="n">
        <x:v>1</x:v>
      </x:c>
      <x:c r="H593" s="11" t="n">
        <x:f>H569</x:f>
        <x:v>0.135</x:v>
      </x:c>
      <x:c r="I593" s="11" t="n">
        <x:f>I569</x:f>
        <x:v>6.8</x:v>
      </x:c>
    </x:row>
    <x:row r="594" ht="23" customHeight="1">
      <x:c r="A594" s="11" t="str">
        <x:v>688382.SH</x:v>
      </x:c>
      <x:c r="B594" s="11" t="str">
        <x:v>半年</x:v>
      </x:c>
      <x:c r="C594" s="11" t="str">
        <x:v>tyk_uc_cn</x:v>
      </x:c>
      <x:c r="D594" s="11" t="str">
        <x:v>乐观</x:v>
      </x:c>
      <x:c r="E594" s="16" t="n">
        <x:v>0.525</x:v>
      </x:c>
      <x:c r="F594" s="16" t="n">
        <x:v>0.36</x:v>
      </x:c>
      <x:c r="G594" s="16" t="n">
        <x:v>1</x:v>
      </x:c>
      <x:c r="H594" s="11" t="n">
        <x:f>H570</x:f>
        <x:v>0.105</x:v>
      </x:c>
      <x:c r="I594" s="11" t="n">
        <x:f>I570</x:f>
        <x:v>6.8</x:v>
      </x:c>
    </x:row>
    <x:row r="595" ht="23" customHeight="1">
      <x:c r="A595" s="11" t="str">
        <x:v>688382.SH</x:v>
      </x:c>
      <x:c r="B595" s="11" t="str">
        <x:v>半年</x:v>
      </x:c>
      <x:c r="C595" s="11" t="str">
        <x:v>tyk_sle_cn</x:v>
      </x:c>
      <x:c r="D595" s="11" t="str">
        <x:v>活动输入</x:v>
      </x:c>
      <x:c r="E595" s="11" t="n">
        <x:f>CHOOSE('假设'!$B$3,E596,E597,E598)</x:f>
        <x:v>0.1963999999999999</x:v>
      </x:c>
      <x:c r="F595" s="11" t="n">
        <x:f>CHOOSE('假设'!$B$3,F596,F597,F598)</x:f>
        <x:v>0.28</x:v>
      </x:c>
      <x:c r="G595" s="11" t="n">
        <x:f>CHOOSE('假设'!$B$3,G596,G597,G598)</x:f>
        <x:v>1</x:v>
      </x:c>
      <x:c r="H595" s="11" t="n">
        <x:f>CHOOSE('假设'!$B$3,H596,H597,H598)</x:f>
        <x:v>0.135</x:v>
      </x:c>
      <x:c r="I595" s="11" t="n">
        <x:f>CHOOSE('假设'!$B$3,I596,I597,I598)</x:f>
        <x:v>6.8</x:v>
      </x:c>
    </x:row>
    <x:row r="596" ht="23" customHeight="1">
      <x:c r="A596" s="11" t="str">
        <x:v>688382.SH</x:v>
      </x:c>
      <x:c r="B596" s="11" t="str">
        <x:v>半年</x:v>
      </x:c>
      <x:c r="C596" s="11" t="str">
        <x:v>tyk_sle_cn</x:v>
      </x:c>
      <x:c r="D596" s="11" t="str">
        <x:v>悲观</x:v>
      </x:c>
      <x:c r="E596" s="16" t="n">
        <x:v>0.050000000000000044</x:v>
      </x:c>
      <x:c r="F596" s="16" t="n">
        <x:v>0.18</x:v>
      </x:c>
      <x:c r="G596" s="16" t="n">
        <x:v>1</x:v>
      </x:c>
      <x:c r="H596" s="11" t="n">
        <x:f>H568</x:f>
        <x:v>0.18</x:v>
      </x:c>
      <x:c r="I596" s="11" t="n">
        <x:f>I568</x:f>
        <x:v>6.8</x:v>
      </x:c>
    </x:row>
    <x:row r="597" ht="23" customHeight="1">
      <x:c r="A597" s="11" t="str">
        <x:v>688382.SH</x:v>
      </x:c>
      <x:c r="B597" s="11" t="str">
        <x:v>半年</x:v>
      </x:c>
      <x:c r="C597" s="11" t="str">
        <x:v>tyk_sle_cn</x:v>
      </x:c>
      <x:c r="D597" s="11" t="str">
        <x:v>基准</x:v>
      </x:c>
      <x:c r="E597" s="16" t="n">
        <x:v>0.1963999999999999</x:v>
      </x:c>
      <x:c r="F597" s="16" t="n">
        <x:v>0.28</x:v>
      </x:c>
      <x:c r="G597" s="16" t="n">
        <x:v>1</x:v>
      </x:c>
      <x:c r="H597" s="11" t="n">
        <x:f>H569</x:f>
        <x:v>0.135</x:v>
      </x:c>
      <x:c r="I597" s="11" t="n">
        <x:f>I569</x:f>
        <x:v>6.8</x:v>
      </x:c>
    </x:row>
    <x:row r="598" ht="23" customHeight="1">
      <x:c r="A598" s="11" t="str">
        <x:v>688382.SH</x:v>
      </x:c>
      <x:c r="B598" s="11" t="str">
        <x:v>半年</x:v>
      </x:c>
      <x:c r="C598" s="11" t="str">
        <x:v>tyk_sle_cn</x:v>
      </x:c>
      <x:c r="D598" s="11" t="str">
        <x:v>乐观</x:v>
      </x:c>
      <x:c r="E598" s="16" t="n">
        <x:v>0.41100000000000003</x:v>
      </x:c>
      <x:c r="F598" s="16" t="n">
        <x:v>0.36</x:v>
      </x:c>
      <x:c r="G598" s="16" t="n">
        <x:v>1</x:v>
      </x:c>
      <x:c r="H598" s="11" t="n">
        <x:f>H570</x:f>
        <x:v>0.105</x:v>
      </x:c>
      <x:c r="I598" s="11" t="n">
        <x:f>I570</x:f>
        <x:v>6.8</x:v>
      </x:c>
    </x:row>
    <x:row r="599" ht="23" customHeight="1">
      <x:c r="A599" s="11" t="str">
        <x:v>688382.SH</x:v>
      </x:c>
      <x:c r="B599" s="11" t="str">
        <x:v>半年</x:v>
      </x:c>
      <x:c r="C599" s="11" t="str">
        <x:v>tyk_psa_cn</x:v>
      </x:c>
      <x:c r="D599" s="11" t="str">
        <x:v>活动输入</x:v>
      </x:c>
      <x:c r="E599" s="11" t="n">
        <x:f>CHOOSE('假设'!$B$3,E600,E601,E602)</x:f>
        <x:v>0.31400000000000006</x:v>
      </x:c>
      <x:c r="F599" s="11" t="n">
        <x:f>CHOOSE('假设'!$B$3,F600,F601,F602)</x:f>
        <x:v>0.28</x:v>
      </x:c>
      <x:c r="G599" s="11" t="n">
        <x:f>CHOOSE('假设'!$B$3,G600,G601,G602)</x:f>
        <x:v>1</x:v>
      </x:c>
      <x:c r="H599" s="11" t="n">
        <x:f>CHOOSE('假设'!$B$3,H600,H601,H602)</x:f>
        <x:v>0.135</x:v>
      </x:c>
      <x:c r="I599" s="11" t="n">
        <x:f>CHOOSE('假设'!$B$3,I600,I601,I602)</x:f>
        <x:v>6.8</x:v>
      </x:c>
    </x:row>
    <x:row r="600" ht="23" customHeight="1">
      <x:c r="A600" s="11" t="str">
        <x:v>688382.SH</x:v>
      </x:c>
      <x:c r="B600" s="11" t="str">
        <x:v>半年</x:v>
      </x:c>
      <x:c r="C600" s="11" t="str">
        <x:v>tyk_psa_cn</x:v>
      </x:c>
      <x:c r="D600" s="11" t="str">
        <x:v>悲观</x:v>
      </x:c>
      <x:c r="E600" s="16" t="n">
        <x:v>0.08999999999999997</x:v>
      </x:c>
      <x:c r="F600" s="16" t="n">
        <x:v>0.18</x:v>
      </x:c>
      <x:c r="G600" s="16" t="n">
        <x:v>1</x:v>
      </x:c>
      <x:c r="H600" s="11" t="n">
        <x:f>H568</x:f>
        <x:v>0.18</x:v>
      </x:c>
      <x:c r="I600" s="11" t="n">
        <x:f>I568</x:f>
        <x:v>6.8</x:v>
      </x:c>
    </x:row>
    <x:row r="601" ht="23" customHeight="1">
      <x:c r="A601" s="11" t="str">
        <x:v>688382.SH</x:v>
      </x:c>
      <x:c r="B601" s="11" t="str">
        <x:v>半年</x:v>
      </x:c>
      <x:c r="C601" s="11" t="str">
        <x:v>tyk_psa_cn</x:v>
      </x:c>
      <x:c r="D601" s="11" t="str">
        <x:v>基准</x:v>
      </x:c>
      <x:c r="E601" s="16" t="n">
        <x:v>0.31400000000000006</x:v>
      </x:c>
      <x:c r="F601" s="16" t="n">
        <x:v>0.28</x:v>
      </x:c>
      <x:c r="G601" s="16" t="n">
        <x:v>1</x:v>
      </x:c>
      <x:c r="H601" s="11" t="n">
        <x:f>H569</x:f>
        <x:v>0.135</x:v>
      </x:c>
      <x:c r="I601" s="11" t="n">
        <x:f>I569</x:f>
        <x:v>6.8</x:v>
      </x:c>
    </x:row>
    <x:row r="602" ht="23" customHeight="1">
      <x:c r="A602" s="11" t="str">
        <x:v>688382.SH</x:v>
      </x:c>
      <x:c r="B602" s="11" t="str">
        <x:v>半年</x:v>
      </x:c>
      <x:c r="C602" s="11" t="str">
        <x:v>tyk_psa_cn</x:v>
      </x:c>
      <x:c r="D602" s="11" t="str">
        <x:v>乐观</x:v>
      </x:c>
      <x:c r="E602" s="16" t="n">
        <x:v>0.5725</x:v>
      </x:c>
      <x:c r="F602" s="16" t="n">
        <x:v>0.36</x:v>
      </x:c>
      <x:c r="G602" s="16" t="n">
        <x:v>1</x:v>
      </x:c>
      <x:c r="H602" s="11" t="n">
        <x:f>H570</x:f>
        <x:v>0.105</x:v>
      </x:c>
      <x:c r="I602" s="11" t="n">
        <x:f>I570</x:f>
        <x:v>6.8</x:v>
      </x:c>
    </x:row>
    <x:row r="603" ht="23" customHeight="1">
      <x:c r="A603" s="11" t="str">
        <x:v>688382.SH</x:v>
      </x:c>
      <x:c r="B603" s="11" t="str">
        <x:v>半年</x:v>
      </x:c>
      <x:c r="C603" s="11" t="str">
        <x:v>tyk_viti_cn</x:v>
      </x:c>
      <x:c r="D603" s="11" t="str">
        <x:v>活动输入</x:v>
      </x:c>
      <x:c r="E603" s="11" t="n">
        <x:f>CHOOSE('假设'!$B$3,E604,E605,E606)</x:f>
        <x:v>0.16700000000000004</x:v>
      </x:c>
      <x:c r="F603" s="11" t="n">
        <x:f>CHOOSE('假设'!$B$3,F604,F605,F606)</x:f>
        <x:v>0.28</x:v>
      </x:c>
      <x:c r="G603" s="11" t="n">
        <x:f>CHOOSE('假设'!$B$3,G604,G605,G606)</x:f>
        <x:v>1</x:v>
      </x:c>
      <x:c r="H603" s="11" t="n">
        <x:f>CHOOSE('假设'!$B$3,H604,H605,H606)</x:f>
        <x:v>0.135</x:v>
      </x:c>
      <x:c r="I603" s="11" t="n">
        <x:f>CHOOSE('假设'!$B$3,I604,I605,I606)</x:f>
        <x:v>6.8</x:v>
      </x:c>
    </x:row>
    <x:row r="604" ht="23" customHeight="1">
      <x:c r="A604" s="11" t="str">
        <x:v>688382.SH</x:v>
      </x:c>
      <x:c r="B604" s="11" t="str">
        <x:v>半年</x:v>
      </x:c>
      <x:c r="C604" s="11" t="str">
        <x:v>tyk_viti_cn</x:v>
      </x:c>
      <x:c r="D604" s="11" t="str">
        <x:v>悲观</x:v>
      </x:c>
      <x:c r="E604" s="16" t="n">
        <x:v>0.040000000000000036</x:v>
      </x:c>
      <x:c r="F604" s="16" t="n">
        <x:v>0.18</x:v>
      </x:c>
      <x:c r="G604" s="16" t="n">
        <x:v>1</x:v>
      </x:c>
      <x:c r="H604" s="11" t="n">
        <x:f>H568</x:f>
        <x:v>0.18</x:v>
      </x:c>
      <x:c r="I604" s="11" t="n">
        <x:f>I568</x:f>
        <x:v>6.8</x:v>
      </x:c>
    </x:row>
    <x:row r="605" ht="23" customHeight="1">
      <x:c r="A605" s="11" t="str">
        <x:v>688382.SH</x:v>
      </x:c>
      <x:c r="B605" s="11" t="str">
        <x:v>半年</x:v>
      </x:c>
      <x:c r="C605" s="11" t="str">
        <x:v>tyk_viti_cn</x:v>
      </x:c>
      <x:c r="D605" s="11" t="str">
        <x:v>基准</x:v>
      </x:c>
      <x:c r="E605" s="16" t="n">
        <x:v>0.16700000000000004</x:v>
      </x:c>
      <x:c r="F605" s="16" t="n">
        <x:v>0.28</x:v>
      </x:c>
      <x:c r="G605" s="16" t="n">
        <x:v>1</x:v>
      </x:c>
      <x:c r="H605" s="11" t="n">
        <x:f>H569</x:f>
        <x:v>0.135</x:v>
      </x:c>
      <x:c r="I605" s="11" t="n">
        <x:f>I569</x:f>
        <x:v>6.8</x:v>
      </x:c>
    </x:row>
    <x:row r="606" ht="23" customHeight="1">
      <x:c r="A606" s="11" t="str">
        <x:v>688382.SH</x:v>
      </x:c>
      <x:c r="B606" s="11" t="str">
        <x:v>半年</x:v>
      </x:c>
      <x:c r="C606" s="11" t="str">
        <x:v>tyk_viti_cn</x:v>
      </x:c>
      <x:c r="D606" s="11" t="str">
        <x:v>乐观</x:v>
      </x:c>
      <x:c r="E606" s="16" t="n">
        <x:v>0.3730000000000001</x:v>
      </x:c>
      <x:c r="F606" s="16" t="n">
        <x:v>0.36</x:v>
      </x:c>
      <x:c r="G606" s="16" t="n">
        <x:v>1</x:v>
      </x:c>
      <x:c r="H606" s="11" t="n">
        <x:f>H570</x:f>
        <x:v>0.105</x:v>
      </x:c>
      <x:c r="I606" s="11" t="n">
        <x:f>I570</x:f>
        <x:v>6.8</x:v>
      </x:c>
    </x:row>
    <x:row r="607" ht="23" customHeight="1">
      <x:c r="A607" s="11" t="str">
        <x:v>688382.SH</x:v>
      </x:c>
      <x:c r="B607" s="11" t="str">
        <x:v>半年</x:v>
      </x:c>
      <x:c r="C607" s="11" t="str">
        <x:v>tyk_global</x:v>
      </x:c>
      <x:c r="D607" s="11" t="str">
        <x:v>活动输入</x:v>
      </x:c>
      <x:c r="E607" s="11" t="n">
        <x:f>CHOOSE('假设'!$B$3,E608,E609,E610)</x:f>
        <x:v>0.363</x:v>
      </x:c>
      <x:c r="F607" s="11" t="n">
        <x:f>CHOOSE('假设'!$B$3,F608,F609,F610)</x:f>
        <x:v>0.08200000000000002</x:v>
      </x:c>
      <x:c r="G607" s="11" t="n">
        <x:f>CHOOSE('假设'!$B$3,G608,G609,G610)</x:f>
        <x:v>1</x:v>
      </x:c>
      <x:c r="H607" s="11" t="n">
        <x:f>CHOOSE('假设'!$B$3,H608,H609,H610)</x:f>
        <x:v>0.135</x:v>
      </x:c>
      <x:c r="I607" s="11" t="n">
        <x:f>CHOOSE('假设'!$B$3,I608,I609,I610)</x:f>
        <x:v>6.8</x:v>
      </x:c>
    </x:row>
    <x:row r="608" ht="23" customHeight="1">
      <x:c r="A608" s="11" t="str">
        <x:v>688382.SH</x:v>
      </x:c>
      <x:c r="B608" s="11" t="str">
        <x:v>半年</x:v>
      </x:c>
      <x:c r="C608" s="11" t="str">
        <x:v>tyk_global</x:v>
      </x:c>
      <x:c r="D608" s="11" t="str">
        <x:v>悲观</x:v>
      </x:c>
      <x:c r="E608" s="16" t="n">
        <x:v>0.12</x:v>
      </x:c>
      <x:c r="F608" s="16" t="n">
        <x:v>0.05600000000000001</x:v>
      </x:c>
      <x:c r="G608" s="16" t="n">
        <x:v>1</x:v>
      </x:c>
      <x:c r="H608" s="11" t="n">
        <x:f>H568</x:f>
        <x:v>0.18</x:v>
      </x:c>
      <x:c r="I608" s="11" t="n">
        <x:f>I568</x:f>
        <x:v>6.8</x:v>
      </x:c>
    </x:row>
    <x:row r="609" ht="23" customHeight="1">
      <x:c r="A609" s="11" t="str">
        <x:v>688382.SH</x:v>
      </x:c>
      <x:c r="B609" s="11" t="str">
        <x:v>半年</x:v>
      </x:c>
      <x:c r="C609" s="11" t="str">
        <x:v>tyk_global</x:v>
      </x:c>
      <x:c r="D609" s="11" t="str">
        <x:v>基准</x:v>
      </x:c>
      <x:c r="E609" s="16" t="n">
        <x:v>0.363</x:v>
      </x:c>
      <x:c r="F609" s="16" t="n">
        <x:v>0.08200000000000002</x:v>
      </x:c>
      <x:c r="G609" s="16" t="n">
        <x:v>1</x:v>
      </x:c>
      <x:c r="H609" s="11" t="n">
        <x:f>H569</x:f>
        <x:v>0.135</x:v>
      </x:c>
      <x:c r="I609" s="11" t="n">
        <x:f>I569</x:f>
        <x:v>6.8</x:v>
      </x:c>
    </x:row>
    <x:row r="610" ht="23" customHeight="1">
      <x:c r="A610" s="11" t="str">
        <x:v>688382.SH</x:v>
      </x:c>
      <x:c r="B610" s="11" t="str">
        <x:v>半年</x:v>
      </x:c>
      <x:c r="C610" s="11" t="str">
        <x:v>tyk_global</x:v>
      </x:c>
      <x:c r="D610" s="11" t="str">
        <x:v>乐观</x:v>
      </x:c>
      <x:c r="E610" s="16" t="n">
        <x:v>0.62</x:v>
      </x:c>
      <x:c r="F610" s="16" t="n">
        <x:v>0.1105</x:v>
      </x:c>
      <x:c r="G610" s="16" t="n">
        <x:v>1</x:v>
      </x:c>
      <x:c r="H610" s="11" t="n">
        <x:f>H570</x:f>
        <x:v>0.105</x:v>
      </x:c>
      <x:c r="I610" s="11" t="n">
        <x:f>I570</x:f>
        <x:v>6.8</x:v>
      </x:c>
    </x:row>
    <x:row r="611" ht="23" customHeight="1">
      <x:c r="A611" s="11" t="str">
        <x:v>688382.SH</x:v>
      </x:c>
      <x:c r="B611" s="11" t="str">
        <x:v>半年</x:v>
      </x:c>
      <x:c r="C611" s="11" t="str">
        <x:v>serd_cn</x:v>
      </x:c>
      <x:c r="D611" s="11" t="str">
        <x:v>活动输入</x:v>
      </x:c>
      <x:c r="E611" s="11" t="n">
        <x:f>CHOOSE('假设'!$B$3,E612,E613,E614)</x:f>
        <x:v>0.51</x:v>
      </x:c>
      <x:c r="F611" s="11" t="n">
        <x:f>CHOOSE('假设'!$B$3,F612,F613,F614)</x:f>
        <x:v>0.28</x:v>
      </x:c>
      <x:c r="G611" s="11" t="n">
        <x:f>CHOOSE('假设'!$B$3,G612,G613,G614)</x:f>
        <x:v>1</x:v>
      </x:c>
      <x:c r="H611" s="11" t="n">
        <x:f>CHOOSE('假设'!$B$3,H612,H613,H614)</x:f>
        <x:v>0.135</x:v>
      </x:c>
      <x:c r="I611" s="11" t="n">
        <x:f>CHOOSE('假设'!$B$3,I612,I613,I614)</x:f>
        <x:v>6.8</x:v>
      </x:c>
    </x:row>
    <x:row r="612" ht="23" customHeight="1">
      <x:c r="A612" s="11" t="str">
        <x:v>688382.SH</x:v>
      </x:c>
      <x:c r="B612" s="11" t="str">
        <x:v>半年</x:v>
      </x:c>
      <x:c r="C612" s="11" t="str">
        <x:v>serd_cn</x:v>
      </x:c>
      <x:c r="D612" s="11" t="str">
        <x:v>悲观</x:v>
      </x:c>
      <x:c r="E612" s="16" t="n">
        <x:v>0.25</x:v>
      </x:c>
      <x:c r="F612" s="16" t="n">
        <x:v>0.18</x:v>
      </x:c>
      <x:c r="G612" s="16" t="n">
        <x:v>1</x:v>
      </x:c>
      <x:c r="H612" s="11" t="n">
        <x:f>H568</x:f>
        <x:v>0.18</x:v>
      </x:c>
      <x:c r="I612" s="11" t="n">
        <x:f>I568</x:f>
        <x:v>6.8</x:v>
      </x:c>
    </x:row>
    <x:row r="613" ht="23" customHeight="1">
      <x:c r="A613" s="11" t="str">
        <x:v>688382.SH</x:v>
      </x:c>
      <x:c r="B613" s="11" t="str">
        <x:v>半年</x:v>
      </x:c>
      <x:c r="C613" s="11" t="str">
        <x:v>serd_cn</x:v>
      </x:c>
      <x:c r="D613" s="11" t="str">
        <x:v>基准</x:v>
      </x:c>
      <x:c r="E613" s="16" t="n">
        <x:v>0.51</x:v>
      </x:c>
      <x:c r="F613" s="16" t="n">
        <x:v>0.28</x:v>
      </x:c>
      <x:c r="G613" s="16" t="n">
        <x:v>1</x:v>
      </x:c>
      <x:c r="H613" s="11" t="n">
        <x:f>H569</x:f>
        <x:v>0.135</x:v>
      </x:c>
      <x:c r="I613" s="11" t="n">
        <x:f>I569</x:f>
        <x:v>6.8</x:v>
      </x:c>
    </x:row>
    <x:row r="614" ht="23" customHeight="1">
      <x:c r="A614" s="11" t="str">
        <x:v>688382.SH</x:v>
      </x:c>
      <x:c r="B614" s="11" t="str">
        <x:v>半年</x:v>
      </x:c>
      <x:c r="C614" s="11" t="str">
        <x:v>serd_cn</x:v>
      </x:c>
      <x:c r="D614" s="11" t="str">
        <x:v>乐观</x:v>
      </x:c>
      <x:c r="E614" s="16" t="n">
        <x:v>0.7625</x:v>
      </x:c>
      <x:c r="F614" s="16" t="n">
        <x:v>0.36</x:v>
      </x:c>
      <x:c r="G614" s="16" t="n">
        <x:v>1</x:v>
      </x:c>
      <x:c r="H614" s="11" t="n">
        <x:f>H570</x:f>
        <x:v>0.105</x:v>
      </x:c>
      <x:c r="I614" s="11" t="n">
        <x:f>I570</x:f>
        <x:v>6.8</x:v>
      </x:c>
    </x:row>
    <x:row r="615" ht="23" customHeight="1">
      <x:c r="A615" s="11" t="str">
        <x:v>688382.SH</x:v>
      </x:c>
      <x:c r="B615" s="11" t="str">
        <x:v>半年</x:v>
      </x:c>
      <x:c r="C615" s="11" t="str">
        <x:v>serd_adc</x:v>
      </x:c>
      <x:c r="D615" s="11" t="str">
        <x:v>活动输入</x:v>
      </x:c>
      <x:c r="E615" s="11" t="n">
        <x:f>CHOOSE('假设'!$B$3,E616,E617,E618)</x:f>
        <x:v>0.1963999999999999</x:v>
      </x:c>
      <x:c r="F615" s="11" t="n">
        <x:f>CHOOSE('假设'!$B$3,F616,F617,F618)</x:f>
        <x:v>0.2</x:v>
      </x:c>
      <x:c r="G615" s="11" t="n">
        <x:f>CHOOSE('假设'!$B$3,G616,G617,G618)</x:f>
        <x:v>1</x:v>
      </x:c>
      <x:c r="H615" s="11" t="n">
        <x:f>CHOOSE('假设'!$B$3,H616,H617,H618)</x:f>
        <x:v>0.135</x:v>
      </x:c>
      <x:c r="I615" s="11" t="n">
        <x:f>CHOOSE('假设'!$B$3,I616,I617,I618)</x:f>
        <x:v>6.8</x:v>
      </x:c>
    </x:row>
    <x:row r="616" ht="23" customHeight="1">
      <x:c r="A616" s="11" t="str">
        <x:v>688382.SH</x:v>
      </x:c>
      <x:c r="B616" s="11" t="str">
        <x:v>半年</x:v>
      </x:c>
      <x:c r="C616" s="11" t="str">
        <x:v>serd_adc</x:v>
      </x:c>
      <x:c r="D616" s="11" t="str">
        <x:v>悲观</x:v>
      </x:c>
      <x:c r="E616" s="16" t="n">
        <x:v>0.050000000000000044</x:v>
      </x:c>
      <x:c r="F616" s="16" t="n">
        <x:v>0.12</x:v>
      </x:c>
      <x:c r="G616" s="16" t="n">
        <x:v>1</x:v>
      </x:c>
      <x:c r="H616" s="11" t="n">
        <x:f>H568</x:f>
        <x:v>0.18</x:v>
      </x:c>
      <x:c r="I616" s="11" t="n">
        <x:f>I568</x:f>
        <x:v>6.8</x:v>
      </x:c>
    </x:row>
    <x:row r="617" ht="23" customHeight="1">
      <x:c r="A617" s="11" t="str">
        <x:v>688382.SH</x:v>
      </x:c>
      <x:c r="B617" s="11" t="str">
        <x:v>半年</x:v>
      </x:c>
      <x:c r="C617" s="11" t="str">
        <x:v>serd_adc</x:v>
      </x:c>
      <x:c r="D617" s="11" t="str">
        <x:v>基准</x:v>
      </x:c>
      <x:c r="E617" s="16" t="n">
        <x:v>0.1963999999999999</x:v>
      </x:c>
      <x:c r="F617" s="16" t="n">
        <x:v>0.2</x:v>
      </x:c>
      <x:c r="G617" s="16" t="n">
        <x:v>1</x:v>
      </x:c>
      <x:c r="H617" s="11" t="n">
        <x:f>H569</x:f>
        <x:v>0.135</x:v>
      </x:c>
      <x:c r="I617" s="11" t="n">
        <x:f>I569</x:f>
        <x:v>6.8</x:v>
      </x:c>
    </x:row>
    <x:row r="618" ht="23" customHeight="1">
      <x:c r="A618" s="11" t="str">
        <x:v>688382.SH</x:v>
      </x:c>
      <x:c r="B618" s="11" t="str">
        <x:v>半年</x:v>
      </x:c>
      <x:c r="C618" s="11" t="str">
        <x:v>serd_adc</x:v>
      </x:c>
      <x:c r="D618" s="11" t="str">
        <x:v>乐观</x:v>
      </x:c>
      <x:c r="E618" s="16" t="n">
        <x:v>0.43000000000000005</x:v>
      </x:c>
      <x:c r="F618" s="16" t="n">
        <x:v>0.28</x:v>
      </x:c>
      <x:c r="G618" s="16" t="n">
        <x:v>1</x:v>
      </x:c>
      <x:c r="H618" s="11" t="n">
        <x:f>H570</x:f>
        <x:v>0.105</x:v>
      </x:c>
      <x:c r="I618" s="11" t="n">
        <x:f>I570</x:f>
        <x:v>6.8</x:v>
      </x:c>
    </x:row>
    <x:row r="619" ht="23" customHeight="1">
      <x:c r="A619" s="11" t="str">
        <x:v>688382.SH</x:v>
      </x:c>
      <x:c r="B619" s="11" t="str">
        <x:v>半年</x:v>
      </x:c>
      <x:c r="C619" s="11" t="str">
        <x:v>urat_cn</x:v>
      </x:c>
      <x:c r="D619" s="11" t="str">
        <x:v>活动输入</x:v>
      </x:c>
      <x:c r="E619" s="11" t="n">
        <x:f>CHOOSE('假设'!$B$3,E620,E621,E622)</x:f>
        <x:v>0.39239999999999997</x:v>
      </x:c>
      <x:c r="F619" s="11" t="n">
        <x:f>CHOOSE('假设'!$B$3,F620,F621,F622)</x:f>
        <x:v>0.28</x:v>
      </x:c>
      <x:c r="G619" s="11" t="n">
        <x:f>CHOOSE('假设'!$B$3,G620,G621,G622)</x:f>
        <x:v>1</x:v>
      </x:c>
      <x:c r="H619" s="11" t="n">
        <x:f>CHOOSE('假设'!$B$3,H620,H621,H622)</x:f>
        <x:v>0.135</x:v>
      </x:c>
      <x:c r="I619" s="11" t="n">
        <x:f>CHOOSE('假设'!$B$3,I620,I621,I622)</x:f>
        <x:v>6.8</x:v>
      </x:c>
    </x:row>
    <x:row r="620" ht="23" customHeight="1">
      <x:c r="A620" s="11" t="str">
        <x:v>688382.SH</x:v>
      </x:c>
      <x:c r="B620" s="11" t="str">
        <x:v>半年</x:v>
      </x:c>
      <x:c r="C620" s="11" t="str">
        <x:v>urat_cn</x:v>
      </x:c>
      <x:c r="D620" s="11" t="str">
        <x:v>悲观</x:v>
      </x:c>
      <x:c r="E620" s="16" t="n">
        <x:v>0.15000000000000002</x:v>
      </x:c>
      <x:c r="F620" s="16" t="n">
        <x:v>0.18</x:v>
      </x:c>
      <x:c r="G620" s="16" t="n">
        <x:v>1</x:v>
      </x:c>
      <x:c r="H620" s="11" t="n">
        <x:f>H568</x:f>
        <x:v>0.18</x:v>
      </x:c>
      <x:c r="I620" s="11" t="n">
        <x:f>I568</x:f>
        <x:v>6.8</x:v>
      </x:c>
    </x:row>
    <x:row r="621" ht="23" customHeight="1">
      <x:c r="A621" s="11" t="str">
        <x:v>688382.SH</x:v>
      </x:c>
      <x:c r="B621" s="11" t="str">
        <x:v>半年</x:v>
      </x:c>
      <x:c r="C621" s="11" t="str">
        <x:v>urat_cn</x:v>
      </x:c>
      <x:c r="D621" s="11" t="str">
        <x:v>基准</x:v>
      </x:c>
      <x:c r="E621" s="16" t="n">
        <x:v>0.39239999999999997</x:v>
      </x:c>
      <x:c r="F621" s="16" t="n">
        <x:v>0.28</x:v>
      </x:c>
      <x:c r="G621" s="16" t="n">
        <x:v>1</x:v>
      </x:c>
      <x:c r="H621" s="11" t="n">
        <x:f>H569</x:f>
        <x:v>0.135</x:v>
      </x:c>
      <x:c r="I621" s="11" t="n">
        <x:f>I569</x:f>
        <x:v>6.8</x:v>
      </x:c>
    </x:row>
    <x:row r="622" ht="23" customHeight="1">
      <x:c r="A622" s="11" t="str">
        <x:v>688382.SH</x:v>
      </x:c>
      <x:c r="B622" s="11" t="str">
        <x:v>半年</x:v>
      </x:c>
      <x:c r="C622" s="11" t="str">
        <x:v>urat_cn</x:v>
      </x:c>
      <x:c r="D622" s="11" t="str">
        <x:v>乐观</x:v>
      </x:c>
      <x:c r="E622" s="16" t="n">
        <x:v>0.639</x:v>
      </x:c>
      <x:c r="F622" s="16" t="n">
        <x:v>0.36</x:v>
      </x:c>
      <x:c r="G622" s="16" t="n">
        <x:v>1</x:v>
      </x:c>
      <x:c r="H622" s="11" t="n">
        <x:f>H570</x:f>
        <x:v>0.105</x:v>
      </x:c>
      <x:c r="I622" s="11" t="n">
        <x:f>I570</x:f>
        <x:v>6.8</x:v>
      </x:c>
    </x:row>
    <x:row r="623" ht="23" customHeight="1">
      <x:c r="A623" s="11" t="str">
        <x:v>688382.SH</x:v>
      </x:c>
      <x:c r="B623" s="11" t="str">
        <x:v>半年</x:v>
      </x:c>
      <x:c r="C623" s="11" t="str">
        <x:v>urat_global</x:v>
      </x:c>
      <x:c r="D623" s="11" t="str">
        <x:v>活动输入</x:v>
      </x:c>
      <x:c r="E623" s="11" t="n">
        <x:f>CHOOSE('假设'!$B$3,E624,E625,E626)</x:f>
        <x:v>0.265</x:v>
      </x:c>
      <x:c r="F623" s="11" t="n">
        <x:f>CHOOSE('假设'!$B$3,F624,F625,F626)</x:f>
        <x:v>0.08200000000000002</x:v>
      </x:c>
      <x:c r="G623" s="11" t="n">
        <x:f>CHOOSE('假设'!$B$3,G624,G625,G626)</x:f>
        <x:v>1</x:v>
      </x:c>
      <x:c r="H623" s="11" t="n">
        <x:f>CHOOSE('假设'!$B$3,H624,H625,H626)</x:f>
        <x:v>0.135</x:v>
      </x:c>
      <x:c r="I623" s="11" t="n">
        <x:f>CHOOSE('假设'!$B$3,I624,I625,I626)</x:f>
        <x:v>6.8</x:v>
      </x:c>
    </x:row>
    <x:row r="624" ht="23" customHeight="1">
      <x:c r="A624" s="11" t="str">
        <x:v>688382.SH</x:v>
      </x:c>
      <x:c r="B624" s="11" t="str">
        <x:v>半年</x:v>
      </x:c>
      <x:c r="C624" s="11" t="str">
        <x:v>urat_global</x:v>
      </x:c>
      <x:c r="D624" s="11" t="str">
        <x:v>悲观</x:v>
      </x:c>
      <x:c r="E624" s="16" t="n">
        <x:v>0.07999999999999996</x:v>
      </x:c>
      <x:c r="F624" s="16" t="n">
        <x:v>0.05600000000000001</x:v>
      </x:c>
      <x:c r="G624" s="16" t="n">
        <x:v>1</x:v>
      </x:c>
      <x:c r="H624" s="11" t="n">
        <x:f>H568</x:f>
        <x:v>0.18</x:v>
      </x:c>
      <x:c r="I624" s="11" t="n">
        <x:f>I568</x:f>
        <x:v>6.8</x:v>
      </x:c>
    </x:row>
    <x:row r="625" ht="23" customHeight="1">
      <x:c r="A625" s="11" t="str">
        <x:v>688382.SH</x:v>
      </x:c>
      <x:c r="B625" s="11" t="str">
        <x:v>半年</x:v>
      </x:c>
      <x:c r="C625" s="11" t="str">
        <x:v>urat_global</x:v>
      </x:c>
      <x:c r="D625" s="11" t="str">
        <x:v>基准</x:v>
      </x:c>
      <x:c r="E625" s="16" t="n">
        <x:v>0.265</x:v>
      </x:c>
      <x:c r="F625" s="16" t="n">
        <x:v>0.08200000000000002</x:v>
      </x:c>
      <x:c r="G625" s="16" t="n">
        <x:v>1</x:v>
      </x:c>
      <x:c r="H625" s="11" t="n">
        <x:f>H569</x:f>
        <x:v>0.135</x:v>
      </x:c>
      <x:c r="I625" s="11" t="n">
        <x:f>I569</x:f>
        <x:v>6.8</x:v>
      </x:c>
    </x:row>
    <x:row r="626" ht="23" customHeight="1">
      <x:c r="A626" s="11" t="str">
        <x:v>688382.SH</x:v>
      </x:c>
      <x:c r="B626" s="11" t="str">
        <x:v>半年</x:v>
      </x:c>
      <x:c r="C626" s="11" t="str">
        <x:v>urat_global</x:v>
      </x:c>
      <x:c r="D626" s="11" t="str">
        <x:v>乐观</x:v>
      </x:c>
      <x:c r="E626" s="16" t="n">
        <x:v>0.506</x:v>
      </x:c>
      <x:c r="F626" s="16" t="n">
        <x:v>0.1105</x:v>
      </x:c>
      <x:c r="G626" s="16" t="n">
        <x:v>1</x:v>
      </x:c>
      <x:c r="H626" s="11" t="n">
        <x:f>H570</x:f>
        <x:v>0.105</x:v>
      </x:c>
      <x:c r="I626" s="11" t="n">
        <x:f>I570</x:f>
        <x:v>6.8</x:v>
      </x:c>
    </x:row>
    <x:row r="627" ht="23" customHeight="1">
      <x:c r="A627" s="11" t="str">
        <x:v>688382.SH</x:v>
      </x:c>
      <x:c r="B627" s="11" t="str">
        <x:v>一年</x:v>
      </x:c>
      <x:c r="C627" s="11" t="str">
        <x:v>befu</x:v>
      </x:c>
      <x:c r="D627" s="11" t="str">
        <x:v>活动输入</x:v>
      </x:c>
      <x:c r="E627" s="11" t="n">
        <x:f>CHOOSE('假设'!$B$3,E628,E629,E630)</x:f>
        <x:v>1</x:v>
      </x:c>
      <x:c r="F627" s="11" t="n">
        <x:f>CHOOSE('假设'!$B$3,F628,F629,F630)</x:f>
        <x:v>0.0756</x:v>
      </x:c>
      <x:c r="G627" s="11" t="n">
        <x:f>CHOOSE('假设'!$B$3,G628,G629,G630)</x:f>
        <x:v>1</x:v>
      </x:c>
      <x:c r="H627" s="11" t="n">
        <x:f>CHOOSE('假设'!$B$3,H628,H629,H630)</x:f>
        <x:v>0.135</x:v>
      </x:c>
      <x:c r="I627" s="11" t="n">
        <x:f>CHOOSE('假设'!$B$3,I628,I629,I630)</x:f>
        <x:v>6.8</x:v>
      </x:c>
    </x:row>
    <x:row r="628" ht="23" customHeight="1">
      <x:c r="A628" s="11" t="str">
        <x:v>688382.SH</x:v>
      </x:c>
      <x:c r="B628" s="11" t="str">
        <x:v>一年</x:v>
      </x:c>
      <x:c r="C628" s="11" t="str">
        <x:v>befu</x:v>
      </x:c>
      <x:c r="D628" s="11" t="str">
        <x:v>悲观</x:v>
      </x:c>
      <x:c r="E628" s="16" t="n">
        <x:v>1</x:v>
      </x:c>
      <x:c r="F628" s="16" t="n">
        <x:v>0.04000000000000001</x:v>
      </x:c>
      <x:c r="G628" s="16" t="n">
        <x:v>1</x:v>
      </x:c>
      <x:c r="H628" s="16" t="n">
        <x:v>0.18</x:v>
      </x:c>
      <x:c r="I628" s="16" t="n">
        <x:v>6.8</x:v>
      </x:c>
    </x:row>
    <x:row r="629" ht="23" customHeight="1">
      <x:c r="A629" s="11" t="str">
        <x:v>688382.SH</x:v>
      </x:c>
      <x:c r="B629" s="11" t="str">
        <x:v>一年</x:v>
      </x:c>
      <x:c r="C629" s="11" t="str">
        <x:v>befu</x:v>
      </x:c>
      <x:c r="D629" s="11" t="str">
        <x:v>基准</x:v>
      </x:c>
      <x:c r="E629" s="16" t="n">
        <x:v>1</x:v>
      </x:c>
      <x:c r="F629" s="16" t="n">
        <x:v>0.0756</x:v>
      </x:c>
      <x:c r="G629" s="16" t="n">
        <x:v>1</x:v>
      </x:c>
      <x:c r="H629" s="16" t="n">
        <x:v>0.135</x:v>
      </x:c>
      <x:c r="I629" s="16" t="n">
        <x:v>6.8</x:v>
      </x:c>
    </x:row>
    <x:row r="630" ht="23" customHeight="1">
      <x:c r="A630" s="11" t="str">
        <x:v>688382.SH</x:v>
      </x:c>
      <x:c r="B630" s="11" t="str">
        <x:v>一年</x:v>
      </x:c>
      <x:c r="C630" s="11" t="str">
        <x:v>befu</x:v>
      </x:c>
      <x:c r="D630" s="11" t="str">
        <x:v>乐观</x:v>
      </x:c>
      <x:c r="E630" s="16" t="n">
        <x:v>1</x:v>
      </x:c>
      <x:c r="F630" s="16" t="n">
        <x:v>0.0935</x:v>
      </x:c>
      <x:c r="G630" s="16" t="n">
        <x:v>1</x:v>
      </x:c>
      <x:c r="H630" s="16" t="n">
        <x:v>0.105</x:v>
      </x:c>
      <x:c r="I630" s="16" t="n">
        <x:v>6.8</x:v>
      </x:c>
    </x:row>
    <x:row r="631" ht="23" customHeight="1">
      <x:c r="A631" s="11" t="str">
        <x:v>688382.SH</x:v>
      </x:c>
      <x:c r="B631" s="11" t="str">
        <x:v>一年</x:v>
      </x:c>
      <x:c r="C631" s="11" t="str">
        <x:v>g12c_later_cn</x:v>
      </x:c>
      <x:c r="D631" s="11" t="str">
        <x:v>活动输入</x:v>
      </x:c>
      <x:c r="E631" s="11" t="n">
        <x:f>CHOOSE('假设'!$B$3,E632,E633,E634)</x:f>
        <x:v>1</x:v>
      </x:c>
      <x:c r="F631" s="11" t="n">
        <x:f>CHOOSE('假设'!$B$3,F632,F633,F634)</x:f>
        <x:v>0.08200000000000002</x:v>
      </x:c>
      <x:c r="G631" s="11" t="n">
        <x:f>CHOOSE('假设'!$B$3,G632,G633,G634)</x:f>
        <x:v>1</x:v>
      </x:c>
      <x:c r="H631" s="11" t="n">
        <x:f>CHOOSE('假设'!$B$3,H632,H633,H634)</x:f>
        <x:v>0.135</x:v>
      </x:c>
      <x:c r="I631" s="11" t="n">
        <x:f>CHOOSE('假设'!$B$3,I632,I633,I634)</x:f>
        <x:v>6.8</x:v>
      </x:c>
    </x:row>
    <x:row r="632" ht="23" customHeight="1">
      <x:c r="A632" s="11" t="str">
        <x:v>688382.SH</x:v>
      </x:c>
      <x:c r="B632" s="11" t="str">
        <x:v>一年</x:v>
      </x:c>
      <x:c r="C632" s="11" t="str">
        <x:v>g12c_later_cn</x:v>
      </x:c>
      <x:c r="D632" s="11" t="str">
        <x:v>悲观</x:v>
      </x:c>
      <x:c r="E632" s="16" t="n">
        <x:v>1</x:v>
      </x:c>
      <x:c r="F632" s="16" t="n">
        <x:v>0.05600000000000001</x:v>
      </x:c>
      <x:c r="G632" s="16" t="n">
        <x:v>1</x:v>
      </x:c>
      <x:c r="H632" s="11" t="n">
        <x:f>H628</x:f>
        <x:v>0.18</x:v>
      </x:c>
      <x:c r="I632" s="11" t="n">
        <x:f>I628</x:f>
        <x:v>6.8</x:v>
      </x:c>
    </x:row>
    <x:row r="633" ht="23" customHeight="1">
      <x:c r="A633" s="11" t="str">
        <x:v>688382.SH</x:v>
      </x:c>
      <x:c r="B633" s="11" t="str">
        <x:v>一年</x:v>
      </x:c>
      <x:c r="C633" s="11" t="str">
        <x:v>g12c_later_cn</x:v>
      </x:c>
      <x:c r="D633" s="11" t="str">
        <x:v>基准</x:v>
      </x:c>
      <x:c r="E633" s="16" t="n">
        <x:v>1</x:v>
      </x:c>
      <x:c r="F633" s="16" t="n">
        <x:v>0.08200000000000002</x:v>
      </x:c>
      <x:c r="G633" s="16" t="n">
        <x:v>1</x:v>
      </x:c>
      <x:c r="H633" s="11" t="n">
        <x:f>H629</x:f>
        <x:v>0.135</x:v>
      </x:c>
      <x:c r="I633" s="11" t="n">
        <x:f>I629</x:f>
        <x:v>6.8</x:v>
      </x:c>
    </x:row>
    <x:row r="634" ht="23" customHeight="1">
      <x:c r="A634" s="11" t="str">
        <x:v>688382.SH</x:v>
      </x:c>
      <x:c r="B634" s="11" t="str">
        <x:v>一年</x:v>
      </x:c>
      <x:c r="C634" s="11" t="str">
        <x:v>g12c_later_cn</x:v>
      </x:c>
      <x:c r="D634" s="11" t="str">
        <x:v>乐观</x:v>
      </x:c>
      <x:c r="E634" s="16" t="n">
        <x:v>1</x:v>
      </x:c>
      <x:c r="F634" s="16" t="n">
        <x:v>0.1105</x:v>
      </x:c>
      <x:c r="G634" s="16" t="n">
        <x:v>1</x:v>
      </x:c>
      <x:c r="H634" s="11" t="n">
        <x:f>H630</x:f>
        <x:v>0.105</x:v>
      </x:c>
      <x:c r="I634" s="11" t="n">
        <x:f>I630</x:f>
        <x:v>6.8</x:v>
      </x:c>
    </x:row>
    <x:row r="635" ht="23" customHeight="1">
      <x:c r="A635" s="11" t="str">
        <x:v>688382.SH</x:v>
      </x:c>
      <x:c r="B635" s="11" t="str">
        <x:v>一年</x:v>
      </x:c>
      <x:c r="C635" s="11" t="str">
        <x:v>g12c_first_cn</x:v>
      </x:c>
      <x:c r="D635" s="11" t="str">
        <x:v>活动输入</x:v>
      </x:c>
      <x:c r="E635" s="11" t="n">
        <x:f>CHOOSE('假设'!$B$3,E636,E637,E638)</x:f>
        <x:v>0.5216</x:v>
      </x:c>
      <x:c r="F635" s="11" t="n">
        <x:f>CHOOSE('假设'!$B$3,F636,F637,F638)</x:f>
        <x:v>0.08200000000000002</x:v>
      </x:c>
      <x:c r="G635" s="11" t="n">
        <x:f>CHOOSE('假设'!$B$3,G636,G637,G638)</x:f>
        <x:v>1</x:v>
      </x:c>
      <x:c r="H635" s="11" t="n">
        <x:f>CHOOSE('假设'!$B$3,H636,H637,H638)</x:f>
        <x:v>0.135</x:v>
      </x:c>
      <x:c r="I635" s="11" t="n">
        <x:f>CHOOSE('假设'!$B$3,I636,I637,I638)</x:f>
        <x:v>6.8</x:v>
      </x:c>
    </x:row>
    <x:row r="636" ht="23" customHeight="1">
      <x:c r="A636" s="11" t="str">
        <x:v>688382.SH</x:v>
      </x:c>
      <x:c r="B636" s="11" t="str">
        <x:v>一年</x:v>
      </x:c>
      <x:c r="C636" s="11" t="str">
        <x:v>g12c_first_cn</x:v>
      </x:c>
      <x:c r="D636" s="11" t="str">
        <x:v>悲观</x:v>
      </x:c>
      <x:c r="E636" s="16" t="n">
        <x:v>0.19999999999999996</x:v>
      </x:c>
      <x:c r="F636" s="16" t="n">
        <x:v>0.05600000000000001</x:v>
      </x:c>
      <x:c r="G636" s="16" t="n">
        <x:v>1</x:v>
      </x:c>
      <x:c r="H636" s="11" t="n">
        <x:f>H628</x:f>
        <x:v>0.18</x:v>
      </x:c>
      <x:c r="I636" s="11" t="n">
        <x:f>I628</x:f>
        <x:v>6.8</x:v>
      </x:c>
    </x:row>
    <x:row r="637" ht="23" customHeight="1">
      <x:c r="A637" s="11" t="str">
        <x:v>688382.SH</x:v>
      </x:c>
      <x:c r="B637" s="11" t="str">
        <x:v>一年</x:v>
      </x:c>
      <x:c r="C637" s="11" t="str">
        <x:v>g12c_first_cn</x:v>
      </x:c>
      <x:c r="D637" s="11" t="str">
        <x:v>基准</x:v>
      </x:c>
      <x:c r="E637" s="16" t="n">
        <x:v>0.5216</x:v>
      </x:c>
      <x:c r="F637" s="16" t="n">
        <x:v>0.08200000000000002</x:v>
      </x:c>
      <x:c r="G637" s="16" t="n">
        <x:v>1</x:v>
      </x:c>
      <x:c r="H637" s="11" t="n">
        <x:f>H629</x:f>
        <x:v>0.135</x:v>
      </x:c>
      <x:c r="I637" s="11" t="n">
        <x:f>I629</x:f>
        <x:v>6.8</x:v>
      </x:c>
    </x:row>
    <x:row r="638" ht="23" customHeight="1">
      <x:c r="A638" s="11" t="str">
        <x:v>688382.SH</x:v>
      </x:c>
      <x:c r="B638" s="11" t="str">
        <x:v>一年</x:v>
      </x:c>
      <x:c r="C638" s="11" t="str">
        <x:v>g12c_first_cn</x:v>
      </x:c>
      <x:c r="D638" s="11" t="str">
        <x:v>乐观</x:v>
      </x:c>
      <x:c r="E638" s="16" t="n">
        <x:v>0.745</x:v>
      </x:c>
      <x:c r="F638" s="16" t="n">
        <x:v>0.1105</x:v>
      </x:c>
      <x:c r="G638" s="16" t="n">
        <x:v>1</x:v>
      </x:c>
      <x:c r="H638" s="11" t="n">
        <x:f>H630</x:f>
        <x:v>0.105</x:v>
      </x:c>
      <x:c r="I638" s="11" t="n">
        <x:f>I630</x:f>
        <x:v>6.8</x:v>
      </x:c>
    </x:row>
    <x:row r="639" ht="23" customHeight="1">
      <x:c r="A639" s="11" t="str">
        <x:v>688382.SH</x:v>
      </x:c>
      <x:c r="B639" s="11" t="str">
        <x:v>一年</x:v>
      </x:c>
      <x:c r="C639" s="11" t="str">
        <x:v>g12c_crc_cn</x:v>
      </x:c>
      <x:c r="D639" s="11" t="str">
        <x:v>活动输入</x:v>
      </x:c>
      <x:c r="E639" s="11" t="n">
        <x:f>CHOOSE('假设'!$B$3,E640,E641,E642)</x:f>
        <x:v>0.3284</x:v>
      </x:c>
      <x:c r="F639" s="11" t="n">
        <x:f>CHOOSE('假设'!$B$3,F640,F641,F642)</x:f>
        <x:v>0.08200000000000002</x:v>
      </x:c>
      <x:c r="G639" s="11" t="n">
        <x:f>CHOOSE('假设'!$B$3,G640,G641,G642)</x:f>
        <x:v>1</x:v>
      </x:c>
      <x:c r="H639" s="11" t="n">
        <x:f>CHOOSE('假设'!$B$3,H640,H641,H642)</x:f>
        <x:v>0.135</x:v>
      </x:c>
      <x:c r="I639" s="11" t="n">
        <x:f>CHOOSE('假设'!$B$3,I640,I641,I642)</x:f>
        <x:v>6.8</x:v>
      </x:c>
    </x:row>
    <x:row r="640" ht="23" customHeight="1">
      <x:c r="A640" s="11" t="str">
        <x:v>688382.SH</x:v>
      </x:c>
      <x:c r="B640" s="11" t="str">
        <x:v>一年</x:v>
      </x:c>
      <x:c r="C640" s="11" t="str">
        <x:v>g12c_crc_cn</x:v>
      </x:c>
      <x:c r="D640" s="11" t="str">
        <x:v>悲观</x:v>
      </x:c>
      <x:c r="E640" s="16" t="n">
        <x:v>0.09999999999999998</x:v>
      </x:c>
      <x:c r="F640" s="16" t="n">
        <x:v>0.05600000000000001</x:v>
      </x:c>
      <x:c r="G640" s="16" t="n">
        <x:v>1</x:v>
      </x:c>
      <x:c r="H640" s="11" t="n">
        <x:f>H628</x:f>
        <x:v>0.18</x:v>
      </x:c>
      <x:c r="I640" s="11" t="n">
        <x:f>I628</x:f>
        <x:v>6.8</x:v>
      </x:c>
    </x:row>
    <x:row r="641" ht="23" customHeight="1">
      <x:c r="A641" s="11" t="str">
        <x:v>688382.SH</x:v>
      </x:c>
      <x:c r="B641" s="11" t="str">
        <x:v>一年</x:v>
      </x:c>
      <x:c r="C641" s="11" t="str">
        <x:v>g12c_crc_cn</x:v>
      </x:c>
      <x:c r="D641" s="11" t="str">
        <x:v>基准</x:v>
      </x:c>
      <x:c r="E641" s="16" t="n">
        <x:v>0.3284</x:v>
      </x:c>
      <x:c r="F641" s="16" t="n">
        <x:v>0.08200000000000002</x:v>
      </x:c>
      <x:c r="G641" s="16" t="n">
        <x:v>1</x:v>
      </x:c>
      <x:c r="H641" s="11" t="n">
        <x:f>H629</x:f>
        <x:v>0.135</x:v>
      </x:c>
      <x:c r="I641" s="11" t="n">
        <x:f>I629</x:f>
        <x:v>6.8</x:v>
      </x:c>
    </x:row>
    <x:row r="642" ht="23" customHeight="1">
      <x:c r="A642" s="11" t="str">
        <x:v>688382.SH</x:v>
      </x:c>
      <x:c r="B642" s="11" t="str">
        <x:v>一年</x:v>
      </x:c>
      <x:c r="C642" s="11" t="str">
        <x:v>g12c_crc_cn</x:v>
      </x:c>
      <x:c r="D642" s="11" t="str">
        <x:v>乐观</x:v>
      </x:c>
      <x:c r="E642" s="16" t="n">
        <x:v>0.575</x:v>
      </x:c>
      <x:c r="F642" s="16" t="n">
        <x:v>0.1105</x:v>
      </x:c>
      <x:c r="G642" s="16" t="n">
        <x:v>1</x:v>
      </x:c>
      <x:c r="H642" s="11" t="n">
        <x:f>H630</x:f>
        <x:v>0.105</x:v>
      </x:c>
      <x:c r="I642" s="11" t="n">
        <x:f>I630</x:f>
        <x:v>6.8</x:v>
      </x:c>
    </x:row>
    <x:row r="643" ht="23" customHeight="1">
      <x:c r="A643" s="11" t="str">
        <x:v>688382.SH</x:v>
      </x:c>
      <x:c r="B643" s="11" t="str">
        <x:v>一年</x:v>
      </x:c>
      <x:c r="C643" s="11" t="str">
        <x:v>g12c_global</x:v>
      </x:c>
      <x:c r="D643" s="11" t="str">
        <x:v>活动输入</x:v>
      </x:c>
      <x:c r="E643" s="11" t="n">
        <x:f>CHOOSE('假设'!$B$3,E644,E645,E646)</x:f>
        <x:v>0.29159999999999997</x:v>
      </x:c>
      <x:c r="F643" s="11" t="n">
        <x:f>CHOOSE('假设'!$B$3,F644,F645,F646)</x:f>
        <x:v>0.08200000000000002</x:v>
      </x:c>
      <x:c r="G643" s="11" t="n">
        <x:f>CHOOSE('假设'!$B$3,G644,G645,G646)</x:f>
        <x:v>1</x:v>
      </x:c>
      <x:c r="H643" s="11" t="n">
        <x:f>CHOOSE('假设'!$B$3,H644,H645,H646)</x:f>
        <x:v>0.135</x:v>
      </x:c>
      <x:c r="I643" s="11" t="n">
        <x:f>CHOOSE('假设'!$B$3,I644,I645,I646)</x:f>
        <x:v>6.8</x:v>
      </x:c>
    </x:row>
    <x:row r="644" ht="23" customHeight="1">
      <x:c r="A644" s="11" t="str">
        <x:v>688382.SH</x:v>
      </x:c>
      <x:c r="B644" s="11" t="str">
        <x:v>一年</x:v>
      </x:c>
      <x:c r="C644" s="11" t="str">
        <x:v>g12c_global</x:v>
      </x:c>
      <x:c r="D644" s="11" t="str">
        <x:v>悲观</x:v>
      </x:c>
      <x:c r="E644" s="16" t="n">
        <x:v>0.07000000000000006</x:v>
      </x:c>
      <x:c r="F644" s="16" t="n">
        <x:v>0.05600000000000001</x:v>
      </x:c>
      <x:c r="G644" s="16" t="n">
        <x:v>1</x:v>
      </x:c>
      <x:c r="H644" s="11" t="n">
        <x:f>H628</x:f>
        <x:v>0.18</x:v>
      </x:c>
      <x:c r="I644" s="11" t="n">
        <x:f>I628</x:f>
        <x:v>6.8</x:v>
      </x:c>
    </x:row>
    <x:row r="645" ht="23" customHeight="1">
      <x:c r="A645" s="11" t="str">
        <x:v>688382.SH</x:v>
      </x:c>
      <x:c r="B645" s="11" t="str">
        <x:v>一年</x:v>
      </x:c>
      <x:c r="C645" s="11" t="str">
        <x:v>g12c_global</x:v>
      </x:c>
      <x:c r="D645" s="11" t="str">
        <x:v>基准</x:v>
      </x:c>
      <x:c r="E645" s="16" t="n">
        <x:v>0.29159999999999997</x:v>
      </x:c>
      <x:c r="F645" s="16" t="n">
        <x:v>0.08200000000000002</x:v>
      </x:c>
      <x:c r="G645" s="16" t="n">
        <x:v>1</x:v>
      </x:c>
      <x:c r="H645" s="11" t="n">
        <x:f>H629</x:f>
        <x:v>0.135</x:v>
      </x:c>
      <x:c r="I645" s="11" t="n">
        <x:f>I629</x:f>
        <x:v>6.8</x:v>
      </x:c>
    </x:row>
    <x:row r="646" ht="23" customHeight="1">
      <x:c r="A646" s="11" t="str">
        <x:v>688382.SH</x:v>
      </x:c>
      <x:c r="B646" s="11" t="str">
        <x:v>一年</x:v>
      </x:c>
      <x:c r="C646" s="11" t="str">
        <x:v>g12c_global</x:v>
      </x:c>
      <x:c r="D646" s="11" t="str">
        <x:v>乐观</x:v>
      </x:c>
      <x:c r="E646" s="16" t="n">
        <x:v>0.5325</x:v>
      </x:c>
      <x:c r="F646" s="16" t="n">
        <x:v>0.1105</x:v>
      </x:c>
      <x:c r="G646" s="16" t="n">
        <x:v>1</x:v>
      </x:c>
      <x:c r="H646" s="11" t="n">
        <x:f>H630</x:f>
        <x:v>0.105</x:v>
      </x:c>
      <x:c r="I646" s="11" t="n">
        <x:f>I630</x:f>
        <x:v>6.8</x:v>
      </x:c>
    </x:row>
    <x:row r="647" ht="23" customHeight="1">
      <x:c r="A647" s="11" t="str">
        <x:v>688382.SH</x:v>
      </x:c>
      <x:c r="B647" s="11" t="str">
        <x:v>一年</x:v>
      </x:c>
      <x:c r="C647" s="11" t="str">
        <x:v>tyk_ps_cn</x:v>
      </x:c>
      <x:c r="D647" s="11" t="str">
        <x:v>活动输入</x:v>
      </x:c>
      <x:c r="E647" s="11" t="n">
        <x:f>CHOOSE('假设'!$B$3,E648,E649,E650)</x:f>
        <x:v>0.6504</x:v>
      </x:c>
      <x:c r="F647" s="11" t="n">
        <x:f>CHOOSE('假设'!$B$3,F648,F649,F650)</x:f>
        <x:v>0.28</x:v>
      </x:c>
      <x:c r="G647" s="11" t="n">
        <x:f>CHOOSE('假设'!$B$3,G648,G649,G650)</x:f>
        <x:v>1</x:v>
      </x:c>
      <x:c r="H647" s="11" t="n">
        <x:f>CHOOSE('假设'!$B$3,H648,H649,H650)</x:f>
        <x:v>0.135</x:v>
      </x:c>
      <x:c r="I647" s="11" t="n">
        <x:f>CHOOSE('假设'!$B$3,I648,I649,I650)</x:f>
        <x:v>6.8</x:v>
      </x:c>
    </x:row>
    <x:row r="648" ht="23" customHeight="1">
      <x:c r="A648" s="11" t="str">
        <x:v>688382.SH</x:v>
      </x:c>
      <x:c r="B648" s="11" t="str">
        <x:v>一年</x:v>
      </x:c>
      <x:c r="C648" s="11" t="str">
        <x:v>tyk_ps_cn</x:v>
      </x:c>
      <x:c r="D648" s="11" t="str">
        <x:v>悲观</x:v>
      </x:c>
      <x:c r="E648" s="16" t="n">
        <x:v>0.35</x:v>
      </x:c>
      <x:c r="F648" s="16" t="n">
        <x:v>0.18</x:v>
      </x:c>
      <x:c r="G648" s="16" t="n">
        <x:v>1</x:v>
      </x:c>
      <x:c r="H648" s="11" t="n">
        <x:f>H628</x:f>
        <x:v>0.18</x:v>
      </x:c>
      <x:c r="I648" s="11" t="n">
        <x:f>I628</x:f>
        <x:v>6.8</x:v>
      </x:c>
    </x:row>
    <x:row r="649" ht="23" customHeight="1">
      <x:c r="A649" s="11" t="str">
        <x:v>688382.SH</x:v>
      </x:c>
      <x:c r="B649" s="11" t="str">
        <x:v>一年</x:v>
      </x:c>
      <x:c r="C649" s="11" t="str">
        <x:v>tyk_ps_cn</x:v>
      </x:c>
      <x:c r="D649" s="11" t="str">
        <x:v>基准</x:v>
      </x:c>
      <x:c r="E649" s="16" t="n">
        <x:v>0.6504</x:v>
      </x:c>
      <x:c r="F649" s="16" t="n">
        <x:v>0.28</x:v>
      </x:c>
      <x:c r="G649" s="16" t="n">
        <x:v>1</x:v>
      </x:c>
      <x:c r="H649" s="11" t="n">
        <x:f>H629</x:f>
        <x:v>0.135</x:v>
      </x:c>
      <x:c r="I649" s="11" t="n">
        <x:f>I629</x:f>
        <x:v>6.8</x:v>
      </x:c>
    </x:row>
    <x:row r="650" ht="23" customHeight="1">
      <x:c r="A650" s="11" t="str">
        <x:v>688382.SH</x:v>
      </x:c>
      <x:c r="B650" s="11" t="str">
        <x:v>一年</x:v>
      </x:c>
      <x:c r="C650" s="11" t="str">
        <x:v>tyk_ps_cn</x:v>
      </x:c>
      <x:c r="D650" s="11" t="str">
        <x:v>乐观</x:v>
      </x:c>
      <x:c r="E650" s="16" t="n">
        <x:v>0.847</x:v>
      </x:c>
      <x:c r="F650" s="16" t="n">
        <x:v>0.36</x:v>
      </x:c>
      <x:c r="G650" s="16" t="n">
        <x:v>1</x:v>
      </x:c>
      <x:c r="H650" s="11" t="n">
        <x:f>H630</x:f>
        <x:v>0.105</x:v>
      </x:c>
      <x:c r="I650" s="11" t="n">
        <x:f>I630</x:f>
        <x:v>6.8</x:v>
      </x:c>
    </x:row>
    <x:row r="651" ht="23" customHeight="1">
      <x:c r="A651" s="11" t="str">
        <x:v>688382.SH</x:v>
      </x:c>
      <x:c r="B651" s="11" t="str">
        <x:v>一年</x:v>
      </x:c>
      <x:c r="C651" s="11" t="str">
        <x:v>tyk_uc_cn</x:v>
      </x:c>
      <x:c r="D651" s="11" t="str">
        <x:v>活动输入</x:v>
      </x:c>
      <x:c r="E651" s="11" t="n">
        <x:f>CHOOSE('假设'!$B$3,E652,E653,E654)</x:f>
        <x:v>0.3376</x:v>
      </x:c>
      <x:c r="F651" s="11" t="n">
        <x:f>CHOOSE('假设'!$B$3,F652,F653,F654)</x:f>
        <x:v>0.28</x:v>
      </x:c>
      <x:c r="G651" s="11" t="n">
        <x:f>CHOOSE('假设'!$B$3,G652,G653,G654)</x:f>
        <x:v>1</x:v>
      </x:c>
      <x:c r="H651" s="11" t="n">
        <x:f>CHOOSE('假设'!$B$3,H652,H653,H654)</x:f>
        <x:v>0.135</x:v>
      </x:c>
      <x:c r="I651" s="11" t="n">
        <x:f>CHOOSE('假设'!$B$3,I652,I653,I654)</x:f>
        <x:v>6.8</x:v>
      </x:c>
    </x:row>
    <x:row r="652" ht="23" customHeight="1">
      <x:c r="A652" s="11" t="str">
        <x:v>688382.SH</x:v>
      </x:c>
      <x:c r="B652" s="11" t="str">
        <x:v>一年</x:v>
      </x:c>
      <x:c r="C652" s="11" t="str">
        <x:v>tyk_uc_cn</x:v>
      </x:c>
      <x:c r="D652" s="11" t="str">
        <x:v>悲观</x:v>
      </x:c>
      <x:c r="E652" s="16" t="n">
        <x:v>0.07999999999999996</x:v>
      </x:c>
      <x:c r="F652" s="16" t="n">
        <x:v>0.18</x:v>
      </x:c>
      <x:c r="G652" s="16" t="n">
        <x:v>1</x:v>
      </x:c>
      <x:c r="H652" s="11" t="n">
        <x:f>H628</x:f>
        <x:v>0.18</x:v>
      </x:c>
      <x:c r="I652" s="11" t="n">
        <x:f>I628</x:f>
        <x:v>6.8</x:v>
      </x:c>
    </x:row>
    <x:row r="653" ht="23" customHeight="1">
      <x:c r="A653" s="11" t="str">
        <x:v>688382.SH</x:v>
      </x:c>
      <x:c r="B653" s="11" t="str">
        <x:v>一年</x:v>
      </x:c>
      <x:c r="C653" s="11" t="str">
        <x:v>tyk_uc_cn</x:v>
      </x:c>
      <x:c r="D653" s="11" t="str">
        <x:v>基准</x:v>
      </x:c>
      <x:c r="E653" s="16" t="n">
        <x:v>0.3376</x:v>
      </x:c>
      <x:c r="F653" s="16" t="n">
        <x:v>0.28</x:v>
      </x:c>
      <x:c r="G653" s="16" t="n">
        <x:v>1</x:v>
      </x:c>
      <x:c r="H653" s="11" t="n">
        <x:f>H629</x:f>
        <x:v>0.135</x:v>
      </x:c>
      <x:c r="I653" s="11" t="n">
        <x:f>I629</x:f>
        <x:v>6.8</x:v>
      </x:c>
    </x:row>
    <x:row r="654" ht="23" customHeight="1">
      <x:c r="A654" s="11" t="str">
        <x:v>688382.SH</x:v>
      </x:c>
      <x:c r="B654" s="11" t="str">
        <x:v>一年</x:v>
      </x:c>
      <x:c r="C654" s="11" t="str">
        <x:v>tyk_uc_cn</x:v>
      </x:c>
      <x:c r="D654" s="11" t="str">
        <x:v>乐观</x:v>
      </x:c>
      <x:c r="E654" s="16" t="n">
        <x:v>0.575</x:v>
      </x:c>
      <x:c r="F654" s="16" t="n">
        <x:v>0.36</x:v>
      </x:c>
      <x:c r="G654" s="16" t="n">
        <x:v>1</x:v>
      </x:c>
      <x:c r="H654" s="11" t="n">
        <x:f>H630</x:f>
        <x:v>0.105</x:v>
      </x:c>
      <x:c r="I654" s="11" t="n">
        <x:f>I630</x:f>
        <x:v>6.8</x:v>
      </x:c>
    </x:row>
    <x:row r="655" ht="23" customHeight="1">
      <x:c r="A655" s="11" t="str">
        <x:v>688382.SH</x:v>
      </x:c>
      <x:c r="B655" s="11" t="str">
        <x:v>一年</x:v>
      </x:c>
      <x:c r="C655" s="11" t="str">
        <x:v>tyk_sle_cn</x:v>
      </x:c>
      <x:c r="D655" s="11" t="str">
        <x:v>活动输入</x:v>
      </x:c>
      <x:c r="E655" s="11" t="n">
        <x:f>CHOOSE('假设'!$B$3,E656,E657,E658)</x:f>
        <x:v>0.24559999999999993</x:v>
      </x:c>
      <x:c r="F655" s="11" t="n">
        <x:f>CHOOSE('假设'!$B$3,F656,F657,F658)</x:f>
        <x:v>0.28</x:v>
      </x:c>
      <x:c r="G655" s="11" t="n">
        <x:f>CHOOSE('假设'!$B$3,G656,G657,G658)</x:f>
        <x:v>1</x:v>
      </x:c>
      <x:c r="H655" s="11" t="n">
        <x:f>CHOOSE('假设'!$B$3,H656,H657,H658)</x:f>
        <x:v>0.135</x:v>
      </x:c>
      <x:c r="I655" s="11" t="n">
        <x:f>CHOOSE('假设'!$B$3,I656,I657,I658)</x:f>
        <x:v>6.8</x:v>
      </x:c>
    </x:row>
    <x:row r="656" ht="23" customHeight="1">
      <x:c r="A656" s="11" t="str">
        <x:v>688382.SH</x:v>
      </x:c>
      <x:c r="B656" s="11" t="str">
        <x:v>一年</x:v>
      </x:c>
      <x:c r="C656" s="11" t="str">
        <x:v>tyk_sle_cn</x:v>
      </x:c>
      <x:c r="D656" s="11" t="str">
        <x:v>悲观</x:v>
      </x:c>
      <x:c r="E656" s="16" t="n">
        <x:v>0.050000000000000044</x:v>
      </x:c>
      <x:c r="F656" s="16" t="n">
        <x:v>0.18</x:v>
      </x:c>
      <x:c r="G656" s="16" t="n">
        <x:v>1</x:v>
      </x:c>
      <x:c r="H656" s="11" t="n">
        <x:f>H628</x:f>
        <x:v>0.18</x:v>
      </x:c>
      <x:c r="I656" s="11" t="n">
        <x:f>I628</x:f>
        <x:v>6.8</x:v>
      </x:c>
    </x:row>
    <x:row r="657" ht="23" customHeight="1">
      <x:c r="A657" s="11" t="str">
        <x:v>688382.SH</x:v>
      </x:c>
      <x:c r="B657" s="11" t="str">
        <x:v>一年</x:v>
      </x:c>
      <x:c r="C657" s="11" t="str">
        <x:v>tyk_sle_cn</x:v>
      </x:c>
      <x:c r="D657" s="11" t="str">
        <x:v>基准</x:v>
      </x:c>
      <x:c r="E657" s="16" t="n">
        <x:v>0.24559999999999993</x:v>
      </x:c>
      <x:c r="F657" s="16" t="n">
        <x:v>0.28</x:v>
      </x:c>
      <x:c r="G657" s="16" t="n">
        <x:v>1</x:v>
      </x:c>
      <x:c r="H657" s="11" t="n">
        <x:f>H629</x:f>
        <x:v>0.135</x:v>
      </x:c>
      <x:c r="I657" s="11" t="n">
        <x:f>I629</x:f>
        <x:v>6.8</x:v>
      </x:c>
    </x:row>
    <x:row r="658" ht="23" customHeight="1">
      <x:c r="A658" s="11" t="str">
        <x:v>688382.SH</x:v>
      </x:c>
      <x:c r="B658" s="11" t="str">
        <x:v>一年</x:v>
      </x:c>
      <x:c r="C658" s="11" t="str">
        <x:v>tyk_sle_cn</x:v>
      </x:c>
      <x:c r="D658" s="11" t="str">
        <x:v>乐观</x:v>
      </x:c>
      <x:c r="E658" s="16" t="n">
        <x:v>0.473</x:v>
      </x:c>
      <x:c r="F658" s="16" t="n">
        <x:v>0.36</x:v>
      </x:c>
      <x:c r="G658" s="16" t="n">
        <x:v>1</x:v>
      </x:c>
      <x:c r="H658" s="11" t="n">
        <x:f>H630</x:f>
        <x:v>0.105</x:v>
      </x:c>
      <x:c r="I658" s="11" t="n">
        <x:f>I630</x:f>
        <x:v>6.8</x:v>
      </x:c>
    </x:row>
    <x:row r="659" ht="23" customHeight="1">
      <x:c r="A659" s="11" t="str">
        <x:v>688382.SH</x:v>
      </x:c>
      <x:c r="B659" s="11" t="str">
        <x:v>一年</x:v>
      </x:c>
      <x:c r="C659" s="11" t="str">
        <x:v>tyk_psa_cn</x:v>
      </x:c>
      <x:c r="D659" s="11" t="str">
        <x:v>活动输入</x:v>
      </x:c>
      <x:c r="E659" s="11" t="n">
        <x:f>CHOOSE('假设'!$B$3,E660,E661,E662)</x:f>
        <x:v>0.356</x:v>
      </x:c>
      <x:c r="F659" s="11" t="n">
        <x:f>CHOOSE('假设'!$B$3,F660,F661,F662)</x:f>
        <x:v>0.28</x:v>
      </x:c>
      <x:c r="G659" s="11" t="n">
        <x:f>CHOOSE('假设'!$B$3,G660,G661,G662)</x:f>
        <x:v>1</x:v>
      </x:c>
      <x:c r="H659" s="11" t="n">
        <x:f>CHOOSE('假设'!$B$3,H660,H661,H662)</x:f>
        <x:v>0.135</x:v>
      </x:c>
      <x:c r="I659" s="11" t="n">
        <x:f>CHOOSE('假设'!$B$3,I660,I661,I662)</x:f>
        <x:v>6.8</x:v>
      </x:c>
    </x:row>
    <x:row r="660" ht="23" customHeight="1">
      <x:c r="A660" s="11" t="str">
        <x:v>688382.SH</x:v>
      </x:c>
      <x:c r="B660" s="11" t="str">
        <x:v>一年</x:v>
      </x:c>
      <x:c r="C660" s="11" t="str">
        <x:v>tyk_psa_cn</x:v>
      </x:c>
      <x:c r="D660" s="11" t="str">
        <x:v>悲观</x:v>
      </x:c>
      <x:c r="E660" s="16" t="n">
        <x:v>0.08999999999999997</x:v>
      </x:c>
      <x:c r="F660" s="16" t="n">
        <x:v>0.18</x:v>
      </x:c>
      <x:c r="G660" s="16" t="n">
        <x:v>1</x:v>
      </x:c>
      <x:c r="H660" s="11" t="n">
        <x:f>H628</x:f>
        <x:v>0.18</x:v>
      </x:c>
      <x:c r="I660" s="11" t="n">
        <x:f>I628</x:f>
        <x:v>6.8</x:v>
      </x:c>
    </x:row>
    <x:row r="661" ht="23" customHeight="1">
      <x:c r="A661" s="11" t="str">
        <x:v>688382.SH</x:v>
      </x:c>
      <x:c r="B661" s="11" t="str">
        <x:v>一年</x:v>
      </x:c>
      <x:c r="C661" s="11" t="str">
        <x:v>tyk_psa_cn</x:v>
      </x:c>
      <x:c r="D661" s="11" t="str">
        <x:v>基准</x:v>
      </x:c>
      <x:c r="E661" s="16" t="n">
        <x:v>0.356</x:v>
      </x:c>
      <x:c r="F661" s="16" t="n">
        <x:v>0.28</x:v>
      </x:c>
      <x:c r="G661" s="16" t="n">
        <x:v>1</x:v>
      </x:c>
      <x:c r="H661" s="11" t="n">
        <x:f>H629</x:f>
        <x:v>0.135</x:v>
      </x:c>
      <x:c r="I661" s="11" t="n">
        <x:f>I629</x:f>
        <x:v>6.8</x:v>
      </x:c>
    </x:row>
    <x:row r="662" ht="23" customHeight="1">
      <x:c r="A662" s="11" t="str">
        <x:v>688382.SH</x:v>
      </x:c>
      <x:c r="B662" s="11" t="str">
        <x:v>一年</x:v>
      </x:c>
      <x:c r="C662" s="11" t="str">
        <x:v>tyk_psa_cn</x:v>
      </x:c>
      <x:c r="D662" s="11" t="str">
        <x:v>乐观</x:v>
      </x:c>
      <x:c r="E662" s="16" t="n">
        <x:v>0.6175</x:v>
      </x:c>
      <x:c r="F662" s="16" t="n">
        <x:v>0.36</x:v>
      </x:c>
      <x:c r="G662" s="16" t="n">
        <x:v>1</x:v>
      </x:c>
      <x:c r="H662" s="11" t="n">
        <x:f>H630</x:f>
        <x:v>0.105</x:v>
      </x:c>
      <x:c r="I662" s="11" t="n">
        <x:f>I630</x:f>
        <x:v>6.8</x:v>
      </x:c>
    </x:row>
    <x:row r="663" ht="23" customHeight="1">
      <x:c r="A663" s="11" t="str">
        <x:v>688382.SH</x:v>
      </x:c>
      <x:c r="B663" s="11" t="str">
        <x:v>一年</x:v>
      </x:c>
      <x:c r="C663" s="11" t="str">
        <x:v>tyk_viti_cn</x:v>
      </x:c>
      <x:c r="D663" s="11" t="str">
        <x:v>活动输入</x:v>
      </x:c>
      <x:c r="E663" s="11" t="n">
        <x:f>CHOOSE('假设'!$B$3,E664,E665,E666)</x:f>
        <x:v>0.21799999999999997</x:v>
      </x:c>
      <x:c r="F663" s="11" t="n">
        <x:f>CHOOSE('假设'!$B$3,F664,F665,F666)</x:f>
        <x:v>0.28</x:v>
      </x:c>
      <x:c r="G663" s="11" t="n">
        <x:f>CHOOSE('假设'!$B$3,G664,G665,G666)</x:f>
        <x:v>1</x:v>
      </x:c>
      <x:c r="H663" s="11" t="n">
        <x:f>CHOOSE('假设'!$B$3,H664,H665,H666)</x:f>
        <x:v>0.135</x:v>
      </x:c>
      <x:c r="I663" s="11" t="n">
        <x:f>CHOOSE('假设'!$B$3,I664,I665,I666)</x:f>
        <x:v>6.8</x:v>
      </x:c>
    </x:row>
    <x:row r="664" ht="23" customHeight="1">
      <x:c r="A664" s="11" t="str">
        <x:v>688382.SH</x:v>
      </x:c>
      <x:c r="B664" s="11" t="str">
        <x:v>一年</x:v>
      </x:c>
      <x:c r="C664" s="11" t="str">
        <x:v>tyk_viti_cn</x:v>
      </x:c>
      <x:c r="D664" s="11" t="str">
        <x:v>悲观</x:v>
      </x:c>
      <x:c r="E664" s="16" t="n">
        <x:v>0.040000000000000036</x:v>
      </x:c>
      <x:c r="F664" s="16" t="n">
        <x:v>0.18</x:v>
      </x:c>
      <x:c r="G664" s="16" t="n">
        <x:v>1</x:v>
      </x:c>
      <x:c r="H664" s="11" t="n">
        <x:f>H628</x:f>
        <x:v>0.18</x:v>
      </x:c>
      <x:c r="I664" s="11" t="n">
        <x:f>I628</x:f>
        <x:v>6.8</x:v>
      </x:c>
    </x:row>
    <x:row r="665" ht="23" customHeight="1">
      <x:c r="A665" s="11" t="str">
        <x:v>688382.SH</x:v>
      </x:c>
      <x:c r="B665" s="11" t="str">
        <x:v>一年</x:v>
      </x:c>
      <x:c r="C665" s="11" t="str">
        <x:v>tyk_viti_cn</x:v>
      </x:c>
      <x:c r="D665" s="11" t="str">
        <x:v>基准</x:v>
      </x:c>
      <x:c r="E665" s="16" t="n">
        <x:v>0.21799999999999997</x:v>
      </x:c>
      <x:c r="F665" s="16" t="n">
        <x:v>0.28</x:v>
      </x:c>
      <x:c r="G665" s="16" t="n">
        <x:v>1</x:v>
      </x:c>
      <x:c r="H665" s="11" t="n">
        <x:f>H629</x:f>
        <x:v>0.135</x:v>
      </x:c>
      <x:c r="I665" s="11" t="n">
        <x:f>I629</x:f>
        <x:v>6.8</x:v>
      </x:c>
    </x:row>
    <x:row r="666" ht="23" customHeight="1">
      <x:c r="A666" s="11" t="str">
        <x:v>688382.SH</x:v>
      </x:c>
      <x:c r="B666" s="11" t="str">
        <x:v>一年</x:v>
      </x:c>
      <x:c r="C666" s="11" t="str">
        <x:v>tyk_viti_cn</x:v>
      </x:c>
      <x:c r="D666" s="11" t="str">
        <x:v>乐观</x:v>
      </x:c>
      <x:c r="E666" s="16" t="n">
        <x:v>0.43900000000000006</x:v>
      </x:c>
      <x:c r="F666" s="16" t="n">
        <x:v>0.36</x:v>
      </x:c>
      <x:c r="G666" s="16" t="n">
        <x:v>1</x:v>
      </x:c>
      <x:c r="H666" s="11" t="n">
        <x:f>H630</x:f>
        <x:v>0.105</x:v>
      </x:c>
      <x:c r="I666" s="11" t="n">
        <x:f>I630</x:f>
        <x:v>6.8</x:v>
      </x:c>
    </x:row>
    <x:row r="667" ht="23" customHeight="1">
      <x:c r="A667" s="11" t="str">
        <x:v>688382.SH</x:v>
      </x:c>
      <x:c r="B667" s="11" t="str">
        <x:v>一年</x:v>
      </x:c>
      <x:c r="C667" s="11" t="str">
        <x:v>tyk_global</x:v>
      </x:c>
      <x:c r="D667" s="11" t="str">
        <x:v>活动输入</x:v>
      </x:c>
      <x:c r="E667" s="11" t="n">
        <x:f>CHOOSE('假设'!$B$3,E668,E669,E670)</x:f>
        <x:v>0.4019999999999999</x:v>
      </x:c>
      <x:c r="F667" s="11" t="n">
        <x:f>CHOOSE('假设'!$B$3,F668,F669,F670)</x:f>
        <x:v>0.08200000000000002</x:v>
      </x:c>
      <x:c r="G667" s="11" t="n">
        <x:f>CHOOSE('假设'!$B$3,G668,G669,G670)</x:f>
        <x:v>1</x:v>
      </x:c>
      <x:c r="H667" s="11" t="n">
        <x:f>CHOOSE('假设'!$B$3,H668,H669,H670)</x:f>
        <x:v>0.135</x:v>
      </x:c>
      <x:c r="I667" s="11" t="n">
        <x:f>CHOOSE('假设'!$B$3,I668,I669,I670)</x:f>
        <x:v>6.8</x:v>
      </x:c>
    </x:row>
    <x:row r="668" ht="23" customHeight="1">
      <x:c r="A668" s="11" t="str">
        <x:v>688382.SH</x:v>
      </x:c>
      <x:c r="B668" s="11" t="str">
        <x:v>一年</x:v>
      </x:c>
      <x:c r="C668" s="11" t="str">
        <x:v>tyk_global</x:v>
      </x:c>
      <x:c r="D668" s="11" t="str">
        <x:v>悲观</x:v>
      </x:c>
      <x:c r="E668" s="16" t="n">
        <x:v>0.12</x:v>
      </x:c>
      <x:c r="F668" s="16" t="n">
        <x:v>0.05600000000000001</x:v>
      </x:c>
      <x:c r="G668" s="16" t="n">
        <x:v>1</x:v>
      </x:c>
      <x:c r="H668" s="11" t="n">
        <x:f>H628</x:f>
        <x:v>0.18</x:v>
      </x:c>
      <x:c r="I668" s="11" t="n">
        <x:f>I628</x:f>
        <x:v>6.8</x:v>
      </x:c>
    </x:row>
    <x:row r="669" ht="23" customHeight="1">
      <x:c r="A669" s="11" t="str">
        <x:v>688382.SH</x:v>
      </x:c>
      <x:c r="B669" s="11" t="str">
        <x:v>一年</x:v>
      </x:c>
      <x:c r="C669" s="11" t="str">
        <x:v>tyk_global</x:v>
      </x:c>
      <x:c r="D669" s="11" t="str">
        <x:v>基准</x:v>
      </x:c>
      <x:c r="E669" s="16" t="n">
        <x:v>0.4019999999999999</x:v>
      </x:c>
      <x:c r="F669" s="16" t="n">
        <x:v>0.08200000000000002</x:v>
      </x:c>
      <x:c r="G669" s="16" t="n">
        <x:v>1</x:v>
      </x:c>
      <x:c r="H669" s="11" t="n">
        <x:f>H629</x:f>
        <x:v>0.135</x:v>
      </x:c>
      <x:c r="I669" s="11" t="n">
        <x:f>I629</x:f>
        <x:v>6.8</x:v>
      </x:c>
    </x:row>
    <x:row r="670" ht="23" customHeight="1">
      <x:c r="A670" s="11" t="str">
        <x:v>688382.SH</x:v>
      </x:c>
      <x:c r="B670" s="11" t="str">
        <x:v>一年</x:v>
      </x:c>
      <x:c r="C670" s="11" t="str">
        <x:v>tyk_global</x:v>
      </x:c>
      <x:c r="D670" s="11" t="str">
        <x:v>乐观</x:v>
      </x:c>
      <x:c r="E670" s="16" t="n">
        <x:v>0.6599999999999999</x:v>
      </x:c>
      <x:c r="F670" s="16" t="n">
        <x:v>0.1105</x:v>
      </x:c>
      <x:c r="G670" s="16" t="n">
        <x:v>1</x:v>
      </x:c>
      <x:c r="H670" s="11" t="n">
        <x:f>H630</x:f>
        <x:v>0.105</x:v>
      </x:c>
      <x:c r="I670" s="11" t="n">
        <x:f>I630</x:f>
        <x:v>6.8</x:v>
      </x:c>
    </x:row>
    <x:row r="671" ht="23" customHeight="1">
      <x:c r="A671" s="11" t="str">
        <x:v>688382.SH</x:v>
      </x:c>
      <x:c r="B671" s="11" t="str">
        <x:v>一年</x:v>
      </x:c>
      <x:c r="C671" s="11" t="str">
        <x:v>serd_cn</x:v>
      </x:c>
      <x:c r="D671" s="11" t="str">
        <x:v>活动输入</x:v>
      </x:c>
      <x:c r="E671" s="11" t="n">
        <x:f>CHOOSE('假设'!$B$3,E672,E673,E674)</x:f>
        <x:v>0.54</x:v>
      </x:c>
      <x:c r="F671" s="11" t="n">
        <x:f>CHOOSE('假设'!$B$3,F672,F673,F674)</x:f>
        <x:v>0.28</x:v>
      </x:c>
      <x:c r="G671" s="11" t="n">
        <x:f>CHOOSE('假设'!$B$3,G672,G673,G674)</x:f>
        <x:v>1</x:v>
      </x:c>
      <x:c r="H671" s="11" t="n">
        <x:f>CHOOSE('假设'!$B$3,H672,H673,H674)</x:f>
        <x:v>0.135</x:v>
      </x:c>
      <x:c r="I671" s="11" t="n">
        <x:f>CHOOSE('假设'!$B$3,I672,I673,I674)</x:f>
        <x:v>6.8</x:v>
      </x:c>
    </x:row>
    <x:row r="672" ht="23" customHeight="1">
      <x:c r="A672" s="11" t="str">
        <x:v>688382.SH</x:v>
      </x:c>
      <x:c r="B672" s="11" t="str">
        <x:v>一年</x:v>
      </x:c>
      <x:c r="C672" s="11" t="str">
        <x:v>serd_cn</x:v>
      </x:c>
      <x:c r="D672" s="11" t="str">
        <x:v>悲观</x:v>
      </x:c>
      <x:c r="E672" s="16" t="n">
        <x:v>0.25</x:v>
      </x:c>
      <x:c r="F672" s="16" t="n">
        <x:v>0.18</x:v>
      </x:c>
      <x:c r="G672" s="16" t="n">
        <x:v>1</x:v>
      </x:c>
      <x:c r="H672" s="11" t="n">
        <x:f>H628</x:f>
        <x:v>0.18</x:v>
      </x:c>
      <x:c r="I672" s="11" t="n">
        <x:f>I628</x:f>
        <x:v>6.8</x:v>
      </x:c>
    </x:row>
    <x:row r="673" ht="23" customHeight="1">
      <x:c r="A673" s="11" t="str">
        <x:v>688382.SH</x:v>
      </x:c>
      <x:c r="B673" s="11" t="str">
        <x:v>一年</x:v>
      </x:c>
      <x:c r="C673" s="11" t="str">
        <x:v>serd_cn</x:v>
      </x:c>
      <x:c r="D673" s="11" t="str">
        <x:v>基准</x:v>
      </x:c>
      <x:c r="E673" s="16" t="n">
        <x:v>0.54</x:v>
      </x:c>
      <x:c r="F673" s="16" t="n">
        <x:v>0.28</x:v>
      </x:c>
      <x:c r="G673" s="16" t="n">
        <x:v>1</x:v>
      </x:c>
      <x:c r="H673" s="11" t="n">
        <x:f>H629</x:f>
        <x:v>0.135</x:v>
      </x:c>
      <x:c r="I673" s="11" t="n">
        <x:f>I629</x:f>
        <x:v>6.8</x:v>
      </x:c>
    </x:row>
    <x:row r="674" ht="23" customHeight="1">
      <x:c r="A674" s="11" t="str">
        <x:v>688382.SH</x:v>
      </x:c>
      <x:c r="B674" s="11" t="str">
        <x:v>一年</x:v>
      </x:c>
      <x:c r="C674" s="11" t="str">
        <x:v>serd_cn</x:v>
      </x:c>
      <x:c r="D674" s="11" t="str">
        <x:v>乐观</x:v>
      </x:c>
      <x:c r="E674" s="16" t="n">
        <x:v>0.7875</x:v>
      </x:c>
      <x:c r="F674" s="16" t="n">
        <x:v>0.36</x:v>
      </x:c>
      <x:c r="G674" s="16" t="n">
        <x:v>1</x:v>
      </x:c>
      <x:c r="H674" s="11" t="n">
        <x:f>H630</x:f>
        <x:v>0.105</x:v>
      </x:c>
      <x:c r="I674" s="11" t="n">
        <x:f>I630</x:f>
        <x:v>6.8</x:v>
      </x:c>
    </x:row>
    <x:row r="675" ht="23" customHeight="1">
      <x:c r="A675" s="11" t="str">
        <x:v>688382.SH</x:v>
      </x:c>
      <x:c r="B675" s="11" t="str">
        <x:v>一年</x:v>
      </x:c>
      <x:c r="C675" s="11" t="str">
        <x:v>serd_adc</x:v>
      </x:c>
      <x:c r="D675" s="11" t="str">
        <x:v>活动输入</x:v>
      </x:c>
      <x:c r="E675" s="11" t="n">
        <x:f>CHOOSE('假设'!$B$3,E676,E677,E678)</x:f>
        <x:v>0.24559999999999993</x:v>
      </x:c>
      <x:c r="F675" s="11" t="n">
        <x:f>CHOOSE('假设'!$B$3,F676,F677,F678)</x:f>
        <x:v>0.2</x:v>
      </x:c>
      <x:c r="G675" s="11" t="n">
        <x:f>CHOOSE('假设'!$B$3,G676,G677,G678)</x:f>
        <x:v>1</x:v>
      </x:c>
      <x:c r="H675" s="11" t="n">
        <x:f>CHOOSE('假设'!$B$3,H676,H677,H678)</x:f>
        <x:v>0.135</x:v>
      </x:c>
      <x:c r="I675" s="11" t="n">
        <x:f>CHOOSE('假设'!$B$3,I676,I677,I678)</x:f>
        <x:v>6.8</x:v>
      </x:c>
    </x:row>
    <x:row r="676" ht="23" customHeight="1">
      <x:c r="A676" s="11" t="str">
        <x:v>688382.SH</x:v>
      </x:c>
      <x:c r="B676" s="11" t="str">
        <x:v>一年</x:v>
      </x:c>
      <x:c r="C676" s="11" t="str">
        <x:v>serd_adc</x:v>
      </x:c>
      <x:c r="D676" s="11" t="str">
        <x:v>悲观</x:v>
      </x:c>
      <x:c r="E676" s="16" t="n">
        <x:v>0.050000000000000044</x:v>
      </x:c>
      <x:c r="F676" s="16" t="n">
        <x:v>0.12</x:v>
      </x:c>
      <x:c r="G676" s="16" t="n">
        <x:v>1</x:v>
      </x:c>
      <x:c r="H676" s="11" t="n">
        <x:f>H628</x:f>
        <x:v>0.18</x:v>
      </x:c>
      <x:c r="I676" s="11" t="n">
        <x:f>I628</x:f>
        <x:v>6.8</x:v>
      </x:c>
    </x:row>
    <x:row r="677" ht="23" customHeight="1">
      <x:c r="A677" s="11" t="str">
        <x:v>688382.SH</x:v>
      </x:c>
      <x:c r="B677" s="11" t="str">
        <x:v>一年</x:v>
      </x:c>
      <x:c r="C677" s="11" t="str">
        <x:v>serd_adc</x:v>
      </x:c>
      <x:c r="D677" s="11" t="str">
        <x:v>基准</x:v>
      </x:c>
      <x:c r="E677" s="16" t="n">
        <x:v>0.24559999999999993</x:v>
      </x:c>
      <x:c r="F677" s="16" t="n">
        <x:v>0.2</x:v>
      </x:c>
      <x:c r="G677" s="16" t="n">
        <x:v>1</x:v>
      </x:c>
      <x:c r="H677" s="11" t="n">
        <x:f>H629</x:f>
        <x:v>0.135</x:v>
      </x:c>
      <x:c r="I677" s="11" t="n">
        <x:f>I629</x:f>
        <x:v>6.8</x:v>
      </x:c>
    </x:row>
    <x:row r="678" ht="23" customHeight="1">
      <x:c r="A678" s="11" t="str">
        <x:v>688382.SH</x:v>
      </x:c>
      <x:c r="B678" s="11" t="str">
        <x:v>一年</x:v>
      </x:c>
      <x:c r="C678" s="11" t="str">
        <x:v>serd_adc</x:v>
      </x:c>
      <x:c r="D678" s="11" t="str">
        <x:v>乐观</x:v>
      </x:c>
      <x:c r="E678" s="16" t="n">
        <x:v>0.49</x:v>
      </x:c>
      <x:c r="F678" s="16" t="n">
        <x:v>0.28</x:v>
      </x:c>
      <x:c r="G678" s="16" t="n">
        <x:v>1</x:v>
      </x:c>
      <x:c r="H678" s="11" t="n">
        <x:f>H630</x:f>
        <x:v>0.105</x:v>
      </x:c>
      <x:c r="I678" s="11" t="n">
        <x:f>I630</x:f>
        <x:v>6.8</x:v>
      </x:c>
    </x:row>
    <x:row r="679" ht="23" customHeight="1">
      <x:c r="A679" s="11" t="str">
        <x:v>688382.SH</x:v>
      </x:c>
      <x:c r="B679" s="11" t="str">
        <x:v>一年</x:v>
      </x:c>
      <x:c r="C679" s="11" t="str">
        <x:v>urat_cn</x:v>
      </x:c>
      <x:c r="D679" s="11" t="str">
        <x:v>活动输入</x:v>
      </x:c>
      <x:c r="E679" s="11" t="n">
        <x:f>CHOOSE('假设'!$B$3,E680,E681,E682)</x:f>
        <x:v>0.4296</x:v>
      </x:c>
      <x:c r="F679" s="11" t="n">
        <x:f>CHOOSE('假设'!$B$3,F680,F681,F682)</x:f>
        <x:v>0.28</x:v>
      </x:c>
      <x:c r="G679" s="11" t="n">
        <x:f>CHOOSE('假设'!$B$3,G680,G681,G682)</x:f>
        <x:v>1</x:v>
      </x:c>
      <x:c r="H679" s="11" t="n">
        <x:f>CHOOSE('假设'!$B$3,H680,H681,H682)</x:f>
        <x:v>0.135</x:v>
      </x:c>
      <x:c r="I679" s="11" t="n">
        <x:f>CHOOSE('假设'!$B$3,I680,I681,I682)</x:f>
        <x:v>6.8</x:v>
      </x:c>
    </x:row>
    <x:row r="680" ht="23" customHeight="1">
      <x:c r="A680" s="11" t="str">
        <x:v>688382.SH</x:v>
      </x:c>
      <x:c r="B680" s="11" t="str">
        <x:v>一年</x:v>
      </x:c>
      <x:c r="C680" s="11" t="str">
        <x:v>urat_cn</x:v>
      </x:c>
      <x:c r="D680" s="11" t="str">
        <x:v>悲观</x:v>
      </x:c>
      <x:c r="E680" s="16" t="n">
        <x:v>0.15000000000000002</x:v>
      </x:c>
      <x:c r="F680" s="16" t="n">
        <x:v>0.18</x:v>
      </x:c>
      <x:c r="G680" s="16" t="n">
        <x:v>1</x:v>
      </x:c>
      <x:c r="H680" s="11" t="n">
        <x:f>H628</x:f>
        <x:v>0.18</x:v>
      </x:c>
      <x:c r="I680" s="11" t="n">
        <x:f>I628</x:f>
        <x:v>6.8</x:v>
      </x:c>
    </x:row>
    <x:row r="681" ht="23" customHeight="1">
      <x:c r="A681" s="11" t="str">
        <x:v>688382.SH</x:v>
      </x:c>
      <x:c r="B681" s="11" t="str">
        <x:v>一年</x:v>
      </x:c>
      <x:c r="C681" s="11" t="str">
        <x:v>urat_cn</x:v>
      </x:c>
      <x:c r="D681" s="11" t="str">
        <x:v>基准</x:v>
      </x:c>
      <x:c r="E681" s="16" t="n">
        <x:v>0.4296</x:v>
      </x:c>
      <x:c r="F681" s="16" t="n">
        <x:v>0.28</x:v>
      </x:c>
      <x:c r="G681" s="16" t="n">
        <x:v>1</x:v>
      </x:c>
      <x:c r="H681" s="11" t="n">
        <x:f>H629</x:f>
        <x:v>0.135</x:v>
      </x:c>
      <x:c r="I681" s="11" t="n">
        <x:f>I629</x:f>
        <x:v>6.8</x:v>
      </x:c>
    </x:row>
    <x:row r="682" ht="23" customHeight="1">
      <x:c r="A682" s="11" t="str">
        <x:v>688382.SH</x:v>
      </x:c>
      <x:c r="B682" s="11" t="str">
        <x:v>一年</x:v>
      </x:c>
      <x:c r="C682" s="11" t="str">
        <x:v>urat_cn</x:v>
      </x:c>
      <x:c r="D682" s="11" t="str">
        <x:v>乐观</x:v>
      </x:c>
      <x:c r="E682" s="16" t="n">
        <x:v>0.677</x:v>
      </x:c>
      <x:c r="F682" s="16" t="n">
        <x:v>0.36</x:v>
      </x:c>
      <x:c r="G682" s="16" t="n">
        <x:v>1</x:v>
      </x:c>
      <x:c r="H682" s="11" t="n">
        <x:f>H630</x:f>
        <x:v>0.105</x:v>
      </x:c>
      <x:c r="I682" s="11" t="n">
        <x:f>I630</x:f>
        <x:v>6.8</x:v>
      </x:c>
    </x:row>
    <x:row r="683" ht="23" customHeight="1">
      <x:c r="A683" s="11" t="str">
        <x:v>688382.SH</x:v>
      </x:c>
      <x:c r="B683" s="11" t="str">
        <x:v>一年</x:v>
      </x:c>
      <x:c r="C683" s="11" t="str">
        <x:v>urat_global</x:v>
      </x:c>
      <x:c r="D683" s="11" t="str">
        <x:v>活动输入</x:v>
      </x:c>
      <x:c r="E683" s="11" t="n">
        <x:f>CHOOSE('假设'!$B$3,E684,E685,E686)</x:f>
        <x:v>0.30999999999999994</x:v>
      </x:c>
      <x:c r="F683" s="11" t="n">
        <x:f>CHOOSE('假设'!$B$3,F684,F685,F686)</x:f>
        <x:v>0.08200000000000002</x:v>
      </x:c>
      <x:c r="G683" s="11" t="n">
        <x:f>CHOOSE('假设'!$B$3,G684,G685,G686)</x:f>
        <x:v>1</x:v>
      </x:c>
      <x:c r="H683" s="11" t="n">
        <x:f>CHOOSE('假设'!$B$3,H684,H685,H686)</x:f>
        <x:v>0.135</x:v>
      </x:c>
      <x:c r="I683" s="11" t="n">
        <x:f>CHOOSE('假设'!$B$3,I684,I685,I686)</x:f>
        <x:v>6.8</x:v>
      </x:c>
    </x:row>
    <x:row r="684" ht="23" customHeight="1">
      <x:c r="A684" s="11" t="str">
        <x:v>688382.SH</x:v>
      </x:c>
      <x:c r="B684" s="11" t="str">
        <x:v>一年</x:v>
      </x:c>
      <x:c r="C684" s="11" t="str">
        <x:v>urat_global</x:v>
      </x:c>
      <x:c r="D684" s="11" t="str">
        <x:v>悲观</x:v>
      </x:c>
      <x:c r="E684" s="16" t="n">
        <x:v>0.07999999999999996</x:v>
      </x:c>
      <x:c r="F684" s="16" t="n">
        <x:v>0.05600000000000001</x:v>
      </x:c>
      <x:c r="G684" s="16" t="n">
        <x:v>1</x:v>
      </x:c>
      <x:c r="H684" s="11" t="n">
        <x:f>H628</x:f>
        <x:v>0.18</x:v>
      </x:c>
      <x:c r="I684" s="11" t="n">
        <x:f>I628</x:f>
        <x:v>6.8</x:v>
      </x:c>
    </x:row>
    <x:row r="685" ht="23" customHeight="1">
      <x:c r="A685" s="11" t="str">
        <x:v>688382.SH</x:v>
      </x:c>
      <x:c r="B685" s="11" t="str">
        <x:v>一年</x:v>
      </x:c>
      <x:c r="C685" s="11" t="str">
        <x:v>urat_global</x:v>
      </x:c>
      <x:c r="D685" s="11" t="str">
        <x:v>基准</x:v>
      </x:c>
      <x:c r="E685" s="16" t="n">
        <x:v>0.30999999999999994</x:v>
      </x:c>
      <x:c r="F685" s="16" t="n">
        <x:v>0.08200000000000002</x:v>
      </x:c>
      <x:c r="G685" s="16" t="n">
        <x:v>1</x:v>
      </x:c>
      <x:c r="H685" s="11" t="n">
        <x:f>H629</x:f>
        <x:v>0.135</x:v>
      </x:c>
      <x:c r="I685" s="11" t="n">
        <x:f>I629</x:f>
        <x:v>6.8</x:v>
      </x:c>
    </x:row>
    <x:row r="686" ht="23" customHeight="1">
      <x:c r="A686" s="11" t="str">
        <x:v>688382.SH</x:v>
      </x:c>
      <x:c r="B686" s="11" t="str">
        <x:v>一年</x:v>
      </x:c>
      <x:c r="C686" s="11" t="str">
        <x:v>urat_global</x:v>
      </x:c>
      <x:c r="D686" s="11" t="str">
        <x:v>乐观</x:v>
      </x:c>
      <x:c r="E686" s="16" t="n">
        <x:v>0.558</x:v>
      </x:c>
      <x:c r="F686" s="16" t="n">
        <x:v>0.1105</x:v>
      </x:c>
      <x:c r="G686" s="16" t="n">
        <x:v>1</x:v>
      </x:c>
      <x:c r="H686" s="11" t="n">
        <x:f>H630</x:f>
        <x:v>0.105</x:v>
      </x:c>
      <x:c r="I686" s="11" t="n">
        <x:f>I630</x:f>
        <x:v>6.8</x:v>
      </x:c>
    </x:row>
    <x:row r="687" ht="23" customHeight="1">
      <x:c r="A687" s="11" t="str">
        <x:v>688382.SH</x:v>
      </x:c>
      <x:c r="B687" s="11" t="str">
        <x:v>三年</x:v>
      </x:c>
      <x:c r="C687" s="11" t="str">
        <x:v>befu</x:v>
      </x:c>
      <x:c r="D687" s="11" t="str">
        <x:v>活动输入</x:v>
      </x:c>
      <x:c r="E687" s="11" t="n">
        <x:f>CHOOSE('假设'!$B$3,E688,E689,E690)</x:f>
        <x:v>1</x:v>
      </x:c>
      <x:c r="F687" s="11" t="n">
        <x:f>CHOOSE('假设'!$B$3,F688,F689,F690)</x:f>
        <x:v>0.0656</x:v>
      </x:c>
      <x:c r="G687" s="11" t="n">
        <x:f>CHOOSE('假设'!$B$3,G688,G689,G690)</x:f>
        <x:v>1</x:v>
      </x:c>
      <x:c r="H687" s="11" t="n">
        <x:f>CHOOSE('假设'!$B$3,H688,H689,H690)</x:f>
        <x:v>0.135</x:v>
      </x:c>
      <x:c r="I687" s="11" t="n">
        <x:f>CHOOSE('假设'!$B$3,I688,I689,I690)</x:f>
        <x:v>6.8</x:v>
      </x:c>
    </x:row>
    <x:row r="688" ht="23" customHeight="1">
      <x:c r="A688" s="11" t="str">
        <x:v>688382.SH</x:v>
      </x:c>
      <x:c r="B688" s="11" t="str">
        <x:v>三年</x:v>
      </x:c>
      <x:c r="C688" s="11" t="str">
        <x:v>befu</x:v>
      </x:c>
      <x:c r="D688" s="11" t="str">
        <x:v>悲观</x:v>
      </x:c>
      <x:c r="E688" s="16" t="n">
        <x:v>1</x:v>
      </x:c>
      <x:c r="F688" s="16" t="n">
        <x:v>0.04000000000000001</x:v>
      </x:c>
      <x:c r="G688" s="16" t="n">
        <x:v>1</x:v>
      </x:c>
      <x:c r="H688" s="16" t="n">
        <x:v>0.18</x:v>
      </x:c>
      <x:c r="I688" s="16" t="n">
        <x:v>6.8</x:v>
      </x:c>
    </x:row>
    <x:row r="689" ht="23" customHeight="1">
      <x:c r="A689" s="11" t="str">
        <x:v>688382.SH</x:v>
      </x:c>
      <x:c r="B689" s="11" t="str">
        <x:v>三年</x:v>
      </x:c>
      <x:c r="C689" s="11" t="str">
        <x:v>befu</x:v>
      </x:c>
      <x:c r="D689" s="11" t="str">
        <x:v>基准</x:v>
      </x:c>
      <x:c r="E689" s="16" t="n">
        <x:v>1</x:v>
      </x:c>
      <x:c r="F689" s="16" t="n">
        <x:v>0.0656</x:v>
      </x:c>
      <x:c r="G689" s="16" t="n">
        <x:v>1</x:v>
      </x:c>
      <x:c r="H689" s="16" t="n">
        <x:v>0.135</x:v>
      </x:c>
      <x:c r="I689" s="16" t="n">
        <x:v>6.8</x:v>
      </x:c>
    </x:row>
    <x:row r="690" ht="23" customHeight="1">
      <x:c r="A690" s="11" t="str">
        <x:v>688382.SH</x:v>
      </x:c>
      <x:c r="B690" s="11" t="str">
        <x:v>三年</x:v>
      </x:c>
      <x:c r="C690" s="11" t="str">
        <x:v>befu</x:v>
      </x:c>
      <x:c r="D690" s="11" t="str">
        <x:v>乐观</x:v>
      </x:c>
      <x:c r="E690" s="16" t="n">
        <x:v>1</x:v>
      </x:c>
      <x:c r="F690" s="16" t="n">
        <x:v>0.0935</x:v>
      </x:c>
      <x:c r="G690" s="16" t="n">
        <x:v>1</x:v>
      </x:c>
      <x:c r="H690" s="16" t="n">
        <x:v>0.105</x:v>
      </x:c>
      <x:c r="I690" s="16" t="n">
        <x:v>6.8</x:v>
      </x:c>
    </x:row>
    <x:row r="691" ht="23" customHeight="1">
      <x:c r="A691" s="11" t="str">
        <x:v>688382.SH</x:v>
      </x:c>
      <x:c r="B691" s="11" t="str">
        <x:v>三年</x:v>
      </x:c>
      <x:c r="C691" s="11" t="str">
        <x:v>g12c_later_cn</x:v>
      </x:c>
      <x:c r="D691" s="11" t="str">
        <x:v>活动输入</x:v>
      </x:c>
      <x:c r="E691" s="11" t="n">
        <x:f>CHOOSE('假设'!$B$3,E692,E693,E694)</x:f>
        <x:v>1</x:v>
      </x:c>
      <x:c r="F691" s="11" t="n">
        <x:f>CHOOSE('假设'!$B$3,F692,F693,F694)</x:f>
        <x:v>0.08200000000000002</x:v>
      </x:c>
      <x:c r="G691" s="11" t="n">
        <x:f>CHOOSE('假设'!$B$3,G692,G693,G694)</x:f>
        <x:v>1</x:v>
      </x:c>
      <x:c r="H691" s="11" t="n">
        <x:f>CHOOSE('假设'!$B$3,H692,H693,H694)</x:f>
        <x:v>0.135</x:v>
      </x:c>
      <x:c r="I691" s="11" t="n">
        <x:f>CHOOSE('假设'!$B$3,I692,I693,I694)</x:f>
        <x:v>6.8</x:v>
      </x:c>
    </x:row>
    <x:row r="692" ht="23" customHeight="1">
      <x:c r="A692" s="11" t="str">
        <x:v>688382.SH</x:v>
      </x:c>
      <x:c r="B692" s="11" t="str">
        <x:v>三年</x:v>
      </x:c>
      <x:c r="C692" s="11" t="str">
        <x:v>g12c_later_cn</x:v>
      </x:c>
      <x:c r="D692" s="11" t="str">
        <x:v>悲观</x:v>
      </x:c>
      <x:c r="E692" s="16" t="n">
        <x:v>1</x:v>
      </x:c>
      <x:c r="F692" s="16" t="n">
        <x:v>0.05600000000000001</x:v>
      </x:c>
      <x:c r="G692" s="16" t="n">
        <x:v>1</x:v>
      </x:c>
      <x:c r="H692" s="11" t="n">
        <x:f>H688</x:f>
        <x:v>0.18</x:v>
      </x:c>
      <x:c r="I692" s="11" t="n">
        <x:f>I688</x:f>
        <x:v>6.8</x:v>
      </x:c>
    </x:row>
    <x:row r="693" ht="23" customHeight="1">
      <x:c r="A693" s="11" t="str">
        <x:v>688382.SH</x:v>
      </x:c>
      <x:c r="B693" s="11" t="str">
        <x:v>三年</x:v>
      </x:c>
      <x:c r="C693" s="11" t="str">
        <x:v>g12c_later_cn</x:v>
      </x:c>
      <x:c r="D693" s="11" t="str">
        <x:v>基准</x:v>
      </x:c>
      <x:c r="E693" s="16" t="n">
        <x:v>1</x:v>
      </x:c>
      <x:c r="F693" s="16" t="n">
        <x:v>0.08200000000000002</x:v>
      </x:c>
      <x:c r="G693" s="16" t="n">
        <x:v>1</x:v>
      </x:c>
      <x:c r="H693" s="11" t="n">
        <x:f>H689</x:f>
        <x:v>0.135</x:v>
      </x:c>
      <x:c r="I693" s="11" t="n">
        <x:f>I689</x:f>
        <x:v>6.8</x:v>
      </x:c>
    </x:row>
    <x:row r="694" ht="23" customHeight="1">
      <x:c r="A694" s="11" t="str">
        <x:v>688382.SH</x:v>
      </x:c>
      <x:c r="B694" s="11" t="str">
        <x:v>三年</x:v>
      </x:c>
      <x:c r="C694" s="11" t="str">
        <x:v>g12c_later_cn</x:v>
      </x:c>
      <x:c r="D694" s="11" t="str">
        <x:v>乐观</x:v>
      </x:c>
      <x:c r="E694" s="16" t="n">
        <x:v>1</x:v>
      </x:c>
      <x:c r="F694" s="16" t="n">
        <x:v>0.1105</x:v>
      </x:c>
      <x:c r="G694" s="16" t="n">
        <x:v>1</x:v>
      </x:c>
      <x:c r="H694" s="11" t="n">
        <x:f>H690</x:f>
        <x:v>0.105</x:v>
      </x:c>
      <x:c r="I694" s="11" t="n">
        <x:f>I690</x:f>
        <x:v>6.8</x:v>
      </x:c>
    </x:row>
    <x:row r="695" ht="23" customHeight="1">
      <x:c r="A695" s="11" t="str">
        <x:v>688382.SH</x:v>
      </x:c>
      <x:c r="B695" s="11" t="str">
        <x:v>三年</x:v>
      </x:c>
      <x:c r="C695" s="11" t="str">
        <x:v>g12c_first_cn</x:v>
      </x:c>
      <x:c r="D695" s="11" t="str">
        <x:v>活动输入</x:v>
      </x:c>
      <x:c r="E695" s="11" t="n">
        <x:f>CHOOSE('假设'!$B$3,E696,E697,E698)</x:f>
        <x:v>0.6048</x:v>
      </x:c>
      <x:c r="F695" s="11" t="n">
        <x:f>CHOOSE('假设'!$B$3,F696,F697,F698)</x:f>
        <x:v>0.08200000000000002</x:v>
      </x:c>
      <x:c r="G695" s="11" t="n">
        <x:f>CHOOSE('假设'!$B$3,G696,G697,G698)</x:f>
        <x:v>1</x:v>
      </x:c>
      <x:c r="H695" s="11" t="n">
        <x:f>CHOOSE('假设'!$B$3,H696,H697,H698)</x:f>
        <x:v>0.135</x:v>
      </x:c>
      <x:c r="I695" s="11" t="n">
        <x:f>CHOOSE('假设'!$B$3,I696,I697,I698)</x:f>
        <x:v>6.8</x:v>
      </x:c>
    </x:row>
    <x:row r="696" ht="23" customHeight="1">
      <x:c r="A696" s="11" t="str">
        <x:v>688382.SH</x:v>
      </x:c>
      <x:c r="B696" s="11" t="str">
        <x:v>三年</x:v>
      </x:c>
      <x:c r="C696" s="11" t="str">
        <x:v>g12c_first_cn</x:v>
      </x:c>
      <x:c r="D696" s="11" t="str">
        <x:v>悲观</x:v>
      </x:c>
      <x:c r="E696" s="16" t="n">
        <x:v>0.19999999999999996</x:v>
      </x:c>
      <x:c r="F696" s="16" t="n">
        <x:v>0.05600000000000001</x:v>
      </x:c>
      <x:c r="G696" s="16" t="n">
        <x:v>1</x:v>
      </x:c>
      <x:c r="H696" s="11" t="n">
        <x:f>H688</x:f>
        <x:v>0.18</x:v>
      </x:c>
      <x:c r="I696" s="11" t="n">
        <x:f>I688</x:f>
        <x:v>6.8</x:v>
      </x:c>
    </x:row>
    <x:row r="697" ht="23" customHeight="1">
      <x:c r="A697" s="11" t="str">
        <x:v>688382.SH</x:v>
      </x:c>
      <x:c r="B697" s="11" t="str">
        <x:v>三年</x:v>
      </x:c>
      <x:c r="C697" s="11" t="str">
        <x:v>g12c_first_cn</x:v>
      </x:c>
      <x:c r="D697" s="11" t="str">
        <x:v>基准</x:v>
      </x:c>
      <x:c r="E697" s="16" t="n">
        <x:v>0.6048</x:v>
      </x:c>
      <x:c r="F697" s="16" t="n">
        <x:v>0.08200000000000002</x:v>
      </x:c>
      <x:c r="G697" s="16" t="n">
        <x:v>1</x:v>
      </x:c>
      <x:c r="H697" s="11" t="n">
        <x:f>H689</x:f>
        <x:v>0.135</x:v>
      </x:c>
      <x:c r="I697" s="11" t="n">
        <x:f>I689</x:f>
        <x:v>6.8</x:v>
      </x:c>
    </x:row>
    <x:row r="698" ht="23" customHeight="1">
      <x:c r="A698" s="11" t="str">
        <x:v>688382.SH</x:v>
      </x:c>
      <x:c r="B698" s="11" t="str">
        <x:v>三年</x:v>
      </x:c>
      <x:c r="C698" s="11" t="str">
        <x:v>g12c_first_cn</x:v>
      </x:c>
      <x:c r="D698" s="11" t="str">
        <x:v>乐观</x:v>
      </x:c>
      <x:c r="E698" s="16" t="n">
        <x:v>0.82</x:v>
      </x:c>
      <x:c r="F698" s="16" t="n">
        <x:v>0.1105</x:v>
      </x:c>
      <x:c r="G698" s="16" t="n">
        <x:v>1</x:v>
      </x:c>
      <x:c r="H698" s="11" t="n">
        <x:f>H690</x:f>
        <x:v>0.105</x:v>
      </x:c>
      <x:c r="I698" s="11" t="n">
        <x:f>I690</x:f>
        <x:v>6.8</x:v>
      </x:c>
    </x:row>
    <x:row r="699" ht="23" customHeight="1">
      <x:c r="A699" s="11" t="str">
        <x:v>688382.SH</x:v>
      </x:c>
      <x:c r="B699" s="11" t="str">
        <x:v>三年</x:v>
      </x:c>
      <x:c r="C699" s="11" t="str">
        <x:v>g12c_crc_cn</x:v>
      </x:c>
      <x:c r="D699" s="11" t="str">
        <x:v>活动输入</x:v>
      </x:c>
      <x:c r="E699" s="11" t="n">
        <x:f>CHOOSE('假设'!$B$3,E700,E701,E702)</x:f>
        <x:v>0.44520000000000004</x:v>
      </x:c>
      <x:c r="F699" s="11" t="n">
        <x:f>CHOOSE('假设'!$B$3,F700,F701,F702)</x:f>
        <x:v>0.08200000000000002</x:v>
      </x:c>
      <x:c r="G699" s="11" t="n">
        <x:f>CHOOSE('假设'!$B$3,G700,G701,G702)</x:f>
        <x:v>1</x:v>
      </x:c>
      <x:c r="H699" s="11" t="n">
        <x:f>CHOOSE('假设'!$B$3,H700,H701,H702)</x:f>
        <x:v>0.135</x:v>
      </x:c>
      <x:c r="I699" s="11" t="n">
        <x:f>CHOOSE('假设'!$B$3,I700,I701,I702)</x:f>
        <x:v>6.8</x:v>
      </x:c>
    </x:row>
    <x:row r="700" ht="23" customHeight="1">
      <x:c r="A700" s="11" t="str">
        <x:v>688382.SH</x:v>
      </x:c>
      <x:c r="B700" s="11" t="str">
        <x:v>三年</x:v>
      </x:c>
      <x:c r="C700" s="11" t="str">
        <x:v>g12c_crc_cn</x:v>
      </x:c>
      <x:c r="D700" s="11" t="str">
        <x:v>悲观</x:v>
      </x:c>
      <x:c r="E700" s="16" t="n">
        <x:v>0.09999999999999998</x:v>
      </x:c>
      <x:c r="F700" s="16" t="n">
        <x:v>0.05600000000000001</x:v>
      </x:c>
      <x:c r="G700" s="16" t="n">
        <x:v>1</x:v>
      </x:c>
      <x:c r="H700" s="11" t="n">
        <x:f>H688</x:f>
        <x:v>0.18</x:v>
      </x:c>
      <x:c r="I700" s="11" t="n">
        <x:f>I688</x:f>
        <x:v>6.8</x:v>
      </x:c>
    </x:row>
    <x:row r="701" ht="23" customHeight="1">
      <x:c r="A701" s="11" t="str">
        <x:v>688382.SH</x:v>
      </x:c>
      <x:c r="B701" s="11" t="str">
        <x:v>三年</x:v>
      </x:c>
      <x:c r="C701" s="11" t="str">
        <x:v>g12c_crc_cn</x:v>
      </x:c>
      <x:c r="D701" s="11" t="str">
        <x:v>基准</x:v>
      </x:c>
      <x:c r="E701" s="16" t="n">
        <x:v>0.44520000000000004</x:v>
      </x:c>
      <x:c r="F701" s="16" t="n">
        <x:v>0.08200000000000002</x:v>
      </x:c>
      <x:c r="G701" s="16" t="n">
        <x:v>1</x:v>
      </x:c>
      <x:c r="H701" s="11" t="n">
        <x:f>H689</x:f>
        <x:v>0.135</x:v>
      </x:c>
      <x:c r="I701" s="11" t="n">
        <x:f>I689</x:f>
        <x:v>6.8</x:v>
      </x:c>
    </x:row>
    <x:row r="702" ht="23" customHeight="1">
      <x:c r="A702" s="11" t="str">
        <x:v>688382.SH</x:v>
      </x:c>
      <x:c r="B702" s="11" t="str">
        <x:v>三年</x:v>
      </x:c>
      <x:c r="C702" s="11" t="str">
        <x:v>g12c_crc_cn</x:v>
      </x:c>
      <x:c r="D702" s="11" t="str">
        <x:v>乐观</x:v>
      </x:c>
      <x:c r="E702" s="16" t="n">
        <x:v>0.7</x:v>
      </x:c>
      <x:c r="F702" s="16" t="n">
        <x:v>0.1105</x:v>
      </x:c>
      <x:c r="G702" s="16" t="n">
        <x:v>1</x:v>
      </x:c>
      <x:c r="H702" s="11" t="n">
        <x:f>H690</x:f>
        <x:v>0.105</x:v>
      </x:c>
      <x:c r="I702" s="11" t="n">
        <x:f>I690</x:f>
        <x:v>6.8</x:v>
      </x:c>
    </x:row>
    <x:row r="703" ht="23" customHeight="1">
      <x:c r="A703" s="11" t="str">
        <x:v>688382.SH</x:v>
      </x:c>
      <x:c r="B703" s="11" t="str">
        <x:v>三年</x:v>
      </x:c>
      <x:c r="C703" s="11" t="str">
        <x:v>g12c_global</x:v>
      </x:c>
      <x:c r="D703" s="11" t="str">
        <x:v>活动输入</x:v>
      </x:c>
      <x:c r="E703" s="11" t="n">
        <x:f>CHOOSE('假设'!$B$3,E704,E705,E706)</x:f>
        <x:v>0.41479999999999995</x:v>
      </x:c>
      <x:c r="F703" s="11" t="n">
        <x:f>CHOOSE('假设'!$B$3,F704,F705,F706)</x:f>
        <x:v>0.08200000000000002</x:v>
      </x:c>
      <x:c r="G703" s="11" t="n">
        <x:f>CHOOSE('假设'!$B$3,G704,G705,G706)</x:f>
        <x:v>1</x:v>
      </x:c>
      <x:c r="H703" s="11" t="n">
        <x:f>CHOOSE('假设'!$B$3,H704,H705,H706)</x:f>
        <x:v>0.135</x:v>
      </x:c>
      <x:c r="I703" s="11" t="n">
        <x:f>CHOOSE('假设'!$B$3,I704,I705,I706)</x:f>
        <x:v>6.8</x:v>
      </x:c>
    </x:row>
    <x:row r="704" ht="23" customHeight="1">
      <x:c r="A704" s="11" t="str">
        <x:v>688382.SH</x:v>
      </x:c>
      <x:c r="B704" s="11" t="str">
        <x:v>三年</x:v>
      </x:c>
      <x:c r="C704" s="11" t="str">
        <x:v>g12c_global</x:v>
      </x:c>
      <x:c r="D704" s="11" t="str">
        <x:v>悲观</x:v>
      </x:c>
      <x:c r="E704" s="16" t="n">
        <x:v>0.07000000000000006</x:v>
      </x:c>
      <x:c r="F704" s="16" t="n">
        <x:v>0.05600000000000001</x:v>
      </x:c>
      <x:c r="G704" s="16" t="n">
        <x:v>1</x:v>
      </x:c>
      <x:c r="H704" s="11" t="n">
        <x:f>H688</x:f>
        <x:v>0.18</x:v>
      </x:c>
      <x:c r="I704" s="11" t="n">
        <x:f>I688</x:f>
        <x:v>6.8</x:v>
      </x:c>
    </x:row>
    <x:row r="705" ht="23" customHeight="1">
      <x:c r="A705" s="11" t="str">
        <x:v>688382.SH</x:v>
      </x:c>
      <x:c r="B705" s="11" t="str">
        <x:v>三年</x:v>
      </x:c>
      <x:c r="C705" s="11" t="str">
        <x:v>g12c_global</x:v>
      </x:c>
      <x:c r="D705" s="11" t="str">
        <x:v>基准</x:v>
      </x:c>
      <x:c r="E705" s="16" t="n">
        <x:v>0.41479999999999995</x:v>
      </x:c>
      <x:c r="F705" s="16" t="n">
        <x:v>0.08200000000000002</x:v>
      </x:c>
      <x:c r="G705" s="16" t="n">
        <x:v>1</x:v>
      </x:c>
      <x:c r="H705" s="11" t="n">
        <x:f>H689</x:f>
        <x:v>0.135</x:v>
      </x:c>
      <x:c r="I705" s="11" t="n">
        <x:f>I689</x:f>
        <x:v>6.8</x:v>
      </x:c>
    </x:row>
    <x:row r="706" ht="23" customHeight="1">
      <x:c r="A706" s="11" t="str">
        <x:v>688382.SH</x:v>
      </x:c>
      <x:c r="B706" s="11" t="str">
        <x:v>三年</x:v>
      </x:c>
      <x:c r="C706" s="11" t="str">
        <x:v>g12c_global</x:v>
      </x:c>
      <x:c r="D706" s="11" t="str">
        <x:v>乐观</x:v>
      </x:c>
      <x:c r="E706" s="16" t="n">
        <x:v>0.6699999999999999</x:v>
      </x:c>
      <x:c r="F706" s="16" t="n">
        <x:v>0.1105</x:v>
      </x:c>
      <x:c r="G706" s="16" t="n">
        <x:v>1</x:v>
      </x:c>
      <x:c r="H706" s="11" t="n">
        <x:f>H690</x:f>
        <x:v>0.105</x:v>
      </x:c>
      <x:c r="I706" s="11" t="n">
        <x:f>I690</x:f>
        <x:v>6.8</x:v>
      </x:c>
    </x:row>
    <x:row r="707" ht="23" customHeight="1">
      <x:c r="A707" s="11" t="str">
        <x:v>688382.SH</x:v>
      </x:c>
      <x:c r="B707" s="11" t="str">
        <x:v>三年</x:v>
      </x:c>
      <x:c r="C707" s="11" t="str">
        <x:v>tyk_ps_cn</x:v>
      </x:c>
      <x:c r="D707" s="11" t="str">
        <x:v>活动输入</x:v>
      </x:c>
      <x:c r="E707" s="11" t="n">
        <x:f>CHOOSE('假设'!$B$3,E708,E709,E710)</x:f>
        <x:v>0.7112</x:v>
      </x:c>
      <x:c r="F707" s="11" t="n">
        <x:f>CHOOSE('假设'!$B$3,F708,F709,F710)</x:f>
        <x:v>0.28</x:v>
      </x:c>
      <x:c r="G707" s="11" t="n">
        <x:f>CHOOSE('假设'!$B$3,G708,G709,G710)</x:f>
        <x:v>1</x:v>
      </x:c>
      <x:c r="H707" s="11" t="n">
        <x:f>CHOOSE('假设'!$B$3,H708,H709,H710)</x:f>
        <x:v>0.135</x:v>
      </x:c>
      <x:c r="I707" s="11" t="n">
        <x:f>CHOOSE('假设'!$B$3,I708,I709,I710)</x:f>
        <x:v>6.8</x:v>
      </x:c>
    </x:row>
    <x:row r="708" ht="23" customHeight="1">
      <x:c r="A708" s="11" t="str">
        <x:v>688382.SH</x:v>
      </x:c>
      <x:c r="B708" s="11" t="str">
        <x:v>三年</x:v>
      </x:c>
      <x:c r="C708" s="11" t="str">
        <x:v>tyk_ps_cn</x:v>
      </x:c>
      <x:c r="D708" s="11" t="str">
        <x:v>悲观</x:v>
      </x:c>
      <x:c r="E708" s="16" t="n">
        <x:v>0.35</x:v>
      </x:c>
      <x:c r="F708" s="16" t="n">
        <x:v>0.18</x:v>
      </x:c>
      <x:c r="G708" s="16" t="n">
        <x:v>1</x:v>
      </x:c>
      <x:c r="H708" s="11" t="n">
        <x:f>H688</x:f>
        <x:v>0.18</x:v>
      </x:c>
      <x:c r="I708" s="11" t="n">
        <x:f>I688</x:f>
        <x:v>6.8</x:v>
      </x:c>
    </x:row>
    <x:row r="709" ht="23" customHeight="1">
      <x:c r="A709" s="11" t="str">
        <x:v>688382.SH</x:v>
      </x:c>
      <x:c r="B709" s="11" t="str">
        <x:v>三年</x:v>
      </x:c>
      <x:c r="C709" s="11" t="str">
        <x:v>tyk_ps_cn</x:v>
      </x:c>
      <x:c r="D709" s="11" t="str">
        <x:v>基准</x:v>
      </x:c>
      <x:c r="E709" s="16" t="n">
        <x:v>0.7112</x:v>
      </x:c>
      <x:c r="F709" s="16" t="n">
        <x:v>0.28</x:v>
      </x:c>
      <x:c r="G709" s="16" t="n">
        <x:v>1</x:v>
      </x:c>
      <x:c r="H709" s="11" t="n">
        <x:f>H689</x:f>
        <x:v>0.135</x:v>
      </x:c>
      <x:c r="I709" s="11" t="n">
        <x:f>I689</x:f>
        <x:v>6.8</x:v>
      </x:c>
    </x:row>
    <x:row r="710" ht="23" customHeight="1">
      <x:c r="A710" s="11" t="str">
        <x:v>688382.SH</x:v>
      </x:c>
      <x:c r="B710" s="11" t="str">
        <x:v>三年</x:v>
      </x:c>
      <x:c r="C710" s="11" t="str">
        <x:v>tyk_ps_cn</x:v>
      </x:c>
      <x:c r="D710" s="11" t="str">
        <x:v>乐观</x:v>
      </x:c>
      <x:c r="E710" s="16" t="n">
        <x:v>0.892</x:v>
      </x:c>
      <x:c r="F710" s="16" t="n">
        <x:v>0.36</x:v>
      </x:c>
      <x:c r="G710" s="16" t="n">
        <x:v>1</x:v>
      </x:c>
      <x:c r="H710" s="11" t="n">
        <x:f>H690</x:f>
        <x:v>0.105</x:v>
      </x:c>
      <x:c r="I710" s="11" t="n">
        <x:f>I690</x:f>
        <x:v>6.8</x:v>
      </x:c>
    </x:row>
    <x:row r="711" ht="23" customHeight="1">
      <x:c r="A711" s="11" t="str">
        <x:v>688382.SH</x:v>
      </x:c>
      <x:c r="B711" s="11" t="str">
        <x:v>三年</x:v>
      </x:c>
      <x:c r="C711" s="11" t="str">
        <x:v>tyk_uc_cn</x:v>
      </x:c>
      <x:c r="D711" s="11" t="str">
        <x:v>活动输入</x:v>
      </x:c>
      <x:c r="E711" s="11" t="n">
        <x:f>CHOOSE('假设'!$B$3,E712,E713,E714)</x:f>
        <x:v>0.4528</x:v>
      </x:c>
      <x:c r="F711" s="11" t="n">
        <x:f>CHOOSE('假设'!$B$3,F712,F713,F714)</x:f>
        <x:v>0.28</x:v>
      </x:c>
      <x:c r="G711" s="11" t="n">
        <x:f>CHOOSE('假设'!$B$3,G712,G713,G714)</x:f>
        <x:v>1</x:v>
      </x:c>
      <x:c r="H711" s="11" t="n">
        <x:f>CHOOSE('假设'!$B$3,H712,H713,H714)</x:f>
        <x:v>0.135</x:v>
      </x:c>
      <x:c r="I711" s="11" t="n">
        <x:f>CHOOSE('假设'!$B$3,I712,I713,I714)</x:f>
        <x:v>6.8</x:v>
      </x:c>
    </x:row>
    <x:row r="712" ht="23" customHeight="1">
      <x:c r="A712" s="11" t="str">
        <x:v>688382.SH</x:v>
      </x:c>
      <x:c r="B712" s="11" t="str">
        <x:v>三年</x:v>
      </x:c>
      <x:c r="C712" s="11" t="str">
        <x:v>tyk_uc_cn</x:v>
      </x:c>
      <x:c r="D712" s="11" t="str">
        <x:v>悲观</x:v>
      </x:c>
      <x:c r="E712" s="16" t="n">
        <x:v>0.07999999999999996</x:v>
      </x:c>
      <x:c r="F712" s="16" t="n">
        <x:v>0.18</x:v>
      </x:c>
      <x:c r="G712" s="16" t="n">
        <x:v>1</x:v>
      </x:c>
      <x:c r="H712" s="11" t="n">
        <x:f>H688</x:f>
        <x:v>0.18</x:v>
      </x:c>
      <x:c r="I712" s="11" t="n">
        <x:f>I688</x:f>
        <x:v>6.8</x:v>
      </x:c>
    </x:row>
    <x:row r="713" ht="23" customHeight="1">
      <x:c r="A713" s="11" t="str">
        <x:v>688382.SH</x:v>
      </x:c>
      <x:c r="B713" s="11" t="str">
        <x:v>三年</x:v>
      </x:c>
      <x:c r="C713" s="11" t="str">
        <x:v>tyk_uc_cn</x:v>
      </x:c>
      <x:c r="D713" s="11" t="str">
        <x:v>基准</x:v>
      </x:c>
      <x:c r="E713" s="16" t="n">
        <x:v>0.4528</x:v>
      </x:c>
      <x:c r="F713" s="16" t="n">
        <x:v>0.28</x:v>
      </x:c>
      <x:c r="G713" s="16" t="n">
        <x:v>1</x:v>
      </x:c>
      <x:c r="H713" s="11" t="n">
        <x:f>H689</x:f>
        <x:v>0.135</x:v>
      </x:c>
      <x:c r="I713" s="11" t="n">
        <x:f>I689</x:f>
        <x:v>6.8</x:v>
      </x:c>
    </x:row>
    <x:row r="714" ht="23" customHeight="1">
      <x:c r="A714" s="11" t="str">
        <x:v>688382.SH</x:v>
      </x:c>
      <x:c r="B714" s="11" t="str">
        <x:v>三年</x:v>
      </x:c>
      <x:c r="C714" s="11" t="str">
        <x:v>tyk_uc_cn</x:v>
      </x:c>
      <x:c r="D714" s="11" t="str">
        <x:v>乐观</x:v>
      </x:c>
      <x:c r="E714" s="16" t="n">
        <x:v>0.7</x:v>
      </x:c>
      <x:c r="F714" s="16" t="n">
        <x:v>0.36</x:v>
      </x:c>
      <x:c r="G714" s="16" t="n">
        <x:v>1</x:v>
      </x:c>
      <x:c r="H714" s="11" t="n">
        <x:f>H690</x:f>
        <x:v>0.105</x:v>
      </x:c>
      <x:c r="I714" s="11" t="n">
        <x:f>I690</x:f>
        <x:v>6.8</x:v>
      </x:c>
    </x:row>
    <x:row r="715" ht="23" customHeight="1">
      <x:c r="A715" s="11" t="str">
        <x:v>688382.SH</x:v>
      </x:c>
      <x:c r="B715" s="11" t="str">
        <x:v>三年</x:v>
      </x:c>
      <x:c r="C715" s="11" t="str">
        <x:v>tyk_sle_cn</x:v>
      </x:c>
      <x:c r="D715" s="11" t="str">
        <x:v>活动输入</x:v>
      </x:c>
      <x:c r="E715" s="11" t="n">
        <x:f>CHOOSE('假设'!$B$3,E716,E717,E718)</x:f>
        <x:v>0.3767999999999999</x:v>
      </x:c>
      <x:c r="F715" s="11" t="n">
        <x:f>CHOOSE('假设'!$B$3,F716,F717,F718)</x:f>
        <x:v>0.28</x:v>
      </x:c>
      <x:c r="G715" s="11" t="n">
        <x:f>CHOOSE('假设'!$B$3,G716,G717,G718)</x:f>
        <x:v>1</x:v>
      </x:c>
      <x:c r="H715" s="11" t="n">
        <x:f>CHOOSE('假设'!$B$3,H716,H717,H718)</x:f>
        <x:v>0.135</x:v>
      </x:c>
      <x:c r="I715" s="11" t="n">
        <x:f>CHOOSE('假设'!$B$3,I716,I717,I718)</x:f>
        <x:v>6.8</x:v>
      </x:c>
    </x:row>
    <x:row r="716" ht="23" customHeight="1">
      <x:c r="A716" s="11" t="str">
        <x:v>688382.SH</x:v>
      </x:c>
      <x:c r="B716" s="11" t="str">
        <x:v>三年</x:v>
      </x:c>
      <x:c r="C716" s="11" t="str">
        <x:v>tyk_sle_cn</x:v>
      </x:c>
      <x:c r="D716" s="11" t="str">
        <x:v>悲观</x:v>
      </x:c>
      <x:c r="E716" s="16" t="n">
        <x:v>0.050000000000000044</x:v>
      </x:c>
      <x:c r="F716" s="16" t="n">
        <x:v>0.18</x:v>
      </x:c>
      <x:c r="G716" s="16" t="n">
        <x:v>1</x:v>
      </x:c>
      <x:c r="H716" s="11" t="n">
        <x:f>H688</x:f>
        <x:v>0.18</x:v>
      </x:c>
      <x:c r="I716" s="11" t="n">
        <x:f>I688</x:f>
        <x:v>6.8</x:v>
      </x:c>
    </x:row>
    <x:row r="717" ht="23" customHeight="1">
      <x:c r="A717" s="11" t="str">
        <x:v>688382.SH</x:v>
      </x:c>
      <x:c r="B717" s="11" t="str">
        <x:v>三年</x:v>
      </x:c>
      <x:c r="C717" s="11" t="str">
        <x:v>tyk_sle_cn</x:v>
      </x:c>
      <x:c r="D717" s="11" t="str">
        <x:v>基准</x:v>
      </x:c>
      <x:c r="E717" s="16" t="n">
        <x:v>0.3767999999999999</x:v>
      </x:c>
      <x:c r="F717" s="16" t="n">
        <x:v>0.28</x:v>
      </x:c>
      <x:c r="G717" s="16" t="n">
        <x:v>1</x:v>
      </x:c>
      <x:c r="H717" s="11" t="n">
        <x:f>H689</x:f>
        <x:v>0.135</x:v>
      </x:c>
      <x:c r="I717" s="11" t="n">
        <x:f>I689</x:f>
        <x:v>6.8</x:v>
      </x:c>
    </x:row>
    <x:row r="718" ht="23" customHeight="1">
      <x:c r="A718" s="11" t="str">
        <x:v>688382.SH</x:v>
      </x:c>
      <x:c r="B718" s="11" t="str">
        <x:v>三年</x:v>
      </x:c>
      <x:c r="C718" s="11" t="str">
        <x:v>tyk_sle_cn</x:v>
      </x:c>
      <x:c r="D718" s="11" t="str">
        <x:v>乐观</x:v>
      </x:c>
      <x:c r="E718" s="16" t="n">
        <x:v>0.628</x:v>
      </x:c>
      <x:c r="F718" s="16" t="n">
        <x:v>0.36</x:v>
      </x:c>
      <x:c r="G718" s="16" t="n">
        <x:v>1</x:v>
      </x:c>
      <x:c r="H718" s="11" t="n">
        <x:f>H690</x:f>
        <x:v>0.105</x:v>
      </x:c>
      <x:c r="I718" s="11" t="n">
        <x:f>I690</x:f>
        <x:v>6.8</x:v>
      </x:c>
    </x:row>
    <x:row r="719" ht="23" customHeight="1">
      <x:c r="A719" s="11" t="str">
        <x:v>688382.SH</x:v>
      </x:c>
      <x:c r="B719" s="11" t="str">
        <x:v>三年</x:v>
      </x:c>
      <x:c r="C719" s="11" t="str">
        <x:v>tyk_psa_cn</x:v>
      </x:c>
      <x:c r="D719" s="11" t="str">
        <x:v>活动输入</x:v>
      </x:c>
      <x:c r="E719" s="11" t="n">
        <x:f>CHOOSE('假设'!$B$3,E720,E721,E722)</x:f>
        <x:v>0.4680000000000001</x:v>
      </x:c>
      <x:c r="F719" s="11" t="n">
        <x:f>CHOOSE('假设'!$B$3,F720,F721,F722)</x:f>
        <x:v>0.28</x:v>
      </x:c>
      <x:c r="G719" s="11" t="n">
        <x:f>CHOOSE('假设'!$B$3,G720,G721,G722)</x:f>
        <x:v>1</x:v>
      </x:c>
      <x:c r="H719" s="11" t="n">
        <x:f>CHOOSE('假设'!$B$3,H720,H721,H722)</x:f>
        <x:v>0.135</x:v>
      </x:c>
      <x:c r="I719" s="11" t="n">
        <x:f>CHOOSE('假设'!$B$3,I720,I721,I722)</x:f>
        <x:v>6.8</x:v>
      </x:c>
    </x:row>
    <x:row r="720" ht="23" customHeight="1">
      <x:c r="A720" s="11" t="str">
        <x:v>688382.SH</x:v>
      </x:c>
      <x:c r="B720" s="11" t="str">
        <x:v>三年</x:v>
      </x:c>
      <x:c r="C720" s="11" t="str">
        <x:v>tyk_psa_cn</x:v>
      </x:c>
      <x:c r="D720" s="11" t="str">
        <x:v>悲观</x:v>
      </x:c>
      <x:c r="E720" s="16" t="n">
        <x:v>0.08999999999999997</x:v>
      </x:c>
      <x:c r="F720" s="16" t="n">
        <x:v>0.18</x:v>
      </x:c>
      <x:c r="G720" s="16" t="n">
        <x:v>1</x:v>
      </x:c>
      <x:c r="H720" s="11" t="n">
        <x:f>H688</x:f>
        <x:v>0.18</x:v>
      </x:c>
      <x:c r="I720" s="11" t="n">
        <x:f>I688</x:f>
        <x:v>6.8</x:v>
      </x:c>
    </x:row>
    <x:row r="721" ht="23" customHeight="1">
      <x:c r="A721" s="11" t="str">
        <x:v>688382.SH</x:v>
      </x:c>
      <x:c r="B721" s="11" t="str">
        <x:v>三年</x:v>
      </x:c>
      <x:c r="C721" s="11" t="str">
        <x:v>tyk_psa_cn</x:v>
      </x:c>
      <x:c r="D721" s="11" t="str">
        <x:v>基准</x:v>
      </x:c>
      <x:c r="E721" s="16" t="n">
        <x:v>0.4680000000000001</x:v>
      </x:c>
      <x:c r="F721" s="16" t="n">
        <x:v>0.28</x:v>
      </x:c>
      <x:c r="G721" s="16" t="n">
        <x:v>1</x:v>
      </x:c>
      <x:c r="H721" s="11" t="n">
        <x:f>H689</x:f>
        <x:v>0.135</x:v>
      </x:c>
      <x:c r="I721" s="11" t="n">
        <x:f>I689</x:f>
        <x:v>6.8</x:v>
      </x:c>
    </x:row>
    <x:row r="722" ht="23" customHeight="1">
      <x:c r="A722" s="11" t="str">
        <x:v>688382.SH</x:v>
      </x:c>
      <x:c r="B722" s="11" t="str">
        <x:v>三年</x:v>
      </x:c>
      <x:c r="C722" s="11" t="str">
        <x:v>tyk_psa_cn</x:v>
      </x:c>
      <x:c r="D722" s="11" t="str">
        <x:v>乐观</x:v>
      </x:c>
      <x:c r="E722" s="16" t="n">
        <x:v>0.73</x:v>
      </x:c>
      <x:c r="F722" s="16" t="n">
        <x:v>0.36</x:v>
      </x:c>
      <x:c r="G722" s="16" t="n">
        <x:v>1</x:v>
      </x:c>
      <x:c r="H722" s="11" t="n">
        <x:f>H690</x:f>
        <x:v>0.105</x:v>
      </x:c>
      <x:c r="I722" s="11" t="n">
        <x:f>I690</x:f>
        <x:v>6.8</x:v>
      </x:c>
    </x:row>
    <x:row r="723" ht="23" customHeight="1">
      <x:c r="A723" s="11" t="str">
        <x:v>688382.SH</x:v>
      </x:c>
      <x:c r="B723" s="11" t="str">
        <x:v>三年</x:v>
      </x:c>
      <x:c r="C723" s="11" t="str">
        <x:v>tyk_viti_cn</x:v>
      </x:c>
      <x:c r="D723" s="11" t="str">
        <x:v>活动输入</x:v>
      </x:c>
      <x:c r="E723" s="11" t="n">
        <x:f>CHOOSE('假设'!$B$3,E724,E725,E726)</x:f>
        <x:v>0.354</x:v>
      </x:c>
      <x:c r="F723" s="11" t="n">
        <x:f>CHOOSE('假设'!$B$3,F724,F725,F726)</x:f>
        <x:v>0.28</x:v>
      </x:c>
      <x:c r="G723" s="11" t="n">
        <x:f>CHOOSE('假设'!$B$3,G724,G725,G726)</x:f>
        <x:v>1</x:v>
      </x:c>
      <x:c r="H723" s="11" t="n">
        <x:f>CHOOSE('假设'!$B$3,H724,H725,H726)</x:f>
        <x:v>0.135</x:v>
      </x:c>
      <x:c r="I723" s="11" t="n">
        <x:f>CHOOSE('假设'!$B$3,I724,I725,I726)</x:f>
        <x:v>6.8</x:v>
      </x:c>
    </x:row>
    <x:row r="724" ht="23" customHeight="1">
      <x:c r="A724" s="11" t="str">
        <x:v>688382.SH</x:v>
      </x:c>
      <x:c r="B724" s="11" t="str">
        <x:v>三年</x:v>
      </x:c>
      <x:c r="C724" s="11" t="str">
        <x:v>tyk_viti_cn</x:v>
      </x:c>
      <x:c r="D724" s="11" t="str">
        <x:v>悲观</x:v>
      </x:c>
      <x:c r="E724" s="16" t="n">
        <x:v>0.040000000000000036</x:v>
      </x:c>
      <x:c r="F724" s="16" t="n">
        <x:v>0.18</x:v>
      </x:c>
      <x:c r="G724" s="16" t="n">
        <x:v>1</x:v>
      </x:c>
      <x:c r="H724" s="11" t="n">
        <x:f>H688</x:f>
        <x:v>0.18</x:v>
      </x:c>
      <x:c r="I724" s="11" t="n">
        <x:f>I688</x:f>
        <x:v>6.8</x:v>
      </x:c>
    </x:row>
    <x:row r="725" ht="23" customHeight="1">
      <x:c r="A725" s="11" t="str">
        <x:v>688382.SH</x:v>
      </x:c>
      <x:c r="B725" s="11" t="str">
        <x:v>三年</x:v>
      </x:c>
      <x:c r="C725" s="11" t="str">
        <x:v>tyk_viti_cn</x:v>
      </x:c>
      <x:c r="D725" s="11" t="str">
        <x:v>基准</x:v>
      </x:c>
      <x:c r="E725" s="16" t="n">
        <x:v>0.354</x:v>
      </x:c>
      <x:c r="F725" s="16" t="n">
        <x:v>0.28</x:v>
      </x:c>
      <x:c r="G725" s="16" t="n">
        <x:v>1</x:v>
      </x:c>
      <x:c r="H725" s="11" t="n">
        <x:f>H689</x:f>
        <x:v>0.135</x:v>
      </x:c>
      <x:c r="I725" s="11" t="n">
        <x:f>I689</x:f>
        <x:v>6.8</x:v>
      </x:c>
    </x:row>
    <x:row r="726" ht="23" customHeight="1">
      <x:c r="A726" s="11" t="str">
        <x:v>688382.SH</x:v>
      </x:c>
      <x:c r="B726" s="11" t="str">
        <x:v>三年</x:v>
      </x:c>
      <x:c r="C726" s="11" t="str">
        <x:v>tyk_viti_cn</x:v>
      </x:c>
      <x:c r="D726" s="11" t="str">
        <x:v>乐观</x:v>
      </x:c>
      <x:c r="E726" s="16" t="n">
        <x:v>0.6040000000000001</x:v>
      </x:c>
      <x:c r="F726" s="16" t="n">
        <x:v>0.36</x:v>
      </x:c>
      <x:c r="G726" s="16" t="n">
        <x:v>1</x:v>
      </x:c>
      <x:c r="H726" s="11" t="n">
        <x:f>H690</x:f>
        <x:v>0.105</x:v>
      </x:c>
      <x:c r="I726" s="11" t="n">
        <x:f>I690</x:f>
        <x:v>6.8</x:v>
      </x:c>
    </x:row>
    <x:row r="727" ht="23" customHeight="1">
      <x:c r="A727" s="11" t="str">
        <x:v>688382.SH</x:v>
      </x:c>
      <x:c r="B727" s="11" t="str">
        <x:v>三年</x:v>
      </x:c>
      <x:c r="C727" s="11" t="str">
        <x:v>tyk_global</x:v>
      </x:c>
      <x:c r="D727" s="11" t="str">
        <x:v>活动输入</x:v>
      </x:c>
      <x:c r="E727" s="11" t="n">
        <x:f>CHOOSE('假设'!$B$3,E728,E729,E730)</x:f>
        <x:v>0.506</x:v>
      </x:c>
      <x:c r="F727" s="11" t="n">
        <x:f>CHOOSE('假设'!$B$3,F728,F729,F730)</x:f>
        <x:v>0.08200000000000002</x:v>
      </x:c>
      <x:c r="G727" s="11" t="n">
        <x:f>CHOOSE('假设'!$B$3,G728,G729,G730)</x:f>
        <x:v>1</x:v>
      </x:c>
      <x:c r="H727" s="11" t="n">
        <x:f>CHOOSE('假设'!$B$3,H728,H729,H730)</x:f>
        <x:v>0.135</x:v>
      </x:c>
      <x:c r="I727" s="11" t="n">
        <x:f>CHOOSE('假设'!$B$3,I728,I729,I730)</x:f>
        <x:v>6.8</x:v>
      </x:c>
    </x:row>
    <x:row r="728" ht="23" customHeight="1">
      <x:c r="A728" s="11" t="str">
        <x:v>688382.SH</x:v>
      </x:c>
      <x:c r="B728" s="11" t="str">
        <x:v>三年</x:v>
      </x:c>
      <x:c r="C728" s="11" t="str">
        <x:v>tyk_global</x:v>
      </x:c>
      <x:c r="D728" s="11" t="str">
        <x:v>悲观</x:v>
      </x:c>
      <x:c r="E728" s="16" t="n">
        <x:v>0.12</x:v>
      </x:c>
      <x:c r="F728" s="16" t="n">
        <x:v>0.05600000000000001</x:v>
      </x:c>
      <x:c r="G728" s="16" t="n">
        <x:v>1</x:v>
      </x:c>
      <x:c r="H728" s="11" t="n">
        <x:f>H688</x:f>
        <x:v>0.18</x:v>
      </x:c>
      <x:c r="I728" s="11" t="n">
        <x:f>I688</x:f>
        <x:v>6.8</x:v>
      </x:c>
    </x:row>
    <x:row r="729" ht="23" customHeight="1">
      <x:c r="A729" s="11" t="str">
        <x:v>688382.SH</x:v>
      </x:c>
      <x:c r="B729" s="11" t="str">
        <x:v>三年</x:v>
      </x:c>
      <x:c r="C729" s="11" t="str">
        <x:v>tyk_global</x:v>
      </x:c>
      <x:c r="D729" s="11" t="str">
        <x:v>基准</x:v>
      </x:c>
      <x:c r="E729" s="16" t="n">
        <x:v>0.506</x:v>
      </x:c>
      <x:c r="F729" s="16" t="n">
        <x:v>0.08200000000000002</x:v>
      </x:c>
      <x:c r="G729" s="16" t="n">
        <x:v>1</x:v>
      </x:c>
      <x:c r="H729" s="11" t="n">
        <x:f>H689</x:f>
        <x:v>0.135</x:v>
      </x:c>
      <x:c r="I729" s="11" t="n">
        <x:f>I689</x:f>
        <x:v>6.8</x:v>
      </x:c>
    </x:row>
    <x:row r="730" ht="23" customHeight="1">
      <x:c r="A730" s="11" t="str">
        <x:v>688382.SH</x:v>
      </x:c>
      <x:c r="B730" s="11" t="str">
        <x:v>三年</x:v>
      </x:c>
      <x:c r="C730" s="11" t="str">
        <x:v>tyk_global</x:v>
      </x:c>
      <x:c r="D730" s="11" t="str">
        <x:v>乐观</x:v>
      </x:c>
      <x:c r="E730" s="16" t="n">
        <x:v>0.76</x:v>
      </x:c>
      <x:c r="F730" s="16" t="n">
        <x:v>0.1105</x:v>
      </x:c>
      <x:c r="G730" s="16" t="n">
        <x:v>1</x:v>
      </x:c>
      <x:c r="H730" s="11" t="n">
        <x:f>H690</x:f>
        <x:v>0.105</x:v>
      </x:c>
      <x:c r="I730" s="11" t="n">
        <x:f>I690</x:f>
        <x:v>6.8</x:v>
      </x:c>
    </x:row>
    <x:row r="731" ht="23" customHeight="1">
      <x:c r="A731" s="11" t="str">
        <x:v>688382.SH</x:v>
      </x:c>
      <x:c r="B731" s="11" t="str">
        <x:v>三年</x:v>
      </x:c>
      <x:c r="C731" s="11" t="str">
        <x:v>serd_cn</x:v>
      </x:c>
      <x:c r="D731" s="11" t="str">
        <x:v>活动输入</x:v>
      </x:c>
      <x:c r="E731" s="11" t="n">
        <x:f>CHOOSE('假设'!$B$3,E732,E733,E734)</x:f>
        <x:v>0.62</x:v>
      </x:c>
      <x:c r="F731" s="11" t="n">
        <x:f>CHOOSE('假设'!$B$3,F732,F733,F734)</x:f>
        <x:v>0.28</x:v>
      </x:c>
      <x:c r="G731" s="11" t="n">
        <x:f>CHOOSE('假设'!$B$3,G732,G733,G734)</x:f>
        <x:v>1</x:v>
      </x:c>
      <x:c r="H731" s="11" t="n">
        <x:f>CHOOSE('假设'!$B$3,H732,H733,H734)</x:f>
        <x:v>0.135</x:v>
      </x:c>
      <x:c r="I731" s="11" t="n">
        <x:f>CHOOSE('假设'!$B$3,I732,I733,I734)</x:f>
        <x:v>6.8</x:v>
      </x:c>
    </x:row>
    <x:row r="732" ht="23" customHeight="1">
      <x:c r="A732" s="11" t="str">
        <x:v>688382.SH</x:v>
      </x:c>
      <x:c r="B732" s="11" t="str">
        <x:v>三年</x:v>
      </x:c>
      <x:c r="C732" s="11" t="str">
        <x:v>serd_cn</x:v>
      </x:c>
      <x:c r="D732" s="11" t="str">
        <x:v>悲观</x:v>
      </x:c>
      <x:c r="E732" s="16" t="n">
        <x:v>0.25</x:v>
      </x:c>
      <x:c r="F732" s="16" t="n">
        <x:v>0.18</x:v>
      </x:c>
      <x:c r="G732" s="16" t="n">
        <x:v>1</x:v>
      </x:c>
      <x:c r="H732" s="11" t="n">
        <x:f>H688</x:f>
        <x:v>0.18</x:v>
      </x:c>
      <x:c r="I732" s="11" t="n">
        <x:f>I688</x:f>
        <x:v>6.8</x:v>
      </x:c>
    </x:row>
    <x:row r="733" ht="23" customHeight="1">
      <x:c r="A733" s="11" t="str">
        <x:v>688382.SH</x:v>
      </x:c>
      <x:c r="B733" s="11" t="str">
        <x:v>三年</x:v>
      </x:c>
      <x:c r="C733" s="11" t="str">
        <x:v>serd_cn</x:v>
      </x:c>
      <x:c r="D733" s="11" t="str">
        <x:v>基准</x:v>
      </x:c>
      <x:c r="E733" s="16" t="n">
        <x:v>0.62</x:v>
      </x:c>
      <x:c r="F733" s="16" t="n">
        <x:v>0.28</x:v>
      </x:c>
      <x:c r="G733" s="16" t="n">
        <x:v>1</x:v>
      </x:c>
      <x:c r="H733" s="11" t="n">
        <x:f>H689</x:f>
        <x:v>0.135</x:v>
      </x:c>
      <x:c r="I733" s="11" t="n">
        <x:f>I689</x:f>
        <x:v>6.8</x:v>
      </x:c>
    </x:row>
    <x:row r="734" ht="23" customHeight="1">
      <x:c r="A734" s="11" t="str">
        <x:v>688382.SH</x:v>
      </x:c>
      <x:c r="B734" s="11" t="str">
        <x:v>三年</x:v>
      </x:c>
      <x:c r="C734" s="11" t="str">
        <x:v>serd_cn</x:v>
      </x:c>
      <x:c r="D734" s="11" t="str">
        <x:v>乐观</x:v>
      </x:c>
      <x:c r="E734" s="16" t="n">
        <x:v>0.85</x:v>
      </x:c>
      <x:c r="F734" s="16" t="n">
        <x:v>0.36</x:v>
      </x:c>
      <x:c r="G734" s="16" t="n">
        <x:v>1</x:v>
      </x:c>
      <x:c r="H734" s="11" t="n">
        <x:f>H690</x:f>
        <x:v>0.105</x:v>
      </x:c>
      <x:c r="I734" s="11" t="n">
        <x:f>I690</x:f>
        <x:v>6.8</x:v>
      </x:c>
    </x:row>
    <x:row r="735" ht="23" customHeight="1">
      <x:c r="A735" s="11" t="str">
        <x:v>688382.SH</x:v>
      </x:c>
      <x:c r="B735" s="11" t="str">
        <x:v>三年</x:v>
      </x:c>
      <x:c r="C735" s="11" t="str">
        <x:v>serd_adc</x:v>
      </x:c>
      <x:c r="D735" s="11" t="str">
        <x:v>活动输入</x:v>
      </x:c>
      <x:c r="E735" s="11" t="n">
        <x:f>CHOOSE('假设'!$B$3,E736,E737,E738)</x:f>
        <x:v>0.3767999999999999</x:v>
      </x:c>
      <x:c r="F735" s="11" t="n">
        <x:f>CHOOSE('假设'!$B$3,F736,F737,F738)</x:f>
        <x:v>0.2</x:v>
      </x:c>
      <x:c r="G735" s="11" t="n">
        <x:f>CHOOSE('假设'!$B$3,G736,G737,G738)</x:f>
        <x:v>1</x:v>
      </x:c>
      <x:c r="H735" s="11" t="n">
        <x:f>CHOOSE('假设'!$B$3,H736,H737,H738)</x:f>
        <x:v>0.135</x:v>
      </x:c>
      <x:c r="I735" s="11" t="n">
        <x:f>CHOOSE('假设'!$B$3,I736,I737,I738)</x:f>
        <x:v>6.8</x:v>
      </x:c>
    </x:row>
    <x:row r="736" ht="23" customHeight="1">
      <x:c r="A736" s="11" t="str">
        <x:v>688382.SH</x:v>
      </x:c>
      <x:c r="B736" s="11" t="str">
        <x:v>三年</x:v>
      </x:c>
      <x:c r="C736" s="11" t="str">
        <x:v>serd_adc</x:v>
      </x:c>
      <x:c r="D736" s="11" t="str">
        <x:v>悲观</x:v>
      </x:c>
      <x:c r="E736" s="16" t="n">
        <x:v>0.050000000000000044</x:v>
      </x:c>
      <x:c r="F736" s="16" t="n">
        <x:v>0.12</x:v>
      </x:c>
      <x:c r="G736" s="16" t="n">
        <x:v>1</x:v>
      </x:c>
      <x:c r="H736" s="11" t="n">
        <x:f>H688</x:f>
        <x:v>0.18</x:v>
      </x:c>
      <x:c r="I736" s="11" t="n">
        <x:f>I688</x:f>
        <x:v>6.8</x:v>
      </x:c>
    </x:row>
    <x:row r="737" ht="23" customHeight="1">
      <x:c r="A737" s="11" t="str">
        <x:v>688382.SH</x:v>
      </x:c>
      <x:c r="B737" s="11" t="str">
        <x:v>三年</x:v>
      </x:c>
      <x:c r="C737" s="11" t="str">
        <x:v>serd_adc</x:v>
      </x:c>
      <x:c r="D737" s="11" t="str">
        <x:v>基准</x:v>
      </x:c>
      <x:c r="E737" s="16" t="n">
        <x:v>0.3767999999999999</x:v>
      </x:c>
      <x:c r="F737" s="16" t="n">
        <x:v>0.2</x:v>
      </x:c>
      <x:c r="G737" s="16" t="n">
        <x:v>1</x:v>
      </x:c>
      <x:c r="H737" s="11" t="n">
        <x:f>H689</x:f>
        <x:v>0.135</x:v>
      </x:c>
      <x:c r="I737" s="11" t="n">
        <x:f>I689</x:f>
        <x:v>6.8</x:v>
      </x:c>
    </x:row>
    <x:row r="738" ht="23" customHeight="1">
      <x:c r="A738" s="11" t="str">
        <x:v>688382.SH</x:v>
      </x:c>
      <x:c r="B738" s="11" t="str">
        <x:v>三年</x:v>
      </x:c>
      <x:c r="C738" s="11" t="str">
        <x:v>serd_adc</x:v>
      </x:c>
      <x:c r="D738" s="11" t="str">
        <x:v>乐观</x:v>
      </x:c>
      <x:c r="E738" s="16" t="n">
        <x:v>0.64</x:v>
      </x:c>
      <x:c r="F738" s="16" t="n">
        <x:v>0.28</x:v>
      </x:c>
      <x:c r="G738" s="16" t="n">
        <x:v>1</x:v>
      </x:c>
      <x:c r="H738" s="11" t="n">
        <x:f>H690</x:f>
        <x:v>0.105</x:v>
      </x:c>
      <x:c r="I738" s="11" t="n">
        <x:f>I690</x:f>
        <x:v>6.8</x:v>
      </x:c>
    </x:row>
    <x:row r="739" ht="23" customHeight="1">
      <x:c r="A739" s="11" t="str">
        <x:v>688382.SH</x:v>
      </x:c>
      <x:c r="B739" s="11" t="str">
        <x:v>三年</x:v>
      </x:c>
      <x:c r="C739" s="11" t="str">
        <x:v>urat_cn</x:v>
      </x:c>
      <x:c r="D739" s="11" t="str">
        <x:v>活动输入</x:v>
      </x:c>
      <x:c r="E739" s="11" t="n">
        <x:f>CHOOSE('假设'!$B$3,E740,E741,E742)</x:f>
        <x:v>0.5287999999999999</x:v>
      </x:c>
      <x:c r="F739" s="11" t="n">
        <x:f>CHOOSE('假设'!$B$3,F740,F741,F742)</x:f>
        <x:v>0.28</x:v>
      </x:c>
      <x:c r="G739" s="11" t="n">
        <x:f>CHOOSE('假设'!$B$3,G740,G741,G742)</x:f>
        <x:v>1</x:v>
      </x:c>
      <x:c r="H739" s="11" t="n">
        <x:f>CHOOSE('假设'!$B$3,H740,H741,H742)</x:f>
        <x:v>0.135</x:v>
      </x:c>
      <x:c r="I739" s="11" t="n">
        <x:f>CHOOSE('假设'!$B$3,I740,I741,I742)</x:f>
        <x:v>6.8</x:v>
      </x:c>
    </x:row>
    <x:row r="740" ht="23" customHeight="1">
      <x:c r="A740" s="11" t="str">
        <x:v>688382.SH</x:v>
      </x:c>
      <x:c r="B740" s="11" t="str">
        <x:v>三年</x:v>
      </x:c>
      <x:c r="C740" s="11" t="str">
        <x:v>urat_cn</x:v>
      </x:c>
      <x:c r="D740" s="11" t="str">
        <x:v>悲观</x:v>
      </x:c>
      <x:c r="E740" s="16" t="n">
        <x:v>0.15000000000000002</x:v>
      </x:c>
      <x:c r="F740" s="16" t="n">
        <x:v>0.18</x:v>
      </x:c>
      <x:c r="G740" s="16" t="n">
        <x:v>1</x:v>
      </x:c>
      <x:c r="H740" s="11" t="n">
        <x:f>H688</x:f>
        <x:v>0.18</x:v>
      </x:c>
      <x:c r="I740" s="11" t="n">
        <x:f>I688</x:f>
        <x:v>6.8</x:v>
      </x:c>
    </x:row>
    <x:row r="741" ht="23" customHeight="1">
      <x:c r="A741" s="11" t="str">
        <x:v>688382.SH</x:v>
      </x:c>
      <x:c r="B741" s="11" t="str">
        <x:v>三年</x:v>
      </x:c>
      <x:c r="C741" s="11" t="str">
        <x:v>urat_cn</x:v>
      </x:c>
      <x:c r="D741" s="11" t="str">
        <x:v>基准</x:v>
      </x:c>
      <x:c r="E741" s="16" t="n">
        <x:v>0.5287999999999999</x:v>
      </x:c>
      <x:c r="F741" s="16" t="n">
        <x:v>0.28</x:v>
      </x:c>
      <x:c r="G741" s="16" t="n">
        <x:v>1</x:v>
      </x:c>
      <x:c r="H741" s="11" t="n">
        <x:f>H689</x:f>
        <x:v>0.135</x:v>
      </x:c>
      <x:c r="I741" s="11" t="n">
        <x:f>I689</x:f>
        <x:v>6.8</x:v>
      </x:c>
    </x:row>
    <x:row r="742" ht="23" customHeight="1">
      <x:c r="A742" s="11" t="str">
        <x:v>688382.SH</x:v>
      </x:c>
      <x:c r="B742" s="11" t="str">
        <x:v>三年</x:v>
      </x:c>
      <x:c r="C742" s="11" t="str">
        <x:v>urat_cn</x:v>
      </x:c>
      <x:c r="D742" s="11" t="str">
        <x:v>乐观</x:v>
      </x:c>
      <x:c r="E742" s="16" t="n">
        <x:v>0.772</x:v>
      </x:c>
      <x:c r="F742" s="16" t="n">
        <x:v>0.36</x:v>
      </x:c>
      <x:c r="G742" s="16" t="n">
        <x:v>1</x:v>
      </x:c>
      <x:c r="H742" s="11" t="n">
        <x:f>H690</x:f>
        <x:v>0.105</x:v>
      </x:c>
      <x:c r="I742" s="11" t="n">
        <x:f>I690</x:f>
        <x:v>6.8</x:v>
      </x:c>
    </x:row>
    <x:row r="743" ht="23" customHeight="1">
      <x:c r="A743" s="11" t="str">
        <x:v>688382.SH</x:v>
      </x:c>
      <x:c r="B743" s="11" t="str">
        <x:v>三年</x:v>
      </x:c>
      <x:c r="C743" s="11" t="str">
        <x:v>urat_global</x:v>
      </x:c>
      <x:c r="D743" s="11" t="str">
        <x:v>活动输入</x:v>
      </x:c>
      <x:c r="E743" s="11" t="n">
        <x:f>CHOOSE('假设'!$B$3,E744,E745,E746)</x:f>
        <x:v>0.42999999999999994</x:v>
      </x:c>
      <x:c r="F743" s="11" t="n">
        <x:f>CHOOSE('假设'!$B$3,F744,F745,F746)</x:f>
        <x:v>0.08200000000000002</x:v>
      </x:c>
      <x:c r="G743" s="11" t="n">
        <x:f>CHOOSE('假设'!$B$3,G744,G745,G746)</x:f>
        <x:v>1</x:v>
      </x:c>
      <x:c r="H743" s="11" t="n">
        <x:f>CHOOSE('假设'!$B$3,H744,H745,H746)</x:f>
        <x:v>0.135</x:v>
      </x:c>
      <x:c r="I743" s="11" t="n">
        <x:f>CHOOSE('假设'!$B$3,I744,I745,I746)</x:f>
        <x:v>6.8</x:v>
      </x:c>
    </x:row>
    <x:row r="744" ht="23" customHeight="1">
      <x:c r="A744" s="11" t="str">
        <x:v>688382.SH</x:v>
      </x:c>
      <x:c r="B744" s="11" t="str">
        <x:v>三年</x:v>
      </x:c>
      <x:c r="C744" s="11" t="str">
        <x:v>urat_global</x:v>
      </x:c>
      <x:c r="D744" s="11" t="str">
        <x:v>悲观</x:v>
      </x:c>
      <x:c r="E744" s="16" t="n">
        <x:v>0.07999999999999996</x:v>
      </x:c>
      <x:c r="F744" s="16" t="n">
        <x:v>0.05600000000000001</x:v>
      </x:c>
      <x:c r="G744" s="16" t="n">
        <x:v>1</x:v>
      </x:c>
      <x:c r="H744" s="11" t="n">
        <x:f>H688</x:f>
        <x:v>0.18</x:v>
      </x:c>
      <x:c r="I744" s="11" t="n">
        <x:f>I688</x:f>
        <x:v>6.8</x:v>
      </x:c>
    </x:row>
    <x:row r="745" ht="23" customHeight="1">
      <x:c r="A745" s="11" t="str">
        <x:v>688382.SH</x:v>
      </x:c>
      <x:c r="B745" s="11" t="str">
        <x:v>三年</x:v>
      </x:c>
      <x:c r="C745" s="11" t="str">
        <x:v>urat_global</x:v>
      </x:c>
      <x:c r="D745" s="11" t="str">
        <x:v>基准</x:v>
      </x:c>
      <x:c r="E745" s="16" t="n">
        <x:v>0.42999999999999994</x:v>
      </x:c>
      <x:c r="F745" s="16" t="n">
        <x:v>0.08200000000000002</x:v>
      </x:c>
      <x:c r="G745" s="16" t="n">
        <x:v>1</x:v>
      </x:c>
      <x:c r="H745" s="11" t="n">
        <x:f>H689</x:f>
        <x:v>0.135</x:v>
      </x:c>
      <x:c r="I745" s="11" t="n">
        <x:f>I689</x:f>
        <x:v>6.8</x:v>
      </x:c>
    </x:row>
    <x:row r="746" ht="23" customHeight="1">
      <x:c r="A746" s="11" t="str">
        <x:v>688382.SH</x:v>
      </x:c>
      <x:c r="B746" s="11" t="str">
        <x:v>三年</x:v>
      </x:c>
      <x:c r="C746" s="11" t="str">
        <x:v>urat_global</x:v>
      </x:c>
      <x:c r="D746" s="11" t="str">
        <x:v>乐观</x:v>
      </x:c>
      <x:c r="E746" s="16" t="n">
        <x:v>0.688</x:v>
      </x:c>
      <x:c r="F746" s="16" t="n">
        <x:v>0.1105</x:v>
      </x:c>
      <x:c r="G746" s="16" t="n">
        <x:v>1</x:v>
      </x:c>
      <x:c r="H746" s="11" t="n">
        <x:f>H690</x:f>
        <x:v>0.105</x:v>
      </x:c>
      <x:c r="I746" s="11" t="n">
        <x:f>I690</x:f>
        <x:v>6.8</x:v>
      </x:c>
    </x:row>
    <x:row r="747" ht="23" customHeight="1">
      <x:c r="A747" s="11" t="str">
        <x:v>688382.SH</x:v>
      </x:c>
      <x:c r="B747" s="11" t="str">
        <x:v>五年</x:v>
      </x:c>
      <x:c r="C747" s="11" t="str">
        <x:v>befu</x:v>
      </x:c>
      <x:c r="D747" s="11" t="str">
        <x:v>活动输入</x:v>
      </x:c>
      <x:c r="E747" s="11" t="n">
        <x:f>CHOOSE('假设'!$B$3,E748,E749,E750)</x:f>
        <x:v>1</x:v>
      </x:c>
      <x:c r="F747" s="11" t="n">
        <x:f>CHOOSE('假设'!$B$3,F748,F749,F750)</x:f>
        <x:v>0.0656</x:v>
      </x:c>
      <x:c r="G747" s="11" t="n">
        <x:f>CHOOSE('假设'!$B$3,G748,G749,G750)</x:f>
        <x:v>1</x:v>
      </x:c>
      <x:c r="H747" s="11" t="n">
        <x:f>CHOOSE('假设'!$B$3,H748,H749,H750)</x:f>
        <x:v>0.135</x:v>
      </x:c>
      <x:c r="I747" s="11" t="n">
        <x:f>CHOOSE('假设'!$B$3,I748,I749,I750)</x:f>
        <x:v>6.8</x:v>
      </x:c>
    </x:row>
    <x:row r="748" ht="23" customHeight="1">
      <x:c r="A748" s="11" t="str">
        <x:v>688382.SH</x:v>
      </x:c>
      <x:c r="B748" s="11" t="str">
        <x:v>五年</x:v>
      </x:c>
      <x:c r="C748" s="11" t="str">
        <x:v>befu</x:v>
      </x:c>
      <x:c r="D748" s="11" t="str">
        <x:v>悲观</x:v>
      </x:c>
      <x:c r="E748" s="16" t="n">
        <x:v>1</x:v>
      </x:c>
      <x:c r="F748" s="16" t="n">
        <x:v>0.04000000000000001</x:v>
      </x:c>
      <x:c r="G748" s="16" t="n">
        <x:v>1</x:v>
      </x:c>
      <x:c r="H748" s="16" t="n">
        <x:v>0.18</x:v>
      </x:c>
      <x:c r="I748" s="16" t="n">
        <x:v>6.8</x:v>
      </x:c>
    </x:row>
    <x:row r="749" ht="23" customHeight="1">
      <x:c r="A749" s="11" t="str">
        <x:v>688382.SH</x:v>
      </x:c>
      <x:c r="B749" s="11" t="str">
        <x:v>五年</x:v>
      </x:c>
      <x:c r="C749" s="11" t="str">
        <x:v>befu</x:v>
      </x:c>
      <x:c r="D749" s="11" t="str">
        <x:v>基准</x:v>
      </x:c>
      <x:c r="E749" s="16" t="n">
        <x:v>1</x:v>
      </x:c>
      <x:c r="F749" s="16" t="n">
        <x:v>0.0656</x:v>
      </x:c>
      <x:c r="G749" s="16" t="n">
        <x:v>1</x:v>
      </x:c>
      <x:c r="H749" s="16" t="n">
        <x:v>0.135</x:v>
      </x:c>
      <x:c r="I749" s="16" t="n">
        <x:v>6.8</x:v>
      </x:c>
    </x:row>
    <x:row r="750" ht="23" customHeight="1">
      <x:c r="A750" s="11" t="str">
        <x:v>688382.SH</x:v>
      </x:c>
      <x:c r="B750" s="11" t="str">
        <x:v>五年</x:v>
      </x:c>
      <x:c r="C750" s="11" t="str">
        <x:v>befu</x:v>
      </x:c>
      <x:c r="D750" s="11" t="str">
        <x:v>乐观</x:v>
      </x:c>
      <x:c r="E750" s="16" t="n">
        <x:v>1</x:v>
      </x:c>
      <x:c r="F750" s="16" t="n">
        <x:v>0.0935</x:v>
      </x:c>
      <x:c r="G750" s="16" t="n">
        <x:v>1</x:v>
      </x:c>
      <x:c r="H750" s="16" t="n">
        <x:v>0.105</x:v>
      </x:c>
      <x:c r="I750" s="16" t="n">
        <x:v>6.8</x:v>
      </x:c>
    </x:row>
    <x:row r="751" ht="23" customHeight="1">
      <x:c r="A751" s="11" t="str">
        <x:v>688382.SH</x:v>
      </x:c>
      <x:c r="B751" s="11" t="str">
        <x:v>五年</x:v>
      </x:c>
      <x:c r="C751" s="11" t="str">
        <x:v>g12c_later_cn</x:v>
      </x:c>
      <x:c r="D751" s="11" t="str">
        <x:v>活动输入</x:v>
      </x:c>
      <x:c r="E751" s="11" t="n">
        <x:f>CHOOSE('假设'!$B$3,E752,E753,E754)</x:f>
        <x:v>1</x:v>
      </x:c>
      <x:c r="F751" s="11" t="n">
        <x:f>CHOOSE('假设'!$B$3,F752,F753,F754)</x:f>
        <x:v>0.08200000000000002</x:v>
      </x:c>
      <x:c r="G751" s="11" t="n">
        <x:f>CHOOSE('假设'!$B$3,G752,G753,G754)</x:f>
        <x:v>1</x:v>
      </x:c>
      <x:c r="H751" s="11" t="n">
        <x:f>CHOOSE('假设'!$B$3,H752,H753,H754)</x:f>
        <x:v>0.135</x:v>
      </x:c>
      <x:c r="I751" s="11" t="n">
        <x:f>CHOOSE('假设'!$B$3,I752,I753,I754)</x:f>
        <x:v>6.8</x:v>
      </x:c>
    </x:row>
    <x:row r="752" ht="23" customHeight="1">
      <x:c r="A752" s="11" t="str">
        <x:v>688382.SH</x:v>
      </x:c>
      <x:c r="B752" s="11" t="str">
        <x:v>五年</x:v>
      </x:c>
      <x:c r="C752" s="11" t="str">
        <x:v>g12c_later_cn</x:v>
      </x:c>
      <x:c r="D752" s="11" t="str">
        <x:v>悲观</x:v>
      </x:c>
      <x:c r="E752" s="16" t="n">
        <x:v>1</x:v>
      </x:c>
      <x:c r="F752" s="16" t="n">
        <x:v>0.05600000000000001</x:v>
      </x:c>
      <x:c r="G752" s="16" t="n">
        <x:v>1</x:v>
      </x:c>
      <x:c r="H752" s="11" t="n">
        <x:f>H748</x:f>
        <x:v>0.18</x:v>
      </x:c>
      <x:c r="I752" s="11" t="n">
        <x:f>I748</x:f>
        <x:v>6.8</x:v>
      </x:c>
    </x:row>
    <x:row r="753" ht="23" customHeight="1">
      <x:c r="A753" s="11" t="str">
        <x:v>688382.SH</x:v>
      </x:c>
      <x:c r="B753" s="11" t="str">
        <x:v>五年</x:v>
      </x:c>
      <x:c r="C753" s="11" t="str">
        <x:v>g12c_later_cn</x:v>
      </x:c>
      <x:c r="D753" s="11" t="str">
        <x:v>基准</x:v>
      </x:c>
      <x:c r="E753" s="16" t="n">
        <x:v>1</x:v>
      </x:c>
      <x:c r="F753" s="16" t="n">
        <x:v>0.08200000000000002</x:v>
      </x:c>
      <x:c r="G753" s="16" t="n">
        <x:v>1</x:v>
      </x:c>
      <x:c r="H753" s="11" t="n">
        <x:f>H749</x:f>
        <x:v>0.135</x:v>
      </x:c>
      <x:c r="I753" s="11" t="n">
        <x:f>I749</x:f>
        <x:v>6.8</x:v>
      </x:c>
    </x:row>
    <x:row r="754" ht="23" customHeight="1">
      <x:c r="A754" s="11" t="str">
        <x:v>688382.SH</x:v>
      </x:c>
      <x:c r="B754" s="11" t="str">
        <x:v>五年</x:v>
      </x:c>
      <x:c r="C754" s="11" t="str">
        <x:v>g12c_later_cn</x:v>
      </x:c>
      <x:c r="D754" s="11" t="str">
        <x:v>乐观</x:v>
      </x:c>
      <x:c r="E754" s="16" t="n">
        <x:v>1</x:v>
      </x:c>
      <x:c r="F754" s="16" t="n">
        <x:v>0.1105</x:v>
      </x:c>
      <x:c r="G754" s="16" t="n">
        <x:v>1</x:v>
      </x:c>
      <x:c r="H754" s="11" t="n">
        <x:f>H750</x:f>
        <x:v>0.105</x:v>
      </x:c>
      <x:c r="I754" s="11" t="n">
        <x:f>I750</x:f>
        <x:v>6.8</x:v>
      </x:c>
    </x:row>
    <x:row r="755" ht="23" customHeight="1">
      <x:c r="A755" s="11" t="str">
        <x:v>688382.SH</x:v>
      </x:c>
      <x:c r="B755" s="11" t="str">
        <x:v>五年</x:v>
      </x:c>
      <x:c r="C755" s="11" t="str">
        <x:v>g12c_first_cn</x:v>
      </x:c>
      <x:c r="D755" s="11" t="str">
        <x:v>活动输入</x:v>
      </x:c>
      <x:c r="E755" s="11" t="n">
        <x:f>CHOOSE('假设'!$B$3,E756,E757,E758)</x:f>
        <x:v>0.6619999999999999</x:v>
      </x:c>
      <x:c r="F755" s="11" t="n">
        <x:f>CHOOSE('假设'!$B$3,F756,F757,F758)</x:f>
        <x:v>0.08200000000000002</x:v>
      </x:c>
      <x:c r="G755" s="11" t="n">
        <x:f>CHOOSE('假设'!$B$3,G756,G757,G758)</x:f>
        <x:v>1</x:v>
      </x:c>
      <x:c r="H755" s="11" t="n">
        <x:f>CHOOSE('假设'!$B$3,H756,H757,H758)</x:f>
        <x:v>0.135</x:v>
      </x:c>
      <x:c r="I755" s="11" t="n">
        <x:f>CHOOSE('假设'!$B$3,I756,I757,I758)</x:f>
        <x:v>6.8</x:v>
      </x:c>
    </x:row>
    <x:row r="756" ht="23" customHeight="1">
      <x:c r="A756" s="11" t="str">
        <x:v>688382.SH</x:v>
      </x:c>
      <x:c r="B756" s="11" t="str">
        <x:v>五年</x:v>
      </x:c>
      <x:c r="C756" s="11" t="str">
        <x:v>g12c_first_cn</x:v>
      </x:c>
      <x:c r="D756" s="11" t="str">
        <x:v>悲观</x:v>
      </x:c>
      <x:c r="E756" s="16" t="n">
        <x:v>0.19999999999999996</x:v>
      </x:c>
      <x:c r="F756" s="16" t="n">
        <x:v>0.05600000000000001</x:v>
      </x:c>
      <x:c r="G756" s="16" t="n">
        <x:v>1</x:v>
      </x:c>
      <x:c r="H756" s="11" t="n">
        <x:f>H748</x:f>
        <x:v>0.18</x:v>
      </x:c>
      <x:c r="I756" s="11" t="n">
        <x:f>I748</x:f>
        <x:v>6.8</x:v>
      </x:c>
    </x:row>
    <x:row r="757" ht="23" customHeight="1">
      <x:c r="A757" s="11" t="str">
        <x:v>688382.SH</x:v>
      </x:c>
      <x:c r="B757" s="11" t="str">
        <x:v>五年</x:v>
      </x:c>
      <x:c r="C757" s="11" t="str">
        <x:v>g12c_first_cn</x:v>
      </x:c>
      <x:c r="D757" s="11" t="str">
        <x:v>基准</x:v>
      </x:c>
      <x:c r="E757" s="16" t="n">
        <x:v>0.6619999999999999</x:v>
      </x:c>
      <x:c r="F757" s="16" t="n">
        <x:v>0.08200000000000002</x:v>
      </x:c>
      <x:c r="G757" s="16" t="n">
        <x:v>1</x:v>
      </x:c>
      <x:c r="H757" s="11" t="n">
        <x:f>H749</x:f>
        <x:v>0.135</x:v>
      </x:c>
      <x:c r="I757" s="11" t="n">
        <x:f>I749</x:f>
        <x:v>6.8</x:v>
      </x:c>
    </x:row>
    <x:row r="758" ht="23" customHeight="1">
      <x:c r="A758" s="11" t="str">
        <x:v>688382.SH</x:v>
      </x:c>
      <x:c r="B758" s="11" t="str">
        <x:v>五年</x:v>
      </x:c>
      <x:c r="C758" s="11" t="str">
        <x:v>g12c_first_cn</x:v>
      </x:c>
      <x:c r="D758" s="11" t="str">
        <x:v>乐观</x:v>
      </x:c>
      <x:c r="E758" s="16" t="n">
        <x:v>0.865</x:v>
      </x:c>
      <x:c r="F758" s="16" t="n">
        <x:v>0.1105</x:v>
      </x:c>
      <x:c r="G758" s="16" t="n">
        <x:v>1</x:v>
      </x:c>
      <x:c r="H758" s="11" t="n">
        <x:f>H750</x:f>
        <x:v>0.105</x:v>
      </x:c>
      <x:c r="I758" s="11" t="n">
        <x:f>I750</x:f>
        <x:v>6.8</x:v>
      </x:c>
    </x:row>
    <x:row r="759" ht="23" customHeight="1">
      <x:c r="A759" s="11" t="str">
        <x:v>688382.SH</x:v>
      </x:c>
      <x:c r="B759" s="11" t="str">
        <x:v>五年</x:v>
      </x:c>
      <x:c r="C759" s="11" t="str">
        <x:v>g12c_crc_cn</x:v>
      </x:c>
      <x:c r="D759" s="11" t="str">
        <x:v>活动输入</x:v>
      </x:c>
      <x:c r="E759" s="11" t="n">
        <x:f>CHOOSE('假设'!$B$3,E760,E761,E762)</x:f>
        <x:v>0.5255000000000001</x:v>
      </x:c>
      <x:c r="F759" s="11" t="n">
        <x:f>CHOOSE('假设'!$B$3,F760,F761,F762)</x:f>
        <x:v>0.08200000000000002</x:v>
      </x:c>
      <x:c r="G759" s="11" t="n">
        <x:f>CHOOSE('假设'!$B$3,G760,G761,G762)</x:f>
        <x:v>1</x:v>
      </x:c>
      <x:c r="H759" s="11" t="n">
        <x:f>CHOOSE('假设'!$B$3,H760,H761,H762)</x:f>
        <x:v>0.135</x:v>
      </x:c>
      <x:c r="I759" s="11" t="n">
        <x:f>CHOOSE('假设'!$B$3,I760,I761,I762)</x:f>
        <x:v>6.8</x:v>
      </x:c>
    </x:row>
    <x:row r="760" ht="23" customHeight="1">
      <x:c r="A760" s="11" t="str">
        <x:v>688382.SH</x:v>
      </x:c>
      <x:c r="B760" s="11" t="str">
        <x:v>五年</x:v>
      </x:c>
      <x:c r="C760" s="11" t="str">
        <x:v>g12c_crc_cn</x:v>
      </x:c>
      <x:c r="D760" s="11" t="str">
        <x:v>悲观</x:v>
      </x:c>
      <x:c r="E760" s="16" t="n">
        <x:v>0.09999999999999998</x:v>
      </x:c>
      <x:c r="F760" s="16" t="n">
        <x:v>0.05600000000000001</x:v>
      </x:c>
      <x:c r="G760" s="16" t="n">
        <x:v>1</x:v>
      </x:c>
      <x:c r="H760" s="11" t="n">
        <x:f>H748</x:f>
        <x:v>0.18</x:v>
      </x:c>
      <x:c r="I760" s="11" t="n">
        <x:f>I748</x:f>
        <x:v>6.8</x:v>
      </x:c>
    </x:row>
    <x:row r="761" ht="23" customHeight="1">
      <x:c r="A761" s="11" t="str">
        <x:v>688382.SH</x:v>
      </x:c>
      <x:c r="B761" s="11" t="str">
        <x:v>五年</x:v>
      </x:c>
      <x:c r="C761" s="11" t="str">
        <x:v>g12c_crc_cn</x:v>
      </x:c>
      <x:c r="D761" s="11" t="str">
        <x:v>基准</x:v>
      </x:c>
      <x:c r="E761" s="16" t="n">
        <x:v>0.5255000000000001</x:v>
      </x:c>
      <x:c r="F761" s="16" t="n">
        <x:v>0.08200000000000002</x:v>
      </x:c>
      <x:c r="G761" s="16" t="n">
        <x:v>1</x:v>
      </x:c>
      <x:c r="H761" s="11" t="n">
        <x:f>H749</x:f>
        <x:v>0.135</x:v>
      </x:c>
      <x:c r="I761" s="11" t="n">
        <x:f>I749</x:f>
        <x:v>6.8</x:v>
      </x:c>
    </x:row>
    <x:row r="762" ht="23" customHeight="1">
      <x:c r="A762" s="11" t="str">
        <x:v>688382.SH</x:v>
      </x:c>
      <x:c r="B762" s="11" t="str">
        <x:v>五年</x:v>
      </x:c>
      <x:c r="C762" s="11" t="str">
        <x:v>g12c_crc_cn</x:v>
      </x:c>
      <x:c r="D762" s="11" t="str">
        <x:v>乐观</x:v>
      </x:c>
      <x:c r="E762" s="16" t="n">
        <x:v>0.775</x:v>
      </x:c>
      <x:c r="F762" s="16" t="n">
        <x:v>0.1105</x:v>
      </x:c>
      <x:c r="G762" s="16" t="n">
        <x:v>1</x:v>
      </x:c>
      <x:c r="H762" s="11" t="n">
        <x:f>H750</x:f>
        <x:v>0.105</x:v>
      </x:c>
      <x:c r="I762" s="11" t="n">
        <x:f>I750</x:f>
        <x:v>6.8</x:v>
      </x:c>
    </x:row>
    <x:row r="763" ht="23" customHeight="1">
      <x:c r="A763" s="11" t="str">
        <x:v>688382.SH</x:v>
      </x:c>
      <x:c r="B763" s="11" t="str">
        <x:v>五年</x:v>
      </x:c>
      <x:c r="C763" s="11" t="str">
        <x:v>g12c_global</x:v>
      </x:c>
      <x:c r="D763" s="11" t="str">
        <x:v>活动输入</x:v>
      </x:c>
      <x:c r="E763" s="11" t="n">
        <x:f>CHOOSE('假设'!$B$3,E764,E765,E766)</x:f>
        <x:v>0.49949999999999994</x:v>
      </x:c>
      <x:c r="F763" s="11" t="n">
        <x:f>CHOOSE('假设'!$B$3,F764,F765,F766)</x:f>
        <x:v>0.08200000000000002</x:v>
      </x:c>
      <x:c r="G763" s="11" t="n">
        <x:f>CHOOSE('假设'!$B$3,G764,G765,G766)</x:f>
        <x:v>1</x:v>
      </x:c>
      <x:c r="H763" s="11" t="n">
        <x:f>CHOOSE('假设'!$B$3,H764,H765,H766)</x:f>
        <x:v>0.135</x:v>
      </x:c>
      <x:c r="I763" s="11" t="n">
        <x:f>CHOOSE('假设'!$B$3,I764,I765,I766)</x:f>
        <x:v>6.8</x:v>
      </x:c>
    </x:row>
    <x:row r="764" ht="23" customHeight="1">
      <x:c r="A764" s="11" t="str">
        <x:v>688382.SH</x:v>
      </x:c>
      <x:c r="B764" s="11" t="str">
        <x:v>五年</x:v>
      </x:c>
      <x:c r="C764" s="11" t="str">
        <x:v>g12c_global</x:v>
      </x:c>
      <x:c r="D764" s="11" t="str">
        <x:v>悲观</x:v>
      </x:c>
      <x:c r="E764" s="16" t="n">
        <x:v>0.07000000000000006</x:v>
      </x:c>
      <x:c r="F764" s="16" t="n">
        <x:v>0.05600000000000001</x:v>
      </x:c>
      <x:c r="G764" s="16" t="n">
        <x:v>1</x:v>
      </x:c>
      <x:c r="H764" s="11" t="n">
        <x:f>H748</x:f>
        <x:v>0.18</x:v>
      </x:c>
      <x:c r="I764" s="11" t="n">
        <x:f>I748</x:f>
        <x:v>6.8</x:v>
      </x:c>
    </x:row>
    <x:row r="765" ht="23" customHeight="1">
      <x:c r="A765" s="11" t="str">
        <x:v>688382.SH</x:v>
      </x:c>
      <x:c r="B765" s="11" t="str">
        <x:v>五年</x:v>
      </x:c>
      <x:c r="C765" s="11" t="str">
        <x:v>g12c_global</x:v>
      </x:c>
      <x:c r="D765" s="11" t="str">
        <x:v>基准</x:v>
      </x:c>
      <x:c r="E765" s="16" t="n">
        <x:v>0.49949999999999994</x:v>
      </x:c>
      <x:c r="F765" s="16" t="n">
        <x:v>0.08200000000000002</x:v>
      </x:c>
      <x:c r="G765" s="16" t="n">
        <x:v>1</x:v>
      </x:c>
      <x:c r="H765" s="11" t="n">
        <x:f>H749</x:f>
        <x:v>0.135</x:v>
      </x:c>
      <x:c r="I765" s="11" t="n">
        <x:f>I749</x:f>
        <x:v>6.8</x:v>
      </x:c>
    </x:row>
    <x:row r="766" ht="23" customHeight="1">
      <x:c r="A766" s="11" t="str">
        <x:v>688382.SH</x:v>
      </x:c>
      <x:c r="B766" s="11" t="str">
        <x:v>五年</x:v>
      </x:c>
      <x:c r="C766" s="11" t="str">
        <x:v>g12c_global</x:v>
      </x:c>
      <x:c r="D766" s="11" t="str">
        <x:v>乐观</x:v>
      </x:c>
      <x:c r="E766" s="16" t="n">
        <x:v>0.7525</x:v>
      </x:c>
      <x:c r="F766" s="16" t="n">
        <x:v>0.1105</x:v>
      </x:c>
      <x:c r="G766" s="16" t="n">
        <x:v>1</x:v>
      </x:c>
      <x:c r="H766" s="11" t="n">
        <x:f>H750</x:f>
        <x:v>0.105</x:v>
      </x:c>
      <x:c r="I766" s="11" t="n">
        <x:f>I750</x:f>
        <x:v>6.8</x:v>
      </x:c>
    </x:row>
    <x:row r="767" ht="23" customHeight="1">
      <x:c r="A767" s="11" t="str">
        <x:v>688382.SH</x:v>
      </x:c>
      <x:c r="B767" s="11" t="str">
        <x:v>五年</x:v>
      </x:c>
      <x:c r="C767" s="11" t="str">
        <x:v>tyk_ps_cn</x:v>
      </x:c>
      <x:c r="D767" s="11" t="str">
        <x:v>活动输入</x:v>
      </x:c>
      <x:c r="E767" s="11" t="n">
        <x:f>CHOOSE('假设'!$B$3,E768,E769,E770)</x:f>
        <x:v>0.753</x:v>
      </x:c>
      <x:c r="F767" s="11" t="n">
        <x:f>CHOOSE('假设'!$B$3,F768,F769,F770)</x:f>
        <x:v>0.28</x:v>
      </x:c>
      <x:c r="G767" s="11" t="n">
        <x:f>CHOOSE('假设'!$B$3,G768,G769,G770)</x:f>
        <x:v>1</x:v>
      </x:c>
      <x:c r="H767" s="11" t="n">
        <x:f>CHOOSE('假设'!$B$3,H768,H769,H770)</x:f>
        <x:v>0.135</x:v>
      </x:c>
      <x:c r="I767" s="11" t="n">
        <x:f>CHOOSE('假设'!$B$3,I768,I769,I770)</x:f>
        <x:v>6.8</x:v>
      </x:c>
    </x:row>
    <x:row r="768" ht="23" customHeight="1">
      <x:c r="A768" s="11" t="str">
        <x:v>688382.SH</x:v>
      </x:c>
      <x:c r="B768" s="11" t="str">
        <x:v>五年</x:v>
      </x:c>
      <x:c r="C768" s="11" t="str">
        <x:v>tyk_ps_cn</x:v>
      </x:c>
      <x:c r="D768" s="11" t="str">
        <x:v>悲观</x:v>
      </x:c>
      <x:c r="E768" s="16" t="n">
        <x:v>0.35</x:v>
      </x:c>
      <x:c r="F768" s="16" t="n">
        <x:v>0.18</x:v>
      </x:c>
      <x:c r="G768" s="16" t="n">
        <x:v>1</x:v>
      </x:c>
      <x:c r="H768" s="11" t="n">
        <x:f>H748</x:f>
        <x:v>0.18</x:v>
      </x:c>
      <x:c r="I768" s="11" t="n">
        <x:f>I748</x:f>
        <x:v>6.8</x:v>
      </x:c>
    </x:row>
    <x:row r="769" ht="23" customHeight="1">
      <x:c r="A769" s="11" t="str">
        <x:v>688382.SH</x:v>
      </x:c>
      <x:c r="B769" s="11" t="str">
        <x:v>五年</x:v>
      </x:c>
      <x:c r="C769" s="11" t="str">
        <x:v>tyk_ps_cn</x:v>
      </x:c>
      <x:c r="D769" s="11" t="str">
        <x:v>基准</x:v>
      </x:c>
      <x:c r="E769" s="16" t="n">
        <x:v>0.753</x:v>
      </x:c>
      <x:c r="F769" s="16" t="n">
        <x:v>0.28</x:v>
      </x:c>
      <x:c r="G769" s="16" t="n">
        <x:v>1</x:v>
      </x:c>
      <x:c r="H769" s="11" t="n">
        <x:f>H749</x:f>
        <x:v>0.135</x:v>
      </x:c>
      <x:c r="I769" s="11" t="n">
        <x:f>I749</x:f>
        <x:v>6.8</x:v>
      </x:c>
    </x:row>
    <x:row r="770" ht="23" customHeight="1">
      <x:c r="A770" s="11" t="str">
        <x:v>688382.SH</x:v>
      </x:c>
      <x:c r="B770" s="11" t="str">
        <x:v>五年</x:v>
      </x:c>
      <x:c r="C770" s="11" t="str">
        <x:v>tyk_ps_cn</x:v>
      </x:c>
      <x:c r="D770" s="11" t="str">
        <x:v>乐观</x:v>
      </x:c>
      <x:c r="E770" s="16" t="n">
        <x:v>0.9189999999999999</x:v>
      </x:c>
      <x:c r="F770" s="16" t="n">
        <x:v>0.36</x:v>
      </x:c>
      <x:c r="G770" s="16" t="n">
        <x:v>1</x:v>
      </x:c>
      <x:c r="H770" s="11" t="n">
        <x:f>H750</x:f>
        <x:v>0.105</x:v>
      </x:c>
      <x:c r="I770" s="11" t="n">
        <x:f>I750</x:f>
        <x:v>6.8</x:v>
      </x:c>
    </x:row>
    <x:row r="771" ht="23" customHeight="1">
      <x:c r="A771" s="11" t="str">
        <x:v>688382.SH</x:v>
      </x:c>
      <x:c r="B771" s="11" t="str">
        <x:v>五年</x:v>
      </x:c>
      <x:c r="C771" s="11" t="str">
        <x:v>tyk_uc_cn</x:v>
      </x:c>
      <x:c r="D771" s="11" t="str">
        <x:v>活动输入</x:v>
      </x:c>
      <x:c r="E771" s="11" t="n">
        <x:f>CHOOSE('假设'!$B$3,E772,E773,E774)</x:f>
        <x:v>0.532</x:v>
      </x:c>
      <x:c r="F771" s="11" t="n">
        <x:f>CHOOSE('假设'!$B$3,F772,F773,F774)</x:f>
        <x:v>0.28</x:v>
      </x:c>
      <x:c r="G771" s="11" t="n">
        <x:f>CHOOSE('假设'!$B$3,G772,G773,G774)</x:f>
        <x:v>1</x:v>
      </x:c>
      <x:c r="H771" s="11" t="n">
        <x:f>CHOOSE('假设'!$B$3,H772,H773,H774)</x:f>
        <x:v>0.135</x:v>
      </x:c>
      <x:c r="I771" s="11" t="n">
        <x:f>CHOOSE('假设'!$B$3,I772,I773,I774)</x:f>
        <x:v>6.8</x:v>
      </x:c>
    </x:row>
    <x:row r="772" ht="23" customHeight="1">
      <x:c r="A772" s="11" t="str">
        <x:v>688382.SH</x:v>
      </x:c>
      <x:c r="B772" s="11" t="str">
        <x:v>五年</x:v>
      </x:c>
      <x:c r="C772" s="11" t="str">
        <x:v>tyk_uc_cn</x:v>
      </x:c>
      <x:c r="D772" s="11" t="str">
        <x:v>悲观</x:v>
      </x:c>
      <x:c r="E772" s="16" t="n">
        <x:v>0.07999999999999996</x:v>
      </x:c>
      <x:c r="F772" s="16" t="n">
        <x:v>0.18</x:v>
      </x:c>
      <x:c r="G772" s="16" t="n">
        <x:v>1</x:v>
      </x:c>
      <x:c r="H772" s="11" t="n">
        <x:f>H748</x:f>
        <x:v>0.18</x:v>
      </x:c>
      <x:c r="I772" s="11" t="n">
        <x:f>I748</x:f>
        <x:v>6.8</x:v>
      </x:c>
    </x:row>
    <x:row r="773" ht="23" customHeight="1">
      <x:c r="A773" s="11" t="str">
        <x:v>688382.SH</x:v>
      </x:c>
      <x:c r="B773" s="11" t="str">
        <x:v>五年</x:v>
      </x:c>
      <x:c r="C773" s="11" t="str">
        <x:v>tyk_uc_cn</x:v>
      </x:c>
      <x:c r="D773" s="11" t="str">
        <x:v>基准</x:v>
      </x:c>
      <x:c r="E773" s="16" t="n">
        <x:v>0.532</x:v>
      </x:c>
      <x:c r="F773" s="16" t="n">
        <x:v>0.28</x:v>
      </x:c>
      <x:c r="G773" s="16" t="n">
        <x:v>1</x:v>
      </x:c>
      <x:c r="H773" s="11" t="n">
        <x:f>H749</x:f>
        <x:v>0.135</x:v>
      </x:c>
      <x:c r="I773" s="11" t="n">
        <x:f>I749</x:f>
        <x:v>6.8</x:v>
      </x:c>
    </x:row>
    <x:row r="774" ht="23" customHeight="1">
      <x:c r="A774" s="11" t="str">
        <x:v>688382.SH</x:v>
      </x:c>
      <x:c r="B774" s="11" t="str">
        <x:v>五年</x:v>
      </x:c>
      <x:c r="C774" s="11" t="str">
        <x:v>tyk_uc_cn</x:v>
      </x:c>
      <x:c r="D774" s="11" t="str">
        <x:v>乐观</x:v>
      </x:c>
      <x:c r="E774" s="16" t="n">
        <x:v>0.775</x:v>
      </x:c>
      <x:c r="F774" s="16" t="n">
        <x:v>0.36</x:v>
      </x:c>
      <x:c r="G774" s="16" t="n">
        <x:v>1</x:v>
      </x:c>
      <x:c r="H774" s="11" t="n">
        <x:f>H750</x:f>
        <x:v>0.105</x:v>
      </x:c>
      <x:c r="I774" s="11" t="n">
        <x:f>I750</x:f>
        <x:v>6.8</x:v>
      </x:c>
    </x:row>
    <x:row r="775" ht="23" customHeight="1">
      <x:c r="A775" s="11" t="str">
        <x:v>688382.SH</x:v>
      </x:c>
      <x:c r="B775" s="11" t="str">
        <x:v>五年</x:v>
      </x:c>
      <x:c r="C775" s="11" t="str">
        <x:v>tyk_sle_cn</x:v>
      </x:c>
      <x:c r="D775" s="11" t="str">
        <x:v>活动输入</x:v>
      </x:c>
      <x:c r="E775" s="11" t="n">
        <x:f>CHOOSE('假设'!$B$3,E776,E777,E778)</x:f>
        <x:v>0.46699999999999997</x:v>
      </x:c>
      <x:c r="F775" s="11" t="n">
        <x:f>CHOOSE('假设'!$B$3,F776,F777,F778)</x:f>
        <x:v>0.28</x:v>
      </x:c>
      <x:c r="G775" s="11" t="n">
        <x:f>CHOOSE('假设'!$B$3,G776,G777,G778)</x:f>
        <x:v>1</x:v>
      </x:c>
      <x:c r="H775" s="11" t="n">
        <x:f>CHOOSE('假设'!$B$3,H776,H777,H778)</x:f>
        <x:v>0.135</x:v>
      </x:c>
      <x:c r="I775" s="11" t="n">
        <x:f>CHOOSE('假设'!$B$3,I776,I777,I778)</x:f>
        <x:v>6.8</x:v>
      </x:c>
    </x:row>
    <x:row r="776" ht="23" customHeight="1">
      <x:c r="A776" s="11" t="str">
        <x:v>688382.SH</x:v>
      </x:c>
      <x:c r="B776" s="11" t="str">
        <x:v>五年</x:v>
      </x:c>
      <x:c r="C776" s="11" t="str">
        <x:v>tyk_sle_cn</x:v>
      </x:c>
      <x:c r="D776" s="11" t="str">
        <x:v>悲观</x:v>
      </x:c>
      <x:c r="E776" s="16" t="n">
        <x:v>0.050000000000000044</x:v>
      </x:c>
      <x:c r="F776" s="16" t="n">
        <x:v>0.18</x:v>
      </x:c>
      <x:c r="G776" s="16" t="n">
        <x:v>1</x:v>
      </x:c>
      <x:c r="H776" s="11" t="n">
        <x:f>H748</x:f>
        <x:v>0.18</x:v>
      </x:c>
      <x:c r="I776" s="11" t="n">
        <x:f>I748</x:f>
        <x:v>6.8</x:v>
      </x:c>
    </x:row>
    <x:row r="777" ht="23" customHeight="1">
      <x:c r="A777" s="11" t="str">
        <x:v>688382.SH</x:v>
      </x:c>
      <x:c r="B777" s="11" t="str">
        <x:v>五年</x:v>
      </x:c>
      <x:c r="C777" s="11" t="str">
        <x:v>tyk_sle_cn</x:v>
      </x:c>
      <x:c r="D777" s="11" t="str">
        <x:v>基准</x:v>
      </x:c>
      <x:c r="E777" s="16" t="n">
        <x:v>0.46699999999999997</x:v>
      </x:c>
      <x:c r="F777" s="16" t="n">
        <x:v>0.28</x:v>
      </x:c>
      <x:c r="G777" s="16" t="n">
        <x:v>1</x:v>
      </x:c>
      <x:c r="H777" s="11" t="n">
        <x:f>H749</x:f>
        <x:v>0.135</x:v>
      </x:c>
      <x:c r="I777" s="11" t="n">
        <x:f>I749</x:f>
        <x:v>6.8</x:v>
      </x:c>
    </x:row>
    <x:row r="778" ht="23" customHeight="1">
      <x:c r="A778" s="11" t="str">
        <x:v>688382.SH</x:v>
      </x:c>
      <x:c r="B778" s="11" t="str">
        <x:v>五年</x:v>
      </x:c>
      <x:c r="C778" s="11" t="str">
        <x:v>tyk_sle_cn</x:v>
      </x:c>
      <x:c r="D778" s="11" t="str">
        <x:v>乐观</x:v>
      </x:c>
      <x:c r="E778" s="16" t="n">
        <x:v>0.721</x:v>
      </x:c>
      <x:c r="F778" s="16" t="n">
        <x:v>0.36</x:v>
      </x:c>
      <x:c r="G778" s="16" t="n">
        <x:v>1</x:v>
      </x:c>
      <x:c r="H778" s="11" t="n">
        <x:f>H750</x:f>
        <x:v>0.105</x:v>
      </x:c>
      <x:c r="I778" s="11" t="n">
        <x:f>I750</x:f>
        <x:v>6.8</x:v>
      </x:c>
    </x:row>
    <x:row r="779" ht="23" customHeight="1">
      <x:c r="A779" s="11" t="str">
        <x:v>688382.SH</x:v>
      </x:c>
      <x:c r="B779" s="11" t="str">
        <x:v>五年</x:v>
      </x:c>
      <x:c r="C779" s="11" t="str">
        <x:v>tyk_psa_cn</x:v>
      </x:c>
      <x:c r="D779" s="11" t="str">
        <x:v>活动输入</x:v>
      </x:c>
      <x:c r="E779" s="11" t="n">
        <x:f>CHOOSE('假设'!$B$3,E780,E781,E782)</x:f>
        <x:v>0.545</x:v>
      </x:c>
      <x:c r="F779" s="11" t="n">
        <x:f>CHOOSE('假设'!$B$3,F780,F781,F782)</x:f>
        <x:v>0.28</x:v>
      </x:c>
      <x:c r="G779" s="11" t="n">
        <x:f>CHOOSE('假设'!$B$3,G780,G781,G782)</x:f>
        <x:v>1</x:v>
      </x:c>
      <x:c r="H779" s="11" t="n">
        <x:f>CHOOSE('假设'!$B$3,H780,H781,H782)</x:f>
        <x:v>0.135</x:v>
      </x:c>
      <x:c r="I779" s="11" t="n">
        <x:f>CHOOSE('假设'!$B$3,I780,I781,I782)</x:f>
        <x:v>6.8</x:v>
      </x:c>
    </x:row>
    <x:row r="780" ht="23" customHeight="1">
      <x:c r="A780" s="11" t="str">
        <x:v>688382.SH</x:v>
      </x:c>
      <x:c r="B780" s="11" t="str">
        <x:v>五年</x:v>
      </x:c>
      <x:c r="C780" s="11" t="str">
        <x:v>tyk_psa_cn</x:v>
      </x:c>
      <x:c r="D780" s="11" t="str">
        <x:v>悲观</x:v>
      </x:c>
      <x:c r="E780" s="16" t="n">
        <x:v>0.08999999999999997</x:v>
      </x:c>
      <x:c r="F780" s="16" t="n">
        <x:v>0.18</x:v>
      </x:c>
      <x:c r="G780" s="16" t="n">
        <x:v>1</x:v>
      </x:c>
      <x:c r="H780" s="11" t="n">
        <x:f>H748</x:f>
        <x:v>0.18</x:v>
      </x:c>
      <x:c r="I780" s="11" t="n">
        <x:f>I748</x:f>
        <x:v>6.8</x:v>
      </x:c>
    </x:row>
    <x:row r="781" ht="23" customHeight="1">
      <x:c r="A781" s="11" t="str">
        <x:v>688382.SH</x:v>
      </x:c>
      <x:c r="B781" s="11" t="str">
        <x:v>五年</x:v>
      </x:c>
      <x:c r="C781" s="11" t="str">
        <x:v>tyk_psa_cn</x:v>
      </x:c>
      <x:c r="D781" s="11" t="str">
        <x:v>基准</x:v>
      </x:c>
      <x:c r="E781" s="16" t="n">
        <x:v>0.545</x:v>
      </x:c>
      <x:c r="F781" s="16" t="n">
        <x:v>0.28</x:v>
      </x:c>
      <x:c r="G781" s="16" t="n">
        <x:v>1</x:v>
      </x:c>
      <x:c r="H781" s="11" t="n">
        <x:f>H749</x:f>
        <x:v>0.135</x:v>
      </x:c>
      <x:c r="I781" s="11" t="n">
        <x:f>I749</x:f>
        <x:v>6.8</x:v>
      </x:c>
    </x:row>
    <x:row r="782" ht="23" customHeight="1">
      <x:c r="A782" s="11" t="str">
        <x:v>688382.SH</x:v>
      </x:c>
      <x:c r="B782" s="11" t="str">
        <x:v>五年</x:v>
      </x:c>
      <x:c r="C782" s="11" t="str">
        <x:v>tyk_psa_cn</x:v>
      </x:c>
      <x:c r="D782" s="11" t="str">
        <x:v>乐观</x:v>
      </x:c>
      <x:c r="E782" s="16" t="n">
        <x:v>0.7975</x:v>
      </x:c>
      <x:c r="F782" s="16" t="n">
        <x:v>0.36</x:v>
      </x:c>
      <x:c r="G782" s="16" t="n">
        <x:v>1</x:v>
      </x:c>
      <x:c r="H782" s="11" t="n">
        <x:f>H750</x:f>
        <x:v>0.105</x:v>
      </x:c>
      <x:c r="I782" s="11" t="n">
        <x:f>I750</x:f>
        <x:v>6.8</x:v>
      </x:c>
    </x:row>
    <x:row r="783" ht="23" customHeight="1">
      <x:c r="A783" s="11" t="str">
        <x:v>688382.SH</x:v>
      </x:c>
      <x:c r="B783" s="11" t="str">
        <x:v>五年</x:v>
      </x:c>
      <x:c r="C783" s="11" t="str">
        <x:v>tyk_viti_cn</x:v>
      </x:c>
      <x:c r="D783" s="11" t="str">
        <x:v>活动输入</x:v>
      </x:c>
      <x:c r="E783" s="11" t="n">
        <x:f>CHOOSE('假设'!$B$3,E784,E785,E786)</x:f>
        <x:v>0.4475</x:v>
      </x:c>
      <x:c r="F783" s="11" t="n">
        <x:f>CHOOSE('假设'!$B$3,F784,F785,F786)</x:f>
        <x:v>0.28</x:v>
      </x:c>
      <x:c r="G783" s="11" t="n">
        <x:f>CHOOSE('假设'!$B$3,G784,G785,G786)</x:f>
        <x:v>1</x:v>
      </x:c>
      <x:c r="H783" s="11" t="n">
        <x:f>CHOOSE('假设'!$B$3,H784,H785,H786)</x:f>
        <x:v>0.135</x:v>
      </x:c>
      <x:c r="I783" s="11" t="n">
        <x:f>CHOOSE('假设'!$B$3,I784,I785,I786)</x:f>
        <x:v>6.8</x:v>
      </x:c>
    </x:row>
    <x:row r="784" ht="23" customHeight="1">
      <x:c r="A784" s="11" t="str">
        <x:v>688382.SH</x:v>
      </x:c>
      <x:c r="B784" s="11" t="str">
        <x:v>五年</x:v>
      </x:c>
      <x:c r="C784" s="11" t="str">
        <x:v>tyk_viti_cn</x:v>
      </x:c>
      <x:c r="D784" s="11" t="str">
        <x:v>悲观</x:v>
      </x:c>
      <x:c r="E784" s="16" t="n">
        <x:v>0.040000000000000036</x:v>
      </x:c>
      <x:c r="F784" s="16" t="n">
        <x:v>0.18</x:v>
      </x:c>
      <x:c r="G784" s="16" t="n">
        <x:v>1</x:v>
      </x:c>
      <x:c r="H784" s="11" t="n">
        <x:f>H748</x:f>
        <x:v>0.18</x:v>
      </x:c>
      <x:c r="I784" s="11" t="n">
        <x:f>I748</x:f>
        <x:v>6.8</x:v>
      </x:c>
    </x:row>
    <x:row r="785" ht="23" customHeight="1">
      <x:c r="A785" s="11" t="str">
        <x:v>688382.SH</x:v>
      </x:c>
      <x:c r="B785" s="11" t="str">
        <x:v>五年</x:v>
      </x:c>
      <x:c r="C785" s="11" t="str">
        <x:v>tyk_viti_cn</x:v>
      </x:c>
      <x:c r="D785" s="11" t="str">
        <x:v>基准</x:v>
      </x:c>
      <x:c r="E785" s="16" t="n">
        <x:v>0.4475</x:v>
      </x:c>
      <x:c r="F785" s="16" t="n">
        <x:v>0.28</x:v>
      </x:c>
      <x:c r="G785" s="16" t="n">
        <x:v>1</x:v>
      </x:c>
      <x:c r="H785" s="11" t="n">
        <x:f>H749</x:f>
        <x:v>0.135</x:v>
      </x:c>
      <x:c r="I785" s="11" t="n">
        <x:f>I749</x:f>
        <x:v>6.8</x:v>
      </x:c>
    </x:row>
    <x:row r="786" ht="23" customHeight="1">
      <x:c r="A786" s="11" t="str">
        <x:v>688382.SH</x:v>
      </x:c>
      <x:c r="B786" s="11" t="str">
        <x:v>五年</x:v>
      </x:c>
      <x:c r="C786" s="11" t="str">
        <x:v>tyk_viti_cn</x:v>
      </x:c>
      <x:c r="D786" s="11" t="str">
        <x:v>乐观</x:v>
      </x:c>
      <x:c r="E786" s="16" t="n">
        <x:v>0.7030000000000001</x:v>
      </x:c>
      <x:c r="F786" s="16" t="n">
        <x:v>0.36</x:v>
      </x:c>
      <x:c r="G786" s="16" t="n">
        <x:v>1</x:v>
      </x:c>
      <x:c r="H786" s="11" t="n">
        <x:f>H750</x:f>
        <x:v>0.105</x:v>
      </x:c>
      <x:c r="I786" s="11" t="n">
        <x:f>I750</x:f>
        <x:v>6.8</x:v>
      </x:c>
    </x:row>
    <x:row r="787" ht="23" customHeight="1">
      <x:c r="A787" s="11" t="str">
        <x:v>688382.SH</x:v>
      </x:c>
      <x:c r="B787" s="11" t="str">
        <x:v>五年</x:v>
      </x:c>
      <x:c r="C787" s="11" t="str">
        <x:v>tyk_global</x:v>
      </x:c>
      <x:c r="D787" s="11" t="str">
        <x:v>活动输入</x:v>
      </x:c>
      <x:c r="E787" s="11" t="n">
        <x:f>CHOOSE('假设'!$B$3,E788,E789,E790)</x:f>
        <x:v>0.5774999999999999</x:v>
      </x:c>
      <x:c r="F787" s="11" t="n">
        <x:f>CHOOSE('假设'!$B$3,F788,F789,F790)</x:f>
        <x:v>0.08200000000000002</x:v>
      </x:c>
      <x:c r="G787" s="11" t="n">
        <x:f>CHOOSE('假设'!$B$3,G788,G789,G790)</x:f>
        <x:v>1</x:v>
      </x:c>
      <x:c r="H787" s="11" t="n">
        <x:f>CHOOSE('假设'!$B$3,H788,H789,H790)</x:f>
        <x:v>0.135</x:v>
      </x:c>
      <x:c r="I787" s="11" t="n">
        <x:f>CHOOSE('假设'!$B$3,I788,I789,I790)</x:f>
        <x:v>6.8</x:v>
      </x:c>
    </x:row>
    <x:row r="788" ht="23" customHeight="1">
      <x:c r="A788" s="11" t="str">
        <x:v>688382.SH</x:v>
      </x:c>
      <x:c r="B788" s="11" t="str">
        <x:v>五年</x:v>
      </x:c>
      <x:c r="C788" s="11" t="str">
        <x:v>tyk_global</x:v>
      </x:c>
      <x:c r="D788" s="11" t="str">
        <x:v>悲观</x:v>
      </x:c>
      <x:c r="E788" s="16" t="n">
        <x:v>0.12</x:v>
      </x:c>
      <x:c r="F788" s="16" t="n">
        <x:v>0.05600000000000001</x:v>
      </x:c>
      <x:c r="G788" s="16" t="n">
        <x:v>1</x:v>
      </x:c>
      <x:c r="H788" s="11" t="n">
        <x:f>H748</x:f>
        <x:v>0.18</x:v>
      </x:c>
      <x:c r="I788" s="11" t="n">
        <x:f>I748</x:f>
        <x:v>6.8</x:v>
      </x:c>
    </x:row>
    <x:row r="789" ht="23" customHeight="1">
      <x:c r="A789" s="11" t="str">
        <x:v>688382.SH</x:v>
      </x:c>
      <x:c r="B789" s="11" t="str">
        <x:v>五年</x:v>
      </x:c>
      <x:c r="C789" s="11" t="str">
        <x:v>tyk_global</x:v>
      </x:c>
      <x:c r="D789" s="11" t="str">
        <x:v>基准</x:v>
      </x:c>
      <x:c r="E789" s="16" t="n">
        <x:v>0.5774999999999999</x:v>
      </x:c>
      <x:c r="F789" s="16" t="n">
        <x:v>0.08200000000000002</x:v>
      </x:c>
      <x:c r="G789" s="16" t="n">
        <x:v>1</x:v>
      </x:c>
      <x:c r="H789" s="11" t="n">
        <x:f>H749</x:f>
        <x:v>0.135</x:v>
      </x:c>
      <x:c r="I789" s="11" t="n">
        <x:f>I749</x:f>
        <x:v>6.8</x:v>
      </x:c>
    </x:row>
    <x:row r="790" ht="23" customHeight="1">
      <x:c r="A790" s="11" t="str">
        <x:v>688382.SH</x:v>
      </x:c>
      <x:c r="B790" s="11" t="str">
        <x:v>五年</x:v>
      </x:c>
      <x:c r="C790" s="11" t="str">
        <x:v>tyk_global</x:v>
      </x:c>
      <x:c r="D790" s="11" t="str">
        <x:v>乐观</x:v>
      </x:c>
      <x:c r="E790" s="16" t="n">
        <x:v>0.82</x:v>
      </x:c>
      <x:c r="F790" s="16" t="n">
        <x:v>0.1105</x:v>
      </x:c>
      <x:c r="G790" s="16" t="n">
        <x:v>1</x:v>
      </x:c>
      <x:c r="H790" s="11" t="n">
        <x:f>H750</x:f>
        <x:v>0.105</x:v>
      </x:c>
      <x:c r="I790" s="11" t="n">
        <x:f>I750</x:f>
        <x:v>6.8</x:v>
      </x:c>
    </x:row>
    <x:row r="791" ht="23" customHeight="1">
      <x:c r="A791" s="11" t="str">
        <x:v>688382.SH</x:v>
      </x:c>
      <x:c r="B791" s="11" t="str">
        <x:v>五年</x:v>
      </x:c>
      <x:c r="C791" s="11" t="str">
        <x:v>serd_cn</x:v>
      </x:c>
      <x:c r="D791" s="11" t="str">
        <x:v>活动输入</x:v>
      </x:c>
      <x:c r="E791" s="11" t="n">
        <x:f>CHOOSE('假设'!$B$3,E792,E793,E794)</x:f>
        <x:v>0.675</x:v>
      </x:c>
      <x:c r="F791" s="11" t="n">
        <x:f>CHOOSE('假设'!$B$3,F792,F793,F794)</x:f>
        <x:v>0.28</x:v>
      </x:c>
      <x:c r="G791" s="11" t="n">
        <x:f>CHOOSE('假设'!$B$3,G792,G793,G794)</x:f>
        <x:v>1</x:v>
      </x:c>
      <x:c r="H791" s="11" t="n">
        <x:f>CHOOSE('假设'!$B$3,H792,H793,H794)</x:f>
        <x:v>0.135</x:v>
      </x:c>
      <x:c r="I791" s="11" t="n">
        <x:f>CHOOSE('假设'!$B$3,I792,I793,I794)</x:f>
        <x:v>6.8</x:v>
      </x:c>
    </x:row>
    <x:row r="792" ht="23" customHeight="1">
      <x:c r="A792" s="11" t="str">
        <x:v>688382.SH</x:v>
      </x:c>
      <x:c r="B792" s="11" t="str">
        <x:v>五年</x:v>
      </x:c>
      <x:c r="C792" s="11" t="str">
        <x:v>serd_cn</x:v>
      </x:c>
      <x:c r="D792" s="11" t="str">
        <x:v>悲观</x:v>
      </x:c>
      <x:c r="E792" s="16" t="n">
        <x:v>0.25</x:v>
      </x:c>
      <x:c r="F792" s="16" t="n">
        <x:v>0.18</x:v>
      </x:c>
      <x:c r="G792" s="16" t="n">
        <x:v>1</x:v>
      </x:c>
      <x:c r="H792" s="11" t="n">
        <x:f>H748</x:f>
        <x:v>0.18</x:v>
      </x:c>
      <x:c r="I792" s="11" t="n">
        <x:f>I748</x:f>
        <x:v>6.8</x:v>
      </x:c>
    </x:row>
    <x:row r="793" ht="23" customHeight="1">
      <x:c r="A793" s="11" t="str">
        <x:v>688382.SH</x:v>
      </x:c>
      <x:c r="B793" s="11" t="str">
        <x:v>五年</x:v>
      </x:c>
      <x:c r="C793" s="11" t="str">
        <x:v>serd_cn</x:v>
      </x:c>
      <x:c r="D793" s="11" t="str">
        <x:v>基准</x:v>
      </x:c>
      <x:c r="E793" s="16" t="n">
        <x:v>0.675</x:v>
      </x:c>
      <x:c r="F793" s="16" t="n">
        <x:v>0.28</x:v>
      </x:c>
      <x:c r="G793" s="16" t="n">
        <x:v>1</x:v>
      </x:c>
      <x:c r="H793" s="11" t="n">
        <x:f>H749</x:f>
        <x:v>0.135</x:v>
      </x:c>
      <x:c r="I793" s="11" t="n">
        <x:f>I749</x:f>
        <x:v>6.8</x:v>
      </x:c>
    </x:row>
    <x:row r="794" ht="23" customHeight="1">
      <x:c r="A794" s="11" t="str">
        <x:v>688382.SH</x:v>
      </x:c>
      <x:c r="B794" s="11" t="str">
        <x:v>五年</x:v>
      </x:c>
      <x:c r="C794" s="11" t="str">
        <x:v>serd_cn</x:v>
      </x:c>
      <x:c r="D794" s="11" t="str">
        <x:v>乐观</x:v>
      </x:c>
      <x:c r="E794" s="16" t="n">
        <x:v>0.8875</x:v>
      </x:c>
      <x:c r="F794" s="16" t="n">
        <x:v>0.36</x:v>
      </x:c>
      <x:c r="G794" s="16" t="n">
        <x:v>1</x:v>
      </x:c>
      <x:c r="H794" s="11" t="n">
        <x:f>H750</x:f>
        <x:v>0.105</x:v>
      </x:c>
      <x:c r="I794" s="11" t="n">
        <x:f>I750</x:f>
        <x:v>6.8</x:v>
      </x:c>
    </x:row>
    <x:row r="795" ht="23" customHeight="1">
      <x:c r="A795" s="11" t="str">
        <x:v>688382.SH</x:v>
      </x:c>
      <x:c r="B795" s="11" t="str">
        <x:v>五年</x:v>
      </x:c>
      <x:c r="C795" s="11" t="str">
        <x:v>serd_adc</x:v>
      </x:c>
      <x:c r="D795" s="11" t="str">
        <x:v>活动输入</x:v>
      </x:c>
      <x:c r="E795" s="11" t="n">
        <x:f>CHOOSE('假设'!$B$3,E796,E797,E798)</x:f>
        <x:v>0.46699999999999997</x:v>
      </x:c>
      <x:c r="F795" s="11" t="n">
        <x:f>CHOOSE('假设'!$B$3,F796,F797,F798)</x:f>
        <x:v>0.2</x:v>
      </x:c>
      <x:c r="G795" s="11" t="n">
        <x:f>CHOOSE('假设'!$B$3,G796,G797,G798)</x:f>
        <x:v>1</x:v>
      </x:c>
      <x:c r="H795" s="11" t="n">
        <x:f>CHOOSE('假设'!$B$3,H796,H797,H798)</x:f>
        <x:v>0.135</x:v>
      </x:c>
      <x:c r="I795" s="11" t="n">
        <x:f>CHOOSE('假设'!$B$3,I796,I797,I798)</x:f>
        <x:v>6.8</x:v>
      </x:c>
    </x:row>
    <x:row r="796" ht="23" customHeight="1">
      <x:c r="A796" s="11" t="str">
        <x:v>688382.SH</x:v>
      </x:c>
      <x:c r="B796" s="11" t="str">
        <x:v>五年</x:v>
      </x:c>
      <x:c r="C796" s="11" t="str">
        <x:v>serd_adc</x:v>
      </x:c>
      <x:c r="D796" s="11" t="str">
        <x:v>悲观</x:v>
      </x:c>
      <x:c r="E796" s="16" t="n">
        <x:v>0.050000000000000044</x:v>
      </x:c>
      <x:c r="F796" s="16" t="n">
        <x:v>0.12</x:v>
      </x:c>
      <x:c r="G796" s="16" t="n">
        <x:v>1</x:v>
      </x:c>
      <x:c r="H796" s="11" t="n">
        <x:f>H748</x:f>
        <x:v>0.18</x:v>
      </x:c>
      <x:c r="I796" s="11" t="n">
        <x:f>I748</x:f>
        <x:v>6.8</x:v>
      </x:c>
    </x:row>
    <x:row r="797" ht="23" customHeight="1">
      <x:c r="A797" s="11" t="str">
        <x:v>688382.SH</x:v>
      </x:c>
      <x:c r="B797" s="11" t="str">
        <x:v>五年</x:v>
      </x:c>
      <x:c r="C797" s="11" t="str">
        <x:v>serd_adc</x:v>
      </x:c>
      <x:c r="D797" s="11" t="str">
        <x:v>基准</x:v>
      </x:c>
      <x:c r="E797" s="16" t="n">
        <x:v>0.46699999999999997</x:v>
      </x:c>
      <x:c r="F797" s="16" t="n">
        <x:v>0.2</x:v>
      </x:c>
      <x:c r="G797" s="16" t="n">
        <x:v>1</x:v>
      </x:c>
      <x:c r="H797" s="11" t="n">
        <x:f>H749</x:f>
        <x:v>0.135</x:v>
      </x:c>
      <x:c r="I797" s="11" t="n">
        <x:f>I749</x:f>
        <x:v>6.8</x:v>
      </x:c>
    </x:row>
    <x:row r="798" ht="23" customHeight="1">
      <x:c r="A798" s="11" t="str">
        <x:v>688382.SH</x:v>
      </x:c>
      <x:c r="B798" s="11" t="str">
        <x:v>五年</x:v>
      </x:c>
      <x:c r="C798" s="11" t="str">
        <x:v>serd_adc</x:v>
      </x:c>
      <x:c r="D798" s="11" t="str">
        <x:v>乐观</x:v>
      </x:c>
      <x:c r="E798" s="16" t="n">
        <x:v>0.73</x:v>
      </x:c>
      <x:c r="F798" s="16" t="n">
        <x:v>0.28</x:v>
      </x:c>
      <x:c r="G798" s="16" t="n">
        <x:v>1</x:v>
      </x:c>
      <x:c r="H798" s="11" t="n">
        <x:f>H750</x:f>
        <x:v>0.105</x:v>
      </x:c>
      <x:c r="I798" s="11" t="n">
        <x:f>I750</x:f>
        <x:v>6.8</x:v>
      </x:c>
    </x:row>
    <x:row r="799" ht="23" customHeight="1">
      <x:c r="A799" s="11" t="str">
        <x:v>688382.SH</x:v>
      </x:c>
      <x:c r="B799" s="11" t="str">
        <x:v>五年</x:v>
      </x:c>
      <x:c r="C799" s="11" t="str">
        <x:v>urat_cn</x:v>
      </x:c>
      <x:c r="D799" s="11" t="str">
        <x:v>活动输入</x:v>
      </x:c>
      <x:c r="E799" s="11" t="n">
        <x:f>CHOOSE('假设'!$B$3,E800,E801,E802)</x:f>
        <x:v>0.597</x:v>
      </x:c>
      <x:c r="F799" s="11" t="n">
        <x:f>CHOOSE('假设'!$B$3,F800,F801,F802)</x:f>
        <x:v>0.28</x:v>
      </x:c>
      <x:c r="G799" s="11" t="n">
        <x:f>CHOOSE('假设'!$B$3,G800,G801,G802)</x:f>
        <x:v>1</x:v>
      </x:c>
      <x:c r="H799" s="11" t="n">
        <x:f>CHOOSE('假设'!$B$3,H800,H801,H802)</x:f>
        <x:v>0.135</x:v>
      </x:c>
      <x:c r="I799" s="11" t="n">
        <x:f>CHOOSE('假设'!$B$3,I800,I801,I802)</x:f>
        <x:v>6.8</x:v>
      </x:c>
    </x:row>
    <x:row r="800" ht="23" customHeight="1">
      <x:c r="A800" s="11" t="str">
        <x:v>688382.SH</x:v>
      </x:c>
      <x:c r="B800" s="11" t="str">
        <x:v>五年</x:v>
      </x:c>
      <x:c r="C800" s="11" t="str">
        <x:v>urat_cn</x:v>
      </x:c>
      <x:c r="D800" s="11" t="str">
        <x:v>悲观</x:v>
      </x:c>
      <x:c r="E800" s="16" t="n">
        <x:v>0.15000000000000002</x:v>
      </x:c>
      <x:c r="F800" s="16" t="n">
        <x:v>0.18</x:v>
      </x:c>
      <x:c r="G800" s="16" t="n">
        <x:v>1</x:v>
      </x:c>
      <x:c r="H800" s="11" t="n">
        <x:f>H748</x:f>
        <x:v>0.18</x:v>
      </x:c>
      <x:c r="I800" s="11" t="n">
        <x:f>I748</x:f>
        <x:v>6.8</x:v>
      </x:c>
    </x:row>
    <x:row r="801" ht="23" customHeight="1">
      <x:c r="A801" s="11" t="str">
        <x:v>688382.SH</x:v>
      </x:c>
      <x:c r="B801" s="11" t="str">
        <x:v>五年</x:v>
      </x:c>
      <x:c r="C801" s="11" t="str">
        <x:v>urat_cn</x:v>
      </x:c>
      <x:c r="D801" s="11" t="str">
        <x:v>基准</x:v>
      </x:c>
      <x:c r="E801" s="16" t="n">
        <x:v>0.597</x:v>
      </x:c>
      <x:c r="F801" s="16" t="n">
        <x:v>0.28</x:v>
      </x:c>
      <x:c r="G801" s="16" t="n">
        <x:v>1</x:v>
      </x:c>
      <x:c r="H801" s="11" t="n">
        <x:f>H749</x:f>
        <x:v>0.135</x:v>
      </x:c>
      <x:c r="I801" s="11" t="n">
        <x:f>I749</x:f>
        <x:v>6.8</x:v>
      </x:c>
    </x:row>
    <x:row r="802" ht="23" customHeight="1">
      <x:c r="A802" s="11" t="str">
        <x:v>688382.SH</x:v>
      </x:c>
      <x:c r="B802" s="11" t="str">
        <x:v>五年</x:v>
      </x:c>
      <x:c r="C802" s="11" t="str">
        <x:v>urat_cn</x:v>
      </x:c>
      <x:c r="D802" s="11" t="str">
        <x:v>乐观</x:v>
      </x:c>
      <x:c r="E802" s="16" t="n">
        <x:v>0.829</x:v>
      </x:c>
      <x:c r="F802" s="16" t="n">
        <x:v>0.36</x:v>
      </x:c>
      <x:c r="G802" s="16" t="n">
        <x:v>1</x:v>
      </x:c>
      <x:c r="H802" s="11" t="n">
        <x:f>H750</x:f>
        <x:v>0.105</x:v>
      </x:c>
      <x:c r="I802" s="11" t="n">
        <x:f>I750</x:f>
        <x:v>6.8</x:v>
      </x:c>
    </x:row>
    <x:row r="803" ht="23" customHeight="1">
      <x:c r="A803" s="11" t="str">
        <x:v>688382.SH</x:v>
      </x:c>
      <x:c r="B803" s="11" t="str">
        <x:v>五年</x:v>
      </x:c>
      <x:c r="C803" s="11" t="str">
        <x:v>urat_global</x:v>
      </x:c>
      <x:c r="D803" s="11" t="str">
        <x:v>活动输入</x:v>
      </x:c>
      <x:c r="E803" s="11" t="n">
        <x:f>CHOOSE('假设'!$B$3,E804,E805,E806)</x:f>
        <x:v>0.5125</x:v>
      </x:c>
      <x:c r="F803" s="11" t="n">
        <x:f>CHOOSE('假设'!$B$3,F804,F805,F806)</x:f>
        <x:v>0.08200000000000002</x:v>
      </x:c>
      <x:c r="G803" s="11" t="n">
        <x:f>CHOOSE('假设'!$B$3,G804,G805,G806)</x:f>
        <x:v>1</x:v>
      </x:c>
      <x:c r="H803" s="11" t="n">
        <x:f>CHOOSE('假设'!$B$3,H804,H805,H806)</x:f>
        <x:v>0.135</x:v>
      </x:c>
      <x:c r="I803" s="11" t="n">
        <x:f>CHOOSE('假设'!$B$3,I804,I805,I806)</x:f>
        <x:v>6.8</x:v>
      </x:c>
    </x:row>
    <x:row r="804" ht="23" customHeight="1">
      <x:c r="A804" s="11" t="str">
        <x:v>688382.SH</x:v>
      </x:c>
      <x:c r="B804" s="11" t="str">
        <x:v>五年</x:v>
      </x:c>
      <x:c r="C804" s="11" t="str">
        <x:v>urat_global</x:v>
      </x:c>
      <x:c r="D804" s="11" t="str">
        <x:v>悲观</x:v>
      </x:c>
      <x:c r="E804" s="16" t="n">
        <x:v>0.07999999999999996</x:v>
      </x:c>
      <x:c r="F804" s="16" t="n">
        <x:v>0.05600000000000001</x:v>
      </x:c>
      <x:c r="G804" s="16" t="n">
        <x:v>1</x:v>
      </x:c>
      <x:c r="H804" s="11" t="n">
        <x:f>H748</x:f>
        <x:v>0.18</x:v>
      </x:c>
      <x:c r="I804" s="11" t="n">
        <x:f>I748</x:f>
        <x:v>6.8</x:v>
      </x:c>
    </x:row>
    <x:row r="805" ht="23" customHeight="1">
      <x:c r="A805" s="11" t="str">
        <x:v>688382.SH</x:v>
      </x:c>
      <x:c r="B805" s="11" t="str">
        <x:v>五年</x:v>
      </x:c>
      <x:c r="C805" s="11" t="str">
        <x:v>urat_global</x:v>
      </x:c>
      <x:c r="D805" s="11" t="str">
        <x:v>基准</x:v>
      </x:c>
      <x:c r="E805" s="16" t="n">
        <x:v>0.5125</x:v>
      </x:c>
      <x:c r="F805" s="16" t="n">
        <x:v>0.08200000000000002</x:v>
      </x:c>
      <x:c r="G805" s="16" t="n">
        <x:v>1</x:v>
      </x:c>
      <x:c r="H805" s="11" t="n">
        <x:f>H749</x:f>
        <x:v>0.135</x:v>
      </x:c>
      <x:c r="I805" s="11" t="n">
        <x:f>I749</x:f>
        <x:v>6.8</x:v>
      </x:c>
    </x:row>
    <x:row r="806" ht="23" customHeight="1">
      <x:c r="A806" s="11" t="str">
        <x:v>688382.SH</x:v>
      </x:c>
      <x:c r="B806" s="11" t="str">
        <x:v>五年</x:v>
      </x:c>
      <x:c r="C806" s="11" t="str">
        <x:v>urat_global</x:v>
      </x:c>
      <x:c r="D806" s="11" t="str">
        <x:v>乐观</x:v>
      </x:c>
      <x:c r="E806" s="16" t="n">
        <x:v>0.766</x:v>
      </x:c>
      <x:c r="F806" s="16" t="n">
        <x:v>0.1105</x:v>
      </x:c>
      <x:c r="G806" s="16" t="n">
        <x:v>1</x:v>
      </x:c>
      <x:c r="H806" s="11" t="n">
        <x:f>H750</x:f>
        <x:v>0.105</x:v>
      </x:c>
      <x:c r="I806" s="11" t="n">
        <x:f>I750</x:f>
        <x:v>6.8</x:v>
      </x:c>
    </x:row>
    <x:row r="807" ht="23" customHeight="1">
      <x:c r="A807" s="11" t="str">
        <x:v>02162.HK</x:v>
      </x:c>
      <x:c r="B807" s="11" t="str">
        <x:v>2026年底</x:v>
      </x:c>
      <x:c r="C807" s="11" t="str">
        <x:v>CM310_approved</x:v>
      </x:c>
      <x:c r="D807" s="11" t="str">
        <x:v>活动输入</x:v>
      </x:c>
      <x:c r="E807" s="11" t="n">
        <x:f>CHOOSE('假设'!$B$3,E808,E809,E810)</x:f>
        <x:v>0.97</x:v>
      </x:c>
      <x:c r="F807" s="11" t="n">
        <x:f>CHOOSE('假设'!$B$3,F808,F809,F810)</x:f>
        <x:v>0.45</x:v>
      </x:c>
      <x:c r="G807" s="11" t="n">
        <x:f>CHOOSE('假设'!$B$3,G808,G809,G810)</x:f>
        <x:v>1</x:v>
      </x:c>
      <x:c r="H807" s="11" t="n">
        <x:f>CHOOSE('假设'!$B$3,H808,H809,H810)</x:f>
        <x:v>0.14</x:v>
      </x:c>
      <x:c r="I807" s="11" t="n">
        <x:f>CHOOSE('假设'!$B$3,I808,I809,I810)</x:f>
        <x:v>7</x:v>
      </x:c>
    </x:row>
    <x:row r="808" ht="23" customHeight="1">
      <x:c r="A808" s="11" t="str">
        <x:v>02162.HK</x:v>
      </x:c>
      <x:c r="B808" s="11" t="str">
        <x:v>2026年底</x:v>
      </x:c>
      <x:c r="C808" s="11" t="str">
        <x:v>CM310_approved</x:v>
      </x:c>
      <x:c r="D808" s="11" t="str">
        <x:v>悲观</x:v>
      </x:c>
      <x:c r="E808" s="16" t="n">
        <x:v>0.9</x:v>
      </x:c>
      <x:c r="F808" s="16" t="n">
        <x:v>0.35</x:v>
      </x:c>
      <x:c r="G808" s="16" t="n">
        <x:v>1</x:v>
      </x:c>
      <x:c r="H808" s="16" t="n">
        <x:v>0.18</x:v>
      </x:c>
      <x:c r="I808" s="16" t="n">
        <x:v>7</x:v>
      </x:c>
    </x:row>
    <x:row r="809" ht="23" customHeight="1">
      <x:c r="A809" s="11" t="str">
        <x:v>02162.HK</x:v>
      </x:c>
      <x:c r="B809" s="11" t="str">
        <x:v>2026年底</x:v>
      </x:c>
      <x:c r="C809" s="11" t="str">
        <x:v>CM310_approved</x:v>
      </x:c>
      <x:c r="D809" s="11" t="str">
        <x:v>基准</x:v>
      </x:c>
      <x:c r="E809" s="16" t="n">
        <x:v>0.97</x:v>
      </x:c>
      <x:c r="F809" s="16" t="n">
        <x:v>0.45</x:v>
      </x:c>
      <x:c r="G809" s="16" t="n">
        <x:v>1</x:v>
      </x:c>
      <x:c r="H809" s="16" t="n">
        <x:v>0.14</x:v>
      </x:c>
      <x:c r="I809" s="16" t="n">
        <x:v>7</x:v>
      </x:c>
    </x:row>
    <x:row r="810" ht="23" customHeight="1">
      <x:c r="A810" s="11" t="str">
        <x:v>02162.HK</x:v>
      </x:c>
      <x:c r="B810" s="11" t="str">
        <x:v>2026年底</x:v>
      </x:c>
      <x:c r="C810" s="11" t="str">
        <x:v>CM310_approved</x:v>
      </x:c>
      <x:c r="D810" s="11" t="str">
        <x:v>乐观</x:v>
      </x:c>
      <x:c r="E810" s="16" t="n">
        <x:v>1</x:v>
      </x:c>
      <x:c r="F810" s="16" t="n">
        <x:v>0.52</x:v>
      </x:c>
      <x:c r="G810" s="16" t="n">
        <x:v>1</x:v>
      </x:c>
      <x:c r="H810" s="16" t="n">
        <x:v>0.11</x:v>
      </x:c>
      <x:c r="I810" s="16" t="n">
        <x:v>7</x:v>
      </x:c>
    </x:row>
    <x:row r="811" ht="23" customHeight="1">
      <x:c r="A811" s="11" t="str">
        <x:v>02162.HK</x:v>
      </x:c>
      <x:c r="B811" s="11" t="str">
        <x:v>2026年底</x:v>
      </x:c>
      <x:c r="C811" s="11" t="str">
        <x:v>CM310_new</x:v>
      </x:c>
      <x:c r="D811" s="11" t="str">
        <x:v>活动输入</x:v>
      </x:c>
      <x:c r="E811" s="11" t="n">
        <x:f>CHOOSE('假设'!$B$3,E812,E813,E814)</x:f>
        <x:v>0.7</x:v>
      </x:c>
      <x:c r="F811" s="11" t="n">
        <x:f>CHOOSE('假设'!$B$3,F812,F813,F814)</x:f>
        <x:v>0.45</x:v>
      </x:c>
      <x:c r="G811" s="11" t="n">
        <x:f>CHOOSE('假设'!$B$3,G812,G813,G814)</x:f>
        <x:v>1</x:v>
      </x:c>
      <x:c r="H811" s="11" t="n">
        <x:f>CHOOSE('假设'!$B$3,H812,H813,H814)</x:f>
        <x:v>0.14</x:v>
      </x:c>
      <x:c r="I811" s="11" t="n">
        <x:f>CHOOSE('假设'!$B$3,I812,I813,I814)</x:f>
        <x:v>7</x:v>
      </x:c>
    </x:row>
    <x:row r="812" ht="23" customHeight="1">
      <x:c r="A812" s="11" t="str">
        <x:v>02162.HK</x:v>
      </x:c>
      <x:c r="B812" s="11" t="str">
        <x:v>2026年底</x:v>
      </x:c>
      <x:c r="C812" s="11" t="str">
        <x:v>CM310_new</x:v>
      </x:c>
      <x:c r="D812" s="11" t="str">
        <x:v>悲观</x:v>
      </x:c>
      <x:c r="E812" s="16" t="n">
        <x:v>0.35</x:v>
      </x:c>
      <x:c r="F812" s="16" t="n">
        <x:v>0.35</x:v>
      </x:c>
      <x:c r="G812" s="16" t="n">
        <x:v>1</x:v>
      </x:c>
      <x:c r="H812" s="11" t="n">
        <x:f>H808</x:f>
        <x:v>0.18</x:v>
      </x:c>
      <x:c r="I812" s="11" t="n">
        <x:f>I808</x:f>
        <x:v>7</x:v>
      </x:c>
    </x:row>
    <x:row r="813" ht="23" customHeight="1">
      <x:c r="A813" s="11" t="str">
        <x:v>02162.HK</x:v>
      </x:c>
      <x:c r="B813" s="11" t="str">
        <x:v>2026年底</x:v>
      </x:c>
      <x:c r="C813" s="11" t="str">
        <x:v>CM310_new</x:v>
      </x:c>
      <x:c r="D813" s="11" t="str">
        <x:v>基准</x:v>
      </x:c>
      <x:c r="E813" s="16" t="n">
        <x:v>0.7</x:v>
      </x:c>
      <x:c r="F813" s="16" t="n">
        <x:v>0.45</x:v>
      </x:c>
      <x:c r="G813" s="16" t="n">
        <x:v>1</x:v>
      </x:c>
      <x:c r="H813" s="11" t="n">
        <x:f>H809</x:f>
        <x:v>0.14</x:v>
      </x:c>
      <x:c r="I813" s="11" t="n">
        <x:f>I809</x:f>
        <x:v>7</x:v>
      </x:c>
    </x:row>
    <x:row r="814" ht="23" customHeight="1">
      <x:c r="A814" s="11" t="str">
        <x:v>02162.HK</x:v>
      </x:c>
      <x:c r="B814" s="11" t="str">
        <x:v>2026年底</x:v>
      </x:c>
      <x:c r="C814" s="11" t="str">
        <x:v>CM310_new</x:v>
      </x:c>
      <x:c r="D814" s="11" t="str">
        <x:v>乐观</x:v>
      </x:c>
      <x:c r="E814" s="16" t="n">
        <x:v>0.9</x:v>
      </x:c>
      <x:c r="F814" s="16" t="n">
        <x:v>0.52</x:v>
      </x:c>
      <x:c r="G814" s="16" t="n">
        <x:v>1</x:v>
      </x:c>
      <x:c r="H814" s="11" t="n">
        <x:f>H810</x:f>
        <x:v>0.11</x:v>
      </x:c>
      <x:c r="I814" s="11" t="n">
        <x:f>I810</x:f>
        <x:v>7</x:v>
      </x:c>
    </x:row>
    <x:row r="815" ht="23" customHeight="1">
      <x:c r="A815" s="11" t="str">
        <x:v>02162.HK</x:v>
      </x:c>
      <x:c r="B815" s="11" t="str">
        <x:v>2026年底</x:v>
      </x:c>
      <x:c r="C815" s="11" t="str">
        <x:v>CM512_CRSwNP</x:v>
      </x:c>
      <x:c r="D815" s="11" t="str">
        <x:v>活动输入</x:v>
      </x:c>
      <x:c r="E815" s="11" t="n">
        <x:f>CHOOSE('假设'!$B$3,E816,E817,E818)</x:f>
        <x:v>0.5</x:v>
      </x:c>
      <x:c r="F815" s="11" t="n">
        <x:f>CHOOSE('假设'!$B$3,F816,F817,F818)</x:f>
        <x:v>0.5</x:v>
      </x:c>
      <x:c r="G815" s="11" t="n">
        <x:f>CHOOSE('假设'!$B$3,G816,G817,G818)</x:f>
        <x:v>1</x:v>
      </x:c>
      <x:c r="H815" s="11" t="n">
        <x:f>CHOOSE('假设'!$B$3,H816,H817,H818)</x:f>
        <x:v>0.14</x:v>
      </x:c>
      <x:c r="I815" s="11" t="n">
        <x:f>CHOOSE('假设'!$B$3,I816,I817,I818)</x:f>
        <x:v>7</x:v>
      </x:c>
    </x:row>
    <x:row r="816" ht="23" customHeight="1">
      <x:c r="A816" s="11" t="str">
        <x:v>02162.HK</x:v>
      </x:c>
      <x:c r="B816" s="11" t="str">
        <x:v>2026年底</x:v>
      </x:c>
      <x:c r="C816" s="11" t="str">
        <x:v>CM512_CRSwNP</x:v>
      </x:c>
      <x:c r="D816" s="11" t="str">
        <x:v>悲观</x:v>
      </x:c>
      <x:c r="E816" s="16" t="n">
        <x:v>0.15</x:v>
      </x:c>
      <x:c r="F816" s="16" t="n">
        <x:v>0.38</x:v>
      </x:c>
      <x:c r="G816" s="16" t="n">
        <x:v>1</x:v>
      </x:c>
      <x:c r="H816" s="11" t="n">
        <x:f>H808</x:f>
        <x:v>0.18</x:v>
      </x:c>
      <x:c r="I816" s="11" t="n">
        <x:f>I808</x:f>
        <x:v>7</x:v>
      </x:c>
    </x:row>
    <x:row r="817" ht="23" customHeight="1">
      <x:c r="A817" s="11" t="str">
        <x:v>02162.HK</x:v>
      </x:c>
      <x:c r="B817" s="11" t="str">
        <x:v>2026年底</x:v>
      </x:c>
      <x:c r="C817" s="11" t="str">
        <x:v>CM512_CRSwNP</x:v>
      </x:c>
      <x:c r="D817" s="11" t="str">
        <x:v>基准</x:v>
      </x:c>
      <x:c r="E817" s="16" t="n">
        <x:v>0.5</x:v>
      </x:c>
      <x:c r="F817" s="16" t="n">
        <x:v>0.5</x:v>
      </x:c>
      <x:c r="G817" s="16" t="n">
        <x:v>1</x:v>
      </x:c>
      <x:c r="H817" s="11" t="n">
        <x:f>H809</x:f>
        <x:v>0.14</x:v>
      </x:c>
      <x:c r="I817" s="11" t="n">
        <x:f>I809</x:f>
        <x:v>7</x:v>
      </x:c>
    </x:row>
    <x:row r="818" ht="23" customHeight="1">
      <x:c r="A818" s="11" t="str">
        <x:v>02162.HK</x:v>
      </x:c>
      <x:c r="B818" s="11" t="str">
        <x:v>2026年底</x:v>
      </x:c>
      <x:c r="C818" s="11" t="str">
        <x:v>CM512_CRSwNP</x:v>
      </x:c>
      <x:c r="D818" s="11" t="str">
        <x:v>乐观</x:v>
      </x:c>
      <x:c r="E818" s="16" t="n">
        <x:v>0.75</x:v>
      </x:c>
      <x:c r="F818" s="16" t="n">
        <x:v>0.57</x:v>
      </x:c>
      <x:c r="G818" s="16" t="n">
        <x:v>1</x:v>
      </x:c>
      <x:c r="H818" s="11" t="n">
        <x:f>H810</x:f>
        <x:v>0.11</x:v>
      </x:c>
      <x:c r="I818" s="11" t="n">
        <x:f>I810</x:f>
        <x:v>7</x:v>
      </x:c>
    </x:row>
    <x:row r="819" ht="23" customHeight="1">
      <x:c r="A819" s="11" t="str">
        <x:v>02162.HK</x:v>
      </x:c>
      <x:c r="B819" s="11" t="str">
        <x:v>2026年底</x:v>
      </x:c>
      <x:c r="C819" s="11" t="str">
        <x:v>CM512_other</x:v>
      </x:c>
      <x:c r="D819" s="11" t="str">
        <x:v>活动输入</x:v>
      </x:c>
      <x:c r="E819" s="11" t="n">
        <x:f>CHOOSE('假设'!$B$3,E820,E821,E822)</x:f>
        <x:v>0.3</x:v>
      </x:c>
      <x:c r="F819" s="11" t="n">
        <x:f>CHOOSE('假设'!$B$3,F820,F821,F822)</x:f>
        <x:v>0.48</x:v>
      </x:c>
      <x:c r="G819" s="11" t="n">
        <x:f>CHOOSE('假设'!$B$3,G820,G821,G822)</x:f>
        <x:v>1</x:v>
      </x:c>
      <x:c r="H819" s="11" t="n">
        <x:f>CHOOSE('假设'!$B$3,H820,H821,H822)</x:f>
        <x:v>0.14</x:v>
      </x:c>
      <x:c r="I819" s="11" t="n">
        <x:f>CHOOSE('假设'!$B$3,I820,I821,I822)</x:f>
        <x:v>7</x:v>
      </x:c>
    </x:row>
    <x:row r="820" ht="23" customHeight="1">
      <x:c r="A820" s="11" t="str">
        <x:v>02162.HK</x:v>
      </x:c>
      <x:c r="B820" s="11" t="str">
        <x:v>2026年底</x:v>
      </x:c>
      <x:c r="C820" s="11" t="str">
        <x:v>CM512_other</x:v>
      </x:c>
      <x:c r="D820" s="11" t="str">
        <x:v>悲观</x:v>
      </x:c>
      <x:c r="E820" s="16" t="n">
        <x:v>0.08</x:v>
      </x:c>
      <x:c r="F820" s="16" t="n">
        <x:v>0.35</x:v>
      </x:c>
      <x:c r="G820" s="16" t="n">
        <x:v>1</x:v>
      </x:c>
      <x:c r="H820" s="11" t="n">
        <x:f>H808</x:f>
        <x:v>0.18</x:v>
      </x:c>
      <x:c r="I820" s="11" t="n">
        <x:f>I808</x:f>
        <x:v>7</x:v>
      </x:c>
    </x:row>
    <x:row r="821" ht="23" customHeight="1">
      <x:c r="A821" s="11" t="str">
        <x:v>02162.HK</x:v>
      </x:c>
      <x:c r="B821" s="11" t="str">
        <x:v>2026年底</x:v>
      </x:c>
      <x:c r="C821" s="11" t="str">
        <x:v>CM512_other</x:v>
      </x:c>
      <x:c r="D821" s="11" t="str">
        <x:v>基准</x:v>
      </x:c>
      <x:c r="E821" s="16" t="n">
        <x:v>0.3</x:v>
      </x:c>
      <x:c r="F821" s="16" t="n">
        <x:v>0.48</x:v>
      </x:c>
      <x:c r="G821" s="16" t="n">
        <x:v>1</x:v>
      </x:c>
      <x:c r="H821" s="11" t="n">
        <x:f>H809</x:f>
        <x:v>0.14</x:v>
      </x:c>
      <x:c r="I821" s="11" t="n">
        <x:f>I809</x:f>
        <x:v>7</x:v>
      </x:c>
    </x:row>
    <x:row r="822" ht="23" customHeight="1">
      <x:c r="A822" s="11" t="str">
        <x:v>02162.HK</x:v>
      </x:c>
      <x:c r="B822" s="11" t="str">
        <x:v>2026年底</x:v>
      </x:c>
      <x:c r="C822" s="11" t="str">
        <x:v>CM512_other</x:v>
      </x:c>
      <x:c r="D822" s="11" t="str">
        <x:v>乐观</x:v>
      </x:c>
      <x:c r="E822" s="16" t="n">
        <x:v>0.55</x:v>
      </x:c>
      <x:c r="F822" s="16" t="n">
        <x:v>0.55</x:v>
      </x:c>
      <x:c r="G822" s="16" t="n">
        <x:v>1</x:v>
      </x:c>
      <x:c r="H822" s="11" t="n">
        <x:f>H810</x:f>
        <x:v>0.11</x:v>
      </x:c>
      <x:c r="I822" s="11" t="n">
        <x:f>I810</x:f>
        <x:v>7</x:v>
      </x:c>
    </x:row>
    <x:row r="823" ht="23" customHeight="1">
      <x:c r="A823" s="11" t="str">
        <x:v>02162.HK</x:v>
      </x:c>
      <x:c r="B823" s="11" t="str">
        <x:v>2026年底</x:v>
      </x:c>
      <x:c r="C823" s="11" t="str">
        <x:v>CMG901_2Lplus</x:v>
      </x:c>
      <x:c r="D823" s="11" t="str">
        <x:v>活动输入</x:v>
      </x:c>
      <x:c r="E823" s="11" t="n">
        <x:f>CHOOSE('假设'!$B$3,E824,E825,E826)</x:f>
        <x:v>0.75</x:v>
      </x:c>
      <x:c r="F823" s="11" t="n">
        <x:f>CHOOSE('假设'!$B$3,F824,F825,F826)</x:f>
        <x:v>0.09839999999999999</x:v>
      </x:c>
      <x:c r="G823" s="11" t="n">
        <x:f>CHOOSE('假设'!$B$3,G824,G825,G826)</x:f>
        <x:v>0.7</x:v>
      </x:c>
      <x:c r="H823" s="11" t="n">
        <x:f>CHOOSE('假设'!$B$3,H824,H825,H826)</x:f>
        <x:v>0.14</x:v>
      </x:c>
      <x:c r="I823" s="11" t="n">
        <x:f>CHOOSE('假设'!$B$3,I824,I825,I826)</x:f>
        <x:v>7</x:v>
      </x:c>
    </x:row>
    <x:row r="824" ht="23" customHeight="1">
      <x:c r="A824" s="11" t="str">
        <x:v>02162.HK</x:v>
      </x:c>
      <x:c r="B824" s="11" t="str">
        <x:v>2026年底</x:v>
      </x:c>
      <x:c r="C824" s="11" t="str">
        <x:v>CMG901_2Lplus</x:v>
      </x:c>
      <x:c r="D824" s="11" t="str">
        <x:v>悲观</x:v>
      </x:c>
      <x:c r="E824" s="16" t="n">
        <x:v>0.35</x:v>
      </x:c>
      <x:c r="F824" s="16" t="n">
        <x:v>0.0702</x:v>
      </x:c>
      <x:c r="G824" s="16" t="n">
        <x:v>0.7</x:v>
      </x:c>
      <x:c r="H824" s="11" t="n">
        <x:f>H808</x:f>
        <x:v>0.18</x:v>
      </x:c>
      <x:c r="I824" s="11" t="n">
        <x:f>I808</x:f>
        <x:v>7</x:v>
      </x:c>
    </x:row>
    <x:row r="825" ht="23" customHeight="1">
      <x:c r="A825" s="11" t="str">
        <x:v>02162.HK</x:v>
      </x:c>
      <x:c r="B825" s="11" t="str">
        <x:v>2026年底</x:v>
      </x:c>
      <x:c r="C825" s="11" t="str">
        <x:v>CMG901_2Lplus</x:v>
      </x:c>
      <x:c r="D825" s="11" t="str">
        <x:v>基准</x:v>
      </x:c>
      <x:c r="E825" s="16" t="n">
        <x:v>0.75</x:v>
      </x:c>
      <x:c r="F825" s="16" t="n">
        <x:v>0.09839999999999999</x:v>
      </x:c>
      <x:c r="G825" s="16" t="n">
        <x:v>0.7</x:v>
      </x:c>
      <x:c r="H825" s="11" t="n">
        <x:f>H809</x:f>
        <x:v>0.14</x:v>
      </x:c>
      <x:c r="I825" s="11" t="n">
        <x:f>I809</x:f>
        <x:v>7</x:v>
      </x:c>
    </x:row>
    <x:row r="826" ht="23" customHeight="1">
      <x:c r="A826" s="11" t="str">
        <x:v>02162.HK</x:v>
      </x:c>
      <x:c r="B826" s="11" t="str">
        <x:v>2026年底</x:v>
      </x:c>
      <x:c r="C826" s="11" t="str">
        <x:v>CMG901_2Lplus</x:v>
      </x:c>
      <x:c r="D826" s="11" t="str">
        <x:v>乐观</x:v>
      </x:c>
      <x:c r="E826" s="16" t="n">
        <x:v>0.9</x:v>
      </x:c>
      <x:c r="F826" s="16" t="n">
        <x:v>0.1275</x:v>
      </x:c>
      <x:c r="G826" s="16" t="n">
        <x:v>0.7</x:v>
      </x:c>
      <x:c r="H826" s="11" t="n">
        <x:f>H810</x:f>
        <x:v>0.11</x:v>
      </x:c>
      <x:c r="I826" s="11" t="n">
        <x:f>I810</x:f>
        <x:v>7</x:v>
      </x:c>
    </x:row>
    <x:row r="827" ht="23" customHeight="1">
      <x:c r="A827" s="11" t="str">
        <x:v>02162.HK</x:v>
      </x:c>
      <x:c r="B827" s="11" t="str">
        <x:v>2026年底</x:v>
      </x:c>
      <x:c r="C827" s="11" t="str">
        <x:v>CMG901_expansion</x:v>
      </x:c>
      <x:c r="D827" s="11" t="str">
        <x:v>活动输入</x:v>
      </x:c>
      <x:c r="E827" s="11" t="n">
        <x:f>CHOOSE('假设'!$B$3,E828,E829,E830)</x:f>
        <x:v>0.35</x:v>
      </x:c>
      <x:c r="F827" s="11" t="n">
        <x:f>CHOOSE('假设'!$B$3,F828,F829,F830)</x:f>
        <x:v>0.09839999999999999</x:v>
      </x:c>
      <x:c r="G827" s="11" t="n">
        <x:f>CHOOSE('假设'!$B$3,G828,G829,G830)</x:f>
        <x:v>0.7</x:v>
      </x:c>
      <x:c r="H827" s="11" t="n">
        <x:f>CHOOSE('假设'!$B$3,H828,H829,H830)</x:f>
        <x:v>0.14</x:v>
      </x:c>
      <x:c r="I827" s="11" t="n">
        <x:f>CHOOSE('假设'!$B$3,I828,I829,I830)</x:f>
        <x:v>7</x:v>
      </x:c>
    </x:row>
    <x:row r="828" ht="23" customHeight="1">
      <x:c r="A828" s="11" t="str">
        <x:v>02162.HK</x:v>
      </x:c>
      <x:c r="B828" s="11" t="str">
        <x:v>2026年底</x:v>
      </x:c>
      <x:c r="C828" s="11" t="str">
        <x:v>CMG901_expansion</x:v>
      </x:c>
      <x:c r="D828" s="11" t="str">
        <x:v>悲观</x:v>
      </x:c>
      <x:c r="E828" s="16" t="n">
        <x:v>0.1</x:v>
      </x:c>
      <x:c r="F828" s="16" t="n">
        <x:v>0.0702</x:v>
      </x:c>
      <x:c r="G828" s="16" t="n">
        <x:v>0.7</x:v>
      </x:c>
      <x:c r="H828" s="11" t="n">
        <x:f>H808</x:f>
        <x:v>0.18</x:v>
      </x:c>
      <x:c r="I828" s="11" t="n">
        <x:f>I808</x:f>
        <x:v>7</x:v>
      </x:c>
    </x:row>
    <x:row r="829" ht="23" customHeight="1">
      <x:c r="A829" s="11" t="str">
        <x:v>02162.HK</x:v>
      </x:c>
      <x:c r="B829" s="11" t="str">
        <x:v>2026年底</x:v>
      </x:c>
      <x:c r="C829" s="11" t="str">
        <x:v>CMG901_expansion</x:v>
      </x:c>
      <x:c r="D829" s="11" t="str">
        <x:v>基准</x:v>
      </x:c>
      <x:c r="E829" s="16" t="n">
        <x:v>0.35</x:v>
      </x:c>
      <x:c r="F829" s="16" t="n">
        <x:v>0.09839999999999999</x:v>
      </x:c>
      <x:c r="G829" s="16" t="n">
        <x:v>0.7</x:v>
      </x:c>
      <x:c r="H829" s="11" t="n">
        <x:f>H809</x:f>
        <x:v>0.14</x:v>
      </x:c>
      <x:c r="I829" s="11" t="n">
        <x:f>I809</x:f>
        <x:v>7</x:v>
      </x:c>
    </x:row>
    <x:row r="830" ht="23" customHeight="1">
      <x:c r="A830" s="11" t="str">
        <x:v>02162.HK</x:v>
      </x:c>
      <x:c r="B830" s="11" t="str">
        <x:v>2026年底</x:v>
      </x:c>
      <x:c r="C830" s="11" t="str">
        <x:v>CMG901_expansion</x:v>
      </x:c>
      <x:c r="D830" s="11" t="str">
        <x:v>乐观</x:v>
      </x:c>
      <x:c r="E830" s="16" t="n">
        <x:v>0.6</x:v>
      </x:c>
      <x:c r="F830" s="16" t="n">
        <x:v>0.1275</x:v>
      </x:c>
      <x:c r="G830" s="16" t="n">
        <x:v>0.7</x:v>
      </x:c>
      <x:c r="H830" s="11" t="n">
        <x:f>H810</x:f>
        <x:v>0.11</x:v>
      </x:c>
      <x:c r="I830" s="11" t="n">
        <x:f>I810</x:f>
        <x:v>7</x:v>
      </x:c>
    </x:row>
    <x:row r="831" ht="23" customHeight="1">
      <x:c r="A831" s="11" t="str">
        <x:v>02162.HK</x:v>
      </x:c>
      <x:c r="B831" s="11" t="str">
        <x:v>2026年底</x:v>
      </x:c>
      <x:c r="C831" s="11" t="str">
        <x:v>CM336_foreign</x:v>
      </x:c>
      <x:c r="D831" s="11" t="str">
        <x:v>活动输入</x:v>
      </x:c>
      <x:c r="E831" s="11" t="n">
        <x:f>CHOOSE('假设'!$B$3,E832,E833,E834)</x:f>
        <x:v>0.25</x:v>
      </x:c>
      <x:c r="F831" s="11" t="n">
        <x:f>CHOOSE('假设'!$B$3,F832,F833,F834)</x:f>
        <x:v>0.09129999999999999</x:v>
      </x:c>
      <x:c r="G831" s="11" t="n">
        <x:f>CHOOSE('假设'!$B$3,G832,G833,G834)</x:f>
        <x:v>1</x:v>
      </x:c>
      <x:c r="H831" s="11" t="n">
        <x:f>CHOOSE('假设'!$B$3,H832,H833,H834)</x:f>
        <x:v>0.14</x:v>
      </x:c>
      <x:c r="I831" s="11" t="n">
        <x:f>CHOOSE('假设'!$B$3,I832,I833,I834)</x:f>
        <x:v>7</x:v>
      </x:c>
    </x:row>
    <x:row r="832" ht="23" customHeight="1">
      <x:c r="A832" s="11" t="str">
        <x:v>02162.HK</x:v>
      </x:c>
      <x:c r="B832" s="11" t="str">
        <x:v>2026年底</x:v>
      </x:c>
      <x:c r="C832" s="11" t="str">
        <x:v>CM336_foreign</x:v>
      </x:c>
      <x:c r="D832" s="11" t="str">
        <x:v>悲观</x:v>
      </x:c>
      <x:c r="E832" s="16" t="n">
        <x:v>0.08</x:v>
      </x:c>
      <x:c r="F832" s="16" t="n">
        <x:v>0.064</x:v>
      </x:c>
      <x:c r="G832" s="16" t="n">
        <x:v>1</x:v>
      </x:c>
      <x:c r="H832" s="11" t="n">
        <x:f>H808</x:f>
        <x:v>0.18</x:v>
      </x:c>
      <x:c r="I832" s="11" t="n">
        <x:f>I808</x:f>
        <x:v>7</x:v>
      </x:c>
    </x:row>
    <x:row r="833" ht="23" customHeight="1">
      <x:c r="A833" s="11" t="str">
        <x:v>02162.HK</x:v>
      </x:c>
      <x:c r="B833" s="11" t="str">
        <x:v>2026年底</x:v>
      </x:c>
      <x:c r="C833" s="11" t="str">
        <x:v>CM336_foreign</x:v>
      </x:c>
      <x:c r="D833" s="11" t="str">
        <x:v>基准</x:v>
      </x:c>
      <x:c r="E833" s="16" t="n">
        <x:v>0.25</x:v>
      </x:c>
      <x:c r="F833" s="16" t="n">
        <x:v>0.09129999999999999</x:v>
      </x:c>
      <x:c r="G833" s="16" t="n">
        <x:v>1</x:v>
      </x:c>
      <x:c r="H833" s="11" t="n">
        <x:f>H809</x:f>
        <x:v>0.14</x:v>
      </x:c>
      <x:c r="I833" s="11" t="n">
        <x:f>I809</x:f>
        <x:v>7</x:v>
      </x:c>
    </x:row>
    <x:row r="834" ht="23" customHeight="1">
      <x:c r="A834" s="11" t="str">
        <x:v>02162.HK</x:v>
      </x:c>
      <x:c r="B834" s="11" t="str">
        <x:v>2026年底</x:v>
      </x:c>
      <x:c r="C834" s="11" t="str">
        <x:v>CM336_foreign</x:v>
      </x:c>
      <x:c r="D834" s="11" t="str">
        <x:v>乐观</x:v>
      </x:c>
      <x:c r="E834" s="16" t="n">
        <x:v>0.5</x:v>
      </x:c>
      <x:c r="F834" s="16" t="n">
        <x:v>0.11900000000000001</x:v>
      </x:c>
      <x:c r="G834" s="16" t="n">
        <x:v>1</x:v>
      </x:c>
      <x:c r="H834" s="11" t="n">
        <x:f>H810</x:f>
        <x:v>0.11</x:v>
      </x:c>
      <x:c r="I834" s="11" t="n">
        <x:f>I810</x:f>
        <x:v>7</x:v>
      </x:c>
    </x:row>
    <x:row r="835" ht="23" customHeight="1">
      <x:c r="A835" s="11" t="str">
        <x:v>02162.HK</x:v>
      </x:c>
      <x:c r="B835" s="11" t="str">
        <x:v>2026年底</x:v>
      </x:c>
      <x:c r="C835" s="11" t="str">
        <x:v>CM336_domestic</x:v>
      </x:c>
      <x:c r="D835" s="11" t="str">
        <x:v>活动输入</x:v>
      </x:c>
      <x:c r="E835" s="11" t="n">
        <x:f>CHOOSE('假设'!$B$3,E836,E837,E838)</x:f>
        <x:v>0.4</x:v>
      </x:c>
      <x:c r="F835" s="11" t="n">
        <x:f>CHOOSE('假设'!$B$3,F836,F837,F838)</x:f>
        <x:v>0.45</x:v>
      </x:c>
      <x:c r="G835" s="11" t="n">
        <x:f>CHOOSE('假设'!$B$3,G836,G837,G838)</x:f>
        <x:v>1</x:v>
      </x:c>
      <x:c r="H835" s="11" t="n">
        <x:f>CHOOSE('假设'!$B$3,H836,H837,H838)</x:f>
        <x:v>0.14</x:v>
      </x:c>
      <x:c r="I835" s="11" t="n">
        <x:f>CHOOSE('假设'!$B$3,I836,I837,I838)</x:f>
        <x:v>7</x:v>
      </x:c>
    </x:row>
    <x:row r="836" ht="23" customHeight="1">
      <x:c r="A836" s="11" t="str">
        <x:v>02162.HK</x:v>
      </x:c>
      <x:c r="B836" s="11" t="str">
        <x:v>2026年底</x:v>
      </x:c>
      <x:c r="C836" s="11" t="str">
        <x:v>CM336_domestic</x:v>
      </x:c>
      <x:c r="D836" s="11" t="str">
        <x:v>悲观</x:v>
      </x:c>
      <x:c r="E836" s="16" t="n">
        <x:v>0.15</x:v>
      </x:c>
      <x:c r="F836" s="16" t="n">
        <x:v>0.35</x:v>
      </x:c>
      <x:c r="G836" s="16" t="n">
        <x:v>1</x:v>
      </x:c>
      <x:c r="H836" s="11" t="n">
        <x:f>H808</x:f>
        <x:v>0.18</x:v>
      </x:c>
      <x:c r="I836" s="11" t="n">
        <x:f>I808</x:f>
        <x:v>7</x:v>
      </x:c>
    </x:row>
    <x:row r="837" ht="23" customHeight="1">
      <x:c r="A837" s="11" t="str">
        <x:v>02162.HK</x:v>
      </x:c>
      <x:c r="B837" s="11" t="str">
        <x:v>2026年底</x:v>
      </x:c>
      <x:c r="C837" s="11" t="str">
        <x:v>CM336_domestic</x:v>
      </x:c>
      <x:c r="D837" s="11" t="str">
        <x:v>基准</x:v>
      </x:c>
      <x:c r="E837" s="16" t="n">
        <x:v>0.4</x:v>
      </x:c>
      <x:c r="F837" s="16" t="n">
        <x:v>0.45</x:v>
      </x:c>
      <x:c r="G837" s="16" t="n">
        <x:v>1</x:v>
      </x:c>
      <x:c r="H837" s="11" t="n">
        <x:f>H809</x:f>
        <x:v>0.14</x:v>
      </x:c>
      <x:c r="I837" s="11" t="n">
        <x:f>I809</x:f>
        <x:v>7</x:v>
      </x:c>
    </x:row>
    <x:row r="838" ht="23" customHeight="1">
      <x:c r="A838" s="11" t="str">
        <x:v>02162.HK</x:v>
      </x:c>
      <x:c r="B838" s="11" t="str">
        <x:v>2026年底</x:v>
      </x:c>
      <x:c r="C838" s="11" t="str">
        <x:v>CM336_domestic</x:v>
      </x:c>
      <x:c r="D838" s="11" t="str">
        <x:v>乐观</x:v>
      </x:c>
      <x:c r="E838" s="16" t="n">
        <x:v>0.65</x:v>
      </x:c>
      <x:c r="F838" s="16" t="n">
        <x:v>0.52</x:v>
      </x:c>
      <x:c r="G838" s="16" t="n">
        <x:v>1</x:v>
      </x:c>
      <x:c r="H838" s="11" t="n">
        <x:f>H810</x:f>
        <x:v>0.11</x:v>
      </x:c>
      <x:c r="I838" s="11" t="n">
        <x:f>I810</x:f>
        <x:v>7</x:v>
      </x:c>
    </x:row>
    <x:row r="839" ht="23" customHeight="1">
      <x:c r="A839" s="11" t="str">
        <x:v>02162.HK</x:v>
      </x:c>
      <x:c r="B839" s="11" t="str">
        <x:v>2026年底</x:v>
      </x:c>
      <x:c r="C839" s="11" t="str">
        <x:v>CM313_domestic</x:v>
      </x:c>
      <x:c r="D839" s="11" t="str">
        <x:v>活动输入</x:v>
      </x:c>
      <x:c r="E839" s="11" t="n">
        <x:f>CHOOSE('假设'!$B$3,E840,E841,E842)</x:f>
        <x:v>0.3</x:v>
      </x:c>
      <x:c r="F839" s="11" t="n">
        <x:f>CHOOSE('假设'!$B$3,F840,F841,F842)</x:f>
        <x:v>0.45</x:v>
      </x:c>
      <x:c r="G839" s="11" t="n">
        <x:f>CHOOSE('假设'!$B$3,G840,G841,G842)</x:f>
        <x:v>1</x:v>
      </x:c>
      <x:c r="H839" s="11" t="n">
        <x:f>CHOOSE('假设'!$B$3,H840,H841,H842)</x:f>
        <x:v>0.14</x:v>
      </x:c>
      <x:c r="I839" s="11" t="n">
        <x:f>CHOOSE('假设'!$B$3,I840,I841,I842)</x:f>
        <x:v>7</x:v>
      </x:c>
    </x:row>
    <x:row r="840" ht="23" customHeight="1">
      <x:c r="A840" s="11" t="str">
        <x:v>02162.HK</x:v>
      </x:c>
      <x:c r="B840" s="11" t="str">
        <x:v>2026年底</x:v>
      </x:c>
      <x:c r="C840" s="11" t="str">
        <x:v>CM313_domestic</x:v>
      </x:c>
      <x:c r="D840" s="11" t="str">
        <x:v>悲观</x:v>
      </x:c>
      <x:c r="E840" s="16" t="n">
        <x:v>0.1</x:v>
      </x:c>
      <x:c r="F840" s="16" t="n">
        <x:v>0.35</x:v>
      </x:c>
      <x:c r="G840" s="16" t="n">
        <x:v>1</x:v>
      </x:c>
      <x:c r="H840" s="11" t="n">
        <x:f>H808</x:f>
        <x:v>0.18</x:v>
      </x:c>
      <x:c r="I840" s="11" t="n">
        <x:f>I808</x:f>
        <x:v>7</x:v>
      </x:c>
    </x:row>
    <x:row r="841" ht="23" customHeight="1">
      <x:c r="A841" s="11" t="str">
        <x:v>02162.HK</x:v>
      </x:c>
      <x:c r="B841" s="11" t="str">
        <x:v>2026年底</x:v>
      </x:c>
      <x:c r="C841" s="11" t="str">
        <x:v>CM313_domestic</x:v>
      </x:c>
      <x:c r="D841" s="11" t="str">
        <x:v>基准</x:v>
      </x:c>
      <x:c r="E841" s="16" t="n">
        <x:v>0.3</x:v>
      </x:c>
      <x:c r="F841" s="16" t="n">
        <x:v>0.45</x:v>
      </x:c>
      <x:c r="G841" s="16" t="n">
        <x:v>1</x:v>
      </x:c>
      <x:c r="H841" s="11" t="n">
        <x:f>H809</x:f>
        <x:v>0.14</x:v>
      </x:c>
      <x:c r="I841" s="11" t="n">
        <x:f>I809</x:f>
        <x:v>7</x:v>
      </x:c>
    </x:row>
    <x:row r="842" ht="23" customHeight="1">
      <x:c r="A842" s="11" t="str">
        <x:v>02162.HK</x:v>
      </x:c>
      <x:c r="B842" s="11" t="str">
        <x:v>2026年底</x:v>
      </x:c>
      <x:c r="C842" s="11" t="str">
        <x:v>CM313_domestic</x:v>
      </x:c>
      <x:c r="D842" s="11" t="str">
        <x:v>乐观</x:v>
      </x:c>
      <x:c r="E842" s="16" t="n">
        <x:v>0.55</x:v>
      </x:c>
      <x:c r="F842" s="16" t="n">
        <x:v>0.5</x:v>
      </x:c>
      <x:c r="G842" s="16" t="n">
        <x:v>1</x:v>
      </x:c>
      <x:c r="H842" s="11" t="n">
        <x:f>H810</x:f>
        <x:v>0.11</x:v>
      </x:c>
      <x:c r="I842" s="11" t="n">
        <x:f>I810</x:f>
        <x:v>7</x:v>
      </x:c>
    </x:row>
    <x:row r="843" ht="23" customHeight="1">
      <x:c r="A843" s="11" t="str">
        <x:v>02162.HK</x:v>
      </x:c>
      <x:c r="B843" s="11" t="str">
        <x:v>2026年底</x:v>
      </x:c>
      <x:c r="C843" s="11" t="str">
        <x:v>CM326_China</x:v>
      </x:c>
      <x:c r="D843" s="11" t="str">
        <x:v>活动输入</x:v>
      </x:c>
      <x:c r="E843" s="11" t="n">
        <x:f>CHOOSE('假设'!$B$3,E844,E845,E846)</x:f>
        <x:v>0.45</x:v>
      </x:c>
      <x:c r="F843" s="11" t="n">
        <x:f>CHOOSE('假设'!$B$3,F844,F845,F846)</x:f>
        <x:v>0.083</x:v>
      </x:c>
      <x:c r="G843" s="11" t="n">
        <x:f>CHOOSE('假设'!$B$3,G844,G845,G846)</x:f>
        <x:v>1</x:v>
      </x:c>
      <x:c r="H843" s="11" t="n">
        <x:f>CHOOSE('假设'!$B$3,H844,H845,H846)</x:f>
        <x:v>0.14</x:v>
      </x:c>
      <x:c r="I843" s="11" t="n">
        <x:f>CHOOSE('假设'!$B$3,I844,I845,I846)</x:f>
        <x:v>7</x:v>
      </x:c>
    </x:row>
    <x:row r="844" ht="23" customHeight="1">
      <x:c r="A844" s="11" t="str">
        <x:v>02162.HK</x:v>
      </x:c>
      <x:c r="B844" s="11" t="str">
        <x:v>2026年底</x:v>
      </x:c>
      <x:c r="C844" s="11" t="str">
        <x:v>CM326_China</x:v>
      </x:c>
      <x:c r="D844" s="11" t="str">
        <x:v>悲观</x:v>
      </x:c>
      <x:c r="E844" s="16" t="n">
        <x:v>0.15</x:v>
      </x:c>
      <x:c r="F844" s="16" t="n">
        <x:v>0.05600000000000001</x:v>
      </x:c>
      <x:c r="G844" s="16" t="n">
        <x:v>1</x:v>
      </x:c>
      <x:c r="H844" s="11" t="n">
        <x:f>H808</x:f>
        <x:v>0.18</x:v>
      </x:c>
      <x:c r="I844" s="11" t="n">
        <x:f>I808</x:f>
        <x:v>7</x:v>
      </x:c>
    </x:row>
    <x:row r="845" ht="23" customHeight="1">
      <x:c r="A845" s="11" t="str">
        <x:v>02162.HK</x:v>
      </x:c>
      <x:c r="B845" s="11" t="str">
        <x:v>2026年底</x:v>
      </x:c>
      <x:c r="C845" s="11" t="str">
        <x:v>CM326_China</x:v>
      </x:c>
      <x:c r="D845" s="11" t="str">
        <x:v>基准</x:v>
      </x:c>
      <x:c r="E845" s="16" t="n">
        <x:v>0.45</x:v>
      </x:c>
      <x:c r="F845" s="16" t="n">
        <x:v>0.083</x:v>
      </x:c>
      <x:c r="G845" s="16" t="n">
        <x:v>1</x:v>
      </x:c>
      <x:c r="H845" s="11" t="n">
        <x:f>H809</x:f>
        <x:v>0.14</x:v>
      </x:c>
      <x:c r="I845" s="11" t="n">
        <x:f>I809</x:f>
        <x:v>7</x:v>
      </x:c>
    </x:row>
    <x:row r="846" ht="23" customHeight="1">
      <x:c r="A846" s="11" t="str">
        <x:v>02162.HK</x:v>
      </x:c>
      <x:c r="B846" s="11" t="str">
        <x:v>2026年底</x:v>
      </x:c>
      <x:c r="C846" s="11" t="str">
        <x:v>CM326_China</x:v>
      </x:c>
      <x:c r="D846" s="11" t="str">
        <x:v>乐观</x:v>
      </x:c>
      <x:c r="E846" s="16" t="n">
        <x:v>0.7</x:v>
      </x:c>
      <x:c r="F846" s="16" t="n">
        <x:v>0.1105</x:v>
      </x:c>
      <x:c r="G846" s="16" t="n">
        <x:v>1</x:v>
      </x:c>
      <x:c r="H846" s="11" t="n">
        <x:f>H810</x:f>
        <x:v>0.11</x:v>
      </x:c>
      <x:c r="I846" s="11" t="n">
        <x:f>I810</x:f>
        <x:v>7</x:v>
      </x:c>
    </x:row>
    <x:row r="847" ht="23" customHeight="1">
      <x:c r="A847" s="11" t="str">
        <x:v>02162.HK</x:v>
      </x:c>
      <x:c r="B847" s="11" t="str">
        <x:v>2026年底</x:v>
      </x:c>
      <x:c r="C847" s="11" t="str">
        <x:v>centralCost</x:v>
      </x:c>
      <x:c r="D847" s="11" t="str">
        <x:v>活动输入</x:v>
      </x:c>
      <x:c r="E847" s="11" t="n">
        <x:f>CHOOSE('假设'!$B$3,E848,E849,E850)</x:f>
        <x:v>1</x:v>
      </x:c>
      <x:c r="F847" s="11" t="n">
        <x:f>CHOOSE('假设'!$B$3,F848,F849,F850)</x:f>
        <x:v>0</x:v>
      </x:c>
      <x:c r="G847" s="11" t="n">
        <x:f>CHOOSE('假设'!$B$3,G848,G849,G850)</x:f>
        <x:v>1</x:v>
      </x:c>
      <x:c r="H847" s="11" t="n">
        <x:f>CHOOSE('假设'!$B$3,H848,H849,H850)</x:f>
        <x:v>0.14</x:v>
      </x:c>
      <x:c r="I847" s="11" t="n">
        <x:f>CHOOSE('假设'!$B$3,I848,I849,I850)</x:f>
        <x:v>7</x:v>
      </x:c>
    </x:row>
    <x:row r="848" ht="23" customHeight="1">
      <x:c r="A848" s="11" t="str">
        <x:v>02162.HK</x:v>
      </x:c>
      <x:c r="B848" s="11" t="str">
        <x:v>2026年底</x:v>
      </x:c>
      <x:c r="C848" s="11" t="str">
        <x:v>centralCost</x:v>
      </x:c>
      <x:c r="D848" s="11" t="str">
        <x:v>悲观</x:v>
      </x:c>
      <x:c r="E848" s="16" t="n">
        <x:v>1</x:v>
      </x:c>
      <x:c r="F848" s="16" t="n">
        <x:v>0</x:v>
      </x:c>
      <x:c r="G848" s="16" t="n">
        <x:v>1</x:v>
      </x:c>
      <x:c r="H848" s="11" t="n">
        <x:f>H808</x:f>
        <x:v>0.18</x:v>
      </x:c>
      <x:c r="I848" s="11" t="n">
        <x:f>I808</x:f>
        <x:v>7</x:v>
      </x:c>
    </x:row>
    <x:row r="849" ht="23" customHeight="1">
      <x:c r="A849" s="11" t="str">
        <x:v>02162.HK</x:v>
      </x:c>
      <x:c r="B849" s="11" t="str">
        <x:v>2026年底</x:v>
      </x:c>
      <x:c r="C849" s="11" t="str">
        <x:v>centralCost</x:v>
      </x:c>
      <x:c r="D849" s="11" t="str">
        <x:v>基准</x:v>
      </x:c>
      <x:c r="E849" s="16" t="n">
        <x:v>1</x:v>
      </x:c>
      <x:c r="F849" s="16" t="n">
        <x:v>0</x:v>
      </x:c>
      <x:c r="G849" s="16" t="n">
        <x:v>1</x:v>
      </x:c>
      <x:c r="H849" s="11" t="n">
        <x:f>H809</x:f>
        <x:v>0.14</x:v>
      </x:c>
      <x:c r="I849" s="11" t="n">
        <x:f>I809</x:f>
        <x:v>7</x:v>
      </x:c>
    </x:row>
    <x:row r="850" ht="23" customHeight="1">
      <x:c r="A850" s="11" t="str">
        <x:v>02162.HK</x:v>
      </x:c>
      <x:c r="B850" s="11" t="str">
        <x:v>2026年底</x:v>
      </x:c>
      <x:c r="C850" s="11" t="str">
        <x:v>centralCost</x:v>
      </x:c>
      <x:c r="D850" s="11" t="str">
        <x:v>乐观</x:v>
      </x:c>
      <x:c r="E850" s="16" t="n">
        <x:v>1</x:v>
      </x:c>
      <x:c r="F850" s="16" t="n">
        <x:v>0</x:v>
      </x:c>
      <x:c r="G850" s="16" t="n">
        <x:v>1</x:v>
      </x:c>
      <x:c r="H850" s="11" t="n">
        <x:f>H810</x:f>
        <x:v>0.11</x:v>
      </x:c>
      <x:c r="I850" s="11" t="n">
        <x:f>I810</x:f>
        <x:v>7</x:v>
      </x:c>
    </x:row>
    <x:row r="851" ht="23" customHeight="1">
      <x:c r="A851" s="11" t="str">
        <x:v>02162.HK</x:v>
      </x:c>
      <x:c r="B851" s="11" t="str">
        <x:v>半年</x:v>
      </x:c>
      <x:c r="C851" s="11" t="str">
        <x:v>CM310_approved</x:v>
      </x:c>
      <x:c r="D851" s="11" t="str">
        <x:v>活动输入</x:v>
      </x:c>
      <x:c r="E851" s="11" t="n">
        <x:f>CHOOSE('假设'!$B$3,E852,E853,E854)</x:f>
        <x:v>0.97</x:v>
      </x:c>
      <x:c r="F851" s="11" t="n">
        <x:f>CHOOSE('假设'!$B$3,F852,F853,F854)</x:f>
        <x:v>0.45</x:v>
      </x:c>
      <x:c r="G851" s="11" t="n">
        <x:f>CHOOSE('假设'!$B$3,G852,G853,G854)</x:f>
        <x:v>1</x:v>
      </x:c>
      <x:c r="H851" s="11" t="n">
        <x:f>CHOOSE('假设'!$B$3,H852,H853,H854)</x:f>
        <x:v>0.14</x:v>
      </x:c>
      <x:c r="I851" s="11" t="n">
        <x:f>CHOOSE('假设'!$B$3,I852,I853,I854)</x:f>
        <x:v>7</x:v>
      </x:c>
    </x:row>
    <x:row r="852" ht="23" customHeight="1">
      <x:c r="A852" s="11" t="str">
        <x:v>02162.HK</x:v>
      </x:c>
      <x:c r="B852" s="11" t="str">
        <x:v>半年</x:v>
      </x:c>
      <x:c r="C852" s="11" t="str">
        <x:v>CM310_approved</x:v>
      </x:c>
      <x:c r="D852" s="11" t="str">
        <x:v>悲观</x:v>
      </x:c>
      <x:c r="E852" s="16" t="n">
        <x:v>0.9</x:v>
      </x:c>
      <x:c r="F852" s="16" t="n">
        <x:v>0.35</x:v>
      </x:c>
      <x:c r="G852" s="16" t="n">
        <x:v>1</x:v>
      </x:c>
      <x:c r="H852" s="16" t="n">
        <x:v>0.18</x:v>
      </x:c>
      <x:c r="I852" s="16" t="n">
        <x:v>7</x:v>
      </x:c>
    </x:row>
    <x:row r="853" ht="23" customHeight="1">
      <x:c r="A853" s="11" t="str">
        <x:v>02162.HK</x:v>
      </x:c>
      <x:c r="B853" s="11" t="str">
        <x:v>半年</x:v>
      </x:c>
      <x:c r="C853" s="11" t="str">
        <x:v>CM310_approved</x:v>
      </x:c>
      <x:c r="D853" s="11" t="str">
        <x:v>基准</x:v>
      </x:c>
      <x:c r="E853" s="16" t="n">
        <x:v>0.97</x:v>
      </x:c>
      <x:c r="F853" s="16" t="n">
        <x:v>0.45</x:v>
      </x:c>
      <x:c r="G853" s="16" t="n">
        <x:v>1</x:v>
      </x:c>
      <x:c r="H853" s="16" t="n">
        <x:v>0.14</x:v>
      </x:c>
      <x:c r="I853" s="16" t="n">
        <x:v>7</x:v>
      </x:c>
    </x:row>
    <x:row r="854" ht="23" customHeight="1">
      <x:c r="A854" s="11" t="str">
        <x:v>02162.HK</x:v>
      </x:c>
      <x:c r="B854" s="11" t="str">
        <x:v>半年</x:v>
      </x:c>
      <x:c r="C854" s="11" t="str">
        <x:v>CM310_approved</x:v>
      </x:c>
      <x:c r="D854" s="11" t="str">
        <x:v>乐观</x:v>
      </x:c>
      <x:c r="E854" s="16" t="n">
        <x:v>1</x:v>
      </x:c>
      <x:c r="F854" s="16" t="n">
        <x:v>0.52</x:v>
      </x:c>
      <x:c r="G854" s="16" t="n">
        <x:v>1</x:v>
      </x:c>
      <x:c r="H854" s="16" t="n">
        <x:v>0.11</x:v>
      </x:c>
      <x:c r="I854" s="16" t="n">
        <x:v>7</x:v>
      </x:c>
    </x:row>
    <x:row r="855" ht="23" customHeight="1">
      <x:c r="A855" s="11" t="str">
        <x:v>02162.HK</x:v>
      </x:c>
      <x:c r="B855" s="11" t="str">
        <x:v>半年</x:v>
      </x:c>
      <x:c r="C855" s="11" t="str">
        <x:v>CM310_new</x:v>
      </x:c>
      <x:c r="D855" s="11" t="str">
        <x:v>活动输入</x:v>
      </x:c>
      <x:c r="E855" s="11" t="n">
        <x:f>CHOOSE('假设'!$B$3,E856,E857,E858)</x:f>
        <x:v>0.7</x:v>
      </x:c>
      <x:c r="F855" s="11" t="n">
        <x:f>CHOOSE('假设'!$B$3,F856,F857,F858)</x:f>
        <x:v>0.45</x:v>
      </x:c>
      <x:c r="G855" s="11" t="n">
        <x:f>CHOOSE('假设'!$B$3,G856,G857,G858)</x:f>
        <x:v>1</x:v>
      </x:c>
      <x:c r="H855" s="11" t="n">
        <x:f>CHOOSE('假设'!$B$3,H856,H857,H858)</x:f>
        <x:v>0.14</x:v>
      </x:c>
      <x:c r="I855" s="11" t="n">
        <x:f>CHOOSE('假设'!$B$3,I856,I857,I858)</x:f>
        <x:v>7</x:v>
      </x:c>
    </x:row>
    <x:row r="856" ht="23" customHeight="1">
      <x:c r="A856" s="11" t="str">
        <x:v>02162.HK</x:v>
      </x:c>
      <x:c r="B856" s="11" t="str">
        <x:v>半年</x:v>
      </x:c>
      <x:c r="C856" s="11" t="str">
        <x:v>CM310_new</x:v>
      </x:c>
      <x:c r="D856" s="11" t="str">
        <x:v>悲观</x:v>
      </x:c>
      <x:c r="E856" s="16" t="n">
        <x:v>0.35</x:v>
      </x:c>
      <x:c r="F856" s="16" t="n">
        <x:v>0.35</x:v>
      </x:c>
      <x:c r="G856" s="16" t="n">
        <x:v>1</x:v>
      </x:c>
      <x:c r="H856" s="11" t="n">
        <x:f>H852</x:f>
        <x:v>0.18</x:v>
      </x:c>
      <x:c r="I856" s="11" t="n">
        <x:f>I852</x:f>
        <x:v>7</x:v>
      </x:c>
    </x:row>
    <x:row r="857" ht="23" customHeight="1">
      <x:c r="A857" s="11" t="str">
        <x:v>02162.HK</x:v>
      </x:c>
      <x:c r="B857" s="11" t="str">
        <x:v>半年</x:v>
      </x:c>
      <x:c r="C857" s="11" t="str">
        <x:v>CM310_new</x:v>
      </x:c>
      <x:c r="D857" s="11" t="str">
        <x:v>基准</x:v>
      </x:c>
      <x:c r="E857" s="16" t="n">
        <x:v>0.7</x:v>
      </x:c>
      <x:c r="F857" s="16" t="n">
        <x:v>0.45</x:v>
      </x:c>
      <x:c r="G857" s="16" t="n">
        <x:v>1</x:v>
      </x:c>
      <x:c r="H857" s="11" t="n">
        <x:f>H853</x:f>
        <x:v>0.14</x:v>
      </x:c>
      <x:c r="I857" s="11" t="n">
        <x:f>I853</x:f>
        <x:v>7</x:v>
      </x:c>
    </x:row>
    <x:row r="858" ht="23" customHeight="1">
      <x:c r="A858" s="11" t="str">
        <x:v>02162.HK</x:v>
      </x:c>
      <x:c r="B858" s="11" t="str">
        <x:v>半年</x:v>
      </x:c>
      <x:c r="C858" s="11" t="str">
        <x:v>CM310_new</x:v>
      </x:c>
      <x:c r="D858" s="11" t="str">
        <x:v>乐观</x:v>
      </x:c>
      <x:c r="E858" s="16" t="n">
        <x:v>0.9</x:v>
      </x:c>
      <x:c r="F858" s="16" t="n">
        <x:v>0.52</x:v>
      </x:c>
      <x:c r="G858" s="16" t="n">
        <x:v>1</x:v>
      </x:c>
      <x:c r="H858" s="11" t="n">
        <x:f>H854</x:f>
        <x:v>0.11</x:v>
      </x:c>
      <x:c r="I858" s="11" t="n">
        <x:f>I854</x:f>
        <x:v>7</x:v>
      </x:c>
    </x:row>
    <x:row r="859" ht="23" customHeight="1">
      <x:c r="A859" s="11" t="str">
        <x:v>02162.HK</x:v>
      </x:c>
      <x:c r="B859" s="11" t="str">
        <x:v>半年</x:v>
      </x:c>
      <x:c r="C859" s="11" t="str">
        <x:v>CM512_CRSwNP</x:v>
      </x:c>
      <x:c r="D859" s="11" t="str">
        <x:v>活动输入</x:v>
      </x:c>
      <x:c r="E859" s="11" t="n">
        <x:f>CHOOSE('假设'!$B$3,E860,E861,E862)</x:f>
        <x:v>0.5</x:v>
      </x:c>
      <x:c r="F859" s="11" t="n">
        <x:f>CHOOSE('假设'!$B$3,F860,F861,F862)</x:f>
        <x:v>0.5</x:v>
      </x:c>
      <x:c r="G859" s="11" t="n">
        <x:f>CHOOSE('假设'!$B$3,G860,G861,G862)</x:f>
        <x:v>1</x:v>
      </x:c>
      <x:c r="H859" s="11" t="n">
        <x:f>CHOOSE('假设'!$B$3,H860,H861,H862)</x:f>
        <x:v>0.14</x:v>
      </x:c>
      <x:c r="I859" s="11" t="n">
        <x:f>CHOOSE('假设'!$B$3,I860,I861,I862)</x:f>
        <x:v>7</x:v>
      </x:c>
    </x:row>
    <x:row r="860" ht="23" customHeight="1">
      <x:c r="A860" s="11" t="str">
        <x:v>02162.HK</x:v>
      </x:c>
      <x:c r="B860" s="11" t="str">
        <x:v>半年</x:v>
      </x:c>
      <x:c r="C860" s="11" t="str">
        <x:v>CM512_CRSwNP</x:v>
      </x:c>
      <x:c r="D860" s="11" t="str">
        <x:v>悲观</x:v>
      </x:c>
      <x:c r="E860" s="16" t="n">
        <x:v>0.15</x:v>
      </x:c>
      <x:c r="F860" s="16" t="n">
        <x:v>0.38</x:v>
      </x:c>
      <x:c r="G860" s="16" t="n">
        <x:v>1</x:v>
      </x:c>
      <x:c r="H860" s="11" t="n">
        <x:f>H852</x:f>
        <x:v>0.18</x:v>
      </x:c>
      <x:c r="I860" s="11" t="n">
        <x:f>I852</x:f>
        <x:v>7</x:v>
      </x:c>
    </x:row>
    <x:row r="861" ht="23" customHeight="1">
      <x:c r="A861" s="11" t="str">
        <x:v>02162.HK</x:v>
      </x:c>
      <x:c r="B861" s="11" t="str">
        <x:v>半年</x:v>
      </x:c>
      <x:c r="C861" s="11" t="str">
        <x:v>CM512_CRSwNP</x:v>
      </x:c>
      <x:c r="D861" s="11" t="str">
        <x:v>基准</x:v>
      </x:c>
      <x:c r="E861" s="16" t="n">
        <x:v>0.5</x:v>
      </x:c>
      <x:c r="F861" s="16" t="n">
        <x:v>0.5</x:v>
      </x:c>
      <x:c r="G861" s="16" t="n">
        <x:v>1</x:v>
      </x:c>
      <x:c r="H861" s="11" t="n">
        <x:f>H853</x:f>
        <x:v>0.14</x:v>
      </x:c>
      <x:c r="I861" s="11" t="n">
        <x:f>I853</x:f>
        <x:v>7</x:v>
      </x:c>
    </x:row>
    <x:row r="862" ht="23" customHeight="1">
      <x:c r="A862" s="11" t="str">
        <x:v>02162.HK</x:v>
      </x:c>
      <x:c r="B862" s="11" t="str">
        <x:v>半年</x:v>
      </x:c>
      <x:c r="C862" s="11" t="str">
        <x:v>CM512_CRSwNP</x:v>
      </x:c>
      <x:c r="D862" s="11" t="str">
        <x:v>乐观</x:v>
      </x:c>
      <x:c r="E862" s="16" t="n">
        <x:v>0.75</x:v>
      </x:c>
      <x:c r="F862" s="16" t="n">
        <x:v>0.57</x:v>
      </x:c>
      <x:c r="G862" s="16" t="n">
        <x:v>1</x:v>
      </x:c>
      <x:c r="H862" s="11" t="n">
        <x:f>H854</x:f>
        <x:v>0.11</x:v>
      </x:c>
      <x:c r="I862" s="11" t="n">
        <x:f>I854</x:f>
        <x:v>7</x:v>
      </x:c>
    </x:row>
    <x:row r="863" ht="23" customHeight="1">
      <x:c r="A863" s="11" t="str">
        <x:v>02162.HK</x:v>
      </x:c>
      <x:c r="B863" s="11" t="str">
        <x:v>半年</x:v>
      </x:c>
      <x:c r="C863" s="11" t="str">
        <x:v>CM512_other</x:v>
      </x:c>
      <x:c r="D863" s="11" t="str">
        <x:v>活动输入</x:v>
      </x:c>
      <x:c r="E863" s="11" t="n">
        <x:f>CHOOSE('假设'!$B$3,E864,E865,E866)</x:f>
        <x:v>0.3</x:v>
      </x:c>
      <x:c r="F863" s="11" t="n">
        <x:f>CHOOSE('假设'!$B$3,F864,F865,F866)</x:f>
        <x:v>0.48</x:v>
      </x:c>
      <x:c r="G863" s="11" t="n">
        <x:f>CHOOSE('假设'!$B$3,G864,G865,G866)</x:f>
        <x:v>1</x:v>
      </x:c>
      <x:c r="H863" s="11" t="n">
        <x:f>CHOOSE('假设'!$B$3,H864,H865,H866)</x:f>
        <x:v>0.14</x:v>
      </x:c>
      <x:c r="I863" s="11" t="n">
        <x:f>CHOOSE('假设'!$B$3,I864,I865,I866)</x:f>
        <x:v>7</x:v>
      </x:c>
    </x:row>
    <x:row r="864" ht="23" customHeight="1">
      <x:c r="A864" s="11" t="str">
        <x:v>02162.HK</x:v>
      </x:c>
      <x:c r="B864" s="11" t="str">
        <x:v>半年</x:v>
      </x:c>
      <x:c r="C864" s="11" t="str">
        <x:v>CM512_other</x:v>
      </x:c>
      <x:c r="D864" s="11" t="str">
        <x:v>悲观</x:v>
      </x:c>
      <x:c r="E864" s="16" t="n">
        <x:v>0.08</x:v>
      </x:c>
      <x:c r="F864" s="16" t="n">
        <x:v>0.35</x:v>
      </x:c>
      <x:c r="G864" s="16" t="n">
        <x:v>1</x:v>
      </x:c>
      <x:c r="H864" s="11" t="n">
        <x:f>H852</x:f>
        <x:v>0.18</x:v>
      </x:c>
      <x:c r="I864" s="11" t="n">
        <x:f>I852</x:f>
        <x:v>7</x:v>
      </x:c>
    </x:row>
    <x:row r="865" ht="23" customHeight="1">
      <x:c r="A865" s="11" t="str">
        <x:v>02162.HK</x:v>
      </x:c>
      <x:c r="B865" s="11" t="str">
        <x:v>半年</x:v>
      </x:c>
      <x:c r="C865" s="11" t="str">
        <x:v>CM512_other</x:v>
      </x:c>
      <x:c r="D865" s="11" t="str">
        <x:v>基准</x:v>
      </x:c>
      <x:c r="E865" s="16" t="n">
        <x:v>0.3</x:v>
      </x:c>
      <x:c r="F865" s="16" t="n">
        <x:v>0.48</x:v>
      </x:c>
      <x:c r="G865" s="16" t="n">
        <x:v>1</x:v>
      </x:c>
      <x:c r="H865" s="11" t="n">
        <x:f>H853</x:f>
        <x:v>0.14</x:v>
      </x:c>
      <x:c r="I865" s="11" t="n">
        <x:f>I853</x:f>
        <x:v>7</x:v>
      </x:c>
    </x:row>
    <x:row r="866" ht="23" customHeight="1">
      <x:c r="A866" s="11" t="str">
        <x:v>02162.HK</x:v>
      </x:c>
      <x:c r="B866" s="11" t="str">
        <x:v>半年</x:v>
      </x:c>
      <x:c r="C866" s="11" t="str">
        <x:v>CM512_other</x:v>
      </x:c>
      <x:c r="D866" s="11" t="str">
        <x:v>乐观</x:v>
      </x:c>
      <x:c r="E866" s="16" t="n">
        <x:v>0.55</x:v>
      </x:c>
      <x:c r="F866" s="16" t="n">
        <x:v>0.55</x:v>
      </x:c>
      <x:c r="G866" s="16" t="n">
        <x:v>1</x:v>
      </x:c>
      <x:c r="H866" s="11" t="n">
        <x:f>H854</x:f>
        <x:v>0.11</x:v>
      </x:c>
      <x:c r="I866" s="11" t="n">
        <x:f>I854</x:f>
        <x:v>7</x:v>
      </x:c>
    </x:row>
    <x:row r="867" ht="23" customHeight="1">
      <x:c r="A867" s="11" t="str">
        <x:v>02162.HK</x:v>
      </x:c>
      <x:c r="B867" s="11" t="str">
        <x:v>半年</x:v>
      </x:c>
      <x:c r="C867" s="11" t="str">
        <x:v>CMG901_2Lplus</x:v>
      </x:c>
      <x:c r="D867" s="11" t="str">
        <x:v>活动输入</x:v>
      </x:c>
      <x:c r="E867" s="11" t="n">
        <x:f>CHOOSE('假设'!$B$3,E868,E869,E870)</x:f>
        <x:v>0.75</x:v>
      </x:c>
      <x:c r="F867" s="11" t="n">
        <x:f>CHOOSE('假设'!$B$3,F868,F869,F870)</x:f>
        <x:v>0.09839999999999999</x:v>
      </x:c>
      <x:c r="G867" s="11" t="n">
        <x:f>CHOOSE('假设'!$B$3,G868,G869,G870)</x:f>
        <x:v>0.7</x:v>
      </x:c>
      <x:c r="H867" s="11" t="n">
        <x:f>CHOOSE('假设'!$B$3,H868,H869,H870)</x:f>
        <x:v>0.14</x:v>
      </x:c>
      <x:c r="I867" s="11" t="n">
        <x:f>CHOOSE('假设'!$B$3,I868,I869,I870)</x:f>
        <x:v>7</x:v>
      </x:c>
    </x:row>
    <x:row r="868" ht="23" customHeight="1">
      <x:c r="A868" s="11" t="str">
        <x:v>02162.HK</x:v>
      </x:c>
      <x:c r="B868" s="11" t="str">
        <x:v>半年</x:v>
      </x:c>
      <x:c r="C868" s="11" t="str">
        <x:v>CMG901_2Lplus</x:v>
      </x:c>
      <x:c r="D868" s="11" t="str">
        <x:v>悲观</x:v>
      </x:c>
      <x:c r="E868" s="16" t="n">
        <x:v>0.35</x:v>
      </x:c>
      <x:c r="F868" s="16" t="n">
        <x:v>0.0702</x:v>
      </x:c>
      <x:c r="G868" s="16" t="n">
        <x:v>0.7</x:v>
      </x:c>
      <x:c r="H868" s="11" t="n">
        <x:f>H852</x:f>
        <x:v>0.18</x:v>
      </x:c>
      <x:c r="I868" s="11" t="n">
        <x:f>I852</x:f>
        <x:v>7</x:v>
      </x:c>
    </x:row>
    <x:row r="869" ht="23" customHeight="1">
      <x:c r="A869" s="11" t="str">
        <x:v>02162.HK</x:v>
      </x:c>
      <x:c r="B869" s="11" t="str">
        <x:v>半年</x:v>
      </x:c>
      <x:c r="C869" s="11" t="str">
        <x:v>CMG901_2Lplus</x:v>
      </x:c>
      <x:c r="D869" s="11" t="str">
        <x:v>基准</x:v>
      </x:c>
      <x:c r="E869" s="16" t="n">
        <x:v>0.75</x:v>
      </x:c>
      <x:c r="F869" s="16" t="n">
        <x:v>0.09839999999999999</x:v>
      </x:c>
      <x:c r="G869" s="16" t="n">
        <x:v>0.7</x:v>
      </x:c>
      <x:c r="H869" s="11" t="n">
        <x:f>H853</x:f>
        <x:v>0.14</x:v>
      </x:c>
      <x:c r="I869" s="11" t="n">
        <x:f>I853</x:f>
        <x:v>7</x:v>
      </x:c>
    </x:row>
    <x:row r="870" ht="23" customHeight="1">
      <x:c r="A870" s="11" t="str">
        <x:v>02162.HK</x:v>
      </x:c>
      <x:c r="B870" s="11" t="str">
        <x:v>半年</x:v>
      </x:c>
      <x:c r="C870" s="11" t="str">
        <x:v>CMG901_2Lplus</x:v>
      </x:c>
      <x:c r="D870" s="11" t="str">
        <x:v>乐观</x:v>
      </x:c>
      <x:c r="E870" s="16" t="n">
        <x:v>0.9</x:v>
      </x:c>
      <x:c r="F870" s="16" t="n">
        <x:v>0.1275</x:v>
      </x:c>
      <x:c r="G870" s="16" t="n">
        <x:v>0.7</x:v>
      </x:c>
      <x:c r="H870" s="11" t="n">
        <x:f>H854</x:f>
        <x:v>0.11</x:v>
      </x:c>
      <x:c r="I870" s="11" t="n">
        <x:f>I854</x:f>
        <x:v>7</x:v>
      </x:c>
    </x:row>
    <x:row r="871" ht="23" customHeight="1">
      <x:c r="A871" s="11" t="str">
        <x:v>02162.HK</x:v>
      </x:c>
      <x:c r="B871" s="11" t="str">
        <x:v>半年</x:v>
      </x:c>
      <x:c r="C871" s="11" t="str">
        <x:v>CMG901_expansion</x:v>
      </x:c>
      <x:c r="D871" s="11" t="str">
        <x:v>活动输入</x:v>
      </x:c>
      <x:c r="E871" s="11" t="n">
        <x:f>CHOOSE('假设'!$B$3,E872,E873,E874)</x:f>
        <x:v>0.35</x:v>
      </x:c>
      <x:c r="F871" s="11" t="n">
        <x:f>CHOOSE('假设'!$B$3,F872,F873,F874)</x:f>
        <x:v>0.09839999999999999</x:v>
      </x:c>
      <x:c r="G871" s="11" t="n">
        <x:f>CHOOSE('假设'!$B$3,G872,G873,G874)</x:f>
        <x:v>0.7</x:v>
      </x:c>
      <x:c r="H871" s="11" t="n">
        <x:f>CHOOSE('假设'!$B$3,H872,H873,H874)</x:f>
        <x:v>0.14</x:v>
      </x:c>
      <x:c r="I871" s="11" t="n">
        <x:f>CHOOSE('假设'!$B$3,I872,I873,I874)</x:f>
        <x:v>7</x:v>
      </x:c>
    </x:row>
    <x:row r="872" ht="23" customHeight="1">
      <x:c r="A872" s="11" t="str">
        <x:v>02162.HK</x:v>
      </x:c>
      <x:c r="B872" s="11" t="str">
        <x:v>半年</x:v>
      </x:c>
      <x:c r="C872" s="11" t="str">
        <x:v>CMG901_expansion</x:v>
      </x:c>
      <x:c r="D872" s="11" t="str">
        <x:v>悲观</x:v>
      </x:c>
      <x:c r="E872" s="16" t="n">
        <x:v>0.1</x:v>
      </x:c>
      <x:c r="F872" s="16" t="n">
        <x:v>0.0702</x:v>
      </x:c>
      <x:c r="G872" s="16" t="n">
        <x:v>0.7</x:v>
      </x:c>
      <x:c r="H872" s="11" t="n">
        <x:f>H852</x:f>
        <x:v>0.18</x:v>
      </x:c>
      <x:c r="I872" s="11" t="n">
        <x:f>I852</x:f>
        <x:v>7</x:v>
      </x:c>
    </x:row>
    <x:row r="873" ht="23" customHeight="1">
      <x:c r="A873" s="11" t="str">
        <x:v>02162.HK</x:v>
      </x:c>
      <x:c r="B873" s="11" t="str">
        <x:v>半年</x:v>
      </x:c>
      <x:c r="C873" s="11" t="str">
        <x:v>CMG901_expansion</x:v>
      </x:c>
      <x:c r="D873" s="11" t="str">
        <x:v>基准</x:v>
      </x:c>
      <x:c r="E873" s="16" t="n">
        <x:v>0.35</x:v>
      </x:c>
      <x:c r="F873" s="16" t="n">
        <x:v>0.09839999999999999</x:v>
      </x:c>
      <x:c r="G873" s="16" t="n">
        <x:v>0.7</x:v>
      </x:c>
      <x:c r="H873" s="11" t="n">
        <x:f>H853</x:f>
        <x:v>0.14</x:v>
      </x:c>
      <x:c r="I873" s="11" t="n">
        <x:f>I853</x:f>
        <x:v>7</x:v>
      </x:c>
    </x:row>
    <x:row r="874" ht="23" customHeight="1">
      <x:c r="A874" s="11" t="str">
        <x:v>02162.HK</x:v>
      </x:c>
      <x:c r="B874" s="11" t="str">
        <x:v>半年</x:v>
      </x:c>
      <x:c r="C874" s="11" t="str">
        <x:v>CMG901_expansion</x:v>
      </x:c>
      <x:c r="D874" s="11" t="str">
        <x:v>乐观</x:v>
      </x:c>
      <x:c r="E874" s="16" t="n">
        <x:v>0.6</x:v>
      </x:c>
      <x:c r="F874" s="16" t="n">
        <x:v>0.1275</x:v>
      </x:c>
      <x:c r="G874" s="16" t="n">
        <x:v>0.7</x:v>
      </x:c>
      <x:c r="H874" s="11" t="n">
        <x:f>H854</x:f>
        <x:v>0.11</x:v>
      </x:c>
      <x:c r="I874" s="11" t="n">
        <x:f>I854</x:f>
        <x:v>7</x:v>
      </x:c>
    </x:row>
    <x:row r="875" ht="23" customHeight="1">
      <x:c r="A875" s="11" t="str">
        <x:v>02162.HK</x:v>
      </x:c>
      <x:c r="B875" s="11" t="str">
        <x:v>半年</x:v>
      </x:c>
      <x:c r="C875" s="11" t="str">
        <x:v>CM336_foreign</x:v>
      </x:c>
      <x:c r="D875" s="11" t="str">
        <x:v>活动输入</x:v>
      </x:c>
      <x:c r="E875" s="11" t="n">
        <x:f>CHOOSE('假设'!$B$3,E876,E877,E878)</x:f>
        <x:v>0.25</x:v>
      </x:c>
      <x:c r="F875" s="11" t="n">
        <x:f>CHOOSE('假设'!$B$3,F876,F877,F878)</x:f>
        <x:v>0.09129999999999999</x:v>
      </x:c>
      <x:c r="G875" s="11" t="n">
        <x:f>CHOOSE('假设'!$B$3,G876,G877,G878)</x:f>
        <x:v>1</x:v>
      </x:c>
      <x:c r="H875" s="11" t="n">
        <x:f>CHOOSE('假设'!$B$3,H876,H877,H878)</x:f>
        <x:v>0.14</x:v>
      </x:c>
      <x:c r="I875" s="11" t="n">
        <x:f>CHOOSE('假设'!$B$3,I876,I877,I878)</x:f>
        <x:v>7</x:v>
      </x:c>
    </x:row>
    <x:row r="876" ht="23" customHeight="1">
      <x:c r="A876" s="11" t="str">
        <x:v>02162.HK</x:v>
      </x:c>
      <x:c r="B876" s="11" t="str">
        <x:v>半年</x:v>
      </x:c>
      <x:c r="C876" s="11" t="str">
        <x:v>CM336_foreign</x:v>
      </x:c>
      <x:c r="D876" s="11" t="str">
        <x:v>悲观</x:v>
      </x:c>
      <x:c r="E876" s="16" t="n">
        <x:v>0.08</x:v>
      </x:c>
      <x:c r="F876" s="16" t="n">
        <x:v>0.064</x:v>
      </x:c>
      <x:c r="G876" s="16" t="n">
        <x:v>1</x:v>
      </x:c>
      <x:c r="H876" s="11" t="n">
        <x:f>H852</x:f>
        <x:v>0.18</x:v>
      </x:c>
      <x:c r="I876" s="11" t="n">
        <x:f>I852</x:f>
        <x:v>7</x:v>
      </x:c>
    </x:row>
    <x:row r="877" ht="23" customHeight="1">
      <x:c r="A877" s="11" t="str">
        <x:v>02162.HK</x:v>
      </x:c>
      <x:c r="B877" s="11" t="str">
        <x:v>半年</x:v>
      </x:c>
      <x:c r="C877" s="11" t="str">
        <x:v>CM336_foreign</x:v>
      </x:c>
      <x:c r="D877" s="11" t="str">
        <x:v>基准</x:v>
      </x:c>
      <x:c r="E877" s="16" t="n">
        <x:v>0.25</x:v>
      </x:c>
      <x:c r="F877" s="16" t="n">
        <x:v>0.09129999999999999</x:v>
      </x:c>
      <x:c r="G877" s="16" t="n">
        <x:v>1</x:v>
      </x:c>
      <x:c r="H877" s="11" t="n">
        <x:f>H853</x:f>
        <x:v>0.14</x:v>
      </x:c>
      <x:c r="I877" s="11" t="n">
        <x:f>I853</x:f>
        <x:v>7</x:v>
      </x:c>
    </x:row>
    <x:row r="878" ht="23" customHeight="1">
      <x:c r="A878" s="11" t="str">
        <x:v>02162.HK</x:v>
      </x:c>
      <x:c r="B878" s="11" t="str">
        <x:v>半年</x:v>
      </x:c>
      <x:c r="C878" s="11" t="str">
        <x:v>CM336_foreign</x:v>
      </x:c>
      <x:c r="D878" s="11" t="str">
        <x:v>乐观</x:v>
      </x:c>
      <x:c r="E878" s="16" t="n">
        <x:v>0.5</x:v>
      </x:c>
      <x:c r="F878" s="16" t="n">
        <x:v>0.11900000000000001</x:v>
      </x:c>
      <x:c r="G878" s="16" t="n">
        <x:v>1</x:v>
      </x:c>
      <x:c r="H878" s="11" t="n">
        <x:f>H854</x:f>
        <x:v>0.11</x:v>
      </x:c>
      <x:c r="I878" s="11" t="n">
        <x:f>I854</x:f>
        <x:v>7</x:v>
      </x:c>
    </x:row>
    <x:row r="879" ht="23" customHeight="1">
      <x:c r="A879" s="11" t="str">
        <x:v>02162.HK</x:v>
      </x:c>
      <x:c r="B879" s="11" t="str">
        <x:v>半年</x:v>
      </x:c>
      <x:c r="C879" s="11" t="str">
        <x:v>CM336_domestic</x:v>
      </x:c>
      <x:c r="D879" s="11" t="str">
        <x:v>活动输入</x:v>
      </x:c>
      <x:c r="E879" s="11" t="n">
        <x:f>CHOOSE('假设'!$B$3,E880,E881,E882)</x:f>
        <x:v>0.4</x:v>
      </x:c>
      <x:c r="F879" s="11" t="n">
        <x:f>CHOOSE('假设'!$B$3,F880,F881,F882)</x:f>
        <x:v>0.45</x:v>
      </x:c>
      <x:c r="G879" s="11" t="n">
        <x:f>CHOOSE('假设'!$B$3,G880,G881,G882)</x:f>
        <x:v>1</x:v>
      </x:c>
      <x:c r="H879" s="11" t="n">
        <x:f>CHOOSE('假设'!$B$3,H880,H881,H882)</x:f>
        <x:v>0.14</x:v>
      </x:c>
      <x:c r="I879" s="11" t="n">
        <x:f>CHOOSE('假设'!$B$3,I880,I881,I882)</x:f>
        <x:v>7</x:v>
      </x:c>
    </x:row>
    <x:row r="880" ht="23" customHeight="1">
      <x:c r="A880" s="11" t="str">
        <x:v>02162.HK</x:v>
      </x:c>
      <x:c r="B880" s="11" t="str">
        <x:v>半年</x:v>
      </x:c>
      <x:c r="C880" s="11" t="str">
        <x:v>CM336_domestic</x:v>
      </x:c>
      <x:c r="D880" s="11" t="str">
        <x:v>悲观</x:v>
      </x:c>
      <x:c r="E880" s="16" t="n">
        <x:v>0.15</x:v>
      </x:c>
      <x:c r="F880" s="16" t="n">
        <x:v>0.35</x:v>
      </x:c>
      <x:c r="G880" s="16" t="n">
        <x:v>1</x:v>
      </x:c>
      <x:c r="H880" s="11" t="n">
        <x:f>H852</x:f>
        <x:v>0.18</x:v>
      </x:c>
      <x:c r="I880" s="11" t="n">
        <x:f>I852</x:f>
        <x:v>7</x:v>
      </x:c>
    </x:row>
    <x:row r="881" ht="23" customHeight="1">
      <x:c r="A881" s="11" t="str">
        <x:v>02162.HK</x:v>
      </x:c>
      <x:c r="B881" s="11" t="str">
        <x:v>半年</x:v>
      </x:c>
      <x:c r="C881" s="11" t="str">
        <x:v>CM336_domestic</x:v>
      </x:c>
      <x:c r="D881" s="11" t="str">
        <x:v>基准</x:v>
      </x:c>
      <x:c r="E881" s="16" t="n">
        <x:v>0.4</x:v>
      </x:c>
      <x:c r="F881" s="16" t="n">
        <x:v>0.45</x:v>
      </x:c>
      <x:c r="G881" s="16" t="n">
        <x:v>1</x:v>
      </x:c>
      <x:c r="H881" s="11" t="n">
        <x:f>H853</x:f>
        <x:v>0.14</x:v>
      </x:c>
      <x:c r="I881" s="11" t="n">
        <x:f>I853</x:f>
        <x:v>7</x:v>
      </x:c>
    </x:row>
    <x:row r="882" ht="23" customHeight="1">
      <x:c r="A882" s="11" t="str">
        <x:v>02162.HK</x:v>
      </x:c>
      <x:c r="B882" s="11" t="str">
        <x:v>半年</x:v>
      </x:c>
      <x:c r="C882" s="11" t="str">
        <x:v>CM336_domestic</x:v>
      </x:c>
      <x:c r="D882" s="11" t="str">
        <x:v>乐观</x:v>
      </x:c>
      <x:c r="E882" s="16" t="n">
        <x:v>0.65</x:v>
      </x:c>
      <x:c r="F882" s="16" t="n">
        <x:v>0.52</x:v>
      </x:c>
      <x:c r="G882" s="16" t="n">
        <x:v>1</x:v>
      </x:c>
      <x:c r="H882" s="11" t="n">
        <x:f>H854</x:f>
        <x:v>0.11</x:v>
      </x:c>
      <x:c r="I882" s="11" t="n">
        <x:f>I854</x:f>
        <x:v>7</x:v>
      </x:c>
    </x:row>
    <x:row r="883" ht="23" customHeight="1">
      <x:c r="A883" s="11" t="str">
        <x:v>02162.HK</x:v>
      </x:c>
      <x:c r="B883" s="11" t="str">
        <x:v>半年</x:v>
      </x:c>
      <x:c r="C883" s="11" t="str">
        <x:v>CM313_domestic</x:v>
      </x:c>
      <x:c r="D883" s="11" t="str">
        <x:v>活动输入</x:v>
      </x:c>
      <x:c r="E883" s="11" t="n">
        <x:f>CHOOSE('假设'!$B$3,E884,E885,E886)</x:f>
        <x:v>0.3</x:v>
      </x:c>
      <x:c r="F883" s="11" t="n">
        <x:f>CHOOSE('假设'!$B$3,F884,F885,F886)</x:f>
        <x:v>0.45</x:v>
      </x:c>
      <x:c r="G883" s="11" t="n">
        <x:f>CHOOSE('假设'!$B$3,G884,G885,G886)</x:f>
        <x:v>1</x:v>
      </x:c>
      <x:c r="H883" s="11" t="n">
        <x:f>CHOOSE('假设'!$B$3,H884,H885,H886)</x:f>
        <x:v>0.14</x:v>
      </x:c>
      <x:c r="I883" s="11" t="n">
        <x:f>CHOOSE('假设'!$B$3,I884,I885,I886)</x:f>
        <x:v>7</x:v>
      </x:c>
    </x:row>
    <x:row r="884" ht="23" customHeight="1">
      <x:c r="A884" s="11" t="str">
        <x:v>02162.HK</x:v>
      </x:c>
      <x:c r="B884" s="11" t="str">
        <x:v>半年</x:v>
      </x:c>
      <x:c r="C884" s="11" t="str">
        <x:v>CM313_domestic</x:v>
      </x:c>
      <x:c r="D884" s="11" t="str">
        <x:v>悲观</x:v>
      </x:c>
      <x:c r="E884" s="16" t="n">
        <x:v>0.1</x:v>
      </x:c>
      <x:c r="F884" s="16" t="n">
        <x:v>0.35</x:v>
      </x:c>
      <x:c r="G884" s="16" t="n">
        <x:v>1</x:v>
      </x:c>
      <x:c r="H884" s="11" t="n">
        <x:f>H852</x:f>
        <x:v>0.18</x:v>
      </x:c>
      <x:c r="I884" s="11" t="n">
        <x:f>I852</x:f>
        <x:v>7</x:v>
      </x:c>
    </x:row>
    <x:row r="885" ht="23" customHeight="1">
      <x:c r="A885" s="11" t="str">
        <x:v>02162.HK</x:v>
      </x:c>
      <x:c r="B885" s="11" t="str">
        <x:v>半年</x:v>
      </x:c>
      <x:c r="C885" s="11" t="str">
        <x:v>CM313_domestic</x:v>
      </x:c>
      <x:c r="D885" s="11" t="str">
        <x:v>基准</x:v>
      </x:c>
      <x:c r="E885" s="16" t="n">
        <x:v>0.3</x:v>
      </x:c>
      <x:c r="F885" s="16" t="n">
        <x:v>0.45</x:v>
      </x:c>
      <x:c r="G885" s="16" t="n">
        <x:v>1</x:v>
      </x:c>
      <x:c r="H885" s="11" t="n">
        <x:f>H853</x:f>
        <x:v>0.14</x:v>
      </x:c>
      <x:c r="I885" s="11" t="n">
        <x:f>I853</x:f>
        <x:v>7</x:v>
      </x:c>
    </x:row>
    <x:row r="886" ht="23" customHeight="1">
      <x:c r="A886" s="11" t="str">
        <x:v>02162.HK</x:v>
      </x:c>
      <x:c r="B886" s="11" t="str">
        <x:v>半年</x:v>
      </x:c>
      <x:c r="C886" s="11" t="str">
        <x:v>CM313_domestic</x:v>
      </x:c>
      <x:c r="D886" s="11" t="str">
        <x:v>乐观</x:v>
      </x:c>
      <x:c r="E886" s="16" t="n">
        <x:v>0.55</x:v>
      </x:c>
      <x:c r="F886" s="16" t="n">
        <x:v>0.5</x:v>
      </x:c>
      <x:c r="G886" s="16" t="n">
        <x:v>1</x:v>
      </x:c>
      <x:c r="H886" s="11" t="n">
        <x:f>H854</x:f>
        <x:v>0.11</x:v>
      </x:c>
      <x:c r="I886" s="11" t="n">
        <x:f>I854</x:f>
        <x:v>7</x:v>
      </x:c>
    </x:row>
    <x:row r="887" ht="23" customHeight="1">
      <x:c r="A887" s="11" t="str">
        <x:v>02162.HK</x:v>
      </x:c>
      <x:c r="B887" s="11" t="str">
        <x:v>半年</x:v>
      </x:c>
      <x:c r="C887" s="11" t="str">
        <x:v>CM326_China</x:v>
      </x:c>
      <x:c r="D887" s="11" t="str">
        <x:v>活动输入</x:v>
      </x:c>
      <x:c r="E887" s="11" t="n">
        <x:f>CHOOSE('假设'!$B$3,E888,E889,E890)</x:f>
        <x:v>0.45</x:v>
      </x:c>
      <x:c r="F887" s="11" t="n">
        <x:f>CHOOSE('假设'!$B$3,F888,F889,F890)</x:f>
        <x:v>0.083</x:v>
      </x:c>
      <x:c r="G887" s="11" t="n">
        <x:f>CHOOSE('假设'!$B$3,G888,G889,G890)</x:f>
        <x:v>1</x:v>
      </x:c>
      <x:c r="H887" s="11" t="n">
        <x:f>CHOOSE('假设'!$B$3,H888,H889,H890)</x:f>
        <x:v>0.14</x:v>
      </x:c>
      <x:c r="I887" s="11" t="n">
        <x:f>CHOOSE('假设'!$B$3,I888,I889,I890)</x:f>
        <x:v>7</x:v>
      </x:c>
    </x:row>
    <x:row r="888" ht="23" customHeight="1">
      <x:c r="A888" s="11" t="str">
        <x:v>02162.HK</x:v>
      </x:c>
      <x:c r="B888" s="11" t="str">
        <x:v>半年</x:v>
      </x:c>
      <x:c r="C888" s="11" t="str">
        <x:v>CM326_China</x:v>
      </x:c>
      <x:c r="D888" s="11" t="str">
        <x:v>悲观</x:v>
      </x:c>
      <x:c r="E888" s="16" t="n">
        <x:v>0.15</x:v>
      </x:c>
      <x:c r="F888" s="16" t="n">
        <x:v>0.05600000000000001</x:v>
      </x:c>
      <x:c r="G888" s="16" t="n">
        <x:v>1</x:v>
      </x:c>
      <x:c r="H888" s="11" t="n">
        <x:f>H852</x:f>
        <x:v>0.18</x:v>
      </x:c>
      <x:c r="I888" s="11" t="n">
        <x:f>I852</x:f>
        <x:v>7</x:v>
      </x:c>
    </x:row>
    <x:row r="889" ht="23" customHeight="1">
      <x:c r="A889" s="11" t="str">
        <x:v>02162.HK</x:v>
      </x:c>
      <x:c r="B889" s="11" t="str">
        <x:v>半年</x:v>
      </x:c>
      <x:c r="C889" s="11" t="str">
        <x:v>CM326_China</x:v>
      </x:c>
      <x:c r="D889" s="11" t="str">
        <x:v>基准</x:v>
      </x:c>
      <x:c r="E889" s="16" t="n">
        <x:v>0.45</x:v>
      </x:c>
      <x:c r="F889" s="16" t="n">
        <x:v>0.083</x:v>
      </x:c>
      <x:c r="G889" s="16" t="n">
        <x:v>1</x:v>
      </x:c>
      <x:c r="H889" s="11" t="n">
        <x:f>H853</x:f>
        <x:v>0.14</x:v>
      </x:c>
      <x:c r="I889" s="11" t="n">
        <x:f>I853</x:f>
        <x:v>7</x:v>
      </x:c>
    </x:row>
    <x:row r="890" ht="23" customHeight="1">
      <x:c r="A890" s="11" t="str">
        <x:v>02162.HK</x:v>
      </x:c>
      <x:c r="B890" s="11" t="str">
        <x:v>半年</x:v>
      </x:c>
      <x:c r="C890" s="11" t="str">
        <x:v>CM326_China</x:v>
      </x:c>
      <x:c r="D890" s="11" t="str">
        <x:v>乐观</x:v>
      </x:c>
      <x:c r="E890" s="16" t="n">
        <x:v>0.7</x:v>
      </x:c>
      <x:c r="F890" s="16" t="n">
        <x:v>0.1105</x:v>
      </x:c>
      <x:c r="G890" s="16" t="n">
        <x:v>1</x:v>
      </x:c>
      <x:c r="H890" s="11" t="n">
        <x:f>H854</x:f>
        <x:v>0.11</x:v>
      </x:c>
      <x:c r="I890" s="11" t="n">
        <x:f>I854</x:f>
        <x:v>7</x:v>
      </x:c>
    </x:row>
    <x:row r="891" ht="23" customHeight="1">
      <x:c r="A891" s="11" t="str">
        <x:v>02162.HK</x:v>
      </x:c>
      <x:c r="B891" s="11" t="str">
        <x:v>半年</x:v>
      </x:c>
      <x:c r="C891" s="11" t="str">
        <x:v>centralCost</x:v>
      </x:c>
      <x:c r="D891" s="11" t="str">
        <x:v>活动输入</x:v>
      </x:c>
      <x:c r="E891" s="11" t="n">
        <x:f>CHOOSE('假设'!$B$3,E892,E893,E894)</x:f>
        <x:v>1</x:v>
      </x:c>
      <x:c r="F891" s="11" t="n">
        <x:f>CHOOSE('假设'!$B$3,F892,F893,F894)</x:f>
        <x:v>0</x:v>
      </x:c>
      <x:c r="G891" s="11" t="n">
        <x:f>CHOOSE('假设'!$B$3,G892,G893,G894)</x:f>
        <x:v>1</x:v>
      </x:c>
      <x:c r="H891" s="11" t="n">
        <x:f>CHOOSE('假设'!$B$3,H892,H893,H894)</x:f>
        <x:v>0.14</x:v>
      </x:c>
      <x:c r="I891" s="11" t="n">
        <x:f>CHOOSE('假设'!$B$3,I892,I893,I894)</x:f>
        <x:v>7</x:v>
      </x:c>
    </x:row>
    <x:row r="892" ht="23" customHeight="1">
      <x:c r="A892" s="11" t="str">
        <x:v>02162.HK</x:v>
      </x:c>
      <x:c r="B892" s="11" t="str">
        <x:v>半年</x:v>
      </x:c>
      <x:c r="C892" s="11" t="str">
        <x:v>centralCost</x:v>
      </x:c>
      <x:c r="D892" s="11" t="str">
        <x:v>悲观</x:v>
      </x:c>
      <x:c r="E892" s="16" t="n">
        <x:v>1</x:v>
      </x:c>
      <x:c r="F892" s="16" t="n">
        <x:v>0</x:v>
      </x:c>
      <x:c r="G892" s="16" t="n">
        <x:v>1</x:v>
      </x:c>
      <x:c r="H892" s="11" t="n">
        <x:f>H852</x:f>
        <x:v>0.18</x:v>
      </x:c>
      <x:c r="I892" s="11" t="n">
        <x:f>I852</x:f>
        <x:v>7</x:v>
      </x:c>
    </x:row>
    <x:row r="893" ht="23" customHeight="1">
      <x:c r="A893" s="11" t="str">
        <x:v>02162.HK</x:v>
      </x:c>
      <x:c r="B893" s="11" t="str">
        <x:v>半年</x:v>
      </x:c>
      <x:c r="C893" s="11" t="str">
        <x:v>centralCost</x:v>
      </x:c>
      <x:c r="D893" s="11" t="str">
        <x:v>基准</x:v>
      </x:c>
      <x:c r="E893" s="16" t="n">
        <x:v>1</x:v>
      </x:c>
      <x:c r="F893" s="16" t="n">
        <x:v>0</x:v>
      </x:c>
      <x:c r="G893" s="16" t="n">
        <x:v>1</x:v>
      </x:c>
      <x:c r="H893" s="11" t="n">
        <x:f>H853</x:f>
        <x:v>0.14</x:v>
      </x:c>
      <x:c r="I893" s="11" t="n">
        <x:f>I853</x:f>
        <x:v>7</x:v>
      </x:c>
    </x:row>
    <x:row r="894" ht="23" customHeight="1">
      <x:c r="A894" s="11" t="str">
        <x:v>02162.HK</x:v>
      </x:c>
      <x:c r="B894" s="11" t="str">
        <x:v>半年</x:v>
      </x:c>
      <x:c r="C894" s="11" t="str">
        <x:v>centralCost</x:v>
      </x:c>
      <x:c r="D894" s="11" t="str">
        <x:v>乐观</x:v>
      </x:c>
      <x:c r="E894" s="16" t="n">
        <x:v>1</x:v>
      </x:c>
      <x:c r="F894" s="16" t="n">
        <x:v>0</x:v>
      </x:c>
      <x:c r="G894" s="16" t="n">
        <x:v>1</x:v>
      </x:c>
      <x:c r="H894" s="11" t="n">
        <x:f>H854</x:f>
        <x:v>0.11</x:v>
      </x:c>
      <x:c r="I894" s="11" t="n">
        <x:f>I854</x:f>
        <x:v>7</x:v>
      </x:c>
    </x:row>
    <x:row r="895" ht="23" customHeight="1">
      <x:c r="A895" s="11" t="str">
        <x:v>02162.HK</x:v>
      </x:c>
      <x:c r="B895" s="11" t="str">
        <x:v>一年</x:v>
      </x:c>
      <x:c r="C895" s="11" t="str">
        <x:v>CM310_approved</x:v>
      </x:c>
      <x:c r="D895" s="11" t="str">
        <x:v>活动输入</x:v>
      </x:c>
      <x:c r="E895" s="11" t="n">
        <x:f>CHOOSE('假设'!$B$3,E896,E897,E898)</x:f>
        <x:v>0.97</x:v>
      </x:c>
      <x:c r="F895" s="11" t="n">
        <x:f>CHOOSE('假设'!$B$3,F896,F897,F898)</x:f>
        <x:v>0.45</x:v>
      </x:c>
      <x:c r="G895" s="11" t="n">
        <x:f>CHOOSE('假设'!$B$3,G896,G897,G898)</x:f>
        <x:v>1</x:v>
      </x:c>
      <x:c r="H895" s="11" t="n">
        <x:f>CHOOSE('假设'!$B$3,H896,H897,H898)</x:f>
        <x:v>0.14</x:v>
      </x:c>
      <x:c r="I895" s="11" t="n">
        <x:f>CHOOSE('假设'!$B$3,I896,I897,I898)</x:f>
        <x:v>7</x:v>
      </x:c>
    </x:row>
    <x:row r="896" ht="23" customHeight="1">
      <x:c r="A896" s="11" t="str">
        <x:v>02162.HK</x:v>
      </x:c>
      <x:c r="B896" s="11" t="str">
        <x:v>一年</x:v>
      </x:c>
      <x:c r="C896" s="11" t="str">
        <x:v>CM310_approved</x:v>
      </x:c>
      <x:c r="D896" s="11" t="str">
        <x:v>悲观</x:v>
      </x:c>
      <x:c r="E896" s="16" t="n">
        <x:v>0.9</x:v>
      </x:c>
      <x:c r="F896" s="16" t="n">
        <x:v>0.35</x:v>
      </x:c>
      <x:c r="G896" s="16" t="n">
        <x:v>1</x:v>
      </x:c>
      <x:c r="H896" s="16" t="n">
        <x:v>0.18</x:v>
      </x:c>
      <x:c r="I896" s="16" t="n">
        <x:v>7</x:v>
      </x:c>
    </x:row>
    <x:row r="897" ht="23" customHeight="1">
      <x:c r="A897" s="11" t="str">
        <x:v>02162.HK</x:v>
      </x:c>
      <x:c r="B897" s="11" t="str">
        <x:v>一年</x:v>
      </x:c>
      <x:c r="C897" s="11" t="str">
        <x:v>CM310_approved</x:v>
      </x:c>
      <x:c r="D897" s="11" t="str">
        <x:v>基准</x:v>
      </x:c>
      <x:c r="E897" s="16" t="n">
        <x:v>0.97</x:v>
      </x:c>
      <x:c r="F897" s="16" t="n">
        <x:v>0.45</x:v>
      </x:c>
      <x:c r="G897" s="16" t="n">
        <x:v>1</x:v>
      </x:c>
      <x:c r="H897" s="16" t="n">
        <x:v>0.14</x:v>
      </x:c>
      <x:c r="I897" s="16" t="n">
        <x:v>7</x:v>
      </x:c>
    </x:row>
    <x:row r="898" ht="23" customHeight="1">
      <x:c r="A898" s="11" t="str">
        <x:v>02162.HK</x:v>
      </x:c>
      <x:c r="B898" s="11" t="str">
        <x:v>一年</x:v>
      </x:c>
      <x:c r="C898" s="11" t="str">
        <x:v>CM310_approved</x:v>
      </x:c>
      <x:c r="D898" s="11" t="str">
        <x:v>乐观</x:v>
      </x:c>
      <x:c r="E898" s="16" t="n">
        <x:v>1</x:v>
      </x:c>
      <x:c r="F898" s="16" t="n">
        <x:v>0.52</x:v>
      </x:c>
      <x:c r="G898" s="16" t="n">
        <x:v>1</x:v>
      </x:c>
      <x:c r="H898" s="16" t="n">
        <x:v>0.11</x:v>
      </x:c>
      <x:c r="I898" s="16" t="n">
        <x:v>7</x:v>
      </x:c>
    </x:row>
    <x:row r="899" ht="23" customHeight="1">
      <x:c r="A899" s="11" t="str">
        <x:v>02162.HK</x:v>
      </x:c>
      <x:c r="B899" s="11" t="str">
        <x:v>一年</x:v>
      </x:c>
      <x:c r="C899" s="11" t="str">
        <x:v>CM310_new</x:v>
      </x:c>
      <x:c r="D899" s="11" t="str">
        <x:v>活动输入</x:v>
      </x:c>
      <x:c r="E899" s="11" t="n">
        <x:f>CHOOSE('假设'!$B$3,E900,E901,E902)</x:f>
        <x:v>0.7</x:v>
      </x:c>
      <x:c r="F899" s="11" t="n">
        <x:f>CHOOSE('假设'!$B$3,F900,F901,F902)</x:f>
        <x:v>0.45</x:v>
      </x:c>
      <x:c r="G899" s="11" t="n">
        <x:f>CHOOSE('假设'!$B$3,G900,G901,G902)</x:f>
        <x:v>1</x:v>
      </x:c>
      <x:c r="H899" s="11" t="n">
        <x:f>CHOOSE('假设'!$B$3,H900,H901,H902)</x:f>
        <x:v>0.14</x:v>
      </x:c>
      <x:c r="I899" s="11" t="n">
        <x:f>CHOOSE('假设'!$B$3,I900,I901,I902)</x:f>
        <x:v>7</x:v>
      </x:c>
    </x:row>
    <x:row r="900" ht="23" customHeight="1">
      <x:c r="A900" s="11" t="str">
        <x:v>02162.HK</x:v>
      </x:c>
      <x:c r="B900" s="11" t="str">
        <x:v>一年</x:v>
      </x:c>
      <x:c r="C900" s="11" t="str">
        <x:v>CM310_new</x:v>
      </x:c>
      <x:c r="D900" s="11" t="str">
        <x:v>悲观</x:v>
      </x:c>
      <x:c r="E900" s="16" t="n">
        <x:v>0.35</x:v>
      </x:c>
      <x:c r="F900" s="16" t="n">
        <x:v>0.35</x:v>
      </x:c>
      <x:c r="G900" s="16" t="n">
        <x:v>1</x:v>
      </x:c>
      <x:c r="H900" s="11" t="n">
        <x:f>H896</x:f>
        <x:v>0.18</x:v>
      </x:c>
      <x:c r="I900" s="11" t="n">
        <x:f>I896</x:f>
        <x:v>7</x:v>
      </x:c>
    </x:row>
    <x:row r="901" ht="23" customHeight="1">
      <x:c r="A901" s="11" t="str">
        <x:v>02162.HK</x:v>
      </x:c>
      <x:c r="B901" s="11" t="str">
        <x:v>一年</x:v>
      </x:c>
      <x:c r="C901" s="11" t="str">
        <x:v>CM310_new</x:v>
      </x:c>
      <x:c r="D901" s="11" t="str">
        <x:v>基准</x:v>
      </x:c>
      <x:c r="E901" s="16" t="n">
        <x:v>0.7</x:v>
      </x:c>
      <x:c r="F901" s="16" t="n">
        <x:v>0.45</x:v>
      </x:c>
      <x:c r="G901" s="16" t="n">
        <x:v>1</x:v>
      </x:c>
      <x:c r="H901" s="11" t="n">
        <x:f>H897</x:f>
        <x:v>0.14</x:v>
      </x:c>
      <x:c r="I901" s="11" t="n">
        <x:f>I897</x:f>
        <x:v>7</x:v>
      </x:c>
    </x:row>
    <x:row r="902" ht="23" customHeight="1">
      <x:c r="A902" s="11" t="str">
        <x:v>02162.HK</x:v>
      </x:c>
      <x:c r="B902" s="11" t="str">
        <x:v>一年</x:v>
      </x:c>
      <x:c r="C902" s="11" t="str">
        <x:v>CM310_new</x:v>
      </x:c>
      <x:c r="D902" s="11" t="str">
        <x:v>乐观</x:v>
      </x:c>
      <x:c r="E902" s="16" t="n">
        <x:v>0.9</x:v>
      </x:c>
      <x:c r="F902" s="16" t="n">
        <x:v>0.52</x:v>
      </x:c>
      <x:c r="G902" s="16" t="n">
        <x:v>1</x:v>
      </x:c>
      <x:c r="H902" s="11" t="n">
        <x:f>H898</x:f>
        <x:v>0.11</x:v>
      </x:c>
      <x:c r="I902" s="11" t="n">
        <x:f>I898</x:f>
        <x:v>7</x:v>
      </x:c>
    </x:row>
    <x:row r="903" ht="23" customHeight="1">
      <x:c r="A903" s="11" t="str">
        <x:v>02162.HK</x:v>
      </x:c>
      <x:c r="B903" s="11" t="str">
        <x:v>一年</x:v>
      </x:c>
      <x:c r="C903" s="11" t="str">
        <x:v>CM512_CRSwNP</x:v>
      </x:c>
      <x:c r="D903" s="11" t="str">
        <x:v>活动输入</x:v>
      </x:c>
      <x:c r="E903" s="11" t="n">
        <x:f>CHOOSE('假设'!$B$3,E904,E905,E906)</x:f>
        <x:v>0.5</x:v>
      </x:c>
      <x:c r="F903" s="11" t="n">
        <x:f>CHOOSE('假设'!$B$3,F904,F905,F906)</x:f>
        <x:v>0.5</x:v>
      </x:c>
      <x:c r="G903" s="11" t="n">
        <x:f>CHOOSE('假设'!$B$3,G904,G905,G906)</x:f>
        <x:v>1</x:v>
      </x:c>
      <x:c r="H903" s="11" t="n">
        <x:f>CHOOSE('假设'!$B$3,H904,H905,H906)</x:f>
        <x:v>0.14</x:v>
      </x:c>
      <x:c r="I903" s="11" t="n">
        <x:f>CHOOSE('假设'!$B$3,I904,I905,I906)</x:f>
        <x:v>7</x:v>
      </x:c>
    </x:row>
    <x:row r="904" ht="23" customHeight="1">
      <x:c r="A904" s="11" t="str">
        <x:v>02162.HK</x:v>
      </x:c>
      <x:c r="B904" s="11" t="str">
        <x:v>一年</x:v>
      </x:c>
      <x:c r="C904" s="11" t="str">
        <x:v>CM512_CRSwNP</x:v>
      </x:c>
      <x:c r="D904" s="11" t="str">
        <x:v>悲观</x:v>
      </x:c>
      <x:c r="E904" s="16" t="n">
        <x:v>0.15</x:v>
      </x:c>
      <x:c r="F904" s="16" t="n">
        <x:v>0.38</x:v>
      </x:c>
      <x:c r="G904" s="16" t="n">
        <x:v>1</x:v>
      </x:c>
      <x:c r="H904" s="11" t="n">
        <x:f>H896</x:f>
        <x:v>0.18</x:v>
      </x:c>
      <x:c r="I904" s="11" t="n">
        <x:f>I896</x:f>
        <x:v>7</x:v>
      </x:c>
    </x:row>
    <x:row r="905" ht="23" customHeight="1">
      <x:c r="A905" s="11" t="str">
        <x:v>02162.HK</x:v>
      </x:c>
      <x:c r="B905" s="11" t="str">
        <x:v>一年</x:v>
      </x:c>
      <x:c r="C905" s="11" t="str">
        <x:v>CM512_CRSwNP</x:v>
      </x:c>
      <x:c r="D905" s="11" t="str">
        <x:v>基准</x:v>
      </x:c>
      <x:c r="E905" s="16" t="n">
        <x:v>0.5</x:v>
      </x:c>
      <x:c r="F905" s="16" t="n">
        <x:v>0.5</x:v>
      </x:c>
      <x:c r="G905" s="16" t="n">
        <x:v>1</x:v>
      </x:c>
      <x:c r="H905" s="11" t="n">
        <x:f>H897</x:f>
        <x:v>0.14</x:v>
      </x:c>
      <x:c r="I905" s="11" t="n">
        <x:f>I897</x:f>
        <x:v>7</x:v>
      </x:c>
    </x:row>
    <x:row r="906" ht="23" customHeight="1">
      <x:c r="A906" s="11" t="str">
        <x:v>02162.HK</x:v>
      </x:c>
      <x:c r="B906" s="11" t="str">
        <x:v>一年</x:v>
      </x:c>
      <x:c r="C906" s="11" t="str">
        <x:v>CM512_CRSwNP</x:v>
      </x:c>
      <x:c r="D906" s="11" t="str">
        <x:v>乐观</x:v>
      </x:c>
      <x:c r="E906" s="16" t="n">
        <x:v>0.75</x:v>
      </x:c>
      <x:c r="F906" s="16" t="n">
        <x:v>0.57</x:v>
      </x:c>
      <x:c r="G906" s="16" t="n">
        <x:v>1</x:v>
      </x:c>
      <x:c r="H906" s="11" t="n">
        <x:f>H898</x:f>
        <x:v>0.11</x:v>
      </x:c>
      <x:c r="I906" s="11" t="n">
        <x:f>I898</x:f>
        <x:v>7</x:v>
      </x:c>
    </x:row>
    <x:row r="907" ht="23" customHeight="1">
      <x:c r="A907" s="11" t="str">
        <x:v>02162.HK</x:v>
      </x:c>
      <x:c r="B907" s="11" t="str">
        <x:v>一年</x:v>
      </x:c>
      <x:c r="C907" s="11" t="str">
        <x:v>CM512_other</x:v>
      </x:c>
      <x:c r="D907" s="11" t="str">
        <x:v>活动输入</x:v>
      </x:c>
      <x:c r="E907" s="11" t="n">
        <x:f>CHOOSE('假设'!$B$3,E908,E909,E910)</x:f>
        <x:v>0.3</x:v>
      </x:c>
      <x:c r="F907" s="11" t="n">
        <x:f>CHOOSE('假设'!$B$3,F908,F909,F910)</x:f>
        <x:v>0.48</x:v>
      </x:c>
      <x:c r="G907" s="11" t="n">
        <x:f>CHOOSE('假设'!$B$3,G908,G909,G910)</x:f>
        <x:v>1</x:v>
      </x:c>
      <x:c r="H907" s="11" t="n">
        <x:f>CHOOSE('假设'!$B$3,H908,H909,H910)</x:f>
        <x:v>0.14</x:v>
      </x:c>
      <x:c r="I907" s="11" t="n">
        <x:f>CHOOSE('假设'!$B$3,I908,I909,I910)</x:f>
        <x:v>7</x:v>
      </x:c>
    </x:row>
    <x:row r="908" ht="23" customHeight="1">
      <x:c r="A908" s="11" t="str">
        <x:v>02162.HK</x:v>
      </x:c>
      <x:c r="B908" s="11" t="str">
        <x:v>一年</x:v>
      </x:c>
      <x:c r="C908" s="11" t="str">
        <x:v>CM512_other</x:v>
      </x:c>
      <x:c r="D908" s="11" t="str">
        <x:v>悲观</x:v>
      </x:c>
      <x:c r="E908" s="16" t="n">
        <x:v>0.08</x:v>
      </x:c>
      <x:c r="F908" s="16" t="n">
        <x:v>0.35</x:v>
      </x:c>
      <x:c r="G908" s="16" t="n">
        <x:v>1</x:v>
      </x:c>
      <x:c r="H908" s="11" t="n">
        <x:f>H896</x:f>
        <x:v>0.18</x:v>
      </x:c>
      <x:c r="I908" s="11" t="n">
        <x:f>I896</x:f>
        <x:v>7</x:v>
      </x:c>
    </x:row>
    <x:row r="909" ht="23" customHeight="1">
      <x:c r="A909" s="11" t="str">
        <x:v>02162.HK</x:v>
      </x:c>
      <x:c r="B909" s="11" t="str">
        <x:v>一年</x:v>
      </x:c>
      <x:c r="C909" s="11" t="str">
        <x:v>CM512_other</x:v>
      </x:c>
      <x:c r="D909" s="11" t="str">
        <x:v>基准</x:v>
      </x:c>
      <x:c r="E909" s="16" t="n">
        <x:v>0.3</x:v>
      </x:c>
      <x:c r="F909" s="16" t="n">
        <x:v>0.48</x:v>
      </x:c>
      <x:c r="G909" s="16" t="n">
        <x:v>1</x:v>
      </x:c>
      <x:c r="H909" s="11" t="n">
        <x:f>H897</x:f>
        <x:v>0.14</x:v>
      </x:c>
      <x:c r="I909" s="11" t="n">
        <x:f>I897</x:f>
        <x:v>7</x:v>
      </x:c>
    </x:row>
    <x:row r="910" ht="23" customHeight="1">
      <x:c r="A910" s="11" t="str">
        <x:v>02162.HK</x:v>
      </x:c>
      <x:c r="B910" s="11" t="str">
        <x:v>一年</x:v>
      </x:c>
      <x:c r="C910" s="11" t="str">
        <x:v>CM512_other</x:v>
      </x:c>
      <x:c r="D910" s="11" t="str">
        <x:v>乐观</x:v>
      </x:c>
      <x:c r="E910" s="16" t="n">
        <x:v>0.55</x:v>
      </x:c>
      <x:c r="F910" s="16" t="n">
        <x:v>0.55</x:v>
      </x:c>
      <x:c r="G910" s="16" t="n">
        <x:v>1</x:v>
      </x:c>
      <x:c r="H910" s="11" t="n">
        <x:f>H898</x:f>
        <x:v>0.11</x:v>
      </x:c>
      <x:c r="I910" s="11" t="n">
        <x:f>I898</x:f>
        <x:v>7</x:v>
      </x:c>
    </x:row>
    <x:row r="911" ht="23" customHeight="1">
      <x:c r="A911" s="11" t="str">
        <x:v>02162.HK</x:v>
      </x:c>
      <x:c r="B911" s="11" t="str">
        <x:v>一年</x:v>
      </x:c>
      <x:c r="C911" s="11" t="str">
        <x:v>CMG901_2Lplus</x:v>
      </x:c>
      <x:c r="D911" s="11" t="str">
        <x:v>活动输入</x:v>
      </x:c>
      <x:c r="E911" s="11" t="n">
        <x:f>CHOOSE('假设'!$B$3,E912,E913,E914)</x:f>
        <x:v>0.75</x:v>
      </x:c>
      <x:c r="F911" s="11" t="n">
        <x:f>CHOOSE('假设'!$B$3,F912,F913,F914)</x:f>
        <x:v>0.09839999999999999</x:v>
      </x:c>
      <x:c r="G911" s="11" t="n">
        <x:f>CHOOSE('假设'!$B$3,G912,G913,G914)</x:f>
        <x:v>0.7</x:v>
      </x:c>
      <x:c r="H911" s="11" t="n">
        <x:f>CHOOSE('假设'!$B$3,H912,H913,H914)</x:f>
        <x:v>0.14</x:v>
      </x:c>
      <x:c r="I911" s="11" t="n">
        <x:f>CHOOSE('假设'!$B$3,I912,I913,I914)</x:f>
        <x:v>7</x:v>
      </x:c>
    </x:row>
    <x:row r="912" ht="23" customHeight="1">
      <x:c r="A912" s="11" t="str">
        <x:v>02162.HK</x:v>
      </x:c>
      <x:c r="B912" s="11" t="str">
        <x:v>一年</x:v>
      </x:c>
      <x:c r="C912" s="11" t="str">
        <x:v>CMG901_2Lplus</x:v>
      </x:c>
      <x:c r="D912" s="11" t="str">
        <x:v>悲观</x:v>
      </x:c>
      <x:c r="E912" s="16" t="n">
        <x:v>0.35</x:v>
      </x:c>
      <x:c r="F912" s="16" t="n">
        <x:v>0.0702</x:v>
      </x:c>
      <x:c r="G912" s="16" t="n">
        <x:v>0.7</x:v>
      </x:c>
      <x:c r="H912" s="11" t="n">
        <x:f>H896</x:f>
        <x:v>0.18</x:v>
      </x:c>
      <x:c r="I912" s="11" t="n">
        <x:f>I896</x:f>
        <x:v>7</x:v>
      </x:c>
    </x:row>
    <x:row r="913" ht="23" customHeight="1">
      <x:c r="A913" s="11" t="str">
        <x:v>02162.HK</x:v>
      </x:c>
      <x:c r="B913" s="11" t="str">
        <x:v>一年</x:v>
      </x:c>
      <x:c r="C913" s="11" t="str">
        <x:v>CMG901_2Lplus</x:v>
      </x:c>
      <x:c r="D913" s="11" t="str">
        <x:v>基准</x:v>
      </x:c>
      <x:c r="E913" s="16" t="n">
        <x:v>0.75</x:v>
      </x:c>
      <x:c r="F913" s="16" t="n">
        <x:v>0.09839999999999999</x:v>
      </x:c>
      <x:c r="G913" s="16" t="n">
        <x:v>0.7</x:v>
      </x:c>
      <x:c r="H913" s="11" t="n">
        <x:f>H897</x:f>
        <x:v>0.14</x:v>
      </x:c>
      <x:c r="I913" s="11" t="n">
        <x:f>I897</x:f>
        <x:v>7</x:v>
      </x:c>
    </x:row>
    <x:row r="914" ht="23" customHeight="1">
      <x:c r="A914" s="11" t="str">
        <x:v>02162.HK</x:v>
      </x:c>
      <x:c r="B914" s="11" t="str">
        <x:v>一年</x:v>
      </x:c>
      <x:c r="C914" s="11" t="str">
        <x:v>CMG901_2Lplus</x:v>
      </x:c>
      <x:c r="D914" s="11" t="str">
        <x:v>乐观</x:v>
      </x:c>
      <x:c r="E914" s="16" t="n">
        <x:v>0.9</x:v>
      </x:c>
      <x:c r="F914" s="16" t="n">
        <x:v>0.1275</x:v>
      </x:c>
      <x:c r="G914" s="16" t="n">
        <x:v>0.7</x:v>
      </x:c>
      <x:c r="H914" s="11" t="n">
        <x:f>H898</x:f>
        <x:v>0.11</x:v>
      </x:c>
      <x:c r="I914" s="11" t="n">
        <x:f>I898</x:f>
        <x:v>7</x:v>
      </x:c>
    </x:row>
    <x:row r="915" ht="23" customHeight="1">
      <x:c r="A915" s="11" t="str">
        <x:v>02162.HK</x:v>
      </x:c>
      <x:c r="B915" s="11" t="str">
        <x:v>一年</x:v>
      </x:c>
      <x:c r="C915" s="11" t="str">
        <x:v>CMG901_expansion</x:v>
      </x:c>
      <x:c r="D915" s="11" t="str">
        <x:v>活动输入</x:v>
      </x:c>
      <x:c r="E915" s="11" t="n">
        <x:f>CHOOSE('假设'!$B$3,E916,E917,E918)</x:f>
        <x:v>0.35</x:v>
      </x:c>
      <x:c r="F915" s="11" t="n">
        <x:f>CHOOSE('假设'!$B$3,F916,F917,F918)</x:f>
        <x:v>0.09839999999999999</x:v>
      </x:c>
      <x:c r="G915" s="11" t="n">
        <x:f>CHOOSE('假设'!$B$3,G916,G917,G918)</x:f>
        <x:v>0.7</x:v>
      </x:c>
      <x:c r="H915" s="11" t="n">
        <x:f>CHOOSE('假设'!$B$3,H916,H917,H918)</x:f>
        <x:v>0.14</x:v>
      </x:c>
      <x:c r="I915" s="11" t="n">
        <x:f>CHOOSE('假设'!$B$3,I916,I917,I918)</x:f>
        <x:v>7</x:v>
      </x:c>
    </x:row>
    <x:row r="916" ht="23" customHeight="1">
      <x:c r="A916" s="11" t="str">
        <x:v>02162.HK</x:v>
      </x:c>
      <x:c r="B916" s="11" t="str">
        <x:v>一年</x:v>
      </x:c>
      <x:c r="C916" s="11" t="str">
        <x:v>CMG901_expansion</x:v>
      </x:c>
      <x:c r="D916" s="11" t="str">
        <x:v>悲观</x:v>
      </x:c>
      <x:c r="E916" s="16" t="n">
        <x:v>0.1</x:v>
      </x:c>
      <x:c r="F916" s="16" t="n">
        <x:v>0.0702</x:v>
      </x:c>
      <x:c r="G916" s="16" t="n">
        <x:v>0.7</x:v>
      </x:c>
      <x:c r="H916" s="11" t="n">
        <x:f>H896</x:f>
        <x:v>0.18</x:v>
      </x:c>
      <x:c r="I916" s="11" t="n">
        <x:f>I896</x:f>
        <x:v>7</x:v>
      </x:c>
    </x:row>
    <x:row r="917" ht="23" customHeight="1">
      <x:c r="A917" s="11" t="str">
        <x:v>02162.HK</x:v>
      </x:c>
      <x:c r="B917" s="11" t="str">
        <x:v>一年</x:v>
      </x:c>
      <x:c r="C917" s="11" t="str">
        <x:v>CMG901_expansion</x:v>
      </x:c>
      <x:c r="D917" s="11" t="str">
        <x:v>基准</x:v>
      </x:c>
      <x:c r="E917" s="16" t="n">
        <x:v>0.35</x:v>
      </x:c>
      <x:c r="F917" s="16" t="n">
        <x:v>0.09839999999999999</x:v>
      </x:c>
      <x:c r="G917" s="16" t="n">
        <x:v>0.7</x:v>
      </x:c>
      <x:c r="H917" s="11" t="n">
        <x:f>H897</x:f>
        <x:v>0.14</x:v>
      </x:c>
      <x:c r="I917" s="11" t="n">
        <x:f>I897</x:f>
        <x:v>7</x:v>
      </x:c>
    </x:row>
    <x:row r="918" ht="23" customHeight="1">
      <x:c r="A918" s="11" t="str">
        <x:v>02162.HK</x:v>
      </x:c>
      <x:c r="B918" s="11" t="str">
        <x:v>一年</x:v>
      </x:c>
      <x:c r="C918" s="11" t="str">
        <x:v>CMG901_expansion</x:v>
      </x:c>
      <x:c r="D918" s="11" t="str">
        <x:v>乐观</x:v>
      </x:c>
      <x:c r="E918" s="16" t="n">
        <x:v>0.6</x:v>
      </x:c>
      <x:c r="F918" s="16" t="n">
        <x:v>0.1275</x:v>
      </x:c>
      <x:c r="G918" s="16" t="n">
        <x:v>0.7</x:v>
      </x:c>
      <x:c r="H918" s="11" t="n">
        <x:f>H898</x:f>
        <x:v>0.11</x:v>
      </x:c>
      <x:c r="I918" s="11" t="n">
        <x:f>I898</x:f>
        <x:v>7</x:v>
      </x:c>
    </x:row>
    <x:row r="919" ht="23" customHeight="1">
      <x:c r="A919" s="11" t="str">
        <x:v>02162.HK</x:v>
      </x:c>
      <x:c r="B919" s="11" t="str">
        <x:v>一年</x:v>
      </x:c>
      <x:c r="C919" s="11" t="str">
        <x:v>CM336_foreign</x:v>
      </x:c>
      <x:c r="D919" s="11" t="str">
        <x:v>活动输入</x:v>
      </x:c>
      <x:c r="E919" s="11" t="n">
        <x:f>CHOOSE('假设'!$B$3,E920,E921,E922)</x:f>
        <x:v>0.25</x:v>
      </x:c>
      <x:c r="F919" s="11" t="n">
        <x:f>CHOOSE('假设'!$B$3,F920,F921,F922)</x:f>
        <x:v>0.09129999999999999</x:v>
      </x:c>
      <x:c r="G919" s="11" t="n">
        <x:f>CHOOSE('假设'!$B$3,G920,G921,G922)</x:f>
        <x:v>1</x:v>
      </x:c>
      <x:c r="H919" s="11" t="n">
        <x:f>CHOOSE('假设'!$B$3,H920,H921,H922)</x:f>
        <x:v>0.14</x:v>
      </x:c>
      <x:c r="I919" s="11" t="n">
        <x:f>CHOOSE('假设'!$B$3,I920,I921,I922)</x:f>
        <x:v>7</x:v>
      </x:c>
    </x:row>
    <x:row r="920" ht="23" customHeight="1">
      <x:c r="A920" s="11" t="str">
        <x:v>02162.HK</x:v>
      </x:c>
      <x:c r="B920" s="11" t="str">
        <x:v>一年</x:v>
      </x:c>
      <x:c r="C920" s="11" t="str">
        <x:v>CM336_foreign</x:v>
      </x:c>
      <x:c r="D920" s="11" t="str">
        <x:v>悲观</x:v>
      </x:c>
      <x:c r="E920" s="16" t="n">
        <x:v>0.08</x:v>
      </x:c>
      <x:c r="F920" s="16" t="n">
        <x:v>0.064</x:v>
      </x:c>
      <x:c r="G920" s="16" t="n">
        <x:v>1</x:v>
      </x:c>
      <x:c r="H920" s="11" t="n">
        <x:f>H896</x:f>
        <x:v>0.18</x:v>
      </x:c>
      <x:c r="I920" s="11" t="n">
        <x:f>I896</x:f>
        <x:v>7</x:v>
      </x:c>
    </x:row>
    <x:row r="921" ht="23" customHeight="1">
      <x:c r="A921" s="11" t="str">
        <x:v>02162.HK</x:v>
      </x:c>
      <x:c r="B921" s="11" t="str">
        <x:v>一年</x:v>
      </x:c>
      <x:c r="C921" s="11" t="str">
        <x:v>CM336_foreign</x:v>
      </x:c>
      <x:c r="D921" s="11" t="str">
        <x:v>基准</x:v>
      </x:c>
      <x:c r="E921" s="16" t="n">
        <x:v>0.25</x:v>
      </x:c>
      <x:c r="F921" s="16" t="n">
        <x:v>0.09129999999999999</x:v>
      </x:c>
      <x:c r="G921" s="16" t="n">
        <x:v>1</x:v>
      </x:c>
      <x:c r="H921" s="11" t="n">
        <x:f>H897</x:f>
        <x:v>0.14</x:v>
      </x:c>
      <x:c r="I921" s="11" t="n">
        <x:f>I897</x:f>
        <x:v>7</x:v>
      </x:c>
    </x:row>
    <x:row r="922" ht="23" customHeight="1">
      <x:c r="A922" s="11" t="str">
        <x:v>02162.HK</x:v>
      </x:c>
      <x:c r="B922" s="11" t="str">
        <x:v>一年</x:v>
      </x:c>
      <x:c r="C922" s="11" t="str">
        <x:v>CM336_foreign</x:v>
      </x:c>
      <x:c r="D922" s="11" t="str">
        <x:v>乐观</x:v>
      </x:c>
      <x:c r="E922" s="16" t="n">
        <x:v>0.5</x:v>
      </x:c>
      <x:c r="F922" s="16" t="n">
        <x:v>0.11900000000000001</x:v>
      </x:c>
      <x:c r="G922" s="16" t="n">
        <x:v>1</x:v>
      </x:c>
      <x:c r="H922" s="11" t="n">
        <x:f>H898</x:f>
        <x:v>0.11</x:v>
      </x:c>
      <x:c r="I922" s="11" t="n">
        <x:f>I898</x:f>
        <x:v>7</x:v>
      </x:c>
    </x:row>
    <x:row r="923" ht="23" customHeight="1">
      <x:c r="A923" s="11" t="str">
        <x:v>02162.HK</x:v>
      </x:c>
      <x:c r="B923" s="11" t="str">
        <x:v>一年</x:v>
      </x:c>
      <x:c r="C923" s="11" t="str">
        <x:v>CM336_domestic</x:v>
      </x:c>
      <x:c r="D923" s="11" t="str">
        <x:v>活动输入</x:v>
      </x:c>
      <x:c r="E923" s="11" t="n">
        <x:f>CHOOSE('假设'!$B$3,E924,E925,E926)</x:f>
        <x:v>0.4</x:v>
      </x:c>
      <x:c r="F923" s="11" t="n">
        <x:f>CHOOSE('假设'!$B$3,F924,F925,F926)</x:f>
        <x:v>0.45</x:v>
      </x:c>
      <x:c r="G923" s="11" t="n">
        <x:f>CHOOSE('假设'!$B$3,G924,G925,G926)</x:f>
        <x:v>1</x:v>
      </x:c>
      <x:c r="H923" s="11" t="n">
        <x:f>CHOOSE('假设'!$B$3,H924,H925,H926)</x:f>
        <x:v>0.14</x:v>
      </x:c>
      <x:c r="I923" s="11" t="n">
        <x:f>CHOOSE('假设'!$B$3,I924,I925,I926)</x:f>
        <x:v>7</x:v>
      </x:c>
    </x:row>
    <x:row r="924" ht="23" customHeight="1">
      <x:c r="A924" s="11" t="str">
        <x:v>02162.HK</x:v>
      </x:c>
      <x:c r="B924" s="11" t="str">
        <x:v>一年</x:v>
      </x:c>
      <x:c r="C924" s="11" t="str">
        <x:v>CM336_domestic</x:v>
      </x:c>
      <x:c r="D924" s="11" t="str">
        <x:v>悲观</x:v>
      </x:c>
      <x:c r="E924" s="16" t="n">
        <x:v>0.15</x:v>
      </x:c>
      <x:c r="F924" s="16" t="n">
        <x:v>0.35</x:v>
      </x:c>
      <x:c r="G924" s="16" t="n">
        <x:v>1</x:v>
      </x:c>
      <x:c r="H924" s="11" t="n">
        <x:f>H896</x:f>
        <x:v>0.18</x:v>
      </x:c>
      <x:c r="I924" s="11" t="n">
        <x:f>I896</x:f>
        <x:v>7</x:v>
      </x:c>
    </x:row>
    <x:row r="925" ht="23" customHeight="1">
      <x:c r="A925" s="11" t="str">
        <x:v>02162.HK</x:v>
      </x:c>
      <x:c r="B925" s="11" t="str">
        <x:v>一年</x:v>
      </x:c>
      <x:c r="C925" s="11" t="str">
        <x:v>CM336_domestic</x:v>
      </x:c>
      <x:c r="D925" s="11" t="str">
        <x:v>基准</x:v>
      </x:c>
      <x:c r="E925" s="16" t="n">
        <x:v>0.4</x:v>
      </x:c>
      <x:c r="F925" s="16" t="n">
        <x:v>0.45</x:v>
      </x:c>
      <x:c r="G925" s="16" t="n">
        <x:v>1</x:v>
      </x:c>
      <x:c r="H925" s="11" t="n">
        <x:f>H897</x:f>
        <x:v>0.14</x:v>
      </x:c>
      <x:c r="I925" s="11" t="n">
        <x:f>I897</x:f>
        <x:v>7</x:v>
      </x:c>
    </x:row>
    <x:row r="926" ht="23" customHeight="1">
      <x:c r="A926" s="11" t="str">
        <x:v>02162.HK</x:v>
      </x:c>
      <x:c r="B926" s="11" t="str">
        <x:v>一年</x:v>
      </x:c>
      <x:c r="C926" s="11" t="str">
        <x:v>CM336_domestic</x:v>
      </x:c>
      <x:c r="D926" s="11" t="str">
        <x:v>乐观</x:v>
      </x:c>
      <x:c r="E926" s="16" t="n">
        <x:v>0.65</x:v>
      </x:c>
      <x:c r="F926" s="16" t="n">
        <x:v>0.52</x:v>
      </x:c>
      <x:c r="G926" s="16" t="n">
        <x:v>1</x:v>
      </x:c>
      <x:c r="H926" s="11" t="n">
        <x:f>H898</x:f>
        <x:v>0.11</x:v>
      </x:c>
      <x:c r="I926" s="11" t="n">
        <x:f>I898</x:f>
        <x:v>7</x:v>
      </x:c>
    </x:row>
    <x:row r="927" ht="23" customHeight="1">
      <x:c r="A927" s="11" t="str">
        <x:v>02162.HK</x:v>
      </x:c>
      <x:c r="B927" s="11" t="str">
        <x:v>一年</x:v>
      </x:c>
      <x:c r="C927" s="11" t="str">
        <x:v>CM313_domestic</x:v>
      </x:c>
      <x:c r="D927" s="11" t="str">
        <x:v>活动输入</x:v>
      </x:c>
      <x:c r="E927" s="11" t="n">
        <x:f>CHOOSE('假设'!$B$3,E928,E929,E930)</x:f>
        <x:v>0.3</x:v>
      </x:c>
      <x:c r="F927" s="11" t="n">
        <x:f>CHOOSE('假设'!$B$3,F928,F929,F930)</x:f>
        <x:v>0.45</x:v>
      </x:c>
      <x:c r="G927" s="11" t="n">
        <x:f>CHOOSE('假设'!$B$3,G928,G929,G930)</x:f>
        <x:v>1</x:v>
      </x:c>
      <x:c r="H927" s="11" t="n">
        <x:f>CHOOSE('假设'!$B$3,H928,H929,H930)</x:f>
        <x:v>0.14</x:v>
      </x:c>
      <x:c r="I927" s="11" t="n">
        <x:f>CHOOSE('假设'!$B$3,I928,I929,I930)</x:f>
        <x:v>7</x:v>
      </x:c>
    </x:row>
    <x:row r="928" ht="23" customHeight="1">
      <x:c r="A928" s="11" t="str">
        <x:v>02162.HK</x:v>
      </x:c>
      <x:c r="B928" s="11" t="str">
        <x:v>一年</x:v>
      </x:c>
      <x:c r="C928" s="11" t="str">
        <x:v>CM313_domestic</x:v>
      </x:c>
      <x:c r="D928" s="11" t="str">
        <x:v>悲观</x:v>
      </x:c>
      <x:c r="E928" s="16" t="n">
        <x:v>0.1</x:v>
      </x:c>
      <x:c r="F928" s="16" t="n">
        <x:v>0.35</x:v>
      </x:c>
      <x:c r="G928" s="16" t="n">
        <x:v>1</x:v>
      </x:c>
      <x:c r="H928" s="11" t="n">
        <x:f>H896</x:f>
        <x:v>0.18</x:v>
      </x:c>
      <x:c r="I928" s="11" t="n">
        <x:f>I896</x:f>
        <x:v>7</x:v>
      </x:c>
    </x:row>
    <x:row r="929" ht="23" customHeight="1">
      <x:c r="A929" s="11" t="str">
        <x:v>02162.HK</x:v>
      </x:c>
      <x:c r="B929" s="11" t="str">
        <x:v>一年</x:v>
      </x:c>
      <x:c r="C929" s="11" t="str">
        <x:v>CM313_domestic</x:v>
      </x:c>
      <x:c r="D929" s="11" t="str">
        <x:v>基准</x:v>
      </x:c>
      <x:c r="E929" s="16" t="n">
        <x:v>0.3</x:v>
      </x:c>
      <x:c r="F929" s="16" t="n">
        <x:v>0.45</x:v>
      </x:c>
      <x:c r="G929" s="16" t="n">
        <x:v>1</x:v>
      </x:c>
      <x:c r="H929" s="11" t="n">
        <x:f>H897</x:f>
        <x:v>0.14</x:v>
      </x:c>
      <x:c r="I929" s="11" t="n">
        <x:f>I897</x:f>
        <x:v>7</x:v>
      </x:c>
    </x:row>
    <x:row r="930" ht="23" customHeight="1">
      <x:c r="A930" s="11" t="str">
        <x:v>02162.HK</x:v>
      </x:c>
      <x:c r="B930" s="11" t="str">
        <x:v>一年</x:v>
      </x:c>
      <x:c r="C930" s="11" t="str">
        <x:v>CM313_domestic</x:v>
      </x:c>
      <x:c r="D930" s="11" t="str">
        <x:v>乐观</x:v>
      </x:c>
      <x:c r="E930" s="16" t="n">
        <x:v>0.55</x:v>
      </x:c>
      <x:c r="F930" s="16" t="n">
        <x:v>0.5</x:v>
      </x:c>
      <x:c r="G930" s="16" t="n">
        <x:v>1</x:v>
      </x:c>
      <x:c r="H930" s="11" t="n">
        <x:f>H898</x:f>
        <x:v>0.11</x:v>
      </x:c>
      <x:c r="I930" s="11" t="n">
        <x:f>I898</x:f>
        <x:v>7</x:v>
      </x:c>
    </x:row>
    <x:row r="931" ht="23" customHeight="1">
      <x:c r="A931" s="11" t="str">
        <x:v>02162.HK</x:v>
      </x:c>
      <x:c r="B931" s="11" t="str">
        <x:v>一年</x:v>
      </x:c>
      <x:c r="C931" s="11" t="str">
        <x:v>CM326_China</x:v>
      </x:c>
      <x:c r="D931" s="11" t="str">
        <x:v>活动输入</x:v>
      </x:c>
      <x:c r="E931" s="11" t="n">
        <x:f>CHOOSE('假设'!$B$3,E932,E933,E934)</x:f>
        <x:v>0.45</x:v>
      </x:c>
      <x:c r="F931" s="11" t="n">
        <x:f>CHOOSE('假设'!$B$3,F932,F933,F934)</x:f>
        <x:v>0.083</x:v>
      </x:c>
      <x:c r="G931" s="11" t="n">
        <x:f>CHOOSE('假设'!$B$3,G932,G933,G934)</x:f>
        <x:v>1</x:v>
      </x:c>
      <x:c r="H931" s="11" t="n">
        <x:f>CHOOSE('假设'!$B$3,H932,H933,H934)</x:f>
        <x:v>0.14</x:v>
      </x:c>
      <x:c r="I931" s="11" t="n">
        <x:f>CHOOSE('假设'!$B$3,I932,I933,I934)</x:f>
        <x:v>7</x:v>
      </x:c>
    </x:row>
    <x:row r="932" ht="23" customHeight="1">
      <x:c r="A932" s="11" t="str">
        <x:v>02162.HK</x:v>
      </x:c>
      <x:c r="B932" s="11" t="str">
        <x:v>一年</x:v>
      </x:c>
      <x:c r="C932" s="11" t="str">
        <x:v>CM326_China</x:v>
      </x:c>
      <x:c r="D932" s="11" t="str">
        <x:v>悲观</x:v>
      </x:c>
      <x:c r="E932" s="16" t="n">
        <x:v>0.15</x:v>
      </x:c>
      <x:c r="F932" s="16" t="n">
        <x:v>0.05600000000000001</x:v>
      </x:c>
      <x:c r="G932" s="16" t="n">
        <x:v>1</x:v>
      </x:c>
      <x:c r="H932" s="11" t="n">
        <x:f>H896</x:f>
        <x:v>0.18</x:v>
      </x:c>
      <x:c r="I932" s="11" t="n">
        <x:f>I896</x:f>
        <x:v>7</x:v>
      </x:c>
    </x:row>
    <x:row r="933" ht="23" customHeight="1">
      <x:c r="A933" s="11" t="str">
        <x:v>02162.HK</x:v>
      </x:c>
      <x:c r="B933" s="11" t="str">
        <x:v>一年</x:v>
      </x:c>
      <x:c r="C933" s="11" t="str">
        <x:v>CM326_China</x:v>
      </x:c>
      <x:c r="D933" s="11" t="str">
        <x:v>基准</x:v>
      </x:c>
      <x:c r="E933" s="16" t="n">
        <x:v>0.45</x:v>
      </x:c>
      <x:c r="F933" s="16" t="n">
        <x:v>0.083</x:v>
      </x:c>
      <x:c r="G933" s="16" t="n">
        <x:v>1</x:v>
      </x:c>
      <x:c r="H933" s="11" t="n">
        <x:f>H897</x:f>
        <x:v>0.14</x:v>
      </x:c>
      <x:c r="I933" s="11" t="n">
        <x:f>I897</x:f>
        <x:v>7</x:v>
      </x:c>
    </x:row>
    <x:row r="934" ht="23" customHeight="1">
      <x:c r="A934" s="11" t="str">
        <x:v>02162.HK</x:v>
      </x:c>
      <x:c r="B934" s="11" t="str">
        <x:v>一年</x:v>
      </x:c>
      <x:c r="C934" s="11" t="str">
        <x:v>CM326_China</x:v>
      </x:c>
      <x:c r="D934" s="11" t="str">
        <x:v>乐观</x:v>
      </x:c>
      <x:c r="E934" s="16" t="n">
        <x:v>0.7</x:v>
      </x:c>
      <x:c r="F934" s="16" t="n">
        <x:v>0.1105</x:v>
      </x:c>
      <x:c r="G934" s="16" t="n">
        <x:v>1</x:v>
      </x:c>
      <x:c r="H934" s="11" t="n">
        <x:f>H898</x:f>
        <x:v>0.11</x:v>
      </x:c>
      <x:c r="I934" s="11" t="n">
        <x:f>I898</x:f>
        <x:v>7</x:v>
      </x:c>
    </x:row>
    <x:row r="935" ht="23" customHeight="1">
      <x:c r="A935" s="11" t="str">
        <x:v>02162.HK</x:v>
      </x:c>
      <x:c r="B935" s="11" t="str">
        <x:v>一年</x:v>
      </x:c>
      <x:c r="C935" s="11" t="str">
        <x:v>centralCost</x:v>
      </x:c>
      <x:c r="D935" s="11" t="str">
        <x:v>活动输入</x:v>
      </x:c>
      <x:c r="E935" s="11" t="n">
        <x:f>CHOOSE('假设'!$B$3,E936,E937,E938)</x:f>
        <x:v>1</x:v>
      </x:c>
      <x:c r="F935" s="11" t="n">
        <x:f>CHOOSE('假设'!$B$3,F936,F937,F938)</x:f>
        <x:v>0</x:v>
      </x:c>
      <x:c r="G935" s="11" t="n">
        <x:f>CHOOSE('假设'!$B$3,G936,G937,G938)</x:f>
        <x:v>1</x:v>
      </x:c>
      <x:c r="H935" s="11" t="n">
        <x:f>CHOOSE('假设'!$B$3,H936,H937,H938)</x:f>
        <x:v>0.14</x:v>
      </x:c>
      <x:c r="I935" s="11" t="n">
        <x:f>CHOOSE('假设'!$B$3,I936,I937,I938)</x:f>
        <x:v>7</x:v>
      </x:c>
    </x:row>
    <x:row r="936" ht="23" customHeight="1">
      <x:c r="A936" s="11" t="str">
        <x:v>02162.HK</x:v>
      </x:c>
      <x:c r="B936" s="11" t="str">
        <x:v>一年</x:v>
      </x:c>
      <x:c r="C936" s="11" t="str">
        <x:v>centralCost</x:v>
      </x:c>
      <x:c r="D936" s="11" t="str">
        <x:v>悲观</x:v>
      </x:c>
      <x:c r="E936" s="16" t="n">
        <x:v>1</x:v>
      </x:c>
      <x:c r="F936" s="16" t="n">
        <x:v>0</x:v>
      </x:c>
      <x:c r="G936" s="16" t="n">
        <x:v>1</x:v>
      </x:c>
      <x:c r="H936" s="11" t="n">
        <x:f>H896</x:f>
        <x:v>0.18</x:v>
      </x:c>
      <x:c r="I936" s="11" t="n">
        <x:f>I896</x:f>
        <x:v>7</x:v>
      </x:c>
    </x:row>
    <x:row r="937" ht="23" customHeight="1">
      <x:c r="A937" s="11" t="str">
        <x:v>02162.HK</x:v>
      </x:c>
      <x:c r="B937" s="11" t="str">
        <x:v>一年</x:v>
      </x:c>
      <x:c r="C937" s="11" t="str">
        <x:v>centralCost</x:v>
      </x:c>
      <x:c r="D937" s="11" t="str">
        <x:v>基准</x:v>
      </x:c>
      <x:c r="E937" s="16" t="n">
        <x:v>1</x:v>
      </x:c>
      <x:c r="F937" s="16" t="n">
        <x:v>0</x:v>
      </x:c>
      <x:c r="G937" s="16" t="n">
        <x:v>1</x:v>
      </x:c>
      <x:c r="H937" s="11" t="n">
        <x:f>H897</x:f>
        <x:v>0.14</x:v>
      </x:c>
      <x:c r="I937" s="11" t="n">
        <x:f>I897</x:f>
        <x:v>7</x:v>
      </x:c>
    </x:row>
    <x:row r="938" ht="23" customHeight="1">
      <x:c r="A938" s="11" t="str">
        <x:v>02162.HK</x:v>
      </x:c>
      <x:c r="B938" s="11" t="str">
        <x:v>一年</x:v>
      </x:c>
      <x:c r="C938" s="11" t="str">
        <x:v>centralCost</x:v>
      </x:c>
      <x:c r="D938" s="11" t="str">
        <x:v>乐观</x:v>
      </x:c>
      <x:c r="E938" s="16" t="n">
        <x:v>1</x:v>
      </x:c>
      <x:c r="F938" s="16" t="n">
        <x:v>0</x:v>
      </x:c>
      <x:c r="G938" s="16" t="n">
        <x:v>1</x:v>
      </x:c>
      <x:c r="H938" s="11" t="n">
        <x:f>H898</x:f>
        <x:v>0.11</x:v>
      </x:c>
      <x:c r="I938" s="11" t="n">
        <x:f>I898</x:f>
        <x:v>7</x:v>
      </x:c>
    </x:row>
    <x:row r="939" ht="23" customHeight="1">
      <x:c r="A939" s="11" t="str">
        <x:v>02162.HK</x:v>
      </x:c>
      <x:c r="B939" s="11" t="str">
        <x:v>三年</x:v>
      </x:c>
      <x:c r="C939" s="11" t="str">
        <x:v>CM310_approved</x:v>
      </x:c>
      <x:c r="D939" s="11" t="str">
        <x:v>活动输入</x:v>
      </x:c>
      <x:c r="E939" s="11" t="n">
        <x:f>CHOOSE('假设'!$B$3,E940,E941,E942)</x:f>
        <x:v>0.97</x:v>
      </x:c>
      <x:c r="F939" s="11" t="n">
        <x:f>CHOOSE('假设'!$B$3,F940,F941,F942)</x:f>
        <x:v>0.45</x:v>
      </x:c>
      <x:c r="G939" s="11" t="n">
        <x:f>CHOOSE('假设'!$B$3,G940,G941,G942)</x:f>
        <x:v>1</x:v>
      </x:c>
      <x:c r="H939" s="11" t="n">
        <x:f>CHOOSE('假设'!$B$3,H940,H941,H942)</x:f>
        <x:v>0.14</x:v>
      </x:c>
      <x:c r="I939" s="11" t="n">
        <x:f>CHOOSE('假设'!$B$3,I940,I941,I942)</x:f>
        <x:v>7</x:v>
      </x:c>
    </x:row>
    <x:row r="940" ht="23" customHeight="1">
      <x:c r="A940" s="11" t="str">
        <x:v>02162.HK</x:v>
      </x:c>
      <x:c r="B940" s="11" t="str">
        <x:v>三年</x:v>
      </x:c>
      <x:c r="C940" s="11" t="str">
        <x:v>CM310_approved</x:v>
      </x:c>
      <x:c r="D940" s="11" t="str">
        <x:v>悲观</x:v>
      </x:c>
      <x:c r="E940" s="16" t="n">
        <x:v>0.9</x:v>
      </x:c>
      <x:c r="F940" s="16" t="n">
        <x:v>0.35</x:v>
      </x:c>
      <x:c r="G940" s="16" t="n">
        <x:v>1</x:v>
      </x:c>
      <x:c r="H940" s="16" t="n">
        <x:v>0.18</x:v>
      </x:c>
      <x:c r="I940" s="16" t="n">
        <x:v>7</x:v>
      </x:c>
    </x:row>
    <x:row r="941" ht="23" customHeight="1">
      <x:c r="A941" s="11" t="str">
        <x:v>02162.HK</x:v>
      </x:c>
      <x:c r="B941" s="11" t="str">
        <x:v>三年</x:v>
      </x:c>
      <x:c r="C941" s="11" t="str">
        <x:v>CM310_approved</x:v>
      </x:c>
      <x:c r="D941" s="11" t="str">
        <x:v>基准</x:v>
      </x:c>
      <x:c r="E941" s="16" t="n">
        <x:v>0.97</x:v>
      </x:c>
      <x:c r="F941" s="16" t="n">
        <x:v>0.45</x:v>
      </x:c>
      <x:c r="G941" s="16" t="n">
        <x:v>1</x:v>
      </x:c>
      <x:c r="H941" s="16" t="n">
        <x:v>0.14</x:v>
      </x:c>
      <x:c r="I941" s="16" t="n">
        <x:v>7</x:v>
      </x:c>
    </x:row>
    <x:row r="942" ht="23" customHeight="1">
      <x:c r="A942" s="11" t="str">
        <x:v>02162.HK</x:v>
      </x:c>
      <x:c r="B942" s="11" t="str">
        <x:v>三年</x:v>
      </x:c>
      <x:c r="C942" s="11" t="str">
        <x:v>CM310_approved</x:v>
      </x:c>
      <x:c r="D942" s="11" t="str">
        <x:v>乐观</x:v>
      </x:c>
      <x:c r="E942" s="16" t="n">
        <x:v>1</x:v>
      </x:c>
      <x:c r="F942" s="16" t="n">
        <x:v>0.52</x:v>
      </x:c>
      <x:c r="G942" s="16" t="n">
        <x:v>1</x:v>
      </x:c>
      <x:c r="H942" s="16" t="n">
        <x:v>0.11</x:v>
      </x:c>
      <x:c r="I942" s="16" t="n">
        <x:v>7</x:v>
      </x:c>
    </x:row>
    <x:row r="943" ht="23" customHeight="1">
      <x:c r="A943" s="11" t="str">
        <x:v>02162.HK</x:v>
      </x:c>
      <x:c r="B943" s="11" t="str">
        <x:v>三年</x:v>
      </x:c>
      <x:c r="C943" s="11" t="str">
        <x:v>CM310_new</x:v>
      </x:c>
      <x:c r="D943" s="11" t="str">
        <x:v>活动输入</x:v>
      </x:c>
      <x:c r="E943" s="11" t="n">
        <x:f>CHOOSE('假设'!$B$3,E944,E945,E946)</x:f>
        <x:v>0.7</x:v>
      </x:c>
      <x:c r="F943" s="11" t="n">
        <x:f>CHOOSE('假设'!$B$3,F944,F945,F946)</x:f>
        <x:v>0.45</x:v>
      </x:c>
      <x:c r="G943" s="11" t="n">
        <x:f>CHOOSE('假设'!$B$3,G944,G945,G946)</x:f>
        <x:v>1</x:v>
      </x:c>
      <x:c r="H943" s="11" t="n">
        <x:f>CHOOSE('假设'!$B$3,H944,H945,H946)</x:f>
        <x:v>0.14</x:v>
      </x:c>
      <x:c r="I943" s="11" t="n">
        <x:f>CHOOSE('假设'!$B$3,I944,I945,I946)</x:f>
        <x:v>7</x:v>
      </x:c>
    </x:row>
    <x:row r="944" ht="23" customHeight="1">
      <x:c r="A944" s="11" t="str">
        <x:v>02162.HK</x:v>
      </x:c>
      <x:c r="B944" s="11" t="str">
        <x:v>三年</x:v>
      </x:c>
      <x:c r="C944" s="11" t="str">
        <x:v>CM310_new</x:v>
      </x:c>
      <x:c r="D944" s="11" t="str">
        <x:v>悲观</x:v>
      </x:c>
      <x:c r="E944" s="16" t="n">
        <x:v>0.35</x:v>
      </x:c>
      <x:c r="F944" s="16" t="n">
        <x:v>0.35</x:v>
      </x:c>
      <x:c r="G944" s="16" t="n">
        <x:v>1</x:v>
      </x:c>
      <x:c r="H944" s="11" t="n">
        <x:f>H940</x:f>
        <x:v>0.18</x:v>
      </x:c>
      <x:c r="I944" s="11" t="n">
        <x:f>I940</x:f>
        <x:v>7</x:v>
      </x:c>
    </x:row>
    <x:row r="945" ht="23" customHeight="1">
      <x:c r="A945" s="11" t="str">
        <x:v>02162.HK</x:v>
      </x:c>
      <x:c r="B945" s="11" t="str">
        <x:v>三年</x:v>
      </x:c>
      <x:c r="C945" s="11" t="str">
        <x:v>CM310_new</x:v>
      </x:c>
      <x:c r="D945" s="11" t="str">
        <x:v>基准</x:v>
      </x:c>
      <x:c r="E945" s="16" t="n">
        <x:v>0.7</x:v>
      </x:c>
      <x:c r="F945" s="16" t="n">
        <x:v>0.45</x:v>
      </x:c>
      <x:c r="G945" s="16" t="n">
        <x:v>1</x:v>
      </x:c>
      <x:c r="H945" s="11" t="n">
        <x:f>H941</x:f>
        <x:v>0.14</x:v>
      </x:c>
      <x:c r="I945" s="11" t="n">
        <x:f>I941</x:f>
        <x:v>7</x:v>
      </x:c>
    </x:row>
    <x:row r="946" ht="23" customHeight="1">
      <x:c r="A946" s="11" t="str">
        <x:v>02162.HK</x:v>
      </x:c>
      <x:c r="B946" s="11" t="str">
        <x:v>三年</x:v>
      </x:c>
      <x:c r="C946" s="11" t="str">
        <x:v>CM310_new</x:v>
      </x:c>
      <x:c r="D946" s="11" t="str">
        <x:v>乐观</x:v>
      </x:c>
      <x:c r="E946" s="16" t="n">
        <x:v>0.9</x:v>
      </x:c>
      <x:c r="F946" s="16" t="n">
        <x:v>0.52</x:v>
      </x:c>
      <x:c r="G946" s="16" t="n">
        <x:v>1</x:v>
      </x:c>
      <x:c r="H946" s="11" t="n">
        <x:f>H942</x:f>
        <x:v>0.11</x:v>
      </x:c>
      <x:c r="I946" s="11" t="n">
        <x:f>I942</x:f>
        <x:v>7</x:v>
      </x:c>
    </x:row>
    <x:row r="947" ht="23" customHeight="1">
      <x:c r="A947" s="11" t="str">
        <x:v>02162.HK</x:v>
      </x:c>
      <x:c r="B947" s="11" t="str">
        <x:v>三年</x:v>
      </x:c>
      <x:c r="C947" s="11" t="str">
        <x:v>CM512_CRSwNP</x:v>
      </x:c>
      <x:c r="D947" s="11" t="str">
        <x:v>活动输入</x:v>
      </x:c>
      <x:c r="E947" s="11" t="n">
        <x:f>CHOOSE('假设'!$B$3,E948,E949,E950)</x:f>
        <x:v>0.5</x:v>
      </x:c>
      <x:c r="F947" s="11" t="n">
        <x:f>CHOOSE('假设'!$B$3,F948,F949,F950)</x:f>
        <x:v>0.5</x:v>
      </x:c>
      <x:c r="G947" s="11" t="n">
        <x:f>CHOOSE('假设'!$B$3,G948,G949,G950)</x:f>
        <x:v>1</x:v>
      </x:c>
      <x:c r="H947" s="11" t="n">
        <x:f>CHOOSE('假设'!$B$3,H948,H949,H950)</x:f>
        <x:v>0.14</x:v>
      </x:c>
      <x:c r="I947" s="11" t="n">
        <x:f>CHOOSE('假设'!$B$3,I948,I949,I950)</x:f>
        <x:v>7</x:v>
      </x:c>
    </x:row>
    <x:row r="948" ht="23" customHeight="1">
      <x:c r="A948" s="11" t="str">
        <x:v>02162.HK</x:v>
      </x:c>
      <x:c r="B948" s="11" t="str">
        <x:v>三年</x:v>
      </x:c>
      <x:c r="C948" s="11" t="str">
        <x:v>CM512_CRSwNP</x:v>
      </x:c>
      <x:c r="D948" s="11" t="str">
        <x:v>悲观</x:v>
      </x:c>
      <x:c r="E948" s="16" t="n">
        <x:v>0.15</x:v>
      </x:c>
      <x:c r="F948" s="16" t="n">
        <x:v>0.38</x:v>
      </x:c>
      <x:c r="G948" s="16" t="n">
        <x:v>1</x:v>
      </x:c>
      <x:c r="H948" s="11" t="n">
        <x:f>H940</x:f>
        <x:v>0.18</x:v>
      </x:c>
      <x:c r="I948" s="11" t="n">
        <x:f>I940</x:f>
        <x:v>7</x:v>
      </x:c>
    </x:row>
    <x:row r="949" ht="23" customHeight="1">
      <x:c r="A949" s="11" t="str">
        <x:v>02162.HK</x:v>
      </x:c>
      <x:c r="B949" s="11" t="str">
        <x:v>三年</x:v>
      </x:c>
      <x:c r="C949" s="11" t="str">
        <x:v>CM512_CRSwNP</x:v>
      </x:c>
      <x:c r="D949" s="11" t="str">
        <x:v>基准</x:v>
      </x:c>
      <x:c r="E949" s="16" t="n">
        <x:v>0.5</x:v>
      </x:c>
      <x:c r="F949" s="16" t="n">
        <x:v>0.5</x:v>
      </x:c>
      <x:c r="G949" s="16" t="n">
        <x:v>1</x:v>
      </x:c>
      <x:c r="H949" s="11" t="n">
        <x:f>H941</x:f>
        <x:v>0.14</x:v>
      </x:c>
      <x:c r="I949" s="11" t="n">
        <x:f>I941</x:f>
        <x:v>7</x:v>
      </x:c>
    </x:row>
    <x:row r="950" ht="23" customHeight="1">
      <x:c r="A950" s="11" t="str">
        <x:v>02162.HK</x:v>
      </x:c>
      <x:c r="B950" s="11" t="str">
        <x:v>三年</x:v>
      </x:c>
      <x:c r="C950" s="11" t="str">
        <x:v>CM512_CRSwNP</x:v>
      </x:c>
      <x:c r="D950" s="11" t="str">
        <x:v>乐观</x:v>
      </x:c>
      <x:c r="E950" s="16" t="n">
        <x:v>0.75</x:v>
      </x:c>
      <x:c r="F950" s="16" t="n">
        <x:v>0.57</x:v>
      </x:c>
      <x:c r="G950" s="16" t="n">
        <x:v>1</x:v>
      </x:c>
      <x:c r="H950" s="11" t="n">
        <x:f>H942</x:f>
        <x:v>0.11</x:v>
      </x:c>
      <x:c r="I950" s="11" t="n">
        <x:f>I942</x:f>
        <x:v>7</x:v>
      </x:c>
    </x:row>
    <x:row r="951" ht="23" customHeight="1">
      <x:c r="A951" s="11" t="str">
        <x:v>02162.HK</x:v>
      </x:c>
      <x:c r="B951" s="11" t="str">
        <x:v>三年</x:v>
      </x:c>
      <x:c r="C951" s="11" t="str">
        <x:v>CM512_other</x:v>
      </x:c>
      <x:c r="D951" s="11" t="str">
        <x:v>活动输入</x:v>
      </x:c>
      <x:c r="E951" s="11" t="n">
        <x:f>CHOOSE('假设'!$B$3,E952,E953,E954)</x:f>
        <x:v>0.3</x:v>
      </x:c>
      <x:c r="F951" s="11" t="n">
        <x:f>CHOOSE('假设'!$B$3,F952,F953,F954)</x:f>
        <x:v>0.48</x:v>
      </x:c>
      <x:c r="G951" s="11" t="n">
        <x:f>CHOOSE('假设'!$B$3,G952,G953,G954)</x:f>
        <x:v>1</x:v>
      </x:c>
      <x:c r="H951" s="11" t="n">
        <x:f>CHOOSE('假设'!$B$3,H952,H953,H954)</x:f>
        <x:v>0.14</x:v>
      </x:c>
      <x:c r="I951" s="11" t="n">
        <x:f>CHOOSE('假设'!$B$3,I952,I953,I954)</x:f>
        <x:v>7</x:v>
      </x:c>
    </x:row>
    <x:row r="952" ht="23" customHeight="1">
      <x:c r="A952" s="11" t="str">
        <x:v>02162.HK</x:v>
      </x:c>
      <x:c r="B952" s="11" t="str">
        <x:v>三年</x:v>
      </x:c>
      <x:c r="C952" s="11" t="str">
        <x:v>CM512_other</x:v>
      </x:c>
      <x:c r="D952" s="11" t="str">
        <x:v>悲观</x:v>
      </x:c>
      <x:c r="E952" s="16" t="n">
        <x:v>0.08</x:v>
      </x:c>
      <x:c r="F952" s="16" t="n">
        <x:v>0.35</x:v>
      </x:c>
      <x:c r="G952" s="16" t="n">
        <x:v>1</x:v>
      </x:c>
      <x:c r="H952" s="11" t="n">
        <x:f>H940</x:f>
        <x:v>0.18</x:v>
      </x:c>
      <x:c r="I952" s="11" t="n">
        <x:f>I940</x:f>
        <x:v>7</x:v>
      </x:c>
    </x:row>
    <x:row r="953" ht="23" customHeight="1">
      <x:c r="A953" s="11" t="str">
        <x:v>02162.HK</x:v>
      </x:c>
      <x:c r="B953" s="11" t="str">
        <x:v>三年</x:v>
      </x:c>
      <x:c r="C953" s="11" t="str">
        <x:v>CM512_other</x:v>
      </x:c>
      <x:c r="D953" s="11" t="str">
        <x:v>基准</x:v>
      </x:c>
      <x:c r="E953" s="16" t="n">
        <x:v>0.3</x:v>
      </x:c>
      <x:c r="F953" s="16" t="n">
        <x:v>0.48</x:v>
      </x:c>
      <x:c r="G953" s="16" t="n">
        <x:v>1</x:v>
      </x:c>
      <x:c r="H953" s="11" t="n">
        <x:f>H941</x:f>
        <x:v>0.14</x:v>
      </x:c>
      <x:c r="I953" s="11" t="n">
        <x:f>I941</x:f>
        <x:v>7</x:v>
      </x:c>
    </x:row>
    <x:row r="954" ht="23" customHeight="1">
      <x:c r="A954" s="11" t="str">
        <x:v>02162.HK</x:v>
      </x:c>
      <x:c r="B954" s="11" t="str">
        <x:v>三年</x:v>
      </x:c>
      <x:c r="C954" s="11" t="str">
        <x:v>CM512_other</x:v>
      </x:c>
      <x:c r="D954" s="11" t="str">
        <x:v>乐观</x:v>
      </x:c>
      <x:c r="E954" s="16" t="n">
        <x:v>0.55</x:v>
      </x:c>
      <x:c r="F954" s="16" t="n">
        <x:v>0.55</x:v>
      </x:c>
      <x:c r="G954" s="16" t="n">
        <x:v>1</x:v>
      </x:c>
      <x:c r="H954" s="11" t="n">
        <x:f>H942</x:f>
        <x:v>0.11</x:v>
      </x:c>
      <x:c r="I954" s="11" t="n">
        <x:f>I942</x:f>
        <x:v>7</x:v>
      </x:c>
    </x:row>
    <x:row r="955" ht="23" customHeight="1">
      <x:c r="A955" s="11" t="str">
        <x:v>02162.HK</x:v>
      </x:c>
      <x:c r="B955" s="11" t="str">
        <x:v>三年</x:v>
      </x:c>
      <x:c r="C955" s="11" t="str">
        <x:v>CMG901_2Lplus</x:v>
      </x:c>
      <x:c r="D955" s="11" t="str">
        <x:v>活动输入</x:v>
      </x:c>
      <x:c r="E955" s="11" t="n">
        <x:f>CHOOSE('假设'!$B$3,E956,E957,E958)</x:f>
        <x:v>0.75</x:v>
      </x:c>
      <x:c r="F955" s="11" t="n">
        <x:f>CHOOSE('假设'!$B$3,F956,F957,F958)</x:f>
        <x:v>0.09839999999999999</x:v>
      </x:c>
      <x:c r="G955" s="11" t="n">
        <x:f>CHOOSE('假设'!$B$3,G956,G957,G958)</x:f>
        <x:v>0.7</x:v>
      </x:c>
      <x:c r="H955" s="11" t="n">
        <x:f>CHOOSE('假设'!$B$3,H956,H957,H958)</x:f>
        <x:v>0.14</x:v>
      </x:c>
      <x:c r="I955" s="11" t="n">
        <x:f>CHOOSE('假设'!$B$3,I956,I957,I958)</x:f>
        <x:v>7</x:v>
      </x:c>
    </x:row>
    <x:row r="956" ht="23" customHeight="1">
      <x:c r="A956" s="11" t="str">
        <x:v>02162.HK</x:v>
      </x:c>
      <x:c r="B956" s="11" t="str">
        <x:v>三年</x:v>
      </x:c>
      <x:c r="C956" s="11" t="str">
        <x:v>CMG901_2Lplus</x:v>
      </x:c>
      <x:c r="D956" s="11" t="str">
        <x:v>悲观</x:v>
      </x:c>
      <x:c r="E956" s="16" t="n">
        <x:v>0.35</x:v>
      </x:c>
      <x:c r="F956" s="16" t="n">
        <x:v>0.0702</x:v>
      </x:c>
      <x:c r="G956" s="16" t="n">
        <x:v>0.7</x:v>
      </x:c>
      <x:c r="H956" s="11" t="n">
        <x:f>H940</x:f>
        <x:v>0.18</x:v>
      </x:c>
      <x:c r="I956" s="11" t="n">
        <x:f>I940</x:f>
        <x:v>7</x:v>
      </x:c>
    </x:row>
    <x:row r="957" ht="23" customHeight="1">
      <x:c r="A957" s="11" t="str">
        <x:v>02162.HK</x:v>
      </x:c>
      <x:c r="B957" s="11" t="str">
        <x:v>三年</x:v>
      </x:c>
      <x:c r="C957" s="11" t="str">
        <x:v>CMG901_2Lplus</x:v>
      </x:c>
      <x:c r="D957" s="11" t="str">
        <x:v>基准</x:v>
      </x:c>
      <x:c r="E957" s="16" t="n">
        <x:v>0.75</x:v>
      </x:c>
      <x:c r="F957" s="16" t="n">
        <x:v>0.09839999999999999</x:v>
      </x:c>
      <x:c r="G957" s="16" t="n">
        <x:v>0.7</x:v>
      </x:c>
      <x:c r="H957" s="11" t="n">
        <x:f>H941</x:f>
        <x:v>0.14</x:v>
      </x:c>
      <x:c r="I957" s="11" t="n">
        <x:f>I941</x:f>
        <x:v>7</x:v>
      </x:c>
    </x:row>
    <x:row r="958" ht="23" customHeight="1">
      <x:c r="A958" s="11" t="str">
        <x:v>02162.HK</x:v>
      </x:c>
      <x:c r="B958" s="11" t="str">
        <x:v>三年</x:v>
      </x:c>
      <x:c r="C958" s="11" t="str">
        <x:v>CMG901_2Lplus</x:v>
      </x:c>
      <x:c r="D958" s="11" t="str">
        <x:v>乐观</x:v>
      </x:c>
      <x:c r="E958" s="16" t="n">
        <x:v>0.9</x:v>
      </x:c>
      <x:c r="F958" s="16" t="n">
        <x:v>0.1275</x:v>
      </x:c>
      <x:c r="G958" s="16" t="n">
        <x:v>0.7</x:v>
      </x:c>
      <x:c r="H958" s="11" t="n">
        <x:f>H942</x:f>
        <x:v>0.11</x:v>
      </x:c>
      <x:c r="I958" s="11" t="n">
        <x:f>I942</x:f>
        <x:v>7</x:v>
      </x:c>
    </x:row>
    <x:row r="959" ht="23" customHeight="1">
      <x:c r="A959" s="11" t="str">
        <x:v>02162.HK</x:v>
      </x:c>
      <x:c r="B959" s="11" t="str">
        <x:v>三年</x:v>
      </x:c>
      <x:c r="C959" s="11" t="str">
        <x:v>CMG901_expansion</x:v>
      </x:c>
      <x:c r="D959" s="11" t="str">
        <x:v>活动输入</x:v>
      </x:c>
      <x:c r="E959" s="11" t="n">
        <x:f>CHOOSE('假设'!$B$3,E960,E961,E962)</x:f>
        <x:v>0.35</x:v>
      </x:c>
      <x:c r="F959" s="11" t="n">
        <x:f>CHOOSE('假设'!$B$3,F960,F961,F962)</x:f>
        <x:v>0.09839999999999999</x:v>
      </x:c>
      <x:c r="G959" s="11" t="n">
        <x:f>CHOOSE('假设'!$B$3,G960,G961,G962)</x:f>
        <x:v>0.7</x:v>
      </x:c>
      <x:c r="H959" s="11" t="n">
        <x:f>CHOOSE('假设'!$B$3,H960,H961,H962)</x:f>
        <x:v>0.14</x:v>
      </x:c>
      <x:c r="I959" s="11" t="n">
        <x:f>CHOOSE('假设'!$B$3,I960,I961,I962)</x:f>
        <x:v>7</x:v>
      </x:c>
    </x:row>
    <x:row r="960" ht="23" customHeight="1">
      <x:c r="A960" s="11" t="str">
        <x:v>02162.HK</x:v>
      </x:c>
      <x:c r="B960" s="11" t="str">
        <x:v>三年</x:v>
      </x:c>
      <x:c r="C960" s="11" t="str">
        <x:v>CMG901_expansion</x:v>
      </x:c>
      <x:c r="D960" s="11" t="str">
        <x:v>悲观</x:v>
      </x:c>
      <x:c r="E960" s="16" t="n">
        <x:v>0.1</x:v>
      </x:c>
      <x:c r="F960" s="16" t="n">
        <x:v>0.0702</x:v>
      </x:c>
      <x:c r="G960" s="16" t="n">
        <x:v>0.7</x:v>
      </x:c>
      <x:c r="H960" s="11" t="n">
        <x:f>H940</x:f>
        <x:v>0.18</x:v>
      </x:c>
      <x:c r="I960" s="11" t="n">
        <x:f>I940</x:f>
        <x:v>7</x:v>
      </x:c>
    </x:row>
    <x:row r="961" ht="23" customHeight="1">
      <x:c r="A961" s="11" t="str">
        <x:v>02162.HK</x:v>
      </x:c>
      <x:c r="B961" s="11" t="str">
        <x:v>三年</x:v>
      </x:c>
      <x:c r="C961" s="11" t="str">
        <x:v>CMG901_expansion</x:v>
      </x:c>
      <x:c r="D961" s="11" t="str">
        <x:v>基准</x:v>
      </x:c>
      <x:c r="E961" s="16" t="n">
        <x:v>0.35</x:v>
      </x:c>
      <x:c r="F961" s="16" t="n">
        <x:v>0.09839999999999999</x:v>
      </x:c>
      <x:c r="G961" s="16" t="n">
        <x:v>0.7</x:v>
      </x:c>
      <x:c r="H961" s="11" t="n">
        <x:f>H941</x:f>
        <x:v>0.14</x:v>
      </x:c>
      <x:c r="I961" s="11" t="n">
        <x:f>I941</x:f>
        <x:v>7</x:v>
      </x:c>
    </x:row>
    <x:row r="962" ht="23" customHeight="1">
      <x:c r="A962" s="11" t="str">
        <x:v>02162.HK</x:v>
      </x:c>
      <x:c r="B962" s="11" t="str">
        <x:v>三年</x:v>
      </x:c>
      <x:c r="C962" s="11" t="str">
        <x:v>CMG901_expansion</x:v>
      </x:c>
      <x:c r="D962" s="11" t="str">
        <x:v>乐观</x:v>
      </x:c>
      <x:c r="E962" s="16" t="n">
        <x:v>0.6</x:v>
      </x:c>
      <x:c r="F962" s="16" t="n">
        <x:v>0.1275</x:v>
      </x:c>
      <x:c r="G962" s="16" t="n">
        <x:v>0.7</x:v>
      </x:c>
      <x:c r="H962" s="11" t="n">
        <x:f>H942</x:f>
        <x:v>0.11</x:v>
      </x:c>
      <x:c r="I962" s="11" t="n">
        <x:f>I942</x:f>
        <x:v>7</x:v>
      </x:c>
    </x:row>
    <x:row r="963" ht="23" customHeight="1">
      <x:c r="A963" s="11" t="str">
        <x:v>02162.HK</x:v>
      </x:c>
      <x:c r="B963" s="11" t="str">
        <x:v>三年</x:v>
      </x:c>
      <x:c r="C963" s="11" t="str">
        <x:v>CM336_foreign</x:v>
      </x:c>
      <x:c r="D963" s="11" t="str">
        <x:v>活动输入</x:v>
      </x:c>
      <x:c r="E963" s="11" t="n">
        <x:f>CHOOSE('假设'!$B$3,E964,E965,E966)</x:f>
        <x:v>0.25</x:v>
      </x:c>
      <x:c r="F963" s="11" t="n">
        <x:f>CHOOSE('假设'!$B$3,F964,F965,F966)</x:f>
        <x:v>0.09129999999999999</x:v>
      </x:c>
      <x:c r="G963" s="11" t="n">
        <x:f>CHOOSE('假设'!$B$3,G964,G965,G966)</x:f>
        <x:v>1</x:v>
      </x:c>
      <x:c r="H963" s="11" t="n">
        <x:f>CHOOSE('假设'!$B$3,H964,H965,H966)</x:f>
        <x:v>0.14</x:v>
      </x:c>
      <x:c r="I963" s="11" t="n">
        <x:f>CHOOSE('假设'!$B$3,I964,I965,I966)</x:f>
        <x:v>7</x:v>
      </x:c>
    </x:row>
    <x:row r="964" ht="23" customHeight="1">
      <x:c r="A964" s="11" t="str">
        <x:v>02162.HK</x:v>
      </x:c>
      <x:c r="B964" s="11" t="str">
        <x:v>三年</x:v>
      </x:c>
      <x:c r="C964" s="11" t="str">
        <x:v>CM336_foreign</x:v>
      </x:c>
      <x:c r="D964" s="11" t="str">
        <x:v>悲观</x:v>
      </x:c>
      <x:c r="E964" s="16" t="n">
        <x:v>0.08</x:v>
      </x:c>
      <x:c r="F964" s="16" t="n">
        <x:v>0.064</x:v>
      </x:c>
      <x:c r="G964" s="16" t="n">
        <x:v>1</x:v>
      </x:c>
      <x:c r="H964" s="11" t="n">
        <x:f>H940</x:f>
        <x:v>0.18</x:v>
      </x:c>
      <x:c r="I964" s="11" t="n">
        <x:f>I940</x:f>
        <x:v>7</x:v>
      </x:c>
    </x:row>
    <x:row r="965" ht="23" customHeight="1">
      <x:c r="A965" s="11" t="str">
        <x:v>02162.HK</x:v>
      </x:c>
      <x:c r="B965" s="11" t="str">
        <x:v>三年</x:v>
      </x:c>
      <x:c r="C965" s="11" t="str">
        <x:v>CM336_foreign</x:v>
      </x:c>
      <x:c r="D965" s="11" t="str">
        <x:v>基准</x:v>
      </x:c>
      <x:c r="E965" s="16" t="n">
        <x:v>0.25</x:v>
      </x:c>
      <x:c r="F965" s="16" t="n">
        <x:v>0.09129999999999999</x:v>
      </x:c>
      <x:c r="G965" s="16" t="n">
        <x:v>1</x:v>
      </x:c>
      <x:c r="H965" s="11" t="n">
        <x:f>H941</x:f>
        <x:v>0.14</x:v>
      </x:c>
      <x:c r="I965" s="11" t="n">
        <x:f>I941</x:f>
        <x:v>7</x:v>
      </x:c>
    </x:row>
    <x:row r="966" ht="23" customHeight="1">
      <x:c r="A966" s="11" t="str">
        <x:v>02162.HK</x:v>
      </x:c>
      <x:c r="B966" s="11" t="str">
        <x:v>三年</x:v>
      </x:c>
      <x:c r="C966" s="11" t="str">
        <x:v>CM336_foreign</x:v>
      </x:c>
      <x:c r="D966" s="11" t="str">
        <x:v>乐观</x:v>
      </x:c>
      <x:c r="E966" s="16" t="n">
        <x:v>0.5</x:v>
      </x:c>
      <x:c r="F966" s="16" t="n">
        <x:v>0.11900000000000001</x:v>
      </x:c>
      <x:c r="G966" s="16" t="n">
        <x:v>1</x:v>
      </x:c>
      <x:c r="H966" s="11" t="n">
        <x:f>H942</x:f>
        <x:v>0.11</x:v>
      </x:c>
      <x:c r="I966" s="11" t="n">
        <x:f>I942</x:f>
        <x:v>7</x:v>
      </x:c>
    </x:row>
    <x:row r="967" ht="23" customHeight="1">
      <x:c r="A967" s="11" t="str">
        <x:v>02162.HK</x:v>
      </x:c>
      <x:c r="B967" s="11" t="str">
        <x:v>三年</x:v>
      </x:c>
      <x:c r="C967" s="11" t="str">
        <x:v>CM336_domestic</x:v>
      </x:c>
      <x:c r="D967" s="11" t="str">
        <x:v>活动输入</x:v>
      </x:c>
      <x:c r="E967" s="11" t="n">
        <x:f>CHOOSE('假设'!$B$3,E968,E969,E970)</x:f>
        <x:v>0.4</x:v>
      </x:c>
      <x:c r="F967" s="11" t="n">
        <x:f>CHOOSE('假设'!$B$3,F968,F969,F970)</x:f>
        <x:v>0.45</x:v>
      </x:c>
      <x:c r="G967" s="11" t="n">
        <x:f>CHOOSE('假设'!$B$3,G968,G969,G970)</x:f>
        <x:v>1</x:v>
      </x:c>
      <x:c r="H967" s="11" t="n">
        <x:f>CHOOSE('假设'!$B$3,H968,H969,H970)</x:f>
        <x:v>0.14</x:v>
      </x:c>
      <x:c r="I967" s="11" t="n">
        <x:f>CHOOSE('假设'!$B$3,I968,I969,I970)</x:f>
        <x:v>7</x:v>
      </x:c>
    </x:row>
    <x:row r="968" ht="23" customHeight="1">
      <x:c r="A968" s="11" t="str">
        <x:v>02162.HK</x:v>
      </x:c>
      <x:c r="B968" s="11" t="str">
        <x:v>三年</x:v>
      </x:c>
      <x:c r="C968" s="11" t="str">
        <x:v>CM336_domestic</x:v>
      </x:c>
      <x:c r="D968" s="11" t="str">
        <x:v>悲观</x:v>
      </x:c>
      <x:c r="E968" s="16" t="n">
        <x:v>0.15</x:v>
      </x:c>
      <x:c r="F968" s="16" t="n">
        <x:v>0.35</x:v>
      </x:c>
      <x:c r="G968" s="16" t="n">
        <x:v>1</x:v>
      </x:c>
      <x:c r="H968" s="11" t="n">
        <x:f>H940</x:f>
        <x:v>0.18</x:v>
      </x:c>
      <x:c r="I968" s="11" t="n">
        <x:f>I940</x:f>
        <x:v>7</x:v>
      </x:c>
    </x:row>
    <x:row r="969" ht="23" customHeight="1">
      <x:c r="A969" s="11" t="str">
        <x:v>02162.HK</x:v>
      </x:c>
      <x:c r="B969" s="11" t="str">
        <x:v>三年</x:v>
      </x:c>
      <x:c r="C969" s="11" t="str">
        <x:v>CM336_domestic</x:v>
      </x:c>
      <x:c r="D969" s="11" t="str">
        <x:v>基准</x:v>
      </x:c>
      <x:c r="E969" s="16" t="n">
        <x:v>0.4</x:v>
      </x:c>
      <x:c r="F969" s="16" t="n">
        <x:v>0.45</x:v>
      </x:c>
      <x:c r="G969" s="16" t="n">
        <x:v>1</x:v>
      </x:c>
      <x:c r="H969" s="11" t="n">
        <x:f>H941</x:f>
        <x:v>0.14</x:v>
      </x:c>
      <x:c r="I969" s="11" t="n">
        <x:f>I941</x:f>
        <x:v>7</x:v>
      </x:c>
    </x:row>
    <x:row r="970" ht="23" customHeight="1">
      <x:c r="A970" s="11" t="str">
        <x:v>02162.HK</x:v>
      </x:c>
      <x:c r="B970" s="11" t="str">
        <x:v>三年</x:v>
      </x:c>
      <x:c r="C970" s="11" t="str">
        <x:v>CM336_domestic</x:v>
      </x:c>
      <x:c r="D970" s="11" t="str">
        <x:v>乐观</x:v>
      </x:c>
      <x:c r="E970" s="16" t="n">
        <x:v>0.65</x:v>
      </x:c>
      <x:c r="F970" s="16" t="n">
        <x:v>0.52</x:v>
      </x:c>
      <x:c r="G970" s="16" t="n">
        <x:v>1</x:v>
      </x:c>
      <x:c r="H970" s="11" t="n">
        <x:f>H942</x:f>
        <x:v>0.11</x:v>
      </x:c>
      <x:c r="I970" s="11" t="n">
        <x:f>I942</x:f>
        <x:v>7</x:v>
      </x:c>
    </x:row>
    <x:row r="971" ht="23" customHeight="1">
      <x:c r="A971" s="11" t="str">
        <x:v>02162.HK</x:v>
      </x:c>
      <x:c r="B971" s="11" t="str">
        <x:v>三年</x:v>
      </x:c>
      <x:c r="C971" s="11" t="str">
        <x:v>CM313_domestic</x:v>
      </x:c>
      <x:c r="D971" s="11" t="str">
        <x:v>活动输入</x:v>
      </x:c>
      <x:c r="E971" s="11" t="n">
        <x:f>CHOOSE('假设'!$B$3,E972,E973,E974)</x:f>
        <x:v>0.3</x:v>
      </x:c>
      <x:c r="F971" s="11" t="n">
        <x:f>CHOOSE('假设'!$B$3,F972,F973,F974)</x:f>
        <x:v>0.45</x:v>
      </x:c>
      <x:c r="G971" s="11" t="n">
        <x:f>CHOOSE('假设'!$B$3,G972,G973,G974)</x:f>
        <x:v>1</x:v>
      </x:c>
      <x:c r="H971" s="11" t="n">
        <x:f>CHOOSE('假设'!$B$3,H972,H973,H974)</x:f>
        <x:v>0.14</x:v>
      </x:c>
      <x:c r="I971" s="11" t="n">
        <x:f>CHOOSE('假设'!$B$3,I972,I973,I974)</x:f>
        <x:v>7</x:v>
      </x:c>
    </x:row>
    <x:row r="972" ht="23" customHeight="1">
      <x:c r="A972" s="11" t="str">
        <x:v>02162.HK</x:v>
      </x:c>
      <x:c r="B972" s="11" t="str">
        <x:v>三年</x:v>
      </x:c>
      <x:c r="C972" s="11" t="str">
        <x:v>CM313_domestic</x:v>
      </x:c>
      <x:c r="D972" s="11" t="str">
        <x:v>悲观</x:v>
      </x:c>
      <x:c r="E972" s="16" t="n">
        <x:v>0.1</x:v>
      </x:c>
      <x:c r="F972" s="16" t="n">
        <x:v>0.35</x:v>
      </x:c>
      <x:c r="G972" s="16" t="n">
        <x:v>1</x:v>
      </x:c>
      <x:c r="H972" s="11" t="n">
        <x:f>H940</x:f>
        <x:v>0.18</x:v>
      </x:c>
      <x:c r="I972" s="11" t="n">
        <x:f>I940</x:f>
        <x:v>7</x:v>
      </x:c>
    </x:row>
    <x:row r="973" ht="23" customHeight="1">
      <x:c r="A973" s="11" t="str">
        <x:v>02162.HK</x:v>
      </x:c>
      <x:c r="B973" s="11" t="str">
        <x:v>三年</x:v>
      </x:c>
      <x:c r="C973" s="11" t="str">
        <x:v>CM313_domestic</x:v>
      </x:c>
      <x:c r="D973" s="11" t="str">
        <x:v>基准</x:v>
      </x:c>
      <x:c r="E973" s="16" t="n">
        <x:v>0.3</x:v>
      </x:c>
      <x:c r="F973" s="16" t="n">
        <x:v>0.45</x:v>
      </x:c>
      <x:c r="G973" s="16" t="n">
        <x:v>1</x:v>
      </x:c>
      <x:c r="H973" s="11" t="n">
        <x:f>H941</x:f>
        <x:v>0.14</x:v>
      </x:c>
      <x:c r="I973" s="11" t="n">
        <x:f>I941</x:f>
        <x:v>7</x:v>
      </x:c>
    </x:row>
    <x:row r="974" ht="23" customHeight="1">
      <x:c r="A974" s="11" t="str">
        <x:v>02162.HK</x:v>
      </x:c>
      <x:c r="B974" s="11" t="str">
        <x:v>三年</x:v>
      </x:c>
      <x:c r="C974" s="11" t="str">
        <x:v>CM313_domestic</x:v>
      </x:c>
      <x:c r="D974" s="11" t="str">
        <x:v>乐观</x:v>
      </x:c>
      <x:c r="E974" s="16" t="n">
        <x:v>0.55</x:v>
      </x:c>
      <x:c r="F974" s="16" t="n">
        <x:v>0.5</x:v>
      </x:c>
      <x:c r="G974" s="16" t="n">
        <x:v>1</x:v>
      </x:c>
      <x:c r="H974" s="11" t="n">
        <x:f>H942</x:f>
        <x:v>0.11</x:v>
      </x:c>
      <x:c r="I974" s="11" t="n">
        <x:f>I942</x:f>
        <x:v>7</x:v>
      </x:c>
    </x:row>
    <x:row r="975" ht="23" customHeight="1">
      <x:c r="A975" s="11" t="str">
        <x:v>02162.HK</x:v>
      </x:c>
      <x:c r="B975" s="11" t="str">
        <x:v>三年</x:v>
      </x:c>
      <x:c r="C975" s="11" t="str">
        <x:v>CM326_China</x:v>
      </x:c>
      <x:c r="D975" s="11" t="str">
        <x:v>活动输入</x:v>
      </x:c>
      <x:c r="E975" s="11" t="n">
        <x:f>CHOOSE('假设'!$B$3,E976,E977,E978)</x:f>
        <x:v>0.45</x:v>
      </x:c>
      <x:c r="F975" s="11" t="n">
        <x:f>CHOOSE('假设'!$B$3,F976,F977,F978)</x:f>
        <x:v>0.083</x:v>
      </x:c>
      <x:c r="G975" s="11" t="n">
        <x:f>CHOOSE('假设'!$B$3,G976,G977,G978)</x:f>
        <x:v>1</x:v>
      </x:c>
      <x:c r="H975" s="11" t="n">
        <x:f>CHOOSE('假设'!$B$3,H976,H977,H978)</x:f>
        <x:v>0.14</x:v>
      </x:c>
      <x:c r="I975" s="11" t="n">
        <x:f>CHOOSE('假设'!$B$3,I976,I977,I978)</x:f>
        <x:v>7</x:v>
      </x:c>
    </x:row>
    <x:row r="976" ht="23" customHeight="1">
      <x:c r="A976" s="11" t="str">
        <x:v>02162.HK</x:v>
      </x:c>
      <x:c r="B976" s="11" t="str">
        <x:v>三年</x:v>
      </x:c>
      <x:c r="C976" s="11" t="str">
        <x:v>CM326_China</x:v>
      </x:c>
      <x:c r="D976" s="11" t="str">
        <x:v>悲观</x:v>
      </x:c>
      <x:c r="E976" s="16" t="n">
        <x:v>0.15</x:v>
      </x:c>
      <x:c r="F976" s="16" t="n">
        <x:v>0.05600000000000001</x:v>
      </x:c>
      <x:c r="G976" s="16" t="n">
        <x:v>1</x:v>
      </x:c>
      <x:c r="H976" s="11" t="n">
        <x:f>H940</x:f>
        <x:v>0.18</x:v>
      </x:c>
      <x:c r="I976" s="11" t="n">
        <x:f>I940</x:f>
        <x:v>7</x:v>
      </x:c>
    </x:row>
    <x:row r="977" ht="23" customHeight="1">
      <x:c r="A977" s="11" t="str">
        <x:v>02162.HK</x:v>
      </x:c>
      <x:c r="B977" s="11" t="str">
        <x:v>三年</x:v>
      </x:c>
      <x:c r="C977" s="11" t="str">
        <x:v>CM326_China</x:v>
      </x:c>
      <x:c r="D977" s="11" t="str">
        <x:v>基准</x:v>
      </x:c>
      <x:c r="E977" s="16" t="n">
        <x:v>0.45</x:v>
      </x:c>
      <x:c r="F977" s="16" t="n">
        <x:v>0.083</x:v>
      </x:c>
      <x:c r="G977" s="16" t="n">
        <x:v>1</x:v>
      </x:c>
      <x:c r="H977" s="11" t="n">
        <x:f>H941</x:f>
        <x:v>0.14</x:v>
      </x:c>
      <x:c r="I977" s="11" t="n">
        <x:f>I941</x:f>
        <x:v>7</x:v>
      </x:c>
    </x:row>
    <x:row r="978" ht="23" customHeight="1">
      <x:c r="A978" s="11" t="str">
        <x:v>02162.HK</x:v>
      </x:c>
      <x:c r="B978" s="11" t="str">
        <x:v>三年</x:v>
      </x:c>
      <x:c r="C978" s="11" t="str">
        <x:v>CM326_China</x:v>
      </x:c>
      <x:c r="D978" s="11" t="str">
        <x:v>乐观</x:v>
      </x:c>
      <x:c r="E978" s="16" t="n">
        <x:v>0.7</x:v>
      </x:c>
      <x:c r="F978" s="16" t="n">
        <x:v>0.1105</x:v>
      </x:c>
      <x:c r="G978" s="16" t="n">
        <x:v>1</x:v>
      </x:c>
      <x:c r="H978" s="11" t="n">
        <x:f>H942</x:f>
        <x:v>0.11</x:v>
      </x:c>
      <x:c r="I978" s="11" t="n">
        <x:f>I942</x:f>
        <x:v>7</x:v>
      </x:c>
    </x:row>
    <x:row r="979" ht="23" customHeight="1">
      <x:c r="A979" s="11" t="str">
        <x:v>02162.HK</x:v>
      </x:c>
      <x:c r="B979" s="11" t="str">
        <x:v>三年</x:v>
      </x:c>
      <x:c r="C979" s="11" t="str">
        <x:v>centralCost</x:v>
      </x:c>
      <x:c r="D979" s="11" t="str">
        <x:v>活动输入</x:v>
      </x:c>
      <x:c r="E979" s="11" t="n">
        <x:f>CHOOSE('假设'!$B$3,E980,E981,E982)</x:f>
        <x:v>1</x:v>
      </x:c>
      <x:c r="F979" s="11" t="n">
        <x:f>CHOOSE('假设'!$B$3,F980,F981,F982)</x:f>
        <x:v>0</x:v>
      </x:c>
      <x:c r="G979" s="11" t="n">
        <x:f>CHOOSE('假设'!$B$3,G980,G981,G982)</x:f>
        <x:v>1</x:v>
      </x:c>
      <x:c r="H979" s="11" t="n">
        <x:f>CHOOSE('假设'!$B$3,H980,H981,H982)</x:f>
        <x:v>0.14</x:v>
      </x:c>
      <x:c r="I979" s="11" t="n">
        <x:f>CHOOSE('假设'!$B$3,I980,I981,I982)</x:f>
        <x:v>7</x:v>
      </x:c>
    </x:row>
    <x:row r="980" ht="23" customHeight="1">
      <x:c r="A980" s="11" t="str">
        <x:v>02162.HK</x:v>
      </x:c>
      <x:c r="B980" s="11" t="str">
        <x:v>三年</x:v>
      </x:c>
      <x:c r="C980" s="11" t="str">
        <x:v>centralCost</x:v>
      </x:c>
      <x:c r="D980" s="11" t="str">
        <x:v>悲观</x:v>
      </x:c>
      <x:c r="E980" s="16" t="n">
        <x:v>1</x:v>
      </x:c>
      <x:c r="F980" s="16" t="n">
        <x:v>0</x:v>
      </x:c>
      <x:c r="G980" s="16" t="n">
        <x:v>1</x:v>
      </x:c>
      <x:c r="H980" s="11" t="n">
        <x:f>H940</x:f>
        <x:v>0.18</x:v>
      </x:c>
      <x:c r="I980" s="11" t="n">
        <x:f>I940</x:f>
        <x:v>7</x:v>
      </x:c>
    </x:row>
    <x:row r="981" ht="23" customHeight="1">
      <x:c r="A981" s="11" t="str">
        <x:v>02162.HK</x:v>
      </x:c>
      <x:c r="B981" s="11" t="str">
        <x:v>三年</x:v>
      </x:c>
      <x:c r="C981" s="11" t="str">
        <x:v>centralCost</x:v>
      </x:c>
      <x:c r="D981" s="11" t="str">
        <x:v>基准</x:v>
      </x:c>
      <x:c r="E981" s="16" t="n">
        <x:v>1</x:v>
      </x:c>
      <x:c r="F981" s="16" t="n">
        <x:v>0</x:v>
      </x:c>
      <x:c r="G981" s="16" t="n">
        <x:v>1</x:v>
      </x:c>
      <x:c r="H981" s="11" t="n">
        <x:f>H941</x:f>
        <x:v>0.14</x:v>
      </x:c>
      <x:c r="I981" s="11" t="n">
        <x:f>I941</x:f>
        <x:v>7</x:v>
      </x:c>
    </x:row>
    <x:row r="982" ht="23" customHeight="1">
      <x:c r="A982" s="11" t="str">
        <x:v>02162.HK</x:v>
      </x:c>
      <x:c r="B982" s="11" t="str">
        <x:v>三年</x:v>
      </x:c>
      <x:c r="C982" s="11" t="str">
        <x:v>centralCost</x:v>
      </x:c>
      <x:c r="D982" s="11" t="str">
        <x:v>乐观</x:v>
      </x:c>
      <x:c r="E982" s="16" t="n">
        <x:v>1</x:v>
      </x:c>
      <x:c r="F982" s="16" t="n">
        <x:v>0</x:v>
      </x:c>
      <x:c r="G982" s="16" t="n">
        <x:v>1</x:v>
      </x:c>
      <x:c r="H982" s="11" t="n">
        <x:f>H942</x:f>
        <x:v>0.11</x:v>
      </x:c>
      <x:c r="I982" s="11" t="n">
        <x:f>I942</x:f>
        <x:v>7</x:v>
      </x:c>
    </x:row>
    <x:row r="983" ht="23" customHeight="1">
      <x:c r="A983" s="11" t="str">
        <x:v>02162.HK</x:v>
      </x:c>
      <x:c r="B983" s="11" t="str">
        <x:v>五年</x:v>
      </x:c>
      <x:c r="C983" s="11" t="str">
        <x:v>CM310_approved</x:v>
      </x:c>
      <x:c r="D983" s="11" t="str">
        <x:v>活动输入</x:v>
      </x:c>
      <x:c r="E983" s="11" t="n">
        <x:f>CHOOSE('假设'!$B$3,E984,E985,E986)</x:f>
        <x:v>0.97</x:v>
      </x:c>
      <x:c r="F983" s="11" t="n">
        <x:f>CHOOSE('假设'!$B$3,F984,F985,F986)</x:f>
        <x:v>0.45</x:v>
      </x:c>
      <x:c r="G983" s="11" t="n">
        <x:f>CHOOSE('假设'!$B$3,G984,G985,G986)</x:f>
        <x:v>1</x:v>
      </x:c>
      <x:c r="H983" s="11" t="n">
        <x:f>CHOOSE('假设'!$B$3,H984,H985,H986)</x:f>
        <x:v>0.14</x:v>
      </x:c>
      <x:c r="I983" s="11" t="n">
        <x:f>CHOOSE('假设'!$B$3,I984,I985,I986)</x:f>
        <x:v>7</x:v>
      </x:c>
    </x:row>
    <x:row r="984" ht="23" customHeight="1">
      <x:c r="A984" s="11" t="str">
        <x:v>02162.HK</x:v>
      </x:c>
      <x:c r="B984" s="11" t="str">
        <x:v>五年</x:v>
      </x:c>
      <x:c r="C984" s="11" t="str">
        <x:v>CM310_approved</x:v>
      </x:c>
      <x:c r="D984" s="11" t="str">
        <x:v>悲观</x:v>
      </x:c>
      <x:c r="E984" s="16" t="n">
        <x:v>0.9</x:v>
      </x:c>
      <x:c r="F984" s="16" t="n">
        <x:v>0.35</x:v>
      </x:c>
      <x:c r="G984" s="16" t="n">
        <x:v>1</x:v>
      </x:c>
      <x:c r="H984" s="16" t="n">
        <x:v>0.18</x:v>
      </x:c>
      <x:c r="I984" s="16" t="n">
        <x:v>7</x:v>
      </x:c>
    </x:row>
    <x:row r="985" ht="23" customHeight="1">
      <x:c r="A985" s="11" t="str">
        <x:v>02162.HK</x:v>
      </x:c>
      <x:c r="B985" s="11" t="str">
        <x:v>五年</x:v>
      </x:c>
      <x:c r="C985" s="11" t="str">
        <x:v>CM310_approved</x:v>
      </x:c>
      <x:c r="D985" s="11" t="str">
        <x:v>基准</x:v>
      </x:c>
      <x:c r="E985" s="16" t="n">
        <x:v>0.97</x:v>
      </x:c>
      <x:c r="F985" s="16" t="n">
        <x:v>0.45</x:v>
      </x:c>
      <x:c r="G985" s="16" t="n">
        <x:v>1</x:v>
      </x:c>
      <x:c r="H985" s="16" t="n">
        <x:v>0.14</x:v>
      </x:c>
      <x:c r="I985" s="16" t="n">
        <x:v>7</x:v>
      </x:c>
    </x:row>
    <x:row r="986" ht="23" customHeight="1">
      <x:c r="A986" s="11" t="str">
        <x:v>02162.HK</x:v>
      </x:c>
      <x:c r="B986" s="11" t="str">
        <x:v>五年</x:v>
      </x:c>
      <x:c r="C986" s="11" t="str">
        <x:v>CM310_approved</x:v>
      </x:c>
      <x:c r="D986" s="11" t="str">
        <x:v>乐观</x:v>
      </x:c>
      <x:c r="E986" s="16" t="n">
        <x:v>1</x:v>
      </x:c>
      <x:c r="F986" s="16" t="n">
        <x:v>0.52</x:v>
      </x:c>
      <x:c r="G986" s="16" t="n">
        <x:v>1</x:v>
      </x:c>
      <x:c r="H986" s="16" t="n">
        <x:v>0.11</x:v>
      </x:c>
      <x:c r="I986" s="16" t="n">
        <x:v>7</x:v>
      </x:c>
    </x:row>
    <x:row r="987" ht="23" customHeight="1">
      <x:c r="A987" s="11" t="str">
        <x:v>02162.HK</x:v>
      </x:c>
      <x:c r="B987" s="11" t="str">
        <x:v>五年</x:v>
      </x:c>
      <x:c r="C987" s="11" t="str">
        <x:v>CM310_new</x:v>
      </x:c>
      <x:c r="D987" s="11" t="str">
        <x:v>活动输入</x:v>
      </x:c>
      <x:c r="E987" s="11" t="n">
        <x:f>CHOOSE('假设'!$B$3,E988,E989,E990)</x:f>
        <x:v>0.7</x:v>
      </x:c>
      <x:c r="F987" s="11" t="n">
        <x:f>CHOOSE('假设'!$B$3,F988,F989,F990)</x:f>
        <x:v>0.45</x:v>
      </x:c>
      <x:c r="G987" s="11" t="n">
        <x:f>CHOOSE('假设'!$B$3,G988,G989,G990)</x:f>
        <x:v>1</x:v>
      </x:c>
      <x:c r="H987" s="11" t="n">
        <x:f>CHOOSE('假设'!$B$3,H988,H989,H990)</x:f>
        <x:v>0.14</x:v>
      </x:c>
      <x:c r="I987" s="11" t="n">
        <x:f>CHOOSE('假设'!$B$3,I988,I989,I990)</x:f>
        <x:v>7</x:v>
      </x:c>
    </x:row>
    <x:row r="988" ht="23" customHeight="1">
      <x:c r="A988" s="11" t="str">
        <x:v>02162.HK</x:v>
      </x:c>
      <x:c r="B988" s="11" t="str">
        <x:v>五年</x:v>
      </x:c>
      <x:c r="C988" s="11" t="str">
        <x:v>CM310_new</x:v>
      </x:c>
      <x:c r="D988" s="11" t="str">
        <x:v>悲观</x:v>
      </x:c>
      <x:c r="E988" s="16" t="n">
        <x:v>0.35</x:v>
      </x:c>
      <x:c r="F988" s="16" t="n">
        <x:v>0.35</x:v>
      </x:c>
      <x:c r="G988" s="16" t="n">
        <x:v>1</x:v>
      </x:c>
      <x:c r="H988" s="11" t="n">
        <x:f>H984</x:f>
        <x:v>0.18</x:v>
      </x:c>
      <x:c r="I988" s="11" t="n">
        <x:f>I984</x:f>
        <x:v>7</x:v>
      </x:c>
    </x:row>
    <x:row r="989" ht="23" customHeight="1">
      <x:c r="A989" s="11" t="str">
        <x:v>02162.HK</x:v>
      </x:c>
      <x:c r="B989" s="11" t="str">
        <x:v>五年</x:v>
      </x:c>
      <x:c r="C989" s="11" t="str">
        <x:v>CM310_new</x:v>
      </x:c>
      <x:c r="D989" s="11" t="str">
        <x:v>基准</x:v>
      </x:c>
      <x:c r="E989" s="16" t="n">
        <x:v>0.7</x:v>
      </x:c>
      <x:c r="F989" s="16" t="n">
        <x:v>0.45</x:v>
      </x:c>
      <x:c r="G989" s="16" t="n">
        <x:v>1</x:v>
      </x:c>
      <x:c r="H989" s="11" t="n">
        <x:f>H985</x:f>
        <x:v>0.14</x:v>
      </x:c>
      <x:c r="I989" s="11" t="n">
        <x:f>I985</x:f>
        <x:v>7</x:v>
      </x:c>
    </x:row>
    <x:row r="990" ht="23" customHeight="1">
      <x:c r="A990" s="11" t="str">
        <x:v>02162.HK</x:v>
      </x:c>
      <x:c r="B990" s="11" t="str">
        <x:v>五年</x:v>
      </x:c>
      <x:c r="C990" s="11" t="str">
        <x:v>CM310_new</x:v>
      </x:c>
      <x:c r="D990" s="11" t="str">
        <x:v>乐观</x:v>
      </x:c>
      <x:c r="E990" s="16" t="n">
        <x:v>0.9</x:v>
      </x:c>
      <x:c r="F990" s="16" t="n">
        <x:v>0.52</x:v>
      </x:c>
      <x:c r="G990" s="16" t="n">
        <x:v>1</x:v>
      </x:c>
      <x:c r="H990" s="11" t="n">
        <x:f>H986</x:f>
        <x:v>0.11</x:v>
      </x:c>
      <x:c r="I990" s="11" t="n">
        <x:f>I986</x:f>
        <x:v>7</x:v>
      </x:c>
    </x:row>
    <x:row r="991" ht="23" customHeight="1">
      <x:c r="A991" s="11" t="str">
        <x:v>02162.HK</x:v>
      </x:c>
      <x:c r="B991" s="11" t="str">
        <x:v>五年</x:v>
      </x:c>
      <x:c r="C991" s="11" t="str">
        <x:v>CM512_CRSwNP</x:v>
      </x:c>
      <x:c r="D991" s="11" t="str">
        <x:v>活动输入</x:v>
      </x:c>
      <x:c r="E991" s="11" t="n">
        <x:f>CHOOSE('假设'!$B$3,E992,E993,E994)</x:f>
        <x:v>0.5</x:v>
      </x:c>
      <x:c r="F991" s="11" t="n">
        <x:f>CHOOSE('假设'!$B$3,F992,F993,F994)</x:f>
        <x:v>0.5</x:v>
      </x:c>
      <x:c r="G991" s="11" t="n">
        <x:f>CHOOSE('假设'!$B$3,G992,G993,G994)</x:f>
        <x:v>1</x:v>
      </x:c>
      <x:c r="H991" s="11" t="n">
        <x:f>CHOOSE('假设'!$B$3,H992,H993,H994)</x:f>
        <x:v>0.14</x:v>
      </x:c>
      <x:c r="I991" s="11" t="n">
        <x:f>CHOOSE('假设'!$B$3,I992,I993,I994)</x:f>
        <x:v>7</x:v>
      </x:c>
    </x:row>
    <x:row r="992" ht="23" customHeight="1">
      <x:c r="A992" s="11" t="str">
        <x:v>02162.HK</x:v>
      </x:c>
      <x:c r="B992" s="11" t="str">
        <x:v>五年</x:v>
      </x:c>
      <x:c r="C992" s="11" t="str">
        <x:v>CM512_CRSwNP</x:v>
      </x:c>
      <x:c r="D992" s="11" t="str">
        <x:v>悲观</x:v>
      </x:c>
      <x:c r="E992" s="16" t="n">
        <x:v>0.15</x:v>
      </x:c>
      <x:c r="F992" s="16" t="n">
        <x:v>0.38</x:v>
      </x:c>
      <x:c r="G992" s="16" t="n">
        <x:v>1</x:v>
      </x:c>
      <x:c r="H992" s="11" t="n">
        <x:f>H984</x:f>
        <x:v>0.18</x:v>
      </x:c>
      <x:c r="I992" s="11" t="n">
        <x:f>I984</x:f>
        <x:v>7</x:v>
      </x:c>
    </x:row>
    <x:row r="993" ht="23" customHeight="1">
      <x:c r="A993" s="11" t="str">
        <x:v>02162.HK</x:v>
      </x:c>
      <x:c r="B993" s="11" t="str">
        <x:v>五年</x:v>
      </x:c>
      <x:c r="C993" s="11" t="str">
        <x:v>CM512_CRSwNP</x:v>
      </x:c>
      <x:c r="D993" s="11" t="str">
        <x:v>基准</x:v>
      </x:c>
      <x:c r="E993" s="16" t="n">
        <x:v>0.5</x:v>
      </x:c>
      <x:c r="F993" s="16" t="n">
        <x:v>0.5</x:v>
      </x:c>
      <x:c r="G993" s="16" t="n">
        <x:v>1</x:v>
      </x:c>
      <x:c r="H993" s="11" t="n">
        <x:f>H985</x:f>
        <x:v>0.14</x:v>
      </x:c>
      <x:c r="I993" s="11" t="n">
        <x:f>I985</x:f>
        <x:v>7</x:v>
      </x:c>
    </x:row>
    <x:row r="994" ht="23" customHeight="1">
      <x:c r="A994" s="11" t="str">
        <x:v>02162.HK</x:v>
      </x:c>
      <x:c r="B994" s="11" t="str">
        <x:v>五年</x:v>
      </x:c>
      <x:c r="C994" s="11" t="str">
        <x:v>CM512_CRSwNP</x:v>
      </x:c>
      <x:c r="D994" s="11" t="str">
        <x:v>乐观</x:v>
      </x:c>
      <x:c r="E994" s="16" t="n">
        <x:v>0.75</x:v>
      </x:c>
      <x:c r="F994" s="16" t="n">
        <x:v>0.57</x:v>
      </x:c>
      <x:c r="G994" s="16" t="n">
        <x:v>1</x:v>
      </x:c>
      <x:c r="H994" s="11" t="n">
        <x:f>H986</x:f>
        <x:v>0.11</x:v>
      </x:c>
      <x:c r="I994" s="11" t="n">
        <x:f>I986</x:f>
        <x:v>7</x:v>
      </x:c>
    </x:row>
    <x:row r="995" ht="23" customHeight="1">
      <x:c r="A995" s="11" t="str">
        <x:v>02162.HK</x:v>
      </x:c>
      <x:c r="B995" s="11" t="str">
        <x:v>五年</x:v>
      </x:c>
      <x:c r="C995" s="11" t="str">
        <x:v>CM512_other</x:v>
      </x:c>
      <x:c r="D995" s="11" t="str">
        <x:v>活动输入</x:v>
      </x:c>
      <x:c r="E995" s="11" t="n">
        <x:f>CHOOSE('假设'!$B$3,E996,E997,E998)</x:f>
        <x:v>0.3</x:v>
      </x:c>
      <x:c r="F995" s="11" t="n">
        <x:f>CHOOSE('假设'!$B$3,F996,F997,F998)</x:f>
        <x:v>0.48</x:v>
      </x:c>
      <x:c r="G995" s="11" t="n">
        <x:f>CHOOSE('假设'!$B$3,G996,G997,G998)</x:f>
        <x:v>1</x:v>
      </x:c>
      <x:c r="H995" s="11" t="n">
        <x:f>CHOOSE('假设'!$B$3,H996,H997,H998)</x:f>
        <x:v>0.14</x:v>
      </x:c>
      <x:c r="I995" s="11" t="n">
        <x:f>CHOOSE('假设'!$B$3,I996,I997,I998)</x:f>
        <x:v>7</x:v>
      </x:c>
    </x:row>
    <x:row r="996" ht="23" customHeight="1">
      <x:c r="A996" s="11" t="str">
        <x:v>02162.HK</x:v>
      </x:c>
      <x:c r="B996" s="11" t="str">
        <x:v>五年</x:v>
      </x:c>
      <x:c r="C996" s="11" t="str">
        <x:v>CM512_other</x:v>
      </x:c>
      <x:c r="D996" s="11" t="str">
        <x:v>悲观</x:v>
      </x:c>
      <x:c r="E996" s="16" t="n">
        <x:v>0.08</x:v>
      </x:c>
      <x:c r="F996" s="16" t="n">
        <x:v>0.35</x:v>
      </x:c>
      <x:c r="G996" s="16" t="n">
        <x:v>1</x:v>
      </x:c>
      <x:c r="H996" s="11" t="n">
        <x:f>H984</x:f>
        <x:v>0.18</x:v>
      </x:c>
      <x:c r="I996" s="11" t="n">
        <x:f>I984</x:f>
        <x:v>7</x:v>
      </x:c>
    </x:row>
    <x:row r="997" ht="23" customHeight="1">
      <x:c r="A997" s="11" t="str">
        <x:v>02162.HK</x:v>
      </x:c>
      <x:c r="B997" s="11" t="str">
        <x:v>五年</x:v>
      </x:c>
      <x:c r="C997" s="11" t="str">
        <x:v>CM512_other</x:v>
      </x:c>
      <x:c r="D997" s="11" t="str">
        <x:v>基准</x:v>
      </x:c>
      <x:c r="E997" s="16" t="n">
        <x:v>0.3</x:v>
      </x:c>
      <x:c r="F997" s="16" t="n">
        <x:v>0.48</x:v>
      </x:c>
      <x:c r="G997" s="16" t="n">
        <x:v>1</x:v>
      </x:c>
      <x:c r="H997" s="11" t="n">
        <x:f>H985</x:f>
        <x:v>0.14</x:v>
      </x:c>
      <x:c r="I997" s="11" t="n">
        <x:f>I985</x:f>
        <x:v>7</x:v>
      </x:c>
    </x:row>
    <x:row r="998" ht="23" customHeight="1">
      <x:c r="A998" s="11" t="str">
        <x:v>02162.HK</x:v>
      </x:c>
      <x:c r="B998" s="11" t="str">
        <x:v>五年</x:v>
      </x:c>
      <x:c r="C998" s="11" t="str">
        <x:v>CM512_other</x:v>
      </x:c>
      <x:c r="D998" s="11" t="str">
        <x:v>乐观</x:v>
      </x:c>
      <x:c r="E998" s="16" t="n">
        <x:v>0.55</x:v>
      </x:c>
      <x:c r="F998" s="16" t="n">
        <x:v>0.55</x:v>
      </x:c>
      <x:c r="G998" s="16" t="n">
        <x:v>1</x:v>
      </x:c>
      <x:c r="H998" s="11" t="n">
        <x:f>H986</x:f>
        <x:v>0.11</x:v>
      </x:c>
      <x:c r="I998" s="11" t="n">
        <x:f>I986</x:f>
        <x:v>7</x:v>
      </x:c>
    </x:row>
    <x:row r="999" ht="23" customHeight="1">
      <x:c r="A999" s="11" t="str">
        <x:v>02162.HK</x:v>
      </x:c>
      <x:c r="B999" s="11" t="str">
        <x:v>五年</x:v>
      </x:c>
      <x:c r="C999" s="11" t="str">
        <x:v>CMG901_2Lplus</x:v>
      </x:c>
      <x:c r="D999" s="11" t="str">
        <x:v>活动输入</x:v>
      </x:c>
      <x:c r="E999" s="11" t="n">
        <x:f>CHOOSE('假设'!$B$3,E1000,E1001,E1002)</x:f>
        <x:v>0.75</x:v>
      </x:c>
      <x:c r="F999" s="11" t="n">
        <x:f>CHOOSE('假设'!$B$3,F1000,F1001,F1002)</x:f>
        <x:v>0.09839999999999999</x:v>
      </x:c>
      <x:c r="G999" s="11" t="n">
        <x:f>CHOOSE('假设'!$B$3,G1000,G1001,G1002)</x:f>
        <x:v>0.7</x:v>
      </x:c>
      <x:c r="H999" s="11" t="n">
        <x:f>CHOOSE('假设'!$B$3,H1000,H1001,H1002)</x:f>
        <x:v>0.14</x:v>
      </x:c>
      <x:c r="I999" s="11" t="n">
        <x:f>CHOOSE('假设'!$B$3,I1000,I1001,I1002)</x:f>
        <x:v>7</x:v>
      </x:c>
    </x:row>
    <x:row r="1000" ht="23" customHeight="1">
      <x:c r="A1000" s="11" t="str">
        <x:v>02162.HK</x:v>
      </x:c>
      <x:c r="B1000" s="11" t="str">
        <x:v>五年</x:v>
      </x:c>
      <x:c r="C1000" s="11" t="str">
        <x:v>CMG901_2Lplus</x:v>
      </x:c>
      <x:c r="D1000" s="11" t="str">
        <x:v>悲观</x:v>
      </x:c>
      <x:c r="E1000" s="16" t="n">
        <x:v>0.35</x:v>
      </x:c>
      <x:c r="F1000" s="16" t="n">
        <x:v>0.0702</x:v>
      </x:c>
      <x:c r="G1000" s="16" t="n">
        <x:v>0.7</x:v>
      </x:c>
      <x:c r="H1000" s="11" t="n">
        <x:f>H984</x:f>
        <x:v>0.18</x:v>
      </x:c>
      <x:c r="I1000" s="11" t="n">
        <x:f>I984</x:f>
        <x:v>7</x:v>
      </x:c>
    </x:row>
    <x:row r="1001" ht="23" customHeight="1">
      <x:c r="A1001" s="11" t="str">
        <x:v>02162.HK</x:v>
      </x:c>
      <x:c r="B1001" s="11" t="str">
        <x:v>五年</x:v>
      </x:c>
      <x:c r="C1001" s="11" t="str">
        <x:v>CMG901_2Lplus</x:v>
      </x:c>
      <x:c r="D1001" s="11" t="str">
        <x:v>基准</x:v>
      </x:c>
      <x:c r="E1001" s="16" t="n">
        <x:v>0.75</x:v>
      </x:c>
      <x:c r="F1001" s="16" t="n">
        <x:v>0.09839999999999999</x:v>
      </x:c>
      <x:c r="G1001" s="16" t="n">
        <x:v>0.7</x:v>
      </x:c>
      <x:c r="H1001" s="11" t="n">
        <x:f>H985</x:f>
        <x:v>0.14</x:v>
      </x:c>
      <x:c r="I1001" s="11" t="n">
        <x:f>I985</x:f>
        <x:v>7</x:v>
      </x:c>
    </x:row>
    <x:row r="1002" ht="23" customHeight="1">
      <x:c r="A1002" s="11" t="str">
        <x:v>02162.HK</x:v>
      </x:c>
      <x:c r="B1002" s="11" t="str">
        <x:v>五年</x:v>
      </x:c>
      <x:c r="C1002" s="11" t="str">
        <x:v>CMG901_2Lplus</x:v>
      </x:c>
      <x:c r="D1002" s="11" t="str">
        <x:v>乐观</x:v>
      </x:c>
      <x:c r="E1002" s="16" t="n">
        <x:v>0.9</x:v>
      </x:c>
      <x:c r="F1002" s="16" t="n">
        <x:v>0.1275</x:v>
      </x:c>
      <x:c r="G1002" s="16" t="n">
        <x:v>0.7</x:v>
      </x:c>
      <x:c r="H1002" s="11" t="n">
        <x:f>H986</x:f>
        <x:v>0.11</x:v>
      </x:c>
      <x:c r="I1002" s="11" t="n">
        <x:f>I986</x:f>
        <x:v>7</x:v>
      </x:c>
    </x:row>
    <x:row r="1003" ht="23" customHeight="1">
      <x:c r="A1003" s="11" t="str">
        <x:v>02162.HK</x:v>
      </x:c>
      <x:c r="B1003" s="11" t="str">
        <x:v>五年</x:v>
      </x:c>
      <x:c r="C1003" s="11" t="str">
        <x:v>CMG901_expansion</x:v>
      </x:c>
      <x:c r="D1003" s="11" t="str">
        <x:v>活动输入</x:v>
      </x:c>
      <x:c r="E1003" s="11" t="n">
        <x:f>CHOOSE('假设'!$B$3,E1004,E1005,E1006)</x:f>
        <x:v>0.35</x:v>
      </x:c>
      <x:c r="F1003" s="11" t="n">
        <x:f>CHOOSE('假设'!$B$3,F1004,F1005,F1006)</x:f>
        <x:v>0.09839999999999999</x:v>
      </x:c>
      <x:c r="G1003" s="11" t="n">
        <x:f>CHOOSE('假设'!$B$3,G1004,G1005,G1006)</x:f>
        <x:v>0.7</x:v>
      </x:c>
      <x:c r="H1003" s="11" t="n">
        <x:f>CHOOSE('假设'!$B$3,H1004,H1005,H1006)</x:f>
        <x:v>0.14</x:v>
      </x:c>
      <x:c r="I1003" s="11" t="n">
        <x:f>CHOOSE('假设'!$B$3,I1004,I1005,I1006)</x:f>
        <x:v>7</x:v>
      </x:c>
    </x:row>
    <x:row r="1004" ht="23" customHeight="1">
      <x:c r="A1004" s="11" t="str">
        <x:v>02162.HK</x:v>
      </x:c>
      <x:c r="B1004" s="11" t="str">
        <x:v>五年</x:v>
      </x:c>
      <x:c r="C1004" s="11" t="str">
        <x:v>CMG901_expansion</x:v>
      </x:c>
      <x:c r="D1004" s="11" t="str">
        <x:v>悲观</x:v>
      </x:c>
      <x:c r="E1004" s="16" t="n">
        <x:v>0.1</x:v>
      </x:c>
      <x:c r="F1004" s="16" t="n">
        <x:v>0.0702</x:v>
      </x:c>
      <x:c r="G1004" s="16" t="n">
        <x:v>0.7</x:v>
      </x:c>
      <x:c r="H1004" s="11" t="n">
        <x:f>H984</x:f>
        <x:v>0.18</x:v>
      </x:c>
      <x:c r="I1004" s="11" t="n">
        <x:f>I984</x:f>
        <x:v>7</x:v>
      </x:c>
    </x:row>
    <x:row r="1005" ht="23" customHeight="1">
      <x:c r="A1005" s="11" t="str">
        <x:v>02162.HK</x:v>
      </x:c>
      <x:c r="B1005" s="11" t="str">
        <x:v>五年</x:v>
      </x:c>
      <x:c r="C1005" s="11" t="str">
        <x:v>CMG901_expansion</x:v>
      </x:c>
      <x:c r="D1005" s="11" t="str">
        <x:v>基准</x:v>
      </x:c>
      <x:c r="E1005" s="16" t="n">
        <x:v>0.35</x:v>
      </x:c>
      <x:c r="F1005" s="16" t="n">
        <x:v>0.09839999999999999</x:v>
      </x:c>
      <x:c r="G1005" s="16" t="n">
        <x:v>0.7</x:v>
      </x:c>
      <x:c r="H1005" s="11" t="n">
        <x:f>H985</x:f>
        <x:v>0.14</x:v>
      </x:c>
      <x:c r="I1005" s="11" t="n">
        <x:f>I985</x:f>
        <x:v>7</x:v>
      </x:c>
    </x:row>
    <x:row r="1006" ht="23" customHeight="1">
      <x:c r="A1006" s="11" t="str">
        <x:v>02162.HK</x:v>
      </x:c>
      <x:c r="B1006" s="11" t="str">
        <x:v>五年</x:v>
      </x:c>
      <x:c r="C1006" s="11" t="str">
        <x:v>CMG901_expansion</x:v>
      </x:c>
      <x:c r="D1006" s="11" t="str">
        <x:v>乐观</x:v>
      </x:c>
      <x:c r="E1006" s="16" t="n">
        <x:v>0.6</x:v>
      </x:c>
      <x:c r="F1006" s="16" t="n">
        <x:v>0.1275</x:v>
      </x:c>
      <x:c r="G1006" s="16" t="n">
        <x:v>0.7</x:v>
      </x:c>
      <x:c r="H1006" s="11" t="n">
        <x:f>H986</x:f>
        <x:v>0.11</x:v>
      </x:c>
      <x:c r="I1006" s="11" t="n">
        <x:f>I986</x:f>
        <x:v>7</x:v>
      </x:c>
    </x:row>
    <x:row r="1007" ht="23" customHeight="1">
      <x:c r="A1007" s="11" t="str">
        <x:v>02162.HK</x:v>
      </x:c>
      <x:c r="B1007" s="11" t="str">
        <x:v>五年</x:v>
      </x:c>
      <x:c r="C1007" s="11" t="str">
        <x:v>CM336_foreign</x:v>
      </x:c>
      <x:c r="D1007" s="11" t="str">
        <x:v>活动输入</x:v>
      </x:c>
      <x:c r="E1007" s="11" t="n">
        <x:f>CHOOSE('假设'!$B$3,E1008,E1009,E1010)</x:f>
        <x:v>0.25</x:v>
      </x:c>
      <x:c r="F1007" s="11" t="n">
        <x:f>CHOOSE('假设'!$B$3,F1008,F1009,F1010)</x:f>
        <x:v>0.09129999999999999</x:v>
      </x:c>
      <x:c r="G1007" s="11" t="n">
        <x:f>CHOOSE('假设'!$B$3,G1008,G1009,G1010)</x:f>
        <x:v>1</x:v>
      </x:c>
      <x:c r="H1007" s="11" t="n">
        <x:f>CHOOSE('假设'!$B$3,H1008,H1009,H1010)</x:f>
        <x:v>0.14</x:v>
      </x:c>
      <x:c r="I1007" s="11" t="n">
        <x:f>CHOOSE('假设'!$B$3,I1008,I1009,I1010)</x:f>
        <x:v>7</x:v>
      </x:c>
    </x:row>
    <x:row r="1008" ht="23" customHeight="1">
      <x:c r="A1008" s="11" t="str">
        <x:v>02162.HK</x:v>
      </x:c>
      <x:c r="B1008" s="11" t="str">
        <x:v>五年</x:v>
      </x:c>
      <x:c r="C1008" s="11" t="str">
        <x:v>CM336_foreign</x:v>
      </x:c>
      <x:c r="D1008" s="11" t="str">
        <x:v>悲观</x:v>
      </x:c>
      <x:c r="E1008" s="16" t="n">
        <x:v>0.08</x:v>
      </x:c>
      <x:c r="F1008" s="16" t="n">
        <x:v>0.064</x:v>
      </x:c>
      <x:c r="G1008" s="16" t="n">
        <x:v>1</x:v>
      </x:c>
      <x:c r="H1008" s="11" t="n">
        <x:f>H984</x:f>
        <x:v>0.18</x:v>
      </x:c>
      <x:c r="I1008" s="11" t="n">
        <x:f>I984</x:f>
        <x:v>7</x:v>
      </x:c>
    </x:row>
    <x:row r="1009" ht="23" customHeight="1">
      <x:c r="A1009" s="11" t="str">
        <x:v>02162.HK</x:v>
      </x:c>
      <x:c r="B1009" s="11" t="str">
        <x:v>五年</x:v>
      </x:c>
      <x:c r="C1009" s="11" t="str">
        <x:v>CM336_foreign</x:v>
      </x:c>
      <x:c r="D1009" s="11" t="str">
        <x:v>基准</x:v>
      </x:c>
      <x:c r="E1009" s="16" t="n">
        <x:v>0.25</x:v>
      </x:c>
      <x:c r="F1009" s="16" t="n">
        <x:v>0.09129999999999999</x:v>
      </x:c>
      <x:c r="G1009" s="16" t="n">
        <x:v>1</x:v>
      </x:c>
      <x:c r="H1009" s="11" t="n">
        <x:f>H985</x:f>
        <x:v>0.14</x:v>
      </x:c>
      <x:c r="I1009" s="11" t="n">
        <x:f>I985</x:f>
        <x:v>7</x:v>
      </x:c>
    </x:row>
    <x:row r="1010" ht="23" customHeight="1">
      <x:c r="A1010" s="11" t="str">
        <x:v>02162.HK</x:v>
      </x:c>
      <x:c r="B1010" s="11" t="str">
        <x:v>五年</x:v>
      </x:c>
      <x:c r="C1010" s="11" t="str">
        <x:v>CM336_foreign</x:v>
      </x:c>
      <x:c r="D1010" s="11" t="str">
        <x:v>乐观</x:v>
      </x:c>
      <x:c r="E1010" s="16" t="n">
        <x:v>0.5</x:v>
      </x:c>
      <x:c r="F1010" s="16" t="n">
        <x:v>0.11900000000000001</x:v>
      </x:c>
      <x:c r="G1010" s="16" t="n">
        <x:v>1</x:v>
      </x:c>
      <x:c r="H1010" s="11" t="n">
        <x:f>H986</x:f>
        <x:v>0.11</x:v>
      </x:c>
      <x:c r="I1010" s="11" t="n">
        <x:f>I986</x:f>
        <x:v>7</x:v>
      </x:c>
    </x:row>
    <x:row r="1011" ht="23" customHeight="1">
      <x:c r="A1011" s="11" t="str">
        <x:v>02162.HK</x:v>
      </x:c>
      <x:c r="B1011" s="11" t="str">
        <x:v>五年</x:v>
      </x:c>
      <x:c r="C1011" s="11" t="str">
        <x:v>CM336_domestic</x:v>
      </x:c>
      <x:c r="D1011" s="11" t="str">
        <x:v>活动输入</x:v>
      </x:c>
      <x:c r="E1011" s="11" t="n">
        <x:f>CHOOSE('假设'!$B$3,E1012,E1013,E1014)</x:f>
        <x:v>0.4</x:v>
      </x:c>
      <x:c r="F1011" s="11" t="n">
        <x:f>CHOOSE('假设'!$B$3,F1012,F1013,F1014)</x:f>
        <x:v>0.45</x:v>
      </x:c>
      <x:c r="G1011" s="11" t="n">
        <x:f>CHOOSE('假设'!$B$3,G1012,G1013,G1014)</x:f>
        <x:v>1</x:v>
      </x:c>
      <x:c r="H1011" s="11" t="n">
        <x:f>CHOOSE('假设'!$B$3,H1012,H1013,H1014)</x:f>
        <x:v>0.14</x:v>
      </x:c>
      <x:c r="I1011" s="11" t="n">
        <x:f>CHOOSE('假设'!$B$3,I1012,I1013,I1014)</x:f>
        <x:v>7</x:v>
      </x:c>
    </x:row>
    <x:row r="1012" ht="23" customHeight="1">
      <x:c r="A1012" s="11" t="str">
        <x:v>02162.HK</x:v>
      </x:c>
      <x:c r="B1012" s="11" t="str">
        <x:v>五年</x:v>
      </x:c>
      <x:c r="C1012" s="11" t="str">
        <x:v>CM336_domestic</x:v>
      </x:c>
      <x:c r="D1012" s="11" t="str">
        <x:v>悲观</x:v>
      </x:c>
      <x:c r="E1012" s="16" t="n">
        <x:v>0.15</x:v>
      </x:c>
      <x:c r="F1012" s="16" t="n">
        <x:v>0.35</x:v>
      </x:c>
      <x:c r="G1012" s="16" t="n">
        <x:v>1</x:v>
      </x:c>
      <x:c r="H1012" s="11" t="n">
        <x:f>H984</x:f>
        <x:v>0.18</x:v>
      </x:c>
      <x:c r="I1012" s="11" t="n">
        <x:f>I984</x:f>
        <x:v>7</x:v>
      </x:c>
    </x:row>
    <x:row r="1013" ht="23" customHeight="1">
      <x:c r="A1013" s="11" t="str">
        <x:v>02162.HK</x:v>
      </x:c>
      <x:c r="B1013" s="11" t="str">
        <x:v>五年</x:v>
      </x:c>
      <x:c r="C1013" s="11" t="str">
        <x:v>CM336_domestic</x:v>
      </x:c>
      <x:c r="D1013" s="11" t="str">
        <x:v>基准</x:v>
      </x:c>
      <x:c r="E1013" s="16" t="n">
        <x:v>0.4</x:v>
      </x:c>
      <x:c r="F1013" s="16" t="n">
        <x:v>0.45</x:v>
      </x:c>
      <x:c r="G1013" s="16" t="n">
        <x:v>1</x:v>
      </x:c>
      <x:c r="H1013" s="11" t="n">
        <x:f>H985</x:f>
        <x:v>0.14</x:v>
      </x:c>
      <x:c r="I1013" s="11" t="n">
        <x:f>I985</x:f>
        <x:v>7</x:v>
      </x:c>
    </x:row>
    <x:row r="1014" ht="23" customHeight="1">
      <x:c r="A1014" s="11" t="str">
        <x:v>02162.HK</x:v>
      </x:c>
      <x:c r="B1014" s="11" t="str">
        <x:v>五年</x:v>
      </x:c>
      <x:c r="C1014" s="11" t="str">
        <x:v>CM336_domestic</x:v>
      </x:c>
      <x:c r="D1014" s="11" t="str">
        <x:v>乐观</x:v>
      </x:c>
      <x:c r="E1014" s="16" t="n">
        <x:v>0.65</x:v>
      </x:c>
      <x:c r="F1014" s="16" t="n">
        <x:v>0.52</x:v>
      </x:c>
      <x:c r="G1014" s="16" t="n">
        <x:v>1</x:v>
      </x:c>
      <x:c r="H1014" s="11" t="n">
        <x:f>H986</x:f>
        <x:v>0.11</x:v>
      </x:c>
      <x:c r="I1014" s="11" t="n">
        <x:f>I986</x:f>
        <x:v>7</x:v>
      </x:c>
    </x:row>
    <x:row r="1015" ht="23" customHeight="1">
      <x:c r="A1015" s="11" t="str">
        <x:v>02162.HK</x:v>
      </x:c>
      <x:c r="B1015" s="11" t="str">
        <x:v>五年</x:v>
      </x:c>
      <x:c r="C1015" s="11" t="str">
        <x:v>CM313_domestic</x:v>
      </x:c>
      <x:c r="D1015" s="11" t="str">
        <x:v>活动输入</x:v>
      </x:c>
      <x:c r="E1015" s="11" t="n">
        <x:f>CHOOSE('假设'!$B$3,E1016,E1017,E1018)</x:f>
        <x:v>0.3</x:v>
      </x:c>
      <x:c r="F1015" s="11" t="n">
        <x:f>CHOOSE('假设'!$B$3,F1016,F1017,F1018)</x:f>
        <x:v>0.45</x:v>
      </x:c>
      <x:c r="G1015" s="11" t="n">
        <x:f>CHOOSE('假设'!$B$3,G1016,G1017,G1018)</x:f>
        <x:v>1</x:v>
      </x:c>
      <x:c r="H1015" s="11" t="n">
        <x:f>CHOOSE('假设'!$B$3,H1016,H1017,H1018)</x:f>
        <x:v>0.14</x:v>
      </x:c>
      <x:c r="I1015" s="11" t="n">
        <x:f>CHOOSE('假设'!$B$3,I1016,I1017,I1018)</x:f>
        <x:v>7</x:v>
      </x:c>
    </x:row>
    <x:row r="1016" ht="23" customHeight="1">
      <x:c r="A1016" s="11" t="str">
        <x:v>02162.HK</x:v>
      </x:c>
      <x:c r="B1016" s="11" t="str">
        <x:v>五年</x:v>
      </x:c>
      <x:c r="C1016" s="11" t="str">
        <x:v>CM313_domestic</x:v>
      </x:c>
      <x:c r="D1016" s="11" t="str">
        <x:v>悲观</x:v>
      </x:c>
      <x:c r="E1016" s="16" t="n">
        <x:v>0.1</x:v>
      </x:c>
      <x:c r="F1016" s="16" t="n">
        <x:v>0.35</x:v>
      </x:c>
      <x:c r="G1016" s="16" t="n">
        <x:v>1</x:v>
      </x:c>
      <x:c r="H1016" s="11" t="n">
        <x:f>H984</x:f>
        <x:v>0.18</x:v>
      </x:c>
      <x:c r="I1016" s="11" t="n">
        <x:f>I984</x:f>
        <x:v>7</x:v>
      </x:c>
    </x:row>
    <x:row r="1017" ht="23" customHeight="1">
      <x:c r="A1017" s="11" t="str">
        <x:v>02162.HK</x:v>
      </x:c>
      <x:c r="B1017" s="11" t="str">
        <x:v>五年</x:v>
      </x:c>
      <x:c r="C1017" s="11" t="str">
        <x:v>CM313_domestic</x:v>
      </x:c>
      <x:c r="D1017" s="11" t="str">
        <x:v>基准</x:v>
      </x:c>
      <x:c r="E1017" s="16" t="n">
        <x:v>0.3</x:v>
      </x:c>
      <x:c r="F1017" s="16" t="n">
        <x:v>0.45</x:v>
      </x:c>
      <x:c r="G1017" s="16" t="n">
        <x:v>1</x:v>
      </x:c>
      <x:c r="H1017" s="11" t="n">
        <x:f>H985</x:f>
        <x:v>0.14</x:v>
      </x:c>
      <x:c r="I1017" s="11" t="n">
        <x:f>I985</x:f>
        <x:v>7</x:v>
      </x:c>
    </x:row>
    <x:row r="1018" ht="23" customHeight="1">
      <x:c r="A1018" s="11" t="str">
        <x:v>02162.HK</x:v>
      </x:c>
      <x:c r="B1018" s="11" t="str">
        <x:v>五年</x:v>
      </x:c>
      <x:c r="C1018" s="11" t="str">
        <x:v>CM313_domestic</x:v>
      </x:c>
      <x:c r="D1018" s="11" t="str">
        <x:v>乐观</x:v>
      </x:c>
      <x:c r="E1018" s="16" t="n">
        <x:v>0.55</x:v>
      </x:c>
      <x:c r="F1018" s="16" t="n">
        <x:v>0.5</x:v>
      </x:c>
      <x:c r="G1018" s="16" t="n">
        <x:v>1</x:v>
      </x:c>
      <x:c r="H1018" s="11" t="n">
        <x:f>H986</x:f>
        <x:v>0.11</x:v>
      </x:c>
      <x:c r="I1018" s="11" t="n">
        <x:f>I986</x:f>
        <x:v>7</x:v>
      </x:c>
    </x:row>
    <x:row r="1019" ht="23" customHeight="1">
      <x:c r="A1019" s="11" t="str">
        <x:v>02162.HK</x:v>
      </x:c>
      <x:c r="B1019" s="11" t="str">
        <x:v>五年</x:v>
      </x:c>
      <x:c r="C1019" s="11" t="str">
        <x:v>CM326_China</x:v>
      </x:c>
      <x:c r="D1019" s="11" t="str">
        <x:v>活动输入</x:v>
      </x:c>
      <x:c r="E1019" s="11" t="n">
        <x:f>CHOOSE('假设'!$B$3,E1020,E1021,E1022)</x:f>
        <x:v>0.45</x:v>
      </x:c>
      <x:c r="F1019" s="11" t="n">
        <x:f>CHOOSE('假设'!$B$3,F1020,F1021,F1022)</x:f>
        <x:v>0.083</x:v>
      </x:c>
      <x:c r="G1019" s="11" t="n">
        <x:f>CHOOSE('假设'!$B$3,G1020,G1021,G1022)</x:f>
        <x:v>1</x:v>
      </x:c>
      <x:c r="H1019" s="11" t="n">
        <x:f>CHOOSE('假设'!$B$3,H1020,H1021,H1022)</x:f>
        <x:v>0.14</x:v>
      </x:c>
      <x:c r="I1019" s="11" t="n">
        <x:f>CHOOSE('假设'!$B$3,I1020,I1021,I1022)</x:f>
        <x:v>7</x:v>
      </x:c>
    </x:row>
    <x:row r="1020" ht="23" customHeight="1">
      <x:c r="A1020" s="11" t="str">
        <x:v>02162.HK</x:v>
      </x:c>
      <x:c r="B1020" s="11" t="str">
        <x:v>五年</x:v>
      </x:c>
      <x:c r="C1020" s="11" t="str">
        <x:v>CM326_China</x:v>
      </x:c>
      <x:c r="D1020" s="11" t="str">
        <x:v>悲观</x:v>
      </x:c>
      <x:c r="E1020" s="16" t="n">
        <x:v>0.15</x:v>
      </x:c>
      <x:c r="F1020" s="16" t="n">
        <x:v>0.05600000000000001</x:v>
      </x:c>
      <x:c r="G1020" s="16" t="n">
        <x:v>1</x:v>
      </x:c>
      <x:c r="H1020" s="11" t="n">
        <x:f>H984</x:f>
        <x:v>0.18</x:v>
      </x:c>
      <x:c r="I1020" s="11" t="n">
        <x:f>I984</x:f>
        <x:v>7</x:v>
      </x:c>
    </x:row>
    <x:row r="1021" ht="23" customHeight="1">
      <x:c r="A1021" s="11" t="str">
        <x:v>02162.HK</x:v>
      </x:c>
      <x:c r="B1021" s="11" t="str">
        <x:v>五年</x:v>
      </x:c>
      <x:c r="C1021" s="11" t="str">
        <x:v>CM326_China</x:v>
      </x:c>
      <x:c r="D1021" s="11" t="str">
        <x:v>基准</x:v>
      </x:c>
      <x:c r="E1021" s="16" t="n">
        <x:v>0.45</x:v>
      </x:c>
      <x:c r="F1021" s="16" t="n">
        <x:v>0.083</x:v>
      </x:c>
      <x:c r="G1021" s="16" t="n">
        <x:v>1</x:v>
      </x:c>
      <x:c r="H1021" s="11" t="n">
        <x:f>H985</x:f>
        <x:v>0.14</x:v>
      </x:c>
      <x:c r="I1021" s="11" t="n">
        <x:f>I985</x:f>
        <x:v>7</x:v>
      </x:c>
    </x:row>
    <x:row r="1022" ht="23" customHeight="1">
      <x:c r="A1022" s="11" t="str">
        <x:v>02162.HK</x:v>
      </x:c>
      <x:c r="B1022" s="11" t="str">
        <x:v>五年</x:v>
      </x:c>
      <x:c r="C1022" s="11" t="str">
        <x:v>CM326_China</x:v>
      </x:c>
      <x:c r="D1022" s="11" t="str">
        <x:v>乐观</x:v>
      </x:c>
      <x:c r="E1022" s="16" t="n">
        <x:v>0.7</x:v>
      </x:c>
      <x:c r="F1022" s="16" t="n">
        <x:v>0.1105</x:v>
      </x:c>
      <x:c r="G1022" s="16" t="n">
        <x:v>1</x:v>
      </x:c>
      <x:c r="H1022" s="11" t="n">
        <x:f>H986</x:f>
        <x:v>0.11</x:v>
      </x:c>
      <x:c r="I1022" s="11" t="n">
        <x:f>I986</x:f>
        <x:v>7</x:v>
      </x:c>
    </x:row>
    <x:row r="1023" ht="23" customHeight="1">
      <x:c r="A1023" s="11" t="str">
        <x:v>02162.HK</x:v>
      </x:c>
      <x:c r="B1023" s="11" t="str">
        <x:v>五年</x:v>
      </x:c>
      <x:c r="C1023" s="11" t="str">
        <x:v>centralCost</x:v>
      </x:c>
      <x:c r="D1023" s="11" t="str">
        <x:v>活动输入</x:v>
      </x:c>
      <x:c r="E1023" s="11" t="n">
        <x:f>CHOOSE('假设'!$B$3,E1024,E1025,E1026)</x:f>
        <x:v>1</x:v>
      </x:c>
      <x:c r="F1023" s="11" t="n">
        <x:f>CHOOSE('假设'!$B$3,F1024,F1025,F1026)</x:f>
        <x:v>0</x:v>
      </x:c>
      <x:c r="G1023" s="11" t="n">
        <x:f>CHOOSE('假设'!$B$3,G1024,G1025,G1026)</x:f>
        <x:v>1</x:v>
      </x:c>
      <x:c r="H1023" s="11" t="n">
        <x:f>CHOOSE('假设'!$B$3,H1024,H1025,H1026)</x:f>
        <x:v>0.14</x:v>
      </x:c>
      <x:c r="I1023" s="11" t="n">
        <x:f>CHOOSE('假设'!$B$3,I1024,I1025,I1026)</x:f>
        <x:v>7</x:v>
      </x:c>
    </x:row>
    <x:row r="1024" ht="23" customHeight="1">
      <x:c r="A1024" s="11" t="str">
        <x:v>02162.HK</x:v>
      </x:c>
      <x:c r="B1024" s="11" t="str">
        <x:v>五年</x:v>
      </x:c>
      <x:c r="C1024" s="11" t="str">
        <x:v>centralCost</x:v>
      </x:c>
      <x:c r="D1024" s="11" t="str">
        <x:v>悲观</x:v>
      </x:c>
      <x:c r="E1024" s="16" t="n">
        <x:v>1</x:v>
      </x:c>
      <x:c r="F1024" s="16" t="n">
        <x:v>0</x:v>
      </x:c>
      <x:c r="G1024" s="16" t="n">
        <x:v>1</x:v>
      </x:c>
      <x:c r="H1024" s="11" t="n">
        <x:f>H984</x:f>
        <x:v>0.18</x:v>
      </x:c>
      <x:c r="I1024" s="11" t="n">
        <x:f>I984</x:f>
        <x:v>7</x:v>
      </x:c>
    </x:row>
    <x:row r="1025" ht="23" customHeight="1">
      <x:c r="A1025" s="11" t="str">
        <x:v>02162.HK</x:v>
      </x:c>
      <x:c r="B1025" s="11" t="str">
        <x:v>五年</x:v>
      </x:c>
      <x:c r="C1025" s="11" t="str">
        <x:v>centralCost</x:v>
      </x:c>
      <x:c r="D1025" s="11" t="str">
        <x:v>基准</x:v>
      </x:c>
      <x:c r="E1025" s="16" t="n">
        <x:v>1</x:v>
      </x:c>
      <x:c r="F1025" s="16" t="n">
        <x:v>0</x:v>
      </x:c>
      <x:c r="G1025" s="16" t="n">
        <x:v>1</x:v>
      </x:c>
      <x:c r="H1025" s="11" t="n">
        <x:f>H985</x:f>
        <x:v>0.14</x:v>
      </x:c>
      <x:c r="I1025" s="11" t="n">
        <x:f>I985</x:f>
        <x:v>7</x:v>
      </x:c>
    </x:row>
    <x:row r="1026" ht="23" customHeight="1">
      <x:c r="A1026" s="11" t="str">
        <x:v>02162.HK</x:v>
      </x:c>
      <x:c r="B1026" s="11" t="str">
        <x:v>五年</x:v>
      </x:c>
      <x:c r="C1026" s="11" t="str">
        <x:v>centralCost</x:v>
      </x:c>
      <x:c r="D1026" s="11" t="str">
        <x:v>乐观</x:v>
      </x:c>
      <x:c r="E1026" s="16" t="n">
        <x:v>1</x:v>
      </x:c>
      <x:c r="F1026" s="16" t="n">
        <x:v>0</x:v>
      </x:c>
      <x:c r="G1026" s="16" t="n">
        <x:v>1</x:v>
      </x:c>
      <x:c r="H1026" s="11" t="n">
        <x:f>H986</x:f>
        <x:v>0.11</x:v>
      </x:c>
      <x:c r="I1026" s="11" t="n">
        <x:f>I986</x:f>
        <x:v>7</x:v>
      </x:c>
    </x:row>
    <x:row r="1027" ht="23" customHeight="1">
      <x:c r="A1027" s="11" t="str">
        <x:v>688062.SH</x:v>
      </x:c>
      <x:c r="B1027" s="11" t="str">
        <x:v>2026年底</x:v>
      </x:c>
      <x:c r="C1027" s="11" t="str">
        <x:v>biosim</x:v>
      </x:c>
      <x:c r="D1027" s="11" t="str">
        <x:v>活动输入</x:v>
      </x:c>
      <x:c r="E1027" s="11" t="n">
        <x:f>CHOOSE('假设'!$B$3,E1028,E1029,E1030)</x:f>
        <x:v>0.93</x:v>
      </x:c>
      <x:c r="F1027" s="11" t="n">
        <x:f>CHOOSE('假设'!$B$3,F1028,F1029,F1030)</x:f>
        <x:v>0.23</x:v>
      </x:c>
      <x:c r="G1027" s="11" t="n">
        <x:f>CHOOSE('假设'!$B$3,G1028,G1029,G1030)</x:f>
        <x:v>1</x:v>
      </x:c>
      <x:c r="H1027" s="11" t="n">
        <x:f>CHOOSE('假设'!$B$3,H1028,H1029,H1030)</x:f>
        <x:v>0.14</x:v>
      </x:c>
      <x:c r="I1027" s="11" t="n">
        <x:f>CHOOSE('假设'!$B$3,I1028,I1029,I1030)</x:f>
        <x:v>6.8</x:v>
      </x:c>
    </x:row>
    <x:row r="1028" ht="23" customHeight="1">
      <x:c r="A1028" s="11" t="str">
        <x:v>688062.SH</x:v>
      </x:c>
      <x:c r="B1028" s="11" t="str">
        <x:v>2026年底</x:v>
      </x:c>
      <x:c r="C1028" s="11" t="str">
        <x:v>biosim</x:v>
      </x:c>
      <x:c r="D1028" s="11" t="str">
        <x:v>悲观</x:v>
      </x:c>
      <x:c r="E1028" s="16" t="n">
        <x:v>0.85</x:v>
      </x:c>
      <x:c r="F1028" s="16" t="n">
        <x:v>0.12</x:v>
      </x:c>
      <x:c r="G1028" s="16" t="n">
        <x:v>1</x:v>
      </x:c>
      <x:c r="H1028" s="16" t="n">
        <x:v>0.18</x:v>
      </x:c>
      <x:c r="I1028" s="16" t="n">
        <x:v>6.8</x:v>
      </x:c>
    </x:row>
    <x:row r="1029" ht="23" customHeight="1">
      <x:c r="A1029" s="11" t="str">
        <x:v>688062.SH</x:v>
      </x:c>
      <x:c r="B1029" s="11" t="str">
        <x:v>2026年底</x:v>
      </x:c>
      <x:c r="C1029" s="11" t="str">
        <x:v>biosim</x:v>
      </x:c>
      <x:c r="D1029" s="11" t="str">
        <x:v>基准</x:v>
      </x:c>
      <x:c r="E1029" s="16" t="n">
        <x:v>0.93</x:v>
      </x:c>
      <x:c r="F1029" s="16" t="n">
        <x:v>0.23</x:v>
      </x:c>
      <x:c r="G1029" s="16" t="n">
        <x:v>1</x:v>
      </x:c>
      <x:c r="H1029" s="16" t="n">
        <x:v>0.14</x:v>
      </x:c>
      <x:c r="I1029" s="16" t="n">
        <x:v>6.8</x:v>
      </x:c>
    </x:row>
    <x:row r="1030" ht="23" customHeight="1">
      <x:c r="A1030" s="11" t="str">
        <x:v>688062.SH</x:v>
      </x:c>
      <x:c r="B1030" s="11" t="str">
        <x:v>2026年底</x:v>
      </x:c>
      <x:c r="C1030" s="11" t="str">
        <x:v>biosim</x:v>
      </x:c>
      <x:c r="D1030" s="11" t="str">
        <x:v>乐观</x:v>
      </x:c>
      <x:c r="E1030" s="16" t="n">
        <x:v>0.98</x:v>
      </x:c>
      <x:c r="F1030" s="16" t="n">
        <x:v>0.3</x:v>
      </x:c>
      <x:c r="G1030" s="16" t="n">
        <x:v>1</x:v>
      </x:c>
      <x:c r="H1030" s="16" t="n">
        <x:v>0.11</x:v>
      </x:c>
      <x:c r="I1030" s="16" t="n">
        <x:v>6.8</x:v>
      </x:c>
    </x:row>
    <x:row r="1031" ht="23" customHeight="1">
      <x:c r="A1031" s="11" t="str">
        <x:v>688062.SH</x:v>
      </x:c>
      <x:c r="B1031" s="11" t="str">
        <x:v>2026年底</x:v>
      </x:c>
      <x:c r="C1031" s="11" t="str">
        <x:v>gcsf</x:v>
      </x:c>
      <x:c r="D1031" s="11" t="str">
        <x:v>活动输入</x:v>
      </x:c>
      <x:c r="E1031" s="11" t="n">
        <x:f>CHOOSE('假设'!$B$3,E1032,E1033,E1034)</x:f>
        <x:v>1</x:v>
      </x:c>
      <x:c r="F1031" s="11" t="n">
        <x:f>CHOOSE('假设'!$B$3,F1032,F1033,F1034)</x:f>
        <x:v>0.08000000000000002</x:v>
      </x:c>
      <x:c r="G1031" s="11" t="n">
        <x:f>CHOOSE('假设'!$B$3,G1032,G1033,G1034)</x:f>
        <x:v>1</x:v>
      </x:c>
      <x:c r="H1031" s="11" t="n">
        <x:f>CHOOSE('假设'!$B$3,H1032,H1033,H1034)</x:f>
        <x:v>0.14</x:v>
      </x:c>
      <x:c r="I1031" s="11" t="n">
        <x:f>CHOOSE('假设'!$B$3,I1032,I1033,I1034)</x:f>
        <x:v>6.8</x:v>
      </x:c>
    </x:row>
    <x:row r="1032" ht="23" customHeight="1">
      <x:c r="A1032" s="11" t="str">
        <x:v>688062.SH</x:v>
      </x:c>
      <x:c r="B1032" s="11" t="str">
        <x:v>2026年底</x:v>
      </x:c>
      <x:c r="C1032" s="11" t="str">
        <x:v>gcsf</x:v>
      </x:c>
      <x:c r="D1032" s="11" t="str">
        <x:v>悲观</x:v>
      </x:c>
      <x:c r="E1032" s="16" t="n">
        <x:v>1</x:v>
      </x:c>
      <x:c r="F1032" s="16" t="n">
        <x:v>0.0468</x:v>
      </x:c>
      <x:c r="G1032" s="16" t="n">
        <x:v>1</x:v>
      </x:c>
      <x:c r="H1032" s="11" t="n">
        <x:f>H1028</x:f>
        <x:v>0.18</x:v>
      </x:c>
      <x:c r="I1032" s="11" t="n">
        <x:f>I1028</x:f>
        <x:v>6.8</x:v>
      </x:c>
    </x:row>
    <x:row r="1033" ht="23" customHeight="1">
      <x:c r="A1033" s="11" t="str">
        <x:v>688062.SH</x:v>
      </x:c>
      <x:c r="B1033" s="11" t="str">
        <x:v>2026年底</x:v>
      </x:c>
      <x:c r="C1033" s="11" t="str">
        <x:v>gcsf</x:v>
      </x:c>
      <x:c r="D1033" s="11" t="str">
        <x:v>基准</x:v>
      </x:c>
      <x:c r="E1033" s="16" t="n">
        <x:v>1</x:v>
      </x:c>
      <x:c r="F1033" s="16" t="n">
        <x:v>0.08000000000000002</x:v>
      </x:c>
      <x:c r="G1033" s="16" t="n">
        <x:v>1</x:v>
      </x:c>
      <x:c r="H1033" s="11" t="n">
        <x:f>H1029</x:f>
        <x:v>0.14</x:v>
      </x:c>
      <x:c r="I1033" s="11" t="n">
        <x:f>I1029</x:f>
        <x:v>6.8</x:v>
      </x:c>
    </x:row>
    <x:row r="1034" ht="23" customHeight="1">
      <x:c r="A1034" s="11" t="str">
        <x:v>688062.SH</x:v>
      </x:c>
      <x:c r="B1034" s="11" t="str">
        <x:v>2026年底</x:v>
      </x:c>
      <x:c r="C1034" s="11" t="str">
        <x:v>gcsf</x:v>
      </x:c>
      <x:c r="D1034" s="11" t="str">
        <x:v>乐观</x:v>
      </x:c>
      <x:c r="E1034" s="16" t="n">
        <x:v>1</x:v>
      </x:c>
      <x:c r="F1034" s="16" t="n">
        <x:v>0.10660000000000001</x:v>
      </x:c>
      <x:c r="G1034" s="16" t="n">
        <x:v>1</x:v>
      </x:c>
      <x:c r="H1034" s="11" t="n">
        <x:f>H1030</x:f>
        <x:v>0.11</x:v>
      </x:c>
      <x:c r="I1034" s="11" t="n">
        <x:f>I1030</x:f>
        <x:v>6.8</x:v>
      </x:c>
    </x:row>
    <x:row r="1035" ht="23" customHeight="1">
      <x:c r="A1035" s="11" t="str">
        <x:v>688062.SH</x:v>
      </x:c>
      <x:c r="B1035" s="11" t="str">
        <x:v>2026年底</x:v>
      </x:c>
      <x:c r="C1035" s="11" t="str">
        <x:v>bfv_uc_later</x:v>
      </x:c>
      <x:c r="D1035" s="11" t="str">
        <x:v>活动输入</x:v>
      </x:c>
      <x:c r="E1035" s="11" t="n">
        <x:f>CHOOSE('假设'!$B$3,E1036,E1037,E1038)</x:f>
        <x:v>0.62</x:v>
      </x:c>
      <x:c r="F1035" s="11" t="n">
        <x:f>CHOOSE('假设'!$B$3,F1036,F1037,F1038)</x:f>
        <x:v>0.3</x:v>
      </x:c>
      <x:c r="G1035" s="11" t="n">
        <x:f>CHOOSE('假设'!$B$3,G1036,G1037,G1038)</x:f>
        <x:v>1</x:v>
      </x:c>
      <x:c r="H1035" s="11" t="n">
        <x:f>CHOOSE('假设'!$B$3,H1036,H1037,H1038)</x:f>
        <x:v>0.14</x:v>
      </x:c>
      <x:c r="I1035" s="11" t="n">
        <x:f>CHOOSE('假设'!$B$3,I1036,I1037,I1038)</x:f>
        <x:v>6.8</x:v>
      </x:c>
    </x:row>
    <x:row r="1036" ht="23" customHeight="1">
      <x:c r="A1036" s="11" t="str">
        <x:v>688062.SH</x:v>
      </x:c>
      <x:c r="B1036" s="11" t="str">
        <x:v>2026年底</x:v>
      </x:c>
      <x:c r="C1036" s="11" t="str">
        <x:v>bfv_uc_later</x:v>
      </x:c>
      <x:c r="D1036" s="11" t="str">
        <x:v>悲观</x:v>
      </x:c>
      <x:c r="E1036" s="16" t="n">
        <x:v>0.35</x:v>
      </x:c>
      <x:c r="F1036" s="16" t="n">
        <x:v>0.2</x:v>
      </x:c>
      <x:c r="G1036" s="16" t="n">
        <x:v>1</x:v>
      </x:c>
      <x:c r="H1036" s="11" t="n">
        <x:f>H1028</x:f>
        <x:v>0.18</x:v>
      </x:c>
      <x:c r="I1036" s="11" t="n">
        <x:f>I1028</x:f>
        <x:v>6.8</x:v>
      </x:c>
    </x:row>
    <x:row r="1037" ht="23" customHeight="1">
      <x:c r="A1037" s="11" t="str">
        <x:v>688062.SH</x:v>
      </x:c>
      <x:c r="B1037" s="11" t="str">
        <x:v>2026年底</x:v>
      </x:c>
      <x:c r="C1037" s="11" t="str">
        <x:v>bfv_uc_later</x:v>
      </x:c>
      <x:c r="D1037" s="11" t="str">
        <x:v>基准</x:v>
      </x:c>
      <x:c r="E1037" s="16" t="n">
        <x:v>0.62</x:v>
      </x:c>
      <x:c r="F1037" s="16" t="n">
        <x:v>0.3</x:v>
      </x:c>
      <x:c r="G1037" s="16" t="n">
        <x:v>1</x:v>
      </x:c>
      <x:c r="H1037" s="11" t="n">
        <x:f>H1029</x:f>
        <x:v>0.14</x:v>
      </x:c>
      <x:c r="I1037" s="11" t="n">
        <x:f>I1029</x:f>
        <x:v>6.8</x:v>
      </x:c>
    </x:row>
    <x:row r="1038" ht="23" customHeight="1">
      <x:c r="A1038" s="11" t="str">
        <x:v>688062.SH</x:v>
      </x:c>
      <x:c r="B1038" s="11" t="str">
        <x:v>2026年底</x:v>
      </x:c>
      <x:c r="C1038" s="11" t="str">
        <x:v>bfv_uc_later</x:v>
      </x:c>
      <x:c r="D1038" s="11" t="str">
        <x:v>乐观</x:v>
      </x:c>
      <x:c r="E1038" s="16" t="n">
        <x:v>0.82</x:v>
      </x:c>
      <x:c r="F1038" s="16" t="n">
        <x:v>0.38</x:v>
      </x:c>
      <x:c r="G1038" s="16" t="n">
        <x:v>1</x:v>
      </x:c>
      <x:c r="H1038" s="11" t="n">
        <x:f>H1030</x:f>
        <x:v>0.11</x:v>
      </x:c>
      <x:c r="I1038" s="11" t="n">
        <x:f>I1030</x:f>
        <x:v>6.8</x:v>
      </x:c>
    </x:row>
    <x:row r="1039" ht="23" customHeight="1">
      <x:c r="A1039" s="11" t="str">
        <x:v>688062.SH</x:v>
      </x:c>
      <x:c r="B1039" s="11" t="str">
        <x:v>2026年底</x:v>
      </x:c>
      <x:c r="C1039" s="11" t="str">
        <x:v>bfv_uc_first</x:v>
      </x:c>
      <x:c r="D1039" s="11" t="str">
        <x:v>活动输入</x:v>
      </x:c>
      <x:c r="E1039" s="11" t="n">
        <x:f>CHOOSE('假设'!$B$3,E1040,E1041,E1042)</x:f>
        <x:v>0.55</x:v>
      </x:c>
      <x:c r="F1039" s="11" t="n">
        <x:f>CHOOSE('假设'!$B$3,F1040,F1041,F1042)</x:f>
        <x:v>0.3</x:v>
      </x:c>
      <x:c r="G1039" s="11" t="n">
        <x:f>CHOOSE('假设'!$B$3,G1040,G1041,G1042)</x:f>
        <x:v>1</x:v>
      </x:c>
      <x:c r="H1039" s="11" t="n">
        <x:f>CHOOSE('假设'!$B$3,H1040,H1041,H1042)</x:f>
        <x:v>0.14</x:v>
      </x:c>
      <x:c r="I1039" s="11" t="n">
        <x:f>CHOOSE('假设'!$B$3,I1040,I1041,I1042)</x:f>
        <x:v>6.8</x:v>
      </x:c>
    </x:row>
    <x:row r="1040" ht="23" customHeight="1">
      <x:c r="A1040" s="11" t="str">
        <x:v>688062.SH</x:v>
      </x:c>
      <x:c r="B1040" s="11" t="str">
        <x:v>2026年底</x:v>
      </x:c>
      <x:c r="C1040" s="11" t="str">
        <x:v>bfv_uc_first</x:v>
      </x:c>
      <x:c r="D1040" s="11" t="str">
        <x:v>悲观</x:v>
      </x:c>
      <x:c r="E1040" s="16" t="n">
        <x:v>0.25</x:v>
      </x:c>
      <x:c r="F1040" s="16" t="n">
        <x:v>0.2</x:v>
      </x:c>
      <x:c r="G1040" s="16" t="n">
        <x:v>1</x:v>
      </x:c>
      <x:c r="H1040" s="11" t="n">
        <x:f>H1028</x:f>
        <x:v>0.18</x:v>
      </x:c>
      <x:c r="I1040" s="11" t="n">
        <x:f>I1028</x:f>
        <x:v>6.8</x:v>
      </x:c>
    </x:row>
    <x:row r="1041" ht="23" customHeight="1">
      <x:c r="A1041" s="11" t="str">
        <x:v>688062.SH</x:v>
      </x:c>
      <x:c r="B1041" s="11" t="str">
        <x:v>2026年底</x:v>
      </x:c>
      <x:c r="C1041" s="11" t="str">
        <x:v>bfv_uc_first</x:v>
      </x:c>
      <x:c r="D1041" s="11" t="str">
        <x:v>基准</x:v>
      </x:c>
      <x:c r="E1041" s="16" t="n">
        <x:v>0.55</x:v>
      </x:c>
      <x:c r="F1041" s="16" t="n">
        <x:v>0.3</x:v>
      </x:c>
      <x:c r="G1041" s="16" t="n">
        <x:v>1</x:v>
      </x:c>
      <x:c r="H1041" s="11" t="n">
        <x:f>H1029</x:f>
        <x:v>0.14</x:v>
      </x:c>
      <x:c r="I1041" s="11" t="n">
        <x:f>I1029</x:f>
        <x:v>6.8</x:v>
      </x:c>
    </x:row>
    <x:row r="1042" ht="23" customHeight="1">
      <x:c r="A1042" s="11" t="str">
        <x:v>688062.SH</x:v>
      </x:c>
      <x:c r="B1042" s="11" t="str">
        <x:v>2026年底</x:v>
      </x:c>
      <x:c r="C1042" s="11" t="str">
        <x:v>bfv_uc_first</x:v>
      </x:c>
      <x:c r="D1042" s="11" t="str">
        <x:v>乐观</x:v>
      </x:c>
      <x:c r="E1042" s="16" t="n">
        <x:v>0.78</x:v>
      </x:c>
      <x:c r="F1042" s="16" t="n">
        <x:v>0.38</x:v>
      </x:c>
      <x:c r="G1042" s="16" t="n">
        <x:v>1</x:v>
      </x:c>
      <x:c r="H1042" s="11" t="n">
        <x:f>H1030</x:f>
        <x:v>0.11</x:v>
      </x:c>
      <x:c r="I1042" s="11" t="n">
        <x:f>I1030</x:f>
        <x:v>6.8</x:v>
      </x:c>
    </x:row>
    <x:row r="1043" ht="23" customHeight="1">
      <x:c r="A1043" s="11" t="str">
        <x:v>688062.SH</x:v>
      </x:c>
      <x:c r="B1043" s="11" t="str">
        <x:v>2026年底</x:v>
      </x:c>
      <x:c r="C1043" s="11" t="str">
        <x:v>bfv_cervix</x:v>
      </x:c>
      <x:c r="D1043" s="11" t="str">
        <x:v>活动输入</x:v>
      </x:c>
      <x:c r="E1043" s="11" t="n">
        <x:f>CHOOSE('假设'!$B$3,E1044,E1045,E1046)</x:f>
        <x:v>0.48</x:v>
      </x:c>
      <x:c r="F1043" s="11" t="n">
        <x:f>CHOOSE('假设'!$B$3,F1044,F1045,F1046)</x:f>
        <x:v>0.3</x:v>
      </x:c>
      <x:c r="G1043" s="11" t="n">
        <x:f>CHOOSE('假设'!$B$3,G1044,G1045,G1046)</x:f>
        <x:v>1</x:v>
      </x:c>
      <x:c r="H1043" s="11" t="n">
        <x:f>CHOOSE('假设'!$B$3,H1044,H1045,H1046)</x:f>
        <x:v>0.14</x:v>
      </x:c>
      <x:c r="I1043" s="11" t="n">
        <x:f>CHOOSE('假设'!$B$3,I1044,I1045,I1046)</x:f>
        <x:v>6.8</x:v>
      </x:c>
    </x:row>
    <x:row r="1044" ht="23" customHeight="1">
      <x:c r="A1044" s="11" t="str">
        <x:v>688062.SH</x:v>
      </x:c>
      <x:c r="B1044" s="11" t="str">
        <x:v>2026年底</x:v>
      </x:c>
      <x:c r="C1044" s="11" t="str">
        <x:v>bfv_cervix</x:v>
      </x:c>
      <x:c r="D1044" s="11" t="str">
        <x:v>悲观</x:v>
      </x:c>
      <x:c r="E1044" s="16" t="n">
        <x:v>0.21999999999999997</x:v>
      </x:c>
      <x:c r="F1044" s="16" t="n">
        <x:v>0.2</x:v>
      </x:c>
      <x:c r="G1044" s="16" t="n">
        <x:v>1</x:v>
      </x:c>
      <x:c r="H1044" s="11" t="n">
        <x:f>H1028</x:f>
        <x:v>0.18</x:v>
      </x:c>
      <x:c r="I1044" s="11" t="n">
        <x:f>I1028</x:f>
        <x:v>6.8</x:v>
      </x:c>
    </x:row>
    <x:row r="1045" ht="23" customHeight="1">
      <x:c r="A1045" s="11" t="str">
        <x:v>688062.SH</x:v>
      </x:c>
      <x:c r="B1045" s="11" t="str">
        <x:v>2026年底</x:v>
      </x:c>
      <x:c r="C1045" s="11" t="str">
        <x:v>bfv_cervix</x:v>
      </x:c>
      <x:c r="D1045" s="11" t="str">
        <x:v>基准</x:v>
      </x:c>
      <x:c r="E1045" s="16" t="n">
        <x:v>0.48</x:v>
      </x:c>
      <x:c r="F1045" s="16" t="n">
        <x:v>0.3</x:v>
      </x:c>
      <x:c r="G1045" s="16" t="n">
        <x:v>1</x:v>
      </x:c>
      <x:c r="H1045" s="11" t="n">
        <x:f>H1029</x:f>
        <x:v>0.14</x:v>
      </x:c>
      <x:c r="I1045" s="11" t="n">
        <x:f>I1029</x:f>
        <x:v>6.8</x:v>
      </x:c>
    </x:row>
    <x:row r="1046" ht="23" customHeight="1">
      <x:c r="A1046" s="11" t="str">
        <x:v>688062.SH</x:v>
      </x:c>
      <x:c r="B1046" s="11" t="str">
        <x:v>2026年底</x:v>
      </x:c>
      <x:c r="C1046" s="11" t="str">
        <x:v>bfv_cervix</x:v>
      </x:c>
      <x:c r="D1046" s="11" t="str">
        <x:v>乐观</x:v>
      </x:c>
      <x:c r="E1046" s="16" t="n">
        <x:v>0.73</x:v>
      </x:c>
      <x:c r="F1046" s="16" t="n">
        <x:v>0.38</x:v>
      </x:c>
      <x:c r="G1046" s="16" t="n">
        <x:v>1</x:v>
      </x:c>
      <x:c r="H1046" s="11" t="n">
        <x:f>H1030</x:f>
        <x:v>0.11</x:v>
      </x:c>
      <x:c r="I1046" s="11" t="n">
        <x:f>I1030</x:f>
        <x:v>6.8</x:v>
      </x:c>
    </x:row>
    <x:row r="1047" ht="23" customHeight="1">
      <x:c r="A1047" s="11" t="str">
        <x:v>688062.SH</x:v>
      </x:c>
      <x:c r="B1047" s="11" t="str">
        <x:v>2026年底</x:v>
      </x:c>
      <x:c r="C1047" s="11" t="str">
        <x:v>bfv_tnbc</x:v>
      </x:c>
      <x:c r="D1047" s="11" t="str">
        <x:v>活动输入</x:v>
      </x:c>
      <x:c r="E1047" s="11" t="n">
        <x:f>CHOOSE('假设'!$B$3,E1048,E1049,E1050)</x:f>
        <x:v>0.30000000000000004</x:v>
      </x:c>
      <x:c r="F1047" s="11" t="n">
        <x:f>CHOOSE('假设'!$B$3,F1048,F1049,F1050)</x:f>
        <x:v>0.3</x:v>
      </x:c>
      <x:c r="G1047" s="11" t="n">
        <x:f>CHOOSE('假设'!$B$3,G1048,G1049,G1050)</x:f>
        <x:v>1</x:v>
      </x:c>
      <x:c r="H1047" s="11" t="n">
        <x:f>CHOOSE('假设'!$B$3,H1048,H1049,H1050)</x:f>
        <x:v>0.14</x:v>
      </x:c>
      <x:c r="I1047" s="11" t="n">
        <x:f>CHOOSE('假设'!$B$3,I1048,I1049,I1050)</x:f>
        <x:v>6.8</x:v>
      </x:c>
    </x:row>
    <x:row r="1048" ht="23" customHeight="1">
      <x:c r="A1048" s="11" t="str">
        <x:v>688062.SH</x:v>
      </x:c>
      <x:c r="B1048" s="11" t="str">
        <x:v>2026年底</x:v>
      </x:c>
      <x:c r="C1048" s="11" t="str">
        <x:v>bfv_tnbc</x:v>
      </x:c>
      <x:c r="D1048" s="11" t="str">
        <x:v>悲观</x:v>
      </x:c>
      <x:c r="E1048" s="16" t="n">
        <x:v>0.12</x:v>
      </x:c>
      <x:c r="F1048" s="16" t="n">
        <x:v>0.2</x:v>
      </x:c>
      <x:c r="G1048" s="16" t="n">
        <x:v>1</x:v>
      </x:c>
      <x:c r="H1048" s="11" t="n">
        <x:f>H1028</x:f>
        <x:v>0.18</x:v>
      </x:c>
      <x:c r="I1048" s="11" t="n">
        <x:f>I1028</x:f>
        <x:v>6.8</x:v>
      </x:c>
    </x:row>
    <x:row r="1049" ht="23" customHeight="1">
      <x:c r="A1049" s="11" t="str">
        <x:v>688062.SH</x:v>
      </x:c>
      <x:c r="B1049" s="11" t="str">
        <x:v>2026年底</x:v>
      </x:c>
      <x:c r="C1049" s="11" t="str">
        <x:v>bfv_tnbc</x:v>
      </x:c>
      <x:c r="D1049" s="11" t="str">
        <x:v>基准</x:v>
      </x:c>
      <x:c r="E1049" s="16" t="n">
        <x:v>0.30000000000000004</x:v>
      </x:c>
      <x:c r="F1049" s="16" t="n">
        <x:v>0.3</x:v>
      </x:c>
      <x:c r="G1049" s="16" t="n">
        <x:v>1</x:v>
      </x:c>
      <x:c r="H1049" s="11" t="n">
        <x:f>H1029</x:f>
        <x:v>0.14</x:v>
      </x:c>
      <x:c r="I1049" s="11" t="n">
        <x:f>I1029</x:f>
        <x:v>6.8</x:v>
      </x:c>
    </x:row>
    <x:row r="1050" ht="23" customHeight="1">
      <x:c r="A1050" s="11" t="str">
        <x:v>688062.SH</x:v>
      </x:c>
      <x:c r="B1050" s="11" t="str">
        <x:v>2026年底</x:v>
      </x:c>
      <x:c r="C1050" s="11" t="str">
        <x:v>bfv_tnbc</x:v>
      </x:c>
      <x:c r="D1050" s="11" t="str">
        <x:v>乐观</x:v>
      </x:c>
      <x:c r="E1050" s="16" t="n">
        <x:v>0.55</x:v>
      </x:c>
      <x:c r="F1050" s="16" t="n">
        <x:v>0.38</x:v>
      </x:c>
      <x:c r="G1050" s="16" t="n">
        <x:v>1</x:v>
      </x:c>
      <x:c r="H1050" s="11" t="n">
        <x:f>H1030</x:f>
        <x:v>0.11</x:v>
      </x:c>
      <x:c r="I1050" s="11" t="n">
        <x:f>I1030</x:f>
        <x:v>6.8</x:v>
      </x:c>
    </x:row>
    <x:row r="1051" ht="23" customHeight="1">
      <x:c r="A1051" s="11" t="str">
        <x:v>688062.SH</x:v>
      </x:c>
      <x:c r="B1051" s="11" t="str">
        <x:v>2026年底</x:v>
      </x:c>
      <x:c r="C1051" s="11" t="str">
        <x:v>bfv_escc</x:v>
      </x:c>
      <x:c r="D1051" s="11" t="str">
        <x:v>活动输入</x:v>
      </x:c>
      <x:c r="E1051" s="11" t="n">
        <x:f>CHOOSE('假设'!$B$3,E1052,E1053,E1054)</x:f>
        <x:v>0.16000000000000003</x:v>
      </x:c>
      <x:c r="F1051" s="11" t="n">
        <x:f>CHOOSE('假设'!$B$3,F1052,F1053,F1054)</x:f>
        <x:v>0.3</x:v>
      </x:c>
      <x:c r="G1051" s="11" t="n">
        <x:f>CHOOSE('假设'!$B$3,G1052,G1053,G1054)</x:f>
        <x:v>1</x:v>
      </x:c>
      <x:c r="H1051" s="11" t="n">
        <x:f>CHOOSE('假设'!$B$3,H1052,H1053,H1054)</x:f>
        <x:v>0.14</x:v>
      </x:c>
      <x:c r="I1051" s="11" t="n">
        <x:f>CHOOSE('假设'!$B$3,I1052,I1053,I1054)</x:f>
        <x:v>6.8</x:v>
      </x:c>
    </x:row>
    <x:row r="1052" ht="23" customHeight="1">
      <x:c r="A1052" s="11" t="str">
        <x:v>688062.SH</x:v>
      </x:c>
      <x:c r="B1052" s="11" t="str">
        <x:v>2026年底</x:v>
      </x:c>
      <x:c r="C1052" s="11" t="str">
        <x:v>bfv_escc</x:v>
      </x:c>
      <x:c r="D1052" s="11" t="str">
        <x:v>悲观</x:v>
      </x:c>
      <x:c r="E1052" s="16" t="n">
        <x:v>0.050000000000000044</x:v>
      </x:c>
      <x:c r="F1052" s="16" t="n">
        <x:v>0.2</x:v>
      </x:c>
      <x:c r="G1052" s="16" t="n">
        <x:v>1</x:v>
      </x:c>
      <x:c r="H1052" s="11" t="n">
        <x:f>H1028</x:f>
        <x:v>0.18</x:v>
      </x:c>
      <x:c r="I1052" s="11" t="n">
        <x:f>I1028</x:f>
        <x:v>6.8</x:v>
      </x:c>
    </x:row>
    <x:row r="1053" ht="23" customHeight="1">
      <x:c r="A1053" s="11" t="str">
        <x:v>688062.SH</x:v>
      </x:c>
      <x:c r="B1053" s="11" t="str">
        <x:v>2026年底</x:v>
      </x:c>
      <x:c r="C1053" s="11" t="str">
        <x:v>bfv_escc</x:v>
      </x:c>
      <x:c r="D1053" s="11" t="str">
        <x:v>基准</x:v>
      </x:c>
      <x:c r="E1053" s="16" t="n">
        <x:v>0.16000000000000003</x:v>
      </x:c>
      <x:c r="F1053" s="16" t="n">
        <x:v>0.3</x:v>
      </x:c>
      <x:c r="G1053" s="16" t="n">
        <x:v>1</x:v>
      </x:c>
      <x:c r="H1053" s="11" t="n">
        <x:f>H1029</x:f>
        <x:v>0.14</x:v>
      </x:c>
      <x:c r="I1053" s="11" t="n">
        <x:f>I1029</x:f>
        <x:v>6.8</x:v>
      </x:c>
    </x:row>
    <x:row r="1054" ht="23" customHeight="1">
      <x:c r="A1054" s="11" t="str">
        <x:v>688062.SH</x:v>
      </x:c>
      <x:c r="B1054" s="11" t="str">
        <x:v>2026年底</x:v>
      </x:c>
      <x:c r="C1054" s="11" t="str">
        <x:v>bfv_escc</x:v>
      </x:c>
      <x:c r="D1054" s="11" t="str">
        <x:v>乐观</x:v>
      </x:c>
      <x:c r="E1054" s="16" t="n">
        <x:v>0.3400000000000001</x:v>
      </x:c>
      <x:c r="F1054" s="16" t="n">
        <x:v>0.38</x:v>
      </x:c>
      <x:c r="G1054" s="16" t="n">
        <x:v>1</x:v>
      </x:c>
      <x:c r="H1054" s="11" t="n">
        <x:f>H1030</x:f>
        <x:v>0.11</x:v>
      </x:c>
      <x:c r="I1054" s="11" t="n">
        <x:f>I1030</x:f>
        <x:v>6.8</x:v>
      </x:c>
    </x:row>
    <x:row r="1055" ht="23" customHeight="1">
      <x:c r="A1055" s="11" t="str">
        <x:v>688062.SH</x:v>
      </x:c>
      <x:c r="B1055" s="11" t="str">
        <x:v>2026年底</x:v>
      </x:c>
      <x:c r="C1055" s="11" t="str">
        <x:v>bfv_global</x:v>
      </x:c>
      <x:c r="D1055" s="11" t="str">
        <x:v>活动输入</x:v>
      </x:c>
      <x:c r="E1055" s="11" t="n">
        <x:f>CHOOSE('假设'!$B$3,E1056,E1057,E1058)</x:f>
        <x:v>0.19999999999999996</x:v>
      </x:c>
      <x:c r="F1055" s="11" t="n">
        <x:f>CHOOSE('假设'!$B$3,F1056,F1057,F1058)</x:f>
        <x:v>0.23</x:v>
      </x:c>
      <x:c r="G1055" s="11" t="n">
        <x:f>CHOOSE('假设'!$B$3,G1056,G1057,G1058)</x:f>
        <x:v>1</x:v>
      </x:c>
      <x:c r="H1055" s="11" t="n">
        <x:f>CHOOSE('假设'!$B$3,H1056,H1057,H1058)</x:f>
        <x:v>0.14</x:v>
      </x:c>
      <x:c r="I1055" s="11" t="n">
        <x:f>CHOOSE('假设'!$B$3,I1056,I1057,I1058)</x:f>
        <x:v>6.8</x:v>
      </x:c>
    </x:row>
    <x:row r="1056" ht="23" customHeight="1">
      <x:c r="A1056" s="11" t="str">
        <x:v>688062.SH</x:v>
      </x:c>
      <x:c r="B1056" s="11" t="str">
        <x:v>2026年底</x:v>
      </x:c>
      <x:c r="C1056" s="11" t="str">
        <x:v>bfv_global</x:v>
      </x:c>
      <x:c r="D1056" s="11" t="str">
        <x:v>悲观</x:v>
      </x:c>
      <x:c r="E1056" s="16" t="n">
        <x:v>0.07999999999999996</x:v>
      </x:c>
      <x:c r="F1056" s="16" t="n">
        <x:v>0.15</x:v>
      </x:c>
      <x:c r="G1056" s="16" t="n">
        <x:v>1</x:v>
      </x:c>
      <x:c r="H1056" s="11" t="n">
        <x:f>H1028</x:f>
        <x:v>0.18</x:v>
      </x:c>
      <x:c r="I1056" s="11" t="n">
        <x:f>I1028</x:f>
        <x:v>6.8</x:v>
      </x:c>
    </x:row>
    <x:row r="1057" ht="23" customHeight="1">
      <x:c r="A1057" s="11" t="str">
        <x:v>688062.SH</x:v>
      </x:c>
      <x:c r="B1057" s="11" t="str">
        <x:v>2026年底</x:v>
      </x:c>
      <x:c r="C1057" s="11" t="str">
        <x:v>bfv_global</x:v>
      </x:c>
      <x:c r="D1057" s="11" t="str">
        <x:v>基准</x:v>
      </x:c>
      <x:c r="E1057" s="16" t="n">
        <x:v>0.19999999999999996</x:v>
      </x:c>
      <x:c r="F1057" s="16" t="n">
        <x:v>0.23</x:v>
      </x:c>
      <x:c r="G1057" s="16" t="n">
        <x:v>1</x:v>
      </x:c>
      <x:c r="H1057" s="11" t="n">
        <x:f>H1029</x:f>
        <x:v>0.14</x:v>
      </x:c>
      <x:c r="I1057" s="11" t="n">
        <x:f>I1029</x:f>
        <x:v>6.8</x:v>
      </x:c>
    </x:row>
    <x:row r="1058" ht="23" customHeight="1">
      <x:c r="A1058" s="11" t="str">
        <x:v>688062.SH</x:v>
      </x:c>
      <x:c r="B1058" s="11" t="str">
        <x:v>2026年底</x:v>
      </x:c>
      <x:c r="C1058" s="11" t="str">
        <x:v>bfv_global</x:v>
      </x:c>
      <x:c r="D1058" s="11" t="str">
        <x:v>乐观</x:v>
      </x:c>
      <x:c r="E1058" s="16" t="n">
        <x:v>0.38</x:v>
      </x:c>
      <x:c r="F1058" s="16" t="n">
        <x:v>0.3</x:v>
      </x:c>
      <x:c r="G1058" s="16" t="n">
        <x:v>1</x:v>
      </x:c>
      <x:c r="H1058" s="11" t="n">
        <x:f>H1030</x:f>
        <x:v>0.11</x:v>
      </x:c>
      <x:c r="I1058" s="11" t="n">
        <x:f>I1030</x:f>
        <x:v>6.8</x:v>
      </x:c>
    </x:row>
    <x:row r="1059" ht="23" customHeight="1">
      <x:c r="A1059" s="11" t="str">
        <x:v>688062.SH</x:v>
      </x:c>
      <x:c r="B1059" s="11" t="str">
        <x:v>2026年底</x:v>
      </x:c>
      <x:c r="C1059" s="11" t="str">
        <x:v>b7h3</x:v>
      </x:c>
      <x:c r="D1059" s="11" t="str">
        <x:v>活动输入</x:v>
      </x:c>
      <x:c r="E1059" s="11" t="n">
        <x:f>CHOOSE('假设'!$B$3,E1060,E1061,E1062)</x:f>
        <x:v>0.21999999999999997</x:v>
      </x:c>
      <x:c r="F1059" s="11" t="n">
        <x:f>CHOOSE('假设'!$B$3,F1060,F1061,F1062)</x:f>
        <x:v>0.3</x:v>
      </x:c>
      <x:c r="G1059" s="11" t="n">
        <x:f>CHOOSE('假设'!$B$3,G1060,G1061,G1062)</x:f>
        <x:v>1</x:v>
      </x:c>
      <x:c r="H1059" s="11" t="n">
        <x:f>CHOOSE('假设'!$B$3,H1060,H1061,H1062)</x:f>
        <x:v>0.14</x:v>
      </x:c>
      <x:c r="I1059" s="11" t="n">
        <x:f>CHOOSE('假设'!$B$3,I1060,I1061,I1062)</x:f>
        <x:v>6.8</x:v>
      </x:c>
    </x:row>
    <x:row r="1060" ht="23" customHeight="1">
      <x:c r="A1060" s="11" t="str">
        <x:v>688062.SH</x:v>
      </x:c>
      <x:c r="B1060" s="11" t="str">
        <x:v>2026年底</x:v>
      </x:c>
      <x:c r="C1060" s="11" t="str">
        <x:v>b7h3</x:v>
      </x:c>
      <x:c r="D1060" s="11" t="str">
        <x:v>悲观</x:v>
      </x:c>
      <x:c r="E1060" s="16" t="n">
        <x:v>0.07999999999999996</x:v>
      </x:c>
      <x:c r="F1060" s="16" t="n">
        <x:v>0.2</x:v>
      </x:c>
      <x:c r="G1060" s="16" t="n">
        <x:v>1</x:v>
      </x:c>
      <x:c r="H1060" s="11" t="n">
        <x:f>H1028</x:f>
        <x:v>0.18</x:v>
      </x:c>
      <x:c r="I1060" s="11" t="n">
        <x:f>I1028</x:f>
        <x:v>6.8</x:v>
      </x:c>
    </x:row>
    <x:row r="1061" ht="23" customHeight="1">
      <x:c r="A1061" s="11" t="str">
        <x:v>688062.SH</x:v>
      </x:c>
      <x:c r="B1061" s="11" t="str">
        <x:v>2026年底</x:v>
      </x:c>
      <x:c r="C1061" s="11" t="str">
        <x:v>b7h3</x:v>
      </x:c>
      <x:c r="D1061" s="11" t="str">
        <x:v>基准</x:v>
      </x:c>
      <x:c r="E1061" s="16" t="n">
        <x:v>0.21999999999999997</x:v>
      </x:c>
      <x:c r="F1061" s="16" t="n">
        <x:v>0.3</x:v>
      </x:c>
      <x:c r="G1061" s="16" t="n">
        <x:v>1</x:v>
      </x:c>
      <x:c r="H1061" s="11" t="n">
        <x:f>H1029</x:f>
        <x:v>0.14</x:v>
      </x:c>
      <x:c r="I1061" s="11" t="n">
        <x:f>I1029</x:f>
        <x:v>6.8</x:v>
      </x:c>
    </x:row>
    <x:row r="1062" ht="23" customHeight="1">
      <x:c r="A1062" s="11" t="str">
        <x:v>688062.SH</x:v>
      </x:c>
      <x:c r="B1062" s="11" t="str">
        <x:v>2026年底</x:v>
      </x:c>
      <x:c r="C1062" s="11" t="str">
        <x:v>b7h3</x:v>
      </x:c>
      <x:c r="D1062" s="11" t="str">
        <x:v>乐观</x:v>
      </x:c>
      <x:c r="E1062" s="16" t="n">
        <x:v>0.41999999999999993</x:v>
      </x:c>
      <x:c r="F1062" s="16" t="n">
        <x:v>0.38</x:v>
      </x:c>
      <x:c r="G1062" s="16" t="n">
        <x:v>1</x:v>
      </x:c>
      <x:c r="H1062" s="11" t="n">
        <x:f>H1030</x:f>
        <x:v>0.11</x:v>
      </x:c>
      <x:c r="I1062" s="11" t="n">
        <x:f>I1030</x:f>
        <x:v>6.8</x:v>
      </x:c>
    </x:row>
    <x:row r="1063" ht="23" customHeight="1">
      <x:c r="A1063" s="11" t="str">
        <x:v>688062.SH</x:v>
      </x:c>
      <x:c r="B1063" s="11" t="str">
        <x:v>2026年底</x:v>
      </x:c>
      <x:c r="C1063" s="11" t="str">
        <x:v>cdh17</x:v>
      </x:c>
      <x:c r="D1063" s="11" t="str">
        <x:v>活动输入</x:v>
      </x:c>
      <x:c r="E1063" s="11" t="n">
        <x:f>CHOOSE('假设'!$B$3,E1064,E1065,E1066)</x:f>
        <x:v>0.09999999999999998</x:v>
      </x:c>
      <x:c r="F1063" s="11" t="n">
        <x:f>CHOOSE('假设'!$B$3,F1064,F1065,F1066)</x:f>
        <x:v>0.3</x:v>
      </x:c>
      <x:c r="G1063" s="11" t="n">
        <x:f>CHOOSE('假设'!$B$3,G1064,G1065,G1066)</x:f>
        <x:v>1</x:v>
      </x:c>
      <x:c r="H1063" s="11" t="n">
        <x:f>CHOOSE('假设'!$B$3,H1064,H1065,H1066)</x:f>
        <x:v>0.14</x:v>
      </x:c>
      <x:c r="I1063" s="11" t="n">
        <x:f>CHOOSE('假设'!$B$3,I1064,I1065,I1066)</x:f>
        <x:v>6.8</x:v>
      </x:c>
    </x:row>
    <x:row r="1064" ht="23" customHeight="1">
      <x:c r="A1064" s="11" t="str">
        <x:v>688062.SH</x:v>
      </x:c>
      <x:c r="B1064" s="11" t="str">
        <x:v>2026年底</x:v>
      </x:c>
      <x:c r="C1064" s="11" t="str">
        <x:v>cdh17</x:v>
      </x:c>
      <x:c r="D1064" s="11" t="str">
        <x:v>悲观</x:v>
      </x:c>
      <x:c r="E1064" s="16" t="n">
        <x:v>0.030000000000000027</x:v>
      </x:c>
      <x:c r="F1064" s="16" t="n">
        <x:v>0.2</x:v>
      </x:c>
      <x:c r="G1064" s="16" t="n">
        <x:v>1</x:v>
      </x:c>
      <x:c r="H1064" s="11" t="n">
        <x:f>H1028</x:f>
        <x:v>0.18</x:v>
      </x:c>
      <x:c r="I1064" s="11" t="n">
        <x:f>I1028</x:f>
        <x:v>6.8</x:v>
      </x:c>
    </x:row>
    <x:row r="1065" ht="23" customHeight="1">
      <x:c r="A1065" s="11" t="str">
        <x:v>688062.SH</x:v>
      </x:c>
      <x:c r="B1065" s="11" t="str">
        <x:v>2026年底</x:v>
      </x:c>
      <x:c r="C1065" s="11" t="str">
        <x:v>cdh17</x:v>
      </x:c>
      <x:c r="D1065" s="11" t="str">
        <x:v>基准</x:v>
      </x:c>
      <x:c r="E1065" s="16" t="n">
        <x:v>0.09999999999999998</x:v>
      </x:c>
      <x:c r="F1065" s="16" t="n">
        <x:v>0.3</x:v>
      </x:c>
      <x:c r="G1065" s="16" t="n">
        <x:v>1</x:v>
      </x:c>
      <x:c r="H1065" s="11" t="n">
        <x:f>H1029</x:f>
        <x:v>0.14</x:v>
      </x:c>
      <x:c r="I1065" s="11" t="n">
        <x:f>I1029</x:f>
        <x:v>6.8</x:v>
      </x:c>
    </x:row>
    <x:row r="1066" ht="23" customHeight="1">
      <x:c r="A1066" s="11" t="str">
        <x:v>688062.SH</x:v>
      </x:c>
      <x:c r="B1066" s="11" t="str">
        <x:v>2026年底</x:v>
      </x:c>
      <x:c r="C1066" s="11" t="str">
        <x:v>cdh17</x:v>
      </x:c>
      <x:c r="D1066" s="11" t="str">
        <x:v>乐观</x:v>
      </x:c>
      <x:c r="E1066" s="16" t="n">
        <x:v>0.25</x:v>
      </x:c>
      <x:c r="F1066" s="16" t="n">
        <x:v>0.38</x:v>
      </x:c>
      <x:c r="G1066" s="16" t="n">
        <x:v>1</x:v>
      </x:c>
      <x:c r="H1066" s="11" t="n">
        <x:f>H1030</x:f>
        <x:v>0.11</x:v>
      </x:c>
      <x:c r="I1066" s="11" t="n">
        <x:f>I1030</x:f>
        <x:v>6.8</x:v>
      </x:c>
    </x:row>
    <x:row r="1067" ht="23" customHeight="1">
      <x:c r="A1067" s="11" t="str">
        <x:v>688062.SH</x:v>
      </x:c>
      <x:c r="B1067" s="11" t="str">
        <x:v>2026年底</x:v>
      </x:c>
      <x:c r="C1067" s="11" t="str">
        <x:v>st2</x:v>
      </x:c>
      <x:c r="D1067" s="11" t="str">
        <x:v>活动输入</x:v>
      </x:c>
      <x:c r="E1067" s="11" t="n">
        <x:f>CHOOSE('假设'!$B$3,E1068,E1069,E1070)</x:f>
        <x:v>0.25</x:v>
      </x:c>
      <x:c r="F1067" s="11" t="n">
        <x:f>CHOOSE('假设'!$B$3,F1068,F1069,F1070)</x:f>
        <x:v>0.3</x:v>
      </x:c>
      <x:c r="G1067" s="11" t="n">
        <x:f>CHOOSE('假设'!$B$3,G1068,G1069,G1070)</x:f>
        <x:v>1</x:v>
      </x:c>
      <x:c r="H1067" s="11" t="n">
        <x:f>CHOOSE('假设'!$B$3,H1068,H1069,H1070)</x:f>
        <x:v>0.14</x:v>
      </x:c>
      <x:c r="I1067" s="11" t="n">
        <x:f>CHOOSE('假设'!$B$3,I1068,I1069,I1070)</x:f>
        <x:v>6.8</x:v>
      </x:c>
    </x:row>
    <x:row r="1068" ht="23" customHeight="1">
      <x:c r="A1068" s="11" t="str">
        <x:v>688062.SH</x:v>
      </x:c>
      <x:c r="B1068" s="11" t="str">
        <x:v>2026年底</x:v>
      </x:c>
      <x:c r="C1068" s="11" t="str">
        <x:v>st2</x:v>
      </x:c>
      <x:c r="D1068" s="11" t="str">
        <x:v>悲观</x:v>
      </x:c>
      <x:c r="E1068" s="16" t="n">
        <x:v>0.07000000000000006</x:v>
      </x:c>
      <x:c r="F1068" s="16" t="n">
        <x:v>0.2</x:v>
      </x:c>
      <x:c r="G1068" s="16" t="n">
        <x:v>1</x:v>
      </x:c>
      <x:c r="H1068" s="11" t="n">
        <x:f>H1028</x:f>
        <x:v>0.18</x:v>
      </x:c>
      <x:c r="I1068" s="11" t="n">
        <x:f>I1028</x:f>
        <x:v>6.8</x:v>
      </x:c>
    </x:row>
    <x:row r="1069" ht="23" customHeight="1">
      <x:c r="A1069" s="11" t="str">
        <x:v>688062.SH</x:v>
      </x:c>
      <x:c r="B1069" s="11" t="str">
        <x:v>2026年底</x:v>
      </x:c>
      <x:c r="C1069" s="11" t="str">
        <x:v>st2</x:v>
      </x:c>
      <x:c r="D1069" s="11" t="str">
        <x:v>基准</x:v>
      </x:c>
      <x:c r="E1069" s="16" t="n">
        <x:v>0.25</x:v>
      </x:c>
      <x:c r="F1069" s="16" t="n">
        <x:v>0.3</x:v>
      </x:c>
      <x:c r="G1069" s="16" t="n">
        <x:v>1</x:v>
      </x:c>
      <x:c r="H1069" s="11" t="n">
        <x:f>H1029</x:f>
        <x:v>0.14</x:v>
      </x:c>
      <x:c r="I1069" s="11" t="n">
        <x:f>I1029</x:f>
        <x:v>6.8</x:v>
      </x:c>
    </x:row>
    <x:row r="1070" ht="23" customHeight="1">
      <x:c r="A1070" s="11" t="str">
        <x:v>688062.SH</x:v>
      </x:c>
      <x:c r="B1070" s="11" t="str">
        <x:v>2026年底</x:v>
      </x:c>
      <x:c r="C1070" s="11" t="str">
        <x:v>st2</x:v>
      </x:c>
      <x:c r="D1070" s="11" t="str">
        <x:v>乐观</x:v>
      </x:c>
      <x:c r="E1070" s="16" t="n">
        <x:v>0.44999999999999996</x:v>
      </x:c>
      <x:c r="F1070" s="16" t="n">
        <x:v>0.38</x:v>
      </x:c>
      <x:c r="G1070" s="16" t="n">
        <x:v>1</x:v>
      </x:c>
      <x:c r="H1070" s="11" t="n">
        <x:f>H1030</x:f>
        <x:v>0.11</x:v>
      </x:c>
      <x:c r="I1070" s="11" t="n">
        <x:f>I1030</x:f>
        <x:v>6.8</x:v>
      </x:c>
    </x:row>
    <x:row r="1071" ht="23" customHeight="1">
      <x:c r="A1071" s="11" t="str">
        <x:v>688062.SH</x:v>
      </x:c>
      <x:c r="B1071" s="11" t="str">
        <x:v>2026年底</x:v>
      </x:c>
      <x:c r="C1071" s="11" t="str">
        <x:v>il11_global</x:v>
      </x:c>
      <x:c r="D1071" s="11" t="str">
        <x:v>活动输入</x:v>
      </x:c>
      <x:c r="E1071" s="11" t="n">
        <x:f>CHOOSE('假设'!$B$3,E1072,E1073,E1074)</x:f>
        <x:v>0.12</x:v>
      </x:c>
      <x:c r="F1071" s="11" t="n">
        <x:f>CHOOSE('假设'!$B$3,F1072,F1073,F1074)</x:f>
        <x:v>0.064</x:v>
      </x:c>
      <x:c r="G1071" s="11" t="n">
        <x:f>CHOOSE('假设'!$B$3,G1072,G1073,G1074)</x:f>
        <x:v>1</x:v>
      </x:c>
      <x:c r="H1071" s="11" t="n">
        <x:f>CHOOSE('假设'!$B$3,H1072,H1073,H1074)</x:f>
        <x:v>0.14</x:v>
      </x:c>
      <x:c r="I1071" s="11" t="n">
        <x:f>CHOOSE('假设'!$B$3,I1072,I1073,I1074)</x:f>
        <x:v>6.8</x:v>
      </x:c>
    </x:row>
    <x:row r="1072" ht="23" customHeight="1">
      <x:c r="A1072" s="11" t="str">
        <x:v>688062.SH</x:v>
      </x:c>
      <x:c r="B1072" s="11" t="str">
        <x:v>2026年底</x:v>
      </x:c>
      <x:c r="C1072" s="11" t="str">
        <x:v>il11_global</x:v>
      </x:c>
      <x:c r="D1072" s="11" t="str">
        <x:v>悲观</x:v>
      </x:c>
      <x:c r="E1072" s="16" t="n">
        <x:v>0.030000000000000027</x:v>
      </x:c>
      <x:c r="F1072" s="16" t="n">
        <x:v>0.03900000000000001</x:v>
      </x:c>
      <x:c r="G1072" s="16" t="n">
        <x:v>1</x:v>
      </x:c>
      <x:c r="H1072" s="11" t="n">
        <x:f>H1028</x:f>
        <x:v>0.18</x:v>
      </x:c>
      <x:c r="I1072" s="11" t="n">
        <x:f>I1028</x:f>
        <x:v>6.8</x:v>
      </x:c>
    </x:row>
    <x:row r="1073" ht="23" customHeight="1">
      <x:c r="A1073" s="11" t="str">
        <x:v>688062.SH</x:v>
      </x:c>
      <x:c r="B1073" s="11" t="str">
        <x:v>2026年底</x:v>
      </x:c>
      <x:c r="C1073" s="11" t="str">
        <x:v>il11_global</x:v>
      </x:c>
      <x:c r="D1073" s="11" t="str">
        <x:v>基准</x:v>
      </x:c>
      <x:c r="E1073" s="16" t="n">
        <x:v>0.12</x:v>
      </x:c>
      <x:c r="F1073" s="16" t="n">
        <x:v>0.064</x:v>
      </x:c>
      <x:c r="G1073" s="16" t="n">
        <x:v>1</x:v>
      </x:c>
      <x:c r="H1073" s="11" t="n">
        <x:f>H1029</x:f>
        <x:v>0.14</x:v>
      </x:c>
      <x:c r="I1073" s="11" t="n">
        <x:f>I1029</x:f>
        <x:v>6.8</x:v>
      </x:c>
    </x:row>
    <x:row r="1074" ht="23" customHeight="1">
      <x:c r="A1074" s="11" t="str">
        <x:v>688062.SH</x:v>
      </x:c>
      <x:c r="B1074" s="11" t="str">
        <x:v>2026年底</x:v>
      </x:c>
      <x:c r="C1074" s="11" t="str">
        <x:v>il11_global</x:v>
      </x:c>
      <x:c r="D1074" s="11" t="str">
        <x:v>乐观</x:v>
      </x:c>
      <x:c r="E1074" s="16" t="n">
        <x:v>0.28</x:v>
      </x:c>
      <x:c r="F1074" s="16" t="n">
        <x:v>0.0902</x:v>
      </x:c>
      <x:c r="G1074" s="16" t="n">
        <x:v>1</x:v>
      </x:c>
      <x:c r="H1074" s="11" t="n">
        <x:f>H1030</x:f>
        <x:v>0.11</x:v>
      </x:c>
      <x:c r="I1074" s="11" t="n">
        <x:f>I1030</x:f>
        <x:v>6.8</x:v>
      </x:c>
    </x:row>
    <x:row r="1075" ht="23" customHeight="1">
      <x:c r="A1075" s="11" t="str">
        <x:v>688062.SH</x:v>
      </x:c>
      <x:c r="B1075" s="11" t="str">
        <x:v>2026年底</x:v>
      </x:c>
      <x:c r="C1075" s="11" t="str">
        <x:v>il11_cn</x:v>
      </x:c>
      <x:c r="D1075" s="11" t="str">
        <x:v>活动输入</x:v>
      </x:c>
      <x:c r="E1075" s="11" t="n">
        <x:f>CHOOSE('假设'!$B$3,E1076,E1077,E1078)</x:f>
        <x:v>0.12</x:v>
      </x:c>
      <x:c r="F1075" s="11" t="n">
        <x:f>CHOOSE('假设'!$B$3,F1076,F1077,F1078)</x:f>
        <x:v>0.3</x:v>
      </x:c>
      <x:c r="G1075" s="11" t="n">
        <x:f>CHOOSE('假设'!$B$3,G1076,G1077,G1078)</x:f>
        <x:v>1</x:v>
      </x:c>
      <x:c r="H1075" s="11" t="n">
        <x:f>CHOOSE('假设'!$B$3,H1076,H1077,H1078)</x:f>
        <x:v>0.14</x:v>
      </x:c>
      <x:c r="I1075" s="11" t="n">
        <x:f>CHOOSE('假设'!$B$3,I1076,I1077,I1078)</x:f>
        <x:v>6.8</x:v>
      </x:c>
    </x:row>
    <x:row r="1076" ht="23" customHeight="1">
      <x:c r="A1076" s="11" t="str">
        <x:v>688062.SH</x:v>
      </x:c>
      <x:c r="B1076" s="11" t="str">
        <x:v>2026年底</x:v>
      </x:c>
      <x:c r="C1076" s="11" t="str">
        <x:v>il11_cn</x:v>
      </x:c>
      <x:c r="D1076" s="11" t="str">
        <x:v>悲观</x:v>
      </x:c>
      <x:c r="E1076" s="16" t="n">
        <x:v>0.040000000000000036</x:v>
      </x:c>
      <x:c r="F1076" s="16" t="n">
        <x:v>0.2</x:v>
      </x:c>
      <x:c r="G1076" s="16" t="n">
        <x:v>1</x:v>
      </x:c>
      <x:c r="H1076" s="11" t="n">
        <x:f>H1028</x:f>
        <x:v>0.18</x:v>
      </x:c>
      <x:c r="I1076" s="11" t="n">
        <x:f>I1028</x:f>
        <x:v>6.8</x:v>
      </x:c>
    </x:row>
    <x:row r="1077" ht="23" customHeight="1">
      <x:c r="A1077" s="11" t="str">
        <x:v>688062.SH</x:v>
      </x:c>
      <x:c r="B1077" s="11" t="str">
        <x:v>2026年底</x:v>
      </x:c>
      <x:c r="C1077" s="11" t="str">
        <x:v>il11_cn</x:v>
      </x:c>
      <x:c r="D1077" s="11" t="str">
        <x:v>基准</x:v>
      </x:c>
      <x:c r="E1077" s="16" t="n">
        <x:v>0.12</x:v>
      </x:c>
      <x:c r="F1077" s="16" t="n">
        <x:v>0.3</x:v>
      </x:c>
      <x:c r="G1077" s="16" t="n">
        <x:v>1</x:v>
      </x:c>
      <x:c r="H1077" s="11" t="n">
        <x:f>H1029</x:f>
        <x:v>0.14</x:v>
      </x:c>
      <x:c r="I1077" s="11" t="n">
        <x:f>I1029</x:f>
        <x:v>6.8</x:v>
      </x:c>
    </x:row>
    <x:row r="1078" ht="23" customHeight="1">
      <x:c r="A1078" s="11" t="str">
        <x:v>688062.SH</x:v>
      </x:c>
      <x:c r="B1078" s="11" t="str">
        <x:v>2026年底</x:v>
      </x:c>
      <x:c r="C1078" s="11" t="str">
        <x:v>il11_cn</x:v>
      </x:c>
      <x:c r="D1078" s="11" t="str">
        <x:v>乐观</x:v>
      </x:c>
      <x:c r="E1078" s="16" t="n">
        <x:v>0.30000000000000004</x:v>
      </x:c>
      <x:c r="F1078" s="16" t="n">
        <x:v>0.38</x:v>
      </x:c>
      <x:c r="G1078" s="16" t="n">
        <x:v>1</x:v>
      </x:c>
      <x:c r="H1078" s="11" t="n">
        <x:f>H1030</x:f>
        <x:v>0.11</x:v>
      </x:c>
      <x:c r="I1078" s="11" t="n">
        <x:f>I1030</x:f>
        <x:v>6.8</x:v>
      </x:c>
    </x:row>
    <x:row r="1079" ht="23" customHeight="1">
      <x:c r="A1079" s="11" t="str">
        <x:v>688062.SH</x:v>
      </x:c>
      <x:c r="B1079" s="11" t="str">
        <x:v>2026年底</x:v>
      </x:c>
      <x:c r="C1079" s="11" t="str">
        <x:v>tmprss_pv_global</x:v>
      </x:c>
      <x:c r="D1079" s="11" t="str">
        <x:v>活动输入</x:v>
      </x:c>
      <x:c r="E1079" s="11" t="n">
        <x:f>CHOOSE('假设'!$B$3,E1080,E1081,E1082)</x:f>
        <x:v>0.41999999999999993</x:v>
      </x:c>
      <x:c r="F1079" s="11" t="n">
        <x:f>CHOOSE('假设'!$B$3,F1080,F1081,F1082)</x:f>
        <x:v>0.068</x:v>
      </x:c>
      <x:c r="G1079" s="11" t="n">
        <x:f>CHOOSE('假设'!$B$3,G1080,G1081,G1082)</x:f>
        <x:v>1</x:v>
      </x:c>
      <x:c r="H1079" s="11" t="n">
        <x:f>CHOOSE('假设'!$B$3,H1080,H1081,H1082)</x:f>
        <x:v>0.14</x:v>
      </x:c>
      <x:c r="I1079" s="11" t="n">
        <x:f>CHOOSE('假设'!$B$3,I1080,I1081,I1082)</x:f>
        <x:v>6.8</x:v>
      </x:c>
    </x:row>
    <x:row r="1080" ht="23" customHeight="1">
      <x:c r="A1080" s="11" t="str">
        <x:v>688062.SH</x:v>
      </x:c>
      <x:c r="B1080" s="11" t="str">
        <x:v>2026年底</x:v>
      </x:c>
      <x:c r="C1080" s="11" t="str">
        <x:v>tmprss_pv_global</x:v>
      </x:c>
      <x:c r="D1080" s="11" t="str">
        <x:v>悲观</x:v>
      </x:c>
      <x:c r="E1080" s="16" t="n">
        <x:v>0.17999999999999994</x:v>
      </x:c>
      <x:c r="F1080" s="16" t="n">
        <x:v>0.0468</x:v>
      </x:c>
      <x:c r="G1080" s="16" t="n">
        <x:v>1</x:v>
      </x:c>
      <x:c r="H1080" s="11" t="n">
        <x:f>H1028</x:f>
        <x:v>0.18</x:v>
      </x:c>
      <x:c r="I1080" s="11" t="n">
        <x:f>I1028</x:f>
        <x:v>6.8</x:v>
      </x:c>
    </x:row>
    <x:row r="1081" ht="23" customHeight="1">
      <x:c r="A1081" s="11" t="str">
        <x:v>688062.SH</x:v>
      </x:c>
      <x:c r="B1081" s="11" t="str">
        <x:v>2026年底</x:v>
      </x:c>
      <x:c r="C1081" s="11" t="str">
        <x:v>tmprss_pv_global</x:v>
      </x:c>
      <x:c r="D1081" s="11" t="str">
        <x:v>基准</x:v>
      </x:c>
      <x:c r="E1081" s="16" t="n">
        <x:v>0.41999999999999993</x:v>
      </x:c>
      <x:c r="F1081" s="16" t="n">
        <x:v>0.068</x:v>
      </x:c>
      <x:c r="G1081" s="16" t="n">
        <x:v>1</x:v>
      </x:c>
      <x:c r="H1081" s="11" t="n">
        <x:f>H1029</x:f>
        <x:v>0.14</x:v>
      </x:c>
      <x:c r="I1081" s="11" t="n">
        <x:f>I1029</x:f>
        <x:v>6.8</x:v>
      </x:c>
    </x:row>
    <x:row r="1082" ht="23" customHeight="1">
      <x:c r="A1082" s="11" t="str">
        <x:v>688062.SH</x:v>
      </x:c>
      <x:c r="B1082" s="11" t="str">
        <x:v>2026年底</x:v>
      </x:c>
      <x:c r="C1082" s="11" t="str">
        <x:v>tmprss_pv_global</x:v>
      </x:c>
      <x:c r="D1082" s="11" t="str">
        <x:v>乐观</x:v>
      </x:c>
      <x:c r="E1082" s="16" t="n">
        <x:v>0.65</x:v>
      </x:c>
      <x:c r="F1082" s="16" t="n">
        <x:v>0.08610000000000001</x:v>
      </x:c>
      <x:c r="G1082" s="16" t="n">
        <x:v>1</x:v>
      </x:c>
      <x:c r="H1082" s="11" t="n">
        <x:f>H1030</x:f>
        <x:v>0.11</x:v>
      </x:c>
      <x:c r="I1082" s="11" t="n">
        <x:f>I1030</x:f>
        <x:v>6.8</x:v>
      </x:c>
    </x:row>
    <x:row r="1083" ht="23" customHeight="1">
      <x:c r="A1083" s="11" t="str">
        <x:v>688062.SH</x:v>
      </x:c>
      <x:c r="B1083" s="11" t="str">
        <x:v>2026年底</x:v>
      </x:c>
      <x:c r="C1083" s="11" t="str">
        <x:v>tmprss_pv_cn</x:v>
      </x:c>
      <x:c r="D1083" s="11" t="str">
        <x:v>活动输入</x:v>
      </x:c>
      <x:c r="E1083" s="11" t="n">
        <x:f>CHOOSE('假设'!$B$3,E1084,E1085,E1086)</x:f>
        <x:v>0.35</x:v>
      </x:c>
      <x:c r="F1083" s="11" t="n">
        <x:f>CHOOSE('假设'!$B$3,F1084,F1085,F1086)</x:f>
        <x:v>0.3</x:v>
      </x:c>
      <x:c r="G1083" s="11" t="n">
        <x:f>CHOOSE('假设'!$B$3,G1084,G1085,G1086)</x:f>
        <x:v>1</x:v>
      </x:c>
      <x:c r="H1083" s="11" t="n">
        <x:f>CHOOSE('假设'!$B$3,H1084,H1085,H1086)</x:f>
        <x:v>0.14</x:v>
      </x:c>
      <x:c r="I1083" s="11" t="n">
        <x:f>CHOOSE('假设'!$B$3,I1084,I1085,I1086)</x:f>
        <x:v>6.8</x:v>
      </x:c>
    </x:row>
    <x:row r="1084" ht="23" customHeight="1">
      <x:c r="A1084" s="11" t="str">
        <x:v>688062.SH</x:v>
      </x:c>
      <x:c r="B1084" s="11" t="str">
        <x:v>2026年底</x:v>
      </x:c>
      <x:c r="C1084" s="11" t="str">
        <x:v>tmprss_pv_cn</x:v>
      </x:c>
      <x:c r="D1084" s="11" t="str">
        <x:v>悲观</x:v>
      </x:c>
      <x:c r="E1084" s="16" t="n">
        <x:v>0.15000000000000002</x:v>
      </x:c>
      <x:c r="F1084" s="16" t="n">
        <x:v>0.2</x:v>
      </x:c>
      <x:c r="G1084" s="16" t="n">
        <x:v>1</x:v>
      </x:c>
      <x:c r="H1084" s="11" t="n">
        <x:f>H1028</x:f>
        <x:v>0.18</x:v>
      </x:c>
      <x:c r="I1084" s="11" t="n">
        <x:f>I1028</x:f>
        <x:v>6.8</x:v>
      </x:c>
    </x:row>
    <x:row r="1085" ht="23" customHeight="1">
      <x:c r="A1085" s="11" t="str">
        <x:v>688062.SH</x:v>
      </x:c>
      <x:c r="B1085" s="11" t="str">
        <x:v>2026年底</x:v>
      </x:c>
      <x:c r="C1085" s="11" t="str">
        <x:v>tmprss_pv_cn</x:v>
      </x:c>
      <x:c r="D1085" s="11" t="str">
        <x:v>基准</x:v>
      </x:c>
      <x:c r="E1085" s="16" t="n">
        <x:v>0.35</x:v>
      </x:c>
      <x:c r="F1085" s="16" t="n">
        <x:v>0.3</x:v>
      </x:c>
      <x:c r="G1085" s="16" t="n">
        <x:v>1</x:v>
      </x:c>
      <x:c r="H1085" s="11" t="n">
        <x:f>H1029</x:f>
        <x:v>0.14</x:v>
      </x:c>
      <x:c r="I1085" s="11" t="n">
        <x:f>I1029</x:f>
        <x:v>6.8</x:v>
      </x:c>
    </x:row>
    <x:row r="1086" ht="23" customHeight="1">
      <x:c r="A1086" s="11" t="str">
        <x:v>688062.SH</x:v>
      </x:c>
      <x:c r="B1086" s="11" t="str">
        <x:v>2026年底</x:v>
      </x:c>
      <x:c r="C1086" s="11" t="str">
        <x:v>tmprss_pv_cn</x:v>
      </x:c>
      <x:c r="D1086" s="11" t="str">
        <x:v>乐观</x:v>
      </x:c>
      <x:c r="E1086" s="16" t="n">
        <x:v>0.6</x:v>
      </x:c>
      <x:c r="F1086" s="16" t="n">
        <x:v>0.38</x:v>
      </x:c>
      <x:c r="G1086" s="16" t="n">
        <x:v>1</x:v>
      </x:c>
      <x:c r="H1086" s="11" t="n">
        <x:f>H1030</x:f>
        <x:v>0.11</x:v>
      </x:c>
      <x:c r="I1086" s="11" t="n">
        <x:f>I1030</x:f>
        <x:v>6.8</x:v>
      </x:c>
    </x:row>
    <x:row r="1087" ht="23" customHeight="1">
      <x:c r="A1087" s="11" t="str">
        <x:v>688062.SH</x:v>
      </x:c>
      <x:c r="B1087" s="11" t="str">
        <x:v>2026年底</x:v>
      </x:c>
      <x:c r="C1087" s="11" t="str">
        <x:v>tmprss_scd</x:v>
      </x:c>
      <x:c r="D1087" s="11" t="str">
        <x:v>活动输入</x:v>
      </x:c>
      <x:c r="E1087" s="11" t="n">
        <x:f>CHOOSE('假设'!$B$3,E1088,E1089,E1090)</x:f>
        <x:v>0.15000000000000002</x:v>
      </x:c>
      <x:c r="F1087" s="11" t="n">
        <x:f>CHOOSE('假设'!$B$3,F1088,F1089,F1090)</x:f>
        <x:v>0.068</x:v>
      </x:c>
      <x:c r="G1087" s="11" t="n">
        <x:f>CHOOSE('假设'!$B$3,G1088,G1089,G1090)</x:f>
        <x:v>1</x:v>
      </x:c>
      <x:c r="H1087" s="11" t="n">
        <x:f>CHOOSE('假设'!$B$3,H1088,H1089,H1090)</x:f>
        <x:v>0.14</x:v>
      </x:c>
      <x:c r="I1087" s="11" t="n">
        <x:f>CHOOSE('假设'!$B$3,I1088,I1089,I1090)</x:f>
        <x:v>6.8</x:v>
      </x:c>
    </x:row>
    <x:row r="1088" ht="23" customHeight="1">
      <x:c r="A1088" s="11" t="str">
        <x:v>688062.SH</x:v>
      </x:c>
      <x:c r="B1088" s="11" t="str">
        <x:v>2026年底</x:v>
      </x:c>
      <x:c r="C1088" s="11" t="str">
        <x:v>tmprss_scd</x:v>
      </x:c>
      <x:c r="D1088" s="11" t="str">
        <x:v>悲观</x:v>
      </x:c>
      <x:c r="E1088" s="16" t="n">
        <x:v>0.050000000000000044</x:v>
      </x:c>
      <x:c r="F1088" s="16" t="n">
        <x:v>0.0468</x:v>
      </x:c>
      <x:c r="G1088" s="16" t="n">
        <x:v>1</x:v>
      </x:c>
      <x:c r="H1088" s="11" t="n">
        <x:f>H1028</x:f>
        <x:v>0.18</x:v>
      </x:c>
      <x:c r="I1088" s="11" t="n">
        <x:f>I1028</x:f>
        <x:v>6.8</x:v>
      </x:c>
    </x:row>
    <x:row r="1089" ht="23" customHeight="1">
      <x:c r="A1089" s="11" t="str">
        <x:v>688062.SH</x:v>
      </x:c>
      <x:c r="B1089" s="11" t="str">
        <x:v>2026年底</x:v>
      </x:c>
      <x:c r="C1089" s="11" t="str">
        <x:v>tmprss_scd</x:v>
      </x:c>
      <x:c r="D1089" s="11" t="str">
        <x:v>基准</x:v>
      </x:c>
      <x:c r="E1089" s="16" t="n">
        <x:v>0.15000000000000002</x:v>
      </x:c>
      <x:c r="F1089" s="16" t="n">
        <x:v>0.068</x:v>
      </x:c>
      <x:c r="G1089" s="16" t="n">
        <x:v>1</x:v>
      </x:c>
      <x:c r="H1089" s="11" t="n">
        <x:f>H1029</x:f>
        <x:v>0.14</x:v>
      </x:c>
      <x:c r="I1089" s="11" t="n">
        <x:f>I1029</x:f>
        <x:v>6.8</x:v>
      </x:c>
    </x:row>
    <x:row r="1090" ht="23" customHeight="1">
      <x:c r="A1090" s="11" t="str">
        <x:v>688062.SH</x:v>
      </x:c>
      <x:c r="B1090" s="11" t="str">
        <x:v>2026年底</x:v>
      </x:c>
      <x:c r="C1090" s="11" t="str">
        <x:v>tmprss_scd</x:v>
      </x:c>
      <x:c r="D1090" s="11" t="str">
        <x:v>乐观</x:v>
      </x:c>
      <x:c r="E1090" s="16" t="n">
        <x:v>0.30000000000000004</x:v>
      </x:c>
      <x:c r="F1090" s="16" t="n">
        <x:v>0.08610000000000001</x:v>
      </x:c>
      <x:c r="G1090" s="16" t="n">
        <x:v>1</x:v>
      </x:c>
      <x:c r="H1090" s="11" t="n">
        <x:f>H1030</x:f>
        <x:v>0.11</x:v>
      </x:c>
      <x:c r="I1090" s="11" t="n">
        <x:f>I1030</x:f>
        <x:v>6.8</x:v>
      </x:c>
    </x:row>
    <x:row r="1091" ht="23" customHeight="1">
      <x:c r="A1091" s="11" t="str">
        <x:v>688062.SH</x:v>
      </x:c>
      <x:c r="B1091" s="11" t="str">
        <x:v>半年</x:v>
      </x:c>
      <x:c r="C1091" s="11" t="str">
        <x:v>biosim</x:v>
      </x:c>
      <x:c r="D1091" s="11" t="str">
        <x:v>活动输入</x:v>
      </x:c>
      <x:c r="E1091" s="11" t="n">
        <x:f>CHOOSE('假设'!$B$3,E1092,E1093,E1094)</x:f>
        <x:v>0.9314</x:v>
      </x:c>
      <x:c r="F1091" s="11" t="n">
        <x:f>CHOOSE('假设'!$B$3,F1092,F1093,F1094)</x:f>
        <x:v>0.23</x:v>
      </x:c>
      <x:c r="G1091" s="11" t="n">
        <x:f>CHOOSE('假设'!$B$3,G1092,G1093,G1094)</x:f>
        <x:v>1</x:v>
      </x:c>
      <x:c r="H1091" s="11" t="n">
        <x:f>CHOOSE('假设'!$B$3,H1092,H1093,H1094)</x:f>
        <x:v>0.14</x:v>
      </x:c>
      <x:c r="I1091" s="11" t="n">
        <x:f>CHOOSE('假设'!$B$3,I1092,I1093,I1094)</x:f>
        <x:v>6.8</x:v>
      </x:c>
    </x:row>
    <x:row r="1092" ht="23" customHeight="1">
      <x:c r="A1092" s="11" t="str">
        <x:v>688062.SH</x:v>
      </x:c>
      <x:c r="B1092" s="11" t="str">
        <x:v>半年</x:v>
      </x:c>
      <x:c r="C1092" s="11" t="str">
        <x:v>biosim</x:v>
      </x:c>
      <x:c r="D1092" s="11" t="str">
        <x:v>悲观</x:v>
      </x:c>
      <x:c r="E1092" s="16" t="n">
        <x:v>0.85</x:v>
      </x:c>
      <x:c r="F1092" s="16" t="n">
        <x:v>0.12</x:v>
      </x:c>
      <x:c r="G1092" s="16" t="n">
        <x:v>1</x:v>
      </x:c>
      <x:c r="H1092" s="16" t="n">
        <x:v>0.18</x:v>
      </x:c>
      <x:c r="I1092" s="16" t="n">
        <x:v>6.8</x:v>
      </x:c>
    </x:row>
    <x:row r="1093" ht="23" customHeight="1">
      <x:c r="A1093" s="11" t="str">
        <x:v>688062.SH</x:v>
      </x:c>
      <x:c r="B1093" s="11" t="str">
        <x:v>半年</x:v>
      </x:c>
      <x:c r="C1093" s="11" t="str">
        <x:v>biosim</x:v>
      </x:c>
      <x:c r="D1093" s="11" t="str">
        <x:v>基准</x:v>
      </x:c>
      <x:c r="E1093" s="16" t="n">
        <x:v>0.9314</x:v>
      </x:c>
      <x:c r="F1093" s="16" t="n">
        <x:v>0.23</x:v>
      </x:c>
      <x:c r="G1093" s="16" t="n">
        <x:v>1</x:v>
      </x:c>
      <x:c r="H1093" s="16" t="n">
        <x:v>0.14</x:v>
      </x:c>
      <x:c r="I1093" s="16" t="n">
        <x:v>6.8</x:v>
      </x:c>
    </x:row>
    <x:row r="1094" ht="23" customHeight="1">
      <x:c r="A1094" s="11" t="str">
        <x:v>688062.SH</x:v>
      </x:c>
      <x:c r="B1094" s="11" t="str">
        <x:v>半年</x:v>
      </x:c>
      <x:c r="C1094" s="11" t="str">
        <x:v>biosim</x:v>
      </x:c>
      <x:c r="D1094" s="11" t="str">
        <x:v>乐观</x:v>
      </x:c>
      <x:c r="E1094" s="16" t="n">
        <x:v>0.981</x:v>
      </x:c>
      <x:c r="F1094" s="16" t="n">
        <x:v>0.3</x:v>
      </x:c>
      <x:c r="G1094" s="16" t="n">
        <x:v>1</x:v>
      </x:c>
      <x:c r="H1094" s="16" t="n">
        <x:v>0.11</x:v>
      </x:c>
      <x:c r="I1094" s="16" t="n">
        <x:v>6.8</x:v>
      </x:c>
    </x:row>
    <x:row r="1095" ht="23" customHeight="1">
      <x:c r="A1095" s="11" t="str">
        <x:v>688062.SH</x:v>
      </x:c>
      <x:c r="B1095" s="11" t="str">
        <x:v>半年</x:v>
      </x:c>
      <x:c r="C1095" s="11" t="str">
        <x:v>gcsf</x:v>
      </x:c>
      <x:c r="D1095" s="11" t="str">
        <x:v>活动输入</x:v>
      </x:c>
      <x:c r="E1095" s="11" t="n">
        <x:f>CHOOSE('假设'!$B$3,E1096,E1097,E1098)</x:f>
        <x:v>1</x:v>
      </x:c>
      <x:c r="F1095" s="11" t="n">
        <x:f>CHOOSE('假设'!$B$3,F1096,F1097,F1098)</x:f>
        <x:v>0.08000000000000002</x:v>
      </x:c>
      <x:c r="G1095" s="11" t="n">
        <x:f>CHOOSE('假设'!$B$3,G1096,G1097,G1098)</x:f>
        <x:v>1</x:v>
      </x:c>
      <x:c r="H1095" s="11" t="n">
        <x:f>CHOOSE('假设'!$B$3,H1096,H1097,H1098)</x:f>
        <x:v>0.14</x:v>
      </x:c>
      <x:c r="I1095" s="11" t="n">
        <x:f>CHOOSE('假设'!$B$3,I1096,I1097,I1098)</x:f>
        <x:v>6.8</x:v>
      </x:c>
    </x:row>
    <x:row r="1096" ht="23" customHeight="1">
      <x:c r="A1096" s="11" t="str">
        <x:v>688062.SH</x:v>
      </x:c>
      <x:c r="B1096" s="11" t="str">
        <x:v>半年</x:v>
      </x:c>
      <x:c r="C1096" s="11" t="str">
        <x:v>gcsf</x:v>
      </x:c>
      <x:c r="D1096" s="11" t="str">
        <x:v>悲观</x:v>
      </x:c>
      <x:c r="E1096" s="16" t="n">
        <x:v>1</x:v>
      </x:c>
      <x:c r="F1096" s="16" t="n">
        <x:v>0.0468</x:v>
      </x:c>
      <x:c r="G1096" s="16" t="n">
        <x:v>1</x:v>
      </x:c>
      <x:c r="H1096" s="11" t="n">
        <x:f>H1092</x:f>
        <x:v>0.18</x:v>
      </x:c>
      <x:c r="I1096" s="11" t="n">
        <x:f>I1092</x:f>
        <x:v>6.8</x:v>
      </x:c>
    </x:row>
    <x:row r="1097" ht="23" customHeight="1">
      <x:c r="A1097" s="11" t="str">
        <x:v>688062.SH</x:v>
      </x:c>
      <x:c r="B1097" s="11" t="str">
        <x:v>半年</x:v>
      </x:c>
      <x:c r="C1097" s="11" t="str">
        <x:v>gcsf</x:v>
      </x:c>
      <x:c r="D1097" s="11" t="str">
        <x:v>基准</x:v>
      </x:c>
      <x:c r="E1097" s="16" t="n">
        <x:v>1</x:v>
      </x:c>
      <x:c r="F1097" s="16" t="n">
        <x:v>0.08000000000000002</x:v>
      </x:c>
      <x:c r="G1097" s="16" t="n">
        <x:v>1</x:v>
      </x:c>
      <x:c r="H1097" s="11" t="n">
        <x:f>H1093</x:f>
        <x:v>0.14</x:v>
      </x:c>
      <x:c r="I1097" s="11" t="n">
        <x:f>I1093</x:f>
        <x:v>6.8</x:v>
      </x:c>
    </x:row>
    <x:row r="1098" ht="23" customHeight="1">
      <x:c r="A1098" s="11" t="str">
        <x:v>688062.SH</x:v>
      </x:c>
      <x:c r="B1098" s="11" t="str">
        <x:v>半年</x:v>
      </x:c>
      <x:c r="C1098" s="11" t="str">
        <x:v>gcsf</x:v>
      </x:c>
      <x:c r="D1098" s="11" t="str">
        <x:v>乐观</x:v>
      </x:c>
      <x:c r="E1098" s="16" t="n">
        <x:v>1</x:v>
      </x:c>
      <x:c r="F1098" s="16" t="n">
        <x:v>0.10660000000000001</x:v>
      </x:c>
      <x:c r="G1098" s="16" t="n">
        <x:v>1</x:v>
      </x:c>
      <x:c r="H1098" s="11" t="n">
        <x:f>H1094</x:f>
        <x:v>0.11</x:v>
      </x:c>
      <x:c r="I1098" s="11" t="n">
        <x:f>I1094</x:f>
        <x:v>6.8</x:v>
      </x:c>
    </x:row>
    <x:row r="1099" ht="23" customHeight="1">
      <x:c r="A1099" s="11" t="str">
        <x:v>688062.SH</x:v>
      </x:c>
      <x:c r="B1099" s="11" t="str">
        <x:v>半年</x:v>
      </x:c>
      <x:c r="C1099" s="11" t="str">
        <x:v>bfv_uc_later</x:v>
      </x:c>
      <x:c r="D1099" s="11" t="str">
        <x:v>活动输入</x:v>
      </x:c>
      <x:c r="E1099" s="11" t="n">
        <x:f>CHOOSE('假设'!$B$3,E1100,E1101,E1102)</x:f>
        <x:v>0.6275999999999999</x:v>
      </x:c>
      <x:c r="F1099" s="11" t="n">
        <x:f>CHOOSE('假设'!$B$3,F1100,F1101,F1102)</x:f>
        <x:v>0.3</x:v>
      </x:c>
      <x:c r="G1099" s="11" t="n">
        <x:f>CHOOSE('假设'!$B$3,G1100,G1101,G1102)</x:f>
        <x:v>1</x:v>
      </x:c>
      <x:c r="H1099" s="11" t="n">
        <x:f>CHOOSE('假设'!$B$3,H1100,H1101,H1102)</x:f>
        <x:v>0.14</x:v>
      </x:c>
      <x:c r="I1099" s="11" t="n">
        <x:f>CHOOSE('假设'!$B$3,I1100,I1101,I1102)</x:f>
        <x:v>6.8</x:v>
      </x:c>
    </x:row>
    <x:row r="1100" ht="23" customHeight="1">
      <x:c r="A1100" s="11" t="str">
        <x:v>688062.SH</x:v>
      </x:c>
      <x:c r="B1100" s="11" t="str">
        <x:v>半年</x:v>
      </x:c>
      <x:c r="C1100" s="11" t="str">
        <x:v>bfv_uc_later</x:v>
      </x:c>
      <x:c r="D1100" s="11" t="str">
        <x:v>悲观</x:v>
      </x:c>
      <x:c r="E1100" s="16" t="n">
        <x:v>0.35</x:v>
      </x:c>
      <x:c r="F1100" s="16" t="n">
        <x:v>0.2</x:v>
      </x:c>
      <x:c r="G1100" s="16" t="n">
        <x:v>1</x:v>
      </x:c>
      <x:c r="H1100" s="11" t="n">
        <x:f>H1092</x:f>
        <x:v>0.18</x:v>
      </x:c>
      <x:c r="I1100" s="11" t="n">
        <x:f>I1092</x:f>
        <x:v>6.8</x:v>
      </x:c>
    </x:row>
    <x:row r="1101" ht="23" customHeight="1">
      <x:c r="A1101" s="11" t="str">
        <x:v>688062.SH</x:v>
      </x:c>
      <x:c r="B1101" s="11" t="str">
        <x:v>半年</x:v>
      </x:c>
      <x:c r="C1101" s="11" t="str">
        <x:v>bfv_uc_later</x:v>
      </x:c>
      <x:c r="D1101" s="11" t="str">
        <x:v>基准</x:v>
      </x:c>
      <x:c r="E1101" s="16" t="n">
        <x:v>0.6275999999999999</x:v>
      </x:c>
      <x:c r="F1101" s="16" t="n">
        <x:v>0.3</x:v>
      </x:c>
      <x:c r="G1101" s="16" t="n">
        <x:v>1</x:v>
      </x:c>
      <x:c r="H1101" s="11" t="n">
        <x:f>H1093</x:f>
        <x:v>0.14</x:v>
      </x:c>
      <x:c r="I1101" s="11" t="n">
        <x:f>I1093</x:f>
        <x:v>6.8</x:v>
      </x:c>
    </x:row>
    <x:row r="1102" ht="23" customHeight="1">
      <x:c r="A1102" s="11" t="str">
        <x:v>688062.SH</x:v>
      </x:c>
      <x:c r="B1102" s="11" t="str">
        <x:v>半年</x:v>
      </x:c>
      <x:c r="C1102" s="11" t="str">
        <x:v>bfv_uc_later</x:v>
      </x:c>
      <x:c r="D1102" s="11" t="str">
        <x:v>乐观</x:v>
      </x:c>
      <x:c r="E1102" s="16" t="n">
        <x:v>0.829</x:v>
      </x:c>
      <x:c r="F1102" s="16" t="n">
        <x:v>0.38</x:v>
      </x:c>
      <x:c r="G1102" s="16" t="n">
        <x:v>1</x:v>
      </x:c>
      <x:c r="H1102" s="11" t="n">
        <x:f>H1094</x:f>
        <x:v>0.11</x:v>
      </x:c>
      <x:c r="I1102" s="11" t="n">
        <x:f>I1094</x:f>
        <x:v>6.8</x:v>
      </x:c>
    </x:row>
    <x:row r="1103" ht="23" customHeight="1">
      <x:c r="A1103" s="11" t="str">
        <x:v>688062.SH</x:v>
      </x:c>
      <x:c r="B1103" s="11" t="str">
        <x:v>半年</x:v>
      </x:c>
      <x:c r="C1103" s="11" t="str">
        <x:v>bfv_uc_first</x:v>
      </x:c>
      <x:c r="D1103" s="11" t="str">
        <x:v>活动输入</x:v>
      </x:c>
      <x:c r="E1103" s="11" t="n">
        <x:f>CHOOSE('假设'!$B$3,E1104,E1105,E1106)</x:f>
        <x:v>0.559</x:v>
      </x:c>
      <x:c r="F1103" s="11" t="n">
        <x:f>CHOOSE('假设'!$B$3,F1104,F1105,F1106)</x:f>
        <x:v>0.3</x:v>
      </x:c>
      <x:c r="G1103" s="11" t="n">
        <x:f>CHOOSE('假设'!$B$3,G1104,G1105,G1106)</x:f>
        <x:v>1</x:v>
      </x:c>
      <x:c r="H1103" s="11" t="n">
        <x:f>CHOOSE('假设'!$B$3,H1104,H1105,H1106)</x:f>
        <x:v>0.14</x:v>
      </x:c>
      <x:c r="I1103" s="11" t="n">
        <x:f>CHOOSE('假设'!$B$3,I1104,I1105,I1106)</x:f>
        <x:v>6.8</x:v>
      </x:c>
    </x:row>
    <x:row r="1104" ht="23" customHeight="1">
      <x:c r="A1104" s="11" t="str">
        <x:v>688062.SH</x:v>
      </x:c>
      <x:c r="B1104" s="11" t="str">
        <x:v>半年</x:v>
      </x:c>
      <x:c r="C1104" s="11" t="str">
        <x:v>bfv_uc_first</x:v>
      </x:c>
      <x:c r="D1104" s="11" t="str">
        <x:v>悲观</x:v>
      </x:c>
      <x:c r="E1104" s="16" t="n">
        <x:v>0.25</x:v>
      </x:c>
      <x:c r="F1104" s="16" t="n">
        <x:v>0.2</x:v>
      </x:c>
      <x:c r="G1104" s="16" t="n">
        <x:v>1</x:v>
      </x:c>
      <x:c r="H1104" s="11" t="n">
        <x:f>H1092</x:f>
        <x:v>0.18</x:v>
      </x:c>
      <x:c r="I1104" s="11" t="n">
        <x:f>I1092</x:f>
        <x:v>6.8</x:v>
      </x:c>
    </x:row>
    <x:row r="1105" ht="23" customHeight="1">
      <x:c r="A1105" s="11" t="str">
        <x:v>688062.SH</x:v>
      </x:c>
      <x:c r="B1105" s="11" t="str">
        <x:v>半年</x:v>
      </x:c>
      <x:c r="C1105" s="11" t="str">
        <x:v>bfv_uc_first</x:v>
      </x:c>
      <x:c r="D1105" s="11" t="str">
        <x:v>基准</x:v>
      </x:c>
      <x:c r="E1105" s="16" t="n">
        <x:v>0.559</x:v>
      </x:c>
      <x:c r="F1105" s="16" t="n">
        <x:v>0.3</x:v>
      </x:c>
      <x:c r="G1105" s="16" t="n">
        <x:v>1</x:v>
      </x:c>
      <x:c r="H1105" s="11" t="n">
        <x:f>H1093</x:f>
        <x:v>0.14</x:v>
      </x:c>
      <x:c r="I1105" s="11" t="n">
        <x:f>I1093</x:f>
        <x:v>6.8</x:v>
      </x:c>
    </x:row>
    <x:row r="1106" ht="23" customHeight="1">
      <x:c r="A1106" s="11" t="str">
        <x:v>688062.SH</x:v>
      </x:c>
      <x:c r="B1106" s="11" t="str">
        <x:v>半年</x:v>
      </x:c>
      <x:c r="C1106" s="11" t="str">
        <x:v>bfv_uc_first</x:v>
      </x:c>
      <x:c r="D1106" s="11" t="str">
        <x:v>乐观</x:v>
      </x:c>
      <x:c r="E1106" s="16" t="n">
        <x:v>0.791</x:v>
      </x:c>
      <x:c r="F1106" s="16" t="n">
        <x:v>0.38</x:v>
      </x:c>
      <x:c r="G1106" s="16" t="n">
        <x:v>1</x:v>
      </x:c>
      <x:c r="H1106" s="11" t="n">
        <x:f>H1094</x:f>
        <x:v>0.11</x:v>
      </x:c>
      <x:c r="I1106" s="11" t="n">
        <x:f>I1094</x:f>
        <x:v>6.8</x:v>
      </x:c>
    </x:row>
    <x:row r="1107" ht="23" customHeight="1">
      <x:c r="A1107" s="11" t="str">
        <x:v>688062.SH</x:v>
      </x:c>
      <x:c r="B1107" s="11" t="str">
        <x:v>半年</x:v>
      </x:c>
      <x:c r="C1107" s="11" t="str">
        <x:v>bfv_cervix</x:v>
      </x:c>
      <x:c r="D1107" s="11" t="str">
        <x:v>活动输入</x:v>
      </x:c>
      <x:c r="E1107" s="11" t="n">
        <x:f>CHOOSE('假设'!$B$3,E1108,E1109,E1110)</x:f>
        <x:v>0.49039999999999995</x:v>
      </x:c>
      <x:c r="F1107" s="11" t="n">
        <x:f>CHOOSE('假设'!$B$3,F1108,F1109,F1110)</x:f>
        <x:v>0.3</x:v>
      </x:c>
      <x:c r="G1107" s="11" t="n">
        <x:f>CHOOSE('假设'!$B$3,G1108,G1109,G1110)</x:f>
        <x:v>1</x:v>
      </x:c>
      <x:c r="H1107" s="11" t="n">
        <x:f>CHOOSE('假设'!$B$3,H1108,H1109,H1110)</x:f>
        <x:v>0.14</x:v>
      </x:c>
      <x:c r="I1107" s="11" t="n">
        <x:f>CHOOSE('假设'!$B$3,I1108,I1109,I1110)</x:f>
        <x:v>6.8</x:v>
      </x:c>
    </x:row>
    <x:row r="1108" ht="23" customHeight="1">
      <x:c r="A1108" s="11" t="str">
        <x:v>688062.SH</x:v>
      </x:c>
      <x:c r="B1108" s="11" t="str">
        <x:v>半年</x:v>
      </x:c>
      <x:c r="C1108" s="11" t="str">
        <x:v>bfv_cervix</x:v>
      </x:c>
      <x:c r="D1108" s="11" t="str">
        <x:v>悲观</x:v>
      </x:c>
      <x:c r="E1108" s="16" t="n">
        <x:v>0.21999999999999997</x:v>
      </x:c>
      <x:c r="F1108" s="16" t="n">
        <x:v>0.2</x:v>
      </x:c>
      <x:c r="G1108" s="16" t="n">
        <x:v>1</x:v>
      </x:c>
      <x:c r="H1108" s="11" t="n">
        <x:f>H1092</x:f>
        <x:v>0.18</x:v>
      </x:c>
      <x:c r="I1108" s="11" t="n">
        <x:f>I1092</x:f>
        <x:v>6.8</x:v>
      </x:c>
    </x:row>
    <x:row r="1109" ht="23" customHeight="1">
      <x:c r="A1109" s="11" t="str">
        <x:v>688062.SH</x:v>
      </x:c>
      <x:c r="B1109" s="11" t="str">
        <x:v>半年</x:v>
      </x:c>
      <x:c r="C1109" s="11" t="str">
        <x:v>bfv_cervix</x:v>
      </x:c>
      <x:c r="D1109" s="11" t="str">
        <x:v>基准</x:v>
      </x:c>
      <x:c r="E1109" s="16" t="n">
        <x:v>0.49039999999999995</x:v>
      </x:c>
      <x:c r="F1109" s="16" t="n">
        <x:v>0.3</x:v>
      </x:c>
      <x:c r="G1109" s="16" t="n">
        <x:v>1</x:v>
      </x:c>
      <x:c r="H1109" s="11" t="n">
        <x:f>H1093</x:f>
        <x:v>0.14</x:v>
      </x:c>
      <x:c r="I1109" s="11" t="n">
        <x:f>I1093</x:f>
        <x:v>6.8</x:v>
      </x:c>
    </x:row>
    <x:row r="1110" ht="23" customHeight="1">
      <x:c r="A1110" s="11" t="str">
        <x:v>688062.SH</x:v>
      </x:c>
      <x:c r="B1110" s="11" t="str">
        <x:v>半年</x:v>
      </x:c>
      <x:c r="C1110" s="11" t="str">
        <x:v>bfv_cervix</x:v>
      </x:c>
      <x:c r="D1110" s="11" t="str">
        <x:v>乐观</x:v>
      </x:c>
      <x:c r="E1110" s="16" t="n">
        <x:v>0.7435</x:v>
      </x:c>
      <x:c r="F1110" s="16" t="n">
        <x:v>0.38</x:v>
      </x:c>
      <x:c r="G1110" s="16" t="n">
        <x:v>1</x:v>
      </x:c>
      <x:c r="H1110" s="11" t="n">
        <x:f>H1094</x:f>
        <x:v>0.11</x:v>
      </x:c>
      <x:c r="I1110" s="11" t="n">
        <x:f>I1094</x:f>
        <x:v>6.8</x:v>
      </x:c>
    </x:row>
    <x:row r="1111" ht="23" customHeight="1">
      <x:c r="A1111" s="11" t="str">
        <x:v>688062.SH</x:v>
      </x:c>
      <x:c r="B1111" s="11" t="str">
        <x:v>半年</x:v>
      </x:c>
      <x:c r="C1111" s="11" t="str">
        <x:v>bfv_tnbc</x:v>
      </x:c>
      <x:c r="D1111" s="11" t="str">
        <x:v>活动输入</x:v>
      </x:c>
      <x:c r="E1111" s="11" t="n">
        <x:f>CHOOSE('假设'!$B$3,E1112,E1113,E1114)</x:f>
        <x:v>0.31400000000000006</x:v>
      </x:c>
      <x:c r="F1111" s="11" t="n">
        <x:f>CHOOSE('假设'!$B$3,F1112,F1113,F1114)</x:f>
        <x:v>0.3</x:v>
      </x:c>
      <x:c r="G1111" s="11" t="n">
        <x:f>CHOOSE('假设'!$B$3,G1112,G1113,G1114)</x:f>
        <x:v>1</x:v>
      </x:c>
      <x:c r="H1111" s="11" t="n">
        <x:f>CHOOSE('假设'!$B$3,H1112,H1113,H1114)</x:f>
        <x:v>0.14</x:v>
      </x:c>
      <x:c r="I1111" s="11" t="n">
        <x:f>CHOOSE('假设'!$B$3,I1112,I1113,I1114)</x:f>
        <x:v>6.8</x:v>
      </x:c>
    </x:row>
    <x:row r="1112" ht="23" customHeight="1">
      <x:c r="A1112" s="11" t="str">
        <x:v>688062.SH</x:v>
      </x:c>
      <x:c r="B1112" s="11" t="str">
        <x:v>半年</x:v>
      </x:c>
      <x:c r="C1112" s="11" t="str">
        <x:v>bfv_tnbc</x:v>
      </x:c>
      <x:c r="D1112" s="11" t="str">
        <x:v>悲观</x:v>
      </x:c>
      <x:c r="E1112" s="16" t="n">
        <x:v>0.12</x:v>
      </x:c>
      <x:c r="F1112" s="16" t="n">
        <x:v>0.2</x:v>
      </x:c>
      <x:c r="G1112" s="16" t="n">
        <x:v>1</x:v>
      </x:c>
      <x:c r="H1112" s="11" t="n">
        <x:f>H1092</x:f>
        <x:v>0.18</x:v>
      </x:c>
      <x:c r="I1112" s="11" t="n">
        <x:f>I1092</x:f>
        <x:v>6.8</x:v>
      </x:c>
    </x:row>
    <x:row r="1113" ht="23" customHeight="1">
      <x:c r="A1113" s="11" t="str">
        <x:v>688062.SH</x:v>
      </x:c>
      <x:c r="B1113" s="11" t="str">
        <x:v>半年</x:v>
      </x:c>
      <x:c r="C1113" s="11" t="str">
        <x:v>bfv_tnbc</x:v>
      </x:c>
      <x:c r="D1113" s="11" t="str">
        <x:v>基准</x:v>
      </x:c>
      <x:c r="E1113" s="16" t="n">
        <x:v>0.31400000000000006</x:v>
      </x:c>
      <x:c r="F1113" s="16" t="n">
        <x:v>0.3</x:v>
      </x:c>
      <x:c r="G1113" s="16" t="n">
        <x:v>1</x:v>
      </x:c>
      <x:c r="H1113" s="11" t="n">
        <x:f>H1093</x:f>
        <x:v>0.14</x:v>
      </x:c>
      <x:c r="I1113" s="11" t="n">
        <x:f>I1093</x:f>
        <x:v>6.8</x:v>
      </x:c>
    </x:row>
    <x:row r="1114" ht="23" customHeight="1">
      <x:c r="A1114" s="11" t="str">
        <x:v>688062.SH</x:v>
      </x:c>
      <x:c r="B1114" s="11" t="str">
        <x:v>半年</x:v>
      </x:c>
      <x:c r="C1114" s="11" t="str">
        <x:v>bfv_tnbc</x:v>
      </x:c>
      <x:c r="D1114" s="11" t="str">
        <x:v>乐观</x:v>
      </x:c>
      <x:c r="E1114" s="16" t="n">
        <x:v>0.5725</x:v>
      </x:c>
      <x:c r="F1114" s="16" t="n">
        <x:v>0.38</x:v>
      </x:c>
      <x:c r="G1114" s="16" t="n">
        <x:v>1</x:v>
      </x:c>
      <x:c r="H1114" s="11" t="n">
        <x:f>H1094</x:f>
        <x:v>0.11</x:v>
      </x:c>
      <x:c r="I1114" s="11" t="n">
        <x:f>I1094</x:f>
        <x:v>6.8</x:v>
      </x:c>
    </x:row>
    <x:row r="1115" ht="23" customHeight="1">
      <x:c r="A1115" s="11" t="str">
        <x:v>688062.SH</x:v>
      </x:c>
      <x:c r="B1115" s="11" t="str">
        <x:v>半年</x:v>
      </x:c>
      <x:c r="C1115" s="11" t="str">
        <x:v>bfv_escc</x:v>
      </x:c>
      <x:c r="D1115" s="11" t="str">
        <x:v>活动输入</x:v>
      </x:c>
      <x:c r="E1115" s="11" t="n">
        <x:f>CHOOSE('假设'!$B$3,E1116,E1117,E1118)</x:f>
        <x:v>0.17680000000000007</x:v>
      </x:c>
      <x:c r="F1115" s="11" t="n">
        <x:f>CHOOSE('假设'!$B$3,F1116,F1117,F1118)</x:f>
        <x:v>0.3</x:v>
      </x:c>
      <x:c r="G1115" s="11" t="n">
        <x:f>CHOOSE('假设'!$B$3,G1116,G1117,G1118)</x:f>
        <x:v>1</x:v>
      </x:c>
      <x:c r="H1115" s="11" t="n">
        <x:f>CHOOSE('假设'!$B$3,H1116,H1117,H1118)</x:f>
        <x:v>0.14</x:v>
      </x:c>
      <x:c r="I1115" s="11" t="n">
        <x:f>CHOOSE('假设'!$B$3,I1116,I1117,I1118)</x:f>
        <x:v>6.8</x:v>
      </x:c>
    </x:row>
    <x:row r="1116" ht="23" customHeight="1">
      <x:c r="A1116" s="11" t="str">
        <x:v>688062.SH</x:v>
      </x:c>
      <x:c r="B1116" s="11" t="str">
        <x:v>半年</x:v>
      </x:c>
      <x:c r="C1116" s="11" t="str">
        <x:v>bfv_escc</x:v>
      </x:c>
      <x:c r="D1116" s="11" t="str">
        <x:v>悲观</x:v>
      </x:c>
      <x:c r="E1116" s="16" t="n">
        <x:v>0.050000000000000044</x:v>
      </x:c>
      <x:c r="F1116" s="16" t="n">
        <x:v>0.2</x:v>
      </x:c>
      <x:c r="G1116" s="16" t="n">
        <x:v>1</x:v>
      </x:c>
      <x:c r="H1116" s="11" t="n">
        <x:f>H1092</x:f>
        <x:v>0.18</x:v>
      </x:c>
      <x:c r="I1116" s="11" t="n">
        <x:f>I1092</x:f>
        <x:v>6.8</x:v>
      </x:c>
    </x:row>
    <x:row r="1117" ht="23" customHeight="1">
      <x:c r="A1117" s="11" t="str">
        <x:v>688062.SH</x:v>
      </x:c>
      <x:c r="B1117" s="11" t="str">
        <x:v>半年</x:v>
      </x:c>
      <x:c r="C1117" s="11" t="str">
        <x:v>bfv_escc</x:v>
      </x:c>
      <x:c r="D1117" s="11" t="str">
        <x:v>基准</x:v>
      </x:c>
      <x:c r="E1117" s="16" t="n">
        <x:v>0.17680000000000007</x:v>
      </x:c>
      <x:c r="F1117" s="16" t="n">
        <x:v>0.3</x:v>
      </x:c>
      <x:c r="G1117" s="16" t="n">
        <x:v>1</x:v>
      </x:c>
      <x:c r="H1117" s="11" t="n">
        <x:f>H1093</x:f>
        <x:v>0.14</x:v>
      </x:c>
      <x:c r="I1117" s="11" t="n">
        <x:f>I1093</x:f>
        <x:v>6.8</x:v>
      </x:c>
    </x:row>
    <x:row r="1118" ht="23" customHeight="1">
      <x:c r="A1118" s="11" t="str">
        <x:v>688062.SH</x:v>
      </x:c>
      <x:c r="B1118" s="11" t="str">
        <x:v>半年</x:v>
      </x:c>
      <x:c r="C1118" s="11" t="str">
        <x:v>bfv_escc</x:v>
      </x:c>
      <x:c r="D1118" s="11" t="str">
        <x:v>乐观</x:v>
      </x:c>
      <x:c r="E1118" s="16" t="n">
        <x:v>0.3730000000000001</x:v>
      </x:c>
      <x:c r="F1118" s="16" t="n">
        <x:v>0.38</x:v>
      </x:c>
      <x:c r="G1118" s="16" t="n">
        <x:v>1</x:v>
      </x:c>
      <x:c r="H1118" s="11" t="n">
        <x:f>H1094</x:f>
        <x:v>0.11</x:v>
      </x:c>
      <x:c r="I1118" s="11" t="n">
        <x:f>I1094</x:f>
        <x:v>6.8</x:v>
      </x:c>
    </x:row>
    <x:row r="1119" ht="23" customHeight="1">
      <x:c r="A1119" s="11" t="str">
        <x:v>688062.SH</x:v>
      </x:c>
      <x:c r="B1119" s="11" t="str">
        <x:v>半年</x:v>
      </x:c>
      <x:c r="C1119" s="11" t="str">
        <x:v>bfv_global</x:v>
      </x:c>
      <x:c r="D1119" s="11" t="str">
        <x:v>活动输入</x:v>
      </x:c>
      <x:c r="E1119" s="11" t="n">
        <x:f>CHOOSE('假设'!$B$3,E1120,E1121,E1122)</x:f>
        <x:v>0.21599999999999997</x:v>
      </x:c>
      <x:c r="F1119" s="11" t="n">
        <x:f>CHOOSE('假设'!$B$3,F1120,F1121,F1122)</x:f>
        <x:v>0.23</x:v>
      </x:c>
      <x:c r="G1119" s="11" t="n">
        <x:f>CHOOSE('假设'!$B$3,G1120,G1121,G1122)</x:f>
        <x:v>1</x:v>
      </x:c>
      <x:c r="H1119" s="11" t="n">
        <x:f>CHOOSE('假设'!$B$3,H1120,H1121,H1122)</x:f>
        <x:v>0.14</x:v>
      </x:c>
      <x:c r="I1119" s="11" t="n">
        <x:f>CHOOSE('假设'!$B$3,I1120,I1121,I1122)</x:f>
        <x:v>6.8</x:v>
      </x:c>
    </x:row>
    <x:row r="1120" ht="23" customHeight="1">
      <x:c r="A1120" s="11" t="str">
        <x:v>688062.SH</x:v>
      </x:c>
      <x:c r="B1120" s="11" t="str">
        <x:v>半年</x:v>
      </x:c>
      <x:c r="C1120" s="11" t="str">
        <x:v>bfv_global</x:v>
      </x:c>
      <x:c r="D1120" s="11" t="str">
        <x:v>悲观</x:v>
      </x:c>
      <x:c r="E1120" s="16" t="n">
        <x:v>0.07999999999999996</x:v>
      </x:c>
      <x:c r="F1120" s="16" t="n">
        <x:v>0.15</x:v>
      </x:c>
      <x:c r="G1120" s="16" t="n">
        <x:v>1</x:v>
      </x:c>
      <x:c r="H1120" s="11" t="n">
        <x:f>H1092</x:f>
        <x:v>0.18</x:v>
      </x:c>
      <x:c r="I1120" s="11" t="n">
        <x:f>I1092</x:f>
        <x:v>6.8</x:v>
      </x:c>
    </x:row>
    <x:row r="1121" ht="23" customHeight="1">
      <x:c r="A1121" s="11" t="str">
        <x:v>688062.SH</x:v>
      </x:c>
      <x:c r="B1121" s="11" t="str">
        <x:v>半年</x:v>
      </x:c>
      <x:c r="C1121" s="11" t="str">
        <x:v>bfv_global</x:v>
      </x:c>
      <x:c r="D1121" s="11" t="str">
        <x:v>基准</x:v>
      </x:c>
      <x:c r="E1121" s="16" t="n">
        <x:v>0.21599999999999997</x:v>
      </x:c>
      <x:c r="F1121" s="16" t="n">
        <x:v>0.23</x:v>
      </x:c>
      <x:c r="G1121" s="16" t="n">
        <x:v>1</x:v>
      </x:c>
      <x:c r="H1121" s="11" t="n">
        <x:f>H1093</x:f>
        <x:v>0.14</x:v>
      </x:c>
      <x:c r="I1121" s="11" t="n">
        <x:f>I1093</x:f>
        <x:v>6.8</x:v>
      </x:c>
    </x:row>
    <x:row r="1122" ht="23" customHeight="1">
      <x:c r="A1122" s="11" t="str">
        <x:v>688062.SH</x:v>
      </x:c>
      <x:c r="B1122" s="11" t="str">
        <x:v>半年</x:v>
      </x:c>
      <x:c r="C1122" s="11" t="str">
        <x:v>bfv_global</x:v>
      </x:c>
      <x:c r="D1122" s="11" t="str">
        <x:v>乐观</x:v>
      </x:c>
      <x:c r="E1122" s="16" t="n">
        <x:v>0.41100000000000003</x:v>
      </x:c>
      <x:c r="F1122" s="16" t="n">
        <x:v>0.3</x:v>
      </x:c>
      <x:c r="G1122" s="16" t="n">
        <x:v>1</x:v>
      </x:c>
      <x:c r="H1122" s="11" t="n">
        <x:f>H1094</x:f>
        <x:v>0.11</x:v>
      </x:c>
      <x:c r="I1122" s="11" t="n">
        <x:f>I1094</x:f>
        <x:v>6.8</x:v>
      </x:c>
    </x:row>
    <x:row r="1123" ht="23" customHeight="1">
      <x:c r="A1123" s="11" t="str">
        <x:v>688062.SH</x:v>
      </x:c>
      <x:c r="B1123" s="11" t="str">
        <x:v>半年</x:v>
      </x:c>
      <x:c r="C1123" s="11" t="str">
        <x:v>b7h3</x:v>
      </x:c>
      <x:c r="D1123" s="11" t="str">
        <x:v>活动输入</x:v>
      </x:c>
      <x:c r="E1123" s="11" t="n">
        <x:f>CHOOSE('假设'!$B$3,E1124,E1125,E1126)</x:f>
        <x:v>0.23560000000000003</x:v>
      </x:c>
      <x:c r="F1123" s="11" t="n">
        <x:f>CHOOSE('假设'!$B$3,F1124,F1125,F1126)</x:f>
        <x:v>0.3</x:v>
      </x:c>
      <x:c r="G1123" s="11" t="n">
        <x:f>CHOOSE('假设'!$B$3,G1124,G1125,G1126)</x:f>
        <x:v>1</x:v>
      </x:c>
      <x:c r="H1123" s="11" t="n">
        <x:f>CHOOSE('假设'!$B$3,H1124,H1125,H1126)</x:f>
        <x:v>0.14</x:v>
      </x:c>
      <x:c r="I1123" s="11" t="n">
        <x:f>CHOOSE('假设'!$B$3,I1124,I1125,I1126)</x:f>
        <x:v>6.8</x:v>
      </x:c>
    </x:row>
    <x:row r="1124" ht="23" customHeight="1">
      <x:c r="A1124" s="11" t="str">
        <x:v>688062.SH</x:v>
      </x:c>
      <x:c r="B1124" s="11" t="str">
        <x:v>半年</x:v>
      </x:c>
      <x:c r="C1124" s="11" t="str">
        <x:v>b7h3</x:v>
      </x:c>
      <x:c r="D1124" s="11" t="str">
        <x:v>悲观</x:v>
      </x:c>
      <x:c r="E1124" s="16" t="n">
        <x:v>0.07999999999999996</x:v>
      </x:c>
      <x:c r="F1124" s="16" t="n">
        <x:v>0.2</x:v>
      </x:c>
      <x:c r="G1124" s="16" t="n">
        <x:v>1</x:v>
      </x:c>
      <x:c r="H1124" s="11" t="n">
        <x:f>H1092</x:f>
        <x:v>0.18</x:v>
      </x:c>
      <x:c r="I1124" s="11" t="n">
        <x:f>I1092</x:f>
        <x:v>6.8</x:v>
      </x:c>
    </x:row>
    <x:row r="1125" ht="23" customHeight="1">
      <x:c r="A1125" s="11" t="str">
        <x:v>688062.SH</x:v>
      </x:c>
      <x:c r="B1125" s="11" t="str">
        <x:v>半年</x:v>
      </x:c>
      <x:c r="C1125" s="11" t="str">
        <x:v>b7h3</x:v>
      </x:c>
      <x:c r="D1125" s="11" t="str">
        <x:v>基准</x:v>
      </x:c>
      <x:c r="E1125" s="16" t="n">
        <x:v>0.23560000000000003</x:v>
      </x:c>
      <x:c r="F1125" s="16" t="n">
        <x:v>0.3</x:v>
      </x:c>
      <x:c r="G1125" s="16" t="n">
        <x:v>1</x:v>
      </x:c>
      <x:c r="H1125" s="11" t="n">
        <x:f>H1093</x:f>
        <x:v>0.14</x:v>
      </x:c>
      <x:c r="I1125" s="11" t="n">
        <x:f>I1093</x:f>
        <x:v>6.8</x:v>
      </x:c>
    </x:row>
    <x:row r="1126" ht="23" customHeight="1">
      <x:c r="A1126" s="11" t="str">
        <x:v>688062.SH</x:v>
      </x:c>
      <x:c r="B1126" s="11" t="str">
        <x:v>半年</x:v>
      </x:c>
      <x:c r="C1126" s="11" t="str">
        <x:v>b7h3</x:v>
      </x:c>
      <x:c r="D1126" s="11" t="str">
        <x:v>乐观</x:v>
      </x:c>
      <x:c r="E1126" s="16" t="n">
        <x:v>0.44899999999999995</x:v>
      </x:c>
      <x:c r="F1126" s="16" t="n">
        <x:v>0.38</x:v>
      </x:c>
      <x:c r="G1126" s="16" t="n">
        <x:v>1</x:v>
      </x:c>
      <x:c r="H1126" s="11" t="n">
        <x:f>H1094</x:f>
        <x:v>0.11</x:v>
      </x:c>
      <x:c r="I1126" s="11" t="n">
        <x:f>I1094</x:f>
        <x:v>6.8</x:v>
      </x:c>
    </x:row>
    <x:row r="1127" ht="23" customHeight="1">
      <x:c r="A1127" s="11" t="str">
        <x:v>688062.SH</x:v>
      </x:c>
      <x:c r="B1127" s="11" t="str">
        <x:v>半年</x:v>
      </x:c>
      <x:c r="C1127" s="11" t="str">
        <x:v>cdh17</x:v>
      </x:c>
      <x:c r="D1127" s="11" t="str">
        <x:v>活动输入</x:v>
      </x:c>
      <x:c r="E1127" s="11" t="n">
        <x:f>CHOOSE('假设'!$B$3,E1128,E1129,E1130)</x:f>
        <x:v>0.118</x:v>
      </x:c>
      <x:c r="F1127" s="11" t="n">
        <x:f>CHOOSE('假设'!$B$3,F1128,F1129,F1130)</x:f>
        <x:v>0.3</x:v>
      </x:c>
      <x:c r="G1127" s="11" t="n">
        <x:f>CHOOSE('假设'!$B$3,G1128,G1129,G1130)</x:f>
        <x:v>1</x:v>
      </x:c>
      <x:c r="H1127" s="11" t="n">
        <x:f>CHOOSE('假设'!$B$3,H1128,H1129,H1130)</x:f>
        <x:v>0.14</x:v>
      </x:c>
      <x:c r="I1127" s="11" t="n">
        <x:f>CHOOSE('假设'!$B$3,I1128,I1129,I1130)</x:f>
        <x:v>6.8</x:v>
      </x:c>
    </x:row>
    <x:row r="1128" ht="23" customHeight="1">
      <x:c r="A1128" s="11" t="str">
        <x:v>688062.SH</x:v>
      </x:c>
      <x:c r="B1128" s="11" t="str">
        <x:v>半年</x:v>
      </x:c>
      <x:c r="C1128" s="11" t="str">
        <x:v>cdh17</x:v>
      </x:c>
      <x:c r="D1128" s="11" t="str">
        <x:v>悲观</x:v>
      </x:c>
      <x:c r="E1128" s="16" t="n">
        <x:v>0.030000000000000027</x:v>
      </x:c>
      <x:c r="F1128" s="16" t="n">
        <x:v>0.2</x:v>
      </x:c>
      <x:c r="G1128" s="16" t="n">
        <x:v>1</x:v>
      </x:c>
      <x:c r="H1128" s="11" t="n">
        <x:f>H1092</x:f>
        <x:v>0.18</x:v>
      </x:c>
      <x:c r="I1128" s="11" t="n">
        <x:f>I1092</x:f>
        <x:v>6.8</x:v>
      </x:c>
    </x:row>
    <x:row r="1129" ht="23" customHeight="1">
      <x:c r="A1129" s="11" t="str">
        <x:v>688062.SH</x:v>
      </x:c>
      <x:c r="B1129" s="11" t="str">
        <x:v>半年</x:v>
      </x:c>
      <x:c r="C1129" s="11" t="str">
        <x:v>cdh17</x:v>
      </x:c>
      <x:c r="D1129" s="11" t="str">
        <x:v>基准</x:v>
      </x:c>
      <x:c r="E1129" s="16" t="n">
        <x:v>0.118</x:v>
      </x:c>
      <x:c r="F1129" s="16" t="n">
        <x:v>0.3</x:v>
      </x:c>
      <x:c r="G1129" s="16" t="n">
        <x:v>1</x:v>
      </x:c>
      <x:c r="H1129" s="11" t="n">
        <x:f>H1093</x:f>
        <x:v>0.14</x:v>
      </x:c>
      <x:c r="I1129" s="11" t="n">
        <x:f>I1093</x:f>
        <x:v>6.8</x:v>
      </x:c>
    </x:row>
    <x:row r="1130" ht="23" customHeight="1">
      <x:c r="A1130" s="11" t="str">
        <x:v>688062.SH</x:v>
      </x:c>
      <x:c r="B1130" s="11" t="str">
        <x:v>半年</x:v>
      </x:c>
      <x:c r="C1130" s="11" t="str">
        <x:v>cdh17</x:v>
      </x:c>
      <x:c r="D1130" s="11" t="str">
        <x:v>乐观</x:v>
      </x:c>
      <x:c r="E1130" s="16" t="n">
        <x:v>0.2875000000000001</x:v>
      </x:c>
      <x:c r="F1130" s="16" t="n">
        <x:v>0.38</x:v>
      </x:c>
      <x:c r="G1130" s="16" t="n">
        <x:v>1</x:v>
      </x:c>
      <x:c r="H1130" s="11" t="n">
        <x:f>H1094</x:f>
        <x:v>0.11</x:v>
      </x:c>
      <x:c r="I1130" s="11" t="n">
        <x:f>I1094</x:f>
        <x:v>6.8</x:v>
      </x:c>
    </x:row>
    <x:row r="1131" ht="23" customHeight="1">
      <x:c r="A1131" s="11" t="str">
        <x:v>688062.SH</x:v>
      </x:c>
      <x:c r="B1131" s="11" t="str">
        <x:v>半年</x:v>
      </x:c>
      <x:c r="C1131" s="11" t="str">
        <x:v>st2</x:v>
      </x:c>
      <x:c r="D1131" s="11" t="str">
        <x:v>活动输入</x:v>
      </x:c>
      <x:c r="E1131" s="11" t="n">
        <x:f>CHOOSE('假设'!$B$3,E1132,E1133,E1134)</x:f>
        <x:v>0.265</x:v>
      </x:c>
      <x:c r="F1131" s="11" t="n">
        <x:f>CHOOSE('假设'!$B$3,F1132,F1133,F1134)</x:f>
        <x:v>0.3</x:v>
      </x:c>
      <x:c r="G1131" s="11" t="n">
        <x:f>CHOOSE('假设'!$B$3,G1132,G1133,G1134)</x:f>
        <x:v>1</x:v>
      </x:c>
      <x:c r="H1131" s="11" t="n">
        <x:f>CHOOSE('假设'!$B$3,H1132,H1133,H1134)</x:f>
        <x:v>0.14</x:v>
      </x:c>
      <x:c r="I1131" s="11" t="n">
        <x:f>CHOOSE('假设'!$B$3,I1132,I1133,I1134)</x:f>
        <x:v>6.8</x:v>
      </x:c>
    </x:row>
    <x:row r="1132" ht="23" customHeight="1">
      <x:c r="A1132" s="11" t="str">
        <x:v>688062.SH</x:v>
      </x:c>
      <x:c r="B1132" s="11" t="str">
        <x:v>半年</x:v>
      </x:c>
      <x:c r="C1132" s="11" t="str">
        <x:v>st2</x:v>
      </x:c>
      <x:c r="D1132" s="11" t="str">
        <x:v>悲观</x:v>
      </x:c>
      <x:c r="E1132" s="16" t="n">
        <x:v>0.07000000000000006</x:v>
      </x:c>
      <x:c r="F1132" s="16" t="n">
        <x:v>0.2</x:v>
      </x:c>
      <x:c r="G1132" s="16" t="n">
        <x:v>1</x:v>
      </x:c>
      <x:c r="H1132" s="11" t="n">
        <x:f>H1092</x:f>
        <x:v>0.18</x:v>
      </x:c>
      <x:c r="I1132" s="11" t="n">
        <x:f>I1092</x:f>
        <x:v>6.8</x:v>
      </x:c>
    </x:row>
    <x:row r="1133" ht="23" customHeight="1">
      <x:c r="A1133" s="11" t="str">
        <x:v>688062.SH</x:v>
      </x:c>
      <x:c r="B1133" s="11" t="str">
        <x:v>半年</x:v>
      </x:c>
      <x:c r="C1133" s="11" t="str">
        <x:v>st2</x:v>
      </x:c>
      <x:c r="D1133" s="11" t="str">
        <x:v>基准</x:v>
      </x:c>
      <x:c r="E1133" s="16" t="n">
        <x:v>0.265</x:v>
      </x:c>
      <x:c r="F1133" s="16" t="n">
        <x:v>0.3</x:v>
      </x:c>
      <x:c r="G1133" s="16" t="n">
        <x:v>1</x:v>
      </x:c>
      <x:c r="H1133" s="11" t="n">
        <x:f>H1093</x:f>
        <x:v>0.14</x:v>
      </x:c>
      <x:c r="I1133" s="11" t="n">
        <x:f>I1093</x:f>
        <x:v>6.8</x:v>
      </x:c>
    </x:row>
    <x:row r="1134" ht="23" customHeight="1">
      <x:c r="A1134" s="11" t="str">
        <x:v>688062.SH</x:v>
      </x:c>
      <x:c r="B1134" s="11" t="str">
        <x:v>半年</x:v>
      </x:c>
      <x:c r="C1134" s="11" t="str">
        <x:v>st2</x:v>
      </x:c>
      <x:c r="D1134" s="11" t="str">
        <x:v>乐观</x:v>
      </x:c>
      <x:c r="E1134" s="16" t="n">
        <x:v>0.47750000000000004</x:v>
      </x:c>
      <x:c r="F1134" s="16" t="n">
        <x:v>0.38</x:v>
      </x:c>
      <x:c r="G1134" s="16" t="n">
        <x:v>1</x:v>
      </x:c>
      <x:c r="H1134" s="11" t="n">
        <x:f>H1094</x:f>
        <x:v>0.11</x:v>
      </x:c>
      <x:c r="I1134" s="11" t="n">
        <x:f>I1094</x:f>
        <x:v>6.8</x:v>
      </x:c>
    </x:row>
    <x:row r="1135" ht="23" customHeight="1">
      <x:c r="A1135" s="11" t="str">
        <x:v>688062.SH</x:v>
      </x:c>
      <x:c r="B1135" s="11" t="str">
        <x:v>半年</x:v>
      </x:c>
      <x:c r="C1135" s="11" t="str">
        <x:v>il11_global</x:v>
      </x:c>
      <x:c r="D1135" s="11" t="str">
        <x:v>活动输入</x:v>
      </x:c>
      <x:c r="E1135" s="11" t="n">
        <x:f>CHOOSE('假设'!$B$3,E1136,E1137,E1138)</x:f>
        <x:v>0.13760000000000006</x:v>
      </x:c>
      <x:c r="F1135" s="11" t="n">
        <x:f>CHOOSE('假设'!$B$3,F1136,F1137,F1138)</x:f>
        <x:v>0.064</x:v>
      </x:c>
      <x:c r="G1135" s="11" t="n">
        <x:f>CHOOSE('假设'!$B$3,G1136,G1137,G1138)</x:f>
        <x:v>1</x:v>
      </x:c>
      <x:c r="H1135" s="11" t="n">
        <x:f>CHOOSE('假设'!$B$3,H1136,H1137,H1138)</x:f>
        <x:v>0.14</x:v>
      </x:c>
      <x:c r="I1135" s="11" t="n">
        <x:f>CHOOSE('假设'!$B$3,I1136,I1137,I1138)</x:f>
        <x:v>6.8</x:v>
      </x:c>
    </x:row>
    <x:row r="1136" ht="23" customHeight="1">
      <x:c r="A1136" s="11" t="str">
        <x:v>688062.SH</x:v>
      </x:c>
      <x:c r="B1136" s="11" t="str">
        <x:v>半年</x:v>
      </x:c>
      <x:c r="C1136" s="11" t="str">
        <x:v>il11_global</x:v>
      </x:c>
      <x:c r="D1136" s="11" t="str">
        <x:v>悲观</x:v>
      </x:c>
      <x:c r="E1136" s="16" t="n">
        <x:v>0.030000000000000027</x:v>
      </x:c>
      <x:c r="F1136" s="16" t="n">
        <x:v>0.03900000000000001</x:v>
      </x:c>
      <x:c r="G1136" s="16" t="n">
        <x:v>1</x:v>
      </x:c>
      <x:c r="H1136" s="11" t="n">
        <x:f>H1092</x:f>
        <x:v>0.18</x:v>
      </x:c>
      <x:c r="I1136" s="11" t="n">
        <x:f>I1092</x:f>
        <x:v>6.8</x:v>
      </x:c>
    </x:row>
    <x:row r="1137" ht="23" customHeight="1">
      <x:c r="A1137" s="11" t="str">
        <x:v>688062.SH</x:v>
      </x:c>
      <x:c r="B1137" s="11" t="str">
        <x:v>半年</x:v>
      </x:c>
      <x:c r="C1137" s="11" t="str">
        <x:v>il11_global</x:v>
      </x:c>
      <x:c r="D1137" s="11" t="str">
        <x:v>基准</x:v>
      </x:c>
      <x:c r="E1137" s="16" t="n">
        <x:v>0.13760000000000006</x:v>
      </x:c>
      <x:c r="F1137" s="16" t="n">
        <x:v>0.064</x:v>
      </x:c>
      <x:c r="G1137" s="16" t="n">
        <x:v>1</x:v>
      </x:c>
      <x:c r="H1137" s="11" t="n">
        <x:f>H1093</x:f>
        <x:v>0.14</x:v>
      </x:c>
      <x:c r="I1137" s="11" t="n">
        <x:f>I1093</x:f>
        <x:v>6.8</x:v>
      </x:c>
    </x:row>
    <x:row r="1138" ht="23" customHeight="1">
      <x:c r="A1138" s="11" t="str">
        <x:v>688062.SH</x:v>
      </x:c>
      <x:c r="B1138" s="11" t="str">
        <x:v>半年</x:v>
      </x:c>
      <x:c r="C1138" s="11" t="str">
        <x:v>il11_global</x:v>
      </x:c>
      <x:c r="D1138" s="11" t="str">
        <x:v>乐观</x:v>
      </x:c>
      <x:c r="E1138" s="16" t="n">
        <x:v>0.31600000000000006</x:v>
      </x:c>
      <x:c r="F1138" s="16" t="n">
        <x:v>0.0902</x:v>
      </x:c>
      <x:c r="G1138" s="16" t="n">
        <x:v>1</x:v>
      </x:c>
      <x:c r="H1138" s="11" t="n">
        <x:f>H1094</x:f>
        <x:v>0.11</x:v>
      </x:c>
      <x:c r="I1138" s="11" t="n">
        <x:f>I1094</x:f>
        <x:v>6.8</x:v>
      </x:c>
    </x:row>
    <x:row r="1139" ht="23" customHeight="1">
      <x:c r="A1139" s="11" t="str">
        <x:v>688062.SH</x:v>
      </x:c>
      <x:c r="B1139" s="11" t="str">
        <x:v>半年</x:v>
      </x:c>
      <x:c r="C1139" s="11" t="str">
        <x:v>il11_cn</x:v>
      </x:c>
      <x:c r="D1139" s="11" t="str">
        <x:v>活动输入</x:v>
      </x:c>
      <x:c r="E1139" s="11" t="n">
        <x:f>CHOOSE('假设'!$B$3,E1140,E1141,E1142)</x:f>
        <x:v>0.13760000000000006</x:v>
      </x:c>
      <x:c r="F1139" s="11" t="n">
        <x:f>CHOOSE('假设'!$B$3,F1140,F1141,F1142)</x:f>
        <x:v>0.3</x:v>
      </x:c>
      <x:c r="G1139" s="11" t="n">
        <x:f>CHOOSE('假设'!$B$3,G1140,G1141,G1142)</x:f>
        <x:v>1</x:v>
      </x:c>
      <x:c r="H1139" s="11" t="n">
        <x:f>CHOOSE('假设'!$B$3,H1140,H1141,H1142)</x:f>
        <x:v>0.14</x:v>
      </x:c>
      <x:c r="I1139" s="11" t="n">
        <x:f>CHOOSE('假设'!$B$3,I1140,I1141,I1142)</x:f>
        <x:v>6.8</x:v>
      </x:c>
    </x:row>
    <x:row r="1140" ht="23" customHeight="1">
      <x:c r="A1140" s="11" t="str">
        <x:v>688062.SH</x:v>
      </x:c>
      <x:c r="B1140" s="11" t="str">
        <x:v>半年</x:v>
      </x:c>
      <x:c r="C1140" s="11" t="str">
        <x:v>il11_cn</x:v>
      </x:c>
      <x:c r="D1140" s="11" t="str">
        <x:v>悲观</x:v>
      </x:c>
      <x:c r="E1140" s="16" t="n">
        <x:v>0.040000000000000036</x:v>
      </x:c>
      <x:c r="F1140" s="16" t="n">
        <x:v>0.2</x:v>
      </x:c>
      <x:c r="G1140" s="16" t="n">
        <x:v>1</x:v>
      </x:c>
      <x:c r="H1140" s="11" t="n">
        <x:f>H1092</x:f>
        <x:v>0.18</x:v>
      </x:c>
      <x:c r="I1140" s="11" t="n">
        <x:f>I1092</x:f>
        <x:v>6.8</x:v>
      </x:c>
    </x:row>
    <x:row r="1141" ht="23" customHeight="1">
      <x:c r="A1141" s="11" t="str">
        <x:v>688062.SH</x:v>
      </x:c>
      <x:c r="B1141" s="11" t="str">
        <x:v>半年</x:v>
      </x:c>
      <x:c r="C1141" s="11" t="str">
        <x:v>il11_cn</x:v>
      </x:c>
      <x:c r="D1141" s="11" t="str">
        <x:v>基准</x:v>
      </x:c>
      <x:c r="E1141" s="16" t="n">
        <x:v>0.13760000000000006</x:v>
      </x:c>
      <x:c r="F1141" s="16" t="n">
        <x:v>0.3</x:v>
      </x:c>
      <x:c r="G1141" s="16" t="n">
        <x:v>1</x:v>
      </x:c>
      <x:c r="H1141" s="11" t="n">
        <x:f>H1093</x:f>
        <x:v>0.14</x:v>
      </x:c>
      <x:c r="I1141" s="11" t="n">
        <x:f>I1093</x:f>
        <x:v>6.8</x:v>
      </x:c>
    </x:row>
    <x:row r="1142" ht="23" customHeight="1">
      <x:c r="A1142" s="11" t="str">
        <x:v>688062.SH</x:v>
      </x:c>
      <x:c r="B1142" s="11" t="str">
        <x:v>半年</x:v>
      </x:c>
      <x:c r="C1142" s="11" t="str">
        <x:v>il11_cn</x:v>
      </x:c>
      <x:c r="D1142" s="11" t="str">
        <x:v>乐观</x:v>
      </x:c>
      <x:c r="E1142" s="16" t="n">
        <x:v>0.3350000000000001</x:v>
      </x:c>
      <x:c r="F1142" s="16" t="n">
        <x:v>0.38</x:v>
      </x:c>
      <x:c r="G1142" s="16" t="n">
        <x:v>1</x:v>
      </x:c>
      <x:c r="H1142" s="11" t="n">
        <x:f>H1094</x:f>
        <x:v>0.11</x:v>
      </x:c>
      <x:c r="I1142" s="11" t="n">
        <x:f>I1094</x:f>
        <x:v>6.8</x:v>
      </x:c>
    </x:row>
    <x:row r="1143" ht="23" customHeight="1">
      <x:c r="A1143" s="11" t="str">
        <x:v>688062.SH</x:v>
      </x:c>
      <x:c r="B1143" s="11" t="str">
        <x:v>半年</x:v>
      </x:c>
      <x:c r="C1143" s="11" t="str">
        <x:v>tmprss_pv_global</x:v>
      </x:c>
      <x:c r="D1143" s="11" t="str">
        <x:v>活动输入</x:v>
      </x:c>
      <x:c r="E1143" s="11" t="n">
        <x:f>CHOOSE('假设'!$B$3,E1144,E1145,E1146)</x:f>
        <x:v>0.4316</x:v>
      </x:c>
      <x:c r="F1143" s="11" t="n">
        <x:f>CHOOSE('假设'!$B$3,F1144,F1145,F1146)</x:f>
        <x:v>0.068</x:v>
      </x:c>
      <x:c r="G1143" s="11" t="n">
        <x:f>CHOOSE('假设'!$B$3,G1144,G1145,G1146)</x:f>
        <x:v>1</x:v>
      </x:c>
      <x:c r="H1143" s="11" t="n">
        <x:f>CHOOSE('假设'!$B$3,H1144,H1145,H1146)</x:f>
        <x:v>0.14</x:v>
      </x:c>
      <x:c r="I1143" s="11" t="n">
        <x:f>CHOOSE('假设'!$B$3,I1144,I1145,I1146)</x:f>
        <x:v>6.8</x:v>
      </x:c>
    </x:row>
    <x:row r="1144" ht="23" customHeight="1">
      <x:c r="A1144" s="11" t="str">
        <x:v>688062.SH</x:v>
      </x:c>
      <x:c r="B1144" s="11" t="str">
        <x:v>半年</x:v>
      </x:c>
      <x:c r="C1144" s="11" t="str">
        <x:v>tmprss_pv_global</x:v>
      </x:c>
      <x:c r="D1144" s="11" t="str">
        <x:v>悲观</x:v>
      </x:c>
      <x:c r="E1144" s="16" t="n">
        <x:v>0.17999999999999994</x:v>
      </x:c>
      <x:c r="F1144" s="16" t="n">
        <x:v>0.0468</x:v>
      </x:c>
      <x:c r="G1144" s="16" t="n">
        <x:v>1</x:v>
      </x:c>
      <x:c r="H1144" s="11" t="n">
        <x:f>H1092</x:f>
        <x:v>0.18</x:v>
      </x:c>
      <x:c r="I1144" s="11" t="n">
        <x:f>I1092</x:f>
        <x:v>6.8</x:v>
      </x:c>
    </x:row>
    <x:row r="1145" ht="23" customHeight="1">
      <x:c r="A1145" s="11" t="str">
        <x:v>688062.SH</x:v>
      </x:c>
      <x:c r="B1145" s="11" t="str">
        <x:v>半年</x:v>
      </x:c>
      <x:c r="C1145" s="11" t="str">
        <x:v>tmprss_pv_global</x:v>
      </x:c>
      <x:c r="D1145" s="11" t="str">
        <x:v>基准</x:v>
      </x:c>
      <x:c r="E1145" s="16" t="n">
        <x:v>0.4316</x:v>
      </x:c>
      <x:c r="F1145" s="16" t="n">
        <x:v>0.068</x:v>
      </x:c>
      <x:c r="G1145" s="16" t="n">
        <x:v>1</x:v>
      </x:c>
      <x:c r="H1145" s="11" t="n">
        <x:f>H1093</x:f>
        <x:v>0.14</x:v>
      </x:c>
      <x:c r="I1145" s="11" t="n">
        <x:f>I1093</x:f>
        <x:v>6.8</x:v>
      </x:c>
    </x:row>
    <x:row r="1146" ht="23" customHeight="1">
      <x:c r="A1146" s="11" t="str">
        <x:v>688062.SH</x:v>
      </x:c>
      <x:c r="B1146" s="11" t="str">
        <x:v>半年</x:v>
      </x:c>
      <x:c r="C1146" s="11" t="str">
        <x:v>tmprss_pv_global</x:v>
      </x:c>
      <x:c r="D1146" s="11" t="str">
        <x:v>乐观</x:v>
      </x:c>
      <x:c r="E1146" s="16" t="n">
        <x:v>0.6675</x:v>
      </x:c>
      <x:c r="F1146" s="16" t="n">
        <x:v>0.08610000000000001</x:v>
      </x:c>
      <x:c r="G1146" s="16" t="n">
        <x:v>1</x:v>
      </x:c>
      <x:c r="H1146" s="11" t="n">
        <x:f>H1094</x:f>
        <x:v>0.11</x:v>
      </x:c>
      <x:c r="I1146" s="11" t="n">
        <x:f>I1094</x:f>
        <x:v>6.8</x:v>
      </x:c>
    </x:row>
    <x:row r="1147" ht="23" customHeight="1">
      <x:c r="A1147" s="11" t="str">
        <x:v>688062.SH</x:v>
      </x:c>
      <x:c r="B1147" s="11" t="str">
        <x:v>半年</x:v>
      </x:c>
      <x:c r="C1147" s="11" t="str">
        <x:v>tmprss_pv_cn</x:v>
      </x:c>
      <x:c r="D1147" s="11" t="str">
        <x:v>活动输入</x:v>
      </x:c>
      <x:c r="E1147" s="11" t="n">
        <x:f>CHOOSE('假设'!$B$3,E1148,E1149,E1150)</x:f>
        <x:v>0.363</x:v>
      </x:c>
      <x:c r="F1147" s="11" t="n">
        <x:f>CHOOSE('假设'!$B$3,F1148,F1149,F1150)</x:f>
        <x:v>0.3</x:v>
      </x:c>
      <x:c r="G1147" s="11" t="n">
        <x:f>CHOOSE('假设'!$B$3,G1148,G1149,G1150)</x:f>
        <x:v>1</x:v>
      </x:c>
      <x:c r="H1147" s="11" t="n">
        <x:f>CHOOSE('假设'!$B$3,H1148,H1149,H1150)</x:f>
        <x:v>0.14</x:v>
      </x:c>
      <x:c r="I1147" s="11" t="n">
        <x:f>CHOOSE('假设'!$B$3,I1148,I1149,I1150)</x:f>
        <x:v>6.8</x:v>
      </x:c>
    </x:row>
    <x:row r="1148" ht="23" customHeight="1">
      <x:c r="A1148" s="11" t="str">
        <x:v>688062.SH</x:v>
      </x:c>
      <x:c r="B1148" s="11" t="str">
        <x:v>半年</x:v>
      </x:c>
      <x:c r="C1148" s="11" t="str">
        <x:v>tmprss_pv_cn</x:v>
      </x:c>
      <x:c r="D1148" s="11" t="str">
        <x:v>悲观</x:v>
      </x:c>
      <x:c r="E1148" s="16" t="n">
        <x:v>0.15000000000000002</x:v>
      </x:c>
      <x:c r="F1148" s="16" t="n">
        <x:v>0.2</x:v>
      </x:c>
      <x:c r="G1148" s="16" t="n">
        <x:v>1</x:v>
      </x:c>
      <x:c r="H1148" s="11" t="n">
        <x:f>H1092</x:f>
        <x:v>0.18</x:v>
      </x:c>
      <x:c r="I1148" s="11" t="n">
        <x:f>I1092</x:f>
        <x:v>6.8</x:v>
      </x:c>
    </x:row>
    <x:row r="1149" ht="23" customHeight="1">
      <x:c r="A1149" s="11" t="str">
        <x:v>688062.SH</x:v>
      </x:c>
      <x:c r="B1149" s="11" t="str">
        <x:v>半年</x:v>
      </x:c>
      <x:c r="C1149" s="11" t="str">
        <x:v>tmprss_pv_cn</x:v>
      </x:c>
      <x:c r="D1149" s="11" t="str">
        <x:v>基准</x:v>
      </x:c>
      <x:c r="E1149" s="16" t="n">
        <x:v>0.363</x:v>
      </x:c>
      <x:c r="F1149" s="16" t="n">
        <x:v>0.3</x:v>
      </x:c>
      <x:c r="G1149" s="16" t="n">
        <x:v>1</x:v>
      </x:c>
      <x:c r="H1149" s="11" t="n">
        <x:f>H1093</x:f>
        <x:v>0.14</x:v>
      </x:c>
      <x:c r="I1149" s="11" t="n">
        <x:f>I1093</x:f>
        <x:v>6.8</x:v>
      </x:c>
    </x:row>
    <x:row r="1150" ht="23" customHeight="1">
      <x:c r="A1150" s="11" t="str">
        <x:v>688062.SH</x:v>
      </x:c>
      <x:c r="B1150" s="11" t="str">
        <x:v>半年</x:v>
      </x:c>
      <x:c r="C1150" s="11" t="str">
        <x:v>tmprss_pv_cn</x:v>
      </x:c>
      <x:c r="D1150" s="11" t="str">
        <x:v>乐观</x:v>
      </x:c>
      <x:c r="E1150" s="16" t="n">
        <x:v>0.62</x:v>
      </x:c>
      <x:c r="F1150" s="16" t="n">
        <x:v>0.38</x:v>
      </x:c>
      <x:c r="G1150" s="16" t="n">
        <x:v>1</x:v>
      </x:c>
      <x:c r="H1150" s="11" t="n">
        <x:f>H1094</x:f>
        <x:v>0.11</x:v>
      </x:c>
      <x:c r="I1150" s="11" t="n">
        <x:f>I1094</x:f>
        <x:v>6.8</x:v>
      </x:c>
    </x:row>
    <x:row r="1151" ht="23" customHeight="1">
      <x:c r="A1151" s="11" t="str">
        <x:v>688062.SH</x:v>
      </x:c>
      <x:c r="B1151" s="11" t="str">
        <x:v>半年</x:v>
      </x:c>
      <x:c r="C1151" s="11" t="str">
        <x:v>tmprss_scd</x:v>
      </x:c>
      <x:c r="D1151" s="11" t="str">
        <x:v>活动输入</x:v>
      </x:c>
      <x:c r="E1151" s="11" t="n">
        <x:f>CHOOSE('假设'!$B$3,E1152,E1153,E1154)</x:f>
        <x:v>0.16700000000000004</x:v>
      </x:c>
      <x:c r="F1151" s="11" t="n">
        <x:f>CHOOSE('假设'!$B$3,F1152,F1153,F1154)</x:f>
        <x:v>0.068</x:v>
      </x:c>
      <x:c r="G1151" s="11" t="n">
        <x:f>CHOOSE('假设'!$B$3,G1152,G1153,G1154)</x:f>
        <x:v>1</x:v>
      </x:c>
      <x:c r="H1151" s="11" t="n">
        <x:f>CHOOSE('假设'!$B$3,H1152,H1153,H1154)</x:f>
        <x:v>0.14</x:v>
      </x:c>
      <x:c r="I1151" s="11" t="n">
        <x:f>CHOOSE('假设'!$B$3,I1152,I1153,I1154)</x:f>
        <x:v>6.8</x:v>
      </x:c>
    </x:row>
    <x:row r="1152" ht="23" customHeight="1">
      <x:c r="A1152" s="11" t="str">
        <x:v>688062.SH</x:v>
      </x:c>
      <x:c r="B1152" s="11" t="str">
        <x:v>半年</x:v>
      </x:c>
      <x:c r="C1152" s="11" t="str">
        <x:v>tmprss_scd</x:v>
      </x:c>
      <x:c r="D1152" s="11" t="str">
        <x:v>悲观</x:v>
      </x:c>
      <x:c r="E1152" s="16" t="n">
        <x:v>0.050000000000000044</x:v>
      </x:c>
      <x:c r="F1152" s="16" t="n">
        <x:v>0.0468</x:v>
      </x:c>
      <x:c r="G1152" s="16" t="n">
        <x:v>1</x:v>
      </x:c>
      <x:c r="H1152" s="11" t="n">
        <x:f>H1092</x:f>
        <x:v>0.18</x:v>
      </x:c>
      <x:c r="I1152" s="11" t="n">
        <x:f>I1092</x:f>
        <x:v>6.8</x:v>
      </x:c>
    </x:row>
    <x:row r="1153" ht="23" customHeight="1">
      <x:c r="A1153" s="11" t="str">
        <x:v>688062.SH</x:v>
      </x:c>
      <x:c r="B1153" s="11" t="str">
        <x:v>半年</x:v>
      </x:c>
      <x:c r="C1153" s="11" t="str">
        <x:v>tmprss_scd</x:v>
      </x:c>
      <x:c r="D1153" s="11" t="str">
        <x:v>基准</x:v>
      </x:c>
      <x:c r="E1153" s="16" t="n">
        <x:v>0.16700000000000004</x:v>
      </x:c>
      <x:c r="F1153" s="16" t="n">
        <x:v>0.068</x:v>
      </x:c>
      <x:c r="G1153" s="16" t="n">
        <x:v>1</x:v>
      </x:c>
      <x:c r="H1153" s="11" t="n">
        <x:f>H1093</x:f>
        <x:v>0.14</x:v>
      </x:c>
      <x:c r="I1153" s="11" t="n">
        <x:f>I1093</x:f>
        <x:v>6.8</x:v>
      </x:c>
    </x:row>
    <x:row r="1154" ht="23" customHeight="1">
      <x:c r="A1154" s="11" t="str">
        <x:v>688062.SH</x:v>
      </x:c>
      <x:c r="B1154" s="11" t="str">
        <x:v>半年</x:v>
      </x:c>
      <x:c r="C1154" s="11" t="str">
        <x:v>tmprss_scd</x:v>
      </x:c>
      <x:c r="D1154" s="11" t="str">
        <x:v>乐观</x:v>
      </x:c>
      <x:c r="E1154" s="16" t="n">
        <x:v>0.3350000000000001</x:v>
      </x:c>
      <x:c r="F1154" s="16" t="n">
        <x:v>0.08610000000000001</x:v>
      </x:c>
      <x:c r="G1154" s="16" t="n">
        <x:v>1</x:v>
      </x:c>
      <x:c r="H1154" s="11" t="n">
        <x:f>H1094</x:f>
        <x:v>0.11</x:v>
      </x:c>
      <x:c r="I1154" s="11" t="n">
        <x:f>I1094</x:f>
        <x:v>6.8</x:v>
      </x:c>
    </x:row>
    <x:row r="1155" ht="23" customHeight="1">
      <x:c r="A1155" s="11" t="str">
        <x:v>688062.SH</x:v>
      </x:c>
      <x:c r="B1155" s="11" t="str">
        <x:v>一年</x:v>
      </x:c>
      <x:c r="C1155" s="11" t="str">
        <x:v>biosim</x:v>
      </x:c>
      <x:c r="D1155" s="11" t="str">
        <x:v>活动输入</x:v>
      </x:c>
      <x:c r="E1155" s="11" t="n">
        <x:f>CHOOSE('假设'!$B$3,E1156,E1157,E1158)</x:f>
        <x:v>0.9335</x:v>
      </x:c>
      <x:c r="F1155" s="11" t="n">
        <x:f>CHOOSE('假设'!$B$3,F1156,F1157,F1158)</x:f>
        <x:v>0.23</x:v>
      </x:c>
      <x:c r="G1155" s="11" t="n">
        <x:f>CHOOSE('假设'!$B$3,G1156,G1157,G1158)</x:f>
        <x:v>1</x:v>
      </x:c>
      <x:c r="H1155" s="11" t="n">
        <x:f>CHOOSE('假设'!$B$3,H1156,H1157,H1158)</x:f>
        <x:v>0.14</x:v>
      </x:c>
      <x:c r="I1155" s="11" t="n">
        <x:f>CHOOSE('假设'!$B$3,I1156,I1157,I1158)</x:f>
        <x:v>6.8</x:v>
      </x:c>
    </x:row>
    <x:row r="1156" ht="23" customHeight="1">
      <x:c r="A1156" s="11" t="str">
        <x:v>688062.SH</x:v>
      </x:c>
      <x:c r="B1156" s="11" t="str">
        <x:v>一年</x:v>
      </x:c>
      <x:c r="C1156" s="11" t="str">
        <x:v>biosim</x:v>
      </x:c>
      <x:c r="D1156" s="11" t="str">
        <x:v>悲观</x:v>
      </x:c>
      <x:c r="E1156" s="16" t="n">
        <x:v>0.85</x:v>
      </x:c>
      <x:c r="F1156" s="16" t="n">
        <x:v>0.12</x:v>
      </x:c>
      <x:c r="G1156" s="16" t="n">
        <x:v>1</x:v>
      </x:c>
      <x:c r="H1156" s="16" t="n">
        <x:v>0.18</x:v>
      </x:c>
      <x:c r="I1156" s="16" t="n">
        <x:v>6.8</x:v>
      </x:c>
    </x:row>
    <x:row r="1157" ht="23" customHeight="1">
      <x:c r="A1157" s="11" t="str">
        <x:v>688062.SH</x:v>
      </x:c>
      <x:c r="B1157" s="11" t="str">
        <x:v>一年</x:v>
      </x:c>
      <x:c r="C1157" s="11" t="str">
        <x:v>biosim</x:v>
      </x:c>
      <x:c r="D1157" s="11" t="str">
        <x:v>基准</x:v>
      </x:c>
      <x:c r="E1157" s="16" t="n">
        <x:v>0.9335</x:v>
      </x:c>
      <x:c r="F1157" s="16" t="n">
        <x:v>0.23</x:v>
      </x:c>
      <x:c r="G1157" s="16" t="n">
        <x:v>1</x:v>
      </x:c>
      <x:c r="H1157" s="16" t="n">
        <x:v>0.14</x:v>
      </x:c>
      <x:c r="I1157" s="16" t="n">
        <x:v>6.8</x:v>
      </x:c>
    </x:row>
    <x:row r="1158" ht="23" customHeight="1">
      <x:c r="A1158" s="11" t="str">
        <x:v>688062.SH</x:v>
      </x:c>
      <x:c r="B1158" s="11" t="str">
        <x:v>一年</x:v>
      </x:c>
      <x:c r="C1158" s="11" t="str">
        <x:v>biosim</x:v>
      </x:c>
      <x:c r="D1158" s="11" t="str">
        <x:v>乐观</x:v>
      </x:c>
      <x:c r="E1158" s="16" t="n">
        <x:v>0.9823999999999999</x:v>
      </x:c>
      <x:c r="F1158" s="16" t="n">
        <x:v>0.3</x:v>
      </x:c>
      <x:c r="G1158" s="16" t="n">
        <x:v>1</x:v>
      </x:c>
      <x:c r="H1158" s="16" t="n">
        <x:v>0.11</x:v>
      </x:c>
      <x:c r="I1158" s="16" t="n">
        <x:v>6.8</x:v>
      </x:c>
    </x:row>
    <x:row r="1159" ht="23" customHeight="1">
      <x:c r="A1159" s="11" t="str">
        <x:v>688062.SH</x:v>
      </x:c>
      <x:c r="B1159" s="11" t="str">
        <x:v>一年</x:v>
      </x:c>
      <x:c r="C1159" s="11" t="str">
        <x:v>gcsf</x:v>
      </x:c>
      <x:c r="D1159" s="11" t="str">
        <x:v>活动输入</x:v>
      </x:c>
      <x:c r="E1159" s="11" t="n">
        <x:f>CHOOSE('假设'!$B$3,E1160,E1161,E1162)</x:f>
        <x:v>1</x:v>
      </x:c>
      <x:c r="F1159" s="11" t="n">
        <x:f>CHOOSE('假设'!$B$3,F1160,F1161,F1162)</x:f>
        <x:v>0.08000000000000002</x:v>
      </x:c>
      <x:c r="G1159" s="11" t="n">
        <x:f>CHOOSE('假设'!$B$3,G1160,G1161,G1162)</x:f>
        <x:v>1</x:v>
      </x:c>
      <x:c r="H1159" s="11" t="n">
        <x:f>CHOOSE('假设'!$B$3,H1160,H1161,H1162)</x:f>
        <x:v>0.14</x:v>
      </x:c>
      <x:c r="I1159" s="11" t="n">
        <x:f>CHOOSE('假设'!$B$3,I1160,I1161,I1162)</x:f>
        <x:v>6.8</x:v>
      </x:c>
    </x:row>
    <x:row r="1160" ht="23" customHeight="1">
      <x:c r="A1160" s="11" t="str">
        <x:v>688062.SH</x:v>
      </x:c>
      <x:c r="B1160" s="11" t="str">
        <x:v>一年</x:v>
      </x:c>
      <x:c r="C1160" s="11" t="str">
        <x:v>gcsf</x:v>
      </x:c>
      <x:c r="D1160" s="11" t="str">
        <x:v>悲观</x:v>
      </x:c>
      <x:c r="E1160" s="16" t="n">
        <x:v>1</x:v>
      </x:c>
      <x:c r="F1160" s="16" t="n">
        <x:v>0.0468</x:v>
      </x:c>
      <x:c r="G1160" s="16" t="n">
        <x:v>1</x:v>
      </x:c>
      <x:c r="H1160" s="11" t="n">
        <x:f>H1156</x:f>
        <x:v>0.18</x:v>
      </x:c>
      <x:c r="I1160" s="11" t="n">
        <x:f>I1156</x:f>
        <x:v>6.8</x:v>
      </x:c>
    </x:row>
    <x:row r="1161" ht="23" customHeight="1">
      <x:c r="A1161" s="11" t="str">
        <x:v>688062.SH</x:v>
      </x:c>
      <x:c r="B1161" s="11" t="str">
        <x:v>一年</x:v>
      </x:c>
      <x:c r="C1161" s="11" t="str">
        <x:v>gcsf</x:v>
      </x:c>
      <x:c r="D1161" s="11" t="str">
        <x:v>基准</x:v>
      </x:c>
      <x:c r="E1161" s="16" t="n">
        <x:v>1</x:v>
      </x:c>
      <x:c r="F1161" s="16" t="n">
        <x:v>0.08000000000000002</x:v>
      </x:c>
      <x:c r="G1161" s="16" t="n">
        <x:v>1</x:v>
      </x:c>
      <x:c r="H1161" s="11" t="n">
        <x:f>H1157</x:f>
        <x:v>0.14</x:v>
      </x:c>
      <x:c r="I1161" s="11" t="n">
        <x:f>I1157</x:f>
        <x:v>6.8</x:v>
      </x:c>
    </x:row>
    <x:row r="1162" ht="23" customHeight="1">
      <x:c r="A1162" s="11" t="str">
        <x:v>688062.SH</x:v>
      </x:c>
      <x:c r="B1162" s="11" t="str">
        <x:v>一年</x:v>
      </x:c>
      <x:c r="C1162" s="11" t="str">
        <x:v>gcsf</x:v>
      </x:c>
      <x:c r="D1162" s="11" t="str">
        <x:v>乐观</x:v>
      </x:c>
      <x:c r="E1162" s="16" t="n">
        <x:v>1</x:v>
      </x:c>
      <x:c r="F1162" s="16" t="n">
        <x:v>0.10660000000000001</x:v>
      </x:c>
      <x:c r="G1162" s="16" t="n">
        <x:v>1</x:v>
      </x:c>
      <x:c r="H1162" s="11" t="n">
        <x:f>H1158</x:f>
        <x:v>0.11</x:v>
      </x:c>
      <x:c r="I1162" s="11" t="n">
        <x:f>I1158</x:f>
        <x:v>6.8</x:v>
      </x:c>
    </x:row>
    <x:row r="1163" ht="23" customHeight="1">
      <x:c r="A1163" s="11" t="str">
        <x:v>688062.SH</x:v>
      </x:c>
      <x:c r="B1163" s="11" t="str">
        <x:v>一年</x:v>
      </x:c>
      <x:c r="C1163" s="11" t="str">
        <x:v>bfv_uc_later</x:v>
      </x:c>
      <x:c r="D1163" s="11" t="str">
        <x:v>活动输入</x:v>
      </x:c>
      <x:c r="E1163" s="11" t="n">
        <x:f>CHOOSE('假设'!$B$3,E1164,E1165,E1166)</x:f>
        <x:v>0.639</x:v>
      </x:c>
      <x:c r="F1163" s="11" t="n">
        <x:f>CHOOSE('假设'!$B$3,F1164,F1165,F1166)</x:f>
        <x:v>0.3</x:v>
      </x:c>
      <x:c r="G1163" s="11" t="n">
        <x:f>CHOOSE('假设'!$B$3,G1164,G1165,G1166)</x:f>
        <x:v>1</x:v>
      </x:c>
      <x:c r="H1163" s="11" t="n">
        <x:f>CHOOSE('假设'!$B$3,H1164,H1165,H1166)</x:f>
        <x:v>0.14</x:v>
      </x:c>
      <x:c r="I1163" s="11" t="n">
        <x:f>CHOOSE('假设'!$B$3,I1164,I1165,I1166)</x:f>
        <x:v>6.8</x:v>
      </x:c>
    </x:row>
    <x:row r="1164" ht="23" customHeight="1">
      <x:c r="A1164" s="11" t="str">
        <x:v>688062.SH</x:v>
      </x:c>
      <x:c r="B1164" s="11" t="str">
        <x:v>一年</x:v>
      </x:c>
      <x:c r="C1164" s="11" t="str">
        <x:v>bfv_uc_later</x:v>
      </x:c>
      <x:c r="D1164" s="11" t="str">
        <x:v>悲观</x:v>
      </x:c>
      <x:c r="E1164" s="16" t="n">
        <x:v>0.35</x:v>
      </x:c>
      <x:c r="F1164" s="16" t="n">
        <x:v>0.2</x:v>
      </x:c>
      <x:c r="G1164" s="16" t="n">
        <x:v>1</x:v>
      </x:c>
      <x:c r="H1164" s="11" t="n">
        <x:f>H1156</x:f>
        <x:v>0.18</x:v>
      </x:c>
      <x:c r="I1164" s="11" t="n">
        <x:f>I1156</x:f>
        <x:v>6.8</x:v>
      </x:c>
    </x:row>
    <x:row r="1165" ht="23" customHeight="1">
      <x:c r="A1165" s="11" t="str">
        <x:v>688062.SH</x:v>
      </x:c>
      <x:c r="B1165" s="11" t="str">
        <x:v>一年</x:v>
      </x:c>
      <x:c r="C1165" s="11" t="str">
        <x:v>bfv_uc_later</x:v>
      </x:c>
      <x:c r="D1165" s="11" t="str">
        <x:v>基准</x:v>
      </x:c>
      <x:c r="E1165" s="16" t="n">
        <x:v>0.639</x:v>
      </x:c>
      <x:c r="F1165" s="16" t="n">
        <x:v>0.3</x:v>
      </x:c>
      <x:c r="G1165" s="16" t="n">
        <x:v>1</x:v>
      </x:c>
      <x:c r="H1165" s="11" t="n">
        <x:f>H1157</x:f>
        <x:v>0.14</x:v>
      </x:c>
      <x:c r="I1165" s="11" t="n">
        <x:f>I1157</x:f>
        <x:v>6.8</x:v>
      </x:c>
    </x:row>
    <x:row r="1166" ht="23" customHeight="1">
      <x:c r="A1166" s="11" t="str">
        <x:v>688062.SH</x:v>
      </x:c>
      <x:c r="B1166" s="11" t="str">
        <x:v>一年</x:v>
      </x:c>
      <x:c r="C1166" s="11" t="str">
        <x:v>bfv_uc_later</x:v>
      </x:c>
      <x:c r="D1166" s="11" t="str">
        <x:v>乐观</x:v>
      </x:c>
      <x:c r="E1166" s="16" t="n">
        <x:v>0.8415999999999999</x:v>
      </x:c>
      <x:c r="F1166" s="16" t="n">
        <x:v>0.38</x:v>
      </x:c>
      <x:c r="G1166" s="16" t="n">
        <x:v>1</x:v>
      </x:c>
      <x:c r="H1166" s="11" t="n">
        <x:f>H1158</x:f>
        <x:v>0.11</x:v>
      </x:c>
      <x:c r="I1166" s="11" t="n">
        <x:f>I1158</x:f>
        <x:v>6.8</x:v>
      </x:c>
    </x:row>
    <x:row r="1167" ht="23" customHeight="1">
      <x:c r="A1167" s="11" t="str">
        <x:v>688062.SH</x:v>
      </x:c>
      <x:c r="B1167" s="11" t="str">
        <x:v>一年</x:v>
      </x:c>
      <x:c r="C1167" s="11" t="str">
        <x:v>bfv_uc_first</x:v>
      </x:c>
      <x:c r="D1167" s="11" t="str">
        <x:v>活动输入</x:v>
      </x:c>
      <x:c r="E1167" s="11" t="n">
        <x:f>CHOOSE('假设'!$B$3,E1168,E1169,E1170)</x:f>
        <x:v>0.5725</x:v>
      </x:c>
      <x:c r="F1167" s="11" t="n">
        <x:f>CHOOSE('假设'!$B$3,F1168,F1169,F1170)</x:f>
        <x:v>0.3</x:v>
      </x:c>
      <x:c r="G1167" s="11" t="n">
        <x:f>CHOOSE('假设'!$B$3,G1168,G1169,G1170)</x:f>
        <x:v>1</x:v>
      </x:c>
      <x:c r="H1167" s="11" t="n">
        <x:f>CHOOSE('假设'!$B$3,H1168,H1169,H1170)</x:f>
        <x:v>0.14</x:v>
      </x:c>
      <x:c r="I1167" s="11" t="n">
        <x:f>CHOOSE('假设'!$B$3,I1168,I1169,I1170)</x:f>
        <x:v>6.8</x:v>
      </x:c>
    </x:row>
    <x:row r="1168" ht="23" customHeight="1">
      <x:c r="A1168" s="11" t="str">
        <x:v>688062.SH</x:v>
      </x:c>
      <x:c r="B1168" s="11" t="str">
        <x:v>一年</x:v>
      </x:c>
      <x:c r="C1168" s="11" t="str">
        <x:v>bfv_uc_first</x:v>
      </x:c>
      <x:c r="D1168" s="11" t="str">
        <x:v>悲观</x:v>
      </x:c>
      <x:c r="E1168" s="16" t="n">
        <x:v>0.25</x:v>
      </x:c>
      <x:c r="F1168" s="16" t="n">
        <x:v>0.2</x:v>
      </x:c>
      <x:c r="G1168" s="16" t="n">
        <x:v>1</x:v>
      </x:c>
      <x:c r="H1168" s="11" t="n">
        <x:f>H1156</x:f>
        <x:v>0.18</x:v>
      </x:c>
      <x:c r="I1168" s="11" t="n">
        <x:f>I1156</x:f>
        <x:v>6.8</x:v>
      </x:c>
    </x:row>
    <x:row r="1169" ht="23" customHeight="1">
      <x:c r="A1169" s="11" t="str">
        <x:v>688062.SH</x:v>
      </x:c>
      <x:c r="B1169" s="11" t="str">
        <x:v>一年</x:v>
      </x:c>
      <x:c r="C1169" s="11" t="str">
        <x:v>bfv_uc_first</x:v>
      </x:c>
      <x:c r="D1169" s="11" t="str">
        <x:v>基准</x:v>
      </x:c>
      <x:c r="E1169" s="16" t="n">
        <x:v>0.5725</x:v>
      </x:c>
      <x:c r="F1169" s="16" t="n">
        <x:v>0.3</x:v>
      </x:c>
      <x:c r="G1169" s="16" t="n">
        <x:v>1</x:v>
      </x:c>
      <x:c r="H1169" s="11" t="n">
        <x:f>H1157</x:f>
        <x:v>0.14</x:v>
      </x:c>
      <x:c r="I1169" s="11" t="n">
        <x:f>I1157</x:f>
        <x:v>6.8</x:v>
      </x:c>
    </x:row>
    <x:row r="1170" ht="23" customHeight="1">
      <x:c r="A1170" s="11" t="str">
        <x:v>688062.SH</x:v>
      </x:c>
      <x:c r="B1170" s="11" t="str">
        <x:v>一年</x:v>
      </x:c>
      <x:c r="C1170" s="11" t="str">
        <x:v>bfv_uc_first</x:v>
      </x:c>
      <x:c r="D1170" s="11" t="str">
        <x:v>乐观</x:v>
      </x:c>
      <x:c r="E1170" s="16" t="n">
        <x:v>0.8064</x:v>
      </x:c>
      <x:c r="F1170" s="16" t="n">
        <x:v>0.38</x:v>
      </x:c>
      <x:c r="G1170" s="16" t="n">
        <x:v>1</x:v>
      </x:c>
      <x:c r="H1170" s="11" t="n">
        <x:f>H1158</x:f>
        <x:v>0.11</x:v>
      </x:c>
      <x:c r="I1170" s="11" t="n">
        <x:f>I1158</x:f>
        <x:v>6.8</x:v>
      </x:c>
    </x:row>
    <x:row r="1171" ht="23" customHeight="1">
      <x:c r="A1171" s="11" t="str">
        <x:v>688062.SH</x:v>
      </x:c>
      <x:c r="B1171" s="11" t="str">
        <x:v>一年</x:v>
      </x:c>
      <x:c r="C1171" s="11" t="str">
        <x:v>bfv_cervix</x:v>
      </x:c>
      <x:c r="D1171" s="11" t="str">
        <x:v>活动输入</x:v>
      </x:c>
      <x:c r="E1171" s="11" t="n">
        <x:f>CHOOSE('假设'!$B$3,E1172,E1173,E1174)</x:f>
        <x:v>0.506</x:v>
      </x:c>
      <x:c r="F1171" s="11" t="n">
        <x:f>CHOOSE('假设'!$B$3,F1172,F1173,F1174)</x:f>
        <x:v>0.3</x:v>
      </x:c>
      <x:c r="G1171" s="11" t="n">
        <x:f>CHOOSE('假设'!$B$3,G1172,G1173,G1174)</x:f>
        <x:v>1</x:v>
      </x:c>
      <x:c r="H1171" s="11" t="n">
        <x:f>CHOOSE('假设'!$B$3,H1172,H1173,H1174)</x:f>
        <x:v>0.14</x:v>
      </x:c>
      <x:c r="I1171" s="11" t="n">
        <x:f>CHOOSE('假设'!$B$3,I1172,I1173,I1174)</x:f>
        <x:v>6.8</x:v>
      </x:c>
    </x:row>
    <x:row r="1172" ht="23" customHeight="1">
      <x:c r="A1172" s="11" t="str">
        <x:v>688062.SH</x:v>
      </x:c>
      <x:c r="B1172" s="11" t="str">
        <x:v>一年</x:v>
      </x:c>
      <x:c r="C1172" s="11" t="str">
        <x:v>bfv_cervix</x:v>
      </x:c>
      <x:c r="D1172" s="11" t="str">
        <x:v>悲观</x:v>
      </x:c>
      <x:c r="E1172" s="16" t="n">
        <x:v>0.21999999999999997</x:v>
      </x:c>
      <x:c r="F1172" s="16" t="n">
        <x:v>0.2</x:v>
      </x:c>
      <x:c r="G1172" s="16" t="n">
        <x:v>1</x:v>
      </x:c>
      <x:c r="H1172" s="11" t="n">
        <x:f>H1156</x:f>
        <x:v>0.18</x:v>
      </x:c>
      <x:c r="I1172" s="11" t="n">
        <x:f>I1156</x:f>
        <x:v>6.8</x:v>
      </x:c>
    </x:row>
    <x:row r="1173" ht="23" customHeight="1">
      <x:c r="A1173" s="11" t="str">
        <x:v>688062.SH</x:v>
      </x:c>
      <x:c r="B1173" s="11" t="str">
        <x:v>一年</x:v>
      </x:c>
      <x:c r="C1173" s="11" t="str">
        <x:v>bfv_cervix</x:v>
      </x:c>
      <x:c r="D1173" s="11" t="str">
        <x:v>基准</x:v>
      </x:c>
      <x:c r="E1173" s="16" t="n">
        <x:v>0.506</x:v>
      </x:c>
      <x:c r="F1173" s="16" t="n">
        <x:v>0.3</x:v>
      </x:c>
      <x:c r="G1173" s="16" t="n">
        <x:v>1</x:v>
      </x:c>
      <x:c r="H1173" s="11" t="n">
        <x:f>H1157</x:f>
        <x:v>0.14</x:v>
      </x:c>
      <x:c r="I1173" s="11" t="n">
        <x:f>I1157</x:f>
        <x:v>6.8</x:v>
      </x:c>
    </x:row>
    <x:row r="1174" ht="23" customHeight="1">
      <x:c r="A1174" s="11" t="str">
        <x:v>688062.SH</x:v>
      </x:c>
      <x:c r="B1174" s="11" t="str">
        <x:v>一年</x:v>
      </x:c>
      <x:c r="C1174" s="11" t="str">
        <x:v>bfv_cervix</x:v>
      </x:c>
      <x:c r="D1174" s="11" t="str">
        <x:v>乐观</x:v>
      </x:c>
      <x:c r="E1174" s="16" t="n">
        <x:v>0.7624</x:v>
      </x:c>
      <x:c r="F1174" s="16" t="n">
        <x:v>0.38</x:v>
      </x:c>
      <x:c r="G1174" s="16" t="n">
        <x:v>1</x:v>
      </x:c>
      <x:c r="H1174" s="11" t="n">
        <x:f>H1158</x:f>
        <x:v>0.11</x:v>
      </x:c>
      <x:c r="I1174" s="11" t="n">
        <x:f>I1158</x:f>
        <x:v>6.8</x:v>
      </x:c>
    </x:row>
    <x:row r="1175" ht="23" customHeight="1">
      <x:c r="A1175" s="11" t="str">
        <x:v>688062.SH</x:v>
      </x:c>
      <x:c r="B1175" s="11" t="str">
        <x:v>一年</x:v>
      </x:c>
      <x:c r="C1175" s="11" t="str">
        <x:v>bfv_tnbc</x:v>
      </x:c>
      <x:c r="D1175" s="11" t="str">
        <x:v>活动输入</x:v>
      </x:c>
      <x:c r="E1175" s="11" t="n">
        <x:f>CHOOSE('假设'!$B$3,E1176,E1177,E1178)</x:f>
        <x:v>0.3350000000000001</x:v>
      </x:c>
      <x:c r="F1175" s="11" t="n">
        <x:f>CHOOSE('假设'!$B$3,F1176,F1177,F1178)</x:f>
        <x:v>0.3</x:v>
      </x:c>
      <x:c r="G1175" s="11" t="n">
        <x:f>CHOOSE('假设'!$B$3,G1176,G1177,G1178)</x:f>
        <x:v>1</x:v>
      </x:c>
      <x:c r="H1175" s="11" t="n">
        <x:f>CHOOSE('假设'!$B$3,H1176,H1177,H1178)</x:f>
        <x:v>0.14</x:v>
      </x:c>
      <x:c r="I1175" s="11" t="n">
        <x:f>CHOOSE('假设'!$B$3,I1176,I1177,I1178)</x:f>
        <x:v>6.8</x:v>
      </x:c>
    </x:row>
    <x:row r="1176" ht="23" customHeight="1">
      <x:c r="A1176" s="11" t="str">
        <x:v>688062.SH</x:v>
      </x:c>
      <x:c r="B1176" s="11" t="str">
        <x:v>一年</x:v>
      </x:c>
      <x:c r="C1176" s="11" t="str">
        <x:v>bfv_tnbc</x:v>
      </x:c>
      <x:c r="D1176" s="11" t="str">
        <x:v>悲观</x:v>
      </x:c>
      <x:c r="E1176" s="16" t="n">
        <x:v>0.12</x:v>
      </x:c>
      <x:c r="F1176" s="16" t="n">
        <x:v>0.2</x:v>
      </x:c>
      <x:c r="G1176" s="16" t="n">
        <x:v>1</x:v>
      </x:c>
      <x:c r="H1176" s="11" t="n">
        <x:f>H1156</x:f>
        <x:v>0.18</x:v>
      </x:c>
      <x:c r="I1176" s="11" t="n">
        <x:f>I1156</x:f>
        <x:v>6.8</x:v>
      </x:c>
    </x:row>
    <x:row r="1177" ht="23" customHeight="1">
      <x:c r="A1177" s="11" t="str">
        <x:v>688062.SH</x:v>
      </x:c>
      <x:c r="B1177" s="11" t="str">
        <x:v>一年</x:v>
      </x:c>
      <x:c r="C1177" s="11" t="str">
        <x:v>bfv_tnbc</x:v>
      </x:c>
      <x:c r="D1177" s="11" t="str">
        <x:v>基准</x:v>
      </x:c>
      <x:c r="E1177" s="16" t="n">
        <x:v>0.3350000000000001</x:v>
      </x:c>
      <x:c r="F1177" s="16" t="n">
        <x:v>0.3</x:v>
      </x:c>
      <x:c r="G1177" s="16" t="n">
        <x:v>1</x:v>
      </x:c>
      <x:c r="H1177" s="11" t="n">
        <x:f>H1157</x:f>
        <x:v>0.14</x:v>
      </x:c>
      <x:c r="I1177" s="11" t="n">
        <x:f>I1157</x:f>
        <x:v>6.8</x:v>
      </x:c>
    </x:row>
    <x:row r="1178" ht="23" customHeight="1">
      <x:c r="A1178" s="11" t="str">
        <x:v>688062.SH</x:v>
      </x:c>
      <x:c r="B1178" s="11" t="str">
        <x:v>一年</x:v>
      </x:c>
      <x:c r="C1178" s="11" t="str">
        <x:v>bfv_tnbc</x:v>
      </x:c>
      <x:c r="D1178" s="11" t="str">
        <x:v>乐观</x:v>
      </x:c>
      <x:c r="E1178" s="16" t="n">
        <x:v>0.6040000000000001</x:v>
      </x:c>
      <x:c r="F1178" s="16" t="n">
        <x:v>0.38</x:v>
      </x:c>
      <x:c r="G1178" s="16" t="n">
        <x:v>1</x:v>
      </x:c>
      <x:c r="H1178" s="11" t="n">
        <x:f>H1158</x:f>
        <x:v>0.11</x:v>
      </x:c>
      <x:c r="I1178" s="11" t="n">
        <x:f>I1158</x:f>
        <x:v>6.8</x:v>
      </x:c>
    </x:row>
    <x:row r="1179" ht="23" customHeight="1">
      <x:c r="A1179" s="11" t="str">
        <x:v>688062.SH</x:v>
      </x:c>
      <x:c r="B1179" s="11" t="str">
        <x:v>一年</x:v>
      </x:c>
      <x:c r="C1179" s="11" t="str">
        <x:v>bfv_escc</x:v>
      </x:c>
      <x:c r="D1179" s="11" t="str">
        <x:v>活动输入</x:v>
      </x:c>
      <x:c r="E1179" s="11" t="n">
        <x:f>CHOOSE('假设'!$B$3,E1180,E1181,E1182)</x:f>
        <x:v>0.20200000000000007</x:v>
      </x:c>
      <x:c r="F1179" s="11" t="n">
        <x:f>CHOOSE('假设'!$B$3,F1180,F1181,F1182)</x:f>
        <x:v>0.3</x:v>
      </x:c>
      <x:c r="G1179" s="11" t="n">
        <x:f>CHOOSE('假设'!$B$3,G1180,G1181,G1182)</x:f>
        <x:v>1</x:v>
      </x:c>
      <x:c r="H1179" s="11" t="n">
        <x:f>CHOOSE('假设'!$B$3,H1180,H1181,H1182)</x:f>
        <x:v>0.14</x:v>
      </x:c>
      <x:c r="I1179" s="11" t="n">
        <x:f>CHOOSE('假设'!$B$3,I1180,I1181,I1182)</x:f>
        <x:v>6.8</x:v>
      </x:c>
    </x:row>
    <x:row r="1180" ht="23" customHeight="1">
      <x:c r="A1180" s="11" t="str">
        <x:v>688062.SH</x:v>
      </x:c>
      <x:c r="B1180" s="11" t="str">
        <x:v>一年</x:v>
      </x:c>
      <x:c r="C1180" s="11" t="str">
        <x:v>bfv_escc</x:v>
      </x:c>
      <x:c r="D1180" s="11" t="str">
        <x:v>悲观</x:v>
      </x:c>
      <x:c r="E1180" s="16" t="n">
        <x:v>0.050000000000000044</x:v>
      </x:c>
      <x:c r="F1180" s="16" t="n">
        <x:v>0.2</x:v>
      </x:c>
      <x:c r="G1180" s="16" t="n">
        <x:v>1</x:v>
      </x:c>
      <x:c r="H1180" s="11" t="n">
        <x:f>H1156</x:f>
        <x:v>0.18</x:v>
      </x:c>
      <x:c r="I1180" s="11" t="n">
        <x:f>I1156</x:f>
        <x:v>6.8</x:v>
      </x:c>
    </x:row>
    <x:row r="1181" ht="23" customHeight="1">
      <x:c r="A1181" s="11" t="str">
        <x:v>688062.SH</x:v>
      </x:c>
      <x:c r="B1181" s="11" t="str">
        <x:v>一年</x:v>
      </x:c>
      <x:c r="C1181" s="11" t="str">
        <x:v>bfv_escc</x:v>
      </x:c>
      <x:c r="D1181" s="11" t="str">
        <x:v>基准</x:v>
      </x:c>
      <x:c r="E1181" s="16" t="n">
        <x:v>0.20200000000000007</x:v>
      </x:c>
      <x:c r="F1181" s="16" t="n">
        <x:v>0.3</x:v>
      </x:c>
      <x:c r="G1181" s="16" t="n">
        <x:v>1</x:v>
      </x:c>
      <x:c r="H1181" s="11" t="n">
        <x:f>H1157</x:f>
        <x:v>0.14</x:v>
      </x:c>
      <x:c r="I1181" s="11" t="n">
        <x:f>I1157</x:f>
        <x:v>6.8</x:v>
      </x:c>
    </x:row>
    <x:row r="1182" ht="23" customHeight="1">
      <x:c r="A1182" s="11" t="str">
        <x:v>688062.SH</x:v>
      </x:c>
      <x:c r="B1182" s="11" t="str">
        <x:v>一年</x:v>
      </x:c>
      <x:c r="C1182" s="11" t="str">
        <x:v>bfv_escc</x:v>
      </x:c>
      <x:c r="D1182" s="11" t="str">
        <x:v>乐观</x:v>
      </x:c>
      <x:c r="E1182" s="16" t="n">
        <x:v>0.4192</x:v>
      </x:c>
      <x:c r="F1182" s="16" t="n">
        <x:v>0.38</x:v>
      </x:c>
      <x:c r="G1182" s="16" t="n">
        <x:v>1</x:v>
      </x:c>
      <x:c r="H1182" s="11" t="n">
        <x:f>H1158</x:f>
        <x:v>0.11</x:v>
      </x:c>
      <x:c r="I1182" s="11" t="n">
        <x:f>I1158</x:f>
        <x:v>6.8</x:v>
      </x:c>
    </x:row>
    <x:row r="1183" ht="23" customHeight="1">
      <x:c r="A1183" s="11" t="str">
        <x:v>688062.SH</x:v>
      </x:c>
      <x:c r="B1183" s="11" t="str">
        <x:v>一年</x:v>
      </x:c>
      <x:c r="C1183" s="11" t="str">
        <x:v>bfv_global</x:v>
      </x:c>
      <x:c r="D1183" s="11" t="str">
        <x:v>活动输入</x:v>
      </x:c>
      <x:c r="E1183" s="11" t="n">
        <x:f>CHOOSE('假设'!$B$3,E1184,E1185,E1186)</x:f>
        <x:v>0.24</x:v>
      </x:c>
      <x:c r="F1183" s="11" t="n">
        <x:f>CHOOSE('假设'!$B$3,F1184,F1185,F1186)</x:f>
        <x:v>0.23</x:v>
      </x:c>
      <x:c r="G1183" s="11" t="n">
        <x:f>CHOOSE('假设'!$B$3,G1184,G1185,G1186)</x:f>
        <x:v>1</x:v>
      </x:c>
      <x:c r="H1183" s="11" t="n">
        <x:f>CHOOSE('假设'!$B$3,H1184,H1185,H1186)</x:f>
        <x:v>0.14</x:v>
      </x:c>
      <x:c r="I1183" s="11" t="n">
        <x:f>CHOOSE('假设'!$B$3,I1184,I1185,I1186)</x:f>
        <x:v>6.8</x:v>
      </x:c>
    </x:row>
    <x:row r="1184" ht="23" customHeight="1">
      <x:c r="A1184" s="11" t="str">
        <x:v>688062.SH</x:v>
      </x:c>
      <x:c r="B1184" s="11" t="str">
        <x:v>一年</x:v>
      </x:c>
      <x:c r="C1184" s="11" t="str">
        <x:v>bfv_global</x:v>
      </x:c>
      <x:c r="D1184" s="11" t="str">
        <x:v>悲观</x:v>
      </x:c>
      <x:c r="E1184" s="16" t="n">
        <x:v>0.07999999999999996</x:v>
      </x:c>
      <x:c r="F1184" s="16" t="n">
        <x:v>0.15</x:v>
      </x:c>
      <x:c r="G1184" s="16" t="n">
        <x:v>1</x:v>
      </x:c>
      <x:c r="H1184" s="11" t="n">
        <x:f>H1156</x:f>
        <x:v>0.18</x:v>
      </x:c>
      <x:c r="I1184" s="11" t="n">
        <x:f>I1156</x:f>
        <x:v>6.8</x:v>
      </x:c>
    </x:row>
    <x:row r="1185" ht="23" customHeight="1">
      <x:c r="A1185" s="11" t="str">
        <x:v>688062.SH</x:v>
      </x:c>
      <x:c r="B1185" s="11" t="str">
        <x:v>一年</x:v>
      </x:c>
      <x:c r="C1185" s="11" t="str">
        <x:v>bfv_global</x:v>
      </x:c>
      <x:c r="D1185" s="11" t="str">
        <x:v>基准</x:v>
      </x:c>
      <x:c r="E1185" s="16" t="n">
        <x:v>0.24</x:v>
      </x:c>
      <x:c r="F1185" s="16" t="n">
        <x:v>0.23</x:v>
      </x:c>
      <x:c r="G1185" s="16" t="n">
        <x:v>1</x:v>
      </x:c>
      <x:c r="H1185" s="11" t="n">
        <x:f>H1157</x:f>
        <x:v>0.14</x:v>
      </x:c>
      <x:c r="I1185" s="11" t="n">
        <x:f>I1157</x:f>
        <x:v>6.8</x:v>
      </x:c>
    </x:row>
    <x:row r="1186" ht="23" customHeight="1">
      <x:c r="A1186" s="11" t="str">
        <x:v>688062.SH</x:v>
      </x:c>
      <x:c r="B1186" s="11" t="str">
        <x:v>一年</x:v>
      </x:c>
      <x:c r="C1186" s="11" t="str">
        <x:v>bfv_global</x:v>
      </x:c>
      <x:c r="D1186" s="11" t="str">
        <x:v>乐观</x:v>
      </x:c>
      <x:c r="E1186" s="16" t="n">
        <x:v>0.4544</x:v>
      </x:c>
      <x:c r="F1186" s="16" t="n">
        <x:v>0.3</x:v>
      </x:c>
      <x:c r="G1186" s="16" t="n">
        <x:v>1</x:v>
      </x:c>
      <x:c r="H1186" s="11" t="n">
        <x:f>H1158</x:f>
        <x:v>0.11</x:v>
      </x:c>
      <x:c r="I1186" s="11" t="n">
        <x:f>I1158</x:f>
        <x:v>6.8</x:v>
      </x:c>
    </x:row>
    <x:row r="1187" ht="23" customHeight="1">
      <x:c r="A1187" s="11" t="str">
        <x:v>688062.SH</x:v>
      </x:c>
      <x:c r="B1187" s="11" t="str">
        <x:v>一年</x:v>
      </x:c>
      <x:c r="C1187" s="11" t="str">
        <x:v>b7h3</x:v>
      </x:c>
      <x:c r="D1187" s="11" t="str">
        <x:v>活动输入</x:v>
      </x:c>
      <x:c r="E1187" s="11" t="n">
        <x:f>CHOOSE('假设'!$B$3,E1188,E1189,E1190)</x:f>
        <x:v>0.259</x:v>
      </x:c>
      <x:c r="F1187" s="11" t="n">
        <x:f>CHOOSE('假设'!$B$3,F1188,F1189,F1190)</x:f>
        <x:v>0.3</x:v>
      </x:c>
      <x:c r="G1187" s="11" t="n">
        <x:f>CHOOSE('假设'!$B$3,G1188,G1189,G1190)</x:f>
        <x:v>1</x:v>
      </x:c>
      <x:c r="H1187" s="11" t="n">
        <x:f>CHOOSE('假设'!$B$3,H1188,H1189,H1190)</x:f>
        <x:v>0.14</x:v>
      </x:c>
      <x:c r="I1187" s="11" t="n">
        <x:f>CHOOSE('假设'!$B$3,I1188,I1189,I1190)</x:f>
        <x:v>6.8</x:v>
      </x:c>
    </x:row>
    <x:row r="1188" ht="23" customHeight="1">
      <x:c r="A1188" s="11" t="str">
        <x:v>688062.SH</x:v>
      </x:c>
      <x:c r="B1188" s="11" t="str">
        <x:v>一年</x:v>
      </x:c>
      <x:c r="C1188" s="11" t="str">
        <x:v>b7h3</x:v>
      </x:c>
      <x:c r="D1188" s="11" t="str">
        <x:v>悲观</x:v>
      </x:c>
      <x:c r="E1188" s="16" t="n">
        <x:v>0.07999999999999996</x:v>
      </x:c>
      <x:c r="F1188" s="16" t="n">
        <x:v>0.2</x:v>
      </x:c>
      <x:c r="G1188" s="16" t="n">
        <x:v>1</x:v>
      </x:c>
      <x:c r="H1188" s="11" t="n">
        <x:f>H1156</x:f>
        <x:v>0.18</x:v>
      </x:c>
      <x:c r="I1188" s="11" t="n">
        <x:f>I1156</x:f>
        <x:v>6.8</x:v>
      </x:c>
    </x:row>
    <x:row r="1189" ht="23" customHeight="1">
      <x:c r="A1189" s="11" t="str">
        <x:v>688062.SH</x:v>
      </x:c>
      <x:c r="B1189" s="11" t="str">
        <x:v>一年</x:v>
      </x:c>
      <x:c r="C1189" s="11" t="str">
        <x:v>b7h3</x:v>
      </x:c>
      <x:c r="D1189" s="11" t="str">
        <x:v>基准</x:v>
      </x:c>
      <x:c r="E1189" s="16" t="n">
        <x:v>0.259</x:v>
      </x:c>
      <x:c r="F1189" s="16" t="n">
        <x:v>0.3</x:v>
      </x:c>
      <x:c r="G1189" s="16" t="n">
        <x:v>1</x:v>
      </x:c>
      <x:c r="H1189" s="11" t="n">
        <x:f>H1157</x:f>
        <x:v>0.14</x:v>
      </x:c>
      <x:c r="I1189" s="11" t="n">
        <x:f>I1157</x:f>
        <x:v>6.8</x:v>
      </x:c>
    </x:row>
    <x:row r="1190" ht="23" customHeight="1">
      <x:c r="A1190" s="11" t="str">
        <x:v>688062.SH</x:v>
      </x:c>
      <x:c r="B1190" s="11" t="str">
        <x:v>一年</x:v>
      </x:c>
      <x:c r="C1190" s="11" t="str">
        <x:v>b7h3</x:v>
      </x:c>
      <x:c r="D1190" s="11" t="str">
        <x:v>乐观</x:v>
      </x:c>
      <x:c r="E1190" s="16" t="n">
        <x:v>0.4895999999999999</x:v>
      </x:c>
      <x:c r="F1190" s="16" t="n">
        <x:v>0.38</x:v>
      </x:c>
      <x:c r="G1190" s="16" t="n">
        <x:v>1</x:v>
      </x:c>
      <x:c r="H1190" s="11" t="n">
        <x:f>H1158</x:f>
        <x:v>0.11</x:v>
      </x:c>
      <x:c r="I1190" s="11" t="n">
        <x:f>I1158</x:f>
        <x:v>6.8</x:v>
      </x:c>
    </x:row>
    <x:row r="1191" ht="23" customHeight="1">
      <x:c r="A1191" s="11" t="str">
        <x:v>688062.SH</x:v>
      </x:c>
      <x:c r="B1191" s="11" t="str">
        <x:v>一年</x:v>
      </x:c>
      <x:c r="C1191" s="11" t="str">
        <x:v>cdh17</x:v>
      </x:c>
      <x:c r="D1191" s="11" t="str">
        <x:v>活动输入</x:v>
      </x:c>
      <x:c r="E1191" s="11" t="n">
        <x:f>CHOOSE('假设'!$B$3,E1192,E1193,E1194)</x:f>
        <x:v>0.14500000000000002</x:v>
      </x:c>
      <x:c r="F1191" s="11" t="n">
        <x:f>CHOOSE('假设'!$B$3,F1192,F1193,F1194)</x:f>
        <x:v>0.3</x:v>
      </x:c>
      <x:c r="G1191" s="11" t="n">
        <x:f>CHOOSE('假设'!$B$3,G1192,G1193,G1194)</x:f>
        <x:v>1</x:v>
      </x:c>
      <x:c r="H1191" s="11" t="n">
        <x:f>CHOOSE('假设'!$B$3,H1192,H1193,H1194)</x:f>
        <x:v>0.14</x:v>
      </x:c>
      <x:c r="I1191" s="11" t="n">
        <x:f>CHOOSE('假设'!$B$3,I1192,I1193,I1194)</x:f>
        <x:v>6.8</x:v>
      </x:c>
    </x:row>
    <x:row r="1192" ht="23" customHeight="1">
      <x:c r="A1192" s="11" t="str">
        <x:v>688062.SH</x:v>
      </x:c>
      <x:c r="B1192" s="11" t="str">
        <x:v>一年</x:v>
      </x:c>
      <x:c r="C1192" s="11" t="str">
        <x:v>cdh17</x:v>
      </x:c>
      <x:c r="D1192" s="11" t="str">
        <x:v>悲观</x:v>
      </x:c>
      <x:c r="E1192" s="16" t="n">
        <x:v>0.030000000000000027</x:v>
      </x:c>
      <x:c r="F1192" s="16" t="n">
        <x:v>0.2</x:v>
      </x:c>
      <x:c r="G1192" s="16" t="n">
        <x:v>1</x:v>
      </x:c>
      <x:c r="H1192" s="11" t="n">
        <x:f>H1156</x:f>
        <x:v>0.18</x:v>
      </x:c>
      <x:c r="I1192" s="11" t="n">
        <x:f>I1156</x:f>
        <x:v>6.8</x:v>
      </x:c>
    </x:row>
    <x:row r="1193" ht="23" customHeight="1">
      <x:c r="A1193" s="11" t="str">
        <x:v>688062.SH</x:v>
      </x:c>
      <x:c r="B1193" s="11" t="str">
        <x:v>一年</x:v>
      </x:c>
      <x:c r="C1193" s="11" t="str">
        <x:v>cdh17</x:v>
      </x:c>
      <x:c r="D1193" s="11" t="str">
        <x:v>基准</x:v>
      </x:c>
      <x:c r="E1193" s="16" t="n">
        <x:v>0.14500000000000002</x:v>
      </x:c>
      <x:c r="F1193" s="16" t="n">
        <x:v>0.3</x:v>
      </x:c>
      <x:c r="G1193" s="16" t="n">
        <x:v>1</x:v>
      </x:c>
      <x:c r="H1193" s="11" t="n">
        <x:f>H1157</x:f>
        <x:v>0.14</x:v>
      </x:c>
      <x:c r="I1193" s="11" t="n">
        <x:f>I1157</x:f>
        <x:v>6.8</x:v>
      </x:c>
    </x:row>
    <x:row r="1194" ht="23" customHeight="1">
      <x:c r="A1194" s="11" t="str">
        <x:v>688062.SH</x:v>
      </x:c>
      <x:c r="B1194" s="11" t="str">
        <x:v>一年</x:v>
      </x:c>
      <x:c r="C1194" s="11" t="str">
        <x:v>cdh17</x:v>
      </x:c>
      <x:c r="D1194" s="11" t="str">
        <x:v>乐观</x:v>
      </x:c>
      <x:c r="E1194" s="16" t="n">
        <x:v>0.33999999999999997</x:v>
      </x:c>
      <x:c r="F1194" s="16" t="n">
        <x:v>0.38</x:v>
      </x:c>
      <x:c r="G1194" s="16" t="n">
        <x:v>1</x:v>
      </x:c>
      <x:c r="H1194" s="11" t="n">
        <x:f>H1158</x:f>
        <x:v>0.11</x:v>
      </x:c>
      <x:c r="I1194" s="11" t="n">
        <x:f>I1158</x:f>
        <x:v>6.8</x:v>
      </x:c>
    </x:row>
    <x:row r="1195" ht="23" customHeight="1">
      <x:c r="A1195" s="11" t="str">
        <x:v>688062.SH</x:v>
      </x:c>
      <x:c r="B1195" s="11" t="str">
        <x:v>一年</x:v>
      </x:c>
      <x:c r="C1195" s="11" t="str">
        <x:v>st2</x:v>
      </x:c>
      <x:c r="D1195" s="11" t="str">
        <x:v>活动输入</x:v>
      </x:c>
      <x:c r="E1195" s="11" t="n">
        <x:f>CHOOSE('假设'!$B$3,E1196,E1197,E1198)</x:f>
        <x:v>0.2875000000000001</x:v>
      </x:c>
      <x:c r="F1195" s="11" t="n">
        <x:f>CHOOSE('假设'!$B$3,F1196,F1197,F1198)</x:f>
        <x:v>0.3</x:v>
      </x:c>
      <x:c r="G1195" s="11" t="n">
        <x:f>CHOOSE('假设'!$B$3,G1196,G1197,G1198)</x:f>
        <x:v>1</x:v>
      </x:c>
      <x:c r="H1195" s="11" t="n">
        <x:f>CHOOSE('假设'!$B$3,H1196,H1197,H1198)</x:f>
        <x:v>0.14</x:v>
      </x:c>
      <x:c r="I1195" s="11" t="n">
        <x:f>CHOOSE('假设'!$B$3,I1196,I1197,I1198)</x:f>
        <x:v>6.8</x:v>
      </x:c>
    </x:row>
    <x:row r="1196" ht="23" customHeight="1">
      <x:c r="A1196" s="11" t="str">
        <x:v>688062.SH</x:v>
      </x:c>
      <x:c r="B1196" s="11" t="str">
        <x:v>一年</x:v>
      </x:c>
      <x:c r="C1196" s="11" t="str">
        <x:v>st2</x:v>
      </x:c>
      <x:c r="D1196" s="11" t="str">
        <x:v>悲观</x:v>
      </x:c>
      <x:c r="E1196" s="16" t="n">
        <x:v>0.07000000000000006</x:v>
      </x:c>
      <x:c r="F1196" s="16" t="n">
        <x:v>0.2</x:v>
      </x:c>
      <x:c r="G1196" s="16" t="n">
        <x:v>1</x:v>
      </x:c>
      <x:c r="H1196" s="11" t="n">
        <x:f>H1156</x:f>
        <x:v>0.18</x:v>
      </x:c>
      <x:c r="I1196" s="11" t="n">
        <x:f>I1156</x:f>
        <x:v>6.8</x:v>
      </x:c>
    </x:row>
    <x:row r="1197" ht="23" customHeight="1">
      <x:c r="A1197" s="11" t="str">
        <x:v>688062.SH</x:v>
      </x:c>
      <x:c r="B1197" s="11" t="str">
        <x:v>一年</x:v>
      </x:c>
      <x:c r="C1197" s="11" t="str">
        <x:v>st2</x:v>
      </x:c>
      <x:c r="D1197" s="11" t="str">
        <x:v>基准</x:v>
      </x:c>
      <x:c r="E1197" s="16" t="n">
        <x:v>0.2875000000000001</x:v>
      </x:c>
      <x:c r="F1197" s="16" t="n">
        <x:v>0.3</x:v>
      </x:c>
      <x:c r="G1197" s="16" t="n">
        <x:v>1</x:v>
      </x:c>
      <x:c r="H1197" s="11" t="n">
        <x:f>H1157</x:f>
        <x:v>0.14</x:v>
      </x:c>
      <x:c r="I1197" s="11" t="n">
        <x:f>I1157</x:f>
        <x:v>6.8</x:v>
      </x:c>
    </x:row>
    <x:row r="1198" ht="23" customHeight="1">
      <x:c r="A1198" s="11" t="str">
        <x:v>688062.SH</x:v>
      </x:c>
      <x:c r="B1198" s="11" t="str">
        <x:v>一年</x:v>
      </x:c>
      <x:c r="C1198" s="11" t="str">
        <x:v>st2</x:v>
      </x:c>
      <x:c r="D1198" s="11" t="str">
        <x:v>乐观</x:v>
      </x:c>
      <x:c r="E1198" s="16" t="n">
        <x:v>0.516</x:v>
      </x:c>
      <x:c r="F1198" s="16" t="n">
        <x:v>0.38</x:v>
      </x:c>
      <x:c r="G1198" s="16" t="n">
        <x:v>1</x:v>
      </x:c>
      <x:c r="H1198" s="11" t="n">
        <x:f>H1158</x:f>
        <x:v>0.11</x:v>
      </x:c>
      <x:c r="I1198" s="11" t="n">
        <x:f>I1158</x:f>
        <x:v>6.8</x:v>
      </x:c>
    </x:row>
    <x:row r="1199" ht="23" customHeight="1">
      <x:c r="A1199" s="11" t="str">
        <x:v>688062.SH</x:v>
      </x:c>
      <x:c r="B1199" s="11" t="str">
        <x:v>一年</x:v>
      </x:c>
      <x:c r="C1199" s="11" t="str">
        <x:v>il11_global</x:v>
      </x:c>
      <x:c r="D1199" s="11" t="str">
        <x:v>活动输入</x:v>
      </x:c>
      <x:c r="E1199" s="11" t="n">
        <x:f>CHOOSE('假设'!$B$3,E1200,E1201,E1202)</x:f>
        <x:v>0.16400000000000003</x:v>
      </x:c>
      <x:c r="F1199" s="11" t="n">
        <x:f>CHOOSE('假设'!$B$3,F1200,F1201,F1202)</x:f>
        <x:v>0.064</x:v>
      </x:c>
      <x:c r="G1199" s="11" t="n">
        <x:f>CHOOSE('假设'!$B$3,G1200,G1201,G1202)</x:f>
        <x:v>1</x:v>
      </x:c>
      <x:c r="H1199" s="11" t="n">
        <x:f>CHOOSE('假设'!$B$3,H1200,H1201,H1202)</x:f>
        <x:v>0.14</x:v>
      </x:c>
      <x:c r="I1199" s="11" t="n">
        <x:f>CHOOSE('假设'!$B$3,I1200,I1201,I1202)</x:f>
        <x:v>6.8</x:v>
      </x:c>
    </x:row>
    <x:row r="1200" ht="23" customHeight="1">
      <x:c r="A1200" s="11" t="str">
        <x:v>688062.SH</x:v>
      </x:c>
      <x:c r="B1200" s="11" t="str">
        <x:v>一年</x:v>
      </x:c>
      <x:c r="C1200" s="11" t="str">
        <x:v>il11_global</x:v>
      </x:c>
      <x:c r="D1200" s="11" t="str">
        <x:v>悲观</x:v>
      </x:c>
      <x:c r="E1200" s="16" t="n">
        <x:v>0.030000000000000027</x:v>
      </x:c>
      <x:c r="F1200" s="16" t="n">
        <x:v>0.03900000000000001</x:v>
      </x:c>
      <x:c r="G1200" s="16" t="n">
        <x:v>1</x:v>
      </x:c>
      <x:c r="H1200" s="11" t="n">
        <x:f>H1156</x:f>
        <x:v>0.18</x:v>
      </x:c>
      <x:c r="I1200" s="11" t="n">
        <x:f>I1156</x:f>
        <x:v>6.8</x:v>
      </x:c>
    </x:row>
    <x:row r="1201" ht="23" customHeight="1">
      <x:c r="A1201" s="11" t="str">
        <x:v>688062.SH</x:v>
      </x:c>
      <x:c r="B1201" s="11" t="str">
        <x:v>一年</x:v>
      </x:c>
      <x:c r="C1201" s="11" t="str">
        <x:v>il11_global</x:v>
      </x:c>
      <x:c r="D1201" s="11" t="str">
        <x:v>基准</x:v>
      </x:c>
      <x:c r="E1201" s="16" t="n">
        <x:v>0.16400000000000003</x:v>
      </x:c>
      <x:c r="F1201" s="16" t="n">
        <x:v>0.064</x:v>
      </x:c>
      <x:c r="G1201" s="16" t="n">
        <x:v>1</x:v>
      </x:c>
      <x:c r="H1201" s="11" t="n">
        <x:f>H1157</x:f>
        <x:v>0.14</x:v>
      </x:c>
      <x:c r="I1201" s="11" t="n">
        <x:f>I1157</x:f>
        <x:v>6.8</x:v>
      </x:c>
    </x:row>
    <x:row r="1202" ht="23" customHeight="1">
      <x:c r="A1202" s="11" t="str">
        <x:v>688062.SH</x:v>
      </x:c>
      <x:c r="B1202" s="11" t="str">
        <x:v>一年</x:v>
      </x:c>
      <x:c r="C1202" s="11" t="str">
        <x:v>il11_global</x:v>
      </x:c>
      <x:c r="D1202" s="11" t="str">
        <x:v>乐观</x:v>
      </x:c>
      <x:c r="E1202" s="16" t="n">
        <x:v>0.36640000000000006</x:v>
      </x:c>
      <x:c r="F1202" s="16" t="n">
        <x:v>0.0902</x:v>
      </x:c>
      <x:c r="G1202" s="16" t="n">
        <x:v>1</x:v>
      </x:c>
      <x:c r="H1202" s="11" t="n">
        <x:f>H1158</x:f>
        <x:v>0.11</x:v>
      </x:c>
      <x:c r="I1202" s="11" t="n">
        <x:f>I1158</x:f>
        <x:v>6.8</x:v>
      </x:c>
    </x:row>
    <x:row r="1203" ht="23" customHeight="1">
      <x:c r="A1203" s="11" t="str">
        <x:v>688062.SH</x:v>
      </x:c>
      <x:c r="B1203" s="11" t="str">
        <x:v>一年</x:v>
      </x:c>
      <x:c r="C1203" s="11" t="str">
        <x:v>il11_cn</x:v>
      </x:c>
      <x:c r="D1203" s="11" t="str">
        <x:v>活动输入</x:v>
      </x:c>
      <x:c r="E1203" s="11" t="n">
        <x:f>CHOOSE('假设'!$B$3,E1204,E1205,E1206)</x:f>
        <x:v>0.16400000000000003</x:v>
      </x:c>
      <x:c r="F1203" s="11" t="n">
        <x:f>CHOOSE('假设'!$B$3,F1204,F1205,F1206)</x:f>
        <x:v>0.3</x:v>
      </x:c>
      <x:c r="G1203" s="11" t="n">
        <x:f>CHOOSE('假设'!$B$3,G1204,G1205,G1206)</x:f>
        <x:v>1</x:v>
      </x:c>
      <x:c r="H1203" s="11" t="n">
        <x:f>CHOOSE('假设'!$B$3,H1204,H1205,H1206)</x:f>
        <x:v>0.14</x:v>
      </x:c>
      <x:c r="I1203" s="11" t="n">
        <x:f>CHOOSE('假设'!$B$3,I1204,I1205,I1206)</x:f>
        <x:v>6.8</x:v>
      </x:c>
    </x:row>
    <x:row r="1204" ht="23" customHeight="1">
      <x:c r="A1204" s="11" t="str">
        <x:v>688062.SH</x:v>
      </x:c>
      <x:c r="B1204" s="11" t="str">
        <x:v>一年</x:v>
      </x:c>
      <x:c r="C1204" s="11" t="str">
        <x:v>il11_cn</x:v>
      </x:c>
      <x:c r="D1204" s="11" t="str">
        <x:v>悲观</x:v>
      </x:c>
      <x:c r="E1204" s="16" t="n">
        <x:v>0.040000000000000036</x:v>
      </x:c>
      <x:c r="F1204" s="16" t="n">
        <x:v>0.2</x:v>
      </x:c>
      <x:c r="G1204" s="16" t="n">
        <x:v>1</x:v>
      </x:c>
      <x:c r="H1204" s="11" t="n">
        <x:f>H1156</x:f>
        <x:v>0.18</x:v>
      </x:c>
      <x:c r="I1204" s="11" t="n">
        <x:f>I1156</x:f>
        <x:v>6.8</x:v>
      </x:c>
    </x:row>
    <x:row r="1205" ht="23" customHeight="1">
      <x:c r="A1205" s="11" t="str">
        <x:v>688062.SH</x:v>
      </x:c>
      <x:c r="B1205" s="11" t="str">
        <x:v>一年</x:v>
      </x:c>
      <x:c r="C1205" s="11" t="str">
        <x:v>il11_cn</x:v>
      </x:c>
      <x:c r="D1205" s="11" t="str">
        <x:v>基准</x:v>
      </x:c>
      <x:c r="E1205" s="16" t="n">
        <x:v>0.16400000000000003</x:v>
      </x:c>
      <x:c r="F1205" s="16" t="n">
        <x:v>0.3</x:v>
      </x:c>
      <x:c r="G1205" s="16" t="n">
        <x:v>1</x:v>
      </x:c>
      <x:c r="H1205" s="11" t="n">
        <x:f>H1157</x:f>
        <x:v>0.14</x:v>
      </x:c>
      <x:c r="I1205" s="11" t="n">
        <x:f>I1157</x:f>
        <x:v>6.8</x:v>
      </x:c>
    </x:row>
    <x:row r="1206" ht="23" customHeight="1">
      <x:c r="A1206" s="11" t="str">
        <x:v>688062.SH</x:v>
      </x:c>
      <x:c r="B1206" s="11" t="str">
        <x:v>一年</x:v>
      </x:c>
      <x:c r="C1206" s="11" t="str">
        <x:v>il11_cn</x:v>
      </x:c>
      <x:c r="D1206" s="11" t="str">
        <x:v>乐观</x:v>
      </x:c>
      <x:c r="E1206" s="16" t="n">
        <x:v>0.384</x:v>
      </x:c>
      <x:c r="F1206" s="16" t="n">
        <x:v>0.38</x:v>
      </x:c>
      <x:c r="G1206" s="16" t="n">
        <x:v>1</x:v>
      </x:c>
      <x:c r="H1206" s="11" t="n">
        <x:f>H1158</x:f>
        <x:v>0.11</x:v>
      </x:c>
      <x:c r="I1206" s="11" t="n">
        <x:f>I1158</x:f>
        <x:v>6.8</x:v>
      </x:c>
    </x:row>
    <x:row r="1207" ht="23" customHeight="1">
      <x:c r="A1207" s="11" t="str">
        <x:v>688062.SH</x:v>
      </x:c>
      <x:c r="B1207" s="11" t="str">
        <x:v>一年</x:v>
      </x:c>
      <x:c r="C1207" s="11" t="str">
        <x:v>tmprss_pv_global</x:v>
      </x:c>
      <x:c r="D1207" s="11" t="str">
        <x:v>活动输入</x:v>
      </x:c>
      <x:c r="E1207" s="11" t="n">
        <x:f>CHOOSE('假设'!$B$3,E1208,E1209,E1210)</x:f>
        <x:v>0.44899999999999995</x:v>
      </x:c>
      <x:c r="F1207" s="11" t="n">
        <x:f>CHOOSE('假设'!$B$3,F1208,F1209,F1210)</x:f>
        <x:v>0.068</x:v>
      </x:c>
      <x:c r="G1207" s="11" t="n">
        <x:f>CHOOSE('假设'!$B$3,G1208,G1209,G1210)</x:f>
        <x:v>1</x:v>
      </x:c>
      <x:c r="H1207" s="11" t="n">
        <x:f>CHOOSE('假设'!$B$3,H1208,H1209,H1210)</x:f>
        <x:v>0.14</x:v>
      </x:c>
      <x:c r="I1207" s="11" t="n">
        <x:f>CHOOSE('假设'!$B$3,I1208,I1209,I1210)</x:f>
        <x:v>6.8</x:v>
      </x:c>
    </x:row>
    <x:row r="1208" ht="23" customHeight="1">
      <x:c r="A1208" s="11" t="str">
        <x:v>688062.SH</x:v>
      </x:c>
      <x:c r="B1208" s="11" t="str">
        <x:v>一年</x:v>
      </x:c>
      <x:c r="C1208" s="11" t="str">
        <x:v>tmprss_pv_global</x:v>
      </x:c>
      <x:c r="D1208" s="11" t="str">
        <x:v>悲观</x:v>
      </x:c>
      <x:c r="E1208" s="16" t="n">
        <x:v>0.17999999999999994</x:v>
      </x:c>
      <x:c r="F1208" s="16" t="n">
        <x:v>0.0468</x:v>
      </x:c>
      <x:c r="G1208" s="16" t="n">
        <x:v>1</x:v>
      </x:c>
      <x:c r="H1208" s="11" t="n">
        <x:f>H1156</x:f>
        <x:v>0.18</x:v>
      </x:c>
      <x:c r="I1208" s="11" t="n">
        <x:f>I1156</x:f>
        <x:v>6.8</x:v>
      </x:c>
    </x:row>
    <x:row r="1209" ht="23" customHeight="1">
      <x:c r="A1209" s="11" t="str">
        <x:v>688062.SH</x:v>
      </x:c>
      <x:c r="B1209" s="11" t="str">
        <x:v>一年</x:v>
      </x:c>
      <x:c r="C1209" s="11" t="str">
        <x:v>tmprss_pv_global</x:v>
      </x:c>
      <x:c r="D1209" s="11" t="str">
        <x:v>基准</x:v>
      </x:c>
      <x:c r="E1209" s="16" t="n">
        <x:v>0.44899999999999995</x:v>
      </x:c>
      <x:c r="F1209" s="16" t="n">
        <x:v>0.068</x:v>
      </x:c>
      <x:c r="G1209" s="16" t="n">
        <x:v>1</x:v>
      </x:c>
      <x:c r="H1209" s="11" t="n">
        <x:f>H1157</x:f>
        <x:v>0.14</x:v>
      </x:c>
      <x:c r="I1209" s="11" t="n">
        <x:f>I1157</x:f>
        <x:v>6.8</x:v>
      </x:c>
    </x:row>
    <x:row r="1210" ht="23" customHeight="1">
      <x:c r="A1210" s="11" t="str">
        <x:v>688062.SH</x:v>
      </x:c>
      <x:c r="B1210" s="11" t="str">
        <x:v>一年</x:v>
      </x:c>
      <x:c r="C1210" s="11" t="str">
        <x:v>tmprss_pv_global</x:v>
      </x:c>
      <x:c r="D1210" s="11" t="str">
        <x:v>乐观</x:v>
      </x:c>
      <x:c r="E1210" s="16" t="n">
        <x:v>0.692</x:v>
      </x:c>
      <x:c r="F1210" s="16" t="n">
        <x:v>0.08610000000000001</x:v>
      </x:c>
      <x:c r="G1210" s="16" t="n">
        <x:v>1</x:v>
      </x:c>
      <x:c r="H1210" s="11" t="n">
        <x:f>H1158</x:f>
        <x:v>0.11</x:v>
      </x:c>
      <x:c r="I1210" s="11" t="n">
        <x:f>I1158</x:f>
        <x:v>6.8</x:v>
      </x:c>
    </x:row>
    <x:row r="1211" ht="23" customHeight="1">
      <x:c r="A1211" s="11" t="str">
        <x:v>688062.SH</x:v>
      </x:c>
      <x:c r="B1211" s="11" t="str">
        <x:v>一年</x:v>
      </x:c>
      <x:c r="C1211" s="11" t="str">
        <x:v>tmprss_pv_cn</x:v>
      </x:c>
      <x:c r="D1211" s="11" t="str">
        <x:v>活动输入</x:v>
      </x:c>
      <x:c r="E1211" s="11" t="n">
        <x:f>CHOOSE('假设'!$B$3,E1212,E1213,E1214)</x:f>
        <x:v>0.38250000000000006</x:v>
      </x:c>
      <x:c r="F1211" s="11" t="n">
        <x:f>CHOOSE('假设'!$B$3,F1212,F1213,F1214)</x:f>
        <x:v>0.3</x:v>
      </x:c>
      <x:c r="G1211" s="11" t="n">
        <x:f>CHOOSE('假设'!$B$3,G1212,G1213,G1214)</x:f>
        <x:v>1</x:v>
      </x:c>
      <x:c r="H1211" s="11" t="n">
        <x:f>CHOOSE('假设'!$B$3,H1212,H1213,H1214)</x:f>
        <x:v>0.14</x:v>
      </x:c>
      <x:c r="I1211" s="11" t="n">
        <x:f>CHOOSE('假设'!$B$3,I1212,I1213,I1214)</x:f>
        <x:v>6.8</x:v>
      </x:c>
    </x:row>
    <x:row r="1212" ht="23" customHeight="1">
      <x:c r="A1212" s="11" t="str">
        <x:v>688062.SH</x:v>
      </x:c>
      <x:c r="B1212" s="11" t="str">
        <x:v>一年</x:v>
      </x:c>
      <x:c r="C1212" s="11" t="str">
        <x:v>tmprss_pv_cn</x:v>
      </x:c>
      <x:c r="D1212" s="11" t="str">
        <x:v>悲观</x:v>
      </x:c>
      <x:c r="E1212" s="16" t="n">
        <x:v>0.15000000000000002</x:v>
      </x:c>
      <x:c r="F1212" s="16" t="n">
        <x:v>0.2</x:v>
      </x:c>
      <x:c r="G1212" s="16" t="n">
        <x:v>1</x:v>
      </x:c>
      <x:c r="H1212" s="11" t="n">
        <x:f>H1156</x:f>
        <x:v>0.18</x:v>
      </x:c>
      <x:c r="I1212" s="11" t="n">
        <x:f>I1156</x:f>
        <x:v>6.8</x:v>
      </x:c>
    </x:row>
    <x:row r="1213" ht="23" customHeight="1">
      <x:c r="A1213" s="11" t="str">
        <x:v>688062.SH</x:v>
      </x:c>
      <x:c r="B1213" s="11" t="str">
        <x:v>一年</x:v>
      </x:c>
      <x:c r="C1213" s="11" t="str">
        <x:v>tmprss_pv_cn</x:v>
      </x:c>
      <x:c r="D1213" s="11" t="str">
        <x:v>基准</x:v>
      </x:c>
      <x:c r="E1213" s="16" t="n">
        <x:v>0.38250000000000006</x:v>
      </x:c>
      <x:c r="F1213" s="16" t="n">
        <x:v>0.3</x:v>
      </x:c>
      <x:c r="G1213" s="16" t="n">
        <x:v>1</x:v>
      </x:c>
      <x:c r="H1213" s="11" t="n">
        <x:f>H1157</x:f>
        <x:v>0.14</x:v>
      </x:c>
      <x:c r="I1213" s="11" t="n">
        <x:f>I1157</x:f>
        <x:v>6.8</x:v>
      </x:c>
    </x:row>
    <x:row r="1214" ht="23" customHeight="1">
      <x:c r="A1214" s="11" t="str">
        <x:v>688062.SH</x:v>
      </x:c>
      <x:c r="B1214" s="11" t="str">
        <x:v>一年</x:v>
      </x:c>
      <x:c r="C1214" s="11" t="str">
        <x:v>tmprss_pv_cn</x:v>
      </x:c>
      <x:c r="D1214" s="11" t="str">
        <x:v>乐观</x:v>
      </x:c>
      <x:c r="E1214" s="16" t="n">
        <x:v>0.6479999999999999</x:v>
      </x:c>
      <x:c r="F1214" s="16" t="n">
        <x:v>0.38</x:v>
      </x:c>
      <x:c r="G1214" s="16" t="n">
        <x:v>1</x:v>
      </x:c>
      <x:c r="H1214" s="11" t="n">
        <x:f>H1158</x:f>
        <x:v>0.11</x:v>
      </x:c>
      <x:c r="I1214" s="11" t="n">
        <x:f>I1158</x:f>
        <x:v>6.8</x:v>
      </x:c>
    </x:row>
    <x:row r="1215" ht="23" customHeight="1">
      <x:c r="A1215" s="11" t="str">
        <x:v>688062.SH</x:v>
      </x:c>
      <x:c r="B1215" s="11" t="str">
        <x:v>一年</x:v>
      </x:c>
      <x:c r="C1215" s="11" t="str">
        <x:v>tmprss_scd</x:v>
      </x:c>
      <x:c r="D1215" s="11" t="str">
        <x:v>活动输入</x:v>
      </x:c>
      <x:c r="E1215" s="11" t="n">
        <x:f>CHOOSE('假设'!$B$3,E1216,E1217,E1218)</x:f>
        <x:v>0.1925</x:v>
      </x:c>
      <x:c r="F1215" s="11" t="n">
        <x:f>CHOOSE('假设'!$B$3,F1216,F1217,F1218)</x:f>
        <x:v>0.068</x:v>
      </x:c>
      <x:c r="G1215" s="11" t="n">
        <x:f>CHOOSE('假设'!$B$3,G1216,G1217,G1218)</x:f>
        <x:v>1</x:v>
      </x:c>
      <x:c r="H1215" s="11" t="n">
        <x:f>CHOOSE('假设'!$B$3,H1216,H1217,H1218)</x:f>
        <x:v>0.14</x:v>
      </x:c>
      <x:c r="I1215" s="11" t="n">
        <x:f>CHOOSE('假设'!$B$3,I1216,I1217,I1218)</x:f>
        <x:v>6.8</x:v>
      </x:c>
    </x:row>
    <x:row r="1216" ht="23" customHeight="1">
      <x:c r="A1216" s="11" t="str">
        <x:v>688062.SH</x:v>
      </x:c>
      <x:c r="B1216" s="11" t="str">
        <x:v>一年</x:v>
      </x:c>
      <x:c r="C1216" s="11" t="str">
        <x:v>tmprss_scd</x:v>
      </x:c>
      <x:c r="D1216" s="11" t="str">
        <x:v>悲观</x:v>
      </x:c>
      <x:c r="E1216" s="16" t="n">
        <x:v>0.050000000000000044</x:v>
      </x:c>
      <x:c r="F1216" s="16" t="n">
        <x:v>0.0468</x:v>
      </x:c>
      <x:c r="G1216" s="16" t="n">
        <x:v>1</x:v>
      </x:c>
      <x:c r="H1216" s="11" t="n">
        <x:f>H1156</x:f>
        <x:v>0.18</x:v>
      </x:c>
      <x:c r="I1216" s="11" t="n">
        <x:f>I1156</x:f>
        <x:v>6.8</x:v>
      </x:c>
    </x:row>
    <x:row r="1217" ht="23" customHeight="1">
      <x:c r="A1217" s="11" t="str">
        <x:v>688062.SH</x:v>
      </x:c>
      <x:c r="B1217" s="11" t="str">
        <x:v>一年</x:v>
      </x:c>
      <x:c r="C1217" s="11" t="str">
        <x:v>tmprss_scd</x:v>
      </x:c>
      <x:c r="D1217" s="11" t="str">
        <x:v>基准</x:v>
      </x:c>
      <x:c r="E1217" s="16" t="n">
        <x:v>0.1925</x:v>
      </x:c>
      <x:c r="F1217" s="16" t="n">
        <x:v>0.068</x:v>
      </x:c>
      <x:c r="G1217" s="16" t="n">
        <x:v>1</x:v>
      </x:c>
      <x:c r="H1217" s="11" t="n">
        <x:f>H1157</x:f>
        <x:v>0.14</x:v>
      </x:c>
      <x:c r="I1217" s="11" t="n">
        <x:f>I1157</x:f>
        <x:v>6.8</x:v>
      </x:c>
    </x:row>
    <x:row r="1218" ht="23" customHeight="1">
      <x:c r="A1218" s="11" t="str">
        <x:v>688062.SH</x:v>
      </x:c>
      <x:c r="B1218" s="11" t="str">
        <x:v>一年</x:v>
      </x:c>
      <x:c r="C1218" s="11" t="str">
        <x:v>tmprss_scd</x:v>
      </x:c>
      <x:c r="D1218" s="11" t="str">
        <x:v>乐观</x:v>
      </x:c>
      <x:c r="E1218" s="16" t="n">
        <x:v>0.384</x:v>
      </x:c>
      <x:c r="F1218" s="16" t="n">
        <x:v>0.08610000000000001</x:v>
      </x:c>
      <x:c r="G1218" s="16" t="n">
        <x:v>1</x:v>
      </x:c>
      <x:c r="H1218" s="11" t="n">
        <x:f>H1158</x:f>
        <x:v>0.11</x:v>
      </x:c>
      <x:c r="I1218" s="11" t="n">
        <x:f>I1158</x:f>
        <x:v>6.8</x:v>
      </x:c>
    </x:row>
    <x:row r="1219" ht="23" customHeight="1">
      <x:c r="A1219" s="11" t="str">
        <x:v>688062.SH</x:v>
      </x:c>
      <x:c r="B1219" s="11" t="str">
        <x:v>三年</x:v>
      </x:c>
      <x:c r="C1219" s="11" t="str">
        <x:v>biosim</x:v>
      </x:c>
      <x:c r="D1219" s="11" t="str">
        <x:v>活动输入</x:v>
      </x:c>
      <x:c r="E1219" s="11" t="n">
        <x:f>CHOOSE('假设'!$B$3,E1220,E1221,E1222)</x:f>
        <x:v>0.9426</x:v>
      </x:c>
      <x:c r="F1219" s="11" t="n">
        <x:f>CHOOSE('假设'!$B$3,F1220,F1221,F1222)</x:f>
        <x:v>0.23</x:v>
      </x:c>
      <x:c r="G1219" s="11" t="n">
        <x:f>CHOOSE('假设'!$B$3,G1220,G1221,G1222)</x:f>
        <x:v>1</x:v>
      </x:c>
      <x:c r="H1219" s="11" t="n">
        <x:f>CHOOSE('假设'!$B$3,H1220,H1221,H1222)</x:f>
        <x:v>0.14</x:v>
      </x:c>
      <x:c r="I1219" s="11" t="n">
        <x:f>CHOOSE('假设'!$B$3,I1220,I1221,I1222)</x:f>
        <x:v>6.8</x:v>
      </x:c>
    </x:row>
    <x:row r="1220" ht="23" customHeight="1">
      <x:c r="A1220" s="11" t="str">
        <x:v>688062.SH</x:v>
      </x:c>
      <x:c r="B1220" s="11" t="str">
        <x:v>三年</x:v>
      </x:c>
      <x:c r="C1220" s="11" t="str">
        <x:v>biosim</x:v>
      </x:c>
      <x:c r="D1220" s="11" t="str">
        <x:v>悲观</x:v>
      </x:c>
      <x:c r="E1220" s="16" t="n">
        <x:v>0.85</x:v>
      </x:c>
      <x:c r="F1220" s="16" t="n">
        <x:v>0.12</x:v>
      </x:c>
      <x:c r="G1220" s="16" t="n">
        <x:v>1</x:v>
      </x:c>
      <x:c r="H1220" s="16" t="n">
        <x:v>0.18</x:v>
      </x:c>
      <x:c r="I1220" s="16" t="n">
        <x:v>6.8</x:v>
      </x:c>
    </x:row>
    <x:row r="1221" ht="23" customHeight="1">
      <x:c r="A1221" s="11" t="str">
        <x:v>688062.SH</x:v>
      </x:c>
      <x:c r="B1221" s="11" t="str">
        <x:v>三年</x:v>
      </x:c>
      <x:c r="C1221" s="11" t="str">
        <x:v>biosim</x:v>
      </x:c>
      <x:c r="D1221" s="11" t="str">
        <x:v>基准</x:v>
      </x:c>
      <x:c r="E1221" s="16" t="n">
        <x:v>0.9426</x:v>
      </x:c>
      <x:c r="F1221" s="16" t="n">
        <x:v>0.23</x:v>
      </x:c>
      <x:c r="G1221" s="16" t="n">
        <x:v>1</x:v>
      </x:c>
      <x:c r="H1221" s="16" t="n">
        <x:v>0.14</x:v>
      </x:c>
      <x:c r="I1221" s="16" t="n">
        <x:v>6.8</x:v>
      </x:c>
    </x:row>
    <x:row r="1222" ht="23" customHeight="1">
      <x:c r="A1222" s="11" t="str">
        <x:v>688062.SH</x:v>
      </x:c>
      <x:c r="B1222" s="11" t="str">
        <x:v>三年</x:v>
      </x:c>
      <x:c r="C1222" s="11" t="str">
        <x:v>biosim</x:v>
      </x:c>
      <x:c r="D1222" s="11" t="str">
        <x:v>乐观</x:v>
      </x:c>
      <x:c r="E1222" s="16" t="n">
        <x:v>0.9863999999999999</x:v>
      </x:c>
      <x:c r="F1222" s="16" t="n">
        <x:v>0.3</x:v>
      </x:c>
      <x:c r="G1222" s="16" t="n">
        <x:v>1</x:v>
      </x:c>
      <x:c r="H1222" s="16" t="n">
        <x:v>0.11</x:v>
      </x:c>
      <x:c r="I1222" s="16" t="n">
        <x:v>6.8</x:v>
      </x:c>
    </x:row>
    <x:row r="1223" ht="23" customHeight="1">
      <x:c r="A1223" s="11" t="str">
        <x:v>688062.SH</x:v>
      </x:c>
      <x:c r="B1223" s="11" t="str">
        <x:v>三年</x:v>
      </x:c>
      <x:c r="C1223" s="11" t="str">
        <x:v>gcsf</x:v>
      </x:c>
      <x:c r="D1223" s="11" t="str">
        <x:v>活动输入</x:v>
      </x:c>
      <x:c r="E1223" s="11" t="n">
        <x:f>CHOOSE('假设'!$B$3,E1224,E1225,E1226)</x:f>
        <x:v>1</x:v>
      </x:c>
      <x:c r="F1223" s="11" t="n">
        <x:f>CHOOSE('假设'!$B$3,F1224,F1225,F1226)</x:f>
        <x:v>0.08000000000000002</x:v>
      </x:c>
      <x:c r="G1223" s="11" t="n">
        <x:f>CHOOSE('假设'!$B$3,G1224,G1225,G1226)</x:f>
        <x:v>1</x:v>
      </x:c>
      <x:c r="H1223" s="11" t="n">
        <x:f>CHOOSE('假设'!$B$3,H1224,H1225,H1226)</x:f>
        <x:v>0.14</x:v>
      </x:c>
      <x:c r="I1223" s="11" t="n">
        <x:f>CHOOSE('假设'!$B$3,I1224,I1225,I1226)</x:f>
        <x:v>6.8</x:v>
      </x:c>
    </x:row>
    <x:row r="1224" ht="23" customHeight="1">
      <x:c r="A1224" s="11" t="str">
        <x:v>688062.SH</x:v>
      </x:c>
      <x:c r="B1224" s="11" t="str">
        <x:v>三年</x:v>
      </x:c>
      <x:c r="C1224" s="11" t="str">
        <x:v>gcsf</x:v>
      </x:c>
      <x:c r="D1224" s="11" t="str">
        <x:v>悲观</x:v>
      </x:c>
      <x:c r="E1224" s="16" t="n">
        <x:v>1</x:v>
      </x:c>
      <x:c r="F1224" s="16" t="n">
        <x:v>0.0468</x:v>
      </x:c>
      <x:c r="G1224" s="16" t="n">
        <x:v>1</x:v>
      </x:c>
      <x:c r="H1224" s="11" t="n">
        <x:f>H1220</x:f>
        <x:v>0.18</x:v>
      </x:c>
      <x:c r="I1224" s="11" t="n">
        <x:f>I1220</x:f>
        <x:v>6.8</x:v>
      </x:c>
    </x:row>
    <x:row r="1225" ht="23" customHeight="1">
      <x:c r="A1225" s="11" t="str">
        <x:v>688062.SH</x:v>
      </x:c>
      <x:c r="B1225" s="11" t="str">
        <x:v>三年</x:v>
      </x:c>
      <x:c r="C1225" s="11" t="str">
        <x:v>gcsf</x:v>
      </x:c>
      <x:c r="D1225" s="11" t="str">
        <x:v>基准</x:v>
      </x:c>
      <x:c r="E1225" s="16" t="n">
        <x:v>1</x:v>
      </x:c>
      <x:c r="F1225" s="16" t="n">
        <x:v>0.08000000000000002</x:v>
      </x:c>
      <x:c r="G1225" s="16" t="n">
        <x:v>1</x:v>
      </x:c>
      <x:c r="H1225" s="11" t="n">
        <x:f>H1221</x:f>
        <x:v>0.14</x:v>
      </x:c>
      <x:c r="I1225" s="11" t="n">
        <x:f>I1221</x:f>
        <x:v>6.8</x:v>
      </x:c>
    </x:row>
    <x:row r="1226" ht="23" customHeight="1">
      <x:c r="A1226" s="11" t="str">
        <x:v>688062.SH</x:v>
      </x:c>
      <x:c r="B1226" s="11" t="str">
        <x:v>三年</x:v>
      </x:c>
      <x:c r="C1226" s="11" t="str">
        <x:v>gcsf</x:v>
      </x:c>
      <x:c r="D1226" s="11" t="str">
        <x:v>乐观</x:v>
      </x:c>
      <x:c r="E1226" s="16" t="n">
        <x:v>1</x:v>
      </x:c>
      <x:c r="F1226" s="16" t="n">
        <x:v>0.10660000000000001</x:v>
      </x:c>
      <x:c r="G1226" s="16" t="n">
        <x:v>1</x:v>
      </x:c>
      <x:c r="H1226" s="11" t="n">
        <x:f>H1222</x:f>
        <x:v>0.11</x:v>
      </x:c>
      <x:c r="I1226" s="11" t="n">
        <x:f>I1222</x:f>
        <x:v>6.8</x:v>
      </x:c>
    </x:row>
    <x:row r="1227" ht="23" customHeight="1">
      <x:c r="A1227" s="11" t="str">
        <x:v>688062.SH</x:v>
      </x:c>
      <x:c r="B1227" s="11" t="str">
        <x:v>三年</x:v>
      </x:c>
      <x:c r="C1227" s="11" t="str">
        <x:v>bfv_uc_later</x:v>
      </x:c>
      <x:c r="D1227" s="11" t="str">
        <x:v>活动输入</x:v>
      </x:c>
      <x:c r="E1227" s="11" t="n">
        <x:f>CHOOSE('假设'!$B$3,E1228,E1229,E1230)</x:f>
        <x:v>0.6884</x:v>
      </x:c>
      <x:c r="F1227" s="11" t="n">
        <x:f>CHOOSE('假设'!$B$3,F1228,F1229,F1230)</x:f>
        <x:v>0.3</x:v>
      </x:c>
      <x:c r="G1227" s="11" t="n">
        <x:f>CHOOSE('假设'!$B$3,G1228,G1229,G1230)</x:f>
        <x:v>1</x:v>
      </x:c>
      <x:c r="H1227" s="11" t="n">
        <x:f>CHOOSE('假设'!$B$3,H1228,H1229,H1230)</x:f>
        <x:v>0.14</x:v>
      </x:c>
      <x:c r="I1227" s="11" t="n">
        <x:f>CHOOSE('假设'!$B$3,I1228,I1229,I1230)</x:f>
        <x:v>6.8</x:v>
      </x:c>
    </x:row>
    <x:row r="1228" ht="23" customHeight="1">
      <x:c r="A1228" s="11" t="str">
        <x:v>688062.SH</x:v>
      </x:c>
      <x:c r="B1228" s="11" t="str">
        <x:v>三年</x:v>
      </x:c>
      <x:c r="C1228" s="11" t="str">
        <x:v>bfv_uc_later</x:v>
      </x:c>
      <x:c r="D1228" s="11" t="str">
        <x:v>悲观</x:v>
      </x:c>
      <x:c r="E1228" s="16" t="n">
        <x:v>0.35</x:v>
      </x:c>
      <x:c r="F1228" s="16" t="n">
        <x:v>0.2</x:v>
      </x:c>
      <x:c r="G1228" s="16" t="n">
        <x:v>1</x:v>
      </x:c>
      <x:c r="H1228" s="11" t="n">
        <x:f>H1220</x:f>
        <x:v>0.18</x:v>
      </x:c>
      <x:c r="I1228" s="11" t="n">
        <x:f>I1220</x:f>
        <x:v>6.8</x:v>
      </x:c>
    </x:row>
    <x:row r="1229" ht="23" customHeight="1">
      <x:c r="A1229" s="11" t="str">
        <x:v>688062.SH</x:v>
      </x:c>
      <x:c r="B1229" s="11" t="str">
        <x:v>三年</x:v>
      </x:c>
      <x:c r="C1229" s="11" t="str">
        <x:v>bfv_uc_later</x:v>
      </x:c>
      <x:c r="D1229" s="11" t="str">
        <x:v>基准</x:v>
      </x:c>
      <x:c r="E1229" s="16" t="n">
        <x:v>0.6884</x:v>
      </x:c>
      <x:c r="F1229" s="16" t="n">
        <x:v>0.3</x:v>
      </x:c>
      <x:c r="G1229" s="16" t="n">
        <x:v>1</x:v>
      </x:c>
      <x:c r="H1229" s="11" t="n">
        <x:f>H1221</x:f>
        <x:v>0.14</x:v>
      </x:c>
      <x:c r="I1229" s="11" t="n">
        <x:f>I1221</x:f>
        <x:v>6.8</x:v>
      </x:c>
    </x:row>
    <x:row r="1230" ht="23" customHeight="1">
      <x:c r="A1230" s="11" t="str">
        <x:v>688062.SH</x:v>
      </x:c>
      <x:c r="B1230" s="11" t="str">
        <x:v>三年</x:v>
      </x:c>
      <x:c r="C1230" s="11" t="str">
        <x:v>bfv_uc_later</x:v>
      </x:c>
      <x:c r="D1230" s="11" t="str">
        <x:v>乐观</x:v>
      </x:c>
      <x:c r="E1230" s="16" t="n">
        <x:v>0.8775999999999999</x:v>
      </x:c>
      <x:c r="F1230" s="16" t="n">
        <x:v>0.38</x:v>
      </x:c>
      <x:c r="G1230" s="16" t="n">
        <x:v>1</x:v>
      </x:c>
      <x:c r="H1230" s="11" t="n">
        <x:f>H1222</x:f>
        <x:v>0.11</x:v>
      </x:c>
      <x:c r="I1230" s="11" t="n">
        <x:f>I1222</x:f>
        <x:v>6.8</x:v>
      </x:c>
    </x:row>
    <x:row r="1231" ht="23" customHeight="1">
      <x:c r="A1231" s="11" t="str">
        <x:v>688062.SH</x:v>
      </x:c>
      <x:c r="B1231" s="11" t="str">
        <x:v>三年</x:v>
      </x:c>
      <x:c r="C1231" s="11" t="str">
        <x:v>bfv_uc_first</x:v>
      </x:c>
      <x:c r="D1231" s="11" t="str">
        <x:v>活动输入</x:v>
      </x:c>
      <x:c r="E1231" s="11" t="n">
        <x:f>CHOOSE('假设'!$B$3,E1232,E1233,E1234)</x:f>
        <x:v>0.631</x:v>
      </x:c>
      <x:c r="F1231" s="11" t="n">
        <x:f>CHOOSE('假设'!$B$3,F1232,F1233,F1234)</x:f>
        <x:v>0.3</x:v>
      </x:c>
      <x:c r="G1231" s="11" t="n">
        <x:f>CHOOSE('假设'!$B$3,G1232,G1233,G1234)</x:f>
        <x:v>1</x:v>
      </x:c>
      <x:c r="H1231" s="11" t="n">
        <x:f>CHOOSE('假设'!$B$3,H1232,H1233,H1234)</x:f>
        <x:v>0.14</x:v>
      </x:c>
      <x:c r="I1231" s="11" t="n">
        <x:f>CHOOSE('假设'!$B$3,I1232,I1233,I1234)</x:f>
        <x:v>6.8</x:v>
      </x:c>
    </x:row>
    <x:row r="1232" ht="23" customHeight="1">
      <x:c r="A1232" s="11" t="str">
        <x:v>688062.SH</x:v>
      </x:c>
      <x:c r="B1232" s="11" t="str">
        <x:v>三年</x:v>
      </x:c>
      <x:c r="C1232" s="11" t="str">
        <x:v>bfv_uc_first</x:v>
      </x:c>
      <x:c r="D1232" s="11" t="str">
        <x:v>悲观</x:v>
      </x:c>
      <x:c r="E1232" s="16" t="n">
        <x:v>0.25</x:v>
      </x:c>
      <x:c r="F1232" s="16" t="n">
        <x:v>0.2</x:v>
      </x:c>
      <x:c r="G1232" s="16" t="n">
        <x:v>1</x:v>
      </x:c>
      <x:c r="H1232" s="11" t="n">
        <x:f>H1220</x:f>
        <x:v>0.18</x:v>
      </x:c>
      <x:c r="I1232" s="11" t="n">
        <x:f>I1220</x:f>
        <x:v>6.8</x:v>
      </x:c>
    </x:row>
    <x:row r="1233" ht="23" customHeight="1">
      <x:c r="A1233" s="11" t="str">
        <x:v>688062.SH</x:v>
      </x:c>
      <x:c r="B1233" s="11" t="str">
        <x:v>三年</x:v>
      </x:c>
      <x:c r="C1233" s="11" t="str">
        <x:v>bfv_uc_first</x:v>
      </x:c>
      <x:c r="D1233" s="11" t="str">
        <x:v>基准</x:v>
      </x:c>
      <x:c r="E1233" s="16" t="n">
        <x:v>0.631</x:v>
      </x:c>
      <x:c r="F1233" s="16" t="n">
        <x:v>0.3</x:v>
      </x:c>
      <x:c r="G1233" s="16" t="n">
        <x:v>1</x:v>
      </x:c>
      <x:c r="H1233" s="11" t="n">
        <x:f>H1221</x:f>
        <x:v>0.14</x:v>
      </x:c>
      <x:c r="I1233" s="11" t="n">
        <x:f>I1221</x:f>
        <x:v>6.8</x:v>
      </x:c>
    </x:row>
    <x:row r="1234" ht="23" customHeight="1">
      <x:c r="A1234" s="11" t="str">
        <x:v>688062.SH</x:v>
      </x:c>
      <x:c r="B1234" s="11" t="str">
        <x:v>三年</x:v>
      </x:c>
      <x:c r="C1234" s="11" t="str">
        <x:v>bfv_uc_first</x:v>
      </x:c>
      <x:c r="D1234" s="11" t="str">
        <x:v>乐观</x:v>
      </x:c>
      <x:c r="E1234" s="16" t="n">
        <x:v>0.8504</x:v>
      </x:c>
      <x:c r="F1234" s="16" t="n">
        <x:v>0.38</x:v>
      </x:c>
      <x:c r="G1234" s="16" t="n">
        <x:v>1</x:v>
      </x:c>
      <x:c r="H1234" s="11" t="n">
        <x:f>H1222</x:f>
        <x:v>0.11</x:v>
      </x:c>
      <x:c r="I1234" s="11" t="n">
        <x:f>I1222</x:f>
        <x:v>6.8</x:v>
      </x:c>
    </x:row>
    <x:row r="1235" ht="23" customHeight="1">
      <x:c r="A1235" s="11" t="str">
        <x:v>688062.SH</x:v>
      </x:c>
      <x:c r="B1235" s="11" t="str">
        <x:v>三年</x:v>
      </x:c>
      <x:c r="C1235" s="11" t="str">
        <x:v>bfv_cervix</x:v>
      </x:c>
      <x:c r="D1235" s="11" t="str">
        <x:v>活动输入</x:v>
      </x:c>
      <x:c r="E1235" s="11" t="n">
        <x:f>CHOOSE('假设'!$B$3,E1236,E1237,E1238)</x:f>
        <x:v>0.5736</x:v>
      </x:c>
      <x:c r="F1235" s="11" t="n">
        <x:f>CHOOSE('假设'!$B$3,F1236,F1237,F1238)</x:f>
        <x:v>0.3</x:v>
      </x:c>
      <x:c r="G1235" s="11" t="n">
        <x:f>CHOOSE('假设'!$B$3,G1236,G1237,G1238)</x:f>
        <x:v>1</x:v>
      </x:c>
      <x:c r="H1235" s="11" t="n">
        <x:f>CHOOSE('假设'!$B$3,H1236,H1237,H1238)</x:f>
        <x:v>0.14</x:v>
      </x:c>
      <x:c r="I1235" s="11" t="n">
        <x:f>CHOOSE('假设'!$B$3,I1236,I1237,I1238)</x:f>
        <x:v>6.8</x:v>
      </x:c>
    </x:row>
    <x:row r="1236" ht="23" customHeight="1">
      <x:c r="A1236" s="11" t="str">
        <x:v>688062.SH</x:v>
      </x:c>
      <x:c r="B1236" s="11" t="str">
        <x:v>三年</x:v>
      </x:c>
      <x:c r="C1236" s="11" t="str">
        <x:v>bfv_cervix</x:v>
      </x:c>
      <x:c r="D1236" s="11" t="str">
        <x:v>悲观</x:v>
      </x:c>
      <x:c r="E1236" s="16" t="n">
        <x:v>0.21999999999999997</x:v>
      </x:c>
      <x:c r="F1236" s="16" t="n">
        <x:v>0.2</x:v>
      </x:c>
      <x:c r="G1236" s="16" t="n">
        <x:v>1</x:v>
      </x:c>
      <x:c r="H1236" s="11" t="n">
        <x:f>H1220</x:f>
        <x:v>0.18</x:v>
      </x:c>
      <x:c r="I1236" s="11" t="n">
        <x:f>I1220</x:f>
        <x:v>6.8</x:v>
      </x:c>
    </x:row>
    <x:row r="1237" ht="23" customHeight="1">
      <x:c r="A1237" s="11" t="str">
        <x:v>688062.SH</x:v>
      </x:c>
      <x:c r="B1237" s="11" t="str">
        <x:v>三年</x:v>
      </x:c>
      <x:c r="C1237" s="11" t="str">
        <x:v>bfv_cervix</x:v>
      </x:c>
      <x:c r="D1237" s="11" t="str">
        <x:v>基准</x:v>
      </x:c>
      <x:c r="E1237" s="16" t="n">
        <x:v>0.5736</x:v>
      </x:c>
      <x:c r="F1237" s="16" t="n">
        <x:v>0.3</x:v>
      </x:c>
      <x:c r="G1237" s="16" t="n">
        <x:v>1</x:v>
      </x:c>
      <x:c r="H1237" s="11" t="n">
        <x:f>H1221</x:f>
        <x:v>0.14</x:v>
      </x:c>
      <x:c r="I1237" s="11" t="n">
        <x:f>I1221</x:f>
        <x:v>6.8</x:v>
      </x:c>
    </x:row>
    <x:row r="1238" ht="23" customHeight="1">
      <x:c r="A1238" s="11" t="str">
        <x:v>688062.SH</x:v>
      </x:c>
      <x:c r="B1238" s="11" t="str">
        <x:v>三年</x:v>
      </x:c>
      <x:c r="C1238" s="11" t="str">
        <x:v>bfv_cervix</x:v>
      </x:c>
      <x:c r="D1238" s="11" t="str">
        <x:v>乐观</x:v>
      </x:c>
      <x:c r="E1238" s="16" t="n">
        <x:v>0.8164</x:v>
      </x:c>
      <x:c r="F1238" s="16" t="n">
        <x:v>0.38</x:v>
      </x:c>
      <x:c r="G1238" s="16" t="n">
        <x:v>1</x:v>
      </x:c>
      <x:c r="H1238" s="11" t="n">
        <x:f>H1222</x:f>
        <x:v>0.11</x:v>
      </x:c>
      <x:c r="I1238" s="11" t="n">
        <x:f>I1222</x:f>
        <x:v>6.8</x:v>
      </x:c>
    </x:row>
    <x:row r="1239" ht="23" customHeight="1">
      <x:c r="A1239" s="11" t="str">
        <x:v>688062.SH</x:v>
      </x:c>
      <x:c r="B1239" s="11" t="str">
        <x:v>三年</x:v>
      </x:c>
      <x:c r="C1239" s="11" t="str">
        <x:v>bfv_tnbc</x:v>
      </x:c>
      <x:c r="D1239" s="11" t="str">
        <x:v>活动输入</x:v>
      </x:c>
      <x:c r="E1239" s="11" t="n">
        <x:f>CHOOSE('假设'!$B$3,E1240,E1241,E1242)</x:f>
        <x:v>0.42600000000000005</x:v>
      </x:c>
      <x:c r="F1239" s="11" t="n">
        <x:f>CHOOSE('假设'!$B$3,F1240,F1241,F1242)</x:f>
        <x:v>0.3</x:v>
      </x:c>
      <x:c r="G1239" s="11" t="n">
        <x:f>CHOOSE('假设'!$B$3,G1240,G1241,G1242)</x:f>
        <x:v>1</x:v>
      </x:c>
      <x:c r="H1239" s="11" t="n">
        <x:f>CHOOSE('假设'!$B$3,H1240,H1241,H1242)</x:f>
        <x:v>0.14</x:v>
      </x:c>
      <x:c r="I1239" s="11" t="n">
        <x:f>CHOOSE('假设'!$B$3,I1240,I1241,I1242)</x:f>
        <x:v>6.8</x:v>
      </x:c>
    </x:row>
    <x:row r="1240" ht="23" customHeight="1">
      <x:c r="A1240" s="11" t="str">
        <x:v>688062.SH</x:v>
      </x:c>
      <x:c r="B1240" s="11" t="str">
        <x:v>三年</x:v>
      </x:c>
      <x:c r="C1240" s="11" t="str">
        <x:v>bfv_tnbc</x:v>
      </x:c>
      <x:c r="D1240" s="11" t="str">
        <x:v>悲观</x:v>
      </x:c>
      <x:c r="E1240" s="16" t="n">
        <x:v>0.12</x:v>
      </x:c>
      <x:c r="F1240" s="16" t="n">
        <x:v>0.2</x:v>
      </x:c>
      <x:c r="G1240" s="16" t="n">
        <x:v>1</x:v>
      </x:c>
      <x:c r="H1240" s="11" t="n">
        <x:f>H1220</x:f>
        <x:v>0.18</x:v>
      </x:c>
      <x:c r="I1240" s="11" t="n">
        <x:f>I1220</x:f>
        <x:v>6.8</x:v>
      </x:c>
    </x:row>
    <x:row r="1241" ht="23" customHeight="1">
      <x:c r="A1241" s="11" t="str">
        <x:v>688062.SH</x:v>
      </x:c>
      <x:c r="B1241" s="11" t="str">
        <x:v>三年</x:v>
      </x:c>
      <x:c r="C1241" s="11" t="str">
        <x:v>bfv_tnbc</x:v>
      </x:c>
      <x:c r="D1241" s="11" t="str">
        <x:v>基准</x:v>
      </x:c>
      <x:c r="E1241" s="16" t="n">
        <x:v>0.42600000000000005</x:v>
      </x:c>
      <x:c r="F1241" s="16" t="n">
        <x:v>0.3</x:v>
      </x:c>
      <x:c r="G1241" s="16" t="n">
        <x:v>1</x:v>
      </x:c>
      <x:c r="H1241" s="11" t="n">
        <x:f>H1221</x:f>
        <x:v>0.14</x:v>
      </x:c>
      <x:c r="I1241" s="11" t="n">
        <x:f>I1221</x:f>
        <x:v>6.8</x:v>
      </x:c>
    </x:row>
    <x:row r="1242" ht="23" customHeight="1">
      <x:c r="A1242" s="11" t="str">
        <x:v>688062.SH</x:v>
      </x:c>
      <x:c r="B1242" s="11" t="str">
        <x:v>三年</x:v>
      </x:c>
      <x:c r="C1242" s="11" t="str">
        <x:v>bfv_tnbc</x:v>
      </x:c>
      <x:c r="D1242" s="11" t="str">
        <x:v>乐观</x:v>
      </x:c>
      <x:c r="E1242" s="16" t="n">
        <x:v>0.694</x:v>
      </x:c>
      <x:c r="F1242" s="16" t="n">
        <x:v>0.38</x:v>
      </x:c>
      <x:c r="G1242" s="16" t="n">
        <x:v>1</x:v>
      </x:c>
      <x:c r="H1242" s="11" t="n">
        <x:f>H1222</x:f>
        <x:v>0.11</x:v>
      </x:c>
      <x:c r="I1242" s="11" t="n">
        <x:f>I1222</x:f>
        <x:v>6.8</x:v>
      </x:c>
    </x:row>
    <x:row r="1243" ht="23" customHeight="1">
      <x:c r="A1243" s="11" t="str">
        <x:v>688062.SH</x:v>
      </x:c>
      <x:c r="B1243" s="11" t="str">
        <x:v>三年</x:v>
      </x:c>
      <x:c r="C1243" s="11" t="str">
        <x:v>bfv_escc</x:v>
      </x:c>
      <x:c r="D1243" s="11" t="str">
        <x:v>活动输入</x:v>
      </x:c>
      <x:c r="E1243" s="11" t="n">
        <x:f>CHOOSE('假设'!$B$3,E1244,E1245,E1246)</x:f>
        <x:v>0.31120000000000003</x:v>
      </x:c>
      <x:c r="F1243" s="11" t="n">
        <x:f>CHOOSE('假设'!$B$3,F1244,F1245,F1246)</x:f>
        <x:v>0.3</x:v>
      </x:c>
      <x:c r="G1243" s="11" t="n">
        <x:f>CHOOSE('假设'!$B$3,G1244,G1245,G1246)</x:f>
        <x:v>1</x:v>
      </x:c>
      <x:c r="H1243" s="11" t="n">
        <x:f>CHOOSE('假设'!$B$3,H1244,H1245,H1246)</x:f>
        <x:v>0.14</x:v>
      </x:c>
      <x:c r="I1243" s="11" t="n">
        <x:f>CHOOSE('假设'!$B$3,I1244,I1245,I1246)</x:f>
        <x:v>6.8</x:v>
      </x:c>
    </x:row>
    <x:row r="1244" ht="23" customHeight="1">
      <x:c r="A1244" s="11" t="str">
        <x:v>688062.SH</x:v>
      </x:c>
      <x:c r="B1244" s="11" t="str">
        <x:v>三年</x:v>
      </x:c>
      <x:c r="C1244" s="11" t="str">
        <x:v>bfv_escc</x:v>
      </x:c>
      <x:c r="D1244" s="11" t="str">
        <x:v>悲观</x:v>
      </x:c>
      <x:c r="E1244" s="16" t="n">
        <x:v>0.050000000000000044</x:v>
      </x:c>
      <x:c r="F1244" s="16" t="n">
        <x:v>0.2</x:v>
      </x:c>
      <x:c r="G1244" s="16" t="n">
        <x:v>1</x:v>
      </x:c>
      <x:c r="H1244" s="11" t="n">
        <x:f>H1220</x:f>
        <x:v>0.18</x:v>
      </x:c>
      <x:c r="I1244" s="11" t="n">
        <x:f>I1220</x:f>
        <x:v>6.8</x:v>
      </x:c>
    </x:row>
    <x:row r="1245" ht="23" customHeight="1">
      <x:c r="A1245" s="11" t="str">
        <x:v>688062.SH</x:v>
      </x:c>
      <x:c r="B1245" s="11" t="str">
        <x:v>三年</x:v>
      </x:c>
      <x:c r="C1245" s="11" t="str">
        <x:v>bfv_escc</x:v>
      </x:c>
      <x:c r="D1245" s="11" t="str">
        <x:v>基准</x:v>
      </x:c>
      <x:c r="E1245" s="16" t="n">
        <x:v>0.31120000000000003</x:v>
      </x:c>
      <x:c r="F1245" s="16" t="n">
        <x:v>0.3</x:v>
      </x:c>
      <x:c r="G1245" s="16" t="n">
        <x:v>1</x:v>
      </x:c>
      <x:c r="H1245" s="11" t="n">
        <x:f>H1221</x:f>
        <x:v>0.14</x:v>
      </x:c>
      <x:c r="I1245" s="11" t="n">
        <x:f>I1221</x:f>
        <x:v>6.8</x:v>
      </x:c>
    </x:row>
    <x:row r="1246" ht="23" customHeight="1">
      <x:c r="A1246" s="11" t="str">
        <x:v>688062.SH</x:v>
      </x:c>
      <x:c r="B1246" s="11" t="str">
        <x:v>三年</x:v>
      </x:c>
      <x:c r="C1246" s="11" t="str">
        <x:v>bfv_escc</x:v>
      </x:c>
      <x:c r="D1246" s="11" t="str">
        <x:v>乐观</x:v>
      </x:c>
      <x:c r="E1246" s="16" t="n">
        <x:v>0.5512</x:v>
      </x:c>
      <x:c r="F1246" s="16" t="n">
        <x:v>0.38</x:v>
      </x:c>
      <x:c r="G1246" s="16" t="n">
        <x:v>1</x:v>
      </x:c>
      <x:c r="H1246" s="11" t="n">
        <x:f>H1222</x:f>
        <x:v>0.11</x:v>
      </x:c>
      <x:c r="I1246" s="11" t="n">
        <x:f>I1222</x:f>
        <x:v>6.8</x:v>
      </x:c>
    </x:row>
    <x:row r="1247" ht="23" customHeight="1">
      <x:c r="A1247" s="11" t="str">
        <x:v>688062.SH</x:v>
      </x:c>
      <x:c r="B1247" s="11" t="str">
        <x:v>三年</x:v>
      </x:c>
      <x:c r="C1247" s="11" t="str">
        <x:v>bfv_global</x:v>
      </x:c>
      <x:c r="D1247" s="11" t="str">
        <x:v>活动输入</x:v>
      </x:c>
      <x:c r="E1247" s="11" t="n">
        <x:f>CHOOSE('假设'!$B$3,E1248,E1249,E1250)</x:f>
        <x:v>0.344</x:v>
      </x:c>
      <x:c r="F1247" s="11" t="n">
        <x:f>CHOOSE('假设'!$B$3,F1248,F1249,F1250)</x:f>
        <x:v>0.23</x:v>
      </x:c>
      <x:c r="G1247" s="11" t="n">
        <x:f>CHOOSE('假设'!$B$3,G1248,G1249,G1250)</x:f>
        <x:v>1</x:v>
      </x:c>
      <x:c r="H1247" s="11" t="n">
        <x:f>CHOOSE('假设'!$B$3,H1248,H1249,H1250)</x:f>
        <x:v>0.14</x:v>
      </x:c>
      <x:c r="I1247" s="11" t="n">
        <x:f>CHOOSE('假设'!$B$3,I1248,I1249,I1250)</x:f>
        <x:v>6.8</x:v>
      </x:c>
    </x:row>
    <x:row r="1248" ht="23" customHeight="1">
      <x:c r="A1248" s="11" t="str">
        <x:v>688062.SH</x:v>
      </x:c>
      <x:c r="B1248" s="11" t="str">
        <x:v>三年</x:v>
      </x:c>
      <x:c r="C1248" s="11" t="str">
        <x:v>bfv_global</x:v>
      </x:c>
      <x:c r="D1248" s="11" t="str">
        <x:v>悲观</x:v>
      </x:c>
      <x:c r="E1248" s="16" t="n">
        <x:v>0.07999999999999996</x:v>
      </x:c>
      <x:c r="F1248" s="16" t="n">
        <x:v>0.15</x:v>
      </x:c>
      <x:c r="G1248" s="16" t="n">
        <x:v>1</x:v>
      </x:c>
      <x:c r="H1248" s="11" t="n">
        <x:f>H1220</x:f>
        <x:v>0.18</x:v>
      </x:c>
      <x:c r="I1248" s="11" t="n">
        <x:f>I1220</x:f>
        <x:v>6.8</x:v>
      </x:c>
    </x:row>
    <x:row r="1249" ht="23" customHeight="1">
      <x:c r="A1249" s="11" t="str">
        <x:v>688062.SH</x:v>
      </x:c>
      <x:c r="B1249" s="11" t="str">
        <x:v>三年</x:v>
      </x:c>
      <x:c r="C1249" s="11" t="str">
        <x:v>bfv_global</x:v>
      </x:c>
      <x:c r="D1249" s="11" t="str">
        <x:v>基准</x:v>
      </x:c>
      <x:c r="E1249" s="16" t="n">
        <x:v>0.344</x:v>
      </x:c>
      <x:c r="F1249" s="16" t="n">
        <x:v>0.23</x:v>
      </x:c>
      <x:c r="G1249" s="16" t="n">
        <x:v>1</x:v>
      </x:c>
      <x:c r="H1249" s="11" t="n">
        <x:f>H1221</x:f>
        <x:v>0.14</x:v>
      </x:c>
      <x:c r="I1249" s="11" t="n">
        <x:f>I1221</x:f>
        <x:v>6.8</x:v>
      </x:c>
    </x:row>
    <x:row r="1250" ht="23" customHeight="1">
      <x:c r="A1250" s="11" t="str">
        <x:v>688062.SH</x:v>
      </x:c>
      <x:c r="B1250" s="11" t="str">
        <x:v>三年</x:v>
      </x:c>
      <x:c r="C1250" s="11" t="str">
        <x:v>bfv_global</x:v>
      </x:c>
      <x:c r="D1250" s="11" t="str">
        <x:v>乐观</x:v>
      </x:c>
      <x:c r="E1250" s="16" t="n">
        <x:v>0.5784</x:v>
      </x:c>
      <x:c r="F1250" s="16" t="n">
        <x:v>0.3</x:v>
      </x:c>
      <x:c r="G1250" s="16" t="n">
        <x:v>1</x:v>
      </x:c>
      <x:c r="H1250" s="11" t="n">
        <x:f>H1222</x:f>
        <x:v>0.11</x:v>
      </x:c>
      <x:c r="I1250" s="11" t="n">
        <x:f>I1222</x:f>
        <x:v>6.8</x:v>
      </x:c>
    </x:row>
    <x:row r="1251" ht="23" customHeight="1">
      <x:c r="A1251" s="11" t="str">
        <x:v>688062.SH</x:v>
      </x:c>
      <x:c r="B1251" s="11" t="str">
        <x:v>三年</x:v>
      </x:c>
      <x:c r="C1251" s="11" t="str">
        <x:v>b7h3</x:v>
      </x:c>
      <x:c r="D1251" s="11" t="str">
        <x:v>活动输入</x:v>
      </x:c>
      <x:c r="E1251" s="11" t="n">
        <x:f>CHOOSE('假设'!$B$3,E1252,E1253,E1254)</x:f>
        <x:v>0.36040000000000005</x:v>
      </x:c>
      <x:c r="F1251" s="11" t="n">
        <x:f>CHOOSE('假设'!$B$3,F1252,F1253,F1254)</x:f>
        <x:v>0.3</x:v>
      </x:c>
      <x:c r="G1251" s="11" t="n">
        <x:f>CHOOSE('假设'!$B$3,G1252,G1253,G1254)</x:f>
        <x:v>1</x:v>
      </x:c>
      <x:c r="H1251" s="11" t="n">
        <x:f>CHOOSE('假设'!$B$3,H1252,H1253,H1254)</x:f>
        <x:v>0.14</x:v>
      </x:c>
      <x:c r="I1251" s="11" t="n">
        <x:f>CHOOSE('假设'!$B$3,I1252,I1253,I1254)</x:f>
        <x:v>6.8</x:v>
      </x:c>
    </x:row>
    <x:row r="1252" ht="23" customHeight="1">
      <x:c r="A1252" s="11" t="str">
        <x:v>688062.SH</x:v>
      </x:c>
      <x:c r="B1252" s="11" t="str">
        <x:v>三年</x:v>
      </x:c>
      <x:c r="C1252" s="11" t="str">
        <x:v>b7h3</x:v>
      </x:c>
      <x:c r="D1252" s="11" t="str">
        <x:v>悲观</x:v>
      </x:c>
      <x:c r="E1252" s="16" t="n">
        <x:v>0.07999999999999996</x:v>
      </x:c>
      <x:c r="F1252" s="16" t="n">
        <x:v>0.2</x:v>
      </x:c>
      <x:c r="G1252" s="16" t="n">
        <x:v>1</x:v>
      </x:c>
      <x:c r="H1252" s="11" t="n">
        <x:f>H1220</x:f>
        <x:v>0.18</x:v>
      </x:c>
      <x:c r="I1252" s="11" t="n">
        <x:f>I1220</x:f>
        <x:v>6.8</x:v>
      </x:c>
    </x:row>
    <x:row r="1253" ht="23" customHeight="1">
      <x:c r="A1253" s="11" t="str">
        <x:v>688062.SH</x:v>
      </x:c>
      <x:c r="B1253" s="11" t="str">
        <x:v>三年</x:v>
      </x:c>
      <x:c r="C1253" s="11" t="str">
        <x:v>b7h3</x:v>
      </x:c>
      <x:c r="D1253" s="11" t="str">
        <x:v>基准</x:v>
      </x:c>
      <x:c r="E1253" s="16" t="n">
        <x:v>0.36040000000000005</x:v>
      </x:c>
      <x:c r="F1253" s="16" t="n">
        <x:v>0.3</x:v>
      </x:c>
      <x:c r="G1253" s="16" t="n">
        <x:v>1</x:v>
      </x:c>
      <x:c r="H1253" s="11" t="n">
        <x:f>H1221</x:f>
        <x:v>0.14</x:v>
      </x:c>
      <x:c r="I1253" s="11" t="n">
        <x:f>I1221</x:f>
        <x:v>6.8</x:v>
      </x:c>
    </x:row>
    <x:row r="1254" ht="23" customHeight="1">
      <x:c r="A1254" s="11" t="str">
        <x:v>688062.SH</x:v>
      </x:c>
      <x:c r="B1254" s="11" t="str">
        <x:v>三年</x:v>
      </x:c>
      <x:c r="C1254" s="11" t="str">
        <x:v>b7h3</x:v>
      </x:c>
      <x:c r="D1254" s="11" t="str">
        <x:v>乐观</x:v>
      </x:c>
      <x:c r="E1254" s="16" t="n">
        <x:v>0.6055999999999999</x:v>
      </x:c>
      <x:c r="F1254" s="16" t="n">
        <x:v>0.38</x:v>
      </x:c>
      <x:c r="G1254" s="16" t="n">
        <x:v>1</x:v>
      </x:c>
      <x:c r="H1254" s="11" t="n">
        <x:f>H1222</x:f>
        <x:v>0.11</x:v>
      </x:c>
      <x:c r="I1254" s="11" t="n">
        <x:f>I1222</x:f>
        <x:v>6.8</x:v>
      </x:c>
    </x:row>
    <x:row r="1255" ht="23" customHeight="1">
      <x:c r="A1255" s="11" t="str">
        <x:v>688062.SH</x:v>
      </x:c>
      <x:c r="B1255" s="11" t="str">
        <x:v>三年</x:v>
      </x:c>
      <x:c r="C1255" s="11" t="str">
        <x:v>cdh17</x:v>
      </x:c>
      <x:c r="D1255" s="11" t="str">
        <x:v>活动输入</x:v>
      </x:c>
      <x:c r="E1255" s="11" t="n">
        <x:f>CHOOSE('假设'!$B$3,E1256,E1257,E1258)</x:f>
        <x:v>0.262</x:v>
      </x:c>
      <x:c r="F1255" s="11" t="n">
        <x:f>CHOOSE('假设'!$B$3,F1256,F1257,F1258)</x:f>
        <x:v>0.3</x:v>
      </x:c>
      <x:c r="G1255" s="11" t="n">
        <x:f>CHOOSE('假设'!$B$3,G1256,G1257,G1258)</x:f>
        <x:v>1</x:v>
      </x:c>
      <x:c r="H1255" s="11" t="n">
        <x:f>CHOOSE('假设'!$B$3,H1256,H1257,H1258)</x:f>
        <x:v>0.14</x:v>
      </x:c>
      <x:c r="I1255" s="11" t="n">
        <x:f>CHOOSE('假设'!$B$3,I1256,I1257,I1258)</x:f>
        <x:v>6.8</x:v>
      </x:c>
    </x:row>
    <x:row r="1256" ht="23" customHeight="1">
      <x:c r="A1256" s="11" t="str">
        <x:v>688062.SH</x:v>
      </x:c>
      <x:c r="B1256" s="11" t="str">
        <x:v>三年</x:v>
      </x:c>
      <x:c r="C1256" s="11" t="str">
        <x:v>cdh17</x:v>
      </x:c>
      <x:c r="D1256" s="11" t="str">
        <x:v>悲观</x:v>
      </x:c>
      <x:c r="E1256" s="16" t="n">
        <x:v>0.030000000000000027</x:v>
      </x:c>
      <x:c r="F1256" s="16" t="n">
        <x:v>0.2</x:v>
      </x:c>
      <x:c r="G1256" s="16" t="n">
        <x:v>1</x:v>
      </x:c>
      <x:c r="H1256" s="11" t="n">
        <x:f>H1220</x:f>
        <x:v>0.18</x:v>
      </x:c>
      <x:c r="I1256" s="11" t="n">
        <x:f>I1220</x:f>
        <x:v>6.8</x:v>
      </x:c>
    </x:row>
    <x:row r="1257" ht="23" customHeight="1">
      <x:c r="A1257" s="11" t="str">
        <x:v>688062.SH</x:v>
      </x:c>
      <x:c r="B1257" s="11" t="str">
        <x:v>三年</x:v>
      </x:c>
      <x:c r="C1257" s="11" t="str">
        <x:v>cdh17</x:v>
      </x:c>
      <x:c r="D1257" s="11" t="str">
        <x:v>基准</x:v>
      </x:c>
      <x:c r="E1257" s="16" t="n">
        <x:v>0.262</x:v>
      </x:c>
      <x:c r="F1257" s="16" t="n">
        <x:v>0.3</x:v>
      </x:c>
      <x:c r="G1257" s="16" t="n">
        <x:v>1</x:v>
      </x:c>
      <x:c r="H1257" s="11" t="n">
        <x:f>H1221</x:f>
        <x:v>0.14</x:v>
      </x:c>
      <x:c r="I1257" s="11" t="n">
        <x:f>I1221</x:f>
        <x:v>6.8</x:v>
      </x:c>
    </x:row>
    <x:row r="1258" ht="23" customHeight="1">
      <x:c r="A1258" s="11" t="str">
        <x:v>688062.SH</x:v>
      </x:c>
      <x:c r="B1258" s="11" t="str">
        <x:v>三年</x:v>
      </x:c>
      <x:c r="C1258" s="11" t="str">
        <x:v>cdh17</x:v>
      </x:c>
      <x:c r="D1258" s="11" t="str">
        <x:v>乐观</x:v>
      </x:c>
      <x:c r="E1258" s="16" t="n">
        <x:v>0.49</x:v>
      </x:c>
      <x:c r="F1258" s="16" t="n">
        <x:v>0.38</x:v>
      </x:c>
      <x:c r="G1258" s="16" t="n">
        <x:v>1</x:v>
      </x:c>
      <x:c r="H1258" s="11" t="n">
        <x:f>H1222</x:f>
        <x:v>0.11</x:v>
      </x:c>
      <x:c r="I1258" s="11" t="n">
        <x:f>I1222</x:f>
        <x:v>6.8</x:v>
      </x:c>
    </x:row>
    <x:row r="1259" ht="23" customHeight="1">
      <x:c r="A1259" s="11" t="str">
        <x:v>688062.SH</x:v>
      </x:c>
      <x:c r="B1259" s="11" t="str">
        <x:v>三年</x:v>
      </x:c>
      <x:c r="C1259" s="11" t="str">
        <x:v>st2</x:v>
      </x:c>
      <x:c r="D1259" s="11" t="str">
        <x:v>活动输入</x:v>
      </x:c>
      <x:c r="E1259" s="11" t="n">
        <x:f>CHOOSE('假设'!$B$3,E1260,E1261,E1262)</x:f>
        <x:v>0.385</x:v>
      </x:c>
      <x:c r="F1259" s="11" t="n">
        <x:f>CHOOSE('假设'!$B$3,F1260,F1261,F1262)</x:f>
        <x:v>0.3</x:v>
      </x:c>
      <x:c r="G1259" s="11" t="n">
        <x:f>CHOOSE('假设'!$B$3,G1260,G1261,G1262)</x:f>
        <x:v>1</x:v>
      </x:c>
      <x:c r="H1259" s="11" t="n">
        <x:f>CHOOSE('假设'!$B$3,H1260,H1261,H1262)</x:f>
        <x:v>0.14</x:v>
      </x:c>
      <x:c r="I1259" s="11" t="n">
        <x:f>CHOOSE('假设'!$B$3,I1260,I1261,I1262)</x:f>
        <x:v>6.8</x:v>
      </x:c>
    </x:row>
    <x:row r="1260" ht="23" customHeight="1">
      <x:c r="A1260" s="11" t="str">
        <x:v>688062.SH</x:v>
      </x:c>
      <x:c r="B1260" s="11" t="str">
        <x:v>三年</x:v>
      </x:c>
      <x:c r="C1260" s="11" t="str">
        <x:v>st2</x:v>
      </x:c>
      <x:c r="D1260" s="11" t="str">
        <x:v>悲观</x:v>
      </x:c>
      <x:c r="E1260" s="16" t="n">
        <x:v>0.07000000000000006</x:v>
      </x:c>
      <x:c r="F1260" s="16" t="n">
        <x:v>0.2</x:v>
      </x:c>
      <x:c r="G1260" s="16" t="n">
        <x:v>1</x:v>
      </x:c>
      <x:c r="H1260" s="11" t="n">
        <x:f>H1220</x:f>
        <x:v>0.18</x:v>
      </x:c>
      <x:c r="I1260" s="11" t="n">
        <x:f>I1220</x:f>
        <x:v>6.8</x:v>
      </x:c>
    </x:row>
    <x:row r="1261" ht="23" customHeight="1">
      <x:c r="A1261" s="11" t="str">
        <x:v>688062.SH</x:v>
      </x:c>
      <x:c r="B1261" s="11" t="str">
        <x:v>三年</x:v>
      </x:c>
      <x:c r="C1261" s="11" t="str">
        <x:v>st2</x:v>
      </x:c>
      <x:c r="D1261" s="11" t="str">
        <x:v>基准</x:v>
      </x:c>
      <x:c r="E1261" s="16" t="n">
        <x:v>0.385</x:v>
      </x:c>
      <x:c r="F1261" s="16" t="n">
        <x:v>0.3</x:v>
      </x:c>
      <x:c r="G1261" s="16" t="n">
        <x:v>1</x:v>
      </x:c>
      <x:c r="H1261" s="11" t="n">
        <x:f>H1221</x:f>
        <x:v>0.14</x:v>
      </x:c>
      <x:c r="I1261" s="11" t="n">
        <x:f>I1221</x:f>
        <x:v>6.8</x:v>
      </x:c>
    </x:row>
    <x:row r="1262" ht="23" customHeight="1">
      <x:c r="A1262" s="11" t="str">
        <x:v>688062.SH</x:v>
      </x:c>
      <x:c r="B1262" s="11" t="str">
        <x:v>三年</x:v>
      </x:c>
      <x:c r="C1262" s="11" t="str">
        <x:v>st2</x:v>
      </x:c>
      <x:c r="D1262" s="11" t="str">
        <x:v>乐观</x:v>
      </x:c>
      <x:c r="E1262" s="16" t="n">
        <x:v>0.6259999999999999</x:v>
      </x:c>
      <x:c r="F1262" s="16" t="n">
        <x:v>0.38</x:v>
      </x:c>
      <x:c r="G1262" s="16" t="n">
        <x:v>1</x:v>
      </x:c>
      <x:c r="H1262" s="11" t="n">
        <x:f>H1222</x:f>
        <x:v>0.11</x:v>
      </x:c>
      <x:c r="I1262" s="11" t="n">
        <x:f>I1222</x:f>
        <x:v>6.8</x:v>
      </x:c>
    </x:row>
    <x:row r="1263" ht="23" customHeight="1">
      <x:c r="A1263" s="11" t="str">
        <x:v>688062.SH</x:v>
      </x:c>
      <x:c r="B1263" s="11" t="str">
        <x:v>三年</x:v>
      </x:c>
      <x:c r="C1263" s="11" t="str">
        <x:v>il11_global</x:v>
      </x:c>
      <x:c r="D1263" s="11" t="str">
        <x:v>活动输入</x:v>
      </x:c>
      <x:c r="E1263" s="11" t="n">
        <x:f>CHOOSE('假设'!$B$3,E1264,E1265,E1266)</x:f>
        <x:v>0.2784000000000001</x:v>
      </x:c>
      <x:c r="F1263" s="11" t="n">
        <x:f>CHOOSE('假设'!$B$3,F1264,F1265,F1266)</x:f>
        <x:v>0.064</x:v>
      </x:c>
      <x:c r="G1263" s="11" t="n">
        <x:f>CHOOSE('假设'!$B$3,G1264,G1265,G1266)</x:f>
        <x:v>1</x:v>
      </x:c>
      <x:c r="H1263" s="11" t="n">
        <x:f>CHOOSE('假设'!$B$3,H1264,H1265,H1266)</x:f>
        <x:v>0.14</x:v>
      </x:c>
      <x:c r="I1263" s="11" t="n">
        <x:f>CHOOSE('假设'!$B$3,I1264,I1265,I1266)</x:f>
        <x:v>6.8</x:v>
      </x:c>
    </x:row>
    <x:row r="1264" ht="23" customHeight="1">
      <x:c r="A1264" s="11" t="str">
        <x:v>688062.SH</x:v>
      </x:c>
      <x:c r="B1264" s="11" t="str">
        <x:v>三年</x:v>
      </x:c>
      <x:c r="C1264" s="11" t="str">
        <x:v>il11_global</x:v>
      </x:c>
      <x:c r="D1264" s="11" t="str">
        <x:v>悲观</x:v>
      </x:c>
      <x:c r="E1264" s="16" t="n">
        <x:v>0.030000000000000027</x:v>
      </x:c>
      <x:c r="F1264" s="16" t="n">
        <x:v>0.03900000000000001</x:v>
      </x:c>
      <x:c r="G1264" s="16" t="n">
        <x:v>1</x:v>
      </x:c>
      <x:c r="H1264" s="11" t="n">
        <x:f>H1220</x:f>
        <x:v>0.18</x:v>
      </x:c>
      <x:c r="I1264" s="11" t="n">
        <x:f>I1220</x:f>
        <x:v>6.8</x:v>
      </x:c>
    </x:row>
    <x:row r="1265" ht="23" customHeight="1">
      <x:c r="A1265" s="11" t="str">
        <x:v>688062.SH</x:v>
      </x:c>
      <x:c r="B1265" s="11" t="str">
        <x:v>三年</x:v>
      </x:c>
      <x:c r="C1265" s="11" t="str">
        <x:v>il11_global</x:v>
      </x:c>
      <x:c r="D1265" s="11" t="str">
        <x:v>基准</x:v>
      </x:c>
      <x:c r="E1265" s="16" t="n">
        <x:v>0.2784000000000001</x:v>
      </x:c>
      <x:c r="F1265" s="16" t="n">
        <x:v>0.064</x:v>
      </x:c>
      <x:c r="G1265" s="16" t="n">
        <x:v>1</x:v>
      </x:c>
      <x:c r="H1265" s="11" t="n">
        <x:f>H1221</x:f>
        <x:v>0.14</x:v>
      </x:c>
      <x:c r="I1265" s="11" t="n">
        <x:f>I1221</x:f>
        <x:v>6.8</x:v>
      </x:c>
    </x:row>
    <x:row r="1266" ht="23" customHeight="1">
      <x:c r="A1266" s="11" t="str">
        <x:v>688062.SH</x:v>
      </x:c>
      <x:c r="B1266" s="11" t="str">
        <x:v>三年</x:v>
      </x:c>
      <x:c r="C1266" s="11" t="str">
        <x:v>il11_global</x:v>
      </x:c>
      <x:c r="D1266" s="11" t="str">
        <x:v>乐观</x:v>
      </x:c>
      <x:c r="E1266" s="16" t="n">
        <x:v>0.5104</x:v>
      </x:c>
      <x:c r="F1266" s="16" t="n">
        <x:v>0.0902</x:v>
      </x:c>
      <x:c r="G1266" s="16" t="n">
        <x:v>1</x:v>
      </x:c>
      <x:c r="H1266" s="11" t="n">
        <x:f>H1222</x:f>
        <x:v>0.11</x:v>
      </x:c>
      <x:c r="I1266" s="11" t="n">
        <x:f>I1222</x:f>
        <x:v>6.8</x:v>
      </x:c>
    </x:row>
    <x:row r="1267" ht="23" customHeight="1">
      <x:c r="A1267" s="11" t="str">
        <x:v>688062.SH</x:v>
      </x:c>
      <x:c r="B1267" s="11" t="str">
        <x:v>三年</x:v>
      </x:c>
      <x:c r="C1267" s="11" t="str">
        <x:v>il11_cn</x:v>
      </x:c>
      <x:c r="D1267" s="11" t="str">
        <x:v>活动输入</x:v>
      </x:c>
      <x:c r="E1267" s="11" t="n">
        <x:f>CHOOSE('假设'!$B$3,E1268,E1269,E1270)</x:f>
        <x:v>0.2784000000000001</x:v>
      </x:c>
      <x:c r="F1267" s="11" t="n">
        <x:f>CHOOSE('假设'!$B$3,F1268,F1269,F1270)</x:f>
        <x:v>0.3</x:v>
      </x:c>
      <x:c r="G1267" s="11" t="n">
        <x:f>CHOOSE('假设'!$B$3,G1268,G1269,G1270)</x:f>
        <x:v>1</x:v>
      </x:c>
      <x:c r="H1267" s="11" t="n">
        <x:f>CHOOSE('假设'!$B$3,H1268,H1269,H1270)</x:f>
        <x:v>0.14</x:v>
      </x:c>
      <x:c r="I1267" s="11" t="n">
        <x:f>CHOOSE('假设'!$B$3,I1268,I1269,I1270)</x:f>
        <x:v>6.8</x:v>
      </x:c>
    </x:row>
    <x:row r="1268" ht="23" customHeight="1">
      <x:c r="A1268" s="11" t="str">
        <x:v>688062.SH</x:v>
      </x:c>
      <x:c r="B1268" s="11" t="str">
        <x:v>三年</x:v>
      </x:c>
      <x:c r="C1268" s="11" t="str">
        <x:v>il11_cn</x:v>
      </x:c>
      <x:c r="D1268" s="11" t="str">
        <x:v>悲观</x:v>
      </x:c>
      <x:c r="E1268" s="16" t="n">
        <x:v>0.040000000000000036</x:v>
      </x:c>
      <x:c r="F1268" s="16" t="n">
        <x:v>0.2</x:v>
      </x:c>
      <x:c r="G1268" s="16" t="n">
        <x:v>1</x:v>
      </x:c>
      <x:c r="H1268" s="11" t="n">
        <x:f>H1220</x:f>
        <x:v>0.18</x:v>
      </x:c>
      <x:c r="I1268" s="11" t="n">
        <x:f>I1220</x:f>
        <x:v>6.8</x:v>
      </x:c>
    </x:row>
    <x:row r="1269" ht="23" customHeight="1">
      <x:c r="A1269" s="11" t="str">
        <x:v>688062.SH</x:v>
      </x:c>
      <x:c r="B1269" s="11" t="str">
        <x:v>三年</x:v>
      </x:c>
      <x:c r="C1269" s="11" t="str">
        <x:v>il11_cn</x:v>
      </x:c>
      <x:c r="D1269" s="11" t="str">
        <x:v>基准</x:v>
      </x:c>
      <x:c r="E1269" s="16" t="n">
        <x:v>0.2784000000000001</x:v>
      </x:c>
      <x:c r="F1269" s="16" t="n">
        <x:v>0.3</x:v>
      </x:c>
      <x:c r="G1269" s="16" t="n">
        <x:v>1</x:v>
      </x:c>
      <x:c r="H1269" s="11" t="n">
        <x:f>H1221</x:f>
        <x:v>0.14</x:v>
      </x:c>
      <x:c r="I1269" s="11" t="n">
        <x:f>I1221</x:f>
        <x:v>6.8</x:v>
      </x:c>
    </x:row>
    <x:row r="1270" ht="23" customHeight="1">
      <x:c r="A1270" s="11" t="str">
        <x:v>688062.SH</x:v>
      </x:c>
      <x:c r="B1270" s="11" t="str">
        <x:v>三年</x:v>
      </x:c>
      <x:c r="C1270" s="11" t="str">
        <x:v>il11_cn</x:v>
      </x:c>
      <x:c r="D1270" s="11" t="str">
        <x:v>乐观</x:v>
      </x:c>
      <x:c r="E1270" s="16" t="n">
        <x:v>0.524</x:v>
      </x:c>
      <x:c r="F1270" s="16" t="n">
        <x:v>0.38</x:v>
      </x:c>
      <x:c r="G1270" s="16" t="n">
        <x:v>1</x:v>
      </x:c>
      <x:c r="H1270" s="11" t="n">
        <x:f>H1222</x:f>
        <x:v>0.11</x:v>
      </x:c>
      <x:c r="I1270" s="11" t="n">
        <x:f>I1222</x:f>
        <x:v>6.8</x:v>
      </x:c>
    </x:row>
    <x:row r="1271" ht="23" customHeight="1">
      <x:c r="A1271" s="11" t="str">
        <x:v>688062.SH</x:v>
      </x:c>
      <x:c r="B1271" s="11" t="str">
        <x:v>三年</x:v>
      </x:c>
      <x:c r="C1271" s="11" t="str">
        <x:v>tmprss_pv_global</x:v>
      </x:c>
      <x:c r="D1271" s="11" t="str">
        <x:v>活动输入</x:v>
      </x:c>
      <x:c r="E1271" s="11" t="n">
        <x:f>CHOOSE('假设'!$B$3,E1272,E1273,E1274)</x:f>
        <x:v>0.5244</x:v>
      </x:c>
      <x:c r="F1271" s="11" t="n">
        <x:f>CHOOSE('假设'!$B$3,F1272,F1273,F1274)</x:f>
        <x:v>0.068</x:v>
      </x:c>
      <x:c r="G1271" s="11" t="n">
        <x:f>CHOOSE('假设'!$B$3,G1272,G1273,G1274)</x:f>
        <x:v>1</x:v>
      </x:c>
      <x:c r="H1271" s="11" t="n">
        <x:f>CHOOSE('假设'!$B$3,H1272,H1273,H1274)</x:f>
        <x:v>0.14</x:v>
      </x:c>
      <x:c r="I1271" s="11" t="n">
        <x:f>CHOOSE('假设'!$B$3,I1272,I1273,I1274)</x:f>
        <x:v>6.8</x:v>
      </x:c>
    </x:row>
    <x:row r="1272" ht="23" customHeight="1">
      <x:c r="A1272" s="11" t="str">
        <x:v>688062.SH</x:v>
      </x:c>
      <x:c r="B1272" s="11" t="str">
        <x:v>三年</x:v>
      </x:c>
      <x:c r="C1272" s="11" t="str">
        <x:v>tmprss_pv_global</x:v>
      </x:c>
      <x:c r="D1272" s="11" t="str">
        <x:v>悲观</x:v>
      </x:c>
      <x:c r="E1272" s="16" t="n">
        <x:v>0.17999999999999994</x:v>
      </x:c>
      <x:c r="F1272" s="16" t="n">
        <x:v>0.0468</x:v>
      </x:c>
      <x:c r="G1272" s="16" t="n">
        <x:v>1</x:v>
      </x:c>
      <x:c r="H1272" s="11" t="n">
        <x:f>H1220</x:f>
        <x:v>0.18</x:v>
      </x:c>
      <x:c r="I1272" s="11" t="n">
        <x:f>I1220</x:f>
        <x:v>6.8</x:v>
      </x:c>
    </x:row>
    <x:row r="1273" ht="23" customHeight="1">
      <x:c r="A1273" s="11" t="str">
        <x:v>688062.SH</x:v>
      </x:c>
      <x:c r="B1273" s="11" t="str">
        <x:v>三年</x:v>
      </x:c>
      <x:c r="C1273" s="11" t="str">
        <x:v>tmprss_pv_global</x:v>
      </x:c>
      <x:c r="D1273" s="11" t="str">
        <x:v>基准</x:v>
      </x:c>
      <x:c r="E1273" s="16" t="n">
        <x:v>0.5244</x:v>
      </x:c>
      <x:c r="F1273" s="16" t="n">
        <x:v>0.068</x:v>
      </x:c>
      <x:c r="G1273" s="16" t="n">
        <x:v>1</x:v>
      </x:c>
      <x:c r="H1273" s="11" t="n">
        <x:f>H1221</x:f>
        <x:v>0.14</x:v>
      </x:c>
      <x:c r="I1273" s="11" t="n">
        <x:f>I1221</x:f>
        <x:v>6.8</x:v>
      </x:c>
    </x:row>
    <x:row r="1274" ht="23" customHeight="1">
      <x:c r="A1274" s="11" t="str">
        <x:v>688062.SH</x:v>
      </x:c>
      <x:c r="B1274" s="11" t="str">
        <x:v>三年</x:v>
      </x:c>
      <x:c r="C1274" s="11" t="str">
        <x:v>tmprss_pv_global</x:v>
      </x:c>
      <x:c r="D1274" s="11" t="str">
        <x:v>乐观</x:v>
      </x:c>
      <x:c r="E1274" s="16" t="n">
        <x:v>0.762</x:v>
      </x:c>
      <x:c r="F1274" s="16" t="n">
        <x:v>0.08610000000000001</x:v>
      </x:c>
      <x:c r="G1274" s="16" t="n">
        <x:v>1</x:v>
      </x:c>
      <x:c r="H1274" s="11" t="n">
        <x:f>H1222</x:f>
        <x:v>0.11</x:v>
      </x:c>
      <x:c r="I1274" s="11" t="n">
        <x:f>I1222</x:f>
        <x:v>6.8</x:v>
      </x:c>
    </x:row>
    <x:row r="1275" ht="23" customHeight="1">
      <x:c r="A1275" s="11" t="str">
        <x:v>688062.SH</x:v>
      </x:c>
      <x:c r="B1275" s="11" t="str">
        <x:v>三年</x:v>
      </x:c>
      <x:c r="C1275" s="11" t="str">
        <x:v>tmprss_pv_cn</x:v>
      </x:c>
      <x:c r="D1275" s="11" t="str">
        <x:v>活动输入</x:v>
      </x:c>
      <x:c r="E1275" s="11" t="n">
        <x:f>CHOOSE('假设'!$B$3,E1276,E1277,E1278)</x:f>
        <x:v>0.46699999999999997</x:v>
      </x:c>
      <x:c r="F1275" s="11" t="n">
        <x:f>CHOOSE('假设'!$B$3,F1276,F1277,F1278)</x:f>
        <x:v>0.3</x:v>
      </x:c>
      <x:c r="G1275" s="11" t="n">
        <x:f>CHOOSE('假设'!$B$3,G1276,G1277,G1278)</x:f>
        <x:v>1</x:v>
      </x:c>
      <x:c r="H1275" s="11" t="n">
        <x:f>CHOOSE('假设'!$B$3,H1276,H1277,H1278)</x:f>
        <x:v>0.14</x:v>
      </x:c>
      <x:c r="I1275" s="11" t="n">
        <x:f>CHOOSE('假设'!$B$3,I1276,I1277,I1278)</x:f>
        <x:v>6.8</x:v>
      </x:c>
    </x:row>
    <x:row r="1276" ht="23" customHeight="1">
      <x:c r="A1276" s="11" t="str">
        <x:v>688062.SH</x:v>
      </x:c>
      <x:c r="B1276" s="11" t="str">
        <x:v>三年</x:v>
      </x:c>
      <x:c r="C1276" s="11" t="str">
        <x:v>tmprss_pv_cn</x:v>
      </x:c>
      <x:c r="D1276" s="11" t="str">
        <x:v>悲观</x:v>
      </x:c>
      <x:c r="E1276" s="16" t="n">
        <x:v>0.15000000000000002</x:v>
      </x:c>
      <x:c r="F1276" s="16" t="n">
        <x:v>0.2</x:v>
      </x:c>
      <x:c r="G1276" s="16" t="n">
        <x:v>1</x:v>
      </x:c>
      <x:c r="H1276" s="11" t="n">
        <x:f>H1220</x:f>
        <x:v>0.18</x:v>
      </x:c>
      <x:c r="I1276" s="11" t="n">
        <x:f>I1220</x:f>
        <x:v>6.8</x:v>
      </x:c>
    </x:row>
    <x:row r="1277" ht="23" customHeight="1">
      <x:c r="A1277" s="11" t="str">
        <x:v>688062.SH</x:v>
      </x:c>
      <x:c r="B1277" s="11" t="str">
        <x:v>三年</x:v>
      </x:c>
      <x:c r="C1277" s="11" t="str">
        <x:v>tmprss_pv_cn</x:v>
      </x:c>
      <x:c r="D1277" s="11" t="str">
        <x:v>基准</x:v>
      </x:c>
      <x:c r="E1277" s="16" t="n">
        <x:v>0.46699999999999997</x:v>
      </x:c>
      <x:c r="F1277" s="16" t="n">
        <x:v>0.3</x:v>
      </x:c>
      <x:c r="G1277" s="16" t="n">
        <x:v>1</x:v>
      </x:c>
      <x:c r="H1277" s="11" t="n">
        <x:f>H1221</x:f>
        <x:v>0.14</x:v>
      </x:c>
      <x:c r="I1277" s="11" t="n">
        <x:f>I1221</x:f>
        <x:v>6.8</x:v>
      </x:c>
    </x:row>
    <x:row r="1278" ht="23" customHeight="1">
      <x:c r="A1278" s="11" t="str">
        <x:v>688062.SH</x:v>
      </x:c>
      <x:c r="B1278" s="11" t="str">
        <x:v>三年</x:v>
      </x:c>
      <x:c r="C1278" s="11" t="str">
        <x:v>tmprss_pv_cn</x:v>
      </x:c>
      <x:c r="D1278" s="11" t="str">
        <x:v>乐观</x:v>
      </x:c>
      <x:c r="E1278" s="16" t="n">
        <x:v>0.728</x:v>
      </x:c>
      <x:c r="F1278" s="16" t="n">
        <x:v>0.38</x:v>
      </x:c>
      <x:c r="G1278" s="16" t="n">
        <x:v>1</x:v>
      </x:c>
      <x:c r="H1278" s="11" t="n">
        <x:f>H1222</x:f>
        <x:v>0.11</x:v>
      </x:c>
      <x:c r="I1278" s="11" t="n">
        <x:f>I1222</x:f>
        <x:v>6.8</x:v>
      </x:c>
    </x:row>
    <x:row r="1279" ht="23" customHeight="1">
      <x:c r="A1279" s="11" t="str">
        <x:v>688062.SH</x:v>
      </x:c>
      <x:c r="B1279" s="11" t="str">
        <x:v>三年</x:v>
      </x:c>
      <x:c r="C1279" s="11" t="str">
        <x:v>tmprss_scd</x:v>
      </x:c>
      <x:c r="D1279" s="11" t="str">
        <x:v>活动输入</x:v>
      </x:c>
      <x:c r="E1279" s="11" t="n">
        <x:f>CHOOSE('假设'!$B$3,E1280,E1281,E1282)</x:f>
        <x:v>0.30300000000000005</x:v>
      </x:c>
      <x:c r="F1279" s="11" t="n">
        <x:f>CHOOSE('假设'!$B$3,F1280,F1281,F1282)</x:f>
        <x:v>0.068</x:v>
      </x:c>
      <x:c r="G1279" s="11" t="n">
        <x:f>CHOOSE('假设'!$B$3,G1280,G1281,G1282)</x:f>
        <x:v>1</x:v>
      </x:c>
      <x:c r="H1279" s="11" t="n">
        <x:f>CHOOSE('假设'!$B$3,H1280,H1281,H1282)</x:f>
        <x:v>0.14</x:v>
      </x:c>
      <x:c r="I1279" s="11" t="n">
        <x:f>CHOOSE('假设'!$B$3,I1280,I1281,I1282)</x:f>
        <x:v>6.8</x:v>
      </x:c>
    </x:row>
    <x:row r="1280" ht="23" customHeight="1">
      <x:c r="A1280" s="11" t="str">
        <x:v>688062.SH</x:v>
      </x:c>
      <x:c r="B1280" s="11" t="str">
        <x:v>三年</x:v>
      </x:c>
      <x:c r="C1280" s="11" t="str">
        <x:v>tmprss_scd</x:v>
      </x:c>
      <x:c r="D1280" s="11" t="str">
        <x:v>悲观</x:v>
      </x:c>
      <x:c r="E1280" s="16" t="n">
        <x:v>0.050000000000000044</x:v>
      </x:c>
      <x:c r="F1280" s="16" t="n">
        <x:v>0.0468</x:v>
      </x:c>
      <x:c r="G1280" s="16" t="n">
        <x:v>1</x:v>
      </x:c>
      <x:c r="H1280" s="11" t="n">
        <x:f>H1220</x:f>
        <x:v>0.18</x:v>
      </x:c>
      <x:c r="I1280" s="11" t="n">
        <x:f>I1220</x:f>
        <x:v>6.8</x:v>
      </x:c>
    </x:row>
    <x:row r="1281" ht="23" customHeight="1">
      <x:c r="A1281" s="11" t="str">
        <x:v>688062.SH</x:v>
      </x:c>
      <x:c r="B1281" s="11" t="str">
        <x:v>三年</x:v>
      </x:c>
      <x:c r="C1281" s="11" t="str">
        <x:v>tmprss_scd</x:v>
      </x:c>
      <x:c r="D1281" s="11" t="str">
        <x:v>基准</x:v>
      </x:c>
      <x:c r="E1281" s="16" t="n">
        <x:v>0.30300000000000005</x:v>
      </x:c>
      <x:c r="F1281" s="16" t="n">
        <x:v>0.068</x:v>
      </x:c>
      <x:c r="G1281" s="16" t="n">
        <x:v>1</x:v>
      </x:c>
      <x:c r="H1281" s="11" t="n">
        <x:f>H1221</x:f>
        <x:v>0.14</x:v>
      </x:c>
      <x:c r="I1281" s="11" t="n">
        <x:f>I1221</x:f>
        <x:v>6.8</x:v>
      </x:c>
    </x:row>
    <x:row r="1282" ht="23" customHeight="1">
      <x:c r="A1282" s="11" t="str">
        <x:v>688062.SH</x:v>
      </x:c>
      <x:c r="B1282" s="11" t="str">
        <x:v>三年</x:v>
      </x:c>
      <x:c r="C1282" s="11" t="str">
        <x:v>tmprss_scd</x:v>
      </x:c>
      <x:c r="D1282" s="11" t="str">
        <x:v>乐观</x:v>
      </x:c>
      <x:c r="E1282" s="16" t="n">
        <x:v>0.524</x:v>
      </x:c>
      <x:c r="F1282" s="16" t="n">
        <x:v>0.08610000000000001</x:v>
      </x:c>
      <x:c r="G1282" s="16" t="n">
        <x:v>1</x:v>
      </x:c>
      <x:c r="H1282" s="11" t="n">
        <x:f>H1222</x:f>
        <x:v>0.11</x:v>
      </x:c>
      <x:c r="I1282" s="11" t="n">
        <x:f>I1222</x:f>
        <x:v>6.8</x:v>
      </x:c>
    </x:row>
    <x:row r="1283" ht="23" customHeight="1">
      <x:c r="A1283" s="11" t="str">
        <x:v>688062.SH</x:v>
      </x:c>
      <x:c r="B1283" s="11" t="str">
        <x:v>五年</x:v>
      </x:c>
      <x:c r="C1283" s="11" t="str">
        <x:v>biosim</x:v>
      </x:c>
      <x:c r="D1283" s="11" t="str">
        <x:v>活动输入</x:v>
      </x:c>
      <x:c r="E1283" s="11" t="n">
        <x:f>CHOOSE('假设'!$B$3,E1284,E1285,E1286)</x:f>
        <x:v>0.9496</x:v>
      </x:c>
      <x:c r="F1283" s="11" t="n">
        <x:f>CHOOSE('假设'!$B$3,F1284,F1285,F1286)</x:f>
        <x:v>0.23</x:v>
      </x:c>
      <x:c r="G1283" s="11" t="n">
        <x:f>CHOOSE('假设'!$B$3,G1284,G1285,G1286)</x:f>
        <x:v>1</x:v>
      </x:c>
      <x:c r="H1283" s="11" t="n">
        <x:f>CHOOSE('假设'!$B$3,H1284,H1285,H1286)</x:f>
        <x:v>0.14</x:v>
      </x:c>
      <x:c r="I1283" s="11" t="n">
        <x:f>CHOOSE('假设'!$B$3,I1284,I1285,I1286)</x:f>
        <x:v>6.8</x:v>
      </x:c>
    </x:row>
    <x:row r="1284" ht="23" customHeight="1">
      <x:c r="A1284" s="11" t="str">
        <x:v>688062.SH</x:v>
      </x:c>
      <x:c r="B1284" s="11" t="str">
        <x:v>五年</x:v>
      </x:c>
      <x:c r="C1284" s="11" t="str">
        <x:v>biosim</x:v>
      </x:c>
      <x:c r="D1284" s="11" t="str">
        <x:v>悲观</x:v>
      </x:c>
      <x:c r="E1284" s="16" t="n">
        <x:v>0.85</x:v>
      </x:c>
      <x:c r="F1284" s="16" t="n">
        <x:v>0.12</x:v>
      </x:c>
      <x:c r="G1284" s="16" t="n">
        <x:v>1</x:v>
      </x:c>
      <x:c r="H1284" s="16" t="n">
        <x:v>0.18</x:v>
      </x:c>
      <x:c r="I1284" s="16" t="n">
        <x:v>6.8</x:v>
      </x:c>
    </x:row>
    <x:row r="1285" ht="23" customHeight="1">
      <x:c r="A1285" s="11" t="str">
        <x:v>688062.SH</x:v>
      </x:c>
      <x:c r="B1285" s="11" t="str">
        <x:v>五年</x:v>
      </x:c>
      <x:c r="C1285" s="11" t="str">
        <x:v>biosim</x:v>
      </x:c>
      <x:c r="D1285" s="11" t="str">
        <x:v>基准</x:v>
      </x:c>
      <x:c r="E1285" s="16" t="n">
        <x:v>0.9496</x:v>
      </x:c>
      <x:c r="F1285" s="16" t="n">
        <x:v>0.23</x:v>
      </x:c>
      <x:c r="G1285" s="16" t="n">
        <x:v>1</x:v>
      </x:c>
      <x:c r="H1285" s="16" t="n">
        <x:v>0.14</x:v>
      </x:c>
      <x:c r="I1285" s="16" t="n">
        <x:v>6.8</x:v>
      </x:c>
    </x:row>
    <x:row r="1286" ht="23" customHeight="1">
      <x:c r="A1286" s="11" t="str">
        <x:v>688062.SH</x:v>
      </x:c>
      <x:c r="B1286" s="11" t="str">
        <x:v>五年</x:v>
      </x:c>
      <x:c r="C1286" s="11" t="str">
        <x:v>biosim</x:v>
      </x:c>
      <x:c r="D1286" s="11" t="str">
        <x:v>乐观</x:v>
      </x:c>
      <x:c r="E1286" s="16" t="n">
        <x:v>0.99</x:v>
      </x:c>
      <x:c r="F1286" s="16" t="n">
        <x:v>0.3</x:v>
      </x:c>
      <x:c r="G1286" s="16" t="n">
        <x:v>1</x:v>
      </x:c>
      <x:c r="H1286" s="16" t="n">
        <x:v>0.11</x:v>
      </x:c>
      <x:c r="I1286" s="16" t="n">
        <x:v>6.8</x:v>
      </x:c>
    </x:row>
    <x:row r="1287" ht="23" customHeight="1">
      <x:c r="A1287" s="11" t="str">
        <x:v>688062.SH</x:v>
      </x:c>
      <x:c r="B1287" s="11" t="str">
        <x:v>五年</x:v>
      </x:c>
      <x:c r="C1287" s="11" t="str">
        <x:v>gcsf</x:v>
      </x:c>
      <x:c r="D1287" s="11" t="str">
        <x:v>活动输入</x:v>
      </x:c>
      <x:c r="E1287" s="11" t="n">
        <x:f>CHOOSE('假设'!$B$3,E1288,E1289,E1290)</x:f>
        <x:v>1</x:v>
      </x:c>
      <x:c r="F1287" s="11" t="n">
        <x:f>CHOOSE('假设'!$B$3,F1288,F1289,F1290)</x:f>
        <x:v>0.08000000000000002</x:v>
      </x:c>
      <x:c r="G1287" s="11" t="n">
        <x:f>CHOOSE('假设'!$B$3,G1288,G1289,G1290)</x:f>
        <x:v>1</x:v>
      </x:c>
      <x:c r="H1287" s="11" t="n">
        <x:f>CHOOSE('假设'!$B$3,H1288,H1289,H1290)</x:f>
        <x:v>0.14</x:v>
      </x:c>
      <x:c r="I1287" s="11" t="n">
        <x:f>CHOOSE('假设'!$B$3,I1288,I1289,I1290)</x:f>
        <x:v>6.8</x:v>
      </x:c>
    </x:row>
    <x:row r="1288" ht="23" customHeight="1">
      <x:c r="A1288" s="11" t="str">
        <x:v>688062.SH</x:v>
      </x:c>
      <x:c r="B1288" s="11" t="str">
        <x:v>五年</x:v>
      </x:c>
      <x:c r="C1288" s="11" t="str">
        <x:v>gcsf</x:v>
      </x:c>
      <x:c r="D1288" s="11" t="str">
        <x:v>悲观</x:v>
      </x:c>
      <x:c r="E1288" s="16" t="n">
        <x:v>1</x:v>
      </x:c>
      <x:c r="F1288" s="16" t="n">
        <x:v>0.0468</x:v>
      </x:c>
      <x:c r="G1288" s="16" t="n">
        <x:v>1</x:v>
      </x:c>
      <x:c r="H1288" s="11" t="n">
        <x:f>H1284</x:f>
        <x:v>0.18</x:v>
      </x:c>
      <x:c r="I1288" s="11" t="n">
        <x:f>I1284</x:f>
        <x:v>6.8</x:v>
      </x:c>
    </x:row>
    <x:row r="1289" ht="23" customHeight="1">
      <x:c r="A1289" s="11" t="str">
        <x:v>688062.SH</x:v>
      </x:c>
      <x:c r="B1289" s="11" t="str">
        <x:v>五年</x:v>
      </x:c>
      <x:c r="C1289" s="11" t="str">
        <x:v>gcsf</x:v>
      </x:c>
      <x:c r="D1289" s="11" t="str">
        <x:v>基准</x:v>
      </x:c>
      <x:c r="E1289" s="16" t="n">
        <x:v>1</x:v>
      </x:c>
      <x:c r="F1289" s="16" t="n">
        <x:v>0.08000000000000002</x:v>
      </x:c>
      <x:c r="G1289" s="16" t="n">
        <x:v>1</x:v>
      </x:c>
      <x:c r="H1289" s="11" t="n">
        <x:f>H1285</x:f>
        <x:v>0.14</x:v>
      </x:c>
      <x:c r="I1289" s="11" t="n">
        <x:f>I1285</x:f>
        <x:v>6.8</x:v>
      </x:c>
    </x:row>
    <x:row r="1290" ht="23" customHeight="1">
      <x:c r="A1290" s="11" t="str">
        <x:v>688062.SH</x:v>
      </x:c>
      <x:c r="B1290" s="11" t="str">
        <x:v>五年</x:v>
      </x:c>
      <x:c r="C1290" s="11" t="str">
        <x:v>gcsf</x:v>
      </x:c>
      <x:c r="D1290" s="11" t="str">
        <x:v>乐观</x:v>
      </x:c>
      <x:c r="E1290" s="16" t="n">
        <x:v>1</x:v>
      </x:c>
      <x:c r="F1290" s="16" t="n">
        <x:v>0.10660000000000001</x:v>
      </x:c>
      <x:c r="G1290" s="16" t="n">
        <x:v>1</x:v>
      </x:c>
      <x:c r="H1290" s="11" t="n">
        <x:f>H1286</x:f>
        <x:v>0.11</x:v>
      </x:c>
      <x:c r="I1290" s="11" t="n">
        <x:f>I1286</x:f>
        <x:v>6.8</x:v>
      </x:c>
    </x:row>
    <x:row r="1291" ht="23" customHeight="1">
      <x:c r="A1291" s="11" t="str">
        <x:v>688062.SH</x:v>
      </x:c>
      <x:c r="B1291" s="11" t="str">
        <x:v>五年</x:v>
      </x:c>
      <x:c r="C1291" s="11" t="str">
        <x:v>bfv_uc_later</x:v>
      </x:c>
      <x:c r="D1291" s="11" t="str">
        <x:v>活动输入</x:v>
      </x:c>
      <x:c r="E1291" s="11" t="n">
        <x:f>CHOOSE('假设'!$B$3,E1292,E1293,E1294)</x:f>
        <x:v>0.7263999999999999</x:v>
      </x:c>
      <x:c r="F1291" s="11" t="n">
        <x:f>CHOOSE('假设'!$B$3,F1292,F1293,F1294)</x:f>
        <x:v>0.3</x:v>
      </x:c>
      <x:c r="G1291" s="11" t="n">
        <x:f>CHOOSE('假设'!$B$3,G1292,G1293,G1294)</x:f>
        <x:v>1</x:v>
      </x:c>
      <x:c r="H1291" s="11" t="n">
        <x:f>CHOOSE('假设'!$B$3,H1292,H1293,H1294)</x:f>
        <x:v>0.14</x:v>
      </x:c>
      <x:c r="I1291" s="11" t="n">
        <x:f>CHOOSE('假设'!$B$3,I1292,I1293,I1294)</x:f>
        <x:v>6.8</x:v>
      </x:c>
    </x:row>
    <x:row r="1292" ht="23" customHeight="1">
      <x:c r="A1292" s="11" t="str">
        <x:v>688062.SH</x:v>
      </x:c>
      <x:c r="B1292" s="11" t="str">
        <x:v>五年</x:v>
      </x:c>
      <x:c r="C1292" s="11" t="str">
        <x:v>bfv_uc_later</x:v>
      </x:c>
      <x:c r="D1292" s="11" t="str">
        <x:v>悲观</x:v>
      </x:c>
      <x:c r="E1292" s="16" t="n">
        <x:v>0.35</x:v>
      </x:c>
      <x:c r="F1292" s="16" t="n">
        <x:v>0.2</x:v>
      </x:c>
      <x:c r="G1292" s="16" t="n">
        <x:v>1</x:v>
      </x:c>
      <x:c r="H1292" s="11" t="n">
        <x:f>H1284</x:f>
        <x:v>0.18</x:v>
      </x:c>
      <x:c r="I1292" s="11" t="n">
        <x:f>I1284</x:f>
        <x:v>6.8</x:v>
      </x:c>
    </x:row>
    <x:row r="1293" ht="23" customHeight="1">
      <x:c r="A1293" s="11" t="str">
        <x:v>688062.SH</x:v>
      </x:c>
      <x:c r="B1293" s="11" t="str">
        <x:v>五年</x:v>
      </x:c>
      <x:c r="C1293" s="11" t="str">
        <x:v>bfv_uc_later</x:v>
      </x:c>
      <x:c r="D1293" s="11" t="str">
        <x:v>基准</x:v>
      </x:c>
      <x:c r="E1293" s="16" t="n">
        <x:v>0.7263999999999999</x:v>
      </x:c>
      <x:c r="F1293" s="16" t="n">
        <x:v>0.3</x:v>
      </x:c>
      <x:c r="G1293" s="16" t="n">
        <x:v>1</x:v>
      </x:c>
      <x:c r="H1293" s="11" t="n">
        <x:f>H1285</x:f>
        <x:v>0.14</x:v>
      </x:c>
      <x:c r="I1293" s="11" t="n">
        <x:f>I1285</x:f>
        <x:v>6.8</x:v>
      </x:c>
    </x:row>
    <x:row r="1294" ht="23" customHeight="1">
      <x:c r="A1294" s="11" t="str">
        <x:v>688062.SH</x:v>
      </x:c>
      <x:c r="B1294" s="11" t="str">
        <x:v>五年</x:v>
      </x:c>
      <x:c r="C1294" s="11" t="str">
        <x:v>bfv_uc_later</x:v>
      </x:c>
      <x:c r="D1294" s="11" t="str">
        <x:v>乐观</x:v>
      </x:c>
      <x:c r="E1294" s="16" t="n">
        <x:v>0.9099999999999999</x:v>
      </x:c>
      <x:c r="F1294" s="16" t="n">
        <x:v>0.38</x:v>
      </x:c>
      <x:c r="G1294" s="16" t="n">
        <x:v>1</x:v>
      </x:c>
      <x:c r="H1294" s="11" t="n">
        <x:f>H1286</x:f>
        <x:v>0.11</x:v>
      </x:c>
      <x:c r="I1294" s="11" t="n">
        <x:f>I1286</x:f>
        <x:v>6.8</x:v>
      </x:c>
    </x:row>
    <x:row r="1295" ht="23" customHeight="1">
      <x:c r="A1295" s="11" t="str">
        <x:v>688062.SH</x:v>
      </x:c>
      <x:c r="B1295" s="11" t="str">
        <x:v>五年</x:v>
      </x:c>
      <x:c r="C1295" s="11" t="str">
        <x:v>bfv_uc_first</x:v>
      </x:c>
      <x:c r="D1295" s="11" t="str">
        <x:v>活动输入</x:v>
      </x:c>
      <x:c r="E1295" s="11" t="n">
        <x:f>CHOOSE('假设'!$B$3,E1296,E1297,E1298)</x:f>
        <x:v>0.676</x:v>
      </x:c>
      <x:c r="F1295" s="11" t="n">
        <x:f>CHOOSE('假设'!$B$3,F1296,F1297,F1298)</x:f>
        <x:v>0.3</x:v>
      </x:c>
      <x:c r="G1295" s="11" t="n">
        <x:f>CHOOSE('假设'!$B$3,G1296,G1297,G1298)</x:f>
        <x:v>1</x:v>
      </x:c>
      <x:c r="H1295" s="11" t="n">
        <x:f>CHOOSE('假设'!$B$3,H1296,H1297,H1298)</x:f>
        <x:v>0.14</x:v>
      </x:c>
      <x:c r="I1295" s="11" t="n">
        <x:f>CHOOSE('假设'!$B$3,I1296,I1297,I1298)</x:f>
        <x:v>6.8</x:v>
      </x:c>
    </x:row>
    <x:row r="1296" ht="23" customHeight="1">
      <x:c r="A1296" s="11" t="str">
        <x:v>688062.SH</x:v>
      </x:c>
      <x:c r="B1296" s="11" t="str">
        <x:v>五年</x:v>
      </x:c>
      <x:c r="C1296" s="11" t="str">
        <x:v>bfv_uc_first</x:v>
      </x:c>
      <x:c r="D1296" s="11" t="str">
        <x:v>悲观</x:v>
      </x:c>
      <x:c r="E1296" s="16" t="n">
        <x:v>0.25</x:v>
      </x:c>
      <x:c r="F1296" s="16" t="n">
        <x:v>0.2</x:v>
      </x:c>
      <x:c r="G1296" s="16" t="n">
        <x:v>1</x:v>
      </x:c>
      <x:c r="H1296" s="11" t="n">
        <x:f>H1284</x:f>
        <x:v>0.18</x:v>
      </x:c>
      <x:c r="I1296" s="11" t="n">
        <x:f>I1284</x:f>
        <x:v>6.8</x:v>
      </x:c>
    </x:row>
    <x:row r="1297" ht="23" customHeight="1">
      <x:c r="A1297" s="11" t="str">
        <x:v>688062.SH</x:v>
      </x:c>
      <x:c r="B1297" s="11" t="str">
        <x:v>五年</x:v>
      </x:c>
      <x:c r="C1297" s="11" t="str">
        <x:v>bfv_uc_first</x:v>
      </x:c>
      <x:c r="D1297" s="11" t="str">
        <x:v>基准</x:v>
      </x:c>
      <x:c r="E1297" s="16" t="n">
        <x:v>0.676</x:v>
      </x:c>
      <x:c r="F1297" s="16" t="n">
        <x:v>0.3</x:v>
      </x:c>
      <x:c r="G1297" s="16" t="n">
        <x:v>1</x:v>
      </x:c>
      <x:c r="H1297" s="11" t="n">
        <x:f>H1285</x:f>
        <x:v>0.14</x:v>
      </x:c>
      <x:c r="I1297" s="11" t="n">
        <x:f>I1285</x:f>
        <x:v>6.8</x:v>
      </x:c>
    </x:row>
    <x:row r="1298" ht="23" customHeight="1">
      <x:c r="A1298" s="11" t="str">
        <x:v>688062.SH</x:v>
      </x:c>
      <x:c r="B1298" s="11" t="str">
        <x:v>五年</x:v>
      </x:c>
      <x:c r="C1298" s="11" t="str">
        <x:v>bfv_uc_first</x:v>
      </x:c>
      <x:c r="D1298" s="11" t="str">
        <x:v>乐观</x:v>
      </x:c>
      <x:c r="E1298" s="16" t="n">
        <x:v>0.89</x:v>
      </x:c>
      <x:c r="F1298" s="16" t="n">
        <x:v>0.38</x:v>
      </x:c>
      <x:c r="G1298" s="16" t="n">
        <x:v>1</x:v>
      </x:c>
      <x:c r="H1298" s="11" t="n">
        <x:f>H1286</x:f>
        <x:v>0.11</x:v>
      </x:c>
      <x:c r="I1298" s="11" t="n">
        <x:f>I1286</x:f>
        <x:v>6.8</x:v>
      </x:c>
    </x:row>
    <x:row r="1299" ht="23" customHeight="1">
      <x:c r="A1299" s="11" t="str">
        <x:v>688062.SH</x:v>
      </x:c>
      <x:c r="B1299" s="11" t="str">
        <x:v>五年</x:v>
      </x:c>
      <x:c r="C1299" s="11" t="str">
        <x:v>bfv_cervix</x:v>
      </x:c>
      <x:c r="D1299" s="11" t="str">
        <x:v>活动输入</x:v>
      </x:c>
      <x:c r="E1299" s="11" t="n">
        <x:f>CHOOSE('假设'!$B$3,E1300,E1301,E1302)</x:f>
        <x:v>0.6255999999999999</x:v>
      </x:c>
      <x:c r="F1299" s="11" t="n">
        <x:f>CHOOSE('假设'!$B$3,F1300,F1301,F1302)</x:f>
        <x:v>0.3</x:v>
      </x:c>
      <x:c r="G1299" s="11" t="n">
        <x:f>CHOOSE('假设'!$B$3,G1300,G1301,G1302)</x:f>
        <x:v>1</x:v>
      </x:c>
      <x:c r="H1299" s="11" t="n">
        <x:f>CHOOSE('假设'!$B$3,H1300,H1301,H1302)</x:f>
        <x:v>0.14</x:v>
      </x:c>
      <x:c r="I1299" s="11" t="n">
        <x:f>CHOOSE('假设'!$B$3,I1300,I1301,I1302)</x:f>
        <x:v>6.8</x:v>
      </x:c>
    </x:row>
    <x:row r="1300" ht="23" customHeight="1">
      <x:c r="A1300" s="11" t="str">
        <x:v>688062.SH</x:v>
      </x:c>
      <x:c r="B1300" s="11" t="str">
        <x:v>五年</x:v>
      </x:c>
      <x:c r="C1300" s="11" t="str">
        <x:v>bfv_cervix</x:v>
      </x:c>
      <x:c r="D1300" s="11" t="str">
        <x:v>悲观</x:v>
      </x:c>
      <x:c r="E1300" s="16" t="n">
        <x:v>0.21999999999999997</x:v>
      </x:c>
      <x:c r="F1300" s="16" t="n">
        <x:v>0.2</x:v>
      </x:c>
      <x:c r="G1300" s="16" t="n">
        <x:v>1</x:v>
      </x:c>
      <x:c r="H1300" s="11" t="n">
        <x:f>H1284</x:f>
        <x:v>0.18</x:v>
      </x:c>
      <x:c r="I1300" s="11" t="n">
        <x:f>I1284</x:f>
        <x:v>6.8</x:v>
      </x:c>
    </x:row>
    <x:row r="1301" ht="23" customHeight="1">
      <x:c r="A1301" s="11" t="str">
        <x:v>688062.SH</x:v>
      </x:c>
      <x:c r="B1301" s="11" t="str">
        <x:v>五年</x:v>
      </x:c>
      <x:c r="C1301" s="11" t="str">
        <x:v>bfv_cervix</x:v>
      </x:c>
      <x:c r="D1301" s="11" t="str">
        <x:v>基准</x:v>
      </x:c>
      <x:c r="E1301" s="16" t="n">
        <x:v>0.6255999999999999</x:v>
      </x:c>
      <x:c r="F1301" s="16" t="n">
        <x:v>0.3</x:v>
      </x:c>
      <x:c r="G1301" s="16" t="n">
        <x:v>1</x:v>
      </x:c>
      <x:c r="H1301" s="11" t="n">
        <x:f>H1285</x:f>
        <x:v>0.14</x:v>
      </x:c>
      <x:c r="I1301" s="11" t="n">
        <x:f>I1285</x:f>
        <x:v>6.8</x:v>
      </x:c>
    </x:row>
    <x:row r="1302" ht="23" customHeight="1">
      <x:c r="A1302" s="11" t="str">
        <x:v>688062.SH</x:v>
      </x:c>
      <x:c r="B1302" s="11" t="str">
        <x:v>五年</x:v>
      </x:c>
      <x:c r="C1302" s="11" t="str">
        <x:v>bfv_cervix</x:v>
      </x:c>
      <x:c r="D1302" s="11" t="str">
        <x:v>乐观</x:v>
      </x:c>
      <x:c r="E1302" s="16" t="n">
        <x:v>0.865</x:v>
      </x:c>
      <x:c r="F1302" s="16" t="n">
        <x:v>0.38</x:v>
      </x:c>
      <x:c r="G1302" s="16" t="n">
        <x:v>1</x:v>
      </x:c>
      <x:c r="H1302" s="11" t="n">
        <x:f>H1286</x:f>
        <x:v>0.11</x:v>
      </x:c>
      <x:c r="I1302" s="11" t="n">
        <x:f>I1286</x:f>
        <x:v>6.8</x:v>
      </x:c>
    </x:row>
    <x:row r="1303" ht="23" customHeight="1">
      <x:c r="A1303" s="11" t="str">
        <x:v>688062.SH</x:v>
      </x:c>
      <x:c r="B1303" s="11" t="str">
        <x:v>五年</x:v>
      </x:c>
      <x:c r="C1303" s="11" t="str">
        <x:v>bfv_tnbc</x:v>
      </x:c>
      <x:c r="D1303" s="11" t="str">
        <x:v>活动输入</x:v>
      </x:c>
      <x:c r="E1303" s="11" t="n">
        <x:f>CHOOSE('假设'!$B$3,E1304,E1305,E1306)</x:f>
        <x:v>0.496</x:v>
      </x:c>
      <x:c r="F1303" s="11" t="n">
        <x:f>CHOOSE('假设'!$B$3,F1304,F1305,F1306)</x:f>
        <x:v>0.3</x:v>
      </x:c>
      <x:c r="G1303" s="11" t="n">
        <x:f>CHOOSE('假设'!$B$3,G1304,G1305,G1306)</x:f>
        <x:v>1</x:v>
      </x:c>
      <x:c r="H1303" s="11" t="n">
        <x:f>CHOOSE('假设'!$B$3,H1304,H1305,H1306)</x:f>
        <x:v>0.14</x:v>
      </x:c>
      <x:c r="I1303" s="11" t="n">
        <x:f>CHOOSE('假设'!$B$3,I1304,I1305,I1306)</x:f>
        <x:v>6.8</x:v>
      </x:c>
    </x:row>
    <x:row r="1304" ht="23" customHeight="1">
      <x:c r="A1304" s="11" t="str">
        <x:v>688062.SH</x:v>
      </x:c>
      <x:c r="B1304" s="11" t="str">
        <x:v>五年</x:v>
      </x:c>
      <x:c r="C1304" s="11" t="str">
        <x:v>bfv_tnbc</x:v>
      </x:c>
      <x:c r="D1304" s="11" t="str">
        <x:v>悲观</x:v>
      </x:c>
      <x:c r="E1304" s="16" t="n">
        <x:v>0.12</x:v>
      </x:c>
      <x:c r="F1304" s="16" t="n">
        <x:v>0.2</x:v>
      </x:c>
      <x:c r="G1304" s="16" t="n">
        <x:v>1</x:v>
      </x:c>
      <x:c r="H1304" s="11" t="n">
        <x:f>H1284</x:f>
        <x:v>0.18</x:v>
      </x:c>
      <x:c r="I1304" s="11" t="n">
        <x:f>I1284</x:f>
        <x:v>6.8</x:v>
      </x:c>
    </x:row>
    <x:row r="1305" ht="23" customHeight="1">
      <x:c r="A1305" s="11" t="str">
        <x:v>688062.SH</x:v>
      </x:c>
      <x:c r="B1305" s="11" t="str">
        <x:v>五年</x:v>
      </x:c>
      <x:c r="C1305" s="11" t="str">
        <x:v>bfv_tnbc</x:v>
      </x:c>
      <x:c r="D1305" s="11" t="str">
        <x:v>基准</x:v>
      </x:c>
      <x:c r="E1305" s="16" t="n">
        <x:v>0.496</x:v>
      </x:c>
      <x:c r="F1305" s="16" t="n">
        <x:v>0.3</x:v>
      </x:c>
      <x:c r="G1305" s="16" t="n">
        <x:v>1</x:v>
      </x:c>
      <x:c r="H1305" s="11" t="n">
        <x:f>H1285</x:f>
        <x:v>0.14</x:v>
      </x:c>
      <x:c r="I1305" s="11" t="n">
        <x:f>I1285</x:f>
        <x:v>6.8</x:v>
      </x:c>
    </x:row>
    <x:row r="1306" ht="23" customHeight="1">
      <x:c r="A1306" s="11" t="str">
        <x:v>688062.SH</x:v>
      </x:c>
      <x:c r="B1306" s="11" t="str">
        <x:v>五年</x:v>
      </x:c>
      <x:c r="C1306" s="11" t="str">
        <x:v>bfv_tnbc</x:v>
      </x:c>
      <x:c r="D1306" s="11" t="str">
        <x:v>乐观</x:v>
      </x:c>
      <x:c r="E1306" s="16" t="n">
        <x:v>0.775</x:v>
      </x:c>
      <x:c r="F1306" s="16" t="n">
        <x:v>0.38</x:v>
      </x:c>
      <x:c r="G1306" s="16" t="n">
        <x:v>1</x:v>
      </x:c>
      <x:c r="H1306" s="11" t="n">
        <x:f>H1286</x:f>
        <x:v>0.11</x:v>
      </x:c>
      <x:c r="I1306" s="11" t="n">
        <x:f>I1286</x:f>
        <x:v>6.8</x:v>
      </x:c>
    </x:row>
    <x:row r="1307" ht="23" customHeight="1">
      <x:c r="A1307" s="11" t="str">
        <x:v>688062.SH</x:v>
      </x:c>
      <x:c r="B1307" s="11" t="str">
        <x:v>五年</x:v>
      </x:c>
      <x:c r="C1307" s="11" t="str">
        <x:v>bfv_escc</x:v>
      </x:c>
      <x:c r="D1307" s="11" t="str">
        <x:v>活动输入</x:v>
      </x:c>
      <x:c r="E1307" s="11" t="n">
        <x:f>CHOOSE('假设'!$B$3,E1308,E1309,E1310)</x:f>
        <x:v>0.3952</x:v>
      </x:c>
      <x:c r="F1307" s="11" t="n">
        <x:f>CHOOSE('假设'!$B$3,F1308,F1309,F1310)</x:f>
        <x:v>0.3</x:v>
      </x:c>
      <x:c r="G1307" s="11" t="n">
        <x:f>CHOOSE('假设'!$B$3,G1308,G1309,G1310)</x:f>
        <x:v>1</x:v>
      </x:c>
      <x:c r="H1307" s="11" t="n">
        <x:f>CHOOSE('假设'!$B$3,H1308,H1309,H1310)</x:f>
        <x:v>0.14</x:v>
      </x:c>
      <x:c r="I1307" s="11" t="n">
        <x:f>CHOOSE('假设'!$B$3,I1308,I1309,I1310)</x:f>
        <x:v>6.8</x:v>
      </x:c>
    </x:row>
    <x:row r="1308" ht="23" customHeight="1">
      <x:c r="A1308" s="11" t="str">
        <x:v>688062.SH</x:v>
      </x:c>
      <x:c r="B1308" s="11" t="str">
        <x:v>五年</x:v>
      </x:c>
      <x:c r="C1308" s="11" t="str">
        <x:v>bfv_escc</x:v>
      </x:c>
      <x:c r="D1308" s="11" t="str">
        <x:v>悲观</x:v>
      </x:c>
      <x:c r="E1308" s="16" t="n">
        <x:v>0.050000000000000044</x:v>
      </x:c>
      <x:c r="F1308" s="16" t="n">
        <x:v>0.2</x:v>
      </x:c>
      <x:c r="G1308" s="16" t="n">
        <x:v>1</x:v>
      </x:c>
      <x:c r="H1308" s="11" t="n">
        <x:f>H1284</x:f>
        <x:v>0.18</x:v>
      </x:c>
      <x:c r="I1308" s="11" t="n">
        <x:f>I1284</x:f>
        <x:v>6.8</x:v>
      </x:c>
    </x:row>
    <x:row r="1309" ht="23" customHeight="1">
      <x:c r="A1309" s="11" t="str">
        <x:v>688062.SH</x:v>
      </x:c>
      <x:c r="B1309" s="11" t="str">
        <x:v>五年</x:v>
      </x:c>
      <x:c r="C1309" s="11" t="str">
        <x:v>bfv_escc</x:v>
      </x:c>
      <x:c r="D1309" s="11" t="str">
        <x:v>基准</x:v>
      </x:c>
      <x:c r="E1309" s="16" t="n">
        <x:v>0.3952</x:v>
      </x:c>
      <x:c r="F1309" s="16" t="n">
        <x:v>0.3</x:v>
      </x:c>
      <x:c r="G1309" s="16" t="n">
        <x:v>1</x:v>
      </x:c>
      <x:c r="H1309" s="11" t="n">
        <x:f>H1285</x:f>
        <x:v>0.14</x:v>
      </x:c>
      <x:c r="I1309" s="11" t="n">
        <x:f>I1285</x:f>
        <x:v>6.8</x:v>
      </x:c>
    </x:row>
    <x:row r="1310" ht="23" customHeight="1">
      <x:c r="A1310" s="11" t="str">
        <x:v>688062.SH</x:v>
      </x:c>
      <x:c r="B1310" s="11" t="str">
        <x:v>五年</x:v>
      </x:c>
      <x:c r="C1310" s="11" t="str">
        <x:v>bfv_escc</x:v>
      </x:c>
      <x:c r="D1310" s="11" t="str">
        <x:v>乐观</x:v>
      </x:c>
      <x:c r="E1310" s="16" t="n">
        <x:v>0.67</x:v>
      </x:c>
      <x:c r="F1310" s="16" t="n">
        <x:v>0.38</x:v>
      </x:c>
      <x:c r="G1310" s="16" t="n">
        <x:v>1</x:v>
      </x:c>
      <x:c r="H1310" s="11" t="n">
        <x:f>H1286</x:f>
        <x:v>0.11</x:v>
      </x:c>
      <x:c r="I1310" s="11" t="n">
        <x:f>I1286</x:f>
        <x:v>6.8</x:v>
      </x:c>
    </x:row>
    <x:row r="1311" ht="23" customHeight="1">
      <x:c r="A1311" s="11" t="str">
        <x:v>688062.SH</x:v>
      </x:c>
      <x:c r="B1311" s="11" t="str">
        <x:v>五年</x:v>
      </x:c>
      <x:c r="C1311" s="11" t="str">
        <x:v>bfv_global</x:v>
      </x:c>
      <x:c r="D1311" s="11" t="str">
        <x:v>活动输入</x:v>
      </x:c>
      <x:c r="E1311" s="11" t="n">
        <x:f>CHOOSE('假设'!$B$3,E1312,E1313,E1314)</x:f>
        <x:v>0.42400000000000004</x:v>
      </x:c>
      <x:c r="F1311" s="11" t="n">
        <x:f>CHOOSE('假设'!$B$3,F1312,F1313,F1314)</x:f>
        <x:v>0.23</x:v>
      </x:c>
      <x:c r="G1311" s="11" t="n">
        <x:f>CHOOSE('假设'!$B$3,G1312,G1313,G1314)</x:f>
        <x:v>1</x:v>
      </x:c>
      <x:c r="H1311" s="11" t="n">
        <x:f>CHOOSE('假设'!$B$3,H1312,H1313,H1314)</x:f>
        <x:v>0.14</x:v>
      </x:c>
      <x:c r="I1311" s="11" t="n">
        <x:f>CHOOSE('假设'!$B$3,I1312,I1313,I1314)</x:f>
        <x:v>6.8</x:v>
      </x:c>
    </x:row>
    <x:row r="1312" ht="23" customHeight="1">
      <x:c r="A1312" s="11" t="str">
        <x:v>688062.SH</x:v>
      </x:c>
      <x:c r="B1312" s="11" t="str">
        <x:v>五年</x:v>
      </x:c>
      <x:c r="C1312" s="11" t="str">
        <x:v>bfv_global</x:v>
      </x:c>
      <x:c r="D1312" s="11" t="str">
        <x:v>悲观</x:v>
      </x:c>
      <x:c r="E1312" s="16" t="n">
        <x:v>0.07999999999999996</x:v>
      </x:c>
      <x:c r="F1312" s="16" t="n">
        <x:v>0.15</x:v>
      </x:c>
      <x:c r="G1312" s="16" t="n">
        <x:v>1</x:v>
      </x:c>
      <x:c r="H1312" s="11" t="n">
        <x:f>H1284</x:f>
        <x:v>0.18</x:v>
      </x:c>
      <x:c r="I1312" s="11" t="n">
        <x:f>I1284</x:f>
        <x:v>6.8</x:v>
      </x:c>
    </x:row>
    <x:row r="1313" ht="23" customHeight="1">
      <x:c r="A1313" s="11" t="str">
        <x:v>688062.SH</x:v>
      </x:c>
      <x:c r="B1313" s="11" t="str">
        <x:v>五年</x:v>
      </x:c>
      <x:c r="C1313" s="11" t="str">
        <x:v>bfv_global</x:v>
      </x:c>
      <x:c r="D1313" s="11" t="str">
        <x:v>基准</x:v>
      </x:c>
      <x:c r="E1313" s="16" t="n">
        <x:v>0.42400000000000004</x:v>
      </x:c>
      <x:c r="F1313" s="16" t="n">
        <x:v>0.23</x:v>
      </x:c>
      <x:c r="G1313" s="16" t="n">
        <x:v>1</x:v>
      </x:c>
      <x:c r="H1313" s="11" t="n">
        <x:f>H1285</x:f>
        <x:v>0.14</x:v>
      </x:c>
      <x:c r="I1313" s="11" t="n">
        <x:f>I1285</x:f>
        <x:v>6.8</x:v>
      </x:c>
    </x:row>
    <x:row r="1314" ht="23" customHeight="1">
      <x:c r="A1314" s="11" t="str">
        <x:v>688062.SH</x:v>
      </x:c>
      <x:c r="B1314" s="11" t="str">
        <x:v>五年</x:v>
      </x:c>
      <x:c r="C1314" s="11" t="str">
        <x:v>bfv_global</x:v>
      </x:c>
      <x:c r="D1314" s="11" t="str">
        <x:v>乐观</x:v>
      </x:c>
      <x:c r="E1314" s="16" t="n">
        <x:v>0.69</x:v>
      </x:c>
      <x:c r="F1314" s="16" t="n">
        <x:v>0.3</x:v>
      </x:c>
      <x:c r="G1314" s="16" t="n">
        <x:v>1</x:v>
      </x:c>
      <x:c r="H1314" s="11" t="n">
        <x:f>H1286</x:f>
        <x:v>0.11</x:v>
      </x:c>
      <x:c r="I1314" s="11" t="n">
        <x:f>I1286</x:f>
        <x:v>6.8</x:v>
      </x:c>
    </x:row>
    <x:row r="1315" ht="23" customHeight="1">
      <x:c r="A1315" s="11" t="str">
        <x:v>688062.SH</x:v>
      </x:c>
      <x:c r="B1315" s="11" t="str">
        <x:v>五年</x:v>
      </x:c>
      <x:c r="C1315" s="11" t="str">
        <x:v>b7h3</x:v>
      </x:c>
      <x:c r="D1315" s="11" t="str">
        <x:v>活动输入</x:v>
      </x:c>
      <x:c r="E1315" s="11" t="n">
        <x:f>CHOOSE('假设'!$B$3,E1316,E1317,E1318)</x:f>
        <x:v>0.4384</x:v>
      </x:c>
      <x:c r="F1315" s="11" t="n">
        <x:f>CHOOSE('假设'!$B$3,F1316,F1317,F1318)</x:f>
        <x:v>0.3</x:v>
      </x:c>
      <x:c r="G1315" s="11" t="n">
        <x:f>CHOOSE('假设'!$B$3,G1316,G1317,G1318)</x:f>
        <x:v>1</x:v>
      </x:c>
      <x:c r="H1315" s="11" t="n">
        <x:f>CHOOSE('假设'!$B$3,H1316,H1317,H1318)</x:f>
        <x:v>0.14</x:v>
      </x:c>
      <x:c r="I1315" s="11" t="n">
        <x:f>CHOOSE('假设'!$B$3,I1316,I1317,I1318)</x:f>
        <x:v>6.8</x:v>
      </x:c>
    </x:row>
    <x:row r="1316" ht="23" customHeight="1">
      <x:c r="A1316" s="11" t="str">
        <x:v>688062.SH</x:v>
      </x:c>
      <x:c r="B1316" s="11" t="str">
        <x:v>五年</x:v>
      </x:c>
      <x:c r="C1316" s="11" t="str">
        <x:v>b7h3</x:v>
      </x:c>
      <x:c r="D1316" s="11" t="str">
        <x:v>悲观</x:v>
      </x:c>
      <x:c r="E1316" s="16" t="n">
        <x:v>0.07999999999999996</x:v>
      </x:c>
      <x:c r="F1316" s="16" t="n">
        <x:v>0.2</x:v>
      </x:c>
      <x:c r="G1316" s="16" t="n">
        <x:v>1</x:v>
      </x:c>
      <x:c r="H1316" s="11" t="n">
        <x:f>H1284</x:f>
        <x:v>0.18</x:v>
      </x:c>
      <x:c r="I1316" s="11" t="n">
        <x:f>I1284</x:f>
        <x:v>6.8</x:v>
      </x:c>
    </x:row>
    <x:row r="1317" ht="23" customHeight="1">
      <x:c r="A1317" s="11" t="str">
        <x:v>688062.SH</x:v>
      </x:c>
      <x:c r="B1317" s="11" t="str">
        <x:v>五年</x:v>
      </x:c>
      <x:c r="C1317" s="11" t="str">
        <x:v>b7h3</x:v>
      </x:c>
      <x:c r="D1317" s="11" t="str">
        <x:v>基准</x:v>
      </x:c>
      <x:c r="E1317" s="16" t="n">
        <x:v>0.4384</x:v>
      </x:c>
      <x:c r="F1317" s="16" t="n">
        <x:v>0.3</x:v>
      </x:c>
      <x:c r="G1317" s="16" t="n">
        <x:v>1</x:v>
      </x:c>
      <x:c r="H1317" s="11" t="n">
        <x:f>H1285</x:f>
        <x:v>0.14</x:v>
      </x:c>
      <x:c r="I1317" s="11" t="n">
        <x:f>I1285</x:f>
        <x:v>6.8</x:v>
      </x:c>
    </x:row>
    <x:row r="1318" ht="23" customHeight="1">
      <x:c r="A1318" s="11" t="str">
        <x:v>688062.SH</x:v>
      </x:c>
      <x:c r="B1318" s="11" t="str">
        <x:v>五年</x:v>
      </x:c>
      <x:c r="C1318" s="11" t="str">
        <x:v>b7h3</x:v>
      </x:c>
      <x:c r="D1318" s="11" t="str">
        <x:v>乐观</x:v>
      </x:c>
      <x:c r="E1318" s="16" t="n">
        <x:v>0.71</x:v>
      </x:c>
      <x:c r="F1318" s="16" t="n">
        <x:v>0.38</x:v>
      </x:c>
      <x:c r="G1318" s="16" t="n">
        <x:v>1</x:v>
      </x:c>
      <x:c r="H1318" s="11" t="n">
        <x:f>H1286</x:f>
        <x:v>0.11</x:v>
      </x:c>
      <x:c r="I1318" s="11" t="n">
        <x:f>I1286</x:f>
        <x:v>6.8</x:v>
      </x:c>
    </x:row>
    <x:row r="1319" ht="23" customHeight="1">
      <x:c r="A1319" s="11" t="str">
        <x:v>688062.SH</x:v>
      </x:c>
      <x:c r="B1319" s="11" t="str">
        <x:v>五年</x:v>
      </x:c>
      <x:c r="C1319" s="11" t="str">
        <x:v>cdh17</x:v>
      </x:c>
      <x:c r="D1319" s="11" t="str">
        <x:v>活动输入</x:v>
      </x:c>
      <x:c r="E1319" s="11" t="n">
        <x:f>CHOOSE('假设'!$B$3,E1320,E1321,E1322)</x:f>
        <x:v>0.352</x:v>
      </x:c>
      <x:c r="F1319" s="11" t="n">
        <x:f>CHOOSE('假设'!$B$3,F1320,F1321,F1322)</x:f>
        <x:v>0.3</x:v>
      </x:c>
      <x:c r="G1319" s="11" t="n">
        <x:f>CHOOSE('假设'!$B$3,G1320,G1321,G1322)</x:f>
        <x:v>1</x:v>
      </x:c>
      <x:c r="H1319" s="11" t="n">
        <x:f>CHOOSE('假设'!$B$3,H1320,H1321,H1322)</x:f>
        <x:v>0.14</x:v>
      </x:c>
      <x:c r="I1319" s="11" t="n">
        <x:f>CHOOSE('假设'!$B$3,I1320,I1321,I1322)</x:f>
        <x:v>6.8</x:v>
      </x:c>
    </x:row>
    <x:row r="1320" ht="23" customHeight="1">
      <x:c r="A1320" s="11" t="str">
        <x:v>688062.SH</x:v>
      </x:c>
      <x:c r="B1320" s="11" t="str">
        <x:v>五年</x:v>
      </x:c>
      <x:c r="C1320" s="11" t="str">
        <x:v>cdh17</x:v>
      </x:c>
      <x:c r="D1320" s="11" t="str">
        <x:v>悲观</x:v>
      </x:c>
      <x:c r="E1320" s="16" t="n">
        <x:v>0.030000000000000027</x:v>
      </x:c>
      <x:c r="F1320" s="16" t="n">
        <x:v>0.2</x:v>
      </x:c>
      <x:c r="G1320" s="16" t="n">
        <x:v>1</x:v>
      </x:c>
      <x:c r="H1320" s="11" t="n">
        <x:f>H1284</x:f>
        <x:v>0.18</x:v>
      </x:c>
      <x:c r="I1320" s="11" t="n">
        <x:f>I1284</x:f>
        <x:v>6.8</x:v>
      </x:c>
    </x:row>
    <x:row r="1321" ht="23" customHeight="1">
      <x:c r="A1321" s="11" t="str">
        <x:v>688062.SH</x:v>
      </x:c>
      <x:c r="B1321" s="11" t="str">
        <x:v>五年</x:v>
      </x:c>
      <x:c r="C1321" s="11" t="str">
        <x:v>cdh17</x:v>
      </x:c>
      <x:c r="D1321" s="11" t="str">
        <x:v>基准</x:v>
      </x:c>
      <x:c r="E1321" s="16" t="n">
        <x:v>0.352</x:v>
      </x:c>
      <x:c r="F1321" s="16" t="n">
        <x:v>0.3</x:v>
      </x:c>
      <x:c r="G1321" s="16" t="n">
        <x:v>1</x:v>
      </x:c>
      <x:c r="H1321" s="11" t="n">
        <x:f>H1285</x:f>
        <x:v>0.14</x:v>
      </x:c>
      <x:c r="I1321" s="11" t="n">
        <x:f>I1285</x:f>
        <x:v>6.8</x:v>
      </x:c>
    </x:row>
    <x:row r="1322" ht="23" customHeight="1">
      <x:c r="A1322" s="11" t="str">
        <x:v>688062.SH</x:v>
      </x:c>
      <x:c r="B1322" s="11" t="str">
        <x:v>五年</x:v>
      </x:c>
      <x:c r="C1322" s="11" t="str">
        <x:v>cdh17</x:v>
      </x:c>
      <x:c r="D1322" s="11" t="str">
        <x:v>乐观</x:v>
      </x:c>
      <x:c r="E1322" s="16" t="n">
        <x:v>0.625</x:v>
      </x:c>
      <x:c r="F1322" s="16" t="n">
        <x:v>0.38</x:v>
      </x:c>
      <x:c r="G1322" s="16" t="n">
        <x:v>1</x:v>
      </x:c>
      <x:c r="H1322" s="11" t="n">
        <x:f>H1286</x:f>
        <x:v>0.11</x:v>
      </x:c>
      <x:c r="I1322" s="11" t="n">
        <x:f>I1286</x:f>
        <x:v>6.8</x:v>
      </x:c>
    </x:row>
    <x:row r="1323" ht="23" customHeight="1">
      <x:c r="A1323" s="11" t="str">
        <x:v>688062.SH</x:v>
      </x:c>
      <x:c r="B1323" s="11" t="str">
        <x:v>五年</x:v>
      </x:c>
      <x:c r="C1323" s="11" t="str">
        <x:v>st2</x:v>
      </x:c>
      <x:c r="D1323" s="11" t="str">
        <x:v>活动输入</x:v>
      </x:c>
      <x:c r="E1323" s="11" t="n">
        <x:f>CHOOSE('假设'!$B$3,E1324,E1325,E1326)</x:f>
        <x:v>0.45999999999999996</x:v>
      </x:c>
      <x:c r="F1323" s="11" t="n">
        <x:f>CHOOSE('假设'!$B$3,F1324,F1325,F1326)</x:f>
        <x:v>0.3</x:v>
      </x:c>
      <x:c r="G1323" s="11" t="n">
        <x:f>CHOOSE('假设'!$B$3,G1324,G1325,G1326)</x:f>
        <x:v>1</x:v>
      </x:c>
      <x:c r="H1323" s="11" t="n">
        <x:f>CHOOSE('假设'!$B$3,H1324,H1325,H1326)</x:f>
        <x:v>0.14</x:v>
      </x:c>
      <x:c r="I1323" s="11" t="n">
        <x:f>CHOOSE('假设'!$B$3,I1324,I1325,I1326)</x:f>
        <x:v>6.8</x:v>
      </x:c>
    </x:row>
    <x:row r="1324" ht="23" customHeight="1">
      <x:c r="A1324" s="11" t="str">
        <x:v>688062.SH</x:v>
      </x:c>
      <x:c r="B1324" s="11" t="str">
        <x:v>五年</x:v>
      </x:c>
      <x:c r="C1324" s="11" t="str">
        <x:v>st2</x:v>
      </x:c>
      <x:c r="D1324" s="11" t="str">
        <x:v>悲观</x:v>
      </x:c>
      <x:c r="E1324" s="16" t="n">
        <x:v>0.07000000000000006</x:v>
      </x:c>
      <x:c r="F1324" s="16" t="n">
        <x:v>0.2</x:v>
      </x:c>
      <x:c r="G1324" s="16" t="n">
        <x:v>1</x:v>
      </x:c>
      <x:c r="H1324" s="11" t="n">
        <x:f>H1284</x:f>
        <x:v>0.18</x:v>
      </x:c>
      <x:c r="I1324" s="11" t="n">
        <x:f>I1284</x:f>
        <x:v>6.8</x:v>
      </x:c>
    </x:row>
    <x:row r="1325" ht="23" customHeight="1">
      <x:c r="A1325" s="11" t="str">
        <x:v>688062.SH</x:v>
      </x:c>
      <x:c r="B1325" s="11" t="str">
        <x:v>五年</x:v>
      </x:c>
      <x:c r="C1325" s="11" t="str">
        <x:v>st2</x:v>
      </x:c>
      <x:c r="D1325" s="11" t="str">
        <x:v>基准</x:v>
      </x:c>
      <x:c r="E1325" s="16" t="n">
        <x:v>0.45999999999999996</x:v>
      </x:c>
      <x:c r="F1325" s="16" t="n">
        <x:v>0.3</x:v>
      </x:c>
      <x:c r="G1325" s="16" t="n">
        <x:v>1</x:v>
      </x:c>
      <x:c r="H1325" s="11" t="n">
        <x:f>H1285</x:f>
        <x:v>0.14</x:v>
      </x:c>
      <x:c r="I1325" s="11" t="n">
        <x:f>I1285</x:f>
        <x:v>6.8</x:v>
      </x:c>
    </x:row>
    <x:row r="1326" ht="23" customHeight="1">
      <x:c r="A1326" s="11" t="str">
        <x:v>688062.SH</x:v>
      </x:c>
      <x:c r="B1326" s="11" t="str">
        <x:v>五年</x:v>
      </x:c>
      <x:c r="C1326" s="11" t="str">
        <x:v>st2</x:v>
      </x:c>
      <x:c r="D1326" s="11" t="str">
        <x:v>乐观</x:v>
      </x:c>
      <x:c r="E1326" s="16" t="n">
        <x:v>0.725</x:v>
      </x:c>
      <x:c r="F1326" s="16" t="n">
        <x:v>0.38</x:v>
      </x:c>
      <x:c r="G1326" s="16" t="n">
        <x:v>1</x:v>
      </x:c>
      <x:c r="H1326" s="11" t="n">
        <x:f>H1286</x:f>
        <x:v>0.11</x:v>
      </x:c>
      <x:c r="I1326" s="11" t="n">
        <x:f>I1286</x:f>
        <x:v>6.8</x:v>
      </x:c>
    </x:row>
    <x:row r="1327" ht="23" customHeight="1">
      <x:c r="A1327" s="11" t="str">
        <x:v>688062.SH</x:v>
      </x:c>
      <x:c r="B1327" s="11" t="str">
        <x:v>五年</x:v>
      </x:c>
      <x:c r="C1327" s="11" t="str">
        <x:v>il11_global</x:v>
      </x:c>
      <x:c r="D1327" s="11" t="str">
        <x:v>活动输入</x:v>
      </x:c>
      <x:c r="E1327" s="11" t="n">
        <x:f>CHOOSE('假设'!$B$3,E1328,E1329,E1330)</x:f>
        <x:v>0.36640000000000006</x:v>
      </x:c>
      <x:c r="F1327" s="11" t="n">
        <x:f>CHOOSE('假设'!$B$3,F1328,F1329,F1330)</x:f>
        <x:v>0.064</x:v>
      </x:c>
      <x:c r="G1327" s="11" t="n">
        <x:f>CHOOSE('假设'!$B$3,G1328,G1329,G1330)</x:f>
        <x:v>1</x:v>
      </x:c>
      <x:c r="H1327" s="11" t="n">
        <x:f>CHOOSE('假设'!$B$3,H1328,H1329,H1330)</x:f>
        <x:v>0.14</x:v>
      </x:c>
      <x:c r="I1327" s="11" t="n">
        <x:f>CHOOSE('假设'!$B$3,I1328,I1329,I1330)</x:f>
        <x:v>6.8</x:v>
      </x:c>
    </x:row>
    <x:row r="1328" ht="23" customHeight="1">
      <x:c r="A1328" s="11" t="str">
        <x:v>688062.SH</x:v>
      </x:c>
      <x:c r="B1328" s="11" t="str">
        <x:v>五年</x:v>
      </x:c>
      <x:c r="C1328" s="11" t="str">
        <x:v>il11_global</x:v>
      </x:c>
      <x:c r="D1328" s="11" t="str">
        <x:v>悲观</x:v>
      </x:c>
      <x:c r="E1328" s="16" t="n">
        <x:v>0.030000000000000027</x:v>
      </x:c>
      <x:c r="F1328" s="16" t="n">
        <x:v>0.03900000000000001</x:v>
      </x:c>
      <x:c r="G1328" s="16" t="n">
        <x:v>1</x:v>
      </x:c>
      <x:c r="H1328" s="11" t="n">
        <x:f>H1284</x:f>
        <x:v>0.18</x:v>
      </x:c>
      <x:c r="I1328" s="11" t="n">
        <x:f>I1284</x:f>
        <x:v>6.8</x:v>
      </x:c>
    </x:row>
    <x:row r="1329" ht="23" customHeight="1">
      <x:c r="A1329" s="11" t="str">
        <x:v>688062.SH</x:v>
      </x:c>
      <x:c r="B1329" s="11" t="str">
        <x:v>五年</x:v>
      </x:c>
      <x:c r="C1329" s="11" t="str">
        <x:v>il11_global</x:v>
      </x:c>
      <x:c r="D1329" s="11" t="str">
        <x:v>基准</x:v>
      </x:c>
      <x:c r="E1329" s="16" t="n">
        <x:v>0.36640000000000006</x:v>
      </x:c>
      <x:c r="F1329" s="16" t="n">
        <x:v>0.064</x:v>
      </x:c>
      <x:c r="G1329" s="16" t="n">
        <x:v>1</x:v>
      </x:c>
      <x:c r="H1329" s="11" t="n">
        <x:f>H1285</x:f>
        <x:v>0.14</x:v>
      </x:c>
      <x:c r="I1329" s="11" t="n">
        <x:f>I1285</x:f>
        <x:v>6.8</x:v>
      </x:c>
    </x:row>
    <x:row r="1330" ht="23" customHeight="1">
      <x:c r="A1330" s="11" t="str">
        <x:v>688062.SH</x:v>
      </x:c>
      <x:c r="B1330" s="11" t="str">
        <x:v>五年</x:v>
      </x:c>
      <x:c r="C1330" s="11" t="str">
        <x:v>il11_global</x:v>
      </x:c>
      <x:c r="D1330" s="11" t="str">
        <x:v>乐观</x:v>
      </x:c>
      <x:c r="E1330" s="16" t="n">
        <x:v>0.64</x:v>
      </x:c>
      <x:c r="F1330" s="16" t="n">
        <x:v>0.0902</x:v>
      </x:c>
      <x:c r="G1330" s="16" t="n">
        <x:v>1</x:v>
      </x:c>
      <x:c r="H1330" s="11" t="n">
        <x:f>H1286</x:f>
        <x:v>0.11</x:v>
      </x:c>
      <x:c r="I1330" s="11" t="n">
        <x:f>I1286</x:f>
        <x:v>6.8</x:v>
      </x:c>
    </x:row>
    <x:row r="1331" ht="23" customHeight="1">
      <x:c r="A1331" s="11" t="str">
        <x:v>688062.SH</x:v>
      </x:c>
      <x:c r="B1331" s="11" t="str">
        <x:v>五年</x:v>
      </x:c>
      <x:c r="C1331" s="11" t="str">
        <x:v>il11_cn</x:v>
      </x:c>
      <x:c r="D1331" s="11" t="str">
        <x:v>活动输入</x:v>
      </x:c>
      <x:c r="E1331" s="11" t="n">
        <x:f>CHOOSE('假设'!$B$3,E1332,E1333,E1334)</x:f>
        <x:v>0.36640000000000006</x:v>
      </x:c>
      <x:c r="F1331" s="11" t="n">
        <x:f>CHOOSE('假设'!$B$3,F1332,F1333,F1334)</x:f>
        <x:v>0.3</x:v>
      </x:c>
      <x:c r="G1331" s="11" t="n">
        <x:f>CHOOSE('假设'!$B$3,G1332,G1333,G1334)</x:f>
        <x:v>1</x:v>
      </x:c>
      <x:c r="H1331" s="11" t="n">
        <x:f>CHOOSE('假设'!$B$3,H1332,H1333,H1334)</x:f>
        <x:v>0.14</x:v>
      </x:c>
      <x:c r="I1331" s="11" t="n">
        <x:f>CHOOSE('假设'!$B$3,I1332,I1333,I1334)</x:f>
        <x:v>6.8</x:v>
      </x:c>
    </x:row>
    <x:row r="1332" ht="23" customHeight="1">
      <x:c r="A1332" s="11" t="str">
        <x:v>688062.SH</x:v>
      </x:c>
      <x:c r="B1332" s="11" t="str">
        <x:v>五年</x:v>
      </x:c>
      <x:c r="C1332" s="11" t="str">
        <x:v>il11_cn</x:v>
      </x:c>
      <x:c r="D1332" s="11" t="str">
        <x:v>悲观</x:v>
      </x:c>
      <x:c r="E1332" s="16" t="n">
        <x:v>0.040000000000000036</x:v>
      </x:c>
      <x:c r="F1332" s="16" t="n">
        <x:v>0.2</x:v>
      </x:c>
      <x:c r="G1332" s="16" t="n">
        <x:v>1</x:v>
      </x:c>
      <x:c r="H1332" s="11" t="n">
        <x:f>H1284</x:f>
        <x:v>0.18</x:v>
      </x:c>
      <x:c r="I1332" s="11" t="n">
        <x:f>I1284</x:f>
        <x:v>6.8</x:v>
      </x:c>
    </x:row>
    <x:row r="1333" ht="23" customHeight="1">
      <x:c r="A1333" s="11" t="str">
        <x:v>688062.SH</x:v>
      </x:c>
      <x:c r="B1333" s="11" t="str">
        <x:v>五年</x:v>
      </x:c>
      <x:c r="C1333" s="11" t="str">
        <x:v>il11_cn</x:v>
      </x:c>
      <x:c r="D1333" s="11" t="str">
        <x:v>基准</x:v>
      </x:c>
      <x:c r="E1333" s="16" t="n">
        <x:v>0.36640000000000006</x:v>
      </x:c>
      <x:c r="F1333" s="16" t="n">
        <x:v>0.3</x:v>
      </x:c>
      <x:c r="G1333" s="16" t="n">
        <x:v>1</x:v>
      </x:c>
      <x:c r="H1333" s="11" t="n">
        <x:f>H1285</x:f>
        <x:v>0.14</x:v>
      </x:c>
      <x:c r="I1333" s="11" t="n">
        <x:f>I1285</x:f>
        <x:v>6.8</x:v>
      </x:c>
    </x:row>
    <x:row r="1334" ht="23" customHeight="1">
      <x:c r="A1334" s="11" t="str">
        <x:v>688062.SH</x:v>
      </x:c>
      <x:c r="B1334" s="11" t="str">
        <x:v>五年</x:v>
      </x:c>
      <x:c r="C1334" s="11" t="str">
        <x:v>il11_cn</x:v>
      </x:c>
      <x:c r="D1334" s="11" t="str">
        <x:v>乐观</x:v>
      </x:c>
      <x:c r="E1334" s="16" t="n">
        <x:v>0.65</x:v>
      </x:c>
      <x:c r="F1334" s="16" t="n">
        <x:v>0.38</x:v>
      </x:c>
      <x:c r="G1334" s="16" t="n">
        <x:v>1</x:v>
      </x:c>
      <x:c r="H1334" s="11" t="n">
        <x:f>H1286</x:f>
        <x:v>0.11</x:v>
      </x:c>
      <x:c r="I1334" s="11" t="n">
        <x:f>I1286</x:f>
        <x:v>6.8</x:v>
      </x:c>
    </x:row>
    <x:row r="1335" ht="23" customHeight="1">
      <x:c r="A1335" s="11" t="str">
        <x:v>688062.SH</x:v>
      </x:c>
      <x:c r="B1335" s="11" t="str">
        <x:v>五年</x:v>
      </x:c>
      <x:c r="C1335" s="11" t="str">
        <x:v>tmprss_pv_global</x:v>
      </x:c>
      <x:c r="D1335" s="11" t="str">
        <x:v>活动输入</x:v>
      </x:c>
      <x:c r="E1335" s="11" t="n">
        <x:f>CHOOSE('假设'!$B$3,E1336,E1337,E1338)</x:f>
        <x:v>0.5824</x:v>
      </x:c>
      <x:c r="F1335" s="11" t="n">
        <x:f>CHOOSE('假设'!$B$3,F1336,F1337,F1338)</x:f>
        <x:v>0.068</x:v>
      </x:c>
      <x:c r="G1335" s="11" t="n">
        <x:f>CHOOSE('假设'!$B$3,G1336,G1337,G1338)</x:f>
        <x:v>1</x:v>
      </x:c>
      <x:c r="H1335" s="11" t="n">
        <x:f>CHOOSE('假设'!$B$3,H1336,H1337,H1338)</x:f>
        <x:v>0.14</x:v>
      </x:c>
      <x:c r="I1335" s="11" t="n">
        <x:f>CHOOSE('假设'!$B$3,I1336,I1337,I1338)</x:f>
        <x:v>6.8</x:v>
      </x:c>
    </x:row>
    <x:row r="1336" ht="23" customHeight="1">
      <x:c r="A1336" s="11" t="str">
        <x:v>688062.SH</x:v>
      </x:c>
      <x:c r="B1336" s="11" t="str">
        <x:v>五年</x:v>
      </x:c>
      <x:c r="C1336" s="11" t="str">
        <x:v>tmprss_pv_global</x:v>
      </x:c>
      <x:c r="D1336" s="11" t="str">
        <x:v>悲观</x:v>
      </x:c>
      <x:c r="E1336" s="16" t="n">
        <x:v>0.17999999999999994</x:v>
      </x:c>
      <x:c r="F1336" s="16" t="n">
        <x:v>0.0468</x:v>
      </x:c>
      <x:c r="G1336" s="16" t="n">
        <x:v>1</x:v>
      </x:c>
      <x:c r="H1336" s="11" t="n">
        <x:f>H1284</x:f>
        <x:v>0.18</x:v>
      </x:c>
      <x:c r="I1336" s="11" t="n">
        <x:f>I1284</x:f>
        <x:v>6.8</x:v>
      </x:c>
    </x:row>
    <x:row r="1337" ht="23" customHeight="1">
      <x:c r="A1337" s="11" t="str">
        <x:v>688062.SH</x:v>
      </x:c>
      <x:c r="B1337" s="11" t="str">
        <x:v>五年</x:v>
      </x:c>
      <x:c r="C1337" s="11" t="str">
        <x:v>tmprss_pv_global</x:v>
      </x:c>
      <x:c r="D1337" s="11" t="str">
        <x:v>基准</x:v>
      </x:c>
      <x:c r="E1337" s="16" t="n">
        <x:v>0.5824</x:v>
      </x:c>
      <x:c r="F1337" s="16" t="n">
        <x:v>0.068</x:v>
      </x:c>
      <x:c r="G1337" s="16" t="n">
        <x:v>1</x:v>
      </x:c>
      <x:c r="H1337" s="11" t="n">
        <x:f>H1285</x:f>
        <x:v>0.14</x:v>
      </x:c>
      <x:c r="I1337" s="11" t="n">
        <x:f>I1285</x:f>
        <x:v>6.8</x:v>
      </x:c>
    </x:row>
    <x:row r="1338" ht="23" customHeight="1">
      <x:c r="A1338" s="11" t="str">
        <x:v>688062.SH</x:v>
      </x:c>
      <x:c r="B1338" s="11" t="str">
        <x:v>五年</x:v>
      </x:c>
      <x:c r="C1338" s="11" t="str">
        <x:v>tmprss_pv_global</x:v>
      </x:c>
      <x:c r="D1338" s="11" t="str">
        <x:v>乐观</x:v>
      </x:c>
      <x:c r="E1338" s="16" t="n">
        <x:v>0.825</x:v>
      </x:c>
      <x:c r="F1338" s="16" t="n">
        <x:v>0.08610000000000001</x:v>
      </x:c>
      <x:c r="G1338" s="16" t="n">
        <x:v>1</x:v>
      </x:c>
      <x:c r="H1338" s="11" t="n">
        <x:f>H1286</x:f>
        <x:v>0.11</x:v>
      </x:c>
      <x:c r="I1338" s="11" t="n">
        <x:f>I1286</x:f>
        <x:v>6.8</x:v>
      </x:c>
    </x:row>
    <x:row r="1339" ht="23" customHeight="1">
      <x:c r="A1339" s="11" t="str">
        <x:v>688062.SH</x:v>
      </x:c>
      <x:c r="B1339" s="11" t="str">
        <x:v>五年</x:v>
      </x:c>
      <x:c r="C1339" s="11" t="str">
        <x:v>tmprss_pv_cn</x:v>
      </x:c>
      <x:c r="D1339" s="11" t="str">
        <x:v>活动输入</x:v>
      </x:c>
      <x:c r="E1339" s="11" t="n">
        <x:f>CHOOSE('假设'!$B$3,E1340,E1341,E1342)</x:f>
        <x:v>0.532</x:v>
      </x:c>
      <x:c r="F1339" s="11" t="n">
        <x:f>CHOOSE('假设'!$B$3,F1340,F1341,F1342)</x:f>
        <x:v>0.3</x:v>
      </x:c>
      <x:c r="G1339" s="11" t="n">
        <x:f>CHOOSE('假设'!$B$3,G1340,G1341,G1342)</x:f>
        <x:v>1</x:v>
      </x:c>
      <x:c r="H1339" s="11" t="n">
        <x:f>CHOOSE('假设'!$B$3,H1340,H1341,H1342)</x:f>
        <x:v>0.14</x:v>
      </x:c>
      <x:c r="I1339" s="11" t="n">
        <x:f>CHOOSE('假设'!$B$3,I1340,I1341,I1342)</x:f>
        <x:v>6.8</x:v>
      </x:c>
    </x:row>
    <x:row r="1340" ht="23" customHeight="1">
      <x:c r="A1340" s="11" t="str">
        <x:v>688062.SH</x:v>
      </x:c>
      <x:c r="B1340" s="11" t="str">
        <x:v>五年</x:v>
      </x:c>
      <x:c r="C1340" s="11" t="str">
        <x:v>tmprss_pv_cn</x:v>
      </x:c>
      <x:c r="D1340" s="11" t="str">
        <x:v>悲观</x:v>
      </x:c>
      <x:c r="E1340" s="16" t="n">
        <x:v>0.15000000000000002</x:v>
      </x:c>
      <x:c r="F1340" s="16" t="n">
        <x:v>0.2</x:v>
      </x:c>
      <x:c r="G1340" s="16" t="n">
        <x:v>1</x:v>
      </x:c>
      <x:c r="H1340" s="11" t="n">
        <x:f>H1284</x:f>
        <x:v>0.18</x:v>
      </x:c>
      <x:c r="I1340" s="11" t="n">
        <x:f>I1284</x:f>
        <x:v>6.8</x:v>
      </x:c>
    </x:row>
    <x:row r="1341" ht="23" customHeight="1">
      <x:c r="A1341" s="11" t="str">
        <x:v>688062.SH</x:v>
      </x:c>
      <x:c r="B1341" s="11" t="str">
        <x:v>五年</x:v>
      </x:c>
      <x:c r="C1341" s="11" t="str">
        <x:v>tmprss_pv_cn</x:v>
      </x:c>
      <x:c r="D1341" s="11" t="str">
        <x:v>基准</x:v>
      </x:c>
      <x:c r="E1341" s="16" t="n">
        <x:v>0.532</x:v>
      </x:c>
      <x:c r="F1341" s="16" t="n">
        <x:v>0.3</x:v>
      </x:c>
      <x:c r="G1341" s="16" t="n">
        <x:v>1</x:v>
      </x:c>
      <x:c r="H1341" s="11" t="n">
        <x:f>H1285</x:f>
        <x:v>0.14</x:v>
      </x:c>
      <x:c r="I1341" s="11" t="n">
        <x:f>I1285</x:f>
        <x:v>6.8</x:v>
      </x:c>
    </x:row>
    <x:row r="1342" ht="23" customHeight="1">
      <x:c r="A1342" s="11" t="str">
        <x:v>688062.SH</x:v>
      </x:c>
      <x:c r="B1342" s="11" t="str">
        <x:v>五年</x:v>
      </x:c>
      <x:c r="C1342" s="11" t="str">
        <x:v>tmprss_pv_cn</x:v>
      </x:c>
      <x:c r="D1342" s="11" t="str">
        <x:v>乐观</x:v>
      </x:c>
      <x:c r="E1342" s="16" t="n">
        <x:v>0.8</x:v>
      </x:c>
      <x:c r="F1342" s="16" t="n">
        <x:v>0.38</x:v>
      </x:c>
      <x:c r="G1342" s="16" t="n">
        <x:v>1</x:v>
      </x:c>
      <x:c r="H1342" s="11" t="n">
        <x:f>H1286</x:f>
        <x:v>0.11</x:v>
      </x:c>
      <x:c r="I1342" s="11" t="n">
        <x:f>I1286</x:f>
        <x:v>6.8</x:v>
      </x:c>
    </x:row>
    <x:row r="1343" ht="23" customHeight="1">
      <x:c r="A1343" s="11" t="str">
        <x:v>688062.SH</x:v>
      </x:c>
      <x:c r="B1343" s="11" t="str">
        <x:v>五年</x:v>
      </x:c>
      <x:c r="C1343" s="11" t="str">
        <x:v>tmprss_scd</x:v>
      </x:c>
      <x:c r="D1343" s="11" t="str">
        <x:v>活动输入</x:v>
      </x:c>
      <x:c r="E1343" s="11" t="n">
        <x:f>CHOOSE('假设'!$B$3,E1344,E1345,E1346)</x:f>
        <x:v>0.388</x:v>
      </x:c>
      <x:c r="F1343" s="11" t="n">
        <x:f>CHOOSE('假设'!$B$3,F1344,F1345,F1346)</x:f>
        <x:v>0.068</x:v>
      </x:c>
      <x:c r="G1343" s="11" t="n">
        <x:f>CHOOSE('假设'!$B$3,G1344,G1345,G1346)</x:f>
        <x:v>1</x:v>
      </x:c>
      <x:c r="H1343" s="11" t="n">
        <x:f>CHOOSE('假设'!$B$3,H1344,H1345,H1346)</x:f>
        <x:v>0.14</x:v>
      </x:c>
      <x:c r="I1343" s="11" t="n">
        <x:f>CHOOSE('假设'!$B$3,I1344,I1345,I1346)</x:f>
        <x:v>6.8</x:v>
      </x:c>
    </x:row>
    <x:row r="1344" ht="23" customHeight="1">
      <x:c r="A1344" s="11" t="str">
        <x:v>688062.SH</x:v>
      </x:c>
      <x:c r="B1344" s="11" t="str">
        <x:v>五年</x:v>
      </x:c>
      <x:c r="C1344" s="11" t="str">
        <x:v>tmprss_scd</x:v>
      </x:c>
      <x:c r="D1344" s="11" t="str">
        <x:v>悲观</x:v>
      </x:c>
      <x:c r="E1344" s="16" t="n">
        <x:v>0.050000000000000044</x:v>
      </x:c>
      <x:c r="F1344" s="16" t="n">
        <x:v>0.0468</x:v>
      </x:c>
      <x:c r="G1344" s="16" t="n">
        <x:v>1</x:v>
      </x:c>
      <x:c r="H1344" s="11" t="n">
        <x:f>H1284</x:f>
        <x:v>0.18</x:v>
      </x:c>
      <x:c r="I1344" s="11" t="n">
        <x:f>I1284</x:f>
        <x:v>6.8</x:v>
      </x:c>
    </x:row>
    <x:row r="1345" ht="23" customHeight="1">
      <x:c r="A1345" s="11" t="str">
        <x:v>688062.SH</x:v>
      </x:c>
      <x:c r="B1345" s="11" t="str">
        <x:v>五年</x:v>
      </x:c>
      <x:c r="C1345" s="11" t="str">
        <x:v>tmprss_scd</x:v>
      </x:c>
      <x:c r="D1345" s="11" t="str">
        <x:v>基准</x:v>
      </x:c>
      <x:c r="E1345" s="16" t="n">
        <x:v>0.388</x:v>
      </x:c>
      <x:c r="F1345" s="16" t="n">
        <x:v>0.068</x:v>
      </x:c>
      <x:c r="G1345" s="16" t="n">
        <x:v>1</x:v>
      </x:c>
      <x:c r="H1345" s="11" t="n">
        <x:f>H1285</x:f>
        <x:v>0.14</x:v>
      </x:c>
      <x:c r="I1345" s="11" t="n">
        <x:f>I1285</x:f>
        <x:v>6.8</x:v>
      </x:c>
    </x:row>
    <x:row r="1346" ht="23" customHeight="1">
      <x:c r="A1346" s="11" t="str">
        <x:v>688062.SH</x:v>
      </x:c>
      <x:c r="B1346" s="11" t="str">
        <x:v>五年</x:v>
      </x:c>
      <x:c r="C1346" s="11" t="str">
        <x:v>tmprss_scd</x:v>
      </x:c>
      <x:c r="D1346" s="11" t="str">
        <x:v>乐观</x:v>
      </x:c>
      <x:c r="E1346" s="16" t="n">
        <x:v>0.65</x:v>
      </x:c>
      <x:c r="F1346" s="16" t="n">
        <x:v>0.08610000000000001</x:v>
      </x:c>
      <x:c r="G1346" s="16" t="n">
        <x:v>1</x:v>
      </x:c>
      <x:c r="H1346" s="11" t="n">
        <x:f>H1286</x:f>
        <x:v>0.11</x:v>
      </x:c>
      <x:c r="I1346" s="11" t="n">
        <x:f>I1286</x:f>
        <x:v>6.8</x:v>
      </x:c>
    </x:row>
    <x:row r="1347" ht="23" customHeight="1">
      <x:c r="A1347" s="11" t="str">
        <x:v>09995.HK</x:v>
      </x:c>
      <x:c r="B1347" s="11" t="str">
        <x:v>2026年底</x:v>
      </x:c>
      <x:c r="C1347" s="11" t="str">
        <x:v>RC18_approved_China</x:v>
      </x:c>
      <x:c r="D1347" s="11" t="str">
        <x:v>活动输入</x:v>
      </x:c>
      <x:c r="E1347" s="11" t="n">
        <x:f>CHOOSE('假设'!$B$3,E1348,E1349,E1350)</x:f>
        <x:v>0.97</x:v>
      </x:c>
      <x:c r="F1347" s="11" t="n">
        <x:f>CHOOSE('假设'!$B$3,F1348,F1349,F1350)</x:f>
        <x:v>0.43</x:v>
      </x:c>
      <x:c r="G1347" s="11" t="n">
        <x:f>CHOOSE('假设'!$B$3,G1348,G1349,G1350)</x:f>
        <x:v>1</x:v>
      </x:c>
      <x:c r="H1347" s="11" t="n">
        <x:f>CHOOSE('假设'!$B$3,H1348,H1349,H1350)</x:f>
        <x:v>0.14</x:v>
      </x:c>
      <x:c r="I1347" s="11" t="n">
        <x:f>CHOOSE('假设'!$B$3,I1348,I1349,I1350)</x:f>
        <x:v>7</x:v>
      </x:c>
    </x:row>
    <x:row r="1348" ht="23" customHeight="1">
      <x:c r="A1348" s="11" t="str">
        <x:v>09995.HK</x:v>
      </x:c>
      <x:c r="B1348" s="11" t="str">
        <x:v>2026年底</x:v>
      </x:c>
      <x:c r="C1348" s="11" t="str">
        <x:v>RC18_approved_China</x:v>
      </x:c>
      <x:c r="D1348" s="11" t="str">
        <x:v>悲观</x:v>
      </x:c>
      <x:c r="E1348" s="16" t="n">
        <x:v>0.9</x:v>
      </x:c>
      <x:c r="F1348" s="16" t="n">
        <x:v>0.3</x:v>
      </x:c>
      <x:c r="G1348" s="16" t="n">
        <x:v>1</x:v>
      </x:c>
      <x:c r="H1348" s="16" t="n">
        <x:v>0.18</x:v>
      </x:c>
      <x:c r="I1348" s="16" t="n">
        <x:v>7</x:v>
      </x:c>
    </x:row>
    <x:row r="1349" ht="23" customHeight="1">
      <x:c r="A1349" s="11" t="str">
        <x:v>09995.HK</x:v>
      </x:c>
      <x:c r="B1349" s="11" t="str">
        <x:v>2026年底</x:v>
      </x:c>
      <x:c r="C1349" s="11" t="str">
        <x:v>RC18_approved_China</x:v>
      </x:c>
      <x:c r="D1349" s="11" t="str">
        <x:v>基准</x:v>
      </x:c>
      <x:c r="E1349" s="16" t="n">
        <x:v>0.97</x:v>
      </x:c>
      <x:c r="F1349" s="16" t="n">
        <x:v>0.43</x:v>
      </x:c>
      <x:c r="G1349" s="16" t="n">
        <x:v>1</x:v>
      </x:c>
      <x:c r="H1349" s="16" t="n">
        <x:v>0.14</x:v>
      </x:c>
      <x:c r="I1349" s="16" t="n">
        <x:v>7</x:v>
      </x:c>
    </x:row>
    <x:row r="1350" ht="23" customHeight="1">
      <x:c r="A1350" s="11" t="str">
        <x:v>09995.HK</x:v>
      </x:c>
      <x:c r="B1350" s="11" t="str">
        <x:v>2026年底</x:v>
      </x:c>
      <x:c r="C1350" s="11" t="str">
        <x:v>RC18_approved_China</x:v>
      </x:c>
      <x:c r="D1350" s="11" t="str">
        <x:v>乐观</x:v>
      </x:c>
      <x:c r="E1350" s="16" t="n">
        <x:v>1</x:v>
      </x:c>
      <x:c r="F1350" s="16" t="n">
        <x:v>0.52</x:v>
      </x:c>
      <x:c r="G1350" s="16" t="n">
        <x:v>1</x:v>
      </x:c>
      <x:c r="H1350" s="16" t="n">
        <x:v>0.11</x:v>
      </x:c>
      <x:c r="I1350" s="16" t="n">
        <x:v>7</x:v>
      </x:c>
    </x:row>
    <x:row r="1351" ht="23" customHeight="1">
      <x:c r="A1351" s="11" t="str">
        <x:v>09995.HK</x:v>
      </x:c>
      <x:c r="B1351" s="11" t="str">
        <x:v>2026年底</x:v>
      </x:c>
      <x:c r="C1351" s="11" t="str">
        <x:v>RC48_approved_China</x:v>
      </x:c>
      <x:c r="D1351" s="11" t="str">
        <x:v>活动输入</x:v>
      </x:c>
      <x:c r="E1351" s="11" t="n">
        <x:f>CHOOSE('假设'!$B$3,E1352,E1353,E1354)</x:f>
        <x:v>0.95</x:v>
      </x:c>
      <x:c r="F1351" s="11" t="n">
        <x:f>CHOOSE('假设'!$B$3,F1352,F1353,F1354)</x:f>
        <x:v>0.37</x:v>
      </x:c>
      <x:c r="G1351" s="11" t="n">
        <x:f>CHOOSE('假设'!$B$3,G1352,G1353,G1354)</x:f>
        <x:v>1</x:v>
      </x:c>
      <x:c r="H1351" s="11" t="n">
        <x:f>CHOOSE('假设'!$B$3,H1352,H1353,H1354)</x:f>
        <x:v>0.14</x:v>
      </x:c>
      <x:c r="I1351" s="11" t="n">
        <x:f>CHOOSE('假设'!$B$3,I1352,I1353,I1354)</x:f>
        <x:v>7</x:v>
      </x:c>
    </x:row>
    <x:row r="1352" ht="23" customHeight="1">
      <x:c r="A1352" s="11" t="str">
        <x:v>09995.HK</x:v>
      </x:c>
      <x:c r="B1352" s="11" t="str">
        <x:v>2026年底</x:v>
      </x:c>
      <x:c r="C1352" s="11" t="str">
        <x:v>RC48_approved_China</x:v>
      </x:c>
      <x:c r="D1352" s="11" t="str">
        <x:v>悲观</x:v>
      </x:c>
      <x:c r="E1352" s="16" t="n">
        <x:v>0.85</x:v>
      </x:c>
      <x:c r="F1352" s="16" t="n">
        <x:v>0.25</x:v>
      </x:c>
      <x:c r="G1352" s="16" t="n">
        <x:v>1</x:v>
      </x:c>
      <x:c r="H1352" s="11" t="n">
        <x:f>H1348</x:f>
        <x:v>0.18</x:v>
      </x:c>
      <x:c r="I1352" s="11" t="n">
        <x:f>I1348</x:f>
        <x:v>7</x:v>
      </x:c>
    </x:row>
    <x:row r="1353" ht="23" customHeight="1">
      <x:c r="A1353" s="11" t="str">
        <x:v>09995.HK</x:v>
      </x:c>
      <x:c r="B1353" s="11" t="str">
        <x:v>2026年底</x:v>
      </x:c>
      <x:c r="C1353" s="11" t="str">
        <x:v>RC48_approved_China</x:v>
      </x:c>
      <x:c r="D1353" s="11" t="str">
        <x:v>基准</x:v>
      </x:c>
      <x:c r="E1353" s="16" t="n">
        <x:v>0.95</x:v>
      </x:c>
      <x:c r="F1353" s="16" t="n">
        <x:v>0.37</x:v>
      </x:c>
      <x:c r="G1353" s="16" t="n">
        <x:v>1</x:v>
      </x:c>
      <x:c r="H1353" s="11" t="n">
        <x:f>H1349</x:f>
        <x:v>0.14</x:v>
      </x:c>
      <x:c r="I1353" s="11" t="n">
        <x:f>I1349</x:f>
        <x:v>7</x:v>
      </x:c>
    </x:row>
    <x:row r="1354" ht="23" customHeight="1">
      <x:c r="A1354" s="11" t="str">
        <x:v>09995.HK</x:v>
      </x:c>
      <x:c r="B1354" s="11" t="str">
        <x:v>2026年底</x:v>
      </x:c>
      <x:c r="C1354" s="11" t="str">
        <x:v>RC48_approved_China</x:v>
      </x:c>
      <x:c r="D1354" s="11" t="str">
        <x:v>乐观</x:v>
      </x:c>
      <x:c r="E1354" s="16" t="n">
        <x:v>1</x:v>
      </x:c>
      <x:c r="F1354" s="16" t="n">
        <x:v>0.46</x:v>
      </x:c>
      <x:c r="G1354" s="16" t="n">
        <x:v>1</x:v>
      </x:c>
      <x:c r="H1354" s="11" t="n">
        <x:f>H1350</x:f>
        <x:v>0.11</x:v>
      </x:c>
      <x:c r="I1354" s="11" t="n">
        <x:f>I1350</x:f>
        <x:v>7</x:v>
      </x:c>
    </x:row>
    <x:row r="1355" ht="23" customHeight="1">
      <x:c r="A1355" s="11" t="str">
        <x:v>09995.HK</x:v>
      </x:c>
      <x:c r="B1355" s="11" t="str">
        <x:v>2026年底</x:v>
      </x:c>
      <x:c r="C1355" s="11" t="str">
        <x:v>RC18_new_China</x:v>
      </x:c>
      <x:c r="D1355" s="11" t="str">
        <x:v>活动输入</x:v>
      </x:c>
      <x:c r="E1355" s="11" t="n">
        <x:f>CHOOSE('假设'!$B$3,E1356,E1357,E1358)</x:f>
        <x:v>0.4</x:v>
      </x:c>
      <x:c r="F1355" s="11" t="n">
        <x:f>CHOOSE('假设'!$B$3,F1356,F1357,F1358)</x:f>
        <x:v>0.43</x:v>
      </x:c>
      <x:c r="G1355" s="11" t="n">
        <x:f>CHOOSE('假设'!$B$3,G1356,G1357,G1358)</x:f>
        <x:v>1</x:v>
      </x:c>
      <x:c r="H1355" s="11" t="n">
        <x:f>CHOOSE('假设'!$B$3,H1356,H1357,H1358)</x:f>
        <x:v>0.14</x:v>
      </x:c>
      <x:c r="I1355" s="11" t="n">
        <x:f>CHOOSE('假设'!$B$3,I1356,I1357,I1358)</x:f>
        <x:v>7</x:v>
      </x:c>
    </x:row>
    <x:row r="1356" ht="23" customHeight="1">
      <x:c r="A1356" s="11" t="str">
        <x:v>09995.HK</x:v>
      </x:c>
      <x:c r="B1356" s="11" t="str">
        <x:v>2026年底</x:v>
      </x:c>
      <x:c r="C1356" s="11" t="str">
        <x:v>RC18_new_China</x:v>
      </x:c>
      <x:c r="D1356" s="11" t="str">
        <x:v>悲观</x:v>
      </x:c>
      <x:c r="E1356" s="16" t="n">
        <x:v>0.15</x:v>
      </x:c>
      <x:c r="F1356" s="16" t="n">
        <x:v>0.3</x:v>
      </x:c>
      <x:c r="G1356" s="16" t="n">
        <x:v>1</x:v>
      </x:c>
      <x:c r="H1356" s="11" t="n">
        <x:f>H1348</x:f>
        <x:v>0.18</x:v>
      </x:c>
      <x:c r="I1356" s="11" t="n">
        <x:f>I1348</x:f>
        <x:v>7</x:v>
      </x:c>
    </x:row>
    <x:row r="1357" ht="23" customHeight="1">
      <x:c r="A1357" s="11" t="str">
        <x:v>09995.HK</x:v>
      </x:c>
      <x:c r="B1357" s="11" t="str">
        <x:v>2026年底</x:v>
      </x:c>
      <x:c r="C1357" s="11" t="str">
        <x:v>RC18_new_China</x:v>
      </x:c>
      <x:c r="D1357" s="11" t="str">
        <x:v>基准</x:v>
      </x:c>
      <x:c r="E1357" s="16" t="n">
        <x:v>0.4</x:v>
      </x:c>
      <x:c r="F1357" s="16" t="n">
        <x:v>0.43</x:v>
      </x:c>
      <x:c r="G1357" s="16" t="n">
        <x:v>1</x:v>
      </x:c>
      <x:c r="H1357" s="11" t="n">
        <x:f>H1349</x:f>
        <x:v>0.14</x:v>
      </x:c>
      <x:c r="I1357" s="11" t="n">
        <x:f>I1349</x:f>
        <x:v>7</x:v>
      </x:c>
    </x:row>
    <x:row r="1358" ht="23" customHeight="1">
      <x:c r="A1358" s="11" t="str">
        <x:v>09995.HK</x:v>
      </x:c>
      <x:c r="B1358" s="11" t="str">
        <x:v>2026年底</x:v>
      </x:c>
      <x:c r="C1358" s="11" t="str">
        <x:v>RC18_new_China</x:v>
      </x:c>
      <x:c r="D1358" s="11" t="str">
        <x:v>乐观</x:v>
      </x:c>
      <x:c r="E1358" s="16" t="n">
        <x:v>0.65</x:v>
      </x:c>
      <x:c r="F1358" s="16" t="n">
        <x:v>0.52</x:v>
      </x:c>
      <x:c r="G1358" s="16" t="n">
        <x:v>1</x:v>
      </x:c>
      <x:c r="H1358" s="11" t="n">
        <x:f>H1350</x:f>
        <x:v>0.11</x:v>
      </x:c>
      <x:c r="I1358" s="11" t="n">
        <x:f>I1350</x:f>
        <x:v>7</x:v>
      </x:c>
    </x:row>
    <x:row r="1359" ht="23" customHeight="1">
      <x:c r="A1359" s="11" t="str">
        <x:v>09995.HK</x:v>
      </x:c>
      <x:c r="B1359" s="11" t="str">
        <x:v>2026年底</x:v>
      </x:c>
      <x:c r="C1359" s="11" t="str">
        <x:v>RC48_new_China</x:v>
      </x:c>
      <x:c r="D1359" s="11" t="str">
        <x:v>活动输入</x:v>
      </x:c>
      <x:c r="E1359" s="11" t="n">
        <x:f>CHOOSE('假设'!$B$3,E1360,E1361,E1362)</x:f>
        <x:v>0.5</x:v>
      </x:c>
      <x:c r="F1359" s="11" t="n">
        <x:f>CHOOSE('假设'!$B$3,F1360,F1361,F1362)</x:f>
        <x:v>0.37</x:v>
      </x:c>
      <x:c r="G1359" s="11" t="n">
        <x:f>CHOOSE('假设'!$B$3,G1360,G1361,G1362)</x:f>
        <x:v>1</x:v>
      </x:c>
      <x:c r="H1359" s="11" t="n">
        <x:f>CHOOSE('假设'!$B$3,H1360,H1361,H1362)</x:f>
        <x:v>0.14</x:v>
      </x:c>
      <x:c r="I1359" s="11" t="n">
        <x:f>CHOOSE('假设'!$B$3,I1360,I1361,I1362)</x:f>
        <x:v>7</x:v>
      </x:c>
    </x:row>
    <x:row r="1360" ht="23" customHeight="1">
      <x:c r="A1360" s="11" t="str">
        <x:v>09995.HK</x:v>
      </x:c>
      <x:c r="B1360" s="11" t="str">
        <x:v>2026年底</x:v>
      </x:c>
      <x:c r="C1360" s="11" t="str">
        <x:v>RC48_new_China</x:v>
      </x:c>
      <x:c r="D1360" s="11" t="str">
        <x:v>悲观</x:v>
      </x:c>
      <x:c r="E1360" s="16" t="n">
        <x:v>0.15</x:v>
      </x:c>
      <x:c r="F1360" s="16" t="n">
        <x:v>0.25</x:v>
      </x:c>
      <x:c r="G1360" s="16" t="n">
        <x:v>1</x:v>
      </x:c>
      <x:c r="H1360" s="11" t="n">
        <x:f>H1348</x:f>
        <x:v>0.18</x:v>
      </x:c>
      <x:c r="I1360" s="11" t="n">
        <x:f>I1348</x:f>
        <x:v>7</x:v>
      </x:c>
    </x:row>
    <x:row r="1361" ht="23" customHeight="1">
      <x:c r="A1361" s="11" t="str">
        <x:v>09995.HK</x:v>
      </x:c>
      <x:c r="B1361" s="11" t="str">
        <x:v>2026年底</x:v>
      </x:c>
      <x:c r="C1361" s="11" t="str">
        <x:v>RC48_new_China</x:v>
      </x:c>
      <x:c r="D1361" s="11" t="str">
        <x:v>基准</x:v>
      </x:c>
      <x:c r="E1361" s="16" t="n">
        <x:v>0.5</x:v>
      </x:c>
      <x:c r="F1361" s="16" t="n">
        <x:v>0.37</x:v>
      </x:c>
      <x:c r="G1361" s="16" t="n">
        <x:v>1</x:v>
      </x:c>
      <x:c r="H1361" s="11" t="n">
        <x:f>H1349</x:f>
        <x:v>0.14</x:v>
      </x:c>
      <x:c r="I1361" s="11" t="n">
        <x:f>I1349</x:f>
        <x:v>7</x:v>
      </x:c>
    </x:row>
    <x:row r="1362" ht="23" customHeight="1">
      <x:c r="A1362" s="11" t="str">
        <x:v>09995.HK</x:v>
      </x:c>
      <x:c r="B1362" s="11" t="str">
        <x:v>2026年底</x:v>
      </x:c>
      <x:c r="C1362" s="11" t="str">
        <x:v>RC48_new_China</x:v>
      </x:c>
      <x:c r="D1362" s="11" t="str">
        <x:v>乐观</x:v>
      </x:c>
      <x:c r="E1362" s="16" t="n">
        <x:v>0.75</x:v>
      </x:c>
      <x:c r="F1362" s="16" t="n">
        <x:v>0.46</x:v>
      </x:c>
      <x:c r="G1362" s="16" t="n">
        <x:v>1</x:v>
      </x:c>
      <x:c r="H1362" s="11" t="n">
        <x:f>H1350</x:f>
        <x:v>0.11</x:v>
      </x:c>
      <x:c r="I1362" s="11" t="n">
        <x:f>I1350</x:f>
        <x:v>7</x:v>
      </x:c>
    </x:row>
    <x:row r="1363" ht="23" customHeight="1">
      <x:c r="A1363" s="11" t="str">
        <x:v>09995.HK</x:v>
      </x:c>
      <x:c r="B1363" s="11" t="str">
        <x:v>2026年底</x:v>
      </x:c>
      <x:c r="C1363" s="11" t="str">
        <x:v>RC148_China</x:v>
      </x:c>
      <x:c r="D1363" s="11" t="str">
        <x:v>活动输入</x:v>
      </x:c>
      <x:c r="E1363" s="11" t="n">
        <x:f>CHOOSE('假设'!$B$3,E1364,E1365,E1366)</x:f>
        <x:v>0.5</x:v>
      </x:c>
      <x:c r="F1363" s="11" t="n">
        <x:f>CHOOSE('假设'!$B$3,F1364,F1365,F1366)</x:f>
        <x:v>0.42</x:v>
      </x:c>
      <x:c r="G1363" s="11" t="n">
        <x:f>CHOOSE('假设'!$B$3,G1364,G1365,G1366)</x:f>
        <x:v>1</x:v>
      </x:c>
      <x:c r="H1363" s="11" t="n">
        <x:f>CHOOSE('假设'!$B$3,H1364,H1365,H1366)</x:f>
        <x:v>0.14</x:v>
      </x:c>
      <x:c r="I1363" s="11" t="n">
        <x:f>CHOOSE('假设'!$B$3,I1364,I1365,I1366)</x:f>
        <x:v>7</x:v>
      </x:c>
    </x:row>
    <x:row r="1364" ht="23" customHeight="1">
      <x:c r="A1364" s="11" t="str">
        <x:v>09995.HK</x:v>
      </x:c>
      <x:c r="B1364" s="11" t="str">
        <x:v>2026年底</x:v>
      </x:c>
      <x:c r="C1364" s="11" t="str">
        <x:v>RC148_China</x:v>
      </x:c>
      <x:c r="D1364" s="11" t="str">
        <x:v>悲观</x:v>
      </x:c>
      <x:c r="E1364" s="16" t="n">
        <x:v>0.2</x:v>
      </x:c>
      <x:c r="F1364" s="16" t="n">
        <x:v>0.28</x:v>
      </x:c>
      <x:c r="G1364" s="16" t="n">
        <x:v>1</x:v>
      </x:c>
      <x:c r="H1364" s="11" t="n">
        <x:f>H1348</x:f>
        <x:v>0.18</x:v>
      </x:c>
      <x:c r="I1364" s="11" t="n">
        <x:f>I1348</x:f>
        <x:v>7</x:v>
      </x:c>
    </x:row>
    <x:row r="1365" ht="23" customHeight="1">
      <x:c r="A1365" s="11" t="str">
        <x:v>09995.HK</x:v>
      </x:c>
      <x:c r="B1365" s="11" t="str">
        <x:v>2026年底</x:v>
      </x:c>
      <x:c r="C1365" s="11" t="str">
        <x:v>RC148_China</x:v>
      </x:c>
      <x:c r="D1365" s="11" t="str">
        <x:v>基准</x:v>
      </x:c>
      <x:c r="E1365" s="16" t="n">
        <x:v>0.5</x:v>
      </x:c>
      <x:c r="F1365" s="16" t="n">
        <x:v>0.42</x:v>
      </x:c>
      <x:c r="G1365" s="16" t="n">
        <x:v>1</x:v>
      </x:c>
      <x:c r="H1365" s="11" t="n">
        <x:f>H1349</x:f>
        <x:v>0.14</x:v>
      </x:c>
      <x:c r="I1365" s="11" t="n">
        <x:f>I1349</x:f>
        <x:v>7</x:v>
      </x:c>
    </x:row>
    <x:row r="1366" ht="23" customHeight="1">
      <x:c r="A1366" s="11" t="str">
        <x:v>09995.HK</x:v>
      </x:c>
      <x:c r="B1366" s="11" t="str">
        <x:v>2026年底</x:v>
      </x:c>
      <x:c r="C1366" s="11" t="str">
        <x:v>RC148_China</x:v>
      </x:c>
      <x:c r="D1366" s="11" t="str">
        <x:v>乐观</x:v>
      </x:c>
      <x:c r="E1366" s="16" t="n">
        <x:v>0.75</x:v>
      </x:c>
      <x:c r="F1366" s="16" t="n">
        <x:v>0.5</x:v>
      </x:c>
      <x:c r="G1366" s="16" t="n">
        <x:v>1</x:v>
      </x:c>
      <x:c r="H1366" s="11" t="n">
        <x:f>H1350</x:f>
        <x:v>0.11</x:v>
      </x:c>
      <x:c r="I1366" s="11" t="n">
        <x:f>I1350</x:f>
        <x:v>7</x:v>
      </x:c>
    </x:row>
    <x:row r="1367" ht="23" customHeight="1">
      <x:c r="A1367" s="11" t="str">
        <x:v>09995.HK</x:v>
      </x:c>
      <x:c r="B1367" s="11" t="str">
        <x:v>2026年底</x:v>
      </x:c>
      <x:c r="C1367" s="11" t="str">
        <x:v>RC148_foreign</x:v>
      </x:c>
      <x:c r="D1367" s="11" t="str">
        <x:v>活动输入</x:v>
      </x:c>
      <x:c r="E1367" s="11" t="n">
        <x:f>CHOOSE('假设'!$B$3,E1368,E1369,E1370)</x:f>
        <x:v>0.5</x:v>
      </x:c>
      <x:c r="F1367" s="11" t="n">
        <x:f>CHOOSE('假设'!$B$3,F1368,F1369,F1370)</x:f>
        <x:v>0.1148</x:v>
      </x:c>
      <x:c r="G1367" s="11" t="n">
        <x:f>CHOOSE('假设'!$B$3,G1368,G1369,G1370)</x:f>
        <x:v>1</x:v>
      </x:c>
      <x:c r="H1367" s="11" t="n">
        <x:f>CHOOSE('假设'!$B$3,H1368,H1369,H1370)</x:f>
        <x:v>0.14</x:v>
      </x:c>
      <x:c r="I1367" s="11" t="n">
        <x:f>CHOOSE('假设'!$B$3,I1368,I1369,I1370)</x:f>
        <x:v>7</x:v>
      </x:c>
    </x:row>
    <x:row r="1368" ht="23" customHeight="1">
      <x:c r="A1368" s="11" t="str">
        <x:v>09995.HK</x:v>
      </x:c>
      <x:c r="B1368" s="11" t="str">
        <x:v>2026年底</x:v>
      </x:c>
      <x:c r="C1368" s="11" t="str">
        <x:v>RC148_foreign</x:v>
      </x:c>
      <x:c r="D1368" s="11" t="str">
        <x:v>悲观</x:v>
      </x:c>
      <x:c r="E1368" s="16" t="n">
        <x:v>0.18</x:v>
      </x:c>
      <x:c r="F1368" s="16" t="n">
        <x:v>0.07800000000000001</x:v>
      </x:c>
      <x:c r="G1368" s="16" t="n">
        <x:v>1</x:v>
      </x:c>
      <x:c r="H1368" s="11" t="n">
        <x:f>H1348</x:f>
        <x:v>0.18</x:v>
      </x:c>
      <x:c r="I1368" s="11" t="n">
        <x:f>I1348</x:f>
        <x:v>7</x:v>
      </x:c>
    </x:row>
    <x:row r="1369" ht="23" customHeight="1">
      <x:c r="A1369" s="11" t="str">
        <x:v>09995.HK</x:v>
      </x:c>
      <x:c r="B1369" s="11" t="str">
        <x:v>2026年底</x:v>
      </x:c>
      <x:c r="C1369" s="11" t="str">
        <x:v>RC148_foreign</x:v>
      </x:c>
      <x:c r="D1369" s="11" t="str">
        <x:v>基准</x:v>
      </x:c>
      <x:c r="E1369" s="16" t="n">
        <x:v>0.5</x:v>
      </x:c>
      <x:c r="F1369" s="16" t="n">
        <x:v>0.1148</x:v>
      </x:c>
      <x:c r="G1369" s="16" t="n">
        <x:v>1</x:v>
      </x:c>
      <x:c r="H1369" s="11" t="n">
        <x:f>H1349</x:f>
        <x:v>0.14</x:v>
      </x:c>
      <x:c r="I1369" s="11" t="n">
        <x:f>I1349</x:f>
        <x:v>7</x:v>
      </x:c>
    </x:row>
    <x:row r="1370" ht="23" customHeight="1">
      <x:c r="A1370" s="11" t="str">
        <x:v>09995.HK</x:v>
      </x:c>
      <x:c r="B1370" s="11" t="str">
        <x:v>2026年底</x:v>
      </x:c>
      <x:c r="C1370" s="11" t="str">
        <x:v>RC148_foreign</x:v>
      </x:c>
      <x:c r="D1370" s="11" t="str">
        <x:v>乐观</x:v>
      </x:c>
      <x:c r="E1370" s="16" t="n">
        <x:v>0.7</x:v>
      </x:c>
      <x:c r="F1370" s="16" t="n">
        <x:v>0.153</x:v>
      </x:c>
      <x:c r="G1370" s="16" t="n">
        <x:v>1</x:v>
      </x:c>
      <x:c r="H1370" s="11" t="n">
        <x:f>H1350</x:f>
        <x:v>0.11</x:v>
      </x:c>
      <x:c r="I1370" s="11" t="n">
        <x:f>I1350</x:f>
        <x:v>7</x:v>
      </x:c>
    </x:row>
    <x:row r="1371" ht="23" customHeight="1">
      <x:c r="A1371" s="11" t="str">
        <x:v>09995.HK</x:v>
      </x:c>
      <x:c r="B1371" s="11" t="str">
        <x:v>2026年底</x:v>
      </x:c>
      <x:c r="C1371" s="11" t="str">
        <x:v>RC18_foreign</x:v>
      </x:c>
      <x:c r="D1371" s="11" t="str">
        <x:v>活动输入</x:v>
      </x:c>
      <x:c r="E1371" s="11" t="n">
        <x:f>CHOOSE('假设'!$B$3,E1372,E1373,E1374)</x:f>
        <x:v>0.6</x:v>
      </x:c>
      <x:c r="F1371" s="11" t="n">
        <x:f>CHOOSE('假设'!$B$3,F1372,F1373,F1374)</x:f>
        <x:v>0.09019999999999999</x:v>
      </x:c>
      <x:c r="G1371" s="11" t="n">
        <x:f>CHOOSE('假设'!$B$3,G1372,G1373,G1374)</x:f>
        <x:v>1</x:v>
      </x:c>
      <x:c r="H1371" s="11" t="n">
        <x:f>CHOOSE('假设'!$B$3,H1372,H1373,H1374)</x:f>
        <x:v>0.14</x:v>
      </x:c>
      <x:c r="I1371" s="11" t="n">
        <x:f>CHOOSE('假设'!$B$3,I1372,I1373,I1374)</x:f>
        <x:v>7</x:v>
      </x:c>
    </x:row>
    <x:row r="1372" ht="23" customHeight="1">
      <x:c r="A1372" s="11" t="str">
        <x:v>09995.HK</x:v>
      </x:c>
      <x:c r="B1372" s="11" t="str">
        <x:v>2026年底</x:v>
      </x:c>
      <x:c r="C1372" s="11" t="str">
        <x:v>RC18_foreign</x:v>
      </x:c>
      <x:c r="D1372" s="11" t="str">
        <x:v>悲观</x:v>
      </x:c>
      <x:c r="E1372" s="16" t="n">
        <x:v>0.25</x:v>
      </x:c>
      <x:c r="F1372" s="16" t="n">
        <x:v>0.062400000000000004</x:v>
      </x:c>
      <x:c r="G1372" s="16" t="n">
        <x:v>1</x:v>
      </x:c>
      <x:c r="H1372" s="11" t="n">
        <x:f>H1348</x:f>
        <x:v>0.18</x:v>
      </x:c>
      <x:c r="I1372" s="11" t="n">
        <x:f>I1348</x:f>
        <x:v>7</x:v>
      </x:c>
    </x:row>
    <x:row r="1373" ht="23" customHeight="1">
      <x:c r="A1373" s="11" t="str">
        <x:v>09995.HK</x:v>
      </x:c>
      <x:c r="B1373" s="11" t="str">
        <x:v>2026年底</x:v>
      </x:c>
      <x:c r="C1373" s="11" t="str">
        <x:v>RC18_foreign</x:v>
      </x:c>
      <x:c r="D1373" s="11" t="str">
        <x:v>基准</x:v>
      </x:c>
      <x:c r="E1373" s="16" t="n">
        <x:v>0.6</x:v>
      </x:c>
      <x:c r="F1373" s="16" t="n">
        <x:v>0.09019999999999999</x:v>
      </x:c>
      <x:c r="G1373" s="16" t="n">
        <x:v>1</x:v>
      </x:c>
      <x:c r="H1373" s="11" t="n">
        <x:f>H1349</x:f>
        <x:v>0.14</x:v>
      </x:c>
      <x:c r="I1373" s="11" t="n">
        <x:f>I1349</x:f>
        <x:v>7</x:v>
      </x:c>
    </x:row>
    <x:row r="1374" ht="23" customHeight="1">
      <x:c r="A1374" s="11" t="str">
        <x:v>09995.HK</x:v>
      </x:c>
      <x:c r="B1374" s="11" t="str">
        <x:v>2026年底</x:v>
      </x:c>
      <x:c r="C1374" s="11" t="str">
        <x:v>RC18_foreign</x:v>
      </x:c>
      <x:c r="D1374" s="11" t="str">
        <x:v>乐观</x:v>
      </x:c>
      <x:c r="E1374" s="16" t="n">
        <x:v>0.8</x:v>
      </x:c>
      <x:c r="F1374" s="16" t="n">
        <x:v>0.11900000000000001</x:v>
      </x:c>
      <x:c r="G1374" s="16" t="n">
        <x:v>1</x:v>
      </x:c>
      <x:c r="H1374" s="11" t="n">
        <x:f>H1350</x:f>
        <x:v>0.11</x:v>
      </x:c>
      <x:c r="I1374" s="11" t="n">
        <x:f>I1350</x:f>
        <x:v>7</x:v>
      </x:c>
    </x:row>
    <x:row r="1375" ht="23" customHeight="1">
      <x:c r="A1375" s="11" t="str">
        <x:v>09995.HK</x:v>
      </x:c>
      <x:c r="B1375" s="11" t="str">
        <x:v>2026年底</x:v>
      </x:c>
      <x:c r="C1375" s="11" t="str">
        <x:v>RC48_foreign</x:v>
      </x:c>
      <x:c r="D1375" s="11" t="str">
        <x:v>活动输入</x:v>
      </x:c>
      <x:c r="E1375" s="11" t="n">
        <x:f>CHOOSE('假设'!$B$3,E1376,E1377,E1378)</x:f>
        <x:v>0.55</x:v>
      </x:c>
      <x:c r="F1375" s="11" t="n">
        <x:f>CHOOSE('假设'!$B$3,F1376,F1377,F1378)</x:f>
        <x:v>0.09019999999999999</x:v>
      </x:c>
      <x:c r="G1375" s="11" t="n">
        <x:f>CHOOSE('假设'!$B$3,G1376,G1377,G1378)</x:f>
        <x:v>1</x:v>
      </x:c>
      <x:c r="H1375" s="11" t="n">
        <x:f>CHOOSE('假设'!$B$3,H1376,H1377,H1378)</x:f>
        <x:v>0.14</x:v>
      </x:c>
      <x:c r="I1375" s="11" t="n">
        <x:f>CHOOSE('假设'!$B$3,I1376,I1377,I1378)</x:f>
        <x:v>7</x:v>
      </x:c>
    </x:row>
    <x:row r="1376" ht="23" customHeight="1">
      <x:c r="A1376" s="11" t="str">
        <x:v>09995.HK</x:v>
      </x:c>
      <x:c r="B1376" s="11" t="str">
        <x:v>2026年底</x:v>
      </x:c>
      <x:c r="C1376" s="11" t="str">
        <x:v>RC48_foreign</x:v>
      </x:c>
      <x:c r="D1376" s="11" t="str">
        <x:v>悲观</x:v>
      </x:c>
      <x:c r="E1376" s="16" t="n">
        <x:v>0.2</x:v>
      </x:c>
      <x:c r="F1376" s="16" t="n">
        <x:v>0.062400000000000004</x:v>
      </x:c>
      <x:c r="G1376" s="16" t="n">
        <x:v>1</x:v>
      </x:c>
      <x:c r="H1376" s="11" t="n">
        <x:f>H1348</x:f>
        <x:v>0.18</x:v>
      </x:c>
      <x:c r="I1376" s="11" t="n">
        <x:f>I1348</x:f>
        <x:v>7</x:v>
      </x:c>
    </x:row>
    <x:row r="1377" ht="23" customHeight="1">
      <x:c r="A1377" s="11" t="str">
        <x:v>09995.HK</x:v>
      </x:c>
      <x:c r="B1377" s="11" t="str">
        <x:v>2026年底</x:v>
      </x:c>
      <x:c r="C1377" s="11" t="str">
        <x:v>RC48_foreign</x:v>
      </x:c>
      <x:c r="D1377" s="11" t="str">
        <x:v>基准</x:v>
      </x:c>
      <x:c r="E1377" s="16" t="n">
        <x:v>0.55</x:v>
      </x:c>
      <x:c r="F1377" s="16" t="n">
        <x:v>0.09019999999999999</x:v>
      </x:c>
      <x:c r="G1377" s="16" t="n">
        <x:v>1</x:v>
      </x:c>
      <x:c r="H1377" s="11" t="n">
        <x:f>H1349</x:f>
        <x:v>0.14</x:v>
      </x:c>
      <x:c r="I1377" s="11" t="n">
        <x:f>I1349</x:f>
        <x:v>7</x:v>
      </x:c>
    </x:row>
    <x:row r="1378" ht="23" customHeight="1">
      <x:c r="A1378" s="11" t="str">
        <x:v>09995.HK</x:v>
      </x:c>
      <x:c r="B1378" s="11" t="str">
        <x:v>2026年底</x:v>
      </x:c>
      <x:c r="C1378" s="11" t="str">
        <x:v>RC48_foreign</x:v>
      </x:c>
      <x:c r="D1378" s="11" t="str">
        <x:v>乐观</x:v>
      </x:c>
      <x:c r="E1378" s="16" t="n">
        <x:v>0.8</x:v>
      </x:c>
      <x:c r="F1378" s="16" t="n">
        <x:v>0.11900000000000001</x:v>
      </x:c>
      <x:c r="G1378" s="16" t="n">
        <x:v>1</x:v>
      </x:c>
      <x:c r="H1378" s="11" t="n">
        <x:f>H1350</x:f>
        <x:v>0.11</x:v>
      </x:c>
      <x:c r="I1378" s="11" t="n">
        <x:f>I1350</x:f>
        <x:v>7</x:v>
      </x:c>
    </x:row>
    <x:row r="1379" ht="23" customHeight="1">
      <x:c r="A1379" s="11" t="str">
        <x:v>09995.HK</x:v>
      </x:c>
      <x:c r="B1379" s="11" t="str">
        <x:v>2026年底</x:v>
      </x:c>
      <x:c r="C1379" s="11" t="str">
        <x:v>RC28_China</x:v>
      </x:c>
      <x:c r="D1379" s="11" t="str">
        <x:v>活动输入</x:v>
      </x:c>
      <x:c r="E1379" s="11" t="n">
        <x:f>CHOOSE('假设'!$B$3,E1380,E1381,E1382)</x:f>
        <x:v>0.35</x:v>
      </x:c>
      <x:c r="F1379" s="11" t="n">
        <x:f>CHOOSE('假设'!$B$3,F1380,F1381,F1382)</x:f>
        <x:v>0.09839999999999999</x:v>
      </x:c>
      <x:c r="G1379" s="11" t="n">
        <x:f>CHOOSE('假设'!$B$3,G1380,G1381,G1382)</x:f>
        <x:v>1</x:v>
      </x:c>
      <x:c r="H1379" s="11" t="n">
        <x:f>CHOOSE('假设'!$B$3,H1380,H1381,H1382)</x:f>
        <x:v>0.14</x:v>
      </x:c>
      <x:c r="I1379" s="11" t="n">
        <x:f>CHOOSE('假设'!$B$3,I1380,I1381,I1382)</x:f>
        <x:v>7</x:v>
      </x:c>
    </x:row>
    <x:row r="1380" ht="23" customHeight="1">
      <x:c r="A1380" s="11" t="str">
        <x:v>09995.HK</x:v>
      </x:c>
      <x:c r="B1380" s="11" t="str">
        <x:v>2026年底</x:v>
      </x:c>
      <x:c r="C1380" s="11" t="str">
        <x:v>RC28_China</x:v>
      </x:c>
      <x:c r="D1380" s="11" t="str">
        <x:v>悲观</x:v>
      </x:c>
      <x:c r="E1380" s="16" t="n">
        <x:v>0.1</x:v>
      </x:c>
      <x:c r="F1380" s="16" t="n">
        <x:v>0.062400000000000004</x:v>
      </x:c>
      <x:c r="G1380" s="16" t="n">
        <x:v>1</x:v>
      </x:c>
      <x:c r="H1380" s="11" t="n">
        <x:f>H1348</x:f>
        <x:v>0.18</x:v>
      </x:c>
      <x:c r="I1380" s="11" t="n">
        <x:f>I1348</x:f>
        <x:v>7</x:v>
      </x:c>
    </x:row>
    <x:row r="1381" ht="23" customHeight="1">
      <x:c r="A1381" s="11" t="str">
        <x:v>09995.HK</x:v>
      </x:c>
      <x:c r="B1381" s="11" t="str">
        <x:v>2026年底</x:v>
      </x:c>
      <x:c r="C1381" s="11" t="str">
        <x:v>RC28_China</x:v>
      </x:c>
      <x:c r="D1381" s="11" t="str">
        <x:v>基准</x:v>
      </x:c>
      <x:c r="E1381" s="16" t="n">
        <x:v>0.35</x:v>
      </x:c>
      <x:c r="F1381" s="16" t="n">
        <x:v>0.09839999999999999</x:v>
      </x:c>
      <x:c r="G1381" s="16" t="n">
        <x:v>1</x:v>
      </x:c>
      <x:c r="H1381" s="11" t="n">
        <x:f>H1349</x:f>
        <x:v>0.14</x:v>
      </x:c>
      <x:c r="I1381" s="11" t="n">
        <x:f>I1349</x:f>
        <x:v>7</x:v>
      </x:c>
    </x:row>
    <x:row r="1382" ht="23" customHeight="1">
      <x:c r="A1382" s="11" t="str">
        <x:v>09995.HK</x:v>
      </x:c>
      <x:c r="B1382" s="11" t="str">
        <x:v>2026年底</x:v>
      </x:c>
      <x:c r="C1382" s="11" t="str">
        <x:v>RC28_China</x:v>
      </x:c>
      <x:c r="D1382" s="11" t="str">
        <x:v>乐观</x:v>
      </x:c>
      <x:c r="E1382" s="16" t="n">
        <x:v>0.6</x:v>
      </x:c>
      <x:c r="F1382" s="16" t="n">
        <x:v>0.136</x:v>
      </x:c>
      <x:c r="G1382" s="16" t="n">
        <x:v>1</x:v>
      </x:c>
      <x:c r="H1382" s="11" t="n">
        <x:f>H1350</x:f>
        <x:v>0.11</x:v>
      </x:c>
      <x:c r="I1382" s="11" t="n">
        <x:f>I1350</x:f>
        <x:v>7</x:v>
      </x:c>
    </x:row>
    <x:row r="1383" ht="23" customHeight="1">
      <x:c r="A1383" s="11" t="str">
        <x:v>09995.HK</x:v>
      </x:c>
      <x:c r="B1383" s="11" t="str">
        <x:v>2026年底</x:v>
      </x:c>
      <x:c r="C1383" s="11" t="str">
        <x:v>centralCost</x:v>
      </x:c>
      <x:c r="D1383" s="11" t="str">
        <x:v>活动输入</x:v>
      </x:c>
      <x:c r="E1383" s="11" t="n">
        <x:f>CHOOSE('假设'!$B$3,E1384,E1385,E1386)</x:f>
        <x:v>1</x:v>
      </x:c>
      <x:c r="F1383" s="11" t="n">
        <x:f>CHOOSE('假设'!$B$3,F1384,F1385,F1386)</x:f>
        <x:v>0</x:v>
      </x:c>
      <x:c r="G1383" s="11" t="n">
        <x:f>CHOOSE('假设'!$B$3,G1384,G1385,G1386)</x:f>
        <x:v>1</x:v>
      </x:c>
      <x:c r="H1383" s="11" t="n">
        <x:f>CHOOSE('假设'!$B$3,H1384,H1385,H1386)</x:f>
        <x:v>0.14</x:v>
      </x:c>
      <x:c r="I1383" s="11" t="n">
        <x:f>CHOOSE('假设'!$B$3,I1384,I1385,I1386)</x:f>
        <x:v>7</x:v>
      </x:c>
    </x:row>
    <x:row r="1384" ht="23" customHeight="1">
      <x:c r="A1384" s="11" t="str">
        <x:v>09995.HK</x:v>
      </x:c>
      <x:c r="B1384" s="11" t="str">
        <x:v>2026年底</x:v>
      </x:c>
      <x:c r="C1384" s="11" t="str">
        <x:v>centralCost</x:v>
      </x:c>
      <x:c r="D1384" s="11" t="str">
        <x:v>悲观</x:v>
      </x:c>
      <x:c r="E1384" s="16" t="n">
        <x:v>1</x:v>
      </x:c>
      <x:c r="F1384" s="16" t="n">
        <x:v>0</x:v>
      </x:c>
      <x:c r="G1384" s="16" t="n">
        <x:v>1</x:v>
      </x:c>
      <x:c r="H1384" s="11" t="n">
        <x:f>H1348</x:f>
        <x:v>0.18</x:v>
      </x:c>
      <x:c r="I1384" s="11" t="n">
        <x:f>I1348</x:f>
        <x:v>7</x:v>
      </x:c>
    </x:row>
    <x:row r="1385" ht="23" customHeight="1">
      <x:c r="A1385" s="11" t="str">
        <x:v>09995.HK</x:v>
      </x:c>
      <x:c r="B1385" s="11" t="str">
        <x:v>2026年底</x:v>
      </x:c>
      <x:c r="C1385" s="11" t="str">
        <x:v>centralCost</x:v>
      </x:c>
      <x:c r="D1385" s="11" t="str">
        <x:v>基准</x:v>
      </x:c>
      <x:c r="E1385" s="16" t="n">
        <x:v>1</x:v>
      </x:c>
      <x:c r="F1385" s="16" t="n">
        <x:v>0</x:v>
      </x:c>
      <x:c r="G1385" s="16" t="n">
        <x:v>1</x:v>
      </x:c>
      <x:c r="H1385" s="11" t="n">
        <x:f>H1349</x:f>
        <x:v>0.14</x:v>
      </x:c>
      <x:c r="I1385" s="11" t="n">
        <x:f>I1349</x:f>
        <x:v>7</x:v>
      </x:c>
    </x:row>
    <x:row r="1386" ht="23" customHeight="1">
      <x:c r="A1386" s="11" t="str">
        <x:v>09995.HK</x:v>
      </x:c>
      <x:c r="B1386" s="11" t="str">
        <x:v>2026年底</x:v>
      </x:c>
      <x:c r="C1386" s="11" t="str">
        <x:v>centralCost</x:v>
      </x:c>
      <x:c r="D1386" s="11" t="str">
        <x:v>乐观</x:v>
      </x:c>
      <x:c r="E1386" s="16" t="n">
        <x:v>1</x:v>
      </x:c>
      <x:c r="F1386" s="16" t="n">
        <x:v>0</x:v>
      </x:c>
      <x:c r="G1386" s="16" t="n">
        <x:v>1</x:v>
      </x:c>
      <x:c r="H1386" s="11" t="n">
        <x:f>H1350</x:f>
        <x:v>0.11</x:v>
      </x:c>
      <x:c r="I1386" s="11" t="n">
        <x:f>I1350</x:f>
        <x:v>7</x:v>
      </x:c>
    </x:row>
    <x:row r="1387" ht="23" customHeight="1">
      <x:c r="A1387" s="11" t="str">
        <x:v>09995.HK</x:v>
      </x:c>
      <x:c r="B1387" s="11" t="str">
        <x:v>半年</x:v>
      </x:c>
      <x:c r="C1387" s="11" t="str">
        <x:v>RC18_approved_China</x:v>
      </x:c>
      <x:c r="D1387" s="11" t="str">
        <x:v>活动输入</x:v>
      </x:c>
      <x:c r="E1387" s="11" t="n">
        <x:f>CHOOSE('假设'!$B$3,E1388,E1389,E1390)</x:f>
        <x:v>0.97</x:v>
      </x:c>
      <x:c r="F1387" s="11" t="n">
        <x:f>CHOOSE('假设'!$B$3,F1388,F1389,F1390)</x:f>
        <x:v>0.43</x:v>
      </x:c>
      <x:c r="G1387" s="11" t="n">
        <x:f>CHOOSE('假设'!$B$3,G1388,G1389,G1390)</x:f>
        <x:v>1</x:v>
      </x:c>
      <x:c r="H1387" s="11" t="n">
        <x:f>CHOOSE('假设'!$B$3,H1388,H1389,H1390)</x:f>
        <x:v>0.14</x:v>
      </x:c>
      <x:c r="I1387" s="11" t="n">
        <x:f>CHOOSE('假设'!$B$3,I1388,I1389,I1390)</x:f>
        <x:v>7</x:v>
      </x:c>
    </x:row>
    <x:row r="1388" ht="23" customHeight="1">
      <x:c r="A1388" s="11" t="str">
        <x:v>09995.HK</x:v>
      </x:c>
      <x:c r="B1388" s="11" t="str">
        <x:v>半年</x:v>
      </x:c>
      <x:c r="C1388" s="11" t="str">
        <x:v>RC18_approved_China</x:v>
      </x:c>
      <x:c r="D1388" s="11" t="str">
        <x:v>悲观</x:v>
      </x:c>
      <x:c r="E1388" s="16" t="n">
        <x:v>0.9</x:v>
      </x:c>
      <x:c r="F1388" s="16" t="n">
        <x:v>0.3</x:v>
      </x:c>
      <x:c r="G1388" s="16" t="n">
        <x:v>1</x:v>
      </x:c>
      <x:c r="H1388" s="16" t="n">
        <x:v>0.18</x:v>
      </x:c>
      <x:c r="I1388" s="16" t="n">
        <x:v>7</x:v>
      </x:c>
    </x:row>
    <x:row r="1389" ht="23" customHeight="1">
      <x:c r="A1389" s="11" t="str">
        <x:v>09995.HK</x:v>
      </x:c>
      <x:c r="B1389" s="11" t="str">
        <x:v>半年</x:v>
      </x:c>
      <x:c r="C1389" s="11" t="str">
        <x:v>RC18_approved_China</x:v>
      </x:c>
      <x:c r="D1389" s="11" t="str">
        <x:v>基准</x:v>
      </x:c>
      <x:c r="E1389" s="16" t="n">
        <x:v>0.97</x:v>
      </x:c>
      <x:c r="F1389" s="16" t="n">
        <x:v>0.43</x:v>
      </x:c>
      <x:c r="G1389" s="16" t="n">
        <x:v>1</x:v>
      </x:c>
      <x:c r="H1389" s="16" t="n">
        <x:v>0.14</x:v>
      </x:c>
      <x:c r="I1389" s="16" t="n">
        <x:v>7</x:v>
      </x:c>
    </x:row>
    <x:row r="1390" ht="23" customHeight="1">
      <x:c r="A1390" s="11" t="str">
        <x:v>09995.HK</x:v>
      </x:c>
      <x:c r="B1390" s="11" t="str">
        <x:v>半年</x:v>
      </x:c>
      <x:c r="C1390" s="11" t="str">
        <x:v>RC18_approved_China</x:v>
      </x:c>
      <x:c r="D1390" s="11" t="str">
        <x:v>乐观</x:v>
      </x:c>
      <x:c r="E1390" s="16" t="n">
        <x:v>1</x:v>
      </x:c>
      <x:c r="F1390" s="16" t="n">
        <x:v>0.52</x:v>
      </x:c>
      <x:c r="G1390" s="16" t="n">
        <x:v>1</x:v>
      </x:c>
      <x:c r="H1390" s="16" t="n">
        <x:v>0.11</x:v>
      </x:c>
      <x:c r="I1390" s="16" t="n">
        <x:v>7</x:v>
      </x:c>
    </x:row>
    <x:row r="1391" ht="23" customHeight="1">
      <x:c r="A1391" s="11" t="str">
        <x:v>09995.HK</x:v>
      </x:c>
      <x:c r="B1391" s="11" t="str">
        <x:v>半年</x:v>
      </x:c>
      <x:c r="C1391" s="11" t="str">
        <x:v>RC48_approved_China</x:v>
      </x:c>
      <x:c r="D1391" s="11" t="str">
        <x:v>活动输入</x:v>
      </x:c>
      <x:c r="E1391" s="11" t="n">
        <x:f>CHOOSE('假设'!$B$3,E1392,E1393,E1394)</x:f>
        <x:v>0.95</x:v>
      </x:c>
      <x:c r="F1391" s="11" t="n">
        <x:f>CHOOSE('假设'!$B$3,F1392,F1393,F1394)</x:f>
        <x:v>0.37</x:v>
      </x:c>
      <x:c r="G1391" s="11" t="n">
        <x:f>CHOOSE('假设'!$B$3,G1392,G1393,G1394)</x:f>
        <x:v>1</x:v>
      </x:c>
      <x:c r="H1391" s="11" t="n">
        <x:f>CHOOSE('假设'!$B$3,H1392,H1393,H1394)</x:f>
        <x:v>0.14</x:v>
      </x:c>
      <x:c r="I1391" s="11" t="n">
        <x:f>CHOOSE('假设'!$B$3,I1392,I1393,I1394)</x:f>
        <x:v>7</x:v>
      </x:c>
    </x:row>
    <x:row r="1392" ht="23" customHeight="1">
      <x:c r="A1392" s="11" t="str">
        <x:v>09995.HK</x:v>
      </x:c>
      <x:c r="B1392" s="11" t="str">
        <x:v>半年</x:v>
      </x:c>
      <x:c r="C1392" s="11" t="str">
        <x:v>RC48_approved_China</x:v>
      </x:c>
      <x:c r="D1392" s="11" t="str">
        <x:v>悲观</x:v>
      </x:c>
      <x:c r="E1392" s="16" t="n">
        <x:v>0.85</x:v>
      </x:c>
      <x:c r="F1392" s="16" t="n">
        <x:v>0.25</x:v>
      </x:c>
      <x:c r="G1392" s="16" t="n">
        <x:v>1</x:v>
      </x:c>
      <x:c r="H1392" s="11" t="n">
        <x:f>H1388</x:f>
        <x:v>0.18</x:v>
      </x:c>
      <x:c r="I1392" s="11" t="n">
        <x:f>I1388</x:f>
        <x:v>7</x:v>
      </x:c>
    </x:row>
    <x:row r="1393" ht="23" customHeight="1">
      <x:c r="A1393" s="11" t="str">
        <x:v>09995.HK</x:v>
      </x:c>
      <x:c r="B1393" s="11" t="str">
        <x:v>半年</x:v>
      </x:c>
      <x:c r="C1393" s="11" t="str">
        <x:v>RC48_approved_China</x:v>
      </x:c>
      <x:c r="D1393" s="11" t="str">
        <x:v>基准</x:v>
      </x:c>
      <x:c r="E1393" s="16" t="n">
        <x:v>0.95</x:v>
      </x:c>
      <x:c r="F1393" s="16" t="n">
        <x:v>0.37</x:v>
      </x:c>
      <x:c r="G1393" s="16" t="n">
        <x:v>1</x:v>
      </x:c>
      <x:c r="H1393" s="11" t="n">
        <x:f>H1389</x:f>
        <x:v>0.14</x:v>
      </x:c>
      <x:c r="I1393" s="11" t="n">
        <x:f>I1389</x:f>
        <x:v>7</x:v>
      </x:c>
    </x:row>
    <x:row r="1394" ht="23" customHeight="1">
      <x:c r="A1394" s="11" t="str">
        <x:v>09995.HK</x:v>
      </x:c>
      <x:c r="B1394" s="11" t="str">
        <x:v>半年</x:v>
      </x:c>
      <x:c r="C1394" s="11" t="str">
        <x:v>RC48_approved_China</x:v>
      </x:c>
      <x:c r="D1394" s="11" t="str">
        <x:v>乐观</x:v>
      </x:c>
      <x:c r="E1394" s="16" t="n">
        <x:v>1</x:v>
      </x:c>
      <x:c r="F1394" s="16" t="n">
        <x:v>0.46</x:v>
      </x:c>
      <x:c r="G1394" s="16" t="n">
        <x:v>1</x:v>
      </x:c>
      <x:c r="H1394" s="11" t="n">
        <x:f>H1390</x:f>
        <x:v>0.11</x:v>
      </x:c>
      <x:c r="I1394" s="11" t="n">
        <x:f>I1390</x:f>
        <x:v>7</x:v>
      </x:c>
    </x:row>
    <x:row r="1395" ht="23" customHeight="1">
      <x:c r="A1395" s="11" t="str">
        <x:v>09995.HK</x:v>
      </x:c>
      <x:c r="B1395" s="11" t="str">
        <x:v>半年</x:v>
      </x:c>
      <x:c r="C1395" s="11" t="str">
        <x:v>RC18_new_China</x:v>
      </x:c>
      <x:c r="D1395" s="11" t="str">
        <x:v>活动输入</x:v>
      </x:c>
      <x:c r="E1395" s="11" t="n">
        <x:f>CHOOSE('假设'!$B$3,E1396,E1397,E1398)</x:f>
        <x:v>0.4</x:v>
      </x:c>
      <x:c r="F1395" s="11" t="n">
        <x:f>CHOOSE('假设'!$B$3,F1396,F1397,F1398)</x:f>
        <x:v>0.43</x:v>
      </x:c>
      <x:c r="G1395" s="11" t="n">
        <x:f>CHOOSE('假设'!$B$3,G1396,G1397,G1398)</x:f>
        <x:v>1</x:v>
      </x:c>
      <x:c r="H1395" s="11" t="n">
        <x:f>CHOOSE('假设'!$B$3,H1396,H1397,H1398)</x:f>
        <x:v>0.14</x:v>
      </x:c>
      <x:c r="I1395" s="11" t="n">
        <x:f>CHOOSE('假设'!$B$3,I1396,I1397,I1398)</x:f>
        <x:v>7</x:v>
      </x:c>
    </x:row>
    <x:row r="1396" ht="23" customHeight="1">
      <x:c r="A1396" s="11" t="str">
        <x:v>09995.HK</x:v>
      </x:c>
      <x:c r="B1396" s="11" t="str">
        <x:v>半年</x:v>
      </x:c>
      <x:c r="C1396" s="11" t="str">
        <x:v>RC18_new_China</x:v>
      </x:c>
      <x:c r="D1396" s="11" t="str">
        <x:v>悲观</x:v>
      </x:c>
      <x:c r="E1396" s="16" t="n">
        <x:v>0.15</x:v>
      </x:c>
      <x:c r="F1396" s="16" t="n">
        <x:v>0.3</x:v>
      </x:c>
      <x:c r="G1396" s="16" t="n">
        <x:v>1</x:v>
      </x:c>
      <x:c r="H1396" s="11" t="n">
        <x:f>H1388</x:f>
        <x:v>0.18</x:v>
      </x:c>
      <x:c r="I1396" s="11" t="n">
        <x:f>I1388</x:f>
        <x:v>7</x:v>
      </x:c>
    </x:row>
    <x:row r="1397" ht="23" customHeight="1">
      <x:c r="A1397" s="11" t="str">
        <x:v>09995.HK</x:v>
      </x:c>
      <x:c r="B1397" s="11" t="str">
        <x:v>半年</x:v>
      </x:c>
      <x:c r="C1397" s="11" t="str">
        <x:v>RC18_new_China</x:v>
      </x:c>
      <x:c r="D1397" s="11" t="str">
        <x:v>基准</x:v>
      </x:c>
      <x:c r="E1397" s="16" t="n">
        <x:v>0.4</x:v>
      </x:c>
      <x:c r="F1397" s="16" t="n">
        <x:v>0.43</x:v>
      </x:c>
      <x:c r="G1397" s="16" t="n">
        <x:v>1</x:v>
      </x:c>
      <x:c r="H1397" s="11" t="n">
        <x:f>H1389</x:f>
        <x:v>0.14</x:v>
      </x:c>
      <x:c r="I1397" s="11" t="n">
        <x:f>I1389</x:f>
        <x:v>7</x:v>
      </x:c>
    </x:row>
    <x:row r="1398" ht="23" customHeight="1">
      <x:c r="A1398" s="11" t="str">
        <x:v>09995.HK</x:v>
      </x:c>
      <x:c r="B1398" s="11" t="str">
        <x:v>半年</x:v>
      </x:c>
      <x:c r="C1398" s="11" t="str">
        <x:v>RC18_new_China</x:v>
      </x:c>
      <x:c r="D1398" s="11" t="str">
        <x:v>乐观</x:v>
      </x:c>
      <x:c r="E1398" s="16" t="n">
        <x:v>0.65</x:v>
      </x:c>
      <x:c r="F1398" s="16" t="n">
        <x:v>0.52</x:v>
      </x:c>
      <x:c r="G1398" s="16" t="n">
        <x:v>1</x:v>
      </x:c>
      <x:c r="H1398" s="11" t="n">
        <x:f>H1390</x:f>
        <x:v>0.11</x:v>
      </x:c>
      <x:c r="I1398" s="11" t="n">
        <x:f>I1390</x:f>
        <x:v>7</x:v>
      </x:c>
    </x:row>
    <x:row r="1399" ht="23" customHeight="1">
      <x:c r="A1399" s="11" t="str">
        <x:v>09995.HK</x:v>
      </x:c>
      <x:c r="B1399" s="11" t="str">
        <x:v>半年</x:v>
      </x:c>
      <x:c r="C1399" s="11" t="str">
        <x:v>RC48_new_China</x:v>
      </x:c>
      <x:c r="D1399" s="11" t="str">
        <x:v>活动输入</x:v>
      </x:c>
      <x:c r="E1399" s="11" t="n">
        <x:f>CHOOSE('假设'!$B$3,E1400,E1401,E1402)</x:f>
        <x:v>0.5</x:v>
      </x:c>
      <x:c r="F1399" s="11" t="n">
        <x:f>CHOOSE('假设'!$B$3,F1400,F1401,F1402)</x:f>
        <x:v>0.37</x:v>
      </x:c>
      <x:c r="G1399" s="11" t="n">
        <x:f>CHOOSE('假设'!$B$3,G1400,G1401,G1402)</x:f>
        <x:v>1</x:v>
      </x:c>
      <x:c r="H1399" s="11" t="n">
        <x:f>CHOOSE('假设'!$B$3,H1400,H1401,H1402)</x:f>
        <x:v>0.14</x:v>
      </x:c>
      <x:c r="I1399" s="11" t="n">
        <x:f>CHOOSE('假设'!$B$3,I1400,I1401,I1402)</x:f>
        <x:v>7</x:v>
      </x:c>
    </x:row>
    <x:row r="1400" ht="23" customHeight="1">
      <x:c r="A1400" s="11" t="str">
        <x:v>09995.HK</x:v>
      </x:c>
      <x:c r="B1400" s="11" t="str">
        <x:v>半年</x:v>
      </x:c>
      <x:c r="C1400" s="11" t="str">
        <x:v>RC48_new_China</x:v>
      </x:c>
      <x:c r="D1400" s="11" t="str">
        <x:v>悲观</x:v>
      </x:c>
      <x:c r="E1400" s="16" t="n">
        <x:v>0.15</x:v>
      </x:c>
      <x:c r="F1400" s="16" t="n">
        <x:v>0.25</x:v>
      </x:c>
      <x:c r="G1400" s="16" t="n">
        <x:v>1</x:v>
      </x:c>
      <x:c r="H1400" s="11" t="n">
        <x:f>H1388</x:f>
        <x:v>0.18</x:v>
      </x:c>
      <x:c r="I1400" s="11" t="n">
        <x:f>I1388</x:f>
        <x:v>7</x:v>
      </x:c>
    </x:row>
    <x:row r="1401" ht="23" customHeight="1">
      <x:c r="A1401" s="11" t="str">
        <x:v>09995.HK</x:v>
      </x:c>
      <x:c r="B1401" s="11" t="str">
        <x:v>半年</x:v>
      </x:c>
      <x:c r="C1401" s="11" t="str">
        <x:v>RC48_new_China</x:v>
      </x:c>
      <x:c r="D1401" s="11" t="str">
        <x:v>基准</x:v>
      </x:c>
      <x:c r="E1401" s="16" t="n">
        <x:v>0.5</x:v>
      </x:c>
      <x:c r="F1401" s="16" t="n">
        <x:v>0.37</x:v>
      </x:c>
      <x:c r="G1401" s="16" t="n">
        <x:v>1</x:v>
      </x:c>
      <x:c r="H1401" s="11" t="n">
        <x:f>H1389</x:f>
        <x:v>0.14</x:v>
      </x:c>
      <x:c r="I1401" s="11" t="n">
        <x:f>I1389</x:f>
        <x:v>7</x:v>
      </x:c>
    </x:row>
    <x:row r="1402" ht="23" customHeight="1">
      <x:c r="A1402" s="11" t="str">
        <x:v>09995.HK</x:v>
      </x:c>
      <x:c r="B1402" s="11" t="str">
        <x:v>半年</x:v>
      </x:c>
      <x:c r="C1402" s="11" t="str">
        <x:v>RC48_new_China</x:v>
      </x:c>
      <x:c r="D1402" s="11" t="str">
        <x:v>乐观</x:v>
      </x:c>
      <x:c r="E1402" s="16" t="n">
        <x:v>0.75</x:v>
      </x:c>
      <x:c r="F1402" s="16" t="n">
        <x:v>0.46</x:v>
      </x:c>
      <x:c r="G1402" s="16" t="n">
        <x:v>1</x:v>
      </x:c>
      <x:c r="H1402" s="11" t="n">
        <x:f>H1390</x:f>
        <x:v>0.11</x:v>
      </x:c>
      <x:c r="I1402" s="11" t="n">
        <x:f>I1390</x:f>
        <x:v>7</x:v>
      </x:c>
    </x:row>
    <x:row r="1403" ht="23" customHeight="1">
      <x:c r="A1403" s="11" t="str">
        <x:v>09995.HK</x:v>
      </x:c>
      <x:c r="B1403" s="11" t="str">
        <x:v>半年</x:v>
      </x:c>
      <x:c r="C1403" s="11" t="str">
        <x:v>RC148_China</x:v>
      </x:c>
      <x:c r="D1403" s="11" t="str">
        <x:v>活动输入</x:v>
      </x:c>
      <x:c r="E1403" s="11" t="n">
        <x:f>CHOOSE('假设'!$B$3,E1404,E1405,E1406)</x:f>
        <x:v>0.5</x:v>
      </x:c>
      <x:c r="F1403" s="11" t="n">
        <x:f>CHOOSE('假设'!$B$3,F1404,F1405,F1406)</x:f>
        <x:v>0.42</x:v>
      </x:c>
      <x:c r="G1403" s="11" t="n">
        <x:f>CHOOSE('假设'!$B$3,G1404,G1405,G1406)</x:f>
        <x:v>1</x:v>
      </x:c>
      <x:c r="H1403" s="11" t="n">
        <x:f>CHOOSE('假设'!$B$3,H1404,H1405,H1406)</x:f>
        <x:v>0.14</x:v>
      </x:c>
      <x:c r="I1403" s="11" t="n">
        <x:f>CHOOSE('假设'!$B$3,I1404,I1405,I1406)</x:f>
        <x:v>7</x:v>
      </x:c>
    </x:row>
    <x:row r="1404" ht="23" customHeight="1">
      <x:c r="A1404" s="11" t="str">
        <x:v>09995.HK</x:v>
      </x:c>
      <x:c r="B1404" s="11" t="str">
        <x:v>半年</x:v>
      </x:c>
      <x:c r="C1404" s="11" t="str">
        <x:v>RC148_China</x:v>
      </x:c>
      <x:c r="D1404" s="11" t="str">
        <x:v>悲观</x:v>
      </x:c>
      <x:c r="E1404" s="16" t="n">
        <x:v>0.2</x:v>
      </x:c>
      <x:c r="F1404" s="16" t="n">
        <x:v>0.28</x:v>
      </x:c>
      <x:c r="G1404" s="16" t="n">
        <x:v>1</x:v>
      </x:c>
      <x:c r="H1404" s="11" t="n">
        <x:f>H1388</x:f>
        <x:v>0.18</x:v>
      </x:c>
      <x:c r="I1404" s="11" t="n">
        <x:f>I1388</x:f>
        <x:v>7</x:v>
      </x:c>
    </x:row>
    <x:row r="1405" ht="23" customHeight="1">
      <x:c r="A1405" s="11" t="str">
        <x:v>09995.HK</x:v>
      </x:c>
      <x:c r="B1405" s="11" t="str">
        <x:v>半年</x:v>
      </x:c>
      <x:c r="C1405" s="11" t="str">
        <x:v>RC148_China</x:v>
      </x:c>
      <x:c r="D1405" s="11" t="str">
        <x:v>基准</x:v>
      </x:c>
      <x:c r="E1405" s="16" t="n">
        <x:v>0.5</x:v>
      </x:c>
      <x:c r="F1405" s="16" t="n">
        <x:v>0.42</x:v>
      </x:c>
      <x:c r="G1405" s="16" t="n">
        <x:v>1</x:v>
      </x:c>
      <x:c r="H1405" s="11" t="n">
        <x:f>H1389</x:f>
        <x:v>0.14</x:v>
      </x:c>
      <x:c r="I1405" s="11" t="n">
        <x:f>I1389</x:f>
        <x:v>7</x:v>
      </x:c>
    </x:row>
    <x:row r="1406" ht="23" customHeight="1">
      <x:c r="A1406" s="11" t="str">
        <x:v>09995.HK</x:v>
      </x:c>
      <x:c r="B1406" s="11" t="str">
        <x:v>半年</x:v>
      </x:c>
      <x:c r="C1406" s="11" t="str">
        <x:v>RC148_China</x:v>
      </x:c>
      <x:c r="D1406" s="11" t="str">
        <x:v>乐观</x:v>
      </x:c>
      <x:c r="E1406" s="16" t="n">
        <x:v>0.75</x:v>
      </x:c>
      <x:c r="F1406" s="16" t="n">
        <x:v>0.5</x:v>
      </x:c>
      <x:c r="G1406" s="16" t="n">
        <x:v>1</x:v>
      </x:c>
      <x:c r="H1406" s="11" t="n">
        <x:f>H1390</x:f>
        <x:v>0.11</x:v>
      </x:c>
      <x:c r="I1406" s="11" t="n">
        <x:f>I1390</x:f>
        <x:v>7</x:v>
      </x:c>
    </x:row>
    <x:row r="1407" ht="23" customHeight="1">
      <x:c r="A1407" s="11" t="str">
        <x:v>09995.HK</x:v>
      </x:c>
      <x:c r="B1407" s="11" t="str">
        <x:v>半年</x:v>
      </x:c>
      <x:c r="C1407" s="11" t="str">
        <x:v>RC148_foreign</x:v>
      </x:c>
      <x:c r="D1407" s="11" t="str">
        <x:v>活动输入</x:v>
      </x:c>
      <x:c r="E1407" s="11" t="n">
        <x:f>CHOOSE('假设'!$B$3,E1408,E1409,E1410)</x:f>
        <x:v>0.5</x:v>
      </x:c>
      <x:c r="F1407" s="11" t="n">
        <x:f>CHOOSE('假设'!$B$3,F1408,F1409,F1410)</x:f>
        <x:v>0.1148</x:v>
      </x:c>
      <x:c r="G1407" s="11" t="n">
        <x:f>CHOOSE('假设'!$B$3,G1408,G1409,G1410)</x:f>
        <x:v>1</x:v>
      </x:c>
      <x:c r="H1407" s="11" t="n">
        <x:f>CHOOSE('假设'!$B$3,H1408,H1409,H1410)</x:f>
        <x:v>0.14</x:v>
      </x:c>
      <x:c r="I1407" s="11" t="n">
        <x:f>CHOOSE('假设'!$B$3,I1408,I1409,I1410)</x:f>
        <x:v>7</x:v>
      </x:c>
    </x:row>
    <x:row r="1408" ht="23" customHeight="1">
      <x:c r="A1408" s="11" t="str">
        <x:v>09995.HK</x:v>
      </x:c>
      <x:c r="B1408" s="11" t="str">
        <x:v>半年</x:v>
      </x:c>
      <x:c r="C1408" s="11" t="str">
        <x:v>RC148_foreign</x:v>
      </x:c>
      <x:c r="D1408" s="11" t="str">
        <x:v>悲观</x:v>
      </x:c>
      <x:c r="E1408" s="16" t="n">
        <x:v>0.18</x:v>
      </x:c>
      <x:c r="F1408" s="16" t="n">
        <x:v>0.07800000000000001</x:v>
      </x:c>
      <x:c r="G1408" s="16" t="n">
        <x:v>1</x:v>
      </x:c>
      <x:c r="H1408" s="11" t="n">
        <x:f>H1388</x:f>
        <x:v>0.18</x:v>
      </x:c>
      <x:c r="I1408" s="11" t="n">
        <x:f>I1388</x:f>
        <x:v>7</x:v>
      </x:c>
    </x:row>
    <x:row r="1409" ht="23" customHeight="1">
      <x:c r="A1409" s="11" t="str">
        <x:v>09995.HK</x:v>
      </x:c>
      <x:c r="B1409" s="11" t="str">
        <x:v>半年</x:v>
      </x:c>
      <x:c r="C1409" s="11" t="str">
        <x:v>RC148_foreign</x:v>
      </x:c>
      <x:c r="D1409" s="11" t="str">
        <x:v>基准</x:v>
      </x:c>
      <x:c r="E1409" s="16" t="n">
        <x:v>0.5</x:v>
      </x:c>
      <x:c r="F1409" s="16" t="n">
        <x:v>0.1148</x:v>
      </x:c>
      <x:c r="G1409" s="16" t="n">
        <x:v>1</x:v>
      </x:c>
      <x:c r="H1409" s="11" t="n">
        <x:f>H1389</x:f>
        <x:v>0.14</x:v>
      </x:c>
      <x:c r="I1409" s="11" t="n">
        <x:f>I1389</x:f>
        <x:v>7</x:v>
      </x:c>
    </x:row>
    <x:row r="1410" ht="23" customHeight="1">
      <x:c r="A1410" s="11" t="str">
        <x:v>09995.HK</x:v>
      </x:c>
      <x:c r="B1410" s="11" t="str">
        <x:v>半年</x:v>
      </x:c>
      <x:c r="C1410" s="11" t="str">
        <x:v>RC148_foreign</x:v>
      </x:c>
      <x:c r="D1410" s="11" t="str">
        <x:v>乐观</x:v>
      </x:c>
      <x:c r="E1410" s="16" t="n">
        <x:v>0.7</x:v>
      </x:c>
      <x:c r="F1410" s="16" t="n">
        <x:v>0.153</x:v>
      </x:c>
      <x:c r="G1410" s="16" t="n">
        <x:v>1</x:v>
      </x:c>
      <x:c r="H1410" s="11" t="n">
        <x:f>H1390</x:f>
        <x:v>0.11</x:v>
      </x:c>
      <x:c r="I1410" s="11" t="n">
        <x:f>I1390</x:f>
        <x:v>7</x:v>
      </x:c>
    </x:row>
    <x:row r="1411" ht="23" customHeight="1">
      <x:c r="A1411" s="11" t="str">
        <x:v>09995.HK</x:v>
      </x:c>
      <x:c r="B1411" s="11" t="str">
        <x:v>半年</x:v>
      </x:c>
      <x:c r="C1411" s="11" t="str">
        <x:v>RC18_foreign</x:v>
      </x:c>
      <x:c r="D1411" s="11" t="str">
        <x:v>活动输入</x:v>
      </x:c>
      <x:c r="E1411" s="11" t="n">
        <x:f>CHOOSE('假设'!$B$3,E1412,E1413,E1414)</x:f>
        <x:v>0.6</x:v>
      </x:c>
      <x:c r="F1411" s="11" t="n">
        <x:f>CHOOSE('假设'!$B$3,F1412,F1413,F1414)</x:f>
        <x:v>0.09019999999999999</x:v>
      </x:c>
      <x:c r="G1411" s="11" t="n">
        <x:f>CHOOSE('假设'!$B$3,G1412,G1413,G1414)</x:f>
        <x:v>1</x:v>
      </x:c>
      <x:c r="H1411" s="11" t="n">
        <x:f>CHOOSE('假设'!$B$3,H1412,H1413,H1414)</x:f>
        <x:v>0.14</x:v>
      </x:c>
      <x:c r="I1411" s="11" t="n">
        <x:f>CHOOSE('假设'!$B$3,I1412,I1413,I1414)</x:f>
        <x:v>7</x:v>
      </x:c>
    </x:row>
    <x:row r="1412" ht="23" customHeight="1">
      <x:c r="A1412" s="11" t="str">
        <x:v>09995.HK</x:v>
      </x:c>
      <x:c r="B1412" s="11" t="str">
        <x:v>半年</x:v>
      </x:c>
      <x:c r="C1412" s="11" t="str">
        <x:v>RC18_foreign</x:v>
      </x:c>
      <x:c r="D1412" s="11" t="str">
        <x:v>悲观</x:v>
      </x:c>
      <x:c r="E1412" s="16" t="n">
        <x:v>0.25</x:v>
      </x:c>
      <x:c r="F1412" s="16" t="n">
        <x:v>0.062400000000000004</x:v>
      </x:c>
      <x:c r="G1412" s="16" t="n">
        <x:v>1</x:v>
      </x:c>
      <x:c r="H1412" s="11" t="n">
        <x:f>H1388</x:f>
        <x:v>0.18</x:v>
      </x:c>
      <x:c r="I1412" s="11" t="n">
        <x:f>I1388</x:f>
        <x:v>7</x:v>
      </x:c>
    </x:row>
    <x:row r="1413" ht="23" customHeight="1">
      <x:c r="A1413" s="11" t="str">
        <x:v>09995.HK</x:v>
      </x:c>
      <x:c r="B1413" s="11" t="str">
        <x:v>半年</x:v>
      </x:c>
      <x:c r="C1413" s="11" t="str">
        <x:v>RC18_foreign</x:v>
      </x:c>
      <x:c r="D1413" s="11" t="str">
        <x:v>基准</x:v>
      </x:c>
      <x:c r="E1413" s="16" t="n">
        <x:v>0.6</x:v>
      </x:c>
      <x:c r="F1413" s="16" t="n">
        <x:v>0.09019999999999999</x:v>
      </x:c>
      <x:c r="G1413" s="16" t="n">
        <x:v>1</x:v>
      </x:c>
      <x:c r="H1413" s="11" t="n">
        <x:f>H1389</x:f>
        <x:v>0.14</x:v>
      </x:c>
      <x:c r="I1413" s="11" t="n">
        <x:f>I1389</x:f>
        <x:v>7</x:v>
      </x:c>
    </x:row>
    <x:row r="1414" ht="23" customHeight="1">
      <x:c r="A1414" s="11" t="str">
        <x:v>09995.HK</x:v>
      </x:c>
      <x:c r="B1414" s="11" t="str">
        <x:v>半年</x:v>
      </x:c>
      <x:c r="C1414" s="11" t="str">
        <x:v>RC18_foreign</x:v>
      </x:c>
      <x:c r="D1414" s="11" t="str">
        <x:v>乐观</x:v>
      </x:c>
      <x:c r="E1414" s="16" t="n">
        <x:v>0.8</x:v>
      </x:c>
      <x:c r="F1414" s="16" t="n">
        <x:v>0.11900000000000001</x:v>
      </x:c>
      <x:c r="G1414" s="16" t="n">
        <x:v>1</x:v>
      </x:c>
      <x:c r="H1414" s="11" t="n">
        <x:f>H1390</x:f>
        <x:v>0.11</x:v>
      </x:c>
      <x:c r="I1414" s="11" t="n">
        <x:f>I1390</x:f>
        <x:v>7</x:v>
      </x:c>
    </x:row>
    <x:row r="1415" ht="23" customHeight="1">
      <x:c r="A1415" s="11" t="str">
        <x:v>09995.HK</x:v>
      </x:c>
      <x:c r="B1415" s="11" t="str">
        <x:v>半年</x:v>
      </x:c>
      <x:c r="C1415" s="11" t="str">
        <x:v>RC48_foreign</x:v>
      </x:c>
      <x:c r="D1415" s="11" t="str">
        <x:v>活动输入</x:v>
      </x:c>
      <x:c r="E1415" s="11" t="n">
        <x:f>CHOOSE('假设'!$B$3,E1416,E1417,E1418)</x:f>
        <x:v>0.55</x:v>
      </x:c>
      <x:c r="F1415" s="11" t="n">
        <x:f>CHOOSE('假设'!$B$3,F1416,F1417,F1418)</x:f>
        <x:v>0.09019999999999999</x:v>
      </x:c>
      <x:c r="G1415" s="11" t="n">
        <x:f>CHOOSE('假设'!$B$3,G1416,G1417,G1418)</x:f>
        <x:v>1</x:v>
      </x:c>
      <x:c r="H1415" s="11" t="n">
        <x:f>CHOOSE('假设'!$B$3,H1416,H1417,H1418)</x:f>
        <x:v>0.14</x:v>
      </x:c>
      <x:c r="I1415" s="11" t="n">
        <x:f>CHOOSE('假设'!$B$3,I1416,I1417,I1418)</x:f>
        <x:v>7</x:v>
      </x:c>
    </x:row>
    <x:row r="1416" ht="23" customHeight="1">
      <x:c r="A1416" s="11" t="str">
        <x:v>09995.HK</x:v>
      </x:c>
      <x:c r="B1416" s="11" t="str">
        <x:v>半年</x:v>
      </x:c>
      <x:c r="C1416" s="11" t="str">
        <x:v>RC48_foreign</x:v>
      </x:c>
      <x:c r="D1416" s="11" t="str">
        <x:v>悲观</x:v>
      </x:c>
      <x:c r="E1416" s="16" t="n">
        <x:v>0.2</x:v>
      </x:c>
      <x:c r="F1416" s="16" t="n">
        <x:v>0.062400000000000004</x:v>
      </x:c>
      <x:c r="G1416" s="16" t="n">
        <x:v>1</x:v>
      </x:c>
      <x:c r="H1416" s="11" t="n">
        <x:f>H1388</x:f>
        <x:v>0.18</x:v>
      </x:c>
      <x:c r="I1416" s="11" t="n">
        <x:f>I1388</x:f>
        <x:v>7</x:v>
      </x:c>
    </x:row>
    <x:row r="1417" ht="23" customHeight="1">
      <x:c r="A1417" s="11" t="str">
        <x:v>09995.HK</x:v>
      </x:c>
      <x:c r="B1417" s="11" t="str">
        <x:v>半年</x:v>
      </x:c>
      <x:c r="C1417" s="11" t="str">
        <x:v>RC48_foreign</x:v>
      </x:c>
      <x:c r="D1417" s="11" t="str">
        <x:v>基准</x:v>
      </x:c>
      <x:c r="E1417" s="16" t="n">
        <x:v>0.55</x:v>
      </x:c>
      <x:c r="F1417" s="16" t="n">
        <x:v>0.09019999999999999</x:v>
      </x:c>
      <x:c r="G1417" s="16" t="n">
        <x:v>1</x:v>
      </x:c>
      <x:c r="H1417" s="11" t="n">
        <x:f>H1389</x:f>
        <x:v>0.14</x:v>
      </x:c>
      <x:c r="I1417" s="11" t="n">
        <x:f>I1389</x:f>
        <x:v>7</x:v>
      </x:c>
    </x:row>
    <x:row r="1418" ht="23" customHeight="1">
      <x:c r="A1418" s="11" t="str">
        <x:v>09995.HK</x:v>
      </x:c>
      <x:c r="B1418" s="11" t="str">
        <x:v>半年</x:v>
      </x:c>
      <x:c r="C1418" s="11" t="str">
        <x:v>RC48_foreign</x:v>
      </x:c>
      <x:c r="D1418" s="11" t="str">
        <x:v>乐观</x:v>
      </x:c>
      <x:c r="E1418" s="16" t="n">
        <x:v>0.8</x:v>
      </x:c>
      <x:c r="F1418" s="16" t="n">
        <x:v>0.11900000000000001</x:v>
      </x:c>
      <x:c r="G1418" s="16" t="n">
        <x:v>1</x:v>
      </x:c>
      <x:c r="H1418" s="11" t="n">
        <x:f>H1390</x:f>
        <x:v>0.11</x:v>
      </x:c>
      <x:c r="I1418" s="11" t="n">
        <x:f>I1390</x:f>
        <x:v>7</x:v>
      </x:c>
    </x:row>
    <x:row r="1419" ht="23" customHeight="1">
      <x:c r="A1419" s="11" t="str">
        <x:v>09995.HK</x:v>
      </x:c>
      <x:c r="B1419" s="11" t="str">
        <x:v>半年</x:v>
      </x:c>
      <x:c r="C1419" s="11" t="str">
        <x:v>RC28_China</x:v>
      </x:c>
      <x:c r="D1419" s="11" t="str">
        <x:v>活动输入</x:v>
      </x:c>
      <x:c r="E1419" s="11" t="n">
        <x:f>CHOOSE('假设'!$B$3,E1420,E1421,E1422)</x:f>
        <x:v>0.35</x:v>
      </x:c>
      <x:c r="F1419" s="11" t="n">
        <x:f>CHOOSE('假设'!$B$3,F1420,F1421,F1422)</x:f>
        <x:v>0.09839999999999999</x:v>
      </x:c>
      <x:c r="G1419" s="11" t="n">
        <x:f>CHOOSE('假设'!$B$3,G1420,G1421,G1422)</x:f>
        <x:v>1</x:v>
      </x:c>
      <x:c r="H1419" s="11" t="n">
        <x:f>CHOOSE('假设'!$B$3,H1420,H1421,H1422)</x:f>
        <x:v>0.14</x:v>
      </x:c>
      <x:c r="I1419" s="11" t="n">
        <x:f>CHOOSE('假设'!$B$3,I1420,I1421,I1422)</x:f>
        <x:v>7</x:v>
      </x:c>
    </x:row>
    <x:row r="1420" ht="23" customHeight="1">
      <x:c r="A1420" s="11" t="str">
        <x:v>09995.HK</x:v>
      </x:c>
      <x:c r="B1420" s="11" t="str">
        <x:v>半年</x:v>
      </x:c>
      <x:c r="C1420" s="11" t="str">
        <x:v>RC28_China</x:v>
      </x:c>
      <x:c r="D1420" s="11" t="str">
        <x:v>悲观</x:v>
      </x:c>
      <x:c r="E1420" s="16" t="n">
        <x:v>0.1</x:v>
      </x:c>
      <x:c r="F1420" s="16" t="n">
        <x:v>0.062400000000000004</x:v>
      </x:c>
      <x:c r="G1420" s="16" t="n">
        <x:v>1</x:v>
      </x:c>
      <x:c r="H1420" s="11" t="n">
        <x:f>H1388</x:f>
        <x:v>0.18</x:v>
      </x:c>
      <x:c r="I1420" s="11" t="n">
        <x:f>I1388</x:f>
        <x:v>7</x:v>
      </x:c>
    </x:row>
    <x:row r="1421" ht="23" customHeight="1">
      <x:c r="A1421" s="11" t="str">
        <x:v>09995.HK</x:v>
      </x:c>
      <x:c r="B1421" s="11" t="str">
        <x:v>半年</x:v>
      </x:c>
      <x:c r="C1421" s="11" t="str">
        <x:v>RC28_China</x:v>
      </x:c>
      <x:c r="D1421" s="11" t="str">
        <x:v>基准</x:v>
      </x:c>
      <x:c r="E1421" s="16" t="n">
        <x:v>0.35</x:v>
      </x:c>
      <x:c r="F1421" s="16" t="n">
        <x:v>0.09839999999999999</x:v>
      </x:c>
      <x:c r="G1421" s="16" t="n">
        <x:v>1</x:v>
      </x:c>
      <x:c r="H1421" s="11" t="n">
        <x:f>H1389</x:f>
        <x:v>0.14</x:v>
      </x:c>
      <x:c r="I1421" s="11" t="n">
        <x:f>I1389</x:f>
        <x:v>7</x:v>
      </x:c>
    </x:row>
    <x:row r="1422" ht="23" customHeight="1">
      <x:c r="A1422" s="11" t="str">
        <x:v>09995.HK</x:v>
      </x:c>
      <x:c r="B1422" s="11" t="str">
        <x:v>半年</x:v>
      </x:c>
      <x:c r="C1422" s="11" t="str">
        <x:v>RC28_China</x:v>
      </x:c>
      <x:c r="D1422" s="11" t="str">
        <x:v>乐观</x:v>
      </x:c>
      <x:c r="E1422" s="16" t="n">
        <x:v>0.6</x:v>
      </x:c>
      <x:c r="F1422" s="16" t="n">
        <x:v>0.136</x:v>
      </x:c>
      <x:c r="G1422" s="16" t="n">
        <x:v>1</x:v>
      </x:c>
      <x:c r="H1422" s="11" t="n">
        <x:f>H1390</x:f>
        <x:v>0.11</x:v>
      </x:c>
      <x:c r="I1422" s="11" t="n">
        <x:f>I1390</x:f>
        <x:v>7</x:v>
      </x:c>
    </x:row>
    <x:row r="1423" ht="23" customHeight="1">
      <x:c r="A1423" s="11" t="str">
        <x:v>09995.HK</x:v>
      </x:c>
      <x:c r="B1423" s="11" t="str">
        <x:v>半年</x:v>
      </x:c>
      <x:c r="C1423" s="11" t="str">
        <x:v>centralCost</x:v>
      </x:c>
      <x:c r="D1423" s="11" t="str">
        <x:v>活动输入</x:v>
      </x:c>
      <x:c r="E1423" s="11" t="n">
        <x:f>CHOOSE('假设'!$B$3,E1424,E1425,E1426)</x:f>
        <x:v>1</x:v>
      </x:c>
      <x:c r="F1423" s="11" t="n">
        <x:f>CHOOSE('假设'!$B$3,F1424,F1425,F1426)</x:f>
        <x:v>0</x:v>
      </x:c>
      <x:c r="G1423" s="11" t="n">
        <x:f>CHOOSE('假设'!$B$3,G1424,G1425,G1426)</x:f>
        <x:v>1</x:v>
      </x:c>
      <x:c r="H1423" s="11" t="n">
        <x:f>CHOOSE('假设'!$B$3,H1424,H1425,H1426)</x:f>
        <x:v>0.14</x:v>
      </x:c>
      <x:c r="I1423" s="11" t="n">
        <x:f>CHOOSE('假设'!$B$3,I1424,I1425,I1426)</x:f>
        <x:v>7</x:v>
      </x:c>
    </x:row>
    <x:row r="1424" ht="23" customHeight="1">
      <x:c r="A1424" s="11" t="str">
        <x:v>09995.HK</x:v>
      </x:c>
      <x:c r="B1424" s="11" t="str">
        <x:v>半年</x:v>
      </x:c>
      <x:c r="C1424" s="11" t="str">
        <x:v>centralCost</x:v>
      </x:c>
      <x:c r="D1424" s="11" t="str">
        <x:v>悲观</x:v>
      </x:c>
      <x:c r="E1424" s="16" t="n">
        <x:v>1</x:v>
      </x:c>
      <x:c r="F1424" s="16" t="n">
        <x:v>0</x:v>
      </x:c>
      <x:c r="G1424" s="16" t="n">
        <x:v>1</x:v>
      </x:c>
      <x:c r="H1424" s="11" t="n">
        <x:f>H1388</x:f>
        <x:v>0.18</x:v>
      </x:c>
      <x:c r="I1424" s="11" t="n">
        <x:f>I1388</x:f>
        <x:v>7</x:v>
      </x:c>
    </x:row>
    <x:row r="1425" ht="23" customHeight="1">
      <x:c r="A1425" s="11" t="str">
        <x:v>09995.HK</x:v>
      </x:c>
      <x:c r="B1425" s="11" t="str">
        <x:v>半年</x:v>
      </x:c>
      <x:c r="C1425" s="11" t="str">
        <x:v>centralCost</x:v>
      </x:c>
      <x:c r="D1425" s="11" t="str">
        <x:v>基准</x:v>
      </x:c>
      <x:c r="E1425" s="16" t="n">
        <x:v>1</x:v>
      </x:c>
      <x:c r="F1425" s="16" t="n">
        <x:v>0</x:v>
      </x:c>
      <x:c r="G1425" s="16" t="n">
        <x:v>1</x:v>
      </x:c>
      <x:c r="H1425" s="11" t="n">
        <x:f>H1389</x:f>
        <x:v>0.14</x:v>
      </x:c>
      <x:c r="I1425" s="11" t="n">
        <x:f>I1389</x:f>
        <x:v>7</x:v>
      </x:c>
    </x:row>
    <x:row r="1426" ht="23" customHeight="1">
      <x:c r="A1426" s="11" t="str">
        <x:v>09995.HK</x:v>
      </x:c>
      <x:c r="B1426" s="11" t="str">
        <x:v>半年</x:v>
      </x:c>
      <x:c r="C1426" s="11" t="str">
        <x:v>centralCost</x:v>
      </x:c>
      <x:c r="D1426" s="11" t="str">
        <x:v>乐观</x:v>
      </x:c>
      <x:c r="E1426" s="16" t="n">
        <x:v>1</x:v>
      </x:c>
      <x:c r="F1426" s="16" t="n">
        <x:v>0</x:v>
      </x:c>
      <x:c r="G1426" s="16" t="n">
        <x:v>1</x:v>
      </x:c>
      <x:c r="H1426" s="11" t="n">
        <x:f>H1390</x:f>
        <x:v>0.11</x:v>
      </x:c>
      <x:c r="I1426" s="11" t="n">
        <x:f>I1390</x:f>
        <x:v>7</x:v>
      </x:c>
    </x:row>
    <x:row r="1427" ht="23" customHeight="1">
      <x:c r="A1427" s="11" t="str">
        <x:v>09995.HK</x:v>
      </x:c>
      <x:c r="B1427" s="11" t="str">
        <x:v>一年</x:v>
      </x:c>
      <x:c r="C1427" s="11" t="str">
        <x:v>RC18_approved_China</x:v>
      </x:c>
      <x:c r="D1427" s="11" t="str">
        <x:v>活动输入</x:v>
      </x:c>
      <x:c r="E1427" s="11" t="n">
        <x:f>CHOOSE('假设'!$B$3,E1428,E1429,E1430)</x:f>
        <x:v>0.97</x:v>
      </x:c>
      <x:c r="F1427" s="11" t="n">
        <x:f>CHOOSE('假设'!$B$3,F1428,F1429,F1430)</x:f>
        <x:v>0.43</x:v>
      </x:c>
      <x:c r="G1427" s="11" t="n">
        <x:f>CHOOSE('假设'!$B$3,G1428,G1429,G1430)</x:f>
        <x:v>1</x:v>
      </x:c>
      <x:c r="H1427" s="11" t="n">
        <x:f>CHOOSE('假设'!$B$3,H1428,H1429,H1430)</x:f>
        <x:v>0.14</x:v>
      </x:c>
      <x:c r="I1427" s="11" t="n">
        <x:f>CHOOSE('假设'!$B$3,I1428,I1429,I1430)</x:f>
        <x:v>7</x:v>
      </x:c>
    </x:row>
    <x:row r="1428" ht="23" customHeight="1">
      <x:c r="A1428" s="11" t="str">
        <x:v>09995.HK</x:v>
      </x:c>
      <x:c r="B1428" s="11" t="str">
        <x:v>一年</x:v>
      </x:c>
      <x:c r="C1428" s="11" t="str">
        <x:v>RC18_approved_China</x:v>
      </x:c>
      <x:c r="D1428" s="11" t="str">
        <x:v>悲观</x:v>
      </x:c>
      <x:c r="E1428" s="16" t="n">
        <x:v>0.9</x:v>
      </x:c>
      <x:c r="F1428" s="16" t="n">
        <x:v>0.3</x:v>
      </x:c>
      <x:c r="G1428" s="16" t="n">
        <x:v>1</x:v>
      </x:c>
      <x:c r="H1428" s="16" t="n">
        <x:v>0.18</x:v>
      </x:c>
      <x:c r="I1428" s="16" t="n">
        <x:v>7</x:v>
      </x:c>
    </x:row>
    <x:row r="1429" ht="23" customHeight="1">
      <x:c r="A1429" s="11" t="str">
        <x:v>09995.HK</x:v>
      </x:c>
      <x:c r="B1429" s="11" t="str">
        <x:v>一年</x:v>
      </x:c>
      <x:c r="C1429" s="11" t="str">
        <x:v>RC18_approved_China</x:v>
      </x:c>
      <x:c r="D1429" s="11" t="str">
        <x:v>基准</x:v>
      </x:c>
      <x:c r="E1429" s="16" t="n">
        <x:v>0.97</x:v>
      </x:c>
      <x:c r="F1429" s="16" t="n">
        <x:v>0.43</x:v>
      </x:c>
      <x:c r="G1429" s="16" t="n">
        <x:v>1</x:v>
      </x:c>
      <x:c r="H1429" s="16" t="n">
        <x:v>0.14</x:v>
      </x:c>
      <x:c r="I1429" s="16" t="n">
        <x:v>7</x:v>
      </x:c>
    </x:row>
    <x:row r="1430" ht="23" customHeight="1">
      <x:c r="A1430" s="11" t="str">
        <x:v>09995.HK</x:v>
      </x:c>
      <x:c r="B1430" s="11" t="str">
        <x:v>一年</x:v>
      </x:c>
      <x:c r="C1430" s="11" t="str">
        <x:v>RC18_approved_China</x:v>
      </x:c>
      <x:c r="D1430" s="11" t="str">
        <x:v>乐观</x:v>
      </x:c>
      <x:c r="E1430" s="16" t="n">
        <x:v>1</x:v>
      </x:c>
      <x:c r="F1430" s="16" t="n">
        <x:v>0.52</x:v>
      </x:c>
      <x:c r="G1430" s="16" t="n">
        <x:v>1</x:v>
      </x:c>
      <x:c r="H1430" s="16" t="n">
        <x:v>0.11</x:v>
      </x:c>
      <x:c r="I1430" s="16" t="n">
        <x:v>7</x:v>
      </x:c>
    </x:row>
    <x:row r="1431" ht="23" customHeight="1">
      <x:c r="A1431" s="11" t="str">
        <x:v>09995.HK</x:v>
      </x:c>
      <x:c r="B1431" s="11" t="str">
        <x:v>一年</x:v>
      </x:c>
      <x:c r="C1431" s="11" t="str">
        <x:v>RC48_approved_China</x:v>
      </x:c>
      <x:c r="D1431" s="11" t="str">
        <x:v>活动输入</x:v>
      </x:c>
      <x:c r="E1431" s="11" t="n">
        <x:f>CHOOSE('假设'!$B$3,E1432,E1433,E1434)</x:f>
        <x:v>0.95</x:v>
      </x:c>
      <x:c r="F1431" s="11" t="n">
        <x:f>CHOOSE('假设'!$B$3,F1432,F1433,F1434)</x:f>
        <x:v>0.37</x:v>
      </x:c>
      <x:c r="G1431" s="11" t="n">
        <x:f>CHOOSE('假设'!$B$3,G1432,G1433,G1434)</x:f>
        <x:v>1</x:v>
      </x:c>
      <x:c r="H1431" s="11" t="n">
        <x:f>CHOOSE('假设'!$B$3,H1432,H1433,H1434)</x:f>
        <x:v>0.14</x:v>
      </x:c>
      <x:c r="I1431" s="11" t="n">
        <x:f>CHOOSE('假设'!$B$3,I1432,I1433,I1434)</x:f>
        <x:v>7</x:v>
      </x:c>
    </x:row>
    <x:row r="1432" ht="23" customHeight="1">
      <x:c r="A1432" s="11" t="str">
        <x:v>09995.HK</x:v>
      </x:c>
      <x:c r="B1432" s="11" t="str">
        <x:v>一年</x:v>
      </x:c>
      <x:c r="C1432" s="11" t="str">
        <x:v>RC48_approved_China</x:v>
      </x:c>
      <x:c r="D1432" s="11" t="str">
        <x:v>悲观</x:v>
      </x:c>
      <x:c r="E1432" s="16" t="n">
        <x:v>0.85</x:v>
      </x:c>
      <x:c r="F1432" s="16" t="n">
        <x:v>0.25</x:v>
      </x:c>
      <x:c r="G1432" s="16" t="n">
        <x:v>1</x:v>
      </x:c>
      <x:c r="H1432" s="11" t="n">
        <x:f>H1428</x:f>
        <x:v>0.18</x:v>
      </x:c>
      <x:c r="I1432" s="11" t="n">
        <x:f>I1428</x:f>
        <x:v>7</x:v>
      </x:c>
    </x:row>
    <x:row r="1433" ht="23" customHeight="1">
      <x:c r="A1433" s="11" t="str">
        <x:v>09995.HK</x:v>
      </x:c>
      <x:c r="B1433" s="11" t="str">
        <x:v>一年</x:v>
      </x:c>
      <x:c r="C1433" s="11" t="str">
        <x:v>RC48_approved_China</x:v>
      </x:c>
      <x:c r="D1433" s="11" t="str">
        <x:v>基准</x:v>
      </x:c>
      <x:c r="E1433" s="16" t="n">
        <x:v>0.95</x:v>
      </x:c>
      <x:c r="F1433" s="16" t="n">
        <x:v>0.37</x:v>
      </x:c>
      <x:c r="G1433" s="16" t="n">
        <x:v>1</x:v>
      </x:c>
      <x:c r="H1433" s="11" t="n">
        <x:f>H1429</x:f>
        <x:v>0.14</x:v>
      </x:c>
      <x:c r="I1433" s="11" t="n">
        <x:f>I1429</x:f>
        <x:v>7</x:v>
      </x:c>
    </x:row>
    <x:row r="1434" ht="23" customHeight="1">
      <x:c r="A1434" s="11" t="str">
        <x:v>09995.HK</x:v>
      </x:c>
      <x:c r="B1434" s="11" t="str">
        <x:v>一年</x:v>
      </x:c>
      <x:c r="C1434" s="11" t="str">
        <x:v>RC48_approved_China</x:v>
      </x:c>
      <x:c r="D1434" s="11" t="str">
        <x:v>乐观</x:v>
      </x:c>
      <x:c r="E1434" s="16" t="n">
        <x:v>1</x:v>
      </x:c>
      <x:c r="F1434" s="16" t="n">
        <x:v>0.46</x:v>
      </x:c>
      <x:c r="G1434" s="16" t="n">
        <x:v>1</x:v>
      </x:c>
      <x:c r="H1434" s="11" t="n">
        <x:f>H1430</x:f>
        <x:v>0.11</x:v>
      </x:c>
      <x:c r="I1434" s="11" t="n">
        <x:f>I1430</x:f>
        <x:v>7</x:v>
      </x:c>
    </x:row>
    <x:row r="1435" ht="23" customHeight="1">
      <x:c r="A1435" s="11" t="str">
        <x:v>09995.HK</x:v>
      </x:c>
      <x:c r="B1435" s="11" t="str">
        <x:v>一年</x:v>
      </x:c>
      <x:c r="C1435" s="11" t="str">
        <x:v>RC18_new_China</x:v>
      </x:c>
      <x:c r="D1435" s="11" t="str">
        <x:v>活动输入</x:v>
      </x:c>
      <x:c r="E1435" s="11" t="n">
        <x:f>CHOOSE('假设'!$B$3,E1436,E1437,E1438)</x:f>
        <x:v>0.4</x:v>
      </x:c>
      <x:c r="F1435" s="11" t="n">
        <x:f>CHOOSE('假设'!$B$3,F1436,F1437,F1438)</x:f>
        <x:v>0.43</x:v>
      </x:c>
      <x:c r="G1435" s="11" t="n">
        <x:f>CHOOSE('假设'!$B$3,G1436,G1437,G1438)</x:f>
        <x:v>1</x:v>
      </x:c>
      <x:c r="H1435" s="11" t="n">
        <x:f>CHOOSE('假设'!$B$3,H1436,H1437,H1438)</x:f>
        <x:v>0.14</x:v>
      </x:c>
      <x:c r="I1435" s="11" t="n">
        <x:f>CHOOSE('假设'!$B$3,I1436,I1437,I1438)</x:f>
        <x:v>7</x:v>
      </x:c>
    </x:row>
    <x:row r="1436" ht="23" customHeight="1">
      <x:c r="A1436" s="11" t="str">
        <x:v>09995.HK</x:v>
      </x:c>
      <x:c r="B1436" s="11" t="str">
        <x:v>一年</x:v>
      </x:c>
      <x:c r="C1436" s="11" t="str">
        <x:v>RC18_new_China</x:v>
      </x:c>
      <x:c r="D1436" s="11" t="str">
        <x:v>悲观</x:v>
      </x:c>
      <x:c r="E1436" s="16" t="n">
        <x:v>0.15</x:v>
      </x:c>
      <x:c r="F1436" s="16" t="n">
        <x:v>0.3</x:v>
      </x:c>
      <x:c r="G1436" s="16" t="n">
        <x:v>1</x:v>
      </x:c>
      <x:c r="H1436" s="11" t="n">
        <x:f>H1428</x:f>
        <x:v>0.18</x:v>
      </x:c>
      <x:c r="I1436" s="11" t="n">
        <x:f>I1428</x:f>
        <x:v>7</x:v>
      </x:c>
    </x:row>
    <x:row r="1437" ht="23" customHeight="1">
      <x:c r="A1437" s="11" t="str">
        <x:v>09995.HK</x:v>
      </x:c>
      <x:c r="B1437" s="11" t="str">
        <x:v>一年</x:v>
      </x:c>
      <x:c r="C1437" s="11" t="str">
        <x:v>RC18_new_China</x:v>
      </x:c>
      <x:c r="D1437" s="11" t="str">
        <x:v>基准</x:v>
      </x:c>
      <x:c r="E1437" s="16" t="n">
        <x:v>0.4</x:v>
      </x:c>
      <x:c r="F1437" s="16" t="n">
        <x:v>0.43</x:v>
      </x:c>
      <x:c r="G1437" s="16" t="n">
        <x:v>1</x:v>
      </x:c>
      <x:c r="H1437" s="11" t="n">
        <x:f>H1429</x:f>
        <x:v>0.14</x:v>
      </x:c>
      <x:c r="I1437" s="11" t="n">
        <x:f>I1429</x:f>
        <x:v>7</x:v>
      </x:c>
    </x:row>
    <x:row r="1438" ht="23" customHeight="1">
      <x:c r="A1438" s="11" t="str">
        <x:v>09995.HK</x:v>
      </x:c>
      <x:c r="B1438" s="11" t="str">
        <x:v>一年</x:v>
      </x:c>
      <x:c r="C1438" s="11" t="str">
        <x:v>RC18_new_China</x:v>
      </x:c>
      <x:c r="D1438" s="11" t="str">
        <x:v>乐观</x:v>
      </x:c>
      <x:c r="E1438" s="16" t="n">
        <x:v>0.65</x:v>
      </x:c>
      <x:c r="F1438" s="16" t="n">
        <x:v>0.52</x:v>
      </x:c>
      <x:c r="G1438" s="16" t="n">
        <x:v>1</x:v>
      </x:c>
      <x:c r="H1438" s="11" t="n">
        <x:f>H1430</x:f>
        <x:v>0.11</x:v>
      </x:c>
      <x:c r="I1438" s="11" t="n">
        <x:f>I1430</x:f>
        <x:v>7</x:v>
      </x:c>
    </x:row>
    <x:row r="1439" ht="23" customHeight="1">
      <x:c r="A1439" s="11" t="str">
        <x:v>09995.HK</x:v>
      </x:c>
      <x:c r="B1439" s="11" t="str">
        <x:v>一年</x:v>
      </x:c>
      <x:c r="C1439" s="11" t="str">
        <x:v>RC48_new_China</x:v>
      </x:c>
      <x:c r="D1439" s="11" t="str">
        <x:v>活动输入</x:v>
      </x:c>
      <x:c r="E1439" s="11" t="n">
        <x:f>CHOOSE('假设'!$B$3,E1440,E1441,E1442)</x:f>
        <x:v>0.5</x:v>
      </x:c>
      <x:c r="F1439" s="11" t="n">
        <x:f>CHOOSE('假设'!$B$3,F1440,F1441,F1442)</x:f>
        <x:v>0.37</x:v>
      </x:c>
      <x:c r="G1439" s="11" t="n">
        <x:f>CHOOSE('假设'!$B$3,G1440,G1441,G1442)</x:f>
        <x:v>1</x:v>
      </x:c>
      <x:c r="H1439" s="11" t="n">
        <x:f>CHOOSE('假设'!$B$3,H1440,H1441,H1442)</x:f>
        <x:v>0.14</x:v>
      </x:c>
      <x:c r="I1439" s="11" t="n">
        <x:f>CHOOSE('假设'!$B$3,I1440,I1441,I1442)</x:f>
        <x:v>7</x:v>
      </x:c>
    </x:row>
    <x:row r="1440" ht="23" customHeight="1">
      <x:c r="A1440" s="11" t="str">
        <x:v>09995.HK</x:v>
      </x:c>
      <x:c r="B1440" s="11" t="str">
        <x:v>一年</x:v>
      </x:c>
      <x:c r="C1440" s="11" t="str">
        <x:v>RC48_new_China</x:v>
      </x:c>
      <x:c r="D1440" s="11" t="str">
        <x:v>悲观</x:v>
      </x:c>
      <x:c r="E1440" s="16" t="n">
        <x:v>0.15</x:v>
      </x:c>
      <x:c r="F1440" s="16" t="n">
        <x:v>0.25</x:v>
      </x:c>
      <x:c r="G1440" s="16" t="n">
        <x:v>1</x:v>
      </x:c>
      <x:c r="H1440" s="11" t="n">
        <x:f>H1428</x:f>
        <x:v>0.18</x:v>
      </x:c>
      <x:c r="I1440" s="11" t="n">
        <x:f>I1428</x:f>
        <x:v>7</x:v>
      </x:c>
    </x:row>
    <x:row r="1441" ht="23" customHeight="1">
      <x:c r="A1441" s="11" t="str">
        <x:v>09995.HK</x:v>
      </x:c>
      <x:c r="B1441" s="11" t="str">
        <x:v>一年</x:v>
      </x:c>
      <x:c r="C1441" s="11" t="str">
        <x:v>RC48_new_China</x:v>
      </x:c>
      <x:c r="D1441" s="11" t="str">
        <x:v>基准</x:v>
      </x:c>
      <x:c r="E1441" s="16" t="n">
        <x:v>0.5</x:v>
      </x:c>
      <x:c r="F1441" s="16" t="n">
        <x:v>0.37</x:v>
      </x:c>
      <x:c r="G1441" s="16" t="n">
        <x:v>1</x:v>
      </x:c>
      <x:c r="H1441" s="11" t="n">
        <x:f>H1429</x:f>
        <x:v>0.14</x:v>
      </x:c>
      <x:c r="I1441" s="11" t="n">
        <x:f>I1429</x:f>
        <x:v>7</x:v>
      </x:c>
    </x:row>
    <x:row r="1442" ht="23" customHeight="1">
      <x:c r="A1442" s="11" t="str">
        <x:v>09995.HK</x:v>
      </x:c>
      <x:c r="B1442" s="11" t="str">
        <x:v>一年</x:v>
      </x:c>
      <x:c r="C1442" s="11" t="str">
        <x:v>RC48_new_China</x:v>
      </x:c>
      <x:c r="D1442" s="11" t="str">
        <x:v>乐观</x:v>
      </x:c>
      <x:c r="E1442" s="16" t="n">
        <x:v>0.75</x:v>
      </x:c>
      <x:c r="F1442" s="16" t="n">
        <x:v>0.46</x:v>
      </x:c>
      <x:c r="G1442" s="16" t="n">
        <x:v>1</x:v>
      </x:c>
      <x:c r="H1442" s="11" t="n">
        <x:f>H1430</x:f>
        <x:v>0.11</x:v>
      </x:c>
      <x:c r="I1442" s="11" t="n">
        <x:f>I1430</x:f>
        <x:v>7</x:v>
      </x:c>
    </x:row>
    <x:row r="1443" ht="23" customHeight="1">
      <x:c r="A1443" s="11" t="str">
        <x:v>09995.HK</x:v>
      </x:c>
      <x:c r="B1443" s="11" t="str">
        <x:v>一年</x:v>
      </x:c>
      <x:c r="C1443" s="11" t="str">
        <x:v>RC148_China</x:v>
      </x:c>
      <x:c r="D1443" s="11" t="str">
        <x:v>活动输入</x:v>
      </x:c>
      <x:c r="E1443" s="11" t="n">
        <x:f>CHOOSE('假设'!$B$3,E1444,E1445,E1446)</x:f>
        <x:v>0.5</x:v>
      </x:c>
      <x:c r="F1443" s="11" t="n">
        <x:f>CHOOSE('假设'!$B$3,F1444,F1445,F1446)</x:f>
        <x:v>0.42</x:v>
      </x:c>
      <x:c r="G1443" s="11" t="n">
        <x:f>CHOOSE('假设'!$B$3,G1444,G1445,G1446)</x:f>
        <x:v>1</x:v>
      </x:c>
      <x:c r="H1443" s="11" t="n">
        <x:f>CHOOSE('假设'!$B$3,H1444,H1445,H1446)</x:f>
        <x:v>0.14</x:v>
      </x:c>
      <x:c r="I1443" s="11" t="n">
        <x:f>CHOOSE('假设'!$B$3,I1444,I1445,I1446)</x:f>
        <x:v>7</x:v>
      </x:c>
    </x:row>
    <x:row r="1444" ht="23" customHeight="1">
      <x:c r="A1444" s="11" t="str">
        <x:v>09995.HK</x:v>
      </x:c>
      <x:c r="B1444" s="11" t="str">
        <x:v>一年</x:v>
      </x:c>
      <x:c r="C1444" s="11" t="str">
        <x:v>RC148_China</x:v>
      </x:c>
      <x:c r="D1444" s="11" t="str">
        <x:v>悲观</x:v>
      </x:c>
      <x:c r="E1444" s="16" t="n">
        <x:v>0.2</x:v>
      </x:c>
      <x:c r="F1444" s="16" t="n">
        <x:v>0.28</x:v>
      </x:c>
      <x:c r="G1444" s="16" t="n">
        <x:v>1</x:v>
      </x:c>
      <x:c r="H1444" s="11" t="n">
        <x:f>H1428</x:f>
        <x:v>0.18</x:v>
      </x:c>
      <x:c r="I1444" s="11" t="n">
        <x:f>I1428</x:f>
        <x:v>7</x:v>
      </x:c>
    </x:row>
    <x:row r="1445" ht="23" customHeight="1">
      <x:c r="A1445" s="11" t="str">
        <x:v>09995.HK</x:v>
      </x:c>
      <x:c r="B1445" s="11" t="str">
        <x:v>一年</x:v>
      </x:c>
      <x:c r="C1445" s="11" t="str">
        <x:v>RC148_China</x:v>
      </x:c>
      <x:c r="D1445" s="11" t="str">
        <x:v>基准</x:v>
      </x:c>
      <x:c r="E1445" s="16" t="n">
        <x:v>0.5</x:v>
      </x:c>
      <x:c r="F1445" s="16" t="n">
        <x:v>0.42</x:v>
      </x:c>
      <x:c r="G1445" s="16" t="n">
        <x:v>1</x:v>
      </x:c>
      <x:c r="H1445" s="11" t="n">
        <x:f>H1429</x:f>
        <x:v>0.14</x:v>
      </x:c>
      <x:c r="I1445" s="11" t="n">
        <x:f>I1429</x:f>
        <x:v>7</x:v>
      </x:c>
    </x:row>
    <x:row r="1446" ht="23" customHeight="1">
      <x:c r="A1446" s="11" t="str">
        <x:v>09995.HK</x:v>
      </x:c>
      <x:c r="B1446" s="11" t="str">
        <x:v>一年</x:v>
      </x:c>
      <x:c r="C1446" s="11" t="str">
        <x:v>RC148_China</x:v>
      </x:c>
      <x:c r="D1446" s="11" t="str">
        <x:v>乐观</x:v>
      </x:c>
      <x:c r="E1446" s="16" t="n">
        <x:v>0.75</x:v>
      </x:c>
      <x:c r="F1446" s="16" t="n">
        <x:v>0.5</x:v>
      </x:c>
      <x:c r="G1446" s="16" t="n">
        <x:v>1</x:v>
      </x:c>
      <x:c r="H1446" s="11" t="n">
        <x:f>H1430</x:f>
        <x:v>0.11</x:v>
      </x:c>
      <x:c r="I1446" s="11" t="n">
        <x:f>I1430</x:f>
        <x:v>7</x:v>
      </x:c>
    </x:row>
    <x:row r="1447" ht="23" customHeight="1">
      <x:c r="A1447" s="11" t="str">
        <x:v>09995.HK</x:v>
      </x:c>
      <x:c r="B1447" s="11" t="str">
        <x:v>一年</x:v>
      </x:c>
      <x:c r="C1447" s="11" t="str">
        <x:v>RC148_foreign</x:v>
      </x:c>
      <x:c r="D1447" s="11" t="str">
        <x:v>活动输入</x:v>
      </x:c>
      <x:c r="E1447" s="11" t="n">
        <x:f>CHOOSE('假设'!$B$3,E1448,E1449,E1450)</x:f>
        <x:v>0.5</x:v>
      </x:c>
      <x:c r="F1447" s="11" t="n">
        <x:f>CHOOSE('假设'!$B$3,F1448,F1449,F1450)</x:f>
        <x:v>0.1148</x:v>
      </x:c>
      <x:c r="G1447" s="11" t="n">
        <x:f>CHOOSE('假设'!$B$3,G1448,G1449,G1450)</x:f>
        <x:v>1</x:v>
      </x:c>
      <x:c r="H1447" s="11" t="n">
        <x:f>CHOOSE('假设'!$B$3,H1448,H1449,H1450)</x:f>
        <x:v>0.14</x:v>
      </x:c>
      <x:c r="I1447" s="11" t="n">
        <x:f>CHOOSE('假设'!$B$3,I1448,I1449,I1450)</x:f>
        <x:v>7</x:v>
      </x:c>
    </x:row>
    <x:row r="1448" ht="23" customHeight="1">
      <x:c r="A1448" s="11" t="str">
        <x:v>09995.HK</x:v>
      </x:c>
      <x:c r="B1448" s="11" t="str">
        <x:v>一年</x:v>
      </x:c>
      <x:c r="C1448" s="11" t="str">
        <x:v>RC148_foreign</x:v>
      </x:c>
      <x:c r="D1448" s="11" t="str">
        <x:v>悲观</x:v>
      </x:c>
      <x:c r="E1448" s="16" t="n">
        <x:v>0.18</x:v>
      </x:c>
      <x:c r="F1448" s="16" t="n">
        <x:v>0.07800000000000001</x:v>
      </x:c>
      <x:c r="G1448" s="16" t="n">
        <x:v>1</x:v>
      </x:c>
      <x:c r="H1448" s="11" t="n">
        <x:f>H1428</x:f>
        <x:v>0.18</x:v>
      </x:c>
      <x:c r="I1448" s="11" t="n">
        <x:f>I1428</x:f>
        <x:v>7</x:v>
      </x:c>
    </x:row>
    <x:row r="1449" ht="23" customHeight="1">
      <x:c r="A1449" s="11" t="str">
        <x:v>09995.HK</x:v>
      </x:c>
      <x:c r="B1449" s="11" t="str">
        <x:v>一年</x:v>
      </x:c>
      <x:c r="C1449" s="11" t="str">
        <x:v>RC148_foreign</x:v>
      </x:c>
      <x:c r="D1449" s="11" t="str">
        <x:v>基准</x:v>
      </x:c>
      <x:c r="E1449" s="16" t="n">
        <x:v>0.5</x:v>
      </x:c>
      <x:c r="F1449" s="16" t="n">
        <x:v>0.1148</x:v>
      </x:c>
      <x:c r="G1449" s="16" t="n">
        <x:v>1</x:v>
      </x:c>
      <x:c r="H1449" s="11" t="n">
        <x:f>H1429</x:f>
        <x:v>0.14</x:v>
      </x:c>
      <x:c r="I1449" s="11" t="n">
        <x:f>I1429</x:f>
        <x:v>7</x:v>
      </x:c>
    </x:row>
    <x:row r="1450" ht="23" customHeight="1">
      <x:c r="A1450" s="11" t="str">
        <x:v>09995.HK</x:v>
      </x:c>
      <x:c r="B1450" s="11" t="str">
        <x:v>一年</x:v>
      </x:c>
      <x:c r="C1450" s="11" t="str">
        <x:v>RC148_foreign</x:v>
      </x:c>
      <x:c r="D1450" s="11" t="str">
        <x:v>乐观</x:v>
      </x:c>
      <x:c r="E1450" s="16" t="n">
        <x:v>0.7</x:v>
      </x:c>
      <x:c r="F1450" s="16" t="n">
        <x:v>0.153</x:v>
      </x:c>
      <x:c r="G1450" s="16" t="n">
        <x:v>1</x:v>
      </x:c>
      <x:c r="H1450" s="11" t="n">
        <x:f>H1430</x:f>
        <x:v>0.11</x:v>
      </x:c>
      <x:c r="I1450" s="11" t="n">
        <x:f>I1430</x:f>
        <x:v>7</x:v>
      </x:c>
    </x:row>
    <x:row r="1451" ht="23" customHeight="1">
      <x:c r="A1451" s="11" t="str">
        <x:v>09995.HK</x:v>
      </x:c>
      <x:c r="B1451" s="11" t="str">
        <x:v>一年</x:v>
      </x:c>
      <x:c r="C1451" s="11" t="str">
        <x:v>RC18_foreign</x:v>
      </x:c>
      <x:c r="D1451" s="11" t="str">
        <x:v>活动输入</x:v>
      </x:c>
      <x:c r="E1451" s="11" t="n">
        <x:f>CHOOSE('假设'!$B$3,E1452,E1453,E1454)</x:f>
        <x:v>0.6</x:v>
      </x:c>
      <x:c r="F1451" s="11" t="n">
        <x:f>CHOOSE('假设'!$B$3,F1452,F1453,F1454)</x:f>
        <x:v>0.09019999999999999</x:v>
      </x:c>
      <x:c r="G1451" s="11" t="n">
        <x:f>CHOOSE('假设'!$B$3,G1452,G1453,G1454)</x:f>
        <x:v>1</x:v>
      </x:c>
      <x:c r="H1451" s="11" t="n">
        <x:f>CHOOSE('假设'!$B$3,H1452,H1453,H1454)</x:f>
        <x:v>0.14</x:v>
      </x:c>
      <x:c r="I1451" s="11" t="n">
        <x:f>CHOOSE('假设'!$B$3,I1452,I1453,I1454)</x:f>
        <x:v>7</x:v>
      </x:c>
    </x:row>
    <x:row r="1452" ht="23" customHeight="1">
      <x:c r="A1452" s="11" t="str">
        <x:v>09995.HK</x:v>
      </x:c>
      <x:c r="B1452" s="11" t="str">
        <x:v>一年</x:v>
      </x:c>
      <x:c r="C1452" s="11" t="str">
        <x:v>RC18_foreign</x:v>
      </x:c>
      <x:c r="D1452" s="11" t="str">
        <x:v>悲观</x:v>
      </x:c>
      <x:c r="E1452" s="16" t="n">
        <x:v>0.25</x:v>
      </x:c>
      <x:c r="F1452" s="16" t="n">
        <x:v>0.062400000000000004</x:v>
      </x:c>
      <x:c r="G1452" s="16" t="n">
        <x:v>1</x:v>
      </x:c>
      <x:c r="H1452" s="11" t="n">
        <x:f>H1428</x:f>
        <x:v>0.18</x:v>
      </x:c>
      <x:c r="I1452" s="11" t="n">
        <x:f>I1428</x:f>
        <x:v>7</x:v>
      </x:c>
    </x:row>
    <x:row r="1453" ht="23" customHeight="1">
      <x:c r="A1453" s="11" t="str">
        <x:v>09995.HK</x:v>
      </x:c>
      <x:c r="B1453" s="11" t="str">
        <x:v>一年</x:v>
      </x:c>
      <x:c r="C1453" s="11" t="str">
        <x:v>RC18_foreign</x:v>
      </x:c>
      <x:c r="D1453" s="11" t="str">
        <x:v>基准</x:v>
      </x:c>
      <x:c r="E1453" s="16" t="n">
        <x:v>0.6</x:v>
      </x:c>
      <x:c r="F1453" s="16" t="n">
        <x:v>0.09019999999999999</x:v>
      </x:c>
      <x:c r="G1453" s="16" t="n">
        <x:v>1</x:v>
      </x:c>
      <x:c r="H1453" s="11" t="n">
        <x:f>H1429</x:f>
        <x:v>0.14</x:v>
      </x:c>
      <x:c r="I1453" s="11" t="n">
        <x:f>I1429</x:f>
        <x:v>7</x:v>
      </x:c>
    </x:row>
    <x:row r="1454" ht="23" customHeight="1">
      <x:c r="A1454" s="11" t="str">
        <x:v>09995.HK</x:v>
      </x:c>
      <x:c r="B1454" s="11" t="str">
        <x:v>一年</x:v>
      </x:c>
      <x:c r="C1454" s="11" t="str">
        <x:v>RC18_foreign</x:v>
      </x:c>
      <x:c r="D1454" s="11" t="str">
        <x:v>乐观</x:v>
      </x:c>
      <x:c r="E1454" s="16" t="n">
        <x:v>0.8</x:v>
      </x:c>
      <x:c r="F1454" s="16" t="n">
        <x:v>0.11900000000000001</x:v>
      </x:c>
      <x:c r="G1454" s="16" t="n">
        <x:v>1</x:v>
      </x:c>
      <x:c r="H1454" s="11" t="n">
        <x:f>H1430</x:f>
        <x:v>0.11</x:v>
      </x:c>
      <x:c r="I1454" s="11" t="n">
        <x:f>I1430</x:f>
        <x:v>7</x:v>
      </x:c>
    </x:row>
    <x:row r="1455" ht="23" customHeight="1">
      <x:c r="A1455" s="11" t="str">
        <x:v>09995.HK</x:v>
      </x:c>
      <x:c r="B1455" s="11" t="str">
        <x:v>一年</x:v>
      </x:c>
      <x:c r="C1455" s="11" t="str">
        <x:v>RC48_foreign</x:v>
      </x:c>
      <x:c r="D1455" s="11" t="str">
        <x:v>活动输入</x:v>
      </x:c>
      <x:c r="E1455" s="11" t="n">
        <x:f>CHOOSE('假设'!$B$3,E1456,E1457,E1458)</x:f>
        <x:v>0.55</x:v>
      </x:c>
      <x:c r="F1455" s="11" t="n">
        <x:f>CHOOSE('假设'!$B$3,F1456,F1457,F1458)</x:f>
        <x:v>0.09019999999999999</x:v>
      </x:c>
      <x:c r="G1455" s="11" t="n">
        <x:f>CHOOSE('假设'!$B$3,G1456,G1457,G1458)</x:f>
        <x:v>1</x:v>
      </x:c>
      <x:c r="H1455" s="11" t="n">
        <x:f>CHOOSE('假设'!$B$3,H1456,H1457,H1458)</x:f>
        <x:v>0.14</x:v>
      </x:c>
      <x:c r="I1455" s="11" t="n">
        <x:f>CHOOSE('假设'!$B$3,I1456,I1457,I1458)</x:f>
        <x:v>7</x:v>
      </x:c>
    </x:row>
    <x:row r="1456" ht="23" customHeight="1">
      <x:c r="A1456" s="11" t="str">
        <x:v>09995.HK</x:v>
      </x:c>
      <x:c r="B1456" s="11" t="str">
        <x:v>一年</x:v>
      </x:c>
      <x:c r="C1456" s="11" t="str">
        <x:v>RC48_foreign</x:v>
      </x:c>
      <x:c r="D1456" s="11" t="str">
        <x:v>悲观</x:v>
      </x:c>
      <x:c r="E1456" s="16" t="n">
        <x:v>0.2</x:v>
      </x:c>
      <x:c r="F1456" s="16" t="n">
        <x:v>0.062400000000000004</x:v>
      </x:c>
      <x:c r="G1456" s="16" t="n">
        <x:v>1</x:v>
      </x:c>
      <x:c r="H1456" s="11" t="n">
        <x:f>H1428</x:f>
        <x:v>0.18</x:v>
      </x:c>
      <x:c r="I1456" s="11" t="n">
        <x:f>I1428</x:f>
        <x:v>7</x:v>
      </x:c>
    </x:row>
    <x:row r="1457" ht="23" customHeight="1">
      <x:c r="A1457" s="11" t="str">
        <x:v>09995.HK</x:v>
      </x:c>
      <x:c r="B1457" s="11" t="str">
        <x:v>一年</x:v>
      </x:c>
      <x:c r="C1457" s="11" t="str">
        <x:v>RC48_foreign</x:v>
      </x:c>
      <x:c r="D1457" s="11" t="str">
        <x:v>基准</x:v>
      </x:c>
      <x:c r="E1457" s="16" t="n">
        <x:v>0.55</x:v>
      </x:c>
      <x:c r="F1457" s="16" t="n">
        <x:v>0.09019999999999999</x:v>
      </x:c>
      <x:c r="G1457" s="16" t="n">
        <x:v>1</x:v>
      </x:c>
      <x:c r="H1457" s="11" t="n">
        <x:f>H1429</x:f>
        <x:v>0.14</x:v>
      </x:c>
      <x:c r="I1457" s="11" t="n">
        <x:f>I1429</x:f>
        <x:v>7</x:v>
      </x:c>
    </x:row>
    <x:row r="1458" ht="23" customHeight="1">
      <x:c r="A1458" s="11" t="str">
        <x:v>09995.HK</x:v>
      </x:c>
      <x:c r="B1458" s="11" t="str">
        <x:v>一年</x:v>
      </x:c>
      <x:c r="C1458" s="11" t="str">
        <x:v>RC48_foreign</x:v>
      </x:c>
      <x:c r="D1458" s="11" t="str">
        <x:v>乐观</x:v>
      </x:c>
      <x:c r="E1458" s="16" t="n">
        <x:v>0.8</x:v>
      </x:c>
      <x:c r="F1458" s="16" t="n">
        <x:v>0.11900000000000001</x:v>
      </x:c>
      <x:c r="G1458" s="16" t="n">
        <x:v>1</x:v>
      </x:c>
      <x:c r="H1458" s="11" t="n">
        <x:f>H1430</x:f>
        <x:v>0.11</x:v>
      </x:c>
      <x:c r="I1458" s="11" t="n">
        <x:f>I1430</x:f>
        <x:v>7</x:v>
      </x:c>
    </x:row>
    <x:row r="1459" ht="23" customHeight="1">
      <x:c r="A1459" s="11" t="str">
        <x:v>09995.HK</x:v>
      </x:c>
      <x:c r="B1459" s="11" t="str">
        <x:v>一年</x:v>
      </x:c>
      <x:c r="C1459" s="11" t="str">
        <x:v>RC28_China</x:v>
      </x:c>
      <x:c r="D1459" s="11" t="str">
        <x:v>活动输入</x:v>
      </x:c>
      <x:c r="E1459" s="11" t="n">
        <x:f>CHOOSE('假设'!$B$3,E1460,E1461,E1462)</x:f>
        <x:v>0.35</x:v>
      </x:c>
      <x:c r="F1459" s="11" t="n">
        <x:f>CHOOSE('假设'!$B$3,F1460,F1461,F1462)</x:f>
        <x:v>0.09839999999999999</x:v>
      </x:c>
      <x:c r="G1459" s="11" t="n">
        <x:f>CHOOSE('假设'!$B$3,G1460,G1461,G1462)</x:f>
        <x:v>1</x:v>
      </x:c>
      <x:c r="H1459" s="11" t="n">
        <x:f>CHOOSE('假设'!$B$3,H1460,H1461,H1462)</x:f>
        <x:v>0.14</x:v>
      </x:c>
      <x:c r="I1459" s="11" t="n">
        <x:f>CHOOSE('假设'!$B$3,I1460,I1461,I1462)</x:f>
        <x:v>7</x:v>
      </x:c>
    </x:row>
    <x:row r="1460" ht="23" customHeight="1">
      <x:c r="A1460" s="11" t="str">
        <x:v>09995.HK</x:v>
      </x:c>
      <x:c r="B1460" s="11" t="str">
        <x:v>一年</x:v>
      </x:c>
      <x:c r="C1460" s="11" t="str">
        <x:v>RC28_China</x:v>
      </x:c>
      <x:c r="D1460" s="11" t="str">
        <x:v>悲观</x:v>
      </x:c>
      <x:c r="E1460" s="16" t="n">
        <x:v>0.1</x:v>
      </x:c>
      <x:c r="F1460" s="16" t="n">
        <x:v>0.062400000000000004</x:v>
      </x:c>
      <x:c r="G1460" s="16" t="n">
        <x:v>1</x:v>
      </x:c>
      <x:c r="H1460" s="11" t="n">
        <x:f>H1428</x:f>
        <x:v>0.18</x:v>
      </x:c>
      <x:c r="I1460" s="11" t="n">
        <x:f>I1428</x:f>
        <x:v>7</x:v>
      </x:c>
    </x:row>
    <x:row r="1461" ht="23" customHeight="1">
      <x:c r="A1461" s="11" t="str">
        <x:v>09995.HK</x:v>
      </x:c>
      <x:c r="B1461" s="11" t="str">
        <x:v>一年</x:v>
      </x:c>
      <x:c r="C1461" s="11" t="str">
        <x:v>RC28_China</x:v>
      </x:c>
      <x:c r="D1461" s="11" t="str">
        <x:v>基准</x:v>
      </x:c>
      <x:c r="E1461" s="16" t="n">
        <x:v>0.35</x:v>
      </x:c>
      <x:c r="F1461" s="16" t="n">
        <x:v>0.09839999999999999</x:v>
      </x:c>
      <x:c r="G1461" s="16" t="n">
        <x:v>1</x:v>
      </x:c>
      <x:c r="H1461" s="11" t="n">
        <x:f>H1429</x:f>
        <x:v>0.14</x:v>
      </x:c>
      <x:c r="I1461" s="11" t="n">
        <x:f>I1429</x:f>
        <x:v>7</x:v>
      </x:c>
    </x:row>
    <x:row r="1462" ht="23" customHeight="1">
      <x:c r="A1462" s="11" t="str">
        <x:v>09995.HK</x:v>
      </x:c>
      <x:c r="B1462" s="11" t="str">
        <x:v>一年</x:v>
      </x:c>
      <x:c r="C1462" s="11" t="str">
        <x:v>RC28_China</x:v>
      </x:c>
      <x:c r="D1462" s="11" t="str">
        <x:v>乐观</x:v>
      </x:c>
      <x:c r="E1462" s="16" t="n">
        <x:v>0.6</x:v>
      </x:c>
      <x:c r="F1462" s="16" t="n">
        <x:v>0.136</x:v>
      </x:c>
      <x:c r="G1462" s="16" t="n">
        <x:v>1</x:v>
      </x:c>
      <x:c r="H1462" s="11" t="n">
        <x:f>H1430</x:f>
        <x:v>0.11</x:v>
      </x:c>
      <x:c r="I1462" s="11" t="n">
        <x:f>I1430</x:f>
        <x:v>7</x:v>
      </x:c>
    </x:row>
    <x:row r="1463" ht="23" customHeight="1">
      <x:c r="A1463" s="11" t="str">
        <x:v>09995.HK</x:v>
      </x:c>
      <x:c r="B1463" s="11" t="str">
        <x:v>一年</x:v>
      </x:c>
      <x:c r="C1463" s="11" t="str">
        <x:v>centralCost</x:v>
      </x:c>
      <x:c r="D1463" s="11" t="str">
        <x:v>活动输入</x:v>
      </x:c>
      <x:c r="E1463" s="11" t="n">
        <x:f>CHOOSE('假设'!$B$3,E1464,E1465,E1466)</x:f>
        <x:v>1</x:v>
      </x:c>
      <x:c r="F1463" s="11" t="n">
        <x:f>CHOOSE('假设'!$B$3,F1464,F1465,F1466)</x:f>
        <x:v>0</x:v>
      </x:c>
      <x:c r="G1463" s="11" t="n">
        <x:f>CHOOSE('假设'!$B$3,G1464,G1465,G1466)</x:f>
        <x:v>1</x:v>
      </x:c>
      <x:c r="H1463" s="11" t="n">
        <x:f>CHOOSE('假设'!$B$3,H1464,H1465,H1466)</x:f>
        <x:v>0.14</x:v>
      </x:c>
      <x:c r="I1463" s="11" t="n">
        <x:f>CHOOSE('假设'!$B$3,I1464,I1465,I1466)</x:f>
        <x:v>7</x:v>
      </x:c>
    </x:row>
    <x:row r="1464" ht="23" customHeight="1">
      <x:c r="A1464" s="11" t="str">
        <x:v>09995.HK</x:v>
      </x:c>
      <x:c r="B1464" s="11" t="str">
        <x:v>一年</x:v>
      </x:c>
      <x:c r="C1464" s="11" t="str">
        <x:v>centralCost</x:v>
      </x:c>
      <x:c r="D1464" s="11" t="str">
        <x:v>悲观</x:v>
      </x:c>
      <x:c r="E1464" s="16" t="n">
        <x:v>1</x:v>
      </x:c>
      <x:c r="F1464" s="16" t="n">
        <x:v>0</x:v>
      </x:c>
      <x:c r="G1464" s="16" t="n">
        <x:v>1</x:v>
      </x:c>
      <x:c r="H1464" s="11" t="n">
        <x:f>H1428</x:f>
        <x:v>0.18</x:v>
      </x:c>
      <x:c r="I1464" s="11" t="n">
        <x:f>I1428</x:f>
        <x:v>7</x:v>
      </x:c>
    </x:row>
    <x:row r="1465" ht="23" customHeight="1">
      <x:c r="A1465" s="11" t="str">
        <x:v>09995.HK</x:v>
      </x:c>
      <x:c r="B1465" s="11" t="str">
        <x:v>一年</x:v>
      </x:c>
      <x:c r="C1465" s="11" t="str">
        <x:v>centralCost</x:v>
      </x:c>
      <x:c r="D1465" s="11" t="str">
        <x:v>基准</x:v>
      </x:c>
      <x:c r="E1465" s="16" t="n">
        <x:v>1</x:v>
      </x:c>
      <x:c r="F1465" s="16" t="n">
        <x:v>0</x:v>
      </x:c>
      <x:c r="G1465" s="16" t="n">
        <x:v>1</x:v>
      </x:c>
      <x:c r="H1465" s="11" t="n">
        <x:f>H1429</x:f>
        <x:v>0.14</x:v>
      </x:c>
      <x:c r="I1465" s="11" t="n">
        <x:f>I1429</x:f>
        <x:v>7</x:v>
      </x:c>
    </x:row>
    <x:row r="1466" ht="23" customHeight="1">
      <x:c r="A1466" s="11" t="str">
        <x:v>09995.HK</x:v>
      </x:c>
      <x:c r="B1466" s="11" t="str">
        <x:v>一年</x:v>
      </x:c>
      <x:c r="C1466" s="11" t="str">
        <x:v>centralCost</x:v>
      </x:c>
      <x:c r="D1466" s="11" t="str">
        <x:v>乐观</x:v>
      </x:c>
      <x:c r="E1466" s="16" t="n">
        <x:v>1</x:v>
      </x:c>
      <x:c r="F1466" s="16" t="n">
        <x:v>0</x:v>
      </x:c>
      <x:c r="G1466" s="16" t="n">
        <x:v>1</x:v>
      </x:c>
      <x:c r="H1466" s="11" t="n">
        <x:f>H1430</x:f>
        <x:v>0.11</x:v>
      </x:c>
      <x:c r="I1466" s="11" t="n">
        <x:f>I1430</x:f>
        <x:v>7</x:v>
      </x:c>
    </x:row>
    <x:row r="1467" ht="23" customHeight="1">
      <x:c r="A1467" s="11" t="str">
        <x:v>09995.HK</x:v>
      </x:c>
      <x:c r="B1467" s="11" t="str">
        <x:v>三年</x:v>
      </x:c>
      <x:c r="C1467" s="11" t="str">
        <x:v>RC18_approved_China</x:v>
      </x:c>
      <x:c r="D1467" s="11" t="str">
        <x:v>活动输入</x:v>
      </x:c>
      <x:c r="E1467" s="11" t="n">
        <x:f>CHOOSE('假设'!$B$3,E1468,E1469,E1470)</x:f>
        <x:v>0.97</x:v>
      </x:c>
      <x:c r="F1467" s="11" t="n">
        <x:f>CHOOSE('假设'!$B$3,F1468,F1469,F1470)</x:f>
        <x:v>0.43</x:v>
      </x:c>
      <x:c r="G1467" s="11" t="n">
        <x:f>CHOOSE('假设'!$B$3,G1468,G1469,G1470)</x:f>
        <x:v>1</x:v>
      </x:c>
      <x:c r="H1467" s="11" t="n">
        <x:f>CHOOSE('假设'!$B$3,H1468,H1469,H1470)</x:f>
        <x:v>0.14</x:v>
      </x:c>
      <x:c r="I1467" s="11" t="n">
        <x:f>CHOOSE('假设'!$B$3,I1468,I1469,I1470)</x:f>
        <x:v>7</x:v>
      </x:c>
    </x:row>
    <x:row r="1468" ht="23" customHeight="1">
      <x:c r="A1468" s="11" t="str">
        <x:v>09995.HK</x:v>
      </x:c>
      <x:c r="B1468" s="11" t="str">
        <x:v>三年</x:v>
      </x:c>
      <x:c r="C1468" s="11" t="str">
        <x:v>RC18_approved_China</x:v>
      </x:c>
      <x:c r="D1468" s="11" t="str">
        <x:v>悲观</x:v>
      </x:c>
      <x:c r="E1468" s="16" t="n">
        <x:v>0.9</x:v>
      </x:c>
      <x:c r="F1468" s="16" t="n">
        <x:v>0.3</x:v>
      </x:c>
      <x:c r="G1468" s="16" t="n">
        <x:v>1</x:v>
      </x:c>
      <x:c r="H1468" s="16" t="n">
        <x:v>0.18</x:v>
      </x:c>
      <x:c r="I1468" s="16" t="n">
        <x:v>7</x:v>
      </x:c>
    </x:row>
    <x:row r="1469" ht="23" customHeight="1">
      <x:c r="A1469" s="11" t="str">
        <x:v>09995.HK</x:v>
      </x:c>
      <x:c r="B1469" s="11" t="str">
        <x:v>三年</x:v>
      </x:c>
      <x:c r="C1469" s="11" t="str">
        <x:v>RC18_approved_China</x:v>
      </x:c>
      <x:c r="D1469" s="11" t="str">
        <x:v>基准</x:v>
      </x:c>
      <x:c r="E1469" s="16" t="n">
        <x:v>0.97</x:v>
      </x:c>
      <x:c r="F1469" s="16" t="n">
        <x:v>0.43</x:v>
      </x:c>
      <x:c r="G1469" s="16" t="n">
        <x:v>1</x:v>
      </x:c>
      <x:c r="H1469" s="16" t="n">
        <x:v>0.14</x:v>
      </x:c>
      <x:c r="I1469" s="16" t="n">
        <x:v>7</x:v>
      </x:c>
    </x:row>
    <x:row r="1470" ht="23" customHeight="1">
      <x:c r="A1470" s="11" t="str">
        <x:v>09995.HK</x:v>
      </x:c>
      <x:c r="B1470" s="11" t="str">
        <x:v>三年</x:v>
      </x:c>
      <x:c r="C1470" s="11" t="str">
        <x:v>RC18_approved_China</x:v>
      </x:c>
      <x:c r="D1470" s="11" t="str">
        <x:v>乐观</x:v>
      </x:c>
      <x:c r="E1470" s="16" t="n">
        <x:v>1</x:v>
      </x:c>
      <x:c r="F1470" s="16" t="n">
        <x:v>0.52</x:v>
      </x:c>
      <x:c r="G1470" s="16" t="n">
        <x:v>1</x:v>
      </x:c>
      <x:c r="H1470" s="16" t="n">
        <x:v>0.11</x:v>
      </x:c>
      <x:c r="I1470" s="16" t="n">
        <x:v>7</x:v>
      </x:c>
    </x:row>
    <x:row r="1471" ht="23" customHeight="1">
      <x:c r="A1471" s="11" t="str">
        <x:v>09995.HK</x:v>
      </x:c>
      <x:c r="B1471" s="11" t="str">
        <x:v>三年</x:v>
      </x:c>
      <x:c r="C1471" s="11" t="str">
        <x:v>RC48_approved_China</x:v>
      </x:c>
      <x:c r="D1471" s="11" t="str">
        <x:v>活动输入</x:v>
      </x:c>
      <x:c r="E1471" s="11" t="n">
        <x:f>CHOOSE('假设'!$B$3,E1472,E1473,E1474)</x:f>
        <x:v>0.95</x:v>
      </x:c>
      <x:c r="F1471" s="11" t="n">
        <x:f>CHOOSE('假设'!$B$3,F1472,F1473,F1474)</x:f>
        <x:v>0.37</x:v>
      </x:c>
      <x:c r="G1471" s="11" t="n">
        <x:f>CHOOSE('假设'!$B$3,G1472,G1473,G1474)</x:f>
        <x:v>1</x:v>
      </x:c>
      <x:c r="H1471" s="11" t="n">
        <x:f>CHOOSE('假设'!$B$3,H1472,H1473,H1474)</x:f>
        <x:v>0.14</x:v>
      </x:c>
      <x:c r="I1471" s="11" t="n">
        <x:f>CHOOSE('假设'!$B$3,I1472,I1473,I1474)</x:f>
        <x:v>7</x:v>
      </x:c>
    </x:row>
    <x:row r="1472" ht="23" customHeight="1">
      <x:c r="A1472" s="11" t="str">
        <x:v>09995.HK</x:v>
      </x:c>
      <x:c r="B1472" s="11" t="str">
        <x:v>三年</x:v>
      </x:c>
      <x:c r="C1472" s="11" t="str">
        <x:v>RC48_approved_China</x:v>
      </x:c>
      <x:c r="D1472" s="11" t="str">
        <x:v>悲观</x:v>
      </x:c>
      <x:c r="E1472" s="16" t="n">
        <x:v>0.85</x:v>
      </x:c>
      <x:c r="F1472" s="16" t="n">
        <x:v>0.25</x:v>
      </x:c>
      <x:c r="G1472" s="16" t="n">
        <x:v>1</x:v>
      </x:c>
      <x:c r="H1472" s="11" t="n">
        <x:f>H1468</x:f>
        <x:v>0.18</x:v>
      </x:c>
      <x:c r="I1472" s="11" t="n">
        <x:f>I1468</x:f>
        <x:v>7</x:v>
      </x:c>
    </x:row>
    <x:row r="1473" ht="23" customHeight="1">
      <x:c r="A1473" s="11" t="str">
        <x:v>09995.HK</x:v>
      </x:c>
      <x:c r="B1473" s="11" t="str">
        <x:v>三年</x:v>
      </x:c>
      <x:c r="C1473" s="11" t="str">
        <x:v>RC48_approved_China</x:v>
      </x:c>
      <x:c r="D1473" s="11" t="str">
        <x:v>基准</x:v>
      </x:c>
      <x:c r="E1473" s="16" t="n">
        <x:v>0.95</x:v>
      </x:c>
      <x:c r="F1473" s="16" t="n">
        <x:v>0.37</x:v>
      </x:c>
      <x:c r="G1473" s="16" t="n">
        <x:v>1</x:v>
      </x:c>
      <x:c r="H1473" s="11" t="n">
        <x:f>H1469</x:f>
        <x:v>0.14</x:v>
      </x:c>
      <x:c r="I1473" s="11" t="n">
        <x:f>I1469</x:f>
        <x:v>7</x:v>
      </x:c>
    </x:row>
    <x:row r="1474" ht="23" customHeight="1">
      <x:c r="A1474" s="11" t="str">
        <x:v>09995.HK</x:v>
      </x:c>
      <x:c r="B1474" s="11" t="str">
        <x:v>三年</x:v>
      </x:c>
      <x:c r="C1474" s="11" t="str">
        <x:v>RC48_approved_China</x:v>
      </x:c>
      <x:c r="D1474" s="11" t="str">
        <x:v>乐观</x:v>
      </x:c>
      <x:c r="E1474" s="16" t="n">
        <x:v>1</x:v>
      </x:c>
      <x:c r="F1474" s="16" t="n">
        <x:v>0.46</x:v>
      </x:c>
      <x:c r="G1474" s="16" t="n">
        <x:v>1</x:v>
      </x:c>
      <x:c r="H1474" s="11" t="n">
        <x:f>H1470</x:f>
        <x:v>0.11</x:v>
      </x:c>
      <x:c r="I1474" s="11" t="n">
        <x:f>I1470</x:f>
        <x:v>7</x:v>
      </x:c>
    </x:row>
    <x:row r="1475" ht="23" customHeight="1">
      <x:c r="A1475" s="11" t="str">
        <x:v>09995.HK</x:v>
      </x:c>
      <x:c r="B1475" s="11" t="str">
        <x:v>三年</x:v>
      </x:c>
      <x:c r="C1475" s="11" t="str">
        <x:v>RC18_new_China</x:v>
      </x:c>
      <x:c r="D1475" s="11" t="str">
        <x:v>活动输入</x:v>
      </x:c>
      <x:c r="E1475" s="11" t="n">
        <x:f>CHOOSE('假设'!$B$3,E1476,E1477,E1478)</x:f>
        <x:v>0.4</x:v>
      </x:c>
      <x:c r="F1475" s="11" t="n">
        <x:f>CHOOSE('假设'!$B$3,F1476,F1477,F1478)</x:f>
        <x:v>0.43</x:v>
      </x:c>
      <x:c r="G1475" s="11" t="n">
        <x:f>CHOOSE('假设'!$B$3,G1476,G1477,G1478)</x:f>
        <x:v>1</x:v>
      </x:c>
      <x:c r="H1475" s="11" t="n">
        <x:f>CHOOSE('假设'!$B$3,H1476,H1477,H1478)</x:f>
        <x:v>0.14</x:v>
      </x:c>
      <x:c r="I1475" s="11" t="n">
        <x:f>CHOOSE('假设'!$B$3,I1476,I1477,I1478)</x:f>
        <x:v>7</x:v>
      </x:c>
    </x:row>
    <x:row r="1476" ht="23" customHeight="1">
      <x:c r="A1476" s="11" t="str">
        <x:v>09995.HK</x:v>
      </x:c>
      <x:c r="B1476" s="11" t="str">
        <x:v>三年</x:v>
      </x:c>
      <x:c r="C1476" s="11" t="str">
        <x:v>RC18_new_China</x:v>
      </x:c>
      <x:c r="D1476" s="11" t="str">
        <x:v>悲观</x:v>
      </x:c>
      <x:c r="E1476" s="16" t="n">
        <x:v>0.15</x:v>
      </x:c>
      <x:c r="F1476" s="16" t="n">
        <x:v>0.3</x:v>
      </x:c>
      <x:c r="G1476" s="16" t="n">
        <x:v>1</x:v>
      </x:c>
      <x:c r="H1476" s="11" t="n">
        <x:f>H1468</x:f>
        <x:v>0.18</x:v>
      </x:c>
      <x:c r="I1476" s="11" t="n">
        <x:f>I1468</x:f>
        <x:v>7</x:v>
      </x:c>
    </x:row>
    <x:row r="1477" ht="23" customHeight="1">
      <x:c r="A1477" s="11" t="str">
        <x:v>09995.HK</x:v>
      </x:c>
      <x:c r="B1477" s="11" t="str">
        <x:v>三年</x:v>
      </x:c>
      <x:c r="C1477" s="11" t="str">
        <x:v>RC18_new_China</x:v>
      </x:c>
      <x:c r="D1477" s="11" t="str">
        <x:v>基准</x:v>
      </x:c>
      <x:c r="E1477" s="16" t="n">
        <x:v>0.4</x:v>
      </x:c>
      <x:c r="F1477" s="16" t="n">
        <x:v>0.43</x:v>
      </x:c>
      <x:c r="G1477" s="16" t="n">
        <x:v>1</x:v>
      </x:c>
      <x:c r="H1477" s="11" t="n">
        <x:f>H1469</x:f>
        <x:v>0.14</x:v>
      </x:c>
      <x:c r="I1477" s="11" t="n">
        <x:f>I1469</x:f>
        <x:v>7</x:v>
      </x:c>
    </x:row>
    <x:row r="1478" ht="23" customHeight="1">
      <x:c r="A1478" s="11" t="str">
        <x:v>09995.HK</x:v>
      </x:c>
      <x:c r="B1478" s="11" t="str">
        <x:v>三年</x:v>
      </x:c>
      <x:c r="C1478" s="11" t="str">
        <x:v>RC18_new_China</x:v>
      </x:c>
      <x:c r="D1478" s="11" t="str">
        <x:v>乐观</x:v>
      </x:c>
      <x:c r="E1478" s="16" t="n">
        <x:v>0.65</x:v>
      </x:c>
      <x:c r="F1478" s="16" t="n">
        <x:v>0.52</x:v>
      </x:c>
      <x:c r="G1478" s="16" t="n">
        <x:v>1</x:v>
      </x:c>
      <x:c r="H1478" s="11" t="n">
        <x:f>H1470</x:f>
        <x:v>0.11</x:v>
      </x:c>
      <x:c r="I1478" s="11" t="n">
        <x:f>I1470</x:f>
        <x:v>7</x:v>
      </x:c>
    </x:row>
    <x:row r="1479" ht="23" customHeight="1">
      <x:c r="A1479" s="11" t="str">
        <x:v>09995.HK</x:v>
      </x:c>
      <x:c r="B1479" s="11" t="str">
        <x:v>三年</x:v>
      </x:c>
      <x:c r="C1479" s="11" t="str">
        <x:v>RC48_new_China</x:v>
      </x:c>
      <x:c r="D1479" s="11" t="str">
        <x:v>活动输入</x:v>
      </x:c>
      <x:c r="E1479" s="11" t="n">
        <x:f>CHOOSE('假设'!$B$3,E1480,E1481,E1482)</x:f>
        <x:v>0.5</x:v>
      </x:c>
      <x:c r="F1479" s="11" t="n">
        <x:f>CHOOSE('假设'!$B$3,F1480,F1481,F1482)</x:f>
        <x:v>0.37</x:v>
      </x:c>
      <x:c r="G1479" s="11" t="n">
        <x:f>CHOOSE('假设'!$B$3,G1480,G1481,G1482)</x:f>
        <x:v>1</x:v>
      </x:c>
      <x:c r="H1479" s="11" t="n">
        <x:f>CHOOSE('假设'!$B$3,H1480,H1481,H1482)</x:f>
        <x:v>0.14</x:v>
      </x:c>
      <x:c r="I1479" s="11" t="n">
        <x:f>CHOOSE('假设'!$B$3,I1480,I1481,I1482)</x:f>
        <x:v>7</x:v>
      </x:c>
    </x:row>
    <x:row r="1480" ht="23" customHeight="1">
      <x:c r="A1480" s="11" t="str">
        <x:v>09995.HK</x:v>
      </x:c>
      <x:c r="B1480" s="11" t="str">
        <x:v>三年</x:v>
      </x:c>
      <x:c r="C1480" s="11" t="str">
        <x:v>RC48_new_China</x:v>
      </x:c>
      <x:c r="D1480" s="11" t="str">
        <x:v>悲观</x:v>
      </x:c>
      <x:c r="E1480" s="16" t="n">
        <x:v>0.15</x:v>
      </x:c>
      <x:c r="F1480" s="16" t="n">
        <x:v>0.25</x:v>
      </x:c>
      <x:c r="G1480" s="16" t="n">
        <x:v>1</x:v>
      </x:c>
      <x:c r="H1480" s="11" t="n">
        <x:f>H1468</x:f>
        <x:v>0.18</x:v>
      </x:c>
      <x:c r="I1480" s="11" t="n">
        <x:f>I1468</x:f>
        <x:v>7</x:v>
      </x:c>
    </x:row>
    <x:row r="1481" ht="23" customHeight="1">
      <x:c r="A1481" s="11" t="str">
        <x:v>09995.HK</x:v>
      </x:c>
      <x:c r="B1481" s="11" t="str">
        <x:v>三年</x:v>
      </x:c>
      <x:c r="C1481" s="11" t="str">
        <x:v>RC48_new_China</x:v>
      </x:c>
      <x:c r="D1481" s="11" t="str">
        <x:v>基准</x:v>
      </x:c>
      <x:c r="E1481" s="16" t="n">
        <x:v>0.5</x:v>
      </x:c>
      <x:c r="F1481" s="16" t="n">
        <x:v>0.37</x:v>
      </x:c>
      <x:c r="G1481" s="16" t="n">
        <x:v>1</x:v>
      </x:c>
      <x:c r="H1481" s="11" t="n">
        <x:f>H1469</x:f>
        <x:v>0.14</x:v>
      </x:c>
      <x:c r="I1481" s="11" t="n">
        <x:f>I1469</x:f>
        <x:v>7</x:v>
      </x:c>
    </x:row>
    <x:row r="1482" ht="23" customHeight="1">
      <x:c r="A1482" s="11" t="str">
        <x:v>09995.HK</x:v>
      </x:c>
      <x:c r="B1482" s="11" t="str">
        <x:v>三年</x:v>
      </x:c>
      <x:c r="C1482" s="11" t="str">
        <x:v>RC48_new_China</x:v>
      </x:c>
      <x:c r="D1482" s="11" t="str">
        <x:v>乐观</x:v>
      </x:c>
      <x:c r="E1482" s="16" t="n">
        <x:v>0.75</x:v>
      </x:c>
      <x:c r="F1482" s="16" t="n">
        <x:v>0.46</x:v>
      </x:c>
      <x:c r="G1482" s="16" t="n">
        <x:v>1</x:v>
      </x:c>
      <x:c r="H1482" s="11" t="n">
        <x:f>H1470</x:f>
        <x:v>0.11</x:v>
      </x:c>
      <x:c r="I1482" s="11" t="n">
        <x:f>I1470</x:f>
        <x:v>7</x:v>
      </x:c>
    </x:row>
    <x:row r="1483" ht="23" customHeight="1">
      <x:c r="A1483" s="11" t="str">
        <x:v>09995.HK</x:v>
      </x:c>
      <x:c r="B1483" s="11" t="str">
        <x:v>三年</x:v>
      </x:c>
      <x:c r="C1483" s="11" t="str">
        <x:v>RC148_China</x:v>
      </x:c>
      <x:c r="D1483" s="11" t="str">
        <x:v>活动输入</x:v>
      </x:c>
      <x:c r="E1483" s="11" t="n">
        <x:f>CHOOSE('假设'!$B$3,E1484,E1485,E1486)</x:f>
        <x:v>0.5</x:v>
      </x:c>
      <x:c r="F1483" s="11" t="n">
        <x:f>CHOOSE('假设'!$B$3,F1484,F1485,F1486)</x:f>
        <x:v>0.42</x:v>
      </x:c>
      <x:c r="G1483" s="11" t="n">
        <x:f>CHOOSE('假设'!$B$3,G1484,G1485,G1486)</x:f>
        <x:v>1</x:v>
      </x:c>
      <x:c r="H1483" s="11" t="n">
        <x:f>CHOOSE('假设'!$B$3,H1484,H1485,H1486)</x:f>
        <x:v>0.14</x:v>
      </x:c>
      <x:c r="I1483" s="11" t="n">
        <x:f>CHOOSE('假设'!$B$3,I1484,I1485,I1486)</x:f>
        <x:v>7</x:v>
      </x:c>
    </x:row>
    <x:row r="1484" ht="23" customHeight="1">
      <x:c r="A1484" s="11" t="str">
        <x:v>09995.HK</x:v>
      </x:c>
      <x:c r="B1484" s="11" t="str">
        <x:v>三年</x:v>
      </x:c>
      <x:c r="C1484" s="11" t="str">
        <x:v>RC148_China</x:v>
      </x:c>
      <x:c r="D1484" s="11" t="str">
        <x:v>悲观</x:v>
      </x:c>
      <x:c r="E1484" s="16" t="n">
        <x:v>0.2</x:v>
      </x:c>
      <x:c r="F1484" s="16" t="n">
        <x:v>0.28</x:v>
      </x:c>
      <x:c r="G1484" s="16" t="n">
        <x:v>1</x:v>
      </x:c>
      <x:c r="H1484" s="11" t="n">
        <x:f>H1468</x:f>
        <x:v>0.18</x:v>
      </x:c>
      <x:c r="I1484" s="11" t="n">
        <x:f>I1468</x:f>
        <x:v>7</x:v>
      </x:c>
    </x:row>
    <x:row r="1485" ht="23" customHeight="1">
      <x:c r="A1485" s="11" t="str">
        <x:v>09995.HK</x:v>
      </x:c>
      <x:c r="B1485" s="11" t="str">
        <x:v>三年</x:v>
      </x:c>
      <x:c r="C1485" s="11" t="str">
        <x:v>RC148_China</x:v>
      </x:c>
      <x:c r="D1485" s="11" t="str">
        <x:v>基准</x:v>
      </x:c>
      <x:c r="E1485" s="16" t="n">
        <x:v>0.5</x:v>
      </x:c>
      <x:c r="F1485" s="16" t="n">
        <x:v>0.42</x:v>
      </x:c>
      <x:c r="G1485" s="16" t="n">
        <x:v>1</x:v>
      </x:c>
      <x:c r="H1485" s="11" t="n">
        <x:f>H1469</x:f>
        <x:v>0.14</x:v>
      </x:c>
      <x:c r="I1485" s="11" t="n">
        <x:f>I1469</x:f>
        <x:v>7</x:v>
      </x:c>
    </x:row>
    <x:row r="1486" ht="23" customHeight="1">
      <x:c r="A1486" s="11" t="str">
        <x:v>09995.HK</x:v>
      </x:c>
      <x:c r="B1486" s="11" t="str">
        <x:v>三年</x:v>
      </x:c>
      <x:c r="C1486" s="11" t="str">
        <x:v>RC148_China</x:v>
      </x:c>
      <x:c r="D1486" s="11" t="str">
        <x:v>乐观</x:v>
      </x:c>
      <x:c r="E1486" s="16" t="n">
        <x:v>0.75</x:v>
      </x:c>
      <x:c r="F1486" s="16" t="n">
        <x:v>0.5</x:v>
      </x:c>
      <x:c r="G1486" s="16" t="n">
        <x:v>1</x:v>
      </x:c>
      <x:c r="H1486" s="11" t="n">
        <x:f>H1470</x:f>
        <x:v>0.11</x:v>
      </x:c>
      <x:c r="I1486" s="11" t="n">
        <x:f>I1470</x:f>
        <x:v>7</x:v>
      </x:c>
    </x:row>
    <x:row r="1487" ht="23" customHeight="1">
      <x:c r="A1487" s="11" t="str">
        <x:v>09995.HK</x:v>
      </x:c>
      <x:c r="B1487" s="11" t="str">
        <x:v>三年</x:v>
      </x:c>
      <x:c r="C1487" s="11" t="str">
        <x:v>RC148_foreign</x:v>
      </x:c>
      <x:c r="D1487" s="11" t="str">
        <x:v>活动输入</x:v>
      </x:c>
      <x:c r="E1487" s="11" t="n">
        <x:f>CHOOSE('假设'!$B$3,E1488,E1489,E1490)</x:f>
        <x:v>0.5</x:v>
      </x:c>
      <x:c r="F1487" s="11" t="n">
        <x:f>CHOOSE('假设'!$B$3,F1488,F1489,F1490)</x:f>
        <x:v>0.1148</x:v>
      </x:c>
      <x:c r="G1487" s="11" t="n">
        <x:f>CHOOSE('假设'!$B$3,G1488,G1489,G1490)</x:f>
        <x:v>1</x:v>
      </x:c>
      <x:c r="H1487" s="11" t="n">
        <x:f>CHOOSE('假设'!$B$3,H1488,H1489,H1490)</x:f>
        <x:v>0.14</x:v>
      </x:c>
      <x:c r="I1487" s="11" t="n">
        <x:f>CHOOSE('假设'!$B$3,I1488,I1489,I1490)</x:f>
        <x:v>7</x:v>
      </x:c>
    </x:row>
    <x:row r="1488" ht="23" customHeight="1">
      <x:c r="A1488" s="11" t="str">
        <x:v>09995.HK</x:v>
      </x:c>
      <x:c r="B1488" s="11" t="str">
        <x:v>三年</x:v>
      </x:c>
      <x:c r="C1488" s="11" t="str">
        <x:v>RC148_foreign</x:v>
      </x:c>
      <x:c r="D1488" s="11" t="str">
        <x:v>悲观</x:v>
      </x:c>
      <x:c r="E1488" s="16" t="n">
        <x:v>0.18</x:v>
      </x:c>
      <x:c r="F1488" s="16" t="n">
        <x:v>0.07800000000000001</x:v>
      </x:c>
      <x:c r="G1488" s="16" t="n">
        <x:v>1</x:v>
      </x:c>
      <x:c r="H1488" s="11" t="n">
        <x:f>H1468</x:f>
        <x:v>0.18</x:v>
      </x:c>
      <x:c r="I1488" s="11" t="n">
        <x:f>I1468</x:f>
        <x:v>7</x:v>
      </x:c>
    </x:row>
    <x:row r="1489" ht="23" customHeight="1">
      <x:c r="A1489" s="11" t="str">
        <x:v>09995.HK</x:v>
      </x:c>
      <x:c r="B1489" s="11" t="str">
        <x:v>三年</x:v>
      </x:c>
      <x:c r="C1489" s="11" t="str">
        <x:v>RC148_foreign</x:v>
      </x:c>
      <x:c r="D1489" s="11" t="str">
        <x:v>基准</x:v>
      </x:c>
      <x:c r="E1489" s="16" t="n">
        <x:v>0.5</x:v>
      </x:c>
      <x:c r="F1489" s="16" t="n">
        <x:v>0.1148</x:v>
      </x:c>
      <x:c r="G1489" s="16" t="n">
        <x:v>1</x:v>
      </x:c>
      <x:c r="H1489" s="11" t="n">
        <x:f>H1469</x:f>
        <x:v>0.14</x:v>
      </x:c>
      <x:c r="I1489" s="11" t="n">
        <x:f>I1469</x:f>
        <x:v>7</x:v>
      </x:c>
    </x:row>
    <x:row r="1490" ht="23" customHeight="1">
      <x:c r="A1490" s="11" t="str">
        <x:v>09995.HK</x:v>
      </x:c>
      <x:c r="B1490" s="11" t="str">
        <x:v>三年</x:v>
      </x:c>
      <x:c r="C1490" s="11" t="str">
        <x:v>RC148_foreign</x:v>
      </x:c>
      <x:c r="D1490" s="11" t="str">
        <x:v>乐观</x:v>
      </x:c>
      <x:c r="E1490" s="16" t="n">
        <x:v>0.7</x:v>
      </x:c>
      <x:c r="F1490" s="16" t="n">
        <x:v>0.153</x:v>
      </x:c>
      <x:c r="G1490" s="16" t="n">
        <x:v>1</x:v>
      </x:c>
      <x:c r="H1490" s="11" t="n">
        <x:f>H1470</x:f>
        <x:v>0.11</x:v>
      </x:c>
      <x:c r="I1490" s="11" t="n">
        <x:f>I1470</x:f>
        <x:v>7</x:v>
      </x:c>
    </x:row>
    <x:row r="1491" ht="23" customHeight="1">
      <x:c r="A1491" s="11" t="str">
        <x:v>09995.HK</x:v>
      </x:c>
      <x:c r="B1491" s="11" t="str">
        <x:v>三年</x:v>
      </x:c>
      <x:c r="C1491" s="11" t="str">
        <x:v>RC18_foreign</x:v>
      </x:c>
      <x:c r="D1491" s="11" t="str">
        <x:v>活动输入</x:v>
      </x:c>
      <x:c r="E1491" s="11" t="n">
        <x:f>CHOOSE('假设'!$B$3,E1492,E1493,E1494)</x:f>
        <x:v>0.6</x:v>
      </x:c>
      <x:c r="F1491" s="11" t="n">
        <x:f>CHOOSE('假设'!$B$3,F1492,F1493,F1494)</x:f>
        <x:v>0.09019999999999999</x:v>
      </x:c>
      <x:c r="G1491" s="11" t="n">
        <x:f>CHOOSE('假设'!$B$3,G1492,G1493,G1494)</x:f>
        <x:v>1</x:v>
      </x:c>
      <x:c r="H1491" s="11" t="n">
        <x:f>CHOOSE('假设'!$B$3,H1492,H1493,H1494)</x:f>
        <x:v>0.14</x:v>
      </x:c>
      <x:c r="I1491" s="11" t="n">
        <x:f>CHOOSE('假设'!$B$3,I1492,I1493,I1494)</x:f>
        <x:v>7</x:v>
      </x:c>
    </x:row>
    <x:row r="1492" ht="23" customHeight="1">
      <x:c r="A1492" s="11" t="str">
        <x:v>09995.HK</x:v>
      </x:c>
      <x:c r="B1492" s="11" t="str">
        <x:v>三年</x:v>
      </x:c>
      <x:c r="C1492" s="11" t="str">
        <x:v>RC18_foreign</x:v>
      </x:c>
      <x:c r="D1492" s="11" t="str">
        <x:v>悲观</x:v>
      </x:c>
      <x:c r="E1492" s="16" t="n">
        <x:v>0.25</x:v>
      </x:c>
      <x:c r="F1492" s="16" t="n">
        <x:v>0.062400000000000004</x:v>
      </x:c>
      <x:c r="G1492" s="16" t="n">
        <x:v>1</x:v>
      </x:c>
      <x:c r="H1492" s="11" t="n">
        <x:f>H1468</x:f>
        <x:v>0.18</x:v>
      </x:c>
      <x:c r="I1492" s="11" t="n">
        <x:f>I1468</x:f>
        <x:v>7</x:v>
      </x:c>
    </x:row>
    <x:row r="1493" ht="23" customHeight="1">
      <x:c r="A1493" s="11" t="str">
        <x:v>09995.HK</x:v>
      </x:c>
      <x:c r="B1493" s="11" t="str">
        <x:v>三年</x:v>
      </x:c>
      <x:c r="C1493" s="11" t="str">
        <x:v>RC18_foreign</x:v>
      </x:c>
      <x:c r="D1493" s="11" t="str">
        <x:v>基准</x:v>
      </x:c>
      <x:c r="E1493" s="16" t="n">
        <x:v>0.6</x:v>
      </x:c>
      <x:c r="F1493" s="16" t="n">
        <x:v>0.09019999999999999</x:v>
      </x:c>
      <x:c r="G1493" s="16" t="n">
        <x:v>1</x:v>
      </x:c>
      <x:c r="H1493" s="11" t="n">
        <x:f>H1469</x:f>
        <x:v>0.14</x:v>
      </x:c>
      <x:c r="I1493" s="11" t="n">
        <x:f>I1469</x:f>
        <x:v>7</x:v>
      </x:c>
    </x:row>
    <x:row r="1494" ht="23" customHeight="1">
      <x:c r="A1494" s="11" t="str">
        <x:v>09995.HK</x:v>
      </x:c>
      <x:c r="B1494" s="11" t="str">
        <x:v>三年</x:v>
      </x:c>
      <x:c r="C1494" s="11" t="str">
        <x:v>RC18_foreign</x:v>
      </x:c>
      <x:c r="D1494" s="11" t="str">
        <x:v>乐观</x:v>
      </x:c>
      <x:c r="E1494" s="16" t="n">
        <x:v>0.8</x:v>
      </x:c>
      <x:c r="F1494" s="16" t="n">
        <x:v>0.11900000000000001</x:v>
      </x:c>
      <x:c r="G1494" s="16" t="n">
        <x:v>1</x:v>
      </x:c>
      <x:c r="H1494" s="11" t="n">
        <x:f>H1470</x:f>
        <x:v>0.11</x:v>
      </x:c>
      <x:c r="I1494" s="11" t="n">
        <x:f>I1470</x:f>
        <x:v>7</x:v>
      </x:c>
    </x:row>
    <x:row r="1495" ht="23" customHeight="1">
      <x:c r="A1495" s="11" t="str">
        <x:v>09995.HK</x:v>
      </x:c>
      <x:c r="B1495" s="11" t="str">
        <x:v>三年</x:v>
      </x:c>
      <x:c r="C1495" s="11" t="str">
        <x:v>RC48_foreign</x:v>
      </x:c>
      <x:c r="D1495" s="11" t="str">
        <x:v>活动输入</x:v>
      </x:c>
      <x:c r="E1495" s="11" t="n">
        <x:f>CHOOSE('假设'!$B$3,E1496,E1497,E1498)</x:f>
        <x:v>0.55</x:v>
      </x:c>
      <x:c r="F1495" s="11" t="n">
        <x:f>CHOOSE('假设'!$B$3,F1496,F1497,F1498)</x:f>
        <x:v>0.09019999999999999</x:v>
      </x:c>
      <x:c r="G1495" s="11" t="n">
        <x:f>CHOOSE('假设'!$B$3,G1496,G1497,G1498)</x:f>
        <x:v>1</x:v>
      </x:c>
      <x:c r="H1495" s="11" t="n">
        <x:f>CHOOSE('假设'!$B$3,H1496,H1497,H1498)</x:f>
        <x:v>0.14</x:v>
      </x:c>
      <x:c r="I1495" s="11" t="n">
        <x:f>CHOOSE('假设'!$B$3,I1496,I1497,I1498)</x:f>
        <x:v>7</x:v>
      </x:c>
    </x:row>
    <x:row r="1496" ht="23" customHeight="1">
      <x:c r="A1496" s="11" t="str">
        <x:v>09995.HK</x:v>
      </x:c>
      <x:c r="B1496" s="11" t="str">
        <x:v>三年</x:v>
      </x:c>
      <x:c r="C1496" s="11" t="str">
        <x:v>RC48_foreign</x:v>
      </x:c>
      <x:c r="D1496" s="11" t="str">
        <x:v>悲观</x:v>
      </x:c>
      <x:c r="E1496" s="16" t="n">
        <x:v>0.2</x:v>
      </x:c>
      <x:c r="F1496" s="16" t="n">
        <x:v>0.062400000000000004</x:v>
      </x:c>
      <x:c r="G1496" s="16" t="n">
        <x:v>1</x:v>
      </x:c>
      <x:c r="H1496" s="11" t="n">
        <x:f>H1468</x:f>
        <x:v>0.18</x:v>
      </x:c>
      <x:c r="I1496" s="11" t="n">
        <x:f>I1468</x:f>
        <x:v>7</x:v>
      </x:c>
    </x:row>
    <x:row r="1497" ht="23" customHeight="1">
      <x:c r="A1497" s="11" t="str">
        <x:v>09995.HK</x:v>
      </x:c>
      <x:c r="B1497" s="11" t="str">
        <x:v>三年</x:v>
      </x:c>
      <x:c r="C1497" s="11" t="str">
        <x:v>RC48_foreign</x:v>
      </x:c>
      <x:c r="D1497" s="11" t="str">
        <x:v>基准</x:v>
      </x:c>
      <x:c r="E1497" s="16" t="n">
        <x:v>0.55</x:v>
      </x:c>
      <x:c r="F1497" s="16" t="n">
        <x:v>0.09019999999999999</x:v>
      </x:c>
      <x:c r="G1497" s="16" t="n">
        <x:v>1</x:v>
      </x:c>
      <x:c r="H1497" s="11" t="n">
        <x:f>H1469</x:f>
        <x:v>0.14</x:v>
      </x:c>
      <x:c r="I1497" s="11" t="n">
        <x:f>I1469</x:f>
        <x:v>7</x:v>
      </x:c>
    </x:row>
    <x:row r="1498" ht="23" customHeight="1">
      <x:c r="A1498" s="11" t="str">
        <x:v>09995.HK</x:v>
      </x:c>
      <x:c r="B1498" s="11" t="str">
        <x:v>三年</x:v>
      </x:c>
      <x:c r="C1498" s="11" t="str">
        <x:v>RC48_foreign</x:v>
      </x:c>
      <x:c r="D1498" s="11" t="str">
        <x:v>乐观</x:v>
      </x:c>
      <x:c r="E1498" s="16" t="n">
        <x:v>0.8</x:v>
      </x:c>
      <x:c r="F1498" s="16" t="n">
        <x:v>0.11900000000000001</x:v>
      </x:c>
      <x:c r="G1498" s="16" t="n">
        <x:v>1</x:v>
      </x:c>
      <x:c r="H1498" s="11" t="n">
        <x:f>H1470</x:f>
        <x:v>0.11</x:v>
      </x:c>
      <x:c r="I1498" s="11" t="n">
        <x:f>I1470</x:f>
        <x:v>7</x:v>
      </x:c>
    </x:row>
    <x:row r="1499" ht="23" customHeight="1">
      <x:c r="A1499" s="11" t="str">
        <x:v>09995.HK</x:v>
      </x:c>
      <x:c r="B1499" s="11" t="str">
        <x:v>三年</x:v>
      </x:c>
      <x:c r="C1499" s="11" t="str">
        <x:v>RC28_China</x:v>
      </x:c>
      <x:c r="D1499" s="11" t="str">
        <x:v>活动输入</x:v>
      </x:c>
      <x:c r="E1499" s="11" t="n">
        <x:f>CHOOSE('假设'!$B$3,E1500,E1501,E1502)</x:f>
        <x:v>0.35</x:v>
      </x:c>
      <x:c r="F1499" s="11" t="n">
        <x:f>CHOOSE('假设'!$B$3,F1500,F1501,F1502)</x:f>
        <x:v>0.09839999999999999</x:v>
      </x:c>
      <x:c r="G1499" s="11" t="n">
        <x:f>CHOOSE('假设'!$B$3,G1500,G1501,G1502)</x:f>
        <x:v>1</x:v>
      </x:c>
      <x:c r="H1499" s="11" t="n">
        <x:f>CHOOSE('假设'!$B$3,H1500,H1501,H1502)</x:f>
        <x:v>0.14</x:v>
      </x:c>
      <x:c r="I1499" s="11" t="n">
        <x:f>CHOOSE('假设'!$B$3,I1500,I1501,I1502)</x:f>
        <x:v>7</x:v>
      </x:c>
    </x:row>
    <x:row r="1500" ht="23" customHeight="1">
      <x:c r="A1500" s="11" t="str">
        <x:v>09995.HK</x:v>
      </x:c>
      <x:c r="B1500" s="11" t="str">
        <x:v>三年</x:v>
      </x:c>
      <x:c r="C1500" s="11" t="str">
        <x:v>RC28_China</x:v>
      </x:c>
      <x:c r="D1500" s="11" t="str">
        <x:v>悲观</x:v>
      </x:c>
      <x:c r="E1500" s="16" t="n">
        <x:v>0.1</x:v>
      </x:c>
      <x:c r="F1500" s="16" t="n">
        <x:v>0.062400000000000004</x:v>
      </x:c>
      <x:c r="G1500" s="16" t="n">
        <x:v>1</x:v>
      </x:c>
      <x:c r="H1500" s="11" t="n">
        <x:f>H1468</x:f>
        <x:v>0.18</x:v>
      </x:c>
      <x:c r="I1500" s="11" t="n">
        <x:f>I1468</x:f>
        <x:v>7</x:v>
      </x:c>
    </x:row>
    <x:row r="1501" ht="23" customHeight="1">
      <x:c r="A1501" s="11" t="str">
        <x:v>09995.HK</x:v>
      </x:c>
      <x:c r="B1501" s="11" t="str">
        <x:v>三年</x:v>
      </x:c>
      <x:c r="C1501" s="11" t="str">
        <x:v>RC28_China</x:v>
      </x:c>
      <x:c r="D1501" s="11" t="str">
        <x:v>基准</x:v>
      </x:c>
      <x:c r="E1501" s="16" t="n">
        <x:v>0.35</x:v>
      </x:c>
      <x:c r="F1501" s="16" t="n">
        <x:v>0.09839999999999999</x:v>
      </x:c>
      <x:c r="G1501" s="16" t="n">
        <x:v>1</x:v>
      </x:c>
      <x:c r="H1501" s="11" t="n">
        <x:f>H1469</x:f>
        <x:v>0.14</x:v>
      </x:c>
      <x:c r="I1501" s="11" t="n">
        <x:f>I1469</x:f>
        <x:v>7</x:v>
      </x:c>
    </x:row>
    <x:row r="1502" ht="23" customHeight="1">
      <x:c r="A1502" s="11" t="str">
        <x:v>09995.HK</x:v>
      </x:c>
      <x:c r="B1502" s="11" t="str">
        <x:v>三年</x:v>
      </x:c>
      <x:c r="C1502" s="11" t="str">
        <x:v>RC28_China</x:v>
      </x:c>
      <x:c r="D1502" s="11" t="str">
        <x:v>乐观</x:v>
      </x:c>
      <x:c r="E1502" s="16" t="n">
        <x:v>0.6</x:v>
      </x:c>
      <x:c r="F1502" s="16" t="n">
        <x:v>0.136</x:v>
      </x:c>
      <x:c r="G1502" s="16" t="n">
        <x:v>1</x:v>
      </x:c>
      <x:c r="H1502" s="11" t="n">
        <x:f>H1470</x:f>
        <x:v>0.11</x:v>
      </x:c>
      <x:c r="I1502" s="11" t="n">
        <x:f>I1470</x:f>
        <x:v>7</x:v>
      </x:c>
    </x:row>
    <x:row r="1503" ht="23" customHeight="1">
      <x:c r="A1503" s="11" t="str">
        <x:v>09995.HK</x:v>
      </x:c>
      <x:c r="B1503" s="11" t="str">
        <x:v>三年</x:v>
      </x:c>
      <x:c r="C1503" s="11" t="str">
        <x:v>centralCost</x:v>
      </x:c>
      <x:c r="D1503" s="11" t="str">
        <x:v>活动输入</x:v>
      </x:c>
      <x:c r="E1503" s="11" t="n">
        <x:f>CHOOSE('假设'!$B$3,E1504,E1505,E1506)</x:f>
        <x:v>1</x:v>
      </x:c>
      <x:c r="F1503" s="11" t="n">
        <x:f>CHOOSE('假设'!$B$3,F1504,F1505,F1506)</x:f>
        <x:v>0</x:v>
      </x:c>
      <x:c r="G1503" s="11" t="n">
        <x:f>CHOOSE('假设'!$B$3,G1504,G1505,G1506)</x:f>
        <x:v>1</x:v>
      </x:c>
      <x:c r="H1503" s="11" t="n">
        <x:f>CHOOSE('假设'!$B$3,H1504,H1505,H1506)</x:f>
        <x:v>0.14</x:v>
      </x:c>
      <x:c r="I1503" s="11" t="n">
        <x:f>CHOOSE('假设'!$B$3,I1504,I1505,I1506)</x:f>
        <x:v>7</x:v>
      </x:c>
    </x:row>
    <x:row r="1504" ht="23" customHeight="1">
      <x:c r="A1504" s="11" t="str">
        <x:v>09995.HK</x:v>
      </x:c>
      <x:c r="B1504" s="11" t="str">
        <x:v>三年</x:v>
      </x:c>
      <x:c r="C1504" s="11" t="str">
        <x:v>centralCost</x:v>
      </x:c>
      <x:c r="D1504" s="11" t="str">
        <x:v>悲观</x:v>
      </x:c>
      <x:c r="E1504" s="16" t="n">
        <x:v>1</x:v>
      </x:c>
      <x:c r="F1504" s="16" t="n">
        <x:v>0</x:v>
      </x:c>
      <x:c r="G1504" s="16" t="n">
        <x:v>1</x:v>
      </x:c>
      <x:c r="H1504" s="11" t="n">
        <x:f>H1468</x:f>
        <x:v>0.18</x:v>
      </x:c>
      <x:c r="I1504" s="11" t="n">
        <x:f>I1468</x:f>
        <x:v>7</x:v>
      </x:c>
    </x:row>
    <x:row r="1505" ht="23" customHeight="1">
      <x:c r="A1505" s="11" t="str">
        <x:v>09995.HK</x:v>
      </x:c>
      <x:c r="B1505" s="11" t="str">
        <x:v>三年</x:v>
      </x:c>
      <x:c r="C1505" s="11" t="str">
        <x:v>centralCost</x:v>
      </x:c>
      <x:c r="D1505" s="11" t="str">
        <x:v>基准</x:v>
      </x:c>
      <x:c r="E1505" s="16" t="n">
        <x:v>1</x:v>
      </x:c>
      <x:c r="F1505" s="16" t="n">
        <x:v>0</x:v>
      </x:c>
      <x:c r="G1505" s="16" t="n">
        <x:v>1</x:v>
      </x:c>
      <x:c r="H1505" s="11" t="n">
        <x:f>H1469</x:f>
        <x:v>0.14</x:v>
      </x:c>
      <x:c r="I1505" s="11" t="n">
        <x:f>I1469</x:f>
        <x:v>7</x:v>
      </x:c>
    </x:row>
    <x:row r="1506" ht="23" customHeight="1">
      <x:c r="A1506" s="11" t="str">
        <x:v>09995.HK</x:v>
      </x:c>
      <x:c r="B1506" s="11" t="str">
        <x:v>三年</x:v>
      </x:c>
      <x:c r="C1506" s="11" t="str">
        <x:v>centralCost</x:v>
      </x:c>
      <x:c r="D1506" s="11" t="str">
        <x:v>乐观</x:v>
      </x:c>
      <x:c r="E1506" s="16" t="n">
        <x:v>1</x:v>
      </x:c>
      <x:c r="F1506" s="16" t="n">
        <x:v>0</x:v>
      </x:c>
      <x:c r="G1506" s="16" t="n">
        <x:v>1</x:v>
      </x:c>
      <x:c r="H1506" s="11" t="n">
        <x:f>H1470</x:f>
        <x:v>0.11</x:v>
      </x:c>
      <x:c r="I1506" s="11" t="n">
        <x:f>I1470</x:f>
        <x:v>7</x:v>
      </x:c>
    </x:row>
    <x:row r="1507" ht="23" customHeight="1">
      <x:c r="A1507" s="11" t="str">
        <x:v>09995.HK</x:v>
      </x:c>
      <x:c r="B1507" s="11" t="str">
        <x:v>五年</x:v>
      </x:c>
      <x:c r="C1507" s="11" t="str">
        <x:v>RC18_approved_China</x:v>
      </x:c>
      <x:c r="D1507" s="11" t="str">
        <x:v>活动输入</x:v>
      </x:c>
      <x:c r="E1507" s="11" t="n">
        <x:f>CHOOSE('假设'!$B$3,E1508,E1509,E1510)</x:f>
        <x:v>0.97</x:v>
      </x:c>
      <x:c r="F1507" s="11" t="n">
        <x:f>CHOOSE('假设'!$B$3,F1508,F1509,F1510)</x:f>
        <x:v>0.43</x:v>
      </x:c>
      <x:c r="G1507" s="11" t="n">
        <x:f>CHOOSE('假设'!$B$3,G1508,G1509,G1510)</x:f>
        <x:v>1</x:v>
      </x:c>
      <x:c r="H1507" s="11" t="n">
        <x:f>CHOOSE('假设'!$B$3,H1508,H1509,H1510)</x:f>
        <x:v>0.14</x:v>
      </x:c>
      <x:c r="I1507" s="11" t="n">
        <x:f>CHOOSE('假设'!$B$3,I1508,I1509,I1510)</x:f>
        <x:v>7</x:v>
      </x:c>
    </x:row>
    <x:row r="1508" ht="23" customHeight="1">
      <x:c r="A1508" s="11" t="str">
        <x:v>09995.HK</x:v>
      </x:c>
      <x:c r="B1508" s="11" t="str">
        <x:v>五年</x:v>
      </x:c>
      <x:c r="C1508" s="11" t="str">
        <x:v>RC18_approved_China</x:v>
      </x:c>
      <x:c r="D1508" s="11" t="str">
        <x:v>悲观</x:v>
      </x:c>
      <x:c r="E1508" s="16" t="n">
        <x:v>0.9</x:v>
      </x:c>
      <x:c r="F1508" s="16" t="n">
        <x:v>0.3</x:v>
      </x:c>
      <x:c r="G1508" s="16" t="n">
        <x:v>1</x:v>
      </x:c>
      <x:c r="H1508" s="16" t="n">
        <x:v>0.18</x:v>
      </x:c>
      <x:c r="I1508" s="16" t="n">
        <x:v>7</x:v>
      </x:c>
    </x:row>
    <x:row r="1509" ht="23" customHeight="1">
      <x:c r="A1509" s="11" t="str">
        <x:v>09995.HK</x:v>
      </x:c>
      <x:c r="B1509" s="11" t="str">
        <x:v>五年</x:v>
      </x:c>
      <x:c r="C1509" s="11" t="str">
        <x:v>RC18_approved_China</x:v>
      </x:c>
      <x:c r="D1509" s="11" t="str">
        <x:v>基准</x:v>
      </x:c>
      <x:c r="E1509" s="16" t="n">
        <x:v>0.97</x:v>
      </x:c>
      <x:c r="F1509" s="16" t="n">
        <x:v>0.43</x:v>
      </x:c>
      <x:c r="G1509" s="16" t="n">
        <x:v>1</x:v>
      </x:c>
      <x:c r="H1509" s="16" t="n">
        <x:v>0.14</x:v>
      </x:c>
      <x:c r="I1509" s="16" t="n">
        <x:v>7</x:v>
      </x:c>
    </x:row>
    <x:row r="1510" ht="23" customHeight="1">
      <x:c r="A1510" s="11" t="str">
        <x:v>09995.HK</x:v>
      </x:c>
      <x:c r="B1510" s="11" t="str">
        <x:v>五年</x:v>
      </x:c>
      <x:c r="C1510" s="11" t="str">
        <x:v>RC18_approved_China</x:v>
      </x:c>
      <x:c r="D1510" s="11" t="str">
        <x:v>乐观</x:v>
      </x:c>
      <x:c r="E1510" s="16" t="n">
        <x:v>1</x:v>
      </x:c>
      <x:c r="F1510" s="16" t="n">
        <x:v>0.52</x:v>
      </x:c>
      <x:c r="G1510" s="16" t="n">
        <x:v>1</x:v>
      </x:c>
      <x:c r="H1510" s="16" t="n">
        <x:v>0.11</x:v>
      </x:c>
      <x:c r="I1510" s="16" t="n">
        <x:v>7</x:v>
      </x:c>
    </x:row>
    <x:row r="1511" ht="23" customHeight="1">
      <x:c r="A1511" s="11" t="str">
        <x:v>09995.HK</x:v>
      </x:c>
      <x:c r="B1511" s="11" t="str">
        <x:v>五年</x:v>
      </x:c>
      <x:c r="C1511" s="11" t="str">
        <x:v>RC48_approved_China</x:v>
      </x:c>
      <x:c r="D1511" s="11" t="str">
        <x:v>活动输入</x:v>
      </x:c>
      <x:c r="E1511" s="11" t="n">
        <x:f>CHOOSE('假设'!$B$3,E1512,E1513,E1514)</x:f>
        <x:v>0.95</x:v>
      </x:c>
      <x:c r="F1511" s="11" t="n">
        <x:f>CHOOSE('假设'!$B$3,F1512,F1513,F1514)</x:f>
        <x:v>0.37</x:v>
      </x:c>
      <x:c r="G1511" s="11" t="n">
        <x:f>CHOOSE('假设'!$B$3,G1512,G1513,G1514)</x:f>
        <x:v>1</x:v>
      </x:c>
      <x:c r="H1511" s="11" t="n">
        <x:f>CHOOSE('假设'!$B$3,H1512,H1513,H1514)</x:f>
        <x:v>0.14</x:v>
      </x:c>
      <x:c r="I1511" s="11" t="n">
        <x:f>CHOOSE('假设'!$B$3,I1512,I1513,I1514)</x:f>
        <x:v>7</x:v>
      </x:c>
    </x:row>
    <x:row r="1512" ht="23" customHeight="1">
      <x:c r="A1512" s="11" t="str">
        <x:v>09995.HK</x:v>
      </x:c>
      <x:c r="B1512" s="11" t="str">
        <x:v>五年</x:v>
      </x:c>
      <x:c r="C1512" s="11" t="str">
        <x:v>RC48_approved_China</x:v>
      </x:c>
      <x:c r="D1512" s="11" t="str">
        <x:v>悲观</x:v>
      </x:c>
      <x:c r="E1512" s="16" t="n">
        <x:v>0.85</x:v>
      </x:c>
      <x:c r="F1512" s="16" t="n">
        <x:v>0.25</x:v>
      </x:c>
      <x:c r="G1512" s="16" t="n">
        <x:v>1</x:v>
      </x:c>
      <x:c r="H1512" s="11" t="n">
        <x:f>H1508</x:f>
        <x:v>0.18</x:v>
      </x:c>
      <x:c r="I1512" s="11" t="n">
        <x:f>I1508</x:f>
        <x:v>7</x:v>
      </x:c>
    </x:row>
    <x:row r="1513" ht="23" customHeight="1">
      <x:c r="A1513" s="11" t="str">
        <x:v>09995.HK</x:v>
      </x:c>
      <x:c r="B1513" s="11" t="str">
        <x:v>五年</x:v>
      </x:c>
      <x:c r="C1513" s="11" t="str">
        <x:v>RC48_approved_China</x:v>
      </x:c>
      <x:c r="D1513" s="11" t="str">
        <x:v>基准</x:v>
      </x:c>
      <x:c r="E1513" s="16" t="n">
        <x:v>0.95</x:v>
      </x:c>
      <x:c r="F1513" s="16" t="n">
        <x:v>0.37</x:v>
      </x:c>
      <x:c r="G1513" s="16" t="n">
        <x:v>1</x:v>
      </x:c>
      <x:c r="H1513" s="11" t="n">
        <x:f>H1509</x:f>
        <x:v>0.14</x:v>
      </x:c>
      <x:c r="I1513" s="11" t="n">
        <x:f>I1509</x:f>
        <x:v>7</x:v>
      </x:c>
    </x:row>
    <x:row r="1514" ht="23" customHeight="1">
      <x:c r="A1514" s="11" t="str">
        <x:v>09995.HK</x:v>
      </x:c>
      <x:c r="B1514" s="11" t="str">
        <x:v>五年</x:v>
      </x:c>
      <x:c r="C1514" s="11" t="str">
        <x:v>RC48_approved_China</x:v>
      </x:c>
      <x:c r="D1514" s="11" t="str">
        <x:v>乐观</x:v>
      </x:c>
      <x:c r="E1514" s="16" t="n">
        <x:v>1</x:v>
      </x:c>
      <x:c r="F1514" s="16" t="n">
        <x:v>0.46</x:v>
      </x:c>
      <x:c r="G1514" s="16" t="n">
        <x:v>1</x:v>
      </x:c>
      <x:c r="H1514" s="11" t="n">
        <x:f>H1510</x:f>
        <x:v>0.11</x:v>
      </x:c>
      <x:c r="I1514" s="11" t="n">
        <x:f>I1510</x:f>
        <x:v>7</x:v>
      </x:c>
    </x:row>
    <x:row r="1515" ht="23" customHeight="1">
      <x:c r="A1515" s="11" t="str">
        <x:v>09995.HK</x:v>
      </x:c>
      <x:c r="B1515" s="11" t="str">
        <x:v>五年</x:v>
      </x:c>
      <x:c r="C1515" s="11" t="str">
        <x:v>RC18_new_China</x:v>
      </x:c>
      <x:c r="D1515" s="11" t="str">
        <x:v>活动输入</x:v>
      </x:c>
      <x:c r="E1515" s="11" t="n">
        <x:f>CHOOSE('假设'!$B$3,E1516,E1517,E1518)</x:f>
        <x:v>0.4</x:v>
      </x:c>
      <x:c r="F1515" s="11" t="n">
        <x:f>CHOOSE('假设'!$B$3,F1516,F1517,F1518)</x:f>
        <x:v>0.43</x:v>
      </x:c>
      <x:c r="G1515" s="11" t="n">
        <x:f>CHOOSE('假设'!$B$3,G1516,G1517,G1518)</x:f>
        <x:v>1</x:v>
      </x:c>
      <x:c r="H1515" s="11" t="n">
        <x:f>CHOOSE('假设'!$B$3,H1516,H1517,H1518)</x:f>
        <x:v>0.14</x:v>
      </x:c>
      <x:c r="I1515" s="11" t="n">
        <x:f>CHOOSE('假设'!$B$3,I1516,I1517,I1518)</x:f>
        <x:v>7</x:v>
      </x:c>
    </x:row>
    <x:row r="1516" ht="23" customHeight="1">
      <x:c r="A1516" s="11" t="str">
        <x:v>09995.HK</x:v>
      </x:c>
      <x:c r="B1516" s="11" t="str">
        <x:v>五年</x:v>
      </x:c>
      <x:c r="C1516" s="11" t="str">
        <x:v>RC18_new_China</x:v>
      </x:c>
      <x:c r="D1516" s="11" t="str">
        <x:v>悲观</x:v>
      </x:c>
      <x:c r="E1516" s="16" t="n">
        <x:v>0.15</x:v>
      </x:c>
      <x:c r="F1516" s="16" t="n">
        <x:v>0.3</x:v>
      </x:c>
      <x:c r="G1516" s="16" t="n">
        <x:v>1</x:v>
      </x:c>
      <x:c r="H1516" s="11" t="n">
        <x:f>H1508</x:f>
        <x:v>0.18</x:v>
      </x:c>
      <x:c r="I1516" s="11" t="n">
        <x:f>I1508</x:f>
        <x:v>7</x:v>
      </x:c>
    </x:row>
    <x:row r="1517" ht="23" customHeight="1">
      <x:c r="A1517" s="11" t="str">
        <x:v>09995.HK</x:v>
      </x:c>
      <x:c r="B1517" s="11" t="str">
        <x:v>五年</x:v>
      </x:c>
      <x:c r="C1517" s="11" t="str">
        <x:v>RC18_new_China</x:v>
      </x:c>
      <x:c r="D1517" s="11" t="str">
        <x:v>基准</x:v>
      </x:c>
      <x:c r="E1517" s="16" t="n">
        <x:v>0.4</x:v>
      </x:c>
      <x:c r="F1517" s="16" t="n">
        <x:v>0.43</x:v>
      </x:c>
      <x:c r="G1517" s="16" t="n">
        <x:v>1</x:v>
      </x:c>
      <x:c r="H1517" s="11" t="n">
        <x:f>H1509</x:f>
        <x:v>0.14</x:v>
      </x:c>
      <x:c r="I1517" s="11" t="n">
        <x:f>I1509</x:f>
        <x:v>7</x:v>
      </x:c>
    </x:row>
    <x:row r="1518" ht="23" customHeight="1">
      <x:c r="A1518" s="11" t="str">
        <x:v>09995.HK</x:v>
      </x:c>
      <x:c r="B1518" s="11" t="str">
        <x:v>五年</x:v>
      </x:c>
      <x:c r="C1518" s="11" t="str">
        <x:v>RC18_new_China</x:v>
      </x:c>
      <x:c r="D1518" s="11" t="str">
        <x:v>乐观</x:v>
      </x:c>
      <x:c r="E1518" s="16" t="n">
        <x:v>0.65</x:v>
      </x:c>
      <x:c r="F1518" s="16" t="n">
        <x:v>0.52</x:v>
      </x:c>
      <x:c r="G1518" s="16" t="n">
        <x:v>1</x:v>
      </x:c>
      <x:c r="H1518" s="11" t="n">
        <x:f>H1510</x:f>
        <x:v>0.11</x:v>
      </x:c>
      <x:c r="I1518" s="11" t="n">
        <x:f>I1510</x:f>
        <x:v>7</x:v>
      </x:c>
    </x:row>
    <x:row r="1519" ht="23" customHeight="1">
      <x:c r="A1519" s="11" t="str">
        <x:v>09995.HK</x:v>
      </x:c>
      <x:c r="B1519" s="11" t="str">
        <x:v>五年</x:v>
      </x:c>
      <x:c r="C1519" s="11" t="str">
        <x:v>RC48_new_China</x:v>
      </x:c>
      <x:c r="D1519" s="11" t="str">
        <x:v>活动输入</x:v>
      </x:c>
      <x:c r="E1519" s="11" t="n">
        <x:f>CHOOSE('假设'!$B$3,E1520,E1521,E1522)</x:f>
        <x:v>0.5</x:v>
      </x:c>
      <x:c r="F1519" s="11" t="n">
        <x:f>CHOOSE('假设'!$B$3,F1520,F1521,F1522)</x:f>
        <x:v>0.37</x:v>
      </x:c>
      <x:c r="G1519" s="11" t="n">
        <x:f>CHOOSE('假设'!$B$3,G1520,G1521,G1522)</x:f>
        <x:v>1</x:v>
      </x:c>
      <x:c r="H1519" s="11" t="n">
        <x:f>CHOOSE('假设'!$B$3,H1520,H1521,H1522)</x:f>
        <x:v>0.14</x:v>
      </x:c>
      <x:c r="I1519" s="11" t="n">
        <x:f>CHOOSE('假设'!$B$3,I1520,I1521,I1522)</x:f>
        <x:v>7</x:v>
      </x:c>
    </x:row>
    <x:row r="1520" ht="23" customHeight="1">
      <x:c r="A1520" s="11" t="str">
        <x:v>09995.HK</x:v>
      </x:c>
      <x:c r="B1520" s="11" t="str">
        <x:v>五年</x:v>
      </x:c>
      <x:c r="C1520" s="11" t="str">
        <x:v>RC48_new_China</x:v>
      </x:c>
      <x:c r="D1520" s="11" t="str">
        <x:v>悲观</x:v>
      </x:c>
      <x:c r="E1520" s="16" t="n">
        <x:v>0.15</x:v>
      </x:c>
      <x:c r="F1520" s="16" t="n">
        <x:v>0.25</x:v>
      </x:c>
      <x:c r="G1520" s="16" t="n">
        <x:v>1</x:v>
      </x:c>
      <x:c r="H1520" s="11" t="n">
        <x:f>H1508</x:f>
        <x:v>0.18</x:v>
      </x:c>
      <x:c r="I1520" s="11" t="n">
        <x:f>I1508</x:f>
        <x:v>7</x:v>
      </x:c>
    </x:row>
    <x:row r="1521" ht="23" customHeight="1">
      <x:c r="A1521" s="11" t="str">
        <x:v>09995.HK</x:v>
      </x:c>
      <x:c r="B1521" s="11" t="str">
        <x:v>五年</x:v>
      </x:c>
      <x:c r="C1521" s="11" t="str">
        <x:v>RC48_new_China</x:v>
      </x:c>
      <x:c r="D1521" s="11" t="str">
        <x:v>基准</x:v>
      </x:c>
      <x:c r="E1521" s="16" t="n">
        <x:v>0.5</x:v>
      </x:c>
      <x:c r="F1521" s="16" t="n">
        <x:v>0.37</x:v>
      </x:c>
      <x:c r="G1521" s="16" t="n">
        <x:v>1</x:v>
      </x:c>
      <x:c r="H1521" s="11" t="n">
        <x:f>H1509</x:f>
        <x:v>0.14</x:v>
      </x:c>
      <x:c r="I1521" s="11" t="n">
        <x:f>I1509</x:f>
        <x:v>7</x:v>
      </x:c>
    </x:row>
    <x:row r="1522" ht="23" customHeight="1">
      <x:c r="A1522" s="11" t="str">
        <x:v>09995.HK</x:v>
      </x:c>
      <x:c r="B1522" s="11" t="str">
        <x:v>五年</x:v>
      </x:c>
      <x:c r="C1522" s="11" t="str">
        <x:v>RC48_new_China</x:v>
      </x:c>
      <x:c r="D1522" s="11" t="str">
        <x:v>乐观</x:v>
      </x:c>
      <x:c r="E1522" s="16" t="n">
        <x:v>0.75</x:v>
      </x:c>
      <x:c r="F1522" s="16" t="n">
        <x:v>0.46</x:v>
      </x:c>
      <x:c r="G1522" s="16" t="n">
        <x:v>1</x:v>
      </x:c>
      <x:c r="H1522" s="11" t="n">
        <x:f>H1510</x:f>
        <x:v>0.11</x:v>
      </x:c>
      <x:c r="I1522" s="11" t="n">
        <x:f>I1510</x:f>
        <x:v>7</x:v>
      </x:c>
    </x:row>
    <x:row r="1523" ht="23" customHeight="1">
      <x:c r="A1523" s="11" t="str">
        <x:v>09995.HK</x:v>
      </x:c>
      <x:c r="B1523" s="11" t="str">
        <x:v>五年</x:v>
      </x:c>
      <x:c r="C1523" s="11" t="str">
        <x:v>RC148_China</x:v>
      </x:c>
      <x:c r="D1523" s="11" t="str">
        <x:v>活动输入</x:v>
      </x:c>
      <x:c r="E1523" s="11" t="n">
        <x:f>CHOOSE('假设'!$B$3,E1524,E1525,E1526)</x:f>
        <x:v>0.5</x:v>
      </x:c>
      <x:c r="F1523" s="11" t="n">
        <x:f>CHOOSE('假设'!$B$3,F1524,F1525,F1526)</x:f>
        <x:v>0.42</x:v>
      </x:c>
      <x:c r="G1523" s="11" t="n">
        <x:f>CHOOSE('假设'!$B$3,G1524,G1525,G1526)</x:f>
        <x:v>1</x:v>
      </x:c>
      <x:c r="H1523" s="11" t="n">
        <x:f>CHOOSE('假设'!$B$3,H1524,H1525,H1526)</x:f>
        <x:v>0.14</x:v>
      </x:c>
      <x:c r="I1523" s="11" t="n">
        <x:f>CHOOSE('假设'!$B$3,I1524,I1525,I1526)</x:f>
        <x:v>7</x:v>
      </x:c>
    </x:row>
    <x:row r="1524" ht="23" customHeight="1">
      <x:c r="A1524" s="11" t="str">
        <x:v>09995.HK</x:v>
      </x:c>
      <x:c r="B1524" s="11" t="str">
        <x:v>五年</x:v>
      </x:c>
      <x:c r="C1524" s="11" t="str">
        <x:v>RC148_China</x:v>
      </x:c>
      <x:c r="D1524" s="11" t="str">
        <x:v>悲观</x:v>
      </x:c>
      <x:c r="E1524" s="16" t="n">
        <x:v>0.2</x:v>
      </x:c>
      <x:c r="F1524" s="16" t="n">
        <x:v>0.28</x:v>
      </x:c>
      <x:c r="G1524" s="16" t="n">
        <x:v>1</x:v>
      </x:c>
      <x:c r="H1524" s="11" t="n">
        <x:f>H1508</x:f>
        <x:v>0.18</x:v>
      </x:c>
      <x:c r="I1524" s="11" t="n">
        <x:f>I1508</x:f>
        <x:v>7</x:v>
      </x:c>
    </x:row>
    <x:row r="1525" ht="23" customHeight="1">
      <x:c r="A1525" s="11" t="str">
        <x:v>09995.HK</x:v>
      </x:c>
      <x:c r="B1525" s="11" t="str">
        <x:v>五年</x:v>
      </x:c>
      <x:c r="C1525" s="11" t="str">
        <x:v>RC148_China</x:v>
      </x:c>
      <x:c r="D1525" s="11" t="str">
        <x:v>基准</x:v>
      </x:c>
      <x:c r="E1525" s="16" t="n">
        <x:v>0.5</x:v>
      </x:c>
      <x:c r="F1525" s="16" t="n">
        <x:v>0.42</x:v>
      </x:c>
      <x:c r="G1525" s="16" t="n">
        <x:v>1</x:v>
      </x:c>
      <x:c r="H1525" s="11" t="n">
        <x:f>H1509</x:f>
        <x:v>0.14</x:v>
      </x:c>
      <x:c r="I1525" s="11" t="n">
        <x:f>I1509</x:f>
        <x:v>7</x:v>
      </x:c>
    </x:row>
    <x:row r="1526" ht="23" customHeight="1">
      <x:c r="A1526" s="11" t="str">
        <x:v>09995.HK</x:v>
      </x:c>
      <x:c r="B1526" s="11" t="str">
        <x:v>五年</x:v>
      </x:c>
      <x:c r="C1526" s="11" t="str">
        <x:v>RC148_China</x:v>
      </x:c>
      <x:c r="D1526" s="11" t="str">
        <x:v>乐观</x:v>
      </x:c>
      <x:c r="E1526" s="16" t="n">
        <x:v>0.75</x:v>
      </x:c>
      <x:c r="F1526" s="16" t="n">
        <x:v>0.5</x:v>
      </x:c>
      <x:c r="G1526" s="16" t="n">
        <x:v>1</x:v>
      </x:c>
      <x:c r="H1526" s="11" t="n">
        <x:f>H1510</x:f>
        <x:v>0.11</x:v>
      </x:c>
      <x:c r="I1526" s="11" t="n">
        <x:f>I1510</x:f>
        <x:v>7</x:v>
      </x:c>
    </x:row>
    <x:row r="1527" ht="23" customHeight="1">
      <x:c r="A1527" s="11" t="str">
        <x:v>09995.HK</x:v>
      </x:c>
      <x:c r="B1527" s="11" t="str">
        <x:v>五年</x:v>
      </x:c>
      <x:c r="C1527" s="11" t="str">
        <x:v>RC148_foreign</x:v>
      </x:c>
      <x:c r="D1527" s="11" t="str">
        <x:v>活动输入</x:v>
      </x:c>
      <x:c r="E1527" s="11" t="n">
        <x:f>CHOOSE('假设'!$B$3,E1528,E1529,E1530)</x:f>
        <x:v>0.5</x:v>
      </x:c>
      <x:c r="F1527" s="11" t="n">
        <x:f>CHOOSE('假设'!$B$3,F1528,F1529,F1530)</x:f>
        <x:v>0.1148</x:v>
      </x:c>
      <x:c r="G1527" s="11" t="n">
        <x:f>CHOOSE('假设'!$B$3,G1528,G1529,G1530)</x:f>
        <x:v>1</x:v>
      </x:c>
      <x:c r="H1527" s="11" t="n">
        <x:f>CHOOSE('假设'!$B$3,H1528,H1529,H1530)</x:f>
        <x:v>0.14</x:v>
      </x:c>
      <x:c r="I1527" s="11" t="n">
        <x:f>CHOOSE('假设'!$B$3,I1528,I1529,I1530)</x:f>
        <x:v>7</x:v>
      </x:c>
    </x:row>
    <x:row r="1528" ht="23" customHeight="1">
      <x:c r="A1528" s="11" t="str">
        <x:v>09995.HK</x:v>
      </x:c>
      <x:c r="B1528" s="11" t="str">
        <x:v>五年</x:v>
      </x:c>
      <x:c r="C1528" s="11" t="str">
        <x:v>RC148_foreign</x:v>
      </x:c>
      <x:c r="D1528" s="11" t="str">
        <x:v>悲观</x:v>
      </x:c>
      <x:c r="E1528" s="16" t="n">
        <x:v>0.18</x:v>
      </x:c>
      <x:c r="F1528" s="16" t="n">
        <x:v>0.07800000000000001</x:v>
      </x:c>
      <x:c r="G1528" s="16" t="n">
        <x:v>1</x:v>
      </x:c>
      <x:c r="H1528" s="11" t="n">
        <x:f>H1508</x:f>
        <x:v>0.18</x:v>
      </x:c>
      <x:c r="I1528" s="11" t="n">
        <x:f>I1508</x:f>
        <x:v>7</x:v>
      </x:c>
    </x:row>
    <x:row r="1529" ht="23" customHeight="1">
      <x:c r="A1529" s="11" t="str">
        <x:v>09995.HK</x:v>
      </x:c>
      <x:c r="B1529" s="11" t="str">
        <x:v>五年</x:v>
      </x:c>
      <x:c r="C1529" s="11" t="str">
        <x:v>RC148_foreign</x:v>
      </x:c>
      <x:c r="D1529" s="11" t="str">
        <x:v>基准</x:v>
      </x:c>
      <x:c r="E1529" s="16" t="n">
        <x:v>0.5</x:v>
      </x:c>
      <x:c r="F1529" s="16" t="n">
        <x:v>0.1148</x:v>
      </x:c>
      <x:c r="G1529" s="16" t="n">
        <x:v>1</x:v>
      </x:c>
      <x:c r="H1529" s="11" t="n">
        <x:f>H1509</x:f>
        <x:v>0.14</x:v>
      </x:c>
      <x:c r="I1529" s="11" t="n">
        <x:f>I1509</x:f>
        <x:v>7</x:v>
      </x:c>
    </x:row>
    <x:row r="1530" ht="23" customHeight="1">
      <x:c r="A1530" s="11" t="str">
        <x:v>09995.HK</x:v>
      </x:c>
      <x:c r="B1530" s="11" t="str">
        <x:v>五年</x:v>
      </x:c>
      <x:c r="C1530" s="11" t="str">
        <x:v>RC148_foreign</x:v>
      </x:c>
      <x:c r="D1530" s="11" t="str">
        <x:v>乐观</x:v>
      </x:c>
      <x:c r="E1530" s="16" t="n">
        <x:v>0.7</x:v>
      </x:c>
      <x:c r="F1530" s="16" t="n">
        <x:v>0.153</x:v>
      </x:c>
      <x:c r="G1530" s="16" t="n">
        <x:v>1</x:v>
      </x:c>
      <x:c r="H1530" s="11" t="n">
        <x:f>H1510</x:f>
        <x:v>0.11</x:v>
      </x:c>
      <x:c r="I1530" s="11" t="n">
        <x:f>I1510</x:f>
        <x:v>7</x:v>
      </x:c>
    </x:row>
    <x:row r="1531" ht="23" customHeight="1">
      <x:c r="A1531" s="11" t="str">
        <x:v>09995.HK</x:v>
      </x:c>
      <x:c r="B1531" s="11" t="str">
        <x:v>五年</x:v>
      </x:c>
      <x:c r="C1531" s="11" t="str">
        <x:v>RC18_foreign</x:v>
      </x:c>
      <x:c r="D1531" s="11" t="str">
        <x:v>活动输入</x:v>
      </x:c>
      <x:c r="E1531" s="11" t="n">
        <x:f>CHOOSE('假设'!$B$3,E1532,E1533,E1534)</x:f>
        <x:v>0.6</x:v>
      </x:c>
      <x:c r="F1531" s="11" t="n">
        <x:f>CHOOSE('假设'!$B$3,F1532,F1533,F1534)</x:f>
        <x:v>0.09019999999999999</x:v>
      </x:c>
      <x:c r="G1531" s="11" t="n">
        <x:f>CHOOSE('假设'!$B$3,G1532,G1533,G1534)</x:f>
        <x:v>1</x:v>
      </x:c>
      <x:c r="H1531" s="11" t="n">
        <x:f>CHOOSE('假设'!$B$3,H1532,H1533,H1534)</x:f>
        <x:v>0.14</x:v>
      </x:c>
      <x:c r="I1531" s="11" t="n">
        <x:f>CHOOSE('假设'!$B$3,I1532,I1533,I1534)</x:f>
        <x:v>7</x:v>
      </x:c>
    </x:row>
    <x:row r="1532" ht="23" customHeight="1">
      <x:c r="A1532" s="11" t="str">
        <x:v>09995.HK</x:v>
      </x:c>
      <x:c r="B1532" s="11" t="str">
        <x:v>五年</x:v>
      </x:c>
      <x:c r="C1532" s="11" t="str">
        <x:v>RC18_foreign</x:v>
      </x:c>
      <x:c r="D1532" s="11" t="str">
        <x:v>悲观</x:v>
      </x:c>
      <x:c r="E1532" s="16" t="n">
        <x:v>0.25</x:v>
      </x:c>
      <x:c r="F1532" s="16" t="n">
        <x:v>0.062400000000000004</x:v>
      </x:c>
      <x:c r="G1532" s="16" t="n">
        <x:v>1</x:v>
      </x:c>
      <x:c r="H1532" s="11" t="n">
        <x:f>H1508</x:f>
        <x:v>0.18</x:v>
      </x:c>
      <x:c r="I1532" s="11" t="n">
        <x:f>I1508</x:f>
        <x:v>7</x:v>
      </x:c>
    </x:row>
    <x:row r="1533" ht="23" customHeight="1">
      <x:c r="A1533" s="11" t="str">
        <x:v>09995.HK</x:v>
      </x:c>
      <x:c r="B1533" s="11" t="str">
        <x:v>五年</x:v>
      </x:c>
      <x:c r="C1533" s="11" t="str">
        <x:v>RC18_foreign</x:v>
      </x:c>
      <x:c r="D1533" s="11" t="str">
        <x:v>基准</x:v>
      </x:c>
      <x:c r="E1533" s="16" t="n">
        <x:v>0.6</x:v>
      </x:c>
      <x:c r="F1533" s="16" t="n">
        <x:v>0.09019999999999999</x:v>
      </x:c>
      <x:c r="G1533" s="16" t="n">
        <x:v>1</x:v>
      </x:c>
      <x:c r="H1533" s="11" t="n">
        <x:f>H1509</x:f>
        <x:v>0.14</x:v>
      </x:c>
      <x:c r="I1533" s="11" t="n">
        <x:f>I1509</x:f>
        <x:v>7</x:v>
      </x:c>
    </x:row>
    <x:row r="1534" ht="23" customHeight="1">
      <x:c r="A1534" s="11" t="str">
        <x:v>09995.HK</x:v>
      </x:c>
      <x:c r="B1534" s="11" t="str">
        <x:v>五年</x:v>
      </x:c>
      <x:c r="C1534" s="11" t="str">
        <x:v>RC18_foreign</x:v>
      </x:c>
      <x:c r="D1534" s="11" t="str">
        <x:v>乐观</x:v>
      </x:c>
      <x:c r="E1534" s="16" t="n">
        <x:v>0.8</x:v>
      </x:c>
      <x:c r="F1534" s="16" t="n">
        <x:v>0.11900000000000001</x:v>
      </x:c>
      <x:c r="G1534" s="16" t="n">
        <x:v>1</x:v>
      </x:c>
      <x:c r="H1534" s="11" t="n">
        <x:f>H1510</x:f>
        <x:v>0.11</x:v>
      </x:c>
      <x:c r="I1534" s="11" t="n">
        <x:f>I1510</x:f>
        <x:v>7</x:v>
      </x:c>
    </x:row>
    <x:row r="1535" ht="23" customHeight="1">
      <x:c r="A1535" s="11" t="str">
        <x:v>09995.HK</x:v>
      </x:c>
      <x:c r="B1535" s="11" t="str">
        <x:v>五年</x:v>
      </x:c>
      <x:c r="C1535" s="11" t="str">
        <x:v>RC48_foreign</x:v>
      </x:c>
      <x:c r="D1535" s="11" t="str">
        <x:v>活动输入</x:v>
      </x:c>
      <x:c r="E1535" s="11" t="n">
        <x:f>CHOOSE('假设'!$B$3,E1536,E1537,E1538)</x:f>
        <x:v>0.55</x:v>
      </x:c>
      <x:c r="F1535" s="11" t="n">
        <x:f>CHOOSE('假设'!$B$3,F1536,F1537,F1538)</x:f>
        <x:v>0.09019999999999999</x:v>
      </x:c>
      <x:c r="G1535" s="11" t="n">
        <x:f>CHOOSE('假设'!$B$3,G1536,G1537,G1538)</x:f>
        <x:v>1</x:v>
      </x:c>
      <x:c r="H1535" s="11" t="n">
        <x:f>CHOOSE('假设'!$B$3,H1536,H1537,H1538)</x:f>
        <x:v>0.14</x:v>
      </x:c>
      <x:c r="I1535" s="11" t="n">
        <x:f>CHOOSE('假设'!$B$3,I1536,I1537,I1538)</x:f>
        <x:v>7</x:v>
      </x:c>
    </x:row>
    <x:row r="1536" ht="23" customHeight="1">
      <x:c r="A1536" s="11" t="str">
        <x:v>09995.HK</x:v>
      </x:c>
      <x:c r="B1536" s="11" t="str">
        <x:v>五年</x:v>
      </x:c>
      <x:c r="C1536" s="11" t="str">
        <x:v>RC48_foreign</x:v>
      </x:c>
      <x:c r="D1536" s="11" t="str">
        <x:v>悲观</x:v>
      </x:c>
      <x:c r="E1536" s="16" t="n">
        <x:v>0.2</x:v>
      </x:c>
      <x:c r="F1536" s="16" t="n">
        <x:v>0.062400000000000004</x:v>
      </x:c>
      <x:c r="G1536" s="16" t="n">
        <x:v>1</x:v>
      </x:c>
      <x:c r="H1536" s="11" t="n">
        <x:f>H1508</x:f>
        <x:v>0.18</x:v>
      </x:c>
      <x:c r="I1536" s="11" t="n">
        <x:f>I1508</x:f>
        <x:v>7</x:v>
      </x:c>
    </x:row>
    <x:row r="1537" ht="23" customHeight="1">
      <x:c r="A1537" s="11" t="str">
        <x:v>09995.HK</x:v>
      </x:c>
      <x:c r="B1537" s="11" t="str">
        <x:v>五年</x:v>
      </x:c>
      <x:c r="C1537" s="11" t="str">
        <x:v>RC48_foreign</x:v>
      </x:c>
      <x:c r="D1537" s="11" t="str">
        <x:v>基准</x:v>
      </x:c>
      <x:c r="E1537" s="16" t="n">
        <x:v>0.55</x:v>
      </x:c>
      <x:c r="F1537" s="16" t="n">
        <x:v>0.09019999999999999</x:v>
      </x:c>
      <x:c r="G1537" s="16" t="n">
        <x:v>1</x:v>
      </x:c>
      <x:c r="H1537" s="11" t="n">
        <x:f>H1509</x:f>
        <x:v>0.14</x:v>
      </x:c>
      <x:c r="I1537" s="11" t="n">
        <x:f>I1509</x:f>
        <x:v>7</x:v>
      </x:c>
    </x:row>
    <x:row r="1538" ht="23" customHeight="1">
      <x:c r="A1538" s="11" t="str">
        <x:v>09995.HK</x:v>
      </x:c>
      <x:c r="B1538" s="11" t="str">
        <x:v>五年</x:v>
      </x:c>
      <x:c r="C1538" s="11" t="str">
        <x:v>RC48_foreign</x:v>
      </x:c>
      <x:c r="D1538" s="11" t="str">
        <x:v>乐观</x:v>
      </x:c>
      <x:c r="E1538" s="16" t="n">
        <x:v>0.8</x:v>
      </x:c>
      <x:c r="F1538" s="16" t="n">
        <x:v>0.11900000000000001</x:v>
      </x:c>
      <x:c r="G1538" s="16" t="n">
        <x:v>1</x:v>
      </x:c>
      <x:c r="H1538" s="11" t="n">
        <x:f>H1510</x:f>
        <x:v>0.11</x:v>
      </x:c>
      <x:c r="I1538" s="11" t="n">
        <x:f>I1510</x:f>
        <x:v>7</x:v>
      </x:c>
    </x:row>
    <x:row r="1539" ht="23" customHeight="1">
      <x:c r="A1539" s="11" t="str">
        <x:v>09995.HK</x:v>
      </x:c>
      <x:c r="B1539" s="11" t="str">
        <x:v>五年</x:v>
      </x:c>
      <x:c r="C1539" s="11" t="str">
        <x:v>RC28_China</x:v>
      </x:c>
      <x:c r="D1539" s="11" t="str">
        <x:v>活动输入</x:v>
      </x:c>
      <x:c r="E1539" s="11" t="n">
        <x:f>CHOOSE('假设'!$B$3,E1540,E1541,E1542)</x:f>
        <x:v>0.35</x:v>
      </x:c>
      <x:c r="F1539" s="11" t="n">
        <x:f>CHOOSE('假设'!$B$3,F1540,F1541,F1542)</x:f>
        <x:v>0.09839999999999999</x:v>
      </x:c>
      <x:c r="G1539" s="11" t="n">
        <x:f>CHOOSE('假设'!$B$3,G1540,G1541,G1542)</x:f>
        <x:v>1</x:v>
      </x:c>
      <x:c r="H1539" s="11" t="n">
        <x:f>CHOOSE('假设'!$B$3,H1540,H1541,H1542)</x:f>
        <x:v>0.14</x:v>
      </x:c>
      <x:c r="I1539" s="11" t="n">
        <x:f>CHOOSE('假设'!$B$3,I1540,I1541,I1542)</x:f>
        <x:v>7</x:v>
      </x:c>
    </x:row>
    <x:row r="1540" ht="23" customHeight="1">
      <x:c r="A1540" s="11" t="str">
        <x:v>09995.HK</x:v>
      </x:c>
      <x:c r="B1540" s="11" t="str">
        <x:v>五年</x:v>
      </x:c>
      <x:c r="C1540" s="11" t="str">
        <x:v>RC28_China</x:v>
      </x:c>
      <x:c r="D1540" s="11" t="str">
        <x:v>悲观</x:v>
      </x:c>
      <x:c r="E1540" s="16" t="n">
        <x:v>0.1</x:v>
      </x:c>
      <x:c r="F1540" s="16" t="n">
        <x:v>0.062400000000000004</x:v>
      </x:c>
      <x:c r="G1540" s="16" t="n">
        <x:v>1</x:v>
      </x:c>
      <x:c r="H1540" s="11" t="n">
        <x:f>H1508</x:f>
        <x:v>0.18</x:v>
      </x:c>
      <x:c r="I1540" s="11" t="n">
        <x:f>I1508</x:f>
        <x:v>7</x:v>
      </x:c>
    </x:row>
    <x:row r="1541" ht="23" customHeight="1">
      <x:c r="A1541" s="11" t="str">
        <x:v>09995.HK</x:v>
      </x:c>
      <x:c r="B1541" s="11" t="str">
        <x:v>五年</x:v>
      </x:c>
      <x:c r="C1541" s="11" t="str">
        <x:v>RC28_China</x:v>
      </x:c>
      <x:c r="D1541" s="11" t="str">
        <x:v>基准</x:v>
      </x:c>
      <x:c r="E1541" s="16" t="n">
        <x:v>0.35</x:v>
      </x:c>
      <x:c r="F1541" s="16" t="n">
        <x:v>0.09839999999999999</x:v>
      </x:c>
      <x:c r="G1541" s="16" t="n">
        <x:v>1</x:v>
      </x:c>
      <x:c r="H1541" s="11" t="n">
        <x:f>H1509</x:f>
        <x:v>0.14</x:v>
      </x:c>
      <x:c r="I1541" s="11" t="n">
        <x:f>I1509</x:f>
        <x:v>7</x:v>
      </x:c>
    </x:row>
    <x:row r="1542" ht="23" customHeight="1">
      <x:c r="A1542" s="11" t="str">
        <x:v>09995.HK</x:v>
      </x:c>
      <x:c r="B1542" s="11" t="str">
        <x:v>五年</x:v>
      </x:c>
      <x:c r="C1542" s="11" t="str">
        <x:v>RC28_China</x:v>
      </x:c>
      <x:c r="D1542" s="11" t="str">
        <x:v>乐观</x:v>
      </x:c>
      <x:c r="E1542" s="16" t="n">
        <x:v>0.6</x:v>
      </x:c>
      <x:c r="F1542" s="16" t="n">
        <x:v>0.136</x:v>
      </x:c>
      <x:c r="G1542" s="16" t="n">
        <x:v>1</x:v>
      </x:c>
      <x:c r="H1542" s="11" t="n">
        <x:f>H1510</x:f>
        <x:v>0.11</x:v>
      </x:c>
      <x:c r="I1542" s="11" t="n">
        <x:f>I1510</x:f>
        <x:v>7</x:v>
      </x:c>
    </x:row>
    <x:row r="1543" ht="23" customHeight="1">
      <x:c r="A1543" s="11" t="str">
        <x:v>09995.HK</x:v>
      </x:c>
      <x:c r="B1543" s="11" t="str">
        <x:v>五年</x:v>
      </x:c>
      <x:c r="C1543" s="11" t="str">
        <x:v>centralCost</x:v>
      </x:c>
      <x:c r="D1543" s="11" t="str">
        <x:v>活动输入</x:v>
      </x:c>
      <x:c r="E1543" s="11" t="n">
        <x:f>CHOOSE('假设'!$B$3,E1544,E1545,E1546)</x:f>
        <x:v>1</x:v>
      </x:c>
      <x:c r="F1543" s="11" t="n">
        <x:f>CHOOSE('假设'!$B$3,F1544,F1545,F1546)</x:f>
        <x:v>0</x:v>
      </x:c>
      <x:c r="G1543" s="11" t="n">
        <x:f>CHOOSE('假设'!$B$3,G1544,G1545,G1546)</x:f>
        <x:v>1</x:v>
      </x:c>
      <x:c r="H1543" s="11" t="n">
        <x:f>CHOOSE('假设'!$B$3,H1544,H1545,H1546)</x:f>
        <x:v>0.14</x:v>
      </x:c>
      <x:c r="I1543" s="11" t="n">
        <x:f>CHOOSE('假设'!$B$3,I1544,I1545,I1546)</x:f>
        <x:v>7</x:v>
      </x:c>
    </x:row>
    <x:row r="1544" ht="23" customHeight="1">
      <x:c r="A1544" s="11" t="str">
        <x:v>09995.HK</x:v>
      </x:c>
      <x:c r="B1544" s="11" t="str">
        <x:v>五年</x:v>
      </x:c>
      <x:c r="C1544" s="11" t="str">
        <x:v>centralCost</x:v>
      </x:c>
      <x:c r="D1544" s="11" t="str">
        <x:v>悲观</x:v>
      </x:c>
      <x:c r="E1544" s="16" t="n">
        <x:v>1</x:v>
      </x:c>
      <x:c r="F1544" s="16" t="n">
        <x:v>0</x:v>
      </x:c>
      <x:c r="G1544" s="16" t="n">
        <x:v>1</x:v>
      </x:c>
      <x:c r="H1544" s="11" t="n">
        <x:f>H1508</x:f>
        <x:v>0.18</x:v>
      </x:c>
      <x:c r="I1544" s="11" t="n">
        <x:f>I1508</x:f>
        <x:v>7</x:v>
      </x:c>
    </x:row>
    <x:row r="1545" ht="23" customHeight="1">
      <x:c r="A1545" s="11" t="str">
        <x:v>09995.HK</x:v>
      </x:c>
      <x:c r="B1545" s="11" t="str">
        <x:v>五年</x:v>
      </x:c>
      <x:c r="C1545" s="11" t="str">
        <x:v>centralCost</x:v>
      </x:c>
      <x:c r="D1545" s="11" t="str">
        <x:v>基准</x:v>
      </x:c>
      <x:c r="E1545" s="16" t="n">
        <x:v>1</x:v>
      </x:c>
      <x:c r="F1545" s="16" t="n">
        <x:v>0</x:v>
      </x:c>
      <x:c r="G1545" s="16" t="n">
        <x:v>1</x:v>
      </x:c>
      <x:c r="H1545" s="11" t="n">
        <x:f>H1509</x:f>
        <x:v>0.14</x:v>
      </x:c>
      <x:c r="I1545" s="11" t="n">
        <x:f>I1509</x:f>
        <x:v>7</x:v>
      </x:c>
    </x:row>
    <x:row r="1546" ht="23" customHeight="1">
      <x:c r="A1546" s="11" t="str">
        <x:v>09995.HK</x:v>
      </x:c>
      <x:c r="B1546" s="11" t="str">
        <x:v>五年</x:v>
      </x:c>
      <x:c r="C1546" s="11" t="str">
        <x:v>centralCost</x:v>
      </x:c>
      <x:c r="D1546" s="11" t="str">
        <x:v>乐观</x:v>
      </x:c>
      <x:c r="E1546" s="16" t="n">
        <x:v>1</x:v>
      </x:c>
      <x:c r="F1546" s="16" t="n">
        <x:v>0</x:v>
      </x:c>
      <x:c r="G1546" s="16" t="n">
        <x:v>1</x:v>
      </x:c>
      <x:c r="H1546" s="11" t="n">
        <x:f>H1510</x:f>
        <x:v>0.11</x:v>
      </x:c>
      <x:c r="I1546" s="11" t="n">
        <x:f>I1510</x:f>
        <x:v>7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4" t="str">
        <x:v>逐年销售 → 净经济现金 → 风险折现CNY十亿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52" customHeight="1">
      <x:c r="A6" s="12" t="str">
        <x:v>代码</x:v>
      </x:c>
      <x:c r="B6" s="12" t="str">
        <x:v>期限</x:v>
      </x:c>
      <x:c r="C6" s="12" t="str">
        <x:v>资产组</x:v>
      </x:c>
      <x:c r="D6" s="12" t="str">
        <x:v>现金日</x:v>
      </x:c>
      <x:c r="E6" s="12" t="str">
        <x:v>销售币种</x:v>
      </x:c>
      <x:c r="F6" s="12" t="str">
        <x:v>折现间隔</x:v>
      </x:c>
      <x:c r="G6" s="12" t="str">
        <x:v>目标日后</x:v>
      </x:c>
      <x:c r="H6" s="12" t="str">
        <x:v>悲观销售十亿</x:v>
      </x:c>
      <x:c r="I6" s="12" t="str">
        <x:v>基准销售十亿</x:v>
      </x:c>
      <x:c r="J6" s="12" t="str">
        <x:v>乐观销售十亿</x:v>
      </x:c>
      <x:c r="K6" s="12" t="str">
        <x:v>活动销售</x:v>
      </x:c>
      <x:c r="L6" s="12" t="str">
        <x:v>风险归母净现金CNY十亿</x:v>
      </x:c>
      <x:c r="M6" s="12" t="str">
        <x:v>折现率</x:v>
      </x:c>
      <x:c r="N6" s="12" t="str">
        <x:v>PV CNY十亿</x:v>
      </x:c>
      <x:c r="P6" t="str">
        <x:v>代码</x:v>
      </x:c>
      <x:c r="Q6" t="str">
        <x:v>期限</x:v>
      </x:c>
      <x:c r="R6" t="str">
        <x:v>现金日</x:v>
      </x:c>
      <x:c r="S6" t="str">
        <x:v>折现间隔</x:v>
      </x:c>
      <x:c r="T6" t="str">
        <x:v>目标日后</x:v>
      </x:c>
      <x:c r="U6" t="str">
        <x:v>悲观金额十亿</x:v>
      </x:c>
      <x:c r="V6" t="str">
        <x:v>基准金额十亿</x:v>
      </x:c>
      <x:c r="W6" t="str">
        <x:v>乐观金额十亿</x:v>
      </x:c>
      <x:c r="X6" t="str">
        <x:v>悲观成功</x:v>
      </x:c>
      <x:c r="Y6" t="str">
        <x:v>基准成功</x:v>
      </x:c>
      <x:c r="Z6" t="str">
        <x:v>乐观成功</x:v>
      </x:c>
      <x:c r="AA6" t="str">
        <x:v>PV CNY十亿</x:v>
      </x:c>
      <x:c r="AB6" t="str">
        <x:v>活动税后归属现金CNY十亿</x:v>
      </x:c>
      <x:c r="AC6" t="str">
        <x:v>代码/期限</x:v>
      </x:c>
      <x:c r="AD6" t="str">
        <x:v>资产组PV</x:v>
      </x:c>
      <x:c r="AE6" t="str">
        <x:v>里程碑PV</x:v>
      </x:c>
      <x:c r="AF6" t="str">
        <x:v>合计PV CNY十亿</x:v>
      </x:c>
      <x:c r="AG6" t="str">
        <x:v>稀释股数</x:v>
      </x:c>
      <x:c r="AH6" t="str">
        <x:v>每股管线本币值</x:v>
      </x:c>
      <x:c r="AJ6" t="str">
        <x:v>悲观开发成本CNY十亿</x:v>
      </x:c>
      <x:c r="AK6" t="str">
        <x:v>基准开发成本CNY十亿</x:v>
      </x:c>
      <x:c r="AL6" t="str">
        <x:v>乐观开发成本CNY十亿</x:v>
      </x:c>
      <x:c r="AM6" t="str">
        <x:v>活动开发成本</x:v>
      </x:c>
      <x:c r="AN6" t="str">
        <x:v>目标年剩余比例</x:v>
      </x:c>
      <x:c r="AO6" t="str">
        <x:v>悲观税后比例</x:v>
      </x:c>
      <x:c r="AP6" t="str">
        <x:v>基准税后比例</x:v>
      </x:c>
      <x:c r="AQ6" t="str">
        <x:v>乐观税后比例</x:v>
      </x:c>
      <x:c r="AR6" t="str">
        <x:v>悲观归属率</x:v>
      </x:c>
      <x:c r="AS6" t="str">
        <x:v>基准归属率</x:v>
      </x:c>
      <x:c r="AT6" t="str">
        <x:v>乐观归属率</x:v>
      </x:c>
      <x:c r="AU6" t="str">
        <x:v>金额币种</x:v>
      </x:c>
      <x:c r="AV6" t="str">
        <x:v>合同标识</x:v>
      </x:c>
    </x:row>
    <x:row r="7" ht="23" customHeight="1">
      <x:c r="A7" s="11" t="str">
        <x:v>01093.HK</x:v>
      </x:c>
      <x:c r="B7" s="11" t="str">
        <x:v>2026年底</x:v>
      </x:c>
      <x:c r="C7" s="11" t="str">
        <x:v>SYS6010_DOM</x:v>
      </x:c>
      <x:c r="D7" s="11" t="str">
        <x:v>2027-12-31</x:v>
      </x:c>
      <x:c r="E7" s="11" t="str">
        <x:v>CNY</x:v>
      </x:c>
      <x:c r="F7" s="11" t="n">
        <x:v>0.999315537303217</x:v>
      </x:c>
      <x:c r="G7" s="26" t="b">
        <x:v>1</x:v>
      </x:c>
      <x:c r="H7" s="16" t="n">
        <x:v>0</x:v>
      </x:c>
      <x:c r="I7" s="16" t="n">
        <x:v>0.4</x:v>
      </x:c>
      <x:c r="J7" s="16" t="n">
        <x:v>0.72</x:v>
      </x:c>
      <x:c r="K7" s="11" t="n">
        <x:f>CHOOSE('假设'!$B$3,H7,I7,J7)</x:f>
        <x:v>0.4</x:v>
      </x:c>
      <x:c r="L7" s="11" t="n">
        <x:f>K7*'管线假设'!E7*'管线假设'!F7*'管线假设'!G7*IF(E7="USD",'管线假设'!I7,1)-AM7</x:f>
        <x:v>0.053959999999999994</x:v>
      </x:c>
      <x:c r="M7" s="11" t="n">
        <x:f>'管线假设'!H7</x:f>
        <x:v>0.13</x:v>
      </x:c>
      <x:c r="N7" s="11" t="n">
        <x:f>IF(G7,L7*AN7/(1+M7)^F7,0)</x:f>
        <x:v>0.04775620719189239</x:v>
      </x:c>
      <x:c r="P7" t="str">
        <x:v>01093.HK</x:v>
      </x:c>
      <x:c r="Q7" t="str">
        <x:v>2026年底</x:v>
      </x:c>
      <x:c r="R7" t="str">
        <x:v>2028-12-31</x:v>
      </x:c>
      <x:c r="S7" t="n">
        <x:v>2.001368925393566</x:v>
      </x:c>
      <x:c r="T7" s="27" t="b">
        <x:v>1</x:v>
      </x:c>
      <x:c r="U7" s="42" t="n">
        <x:v>0.05</x:v>
      </x:c>
      <x:c r="V7" s="42" t="n">
        <x:v>0.15</x:v>
      </x:c>
      <x:c r="W7" s="42" t="n">
        <x:v>0.3</x:v>
      </x:c>
      <x:c r="X7" s="42" t="n">
        <x:v>0.25</x:v>
      </x:c>
      <x:c r="Y7" s="42" t="n">
        <x:v>0.5</x:v>
      </x:c>
      <x:c r="Z7" s="42" t="n">
        <x:v>0.8</x:v>
      </x:c>
      <x:c r="AA7" t="n">
        <x:f>AB7/(1+'管线假设'!H7)^S7</x:f>
        <x:v>0.29597992271264983</x:v>
      </x:c>
      <x:c r="AB7" t="n">
        <x:f>IF(T7,CHOOSE('假设'!$B$3,U7,V7,W7)*CHOOSE('假设'!$B$3,X7,Y7,Z7)*CHOOSE('假设'!$B$3,AO7,AP7,AQ7)*CHOOSE('假设'!$B$3,AR7,AS7,AT7)*IF(AU7="USD",'管线假设'!I7,1),0)</x:f>
        <x:v>0.378</x:v>
      </x:c>
      <x:c r="AC7" t="str">
        <x:v>01093.HK 2026年底</x:v>
      </x:c>
      <x:c r="AD7" t="n">
        <x:f>SUM(N7:N103)</x:f>
        <x:v>8.07096695172829</x:v>
      </x:c>
      <x:c r="AE7" t="n">
        <x:f>SUM(AA7:AA9)</x:f>
        <x:v>0.7479835112360177</x:v>
      </x:c>
      <x:c r="AF7" t="n">
        <x:f>AD7+AE7</x:f>
        <x:v>8.818950462964308</x:v>
      </x:c>
      <x:c r="AG7" t="n">
        <x:f>'假设'!K227</x:f>
        <x:v>11.55</x:v>
      </x:c>
      <x:c r="AH7" t="n">
        <x:f>AF7/AG7*'假设'!G227</x:f>
        <x:v>0.8399000440918389</x:v>
      </x:c>
      <x:c r="AJ7" t="n">
        <x:v>0</x:v>
      </x:c>
      <x:c r="AK7" t="n">
        <x:v>0</x:v>
      </x:c>
      <x:c r="AL7" t="n">
        <x:v>0</x:v>
      </x:c>
      <x:c r="AM7" t="n">
        <x:f>CHOOSE('假设'!$B$3,AJ7,AK7,AL7)</x:f>
        <x:v>0</x:v>
      </x:c>
      <x:c r="AN7" t="n">
        <x:v>1</x:v>
      </x:c>
      <x:c r="AO7" s="42" t="n">
        <x:v>0.8</x:v>
      </x:c>
      <x:c r="AP7" s="42" t="n">
        <x:v>0.8</x:v>
      </x:c>
      <x:c r="AQ7" s="42" t="n">
        <x:v>0.8</x:v>
      </x:c>
      <x:c r="AR7" s="42" t="n">
        <x:v>0.9</x:v>
      </x:c>
      <x:c r="AS7" s="42" t="n">
        <x:v>0.9</x:v>
      </x:c>
      <x:c r="AT7" s="42" t="n">
        <x:v>0.9</x:v>
      </x:c>
      <x:c r="AU7" t="str">
        <x:v>USD</x:v>
      </x:c>
      <x:c r="AV7" t="str">
        <x:v>未设独立合同名</x:v>
      </x:c>
    </x:row>
    <x:row r="8" ht="23" customHeight="1">
      <x:c r="A8" s="11" t="str">
        <x:v>01093.HK</x:v>
      </x:c>
      <x:c r="B8" s="11" t="str">
        <x:v>2026年底</x:v>
      </x:c>
      <x:c r="C8" s="11" t="str">
        <x:v>SYS6010_DOM</x:v>
      </x:c>
      <x:c r="D8" s="11" t="str">
        <x:v>2028-12-31</x:v>
      </x:c>
      <x:c r="E8" s="11" t="str">
        <x:v>CNY</x:v>
      </x:c>
      <x:c r="F8" s="11" t="n">
        <x:v>2.001368925393566</x:v>
      </x:c>
      <x:c r="G8" s="26" t="b">
        <x:v>1</x:v>
      </x:c>
      <x:c r="H8" s="16" t="n">
        <x:v>0</x:v>
      </x:c>
      <x:c r="I8" s="16" t="n">
        <x:v>1.25</x:v>
      </x:c>
      <x:c r="J8" s="16" t="n">
        <x:v>2.25</x:v>
      </x:c>
      <x:c r="K8" s="11" t="n">
        <x:f>CHOOSE('假设'!$B$3,H8,I8,J8)</x:f>
        <x:v>1.25</x:v>
      </x:c>
      <x:c r="L8" s="11" t="n">
        <x:f>K8*'管线假设'!E7*'管线假设'!F7*'管线假设'!G7*IF(E8="USD",'管线假设'!I7,1)-AM8</x:f>
        <x:v>0.168625</x:v>
      </x:c>
      <x:c r="M8" s="11" t="n">
        <x:f>'管线假设'!H7</x:f>
        <x:v>0.13</x:v>
      </x:c>
      <x:c r="N8" s="11" t="n">
        <x:f>IF(G8,L8*AN8/(1+M8)^F8,0)</x:f>
        <x:v>0.13203601710957827</x:v>
      </x:c>
      <x:c r="P8" t="str">
        <x:v>01093.HK</x:v>
      </x:c>
      <x:c r="Q8" t="str">
        <x:v>2026年底</x:v>
      </x:c>
      <x:c r="R8" t="str">
        <x:v>2030-12-31</x:v>
      </x:c>
      <x:c r="S8" t="n">
        <x:v>4</x:v>
      </x:c>
      <x:c r="T8" s="27" t="b">
        <x:v>1</x:v>
      </x:c>
      <x:c r="U8" s="42" t="n">
        <x:v>0.1</x:v>
      </x:c>
      <x:c r="V8" s="42" t="n">
        <x:v>0.35</x:v>
      </x:c>
      <x:c r="W8" s="42" t="n">
        <x:v>0.7</x:v>
      </x:c>
      <x:c r="X8" s="42" t="n">
        <x:v>0.1</x:v>
      </x:c>
      <x:c r="Y8" s="42" t="n">
        <x:v>0.25</x:v>
      </x:c>
      <x:c r="Z8" s="42" t="n">
        <x:v>0.6</x:v>
      </x:c>
      <x:c r="AA8" t="n">
        <x:f>AB8/(1+'管线假设'!H7)^S8</x:f>
        <x:v>0.2704735589066051</x:v>
      </x:c>
      <x:c r="AB8" t="n">
        <x:f>IF(T8,CHOOSE('假设'!$B$3,U8,V8,W8)*CHOOSE('假设'!$B$3,X8,Y8,Z8)*CHOOSE('假设'!$B$3,AO8,AP8,AQ8)*CHOOSE('假设'!$B$3,AR8,AS8,AT8)*IF(AU8="USD",'管线假设'!I7,1),0)</x:f>
        <x:v>0.441</x:v>
      </x:c>
      <x:c r="AC8" t="str">
        <x:v>01093.HK 半年</x:v>
      </x:c>
      <x:c r="AD8" t="n">
        <x:f>SUM(N104:N200)</x:f>
        <x:v>8.307474958648482</x:v>
      </x:c>
      <x:c r="AE8" t="n">
        <x:f>SUM(AA10:AA12)</x:f>
        <x:v>0.7731767557528583</x:v>
      </x:c>
      <x:c r="AF8" t="n">
        <x:f>AD8+AE8</x:f>
        <x:v>9.080651714401341</x:v>
      </x:c>
      <x:c r="AG8" t="n">
        <x:f>'假设'!K231</x:f>
        <x:v>11.56</x:v>
      </x:c>
      <x:c r="AH8" t="n">
        <x:f>AF8/AG8*'假设'!G231</x:f>
        <x:v>0.8640758551765982</x:v>
      </x:c>
      <x:c r="AJ8" t="n">
        <x:v>0</x:v>
      </x:c>
      <x:c r="AK8" t="n">
        <x:v>0</x:v>
      </x:c>
      <x:c r="AL8" t="n">
        <x:v>0</x:v>
      </x:c>
      <x:c r="AM8" t="n">
        <x:f>CHOOSE('假设'!$B$3,AJ8,AK8,AL8)</x:f>
        <x:v>0</x:v>
      </x:c>
      <x:c r="AN8" t="n">
        <x:v>1</x:v>
      </x:c>
      <x:c r="AO8" s="42" t="n">
        <x:v>0.8</x:v>
      </x:c>
      <x:c r="AP8" s="42" t="n">
        <x:v>0.8</x:v>
      </x:c>
      <x:c r="AQ8" s="42" t="n">
        <x:v>0.8</x:v>
      </x:c>
      <x:c r="AR8" s="42" t="n">
        <x:v>0.9</x:v>
      </x:c>
      <x:c r="AS8" s="42" t="n">
        <x:v>0.9</x:v>
      </x:c>
      <x:c r="AT8" s="42" t="n">
        <x:v>0.9</x:v>
      </x:c>
      <x:c r="AU8" t="str">
        <x:v>USD</x:v>
      </x:c>
      <x:c r="AV8" t="str">
        <x:v>未设独立合同名</x:v>
      </x:c>
    </x:row>
    <x:row r="9" ht="23" customHeight="1">
      <x:c r="A9" s="11" t="str">
        <x:v>01093.HK</x:v>
      </x:c>
      <x:c r="B9" s="11" t="str">
        <x:v>2026年底</x:v>
      </x:c>
      <x:c r="C9" s="11" t="str">
        <x:v>SYS6010_DOM</x:v>
      </x:c>
      <x:c r="D9" s="11" t="str">
        <x:v>2029-12-31</x:v>
      </x:c>
      <x:c r="E9" s="11" t="str">
        <x:v>CNY</x:v>
      </x:c>
      <x:c r="F9" s="11" t="n">
        <x:v>3.0006844626967832</x:v>
      </x:c>
      <x:c r="G9" s="26" t="b">
        <x:v>1</x:v>
      </x:c>
      <x:c r="H9" s="16" t="n">
        <x:v>0.14400000000000002</x:v>
      </x:c>
      <x:c r="I9" s="16" t="n">
        <x:v>2.25</x:v>
      </x:c>
      <x:c r="J9" s="16" t="n">
        <x:v>4.05</x:v>
      </x:c>
      <x:c r="K9" s="11" t="n">
        <x:f>CHOOSE('假设'!$B$3,H9,I9,J9)</x:f>
        <x:v>2.25</x:v>
      </x:c>
      <x:c r="L9" s="11" t="n">
        <x:f>K9*'管线假设'!E7*'管线假设'!F7*'管线假设'!G7*IF(E9="USD",'管线假设'!I7,1)-AM9</x:f>
        <x:v>0.303525</x:v>
      </x:c>
      <x:c r="M9" s="11" t="n">
        <x:f>'管线假设'!H7</x:f>
        <x:v>0.13</x:v>
      </x:c>
      <x:c r="N9" s="11" t="n">
        <x:f>IF(G9,L9*AN9/(1+M9)^F9,0)</x:f>
        <x:v>0.21034045407300006</x:v>
      </x:c>
      <x:c r="P9" t="str">
        <x:v>01093.HK</x:v>
      </x:c>
      <x:c r="Q9" t="str">
        <x:v>2026年底</x:v>
      </x:c>
      <x:c r="R9" t="str">
        <x:v>2032-12-31</x:v>
      </x:c>
      <x:c r="S9" t="n">
        <x:v>6.0013689253935665</x:v>
      </x:c>
      <x:c r="T9" s="27" t="b">
        <x:v>1</x:v>
      </x:c>
      <x:c r="U9" s="42" t="n">
        <x:v>0</x:v>
      </x:c>
      <x:c r="V9" s="42" t="n">
        <x:v>0.5</x:v>
      </x:c>
      <x:c r="W9" s="42" t="n">
        <x:v>1.5</x:v>
      </x:c>
      <x:c r="X9" s="42" t="n">
        <x:v>0</x:v>
      </x:c>
      <x:c r="Y9" s="42" t="n">
        <x:v>0.15</x:v>
      </x:c>
      <x:c r="Z9" s="42" t="n">
        <x:v>0.4</x:v>
      </x:c>
      <x:c r="AA9" t="n">
        <x:f>AB9/(1+'管线假设'!H7)^S9</x:f>
        <x:v>0.18153002961676268</x:v>
      </x:c>
      <x:c r="AB9" t="n">
        <x:f>IF(T9,CHOOSE('假设'!$B$3,U9,V9,W9)*CHOOSE('假设'!$B$3,X9,Y9,Z9)*CHOOSE('假设'!$B$3,AO9,AP9,AQ9)*CHOOSE('假设'!$B$3,AR9,AS9,AT9)*IF(AU9="USD",'管线假设'!I7,1),0)</x:f>
        <x:v>0.378</x:v>
      </x:c>
      <x:c r="AC9" t="str">
        <x:v>01093.HK 一年</x:v>
      </x:c>
      <x:c r="AD9" t="n">
        <x:f>SUM(N201:N297)</x:f>
        <x:v>8.832075194896383</x:v>
      </x:c>
      <x:c r="AE9" t="n">
        <x:f>SUM(AA13:AA15)</x:f>
        <x:v>0.8220013036146698</x:v>
      </x:c>
      <x:c r="AF9" t="n">
        <x:f>AD9+AE9</x:f>
        <x:v>9.654076498511053</x:v>
      </x:c>
      <x:c r="AG9" t="n">
        <x:f>'假设'!K235</x:f>
        <x:v>11.62</x:v>
      </x:c>
      <x:c r="AH9" t="n">
        <x:f>AF9/AG9*'假设'!G235</x:f>
        <x:v>0.9138970867781548</x:v>
      </x:c>
      <x:c r="AJ9" t="n">
        <x:v>0</x:v>
      </x:c>
      <x:c r="AK9" t="n">
        <x:v>0</x:v>
      </x:c>
      <x:c r="AL9" t="n">
        <x:v>0</x:v>
      </x:c>
      <x:c r="AM9" t="n">
        <x:f>CHOOSE('假设'!$B$3,AJ9,AK9,AL9)</x:f>
        <x:v>0</x:v>
      </x:c>
      <x:c r="AN9" t="n">
        <x:v>1</x:v>
      </x:c>
      <x:c r="AO9" s="42" t="n">
        <x:v>0.8</x:v>
      </x:c>
      <x:c r="AP9" s="42" t="n">
        <x:v>0.8</x:v>
      </x:c>
      <x:c r="AQ9" s="42" t="n">
        <x:v>0.8</x:v>
      </x:c>
      <x:c r="AR9" s="42" t="n">
        <x:v>0.9</x:v>
      </x:c>
      <x:c r="AS9" s="42" t="n">
        <x:v>0.9</x:v>
      </x:c>
      <x:c r="AT9" s="42" t="n">
        <x:v>0.9</x:v>
      </x:c>
      <x:c r="AU9" t="str">
        <x:v>USD</x:v>
      </x:c>
      <x:c r="AV9" t="str">
        <x:v>未设独立合同名</x:v>
      </x:c>
    </x:row>
    <x:row r="10" ht="23" customHeight="1">
      <x:c r="A10" s="11" t="str">
        <x:v>01093.HK</x:v>
      </x:c>
      <x:c r="B10" s="11" t="str">
        <x:v>2026年底</x:v>
      </x:c>
      <x:c r="C10" s="11" t="str">
        <x:v>SYS6010_DOM</x:v>
      </x:c>
      <x:c r="D10" s="11" t="str">
        <x:v>2030-12-31</x:v>
      </x:c>
      <x:c r="E10" s="11" t="str">
        <x:v>CNY</x:v>
      </x:c>
      <x:c r="F10" s="11" t="n">
        <x:v>4</x:v>
      </x:c>
      <x:c r="G10" s="26" t="b">
        <x:v>1</x:v>
      </x:c>
      <x:c r="H10" s="16" t="n">
        <x:v>0.45</x:v>
      </x:c>
      <x:c r="I10" s="16" t="n">
        <x:v>3.25</x:v>
      </x:c>
      <x:c r="J10" s="16" t="n">
        <x:v>5.8500000000000005</x:v>
      </x:c>
      <x:c r="K10" s="11" t="n">
        <x:f>CHOOSE('假设'!$B$3,H10,I10,J10)</x:f>
        <x:v>3.25</x:v>
      </x:c>
      <x:c r="L10" s="11" t="n">
        <x:f>K10*'管线假设'!E7*'管线假设'!F7*'管线假设'!G7*IF(E10="USD",'管线假设'!I7,1)-AM10</x:f>
        <x:v>0.438425</x:v>
      </x:c>
      <x:c r="M10" s="11" t="n">
        <x:f>'管线假设'!H7</x:f>
        <x:v>0.13</x:v>
      </x:c>
      <x:c r="N10" s="11" t="n">
        <x:f>IF(G10,L10*AN10/(1+M10)^F10,0)</x:f>
        <x:v>0.2688942631828308</x:v>
      </x:c>
      <x:c r="P10" t="str">
        <x:v>01093.HK</x:v>
      </x:c>
      <x:c r="Q10" t="str">
        <x:v>半年</x:v>
      </x:c>
      <x:c r="R10" t="str">
        <x:v>2028-12-31</x:v>
      </x:c>
      <x:c r="S10" t="n">
        <x:v>1.730321697467488</x:v>
      </x:c>
      <x:c r="T10" s="27" t="b">
        <x:v>1</x:v>
      </x:c>
      <x:c r="U10" s="42" t="n">
        <x:v>0.05</x:v>
      </x:c>
      <x:c r="V10" s="42" t="n">
        <x:v>0.15</x:v>
      </x:c>
      <x:c r="W10" s="42" t="n">
        <x:v>0.3</x:v>
      </x:c>
      <x:c r="X10" s="42" t="n">
        <x:v>0.25</x:v>
      </x:c>
      <x:c r="Y10" s="42" t="n">
        <x:v>0.5</x:v>
      </x:c>
      <x:c r="Z10" s="42" t="n">
        <x:v>0.8</x:v>
      </x:c>
      <x:c r="AA10" t="n">
        <x:f>AB10/(1+'管线假设'!H31)^S10</x:f>
        <x:v>0.30594898547000055</x:v>
      </x:c>
      <x:c r="AB10" t="n">
        <x:f>IF(T10,CHOOSE('假设'!$B$3,U10,V10,W10)*CHOOSE('假设'!$B$3,X10,Y10,Z10)*CHOOSE('假设'!$B$3,AO10,AP10,AQ10)*CHOOSE('假设'!$B$3,AR10,AS10,AT10)*IF(AU10="USD",'管线假设'!I31,1),0)</x:f>
        <x:v>0.378</x:v>
      </x:c>
      <x:c r="AC10" t="str">
        <x:v>01093.HK 三年</x:v>
      </x:c>
      <x:c r="AD10" t="n">
        <x:f>SUM(N298:N394)</x:f>
        <x:v>10.742432048853464</x:v>
      </x:c>
      <x:c r="AE10" t="n">
        <x:f>SUM(AA16:AA18)</x:f>
        <x:v>0.6343835489474285</x:v>
      </x:c>
      <x:c r="AF10" t="n">
        <x:f>AD10+AE10</x:f>
        <x:v>11.376815597800892</x:v>
      </x:c>
      <x:c r="AG10" t="n">
        <x:f>'假设'!K239</x:f>
        <x:v>11.85</x:v>
      </x:c>
      <x:c r="AH10" t="n">
        <x:f>AF10/AG10*'假设'!G239</x:f>
        <x:v>1.0560757095005049</x:v>
      </x:c>
      <x:c r="AJ10" t="n">
        <x:v>0</x:v>
      </x:c>
      <x:c r="AK10" t="n">
        <x:v>0</x:v>
      </x:c>
      <x:c r="AL10" t="n">
        <x:v>0</x:v>
      </x:c>
      <x:c r="AM10" t="n">
        <x:f>CHOOSE('假设'!$B$3,AJ10,AK10,AL10)</x:f>
        <x:v>0</x:v>
      </x:c>
      <x:c r="AN10" t="n">
        <x:v>1</x:v>
      </x:c>
      <x:c r="AO10" s="42" t="n">
        <x:v>0.8</x:v>
      </x:c>
      <x:c r="AP10" s="42" t="n">
        <x:v>0.8</x:v>
      </x:c>
      <x:c r="AQ10" s="42" t="n">
        <x:v>0.8</x:v>
      </x:c>
      <x:c r="AR10" s="42" t="n">
        <x:v>0.9</x:v>
      </x:c>
      <x:c r="AS10" s="42" t="n">
        <x:v>0.9</x:v>
      </x:c>
      <x:c r="AT10" s="42" t="n">
        <x:v>0.9</x:v>
      </x:c>
      <x:c r="AU10" t="str">
        <x:v>USD</x:v>
      </x:c>
      <x:c r="AV10" t="str">
        <x:v>未设独立合同名</x:v>
      </x:c>
    </x:row>
    <x:row r="11" ht="23" customHeight="1">
      <x:c r="A11" s="11" t="str">
        <x:v>01093.HK</x:v>
      </x:c>
      <x:c r="B11" s="11" t="str">
        <x:v>2026年底</x:v>
      </x:c>
      <x:c r="C11" s="11" t="str">
        <x:v>SYS6010_DOM</x:v>
      </x:c>
      <x:c r="D11" s="11" t="str">
        <x:v>2031-12-31</x:v>
      </x:c>
      <x:c r="E11" s="11" t="str">
        <x:v>CNY</x:v>
      </x:c>
      <x:c r="F11" s="11" t="n">
        <x:v>4.999315537303217</x:v>
      </x:c>
      <x:c r="G11" s="26" t="b">
        <x:v>1</x:v>
      </x:c>
      <x:c r="H11" s="16" t="n">
        <x:v>0.81</x:v>
      </x:c>
      <x:c r="I11" s="16" t="n">
        <x:v>4.25</x:v>
      </x:c>
      <x:c r="J11" s="16" t="n">
        <x:v>7.6499999999999995</x:v>
      </x:c>
      <x:c r="K11" s="11" t="n">
        <x:f>CHOOSE('假设'!$B$3,H11,I11,J11)</x:f>
        <x:v>4.25</x:v>
      </x:c>
      <x:c r="L11" s="11" t="n">
        <x:f>K11*'管线假设'!E7*'管线假设'!F7*'管线假设'!G7*IF(E11="USD",'管线假设'!I7,1)-AM11</x:f>
        <x:v>0.573325</x:v>
      </x:c>
      <x:c r="M11" s="11" t="n">
        <x:f>'管线假设'!H7</x:f>
        <x:v>0.13</x:v>
      </x:c>
      <x:c r="N11" s="11" t="n">
        <x:f>IF(G11,L11*AN11/(1+M11)^F11,0)</x:f>
        <x:v>0.31120387248331904</x:v>
      </x:c>
      <x:c r="P11" t="str">
        <x:v>01093.HK</x:v>
      </x:c>
      <x:c r="Q11" t="str">
        <x:v>半年</x:v>
      </x:c>
      <x:c r="R11" t="str">
        <x:v>2030-12-31</x:v>
      </x:c>
      <x:c r="S11" t="n">
        <x:v>3.728952772073922</x:v>
      </x:c>
      <x:c r="T11" s="27" t="b">
        <x:v>1</x:v>
      </x:c>
      <x:c r="U11" s="42" t="n">
        <x:v>0.1</x:v>
      </x:c>
      <x:c r="V11" s="42" t="n">
        <x:v>0.35</x:v>
      </x:c>
      <x:c r="W11" s="42" t="n">
        <x:v>0.7</x:v>
      </x:c>
      <x:c r="X11" s="42" t="n">
        <x:v>0.1</x:v>
      </x:c>
      <x:c r="Y11" s="42" t="n">
        <x:v>0.25</x:v>
      </x:c>
      <x:c r="Z11" s="42" t="n">
        <x:v>0.6</x:v>
      </x:c>
      <x:c r="AA11" t="n">
        <x:f>AB11/(1+'管线假设'!H31)^S11</x:f>
        <x:v>0.2795835277796009</x:v>
      </x:c>
      <x:c r="AB11" t="n">
        <x:f>IF(T11,CHOOSE('假设'!$B$3,U11,V11,W11)*CHOOSE('假设'!$B$3,X11,Y11,Z11)*CHOOSE('假设'!$B$3,AO11,AP11,AQ11)*CHOOSE('假设'!$B$3,AR11,AS11,AT11)*IF(AU11="USD",'管线假设'!I31,1),0)</x:f>
        <x:v>0.441</x:v>
      </x:c>
      <x:c r="AC11" t="str">
        <x:v>01093.HK 五年</x:v>
      </x:c>
      <x:c r="AD11" t="n">
        <x:f>SUM(N395:N491)</x:f>
        <x:v>11.799374445294118</x:v>
      </x:c>
      <x:c r="AE11" t="n">
        <x:f>SUM(AA19:AA21)</x:f>
        <x:v>0.32526904491721903</x:v>
      </x:c>
      <x:c r="AF11" t="n">
        <x:f>AD11+AE11</x:f>
        <x:v>12.124643490211337</x:v>
      </x:c>
      <x:c r="AG11" t="n">
        <x:f>'假设'!K243</x:f>
        <x:v>12.2</x:v>
      </x:c>
      <x:c r="AH11" t="n">
        <x:f>AF11/AG11*'假设'!G243</x:f>
        <x:v>1.0932055605928257</x:v>
      </x:c>
      <x:c r="AJ11" t="n">
        <x:v>0</x:v>
      </x:c>
      <x:c r="AK11" t="n">
        <x:v>0</x:v>
      </x:c>
      <x:c r="AL11" t="n">
        <x:v>0</x:v>
      </x:c>
      <x:c r="AM11" t="n">
        <x:f>CHOOSE('假设'!$B$3,AJ11,AK11,AL11)</x:f>
        <x:v>0</x:v>
      </x:c>
      <x:c r="AN11" t="n">
        <x:v>1</x:v>
      </x:c>
      <x:c r="AO11" s="42" t="n">
        <x:v>0.8</x:v>
      </x:c>
      <x:c r="AP11" s="42" t="n">
        <x:v>0.8</x:v>
      </x:c>
      <x:c r="AQ11" s="42" t="n">
        <x:v>0.8</x:v>
      </x:c>
      <x:c r="AR11" s="42" t="n">
        <x:v>0.9</x:v>
      </x:c>
      <x:c r="AS11" s="42" t="n">
        <x:v>0.9</x:v>
      </x:c>
      <x:c r="AT11" s="42" t="n">
        <x:v>0.9</x:v>
      </x:c>
      <x:c r="AU11" t="str">
        <x:v>USD</x:v>
      </x:c>
      <x:c r="AV11" t="str">
        <x:v>未设独立合同名</x:v>
      </x:c>
    </x:row>
    <x:row r="12" ht="23" customHeight="1">
      <x:c r="A12" s="11" t="str">
        <x:v>01093.HK</x:v>
      </x:c>
      <x:c r="B12" s="11" t="str">
        <x:v>2026年底</x:v>
      </x:c>
      <x:c r="C12" s="11" t="str">
        <x:v>SYS6010_DOM</x:v>
      </x:c>
      <x:c r="D12" s="11" t="str">
        <x:v>2032-12-31</x:v>
      </x:c>
      <x:c r="E12" s="11" t="str">
        <x:v>CNY</x:v>
      </x:c>
      <x:c r="F12" s="11" t="n">
        <x:v>6.0013689253935665</x:v>
      </x:c>
      <x:c r="G12" s="26" t="b">
        <x:v>1</x:v>
      </x:c>
      <x:c r="H12" s="16" t="n">
        <x:v>1.1700000000000002</x:v>
      </x:c>
      <x:c r="I12" s="16" t="n">
        <x:v>5</x:v>
      </x:c>
      <x:c r="J12" s="16" t="n">
        <x:v>9</x:v>
      </x:c>
      <x:c r="K12" s="11" t="n">
        <x:f>CHOOSE('假设'!$B$3,H12,I12,J12)</x:f>
        <x:v>5</x:v>
      </x:c>
      <x:c r="L12" s="11" t="n">
        <x:f>K12*'管线假设'!E7*'管线假设'!F7*'管线假设'!G7*IF(E12="USD",'管线假设'!I7,1)-AM12</x:f>
        <x:v>0.6745</x:v>
      </x:c>
      <x:c r="M12" s="11" t="n">
        <x:f>'管线假设'!H7</x:f>
        <x:v>0.13</x:v>
      </x:c>
      <x:c r="N12" s="11" t="n">
        <x:f>IF(G12,L12*AN12/(1+M12)^F12,0)</x:f>
        <x:v>0.32392064808599585</x:v>
      </x:c>
      <x:c r="P12" t="str">
        <x:v>01093.HK</x:v>
      </x:c>
      <x:c r="Q12" t="str">
        <x:v>半年</x:v>
      </x:c>
      <x:c r="R12" t="str">
        <x:v>2032-12-31</x:v>
      </x:c>
      <x:c r="S12" t="n">
        <x:v>5.730321697467488</x:v>
      </x:c>
      <x:c r="T12" s="27" t="b">
        <x:v>1</x:v>
      </x:c>
      <x:c r="U12" s="42" t="n">
        <x:v>0</x:v>
      </x:c>
      <x:c r="V12" s="42" t="n">
        <x:v>0.5</x:v>
      </x:c>
      <x:c r="W12" s="42" t="n">
        <x:v>1.5</x:v>
      </x:c>
      <x:c r="X12" s="42" t="n">
        <x:v>0</x:v>
      </x:c>
      <x:c r="Y12" s="42" t="n">
        <x:v>0.15</x:v>
      </x:c>
      <x:c r="Z12" s="42" t="n">
        <x:v>0.4</x:v>
      </x:c>
      <x:c r="AA12" t="n">
        <x:f>AB12/(1+'管线假设'!H31)^S12</x:f>
        <x:v>0.18764424250325684</x:v>
      </x:c>
      <x:c r="AB12" t="n">
        <x:f>IF(T12,CHOOSE('假设'!$B$3,U12,V12,W12)*CHOOSE('假设'!$B$3,X12,Y12,Z12)*CHOOSE('假设'!$B$3,AO12,AP12,AQ12)*CHOOSE('假设'!$B$3,AR12,AS12,AT12)*IF(AU12="USD",'管线假设'!I31,1),0)</x:f>
        <x:v>0.378</x:v>
      </x:c>
      <x:c r="AC12" t="str">
        <x:v>688192.SH 2026年底</x:v>
      </x:c>
      <x:c r="AD12" t="n">
        <x:f>SUM(N492:N643)</x:f>
        <x:v>16.969790261292726</x:v>
      </x:c>
      <x:c r="AE12" t="n">
        <x:f>SUM(AA22:AA22)</x:f>
        <x:v>0.7641371742112483</x:v>
      </x:c>
      <x:c r="AF12" t="n">
        <x:f>AD12+AE12</x:f>
        <x:v>17.733927435503976</x:v>
      </x:c>
      <x:c r="AG12" t="n">
        <x:f>'假设'!K247</x:f>
        <x:v>0.48</x:v>
      </x:c>
      <x:c r="AH12" t="n">
        <x:f>AF12/AG12*'假设'!G247</x:f>
        <x:v>36.94568215729995</x:v>
      </x:c>
      <x:c r="AJ12" t="n">
        <x:v>0</x:v>
      </x:c>
      <x:c r="AK12" t="n">
        <x:v>0</x:v>
      </x:c>
      <x:c r="AL12" t="n">
        <x:v>0</x:v>
      </x:c>
      <x:c r="AM12" t="n">
        <x:f>CHOOSE('假设'!$B$3,AJ12,AK12,AL12)</x:f>
        <x:v>0</x:v>
      </x:c>
      <x:c r="AN12" t="n">
        <x:v>1</x:v>
      </x:c>
      <x:c r="AO12" s="42" t="n">
        <x:v>0.8</x:v>
      </x:c>
      <x:c r="AP12" s="42" t="n">
        <x:v>0.8</x:v>
      </x:c>
      <x:c r="AQ12" s="42" t="n">
        <x:v>0.8</x:v>
      </x:c>
      <x:c r="AR12" s="42" t="n">
        <x:v>0.9</x:v>
      </x:c>
      <x:c r="AS12" s="42" t="n">
        <x:v>0.9</x:v>
      </x:c>
      <x:c r="AT12" s="42" t="n">
        <x:v>0.9</x:v>
      </x:c>
      <x:c r="AU12" t="str">
        <x:v>USD</x:v>
      </x:c>
      <x:c r="AV12" t="str">
        <x:v>未设独立合同名</x:v>
      </x:c>
    </x:row>
    <x:row r="13" ht="23" customHeight="1">
      <x:c r="A13" s="11" t="str">
        <x:v>01093.HK</x:v>
      </x:c>
      <x:c r="B13" s="11" t="str">
        <x:v>2026年底</x:v>
      </x:c>
      <x:c r="C13" s="11" t="str">
        <x:v>SYS6010_DOM</x:v>
      </x:c>
      <x:c r="D13" s="11" t="str">
        <x:v>2033-12-31</x:v>
      </x:c>
      <x:c r="E13" s="11" t="str">
        <x:v>CNY</x:v>
      </x:c>
      <x:c r="F13" s="11" t="n">
        <x:v>7.000684462696783</x:v>
      </x:c>
      <x:c r="G13" s="26" t="b">
        <x:v>1</x:v>
      </x:c>
      <x:c r="H13" s="16" t="n">
        <x:v>1.53</x:v>
      </x:c>
      <x:c r="I13" s="16" t="n">
        <x:v>5</x:v>
      </x:c>
      <x:c r="J13" s="16" t="n">
        <x:v>9</x:v>
      </x:c>
      <x:c r="K13" s="11" t="n">
        <x:f>CHOOSE('假设'!$B$3,H13,I13,J13)</x:f>
        <x:v>5</x:v>
      </x:c>
      <x:c r="L13" s="11" t="n">
        <x:f>K13*'管线假设'!E7*'管线假设'!F7*'管线假设'!G7*IF(E13="USD",'管线假设'!I7,1)-AM13</x:f>
        <x:v>0.6745</x:v>
      </x:c>
      <x:c r="M13" s="11" t="n">
        <x:f>'管线假设'!H7</x:f>
        <x:v>0.13</x:v>
      </x:c>
      <x:c r="N13" s="11" t="n">
        <x:f>IF(G13,L13*AN13/(1+M13)^F13,0)</x:f>
        <x:v>0.286679421492344</x:v>
      </x:c>
      <x:c r="P13" t="str">
        <x:v>01093.HK</x:v>
      </x:c>
      <x:c r="Q13" t="str">
        <x:v>一年</x:v>
      </x:c>
      <x:c r="R13" t="str">
        <x:v>2028-12-31</x:v>
      </x:c>
      <x:c r="S13" t="n">
        <x:v>1.2292950034223136</x:v>
      </x:c>
      <x:c r="T13" s="27" t="b">
        <x:v>1</x:v>
      </x:c>
      <x:c r="U13" s="42" t="n">
        <x:v>0.05</x:v>
      </x:c>
      <x:c r="V13" s="42" t="n">
        <x:v>0.15</x:v>
      </x:c>
      <x:c r="W13" s="42" t="n">
        <x:v>0.3</x:v>
      </x:c>
      <x:c r="X13" s="42" t="n">
        <x:v>0.25</x:v>
      </x:c>
      <x:c r="Y13" s="42" t="n">
        <x:v>0.5</x:v>
      </x:c>
      <x:c r="Z13" s="42" t="n">
        <x:v>0.8</x:v>
      </x:c>
      <x:c r="AA13" t="n">
        <x:f>AB13/(1+'管线假设'!H55)^S13</x:f>
        <x:v>0.32526904491721903</x:v>
      </x:c>
      <x:c r="AB13" t="n">
        <x:f>IF(T13,CHOOSE('假设'!$B$3,U13,V13,W13)*CHOOSE('假设'!$B$3,X13,Y13,Z13)*CHOOSE('假设'!$B$3,AO13,AP13,AQ13)*CHOOSE('假设'!$B$3,AR13,AS13,AT13)*IF(AU13="USD",'管线假设'!I55,1),0)</x:f>
        <x:v>0.378</x:v>
      </x:c>
      <x:c r="AC13" t="str">
        <x:v>688192.SH 半年</x:v>
      </x:c>
      <x:c r="AD13" t="n">
        <x:f>SUM(N644:N795)</x:f>
        <x:v>18.0475419868892</x:v>
      </x:c>
      <x:c r="AE13" t="n">
        <x:f>SUM(AA23:AA23)</x:f>
        <x:v>0.7889256520189101</x:v>
      </x:c>
      <x:c r="AF13" t="n">
        <x:f>AD13+AE13</x:f>
        <x:v>18.83646763890811</x:v>
      </x:c>
      <x:c r="AG13" t="n">
        <x:f>'假设'!K251</x:f>
        <x:v>0.485</x:v>
      </x:c>
      <x:c r="AH13" t="n">
        <x:f>AF13/AG13*'假设'!G251</x:f>
        <x:v>38.838077605996105</x:v>
      </x:c>
      <x:c r="AJ13" t="n">
        <x:v>0</x:v>
      </x:c>
      <x:c r="AK13" t="n">
        <x:v>0</x:v>
      </x:c>
      <x:c r="AL13" t="n">
        <x:v>0</x:v>
      </x:c>
      <x:c r="AM13" t="n">
        <x:f>CHOOSE('假设'!$B$3,AJ13,AK13,AL13)</x:f>
        <x:v>0</x:v>
      </x:c>
      <x:c r="AN13" t="n">
        <x:v>1</x:v>
      </x:c>
      <x:c r="AO13" s="42" t="n">
        <x:v>0.8</x:v>
      </x:c>
      <x:c r="AP13" s="42" t="n">
        <x:v>0.8</x:v>
      </x:c>
      <x:c r="AQ13" s="42" t="n">
        <x:v>0.8</x:v>
      </x:c>
      <x:c r="AR13" s="42" t="n">
        <x:v>0.9</x:v>
      </x:c>
      <x:c r="AS13" s="42" t="n">
        <x:v>0.9</x:v>
      </x:c>
      <x:c r="AT13" s="42" t="n">
        <x:v>0.9</x:v>
      </x:c>
      <x:c r="AU13" t="str">
        <x:v>USD</x:v>
      </x:c>
      <x:c r="AV13" t="str">
        <x:v>未设独立合同名</x:v>
      </x:c>
    </x:row>
    <x:row r="14" ht="23" customHeight="1">
      <x:c r="A14" s="11" t="str">
        <x:v>01093.HK</x:v>
      </x:c>
      <x:c r="B14" s="11" t="str">
        <x:v>2026年底</x:v>
      </x:c>
      <x:c r="C14" s="11" t="str">
        <x:v>SYS6010_DOM</x:v>
      </x:c>
      <x:c r="D14" s="11" t="str">
        <x:v>2034-12-31</x:v>
      </x:c>
      <x:c r="E14" s="11" t="str">
        <x:v>CNY</x:v>
      </x:c>
      <x:c r="F14" s="11" t="n">
        <x:v>8</x:v>
      </x:c>
      <x:c r="G14" s="26" t="b">
        <x:v>1</x:v>
      </x:c>
      <x:c r="H14" s="16" t="n">
        <x:v>1.8</x:v>
      </x:c>
      <x:c r="I14" s="16" t="n">
        <x:v>4.75</x:v>
      </x:c>
      <x:c r="J14" s="16" t="n">
        <x:v>8.549999999999999</x:v>
      </x:c>
      <x:c r="K14" s="11" t="n">
        <x:f>CHOOSE('假设'!$B$3,H14,I14,J14)</x:f>
        <x:v>4.75</x:v>
      </x:c>
      <x:c r="L14" s="11" t="n">
        <x:f>K14*'管线假设'!E7*'管线假设'!F7*'管线假设'!G7*IF(E14="USD",'管线假设'!I7,1)-AM14</x:f>
        <x:v>0.640775</x:v>
      </x:c>
      <x:c r="M14" s="11" t="n">
        <x:f>'管线假设'!H7</x:f>
        <x:v>0.13</x:v>
      </x:c>
      <x:c r="N14" s="11" t="n">
        <x:f>IF(G14,L14*AN14/(1+M14)^F14,0)</x:f>
        <x:v>0.24103383539507442</x:v>
      </x:c>
      <x:c r="P14" t="str">
        <x:v>01093.HK</x:v>
      </x:c>
      <x:c r="Q14" t="str">
        <x:v>一年</x:v>
      </x:c>
      <x:c r="R14" t="str">
        <x:v>2030-12-31</x:v>
      </x:c>
      <x:c r="S14" t="n">
        <x:v>3.2279260780287475</x:v>
      </x:c>
      <x:c r="T14" s="27" t="b">
        <x:v>1</x:v>
      </x:c>
      <x:c r="U14" s="42" t="n">
        <x:v>0.1</x:v>
      </x:c>
      <x:c r="V14" s="42" t="n">
        <x:v>0.35</x:v>
      </x:c>
      <x:c r="W14" s="42" t="n">
        <x:v>0.7</x:v>
      </x:c>
      <x:c r="X14" s="42" t="n">
        <x:v>0.1</x:v>
      </x:c>
      <x:c r="Y14" s="42" t="n">
        <x:v>0.25</x:v>
      </x:c>
      <x:c r="Z14" s="42" t="n">
        <x:v>0.6</x:v>
      </x:c>
      <x:c r="AA14" t="n">
        <x:f>AB14/(1+'管线假设'!H55)^S14</x:f>
        <x:v>0.29723866191533604</x:v>
      </x:c>
      <x:c r="AB14" t="n">
        <x:f>IF(T14,CHOOSE('假设'!$B$3,U14,V14,W14)*CHOOSE('假设'!$B$3,X14,Y14,Z14)*CHOOSE('假设'!$B$3,AO14,AP14,AQ14)*CHOOSE('假设'!$B$3,AR14,AS14,AT14)*IF(AU14="USD",'管线假设'!I55,1),0)</x:f>
        <x:v>0.441</x:v>
      </x:c>
      <x:c r="AC14" t="str">
        <x:v>688192.SH 一年</x:v>
      </x:c>
      <x:c r="AD14" t="n">
        <x:f>SUM(N796:N947)</x:f>
        <x:v>20.822540908623388</x:v>
      </x:c>
      <x:c r="AE14" t="n">
        <x:f>SUM(AA24:AA24)</x:f>
        <x:v>0.8368832133677239</x:v>
      </x:c>
      <x:c r="AF14" t="n">
        <x:f>AD14+AE14</x:f>
        <x:v>21.659424121991112</x:v>
      </x:c>
      <x:c r="AG14" t="n">
        <x:f>'假设'!K255</x:f>
        <x:v>0.495</x:v>
      </x:c>
      <x:c r="AH14" t="n">
        <x:f>AF14/AG14*'假设'!G255</x:f>
        <x:v>43.75641236765881</x:v>
      </x:c>
      <x:c r="AJ14" t="n">
        <x:v>0</x:v>
      </x:c>
      <x:c r="AK14" t="n">
        <x:v>0</x:v>
      </x:c>
      <x:c r="AL14" t="n">
        <x:v>0</x:v>
      </x:c>
      <x:c r="AM14" t="n">
        <x:f>CHOOSE('假设'!$B$3,AJ14,AK14,AL14)</x:f>
        <x:v>0</x:v>
      </x:c>
      <x:c r="AN14" t="n">
        <x:v>1</x:v>
      </x:c>
      <x:c r="AO14" s="42" t="n">
        <x:v>0.8</x:v>
      </x:c>
      <x:c r="AP14" s="42" t="n">
        <x:v>0.8</x:v>
      </x:c>
      <x:c r="AQ14" s="42" t="n">
        <x:v>0.8</x:v>
      </x:c>
      <x:c r="AR14" s="42" t="n">
        <x:v>0.9</x:v>
      </x:c>
      <x:c r="AS14" s="42" t="n">
        <x:v>0.9</x:v>
      </x:c>
      <x:c r="AT14" s="42" t="n">
        <x:v>0.9</x:v>
      </x:c>
      <x:c r="AU14" t="str">
        <x:v>USD</x:v>
      </x:c>
      <x:c r="AV14" t="str">
        <x:v>未设独立合同名</x:v>
      </x:c>
    </x:row>
    <x:row r="15" ht="23" customHeight="1">
      <x:c r="A15" s="11" t="str">
        <x:v>01093.HK</x:v>
      </x:c>
      <x:c r="B15" s="11" t="str">
        <x:v>2026年底</x:v>
      </x:c>
      <x:c r="C15" s="11" t="str">
        <x:v>SYS6010_DOM</x:v>
      </x:c>
      <x:c r="D15" s="11" t="str">
        <x:v>2035-12-31</x:v>
      </x:c>
      <x:c r="E15" s="11" t="str">
        <x:v>CNY</x:v>
      </x:c>
      <x:c r="F15" s="11" t="n">
        <x:v>8.999315537303216</x:v>
      </x:c>
      <x:c r="G15" s="26" t="b">
        <x:v>1</x:v>
      </x:c>
      <x:c r="H15" s="16" t="n">
        <x:v>1.8</x:v>
      </x:c>
      <x:c r="I15" s="16" t="n">
        <x:v>4.4</x:v>
      </x:c>
      <x:c r="J15" s="16" t="n">
        <x:v>7.92</x:v>
      </x:c>
      <x:c r="K15" s="11" t="n">
        <x:f>CHOOSE('假设'!$B$3,H15,I15,J15)</x:f>
        <x:v>4.4</x:v>
      </x:c>
      <x:c r="L15" s="11" t="n">
        <x:f>K15*'管线假设'!E7*'管线假设'!F7*'管线假设'!G7*IF(E15="USD",'管线假设'!I7,1)-AM15</x:f>
        <x:v>0.59356</x:v>
      </x:c>
      <x:c r="M15" s="11" t="n">
        <x:f>'管线假设'!H7</x:f>
        <x:v>0.13</x:v>
      </x:c>
      <x:c r="N15" s="11" t="n">
        <x:f>IF(G15,L15*AN15/(1+M15)^F15,0)</x:f>
        <x:v>0.19760365123049475</x:v>
      </x:c>
      <x:c r="P15" t="str">
        <x:v>01093.HK</x:v>
      </x:c>
      <x:c r="Q15" t="str">
        <x:v>一年</x:v>
      </x:c>
      <x:c r="R15" t="str">
        <x:v>2032-12-31</x:v>
      </x:c>
      <x:c r="S15" t="n">
        <x:v>5.229295003422314</x:v>
      </x:c>
      <x:c r="T15" s="27" t="b">
        <x:v>1</x:v>
      </x:c>
      <x:c r="U15" s="42" t="n">
        <x:v>0</x:v>
      </x:c>
      <x:c r="V15" s="42" t="n">
        <x:v>0.5</x:v>
      </x:c>
      <x:c r="W15" s="42" t="n">
        <x:v>1.5</x:v>
      </x:c>
      <x:c r="X15" s="42" t="n">
        <x:v>0</x:v>
      </x:c>
      <x:c r="Y15" s="42" t="n">
        <x:v>0.15</x:v>
      </x:c>
      <x:c r="Z15" s="42" t="n">
        <x:v>0.4</x:v>
      </x:c>
      <x:c r="AA15" t="n">
        <x:f>AB15/(1+'管线假设'!H55)^S15</x:f>
        <x:v>0.1994935967821148</x:v>
      </x:c>
      <x:c r="AB15" t="n">
        <x:f>IF(T15,CHOOSE('假设'!$B$3,U15,V15,W15)*CHOOSE('假设'!$B$3,X15,Y15,Z15)*CHOOSE('假设'!$B$3,AO15,AP15,AQ15)*CHOOSE('假设'!$B$3,AR15,AS15,AT15)*IF(AU15="USD",'管线假设'!I55,1),0)</x:f>
        <x:v>0.378</x:v>
      </x:c>
      <x:c r="AC15" t="str">
        <x:v>688192.SH 三年</x:v>
      </x:c>
      <x:c r="AD15" t="n">
        <x:f>SUM(N948:N1099)</x:f>
        <x:v>32.81629705481271</x:v>
      </x:c>
      <x:c r="AE15" t="n">
        <x:f>SUM(AA25:AA25)</x:f>
        <x:v>1.0593511088842504</x:v>
      </x:c>
      <x:c r="AF15" t="n">
        <x:f>AD15+AE15</x:f>
        <x:v>33.87564816369696</x:v>
      </x:c>
      <x:c r="AG15" t="n">
        <x:f>'假设'!K259</x:f>
        <x:v>0.52</x:v>
      </x:c>
      <x:c r="AH15" t="n">
        <x:f>AF15/AG15*'假设'!G259</x:f>
        <x:v>65.14547723787877</x:v>
      </x:c>
      <x:c r="AJ15" t="n">
        <x:v>0</x:v>
      </x:c>
      <x:c r="AK15" t="n">
        <x:v>0</x:v>
      </x:c>
      <x:c r="AL15" t="n">
        <x:v>0</x:v>
      </x:c>
      <x:c r="AM15" t="n">
        <x:f>CHOOSE('假设'!$B$3,AJ15,AK15,AL15)</x:f>
        <x:v>0</x:v>
      </x:c>
      <x:c r="AN15" t="n">
        <x:v>1</x:v>
      </x:c>
      <x:c r="AO15" s="42" t="n">
        <x:v>0.8</x:v>
      </x:c>
      <x:c r="AP15" s="42" t="n">
        <x:v>0.8</x:v>
      </x:c>
      <x:c r="AQ15" s="42" t="n">
        <x:v>0.8</x:v>
      </x:c>
      <x:c r="AR15" s="42" t="n">
        <x:v>0.9</x:v>
      </x:c>
      <x:c r="AS15" s="42" t="n">
        <x:v>0.9</x:v>
      </x:c>
      <x:c r="AT15" s="42" t="n">
        <x:v>0.9</x:v>
      </x:c>
      <x:c r="AU15" t="str">
        <x:v>USD</x:v>
      </x:c>
      <x:c r="AV15" t="str">
        <x:v>未设独立合同名</x:v>
      </x:c>
    </x:row>
    <x:row r="16" ht="23" customHeight="1">
      <x:c r="A16" s="11" t="str">
        <x:v>01093.HK</x:v>
      </x:c>
      <x:c r="B16" s="11" t="str">
        <x:v>2026年底</x:v>
      </x:c>
      <x:c r="C16" s="11" t="str">
        <x:v>SYS6010_DOM</x:v>
      </x:c>
      <x:c r="D16" s="11" t="str">
        <x:v>2036-12-31</x:v>
      </x:c>
      <x:c r="E16" s="11" t="str">
        <x:v>CNY</x:v>
      </x:c>
      <x:c r="F16" s="11" t="n">
        <x:v>10.001368925393566</x:v>
      </x:c>
      <x:c r="G16" s="26" t="b">
        <x:v>1</x:v>
      </x:c>
      <x:c r="H16" s="16" t="n">
        <x:v>1.71</x:v>
      </x:c>
      <x:c r="I16" s="16" t="n">
        <x:v>3.75</x:v>
      </x:c>
      <x:c r="J16" s="16" t="n">
        <x:v>6.75</x:v>
      </x:c>
      <x:c r="K16" s="11" t="n">
        <x:f>CHOOSE('假设'!$B$3,H16,I16,J16)</x:f>
        <x:v>3.75</x:v>
      </x:c>
      <x:c r="L16" s="11" t="n">
        <x:f>K16*'管线假设'!E7*'管线假设'!F7*'管线假设'!G7*IF(E16="USD",'管线假设'!I7,1)-AM16</x:f>
        <x:v>0.505875</x:v>
      </x:c>
      <x:c r="M16" s="11" t="n">
        <x:f>'管线假设'!H7</x:f>
        <x:v>0.13</x:v>
      </x:c>
      <x:c r="N16" s="11" t="n">
        <x:f>IF(G16,L16*AN16/(1+M16)^F16,0)</x:f>
        <x:v>0.14899994981488662</x:v>
      </x:c>
      <x:c r="P16" t="str">
        <x:v>01093.HK</x:v>
      </x:c>
      <x:c r="Q16" t="str">
        <x:v>三年</x:v>
      </x:c>
      <x:c r="R16" t="str">
        <x:v>2028-12-31</x:v>
      </x:c>
      <x:c r="S16" t="n">
        <x:v>-0.7720739219712526</x:v>
      </x:c>
      <x:c r="T16" s="27" t="b">
        <x:v>0</x:v>
      </x:c>
      <x:c r="U16" s="42" t="n">
        <x:v>0.05</x:v>
      </x:c>
      <x:c r="V16" s="42" t="n">
        <x:v>0.15</x:v>
      </x:c>
      <x:c r="W16" s="42" t="n">
        <x:v>0.3</x:v>
      </x:c>
      <x:c r="X16" s="42" t="n">
        <x:v>0.25</x:v>
      </x:c>
      <x:c r="Y16" s="42" t="n">
        <x:v>0.5</x:v>
      </x:c>
      <x:c r="Z16" s="42" t="n">
        <x:v>0.8</x:v>
      </x:c>
      <x:c r="AA16" t="n">
        <x:f>AB16/(1+'管线假设'!H79)^S16</x:f>
        <x:v>0</x:v>
      </x:c>
      <x:c r="AB16" t="n">
        <x:f>IF(T16,CHOOSE('假设'!$B$3,U16,V16,W16)*CHOOSE('假设'!$B$3,X16,Y16,Z16)*CHOOSE('假设'!$B$3,AO16,AP16,AQ16)*CHOOSE('假设'!$B$3,AR16,AS16,AT16)*IF(AU16="USD",'管线假设'!I79,1),0)</x:f>
        <x:v>0</x:v>
      </x:c>
      <x:c r="AC16" t="str">
        <x:v>688192.SH 五年</x:v>
      </x:c>
      <x:c r="AD16" t="n">
        <x:f>SUM(N1100:N1251)</x:f>
        <x:v>46.61615392088849</x:v>
      </x:c>
      <x:c r="AE16" t="n">
        <x:f>SUM(AA26:AA26)</x:f>
        <x:v>0</x:v>
      </x:c>
      <x:c r="AF16" t="n">
        <x:f>AD16+AE16</x:f>
        <x:v>46.61615392088849</x:v>
      </x:c>
      <x:c r="AG16" t="n">
        <x:f>'假设'!K263</x:f>
        <x:v>0.55</x:v>
      </x:c>
      <x:c r="AH16" t="n">
        <x:f>AF16/AG16*'假设'!G263</x:f>
        <x:v>84.75664349252453</x:v>
      </x:c>
      <x:c r="AJ16" t="n">
        <x:v>0</x:v>
      </x:c>
      <x:c r="AK16" t="n">
        <x:v>0</x:v>
      </x:c>
      <x:c r="AL16" t="n">
        <x:v>0</x:v>
      </x:c>
      <x:c r="AM16" t="n">
        <x:f>CHOOSE('假设'!$B$3,AJ16,AK16,AL16)</x:f>
        <x:v>0</x:v>
      </x:c>
      <x:c r="AN16" t="n">
        <x:v>1</x:v>
      </x:c>
      <x:c r="AO16" s="42" t="n">
        <x:v>0.8</x:v>
      </x:c>
      <x:c r="AP16" s="42" t="n">
        <x:v>0.8</x:v>
      </x:c>
      <x:c r="AQ16" s="42" t="n">
        <x:v>0.8</x:v>
      </x:c>
      <x:c r="AR16" s="42" t="n">
        <x:v>0.9</x:v>
      </x:c>
      <x:c r="AS16" s="42" t="n">
        <x:v>0.9</x:v>
      </x:c>
      <x:c r="AT16" s="42" t="n">
        <x:v>0.9</x:v>
      </x:c>
      <x:c r="AU16" t="str">
        <x:v>USD</x:v>
      </x:c>
      <x:c r="AV16" t="str">
        <x:v>未设独立合同名</x:v>
      </x:c>
    </x:row>
    <x:row r="17" ht="23" customHeight="1">
      <x:c r="A17" s="11" t="str">
        <x:v>01093.HK</x:v>
      </x:c>
      <x:c r="B17" s="11" t="str">
        <x:v>2026年底</x:v>
      </x:c>
      <x:c r="C17" s="11" t="str">
        <x:v>SYS6010_DOM</x:v>
      </x:c>
      <x:c r="D17" s="11" t="str">
        <x:v>2037-12-31</x:v>
      </x:c>
      <x:c r="E17" s="11" t="str">
        <x:v>CNY</x:v>
      </x:c>
      <x:c r="F17" s="11" t="n">
        <x:v>11.000684462696784</x:v>
      </x:c>
      <x:c r="G17" s="26" t="b">
        <x:v>1</x:v>
      </x:c>
      <x:c r="H17" s="16" t="n">
        <x:v>1.584</x:v>
      </x:c>
      <x:c r="I17" s="16" t="n">
        <x:v>3</x:v>
      </x:c>
      <x:c r="J17" s="16" t="n">
        <x:v>5.3999999999999995</x:v>
      </x:c>
      <x:c r="K17" s="11" t="n">
        <x:f>CHOOSE('假设'!$B$3,H17,I17,J17)</x:f>
        <x:v>3</x:v>
      </x:c>
      <x:c r="L17" s="11" t="n">
        <x:f>K17*'管线假设'!E7*'管线假设'!F7*'管线假设'!G7*IF(E17="USD",'管线假设'!I7,1)-AM17</x:f>
        <x:v>0.40469999999999995</x:v>
      </x:c>
      <x:c r="M17" s="11" t="n">
        <x:f>'管线假设'!H7</x:f>
        <x:v>0.13</x:v>
      </x:c>
      <x:c r="N17" s="11" t="n">
        <x:f>IF(G17,L17*AN17/(1+M17)^F17,0)</x:f>
        <x:v>0.10549551482492649</x:v>
      </x:c>
      <x:c r="P17" t="str">
        <x:v>01093.HK</x:v>
      </x:c>
      <x:c r="Q17" t="str">
        <x:v>三年</x:v>
      </x:c>
      <x:c r="R17" t="str">
        <x:v>2030-12-31</x:v>
      </x:c>
      <x:c r="S17" t="n">
        <x:v>1.2265571526351813</x:v>
      </x:c>
      <x:c r="T17" s="27" t="b">
        <x:v>1</x:v>
      </x:c>
      <x:c r="U17" s="42" t="n">
        <x:v>0.1</x:v>
      </x:c>
      <x:c r="V17" s="42" t="n">
        <x:v>0.35</x:v>
      </x:c>
      <x:c r="W17" s="42" t="n">
        <x:v>0.7</x:v>
      </x:c>
      <x:c r="X17" s="42" t="n">
        <x:v>0.1</x:v>
      </x:c>
      <x:c r="Y17" s="42" t="n">
        <x:v>0.25</x:v>
      </x:c>
      <x:c r="Z17" s="42" t="n">
        <x:v>0.6</x:v>
      </x:c>
      <x:c r="AA17" t="n">
        <x:f>AB17/(1+'管线假设'!H79)^S17</x:f>
        <x:v>0.37960755301999766</x:v>
      </x:c>
      <x:c r="AB17" t="n">
        <x:f>IF(T17,CHOOSE('假设'!$B$3,U17,V17,W17)*CHOOSE('假设'!$B$3,X17,Y17,Z17)*CHOOSE('假设'!$B$3,AO17,AP17,AQ17)*CHOOSE('假设'!$B$3,AR17,AS17,AT17)*IF(AU17="USD",'管线假设'!I79,1),0)</x:f>
        <x:v>0.441</x:v>
      </x:c>
      <x:c r="AC17" t="str">
        <x:v>688302.SH 2026年底</x:v>
      </x:c>
      <x:c r="AD17" t="n">
        <x:f>SUM(N1252:N1460)</x:f>
        <x:v>2.6333279523614705</x:v>
      </x:c>
      <x:c r="AE17" t="n">
        <x:f>0</x:f>
        <x:v>0</x:v>
      </x:c>
      <x:c r="AF17" t="n">
        <x:f>AD17+AE17</x:f>
        <x:v>2.6333279523614705</x:v>
      </x:c>
      <x:c r="AG17" t="n">
        <x:f>'假设'!K407</x:f>
        <x:v>0.1</x:v>
      </x:c>
      <x:c r="AH17" t="n">
        <x:f>AF17/AG17*'假设'!G407</x:f>
        <x:v>26.333279523614703</x:v>
      </x:c>
      <x:c r="AJ17" t="n">
        <x:v>0</x:v>
      </x:c>
      <x:c r="AK17" t="n">
        <x:v>0</x:v>
      </x:c>
      <x:c r="AL17" t="n">
        <x:v>0</x:v>
      </x:c>
      <x:c r="AM17" t="n">
        <x:f>CHOOSE('假设'!$B$3,AJ17,AK17,AL17)</x:f>
        <x:v>0</x:v>
      </x:c>
      <x:c r="AN17" t="n">
        <x:v>1</x:v>
      </x:c>
      <x:c r="AO17" s="42" t="n">
        <x:v>0.8</x:v>
      </x:c>
      <x:c r="AP17" s="42" t="n">
        <x:v>0.8</x:v>
      </x:c>
      <x:c r="AQ17" s="42" t="n">
        <x:v>0.8</x:v>
      </x:c>
      <x:c r="AR17" s="42" t="n">
        <x:v>0.9</x:v>
      </x:c>
      <x:c r="AS17" s="42" t="n">
        <x:v>0.9</x:v>
      </x:c>
      <x:c r="AT17" s="42" t="n">
        <x:v>0.9</x:v>
      </x:c>
      <x:c r="AU17" t="str">
        <x:v>USD</x:v>
      </x:c>
      <x:c r="AV17" t="str">
        <x:v>未设独立合同名</x:v>
      </x:c>
    </x:row>
    <x:row r="18" ht="23" customHeight="1">
      <x:c r="A18" s="11" t="str">
        <x:v>01093.HK</x:v>
      </x:c>
      <x:c r="B18" s="11" t="str">
        <x:v>2026年底</x:v>
      </x:c>
      <x:c r="C18" s="11" t="str">
        <x:v>SYS6010_DOM</x:v>
      </x:c>
      <x:c r="D18" s="11" t="str">
        <x:v>2038-12-31</x:v>
      </x:c>
      <x:c r="E18" s="11" t="str">
        <x:v>CNY</x:v>
      </x:c>
      <x:c r="F18" s="11" t="n">
        <x:v>12</x:v>
      </x:c>
      <x:c r="G18" s="26" t="b">
        <x:v>1</x:v>
      </x:c>
      <x:c r="H18" s="16" t="n">
        <x:v>1.35</x:v>
      </x:c>
      <x:c r="I18" s="16" t="n">
        <x:v>2.25</x:v>
      </x:c>
      <x:c r="J18" s="16" t="n">
        <x:v>4.05</x:v>
      </x:c>
      <x:c r="K18" s="11" t="n">
        <x:f>CHOOSE('假设'!$B$3,H18,I18,J18)</x:f>
        <x:v>2.25</x:v>
      </x:c>
      <x:c r="L18" s="11" t="n">
        <x:f>K18*'管线假设'!E7*'管线假设'!F7*'管线假设'!G7*IF(E18="USD",'管线假设'!I7,1)-AM18</x:f>
        <x:v>0.303525</x:v>
      </x:c>
      <x:c r="M18" s="11" t="n">
        <x:f>'管线假设'!H7</x:f>
        <x:v>0.13</x:v>
      </x:c>
      <x:c r="N18" s="11" t="n">
        <x:f>IF(G18,L18*AN18/(1+M18)^F18,0)</x:f>
        <x:v>0.0700250045931414</x:v>
      </x:c>
      <x:c r="P18" t="str">
        <x:v>01093.HK</x:v>
      </x:c>
      <x:c r="Q18" t="str">
        <x:v>三年</x:v>
      </x:c>
      <x:c r="R18" t="str">
        <x:v>2032-12-31</x:v>
      </x:c>
      <x:c r="S18" t="n">
        <x:v>3.2279260780287475</x:v>
      </x:c>
      <x:c r="T18" s="27" t="b">
        <x:v>1</x:v>
      </x:c>
      <x:c r="U18" s="42" t="n">
        <x:v>0</x:v>
      </x:c>
      <x:c r="V18" s="42" t="n">
        <x:v>0.5</x:v>
      </x:c>
      <x:c r="W18" s="42" t="n">
        <x:v>1.5</x:v>
      </x:c>
      <x:c r="X18" s="42" t="n">
        <x:v>0</x:v>
      </x:c>
      <x:c r="Y18" s="42" t="n">
        <x:v>0.15</x:v>
      </x:c>
      <x:c r="Z18" s="42" t="n">
        <x:v>0.4</x:v>
      </x:c>
      <x:c r="AA18" t="n">
        <x:f>AB18/(1+'管线假设'!H79)^S18</x:f>
        <x:v>0.2547759959274309</x:v>
      </x:c>
      <x:c r="AB18" t="n">
        <x:f>IF(T18,CHOOSE('假设'!$B$3,U18,V18,W18)*CHOOSE('假设'!$B$3,X18,Y18,Z18)*CHOOSE('假设'!$B$3,AO18,AP18,AQ18)*CHOOSE('假设'!$B$3,AR18,AS18,AT18)*IF(AU18="USD",'管线假设'!I79,1),0)</x:f>
        <x:v>0.378</x:v>
      </x:c>
      <x:c r="AC18" t="str">
        <x:v>688302.SH 半年</x:v>
      </x:c>
      <x:c r="AD18" t="n">
        <x:f>SUM(N1461:N1669)</x:f>
        <x:v>2.7971664801833414</x:v>
      </x:c>
      <x:c r="AE18" t="n">
        <x:f>0</x:f>
        <x:v>0</x:v>
      </x:c>
      <x:c r="AF18" t="n">
        <x:f>AD18+AE18</x:f>
        <x:v>2.7971664801833414</x:v>
      </x:c>
      <x:c r="AG18" t="n">
        <x:f>'假设'!K411</x:f>
        <x:v>0.103</x:v>
      </x:c>
      <x:c r="AH18" t="n">
        <x:f>AF18/AG18*'假设'!G411</x:f>
        <x:v>27.156956118284867</x:v>
      </x:c>
      <x:c r="AJ18" t="n">
        <x:v>0</x:v>
      </x:c>
      <x:c r="AK18" t="n">
        <x:v>0</x:v>
      </x:c>
      <x:c r="AL18" t="n">
        <x:v>0</x:v>
      </x:c>
      <x:c r="AM18" t="n">
        <x:f>CHOOSE('假设'!$B$3,AJ18,AK18,AL18)</x:f>
        <x:v>0</x:v>
      </x:c>
      <x:c r="AN18" t="n">
        <x:v>1</x:v>
      </x:c>
      <x:c r="AO18" s="42" t="n">
        <x:v>0.8</x:v>
      </x:c>
      <x:c r="AP18" s="42" t="n">
        <x:v>0.8</x:v>
      </x:c>
      <x:c r="AQ18" s="42" t="n">
        <x:v>0.8</x:v>
      </x:c>
      <x:c r="AR18" s="42" t="n">
        <x:v>0.9</x:v>
      </x:c>
      <x:c r="AS18" s="42" t="n">
        <x:v>0.9</x:v>
      </x:c>
      <x:c r="AT18" s="42" t="n">
        <x:v>0.9</x:v>
      </x:c>
      <x:c r="AU18" t="str">
        <x:v>USD</x:v>
      </x:c>
      <x:c r="AV18" t="str">
        <x:v>未设独立合同名</x:v>
      </x:c>
    </x:row>
    <x:row r="19" ht="23" customHeight="1">
      <x:c r="A19" s="11" t="str">
        <x:v>01093.HK</x:v>
      </x:c>
      <x:c r="B19" s="11" t="str">
        <x:v>2026年底</x:v>
      </x:c>
      <x:c r="C19" s="11" t="str">
        <x:v>SYS6010_DOM</x:v>
      </x:c>
      <x:c r="D19" s="11" t="str">
        <x:v>2039-12-31</x:v>
      </x:c>
      <x:c r="E19" s="11" t="str">
        <x:v>CNY</x:v>
      </x:c>
      <x:c r="F19" s="11" t="n">
        <x:v>12.999315537303216</x:v>
      </x:c>
      <x:c r="G19" s="26" t="b">
        <x:v>1</x:v>
      </x:c>
      <x:c r="H19" s="16" t="n">
        <x:v>1.08</x:v>
      </x:c>
      <x:c r="I19" s="16" t="n">
        <x:v>1.5</x:v>
      </x:c>
      <x:c r="J19" s="16" t="n">
        <x:v>2.6999999999999997</x:v>
      </x:c>
      <x:c r="K19" s="11" t="n">
        <x:f>CHOOSE('假设'!$B$3,H19,I19,J19)</x:f>
        <x:v>1.5</x:v>
      </x:c>
      <x:c r="L19" s="11" t="n">
        <x:f>K19*'管线假设'!E7*'管线假设'!F7*'管线假设'!G7*IF(E19="USD",'管线假设'!I7,1)-AM19</x:f>
        <x:v>0.20234999999999997</x:v>
      </x:c>
      <x:c r="M19" s="11" t="n">
        <x:f>'管线假设'!H7</x:f>
        <x:v>0.13</x:v>
      </x:c>
      <x:c r="N19" s="11" t="n">
        <x:f>IF(G19,L19*AN19/(1+M19)^F19,0)</x:f>
        <x:v>0.04131614316732489</x:v>
      </x:c>
      <x:c r="P19" t="str">
        <x:v>01093.HK</x:v>
      </x:c>
      <x:c r="Q19" t="str">
        <x:v>五年</x:v>
      </x:c>
      <x:c r="R19" t="str">
        <x:v>2028-12-31</x:v>
      </x:c>
      <x:c r="S19" t="n">
        <x:v>-2.7707049965776864</x:v>
      </x:c>
      <x:c r="T19" s="27" t="b">
        <x:v>0</x:v>
      </x:c>
      <x:c r="U19" s="42" t="n">
        <x:v>0.05</x:v>
      </x:c>
      <x:c r="V19" s="42" t="n">
        <x:v>0.15</x:v>
      </x:c>
      <x:c r="W19" s="42" t="n">
        <x:v>0.3</x:v>
      </x:c>
      <x:c r="X19" s="42" t="n">
        <x:v>0.25</x:v>
      </x:c>
      <x:c r="Y19" s="42" t="n">
        <x:v>0.5</x:v>
      </x:c>
      <x:c r="Z19" s="42" t="n">
        <x:v>0.8</x:v>
      </x:c>
      <x:c r="AA19" t="n">
        <x:f>AB19/(1+'管线假设'!H103)^S19</x:f>
        <x:v>0</x:v>
      </x:c>
      <x:c r="AB19" t="n">
        <x:f>IF(T19,CHOOSE('假设'!$B$3,U19,V19,W19)*CHOOSE('假设'!$B$3,X19,Y19,Z19)*CHOOSE('假设'!$B$3,AO19,AP19,AQ19)*CHOOSE('假设'!$B$3,AR19,AS19,AT19)*IF(AU19="USD",'管线假设'!I103,1),0)</x:f>
        <x:v>0</x:v>
      </x:c>
      <x:c r="AC19" t="str">
        <x:v>688302.SH 一年</x:v>
      </x:c>
      <x:c r="AD19" t="n">
        <x:f>SUM(N1670:N1878)</x:f>
        <x:v>3.2801294296380217</x:v>
      </x:c>
      <x:c r="AE19" t="n">
        <x:f>0</x:f>
        <x:v>0</x:v>
      </x:c>
      <x:c r="AF19" t="n">
        <x:f>AD19+AE19</x:f>
        <x:v>3.2801294296380217</x:v>
      </x:c>
      <x:c r="AG19" t="n">
        <x:f>'假设'!K415</x:f>
        <x:v>0.108</x:v>
      </x:c>
      <x:c r="AH19" t="n">
        <x:f>AF19/AG19*'假设'!G415</x:f>
        <x:v>30.371568792944647</x:v>
      </x:c>
      <x:c r="AJ19" t="n">
        <x:v>0</x:v>
      </x:c>
      <x:c r="AK19" t="n">
        <x:v>0</x:v>
      </x:c>
      <x:c r="AL19" t="n">
        <x:v>0</x:v>
      </x:c>
      <x:c r="AM19" t="n">
        <x:f>CHOOSE('假设'!$B$3,AJ19,AK19,AL19)</x:f>
        <x:v>0</x:v>
      </x:c>
      <x:c r="AN19" t="n">
        <x:v>1</x:v>
      </x:c>
      <x:c r="AO19" s="42" t="n">
        <x:v>0.8</x:v>
      </x:c>
      <x:c r="AP19" s="42" t="n">
        <x:v>0.8</x:v>
      </x:c>
      <x:c r="AQ19" s="42" t="n">
        <x:v>0.8</x:v>
      </x:c>
      <x:c r="AR19" s="42" t="n">
        <x:v>0.9</x:v>
      </x:c>
      <x:c r="AS19" s="42" t="n">
        <x:v>0.9</x:v>
      </x:c>
      <x:c r="AT19" s="42" t="n">
        <x:v>0.9</x:v>
      </x:c>
      <x:c r="AU19" t="str">
        <x:v>USD</x:v>
      </x:c>
      <x:c r="AV19" t="str">
        <x:v>未设独立合同名</x:v>
      </x:c>
    </x:row>
    <x:row r="20" ht="23" customHeight="1">
      <x:c r="A20" s="11" t="str">
        <x:v>01093.HK</x:v>
      </x:c>
      <x:c r="B20" s="11" t="str">
        <x:v>2026年底</x:v>
      </x:c>
      <x:c r="C20" s="11" t="str">
        <x:v>SYS6010_DOM</x:v>
      </x:c>
      <x:c r="D20" s="11" t="str">
        <x:v>2040-12-31</x:v>
      </x:c>
      <x:c r="E20" s="11" t="str">
        <x:v>CNY</x:v>
      </x:c>
      <x:c r="F20" s="11" t="n">
        <x:v>14.001368925393566</x:v>
      </x:c>
      <x:c r="G20" s="26" t="b">
        <x:v>1</x:v>
      </x:c>
      <x:c r="H20" s="16" t="n">
        <x:v>0.81</x:v>
      </x:c>
      <x:c r="I20" s="16" t="n">
        <x:v>0.8999999999999999</x:v>
      </x:c>
      <x:c r="J20" s="16" t="n">
        <x:v>1.6199999999999999</x:v>
      </x:c>
      <x:c r="K20" s="11" t="n">
        <x:f>CHOOSE('假设'!$B$3,H20,I20,J20)</x:f>
        <x:v>0.8999999999999999</x:v>
      </x:c>
      <x:c r="L20" s="11" t="n">
        <x:f>K20*'管线假设'!E7*'管线假设'!F7*'管线假设'!G7*IF(E20="USD",'管线假设'!I7,1)-AM20</x:f>
        <x:v>0.12140999999999999</x:v>
      </x:c>
      <x:c r="M20" s="11" t="n">
        <x:f>'管线假设'!H7</x:f>
        <x:v>0.13</x:v>
      </x:c>
      <x:c r="N20" s="11" t="n">
        <x:f>IF(G20,L20*AN20/(1+M20)^F20,0)</x:f>
        <x:v>0.02193227031474174</x:v>
      </x:c>
      <x:c r="P20" t="str">
        <x:v>01093.HK</x:v>
      </x:c>
      <x:c r="Q20" t="str">
        <x:v>五年</x:v>
      </x:c>
      <x:c r="R20" t="str">
        <x:v>2030-12-31</x:v>
      </x:c>
      <x:c r="S20" t="n">
        <x:v>-0.7720739219712526</x:v>
      </x:c>
      <x:c r="T20" s="27" t="b">
        <x:v>0</x:v>
      </x:c>
      <x:c r="U20" s="42" t="n">
        <x:v>0.1</x:v>
      </x:c>
      <x:c r="V20" s="42" t="n">
        <x:v>0.35</x:v>
      </x:c>
      <x:c r="W20" s="42" t="n">
        <x:v>0.7</x:v>
      </x:c>
      <x:c r="X20" s="42" t="n">
        <x:v>0.1</x:v>
      </x:c>
      <x:c r="Y20" s="42" t="n">
        <x:v>0.25</x:v>
      </x:c>
      <x:c r="Z20" s="42" t="n">
        <x:v>0.6</x:v>
      </x:c>
      <x:c r="AA20" t="n">
        <x:f>AB20/(1+'管线假设'!H103)^S20</x:f>
        <x:v>0</x:v>
      </x:c>
      <x:c r="AB20" t="n">
        <x:f>IF(T20,CHOOSE('假设'!$B$3,U20,V20,W20)*CHOOSE('假设'!$B$3,X20,Y20,Z20)*CHOOSE('假设'!$B$3,AO20,AP20,AQ20)*CHOOSE('假设'!$B$3,AR20,AS20,AT20)*IF(AU20="USD",'管线假设'!I103,1),0)</x:f>
        <x:v>0</x:v>
      </x:c>
      <x:c r="AC20" t="str">
        <x:v>688302.SH 三年</x:v>
      </x:c>
      <x:c r="AD20" t="n">
        <x:f>SUM(N1879:N2087)</x:f>
        <x:v>5.536288796123561</x:v>
      </x:c>
      <x:c r="AE20" t="n">
        <x:f>0</x:f>
        <x:v>0</x:v>
      </x:c>
      <x:c r="AF20" t="n">
        <x:f>AD20+AE20</x:f>
        <x:v>5.536288796123561</x:v>
      </x:c>
      <x:c r="AG20" t="n">
        <x:f>'假设'!K419</x:f>
        <x:v>0.12</x:v>
      </x:c>
      <x:c r="AH20" t="n">
        <x:f>AF20/AG20*'假设'!G419</x:f>
        <x:v>46.13573996769634</x:v>
      </x:c>
      <x:c r="AJ20" t="n">
        <x:v>0</x:v>
      </x:c>
      <x:c r="AK20" t="n">
        <x:v>0</x:v>
      </x:c>
      <x:c r="AL20" t="n">
        <x:v>0</x:v>
      </x:c>
      <x:c r="AM20" t="n">
        <x:f>CHOOSE('假设'!$B$3,AJ20,AK20,AL20)</x:f>
        <x:v>0</x:v>
      </x:c>
      <x:c r="AN20" t="n">
        <x:v>1</x:v>
      </x:c>
      <x:c r="AO20" s="42" t="n">
        <x:v>0.8</x:v>
      </x:c>
      <x:c r="AP20" s="42" t="n">
        <x:v>0.8</x:v>
      </x:c>
      <x:c r="AQ20" s="42" t="n">
        <x:v>0.8</x:v>
      </x:c>
      <x:c r="AR20" s="42" t="n">
        <x:v>0.9</x:v>
      </x:c>
      <x:c r="AS20" s="42" t="n">
        <x:v>0.9</x:v>
      </x:c>
      <x:c r="AT20" s="42" t="n">
        <x:v>0.9</x:v>
      </x:c>
      <x:c r="AU20" t="str">
        <x:v>USD</x:v>
      </x:c>
      <x:c r="AV20" t="str">
        <x:v>未设独立合同名</x:v>
      </x:c>
    </x:row>
    <x:row r="21" ht="23" customHeight="1">
      <x:c r="A21" s="11" t="str">
        <x:v>01093.HK</x:v>
      </x:c>
      <x:c r="B21" s="11" t="str">
        <x:v>2026年底</x:v>
      </x:c>
      <x:c r="C21" s="11" t="str">
        <x:v>SYS6010_DOM</x:v>
      </x:c>
      <x:c r="D21" s="11" t="str">
        <x:v>2041-12-31</x:v>
      </x:c>
      <x:c r="E21" s="11" t="str">
        <x:v>CNY</x:v>
      </x:c>
      <x:c r="F21" s="11" t="n">
        <x:v>15.000684462696784</x:v>
      </x:c>
      <x:c r="G21" s="26" t="b">
        <x:v>1</x:v>
      </x:c>
      <x:c r="H21" s="16" t="n">
        <x:v>0.54</x:v>
      </x:c>
      <x:c r="I21" s="16" t="n">
        <x:v>0.5</x:v>
      </x:c>
      <x:c r="J21" s="16" t="n">
        <x:v>0.9</x:v>
      </x:c>
      <x:c r="K21" s="11" t="n">
        <x:f>CHOOSE('假设'!$B$3,H21,I21,J21)</x:f>
        <x:v>0.5</x:v>
      </x:c>
      <x:c r="L21" s="11" t="n">
        <x:f>K21*'管线假设'!E7*'管线假设'!F7*'管线假设'!G7*IF(E21="USD",'管线假设'!I7,1)-AM21</x:f>
        <x:v>0.06745</x:v>
      </x:c>
      <x:c r="M21" s="11" t="n">
        <x:f>'管线假设'!H7</x:f>
        <x:v>0.13</x:v>
      </x:c>
      <x:c r="N21" s="11" t="n">
        <x:f>IF(G21,L21*AN21/(1+M21)^F21,0)</x:f>
        <x:v>0.010783729154717458</x:v>
      </x:c>
      <x:c r="P21" t="str">
        <x:v>01093.HK</x:v>
      </x:c>
      <x:c r="Q21" t="str">
        <x:v>五年</x:v>
      </x:c>
      <x:c r="R21" t="str">
        <x:v>2032-12-31</x:v>
      </x:c>
      <x:c r="S21" t="n">
        <x:v>1.2292950034223136</x:v>
      </x:c>
      <x:c r="T21" s="27" t="b">
        <x:v>1</x:v>
      </x:c>
      <x:c r="U21" s="42" t="n">
        <x:v>0</x:v>
      </x:c>
      <x:c r="V21" s="42" t="n">
        <x:v>0.5</x:v>
      </x:c>
      <x:c r="W21" s="42" t="n">
        <x:v>1.5</x:v>
      </x:c>
      <x:c r="X21" s="42" t="n">
        <x:v>0</x:v>
      </x:c>
      <x:c r="Y21" s="42" t="n">
        <x:v>0.15</x:v>
      </x:c>
      <x:c r="Z21" s="42" t="n">
        <x:v>0.4</x:v>
      </x:c>
      <x:c r="AA21" t="n">
        <x:f>AB21/(1+'管线假设'!H103)^S21</x:f>
        <x:v>0.32526904491721903</x:v>
      </x:c>
      <x:c r="AB21" t="n">
        <x:f>IF(T21,CHOOSE('假设'!$B$3,U21,V21,W21)*CHOOSE('假设'!$B$3,X21,Y21,Z21)*CHOOSE('假设'!$B$3,AO21,AP21,AQ21)*CHOOSE('假设'!$B$3,AR21,AS21,AT21)*IF(AU21="USD",'管线假设'!I103,1),0)</x:f>
        <x:v>0.378</x:v>
      </x:c>
      <x:c r="AC21" t="str">
        <x:v>688302.SH 五年</x:v>
      </x:c>
      <x:c r="AD21" t="n">
        <x:f>SUM(N2088:N2296)</x:f>
        <x:v>8.30970248277006</x:v>
      </x:c>
      <x:c r="AE21" t="n">
        <x:f>0</x:f>
        <x:v>0</x:v>
      </x:c>
      <x:c r="AF21" t="n">
        <x:f>AD21+AE21</x:f>
        <x:v>8.30970248277006</x:v>
      </x:c>
      <x:c r="AG21" t="n">
        <x:f>'假设'!K423</x:f>
        <x:v>0.135</x:v>
      </x:c>
      <x:c r="AH21" t="n">
        <x:f>AF21/AG21*'假设'!G423</x:f>
        <x:v>61.553351724222665</x:v>
      </x:c>
      <x:c r="AJ21" t="n">
        <x:v>0</x:v>
      </x:c>
      <x:c r="AK21" t="n">
        <x:v>0</x:v>
      </x:c>
      <x:c r="AL21" t="n">
        <x:v>0</x:v>
      </x:c>
      <x:c r="AM21" t="n">
        <x:f>CHOOSE('假设'!$B$3,AJ21,AK21,AL21)</x:f>
        <x:v>0</x:v>
      </x:c>
      <x:c r="AN21" t="n">
        <x:v>1</x:v>
      </x:c>
      <x:c r="AO21" s="42" t="n">
        <x:v>0.8</x:v>
      </x:c>
      <x:c r="AP21" s="42" t="n">
        <x:v>0.8</x:v>
      </x:c>
      <x:c r="AQ21" s="42" t="n">
        <x:v>0.8</x:v>
      </x:c>
      <x:c r="AR21" s="42" t="n">
        <x:v>0.9</x:v>
      </x:c>
      <x:c r="AS21" s="42" t="n">
        <x:v>0.9</x:v>
      </x:c>
      <x:c r="AT21" s="42" t="n">
        <x:v>0.9</x:v>
      </x:c>
      <x:c r="AU21" t="str">
        <x:v>USD</x:v>
      </x:c>
      <x:c r="AV21" t="str">
        <x:v>未设独立合同名</x:v>
      </x:c>
    </x:row>
    <x:row r="22" ht="23" customHeight="1">
      <x:c r="A22" s="11" t="str">
        <x:v>01093.HK</x:v>
      </x:c>
      <x:c r="B22" s="11" t="str">
        <x:v>2026年底</x:v>
      </x:c>
      <x:c r="C22" s="11" t="str">
        <x:v>SYS6010_DOM</x:v>
      </x:c>
      <x:c r="D22" s="11" t="str">
        <x:v>2042-12-31</x:v>
      </x:c>
      <x:c r="E22" s="11" t="str">
        <x:v>CNY</x:v>
      </x:c>
      <x:c r="F22" s="11" t="n">
        <x:v>16</x:v>
      </x:c>
      <x:c r="G22" s="26" t="b">
        <x:v>1</x:v>
      </x:c>
      <x:c r="H22" s="16" t="n">
        <x:v>0.324</x:v>
      </x:c>
      <x:c r="I22" s="16" t="n">
        <x:v>0.25</x:v>
      </x:c>
      <x:c r="J22" s="16" t="n">
        <x:v>0.45</x:v>
      </x:c>
      <x:c r="K22" s="11" t="n">
        <x:f>CHOOSE('假设'!$B$3,H22,I22,J22)</x:f>
        <x:v>0.25</x:v>
      </x:c>
      <x:c r="L22" s="11" t="n">
        <x:f>K22*'管线假设'!E7*'管线假设'!F7*'管线假设'!G7*IF(E22="USD",'管线假设'!I7,1)-AM22</x:f>
        <x:v>0.033725</x:v>
      </x:c>
      <x:c r="M22" s="11" t="n">
        <x:f>'管线假设'!H7</x:f>
        <x:v>0.13</x:v>
      </x:c>
      <x:c r="N22" s="11" t="n">
        <x:f>IF(G22,L22*AN22/(1+M22)^F22,0)</x:f>
        <x:v>0.004771960746978666</x:v>
      </x:c>
      <x:c r="P22" t="str">
        <x:v>688192.SH</x:v>
      </x:c>
      <x:c r="Q22" t="str">
        <x:v>2026年底</x:v>
      </x:c>
      <x:c r="R22" t="str">
        <x:v>2030-12-31</x:v>
      </x:c>
      <x:c r="S22" t="n">
        <x:v>4</x:v>
      </x:c>
      <x:c r="T22" s="27" t="b">
        <x:v>1</x:v>
      </x:c>
      <x:c r="U22" s="42" t="n">
        <x:v>0</x:v>
      </x:c>
      <x:c r="V22" s="42" t="n">
        <x:v>0.18</x:v>
      </x:c>
      <x:c r="W22" s="42" t="n">
        <x:v>0.4</x:v>
      </x:c>
      <x:c r="X22" s="42" t="n">
        <x:v>1</x:v>
      </x:c>
      <x:c r="Y22" s="42" t="n">
        <x:v>1</x:v>
      </x:c>
      <x:c r="Z22" s="42" t="n">
        <x:v>1</x:v>
      </x:c>
      <x:c r="AA22" t="n">
        <x:f>AB22/(1+'管线假设'!H127)^S22</x:f>
        <x:v>0.7641371742112483</x:v>
      </x:c>
      <x:c r="AB22" t="n">
        <x:f>IF(T22,CHOOSE('假设'!$B$3,U22,V22,W22)*CHOOSE('假设'!$B$3,X22,Y22,Z22)*CHOOSE('假设'!$B$3,AO22,AP22,AQ22)*CHOOSE('假设'!$B$3,AR22,AS22,AT22)*IF(AU22="USD",'管线假设'!I127,1),0)</x:f>
        <x:v>1.224</x:v>
      </x:c>
      <x:c r="AC22" t="str">
        <x:v>688382.SH 2026年底</x:v>
      </x:c>
      <x:c r="AD22" t="n">
        <x:f>SUM(N2297:N2581)</x:f>
        <x:v>4.508726476059125</x:v>
      </x:c>
      <x:c r="AE22" t="n">
        <x:f>SUM(AA27:AA28)</x:f>
        <x:v>0.05435294638074571</x:v>
      </x:c>
      <x:c r="AF22" t="n">
        <x:f>AD22+AE22</x:f>
        <x:v>4.563079422439871</x:v>
      </x:c>
      <x:c r="AG22" t="n">
        <x:f>'假设'!K447</x:f>
        <x:v>0.585</x:v>
      </x:c>
      <x:c r="AH22" t="n">
        <x:f>AF22/AG22*'假设'!G447</x:f>
        <x:v>7.80013576485448</x:v>
      </x:c>
      <x:c r="AJ22" t="n">
        <x:v>0</x:v>
      </x:c>
      <x:c r="AK22" t="n">
        <x:v>0</x:v>
      </x:c>
      <x:c r="AL22" t="n">
        <x:v>0</x:v>
      </x:c>
      <x:c r="AM22" t="n">
        <x:f>CHOOSE('假设'!$B$3,AJ22,AK22,AL22)</x:f>
        <x:v>0</x:v>
      </x:c>
      <x:c r="AN22" t="n">
        <x:v>1</x:v>
      </x:c>
      <x:c r="AO22" s="42" t="n">
        <x:v>1</x:v>
      </x:c>
      <x:c r="AP22" s="42" t="n">
        <x:v>1</x:v>
      </x:c>
      <x:c r="AQ22" s="42" t="n">
        <x:v>1</x:v>
      </x:c>
      <x:c r="AR22" s="42" t="n">
        <x:v>1</x:v>
      </x:c>
      <x:c r="AS22" s="42" t="n">
        <x:v>1</x:v>
      </x:c>
      <x:c r="AT22" s="42" t="n">
        <x:v>1</x:v>
      </x:c>
      <x:c r="AU22" t="str">
        <x:v>USD</x:v>
      </x:c>
      <x:c r="AV22" t="str">
        <x:v>未设独立合同名</x:v>
      </x:c>
    </x:row>
    <x:row r="23" ht="23" customHeight="1">
      <x:c r="A23" s="11" t="str">
        <x:v>01093.HK</x:v>
      </x:c>
      <x:c r="B23" s="11" t="str">
        <x:v>2026年底</x:v>
      </x:c>
      <x:c r="C23" s="11" t="str">
        <x:v>SYS6010_DOM</x:v>
      </x:c>
      <x:c r="D23" s="11" t="str">
        <x:v>2043-12-31</x:v>
      </x:c>
      <x:c r="E23" s="11" t="str">
        <x:v>CNY</x:v>
      </x:c>
      <x:c r="F23" s="11" t="n">
        <x:v>16.999315537303218</x:v>
      </x:c>
      <x:c r="G23" s="26" t="b">
        <x:v>1</x:v>
      </x:c>
      <x:c r="H23" s="16" t="n">
        <x:v>0.18000000000000002</x:v>
      </x:c>
      <x:c r="I23" s="16" t="n">
        <x:v>0.25</x:v>
      </x:c>
      <x:c r="J23" s="16" t="n">
        <x:v>0.45</x:v>
      </x:c>
      <x:c r="K23" s="11" t="n">
        <x:f>CHOOSE('假设'!$B$3,H23,I23,J23)</x:f>
        <x:v>0.25</x:v>
      </x:c>
      <x:c r="L23" s="11" t="n">
        <x:f>K23*'管线假设'!E7*'管线假设'!F7*'管线假设'!G7*IF(E23="USD",'管线假设'!I7,1)-AM23</x:f>
        <x:v>0.033725</x:v>
      </x:c>
      <x:c r="M23" s="11" t="n">
        <x:f>'管线假设'!H7</x:f>
        <x:v>0.13</x:v>
      </x:c>
      <x:c r="N23" s="11" t="n">
        <x:f>IF(G23,L23*AN23/(1+M23)^F23,0)</x:f>
        <x:v>0.004223327393333779</x:v>
      </x:c>
      <x:c r="P23" t="str">
        <x:v>688192.SH</x:v>
      </x:c>
      <x:c r="Q23" t="str">
        <x:v>半年</x:v>
      </x:c>
      <x:c r="R23" t="str">
        <x:v>2030-12-31</x:v>
      </x:c>
      <x:c r="S23" t="n">
        <x:v>3.728952772073922</x:v>
      </x:c>
      <x:c r="T23" s="27" t="b">
        <x:v>1</x:v>
      </x:c>
      <x:c r="U23" s="42" t="n">
        <x:v>0</x:v>
      </x:c>
      <x:c r="V23" s="42" t="n">
        <x:v>0.18</x:v>
      </x:c>
      <x:c r="W23" s="42" t="n">
        <x:v>0.4</x:v>
      </x:c>
      <x:c r="X23" s="42" t="n">
        <x:v>1</x:v>
      </x:c>
      <x:c r="Y23" s="42" t="n">
        <x:v>1</x:v>
      </x:c>
      <x:c r="Z23" s="42" t="n">
        <x:v>1</x:v>
      </x:c>
      <x:c r="AA23" t="n">
        <x:f>AB23/(1+'管线假设'!H159)^S23</x:f>
        <x:v>0.7889256520189101</x:v>
      </x:c>
      <x:c r="AB23" t="n">
        <x:f>IF(T23,CHOOSE('假设'!$B$3,U23,V23,W23)*CHOOSE('假设'!$B$3,X23,Y23,Z23)*CHOOSE('假设'!$B$3,AO23,AP23,AQ23)*CHOOSE('假设'!$B$3,AR23,AS23,AT23)*IF(AU23="USD",'管线假设'!I159,1),0)</x:f>
        <x:v>1.224</x:v>
      </x:c>
      <x:c r="AC23" t="str">
        <x:v>688382.SH 半年</x:v>
      </x:c>
      <x:c r="AD23" t="n">
        <x:f>SUM(N2582:N2866)</x:f>
        <x:v>4.808778220046268</x:v>
      </x:c>
      <x:c r="AE23" t="n">
        <x:f>SUM(AA29:AA30)</x:f>
        <x:v>0.056250911890260394</x:v>
      </x:c>
      <x:c r="AF23" t="n">
        <x:f>AD23+AE23</x:f>
        <x:v>4.865029131936528</x:v>
      </x:c>
      <x:c r="AG23" t="n">
        <x:f>'假设'!K451</x:f>
        <x:v>0.6</x:v>
      </x:c>
      <x:c r="AH23" t="n">
        <x:f>AF23/AG23*'假设'!G451</x:f>
        <x:v>8.108381886560881</x:v>
      </x:c>
      <x:c r="AJ23" t="n">
        <x:v>0</x:v>
      </x:c>
      <x:c r="AK23" t="n">
        <x:v>0</x:v>
      </x:c>
      <x:c r="AL23" t="n">
        <x:v>0</x:v>
      </x:c>
      <x:c r="AM23" t="n">
        <x:f>CHOOSE('假设'!$B$3,AJ23,AK23,AL23)</x:f>
        <x:v>0</x:v>
      </x:c>
      <x:c r="AN23" t="n">
        <x:v>1</x:v>
      </x:c>
      <x:c r="AO23" s="42" t="n">
        <x:v>1</x:v>
      </x:c>
      <x:c r="AP23" s="42" t="n">
        <x:v>1</x:v>
      </x:c>
      <x:c r="AQ23" s="42" t="n">
        <x:v>1</x:v>
      </x:c>
      <x:c r="AR23" s="42" t="n">
        <x:v>1</x:v>
      </x:c>
      <x:c r="AS23" s="42" t="n">
        <x:v>1</x:v>
      </x:c>
      <x:c r="AT23" s="42" t="n">
        <x:v>1</x:v>
      </x:c>
      <x:c r="AU23" t="str">
        <x:v>USD</x:v>
      </x:c>
      <x:c r="AV23" t="str">
        <x:v>未设独立合同名</x:v>
      </x:c>
    </x:row>
    <x:row r="24" ht="23" customHeight="1">
      <x:c r="A24" s="11" t="str">
        <x:v>01093.HK</x:v>
      </x:c>
      <x:c r="B24" s="11" t="str">
        <x:v>2026年底</x:v>
      </x:c>
      <x:c r="C24" s="11" t="str">
        <x:v>JMT101_DOM</x:v>
      </x:c>
      <x:c r="D24" s="11" t="str">
        <x:v>2027-12-31</x:v>
      </x:c>
      <x:c r="E24" s="11" t="str">
        <x:v>CNY</x:v>
      </x:c>
      <x:c r="F24" s="11" t="n">
        <x:v>0.999315537303217</x:v>
      </x:c>
      <x:c r="G24" s="26" t="b">
        <x:v>1</x:v>
      </x:c>
      <x:c r="H24" s="16" t="n">
        <x:v>0</x:v>
      </x:c>
      <x:c r="I24" s="16" t="n">
        <x:v>0.192</x:v>
      </x:c>
      <x:c r="J24" s="16" t="n">
        <x:v>0.384</x:v>
      </x:c>
      <x:c r="K24" s="11" t="n">
        <x:f>CHOOSE('假设'!$B$3,H24,I24,J24)</x:f>
        <x:v>0.192</x:v>
      </x:c>
      <x:c r="L24" s="11" t="n">
        <x:f>K24*'管线假设'!E11*'管线假设'!F11*'管线假设'!G11*IF(E24="USD",'管线假设'!I11,1)-AM24</x:f>
        <x:v>0.020217600000000002</x:v>
      </x:c>
      <x:c r="M24" s="11" t="n">
        <x:f>'管线假设'!H11</x:f>
        <x:v>0.13</x:v>
      </x:c>
      <x:c r="N24" s="11" t="n">
        <x:f>IF(G24,L24*AN24/(1+M24)^F24,0)</x:f>
        <x:v>0.017893178178702812</x:v>
      </x:c>
      <x:c r="P24" t="str">
        <x:v>688192.SH</x:v>
      </x:c>
      <x:c r="Q24" t="str">
        <x:v>一年</x:v>
      </x:c>
      <x:c r="R24" t="str">
        <x:v>2030-12-31</x:v>
      </x:c>
      <x:c r="S24" t="n">
        <x:v>3.2279260780287475</x:v>
      </x:c>
      <x:c r="T24" s="27" t="b">
        <x:v>1</x:v>
      </x:c>
      <x:c r="U24" s="42" t="n">
        <x:v>0</x:v>
      </x:c>
      <x:c r="V24" s="42" t="n">
        <x:v>0.18</x:v>
      </x:c>
      <x:c r="W24" s="42" t="n">
        <x:v>0.4</x:v>
      </x:c>
      <x:c r="X24" s="42" t="n">
        <x:v>1</x:v>
      </x:c>
      <x:c r="Y24" s="42" t="n">
        <x:v>1</x:v>
      </x:c>
      <x:c r="Z24" s="42" t="n">
        <x:v>1</x:v>
      </x:c>
      <x:c r="AA24" t="n">
        <x:f>AB24/(1+'管线假设'!H191)^S24</x:f>
        <x:v>0.8368832133677239</x:v>
      </x:c>
      <x:c r="AB24" t="n">
        <x:f>IF(T24,CHOOSE('假设'!$B$3,U24,V24,W24)*CHOOSE('假设'!$B$3,X24,Y24,Z24)*CHOOSE('假设'!$B$3,AO24,AP24,AQ24)*CHOOSE('假设'!$B$3,AR24,AS24,AT24)*IF(AU24="USD",'管线假设'!I191,1),0)</x:f>
        <x:v>1.224</x:v>
      </x:c>
      <x:c r="AC24" t="str">
        <x:v>688382.SH 一年</x:v>
      </x:c>
      <x:c r="AD24" t="n">
        <x:f>SUM(N2867:N3151)</x:f>
        <x:v>5.621352291794617</x:v>
      </x:c>
      <x:c r="AE24" t="n">
        <x:f>SUM(AA31:AA32)</x:f>
        <x:v>0.05993547643310753</x:v>
      </x:c>
      <x:c r="AF24" t="n">
        <x:f>AD24+AE24</x:f>
        <x:v>5.681287768227724</x:v>
      </x:c>
      <x:c r="AG24" t="n">
        <x:f>'假设'!K455</x:f>
        <x:v>0.625</x:v>
      </x:c>
      <x:c r="AH24" t="n">
        <x:f>AF24/AG24*'假设'!G455</x:f>
        <x:v>9.090060429164359</x:v>
      </x:c>
      <x:c r="AJ24" t="n">
        <x:v>0</x:v>
      </x:c>
      <x:c r="AK24" t="n">
        <x:v>0</x:v>
      </x:c>
      <x:c r="AL24" t="n">
        <x:v>0</x:v>
      </x:c>
      <x:c r="AM24" t="n">
        <x:f>CHOOSE('假设'!$B$3,AJ24,AK24,AL24)</x:f>
        <x:v>0</x:v>
      </x:c>
      <x:c r="AN24" t="n">
        <x:v>1</x:v>
      </x:c>
      <x:c r="AO24" s="42" t="n">
        <x:v>1</x:v>
      </x:c>
      <x:c r="AP24" s="42" t="n">
        <x:v>1</x:v>
      </x:c>
      <x:c r="AQ24" s="42" t="n">
        <x:v>1</x:v>
      </x:c>
      <x:c r="AR24" s="42" t="n">
        <x:v>1</x:v>
      </x:c>
      <x:c r="AS24" s="42" t="n">
        <x:v>1</x:v>
      </x:c>
      <x:c r="AT24" s="42" t="n">
        <x:v>1</x:v>
      </x:c>
      <x:c r="AU24" t="str">
        <x:v>USD</x:v>
      </x:c>
      <x:c r="AV24" t="str">
        <x:v>未设独立合同名</x:v>
      </x:c>
    </x:row>
    <x:row r="25" ht="23" customHeight="1">
      <x:c r="A25" s="11" t="str">
        <x:v>01093.HK</x:v>
      </x:c>
      <x:c r="B25" s="11" t="str">
        <x:v>2026年底</x:v>
      </x:c>
      <x:c r="C25" s="11" t="str">
        <x:v>JMT101_DOM</x:v>
      </x:c>
      <x:c r="D25" s="11" t="str">
        <x:v>2028-12-31</x:v>
      </x:c>
      <x:c r="E25" s="11" t="str">
        <x:v>CNY</x:v>
      </x:c>
      <x:c r="F25" s="11" t="n">
        <x:v>2.001368925393566</x:v>
      </x:c>
      <x:c r="G25" s="26" t="b">
        <x:v>1</x:v>
      </x:c>
      <x:c r="H25" s="16" t="n">
        <x:v>0</x:v>
      </x:c>
      <x:c r="I25" s="16" t="n">
        <x:v>0.6</x:v>
      </x:c>
      <x:c r="J25" s="16" t="n">
        <x:v>1.2</x:v>
      </x:c>
      <x:c r="K25" s="11" t="n">
        <x:f>CHOOSE('假设'!$B$3,H25,I25,J25)</x:f>
        <x:v>0.6</x:v>
      </x:c>
      <x:c r="L25" s="11" t="n">
        <x:f>K25*'管线假设'!E11*'管线假设'!F11*'管线假设'!G11*IF(E25="USD",'管线假设'!I11,1)-AM25</x:f>
        <x:v>0.06318</x:v>
      </x:c>
      <x:c r="M25" s="11" t="n">
        <x:f>'管线假设'!H11</x:f>
        <x:v>0.13</x:v>
      </x:c>
      <x:c r="N25" s="11" t="n">
        <x:f>IF(G25,L25*AN25/(1+M25)^F25,0)</x:f>
        <x:v>0.04947092993911433</x:v>
      </x:c>
      <x:c r="P25" t="str">
        <x:v>688192.SH</x:v>
      </x:c>
      <x:c r="Q25" t="str">
        <x:v>三年</x:v>
      </x:c>
      <x:c r="R25" t="str">
        <x:v>2030-12-31</x:v>
      </x:c>
      <x:c r="S25" t="n">
        <x:v>1.2265571526351813</x:v>
      </x:c>
      <x:c r="T25" s="27" t="b">
        <x:v>1</x:v>
      </x:c>
      <x:c r="U25" s="42" t="n">
        <x:v>0</x:v>
      </x:c>
      <x:c r="V25" s="42" t="n">
        <x:v>0.18</x:v>
      </x:c>
      <x:c r="W25" s="42" t="n">
        <x:v>0.4</x:v>
      </x:c>
      <x:c r="X25" s="42" t="n">
        <x:v>1</x:v>
      </x:c>
      <x:c r="Y25" s="42" t="n">
        <x:v>1</x:v>
      </x:c>
      <x:c r="Z25" s="42" t="n">
        <x:v>1</x:v>
      </x:c>
      <x:c r="AA25" t="n">
        <x:f>AB25/(1+'管线假设'!H223)^S25</x:f>
        <x:v>1.0593511088842504</x:v>
      </x:c>
      <x:c r="AB25" t="n">
        <x:f>IF(T25,CHOOSE('假设'!$B$3,U25,V25,W25)*CHOOSE('假设'!$B$3,X25,Y25,Z25)*CHOOSE('假设'!$B$3,AO25,AP25,AQ25)*CHOOSE('假设'!$B$3,AR25,AS25,AT25)*IF(AU25="USD",'管线假设'!I223,1),0)</x:f>
        <x:v>1.224</x:v>
      </x:c>
      <x:c r="AC25" t="str">
        <x:v>688382.SH 三年</x:v>
      </x:c>
      <x:c r="AD25" t="n">
        <x:f>SUM(N3152:N3436)</x:f>
        <x:v>8.533399531032591</x:v>
      </x:c>
      <x:c r="AE25" t="n">
        <x:f>SUM(AA33:AA34)</x:f>
        <x:v>0.07722376475773599</x:v>
      </x:c>
      <x:c r="AF25" t="n">
        <x:f>AD25+AE25</x:f>
        <x:v>8.610623295790328</x:v>
      </x:c>
      <x:c r="AG25" t="n">
        <x:f>'假设'!K459</x:f>
        <x:v>0.68</x:v>
      </x:c>
      <x:c r="AH25" t="n">
        <x:f>AF25/AG25*'假设'!G459</x:f>
        <x:v>12.662681317338716</x:v>
      </x:c>
      <x:c r="AJ25" t="n">
        <x:v>0</x:v>
      </x:c>
      <x:c r="AK25" t="n">
        <x:v>0</x:v>
      </x:c>
      <x:c r="AL25" t="n">
        <x:v>0</x:v>
      </x:c>
      <x:c r="AM25" t="n">
        <x:f>CHOOSE('假设'!$B$3,AJ25,AK25,AL25)</x:f>
        <x:v>0</x:v>
      </x:c>
      <x:c r="AN25" t="n">
        <x:v>1</x:v>
      </x:c>
      <x:c r="AO25" s="42" t="n">
        <x:v>1</x:v>
      </x:c>
      <x:c r="AP25" s="42" t="n">
        <x:v>1</x:v>
      </x:c>
      <x:c r="AQ25" s="42" t="n">
        <x:v>1</x:v>
      </x:c>
      <x:c r="AR25" s="42" t="n">
        <x:v>1</x:v>
      </x:c>
      <x:c r="AS25" s="42" t="n">
        <x:v>1</x:v>
      </x:c>
      <x:c r="AT25" s="42" t="n">
        <x:v>1</x:v>
      </x:c>
      <x:c r="AU25" t="str">
        <x:v>USD</x:v>
      </x:c>
      <x:c r="AV25" t="str">
        <x:v>未设独立合同名</x:v>
      </x:c>
    </x:row>
    <x:row r="26" ht="23" customHeight="1">
      <x:c r="A26" s="11" t="str">
        <x:v>01093.HK</x:v>
      </x:c>
      <x:c r="B26" s="11" t="str">
        <x:v>2026年底</x:v>
      </x:c>
      <x:c r="C26" s="11" t="str">
        <x:v>JMT101_DOM</x:v>
      </x:c>
      <x:c r="D26" s="11" t="str">
        <x:v>2029-12-31</x:v>
      </x:c>
      <x:c r="E26" s="11" t="str">
        <x:v>CNY</x:v>
      </x:c>
      <x:c r="F26" s="11" t="n">
        <x:v>3.0006844626967832</x:v>
      </x:c>
      <x:c r="G26" s="26" t="b">
        <x:v>1</x:v>
      </x:c>
      <x:c r="H26" s="16" t="n">
        <x:v>0.064</x:v>
      </x:c>
      <x:c r="I26" s="16" t="n">
        <x:v>1.08</x:v>
      </x:c>
      <x:c r="J26" s="16" t="n">
        <x:v>2.16</x:v>
      </x:c>
      <x:c r="K26" s="11" t="n">
        <x:f>CHOOSE('假设'!$B$3,H26,I26,J26)</x:f>
        <x:v>1.08</x:v>
      </x:c>
      <x:c r="L26" s="11" t="n">
        <x:f>K26*'管线假设'!E11*'管线假设'!F11*'管线假设'!G11*IF(E26="USD",'管线假设'!I11,1)-AM26</x:f>
        <x:v>0.113724</x:v>
      </x:c>
      <x:c r="M26" s="11" t="n">
        <x:f>'管线假设'!H11</x:f>
        <x:v>0.13</x:v>
      </x:c>
      <x:c r="N26" s="11" t="n">
        <x:f>IF(G26,L26*AN26/(1+M26)^F26,0)</x:f>
        <x:v>0.07880984366690671</x:v>
      </x:c>
      <x:c r="P26" t="str">
        <x:v>688192.SH</x:v>
      </x:c>
      <x:c r="Q26" t="str">
        <x:v>五年</x:v>
      </x:c>
      <x:c r="R26" t="str">
        <x:v>2030-12-31</x:v>
      </x:c>
      <x:c r="S26" t="n">
        <x:v>-0.7720739219712526</x:v>
      </x:c>
      <x:c r="T26" s="27" t="b">
        <x:v>0</x:v>
      </x:c>
      <x:c r="U26" s="42" t="n">
        <x:v>0</x:v>
      </x:c>
      <x:c r="V26" s="42" t="n">
        <x:v>0.18</x:v>
      </x:c>
      <x:c r="W26" s="42" t="n">
        <x:v>0.4</x:v>
      </x:c>
      <x:c r="X26" s="42" t="n">
        <x:v>1</x:v>
      </x:c>
      <x:c r="Y26" s="42" t="n">
        <x:v>1</x:v>
      </x:c>
      <x:c r="Z26" s="42" t="n">
        <x:v>1</x:v>
      </x:c>
      <x:c r="AA26" t="n">
        <x:f>AB26/(1+'管线假设'!H255)^S26</x:f>
        <x:v>0</x:v>
      </x:c>
      <x:c r="AB26" t="n">
        <x:f>IF(T26,CHOOSE('假设'!$B$3,U26,V26,W26)*CHOOSE('假设'!$B$3,X26,Y26,Z26)*CHOOSE('假设'!$B$3,AO26,AP26,AQ26)*CHOOSE('假设'!$B$3,AR26,AS26,AT26)*IF(AU26="USD",'管线假设'!I255,1),0)</x:f>
        <x:v>0</x:v>
      </x:c>
      <x:c r="AC26" t="str">
        <x:v>688382.SH 五年</x:v>
      </x:c>
      <x:c r="AD26" t="n">
        <x:f>SUM(N3437:N3721)</x:f>
        <x:v>11.339153895532263</x:v>
      </x:c>
      <x:c r="AE26" t="n">
        <x:f>SUM(AA35:AA36)</x:f>
        <x:v>0</x:v>
      </x:c>
      <x:c r="AF26" t="n">
        <x:f>AD26+AE26</x:f>
        <x:v>11.339153895532263</x:v>
      </x:c>
      <x:c r="AG26" t="n">
        <x:f>'假设'!K463</x:f>
        <x:v>0.74</x:v>
      </x:c>
      <x:c r="AH26" t="n">
        <x:f>AF26/AG26*'假设'!G463</x:f>
        <x:v>15.323180939908465</x:v>
      </x:c>
      <x:c r="AJ26" t="n">
        <x:v>0</x:v>
      </x:c>
      <x:c r="AK26" t="n">
        <x:v>0</x:v>
      </x:c>
      <x:c r="AL26" t="n">
        <x:v>0</x:v>
      </x:c>
      <x:c r="AM26" t="n">
        <x:f>CHOOSE('假设'!$B$3,AJ26,AK26,AL26)</x:f>
        <x:v>0</x:v>
      </x:c>
      <x:c r="AN26" t="n">
        <x:v>1</x:v>
      </x:c>
      <x:c r="AO26" s="42" t="n">
        <x:v>1</x:v>
      </x:c>
      <x:c r="AP26" s="42" t="n">
        <x:v>1</x:v>
      </x:c>
      <x:c r="AQ26" s="42" t="n">
        <x:v>1</x:v>
      </x:c>
      <x:c r="AR26" s="42" t="n">
        <x:v>1</x:v>
      </x:c>
      <x:c r="AS26" s="42" t="n">
        <x:v>1</x:v>
      </x:c>
      <x:c r="AT26" s="42" t="n">
        <x:v>1</x:v>
      </x:c>
      <x:c r="AU26" t="str">
        <x:v>USD</x:v>
      </x:c>
      <x:c r="AV26" t="str">
        <x:v>未设独立合同名</x:v>
      </x:c>
    </x:row>
    <x:row r="27" ht="23" customHeight="1">
      <x:c r="A27" s="11" t="str">
        <x:v>01093.HK</x:v>
      </x:c>
      <x:c r="B27" s="11" t="str">
        <x:v>2026年底</x:v>
      </x:c>
      <x:c r="C27" s="11" t="str">
        <x:v>JMT101_DOM</x:v>
      </x:c>
      <x:c r="D27" s="11" t="str">
        <x:v>2030-12-31</x:v>
      </x:c>
      <x:c r="E27" s="11" t="str">
        <x:v>CNY</x:v>
      </x:c>
      <x:c r="F27" s="11" t="n">
        <x:v>4</x:v>
      </x:c>
      <x:c r="G27" s="26" t="b">
        <x:v>1</x:v>
      </x:c>
      <x:c r="H27" s="16" t="n">
        <x:v>0.2</x:v>
      </x:c>
      <x:c r="I27" s="16" t="n">
        <x:v>1.56</x:v>
      </x:c>
      <x:c r="J27" s="16" t="n">
        <x:v>3.12</x:v>
      </x:c>
      <x:c r="K27" s="11" t="n">
        <x:f>CHOOSE('假设'!$B$3,H27,I27,J27)</x:f>
        <x:v>1.56</x:v>
      </x:c>
      <x:c r="L27" s="11" t="n">
        <x:f>K27*'管线假设'!E11*'管线假设'!F11*'管线假设'!G11*IF(E27="USD",'管线假设'!I11,1)-AM27</x:f>
        <x:v>0.164268</x:v>
      </x:c>
      <x:c r="M27" s="11" t="n">
        <x:f>'管线假设'!H11</x:f>
        <x:v>0.13</x:v>
      </x:c>
      <x:c r="N27" s="11" t="n">
        <x:f>IF(G27,L27*AN27/(1+M27)^F27,0)</x:f>
        <x:v>0.10074864075843586</x:v>
      </x:c>
      <x:c r="P27" t="str">
        <x:v>688382.SH</x:v>
      </x:c>
      <x:c r="Q27" t="str">
        <x:v>2026年底</x:v>
      </x:c>
      <x:c r="R27" t="str">
        <x:v>2030-12-31</x:v>
      </x:c>
      <x:c r="S27" t="n">
        <x:v>4</x:v>
      </x:c>
      <x:c r="T27" s="27" t="b">
        <x:v>1</x:v>
      </x:c>
      <x:c r="U27" s="42" t="n">
        <x:v>0</x:v>
      </x:c>
      <x:c r="V27" s="42" t="n">
        <x:v>0.03</x:v>
      </x:c>
      <x:c r="W27" s="42" t="n">
        <x:v>0.06</x:v>
      </x:c>
      <x:c r="X27" s="42" t="n">
        <x:v>1</x:v>
      </x:c>
      <x:c r="Y27" s="42" t="n">
        <x:v>1</x:v>
      </x:c>
      <x:c r="Z27" s="42" t="n">
        <x:v>1</x:v>
      </x:c>
      <x:c r="AA27" t="n">
        <x:f>AB27/(1+'管线假设'!H507)^S27</x:f>
        <x:v>0.014823530831112467</x:v>
      </x:c>
      <x:c r="AB27" t="n">
        <x:f>IF(T27,CHOOSE('假设'!$B$3,U27,V27,W27)*CHOOSE('假设'!$B$3,X27,Y27,Z27)*CHOOSE('假设'!$B$3,AO27,AP27,AQ27)*CHOOSE('假设'!$B$3,AR27,AS27,AT27)*IF(AU27="USD",'管线假设'!I507,1),0)</x:f>
        <x:v>0.0246</x:v>
      </x:c>
      <x:c r="AC27" t="str">
        <x:v>02162.HK 2026年底</x:v>
      </x:c>
      <x:c r="AD27" t="n">
        <x:f>SUM(N3722:N3930)</x:f>
        <x:v>17.840871583831852</x:v>
      </x:c>
      <x:c r="AE27" t="n">
        <x:f>SUM(AA37:AA45)</x:f>
        <x:v>0.45355396448827007</x:v>
      </x:c>
      <x:c r="AF27" t="n">
        <x:f>AD27+AE27</x:f>
        <x:v>18.294425548320124</x:v>
      </x:c>
      <x:c r="AG27" t="n">
        <x:f>'假设'!K527</x:f>
        <x:v>0.3</x:v>
      </x:c>
      <x:c r="AH27" t="n">
        <x:f>AF27/AG27*'假设'!G527</x:f>
        <x:v>67.07956034384046</x:v>
      </x:c>
      <x:c r="AJ27" t="n">
        <x:v>0</x:v>
      </x:c>
      <x:c r="AK27" t="n">
        <x:v>0</x:v>
      </x:c>
      <x:c r="AL27" t="n">
        <x:v>0</x:v>
      </x:c>
      <x:c r="AM27" t="n">
        <x:f>CHOOSE('假设'!$B$3,AJ27,AK27,AL27)</x:f>
        <x:v>0</x:v>
      </x:c>
      <x:c r="AN27" t="n">
        <x:v>1</x:v>
      </x:c>
      <x:c r="AO27" s="42" t="n">
        <x:v>0.8</x:v>
      </x:c>
      <x:c r="AP27" s="42" t="n">
        <x:v>0.8200000000000001</x:v>
      </x:c>
      <x:c r="AQ27" s="42" t="n">
        <x:v>0.85</x:v>
      </x:c>
      <x:c r="AR27" s="42" t="n">
        <x:v>1</x:v>
      </x:c>
      <x:c r="AS27" s="42" t="n">
        <x:v>1</x:v>
      </x:c>
      <x:c r="AT27" s="42" t="n">
        <x:v>1</x:v>
      </x:c>
      <x:c r="AU27" t="str">
        <x:v>CNY</x:v>
      </x:c>
      <x:c r="AV27" t="str">
        <x:v>betta_sales</x:v>
      </x:c>
    </x:row>
    <x:row r="28" ht="23" customHeight="1">
      <x:c r="A28" s="11" t="str">
        <x:v>01093.HK</x:v>
      </x:c>
      <x:c r="B28" s="11" t="str">
        <x:v>2026年底</x:v>
      </x:c>
      <x:c r="C28" s="11" t="str">
        <x:v>JMT101_DOM</x:v>
      </x:c>
      <x:c r="D28" s="11" t="str">
        <x:v>2031-12-31</x:v>
      </x:c>
      <x:c r="E28" s="11" t="str">
        <x:v>CNY</x:v>
      </x:c>
      <x:c r="F28" s="11" t="n">
        <x:v>4.999315537303217</x:v>
      </x:c>
      <x:c r="G28" s="26" t="b">
        <x:v>1</x:v>
      </x:c>
      <x:c r="H28" s="16" t="n">
        <x:v>0.36000000000000004</x:v>
      </x:c>
      <x:c r="I28" s="16" t="n">
        <x:v>2.04</x:v>
      </x:c>
      <x:c r="J28" s="16" t="n">
        <x:v>4.08</x:v>
      </x:c>
      <x:c r="K28" s="11" t="n">
        <x:f>CHOOSE('假设'!$B$3,H28,I28,J28)</x:f>
        <x:v>2.04</x:v>
      </x:c>
      <x:c r="L28" s="11" t="n">
        <x:f>K28*'管线假设'!E11*'管线假设'!F11*'管线假设'!G11*IF(E28="USD",'管线假设'!I11,1)-AM28</x:f>
        <x:v>0.214812</x:v>
      </x:c>
      <x:c r="M28" s="11" t="n">
        <x:f>'管线假设'!H11</x:f>
        <x:v>0.13</x:v>
      </x:c>
      <x:c r="N28" s="11" t="n">
        <x:f>IF(G28,L28*AN28/(1+M28)^F28,0)</x:f>
        <x:v>0.11660110104371295</x:v>
      </x:c>
      <x:c r="P28" t="str">
        <x:v>688382.SH</x:v>
      </x:c>
      <x:c r="Q28" t="str">
        <x:v>2026年底</x:v>
      </x:c>
      <x:c r="R28" t="str">
        <x:v>2030-12-31</x:v>
      </x:c>
      <x:c r="S28" t="n">
        <x:v>4</x:v>
      </x:c>
      <x:c r="T28" s="27" t="b">
        <x:v>1</x:v>
      </x:c>
      <x:c r="U28" s="42" t="n">
        <x:v>0.02</x:v>
      </x:c>
      <x:c r="V28" s="42" t="n">
        <x:v>0.08</x:v>
      </x:c>
      <x:c r="W28" s="42" t="n">
        <x:v>0.16</x:v>
      </x:c>
      <x:c r="X28" s="42" t="n">
        <x:v>1</x:v>
      </x:c>
      <x:c r="Y28" s="42" t="n">
        <x:v>1</x:v>
      </x:c>
      <x:c r="Z28" s="42" t="n">
        <x:v>1</x:v>
      </x:c>
      <x:c r="AA28" t="n">
        <x:f>AB28/(1+'管线假设'!H507)^S28</x:f>
        <x:v>0.03952941554963325</x:v>
      </x:c>
      <x:c r="AB28" t="n">
        <x:f>IF(T28,CHOOSE('假设'!$B$3,U28,V28,W28)*CHOOSE('假设'!$B$3,X28,Y28,Z28)*CHOOSE('假设'!$B$3,AO28,AP28,AQ28)*CHOOSE('假设'!$B$3,AR28,AS28,AT28)*IF(AU28="USD",'管线假设'!I507,1),0)</x:f>
        <x:v>0.0656</x:v>
      </x:c>
      <x:c r="AC28" t="str">
        <x:v>02162.HK 半年</x:v>
      </x:c>
      <x:c r="AD28" t="n">
        <x:f>SUM(N3931:N4139)</x:f>
        <x:v>18.560156142990756</x:v>
      </x:c>
      <x:c r="AE28" t="n">
        <x:f>SUM(AA46:AA54)</x:f>
        <x:v>0.46995131552286085</x:v>
      </x:c>
      <x:c r="AF28" t="n">
        <x:f>AD28+AE28</x:f>
        <x:v>19.030107458513616</x:v>
      </x:c>
      <x:c r="AG28" t="n">
        <x:f>'假设'!K531</x:f>
        <x:v>0.305</x:v>
      </x:c>
      <x:c r="AH28" t="n">
        <x:f>AF28/AG28*'假设'!G531</x:f>
        <x:v>68.63317444054091</x:v>
      </x:c>
      <x:c r="AJ28" t="n">
        <x:v>0</x:v>
      </x:c>
      <x:c r="AK28" t="n">
        <x:v>0</x:v>
      </x:c>
      <x:c r="AL28" t="n">
        <x:v>0</x:v>
      </x:c>
      <x:c r="AM28" t="n">
        <x:f>CHOOSE('假设'!$B$3,AJ28,AK28,AL28)</x:f>
        <x:v>0</x:v>
      </x:c>
      <x:c r="AN28" t="n">
        <x:v>1</x:v>
      </x:c>
      <x:c r="AO28" s="42" t="n">
        <x:v>0.8</x:v>
      </x:c>
      <x:c r="AP28" s="42" t="n">
        <x:v>0.8200000000000001</x:v>
      </x:c>
      <x:c r="AQ28" s="42" t="n">
        <x:v>0.85</x:v>
      </x:c>
      <x:c r="AR28" s="42" t="n">
        <x:v>1</x:v>
      </x:c>
      <x:c r="AS28" s="42" t="n">
        <x:v>1</x:v>
      </x:c>
      <x:c r="AT28" s="42" t="n">
        <x:v>1</x:v>
      </x:c>
      <x:c r="AU28" t="str">
        <x:v>CNY</x:v>
      </x:c>
      <x:c r="AV28" t="str">
        <x:v>ctt_future</x:v>
      </x:c>
    </x:row>
    <x:row r="29" ht="23" customHeight="1">
      <x:c r="A29" s="11" t="str">
        <x:v>01093.HK</x:v>
      </x:c>
      <x:c r="B29" s="11" t="str">
        <x:v>2026年底</x:v>
      </x:c>
      <x:c r="C29" s="11" t="str">
        <x:v>JMT101_DOM</x:v>
      </x:c>
      <x:c r="D29" s="11" t="str">
        <x:v>2032-12-31</x:v>
      </x:c>
      <x:c r="E29" s="11" t="str">
        <x:v>CNY</x:v>
      </x:c>
      <x:c r="F29" s="11" t="n">
        <x:v>6.0013689253935665</x:v>
      </x:c>
      <x:c r="G29" s="26" t="b">
        <x:v>1</x:v>
      </x:c>
      <x:c r="H29" s="16" t="n">
        <x:v>0.52</x:v>
      </x:c>
      <x:c r="I29" s="16" t="n">
        <x:v>2.4</x:v>
      </x:c>
      <x:c r="J29" s="16" t="n">
        <x:v>4.8</x:v>
      </x:c>
      <x:c r="K29" s="11" t="n">
        <x:f>CHOOSE('假设'!$B$3,H29,I29,J29)</x:f>
        <x:v>2.4</x:v>
      </x:c>
      <x:c r="L29" s="11" t="n">
        <x:f>K29*'管线假设'!E11*'管线假设'!F11*'管线假设'!G11*IF(E29="USD",'管线假设'!I11,1)-AM29</x:f>
        <x:v>0.25272</x:v>
      </x:c>
      <x:c r="M29" s="11" t="n">
        <x:f>'管线假设'!H11</x:f>
        <x:v>0.13</x:v>
      </x:c>
      <x:c r="N29" s="11" t="n">
        <x:f>IF(G29,L29*AN29/(1+M29)^F29,0)</x:f>
        <x:v>0.12136579122949276</x:v>
      </x:c>
      <x:c r="P29" t="str">
        <x:v>688382.SH</x:v>
      </x:c>
      <x:c r="Q29" t="str">
        <x:v>半年</x:v>
      </x:c>
      <x:c r="R29" t="str">
        <x:v>2030-12-31</x:v>
      </x:c>
      <x:c r="S29" t="n">
        <x:v>3.728952772073922</x:v>
      </x:c>
      <x:c r="T29" s="27" t="b">
        <x:v>1</x:v>
      </x:c>
      <x:c r="U29" s="42" t="n">
        <x:v>0</x:v>
      </x:c>
      <x:c r="V29" s="42" t="n">
        <x:v>0.03</x:v>
      </x:c>
      <x:c r="W29" s="42" t="n">
        <x:v>0.06</x:v>
      </x:c>
      <x:c r="X29" s="42" t="n">
        <x:v>1</x:v>
      </x:c>
      <x:c r="Y29" s="42" t="n">
        <x:v>1</x:v>
      </x:c>
      <x:c r="Z29" s="42" t="n">
        <x:v>1</x:v>
      </x:c>
      <x:c r="AA29" t="n">
        <x:f>AB29/(1+'管线假设'!H567)^S29</x:f>
        <x:v>0.015341157788252834</x:v>
      </x:c>
      <x:c r="AB29" t="n">
        <x:f>IF(T29,CHOOSE('假设'!$B$3,U29,V29,W29)*CHOOSE('假设'!$B$3,X29,Y29,Z29)*CHOOSE('假设'!$B$3,AO29,AP29,AQ29)*CHOOSE('假设'!$B$3,AR29,AS29,AT29)*IF(AU29="USD",'管线假设'!I567,1),0)</x:f>
        <x:v>0.0246</x:v>
      </x:c>
      <x:c r="AC29" t="str">
        <x:v>02162.HK 一年</x:v>
      </x:c>
      <x:c r="AD29" t="n">
        <x:f>SUM(N4140:N4348)</x:f>
        <x:v>19.967613874310747</x:v>
      </x:c>
      <x:c r="AE29" t="n">
        <x:f>SUM(AA55:AA63)</x:f>
        <x:v>0.5018382027618573</x:v>
      </x:c>
      <x:c r="AF29" t="n">
        <x:f>AD29+AE29</x:f>
        <x:v>20.469452077072603</x:v>
      </x:c>
      <x:c r="AG29" t="n">
        <x:f>'假设'!K535</x:f>
        <x:v>0.32</x:v>
      </x:c>
      <x:c r="AH29" t="n">
        <x:f>AF29/AG29*'假设'!G535</x:f>
        <x:v>70.36374151493708</x:v>
      </x:c>
      <x:c r="AJ29" t="n">
        <x:v>0</x:v>
      </x:c>
      <x:c r="AK29" t="n">
        <x:v>0</x:v>
      </x:c>
      <x:c r="AL29" t="n">
        <x:v>0</x:v>
      </x:c>
      <x:c r="AM29" t="n">
        <x:f>CHOOSE('假设'!$B$3,AJ29,AK29,AL29)</x:f>
        <x:v>0</x:v>
      </x:c>
      <x:c r="AN29" t="n">
        <x:v>1</x:v>
      </x:c>
      <x:c r="AO29" s="42" t="n">
        <x:v>0.8</x:v>
      </x:c>
      <x:c r="AP29" s="42" t="n">
        <x:v>0.8200000000000001</x:v>
      </x:c>
      <x:c r="AQ29" s="42" t="n">
        <x:v>0.85</x:v>
      </x:c>
      <x:c r="AR29" s="42" t="n">
        <x:v>1</x:v>
      </x:c>
      <x:c r="AS29" s="42" t="n">
        <x:v>1</x:v>
      </x:c>
      <x:c r="AT29" s="42" t="n">
        <x:v>1</x:v>
      </x:c>
      <x:c r="AU29" t="str">
        <x:v>CNY</x:v>
      </x:c>
      <x:c r="AV29" t="str">
        <x:v>betta_sales</x:v>
      </x:c>
    </x:row>
    <x:row r="30" ht="23" customHeight="1">
      <x:c r="A30" s="11" t="str">
        <x:v>01093.HK</x:v>
      </x:c>
      <x:c r="B30" s="11" t="str">
        <x:v>2026年底</x:v>
      </x:c>
      <x:c r="C30" s="11" t="str">
        <x:v>JMT101_DOM</x:v>
      </x:c>
      <x:c r="D30" s="11" t="str">
        <x:v>2033-12-31</x:v>
      </x:c>
      <x:c r="E30" s="11" t="str">
        <x:v>CNY</x:v>
      </x:c>
      <x:c r="F30" s="11" t="n">
        <x:v>7.000684462696783</x:v>
      </x:c>
      <x:c r="G30" s="26" t="b">
        <x:v>1</x:v>
      </x:c>
      <x:c r="H30" s="16" t="n">
        <x:v>0.68</x:v>
      </x:c>
      <x:c r="I30" s="16" t="n">
        <x:v>2.4</x:v>
      </x:c>
      <x:c r="J30" s="16" t="n">
        <x:v>4.8</x:v>
      </x:c>
      <x:c r="K30" s="11" t="n">
        <x:f>CHOOSE('假设'!$B$3,H30,I30,J30)</x:f>
        <x:v>2.4</x:v>
      </x:c>
      <x:c r="L30" s="11" t="n">
        <x:f>K30*'管线假设'!E11*'管线假设'!F11*'管线假设'!G11*IF(E30="USD",'管线假设'!I11,1)-AM30</x:f>
        <x:v>0.25272</x:v>
      </x:c>
      <x:c r="M30" s="11" t="n">
        <x:f>'管线假设'!H11</x:f>
        <x:v>0.13</x:v>
      </x:c>
      <x:c r="N30" s="11" t="n">
        <x:f>IF(G30,L30*AN30/(1+M30)^F30,0)</x:f>
        <x:v>0.10741234010310627</x:v>
      </x:c>
      <x:c r="P30" t="str">
        <x:v>688382.SH</x:v>
      </x:c>
      <x:c r="Q30" t="str">
        <x:v>半年</x:v>
      </x:c>
      <x:c r="R30" t="str">
        <x:v>2030-12-31</x:v>
      </x:c>
      <x:c r="S30" t="n">
        <x:v>3.728952772073922</x:v>
      </x:c>
      <x:c r="T30" s="27" t="b">
        <x:v>1</x:v>
      </x:c>
      <x:c r="U30" s="42" t="n">
        <x:v>0.02</x:v>
      </x:c>
      <x:c r="V30" s="42" t="n">
        <x:v>0.08</x:v>
      </x:c>
      <x:c r="W30" s="42" t="n">
        <x:v>0.16</x:v>
      </x:c>
      <x:c r="X30" s="42" t="n">
        <x:v>1</x:v>
      </x:c>
      <x:c r="Y30" s="42" t="n">
        <x:v>1</x:v>
      </x:c>
      <x:c r="Z30" s="42" t="n">
        <x:v>1</x:v>
      </x:c>
      <x:c r="AA30" t="n">
        <x:f>AB30/(1+'管线假设'!H567)^S30</x:f>
        <x:v>0.04090975410200756</x:v>
      </x:c>
      <x:c r="AB30" t="n">
        <x:f>IF(T30,CHOOSE('假设'!$B$3,U30,V30,W30)*CHOOSE('假设'!$B$3,X30,Y30,Z30)*CHOOSE('假设'!$B$3,AO30,AP30,AQ30)*CHOOSE('假设'!$B$3,AR30,AS30,AT30)*IF(AU30="USD",'管线假设'!I567,1),0)</x:f>
        <x:v>0.0656</x:v>
      </x:c>
      <x:c r="AC30" t="str">
        <x:v>02162.HK 三年</x:v>
      </x:c>
      <x:c r="AD30" t="n">
        <x:f>SUM(N4349:N4557)</x:f>
        <x:v>24.991885864728978</x:v>
      </x:c>
      <x:c r="AE30" t="n">
        <x:f>SUM(AA64:AA72)</x:f>
        <x:v>0.2586109255997555</x:v>
      </x:c>
      <x:c r="AF30" t="n">
        <x:f>AD30+AE30</x:f>
        <x:v>25.250496790328732</x:v>
      </x:c>
      <x:c r="AG30" t="n">
        <x:f>'假设'!K539</x:f>
        <x:v>0.35</x:v>
      </x:c>
      <x:c r="AH30" t="n">
        <x:f>AF30/AG30*'假设'!G539</x:f>
        <x:v>79.35870419817603</x:v>
      </x:c>
      <x:c r="AJ30" t="n">
        <x:v>0</x:v>
      </x:c>
      <x:c r="AK30" t="n">
        <x:v>0</x:v>
      </x:c>
      <x:c r="AL30" t="n">
        <x:v>0</x:v>
      </x:c>
      <x:c r="AM30" t="n">
        <x:f>CHOOSE('假设'!$B$3,AJ30,AK30,AL30)</x:f>
        <x:v>0</x:v>
      </x:c>
      <x:c r="AN30" t="n">
        <x:v>1</x:v>
      </x:c>
      <x:c r="AO30" s="42" t="n">
        <x:v>0.8</x:v>
      </x:c>
      <x:c r="AP30" s="42" t="n">
        <x:v>0.8200000000000001</x:v>
      </x:c>
      <x:c r="AQ30" s="42" t="n">
        <x:v>0.85</x:v>
      </x:c>
      <x:c r="AR30" s="42" t="n">
        <x:v>1</x:v>
      </x:c>
      <x:c r="AS30" s="42" t="n">
        <x:v>1</x:v>
      </x:c>
      <x:c r="AT30" s="42" t="n">
        <x:v>1</x:v>
      </x:c>
      <x:c r="AU30" t="str">
        <x:v>CNY</x:v>
      </x:c>
      <x:c r="AV30" t="str">
        <x:v>ctt_future</x:v>
      </x:c>
    </x:row>
    <x:row r="31" ht="23" customHeight="1">
      <x:c r="A31" s="11" t="str">
        <x:v>01093.HK</x:v>
      </x:c>
      <x:c r="B31" s="11" t="str">
        <x:v>2026年底</x:v>
      </x:c>
      <x:c r="C31" s="11" t="str">
        <x:v>JMT101_DOM</x:v>
      </x:c>
      <x:c r="D31" s="11" t="str">
        <x:v>2034-12-31</x:v>
      </x:c>
      <x:c r="E31" s="11" t="str">
        <x:v>CNY</x:v>
      </x:c>
      <x:c r="F31" s="11" t="n">
        <x:v>8</x:v>
      </x:c>
      <x:c r="G31" s="26" t="b">
        <x:v>1</x:v>
      </x:c>
      <x:c r="H31" s="16" t="n">
        <x:v>0.8</x:v>
      </x:c>
      <x:c r="I31" s="16" t="n">
        <x:v>2.28</x:v>
      </x:c>
      <x:c r="J31" s="16" t="n">
        <x:v>4.56</x:v>
      </x:c>
      <x:c r="K31" s="11" t="n">
        <x:f>CHOOSE('假设'!$B$3,H31,I31,J31)</x:f>
        <x:v>2.28</x:v>
      </x:c>
      <x:c r="L31" s="11" t="n">
        <x:f>K31*'管线假设'!E11*'管线假设'!F11*'管线假设'!G11*IF(E31="USD",'管线假设'!I11,1)-AM31</x:f>
        <x:v>0.240084</x:v>
      </x:c>
      <x:c r="M31" s="11" t="n">
        <x:f>'管线假设'!H11</x:f>
        <x:v>0.13</x:v>
      </x:c>
      <x:c r="N31" s="11" t="n">
        <x:f>IF(G31,L31*AN31/(1+M31)^F31,0)</x:f>
        <x:v>0.09030996424172455</x:v>
      </x:c>
      <x:c r="P31" t="str">
        <x:v>688382.SH</x:v>
      </x:c>
      <x:c r="Q31" t="str">
        <x:v>一年</x:v>
      </x:c>
      <x:c r="R31" t="str">
        <x:v>2030-12-31</x:v>
      </x:c>
      <x:c r="S31" t="n">
        <x:v>3.2279260780287475</x:v>
      </x:c>
      <x:c r="T31" s="27" t="b">
        <x:v>1</x:v>
      </x:c>
      <x:c r="U31" s="42" t="n">
        <x:v>0</x:v>
      </x:c>
      <x:c r="V31" s="42" t="n">
        <x:v>0.03</x:v>
      </x:c>
      <x:c r="W31" s="42" t="n">
        <x:v>0.06</x:v>
      </x:c>
      <x:c r="X31" s="42" t="n">
        <x:v>1</x:v>
      </x:c>
      <x:c r="Y31" s="42" t="n">
        <x:v>1</x:v>
      </x:c>
      <x:c r="Z31" s="42" t="n">
        <x:v>1</x:v>
      </x:c>
      <x:c r="AA31" t="n">
        <x:f>AB31/(1+'管线假设'!H627)^S31</x:f>
        <x:v>0.016346039027211143</x:v>
      </x:c>
      <x:c r="AB31" t="n">
        <x:f>IF(T31,CHOOSE('假设'!$B$3,U31,V31,W31)*CHOOSE('假设'!$B$3,X31,Y31,Z31)*CHOOSE('假设'!$B$3,AO31,AP31,AQ31)*CHOOSE('假设'!$B$3,AR31,AS31,AT31)*IF(AU31="USD",'管线假设'!I627,1),0)</x:f>
        <x:v>0.0246</x:v>
      </x:c>
      <x:c r="AC31" t="str">
        <x:v>02162.HK 五年</x:v>
      </x:c>
      <x:c r="AD31" t="n">
        <x:f>SUM(N4558:N4766)</x:f>
        <x:v>27.026276867475723</x:v>
      </x:c>
      <x:c r="AE31" t="n">
        <x:f>SUM(AA73:AA81)</x:f>
        <x:v>0.10395809689208477</x:v>
      </x:c>
      <x:c r="AF31" t="n">
        <x:f>AD31+AE31</x:f>
        <x:v>27.13023496436781</x:v>
      </x:c>
      <x:c r="AG31" t="n">
        <x:f>'假设'!K543</x:f>
        <x:v>0.38</x:v>
      </x:c>
      <x:c r="AH31" t="n">
        <x:f>AF31/AG31*'假设'!G543</x:f>
        <x:v>78.53489068632787</x:v>
      </x:c>
      <x:c r="AJ31" t="n">
        <x:v>0</x:v>
      </x:c>
      <x:c r="AK31" t="n">
        <x:v>0</x:v>
      </x:c>
      <x:c r="AL31" t="n">
        <x:v>0</x:v>
      </x:c>
      <x:c r="AM31" t="n">
        <x:f>CHOOSE('假设'!$B$3,AJ31,AK31,AL31)</x:f>
        <x:v>0</x:v>
      </x:c>
      <x:c r="AN31" t="n">
        <x:v>1</x:v>
      </x:c>
      <x:c r="AO31" s="42" t="n">
        <x:v>0.8</x:v>
      </x:c>
      <x:c r="AP31" s="42" t="n">
        <x:v>0.8200000000000001</x:v>
      </x:c>
      <x:c r="AQ31" s="42" t="n">
        <x:v>0.85</x:v>
      </x:c>
      <x:c r="AR31" s="42" t="n">
        <x:v>1</x:v>
      </x:c>
      <x:c r="AS31" s="42" t="n">
        <x:v>1</x:v>
      </x:c>
      <x:c r="AT31" s="42" t="n">
        <x:v>1</x:v>
      </x:c>
      <x:c r="AU31" t="str">
        <x:v>CNY</x:v>
      </x:c>
      <x:c r="AV31" t="str">
        <x:v>betta_sales</x:v>
      </x:c>
    </x:row>
    <x:row r="32" ht="23" customHeight="1">
      <x:c r="A32" s="11" t="str">
        <x:v>01093.HK</x:v>
      </x:c>
      <x:c r="B32" s="11" t="str">
        <x:v>2026年底</x:v>
      </x:c>
      <x:c r="C32" s="11" t="str">
        <x:v>JMT101_DOM</x:v>
      </x:c>
      <x:c r="D32" s="11" t="str">
        <x:v>2035-12-31</x:v>
      </x:c>
      <x:c r="E32" s="11" t="str">
        <x:v>CNY</x:v>
      </x:c>
      <x:c r="F32" s="11" t="n">
        <x:v>8.999315537303216</x:v>
      </x:c>
      <x:c r="G32" s="26" t="b">
        <x:v>1</x:v>
      </x:c>
      <x:c r="H32" s="16" t="n">
        <x:v>0.8</x:v>
      </x:c>
      <x:c r="I32" s="16" t="n">
        <x:v>2.112</x:v>
      </x:c>
      <x:c r="J32" s="16" t="n">
        <x:v>4.224</x:v>
      </x:c>
      <x:c r="K32" s="11" t="n">
        <x:f>CHOOSE('假设'!$B$3,H32,I32,J32)</x:f>
        <x:v>2.112</x:v>
      </x:c>
      <x:c r="L32" s="11" t="n">
        <x:f>K32*'管线假设'!E11*'管线假设'!F11*'管线假设'!G11*IF(E32="USD",'管线假设'!I11,1)-AM32</x:f>
        <x:v>0.2223936</x:v>
      </x:c>
      <x:c r="M32" s="11" t="n">
        <x:f>'管线假设'!H11</x:f>
        <x:v>0.13</x:v>
      </x:c>
      <x:c r="N32" s="11" t="n">
        <x:f>IF(G32,L32*AN32/(1+M32)^F32,0)</x:f>
        <x:v>0.07403764972419664</x:v>
      </x:c>
      <x:c r="P32" t="str">
        <x:v>688382.SH</x:v>
      </x:c>
      <x:c r="Q32" t="str">
        <x:v>一年</x:v>
      </x:c>
      <x:c r="R32" t="str">
        <x:v>2030-12-31</x:v>
      </x:c>
      <x:c r="S32" t="n">
        <x:v>3.2279260780287475</x:v>
      </x:c>
      <x:c r="T32" s="27" t="b">
        <x:v>1</x:v>
      </x:c>
      <x:c r="U32" s="42" t="n">
        <x:v>0.02</x:v>
      </x:c>
      <x:c r="V32" s="42" t="n">
        <x:v>0.08</x:v>
      </x:c>
      <x:c r="W32" s="42" t="n">
        <x:v>0.16</x:v>
      </x:c>
      <x:c r="X32" s="42" t="n">
        <x:v>1</x:v>
      </x:c>
      <x:c r="Y32" s="42" t="n">
        <x:v>1</x:v>
      </x:c>
      <x:c r="Z32" s="42" t="n">
        <x:v>1</x:v>
      </x:c>
      <x:c r="AA32" t="n">
        <x:f>AB32/(1+'管线假设'!H627)^S32</x:f>
        <x:v>0.04358943740589639</x:v>
      </x:c>
      <x:c r="AB32" t="n">
        <x:f>IF(T32,CHOOSE('假设'!$B$3,U32,V32,W32)*CHOOSE('假设'!$B$3,X32,Y32,Z32)*CHOOSE('假设'!$B$3,AO32,AP32,AQ32)*CHOOSE('假设'!$B$3,AR32,AS32,AT32)*IF(AU32="USD",'管线假设'!I627,1),0)</x:f>
        <x:v>0.0656</x:v>
      </x:c>
      <x:c r="AC32" t="str">
        <x:v>688062.SH 2026年底</x:v>
      </x:c>
      <x:c r="AD32" t="n">
        <x:f>SUM(N4767:N5070)</x:f>
        <x:v>5.473106339008902</x:v>
      </x:c>
      <x:c r="AE32" t="n">
        <x:f>SUM(AA82:AA85)</x:f>
        <x:v>1.009585223510946</x:v>
      </x:c>
      <x:c r="AF32" t="n">
        <x:f>AD32+AE32</x:f>
        <x:v>6.4826915625198485</x:v>
      </x:c>
      <x:c r="AG32" t="n">
        <x:f>'假设'!K627</x:f>
        <x:v>0.46</x:v>
      </x:c>
      <x:c r="AH32" t="n">
        <x:f>AF32/AG32*'假设'!G627</x:f>
        <x:v>14.092807744608365</x:v>
      </x:c>
      <x:c r="AJ32" t="n">
        <x:v>0</x:v>
      </x:c>
      <x:c r="AK32" t="n">
        <x:v>0</x:v>
      </x:c>
      <x:c r="AL32" t="n">
        <x:v>0</x:v>
      </x:c>
      <x:c r="AM32" t="n">
        <x:f>CHOOSE('假设'!$B$3,AJ32,AK32,AL32)</x:f>
        <x:v>0</x:v>
      </x:c>
      <x:c r="AN32" t="n">
        <x:v>1</x:v>
      </x:c>
      <x:c r="AO32" s="42" t="n">
        <x:v>0.8</x:v>
      </x:c>
      <x:c r="AP32" s="42" t="n">
        <x:v>0.8200000000000001</x:v>
      </x:c>
      <x:c r="AQ32" s="42" t="n">
        <x:v>0.85</x:v>
      </x:c>
      <x:c r="AR32" s="42" t="n">
        <x:v>1</x:v>
      </x:c>
      <x:c r="AS32" s="42" t="n">
        <x:v>1</x:v>
      </x:c>
      <x:c r="AT32" s="42" t="n">
        <x:v>1</x:v>
      </x:c>
      <x:c r="AU32" t="str">
        <x:v>CNY</x:v>
      </x:c>
      <x:c r="AV32" t="str">
        <x:v>ctt_future</x:v>
      </x:c>
    </x:row>
    <x:row r="33" ht="23" customHeight="1">
      <x:c r="A33" s="11" t="str">
        <x:v>01093.HK</x:v>
      </x:c>
      <x:c r="B33" s="11" t="str">
        <x:v>2026年底</x:v>
      </x:c>
      <x:c r="C33" s="11" t="str">
        <x:v>JMT101_DOM</x:v>
      </x:c>
      <x:c r="D33" s="11" t="str">
        <x:v>2036-12-31</x:v>
      </x:c>
      <x:c r="E33" s="11" t="str">
        <x:v>CNY</x:v>
      </x:c>
      <x:c r="F33" s="11" t="n">
        <x:v>10.001368925393566</x:v>
      </x:c>
      <x:c r="G33" s="26" t="b">
        <x:v>1</x:v>
      </x:c>
      <x:c r="H33" s="16" t="n">
        <x:v>0.76</x:v>
      </x:c>
      <x:c r="I33" s="16" t="n">
        <x:v>1.7999999999999998</x:v>
      </x:c>
      <x:c r="J33" s="16" t="n">
        <x:v>3.5999999999999996</x:v>
      </x:c>
      <x:c r="K33" s="11" t="n">
        <x:f>CHOOSE('假设'!$B$3,H33,I33,J33)</x:f>
        <x:v>1.7999999999999998</x:v>
      </x:c>
      <x:c r="L33" s="11" t="n">
        <x:f>K33*'管线假设'!E11*'管线假设'!F11*'管线假设'!G11*IF(E33="USD",'管线假设'!I11,1)-AM33</x:f>
        <x:v>0.18954</x:v>
      </x:c>
      <x:c r="M33" s="11" t="n">
        <x:f>'管线假设'!H11</x:f>
        <x:v>0.13</x:v>
      </x:c>
      <x:c r="N33" s="11" t="n">
        <x:f>IF(G33,L33*AN33/(1+M33)^F33,0)</x:f>
        <x:v>0.055826934495505035</x:v>
      </x:c>
      <x:c r="P33" t="str">
        <x:v>688382.SH</x:v>
      </x:c>
      <x:c r="Q33" t="str">
        <x:v>三年</x:v>
      </x:c>
      <x:c r="R33" t="str">
        <x:v>2030-12-31</x:v>
      </x:c>
      <x:c r="S33" t="n">
        <x:v>1.2265571526351813</x:v>
      </x:c>
      <x:c r="T33" s="27" t="b">
        <x:v>1</x:v>
      </x:c>
      <x:c r="U33" s="42" t="n">
        <x:v>0</x:v>
      </x:c>
      <x:c r="V33" s="42" t="n">
        <x:v>0.03</x:v>
      </x:c>
      <x:c r="W33" s="42" t="n">
        <x:v>0.06</x:v>
      </x:c>
      <x:c r="X33" s="42" t="n">
        <x:v>1</x:v>
      </x:c>
      <x:c r="Y33" s="42" t="n">
        <x:v>1</x:v>
      </x:c>
      <x:c r="Z33" s="42" t="n">
        <x:v>1</x:v>
      </x:c>
      <x:c r="AA33" t="n">
        <x:f>AB33/(1+'管线假设'!H687)^S33</x:f>
        <x:v>0.021061026752109815</x:v>
      </x:c>
      <x:c r="AB33" t="n">
        <x:f>IF(T33,CHOOSE('假设'!$B$3,U33,V33,W33)*CHOOSE('假设'!$B$3,X33,Y33,Z33)*CHOOSE('假设'!$B$3,AO33,AP33,AQ33)*CHOOSE('假设'!$B$3,AR33,AS33,AT33)*IF(AU33="USD",'管线假设'!I687,1),0)</x:f>
        <x:v>0.0246</x:v>
      </x:c>
      <x:c r="AC33" t="str">
        <x:v>688062.SH 半年</x:v>
      </x:c>
      <x:c r="AD33" t="n">
        <x:f>SUM(N5071:N5374)</x:f>
        <x:v>5.86952787429643</x:v>
      </x:c>
      <x:c r="AE33" t="n">
        <x:f>SUM(AA86:AA89)</x:f>
        <x:v>0.486635939863496</x:v>
      </x:c>
      <x:c r="AF33" t="n">
        <x:f>AD33+AE33</x:f>
        <x:v>6.356163814159926</x:v>
      </x:c>
      <x:c r="AG33" t="n">
        <x:f>'假设'!K631</x:f>
        <x:v>0.475</x:v>
      </x:c>
      <x:c r="AH33" t="n">
        <x:f>AF33/AG33*'假设'!G631</x:f>
        <x:v>13.381397503494581</x:v>
      </x:c>
      <x:c r="AJ33" t="n">
        <x:v>0</x:v>
      </x:c>
      <x:c r="AK33" t="n">
        <x:v>0</x:v>
      </x:c>
      <x:c r="AL33" t="n">
        <x:v>0</x:v>
      </x:c>
      <x:c r="AM33" t="n">
        <x:f>CHOOSE('假设'!$B$3,AJ33,AK33,AL33)</x:f>
        <x:v>0</x:v>
      </x:c>
      <x:c r="AN33" t="n">
        <x:v>1</x:v>
      </x:c>
      <x:c r="AO33" s="42" t="n">
        <x:v>0.8</x:v>
      </x:c>
      <x:c r="AP33" s="42" t="n">
        <x:v>0.8200000000000001</x:v>
      </x:c>
      <x:c r="AQ33" s="42" t="n">
        <x:v>0.85</x:v>
      </x:c>
      <x:c r="AR33" s="42" t="n">
        <x:v>1</x:v>
      </x:c>
      <x:c r="AS33" s="42" t="n">
        <x:v>1</x:v>
      </x:c>
      <x:c r="AT33" s="42" t="n">
        <x:v>1</x:v>
      </x:c>
      <x:c r="AU33" t="str">
        <x:v>CNY</x:v>
      </x:c>
      <x:c r="AV33" t="str">
        <x:v>betta_sales</x:v>
      </x:c>
    </x:row>
    <x:row r="34" ht="23" customHeight="1">
      <x:c r="A34" s="11" t="str">
        <x:v>01093.HK</x:v>
      </x:c>
      <x:c r="B34" s="11" t="str">
        <x:v>2026年底</x:v>
      </x:c>
      <x:c r="C34" s="11" t="str">
        <x:v>JMT101_DOM</x:v>
      </x:c>
      <x:c r="D34" s="11" t="str">
        <x:v>2037-12-31</x:v>
      </x:c>
      <x:c r="E34" s="11" t="str">
        <x:v>CNY</x:v>
      </x:c>
      <x:c r="F34" s="11" t="n">
        <x:v>11.000684462696784</x:v>
      </x:c>
      <x:c r="G34" s="26" t="b">
        <x:v>1</x:v>
      </x:c>
      <x:c r="H34" s="16" t="n">
        <x:v>0.7040000000000001</x:v>
      </x:c>
      <x:c r="I34" s="16" t="n">
        <x:v>1.44</x:v>
      </x:c>
      <x:c r="J34" s="16" t="n">
        <x:v>2.88</x:v>
      </x:c>
      <x:c r="K34" s="11" t="n">
        <x:f>CHOOSE('假设'!$B$3,H34,I34,J34)</x:f>
        <x:v>1.44</x:v>
      </x:c>
      <x:c r="L34" s="11" t="n">
        <x:f>K34*'管线假设'!E11*'管线假设'!F11*'管线假设'!G11*IF(E34="USD",'管线假设'!I11,1)-AM34</x:f>
        <x:v>0.151632</x:v>
      </x:c>
      <x:c r="M34" s="11" t="n">
        <x:f>'管线假设'!H11</x:f>
        <x:v>0.13</x:v>
      </x:c>
      <x:c r="N34" s="11" t="n">
        <x:f>IF(G34,L34*AN34/(1+M34)^F34,0)</x:f>
        <x:v>0.03952679986146097</x:v>
      </x:c>
      <x:c r="P34" t="str">
        <x:v>688382.SH</x:v>
      </x:c>
      <x:c r="Q34" t="str">
        <x:v>三年</x:v>
      </x:c>
      <x:c r="R34" t="str">
        <x:v>2030-12-31</x:v>
      </x:c>
      <x:c r="S34" t="n">
        <x:v>1.2265571526351813</x:v>
      </x:c>
      <x:c r="T34" s="27" t="b">
        <x:v>1</x:v>
      </x:c>
      <x:c r="U34" s="42" t="n">
        <x:v>0.02</x:v>
      </x:c>
      <x:c r="V34" s="42" t="n">
        <x:v>0.08</x:v>
      </x:c>
      <x:c r="W34" s="42" t="n">
        <x:v>0.16</x:v>
      </x:c>
      <x:c r="X34" s="42" t="n">
        <x:v>1</x:v>
      </x:c>
      <x:c r="Y34" s="42" t="n">
        <x:v>1</x:v>
      </x:c>
      <x:c r="Z34" s="42" t="n">
        <x:v>1</x:v>
      </x:c>
      <x:c r="AA34" t="n">
        <x:f>AB34/(1+'管线假设'!H687)^S34</x:f>
        <x:v>0.05616273800562618</x:v>
      </x:c>
      <x:c r="AB34" t="n">
        <x:f>IF(T34,CHOOSE('假设'!$B$3,U34,V34,W34)*CHOOSE('假设'!$B$3,X34,Y34,Z34)*CHOOSE('假设'!$B$3,AO34,AP34,AQ34)*CHOOSE('假设'!$B$3,AR34,AS34,AT34)*IF(AU34="USD",'管线假设'!I687,1),0)</x:f>
        <x:v>0.0656</x:v>
      </x:c>
      <x:c r="AC34" t="str">
        <x:v>688062.SH 一年</x:v>
      </x:c>
      <x:c r="AD34" t="n">
        <x:f>SUM(N5375:N5678)</x:f>
        <x:v>6.585820265931297</x:v>
      </x:c>
      <x:c r="AE34" t="n">
        <x:f>SUM(AA90:AA93)</x:f>
        <x:v>0.5196549033780593</x:v>
      </x:c>
      <x:c r="AF34" t="n">
        <x:f>AD34+AE34</x:f>
        <x:v>7.105475169309357</x:v>
      </x:c>
      <x:c r="AG34" t="n">
        <x:f>'假设'!K635</x:f>
        <x:v>0.49</x:v>
      </x:c>
      <x:c r="AH34" t="n">
        <x:f>AF34/AG34*'假设'!G635</x:f>
        <x:v>14.500969733284402</x:v>
      </x:c>
      <x:c r="AJ34" t="n">
        <x:v>0</x:v>
      </x:c>
      <x:c r="AK34" t="n">
        <x:v>0</x:v>
      </x:c>
      <x:c r="AL34" t="n">
        <x:v>0</x:v>
      </x:c>
      <x:c r="AM34" t="n">
        <x:f>CHOOSE('假设'!$B$3,AJ34,AK34,AL34)</x:f>
        <x:v>0</x:v>
      </x:c>
      <x:c r="AN34" t="n">
        <x:v>1</x:v>
      </x:c>
      <x:c r="AO34" s="42" t="n">
        <x:v>0.8</x:v>
      </x:c>
      <x:c r="AP34" s="42" t="n">
        <x:v>0.8200000000000001</x:v>
      </x:c>
      <x:c r="AQ34" s="42" t="n">
        <x:v>0.85</x:v>
      </x:c>
      <x:c r="AR34" s="42" t="n">
        <x:v>1</x:v>
      </x:c>
      <x:c r="AS34" s="42" t="n">
        <x:v>1</x:v>
      </x:c>
      <x:c r="AT34" s="42" t="n">
        <x:v>1</x:v>
      </x:c>
      <x:c r="AU34" t="str">
        <x:v>CNY</x:v>
      </x:c>
      <x:c r="AV34" t="str">
        <x:v>ctt_future</x:v>
      </x:c>
    </x:row>
    <x:row r="35" ht="23" customHeight="1">
      <x:c r="A35" s="11" t="str">
        <x:v>01093.HK</x:v>
      </x:c>
      <x:c r="B35" s="11" t="str">
        <x:v>2026年底</x:v>
      </x:c>
      <x:c r="C35" s="11" t="str">
        <x:v>JMT101_DOM</x:v>
      </x:c>
      <x:c r="D35" s="11" t="str">
        <x:v>2038-12-31</x:v>
      </x:c>
      <x:c r="E35" s="11" t="str">
        <x:v>CNY</x:v>
      </x:c>
      <x:c r="F35" s="11" t="n">
        <x:v>12</x:v>
      </x:c>
      <x:c r="G35" s="26" t="b">
        <x:v>1</x:v>
      </x:c>
      <x:c r="H35" s="16" t="n">
        <x:v>0.6000000000000001</x:v>
      </x:c>
      <x:c r="I35" s="16" t="n">
        <x:v>1.08</x:v>
      </x:c>
      <x:c r="J35" s="16" t="n">
        <x:v>2.16</x:v>
      </x:c>
      <x:c r="K35" s="11" t="n">
        <x:f>CHOOSE('假设'!$B$3,H35,I35,J35)</x:f>
        <x:v>1.08</x:v>
      </x:c>
      <x:c r="L35" s="11" t="n">
        <x:f>K35*'管线假设'!E11*'管线假设'!F11*'管线假设'!G11*IF(E35="USD",'管线假设'!I11,1)-AM35</x:f>
        <x:v>0.113724</x:v>
      </x:c>
      <x:c r="M35" s="11" t="n">
        <x:f>'管线假设'!H11</x:f>
        <x:v>0.13</x:v>
      </x:c>
      <x:c r="N35" s="11" t="n">
        <x:f>IF(G35,L35*AN35/(1+M35)^F35,0)</x:f>
        <x:v>0.026236796383660037</x:v>
      </x:c>
      <x:c r="P35" t="str">
        <x:v>688382.SH</x:v>
      </x:c>
      <x:c r="Q35" t="str">
        <x:v>五年</x:v>
      </x:c>
      <x:c r="R35" t="str">
        <x:v>2030-12-31</x:v>
      </x:c>
      <x:c r="S35" t="n">
        <x:v>-0.7720739219712526</x:v>
      </x:c>
      <x:c r="T35" s="27" t="b">
        <x:v>0</x:v>
      </x:c>
      <x:c r="U35" s="42" t="n">
        <x:v>0</x:v>
      </x:c>
      <x:c r="V35" s="42" t="n">
        <x:v>0.03</x:v>
      </x:c>
      <x:c r="W35" s="42" t="n">
        <x:v>0.06</x:v>
      </x:c>
      <x:c r="X35" s="42" t="n">
        <x:v>1</x:v>
      </x:c>
      <x:c r="Y35" s="42" t="n">
        <x:v>1</x:v>
      </x:c>
      <x:c r="Z35" s="42" t="n">
        <x:v>1</x:v>
      </x:c>
      <x:c r="AA35" t="n">
        <x:f>AB35/(1+'管线假设'!H747)^S35</x:f>
        <x:v>0</x:v>
      </x:c>
      <x:c r="AB35" t="n">
        <x:f>IF(T35,CHOOSE('假设'!$B$3,U35,V35,W35)*CHOOSE('假设'!$B$3,X35,Y35,Z35)*CHOOSE('假设'!$B$3,AO35,AP35,AQ35)*CHOOSE('假设'!$B$3,AR35,AS35,AT35)*IF(AU35="USD",'管线假设'!I747,1),0)</x:f>
        <x:v>0</x:v>
      </x:c>
      <x:c r="AC35" t="str">
        <x:v>688062.SH 三年</x:v>
      </x:c>
      <x:c r="AD35" t="n">
        <x:f>SUM(N5679:N5982)</x:f>
        <x:v>9.894627112592207</x:v>
      </x:c>
      <x:c r="AE35" t="n">
        <x:f>SUM(AA94:AA97)</x:f>
        <x:v>0.6754646582528326</x:v>
      </x:c>
      <x:c r="AF35" t="n">
        <x:f>AD35+AE35</x:f>
        <x:v>10.57009177084504</x:v>
      </x:c>
      <x:c r="AG35" t="n">
        <x:f>'假设'!K639</x:f>
        <x:v>0.55</x:v>
      </x:c>
      <x:c r="AH35" t="n">
        <x:f>AF35/AG35*'假设'!G639</x:f>
        <x:v>19.21834867426371</x:v>
      </x:c>
      <x:c r="AJ35" t="n">
        <x:v>0</x:v>
      </x:c>
      <x:c r="AK35" t="n">
        <x:v>0</x:v>
      </x:c>
      <x:c r="AL35" t="n">
        <x:v>0</x:v>
      </x:c>
      <x:c r="AM35" t="n">
        <x:f>CHOOSE('假设'!$B$3,AJ35,AK35,AL35)</x:f>
        <x:v>0</x:v>
      </x:c>
      <x:c r="AN35" t="n">
        <x:v>1</x:v>
      </x:c>
      <x:c r="AO35" s="42" t="n">
        <x:v>0.8</x:v>
      </x:c>
      <x:c r="AP35" s="42" t="n">
        <x:v>0.8200000000000001</x:v>
      </x:c>
      <x:c r="AQ35" s="42" t="n">
        <x:v>0.85</x:v>
      </x:c>
      <x:c r="AR35" s="42" t="n">
        <x:v>1</x:v>
      </x:c>
      <x:c r="AS35" s="42" t="n">
        <x:v>1</x:v>
      </x:c>
      <x:c r="AT35" s="42" t="n">
        <x:v>1</x:v>
      </x:c>
      <x:c r="AU35" t="str">
        <x:v>CNY</x:v>
      </x:c>
      <x:c r="AV35" t="str">
        <x:v>betta_sales</x:v>
      </x:c>
    </x:row>
    <x:row r="36" ht="23" customHeight="1">
      <x:c r="A36" s="11" t="str">
        <x:v>01093.HK</x:v>
      </x:c>
      <x:c r="B36" s="11" t="str">
        <x:v>2026年底</x:v>
      </x:c>
      <x:c r="C36" s="11" t="str">
        <x:v>JMT101_DOM</x:v>
      </x:c>
      <x:c r="D36" s="11" t="str">
        <x:v>2039-12-31</x:v>
      </x:c>
      <x:c r="E36" s="11" t="str">
        <x:v>CNY</x:v>
      </x:c>
      <x:c r="F36" s="11" t="n">
        <x:v>12.999315537303216</x:v>
      </x:c>
      <x:c r="G36" s="26" t="b">
        <x:v>1</x:v>
      </x:c>
      <x:c r="H36" s="16" t="n">
        <x:v>0.48</x:v>
      </x:c>
      <x:c r="I36" s="16" t="n">
        <x:v>0.72</x:v>
      </x:c>
      <x:c r="J36" s="16" t="n">
        <x:v>1.44</x:v>
      </x:c>
      <x:c r="K36" s="11" t="n">
        <x:f>CHOOSE('假设'!$B$3,H36,I36,J36)</x:f>
        <x:v>0.72</x:v>
      </x:c>
      <x:c r="L36" s="11" t="n">
        <x:f>K36*'管线假设'!E11*'管线假设'!F11*'管线假设'!G11*IF(E36="USD",'管线假设'!I11,1)-AM36</x:f>
        <x:v>0.075816</x:v>
      </x:c>
      <x:c r="M36" s="11" t="n">
        <x:f>'管线假设'!H11</x:f>
        <x:v>0.13</x:v>
      </x:c>
      <x:c r="N36" s="11" t="n">
        <x:f>IF(G36,L36*AN36/(1+M36)^F36,0)</x:f>
        <x:v>0.015480230839505333</x:v>
      </x:c>
      <x:c r="P36" t="str">
        <x:v>688382.SH</x:v>
      </x:c>
      <x:c r="Q36" t="str">
        <x:v>五年</x:v>
      </x:c>
      <x:c r="R36" t="str">
        <x:v>2030-12-31</x:v>
      </x:c>
      <x:c r="S36" t="n">
        <x:v>-0.7720739219712526</x:v>
      </x:c>
      <x:c r="T36" s="27" t="b">
        <x:v>0</x:v>
      </x:c>
      <x:c r="U36" s="42" t="n">
        <x:v>0.02</x:v>
      </x:c>
      <x:c r="V36" s="42" t="n">
        <x:v>0.08</x:v>
      </x:c>
      <x:c r="W36" s="42" t="n">
        <x:v>0.16</x:v>
      </x:c>
      <x:c r="X36" s="42" t="n">
        <x:v>1</x:v>
      </x:c>
      <x:c r="Y36" s="42" t="n">
        <x:v>1</x:v>
      </x:c>
      <x:c r="Z36" s="42" t="n">
        <x:v>1</x:v>
      </x:c>
      <x:c r="AA36" t="n">
        <x:f>AB36/(1+'管线假设'!H747)^S36</x:f>
        <x:v>0</x:v>
      </x:c>
      <x:c r="AB36" t="n">
        <x:f>IF(T36,CHOOSE('假设'!$B$3,U36,V36,W36)*CHOOSE('假设'!$B$3,X36,Y36,Z36)*CHOOSE('假设'!$B$3,AO36,AP36,AQ36)*CHOOSE('假设'!$B$3,AR36,AS36,AT36)*IF(AU36="USD",'管线假设'!I747,1),0)</x:f>
        <x:v>0</x:v>
      </x:c>
      <x:c r="AC36" t="str">
        <x:v>688062.SH 五年</x:v>
      </x:c>
      <x:c r="AD36" t="n">
        <x:f>SUM(N5983:N6286)</x:f>
        <x:v>12.96225807682209</x:v>
      </x:c>
      <x:c r="AE36" t="n">
        <x:f>SUM(AA98:AA101)</x:f>
        <x:v>0.7969565264085374</x:v>
      </x:c>
      <x:c r="AF36" t="n">
        <x:f>AD36+AE36</x:f>
        <x:v>13.759214603230628</x:v>
      </x:c>
      <x:c r="AG36" t="n">
        <x:f>'假设'!K643</x:f>
        <x:v>0.61</x:v>
      </x:c>
      <x:c r="AH36" t="n">
        <x:f>AF36/AG36*'假设'!G643</x:f>
        <x:v>22.556089513492832</x:v>
      </x:c>
      <x:c r="AJ36" t="n">
        <x:v>0</x:v>
      </x:c>
      <x:c r="AK36" t="n">
        <x:v>0</x:v>
      </x:c>
      <x:c r="AL36" t="n">
        <x:v>0</x:v>
      </x:c>
      <x:c r="AM36" t="n">
        <x:f>CHOOSE('假设'!$B$3,AJ36,AK36,AL36)</x:f>
        <x:v>0</x:v>
      </x:c>
      <x:c r="AN36" t="n">
        <x:v>1</x:v>
      </x:c>
      <x:c r="AO36" s="42" t="n">
        <x:v>0.8</x:v>
      </x:c>
      <x:c r="AP36" s="42" t="n">
        <x:v>0.8200000000000001</x:v>
      </x:c>
      <x:c r="AQ36" s="42" t="n">
        <x:v>0.85</x:v>
      </x:c>
      <x:c r="AR36" s="42" t="n">
        <x:v>1</x:v>
      </x:c>
      <x:c r="AS36" s="42" t="n">
        <x:v>1</x:v>
      </x:c>
      <x:c r="AT36" s="42" t="n">
        <x:v>1</x:v>
      </x:c>
      <x:c r="AU36" t="str">
        <x:v>CNY</x:v>
      </x:c>
      <x:c r="AV36" t="str">
        <x:v>ctt_future</x:v>
      </x:c>
    </x:row>
    <x:row r="37" ht="23" customHeight="1">
      <x:c r="A37" s="11" t="str">
        <x:v>01093.HK</x:v>
      </x:c>
      <x:c r="B37" s="11" t="str">
        <x:v>2026年底</x:v>
      </x:c>
      <x:c r="C37" s="11" t="str">
        <x:v>JMT101_DOM</x:v>
      </x:c>
      <x:c r="D37" s="11" t="str">
        <x:v>2040-12-31</x:v>
      </x:c>
      <x:c r="E37" s="11" t="str">
        <x:v>CNY</x:v>
      </x:c>
      <x:c r="F37" s="11" t="n">
        <x:v>14.001368925393566</x:v>
      </x:c>
      <x:c r="G37" s="26" t="b">
        <x:v>1</x:v>
      </x:c>
      <x:c r="H37" s="16" t="n">
        <x:v>0.36000000000000004</x:v>
      </x:c>
      <x:c r="I37" s="16" t="n">
        <x:v>0.432</x:v>
      </x:c>
      <x:c r="J37" s="16" t="n">
        <x:v>0.864</x:v>
      </x:c>
      <x:c r="K37" s="11" t="n">
        <x:f>CHOOSE('假设'!$B$3,H37,I37,J37)</x:f>
        <x:v>0.432</x:v>
      </x:c>
      <x:c r="L37" s="11" t="n">
        <x:f>K37*'管线假设'!E11*'管线假设'!F11*'管线假设'!G11*IF(E37="USD",'管线假设'!I11,1)-AM37</x:f>
        <x:v>0.0454896</x:v>
      </x:c>
      <x:c r="M37" s="11" t="n">
        <x:f>'管线假设'!H11</x:f>
        <x:v>0.13</x:v>
      </x:c>
      <x:c r="N37" s="11" t="n">
        <x:f>IF(G37,L37*AN37/(1+M37)^F37,0)</x:f>
        <x:v>0.008217529064405534</x:v>
      </x:c>
      <x:c r="P37" t="str">
        <x:v>02162.HK</x:v>
      </x:c>
      <x:c r="Q37" t="str">
        <x:v>2026年底</x:v>
      </x:c>
      <x:c r="R37" t="str">
        <x:v>2027-12-31</x:v>
      </x:c>
      <x:c r="S37" t="n">
        <x:v>0.999315537303217</x:v>
      </x:c>
      <x:c r="T37" s="27" t="b">
        <x:v>1</x:v>
      </x:c>
      <x:c r="U37" s="42" t="n">
        <x:v>0</x:v>
      </x:c>
      <x:c r="V37" s="42" t="n">
        <x:v>0.06</x:v>
      </x:c>
      <x:c r="W37" s="42" t="n">
        <x:v>0.1</x:v>
      </x:c>
      <x:c r="X37" s="42" t="n">
        <x:v>0</x:v>
      </x:c>
      <x:c r="Y37" s="42" t="n">
        <x:v>0.65</x:v>
      </x:c>
      <x:c r="Z37" s="42" t="n">
        <x:v>0.85</x:v>
      </x:c>
      <x:c r="AA37" t="n">
        <x:f>AB37/(1+'管线假设'!H807)^S37</x:f>
        <x:v>0.14249962146224654</x:v>
      </x:c>
      <x:c r="AB37" t="n">
        <x:f>IF(T37,CHOOSE('假设'!$B$3,U37,V37,W37)*CHOOSE('假设'!$B$3,X37,Y37,Z37)*CHOOSE('假设'!$B$3,AO37,AP37,AQ37)*CHOOSE('假设'!$B$3,AR37,AS37,AT37)*IF(AU37="USD",'管线假设'!I807,1),0)</x:f>
        <x:v>0.16243499999999997</x:v>
      </x:c>
      <x:c r="AC37" t="str">
        <x:v>09995.HK 2026年底</x:v>
      </x:c>
      <x:c r="AD37" t="n">
        <x:f>SUM(N6287:N6476)</x:f>
        <x:v>31.033064739579356</x:v>
      </x:c>
      <x:c r="AE37" t="n">
        <x:f>SUM(AA102:AA111)</x:f>
        <x:v>1.0358007958942963</x:v>
      </x:c>
      <x:c r="AF37" t="n">
        <x:f>AD37+AE37</x:f>
        <x:v>32.06886553547365</x:v>
      </x:c>
      <x:c r="AG37" t="n">
        <x:f>'假设'!K807</x:f>
        <x:v>0.569</x:v>
      </x:c>
      <x:c r="AH37" t="n">
        <x:f>AF37/AG37*'假设'!G807</x:f>
        <x:v>61.996049365590544</x:v>
      </x:c>
      <x:c r="AJ37" t="n">
        <x:v>0</x:v>
      </x:c>
      <x:c r="AK37" t="n">
        <x:v>0</x:v>
      </x:c>
      <x:c r="AL37" t="n">
        <x:v>0</x:v>
      </x:c>
      <x:c r="AM37" t="n">
        <x:f>CHOOSE('假设'!$B$3,AJ37,AK37,AL37)</x:f>
        <x:v>0</x:v>
      </x:c>
      <x:c r="AN37" t="n">
        <x:v>1</x:v>
      </x:c>
      <x:c r="AO37" s="42" t="n">
        <x:v>0.8</x:v>
      </x:c>
      <x:c r="AP37" s="42" t="n">
        <x:v>0.85</x:v>
      </x:c>
      <x:c r="AQ37" s="42" t="n">
        <x:v>0.85</x:v>
      </x:c>
      <x:c r="AR37" s="42" t="n">
        <x:v>0.9</x:v>
      </x:c>
      <x:c r="AS37" s="42" t="n">
        <x:v>0.7</x:v>
      </x:c>
      <x:c r="AT37" s="42" t="n">
        <x:v>0.7</x:v>
      </x:c>
      <x:c r="AU37" t="str">
        <x:v>USD</x:v>
      </x:c>
      <x:c r="AV37" t="str">
        <x:v>CMG901 future eligible milestones</x:v>
      </x:c>
    </x:row>
    <x:row r="38" ht="23" customHeight="1">
      <x:c r="A38" s="11" t="str">
        <x:v>01093.HK</x:v>
      </x:c>
      <x:c r="B38" s="11" t="str">
        <x:v>2026年底</x:v>
      </x:c>
      <x:c r="C38" s="11" t="str">
        <x:v>JMT101_DOM</x:v>
      </x:c>
      <x:c r="D38" s="11" t="str">
        <x:v>2041-12-31</x:v>
      </x:c>
      <x:c r="E38" s="11" t="str">
        <x:v>CNY</x:v>
      </x:c>
      <x:c r="F38" s="11" t="n">
        <x:v>15.000684462696784</x:v>
      </x:c>
      <x:c r="G38" s="26" t="b">
        <x:v>1</x:v>
      </x:c>
      <x:c r="H38" s="16" t="n">
        <x:v>0.24</x:v>
      </x:c>
      <x:c r="I38" s="16" t="n">
        <x:v>0.24</x:v>
      </x:c>
      <x:c r="J38" s="16" t="n">
        <x:v>0.48</x:v>
      </x:c>
      <x:c r="K38" s="11" t="n">
        <x:f>CHOOSE('假设'!$B$3,H38,I38,J38)</x:f>
        <x:v>0.24</x:v>
      </x:c>
      <x:c r="L38" s="11" t="n">
        <x:f>K38*'管线假设'!E11*'管线假设'!F11*'管线假设'!G11*IF(E38="USD",'管线假设'!I11,1)-AM38</x:f>
        <x:v>0.025272</x:v>
      </x:c>
      <x:c r="M38" s="11" t="n">
        <x:f>'管线假设'!H11</x:f>
        <x:v>0.13</x:v>
      </x:c>
      <x:c r="N38" s="11" t="n">
        <x:f>IF(G38,L38*AN38/(1+M38)^F38,0)</x:f>
        <x:v>0.004040421100044768</x:v>
      </x:c>
      <x:c r="P38" t="str">
        <x:v>02162.HK</x:v>
      </x:c>
      <x:c r="Q38" t="str">
        <x:v>2026年底</x:v>
      </x:c>
      <x:c r="R38" t="str">
        <x:v>2028-12-31</x:v>
      </x:c>
      <x:c r="S38" t="n">
        <x:v>2.001368925393566</x:v>
      </x:c>
      <x:c r="T38" s="27" t="b">
        <x:v>1</x:v>
      </x:c>
      <x:c r="U38" s="42" t="n">
        <x:v>0</x:v>
      </x:c>
      <x:c r="V38" s="42" t="n">
        <x:v>0.06</x:v>
      </x:c>
      <x:c r="W38" s="42" t="n">
        <x:v>0.1</x:v>
      </x:c>
      <x:c r="X38" s="42" t="n">
        <x:v>0</x:v>
      </x:c>
      <x:c r="Y38" s="42" t="n">
        <x:v>0.25</x:v>
      </x:c>
      <x:c r="Z38" s="42" t="n">
        <x:v>0.5</x:v>
      </x:c>
      <x:c r="AA38" t="n">
        <x:f>AB38/(1+'管线假设'!H807)^S38</x:f>
        <x:v>0.06866265993317391</x:v>
      </x:c>
      <x:c r="AB38" t="n">
        <x:f>IF(T38,CHOOSE('假设'!$B$3,U38,V38,W38)*CHOOSE('假设'!$B$3,X38,Y38,Z38)*CHOOSE('假设'!$B$3,AO38,AP38,AQ38)*CHOOSE('假设'!$B$3,AR38,AS38,AT38)*IF(AU38="USD",'管线假设'!I807,1),0)</x:f>
        <x:v>0.08925</x:v>
      </x:c>
      <x:c r="AC38" t="str">
        <x:v>09995.HK 半年</x:v>
      </x:c>
      <x:c r="AD38" t="n">
        <x:f>SUM(N6477:N6666)</x:f>
        <x:v>32.03920643565881</x:v>
      </x:c>
      <x:c r="AE38" t="n">
        <x:f>SUM(AA112:AA121)</x:f>
        <x:v>1.0732481353114485</x:v>
      </x:c>
      <x:c r="AF38" t="n">
        <x:f>AD38+AE38</x:f>
        <x:v>33.11245457097026</x:v>
      </x:c>
      <x:c r="AG38" t="n">
        <x:f>'假设'!K811</x:f>
        <x:v>0.576</x:v>
      </x:c>
      <x:c r="AH38" t="n">
        <x:f>AF38/AG38*'假设'!G811</x:f>
        <x:v>63.23559032650571</x:v>
      </x:c>
      <x:c r="AJ38" t="n">
        <x:v>0</x:v>
      </x:c>
      <x:c r="AK38" t="n">
        <x:v>0</x:v>
      </x:c>
      <x:c r="AL38" t="n">
        <x:v>0</x:v>
      </x:c>
      <x:c r="AM38" t="n">
        <x:f>CHOOSE('假设'!$B$3,AJ38,AK38,AL38)</x:f>
        <x:v>0</x:v>
      </x:c>
      <x:c r="AN38" t="n">
        <x:v>1</x:v>
      </x:c>
      <x:c r="AO38" s="42" t="n">
        <x:v>0.8</x:v>
      </x:c>
      <x:c r="AP38" s="42" t="n">
        <x:v>0.85</x:v>
      </x:c>
      <x:c r="AQ38" s="42" t="n">
        <x:v>0.85</x:v>
      </x:c>
      <x:c r="AR38" s="42" t="n">
        <x:v>0.9</x:v>
      </x:c>
      <x:c r="AS38" s="42" t="n">
        <x:v>1</x:v>
      </x:c>
      <x:c r="AT38" s="42" t="n">
        <x:v>1</x:v>
      </x:c>
      <x:c r="AU38" t="str">
        <x:v>USD</x:v>
      </x:c>
      <x:c r="AV38" t="str">
        <x:v>CM336 legacy license future milestones, excludes already received equity-sale upfront</x:v>
      </x:c>
    </x:row>
    <x:row r="39" ht="23" customHeight="1">
      <x:c r="A39" s="11" t="str">
        <x:v>01093.HK</x:v>
      </x:c>
      <x:c r="B39" s="11" t="str">
        <x:v>2026年底</x:v>
      </x:c>
      <x:c r="C39" s="11" t="str">
        <x:v>JMT101_DOM</x:v>
      </x:c>
      <x:c r="D39" s="11" t="str">
        <x:v>2042-12-31</x:v>
      </x:c>
      <x:c r="E39" s="11" t="str">
        <x:v>CNY</x:v>
      </x:c>
      <x:c r="F39" s="11" t="n">
        <x:v>16</x:v>
      </x:c>
      <x:c r="G39" s="26" t="b">
        <x:v>1</x:v>
      </x:c>
      <x:c r="H39" s="16" t="n">
        <x:v>0.144</x:v>
      </x:c>
      <x:c r="I39" s="16" t="n">
        <x:v>0.12</x:v>
      </x:c>
      <x:c r="J39" s="16" t="n">
        <x:v>0.24</x:v>
      </x:c>
      <x:c r="K39" s="11" t="n">
        <x:f>CHOOSE('假设'!$B$3,H39,I39,J39)</x:f>
        <x:v>0.12</x:v>
      </x:c>
      <x:c r="L39" s="11" t="n">
        <x:f>K39*'管线假设'!E11*'管线假设'!F11*'管线假设'!G11*IF(E39="USD",'管线假设'!I11,1)-AM39</x:f>
        <x:v>0.012636</x:v>
      </x:c>
      <x:c r="M39" s="11" t="n">
        <x:f>'管线假设'!H11</x:f>
        <x:v>0.13</x:v>
      </x:c>
      <x:c r="N39" s="11" t="n">
        <x:f>IF(G39,L39*AN39/(1+M39)^F39,0)</x:f>
        <x:v>0.0017879465084899163</x:v>
      </x:c>
      <x:c r="P39" t="str">
        <x:v>02162.HK</x:v>
      </x:c>
      <x:c r="Q39" t="str">
        <x:v>2026年底</x:v>
      </x:c>
      <x:c r="R39" t="str">
        <x:v>2028-12-31</x:v>
      </x:c>
      <x:c r="S39" t="n">
        <x:v>2.001368925393566</x:v>
      </x:c>
      <x:c r="T39" s="27" t="b">
        <x:v>1</x:v>
      </x:c>
      <x:c r="U39" s="42" t="n">
        <x:v>0.04</x:v>
      </x:c>
      <x:c r="V39" s="42" t="n">
        <x:v>0</x:v>
      </x:c>
      <x:c r="W39" s="42" t="n">
        <x:v>0</x:v>
      </x:c>
      <x:c r="X39" s="42" t="n">
        <x:v>0.35</x:v>
      </x:c>
      <x:c r="Y39" s="42" t="n">
        <x:v>0</x:v>
      </x:c>
      <x:c r="Z39" s="42" t="n">
        <x:v>0</x:v>
      </x:c>
      <x:c r="AA39" t="n">
        <x:f>AB39/(1+'管线假设'!H807)^S39</x:f>
        <x:v>0</x:v>
      </x:c>
      <x:c r="AB39" t="n">
        <x:f>IF(T39,CHOOSE('假设'!$B$3,U39,V39,W39)*CHOOSE('假设'!$B$3,X39,Y39,Z39)*CHOOSE('假设'!$B$3,AO39,AP39,AQ39)*CHOOSE('假设'!$B$3,AR39,AS39,AT39)*IF(AU39="USD",'管线假设'!I807,1),0)</x:f>
        <x:v>0</x:v>
      </x:c>
      <x:c r="AC39" t="str">
        <x:v>09995.HK 一年</x:v>
      </x:c>
      <x:c r="AD39" t="n">
        <x:f>SUM(N6667:N6856)</x:f>
        <x:v>33.98220737949702</x:v>
      </x:c>
      <x:c r="AE39" t="n">
        <x:f>SUM(AA122:AA131)</x:f>
        <x:v>1.1460695981731153</x:v>
      </x:c>
      <x:c r="AF39" t="n">
        <x:f>AD39+AE39</x:f>
        <x:v>35.12827697767013</x:v>
      </x:c>
      <x:c r="AG39" t="n">
        <x:f>'假设'!K815</x:f>
        <x:v>0.59</x:v>
      </x:c>
      <x:c r="AH39" t="n">
        <x:f>AF39/AG39*'假设'!G815</x:f>
        <x:v>65.49339775497822</x:v>
      </x:c>
      <x:c r="AJ39" t="n">
        <x:v>0</x:v>
      </x:c>
      <x:c r="AK39" t="n">
        <x:v>0</x:v>
      </x:c>
      <x:c r="AL39" t="n">
        <x:v>0</x:v>
      </x:c>
      <x:c r="AM39" t="n">
        <x:f>CHOOSE('假设'!$B$3,AJ39,AK39,AL39)</x:f>
        <x:v>0</x:v>
      </x:c>
      <x:c r="AN39" t="n">
        <x:v>1</x:v>
      </x:c>
      <x:c r="AO39" s="42" t="n">
        <x:v>0.85</x:v>
      </x:c>
      <x:c r="AP39" s="42" t="n">
        <x:v>0.8</x:v>
      </x:c>
      <x:c r="AQ39" s="42" t="n">
        <x:v>0.8</x:v>
      </x:c>
      <x:c r="AR39" s="42" t="n">
        <x:v>0.7</x:v>
      </x:c>
      <x:c r="AS39" s="42" t="n">
        <x:v>0.9</x:v>
      </x:c>
      <x:c r="AT39" s="42" t="n">
        <x:v>0.9</x:v>
      </x:c>
      <x:c r="AU39" t="str">
        <x:v>USD</x:v>
      </x:c>
      <x:c r="AV39" t="str">
        <x:v>CMG901 future eligible milestones</x:v>
      </x:c>
    </x:row>
    <x:row r="40" ht="23" customHeight="1">
      <x:c r="A40" s="11" t="str">
        <x:v>01093.HK</x:v>
      </x:c>
      <x:c r="B40" s="11" t="str">
        <x:v>2026年底</x:v>
      </x:c>
      <x:c r="C40" s="11" t="str">
        <x:v>JMT101_DOM</x:v>
      </x:c>
      <x:c r="D40" s="11" t="str">
        <x:v>2043-12-31</x:v>
      </x:c>
      <x:c r="E40" s="11" t="str">
        <x:v>CNY</x:v>
      </x:c>
      <x:c r="F40" s="11" t="n">
        <x:v>16.999315537303218</x:v>
      </x:c>
      <x:c r="G40" s="26" t="b">
        <x:v>1</x:v>
      </x:c>
      <x:c r="H40" s="16" t="n">
        <x:v>0.08000000000000002</x:v>
      </x:c>
      <x:c r="I40" s="16" t="n">
        <x:v>0.12</x:v>
      </x:c>
      <x:c r="J40" s="16" t="n">
        <x:v>0.24</x:v>
      </x:c>
      <x:c r="K40" s="11" t="n">
        <x:f>CHOOSE('假设'!$B$3,H40,I40,J40)</x:f>
        <x:v>0.12</x:v>
      </x:c>
      <x:c r="L40" s="11" t="n">
        <x:f>K40*'管线假设'!E11*'管线假设'!F11*'管线假设'!G11*IF(E40="USD",'管线假设'!I11,1)-AM40</x:f>
        <x:v>0.012636</x:v>
      </x:c>
      <x:c r="M40" s="11" t="n">
        <x:f>'管线假设'!H11</x:f>
        <x:v>0.13</x:v>
      </x:c>
      <x:c r="N40" s="11" t="n">
        <x:f>IF(G40,L40*AN40/(1+M40)^F40,0)</x:f>
        <x:v>0.0015823859137780768</x:v>
      </x:c>
      <x:c r="P40" t="str">
        <x:v>02162.HK</x:v>
      </x:c>
      <x:c r="Q40" t="str">
        <x:v>2026年底</x:v>
      </x:c>
      <x:c r="R40" t="str">
        <x:v>2028-12-31</x:v>
      </x:c>
      <x:c r="S40" t="n">
        <x:v>2.001368925393566</x:v>
      </x:c>
      <x:c r="T40" s="27" t="b">
        <x:v>1</x:v>
      </x:c>
      <x:c r="U40" s="42" t="n">
        <x:v>0</x:v>
      </x:c>
      <x:c r="V40" s="42" t="n">
        <x:v>0.04</x:v>
      </x:c>
      <x:c r="W40" s="42" t="n">
        <x:v>0.04</x:v>
      </x:c>
      <x:c r="X40" s="42" t="n">
        <x:v>0</x:v>
      </x:c>
      <x:c r="Y40" s="42" t="n">
        <x:v>0.35</x:v>
      </x:c>
      <x:c r="Z40" s="42" t="n">
        <x:v>0.65</x:v>
      </x:c>
      <x:c r="AA40" t="n">
        <x:f>AB40/(1+'管线假设'!H807)^S40</x:f>
        <x:v>0.06257726340576321</x:v>
      </x:c>
      <x:c r="AB40" t="n">
        <x:f>IF(T40,CHOOSE('假设'!$B$3,U40,V40,W40)*CHOOSE('假设'!$B$3,X40,Y40,Z40)*CHOOSE('假设'!$B$3,AO40,AP40,AQ40)*CHOOSE('假设'!$B$3,AR40,AS40,AT40)*IF(AU40="USD",'管线假设'!I807,1),0)</x:f>
        <x:v>0.08134</x:v>
      </x:c>
      <x:c r="AC40" t="str">
        <x:v>09995.HK 三年</x:v>
      </x:c>
      <x:c r="AD40" t="n">
        <x:f>SUM(N6857:N7046)</x:f>
        <x:v>40.95935488501176</x:v>
      </x:c>
      <x:c r="AE40" t="n">
        <x:f>SUM(AA132:AA141)</x:f>
        <x:v>1.1117333351907812</x:v>
      </x:c>
      <x:c r="AF40" t="n">
        <x:f>AD40+AE40</x:f>
        <x:v>42.07108822020255</x:v>
      </x:c>
      <x:c r="AG40" t="n">
        <x:f>'假设'!K819</x:f>
        <x:v>0.63</x:v>
      </x:c>
      <x:c r="AH40" t="n">
        <x:f>AF40/AG40*'假设'!G819</x:f>
        <x:v>73.45745562257588</x:v>
      </x:c>
      <x:c r="AJ40" t="n">
        <x:v>0</x:v>
      </x:c>
      <x:c r="AK40" t="n">
        <x:v>0</x:v>
      </x:c>
      <x:c r="AL40" t="n">
        <x:v>0</x:v>
      </x:c>
      <x:c r="AM40" t="n">
        <x:f>CHOOSE('假设'!$B$3,AJ40,AK40,AL40)</x:f>
        <x:v>0</x:v>
      </x:c>
      <x:c r="AN40" t="n">
        <x:v>1</x:v>
      </x:c>
      <x:c r="AO40" s="42" t="n">
        <x:v>0.8</x:v>
      </x:c>
      <x:c r="AP40" s="42" t="n">
        <x:v>0.83</x:v>
      </x:c>
      <x:c r="AQ40" s="42" t="n">
        <x:v>0.83</x:v>
      </x:c>
      <x:c r="AR40" s="42" t="n">
        <x:v>0.9</x:v>
      </x:c>
      <x:c r="AS40" s="42" t="n">
        <x:v>1</x:v>
      </x:c>
      <x:c r="AT40" s="42" t="n">
        <x:v>1</x:v>
      </x:c>
      <x:c r="AU40" t="str">
        <x:v>USD</x:v>
      </x:c>
      <x:c r="AV40" t="str">
        <x:v>Ouro sold equity contingent consideration maximum70m, distinct contract</x:v>
      </x:c>
    </x:row>
    <x:row r="41" ht="23" customHeight="1">
      <x:c r="A41" s="11" t="str">
        <x:v>01093.HK</x:v>
      </x:c>
      <x:c r="B41" s="11" t="str">
        <x:v>2026年底</x:v>
      </x:c>
      <x:c r="C41" s="11" t="str">
        <x:v>KN026_HB_INCREMENT_DOM</x:v>
      </x:c>
      <x:c r="D41" s="11" t="str">
        <x:v>2027-12-31</x:v>
      </x:c>
      <x:c r="E41" s="11" t="str">
        <x:v>CNY</x:v>
      </x:c>
      <x:c r="F41" s="11" t="n">
        <x:v>0.999315537303217</x:v>
      </x:c>
      <x:c r="G41" s="26" t="b">
        <x:v>1</x:v>
      </x:c>
      <x:c r="H41" s="16" t="n">
        <x:v>0</x:v>
      </x:c>
      <x:c r="I41" s="16" t="n">
        <x:v>0.28</x:v>
      </x:c>
      <x:c r="J41" s="16" t="n">
        <x:v>0.48</x:v>
      </x:c>
      <x:c r="K41" s="11" t="n">
        <x:f>CHOOSE('假设'!$B$3,H41,I41,J41)</x:f>
        <x:v>0.28</x:v>
      </x:c>
      <x:c r="L41" s="11" t="n">
        <x:f>K41*'管线假设'!E15*'管线假设'!F15*'管线假设'!G15*IF(E41="USD",'管线假设'!I15,1)-AM41</x:f>
        <x:v>0.028224</x:v>
      </x:c>
      <x:c r="M41" s="11" t="n">
        <x:f>'管线假设'!H15</x:f>
        <x:v>0.13</x:v>
      </x:c>
      <x:c r="N41" s="11" t="n">
        <x:f>IF(G41,L41*AN41/(1+M41)^F41,0)</x:f>
        <x:v>0.02497908064833156</x:v>
      </x:c>
      <x:c r="P41" t="str">
        <x:v>02162.HK</x:v>
      </x:c>
      <x:c r="Q41" t="str">
        <x:v>2026年底</x:v>
      </x:c>
      <x:c r="R41" t="str">
        <x:v>2029-12-31</x:v>
      </x:c>
      <x:c r="S41" t="n">
        <x:v>3.0006844626967832</x:v>
      </x:c>
      <x:c r="T41" s="27" t="b">
        <x:v>1</x:v>
      </x:c>
      <x:c r="U41" s="42" t="n">
        <x:v>0.02</x:v>
      </x:c>
      <x:c r="V41" s="42" t="n">
        <x:v>0</x:v>
      </x:c>
      <x:c r="W41" s="42" t="n">
        <x:v>0</x:v>
      </x:c>
      <x:c r="X41" s="42" t="n">
        <x:v>0.1</x:v>
      </x:c>
      <x:c r="Y41" s="42" t="n">
        <x:v>0</x:v>
      </x:c>
      <x:c r="Z41" s="42" t="n">
        <x:v>0</x:v>
      </x:c>
      <x:c r="AA41" t="n">
        <x:f>AB41/(1+'管线假设'!H807)^S41</x:f>
        <x:v>0</x:v>
      </x:c>
      <x:c r="AB41" t="n">
        <x:f>IF(T41,CHOOSE('假设'!$B$3,U41,V41,W41)*CHOOSE('假设'!$B$3,X41,Y41,Z41)*CHOOSE('假设'!$B$3,AO41,AP41,AQ41)*CHOOSE('假设'!$B$3,AR41,AS41,AT41)*IF(AU41="USD",'管线假设'!I807,1),0)</x:f>
        <x:v>0</x:v>
      </x:c>
      <x:c r="AC41" t="str">
        <x:v>09995.HK 五年</x:v>
      </x:c>
      <x:c r="AD41" t="n">
        <x:f>SUM(N7047:N7236)</x:f>
        <x:v>44.07874406946533</x:v>
      </x:c>
      <x:c r="AE41" t="n">
        <x:f>SUM(AA142:AA151)</x:f>
        <x:v>0.4676904516133113</x:v>
      </x:c>
      <x:c r="AF41" t="n">
        <x:f>AD41+AE41</x:f>
        <x:v>44.54643452107864</x:v>
      </x:c>
      <x:c r="AG41" t="n">
        <x:f>'假设'!K823</x:f>
        <x:v>0.675</x:v>
      </x:c>
      <x:c r="AH41" t="n">
        <x:f>AF41/AG41*'假设'!G823</x:f>
        <x:v>72.59418958990592</x:v>
      </x:c>
      <x:c r="AJ41" t="n">
        <x:v>0</x:v>
      </x:c>
      <x:c r="AK41" t="n">
        <x:v>0</x:v>
      </x:c>
      <x:c r="AL41" t="n">
        <x:v>0</x:v>
      </x:c>
      <x:c r="AM41" t="n">
        <x:f>CHOOSE('假设'!$B$3,AJ41,AK41,AL41)</x:f>
        <x:v>0</x:v>
      </x:c>
      <x:c r="AN41" t="n">
        <x:v>1</x:v>
      </x:c>
      <x:c r="AO41" s="42" t="n">
        <x:v>0.85</x:v>
      </x:c>
      <x:c r="AP41" s="42" t="n">
        <x:v>0.8</x:v>
      </x:c>
      <x:c r="AQ41" s="42" t="n">
        <x:v>0.8</x:v>
      </x:c>
      <x:c r="AR41" s="42" t="n">
        <x:v>1</x:v>
      </x:c>
      <x:c r="AS41" s="42" t="n">
        <x:v>0.9</x:v>
      </x:c>
      <x:c r="AT41" s="42" t="n">
        <x:v>0.9</x:v>
      </x:c>
      <x:c r="AU41" t="str">
        <x:v>USD</x:v>
      </x:c>
      <x:c r="AV41" t="str">
        <x:v>CM336 legacy license future milestones, excludes already received equity-sale upfront</x:v>
      </x:c>
    </x:row>
    <x:row r="42" ht="23" customHeight="1">
      <x:c r="A42" s="11" t="str">
        <x:v>01093.HK</x:v>
      </x:c>
      <x:c r="B42" s="11" t="str">
        <x:v>2026年底</x:v>
      </x:c>
      <x:c r="C42" s="11" t="str">
        <x:v>KN026_HB_INCREMENT_DOM</x:v>
      </x:c>
      <x:c r="D42" s="11" t="str">
        <x:v>2028-12-31</x:v>
      </x:c>
      <x:c r="E42" s="11" t="str">
        <x:v>CNY</x:v>
      </x:c>
      <x:c r="F42" s="11" t="n">
        <x:v>2.001368925393566</x:v>
      </x:c>
      <x:c r="G42" s="26" t="b">
        <x:v>1</x:v>
      </x:c>
      <x:c r="H42" s="16" t="n">
        <x:v>0</x:v>
      </x:c>
      <x:c r="I42" s="16" t="n">
        <x:v>0.875</x:v>
      </x:c>
      <x:c r="J42" s="16" t="n">
        <x:v>1.5</x:v>
      </x:c>
      <x:c r="K42" s="11" t="n">
        <x:f>CHOOSE('假设'!$B$3,H42,I42,J42)</x:f>
        <x:v>0.875</x:v>
      </x:c>
      <x:c r="L42" s="11" t="n">
        <x:f>K42*'管线假设'!E15*'管线假设'!F15*'管线假设'!G15*IF(E42="USD",'管线假设'!I15,1)-AM42</x:f>
        <x:v>0.08819999999999999</x:v>
      </x:c>
      <x:c r="M42" s="11" t="n">
        <x:f>'管线假设'!H15</x:f>
        <x:v>0.13</x:v>
      </x:c>
      <x:c r="N42" s="11" t="n">
        <x:f>IF(G42,L42*AN42/(1+M42)^F42,0)</x:f>
        <x:v>0.06906198196628496</x:v>
      </x:c>
      <x:c r="P42" t="str">
        <x:v>02162.HK</x:v>
      </x:c>
      <x:c r="Q42" t="str">
        <x:v>2026年底</x:v>
      </x:c>
      <x:c r="R42" t="str">
        <x:v>2029-12-31</x:v>
      </x:c>
      <x:c r="S42" t="n">
        <x:v>3.0006844626967832</x:v>
      </x:c>
      <x:c r="T42" s="27" t="b">
        <x:v>1</x:v>
      </x:c>
      <x:c r="U42" s="42" t="n">
        <x:v>0</x:v>
      </x:c>
      <x:c r="V42" s="42" t="n">
        <x:v>0.1</x:v>
      </x:c>
      <x:c r="W42" s="42" t="n">
        <x:v>0.2</x:v>
      </x:c>
      <x:c r="X42" s="42" t="n">
        <x:v>0</x:v>
      </x:c>
      <x:c r="Y42" s="42" t="n">
        <x:v>0.35</x:v>
      </x:c>
      <x:c r="Z42" s="42" t="n">
        <x:v>0.65</x:v>
      </x:c>
      <x:c r="AA42" t="n">
        <x:f>AB42/(1+'管线假设'!H807)^S42</x:f>
        <x:v>0.09838514880913271</x:v>
      </x:c>
      <x:c r="AB42" t="n">
        <x:f>IF(T42,CHOOSE('假设'!$B$3,U42,V42,W42)*CHOOSE('假设'!$B$3,X42,Y42,Z42)*CHOOSE('假设'!$B$3,AO42,AP42,AQ42)*CHOOSE('假设'!$B$3,AR42,AS42,AT42)*IF(AU42="USD",'管线假设'!I807,1),0)</x:f>
        <x:v>0.145775</x:v>
      </x:c>
      <x:c r="AJ42" t="n">
        <x:v>0</x:v>
      </x:c>
      <x:c r="AK42" t="n">
        <x:v>0</x:v>
      </x:c>
      <x:c r="AL42" t="n">
        <x:v>0</x:v>
      </x:c>
      <x:c r="AM42" t="n">
        <x:f>CHOOSE('假设'!$B$3,AJ42,AK42,AL42)</x:f>
        <x:v>0</x:v>
      </x:c>
      <x:c r="AN42" t="n">
        <x:v>1</x:v>
      </x:c>
      <x:c r="AO42" s="42" t="n">
        <x:v>0.8</x:v>
      </x:c>
      <x:c r="AP42" s="42" t="n">
        <x:v>0.85</x:v>
      </x:c>
      <x:c r="AQ42" s="42" t="n">
        <x:v>0.85</x:v>
      </x:c>
      <x:c r="AR42" s="42" t="n">
        <x:v>0.9</x:v>
      </x:c>
      <x:c r="AS42" s="42" t="n">
        <x:v>0.7</x:v>
      </x:c>
      <x:c r="AT42" s="42" t="n">
        <x:v>0.7</x:v>
      </x:c>
      <x:c r="AU42" t="str">
        <x:v>USD</x:v>
      </x:c>
      <x:c r="AV42" t="str">
        <x:v>CMG901 future eligible milestones</x:v>
      </x:c>
    </x:row>
    <x:row r="43" ht="23" customHeight="1">
      <x:c r="A43" s="11" t="str">
        <x:v>01093.HK</x:v>
      </x:c>
      <x:c r="B43" s="11" t="str">
        <x:v>2026年底</x:v>
      </x:c>
      <x:c r="C43" s="11" t="str">
        <x:v>KN026_HB_INCREMENT_DOM</x:v>
      </x:c>
      <x:c r="D43" s="11" t="str">
        <x:v>2029-12-31</x:v>
      </x:c>
      <x:c r="E43" s="11" t="str">
        <x:v>CNY</x:v>
      </x:c>
      <x:c r="F43" s="11" t="n">
        <x:v>3.0006844626967832</x:v>
      </x:c>
      <x:c r="G43" s="26" t="b">
        <x:v>1</x:v>
      </x:c>
      <x:c r="H43" s="16" t="n">
        <x:v>0.10400000000000001</x:v>
      </x:c>
      <x:c r="I43" s="16" t="n">
        <x:v>1.575</x:v>
      </x:c>
      <x:c r="J43" s="16" t="n">
        <x:v>2.7</x:v>
      </x:c>
      <x:c r="K43" s="11" t="n">
        <x:f>CHOOSE('假设'!$B$3,H43,I43,J43)</x:f>
        <x:v>1.575</x:v>
      </x:c>
      <x:c r="L43" s="11" t="n">
        <x:f>K43*'管线假设'!E15*'管线假设'!F15*'管线假设'!G15*IF(E43="USD",'管线假设'!I15,1)-AM43</x:f>
        <x:v>0.15875999999999998</x:v>
      </x:c>
      <x:c r="M43" s="11" t="n">
        <x:f>'管线假设'!H15</x:f>
        <x:v>0.13</x:v>
      </x:c>
      <x:c r="N43" s="11" t="n">
        <x:f>IF(G43,L43*AN43/(1+M43)^F43,0)</x:f>
        <x:v>0.1100194398768783</x:v>
      </x:c>
      <x:c r="P43" t="str">
        <x:v>02162.HK</x:v>
      </x:c>
      <x:c r="Q43" t="str">
        <x:v>2026年底</x:v>
      </x:c>
      <x:c r="R43" t="str">
        <x:v>2029-12-31</x:v>
      </x:c>
      <x:c r="S43" t="n">
        <x:v>3.0006844626967832</x:v>
      </x:c>
      <x:c r="T43" s="27" t="b">
        <x:v>1</x:v>
      </x:c>
      <x:c r="U43" s="42" t="n">
        <x:v>0.03</x:v>
      </x:c>
      <x:c r="V43" s="42" t="n">
        <x:v>0</x:v>
      </x:c>
      <x:c r="W43" s="42" t="n">
        <x:v>0</x:v>
      </x:c>
      <x:c r="X43" s="42" t="n">
        <x:v>0.15</x:v>
      </x:c>
      <x:c r="Y43" s="42" t="n">
        <x:v>0</x:v>
      </x:c>
      <x:c r="Z43" s="42" t="n">
        <x:v>0</x:v>
      </x:c>
      <x:c r="AA43" t="n">
        <x:f>AB43/(1+'管线假设'!H807)^S43</x:f>
        <x:v>0</x:v>
      </x:c>
      <x:c r="AB43" t="n">
        <x:f>IF(T43,CHOOSE('假设'!$B$3,U43,V43,W43)*CHOOSE('假设'!$B$3,X43,Y43,Z43)*CHOOSE('假设'!$B$3,AO43,AP43,AQ43)*CHOOSE('假设'!$B$3,AR43,AS43,AT43)*IF(AU43="USD",'管线假设'!I807,1),0)</x:f>
        <x:v>0</x:v>
      </x:c>
      <x:c r="AJ43" t="n">
        <x:v>0</x:v>
      </x:c>
      <x:c r="AK43" t="n">
        <x:v>0</x:v>
      </x:c>
      <x:c r="AL43" t="n">
        <x:v>0</x:v>
      </x:c>
      <x:c r="AM43" t="n">
        <x:f>CHOOSE('假设'!$B$3,AJ43,AK43,AL43)</x:f>
        <x:v>0</x:v>
      </x:c>
      <x:c r="AN43" t="n">
        <x:v>1</x:v>
      </x:c>
      <x:c r="AO43" s="42" t="n">
        <x:v>0.83</x:v>
      </x:c>
      <x:c r="AP43" s="42" t="n">
        <x:v>0.8</x:v>
      </x:c>
      <x:c r="AQ43" s="42" t="n">
        <x:v>0.8</x:v>
      </x:c>
      <x:c r="AR43" s="42" t="n">
        <x:v>1</x:v>
      </x:c>
      <x:c r="AS43" s="42" t="n">
        <x:v>0.9</x:v>
      </x:c>
      <x:c r="AT43" s="42" t="n">
        <x:v>0.9</x:v>
      </x:c>
      <x:c r="AU43" t="str">
        <x:v>USD</x:v>
      </x:c>
      <x:c r="AV43" t="str">
        <x:v>Ouro sold equity contingent consideration maximum70m, distinct contract</x:v>
      </x:c>
    </x:row>
    <x:row r="44" ht="23" customHeight="1">
      <x:c r="A44" s="11" t="str">
        <x:v>01093.HK</x:v>
      </x:c>
      <x:c r="B44" s="11" t="str">
        <x:v>2026年底</x:v>
      </x:c>
      <x:c r="C44" s="11" t="str">
        <x:v>KN026_HB_INCREMENT_DOM</x:v>
      </x:c>
      <x:c r="D44" s="11" t="str">
        <x:v>2030-12-31</x:v>
      </x:c>
      <x:c r="E44" s="11" t="str">
        <x:v>CNY</x:v>
      </x:c>
      <x:c r="F44" s="11" t="n">
        <x:v>4</x:v>
      </x:c>
      <x:c r="G44" s="26" t="b">
        <x:v>1</x:v>
      </x:c>
      <x:c r="H44" s="16" t="n">
        <x:v>0.325</x:v>
      </x:c>
      <x:c r="I44" s="16" t="n">
        <x:v>2.275</x:v>
      </x:c>
      <x:c r="J44" s="16" t="n">
        <x:v>3.9000000000000004</x:v>
      </x:c>
      <x:c r="K44" s="11" t="n">
        <x:f>CHOOSE('假设'!$B$3,H44,I44,J44)</x:f>
        <x:v>2.275</x:v>
      </x:c>
      <x:c r="L44" s="11" t="n">
        <x:f>K44*'管线假设'!E15*'管线假设'!F15*'管线假设'!G15*IF(E44="USD",'管线假设'!I15,1)-AM44</x:f>
        <x:v>0.22931999999999997</x:v>
      </x:c>
      <x:c r="M44" s="11" t="n">
        <x:f>'管线假设'!H15</x:f>
        <x:v>0.13</x:v>
      </x:c>
      <x:c r="N44" s="11" t="n">
        <x:f>IF(G44,L44*AN44/(1+M44)^F44,0)</x:f>
        <x:v>0.14064625063143465</x:v>
      </x:c>
      <x:c r="P44" t="str">
        <x:v>02162.HK</x:v>
      </x:c>
      <x:c r="Q44" t="str">
        <x:v>2026年底</x:v>
      </x:c>
      <x:c r="R44" t="str">
        <x:v>2030-12-31</x:v>
      </x:c>
      <x:c r="S44" t="n">
        <x:v>4</x:v>
      </x:c>
      <x:c r="T44" s="27" t="b">
        <x:v>1</x:v>
      </x:c>
      <x:c r="U44" s="42" t="n">
        <x:v>0</x:v>
      </x:c>
      <x:c r="V44" s="42" t="n">
        <x:v>0.03</x:v>
      </x:c>
      <x:c r="W44" s="42" t="n">
        <x:v>0.03</x:v>
      </x:c>
      <x:c r="X44" s="42" t="n">
        <x:v>0</x:v>
      </x:c>
      <x:c r="Y44" s="42" t="n">
        <x:v>0.25</x:v>
      </x:c>
      <x:c r="Z44" s="42" t="n">
        <x:v>0.5</x:v>
      </x:c>
      <x:c r="AA44" t="n">
        <x:f>AB44/(1+'管线假设'!H807)^S44</x:f>
        <x:v>0.025799898086406002</x:v>
      </x:c>
      <x:c r="AB44" t="n">
        <x:f>IF(T44,CHOOSE('假设'!$B$3,U44,V44,W44)*CHOOSE('假设'!$B$3,X44,Y44,Z44)*CHOOSE('假设'!$B$3,AO44,AP44,AQ44)*CHOOSE('假设'!$B$3,AR44,AS44,AT44)*IF(AU44="USD",'管线假设'!I807,1),0)</x:f>
        <x:v>0.043574999999999996</x:v>
      </x:c>
      <x:c r="AJ44" t="n">
        <x:v>0</x:v>
      </x:c>
      <x:c r="AK44" t="n">
        <x:v>0</x:v>
      </x:c>
      <x:c r="AL44" t="n">
        <x:v>0</x:v>
      </x:c>
      <x:c r="AM44" t="n">
        <x:f>CHOOSE('假设'!$B$3,AJ44,AK44,AL44)</x:f>
        <x:v>0</x:v>
      </x:c>
      <x:c r="AN44" t="n">
        <x:v>1</x:v>
      </x:c>
      <x:c r="AO44" s="42" t="n">
        <x:v>0.8</x:v>
      </x:c>
      <x:c r="AP44" s="42" t="n">
        <x:v>0.83</x:v>
      </x:c>
      <x:c r="AQ44" s="42" t="n">
        <x:v>0.83</x:v>
      </x:c>
      <x:c r="AR44" s="42" t="n">
        <x:v>0.9</x:v>
      </x:c>
      <x:c r="AS44" s="42" t="n">
        <x:v>1</x:v>
      </x:c>
      <x:c r="AT44" s="42" t="n">
        <x:v>1</x:v>
      </x:c>
      <x:c r="AU44" t="str">
        <x:v>USD</x:v>
      </x:c>
      <x:c r="AV44" t="str">
        <x:v>Ouro sold equity contingent consideration maximum70m, distinct contract</x:v>
      </x:c>
    </x:row>
    <x:row r="45" ht="23" customHeight="1">
      <x:c r="A45" s="11" t="str">
        <x:v>01093.HK</x:v>
      </x:c>
      <x:c r="B45" s="11" t="str">
        <x:v>2026年底</x:v>
      </x:c>
      <x:c r="C45" s="11" t="str">
        <x:v>KN026_HB_INCREMENT_DOM</x:v>
      </x:c>
      <x:c r="D45" s="11" t="str">
        <x:v>2031-12-31</x:v>
      </x:c>
      <x:c r="E45" s="11" t="str">
        <x:v>CNY</x:v>
      </x:c>
      <x:c r="F45" s="11" t="n">
        <x:v>4.999315537303217</x:v>
      </x:c>
      <x:c r="G45" s="26" t="b">
        <x:v>1</x:v>
      </x:c>
      <x:c r="H45" s="16" t="n">
        <x:v>0.5850000000000001</x:v>
      </x:c>
      <x:c r="I45" s="16" t="n">
        <x:v>2.975</x:v>
      </x:c>
      <x:c r="J45" s="16" t="n">
        <x:v>5.1</x:v>
      </x:c>
      <x:c r="K45" s="11" t="n">
        <x:f>CHOOSE('假设'!$B$3,H45,I45,J45)</x:f>
        <x:v>2.975</x:v>
      </x:c>
      <x:c r="L45" s="11" t="n">
        <x:f>K45*'管线假设'!E15*'管线假设'!F15*'管线假设'!G15*IF(E45="USD",'管线假设'!I15,1)-AM45</x:f>
        <x:v>0.29988</x:v>
      </x:c>
      <x:c r="M45" s="11" t="n">
        <x:f>'管线假设'!H15</x:f>
        <x:v>0.13</x:v>
      </x:c>
      <x:c r="N45" s="11" t="n">
        <x:f>IF(G45,L45*AN45/(1+M45)^F45,0)</x:f>
        <x:v>0.16277646584449956</x:v>
      </x:c>
      <x:c r="P45" t="str">
        <x:v>02162.HK</x:v>
      </x:c>
      <x:c r="Q45" t="str">
        <x:v>2026年底</x:v>
      </x:c>
      <x:c r="R45" t="str">
        <x:v>2031-12-31</x:v>
      </x:c>
      <x:c r="S45" t="n">
        <x:v>4.999315537303217</x:v>
      </x:c>
      <x:c r="T45" s="27" t="b">
        <x:v>1</x:v>
      </x:c>
      <x:c r="U45" s="42" t="n">
        <x:v>0</x:v>
      </x:c>
      <x:c r="V45" s="42" t="n">
        <x:v>0.1</x:v>
      </x:c>
      <x:c r="W45" s="42" t="n">
        <x:v>0.2</x:v>
      </x:c>
      <x:c r="X45" s="42" t="n">
        <x:v>0</x:v>
      </x:c>
      <x:c r="Y45" s="42" t="n">
        <x:v>0.18</x:v>
      </x:c>
      <x:c r="Z45" s="42" t="n">
        <x:v>0.35</x:v>
      </x:c>
      <x:c r="AA45" t="n">
        <x:f>AB45/(1+'管线假设'!H807)^S45</x:f>
        <x:v>0.05562937279154765</x:v>
      </x:c>
      <x:c r="AB45" t="n">
        <x:f>IF(T45,CHOOSE('假设'!$B$3,U45,V45,W45)*CHOOSE('假设'!$B$3,X45,Y45,Z45)*CHOOSE('假设'!$B$3,AO45,AP45,AQ45)*CHOOSE('假设'!$B$3,AR45,AS45,AT45)*IF(AU45="USD",'管线假设'!I807,1),0)</x:f>
        <x:v>0.10709999999999999</x:v>
      </x:c>
      <x:c r="AJ45" t="n">
        <x:v>0</x:v>
      </x:c>
      <x:c r="AK45" t="n">
        <x:v>0</x:v>
      </x:c>
      <x:c r="AL45" t="n">
        <x:v>0</x:v>
      </x:c>
      <x:c r="AM45" t="n">
        <x:f>CHOOSE('假设'!$B$3,AJ45,AK45,AL45)</x:f>
        <x:v>0</x:v>
      </x:c>
      <x:c r="AN45" t="n">
        <x:v>1</x:v>
      </x:c>
      <x:c r="AO45" s="42" t="n">
        <x:v>0.8</x:v>
      </x:c>
      <x:c r="AP45" s="42" t="n">
        <x:v>0.85</x:v>
      </x:c>
      <x:c r="AQ45" s="42" t="n">
        <x:v>0.85</x:v>
      </x:c>
      <x:c r="AR45" s="42" t="n">
        <x:v>0.9</x:v>
      </x:c>
      <x:c r="AS45" s="42" t="n">
        <x:v>1</x:v>
      </x:c>
      <x:c r="AT45" s="42" t="n">
        <x:v>1</x:v>
      </x:c>
      <x:c r="AU45" t="str">
        <x:v>USD</x:v>
      </x:c>
      <x:c r="AV45" t="str">
        <x:v>CM336 legacy license future milestones, excludes already received equity-sale upfront</x:v>
      </x:c>
    </x:row>
    <x:row r="46" ht="23" customHeight="1">
      <x:c r="A46" s="11" t="str">
        <x:v>01093.HK</x:v>
      </x:c>
      <x:c r="B46" s="11" t="str">
        <x:v>2026年底</x:v>
      </x:c>
      <x:c r="C46" s="11" t="str">
        <x:v>KN026_HB_INCREMENT_DOM</x:v>
      </x:c>
      <x:c r="D46" s="11" t="str">
        <x:v>2032-12-31</x:v>
      </x:c>
      <x:c r="E46" s="11" t="str">
        <x:v>CNY</x:v>
      </x:c>
      <x:c r="F46" s="11" t="n">
        <x:v>6.0013689253935665</x:v>
      </x:c>
      <x:c r="G46" s="26" t="b">
        <x:v>1</x:v>
      </x:c>
      <x:c r="H46" s="16" t="n">
        <x:v>0.8450000000000001</x:v>
      </x:c>
      <x:c r="I46" s="16" t="n">
        <x:v>3.5</x:v>
      </x:c>
      <x:c r="J46" s="16" t="n">
        <x:v>6</x:v>
      </x:c>
      <x:c r="K46" s="11" t="n">
        <x:f>CHOOSE('假设'!$B$3,H46,I46,J46)</x:f>
        <x:v>3.5</x:v>
      </x:c>
      <x:c r="L46" s="11" t="n">
        <x:f>K46*'管线假设'!E15*'管线假设'!F15*'管线假设'!G15*IF(E46="USD",'管线假设'!I15,1)-AM46</x:f>
        <x:v>0.35279999999999995</x:v>
      </x:c>
      <x:c r="M46" s="11" t="n">
        <x:f>'管线假设'!H15</x:f>
        <x:v>0.13</x:v>
      </x:c>
      <x:c r="N46" s="11" t="n">
        <x:f>IF(G46,L46*AN46/(1+M46)^F46,0)</x:f>
        <x:v>0.1694280276423118</x:v>
      </x:c>
      <x:c r="P46" t="str">
        <x:v>02162.HK</x:v>
      </x:c>
      <x:c r="Q46" t="str">
        <x:v>半年</x:v>
      </x:c>
      <x:c r="R46" t="str">
        <x:v>2027-12-31</x:v>
      </x:c>
      <x:c r="S46" t="n">
        <x:v>0.7282683093771389</x:v>
      </x:c>
      <x:c r="T46" s="27" t="b">
        <x:v>1</x:v>
      </x:c>
      <x:c r="U46" s="42" t="n">
        <x:v>0</x:v>
      </x:c>
      <x:c r="V46" s="42" t="n">
        <x:v>0.06</x:v>
      </x:c>
      <x:c r="W46" s="42" t="n">
        <x:v>0.1</x:v>
      </x:c>
      <x:c r="X46" s="42" t="n">
        <x:v>0</x:v>
      </x:c>
      <x:c r="Y46" s="42" t="n">
        <x:v>0.65</x:v>
      </x:c>
      <x:c r="Z46" s="42" t="n">
        <x:v>0.85</x:v>
      </x:c>
      <x:c r="AA46" t="n">
        <x:f>AB46/(1+'管线假设'!H851)^S46</x:f>
        <x:v>0.1476514148503808</x:v>
      </x:c>
      <x:c r="AB46" t="n">
        <x:f>IF(T46,CHOOSE('假设'!$B$3,U46,V46,W46)*CHOOSE('假设'!$B$3,X46,Y46,Z46)*CHOOSE('假设'!$B$3,AO46,AP46,AQ46)*CHOOSE('假设'!$B$3,AR46,AS46,AT46)*IF(AU46="USD",'管线假设'!I851,1),0)</x:f>
        <x:v>0.16243499999999997</x:v>
      </x:c>
      <x:c r="AJ46" t="n">
        <x:v>0</x:v>
      </x:c>
      <x:c r="AK46" t="n">
        <x:v>0</x:v>
      </x:c>
      <x:c r="AL46" t="n">
        <x:v>0</x:v>
      </x:c>
      <x:c r="AM46" t="n">
        <x:f>CHOOSE('假设'!$B$3,AJ46,AK46,AL46)</x:f>
        <x:v>0</x:v>
      </x:c>
      <x:c r="AN46" t="n">
        <x:v>1</x:v>
      </x:c>
      <x:c r="AO46" s="42" t="n">
        <x:v>0.8</x:v>
      </x:c>
      <x:c r="AP46" s="42" t="n">
        <x:v>0.85</x:v>
      </x:c>
      <x:c r="AQ46" s="42" t="n">
        <x:v>0.85</x:v>
      </x:c>
      <x:c r="AR46" s="42" t="n">
        <x:v>0.9</x:v>
      </x:c>
      <x:c r="AS46" s="42" t="n">
        <x:v>0.7</x:v>
      </x:c>
      <x:c r="AT46" s="42" t="n">
        <x:v>0.7</x:v>
      </x:c>
      <x:c r="AU46" t="str">
        <x:v>USD</x:v>
      </x:c>
      <x:c r="AV46" t="str">
        <x:v>CMG901 future eligible milestones</x:v>
      </x:c>
    </x:row>
    <x:row r="47" ht="23" customHeight="1">
      <x:c r="A47" s="11" t="str">
        <x:v>01093.HK</x:v>
      </x:c>
      <x:c r="B47" s="11" t="str">
        <x:v>2026年底</x:v>
      </x:c>
      <x:c r="C47" s="11" t="str">
        <x:v>KN026_HB_INCREMENT_DOM</x:v>
      </x:c>
      <x:c r="D47" s="11" t="str">
        <x:v>2033-12-31</x:v>
      </x:c>
      <x:c r="E47" s="11" t="str">
        <x:v>CNY</x:v>
      </x:c>
      <x:c r="F47" s="11" t="n">
        <x:v>7.000684462696783</x:v>
      </x:c>
      <x:c r="G47" s="26" t="b">
        <x:v>1</x:v>
      </x:c>
      <x:c r="H47" s="16" t="n">
        <x:v>1.105</x:v>
      </x:c>
      <x:c r="I47" s="16" t="n">
        <x:v>3.5</x:v>
      </x:c>
      <x:c r="J47" s="16" t="n">
        <x:v>6</x:v>
      </x:c>
      <x:c r="K47" s="11" t="n">
        <x:f>CHOOSE('假设'!$B$3,H47,I47,J47)</x:f>
        <x:v>3.5</x:v>
      </x:c>
      <x:c r="L47" s="11" t="n">
        <x:f>K47*'管线假设'!E15*'管线假设'!F15*'管线假设'!G15*IF(E47="USD",'管线假设'!I15,1)-AM47</x:f>
        <x:v>0.35279999999999995</x:v>
      </x:c>
      <x:c r="M47" s="11" t="n">
        <x:f>'管线假设'!H15</x:f>
        <x:v>0.13</x:v>
      </x:c>
      <x:c r="N47" s="11" t="n">
        <x:f>IF(G47,L47*AN47/(1+M47)^F47,0)</x:f>
        <x:v>0.14994885085618823</x:v>
      </x:c>
      <x:c r="P47" t="str">
        <x:v>02162.HK</x:v>
      </x:c>
      <x:c r="Q47" t="str">
        <x:v>半年</x:v>
      </x:c>
      <x:c r="R47" t="str">
        <x:v>2028-12-31</x:v>
      </x:c>
      <x:c r="S47" t="n">
        <x:v>1.730321697467488</x:v>
      </x:c>
      <x:c r="T47" s="27" t="b">
        <x:v>1</x:v>
      </x:c>
      <x:c r="U47" s="42" t="n">
        <x:v>0</x:v>
      </x:c>
      <x:c r="V47" s="42" t="n">
        <x:v>0.06</x:v>
      </x:c>
      <x:c r="W47" s="42" t="n">
        <x:v>0.1</x:v>
      </x:c>
      <x:c r="X47" s="42" t="n">
        <x:v>0</x:v>
      </x:c>
      <x:c r="Y47" s="42" t="n">
        <x:v>0.25</x:v>
      </x:c>
      <x:c r="Z47" s="42" t="n">
        <x:v>0.5</x:v>
      </x:c>
      <x:c r="AA47" t="n">
        <x:f>AB47/(1+'管线假设'!H851)^S47</x:f>
        <x:v>0.0711450232814103</x:v>
      </x:c>
      <x:c r="AB47" t="n">
        <x:f>IF(T47,CHOOSE('假设'!$B$3,U47,V47,W47)*CHOOSE('假设'!$B$3,X47,Y47,Z47)*CHOOSE('假设'!$B$3,AO47,AP47,AQ47)*CHOOSE('假设'!$B$3,AR47,AS47,AT47)*IF(AU47="USD",'管线假设'!I851,1),0)</x:f>
        <x:v>0.08925</x:v>
      </x:c>
      <x:c r="AJ47" t="n">
        <x:v>0</x:v>
      </x:c>
      <x:c r="AK47" t="n">
        <x:v>0</x:v>
      </x:c>
      <x:c r="AL47" t="n">
        <x:v>0</x:v>
      </x:c>
      <x:c r="AM47" t="n">
        <x:f>CHOOSE('假设'!$B$3,AJ47,AK47,AL47)</x:f>
        <x:v>0</x:v>
      </x:c>
      <x:c r="AN47" t="n">
        <x:v>1</x:v>
      </x:c>
      <x:c r="AO47" s="42" t="n">
        <x:v>0.8</x:v>
      </x:c>
      <x:c r="AP47" s="42" t="n">
        <x:v>0.85</x:v>
      </x:c>
      <x:c r="AQ47" s="42" t="n">
        <x:v>0.85</x:v>
      </x:c>
      <x:c r="AR47" s="42" t="n">
        <x:v>0.9</x:v>
      </x:c>
      <x:c r="AS47" s="42" t="n">
        <x:v>1</x:v>
      </x:c>
      <x:c r="AT47" s="42" t="n">
        <x:v>1</x:v>
      </x:c>
      <x:c r="AU47" t="str">
        <x:v>USD</x:v>
      </x:c>
      <x:c r="AV47" t="str">
        <x:v>CM336 legacy license future milestones, excludes already received equity-sale upfront</x:v>
      </x:c>
    </x:row>
    <x:row r="48" ht="23" customHeight="1">
      <x:c r="A48" s="11" t="str">
        <x:v>01093.HK</x:v>
      </x:c>
      <x:c r="B48" s="11" t="str">
        <x:v>2026年底</x:v>
      </x:c>
      <x:c r="C48" s="11" t="str">
        <x:v>KN026_HB_INCREMENT_DOM</x:v>
      </x:c>
      <x:c r="D48" s="11" t="str">
        <x:v>2034-12-31</x:v>
      </x:c>
      <x:c r="E48" s="11" t="str">
        <x:v>CNY</x:v>
      </x:c>
      <x:c r="F48" s="11" t="n">
        <x:v>8</x:v>
      </x:c>
      <x:c r="G48" s="26" t="b">
        <x:v>1</x:v>
      </x:c>
      <x:c r="H48" s="16" t="n">
        <x:v>1.3</x:v>
      </x:c>
      <x:c r="I48" s="16" t="n">
        <x:v>3.3249999999999997</x:v>
      </x:c>
      <x:c r="J48" s="16" t="n">
        <x:v>5.699999999999999</x:v>
      </x:c>
      <x:c r="K48" s="11" t="n">
        <x:f>CHOOSE('假设'!$B$3,H48,I48,J48)</x:f>
        <x:v>3.3249999999999997</x:v>
      </x:c>
      <x:c r="L48" s="11" t="n">
        <x:f>K48*'管线假设'!E15*'管线假设'!F15*'管线假设'!G15*IF(E48="USD",'管线假设'!I15,1)-AM48</x:f>
        <x:v>0.33515999999999996</x:v>
      </x:c>
      <x:c r="M48" s="11" t="n">
        <x:f>'管线假设'!H15</x:f>
        <x:v>0.13</x:v>
      </x:c>
      <x:c r="N48" s="11" t="n">
        <x:f>IF(G48,L48*AN48/(1+M48)^F48,0)</x:f>
        <x:v>0.12607373925482912</x:v>
      </x:c>
      <x:c r="P48" t="str">
        <x:v>02162.HK</x:v>
      </x:c>
      <x:c r="Q48" t="str">
        <x:v>半年</x:v>
      </x:c>
      <x:c r="R48" t="str">
        <x:v>2028-12-31</x:v>
      </x:c>
      <x:c r="S48" t="n">
        <x:v>1.730321697467488</x:v>
      </x:c>
      <x:c r="T48" s="27" t="b">
        <x:v>1</x:v>
      </x:c>
      <x:c r="U48" s="42" t="n">
        <x:v>0.04</x:v>
      </x:c>
      <x:c r="V48" s="42" t="n">
        <x:v>0</x:v>
      </x:c>
      <x:c r="W48" s="42" t="n">
        <x:v>0</x:v>
      </x:c>
      <x:c r="X48" s="42" t="n">
        <x:v>0.35</x:v>
      </x:c>
      <x:c r="Y48" s="42" t="n">
        <x:v>0</x:v>
      </x:c>
      <x:c r="Z48" s="42" t="n">
        <x:v>0</x:v>
      </x:c>
      <x:c r="AA48" t="n">
        <x:f>AB48/(1+'管线假设'!H851)^S48</x:f>
        <x:v>0</x:v>
      </x:c>
      <x:c r="AB48" t="n">
        <x:f>IF(T48,CHOOSE('假设'!$B$3,U48,V48,W48)*CHOOSE('假设'!$B$3,X48,Y48,Z48)*CHOOSE('假设'!$B$3,AO48,AP48,AQ48)*CHOOSE('假设'!$B$3,AR48,AS48,AT48)*IF(AU48="USD",'管线假设'!I851,1),0)</x:f>
        <x:v>0</x:v>
      </x:c>
      <x:c r="AJ48" t="n">
        <x:v>0</x:v>
      </x:c>
      <x:c r="AK48" t="n">
        <x:v>0</x:v>
      </x:c>
      <x:c r="AL48" t="n">
        <x:v>0</x:v>
      </x:c>
      <x:c r="AM48" t="n">
        <x:f>CHOOSE('假设'!$B$3,AJ48,AK48,AL48)</x:f>
        <x:v>0</x:v>
      </x:c>
      <x:c r="AN48" t="n">
        <x:v>1</x:v>
      </x:c>
      <x:c r="AO48" s="42" t="n">
        <x:v>0.85</x:v>
      </x:c>
      <x:c r="AP48" s="42" t="n">
        <x:v>0.8</x:v>
      </x:c>
      <x:c r="AQ48" s="42" t="n">
        <x:v>0.8</x:v>
      </x:c>
      <x:c r="AR48" s="42" t="n">
        <x:v>0.7</x:v>
      </x:c>
      <x:c r="AS48" s="42" t="n">
        <x:v>0.9</x:v>
      </x:c>
      <x:c r="AT48" s="42" t="n">
        <x:v>0.9</x:v>
      </x:c>
      <x:c r="AU48" t="str">
        <x:v>USD</x:v>
      </x:c>
      <x:c r="AV48" t="str">
        <x:v>CMG901 future eligible milestones</x:v>
      </x:c>
    </x:row>
    <x:row r="49" ht="23" customHeight="1">
      <x:c r="A49" s="11" t="str">
        <x:v>01093.HK</x:v>
      </x:c>
      <x:c r="B49" s="11" t="str">
        <x:v>2026年底</x:v>
      </x:c>
      <x:c r="C49" s="11" t="str">
        <x:v>KN026_HB_INCREMENT_DOM</x:v>
      </x:c>
      <x:c r="D49" s="11" t="str">
        <x:v>2035-12-31</x:v>
      </x:c>
      <x:c r="E49" s="11" t="str">
        <x:v>CNY</x:v>
      </x:c>
      <x:c r="F49" s="11" t="n">
        <x:v>8.999315537303216</x:v>
      </x:c>
      <x:c r="G49" s="26" t="b">
        <x:v>1</x:v>
      </x:c>
      <x:c r="H49" s="16" t="n">
        <x:v>1.3</x:v>
      </x:c>
      <x:c r="I49" s="16" t="n">
        <x:v>3.08</x:v>
      </x:c>
      <x:c r="J49" s="16" t="n">
        <x:v>5.28</x:v>
      </x:c>
      <x:c r="K49" s="11" t="n">
        <x:f>CHOOSE('假设'!$B$3,H49,I49,J49)</x:f>
        <x:v>3.08</x:v>
      </x:c>
      <x:c r="L49" s="11" t="n">
        <x:f>K49*'管线假设'!E15*'管线假设'!F15*'管线假设'!G15*IF(E49="USD",'管线假设'!I15,1)-AM49</x:f>
        <x:v>0.31046399999999996</x:v>
      </x:c>
      <x:c r="M49" s="11" t="n">
        <x:f>'管线假设'!H15</x:f>
        <x:v>0.13</x:v>
      </x:c>
      <x:c r="N49" s="11" t="n">
        <x:f>IF(G49,L49*AN49/(1+M49)^F49,0)</x:f>
        <x:v>0.10335740274887849</x:v>
      </x:c>
      <x:c r="P49" t="str">
        <x:v>02162.HK</x:v>
      </x:c>
      <x:c r="Q49" t="str">
        <x:v>半年</x:v>
      </x:c>
      <x:c r="R49" t="str">
        <x:v>2028-12-31</x:v>
      </x:c>
      <x:c r="S49" t="n">
        <x:v>1.730321697467488</x:v>
      </x:c>
      <x:c r="T49" s="27" t="b">
        <x:v>1</x:v>
      </x:c>
      <x:c r="U49" s="42" t="n">
        <x:v>0</x:v>
      </x:c>
      <x:c r="V49" s="42" t="n">
        <x:v>0.04</x:v>
      </x:c>
      <x:c r="W49" s="42" t="n">
        <x:v>0.04</x:v>
      </x:c>
      <x:c r="X49" s="42" t="n">
        <x:v>0</x:v>
      </x:c>
      <x:c r="Y49" s="42" t="n">
        <x:v>0.35</x:v>
      </x:c>
      <x:c r="Z49" s="42" t="n">
        <x:v>0.65</x:v>
      </x:c>
      <x:c r="AA49" t="n">
        <x:f>AB49/(1+'管线假设'!H851)^S49</x:f>
        <x:v>0.06483962121803825</x:v>
      </x:c>
      <x:c r="AB49" t="n">
        <x:f>IF(T49,CHOOSE('假设'!$B$3,U49,V49,W49)*CHOOSE('假设'!$B$3,X49,Y49,Z49)*CHOOSE('假设'!$B$3,AO49,AP49,AQ49)*CHOOSE('假设'!$B$3,AR49,AS49,AT49)*IF(AU49="USD",'管线假设'!I851,1),0)</x:f>
        <x:v>0.08134</x:v>
      </x:c>
      <x:c r="AJ49" t="n">
        <x:v>0</x:v>
      </x:c>
      <x:c r="AK49" t="n">
        <x:v>0</x:v>
      </x:c>
      <x:c r="AL49" t="n">
        <x:v>0</x:v>
      </x:c>
      <x:c r="AM49" t="n">
        <x:f>CHOOSE('假设'!$B$3,AJ49,AK49,AL49)</x:f>
        <x:v>0</x:v>
      </x:c>
      <x:c r="AN49" t="n">
        <x:v>1</x:v>
      </x:c>
      <x:c r="AO49" s="42" t="n">
        <x:v>0.8</x:v>
      </x:c>
      <x:c r="AP49" s="42" t="n">
        <x:v>0.83</x:v>
      </x:c>
      <x:c r="AQ49" s="42" t="n">
        <x:v>0.83</x:v>
      </x:c>
      <x:c r="AR49" s="42" t="n">
        <x:v>0.9</x:v>
      </x:c>
      <x:c r="AS49" s="42" t="n">
        <x:v>1</x:v>
      </x:c>
      <x:c r="AT49" s="42" t="n">
        <x:v>1</x:v>
      </x:c>
      <x:c r="AU49" t="str">
        <x:v>USD</x:v>
      </x:c>
      <x:c r="AV49" t="str">
        <x:v>Ouro sold equity contingent consideration maximum70m, distinct contract</x:v>
      </x:c>
    </x:row>
    <x:row r="50" ht="23" customHeight="1">
      <x:c r="A50" s="11" t="str">
        <x:v>01093.HK</x:v>
      </x:c>
      <x:c r="B50" s="11" t="str">
        <x:v>2026年底</x:v>
      </x:c>
      <x:c r="C50" s="11" t="str">
        <x:v>KN026_HB_INCREMENT_DOM</x:v>
      </x:c>
      <x:c r="D50" s="11" t="str">
        <x:v>2036-12-31</x:v>
      </x:c>
      <x:c r="E50" s="11" t="str">
        <x:v>CNY</x:v>
      </x:c>
      <x:c r="F50" s="11" t="n">
        <x:v>10.001368925393566</x:v>
      </x:c>
      <x:c r="G50" s="26" t="b">
        <x:v>1</x:v>
      </x:c>
      <x:c r="H50" s="16" t="n">
        <x:v>1.2349999999999999</x:v>
      </x:c>
      <x:c r="I50" s="16" t="n">
        <x:v>2.625</x:v>
      </x:c>
      <x:c r="J50" s="16" t="n">
        <x:v>4.5</x:v>
      </x:c>
      <x:c r="K50" s="11" t="n">
        <x:f>CHOOSE('假设'!$B$3,H50,I50,J50)</x:f>
        <x:v>2.625</x:v>
      </x:c>
      <x:c r="L50" s="11" t="n">
        <x:f>K50*'管线假设'!E15*'管线假设'!F15*'管线假设'!G15*IF(E50="USD",'管线假设'!I15,1)-AM50</x:f>
        <x:v>0.2646</x:v>
      </x:c>
      <x:c r="M50" s="11" t="n">
        <x:f>'管线假设'!H15</x:f>
        <x:v>0.13</x:v>
      </x:c>
      <x:c r="N50" s="11" t="n">
        <x:f>IF(G50,L50*AN50/(1+M50)^F50,0)</x:f>
        <x:v>0.07793503676010674</x:v>
      </x:c>
      <x:c r="P50" t="str">
        <x:v>02162.HK</x:v>
      </x:c>
      <x:c r="Q50" t="str">
        <x:v>半年</x:v>
      </x:c>
      <x:c r="R50" t="str">
        <x:v>2029-12-31</x:v>
      </x:c>
      <x:c r="S50" t="n">
        <x:v>2.729637234770705</x:v>
      </x:c>
      <x:c r="T50" s="27" t="b">
        <x:v>1</x:v>
      </x:c>
      <x:c r="U50" s="42" t="n">
        <x:v>0.02</x:v>
      </x:c>
      <x:c r="V50" s="42" t="n">
        <x:v>0</x:v>
      </x:c>
      <x:c r="W50" s="42" t="n">
        <x:v>0</x:v>
      </x:c>
      <x:c r="X50" s="42" t="n">
        <x:v>0.1</x:v>
      </x:c>
      <x:c r="Y50" s="42" t="n">
        <x:v>0</x:v>
      </x:c>
      <x:c r="Z50" s="42" t="n">
        <x:v>0</x:v>
      </x:c>
      <x:c r="AA50" t="n">
        <x:f>AB50/(1+'管线假设'!H851)^S50</x:f>
        <x:v>0</x:v>
      </x:c>
      <x:c r="AB50" t="n">
        <x:f>IF(T50,CHOOSE('假设'!$B$3,U50,V50,W50)*CHOOSE('假设'!$B$3,X50,Y50,Z50)*CHOOSE('假设'!$B$3,AO50,AP50,AQ50)*CHOOSE('假设'!$B$3,AR50,AS50,AT50)*IF(AU50="USD",'管线假设'!I851,1),0)</x:f>
        <x:v>0</x:v>
      </x:c>
      <x:c r="AJ50" t="n">
        <x:v>0</x:v>
      </x:c>
      <x:c r="AK50" t="n">
        <x:v>0</x:v>
      </x:c>
      <x:c r="AL50" t="n">
        <x:v>0</x:v>
      </x:c>
      <x:c r="AM50" t="n">
        <x:f>CHOOSE('假设'!$B$3,AJ50,AK50,AL50)</x:f>
        <x:v>0</x:v>
      </x:c>
      <x:c r="AN50" t="n">
        <x:v>1</x:v>
      </x:c>
      <x:c r="AO50" s="42" t="n">
        <x:v>0.85</x:v>
      </x:c>
      <x:c r="AP50" s="42" t="n">
        <x:v>0.8</x:v>
      </x:c>
      <x:c r="AQ50" s="42" t="n">
        <x:v>0.8</x:v>
      </x:c>
      <x:c r="AR50" s="42" t="n">
        <x:v>1</x:v>
      </x:c>
      <x:c r="AS50" s="42" t="n">
        <x:v>0.9</x:v>
      </x:c>
      <x:c r="AT50" s="42" t="n">
        <x:v>0.9</x:v>
      </x:c>
      <x:c r="AU50" t="str">
        <x:v>USD</x:v>
      </x:c>
      <x:c r="AV50" t="str">
        <x:v>CM336 legacy license future milestones, excludes already received equity-sale upfront</x:v>
      </x:c>
    </x:row>
    <x:row r="51" ht="23" customHeight="1">
      <x:c r="A51" s="11" t="str">
        <x:v>01093.HK</x:v>
      </x:c>
      <x:c r="B51" s="11" t="str">
        <x:v>2026年底</x:v>
      </x:c>
      <x:c r="C51" s="11" t="str">
        <x:v>KN026_HB_INCREMENT_DOM</x:v>
      </x:c>
      <x:c r="D51" s="11" t="str">
        <x:v>2037-12-31</x:v>
      </x:c>
      <x:c r="E51" s="11" t="str">
        <x:v>CNY</x:v>
      </x:c>
      <x:c r="F51" s="11" t="n">
        <x:v>11.000684462696784</x:v>
      </x:c>
      <x:c r="G51" s="26" t="b">
        <x:v>1</x:v>
      </x:c>
      <x:c r="H51" s="16" t="n">
        <x:v>1.1440000000000001</x:v>
      </x:c>
      <x:c r="I51" s="16" t="n">
        <x:v>2.1</x:v>
      </x:c>
      <x:c r="J51" s="16" t="n">
        <x:v>3.5999999999999996</x:v>
      </x:c>
      <x:c r="K51" s="11" t="n">
        <x:f>CHOOSE('假设'!$B$3,H51,I51,J51)</x:f>
        <x:v>2.1</x:v>
      </x:c>
      <x:c r="L51" s="11" t="n">
        <x:f>K51*'管线假设'!E15*'管线假设'!F15*'管线假设'!G15*IF(E51="USD",'管线假设'!I15,1)-AM51</x:f>
        <x:v>0.21168</x:v>
      </x:c>
      <x:c r="M51" s="11" t="n">
        <x:f>'管线假设'!H15</x:f>
        <x:v>0.13</x:v>
      </x:c>
      <x:c r="N51" s="11" t="n">
        <x:f>IF(G51,L51*AN51/(1+M51)^F51,0)</x:f>
        <x:v>0.05517986305446119</x:v>
      </x:c>
      <x:c r="P51" t="str">
        <x:v>02162.HK</x:v>
      </x:c>
      <x:c r="Q51" t="str">
        <x:v>半年</x:v>
      </x:c>
      <x:c r="R51" t="str">
        <x:v>2029-12-31</x:v>
      </x:c>
      <x:c r="S51" t="n">
        <x:v>2.729637234770705</x:v>
      </x:c>
      <x:c r="T51" s="27" t="b">
        <x:v>1</x:v>
      </x:c>
      <x:c r="U51" s="42" t="n">
        <x:v>0</x:v>
      </x:c>
      <x:c r="V51" s="42" t="n">
        <x:v>0.1</x:v>
      </x:c>
      <x:c r="W51" s="42" t="n">
        <x:v>0.2</x:v>
      </x:c>
      <x:c r="X51" s="42" t="n">
        <x:v>0</x:v>
      </x:c>
      <x:c r="Y51" s="42" t="n">
        <x:v>0.35</x:v>
      </x:c>
      <x:c r="Z51" s="42" t="n">
        <x:v>0.65</x:v>
      </x:c>
      <x:c r="AA51" t="n">
        <x:f>AB51/(1+'管线假设'!H851)^S51</x:f>
        <x:v>0.10194207025162078</x:v>
      </x:c>
      <x:c r="AB51" t="n">
        <x:f>IF(T51,CHOOSE('假设'!$B$3,U51,V51,W51)*CHOOSE('假设'!$B$3,X51,Y51,Z51)*CHOOSE('假设'!$B$3,AO51,AP51,AQ51)*CHOOSE('假设'!$B$3,AR51,AS51,AT51)*IF(AU51="USD",'管线假设'!I851,1),0)</x:f>
        <x:v>0.145775</x:v>
      </x:c>
      <x:c r="AJ51" t="n">
        <x:v>0</x:v>
      </x:c>
      <x:c r="AK51" t="n">
        <x:v>0</x:v>
      </x:c>
      <x:c r="AL51" t="n">
        <x:v>0</x:v>
      </x:c>
      <x:c r="AM51" t="n">
        <x:f>CHOOSE('假设'!$B$3,AJ51,AK51,AL51)</x:f>
        <x:v>0</x:v>
      </x:c>
      <x:c r="AN51" t="n">
        <x:v>1</x:v>
      </x:c>
      <x:c r="AO51" s="42" t="n">
        <x:v>0.8</x:v>
      </x:c>
      <x:c r="AP51" s="42" t="n">
        <x:v>0.85</x:v>
      </x:c>
      <x:c r="AQ51" s="42" t="n">
        <x:v>0.85</x:v>
      </x:c>
      <x:c r="AR51" s="42" t="n">
        <x:v>0.9</x:v>
      </x:c>
      <x:c r="AS51" s="42" t="n">
        <x:v>0.7</x:v>
      </x:c>
      <x:c r="AT51" s="42" t="n">
        <x:v>0.7</x:v>
      </x:c>
      <x:c r="AU51" t="str">
        <x:v>USD</x:v>
      </x:c>
      <x:c r="AV51" t="str">
        <x:v>CMG901 future eligible milestones</x:v>
      </x:c>
    </x:row>
    <x:row r="52" ht="23" customHeight="1">
      <x:c r="A52" s="11" t="str">
        <x:v>01093.HK</x:v>
      </x:c>
      <x:c r="B52" s="11" t="str">
        <x:v>2026年底</x:v>
      </x:c>
      <x:c r="C52" s="11" t="str">
        <x:v>KN026_HB_INCREMENT_DOM</x:v>
      </x:c>
      <x:c r="D52" s="11" t="str">
        <x:v>2038-12-31</x:v>
      </x:c>
      <x:c r="E52" s="11" t="str">
        <x:v>CNY</x:v>
      </x:c>
      <x:c r="F52" s="11" t="n">
        <x:v>12</x:v>
      </x:c>
      <x:c r="G52" s="26" t="b">
        <x:v>1</x:v>
      </x:c>
      <x:c r="H52" s="16" t="n">
        <x:v>0.9750000000000001</x:v>
      </x:c>
      <x:c r="I52" s="16" t="n">
        <x:v>1.575</x:v>
      </x:c>
      <x:c r="J52" s="16" t="n">
        <x:v>2.7</x:v>
      </x:c>
      <x:c r="K52" s="11" t="n">
        <x:f>CHOOSE('假设'!$B$3,H52,I52,J52)</x:f>
        <x:v>1.575</x:v>
      </x:c>
      <x:c r="L52" s="11" t="n">
        <x:f>K52*'管线假设'!E15*'管线假设'!F15*'管线假设'!G15*IF(E52="USD",'管线假设'!I15,1)-AM52</x:f>
        <x:v>0.15875999999999998</x:v>
      </x:c>
      <x:c r="M52" s="11" t="n">
        <x:f>'管线假设'!H15</x:f>
        <x:v>0.13</x:v>
      </x:c>
      <x:c r="N52" s="11" t="n">
        <x:f>IF(G52,L52*AN52/(1+M52)^F52,0)</x:f>
        <x:v>0.03662686674641999</x:v>
      </x:c>
      <x:c r="P52" t="str">
        <x:v>02162.HK</x:v>
      </x:c>
      <x:c r="Q52" t="str">
        <x:v>半年</x:v>
      </x:c>
      <x:c r="R52" t="str">
        <x:v>2029-12-31</x:v>
      </x:c>
      <x:c r="S52" t="n">
        <x:v>2.729637234770705</x:v>
      </x:c>
      <x:c r="T52" s="27" t="b">
        <x:v>1</x:v>
      </x:c>
      <x:c r="U52" s="42" t="n">
        <x:v>0.03</x:v>
      </x:c>
      <x:c r="V52" s="42" t="n">
        <x:v>0</x:v>
      </x:c>
      <x:c r="W52" s="42" t="n">
        <x:v>0</x:v>
      </x:c>
      <x:c r="X52" s="42" t="n">
        <x:v>0.15</x:v>
      </x:c>
      <x:c r="Y52" s="42" t="n">
        <x:v>0</x:v>
      </x:c>
      <x:c r="Z52" s="42" t="n">
        <x:v>0</x:v>
      </x:c>
      <x:c r="AA52" t="n">
        <x:f>AB52/(1+'管线假设'!H851)^S52</x:f>
        <x:v>0</x:v>
      </x:c>
      <x:c r="AB52" t="n">
        <x:f>IF(T52,CHOOSE('假设'!$B$3,U52,V52,W52)*CHOOSE('假设'!$B$3,X52,Y52,Z52)*CHOOSE('假设'!$B$3,AO52,AP52,AQ52)*CHOOSE('假设'!$B$3,AR52,AS52,AT52)*IF(AU52="USD",'管线假设'!I851,1),0)</x:f>
        <x:v>0</x:v>
      </x:c>
      <x:c r="AJ52" t="n">
        <x:v>0</x:v>
      </x:c>
      <x:c r="AK52" t="n">
        <x:v>0</x:v>
      </x:c>
      <x:c r="AL52" t="n">
        <x:v>0</x:v>
      </x:c>
      <x:c r="AM52" t="n">
        <x:f>CHOOSE('假设'!$B$3,AJ52,AK52,AL52)</x:f>
        <x:v>0</x:v>
      </x:c>
      <x:c r="AN52" t="n">
        <x:v>1</x:v>
      </x:c>
      <x:c r="AO52" s="42" t="n">
        <x:v>0.83</x:v>
      </x:c>
      <x:c r="AP52" s="42" t="n">
        <x:v>0.8</x:v>
      </x:c>
      <x:c r="AQ52" s="42" t="n">
        <x:v>0.8</x:v>
      </x:c>
      <x:c r="AR52" s="42" t="n">
        <x:v>1</x:v>
      </x:c>
      <x:c r="AS52" s="42" t="n">
        <x:v>0.9</x:v>
      </x:c>
      <x:c r="AT52" s="42" t="n">
        <x:v>0.9</x:v>
      </x:c>
      <x:c r="AU52" t="str">
        <x:v>USD</x:v>
      </x:c>
      <x:c r="AV52" t="str">
        <x:v>Ouro sold equity contingent consideration maximum70m, distinct contract</x:v>
      </x:c>
    </x:row>
    <x:row r="53" ht="23" customHeight="1">
      <x:c r="A53" s="11" t="str">
        <x:v>01093.HK</x:v>
      </x:c>
      <x:c r="B53" s="11" t="str">
        <x:v>2026年底</x:v>
      </x:c>
      <x:c r="C53" s="11" t="str">
        <x:v>KN026_HB_INCREMENT_DOM</x:v>
      </x:c>
      <x:c r="D53" s="11" t="str">
        <x:v>2039-12-31</x:v>
      </x:c>
      <x:c r="E53" s="11" t="str">
        <x:v>CNY</x:v>
      </x:c>
      <x:c r="F53" s="11" t="n">
        <x:v>12.999315537303216</x:v>
      </x:c>
      <x:c r="G53" s="26" t="b">
        <x:v>1</x:v>
      </x:c>
      <x:c r="H53" s="16" t="n">
        <x:v>0.78</x:v>
      </x:c>
      <x:c r="I53" s="16" t="n">
        <x:v>1.05</x:v>
      </x:c>
      <x:c r="J53" s="16" t="n">
        <x:v>1.7999999999999998</x:v>
      </x:c>
      <x:c r="K53" s="11" t="n">
        <x:f>CHOOSE('假设'!$B$3,H53,I53,J53)</x:f>
        <x:v>1.05</x:v>
      </x:c>
      <x:c r="L53" s="11" t="n">
        <x:f>K53*'管线假设'!E15*'管线假设'!F15*'管线假设'!G15*IF(E53="USD",'管线假设'!I15,1)-AM53</x:f>
        <x:v>0.10584</x:v>
      </x:c>
      <x:c r="M53" s="11" t="n">
        <x:f>'管线假设'!H15</x:f>
        <x:v>0.13</x:v>
      </x:c>
      <x:c r="N53" s="11" t="n">
        <x:f>IF(G53,L53*AN53/(1+M53)^F53,0)</x:f>
        <x:v>0.021610578664836507</x:v>
      </x:c>
      <x:c r="P53" t="str">
        <x:v>02162.HK</x:v>
      </x:c>
      <x:c r="Q53" t="str">
        <x:v>半年</x:v>
      </x:c>
      <x:c r="R53" t="str">
        <x:v>2030-12-31</x:v>
      </x:c>
      <x:c r="S53" t="n">
        <x:v>3.728952772073922</x:v>
      </x:c>
      <x:c r="T53" s="27" t="b">
        <x:v>1</x:v>
      </x:c>
      <x:c r="U53" s="42" t="n">
        <x:v>0</x:v>
      </x:c>
      <x:c r="V53" s="42" t="n">
        <x:v>0.03</x:v>
      </x:c>
      <x:c r="W53" s="42" t="n">
        <x:v>0.03</x:v>
      </x:c>
      <x:c r="X53" s="42" t="n">
        <x:v>0</x:v>
      </x:c>
      <x:c r="Y53" s="42" t="n">
        <x:v>0.25</x:v>
      </x:c>
      <x:c r="Z53" s="42" t="n">
        <x:v>0.5</x:v>
      </x:c>
      <x:c r="AA53" t="n">
        <x:f>AB53/(1+'管线假设'!H851)^S53</x:f>
        <x:v>0.026732642629950624</x:v>
      </x:c>
      <x:c r="AB53" t="n">
        <x:f>IF(T53,CHOOSE('假设'!$B$3,U53,V53,W53)*CHOOSE('假设'!$B$3,X53,Y53,Z53)*CHOOSE('假设'!$B$3,AO53,AP53,AQ53)*CHOOSE('假设'!$B$3,AR53,AS53,AT53)*IF(AU53="USD",'管线假设'!I851,1),0)</x:f>
        <x:v>0.043574999999999996</x:v>
      </x:c>
      <x:c r="AJ53" t="n">
        <x:v>0</x:v>
      </x:c>
      <x:c r="AK53" t="n">
        <x:v>0</x:v>
      </x:c>
      <x:c r="AL53" t="n">
        <x:v>0</x:v>
      </x:c>
      <x:c r="AM53" t="n">
        <x:f>CHOOSE('假设'!$B$3,AJ53,AK53,AL53)</x:f>
        <x:v>0</x:v>
      </x:c>
      <x:c r="AN53" t="n">
        <x:v>1</x:v>
      </x:c>
      <x:c r="AO53" s="42" t="n">
        <x:v>0.8</x:v>
      </x:c>
      <x:c r="AP53" s="42" t="n">
        <x:v>0.83</x:v>
      </x:c>
      <x:c r="AQ53" s="42" t="n">
        <x:v>0.83</x:v>
      </x:c>
      <x:c r="AR53" s="42" t="n">
        <x:v>0.9</x:v>
      </x:c>
      <x:c r="AS53" s="42" t="n">
        <x:v>1</x:v>
      </x:c>
      <x:c r="AT53" s="42" t="n">
        <x:v>1</x:v>
      </x:c>
      <x:c r="AU53" t="str">
        <x:v>USD</x:v>
      </x:c>
      <x:c r="AV53" t="str">
        <x:v>Ouro sold equity contingent consideration maximum70m, distinct contract</x:v>
      </x:c>
    </x:row>
    <x:row r="54" ht="23" customHeight="1">
      <x:c r="A54" s="11" t="str">
        <x:v>01093.HK</x:v>
      </x:c>
      <x:c r="B54" s="11" t="str">
        <x:v>2026年底</x:v>
      </x:c>
      <x:c r="C54" s="11" t="str">
        <x:v>KN026_HB_INCREMENT_DOM</x:v>
      </x:c>
      <x:c r="D54" s="11" t="str">
        <x:v>2040-12-31</x:v>
      </x:c>
      <x:c r="E54" s="11" t="str">
        <x:v>CNY</x:v>
      </x:c>
      <x:c r="F54" s="11" t="n">
        <x:v>14.001368925393566</x:v>
      </x:c>
      <x:c r="G54" s="26" t="b">
        <x:v>1</x:v>
      </x:c>
      <x:c r="H54" s="16" t="n">
        <x:v>0.5850000000000001</x:v>
      </x:c>
      <x:c r="I54" s="16" t="n">
        <x:v>0.63</x:v>
      </x:c>
      <x:c r="J54" s="16" t="n">
        <x:v>1.08</x:v>
      </x:c>
      <x:c r="K54" s="11" t="n">
        <x:f>CHOOSE('假设'!$B$3,H54,I54,J54)</x:f>
        <x:v>0.63</x:v>
      </x:c>
      <x:c r="L54" s="11" t="n">
        <x:f>K54*'管线假设'!E15*'管线假设'!F15*'管线假设'!G15*IF(E54="USD",'管线假设'!I15,1)-AM54</x:f>
        <x:v>0.063504</x:v>
      </x:c>
      <x:c r="M54" s="11" t="n">
        <x:f>'管线假设'!H15</x:f>
        <x:v>0.13</x:v>
      </x:c>
      <x:c r="N54" s="11" t="n">
        <x:f>IF(G54,L54*AN54/(1+M54)^F54,0)</x:f>
        <x:v>0.011471764220964992</x:v>
      </x:c>
      <x:c r="P54" t="str">
        <x:v>02162.HK</x:v>
      </x:c>
      <x:c r="Q54" t="str">
        <x:v>半年</x:v>
      </x:c>
      <x:c r="R54" t="str">
        <x:v>2031-12-31</x:v>
      </x:c>
      <x:c r="S54" t="n">
        <x:v>4.728268309377139</x:v>
      </x:c>
      <x:c r="T54" s="27" t="b">
        <x:v>1</x:v>
      </x:c>
      <x:c r="U54" s="42" t="n">
        <x:v>0</x:v>
      </x:c>
      <x:c r="V54" s="42" t="n">
        <x:v>0.1</x:v>
      </x:c>
      <x:c r="W54" s="42" t="n">
        <x:v>0.2</x:v>
      </x:c>
      <x:c r="X54" s="42" t="n">
        <x:v>0</x:v>
      </x:c>
      <x:c r="Y54" s="42" t="n">
        <x:v>0.18</x:v>
      </x:c>
      <x:c r="Z54" s="42" t="n">
        <x:v>0.35</x:v>
      </x:c>
      <x:c r="AA54" t="n">
        <x:f>AB54/(1+'管线假设'!H851)^S54</x:f>
        <x:v>0.05764054329146004</x:v>
      </x:c>
      <x:c r="AB54" t="n">
        <x:f>IF(T54,CHOOSE('假设'!$B$3,U54,V54,W54)*CHOOSE('假设'!$B$3,X54,Y54,Z54)*CHOOSE('假设'!$B$3,AO54,AP54,AQ54)*CHOOSE('假设'!$B$3,AR54,AS54,AT54)*IF(AU54="USD",'管线假设'!I851,1),0)</x:f>
        <x:v>0.10709999999999999</x:v>
      </x:c>
      <x:c r="AJ54" t="n">
        <x:v>0</x:v>
      </x:c>
      <x:c r="AK54" t="n">
        <x:v>0</x:v>
      </x:c>
      <x:c r="AL54" t="n">
        <x:v>0</x:v>
      </x:c>
      <x:c r="AM54" t="n">
        <x:f>CHOOSE('假设'!$B$3,AJ54,AK54,AL54)</x:f>
        <x:v>0</x:v>
      </x:c>
      <x:c r="AN54" t="n">
        <x:v>1</x:v>
      </x:c>
      <x:c r="AO54" s="42" t="n">
        <x:v>0.8</x:v>
      </x:c>
      <x:c r="AP54" s="42" t="n">
        <x:v>0.85</x:v>
      </x:c>
      <x:c r="AQ54" s="42" t="n">
        <x:v>0.85</x:v>
      </x:c>
      <x:c r="AR54" s="42" t="n">
        <x:v>0.9</x:v>
      </x:c>
      <x:c r="AS54" s="42" t="n">
        <x:v>1</x:v>
      </x:c>
      <x:c r="AT54" s="42" t="n">
        <x:v>1</x:v>
      </x:c>
      <x:c r="AU54" t="str">
        <x:v>USD</x:v>
      </x:c>
      <x:c r="AV54" t="str">
        <x:v>CM336 legacy license future milestones, excludes already received equity-sale upfront</x:v>
      </x:c>
    </x:row>
    <x:row r="55" ht="23" customHeight="1">
      <x:c r="A55" s="11" t="str">
        <x:v>01093.HK</x:v>
      </x:c>
      <x:c r="B55" s="11" t="str">
        <x:v>2026年底</x:v>
      </x:c>
      <x:c r="C55" s="11" t="str">
        <x:v>KN026_HB_INCREMENT_DOM</x:v>
      </x:c>
      <x:c r="D55" s="11" t="str">
        <x:v>2041-12-31</x:v>
      </x:c>
      <x:c r="E55" s="11" t="str">
        <x:v>CNY</x:v>
      </x:c>
      <x:c r="F55" s="11" t="n">
        <x:v>15.000684462696784</x:v>
      </x:c>
      <x:c r="G55" s="26" t="b">
        <x:v>1</x:v>
      </x:c>
      <x:c r="H55" s="16" t="n">
        <x:v>0.39</x:v>
      </x:c>
      <x:c r="I55" s="16" t="n">
        <x:v>0.35000000000000003</x:v>
      </x:c>
      <x:c r="J55" s="16" t="n">
        <x:v>0.6000000000000001</x:v>
      </x:c>
      <x:c r="K55" s="11" t="n">
        <x:f>CHOOSE('假设'!$B$3,H55,I55,J55)</x:f>
        <x:v>0.35000000000000003</x:v>
      </x:c>
      <x:c r="L55" s="11" t="n">
        <x:f>K55*'管线假设'!E15*'管线假设'!F15*'管线假设'!G15*IF(E55="USD",'管线假设'!I15,1)-AM55</x:f>
        <x:v>0.03528</x:v>
      </x:c>
      <x:c r="M55" s="11" t="n">
        <x:f>'管线假设'!H15</x:f>
        <x:v>0.13</x:v>
      </x:c>
      <x:c r="N55" s="11" t="n">
        <x:f>IF(G55,L55*AN55/(1+M55)^F55,0)</x:f>
        <x:v>0.005640473900347397</x:v>
      </x:c>
      <x:c r="P55" t="str">
        <x:v>02162.HK</x:v>
      </x:c>
      <x:c r="Q55" t="str">
        <x:v>一年</x:v>
      </x:c>
      <x:c r="R55" t="str">
        <x:v>2027-12-31</x:v>
      </x:c>
      <x:c r="S55" t="n">
        <x:v>0.2272416153319644</x:v>
      </x:c>
      <x:c r="T55" s="27" t="b">
        <x:v>1</x:v>
      </x:c>
      <x:c r="U55" s="42" t="n">
        <x:v>0</x:v>
      </x:c>
      <x:c r="V55" s="42" t="n">
        <x:v>0.06</x:v>
      </x:c>
      <x:c r="W55" s="42" t="n">
        <x:v>0.1</x:v>
      </x:c>
      <x:c r="X55" s="42" t="n">
        <x:v>0</x:v>
      </x:c>
      <x:c r="Y55" s="42" t="n">
        <x:v>0.65</x:v>
      </x:c>
      <x:c r="Z55" s="42" t="n">
        <x:v>0.85</x:v>
      </x:c>
      <x:c r="AA55" t="n">
        <x:f>AB55/(1+'管线假设'!H895)^S55</x:f>
        <x:v>0.15766978028632855</x:v>
      </x:c>
      <x:c r="AB55" t="n">
        <x:f>IF(T55,CHOOSE('假设'!$B$3,U55,V55,W55)*CHOOSE('假设'!$B$3,X55,Y55,Z55)*CHOOSE('假设'!$B$3,AO55,AP55,AQ55)*CHOOSE('假设'!$B$3,AR55,AS55,AT55)*IF(AU55="USD",'管线假设'!I895,1),0)</x:f>
        <x:v>0.16243499999999997</x:v>
      </x:c>
      <x:c r="AJ55" t="n">
        <x:v>0</x:v>
      </x:c>
      <x:c r="AK55" t="n">
        <x:v>0</x:v>
      </x:c>
      <x:c r="AL55" t="n">
        <x:v>0</x:v>
      </x:c>
      <x:c r="AM55" t="n">
        <x:f>CHOOSE('假设'!$B$3,AJ55,AK55,AL55)</x:f>
        <x:v>0</x:v>
      </x:c>
      <x:c r="AN55" t="n">
        <x:v>1</x:v>
      </x:c>
      <x:c r="AO55" s="42" t="n">
        <x:v>0.8</x:v>
      </x:c>
      <x:c r="AP55" s="42" t="n">
        <x:v>0.85</x:v>
      </x:c>
      <x:c r="AQ55" s="42" t="n">
        <x:v>0.85</x:v>
      </x:c>
      <x:c r="AR55" s="42" t="n">
        <x:v>0.9</x:v>
      </x:c>
      <x:c r="AS55" s="42" t="n">
        <x:v>0.7</x:v>
      </x:c>
      <x:c r="AT55" s="42" t="n">
        <x:v>0.7</x:v>
      </x:c>
      <x:c r="AU55" t="str">
        <x:v>USD</x:v>
      </x:c>
      <x:c r="AV55" t="str">
        <x:v>CMG901 future eligible milestones</x:v>
      </x:c>
    </x:row>
    <x:row r="56" ht="23" customHeight="1">
      <x:c r="A56" s="11" t="str">
        <x:v>01093.HK</x:v>
      </x:c>
      <x:c r="B56" s="11" t="str">
        <x:v>2026年底</x:v>
      </x:c>
      <x:c r="C56" s="11" t="str">
        <x:v>KN026_HB_INCREMENT_DOM</x:v>
      </x:c>
      <x:c r="D56" s="11" t="str">
        <x:v>2042-12-31</x:v>
      </x:c>
      <x:c r="E56" s="11" t="str">
        <x:v>CNY</x:v>
      </x:c>
      <x:c r="F56" s="11" t="n">
        <x:v>16</x:v>
      </x:c>
      <x:c r="G56" s="26" t="b">
        <x:v>1</x:v>
      </x:c>
      <x:c r="H56" s="16" t="n">
        <x:v>0.23399999999999999</x:v>
      </x:c>
      <x:c r="I56" s="16" t="n">
        <x:v>0.17500000000000002</x:v>
      </x:c>
      <x:c r="J56" s="16" t="n">
        <x:v>0.30000000000000004</x:v>
      </x:c>
      <x:c r="K56" s="11" t="n">
        <x:f>CHOOSE('假设'!$B$3,H56,I56,J56)</x:f>
        <x:v>0.17500000000000002</x:v>
      </x:c>
      <x:c r="L56" s="11" t="n">
        <x:f>K56*'管线假设'!E15*'管线假设'!F15*'管线假设'!G15*IF(E56="USD",'管线假设'!I15,1)-AM56</x:f>
        <x:v>0.01764</x:v>
      </x:c>
      <x:c r="M56" s="11" t="n">
        <x:f>'管线假设'!H15</x:f>
        <x:v>0.13</x:v>
      </x:c>
      <x:c r="N56" s="11" t="n">
        <x:f>IF(G56,L56*AN56/(1+M56)^F56,0)</x:f>
        <x:v>0.0024959937013107093</x:v>
      </x:c>
      <x:c r="P56" t="str">
        <x:v>02162.HK</x:v>
      </x:c>
      <x:c r="Q56" t="str">
        <x:v>一年</x:v>
      </x:c>
      <x:c r="R56" t="str">
        <x:v>2028-12-31</x:v>
      </x:c>
      <x:c r="S56" t="n">
        <x:v>1.2292950034223136</x:v>
      </x:c>
      <x:c r="T56" s="27" t="b">
        <x:v>1</x:v>
      </x:c>
      <x:c r="U56" s="42" t="n">
        <x:v>0</x:v>
      </x:c>
      <x:c r="V56" s="42" t="n">
        <x:v>0.06</x:v>
      </x:c>
      <x:c r="W56" s="42" t="n">
        <x:v>0.1</x:v>
      </x:c>
      <x:c r="X56" s="42" t="n">
        <x:v>0</x:v>
      </x:c>
      <x:c r="Y56" s="42" t="n">
        <x:v>0.25</x:v>
      </x:c>
      <x:c r="Z56" s="42" t="n">
        <x:v>0.5</x:v>
      </x:c>
      <x:c r="AA56" t="n">
        <x:f>AB56/(1+'管线假设'!H895)^S56</x:f>
        <x:v>0.07597231764160611</x:v>
      </x:c>
      <x:c r="AB56" t="n">
        <x:f>IF(T56,CHOOSE('假设'!$B$3,U56,V56,W56)*CHOOSE('假设'!$B$3,X56,Y56,Z56)*CHOOSE('假设'!$B$3,AO56,AP56,AQ56)*CHOOSE('假设'!$B$3,AR56,AS56,AT56)*IF(AU56="USD",'管线假设'!I895,1),0)</x:f>
        <x:v>0.08925</x:v>
      </x:c>
      <x:c r="AJ56" t="n">
        <x:v>0</x:v>
      </x:c>
      <x:c r="AK56" t="n">
        <x:v>0</x:v>
      </x:c>
      <x:c r="AL56" t="n">
        <x:v>0</x:v>
      </x:c>
      <x:c r="AM56" t="n">
        <x:f>CHOOSE('假设'!$B$3,AJ56,AK56,AL56)</x:f>
        <x:v>0</x:v>
      </x:c>
      <x:c r="AN56" t="n">
        <x:v>1</x:v>
      </x:c>
      <x:c r="AO56" s="42" t="n">
        <x:v>0.8</x:v>
      </x:c>
      <x:c r="AP56" s="42" t="n">
        <x:v>0.85</x:v>
      </x:c>
      <x:c r="AQ56" s="42" t="n">
        <x:v>0.85</x:v>
      </x:c>
      <x:c r="AR56" s="42" t="n">
        <x:v>0.9</x:v>
      </x:c>
      <x:c r="AS56" s="42" t="n">
        <x:v>1</x:v>
      </x:c>
      <x:c r="AT56" s="42" t="n">
        <x:v>1</x:v>
      </x:c>
      <x:c r="AU56" t="str">
        <x:v>USD</x:v>
      </x:c>
      <x:c r="AV56" t="str">
        <x:v>CM336 legacy license future milestones, excludes already received equity-sale upfront</x:v>
      </x:c>
    </x:row>
    <x:row r="57" ht="23" customHeight="1">
      <x:c r="A57" s="11" t="str">
        <x:v>01093.HK</x:v>
      </x:c>
      <x:c r="B57" s="11" t="str">
        <x:v>2026年底</x:v>
      </x:c>
      <x:c r="C57" s="11" t="str">
        <x:v>KN026_HB_INCREMENT_DOM</x:v>
      </x:c>
      <x:c r="D57" s="11" t="str">
        <x:v>2043-12-31</x:v>
      </x:c>
      <x:c r="E57" s="11" t="str">
        <x:v>CNY</x:v>
      </x:c>
      <x:c r="F57" s="11" t="n">
        <x:v>16.999315537303218</x:v>
      </x:c>
      <x:c r="G57" s="26" t="b">
        <x:v>1</x:v>
      </x:c>
      <x:c r="H57" s="16" t="n">
        <x:v>0.13</x:v>
      </x:c>
      <x:c r="I57" s="16" t="n">
        <x:v>0.17500000000000002</x:v>
      </x:c>
      <x:c r="J57" s="16" t="n">
        <x:v>0.30000000000000004</x:v>
      </x:c>
      <x:c r="K57" s="11" t="n">
        <x:f>CHOOSE('假设'!$B$3,H57,I57,J57)</x:f>
        <x:v>0.17500000000000002</x:v>
      </x:c>
      <x:c r="L57" s="11" t="n">
        <x:f>K57*'管线假设'!E15*'管线假设'!F15*'管线假设'!G15*IF(E57="USD",'管线假设'!I15,1)-AM57</x:f>
        <x:v>0.01764</x:v>
      </x:c>
      <x:c r="M57" s="11" t="n">
        <x:f>'管线假设'!H15</x:f>
        <x:v>0.13</x:v>
      </x:c>
      <x:c r="N57" s="11" t="n">
        <x:f>IF(G57,L57*AN57/(1+M57)^F57,0)</x:f>
        <x:v>0.0022090287685221015</x:v>
      </x:c>
      <x:c r="P57" t="str">
        <x:v>02162.HK</x:v>
      </x:c>
      <x:c r="Q57" t="str">
        <x:v>一年</x:v>
      </x:c>
      <x:c r="R57" t="str">
        <x:v>2028-12-31</x:v>
      </x:c>
      <x:c r="S57" t="n">
        <x:v>1.2292950034223136</x:v>
      </x:c>
      <x:c r="T57" s="27" t="b">
        <x:v>1</x:v>
      </x:c>
      <x:c r="U57" s="42" t="n">
        <x:v>0.04</x:v>
      </x:c>
      <x:c r="V57" s="42" t="n">
        <x:v>0</x:v>
      </x:c>
      <x:c r="W57" s="42" t="n">
        <x:v>0</x:v>
      </x:c>
      <x:c r="X57" s="42" t="n">
        <x:v>0.35</x:v>
      </x:c>
      <x:c r="Y57" s="42" t="n">
        <x:v>0</x:v>
      </x:c>
      <x:c r="Z57" s="42" t="n">
        <x:v>0</x:v>
      </x:c>
      <x:c r="AA57" t="n">
        <x:f>AB57/(1+'管线假设'!H895)^S57</x:f>
        <x:v>0</x:v>
      </x:c>
      <x:c r="AB57" t="n">
        <x:f>IF(T57,CHOOSE('假设'!$B$3,U57,V57,W57)*CHOOSE('假设'!$B$3,X57,Y57,Z57)*CHOOSE('假设'!$B$3,AO57,AP57,AQ57)*CHOOSE('假设'!$B$3,AR57,AS57,AT57)*IF(AU57="USD",'管线假设'!I895,1),0)</x:f>
        <x:v>0</x:v>
      </x:c>
      <x:c r="AJ57" t="n">
        <x:v>0</x:v>
      </x:c>
      <x:c r="AK57" t="n">
        <x:v>0</x:v>
      </x:c>
      <x:c r="AL57" t="n">
        <x:v>0</x:v>
      </x:c>
      <x:c r="AM57" t="n">
        <x:f>CHOOSE('假设'!$B$3,AJ57,AK57,AL57)</x:f>
        <x:v>0</x:v>
      </x:c>
      <x:c r="AN57" t="n">
        <x:v>1</x:v>
      </x:c>
      <x:c r="AO57" s="42" t="n">
        <x:v>0.85</x:v>
      </x:c>
      <x:c r="AP57" s="42" t="n">
        <x:v>0.8</x:v>
      </x:c>
      <x:c r="AQ57" s="42" t="n">
        <x:v>0.8</x:v>
      </x:c>
      <x:c r="AR57" s="42" t="n">
        <x:v>0.7</x:v>
      </x:c>
      <x:c r="AS57" s="42" t="n">
        <x:v>0.9</x:v>
      </x:c>
      <x:c r="AT57" s="42" t="n">
        <x:v>0.9</x:v>
      </x:c>
      <x:c r="AU57" t="str">
        <x:v>USD</x:v>
      </x:c>
      <x:c r="AV57" t="str">
        <x:v>CMG901 future eligible milestones</x:v>
      </x:c>
    </x:row>
    <x:row r="58" ht="23" customHeight="1">
      <x:c r="A58" s="11" t="str">
        <x:v>01093.HK</x:v>
      </x:c>
      <x:c r="B58" s="11" t="str">
        <x:v>2026年底</x:v>
      </x:c>
      <x:c r="C58" s="11" t="str">
        <x:v>TG103_DOM</x:v>
      </x:c>
      <x:c r="D58" s="11" t="str">
        <x:v>2027-12-31</x:v>
      </x:c>
      <x:c r="E58" s="11" t="str">
        <x:v>CNY</x:v>
      </x:c>
      <x:c r="F58" s="11" t="n">
        <x:v>0.999315537303217</x:v>
      </x:c>
      <x:c r="G58" s="26" t="b">
        <x:v>1</x:v>
      </x:c>
      <x:c r="H58" s="16" t="n">
        <x:v>0</x:v>
      </x:c>
      <x:c r="I58" s="16" t="n">
        <x:v>0.12</x:v>
      </x:c>
      <x:c r="J58" s="16" t="n">
        <x:v>0.256</x:v>
      </x:c>
      <x:c r="K58" s="11" t="n">
        <x:f>CHOOSE('假设'!$B$3,H58,I58,J58)</x:f>
        <x:v>0.12</x:v>
      </x:c>
      <x:c r="L58" s="11" t="n">
        <x:f>K58*'管线假设'!E19*'管线假设'!F19*'管线假设'!G19*IF(E58="USD",'管线假设'!I19,1)-AM58</x:f>
        <x:v>0.0132192</x:v>
      </x:c>
      <x:c r="M58" s="11" t="n">
        <x:f>'管线假设'!H19</x:f>
        <x:v>0.13</x:v>
      </x:c>
      <x:c r="N58" s="11" t="n">
        <x:f>IF(G58,L58*AN58/(1+M58)^F58,0)</x:f>
        <x:v>0.011699385732228762</x:v>
      </x:c>
      <x:c r="P58" t="str">
        <x:v>02162.HK</x:v>
      </x:c>
      <x:c r="Q58" t="str">
        <x:v>一年</x:v>
      </x:c>
      <x:c r="R58" t="str">
        <x:v>2028-12-31</x:v>
      </x:c>
      <x:c r="S58" t="n">
        <x:v>1.2292950034223136</x:v>
      </x:c>
      <x:c r="T58" s="27" t="b">
        <x:v>1</x:v>
      </x:c>
      <x:c r="U58" s="42" t="n">
        <x:v>0</x:v>
      </x:c>
      <x:c r="V58" s="42" t="n">
        <x:v>0.04</x:v>
      </x:c>
      <x:c r="W58" s="42" t="n">
        <x:v>0.04</x:v>
      </x:c>
      <x:c r="X58" s="42" t="n">
        <x:v>0</x:v>
      </x:c>
      <x:c r="Y58" s="42" t="n">
        <x:v>0.35</x:v>
      </x:c>
      <x:c r="Z58" s="42" t="n">
        <x:v>0.65</x:v>
      </x:c>
      <x:c r="AA58" t="n">
        <x:f>AB58/(1+'管线假设'!H895)^S58</x:f>
        <x:v>0.06923908478395789</x:v>
      </x:c>
      <x:c r="AB58" t="n">
        <x:f>IF(T58,CHOOSE('假设'!$B$3,U58,V58,W58)*CHOOSE('假设'!$B$3,X58,Y58,Z58)*CHOOSE('假设'!$B$3,AO58,AP58,AQ58)*CHOOSE('假设'!$B$3,AR58,AS58,AT58)*IF(AU58="USD",'管线假设'!I895,1),0)</x:f>
        <x:v>0.08134</x:v>
      </x:c>
      <x:c r="AJ58" t="n">
        <x:v>0</x:v>
      </x:c>
      <x:c r="AK58" t="n">
        <x:v>0</x:v>
      </x:c>
      <x:c r="AL58" t="n">
        <x:v>0</x:v>
      </x:c>
      <x:c r="AM58" t="n">
        <x:f>CHOOSE('假设'!$B$3,AJ58,AK58,AL58)</x:f>
        <x:v>0</x:v>
      </x:c>
      <x:c r="AN58" t="n">
        <x:v>1</x:v>
      </x:c>
      <x:c r="AO58" s="42" t="n">
        <x:v>0.8</x:v>
      </x:c>
      <x:c r="AP58" s="42" t="n">
        <x:v>0.83</x:v>
      </x:c>
      <x:c r="AQ58" s="42" t="n">
        <x:v>0.83</x:v>
      </x:c>
      <x:c r="AR58" s="42" t="n">
        <x:v>0.9</x:v>
      </x:c>
      <x:c r="AS58" s="42" t="n">
        <x:v>1</x:v>
      </x:c>
      <x:c r="AT58" s="42" t="n">
        <x:v>1</x:v>
      </x:c>
      <x:c r="AU58" t="str">
        <x:v>USD</x:v>
      </x:c>
      <x:c r="AV58" t="str">
        <x:v>Ouro sold equity contingent consideration maximum70m, distinct contract</x:v>
      </x:c>
    </x:row>
    <x:row r="59" ht="23" customHeight="1">
      <x:c r="A59" s="11" t="str">
        <x:v>01093.HK</x:v>
      </x:c>
      <x:c r="B59" s="11" t="str">
        <x:v>2026年底</x:v>
      </x:c>
      <x:c r="C59" s="11" t="str">
        <x:v>TG103_DOM</x:v>
      </x:c>
      <x:c r="D59" s="11" t="str">
        <x:v>2028-12-31</x:v>
      </x:c>
      <x:c r="E59" s="11" t="str">
        <x:v>CNY</x:v>
      </x:c>
      <x:c r="F59" s="11" t="n">
        <x:v>2.001368925393566</x:v>
      </x:c>
      <x:c r="G59" s="26" t="b">
        <x:v>1</x:v>
      </x:c>
      <x:c r="H59" s="16" t="n">
        <x:v>0</x:v>
      </x:c>
      <x:c r="I59" s="16" t="n">
        <x:v>0.375</x:v>
      </x:c>
      <x:c r="J59" s="16" t="n">
        <x:v>0.8</x:v>
      </x:c>
      <x:c r="K59" s="11" t="n">
        <x:f>CHOOSE('假设'!$B$3,H59,I59,J59)</x:f>
        <x:v>0.375</x:v>
      </x:c>
      <x:c r="L59" s="11" t="n">
        <x:f>K59*'管线假设'!E19*'管线假设'!F19*'管线假设'!G19*IF(E59="USD",'管线假设'!I19,1)-AM59</x:f>
        <x:v>0.041310000000000006</x:v>
      </x:c>
      <x:c r="M59" s="11" t="n">
        <x:f>'管线假设'!H19</x:f>
        <x:v>0.13</x:v>
      </x:c>
      <x:c r="N59" s="11" t="n">
        <x:f>IF(G59,L59*AN59/(1+M59)^F59,0)</x:f>
        <x:v>0.032346377267882455</x:v>
      </x:c>
      <x:c r="P59" t="str">
        <x:v>02162.HK</x:v>
      </x:c>
      <x:c r="Q59" t="str">
        <x:v>一年</x:v>
      </x:c>
      <x:c r="R59" t="str">
        <x:v>2029-12-31</x:v>
      </x:c>
      <x:c r="S59" t="n">
        <x:v>2.2286105407255303</x:v>
      </x:c>
      <x:c r="T59" s="27" t="b">
        <x:v>1</x:v>
      </x:c>
      <x:c r="U59" s="42" t="n">
        <x:v>0.02</x:v>
      </x:c>
      <x:c r="V59" s="42" t="n">
        <x:v>0</x:v>
      </x:c>
      <x:c r="W59" s="42" t="n">
        <x:v>0</x:v>
      </x:c>
      <x:c r="X59" s="42" t="n">
        <x:v>0.1</x:v>
      </x:c>
      <x:c r="Y59" s="42" t="n">
        <x:v>0</x:v>
      </x:c>
      <x:c r="Z59" s="42" t="n">
        <x:v>0</x:v>
      </x:c>
      <x:c r="AA59" t="n">
        <x:f>AB59/(1+'管线假设'!H895)^S59</x:f>
        <x:v>0</x:v>
      </x:c>
      <x:c r="AB59" t="n">
        <x:f>IF(T59,CHOOSE('假设'!$B$3,U59,V59,W59)*CHOOSE('假设'!$B$3,X59,Y59,Z59)*CHOOSE('假设'!$B$3,AO59,AP59,AQ59)*CHOOSE('假设'!$B$3,AR59,AS59,AT59)*IF(AU59="USD",'管线假设'!I895,1),0)</x:f>
        <x:v>0</x:v>
      </x:c>
      <x:c r="AJ59" t="n">
        <x:v>0</x:v>
      </x:c>
      <x:c r="AK59" t="n">
        <x:v>0</x:v>
      </x:c>
      <x:c r="AL59" t="n">
        <x:v>0</x:v>
      </x:c>
      <x:c r="AM59" t="n">
        <x:f>CHOOSE('假设'!$B$3,AJ59,AK59,AL59)</x:f>
        <x:v>0</x:v>
      </x:c>
      <x:c r="AN59" t="n">
        <x:v>1</x:v>
      </x:c>
      <x:c r="AO59" s="42" t="n">
        <x:v>0.85</x:v>
      </x:c>
      <x:c r="AP59" s="42" t="n">
        <x:v>0.8</x:v>
      </x:c>
      <x:c r="AQ59" s="42" t="n">
        <x:v>0.8</x:v>
      </x:c>
      <x:c r="AR59" s="42" t="n">
        <x:v>1</x:v>
      </x:c>
      <x:c r="AS59" s="42" t="n">
        <x:v>0.9</x:v>
      </x:c>
      <x:c r="AT59" s="42" t="n">
        <x:v>0.9</x:v>
      </x:c>
      <x:c r="AU59" t="str">
        <x:v>USD</x:v>
      </x:c>
      <x:c r="AV59" t="str">
        <x:v>CM336 legacy license future milestones, excludes already received equity-sale upfront</x:v>
      </x:c>
    </x:row>
    <x:row r="60" ht="23" customHeight="1">
      <x:c r="A60" s="11" t="str">
        <x:v>01093.HK</x:v>
      </x:c>
      <x:c r="B60" s="11" t="str">
        <x:v>2026年底</x:v>
      </x:c>
      <x:c r="C60" s="11" t="str">
        <x:v>TG103_DOM</x:v>
      </x:c>
      <x:c r="D60" s="11" t="str">
        <x:v>2029-12-31</x:v>
      </x:c>
      <x:c r="E60" s="11" t="str">
        <x:v>CNY</x:v>
      </x:c>
      <x:c r="F60" s="11" t="n">
        <x:v>3.0006844626967832</x:v>
      </x:c>
      <x:c r="G60" s="26" t="b">
        <x:v>1</x:v>
      </x:c>
      <x:c r="H60" s="16" t="n">
        <x:v>0.04</x:v>
      </x:c>
      <x:c r="I60" s="16" t="n">
        <x:v>0.675</x:v>
      </x:c>
      <x:c r="J60" s="16" t="n">
        <x:v>1.4400000000000002</x:v>
      </x:c>
      <x:c r="K60" s="11" t="n">
        <x:f>CHOOSE('假设'!$B$3,H60,I60,J60)</x:f>
        <x:v>0.675</x:v>
      </x:c>
      <x:c r="L60" s="11" t="n">
        <x:f>K60*'管线假设'!E19*'管线假设'!F19*'管线假设'!G19*IF(E60="USD",'管线假设'!I19,1)-AM60</x:f>
        <x:v>0.07435800000000001</x:v>
      </x:c>
      <x:c r="M60" s="11" t="n">
        <x:f>'管线假设'!H19</x:f>
        <x:v>0.13</x:v>
      </x:c>
      <x:c r="N60" s="11" t="n">
        <x:f>IF(G60,L60*AN60/(1+M60)^F60,0)</x:f>
        <x:v>0.05152951316682362</x:v>
      </x:c>
      <x:c r="P60" t="str">
        <x:v>02162.HK</x:v>
      </x:c>
      <x:c r="Q60" t="str">
        <x:v>一年</x:v>
      </x:c>
      <x:c r="R60" t="str">
        <x:v>2029-12-31</x:v>
      </x:c>
      <x:c r="S60" t="n">
        <x:v>2.2286105407255303</x:v>
      </x:c>
      <x:c r="T60" s="27" t="b">
        <x:v>1</x:v>
      </x:c>
      <x:c r="U60" s="42" t="n">
        <x:v>0</x:v>
      </x:c>
      <x:c r="V60" s="42" t="n">
        <x:v>0.1</x:v>
      </x:c>
      <x:c r="W60" s="42" t="n">
        <x:v>0.2</x:v>
      </x:c>
      <x:c r="X60" s="42" t="n">
        <x:v>0</x:v>
      </x:c>
      <x:c r="Y60" s="42" t="n">
        <x:v>0.35</x:v>
      </x:c>
      <x:c r="Z60" s="42" t="n">
        <x:v>0.65</x:v>
      </x:c>
      <x:c r="AA60" t="n">
        <x:f>AB60/(1+'管线假设'!H895)^S60</x:f>
        <x:v>0.1088589894976212</x:v>
      </x:c>
      <x:c r="AB60" t="n">
        <x:f>IF(T60,CHOOSE('假设'!$B$3,U60,V60,W60)*CHOOSE('假设'!$B$3,X60,Y60,Z60)*CHOOSE('假设'!$B$3,AO60,AP60,AQ60)*CHOOSE('假设'!$B$3,AR60,AS60,AT60)*IF(AU60="USD",'管线假设'!I895,1),0)</x:f>
        <x:v>0.145775</x:v>
      </x:c>
      <x:c r="AJ60" t="n">
        <x:v>0</x:v>
      </x:c>
      <x:c r="AK60" t="n">
        <x:v>0</x:v>
      </x:c>
      <x:c r="AL60" t="n">
        <x:v>0</x:v>
      </x:c>
      <x:c r="AM60" t="n">
        <x:f>CHOOSE('假设'!$B$3,AJ60,AK60,AL60)</x:f>
        <x:v>0</x:v>
      </x:c>
      <x:c r="AN60" t="n">
        <x:v>1</x:v>
      </x:c>
      <x:c r="AO60" s="42" t="n">
        <x:v>0.8</x:v>
      </x:c>
      <x:c r="AP60" s="42" t="n">
        <x:v>0.85</x:v>
      </x:c>
      <x:c r="AQ60" s="42" t="n">
        <x:v>0.85</x:v>
      </x:c>
      <x:c r="AR60" s="42" t="n">
        <x:v>0.9</x:v>
      </x:c>
      <x:c r="AS60" s="42" t="n">
        <x:v>0.7</x:v>
      </x:c>
      <x:c r="AT60" s="42" t="n">
        <x:v>0.7</x:v>
      </x:c>
      <x:c r="AU60" t="str">
        <x:v>USD</x:v>
      </x:c>
      <x:c r="AV60" t="str">
        <x:v>CMG901 future eligible milestones</x:v>
      </x:c>
    </x:row>
    <x:row r="61" ht="23" customHeight="1">
      <x:c r="A61" s="11" t="str">
        <x:v>01093.HK</x:v>
      </x:c>
      <x:c r="B61" s="11" t="str">
        <x:v>2026年底</x:v>
      </x:c>
      <x:c r="C61" s="11" t="str">
        <x:v>TG103_DOM</x:v>
      </x:c>
      <x:c r="D61" s="11" t="str">
        <x:v>2030-12-31</x:v>
      </x:c>
      <x:c r="E61" s="11" t="str">
        <x:v>CNY</x:v>
      </x:c>
      <x:c r="F61" s="11" t="n">
        <x:v>4</x:v>
      </x:c>
      <x:c r="G61" s="26" t="b">
        <x:v>1</x:v>
      </x:c>
      <x:c r="H61" s="16" t="n">
        <x:v>0.125</x:v>
      </x:c>
      <x:c r="I61" s="16" t="n">
        <x:v>0.9750000000000001</x:v>
      </x:c>
      <x:c r="J61" s="16" t="n">
        <x:v>2.08</x:v>
      </x:c>
      <x:c r="K61" s="11" t="n">
        <x:f>CHOOSE('假设'!$B$3,H61,I61,J61)</x:f>
        <x:v>0.9750000000000001</x:v>
      </x:c>
      <x:c r="L61" s="11" t="n">
        <x:f>K61*'管线假设'!E19*'管线假设'!F19*'管线假设'!G19*IF(E61="USD",'管线假设'!I19,1)-AM61</x:f>
        <x:v>0.10740600000000002</x:v>
      </x:c>
      <x:c r="M61" s="11" t="n">
        <x:f>'管线假设'!H19</x:f>
        <x:v>0.13</x:v>
      </x:c>
      <x:c r="N61" s="11" t="n">
        <x:f>IF(G61,L61*AN61/(1+M61)^F61,0)</x:f>
        <x:v>0.06587411126513115</x:v>
      </x:c>
      <x:c r="P61" t="str">
        <x:v>02162.HK</x:v>
      </x:c>
      <x:c r="Q61" t="str">
        <x:v>一年</x:v>
      </x:c>
      <x:c r="R61" t="str">
        <x:v>2029-12-31</x:v>
      </x:c>
      <x:c r="S61" t="n">
        <x:v>2.2286105407255303</x:v>
      </x:c>
      <x:c r="T61" s="27" t="b">
        <x:v>1</x:v>
      </x:c>
      <x:c r="U61" s="42" t="n">
        <x:v>0.03</x:v>
      </x:c>
      <x:c r="V61" s="42" t="n">
        <x:v>0</x:v>
      </x:c>
      <x:c r="W61" s="42" t="n">
        <x:v>0</x:v>
      </x:c>
      <x:c r="X61" s="42" t="n">
        <x:v>0.15</x:v>
      </x:c>
      <x:c r="Y61" s="42" t="n">
        <x:v>0</x:v>
      </x:c>
      <x:c r="Z61" s="42" t="n">
        <x:v>0</x:v>
      </x:c>
      <x:c r="AA61" t="n">
        <x:f>AB61/(1+'管线假设'!H895)^S61</x:f>
        <x:v>0</x:v>
      </x:c>
      <x:c r="AB61" t="n">
        <x:f>IF(T61,CHOOSE('假设'!$B$3,U61,V61,W61)*CHOOSE('假设'!$B$3,X61,Y61,Z61)*CHOOSE('假设'!$B$3,AO61,AP61,AQ61)*CHOOSE('假设'!$B$3,AR61,AS61,AT61)*IF(AU61="USD",'管线假设'!I895,1),0)</x:f>
        <x:v>0</x:v>
      </x:c>
      <x:c r="AJ61" t="n">
        <x:v>0</x:v>
      </x:c>
      <x:c r="AK61" t="n">
        <x:v>0</x:v>
      </x:c>
      <x:c r="AL61" t="n">
        <x:v>0</x:v>
      </x:c>
      <x:c r="AM61" t="n">
        <x:f>CHOOSE('假设'!$B$3,AJ61,AK61,AL61)</x:f>
        <x:v>0</x:v>
      </x:c>
      <x:c r="AN61" t="n">
        <x:v>1</x:v>
      </x:c>
      <x:c r="AO61" s="42" t="n">
        <x:v>0.83</x:v>
      </x:c>
      <x:c r="AP61" s="42" t="n">
        <x:v>0.8</x:v>
      </x:c>
      <x:c r="AQ61" s="42" t="n">
        <x:v>0.8</x:v>
      </x:c>
      <x:c r="AR61" s="42" t="n">
        <x:v>1</x:v>
      </x:c>
      <x:c r="AS61" s="42" t="n">
        <x:v>0.9</x:v>
      </x:c>
      <x:c r="AT61" s="42" t="n">
        <x:v>0.9</x:v>
      </x:c>
      <x:c r="AU61" t="str">
        <x:v>USD</x:v>
      </x:c>
      <x:c r="AV61" t="str">
        <x:v>Ouro sold equity contingent consideration maximum70m, distinct contract</x:v>
      </x:c>
    </x:row>
    <x:row r="62" ht="23" customHeight="1">
      <x:c r="A62" s="11" t="str">
        <x:v>01093.HK</x:v>
      </x:c>
      <x:c r="B62" s="11" t="str">
        <x:v>2026年底</x:v>
      </x:c>
      <x:c r="C62" s="11" t="str">
        <x:v>TG103_DOM</x:v>
      </x:c>
      <x:c r="D62" s="11" t="str">
        <x:v>2031-12-31</x:v>
      </x:c>
      <x:c r="E62" s="11" t="str">
        <x:v>CNY</x:v>
      </x:c>
      <x:c r="F62" s="11" t="n">
        <x:v>4.999315537303217</x:v>
      </x:c>
      <x:c r="G62" s="26" t="b">
        <x:v>1</x:v>
      </x:c>
      <x:c r="H62" s="16" t="n">
        <x:v>0.225</x:v>
      </x:c>
      <x:c r="I62" s="16" t="n">
        <x:v>1.275</x:v>
      </x:c>
      <x:c r="J62" s="16" t="n">
        <x:v>2.72</x:v>
      </x:c>
      <x:c r="K62" s="11" t="n">
        <x:f>CHOOSE('假设'!$B$3,H62,I62,J62)</x:f>
        <x:v>1.275</x:v>
      </x:c>
      <x:c r="L62" s="11" t="n">
        <x:f>K62*'管线假设'!E19*'管线假设'!F19*'管线假设'!G19*IF(E62="USD",'管线假设'!I19,1)-AM62</x:f>
        <x:v>0.140454</x:v>
      </x:c>
      <x:c r="M62" s="11" t="n">
        <x:f>'管线假设'!H19</x:f>
        <x:v>0.13</x:v>
      </x:c>
      <x:c r="N62" s="11" t="n">
        <x:f>IF(G62,L62*AN62/(1+M62)^F62,0)</x:f>
        <x:v>0.07623918145165846</x:v>
      </x:c>
      <x:c r="P62" t="str">
        <x:v>02162.HK</x:v>
      </x:c>
      <x:c r="Q62" t="str">
        <x:v>一年</x:v>
      </x:c>
      <x:c r="R62" t="str">
        <x:v>2030-12-31</x:v>
      </x:c>
      <x:c r="S62" t="n">
        <x:v>3.2279260780287475</x:v>
      </x:c>
      <x:c r="T62" s="27" t="b">
        <x:v>1</x:v>
      </x:c>
      <x:c r="U62" s="42" t="n">
        <x:v>0</x:v>
      </x:c>
      <x:c r="V62" s="42" t="n">
        <x:v>0.03</x:v>
      </x:c>
      <x:c r="W62" s="42" t="n">
        <x:v>0.03</x:v>
      </x:c>
      <x:c r="X62" s="42" t="n">
        <x:v>0</x:v>
      </x:c>
      <x:c r="Y62" s="42" t="n">
        <x:v>0.25</x:v>
      </x:c>
      <x:c r="Z62" s="42" t="n">
        <x:v>0.5</x:v>
      </x:c>
      <x:c r="AA62" t="n">
        <x:f>AB62/(1+'管线假设'!H895)^S62</x:f>
        <x:v>0.028546491709601007</x:v>
      </x:c>
      <x:c r="AB62" t="n">
        <x:f>IF(T62,CHOOSE('假设'!$B$3,U62,V62,W62)*CHOOSE('假设'!$B$3,X62,Y62,Z62)*CHOOSE('假设'!$B$3,AO62,AP62,AQ62)*CHOOSE('假设'!$B$3,AR62,AS62,AT62)*IF(AU62="USD",'管线假设'!I895,1),0)</x:f>
        <x:v>0.043574999999999996</x:v>
      </x:c>
      <x:c r="AJ62" t="n">
        <x:v>0</x:v>
      </x:c>
      <x:c r="AK62" t="n">
        <x:v>0</x:v>
      </x:c>
      <x:c r="AL62" t="n">
        <x:v>0</x:v>
      </x:c>
      <x:c r="AM62" t="n">
        <x:f>CHOOSE('假设'!$B$3,AJ62,AK62,AL62)</x:f>
        <x:v>0</x:v>
      </x:c>
      <x:c r="AN62" t="n">
        <x:v>1</x:v>
      </x:c>
      <x:c r="AO62" s="42" t="n">
        <x:v>0.8</x:v>
      </x:c>
      <x:c r="AP62" s="42" t="n">
        <x:v>0.83</x:v>
      </x:c>
      <x:c r="AQ62" s="42" t="n">
        <x:v>0.83</x:v>
      </x:c>
      <x:c r="AR62" s="42" t="n">
        <x:v>0.9</x:v>
      </x:c>
      <x:c r="AS62" s="42" t="n">
        <x:v>1</x:v>
      </x:c>
      <x:c r="AT62" s="42" t="n">
        <x:v>1</x:v>
      </x:c>
      <x:c r="AU62" t="str">
        <x:v>USD</x:v>
      </x:c>
      <x:c r="AV62" t="str">
        <x:v>Ouro sold equity contingent consideration maximum70m, distinct contract</x:v>
      </x:c>
    </x:row>
    <x:row r="63" ht="23" customHeight="1">
      <x:c r="A63" s="11" t="str">
        <x:v>01093.HK</x:v>
      </x:c>
      <x:c r="B63" s="11" t="str">
        <x:v>2026年底</x:v>
      </x:c>
      <x:c r="C63" s="11" t="str">
        <x:v>TG103_DOM</x:v>
      </x:c>
      <x:c r="D63" s="11" t="str">
        <x:v>2032-12-31</x:v>
      </x:c>
      <x:c r="E63" s="11" t="str">
        <x:v>CNY</x:v>
      </x:c>
      <x:c r="F63" s="11" t="n">
        <x:v>6.0013689253935665</x:v>
      </x:c>
      <x:c r="G63" s="26" t="b">
        <x:v>1</x:v>
      </x:c>
      <x:c r="H63" s="16" t="n">
        <x:v>0.325</x:v>
      </x:c>
      <x:c r="I63" s="16" t="n">
        <x:v>1.5</x:v>
      </x:c>
      <x:c r="J63" s="16" t="n">
        <x:v>3.2</x:v>
      </x:c>
      <x:c r="K63" s="11" t="n">
        <x:f>CHOOSE('假设'!$B$3,H63,I63,J63)</x:f>
        <x:v>1.5</x:v>
      </x:c>
      <x:c r="L63" s="11" t="n">
        <x:f>K63*'管线假设'!E19*'管线假设'!F19*'管线假设'!G19*IF(E63="USD",'管线假设'!I19,1)-AM63</x:f>
        <x:v>0.16524000000000003</x:v>
      </x:c>
      <x:c r="M63" s="11" t="n">
        <x:f>'管线假设'!H19</x:f>
        <x:v>0.13</x:v>
      </x:c>
      <x:c r="N63" s="11" t="n">
        <x:f>IF(G63,L63*AN63/(1+M63)^F63,0)</x:f>
        <x:v>0.07935455580389912</x:v>
      </x:c>
      <x:c r="P63" t="str">
        <x:v>02162.HK</x:v>
      </x:c>
      <x:c r="Q63" t="str">
        <x:v>一年</x:v>
      </x:c>
      <x:c r="R63" t="str">
        <x:v>2031-12-31</x:v>
      </x:c>
      <x:c r="S63" t="n">
        <x:v>4.227241615331964</x:v>
      </x:c>
      <x:c r="T63" s="27" t="b">
        <x:v>1</x:v>
      </x:c>
      <x:c r="U63" s="42" t="n">
        <x:v>0</x:v>
      </x:c>
      <x:c r="V63" s="42" t="n">
        <x:v>0.1</x:v>
      </x:c>
      <x:c r="W63" s="42" t="n">
        <x:v>0.2</x:v>
      </x:c>
      <x:c r="X63" s="42" t="n">
        <x:v>0</x:v>
      </x:c>
      <x:c r="Y63" s="42" t="n">
        <x:v>0.18</x:v>
      </x:c>
      <x:c r="Z63" s="42" t="n">
        <x:v>0.35</x:v>
      </x:c>
      <x:c r="AA63" t="n">
        <x:f>AB63/(1+'管线假设'!H895)^S63</x:f>
        <x:v>0.06155153884274257</x:v>
      </x:c>
      <x:c r="AB63" t="n">
        <x:f>IF(T63,CHOOSE('假设'!$B$3,U63,V63,W63)*CHOOSE('假设'!$B$3,X63,Y63,Z63)*CHOOSE('假设'!$B$3,AO63,AP63,AQ63)*CHOOSE('假设'!$B$3,AR63,AS63,AT63)*IF(AU63="USD",'管线假设'!I895,1),0)</x:f>
        <x:v>0.10709999999999999</x:v>
      </x:c>
      <x:c r="AJ63" t="n">
        <x:v>0</x:v>
      </x:c>
      <x:c r="AK63" t="n">
        <x:v>0</x:v>
      </x:c>
      <x:c r="AL63" t="n">
        <x:v>0</x:v>
      </x:c>
      <x:c r="AM63" t="n">
        <x:f>CHOOSE('假设'!$B$3,AJ63,AK63,AL63)</x:f>
        <x:v>0</x:v>
      </x:c>
      <x:c r="AN63" t="n">
        <x:v>1</x:v>
      </x:c>
      <x:c r="AO63" s="42" t="n">
        <x:v>0.8</x:v>
      </x:c>
      <x:c r="AP63" s="42" t="n">
        <x:v>0.85</x:v>
      </x:c>
      <x:c r="AQ63" s="42" t="n">
        <x:v>0.85</x:v>
      </x:c>
      <x:c r="AR63" s="42" t="n">
        <x:v>0.9</x:v>
      </x:c>
      <x:c r="AS63" s="42" t="n">
        <x:v>1</x:v>
      </x:c>
      <x:c r="AT63" s="42" t="n">
        <x:v>1</x:v>
      </x:c>
      <x:c r="AU63" t="str">
        <x:v>USD</x:v>
      </x:c>
      <x:c r="AV63" t="str">
        <x:v>CM336 legacy license future milestones, excludes already received equity-sale upfront</x:v>
      </x:c>
    </x:row>
    <x:row r="64" ht="23" customHeight="1">
      <x:c r="A64" s="11" t="str">
        <x:v>01093.HK</x:v>
      </x:c>
      <x:c r="B64" s="11" t="str">
        <x:v>2026年底</x:v>
      </x:c>
      <x:c r="C64" s="11" t="str">
        <x:v>TG103_DOM</x:v>
      </x:c>
      <x:c r="D64" s="11" t="str">
        <x:v>2033-12-31</x:v>
      </x:c>
      <x:c r="E64" s="11" t="str">
        <x:v>CNY</x:v>
      </x:c>
      <x:c r="F64" s="11" t="n">
        <x:v>7.000684462696783</x:v>
      </x:c>
      <x:c r="G64" s="26" t="b">
        <x:v>1</x:v>
      </x:c>
      <x:c r="H64" s="16" t="n">
        <x:v>0.425</x:v>
      </x:c>
      <x:c r="I64" s="16" t="n">
        <x:v>1.5</x:v>
      </x:c>
      <x:c r="J64" s="16" t="n">
        <x:v>3.2</x:v>
      </x:c>
      <x:c r="K64" s="11" t="n">
        <x:f>CHOOSE('假设'!$B$3,H64,I64,J64)</x:f>
        <x:v>1.5</x:v>
      </x:c>
      <x:c r="L64" s="11" t="n">
        <x:f>K64*'管线假设'!E19*'管线假设'!F19*'管线假设'!G19*IF(E64="USD",'管线假设'!I19,1)-AM64</x:f>
        <x:v>0.16524000000000003</x:v>
      </x:c>
      <x:c r="M64" s="11" t="n">
        <x:f>'管线假设'!H19</x:f>
        <x:v>0.13</x:v>
      </x:c>
      <x:c r="N64" s="11" t="n">
        <x:f>IF(G64,L64*AN64/(1+M64)^F64,0)</x:f>
        <x:v>0.07023114545203103</x:v>
      </x:c>
      <x:c r="P64" t="str">
        <x:v>02162.HK</x:v>
      </x:c>
      <x:c r="Q64" t="str">
        <x:v>三年</x:v>
      </x:c>
      <x:c r="R64" t="str">
        <x:v>2027-12-31</x:v>
      </x:c>
      <x:c r="S64" t="n">
        <x:v>-1.7741273100616017</x:v>
      </x:c>
      <x:c r="T64" s="27" t="b">
        <x:v>0</x:v>
      </x:c>
      <x:c r="U64" s="42" t="n">
        <x:v>0</x:v>
      </x:c>
      <x:c r="V64" s="42" t="n">
        <x:v>0.06</x:v>
      </x:c>
      <x:c r="W64" s="42" t="n">
        <x:v>0.1</x:v>
      </x:c>
      <x:c r="X64" s="42" t="n">
        <x:v>0</x:v>
      </x:c>
      <x:c r="Y64" s="42" t="n">
        <x:v>0.65</x:v>
      </x:c>
      <x:c r="Z64" s="42" t="n">
        <x:v>0.85</x:v>
      </x:c>
      <x:c r="AA64" t="n">
        <x:f>AB64/(1+'管线假设'!H939)^S64</x:f>
        <x:v>0</x:v>
      </x:c>
      <x:c r="AB64" t="n">
        <x:f>IF(T64,CHOOSE('假设'!$B$3,U64,V64,W64)*CHOOSE('假设'!$B$3,X64,Y64,Z64)*CHOOSE('假设'!$B$3,AO64,AP64,AQ64)*CHOOSE('假设'!$B$3,AR64,AS64,AT64)*IF(AU64="USD",'管线假设'!I939,1),0)</x:f>
        <x:v>0</x:v>
      </x:c>
      <x:c r="AJ64" t="n">
        <x:v>0</x:v>
      </x:c>
      <x:c r="AK64" t="n">
        <x:v>0</x:v>
      </x:c>
      <x:c r="AL64" t="n">
        <x:v>0</x:v>
      </x:c>
      <x:c r="AM64" t="n">
        <x:f>CHOOSE('假设'!$B$3,AJ64,AK64,AL64)</x:f>
        <x:v>0</x:v>
      </x:c>
      <x:c r="AN64" t="n">
        <x:v>1</x:v>
      </x:c>
      <x:c r="AO64" s="42" t="n">
        <x:v>0.8</x:v>
      </x:c>
      <x:c r="AP64" s="42" t="n">
        <x:v>0.85</x:v>
      </x:c>
      <x:c r="AQ64" s="42" t="n">
        <x:v>0.85</x:v>
      </x:c>
      <x:c r="AR64" s="42" t="n">
        <x:v>0.9</x:v>
      </x:c>
      <x:c r="AS64" s="42" t="n">
        <x:v>0.7</x:v>
      </x:c>
      <x:c r="AT64" s="42" t="n">
        <x:v>0.7</x:v>
      </x:c>
      <x:c r="AU64" t="str">
        <x:v>USD</x:v>
      </x:c>
      <x:c r="AV64" t="str">
        <x:v>CMG901 future eligible milestones</x:v>
      </x:c>
    </x:row>
    <x:row r="65" ht="23" customHeight="1">
      <x:c r="A65" s="11" t="str">
        <x:v>01093.HK</x:v>
      </x:c>
      <x:c r="B65" s="11" t="str">
        <x:v>2026年底</x:v>
      </x:c>
      <x:c r="C65" s="11" t="str">
        <x:v>TG103_DOM</x:v>
      </x:c>
      <x:c r="D65" s="11" t="str">
        <x:v>2034-12-31</x:v>
      </x:c>
      <x:c r="E65" s="11" t="str">
        <x:v>CNY</x:v>
      </x:c>
      <x:c r="F65" s="11" t="n">
        <x:v>8</x:v>
      </x:c>
      <x:c r="G65" s="26" t="b">
        <x:v>1</x:v>
      </x:c>
      <x:c r="H65" s="16" t="n">
        <x:v>0.5</x:v>
      </x:c>
      <x:c r="I65" s="16" t="n">
        <x:v>1.4249999999999998</x:v>
      </x:c>
      <x:c r="J65" s="16" t="n">
        <x:v>3.04</x:v>
      </x:c>
      <x:c r="K65" s="11" t="n">
        <x:f>CHOOSE('假设'!$B$3,H65,I65,J65)</x:f>
        <x:v>1.4249999999999998</x:v>
      </x:c>
      <x:c r="L65" s="11" t="n">
        <x:f>K65*'管线假设'!E19*'管线假设'!F19*'管线假设'!G19*IF(E65="USD",'管线假设'!I19,1)-AM65</x:f>
        <x:v>0.156978</x:v>
      </x:c>
      <x:c r="M65" s="11" t="n">
        <x:f>'管线假设'!H19</x:f>
        <x:v>0.13</x:v>
      </x:c>
      <x:c r="N65" s="11" t="n">
        <x:f>IF(G65,L65*AN65/(1+M65)^F65,0)</x:f>
        <x:v>0.05904882277343529</x:v>
      </x:c>
      <x:c r="P65" t="str">
        <x:v>02162.HK</x:v>
      </x:c>
      <x:c r="Q65" t="str">
        <x:v>三年</x:v>
      </x:c>
      <x:c r="R65" t="str">
        <x:v>2028-12-31</x:v>
      </x:c>
      <x:c r="S65" t="n">
        <x:v>-0.7720739219712526</x:v>
      </x:c>
      <x:c r="T65" s="27" t="b">
        <x:v>0</x:v>
      </x:c>
      <x:c r="U65" s="42" t="n">
        <x:v>0</x:v>
      </x:c>
      <x:c r="V65" s="42" t="n">
        <x:v>0.06</x:v>
      </x:c>
      <x:c r="W65" s="42" t="n">
        <x:v>0.1</x:v>
      </x:c>
      <x:c r="X65" s="42" t="n">
        <x:v>0</x:v>
      </x:c>
      <x:c r="Y65" s="42" t="n">
        <x:v>0.25</x:v>
      </x:c>
      <x:c r="Z65" s="42" t="n">
        <x:v>0.5</x:v>
      </x:c>
      <x:c r="AA65" t="n">
        <x:f>AB65/(1+'管线假设'!H939)^S65</x:f>
        <x:v>0</x:v>
      </x:c>
      <x:c r="AB65" t="n">
        <x:f>IF(T65,CHOOSE('假设'!$B$3,U65,V65,W65)*CHOOSE('假设'!$B$3,X65,Y65,Z65)*CHOOSE('假设'!$B$3,AO65,AP65,AQ65)*CHOOSE('假设'!$B$3,AR65,AS65,AT65)*IF(AU65="USD",'管线假设'!I939,1),0)</x:f>
        <x:v>0</x:v>
      </x:c>
      <x:c r="AJ65" t="n">
        <x:v>0</x:v>
      </x:c>
      <x:c r="AK65" t="n">
        <x:v>0</x:v>
      </x:c>
      <x:c r="AL65" t="n">
        <x:v>0</x:v>
      </x:c>
      <x:c r="AM65" t="n">
        <x:f>CHOOSE('假设'!$B$3,AJ65,AK65,AL65)</x:f>
        <x:v>0</x:v>
      </x:c>
      <x:c r="AN65" t="n">
        <x:v>1</x:v>
      </x:c>
      <x:c r="AO65" s="42" t="n">
        <x:v>0.8</x:v>
      </x:c>
      <x:c r="AP65" s="42" t="n">
        <x:v>0.85</x:v>
      </x:c>
      <x:c r="AQ65" s="42" t="n">
        <x:v>0.85</x:v>
      </x:c>
      <x:c r="AR65" s="42" t="n">
        <x:v>0.9</x:v>
      </x:c>
      <x:c r="AS65" s="42" t="n">
        <x:v>1</x:v>
      </x:c>
      <x:c r="AT65" s="42" t="n">
        <x:v>1</x:v>
      </x:c>
      <x:c r="AU65" t="str">
        <x:v>USD</x:v>
      </x:c>
      <x:c r="AV65" t="str">
        <x:v>CM336 legacy license future milestones, excludes already received equity-sale upfront</x:v>
      </x:c>
    </x:row>
    <x:row r="66" ht="23" customHeight="1">
      <x:c r="A66" s="11" t="str">
        <x:v>01093.HK</x:v>
      </x:c>
      <x:c r="B66" s="11" t="str">
        <x:v>2026年底</x:v>
      </x:c>
      <x:c r="C66" s="11" t="str">
        <x:v>TG103_DOM</x:v>
      </x:c>
      <x:c r="D66" s="11" t="str">
        <x:v>2035-12-31</x:v>
      </x:c>
      <x:c r="E66" s="11" t="str">
        <x:v>CNY</x:v>
      </x:c>
      <x:c r="F66" s="11" t="n">
        <x:v>8.999315537303216</x:v>
      </x:c>
      <x:c r="G66" s="26" t="b">
        <x:v>1</x:v>
      </x:c>
      <x:c r="H66" s="16" t="n">
        <x:v>0.5</x:v>
      </x:c>
      <x:c r="I66" s="16" t="n">
        <x:v>1.32</x:v>
      </x:c>
      <x:c r="J66" s="16" t="n">
        <x:v>2.8160000000000003</x:v>
      </x:c>
      <x:c r="K66" s="11" t="n">
        <x:f>CHOOSE('假设'!$B$3,H66,I66,J66)</x:f>
        <x:v>1.32</x:v>
      </x:c>
      <x:c r="L66" s="11" t="n">
        <x:f>K66*'管线假设'!E19*'管线假设'!F19*'管线假设'!G19*IF(E66="USD",'管线假设'!I19,1)-AM66</x:f>
        <x:v>0.14541120000000002</x:v>
      </x:c>
      <x:c r="M66" s="11" t="n">
        <x:f>'管线假设'!H19</x:f>
        <x:v>0.13</x:v>
      </x:c>
      <x:c r="N66" s="11" t="n">
        <x:f>IF(G66,L66*AN66/(1+M66)^F66,0)</x:f>
        <x:v>0.04840923251197474</x:v>
      </x:c>
      <x:c r="P66" t="str">
        <x:v>02162.HK</x:v>
      </x:c>
      <x:c r="Q66" t="str">
        <x:v>三年</x:v>
      </x:c>
      <x:c r="R66" t="str">
        <x:v>2028-12-31</x:v>
      </x:c>
      <x:c r="S66" t="n">
        <x:v>-0.7720739219712526</x:v>
      </x:c>
      <x:c r="T66" s="27" t="b">
        <x:v>0</x:v>
      </x:c>
      <x:c r="U66" s="42" t="n">
        <x:v>0.04</x:v>
      </x:c>
      <x:c r="V66" s="42" t="n">
        <x:v>0</x:v>
      </x:c>
      <x:c r="W66" s="42" t="n">
        <x:v>0</x:v>
      </x:c>
      <x:c r="X66" s="42" t="n">
        <x:v>0.35</x:v>
      </x:c>
      <x:c r="Y66" s="42" t="n">
        <x:v>0</x:v>
      </x:c>
      <x:c r="Z66" s="42" t="n">
        <x:v>0</x:v>
      </x:c>
      <x:c r="AA66" t="n">
        <x:f>AB66/(1+'管线假设'!H939)^S66</x:f>
        <x:v>0</x:v>
      </x:c>
      <x:c r="AB66" t="n">
        <x:f>IF(T66,CHOOSE('假设'!$B$3,U66,V66,W66)*CHOOSE('假设'!$B$3,X66,Y66,Z66)*CHOOSE('假设'!$B$3,AO66,AP66,AQ66)*CHOOSE('假设'!$B$3,AR66,AS66,AT66)*IF(AU66="USD",'管线假设'!I939,1),0)</x:f>
        <x:v>0</x:v>
      </x:c>
      <x:c r="AJ66" t="n">
        <x:v>0</x:v>
      </x:c>
      <x:c r="AK66" t="n">
        <x:v>0</x:v>
      </x:c>
      <x:c r="AL66" t="n">
        <x:v>0</x:v>
      </x:c>
      <x:c r="AM66" t="n">
        <x:f>CHOOSE('假设'!$B$3,AJ66,AK66,AL66)</x:f>
        <x:v>0</x:v>
      </x:c>
      <x:c r="AN66" t="n">
        <x:v>1</x:v>
      </x:c>
      <x:c r="AO66" s="42" t="n">
        <x:v>0.85</x:v>
      </x:c>
      <x:c r="AP66" s="42" t="n">
        <x:v>0.8</x:v>
      </x:c>
      <x:c r="AQ66" s="42" t="n">
        <x:v>0.8</x:v>
      </x:c>
      <x:c r="AR66" s="42" t="n">
        <x:v>0.7</x:v>
      </x:c>
      <x:c r="AS66" s="42" t="n">
        <x:v>0.9</x:v>
      </x:c>
      <x:c r="AT66" s="42" t="n">
        <x:v>0.9</x:v>
      </x:c>
      <x:c r="AU66" t="str">
        <x:v>USD</x:v>
      </x:c>
      <x:c r="AV66" t="str">
        <x:v>CMG901 future eligible milestones</x:v>
      </x:c>
    </x:row>
    <x:row r="67" ht="23" customHeight="1">
      <x:c r="A67" s="11" t="str">
        <x:v>01093.HK</x:v>
      </x:c>
      <x:c r="B67" s="11" t="str">
        <x:v>2026年底</x:v>
      </x:c>
      <x:c r="C67" s="11" t="str">
        <x:v>TG103_DOM</x:v>
      </x:c>
      <x:c r="D67" s="11" t="str">
        <x:v>2036-12-31</x:v>
      </x:c>
      <x:c r="E67" s="11" t="str">
        <x:v>CNY</x:v>
      </x:c>
      <x:c r="F67" s="11" t="n">
        <x:v>10.001368925393566</x:v>
      </x:c>
      <x:c r="G67" s="26" t="b">
        <x:v>1</x:v>
      </x:c>
      <x:c r="H67" s="16" t="n">
        <x:v>0.475</x:v>
      </x:c>
      <x:c r="I67" s="16" t="n">
        <x:v>1.125</x:v>
      </x:c>
      <x:c r="J67" s="16" t="n">
        <x:v>2.4000000000000004</x:v>
      </x:c>
      <x:c r="K67" s="11" t="n">
        <x:f>CHOOSE('假设'!$B$3,H67,I67,J67)</x:f>
        <x:v>1.125</x:v>
      </x:c>
      <x:c r="L67" s="11" t="n">
        <x:f>K67*'管线假设'!E19*'管线假设'!F19*'管线假设'!G19*IF(E67="USD",'管线假设'!I19,1)-AM67</x:f>
        <x:v>0.12393</x:v>
      </x:c>
      <x:c r="M67" s="11" t="n">
        <x:f>'管线假设'!H19</x:f>
        <x:v>0.13</x:v>
      </x:c>
      <x:c r="N67" s="11" t="n">
        <x:f>IF(G67,L67*AN67/(1+M67)^F67,0)</x:f>
        <x:v>0.03650222640090714</x:v>
      </x:c>
      <x:c r="P67" t="str">
        <x:v>02162.HK</x:v>
      </x:c>
      <x:c r="Q67" t="str">
        <x:v>三年</x:v>
      </x:c>
      <x:c r="R67" t="str">
        <x:v>2028-12-31</x:v>
      </x:c>
      <x:c r="S67" t="n">
        <x:v>-0.7720739219712526</x:v>
      </x:c>
      <x:c r="T67" s="27" t="b">
        <x:v>0</x:v>
      </x:c>
      <x:c r="U67" s="42" t="n">
        <x:v>0</x:v>
      </x:c>
      <x:c r="V67" s="42" t="n">
        <x:v>0.04</x:v>
      </x:c>
      <x:c r="W67" s="42" t="n">
        <x:v>0.04</x:v>
      </x:c>
      <x:c r="X67" s="42" t="n">
        <x:v>0</x:v>
      </x:c>
      <x:c r="Y67" s="42" t="n">
        <x:v>0.35</x:v>
      </x:c>
      <x:c r="Z67" s="42" t="n">
        <x:v>0.65</x:v>
      </x:c>
      <x:c r="AA67" t="n">
        <x:f>AB67/(1+'管线假设'!H939)^S67</x:f>
        <x:v>0</x:v>
      </x:c>
      <x:c r="AB67" t="n">
        <x:f>IF(T67,CHOOSE('假设'!$B$3,U67,V67,W67)*CHOOSE('假设'!$B$3,X67,Y67,Z67)*CHOOSE('假设'!$B$3,AO67,AP67,AQ67)*CHOOSE('假设'!$B$3,AR67,AS67,AT67)*IF(AU67="USD",'管线假设'!I939,1),0)</x:f>
        <x:v>0</x:v>
      </x:c>
      <x:c r="AJ67" t="n">
        <x:v>0</x:v>
      </x:c>
      <x:c r="AK67" t="n">
        <x:v>0</x:v>
      </x:c>
      <x:c r="AL67" t="n">
        <x:v>0</x:v>
      </x:c>
      <x:c r="AM67" t="n">
        <x:f>CHOOSE('假设'!$B$3,AJ67,AK67,AL67)</x:f>
        <x:v>0</x:v>
      </x:c>
      <x:c r="AN67" t="n">
        <x:v>1</x:v>
      </x:c>
      <x:c r="AO67" s="42" t="n">
        <x:v>0.8</x:v>
      </x:c>
      <x:c r="AP67" s="42" t="n">
        <x:v>0.83</x:v>
      </x:c>
      <x:c r="AQ67" s="42" t="n">
        <x:v>0.83</x:v>
      </x:c>
      <x:c r="AR67" s="42" t="n">
        <x:v>0.9</x:v>
      </x:c>
      <x:c r="AS67" s="42" t="n">
        <x:v>1</x:v>
      </x:c>
      <x:c r="AT67" s="42" t="n">
        <x:v>1</x:v>
      </x:c>
      <x:c r="AU67" t="str">
        <x:v>USD</x:v>
      </x:c>
      <x:c r="AV67" t="str">
        <x:v>Ouro sold equity contingent consideration maximum70m, distinct contract</x:v>
      </x:c>
    </x:row>
    <x:row r="68" ht="23" customHeight="1">
      <x:c r="A68" s="11" t="str">
        <x:v>01093.HK</x:v>
      </x:c>
      <x:c r="B68" s="11" t="str">
        <x:v>2026年底</x:v>
      </x:c>
      <x:c r="C68" s="11" t="str">
        <x:v>TG103_DOM</x:v>
      </x:c>
      <x:c r="D68" s="11" t="str">
        <x:v>2037-12-31</x:v>
      </x:c>
      <x:c r="E68" s="11" t="str">
        <x:v>CNY</x:v>
      </x:c>
      <x:c r="F68" s="11" t="n">
        <x:v>11.000684462696784</x:v>
      </x:c>
      <x:c r="G68" s="26" t="b">
        <x:v>1</x:v>
      </x:c>
      <x:c r="H68" s="16" t="n">
        <x:v>0.44</x:v>
      </x:c>
      <x:c r="I68" s="16" t="n">
        <x:v>0.8999999999999999</x:v>
      </x:c>
      <x:c r="J68" s="16" t="n">
        <x:v>1.92</x:v>
      </x:c>
      <x:c r="K68" s="11" t="n">
        <x:f>CHOOSE('假设'!$B$3,H68,I68,J68)</x:f>
        <x:v>0.8999999999999999</x:v>
      </x:c>
      <x:c r="L68" s="11" t="n">
        <x:f>K68*'管线假设'!E19*'管线假设'!F19*'管线假设'!G19*IF(E68="USD",'管线假设'!I19,1)-AM68</x:f>
        <x:v>0.099144</x:v>
      </x:c>
      <x:c r="M68" s="11" t="n">
        <x:f>'管线假设'!H19</x:f>
        <x:v>0.13</x:v>
      </x:c>
      <x:c r="N68" s="11" t="n">
        <x:f>IF(G68,L68*AN68/(1+M68)^F68,0)</x:f>
        <x:v>0.025844446063262944</x:v>
      </x:c>
      <x:c r="P68" t="str">
        <x:v>02162.HK</x:v>
      </x:c>
      <x:c r="Q68" t="str">
        <x:v>三年</x:v>
      </x:c>
      <x:c r="R68" t="str">
        <x:v>2029-12-31</x:v>
      </x:c>
      <x:c r="S68" t="n">
        <x:v>0.2272416153319644</x:v>
      </x:c>
      <x:c r="T68" s="27" t="b">
        <x:v>1</x:v>
      </x:c>
      <x:c r="U68" s="42" t="n">
        <x:v>0.02</x:v>
      </x:c>
      <x:c r="V68" s="42" t="n">
        <x:v>0</x:v>
      </x:c>
      <x:c r="W68" s="42" t="n">
        <x:v>0</x:v>
      </x:c>
      <x:c r="X68" s="42" t="n">
        <x:v>0.1</x:v>
      </x:c>
      <x:c r="Y68" s="42" t="n">
        <x:v>0</x:v>
      </x:c>
      <x:c r="Z68" s="42" t="n">
        <x:v>0</x:v>
      </x:c>
      <x:c r="AA68" t="n">
        <x:f>AB68/(1+'管线假设'!H939)^S68</x:f>
        <x:v>0</x:v>
      </x:c>
      <x:c r="AB68" t="n">
        <x:f>IF(T68,CHOOSE('假设'!$B$3,U68,V68,W68)*CHOOSE('假设'!$B$3,X68,Y68,Z68)*CHOOSE('假设'!$B$3,AO68,AP68,AQ68)*CHOOSE('假设'!$B$3,AR68,AS68,AT68)*IF(AU68="USD",'管线假设'!I939,1),0)</x:f>
        <x:v>0</x:v>
      </x:c>
      <x:c r="AJ68" t="n">
        <x:v>0</x:v>
      </x:c>
      <x:c r="AK68" t="n">
        <x:v>0</x:v>
      </x:c>
      <x:c r="AL68" t="n">
        <x:v>0</x:v>
      </x:c>
      <x:c r="AM68" t="n">
        <x:f>CHOOSE('假设'!$B$3,AJ68,AK68,AL68)</x:f>
        <x:v>0</x:v>
      </x:c>
      <x:c r="AN68" t="n">
        <x:v>1</x:v>
      </x:c>
      <x:c r="AO68" s="42" t="n">
        <x:v>0.85</x:v>
      </x:c>
      <x:c r="AP68" s="42" t="n">
        <x:v>0.8</x:v>
      </x:c>
      <x:c r="AQ68" s="42" t="n">
        <x:v>0.8</x:v>
      </x:c>
      <x:c r="AR68" s="42" t="n">
        <x:v>1</x:v>
      </x:c>
      <x:c r="AS68" s="42" t="n">
        <x:v>0.9</x:v>
      </x:c>
      <x:c r="AT68" s="42" t="n">
        <x:v>0.9</x:v>
      </x:c>
      <x:c r="AU68" t="str">
        <x:v>USD</x:v>
      </x:c>
      <x:c r="AV68" t="str">
        <x:v>CM336 legacy license future milestones, excludes already received equity-sale upfront</x:v>
      </x:c>
    </x:row>
    <x:row r="69" ht="23" customHeight="1">
      <x:c r="A69" s="11" t="str">
        <x:v>01093.HK</x:v>
      </x:c>
      <x:c r="B69" s="11" t="str">
        <x:v>2026年底</x:v>
      </x:c>
      <x:c r="C69" s="11" t="str">
        <x:v>TG103_DOM</x:v>
      </x:c>
      <x:c r="D69" s="11" t="str">
        <x:v>2038-12-31</x:v>
      </x:c>
      <x:c r="E69" s="11" t="str">
        <x:v>CNY</x:v>
      </x:c>
      <x:c r="F69" s="11" t="n">
        <x:v>12</x:v>
      </x:c>
      <x:c r="G69" s="26" t="b">
        <x:v>1</x:v>
      </x:c>
      <x:c r="H69" s="16" t="n">
        <x:v>0.375</x:v>
      </x:c>
      <x:c r="I69" s="16" t="n">
        <x:v>0.675</x:v>
      </x:c>
      <x:c r="J69" s="16" t="n">
        <x:v>1.4400000000000002</x:v>
      </x:c>
      <x:c r="K69" s="11" t="n">
        <x:f>CHOOSE('假设'!$B$3,H69,I69,J69)</x:f>
        <x:v>0.675</x:v>
      </x:c>
      <x:c r="L69" s="11" t="n">
        <x:f>K69*'管线假设'!E19*'管线假设'!F19*'管线假设'!G19*IF(E69="USD",'管线假设'!I19,1)-AM69</x:f>
        <x:v>0.07435800000000001</x:v>
      </x:c>
      <x:c r="M69" s="11" t="n">
        <x:f>'管线假设'!H19</x:f>
        <x:v>0.13</x:v>
      </x:c>
      <x:c r="N69" s="11" t="n">
        <x:f>IF(G69,L69*AN69/(1+M69)^F69,0)</x:f>
        <x:v>0.017154828404700794</x:v>
      </x:c>
      <x:c r="P69" t="str">
        <x:v>02162.HK</x:v>
      </x:c>
      <x:c r="Q69" t="str">
        <x:v>三年</x:v>
      </x:c>
      <x:c r="R69" t="str">
        <x:v>2029-12-31</x:v>
      </x:c>
      <x:c r="S69" t="n">
        <x:v>0.2272416153319644</x:v>
      </x:c>
      <x:c r="T69" s="27" t="b">
        <x:v>1</x:v>
      </x:c>
      <x:c r="U69" s="42" t="n">
        <x:v>0</x:v>
      </x:c>
      <x:c r="V69" s="42" t="n">
        <x:v>0.1</x:v>
      </x:c>
      <x:c r="W69" s="42" t="n">
        <x:v>0.2</x:v>
      </x:c>
      <x:c r="X69" s="42" t="n">
        <x:v>0</x:v>
      </x:c>
      <x:c r="Y69" s="42" t="n">
        <x:v>0.35</x:v>
      </x:c>
      <x:c r="Z69" s="42" t="n">
        <x:v>0.65</x:v>
      </x:c>
      <x:c r="AA69" t="n">
        <x:f>AB69/(1+'管线假设'!H939)^S69</x:f>
        <x:v>0.14149852076978203</x:v>
      </x:c>
      <x:c r="AB69" t="n">
        <x:f>IF(T69,CHOOSE('假设'!$B$3,U69,V69,W69)*CHOOSE('假设'!$B$3,X69,Y69,Z69)*CHOOSE('假设'!$B$3,AO69,AP69,AQ69)*CHOOSE('假设'!$B$3,AR69,AS69,AT69)*IF(AU69="USD",'管线假设'!I939,1),0)</x:f>
        <x:v>0.145775</x:v>
      </x:c>
      <x:c r="AJ69" t="n">
        <x:v>0</x:v>
      </x:c>
      <x:c r="AK69" t="n">
        <x:v>0</x:v>
      </x:c>
      <x:c r="AL69" t="n">
        <x:v>0</x:v>
      </x:c>
      <x:c r="AM69" t="n">
        <x:f>CHOOSE('假设'!$B$3,AJ69,AK69,AL69)</x:f>
        <x:v>0</x:v>
      </x:c>
      <x:c r="AN69" t="n">
        <x:v>1</x:v>
      </x:c>
      <x:c r="AO69" s="42" t="n">
        <x:v>0.8</x:v>
      </x:c>
      <x:c r="AP69" s="42" t="n">
        <x:v>0.85</x:v>
      </x:c>
      <x:c r="AQ69" s="42" t="n">
        <x:v>0.85</x:v>
      </x:c>
      <x:c r="AR69" s="42" t="n">
        <x:v>0.9</x:v>
      </x:c>
      <x:c r="AS69" s="42" t="n">
        <x:v>0.7</x:v>
      </x:c>
      <x:c r="AT69" s="42" t="n">
        <x:v>0.7</x:v>
      </x:c>
      <x:c r="AU69" t="str">
        <x:v>USD</x:v>
      </x:c>
      <x:c r="AV69" t="str">
        <x:v>CMG901 future eligible milestones</x:v>
      </x:c>
    </x:row>
    <x:row r="70" ht="23" customHeight="1">
      <x:c r="A70" s="11" t="str">
        <x:v>01093.HK</x:v>
      </x:c>
      <x:c r="B70" s="11" t="str">
        <x:v>2026年底</x:v>
      </x:c>
      <x:c r="C70" s="11" t="str">
        <x:v>TG103_DOM</x:v>
      </x:c>
      <x:c r="D70" s="11" t="str">
        <x:v>2039-12-31</x:v>
      </x:c>
      <x:c r="E70" s="11" t="str">
        <x:v>CNY</x:v>
      </x:c>
      <x:c r="F70" s="11" t="n">
        <x:v>12.999315537303216</x:v>
      </x:c>
      <x:c r="G70" s="26" t="b">
        <x:v>1</x:v>
      </x:c>
      <x:c r="H70" s="16" t="n">
        <x:v>0.3</x:v>
      </x:c>
      <x:c r="I70" s="16" t="n">
        <x:v>0.44999999999999996</x:v>
      </x:c>
      <x:c r="J70" s="16" t="n">
        <x:v>0.96</x:v>
      </x:c>
      <x:c r="K70" s="11" t="n">
        <x:f>CHOOSE('假设'!$B$3,H70,I70,J70)</x:f>
        <x:v>0.44999999999999996</x:v>
      </x:c>
      <x:c r="L70" s="11" t="n">
        <x:f>K70*'管线假设'!E19*'管线假设'!F19*'管线假设'!G19*IF(E70="USD",'管线假设'!I19,1)-AM70</x:f>
        <x:v>0.049572</x:v>
      </x:c>
      <x:c r="M70" s="11" t="n">
        <x:f>'管线假设'!H19</x:f>
        <x:v>0.13</x:v>
      </x:c>
      <x:c r="N70" s="11" t="n">
        <x:f>IF(G70,L70*AN70/(1+M70)^F70,0)</x:f>
        <x:v>0.01012168939506118</x:v>
      </x:c>
      <x:c r="P70" t="str">
        <x:v>02162.HK</x:v>
      </x:c>
      <x:c r="Q70" t="str">
        <x:v>三年</x:v>
      </x:c>
      <x:c r="R70" t="str">
        <x:v>2029-12-31</x:v>
      </x:c>
      <x:c r="S70" t="n">
        <x:v>0.2272416153319644</x:v>
      </x:c>
      <x:c r="T70" s="27" t="b">
        <x:v>1</x:v>
      </x:c>
      <x:c r="U70" s="42" t="n">
        <x:v>0.03</x:v>
      </x:c>
      <x:c r="V70" s="42" t="n">
        <x:v>0</x:v>
      </x:c>
      <x:c r="W70" s="42" t="n">
        <x:v>0</x:v>
      </x:c>
      <x:c r="X70" s="42" t="n">
        <x:v>0.15</x:v>
      </x:c>
      <x:c r="Y70" s="42" t="n">
        <x:v>0</x:v>
      </x:c>
      <x:c r="Z70" s="42" t="n">
        <x:v>0</x:v>
      </x:c>
      <x:c r="AA70" t="n">
        <x:f>AB70/(1+'管线假设'!H939)^S70</x:f>
        <x:v>0</x:v>
      </x:c>
      <x:c r="AB70" t="n">
        <x:f>IF(T70,CHOOSE('假设'!$B$3,U70,V70,W70)*CHOOSE('假设'!$B$3,X70,Y70,Z70)*CHOOSE('假设'!$B$3,AO70,AP70,AQ70)*CHOOSE('假设'!$B$3,AR70,AS70,AT70)*IF(AU70="USD",'管线假设'!I939,1),0)</x:f>
        <x:v>0</x:v>
      </x:c>
      <x:c r="AJ70" t="n">
        <x:v>0</x:v>
      </x:c>
      <x:c r="AK70" t="n">
        <x:v>0</x:v>
      </x:c>
      <x:c r="AL70" t="n">
        <x:v>0</x:v>
      </x:c>
      <x:c r="AM70" t="n">
        <x:f>CHOOSE('假设'!$B$3,AJ70,AK70,AL70)</x:f>
        <x:v>0</x:v>
      </x:c>
      <x:c r="AN70" t="n">
        <x:v>1</x:v>
      </x:c>
      <x:c r="AO70" s="42" t="n">
        <x:v>0.83</x:v>
      </x:c>
      <x:c r="AP70" s="42" t="n">
        <x:v>0.8</x:v>
      </x:c>
      <x:c r="AQ70" s="42" t="n">
        <x:v>0.8</x:v>
      </x:c>
      <x:c r="AR70" s="42" t="n">
        <x:v>1</x:v>
      </x:c>
      <x:c r="AS70" s="42" t="n">
        <x:v>0.9</x:v>
      </x:c>
      <x:c r="AT70" s="42" t="n">
        <x:v>0.9</x:v>
      </x:c>
      <x:c r="AU70" t="str">
        <x:v>USD</x:v>
      </x:c>
      <x:c r="AV70" t="str">
        <x:v>Ouro sold equity contingent consideration maximum70m, distinct contract</x:v>
      </x:c>
    </x:row>
    <x:row r="71" ht="23" customHeight="1">
      <x:c r="A71" s="11" t="str">
        <x:v>01093.HK</x:v>
      </x:c>
      <x:c r="B71" s="11" t="str">
        <x:v>2026年底</x:v>
      </x:c>
      <x:c r="C71" s="11" t="str">
        <x:v>TG103_DOM</x:v>
      </x:c>
      <x:c r="D71" s="11" t="str">
        <x:v>2040-12-31</x:v>
      </x:c>
      <x:c r="E71" s="11" t="str">
        <x:v>CNY</x:v>
      </x:c>
      <x:c r="F71" s="11" t="n">
        <x:v>14.001368925393566</x:v>
      </x:c>
      <x:c r="G71" s="26" t="b">
        <x:v>1</x:v>
      </x:c>
      <x:c r="H71" s="16" t="n">
        <x:v>0.225</x:v>
      </x:c>
      <x:c r="I71" s="16" t="n">
        <x:v>0.27</x:v>
      </x:c>
      <x:c r="J71" s="16" t="n">
        <x:v>0.576</x:v>
      </x:c>
      <x:c r="K71" s="11" t="n">
        <x:f>CHOOSE('假设'!$B$3,H71,I71,J71)</x:f>
        <x:v>0.27</x:v>
      </x:c>
      <x:c r="L71" s="11" t="n">
        <x:f>K71*'管线假设'!E19*'管线假设'!F19*'管线假设'!G19*IF(E71="USD",'管线假设'!I19,1)-AM71</x:f>
        <x:v>0.029743200000000008</x:v>
      </x:c>
      <x:c r="M71" s="11" t="n">
        <x:f>'管线假设'!H19</x:f>
        <x:v>0.13</x:v>
      </x:c>
      <x:c r="N71" s="11" t="n">
        <x:f>IF(G71,L71*AN71/(1+M71)^F71,0)</x:f>
        <x:v>0.005372999772880543</x:v>
      </x:c>
      <x:c r="P71" t="str">
        <x:v>02162.HK</x:v>
      </x:c>
      <x:c r="Q71" t="str">
        <x:v>三年</x:v>
      </x:c>
      <x:c r="R71" t="str">
        <x:v>2030-12-31</x:v>
      </x:c>
      <x:c r="S71" t="n">
        <x:v>1.2265571526351813</x:v>
      </x:c>
      <x:c r="T71" s="27" t="b">
        <x:v>1</x:v>
      </x:c>
      <x:c r="U71" s="42" t="n">
        <x:v>0</x:v>
      </x:c>
      <x:c r="V71" s="42" t="n">
        <x:v>0.03</x:v>
      </x:c>
      <x:c r="W71" s="42" t="n">
        <x:v>0.03</x:v>
      </x:c>
      <x:c r="X71" s="42" t="n">
        <x:v>0</x:v>
      </x:c>
      <x:c r="Y71" s="42" t="n">
        <x:v>0.25</x:v>
      </x:c>
      <x:c r="Z71" s="42" t="n">
        <x:v>0.5</x:v>
      </x:c>
      <x:c r="AA71" t="n">
        <x:f>AB71/(1+'管线假设'!H939)^S71</x:f>
        <x:v>0.03710567559662729</x:v>
      </x:c>
      <x:c r="AB71" t="n">
        <x:f>IF(T71,CHOOSE('假设'!$B$3,U71,V71,W71)*CHOOSE('假设'!$B$3,X71,Y71,Z71)*CHOOSE('假设'!$B$3,AO71,AP71,AQ71)*CHOOSE('假设'!$B$3,AR71,AS71,AT71)*IF(AU71="USD",'管线假设'!I939,1),0)</x:f>
        <x:v>0.043574999999999996</x:v>
      </x:c>
      <x:c r="AJ71" t="n">
        <x:v>0</x:v>
      </x:c>
      <x:c r="AK71" t="n">
        <x:v>0</x:v>
      </x:c>
      <x:c r="AL71" t="n">
        <x:v>0</x:v>
      </x:c>
      <x:c r="AM71" t="n">
        <x:f>CHOOSE('假设'!$B$3,AJ71,AK71,AL71)</x:f>
        <x:v>0</x:v>
      </x:c>
      <x:c r="AN71" t="n">
        <x:v>1</x:v>
      </x:c>
      <x:c r="AO71" s="42" t="n">
        <x:v>0.8</x:v>
      </x:c>
      <x:c r="AP71" s="42" t="n">
        <x:v>0.83</x:v>
      </x:c>
      <x:c r="AQ71" s="42" t="n">
        <x:v>0.83</x:v>
      </x:c>
      <x:c r="AR71" s="42" t="n">
        <x:v>0.9</x:v>
      </x:c>
      <x:c r="AS71" s="42" t="n">
        <x:v>1</x:v>
      </x:c>
      <x:c r="AT71" s="42" t="n">
        <x:v>1</x:v>
      </x:c>
      <x:c r="AU71" t="str">
        <x:v>USD</x:v>
      </x:c>
      <x:c r="AV71" t="str">
        <x:v>Ouro sold equity contingent consideration maximum70m, distinct contract</x:v>
      </x:c>
    </x:row>
    <x:row r="72" ht="23" customHeight="1">
      <x:c r="A72" s="11" t="str">
        <x:v>01093.HK</x:v>
      </x:c>
      <x:c r="B72" s="11" t="str">
        <x:v>2026年底</x:v>
      </x:c>
      <x:c r="C72" s="11" t="str">
        <x:v>TG103_DOM</x:v>
      </x:c>
      <x:c r="D72" s="11" t="str">
        <x:v>2041-12-31</x:v>
      </x:c>
      <x:c r="E72" s="11" t="str">
        <x:v>CNY</x:v>
      </x:c>
      <x:c r="F72" s="11" t="n">
        <x:v>15.000684462696784</x:v>
      </x:c>
      <x:c r="G72" s="26" t="b">
        <x:v>1</x:v>
      </x:c>
      <x:c r="H72" s="16" t="n">
        <x:v>0.15</x:v>
      </x:c>
      <x:c r="I72" s="16" t="n">
        <x:v>0.15000000000000002</x:v>
      </x:c>
      <x:c r="J72" s="16" t="n">
        <x:v>0.32000000000000006</x:v>
      </x:c>
      <x:c r="K72" s="11" t="n">
        <x:f>CHOOSE('假设'!$B$3,H72,I72,J72)</x:f>
        <x:v>0.15000000000000002</x:v>
      </x:c>
      <x:c r="L72" s="11" t="n">
        <x:f>K72*'管线假设'!E19*'管线假设'!F19*'管线假设'!G19*IF(E72="USD",'管线假设'!I19,1)-AM72</x:f>
        <x:v>0.016524000000000004</x:v>
      </x:c>
      <x:c r="M72" s="11" t="n">
        <x:f>'管线假设'!H19</x:f>
        <x:v>0.13</x:v>
      </x:c>
      <x:c r="N72" s="11" t="n">
        <x:f>IF(G72,L72*AN72/(1+M72)^F72,0)</x:f>
        <x:v>0.0026418137961831184</x:v>
      </x:c>
      <x:c r="P72" t="str">
        <x:v>02162.HK</x:v>
      </x:c>
      <x:c r="Q72" t="str">
        <x:v>三年</x:v>
      </x:c>
      <x:c r="R72" t="str">
        <x:v>2031-12-31</x:v>
      </x:c>
      <x:c r="S72" t="n">
        <x:v>2.2258726899383983</x:v>
      </x:c>
      <x:c r="T72" s="27" t="b">
        <x:v>1</x:v>
      </x:c>
      <x:c r="U72" s="42" t="n">
        <x:v>0</x:v>
      </x:c>
      <x:c r="V72" s="42" t="n">
        <x:v>0.1</x:v>
      </x:c>
      <x:c r="W72" s="42" t="n">
        <x:v>0.2</x:v>
      </x:c>
      <x:c r="X72" s="42" t="n">
        <x:v>0</x:v>
      </x:c>
      <x:c r="Y72" s="42" t="n">
        <x:v>0.18</x:v>
      </x:c>
      <x:c r="Z72" s="42" t="n">
        <x:v>0.35</x:v>
      </x:c>
      <x:c r="AA72" t="n">
        <x:f>AB72/(1+'管线假设'!H939)^S72</x:f>
        <x:v>0.08000672923334619</x:v>
      </x:c>
      <x:c r="AB72" t="n">
        <x:f>IF(T72,CHOOSE('假设'!$B$3,U72,V72,W72)*CHOOSE('假设'!$B$3,X72,Y72,Z72)*CHOOSE('假设'!$B$3,AO72,AP72,AQ72)*CHOOSE('假设'!$B$3,AR72,AS72,AT72)*IF(AU72="USD",'管线假设'!I939,1),0)</x:f>
        <x:v>0.10709999999999999</x:v>
      </x:c>
      <x:c r="AJ72" t="n">
        <x:v>0</x:v>
      </x:c>
      <x:c r="AK72" t="n">
        <x:v>0</x:v>
      </x:c>
      <x:c r="AL72" t="n">
        <x:v>0</x:v>
      </x:c>
      <x:c r="AM72" t="n">
        <x:f>CHOOSE('假设'!$B$3,AJ72,AK72,AL72)</x:f>
        <x:v>0</x:v>
      </x:c>
      <x:c r="AN72" t="n">
        <x:v>1</x:v>
      </x:c>
      <x:c r="AO72" s="42" t="n">
        <x:v>0.8</x:v>
      </x:c>
      <x:c r="AP72" s="42" t="n">
        <x:v>0.85</x:v>
      </x:c>
      <x:c r="AQ72" s="42" t="n">
        <x:v>0.85</x:v>
      </x:c>
      <x:c r="AR72" s="42" t="n">
        <x:v>0.9</x:v>
      </x:c>
      <x:c r="AS72" s="42" t="n">
        <x:v>1</x:v>
      </x:c>
      <x:c r="AT72" s="42" t="n">
        <x:v>1</x:v>
      </x:c>
      <x:c r="AU72" t="str">
        <x:v>USD</x:v>
      </x:c>
      <x:c r="AV72" t="str">
        <x:v>CM336 legacy license future milestones, excludes already received equity-sale upfront</x:v>
      </x:c>
    </x:row>
    <x:row r="73" ht="23" customHeight="1">
      <x:c r="A73" s="11" t="str">
        <x:v>01093.HK</x:v>
      </x:c>
      <x:c r="B73" s="11" t="str">
        <x:v>2026年底</x:v>
      </x:c>
      <x:c r="C73" s="11" t="str">
        <x:v>TG103_DOM</x:v>
      </x:c>
      <x:c r="D73" s="11" t="str">
        <x:v>2042-12-31</x:v>
      </x:c>
      <x:c r="E73" s="11" t="str">
        <x:v>CNY</x:v>
      </x:c>
      <x:c r="F73" s="11" t="n">
        <x:v>16</x:v>
      </x:c>
      <x:c r="G73" s="26" t="b">
        <x:v>1</x:v>
      </x:c>
      <x:c r="H73" s="16" t="n">
        <x:v>0.09</x:v>
      </x:c>
      <x:c r="I73" s="16" t="n">
        <x:v>0.07500000000000001</x:v>
      </x:c>
      <x:c r="J73" s="16" t="n">
        <x:v>0.16000000000000003</x:v>
      </x:c>
      <x:c r="K73" s="11" t="n">
        <x:f>CHOOSE('假设'!$B$3,H73,I73,J73)</x:f>
        <x:v>0.07500000000000001</x:v>
      </x:c>
      <x:c r="L73" s="11" t="n">
        <x:f>K73*'管线假设'!E19*'管线假设'!F19*'管线假设'!G19*IF(E73="USD",'管线假设'!I19,1)-AM73</x:f>
        <x:v>0.008262000000000002</x:v>
      </x:c>
      <x:c r="M73" s="11" t="n">
        <x:f>'管线假设'!H19</x:f>
        <x:v>0.13</x:v>
      </x:c>
      <x:c r="N73" s="11" t="n">
        <x:f>IF(G73,L73*AN73/(1+M73)^F73,0)</x:f>
        <x:v>0.0011690419478587917</x:v>
      </x:c>
      <x:c r="P73" t="str">
        <x:v>02162.HK</x:v>
      </x:c>
      <x:c r="Q73" t="str">
        <x:v>五年</x:v>
      </x:c>
      <x:c r="R73" t="str">
        <x:v>2027-12-31</x:v>
      </x:c>
      <x:c r="S73" t="n">
        <x:v>-3.7727583846680357</x:v>
      </x:c>
      <x:c r="T73" s="27" t="b">
        <x:v>0</x:v>
      </x:c>
      <x:c r="U73" s="42" t="n">
        <x:v>0</x:v>
      </x:c>
      <x:c r="V73" s="42" t="n">
        <x:v>0.06</x:v>
      </x:c>
      <x:c r="W73" s="42" t="n">
        <x:v>0.1</x:v>
      </x:c>
      <x:c r="X73" s="42" t="n">
        <x:v>0</x:v>
      </x:c>
      <x:c r="Y73" s="42" t="n">
        <x:v>0.65</x:v>
      </x:c>
      <x:c r="Z73" s="42" t="n">
        <x:v>0.85</x:v>
      </x:c>
      <x:c r="AA73" t="n">
        <x:f>AB73/(1+'管线假设'!H983)^S73</x:f>
        <x:v>0</x:v>
      </x:c>
      <x:c r="AB73" t="n">
        <x:f>IF(T73,CHOOSE('假设'!$B$3,U73,V73,W73)*CHOOSE('假设'!$B$3,X73,Y73,Z73)*CHOOSE('假设'!$B$3,AO73,AP73,AQ73)*CHOOSE('假设'!$B$3,AR73,AS73,AT73)*IF(AU73="USD",'管线假设'!I983,1),0)</x:f>
        <x:v>0</x:v>
      </x:c>
      <x:c r="AJ73" t="n">
        <x:v>0</x:v>
      </x:c>
      <x:c r="AK73" t="n">
        <x:v>0</x:v>
      </x:c>
      <x:c r="AL73" t="n">
        <x:v>0</x:v>
      </x:c>
      <x:c r="AM73" t="n">
        <x:f>CHOOSE('假设'!$B$3,AJ73,AK73,AL73)</x:f>
        <x:v>0</x:v>
      </x:c>
      <x:c r="AN73" t="n">
        <x:v>1</x:v>
      </x:c>
      <x:c r="AO73" s="42" t="n">
        <x:v>0.8</x:v>
      </x:c>
      <x:c r="AP73" s="42" t="n">
        <x:v>0.85</x:v>
      </x:c>
      <x:c r="AQ73" s="42" t="n">
        <x:v>0.85</x:v>
      </x:c>
      <x:c r="AR73" s="42" t="n">
        <x:v>0.9</x:v>
      </x:c>
      <x:c r="AS73" s="42" t="n">
        <x:v>0.7</x:v>
      </x:c>
      <x:c r="AT73" s="42" t="n">
        <x:v>0.7</x:v>
      </x:c>
      <x:c r="AU73" t="str">
        <x:v>USD</x:v>
      </x:c>
      <x:c r="AV73" t="str">
        <x:v>CMG901 future eligible milestones</x:v>
      </x:c>
    </x:row>
    <x:row r="74" ht="23" customHeight="1">
      <x:c r="A74" s="11" t="str">
        <x:v>01093.HK</x:v>
      </x:c>
      <x:c r="B74" s="11" t="str">
        <x:v>2026年底</x:v>
      </x:c>
      <x:c r="C74" s="11" t="str">
        <x:v>TG103_DOM</x:v>
      </x:c>
      <x:c r="D74" s="11" t="str">
        <x:v>2043-12-31</x:v>
      </x:c>
      <x:c r="E74" s="11" t="str">
        <x:v>CNY</x:v>
      </x:c>
      <x:c r="F74" s="11" t="n">
        <x:v>16.999315537303218</x:v>
      </x:c>
      <x:c r="G74" s="26" t="b">
        <x:v>1</x:v>
      </x:c>
      <x:c r="H74" s="16" t="n">
        <x:v>0.05</x:v>
      </x:c>
      <x:c r="I74" s="16" t="n">
        <x:v>0.07500000000000001</x:v>
      </x:c>
      <x:c r="J74" s="16" t="n">
        <x:v>0.16000000000000003</x:v>
      </x:c>
      <x:c r="K74" s="11" t="n">
        <x:f>CHOOSE('假设'!$B$3,H74,I74,J74)</x:f>
        <x:v>0.07500000000000001</x:v>
      </x:c>
      <x:c r="L74" s="11" t="n">
        <x:f>K74*'管线假设'!E19*'管线假设'!F19*'管线假设'!G19*IF(E74="USD",'管线假设'!I19,1)-AM74</x:f>
        <x:v>0.008262000000000002</x:v>
      </x:c>
      <x:c r="M74" s="11" t="n">
        <x:f>'管线假设'!H19</x:f>
        <x:v>0.13</x:v>
      </x:c>
      <x:c r="N74" s="11" t="n">
        <x:f>IF(G74,L74*AN74/(1+M74)^F74,0)</x:f>
        <x:v>0.0010346369436241274</x:v>
      </x:c>
      <x:c r="P74" t="str">
        <x:v>02162.HK</x:v>
      </x:c>
      <x:c r="Q74" t="str">
        <x:v>五年</x:v>
      </x:c>
      <x:c r="R74" t="str">
        <x:v>2028-12-31</x:v>
      </x:c>
      <x:c r="S74" t="n">
        <x:v>-2.7707049965776864</x:v>
      </x:c>
      <x:c r="T74" s="27" t="b">
        <x:v>0</x:v>
      </x:c>
      <x:c r="U74" s="42" t="n">
        <x:v>0</x:v>
      </x:c>
      <x:c r="V74" s="42" t="n">
        <x:v>0.06</x:v>
      </x:c>
      <x:c r="W74" s="42" t="n">
        <x:v>0.1</x:v>
      </x:c>
      <x:c r="X74" s="42" t="n">
        <x:v>0</x:v>
      </x:c>
      <x:c r="Y74" s="42" t="n">
        <x:v>0.25</x:v>
      </x:c>
      <x:c r="Z74" s="42" t="n">
        <x:v>0.5</x:v>
      </x:c>
      <x:c r="AA74" t="n">
        <x:f>AB74/(1+'管线假设'!H983)^S74</x:f>
        <x:v>0</x:v>
      </x:c>
      <x:c r="AB74" t="n">
        <x:f>IF(T74,CHOOSE('假设'!$B$3,U74,V74,W74)*CHOOSE('假设'!$B$3,X74,Y74,Z74)*CHOOSE('假设'!$B$3,AO74,AP74,AQ74)*CHOOSE('假设'!$B$3,AR74,AS74,AT74)*IF(AU74="USD",'管线假设'!I983,1),0)</x:f>
        <x:v>0</x:v>
      </x:c>
      <x:c r="AJ74" t="n">
        <x:v>0</x:v>
      </x:c>
      <x:c r="AK74" t="n">
        <x:v>0</x:v>
      </x:c>
      <x:c r="AL74" t="n">
        <x:v>0</x:v>
      </x:c>
      <x:c r="AM74" t="n">
        <x:f>CHOOSE('假设'!$B$3,AJ74,AK74,AL74)</x:f>
        <x:v>0</x:v>
      </x:c>
      <x:c r="AN74" t="n">
        <x:v>1</x:v>
      </x:c>
      <x:c r="AO74" s="42" t="n">
        <x:v>0.8</x:v>
      </x:c>
      <x:c r="AP74" s="42" t="n">
        <x:v>0.85</x:v>
      </x:c>
      <x:c r="AQ74" s="42" t="n">
        <x:v>0.85</x:v>
      </x:c>
      <x:c r="AR74" s="42" t="n">
        <x:v>0.9</x:v>
      </x:c>
      <x:c r="AS74" s="42" t="n">
        <x:v>1</x:v>
      </x:c>
      <x:c r="AT74" s="42" t="n">
        <x:v>1</x:v>
      </x:c>
      <x:c r="AU74" t="str">
        <x:v>USD</x:v>
      </x:c>
      <x:c r="AV74" t="str">
        <x:v>CM336 legacy license future milestones, excludes already received equity-sale upfront</x:v>
      </x:c>
    </x:row>
    <x:row r="75" ht="23" customHeight="1">
      <x:c r="A75" s="11" t="str">
        <x:v>01093.HK</x:v>
      </x:c>
      <x:c r="B75" s="11" t="str">
        <x:v>2026年底</x:v>
      </x:c>
      <x:c r="C75" s="11" t="str">
        <x:v>AZ_OBESITY_EXCHINA</x:v>
      </x:c>
      <x:c r="D75" s="11" t="str">
        <x:v>2029-12-31</x:v>
      </x:c>
      <x:c r="E75" s="11" t="str">
        <x:v>USD</x:v>
      </x:c>
      <x:c r="F75" s="11" t="n">
        <x:v>3.0006844626967832</x:v>
      </x:c>
      <x:c r="G75" s="26" t="b">
        <x:v>1</x:v>
      </x:c>
      <x:c r="H75" s="16" t="n">
        <x:v>0</x:v>
      </x:c>
      <x:c r="I75" s="16" t="n">
        <x:v>0</x:v>
      </x:c>
      <x:c r="J75" s="16" t="n">
        <x:v>1.6</x:v>
      </x:c>
      <x:c r="K75" s="11" t="n">
        <x:f>CHOOSE('假设'!$B$3,H75,I75,J75)</x:f>
        <x:v>0</x:v>
      </x:c>
      <x:c r="L75" s="11" t="n">
        <x:f>K75*'管线假设'!E23*'管线假设'!F23*'管线假设'!G23*IF(E75="USD",'管线假设'!I23,1)-AM75</x:f>
        <x:v>0</x:v>
      </x:c>
      <x:c r="M75" s="11" t="n">
        <x:f>'管线假设'!H23</x:f>
        <x:v>0.13</x:v>
      </x:c>
      <x:c r="N75" s="11" t="n">
        <x:f>IF(G75,L75*AN75/(1+M75)^F75,0)</x:f>
        <x:v>0</x:v>
      </x:c>
      <x:c r="P75" t="str">
        <x:v>02162.HK</x:v>
      </x:c>
      <x:c r="Q75" t="str">
        <x:v>五年</x:v>
      </x:c>
      <x:c r="R75" t="str">
        <x:v>2028-12-31</x:v>
      </x:c>
      <x:c r="S75" t="n">
        <x:v>-2.7707049965776864</x:v>
      </x:c>
      <x:c r="T75" s="27" t="b">
        <x:v>0</x:v>
      </x:c>
      <x:c r="U75" s="42" t="n">
        <x:v>0.04</x:v>
      </x:c>
      <x:c r="V75" s="42" t="n">
        <x:v>0</x:v>
      </x:c>
      <x:c r="W75" s="42" t="n">
        <x:v>0</x:v>
      </x:c>
      <x:c r="X75" s="42" t="n">
        <x:v>0.35</x:v>
      </x:c>
      <x:c r="Y75" s="42" t="n">
        <x:v>0</x:v>
      </x:c>
      <x:c r="Z75" s="42" t="n">
        <x:v>0</x:v>
      </x:c>
      <x:c r="AA75" t="n">
        <x:f>AB75/(1+'管线假设'!H983)^S75</x:f>
        <x:v>0</x:v>
      </x:c>
      <x:c r="AB75" t="n">
        <x:f>IF(T75,CHOOSE('假设'!$B$3,U75,V75,W75)*CHOOSE('假设'!$B$3,X75,Y75,Z75)*CHOOSE('假设'!$B$3,AO75,AP75,AQ75)*CHOOSE('假设'!$B$3,AR75,AS75,AT75)*IF(AU75="USD",'管线假设'!I983,1),0)</x:f>
        <x:v>0</x:v>
      </x:c>
      <x:c r="AJ75" t="n">
        <x:v>0</x:v>
      </x:c>
      <x:c r="AK75" t="n">
        <x:v>0</x:v>
      </x:c>
      <x:c r="AL75" t="n">
        <x:v>0</x:v>
      </x:c>
      <x:c r="AM75" t="n">
        <x:f>CHOOSE('假设'!$B$3,AJ75,AK75,AL75)</x:f>
        <x:v>0</x:v>
      </x:c>
      <x:c r="AN75" t="n">
        <x:v>1</x:v>
      </x:c>
      <x:c r="AO75" s="42" t="n">
        <x:v>0.85</x:v>
      </x:c>
      <x:c r="AP75" s="42" t="n">
        <x:v>0.8</x:v>
      </x:c>
      <x:c r="AQ75" s="42" t="n">
        <x:v>0.8</x:v>
      </x:c>
      <x:c r="AR75" s="42" t="n">
        <x:v>0.7</x:v>
      </x:c>
      <x:c r="AS75" s="42" t="n">
        <x:v>0.9</x:v>
      </x:c>
      <x:c r="AT75" s="42" t="n">
        <x:v>0.9</x:v>
      </x:c>
      <x:c r="AU75" t="str">
        <x:v>USD</x:v>
      </x:c>
      <x:c r="AV75" t="str">
        <x:v>CMG901 future eligible milestones</x:v>
      </x:c>
    </x:row>
    <x:row r="76" ht="23" customHeight="1">
      <x:c r="A76" s="11" t="str">
        <x:v>01093.HK</x:v>
      </x:c>
      <x:c r="B76" s="11" t="str">
        <x:v>2026年底</x:v>
      </x:c>
      <x:c r="C76" s="11" t="str">
        <x:v>AZ_OBESITY_EXCHINA</x:v>
      </x:c>
      <x:c r="D76" s="11" t="str">
        <x:v>2030-12-31</x:v>
      </x:c>
      <x:c r="E76" s="11" t="str">
        <x:v>USD</x:v>
      </x:c>
      <x:c r="F76" s="11" t="n">
        <x:v>4</x:v>
      </x:c>
      <x:c r="G76" s="26" t="b">
        <x:v>1</x:v>
      </x:c>
      <x:c r="H76" s="16" t="n">
        <x:v>0</x:v>
      </x:c>
      <x:c r="I76" s="16" t="n">
        <x:v>0.72</x:v>
      </x:c>
      <x:c r="J76" s="16" t="n">
        <x:v>5</x:v>
      </x:c>
      <x:c r="K76" s="11" t="n">
        <x:f>CHOOSE('假设'!$B$3,H76,I76,J76)</x:f>
        <x:v>0.72</x:v>
      </x:c>
      <x:c r="L76" s="11" t="n">
        <x:f>K76*'管线假设'!E23*'管线假设'!F23*'管线假设'!G23*IF(E76="USD",'管线假设'!I23,1)-AM76</x:f>
        <x:v>0.07960679999999999</x:v>
      </x:c>
      <x:c r="M76" s="11" t="n">
        <x:f>'管线假设'!H23</x:f>
        <x:v>0.13</x:v>
      </x:c>
      <x:c r="N76" s="11" t="n">
        <x:f>IF(G76,L76*AN76/(1+M76)^F76,0)</x:f>
        <x:v>0.048824341290626606</x:v>
      </x:c>
      <x:c r="P76" t="str">
        <x:v>02162.HK</x:v>
      </x:c>
      <x:c r="Q76" t="str">
        <x:v>五年</x:v>
      </x:c>
      <x:c r="R76" t="str">
        <x:v>2028-12-31</x:v>
      </x:c>
      <x:c r="S76" t="n">
        <x:v>-2.7707049965776864</x:v>
      </x:c>
      <x:c r="T76" s="27" t="b">
        <x:v>0</x:v>
      </x:c>
      <x:c r="U76" s="42" t="n">
        <x:v>0</x:v>
      </x:c>
      <x:c r="V76" s="42" t="n">
        <x:v>0.04</x:v>
      </x:c>
      <x:c r="W76" s="42" t="n">
        <x:v>0.04</x:v>
      </x:c>
      <x:c r="X76" s="42" t="n">
        <x:v>0</x:v>
      </x:c>
      <x:c r="Y76" s="42" t="n">
        <x:v>0.35</x:v>
      </x:c>
      <x:c r="Z76" s="42" t="n">
        <x:v>0.65</x:v>
      </x:c>
      <x:c r="AA76" t="n">
        <x:f>AB76/(1+'管线假设'!H983)^S76</x:f>
        <x:v>0</x:v>
      </x:c>
      <x:c r="AB76" t="n">
        <x:f>IF(T76,CHOOSE('假设'!$B$3,U76,V76,W76)*CHOOSE('假设'!$B$3,X76,Y76,Z76)*CHOOSE('假设'!$B$3,AO76,AP76,AQ76)*CHOOSE('假设'!$B$3,AR76,AS76,AT76)*IF(AU76="USD",'管线假设'!I983,1),0)</x:f>
        <x:v>0</x:v>
      </x:c>
      <x:c r="AJ76" t="n">
        <x:v>0</x:v>
      </x:c>
      <x:c r="AK76" t="n">
        <x:v>0</x:v>
      </x:c>
      <x:c r="AL76" t="n">
        <x:v>0</x:v>
      </x:c>
      <x:c r="AM76" t="n">
        <x:f>CHOOSE('假设'!$B$3,AJ76,AK76,AL76)</x:f>
        <x:v>0</x:v>
      </x:c>
      <x:c r="AN76" t="n">
        <x:v>1</x:v>
      </x:c>
      <x:c r="AO76" s="42" t="n">
        <x:v>0.8</x:v>
      </x:c>
      <x:c r="AP76" s="42" t="n">
        <x:v>0.83</x:v>
      </x:c>
      <x:c r="AQ76" s="42" t="n">
        <x:v>0.83</x:v>
      </x:c>
      <x:c r="AR76" s="42" t="n">
        <x:v>0.9</x:v>
      </x:c>
      <x:c r="AS76" s="42" t="n">
        <x:v>1</x:v>
      </x:c>
      <x:c r="AT76" s="42" t="n">
        <x:v>1</x:v>
      </x:c>
      <x:c r="AU76" t="str">
        <x:v>USD</x:v>
      </x:c>
      <x:c r="AV76" t="str">
        <x:v>Ouro sold equity contingent consideration maximum70m, distinct contract</x:v>
      </x:c>
    </x:row>
    <x:row r="77" ht="23" customHeight="1">
      <x:c r="A77" s="11" t="str">
        <x:v>01093.HK</x:v>
      </x:c>
      <x:c r="B77" s="11" t="str">
        <x:v>2026年底</x:v>
      </x:c>
      <x:c r="C77" s="11" t="str">
        <x:v>AZ_OBESITY_EXCHINA</x:v>
      </x:c>
      <x:c r="D77" s="11" t="str">
        <x:v>2031-12-31</x:v>
      </x:c>
      <x:c r="E77" s="11" t="str">
        <x:v>USD</x:v>
      </x:c>
      <x:c r="F77" s="11" t="n">
        <x:v>4.999315537303217</x:v>
      </x:c>
      <x:c r="G77" s="26" t="b">
        <x:v>1</x:v>
      </x:c>
      <x:c r="H77" s="16" t="n">
        <x:v>0</x:v>
      </x:c>
      <x:c r="I77" s="16" t="n">
        <x:v>2.25</x:v>
      </x:c>
      <x:c r="J77" s="16" t="n">
        <x:v>9</x:v>
      </x:c>
      <x:c r="K77" s="11" t="n">
        <x:f>CHOOSE('假设'!$B$3,H77,I77,J77)</x:f>
        <x:v>2.25</x:v>
      </x:c>
      <x:c r="L77" s="11" t="n">
        <x:f>K77*'管线假设'!E23*'管线假设'!F23*'管线假设'!G23*IF(E77="USD",'管线假设'!I23,1)-AM77</x:f>
        <x:v>0.24877124999999994</x:v>
      </x:c>
      <x:c r="M77" s="11" t="n">
        <x:f>'管线假设'!H23</x:f>
        <x:v>0.13</x:v>
      </x:c>
      <x:c r="N77" s="11" t="n">
        <x:f>IF(G77,L77*AN77/(1+M77)^F77,0)</x:f>
        <x:v>0.1350343633410646</x:v>
      </x:c>
      <x:c r="P77" t="str">
        <x:v>02162.HK</x:v>
      </x:c>
      <x:c r="Q77" t="str">
        <x:v>五年</x:v>
      </x:c>
      <x:c r="R77" t="str">
        <x:v>2029-12-31</x:v>
      </x:c>
      <x:c r="S77" t="n">
        <x:v>-1.7713894592744694</x:v>
      </x:c>
      <x:c r="T77" s="27" t="b">
        <x:v>0</x:v>
      </x:c>
      <x:c r="U77" s="42" t="n">
        <x:v>0.02</x:v>
      </x:c>
      <x:c r="V77" s="42" t="n">
        <x:v>0</x:v>
      </x:c>
      <x:c r="W77" s="42" t="n">
        <x:v>0</x:v>
      </x:c>
      <x:c r="X77" s="42" t="n">
        <x:v>0.1</x:v>
      </x:c>
      <x:c r="Y77" s="42" t="n">
        <x:v>0</x:v>
      </x:c>
      <x:c r="Z77" s="42" t="n">
        <x:v>0</x:v>
      </x:c>
      <x:c r="AA77" t="n">
        <x:f>AB77/(1+'管线假设'!H983)^S77</x:f>
        <x:v>0</x:v>
      </x:c>
      <x:c r="AB77" t="n">
        <x:f>IF(T77,CHOOSE('假设'!$B$3,U77,V77,W77)*CHOOSE('假设'!$B$3,X77,Y77,Z77)*CHOOSE('假设'!$B$3,AO77,AP77,AQ77)*CHOOSE('假设'!$B$3,AR77,AS77,AT77)*IF(AU77="USD",'管线假设'!I983,1),0)</x:f>
        <x:v>0</x:v>
      </x:c>
      <x:c r="AJ77" t="n">
        <x:v>0</x:v>
      </x:c>
      <x:c r="AK77" t="n">
        <x:v>0</x:v>
      </x:c>
      <x:c r="AL77" t="n">
        <x:v>0</x:v>
      </x:c>
      <x:c r="AM77" t="n">
        <x:f>CHOOSE('假设'!$B$3,AJ77,AK77,AL77)</x:f>
        <x:v>0</x:v>
      </x:c>
      <x:c r="AN77" t="n">
        <x:v>1</x:v>
      </x:c>
      <x:c r="AO77" s="42" t="n">
        <x:v>0.85</x:v>
      </x:c>
      <x:c r="AP77" s="42" t="n">
        <x:v>0.8</x:v>
      </x:c>
      <x:c r="AQ77" s="42" t="n">
        <x:v>0.8</x:v>
      </x:c>
      <x:c r="AR77" s="42" t="n">
        <x:v>1</x:v>
      </x:c>
      <x:c r="AS77" s="42" t="n">
        <x:v>0.9</x:v>
      </x:c>
      <x:c r="AT77" s="42" t="n">
        <x:v>0.9</x:v>
      </x:c>
      <x:c r="AU77" t="str">
        <x:v>USD</x:v>
      </x:c>
      <x:c r="AV77" t="str">
        <x:v>CM336 legacy license future milestones, excludes already received equity-sale upfront</x:v>
      </x:c>
    </x:row>
    <x:row r="78" ht="23" customHeight="1">
      <x:c r="A78" s="11" t="str">
        <x:v>01093.HK</x:v>
      </x:c>
      <x:c r="B78" s="11" t="str">
        <x:v>2026年底</x:v>
      </x:c>
      <x:c r="C78" s="11" t="str">
        <x:v>AZ_OBESITY_EXCHINA</x:v>
      </x:c>
      <x:c r="D78" s="11" t="str">
        <x:v>2032-12-31</x:v>
      </x:c>
      <x:c r="E78" s="11" t="str">
        <x:v>USD</x:v>
      </x:c>
      <x:c r="F78" s="11" t="n">
        <x:v>6.0013689253935665</x:v>
      </x:c>
      <x:c r="G78" s="26" t="b">
        <x:v>1</x:v>
      </x:c>
      <x:c r="H78" s="16" t="n">
        <x:v>0.24</x:v>
      </x:c>
      <x:c r="I78" s="16" t="n">
        <x:v>4.05</x:v>
      </x:c>
      <x:c r="J78" s="16" t="n">
        <x:v>13</x:v>
      </x:c>
      <x:c r="K78" s="11" t="n">
        <x:f>CHOOSE('假设'!$B$3,H78,I78,J78)</x:f>
        <x:v>4.05</x:v>
      </x:c>
      <x:c r="L78" s="11" t="n">
        <x:f>K78*'管线假设'!E23*'管线假设'!F23*'管线假设'!G23*IF(E78="USD",'管线假设'!I23,1)-AM78</x:f>
        <x:v>0.44778824999999994</x:v>
      </x:c>
      <x:c r="M78" s="11" t="n">
        <x:f>'管线假设'!H23</x:f>
        <x:v>0.13</x:v>
      </x:c>
      <x:c r="N78" s="11" t="n">
        <x:f>IF(G78,L78*AN78/(1+M78)^F78,0)</x:f>
        <x:v>0.21504501133475745</x:v>
      </x:c>
      <x:c r="P78" t="str">
        <x:v>02162.HK</x:v>
      </x:c>
      <x:c r="Q78" t="str">
        <x:v>五年</x:v>
      </x:c>
      <x:c r="R78" t="str">
        <x:v>2029-12-31</x:v>
      </x:c>
      <x:c r="S78" t="n">
        <x:v>-1.7713894592744694</x:v>
      </x:c>
      <x:c r="T78" s="27" t="b">
        <x:v>0</x:v>
      </x:c>
      <x:c r="U78" s="42" t="n">
        <x:v>0</x:v>
      </x:c>
      <x:c r="V78" s="42" t="n">
        <x:v>0.1</x:v>
      </x:c>
      <x:c r="W78" s="42" t="n">
        <x:v>0.2</x:v>
      </x:c>
      <x:c r="X78" s="42" t="n">
        <x:v>0</x:v>
      </x:c>
      <x:c r="Y78" s="42" t="n">
        <x:v>0.35</x:v>
      </x:c>
      <x:c r="Z78" s="42" t="n">
        <x:v>0.65</x:v>
      </x:c>
      <x:c r="AA78" t="n">
        <x:f>AB78/(1+'管线假设'!H983)^S78</x:f>
        <x:v>0</x:v>
      </x:c>
      <x:c r="AB78" t="n">
        <x:f>IF(T78,CHOOSE('假设'!$B$3,U78,V78,W78)*CHOOSE('假设'!$B$3,X78,Y78,Z78)*CHOOSE('假设'!$B$3,AO78,AP78,AQ78)*CHOOSE('假设'!$B$3,AR78,AS78,AT78)*IF(AU78="USD",'管线假设'!I983,1),0)</x:f>
        <x:v>0</x:v>
      </x:c>
      <x:c r="AJ78" t="n">
        <x:v>0</x:v>
      </x:c>
      <x:c r="AK78" t="n">
        <x:v>0</x:v>
      </x:c>
      <x:c r="AL78" t="n">
        <x:v>0</x:v>
      </x:c>
      <x:c r="AM78" t="n">
        <x:f>CHOOSE('假设'!$B$3,AJ78,AK78,AL78)</x:f>
        <x:v>0</x:v>
      </x:c>
      <x:c r="AN78" t="n">
        <x:v>1</x:v>
      </x:c>
      <x:c r="AO78" s="42" t="n">
        <x:v>0.8</x:v>
      </x:c>
      <x:c r="AP78" s="42" t="n">
        <x:v>0.85</x:v>
      </x:c>
      <x:c r="AQ78" s="42" t="n">
        <x:v>0.85</x:v>
      </x:c>
      <x:c r="AR78" s="42" t="n">
        <x:v>0.9</x:v>
      </x:c>
      <x:c r="AS78" s="42" t="n">
        <x:v>0.7</x:v>
      </x:c>
      <x:c r="AT78" s="42" t="n">
        <x:v>0.7</x:v>
      </x:c>
      <x:c r="AU78" t="str">
        <x:v>USD</x:v>
      </x:c>
      <x:c r="AV78" t="str">
        <x:v>CMG901 future eligible milestones</x:v>
      </x:c>
    </x:row>
    <x:row r="79" ht="23" customHeight="1">
      <x:c r="A79" s="11" t="str">
        <x:v>01093.HK</x:v>
      </x:c>
      <x:c r="B79" s="11" t="str">
        <x:v>2026年底</x:v>
      </x:c>
      <x:c r="C79" s="11" t="str">
        <x:v>AZ_OBESITY_EXCHINA</x:v>
      </x:c>
      <x:c r="D79" s="11" t="str">
        <x:v>2033-12-31</x:v>
      </x:c>
      <x:c r="E79" s="11" t="str">
        <x:v>USD</x:v>
      </x:c>
      <x:c r="F79" s="11" t="n">
        <x:v>7.000684462696783</x:v>
      </x:c>
      <x:c r="G79" s="26" t="b">
        <x:v>1</x:v>
      </x:c>
      <x:c r="H79" s="16" t="n">
        <x:v>0.75</x:v>
      </x:c>
      <x:c r="I79" s="16" t="n">
        <x:v>5.8500000000000005</x:v>
      </x:c>
      <x:c r="J79" s="16" t="n">
        <x:v>17</x:v>
      </x:c>
      <x:c r="K79" s="11" t="n">
        <x:f>CHOOSE('假设'!$B$3,H79,I79,J79)</x:f>
        <x:v>5.8500000000000005</x:v>
      </x:c>
      <x:c r="L79" s="11" t="n">
        <x:f>K79*'管线假设'!E23*'管线假设'!F23*'管线假设'!G23*IF(E79="USD",'管线假设'!I23,1)-AM79</x:f>
        <x:v>0.64680525</x:v>
      </x:c>
      <x:c r="M79" s="11" t="n">
        <x:f>'管线假设'!H23</x:f>
        <x:v>0.13</x:v>
      </x:c>
      <x:c r="N79" s="11" t="n">
        <x:f>IF(G79,L79*AN79/(1+M79)^F79,0)</x:f>
        <x:v>0.27490845795138763</x:v>
      </x:c>
      <x:c r="P79" t="str">
        <x:v>02162.HK</x:v>
      </x:c>
      <x:c r="Q79" t="str">
        <x:v>五年</x:v>
      </x:c>
      <x:c r="R79" t="str">
        <x:v>2029-12-31</x:v>
      </x:c>
      <x:c r="S79" t="n">
        <x:v>-1.7713894592744694</x:v>
      </x:c>
      <x:c r="T79" s="27" t="b">
        <x:v>0</x:v>
      </x:c>
      <x:c r="U79" s="42" t="n">
        <x:v>0.03</x:v>
      </x:c>
      <x:c r="V79" s="42" t="n">
        <x:v>0</x:v>
      </x:c>
      <x:c r="W79" s="42" t="n">
        <x:v>0</x:v>
      </x:c>
      <x:c r="X79" s="42" t="n">
        <x:v>0.15</x:v>
      </x:c>
      <x:c r="Y79" s="42" t="n">
        <x:v>0</x:v>
      </x:c>
      <x:c r="Z79" s="42" t="n">
        <x:v>0</x:v>
      </x:c>
      <x:c r="AA79" t="n">
        <x:f>AB79/(1+'管线假设'!H983)^S79</x:f>
        <x:v>0</x:v>
      </x:c>
      <x:c r="AB79" t="n">
        <x:f>IF(T79,CHOOSE('假设'!$B$3,U79,V79,W79)*CHOOSE('假设'!$B$3,X79,Y79,Z79)*CHOOSE('假设'!$B$3,AO79,AP79,AQ79)*CHOOSE('假设'!$B$3,AR79,AS79,AT79)*IF(AU79="USD",'管线假设'!I983,1),0)</x:f>
        <x:v>0</x:v>
      </x:c>
      <x:c r="AJ79" t="n">
        <x:v>0</x:v>
      </x:c>
      <x:c r="AK79" t="n">
        <x:v>0</x:v>
      </x:c>
      <x:c r="AL79" t="n">
        <x:v>0</x:v>
      </x:c>
      <x:c r="AM79" t="n">
        <x:f>CHOOSE('假设'!$B$3,AJ79,AK79,AL79)</x:f>
        <x:v>0</x:v>
      </x:c>
      <x:c r="AN79" t="n">
        <x:v>1</x:v>
      </x:c>
      <x:c r="AO79" s="42" t="n">
        <x:v>0.83</x:v>
      </x:c>
      <x:c r="AP79" s="42" t="n">
        <x:v>0.8</x:v>
      </x:c>
      <x:c r="AQ79" s="42" t="n">
        <x:v>0.8</x:v>
      </x:c>
      <x:c r="AR79" s="42" t="n">
        <x:v>1</x:v>
      </x:c>
      <x:c r="AS79" s="42" t="n">
        <x:v>0.9</x:v>
      </x:c>
      <x:c r="AT79" s="42" t="n">
        <x:v>0.9</x:v>
      </x:c>
      <x:c r="AU79" t="str">
        <x:v>USD</x:v>
      </x:c>
      <x:c r="AV79" t="str">
        <x:v>Ouro sold equity contingent consideration maximum70m, distinct contract</x:v>
      </x:c>
    </x:row>
    <x:row r="80" ht="23" customHeight="1">
      <x:c r="A80" s="11" t="str">
        <x:v>01093.HK</x:v>
      </x:c>
      <x:c r="B80" s="11" t="str">
        <x:v>2026年底</x:v>
      </x:c>
      <x:c r="C80" s="11" t="str">
        <x:v>AZ_OBESITY_EXCHINA</x:v>
      </x:c>
      <x:c r="D80" s="11" t="str">
        <x:v>2034-12-31</x:v>
      </x:c>
      <x:c r="E80" s="11" t="str">
        <x:v>USD</x:v>
      </x:c>
      <x:c r="F80" s="11" t="n">
        <x:v>8</x:v>
      </x:c>
      <x:c r="G80" s="26" t="b">
        <x:v>1</x:v>
      </x:c>
      <x:c r="H80" s="16" t="n">
        <x:v>1.35</x:v>
      </x:c>
      <x:c r="I80" s="16" t="n">
        <x:v>7.6499999999999995</x:v>
      </x:c>
      <x:c r="J80" s="16" t="n">
        <x:v>20</x:v>
      </x:c>
      <x:c r="K80" s="11" t="n">
        <x:f>CHOOSE('假设'!$B$3,H80,I80,J80)</x:f>
        <x:v>7.6499999999999995</x:v>
      </x:c>
      <x:c r="L80" s="11" t="n">
        <x:f>K80*'管线假设'!E23*'管线假设'!F23*'管线假设'!G23*IF(E80="USD",'管线假设'!I23,1)-AM80</x:f>
        <x:v>0.8458222499999998</x:v>
      </x:c>
      <x:c r="M80" s="11" t="n">
        <x:f>'管线假设'!H23</x:f>
        <x:v>0.13</x:v>
      </x:c>
      <x:c r="N80" s="11" t="n">
        <x:f>IF(G80,L80*AN80/(1+M80)^F80,0)</x:f>
        <x:v>0.3181643806016019</x:v>
      </x:c>
      <x:c r="P80" t="str">
        <x:v>02162.HK</x:v>
      </x:c>
      <x:c r="Q80" t="str">
        <x:v>五年</x:v>
      </x:c>
      <x:c r="R80" t="str">
        <x:v>2030-12-31</x:v>
      </x:c>
      <x:c r="S80" t="n">
        <x:v>-0.7720739219712526</x:v>
      </x:c>
      <x:c r="T80" s="27" t="b">
        <x:v>0</x:v>
      </x:c>
      <x:c r="U80" s="42" t="n">
        <x:v>0</x:v>
      </x:c>
      <x:c r="V80" s="42" t="n">
        <x:v>0.03</x:v>
      </x:c>
      <x:c r="W80" s="42" t="n">
        <x:v>0.03</x:v>
      </x:c>
      <x:c r="X80" s="42" t="n">
        <x:v>0</x:v>
      </x:c>
      <x:c r="Y80" s="42" t="n">
        <x:v>0.25</x:v>
      </x:c>
      <x:c r="Z80" s="42" t="n">
        <x:v>0.5</x:v>
      </x:c>
      <x:c r="AA80" t="n">
        <x:f>AB80/(1+'管线假设'!H983)^S80</x:f>
        <x:v>0</x:v>
      </x:c>
      <x:c r="AB80" t="n">
        <x:f>IF(T80,CHOOSE('假设'!$B$3,U80,V80,W80)*CHOOSE('假设'!$B$3,X80,Y80,Z80)*CHOOSE('假设'!$B$3,AO80,AP80,AQ80)*CHOOSE('假设'!$B$3,AR80,AS80,AT80)*IF(AU80="USD",'管线假设'!I983,1),0)</x:f>
        <x:v>0</x:v>
      </x:c>
      <x:c r="AJ80" t="n">
        <x:v>0</x:v>
      </x:c>
      <x:c r="AK80" t="n">
        <x:v>0</x:v>
      </x:c>
      <x:c r="AL80" t="n">
        <x:v>0</x:v>
      </x:c>
      <x:c r="AM80" t="n">
        <x:f>CHOOSE('假设'!$B$3,AJ80,AK80,AL80)</x:f>
        <x:v>0</x:v>
      </x:c>
      <x:c r="AN80" t="n">
        <x:v>1</x:v>
      </x:c>
      <x:c r="AO80" s="42" t="n">
        <x:v>0.8</x:v>
      </x:c>
      <x:c r="AP80" s="42" t="n">
        <x:v>0.83</x:v>
      </x:c>
      <x:c r="AQ80" s="42" t="n">
        <x:v>0.83</x:v>
      </x:c>
      <x:c r="AR80" s="42" t="n">
        <x:v>0.9</x:v>
      </x:c>
      <x:c r="AS80" s="42" t="n">
        <x:v>1</x:v>
      </x:c>
      <x:c r="AT80" s="42" t="n">
        <x:v>1</x:v>
      </x:c>
      <x:c r="AU80" t="str">
        <x:v>USD</x:v>
      </x:c>
      <x:c r="AV80" t="str">
        <x:v>Ouro sold equity contingent consideration maximum70m, distinct contract</x:v>
      </x:c>
    </x:row>
    <x:row r="81" ht="23" customHeight="1">
      <x:c r="A81" s="11" t="str">
        <x:v>01093.HK</x:v>
      </x:c>
      <x:c r="B81" s="11" t="str">
        <x:v>2026年底</x:v>
      </x:c>
      <x:c r="C81" s="11" t="str">
        <x:v>AZ_OBESITY_EXCHINA</x:v>
      </x:c>
      <x:c r="D81" s="11" t="str">
        <x:v>2035-12-31</x:v>
      </x:c>
      <x:c r="E81" s="11" t="str">
        <x:v>USD</x:v>
      </x:c>
      <x:c r="F81" s="11" t="n">
        <x:v>8.999315537303216</x:v>
      </x:c>
      <x:c r="G81" s="26" t="b">
        <x:v>1</x:v>
      </x:c>
      <x:c r="H81" s="16" t="n">
        <x:v>1.9500000000000002</x:v>
      </x:c>
      <x:c r="I81" s="16" t="n">
        <x:v>9</x:v>
      </x:c>
      <x:c r="J81" s="16" t="n">
        <x:v>20</x:v>
      </x:c>
      <x:c r="K81" s="11" t="n">
        <x:f>CHOOSE('假设'!$B$3,H81,I81,J81)</x:f>
        <x:v>9</x:v>
      </x:c>
      <x:c r="L81" s="11" t="n">
        <x:f>K81*'管线假设'!E23*'管线假设'!F23*'管线假设'!G23*IF(E81="USD",'管线假设'!I23,1)-AM81</x:f>
        <x:v>0.9950849999999998</x:v>
      </x:c>
      <x:c r="M81" s="11" t="n">
        <x:f>'管线假设'!H23</x:f>
        <x:v>0.13</x:v>
      </x:c>
      <x:c r="N81" s="11" t="n">
        <x:f>IF(G81,L81*AN81/(1+M81)^F81,0)</x:f>
        <x:v>0.3312764156693457</x:v>
      </x:c>
      <x:c r="P81" t="str">
        <x:v>02162.HK</x:v>
      </x:c>
      <x:c r="Q81" t="str">
        <x:v>五年</x:v>
      </x:c>
      <x:c r="R81" t="str">
        <x:v>2031-12-31</x:v>
      </x:c>
      <x:c r="S81" t="n">
        <x:v>0.2272416153319644</x:v>
      </x:c>
      <x:c r="T81" s="27" t="b">
        <x:v>1</x:v>
      </x:c>
      <x:c r="U81" s="42" t="n">
        <x:v>0</x:v>
      </x:c>
      <x:c r="V81" s="42" t="n">
        <x:v>0.1</x:v>
      </x:c>
      <x:c r="W81" s="42" t="n">
        <x:v>0.2</x:v>
      </x:c>
      <x:c r="X81" s="42" t="n">
        <x:v>0</x:v>
      </x:c>
      <x:c r="Y81" s="42" t="n">
        <x:v>0.18</x:v>
      </x:c>
      <x:c r="Z81" s="42" t="n">
        <x:v>0.35</x:v>
      </x:c>
      <x:c r="AA81" t="n">
        <x:f>AB81/(1+'管线假设'!H983)^S81</x:f>
        <x:v>0.10395809689208477</x:v>
      </x:c>
      <x:c r="AB81" t="n">
        <x:f>IF(T81,CHOOSE('假设'!$B$3,U81,V81,W81)*CHOOSE('假设'!$B$3,X81,Y81,Z81)*CHOOSE('假设'!$B$3,AO81,AP81,AQ81)*CHOOSE('假设'!$B$3,AR81,AS81,AT81)*IF(AU81="USD",'管线假设'!I983,1),0)</x:f>
        <x:v>0.10709999999999999</x:v>
      </x:c>
      <x:c r="AJ81" t="n">
        <x:v>0</x:v>
      </x:c>
      <x:c r="AK81" t="n">
        <x:v>0</x:v>
      </x:c>
      <x:c r="AL81" t="n">
        <x:v>0</x:v>
      </x:c>
      <x:c r="AM81" t="n">
        <x:f>CHOOSE('假设'!$B$3,AJ81,AK81,AL81)</x:f>
        <x:v>0</x:v>
      </x:c>
      <x:c r="AN81" t="n">
        <x:v>1</x:v>
      </x:c>
      <x:c r="AO81" s="42" t="n">
        <x:v>0.8</x:v>
      </x:c>
      <x:c r="AP81" s="42" t="n">
        <x:v>0.85</x:v>
      </x:c>
      <x:c r="AQ81" s="42" t="n">
        <x:v>0.85</x:v>
      </x:c>
      <x:c r="AR81" s="42" t="n">
        <x:v>0.9</x:v>
      </x:c>
      <x:c r="AS81" s="42" t="n">
        <x:v>1</x:v>
      </x:c>
      <x:c r="AT81" s="42" t="n">
        <x:v>1</x:v>
      </x:c>
      <x:c r="AU81" t="str">
        <x:v>USD</x:v>
      </x:c>
      <x:c r="AV81" t="str">
        <x:v>CM336 legacy license future milestones, excludes already received equity-sale upfront</x:v>
      </x:c>
    </x:row>
    <x:row r="82" ht="23" customHeight="1">
      <x:c r="A82" s="11" t="str">
        <x:v>01093.HK</x:v>
      </x:c>
      <x:c r="B82" s="11" t="str">
        <x:v>2026年底</x:v>
      </x:c>
      <x:c r="C82" s="11" t="str">
        <x:v>AZ_OBESITY_EXCHINA</x:v>
      </x:c>
      <x:c r="D82" s="11" t="str">
        <x:v>2036-12-31</x:v>
      </x:c>
      <x:c r="E82" s="11" t="str">
        <x:v>USD</x:v>
      </x:c>
      <x:c r="F82" s="11" t="n">
        <x:v>10.001368925393566</x:v>
      </x:c>
      <x:c r="G82" s="26" t="b">
        <x:v>1</x:v>
      </x:c>
      <x:c r="H82" s="16" t="n">
        <x:v>2.55</x:v>
      </x:c>
      <x:c r="I82" s="16" t="n">
        <x:v>9</x:v>
      </x:c>
      <x:c r="J82" s="16" t="n">
        <x:v>19</x:v>
      </x:c>
      <x:c r="K82" s="11" t="n">
        <x:f>CHOOSE('假设'!$B$3,H82,I82,J82)</x:f>
        <x:v>9</x:v>
      </x:c>
      <x:c r="L82" s="11" t="n">
        <x:f>K82*'管线假设'!E23*'管线假设'!F23*'管线假设'!G23*IF(E82="USD",'管线假设'!I23,1)-AM82</x:f>
        <x:v>0.9950849999999998</x:v>
      </x:c>
      <x:c r="M82" s="11" t="n">
        <x:f>'管线假设'!H23</x:f>
        <x:v>0.13</x:v>
      </x:c>
      <x:c r="N82" s="11" t="n">
        <x:f>IF(G82,L82*AN82/(1+M82)^F82,0)</x:f>
        <x:v>0.2930914061014014</x:v>
      </x:c>
      <x:c r="P82" t="str">
        <x:v>688062.SH</x:v>
      </x:c>
      <x:c r="Q82" t="str">
        <x:v>2026年底</x:v>
      </x:c>
      <x:c r="R82" t="str">
        <x:v>2029-12-31</x:v>
      </x:c>
      <x:c r="S82" t="n">
        <x:v>3.0006844626967832</x:v>
      </x:c>
      <x:c r="T82" s="27" t="b">
        <x:v>1</x:v>
      </x:c>
      <x:c r="U82" s="42" t="n">
        <x:v>0.05</x:v>
      </x:c>
      <x:c r="V82" s="42" t="n">
        <x:v>1.08</x:v>
      </x:c>
      <x:c r="W82" s="42" t="n">
        <x:v>0.1</x:v>
      </x:c>
      <x:c r="X82" s="42" t="n">
        <x:v>1</x:v>
      </x:c>
      <x:c r="Y82" s="42" t="n">
        <x:v>1</x:v>
      </x:c>
      <x:c r="Z82" s="42" t="n">
        <x:v>1</x:v>
      </x:c>
      <x:c r="AA82" t="n">
        <x:f>AB82/(1+'管线假设'!H1027)^S82</x:f>
        <x:v>0.5831230908666828</x:v>
      </x:c>
      <x:c r="AB82" t="n">
        <x:f>IF(T82,CHOOSE('假设'!$B$3,U82,V82,W82)*CHOOSE('假设'!$B$3,X82,Y82,Z82)*CHOOSE('假设'!$B$3,AO82,AP82,AQ82)*CHOOSE('假设'!$B$3,AR82,AS82,AT82)*IF(AU82="USD",'管线假设'!I1027,1),0)</x:f>
        <x:v>0.8640000000000001</x:v>
      </x:c>
      <x:c r="AJ82" t="n">
        <x:v>0</x:v>
      </x:c>
      <x:c r="AK82" t="n">
        <x:v>0</x:v>
      </x:c>
      <x:c r="AL82" t="n">
        <x:v>0</x:v>
      </x:c>
      <x:c r="AM82" t="n">
        <x:f>CHOOSE('假设'!$B$3,AJ82,AK82,AL82)</x:f>
        <x:v>0</x:v>
      </x:c>
      <x:c r="AN82" t="n">
        <x:v>1</x:v>
      </x:c>
      <x:c r="AO82" s="42" t="n">
        <x:v>0.78</x:v>
      </x:c>
      <x:c r="AP82" s="42" t="n">
        <x:v>0.8</x:v>
      </x:c>
      <x:c r="AQ82" s="42" t="n">
        <x:v>0.8200000000000001</x:v>
      </x:c>
      <x:c r="AR82" s="42" t="n">
        <x:v>1</x:v>
      </x:c>
      <x:c r="AS82" s="42" t="n">
        <x:v>1</x:v>
      </x:c>
      <x:c r="AT82" s="42" t="n">
        <x:v>1</x:v>
      </x:c>
      <x:c r="AU82" t="str">
        <x:v>CNY</x:v>
      </x:c>
      <x:c r="AV82" t="str">
        <x:v>qilu</x:v>
      </x:c>
    </x:row>
    <x:row r="83" ht="23" customHeight="1">
      <x:c r="A83" s="11" t="str">
        <x:v>01093.HK</x:v>
      </x:c>
      <x:c r="B83" s="11" t="str">
        <x:v>2026年底</x:v>
      </x:c>
      <x:c r="C83" s="11" t="str">
        <x:v>AZ_OBESITY_EXCHINA</x:v>
      </x:c>
      <x:c r="D83" s="11" t="str">
        <x:v>2037-12-31</x:v>
      </x:c>
      <x:c r="E83" s="11" t="str">
        <x:v>USD</x:v>
      </x:c>
      <x:c r="F83" s="11" t="n">
        <x:v>11.000684462696784</x:v>
      </x:c>
      <x:c r="G83" s="26" t="b">
        <x:v>1</x:v>
      </x:c>
      <x:c r="H83" s="16" t="n">
        <x:v>3</x:v>
      </x:c>
      <x:c r="I83" s="16" t="n">
        <x:v>8.549999999999999</x:v>
      </x:c>
      <x:c r="J83" s="16" t="n">
        <x:v>17.6</x:v>
      </x:c>
      <x:c r="K83" s="11" t="n">
        <x:f>CHOOSE('假设'!$B$3,H83,I83,J83)</x:f>
        <x:v>8.549999999999999</x:v>
      </x:c>
      <x:c r="L83" s="11" t="n">
        <x:f>K83*'管线假设'!E23*'管线假设'!F23*'管线假设'!G23*IF(E83="USD",'管线假设'!I23,1)-AM83</x:f>
        <x:v>0.9453307499999997</x:v>
      </x:c>
      <x:c r="M83" s="11" t="n">
        <x:f>'管线假设'!H23</x:f>
        <x:v>0.13</x:v>
      </x:c>
      <x:c r="N83" s="11" t="n">
        <x:f>IF(G83,L83*AN83/(1+M83)^F83,0)</x:f>
        <x:v>0.24642489288629568</x:v>
      </x:c>
      <x:c r="P83" t="str">
        <x:v>688062.SH</x:v>
      </x:c>
      <x:c r="Q83" t="str">
        <x:v>2026年底</x:v>
      </x:c>
      <x:c r="R83" t="str">
        <x:v>2031-12-31</x:v>
      </x:c>
      <x:c r="S83" t="n">
        <x:v>4.999315537303217</x:v>
      </x:c>
      <x:c r="T83" s="27" t="b">
        <x:v>1</x:v>
      </x:c>
      <x:c r="U83" s="42" t="n">
        <x:v>0.025</x:v>
      </x:c>
      <x:c r="V83" s="42" t="n">
        <x:v>0.08</x:v>
      </x:c>
      <x:c r="W83" s="42" t="n">
        <x:v>0.18</x:v>
      </x:c>
      <x:c r="X83" s="42" t="n">
        <x:v>1</x:v>
      </x:c>
      <x:c r="Y83" s="42" t="n">
        <x:v>1</x:v>
      </x:c>
      <x:c r="Z83" s="42" t="n">
        <x:v>1</x:v>
      </x:c>
      <x:c r="AA83" t="n">
        <x:f>AB83/(1+'管线假设'!H1027)^S83</x:f>
        <x:v>0.22604951483549524</x:v>
      </x:c>
      <x:c r="AB83" t="n">
        <x:f>IF(T83,CHOOSE('假设'!$B$3,U83,V83,W83)*CHOOSE('假设'!$B$3,X83,Y83,Z83)*CHOOSE('假设'!$B$3,AO83,AP83,AQ83)*CHOOSE('假设'!$B$3,AR83,AS83,AT83)*IF(AU83="USD",'管线假设'!I1027,1),0)</x:f>
        <x:v>0.4352</x:v>
      </x:c>
      <x:c r="AJ83" t="n">
        <x:v>0</x:v>
      </x:c>
      <x:c r="AK83" t="n">
        <x:v>0</x:v>
      </x:c>
      <x:c r="AL83" t="n">
        <x:v>0</x:v>
      </x:c>
      <x:c r="AM83" t="n">
        <x:f>CHOOSE('假设'!$B$3,AJ83,AK83,AL83)</x:f>
        <x:v>0</x:v>
      </x:c>
      <x:c r="AN83" t="n">
        <x:v>1</x:v>
      </x:c>
      <x:c r="AO83" s="42" t="n">
        <x:v>0.78</x:v>
      </x:c>
      <x:c r="AP83" s="42" t="n">
        <x:v>0.8</x:v>
      </x:c>
      <x:c r="AQ83" s="42" t="n">
        <x:v>0.8200000000000001</x:v>
      </x:c>
      <x:c r="AR83" s="42" t="n">
        <x:v>1</x:v>
      </x:c>
      <x:c r="AS83" s="42" t="n">
        <x:v>1</x:v>
      </x:c>
      <x:c r="AT83" s="42" t="n">
        <x:v>1</x:v>
      </x:c>
      <x:c r="AU83" t="str">
        <x:v>USD</x:v>
      </x:c>
      <x:c r="AV83" t="str">
        <x:v>disc</x:v>
      </x:c>
    </x:row>
    <x:row r="84" ht="23" customHeight="1">
      <x:c r="A84" s="11" t="str">
        <x:v>01093.HK</x:v>
      </x:c>
      <x:c r="B84" s="11" t="str">
        <x:v>2026年底</x:v>
      </x:c>
      <x:c r="C84" s="11" t="str">
        <x:v>AZ_OBESITY_EXCHINA</x:v>
      </x:c>
      <x:c r="D84" s="11" t="str">
        <x:v>2038-12-31</x:v>
      </x:c>
      <x:c r="E84" s="11" t="str">
        <x:v>USD</x:v>
      </x:c>
      <x:c r="F84" s="11" t="n">
        <x:v>12</x:v>
      </x:c>
      <x:c r="G84" s="26" t="b">
        <x:v>1</x:v>
      </x:c>
      <x:c r="H84" s="16" t="n">
        <x:v>3</x:v>
      </x:c>
      <x:c r="I84" s="16" t="n">
        <x:v>7.92</x:v>
      </x:c>
      <x:c r="J84" s="16" t="n">
        <x:v>15</x:v>
      </x:c>
      <x:c r="K84" s="11" t="n">
        <x:f>CHOOSE('假设'!$B$3,H84,I84,J84)</x:f>
        <x:v>7.92</x:v>
      </x:c>
      <x:c r="L84" s="11" t="n">
        <x:f>K84*'管线假设'!E23*'管线假设'!F23*'管线假设'!G23*IF(E84="USD",'管线假设'!I23,1)-AM84</x:f>
        <x:v>0.8756748</x:v>
      </x:c>
      <x:c r="M84" s="11" t="n">
        <x:f>'管线假设'!H23</x:f>
        <x:v>0.13</x:v>
      </x:c>
      <x:c r="N84" s="11" t="n">
        <x:f>IF(G84,L84*AN84/(1+M84)^F84,0)</x:f>
        <x:v>0.20202333215418228</x:v>
      </x:c>
      <x:c r="P84" t="str">
        <x:v>688062.SH</x:v>
      </x:c>
      <x:c r="Q84" t="str">
        <x:v>2026年底</x:v>
      </x:c>
      <x:c r="R84" t="str">
        <x:v>2034-12-31</x:v>
      </x:c>
      <x:c r="S84" t="n">
        <x:v>8</x:v>
      </x:c>
      <x:c r="T84" s="27" t="b">
        <x:v>1</x:v>
      </x:c>
      <x:c r="U84" s="42" t="n">
        <x:v>0.01</x:v>
      </x:c>
      <x:c r="V84" s="42" t="n">
        <x:v>0.07</x:v>
      </x:c>
      <x:c r="W84" s="42" t="n">
        <x:v>0.18</x:v>
      </x:c>
      <x:c r="X84" s="42" t="n">
        <x:v>1</x:v>
      </x:c>
      <x:c r="Y84" s="42" t="n">
        <x:v>1</x:v>
      </x:c>
      <x:c r="Z84" s="42" t="n">
        <x:v>1</x:v>
      </x:c>
      <x:c r="AA84" t="n">
        <x:f>AB84/(1+'管线假设'!H1027)^S84</x:f>
        <x:v>0.1334928880871696</x:v>
      </x:c>
      <x:c r="AB84" t="n">
        <x:f>IF(T84,CHOOSE('假设'!$B$3,U84,V84,W84)*CHOOSE('假设'!$B$3,X84,Y84,Z84)*CHOOSE('假设'!$B$3,AO84,AP84,AQ84)*CHOOSE('假设'!$B$3,AR84,AS84,AT84)*IF(AU84="USD",'管线假设'!I1027,1),0)</x:f>
        <x:v>0.3808</x:v>
      </x:c>
      <x:c r="AJ84" t="n">
        <x:v>0</x:v>
      </x:c>
      <x:c r="AK84" t="n">
        <x:v>0</x:v>
      </x:c>
      <x:c r="AL84" t="n">
        <x:v>0</x:v>
      </x:c>
      <x:c r="AM84" t="n">
        <x:f>CHOOSE('假设'!$B$3,AJ84,AK84,AL84)</x:f>
        <x:v>0</x:v>
      </x:c>
      <x:c r="AN84" t="n">
        <x:v>1</x:v>
      </x:c>
      <x:c r="AO84" s="42" t="n">
        <x:v>0.78</x:v>
      </x:c>
      <x:c r="AP84" s="42" t="n">
        <x:v>0.8</x:v>
      </x:c>
      <x:c r="AQ84" s="42" t="n">
        <x:v>0.8200000000000001</x:v>
      </x:c>
      <x:c r="AR84" s="42" t="n">
        <x:v>1</x:v>
      </x:c>
      <x:c r="AS84" s="42" t="n">
        <x:v>1</x:v>
      </x:c>
      <x:c r="AT84" s="42" t="n">
        <x:v>1</x:v>
      </x:c>
      <x:c r="AU84" t="str">
        <x:v>USD</x:v>
      </x:c>
      <x:c r="AV84" t="str">
        <x:v>calico</x:v>
      </x:c>
    </x:row>
    <x:row r="85" ht="23" customHeight="1">
      <x:c r="A85" s="11" t="str">
        <x:v>01093.HK</x:v>
      </x:c>
      <x:c r="B85" s="11" t="str">
        <x:v>2026年底</x:v>
      </x:c>
      <x:c r="C85" s="11" t="str">
        <x:v>AZ_OBESITY_EXCHINA</x:v>
      </x:c>
      <x:c r="D85" s="11" t="str">
        <x:v>2039-12-31</x:v>
      </x:c>
      <x:c r="E85" s="11" t="str">
        <x:v>USD</x:v>
      </x:c>
      <x:c r="F85" s="11" t="n">
        <x:v>12.999315537303216</x:v>
      </x:c>
      <x:c r="G85" s="26" t="b">
        <x:v>1</x:v>
      </x:c>
      <x:c r="H85" s="16" t="n">
        <x:v>2.8499999999999996</x:v>
      </x:c>
      <x:c r="I85" s="16" t="n">
        <x:v>6.75</x:v>
      </x:c>
      <x:c r="J85" s="16" t="n">
        <x:v>12</x:v>
      </x:c>
      <x:c r="K85" s="11" t="n">
        <x:f>CHOOSE('假设'!$B$3,H85,I85,J85)</x:f>
        <x:v>6.75</x:v>
      </x:c>
      <x:c r="L85" s="11" t="n">
        <x:f>K85*'管线假设'!E23*'管线假设'!F23*'管线假设'!G23*IF(E85="USD",'管线假设'!I23,1)-AM85</x:f>
        <x:v>0.7463137499999999</x:v>
      </x:c>
      <x:c r="M85" s="11" t="n">
        <x:f>'管线假设'!H23</x:f>
        <x:v>0.13</x:v>
      </x:c>
      <x:c r="N85" s="11" t="n">
        <x:f>IF(G85,L85*AN85/(1+M85)^F85,0)</x:f>
        <x:v>0.1523835223263806</x:v>
      </x:c>
      <x:c r="P85" t="str">
        <x:v>688062.SH</x:v>
      </x:c>
      <x:c r="Q85" t="str">
        <x:v>2026年底</x:v>
      </x:c>
      <x:c r="R85" t="str">
        <x:v>2035-12-31</x:v>
      </x:c>
      <x:c r="S85" t="n">
        <x:v>8.999315537303216</x:v>
      </x:c>
      <x:c r="T85" s="27" t="b">
        <x:v>1</x:v>
      </x:c>
      <x:c r="U85" s="42" t="n">
        <x:v>0.005</x:v>
      </x:c>
      <x:c r="V85" s="42" t="n">
        <x:v>0.04</x:v>
      </x:c>
      <x:c r="W85" s="42" t="n">
        <x:v>0.14</x:v>
      </x:c>
      <x:c r="X85" s="42" t="n">
        <x:v>1</x:v>
      </x:c>
      <x:c r="Y85" s="42" t="n">
        <x:v>1</x:v>
      </x:c>
      <x:c r="Z85" s="42" t="n">
        <x:v>1</x:v>
      </x:c>
      <x:c r="AA85" t="n">
        <x:f>AB85/(1+'管线假设'!H1027)^S85</x:f>
        <x:v>0.0669197297215984</x:v>
      </x:c>
      <x:c r="AB85" t="n">
        <x:f>IF(T85,CHOOSE('假设'!$B$3,U85,V85,W85)*CHOOSE('假设'!$B$3,X85,Y85,Z85)*CHOOSE('假设'!$B$3,AO85,AP85,AQ85)*CHOOSE('假设'!$B$3,AR85,AS85,AT85)*IF(AU85="USD",'管线假设'!I1027,1),0)</x:f>
        <x:v>0.2176</x:v>
      </x:c>
      <x:c r="AJ85" t="n">
        <x:v>0</x:v>
      </x:c>
      <x:c r="AK85" t="n">
        <x:v>0</x:v>
      </x:c>
      <x:c r="AL85" t="n">
        <x:v>0</x:v>
      </x:c>
      <x:c r="AM85" t="n">
        <x:f>CHOOSE('假设'!$B$3,AJ85,AK85,AL85)</x:f>
        <x:v>0</x:v>
      </x:c>
      <x:c r="AN85" t="n">
        <x:v>1</x:v>
      </x:c>
      <x:c r="AO85" s="42" t="n">
        <x:v>0.78</x:v>
      </x:c>
      <x:c r="AP85" s="42" t="n">
        <x:v>0.8</x:v>
      </x:c>
      <x:c r="AQ85" s="42" t="n">
        <x:v>0.8200000000000001</x:v>
      </x:c>
      <x:c r="AR85" s="42" t="n">
        <x:v>1</x:v>
      </x:c>
      <x:c r="AS85" s="42" t="n">
        <x:v>1</x:v>
      </x:c>
      <x:c r="AT85" s="42" t="n">
        <x:v>1</x:v>
      </x:c>
      <x:c r="AU85" t="str">
        <x:v>USD</x:v>
      </x:c>
      <x:c r="AV85" t="str">
        <x:v>kalexo</x:v>
      </x:c>
    </x:row>
    <x:row r="86" ht="23" customHeight="1">
      <x:c r="A86" s="11" t="str">
        <x:v>01093.HK</x:v>
      </x:c>
      <x:c r="B86" s="11" t="str">
        <x:v>2026年底</x:v>
      </x:c>
      <x:c r="C86" s="11" t="str">
        <x:v>AZ_OBESITY_EXCHINA</x:v>
      </x:c>
      <x:c r="D86" s="11" t="str">
        <x:v>2040-12-31</x:v>
      </x:c>
      <x:c r="E86" s="11" t="str">
        <x:v>USD</x:v>
      </x:c>
      <x:c r="F86" s="11" t="n">
        <x:v>14.001368925393566</x:v>
      </x:c>
      <x:c r="G86" s="26" t="b">
        <x:v>1</x:v>
      </x:c>
      <x:c r="H86" s="16" t="n">
        <x:v>2.64</x:v>
      </x:c>
      <x:c r="I86" s="16" t="n">
        <x:v>5.3999999999999995</x:v>
      </x:c>
      <x:c r="J86" s="16" t="n">
        <x:v>9</x:v>
      </x:c>
      <x:c r="K86" s="11" t="n">
        <x:f>CHOOSE('假设'!$B$3,H86,I86,J86)</x:f>
        <x:v>5.3999999999999995</x:v>
      </x:c>
      <x:c r="L86" s="11" t="n">
        <x:f>K86*'管线假设'!E23*'管线假设'!F23*'管线假设'!G23*IF(E86="USD",'管线假设'!I23,1)-AM86</x:f>
        <x:v>0.597051</x:v>
      </x:c>
      <x:c r="M86" s="11" t="n">
        <x:f>'管线假设'!H23</x:f>
        <x:v>0.13</x:v>
      </x:c>
      <x:c r="N86" s="11" t="n">
        <x:f>IF(G86,L86*AN86/(1+M86)^F86,0)</x:f>
        <x:v>0.10785506897032264</x:v>
      </x:c>
      <x:c r="P86" t="str">
        <x:v>688062.SH</x:v>
      </x:c>
      <x:c r="Q86" t="str">
        <x:v>半年</x:v>
      </x:c>
      <x:c r="R86" t="str">
        <x:v>2029-12-31</x:v>
      </x:c>
      <x:c r="S86" t="n">
        <x:v>2.729637234770705</x:v>
      </x:c>
      <x:c r="T86" s="27" t="b">
        <x:v>1</x:v>
      </x:c>
      <x:c r="U86" s="42" t="n">
        <x:v>0.05</x:v>
      </x:c>
      <x:c r="V86" s="42" t="n">
        <x:v>0.08</x:v>
      </x:c>
      <x:c r="W86" s="42" t="n">
        <x:v>0.1</x:v>
      </x:c>
      <x:c r="X86" s="42" t="n">
        <x:v>1</x:v>
      </x:c>
      <x:c r="Y86" s="42" t="n">
        <x:v>1</x:v>
      </x:c>
      <x:c r="Z86" s="42" t="n">
        <x:v>1</x:v>
      </x:c>
      <x:c r="AA86" t="n">
        <x:f>AB86/(1+'管线假设'!H1091)^S86</x:f>
        <x:v>0.04475590805078875</x:v>
      </x:c>
      <x:c r="AB86" t="n">
        <x:f>IF(T86,CHOOSE('假设'!$B$3,U86,V86,W86)*CHOOSE('假设'!$B$3,X86,Y86,Z86)*CHOOSE('假设'!$B$3,AO86,AP86,AQ86)*CHOOSE('假设'!$B$3,AR86,AS86,AT86)*IF(AU86="USD",'管线假设'!I1091,1),0)</x:f>
        <x:v>0.064</x:v>
      </x:c>
      <x:c r="AJ86" t="n">
        <x:v>0</x:v>
      </x:c>
      <x:c r="AK86" t="n">
        <x:v>0</x:v>
      </x:c>
      <x:c r="AL86" t="n">
        <x:v>0</x:v>
      </x:c>
      <x:c r="AM86" t="n">
        <x:f>CHOOSE('假设'!$B$3,AJ86,AK86,AL86)</x:f>
        <x:v>0</x:v>
      </x:c>
      <x:c r="AN86" t="n">
        <x:v>1</x:v>
      </x:c>
      <x:c r="AO86" s="42" t="n">
        <x:v>0.78</x:v>
      </x:c>
      <x:c r="AP86" s="42" t="n">
        <x:v>0.8</x:v>
      </x:c>
      <x:c r="AQ86" s="42" t="n">
        <x:v>0.8200000000000001</x:v>
      </x:c>
      <x:c r="AR86" s="42" t="n">
        <x:v>1</x:v>
      </x:c>
      <x:c r="AS86" s="42" t="n">
        <x:v>1</x:v>
      </x:c>
      <x:c r="AT86" s="42" t="n">
        <x:v>1</x:v>
      </x:c>
      <x:c r="AU86" t="str">
        <x:v>CNY</x:v>
      </x:c>
      <x:c r="AV86" t="str">
        <x:v>qilu</x:v>
      </x:c>
    </x:row>
    <x:row r="87" ht="23" customHeight="1">
      <x:c r="A87" s="11" t="str">
        <x:v>01093.HK</x:v>
      </x:c>
      <x:c r="B87" s="11" t="str">
        <x:v>2026年底</x:v>
      </x:c>
      <x:c r="C87" s="11" t="str">
        <x:v>AZ_OBESITY_EXCHINA</x:v>
      </x:c>
      <x:c r="D87" s="11" t="str">
        <x:v>2041-12-31</x:v>
      </x:c>
      <x:c r="E87" s="11" t="str">
        <x:v>USD</x:v>
      </x:c>
      <x:c r="F87" s="11" t="n">
        <x:v>15.000684462696784</x:v>
      </x:c>
      <x:c r="G87" s="26" t="b">
        <x:v>1</x:v>
      </x:c>
      <x:c r="H87" s="16" t="n">
        <x:v>2.25</x:v>
      </x:c>
      <x:c r="I87" s="16" t="n">
        <x:v>4.05</x:v>
      </x:c>
      <x:c r="J87" s="16" t="n">
        <x:v>6</x:v>
      </x:c>
      <x:c r="K87" s="11" t="n">
        <x:f>CHOOSE('假设'!$B$3,H87,I87,J87)</x:f>
        <x:v>4.05</x:v>
      </x:c>
      <x:c r="L87" s="11" t="n">
        <x:f>K87*'管线假设'!E23*'管线假设'!F23*'管线假设'!G23*IF(E87="USD",'管线假设'!I23,1)-AM87</x:f>
        <x:v>0.44778824999999994</x:v>
      </x:c>
      <x:c r="M87" s="11" t="n">
        <x:f>'管线假设'!H23</x:f>
        <x:v>0.13</x:v>
      </x:c>
      <x:c r="N87" s="11" t="n">
        <x:f>IF(G87,L87*AN87/(1+M87)^F87,0)</x:f>
        <x:v>0.07159121136641823</x:v>
      </x:c>
      <x:c r="P87" t="str">
        <x:v>688062.SH</x:v>
      </x:c>
      <x:c r="Q87" t="str">
        <x:v>半年</x:v>
      </x:c>
      <x:c r="R87" t="str">
        <x:v>2031-12-31</x:v>
      </x:c>
      <x:c r="S87" t="n">
        <x:v>4.728268309377139</x:v>
      </x:c>
      <x:c r="T87" s="27" t="b">
        <x:v>1</x:v>
      </x:c>
      <x:c r="U87" s="42" t="n">
        <x:v>0.025</x:v>
      </x:c>
      <x:c r="V87" s="42" t="n">
        <x:v>0.08</x:v>
      </x:c>
      <x:c r="W87" s="42" t="n">
        <x:v>0.18</x:v>
      </x:c>
      <x:c r="X87" s="42" t="n">
        <x:v>1</x:v>
      </x:c>
      <x:c r="Y87" s="42" t="n">
        <x:v>1</x:v>
      </x:c>
      <x:c r="Z87" s="42" t="n">
        <x:v>1</x:v>
      </x:c>
      <x:c r="AA87" t="n">
        <x:f>AB87/(1+'管线假设'!H1091)^S87</x:f>
        <x:v>0.23422189020021858</x:v>
      </x:c>
      <x:c r="AB87" t="n">
        <x:f>IF(T87,CHOOSE('假设'!$B$3,U87,V87,W87)*CHOOSE('假设'!$B$3,X87,Y87,Z87)*CHOOSE('假设'!$B$3,AO87,AP87,AQ87)*CHOOSE('假设'!$B$3,AR87,AS87,AT87)*IF(AU87="USD",'管线假设'!I1091,1),0)</x:f>
        <x:v>0.4352</x:v>
      </x:c>
      <x:c r="AJ87" t="n">
        <x:v>0</x:v>
      </x:c>
      <x:c r="AK87" t="n">
        <x:v>0</x:v>
      </x:c>
      <x:c r="AL87" t="n">
        <x:v>0</x:v>
      </x:c>
      <x:c r="AM87" t="n">
        <x:f>CHOOSE('假设'!$B$3,AJ87,AK87,AL87)</x:f>
        <x:v>0</x:v>
      </x:c>
      <x:c r="AN87" t="n">
        <x:v>1</x:v>
      </x:c>
      <x:c r="AO87" s="42" t="n">
        <x:v>0.78</x:v>
      </x:c>
      <x:c r="AP87" s="42" t="n">
        <x:v>0.8</x:v>
      </x:c>
      <x:c r="AQ87" s="42" t="n">
        <x:v>0.8200000000000001</x:v>
      </x:c>
      <x:c r="AR87" s="42" t="n">
        <x:v>1</x:v>
      </x:c>
      <x:c r="AS87" s="42" t="n">
        <x:v>1</x:v>
      </x:c>
      <x:c r="AT87" s="42" t="n">
        <x:v>1</x:v>
      </x:c>
      <x:c r="AU87" t="str">
        <x:v>USD</x:v>
      </x:c>
      <x:c r="AV87" t="str">
        <x:v>disc</x:v>
      </x:c>
    </x:row>
    <x:row r="88" ht="23" customHeight="1">
      <x:c r="A88" s="11" t="str">
        <x:v>01093.HK</x:v>
      </x:c>
      <x:c r="B88" s="11" t="str">
        <x:v>2026年底</x:v>
      </x:c>
      <x:c r="C88" s="11" t="str">
        <x:v>AZ_OBESITY_EXCHINA</x:v>
      </x:c>
      <x:c r="D88" s="11" t="str">
        <x:v>2042-12-31</x:v>
      </x:c>
      <x:c r="E88" s="11" t="str">
        <x:v>USD</x:v>
      </x:c>
      <x:c r="F88" s="11" t="n">
        <x:v>16</x:v>
      </x:c>
      <x:c r="G88" s="26" t="b">
        <x:v>1</x:v>
      </x:c>
      <x:c r="H88" s="16" t="n">
        <x:v>1.7999999999999998</x:v>
      </x:c>
      <x:c r="I88" s="16" t="n">
        <x:v>2.6999999999999997</x:v>
      </x:c>
      <x:c r="J88" s="16" t="n">
        <x:v>3.5999999999999996</x:v>
      </x:c>
      <x:c r="K88" s="11" t="n">
        <x:f>CHOOSE('假设'!$B$3,H88,I88,J88)</x:f>
        <x:v>2.6999999999999997</x:v>
      </x:c>
      <x:c r="L88" s="11" t="n">
        <x:f>K88*'管线假设'!E23*'管线假设'!F23*'管线假设'!G23*IF(E88="USD",'管线假设'!I23,1)-AM88</x:f>
        <x:v>0.2985255</x:v>
      </x:c>
      <x:c r="M88" s="11" t="n">
        <x:f>'管线假设'!H23</x:f>
        <x:v>0.13</x:v>
      </x:c>
      <x:c r="N88" s="11" t="n">
        <x:f>IF(G88,L88*AN88/(1+M88)^F88,0)</x:f>
        <x:v>0.04224023626307427</x:v>
      </x:c>
      <x:c r="P88" t="str">
        <x:v>688062.SH</x:v>
      </x:c>
      <x:c r="Q88" t="str">
        <x:v>半年</x:v>
      </x:c>
      <x:c r="R88" t="str">
        <x:v>2034-12-31</x:v>
      </x:c>
      <x:c r="S88" t="n">
        <x:v>7.728952772073922</x:v>
      </x:c>
      <x:c r="T88" s="27" t="b">
        <x:v>1</x:v>
      </x:c>
      <x:c r="U88" s="42" t="n">
        <x:v>0.01</x:v>
      </x:c>
      <x:c r="V88" s="42" t="n">
        <x:v>0.07</x:v>
      </x:c>
      <x:c r="W88" s="42" t="n">
        <x:v>0.18</x:v>
      </x:c>
      <x:c r="X88" s="42" t="n">
        <x:v>1</x:v>
      </x:c>
      <x:c r="Y88" s="42" t="n">
        <x:v>1</x:v>
      </x:c>
      <x:c r="Z88" s="42" t="n">
        <x:v>1</x:v>
      </x:c>
      <x:c r="AA88" t="n">
        <x:f>AB88/(1+'管线假设'!H1091)^S88</x:f>
        <x:v>0.13831906075453093</x:v>
      </x:c>
      <x:c r="AB88" t="n">
        <x:f>IF(T88,CHOOSE('假设'!$B$3,U88,V88,W88)*CHOOSE('假设'!$B$3,X88,Y88,Z88)*CHOOSE('假设'!$B$3,AO88,AP88,AQ88)*CHOOSE('假设'!$B$3,AR88,AS88,AT88)*IF(AU88="USD",'管线假设'!I1091,1),0)</x:f>
        <x:v>0.3808</x:v>
      </x:c>
      <x:c r="AJ88" t="n">
        <x:v>0</x:v>
      </x:c>
      <x:c r="AK88" t="n">
        <x:v>0</x:v>
      </x:c>
      <x:c r="AL88" t="n">
        <x:v>0</x:v>
      </x:c>
      <x:c r="AM88" t="n">
        <x:f>CHOOSE('假设'!$B$3,AJ88,AK88,AL88)</x:f>
        <x:v>0</x:v>
      </x:c>
      <x:c r="AN88" t="n">
        <x:v>1</x:v>
      </x:c>
      <x:c r="AO88" s="42" t="n">
        <x:v>0.78</x:v>
      </x:c>
      <x:c r="AP88" s="42" t="n">
        <x:v>0.8</x:v>
      </x:c>
      <x:c r="AQ88" s="42" t="n">
        <x:v>0.8200000000000001</x:v>
      </x:c>
      <x:c r="AR88" s="42" t="n">
        <x:v>1</x:v>
      </x:c>
      <x:c r="AS88" s="42" t="n">
        <x:v>1</x:v>
      </x:c>
      <x:c r="AT88" s="42" t="n">
        <x:v>1</x:v>
      </x:c>
      <x:c r="AU88" t="str">
        <x:v>USD</x:v>
      </x:c>
      <x:c r="AV88" t="str">
        <x:v>calico</x:v>
      </x:c>
    </x:row>
    <x:row r="89" ht="23" customHeight="1">
      <x:c r="A89" s="11" t="str">
        <x:v>01093.HK</x:v>
      </x:c>
      <x:c r="B89" s="11" t="str">
        <x:v>2026年底</x:v>
      </x:c>
      <x:c r="C89" s="11" t="str">
        <x:v>AZ_OBESITY_EXCHINA</x:v>
      </x:c>
      <x:c r="D89" s="11" t="str">
        <x:v>2043-12-31</x:v>
      </x:c>
      <x:c r="E89" s="11" t="str">
        <x:v>USD</x:v>
      </x:c>
      <x:c r="F89" s="11" t="n">
        <x:v>16.999315537303218</x:v>
      </x:c>
      <x:c r="G89" s="26" t="b">
        <x:v>1</x:v>
      </x:c>
      <x:c r="H89" s="16" t="n">
        <x:v>1.35</x:v>
      </x:c>
      <x:c r="I89" s="16" t="n">
        <x:v>1.6199999999999999</x:v>
      </x:c>
      <x:c r="J89" s="16" t="n">
        <x:v>2</x:v>
      </x:c>
      <x:c r="K89" s="11" t="n">
        <x:f>CHOOSE('假设'!$B$3,H89,I89,J89)</x:f>
        <x:v>1.6199999999999999</x:v>
      </x:c>
      <x:c r="L89" s="11" t="n">
        <x:f>K89*'管线假设'!E23*'管线假设'!F23*'管线假设'!G23*IF(E89="USD",'管线假设'!I23,1)-AM89</x:f>
        <x:v>0.17911529999999998</x:v>
      </x:c>
      <x:c r="M89" s="11" t="n">
        <x:f>'管线假设'!H23</x:f>
        <x:v>0.13</x:v>
      </x:c>
      <x:c r="N89" s="11" t="n">
        <x:f>IF(G89,L89*AN89/(1+M89)^F89,0)</x:f>
        <x:v>0.022430320327804235</x:v>
      </x:c>
      <x:c r="P89" t="str">
        <x:v>688062.SH</x:v>
      </x:c>
      <x:c r="Q89" t="str">
        <x:v>半年</x:v>
      </x:c>
      <x:c r="R89" t="str">
        <x:v>2035-12-31</x:v>
      </x:c>
      <x:c r="S89" t="n">
        <x:v>8.728268309377139</x:v>
      </x:c>
      <x:c r="T89" s="27" t="b">
        <x:v>1</x:v>
      </x:c>
      <x:c r="U89" s="42" t="n">
        <x:v>0.005</x:v>
      </x:c>
      <x:c r="V89" s="42" t="n">
        <x:v>0.04</x:v>
      </x:c>
      <x:c r="W89" s="42" t="n">
        <x:v>0.14</x:v>
      </x:c>
      <x:c r="X89" s="42" t="n">
        <x:v>1</x:v>
      </x:c>
      <x:c r="Y89" s="42" t="n">
        <x:v>1</x:v>
      </x:c>
      <x:c r="Z89" s="42" t="n">
        <x:v>1</x:v>
      </x:c>
      <x:c r="AA89" t="n">
        <x:f>AB89/(1+'管线假设'!H1091)^S89</x:f>
        <x:v>0.06933908085795774</x:v>
      </x:c>
      <x:c r="AB89" t="n">
        <x:f>IF(T89,CHOOSE('假设'!$B$3,U89,V89,W89)*CHOOSE('假设'!$B$3,X89,Y89,Z89)*CHOOSE('假设'!$B$3,AO89,AP89,AQ89)*CHOOSE('假设'!$B$3,AR89,AS89,AT89)*IF(AU89="USD",'管线假设'!I1091,1),0)</x:f>
        <x:v>0.2176</x:v>
      </x:c>
      <x:c r="AJ89" t="n">
        <x:v>0</x:v>
      </x:c>
      <x:c r="AK89" t="n">
        <x:v>0</x:v>
      </x:c>
      <x:c r="AL89" t="n">
        <x:v>0</x:v>
      </x:c>
      <x:c r="AM89" t="n">
        <x:f>CHOOSE('假设'!$B$3,AJ89,AK89,AL89)</x:f>
        <x:v>0</x:v>
      </x:c>
      <x:c r="AN89" t="n">
        <x:v>1</x:v>
      </x:c>
      <x:c r="AO89" s="42" t="n">
        <x:v>0.78</x:v>
      </x:c>
      <x:c r="AP89" s="42" t="n">
        <x:v>0.8</x:v>
      </x:c>
      <x:c r="AQ89" s="42" t="n">
        <x:v>0.8200000000000001</x:v>
      </x:c>
      <x:c r="AR89" s="42" t="n">
        <x:v>1</x:v>
      </x:c>
      <x:c r="AS89" s="42" t="n">
        <x:v>1</x:v>
      </x:c>
      <x:c r="AT89" s="42" t="n">
        <x:v>1</x:v>
      </x:c>
      <x:c r="AU89" t="str">
        <x:v>USD</x:v>
      </x:c>
      <x:c r="AV89" t="str">
        <x:v>kalexo</x:v>
      </x:c>
    </x:row>
    <x:row r="90" ht="23" customHeight="1">
      <x:c r="A90" s="11" t="str">
        <x:v>01093.HK</x:v>
      </x:c>
      <x:c r="B90" s="11" t="str">
        <x:v>2026年底</x:v>
      </x:c>
      <x:c r="C90" s="11" t="str">
        <x:v>OTHER_OVERSEAS</x:v>
      </x:c>
      <x:c r="D90" s="11" t="str">
        <x:v>2030-12-31</x:v>
      </x:c>
      <x:c r="E90" s="11" t="str">
        <x:v>USD</x:v>
      </x:c>
      <x:c r="F90" s="11" t="n">
        <x:v>4</x:v>
      </x:c>
      <x:c r="G90" s="26" t="b">
        <x:v>1</x:v>
      </x:c>
      <x:c r="H90" s="16" t="n">
        <x:v>0</x:v>
      </x:c>
      <x:c r="I90" s="16" t="n">
        <x:v>0</x:v>
      </x:c>
      <x:c r="J90" s="16" t="n">
        <x:v>0.72</x:v>
      </x:c>
      <x:c r="K90" s="11" t="n">
        <x:f>CHOOSE('假设'!$B$3,H90,I90,J90)</x:f>
        <x:v>0</x:v>
      </x:c>
      <x:c r="L90" s="11" t="n">
        <x:f>K90*'管线假设'!E27*'管线假设'!F27*'管线假设'!G27*IF(E90="USD",'管线假设'!I27,1)-AM90</x:f>
        <x:v>0</x:v>
      </x:c>
      <x:c r="M90" s="11" t="n">
        <x:f>'管线假设'!H27</x:f>
        <x:v>0.13</x:v>
      </x:c>
      <x:c r="N90" s="11" t="n">
        <x:f>IF(G90,L90*AN90/(1+M90)^F90,0)</x:f>
        <x:v>0</x:v>
      </x:c>
      <x:c r="P90" t="str">
        <x:v>688062.SH</x:v>
      </x:c>
      <x:c r="Q90" t="str">
        <x:v>一年</x:v>
      </x:c>
      <x:c r="R90" t="str">
        <x:v>2029-12-31</x:v>
      </x:c>
      <x:c r="S90" t="n">
        <x:v>2.2286105407255303</x:v>
      </x:c>
      <x:c r="T90" s="27" t="b">
        <x:v>1</x:v>
      </x:c>
      <x:c r="U90" s="42" t="n">
        <x:v>0.05</x:v>
      </x:c>
      <x:c r="V90" s="42" t="n">
        <x:v>0.08</x:v>
      </x:c>
      <x:c r="W90" s="42" t="n">
        <x:v>0.1</x:v>
      </x:c>
      <x:c r="X90" s="42" t="n">
        <x:v>1</x:v>
      </x:c>
      <x:c r="Y90" s="42" t="n">
        <x:v>1</x:v>
      </x:c>
      <x:c r="Z90" s="42" t="n">
        <x:v>1</x:v>
      </x:c>
      <x:c r="AA90" t="n">
        <x:f>AB90/(1+'管线假设'!H1155)^S90</x:f>
        <x:v>0.04779266217010981</x:v>
      </x:c>
      <x:c r="AB90" t="n">
        <x:f>IF(T90,CHOOSE('假设'!$B$3,U90,V90,W90)*CHOOSE('假设'!$B$3,X90,Y90,Z90)*CHOOSE('假设'!$B$3,AO90,AP90,AQ90)*CHOOSE('假设'!$B$3,AR90,AS90,AT90)*IF(AU90="USD",'管线假设'!I1155,1),0)</x:f>
        <x:v>0.064</x:v>
      </x:c>
      <x:c r="AJ90" t="n">
        <x:v>0</x:v>
      </x:c>
      <x:c r="AK90" t="n">
        <x:v>0</x:v>
      </x:c>
      <x:c r="AL90" t="n">
        <x:v>0</x:v>
      </x:c>
      <x:c r="AM90" t="n">
        <x:f>CHOOSE('假设'!$B$3,AJ90,AK90,AL90)</x:f>
        <x:v>0</x:v>
      </x:c>
      <x:c r="AN90" t="n">
        <x:v>1</x:v>
      </x:c>
      <x:c r="AO90" s="42" t="n">
        <x:v>0.78</x:v>
      </x:c>
      <x:c r="AP90" s="42" t="n">
        <x:v>0.8</x:v>
      </x:c>
      <x:c r="AQ90" s="42" t="n">
        <x:v>0.8200000000000001</x:v>
      </x:c>
      <x:c r="AR90" s="42" t="n">
        <x:v>1</x:v>
      </x:c>
      <x:c r="AS90" s="42" t="n">
        <x:v>1</x:v>
      </x:c>
      <x:c r="AT90" s="42" t="n">
        <x:v>1</x:v>
      </x:c>
      <x:c r="AU90" t="str">
        <x:v>CNY</x:v>
      </x:c>
      <x:c r="AV90" t="str">
        <x:v>qilu</x:v>
      </x:c>
    </x:row>
    <x:row r="91" ht="23" customHeight="1">
      <x:c r="A91" s="11" t="str">
        <x:v>01093.HK</x:v>
      </x:c>
      <x:c r="B91" s="11" t="str">
        <x:v>2026年底</x:v>
      </x:c>
      <x:c r="C91" s="11" t="str">
        <x:v>OTHER_OVERSEAS</x:v>
      </x:c>
      <x:c r="D91" s="11" t="str">
        <x:v>2031-12-31</x:v>
      </x:c>
      <x:c r="E91" s="11" t="str">
        <x:v>USD</x:v>
      </x:c>
      <x:c r="F91" s="11" t="n">
        <x:v>4.999315537303217</x:v>
      </x:c>
      <x:c r="G91" s="26" t="b">
        <x:v>1</x:v>
      </x:c>
      <x:c r="H91" s="16" t="n">
        <x:v>0</x:v>
      </x:c>
      <x:c r="I91" s="16" t="n">
        <x:v>0.32</x:v>
      </x:c>
      <x:c r="J91" s="16" t="n">
        <x:v>2.25</x:v>
      </x:c>
      <x:c r="K91" s="11" t="n">
        <x:f>CHOOSE('假设'!$B$3,H91,I91,J91)</x:f>
        <x:v>0.32</x:v>
      </x:c>
      <x:c r="L91" s="11" t="n">
        <x:f>K91*'管线假设'!E27*'管线假设'!F27*'管线假设'!G27*IF(E91="USD",'管线假设'!I27,1)-AM91</x:f>
        <x:v>0.015095808000000002</x:v>
      </x:c>
      <x:c r="M91" s="11" t="n">
        <x:f>'管线假设'!H27</x:f>
        <x:v>0.13</x:v>
      </x:c>
      <x:c r="N91" s="11" t="n">
        <x:f>IF(G91,L91*AN91/(1+M91)^F91,0)</x:f>
        <x:v>0.008194085218444457</x:v>
      </x:c>
      <x:c r="P91" t="str">
        <x:v>688062.SH</x:v>
      </x:c>
      <x:c r="Q91" t="str">
        <x:v>一年</x:v>
      </x:c>
      <x:c r="R91" t="str">
        <x:v>2031-12-31</x:v>
      </x:c>
      <x:c r="S91" t="n">
        <x:v>4.227241615331964</x:v>
      </x:c>
      <x:c r="T91" s="27" t="b">
        <x:v>1</x:v>
      </x:c>
      <x:c r="U91" s="42" t="n">
        <x:v>0.025</x:v>
      </x:c>
      <x:c r="V91" s="42" t="n">
        <x:v>0.08</x:v>
      </x:c>
      <x:c r="W91" s="42" t="n">
        <x:v>0.18</x:v>
      </x:c>
      <x:c r="X91" s="42" t="n">
        <x:v>1</x:v>
      </x:c>
      <x:c r="Y91" s="42" t="n">
        <x:v>1</x:v>
      </x:c>
      <x:c r="Z91" s="42" t="n">
        <x:v>1</x:v>
      </x:c>
      <x:c r="AA91" t="n">
        <x:f>AB91/(1+'管线假设'!H1155)^S91</x:f>
        <x:v>0.2501141895832079</x:v>
      </x:c>
      <x:c r="AB91" t="n">
        <x:f>IF(T91,CHOOSE('假设'!$B$3,U91,V91,W91)*CHOOSE('假设'!$B$3,X91,Y91,Z91)*CHOOSE('假设'!$B$3,AO91,AP91,AQ91)*CHOOSE('假设'!$B$3,AR91,AS91,AT91)*IF(AU91="USD",'管线假设'!I1155,1),0)</x:f>
        <x:v>0.4352</x:v>
      </x:c>
      <x:c r="AJ91" t="n">
        <x:v>0</x:v>
      </x:c>
      <x:c r="AK91" t="n">
        <x:v>0</x:v>
      </x:c>
      <x:c r="AL91" t="n">
        <x:v>0</x:v>
      </x:c>
      <x:c r="AM91" t="n">
        <x:f>CHOOSE('假设'!$B$3,AJ91,AK91,AL91)</x:f>
        <x:v>0</x:v>
      </x:c>
      <x:c r="AN91" t="n">
        <x:v>1</x:v>
      </x:c>
      <x:c r="AO91" s="42" t="n">
        <x:v>0.78</x:v>
      </x:c>
      <x:c r="AP91" s="42" t="n">
        <x:v>0.8</x:v>
      </x:c>
      <x:c r="AQ91" s="42" t="n">
        <x:v>0.8200000000000001</x:v>
      </x:c>
      <x:c r="AR91" s="42" t="n">
        <x:v>1</x:v>
      </x:c>
      <x:c r="AS91" s="42" t="n">
        <x:v>1</x:v>
      </x:c>
      <x:c r="AT91" s="42" t="n">
        <x:v>1</x:v>
      </x:c>
      <x:c r="AU91" t="str">
        <x:v>USD</x:v>
      </x:c>
      <x:c r="AV91" t="str">
        <x:v>disc</x:v>
      </x:c>
    </x:row>
    <x:row r="92" ht="23" customHeight="1">
      <x:c r="A92" s="11" t="str">
        <x:v>01093.HK</x:v>
      </x:c>
      <x:c r="B92" s="11" t="str">
        <x:v>2026年底</x:v>
      </x:c>
      <x:c r="C92" s="11" t="str">
        <x:v>OTHER_OVERSEAS</x:v>
      </x:c>
      <x:c r="D92" s="11" t="str">
        <x:v>2032-12-31</x:v>
      </x:c>
      <x:c r="E92" s="11" t="str">
        <x:v>USD</x:v>
      </x:c>
      <x:c r="F92" s="11" t="n">
        <x:v>6.0013689253935665</x:v>
      </x:c>
      <x:c r="G92" s="26" t="b">
        <x:v>1</x:v>
      </x:c>
      <x:c r="H92" s="16" t="n">
        <x:v>0</x:v>
      </x:c>
      <x:c r="I92" s="16" t="n">
        <x:v>1</x:v>
      </x:c>
      <x:c r="J92" s="16" t="n">
        <x:v>4.05</x:v>
      </x:c>
      <x:c r="K92" s="11" t="n">
        <x:f>CHOOSE('假设'!$B$3,H92,I92,J92)</x:f>
        <x:v>1</x:v>
      </x:c>
      <x:c r="L92" s="11" t="n">
        <x:f>K92*'管线假设'!E27*'管线假设'!F27*'管线假设'!G27*IF(E92="USD",'管线假设'!I27,1)-AM92</x:f>
        <x:v>0.0471744</x:v>
      </x:c>
      <x:c r="M92" s="11" t="n">
        <x:f>'管线假设'!H27</x:f>
        <x:v>0.13</x:v>
      </x:c>
      <x:c r="N92" s="11" t="n">
        <x:f>IF(G92,L92*AN92/(1+M92)^F92,0)</x:f>
        <x:v>0.022654947696171983</x:v>
      </x:c>
      <x:c r="P92" t="str">
        <x:v>688062.SH</x:v>
      </x:c>
      <x:c r="Q92" t="str">
        <x:v>一年</x:v>
      </x:c>
      <x:c r="R92" t="str">
        <x:v>2034-12-31</x:v>
      </x:c>
      <x:c r="S92" t="n">
        <x:v>7.227926078028747</x:v>
      </x:c>
      <x:c r="T92" s="27" t="b">
        <x:v>1</x:v>
      </x:c>
      <x:c r="U92" s="42" t="n">
        <x:v>0.01</x:v>
      </x:c>
      <x:c r="V92" s="42" t="n">
        <x:v>0.07</x:v>
      </x:c>
      <x:c r="W92" s="42" t="n">
        <x:v>0.18</x:v>
      </x:c>
      <x:c r="X92" s="42" t="n">
        <x:v>1</x:v>
      </x:c>
      <x:c r="Y92" s="42" t="n">
        <x:v>1</x:v>
      </x:c>
      <x:c r="Z92" s="42" t="n">
        <x:v>1</x:v>
      </x:c>
      <x:c r="AA92" t="n">
        <x:f>AB92/(1+'管线假设'!H1155)^S92</x:f>
        <x:v>0.14770421225341865</x:v>
      </x:c>
      <x:c r="AB92" t="n">
        <x:f>IF(T92,CHOOSE('假设'!$B$3,U92,V92,W92)*CHOOSE('假设'!$B$3,X92,Y92,Z92)*CHOOSE('假设'!$B$3,AO92,AP92,AQ92)*CHOOSE('假设'!$B$3,AR92,AS92,AT92)*IF(AU92="USD",'管线假设'!I1155,1),0)</x:f>
        <x:v>0.3808</x:v>
      </x:c>
      <x:c r="AJ92" t="n">
        <x:v>0</x:v>
      </x:c>
      <x:c r="AK92" t="n">
        <x:v>0</x:v>
      </x:c>
      <x:c r="AL92" t="n">
        <x:v>0</x:v>
      </x:c>
      <x:c r="AM92" t="n">
        <x:f>CHOOSE('假设'!$B$3,AJ92,AK92,AL92)</x:f>
        <x:v>0</x:v>
      </x:c>
      <x:c r="AN92" t="n">
        <x:v>1</x:v>
      </x:c>
      <x:c r="AO92" s="42" t="n">
        <x:v>0.78</x:v>
      </x:c>
      <x:c r="AP92" s="42" t="n">
        <x:v>0.8</x:v>
      </x:c>
      <x:c r="AQ92" s="42" t="n">
        <x:v>0.8200000000000001</x:v>
      </x:c>
      <x:c r="AR92" s="42" t="n">
        <x:v>1</x:v>
      </x:c>
      <x:c r="AS92" s="42" t="n">
        <x:v>1</x:v>
      </x:c>
      <x:c r="AT92" s="42" t="n">
        <x:v>1</x:v>
      </x:c>
      <x:c r="AU92" t="str">
        <x:v>USD</x:v>
      </x:c>
      <x:c r="AV92" t="str">
        <x:v>calico</x:v>
      </x:c>
    </x:row>
    <x:row r="93" ht="23" customHeight="1">
      <x:c r="A93" s="11" t="str">
        <x:v>01093.HK</x:v>
      </x:c>
      <x:c r="B93" s="11" t="str">
        <x:v>2026年底</x:v>
      </x:c>
      <x:c r="C93" s="11" t="str">
        <x:v>OTHER_OVERSEAS</x:v>
      </x:c>
      <x:c r="D93" s="11" t="str">
        <x:v>2033-12-31</x:v>
      </x:c>
      <x:c r="E93" s="11" t="str">
        <x:v>USD</x:v>
      </x:c>
      <x:c r="F93" s="11" t="n">
        <x:v>7.000684462696783</x:v>
      </x:c>
      <x:c r="G93" s="26" t="b">
        <x:v>1</x:v>
      </x:c>
      <x:c r="H93" s="16" t="n">
        <x:v>0.12</x:v>
      </x:c>
      <x:c r="I93" s="16" t="n">
        <x:v>1.8</x:v>
      </x:c>
      <x:c r="J93" s="16" t="n">
        <x:v>5.8500000000000005</x:v>
      </x:c>
      <x:c r="K93" s="11" t="n">
        <x:f>CHOOSE('假设'!$B$3,H93,I93,J93)</x:f>
        <x:v>1.8</x:v>
      </x:c>
      <x:c r="L93" s="11" t="n">
        <x:f>K93*'管线假设'!E27*'管线假设'!F27*'管线假设'!G27*IF(E93="USD",'管线假设'!I27,1)-AM93</x:f>
        <x:v>0.08491392000000002</x:v>
      </x:c>
      <x:c r="M93" s="11" t="n">
        <x:f>'管线假设'!H27</x:f>
        <x:v>0.13</x:v>
      </x:c>
      <x:c r="N93" s="11" t="n">
        <x:f>IF(G93,L93*AN93/(1+M93)^F93,0)</x:f>
        <x:v>0.03609054627464371</x:v>
      </x:c>
      <x:c r="P93" t="str">
        <x:v>688062.SH</x:v>
      </x:c>
      <x:c r="Q93" t="str">
        <x:v>一年</x:v>
      </x:c>
      <x:c r="R93" t="str">
        <x:v>2035-12-31</x:v>
      </x:c>
      <x:c r="S93" t="n">
        <x:v>8.227241615331964</x:v>
      </x:c>
      <x:c r="T93" s="27" t="b">
        <x:v>1</x:v>
      </x:c>
      <x:c r="U93" s="42" t="n">
        <x:v>0.005</x:v>
      </x:c>
      <x:c r="V93" s="42" t="n">
        <x:v>0.04</x:v>
      </x:c>
      <x:c r="W93" s="42" t="n">
        <x:v>0.14</x:v>
      </x:c>
      <x:c r="X93" s="42" t="n">
        <x:v>1</x:v>
      </x:c>
      <x:c r="Y93" s="42" t="n">
        <x:v>1</x:v>
      </x:c>
      <x:c r="Z93" s="42" t="n">
        <x:v>1</x:v>
      </x:c>
      <x:c r="AA93" t="n">
        <x:f>AB93/(1+'管线假设'!H1155)^S93</x:f>
        <x:v>0.07404383937132296</x:v>
      </x:c>
      <x:c r="AB93" t="n">
        <x:f>IF(T93,CHOOSE('假设'!$B$3,U93,V93,W93)*CHOOSE('假设'!$B$3,X93,Y93,Z93)*CHOOSE('假设'!$B$3,AO93,AP93,AQ93)*CHOOSE('假设'!$B$3,AR93,AS93,AT93)*IF(AU93="USD",'管线假设'!I1155,1),0)</x:f>
        <x:v>0.2176</x:v>
      </x:c>
      <x:c r="AJ93" t="n">
        <x:v>0</x:v>
      </x:c>
      <x:c r="AK93" t="n">
        <x:v>0</x:v>
      </x:c>
      <x:c r="AL93" t="n">
        <x:v>0</x:v>
      </x:c>
      <x:c r="AM93" t="n">
        <x:f>CHOOSE('假设'!$B$3,AJ93,AK93,AL93)</x:f>
        <x:v>0</x:v>
      </x:c>
      <x:c r="AN93" t="n">
        <x:v>1</x:v>
      </x:c>
      <x:c r="AO93" s="42" t="n">
        <x:v>0.78</x:v>
      </x:c>
      <x:c r="AP93" s="42" t="n">
        <x:v>0.8</x:v>
      </x:c>
      <x:c r="AQ93" s="42" t="n">
        <x:v>0.8200000000000001</x:v>
      </x:c>
      <x:c r="AR93" s="42" t="n">
        <x:v>1</x:v>
      </x:c>
      <x:c r="AS93" s="42" t="n">
        <x:v>1</x:v>
      </x:c>
      <x:c r="AT93" s="42" t="n">
        <x:v>1</x:v>
      </x:c>
      <x:c r="AU93" t="str">
        <x:v>USD</x:v>
      </x:c>
      <x:c r="AV93" t="str">
        <x:v>kalexo</x:v>
      </x:c>
    </x:row>
    <x:row r="94" ht="23" customHeight="1">
      <x:c r="A94" s="11" t="str">
        <x:v>01093.HK</x:v>
      </x:c>
      <x:c r="B94" s="11" t="str">
        <x:v>2026年底</x:v>
      </x:c>
      <x:c r="C94" s="11" t="str">
        <x:v>OTHER_OVERSEAS</x:v>
      </x:c>
      <x:c r="D94" s="11" t="str">
        <x:v>2034-12-31</x:v>
      </x:c>
      <x:c r="E94" s="11" t="str">
        <x:v>USD</x:v>
      </x:c>
      <x:c r="F94" s="11" t="n">
        <x:v>8</x:v>
      </x:c>
      <x:c r="G94" s="26" t="b">
        <x:v>1</x:v>
      </x:c>
      <x:c r="H94" s="16" t="n">
        <x:v>0.375</x:v>
      </x:c>
      <x:c r="I94" s="16" t="n">
        <x:v>2.6</x:v>
      </x:c>
      <x:c r="J94" s="16" t="n">
        <x:v>7.6499999999999995</x:v>
      </x:c>
      <x:c r="K94" s="11" t="n">
        <x:f>CHOOSE('假设'!$B$3,H94,I94,J94)</x:f>
        <x:v>2.6</x:v>
      </x:c>
      <x:c r="L94" s="11" t="n">
        <x:f>K94*'管线假设'!E27*'管线假设'!F27*'管线假设'!G27*IF(E94="USD",'管线假设'!I27,1)-AM94</x:f>
        <x:v>0.12265344000000003</x:v>
      </x:c>
      <x:c r="M94" s="11" t="n">
        <x:f>'管线假设'!H27</x:f>
        <x:v>0.13</x:v>
      </x:c>
      <x:c r="N94" s="11" t="n">
        <x:f>IF(G94,L94*AN94/(1+M94)^F94,0)</x:f>
        <x:v>0.046137301030158236</x:v>
      </x:c>
      <x:c r="P94" t="str">
        <x:v>688062.SH</x:v>
      </x:c>
      <x:c r="Q94" t="str">
        <x:v>三年</x:v>
      </x:c>
      <x:c r="R94" t="str">
        <x:v>2029-12-31</x:v>
      </x:c>
      <x:c r="S94" t="n">
        <x:v>0.2272416153319644</x:v>
      </x:c>
      <x:c r="T94" s="27" t="b">
        <x:v>1</x:v>
      </x:c>
      <x:c r="U94" s="42" t="n">
        <x:v>0.05</x:v>
      </x:c>
      <x:c r="V94" s="42" t="n">
        <x:v>0.08</x:v>
      </x:c>
      <x:c r="W94" s="42" t="n">
        <x:v>0.1</x:v>
      </x:c>
      <x:c r="X94" s="42" t="n">
        <x:v>1</x:v>
      </x:c>
      <x:c r="Y94" s="42" t="n">
        <x:v>1</x:v>
      </x:c>
      <x:c r="Z94" s="42" t="n">
        <x:v>1</x:v>
      </x:c>
      <x:c r="AA94" t="n">
        <x:f>AB94/(1+'管线假设'!H1219)^S94</x:f>
        <x:v>0.06212248553775374</x:v>
      </x:c>
      <x:c r="AB94" t="n">
        <x:f>IF(T94,CHOOSE('假设'!$B$3,U94,V94,W94)*CHOOSE('假设'!$B$3,X94,Y94,Z94)*CHOOSE('假设'!$B$3,AO94,AP94,AQ94)*CHOOSE('假设'!$B$3,AR94,AS94,AT94)*IF(AU94="USD",'管线假设'!I1219,1),0)</x:f>
        <x:v>0.064</x:v>
      </x:c>
      <x:c r="AJ94" t="n">
        <x:v>0</x:v>
      </x:c>
      <x:c r="AK94" t="n">
        <x:v>0</x:v>
      </x:c>
      <x:c r="AL94" t="n">
        <x:v>0</x:v>
      </x:c>
      <x:c r="AM94" t="n">
        <x:f>CHOOSE('假设'!$B$3,AJ94,AK94,AL94)</x:f>
        <x:v>0</x:v>
      </x:c>
      <x:c r="AN94" t="n">
        <x:v>1</x:v>
      </x:c>
      <x:c r="AO94" s="42" t="n">
        <x:v>0.78</x:v>
      </x:c>
      <x:c r="AP94" s="42" t="n">
        <x:v>0.8</x:v>
      </x:c>
      <x:c r="AQ94" s="42" t="n">
        <x:v>0.8200000000000001</x:v>
      </x:c>
      <x:c r="AR94" s="42" t="n">
        <x:v>1</x:v>
      </x:c>
      <x:c r="AS94" s="42" t="n">
        <x:v>1</x:v>
      </x:c>
      <x:c r="AT94" s="42" t="n">
        <x:v>1</x:v>
      </x:c>
      <x:c r="AU94" t="str">
        <x:v>CNY</x:v>
      </x:c>
      <x:c r="AV94" t="str">
        <x:v>qilu</x:v>
      </x:c>
    </x:row>
    <x:row r="95" ht="23" customHeight="1">
      <x:c r="A95" s="11" t="str">
        <x:v>01093.HK</x:v>
      </x:c>
      <x:c r="B95" s="11" t="str">
        <x:v>2026年底</x:v>
      </x:c>
      <x:c r="C95" s="11" t="str">
        <x:v>OTHER_OVERSEAS</x:v>
      </x:c>
      <x:c r="D95" s="11" t="str">
        <x:v>2035-12-31</x:v>
      </x:c>
      <x:c r="E95" s="11" t="str">
        <x:v>USD</x:v>
      </x:c>
      <x:c r="F95" s="11" t="n">
        <x:v>8.999315537303216</x:v>
      </x:c>
      <x:c r="G95" s="26" t="b">
        <x:v>1</x:v>
      </x:c>
      <x:c r="H95" s="16" t="n">
        <x:v>0.675</x:v>
      </x:c>
      <x:c r="I95" s="16" t="n">
        <x:v>3.4</x:v>
      </x:c>
      <x:c r="J95" s="16" t="n">
        <x:v>9</x:v>
      </x:c>
      <x:c r="K95" s="11" t="n">
        <x:f>CHOOSE('假设'!$B$3,H95,I95,J95)</x:f>
        <x:v>3.4</x:v>
      </x:c>
      <x:c r="L95" s="11" t="n">
        <x:f>K95*'管线假设'!E27*'管线假设'!F27*'管线假设'!G27*IF(E95="USD",'管线假设'!I27,1)-AM95</x:f>
        <x:v>0.16039296</x:v>
      </x:c>
      <x:c r="M95" s="11" t="n">
        <x:f>'管线假设'!H27</x:f>
        <x:v>0.13</x:v>
      </x:c>
      <x:c r="N95" s="11" t="n">
        <x:f>IF(G95,L95*AN95/(1+M95)^F95,0)</x:f>
        <x:v>0.05339685040714788</x:v>
      </x:c>
      <x:c r="P95" t="str">
        <x:v>688062.SH</x:v>
      </x:c>
      <x:c r="Q95" t="str">
        <x:v>三年</x:v>
      </x:c>
      <x:c r="R95" t="str">
        <x:v>2031-12-31</x:v>
      </x:c>
      <x:c r="S95" t="n">
        <x:v>2.2258726899383983</x:v>
      </x:c>
      <x:c r="T95" s="27" t="b">
        <x:v>1</x:v>
      </x:c>
      <x:c r="U95" s="42" t="n">
        <x:v>0.025</x:v>
      </x:c>
      <x:c r="V95" s="42" t="n">
        <x:v>0.08</x:v>
      </x:c>
      <x:c r="W95" s="42" t="n">
        <x:v>0.18</x:v>
      </x:c>
      <x:c r="X95" s="42" t="n">
        <x:v>1</x:v>
      </x:c>
      <x:c r="Y95" s="42" t="n">
        <x:v>1</x:v>
      </x:c>
      <x:c r="Z95" s="42" t="n">
        <x:v>1</x:v>
      </x:c>
      <x:c r="AA95" t="n">
        <x:f>AB95/(1+'管线假设'!H1219)^S95</x:f>
        <x:v>0.3251067092656607</x:v>
      </x:c>
      <x:c r="AB95" t="n">
        <x:f>IF(T95,CHOOSE('假设'!$B$3,U95,V95,W95)*CHOOSE('假设'!$B$3,X95,Y95,Z95)*CHOOSE('假设'!$B$3,AO95,AP95,AQ95)*CHOOSE('假设'!$B$3,AR95,AS95,AT95)*IF(AU95="USD",'管线假设'!I1219,1),0)</x:f>
        <x:v>0.4352</x:v>
      </x:c>
      <x:c r="AJ95" t="n">
        <x:v>0</x:v>
      </x:c>
      <x:c r="AK95" t="n">
        <x:v>0</x:v>
      </x:c>
      <x:c r="AL95" t="n">
        <x:v>0</x:v>
      </x:c>
      <x:c r="AM95" t="n">
        <x:f>CHOOSE('假设'!$B$3,AJ95,AK95,AL95)</x:f>
        <x:v>0</x:v>
      </x:c>
      <x:c r="AN95" t="n">
        <x:v>1</x:v>
      </x:c>
      <x:c r="AO95" s="42" t="n">
        <x:v>0.78</x:v>
      </x:c>
      <x:c r="AP95" s="42" t="n">
        <x:v>0.8</x:v>
      </x:c>
      <x:c r="AQ95" s="42" t="n">
        <x:v>0.8200000000000001</x:v>
      </x:c>
      <x:c r="AR95" s="42" t="n">
        <x:v>1</x:v>
      </x:c>
      <x:c r="AS95" s="42" t="n">
        <x:v>1</x:v>
      </x:c>
      <x:c r="AT95" s="42" t="n">
        <x:v>1</x:v>
      </x:c>
      <x:c r="AU95" t="str">
        <x:v>USD</x:v>
      </x:c>
      <x:c r="AV95" t="str">
        <x:v>disc</x:v>
      </x:c>
    </x:row>
    <x:row r="96" ht="23" customHeight="1">
      <x:c r="A96" s="11" t="str">
        <x:v>01093.HK</x:v>
      </x:c>
      <x:c r="B96" s="11" t="str">
        <x:v>2026年底</x:v>
      </x:c>
      <x:c r="C96" s="11" t="str">
        <x:v>OTHER_OVERSEAS</x:v>
      </x:c>
      <x:c r="D96" s="11" t="str">
        <x:v>2036-12-31</x:v>
      </x:c>
      <x:c r="E96" s="11" t="str">
        <x:v>USD</x:v>
      </x:c>
      <x:c r="F96" s="11" t="n">
        <x:v>10.001368925393566</x:v>
      </x:c>
      <x:c r="G96" s="26" t="b">
        <x:v>1</x:v>
      </x:c>
      <x:c r="H96" s="16" t="n">
        <x:v>0.9750000000000001</x:v>
      </x:c>
      <x:c r="I96" s="16" t="n">
        <x:v>4</x:v>
      </x:c>
      <x:c r="J96" s="16" t="n">
        <x:v>9</x:v>
      </x:c>
      <x:c r="K96" s="11" t="n">
        <x:f>CHOOSE('假设'!$B$3,H96,I96,J96)</x:f>
        <x:v>4</x:v>
      </x:c>
      <x:c r="L96" s="11" t="n">
        <x:f>K96*'管线假设'!E27*'管线假设'!F27*'管线假设'!G27*IF(E96="USD",'管线假设'!I27,1)-AM96</x:f>
        <x:v>0.1886976</x:v>
      </x:c>
      <x:c r="M96" s="11" t="n">
        <x:f>'管线假设'!H27</x:f>
        <x:v>0.13</x:v>
      </x:c>
      <x:c r="N96" s="11" t="n">
        <x:f>IF(G96,L96*AN96/(1+M96)^F96,0)</x:f>
        <x:v>0.05557881478663612</x:v>
      </x:c>
      <x:c r="P96" t="str">
        <x:v>688062.SH</x:v>
      </x:c>
      <x:c r="Q96" t="str">
        <x:v>三年</x:v>
      </x:c>
      <x:c r="R96" t="str">
        <x:v>2034-12-31</x:v>
      </x:c>
      <x:c r="S96" t="n">
        <x:v>5.2265571526351815</x:v>
      </x:c>
      <x:c r="T96" s="27" t="b">
        <x:v>1</x:v>
      </x:c>
      <x:c r="U96" s="42" t="n">
        <x:v>0.01</x:v>
      </x:c>
      <x:c r="V96" s="42" t="n">
        <x:v>0.07</x:v>
      </x:c>
      <x:c r="W96" s="42" t="n">
        <x:v>0.18</x:v>
      </x:c>
      <x:c r="X96" s="42" t="n">
        <x:v>1</x:v>
      </x:c>
      <x:c r="Y96" s="42" t="n">
        <x:v>1</x:v>
      </x:c>
      <x:c r="Z96" s="42" t="n">
        <x:v>1</x:v>
      </x:c>
      <x:c r="AA96" t="n">
        <x:f>AB96/(1+'管线假设'!H1219)^S96</x:f>
        <x:v>0.19199082815095728</x:v>
      </x:c>
      <x:c r="AB96" t="n">
        <x:f>IF(T96,CHOOSE('假设'!$B$3,U96,V96,W96)*CHOOSE('假设'!$B$3,X96,Y96,Z96)*CHOOSE('假设'!$B$3,AO96,AP96,AQ96)*CHOOSE('假设'!$B$3,AR96,AS96,AT96)*IF(AU96="USD",'管线假设'!I1219,1),0)</x:f>
        <x:v>0.3808</x:v>
      </x:c>
      <x:c r="AJ96" t="n">
        <x:v>0</x:v>
      </x:c>
      <x:c r="AK96" t="n">
        <x:v>0</x:v>
      </x:c>
      <x:c r="AL96" t="n">
        <x:v>0</x:v>
      </x:c>
      <x:c r="AM96" t="n">
        <x:f>CHOOSE('假设'!$B$3,AJ96,AK96,AL96)</x:f>
        <x:v>0</x:v>
      </x:c>
      <x:c r="AN96" t="n">
        <x:v>1</x:v>
      </x:c>
      <x:c r="AO96" s="42" t="n">
        <x:v>0.78</x:v>
      </x:c>
      <x:c r="AP96" s="42" t="n">
        <x:v>0.8</x:v>
      </x:c>
      <x:c r="AQ96" s="42" t="n">
        <x:v>0.8200000000000001</x:v>
      </x:c>
      <x:c r="AR96" s="42" t="n">
        <x:v>1</x:v>
      </x:c>
      <x:c r="AS96" s="42" t="n">
        <x:v>1</x:v>
      </x:c>
      <x:c r="AT96" s="42" t="n">
        <x:v>1</x:v>
      </x:c>
      <x:c r="AU96" t="str">
        <x:v>USD</x:v>
      </x:c>
      <x:c r="AV96" t="str">
        <x:v>calico</x:v>
      </x:c>
    </x:row>
    <x:row r="97" ht="23" customHeight="1">
      <x:c r="A97" s="11" t="str">
        <x:v>01093.HK</x:v>
      </x:c>
      <x:c r="B97" s="11" t="str">
        <x:v>2026年底</x:v>
      </x:c>
      <x:c r="C97" s="11" t="str">
        <x:v>OTHER_OVERSEAS</x:v>
      </x:c>
      <x:c r="D97" s="11" t="str">
        <x:v>2037-12-31</x:v>
      </x:c>
      <x:c r="E97" s="11" t="str">
        <x:v>USD</x:v>
      </x:c>
      <x:c r="F97" s="11" t="n">
        <x:v>11.000684462696784</x:v>
      </x:c>
      <x:c r="G97" s="26" t="b">
        <x:v>1</x:v>
      </x:c>
      <x:c r="H97" s="16" t="n">
        <x:v>1.275</x:v>
      </x:c>
      <x:c r="I97" s="16" t="n">
        <x:v>4</x:v>
      </x:c>
      <x:c r="J97" s="16" t="n">
        <x:v>8.549999999999999</x:v>
      </x:c>
      <x:c r="K97" s="11" t="n">
        <x:f>CHOOSE('假设'!$B$3,H97,I97,J97)</x:f>
        <x:v>4</x:v>
      </x:c>
      <x:c r="L97" s="11" t="n">
        <x:f>K97*'管线假设'!E27*'管线假设'!F27*'管线假设'!G27*IF(E97="USD",'管线假设'!I27,1)-AM97</x:f>
        <x:v>0.1886976</x:v>
      </x:c>
      <x:c r="M97" s="11" t="n">
        <x:f>'管线假设'!H27</x:f>
        <x:v>0.13</x:v>
      </x:c>
      <x:c r="N97" s="11" t="n">
        <x:f>IF(G97,L97*AN97/(1+M97)^F97,0)</x:f>
        <x:v>0.049188906494262545</x:v>
      </x:c>
      <x:c r="P97" t="str">
        <x:v>688062.SH</x:v>
      </x:c>
      <x:c r="Q97" t="str">
        <x:v>三年</x:v>
      </x:c>
      <x:c r="R97" t="str">
        <x:v>2035-12-31</x:v>
      </x:c>
      <x:c r="S97" t="n">
        <x:v>6.225872689938399</x:v>
      </x:c>
      <x:c r="T97" s="27" t="b">
        <x:v>1</x:v>
      </x:c>
      <x:c r="U97" s="42" t="n">
        <x:v>0.005</x:v>
      </x:c>
      <x:c r="V97" s="42" t="n">
        <x:v>0.04</x:v>
      </x:c>
      <x:c r="W97" s="42" t="n">
        <x:v>0.14</x:v>
      </x:c>
      <x:c r="X97" s="42" t="n">
        <x:v>1</x:v>
      </x:c>
      <x:c r="Y97" s="42" t="n">
        <x:v>1</x:v>
      </x:c>
      <x:c r="Z97" s="42" t="n">
        <x:v>1</x:v>
      </x:c>
      <x:c r="AA97" t="n">
        <x:f>AB97/(1+'管线假设'!H1219)^S97</x:f>
        <x:v>0.09624463529846097</x:v>
      </x:c>
      <x:c r="AB97" t="n">
        <x:f>IF(T97,CHOOSE('假设'!$B$3,U97,V97,W97)*CHOOSE('假设'!$B$3,X97,Y97,Z97)*CHOOSE('假设'!$B$3,AO97,AP97,AQ97)*CHOOSE('假设'!$B$3,AR97,AS97,AT97)*IF(AU97="USD",'管线假设'!I1219,1),0)</x:f>
        <x:v>0.2176</x:v>
      </x:c>
      <x:c r="AJ97" t="n">
        <x:v>0</x:v>
      </x:c>
      <x:c r="AK97" t="n">
        <x:v>0</x:v>
      </x:c>
      <x:c r="AL97" t="n">
        <x:v>0</x:v>
      </x:c>
      <x:c r="AM97" t="n">
        <x:f>CHOOSE('假设'!$B$3,AJ97,AK97,AL97)</x:f>
        <x:v>0</x:v>
      </x:c>
      <x:c r="AN97" t="n">
        <x:v>1</x:v>
      </x:c>
      <x:c r="AO97" s="42" t="n">
        <x:v>0.78</x:v>
      </x:c>
      <x:c r="AP97" s="42" t="n">
        <x:v>0.8</x:v>
      </x:c>
      <x:c r="AQ97" s="42" t="n">
        <x:v>0.8200000000000001</x:v>
      </x:c>
      <x:c r="AR97" s="42" t="n">
        <x:v>1</x:v>
      </x:c>
      <x:c r="AS97" s="42" t="n">
        <x:v>1</x:v>
      </x:c>
      <x:c r="AT97" s="42" t="n">
        <x:v>1</x:v>
      </x:c>
      <x:c r="AU97" t="str">
        <x:v>USD</x:v>
      </x:c>
      <x:c r="AV97" t="str">
        <x:v>kalexo</x:v>
      </x:c>
    </x:row>
    <x:row r="98" ht="23" customHeight="1">
      <x:c r="A98" s="11" t="str">
        <x:v>01093.HK</x:v>
      </x:c>
      <x:c r="B98" s="11" t="str">
        <x:v>2026年底</x:v>
      </x:c>
      <x:c r="C98" s="11" t="str">
        <x:v>OTHER_OVERSEAS</x:v>
      </x:c>
      <x:c r="D98" s="11" t="str">
        <x:v>2038-12-31</x:v>
      </x:c>
      <x:c r="E98" s="11" t="str">
        <x:v>USD</x:v>
      </x:c>
      <x:c r="F98" s="11" t="n">
        <x:v>12</x:v>
      </x:c>
      <x:c r="G98" s="26" t="b">
        <x:v>1</x:v>
      </x:c>
      <x:c r="H98" s="16" t="n">
        <x:v>1.5</x:v>
      </x:c>
      <x:c r="I98" s="16" t="n">
        <x:v>3.8</x:v>
      </x:c>
      <x:c r="J98" s="16" t="n">
        <x:v>7.92</x:v>
      </x:c>
      <x:c r="K98" s="11" t="n">
        <x:f>CHOOSE('假设'!$B$3,H98,I98,J98)</x:f>
        <x:v>3.8</x:v>
      </x:c>
      <x:c r="L98" s="11" t="n">
        <x:f>K98*'管线假设'!E27*'管线假设'!F27*'管线假设'!G27*IF(E98="USD",'管线假设'!I27,1)-AM98</x:f>
        <x:v>0.17926272</x:v>
      </x:c>
      <x:c r="M98" s="11" t="n">
        <x:f>'管线假设'!H27</x:f>
        <x:v>0.13</x:v>
      </x:c>
      <x:c r="N98" s="11" t="n">
        <x:f>IF(G98,L98*AN98/(1+M98)^F98,0)</x:f>
        <x:v>0.04135696496624337</x:v>
      </x:c>
      <x:c r="P98" t="str">
        <x:v>688062.SH</x:v>
      </x:c>
      <x:c r="Q98" t="str">
        <x:v>五年</x:v>
      </x:c>
      <x:c r="R98" t="str">
        <x:v>2029-12-31</x:v>
      </x:c>
      <x:c r="S98" t="n">
        <x:v>-1.7713894592744694</x:v>
      </x:c>
      <x:c r="T98" s="27" t="b">
        <x:v>0</x:v>
      </x:c>
      <x:c r="U98" s="42" t="n">
        <x:v>0.05</x:v>
      </x:c>
      <x:c r="V98" s="42" t="n">
        <x:v>0.08</x:v>
      </x:c>
      <x:c r="W98" s="42" t="n">
        <x:v>0.1</x:v>
      </x:c>
      <x:c r="X98" s="42" t="n">
        <x:v>1</x:v>
      </x:c>
      <x:c r="Y98" s="42" t="n">
        <x:v>1</x:v>
      </x:c>
      <x:c r="Z98" s="42" t="n">
        <x:v>1</x:v>
      </x:c>
      <x:c r="AA98" t="n">
        <x:f>AB98/(1+'管线假设'!H1283)^S98</x:f>
        <x:v>0</x:v>
      </x:c>
      <x:c r="AB98" t="n">
        <x:f>IF(T98,CHOOSE('假设'!$B$3,U98,V98,W98)*CHOOSE('假设'!$B$3,X98,Y98,Z98)*CHOOSE('假设'!$B$3,AO98,AP98,AQ98)*CHOOSE('假设'!$B$3,AR98,AS98,AT98)*IF(AU98="USD",'管线假设'!I1283,1),0)</x:f>
        <x:v>0</x:v>
      </x:c>
      <x:c r="AJ98" t="n">
        <x:v>0</x:v>
      </x:c>
      <x:c r="AK98" t="n">
        <x:v>0</x:v>
      </x:c>
      <x:c r="AL98" t="n">
        <x:v>0</x:v>
      </x:c>
      <x:c r="AM98" t="n">
        <x:f>CHOOSE('假设'!$B$3,AJ98,AK98,AL98)</x:f>
        <x:v>0</x:v>
      </x:c>
      <x:c r="AN98" t="n">
        <x:v>1</x:v>
      </x:c>
      <x:c r="AO98" s="42" t="n">
        <x:v>0.78</x:v>
      </x:c>
      <x:c r="AP98" s="42" t="n">
        <x:v>0.8</x:v>
      </x:c>
      <x:c r="AQ98" s="42" t="n">
        <x:v>0.8200000000000001</x:v>
      </x:c>
      <x:c r="AR98" s="42" t="n">
        <x:v>1</x:v>
      </x:c>
      <x:c r="AS98" s="42" t="n">
        <x:v>1</x:v>
      </x:c>
      <x:c r="AT98" s="42" t="n">
        <x:v>1</x:v>
      </x:c>
      <x:c r="AU98" t="str">
        <x:v>CNY</x:v>
      </x:c>
      <x:c r="AV98" t="str">
        <x:v>qilu</x:v>
      </x:c>
    </x:row>
    <x:row r="99" ht="23" customHeight="1">
      <x:c r="A99" s="11" t="str">
        <x:v>01093.HK</x:v>
      </x:c>
      <x:c r="B99" s="11" t="str">
        <x:v>2026年底</x:v>
      </x:c>
      <x:c r="C99" s="11" t="str">
        <x:v>OTHER_OVERSEAS</x:v>
      </x:c>
      <x:c r="D99" s="11" t="str">
        <x:v>2039-12-31</x:v>
      </x:c>
      <x:c r="E99" s="11" t="str">
        <x:v>USD</x:v>
      </x:c>
      <x:c r="F99" s="11" t="n">
        <x:v>12.999315537303216</x:v>
      </x:c>
      <x:c r="G99" s="26" t="b">
        <x:v>1</x:v>
      </x:c>
      <x:c r="H99" s="16" t="n">
        <x:v>1.5</x:v>
      </x:c>
      <x:c r="I99" s="16" t="n">
        <x:v>3.52</x:v>
      </x:c>
      <x:c r="J99" s="16" t="n">
        <x:v>6.75</x:v>
      </x:c>
      <x:c r="K99" s="11" t="n">
        <x:f>CHOOSE('假设'!$B$3,H99,I99,J99)</x:f>
        <x:v>3.52</x:v>
      </x:c>
      <x:c r="L99" s="11" t="n">
        <x:f>K99*'管线假设'!E27*'管线假设'!F27*'管线假设'!G27*IF(E99="USD",'管线假设'!I27,1)-AM99</x:f>
        <x:v>0.166053888</x:v>
      </x:c>
      <x:c r="M99" s="11" t="n">
        <x:f>'管线假设'!H27</x:f>
        <x:v>0.13</x:v>
      </x:c>
      <x:c r="N99" s="11" t="n">
        <x:f>IF(G99,L99*AN99/(1+M99)^F99,0)</x:f>
        <x:v>0.03390514558981435</x:v>
      </x:c>
      <x:c r="P99" t="str">
        <x:v>688062.SH</x:v>
      </x:c>
      <x:c r="Q99" t="str">
        <x:v>五年</x:v>
      </x:c>
      <x:c r="R99" t="str">
        <x:v>2031-12-31</x:v>
      </x:c>
      <x:c r="S99" t="n">
        <x:v>0.2272416153319644</x:v>
      </x:c>
      <x:c r="T99" s="27" t="b">
        <x:v>1</x:v>
      </x:c>
      <x:c r="U99" s="42" t="n">
        <x:v>0.025</x:v>
      </x:c>
      <x:c r="V99" s="42" t="n">
        <x:v>0.08</x:v>
      </x:c>
      <x:c r="W99" s="42" t="n">
        <x:v>0.18</x:v>
      </x:c>
      <x:c r="X99" s="42" t="n">
        <x:v>1</x:v>
      </x:c>
      <x:c r="Y99" s="42" t="n">
        <x:v>1</x:v>
      </x:c>
      <x:c r="Z99" s="42" t="n">
        <x:v>1</x:v>
      </x:c>
      <x:c r="AA99" t="n">
        <x:f>AB99/(1+'管线假设'!H1283)^S99</x:f>
        <x:v>0.4224329016567254</x:v>
      </x:c>
      <x:c r="AB99" t="n">
        <x:f>IF(T99,CHOOSE('假设'!$B$3,U99,V99,W99)*CHOOSE('假设'!$B$3,X99,Y99,Z99)*CHOOSE('假设'!$B$3,AO99,AP99,AQ99)*CHOOSE('假设'!$B$3,AR99,AS99,AT99)*IF(AU99="USD",'管线假设'!I1283,1),0)</x:f>
        <x:v>0.4352</x:v>
      </x:c>
      <x:c r="AJ99" t="n">
        <x:v>0</x:v>
      </x:c>
      <x:c r="AK99" t="n">
        <x:v>0</x:v>
      </x:c>
      <x:c r="AL99" t="n">
        <x:v>0</x:v>
      </x:c>
      <x:c r="AM99" t="n">
        <x:f>CHOOSE('假设'!$B$3,AJ99,AK99,AL99)</x:f>
        <x:v>0</x:v>
      </x:c>
      <x:c r="AN99" t="n">
        <x:v>1</x:v>
      </x:c>
      <x:c r="AO99" s="42" t="n">
        <x:v>0.78</x:v>
      </x:c>
      <x:c r="AP99" s="42" t="n">
        <x:v>0.8</x:v>
      </x:c>
      <x:c r="AQ99" s="42" t="n">
        <x:v>0.8200000000000001</x:v>
      </x:c>
      <x:c r="AR99" s="42" t="n">
        <x:v>1</x:v>
      </x:c>
      <x:c r="AS99" s="42" t="n">
        <x:v>1</x:v>
      </x:c>
      <x:c r="AT99" s="42" t="n">
        <x:v>1</x:v>
      </x:c>
      <x:c r="AU99" t="str">
        <x:v>USD</x:v>
      </x:c>
      <x:c r="AV99" t="str">
        <x:v>disc</x:v>
      </x:c>
    </x:row>
    <x:row r="100" ht="23" customHeight="1">
      <x:c r="A100" s="11" t="str">
        <x:v>01093.HK</x:v>
      </x:c>
      <x:c r="B100" s="11" t="str">
        <x:v>2026年底</x:v>
      </x:c>
      <x:c r="C100" s="11" t="str">
        <x:v>OTHER_OVERSEAS</x:v>
      </x:c>
      <x:c r="D100" s="11" t="str">
        <x:v>2040-12-31</x:v>
      </x:c>
      <x:c r="E100" s="11" t="str">
        <x:v>USD</x:v>
      </x:c>
      <x:c r="F100" s="11" t="n">
        <x:v>14.001368925393566</x:v>
      </x:c>
      <x:c r="G100" s="26" t="b">
        <x:v>1</x:v>
      </x:c>
      <x:c r="H100" s="16" t="n">
        <x:v>1.4249999999999998</x:v>
      </x:c>
      <x:c r="I100" s="16" t="n">
        <x:v>3</x:v>
      </x:c>
      <x:c r="J100" s="16" t="n">
        <x:v>5.3999999999999995</x:v>
      </x:c>
      <x:c r="K100" s="11" t="n">
        <x:f>CHOOSE('假设'!$B$3,H100,I100,J100)</x:f>
        <x:v>3</x:v>
      </x:c>
      <x:c r="L100" s="11" t="n">
        <x:f>K100*'管线假设'!E27*'管线假设'!F27*'管线假设'!G27*IF(E100="USD",'管线假设'!I27,1)-AM100</x:f>
        <x:v>0.14152320000000002</x:v>
      </x:c>
      <x:c r="M100" s="11" t="n">
        <x:f>'管线假设'!H27</x:f>
        <x:v>0.13</x:v>
      </x:c>
      <x:c r="N100" s="11" t="n">
        <x:f>IF(G100,L100*AN100/(1+M100)^F100,0)</x:f>
        <x:v>0.025565645978150555</x:v>
      </x:c>
      <x:c r="P100" t="str">
        <x:v>688062.SH</x:v>
      </x:c>
      <x:c r="Q100" t="str">
        <x:v>五年</x:v>
      </x:c>
      <x:c r="R100" t="str">
        <x:v>2034-12-31</x:v>
      </x:c>
      <x:c r="S100" t="n">
        <x:v>3.2279260780287475</x:v>
      </x:c>
      <x:c r="T100" s="27" t="b">
        <x:v>1</x:v>
      </x:c>
      <x:c r="U100" s="42" t="n">
        <x:v>0.01</x:v>
      </x:c>
      <x:c r="V100" s="42" t="n">
        <x:v>0.07</x:v>
      </x:c>
      <x:c r="W100" s="42" t="n">
        <x:v>0.18</x:v>
      </x:c>
      <x:c r="X100" s="42" t="n">
        <x:v>1</x:v>
      </x:c>
      <x:c r="Y100" s="42" t="n">
        <x:v>1</x:v>
      </x:c>
      <x:c r="Z100" s="42" t="n">
        <x:v>1</x:v>
      </x:c>
      <x:c r="AA100" t="n">
        <x:f>AB100/(1+'管线假设'!H1283)^S100</x:f>
        <x:v>0.24946652996020804</x:v>
      </x:c>
      <x:c r="AB100" t="n">
        <x:f>IF(T100,CHOOSE('假设'!$B$3,U100,V100,W100)*CHOOSE('假设'!$B$3,X100,Y100,Z100)*CHOOSE('假设'!$B$3,AO100,AP100,AQ100)*CHOOSE('假设'!$B$3,AR100,AS100,AT100)*IF(AU100="USD",'管线假设'!I1283,1),0)</x:f>
        <x:v>0.3808</x:v>
      </x:c>
      <x:c r="AJ100" t="n">
        <x:v>0</x:v>
      </x:c>
      <x:c r="AK100" t="n">
        <x:v>0</x:v>
      </x:c>
      <x:c r="AL100" t="n">
        <x:v>0</x:v>
      </x:c>
      <x:c r="AM100" t="n">
        <x:f>CHOOSE('假设'!$B$3,AJ100,AK100,AL100)</x:f>
        <x:v>0</x:v>
      </x:c>
      <x:c r="AN100" t="n">
        <x:v>1</x:v>
      </x:c>
      <x:c r="AO100" s="42" t="n">
        <x:v>0.78</x:v>
      </x:c>
      <x:c r="AP100" s="42" t="n">
        <x:v>0.8</x:v>
      </x:c>
      <x:c r="AQ100" s="42" t="n">
        <x:v>0.8200000000000001</x:v>
      </x:c>
      <x:c r="AR100" s="42" t="n">
        <x:v>1</x:v>
      </x:c>
      <x:c r="AS100" s="42" t="n">
        <x:v>1</x:v>
      </x:c>
      <x:c r="AT100" s="42" t="n">
        <x:v>1</x:v>
      </x:c>
      <x:c r="AU100" t="str">
        <x:v>USD</x:v>
      </x:c>
      <x:c r="AV100" t="str">
        <x:v>calico</x:v>
      </x:c>
    </x:row>
    <x:row r="101" ht="23" customHeight="1">
      <x:c r="A101" s="11" t="str">
        <x:v>01093.HK</x:v>
      </x:c>
      <x:c r="B101" s="11" t="str">
        <x:v>2026年底</x:v>
      </x:c>
      <x:c r="C101" s="11" t="str">
        <x:v>OTHER_OVERSEAS</x:v>
      </x:c>
      <x:c r="D101" s="11" t="str">
        <x:v>2041-12-31</x:v>
      </x:c>
      <x:c r="E101" s="11" t="str">
        <x:v>USD</x:v>
      </x:c>
      <x:c r="F101" s="11" t="n">
        <x:v>15.000684462696784</x:v>
      </x:c>
      <x:c r="G101" s="26" t="b">
        <x:v>1</x:v>
      </x:c>
      <x:c r="H101" s="16" t="n">
        <x:v>1.32</x:v>
      </x:c>
      <x:c r="I101" s="16" t="n">
        <x:v>2.4</x:v>
      </x:c>
      <x:c r="J101" s="16" t="n">
        <x:v>4.05</x:v>
      </x:c>
      <x:c r="K101" s="11" t="n">
        <x:f>CHOOSE('假设'!$B$3,H101,I101,J101)</x:f>
        <x:v>2.4</x:v>
      </x:c>
      <x:c r="L101" s="11" t="n">
        <x:f>K101*'管线假设'!E27*'管线假设'!F27*'管线假设'!G27*IF(E101="USD",'管线假设'!I27,1)-AM101</x:f>
        <x:v>0.11321856</x:v>
      </x:c>
      <x:c r="M101" s="11" t="n">
        <x:f>'管线假设'!H27</x:f>
        <x:v>0.13</x:v>
      </x:c>
      <x:c r="N101" s="11" t="n">
        <x:f>IF(G101,L101*AN101/(1+M101)^F101,0)</x:f>
        <x:v>0.018101086528200562</x:v>
      </x:c>
      <x:c r="P101" t="str">
        <x:v>688062.SH</x:v>
      </x:c>
      <x:c r="Q101" t="str">
        <x:v>五年</x:v>
      </x:c>
      <x:c r="R101" t="str">
        <x:v>2035-12-31</x:v>
      </x:c>
      <x:c r="S101" t="n">
        <x:v>4.227241615331964</x:v>
      </x:c>
      <x:c r="T101" s="27" t="b">
        <x:v>1</x:v>
      </x:c>
      <x:c r="U101" s="42" t="n">
        <x:v>0.005</x:v>
      </x:c>
      <x:c r="V101" s="42" t="n">
        <x:v>0.04</x:v>
      </x:c>
      <x:c r="W101" s="42" t="n">
        <x:v>0.14</x:v>
      </x:c>
      <x:c r="X101" s="42" t="n">
        <x:v>1</x:v>
      </x:c>
      <x:c r="Y101" s="42" t="n">
        <x:v>1</x:v>
      </x:c>
      <x:c r="Z101" s="42" t="n">
        <x:v>1</x:v>
      </x:c>
      <x:c r="AA101" t="n">
        <x:f>AB101/(1+'管线假设'!H1283)^S101</x:f>
        <x:v>0.12505709479160396</x:v>
      </x:c>
      <x:c r="AB101" t="n">
        <x:f>IF(T101,CHOOSE('假设'!$B$3,U101,V101,W101)*CHOOSE('假设'!$B$3,X101,Y101,Z101)*CHOOSE('假设'!$B$3,AO101,AP101,AQ101)*CHOOSE('假设'!$B$3,AR101,AS101,AT101)*IF(AU101="USD",'管线假设'!I1283,1),0)</x:f>
        <x:v>0.2176</x:v>
      </x:c>
      <x:c r="AJ101" t="n">
        <x:v>0</x:v>
      </x:c>
      <x:c r="AK101" t="n">
        <x:v>0</x:v>
      </x:c>
      <x:c r="AL101" t="n">
        <x:v>0</x:v>
      </x:c>
      <x:c r="AM101" t="n">
        <x:f>CHOOSE('假设'!$B$3,AJ101,AK101,AL101)</x:f>
        <x:v>0</x:v>
      </x:c>
      <x:c r="AN101" t="n">
        <x:v>1</x:v>
      </x:c>
      <x:c r="AO101" s="42" t="n">
        <x:v>0.78</x:v>
      </x:c>
      <x:c r="AP101" s="42" t="n">
        <x:v>0.8</x:v>
      </x:c>
      <x:c r="AQ101" s="42" t="n">
        <x:v>0.8200000000000001</x:v>
      </x:c>
      <x:c r="AR101" s="42" t="n">
        <x:v>1</x:v>
      </x:c>
      <x:c r="AS101" s="42" t="n">
        <x:v>1</x:v>
      </x:c>
      <x:c r="AT101" s="42" t="n">
        <x:v>1</x:v>
      </x:c>
      <x:c r="AU101" t="str">
        <x:v>USD</x:v>
      </x:c>
      <x:c r="AV101" t="str">
        <x:v>kalexo</x:v>
      </x:c>
    </x:row>
    <x:row r="102" ht="23" customHeight="1">
      <x:c r="A102" s="11" t="str">
        <x:v>01093.HK</x:v>
      </x:c>
      <x:c r="B102" s="11" t="str">
        <x:v>2026年底</x:v>
      </x:c>
      <x:c r="C102" s="11" t="str">
        <x:v>OTHER_OVERSEAS</x:v>
      </x:c>
      <x:c r="D102" s="11" t="str">
        <x:v>2042-12-31</x:v>
      </x:c>
      <x:c r="E102" s="11" t="str">
        <x:v>USD</x:v>
      </x:c>
      <x:c r="F102" s="11" t="n">
        <x:v>16</x:v>
      </x:c>
      <x:c r="G102" s="26" t="b">
        <x:v>1</x:v>
      </x:c>
      <x:c r="H102" s="16" t="n">
        <x:v>1.125</x:v>
      </x:c>
      <x:c r="I102" s="16" t="n">
        <x:v>1.8</x:v>
      </x:c>
      <x:c r="J102" s="16" t="n">
        <x:v>2.6999999999999997</x:v>
      </x:c>
      <x:c r="K102" s="11" t="n">
        <x:f>CHOOSE('假设'!$B$3,H102,I102,J102)</x:f>
        <x:v>1.8</x:v>
      </x:c>
      <x:c r="L102" s="11" t="n">
        <x:f>K102*'管线假设'!E27*'管线假设'!F27*'管线假设'!G27*IF(E102="USD",'管线假设'!I27,1)-AM102</x:f>
        <x:v>0.08491392000000002</x:v>
      </x:c>
      <x:c r="M102" s="11" t="n">
        <x:f>'管线假设'!H27</x:f>
        <x:v>0.13</x:v>
      </x:c>
      <x:c r="N102" s="11" t="n">
        <x:f>IF(G102,L102*AN102/(1+M102)^F102,0)</x:f>
        <x:v>0.01201500053705224</x:v>
      </x:c>
      <x:c r="P102" t="str">
        <x:v>09995.HK</x:v>
      </x:c>
      <x:c r="Q102" t="str">
        <x:v>2026年底</x:v>
      </x:c>
      <x:c r="R102" t="str">
        <x:v>2028-12-31</x:v>
      </x:c>
      <x:c r="S102" t="n">
        <x:v>2.001368925393566</x:v>
      </x:c>
      <x:c r="T102" s="27" t="b">
        <x:v>1</x:v>
      </x:c>
      <x:c r="U102" s="42" t="n">
        <x:v>0</x:v>
      </x:c>
      <x:c r="V102" s="42" t="n">
        <x:v>0.05</x:v>
      </x:c>
      <x:c r="W102" s="42" t="n">
        <x:v>0.1</x:v>
      </x:c>
      <x:c r="X102" s="42" t="n">
        <x:v>0</x:v>
      </x:c>
      <x:c r="Y102" s="42" t="n">
        <x:v>0.5</x:v>
      </x:c>
      <x:c r="Z102" s="42" t="n">
        <x:v>0.7</x:v>
      </x:c>
      <x:c r="AA102" t="n">
        <x:f>AB102/(1+'管线假设'!H1347)^S102</x:f>
        <x:v>0.10770613322850812</x:v>
      </x:c>
      <x:c r="AB102" t="n">
        <x:f>IF(T102,CHOOSE('假设'!$B$3,U102,V102,W102)*CHOOSE('假设'!$B$3,X102,Y102,Z102)*CHOOSE('假设'!$B$3,AO102,AP102,AQ102)*CHOOSE('假设'!$B$3,AR102,AS102,AT102)*IF(AU102="USD",'管线假设'!I1347,1),0)</x:f>
        <x:v>0.14</x:v>
      </x:c>
      <x:c r="AJ102" t="n">
        <x:v>0</x:v>
      </x:c>
      <x:c r="AK102" t="n">
        <x:v>0</x:v>
      </x:c>
      <x:c r="AL102" t="n">
        <x:v>0</x:v>
      </x:c>
      <x:c r="AM102" t="n">
        <x:f>CHOOSE('假设'!$B$3,AJ102,AK102,AL102)</x:f>
        <x:v>0</x:v>
      </x:c>
      <x:c r="AN102" t="n">
        <x:v>1</x:v>
      </x:c>
      <x:c r="AO102" s="42" t="n">
        <x:v>0.8</x:v>
      </x:c>
      <x:c r="AP102" s="42" t="n">
        <x:v>0.8</x:v>
      </x:c>
      <x:c r="AQ102" s="42" t="n">
        <x:v>0.8</x:v>
      </x:c>
      <x:c r="AR102" s="42" t="n">
        <x:v>0.9</x:v>
      </x:c>
      <x:c r="AS102" s="42" t="n">
        <x:v>1</x:v>
      </x:c>
      <x:c r="AT102" s="42" t="n">
        <x:v>1</x:v>
      </x:c>
      <x:c r="AU102" t="str">
        <x:v>USD</x:v>
      </x:c>
      <x:c r="AV102" t="str">
        <x:v>RC148 future eligible excluding650mreceived</x:v>
      </x:c>
    </x:row>
    <x:row r="103" ht="23" customHeight="1">
      <x:c r="A103" s="11" t="str">
        <x:v>01093.HK</x:v>
      </x:c>
      <x:c r="B103" s="11" t="str">
        <x:v>2026年底</x:v>
      </x:c>
      <x:c r="C103" s="11" t="str">
        <x:v>OTHER_OVERSEAS</x:v>
      </x:c>
      <x:c r="D103" s="11" t="str">
        <x:v>2043-12-31</x:v>
      </x:c>
      <x:c r="E103" s="11" t="str">
        <x:v>USD</x:v>
      </x:c>
      <x:c r="F103" s="11" t="n">
        <x:v>16.999315537303218</x:v>
      </x:c>
      <x:c r="G103" s="26" t="b">
        <x:v>1</x:v>
      </x:c>
      <x:c r="H103" s="16" t="n">
        <x:v>0.8999999999999999</x:v>
      </x:c>
      <x:c r="I103" s="16" t="n">
        <x:v>1.2</x:v>
      </x:c>
      <x:c r="J103" s="16" t="n">
        <x:v>1.6199999999999999</x:v>
      </x:c>
      <x:c r="K103" s="11" t="n">
        <x:f>CHOOSE('假设'!$B$3,H103,I103,J103)</x:f>
        <x:v>1.2</x:v>
      </x:c>
      <x:c r="L103" s="11" t="n">
        <x:f>K103*'管线假设'!E27*'管线假设'!F27*'管线假设'!G27*IF(E103="USD",'管线假设'!I27,1)-AM103</x:f>
        <x:v>0.05660928</x:v>
      </x:c>
      <x:c r="M103" s="11" t="n">
        <x:f>'管线假设'!H27</x:f>
        <x:v>0.13</x:v>
      </x:c>
      <x:c r="N103" s="11" t="n">
        <x:f>IF(G103,L103*AN103/(1+M103)^F103,0)</x:f>
        <x:v>0.007089088893725784</x:v>
      </x:c>
      <x:c r="P103" t="str">
        <x:v>09995.HK</x:v>
      </x:c>
      <x:c r="Q103" t="str">
        <x:v>2026年底</x:v>
      </x:c>
      <x:c r="R103" t="str">
        <x:v>2028-12-31</x:v>
      </x:c>
      <x:c r="S103" t="n">
        <x:v>2.001368925393566</x:v>
      </x:c>
      <x:c r="T103" s="27" t="b">
        <x:v>1</x:v>
      </x:c>
      <x:c r="U103" s="42" t="n">
        <x:v>0</x:v>
      </x:c>
      <x:c r="V103" s="42" t="n">
        <x:v>0.06</x:v>
      </x:c>
      <x:c r="W103" s="42" t="n">
        <x:v>0.1</x:v>
      </x:c>
      <x:c r="X103" s="42" t="n">
        <x:v>0</x:v>
      </x:c>
      <x:c r="Y103" s="42" t="n">
        <x:v>0.6</x:v>
      </x:c>
      <x:c r="Z103" s="42" t="n">
        <x:v>0.8</x:v>
      </x:c>
      <x:c r="AA103" t="n">
        <x:f>AB103/(1+'管线假设'!H1347)^S103</x:f>
        <x:v>0.15509683184905168</x:v>
      </x:c>
      <x:c r="AB103" t="n">
        <x:f>IF(T103,CHOOSE('假设'!$B$3,U103,V103,W103)*CHOOSE('假设'!$B$3,X103,Y103,Z103)*CHOOSE('假设'!$B$3,AO103,AP103,AQ103)*CHOOSE('假设'!$B$3,AR103,AS103,AT103)*IF(AU103="USD",'管线假设'!I1347,1),0)</x:f>
        <x:v>0.2016</x:v>
      </x:c>
      <x:c r="AJ103" t="n">
        <x:v>0</x:v>
      </x:c>
      <x:c r="AK103" t="n">
        <x:v>0</x:v>
      </x:c>
      <x:c r="AL103" t="n">
        <x:v>0</x:v>
      </x:c>
      <x:c r="AM103" t="n">
        <x:f>CHOOSE('假设'!$B$3,AJ103,AK103,AL103)</x:f>
        <x:v>0</x:v>
      </x:c>
      <x:c r="AN103" t="n">
        <x:v>1</x:v>
      </x:c>
      <x:c r="AO103" s="42" t="n">
        <x:v>0.8</x:v>
      </x:c>
      <x:c r="AP103" s="42" t="n">
        <x:v>0.8</x:v>
      </x:c>
      <x:c r="AQ103" s="42" t="n">
        <x:v>0.8</x:v>
      </x:c>
      <x:c r="AR103" s="42" t="n">
        <x:v>0.9</x:v>
      </x:c>
      <x:c r="AS103" s="42" t="n">
        <x:v>1</x:v>
      </x:c>
      <x:c r="AT103" s="42" t="n">
        <x:v>1</x:v>
      </x:c>
      <x:c r="AU103" t="str">
        <x:v>USD</x:v>
      </x:c>
      <x:c r="AV103" t="str">
        <x:v>RC18 regulatory330mcap and future sales milestones partial, excludes45mreceived</x:v>
      </x:c>
    </x:row>
    <x:row r="104" ht="23" customHeight="1">
      <x:c r="A104" s="11" t="str">
        <x:v>01093.HK</x:v>
      </x:c>
      <x:c r="B104" s="11" t="str">
        <x:v>半年</x:v>
      </x:c>
      <x:c r="C104" s="11" t="str">
        <x:v>SYS6010_DOM</x:v>
      </x:c>
      <x:c r="D104" s="11" t="str">
        <x:v>2027-12-31</x:v>
      </x:c>
      <x:c r="E104" s="11" t="str">
        <x:v>CNY</x:v>
      </x:c>
      <x:c r="F104" s="11" t="n">
        <x:v>0.7282683093771389</x:v>
      </x:c>
      <x:c r="G104" s="26" t="b">
        <x:v>1</x:v>
      </x:c>
      <x:c r="H104" s="16" t="n">
        <x:v>0</x:v>
      </x:c>
      <x:c r="I104" s="16" t="n">
        <x:v>0.4</x:v>
      </x:c>
      <x:c r="J104" s="16" t="n">
        <x:v>0.72</x:v>
      </x:c>
      <x:c r="K104" s="11" t="n">
        <x:f>CHOOSE('假设'!$B$3,H104,I104,J104)</x:f>
        <x:v>0.4</x:v>
      </x:c>
      <x:c r="L104" s="11" t="n">
        <x:f>K104*'管线假设'!E31*'管线假设'!F31*'管线假设'!G31*IF(E104="USD",'管线假设'!I31,1)-AM104</x:f>
        <x:v>0.05319999999999999</x:v>
      </x:c>
      <x:c r="M104" s="11" t="n">
        <x:f>'管线假设'!H31</x:f>
        <x:v>0.13</x:v>
      </x:c>
      <x:c r="N104" s="11" t="n">
        <x:f>IF(G104,L104*AN104/(1+M104)^F104,0)</x:f>
        <x:v>0.048669432693232914</x:v>
      </x:c>
      <x:c r="P104" t="str">
        <x:v>09995.HK</x:v>
      </x:c>
      <x:c r="Q104" t="str">
        <x:v>2026年底</x:v>
      </x:c>
      <x:c r="R104" t="str">
        <x:v>2028-12-31</x:v>
      </x:c>
      <x:c r="S104" t="n">
        <x:v>2.001368925393566</x:v>
      </x:c>
      <x:c r="T104" s="27" t="b">
        <x:v>1</x:v>
      </x:c>
      <x:c r="U104" s="42" t="n">
        <x:v>0</x:v>
      </x:c>
      <x:c r="V104" s="42" t="n">
        <x:v>0</x:v>
      </x:c>
      <x:c r="W104" s="42" t="n">
        <x:v>0.12</x:v>
      </x:c>
      <x:c r="X104" s="42" t="n">
        <x:v>0</x:v>
      </x:c>
      <x:c r="Y104" s="42" t="n">
        <x:v>0</x:v>
      </x:c>
      <x:c r="Z104" s="42" t="n">
        <x:v>0.8</x:v>
      </x:c>
      <x:c r="AA104" t="n">
        <x:f>AB104/(1+'管线假设'!H1347)^S104</x:f>
        <x:v>0</x:v>
      </x:c>
      <x:c r="AB104" t="n">
        <x:f>IF(T104,CHOOSE('假设'!$B$3,U104,V104,W104)*CHOOSE('假设'!$B$3,X104,Y104,Z104)*CHOOSE('假设'!$B$3,AO104,AP104,AQ104)*CHOOSE('假设'!$B$3,AR104,AS104,AT104)*IF(AU104="USD",'管线假设'!I1347,1),0)</x:f>
        <x:v>0</x:v>
      </x:c>
      <x:c r="AJ104" t="n">
        <x:v>0</x:v>
      </x:c>
      <x:c r="AK104" t="n">
        <x:v>0</x:v>
      </x:c>
      <x:c r="AL104" t="n">
        <x:v>0</x:v>
      </x:c>
      <x:c r="AM104" t="n">
        <x:f>CHOOSE('假设'!$B$3,AJ104,AK104,AL104)</x:f>
        <x:v>0</x:v>
      </x:c>
      <x:c r="AN104" t="n">
        <x:v>1</x:v>
      </x:c>
      <x:c r="AO104" s="42" t="n">
        <x:v>0.8</x:v>
      </x:c>
      <x:c r="AP104" s="42" t="n">
        <x:v>0.8</x:v>
      </x:c>
      <x:c r="AQ104" s="42" t="n">
        <x:v>0.8</x:v>
      </x:c>
      <x:c r="AR104" s="42" t="n">
        <x:v>0.9</x:v>
      </x:c>
      <x:c r="AS104" s="42" t="n">
        <x:v>0.9</x:v>
      </x:c>
      <x:c r="AT104" s="42" t="n">
        <x:v>1</x:v>
      </x:c>
      <x:c r="AU104" t="str">
        <x:v>USD</x:v>
      </x:c>
      <x:c r="AV104" t="str">
        <x:v>RC48 futuremilestones excludes2021upfront200m</x:v>
      </x:c>
    </x:row>
    <x:row r="105" ht="23" customHeight="1">
      <x:c r="A105" s="11" t="str">
        <x:v>01093.HK</x:v>
      </x:c>
      <x:c r="B105" s="11" t="str">
        <x:v>半年</x:v>
      </x:c>
      <x:c r="C105" s="11" t="str">
        <x:v>SYS6010_DOM</x:v>
      </x:c>
      <x:c r="D105" s="11" t="str">
        <x:v>2028-12-31</x:v>
      </x:c>
      <x:c r="E105" s="11" t="str">
        <x:v>CNY</x:v>
      </x:c>
      <x:c r="F105" s="11" t="n">
        <x:v>1.730321697467488</x:v>
      </x:c>
      <x:c r="G105" s="26" t="b">
        <x:v>1</x:v>
      </x:c>
      <x:c r="H105" s="16" t="n">
        <x:v>0</x:v>
      </x:c>
      <x:c r="I105" s="16" t="n">
        <x:v>1.25</x:v>
      </x:c>
      <x:c r="J105" s="16" t="n">
        <x:v>2.25</x:v>
      </x:c>
      <x:c r="K105" s="11" t="n">
        <x:f>CHOOSE('假设'!$B$3,H105,I105,J105)</x:f>
        <x:v>1.25</x:v>
      </x:c>
      <x:c r="L105" s="11" t="n">
        <x:f>K105*'管线假设'!E31*'管线假设'!F31*'管线假设'!G31*IF(E105="USD",'管线假设'!I31,1)-AM105</x:f>
        <x:v>0.16625</x:v>
      </x:c>
      <x:c r="M105" s="11" t="n">
        <x:f>'管线假设'!H31</x:f>
        <x:v>0.13</x:v>
      </x:c>
      <x:c r="N105" s="11" t="n">
        <x:f>IF(G105,L105*AN105/(1+M105)^F105,0)</x:f>
        <x:v>0.13456089638726876</x:v>
      </x:c>
      <x:c r="P105" t="str">
        <x:v>09995.HK</x:v>
      </x:c>
      <x:c r="Q105" t="str">
        <x:v>2026年底</x:v>
      </x:c>
      <x:c r="R105" t="str">
        <x:v>2029-12-31</x:v>
      </x:c>
      <x:c r="S105" t="n">
        <x:v>3.0006844626967832</x:v>
      </x:c>
      <x:c r="T105" s="27" t="b">
        <x:v>1</x:v>
      </x:c>
      <x:c r="U105" s="42" t="n">
        <x:v>0.03</x:v>
      </x:c>
      <x:c r="V105" s="42" t="n">
        <x:v>0</x:v>
      </x:c>
      <x:c r="W105" s="42" t="n">
        <x:v>0</x:v>
      </x:c>
      <x:c r="X105" s="42" t="n">
        <x:v>0.25</x:v>
      </x:c>
      <x:c r="Y105" s="42" t="n">
        <x:v>0</x:v>
      </x:c>
      <x:c r="Z105" s="42" t="n">
        <x:v>0</x:v>
      </x:c>
      <x:c r="AA105" t="n">
        <x:f>AB105/(1+'管线假设'!H1347)^S105</x:f>
        <x:v>0</x:v>
      </x:c>
      <x:c r="AB105" t="n">
        <x:f>IF(T105,CHOOSE('假设'!$B$3,U105,V105,W105)*CHOOSE('假设'!$B$3,X105,Y105,Z105)*CHOOSE('假设'!$B$3,AO105,AP105,AQ105)*CHOOSE('假设'!$B$3,AR105,AS105,AT105)*IF(AU105="USD",'管线假设'!I1347,1),0)</x:f>
        <x:v>0</x:v>
      </x:c>
      <x:c r="AJ105" t="n">
        <x:v>0</x:v>
      </x:c>
      <x:c r="AK105" t="n">
        <x:v>0</x:v>
      </x:c>
      <x:c r="AL105" t="n">
        <x:v>0</x:v>
      </x:c>
      <x:c r="AM105" t="n">
        <x:f>CHOOSE('假设'!$B$3,AJ105,AK105,AL105)</x:f>
        <x:v>0</x:v>
      </x:c>
      <x:c r="AN105" t="n">
        <x:v>1</x:v>
      </x:c>
      <x:c r="AO105" s="42" t="n">
        <x:v>0.8</x:v>
      </x:c>
      <x:c r="AP105" s="42" t="n">
        <x:v>0.8</x:v>
      </x:c>
      <x:c r="AQ105" s="42" t="n">
        <x:v>0.8</x:v>
      </x:c>
      <x:c r="AR105" s="42" t="n">
        <x:v>1</x:v>
      </x:c>
      <x:c r="AS105" s="42" t="n">
        <x:v>0.9</x:v>
      </x:c>
      <x:c r="AT105" s="42" t="n">
        <x:v>0.9</x:v>
      </x:c>
      <x:c r="AU105" t="str">
        <x:v>USD</x:v>
      </x:c>
      <x:c r="AV105" t="str">
        <x:v>RC18 regulatory330mcap and future sales milestones partial, excludes45mreceived</x:v>
      </x:c>
    </x:row>
    <x:row r="106" ht="23" customHeight="1">
      <x:c r="A106" s="11" t="str">
        <x:v>01093.HK</x:v>
      </x:c>
      <x:c r="B106" s="11" t="str">
        <x:v>半年</x:v>
      </x:c>
      <x:c r="C106" s="11" t="str">
        <x:v>SYS6010_DOM</x:v>
      </x:c>
      <x:c r="D106" s="11" t="str">
        <x:v>2029-12-31</x:v>
      </x:c>
      <x:c r="E106" s="11" t="str">
        <x:v>CNY</x:v>
      </x:c>
      <x:c r="F106" s="11" t="n">
        <x:v>2.729637234770705</x:v>
      </x:c>
      <x:c r="G106" s="26" t="b">
        <x:v>1</x:v>
      </x:c>
      <x:c r="H106" s="16" t="n">
        <x:v>0.14400000000000002</x:v>
      </x:c>
      <x:c r="I106" s="16" t="n">
        <x:v>2.25</x:v>
      </x:c>
      <x:c r="J106" s="16" t="n">
        <x:v>4.05</x:v>
      </x:c>
      <x:c r="K106" s="11" t="n">
        <x:f>CHOOSE('假设'!$B$3,H106,I106,J106)</x:f>
        <x:v>2.25</x:v>
      </x:c>
      <x:c r="L106" s="11" t="n">
        <x:f>K106*'管线假设'!E31*'管线假设'!F31*'管线假设'!G31*IF(E106="USD",'管线假设'!I31,1)-AM106</x:f>
        <x:v>0.29924999999999996</x:v>
      </x:c>
      <x:c r="M106" s="11" t="n">
        <x:f>'管线假设'!H31</x:f>
        <x:v>0.13</x:v>
      </x:c>
      <x:c r="N106" s="11" t="n">
        <x:f>IF(G106,L106*AN106/(1+M106)^F106,0)</x:f>
        <x:v>0.21436272212814872</x:v>
      </x:c>
      <x:c r="P106" t="str">
        <x:v>09995.HK</x:v>
      </x:c>
      <x:c r="Q106" t="str">
        <x:v>2026年底</x:v>
      </x:c>
      <x:c r="R106" t="str">
        <x:v>2029-12-31</x:v>
      </x:c>
      <x:c r="S106" t="n">
        <x:v>3.0006844626967832</x:v>
      </x:c>
      <x:c r="T106" s="27" t="b">
        <x:v>1</x:v>
      </x:c>
      <x:c r="U106" s="42" t="n">
        <x:v>0</x:v>
      </x:c>
      <x:c r="V106" s="42" t="n">
        <x:v>0.08</x:v>
      </x:c>
      <x:c r="W106" s="42" t="n">
        <x:v>0</x:v>
      </x:c>
      <x:c r="X106" s="42" t="n">
        <x:v>0</x:v>
      </x:c>
      <x:c r="Y106" s="42" t="n">
        <x:v>0.55</x:v>
      </x:c>
      <x:c r="Z106" s="42" t="n">
        <x:v>0</x:v>
      </x:c>
      <x:c r="AA106" t="n">
        <x:f>AB106/(1+'管线假设'!H1347)^S106</x:f>
        <x:v>0.16629806665457247</x:v>
      </x:c>
      <x:c r="AB106" t="n">
        <x:f>IF(T106,CHOOSE('假设'!$B$3,U106,V106,W106)*CHOOSE('假设'!$B$3,X106,Y106,Z106)*CHOOSE('假设'!$B$3,AO106,AP106,AQ106)*CHOOSE('假设'!$B$3,AR106,AS106,AT106)*IF(AU106="USD",'管线假设'!I1347,1),0)</x:f>
        <x:v>0.2464</x:v>
      </x:c>
      <x:c r="AJ106" t="n">
        <x:v>0</x:v>
      </x:c>
      <x:c r="AK106" t="n">
        <x:v>0</x:v>
      </x:c>
      <x:c r="AL106" t="n">
        <x:v>0</x:v>
      </x:c>
      <x:c r="AM106" t="n">
        <x:f>CHOOSE('假设'!$B$3,AJ106,AK106,AL106)</x:f>
        <x:v>0</x:v>
      </x:c>
      <x:c r="AN106" t="n">
        <x:v>1</x:v>
      </x:c>
      <x:c r="AO106" s="42" t="n">
        <x:v>0.8</x:v>
      </x:c>
      <x:c r="AP106" s="42" t="n">
        <x:v>0.8</x:v>
      </x:c>
      <x:c r="AQ106" s="42" t="n">
        <x:v>0.8</x:v>
      </x:c>
      <x:c r="AR106" s="42" t="n">
        <x:v>0.9</x:v>
      </x:c>
      <x:c r="AS106" s="42" t="n">
        <x:v>1</x:v>
      </x:c>
      <x:c r="AT106" s="42" t="n">
        <x:v>0.9</x:v>
      </x:c>
      <x:c r="AU106" t="str">
        <x:v>USD</x:v>
      </x:c>
      <x:c r="AV106" t="str">
        <x:v>RC48 futuremilestones excludes2021upfront200m</x:v>
      </x:c>
    </x:row>
    <x:row r="107" ht="23" customHeight="1">
      <x:c r="A107" s="11" t="str">
        <x:v>01093.HK</x:v>
      </x:c>
      <x:c r="B107" s="11" t="str">
        <x:v>半年</x:v>
      </x:c>
      <x:c r="C107" s="11" t="str">
        <x:v>SYS6010_DOM</x:v>
      </x:c>
      <x:c r="D107" s="11" t="str">
        <x:v>2030-12-31</x:v>
      </x:c>
      <x:c r="E107" s="11" t="str">
        <x:v>CNY</x:v>
      </x:c>
      <x:c r="F107" s="11" t="n">
        <x:v>3.728952772073922</x:v>
      </x:c>
      <x:c r="G107" s="26" t="b">
        <x:v>1</x:v>
      </x:c>
      <x:c r="H107" s="16" t="n">
        <x:v>0.45</x:v>
      </x:c>
      <x:c r="I107" s="16" t="n">
        <x:v>3.25</x:v>
      </x:c>
      <x:c r="J107" s="16" t="n">
        <x:v>5.8500000000000005</x:v>
      </x:c>
      <x:c r="K107" s="11" t="n">
        <x:f>CHOOSE('假设'!$B$3,H107,I107,J107)</x:f>
        <x:v>3.25</x:v>
      </x:c>
      <x:c r="L107" s="11" t="n">
        <x:f>K107*'管线假设'!E31*'管线假设'!F31*'管线假设'!G31*IF(E107="USD",'管线假设'!I31,1)-AM107</x:f>
        <x:v>0.43224999999999997</x:v>
      </x:c>
      <x:c r="M107" s="11" t="n">
        <x:f>'管线假设'!H31</x:f>
        <x:v>0.13</x:v>
      </x:c>
      <x:c r="N107" s="11" t="n">
        <x:f>IF(G107,L107*AN107/(1+M107)^F107,0)</x:f>
        <x:v>0.27403623556175166</x:v>
      </x:c>
      <x:c r="P107" t="str">
        <x:v>09995.HK</x:v>
      </x:c>
      <x:c r="Q107" t="str">
        <x:v>2026年底</x:v>
      </x:c>
      <x:c r="R107" t="str">
        <x:v>2030-12-31</x:v>
      </x:c>
      <x:c r="S107" t="n">
        <x:v>4</x:v>
      </x:c>
      <x:c r="T107" s="27" t="b">
        <x:v>1</x:v>
      </x:c>
      <x:c r="U107" s="42" t="n">
        <x:v>0.04</x:v>
      </x:c>
      <x:c r="V107" s="42" t="n">
        <x:v>0.15</x:v>
      </x:c>
      <x:c r="W107" s="42" t="n">
        <x:v>0.3</x:v>
      </x:c>
      <x:c r="X107" s="42" t="n">
        <x:v>0.18</x:v>
      </x:c>
      <x:c r="Y107" s="42" t="n">
        <x:v>0.45</x:v>
      </x:c>
      <x:c r="Z107" s="42" t="n">
        <x:v>0.65</x:v>
      </x:c>
      <x:c r="AA107" t="n">
        <x:f>AB107/(1+'管线假设'!H1347)^S107</x:f>
        <x:v>0.22380634484593165</x:v>
      </x:c>
      <x:c r="AB107" t="n">
        <x:f>IF(T107,CHOOSE('假设'!$B$3,U107,V107,W107)*CHOOSE('假设'!$B$3,X107,Y107,Z107)*CHOOSE('假设'!$B$3,AO107,AP107,AQ107)*CHOOSE('假设'!$B$3,AR107,AS107,AT107)*IF(AU107="USD",'管线假设'!I1347,1),0)</x:f>
        <x:v>0.37800000000000006</x:v>
      </x:c>
      <x:c r="AJ107" t="n">
        <x:v>0</x:v>
      </x:c>
      <x:c r="AK107" t="n">
        <x:v>0</x:v>
      </x:c>
      <x:c r="AL107" t="n">
        <x:v>0</x:v>
      </x:c>
      <x:c r="AM107" t="n">
        <x:f>CHOOSE('假设'!$B$3,AJ107,AK107,AL107)</x:f>
        <x:v>0</x:v>
      </x:c>
      <x:c r="AN107" t="n">
        <x:v>1</x:v>
      </x:c>
      <x:c r="AO107" s="42" t="n">
        <x:v>0.8</x:v>
      </x:c>
      <x:c r="AP107" s="42" t="n">
        <x:v>0.8</x:v>
      </x:c>
      <x:c r="AQ107" s="42" t="n">
        <x:v>0.8</x:v>
      </x:c>
      <x:c r="AR107" s="42" t="n">
        <x:v>1</x:v>
      </x:c>
      <x:c r="AS107" s="42" t="n">
        <x:v>1</x:v>
      </x:c>
      <x:c r="AT107" s="42" t="n">
        <x:v>1</x:v>
      </x:c>
      <x:c r="AU107" t="str">
        <x:v>USD</x:v>
      </x:c>
      <x:c r="AV107" t="str">
        <x:v>RC148 future eligible excluding650mreceived</x:v>
      </x:c>
    </x:row>
    <x:row r="108" ht="23" customHeight="1">
      <x:c r="A108" s="11" t="str">
        <x:v>01093.HK</x:v>
      </x:c>
      <x:c r="B108" s="11" t="str">
        <x:v>半年</x:v>
      </x:c>
      <x:c r="C108" s="11" t="str">
        <x:v>SYS6010_DOM</x:v>
      </x:c>
      <x:c r="D108" s="11" t="str">
        <x:v>2031-12-31</x:v>
      </x:c>
      <x:c r="E108" s="11" t="str">
        <x:v>CNY</x:v>
      </x:c>
      <x:c r="F108" s="11" t="n">
        <x:v>4.728268309377139</x:v>
      </x:c>
      <x:c r="G108" s="26" t="b">
        <x:v>1</x:v>
      </x:c>
      <x:c r="H108" s="16" t="n">
        <x:v>0.81</x:v>
      </x:c>
      <x:c r="I108" s="16" t="n">
        <x:v>4.25</x:v>
      </x:c>
      <x:c r="J108" s="16" t="n">
        <x:v>7.6499999999999995</x:v>
      </x:c>
      <x:c r="K108" s="11" t="n">
        <x:f>CHOOSE('假设'!$B$3,H108,I108,J108)</x:f>
        <x:v>4.25</x:v>
      </x:c>
      <x:c r="L108" s="11" t="n">
        <x:f>K108*'管线假设'!E31*'管线假设'!F31*'管线假设'!G31*IF(E108="USD",'管线假设'!I31,1)-AM108</x:f>
        <x:v>0.5652499999999999</x:v>
      </x:c>
      <x:c r="M108" s="11" t="n">
        <x:f>'管线假设'!H31</x:f>
        <x:v>0.13</x:v>
      </x:c>
      <x:c r="N108" s="11" t="n">
        <x:f>IF(G108,L108*AN108/(1+M108)^F108,0)</x:f>
        <x:v>0.31715491694808845</x:v>
      </x:c>
      <x:c r="P108" t="str">
        <x:v>09995.HK</x:v>
      </x:c>
      <x:c r="Q108" t="str">
        <x:v>2026年底</x:v>
      </x:c>
      <x:c r="R108" t="str">
        <x:v>2030-12-31</x:v>
      </x:c>
      <x:c r="S108" t="n">
        <x:v>4</x:v>
      </x:c>
      <x:c r="T108" s="27" t="b">
        <x:v>1</x:v>
      </x:c>
      <x:c r="U108" s="42" t="n">
        <x:v>0</x:v>
      </x:c>
      <x:c r="V108" s="42" t="n">
        <x:v>0.08</x:v>
      </x:c>
      <x:c r="W108" s="42" t="n">
        <x:v>0.15</x:v>
      </x:c>
      <x:c r="X108" s="42" t="n">
        <x:v>0</x:v>
      </x:c>
      <x:c r="Y108" s="42" t="n">
        <x:v>0.5</x:v>
      </x:c>
      <x:c r="Z108" s="42" t="n">
        <x:v>0.7</x:v>
      </x:c>
      <x:c r="AA108" t="n">
        <x:f>AB108/(1+'管线假设'!H1347)^S108</x:f>
        <x:v>0.13262598213092244</x:v>
      </x:c>
      <x:c r="AB108" t="n">
        <x:f>IF(T108,CHOOSE('假设'!$B$3,U108,V108,W108)*CHOOSE('假设'!$B$3,X108,Y108,Z108)*CHOOSE('假设'!$B$3,AO108,AP108,AQ108)*CHOOSE('假设'!$B$3,AR108,AS108,AT108)*IF(AU108="USD",'管线假设'!I1347,1),0)</x:f>
        <x:v>0.224</x:v>
      </x:c>
      <x:c r="AJ108" t="n">
        <x:v>0</x:v>
      </x:c>
      <x:c r="AK108" t="n">
        <x:v>0</x:v>
      </x:c>
      <x:c r="AL108" t="n">
        <x:v>0</x:v>
      </x:c>
      <x:c r="AM108" t="n">
        <x:f>CHOOSE('假设'!$B$3,AJ108,AK108,AL108)</x:f>
        <x:v>0</x:v>
      </x:c>
      <x:c r="AN108" t="n">
        <x:v>1</x:v>
      </x:c>
      <x:c r="AO108" s="42" t="n">
        <x:v>0.8</x:v>
      </x:c>
      <x:c r="AP108" s="42" t="n">
        <x:v>0.8</x:v>
      </x:c>
      <x:c r="AQ108" s="42" t="n">
        <x:v>0.8</x:v>
      </x:c>
      <x:c r="AR108" s="42" t="n">
        <x:v>0.9</x:v>
      </x:c>
      <x:c r="AS108" s="42" t="n">
        <x:v>1</x:v>
      </x:c>
      <x:c r="AT108" s="42" t="n">
        <x:v>1</x:v>
      </x:c>
      <x:c r="AU108" t="str">
        <x:v>USD</x:v>
      </x:c>
      <x:c r="AV108" t="str">
        <x:v>RC18 regulatory330mcap and future sales milestones partial, excludes45mreceived</x:v>
      </x:c>
    </x:row>
    <x:row r="109" ht="23" customHeight="1">
      <x:c r="A109" s="11" t="str">
        <x:v>01093.HK</x:v>
      </x:c>
      <x:c r="B109" s="11" t="str">
        <x:v>半年</x:v>
      </x:c>
      <x:c r="C109" s="11" t="str">
        <x:v>SYS6010_DOM</x:v>
      </x:c>
      <x:c r="D109" s="11" t="str">
        <x:v>2032-12-31</x:v>
      </x:c>
      <x:c r="E109" s="11" t="str">
        <x:v>CNY</x:v>
      </x:c>
      <x:c r="F109" s="11" t="n">
        <x:v>5.730321697467488</x:v>
      </x:c>
      <x:c r="G109" s="26" t="b">
        <x:v>1</x:v>
      </x:c>
      <x:c r="H109" s="16" t="n">
        <x:v>1.1700000000000002</x:v>
      </x:c>
      <x:c r="I109" s="16" t="n">
        <x:v>5</x:v>
      </x:c>
      <x:c r="J109" s="16" t="n">
        <x:v>9</x:v>
      </x:c>
      <x:c r="K109" s="11" t="n">
        <x:f>CHOOSE('假设'!$B$3,H109,I109,J109)</x:f>
        <x:v>5</x:v>
      </x:c>
      <x:c r="L109" s="11" t="n">
        <x:f>K109*'管线假设'!E31*'管线假设'!F31*'管线假设'!G31*IF(E109="USD",'管线假设'!I31,1)-AM109</x:f>
        <x:v>0.665</x:v>
      </x:c>
      <x:c r="M109" s="11" t="n">
        <x:f>'管线假设'!H31</x:f>
        <x:v>0.13</x:v>
      </x:c>
      <x:c r="N109" s="11" t="n">
        <x:f>IF(G109,L109*AN109/(1+M109)^F109,0)</x:f>
        <x:v>0.3301148710705445</x:v>
      </x:c>
      <x:c r="P109" t="str">
        <x:v>09995.HK</x:v>
      </x:c>
      <x:c r="Q109" t="str">
        <x:v>2026年底</x:v>
      </x:c>
      <x:c r="R109" t="str">
        <x:v>2030-12-31</x:v>
      </x:c>
      <x:c r="S109" t="n">
        <x:v>4</x:v>
      </x:c>
      <x:c r="T109" s="27" t="b">
        <x:v>1</x:v>
      </x:c>
      <x:c r="U109" s="42" t="n">
        <x:v>0.03</x:v>
      </x:c>
      <x:c r="V109" s="42" t="n">
        <x:v>0</x:v>
      </x:c>
      <x:c r="W109" s="42" t="n">
        <x:v>0.2</x:v>
      </x:c>
      <x:c r="X109" s="42" t="n">
        <x:v>0.2</x:v>
      </x:c>
      <x:c r="Y109" s="42" t="n">
        <x:v>0</x:v>
      </x:c>
      <x:c r="Z109" s="42" t="n">
        <x:v>0.65</x:v>
      </x:c>
      <x:c r="AA109" t="n">
        <x:f>AB109/(1+'管线假设'!H1347)^S109</x:f>
        <x:v>0</x:v>
      </x:c>
      <x:c r="AB109" t="n">
        <x:f>IF(T109,CHOOSE('假设'!$B$3,U109,V109,W109)*CHOOSE('假设'!$B$3,X109,Y109,Z109)*CHOOSE('假设'!$B$3,AO109,AP109,AQ109)*CHOOSE('假设'!$B$3,AR109,AS109,AT109)*IF(AU109="USD",'管线假设'!I1347,1),0)</x:f>
        <x:v>0</x:v>
      </x:c>
      <x:c r="AJ109" t="n">
        <x:v>0</x:v>
      </x:c>
      <x:c r="AK109" t="n">
        <x:v>0</x:v>
      </x:c>
      <x:c r="AL109" t="n">
        <x:v>0</x:v>
      </x:c>
      <x:c r="AM109" t="n">
        <x:f>CHOOSE('假设'!$B$3,AJ109,AK109,AL109)</x:f>
        <x:v>0</x:v>
      </x:c>
      <x:c r="AN109" t="n">
        <x:v>1</x:v>
      </x:c>
      <x:c r="AO109" s="42" t="n">
        <x:v>0.8</x:v>
      </x:c>
      <x:c r="AP109" s="42" t="n">
        <x:v>0.8</x:v>
      </x:c>
      <x:c r="AQ109" s="42" t="n">
        <x:v>0.8</x:v>
      </x:c>
      <x:c r="AR109" s="42" t="n">
        <x:v>1</x:v>
      </x:c>
      <x:c r="AS109" s="42" t="n">
        <x:v>0.9</x:v>
      </x:c>
      <x:c r="AT109" s="42" t="n">
        <x:v>1</x:v>
      </x:c>
      <x:c r="AU109" t="str">
        <x:v>USD</x:v>
      </x:c>
      <x:c r="AV109" t="str">
        <x:v>RC48 futuremilestones excludes2021upfront200m</x:v>
      </x:c>
    </x:row>
    <x:row r="110" ht="23" customHeight="1">
      <x:c r="A110" s="11" t="str">
        <x:v>01093.HK</x:v>
      </x:c>
      <x:c r="B110" s="11" t="str">
        <x:v>半年</x:v>
      </x:c>
      <x:c r="C110" s="11" t="str">
        <x:v>SYS6010_DOM</x:v>
      </x:c>
      <x:c r="D110" s="11" t="str">
        <x:v>2033-12-31</x:v>
      </x:c>
      <x:c r="E110" s="11" t="str">
        <x:v>CNY</x:v>
      </x:c>
      <x:c r="F110" s="11" t="n">
        <x:v>6.729637234770705</x:v>
      </x:c>
      <x:c r="G110" s="26" t="b">
        <x:v>1</x:v>
      </x:c>
      <x:c r="H110" s="16" t="n">
        <x:v>1.53</x:v>
      </x:c>
      <x:c r="I110" s="16" t="n">
        <x:v>5</x:v>
      </x:c>
      <x:c r="J110" s="16" t="n">
        <x:v>9</x:v>
      </x:c>
      <x:c r="K110" s="11" t="n">
        <x:f>CHOOSE('假设'!$B$3,H110,I110,J110)</x:f>
        <x:v>5</x:v>
      </x:c>
      <x:c r="L110" s="11" t="n">
        <x:f>K110*'管线假设'!E31*'管线假设'!F31*'管线假设'!G31*IF(E110="USD",'管线假设'!I31,1)-AM110</x:f>
        <x:v>0.665</x:v>
      </x:c>
      <x:c r="M110" s="11" t="n">
        <x:f>'管线假设'!H31</x:f>
        <x:v>0.13</x:v>
      </x:c>
      <x:c r="N110" s="11" t="n">
        <x:f>IF(G110,L110*AN110/(1+M110)^F110,0)</x:f>
        <x:v>0.2921614933278311</x:v>
      </x:c>
      <x:c r="P110" t="str">
        <x:v>09995.HK</x:v>
      </x:c>
      <x:c r="Q110" t="str">
        <x:v>2026年底</x:v>
      </x:c>
      <x:c r="R110" t="str">
        <x:v>2031-12-31</x:v>
      </x:c>
      <x:c r="S110" t="n">
        <x:v>4.999315537303217</x:v>
      </x:c>
      <x:c r="T110" s="27" t="b">
        <x:v>1</x:v>
      </x:c>
      <x:c r="U110" s="42" t="n">
        <x:v>0</x:v>
      </x:c>
      <x:c r="V110" s="42" t="n">
        <x:v>0.1</x:v>
      </x:c>
      <x:c r="W110" s="42" t="n">
        <x:v>0</x:v>
      </x:c>
      <x:c r="X110" s="42" t="n">
        <x:v>0</x:v>
      </x:c>
      <x:c r="Y110" s="42" t="n">
        <x:v>0.4</x:v>
      </x:c>
      <x:c r="Z110" s="42" t="n">
        <x:v>0</x:v>
      </x:c>
      <x:c r="AA110" t="n">
        <x:f>AB110/(1+'管线假设'!H1347)^S110</x:f>
        <x:v>0.11634901498885787</x:v>
      </x:c>
      <x:c r="AB110" t="n">
        <x:f>IF(T110,CHOOSE('假设'!$B$3,U110,V110,W110)*CHOOSE('假设'!$B$3,X110,Y110,Z110)*CHOOSE('假设'!$B$3,AO110,AP110,AQ110)*CHOOSE('假设'!$B$3,AR110,AS110,AT110)*IF(AU110="USD",'管线假设'!I1347,1),0)</x:f>
        <x:v>0.22400000000000006</x:v>
      </x:c>
      <x:c r="AJ110" t="n">
        <x:v>0</x:v>
      </x:c>
      <x:c r="AK110" t="n">
        <x:v>0</x:v>
      </x:c>
      <x:c r="AL110" t="n">
        <x:v>0</x:v>
      </x:c>
      <x:c r="AM110" t="n">
        <x:f>CHOOSE('假设'!$B$3,AJ110,AK110,AL110)</x:f>
        <x:v>0</x:v>
      </x:c>
      <x:c r="AN110" t="n">
        <x:v>1</x:v>
      </x:c>
      <x:c r="AO110" s="42" t="n">
        <x:v>0.8</x:v>
      </x:c>
      <x:c r="AP110" s="42" t="n">
        <x:v>0.8</x:v>
      </x:c>
      <x:c r="AQ110" s="42" t="n">
        <x:v>0.8</x:v>
      </x:c>
      <x:c r="AR110" s="42" t="n">
        <x:v>0.9</x:v>
      </x:c>
      <x:c r="AS110" s="42" t="n">
        <x:v>1</x:v>
      </x:c>
      <x:c r="AT110" s="42" t="n">
        <x:v>0.9</x:v>
      </x:c>
      <x:c r="AU110" t="str">
        <x:v>USD</x:v>
      </x:c>
      <x:c r="AV110" t="str">
        <x:v>RC48 futuremilestones excludes2021upfront200m</x:v>
      </x:c>
    </x:row>
    <x:row r="111" ht="23" customHeight="1">
      <x:c r="A111" s="11" t="str">
        <x:v>01093.HK</x:v>
      </x:c>
      <x:c r="B111" s="11" t="str">
        <x:v>半年</x:v>
      </x:c>
      <x:c r="C111" s="11" t="str">
        <x:v>SYS6010_DOM</x:v>
      </x:c>
      <x:c r="D111" s="11" t="str">
        <x:v>2034-12-31</x:v>
      </x:c>
      <x:c r="E111" s="11" t="str">
        <x:v>CNY</x:v>
      </x:c>
      <x:c r="F111" s="11" t="n">
        <x:v>7.728952772073922</x:v>
      </x:c>
      <x:c r="G111" s="26" t="b">
        <x:v>1</x:v>
      </x:c>
      <x:c r="H111" s="16" t="n">
        <x:v>1.8</x:v>
      </x:c>
      <x:c r="I111" s="16" t="n">
        <x:v>4.75</x:v>
      </x:c>
      <x:c r="J111" s="16" t="n">
        <x:v>8.549999999999999</x:v>
      </x:c>
      <x:c r="K111" s="11" t="n">
        <x:f>CHOOSE('假设'!$B$3,H111,I111,J111)</x:f>
        <x:v>4.75</x:v>
      </x:c>
      <x:c r="L111" s="11" t="n">
        <x:f>K111*'管线假设'!E31*'管线假设'!F31*'管线假设'!G31*IF(E111="USD",'管线假设'!I31,1)-AM111</x:f>
        <x:v>0.63175</x:v>
      </x:c>
      <x:c r="M111" s="11" t="n">
        <x:f>'管线假设'!H31</x:f>
        <x:v>0.13</x:v>
      </x:c>
      <x:c r="N111" s="11" t="n">
        <x:f>IF(G111,L111*AN111/(1+M111)^F111,0)</x:f>
        <x:v>0.24564304240944698</x:v>
      </x:c>
      <x:c r="P111" t="str">
        <x:v>09995.HK</x:v>
      </x:c>
      <x:c r="Q111" t="str">
        <x:v>2026年底</x:v>
      </x:c>
      <x:c r="R111" t="str">
        <x:v>2032-12-31</x:v>
      </x:c>
      <x:c r="S111" t="n">
        <x:v>6.0013689253935665</x:v>
      </x:c>
      <x:c r="T111" s="27" t="b">
        <x:v>1</x:v>
      </x:c>
      <x:c r="U111" s="42" t="n">
        <x:v>0</x:v>
      </x:c>
      <x:c r="V111" s="42" t="n">
        <x:v>0.15</x:v>
      </x:c>
      <x:c r="W111" s="42" t="n">
        <x:v>0.35</x:v>
      </x:c>
      <x:c r="X111" s="42" t="n">
        <x:v>0</x:v>
      </x:c>
      <x:c r="Y111" s="42" t="n">
        <x:v>0.35</x:v>
      </x:c>
      <x:c r="Z111" s="42" t="n">
        <x:v>0.55</x:v>
      </x:c>
      <x:c r="AA111" t="n">
        <x:f>AB111/(1+'管线假设'!H1347)^S111</x:f>
        <x:v>0.1339184221964519</x:v>
      </x:c>
      <x:c r="AB111" t="n">
        <x:f>IF(T111,CHOOSE('假设'!$B$3,U111,V111,W111)*CHOOSE('假设'!$B$3,X111,Y111,Z111)*CHOOSE('假设'!$B$3,AO111,AP111,AQ111)*CHOOSE('假设'!$B$3,AR111,AS111,AT111)*IF(AU111="USD",'管线假设'!I1347,1),0)</x:f>
        <x:v>0.29400000000000004</x:v>
      </x:c>
      <x:c r="AJ111" t="n">
        <x:v>0</x:v>
      </x:c>
      <x:c r="AK111" t="n">
        <x:v>0</x:v>
      </x:c>
      <x:c r="AL111" t="n">
        <x:v>0</x:v>
      </x:c>
      <x:c r="AM111" t="n">
        <x:f>CHOOSE('假设'!$B$3,AJ111,AK111,AL111)</x:f>
        <x:v>0</x:v>
      </x:c>
      <x:c r="AN111" t="n">
        <x:v>1</x:v>
      </x:c>
      <x:c r="AO111" s="42" t="n">
        <x:v>0.8</x:v>
      </x:c>
      <x:c r="AP111" s="42" t="n">
        <x:v>0.8</x:v>
      </x:c>
      <x:c r="AQ111" s="42" t="n">
        <x:v>0.8</x:v>
      </x:c>
      <x:c r="AR111" s="42" t="n">
        <x:v>0.9</x:v>
      </x:c>
      <x:c r="AS111" s="42" t="n">
        <x:v>1</x:v>
      </x:c>
      <x:c r="AT111" s="42" t="n">
        <x:v>1</x:v>
      </x:c>
      <x:c r="AU111" t="str">
        <x:v>USD</x:v>
      </x:c>
      <x:c r="AV111" t="str">
        <x:v>RC148 future eligible excluding650mreceived</x:v>
      </x:c>
    </x:row>
    <x:row r="112" ht="23" customHeight="1">
      <x:c r="A112" s="11" t="str">
        <x:v>01093.HK</x:v>
      </x:c>
      <x:c r="B112" s="11" t="str">
        <x:v>半年</x:v>
      </x:c>
      <x:c r="C112" s="11" t="str">
        <x:v>SYS6010_DOM</x:v>
      </x:c>
      <x:c r="D112" s="11" t="str">
        <x:v>2035-12-31</x:v>
      </x:c>
      <x:c r="E112" s="11" t="str">
        <x:v>CNY</x:v>
      </x:c>
      <x:c r="F112" s="11" t="n">
        <x:v>8.728268309377139</x:v>
      </x:c>
      <x:c r="G112" s="26" t="b">
        <x:v>1</x:v>
      </x:c>
      <x:c r="H112" s="16" t="n">
        <x:v>1.8</x:v>
      </x:c>
      <x:c r="I112" s="16" t="n">
        <x:v>4.4</x:v>
      </x:c>
      <x:c r="J112" s="16" t="n">
        <x:v>7.92</x:v>
      </x:c>
      <x:c r="K112" s="11" t="n">
        <x:f>CHOOSE('假设'!$B$3,H112,I112,J112)</x:f>
        <x:v>4.4</x:v>
      </x:c>
      <x:c r="L112" s="11" t="n">
        <x:f>K112*'管线假设'!E31*'管线假设'!F31*'管线假设'!G31*IF(E112="USD",'管线假设'!I31,1)-AM112</x:f>
        <x:v>0.5852</x:v>
      </x:c>
      <x:c r="M112" s="11" t="n">
        <x:f>'管线假设'!H31</x:f>
        <x:v>0.13</x:v>
      </x:c>
      <x:c r="N112" s="11" t="n">
        <x:f>IF(G112,L112*AN112/(1+M112)^F112,0)</x:f>
        <x:v>0.20138235779185512</x:v>
      </x:c>
      <x:c r="P112" t="str">
        <x:v>09995.HK</x:v>
      </x:c>
      <x:c r="Q112" t="str">
        <x:v>半年</x:v>
      </x:c>
      <x:c r="R112" t="str">
        <x:v>2028-12-31</x:v>
      </x:c>
      <x:c r="S112" t="n">
        <x:v>1.730321697467488</x:v>
      </x:c>
      <x:c r="T112" s="27" t="b">
        <x:v>1</x:v>
      </x:c>
      <x:c r="U112" s="42" t="n">
        <x:v>0</x:v>
      </x:c>
      <x:c r="V112" s="42" t="n">
        <x:v>0.05</x:v>
      </x:c>
      <x:c r="W112" s="42" t="n">
        <x:v>0.1</x:v>
      </x:c>
      <x:c r="X112" s="42" t="n">
        <x:v>0</x:v>
      </x:c>
      <x:c r="Y112" s="42" t="n">
        <x:v>0.5</x:v>
      </x:c>
      <x:c r="Z112" s="42" t="n">
        <x:v>0.7</x:v>
      </x:c>
      <x:c r="AA112" t="n">
        <x:f>AB112/(1+'管线假设'!H1387)^S112</x:f>
        <x:v>0.11160003651985931</x:v>
      </x:c>
      <x:c r="AB112" t="n">
        <x:f>IF(T112,CHOOSE('假设'!$B$3,U112,V112,W112)*CHOOSE('假设'!$B$3,X112,Y112,Z112)*CHOOSE('假设'!$B$3,AO112,AP112,AQ112)*CHOOSE('假设'!$B$3,AR112,AS112,AT112)*IF(AU112="USD",'管线假设'!I1387,1),0)</x:f>
        <x:v>0.14</x:v>
      </x:c>
      <x:c r="AJ112" t="n">
        <x:v>0</x:v>
      </x:c>
      <x:c r="AK112" t="n">
        <x:v>0</x:v>
      </x:c>
      <x:c r="AL112" t="n">
        <x:v>0</x:v>
      </x:c>
      <x:c r="AM112" t="n">
        <x:f>CHOOSE('假设'!$B$3,AJ112,AK112,AL112)</x:f>
        <x:v>0</x:v>
      </x:c>
      <x:c r="AN112" t="n">
        <x:v>1</x:v>
      </x:c>
      <x:c r="AO112" s="42" t="n">
        <x:v>0.8</x:v>
      </x:c>
      <x:c r="AP112" s="42" t="n">
        <x:v>0.8</x:v>
      </x:c>
      <x:c r="AQ112" s="42" t="n">
        <x:v>0.8</x:v>
      </x:c>
      <x:c r="AR112" s="42" t="n">
        <x:v>0.9</x:v>
      </x:c>
      <x:c r="AS112" s="42" t="n">
        <x:v>1</x:v>
      </x:c>
      <x:c r="AT112" s="42" t="n">
        <x:v>1</x:v>
      </x:c>
      <x:c r="AU112" t="str">
        <x:v>USD</x:v>
      </x:c>
      <x:c r="AV112" t="str">
        <x:v>RC148 future eligible excluding650mreceived</x:v>
      </x:c>
    </x:row>
    <x:row r="113" ht="23" customHeight="1">
      <x:c r="A113" s="11" t="str">
        <x:v>01093.HK</x:v>
      </x:c>
      <x:c r="B113" s="11" t="str">
        <x:v>半年</x:v>
      </x:c>
      <x:c r="C113" s="11" t="str">
        <x:v>SYS6010_DOM</x:v>
      </x:c>
      <x:c r="D113" s="11" t="str">
        <x:v>2036-12-31</x:v>
      </x:c>
      <x:c r="E113" s="11" t="str">
        <x:v>CNY</x:v>
      </x:c>
      <x:c r="F113" s="11" t="n">
        <x:v>9.730321697467488</x:v>
      </x:c>
      <x:c r="G113" s="26" t="b">
        <x:v>1</x:v>
      </x:c>
      <x:c r="H113" s="16" t="n">
        <x:v>1.71</x:v>
      </x:c>
      <x:c r="I113" s="16" t="n">
        <x:v>3.75</x:v>
      </x:c>
      <x:c r="J113" s="16" t="n">
        <x:v>6.75</x:v>
      </x:c>
      <x:c r="K113" s="11" t="n">
        <x:f>CHOOSE('假设'!$B$3,H113,I113,J113)</x:f>
        <x:v>3.75</x:v>
      </x:c>
      <x:c r="L113" s="11" t="n">
        <x:f>K113*'管线假设'!E31*'管线假设'!F31*'管线假设'!G31*IF(E113="USD",'管线假设'!I31,1)-AM113</x:f>
        <x:v>0.49874999999999997</x:v>
      </x:c>
      <x:c r="M113" s="11" t="n">
        <x:f>'管线假设'!H31</x:f>
        <x:v>0.13</x:v>
      </x:c>
      <x:c r="N113" s="11" t="n">
        <x:f>IF(G113,L113*AN113/(1+M113)^F113,0)</x:f>
        <x:v>0.15184922453477087</x:v>
      </x:c>
      <x:c r="P113" t="str">
        <x:v>09995.HK</x:v>
      </x:c>
      <x:c r="Q113" t="str">
        <x:v>半年</x:v>
      </x:c>
      <x:c r="R113" t="str">
        <x:v>2028-12-31</x:v>
      </x:c>
      <x:c r="S113" t="n">
        <x:v>1.730321697467488</x:v>
      </x:c>
      <x:c r="T113" s="27" t="b">
        <x:v>1</x:v>
      </x:c>
      <x:c r="U113" s="42" t="n">
        <x:v>0</x:v>
      </x:c>
      <x:c r="V113" s="42" t="n">
        <x:v>0.06</x:v>
      </x:c>
      <x:c r="W113" s="42" t="n">
        <x:v>0.1</x:v>
      </x:c>
      <x:c r="X113" s="42" t="n">
        <x:v>0</x:v>
      </x:c>
      <x:c r="Y113" s="42" t="n">
        <x:v>0.6</x:v>
      </x:c>
      <x:c r="Z113" s="42" t="n">
        <x:v>0.8</x:v>
      </x:c>
      <x:c r="AA113" t="n">
        <x:f>AB113/(1+'管线假设'!H1387)^S113</x:f>
        <x:v>0.16070405258859738</x:v>
      </x:c>
      <x:c r="AB113" t="n">
        <x:f>IF(T113,CHOOSE('假设'!$B$3,U113,V113,W113)*CHOOSE('假设'!$B$3,X113,Y113,Z113)*CHOOSE('假设'!$B$3,AO113,AP113,AQ113)*CHOOSE('假设'!$B$3,AR113,AS113,AT113)*IF(AU113="USD",'管线假设'!I1387,1),0)</x:f>
        <x:v>0.2016</x:v>
      </x:c>
      <x:c r="AJ113" t="n">
        <x:v>0</x:v>
      </x:c>
      <x:c r="AK113" t="n">
        <x:v>0</x:v>
      </x:c>
      <x:c r="AL113" t="n">
        <x:v>0</x:v>
      </x:c>
      <x:c r="AM113" t="n">
        <x:f>CHOOSE('假设'!$B$3,AJ113,AK113,AL113)</x:f>
        <x:v>0</x:v>
      </x:c>
      <x:c r="AN113" t="n">
        <x:v>1</x:v>
      </x:c>
      <x:c r="AO113" s="42" t="n">
        <x:v>0.8</x:v>
      </x:c>
      <x:c r="AP113" s="42" t="n">
        <x:v>0.8</x:v>
      </x:c>
      <x:c r="AQ113" s="42" t="n">
        <x:v>0.8</x:v>
      </x:c>
      <x:c r="AR113" s="42" t="n">
        <x:v>0.9</x:v>
      </x:c>
      <x:c r="AS113" s="42" t="n">
        <x:v>1</x:v>
      </x:c>
      <x:c r="AT113" s="42" t="n">
        <x:v>1</x:v>
      </x:c>
      <x:c r="AU113" t="str">
        <x:v>USD</x:v>
      </x:c>
      <x:c r="AV113" t="str">
        <x:v>RC18 regulatory330mcap and future sales milestones partial, excludes45mreceived</x:v>
      </x:c>
    </x:row>
    <x:row r="114" ht="23" customHeight="1">
      <x:c r="A114" s="11" t="str">
        <x:v>01093.HK</x:v>
      </x:c>
      <x:c r="B114" s="11" t="str">
        <x:v>半年</x:v>
      </x:c>
      <x:c r="C114" s="11" t="str">
        <x:v>SYS6010_DOM</x:v>
      </x:c>
      <x:c r="D114" s="11" t="str">
        <x:v>2037-12-31</x:v>
      </x:c>
      <x:c r="E114" s="11" t="str">
        <x:v>CNY</x:v>
      </x:c>
      <x:c r="F114" s="11" t="n">
        <x:v>10.729637234770705</x:v>
      </x:c>
      <x:c r="G114" s="26" t="b">
        <x:v>1</x:v>
      </x:c>
      <x:c r="H114" s="16" t="n">
        <x:v>1.584</x:v>
      </x:c>
      <x:c r="I114" s="16" t="n">
        <x:v>3</x:v>
      </x:c>
      <x:c r="J114" s="16" t="n">
        <x:v>5.3999999999999995</x:v>
      </x:c>
      <x:c r="K114" s="11" t="n">
        <x:f>CHOOSE('假设'!$B$3,H114,I114,J114)</x:f>
        <x:v>3</x:v>
      </x:c>
      <x:c r="L114" s="11" t="n">
        <x:f>K114*'管线假设'!E31*'管线假设'!F31*'管线假设'!G31*IF(E114="USD",'管线假设'!I31,1)-AM114</x:f>
        <x:v>0.3989999999999999</x:v>
      </x:c>
      <x:c r="M114" s="11" t="n">
        <x:f>'管线假设'!H31</x:f>
        <x:v>0.13</x:v>
      </x:c>
      <x:c r="N114" s="11" t="n">
        <x:f>IF(G114,L114*AN114/(1+M114)^F114,0)</x:f>
        <x:v>0.10751286921883924</x:v>
      </x:c>
      <x:c r="P114" t="str">
        <x:v>09995.HK</x:v>
      </x:c>
      <x:c r="Q114" t="str">
        <x:v>半年</x:v>
      </x:c>
      <x:c r="R114" t="str">
        <x:v>2028-12-31</x:v>
      </x:c>
      <x:c r="S114" t="n">
        <x:v>1.730321697467488</x:v>
      </x:c>
      <x:c r="T114" s="27" t="b">
        <x:v>1</x:v>
      </x:c>
      <x:c r="U114" s="42" t="n">
        <x:v>0</x:v>
      </x:c>
      <x:c r="V114" s="42" t="n">
        <x:v>0</x:v>
      </x:c>
      <x:c r="W114" s="42" t="n">
        <x:v>0.12</x:v>
      </x:c>
      <x:c r="X114" s="42" t="n">
        <x:v>0</x:v>
      </x:c>
      <x:c r="Y114" s="42" t="n">
        <x:v>0</x:v>
      </x:c>
      <x:c r="Z114" s="42" t="n">
        <x:v>0.8</x:v>
      </x:c>
      <x:c r="AA114" t="n">
        <x:f>AB114/(1+'管线假设'!H1387)^S114</x:f>
        <x:v>0</x:v>
      </x:c>
      <x:c r="AB114" t="n">
        <x:f>IF(T114,CHOOSE('假设'!$B$3,U114,V114,W114)*CHOOSE('假设'!$B$3,X114,Y114,Z114)*CHOOSE('假设'!$B$3,AO114,AP114,AQ114)*CHOOSE('假设'!$B$3,AR114,AS114,AT114)*IF(AU114="USD",'管线假设'!I1387,1),0)</x:f>
        <x:v>0</x:v>
      </x:c>
      <x:c r="AJ114" t="n">
        <x:v>0</x:v>
      </x:c>
      <x:c r="AK114" t="n">
        <x:v>0</x:v>
      </x:c>
      <x:c r="AL114" t="n">
        <x:v>0</x:v>
      </x:c>
      <x:c r="AM114" t="n">
        <x:f>CHOOSE('假设'!$B$3,AJ114,AK114,AL114)</x:f>
        <x:v>0</x:v>
      </x:c>
      <x:c r="AN114" t="n">
        <x:v>1</x:v>
      </x:c>
      <x:c r="AO114" s="42" t="n">
        <x:v>0.8</x:v>
      </x:c>
      <x:c r="AP114" s="42" t="n">
        <x:v>0.8</x:v>
      </x:c>
      <x:c r="AQ114" s="42" t="n">
        <x:v>0.8</x:v>
      </x:c>
      <x:c r="AR114" s="42" t="n">
        <x:v>0.9</x:v>
      </x:c>
      <x:c r="AS114" s="42" t="n">
        <x:v>0.9</x:v>
      </x:c>
      <x:c r="AT114" s="42" t="n">
        <x:v>1</x:v>
      </x:c>
      <x:c r="AU114" t="str">
        <x:v>USD</x:v>
      </x:c>
      <x:c r="AV114" t="str">
        <x:v>RC48 futuremilestones excludes2021upfront200m</x:v>
      </x:c>
    </x:row>
    <x:row r="115" ht="23" customHeight="1">
      <x:c r="A115" s="11" t="str">
        <x:v>01093.HK</x:v>
      </x:c>
      <x:c r="B115" s="11" t="str">
        <x:v>半年</x:v>
      </x:c>
      <x:c r="C115" s="11" t="str">
        <x:v>SYS6010_DOM</x:v>
      </x:c>
      <x:c r="D115" s="11" t="str">
        <x:v>2038-12-31</x:v>
      </x:c>
      <x:c r="E115" s="11" t="str">
        <x:v>CNY</x:v>
      </x:c>
      <x:c r="F115" s="11" t="n">
        <x:v>11.728952772073923</x:v>
      </x:c>
      <x:c r="G115" s="26" t="b">
        <x:v>1</x:v>
      </x:c>
      <x:c r="H115" s="16" t="n">
        <x:v>1.35</x:v>
      </x:c>
      <x:c r="I115" s="16" t="n">
        <x:v>2.25</x:v>
      </x:c>
      <x:c r="J115" s="16" t="n">
        <x:v>4.05</x:v>
      </x:c>
      <x:c r="K115" s="11" t="n">
        <x:f>CHOOSE('假设'!$B$3,H115,I115,J115)</x:f>
        <x:v>2.25</x:v>
      </x:c>
      <x:c r="L115" s="11" t="n">
        <x:f>K115*'管线假设'!E31*'管线假设'!F31*'管线假设'!G31*IF(E115="USD",'管线假设'!I31,1)-AM115</x:f>
        <x:v>0.29924999999999996</x:v>
      </x:c>
      <x:c r="M115" s="11" t="n">
        <x:f>'管线假设'!H31</x:f>
        <x:v>0.13</x:v>
      </x:c>
      <x:c r="N115" s="11" t="n">
        <x:f>IF(G115,L115*AN115/(1+M115)^F115,0)</x:f>
        <x:v>0.07136406863708834</x:v>
      </x:c>
      <x:c r="P115" t="str">
        <x:v>09995.HK</x:v>
      </x:c>
      <x:c r="Q115" t="str">
        <x:v>半年</x:v>
      </x:c>
      <x:c r="R115" t="str">
        <x:v>2029-12-31</x:v>
      </x:c>
      <x:c r="S115" t="n">
        <x:v>2.729637234770705</x:v>
      </x:c>
      <x:c r="T115" s="27" t="b">
        <x:v>1</x:v>
      </x:c>
      <x:c r="U115" s="42" t="n">
        <x:v>0.03</x:v>
      </x:c>
      <x:c r="V115" s="42" t="n">
        <x:v>0</x:v>
      </x:c>
      <x:c r="W115" s="42" t="n">
        <x:v>0</x:v>
      </x:c>
      <x:c r="X115" s="42" t="n">
        <x:v>0.25</x:v>
      </x:c>
      <x:c r="Y115" s="42" t="n">
        <x:v>0</x:v>
      </x:c>
      <x:c r="Z115" s="42" t="n">
        <x:v>0</x:v>
      </x:c>
      <x:c r="AA115" t="n">
        <x:f>AB115/(1+'管线假设'!H1387)^S115</x:f>
        <x:v>0</x:v>
      </x:c>
      <x:c r="AB115" t="n">
        <x:f>IF(T115,CHOOSE('假设'!$B$3,U115,V115,W115)*CHOOSE('假设'!$B$3,X115,Y115,Z115)*CHOOSE('假设'!$B$3,AO115,AP115,AQ115)*CHOOSE('假设'!$B$3,AR115,AS115,AT115)*IF(AU115="USD",'管线假设'!I1387,1),0)</x:f>
        <x:v>0</x:v>
      </x:c>
      <x:c r="AJ115" t="n">
        <x:v>0</x:v>
      </x:c>
      <x:c r="AK115" t="n">
        <x:v>0</x:v>
      </x:c>
      <x:c r="AL115" t="n">
        <x:v>0</x:v>
      </x:c>
      <x:c r="AM115" t="n">
        <x:f>CHOOSE('假设'!$B$3,AJ115,AK115,AL115)</x:f>
        <x:v>0</x:v>
      </x:c>
      <x:c r="AN115" t="n">
        <x:v>1</x:v>
      </x:c>
      <x:c r="AO115" s="42" t="n">
        <x:v>0.8</x:v>
      </x:c>
      <x:c r="AP115" s="42" t="n">
        <x:v>0.8</x:v>
      </x:c>
      <x:c r="AQ115" s="42" t="n">
        <x:v>0.8</x:v>
      </x:c>
      <x:c r="AR115" s="42" t="n">
        <x:v>1</x:v>
      </x:c>
      <x:c r="AS115" s="42" t="n">
        <x:v>0.9</x:v>
      </x:c>
      <x:c r="AT115" s="42" t="n">
        <x:v>0.9</x:v>
      </x:c>
      <x:c r="AU115" t="str">
        <x:v>USD</x:v>
      </x:c>
      <x:c r="AV115" t="str">
        <x:v>RC18 regulatory330mcap and future sales milestones partial, excludes45mreceived</x:v>
      </x:c>
    </x:row>
    <x:row r="116" ht="23" customHeight="1">
      <x:c r="A116" s="11" t="str">
        <x:v>01093.HK</x:v>
      </x:c>
      <x:c r="B116" s="11" t="str">
        <x:v>半年</x:v>
      </x:c>
      <x:c r="C116" s="11" t="str">
        <x:v>SYS6010_DOM</x:v>
      </x:c>
      <x:c r="D116" s="11" t="str">
        <x:v>2039-12-31</x:v>
      </x:c>
      <x:c r="E116" s="11" t="str">
        <x:v>CNY</x:v>
      </x:c>
      <x:c r="F116" s="11" t="n">
        <x:v>12.728268309377139</x:v>
      </x:c>
      <x:c r="G116" s="26" t="b">
        <x:v>1</x:v>
      </x:c>
      <x:c r="H116" s="16" t="n">
        <x:v>1.08</x:v>
      </x:c>
      <x:c r="I116" s="16" t="n">
        <x:v>1.5</x:v>
      </x:c>
      <x:c r="J116" s="16" t="n">
        <x:v>2.6999999999999997</x:v>
      </x:c>
      <x:c r="K116" s="11" t="n">
        <x:f>CHOOSE('假设'!$B$3,H116,I116,J116)</x:f>
        <x:v>1.5</x:v>
      </x:c>
      <x:c r="L116" s="11" t="n">
        <x:f>K116*'管线假设'!E31*'管线假设'!F31*'管线假设'!G31*IF(E116="USD",'管线假设'!I31,1)-AM116</x:f>
        <x:v>0.19949999999999996</x:v>
      </x:c>
      <x:c r="M116" s="11" t="n">
        <x:f>'管线假设'!H31</x:f>
        <x:v>0.13</x:v>
      </x:c>
      <x:c r="N116" s="11" t="n">
        <x:f>IF(G116,L116*AN116/(1+M116)^F116,0)</x:f>
        <x:v>0.042106217542491</x:v>
      </x:c>
      <x:c r="P116" t="str">
        <x:v>09995.HK</x:v>
      </x:c>
      <x:c r="Q116" t="str">
        <x:v>半年</x:v>
      </x:c>
      <x:c r="R116" t="str">
        <x:v>2029-12-31</x:v>
      </x:c>
      <x:c r="S116" t="n">
        <x:v>2.729637234770705</x:v>
      </x:c>
      <x:c r="T116" s="27" t="b">
        <x:v>1</x:v>
      </x:c>
      <x:c r="U116" s="42" t="n">
        <x:v>0</x:v>
      </x:c>
      <x:c r="V116" s="42" t="n">
        <x:v>0.08</x:v>
      </x:c>
      <x:c r="W116" s="42" t="n">
        <x:v>0</x:v>
      </x:c>
      <x:c r="X116" s="42" t="n">
        <x:v>0</x:v>
      </x:c>
      <x:c r="Y116" s="42" t="n">
        <x:v>0.55</x:v>
      </x:c>
      <x:c r="Z116" s="42" t="n">
        <x:v>0</x:v>
      </x:c>
      <x:c r="AA116" t="n">
        <x:f>AB116/(1+'管线假设'!H1387)^S116</x:f>
        <x:v>0.17231024599553668</x:v>
      </x:c>
      <x:c r="AB116" t="n">
        <x:f>IF(T116,CHOOSE('假设'!$B$3,U116,V116,W116)*CHOOSE('假设'!$B$3,X116,Y116,Z116)*CHOOSE('假设'!$B$3,AO116,AP116,AQ116)*CHOOSE('假设'!$B$3,AR116,AS116,AT116)*IF(AU116="USD",'管线假设'!I1387,1),0)</x:f>
        <x:v>0.2464</x:v>
      </x:c>
      <x:c r="AJ116" t="n">
        <x:v>0</x:v>
      </x:c>
      <x:c r="AK116" t="n">
        <x:v>0</x:v>
      </x:c>
      <x:c r="AL116" t="n">
        <x:v>0</x:v>
      </x:c>
      <x:c r="AM116" t="n">
        <x:f>CHOOSE('假设'!$B$3,AJ116,AK116,AL116)</x:f>
        <x:v>0</x:v>
      </x:c>
      <x:c r="AN116" t="n">
        <x:v>1</x:v>
      </x:c>
      <x:c r="AO116" s="42" t="n">
        <x:v>0.8</x:v>
      </x:c>
      <x:c r="AP116" s="42" t="n">
        <x:v>0.8</x:v>
      </x:c>
      <x:c r="AQ116" s="42" t="n">
        <x:v>0.8</x:v>
      </x:c>
      <x:c r="AR116" s="42" t="n">
        <x:v>0.9</x:v>
      </x:c>
      <x:c r="AS116" s="42" t="n">
        <x:v>1</x:v>
      </x:c>
      <x:c r="AT116" s="42" t="n">
        <x:v>0.9</x:v>
      </x:c>
      <x:c r="AU116" t="str">
        <x:v>USD</x:v>
      </x:c>
      <x:c r="AV116" t="str">
        <x:v>RC48 futuremilestones excludes2021upfront200m</x:v>
      </x:c>
    </x:row>
    <x:row r="117" ht="23" customHeight="1">
      <x:c r="A117" s="11" t="str">
        <x:v>01093.HK</x:v>
      </x:c>
      <x:c r="B117" s="11" t="str">
        <x:v>半年</x:v>
      </x:c>
      <x:c r="C117" s="11" t="str">
        <x:v>SYS6010_DOM</x:v>
      </x:c>
      <x:c r="D117" s="11" t="str">
        <x:v>2040-12-31</x:v>
      </x:c>
      <x:c r="E117" s="11" t="str">
        <x:v>CNY</x:v>
      </x:c>
      <x:c r="F117" s="11" t="n">
        <x:v>13.730321697467488</x:v>
      </x:c>
      <x:c r="G117" s="26" t="b">
        <x:v>1</x:v>
      </x:c>
      <x:c r="H117" s="16" t="n">
        <x:v>0.81</x:v>
      </x:c>
      <x:c r="I117" s="16" t="n">
        <x:v>0.8999999999999999</x:v>
      </x:c>
      <x:c r="J117" s="16" t="n">
        <x:v>1.6199999999999999</x:v>
      </x:c>
      <x:c r="K117" s="11" t="n">
        <x:f>CHOOSE('假设'!$B$3,H117,I117,J117)</x:f>
        <x:v>0.8999999999999999</x:v>
      </x:c>
      <x:c r="L117" s="11" t="n">
        <x:f>K117*'管线假设'!E31*'管线假设'!F31*'管线假设'!G31*IF(E117="USD",'管线假设'!I31,1)-AM117</x:f>
        <x:v>0.11969999999999997</x:v>
      </x:c>
      <x:c r="M117" s="11" t="n">
        <x:f>'管线假设'!H31</x:f>
        <x:v>0.13</x:v>
      </x:c>
      <x:c r="N117" s="11" t="n">
        <x:f>IF(G117,L117*AN117/(1+M117)^F117,0)</x:f>
        <x:v>0.022351673565783756</x:v>
      </x:c>
      <x:c r="P117" t="str">
        <x:v>09995.HK</x:v>
      </x:c>
      <x:c r="Q117" t="str">
        <x:v>半年</x:v>
      </x:c>
      <x:c r="R117" t="str">
        <x:v>2030-12-31</x:v>
      </x:c>
      <x:c r="S117" t="n">
        <x:v>3.728952772073922</x:v>
      </x:c>
      <x:c r="T117" s="27" t="b">
        <x:v>1</x:v>
      </x:c>
      <x:c r="U117" s="42" t="n">
        <x:v>0.04</x:v>
      </x:c>
      <x:c r="V117" s="42" t="n">
        <x:v>0.15</x:v>
      </x:c>
      <x:c r="W117" s="42" t="n">
        <x:v>0.3</x:v>
      </x:c>
      <x:c r="X117" s="42" t="n">
        <x:v>0.18</x:v>
      </x:c>
      <x:c r="Y117" s="42" t="n">
        <x:v>0.45</x:v>
      </x:c>
      <x:c r="Z117" s="42" t="n">
        <x:v>0.65</x:v>
      </x:c>
      <x:c r="AA117" t="n">
        <x:f>AB117/(1+'管线假设'!H1387)^S117</x:f>
        <x:v>0.23189762281402956</x:v>
      </x:c>
      <x:c r="AB117" t="n">
        <x:f>IF(T117,CHOOSE('假设'!$B$3,U117,V117,W117)*CHOOSE('假设'!$B$3,X117,Y117,Z117)*CHOOSE('假设'!$B$3,AO117,AP117,AQ117)*CHOOSE('假设'!$B$3,AR117,AS117,AT117)*IF(AU117="USD",'管线假设'!I1387,1),0)</x:f>
        <x:v>0.37800000000000006</x:v>
      </x:c>
      <x:c r="AJ117" t="n">
        <x:v>0</x:v>
      </x:c>
      <x:c r="AK117" t="n">
        <x:v>0</x:v>
      </x:c>
      <x:c r="AL117" t="n">
        <x:v>0</x:v>
      </x:c>
      <x:c r="AM117" t="n">
        <x:f>CHOOSE('假设'!$B$3,AJ117,AK117,AL117)</x:f>
        <x:v>0</x:v>
      </x:c>
      <x:c r="AN117" t="n">
        <x:v>1</x:v>
      </x:c>
      <x:c r="AO117" s="42" t="n">
        <x:v>0.8</x:v>
      </x:c>
      <x:c r="AP117" s="42" t="n">
        <x:v>0.8</x:v>
      </x:c>
      <x:c r="AQ117" s="42" t="n">
        <x:v>0.8</x:v>
      </x:c>
      <x:c r="AR117" s="42" t="n">
        <x:v>1</x:v>
      </x:c>
      <x:c r="AS117" s="42" t="n">
        <x:v>1</x:v>
      </x:c>
      <x:c r="AT117" s="42" t="n">
        <x:v>1</x:v>
      </x:c>
      <x:c r="AU117" t="str">
        <x:v>USD</x:v>
      </x:c>
      <x:c r="AV117" t="str">
        <x:v>RC148 future eligible excluding650mreceived</x:v>
      </x:c>
    </x:row>
    <x:row r="118" ht="23" customHeight="1">
      <x:c r="A118" s="11" t="str">
        <x:v>01093.HK</x:v>
      </x:c>
      <x:c r="B118" s="11" t="str">
        <x:v>半年</x:v>
      </x:c>
      <x:c r="C118" s="11" t="str">
        <x:v>SYS6010_DOM</x:v>
      </x:c>
      <x:c r="D118" s="11" t="str">
        <x:v>2041-12-31</x:v>
      </x:c>
      <x:c r="E118" s="11" t="str">
        <x:v>CNY</x:v>
      </x:c>
      <x:c r="F118" s="11" t="n">
        <x:v>14.729637234770705</x:v>
      </x:c>
      <x:c r="G118" s="26" t="b">
        <x:v>1</x:v>
      </x:c>
      <x:c r="H118" s="16" t="n">
        <x:v>0.54</x:v>
      </x:c>
      <x:c r="I118" s="16" t="n">
        <x:v>0.5</x:v>
      </x:c>
      <x:c r="J118" s="16" t="n">
        <x:v>0.9</x:v>
      </x:c>
      <x:c r="K118" s="11" t="n">
        <x:f>CHOOSE('假设'!$B$3,H118,I118,J118)</x:f>
        <x:v>0.5</x:v>
      </x:c>
      <x:c r="L118" s="11" t="n">
        <x:f>K118*'管线假设'!E31*'管线假设'!F31*'管线假设'!G31*IF(E118="USD",'管线假设'!I31,1)-AM118</x:f>
        <x:v>0.06649999999999999</x:v>
      </x:c>
      <x:c r="M118" s="11" t="n">
        <x:f>'管线假设'!H31</x:f>
        <x:v>0.13</x:v>
      </x:c>
      <x:c r="N118" s="11" t="n">
        <x:f>IF(G118,L118*AN118/(1+M118)^F118,0)</x:f>
        <x:v>0.010989942693076285</x:v>
      </x:c>
      <x:c r="P118" t="str">
        <x:v>09995.HK</x:v>
      </x:c>
      <x:c r="Q118" t="str">
        <x:v>半年</x:v>
      </x:c>
      <x:c r="R118" t="str">
        <x:v>2030-12-31</x:v>
      </x:c>
      <x:c r="S118" t="n">
        <x:v>3.728952772073922</x:v>
      </x:c>
      <x:c r="T118" s="27" t="b">
        <x:v>1</x:v>
      </x:c>
      <x:c r="U118" s="42" t="n">
        <x:v>0</x:v>
      </x:c>
      <x:c r="V118" s="42" t="n">
        <x:v>0.08</x:v>
      </x:c>
      <x:c r="W118" s="42" t="n">
        <x:v>0.15</x:v>
      </x:c>
      <x:c r="X118" s="42" t="n">
        <x:v>0</x:v>
      </x:c>
      <x:c r="Y118" s="42" t="n">
        <x:v>0.5</x:v>
      </x:c>
      <x:c r="Z118" s="42" t="n">
        <x:v>0.7</x:v>
      </x:c>
      <x:c r="AA118" t="n">
        <x:f>AB118/(1+'管线假设'!H1387)^S118</x:f>
        <x:v>0.13742081351942492</x:v>
      </x:c>
      <x:c r="AB118" t="n">
        <x:f>IF(T118,CHOOSE('假设'!$B$3,U118,V118,W118)*CHOOSE('假设'!$B$3,X118,Y118,Z118)*CHOOSE('假设'!$B$3,AO118,AP118,AQ118)*CHOOSE('假设'!$B$3,AR118,AS118,AT118)*IF(AU118="USD",'管线假设'!I1387,1),0)</x:f>
        <x:v>0.224</x:v>
      </x:c>
      <x:c r="AJ118" t="n">
        <x:v>0</x:v>
      </x:c>
      <x:c r="AK118" t="n">
        <x:v>0</x:v>
      </x:c>
      <x:c r="AL118" t="n">
        <x:v>0</x:v>
      </x:c>
      <x:c r="AM118" t="n">
        <x:f>CHOOSE('假设'!$B$3,AJ118,AK118,AL118)</x:f>
        <x:v>0</x:v>
      </x:c>
      <x:c r="AN118" t="n">
        <x:v>1</x:v>
      </x:c>
      <x:c r="AO118" s="42" t="n">
        <x:v>0.8</x:v>
      </x:c>
      <x:c r="AP118" s="42" t="n">
        <x:v>0.8</x:v>
      </x:c>
      <x:c r="AQ118" s="42" t="n">
        <x:v>0.8</x:v>
      </x:c>
      <x:c r="AR118" s="42" t="n">
        <x:v>0.9</x:v>
      </x:c>
      <x:c r="AS118" s="42" t="n">
        <x:v>1</x:v>
      </x:c>
      <x:c r="AT118" s="42" t="n">
        <x:v>1</x:v>
      </x:c>
      <x:c r="AU118" t="str">
        <x:v>USD</x:v>
      </x:c>
      <x:c r="AV118" t="str">
        <x:v>RC18 regulatory330mcap and future sales milestones partial, excludes45mreceived</x:v>
      </x:c>
    </x:row>
    <x:row r="119" ht="23" customHeight="1">
      <x:c r="A119" s="11" t="str">
        <x:v>01093.HK</x:v>
      </x:c>
      <x:c r="B119" s="11" t="str">
        <x:v>半年</x:v>
      </x:c>
      <x:c r="C119" s="11" t="str">
        <x:v>SYS6010_DOM</x:v>
      </x:c>
      <x:c r="D119" s="11" t="str">
        <x:v>2042-12-31</x:v>
      </x:c>
      <x:c r="E119" s="11" t="str">
        <x:v>CNY</x:v>
      </x:c>
      <x:c r="F119" s="11" t="n">
        <x:v>15.728952772073923</x:v>
      </x:c>
      <x:c r="G119" s="26" t="b">
        <x:v>1</x:v>
      </x:c>
      <x:c r="H119" s="16" t="n">
        <x:v>0.324</x:v>
      </x:c>
      <x:c r="I119" s="16" t="n">
        <x:v>0.25</x:v>
      </x:c>
      <x:c r="J119" s="16" t="n">
        <x:v>0.45</x:v>
      </x:c>
      <x:c r="K119" s="11" t="n">
        <x:f>CHOOSE('假设'!$B$3,H119,I119,J119)</x:f>
        <x:v>0.25</x:v>
      </x:c>
      <x:c r="L119" s="11" t="n">
        <x:f>K119*'管线假设'!E31*'管线假设'!F31*'管线假设'!G31*IF(E119="USD",'管线假设'!I31,1)-AM119</x:f>
        <x:v>0.033249999999999995</x:v>
      </x:c>
      <x:c r="M119" s="11" t="n">
        <x:f>'管线假设'!H31</x:f>
        <x:v>0.13</x:v>
      </x:c>
      <x:c r="N119" s="11" t="n">
        <x:f>IF(G119,L119*AN119/(1+M119)^F119,0)</x:f>
        <x:v>0.004863213308724749</x:v>
      </x:c>
      <x:c r="P119" t="str">
        <x:v>09995.HK</x:v>
      </x:c>
      <x:c r="Q119" t="str">
        <x:v>半年</x:v>
      </x:c>
      <x:c r="R119" t="str">
        <x:v>2030-12-31</x:v>
      </x:c>
      <x:c r="S119" t="n">
        <x:v>3.728952772073922</x:v>
      </x:c>
      <x:c r="T119" s="27" t="b">
        <x:v>1</x:v>
      </x:c>
      <x:c r="U119" s="42" t="n">
        <x:v>0.03</x:v>
      </x:c>
      <x:c r="V119" s="42" t="n">
        <x:v>0</x:v>
      </x:c>
      <x:c r="W119" s="42" t="n">
        <x:v>0.2</x:v>
      </x:c>
      <x:c r="X119" s="42" t="n">
        <x:v>0.2</x:v>
      </x:c>
      <x:c r="Y119" s="42" t="n">
        <x:v>0</x:v>
      </x:c>
      <x:c r="Z119" s="42" t="n">
        <x:v>0.65</x:v>
      </x:c>
      <x:c r="AA119" t="n">
        <x:f>AB119/(1+'管线假设'!H1387)^S119</x:f>
        <x:v>0</x:v>
      </x:c>
      <x:c r="AB119" t="n">
        <x:f>IF(T119,CHOOSE('假设'!$B$3,U119,V119,W119)*CHOOSE('假设'!$B$3,X119,Y119,Z119)*CHOOSE('假设'!$B$3,AO119,AP119,AQ119)*CHOOSE('假设'!$B$3,AR119,AS119,AT119)*IF(AU119="USD",'管线假设'!I1387,1),0)</x:f>
        <x:v>0</x:v>
      </x:c>
      <x:c r="AJ119" t="n">
        <x:v>0</x:v>
      </x:c>
      <x:c r="AK119" t="n">
        <x:v>0</x:v>
      </x:c>
      <x:c r="AL119" t="n">
        <x:v>0</x:v>
      </x:c>
      <x:c r="AM119" t="n">
        <x:f>CHOOSE('假设'!$B$3,AJ119,AK119,AL119)</x:f>
        <x:v>0</x:v>
      </x:c>
      <x:c r="AN119" t="n">
        <x:v>1</x:v>
      </x:c>
      <x:c r="AO119" s="42" t="n">
        <x:v>0.8</x:v>
      </x:c>
      <x:c r="AP119" s="42" t="n">
        <x:v>0.8</x:v>
      </x:c>
      <x:c r="AQ119" s="42" t="n">
        <x:v>0.8</x:v>
      </x:c>
      <x:c r="AR119" s="42" t="n">
        <x:v>1</x:v>
      </x:c>
      <x:c r="AS119" s="42" t="n">
        <x:v>0.9</x:v>
      </x:c>
      <x:c r="AT119" s="42" t="n">
        <x:v>1</x:v>
      </x:c>
      <x:c r="AU119" t="str">
        <x:v>USD</x:v>
      </x:c>
      <x:c r="AV119" t="str">
        <x:v>RC48 futuremilestones excludes2021upfront200m</x:v>
      </x:c>
    </x:row>
    <x:row r="120" ht="23" customHeight="1">
      <x:c r="A120" s="11" t="str">
        <x:v>01093.HK</x:v>
      </x:c>
      <x:c r="B120" s="11" t="str">
        <x:v>半年</x:v>
      </x:c>
      <x:c r="C120" s="11" t="str">
        <x:v>SYS6010_DOM</x:v>
      </x:c>
      <x:c r="D120" s="11" t="str">
        <x:v>2043-12-31</x:v>
      </x:c>
      <x:c r="E120" s="11" t="str">
        <x:v>CNY</x:v>
      </x:c>
      <x:c r="F120" s="11" t="n">
        <x:v>16.72826830937714</x:v>
      </x:c>
      <x:c r="G120" s="26" t="b">
        <x:v>1</x:v>
      </x:c>
      <x:c r="H120" s="16" t="n">
        <x:v>0.18000000000000002</x:v>
      </x:c>
      <x:c r="I120" s="16" t="n">
        <x:v>0.25</x:v>
      </x:c>
      <x:c r="J120" s="16" t="n">
        <x:v>0.45</x:v>
      </x:c>
      <x:c r="K120" s="11" t="n">
        <x:f>CHOOSE('假设'!$B$3,H120,I120,J120)</x:f>
        <x:v>0.25</x:v>
      </x:c>
      <x:c r="L120" s="11" t="n">
        <x:f>K120*'管线假设'!E31*'管线假设'!F31*'管线假设'!G31*IF(E120="USD",'管线假设'!I31,1)-AM120</x:f>
        <x:v>0.033249999999999995</x:v>
      </x:c>
      <x:c r="M120" s="11" t="n">
        <x:f>'管线假设'!H31</x:f>
        <x:v>0.13</x:v>
      </x:c>
      <x:c r="N120" s="11" t="n">
        <x:f>IF(G120,L120*AN120/(1+M120)^F120,0)</x:f>
        <x:v>0.004304088628425272</x:v>
      </x:c>
      <x:c r="P120" t="str">
        <x:v>09995.HK</x:v>
      </x:c>
      <x:c r="Q120" t="str">
        <x:v>半年</x:v>
      </x:c>
      <x:c r="R120" t="str">
        <x:v>2031-12-31</x:v>
      </x:c>
      <x:c r="S120" t="n">
        <x:v>4.728268309377139</x:v>
      </x:c>
      <x:c r="T120" s="27" t="b">
        <x:v>1</x:v>
      </x:c>
      <x:c r="U120" s="42" t="n">
        <x:v>0</x:v>
      </x:c>
      <x:c r="V120" s="42" t="n">
        <x:v>0.1</x:v>
      </x:c>
      <x:c r="W120" s="42" t="n">
        <x:v>0</x:v>
      </x:c>
      <x:c r="X120" s="42" t="n">
        <x:v>0</x:v>
      </x:c>
      <x:c r="Y120" s="42" t="n">
        <x:v>0.4</x:v>
      </x:c>
      <x:c r="Z120" s="42" t="n">
        <x:v>0</x:v>
      </x:c>
      <x:c r="AA120" t="n">
        <x:f>AB120/(1+'管线假设'!H1387)^S120</x:f>
        <x:v>0.12055538466187725</x:v>
      </x:c>
      <x:c r="AB120" t="n">
        <x:f>IF(T120,CHOOSE('假设'!$B$3,U120,V120,W120)*CHOOSE('假设'!$B$3,X120,Y120,Z120)*CHOOSE('假设'!$B$3,AO120,AP120,AQ120)*CHOOSE('假设'!$B$3,AR120,AS120,AT120)*IF(AU120="USD",'管线假设'!I1387,1),0)</x:f>
        <x:v>0.22400000000000006</x:v>
      </x:c>
      <x:c r="AJ120" t="n">
        <x:v>0</x:v>
      </x:c>
      <x:c r="AK120" t="n">
        <x:v>0</x:v>
      </x:c>
      <x:c r="AL120" t="n">
        <x:v>0</x:v>
      </x:c>
      <x:c r="AM120" t="n">
        <x:f>CHOOSE('假设'!$B$3,AJ120,AK120,AL120)</x:f>
        <x:v>0</x:v>
      </x:c>
      <x:c r="AN120" t="n">
        <x:v>1</x:v>
      </x:c>
      <x:c r="AO120" s="42" t="n">
        <x:v>0.8</x:v>
      </x:c>
      <x:c r="AP120" s="42" t="n">
        <x:v>0.8</x:v>
      </x:c>
      <x:c r="AQ120" s="42" t="n">
        <x:v>0.8</x:v>
      </x:c>
      <x:c r="AR120" s="42" t="n">
        <x:v>0.9</x:v>
      </x:c>
      <x:c r="AS120" s="42" t="n">
        <x:v>1</x:v>
      </x:c>
      <x:c r="AT120" s="42" t="n">
        <x:v>0.9</x:v>
      </x:c>
      <x:c r="AU120" t="str">
        <x:v>USD</x:v>
      </x:c>
      <x:c r="AV120" t="str">
        <x:v>RC48 futuremilestones excludes2021upfront200m</x:v>
      </x:c>
    </x:row>
    <x:row r="121" ht="23" customHeight="1">
      <x:c r="A121" s="11" t="str">
        <x:v>01093.HK</x:v>
      </x:c>
      <x:c r="B121" s="11" t="str">
        <x:v>半年</x:v>
      </x:c>
      <x:c r="C121" s="11" t="str">
        <x:v>JMT101_DOM</x:v>
      </x:c>
      <x:c r="D121" s="11" t="str">
        <x:v>2027-12-31</x:v>
      </x:c>
      <x:c r="E121" s="11" t="str">
        <x:v>CNY</x:v>
      </x:c>
      <x:c r="F121" s="11" t="n">
        <x:v>0.7282683093771389</x:v>
      </x:c>
      <x:c r="G121" s="26" t="b">
        <x:v>1</x:v>
      </x:c>
      <x:c r="H121" s="16" t="n">
        <x:v>0</x:v>
      </x:c>
      <x:c r="I121" s="16" t="n">
        <x:v>0.192</x:v>
      </x:c>
      <x:c r="J121" s="16" t="n">
        <x:v>0.384</x:v>
      </x:c>
      <x:c r="K121" s="11" t="n">
        <x:f>CHOOSE('假设'!$B$3,H121,I121,J121)</x:f>
        <x:v>0.192</x:v>
      </x:c>
      <x:c r="L121" s="11" t="n">
        <x:f>K121*'管线假设'!E35*'管线假设'!F35*'管线假设'!G35*IF(E121="USD",'管线假设'!I35,1)-AM121</x:f>
        <x:v>0.020217600000000002</x:v>
      </x:c>
      <x:c r="M121" s="11" t="n">
        <x:f>'管线假设'!H35</x:f>
        <x:v>0.13</x:v>
      </x:c>
      <x:c r="N121" s="11" t="n">
        <x:f>IF(G121,L121*AN121/(1+M121)^F121,0)</x:f>
        <x:v>0.018495848165765154</x:v>
      </x:c>
      <x:c r="P121" t="str">
        <x:v>09995.HK</x:v>
      </x:c>
      <x:c r="Q121" t="str">
        <x:v>半年</x:v>
      </x:c>
      <x:c r="R121" t="str">
        <x:v>2032-12-31</x:v>
      </x:c>
      <x:c r="S121" t="n">
        <x:v>5.730321697467488</x:v>
      </x:c>
      <x:c r="T121" s="27" t="b">
        <x:v>1</x:v>
      </x:c>
      <x:c r="U121" s="42" t="n">
        <x:v>0</x:v>
      </x:c>
      <x:c r="V121" s="42" t="n">
        <x:v>0.15</x:v>
      </x:c>
      <x:c r="W121" s="42" t="n">
        <x:v>0.35</x:v>
      </x:c>
      <x:c r="X121" s="42" t="n">
        <x:v>0</x:v>
      </x:c>
      <x:c r="Y121" s="42" t="n">
        <x:v>0.35</x:v>
      </x:c>
      <x:c r="Z121" s="42" t="n">
        <x:v>0.55</x:v>
      </x:c>
      <x:c r="AA121" t="n">
        <x:f>AB121/(1+'管线假设'!H1387)^S121</x:f>
        <x:v>0.1387599792121233</x:v>
      </x:c>
      <x:c r="AB121" t="n">
        <x:f>IF(T121,CHOOSE('假设'!$B$3,U121,V121,W121)*CHOOSE('假设'!$B$3,X121,Y121,Z121)*CHOOSE('假设'!$B$3,AO121,AP121,AQ121)*CHOOSE('假设'!$B$3,AR121,AS121,AT121)*IF(AU121="USD",'管线假设'!I1387,1),0)</x:f>
        <x:v>0.29400000000000004</x:v>
      </x:c>
      <x:c r="AJ121" t="n">
        <x:v>0</x:v>
      </x:c>
      <x:c r="AK121" t="n">
        <x:v>0</x:v>
      </x:c>
      <x:c r="AL121" t="n">
        <x:v>0</x:v>
      </x:c>
      <x:c r="AM121" t="n">
        <x:f>CHOOSE('假设'!$B$3,AJ121,AK121,AL121)</x:f>
        <x:v>0</x:v>
      </x:c>
      <x:c r="AN121" t="n">
        <x:v>1</x:v>
      </x:c>
      <x:c r="AO121" s="42" t="n">
        <x:v>0.8</x:v>
      </x:c>
      <x:c r="AP121" s="42" t="n">
        <x:v>0.8</x:v>
      </x:c>
      <x:c r="AQ121" s="42" t="n">
        <x:v>0.8</x:v>
      </x:c>
      <x:c r="AR121" s="42" t="n">
        <x:v>0.9</x:v>
      </x:c>
      <x:c r="AS121" s="42" t="n">
        <x:v>1</x:v>
      </x:c>
      <x:c r="AT121" s="42" t="n">
        <x:v>1</x:v>
      </x:c>
      <x:c r="AU121" t="str">
        <x:v>USD</x:v>
      </x:c>
      <x:c r="AV121" t="str">
        <x:v>RC148 future eligible excluding650mreceived</x:v>
      </x:c>
    </x:row>
    <x:row r="122" ht="23" customHeight="1">
      <x:c r="A122" s="11" t="str">
        <x:v>01093.HK</x:v>
      </x:c>
      <x:c r="B122" s="11" t="str">
        <x:v>半年</x:v>
      </x:c>
      <x:c r="C122" s="11" t="str">
        <x:v>JMT101_DOM</x:v>
      </x:c>
      <x:c r="D122" s="11" t="str">
        <x:v>2028-12-31</x:v>
      </x:c>
      <x:c r="E122" s="11" t="str">
        <x:v>CNY</x:v>
      </x:c>
      <x:c r="F122" s="11" t="n">
        <x:v>1.730321697467488</x:v>
      </x:c>
      <x:c r="G122" s="26" t="b">
        <x:v>1</x:v>
      </x:c>
      <x:c r="H122" s="16" t="n">
        <x:v>0</x:v>
      </x:c>
      <x:c r="I122" s="16" t="n">
        <x:v>0.6</x:v>
      </x:c>
      <x:c r="J122" s="16" t="n">
        <x:v>1.2</x:v>
      </x:c>
      <x:c r="K122" s="11" t="n">
        <x:f>CHOOSE('假设'!$B$3,H122,I122,J122)</x:f>
        <x:v>0.6</x:v>
      </x:c>
      <x:c r="L122" s="11" t="n">
        <x:f>K122*'管线假设'!E35*'管线假设'!F35*'管线假设'!G35*IF(E122="USD",'管线假设'!I35,1)-AM122</x:f>
        <x:v>0.06318</x:v>
      </x:c>
      <x:c r="M122" s="11" t="n">
        <x:f>'管线假设'!H35</x:f>
        <x:v>0.13</x:v>
      </x:c>
      <x:c r="N122" s="11" t="n">
        <x:f>IF(G122,L122*AN122/(1+M122)^F122,0)</x:f>
        <x:v>0.051137187571414375</x:v>
      </x:c>
      <x:c r="P122" t="str">
        <x:v>09995.HK</x:v>
      </x:c>
      <x:c r="Q122" t="str">
        <x:v>一年</x:v>
      </x:c>
      <x:c r="R122" t="str">
        <x:v>2028-12-31</x:v>
      </x:c>
      <x:c r="S122" t="n">
        <x:v>1.2292950034223136</x:v>
      </x:c>
      <x:c r="T122" s="27" t="b">
        <x:v>1</x:v>
      </x:c>
      <x:c r="U122" s="42" t="n">
        <x:v>0</x:v>
      </x:c>
      <x:c r="V122" s="42" t="n">
        <x:v>0.05</x:v>
      </x:c>
      <x:c r="W122" s="42" t="n">
        <x:v>0.1</x:v>
      </x:c>
      <x:c r="X122" s="42" t="n">
        <x:v>0</x:v>
      </x:c>
      <x:c r="Y122" s="42" t="n">
        <x:v>0.5</x:v>
      </x:c>
      <x:c r="Z122" s="42" t="n">
        <x:v>0.7</x:v>
      </x:c>
      <x:c r="AA122" t="n">
        <x:f>AB122/(1+'管线假设'!H1427)^S122</x:f>
        <x:v>0.1191722629672253</x:v>
      </x:c>
      <x:c r="AB122" t="n">
        <x:f>IF(T122,CHOOSE('假设'!$B$3,U122,V122,W122)*CHOOSE('假设'!$B$3,X122,Y122,Z122)*CHOOSE('假设'!$B$3,AO122,AP122,AQ122)*CHOOSE('假设'!$B$3,AR122,AS122,AT122)*IF(AU122="USD",'管线假设'!I1427,1),0)</x:f>
        <x:v>0.14</x:v>
      </x:c>
      <x:c r="AJ122" t="n">
        <x:v>0</x:v>
      </x:c>
      <x:c r="AK122" t="n">
        <x:v>0</x:v>
      </x:c>
      <x:c r="AL122" t="n">
        <x:v>0</x:v>
      </x:c>
      <x:c r="AM122" t="n">
        <x:f>CHOOSE('假设'!$B$3,AJ122,AK122,AL122)</x:f>
        <x:v>0</x:v>
      </x:c>
      <x:c r="AN122" t="n">
        <x:v>1</x:v>
      </x:c>
      <x:c r="AO122" s="42" t="n">
        <x:v>0.8</x:v>
      </x:c>
      <x:c r="AP122" s="42" t="n">
        <x:v>0.8</x:v>
      </x:c>
      <x:c r="AQ122" s="42" t="n">
        <x:v>0.8</x:v>
      </x:c>
      <x:c r="AR122" s="42" t="n">
        <x:v>0.9</x:v>
      </x:c>
      <x:c r="AS122" s="42" t="n">
        <x:v>1</x:v>
      </x:c>
      <x:c r="AT122" s="42" t="n">
        <x:v>1</x:v>
      </x:c>
      <x:c r="AU122" t="str">
        <x:v>USD</x:v>
      </x:c>
      <x:c r="AV122" t="str">
        <x:v>RC148 future eligible excluding650mreceived</x:v>
      </x:c>
    </x:row>
    <x:row r="123" ht="23" customHeight="1">
      <x:c r="A123" s="11" t="str">
        <x:v>01093.HK</x:v>
      </x:c>
      <x:c r="B123" s="11" t="str">
        <x:v>半年</x:v>
      </x:c>
      <x:c r="C123" s="11" t="str">
        <x:v>JMT101_DOM</x:v>
      </x:c>
      <x:c r="D123" s="11" t="str">
        <x:v>2029-12-31</x:v>
      </x:c>
      <x:c r="E123" s="11" t="str">
        <x:v>CNY</x:v>
      </x:c>
      <x:c r="F123" s="11" t="n">
        <x:v>2.729637234770705</x:v>
      </x:c>
      <x:c r="G123" s="26" t="b">
        <x:v>1</x:v>
      </x:c>
      <x:c r="H123" s="16" t="n">
        <x:v>0.064</x:v>
      </x:c>
      <x:c r="I123" s="16" t="n">
        <x:v>1.08</x:v>
      </x:c>
      <x:c r="J123" s="16" t="n">
        <x:v>2.16</x:v>
      </x:c>
      <x:c r="K123" s="11" t="n">
        <x:f>CHOOSE('假设'!$B$3,H123,I123,J123)</x:f>
        <x:v>1.08</x:v>
      </x:c>
      <x:c r="L123" s="11" t="n">
        <x:f>K123*'管线假设'!E35*'管线假设'!F35*'管线假设'!G35*IF(E123="USD",'管线假设'!I35,1)-AM123</x:f>
        <x:v>0.113724</x:v>
      </x:c>
      <x:c r="M123" s="11" t="n">
        <x:f>'管线假设'!H35</x:f>
        <x:v>0.13</x:v>
      </x:c>
      <x:c r="N123" s="11" t="n">
        <x:f>IF(G123,L123*AN123/(1+M123)^F123,0)</x:f>
        <x:v>0.08146428140785827</x:v>
      </x:c>
      <x:c r="P123" t="str">
        <x:v>09995.HK</x:v>
      </x:c>
      <x:c r="Q123" t="str">
        <x:v>一年</x:v>
      </x:c>
      <x:c r="R123" t="str">
        <x:v>2028-12-31</x:v>
      </x:c>
      <x:c r="S123" t="n">
        <x:v>1.2292950034223136</x:v>
      </x:c>
      <x:c r="T123" s="27" t="b">
        <x:v>1</x:v>
      </x:c>
      <x:c r="U123" s="42" t="n">
        <x:v>0</x:v>
      </x:c>
      <x:c r="V123" s="42" t="n">
        <x:v>0.06</x:v>
      </x:c>
      <x:c r="W123" s="42" t="n">
        <x:v>0.1</x:v>
      </x:c>
      <x:c r="X123" s="42" t="n">
        <x:v>0</x:v>
      </x:c>
      <x:c r="Y123" s="42" t="n">
        <x:v>0.6</x:v>
      </x:c>
      <x:c r="Z123" s="42" t="n">
        <x:v>0.8</x:v>
      </x:c>
      <x:c r="AA123" t="n">
        <x:f>AB123/(1+'管线假设'!H1427)^S123</x:f>
        <x:v>0.17160805867280443</x:v>
      </x:c>
      <x:c r="AB123" t="n">
        <x:f>IF(T123,CHOOSE('假设'!$B$3,U123,V123,W123)*CHOOSE('假设'!$B$3,X123,Y123,Z123)*CHOOSE('假设'!$B$3,AO123,AP123,AQ123)*CHOOSE('假设'!$B$3,AR123,AS123,AT123)*IF(AU123="USD",'管线假设'!I1427,1),0)</x:f>
        <x:v>0.2016</x:v>
      </x:c>
      <x:c r="AJ123" t="n">
        <x:v>0</x:v>
      </x:c>
      <x:c r="AK123" t="n">
        <x:v>0</x:v>
      </x:c>
      <x:c r="AL123" t="n">
        <x:v>0</x:v>
      </x:c>
      <x:c r="AM123" t="n">
        <x:f>CHOOSE('假设'!$B$3,AJ123,AK123,AL123)</x:f>
        <x:v>0</x:v>
      </x:c>
      <x:c r="AN123" t="n">
        <x:v>1</x:v>
      </x:c>
      <x:c r="AO123" s="42" t="n">
        <x:v>0.8</x:v>
      </x:c>
      <x:c r="AP123" s="42" t="n">
        <x:v>0.8</x:v>
      </x:c>
      <x:c r="AQ123" s="42" t="n">
        <x:v>0.8</x:v>
      </x:c>
      <x:c r="AR123" s="42" t="n">
        <x:v>0.9</x:v>
      </x:c>
      <x:c r="AS123" s="42" t="n">
        <x:v>1</x:v>
      </x:c>
      <x:c r="AT123" s="42" t="n">
        <x:v>1</x:v>
      </x:c>
      <x:c r="AU123" t="str">
        <x:v>USD</x:v>
      </x:c>
      <x:c r="AV123" t="str">
        <x:v>RC18 regulatory330mcap and future sales milestones partial, excludes45mreceived</x:v>
      </x:c>
    </x:row>
    <x:row r="124" ht="23" customHeight="1">
      <x:c r="A124" s="11" t="str">
        <x:v>01093.HK</x:v>
      </x:c>
      <x:c r="B124" s="11" t="str">
        <x:v>半年</x:v>
      </x:c>
      <x:c r="C124" s="11" t="str">
        <x:v>JMT101_DOM</x:v>
      </x:c>
      <x:c r="D124" s="11" t="str">
        <x:v>2030-12-31</x:v>
      </x:c>
      <x:c r="E124" s="11" t="str">
        <x:v>CNY</x:v>
      </x:c>
      <x:c r="F124" s="11" t="n">
        <x:v>3.728952772073922</x:v>
      </x:c>
      <x:c r="G124" s="26" t="b">
        <x:v>1</x:v>
      </x:c>
      <x:c r="H124" s="16" t="n">
        <x:v>0.2</x:v>
      </x:c>
      <x:c r="I124" s="16" t="n">
        <x:v>1.56</x:v>
      </x:c>
      <x:c r="J124" s="16" t="n">
        <x:v>3.12</x:v>
      </x:c>
      <x:c r="K124" s="11" t="n">
        <x:f>CHOOSE('假设'!$B$3,H124,I124,J124)</x:f>
        <x:v>1.56</x:v>
      </x:c>
      <x:c r="L124" s="11" t="n">
        <x:f>K124*'管线假设'!E35*'管线假设'!F35*'管线假设'!G35*IF(E124="USD",'管线假设'!I35,1)-AM124</x:f>
        <x:v>0.164268</x:v>
      </x:c>
      <x:c r="M124" s="11" t="n">
        <x:f>'管线假设'!H35</x:f>
        <x:v>0.13</x:v>
      </x:c>
      <x:c r="N124" s="11" t="n">
        <x:f>IF(G124,L124*AN124/(1+M124)^F124,0)</x:f>
        <x:v>0.10414201120476073</x:v>
      </x:c>
      <x:c r="P124" t="str">
        <x:v>09995.HK</x:v>
      </x:c>
      <x:c r="Q124" t="str">
        <x:v>一年</x:v>
      </x:c>
      <x:c r="R124" t="str">
        <x:v>2028-12-31</x:v>
      </x:c>
      <x:c r="S124" t="n">
        <x:v>1.2292950034223136</x:v>
      </x:c>
      <x:c r="T124" s="27" t="b">
        <x:v>1</x:v>
      </x:c>
      <x:c r="U124" s="42" t="n">
        <x:v>0</x:v>
      </x:c>
      <x:c r="V124" s="42" t="n">
        <x:v>0</x:v>
      </x:c>
      <x:c r="W124" s="42" t="n">
        <x:v>0.12</x:v>
      </x:c>
      <x:c r="X124" s="42" t="n">
        <x:v>0</x:v>
      </x:c>
      <x:c r="Y124" s="42" t="n">
        <x:v>0</x:v>
      </x:c>
      <x:c r="Z124" s="42" t="n">
        <x:v>0.8</x:v>
      </x:c>
      <x:c r="AA124" t="n">
        <x:f>AB124/(1+'管线假设'!H1427)^S124</x:f>
        <x:v>0</x:v>
      </x:c>
      <x:c r="AB124" t="n">
        <x:f>IF(T124,CHOOSE('假设'!$B$3,U124,V124,W124)*CHOOSE('假设'!$B$3,X124,Y124,Z124)*CHOOSE('假设'!$B$3,AO124,AP124,AQ124)*CHOOSE('假设'!$B$3,AR124,AS124,AT124)*IF(AU124="USD",'管线假设'!I1427,1),0)</x:f>
        <x:v>0</x:v>
      </x:c>
      <x:c r="AJ124" t="n">
        <x:v>0</x:v>
      </x:c>
      <x:c r="AK124" t="n">
        <x:v>0</x:v>
      </x:c>
      <x:c r="AL124" t="n">
        <x:v>0</x:v>
      </x:c>
      <x:c r="AM124" t="n">
        <x:f>CHOOSE('假设'!$B$3,AJ124,AK124,AL124)</x:f>
        <x:v>0</x:v>
      </x:c>
      <x:c r="AN124" t="n">
        <x:v>1</x:v>
      </x:c>
      <x:c r="AO124" s="42" t="n">
        <x:v>0.8</x:v>
      </x:c>
      <x:c r="AP124" s="42" t="n">
        <x:v>0.8</x:v>
      </x:c>
      <x:c r="AQ124" s="42" t="n">
        <x:v>0.8</x:v>
      </x:c>
      <x:c r="AR124" s="42" t="n">
        <x:v>0.9</x:v>
      </x:c>
      <x:c r="AS124" s="42" t="n">
        <x:v>0.9</x:v>
      </x:c>
      <x:c r="AT124" s="42" t="n">
        <x:v>1</x:v>
      </x:c>
      <x:c r="AU124" t="str">
        <x:v>USD</x:v>
      </x:c>
      <x:c r="AV124" t="str">
        <x:v>RC48 futuremilestones excludes2021upfront200m</x:v>
      </x:c>
    </x:row>
    <x:row r="125" ht="23" customHeight="1">
      <x:c r="A125" s="11" t="str">
        <x:v>01093.HK</x:v>
      </x:c>
      <x:c r="B125" s="11" t="str">
        <x:v>半年</x:v>
      </x:c>
      <x:c r="C125" s="11" t="str">
        <x:v>JMT101_DOM</x:v>
      </x:c>
      <x:c r="D125" s="11" t="str">
        <x:v>2031-12-31</x:v>
      </x:c>
      <x:c r="E125" s="11" t="str">
        <x:v>CNY</x:v>
      </x:c>
      <x:c r="F125" s="11" t="n">
        <x:v>4.728268309377139</x:v>
      </x:c>
      <x:c r="G125" s="26" t="b">
        <x:v>1</x:v>
      </x:c>
      <x:c r="H125" s="16" t="n">
        <x:v>0.36000000000000004</x:v>
      </x:c>
      <x:c r="I125" s="16" t="n">
        <x:v>2.04</x:v>
      </x:c>
      <x:c r="J125" s="16" t="n">
        <x:v>4.08</x:v>
      </x:c>
      <x:c r="K125" s="11" t="n">
        <x:f>CHOOSE('假设'!$B$3,H125,I125,J125)</x:f>
        <x:v>2.04</x:v>
      </x:c>
      <x:c r="L125" s="11" t="n">
        <x:f>K125*'管线假设'!E35*'管线假设'!F35*'管线假设'!G35*IF(E125="USD",'管线假设'!I35,1)-AM125</x:f>
        <x:v>0.214812</x:v>
      </x:c>
      <x:c r="M125" s="11" t="n">
        <x:f>'管线假设'!H35</x:f>
        <x:v>0.13</x:v>
      </x:c>
      <x:c r="N125" s="11" t="n">
        <x:f>IF(G125,L125*AN125/(1+M125)^F125,0)</x:f>
        <x:v>0.12052840693401644</x:v>
      </x:c>
      <x:c r="P125" t="str">
        <x:v>09995.HK</x:v>
      </x:c>
      <x:c r="Q125" t="str">
        <x:v>一年</x:v>
      </x:c>
      <x:c r="R125" t="str">
        <x:v>2029-12-31</x:v>
      </x:c>
      <x:c r="S125" t="n">
        <x:v>2.2286105407255303</x:v>
      </x:c>
      <x:c r="T125" s="27" t="b">
        <x:v>1</x:v>
      </x:c>
      <x:c r="U125" s="42" t="n">
        <x:v>0.03</x:v>
      </x:c>
      <x:c r="V125" s="42" t="n">
        <x:v>0</x:v>
      </x:c>
      <x:c r="W125" s="42" t="n">
        <x:v>0</x:v>
      </x:c>
      <x:c r="X125" s="42" t="n">
        <x:v>0.25</x:v>
      </x:c>
      <x:c r="Y125" s="42" t="n">
        <x:v>0</x:v>
      </x:c>
      <x:c r="Z125" s="42" t="n">
        <x:v>0</x:v>
      </x:c>
      <x:c r="AA125" t="n">
        <x:f>AB125/(1+'管线假设'!H1427)^S125</x:f>
        <x:v>0</x:v>
      </x:c>
      <x:c r="AB125" t="n">
        <x:f>IF(T125,CHOOSE('假设'!$B$3,U125,V125,W125)*CHOOSE('假设'!$B$3,X125,Y125,Z125)*CHOOSE('假设'!$B$3,AO125,AP125,AQ125)*CHOOSE('假设'!$B$3,AR125,AS125,AT125)*IF(AU125="USD",'管线假设'!I1427,1),0)</x:f>
        <x:v>0</x:v>
      </x:c>
      <x:c r="AJ125" t="n">
        <x:v>0</x:v>
      </x:c>
      <x:c r="AK125" t="n">
        <x:v>0</x:v>
      </x:c>
      <x:c r="AL125" t="n">
        <x:v>0</x:v>
      </x:c>
      <x:c r="AM125" t="n">
        <x:f>CHOOSE('假设'!$B$3,AJ125,AK125,AL125)</x:f>
        <x:v>0</x:v>
      </x:c>
      <x:c r="AN125" t="n">
        <x:v>1</x:v>
      </x:c>
      <x:c r="AO125" s="42" t="n">
        <x:v>0.8</x:v>
      </x:c>
      <x:c r="AP125" s="42" t="n">
        <x:v>0.8</x:v>
      </x:c>
      <x:c r="AQ125" s="42" t="n">
        <x:v>0.8</x:v>
      </x:c>
      <x:c r="AR125" s="42" t="n">
        <x:v>1</x:v>
      </x:c>
      <x:c r="AS125" s="42" t="n">
        <x:v>0.9</x:v>
      </x:c>
      <x:c r="AT125" s="42" t="n">
        <x:v>0.9</x:v>
      </x:c>
      <x:c r="AU125" t="str">
        <x:v>USD</x:v>
      </x:c>
      <x:c r="AV125" t="str">
        <x:v>RC18 regulatory330mcap and future sales milestones partial, excludes45mreceived</x:v>
      </x:c>
    </x:row>
    <x:row r="126" ht="23" customHeight="1">
      <x:c r="A126" s="11" t="str">
        <x:v>01093.HK</x:v>
      </x:c>
      <x:c r="B126" s="11" t="str">
        <x:v>半年</x:v>
      </x:c>
      <x:c r="C126" s="11" t="str">
        <x:v>JMT101_DOM</x:v>
      </x:c>
      <x:c r="D126" s="11" t="str">
        <x:v>2032-12-31</x:v>
      </x:c>
      <x:c r="E126" s="11" t="str">
        <x:v>CNY</x:v>
      </x:c>
      <x:c r="F126" s="11" t="n">
        <x:v>5.730321697467488</x:v>
      </x:c>
      <x:c r="G126" s="26" t="b">
        <x:v>1</x:v>
      </x:c>
      <x:c r="H126" s="16" t="n">
        <x:v>0.52</x:v>
      </x:c>
      <x:c r="I126" s="16" t="n">
        <x:v>2.4</x:v>
      </x:c>
      <x:c r="J126" s="16" t="n">
        <x:v>4.8</x:v>
      </x:c>
      <x:c r="K126" s="11" t="n">
        <x:f>CHOOSE('假设'!$B$3,H126,I126,J126)</x:f>
        <x:v>2.4</x:v>
      </x:c>
      <x:c r="L126" s="11" t="n">
        <x:f>K126*'管线假设'!E35*'管线假设'!F35*'管线假设'!G35*IF(E126="USD",'管线假设'!I35,1)-AM126</x:f>
        <x:v>0.25272</x:v>
      </x:c>
      <x:c r="M126" s="11" t="n">
        <x:f>'管线假设'!H35</x:f>
        <x:v>0.13</x:v>
      </x:c>
      <x:c r="N126" s="11" t="n">
        <x:f>IF(G126,L126*AN126/(1+M126)^F126,0)</x:f>
        <x:v>0.125453579273606</x:v>
      </x:c>
      <x:c r="P126" t="str">
        <x:v>09995.HK</x:v>
      </x:c>
      <x:c r="Q126" t="str">
        <x:v>一年</x:v>
      </x:c>
      <x:c r="R126" t="str">
        <x:v>2029-12-31</x:v>
      </x:c>
      <x:c r="S126" t="n">
        <x:v>2.2286105407255303</x:v>
      </x:c>
      <x:c r="T126" s="27" t="b">
        <x:v>1</x:v>
      </x:c>
      <x:c r="U126" s="42" t="n">
        <x:v>0</x:v>
      </x:c>
      <x:c r="V126" s="42" t="n">
        <x:v>0.08</x:v>
      </x:c>
      <x:c r="W126" s="42" t="n">
        <x:v>0</x:v>
      </x:c>
      <x:c r="X126" s="42" t="n">
        <x:v>0</x:v>
      </x:c>
      <x:c r="Y126" s="42" t="n">
        <x:v>0.55</x:v>
      </x:c>
      <x:c r="Z126" s="42" t="n">
        <x:v>0</x:v>
      </x:c>
      <x:c r="AA126" t="n">
        <x:f>AB126/(1+'管线假设'!H1427)^S126</x:f>
        <x:v>0.18400174935492278</x:v>
      </x:c>
      <x:c r="AB126" t="n">
        <x:f>IF(T126,CHOOSE('假设'!$B$3,U126,V126,W126)*CHOOSE('假设'!$B$3,X126,Y126,Z126)*CHOOSE('假设'!$B$3,AO126,AP126,AQ126)*CHOOSE('假设'!$B$3,AR126,AS126,AT126)*IF(AU126="USD",'管线假设'!I1427,1),0)</x:f>
        <x:v>0.2464</x:v>
      </x:c>
      <x:c r="AJ126" t="n">
        <x:v>0</x:v>
      </x:c>
      <x:c r="AK126" t="n">
        <x:v>0</x:v>
      </x:c>
      <x:c r="AL126" t="n">
        <x:v>0</x:v>
      </x:c>
      <x:c r="AM126" t="n">
        <x:f>CHOOSE('假设'!$B$3,AJ126,AK126,AL126)</x:f>
        <x:v>0</x:v>
      </x:c>
      <x:c r="AN126" t="n">
        <x:v>1</x:v>
      </x:c>
      <x:c r="AO126" s="42" t="n">
        <x:v>0.8</x:v>
      </x:c>
      <x:c r="AP126" s="42" t="n">
        <x:v>0.8</x:v>
      </x:c>
      <x:c r="AQ126" s="42" t="n">
        <x:v>0.8</x:v>
      </x:c>
      <x:c r="AR126" s="42" t="n">
        <x:v>0.9</x:v>
      </x:c>
      <x:c r="AS126" s="42" t="n">
        <x:v>1</x:v>
      </x:c>
      <x:c r="AT126" s="42" t="n">
        <x:v>0.9</x:v>
      </x:c>
      <x:c r="AU126" t="str">
        <x:v>USD</x:v>
      </x:c>
      <x:c r="AV126" t="str">
        <x:v>RC48 futuremilestones excludes2021upfront200m</x:v>
      </x:c>
    </x:row>
    <x:row r="127" ht="23" customHeight="1">
      <x:c r="A127" s="11" t="str">
        <x:v>01093.HK</x:v>
      </x:c>
      <x:c r="B127" s="11" t="str">
        <x:v>半年</x:v>
      </x:c>
      <x:c r="C127" s="11" t="str">
        <x:v>JMT101_DOM</x:v>
      </x:c>
      <x:c r="D127" s="11" t="str">
        <x:v>2033-12-31</x:v>
      </x:c>
      <x:c r="E127" s="11" t="str">
        <x:v>CNY</x:v>
      </x:c>
      <x:c r="F127" s="11" t="n">
        <x:v>6.729637234770705</x:v>
      </x:c>
      <x:c r="G127" s="26" t="b">
        <x:v>1</x:v>
      </x:c>
      <x:c r="H127" s="16" t="n">
        <x:v>0.68</x:v>
      </x:c>
      <x:c r="I127" s="16" t="n">
        <x:v>2.4</x:v>
      </x:c>
      <x:c r="J127" s="16" t="n">
        <x:v>4.8</x:v>
      </x:c>
      <x:c r="K127" s="11" t="n">
        <x:f>CHOOSE('假设'!$B$3,H127,I127,J127)</x:f>
        <x:v>2.4</x:v>
      </x:c>
      <x:c r="L127" s="11" t="n">
        <x:f>K127*'管线假设'!E35*'管线假设'!F35*'管线假设'!G35*IF(E127="USD",'管线假设'!I35,1)-AM127</x:f>
        <x:v>0.25272</x:v>
      </x:c>
      <x:c r="M127" s="11" t="n">
        <x:f>'管线假设'!H35</x:f>
        <x:v>0.13</x:v>
      </x:c>
      <x:c r="N127" s="11" t="n">
        <x:f>IF(G127,L127*AN127/(1+M127)^F127,0)</x:f>
        <x:v>0.11103015427640521</x:v>
      </x:c>
      <x:c r="P127" t="str">
        <x:v>09995.HK</x:v>
      </x:c>
      <x:c r="Q127" t="str">
        <x:v>一年</x:v>
      </x:c>
      <x:c r="R127" t="str">
        <x:v>2030-12-31</x:v>
      </x:c>
      <x:c r="S127" t="n">
        <x:v>3.2279260780287475</x:v>
      </x:c>
      <x:c r="T127" s="27" t="b">
        <x:v>1</x:v>
      </x:c>
      <x:c r="U127" s="42" t="n">
        <x:v>0.04</x:v>
      </x:c>
      <x:c r="V127" s="42" t="n">
        <x:v>0.15</x:v>
      </x:c>
      <x:c r="W127" s="42" t="n">
        <x:v>0.3</x:v>
      </x:c>
      <x:c r="X127" s="42" t="n">
        <x:v>0.18</x:v>
      </x:c>
      <x:c r="Y127" s="42" t="n">
        <x:v>0.45</x:v>
      </x:c>
      <x:c r="Z127" s="42" t="n">
        <x:v>0.65</x:v>
      </x:c>
      <x:c r="AA127" t="n">
        <x:f>AB127/(1+'管线假设'!H1427)^S127</x:f>
        <x:v>0.2476322172399124</x:v>
      </x:c>
      <x:c r="AB127" t="n">
        <x:f>IF(T127,CHOOSE('假设'!$B$3,U127,V127,W127)*CHOOSE('假设'!$B$3,X127,Y127,Z127)*CHOOSE('假设'!$B$3,AO127,AP127,AQ127)*CHOOSE('假设'!$B$3,AR127,AS127,AT127)*IF(AU127="USD",'管线假设'!I1427,1),0)</x:f>
        <x:v>0.37800000000000006</x:v>
      </x:c>
      <x:c r="AJ127" t="n">
        <x:v>0</x:v>
      </x:c>
      <x:c r="AK127" t="n">
        <x:v>0</x:v>
      </x:c>
      <x:c r="AL127" t="n">
        <x:v>0</x:v>
      </x:c>
      <x:c r="AM127" t="n">
        <x:f>CHOOSE('假设'!$B$3,AJ127,AK127,AL127)</x:f>
        <x:v>0</x:v>
      </x:c>
      <x:c r="AN127" t="n">
        <x:v>1</x:v>
      </x:c>
      <x:c r="AO127" s="42" t="n">
        <x:v>0.8</x:v>
      </x:c>
      <x:c r="AP127" s="42" t="n">
        <x:v>0.8</x:v>
      </x:c>
      <x:c r="AQ127" s="42" t="n">
        <x:v>0.8</x:v>
      </x:c>
      <x:c r="AR127" s="42" t="n">
        <x:v>1</x:v>
      </x:c>
      <x:c r="AS127" s="42" t="n">
        <x:v>1</x:v>
      </x:c>
      <x:c r="AT127" s="42" t="n">
        <x:v>1</x:v>
      </x:c>
      <x:c r="AU127" t="str">
        <x:v>USD</x:v>
      </x:c>
      <x:c r="AV127" t="str">
        <x:v>RC148 future eligible excluding650mreceived</x:v>
      </x:c>
    </x:row>
    <x:row r="128" ht="23" customHeight="1">
      <x:c r="A128" s="11" t="str">
        <x:v>01093.HK</x:v>
      </x:c>
      <x:c r="B128" s="11" t="str">
        <x:v>半年</x:v>
      </x:c>
      <x:c r="C128" s="11" t="str">
        <x:v>JMT101_DOM</x:v>
      </x:c>
      <x:c r="D128" s="11" t="str">
        <x:v>2034-12-31</x:v>
      </x:c>
      <x:c r="E128" s="11" t="str">
        <x:v>CNY</x:v>
      </x:c>
      <x:c r="F128" s="11" t="n">
        <x:v>7.728952772073922</x:v>
      </x:c>
      <x:c r="G128" s="26" t="b">
        <x:v>1</x:v>
      </x:c>
      <x:c r="H128" s="16" t="n">
        <x:v>0.8</x:v>
      </x:c>
      <x:c r="I128" s="16" t="n">
        <x:v>2.28</x:v>
      </x:c>
      <x:c r="J128" s="16" t="n">
        <x:v>4.56</x:v>
      </x:c>
      <x:c r="K128" s="11" t="n">
        <x:f>CHOOSE('假设'!$B$3,H128,I128,J128)</x:f>
        <x:v>2.28</x:v>
      </x:c>
      <x:c r="L128" s="11" t="n">
        <x:f>K128*'管线假设'!E35*'管线假设'!F35*'管线假设'!G35*IF(E128="USD",'管线假设'!I35,1)-AM128</x:f>
        <x:v>0.240084</x:v>
      </x:c>
      <x:c r="M128" s="11" t="n">
        <x:f>'管线假设'!H35</x:f>
        <x:v>0.13</x:v>
      </x:c>
      <x:c r="N128" s="11" t="n">
        <x:f>IF(G128,L128*AN128/(1+M128)^F128,0)</x:f>
        <x:v>0.09335174387626381</x:v>
      </x:c>
      <x:c r="P128" t="str">
        <x:v>09995.HK</x:v>
      </x:c>
      <x:c r="Q128" t="str">
        <x:v>一年</x:v>
      </x:c>
      <x:c r="R128" t="str">
        <x:v>2030-12-31</x:v>
      </x:c>
      <x:c r="S128" t="n">
        <x:v>3.2279260780287475</x:v>
      </x:c>
      <x:c r="T128" s="27" t="b">
        <x:v>1</x:v>
      </x:c>
      <x:c r="U128" s="42" t="n">
        <x:v>0</x:v>
      </x:c>
      <x:c r="V128" s="42" t="n">
        <x:v>0.08</x:v>
      </x:c>
      <x:c r="W128" s="42" t="n">
        <x:v>0.15</x:v>
      </x:c>
      <x:c r="X128" s="42" t="n">
        <x:v>0</x:v>
      </x:c>
      <x:c r="Y128" s="42" t="n">
        <x:v>0.5</x:v>
      </x:c>
      <x:c r="Z128" s="42" t="n">
        <x:v>0.7</x:v>
      </x:c>
      <x:c r="AA128" t="n">
        <x:f>AB128/(1+'管线假设'!H1427)^S128</x:f>
        <x:v>0.14674501762365177</x:v>
      </x:c>
      <x:c r="AB128" t="n">
        <x:f>IF(T128,CHOOSE('假设'!$B$3,U128,V128,W128)*CHOOSE('假设'!$B$3,X128,Y128,Z128)*CHOOSE('假设'!$B$3,AO128,AP128,AQ128)*CHOOSE('假设'!$B$3,AR128,AS128,AT128)*IF(AU128="USD",'管线假设'!I1427,1),0)</x:f>
        <x:v>0.224</x:v>
      </x:c>
      <x:c r="AJ128" t="n">
        <x:v>0</x:v>
      </x:c>
      <x:c r="AK128" t="n">
        <x:v>0</x:v>
      </x:c>
      <x:c r="AL128" t="n">
        <x:v>0</x:v>
      </x:c>
      <x:c r="AM128" t="n">
        <x:f>CHOOSE('假设'!$B$3,AJ128,AK128,AL128)</x:f>
        <x:v>0</x:v>
      </x:c>
      <x:c r="AN128" t="n">
        <x:v>1</x:v>
      </x:c>
      <x:c r="AO128" s="42" t="n">
        <x:v>0.8</x:v>
      </x:c>
      <x:c r="AP128" s="42" t="n">
        <x:v>0.8</x:v>
      </x:c>
      <x:c r="AQ128" s="42" t="n">
        <x:v>0.8</x:v>
      </x:c>
      <x:c r="AR128" s="42" t="n">
        <x:v>0.9</x:v>
      </x:c>
      <x:c r="AS128" s="42" t="n">
        <x:v>1</x:v>
      </x:c>
      <x:c r="AT128" s="42" t="n">
        <x:v>1</x:v>
      </x:c>
      <x:c r="AU128" t="str">
        <x:v>USD</x:v>
      </x:c>
      <x:c r="AV128" t="str">
        <x:v>RC18 regulatory330mcap and future sales milestones partial, excludes45mreceived</x:v>
      </x:c>
    </x:row>
    <x:row r="129" ht="23" customHeight="1">
      <x:c r="A129" s="11" t="str">
        <x:v>01093.HK</x:v>
      </x:c>
      <x:c r="B129" s="11" t="str">
        <x:v>半年</x:v>
      </x:c>
      <x:c r="C129" s="11" t="str">
        <x:v>JMT101_DOM</x:v>
      </x:c>
      <x:c r="D129" s="11" t="str">
        <x:v>2035-12-31</x:v>
      </x:c>
      <x:c r="E129" s="11" t="str">
        <x:v>CNY</x:v>
      </x:c>
      <x:c r="F129" s="11" t="n">
        <x:v>8.728268309377139</x:v>
      </x:c>
      <x:c r="G129" s="26" t="b">
        <x:v>1</x:v>
      </x:c>
      <x:c r="H129" s="16" t="n">
        <x:v>0.8</x:v>
      </x:c>
      <x:c r="I129" s="16" t="n">
        <x:v>2.112</x:v>
      </x:c>
      <x:c r="J129" s="16" t="n">
        <x:v>4.224</x:v>
      </x:c>
      <x:c r="K129" s="11" t="n">
        <x:f>CHOOSE('假设'!$B$3,H129,I129,J129)</x:f>
        <x:v>2.112</x:v>
      </x:c>
      <x:c r="L129" s="11" t="n">
        <x:f>K129*'管线假设'!E35*'管线假设'!F35*'管线假设'!G35*IF(E129="USD",'管线假设'!I35,1)-AM129</x:f>
        <x:v>0.2223936</x:v>
      </x:c>
      <x:c r="M129" s="11" t="n">
        <x:f>'管线假设'!H35</x:f>
        <x:v>0.13</x:v>
      </x:c>
      <x:c r="N129" s="11" t="n">
        <x:f>IF(G129,L129*AN129/(1+M129)^F129,0)</x:f>
        <x:v>0.07653135257316936</x:v>
      </x:c>
      <x:c r="P129" t="str">
        <x:v>09995.HK</x:v>
      </x:c>
      <x:c r="Q129" t="str">
        <x:v>一年</x:v>
      </x:c>
      <x:c r="R129" t="str">
        <x:v>2030-12-31</x:v>
      </x:c>
      <x:c r="S129" t="n">
        <x:v>3.2279260780287475</x:v>
      </x:c>
      <x:c r="T129" s="27" t="b">
        <x:v>1</x:v>
      </x:c>
      <x:c r="U129" s="42" t="n">
        <x:v>0.03</x:v>
      </x:c>
      <x:c r="V129" s="42" t="n">
        <x:v>0</x:v>
      </x:c>
      <x:c r="W129" s="42" t="n">
        <x:v>0.2</x:v>
      </x:c>
      <x:c r="X129" s="42" t="n">
        <x:v>0.2</x:v>
      </x:c>
      <x:c r="Y129" s="42" t="n">
        <x:v>0</x:v>
      </x:c>
      <x:c r="Z129" s="42" t="n">
        <x:v>0.65</x:v>
      </x:c>
      <x:c r="AA129" t="n">
        <x:f>AB129/(1+'管线假设'!H1427)^S129</x:f>
        <x:v>0</x:v>
      </x:c>
      <x:c r="AB129" t="n">
        <x:f>IF(T129,CHOOSE('假设'!$B$3,U129,V129,W129)*CHOOSE('假设'!$B$3,X129,Y129,Z129)*CHOOSE('假设'!$B$3,AO129,AP129,AQ129)*CHOOSE('假设'!$B$3,AR129,AS129,AT129)*IF(AU129="USD",'管线假设'!I1427,1),0)</x:f>
        <x:v>0</x:v>
      </x:c>
      <x:c r="AJ129" t="n">
        <x:v>0</x:v>
      </x:c>
      <x:c r="AK129" t="n">
        <x:v>0</x:v>
      </x:c>
      <x:c r="AL129" t="n">
        <x:v>0</x:v>
      </x:c>
      <x:c r="AM129" t="n">
        <x:f>CHOOSE('假设'!$B$3,AJ129,AK129,AL129)</x:f>
        <x:v>0</x:v>
      </x:c>
      <x:c r="AN129" t="n">
        <x:v>1</x:v>
      </x:c>
      <x:c r="AO129" s="42" t="n">
        <x:v>0.8</x:v>
      </x:c>
      <x:c r="AP129" s="42" t="n">
        <x:v>0.8</x:v>
      </x:c>
      <x:c r="AQ129" s="42" t="n">
        <x:v>0.8</x:v>
      </x:c>
      <x:c r="AR129" s="42" t="n">
        <x:v>1</x:v>
      </x:c>
      <x:c r="AS129" s="42" t="n">
        <x:v>0.9</x:v>
      </x:c>
      <x:c r="AT129" s="42" t="n">
        <x:v>1</x:v>
      </x:c>
      <x:c r="AU129" t="str">
        <x:v>USD</x:v>
      </x:c>
      <x:c r="AV129" t="str">
        <x:v>RC48 futuremilestones excludes2021upfront200m</x:v>
      </x:c>
    </x:row>
    <x:row r="130" ht="23" customHeight="1">
      <x:c r="A130" s="11" t="str">
        <x:v>01093.HK</x:v>
      </x:c>
      <x:c r="B130" s="11" t="str">
        <x:v>半年</x:v>
      </x:c>
      <x:c r="C130" s="11" t="str">
        <x:v>JMT101_DOM</x:v>
      </x:c>
      <x:c r="D130" s="11" t="str">
        <x:v>2036-12-31</x:v>
      </x:c>
      <x:c r="E130" s="11" t="str">
        <x:v>CNY</x:v>
      </x:c>
      <x:c r="F130" s="11" t="n">
        <x:v>9.730321697467488</x:v>
      </x:c>
      <x:c r="G130" s="26" t="b">
        <x:v>1</x:v>
      </x:c>
      <x:c r="H130" s="16" t="n">
        <x:v>0.76</x:v>
      </x:c>
      <x:c r="I130" s="16" t="n">
        <x:v>1.7999999999999998</x:v>
      </x:c>
      <x:c r="J130" s="16" t="n">
        <x:v>3.5999999999999996</x:v>
      </x:c>
      <x:c r="K130" s="11" t="n">
        <x:f>CHOOSE('假设'!$B$3,H130,I130,J130)</x:f>
        <x:v>1.7999999999999998</x:v>
      </x:c>
      <x:c r="L130" s="11" t="n">
        <x:f>K130*'管线假设'!E35*'管线假设'!F35*'管线假设'!G35*IF(E130="USD",'管线假设'!I35,1)-AM130</x:f>
        <x:v>0.18954</x:v>
      </x:c>
      <x:c r="M130" s="11" t="n">
        <x:f>'管线假设'!H35</x:f>
        <x:v>0.13</x:v>
      </x:c>
      <x:c r="N130" s="11" t="n">
        <x:f>IF(G130,L130*AN130/(1+M130)^F130,0)</x:f>
        <x:v>0.0577072722171839</x:v>
      </x:c>
      <x:c r="P130" t="str">
        <x:v>09995.HK</x:v>
      </x:c>
      <x:c r="Q130" t="str">
        <x:v>一年</x:v>
      </x:c>
      <x:c r="R130" t="str">
        <x:v>2031-12-31</x:v>
      </x:c>
      <x:c r="S130" t="n">
        <x:v>4.227241615331964</x:v>
      </x:c>
      <x:c r="T130" s="27" t="b">
        <x:v>1</x:v>
      </x:c>
      <x:c r="U130" s="42" t="n">
        <x:v>0</x:v>
      </x:c>
      <x:c r="V130" s="42" t="n">
        <x:v>0.1</x:v>
      </x:c>
      <x:c r="W130" s="42" t="n">
        <x:v>0</x:v>
      </x:c>
      <x:c r="X130" s="42" t="n">
        <x:v>0</x:v>
      </x:c>
      <x:c r="Y130" s="42" t="n">
        <x:v>0.4</x:v>
      </x:c>
      <x:c r="Z130" s="42" t="n">
        <x:v>0</x:v>
      </x:c>
      <x:c r="AA130" t="n">
        <x:f>AB130/(1+'管线假设'!H1427)^S130</x:f>
        <x:v>0.1287352446384159</x:v>
      </x:c>
      <x:c r="AB130" t="n">
        <x:f>IF(T130,CHOOSE('假设'!$B$3,U130,V130,W130)*CHOOSE('假设'!$B$3,X130,Y130,Z130)*CHOOSE('假设'!$B$3,AO130,AP130,AQ130)*CHOOSE('假设'!$B$3,AR130,AS130,AT130)*IF(AU130="USD",'管线假设'!I1427,1),0)</x:f>
        <x:v>0.22400000000000006</x:v>
      </x:c>
      <x:c r="AJ130" t="n">
        <x:v>0</x:v>
      </x:c>
      <x:c r="AK130" t="n">
        <x:v>0</x:v>
      </x:c>
      <x:c r="AL130" t="n">
        <x:v>0</x:v>
      </x:c>
      <x:c r="AM130" t="n">
        <x:f>CHOOSE('假设'!$B$3,AJ130,AK130,AL130)</x:f>
        <x:v>0</x:v>
      </x:c>
      <x:c r="AN130" t="n">
        <x:v>1</x:v>
      </x:c>
      <x:c r="AO130" s="42" t="n">
        <x:v>0.8</x:v>
      </x:c>
      <x:c r="AP130" s="42" t="n">
        <x:v>0.8</x:v>
      </x:c>
      <x:c r="AQ130" s="42" t="n">
        <x:v>0.8</x:v>
      </x:c>
      <x:c r="AR130" s="42" t="n">
        <x:v>0.9</x:v>
      </x:c>
      <x:c r="AS130" s="42" t="n">
        <x:v>1</x:v>
      </x:c>
      <x:c r="AT130" s="42" t="n">
        <x:v>0.9</x:v>
      </x:c>
      <x:c r="AU130" t="str">
        <x:v>USD</x:v>
      </x:c>
      <x:c r="AV130" t="str">
        <x:v>RC48 futuremilestones excludes2021upfront200m</x:v>
      </x:c>
    </x:row>
    <x:row r="131" ht="23" customHeight="1">
      <x:c r="A131" s="11" t="str">
        <x:v>01093.HK</x:v>
      </x:c>
      <x:c r="B131" s="11" t="str">
        <x:v>半年</x:v>
      </x:c>
      <x:c r="C131" s="11" t="str">
        <x:v>JMT101_DOM</x:v>
      </x:c>
      <x:c r="D131" s="11" t="str">
        <x:v>2037-12-31</x:v>
      </x:c>
      <x:c r="E131" s="11" t="str">
        <x:v>CNY</x:v>
      </x:c>
      <x:c r="F131" s="11" t="n">
        <x:v>10.729637234770705</x:v>
      </x:c>
      <x:c r="G131" s="26" t="b">
        <x:v>1</x:v>
      </x:c>
      <x:c r="H131" s="16" t="n">
        <x:v>0.7040000000000001</x:v>
      </x:c>
      <x:c r="I131" s="16" t="n">
        <x:v>1.44</x:v>
      </x:c>
      <x:c r="J131" s="16" t="n">
        <x:v>2.88</x:v>
      </x:c>
      <x:c r="K131" s="11" t="n">
        <x:f>CHOOSE('假设'!$B$3,H131,I131,J131)</x:f>
        <x:v>1.44</x:v>
      </x:c>
      <x:c r="L131" s="11" t="n">
        <x:f>K131*'管线假设'!E35*'管线假设'!F35*'管线假设'!G35*IF(E131="USD",'管线假设'!I35,1)-AM131</x:f>
        <x:v>0.151632</x:v>
      </x:c>
      <x:c r="M131" s="11" t="n">
        <x:f>'管线假设'!H35</x:f>
        <x:v>0.13</x:v>
      </x:c>
      <x:c r="N131" s="11" t="n">
        <x:f>IF(G131,L131*AN131/(1+M131)^F131,0)</x:f>
        <x:v>0.04085812377290986</x:v>
      </x:c>
      <x:c r="P131" t="str">
        <x:v>09995.HK</x:v>
      </x:c>
      <x:c r="Q131" t="str">
        <x:v>一年</x:v>
      </x:c>
      <x:c r="R131" t="str">
        <x:v>2032-12-31</x:v>
      </x:c>
      <x:c r="S131" t="n">
        <x:v>5.229295003422314</x:v>
      </x:c>
      <x:c r="T131" s="27" t="b">
        <x:v>1</x:v>
      </x:c>
      <x:c r="U131" s="42" t="n">
        <x:v>0</x:v>
      </x:c>
      <x:c r="V131" s="42" t="n">
        <x:v>0.15</x:v>
      </x:c>
      <x:c r="W131" s="42" t="n">
        <x:v>0.35</x:v>
      </x:c>
      <x:c r="X131" s="42" t="n">
        <x:v>0</x:v>
      </x:c>
      <x:c r="Y131" s="42" t="n">
        <x:v>0.35</x:v>
      </x:c>
      <x:c r="Z131" s="42" t="n">
        <x:v>0.55</x:v>
      </x:c>
      <x:c r="AA131" t="n">
        <x:f>AB131/(1+'管线假设'!H1427)^S131</x:f>
        <x:v>0.14817504767618261</x:v>
      </x:c>
      <x:c r="AB131" t="n">
        <x:f>IF(T131,CHOOSE('假设'!$B$3,U131,V131,W131)*CHOOSE('假设'!$B$3,X131,Y131,Z131)*CHOOSE('假设'!$B$3,AO131,AP131,AQ131)*CHOOSE('假设'!$B$3,AR131,AS131,AT131)*IF(AU131="USD",'管线假设'!I1427,1),0)</x:f>
        <x:v>0.29400000000000004</x:v>
      </x:c>
      <x:c r="AJ131" t="n">
        <x:v>0</x:v>
      </x:c>
      <x:c r="AK131" t="n">
        <x:v>0</x:v>
      </x:c>
      <x:c r="AL131" t="n">
        <x:v>0</x:v>
      </x:c>
      <x:c r="AM131" t="n">
        <x:f>CHOOSE('假设'!$B$3,AJ131,AK131,AL131)</x:f>
        <x:v>0</x:v>
      </x:c>
      <x:c r="AN131" t="n">
        <x:v>1</x:v>
      </x:c>
      <x:c r="AO131" s="42" t="n">
        <x:v>0.8</x:v>
      </x:c>
      <x:c r="AP131" s="42" t="n">
        <x:v>0.8</x:v>
      </x:c>
      <x:c r="AQ131" s="42" t="n">
        <x:v>0.8</x:v>
      </x:c>
      <x:c r="AR131" s="42" t="n">
        <x:v>0.9</x:v>
      </x:c>
      <x:c r="AS131" s="42" t="n">
        <x:v>1</x:v>
      </x:c>
      <x:c r="AT131" s="42" t="n">
        <x:v>1</x:v>
      </x:c>
      <x:c r="AU131" t="str">
        <x:v>USD</x:v>
      </x:c>
      <x:c r="AV131" t="str">
        <x:v>RC148 future eligible excluding650mreceived</x:v>
      </x:c>
    </x:row>
    <x:row r="132" ht="23" customHeight="1">
      <x:c r="A132" s="11" t="str">
        <x:v>01093.HK</x:v>
      </x:c>
      <x:c r="B132" s="11" t="str">
        <x:v>半年</x:v>
      </x:c>
      <x:c r="C132" s="11" t="str">
        <x:v>JMT101_DOM</x:v>
      </x:c>
      <x:c r="D132" s="11" t="str">
        <x:v>2038-12-31</x:v>
      </x:c>
      <x:c r="E132" s="11" t="str">
        <x:v>CNY</x:v>
      </x:c>
      <x:c r="F132" s="11" t="n">
        <x:v>11.728952772073923</x:v>
      </x:c>
      <x:c r="G132" s="26" t="b">
        <x:v>1</x:v>
      </x:c>
      <x:c r="H132" s="16" t="n">
        <x:v>0.6000000000000001</x:v>
      </x:c>
      <x:c r="I132" s="16" t="n">
        <x:v>1.08</x:v>
      </x:c>
      <x:c r="J132" s="16" t="n">
        <x:v>2.16</x:v>
      </x:c>
      <x:c r="K132" s="11" t="n">
        <x:f>CHOOSE('假设'!$B$3,H132,I132,J132)</x:f>
        <x:v>1.08</x:v>
      </x:c>
      <x:c r="L132" s="11" t="n">
        <x:f>K132*'管线假设'!E35*'管线假设'!F35*'管线假设'!G35*IF(E132="USD",'管线假设'!I35,1)-AM132</x:f>
        <x:v>0.113724</x:v>
      </x:c>
      <x:c r="M132" s="11" t="n">
        <x:f>'管线假设'!H35</x:f>
        <x:v>0.13</x:v>
      </x:c>
      <x:c r="N132" s="11" t="n">
        <x:f>IF(G132,L132*AN132/(1+M132)^F132,0)</x:f>
        <x:v>0.027120492369872136</x:v>
      </x:c>
      <x:c r="P132" t="str">
        <x:v>09995.HK</x:v>
      </x:c>
      <x:c r="Q132" t="str">
        <x:v>三年</x:v>
      </x:c>
      <x:c r="R132" t="str">
        <x:v>2028-12-31</x:v>
      </x:c>
      <x:c r="S132" t="n">
        <x:v>-0.7720739219712526</x:v>
      </x:c>
      <x:c r="T132" s="27" t="b">
        <x:v>0</x:v>
      </x:c>
      <x:c r="U132" s="42" t="n">
        <x:v>0</x:v>
      </x:c>
      <x:c r="V132" s="42" t="n">
        <x:v>0.05</x:v>
      </x:c>
      <x:c r="W132" s="42" t="n">
        <x:v>0.1</x:v>
      </x:c>
      <x:c r="X132" s="42" t="n">
        <x:v>0</x:v>
      </x:c>
      <x:c r="Y132" s="42" t="n">
        <x:v>0.5</x:v>
      </x:c>
      <x:c r="Z132" s="42" t="n">
        <x:v>0.7</x:v>
      </x:c>
      <x:c r="AA132" t="n">
        <x:f>AB132/(1+'管线假设'!H1467)^S132</x:f>
        <x:v>0</x:v>
      </x:c>
      <x:c r="AB132" t="n">
        <x:f>IF(T132,CHOOSE('假设'!$B$3,U132,V132,W132)*CHOOSE('假设'!$B$3,X132,Y132,Z132)*CHOOSE('假设'!$B$3,AO132,AP132,AQ132)*CHOOSE('假设'!$B$3,AR132,AS132,AT132)*IF(AU132="USD",'管线假设'!I1467,1),0)</x:f>
        <x:v>0</x:v>
      </x:c>
      <x:c r="AJ132" t="n">
        <x:v>0</x:v>
      </x:c>
      <x:c r="AK132" t="n">
        <x:v>0</x:v>
      </x:c>
      <x:c r="AL132" t="n">
        <x:v>0</x:v>
      </x:c>
      <x:c r="AM132" t="n">
        <x:f>CHOOSE('假设'!$B$3,AJ132,AK132,AL132)</x:f>
        <x:v>0</x:v>
      </x:c>
      <x:c r="AN132" t="n">
        <x:v>1</x:v>
      </x:c>
      <x:c r="AO132" s="42" t="n">
        <x:v>0.8</x:v>
      </x:c>
      <x:c r="AP132" s="42" t="n">
        <x:v>0.8</x:v>
      </x:c>
      <x:c r="AQ132" s="42" t="n">
        <x:v>0.8</x:v>
      </x:c>
      <x:c r="AR132" s="42" t="n">
        <x:v>0.9</x:v>
      </x:c>
      <x:c r="AS132" s="42" t="n">
        <x:v>1</x:v>
      </x:c>
      <x:c r="AT132" s="42" t="n">
        <x:v>1</x:v>
      </x:c>
      <x:c r="AU132" t="str">
        <x:v>USD</x:v>
      </x:c>
      <x:c r="AV132" t="str">
        <x:v>RC148 future eligible excluding650mreceived</x:v>
      </x:c>
    </x:row>
    <x:row r="133" ht="23" customHeight="1">
      <x:c r="A133" s="11" t="str">
        <x:v>01093.HK</x:v>
      </x:c>
      <x:c r="B133" s="11" t="str">
        <x:v>半年</x:v>
      </x:c>
      <x:c r="C133" s="11" t="str">
        <x:v>JMT101_DOM</x:v>
      </x:c>
      <x:c r="D133" s="11" t="str">
        <x:v>2039-12-31</x:v>
      </x:c>
      <x:c r="E133" s="11" t="str">
        <x:v>CNY</x:v>
      </x:c>
      <x:c r="F133" s="11" t="n">
        <x:v>12.728268309377139</x:v>
      </x:c>
      <x:c r="G133" s="26" t="b">
        <x:v>1</x:v>
      </x:c>
      <x:c r="H133" s="16" t="n">
        <x:v>0.48</x:v>
      </x:c>
      <x:c r="I133" s="16" t="n">
        <x:v>0.72</x:v>
      </x:c>
      <x:c r="J133" s="16" t="n">
        <x:v>1.44</x:v>
      </x:c>
      <x:c r="K133" s="11" t="n">
        <x:f>CHOOSE('假设'!$B$3,H133,I133,J133)</x:f>
        <x:v>0.72</x:v>
      </x:c>
      <x:c r="L133" s="11" t="n">
        <x:f>K133*'管线假设'!E35*'管线假设'!F35*'管线假设'!G35*IF(E133="USD",'管线假设'!I35,1)-AM133</x:f>
        <x:v>0.075816</x:v>
      </x:c>
      <x:c r="M133" s="11" t="n">
        <x:f>'管线假设'!H35</x:f>
        <x:v>0.13</x:v>
      </x:c>
      <x:c r="N133" s="11" t="n">
        <x:f>IF(G133,L133*AN133/(1+M133)^F133,0)</x:f>
        <x:v>0.016001629018553874</x:v>
      </x:c>
      <x:c r="P133" t="str">
        <x:v>09995.HK</x:v>
      </x:c>
      <x:c r="Q133" t="str">
        <x:v>三年</x:v>
      </x:c>
      <x:c r="R133" t="str">
        <x:v>2028-12-31</x:v>
      </x:c>
      <x:c r="S133" t="n">
        <x:v>-0.7720739219712526</x:v>
      </x:c>
      <x:c r="T133" s="27" t="b">
        <x:v>0</x:v>
      </x:c>
      <x:c r="U133" s="42" t="n">
        <x:v>0</x:v>
      </x:c>
      <x:c r="V133" s="42" t="n">
        <x:v>0.06</x:v>
      </x:c>
      <x:c r="W133" s="42" t="n">
        <x:v>0.1</x:v>
      </x:c>
      <x:c r="X133" s="42" t="n">
        <x:v>0</x:v>
      </x:c>
      <x:c r="Y133" s="42" t="n">
        <x:v>0.6</x:v>
      </x:c>
      <x:c r="Z133" s="42" t="n">
        <x:v>0.8</x:v>
      </x:c>
      <x:c r="AA133" t="n">
        <x:f>AB133/(1+'管线假设'!H1467)^S133</x:f>
        <x:v>0</x:v>
      </x:c>
      <x:c r="AB133" t="n">
        <x:f>IF(T133,CHOOSE('假设'!$B$3,U133,V133,W133)*CHOOSE('假设'!$B$3,X133,Y133,Z133)*CHOOSE('假设'!$B$3,AO133,AP133,AQ133)*CHOOSE('假设'!$B$3,AR133,AS133,AT133)*IF(AU133="USD",'管线假设'!I1467,1),0)</x:f>
        <x:v>0</x:v>
      </x:c>
      <x:c r="AJ133" t="n">
        <x:v>0</x:v>
      </x:c>
      <x:c r="AK133" t="n">
        <x:v>0</x:v>
      </x:c>
      <x:c r="AL133" t="n">
        <x:v>0</x:v>
      </x:c>
      <x:c r="AM133" t="n">
        <x:f>CHOOSE('假设'!$B$3,AJ133,AK133,AL133)</x:f>
        <x:v>0</x:v>
      </x:c>
      <x:c r="AN133" t="n">
        <x:v>1</x:v>
      </x:c>
      <x:c r="AO133" s="42" t="n">
        <x:v>0.8</x:v>
      </x:c>
      <x:c r="AP133" s="42" t="n">
        <x:v>0.8</x:v>
      </x:c>
      <x:c r="AQ133" s="42" t="n">
        <x:v>0.8</x:v>
      </x:c>
      <x:c r="AR133" s="42" t="n">
        <x:v>0.9</x:v>
      </x:c>
      <x:c r="AS133" s="42" t="n">
        <x:v>1</x:v>
      </x:c>
      <x:c r="AT133" s="42" t="n">
        <x:v>1</x:v>
      </x:c>
      <x:c r="AU133" t="str">
        <x:v>USD</x:v>
      </x:c>
      <x:c r="AV133" t="str">
        <x:v>RC18 regulatory330mcap and future sales milestones partial, excludes45mreceived</x:v>
      </x:c>
    </x:row>
    <x:row r="134" ht="23" customHeight="1">
      <x:c r="A134" s="11" t="str">
        <x:v>01093.HK</x:v>
      </x:c>
      <x:c r="B134" s="11" t="str">
        <x:v>半年</x:v>
      </x:c>
      <x:c r="C134" s="11" t="str">
        <x:v>JMT101_DOM</x:v>
      </x:c>
      <x:c r="D134" s="11" t="str">
        <x:v>2040-12-31</x:v>
      </x:c>
      <x:c r="E134" s="11" t="str">
        <x:v>CNY</x:v>
      </x:c>
      <x:c r="F134" s="11" t="n">
        <x:v>13.730321697467488</x:v>
      </x:c>
      <x:c r="G134" s="26" t="b">
        <x:v>1</x:v>
      </x:c>
      <x:c r="H134" s="16" t="n">
        <x:v>0.36000000000000004</x:v>
      </x:c>
      <x:c r="I134" s="16" t="n">
        <x:v>0.432</x:v>
      </x:c>
      <x:c r="J134" s="16" t="n">
        <x:v>0.864</x:v>
      </x:c>
      <x:c r="K134" s="11" t="n">
        <x:f>CHOOSE('假设'!$B$3,H134,I134,J134)</x:f>
        <x:v>0.432</x:v>
      </x:c>
      <x:c r="L134" s="11" t="n">
        <x:f>K134*'管线假设'!E35*'管线假设'!F35*'管线假设'!G35*IF(E134="USD",'管线假设'!I35,1)-AM134</x:f>
        <x:v>0.0454896</x:v>
      </x:c>
      <x:c r="M134" s="11" t="n">
        <x:f>'管线假设'!H35</x:f>
        <x:v>0.13</x:v>
      </x:c>
      <x:c r="N134" s="11" t="n">
        <x:f>IF(G134,L134*AN134/(1+M134)^F134,0)</x:f>
        <x:v>0.008494308185781762</x:v>
      </x:c>
      <x:c r="P134" t="str">
        <x:v>09995.HK</x:v>
      </x:c>
      <x:c r="Q134" t="str">
        <x:v>三年</x:v>
      </x:c>
      <x:c r="R134" t="str">
        <x:v>2028-12-31</x:v>
      </x:c>
      <x:c r="S134" t="n">
        <x:v>-0.7720739219712526</x:v>
      </x:c>
      <x:c r="T134" s="27" t="b">
        <x:v>0</x:v>
      </x:c>
      <x:c r="U134" s="42" t="n">
        <x:v>0</x:v>
      </x:c>
      <x:c r="V134" s="42" t="n">
        <x:v>0</x:v>
      </x:c>
      <x:c r="W134" s="42" t="n">
        <x:v>0.12</x:v>
      </x:c>
      <x:c r="X134" s="42" t="n">
        <x:v>0</x:v>
      </x:c>
      <x:c r="Y134" s="42" t="n">
        <x:v>0</x:v>
      </x:c>
      <x:c r="Z134" s="42" t="n">
        <x:v>0.8</x:v>
      </x:c>
      <x:c r="AA134" t="n">
        <x:f>AB134/(1+'管线假设'!H1467)^S134</x:f>
        <x:v>0</x:v>
      </x:c>
      <x:c r="AB134" t="n">
        <x:f>IF(T134,CHOOSE('假设'!$B$3,U134,V134,W134)*CHOOSE('假设'!$B$3,X134,Y134,Z134)*CHOOSE('假设'!$B$3,AO134,AP134,AQ134)*CHOOSE('假设'!$B$3,AR134,AS134,AT134)*IF(AU134="USD",'管线假设'!I1467,1),0)</x:f>
        <x:v>0</x:v>
      </x:c>
      <x:c r="AJ134" t="n">
        <x:v>0</x:v>
      </x:c>
      <x:c r="AK134" t="n">
        <x:v>0</x:v>
      </x:c>
      <x:c r="AL134" t="n">
        <x:v>0</x:v>
      </x:c>
      <x:c r="AM134" t="n">
        <x:f>CHOOSE('假设'!$B$3,AJ134,AK134,AL134)</x:f>
        <x:v>0</x:v>
      </x:c>
      <x:c r="AN134" t="n">
        <x:v>1</x:v>
      </x:c>
      <x:c r="AO134" s="42" t="n">
        <x:v>0.8</x:v>
      </x:c>
      <x:c r="AP134" s="42" t="n">
        <x:v>0.8</x:v>
      </x:c>
      <x:c r="AQ134" s="42" t="n">
        <x:v>0.8</x:v>
      </x:c>
      <x:c r="AR134" s="42" t="n">
        <x:v>0.9</x:v>
      </x:c>
      <x:c r="AS134" s="42" t="n">
        <x:v>0.9</x:v>
      </x:c>
      <x:c r="AT134" s="42" t="n">
        <x:v>1</x:v>
      </x:c>
      <x:c r="AU134" t="str">
        <x:v>USD</x:v>
      </x:c>
      <x:c r="AV134" t="str">
        <x:v>RC48 futuremilestones excludes2021upfront200m</x:v>
      </x:c>
    </x:row>
    <x:row r="135" ht="23" customHeight="1">
      <x:c r="A135" s="11" t="str">
        <x:v>01093.HK</x:v>
      </x:c>
      <x:c r="B135" s="11" t="str">
        <x:v>半年</x:v>
      </x:c>
      <x:c r="C135" s="11" t="str">
        <x:v>JMT101_DOM</x:v>
      </x:c>
      <x:c r="D135" s="11" t="str">
        <x:v>2041-12-31</x:v>
      </x:c>
      <x:c r="E135" s="11" t="str">
        <x:v>CNY</x:v>
      </x:c>
      <x:c r="F135" s="11" t="n">
        <x:v>14.729637234770705</x:v>
      </x:c>
      <x:c r="G135" s="26" t="b">
        <x:v>1</x:v>
      </x:c>
      <x:c r="H135" s="16" t="n">
        <x:v>0.24</x:v>
      </x:c>
      <x:c r="I135" s="16" t="n">
        <x:v>0.24</x:v>
      </x:c>
      <x:c r="J135" s="16" t="n">
        <x:v>0.48</x:v>
      </x:c>
      <x:c r="K135" s="11" t="n">
        <x:f>CHOOSE('假设'!$B$3,H135,I135,J135)</x:f>
        <x:v>0.24</x:v>
      </x:c>
      <x:c r="L135" s="11" t="n">
        <x:f>K135*'管线假设'!E35*'管线假设'!F35*'管线假设'!G35*IF(E135="USD",'管线假设'!I35,1)-AM135</x:f>
        <x:v>0.025272</x:v>
      </x:c>
      <x:c r="M135" s="11" t="n">
        <x:f>'管线假设'!H35</x:f>
        <x:v>0.13</x:v>
      </x:c>
      <x:c r="N135" s="11" t="n">
        <x:f>IF(G135,L135*AN135/(1+M135)^F135,0)</x:f>
        <x:v>0.004176508747961262</x:v>
      </x:c>
      <x:c r="P135" t="str">
        <x:v>09995.HK</x:v>
      </x:c>
      <x:c r="Q135" t="str">
        <x:v>三年</x:v>
      </x:c>
      <x:c r="R135" t="str">
        <x:v>2029-12-31</x:v>
      </x:c>
      <x:c r="S135" t="n">
        <x:v>0.2272416153319644</x:v>
      </x:c>
      <x:c r="T135" s="27" t="b">
        <x:v>1</x:v>
      </x:c>
      <x:c r="U135" s="42" t="n">
        <x:v>0.03</x:v>
      </x:c>
      <x:c r="V135" s="42" t="n">
        <x:v>0</x:v>
      </x:c>
      <x:c r="W135" s="42" t="n">
        <x:v>0</x:v>
      </x:c>
      <x:c r="X135" s="42" t="n">
        <x:v>0.25</x:v>
      </x:c>
      <x:c r="Y135" s="42" t="n">
        <x:v>0</x:v>
      </x:c>
      <x:c r="Z135" s="42" t="n">
        <x:v>0</x:v>
      </x:c>
      <x:c r="AA135" t="n">
        <x:f>AB135/(1+'管线假设'!H1467)^S135</x:f>
        <x:v>0</x:v>
      </x:c>
      <x:c r="AB135" t="n">
        <x:f>IF(T135,CHOOSE('假设'!$B$3,U135,V135,W135)*CHOOSE('假设'!$B$3,X135,Y135,Z135)*CHOOSE('假设'!$B$3,AO135,AP135,AQ135)*CHOOSE('假设'!$B$3,AR135,AS135,AT135)*IF(AU135="USD",'管线假设'!I1467,1),0)</x:f>
        <x:v>0</x:v>
      </x:c>
      <x:c r="AJ135" t="n">
        <x:v>0</x:v>
      </x:c>
      <x:c r="AK135" t="n">
        <x:v>0</x:v>
      </x:c>
      <x:c r="AL135" t="n">
        <x:v>0</x:v>
      </x:c>
      <x:c r="AM135" t="n">
        <x:f>CHOOSE('假设'!$B$3,AJ135,AK135,AL135)</x:f>
        <x:v>0</x:v>
      </x:c>
      <x:c r="AN135" t="n">
        <x:v>1</x:v>
      </x:c>
      <x:c r="AO135" s="42" t="n">
        <x:v>0.8</x:v>
      </x:c>
      <x:c r="AP135" s="42" t="n">
        <x:v>0.8</x:v>
      </x:c>
      <x:c r="AQ135" s="42" t="n">
        <x:v>0.8</x:v>
      </x:c>
      <x:c r="AR135" s="42" t="n">
        <x:v>1</x:v>
      </x:c>
      <x:c r="AS135" s="42" t="n">
        <x:v>0.9</x:v>
      </x:c>
      <x:c r="AT135" s="42" t="n">
        <x:v>0.9</x:v>
      </x:c>
      <x:c r="AU135" t="str">
        <x:v>USD</x:v>
      </x:c>
      <x:c r="AV135" t="str">
        <x:v>RC18 regulatory330mcap and future sales milestones partial, excludes45mreceived</x:v>
      </x:c>
    </x:row>
    <x:row r="136" ht="23" customHeight="1">
      <x:c r="A136" s="11" t="str">
        <x:v>01093.HK</x:v>
      </x:c>
      <x:c r="B136" s="11" t="str">
        <x:v>半年</x:v>
      </x:c>
      <x:c r="C136" s="11" t="str">
        <x:v>JMT101_DOM</x:v>
      </x:c>
      <x:c r="D136" s="11" t="str">
        <x:v>2042-12-31</x:v>
      </x:c>
      <x:c r="E136" s="11" t="str">
        <x:v>CNY</x:v>
      </x:c>
      <x:c r="F136" s="11" t="n">
        <x:v>15.728952772073923</x:v>
      </x:c>
      <x:c r="G136" s="26" t="b">
        <x:v>1</x:v>
      </x:c>
      <x:c r="H136" s="16" t="n">
        <x:v>0.144</x:v>
      </x:c>
      <x:c r="I136" s="16" t="n">
        <x:v>0.12</x:v>
      </x:c>
      <x:c r="J136" s="16" t="n">
        <x:v>0.24</x:v>
      </x:c>
      <x:c r="K136" s="11" t="n">
        <x:f>CHOOSE('假设'!$B$3,H136,I136,J136)</x:f>
        <x:v>0.12</x:v>
      </x:c>
      <x:c r="L136" s="11" t="n">
        <x:f>K136*'管线假设'!E35*'管线假设'!F35*'管线假设'!G35*IF(E136="USD",'管线假设'!I35,1)-AM136</x:f>
        <x:v>0.012636</x:v>
      </x:c>
      <x:c r="M136" s="11" t="n">
        <x:f>'管线假设'!H35</x:f>
        <x:v>0.13</x:v>
      </x:c>
      <x:c r="N136" s="11" t="n">
        <x:f>IF(G136,L136*AN136/(1+M136)^F136,0)</x:f>
        <x:v>0.0018481673193698027</x:v>
      </x:c>
      <x:c r="P136" t="str">
        <x:v>09995.HK</x:v>
      </x:c>
      <x:c r="Q136" t="str">
        <x:v>三年</x:v>
      </x:c>
      <x:c r="R136" t="str">
        <x:v>2029-12-31</x:v>
      </x:c>
      <x:c r="S136" t="n">
        <x:v>0.2272416153319644</x:v>
      </x:c>
      <x:c r="T136" s="27" t="b">
        <x:v>1</x:v>
      </x:c>
      <x:c r="U136" s="42" t="n">
        <x:v>0</x:v>
      </x:c>
      <x:c r="V136" s="42" t="n">
        <x:v>0.08</x:v>
      </x:c>
      <x:c r="W136" s="42" t="n">
        <x:v>0</x:v>
      </x:c>
      <x:c r="X136" s="42" t="n">
        <x:v>0</x:v>
      </x:c>
      <x:c r="Y136" s="42" t="n">
        <x:v>0.55</x:v>
      </x:c>
      <x:c r="Z136" s="42" t="n">
        <x:v>0</x:v>
      </x:c>
      <x:c r="AA136" t="n">
        <x:f>AB136/(1+'管线假设'!H1467)^S136</x:f>
        <x:v>0.2391715693203519</x:v>
      </x:c>
      <x:c r="AB136" t="n">
        <x:f>IF(T136,CHOOSE('假设'!$B$3,U136,V136,W136)*CHOOSE('假设'!$B$3,X136,Y136,Z136)*CHOOSE('假设'!$B$3,AO136,AP136,AQ136)*CHOOSE('假设'!$B$3,AR136,AS136,AT136)*IF(AU136="USD",'管线假设'!I1467,1),0)</x:f>
        <x:v>0.2464</x:v>
      </x:c>
      <x:c r="AJ136" t="n">
        <x:v>0</x:v>
      </x:c>
      <x:c r="AK136" t="n">
        <x:v>0</x:v>
      </x:c>
      <x:c r="AL136" t="n">
        <x:v>0</x:v>
      </x:c>
      <x:c r="AM136" t="n">
        <x:f>CHOOSE('假设'!$B$3,AJ136,AK136,AL136)</x:f>
        <x:v>0</x:v>
      </x:c>
      <x:c r="AN136" t="n">
        <x:v>1</x:v>
      </x:c>
      <x:c r="AO136" s="42" t="n">
        <x:v>0.8</x:v>
      </x:c>
      <x:c r="AP136" s="42" t="n">
        <x:v>0.8</x:v>
      </x:c>
      <x:c r="AQ136" s="42" t="n">
        <x:v>0.8</x:v>
      </x:c>
      <x:c r="AR136" s="42" t="n">
        <x:v>0.9</x:v>
      </x:c>
      <x:c r="AS136" s="42" t="n">
        <x:v>1</x:v>
      </x:c>
      <x:c r="AT136" s="42" t="n">
        <x:v>0.9</x:v>
      </x:c>
      <x:c r="AU136" t="str">
        <x:v>USD</x:v>
      </x:c>
      <x:c r="AV136" t="str">
        <x:v>RC48 futuremilestones excludes2021upfront200m</x:v>
      </x:c>
    </x:row>
    <x:row r="137" ht="23" customHeight="1">
      <x:c r="A137" s="11" t="str">
        <x:v>01093.HK</x:v>
      </x:c>
      <x:c r="B137" s="11" t="str">
        <x:v>半年</x:v>
      </x:c>
      <x:c r="C137" s="11" t="str">
        <x:v>JMT101_DOM</x:v>
      </x:c>
      <x:c r="D137" s="11" t="str">
        <x:v>2043-12-31</x:v>
      </x:c>
      <x:c r="E137" s="11" t="str">
        <x:v>CNY</x:v>
      </x:c>
      <x:c r="F137" s="11" t="n">
        <x:v>16.72826830937714</x:v>
      </x:c>
      <x:c r="G137" s="26" t="b">
        <x:v>1</x:v>
      </x:c>
      <x:c r="H137" s="16" t="n">
        <x:v>0.08000000000000002</x:v>
      </x:c>
      <x:c r="I137" s="16" t="n">
        <x:v>0.12</x:v>
      </x:c>
      <x:c r="J137" s="16" t="n">
        <x:v>0.24</x:v>
      </x:c>
      <x:c r="K137" s="11" t="n">
        <x:f>CHOOSE('假设'!$B$3,H137,I137,J137)</x:f>
        <x:v>0.12</x:v>
      </x:c>
      <x:c r="L137" s="11" t="n">
        <x:f>K137*'管线假设'!E35*'管线假设'!F35*'管线假设'!G35*IF(E137="USD",'管线假设'!I35,1)-AM137</x:f>
        <x:v>0.012636</x:v>
      </x:c>
      <x:c r="M137" s="11" t="n">
        <x:f>'管线假设'!H35</x:f>
        <x:v>0.13</x:v>
      </x:c>
      <x:c r="N137" s="11" t="n">
        <x:f>IF(G137,L137*AN137/(1+M137)^F137,0)</x:f>
        <x:v>0.0016356831250761428</x:v>
      </x:c>
      <x:c r="P137" t="str">
        <x:v>09995.HK</x:v>
      </x:c>
      <x:c r="Q137" t="str">
        <x:v>三年</x:v>
      </x:c>
      <x:c r="R137" t="str">
        <x:v>2030-12-31</x:v>
      </x:c>
      <x:c r="S137" t="n">
        <x:v>1.2265571526351813</x:v>
      </x:c>
      <x:c r="T137" s="27" t="b">
        <x:v>1</x:v>
      </x:c>
      <x:c r="U137" s="42" t="n">
        <x:v>0.04</x:v>
      </x:c>
      <x:c r="V137" s="42" t="n">
        <x:v>0.15</x:v>
      </x:c>
      <x:c r="W137" s="42" t="n">
        <x:v>0.3</x:v>
      </x:c>
      <x:c r="X137" s="42" t="n">
        <x:v>0.18</x:v>
      </x:c>
      <x:c r="Y137" s="42" t="n">
        <x:v>0.45</x:v>
      </x:c>
      <x:c r="Z137" s="42" t="n">
        <x:v>0.65</x:v>
      </x:c>
      <x:c r="AA137" t="n">
        <x:f>AB137/(1+'管线假设'!H1467)^S137</x:f>
        <x:v>0.32188055939242954</x:v>
      </x:c>
      <x:c r="AB137" t="n">
        <x:f>IF(T137,CHOOSE('假设'!$B$3,U137,V137,W137)*CHOOSE('假设'!$B$3,X137,Y137,Z137)*CHOOSE('假设'!$B$3,AO137,AP137,AQ137)*CHOOSE('假设'!$B$3,AR137,AS137,AT137)*IF(AU137="USD",'管线假设'!I1467,1),0)</x:f>
        <x:v>0.37800000000000006</x:v>
      </x:c>
      <x:c r="AJ137" t="n">
        <x:v>0</x:v>
      </x:c>
      <x:c r="AK137" t="n">
        <x:v>0</x:v>
      </x:c>
      <x:c r="AL137" t="n">
        <x:v>0</x:v>
      </x:c>
      <x:c r="AM137" t="n">
        <x:f>CHOOSE('假设'!$B$3,AJ137,AK137,AL137)</x:f>
        <x:v>0</x:v>
      </x:c>
      <x:c r="AN137" t="n">
        <x:v>1</x:v>
      </x:c>
      <x:c r="AO137" s="42" t="n">
        <x:v>0.8</x:v>
      </x:c>
      <x:c r="AP137" s="42" t="n">
        <x:v>0.8</x:v>
      </x:c>
      <x:c r="AQ137" s="42" t="n">
        <x:v>0.8</x:v>
      </x:c>
      <x:c r="AR137" s="42" t="n">
        <x:v>1</x:v>
      </x:c>
      <x:c r="AS137" s="42" t="n">
        <x:v>1</x:v>
      </x:c>
      <x:c r="AT137" s="42" t="n">
        <x:v>1</x:v>
      </x:c>
      <x:c r="AU137" t="str">
        <x:v>USD</x:v>
      </x:c>
      <x:c r="AV137" t="str">
        <x:v>RC148 future eligible excluding650mreceived</x:v>
      </x:c>
    </x:row>
    <x:row r="138" ht="23" customHeight="1">
      <x:c r="A138" s="11" t="str">
        <x:v>01093.HK</x:v>
      </x:c>
      <x:c r="B138" s="11" t="str">
        <x:v>半年</x:v>
      </x:c>
      <x:c r="C138" s="11" t="str">
        <x:v>KN026_HB_INCREMENT_DOM</x:v>
      </x:c>
      <x:c r="D138" s="11" t="str">
        <x:v>2027-12-31</x:v>
      </x:c>
      <x:c r="E138" s="11" t="str">
        <x:v>CNY</x:v>
      </x:c>
      <x:c r="F138" s="11" t="n">
        <x:v>0.7282683093771389</x:v>
      </x:c>
      <x:c r="G138" s="26" t="b">
        <x:v>1</x:v>
      </x:c>
      <x:c r="H138" s="16" t="n">
        <x:v>0</x:v>
      </x:c>
      <x:c r="I138" s="16" t="n">
        <x:v>0.28</x:v>
      </x:c>
      <x:c r="J138" s="16" t="n">
        <x:v>0.48</x:v>
      </x:c>
      <x:c r="K138" s="11" t="n">
        <x:f>CHOOSE('假设'!$B$3,H138,I138,J138)</x:f>
        <x:v>0.28</x:v>
      </x:c>
      <x:c r="L138" s="11" t="n">
        <x:f>K138*'管线假设'!E39*'管线假设'!F39*'管线假设'!G39*IF(E138="USD",'管线假设'!I39,1)-AM138</x:f>
        <x:v>0.028224</x:v>
      </x:c>
      <x:c r="M138" s="11" t="n">
        <x:f>'管线假设'!H39</x:f>
        <x:v>0.13</x:v>
      </x:c>
      <x:c r="N138" s="11" t="n">
        <x:f>IF(G138,L138*AN138/(1+M138)^F138,0)</x:f>
        <x:v>0.025820414818304625</x:v>
      </x:c>
      <x:c r="P138" t="str">
        <x:v>09995.HK</x:v>
      </x:c>
      <x:c r="Q138" t="str">
        <x:v>三年</x:v>
      </x:c>
      <x:c r="R138" t="str">
        <x:v>2030-12-31</x:v>
      </x:c>
      <x:c r="S138" t="n">
        <x:v>1.2265571526351813</x:v>
      </x:c>
      <x:c r="T138" s="27" t="b">
        <x:v>1</x:v>
      </x:c>
      <x:c r="U138" s="42" t="n">
        <x:v>0</x:v>
      </x:c>
      <x:c r="V138" s="42" t="n">
        <x:v>0.08</x:v>
      </x:c>
      <x:c r="W138" s="42" t="n">
        <x:v>0.15</x:v>
      </x:c>
      <x:c r="X138" s="42" t="n">
        <x:v>0</x:v>
      </x:c>
      <x:c r="Y138" s="42" t="n">
        <x:v>0.5</x:v>
      </x:c>
      <x:c r="Z138" s="42" t="n">
        <x:v>0.7</x:v>
      </x:c>
      <x:c r="AA138" t="n">
        <x:f>AB138/(1+'管线假设'!H1467)^S138</x:f>
        <x:v>0.19074403519551378</x:v>
      </x:c>
      <x:c r="AB138" t="n">
        <x:f>IF(T138,CHOOSE('假设'!$B$3,U138,V138,W138)*CHOOSE('假设'!$B$3,X138,Y138,Z138)*CHOOSE('假设'!$B$3,AO138,AP138,AQ138)*CHOOSE('假设'!$B$3,AR138,AS138,AT138)*IF(AU138="USD",'管线假设'!I1467,1),0)</x:f>
        <x:v>0.224</x:v>
      </x:c>
      <x:c r="AJ138" t="n">
        <x:v>0</x:v>
      </x:c>
      <x:c r="AK138" t="n">
        <x:v>0</x:v>
      </x:c>
      <x:c r="AL138" t="n">
        <x:v>0</x:v>
      </x:c>
      <x:c r="AM138" t="n">
        <x:f>CHOOSE('假设'!$B$3,AJ138,AK138,AL138)</x:f>
        <x:v>0</x:v>
      </x:c>
      <x:c r="AN138" t="n">
        <x:v>1</x:v>
      </x:c>
      <x:c r="AO138" s="42" t="n">
        <x:v>0.8</x:v>
      </x:c>
      <x:c r="AP138" s="42" t="n">
        <x:v>0.8</x:v>
      </x:c>
      <x:c r="AQ138" s="42" t="n">
        <x:v>0.8</x:v>
      </x:c>
      <x:c r="AR138" s="42" t="n">
        <x:v>0.9</x:v>
      </x:c>
      <x:c r="AS138" s="42" t="n">
        <x:v>1</x:v>
      </x:c>
      <x:c r="AT138" s="42" t="n">
        <x:v>1</x:v>
      </x:c>
      <x:c r="AU138" t="str">
        <x:v>USD</x:v>
      </x:c>
      <x:c r="AV138" t="str">
        <x:v>RC18 regulatory330mcap and future sales milestones partial, excludes45mreceived</x:v>
      </x:c>
    </x:row>
    <x:row r="139" ht="23" customHeight="1">
      <x:c r="A139" s="11" t="str">
        <x:v>01093.HK</x:v>
      </x:c>
      <x:c r="B139" s="11" t="str">
        <x:v>半年</x:v>
      </x:c>
      <x:c r="C139" s="11" t="str">
        <x:v>KN026_HB_INCREMENT_DOM</x:v>
      </x:c>
      <x:c r="D139" s="11" t="str">
        <x:v>2028-12-31</x:v>
      </x:c>
      <x:c r="E139" s="11" t="str">
        <x:v>CNY</x:v>
      </x:c>
      <x:c r="F139" s="11" t="n">
        <x:v>1.730321697467488</x:v>
      </x:c>
      <x:c r="G139" s="26" t="b">
        <x:v>1</x:v>
      </x:c>
      <x:c r="H139" s="16" t="n">
        <x:v>0</x:v>
      </x:c>
      <x:c r="I139" s="16" t="n">
        <x:v>0.875</x:v>
      </x:c>
      <x:c r="J139" s="16" t="n">
        <x:v>1.5</x:v>
      </x:c>
      <x:c r="K139" s="11" t="n">
        <x:f>CHOOSE('假设'!$B$3,H139,I139,J139)</x:f>
        <x:v>0.875</x:v>
      </x:c>
      <x:c r="L139" s="11" t="n">
        <x:f>K139*'管线假设'!E39*'管线假设'!F39*'管线假设'!G39*IF(E139="USD",'管线假设'!I39,1)-AM139</x:f>
        <x:v>0.08819999999999999</x:v>
      </x:c>
      <x:c r="M139" s="11" t="n">
        <x:f>'管线假设'!H39</x:f>
        <x:v>0.13</x:v>
      </x:c>
      <x:c r="N139" s="11" t="n">
        <x:f>IF(G139,L139*AN139/(1+M139)^F139,0)</x:f>
        <x:v>0.07138809660966677</x:v>
      </x:c>
      <x:c r="P139" t="str">
        <x:v>09995.HK</x:v>
      </x:c>
      <x:c r="Q139" t="str">
        <x:v>三年</x:v>
      </x:c>
      <x:c r="R139" t="str">
        <x:v>2030-12-31</x:v>
      </x:c>
      <x:c r="S139" t="n">
        <x:v>1.2265571526351813</x:v>
      </x:c>
      <x:c r="T139" s="27" t="b">
        <x:v>1</x:v>
      </x:c>
      <x:c r="U139" s="42" t="n">
        <x:v>0.03</x:v>
      </x:c>
      <x:c r="V139" s="42" t="n">
        <x:v>0</x:v>
      </x:c>
      <x:c r="W139" s="42" t="n">
        <x:v>0.2</x:v>
      </x:c>
      <x:c r="X139" s="42" t="n">
        <x:v>0.2</x:v>
      </x:c>
      <x:c r="Y139" s="42" t="n">
        <x:v>0</x:v>
      </x:c>
      <x:c r="Z139" s="42" t="n">
        <x:v>0.65</x:v>
      </x:c>
      <x:c r="AA139" t="n">
        <x:f>AB139/(1+'管线假设'!H1467)^S139</x:f>
        <x:v>0</x:v>
      </x:c>
      <x:c r="AB139" t="n">
        <x:f>IF(T139,CHOOSE('假设'!$B$3,U139,V139,W139)*CHOOSE('假设'!$B$3,X139,Y139,Z139)*CHOOSE('假设'!$B$3,AO139,AP139,AQ139)*CHOOSE('假设'!$B$3,AR139,AS139,AT139)*IF(AU139="USD",'管线假设'!I1467,1),0)</x:f>
        <x:v>0</x:v>
      </x:c>
      <x:c r="AJ139" t="n">
        <x:v>0</x:v>
      </x:c>
      <x:c r="AK139" t="n">
        <x:v>0</x:v>
      </x:c>
      <x:c r="AL139" t="n">
        <x:v>0</x:v>
      </x:c>
      <x:c r="AM139" t="n">
        <x:f>CHOOSE('假设'!$B$3,AJ139,AK139,AL139)</x:f>
        <x:v>0</x:v>
      </x:c>
      <x:c r="AN139" t="n">
        <x:v>1</x:v>
      </x:c>
      <x:c r="AO139" s="42" t="n">
        <x:v>0.8</x:v>
      </x:c>
      <x:c r="AP139" s="42" t="n">
        <x:v>0.8</x:v>
      </x:c>
      <x:c r="AQ139" s="42" t="n">
        <x:v>0.8</x:v>
      </x:c>
      <x:c r="AR139" s="42" t="n">
        <x:v>1</x:v>
      </x:c>
      <x:c r="AS139" s="42" t="n">
        <x:v>0.9</x:v>
      </x:c>
      <x:c r="AT139" s="42" t="n">
        <x:v>1</x:v>
      </x:c>
      <x:c r="AU139" t="str">
        <x:v>USD</x:v>
      </x:c>
      <x:c r="AV139" t="str">
        <x:v>RC48 futuremilestones excludes2021upfront200m</x:v>
      </x:c>
    </x:row>
    <x:row r="140" ht="23" customHeight="1">
      <x:c r="A140" s="11" t="str">
        <x:v>01093.HK</x:v>
      </x:c>
      <x:c r="B140" s="11" t="str">
        <x:v>半年</x:v>
      </x:c>
      <x:c r="C140" s="11" t="str">
        <x:v>KN026_HB_INCREMENT_DOM</x:v>
      </x:c>
      <x:c r="D140" s="11" t="str">
        <x:v>2029-12-31</x:v>
      </x:c>
      <x:c r="E140" s="11" t="str">
        <x:v>CNY</x:v>
      </x:c>
      <x:c r="F140" s="11" t="n">
        <x:v>2.729637234770705</x:v>
      </x:c>
      <x:c r="G140" s="26" t="b">
        <x:v>1</x:v>
      </x:c>
      <x:c r="H140" s="16" t="n">
        <x:v>0.10400000000000001</x:v>
      </x:c>
      <x:c r="I140" s="16" t="n">
        <x:v>1.575</x:v>
      </x:c>
      <x:c r="J140" s="16" t="n">
        <x:v>2.7</x:v>
      </x:c>
      <x:c r="K140" s="11" t="n">
        <x:f>CHOOSE('假设'!$B$3,H140,I140,J140)</x:f>
        <x:v>1.575</x:v>
      </x:c>
      <x:c r="L140" s="11" t="n">
        <x:f>K140*'管线假设'!E39*'管线假设'!F39*'管线假设'!G39*IF(E140="USD",'管线假设'!I39,1)-AM140</x:f>
        <x:v>0.15875999999999998</x:v>
      </x:c>
      <x:c r="M140" s="11" t="n">
        <x:f>'管线假设'!H39</x:f>
        <x:v>0.13</x:v>
      </x:c>
      <x:c r="N140" s="11" t="n">
        <x:f>IF(G140,L140*AN140/(1+M140)^F140,0)</x:f>
        <x:v>0.11372506521324943</x:v>
      </x:c>
      <x:c r="P140" t="str">
        <x:v>09995.HK</x:v>
      </x:c>
      <x:c r="Q140" t="str">
        <x:v>三年</x:v>
      </x:c>
      <x:c r="R140" t="str">
        <x:v>2031-12-31</x:v>
      </x:c>
      <x:c r="S140" t="n">
        <x:v>2.2258726899383983</x:v>
      </x:c>
      <x:c r="T140" s="27" t="b">
        <x:v>1</x:v>
      </x:c>
      <x:c r="U140" s="42" t="n">
        <x:v>0</x:v>
      </x:c>
      <x:c r="V140" s="42" t="n">
        <x:v>0.1</x:v>
      </x:c>
      <x:c r="W140" s="42" t="n">
        <x:v>0</x:v>
      </x:c>
      <x:c r="X140" s="42" t="n">
        <x:v>0</x:v>
      </x:c>
      <x:c r="Y140" s="42" t="n">
        <x:v>0.4</x:v>
      </x:c>
      <x:c r="Z140" s="42" t="n">
        <x:v>0</x:v>
      </x:c>
      <x:c r="AA140" t="n">
        <x:f>AB140/(1+'管线假设'!H1467)^S140</x:f>
        <x:v>0.16733433565144307</x:v>
      </x:c>
      <x:c r="AB140" t="n">
        <x:f>IF(T140,CHOOSE('假设'!$B$3,U140,V140,W140)*CHOOSE('假设'!$B$3,X140,Y140,Z140)*CHOOSE('假设'!$B$3,AO140,AP140,AQ140)*CHOOSE('假设'!$B$3,AR140,AS140,AT140)*IF(AU140="USD",'管线假设'!I1467,1),0)</x:f>
        <x:v>0.22400000000000006</x:v>
      </x:c>
      <x:c r="AJ140" t="n">
        <x:v>0</x:v>
      </x:c>
      <x:c r="AK140" t="n">
        <x:v>0</x:v>
      </x:c>
      <x:c r="AL140" t="n">
        <x:v>0</x:v>
      </x:c>
      <x:c r="AM140" t="n">
        <x:f>CHOOSE('假设'!$B$3,AJ140,AK140,AL140)</x:f>
        <x:v>0</x:v>
      </x:c>
      <x:c r="AN140" t="n">
        <x:v>1</x:v>
      </x:c>
      <x:c r="AO140" s="42" t="n">
        <x:v>0.8</x:v>
      </x:c>
      <x:c r="AP140" s="42" t="n">
        <x:v>0.8</x:v>
      </x:c>
      <x:c r="AQ140" s="42" t="n">
        <x:v>0.8</x:v>
      </x:c>
      <x:c r="AR140" s="42" t="n">
        <x:v>0.9</x:v>
      </x:c>
      <x:c r="AS140" s="42" t="n">
        <x:v>1</x:v>
      </x:c>
      <x:c r="AT140" s="42" t="n">
        <x:v>0.9</x:v>
      </x:c>
      <x:c r="AU140" t="str">
        <x:v>USD</x:v>
      </x:c>
      <x:c r="AV140" t="str">
        <x:v>RC48 futuremilestones excludes2021upfront200m</x:v>
      </x:c>
    </x:row>
    <x:row r="141" ht="23" customHeight="1">
      <x:c r="A141" s="11" t="str">
        <x:v>01093.HK</x:v>
      </x:c>
      <x:c r="B141" s="11" t="str">
        <x:v>半年</x:v>
      </x:c>
      <x:c r="C141" s="11" t="str">
        <x:v>KN026_HB_INCREMENT_DOM</x:v>
      </x:c>
      <x:c r="D141" s="11" t="str">
        <x:v>2030-12-31</x:v>
      </x:c>
      <x:c r="E141" s="11" t="str">
        <x:v>CNY</x:v>
      </x:c>
      <x:c r="F141" s="11" t="n">
        <x:v>3.728952772073922</x:v>
      </x:c>
      <x:c r="G141" s="26" t="b">
        <x:v>1</x:v>
      </x:c>
      <x:c r="H141" s="16" t="n">
        <x:v>0.325</x:v>
      </x:c>
      <x:c r="I141" s="16" t="n">
        <x:v>2.275</x:v>
      </x:c>
      <x:c r="J141" s="16" t="n">
        <x:v>3.9000000000000004</x:v>
      </x:c>
      <x:c r="K141" s="11" t="n">
        <x:f>CHOOSE('假设'!$B$3,H141,I141,J141)</x:f>
        <x:v>2.275</x:v>
      </x:c>
      <x:c r="L141" s="11" t="n">
        <x:f>K141*'管线假设'!E39*'管线假设'!F39*'管线假设'!G39*IF(E141="USD",'管线假设'!I39,1)-AM141</x:f>
        <x:v>0.22931999999999997</x:v>
      </x:c>
      <x:c r="M141" s="11" t="n">
        <x:f>'管线假设'!H39</x:f>
        <x:v>0.13</x:v>
      </x:c>
      <x:c r="N141" s="11" t="n">
        <x:f>IF(G141,L141*AN141/(1+M141)^F141,0)</x:f>
        <x:v>0.14538343444539245</x:v>
      </x:c>
      <x:c r="P141" t="str">
        <x:v>09995.HK</x:v>
      </x:c>
      <x:c r="Q141" t="str">
        <x:v>三年</x:v>
      </x:c>
      <x:c r="R141" t="str">
        <x:v>2032-12-31</x:v>
      </x:c>
      <x:c r="S141" t="n">
        <x:v>3.2279260780287475</x:v>
      </x:c>
      <x:c r="T141" s="27" t="b">
        <x:v>1</x:v>
      </x:c>
      <x:c r="U141" s="42" t="n">
        <x:v>0</x:v>
      </x:c>
      <x:c r="V141" s="42" t="n">
        <x:v>0.15</x:v>
      </x:c>
      <x:c r="W141" s="42" t="n">
        <x:v>0.35</x:v>
      </x:c>
      <x:c r="X141" s="42" t="n">
        <x:v>0</x:v>
      </x:c>
      <x:c r="Y141" s="42" t="n">
        <x:v>0.35</x:v>
      </x:c>
      <x:c r="Z141" s="42" t="n">
        <x:v>0.55</x:v>
      </x:c>
      <x:c r="AA141" t="n">
        <x:f>AB141/(1+'管线假设'!H1467)^S141</x:f>
        <x:v>0.192602835631043</x:v>
      </x:c>
      <x:c r="AB141" t="n">
        <x:f>IF(T141,CHOOSE('假设'!$B$3,U141,V141,W141)*CHOOSE('假设'!$B$3,X141,Y141,Z141)*CHOOSE('假设'!$B$3,AO141,AP141,AQ141)*CHOOSE('假设'!$B$3,AR141,AS141,AT141)*IF(AU141="USD",'管线假设'!I1467,1),0)</x:f>
        <x:v>0.29400000000000004</x:v>
      </x:c>
      <x:c r="AJ141" t="n">
        <x:v>0</x:v>
      </x:c>
      <x:c r="AK141" t="n">
        <x:v>0</x:v>
      </x:c>
      <x:c r="AL141" t="n">
        <x:v>0</x:v>
      </x:c>
      <x:c r="AM141" t="n">
        <x:f>CHOOSE('假设'!$B$3,AJ141,AK141,AL141)</x:f>
        <x:v>0</x:v>
      </x:c>
      <x:c r="AN141" t="n">
        <x:v>1</x:v>
      </x:c>
      <x:c r="AO141" s="42" t="n">
        <x:v>0.8</x:v>
      </x:c>
      <x:c r="AP141" s="42" t="n">
        <x:v>0.8</x:v>
      </x:c>
      <x:c r="AQ141" s="42" t="n">
        <x:v>0.8</x:v>
      </x:c>
      <x:c r="AR141" s="42" t="n">
        <x:v>0.9</x:v>
      </x:c>
      <x:c r="AS141" s="42" t="n">
        <x:v>1</x:v>
      </x:c>
      <x:c r="AT141" s="42" t="n">
        <x:v>1</x:v>
      </x:c>
      <x:c r="AU141" t="str">
        <x:v>USD</x:v>
      </x:c>
      <x:c r="AV141" t="str">
        <x:v>RC148 future eligible excluding650mreceived</x:v>
      </x:c>
    </x:row>
    <x:row r="142" ht="23" customHeight="1">
      <x:c r="A142" s="11" t="str">
        <x:v>01093.HK</x:v>
      </x:c>
      <x:c r="B142" s="11" t="str">
        <x:v>半年</x:v>
      </x:c>
      <x:c r="C142" s="11" t="str">
        <x:v>KN026_HB_INCREMENT_DOM</x:v>
      </x:c>
      <x:c r="D142" s="11" t="str">
        <x:v>2031-12-31</x:v>
      </x:c>
      <x:c r="E142" s="11" t="str">
        <x:v>CNY</x:v>
      </x:c>
      <x:c r="F142" s="11" t="n">
        <x:v>4.728268309377139</x:v>
      </x:c>
      <x:c r="G142" s="26" t="b">
        <x:v>1</x:v>
      </x:c>
      <x:c r="H142" s="16" t="n">
        <x:v>0.5850000000000001</x:v>
      </x:c>
      <x:c r="I142" s="16" t="n">
        <x:v>2.975</x:v>
      </x:c>
      <x:c r="J142" s="16" t="n">
        <x:v>5.1</x:v>
      </x:c>
      <x:c r="K142" s="11" t="n">
        <x:f>CHOOSE('假设'!$B$3,H142,I142,J142)</x:f>
        <x:v>2.975</x:v>
      </x:c>
      <x:c r="L142" s="11" t="n">
        <x:f>K142*'管线假设'!E39*'管线假设'!F39*'管线假设'!G39*IF(E142="USD",'管线假设'!I39,1)-AM142</x:f>
        <x:v>0.29988</x:v>
      </x:c>
      <x:c r="M142" s="11" t="n">
        <x:f>'管线假设'!H39</x:f>
        <x:v>0.13</x:v>
      </x:c>
      <x:c r="N142" s="11" t="n">
        <x:f>IF(G142,L142*AN142/(1+M142)^F142,0)</x:f>
        <x:v>0.1682590296229859</x:v>
      </x:c>
      <x:c r="P142" t="str">
        <x:v>09995.HK</x:v>
      </x:c>
      <x:c r="Q142" t="str">
        <x:v>五年</x:v>
      </x:c>
      <x:c r="R142" t="str">
        <x:v>2028-12-31</x:v>
      </x:c>
      <x:c r="S142" t="n">
        <x:v>-2.7707049965776864</x:v>
      </x:c>
      <x:c r="T142" s="27" t="b">
        <x:v>0</x:v>
      </x:c>
      <x:c r="U142" s="42" t="n">
        <x:v>0</x:v>
      </x:c>
      <x:c r="V142" s="42" t="n">
        <x:v>0.05</x:v>
      </x:c>
      <x:c r="W142" s="42" t="n">
        <x:v>0.1</x:v>
      </x:c>
      <x:c r="X142" s="42" t="n">
        <x:v>0</x:v>
      </x:c>
      <x:c r="Y142" s="42" t="n">
        <x:v>0.5</x:v>
      </x:c>
      <x:c r="Z142" s="42" t="n">
        <x:v>0.7</x:v>
      </x:c>
      <x:c r="AA142" t="n">
        <x:f>AB142/(1+'管线假设'!H1507)^S142</x:f>
        <x:v>0</x:v>
      </x:c>
      <x:c r="AB142" t="n">
        <x:f>IF(T142,CHOOSE('假设'!$B$3,U142,V142,W142)*CHOOSE('假设'!$B$3,X142,Y142,Z142)*CHOOSE('假设'!$B$3,AO142,AP142,AQ142)*CHOOSE('假设'!$B$3,AR142,AS142,AT142)*IF(AU142="USD",'管线假设'!I1507,1),0)</x:f>
        <x:v>0</x:v>
      </x:c>
      <x:c r="AJ142" t="n">
        <x:v>0</x:v>
      </x:c>
      <x:c r="AK142" t="n">
        <x:v>0</x:v>
      </x:c>
      <x:c r="AL142" t="n">
        <x:v>0</x:v>
      </x:c>
      <x:c r="AM142" t="n">
        <x:f>CHOOSE('假设'!$B$3,AJ142,AK142,AL142)</x:f>
        <x:v>0</x:v>
      </x:c>
      <x:c r="AN142" t="n">
        <x:v>1</x:v>
      </x:c>
      <x:c r="AO142" s="42" t="n">
        <x:v>0.8</x:v>
      </x:c>
      <x:c r="AP142" s="42" t="n">
        <x:v>0.8</x:v>
      </x:c>
      <x:c r="AQ142" s="42" t="n">
        <x:v>0.8</x:v>
      </x:c>
      <x:c r="AR142" s="42" t="n">
        <x:v>0.9</x:v>
      </x:c>
      <x:c r="AS142" s="42" t="n">
        <x:v>1</x:v>
      </x:c>
      <x:c r="AT142" s="42" t="n">
        <x:v>1</x:v>
      </x:c>
      <x:c r="AU142" t="str">
        <x:v>USD</x:v>
      </x:c>
      <x:c r="AV142" t="str">
        <x:v>RC148 future eligible excluding650mreceived</x:v>
      </x:c>
    </x:row>
    <x:row r="143" ht="23" customHeight="1">
      <x:c r="A143" s="11" t="str">
        <x:v>01093.HK</x:v>
      </x:c>
      <x:c r="B143" s="11" t="str">
        <x:v>半年</x:v>
      </x:c>
      <x:c r="C143" s="11" t="str">
        <x:v>KN026_HB_INCREMENT_DOM</x:v>
      </x:c>
      <x:c r="D143" s="11" t="str">
        <x:v>2032-12-31</x:v>
      </x:c>
      <x:c r="E143" s="11" t="str">
        <x:v>CNY</x:v>
      </x:c>
      <x:c r="F143" s="11" t="n">
        <x:v>5.730321697467488</x:v>
      </x:c>
      <x:c r="G143" s="26" t="b">
        <x:v>1</x:v>
      </x:c>
      <x:c r="H143" s="16" t="n">
        <x:v>0.8450000000000001</x:v>
      </x:c>
      <x:c r="I143" s="16" t="n">
        <x:v>3.5</x:v>
      </x:c>
      <x:c r="J143" s="16" t="n">
        <x:v>6</x:v>
      </x:c>
      <x:c r="K143" s="11" t="n">
        <x:f>CHOOSE('假设'!$B$3,H143,I143,J143)</x:f>
        <x:v>3.5</x:v>
      </x:c>
      <x:c r="L143" s="11" t="n">
        <x:f>K143*'管线假设'!E39*'管线假设'!F39*'管线假设'!G39*IF(E143="USD",'管线假设'!I39,1)-AM143</x:f>
        <x:v>0.35279999999999995</x:v>
      </x:c>
      <x:c r="M143" s="11" t="n">
        <x:f>'管线假设'!H39</x:f>
        <x:v>0.13</x:v>
      </x:c>
      <x:c r="N143" s="11" t="n">
        <x:f>IF(G143,L143*AN143/(1+M143)^F143,0)</x:f>
        <x:v>0.17513462633637303</x:v>
      </x:c>
      <x:c r="P143" t="str">
        <x:v>09995.HK</x:v>
      </x:c>
      <x:c r="Q143" t="str">
        <x:v>五年</x:v>
      </x:c>
      <x:c r="R143" t="str">
        <x:v>2028-12-31</x:v>
      </x:c>
      <x:c r="S143" t="n">
        <x:v>-2.7707049965776864</x:v>
      </x:c>
      <x:c r="T143" s="27" t="b">
        <x:v>0</x:v>
      </x:c>
      <x:c r="U143" s="42" t="n">
        <x:v>0</x:v>
      </x:c>
      <x:c r="V143" s="42" t="n">
        <x:v>0.06</x:v>
      </x:c>
      <x:c r="W143" s="42" t="n">
        <x:v>0.1</x:v>
      </x:c>
      <x:c r="X143" s="42" t="n">
        <x:v>0</x:v>
      </x:c>
      <x:c r="Y143" s="42" t="n">
        <x:v>0.6</x:v>
      </x:c>
      <x:c r="Z143" s="42" t="n">
        <x:v>0.8</x:v>
      </x:c>
      <x:c r="AA143" t="n">
        <x:f>AB143/(1+'管线假设'!H1507)^S143</x:f>
        <x:v>0</x:v>
      </x:c>
      <x:c r="AB143" t="n">
        <x:f>IF(T143,CHOOSE('假设'!$B$3,U143,V143,W143)*CHOOSE('假设'!$B$3,X143,Y143,Z143)*CHOOSE('假设'!$B$3,AO143,AP143,AQ143)*CHOOSE('假设'!$B$3,AR143,AS143,AT143)*IF(AU143="USD",'管线假设'!I1507,1),0)</x:f>
        <x:v>0</x:v>
      </x:c>
      <x:c r="AJ143" t="n">
        <x:v>0</x:v>
      </x:c>
      <x:c r="AK143" t="n">
        <x:v>0</x:v>
      </x:c>
      <x:c r="AL143" t="n">
        <x:v>0</x:v>
      </x:c>
      <x:c r="AM143" t="n">
        <x:f>CHOOSE('假设'!$B$3,AJ143,AK143,AL143)</x:f>
        <x:v>0</x:v>
      </x:c>
      <x:c r="AN143" t="n">
        <x:v>1</x:v>
      </x:c>
      <x:c r="AO143" s="42" t="n">
        <x:v>0.8</x:v>
      </x:c>
      <x:c r="AP143" s="42" t="n">
        <x:v>0.8</x:v>
      </x:c>
      <x:c r="AQ143" s="42" t="n">
        <x:v>0.8</x:v>
      </x:c>
      <x:c r="AR143" s="42" t="n">
        <x:v>0.9</x:v>
      </x:c>
      <x:c r="AS143" s="42" t="n">
        <x:v>1</x:v>
      </x:c>
      <x:c r="AT143" s="42" t="n">
        <x:v>1</x:v>
      </x:c>
      <x:c r="AU143" t="str">
        <x:v>USD</x:v>
      </x:c>
      <x:c r="AV143" t="str">
        <x:v>RC18 regulatory330mcap and future sales milestones partial, excludes45mreceived</x:v>
      </x:c>
    </x:row>
    <x:row r="144" ht="23" customHeight="1">
      <x:c r="A144" s="11" t="str">
        <x:v>01093.HK</x:v>
      </x:c>
      <x:c r="B144" s="11" t="str">
        <x:v>半年</x:v>
      </x:c>
      <x:c r="C144" s="11" t="str">
        <x:v>KN026_HB_INCREMENT_DOM</x:v>
      </x:c>
      <x:c r="D144" s="11" t="str">
        <x:v>2033-12-31</x:v>
      </x:c>
      <x:c r="E144" s="11" t="str">
        <x:v>CNY</x:v>
      </x:c>
      <x:c r="F144" s="11" t="n">
        <x:v>6.729637234770705</x:v>
      </x:c>
      <x:c r="G144" s="26" t="b">
        <x:v>1</x:v>
      </x:c>
      <x:c r="H144" s="16" t="n">
        <x:v>1.105</x:v>
      </x:c>
      <x:c r="I144" s="16" t="n">
        <x:v>3.5</x:v>
      </x:c>
      <x:c r="J144" s="16" t="n">
        <x:v>6</x:v>
      </x:c>
      <x:c r="K144" s="11" t="n">
        <x:f>CHOOSE('假设'!$B$3,H144,I144,J144)</x:f>
        <x:v>3.5</x:v>
      </x:c>
      <x:c r="L144" s="11" t="n">
        <x:f>K144*'管线假设'!E39*'管线假设'!F39*'管线假设'!G39*IF(E144="USD",'管线假设'!I39,1)-AM144</x:f>
        <x:v>0.35279999999999995</x:v>
      </x:c>
      <x:c r="M144" s="11" t="n">
        <x:f>'管线假设'!H39</x:f>
        <x:v>0.13</x:v>
      </x:c>
      <x:c r="N144" s="11" t="n">
        <x:f>IF(G144,L144*AN144/(1+M144)^F144,0)</x:f>
        <x:v>0.15499936067076509</x:v>
      </x:c>
      <x:c r="P144" t="str">
        <x:v>09995.HK</x:v>
      </x:c>
      <x:c r="Q144" t="str">
        <x:v>五年</x:v>
      </x:c>
      <x:c r="R144" t="str">
        <x:v>2028-12-31</x:v>
      </x:c>
      <x:c r="S144" t="n">
        <x:v>-2.7707049965776864</x:v>
      </x:c>
      <x:c r="T144" s="27" t="b">
        <x:v>0</x:v>
      </x:c>
      <x:c r="U144" s="42" t="n">
        <x:v>0</x:v>
      </x:c>
      <x:c r="V144" s="42" t="n">
        <x:v>0</x:v>
      </x:c>
      <x:c r="W144" s="42" t="n">
        <x:v>0.12</x:v>
      </x:c>
      <x:c r="X144" s="42" t="n">
        <x:v>0</x:v>
      </x:c>
      <x:c r="Y144" s="42" t="n">
        <x:v>0</x:v>
      </x:c>
      <x:c r="Z144" s="42" t="n">
        <x:v>0.8</x:v>
      </x:c>
      <x:c r="AA144" t="n">
        <x:f>AB144/(1+'管线假设'!H1507)^S144</x:f>
        <x:v>0</x:v>
      </x:c>
      <x:c r="AB144" t="n">
        <x:f>IF(T144,CHOOSE('假设'!$B$3,U144,V144,W144)*CHOOSE('假设'!$B$3,X144,Y144,Z144)*CHOOSE('假设'!$B$3,AO144,AP144,AQ144)*CHOOSE('假设'!$B$3,AR144,AS144,AT144)*IF(AU144="USD",'管线假设'!I1507,1),0)</x:f>
        <x:v>0</x:v>
      </x:c>
      <x:c r="AJ144" t="n">
        <x:v>0</x:v>
      </x:c>
      <x:c r="AK144" t="n">
        <x:v>0</x:v>
      </x:c>
      <x:c r="AL144" t="n">
        <x:v>0</x:v>
      </x:c>
      <x:c r="AM144" t="n">
        <x:f>CHOOSE('假设'!$B$3,AJ144,AK144,AL144)</x:f>
        <x:v>0</x:v>
      </x:c>
      <x:c r="AN144" t="n">
        <x:v>1</x:v>
      </x:c>
      <x:c r="AO144" s="42" t="n">
        <x:v>0.8</x:v>
      </x:c>
      <x:c r="AP144" s="42" t="n">
        <x:v>0.8</x:v>
      </x:c>
      <x:c r="AQ144" s="42" t="n">
        <x:v>0.8</x:v>
      </x:c>
      <x:c r="AR144" s="42" t="n">
        <x:v>0.9</x:v>
      </x:c>
      <x:c r="AS144" s="42" t="n">
        <x:v>0.9</x:v>
      </x:c>
      <x:c r="AT144" s="42" t="n">
        <x:v>1</x:v>
      </x:c>
      <x:c r="AU144" t="str">
        <x:v>USD</x:v>
      </x:c>
      <x:c r="AV144" t="str">
        <x:v>RC48 futuremilestones excludes2021upfront200m</x:v>
      </x:c>
    </x:row>
    <x:row r="145" ht="23" customHeight="1">
      <x:c r="A145" s="11" t="str">
        <x:v>01093.HK</x:v>
      </x:c>
      <x:c r="B145" s="11" t="str">
        <x:v>半年</x:v>
      </x:c>
      <x:c r="C145" s="11" t="str">
        <x:v>KN026_HB_INCREMENT_DOM</x:v>
      </x:c>
      <x:c r="D145" s="11" t="str">
        <x:v>2034-12-31</x:v>
      </x:c>
      <x:c r="E145" s="11" t="str">
        <x:v>CNY</x:v>
      </x:c>
      <x:c r="F145" s="11" t="n">
        <x:v>7.728952772073922</x:v>
      </x:c>
      <x:c r="G145" s="26" t="b">
        <x:v>1</x:v>
      </x:c>
      <x:c r="H145" s="16" t="n">
        <x:v>1.3</x:v>
      </x:c>
      <x:c r="I145" s="16" t="n">
        <x:v>3.3249999999999997</x:v>
      </x:c>
      <x:c r="J145" s="16" t="n">
        <x:v>5.699999999999999</x:v>
      </x:c>
      <x:c r="K145" s="11" t="n">
        <x:f>CHOOSE('假设'!$B$3,H145,I145,J145)</x:f>
        <x:v>3.3249999999999997</x:v>
      </x:c>
      <x:c r="L145" s="11" t="n">
        <x:f>K145*'管线假设'!E39*'管线假设'!F39*'管线假设'!G39*IF(E145="USD",'管线假设'!I39,1)-AM145</x:f>
        <x:v>0.33515999999999996</x:v>
      </x:c>
      <x:c r="M145" s="11" t="n">
        <x:f>'管线假设'!H39</x:f>
        <x:v>0.13</x:v>
      </x:c>
      <x:c r="N145" s="11" t="n">
        <x:f>IF(G145,L145*AN145/(1+M145)^F145,0)</x:f>
        <x:v>0.13032009828880134</x:v>
      </x:c>
      <x:c r="P145" t="str">
        <x:v>09995.HK</x:v>
      </x:c>
      <x:c r="Q145" t="str">
        <x:v>五年</x:v>
      </x:c>
      <x:c r="R145" t="str">
        <x:v>2029-12-31</x:v>
      </x:c>
      <x:c r="S145" t="n">
        <x:v>-1.7713894592744694</x:v>
      </x:c>
      <x:c r="T145" s="27" t="b">
        <x:v>0</x:v>
      </x:c>
      <x:c r="U145" s="42" t="n">
        <x:v>0.03</x:v>
      </x:c>
      <x:c r="V145" s="42" t="n">
        <x:v>0</x:v>
      </x:c>
      <x:c r="W145" s="42" t="n">
        <x:v>0</x:v>
      </x:c>
      <x:c r="X145" s="42" t="n">
        <x:v>0.25</x:v>
      </x:c>
      <x:c r="Y145" s="42" t="n">
        <x:v>0</x:v>
      </x:c>
      <x:c r="Z145" s="42" t="n">
        <x:v>0</x:v>
      </x:c>
      <x:c r="AA145" t="n">
        <x:f>AB145/(1+'管线假设'!H1507)^S145</x:f>
        <x:v>0</x:v>
      </x:c>
      <x:c r="AB145" t="n">
        <x:f>IF(T145,CHOOSE('假设'!$B$3,U145,V145,W145)*CHOOSE('假设'!$B$3,X145,Y145,Z145)*CHOOSE('假设'!$B$3,AO145,AP145,AQ145)*CHOOSE('假设'!$B$3,AR145,AS145,AT145)*IF(AU145="USD",'管线假设'!I1507,1),0)</x:f>
        <x:v>0</x:v>
      </x:c>
      <x:c r="AJ145" t="n">
        <x:v>0</x:v>
      </x:c>
      <x:c r="AK145" t="n">
        <x:v>0</x:v>
      </x:c>
      <x:c r="AL145" t="n">
        <x:v>0</x:v>
      </x:c>
      <x:c r="AM145" t="n">
        <x:f>CHOOSE('假设'!$B$3,AJ145,AK145,AL145)</x:f>
        <x:v>0</x:v>
      </x:c>
      <x:c r="AN145" t="n">
        <x:v>1</x:v>
      </x:c>
      <x:c r="AO145" s="42" t="n">
        <x:v>0.8</x:v>
      </x:c>
      <x:c r="AP145" s="42" t="n">
        <x:v>0.8</x:v>
      </x:c>
      <x:c r="AQ145" s="42" t="n">
        <x:v>0.8</x:v>
      </x:c>
      <x:c r="AR145" s="42" t="n">
        <x:v>1</x:v>
      </x:c>
      <x:c r="AS145" s="42" t="n">
        <x:v>0.9</x:v>
      </x:c>
      <x:c r="AT145" s="42" t="n">
        <x:v>0.9</x:v>
      </x:c>
      <x:c r="AU145" t="str">
        <x:v>USD</x:v>
      </x:c>
      <x:c r="AV145" t="str">
        <x:v>RC18 regulatory330mcap and future sales milestones partial, excludes45mreceived</x:v>
      </x:c>
    </x:row>
    <x:row r="146" ht="23" customHeight="1">
      <x:c r="A146" s="11" t="str">
        <x:v>01093.HK</x:v>
      </x:c>
      <x:c r="B146" s="11" t="str">
        <x:v>半年</x:v>
      </x:c>
      <x:c r="C146" s="11" t="str">
        <x:v>KN026_HB_INCREMENT_DOM</x:v>
      </x:c>
      <x:c r="D146" s="11" t="str">
        <x:v>2035-12-31</x:v>
      </x:c>
      <x:c r="E146" s="11" t="str">
        <x:v>CNY</x:v>
      </x:c>
      <x:c r="F146" s="11" t="n">
        <x:v>8.728268309377139</x:v>
      </x:c>
      <x:c r="G146" s="26" t="b">
        <x:v>1</x:v>
      </x:c>
      <x:c r="H146" s="16" t="n">
        <x:v>1.3</x:v>
      </x:c>
      <x:c r="I146" s="16" t="n">
        <x:v>3.08</x:v>
      </x:c>
      <x:c r="J146" s="16" t="n">
        <x:v>5.28</x:v>
      </x:c>
      <x:c r="K146" s="11" t="n">
        <x:f>CHOOSE('假设'!$B$3,H146,I146,J146)</x:f>
        <x:v>3.08</x:v>
      </x:c>
      <x:c r="L146" s="11" t="n">
        <x:f>K146*'管线假设'!E39*'管线假设'!F39*'管线假设'!G39*IF(E146="USD",'管线假设'!I39,1)-AM146</x:f>
        <x:v>0.31046399999999996</x:v>
      </x:c>
      <x:c r="M146" s="11" t="n">
        <x:f>'管线假设'!H39</x:f>
        <x:v>0.13</x:v>
      </x:c>
      <x:c r="N146" s="11" t="n">
        <x:f>IF(G146,L146*AN146/(1+M146)^F146,0)</x:f>
        <x:v>0.1068386403443105</x:v>
      </x:c>
      <x:c r="P146" t="str">
        <x:v>09995.HK</x:v>
      </x:c>
      <x:c r="Q146" t="str">
        <x:v>五年</x:v>
      </x:c>
      <x:c r="R146" t="str">
        <x:v>2029-12-31</x:v>
      </x:c>
      <x:c r="S146" t="n">
        <x:v>-1.7713894592744694</x:v>
      </x:c>
      <x:c r="T146" s="27" t="b">
        <x:v>0</x:v>
      </x:c>
      <x:c r="U146" s="42" t="n">
        <x:v>0</x:v>
      </x:c>
      <x:c r="V146" s="42" t="n">
        <x:v>0.08</x:v>
      </x:c>
      <x:c r="W146" s="42" t="n">
        <x:v>0</x:v>
      </x:c>
      <x:c r="X146" s="42" t="n">
        <x:v>0</x:v>
      </x:c>
      <x:c r="Y146" s="42" t="n">
        <x:v>0.55</x:v>
      </x:c>
      <x:c r="Z146" s="42" t="n">
        <x:v>0</x:v>
      </x:c>
      <x:c r="AA146" t="n">
        <x:f>AB146/(1+'管线假设'!H1507)^S146</x:f>
        <x:v>0</x:v>
      </x:c>
      <x:c r="AB146" t="n">
        <x:f>IF(T146,CHOOSE('假设'!$B$3,U146,V146,W146)*CHOOSE('假设'!$B$3,X146,Y146,Z146)*CHOOSE('假设'!$B$3,AO146,AP146,AQ146)*CHOOSE('假设'!$B$3,AR146,AS146,AT146)*IF(AU146="USD",'管线假设'!I1507,1),0)</x:f>
        <x:v>0</x:v>
      </x:c>
      <x:c r="AJ146" t="n">
        <x:v>0</x:v>
      </x:c>
      <x:c r="AK146" t="n">
        <x:v>0</x:v>
      </x:c>
      <x:c r="AL146" t="n">
        <x:v>0</x:v>
      </x:c>
      <x:c r="AM146" t="n">
        <x:f>CHOOSE('假设'!$B$3,AJ146,AK146,AL146)</x:f>
        <x:v>0</x:v>
      </x:c>
      <x:c r="AN146" t="n">
        <x:v>1</x:v>
      </x:c>
      <x:c r="AO146" s="42" t="n">
        <x:v>0.8</x:v>
      </x:c>
      <x:c r="AP146" s="42" t="n">
        <x:v>0.8</x:v>
      </x:c>
      <x:c r="AQ146" s="42" t="n">
        <x:v>0.8</x:v>
      </x:c>
      <x:c r="AR146" s="42" t="n">
        <x:v>0.9</x:v>
      </x:c>
      <x:c r="AS146" s="42" t="n">
        <x:v>1</x:v>
      </x:c>
      <x:c r="AT146" s="42" t="n">
        <x:v>0.9</x:v>
      </x:c>
      <x:c r="AU146" t="str">
        <x:v>USD</x:v>
      </x:c>
      <x:c r="AV146" t="str">
        <x:v>RC48 futuremilestones excludes2021upfront200m</x:v>
      </x:c>
    </x:row>
    <x:row r="147" ht="23" customHeight="1">
      <x:c r="A147" s="11" t="str">
        <x:v>01093.HK</x:v>
      </x:c>
      <x:c r="B147" s="11" t="str">
        <x:v>半年</x:v>
      </x:c>
      <x:c r="C147" s="11" t="str">
        <x:v>KN026_HB_INCREMENT_DOM</x:v>
      </x:c>
      <x:c r="D147" s="11" t="str">
        <x:v>2036-12-31</x:v>
      </x:c>
      <x:c r="E147" s="11" t="str">
        <x:v>CNY</x:v>
      </x:c>
      <x:c r="F147" s="11" t="n">
        <x:v>9.730321697467488</x:v>
      </x:c>
      <x:c r="G147" s="26" t="b">
        <x:v>1</x:v>
      </x:c>
      <x:c r="H147" s="16" t="n">
        <x:v>1.2349999999999999</x:v>
      </x:c>
      <x:c r="I147" s="16" t="n">
        <x:v>2.625</x:v>
      </x:c>
      <x:c r="J147" s="16" t="n">
        <x:v>4.5</x:v>
      </x:c>
      <x:c r="K147" s="11" t="n">
        <x:f>CHOOSE('假设'!$B$3,H147,I147,J147)</x:f>
        <x:v>2.625</x:v>
      </x:c>
      <x:c r="L147" s="11" t="n">
        <x:f>K147*'管线假设'!E39*'管线假设'!F39*'管线假设'!G39*IF(E147="USD",'管线假设'!I39,1)-AM147</x:f>
        <x:v>0.2646</x:v>
      </x:c>
      <x:c r="M147" s="11" t="n">
        <x:f>'管线假设'!H39</x:f>
        <x:v>0.13</x:v>
      </x:c>
      <x:c r="N147" s="11" t="n">
        <x:f>IF(G147,L147*AN147/(1+M147)^F147,0)</x:f>
        <x:v>0.08056000964792055</x:v>
      </x:c>
      <x:c r="P147" t="str">
        <x:v>09995.HK</x:v>
      </x:c>
      <x:c r="Q147" t="str">
        <x:v>五年</x:v>
      </x:c>
      <x:c r="R147" t="str">
        <x:v>2030-12-31</x:v>
      </x:c>
      <x:c r="S147" t="n">
        <x:v>-0.7720739219712526</x:v>
      </x:c>
      <x:c r="T147" s="27" t="b">
        <x:v>0</x:v>
      </x:c>
      <x:c r="U147" s="42" t="n">
        <x:v>0.04</x:v>
      </x:c>
      <x:c r="V147" s="42" t="n">
        <x:v>0.15</x:v>
      </x:c>
      <x:c r="W147" s="42" t="n">
        <x:v>0.3</x:v>
      </x:c>
      <x:c r="X147" s="42" t="n">
        <x:v>0.18</x:v>
      </x:c>
      <x:c r="Y147" s="42" t="n">
        <x:v>0.45</x:v>
      </x:c>
      <x:c r="Z147" s="42" t="n">
        <x:v>0.65</x:v>
      </x:c>
      <x:c r="AA147" t="n">
        <x:f>AB147/(1+'管线假设'!H1507)^S147</x:f>
        <x:v>0</x:v>
      </x:c>
      <x:c r="AB147" t="n">
        <x:f>IF(T147,CHOOSE('假设'!$B$3,U147,V147,W147)*CHOOSE('假设'!$B$3,X147,Y147,Z147)*CHOOSE('假设'!$B$3,AO147,AP147,AQ147)*CHOOSE('假设'!$B$3,AR147,AS147,AT147)*IF(AU147="USD",'管线假设'!I1507,1),0)</x:f>
        <x:v>0</x:v>
      </x:c>
      <x:c r="AJ147" t="n">
        <x:v>0</x:v>
      </x:c>
      <x:c r="AK147" t="n">
        <x:v>0</x:v>
      </x:c>
      <x:c r="AL147" t="n">
        <x:v>0</x:v>
      </x:c>
      <x:c r="AM147" t="n">
        <x:f>CHOOSE('假设'!$B$3,AJ147,AK147,AL147)</x:f>
        <x:v>0</x:v>
      </x:c>
      <x:c r="AN147" t="n">
        <x:v>1</x:v>
      </x:c>
      <x:c r="AO147" s="42" t="n">
        <x:v>0.8</x:v>
      </x:c>
      <x:c r="AP147" s="42" t="n">
        <x:v>0.8</x:v>
      </x:c>
      <x:c r="AQ147" s="42" t="n">
        <x:v>0.8</x:v>
      </x:c>
      <x:c r="AR147" s="42" t="n">
        <x:v>1</x:v>
      </x:c>
      <x:c r="AS147" s="42" t="n">
        <x:v>1</x:v>
      </x:c>
      <x:c r="AT147" s="42" t="n">
        <x:v>1</x:v>
      </x:c>
      <x:c r="AU147" t="str">
        <x:v>USD</x:v>
      </x:c>
      <x:c r="AV147" t="str">
        <x:v>RC148 future eligible excluding650mreceived</x:v>
      </x:c>
    </x:row>
    <x:row r="148" ht="23" customHeight="1">
      <x:c r="A148" s="11" t="str">
        <x:v>01093.HK</x:v>
      </x:c>
      <x:c r="B148" s="11" t="str">
        <x:v>半年</x:v>
      </x:c>
      <x:c r="C148" s="11" t="str">
        <x:v>KN026_HB_INCREMENT_DOM</x:v>
      </x:c>
      <x:c r="D148" s="11" t="str">
        <x:v>2037-12-31</x:v>
      </x:c>
      <x:c r="E148" s="11" t="str">
        <x:v>CNY</x:v>
      </x:c>
      <x:c r="F148" s="11" t="n">
        <x:v>10.729637234770705</x:v>
      </x:c>
      <x:c r="G148" s="26" t="b">
        <x:v>1</x:v>
      </x:c>
      <x:c r="H148" s="16" t="n">
        <x:v>1.1440000000000001</x:v>
      </x:c>
      <x:c r="I148" s="16" t="n">
        <x:v>2.1</x:v>
      </x:c>
      <x:c r="J148" s="16" t="n">
        <x:v>3.5999999999999996</x:v>
      </x:c>
      <x:c r="K148" s="11" t="n">
        <x:f>CHOOSE('假设'!$B$3,H148,I148,J148)</x:f>
        <x:v>2.1</x:v>
      </x:c>
      <x:c r="L148" s="11" t="n">
        <x:f>K148*'管线假设'!E39*'管线假设'!F39*'管线假设'!G39*IF(E148="USD",'管线假设'!I39,1)-AM148</x:f>
        <x:v>0.21168</x:v>
      </x:c>
      <x:c r="M148" s="11" t="n">
        <x:f>'管线假设'!H39</x:f>
        <x:v>0.13</x:v>
      </x:c>
      <x:c r="N148" s="11" t="n">
        <x:f>IF(G148,L148*AN148/(1+M148)^F148,0)</x:f>
        <x:v>0.0570384064066263</x:v>
      </x:c>
      <x:c r="P148" t="str">
        <x:v>09995.HK</x:v>
      </x:c>
      <x:c r="Q148" t="str">
        <x:v>五年</x:v>
      </x:c>
      <x:c r="R148" t="str">
        <x:v>2030-12-31</x:v>
      </x:c>
      <x:c r="S148" t="n">
        <x:v>-0.7720739219712526</x:v>
      </x:c>
      <x:c r="T148" s="27" t="b">
        <x:v>0</x:v>
      </x:c>
      <x:c r="U148" s="42" t="n">
        <x:v>0</x:v>
      </x:c>
      <x:c r="V148" s="42" t="n">
        <x:v>0.08</x:v>
      </x:c>
      <x:c r="W148" s="42" t="n">
        <x:v>0.15</x:v>
      </x:c>
      <x:c r="X148" s="42" t="n">
        <x:v>0</x:v>
      </x:c>
      <x:c r="Y148" s="42" t="n">
        <x:v>0.5</x:v>
      </x:c>
      <x:c r="Z148" s="42" t="n">
        <x:v>0.7</x:v>
      </x:c>
      <x:c r="AA148" t="n">
        <x:f>AB148/(1+'管线假设'!H1507)^S148</x:f>
        <x:v>0</x:v>
      </x:c>
      <x:c r="AB148" t="n">
        <x:f>IF(T148,CHOOSE('假设'!$B$3,U148,V148,W148)*CHOOSE('假设'!$B$3,X148,Y148,Z148)*CHOOSE('假设'!$B$3,AO148,AP148,AQ148)*CHOOSE('假设'!$B$3,AR148,AS148,AT148)*IF(AU148="USD",'管线假设'!I1507,1),0)</x:f>
        <x:v>0</x:v>
      </x:c>
      <x:c r="AJ148" t="n">
        <x:v>0</x:v>
      </x:c>
      <x:c r="AK148" t="n">
        <x:v>0</x:v>
      </x:c>
      <x:c r="AL148" t="n">
        <x:v>0</x:v>
      </x:c>
      <x:c r="AM148" t="n">
        <x:f>CHOOSE('假设'!$B$3,AJ148,AK148,AL148)</x:f>
        <x:v>0</x:v>
      </x:c>
      <x:c r="AN148" t="n">
        <x:v>1</x:v>
      </x:c>
      <x:c r="AO148" s="42" t="n">
        <x:v>0.8</x:v>
      </x:c>
      <x:c r="AP148" s="42" t="n">
        <x:v>0.8</x:v>
      </x:c>
      <x:c r="AQ148" s="42" t="n">
        <x:v>0.8</x:v>
      </x:c>
      <x:c r="AR148" s="42" t="n">
        <x:v>0.9</x:v>
      </x:c>
      <x:c r="AS148" s="42" t="n">
        <x:v>1</x:v>
      </x:c>
      <x:c r="AT148" s="42" t="n">
        <x:v>1</x:v>
      </x:c>
      <x:c r="AU148" t="str">
        <x:v>USD</x:v>
      </x:c>
      <x:c r="AV148" t="str">
        <x:v>RC18 regulatory330mcap and future sales milestones partial, excludes45mreceived</x:v>
      </x:c>
    </x:row>
    <x:row r="149" ht="23" customHeight="1">
      <x:c r="A149" s="11" t="str">
        <x:v>01093.HK</x:v>
      </x:c>
      <x:c r="B149" s="11" t="str">
        <x:v>半年</x:v>
      </x:c>
      <x:c r="C149" s="11" t="str">
        <x:v>KN026_HB_INCREMENT_DOM</x:v>
      </x:c>
      <x:c r="D149" s="11" t="str">
        <x:v>2038-12-31</x:v>
      </x:c>
      <x:c r="E149" s="11" t="str">
        <x:v>CNY</x:v>
      </x:c>
      <x:c r="F149" s="11" t="n">
        <x:v>11.728952772073923</x:v>
      </x:c>
      <x:c r="G149" s="26" t="b">
        <x:v>1</x:v>
      </x:c>
      <x:c r="H149" s="16" t="n">
        <x:v>0.9750000000000001</x:v>
      </x:c>
      <x:c r="I149" s="16" t="n">
        <x:v>1.575</x:v>
      </x:c>
      <x:c r="J149" s="16" t="n">
        <x:v>2.7</x:v>
      </x:c>
      <x:c r="K149" s="11" t="n">
        <x:f>CHOOSE('假设'!$B$3,H149,I149,J149)</x:f>
        <x:v>1.575</x:v>
      </x:c>
      <x:c r="L149" s="11" t="n">
        <x:f>K149*'管线假设'!E39*'管线假设'!F39*'管线假设'!G39*IF(E149="USD",'管线假设'!I39,1)-AM149</x:f>
        <x:v>0.15875999999999998</x:v>
      </x:c>
      <x:c r="M149" s="11" t="n">
        <x:f>'管线假设'!H39</x:f>
        <x:v>0.13</x:v>
      </x:c>
      <x:c r="N149" s="11" t="n">
        <x:f>IF(G149,L149*AN149/(1+M149)^F149,0)</x:f>
        <x:v>0.03786051641378161</x:v>
      </x:c>
      <x:c r="P149" t="str">
        <x:v>09995.HK</x:v>
      </x:c>
      <x:c r="Q149" t="str">
        <x:v>五年</x:v>
      </x:c>
      <x:c r="R149" t="str">
        <x:v>2030-12-31</x:v>
      </x:c>
      <x:c r="S149" t="n">
        <x:v>-0.7720739219712526</x:v>
      </x:c>
      <x:c r="T149" s="27" t="b">
        <x:v>0</x:v>
      </x:c>
      <x:c r="U149" s="42" t="n">
        <x:v>0.03</x:v>
      </x:c>
      <x:c r="V149" s="42" t="n">
        <x:v>0</x:v>
      </x:c>
      <x:c r="W149" s="42" t="n">
        <x:v>0.2</x:v>
      </x:c>
      <x:c r="X149" s="42" t="n">
        <x:v>0.2</x:v>
      </x:c>
      <x:c r="Y149" s="42" t="n">
        <x:v>0</x:v>
      </x:c>
      <x:c r="Z149" s="42" t="n">
        <x:v>0.65</x:v>
      </x:c>
      <x:c r="AA149" t="n">
        <x:f>AB149/(1+'管线假设'!H1507)^S149</x:f>
        <x:v>0</x:v>
      </x:c>
      <x:c r="AB149" t="n">
        <x:f>IF(T149,CHOOSE('假设'!$B$3,U149,V149,W149)*CHOOSE('假设'!$B$3,X149,Y149,Z149)*CHOOSE('假设'!$B$3,AO149,AP149,AQ149)*CHOOSE('假设'!$B$3,AR149,AS149,AT149)*IF(AU149="USD",'管线假设'!I1507,1),0)</x:f>
        <x:v>0</x:v>
      </x:c>
      <x:c r="AJ149" t="n">
        <x:v>0</x:v>
      </x:c>
      <x:c r="AK149" t="n">
        <x:v>0</x:v>
      </x:c>
      <x:c r="AL149" t="n">
        <x:v>0</x:v>
      </x:c>
      <x:c r="AM149" t="n">
        <x:f>CHOOSE('假设'!$B$3,AJ149,AK149,AL149)</x:f>
        <x:v>0</x:v>
      </x:c>
      <x:c r="AN149" t="n">
        <x:v>1</x:v>
      </x:c>
      <x:c r="AO149" s="42" t="n">
        <x:v>0.8</x:v>
      </x:c>
      <x:c r="AP149" s="42" t="n">
        <x:v>0.8</x:v>
      </x:c>
      <x:c r="AQ149" s="42" t="n">
        <x:v>0.8</x:v>
      </x:c>
      <x:c r="AR149" s="42" t="n">
        <x:v>1</x:v>
      </x:c>
      <x:c r="AS149" s="42" t="n">
        <x:v>0.9</x:v>
      </x:c>
      <x:c r="AT149" s="42" t="n">
        <x:v>1</x:v>
      </x:c>
      <x:c r="AU149" t="str">
        <x:v>USD</x:v>
      </x:c>
      <x:c r="AV149" t="str">
        <x:v>RC48 futuremilestones excludes2021upfront200m</x:v>
      </x:c>
    </x:row>
    <x:row r="150" ht="23" customHeight="1">
      <x:c r="A150" s="11" t="str">
        <x:v>01093.HK</x:v>
      </x:c>
      <x:c r="B150" s="11" t="str">
        <x:v>半年</x:v>
      </x:c>
      <x:c r="C150" s="11" t="str">
        <x:v>KN026_HB_INCREMENT_DOM</x:v>
      </x:c>
      <x:c r="D150" s="11" t="str">
        <x:v>2039-12-31</x:v>
      </x:c>
      <x:c r="E150" s="11" t="str">
        <x:v>CNY</x:v>
      </x:c>
      <x:c r="F150" s="11" t="n">
        <x:v>12.728268309377139</x:v>
      </x:c>
      <x:c r="G150" s="26" t="b">
        <x:v>1</x:v>
      </x:c>
      <x:c r="H150" s="16" t="n">
        <x:v>0.78</x:v>
      </x:c>
      <x:c r="I150" s="16" t="n">
        <x:v>1.05</x:v>
      </x:c>
      <x:c r="J150" s="16" t="n">
        <x:v>1.7999999999999998</x:v>
      </x:c>
      <x:c r="K150" s="11" t="n">
        <x:f>CHOOSE('假设'!$B$3,H150,I150,J150)</x:f>
        <x:v>1.05</x:v>
      </x:c>
      <x:c r="L150" s="11" t="n">
        <x:f>K150*'管线假设'!E39*'管线假设'!F39*'管线假设'!G39*IF(E150="USD",'管线假设'!I39,1)-AM150</x:f>
        <x:v>0.10584</x:v>
      </x:c>
      <x:c r="M150" s="11" t="n">
        <x:f>'管线假设'!H39</x:f>
        <x:v>0.13</x:v>
      </x:c>
      <x:c r="N150" s="11" t="n">
        <x:f>IF(G150,L150*AN150/(1+M150)^F150,0)</x:f>
        <x:v>0.02233845646464786</x:v>
      </x:c>
      <x:c r="P150" t="str">
        <x:v>09995.HK</x:v>
      </x:c>
      <x:c r="Q150" t="str">
        <x:v>五年</x:v>
      </x:c>
      <x:c r="R150" t="str">
        <x:v>2031-12-31</x:v>
      </x:c>
      <x:c r="S150" t="n">
        <x:v>0.2272416153319644</x:v>
      </x:c>
      <x:c r="T150" s="27" t="b">
        <x:v>1</x:v>
      </x:c>
      <x:c r="U150" s="42" t="n">
        <x:v>0</x:v>
      </x:c>
      <x:c r="V150" s="42" t="n">
        <x:v>0.1</x:v>
      </x:c>
      <x:c r="W150" s="42" t="n">
        <x:v>0</x:v>
      </x:c>
      <x:c r="X150" s="42" t="n">
        <x:v>0</x:v>
      </x:c>
      <x:c r="Y150" s="42" t="n">
        <x:v>0.4</x:v>
      </x:c>
      <x:c r="Z150" s="42" t="n">
        <x:v>0</x:v>
      </x:c>
      <x:c r="AA150" t="n">
        <x:f>AB150/(1+'管线假设'!H1507)^S150</x:f>
        <x:v>0.21742869938213816</x:v>
      </x:c>
      <x:c r="AB150" t="n">
        <x:f>IF(T150,CHOOSE('假设'!$B$3,U150,V150,W150)*CHOOSE('假设'!$B$3,X150,Y150,Z150)*CHOOSE('假设'!$B$3,AO150,AP150,AQ150)*CHOOSE('假设'!$B$3,AR150,AS150,AT150)*IF(AU150="USD",'管线假设'!I1507,1),0)</x:f>
        <x:v>0.22400000000000006</x:v>
      </x:c>
      <x:c r="AJ150" t="n">
        <x:v>0</x:v>
      </x:c>
      <x:c r="AK150" t="n">
        <x:v>0</x:v>
      </x:c>
      <x:c r="AL150" t="n">
        <x:v>0</x:v>
      </x:c>
      <x:c r="AM150" t="n">
        <x:f>CHOOSE('假设'!$B$3,AJ150,AK150,AL150)</x:f>
        <x:v>0</x:v>
      </x:c>
      <x:c r="AN150" t="n">
        <x:v>1</x:v>
      </x:c>
      <x:c r="AO150" s="42" t="n">
        <x:v>0.8</x:v>
      </x:c>
      <x:c r="AP150" s="42" t="n">
        <x:v>0.8</x:v>
      </x:c>
      <x:c r="AQ150" s="42" t="n">
        <x:v>0.8</x:v>
      </x:c>
      <x:c r="AR150" s="42" t="n">
        <x:v>0.9</x:v>
      </x:c>
      <x:c r="AS150" s="42" t="n">
        <x:v>1</x:v>
      </x:c>
      <x:c r="AT150" s="42" t="n">
        <x:v>0.9</x:v>
      </x:c>
      <x:c r="AU150" t="str">
        <x:v>USD</x:v>
      </x:c>
      <x:c r="AV150" t="str">
        <x:v>RC48 futuremilestones excludes2021upfront200m</x:v>
      </x:c>
    </x:row>
    <x:row r="151" ht="23" customHeight="1">
      <x:c r="A151" s="11" t="str">
        <x:v>01093.HK</x:v>
      </x:c>
      <x:c r="B151" s="11" t="str">
        <x:v>半年</x:v>
      </x:c>
      <x:c r="C151" s="11" t="str">
        <x:v>KN026_HB_INCREMENT_DOM</x:v>
      </x:c>
      <x:c r="D151" s="11" t="str">
        <x:v>2040-12-31</x:v>
      </x:c>
      <x:c r="E151" s="11" t="str">
        <x:v>CNY</x:v>
      </x:c>
      <x:c r="F151" s="11" t="n">
        <x:v>13.730321697467488</x:v>
      </x:c>
      <x:c r="G151" s="26" t="b">
        <x:v>1</x:v>
      </x:c>
      <x:c r="H151" s="16" t="n">
        <x:v>0.5850000000000001</x:v>
      </x:c>
      <x:c r="I151" s="16" t="n">
        <x:v>0.63</x:v>
      </x:c>
      <x:c r="J151" s="16" t="n">
        <x:v>1.08</x:v>
      </x:c>
      <x:c r="K151" s="11" t="n">
        <x:f>CHOOSE('假设'!$B$3,H151,I151,J151)</x:f>
        <x:v>0.63</x:v>
      </x:c>
      <x:c r="L151" s="11" t="n">
        <x:f>K151*'管线假设'!E39*'管线假设'!F39*'管线假设'!G39*IF(E151="USD",'管线假设'!I39,1)-AM151</x:f>
        <x:v>0.063504</x:v>
      </x:c>
      <x:c r="M151" s="11" t="n">
        <x:f>'管线假设'!H39</x:f>
        <x:v>0.13</x:v>
      </x:c>
      <x:c r="N151" s="11" t="n">
        <x:f>IF(G151,L151*AN151/(1+M151)^F151,0)</x:f>
        <x:v>0.011858151028584228</x:v>
      </x:c>
      <x:c r="P151" t="str">
        <x:v>09995.HK</x:v>
      </x:c>
      <x:c r="Q151" t="str">
        <x:v>五年</x:v>
      </x:c>
      <x:c r="R151" t="str">
        <x:v>2032-12-31</x:v>
      </x:c>
      <x:c r="S151" t="n">
        <x:v>1.2292950034223136</x:v>
      </x:c>
      <x:c r="T151" s="27" t="b">
        <x:v>1</x:v>
      </x:c>
      <x:c r="U151" s="42" t="n">
        <x:v>0</x:v>
      </x:c>
      <x:c r="V151" s="42" t="n">
        <x:v>0.15</x:v>
      </x:c>
      <x:c r="W151" s="42" t="n">
        <x:v>0.35</x:v>
      </x:c>
      <x:c r="X151" s="42" t="n">
        <x:v>0</x:v>
      </x:c>
      <x:c r="Y151" s="42" t="n">
        <x:v>0.35</x:v>
      </x:c>
      <x:c r="Z151" s="42" t="n">
        <x:v>0.55</x:v>
      </x:c>
      <x:c r="AA151" t="n">
        <x:f>AB151/(1+'管线假设'!H1507)^S151</x:f>
        <x:v>0.25026175223117314</x:v>
      </x:c>
      <x:c r="AB151" t="n">
        <x:f>IF(T151,CHOOSE('假设'!$B$3,U151,V151,W151)*CHOOSE('假设'!$B$3,X151,Y151,Z151)*CHOOSE('假设'!$B$3,AO151,AP151,AQ151)*CHOOSE('假设'!$B$3,AR151,AS151,AT151)*IF(AU151="USD",'管线假设'!I1507,1),0)</x:f>
        <x:v>0.29400000000000004</x:v>
      </x:c>
      <x:c r="AJ151" t="n">
        <x:v>0</x:v>
      </x:c>
      <x:c r="AK151" t="n">
        <x:v>0</x:v>
      </x:c>
      <x:c r="AL151" t="n">
        <x:v>0</x:v>
      </x:c>
      <x:c r="AM151" t="n">
        <x:f>CHOOSE('假设'!$B$3,AJ151,AK151,AL151)</x:f>
        <x:v>0</x:v>
      </x:c>
      <x:c r="AN151" t="n">
        <x:v>1</x:v>
      </x:c>
      <x:c r="AO151" s="42" t="n">
        <x:v>0.8</x:v>
      </x:c>
      <x:c r="AP151" s="42" t="n">
        <x:v>0.8</x:v>
      </x:c>
      <x:c r="AQ151" s="42" t="n">
        <x:v>0.8</x:v>
      </x:c>
      <x:c r="AR151" s="42" t="n">
        <x:v>0.9</x:v>
      </x:c>
      <x:c r="AS151" s="42" t="n">
        <x:v>1</x:v>
      </x:c>
      <x:c r="AT151" s="42" t="n">
        <x:v>1</x:v>
      </x:c>
      <x:c r="AU151" t="str">
        <x:v>USD</x:v>
      </x:c>
      <x:c r="AV151" t="str">
        <x:v>RC148 future eligible excluding650mreceived</x:v>
      </x:c>
    </x:row>
    <x:row r="152" ht="23" customHeight="1">
      <x:c r="A152" s="11" t="str">
        <x:v>01093.HK</x:v>
      </x:c>
      <x:c r="B152" s="11" t="str">
        <x:v>半年</x:v>
      </x:c>
      <x:c r="C152" s="11" t="str">
        <x:v>KN026_HB_INCREMENT_DOM</x:v>
      </x:c>
      <x:c r="D152" s="11" t="str">
        <x:v>2041-12-31</x:v>
      </x:c>
      <x:c r="E152" s="11" t="str">
        <x:v>CNY</x:v>
      </x:c>
      <x:c r="F152" s="11" t="n">
        <x:v>14.729637234770705</x:v>
      </x:c>
      <x:c r="G152" s="26" t="b">
        <x:v>1</x:v>
      </x:c>
      <x:c r="H152" s="16" t="n">
        <x:v>0.39</x:v>
      </x:c>
      <x:c r="I152" s="16" t="n">
        <x:v>0.35000000000000003</x:v>
      </x:c>
      <x:c r="J152" s="16" t="n">
        <x:v>0.6000000000000001</x:v>
      </x:c>
      <x:c r="K152" s="11" t="n">
        <x:f>CHOOSE('假设'!$B$3,H152,I152,J152)</x:f>
        <x:v>0.35000000000000003</x:v>
      </x:c>
      <x:c r="L152" s="11" t="n">
        <x:f>K152*'管线假设'!E39*'管线假设'!F39*'管线假设'!G39*IF(E152="USD",'管线假设'!I39,1)-AM152</x:f>
        <x:v>0.03528</x:v>
      </x:c>
      <x:c r="M152" s="11" t="n">
        <x:f>'管线假设'!H39</x:f>
        <x:v>0.13</x:v>
      </x:c>
      <x:c r="N152" s="11" t="n">
        <x:f>IF(G152,L152*AN152/(1+M152)^F152,0)</x:f>
        <x:v>0.005830453807695209</x:v>
      </x:c>
      <x:c r="AJ152" t="n">
        <x:v>0</x:v>
      </x:c>
      <x:c r="AK152" t="n">
        <x:v>0</x:v>
      </x:c>
      <x:c r="AL152" t="n">
        <x:v>0</x:v>
      </x:c>
      <x:c r="AM152" t="n">
        <x:f>CHOOSE('假设'!$B$3,AJ152,AK152,AL152)</x:f>
        <x:v>0</x:v>
      </x:c>
      <x:c r="AN152" t="n">
        <x:v>1</x:v>
      </x:c>
    </x:row>
    <x:row r="153" ht="23" customHeight="1">
      <x:c r="A153" s="11" t="str">
        <x:v>01093.HK</x:v>
      </x:c>
      <x:c r="B153" s="11" t="str">
        <x:v>半年</x:v>
      </x:c>
      <x:c r="C153" s="11" t="str">
        <x:v>KN026_HB_INCREMENT_DOM</x:v>
      </x:c>
      <x:c r="D153" s="11" t="str">
        <x:v>2042-12-31</x:v>
      </x:c>
      <x:c r="E153" s="11" t="str">
        <x:v>CNY</x:v>
      </x:c>
      <x:c r="F153" s="11" t="n">
        <x:v>15.728952772073923</x:v>
      </x:c>
      <x:c r="G153" s="26" t="b">
        <x:v>1</x:v>
      </x:c>
      <x:c r="H153" s="16" t="n">
        <x:v>0.23399999999999999</x:v>
      </x:c>
      <x:c r="I153" s="16" t="n">
        <x:v>0.17500000000000002</x:v>
      </x:c>
      <x:c r="J153" s="16" t="n">
        <x:v>0.30000000000000004</x:v>
      </x:c>
      <x:c r="K153" s="11" t="n">
        <x:f>CHOOSE('假设'!$B$3,H153,I153,J153)</x:f>
        <x:v>0.17500000000000002</x:v>
      </x:c>
      <x:c r="L153" s="11" t="n">
        <x:f>K153*'管线假设'!E39*'管线假设'!F39*'管线假设'!G39*IF(E153="USD",'管线假设'!I39,1)-AM153</x:f>
        <x:v>0.01764</x:v>
      </x:c>
      <x:c r="M153" s="11" t="n">
        <x:f>'管线假设'!H39</x:f>
        <x:v>0.13</x:v>
      </x:c>
      <x:c r="N153" s="11" t="n">
        <x:f>IF(G153,L153*AN153/(1+M153)^F153,0)</x:f>
        <x:v>0.0025800626395760776</x:v>
      </x:c>
      <x:c r="AJ153" t="n">
        <x:v>0</x:v>
      </x:c>
      <x:c r="AK153" t="n">
        <x:v>0</x:v>
      </x:c>
      <x:c r="AL153" t="n">
        <x:v>0</x:v>
      </x:c>
      <x:c r="AM153" t="n">
        <x:f>CHOOSE('假设'!$B$3,AJ153,AK153,AL153)</x:f>
        <x:v>0</x:v>
      </x:c>
      <x:c r="AN153" t="n">
        <x:v>1</x:v>
      </x:c>
    </x:row>
    <x:row r="154" ht="23" customHeight="1">
      <x:c r="A154" s="11" t="str">
        <x:v>01093.HK</x:v>
      </x:c>
      <x:c r="B154" s="11" t="str">
        <x:v>半年</x:v>
      </x:c>
      <x:c r="C154" s="11" t="str">
        <x:v>KN026_HB_INCREMENT_DOM</x:v>
      </x:c>
      <x:c r="D154" s="11" t="str">
        <x:v>2043-12-31</x:v>
      </x:c>
      <x:c r="E154" s="11" t="str">
        <x:v>CNY</x:v>
      </x:c>
      <x:c r="F154" s="11" t="n">
        <x:v>16.72826830937714</x:v>
      </x:c>
      <x:c r="G154" s="26" t="b">
        <x:v>1</x:v>
      </x:c>
      <x:c r="H154" s="16" t="n">
        <x:v>0.13</x:v>
      </x:c>
      <x:c r="I154" s="16" t="n">
        <x:v>0.17500000000000002</x:v>
      </x:c>
      <x:c r="J154" s="16" t="n">
        <x:v>0.30000000000000004</x:v>
      </x:c>
      <x:c r="K154" s="11" t="n">
        <x:f>CHOOSE('假设'!$B$3,H154,I154,J154)</x:f>
        <x:v>0.17500000000000002</x:v>
      </x:c>
      <x:c r="L154" s="11" t="n">
        <x:f>K154*'管线假设'!E39*'管线假设'!F39*'管线假设'!G39*IF(E154="USD",'管线假设'!I39,1)-AM154</x:f>
        <x:v>0.01764</x:v>
      </x:c>
      <x:c r="M154" s="11" t="n">
        <x:f>'管线假设'!H39</x:f>
        <x:v>0.13</x:v>
      </x:c>
      <x:c r="N154" s="11" t="n">
        <x:f>IF(G154,L154*AN154/(1+M154)^F154,0)</x:f>
        <x:v>0.002283432282869829</x:v>
      </x:c>
      <x:c r="AJ154" t="n">
        <x:v>0</x:v>
      </x:c>
      <x:c r="AK154" t="n">
        <x:v>0</x:v>
      </x:c>
      <x:c r="AL154" t="n">
        <x:v>0</x:v>
      </x:c>
      <x:c r="AM154" t="n">
        <x:f>CHOOSE('假设'!$B$3,AJ154,AK154,AL154)</x:f>
        <x:v>0</x:v>
      </x:c>
      <x:c r="AN154" t="n">
        <x:v>1</x:v>
      </x:c>
    </x:row>
    <x:row r="155" ht="23" customHeight="1">
      <x:c r="A155" s="11" t="str">
        <x:v>01093.HK</x:v>
      </x:c>
      <x:c r="B155" s="11" t="str">
        <x:v>半年</x:v>
      </x:c>
      <x:c r="C155" s="11" t="str">
        <x:v>TG103_DOM</x:v>
      </x:c>
      <x:c r="D155" s="11" t="str">
        <x:v>2027-12-31</x:v>
      </x:c>
      <x:c r="E155" s="11" t="str">
        <x:v>CNY</x:v>
      </x:c>
      <x:c r="F155" s="11" t="n">
        <x:v>0.7282683093771389</x:v>
      </x:c>
      <x:c r="G155" s="26" t="b">
        <x:v>1</x:v>
      </x:c>
      <x:c r="H155" s="16" t="n">
        <x:v>0</x:v>
      </x:c>
      <x:c r="I155" s="16" t="n">
        <x:v>0.12</x:v>
      </x:c>
      <x:c r="J155" s="16" t="n">
        <x:v>0.256</x:v>
      </x:c>
      <x:c r="K155" s="11" t="n">
        <x:f>CHOOSE('假设'!$B$3,H155,I155,J155)</x:f>
        <x:v>0.12</x:v>
      </x:c>
      <x:c r="L155" s="11" t="n">
        <x:f>K155*'管线假设'!E43*'管线假设'!F43*'管线假设'!G43*IF(E155="USD",'管线假设'!I43,1)-AM155</x:f>
        <x:v>0.0132192</x:v>
      </x:c>
      <x:c r="M155" s="11" t="n">
        <x:f>'管线假设'!H43</x:f>
        <x:v>0.13</x:v>
      </x:c>
      <x:c r="N155" s="11" t="n">
        <x:f>IF(G155,L155*AN155/(1+M155)^F155,0)</x:f>
        <x:v>0.012093439185307983</x:v>
      </x:c>
      <x:c r="AJ155" t="n">
        <x:v>0</x:v>
      </x:c>
      <x:c r="AK155" t="n">
        <x:v>0</x:v>
      </x:c>
      <x:c r="AL155" t="n">
        <x:v>0</x:v>
      </x:c>
      <x:c r="AM155" t="n">
        <x:f>CHOOSE('假设'!$B$3,AJ155,AK155,AL155)</x:f>
        <x:v>0</x:v>
      </x:c>
      <x:c r="AN155" t="n">
        <x:v>1</x:v>
      </x:c>
    </x:row>
    <x:row r="156" ht="23" customHeight="1">
      <x:c r="A156" s="11" t="str">
        <x:v>01093.HK</x:v>
      </x:c>
      <x:c r="B156" s="11" t="str">
        <x:v>半年</x:v>
      </x:c>
      <x:c r="C156" s="11" t="str">
        <x:v>TG103_DOM</x:v>
      </x:c>
      <x:c r="D156" s="11" t="str">
        <x:v>2028-12-31</x:v>
      </x:c>
      <x:c r="E156" s="11" t="str">
        <x:v>CNY</x:v>
      </x:c>
      <x:c r="F156" s="11" t="n">
        <x:v>1.730321697467488</x:v>
      </x:c>
      <x:c r="G156" s="26" t="b">
        <x:v>1</x:v>
      </x:c>
      <x:c r="H156" s="16" t="n">
        <x:v>0</x:v>
      </x:c>
      <x:c r="I156" s="16" t="n">
        <x:v>0.375</x:v>
      </x:c>
      <x:c r="J156" s="16" t="n">
        <x:v>0.8</x:v>
      </x:c>
      <x:c r="K156" s="11" t="n">
        <x:f>CHOOSE('假设'!$B$3,H156,I156,J156)</x:f>
        <x:v>0.375</x:v>
      </x:c>
      <x:c r="L156" s="11" t="n">
        <x:f>K156*'管线假设'!E43*'管线假设'!F43*'管线假设'!G43*IF(E156="USD",'管线假设'!I43,1)-AM156</x:f>
        <x:v>0.041310000000000006</x:v>
      </x:c>
      <x:c r="M156" s="11" t="n">
        <x:f>'管线假设'!H43</x:f>
        <x:v>0.13</x:v>
      </x:c>
      <x:c r="N156" s="11" t="n">
        <x:f>IF(G156,L156*AN156/(1+M156)^F156,0)</x:f>
        <x:v>0.03343585341207864</x:v>
      </x:c>
      <x:c r="AJ156" t="n">
        <x:v>0</x:v>
      </x:c>
      <x:c r="AK156" t="n">
        <x:v>0</x:v>
      </x:c>
      <x:c r="AL156" t="n">
        <x:v>0</x:v>
      </x:c>
      <x:c r="AM156" t="n">
        <x:f>CHOOSE('假设'!$B$3,AJ156,AK156,AL156)</x:f>
        <x:v>0</x:v>
      </x:c>
      <x:c r="AN156" t="n">
        <x:v>1</x:v>
      </x:c>
    </x:row>
    <x:row r="157" ht="23" customHeight="1">
      <x:c r="A157" s="11" t="str">
        <x:v>01093.HK</x:v>
      </x:c>
      <x:c r="B157" s="11" t="str">
        <x:v>半年</x:v>
      </x:c>
      <x:c r="C157" s="11" t="str">
        <x:v>TG103_DOM</x:v>
      </x:c>
      <x:c r="D157" s="11" t="str">
        <x:v>2029-12-31</x:v>
      </x:c>
      <x:c r="E157" s="11" t="str">
        <x:v>CNY</x:v>
      </x:c>
      <x:c r="F157" s="11" t="n">
        <x:v>2.729637234770705</x:v>
      </x:c>
      <x:c r="G157" s="26" t="b">
        <x:v>1</x:v>
      </x:c>
      <x:c r="H157" s="16" t="n">
        <x:v>0.04</x:v>
      </x:c>
      <x:c r="I157" s="16" t="n">
        <x:v>0.675</x:v>
      </x:c>
      <x:c r="J157" s="16" t="n">
        <x:v>1.4400000000000002</x:v>
      </x:c>
      <x:c r="K157" s="11" t="n">
        <x:f>CHOOSE('假设'!$B$3,H157,I157,J157)</x:f>
        <x:v>0.675</x:v>
      </x:c>
      <x:c r="L157" s="11" t="n">
        <x:f>K157*'管线假设'!E43*'管线假设'!F43*'管线假设'!G43*IF(E157="USD",'管线假设'!I43,1)-AM157</x:f>
        <x:v>0.07435800000000001</x:v>
      </x:c>
      <x:c r="M157" s="11" t="n">
        <x:f>'管线假设'!H43</x:f>
        <x:v>0.13</x:v>
      </x:c>
      <x:c r="N157" s="11" t="n">
        <x:f>IF(G157,L157*AN157/(1+M157)^F157,0)</x:f>
        <x:v>0.05326510707436888</x:v>
      </x:c>
      <x:c r="AJ157" t="n">
        <x:v>0</x:v>
      </x:c>
      <x:c r="AK157" t="n">
        <x:v>0</x:v>
      </x:c>
      <x:c r="AL157" t="n">
        <x:v>0</x:v>
      </x:c>
      <x:c r="AM157" t="n">
        <x:f>CHOOSE('假设'!$B$3,AJ157,AK157,AL157)</x:f>
        <x:v>0</x:v>
      </x:c>
      <x:c r="AN157" t="n">
        <x:v>1</x:v>
      </x:c>
    </x:row>
    <x:row r="158" ht="23" customHeight="1">
      <x:c r="A158" s="11" t="str">
        <x:v>01093.HK</x:v>
      </x:c>
      <x:c r="B158" s="11" t="str">
        <x:v>半年</x:v>
      </x:c>
      <x:c r="C158" s="11" t="str">
        <x:v>TG103_DOM</x:v>
      </x:c>
      <x:c r="D158" s="11" t="str">
        <x:v>2030-12-31</x:v>
      </x:c>
      <x:c r="E158" s="11" t="str">
        <x:v>CNY</x:v>
      </x:c>
      <x:c r="F158" s="11" t="n">
        <x:v>3.728952772073922</x:v>
      </x:c>
      <x:c r="G158" s="26" t="b">
        <x:v>1</x:v>
      </x:c>
      <x:c r="H158" s="16" t="n">
        <x:v>0.125</x:v>
      </x:c>
      <x:c r="I158" s="16" t="n">
        <x:v>0.9750000000000001</x:v>
      </x:c>
      <x:c r="J158" s="16" t="n">
        <x:v>2.08</x:v>
      </x:c>
      <x:c r="K158" s="11" t="n">
        <x:f>CHOOSE('假设'!$B$3,H158,I158,J158)</x:f>
        <x:v>0.9750000000000001</x:v>
      </x:c>
      <x:c r="L158" s="11" t="n">
        <x:f>K158*'管线假设'!E43*'管线假设'!F43*'管线假设'!G43*IF(E158="USD",'管线假设'!I43,1)-AM158</x:f>
        <x:v>0.10740600000000002</x:v>
      </x:c>
      <x:c r="M158" s="11" t="n">
        <x:f>'管线假设'!H43</x:f>
        <x:v>0.13</x:v>
      </x:c>
      <x:c r="N158" s="11" t="n">
        <x:f>IF(G158,L158*AN158/(1+M158)^F158,0)</x:f>
        <x:v>0.06809285348003587</x:v>
      </x:c>
      <x:c r="AJ158" t="n">
        <x:v>0</x:v>
      </x:c>
      <x:c r="AK158" t="n">
        <x:v>0</x:v>
      </x:c>
      <x:c r="AL158" t="n">
        <x:v>0</x:v>
      </x:c>
      <x:c r="AM158" t="n">
        <x:f>CHOOSE('假设'!$B$3,AJ158,AK158,AL158)</x:f>
        <x:v>0</x:v>
      </x:c>
      <x:c r="AN158" t="n">
        <x:v>1</x:v>
      </x:c>
    </x:row>
    <x:row r="159" ht="23" customHeight="1">
      <x:c r="A159" s="11" t="str">
        <x:v>01093.HK</x:v>
      </x:c>
      <x:c r="B159" s="11" t="str">
        <x:v>半年</x:v>
      </x:c>
      <x:c r="C159" s="11" t="str">
        <x:v>TG103_DOM</x:v>
      </x:c>
      <x:c r="D159" s="11" t="str">
        <x:v>2031-12-31</x:v>
      </x:c>
      <x:c r="E159" s="11" t="str">
        <x:v>CNY</x:v>
      </x:c>
      <x:c r="F159" s="11" t="n">
        <x:v>4.728268309377139</x:v>
      </x:c>
      <x:c r="G159" s="26" t="b">
        <x:v>1</x:v>
      </x:c>
      <x:c r="H159" s="16" t="n">
        <x:v>0.225</x:v>
      </x:c>
      <x:c r="I159" s="16" t="n">
        <x:v>1.275</x:v>
      </x:c>
      <x:c r="J159" s="16" t="n">
        <x:v>2.72</x:v>
      </x:c>
      <x:c r="K159" s="11" t="n">
        <x:f>CHOOSE('假设'!$B$3,H159,I159,J159)</x:f>
        <x:v>1.275</x:v>
      </x:c>
      <x:c r="L159" s="11" t="n">
        <x:f>K159*'管线假设'!E43*'管线假设'!F43*'管线假设'!G43*IF(E159="USD",'管线假设'!I43,1)-AM159</x:f>
        <x:v>0.140454</x:v>
      </x:c>
      <x:c r="M159" s="11" t="n">
        <x:f>'管线假设'!H43</x:f>
        <x:v>0.13</x:v>
      </x:c>
      <x:c r="N159" s="11" t="n">
        <x:f>IF(G159,L159*AN159/(1+M159)^F159,0)</x:f>
        <x:v>0.07880703530301074</x:v>
      </x:c>
      <x:c r="AJ159" t="n">
        <x:v>0</x:v>
      </x:c>
      <x:c r="AK159" t="n">
        <x:v>0</x:v>
      </x:c>
      <x:c r="AL159" t="n">
        <x:v>0</x:v>
      </x:c>
      <x:c r="AM159" t="n">
        <x:f>CHOOSE('假设'!$B$3,AJ159,AK159,AL159)</x:f>
        <x:v>0</x:v>
      </x:c>
      <x:c r="AN159" t="n">
        <x:v>1</x:v>
      </x:c>
    </x:row>
    <x:row r="160" ht="23" customHeight="1">
      <x:c r="A160" s="11" t="str">
        <x:v>01093.HK</x:v>
      </x:c>
      <x:c r="B160" s="11" t="str">
        <x:v>半年</x:v>
      </x:c>
      <x:c r="C160" s="11" t="str">
        <x:v>TG103_DOM</x:v>
      </x:c>
      <x:c r="D160" s="11" t="str">
        <x:v>2032-12-31</x:v>
      </x:c>
      <x:c r="E160" s="11" t="str">
        <x:v>CNY</x:v>
      </x:c>
      <x:c r="F160" s="11" t="n">
        <x:v>5.730321697467488</x:v>
      </x:c>
      <x:c r="G160" s="26" t="b">
        <x:v>1</x:v>
      </x:c>
      <x:c r="H160" s="16" t="n">
        <x:v>0.325</x:v>
      </x:c>
      <x:c r="I160" s="16" t="n">
        <x:v>1.5</x:v>
      </x:c>
      <x:c r="J160" s="16" t="n">
        <x:v>3.2</x:v>
      </x:c>
      <x:c r="K160" s="11" t="n">
        <x:f>CHOOSE('假设'!$B$3,H160,I160,J160)</x:f>
        <x:v>1.5</x:v>
      </x:c>
      <x:c r="L160" s="11" t="n">
        <x:f>K160*'管线假设'!E43*'管线假设'!F43*'管线假设'!G43*IF(E160="USD",'管线假设'!I43,1)-AM160</x:f>
        <x:v>0.16524000000000003</x:v>
      </x:c>
      <x:c r="M160" s="11" t="n">
        <x:f>'管线假设'!H43</x:f>
        <x:v>0.13</x:v>
      </x:c>
      <x:c r="N160" s="11" t="n">
        <x:f>IF(G160,L160*AN160/(1+M160)^F160,0)</x:f>
        <x:v>0.08202734029428087</x:v>
      </x:c>
      <x:c r="AJ160" t="n">
        <x:v>0</x:v>
      </x:c>
      <x:c r="AK160" t="n">
        <x:v>0</x:v>
      </x:c>
      <x:c r="AL160" t="n">
        <x:v>0</x:v>
      </x:c>
      <x:c r="AM160" t="n">
        <x:f>CHOOSE('假设'!$B$3,AJ160,AK160,AL160)</x:f>
        <x:v>0</x:v>
      </x:c>
      <x:c r="AN160" t="n">
        <x:v>1</x:v>
      </x:c>
    </x:row>
    <x:row r="161" ht="23" customHeight="1">
      <x:c r="A161" s="11" t="str">
        <x:v>01093.HK</x:v>
      </x:c>
      <x:c r="B161" s="11" t="str">
        <x:v>半年</x:v>
      </x:c>
      <x:c r="C161" s="11" t="str">
        <x:v>TG103_DOM</x:v>
      </x:c>
      <x:c r="D161" s="11" t="str">
        <x:v>2033-12-31</x:v>
      </x:c>
      <x:c r="E161" s="11" t="str">
        <x:v>CNY</x:v>
      </x:c>
      <x:c r="F161" s="11" t="n">
        <x:v>6.729637234770705</x:v>
      </x:c>
      <x:c r="G161" s="26" t="b">
        <x:v>1</x:v>
      </x:c>
      <x:c r="H161" s="16" t="n">
        <x:v>0.425</x:v>
      </x:c>
      <x:c r="I161" s="16" t="n">
        <x:v>1.5</x:v>
      </x:c>
      <x:c r="J161" s="16" t="n">
        <x:v>3.2</x:v>
      </x:c>
      <x:c r="K161" s="11" t="n">
        <x:f>CHOOSE('假设'!$B$3,H161,I161,J161)</x:f>
        <x:v>1.5</x:v>
      </x:c>
      <x:c r="L161" s="11" t="n">
        <x:f>K161*'管线假设'!E43*'管线假设'!F43*'管线假设'!G43*IF(E161="USD",'管线假设'!I43,1)-AM161</x:f>
        <x:v>0.16524000000000003</x:v>
      </x:c>
      <x:c r="M161" s="11" t="n">
        <x:f>'管线假设'!H43</x:f>
        <x:v>0.13</x:v>
      </x:c>
      <x:c r="N161" s="11" t="n">
        <x:f>IF(G161,L161*AN161/(1+M161)^F161,0)</x:f>
        <x:v>0.07259663933457265</x:v>
      </x:c>
      <x:c r="AJ161" t="n">
        <x:v>0</x:v>
      </x:c>
      <x:c r="AK161" t="n">
        <x:v>0</x:v>
      </x:c>
      <x:c r="AL161" t="n">
        <x:v>0</x:v>
      </x:c>
      <x:c r="AM161" t="n">
        <x:f>CHOOSE('假设'!$B$3,AJ161,AK161,AL161)</x:f>
        <x:v>0</x:v>
      </x:c>
      <x:c r="AN161" t="n">
        <x:v>1</x:v>
      </x:c>
    </x:row>
    <x:row r="162" ht="23" customHeight="1">
      <x:c r="A162" s="11" t="str">
        <x:v>01093.HK</x:v>
      </x:c>
      <x:c r="B162" s="11" t="str">
        <x:v>半年</x:v>
      </x:c>
      <x:c r="C162" s="11" t="str">
        <x:v>TG103_DOM</x:v>
      </x:c>
      <x:c r="D162" s="11" t="str">
        <x:v>2034-12-31</x:v>
      </x:c>
      <x:c r="E162" s="11" t="str">
        <x:v>CNY</x:v>
      </x:c>
      <x:c r="F162" s="11" t="n">
        <x:v>7.728952772073922</x:v>
      </x:c>
      <x:c r="G162" s="26" t="b">
        <x:v>1</x:v>
      </x:c>
      <x:c r="H162" s="16" t="n">
        <x:v>0.5</x:v>
      </x:c>
      <x:c r="I162" s="16" t="n">
        <x:v>1.4249999999999998</x:v>
      </x:c>
      <x:c r="J162" s="16" t="n">
        <x:v>3.04</x:v>
      </x:c>
      <x:c r="K162" s="11" t="n">
        <x:f>CHOOSE('假设'!$B$3,H162,I162,J162)</x:f>
        <x:v>1.4249999999999998</x:v>
      </x:c>
      <x:c r="L162" s="11" t="n">
        <x:f>K162*'管线假设'!E43*'管线假设'!F43*'管线假设'!G43*IF(E162="USD",'管线假设'!I43,1)-AM162</x:f>
        <x:v>0.156978</x:v>
      </x:c>
      <x:c r="M162" s="11" t="n">
        <x:f>'管线假设'!H43</x:f>
        <x:v>0.13</x:v>
      </x:c>
      <x:c r="N162" s="11" t="n">
        <x:f>IF(G162,L162*AN162/(1+M162)^F162,0)</x:f>
        <x:v>0.061037678688326345</x:v>
      </x:c>
      <x:c r="AJ162" t="n">
        <x:v>0</x:v>
      </x:c>
      <x:c r="AK162" t="n">
        <x:v>0</x:v>
      </x:c>
      <x:c r="AL162" t="n">
        <x:v>0</x:v>
      </x:c>
      <x:c r="AM162" t="n">
        <x:f>CHOOSE('假设'!$B$3,AJ162,AK162,AL162)</x:f>
        <x:v>0</x:v>
      </x:c>
      <x:c r="AN162" t="n">
        <x:v>1</x:v>
      </x:c>
    </x:row>
    <x:row r="163" ht="23" customHeight="1">
      <x:c r="A163" s="11" t="str">
        <x:v>01093.HK</x:v>
      </x:c>
      <x:c r="B163" s="11" t="str">
        <x:v>半年</x:v>
      </x:c>
      <x:c r="C163" s="11" t="str">
        <x:v>TG103_DOM</x:v>
      </x:c>
      <x:c r="D163" s="11" t="str">
        <x:v>2035-12-31</x:v>
      </x:c>
      <x:c r="E163" s="11" t="str">
        <x:v>CNY</x:v>
      </x:c>
      <x:c r="F163" s="11" t="n">
        <x:v>8.728268309377139</x:v>
      </x:c>
      <x:c r="G163" s="26" t="b">
        <x:v>1</x:v>
      </x:c>
      <x:c r="H163" s="16" t="n">
        <x:v>0.5</x:v>
      </x:c>
      <x:c r="I163" s="16" t="n">
        <x:v>1.32</x:v>
      </x:c>
      <x:c r="J163" s="16" t="n">
        <x:v>2.8160000000000003</x:v>
      </x:c>
      <x:c r="K163" s="11" t="n">
        <x:f>CHOOSE('假设'!$B$3,H163,I163,J163)</x:f>
        <x:v>1.32</x:v>
      </x:c>
      <x:c r="L163" s="11" t="n">
        <x:f>K163*'管线假设'!E43*'管线假设'!F43*'管线假设'!G43*IF(E163="USD",'管线假设'!I43,1)-AM163</x:f>
        <x:v>0.14541120000000002</x:v>
      </x:c>
      <x:c r="M163" s="11" t="n">
        <x:f>'管线假设'!H43</x:f>
        <x:v>0.13</x:v>
      </x:c>
      <x:c r="N163" s="11" t="n">
        <x:f>IF(G163,L163*AN163/(1+M163)^F163,0)</x:f>
        <x:v>0.05003973052861074</x:v>
      </x:c>
      <x:c r="AJ163" t="n">
        <x:v>0</x:v>
      </x:c>
      <x:c r="AK163" t="n">
        <x:v>0</x:v>
      </x:c>
      <x:c r="AL163" t="n">
        <x:v>0</x:v>
      </x:c>
      <x:c r="AM163" t="n">
        <x:f>CHOOSE('假设'!$B$3,AJ163,AK163,AL163)</x:f>
        <x:v>0</x:v>
      </x:c>
      <x:c r="AN163" t="n">
        <x:v>1</x:v>
      </x:c>
    </x:row>
    <x:row r="164" ht="23" customHeight="1">
      <x:c r="A164" s="11" t="str">
        <x:v>01093.HK</x:v>
      </x:c>
      <x:c r="B164" s="11" t="str">
        <x:v>半年</x:v>
      </x:c>
      <x:c r="C164" s="11" t="str">
        <x:v>TG103_DOM</x:v>
      </x:c>
      <x:c r="D164" s="11" t="str">
        <x:v>2036-12-31</x:v>
      </x:c>
      <x:c r="E164" s="11" t="str">
        <x:v>CNY</x:v>
      </x:c>
      <x:c r="F164" s="11" t="n">
        <x:v>9.730321697467488</x:v>
      </x:c>
      <x:c r="G164" s="26" t="b">
        <x:v>1</x:v>
      </x:c>
      <x:c r="H164" s="16" t="n">
        <x:v>0.475</x:v>
      </x:c>
      <x:c r="I164" s="16" t="n">
        <x:v>1.125</x:v>
      </x:c>
      <x:c r="J164" s="16" t="n">
        <x:v>2.4000000000000004</x:v>
      </x:c>
      <x:c r="K164" s="11" t="n">
        <x:f>CHOOSE('假设'!$B$3,H164,I164,J164)</x:f>
        <x:v>1.125</x:v>
      </x:c>
      <x:c r="L164" s="11" t="n">
        <x:f>K164*'管线假设'!E43*'管线假设'!F43*'管线假设'!G43*IF(E164="USD",'管线假设'!I43,1)-AM164</x:f>
        <x:v>0.12393</x:v>
      </x:c>
      <x:c r="M164" s="11" t="n">
        <x:f>'管线假设'!H43</x:f>
        <x:v>0.13</x:v>
      </x:c>
      <x:c r="N164" s="11" t="n">
        <x:f>IF(G164,L164*AN164/(1+M164)^F164,0)</x:f>
        <x:v>0.037731677988158706</x:v>
      </x:c>
      <x:c r="AJ164" t="n">
        <x:v>0</x:v>
      </x:c>
      <x:c r="AK164" t="n">
        <x:v>0</x:v>
      </x:c>
      <x:c r="AL164" t="n">
        <x:v>0</x:v>
      </x:c>
      <x:c r="AM164" t="n">
        <x:f>CHOOSE('假设'!$B$3,AJ164,AK164,AL164)</x:f>
        <x:v>0</x:v>
      </x:c>
      <x:c r="AN164" t="n">
        <x:v>1</x:v>
      </x:c>
    </x:row>
    <x:row r="165" ht="23" customHeight="1">
      <x:c r="A165" s="11" t="str">
        <x:v>01093.HK</x:v>
      </x:c>
      <x:c r="B165" s="11" t="str">
        <x:v>半年</x:v>
      </x:c>
      <x:c r="C165" s="11" t="str">
        <x:v>TG103_DOM</x:v>
      </x:c>
      <x:c r="D165" s="11" t="str">
        <x:v>2037-12-31</x:v>
      </x:c>
      <x:c r="E165" s="11" t="str">
        <x:v>CNY</x:v>
      </x:c>
      <x:c r="F165" s="11" t="n">
        <x:v>10.729637234770705</x:v>
      </x:c>
      <x:c r="G165" s="26" t="b">
        <x:v>1</x:v>
      </x:c>
      <x:c r="H165" s="16" t="n">
        <x:v>0.44</x:v>
      </x:c>
      <x:c r="I165" s="16" t="n">
        <x:v>0.8999999999999999</x:v>
      </x:c>
      <x:c r="J165" s="16" t="n">
        <x:v>1.92</x:v>
      </x:c>
      <x:c r="K165" s="11" t="n">
        <x:f>CHOOSE('假设'!$B$3,H165,I165,J165)</x:f>
        <x:v>0.8999999999999999</x:v>
      </x:c>
      <x:c r="L165" s="11" t="n">
        <x:f>K165*'管线假设'!E43*'管线假设'!F43*'管线假设'!G43*IF(E165="USD",'管线假设'!I43,1)-AM165</x:f>
        <x:v>0.099144</x:v>
      </x:c>
      <x:c r="M165" s="11" t="n">
        <x:f>'管线假设'!H43</x:f>
        <x:v>0.13</x:v>
      </x:c>
      <x:c r="N165" s="11" t="n">
        <x:f>IF(G165,L165*AN165/(1+M165)^F165,0)</x:f>
        <x:v>0.026714927082287215</x:v>
      </x:c>
      <x:c r="AJ165" t="n">
        <x:v>0</x:v>
      </x:c>
      <x:c r="AK165" t="n">
        <x:v>0</x:v>
      </x:c>
      <x:c r="AL165" t="n">
        <x:v>0</x:v>
      </x:c>
      <x:c r="AM165" t="n">
        <x:f>CHOOSE('假设'!$B$3,AJ165,AK165,AL165)</x:f>
        <x:v>0</x:v>
      </x:c>
      <x:c r="AN165" t="n">
        <x:v>1</x:v>
      </x:c>
    </x:row>
    <x:row r="166" ht="23" customHeight="1">
      <x:c r="A166" s="11" t="str">
        <x:v>01093.HK</x:v>
      </x:c>
      <x:c r="B166" s="11" t="str">
        <x:v>半年</x:v>
      </x:c>
      <x:c r="C166" s="11" t="str">
        <x:v>TG103_DOM</x:v>
      </x:c>
      <x:c r="D166" s="11" t="str">
        <x:v>2038-12-31</x:v>
      </x:c>
      <x:c r="E166" s="11" t="str">
        <x:v>CNY</x:v>
      </x:c>
      <x:c r="F166" s="11" t="n">
        <x:v>11.728952772073923</x:v>
      </x:c>
      <x:c r="G166" s="26" t="b">
        <x:v>1</x:v>
      </x:c>
      <x:c r="H166" s="16" t="n">
        <x:v>0.375</x:v>
      </x:c>
      <x:c r="I166" s="16" t="n">
        <x:v>0.675</x:v>
      </x:c>
      <x:c r="J166" s="16" t="n">
        <x:v>1.4400000000000002</x:v>
      </x:c>
      <x:c r="K166" s="11" t="n">
        <x:f>CHOOSE('假设'!$B$3,H166,I166,J166)</x:f>
        <x:v>0.675</x:v>
      </x:c>
      <x:c r="L166" s="11" t="n">
        <x:f>K166*'管线假设'!E43*'管线假设'!F43*'管线假设'!G43*IF(E166="USD",'管线假设'!I43,1)-AM166</x:f>
        <x:v>0.07435800000000001</x:v>
      </x:c>
      <x:c r="M166" s="11" t="n">
        <x:f>'管线假设'!H43</x:f>
        <x:v>0.13</x:v>
      </x:c>
      <x:c r="N166" s="11" t="n">
        <x:f>IF(G166,L166*AN166/(1+M166)^F166,0)</x:f>
        <x:v>0.01773262962645486</x:v>
      </x:c>
      <x:c r="AJ166" t="n">
        <x:v>0</x:v>
      </x:c>
      <x:c r="AK166" t="n">
        <x:v>0</x:v>
      </x:c>
      <x:c r="AL166" t="n">
        <x:v>0</x:v>
      </x:c>
      <x:c r="AM166" t="n">
        <x:f>CHOOSE('假设'!$B$3,AJ166,AK166,AL166)</x:f>
        <x:v>0</x:v>
      </x:c>
      <x:c r="AN166" t="n">
        <x:v>1</x:v>
      </x:c>
    </x:row>
    <x:row r="167" ht="23" customHeight="1">
      <x:c r="A167" s="11" t="str">
        <x:v>01093.HK</x:v>
      </x:c>
      <x:c r="B167" s="11" t="str">
        <x:v>半年</x:v>
      </x:c>
      <x:c r="C167" s="11" t="str">
        <x:v>TG103_DOM</x:v>
      </x:c>
      <x:c r="D167" s="11" t="str">
        <x:v>2039-12-31</x:v>
      </x:c>
      <x:c r="E167" s="11" t="str">
        <x:v>CNY</x:v>
      </x:c>
      <x:c r="F167" s="11" t="n">
        <x:v>12.728268309377139</x:v>
      </x:c>
      <x:c r="G167" s="26" t="b">
        <x:v>1</x:v>
      </x:c>
      <x:c r="H167" s="16" t="n">
        <x:v>0.3</x:v>
      </x:c>
      <x:c r="I167" s="16" t="n">
        <x:v>0.44999999999999996</x:v>
      </x:c>
      <x:c r="J167" s="16" t="n">
        <x:v>0.96</x:v>
      </x:c>
      <x:c r="K167" s="11" t="n">
        <x:f>CHOOSE('假设'!$B$3,H167,I167,J167)</x:f>
        <x:v>0.44999999999999996</x:v>
      </x:c>
      <x:c r="L167" s="11" t="n">
        <x:f>K167*'管线假设'!E43*'管线假设'!F43*'管线假设'!G43*IF(E167="USD",'管线假设'!I43,1)-AM167</x:f>
        <x:v>0.049572</x:v>
      </x:c>
      <x:c r="M167" s="11" t="n">
        <x:f>'管线假设'!H43</x:f>
        <x:v>0.13</x:v>
      </x:c>
      <x:c r="N167" s="11" t="n">
        <x:f>IF(G167,L167*AN167/(1+M167)^F167,0)</x:f>
        <x:v>0.010462603589054457</x:v>
      </x:c>
      <x:c r="AJ167" t="n">
        <x:v>0</x:v>
      </x:c>
      <x:c r="AK167" t="n">
        <x:v>0</x:v>
      </x:c>
      <x:c r="AL167" t="n">
        <x:v>0</x:v>
      </x:c>
      <x:c r="AM167" t="n">
        <x:f>CHOOSE('假设'!$B$3,AJ167,AK167,AL167)</x:f>
        <x:v>0</x:v>
      </x:c>
      <x:c r="AN167" t="n">
        <x:v>1</x:v>
      </x:c>
    </x:row>
    <x:row r="168" ht="23" customHeight="1">
      <x:c r="A168" s="11" t="str">
        <x:v>01093.HK</x:v>
      </x:c>
      <x:c r="B168" s="11" t="str">
        <x:v>半年</x:v>
      </x:c>
      <x:c r="C168" s="11" t="str">
        <x:v>TG103_DOM</x:v>
      </x:c>
      <x:c r="D168" s="11" t="str">
        <x:v>2040-12-31</x:v>
      </x:c>
      <x:c r="E168" s="11" t="str">
        <x:v>CNY</x:v>
      </x:c>
      <x:c r="F168" s="11" t="n">
        <x:v>13.730321697467488</x:v>
      </x:c>
      <x:c r="G168" s="26" t="b">
        <x:v>1</x:v>
      </x:c>
      <x:c r="H168" s="16" t="n">
        <x:v>0.225</x:v>
      </x:c>
      <x:c r="I168" s="16" t="n">
        <x:v>0.27</x:v>
      </x:c>
      <x:c r="J168" s="16" t="n">
        <x:v>0.576</x:v>
      </x:c>
      <x:c r="K168" s="11" t="n">
        <x:f>CHOOSE('假设'!$B$3,H168,I168,J168)</x:f>
        <x:v>0.27</x:v>
      </x:c>
      <x:c r="L168" s="11" t="n">
        <x:f>K168*'管线假设'!E43*'管线假设'!F43*'管线假设'!G43*IF(E168="USD",'管线假设'!I43,1)-AM168</x:f>
        <x:v>0.029743200000000008</x:v>
      </x:c>
      <x:c r="M168" s="11" t="n">
        <x:f>'管线假设'!H43</x:f>
        <x:v>0.13</x:v>
      </x:c>
      <x:c r="N168" s="11" t="n">
        <x:f>IF(G168,L168*AN168/(1+M168)^F168,0)</x:f>
        <x:v>0.005553970736857308</x:v>
      </x:c>
      <x:c r="AJ168" t="n">
        <x:v>0</x:v>
      </x:c>
      <x:c r="AK168" t="n">
        <x:v>0</x:v>
      </x:c>
      <x:c r="AL168" t="n">
        <x:v>0</x:v>
      </x:c>
      <x:c r="AM168" t="n">
        <x:f>CHOOSE('假设'!$B$3,AJ168,AK168,AL168)</x:f>
        <x:v>0</x:v>
      </x:c>
      <x:c r="AN168" t="n">
        <x:v>1</x:v>
      </x:c>
    </x:row>
    <x:row r="169" ht="23" customHeight="1">
      <x:c r="A169" s="11" t="str">
        <x:v>01093.HK</x:v>
      </x:c>
      <x:c r="B169" s="11" t="str">
        <x:v>半年</x:v>
      </x:c>
      <x:c r="C169" s="11" t="str">
        <x:v>TG103_DOM</x:v>
      </x:c>
      <x:c r="D169" s="11" t="str">
        <x:v>2041-12-31</x:v>
      </x:c>
      <x:c r="E169" s="11" t="str">
        <x:v>CNY</x:v>
      </x:c>
      <x:c r="F169" s="11" t="n">
        <x:v>14.729637234770705</x:v>
      </x:c>
      <x:c r="G169" s="26" t="b">
        <x:v>1</x:v>
      </x:c>
      <x:c r="H169" s="16" t="n">
        <x:v>0.15</x:v>
      </x:c>
      <x:c r="I169" s="16" t="n">
        <x:v>0.15000000000000002</x:v>
      </x:c>
      <x:c r="J169" s="16" t="n">
        <x:v>0.32000000000000006</x:v>
      </x:c>
      <x:c r="K169" s="11" t="n">
        <x:f>CHOOSE('假设'!$B$3,H169,I169,J169)</x:f>
        <x:v>0.15000000000000002</x:v>
      </x:c>
      <x:c r="L169" s="11" t="n">
        <x:f>K169*'管线假设'!E43*'管线假设'!F43*'管线假设'!G43*IF(E169="USD",'管线假设'!I43,1)-AM169</x:f>
        <x:v>0.016524000000000004</x:v>
      </x:c>
      <x:c r="M169" s="11" t="n">
        <x:f>'管线假设'!H43</x:f>
        <x:v>0.13</x:v>
      </x:c>
      <x:c r="N169" s="11" t="n">
        <x:f>IF(G169,L169*AN169/(1+M169)^F169,0)</x:f>
        <x:v>0.0027307941813592873</x:v>
      </x:c>
      <x:c r="AJ169" t="n">
        <x:v>0</x:v>
      </x:c>
      <x:c r="AK169" t="n">
        <x:v>0</x:v>
      </x:c>
      <x:c r="AL169" t="n">
        <x:v>0</x:v>
      </x:c>
      <x:c r="AM169" t="n">
        <x:f>CHOOSE('假设'!$B$3,AJ169,AK169,AL169)</x:f>
        <x:v>0</x:v>
      </x:c>
      <x:c r="AN169" t="n">
        <x:v>1</x:v>
      </x:c>
    </x:row>
    <x:row r="170" ht="23" customHeight="1">
      <x:c r="A170" s="11" t="str">
        <x:v>01093.HK</x:v>
      </x:c>
      <x:c r="B170" s="11" t="str">
        <x:v>半年</x:v>
      </x:c>
      <x:c r="C170" s="11" t="str">
        <x:v>TG103_DOM</x:v>
      </x:c>
      <x:c r="D170" s="11" t="str">
        <x:v>2042-12-31</x:v>
      </x:c>
      <x:c r="E170" s="11" t="str">
        <x:v>CNY</x:v>
      </x:c>
      <x:c r="F170" s="11" t="n">
        <x:v>15.728952772073923</x:v>
      </x:c>
      <x:c r="G170" s="26" t="b">
        <x:v>1</x:v>
      </x:c>
      <x:c r="H170" s="16" t="n">
        <x:v>0.09</x:v>
      </x:c>
      <x:c r="I170" s="16" t="n">
        <x:v>0.07500000000000001</x:v>
      </x:c>
      <x:c r="J170" s="16" t="n">
        <x:v>0.16000000000000003</x:v>
      </x:c>
      <x:c r="K170" s="11" t="n">
        <x:f>CHOOSE('假设'!$B$3,H170,I170,J170)</x:f>
        <x:v>0.07500000000000001</x:v>
      </x:c>
      <x:c r="L170" s="11" t="n">
        <x:f>K170*'管线假设'!E43*'管线假设'!F43*'管线假设'!G43*IF(E170="USD",'管线假设'!I43,1)-AM170</x:f>
        <x:v>0.008262000000000002</x:v>
      </x:c>
      <x:c r="M170" s="11" t="n">
        <x:f>'管线假设'!H43</x:f>
        <x:v>0.13</x:v>
      </x:c>
      <x:c r="N170" s="11" t="n">
        <x:f>IF(G170,L170*AN170/(1+M170)^F170,0)</x:f>
        <x:v>0.001208417093434102</x:v>
      </x:c>
      <x:c r="AJ170" t="n">
        <x:v>0</x:v>
      </x:c>
      <x:c r="AK170" t="n">
        <x:v>0</x:v>
      </x:c>
      <x:c r="AL170" t="n">
        <x:v>0</x:v>
      </x:c>
      <x:c r="AM170" t="n">
        <x:f>CHOOSE('假设'!$B$3,AJ170,AK170,AL170)</x:f>
        <x:v>0</x:v>
      </x:c>
      <x:c r="AN170" t="n">
        <x:v>1</x:v>
      </x:c>
    </x:row>
    <x:row r="171" ht="23" customHeight="1">
      <x:c r="A171" s="11" t="str">
        <x:v>01093.HK</x:v>
      </x:c>
      <x:c r="B171" s="11" t="str">
        <x:v>半年</x:v>
      </x:c>
      <x:c r="C171" s="11" t="str">
        <x:v>TG103_DOM</x:v>
      </x:c>
      <x:c r="D171" s="11" t="str">
        <x:v>2043-12-31</x:v>
      </x:c>
      <x:c r="E171" s="11" t="str">
        <x:v>CNY</x:v>
      </x:c>
      <x:c r="F171" s="11" t="n">
        <x:v>16.72826830937714</x:v>
      </x:c>
      <x:c r="G171" s="26" t="b">
        <x:v>1</x:v>
      </x:c>
      <x:c r="H171" s="16" t="n">
        <x:v>0.05</x:v>
      </x:c>
      <x:c r="I171" s="16" t="n">
        <x:v>0.07500000000000001</x:v>
      </x:c>
      <x:c r="J171" s="16" t="n">
        <x:v>0.16000000000000003</x:v>
      </x:c>
      <x:c r="K171" s="11" t="n">
        <x:f>CHOOSE('假设'!$B$3,H171,I171,J171)</x:f>
        <x:v>0.07500000000000001</x:v>
      </x:c>
      <x:c r="L171" s="11" t="n">
        <x:f>K171*'管线假设'!E43*'管线假设'!F43*'管线假设'!G43*IF(E171="USD",'管线假设'!I43,1)-AM171</x:f>
        <x:v>0.008262000000000002</x:v>
      </x:c>
      <x:c r="M171" s="11" t="n">
        <x:f>'管线假设'!H43</x:f>
        <x:v>0.13</x:v>
      </x:c>
      <x:c r="N171" s="11" t="n">
        <x:f>IF(G171,L171*AN171/(1+M171)^F171,0)</x:f>
        <x:v>0.0010694851202420936</x:v>
      </x:c>
      <x:c r="AJ171" t="n">
        <x:v>0</x:v>
      </x:c>
      <x:c r="AK171" t="n">
        <x:v>0</x:v>
      </x:c>
      <x:c r="AL171" t="n">
        <x:v>0</x:v>
      </x:c>
      <x:c r="AM171" t="n">
        <x:f>CHOOSE('假设'!$B$3,AJ171,AK171,AL171)</x:f>
        <x:v>0</x:v>
      </x:c>
      <x:c r="AN171" t="n">
        <x:v>1</x:v>
      </x:c>
    </x:row>
    <x:row r="172" ht="23" customHeight="1">
      <x:c r="A172" s="11" t="str">
        <x:v>01093.HK</x:v>
      </x:c>
      <x:c r="B172" s="11" t="str">
        <x:v>半年</x:v>
      </x:c>
      <x:c r="C172" s="11" t="str">
        <x:v>AZ_OBESITY_EXCHINA</x:v>
      </x:c>
      <x:c r="D172" s="11" t="str">
        <x:v>2029-12-31</x:v>
      </x:c>
      <x:c r="E172" s="11" t="str">
        <x:v>USD</x:v>
      </x:c>
      <x:c r="F172" s="11" t="n">
        <x:v>2.729637234770705</x:v>
      </x:c>
      <x:c r="G172" s="26" t="b">
        <x:v>1</x:v>
      </x:c>
      <x:c r="H172" s="16" t="n">
        <x:v>0</x:v>
      </x:c>
      <x:c r="I172" s="16" t="n">
        <x:v>0</x:v>
      </x:c>
      <x:c r="J172" s="16" t="n">
        <x:v>1.6</x:v>
      </x:c>
      <x:c r="K172" s="11" t="n">
        <x:f>CHOOSE('假设'!$B$3,H172,I172,J172)</x:f>
        <x:v>0</x:v>
      </x:c>
      <x:c r="L172" s="11" t="n">
        <x:f>K172*'管线假设'!E47*'管线假设'!F47*'管线假设'!G47*IF(E172="USD",'管线假设'!I47,1)-AM172</x:f>
        <x:v>0</x:v>
      </x:c>
      <x:c r="M172" s="11" t="n">
        <x:f>'管线假设'!H47</x:f>
        <x:v>0.13</x:v>
      </x:c>
      <x:c r="N172" s="11" t="n">
        <x:f>IF(G172,L172*AN172/(1+M172)^F172,0)</x:f>
        <x:v>0</x:v>
      </x:c>
      <x:c r="AJ172" t="n">
        <x:v>0</x:v>
      </x:c>
      <x:c r="AK172" t="n">
        <x:v>0</x:v>
      </x:c>
      <x:c r="AL172" t="n">
        <x:v>0</x:v>
      </x:c>
      <x:c r="AM172" t="n">
        <x:f>CHOOSE('假设'!$B$3,AJ172,AK172,AL172)</x:f>
        <x:v>0</x:v>
      </x:c>
      <x:c r="AN172" t="n">
        <x:v>1</x:v>
      </x:c>
    </x:row>
    <x:row r="173" ht="23" customHeight="1">
      <x:c r="A173" s="11" t="str">
        <x:v>01093.HK</x:v>
      </x:c>
      <x:c r="B173" s="11" t="str">
        <x:v>半年</x:v>
      </x:c>
      <x:c r="C173" s="11" t="str">
        <x:v>AZ_OBESITY_EXCHINA</x:v>
      </x:c>
      <x:c r="D173" s="11" t="str">
        <x:v>2030-12-31</x:v>
      </x:c>
      <x:c r="E173" s="11" t="str">
        <x:v>USD</x:v>
      </x:c>
      <x:c r="F173" s="11" t="n">
        <x:v>3.728952772073922</x:v>
      </x:c>
      <x:c r="G173" s="26" t="b">
        <x:v>1</x:v>
      </x:c>
      <x:c r="H173" s="16" t="n">
        <x:v>0</x:v>
      </x:c>
      <x:c r="I173" s="16" t="n">
        <x:v>0.72</x:v>
      </x:c>
      <x:c r="J173" s="16" t="n">
        <x:v>5</x:v>
      </x:c>
      <x:c r="K173" s="11" t="n">
        <x:f>CHOOSE('假设'!$B$3,H173,I173,J173)</x:f>
        <x:v>0.72</x:v>
      </x:c>
      <x:c r="L173" s="11" t="n">
        <x:f>K173*'管线假设'!E47*'管线假设'!F47*'管线假设'!G47*IF(E173="USD",'管线假设'!I47,1)-AM173</x:f>
        <x:v>0.07960679999999999</x:v>
      </x:c>
      <x:c r="M173" s="11" t="n">
        <x:f>'管线假设'!H47</x:f>
        <x:v>0.13</x:v>
      </x:c>
      <x:c r="N173" s="11" t="n">
        <x:f>IF(G173,L173*AN173/(1+M173)^F173,0)</x:f>
        <x:v>0.050468820814614804</x:v>
      </x:c>
      <x:c r="AJ173" t="n">
        <x:v>0</x:v>
      </x:c>
      <x:c r="AK173" t="n">
        <x:v>0</x:v>
      </x:c>
      <x:c r="AL173" t="n">
        <x:v>0</x:v>
      </x:c>
      <x:c r="AM173" t="n">
        <x:f>CHOOSE('假设'!$B$3,AJ173,AK173,AL173)</x:f>
        <x:v>0</x:v>
      </x:c>
      <x:c r="AN173" t="n">
        <x:v>1</x:v>
      </x:c>
    </x:row>
    <x:row r="174" ht="23" customHeight="1">
      <x:c r="A174" s="11" t="str">
        <x:v>01093.HK</x:v>
      </x:c>
      <x:c r="B174" s="11" t="str">
        <x:v>半年</x:v>
      </x:c>
      <x:c r="C174" s="11" t="str">
        <x:v>AZ_OBESITY_EXCHINA</x:v>
      </x:c>
      <x:c r="D174" s="11" t="str">
        <x:v>2031-12-31</x:v>
      </x:c>
      <x:c r="E174" s="11" t="str">
        <x:v>USD</x:v>
      </x:c>
      <x:c r="F174" s="11" t="n">
        <x:v>4.728268309377139</x:v>
      </x:c>
      <x:c r="G174" s="26" t="b">
        <x:v>1</x:v>
      </x:c>
      <x:c r="H174" s="16" t="n">
        <x:v>0</x:v>
      </x:c>
      <x:c r="I174" s="16" t="n">
        <x:v>2.25</x:v>
      </x:c>
      <x:c r="J174" s="16" t="n">
        <x:v>9</x:v>
      </x:c>
      <x:c r="K174" s="11" t="n">
        <x:f>CHOOSE('假设'!$B$3,H174,I174,J174)</x:f>
        <x:v>2.25</x:v>
      </x:c>
      <x:c r="L174" s="11" t="n">
        <x:f>K174*'管线假设'!E47*'管线假设'!F47*'管线假设'!G47*IF(E174="USD",'管线假设'!I47,1)-AM174</x:f>
        <x:v>0.24877124999999994</x:v>
      </x:c>
      <x:c r="M174" s="11" t="n">
        <x:f>'管线假设'!H47</x:f>
        <x:v>0.13</x:v>
      </x:c>
      <x:c r="N174" s="11" t="n">
        <x:f>IF(G174,L174*AN174/(1+M174)^F174,0)</x:f>
        <x:v>0.13958253008902635</x:v>
      </x:c>
      <x:c r="AJ174" t="n">
        <x:v>0</x:v>
      </x:c>
      <x:c r="AK174" t="n">
        <x:v>0</x:v>
      </x:c>
      <x:c r="AL174" t="n">
        <x:v>0</x:v>
      </x:c>
      <x:c r="AM174" t="n">
        <x:f>CHOOSE('假设'!$B$3,AJ174,AK174,AL174)</x:f>
        <x:v>0</x:v>
      </x:c>
      <x:c r="AN174" t="n">
        <x:v>1</x:v>
      </x:c>
    </x:row>
    <x:row r="175" ht="23" customHeight="1">
      <x:c r="A175" s="11" t="str">
        <x:v>01093.HK</x:v>
      </x:c>
      <x:c r="B175" s="11" t="str">
        <x:v>半年</x:v>
      </x:c>
      <x:c r="C175" s="11" t="str">
        <x:v>AZ_OBESITY_EXCHINA</x:v>
      </x:c>
      <x:c r="D175" s="11" t="str">
        <x:v>2032-12-31</x:v>
      </x:c>
      <x:c r="E175" s="11" t="str">
        <x:v>USD</x:v>
      </x:c>
      <x:c r="F175" s="11" t="n">
        <x:v>5.730321697467488</x:v>
      </x:c>
      <x:c r="G175" s="26" t="b">
        <x:v>1</x:v>
      </x:c>
      <x:c r="H175" s="16" t="n">
        <x:v>0.24</x:v>
      </x:c>
      <x:c r="I175" s="16" t="n">
        <x:v>4.05</x:v>
      </x:c>
      <x:c r="J175" s="16" t="n">
        <x:v>13</x:v>
      </x:c>
      <x:c r="K175" s="11" t="n">
        <x:f>CHOOSE('假设'!$B$3,H175,I175,J175)</x:f>
        <x:v>4.05</x:v>
      </x:c>
      <x:c r="L175" s="11" t="n">
        <x:f>K175*'管线假设'!E47*'管线假设'!F47*'管线假设'!G47*IF(E175="USD",'管线假设'!I47,1)-AM175</x:f>
        <x:v>0.44778824999999994</x:v>
      </x:c>
      <x:c r="M175" s="11" t="n">
        <x:f>'管线假设'!H47</x:f>
        <x:v>0.13</x:v>
      </x:c>
      <x:c r="N175" s="11" t="n">
        <x:f>IF(G175,L175*AN175/(1+M175)^F175,0)</x:f>
        <x:v>0.22228806077542063</x:v>
      </x:c>
      <x:c r="AJ175" t="n">
        <x:v>0</x:v>
      </x:c>
      <x:c r="AK175" t="n">
        <x:v>0</x:v>
      </x:c>
      <x:c r="AL175" t="n">
        <x:v>0</x:v>
      </x:c>
      <x:c r="AM175" t="n">
        <x:f>CHOOSE('假设'!$B$3,AJ175,AK175,AL175)</x:f>
        <x:v>0</x:v>
      </x:c>
      <x:c r="AN175" t="n">
        <x:v>1</x:v>
      </x:c>
    </x:row>
    <x:row r="176" ht="23" customHeight="1">
      <x:c r="A176" s="11" t="str">
        <x:v>01093.HK</x:v>
      </x:c>
      <x:c r="B176" s="11" t="str">
        <x:v>半年</x:v>
      </x:c>
      <x:c r="C176" s="11" t="str">
        <x:v>AZ_OBESITY_EXCHINA</x:v>
      </x:c>
      <x:c r="D176" s="11" t="str">
        <x:v>2033-12-31</x:v>
      </x:c>
      <x:c r="E176" s="11" t="str">
        <x:v>USD</x:v>
      </x:c>
      <x:c r="F176" s="11" t="n">
        <x:v>6.729637234770705</x:v>
      </x:c>
      <x:c r="G176" s="26" t="b">
        <x:v>1</x:v>
      </x:c>
      <x:c r="H176" s="16" t="n">
        <x:v>0.75</x:v>
      </x:c>
      <x:c r="I176" s="16" t="n">
        <x:v>5.8500000000000005</x:v>
      </x:c>
      <x:c r="J176" s="16" t="n">
        <x:v>17</x:v>
      </x:c>
      <x:c r="K176" s="11" t="n">
        <x:f>CHOOSE('假设'!$B$3,H176,I176,J176)</x:f>
        <x:v>5.8500000000000005</x:v>
      </x:c>
      <x:c r="L176" s="11" t="n">
        <x:f>K176*'管线假设'!E47*'管线假设'!F47*'管线假设'!G47*IF(E176="USD",'管线假设'!I47,1)-AM176</x:f>
        <x:v>0.64680525</x:v>
      </x:c>
      <x:c r="M176" s="11" t="n">
        <x:f>'管线假设'!H47</x:f>
        <x:v>0.13</x:v>
      </x:c>
      <x:c r="N176" s="11" t="n">
        <x:f>IF(G176,L176*AN176/(1+M176)^F176,0)</x:f>
        <x:v>0.28416780110117457</x:v>
      </x:c>
      <x:c r="AJ176" t="n">
        <x:v>0</x:v>
      </x:c>
      <x:c r="AK176" t="n">
        <x:v>0</x:v>
      </x:c>
      <x:c r="AL176" t="n">
        <x:v>0</x:v>
      </x:c>
      <x:c r="AM176" t="n">
        <x:f>CHOOSE('假设'!$B$3,AJ176,AK176,AL176)</x:f>
        <x:v>0</x:v>
      </x:c>
      <x:c r="AN176" t="n">
        <x:v>1</x:v>
      </x:c>
    </x:row>
    <x:row r="177" ht="23" customHeight="1">
      <x:c r="A177" s="11" t="str">
        <x:v>01093.HK</x:v>
      </x:c>
      <x:c r="B177" s="11" t="str">
        <x:v>半年</x:v>
      </x:c>
      <x:c r="C177" s="11" t="str">
        <x:v>AZ_OBESITY_EXCHINA</x:v>
      </x:c>
      <x:c r="D177" s="11" t="str">
        <x:v>2034-12-31</x:v>
      </x:c>
      <x:c r="E177" s="11" t="str">
        <x:v>USD</x:v>
      </x:c>
      <x:c r="F177" s="11" t="n">
        <x:v>7.728952772073922</x:v>
      </x:c>
      <x:c r="G177" s="26" t="b">
        <x:v>1</x:v>
      </x:c>
      <x:c r="H177" s="16" t="n">
        <x:v>1.35</x:v>
      </x:c>
      <x:c r="I177" s="16" t="n">
        <x:v>7.6499999999999995</x:v>
      </x:c>
      <x:c r="J177" s="16" t="n">
        <x:v>20</x:v>
      </x:c>
      <x:c r="K177" s="11" t="n">
        <x:f>CHOOSE('假设'!$B$3,H177,I177,J177)</x:f>
        <x:v>7.6499999999999995</x:v>
      </x:c>
      <x:c r="L177" s="11" t="n">
        <x:f>K177*'管线假设'!E47*'管线假设'!F47*'管线假设'!G47*IF(E177="USD",'管线假设'!I47,1)-AM177</x:f>
        <x:v>0.8458222499999998</x:v>
      </x:c>
      <x:c r="M177" s="11" t="n">
        <x:f>'管线假设'!H47</x:f>
        <x:v>0.13</x:v>
      </x:c>
      <x:c r="N177" s="11" t="n">
        <x:f>IF(G177,L177*AN177/(1+M177)^F177,0)</x:f>
        <x:v>0.3288806503009162</x:v>
      </x:c>
      <x:c r="AJ177" t="n">
        <x:v>0</x:v>
      </x:c>
      <x:c r="AK177" t="n">
        <x:v>0</x:v>
      </x:c>
      <x:c r="AL177" t="n">
        <x:v>0</x:v>
      </x:c>
      <x:c r="AM177" t="n">
        <x:f>CHOOSE('假设'!$B$3,AJ177,AK177,AL177)</x:f>
        <x:v>0</x:v>
      </x:c>
      <x:c r="AN177" t="n">
        <x:v>1</x:v>
      </x:c>
    </x:row>
    <x:row r="178" ht="23" customHeight="1">
      <x:c r="A178" s="11" t="str">
        <x:v>01093.HK</x:v>
      </x:c>
      <x:c r="B178" s="11" t="str">
        <x:v>半年</x:v>
      </x:c>
      <x:c r="C178" s="11" t="str">
        <x:v>AZ_OBESITY_EXCHINA</x:v>
      </x:c>
      <x:c r="D178" s="11" t="str">
        <x:v>2035-12-31</x:v>
      </x:c>
      <x:c r="E178" s="11" t="str">
        <x:v>USD</x:v>
      </x:c>
      <x:c r="F178" s="11" t="n">
        <x:v>8.728268309377139</x:v>
      </x:c>
      <x:c r="G178" s="26" t="b">
        <x:v>1</x:v>
      </x:c>
      <x:c r="H178" s="16" t="n">
        <x:v>1.9500000000000002</x:v>
      </x:c>
      <x:c r="I178" s="16" t="n">
        <x:v>9</x:v>
      </x:c>
      <x:c r="J178" s="16" t="n">
        <x:v>20</x:v>
      </x:c>
      <x:c r="K178" s="11" t="n">
        <x:f>CHOOSE('假设'!$B$3,H178,I178,J178)</x:f>
        <x:v>9</x:v>
      </x:c>
      <x:c r="L178" s="11" t="n">
        <x:f>K178*'管线假设'!E47*'管线假设'!F47*'管线假设'!G47*IF(E178="USD",'管线假设'!I47,1)-AM178</x:f>
        <x:v>0.9950849999999998</x:v>
      </x:c>
      <x:c r="M178" s="11" t="n">
        <x:f>'管线假设'!H47</x:f>
        <x:v>0.13</x:v>
      </x:c>
      <x:c r="N178" s="11" t="n">
        <x:f>IF(G178,L178*AN178/(1+M178)^F178,0)</x:f>
        <x:v>0.3424343190418799</x:v>
      </x:c>
      <x:c r="AJ178" t="n">
        <x:v>0</x:v>
      </x:c>
      <x:c r="AK178" t="n">
        <x:v>0</x:v>
      </x:c>
      <x:c r="AL178" t="n">
        <x:v>0</x:v>
      </x:c>
      <x:c r="AM178" t="n">
        <x:f>CHOOSE('假设'!$B$3,AJ178,AK178,AL178)</x:f>
        <x:v>0</x:v>
      </x:c>
      <x:c r="AN178" t="n">
        <x:v>1</x:v>
      </x:c>
    </x:row>
    <x:row r="179" ht="23" customHeight="1">
      <x:c r="A179" s="11" t="str">
        <x:v>01093.HK</x:v>
      </x:c>
      <x:c r="B179" s="11" t="str">
        <x:v>半年</x:v>
      </x:c>
      <x:c r="C179" s="11" t="str">
        <x:v>AZ_OBESITY_EXCHINA</x:v>
      </x:c>
      <x:c r="D179" s="11" t="str">
        <x:v>2036-12-31</x:v>
      </x:c>
      <x:c r="E179" s="11" t="str">
        <x:v>USD</x:v>
      </x:c>
      <x:c r="F179" s="11" t="n">
        <x:v>9.730321697467488</x:v>
      </x:c>
      <x:c r="G179" s="26" t="b">
        <x:v>1</x:v>
      </x:c>
      <x:c r="H179" s="16" t="n">
        <x:v>2.55</x:v>
      </x:c>
      <x:c r="I179" s="16" t="n">
        <x:v>9</x:v>
      </x:c>
      <x:c r="J179" s="16" t="n">
        <x:v>19</x:v>
      </x:c>
      <x:c r="K179" s="11" t="n">
        <x:f>CHOOSE('假设'!$B$3,H179,I179,J179)</x:f>
        <x:v>9</x:v>
      </x:c>
      <x:c r="L179" s="11" t="n">
        <x:f>K179*'管线假设'!E47*'管线假设'!F47*'管线假设'!G47*IF(E179="USD",'管线假设'!I47,1)-AM179</x:f>
        <x:v>0.9950849999999998</x:v>
      </x:c>
      <x:c r="M179" s="11" t="n">
        <x:f>'管线假设'!H47</x:f>
        <x:v>0.13</x:v>
      </x:c>
      <x:c r="N179" s="11" t="n">
        <x:f>IF(G179,L179*AN179/(1+M179)^F179,0)</x:f>
        <x:v>0.3029631791402154</x:v>
      </x:c>
      <x:c r="AJ179" t="n">
        <x:v>0</x:v>
      </x:c>
      <x:c r="AK179" t="n">
        <x:v>0</x:v>
      </x:c>
      <x:c r="AL179" t="n">
        <x:v>0</x:v>
      </x:c>
      <x:c r="AM179" t="n">
        <x:f>CHOOSE('假设'!$B$3,AJ179,AK179,AL179)</x:f>
        <x:v>0</x:v>
      </x:c>
      <x:c r="AN179" t="n">
        <x:v>1</x:v>
      </x:c>
    </x:row>
    <x:row r="180" ht="23" customHeight="1">
      <x:c r="A180" s="11" t="str">
        <x:v>01093.HK</x:v>
      </x:c>
      <x:c r="B180" s="11" t="str">
        <x:v>半年</x:v>
      </x:c>
      <x:c r="C180" s="11" t="str">
        <x:v>AZ_OBESITY_EXCHINA</x:v>
      </x:c>
      <x:c r="D180" s="11" t="str">
        <x:v>2037-12-31</x:v>
      </x:c>
      <x:c r="E180" s="11" t="str">
        <x:v>USD</x:v>
      </x:c>
      <x:c r="F180" s="11" t="n">
        <x:v>10.729637234770705</x:v>
      </x:c>
      <x:c r="G180" s="26" t="b">
        <x:v>1</x:v>
      </x:c>
      <x:c r="H180" s="16" t="n">
        <x:v>3</x:v>
      </x:c>
      <x:c r="I180" s="16" t="n">
        <x:v>8.549999999999999</x:v>
      </x:c>
      <x:c r="J180" s="16" t="n">
        <x:v>17.6</x:v>
      </x:c>
      <x:c r="K180" s="11" t="n">
        <x:f>CHOOSE('假设'!$B$3,H180,I180,J180)</x:f>
        <x:v>8.549999999999999</x:v>
      </x:c>
      <x:c r="L180" s="11" t="n">
        <x:f>K180*'管线假设'!E47*'管线假设'!F47*'管线假设'!G47*IF(E180="USD",'管线假设'!I47,1)-AM180</x:f>
        <x:v>0.9453307499999997</x:v>
      </x:c>
      <x:c r="M180" s="11" t="n">
        <x:f>'管线假设'!H47</x:f>
        <x:v>0.13</x:v>
      </x:c>
      <x:c r="N180" s="11" t="n">
        <x:f>IF(G180,L180*AN180/(1+M180)^F180,0)</x:f>
        <x:v>0.25472486539673483</x:v>
      </x:c>
      <x:c r="AJ180" t="n">
        <x:v>0</x:v>
      </x:c>
      <x:c r="AK180" t="n">
        <x:v>0</x:v>
      </x:c>
      <x:c r="AL180" t="n">
        <x:v>0</x:v>
      </x:c>
      <x:c r="AM180" t="n">
        <x:f>CHOOSE('假设'!$B$3,AJ180,AK180,AL180)</x:f>
        <x:v>0</x:v>
      </x:c>
      <x:c r="AN180" t="n">
        <x:v>1</x:v>
      </x:c>
    </x:row>
    <x:row r="181" ht="23" customHeight="1">
      <x:c r="A181" s="11" t="str">
        <x:v>01093.HK</x:v>
      </x:c>
      <x:c r="B181" s="11" t="str">
        <x:v>半年</x:v>
      </x:c>
      <x:c r="C181" s="11" t="str">
        <x:v>AZ_OBESITY_EXCHINA</x:v>
      </x:c>
      <x:c r="D181" s="11" t="str">
        <x:v>2038-12-31</x:v>
      </x:c>
      <x:c r="E181" s="11" t="str">
        <x:v>USD</x:v>
      </x:c>
      <x:c r="F181" s="11" t="n">
        <x:v>11.728952772073923</x:v>
      </x:c>
      <x:c r="G181" s="26" t="b">
        <x:v>1</x:v>
      </x:c>
      <x:c r="H181" s="16" t="n">
        <x:v>3</x:v>
      </x:c>
      <x:c r="I181" s="16" t="n">
        <x:v>7.92</x:v>
      </x:c>
      <x:c r="J181" s="16" t="n">
        <x:v>15</x:v>
      </x:c>
      <x:c r="K181" s="11" t="n">
        <x:f>CHOOSE('假设'!$B$3,H181,I181,J181)</x:f>
        <x:v>7.92</x:v>
      </x:c>
      <x:c r="L181" s="11" t="n">
        <x:f>K181*'管线假设'!E47*'管线假设'!F47*'管线假设'!G47*IF(E181="USD",'管线假设'!I47,1)-AM181</x:f>
        <x:v>0.8756748</x:v>
      </x:c>
      <x:c r="M181" s="11" t="n">
        <x:f>'管线假设'!H47</x:f>
        <x:v>0.13</x:v>
      </x:c>
      <x:c r="N181" s="11" t="n">
        <x:f>IF(G181,L181*AN181/(1+M181)^F181,0)</x:f>
        <x:v>0.20882779124801543</x:v>
      </x:c>
      <x:c r="AJ181" t="n">
        <x:v>0</x:v>
      </x:c>
      <x:c r="AK181" t="n">
        <x:v>0</x:v>
      </x:c>
      <x:c r="AL181" t="n">
        <x:v>0</x:v>
      </x:c>
      <x:c r="AM181" t="n">
        <x:f>CHOOSE('假设'!$B$3,AJ181,AK181,AL181)</x:f>
        <x:v>0</x:v>
      </x:c>
      <x:c r="AN181" t="n">
        <x:v>1</x:v>
      </x:c>
    </x:row>
    <x:row r="182" ht="23" customHeight="1">
      <x:c r="A182" s="11" t="str">
        <x:v>01093.HK</x:v>
      </x:c>
      <x:c r="B182" s="11" t="str">
        <x:v>半年</x:v>
      </x:c>
      <x:c r="C182" s="11" t="str">
        <x:v>AZ_OBESITY_EXCHINA</x:v>
      </x:c>
      <x:c r="D182" s="11" t="str">
        <x:v>2039-12-31</x:v>
      </x:c>
      <x:c r="E182" s="11" t="str">
        <x:v>USD</x:v>
      </x:c>
      <x:c r="F182" s="11" t="n">
        <x:v>12.728268309377139</x:v>
      </x:c>
      <x:c r="G182" s="26" t="b">
        <x:v>1</x:v>
      </x:c>
      <x:c r="H182" s="16" t="n">
        <x:v>2.8499999999999996</x:v>
      </x:c>
      <x:c r="I182" s="16" t="n">
        <x:v>6.75</x:v>
      </x:c>
      <x:c r="J182" s="16" t="n">
        <x:v>12</x:v>
      </x:c>
      <x:c r="K182" s="11" t="n">
        <x:f>CHOOSE('假设'!$B$3,H182,I182,J182)</x:f>
        <x:v>6.75</x:v>
      </x:c>
      <x:c r="L182" s="11" t="n">
        <x:f>K182*'管线假设'!E47*'管线假设'!F47*'管线假设'!G47*IF(E182="USD",'管线假设'!I47,1)-AM182</x:f>
        <x:v>0.7463137499999999</x:v>
      </x:c>
      <x:c r="M182" s="11" t="n">
        <x:f>'管线假设'!H47</x:f>
        <x:v>0.13</x:v>
      </x:c>
      <x:c r="N182" s="11" t="n">
        <x:f>IF(G182,L182*AN182/(1+M182)^F182,0)</x:f>
        <x:v>0.1575160356513897</x:v>
      </x:c>
      <x:c r="AJ182" t="n">
        <x:v>0</x:v>
      </x:c>
      <x:c r="AK182" t="n">
        <x:v>0</x:v>
      </x:c>
      <x:c r="AL182" t="n">
        <x:v>0</x:v>
      </x:c>
      <x:c r="AM182" t="n">
        <x:f>CHOOSE('假设'!$B$3,AJ182,AK182,AL182)</x:f>
        <x:v>0</x:v>
      </x:c>
      <x:c r="AN182" t="n">
        <x:v>1</x:v>
      </x:c>
    </x:row>
    <x:row r="183" ht="23" customHeight="1">
      <x:c r="A183" s="11" t="str">
        <x:v>01093.HK</x:v>
      </x:c>
      <x:c r="B183" s="11" t="str">
        <x:v>半年</x:v>
      </x:c>
      <x:c r="C183" s="11" t="str">
        <x:v>AZ_OBESITY_EXCHINA</x:v>
      </x:c>
      <x:c r="D183" s="11" t="str">
        <x:v>2040-12-31</x:v>
      </x:c>
      <x:c r="E183" s="11" t="str">
        <x:v>USD</x:v>
      </x:c>
      <x:c r="F183" s="11" t="n">
        <x:v>13.730321697467488</x:v>
      </x:c>
      <x:c r="G183" s="26" t="b">
        <x:v>1</x:v>
      </x:c>
      <x:c r="H183" s="16" t="n">
        <x:v>2.64</x:v>
      </x:c>
      <x:c r="I183" s="16" t="n">
        <x:v>5.3999999999999995</x:v>
      </x:c>
      <x:c r="J183" s="16" t="n">
        <x:v>9</x:v>
      </x:c>
      <x:c r="K183" s="11" t="n">
        <x:f>CHOOSE('假设'!$B$3,H183,I183,J183)</x:f>
        <x:v>5.3999999999999995</x:v>
      </x:c>
      <x:c r="L183" s="11" t="n">
        <x:f>K183*'管线假设'!E47*'管线假设'!F47*'管线假设'!G47*IF(E183="USD",'管线假设'!I47,1)-AM183</x:f>
        <x:v>0.597051</x:v>
      </x:c>
      <x:c r="M183" s="11" t="n">
        <x:f>'管线假设'!H47</x:f>
        <x:v>0.13</x:v>
      </x:c>
      <x:c r="N183" s="11" t="n">
        <x:f>IF(G183,L183*AN183/(1+M183)^F183,0)</x:f>
        <x:v>0.11148779493838563</x:v>
      </x:c>
      <x:c r="AJ183" t="n">
        <x:v>0</x:v>
      </x:c>
      <x:c r="AK183" t="n">
        <x:v>0</x:v>
      </x:c>
      <x:c r="AL183" t="n">
        <x:v>0</x:v>
      </x:c>
      <x:c r="AM183" t="n">
        <x:f>CHOOSE('假设'!$B$3,AJ183,AK183,AL183)</x:f>
        <x:v>0</x:v>
      </x:c>
      <x:c r="AN183" t="n">
        <x:v>1</x:v>
      </x:c>
    </x:row>
    <x:row r="184" ht="23" customHeight="1">
      <x:c r="A184" s="11" t="str">
        <x:v>01093.HK</x:v>
      </x:c>
      <x:c r="B184" s="11" t="str">
        <x:v>半年</x:v>
      </x:c>
      <x:c r="C184" s="11" t="str">
        <x:v>AZ_OBESITY_EXCHINA</x:v>
      </x:c>
      <x:c r="D184" s="11" t="str">
        <x:v>2041-12-31</x:v>
      </x:c>
      <x:c r="E184" s="11" t="str">
        <x:v>USD</x:v>
      </x:c>
      <x:c r="F184" s="11" t="n">
        <x:v>14.729637234770705</x:v>
      </x:c>
      <x:c r="G184" s="26" t="b">
        <x:v>1</x:v>
      </x:c>
      <x:c r="H184" s="16" t="n">
        <x:v>2.25</x:v>
      </x:c>
      <x:c r="I184" s="16" t="n">
        <x:v>4.05</x:v>
      </x:c>
      <x:c r="J184" s="16" t="n">
        <x:v>6</x:v>
      </x:c>
      <x:c r="K184" s="11" t="n">
        <x:f>CHOOSE('假设'!$B$3,H184,I184,J184)</x:f>
        <x:v>4.05</x:v>
      </x:c>
      <x:c r="L184" s="11" t="n">
        <x:f>K184*'管线假设'!E47*'管线假设'!F47*'管线假设'!G47*IF(E184="USD",'管线假设'!I47,1)-AM184</x:f>
        <x:v>0.44778824999999994</x:v>
      </x:c>
      <x:c r="M184" s="11" t="n">
        <x:f>'管线假设'!H47</x:f>
        <x:v>0.13</x:v>
      </x:c>
      <x:c r="N184" s="11" t="n">
        <x:f>IF(G184,L184*AN184/(1+M184)^F184,0)</x:f>
        <x:v>0.0740025143779386</x:v>
      </x:c>
      <x:c r="AJ184" t="n">
        <x:v>0</x:v>
      </x:c>
      <x:c r="AK184" t="n">
        <x:v>0</x:v>
      </x:c>
      <x:c r="AL184" t="n">
        <x:v>0</x:v>
      </x:c>
      <x:c r="AM184" t="n">
        <x:f>CHOOSE('假设'!$B$3,AJ184,AK184,AL184)</x:f>
        <x:v>0</x:v>
      </x:c>
      <x:c r="AN184" t="n">
        <x:v>1</x:v>
      </x:c>
    </x:row>
    <x:row r="185" ht="23" customHeight="1">
      <x:c r="A185" s="11" t="str">
        <x:v>01093.HK</x:v>
      </x:c>
      <x:c r="B185" s="11" t="str">
        <x:v>半年</x:v>
      </x:c>
      <x:c r="C185" s="11" t="str">
        <x:v>AZ_OBESITY_EXCHINA</x:v>
      </x:c>
      <x:c r="D185" s="11" t="str">
        <x:v>2042-12-31</x:v>
      </x:c>
      <x:c r="E185" s="11" t="str">
        <x:v>USD</x:v>
      </x:c>
      <x:c r="F185" s="11" t="n">
        <x:v>15.728952772073923</x:v>
      </x:c>
      <x:c r="G185" s="26" t="b">
        <x:v>1</x:v>
      </x:c>
      <x:c r="H185" s="16" t="n">
        <x:v>1.7999999999999998</x:v>
      </x:c>
      <x:c r="I185" s="16" t="n">
        <x:v>2.6999999999999997</x:v>
      </x:c>
      <x:c r="J185" s="16" t="n">
        <x:v>3.5999999999999996</x:v>
      </x:c>
      <x:c r="K185" s="11" t="n">
        <x:f>CHOOSE('假设'!$B$3,H185,I185,J185)</x:f>
        <x:v>2.6999999999999997</x:v>
      </x:c>
      <x:c r="L185" s="11" t="n">
        <x:f>K185*'管线假设'!E47*'管线假设'!F47*'管线假设'!G47*IF(E185="USD",'管线假设'!I47,1)-AM185</x:f>
        <x:v>0.2985255</x:v>
      </x:c>
      <x:c r="M185" s="11" t="n">
        <x:f>'管线假设'!H47</x:f>
        <x:v>0.13</x:v>
      </x:c>
      <x:c r="N185" s="11" t="n">
        <x:f>IF(G185,L185*AN185/(1+M185)^F185,0)</x:f>
        <x:v>0.04366295292011159</x:v>
      </x:c>
      <x:c r="AJ185" t="n">
        <x:v>0</x:v>
      </x:c>
      <x:c r="AK185" t="n">
        <x:v>0</x:v>
      </x:c>
      <x:c r="AL185" t="n">
        <x:v>0</x:v>
      </x:c>
      <x:c r="AM185" t="n">
        <x:f>CHOOSE('假设'!$B$3,AJ185,AK185,AL185)</x:f>
        <x:v>0</x:v>
      </x:c>
      <x:c r="AN185" t="n">
        <x:v>1</x:v>
      </x:c>
    </x:row>
    <x:row r="186" ht="23" customHeight="1">
      <x:c r="A186" s="11" t="str">
        <x:v>01093.HK</x:v>
      </x:c>
      <x:c r="B186" s="11" t="str">
        <x:v>半年</x:v>
      </x:c>
      <x:c r="C186" s="11" t="str">
        <x:v>AZ_OBESITY_EXCHINA</x:v>
      </x:c>
      <x:c r="D186" s="11" t="str">
        <x:v>2043-12-31</x:v>
      </x:c>
      <x:c r="E186" s="11" t="str">
        <x:v>USD</x:v>
      </x:c>
      <x:c r="F186" s="11" t="n">
        <x:v>16.72826830937714</x:v>
      </x:c>
      <x:c r="G186" s="26" t="b">
        <x:v>1</x:v>
      </x:c>
      <x:c r="H186" s="16" t="n">
        <x:v>1.35</x:v>
      </x:c>
      <x:c r="I186" s="16" t="n">
        <x:v>1.6199999999999999</x:v>
      </x:c>
      <x:c r="J186" s="16" t="n">
        <x:v>2</x:v>
      </x:c>
      <x:c r="K186" s="11" t="n">
        <x:f>CHOOSE('假设'!$B$3,H186,I186,J186)</x:f>
        <x:v>1.6199999999999999</x:v>
      </x:c>
      <x:c r="L186" s="11" t="n">
        <x:f>K186*'管线假设'!E47*'管线假设'!F47*'管线假设'!G47*IF(E186="USD",'管线假设'!I47,1)-AM186</x:f>
        <x:v>0.17911529999999998</x:v>
      </x:c>
      <x:c r="M186" s="11" t="n">
        <x:f>'管线假设'!H47</x:f>
        <x:v>0.13</x:v>
      </x:c>
      <x:c r="N186" s="11" t="n">
        <x:f>IF(G186,L186*AN186/(1+M186)^F186,0)</x:f>
        <x:v>0.02318580829795432</x:v>
      </x:c>
      <x:c r="AJ186" t="n">
        <x:v>0</x:v>
      </x:c>
      <x:c r="AK186" t="n">
        <x:v>0</x:v>
      </x:c>
      <x:c r="AL186" t="n">
        <x:v>0</x:v>
      </x:c>
      <x:c r="AM186" t="n">
        <x:f>CHOOSE('假设'!$B$3,AJ186,AK186,AL186)</x:f>
        <x:v>0</x:v>
      </x:c>
      <x:c r="AN186" t="n">
        <x:v>1</x:v>
      </x:c>
    </x:row>
    <x:row r="187" ht="23" customHeight="1">
      <x:c r="A187" s="11" t="str">
        <x:v>01093.HK</x:v>
      </x:c>
      <x:c r="B187" s="11" t="str">
        <x:v>半年</x:v>
      </x:c>
      <x:c r="C187" s="11" t="str">
        <x:v>OTHER_OVERSEAS</x:v>
      </x:c>
      <x:c r="D187" s="11" t="str">
        <x:v>2030-12-31</x:v>
      </x:c>
      <x:c r="E187" s="11" t="str">
        <x:v>USD</x:v>
      </x:c>
      <x:c r="F187" s="11" t="n">
        <x:v>3.728952772073922</x:v>
      </x:c>
      <x:c r="G187" s="26" t="b">
        <x:v>1</x:v>
      </x:c>
      <x:c r="H187" s="16" t="n">
        <x:v>0</x:v>
      </x:c>
      <x:c r="I187" s="16" t="n">
        <x:v>0</x:v>
      </x:c>
      <x:c r="J187" s="16" t="n">
        <x:v>0.72</x:v>
      </x:c>
      <x:c r="K187" s="11" t="n">
        <x:f>CHOOSE('假设'!$B$3,H187,I187,J187)</x:f>
        <x:v>0</x:v>
      </x:c>
      <x:c r="L187" s="11" t="n">
        <x:f>K187*'管线假设'!E51*'管线假设'!F51*'管线假设'!G51*IF(E187="USD",'管线假设'!I51,1)-AM187</x:f>
        <x:v>0</x:v>
      </x:c>
      <x:c r="M187" s="11" t="n">
        <x:f>'管线假设'!H51</x:f>
        <x:v>0.13</x:v>
      </x:c>
      <x:c r="N187" s="11" t="n">
        <x:f>IF(G187,L187*AN187/(1+M187)^F187,0)</x:f>
        <x:v>0</x:v>
      </x:c>
      <x:c r="AJ187" t="n">
        <x:v>0</x:v>
      </x:c>
      <x:c r="AK187" t="n">
        <x:v>0</x:v>
      </x:c>
      <x:c r="AL187" t="n">
        <x:v>0</x:v>
      </x:c>
      <x:c r="AM187" t="n">
        <x:f>CHOOSE('假设'!$B$3,AJ187,AK187,AL187)</x:f>
        <x:v>0</x:v>
      </x:c>
      <x:c r="AN187" t="n">
        <x:v>1</x:v>
      </x:c>
    </x:row>
    <x:row r="188" ht="23" customHeight="1">
      <x:c r="A188" s="11" t="str">
        <x:v>01093.HK</x:v>
      </x:c>
      <x:c r="B188" s="11" t="str">
        <x:v>半年</x:v>
      </x:c>
      <x:c r="C188" s="11" t="str">
        <x:v>OTHER_OVERSEAS</x:v>
      </x:c>
      <x:c r="D188" s="11" t="str">
        <x:v>2031-12-31</x:v>
      </x:c>
      <x:c r="E188" s="11" t="str">
        <x:v>USD</x:v>
      </x:c>
      <x:c r="F188" s="11" t="n">
        <x:v>4.728268309377139</x:v>
      </x:c>
      <x:c r="G188" s="26" t="b">
        <x:v>1</x:v>
      </x:c>
      <x:c r="H188" s="16" t="n">
        <x:v>0</x:v>
      </x:c>
      <x:c r="I188" s="16" t="n">
        <x:v>0.32</x:v>
      </x:c>
      <x:c r="J188" s="16" t="n">
        <x:v>2.25</x:v>
      </x:c>
      <x:c r="K188" s="11" t="n">
        <x:f>CHOOSE('假设'!$B$3,H188,I188,J188)</x:f>
        <x:v>0.32</x:v>
      </x:c>
      <x:c r="L188" s="11" t="n">
        <x:f>K188*'管线假设'!E51*'管线假设'!F51*'管线假设'!G51*IF(E188="USD",'管线假设'!I51,1)-AM188</x:f>
        <x:v>0.015095808000000002</x:v>
      </x:c>
      <x:c r="M188" s="11" t="n">
        <x:f>'管线假设'!H51</x:f>
        <x:v>0.13</x:v>
      </x:c>
      <x:c r="N188" s="11" t="n">
        <x:f>IF(G188,L188*AN188/(1+M188)^F188,0)</x:f>
        <x:v>0.008470074714735588</x:v>
      </x:c>
      <x:c r="AJ188" t="n">
        <x:v>0</x:v>
      </x:c>
      <x:c r="AK188" t="n">
        <x:v>0</x:v>
      </x:c>
      <x:c r="AL188" t="n">
        <x:v>0</x:v>
      </x:c>
      <x:c r="AM188" t="n">
        <x:f>CHOOSE('假设'!$B$3,AJ188,AK188,AL188)</x:f>
        <x:v>0</x:v>
      </x:c>
      <x:c r="AN188" t="n">
        <x:v>1</x:v>
      </x:c>
    </x:row>
    <x:row r="189" ht="23" customHeight="1">
      <x:c r="A189" s="11" t="str">
        <x:v>01093.HK</x:v>
      </x:c>
      <x:c r="B189" s="11" t="str">
        <x:v>半年</x:v>
      </x:c>
      <x:c r="C189" s="11" t="str">
        <x:v>OTHER_OVERSEAS</x:v>
      </x:c>
      <x:c r="D189" s="11" t="str">
        <x:v>2032-12-31</x:v>
      </x:c>
      <x:c r="E189" s="11" t="str">
        <x:v>USD</x:v>
      </x:c>
      <x:c r="F189" s="11" t="n">
        <x:v>5.730321697467488</x:v>
      </x:c>
      <x:c r="G189" s="26" t="b">
        <x:v>1</x:v>
      </x:c>
      <x:c r="H189" s="16" t="n">
        <x:v>0</x:v>
      </x:c>
      <x:c r="I189" s="16" t="n">
        <x:v>1</x:v>
      </x:c>
      <x:c r="J189" s="16" t="n">
        <x:v>4.05</x:v>
      </x:c>
      <x:c r="K189" s="11" t="n">
        <x:f>CHOOSE('假设'!$B$3,H189,I189,J189)</x:f>
        <x:v>1</x:v>
      </x:c>
      <x:c r="L189" s="11" t="n">
        <x:f>K189*'管线假设'!E51*'管线假设'!F51*'管线假设'!G51*IF(E189="USD",'管线假设'!I51,1)-AM189</x:f>
        <x:v>0.0471744</x:v>
      </x:c>
      <x:c r="M189" s="11" t="n">
        <x:f>'管线假设'!H51</x:f>
        <x:v>0.13</x:v>
      </x:c>
      <x:c r="N189" s="11" t="n">
        <x:f>IF(G189,L189*AN189/(1+M189)^F189,0)</x:f>
        <x:v>0.023418001464406455</x:v>
      </x:c>
      <x:c r="AJ189" t="n">
        <x:v>0</x:v>
      </x:c>
      <x:c r="AK189" t="n">
        <x:v>0</x:v>
      </x:c>
      <x:c r="AL189" t="n">
        <x:v>0</x:v>
      </x:c>
      <x:c r="AM189" t="n">
        <x:f>CHOOSE('假设'!$B$3,AJ189,AK189,AL189)</x:f>
        <x:v>0</x:v>
      </x:c>
      <x:c r="AN189" t="n">
        <x:v>1</x:v>
      </x:c>
    </x:row>
    <x:row r="190" ht="23" customHeight="1">
      <x:c r="A190" s="11" t="str">
        <x:v>01093.HK</x:v>
      </x:c>
      <x:c r="B190" s="11" t="str">
        <x:v>半年</x:v>
      </x:c>
      <x:c r="C190" s="11" t="str">
        <x:v>OTHER_OVERSEAS</x:v>
      </x:c>
      <x:c r="D190" s="11" t="str">
        <x:v>2033-12-31</x:v>
      </x:c>
      <x:c r="E190" s="11" t="str">
        <x:v>USD</x:v>
      </x:c>
      <x:c r="F190" s="11" t="n">
        <x:v>6.729637234770705</x:v>
      </x:c>
      <x:c r="G190" s="26" t="b">
        <x:v>1</x:v>
      </x:c>
      <x:c r="H190" s="16" t="n">
        <x:v>0.12</x:v>
      </x:c>
      <x:c r="I190" s="16" t="n">
        <x:v>1.8</x:v>
      </x:c>
      <x:c r="J190" s="16" t="n">
        <x:v>5.8500000000000005</x:v>
      </x:c>
      <x:c r="K190" s="11" t="n">
        <x:f>CHOOSE('假设'!$B$3,H190,I190,J190)</x:f>
        <x:v>1.8</x:v>
      </x:c>
      <x:c r="L190" s="11" t="n">
        <x:f>K190*'管线假设'!E51*'管线假设'!F51*'管线假设'!G51*IF(E190="USD",'管线假设'!I51,1)-AM190</x:f>
        <x:v>0.08491392000000002</x:v>
      </x:c>
      <x:c r="M190" s="11" t="n">
        <x:f>'管线假设'!H51</x:f>
        <x:v>0.13</x:v>
      </x:c>
      <x:c r="N190" s="11" t="n">
        <x:f>IF(G190,L190*AN190/(1+M190)^F190,0)</x:f>
        <x:v>0.03730613183687216</x:v>
      </x:c>
      <x:c r="AJ190" t="n">
        <x:v>0</x:v>
      </x:c>
      <x:c r="AK190" t="n">
        <x:v>0</x:v>
      </x:c>
      <x:c r="AL190" t="n">
        <x:v>0</x:v>
      </x:c>
      <x:c r="AM190" t="n">
        <x:f>CHOOSE('假设'!$B$3,AJ190,AK190,AL190)</x:f>
        <x:v>0</x:v>
      </x:c>
      <x:c r="AN190" t="n">
        <x:v>1</x:v>
      </x:c>
    </x:row>
    <x:row r="191" ht="23" customHeight="1">
      <x:c r="A191" s="11" t="str">
        <x:v>01093.HK</x:v>
      </x:c>
      <x:c r="B191" s="11" t="str">
        <x:v>半年</x:v>
      </x:c>
      <x:c r="C191" s="11" t="str">
        <x:v>OTHER_OVERSEAS</x:v>
      </x:c>
      <x:c r="D191" s="11" t="str">
        <x:v>2034-12-31</x:v>
      </x:c>
      <x:c r="E191" s="11" t="str">
        <x:v>USD</x:v>
      </x:c>
      <x:c r="F191" s="11" t="n">
        <x:v>7.728952772073922</x:v>
      </x:c>
      <x:c r="G191" s="26" t="b">
        <x:v>1</x:v>
      </x:c>
      <x:c r="H191" s="16" t="n">
        <x:v>0.375</x:v>
      </x:c>
      <x:c r="I191" s="16" t="n">
        <x:v>2.6</x:v>
      </x:c>
      <x:c r="J191" s="16" t="n">
        <x:v>7.6499999999999995</x:v>
      </x:c>
      <x:c r="K191" s="11" t="n">
        <x:f>CHOOSE('假设'!$B$3,H191,I191,J191)</x:f>
        <x:v>2.6</x:v>
      </x:c>
      <x:c r="L191" s="11" t="n">
        <x:f>K191*'管线假设'!E51*'管线假设'!F51*'管线假设'!G51*IF(E191="USD",'管线假设'!I51,1)-AM191</x:f>
        <x:v>0.12265344000000003</x:v>
      </x:c>
      <x:c r="M191" s="11" t="n">
        <x:f>'管线假设'!H51</x:f>
        <x:v>0.13</x:v>
      </x:c>
      <x:c r="N191" s="11" t="n">
        <x:f>IF(G191,L191*AN191/(1+M191)^F191,0)</x:f>
        <x:v>0.04769127687152286</x:v>
      </x:c>
      <x:c r="AJ191" t="n">
        <x:v>0</x:v>
      </x:c>
      <x:c r="AK191" t="n">
        <x:v>0</x:v>
      </x:c>
      <x:c r="AL191" t="n">
        <x:v>0</x:v>
      </x:c>
      <x:c r="AM191" t="n">
        <x:f>CHOOSE('假设'!$B$3,AJ191,AK191,AL191)</x:f>
        <x:v>0</x:v>
      </x:c>
      <x:c r="AN191" t="n">
        <x:v>1</x:v>
      </x:c>
    </x:row>
    <x:row r="192" ht="23" customHeight="1">
      <x:c r="A192" s="11" t="str">
        <x:v>01093.HK</x:v>
      </x:c>
      <x:c r="B192" s="11" t="str">
        <x:v>半年</x:v>
      </x:c>
      <x:c r="C192" s="11" t="str">
        <x:v>OTHER_OVERSEAS</x:v>
      </x:c>
      <x:c r="D192" s="11" t="str">
        <x:v>2035-12-31</x:v>
      </x:c>
      <x:c r="E192" s="11" t="str">
        <x:v>USD</x:v>
      </x:c>
      <x:c r="F192" s="11" t="n">
        <x:v>8.728268309377139</x:v>
      </x:c>
      <x:c r="G192" s="26" t="b">
        <x:v>1</x:v>
      </x:c>
      <x:c r="H192" s="16" t="n">
        <x:v>0.675</x:v>
      </x:c>
      <x:c r="I192" s="16" t="n">
        <x:v>3.4</x:v>
      </x:c>
      <x:c r="J192" s="16" t="n">
        <x:v>9</x:v>
      </x:c>
      <x:c r="K192" s="11" t="n">
        <x:f>CHOOSE('假设'!$B$3,H192,I192,J192)</x:f>
        <x:v>3.4</x:v>
      </x:c>
      <x:c r="L192" s="11" t="n">
        <x:f>K192*'管线假设'!E51*'管线假设'!F51*'管线假设'!G51*IF(E192="USD",'管线假设'!I51,1)-AM192</x:f>
        <x:v>0.16039296</x:v>
      </x:c>
      <x:c r="M192" s="11" t="n">
        <x:f>'管线假设'!H51</x:f>
        <x:v>0.13</x:v>
      </x:c>
      <x:c r="N192" s="11" t="n">
        <x:f>IF(G192,L192*AN192/(1+M192)^F192,0)</x:f>
        <x:v>0.055195339128528205</x:v>
      </x:c>
      <x:c r="AJ192" t="n">
        <x:v>0</x:v>
      </x:c>
      <x:c r="AK192" t="n">
        <x:v>0</x:v>
      </x:c>
      <x:c r="AL192" t="n">
        <x:v>0</x:v>
      </x:c>
      <x:c r="AM192" t="n">
        <x:f>CHOOSE('假设'!$B$3,AJ192,AK192,AL192)</x:f>
        <x:v>0</x:v>
      </x:c>
      <x:c r="AN192" t="n">
        <x:v>1</x:v>
      </x:c>
    </x:row>
    <x:row r="193" ht="23" customHeight="1">
      <x:c r="A193" s="11" t="str">
        <x:v>01093.HK</x:v>
      </x:c>
      <x:c r="B193" s="11" t="str">
        <x:v>半年</x:v>
      </x:c>
      <x:c r="C193" s="11" t="str">
        <x:v>OTHER_OVERSEAS</x:v>
      </x:c>
      <x:c r="D193" s="11" t="str">
        <x:v>2036-12-31</x:v>
      </x:c>
      <x:c r="E193" s="11" t="str">
        <x:v>USD</x:v>
      </x:c>
      <x:c r="F193" s="11" t="n">
        <x:v>9.730321697467488</x:v>
      </x:c>
      <x:c r="G193" s="26" t="b">
        <x:v>1</x:v>
      </x:c>
      <x:c r="H193" s="16" t="n">
        <x:v>0.9750000000000001</x:v>
      </x:c>
      <x:c r="I193" s="16" t="n">
        <x:v>4</x:v>
      </x:c>
      <x:c r="J193" s="16" t="n">
        <x:v>9</x:v>
      </x:c>
      <x:c r="K193" s="11" t="n">
        <x:f>CHOOSE('假设'!$B$3,H193,I193,J193)</x:f>
        <x:v>4</x:v>
      </x:c>
      <x:c r="L193" s="11" t="n">
        <x:f>K193*'管线假设'!E51*'管线假设'!F51*'管线假设'!G51*IF(E193="USD",'管线假设'!I51,1)-AM193</x:f>
        <x:v>0.1886976</x:v>
      </x:c>
      <x:c r="M193" s="11" t="n">
        <x:f>'管线假设'!H51</x:f>
        <x:v>0.13</x:v>
      </x:c>
      <x:c r="N193" s="11" t="n">
        <x:f>IF(G193,L193*AN193/(1+M193)^F193,0)</x:f>
        <x:v>0.05745079545177419</x:v>
      </x:c>
      <x:c r="AJ193" t="n">
        <x:v>0</x:v>
      </x:c>
      <x:c r="AK193" t="n">
        <x:v>0</x:v>
      </x:c>
      <x:c r="AL193" t="n">
        <x:v>0</x:v>
      </x:c>
      <x:c r="AM193" t="n">
        <x:f>CHOOSE('假设'!$B$3,AJ193,AK193,AL193)</x:f>
        <x:v>0</x:v>
      </x:c>
      <x:c r="AN193" t="n">
        <x:v>1</x:v>
      </x:c>
    </x:row>
    <x:row r="194" ht="23" customHeight="1">
      <x:c r="A194" s="11" t="str">
        <x:v>01093.HK</x:v>
      </x:c>
      <x:c r="B194" s="11" t="str">
        <x:v>半年</x:v>
      </x:c>
      <x:c r="C194" s="11" t="str">
        <x:v>OTHER_OVERSEAS</x:v>
      </x:c>
      <x:c r="D194" s="11" t="str">
        <x:v>2037-12-31</x:v>
      </x:c>
      <x:c r="E194" s="11" t="str">
        <x:v>USD</x:v>
      </x:c>
      <x:c r="F194" s="11" t="n">
        <x:v>10.729637234770705</x:v>
      </x:c>
      <x:c r="G194" s="26" t="b">
        <x:v>1</x:v>
      </x:c>
      <x:c r="H194" s="16" t="n">
        <x:v>1.275</x:v>
      </x:c>
      <x:c r="I194" s="16" t="n">
        <x:v>4</x:v>
      </x:c>
      <x:c r="J194" s="16" t="n">
        <x:v>8.549999999999999</x:v>
      </x:c>
      <x:c r="K194" s="11" t="n">
        <x:f>CHOOSE('假设'!$B$3,H194,I194,J194)</x:f>
        <x:v>4</x:v>
      </x:c>
      <x:c r="L194" s="11" t="n">
        <x:f>K194*'管线假设'!E51*'管线假设'!F51*'管线假设'!G51*IF(E194="USD",'管线假设'!I51,1)-AM194</x:f>
        <x:v>0.1886976</x:v>
      </x:c>
      <x:c r="M194" s="11" t="n">
        <x:f>'管线假设'!H51</x:f>
        <x:v>0.13</x:v>
      </x:c>
      <x:c r="N194" s="11" t="n">
        <x:f>IF(G194,L194*AN194/(1+M194)^F194,0)</x:f>
        <x:v>0.05084566513962116</x:v>
      </x:c>
      <x:c r="AJ194" t="n">
        <x:v>0</x:v>
      </x:c>
      <x:c r="AK194" t="n">
        <x:v>0</x:v>
      </x:c>
      <x:c r="AL194" t="n">
        <x:v>0</x:v>
      </x:c>
      <x:c r="AM194" t="n">
        <x:f>CHOOSE('假设'!$B$3,AJ194,AK194,AL194)</x:f>
        <x:v>0</x:v>
      </x:c>
      <x:c r="AN194" t="n">
        <x:v>1</x:v>
      </x:c>
    </x:row>
    <x:row r="195" ht="23" customHeight="1">
      <x:c r="A195" s="11" t="str">
        <x:v>01093.HK</x:v>
      </x:c>
      <x:c r="B195" s="11" t="str">
        <x:v>半年</x:v>
      </x:c>
      <x:c r="C195" s="11" t="str">
        <x:v>OTHER_OVERSEAS</x:v>
      </x:c>
      <x:c r="D195" s="11" t="str">
        <x:v>2038-12-31</x:v>
      </x:c>
      <x:c r="E195" s="11" t="str">
        <x:v>USD</x:v>
      </x:c>
      <x:c r="F195" s="11" t="n">
        <x:v>11.728952772073923</x:v>
      </x:c>
      <x:c r="G195" s="26" t="b">
        <x:v>1</x:v>
      </x:c>
      <x:c r="H195" s="16" t="n">
        <x:v>1.5</x:v>
      </x:c>
      <x:c r="I195" s="16" t="n">
        <x:v>3.8</x:v>
      </x:c>
      <x:c r="J195" s="16" t="n">
        <x:v>7.92</x:v>
      </x:c>
      <x:c r="K195" s="11" t="n">
        <x:f>CHOOSE('假设'!$B$3,H195,I195,J195)</x:f>
        <x:v>3.8</x:v>
      </x:c>
      <x:c r="L195" s="11" t="n">
        <x:f>K195*'管线假设'!E51*'管线假设'!F51*'管线假设'!G51*IF(E195="USD",'管线假设'!I51,1)-AM195</x:f>
        <x:v>0.17926272</x:v>
      </x:c>
      <x:c r="M195" s="11" t="n">
        <x:f>'管线假设'!H51</x:f>
        <x:v>0.13</x:v>
      </x:c>
      <x:c r="N195" s="11" t="n">
        <x:f>IF(G195,L195*AN195/(1+M195)^F195,0)</x:f>
        <x:v>0.04274993167636141</x:v>
      </x:c>
      <x:c r="AJ195" t="n">
        <x:v>0</x:v>
      </x:c>
      <x:c r="AK195" t="n">
        <x:v>0</x:v>
      </x:c>
      <x:c r="AL195" t="n">
        <x:v>0</x:v>
      </x:c>
      <x:c r="AM195" t="n">
        <x:f>CHOOSE('假设'!$B$3,AJ195,AK195,AL195)</x:f>
        <x:v>0</x:v>
      </x:c>
      <x:c r="AN195" t="n">
        <x:v>1</x:v>
      </x:c>
    </x:row>
    <x:row r="196" ht="23" customHeight="1">
      <x:c r="A196" s="11" t="str">
        <x:v>01093.HK</x:v>
      </x:c>
      <x:c r="B196" s="11" t="str">
        <x:v>半年</x:v>
      </x:c>
      <x:c r="C196" s="11" t="str">
        <x:v>OTHER_OVERSEAS</x:v>
      </x:c>
      <x:c r="D196" s="11" t="str">
        <x:v>2039-12-31</x:v>
      </x:c>
      <x:c r="E196" s="11" t="str">
        <x:v>USD</x:v>
      </x:c>
      <x:c r="F196" s="11" t="n">
        <x:v>12.728268309377139</x:v>
      </x:c>
      <x:c r="G196" s="26" t="b">
        <x:v>1</x:v>
      </x:c>
      <x:c r="H196" s="16" t="n">
        <x:v>1.5</x:v>
      </x:c>
      <x:c r="I196" s="16" t="n">
        <x:v>3.52</x:v>
      </x:c>
      <x:c r="J196" s="16" t="n">
        <x:v>6.75</x:v>
      </x:c>
      <x:c r="K196" s="11" t="n">
        <x:f>CHOOSE('假设'!$B$3,H196,I196,J196)</x:f>
        <x:v>3.52</x:v>
      </x:c>
      <x:c r="L196" s="11" t="n">
        <x:f>K196*'管线假设'!E51*'管线假设'!F51*'管线假设'!G51*IF(E196="USD",'管线假设'!I51,1)-AM196</x:f>
        <x:v>0.166053888</x:v>
      </x:c>
      <x:c r="M196" s="11" t="n">
        <x:f>'管线假设'!H51</x:f>
        <x:v>0.13</x:v>
      </x:c>
      <x:c r="N196" s="11" t="n">
        <x:f>IF(G196,L196*AN196/(1+M196)^F196,0)</x:f>
        <x:v>0.035047123468192665</x:v>
      </x:c>
      <x:c r="AJ196" t="n">
        <x:v>0</x:v>
      </x:c>
      <x:c r="AK196" t="n">
        <x:v>0</x:v>
      </x:c>
      <x:c r="AL196" t="n">
        <x:v>0</x:v>
      </x:c>
      <x:c r="AM196" t="n">
        <x:f>CHOOSE('假设'!$B$3,AJ196,AK196,AL196)</x:f>
        <x:v>0</x:v>
      </x:c>
      <x:c r="AN196" t="n">
        <x:v>1</x:v>
      </x:c>
    </x:row>
    <x:row r="197" ht="23" customHeight="1">
      <x:c r="A197" s="11" t="str">
        <x:v>01093.HK</x:v>
      </x:c>
      <x:c r="B197" s="11" t="str">
        <x:v>半年</x:v>
      </x:c>
      <x:c r="C197" s="11" t="str">
        <x:v>OTHER_OVERSEAS</x:v>
      </x:c>
      <x:c r="D197" s="11" t="str">
        <x:v>2040-12-31</x:v>
      </x:c>
      <x:c r="E197" s="11" t="str">
        <x:v>USD</x:v>
      </x:c>
      <x:c r="F197" s="11" t="n">
        <x:v>13.730321697467488</x:v>
      </x:c>
      <x:c r="G197" s="26" t="b">
        <x:v>1</x:v>
      </x:c>
      <x:c r="H197" s="16" t="n">
        <x:v>1.4249999999999998</x:v>
      </x:c>
      <x:c r="I197" s="16" t="n">
        <x:v>3</x:v>
      </x:c>
      <x:c r="J197" s="16" t="n">
        <x:v>5.3999999999999995</x:v>
      </x:c>
      <x:c r="K197" s="11" t="n">
        <x:f>CHOOSE('假设'!$B$3,H197,I197,J197)</x:f>
        <x:v>3</x:v>
      </x:c>
      <x:c r="L197" s="11" t="n">
        <x:f>K197*'管线假设'!E51*'管线假设'!F51*'管线假设'!G51*IF(E197="USD",'管线假设'!I51,1)-AM197</x:f>
        <x:v>0.14152320000000002</x:v>
      </x:c>
      <x:c r="M197" s="11" t="n">
        <x:f>'管线假设'!H51</x:f>
        <x:v>0.13</x:v>
      </x:c>
      <x:c r="N197" s="11" t="n">
        <x:f>IF(G197,L197*AN197/(1+M197)^F197,0)</x:f>
        <x:v>0.02642673657798771</x:v>
      </x:c>
      <x:c r="AJ197" t="n">
        <x:v>0</x:v>
      </x:c>
      <x:c r="AK197" t="n">
        <x:v>0</x:v>
      </x:c>
      <x:c r="AL197" t="n">
        <x:v>0</x:v>
      </x:c>
      <x:c r="AM197" t="n">
        <x:f>CHOOSE('假设'!$B$3,AJ197,AK197,AL197)</x:f>
        <x:v>0</x:v>
      </x:c>
      <x:c r="AN197" t="n">
        <x:v>1</x:v>
      </x:c>
    </x:row>
    <x:row r="198" ht="23" customHeight="1">
      <x:c r="A198" s="11" t="str">
        <x:v>01093.HK</x:v>
      </x:c>
      <x:c r="B198" s="11" t="str">
        <x:v>半年</x:v>
      </x:c>
      <x:c r="C198" s="11" t="str">
        <x:v>OTHER_OVERSEAS</x:v>
      </x:c>
      <x:c r="D198" s="11" t="str">
        <x:v>2041-12-31</x:v>
      </x:c>
      <x:c r="E198" s="11" t="str">
        <x:v>USD</x:v>
      </x:c>
      <x:c r="F198" s="11" t="n">
        <x:v>14.729637234770705</x:v>
      </x:c>
      <x:c r="G198" s="26" t="b">
        <x:v>1</x:v>
      </x:c>
      <x:c r="H198" s="16" t="n">
        <x:v>1.32</x:v>
      </x:c>
      <x:c r="I198" s="16" t="n">
        <x:v>2.4</x:v>
      </x:c>
      <x:c r="J198" s="16" t="n">
        <x:v>4.05</x:v>
      </x:c>
      <x:c r="K198" s="11" t="n">
        <x:f>CHOOSE('假设'!$B$3,H198,I198,J198)</x:f>
        <x:v>2.4</x:v>
      </x:c>
      <x:c r="L198" s="11" t="n">
        <x:f>K198*'管线假设'!E51*'管线假设'!F51*'管线假设'!G51*IF(E198="USD",'管线假设'!I51,1)-AM198</x:f>
        <x:v>0.11321856</x:v>
      </x:c>
      <x:c r="M198" s="11" t="n">
        <x:f>'管线假设'!H51</x:f>
        <x:v>0.13</x:v>
      </x:c>
      <x:c r="N198" s="11" t="n">
        <x:f>IF(G198,L198*AN198/(1+M198)^F198,0)</x:f>
        <x:v>0.01871075919086645</x:v>
      </x:c>
      <x:c r="AJ198" t="n">
        <x:v>0</x:v>
      </x:c>
      <x:c r="AK198" t="n">
        <x:v>0</x:v>
      </x:c>
      <x:c r="AL198" t="n">
        <x:v>0</x:v>
      </x:c>
      <x:c r="AM198" t="n">
        <x:f>CHOOSE('假设'!$B$3,AJ198,AK198,AL198)</x:f>
        <x:v>0</x:v>
      </x:c>
      <x:c r="AN198" t="n">
        <x:v>1</x:v>
      </x:c>
    </x:row>
    <x:row r="199" ht="23" customHeight="1">
      <x:c r="A199" s="11" t="str">
        <x:v>01093.HK</x:v>
      </x:c>
      <x:c r="B199" s="11" t="str">
        <x:v>半年</x:v>
      </x:c>
      <x:c r="C199" s="11" t="str">
        <x:v>OTHER_OVERSEAS</x:v>
      </x:c>
      <x:c r="D199" s="11" t="str">
        <x:v>2042-12-31</x:v>
      </x:c>
      <x:c r="E199" s="11" t="str">
        <x:v>USD</x:v>
      </x:c>
      <x:c r="F199" s="11" t="n">
        <x:v>15.728952772073923</x:v>
      </x:c>
      <x:c r="G199" s="26" t="b">
        <x:v>1</x:v>
      </x:c>
      <x:c r="H199" s="16" t="n">
        <x:v>1.125</x:v>
      </x:c>
      <x:c r="I199" s="16" t="n">
        <x:v>1.8</x:v>
      </x:c>
      <x:c r="J199" s="16" t="n">
        <x:v>2.6999999999999997</x:v>
      </x:c>
      <x:c r="K199" s="11" t="n">
        <x:f>CHOOSE('假设'!$B$3,H199,I199,J199)</x:f>
        <x:v>1.8</x:v>
      </x:c>
      <x:c r="L199" s="11" t="n">
        <x:f>K199*'管线假设'!E51*'管线假设'!F51*'管线假设'!G51*IF(E199="USD",'管线假设'!I51,1)-AM199</x:f>
        <x:v>0.08491392000000002</x:v>
      </x:c>
      <x:c r="M199" s="11" t="n">
        <x:f>'管线假设'!H51</x:f>
        <x:v>0.13</x:v>
      </x:c>
      <x:c r="N199" s="11" t="n">
        <x:f>IF(G199,L199*AN199/(1+M199)^F199,0)</x:f>
        <x:v>0.012419684386165076</x:v>
      </x:c>
      <x:c r="AJ199" t="n">
        <x:v>0</x:v>
      </x:c>
      <x:c r="AK199" t="n">
        <x:v>0</x:v>
      </x:c>
      <x:c r="AL199" t="n">
        <x:v>0</x:v>
      </x:c>
      <x:c r="AM199" t="n">
        <x:f>CHOOSE('假设'!$B$3,AJ199,AK199,AL199)</x:f>
        <x:v>0</x:v>
      </x:c>
      <x:c r="AN199" t="n">
        <x:v>1</x:v>
      </x:c>
    </x:row>
    <x:row r="200" ht="23" customHeight="1">
      <x:c r="A200" s="11" t="str">
        <x:v>01093.HK</x:v>
      </x:c>
      <x:c r="B200" s="11" t="str">
        <x:v>半年</x:v>
      </x:c>
      <x:c r="C200" s="11" t="str">
        <x:v>OTHER_OVERSEAS</x:v>
      </x:c>
      <x:c r="D200" s="11" t="str">
        <x:v>2043-12-31</x:v>
      </x:c>
      <x:c r="E200" s="11" t="str">
        <x:v>USD</x:v>
      </x:c>
      <x:c r="F200" s="11" t="n">
        <x:v>16.72826830937714</x:v>
      </x:c>
      <x:c r="G200" s="26" t="b">
        <x:v>1</x:v>
      </x:c>
      <x:c r="H200" s="16" t="n">
        <x:v>0.8999999999999999</x:v>
      </x:c>
      <x:c r="I200" s="16" t="n">
        <x:v>1.2</x:v>
      </x:c>
      <x:c r="J200" s="16" t="n">
        <x:v>1.6199999999999999</x:v>
      </x:c>
      <x:c r="K200" s="11" t="n">
        <x:f>CHOOSE('假设'!$B$3,H200,I200,J200)</x:f>
        <x:v>1.2</x:v>
      </x:c>
      <x:c r="L200" s="11" t="n">
        <x:f>K200*'管线假设'!E51*'管线假设'!F51*'管线假设'!G51*IF(E200="USD",'管线假设'!I51,1)-AM200</x:f>
        <x:v>0.05660928</x:v>
      </x:c>
      <x:c r="M200" s="11" t="n">
        <x:f>'管线假设'!H51</x:f>
        <x:v>0.13</x:v>
      </x:c>
      <x:c r="N200" s="11" t="n">
        <x:f>IF(G200,L200*AN200/(1+M200)^F200,0)</x:f>
        <x:v>0.00732786040034112</x:v>
      </x:c>
      <x:c r="AJ200" t="n">
        <x:v>0</x:v>
      </x:c>
      <x:c r="AK200" t="n">
        <x:v>0</x:v>
      </x:c>
      <x:c r="AL200" t="n">
        <x:v>0</x:v>
      </x:c>
      <x:c r="AM200" t="n">
        <x:f>CHOOSE('假设'!$B$3,AJ200,AK200,AL200)</x:f>
        <x:v>0</x:v>
      </x:c>
      <x:c r="AN200" t="n">
        <x:v>1</x:v>
      </x:c>
    </x:row>
    <x:row r="201" ht="23" customHeight="1">
      <x:c r="A201" s="11" t="str">
        <x:v>01093.HK</x:v>
      </x:c>
      <x:c r="B201" s="11" t="str">
        <x:v>一年</x:v>
      </x:c>
      <x:c r="C201" s="11" t="str">
        <x:v>SYS6010_DOM</x:v>
      </x:c>
      <x:c r="D201" s="11" t="str">
        <x:v>2027-12-31</x:v>
      </x:c>
      <x:c r="E201" s="11" t="str">
        <x:v>CNY</x:v>
      </x:c>
      <x:c r="F201" s="11" t="n">
        <x:v>0.2272416153319644</x:v>
      </x:c>
      <x:c r="G201" s="26" t="b">
        <x:v>1</x:v>
      </x:c>
      <x:c r="H201" s="16" t="n">
        <x:v>0</x:v>
      </x:c>
      <x:c r="I201" s="16" t="n">
        <x:v>0.4</x:v>
      </x:c>
      <x:c r="J201" s="16" t="n">
        <x:v>0.72</x:v>
      </x:c>
      <x:c r="K201" s="11" t="n">
        <x:f>CHOOSE('假设'!$B$3,H201,I201,J201)</x:f>
        <x:v>0.4</x:v>
      </x:c>
      <x:c r="L201" s="11" t="n">
        <x:f>K201*'管线假设'!E55*'管线假设'!F55*'管线假设'!G55*IF(E201="USD",'管线假设'!I55,1)-AM201</x:f>
        <x:v>0.05319999999999999</x:v>
      </x:c>
      <x:c r="M201" s="11" t="n">
        <x:f>'管线假设'!H55</x:f>
        <x:v>0.13</x:v>
      </x:c>
      <x:c r="N201" s="11" t="n">
        <x:f>IF(G201,L201*AN201/(1+M201)^F201,0)</x:f>
        <x:v>0.05174280890152847</x:v>
      </x:c>
      <x:c r="AJ201" t="n">
        <x:v>0</x:v>
      </x:c>
      <x:c r="AK201" t="n">
        <x:v>0</x:v>
      </x:c>
      <x:c r="AL201" t="n">
        <x:v>0</x:v>
      </x:c>
      <x:c r="AM201" t="n">
        <x:f>CHOOSE('假设'!$B$3,AJ201,AK201,AL201)</x:f>
        <x:v>0</x:v>
      </x:c>
      <x:c r="AN201" t="n">
        <x:v>1</x:v>
      </x:c>
    </x:row>
    <x:row r="202" ht="23" customHeight="1">
      <x:c r="A202" s="11" t="str">
        <x:v>01093.HK</x:v>
      </x:c>
      <x:c r="B202" s="11" t="str">
        <x:v>一年</x:v>
      </x:c>
      <x:c r="C202" s="11" t="str">
        <x:v>SYS6010_DOM</x:v>
      </x:c>
      <x:c r="D202" s="11" t="str">
        <x:v>2028-12-31</x:v>
      </x:c>
      <x:c r="E202" s="11" t="str">
        <x:v>CNY</x:v>
      </x:c>
      <x:c r="F202" s="11" t="n">
        <x:v>1.2292950034223136</x:v>
      </x:c>
      <x:c r="G202" s="26" t="b">
        <x:v>1</x:v>
      </x:c>
      <x:c r="H202" s="16" t="n">
        <x:v>0</x:v>
      </x:c>
      <x:c r="I202" s="16" t="n">
        <x:v>1.25</x:v>
      </x:c>
      <x:c r="J202" s="16" t="n">
        <x:v>2.25</x:v>
      </x:c>
      <x:c r="K202" s="11" t="n">
        <x:f>CHOOSE('假设'!$B$3,H202,I202,J202)</x:f>
        <x:v>1.25</x:v>
      </x:c>
      <x:c r="L202" s="11" t="n">
        <x:f>K202*'管线假设'!E55*'管线假设'!F55*'管线假设'!G55*IF(E202="USD",'管线假设'!I55,1)-AM202</x:f>
        <x:v>0.16625</x:v>
      </x:c>
      <x:c r="M202" s="11" t="n">
        <x:f>'管线假设'!H55</x:f>
        <x:v>0.13</x:v>
      </x:c>
      <x:c r="N202" s="11" t="n">
        <x:f>IF(G202,L202*AN202/(1+M202)^F202,0)</x:f>
        <x:v>0.14305814475525838</x:v>
      </x:c>
      <x:c r="AJ202" t="n">
        <x:v>0</x:v>
      </x:c>
      <x:c r="AK202" t="n">
        <x:v>0</x:v>
      </x:c>
      <x:c r="AL202" t="n">
        <x:v>0</x:v>
      </x:c>
      <x:c r="AM202" t="n">
        <x:f>CHOOSE('假设'!$B$3,AJ202,AK202,AL202)</x:f>
        <x:v>0</x:v>
      </x:c>
      <x:c r="AN202" t="n">
        <x:v>1</x:v>
      </x:c>
    </x:row>
    <x:row r="203" ht="23" customHeight="1">
      <x:c r="A203" s="11" t="str">
        <x:v>01093.HK</x:v>
      </x:c>
      <x:c r="B203" s="11" t="str">
        <x:v>一年</x:v>
      </x:c>
      <x:c r="C203" s="11" t="str">
        <x:v>SYS6010_DOM</x:v>
      </x:c>
      <x:c r="D203" s="11" t="str">
        <x:v>2029-12-31</x:v>
      </x:c>
      <x:c r="E203" s="11" t="str">
        <x:v>CNY</x:v>
      </x:c>
      <x:c r="F203" s="11" t="n">
        <x:v>2.2286105407255303</x:v>
      </x:c>
      <x:c r="G203" s="26" t="b">
        <x:v>1</x:v>
      </x:c>
      <x:c r="H203" s="16" t="n">
        <x:v>0.14400000000000002</x:v>
      </x:c>
      <x:c r="I203" s="16" t="n">
        <x:v>2.25</x:v>
      </x:c>
      <x:c r="J203" s="16" t="n">
        <x:v>4.05</x:v>
      </x:c>
      <x:c r="K203" s="11" t="n">
        <x:f>CHOOSE('假设'!$B$3,H203,I203,J203)</x:f>
        <x:v>2.25</x:v>
      </x:c>
      <x:c r="L203" s="11" t="n">
        <x:f>K203*'管线假设'!E55*'管线假设'!F55*'管线假设'!G55*IF(E203="USD",'管线假设'!I55,1)-AM203</x:f>
        <x:v>0.29924999999999996</x:v>
      </x:c>
      <x:c r="M203" s="11" t="n">
        <x:f>'管线假设'!H55</x:f>
        <x:v>0.13</x:v>
      </x:c>
      <x:c r="N203" s="11" t="n">
        <x:f>IF(G203,L203*AN203/(1+M203)^F203,0)</x:f>
        <x:v>0.22789929433943168</x:v>
      </x:c>
      <x:c r="AJ203" t="n">
        <x:v>0</x:v>
      </x:c>
      <x:c r="AK203" t="n">
        <x:v>0</x:v>
      </x:c>
      <x:c r="AL203" t="n">
        <x:v>0</x:v>
      </x:c>
      <x:c r="AM203" t="n">
        <x:f>CHOOSE('假设'!$B$3,AJ203,AK203,AL203)</x:f>
        <x:v>0</x:v>
      </x:c>
      <x:c r="AN203" t="n">
        <x:v>1</x:v>
      </x:c>
    </x:row>
    <x:row r="204" ht="23" customHeight="1">
      <x:c r="A204" s="11" t="str">
        <x:v>01093.HK</x:v>
      </x:c>
      <x:c r="B204" s="11" t="str">
        <x:v>一年</x:v>
      </x:c>
      <x:c r="C204" s="11" t="str">
        <x:v>SYS6010_DOM</x:v>
      </x:c>
      <x:c r="D204" s="11" t="str">
        <x:v>2030-12-31</x:v>
      </x:c>
      <x:c r="E204" s="11" t="str">
        <x:v>CNY</x:v>
      </x:c>
      <x:c r="F204" s="11" t="n">
        <x:v>3.2279260780287475</x:v>
      </x:c>
      <x:c r="G204" s="26" t="b">
        <x:v>1</x:v>
      </x:c>
      <x:c r="H204" s="16" t="n">
        <x:v>0.45</x:v>
      </x:c>
      <x:c r="I204" s="16" t="n">
        <x:v>3.25</x:v>
      </x:c>
      <x:c r="J204" s="16" t="n">
        <x:v>5.8500000000000005</x:v>
      </x:c>
      <x:c r="K204" s="11" t="n">
        <x:f>CHOOSE('假设'!$B$3,H204,I204,J204)</x:f>
        <x:v>3.25</x:v>
      </x:c>
      <x:c r="L204" s="11" t="n">
        <x:f>K204*'管线假设'!E55*'管线假设'!F55*'管线假设'!G55*IF(E204="USD",'管线假设'!I55,1)-AM204</x:f>
        <x:v>0.43224999999999997</x:v>
      </x:c>
      <x:c r="M204" s="11" t="n">
        <x:f>'管线假设'!H55</x:f>
        <x:v>0.13</x:v>
      </x:c>
      <x:c r="N204" s="11" t="n">
        <x:f>IF(G204,L204*AN204/(1+M204)^F204,0)</x:f>
        <x:v>0.2913410694170159</x:v>
      </x:c>
      <x:c r="AJ204" t="n">
        <x:v>0</x:v>
      </x:c>
      <x:c r="AK204" t="n">
        <x:v>0</x:v>
      </x:c>
      <x:c r="AL204" t="n">
        <x:v>0</x:v>
      </x:c>
      <x:c r="AM204" t="n">
        <x:f>CHOOSE('假设'!$B$3,AJ204,AK204,AL204)</x:f>
        <x:v>0</x:v>
      </x:c>
      <x:c r="AN204" t="n">
        <x:v>1</x:v>
      </x:c>
    </x:row>
    <x:row r="205" ht="23" customHeight="1">
      <x:c r="A205" s="11" t="str">
        <x:v>01093.HK</x:v>
      </x:c>
      <x:c r="B205" s="11" t="str">
        <x:v>一年</x:v>
      </x:c>
      <x:c r="C205" s="11" t="str">
        <x:v>SYS6010_DOM</x:v>
      </x:c>
      <x:c r="D205" s="11" t="str">
        <x:v>2031-12-31</x:v>
      </x:c>
      <x:c r="E205" s="11" t="str">
        <x:v>CNY</x:v>
      </x:c>
      <x:c r="F205" s="11" t="n">
        <x:v>4.227241615331964</x:v>
      </x:c>
      <x:c r="G205" s="26" t="b">
        <x:v>1</x:v>
      </x:c>
      <x:c r="H205" s="16" t="n">
        <x:v>0.81</x:v>
      </x:c>
      <x:c r="I205" s="16" t="n">
        <x:v>4.25</x:v>
      </x:c>
      <x:c r="J205" s="16" t="n">
        <x:v>7.6499999999999995</x:v>
      </x:c>
      <x:c r="K205" s="11" t="n">
        <x:f>CHOOSE('假设'!$B$3,H205,I205,J205)</x:f>
        <x:v>4.25</x:v>
      </x:c>
      <x:c r="L205" s="11" t="n">
        <x:f>K205*'管线假设'!E55*'管线假设'!F55*'管线假设'!G55*IF(E205="USD",'管线假设'!I55,1)-AM205</x:f>
        <x:v>0.5652499999999999</x:v>
      </x:c>
      <x:c r="M205" s="11" t="n">
        <x:f>'管线假设'!H55</x:f>
        <x:v>0.13</x:v>
      </x:c>
      <x:c r="N205" s="11" t="n">
        <x:f>IF(G205,L205*AN205/(1+M205)^F205,0)</x:f>
        <x:v>0.3371826082967023</x:v>
      </x:c>
      <x:c r="AJ205" t="n">
        <x:v>0</x:v>
      </x:c>
      <x:c r="AK205" t="n">
        <x:v>0</x:v>
      </x:c>
      <x:c r="AL205" t="n">
        <x:v>0</x:v>
      </x:c>
      <x:c r="AM205" t="n">
        <x:f>CHOOSE('假设'!$B$3,AJ205,AK205,AL205)</x:f>
        <x:v>0</x:v>
      </x:c>
      <x:c r="AN205" t="n">
        <x:v>1</x:v>
      </x:c>
    </x:row>
    <x:row r="206" ht="23" customHeight="1">
      <x:c r="A206" s="11" t="str">
        <x:v>01093.HK</x:v>
      </x:c>
      <x:c r="B206" s="11" t="str">
        <x:v>一年</x:v>
      </x:c>
      <x:c r="C206" s="11" t="str">
        <x:v>SYS6010_DOM</x:v>
      </x:c>
      <x:c r="D206" s="11" t="str">
        <x:v>2032-12-31</x:v>
      </x:c>
      <x:c r="E206" s="11" t="str">
        <x:v>CNY</x:v>
      </x:c>
      <x:c r="F206" s="11" t="n">
        <x:v>5.229295003422314</x:v>
      </x:c>
      <x:c r="G206" s="26" t="b">
        <x:v>1</x:v>
      </x:c>
      <x:c r="H206" s="16" t="n">
        <x:v>1.1700000000000002</x:v>
      </x:c>
      <x:c r="I206" s="16" t="n">
        <x:v>5</x:v>
      </x:c>
      <x:c r="J206" s="16" t="n">
        <x:v>9</x:v>
      </x:c>
      <x:c r="K206" s="11" t="n">
        <x:f>CHOOSE('假设'!$B$3,H206,I206,J206)</x:f>
        <x:v>5</x:v>
      </x:c>
      <x:c r="L206" s="11" t="n">
        <x:f>K206*'管线假设'!E55*'管线假设'!F55*'管线假设'!G55*IF(E206="USD",'管线假设'!I55,1)-AM206</x:f>
        <x:v>0.665</x:v>
      </x:c>
      <x:c r="M206" s="11" t="n">
        <x:f>'管线假设'!H55</x:f>
        <x:v>0.13</x:v>
      </x:c>
      <x:c r="N206" s="11" t="n">
        <x:f>IF(G206,L206*AN206/(1+M206)^F206,0)</x:f>
        <x:v>0.35096095730186866</x:v>
      </x:c>
      <x:c r="AJ206" t="n">
        <x:v>0</x:v>
      </x:c>
      <x:c r="AK206" t="n">
        <x:v>0</x:v>
      </x:c>
      <x:c r="AL206" t="n">
        <x:v>0</x:v>
      </x:c>
      <x:c r="AM206" t="n">
        <x:f>CHOOSE('假设'!$B$3,AJ206,AK206,AL206)</x:f>
        <x:v>0</x:v>
      </x:c>
      <x:c r="AN206" t="n">
        <x:v>1</x:v>
      </x:c>
    </x:row>
    <x:row r="207" ht="23" customHeight="1">
      <x:c r="A207" s="11" t="str">
        <x:v>01093.HK</x:v>
      </x:c>
      <x:c r="B207" s="11" t="str">
        <x:v>一年</x:v>
      </x:c>
      <x:c r="C207" s="11" t="str">
        <x:v>SYS6010_DOM</x:v>
      </x:c>
      <x:c r="D207" s="11" t="str">
        <x:v>2033-12-31</x:v>
      </x:c>
      <x:c r="E207" s="11" t="str">
        <x:v>CNY</x:v>
      </x:c>
      <x:c r="F207" s="11" t="n">
        <x:v>6.228610540725531</x:v>
      </x:c>
      <x:c r="G207" s="26" t="b">
        <x:v>1</x:v>
      </x:c>
      <x:c r="H207" s="16" t="n">
        <x:v>1.53</x:v>
      </x:c>
      <x:c r="I207" s="16" t="n">
        <x:v>5</x:v>
      </x:c>
      <x:c r="J207" s="16" t="n">
        <x:v>9</x:v>
      </x:c>
      <x:c r="K207" s="11" t="n">
        <x:f>CHOOSE('假设'!$B$3,H207,I207,J207)</x:f>
        <x:v>5</x:v>
      </x:c>
      <x:c r="L207" s="11" t="n">
        <x:f>K207*'管线假设'!E55*'管线假设'!F55*'管线假设'!G55*IF(E207="USD",'管线假设'!I55,1)-AM207</x:f>
        <x:v>0.665</x:v>
      </x:c>
      <x:c r="M207" s="11" t="n">
        <x:f>'管线假设'!H55</x:f>
        <x:v>0.13</x:v>
      </x:c>
      <x:c r="N207" s="11" t="n">
        <x:f>IF(G207,L207*AN207/(1+M207)^F207,0)</x:f>
        <x:v>0.3106109005406401</x:v>
      </x:c>
      <x:c r="AJ207" t="n">
        <x:v>0</x:v>
      </x:c>
      <x:c r="AK207" t="n">
        <x:v>0</x:v>
      </x:c>
      <x:c r="AL207" t="n">
        <x:v>0</x:v>
      </x:c>
      <x:c r="AM207" t="n">
        <x:f>CHOOSE('假设'!$B$3,AJ207,AK207,AL207)</x:f>
        <x:v>0</x:v>
      </x:c>
      <x:c r="AN207" t="n">
        <x:v>1</x:v>
      </x:c>
    </x:row>
    <x:row r="208" ht="23" customHeight="1">
      <x:c r="A208" s="11" t="str">
        <x:v>01093.HK</x:v>
      </x:c>
      <x:c r="B208" s="11" t="str">
        <x:v>一年</x:v>
      </x:c>
      <x:c r="C208" s="11" t="str">
        <x:v>SYS6010_DOM</x:v>
      </x:c>
      <x:c r="D208" s="11" t="str">
        <x:v>2034-12-31</x:v>
      </x:c>
      <x:c r="E208" s="11" t="str">
        <x:v>CNY</x:v>
      </x:c>
      <x:c r="F208" s="11" t="n">
        <x:v>7.227926078028747</x:v>
      </x:c>
      <x:c r="G208" s="26" t="b">
        <x:v>1</x:v>
      </x:c>
      <x:c r="H208" s="16" t="n">
        <x:v>1.8</x:v>
      </x:c>
      <x:c r="I208" s="16" t="n">
        <x:v>4.75</x:v>
      </x:c>
      <x:c r="J208" s="16" t="n">
        <x:v>8.549999999999999</x:v>
      </x:c>
      <x:c r="K208" s="11" t="n">
        <x:f>CHOOSE('假设'!$B$3,H208,I208,J208)</x:f>
        <x:v>4.75</x:v>
      </x:c>
      <x:c r="L208" s="11" t="n">
        <x:f>K208*'管线假设'!E55*'管线假设'!F55*'管线假设'!G55*IF(E208="USD",'管线假设'!I55,1)-AM208</x:f>
        <x:v>0.63175</x:v>
      </x:c>
      <x:c r="M208" s="11" t="n">
        <x:f>'管线假设'!H55</x:f>
        <x:v>0.13</x:v>
      </x:c>
      <x:c r="N208" s="11" t="n">
        <x:f>IF(G208,L208*AN208/(1+M208)^F208,0)</x:f>
        <x:v>0.2611549035612516</x:v>
      </x:c>
      <x:c r="AJ208" t="n">
        <x:v>0</x:v>
      </x:c>
      <x:c r="AK208" t="n">
        <x:v>0</x:v>
      </x:c>
      <x:c r="AL208" t="n">
        <x:v>0</x:v>
      </x:c>
      <x:c r="AM208" t="n">
        <x:f>CHOOSE('假设'!$B$3,AJ208,AK208,AL208)</x:f>
        <x:v>0</x:v>
      </x:c>
      <x:c r="AN208" t="n">
        <x:v>1</x:v>
      </x:c>
    </x:row>
    <x:row r="209" ht="23" customHeight="1">
      <x:c r="A209" s="11" t="str">
        <x:v>01093.HK</x:v>
      </x:c>
      <x:c r="B209" s="11" t="str">
        <x:v>一年</x:v>
      </x:c>
      <x:c r="C209" s="11" t="str">
        <x:v>SYS6010_DOM</x:v>
      </x:c>
      <x:c r="D209" s="11" t="str">
        <x:v>2035-12-31</x:v>
      </x:c>
      <x:c r="E209" s="11" t="str">
        <x:v>CNY</x:v>
      </x:c>
      <x:c r="F209" s="11" t="n">
        <x:v>8.227241615331964</x:v>
      </x:c>
      <x:c r="G209" s="26" t="b">
        <x:v>1</x:v>
      </x:c>
      <x:c r="H209" s="16" t="n">
        <x:v>1.8</x:v>
      </x:c>
      <x:c r="I209" s="16" t="n">
        <x:v>4.4</x:v>
      </x:c>
      <x:c r="J209" s="16" t="n">
        <x:v>7.92</x:v>
      </x:c>
      <x:c r="K209" s="11" t="n">
        <x:f>CHOOSE('假设'!$B$3,H209,I209,J209)</x:f>
        <x:v>4.4</x:v>
      </x:c>
      <x:c r="L209" s="11" t="n">
        <x:f>K209*'管线假设'!E55*'管线假设'!F55*'管线假设'!G55*IF(E209="USD",'管线假设'!I55,1)-AM209</x:f>
        <x:v>0.5852</x:v>
      </x:c>
      <x:c r="M209" s="11" t="n">
        <x:f>'管线假设'!H55</x:f>
        <x:v>0.13</x:v>
      </x:c>
      <x:c r="N209" s="11" t="n">
        <x:f>IF(G209,L209*AN209/(1+M209)^F209,0)</x:f>
        <x:v>0.21409924625671709</x:v>
      </x:c>
      <x:c r="AJ209" t="n">
        <x:v>0</x:v>
      </x:c>
      <x:c r="AK209" t="n">
        <x:v>0</x:v>
      </x:c>
      <x:c r="AL209" t="n">
        <x:v>0</x:v>
      </x:c>
      <x:c r="AM209" t="n">
        <x:f>CHOOSE('假设'!$B$3,AJ209,AK209,AL209)</x:f>
        <x:v>0</x:v>
      </x:c>
      <x:c r="AN209" t="n">
        <x:v>1</x:v>
      </x:c>
    </x:row>
    <x:row r="210" ht="23" customHeight="1">
      <x:c r="A210" s="11" t="str">
        <x:v>01093.HK</x:v>
      </x:c>
      <x:c r="B210" s="11" t="str">
        <x:v>一年</x:v>
      </x:c>
      <x:c r="C210" s="11" t="str">
        <x:v>SYS6010_DOM</x:v>
      </x:c>
      <x:c r="D210" s="11" t="str">
        <x:v>2036-12-31</x:v>
      </x:c>
      <x:c r="E210" s="11" t="str">
        <x:v>CNY</x:v>
      </x:c>
      <x:c r="F210" s="11" t="n">
        <x:v>9.229295003422314</x:v>
      </x:c>
      <x:c r="G210" s="26" t="b">
        <x:v>1</x:v>
      </x:c>
      <x:c r="H210" s="16" t="n">
        <x:v>1.71</x:v>
      </x:c>
      <x:c r="I210" s="16" t="n">
        <x:v>3.75</x:v>
      </x:c>
      <x:c r="J210" s="16" t="n">
        <x:v>6.75</x:v>
      </x:c>
      <x:c r="K210" s="11" t="n">
        <x:f>CHOOSE('假设'!$B$3,H210,I210,J210)</x:f>
        <x:v>3.75</x:v>
      </x:c>
      <x:c r="L210" s="11" t="n">
        <x:f>K210*'管线假设'!E55*'管线假设'!F55*'管线假设'!G55*IF(E210="USD",'管线假设'!I55,1)-AM210</x:f>
        <x:v>0.49874999999999997</x:v>
      </x:c>
      <x:c r="M210" s="11" t="n">
        <x:f>'管线假设'!H55</x:f>
        <x:v>0.13</x:v>
      </x:c>
      <x:c r="N210" s="11" t="n">
        <x:f>IF(G210,L210*AN210/(1+M210)^F210,0)</x:f>
        <x:v>0.16143819584813862</x:v>
      </x:c>
      <x:c r="AJ210" t="n">
        <x:v>0</x:v>
      </x:c>
      <x:c r="AK210" t="n">
        <x:v>0</x:v>
      </x:c>
      <x:c r="AL210" t="n">
        <x:v>0</x:v>
      </x:c>
      <x:c r="AM210" t="n">
        <x:f>CHOOSE('假设'!$B$3,AJ210,AK210,AL210)</x:f>
        <x:v>0</x:v>
      </x:c>
      <x:c r="AN210" t="n">
        <x:v>1</x:v>
      </x:c>
    </x:row>
    <x:row r="211" ht="23" customHeight="1">
      <x:c r="A211" s="11" t="str">
        <x:v>01093.HK</x:v>
      </x:c>
      <x:c r="B211" s="11" t="str">
        <x:v>一年</x:v>
      </x:c>
      <x:c r="C211" s="11" t="str">
        <x:v>SYS6010_DOM</x:v>
      </x:c>
      <x:c r="D211" s="11" t="str">
        <x:v>2037-12-31</x:v>
      </x:c>
      <x:c r="E211" s="11" t="str">
        <x:v>CNY</x:v>
      </x:c>
      <x:c r="F211" s="11" t="n">
        <x:v>10.22861054072553</x:v>
      </x:c>
      <x:c r="G211" s="26" t="b">
        <x:v>1</x:v>
      </x:c>
      <x:c r="H211" s="16" t="n">
        <x:v>1.584</x:v>
      </x:c>
      <x:c r="I211" s="16" t="n">
        <x:v>3</x:v>
      </x:c>
      <x:c r="J211" s="16" t="n">
        <x:v>5.3999999999999995</x:v>
      </x:c>
      <x:c r="K211" s="11" t="n">
        <x:f>CHOOSE('假设'!$B$3,H211,I211,J211)</x:f>
        <x:v>3</x:v>
      </x:c>
      <x:c r="L211" s="11" t="n">
        <x:f>K211*'管线假设'!E55*'管线假设'!F55*'管线假设'!G55*IF(E211="USD",'管线假设'!I55,1)-AM211</x:f>
        <x:v>0.3989999999999999</x:v>
      </x:c>
      <x:c r="M211" s="11" t="n">
        <x:f>'管线假设'!H55</x:f>
        <x:v>0.13</x:v>
      </x:c>
      <x:c r="N211" s="11" t="n">
        <x:f>IF(G211,L211*AN211/(1+M211)^F211,0)</x:f>
        <x:v>0.11430208939375848</x:v>
      </x:c>
      <x:c r="AJ211" t="n">
        <x:v>0</x:v>
      </x:c>
      <x:c r="AK211" t="n">
        <x:v>0</x:v>
      </x:c>
      <x:c r="AL211" t="n">
        <x:v>0</x:v>
      </x:c>
      <x:c r="AM211" t="n">
        <x:f>CHOOSE('假设'!$B$3,AJ211,AK211,AL211)</x:f>
        <x:v>0</x:v>
      </x:c>
      <x:c r="AN211" t="n">
        <x:v>1</x:v>
      </x:c>
    </x:row>
    <x:row r="212" ht="23" customHeight="1">
      <x:c r="A212" s="11" t="str">
        <x:v>01093.HK</x:v>
      </x:c>
      <x:c r="B212" s="11" t="str">
        <x:v>一年</x:v>
      </x:c>
      <x:c r="C212" s="11" t="str">
        <x:v>SYS6010_DOM</x:v>
      </x:c>
      <x:c r="D212" s="11" t="str">
        <x:v>2038-12-31</x:v>
      </x:c>
      <x:c r="E212" s="11" t="str">
        <x:v>CNY</x:v>
      </x:c>
      <x:c r="F212" s="11" t="n">
        <x:v>11.227926078028748</x:v>
      </x:c>
      <x:c r="G212" s="26" t="b">
        <x:v>1</x:v>
      </x:c>
      <x:c r="H212" s="16" t="n">
        <x:v>1.35</x:v>
      </x:c>
      <x:c r="I212" s="16" t="n">
        <x:v>2.25</x:v>
      </x:c>
      <x:c r="J212" s="16" t="n">
        <x:v>4.05</x:v>
      </x:c>
      <x:c r="K212" s="11" t="n">
        <x:f>CHOOSE('假设'!$B$3,H212,I212,J212)</x:f>
        <x:v>2.25</x:v>
      </x:c>
      <x:c r="L212" s="11" t="n">
        <x:f>K212*'管线假设'!E55*'管线假设'!F55*'管线假设'!G55*IF(E212="USD",'管线假设'!I55,1)-AM212</x:f>
        <x:v>0.29924999999999996</x:v>
      </x:c>
      <x:c r="M212" s="11" t="n">
        <x:f>'管线假设'!H55</x:f>
        <x:v>0.13</x:v>
      </x:c>
      <x:c r="N212" s="11" t="n">
        <x:f>IF(G212,L212*AN212/(1+M212)^F212,0)</x:f>
        <x:v>0.07587056519025022</x:v>
      </x:c>
      <x:c r="AJ212" t="n">
        <x:v>0</x:v>
      </x:c>
      <x:c r="AK212" t="n">
        <x:v>0</x:v>
      </x:c>
      <x:c r="AL212" t="n">
        <x:v>0</x:v>
      </x:c>
      <x:c r="AM212" t="n">
        <x:f>CHOOSE('假设'!$B$3,AJ212,AK212,AL212)</x:f>
        <x:v>0</x:v>
      </x:c>
      <x:c r="AN212" t="n">
        <x:v>1</x:v>
      </x:c>
    </x:row>
    <x:row r="213" ht="23" customHeight="1">
      <x:c r="A213" s="11" t="str">
        <x:v>01093.HK</x:v>
      </x:c>
      <x:c r="B213" s="11" t="str">
        <x:v>一年</x:v>
      </x:c>
      <x:c r="C213" s="11" t="str">
        <x:v>SYS6010_DOM</x:v>
      </x:c>
      <x:c r="D213" s="11" t="str">
        <x:v>2039-12-31</x:v>
      </x:c>
      <x:c r="E213" s="11" t="str">
        <x:v>CNY</x:v>
      </x:c>
      <x:c r="F213" s="11" t="n">
        <x:v>12.227241615331964</x:v>
      </x:c>
      <x:c r="G213" s="26" t="b">
        <x:v>1</x:v>
      </x:c>
      <x:c r="H213" s="16" t="n">
        <x:v>1.08</x:v>
      </x:c>
      <x:c r="I213" s="16" t="n">
        <x:v>1.5</x:v>
      </x:c>
      <x:c r="J213" s="16" t="n">
        <x:v>2.6999999999999997</x:v>
      </x:c>
      <x:c r="K213" s="11" t="n">
        <x:f>CHOOSE('假设'!$B$3,H213,I213,J213)</x:f>
        <x:v>1.5</x:v>
      </x:c>
      <x:c r="L213" s="11" t="n">
        <x:f>K213*'管线假设'!E55*'管线假设'!F55*'管线假设'!G55*IF(E213="USD",'管线假设'!I55,1)-AM213</x:f>
        <x:v>0.19949999999999996</x:v>
      </x:c>
      <x:c r="M213" s="11" t="n">
        <x:f>'管线假设'!H55</x:f>
        <x:v>0.13</x:v>
      </x:c>
      <x:c r="N213" s="11" t="n">
        <x:f>IF(G213,L213*AN213/(1+M213)^F213,0)</x:f>
        <x:v>0.04476513999248293</x:v>
      </x:c>
      <x:c r="AJ213" t="n">
        <x:v>0</x:v>
      </x:c>
      <x:c r="AK213" t="n">
        <x:v>0</x:v>
      </x:c>
      <x:c r="AL213" t="n">
        <x:v>0</x:v>
      </x:c>
      <x:c r="AM213" t="n">
        <x:f>CHOOSE('假设'!$B$3,AJ213,AK213,AL213)</x:f>
        <x:v>0</x:v>
      </x:c>
      <x:c r="AN213" t="n">
        <x:v>1</x:v>
      </x:c>
    </x:row>
    <x:row r="214" ht="23" customHeight="1">
      <x:c r="A214" s="11" t="str">
        <x:v>01093.HK</x:v>
      </x:c>
      <x:c r="B214" s="11" t="str">
        <x:v>一年</x:v>
      </x:c>
      <x:c r="C214" s="11" t="str">
        <x:v>SYS6010_DOM</x:v>
      </x:c>
      <x:c r="D214" s="11" t="str">
        <x:v>2040-12-31</x:v>
      </x:c>
      <x:c r="E214" s="11" t="str">
        <x:v>CNY</x:v>
      </x:c>
      <x:c r="F214" s="11" t="n">
        <x:v>13.229295003422314</x:v>
      </x:c>
      <x:c r="G214" s="26" t="b">
        <x:v>1</x:v>
      </x:c>
      <x:c r="H214" s="16" t="n">
        <x:v>0.81</x:v>
      </x:c>
      <x:c r="I214" s="16" t="n">
        <x:v>0.8999999999999999</x:v>
      </x:c>
      <x:c r="J214" s="16" t="n">
        <x:v>1.6199999999999999</x:v>
      </x:c>
      <x:c r="K214" s="11" t="n">
        <x:f>CHOOSE('假设'!$B$3,H214,I214,J214)</x:f>
        <x:v>0.8999999999999999</x:v>
      </x:c>
      <x:c r="L214" s="11" t="n">
        <x:f>K214*'管线假设'!E55*'管线假设'!F55*'管线假设'!G55*IF(E214="USD",'管线假设'!I55,1)-AM214</x:f>
        <x:v>0.11969999999999997</x:v>
      </x:c>
      <x:c r="M214" s="11" t="n">
        <x:f>'管线假设'!H55</x:f>
        <x:v>0.13</x:v>
      </x:c>
      <x:c r="N214" s="11" t="n">
        <x:f>IF(G214,L214*AN214/(1+M214)^F214,0)</x:f>
        <x:v>0.02376313653034426</x:v>
      </x:c>
      <x:c r="AJ214" t="n">
        <x:v>0</x:v>
      </x:c>
      <x:c r="AK214" t="n">
        <x:v>0</x:v>
      </x:c>
      <x:c r="AL214" t="n">
        <x:v>0</x:v>
      </x:c>
      <x:c r="AM214" t="n">
        <x:f>CHOOSE('假设'!$B$3,AJ214,AK214,AL214)</x:f>
        <x:v>0</x:v>
      </x:c>
      <x:c r="AN214" t="n">
        <x:v>1</x:v>
      </x:c>
    </x:row>
    <x:row r="215" ht="23" customHeight="1">
      <x:c r="A215" s="11" t="str">
        <x:v>01093.HK</x:v>
      </x:c>
      <x:c r="B215" s="11" t="str">
        <x:v>一年</x:v>
      </x:c>
      <x:c r="C215" s="11" t="str">
        <x:v>SYS6010_DOM</x:v>
      </x:c>
      <x:c r="D215" s="11" t="str">
        <x:v>2041-12-31</x:v>
      </x:c>
      <x:c r="E215" s="11" t="str">
        <x:v>CNY</x:v>
      </x:c>
      <x:c r="F215" s="11" t="n">
        <x:v>14.22861054072553</x:v>
      </x:c>
      <x:c r="G215" s="26" t="b">
        <x:v>1</x:v>
      </x:c>
      <x:c r="H215" s="16" t="n">
        <x:v>0.54</x:v>
      </x:c>
      <x:c r="I215" s="16" t="n">
        <x:v>0.5</x:v>
      </x:c>
      <x:c r="J215" s="16" t="n">
        <x:v>0.9</x:v>
      </x:c>
      <x:c r="K215" s="11" t="n">
        <x:f>CHOOSE('假设'!$B$3,H215,I215,J215)</x:f>
        <x:v>0.5</x:v>
      </x:c>
      <x:c r="L215" s="11" t="n">
        <x:f>K215*'管线假设'!E55*'管线假设'!F55*'管线假设'!G55*IF(E215="USD",'管线假设'!I55,1)-AM215</x:f>
        <x:v>0.06649999999999999</x:v>
      </x:c>
      <x:c r="M215" s="11" t="n">
        <x:f>'管线假设'!H55</x:f>
        <x:v>0.13</x:v>
      </x:c>
      <x:c r="N215" s="11" t="n">
        <x:f>IF(G215,L215*AN215/(1+M215)^F215,0)</x:f>
        <x:v>0.011683935339679057</x:v>
      </x:c>
      <x:c r="AJ215" t="n">
        <x:v>0</x:v>
      </x:c>
      <x:c r="AK215" t="n">
        <x:v>0</x:v>
      </x:c>
      <x:c r="AL215" t="n">
        <x:v>0</x:v>
      </x:c>
      <x:c r="AM215" t="n">
        <x:f>CHOOSE('假设'!$B$3,AJ215,AK215,AL215)</x:f>
        <x:v>0</x:v>
      </x:c>
      <x:c r="AN215" t="n">
        <x:v>1</x:v>
      </x:c>
    </x:row>
    <x:row r="216" ht="23" customHeight="1">
      <x:c r="A216" s="11" t="str">
        <x:v>01093.HK</x:v>
      </x:c>
      <x:c r="B216" s="11" t="str">
        <x:v>一年</x:v>
      </x:c>
      <x:c r="C216" s="11" t="str">
        <x:v>SYS6010_DOM</x:v>
      </x:c>
      <x:c r="D216" s="11" t="str">
        <x:v>2042-12-31</x:v>
      </x:c>
      <x:c r="E216" s="11" t="str">
        <x:v>CNY</x:v>
      </x:c>
      <x:c r="F216" s="11" t="n">
        <x:v>15.227926078028748</x:v>
      </x:c>
      <x:c r="G216" s="26" t="b">
        <x:v>1</x:v>
      </x:c>
      <x:c r="H216" s="16" t="n">
        <x:v>0.324</x:v>
      </x:c>
      <x:c r="I216" s="16" t="n">
        <x:v>0.25</x:v>
      </x:c>
      <x:c r="J216" s="16" t="n">
        <x:v>0.45</x:v>
      </x:c>
      <x:c r="K216" s="11" t="n">
        <x:f>CHOOSE('假设'!$B$3,H216,I216,J216)</x:f>
        <x:v>0.25</x:v>
      </x:c>
      <x:c r="L216" s="11" t="n">
        <x:f>K216*'管线假设'!E55*'管线假设'!F55*'管线假设'!G55*IF(E216="USD",'管线假设'!I55,1)-AM216</x:f>
        <x:v>0.033249999999999995</x:v>
      </x:c>
      <x:c r="M216" s="11" t="n">
        <x:f>'管线假设'!H55</x:f>
        <x:v>0.13</x:v>
      </x:c>
      <x:c r="N216" s="11" t="n">
        <x:f>IF(G216,L216*AN216/(1+M216)^F216,0)</x:f>
        <x:v>0.005170315390088831</x:v>
      </x:c>
      <x:c r="AJ216" t="n">
        <x:v>0</x:v>
      </x:c>
      <x:c r="AK216" t="n">
        <x:v>0</x:v>
      </x:c>
      <x:c r="AL216" t="n">
        <x:v>0</x:v>
      </x:c>
      <x:c r="AM216" t="n">
        <x:f>CHOOSE('假设'!$B$3,AJ216,AK216,AL216)</x:f>
        <x:v>0</x:v>
      </x:c>
      <x:c r="AN216" t="n">
        <x:v>1</x:v>
      </x:c>
    </x:row>
    <x:row r="217" ht="23" customHeight="1">
      <x:c r="A217" s="11" t="str">
        <x:v>01093.HK</x:v>
      </x:c>
      <x:c r="B217" s="11" t="str">
        <x:v>一年</x:v>
      </x:c>
      <x:c r="C217" s="11" t="str">
        <x:v>SYS6010_DOM</x:v>
      </x:c>
      <x:c r="D217" s="11" t="str">
        <x:v>2043-12-31</x:v>
      </x:c>
      <x:c r="E217" s="11" t="str">
        <x:v>CNY</x:v>
      </x:c>
      <x:c r="F217" s="11" t="n">
        <x:v>16.227241615331966</x:v>
      </x:c>
      <x:c r="G217" s="26" t="b">
        <x:v>1</x:v>
      </x:c>
      <x:c r="H217" s="16" t="n">
        <x:v>0.18000000000000002</x:v>
      </x:c>
      <x:c r="I217" s="16" t="n">
        <x:v>0.25</x:v>
      </x:c>
      <x:c r="J217" s="16" t="n">
        <x:v>0.45</x:v>
      </x:c>
      <x:c r="K217" s="11" t="n">
        <x:f>CHOOSE('假设'!$B$3,H217,I217,J217)</x:f>
        <x:v>0.25</x:v>
      </x:c>
      <x:c r="L217" s="11" t="n">
        <x:f>K217*'管线假设'!E55*'管线假设'!F55*'管线假设'!G55*IF(E217="USD",'管线假设'!I55,1)-AM217</x:f>
        <x:v>0.033249999999999995</x:v>
      </x:c>
      <x:c r="M217" s="11" t="n">
        <x:f>'管线假设'!H55</x:f>
        <x:v>0.13</x:v>
      </x:c>
      <x:c r="N217" s="11" t="n">
        <x:f>IF(G217,L217*AN217/(1+M217)^F217,0)</x:f>
        <x:v>0.004575883117429802</x:v>
      </x:c>
      <x:c r="AJ217" t="n">
        <x:v>0</x:v>
      </x:c>
      <x:c r="AK217" t="n">
        <x:v>0</x:v>
      </x:c>
      <x:c r="AL217" t="n">
        <x:v>0</x:v>
      </x:c>
      <x:c r="AM217" t="n">
        <x:f>CHOOSE('假设'!$B$3,AJ217,AK217,AL217)</x:f>
        <x:v>0</x:v>
      </x:c>
      <x:c r="AN217" t="n">
        <x:v>1</x:v>
      </x:c>
    </x:row>
    <x:row r="218" ht="23" customHeight="1">
      <x:c r="A218" s="11" t="str">
        <x:v>01093.HK</x:v>
      </x:c>
      <x:c r="B218" s="11" t="str">
        <x:v>一年</x:v>
      </x:c>
      <x:c r="C218" s="11" t="str">
        <x:v>JMT101_DOM</x:v>
      </x:c>
      <x:c r="D218" s="11" t="str">
        <x:v>2027-12-31</x:v>
      </x:c>
      <x:c r="E218" s="11" t="str">
        <x:v>CNY</x:v>
      </x:c>
      <x:c r="F218" s="11" t="n">
        <x:v>0.2272416153319644</x:v>
      </x:c>
      <x:c r="G218" s="26" t="b">
        <x:v>1</x:v>
      </x:c>
      <x:c r="H218" s="16" t="n">
        <x:v>0</x:v>
      </x:c>
      <x:c r="I218" s="16" t="n">
        <x:v>0.192</x:v>
      </x:c>
      <x:c r="J218" s="16" t="n">
        <x:v>0.384</x:v>
      </x:c>
      <x:c r="K218" s="11" t="n">
        <x:f>CHOOSE('假设'!$B$3,H218,I218,J218)</x:f>
        <x:v>0.192</x:v>
      </x:c>
      <x:c r="L218" s="11" t="n">
        <x:f>K218*'管线假设'!E59*'管线假设'!F59*'管线假设'!G59*IF(E218="USD",'管线假设'!I59,1)-AM218</x:f>
        <x:v>0.020217600000000002</x:v>
      </x:c>
      <x:c r="M218" s="11" t="n">
        <x:f>'管线假设'!H59</x:f>
        <x:v>0.13</x:v>
      </x:c>
      <x:c r="N218" s="11" t="n">
        <x:f>IF(G218,L218*AN218/(1+M218)^F218,0)</x:f>
        <x:v>0.01966382355728463</x:v>
      </x:c>
      <x:c r="AJ218" t="n">
        <x:v>0</x:v>
      </x:c>
      <x:c r="AK218" t="n">
        <x:v>0</x:v>
      </x:c>
      <x:c r="AL218" t="n">
        <x:v>0</x:v>
      </x:c>
      <x:c r="AM218" t="n">
        <x:f>CHOOSE('假设'!$B$3,AJ218,AK218,AL218)</x:f>
        <x:v>0</x:v>
      </x:c>
      <x:c r="AN218" t="n">
        <x:v>1</x:v>
      </x:c>
    </x:row>
    <x:row r="219" ht="23" customHeight="1">
      <x:c r="A219" s="11" t="str">
        <x:v>01093.HK</x:v>
      </x:c>
      <x:c r="B219" s="11" t="str">
        <x:v>一年</x:v>
      </x:c>
      <x:c r="C219" s="11" t="str">
        <x:v>JMT101_DOM</x:v>
      </x:c>
      <x:c r="D219" s="11" t="str">
        <x:v>2028-12-31</x:v>
      </x:c>
      <x:c r="E219" s="11" t="str">
        <x:v>CNY</x:v>
      </x:c>
      <x:c r="F219" s="11" t="n">
        <x:v>1.2292950034223136</x:v>
      </x:c>
      <x:c r="G219" s="26" t="b">
        <x:v>1</x:v>
      </x:c>
      <x:c r="H219" s="16" t="n">
        <x:v>0</x:v>
      </x:c>
      <x:c r="I219" s="16" t="n">
        <x:v>0.6</x:v>
      </x:c>
      <x:c r="J219" s="16" t="n">
        <x:v>1.2</x:v>
      </x:c>
      <x:c r="K219" s="11" t="n">
        <x:f>CHOOSE('假设'!$B$3,H219,I219,J219)</x:f>
        <x:v>0.6</x:v>
      </x:c>
      <x:c r="L219" s="11" t="n">
        <x:f>K219*'管线假设'!E59*'管线假设'!F59*'管线假设'!G59*IF(E219="USD",'管线假设'!I59,1)-AM219</x:f>
        <x:v>0.06318</x:v>
      </x:c>
      <x:c r="M219" s="11" t="n">
        <x:f>'管线假设'!H59</x:f>
        <x:v>0.13</x:v>
      </x:c>
      <x:c r="N219" s="11" t="n">
        <x:f>IF(G219,L219*AN219/(1+M219)^F219,0)</x:f>
        <x:v>0.054366397507592326</x:v>
      </x:c>
      <x:c r="AJ219" t="n">
        <x:v>0</x:v>
      </x:c>
      <x:c r="AK219" t="n">
        <x:v>0</x:v>
      </x:c>
      <x:c r="AL219" t="n">
        <x:v>0</x:v>
      </x:c>
      <x:c r="AM219" t="n">
        <x:f>CHOOSE('假设'!$B$3,AJ219,AK219,AL219)</x:f>
        <x:v>0</x:v>
      </x:c>
      <x:c r="AN219" t="n">
        <x:v>1</x:v>
      </x:c>
    </x:row>
    <x:row r="220" ht="23" customHeight="1">
      <x:c r="A220" s="11" t="str">
        <x:v>01093.HK</x:v>
      </x:c>
      <x:c r="B220" s="11" t="str">
        <x:v>一年</x:v>
      </x:c>
      <x:c r="C220" s="11" t="str">
        <x:v>JMT101_DOM</x:v>
      </x:c>
      <x:c r="D220" s="11" t="str">
        <x:v>2029-12-31</x:v>
      </x:c>
      <x:c r="E220" s="11" t="str">
        <x:v>CNY</x:v>
      </x:c>
      <x:c r="F220" s="11" t="n">
        <x:v>2.2286105407255303</x:v>
      </x:c>
      <x:c r="G220" s="26" t="b">
        <x:v>1</x:v>
      </x:c>
      <x:c r="H220" s="16" t="n">
        <x:v>0.064</x:v>
      </x:c>
      <x:c r="I220" s="16" t="n">
        <x:v>1.08</x:v>
      </x:c>
      <x:c r="J220" s="16" t="n">
        <x:v>2.16</x:v>
      </x:c>
      <x:c r="K220" s="11" t="n">
        <x:f>CHOOSE('假设'!$B$3,H220,I220,J220)</x:f>
        <x:v>1.08</x:v>
      </x:c>
      <x:c r="L220" s="11" t="n">
        <x:f>K220*'管线假设'!E59*'管线假设'!F59*'管线假设'!G59*IF(E220="USD",'管线假设'!I59,1)-AM220</x:f>
        <x:v>0.113724</x:v>
      </x:c>
      <x:c r="M220" s="11" t="n">
        <x:f>'管线假设'!H59</x:f>
        <x:v>0.13</x:v>
      </x:c>
      <x:c r="N220" s="11" t="n">
        <x:f>IF(G220,L220*AN220/(1+M220)^F220,0)</x:f>
        <x:v>0.08660858596309952</x:v>
      </x:c>
      <x:c r="AJ220" t="n">
        <x:v>0</x:v>
      </x:c>
      <x:c r="AK220" t="n">
        <x:v>0</x:v>
      </x:c>
      <x:c r="AL220" t="n">
        <x:v>0</x:v>
      </x:c>
      <x:c r="AM220" t="n">
        <x:f>CHOOSE('假设'!$B$3,AJ220,AK220,AL220)</x:f>
        <x:v>0</x:v>
      </x:c>
      <x:c r="AN220" t="n">
        <x:v>1</x:v>
      </x:c>
    </x:row>
    <x:row r="221" ht="23" customHeight="1">
      <x:c r="A221" s="11" t="str">
        <x:v>01093.HK</x:v>
      </x:c>
      <x:c r="B221" s="11" t="str">
        <x:v>一年</x:v>
      </x:c>
      <x:c r="C221" s="11" t="str">
        <x:v>JMT101_DOM</x:v>
      </x:c>
      <x:c r="D221" s="11" t="str">
        <x:v>2030-12-31</x:v>
      </x:c>
      <x:c r="E221" s="11" t="str">
        <x:v>CNY</x:v>
      </x:c>
      <x:c r="F221" s="11" t="n">
        <x:v>3.2279260780287475</x:v>
      </x:c>
      <x:c r="G221" s="26" t="b">
        <x:v>1</x:v>
      </x:c>
      <x:c r="H221" s="16" t="n">
        <x:v>0.2</x:v>
      </x:c>
      <x:c r="I221" s="16" t="n">
        <x:v>1.56</x:v>
      </x:c>
      <x:c r="J221" s="16" t="n">
        <x:v>3.12</x:v>
      </x:c>
      <x:c r="K221" s="11" t="n">
        <x:f>CHOOSE('假设'!$B$3,H221,I221,J221)</x:f>
        <x:v>1.56</x:v>
      </x:c>
      <x:c r="L221" s="11" t="n">
        <x:f>K221*'管线假设'!E59*'管线假设'!F59*'管线假设'!G59*IF(E221="USD",'管线假设'!I59,1)-AM221</x:f>
        <x:v>0.164268</x:v>
      </x:c>
      <x:c r="M221" s="11" t="n">
        <x:f>'管线假设'!H59</x:f>
        <x:v>0.13</x:v>
      </x:c>
      <x:c r="N221" s="11" t="n">
        <x:f>IF(G221,L221*AN221/(1+M221)^F221,0)</x:f>
        <x:v>0.11071836851589212</x:v>
      </x:c>
      <x:c r="AJ221" t="n">
        <x:v>0</x:v>
      </x:c>
      <x:c r="AK221" t="n">
        <x:v>0</x:v>
      </x:c>
      <x:c r="AL221" t="n">
        <x:v>0</x:v>
      </x:c>
      <x:c r="AM221" t="n">
        <x:f>CHOOSE('假设'!$B$3,AJ221,AK221,AL221)</x:f>
        <x:v>0</x:v>
      </x:c>
      <x:c r="AN221" t="n">
        <x:v>1</x:v>
      </x:c>
    </x:row>
    <x:row r="222" ht="23" customHeight="1">
      <x:c r="A222" s="11" t="str">
        <x:v>01093.HK</x:v>
      </x:c>
      <x:c r="B222" s="11" t="str">
        <x:v>一年</x:v>
      </x:c>
      <x:c r="C222" s="11" t="str">
        <x:v>JMT101_DOM</x:v>
      </x:c>
      <x:c r="D222" s="11" t="str">
        <x:v>2031-12-31</x:v>
      </x:c>
      <x:c r="E222" s="11" t="str">
        <x:v>CNY</x:v>
      </x:c>
      <x:c r="F222" s="11" t="n">
        <x:v>4.227241615331964</x:v>
      </x:c>
      <x:c r="G222" s="26" t="b">
        <x:v>1</x:v>
      </x:c>
      <x:c r="H222" s="16" t="n">
        <x:v>0.36000000000000004</x:v>
      </x:c>
      <x:c r="I222" s="16" t="n">
        <x:v>2.04</x:v>
      </x:c>
      <x:c r="J222" s="16" t="n">
        <x:v>4.08</x:v>
      </x:c>
      <x:c r="K222" s="11" t="n">
        <x:f>CHOOSE('假设'!$B$3,H222,I222,J222)</x:f>
        <x:v>2.04</x:v>
      </x:c>
      <x:c r="L222" s="11" t="n">
        <x:f>K222*'管线假设'!E59*'管线假设'!F59*'管线假设'!G59*IF(E222="USD",'管线假设'!I59,1)-AM222</x:f>
        <x:v>0.214812</x:v>
      </x:c>
      <x:c r="M222" s="11" t="n">
        <x:f>'管线假设'!H59</x:f>
        <x:v>0.13</x:v>
      </x:c>
      <x:c r="N222" s="11" t="n">
        <x:f>IF(G222,L222*AN222/(1+M222)^F222,0)</x:f>
        <x:v>0.12813953198307163</x:v>
      </x:c>
      <x:c r="AJ222" t="n">
        <x:v>0</x:v>
      </x:c>
      <x:c r="AK222" t="n">
        <x:v>0</x:v>
      </x:c>
      <x:c r="AL222" t="n">
        <x:v>0</x:v>
      </x:c>
      <x:c r="AM222" t="n">
        <x:f>CHOOSE('假设'!$B$3,AJ222,AK222,AL222)</x:f>
        <x:v>0</x:v>
      </x:c>
      <x:c r="AN222" t="n">
        <x:v>1</x:v>
      </x:c>
    </x:row>
    <x:row r="223" ht="23" customHeight="1">
      <x:c r="A223" s="11" t="str">
        <x:v>01093.HK</x:v>
      </x:c>
      <x:c r="B223" s="11" t="str">
        <x:v>一年</x:v>
      </x:c>
      <x:c r="C223" s="11" t="str">
        <x:v>JMT101_DOM</x:v>
      </x:c>
      <x:c r="D223" s="11" t="str">
        <x:v>2032-12-31</x:v>
      </x:c>
      <x:c r="E223" s="11" t="str">
        <x:v>CNY</x:v>
      </x:c>
      <x:c r="F223" s="11" t="n">
        <x:v>5.229295003422314</x:v>
      </x:c>
      <x:c r="G223" s="26" t="b">
        <x:v>1</x:v>
      </x:c>
      <x:c r="H223" s="16" t="n">
        <x:v>0.52</x:v>
      </x:c>
      <x:c r="I223" s="16" t="n">
        <x:v>2.4</x:v>
      </x:c>
      <x:c r="J223" s="16" t="n">
        <x:v>4.8</x:v>
      </x:c>
      <x:c r="K223" s="11" t="n">
        <x:f>CHOOSE('假设'!$B$3,H223,I223,J223)</x:f>
        <x:v>2.4</x:v>
      </x:c>
      <x:c r="L223" s="11" t="n">
        <x:f>K223*'管线假设'!E59*'管线假设'!F59*'管线假设'!G59*IF(E223="USD",'管线假设'!I59,1)-AM223</x:f>
        <x:v>0.25272</x:v>
      </x:c>
      <x:c r="M223" s="11" t="n">
        <x:f>'管线假设'!H59</x:f>
        <x:v>0.13</x:v>
      </x:c>
      <x:c r="N223" s="11" t="n">
        <x:f>IF(G223,L223*AN223/(1+M223)^F223,0)</x:f>
        <x:v>0.13337571899147105</x:v>
      </x:c>
      <x:c r="AJ223" t="n">
        <x:v>0</x:v>
      </x:c>
      <x:c r="AK223" t="n">
        <x:v>0</x:v>
      </x:c>
      <x:c r="AL223" t="n">
        <x:v>0</x:v>
      </x:c>
      <x:c r="AM223" t="n">
        <x:f>CHOOSE('假设'!$B$3,AJ223,AK223,AL223)</x:f>
        <x:v>0</x:v>
      </x:c>
      <x:c r="AN223" t="n">
        <x:v>1</x:v>
      </x:c>
    </x:row>
    <x:row r="224" ht="23" customHeight="1">
      <x:c r="A224" s="11" t="str">
        <x:v>01093.HK</x:v>
      </x:c>
      <x:c r="B224" s="11" t="str">
        <x:v>一年</x:v>
      </x:c>
      <x:c r="C224" s="11" t="str">
        <x:v>JMT101_DOM</x:v>
      </x:c>
      <x:c r="D224" s="11" t="str">
        <x:v>2033-12-31</x:v>
      </x:c>
      <x:c r="E224" s="11" t="str">
        <x:v>CNY</x:v>
      </x:c>
      <x:c r="F224" s="11" t="n">
        <x:v>6.228610540725531</x:v>
      </x:c>
      <x:c r="G224" s="26" t="b">
        <x:v>1</x:v>
      </x:c>
      <x:c r="H224" s="16" t="n">
        <x:v>0.68</x:v>
      </x:c>
      <x:c r="I224" s="16" t="n">
        <x:v>2.4</x:v>
      </x:c>
      <x:c r="J224" s="16" t="n">
        <x:v>4.8</x:v>
      </x:c>
      <x:c r="K224" s="11" t="n">
        <x:f>CHOOSE('假设'!$B$3,H224,I224,J224)</x:f>
        <x:v>2.4</x:v>
      </x:c>
      <x:c r="L224" s="11" t="n">
        <x:f>K224*'管线假设'!E59*'管线假设'!F59*'管线假设'!G59*IF(E224="USD",'管线假设'!I59,1)-AM224</x:f>
        <x:v>0.25272</x:v>
      </x:c>
      <x:c r="M224" s="11" t="n">
        <x:f>'管线假设'!H59</x:f>
        <x:v>0.13</x:v>
      </x:c>
      <x:c r="N224" s="11" t="n">
        <x:f>IF(G224,L224*AN224/(1+M224)^F224,0)</x:f>
        <x:v>0.1180414838866625</x:v>
      </x:c>
      <x:c r="AJ224" t="n">
        <x:v>0</x:v>
      </x:c>
      <x:c r="AK224" t="n">
        <x:v>0</x:v>
      </x:c>
      <x:c r="AL224" t="n">
        <x:v>0</x:v>
      </x:c>
      <x:c r="AM224" t="n">
        <x:f>CHOOSE('假设'!$B$3,AJ224,AK224,AL224)</x:f>
        <x:v>0</x:v>
      </x:c>
      <x:c r="AN224" t="n">
        <x:v>1</x:v>
      </x:c>
    </x:row>
    <x:row r="225" ht="23" customHeight="1">
      <x:c r="A225" s="11" t="str">
        <x:v>01093.HK</x:v>
      </x:c>
      <x:c r="B225" s="11" t="str">
        <x:v>一年</x:v>
      </x:c>
      <x:c r="C225" s="11" t="str">
        <x:v>JMT101_DOM</x:v>
      </x:c>
      <x:c r="D225" s="11" t="str">
        <x:v>2034-12-31</x:v>
      </x:c>
      <x:c r="E225" s="11" t="str">
        <x:v>CNY</x:v>
      </x:c>
      <x:c r="F225" s="11" t="n">
        <x:v>7.227926078028747</x:v>
      </x:c>
      <x:c r="G225" s="26" t="b">
        <x:v>1</x:v>
      </x:c>
      <x:c r="H225" s="16" t="n">
        <x:v>0.8</x:v>
      </x:c>
      <x:c r="I225" s="16" t="n">
        <x:v>2.28</x:v>
      </x:c>
      <x:c r="J225" s="16" t="n">
        <x:v>4.56</x:v>
      </x:c>
      <x:c r="K225" s="11" t="n">
        <x:f>CHOOSE('假设'!$B$3,H225,I225,J225)</x:f>
        <x:v>2.28</x:v>
      </x:c>
      <x:c r="L225" s="11" t="n">
        <x:f>K225*'管线假设'!E59*'管线假设'!F59*'管线假设'!G59*IF(E225="USD",'管线假设'!I59,1)-AM225</x:f>
        <x:v>0.240084</x:v>
      </x:c>
      <x:c r="M225" s="11" t="n">
        <x:f>'管线假设'!H59</x:f>
        <x:v>0.13</x:v>
      </x:c>
      <x:c r="N225" s="11" t="n">
        <x:f>IF(G225,L225*AN225/(1+M225)^F225,0)</x:f>
        <x:v>0.09924671763608948</x:v>
      </x:c>
      <x:c r="AJ225" t="n">
        <x:v>0</x:v>
      </x:c>
      <x:c r="AK225" t="n">
        <x:v>0</x:v>
      </x:c>
      <x:c r="AL225" t="n">
        <x:v>0</x:v>
      </x:c>
      <x:c r="AM225" t="n">
        <x:f>CHOOSE('假设'!$B$3,AJ225,AK225,AL225)</x:f>
        <x:v>0</x:v>
      </x:c>
      <x:c r="AN225" t="n">
        <x:v>1</x:v>
      </x:c>
    </x:row>
    <x:row r="226" ht="23" customHeight="1">
      <x:c r="A226" s="11" t="str">
        <x:v>01093.HK</x:v>
      </x:c>
      <x:c r="B226" s="11" t="str">
        <x:v>一年</x:v>
      </x:c>
      <x:c r="C226" s="11" t="str">
        <x:v>JMT101_DOM</x:v>
      </x:c>
      <x:c r="D226" s="11" t="str">
        <x:v>2035-12-31</x:v>
      </x:c>
      <x:c r="E226" s="11" t="str">
        <x:v>CNY</x:v>
      </x:c>
      <x:c r="F226" s="11" t="n">
        <x:v>8.227241615331964</x:v>
      </x:c>
      <x:c r="G226" s="26" t="b">
        <x:v>1</x:v>
      </x:c>
      <x:c r="H226" s="16" t="n">
        <x:v>0.8</x:v>
      </x:c>
      <x:c r="I226" s="16" t="n">
        <x:v>2.112</x:v>
      </x:c>
      <x:c r="J226" s="16" t="n">
        <x:v>4.224</x:v>
      </x:c>
      <x:c r="K226" s="11" t="n">
        <x:f>CHOOSE('假设'!$B$3,H226,I226,J226)</x:f>
        <x:v>2.112</x:v>
      </x:c>
      <x:c r="L226" s="11" t="n">
        <x:f>K226*'管线假设'!E59*'管线假设'!F59*'管线假设'!G59*IF(E226="USD",'管线假设'!I59,1)-AM226</x:f>
        <x:v>0.2223936</x:v>
      </x:c>
      <x:c r="M226" s="11" t="n">
        <x:f>'管线假设'!H59</x:f>
        <x:v>0.13</x:v>
      </x:c>
      <x:c r="N226" s="11" t="n">
        <x:f>IF(G226,L226*AN226/(1+M226)^F226,0)</x:f>
        <x:v>0.08136415265262788</x:v>
      </x:c>
      <x:c r="AJ226" t="n">
        <x:v>0</x:v>
      </x:c>
      <x:c r="AK226" t="n">
        <x:v>0</x:v>
      </x:c>
      <x:c r="AL226" t="n">
        <x:v>0</x:v>
      </x:c>
      <x:c r="AM226" t="n">
        <x:f>CHOOSE('假设'!$B$3,AJ226,AK226,AL226)</x:f>
        <x:v>0</x:v>
      </x:c>
      <x:c r="AN226" t="n">
        <x:v>1</x:v>
      </x:c>
    </x:row>
    <x:row r="227" ht="23" customHeight="1">
      <x:c r="A227" s="11" t="str">
        <x:v>01093.HK</x:v>
      </x:c>
      <x:c r="B227" s="11" t="str">
        <x:v>一年</x:v>
      </x:c>
      <x:c r="C227" s="11" t="str">
        <x:v>JMT101_DOM</x:v>
      </x:c>
      <x:c r="D227" s="11" t="str">
        <x:v>2036-12-31</x:v>
      </x:c>
      <x:c r="E227" s="11" t="str">
        <x:v>CNY</x:v>
      </x:c>
      <x:c r="F227" s="11" t="n">
        <x:v>9.229295003422314</x:v>
      </x:c>
      <x:c r="G227" s="26" t="b">
        <x:v>1</x:v>
      </x:c>
      <x:c r="H227" s="16" t="n">
        <x:v>0.76</x:v>
      </x:c>
      <x:c r="I227" s="16" t="n">
        <x:v>1.7999999999999998</x:v>
      </x:c>
      <x:c r="J227" s="16" t="n">
        <x:v>3.5999999999999996</x:v>
      </x:c>
      <x:c r="K227" s="11" t="n">
        <x:f>CHOOSE('假设'!$B$3,H227,I227,J227)</x:f>
        <x:v>1.7999999999999998</x:v>
      </x:c>
      <x:c r="L227" s="11" t="n">
        <x:f>K227*'管线假设'!E59*'管线假设'!F59*'管线假设'!G59*IF(E227="USD",'管线假设'!I59,1)-AM227</x:f>
        <x:v>0.18954</x:v>
      </x:c>
      <x:c r="M227" s="11" t="n">
        <x:f>'管线假设'!H59</x:f>
        <x:v>0.13</x:v>
      </x:c>
      <x:c r="N227" s="11" t="n">
        <x:f>IF(G227,L227*AN227/(1+M227)^F227,0)</x:f>
        <x:v>0.06135136970637833</x:v>
      </x:c>
      <x:c r="AJ227" t="n">
        <x:v>0</x:v>
      </x:c>
      <x:c r="AK227" t="n">
        <x:v>0</x:v>
      </x:c>
      <x:c r="AL227" t="n">
        <x:v>0</x:v>
      </x:c>
      <x:c r="AM227" t="n">
        <x:f>CHOOSE('假设'!$B$3,AJ227,AK227,AL227)</x:f>
        <x:v>0</x:v>
      </x:c>
      <x:c r="AN227" t="n">
        <x:v>1</x:v>
      </x:c>
    </x:row>
    <x:row r="228" ht="23" customHeight="1">
      <x:c r="A228" s="11" t="str">
        <x:v>01093.HK</x:v>
      </x:c>
      <x:c r="B228" s="11" t="str">
        <x:v>一年</x:v>
      </x:c>
      <x:c r="C228" s="11" t="str">
        <x:v>JMT101_DOM</x:v>
      </x:c>
      <x:c r="D228" s="11" t="str">
        <x:v>2037-12-31</x:v>
      </x:c>
      <x:c r="E228" s="11" t="str">
        <x:v>CNY</x:v>
      </x:c>
      <x:c r="F228" s="11" t="n">
        <x:v>10.22861054072553</x:v>
      </x:c>
      <x:c r="G228" s="26" t="b">
        <x:v>1</x:v>
      </x:c>
      <x:c r="H228" s="16" t="n">
        <x:v>0.7040000000000001</x:v>
      </x:c>
      <x:c r="I228" s="16" t="n">
        <x:v>1.44</x:v>
      </x:c>
      <x:c r="J228" s="16" t="n">
        <x:v>2.88</x:v>
      </x:c>
      <x:c r="K228" s="11" t="n">
        <x:f>CHOOSE('假设'!$B$3,H228,I228,J228)</x:f>
        <x:v>1.44</x:v>
      </x:c>
      <x:c r="L228" s="11" t="n">
        <x:f>K228*'管线假设'!E59*'管线假设'!F59*'管线假设'!G59*IF(E228="USD",'管线假设'!I59,1)-AM228</x:f>
        <x:v>0.151632</x:v>
      </x:c>
      <x:c r="M228" s="11" t="n">
        <x:f>'管线假设'!H59</x:f>
        <x:v>0.13</x:v>
      </x:c>
      <x:c r="N228" s="11" t="n">
        <x:f>IF(G228,L228*AN228/(1+M228)^F228,0)</x:f>
        <x:v>0.0434382316264521</x:v>
      </x:c>
      <x:c r="AJ228" t="n">
        <x:v>0</x:v>
      </x:c>
      <x:c r="AK228" t="n">
        <x:v>0</x:v>
      </x:c>
      <x:c r="AL228" t="n">
        <x:v>0</x:v>
      </x:c>
      <x:c r="AM228" t="n">
        <x:f>CHOOSE('假设'!$B$3,AJ228,AK228,AL228)</x:f>
        <x:v>0</x:v>
      </x:c>
      <x:c r="AN228" t="n">
        <x:v>1</x:v>
      </x:c>
    </x:row>
    <x:row r="229" ht="23" customHeight="1">
      <x:c r="A229" s="11" t="str">
        <x:v>01093.HK</x:v>
      </x:c>
      <x:c r="B229" s="11" t="str">
        <x:v>一年</x:v>
      </x:c>
      <x:c r="C229" s="11" t="str">
        <x:v>JMT101_DOM</x:v>
      </x:c>
      <x:c r="D229" s="11" t="str">
        <x:v>2038-12-31</x:v>
      </x:c>
      <x:c r="E229" s="11" t="str">
        <x:v>CNY</x:v>
      </x:c>
      <x:c r="F229" s="11" t="n">
        <x:v>11.227926078028748</x:v>
      </x:c>
      <x:c r="G229" s="26" t="b">
        <x:v>1</x:v>
      </x:c>
      <x:c r="H229" s="16" t="n">
        <x:v>0.6000000000000001</x:v>
      </x:c>
      <x:c r="I229" s="16" t="n">
        <x:v>1.08</x:v>
      </x:c>
      <x:c r="J229" s="16" t="n">
        <x:v>2.16</x:v>
      </x:c>
      <x:c r="K229" s="11" t="n">
        <x:f>CHOOSE('假设'!$B$3,H229,I229,J229)</x:f>
        <x:v>1.08</x:v>
      </x:c>
      <x:c r="L229" s="11" t="n">
        <x:f>K229*'管线假设'!E59*'管线假设'!F59*'管线假设'!G59*IF(E229="USD",'管线假设'!I59,1)-AM229</x:f>
        <x:v>0.113724</x:v>
      </x:c>
      <x:c r="M229" s="11" t="n">
        <x:f>'管线假设'!H59</x:f>
        <x:v>0.13</x:v>
      </x:c>
      <x:c r="N229" s="11" t="n">
        <x:f>IF(G229,L229*AN229/(1+M229)^F229,0)</x:f>
        <x:v>0.02883309659380457</x:v>
      </x:c>
      <x:c r="AJ229" t="n">
        <x:v>0</x:v>
      </x:c>
      <x:c r="AK229" t="n">
        <x:v>0</x:v>
      </x:c>
      <x:c r="AL229" t="n">
        <x:v>0</x:v>
      </x:c>
      <x:c r="AM229" t="n">
        <x:f>CHOOSE('假设'!$B$3,AJ229,AK229,AL229)</x:f>
        <x:v>0</x:v>
      </x:c>
      <x:c r="AN229" t="n">
        <x:v>1</x:v>
      </x:c>
    </x:row>
    <x:row r="230" ht="23" customHeight="1">
      <x:c r="A230" s="11" t="str">
        <x:v>01093.HK</x:v>
      </x:c>
      <x:c r="B230" s="11" t="str">
        <x:v>一年</x:v>
      </x:c>
      <x:c r="C230" s="11" t="str">
        <x:v>JMT101_DOM</x:v>
      </x:c>
      <x:c r="D230" s="11" t="str">
        <x:v>2039-12-31</x:v>
      </x:c>
      <x:c r="E230" s="11" t="str">
        <x:v>CNY</x:v>
      </x:c>
      <x:c r="F230" s="11" t="n">
        <x:v>12.227241615331964</x:v>
      </x:c>
      <x:c r="G230" s="26" t="b">
        <x:v>1</x:v>
      </x:c>
      <x:c r="H230" s="16" t="n">
        <x:v>0.48</x:v>
      </x:c>
      <x:c r="I230" s="16" t="n">
        <x:v>0.72</x:v>
      </x:c>
      <x:c r="J230" s="16" t="n">
        <x:v>1.44</x:v>
      </x:c>
      <x:c r="K230" s="11" t="n">
        <x:f>CHOOSE('假设'!$B$3,H230,I230,J230)</x:f>
        <x:v>0.72</x:v>
      </x:c>
      <x:c r="L230" s="11" t="n">
        <x:f>K230*'管线假设'!E59*'管线假设'!F59*'管线假设'!G59*IF(E230="USD",'管线假设'!I59,1)-AM230</x:f>
        <x:v>0.075816</x:v>
      </x:c>
      <x:c r="M230" s="11" t="n">
        <x:f>'管线假设'!H59</x:f>
        <x:v>0.13</x:v>
      </x:c>
      <x:c r="N230" s="11" t="n">
        <x:f>IF(G230,L230*AN230/(1+M230)^F230,0)</x:f>
        <x:v>0.01701209951714329</x:v>
      </x:c>
      <x:c r="AJ230" t="n">
        <x:v>0</x:v>
      </x:c>
      <x:c r="AK230" t="n">
        <x:v>0</x:v>
      </x:c>
      <x:c r="AL230" t="n">
        <x:v>0</x:v>
      </x:c>
      <x:c r="AM230" t="n">
        <x:f>CHOOSE('假设'!$B$3,AJ230,AK230,AL230)</x:f>
        <x:v>0</x:v>
      </x:c>
      <x:c r="AN230" t="n">
        <x:v>1</x:v>
      </x:c>
    </x:row>
    <x:row r="231" ht="23" customHeight="1">
      <x:c r="A231" s="11" t="str">
        <x:v>01093.HK</x:v>
      </x:c>
      <x:c r="B231" s="11" t="str">
        <x:v>一年</x:v>
      </x:c>
      <x:c r="C231" s="11" t="str">
        <x:v>JMT101_DOM</x:v>
      </x:c>
      <x:c r="D231" s="11" t="str">
        <x:v>2040-12-31</x:v>
      </x:c>
      <x:c r="E231" s="11" t="str">
        <x:v>CNY</x:v>
      </x:c>
      <x:c r="F231" s="11" t="n">
        <x:v>13.229295003422314</x:v>
      </x:c>
      <x:c r="G231" s="26" t="b">
        <x:v>1</x:v>
      </x:c>
      <x:c r="H231" s="16" t="n">
        <x:v>0.36000000000000004</x:v>
      </x:c>
      <x:c r="I231" s="16" t="n">
        <x:v>0.432</x:v>
      </x:c>
      <x:c r="J231" s="16" t="n">
        <x:v>0.864</x:v>
      </x:c>
      <x:c r="K231" s="11" t="n">
        <x:f>CHOOSE('假设'!$B$3,H231,I231,J231)</x:f>
        <x:v>0.432</x:v>
      </x:c>
      <x:c r="L231" s="11" t="n">
        <x:f>K231*'管线假设'!E59*'管线假设'!F59*'管线假设'!G59*IF(E231="USD",'管线假设'!I59,1)-AM231</x:f>
        <x:v>0.0454896</x:v>
      </x:c>
      <x:c r="M231" s="11" t="n">
        <x:f>'管线假设'!H59</x:f>
        <x:v>0.13</x:v>
      </x:c>
      <x:c r="N231" s="11" t="n">
        <x:f>IF(G231,L231*AN231/(1+M231)^F231,0)</x:f>
        <x:v>0.009030706562328725</x:v>
      </x:c>
      <x:c r="AJ231" t="n">
        <x:v>0</x:v>
      </x:c>
      <x:c r="AK231" t="n">
        <x:v>0</x:v>
      </x:c>
      <x:c r="AL231" t="n">
        <x:v>0</x:v>
      </x:c>
      <x:c r="AM231" t="n">
        <x:f>CHOOSE('假设'!$B$3,AJ231,AK231,AL231)</x:f>
        <x:v>0</x:v>
      </x:c>
      <x:c r="AN231" t="n">
        <x:v>1</x:v>
      </x:c>
    </x:row>
    <x:row r="232" ht="23" customHeight="1">
      <x:c r="A232" s="11" t="str">
        <x:v>01093.HK</x:v>
      </x:c>
      <x:c r="B232" s="11" t="str">
        <x:v>一年</x:v>
      </x:c>
      <x:c r="C232" s="11" t="str">
        <x:v>JMT101_DOM</x:v>
      </x:c>
      <x:c r="D232" s="11" t="str">
        <x:v>2041-12-31</x:v>
      </x:c>
      <x:c r="E232" s="11" t="str">
        <x:v>CNY</x:v>
      </x:c>
      <x:c r="F232" s="11" t="n">
        <x:v>14.22861054072553</x:v>
      </x:c>
      <x:c r="G232" s="26" t="b">
        <x:v>1</x:v>
      </x:c>
      <x:c r="H232" s="16" t="n">
        <x:v>0.24</x:v>
      </x:c>
      <x:c r="I232" s="16" t="n">
        <x:v>0.24</x:v>
      </x:c>
      <x:c r="J232" s="16" t="n">
        <x:v>0.48</x:v>
      </x:c>
      <x:c r="K232" s="11" t="n">
        <x:f>CHOOSE('假设'!$B$3,H232,I232,J232)</x:f>
        <x:v>0.24</x:v>
      </x:c>
      <x:c r="L232" s="11" t="n">
        <x:f>K232*'管线假设'!E59*'管线假设'!F59*'管线假设'!G59*IF(E232="USD",'管线假设'!I59,1)-AM232</x:f>
        <x:v>0.025272</x:v>
      </x:c>
      <x:c r="M232" s="11" t="n">
        <x:f>'管线假设'!H59</x:f>
        <x:v>0.13</x:v>
      </x:c>
      <x:c r="N232" s="11" t="n">
        <x:f>IF(G232,L232*AN232/(1+M232)^F232,0)</x:f>
        <x:v>0.004440246825629612</x:v>
      </x:c>
      <x:c r="AJ232" t="n">
        <x:v>0</x:v>
      </x:c>
      <x:c r="AK232" t="n">
        <x:v>0</x:v>
      </x:c>
      <x:c r="AL232" t="n">
        <x:v>0</x:v>
      </x:c>
      <x:c r="AM232" t="n">
        <x:f>CHOOSE('假设'!$B$3,AJ232,AK232,AL232)</x:f>
        <x:v>0</x:v>
      </x:c>
      <x:c r="AN232" t="n">
        <x:v>1</x:v>
      </x:c>
    </x:row>
    <x:row r="233" ht="23" customHeight="1">
      <x:c r="A233" s="11" t="str">
        <x:v>01093.HK</x:v>
      </x:c>
      <x:c r="B233" s="11" t="str">
        <x:v>一年</x:v>
      </x:c>
      <x:c r="C233" s="11" t="str">
        <x:v>JMT101_DOM</x:v>
      </x:c>
      <x:c r="D233" s="11" t="str">
        <x:v>2042-12-31</x:v>
      </x:c>
      <x:c r="E233" s="11" t="str">
        <x:v>CNY</x:v>
      </x:c>
      <x:c r="F233" s="11" t="n">
        <x:v>15.227926078028748</x:v>
      </x:c>
      <x:c r="G233" s="26" t="b">
        <x:v>1</x:v>
      </x:c>
      <x:c r="H233" s="16" t="n">
        <x:v>0.144</x:v>
      </x:c>
      <x:c r="I233" s="16" t="n">
        <x:v>0.12</x:v>
      </x:c>
      <x:c r="J233" s="16" t="n">
        <x:v>0.24</x:v>
      </x:c>
      <x:c r="K233" s="11" t="n">
        <x:f>CHOOSE('假设'!$B$3,H233,I233,J233)</x:f>
        <x:v>0.12</x:v>
      </x:c>
      <x:c r="L233" s="11" t="n">
        <x:f>K233*'管线假设'!E59*'管线假设'!F59*'管线假设'!G59*IF(E233="USD",'管线假设'!I59,1)-AM233</x:f>
        <x:v>0.012636</x:v>
      </x:c>
      <x:c r="M233" s="11" t="n">
        <x:f>'管线假设'!H59</x:f>
        <x:v>0.13</x:v>
      </x:c>
      <x:c r="N233" s="11" t="n">
        <x:f>IF(G233,L233*AN233/(1+M233)^F233,0)</x:f>
        <x:v>0.0019648753464409766</x:v>
      </x:c>
      <x:c r="AJ233" t="n">
        <x:v>0</x:v>
      </x:c>
      <x:c r="AK233" t="n">
        <x:v>0</x:v>
      </x:c>
      <x:c r="AL233" t="n">
        <x:v>0</x:v>
      </x:c>
      <x:c r="AM233" t="n">
        <x:f>CHOOSE('假设'!$B$3,AJ233,AK233,AL233)</x:f>
        <x:v>0</x:v>
      </x:c>
      <x:c r="AN233" t="n">
        <x:v>1</x:v>
      </x:c>
    </x:row>
    <x:row r="234" ht="23" customHeight="1">
      <x:c r="A234" s="11" t="str">
        <x:v>01093.HK</x:v>
      </x:c>
      <x:c r="B234" s="11" t="str">
        <x:v>一年</x:v>
      </x:c>
      <x:c r="C234" s="11" t="str">
        <x:v>JMT101_DOM</x:v>
      </x:c>
      <x:c r="D234" s="11" t="str">
        <x:v>2043-12-31</x:v>
      </x:c>
      <x:c r="E234" s="11" t="str">
        <x:v>CNY</x:v>
      </x:c>
      <x:c r="F234" s="11" t="n">
        <x:v>16.227241615331966</x:v>
      </x:c>
      <x:c r="G234" s="26" t="b">
        <x:v>1</x:v>
      </x:c>
      <x:c r="H234" s="16" t="n">
        <x:v>0.08000000000000002</x:v>
      </x:c>
      <x:c r="I234" s="16" t="n">
        <x:v>0.12</x:v>
      </x:c>
      <x:c r="J234" s="16" t="n">
        <x:v>0.24</x:v>
      </x:c>
      <x:c r="K234" s="11" t="n">
        <x:f>CHOOSE('假设'!$B$3,H234,I234,J234)</x:f>
        <x:v>0.12</x:v>
      </x:c>
      <x:c r="L234" s="11" t="n">
        <x:f>K234*'管线假设'!E59*'管线假设'!F59*'管线假设'!G59*IF(E234="USD",'管线假设'!I59,1)-AM234</x:f>
        <x:v>0.012636</x:v>
      </x:c>
      <x:c r="M234" s="11" t="n">
        <x:f>'管线假设'!H59</x:f>
        <x:v>0.13</x:v>
      </x:c>
      <x:c r="N234" s="11" t="n">
        <x:f>IF(G234,L234*AN234/(1+M234)^F234,0)</x:f>
        <x:v>0.00173897320516821</x:v>
      </x:c>
      <x:c r="AJ234" t="n">
        <x:v>0</x:v>
      </x:c>
      <x:c r="AK234" t="n">
        <x:v>0</x:v>
      </x:c>
      <x:c r="AL234" t="n">
        <x:v>0</x:v>
      </x:c>
      <x:c r="AM234" t="n">
        <x:f>CHOOSE('假设'!$B$3,AJ234,AK234,AL234)</x:f>
        <x:v>0</x:v>
      </x:c>
      <x:c r="AN234" t="n">
        <x:v>1</x:v>
      </x:c>
    </x:row>
    <x:row r="235" ht="23" customHeight="1">
      <x:c r="A235" s="11" t="str">
        <x:v>01093.HK</x:v>
      </x:c>
      <x:c r="B235" s="11" t="str">
        <x:v>一年</x:v>
      </x:c>
      <x:c r="C235" s="11" t="str">
        <x:v>KN026_HB_INCREMENT_DOM</x:v>
      </x:c>
      <x:c r="D235" s="11" t="str">
        <x:v>2027-12-31</x:v>
      </x:c>
      <x:c r="E235" s="11" t="str">
        <x:v>CNY</x:v>
      </x:c>
      <x:c r="F235" s="11" t="n">
        <x:v>0.2272416153319644</x:v>
      </x:c>
      <x:c r="G235" s="26" t="b">
        <x:v>1</x:v>
      </x:c>
      <x:c r="H235" s="16" t="n">
        <x:v>0</x:v>
      </x:c>
      <x:c r="I235" s="16" t="n">
        <x:v>0.28</x:v>
      </x:c>
      <x:c r="J235" s="16" t="n">
        <x:v>0.48</x:v>
      </x:c>
      <x:c r="K235" s="11" t="n">
        <x:f>CHOOSE('假设'!$B$3,H235,I235,J235)</x:f>
        <x:v>0.28</x:v>
      </x:c>
      <x:c r="L235" s="11" t="n">
        <x:f>K235*'管线假设'!E63*'管线假设'!F63*'管线假设'!G63*IF(E235="USD",'管线假设'!I63,1)-AM235</x:f>
        <x:v>0.028224</x:v>
      </x:c>
      <x:c r="M235" s="11" t="n">
        <x:f>'管线假设'!H63</x:f>
        <x:v>0.13</x:v>
      </x:c>
      <x:c r="N235" s="11" t="n">
        <x:f>IF(G235,L235*AN235/(1+M235)^F235,0)</x:f>
        <x:v>0.027450921775126688</x:v>
      </x:c>
      <x:c r="AJ235" t="n">
        <x:v>0</x:v>
      </x:c>
      <x:c r="AK235" t="n">
        <x:v>0</x:v>
      </x:c>
      <x:c r="AL235" t="n">
        <x:v>0</x:v>
      </x:c>
      <x:c r="AM235" t="n">
        <x:f>CHOOSE('假设'!$B$3,AJ235,AK235,AL235)</x:f>
        <x:v>0</x:v>
      </x:c>
      <x:c r="AN235" t="n">
        <x:v>1</x:v>
      </x:c>
    </x:row>
    <x:row r="236" ht="23" customHeight="1">
      <x:c r="A236" s="11" t="str">
        <x:v>01093.HK</x:v>
      </x:c>
      <x:c r="B236" s="11" t="str">
        <x:v>一年</x:v>
      </x:c>
      <x:c r="C236" s="11" t="str">
        <x:v>KN026_HB_INCREMENT_DOM</x:v>
      </x:c>
      <x:c r="D236" s="11" t="str">
        <x:v>2028-12-31</x:v>
      </x:c>
      <x:c r="E236" s="11" t="str">
        <x:v>CNY</x:v>
      </x:c>
      <x:c r="F236" s="11" t="n">
        <x:v>1.2292950034223136</x:v>
      </x:c>
      <x:c r="G236" s="26" t="b">
        <x:v>1</x:v>
      </x:c>
      <x:c r="H236" s="16" t="n">
        <x:v>0</x:v>
      </x:c>
      <x:c r="I236" s="16" t="n">
        <x:v>0.875</x:v>
      </x:c>
      <x:c r="J236" s="16" t="n">
        <x:v>1.5</x:v>
      </x:c>
      <x:c r="K236" s="11" t="n">
        <x:f>CHOOSE('假设'!$B$3,H236,I236,J236)</x:f>
        <x:v>0.875</x:v>
      </x:c>
      <x:c r="L236" s="11" t="n">
        <x:f>K236*'管线假设'!E63*'管线假设'!F63*'管线假设'!G63*IF(E236="USD",'管线假设'!I63,1)-AM236</x:f>
        <x:v>0.08819999999999999</x:v>
      </x:c>
      <x:c r="M236" s="11" t="n">
        <x:f>'管线假设'!H63</x:f>
        <x:v>0.13</x:v>
      </x:c>
      <x:c r="N236" s="11" t="n">
        <x:f>IF(G236,L236*AN236/(1+M236)^F236,0)</x:f>
        <x:v>0.07589611048068443</x:v>
      </x:c>
      <x:c r="AJ236" t="n">
        <x:v>0</x:v>
      </x:c>
      <x:c r="AK236" t="n">
        <x:v>0</x:v>
      </x:c>
      <x:c r="AL236" t="n">
        <x:v>0</x:v>
      </x:c>
      <x:c r="AM236" t="n">
        <x:f>CHOOSE('假设'!$B$3,AJ236,AK236,AL236)</x:f>
        <x:v>0</x:v>
      </x:c>
      <x:c r="AN236" t="n">
        <x:v>1</x:v>
      </x:c>
    </x:row>
    <x:row r="237" ht="23" customHeight="1">
      <x:c r="A237" s="11" t="str">
        <x:v>01093.HK</x:v>
      </x:c>
      <x:c r="B237" s="11" t="str">
        <x:v>一年</x:v>
      </x:c>
      <x:c r="C237" s="11" t="str">
        <x:v>KN026_HB_INCREMENT_DOM</x:v>
      </x:c>
      <x:c r="D237" s="11" t="str">
        <x:v>2029-12-31</x:v>
      </x:c>
      <x:c r="E237" s="11" t="str">
        <x:v>CNY</x:v>
      </x:c>
      <x:c r="F237" s="11" t="n">
        <x:v>2.2286105407255303</x:v>
      </x:c>
      <x:c r="G237" s="26" t="b">
        <x:v>1</x:v>
      </x:c>
      <x:c r="H237" s="16" t="n">
        <x:v>0.10400000000000001</x:v>
      </x:c>
      <x:c r="I237" s="16" t="n">
        <x:v>1.575</x:v>
      </x:c>
      <x:c r="J237" s="16" t="n">
        <x:v>2.7</x:v>
      </x:c>
      <x:c r="K237" s="11" t="n">
        <x:f>CHOOSE('假设'!$B$3,H237,I237,J237)</x:f>
        <x:v>1.575</x:v>
      </x:c>
      <x:c r="L237" s="11" t="n">
        <x:f>K237*'管线假设'!E63*'管线假设'!F63*'管线假设'!G63*IF(E237="USD",'管线假设'!I63,1)-AM237</x:f>
        <x:v>0.15875999999999998</x:v>
      </x:c>
      <x:c r="M237" s="11" t="n">
        <x:f>'管线假设'!H63</x:f>
        <x:v>0.13</x:v>
      </x:c>
      <x:c r="N237" s="11" t="n">
        <x:f>IF(G237,L237*AN237/(1+M237)^F237,0)</x:f>
        <x:v>0.12090657299691954</x:v>
      </x:c>
      <x:c r="AJ237" t="n">
        <x:v>0</x:v>
      </x:c>
      <x:c r="AK237" t="n">
        <x:v>0</x:v>
      </x:c>
      <x:c r="AL237" t="n">
        <x:v>0</x:v>
      </x:c>
      <x:c r="AM237" t="n">
        <x:f>CHOOSE('假设'!$B$3,AJ237,AK237,AL237)</x:f>
        <x:v>0</x:v>
      </x:c>
      <x:c r="AN237" t="n">
        <x:v>1</x:v>
      </x:c>
    </x:row>
    <x:row r="238" ht="23" customHeight="1">
      <x:c r="A238" s="11" t="str">
        <x:v>01093.HK</x:v>
      </x:c>
      <x:c r="B238" s="11" t="str">
        <x:v>一年</x:v>
      </x:c>
      <x:c r="C238" s="11" t="str">
        <x:v>KN026_HB_INCREMENT_DOM</x:v>
      </x:c>
      <x:c r="D238" s="11" t="str">
        <x:v>2030-12-31</x:v>
      </x:c>
      <x:c r="E238" s="11" t="str">
        <x:v>CNY</x:v>
      </x:c>
      <x:c r="F238" s="11" t="n">
        <x:v>3.2279260780287475</x:v>
      </x:c>
      <x:c r="G238" s="26" t="b">
        <x:v>1</x:v>
      </x:c>
      <x:c r="H238" s="16" t="n">
        <x:v>0.325</x:v>
      </x:c>
      <x:c r="I238" s="16" t="n">
        <x:v>2.275</x:v>
      </x:c>
      <x:c r="J238" s="16" t="n">
        <x:v>3.9000000000000004</x:v>
      </x:c>
      <x:c r="K238" s="11" t="n">
        <x:f>CHOOSE('假设'!$B$3,H238,I238,J238)</x:f>
        <x:v>2.275</x:v>
      </x:c>
      <x:c r="L238" s="11" t="n">
        <x:f>K238*'管线假设'!E63*'管线假设'!F63*'管线假设'!G63*IF(E238="USD",'管线假设'!I63,1)-AM238</x:f>
        <x:v>0.22931999999999997</x:v>
      </x:c>
      <x:c r="M238" s="11" t="n">
        <x:f>'管线假设'!H63</x:f>
        <x:v>0.13</x:v>
      </x:c>
      <x:c r="N238" s="11" t="n">
        <x:f>IF(G238,L238*AN238/(1+M238)^F238,0)</x:f>
        <x:v>0.15456410419597472</x:v>
      </x:c>
      <x:c r="AJ238" t="n">
        <x:v>0</x:v>
      </x:c>
      <x:c r="AK238" t="n">
        <x:v>0</x:v>
      </x:c>
      <x:c r="AL238" t="n">
        <x:v>0</x:v>
      </x:c>
      <x:c r="AM238" t="n">
        <x:f>CHOOSE('假设'!$B$3,AJ238,AK238,AL238)</x:f>
        <x:v>0</x:v>
      </x:c>
      <x:c r="AN238" t="n">
        <x:v>1</x:v>
      </x:c>
    </x:row>
    <x:row r="239" ht="23" customHeight="1">
      <x:c r="A239" s="11" t="str">
        <x:v>01093.HK</x:v>
      </x:c>
      <x:c r="B239" s="11" t="str">
        <x:v>一年</x:v>
      </x:c>
      <x:c r="C239" s="11" t="str">
        <x:v>KN026_HB_INCREMENT_DOM</x:v>
      </x:c>
      <x:c r="D239" s="11" t="str">
        <x:v>2031-12-31</x:v>
      </x:c>
      <x:c r="E239" s="11" t="str">
        <x:v>CNY</x:v>
      </x:c>
      <x:c r="F239" s="11" t="n">
        <x:v>4.227241615331964</x:v>
      </x:c>
      <x:c r="G239" s="26" t="b">
        <x:v>1</x:v>
      </x:c>
      <x:c r="H239" s="16" t="n">
        <x:v>0.5850000000000001</x:v>
      </x:c>
      <x:c r="I239" s="16" t="n">
        <x:v>2.975</x:v>
      </x:c>
      <x:c r="J239" s="16" t="n">
        <x:v>5.1</x:v>
      </x:c>
      <x:c r="K239" s="11" t="n">
        <x:f>CHOOSE('假设'!$B$3,H239,I239,J239)</x:f>
        <x:v>2.975</x:v>
      </x:c>
      <x:c r="L239" s="11" t="n">
        <x:f>K239*'管线假设'!E63*'管线假设'!F63*'管线假设'!G63*IF(E239="USD",'管线假设'!I63,1)-AM239</x:f>
        <x:v>0.29988</x:v>
      </x:c>
      <x:c r="M239" s="11" t="n">
        <x:f>'管线假设'!H63</x:f>
        <x:v>0.13</x:v>
      </x:c>
      <x:c r="N239" s="11" t="n">
        <x:f>IF(G239,L239*AN239/(1+M239)^F239,0)</x:f>
        <x:v>0.17888424692793473</x:v>
      </x:c>
      <x:c r="AJ239" t="n">
        <x:v>0</x:v>
      </x:c>
      <x:c r="AK239" t="n">
        <x:v>0</x:v>
      </x:c>
      <x:c r="AL239" t="n">
        <x:v>0</x:v>
      </x:c>
      <x:c r="AM239" t="n">
        <x:f>CHOOSE('假设'!$B$3,AJ239,AK239,AL239)</x:f>
        <x:v>0</x:v>
      </x:c>
      <x:c r="AN239" t="n">
        <x:v>1</x:v>
      </x:c>
    </x:row>
    <x:row r="240" ht="23" customHeight="1">
      <x:c r="A240" s="11" t="str">
        <x:v>01093.HK</x:v>
      </x:c>
      <x:c r="B240" s="11" t="str">
        <x:v>一年</x:v>
      </x:c>
      <x:c r="C240" s="11" t="str">
        <x:v>KN026_HB_INCREMENT_DOM</x:v>
      </x:c>
      <x:c r="D240" s="11" t="str">
        <x:v>2032-12-31</x:v>
      </x:c>
      <x:c r="E240" s="11" t="str">
        <x:v>CNY</x:v>
      </x:c>
      <x:c r="F240" s="11" t="n">
        <x:v>5.229295003422314</x:v>
      </x:c>
      <x:c r="G240" s="26" t="b">
        <x:v>1</x:v>
      </x:c>
      <x:c r="H240" s="16" t="n">
        <x:v>0.8450000000000001</x:v>
      </x:c>
      <x:c r="I240" s="16" t="n">
        <x:v>3.5</x:v>
      </x:c>
      <x:c r="J240" s="16" t="n">
        <x:v>6</x:v>
      </x:c>
      <x:c r="K240" s="11" t="n">
        <x:f>CHOOSE('假设'!$B$3,H240,I240,J240)</x:f>
        <x:v>3.5</x:v>
      </x:c>
      <x:c r="L240" s="11" t="n">
        <x:f>K240*'管线假设'!E63*'管线假设'!F63*'管线假设'!G63*IF(E240="USD",'管线假设'!I63,1)-AM240</x:f>
        <x:v>0.35279999999999995</x:v>
      </x:c>
      <x:c r="M240" s="11" t="n">
        <x:f>'管线假设'!H63</x:f>
        <x:v>0.13</x:v>
      </x:c>
      <x:c r="N240" s="11" t="n">
        <x:f>IF(G240,L240*AN240/(1+M240)^F240,0)</x:f>
        <x:v>0.18619402366330712</x:v>
      </x:c>
      <x:c r="AJ240" t="n">
        <x:v>0</x:v>
      </x:c>
      <x:c r="AK240" t="n">
        <x:v>0</x:v>
      </x:c>
      <x:c r="AL240" t="n">
        <x:v>0</x:v>
      </x:c>
      <x:c r="AM240" t="n">
        <x:f>CHOOSE('假设'!$B$3,AJ240,AK240,AL240)</x:f>
        <x:v>0</x:v>
      </x:c>
      <x:c r="AN240" t="n">
        <x:v>1</x:v>
      </x:c>
    </x:row>
    <x:row r="241" ht="23" customHeight="1">
      <x:c r="A241" s="11" t="str">
        <x:v>01093.HK</x:v>
      </x:c>
      <x:c r="B241" s="11" t="str">
        <x:v>一年</x:v>
      </x:c>
      <x:c r="C241" s="11" t="str">
        <x:v>KN026_HB_INCREMENT_DOM</x:v>
      </x:c>
      <x:c r="D241" s="11" t="str">
        <x:v>2033-12-31</x:v>
      </x:c>
      <x:c r="E241" s="11" t="str">
        <x:v>CNY</x:v>
      </x:c>
      <x:c r="F241" s="11" t="n">
        <x:v>6.228610540725531</x:v>
      </x:c>
      <x:c r="G241" s="26" t="b">
        <x:v>1</x:v>
      </x:c>
      <x:c r="H241" s="16" t="n">
        <x:v>1.105</x:v>
      </x:c>
      <x:c r="I241" s="16" t="n">
        <x:v>3.5</x:v>
      </x:c>
      <x:c r="J241" s="16" t="n">
        <x:v>6</x:v>
      </x:c>
      <x:c r="K241" s="11" t="n">
        <x:f>CHOOSE('假设'!$B$3,H241,I241,J241)</x:f>
        <x:v>3.5</x:v>
      </x:c>
      <x:c r="L241" s="11" t="n">
        <x:f>K241*'管线假设'!E63*'管线假设'!F63*'管线假设'!G63*IF(E241="USD",'管线假设'!I63,1)-AM241</x:f>
        <x:v>0.35279999999999995</x:v>
      </x:c>
      <x:c r="M241" s="11" t="n">
        <x:f>'管线假设'!H63</x:f>
        <x:v>0.13</x:v>
      </x:c>
      <x:c r="N241" s="11" t="n">
        <x:f>IF(G241,L241*AN241/(1+M241)^F241,0)</x:f>
        <x:v>0.1647872567078764</x:v>
      </x:c>
      <x:c r="AJ241" t="n">
        <x:v>0</x:v>
      </x:c>
      <x:c r="AK241" t="n">
        <x:v>0</x:v>
      </x:c>
      <x:c r="AL241" t="n">
        <x:v>0</x:v>
      </x:c>
      <x:c r="AM241" t="n">
        <x:f>CHOOSE('假设'!$B$3,AJ241,AK241,AL241)</x:f>
        <x:v>0</x:v>
      </x:c>
      <x:c r="AN241" t="n">
        <x:v>1</x:v>
      </x:c>
    </x:row>
    <x:row r="242" ht="23" customHeight="1">
      <x:c r="A242" s="11" t="str">
        <x:v>01093.HK</x:v>
      </x:c>
      <x:c r="B242" s="11" t="str">
        <x:v>一年</x:v>
      </x:c>
      <x:c r="C242" s="11" t="str">
        <x:v>KN026_HB_INCREMENT_DOM</x:v>
      </x:c>
      <x:c r="D242" s="11" t="str">
        <x:v>2034-12-31</x:v>
      </x:c>
      <x:c r="E242" s="11" t="str">
        <x:v>CNY</x:v>
      </x:c>
      <x:c r="F242" s="11" t="n">
        <x:v>7.227926078028747</x:v>
      </x:c>
      <x:c r="G242" s="26" t="b">
        <x:v>1</x:v>
      </x:c>
      <x:c r="H242" s="16" t="n">
        <x:v>1.3</x:v>
      </x:c>
      <x:c r="I242" s="16" t="n">
        <x:v>3.3249999999999997</x:v>
      </x:c>
      <x:c r="J242" s="16" t="n">
        <x:v>5.699999999999999</x:v>
      </x:c>
      <x:c r="K242" s="11" t="n">
        <x:f>CHOOSE('假设'!$B$3,H242,I242,J242)</x:f>
        <x:v>3.3249999999999997</x:v>
      </x:c>
      <x:c r="L242" s="11" t="n">
        <x:f>K242*'管线假设'!E63*'管线假设'!F63*'管线假设'!G63*IF(E242="USD",'管线假设'!I63,1)-AM242</x:f>
        <x:v>0.33515999999999996</x:v>
      </x:c>
      <x:c r="M242" s="11" t="n">
        <x:f>'管线假设'!H63</x:f>
        <x:v>0.13</x:v>
      </x:c>
      <x:c r="N242" s="11" t="n">
        <x:f>IF(G242,L242*AN242/(1+M242)^F242,0)</x:f>
        <x:v>0.1385495488367061</x:v>
      </x:c>
      <x:c r="AJ242" t="n">
        <x:v>0</x:v>
      </x:c>
      <x:c r="AK242" t="n">
        <x:v>0</x:v>
      </x:c>
      <x:c r="AL242" t="n">
        <x:v>0</x:v>
      </x:c>
      <x:c r="AM242" t="n">
        <x:f>CHOOSE('假设'!$B$3,AJ242,AK242,AL242)</x:f>
        <x:v>0</x:v>
      </x:c>
      <x:c r="AN242" t="n">
        <x:v>1</x:v>
      </x:c>
    </x:row>
    <x:row r="243" ht="23" customHeight="1">
      <x:c r="A243" s="11" t="str">
        <x:v>01093.HK</x:v>
      </x:c>
      <x:c r="B243" s="11" t="str">
        <x:v>一年</x:v>
      </x:c>
      <x:c r="C243" s="11" t="str">
        <x:v>KN026_HB_INCREMENT_DOM</x:v>
      </x:c>
      <x:c r="D243" s="11" t="str">
        <x:v>2035-12-31</x:v>
      </x:c>
      <x:c r="E243" s="11" t="str">
        <x:v>CNY</x:v>
      </x:c>
      <x:c r="F243" s="11" t="n">
        <x:v>8.227241615331964</x:v>
      </x:c>
      <x:c r="G243" s="26" t="b">
        <x:v>1</x:v>
      </x:c>
      <x:c r="H243" s="16" t="n">
        <x:v>1.3</x:v>
      </x:c>
      <x:c r="I243" s="16" t="n">
        <x:v>3.08</x:v>
      </x:c>
      <x:c r="J243" s="16" t="n">
        <x:v>5.28</x:v>
      </x:c>
      <x:c r="K243" s="11" t="n">
        <x:f>CHOOSE('假设'!$B$3,H243,I243,J243)</x:f>
        <x:v>3.08</x:v>
      </x:c>
      <x:c r="L243" s="11" t="n">
        <x:f>K243*'管线假设'!E63*'管线假设'!F63*'管线假设'!G63*IF(E243="USD",'管线假设'!I63,1)-AM243</x:f>
        <x:v>0.31046399999999996</x:v>
      </x:c>
      <x:c r="M243" s="11" t="n">
        <x:f>'管线假设'!H63</x:f>
        <x:v>0.13</x:v>
      </x:c>
      <x:c r="N243" s="11" t="n">
        <x:f>IF(G243,L243*AN243/(1+M243)^F243,0)</x:f>
        <x:v>0.11358528432987935</x:v>
      </x:c>
      <x:c r="AJ243" t="n">
        <x:v>0</x:v>
      </x:c>
      <x:c r="AK243" t="n">
        <x:v>0</x:v>
      </x:c>
      <x:c r="AL243" t="n">
        <x:v>0</x:v>
      </x:c>
      <x:c r="AM243" t="n">
        <x:f>CHOOSE('假设'!$B$3,AJ243,AK243,AL243)</x:f>
        <x:v>0</x:v>
      </x:c>
      <x:c r="AN243" t="n">
        <x:v>1</x:v>
      </x:c>
    </x:row>
    <x:row r="244" ht="23" customHeight="1">
      <x:c r="A244" s="11" t="str">
        <x:v>01093.HK</x:v>
      </x:c>
      <x:c r="B244" s="11" t="str">
        <x:v>一年</x:v>
      </x:c>
      <x:c r="C244" s="11" t="str">
        <x:v>KN026_HB_INCREMENT_DOM</x:v>
      </x:c>
      <x:c r="D244" s="11" t="str">
        <x:v>2036-12-31</x:v>
      </x:c>
      <x:c r="E244" s="11" t="str">
        <x:v>CNY</x:v>
      </x:c>
      <x:c r="F244" s="11" t="n">
        <x:v>9.229295003422314</x:v>
      </x:c>
      <x:c r="G244" s="26" t="b">
        <x:v>1</x:v>
      </x:c>
      <x:c r="H244" s="16" t="n">
        <x:v>1.2349999999999999</x:v>
      </x:c>
      <x:c r="I244" s="16" t="n">
        <x:v>2.625</x:v>
      </x:c>
      <x:c r="J244" s="16" t="n">
        <x:v>4.5</x:v>
      </x:c>
      <x:c r="K244" s="11" t="n">
        <x:f>CHOOSE('假设'!$B$3,H244,I244,J244)</x:f>
        <x:v>2.625</x:v>
      </x:c>
      <x:c r="L244" s="11" t="n">
        <x:f>K244*'管线假设'!E63*'管线假设'!F63*'管线假设'!G63*IF(E244="USD",'管线假设'!I63,1)-AM244</x:f>
        <x:v>0.2646</x:v>
      </x:c>
      <x:c r="M244" s="11" t="n">
        <x:f>'管线假设'!H63</x:f>
        <x:v>0.13</x:v>
      </x:c>
      <x:c r="N244" s="11" t="n">
        <x:f>IF(G244,L244*AN244/(1+M244)^F244,0)</x:f>
        <x:v>0.08564721127101249</x:v>
      </x:c>
      <x:c r="AJ244" t="n">
        <x:v>0</x:v>
      </x:c>
      <x:c r="AK244" t="n">
        <x:v>0</x:v>
      </x:c>
      <x:c r="AL244" t="n">
        <x:v>0</x:v>
      </x:c>
      <x:c r="AM244" t="n">
        <x:f>CHOOSE('假设'!$B$3,AJ244,AK244,AL244)</x:f>
        <x:v>0</x:v>
      </x:c>
      <x:c r="AN244" t="n">
        <x:v>1</x:v>
      </x:c>
    </x:row>
    <x:row r="245" ht="23" customHeight="1">
      <x:c r="A245" s="11" t="str">
        <x:v>01093.HK</x:v>
      </x:c>
      <x:c r="B245" s="11" t="str">
        <x:v>一年</x:v>
      </x:c>
      <x:c r="C245" s="11" t="str">
        <x:v>KN026_HB_INCREMENT_DOM</x:v>
      </x:c>
      <x:c r="D245" s="11" t="str">
        <x:v>2037-12-31</x:v>
      </x:c>
      <x:c r="E245" s="11" t="str">
        <x:v>CNY</x:v>
      </x:c>
      <x:c r="F245" s="11" t="n">
        <x:v>10.22861054072553</x:v>
      </x:c>
      <x:c r="G245" s="26" t="b">
        <x:v>1</x:v>
      </x:c>
      <x:c r="H245" s="16" t="n">
        <x:v>1.1440000000000001</x:v>
      </x:c>
      <x:c r="I245" s="16" t="n">
        <x:v>2.1</x:v>
      </x:c>
      <x:c r="J245" s="16" t="n">
        <x:v>3.5999999999999996</x:v>
      </x:c>
      <x:c r="K245" s="11" t="n">
        <x:f>CHOOSE('假设'!$B$3,H245,I245,J245)</x:f>
        <x:v>2.1</x:v>
      </x:c>
      <x:c r="L245" s="11" t="n">
        <x:f>K245*'管线假设'!E63*'管线假设'!F63*'管线假设'!G63*IF(E245="USD",'管线假设'!I63,1)-AM245</x:f>
        <x:v>0.21168</x:v>
      </x:c>
      <x:c r="M245" s="11" t="n">
        <x:f>'管线假设'!H63</x:f>
        <x:v>0.13</x:v>
      </x:c>
      <x:c r="N245" s="11" t="n">
        <x:f>IF(G245,L245*AN245/(1+M245)^F245,0)</x:f>
        <x:v>0.06064026637310978</x:v>
      </x:c>
      <x:c r="AJ245" t="n">
        <x:v>0</x:v>
      </x:c>
      <x:c r="AK245" t="n">
        <x:v>0</x:v>
      </x:c>
      <x:c r="AL245" t="n">
        <x:v>0</x:v>
      </x:c>
      <x:c r="AM245" t="n">
        <x:f>CHOOSE('假设'!$B$3,AJ245,AK245,AL245)</x:f>
        <x:v>0</x:v>
      </x:c>
      <x:c r="AN245" t="n">
        <x:v>1</x:v>
      </x:c>
    </x:row>
    <x:row r="246" ht="23" customHeight="1">
      <x:c r="A246" s="11" t="str">
        <x:v>01093.HK</x:v>
      </x:c>
      <x:c r="B246" s="11" t="str">
        <x:v>一年</x:v>
      </x:c>
      <x:c r="C246" s="11" t="str">
        <x:v>KN026_HB_INCREMENT_DOM</x:v>
      </x:c>
      <x:c r="D246" s="11" t="str">
        <x:v>2038-12-31</x:v>
      </x:c>
      <x:c r="E246" s="11" t="str">
        <x:v>CNY</x:v>
      </x:c>
      <x:c r="F246" s="11" t="n">
        <x:v>11.227926078028748</x:v>
      </x:c>
      <x:c r="G246" s="26" t="b">
        <x:v>1</x:v>
      </x:c>
      <x:c r="H246" s="16" t="n">
        <x:v>0.9750000000000001</x:v>
      </x:c>
      <x:c r="I246" s="16" t="n">
        <x:v>1.575</x:v>
      </x:c>
      <x:c r="J246" s="16" t="n">
        <x:v>2.7</x:v>
      </x:c>
      <x:c r="K246" s="11" t="n">
        <x:f>CHOOSE('假设'!$B$3,H246,I246,J246)</x:f>
        <x:v>1.575</x:v>
      </x:c>
      <x:c r="L246" s="11" t="n">
        <x:f>K246*'管线假设'!E63*'管线假设'!F63*'管线假设'!G63*IF(E246="USD",'管线假设'!I63,1)-AM246</x:f>
        <x:v>0.15875999999999998</x:v>
      </x:c>
      <x:c r="M246" s="11" t="n">
        <x:f>'管线假设'!H63</x:f>
        <x:v>0.13</x:v>
      </x:c>
      <x:c r="N246" s="11" t="n">
        <x:f>IF(G246,L246*AN246/(1+M246)^F246,0)</x:f>
        <x:v>0.040251331427248536</x:v>
      </x:c>
      <x:c r="AJ246" t="n">
        <x:v>0</x:v>
      </x:c>
      <x:c r="AK246" t="n">
        <x:v>0</x:v>
      </x:c>
      <x:c r="AL246" t="n">
        <x:v>0</x:v>
      </x:c>
      <x:c r="AM246" t="n">
        <x:f>CHOOSE('假设'!$B$3,AJ246,AK246,AL246)</x:f>
        <x:v>0</x:v>
      </x:c>
      <x:c r="AN246" t="n">
        <x:v>1</x:v>
      </x:c>
    </x:row>
    <x:row r="247" ht="23" customHeight="1">
      <x:c r="A247" s="11" t="str">
        <x:v>01093.HK</x:v>
      </x:c>
      <x:c r="B247" s="11" t="str">
        <x:v>一年</x:v>
      </x:c>
      <x:c r="C247" s="11" t="str">
        <x:v>KN026_HB_INCREMENT_DOM</x:v>
      </x:c>
      <x:c r="D247" s="11" t="str">
        <x:v>2039-12-31</x:v>
      </x:c>
      <x:c r="E247" s="11" t="str">
        <x:v>CNY</x:v>
      </x:c>
      <x:c r="F247" s="11" t="n">
        <x:v>12.227241615331964</x:v>
      </x:c>
      <x:c r="G247" s="26" t="b">
        <x:v>1</x:v>
      </x:c>
      <x:c r="H247" s="16" t="n">
        <x:v>0.78</x:v>
      </x:c>
      <x:c r="I247" s="16" t="n">
        <x:v>1.05</x:v>
      </x:c>
      <x:c r="J247" s="16" t="n">
        <x:v>1.7999999999999998</x:v>
      </x:c>
      <x:c r="K247" s="11" t="n">
        <x:f>CHOOSE('假设'!$B$3,H247,I247,J247)</x:f>
        <x:v>1.05</x:v>
      </x:c>
      <x:c r="L247" s="11" t="n">
        <x:f>K247*'管线假设'!E63*'管线假设'!F63*'管线假设'!G63*IF(E247="USD",'管线假设'!I63,1)-AM247</x:f>
        <x:v>0.10584</x:v>
      </x:c>
      <x:c r="M247" s="11" t="n">
        <x:f>'管线假设'!H63</x:f>
        <x:v>0.13</x:v>
      </x:c>
      <x:c r="N247" s="11" t="n">
        <x:f>IF(G247,L247*AN247/(1+M247)^F247,0)</x:f>
        <x:v>0.023749084796012003</x:v>
      </x:c>
      <x:c r="AJ247" t="n">
        <x:v>0</x:v>
      </x:c>
      <x:c r="AK247" t="n">
        <x:v>0</x:v>
      </x:c>
      <x:c r="AL247" t="n">
        <x:v>0</x:v>
      </x:c>
      <x:c r="AM247" t="n">
        <x:f>CHOOSE('假设'!$B$3,AJ247,AK247,AL247)</x:f>
        <x:v>0</x:v>
      </x:c>
      <x:c r="AN247" t="n">
        <x:v>1</x:v>
      </x:c>
    </x:row>
    <x:row r="248" ht="23" customHeight="1">
      <x:c r="A248" s="11" t="str">
        <x:v>01093.HK</x:v>
      </x:c>
      <x:c r="B248" s="11" t="str">
        <x:v>一年</x:v>
      </x:c>
      <x:c r="C248" s="11" t="str">
        <x:v>KN026_HB_INCREMENT_DOM</x:v>
      </x:c>
      <x:c r="D248" s="11" t="str">
        <x:v>2040-12-31</x:v>
      </x:c>
      <x:c r="E248" s="11" t="str">
        <x:v>CNY</x:v>
      </x:c>
      <x:c r="F248" s="11" t="n">
        <x:v>13.229295003422314</x:v>
      </x:c>
      <x:c r="G248" s="26" t="b">
        <x:v>1</x:v>
      </x:c>
      <x:c r="H248" s="16" t="n">
        <x:v>0.5850000000000001</x:v>
      </x:c>
      <x:c r="I248" s="16" t="n">
        <x:v>0.63</x:v>
      </x:c>
      <x:c r="J248" s="16" t="n">
        <x:v>1.08</x:v>
      </x:c>
      <x:c r="K248" s="11" t="n">
        <x:f>CHOOSE('假设'!$B$3,H248,I248,J248)</x:f>
        <x:v>0.63</x:v>
      </x:c>
      <x:c r="L248" s="11" t="n">
        <x:f>K248*'管线假设'!E63*'管线假设'!F63*'管线假设'!G63*IF(E248="USD",'管线假设'!I63,1)-AM248</x:f>
        <x:v>0.063504</x:v>
      </x:c>
      <x:c r="M248" s="11" t="n">
        <x:f>'管线假设'!H63</x:f>
        <x:v>0.13</x:v>
      </x:c>
      <x:c r="N248" s="11" t="n">
        <x:f>IF(G248,L248*AN248/(1+M248)^F248,0)</x:f>
        <x:v>0.0126069692750458</x:v>
      </x:c>
      <x:c r="AJ248" t="n">
        <x:v>0</x:v>
      </x:c>
      <x:c r="AK248" t="n">
        <x:v>0</x:v>
      </x:c>
      <x:c r="AL248" t="n">
        <x:v>0</x:v>
      </x:c>
      <x:c r="AM248" t="n">
        <x:f>CHOOSE('假设'!$B$3,AJ248,AK248,AL248)</x:f>
        <x:v>0</x:v>
      </x:c>
      <x:c r="AN248" t="n">
        <x:v>1</x:v>
      </x:c>
    </x:row>
    <x:row r="249" ht="23" customHeight="1">
      <x:c r="A249" s="11" t="str">
        <x:v>01093.HK</x:v>
      </x:c>
      <x:c r="B249" s="11" t="str">
        <x:v>一年</x:v>
      </x:c>
      <x:c r="C249" s="11" t="str">
        <x:v>KN026_HB_INCREMENT_DOM</x:v>
      </x:c>
      <x:c r="D249" s="11" t="str">
        <x:v>2041-12-31</x:v>
      </x:c>
      <x:c r="E249" s="11" t="str">
        <x:v>CNY</x:v>
      </x:c>
      <x:c r="F249" s="11" t="n">
        <x:v>14.22861054072553</x:v>
      </x:c>
      <x:c r="G249" s="26" t="b">
        <x:v>1</x:v>
      </x:c>
      <x:c r="H249" s="16" t="n">
        <x:v>0.39</x:v>
      </x:c>
      <x:c r="I249" s="16" t="n">
        <x:v>0.35000000000000003</x:v>
      </x:c>
      <x:c r="J249" s="16" t="n">
        <x:v>0.6000000000000001</x:v>
      </x:c>
      <x:c r="K249" s="11" t="n">
        <x:f>CHOOSE('假设'!$B$3,H249,I249,J249)</x:f>
        <x:v>0.35000000000000003</x:v>
      </x:c>
      <x:c r="L249" s="11" t="n">
        <x:f>K249*'管线假设'!E63*'管线假设'!F63*'管线假设'!G63*IF(E249="USD",'管线假设'!I63,1)-AM249</x:f>
        <x:v>0.03528</x:v>
      </x:c>
      <x:c r="M249" s="11" t="n">
        <x:f>'管线假设'!H63</x:f>
        <x:v>0.13</x:v>
      </x:c>
      <x:c r="N249" s="11" t="n">
        <x:f>IF(G249,L249*AN249/(1+M249)^F249,0)</x:f>
        <x:v>0.006198635169682364</x:v>
      </x:c>
      <x:c r="AJ249" t="n">
        <x:v>0</x:v>
      </x:c>
      <x:c r="AK249" t="n">
        <x:v>0</x:v>
      </x:c>
      <x:c r="AL249" t="n">
        <x:v>0</x:v>
      </x:c>
      <x:c r="AM249" t="n">
        <x:f>CHOOSE('假设'!$B$3,AJ249,AK249,AL249)</x:f>
        <x:v>0</x:v>
      </x:c>
      <x:c r="AN249" t="n">
        <x:v>1</x:v>
      </x:c>
    </x:row>
    <x:row r="250" ht="23" customHeight="1">
      <x:c r="A250" s="11" t="str">
        <x:v>01093.HK</x:v>
      </x:c>
      <x:c r="B250" s="11" t="str">
        <x:v>一年</x:v>
      </x:c>
      <x:c r="C250" s="11" t="str">
        <x:v>KN026_HB_INCREMENT_DOM</x:v>
      </x:c>
      <x:c r="D250" s="11" t="str">
        <x:v>2042-12-31</x:v>
      </x:c>
      <x:c r="E250" s="11" t="str">
        <x:v>CNY</x:v>
      </x:c>
      <x:c r="F250" s="11" t="n">
        <x:v>15.227926078028748</x:v>
      </x:c>
      <x:c r="G250" s="26" t="b">
        <x:v>1</x:v>
      </x:c>
      <x:c r="H250" s="16" t="n">
        <x:v>0.23399999999999999</x:v>
      </x:c>
      <x:c r="I250" s="16" t="n">
        <x:v>0.17500000000000002</x:v>
      </x:c>
      <x:c r="J250" s="16" t="n">
        <x:v>0.30000000000000004</x:v>
      </x:c>
      <x:c r="K250" s="11" t="n">
        <x:f>CHOOSE('假设'!$B$3,H250,I250,J250)</x:f>
        <x:v>0.17500000000000002</x:v>
      </x:c>
      <x:c r="L250" s="11" t="n">
        <x:f>K250*'管线假设'!E63*'管线假设'!F63*'管线假设'!G63*IF(E250="USD",'管线假设'!I63,1)-AM250</x:f>
        <x:v>0.01764</x:v>
      </x:c>
      <x:c r="M250" s="11" t="n">
        <x:f>'管线假设'!H63</x:f>
        <x:v>0.13</x:v>
      </x:c>
      <x:c r="N250" s="11" t="n">
        <x:f>IF(G250,L250*AN250/(1+M250)^F250,0)</x:f>
        <x:v>0.0027429883753734433</x:v>
      </x:c>
      <x:c r="AJ250" t="n">
        <x:v>0</x:v>
      </x:c>
      <x:c r="AK250" t="n">
        <x:v>0</x:v>
      </x:c>
      <x:c r="AL250" t="n">
        <x:v>0</x:v>
      </x:c>
      <x:c r="AM250" t="n">
        <x:f>CHOOSE('假设'!$B$3,AJ250,AK250,AL250)</x:f>
        <x:v>0</x:v>
      </x:c>
      <x:c r="AN250" t="n">
        <x:v>1</x:v>
      </x:c>
    </x:row>
    <x:row r="251" ht="23" customHeight="1">
      <x:c r="A251" s="11" t="str">
        <x:v>01093.HK</x:v>
      </x:c>
      <x:c r="B251" s="11" t="str">
        <x:v>一年</x:v>
      </x:c>
      <x:c r="C251" s="11" t="str">
        <x:v>KN026_HB_INCREMENT_DOM</x:v>
      </x:c>
      <x:c r="D251" s="11" t="str">
        <x:v>2043-12-31</x:v>
      </x:c>
      <x:c r="E251" s="11" t="str">
        <x:v>CNY</x:v>
      </x:c>
      <x:c r="F251" s="11" t="n">
        <x:v>16.227241615331966</x:v>
      </x:c>
      <x:c r="G251" s="26" t="b">
        <x:v>1</x:v>
      </x:c>
      <x:c r="H251" s="16" t="n">
        <x:v>0.13</x:v>
      </x:c>
      <x:c r="I251" s="16" t="n">
        <x:v>0.17500000000000002</x:v>
      </x:c>
      <x:c r="J251" s="16" t="n">
        <x:v>0.30000000000000004</x:v>
      </x:c>
      <x:c r="K251" s="11" t="n">
        <x:f>CHOOSE('假设'!$B$3,H251,I251,J251)</x:f>
        <x:v>0.17500000000000002</x:v>
      </x:c>
      <x:c r="L251" s="11" t="n">
        <x:f>K251*'管线假设'!E63*'管线假设'!F63*'管线假设'!G63*IF(E251="USD",'管线假设'!I63,1)-AM251</x:f>
        <x:v>0.01764</x:v>
      </x:c>
      <x:c r="M251" s="11" t="n">
        <x:f>'管线假设'!H63</x:f>
        <x:v>0.13</x:v>
      </x:c>
      <x:c r="N251" s="11" t="n">
        <x:f>IF(G251,L251*AN251/(1+M251)^F251,0)</x:f>
        <x:v>0.0024276264117732847</x:v>
      </x:c>
      <x:c r="AJ251" t="n">
        <x:v>0</x:v>
      </x:c>
      <x:c r="AK251" t="n">
        <x:v>0</x:v>
      </x:c>
      <x:c r="AL251" t="n">
        <x:v>0</x:v>
      </x:c>
      <x:c r="AM251" t="n">
        <x:f>CHOOSE('假设'!$B$3,AJ251,AK251,AL251)</x:f>
        <x:v>0</x:v>
      </x:c>
      <x:c r="AN251" t="n">
        <x:v>1</x:v>
      </x:c>
    </x:row>
    <x:row r="252" ht="23" customHeight="1">
      <x:c r="A252" s="11" t="str">
        <x:v>01093.HK</x:v>
      </x:c>
      <x:c r="B252" s="11" t="str">
        <x:v>一年</x:v>
      </x:c>
      <x:c r="C252" s="11" t="str">
        <x:v>TG103_DOM</x:v>
      </x:c>
      <x:c r="D252" s="11" t="str">
        <x:v>2027-12-31</x:v>
      </x:c>
      <x:c r="E252" s="11" t="str">
        <x:v>CNY</x:v>
      </x:c>
      <x:c r="F252" s="11" t="n">
        <x:v>0.2272416153319644</x:v>
      </x:c>
      <x:c r="G252" s="26" t="b">
        <x:v>1</x:v>
      </x:c>
      <x:c r="H252" s="16" t="n">
        <x:v>0</x:v>
      </x:c>
      <x:c r="I252" s="16" t="n">
        <x:v>0.12</x:v>
      </x:c>
      <x:c r="J252" s="16" t="n">
        <x:v>0.256</x:v>
      </x:c>
      <x:c r="K252" s="11" t="n">
        <x:f>CHOOSE('假设'!$B$3,H252,I252,J252)</x:f>
        <x:v>0.12</x:v>
      </x:c>
      <x:c r="L252" s="11" t="n">
        <x:f>K252*'管线假设'!E67*'管线假设'!F67*'管线假设'!G67*IF(E252="USD",'管线假设'!I67,1)-AM252</x:f>
        <x:v>0.0132192</x:v>
      </x:c>
      <x:c r="M252" s="11" t="n">
        <x:f>'管线假设'!H67</x:f>
        <x:v>0.13</x:v>
      </x:c>
      <x:c r="N252" s="11" t="n">
        <x:f>IF(G252,L252*AN252/(1+M252)^F252,0)</x:f>
        <x:v>0.01285711540283995</x:v>
      </x:c>
      <x:c r="AJ252" t="n">
        <x:v>0</x:v>
      </x:c>
      <x:c r="AK252" t="n">
        <x:v>0</x:v>
      </x:c>
      <x:c r="AL252" t="n">
        <x:v>0</x:v>
      </x:c>
      <x:c r="AM252" t="n">
        <x:f>CHOOSE('假设'!$B$3,AJ252,AK252,AL252)</x:f>
        <x:v>0</x:v>
      </x:c>
      <x:c r="AN252" t="n">
        <x:v>1</x:v>
      </x:c>
    </x:row>
    <x:row r="253" ht="23" customHeight="1">
      <x:c r="A253" s="11" t="str">
        <x:v>01093.HK</x:v>
      </x:c>
      <x:c r="B253" s="11" t="str">
        <x:v>一年</x:v>
      </x:c>
      <x:c r="C253" s="11" t="str">
        <x:v>TG103_DOM</x:v>
      </x:c>
      <x:c r="D253" s="11" t="str">
        <x:v>2028-12-31</x:v>
      </x:c>
      <x:c r="E253" s="11" t="str">
        <x:v>CNY</x:v>
      </x:c>
      <x:c r="F253" s="11" t="n">
        <x:v>1.2292950034223136</x:v>
      </x:c>
      <x:c r="G253" s="26" t="b">
        <x:v>1</x:v>
      </x:c>
      <x:c r="H253" s="16" t="n">
        <x:v>0</x:v>
      </x:c>
      <x:c r="I253" s="16" t="n">
        <x:v>0.375</x:v>
      </x:c>
      <x:c r="J253" s="16" t="n">
        <x:v>0.8</x:v>
      </x:c>
      <x:c r="K253" s="11" t="n">
        <x:f>CHOOSE('假设'!$B$3,H253,I253,J253)</x:f>
        <x:v>0.375</x:v>
      </x:c>
      <x:c r="L253" s="11" t="n">
        <x:f>K253*'管线假设'!E67*'管线假设'!F67*'管线假设'!G67*IF(E253="USD",'管线假设'!I67,1)-AM253</x:f>
        <x:v>0.041310000000000006</x:v>
      </x:c>
      <x:c r="M253" s="11" t="n">
        <x:f>'管线假设'!H67</x:f>
        <x:v>0.13</x:v>
      </x:c>
      <x:c r="N253" s="11" t="n">
        <x:f>IF(G253,L253*AN253/(1+M253)^F253,0)</x:f>
        <x:v>0.03554725990881037</x:v>
      </x:c>
      <x:c r="AJ253" t="n">
        <x:v>0</x:v>
      </x:c>
      <x:c r="AK253" t="n">
        <x:v>0</x:v>
      </x:c>
      <x:c r="AL253" t="n">
        <x:v>0</x:v>
      </x:c>
      <x:c r="AM253" t="n">
        <x:f>CHOOSE('假设'!$B$3,AJ253,AK253,AL253)</x:f>
        <x:v>0</x:v>
      </x:c>
      <x:c r="AN253" t="n">
        <x:v>1</x:v>
      </x:c>
    </x:row>
    <x:row r="254" ht="23" customHeight="1">
      <x:c r="A254" s="11" t="str">
        <x:v>01093.HK</x:v>
      </x:c>
      <x:c r="B254" s="11" t="str">
        <x:v>一年</x:v>
      </x:c>
      <x:c r="C254" s="11" t="str">
        <x:v>TG103_DOM</x:v>
      </x:c>
      <x:c r="D254" s="11" t="str">
        <x:v>2029-12-31</x:v>
      </x:c>
      <x:c r="E254" s="11" t="str">
        <x:v>CNY</x:v>
      </x:c>
      <x:c r="F254" s="11" t="n">
        <x:v>2.2286105407255303</x:v>
      </x:c>
      <x:c r="G254" s="26" t="b">
        <x:v>1</x:v>
      </x:c>
      <x:c r="H254" s="16" t="n">
        <x:v>0.04</x:v>
      </x:c>
      <x:c r="I254" s="16" t="n">
        <x:v>0.675</x:v>
      </x:c>
      <x:c r="J254" s="16" t="n">
        <x:v>1.4400000000000002</x:v>
      </x:c>
      <x:c r="K254" s="11" t="n">
        <x:f>CHOOSE('假设'!$B$3,H254,I254,J254)</x:f>
        <x:v>0.675</x:v>
      </x:c>
      <x:c r="L254" s="11" t="n">
        <x:f>K254*'管线假设'!E67*'管线假设'!F67*'管线假设'!G67*IF(E254="USD",'管线假设'!I67,1)-AM254</x:f>
        <x:v>0.07435800000000001</x:v>
      </x:c>
      <x:c r="M254" s="11" t="n">
        <x:f>'管线假设'!H67</x:f>
        <x:v>0.13</x:v>
      </x:c>
      <x:c r="N254" s="11" t="n">
        <x:f>IF(G254,L254*AN254/(1+M254)^F254,0)</x:f>
        <x:v>0.056628690822026616</x:v>
      </x:c>
      <x:c r="AJ254" t="n">
        <x:v>0</x:v>
      </x:c>
      <x:c r="AK254" t="n">
        <x:v>0</x:v>
      </x:c>
      <x:c r="AL254" t="n">
        <x:v>0</x:v>
      </x:c>
      <x:c r="AM254" t="n">
        <x:f>CHOOSE('假设'!$B$3,AJ254,AK254,AL254)</x:f>
        <x:v>0</x:v>
      </x:c>
      <x:c r="AN254" t="n">
        <x:v>1</x:v>
      </x:c>
    </x:row>
    <x:row r="255" ht="23" customHeight="1">
      <x:c r="A255" s="11" t="str">
        <x:v>01093.HK</x:v>
      </x:c>
      <x:c r="B255" s="11" t="str">
        <x:v>一年</x:v>
      </x:c>
      <x:c r="C255" s="11" t="str">
        <x:v>TG103_DOM</x:v>
      </x:c>
      <x:c r="D255" s="11" t="str">
        <x:v>2030-12-31</x:v>
      </x:c>
      <x:c r="E255" s="11" t="str">
        <x:v>CNY</x:v>
      </x:c>
      <x:c r="F255" s="11" t="n">
        <x:v>3.2279260780287475</x:v>
      </x:c>
      <x:c r="G255" s="26" t="b">
        <x:v>1</x:v>
      </x:c>
      <x:c r="H255" s="16" t="n">
        <x:v>0.125</x:v>
      </x:c>
      <x:c r="I255" s="16" t="n">
        <x:v>0.9750000000000001</x:v>
      </x:c>
      <x:c r="J255" s="16" t="n">
        <x:v>2.08</x:v>
      </x:c>
      <x:c r="K255" s="11" t="n">
        <x:f>CHOOSE('假设'!$B$3,H255,I255,J255)</x:f>
        <x:v>0.9750000000000001</x:v>
      </x:c>
      <x:c r="L255" s="11" t="n">
        <x:f>K255*'管线假设'!E67*'管线假设'!F67*'管线假设'!G67*IF(E255="USD",'管线假设'!I67,1)-AM255</x:f>
        <x:v>0.10740600000000002</x:v>
      </x:c>
      <x:c r="M255" s="11" t="n">
        <x:f>'管线假设'!H67</x:f>
        <x:v>0.13</x:v>
      </x:c>
      <x:c r="N255" s="11" t="n">
        <x:f>IF(G255,L255*AN255/(1+M255)^F255,0)</x:f>
        <x:v>0.07239277941423716</x:v>
      </x:c>
      <x:c r="AJ255" t="n">
        <x:v>0</x:v>
      </x:c>
      <x:c r="AK255" t="n">
        <x:v>0</x:v>
      </x:c>
      <x:c r="AL255" t="n">
        <x:v>0</x:v>
      </x:c>
      <x:c r="AM255" t="n">
        <x:f>CHOOSE('假设'!$B$3,AJ255,AK255,AL255)</x:f>
        <x:v>0</x:v>
      </x:c>
      <x:c r="AN255" t="n">
        <x:v>1</x:v>
      </x:c>
    </x:row>
    <x:row r="256" ht="23" customHeight="1">
      <x:c r="A256" s="11" t="str">
        <x:v>01093.HK</x:v>
      </x:c>
      <x:c r="B256" s="11" t="str">
        <x:v>一年</x:v>
      </x:c>
      <x:c r="C256" s="11" t="str">
        <x:v>TG103_DOM</x:v>
      </x:c>
      <x:c r="D256" s="11" t="str">
        <x:v>2031-12-31</x:v>
      </x:c>
      <x:c r="E256" s="11" t="str">
        <x:v>CNY</x:v>
      </x:c>
      <x:c r="F256" s="11" t="n">
        <x:v>4.227241615331964</x:v>
      </x:c>
      <x:c r="G256" s="26" t="b">
        <x:v>1</x:v>
      </x:c>
      <x:c r="H256" s="16" t="n">
        <x:v>0.225</x:v>
      </x:c>
      <x:c r="I256" s="16" t="n">
        <x:v>1.275</x:v>
      </x:c>
      <x:c r="J256" s="16" t="n">
        <x:v>2.72</x:v>
      </x:c>
      <x:c r="K256" s="11" t="n">
        <x:f>CHOOSE('假设'!$B$3,H256,I256,J256)</x:f>
        <x:v>1.275</x:v>
      </x:c>
      <x:c r="L256" s="11" t="n">
        <x:f>K256*'管线假设'!E67*'管线假设'!F67*'管线假设'!G67*IF(E256="USD",'管线假设'!I67,1)-AM256</x:f>
        <x:v>0.140454</x:v>
      </x:c>
      <x:c r="M256" s="11" t="n">
        <x:f>'管线假设'!H67</x:f>
        <x:v>0.13</x:v>
      </x:c>
      <x:c r="N256" s="11" t="n">
        <x:f>IF(G256,L256*AN256/(1+M256)^F256,0)</x:f>
        <x:v>0.08378354014277758</x:v>
      </x:c>
      <x:c r="AJ256" t="n">
        <x:v>0</x:v>
      </x:c>
      <x:c r="AK256" t="n">
        <x:v>0</x:v>
      </x:c>
      <x:c r="AL256" t="n">
        <x:v>0</x:v>
      </x:c>
      <x:c r="AM256" t="n">
        <x:f>CHOOSE('假设'!$B$3,AJ256,AK256,AL256)</x:f>
        <x:v>0</x:v>
      </x:c>
      <x:c r="AN256" t="n">
        <x:v>1</x:v>
      </x:c>
    </x:row>
    <x:row r="257" ht="23" customHeight="1">
      <x:c r="A257" s="11" t="str">
        <x:v>01093.HK</x:v>
      </x:c>
      <x:c r="B257" s="11" t="str">
        <x:v>一年</x:v>
      </x:c>
      <x:c r="C257" s="11" t="str">
        <x:v>TG103_DOM</x:v>
      </x:c>
      <x:c r="D257" s="11" t="str">
        <x:v>2032-12-31</x:v>
      </x:c>
      <x:c r="E257" s="11" t="str">
        <x:v>CNY</x:v>
      </x:c>
      <x:c r="F257" s="11" t="n">
        <x:v>5.229295003422314</x:v>
      </x:c>
      <x:c r="G257" s="26" t="b">
        <x:v>1</x:v>
      </x:c>
      <x:c r="H257" s="16" t="n">
        <x:v>0.325</x:v>
      </x:c>
      <x:c r="I257" s="16" t="n">
        <x:v>1.5</x:v>
      </x:c>
      <x:c r="J257" s="16" t="n">
        <x:v>3.2</x:v>
      </x:c>
      <x:c r="K257" s="11" t="n">
        <x:f>CHOOSE('假设'!$B$3,H257,I257,J257)</x:f>
        <x:v>1.5</x:v>
      </x:c>
      <x:c r="L257" s="11" t="n">
        <x:f>K257*'管线假设'!E67*'管线假设'!F67*'管线假设'!G67*IF(E257="USD",'管线假设'!I67,1)-AM257</x:f>
        <x:v>0.16524000000000003</x:v>
      </x:c>
      <x:c r="M257" s="11" t="n">
        <x:f>'管线假设'!H67</x:f>
        <x:v>0.13</x:v>
      </x:c>
      <x:c r="N257" s="11" t="n">
        <x:f>IF(G257,L257*AN257/(1+M257)^F257,0)</x:f>
        <x:v>0.08720720087903877</x:v>
      </x:c>
      <x:c r="AJ257" t="n">
        <x:v>0</x:v>
      </x:c>
      <x:c r="AK257" t="n">
        <x:v>0</x:v>
      </x:c>
      <x:c r="AL257" t="n">
        <x:v>0</x:v>
      </x:c>
      <x:c r="AM257" t="n">
        <x:f>CHOOSE('假设'!$B$3,AJ257,AK257,AL257)</x:f>
        <x:v>0</x:v>
      </x:c>
      <x:c r="AN257" t="n">
        <x:v>1</x:v>
      </x:c>
    </x:row>
    <x:row r="258" ht="23" customHeight="1">
      <x:c r="A258" s="11" t="str">
        <x:v>01093.HK</x:v>
      </x:c>
      <x:c r="B258" s="11" t="str">
        <x:v>一年</x:v>
      </x:c>
      <x:c r="C258" s="11" t="str">
        <x:v>TG103_DOM</x:v>
      </x:c>
      <x:c r="D258" s="11" t="str">
        <x:v>2033-12-31</x:v>
      </x:c>
      <x:c r="E258" s="11" t="str">
        <x:v>CNY</x:v>
      </x:c>
      <x:c r="F258" s="11" t="n">
        <x:v>6.228610540725531</x:v>
      </x:c>
      <x:c r="G258" s="26" t="b">
        <x:v>1</x:v>
      </x:c>
      <x:c r="H258" s="16" t="n">
        <x:v>0.425</x:v>
      </x:c>
      <x:c r="I258" s="16" t="n">
        <x:v>1.5</x:v>
      </x:c>
      <x:c r="J258" s="16" t="n">
        <x:v>3.2</x:v>
      </x:c>
      <x:c r="K258" s="11" t="n">
        <x:f>CHOOSE('假设'!$B$3,H258,I258,J258)</x:f>
        <x:v>1.5</x:v>
      </x:c>
      <x:c r="L258" s="11" t="n">
        <x:f>K258*'管线假设'!E67*'管线假设'!F67*'管线假设'!G67*IF(E258="USD",'管线假设'!I67,1)-AM258</x:f>
        <x:v>0.16524000000000003</x:v>
      </x:c>
      <x:c r="M258" s="11" t="n">
        <x:f>'管线假设'!H67</x:f>
        <x:v>0.13</x:v>
      </x:c>
      <x:c r="N258" s="11" t="n">
        <x:f>IF(G258,L258*AN258/(1+M258)^F258,0)</x:f>
        <x:v>0.07718097023358703</x:v>
      </x:c>
      <x:c r="AJ258" t="n">
        <x:v>0</x:v>
      </x:c>
      <x:c r="AK258" t="n">
        <x:v>0</x:v>
      </x:c>
      <x:c r="AL258" t="n">
        <x:v>0</x:v>
      </x:c>
      <x:c r="AM258" t="n">
        <x:f>CHOOSE('假设'!$B$3,AJ258,AK258,AL258)</x:f>
        <x:v>0</x:v>
      </x:c>
      <x:c r="AN258" t="n">
        <x:v>1</x:v>
      </x:c>
    </x:row>
    <x:row r="259" ht="23" customHeight="1">
      <x:c r="A259" s="11" t="str">
        <x:v>01093.HK</x:v>
      </x:c>
      <x:c r="B259" s="11" t="str">
        <x:v>一年</x:v>
      </x:c>
      <x:c r="C259" s="11" t="str">
        <x:v>TG103_DOM</x:v>
      </x:c>
      <x:c r="D259" s="11" t="str">
        <x:v>2034-12-31</x:v>
      </x:c>
      <x:c r="E259" s="11" t="str">
        <x:v>CNY</x:v>
      </x:c>
      <x:c r="F259" s="11" t="n">
        <x:v>7.227926078028747</x:v>
      </x:c>
      <x:c r="G259" s="26" t="b">
        <x:v>1</x:v>
      </x:c>
      <x:c r="H259" s="16" t="n">
        <x:v>0.5</x:v>
      </x:c>
      <x:c r="I259" s="16" t="n">
        <x:v>1.4249999999999998</x:v>
      </x:c>
      <x:c r="J259" s="16" t="n">
        <x:v>3.04</x:v>
      </x:c>
      <x:c r="K259" s="11" t="n">
        <x:f>CHOOSE('假设'!$B$3,H259,I259,J259)</x:f>
        <x:v>1.4249999999999998</x:v>
      </x:c>
      <x:c r="L259" s="11" t="n">
        <x:f>K259*'管线假设'!E67*'管线假设'!F67*'管线假设'!G67*IF(E259="USD",'管线假设'!I67,1)-AM259</x:f>
        <x:v>0.156978</x:v>
      </x:c>
      <x:c r="M259" s="11" t="n">
        <x:f>'管线假设'!H67</x:f>
        <x:v>0.13</x:v>
      </x:c>
      <x:c r="N259" s="11" t="n">
        <x:f>IF(G259,L259*AN259/(1+M259)^F259,0)</x:f>
        <x:v>0.06489208460821236</x:v>
      </x:c>
      <x:c r="AJ259" t="n">
        <x:v>0</x:v>
      </x:c>
      <x:c r="AK259" t="n">
        <x:v>0</x:v>
      </x:c>
      <x:c r="AL259" t="n">
        <x:v>0</x:v>
      </x:c>
      <x:c r="AM259" t="n">
        <x:f>CHOOSE('假设'!$B$3,AJ259,AK259,AL259)</x:f>
        <x:v>0</x:v>
      </x:c>
      <x:c r="AN259" t="n">
        <x:v>1</x:v>
      </x:c>
    </x:row>
    <x:row r="260" ht="23" customHeight="1">
      <x:c r="A260" s="11" t="str">
        <x:v>01093.HK</x:v>
      </x:c>
      <x:c r="B260" s="11" t="str">
        <x:v>一年</x:v>
      </x:c>
      <x:c r="C260" s="11" t="str">
        <x:v>TG103_DOM</x:v>
      </x:c>
      <x:c r="D260" s="11" t="str">
        <x:v>2035-12-31</x:v>
      </x:c>
      <x:c r="E260" s="11" t="str">
        <x:v>CNY</x:v>
      </x:c>
      <x:c r="F260" s="11" t="n">
        <x:v>8.227241615331964</x:v>
      </x:c>
      <x:c r="G260" s="26" t="b">
        <x:v>1</x:v>
      </x:c>
      <x:c r="H260" s="16" t="n">
        <x:v>0.5</x:v>
      </x:c>
      <x:c r="I260" s="16" t="n">
        <x:v>1.32</x:v>
      </x:c>
      <x:c r="J260" s="16" t="n">
        <x:v>2.8160000000000003</x:v>
      </x:c>
      <x:c r="K260" s="11" t="n">
        <x:f>CHOOSE('假设'!$B$3,H260,I260,J260)</x:f>
        <x:v>1.32</x:v>
      </x:c>
      <x:c r="L260" s="11" t="n">
        <x:f>K260*'管线假设'!E67*'管线假设'!F67*'管线假设'!G67*IF(E260="USD",'管线假设'!I67,1)-AM260</x:f>
        <x:v>0.14541120000000002</x:v>
      </x:c>
      <x:c r="M260" s="11" t="n">
        <x:f>'管线假设'!H67</x:f>
        <x:v>0.13</x:v>
      </x:c>
      <x:c r="N260" s="11" t="n">
        <x:f>IF(G260,L260*AN260/(1+M260)^F260,0)</x:f>
        <x:v>0.05319963827287208</x:v>
      </x:c>
      <x:c r="AJ260" t="n">
        <x:v>0</x:v>
      </x:c>
      <x:c r="AK260" t="n">
        <x:v>0</x:v>
      </x:c>
      <x:c r="AL260" t="n">
        <x:v>0</x:v>
      </x:c>
      <x:c r="AM260" t="n">
        <x:f>CHOOSE('假设'!$B$3,AJ260,AK260,AL260)</x:f>
        <x:v>0</x:v>
      </x:c>
      <x:c r="AN260" t="n">
        <x:v>1</x:v>
      </x:c>
    </x:row>
    <x:row r="261" ht="23" customHeight="1">
      <x:c r="A261" s="11" t="str">
        <x:v>01093.HK</x:v>
      </x:c>
      <x:c r="B261" s="11" t="str">
        <x:v>一年</x:v>
      </x:c>
      <x:c r="C261" s="11" t="str">
        <x:v>TG103_DOM</x:v>
      </x:c>
      <x:c r="D261" s="11" t="str">
        <x:v>2036-12-31</x:v>
      </x:c>
      <x:c r="E261" s="11" t="str">
        <x:v>CNY</x:v>
      </x:c>
      <x:c r="F261" s="11" t="n">
        <x:v>9.229295003422314</x:v>
      </x:c>
      <x:c r="G261" s="26" t="b">
        <x:v>1</x:v>
      </x:c>
      <x:c r="H261" s="16" t="n">
        <x:v>0.475</x:v>
      </x:c>
      <x:c r="I261" s="16" t="n">
        <x:v>1.125</x:v>
      </x:c>
      <x:c r="J261" s="16" t="n">
        <x:v>2.4000000000000004</x:v>
      </x:c>
      <x:c r="K261" s="11" t="n">
        <x:f>CHOOSE('假设'!$B$3,H261,I261,J261)</x:f>
        <x:v>1.125</x:v>
      </x:c>
      <x:c r="L261" s="11" t="n">
        <x:f>K261*'管线假设'!E67*'管线假设'!F67*'管线假设'!G67*IF(E261="USD",'管线假设'!I67,1)-AM261</x:f>
        <x:v>0.12393</x:v>
      </x:c>
      <x:c r="M261" s="11" t="n">
        <x:f>'管线假设'!H67</x:f>
        <x:v>0.13</x:v>
      </x:c>
      <x:c r="N261" s="11" t="n">
        <x:f>IF(G261,L261*AN261/(1+M261)^F261,0)</x:f>
        <x:v>0.04011435711570891</x:v>
      </x:c>
      <x:c r="AJ261" t="n">
        <x:v>0</x:v>
      </x:c>
      <x:c r="AK261" t="n">
        <x:v>0</x:v>
      </x:c>
      <x:c r="AL261" t="n">
        <x:v>0</x:v>
      </x:c>
      <x:c r="AM261" t="n">
        <x:f>CHOOSE('假设'!$B$3,AJ261,AK261,AL261)</x:f>
        <x:v>0</x:v>
      </x:c>
      <x:c r="AN261" t="n">
        <x:v>1</x:v>
      </x:c>
    </x:row>
    <x:row r="262" ht="23" customHeight="1">
      <x:c r="A262" s="11" t="str">
        <x:v>01093.HK</x:v>
      </x:c>
      <x:c r="B262" s="11" t="str">
        <x:v>一年</x:v>
      </x:c>
      <x:c r="C262" s="11" t="str">
        <x:v>TG103_DOM</x:v>
      </x:c>
      <x:c r="D262" s="11" t="str">
        <x:v>2037-12-31</x:v>
      </x:c>
      <x:c r="E262" s="11" t="str">
        <x:v>CNY</x:v>
      </x:c>
      <x:c r="F262" s="11" t="n">
        <x:v>10.22861054072553</x:v>
      </x:c>
      <x:c r="G262" s="26" t="b">
        <x:v>1</x:v>
      </x:c>
      <x:c r="H262" s="16" t="n">
        <x:v>0.44</x:v>
      </x:c>
      <x:c r="I262" s="16" t="n">
        <x:v>0.8999999999999999</x:v>
      </x:c>
      <x:c r="J262" s="16" t="n">
        <x:v>1.92</x:v>
      </x:c>
      <x:c r="K262" s="11" t="n">
        <x:f>CHOOSE('假设'!$B$3,H262,I262,J262)</x:f>
        <x:v>0.8999999999999999</x:v>
      </x:c>
      <x:c r="L262" s="11" t="n">
        <x:f>K262*'管线假设'!E67*'管线假设'!F67*'管线假设'!G67*IF(E262="USD",'管线假设'!I67,1)-AM262</x:f>
        <x:v>0.099144</x:v>
      </x:c>
      <x:c r="M262" s="11" t="n">
        <x:f>'管线假设'!H67</x:f>
        <x:v>0.13</x:v>
      </x:c>
      <x:c r="N262" s="11" t="n">
        <x:f>IF(G262,L262*AN262/(1+M262)^F262,0)</x:f>
        <x:v>0.028401920678834066</x:v>
      </x:c>
      <x:c r="AJ262" t="n">
        <x:v>0</x:v>
      </x:c>
      <x:c r="AK262" t="n">
        <x:v>0</x:v>
      </x:c>
      <x:c r="AL262" t="n">
        <x:v>0</x:v>
      </x:c>
      <x:c r="AM262" t="n">
        <x:f>CHOOSE('假设'!$B$3,AJ262,AK262,AL262)</x:f>
        <x:v>0</x:v>
      </x:c>
      <x:c r="AN262" t="n">
        <x:v>1</x:v>
      </x:c>
    </x:row>
    <x:row r="263" ht="23" customHeight="1">
      <x:c r="A263" s="11" t="str">
        <x:v>01093.HK</x:v>
      </x:c>
      <x:c r="B263" s="11" t="str">
        <x:v>一年</x:v>
      </x:c>
      <x:c r="C263" s="11" t="str">
        <x:v>TG103_DOM</x:v>
      </x:c>
      <x:c r="D263" s="11" t="str">
        <x:v>2038-12-31</x:v>
      </x:c>
      <x:c r="E263" s="11" t="str">
        <x:v>CNY</x:v>
      </x:c>
      <x:c r="F263" s="11" t="n">
        <x:v>11.227926078028748</x:v>
      </x:c>
      <x:c r="G263" s="26" t="b">
        <x:v>1</x:v>
      </x:c>
      <x:c r="H263" s="16" t="n">
        <x:v>0.375</x:v>
      </x:c>
      <x:c r="I263" s="16" t="n">
        <x:v>0.675</x:v>
      </x:c>
      <x:c r="J263" s="16" t="n">
        <x:v>1.4400000000000002</x:v>
      </x:c>
      <x:c r="K263" s="11" t="n">
        <x:f>CHOOSE('假设'!$B$3,H263,I263,J263)</x:f>
        <x:v>0.675</x:v>
      </x:c>
      <x:c r="L263" s="11" t="n">
        <x:f>K263*'管线假设'!E67*'管线假设'!F67*'管线假设'!G67*IF(E263="USD",'管线假设'!I67,1)-AM263</x:f>
        <x:v>0.07435800000000001</x:v>
      </x:c>
      <x:c r="M263" s="11" t="n">
        <x:f>'管线假设'!H67</x:f>
        <x:v>0.13</x:v>
      </x:c>
      <x:c r="N263" s="11" t="n">
        <x:f>IF(G263,L263*AN263/(1+M263)^F263,0)</x:f>
        <x:v>0.018852409311333758</x:v>
      </x:c>
      <x:c r="AJ263" t="n">
        <x:v>0</x:v>
      </x:c>
      <x:c r="AK263" t="n">
        <x:v>0</x:v>
      </x:c>
      <x:c r="AL263" t="n">
        <x:v>0</x:v>
      </x:c>
      <x:c r="AM263" t="n">
        <x:f>CHOOSE('假设'!$B$3,AJ263,AK263,AL263)</x:f>
        <x:v>0</x:v>
      </x:c>
      <x:c r="AN263" t="n">
        <x:v>1</x:v>
      </x:c>
    </x:row>
    <x:row r="264" ht="23" customHeight="1">
      <x:c r="A264" s="11" t="str">
        <x:v>01093.HK</x:v>
      </x:c>
      <x:c r="B264" s="11" t="str">
        <x:v>一年</x:v>
      </x:c>
      <x:c r="C264" s="11" t="str">
        <x:v>TG103_DOM</x:v>
      </x:c>
      <x:c r="D264" s="11" t="str">
        <x:v>2039-12-31</x:v>
      </x:c>
      <x:c r="E264" s="11" t="str">
        <x:v>CNY</x:v>
      </x:c>
      <x:c r="F264" s="11" t="n">
        <x:v>12.227241615331964</x:v>
      </x:c>
      <x:c r="G264" s="26" t="b">
        <x:v>1</x:v>
      </x:c>
      <x:c r="H264" s="16" t="n">
        <x:v>0.3</x:v>
      </x:c>
      <x:c r="I264" s="16" t="n">
        <x:v>0.44999999999999996</x:v>
      </x:c>
      <x:c r="J264" s="16" t="n">
        <x:v>0.96</x:v>
      </x:c>
      <x:c r="K264" s="11" t="n">
        <x:f>CHOOSE('假设'!$B$3,H264,I264,J264)</x:f>
        <x:v>0.44999999999999996</x:v>
      </x:c>
      <x:c r="L264" s="11" t="n">
        <x:f>K264*'管线假设'!E67*'管线假设'!F67*'管线假设'!G67*IF(E264="USD",'管线假设'!I67,1)-AM264</x:f>
        <x:v>0.049572</x:v>
      </x:c>
      <x:c r="M264" s="11" t="n">
        <x:f>'管线假设'!H67</x:f>
        <x:v>0.13</x:v>
      </x:c>
      <x:c r="N264" s="11" t="n">
        <x:f>IF(G264,L264*AN264/(1+M264)^F264,0)</x:f>
        <x:v>0.011123295838132152</x:v>
      </x:c>
      <x:c r="AJ264" t="n">
        <x:v>0</x:v>
      </x:c>
      <x:c r="AK264" t="n">
        <x:v>0</x:v>
      </x:c>
      <x:c r="AL264" t="n">
        <x:v>0</x:v>
      </x:c>
      <x:c r="AM264" t="n">
        <x:f>CHOOSE('假设'!$B$3,AJ264,AK264,AL264)</x:f>
        <x:v>0</x:v>
      </x:c>
      <x:c r="AN264" t="n">
        <x:v>1</x:v>
      </x:c>
    </x:row>
    <x:row r="265" ht="23" customHeight="1">
      <x:c r="A265" s="11" t="str">
        <x:v>01093.HK</x:v>
      </x:c>
      <x:c r="B265" s="11" t="str">
        <x:v>一年</x:v>
      </x:c>
      <x:c r="C265" s="11" t="str">
        <x:v>TG103_DOM</x:v>
      </x:c>
      <x:c r="D265" s="11" t="str">
        <x:v>2040-12-31</x:v>
      </x:c>
      <x:c r="E265" s="11" t="str">
        <x:v>CNY</x:v>
      </x:c>
      <x:c r="F265" s="11" t="n">
        <x:v>13.229295003422314</x:v>
      </x:c>
      <x:c r="G265" s="26" t="b">
        <x:v>1</x:v>
      </x:c>
      <x:c r="H265" s="16" t="n">
        <x:v>0.225</x:v>
      </x:c>
      <x:c r="I265" s="16" t="n">
        <x:v>0.27</x:v>
      </x:c>
      <x:c r="J265" s="16" t="n">
        <x:v>0.576</x:v>
      </x:c>
      <x:c r="K265" s="11" t="n">
        <x:f>CHOOSE('假设'!$B$3,H265,I265,J265)</x:f>
        <x:v>0.27</x:v>
      </x:c>
      <x:c r="L265" s="11" t="n">
        <x:f>K265*'管线假设'!E67*'管线假设'!F67*'管线假设'!G67*IF(E265="USD",'管线假设'!I67,1)-AM265</x:f>
        <x:v>0.029743200000000008</x:v>
      </x:c>
      <x:c r="M265" s="11" t="n">
        <x:f>'管线假设'!H67</x:f>
        <x:v>0.13</x:v>
      </x:c>
      <x:c r="N265" s="11" t="n">
        <x:f>IF(G265,L265*AN265/(1+M265)^F265,0)</x:f>
        <x:v>0.00590469275229186</x:v>
      </x:c>
      <x:c r="AJ265" t="n">
        <x:v>0</x:v>
      </x:c>
      <x:c r="AK265" t="n">
        <x:v>0</x:v>
      </x:c>
      <x:c r="AL265" t="n">
        <x:v>0</x:v>
      </x:c>
      <x:c r="AM265" t="n">
        <x:f>CHOOSE('假设'!$B$3,AJ265,AK265,AL265)</x:f>
        <x:v>0</x:v>
      </x:c>
      <x:c r="AN265" t="n">
        <x:v>1</x:v>
      </x:c>
    </x:row>
    <x:row r="266" ht="23" customHeight="1">
      <x:c r="A266" s="11" t="str">
        <x:v>01093.HK</x:v>
      </x:c>
      <x:c r="B266" s="11" t="str">
        <x:v>一年</x:v>
      </x:c>
      <x:c r="C266" s="11" t="str">
        <x:v>TG103_DOM</x:v>
      </x:c>
      <x:c r="D266" s="11" t="str">
        <x:v>2041-12-31</x:v>
      </x:c>
      <x:c r="E266" s="11" t="str">
        <x:v>CNY</x:v>
      </x:c>
      <x:c r="F266" s="11" t="n">
        <x:v>14.22861054072553</x:v>
      </x:c>
      <x:c r="G266" s="26" t="b">
        <x:v>1</x:v>
      </x:c>
      <x:c r="H266" s="16" t="n">
        <x:v>0.15</x:v>
      </x:c>
      <x:c r="I266" s="16" t="n">
        <x:v>0.15000000000000002</x:v>
      </x:c>
      <x:c r="J266" s="16" t="n">
        <x:v>0.32000000000000006</x:v>
      </x:c>
      <x:c r="K266" s="11" t="n">
        <x:f>CHOOSE('假设'!$B$3,H266,I266,J266)</x:f>
        <x:v>0.15000000000000002</x:v>
      </x:c>
      <x:c r="L266" s="11" t="n">
        <x:f>K266*'管线假设'!E67*'管线假设'!F67*'管线假设'!G67*IF(E266="USD",'管线假设'!I67,1)-AM266</x:f>
        <x:v>0.016524000000000004</x:v>
      </x:c>
      <x:c r="M266" s="11" t="n">
        <x:f>'管线假设'!H67</x:f>
        <x:v>0.13</x:v>
      </x:c>
      <x:c r="N266" s="11" t="n">
        <x:f>IF(G266,L266*AN266/(1+M266)^F266,0)</x:f>
        <x:v>0.002903238309065516</x:v>
      </x:c>
      <x:c r="AJ266" t="n">
        <x:v>0</x:v>
      </x:c>
      <x:c r="AK266" t="n">
        <x:v>0</x:v>
      </x:c>
      <x:c r="AL266" t="n">
        <x:v>0</x:v>
      </x:c>
      <x:c r="AM266" t="n">
        <x:f>CHOOSE('假设'!$B$3,AJ266,AK266,AL266)</x:f>
        <x:v>0</x:v>
      </x:c>
      <x:c r="AN266" t="n">
        <x:v>1</x:v>
      </x:c>
    </x:row>
    <x:row r="267" ht="23" customHeight="1">
      <x:c r="A267" s="11" t="str">
        <x:v>01093.HK</x:v>
      </x:c>
      <x:c r="B267" s="11" t="str">
        <x:v>一年</x:v>
      </x:c>
      <x:c r="C267" s="11" t="str">
        <x:v>TG103_DOM</x:v>
      </x:c>
      <x:c r="D267" s="11" t="str">
        <x:v>2042-12-31</x:v>
      </x:c>
      <x:c r="E267" s="11" t="str">
        <x:v>CNY</x:v>
      </x:c>
      <x:c r="F267" s="11" t="n">
        <x:v>15.227926078028748</x:v>
      </x:c>
      <x:c r="G267" s="26" t="b">
        <x:v>1</x:v>
      </x:c>
      <x:c r="H267" s="16" t="n">
        <x:v>0.09</x:v>
      </x:c>
      <x:c r="I267" s="16" t="n">
        <x:v>0.07500000000000001</x:v>
      </x:c>
      <x:c r="J267" s="16" t="n">
        <x:v>0.16000000000000003</x:v>
      </x:c>
      <x:c r="K267" s="11" t="n">
        <x:f>CHOOSE('假设'!$B$3,H267,I267,J267)</x:f>
        <x:v>0.07500000000000001</x:v>
      </x:c>
      <x:c r="L267" s="11" t="n">
        <x:f>K267*'管线假设'!E67*'管线假设'!F67*'管线假设'!G67*IF(E267="USD",'管线假设'!I67,1)-AM267</x:f>
        <x:v>0.008262000000000002</x:v>
      </x:c>
      <x:c r="M267" s="11" t="n">
        <x:f>'管线假设'!H67</x:f>
        <x:v>0.13</x:v>
      </x:c>
      <x:c r="N267" s="11" t="n">
        <x:f>IF(G267,L267*AN267/(1+M267)^F267,0)</x:f>
        <x:v>0.001284726188057562</x:v>
      </x:c>
      <x:c r="AJ267" t="n">
        <x:v>0</x:v>
      </x:c>
      <x:c r="AK267" t="n">
        <x:v>0</x:v>
      </x:c>
      <x:c r="AL267" t="n">
        <x:v>0</x:v>
      </x:c>
      <x:c r="AM267" t="n">
        <x:f>CHOOSE('假设'!$B$3,AJ267,AK267,AL267)</x:f>
        <x:v>0</x:v>
      </x:c>
      <x:c r="AN267" t="n">
        <x:v>1</x:v>
      </x:c>
    </x:row>
    <x:row r="268" ht="23" customHeight="1">
      <x:c r="A268" s="11" t="str">
        <x:v>01093.HK</x:v>
      </x:c>
      <x:c r="B268" s="11" t="str">
        <x:v>一年</x:v>
      </x:c>
      <x:c r="C268" s="11" t="str">
        <x:v>TG103_DOM</x:v>
      </x:c>
      <x:c r="D268" s="11" t="str">
        <x:v>2043-12-31</x:v>
      </x:c>
      <x:c r="E268" s="11" t="str">
        <x:v>CNY</x:v>
      </x:c>
      <x:c r="F268" s="11" t="n">
        <x:v>16.227241615331966</x:v>
      </x:c>
      <x:c r="G268" s="26" t="b">
        <x:v>1</x:v>
      </x:c>
      <x:c r="H268" s="16" t="n">
        <x:v>0.05</x:v>
      </x:c>
      <x:c r="I268" s="16" t="n">
        <x:v>0.07500000000000001</x:v>
      </x:c>
      <x:c r="J268" s="16" t="n">
        <x:v>0.16000000000000003</x:v>
      </x:c>
      <x:c r="K268" s="11" t="n">
        <x:f>CHOOSE('假设'!$B$3,H268,I268,J268)</x:f>
        <x:v>0.07500000000000001</x:v>
      </x:c>
      <x:c r="L268" s="11" t="n">
        <x:f>K268*'管线假设'!E67*'管线假设'!F67*'管线假设'!G67*IF(E268="USD",'管线假设'!I67,1)-AM268</x:f>
        <x:v>0.008262000000000002</x:v>
      </x:c>
      <x:c r="M268" s="11" t="n">
        <x:f>'管线假设'!H67</x:f>
        <x:v>0.13</x:v>
      </x:c>
      <x:c r="N268" s="11" t="n">
        <x:f>IF(G268,L268*AN268/(1+M268)^F268,0)</x:f>
        <x:v>0.001137020941840753</x:v>
      </x:c>
      <x:c r="AJ268" t="n">
        <x:v>0</x:v>
      </x:c>
      <x:c r="AK268" t="n">
        <x:v>0</x:v>
      </x:c>
      <x:c r="AL268" t="n">
        <x:v>0</x:v>
      </x:c>
      <x:c r="AM268" t="n">
        <x:f>CHOOSE('假设'!$B$3,AJ268,AK268,AL268)</x:f>
        <x:v>0</x:v>
      </x:c>
      <x:c r="AN268" t="n">
        <x:v>1</x:v>
      </x:c>
    </x:row>
    <x:row r="269" ht="23" customHeight="1">
      <x:c r="A269" s="11" t="str">
        <x:v>01093.HK</x:v>
      </x:c>
      <x:c r="B269" s="11" t="str">
        <x:v>一年</x:v>
      </x:c>
      <x:c r="C269" s="11" t="str">
        <x:v>AZ_OBESITY_EXCHINA</x:v>
      </x:c>
      <x:c r="D269" s="11" t="str">
        <x:v>2029-12-31</x:v>
      </x:c>
      <x:c r="E269" s="11" t="str">
        <x:v>USD</x:v>
      </x:c>
      <x:c r="F269" s="11" t="n">
        <x:v>2.2286105407255303</x:v>
      </x:c>
      <x:c r="G269" s="26" t="b">
        <x:v>1</x:v>
      </x:c>
      <x:c r="H269" s="16" t="n">
        <x:v>0</x:v>
      </x:c>
      <x:c r="I269" s="16" t="n">
        <x:v>0</x:v>
      </x:c>
      <x:c r="J269" s="16" t="n">
        <x:v>1.6</x:v>
      </x:c>
      <x:c r="K269" s="11" t="n">
        <x:f>CHOOSE('假设'!$B$3,H269,I269,J269)</x:f>
        <x:v>0</x:v>
      </x:c>
      <x:c r="L269" s="11" t="n">
        <x:f>K269*'管线假设'!E71*'管线假设'!F71*'管线假设'!G71*IF(E269="USD",'管线假设'!I71,1)-AM269</x:f>
        <x:v>0</x:v>
      </x:c>
      <x:c r="M269" s="11" t="n">
        <x:f>'管线假设'!H71</x:f>
        <x:v>0.13</x:v>
      </x:c>
      <x:c r="N269" s="11" t="n">
        <x:f>IF(G269,L269*AN269/(1+M269)^F269,0)</x:f>
        <x:v>0</x:v>
      </x:c>
      <x:c r="AJ269" t="n">
        <x:v>0</x:v>
      </x:c>
      <x:c r="AK269" t="n">
        <x:v>0</x:v>
      </x:c>
      <x:c r="AL269" t="n">
        <x:v>0</x:v>
      </x:c>
      <x:c r="AM269" t="n">
        <x:f>CHOOSE('假设'!$B$3,AJ269,AK269,AL269)</x:f>
        <x:v>0</x:v>
      </x:c>
      <x:c r="AN269" t="n">
        <x:v>1</x:v>
      </x:c>
    </x:row>
    <x:row r="270" ht="23" customHeight="1">
      <x:c r="A270" s="11" t="str">
        <x:v>01093.HK</x:v>
      </x:c>
      <x:c r="B270" s="11" t="str">
        <x:v>一年</x:v>
      </x:c>
      <x:c r="C270" s="11" t="str">
        <x:v>AZ_OBESITY_EXCHINA</x:v>
      </x:c>
      <x:c r="D270" s="11" t="str">
        <x:v>2030-12-31</x:v>
      </x:c>
      <x:c r="E270" s="11" t="str">
        <x:v>USD</x:v>
      </x:c>
      <x:c r="F270" s="11" t="n">
        <x:v>3.2279260780287475</x:v>
      </x:c>
      <x:c r="G270" s="26" t="b">
        <x:v>1</x:v>
      </x:c>
      <x:c r="H270" s="16" t="n">
        <x:v>0</x:v>
      </x:c>
      <x:c r="I270" s="16" t="n">
        <x:v>0.72</x:v>
      </x:c>
      <x:c r="J270" s="16" t="n">
        <x:v>5</x:v>
      </x:c>
      <x:c r="K270" s="11" t="n">
        <x:f>CHOOSE('假设'!$B$3,H270,I270,J270)</x:f>
        <x:v>0.72</x:v>
      </x:c>
      <x:c r="L270" s="11" t="n">
        <x:f>K270*'管线假设'!E71*'管线假设'!F71*'管线假设'!G71*IF(E270="USD",'管线假设'!I71,1)-AM270</x:f>
        <x:v>0.07960679999999999</x:v>
      </x:c>
      <x:c r="M270" s="11" t="n">
        <x:f>'管线假设'!H71</x:f>
        <x:v>0.13</x:v>
      </x:c>
      <x:c r="N270" s="11" t="n">
        <x:f>IF(G270,L270*AN270/(1+M270)^F270,0)</x:f>
        <x:v>0.05365582474231694</x:v>
      </x:c>
      <x:c r="AJ270" t="n">
        <x:v>0</x:v>
      </x:c>
      <x:c r="AK270" t="n">
        <x:v>0</x:v>
      </x:c>
      <x:c r="AL270" t="n">
        <x:v>0</x:v>
      </x:c>
      <x:c r="AM270" t="n">
        <x:f>CHOOSE('假设'!$B$3,AJ270,AK270,AL270)</x:f>
        <x:v>0</x:v>
      </x:c>
      <x:c r="AN270" t="n">
        <x:v>1</x:v>
      </x:c>
    </x:row>
    <x:row r="271" ht="23" customHeight="1">
      <x:c r="A271" s="11" t="str">
        <x:v>01093.HK</x:v>
      </x:c>
      <x:c r="B271" s="11" t="str">
        <x:v>一年</x:v>
      </x:c>
      <x:c r="C271" s="11" t="str">
        <x:v>AZ_OBESITY_EXCHINA</x:v>
      </x:c>
      <x:c r="D271" s="11" t="str">
        <x:v>2031-12-31</x:v>
      </x:c>
      <x:c r="E271" s="11" t="str">
        <x:v>USD</x:v>
      </x:c>
      <x:c r="F271" s="11" t="n">
        <x:v>4.227241615331964</x:v>
      </x:c>
      <x:c r="G271" s="26" t="b">
        <x:v>1</x:v>
      </x:c>
      <x:c r="H271" s="16" t="n">
        <x:v>0</x:v>
      </x:c>
      <x:c r="I271" s="16" t="n">
        <x:v>2.25</x:v>
      </x:c>
      <x:c r="J271" s="16" t="n">
        <x:v>9</x:v>
      </x:c>
      <x:c r="K271" s="11" t="n">
        <x:f>CHOOSE('假设'!$B$3,H271,I271,J271)</x:f>
        <x:v>2.25</x:v>
      </x:c>
      <x:c r="L271" s="11" t="n">
        <x:f>K271*'管线假设'!E71*'管线假设'!F71*'管线假设'!G71*IF(E271="USD",'管线假设'!I71,1)-AM271</x:f>
        <x:v>0.24877124999999994</x:v>
      </x:c>
      <x:c r="M271" s="11" t="n">
        <x:f>'管线假设'!H71</x:f>
        <x:v>0.13</x:v>
      </x:c>
      <x:c r="N271" s="11" t="n">
        <x:f>IF(G271,L271*AN271/(1+M271)^F271,0)</x:f>
        <x:v>0.14839688446568952</x:v>
      </x:c>
      <x:c r="AJ271" t="n">
        <x:v>0</x:v>
      </x:c>
      <x:c r="AK271" t="n">
        <x:v>0</x:v>
      </x:c>
      <x:c r="AL271" t="n">
        <x:v>0</x:v>
      </x:c>
      <x:c r="AM271" t="n">
        <x:f>CHOOSE('假设'!$B$3,AJ271,AK271,AL271)</x:f>
        <x:v>0</x:v>
      </x:c>
      <x:c r="AN271" t="n">
        <x:v>1</x:v>
      </x:c>
    </x:row>
    <x:row r="272" ht="23" customHeight="1">
      <x:c r="A272" s="11" t="str">
        <x:v>01093.HK</x:v>
      </x:c>
      <x:c r="B272" s="11" t="str">
        <x:v>一年</x:v>
      </x:c>
      <x:c r="C272" s="11" t="str">
        <x:v>AZ_OBESITY_EXCHINA</x:v>
      </x:c>
      <x:c r="D272" s="11" t="str">
        <x:v>2032-12-31</x:v>
      </x:c>
      <x:c r="E272" s="11" t="str">
        <x:v>USD</x:v>
      </x:c>
      <x:c r="F272" s="11" t="n">
        <x:v>5.229295003422314</x:v>
      </x:c>
      <x:c r="G272" s="26" t="b">
        <x:v>1</x:v>
      </x:c>
      <x:c r="H272" s="16" t="n">
        <x:v>0.24</x:v>
      </x:c>
      <x:c r="I272" s="16" t="n">
        <x:v>4.05</x:v>
      </x:c>
      <x:c r="J272" s="16" t="n">
        <x:v>13</x:v>
      </x:c>
      <x:c r="K272" s="11" t="n">
        <x:f>CHOOSE('假设'!$B$3,H272,I272,J272)</x:f>
        <x:v>4.05</x:v>
      </x:c>
      <x:c r="L272" s="11" t="n">
        <x:f>K272*'管线假设'!E71*'管线假设'!F71*'管线假设'!G71*IF(E272="USD",'管线假设'!I71,1)-AM272</x:f>
        <x:v>0.44778824999999994</x:v>
      </x:c>
      <x:c r="M272" s="11" t="n">
        <x:f>'管线假设'!H71</x:f>
        <x:v>0.13</x:v>
      </x:c>
      <x:c r="N272" s="11" t="n">
        <x:f>IF(G272,L272*AN272/(1+M272)^F272,0)</x:f>
        <x:v>0.23632510208801275</x:v>
      </x:c>
      <x:c r="AJ272" t="n">
        <x:v>0</x:v>
      </x:c>
      <x:c r="AK272" t="n">
        <x:v>0</x:v>
      </x:c>
      <x:c r="AL272" t="n">
        <x:v>0</x:v>
      </x:c>
      <x:c r="AM272" t="n">
        <x:f>CHOOSE('假设'!$B$3,AJ272,AK272,AL272)</x:f>
        <x:v>0</x:v>
      </x:c>
      <x:c r="AN272" t="n">
        <x:v>1</x:v>
      </x:c>
    </x:row>
    <x:row r="273" ht="23" customHeight="1">
      <x:c r="A273" s="11" t="str">
        <x:v>01093.HK</x:v>
      </x:c>
      <x:c r="B273" s="11" t="str">
        <x:v>一年</x:v>
      </x:c>
      <x:c r="C273" s="11" t="str">
        <x:v>AZ_OBESITY_EXCHINA</x:v>
      </x:c>
      <x:c r="D273" s="11" t="str">
        <x:v>2033-12-31</x:v>
      </x:c>
      <x:c r="E273" s="11" t="str">
        <x:v>USD</x:v>
      </x:c>
      <x:c r="F273" s="11" t="n">
        <x:v>6.228610540725531</x:v>
      </x:c>
      <x:c r="G273" s="26" t="b">
        <x:v>1</x:v>
      </x:c>
      <x:c r="H273" s="16" t="n">
        <x:v>0.75</x:v>
      </x:c>
      <x:c r="I273" s="16" t="n">
        <x:v>5.8500000000000005</x:v>
      </x:c>
      <x:c r="J273" s="16" t="n">
        <x:v>17</x:v>
      </x:c>
      <x:c r="K273" s="11" t="n">
        <x:f>CHOOSE('假设'!$B$3,H273,I273,J273)</x:f>
        <x:v>5.8500000000000005</x:v>
      </x:c>
      <x:c r="L273" s="11" t="n">
        <x:f>K273*'管线假设'!E71*'管线假设'!F71*'管线假设'!G71*IF(E273="USD",'管线假设'!I71,1)-AM273</x:f>
        <x:v>0.64680525</x:v>
      </x:c>
      <x:c r="M273" s="11" t="n">
        <x:f>'管线假设'!H71</x:f>
        <x:v>0.13</x:v>
      </x:c>
      <x:c r="N273" s="11" t="n">
        <x:f>IF(G273,L273*AN273/(1+M273)^F273,0)</x:f>
        <x:v>0.30211242282242684</x:v>
      </x:c>
      <x:c r="AJ273" t="n">
        <x:v>0</x:v>
      </x:c>
      <x:c r="AK273" t="n">
        <x:v>0</x:v>
      </x:c>
      <x:c r="AL273" t="n">
        <x:v>0</x:v>
      </x:c>
      <x:c r="AM273" t="n">
        <x:f>CHOOSE('假设'!$B$3,AJ273,AK273,AL273)</x:f>
        <x:v>0</x:v>
      </x:c>
      <x:c r="AN273" t="n">
        <x:v>1</x:v>
      </x:c>
    </x:row>
    <x:row r="274" ht="23" customHeight="1">
      <x:c r="A274" s="11" t="str">
        <x:v>01093.HK</x:v>
      </x:c>
      <x:c r="B274" s="11" t="str">
        <x:v>一年</x:v>
      </x:c>
      <x:c r="C274" s="11" t="str">
        <x:v>AZ_OBESITY_EXCHINA</x:v>
      </x:c>
      <x:c r="D274" s="11" t="str">
        <x:v>2034-12-31</x:v>
      </x:c>
      <x:c r="E274" s="11" t="str">
        <x:v>USD</x:v>
      </x:c>
      <x:c r="F274" s="11" t="n">
        <x:v>7.227926078028747</x:v>
      </x:c>
      <x:c r="G274" s="26" t="b">
        <x:v>1</x:v>
      </x:c>
      <x:c r="H274" s="16" t="n">
        <x:v>1.35</x:v>
      </x:c>
      <x:c r="I274" s="16" t="n">
        <x:v>7.6499999999999995</x:v>
      </x:c>
      <x:c r="J274" s="16" t="n">
        <x:v>20</x:v>
      </x:c>
      <x:c r="K274" s="11" t="n">
        <x:f>CHOOSE('假设'!$B$3,H274,I274,J274)</x:f>
        <x:v>7.6499999999999995</x:v>
      </x:c>
      <x:c r="L274" s="11" t="n">
        <x:f>K274*'管线假设'!E71*'管线假设'!F71*'管线假设'!G71*IF(E274="USD",'管线假设'!I71,1)-AM274</x:f>
        <x:v>0.8458222499999998</x:v>
      </x:c>
      <x:c r="M274" s="11" t="n">
        <x:f>'管线假设'!H71</x:f>
        <x:v>0.13</x:v>
      </x:c>
      <x:c r="N274" s="11" t="n">
        <x:f>IF(G274,L274*AN274/(1+M274)^F274,0)</x:f>
        <x:v>0.3496487979876704</x:v>
      </x:c>
      <x:c r="AJ274" t="n">
        <x:v>0</x:v>
      </x:c>
      <x:c r="AK274" t="n">
        <x:v>0</x:v>
      </x:c>
      <x:c r="AL274" t="n">
        <x:v>0</x:v>
      </x:c>
      <x:c r="AM274" t="n">
        <x:f>CHOOSE('假设'!$B$3,AJ274,AK274,AL274)</x:f>
        <x:v>0</x:v>
      </x:c>
      <x:c r="AN274" t="n">
        <x:v>1</x:v>
      </x:c>
    </x:row>
    <x:row r="275" ht="23" customHeight="1">
      <x:c r="A275" s="11" t="str">
        <x:v>01093.HK</x:v>
      </x:c>
      <x:c r="B275" s="11" t="str">
        <x:v>一年</x:v>
      </x:c>
      <x:c r="C275" s="11" t="str">
        <x:v>AZ_OBESITY_EXCHINA</x:v>
      </x:c>
      <x:c r="D275" s="11" t="str">
        <x:v>2035-12-31</x:v>
      </x:c>
      <x:c r="E275" s="11" t="str">
        <x:v>USD</x:v>
      </x:c>
      <x:c r="F275" s="11" t="n">
        <x:v>8.227241615331964</x:v>
      </x:c>
      <x:c r="G275" s="26" t="b">
        <x:v>1</x:v>
      </x:c>
      <x:c r="H275" s="16" t="n">
        <x:v>1.9500000000000002</x:v>
      </x:c>
      <x:c r="I275" s="16" t="n">
        <x:v>9</x:v>
      </x:c>
      <x:c r="J275" s="16" t="n">
        <x:v>20</x:v>
      </x:c>
      <x:c r="K275" s="11" t="n">
        <x:f>CHOOSE('假设'!$B$3,H275,I275,J275)</x:f>
        <x:v>9</x:v>
      </x:c>
      <x:c r="L275" s="11" t="n">
        <x:f>K275*'管线假设'!E71*'管线假设'!F71*'管线假设'!G71*IF(E275="USD",'管线假设'!I71,1)-AM275</x:f>
        <x:v>0.9950849999999998</x:v>
      </x:c>
      <x:c r="M275" s="11" t="n">
        <x:f>'管线假设'!H71</x:f>
        <x:v>0.13</x:v>
      </x:c>
      <x:c r="N275" s="11" t="n">
        <x:f>IF(G275,L275*AN275/(1+M275)^F275,0)</x:f>
        <x:v>0.36405835348832066</x:v>
      </x:c>
      <x:c r="AJ275" t="n">
        <x:v>0</x:v>
      </x:c>
      <x:c r="AK275" t="n">
        <x:v>0</x:v>
      </x:c>
      <x:c r="AL275" t="n">
        <x:v>0</x:v>
      </x:c>
      <x:c r="AM275" t="n">
        <x:f>CHOOSE('假设'!$B$3,AJ275,AK275,AL275)</x:f>
        <x:v>0</x:v>
      </x:c>
      <x:c r="AN275" t="n">
        <x:v>1</x:v>
      </x:c>
    </x:row>
    <x:row r="276" ht="23" customHeight="1">
      <x:c r="A276" s="11" t="str">
        <x:v>01093.HK</x:v>
      </x:c>
      <x:c r="B276" s="11" t="str">
        <x:v>一年</x:v>
      </x:c>
      <x:c r="C276" s="11" t="str">
        <x:v>AZ_OBESITY_EXCHINA</x:v>
      </x:c>
      <x:c r="D276" s="11" t="str">
        <x:v>2036-12-31</x:v>
      </x:c>
      <x:c r="E276" s="11" t="str">
        <x:v>USD</x:v>
      </x:c>
      <x:c r="F276" s="11" t="n">
        <x:v>9.229295003422314</x:v>
      </x:c>
      <x:c r="G276" s="26" t="b">
        <x:v>1</x:v>
      </x:c>
      <x:c r="H276" s="16" t="n">
        <x:v>2.55</x:v>
      </x:c>
      <x:c r="I276" s="16" t="n">
        <x:v>9</x:v>
      </x:c>
      <x:c r="J276" s="16" t="n">
        <x:v>19</x:v>
      </x:c>
      <x:c r="K276" s="11" t="n">
        <x:f>CHOOSE('假设'!$B$3,H276,I276,J276)</x:f>
        <x:v>9</x:v>
      </x:c>
      <x:c r="L276" s="11" t="n">
        <x:f>K276*'管线假设'!E71*'管线假设'!F71*'管线假设'!G71*IF(E276="USD",'管线假设'!I71,1)-AM276</x:f>
        <x:v>0.9950849999999998</x:v>
      </x:c>
      <x:c r="M276" s="11" t="n">
        <x:f>'管线假设'!H71</x:f>
        <x:v>0.13</x:v>
      </x:c>
      <x:c r="N276" s="11" t="n">
        <x:f>IF(G276,L276*AN276/(1+M276)^F276,0)</x:f>
        <x:v>0.3220946909584862</x:v>
      </x:c>
      <x:c r="AJ276" t="n">
        <x:v>0</x:v>
      </x:c>
      <x:c r="AK276" t="n">
        <x:v>0</x:v>
      </x:c>
      <x:c r="AL276" t="n">
        <x:v>0</x:v>
      </x:c>
      <x:c r="AM276" t="n">
        <x:f>CHOOSE('假设'!$B$3,AJ276,AK276,AL276)</x:f>
        <x:v>0</x:v>
      </x:c>
      <x:c r="AN276" t="n">
        <x:v>1</x:v>
      </x:c>
    </x:row>
    <x:row r="277" ht="23" customHeight="1">
      <x:c r="A277" s="11" t="str">
        <x:v>01093.HK</x:v>
      </x:c>
      <x:c r="B277" s="11" t="str">
        <x:v>一年</x:v>
      </x:c>
      <x:c r="C277" s="11" t="str">
        <x:v>AZ_OBESITY_EXCHINA</x:v>
      </x:c>
      <x:c r="D277" s="11" t="str">
        <x:v>2037-12-31</x:v>
      </x:c>
      <x:c r="E277" s="11" t="str">
        <x:v>USD</x:v>
      </x:c>
      <x:c r="F277" s="11" t="n">
        <x:v>10.22861054072553</x:v>
      </x:c>
      <x:c r="G277" s="26" t="b">
        <x:v>1</x:v>
      </x:c>
      <x:c r="H277" s="16" t="n">
        <x:v>3</x:v>
      </x:c>
      <x:c r="I277" s="16" t="n">
        <x:v>8.549999999999999</x:v>
      </x:c>
      <x:c r="J277" s="16" t="n">
        <x:v>17.6</x:v>
      </x:c>
      <x:c r="K277" s="11" t="n">
        <x:f>CHOOSE('假设'!$B$3,H277,I277,J277)</x:f>
        <x:v>8.549999999999999</x:v>
      </x:c>
      <x:c r="L277" s="11" t="n">
        <x:f>K277*'管线假设'!E71*'管线假设'!F71*'管线假设'!G71*IF(E277="USD",'管线假设'!I71,1)-AM277</x:f>
        <x:v>0.9453307499999997</x:v>
      </x:c>
      <x:c r="M277" s="11" t="n">
        <x:f>'管线假设'!H71</x:f>
        <x:v>0.13</x:v>
      </x:c>
      <x:c r="N277" s="11" t="n">
        <x:f>IF(G277,L277*AN277/(1+M277)^F277,0)</x:f>
        <x:v>0.2708102252961622</x:v>
      </x:c>
      <x:c r="AJ277" t="n">
        <x:v>0</x:v>
      </x:c>
      <x:c r="AK277" t="n">
        <x:v>0</x:v>
      </x:c>
      <x:c r="AL277" t="n">
        <x:v>0</x:v>
      </x:c>
      <x:c r="AM277" t="n">
        <x:f>CHOOSE('假设'!$B$3,AJ277,AK277,AL277)</x:f>
        <x:v>0</x:v>
      </x:c>
      <x:c r="AN277" t="n">
        <x:v>1</x:v>
      </x:c>
    </x:row>
    <x:row r="278" ht="23" customHeight="1">
      <x:c r="A278" s="11" t="str">
        <x:v>01093.HK</x:v>
      </x:c>
      <x:c r="B278" s="11" t="str">
        <x:v>一年</x:v>
      </x:c>
      <x:c r="C278" s="11" t="str">
        <x:v>AZ_OBESITY_EXCHINA</x:v>
      </x:c>
      <x:c r="D278" s="11" t="str">
        <x:v>2038-12-31</x:v>
      </x:c>
      <x:c r="E278" s="11" t="str">
        <x:v>USD</x:v>
      </x:c>
      <x:c r="F278" s="11" t="n">
        <x:v>11.227926078028748</x:v>
      </x:c>
      <x:c r="G278" s="26" t="b">
        <x:v>1</x:v>
      </x:c>
      <x:c r="H278" s="16" t="n">
        <x:v>3</x:v>
      </x:c>
      <x:c r="I278" s="16" t="n">
        <x:v>7.92</x:v>
      </x:c>
      <x:c r="J278" s="16" t="n">
        <x:v>15</x:v>
      </x:c>
      <x:c r="K278" s="11" t="n">
        <x:f>CHOOSE('假设'!$B$3,H278,I278,J278)</x:f>
        <x:v>7.92</x:v>
      </x:c>
      <x:c r="L278" s="11" t="n">
        <x:f>K278*'管线假设'!E71*'管线假设'!F71*'管线假设'!G71*IF(E278="USD",'管线假设'!I71,1)-AM278</x:f>
        <x:v>0.8756748</x:v>
      </x:c>
      <x:c r="M278" s="11" t="n">
        <x:f>'管线假设'!H71</x:f>
        <x:v>0.13</x:v>
      </x:c>
      <x:c r="N278" s="11" t="n">
        <x:f>IF(G278,L278*AN278/(1+M278)^F278,0)</x:f>
        <x:v>0.22201484377229516</x:v>
      </x:c>
      <x:c r="AJ278" t="n">
        <x:v>0</x:v>
      </x:c>
      <x:c r="AK278" t="n">
        <x:v>0</x:v>
      </x:c>
      <x:c r="AL278" t="n">
        <x:v>0</x:v>
      </x:c>
      <x:c r="AM278" t="n">
        <x:f>CHOOSE('假设'!$B$3,AJ278,AK278,AL278)</x:f>
        <x:v>0</x:v>
      </x:c>
      <x:c r="AN278" t="n">
        <x:v>1</x:v>
      </x:c>
    </x:row>
    <x:row r="279" ht="23" customHeight="1">
      <x:c r="A279" s="11" t="str">
        <x:v>01093.HK</x:v>
      </x:c>
      <x:c r="B279" s="11" t="str">
        <x:v>一年</x:v>
      </x:c>
      <x:c r="C279" s="11" t="str">
        <x:v>AZ_OBESITY_EXCHINA</x:v>
      </x:c>
      <x:c r="D279" s="11" t="str">
        <x:v>2039-12-31</x:v>
      </x:c>
      <x:c r="E279" s="11" t="str">
        <x:v>USD</x:v>
      </x:c>
      <x:c r="F279" s="11" t="n">
        <x:v>12.227241615331964</x:v>
      </x:c>
      <x:c r="G279" s="26" t="b">
        <x:v>1</x:v>
      </x:c>
      <x:c r="H279" s="16" t="n">
        <x:v>2.8499999999999996</x:v>
      </x:c>
      <x:c r="I279" s="16" t="n">
        <x:v>6.75</x:v>
      </x:c>
      <x:c r="J279" s="16" t="n">
        <x:v>12</x:v>
      </x:c>
      <x:c r="K279" s="11" t="n">
        <x:f>CHOOSE('假设'!$B$3,H279,I279,J279)</x:f>
        <x:v>6.75</x:v>
      </x:c>
      <x:c r="L279" s="11" t="n">
        <x:f>K279*'管线假设'!E71*'管线假设'!F71*'管线假设'!G71*IF(E279="USD",'管线假设'!I71,1)-AM279</x:f>
        <x:v>0.7463137499999999</x:v>
      </x:c>
      <x:c r="M279" s="11" t="n">
        <x:f>'管线假设'!H71</x:f>
        <x:v>0.13</x:v>
      </x:c>
      <x:c r="N279" s="11" t="n">
        <x:f>IF(G279,L279*AN279/(1+M279)^F279,0)</x:f>
        <x:v>0.16746285462187926</x:v>
      </x:c>
      <x:c r="AJ279" t="n">
        <x:v>0</x:v>
      </x:c>
      <x:c r="AK279" t="n">
        <x:v>0</x:v>
      </x:c>
      <x:c r="AL279" t="n">
        <x:v>0</x:v>
      </x:c>
      <x:c r="AM279" t="n">
        <x:f>CHOOSE('假设'!$B$3,AJ279,AK279,AL279)</x:f>
        <x:v>0</x:v>
      </x:c>
      <x:c r="AN279" t="n">
        <x:v>1</x:v>
      </x:c>
    </x:row>
    <x:row r="280" ht="23" customHeight="1">
      <x:c r="A280" s="11" t="str">
        <x:v>01093.HK</x:v>
      </x:c>
      <x:c r="B280" s="11" t="str">
        <x:v>一年</x:v>
      </x:c>
      <x:c r="C280" s="11" t="str">
        <x:v>AZ_OBESITY_EXCHINA</x:v>
      </x:c>
      <x:c r="D280" s="11" t="str">
        <x:v>2040-12-31</x:v>
      </x:c>
      <x:c r="E280" s="11" t="str">
        <x:v>USD</x:v>
      </x:c>
      <x:c r="F280" s="11" t="n">
        <x:v>13.229295003422314</x:v>
      </x:c>
      <x:c r="G280" s="26" t="b">
        <x:v>1</x:v>
      </x:c>
      <x:c r="H280" s="16" t="n">
        <x:v>2.64</x:v>
      </x:c>
      <x:c r="I280" s="16" t="n">
        <x:v>5.3999999999999995</x:v>
      </x:c>
      <x:c r="J280" s="16" t="n">
        <x:v>9</x:v>
      </x:c>
      <x:c r="K280" s="11" t="n">
        <x:f>CHOOSE('假设'!$B$3,H280,I280,J280)</x:f>
        <x:v>5.3999999999999995</x:v>
      </x:c>
      <x:c r="L280" s="11" t="n">
        <x:f>K280*'管线假设'!E71*'管线假设'!F71*'管线假设'!G71*IF(E280="USD",'管线假设'!I71,1)-AM280</x:f>
        <x:v>0.597051</x:v>
      </x:c>
      <x:c r="M280" s="11" t="n">
        <x:f>'管线假设'!H71</x:f>
        <x:v>0.13</x:v>
      </x:c>
      <x:c r="N280" s="11" t="n">
        <x:f>IF(G280,L280*AN280/(1+M280)^F280,0)</x:f>
        <x:v>0.11852802363056453</x:v>
      </x:c>
      <x:c r="AJ280" t="n">
        <x:v>0</x:v>
      </x:c>
      <x:c r="AK280" t="n">
        <x:v>0</x:v>
      </x:c>
      <x:c r="AL280" t="n">
        <x:v>0</x:v>
      </x:c>
      <x:c r="AM280" t="n">
        <x:f>CHOOSE('假设'!$B$3,AJ280,AK280,AL280)</x:f>
        <x:v>0</x:v>
      </x:c>
      <x:c r="AN280" t="n">
        <x:v>1</x:v>
      </x:c>
    </x:row>
    <x:row r="281" ht="23" customHeight="1">
      <x:c r="A281" s="11" t="str">
        <x:v>01093.HK</x:v>
      </x:c>
      <x:c r="B281" s="11" t="str">
        <x:v>一年</x:v>
      </x:c>
      <x:c r="C281" s="11" t="str">
        <x:v>AZ_OBESITY_EXCHINA</x:v>
      </x:c>
      <x:c r="D281" s="11" t="str">
        <x:v>2041-12-31</x:v>
      </x:c>
      <x:c r="E281" s="11" t="str">
        <x:v>USD</x:v>
      </x:c>
      <x:c r="F281" s="11" t="n">
        <x:v>14.22861054072553</x:v>
      </x:c>
      <x:c r="G281" s="26" t="b">
        <x:v>1</x:v>
      </x:c>
      <x:c r="H281" s="16" t="n">
        <x:v>2.25</x:v>
      </x:c>
      <x:c r="I281" s="16" t="n">
        <x:v>4.05</x:v>
      </x:c>
      <x:c r="J281" s="16" t="n">
        <x:v>6</x:v>
      </x:c>
      <x:c r="K281" s="11" t="n">
        <x:f>CHOOSE('假设'!$B$3,H281,I281,J281)</x:f>
        <x:v>4.05</x:v>
      </x:c>
      <x:c r="L281" s="11" t="n">
        <x:f>K281*'管线假设'!E71*'管线假设'!F71*'管线假设'!G71*IF(E281="USD",'管线假设'!I71,1)-AM281</x:f>
        <x:v>0.44778824999999994</x:v>
      </x:c>
      <x:c r="M281" s="11" t="n">
        <x:f>'管线假设'!H71</x:f>
        <x:v>0.13</x:v>
      </x:c>
      <x:c r="N281" s="11" t="n">
        <x:f>IF(G281,L281*AN281/(1+M281)^F281,0)</x:f>
        <x:v>0.07867562344162467</x:v>
      </x:c>
      <x:c r="AJ281" t="n">
        <x:v>0</x:v>
      </x:c>
      <x:c r="AK281" t="n">
        <x:v>0</x:v>
      </x:c>
      <x:c r="AL281" t="n">
        <x:v>0</x:v>
      </x:c>
      <x:c r="AM281" t="n">
        <x:f>CHOOSE('假设'!$B$3,AJ281,AK281,AL281)</x:f>
        <x:v>0</x:v>
      </x:c>
      <x:c r="AN281" t="n">
        <x:v>1</x:v>
      </x:c>
    </x:row>
    <x:row r="282" ht="23" customHeight="1">
      <x:c r="A282" s="11" t="str">
        <x:v>01093.HK</x:v>
      </x:c>
      <x:c r="B282" s="11" t="str">
        <x:v>一年</x:v>
      </x:c>
      <x:c r="C282" s="11" t="str">
        <x:v>AZ_OBESITY_EXCHINA</x:v>
      </x:c>
      <x:c r="D282" s="11" t="str">
        <x:v>2042-12-31</x:v>
      </x:c>
      <x:c r="E282" s="11" t="str">
        <x:v>USD</x:v>
      </x:c>
      <x:c r="F282" s="11" t="n">
        <x:v>15.227926078028748</x:v>
      </x:c>
      <x:c r="G282" s="26" t="b">
        <x:v>1</x:v>
      </x:c>
      <x:c r="H282" s="16" t="n">
        <x:v>1.7999999999999998</x:v>
      </x:c>
      <x:c r="I282" s="16" t="n">
        <x:v>2.6999999999999997</x:v>
      </x:c>
      <x:c r="J282" s="16" t="n">
        <x:v>3.5999999999999996</x:v>
      </x:c>
      <x:c r="K282" s="11" t="n">
        <x:f>CHOOSE('假设'!$B$3,H282,I282,J282)</x:f>
        <x:v>2.6999999999999997</x:v>
      </x:c>
      <x:c r="L282" s="11" t="n">
        <x:f>K282*'管线假设'!E71*'管线假设'!F71*'管线假设'!G71*IF(E282="USD",'管线假设'!I71,1)-AM282</x:f>
        <x:v>0.2985255</x:v>
      </x:c>
      <x:c r="M282" s="11" t="n">
        <x:f>'管线假设'!H71</x:f>
        <x:v>0.13</x:v>
      </x:c>
      <x:c r="N282" s="11" t="n">
        <x:f>IF(G282,L282*AN282/(1+M282)^F282,0)</x:f>
        <x:v>0.046420180059668074</x:v>
      </x:c>
      <x:c r="AJ282" t="n">
        <x:v>0</x:v>
      </x:c>
      <x:c r="AK282" t="n">
        <x:v>0</x:v>
      </x:c>
      <x:c r="AL282" t="n">
        <x:v>0</x:v>
      </x:c>
      <x:c r="AM282" t="n">
        <x:f>CHOOSE('假设'!$B$3,AJ282,AK282,AL282)</x:f>
        <x:v>0</x:v>
      </x:c>
      <x:c r="AN282" t="n">
        <x:v>1</x:v>
      </x:c>
    </x:row>
    <x:row r="283" ht="23" customHeight="1">
      <x:c r="A283" s="11" t="str">
        <x:v>01093.HK</x:v>
      </x:c>
      <x:c r="B283" s="11" t="str">
        <x:v>一年</x:v>
      </x:c>
      <x:c r="C283" s="11" t="str">
        <x:v>AZ_OBESITY_EXCHINA</x:v>
      </x:c>
      <x:c r="D283" s="11" t="str">
        <x:v>2043-12-31</x:v>
      </x:c>
      <x:c r="E283" s="11" t="str">
        <x:v>USD</x:v>
      </x:c>
      <x:c r="F283" s="11" t="n">
        <x:v>16.227241615331966</x:v>
      </x:c>
      <x:c r="G283" s="26" t="b">
        <x:v>1</x:v>
      </x:c>
      <x:c r="H283" s="16" t="n">
        <x:v>1.35</x:v>
      </x:c>
      <x:c r="I283" s="16" t="n">
        <x:v>1.6199999999999999</x:v>
      </x:c>
      <x:c r="J283" s="16" t="n">
        <x:v>2</x:v>
      </x:c>
      <x:c r="K283" s="11" t="n">
        <x:f>CHOOSE('假设'!$B$3,H283,I283,J283)</x:f>
        <x:v>1.6199999999999999</x:v>
      </x:c>
      <x:c r="L283" s="11" t="n">
        <x:f>K283*'管线假设'!E71*'管线假设'!F71*'管线假设'!G71*IF(E283="USD",'管线假设'!I71,1)-AM283</x:f>
        <x:v>0.17911529999999998</x:v>
      </x:c>
      <x:c r="M283" s="11" t="n">
        <x:f>'管线假设'!H71</x:f>
        <x:v>0.13</x:v>
      </x:c>
      <x:c r="N283" s="11" t="n">
        <x:f>IF(G283,L283*AN283/(1+M283)^F283,0)</x:f>
        <x:v>0.024649945183259376</x:v>
      </x:c>
      <x:c r="AJ283" t="n">
        <x:v>0</x:v>
      </x:c>
      <x:c r="AK283" t="n">
        <x:v>0</x:v>
      </x:c>
      <x:c r="AL283" t="n">
        <x:v>0</x:v>
      </x:c>
      <x:c r="AM283" t="n">
        <x:f>CHOOSE('假设'!$B$3,AJ283,AK283,AL283)</x:f>
        <x:v>0</x:v>
      </x:c>
      <x:c r="AN283" t="n">
        <x:v>1</x:v>
      </x:c>
    </x:row>
    <x:row r="284" ht="23" customHeight="1">
      <x:c r="A284" s="11" t="str">
        <x:v>01093.HK</x:v>
      </x:c>
      <x:c r="B284" s="11" t="str">
        <x:v>一年</x:v>
      </x:c>
      <x:c r="C284" s="11" t="str">
        <x:v>OTHER_OVERSEAS</x:v>
      </x:c>
      <x:c r="D284" s="11" t="str">
        <x:v>2030-12-31</x:v>
      </x:c>
      <x:c r="E284" s="11" t="str">
        <x:v>USD</x:v>
      </x:c>
      <x:c r="F284" s="11" t="n">
        <x:v>3.2279260780287475</x:v>
      </x:c>
      <x:c r="G284" s="26" t="b">
        <x:v>1</x:v>
      </x:c>
      <x:c r="H284" s="16" t="n">
        <x:v>0</x:v>
      </x:c>
      <x:c r="I284" s="16" t="n">
        <x:v>0</x:v>
      </x:c>
      <x:c r="J284" s="16" t="n">
        <x:v>0.72</x:v>
      </x:c>
      <x:c r="K284" s="11" t="n">
        <x:f>CHOOSE('假设'!$B$3,H284,I284,J284)</x:f>
        <x:v>0</x:v>
      </x:c>
      <x:c r="L284" s="11" t="n">
        <x:f>K284*'管线假设'!E75*'管线假设'!F75*'管线假设'!G75*IF(E284="USD",'管线假设'!I75,1)-AM284</x:f>
        <x:v>0</x:v>
      </x:c>
      <x:c r="M284" s="11" t="n">
        <x:f>'管线假设'!H75</x:f>
        <x:v>0.13</x:v>
      </x:c>
      <x:c r="N284" s="11" t="n">
        <x:f>IF(G284,L284*AN284/(1+M284)^F284,0)</x:f>
        <x:v>0</x:v>
      </x:c>
      <x:c r="AJ284" t="n">
        <x:v>0</x:v>
      </x:c>
      <x:c r="AK284" t="n">
        <x:v>0</x:v>
      </x:c>
      <x:c r="AL284" t="n">
        <x:v>0</x:v>
      </x:c>
      <x:c r="AM284" t="n">
        <x:f>CHOOSE('假设'!$B$3,AJ284,AK284,AL284)</x:f>
        <x:v>0</x:v>
      </x:c>
      <x:c r="AN284" t="n">
        <x:v>1</x:v>
      </x:c>
    </x:row>
    <x:row r="285" ht="23" customHeight="1">
      <x:c r="A285" s="11" t="str">
        <x:v>01093.HK</x:v>
      </x:c>
      <x:c r="B285" s="11" t="str">
        <x:v>一年</x:v>
      </x:c>
      <x:c r="C285" s="11" t="str">
        <x:v>OTHER_OVERSEAS</x:v>
      </x:c>
      <x:c r="D285" s="11" t="str">
        <x:v>2031-12-31</x:v>
      </x:c>
      <x:c r="E285" s="11" t="str">
        <x:v>USD</x:v>
      </x:c>
      <x:c r="F285" s="11" t="n">
        <x:v>4.227241615331964</x:v>
      </x:c>
      <x:c r="G285" s="26" t="b">
        <x:v>1</x:v>
      </x:c>
      <x:c r="H285" s="16" t="n">
        <x:v>0</x:v>
      </x:c>
      <x:c r="I285" s="16" t="n">
        <x:v>0.32</x:v>
      </x:c>
      <x:c r="J285" s="16" t="n">
        <x:v>2.25</x:v>
      </x:c>
      <x:c r="K285" s="11" t="n">
        <x:f>CHOOSE('假设'!$B$3,H285,I285,J285)</x:f>
        <x:v>0.32</x:v>
      </x:c>
      <x:c r="L285" s="11" t="n">
        <x:f>K285*'管线假设'!E75*'管线假设'!F75*'管线假设'!G75*IF(E285="USD",'管线假设'!I75,1)-AM285</x:f>
        <x:v>0.015095808000000002</x:v>
      </x:c>
      <x:c r="M285" s="11" t="n">
        <x:f>'管线假设'!H75</x:f>
        <x:v>0.13</x:v>
      </x:c>
      <x:c r="N285" s="11" t="n">
        <x:f>IF(G285,L285*AN285/(1+M285)^F285,0)</x:f>
        <x:v>0.009004942796614289</x:v>
      </x:c>
      <x:c r="AJ285" t="n">
        <x:v>0</x:v>
      </x:c>
      <x:c r="AK285" t="n">
        <x:v>0</x:v>
      </x:c>
      <x:c r="AL285" t="n">
        <x:v>0</x:v>
      </x:c>
      <x:c r="AM285" t="n">
        <x:f>CHOOSE('假设'!$B$3,AJ285,AK285,AL285)</x:f>
        <x:v>0</x:v>
      </x:c>
      <x:c r="AN285" t="n">
        <x:v>1</x:v>
      </x:c>
    </x:row>
    <x:row r="286" ht="23" customHeight="1">
      <x:c r="A286" s="11" t="str">
        <x:v>01093.HK</x:v>
      </x:c>
      <x:c r="B286" s="11" t="str">
        <x:v>一年</x:v>
      </x:c>
      <x:c r="C286" s="11" t="str">
        <x:v>OTHER_OVERSEAS</x:v>
      </x:c>
      <x:c r="D286" s="11" t="str">
        <x:v>2032-12-31</x:v>
      </x:c>
      <x:c r="E286" s="11" t="str">
        <x:v>USD</x:v>
      </x:c>
      <x:c r="F286" s="11" t="n">
        <x:v>5.229295003422314</x:v>
      </x:c>
      <x:c r="G286" s="26" t="b">
        <x:v>1</x:v>
      </x:c>
      <x:c r="H286" s="16" t="n">
        <x:v>0</x:v>
      </x:c>
      <x:c r="I286" s="16" t="n">
        <x:v>1</x:v>
      </x:c>
      <x:c r="J286" s="16" t="n">
        <x:v>4.05</x:v>
      </x:c>
      <x:c r="K286" s="11" t="n">
        <x:f>CHOOSE('假设'!$B$3,H286,I286,J286)</x:f>
        <x:v>1</x:v>
      </x:c>
      <x:c r="L286" s="11" t="n">
        <x:f>K286*'管线假设'!E75*'管线假设'!F75*'管线假设'!G75*IF(E286="USD",'管线假设'!I75,1)-AM286</x:f>
        <x:v>0.0471744</x:v>
      </x:c>
      <x:c r="M286" s="11" t="n">
        <x:f>'管线假设'!H75</x:f>
        <x:v>0.13</x:v>
      </x:c>
      <x:c r="N286" s="11" t="n">
        <x:f>IF(G286,L286*AN286/(1+M286)^F286,0)</x:f>
        <x:v>0.024896800878407926</x:v>
      </x:c>
      <x:c r="AJ286" t="n">
        <x:v>0</x:v>
      </x:c>
      <x:c r="AK286" t="n">
        <x:v>0</x:v>
      </x:c>
      <x:c r="AL286" t="n">
        <x:v>0</x:v>
      </x:c>
      <x:c r="AM286" t="n">
        <x:f>CHOOSE('假设'!$B$3,AJ286,AK286,AL286)</x:f>
        <x:v>0</x:v>
      </x:c>
      <x:c r="AN286" t="n">
        <x:v>1</x:v>
      </x:c>
    </x:row>
    <x:row r="287" ht="23" customHeight="1">
      <x:c r="A287" s="11" t="str">
        <x:v>01093.HK</x:v>
      </x:c>
      <x:c r="B287" s="11" t="str">
        <x:v>一年</x:v>
      </x:c>
      <x:c r="C287" s="11" t="str">
        <x:v>OTHER_OVERSEAS</x:v>
      </x:c>
      <x:c r="D287" s="11" t="str">
        <x:v>2033-12-31</x:v>
      </x:c>
      <x:c r="E287" s="11" t="str">
        <x:v>USD</x:v>
      </x:c>
      <x:c r="F287" s="11" t="n">
        <x:v>6.228610540725531</x:v>
      </x:c>
      <x:c r="G287" s="26" t="b">
        <x:v>1</x:v>
      </x:c>
      <x:c r="H287" s="16" t="n">
        <x:v>0.12</x:v>
      </x:c>
      <x:c r="I287" s="16" t="n">
        <x:v>1.8</x:v>
      </x:c>
      <x:c r="J287" s="16" t="n">
        <x:v>5.8500000000000005</x:v>
      </x:c>
      <x:c r="K287" s="11" t="n">
        <x:f>CHOOSE('假设'!$B$3,H287,I287,J287)</x:f>
        <x:v>1.8</x:v>
      </x:c>
      <x:c r="L287" s="11" t="n">
        <x:f>K287*'管线假设'!E75*'管线假设'!F75*'管线假设'!G75*IF(E287="USD",'管线假设'!I75,1)-AM287</x:f>
        <x:v>0.08491392000000002</x:v>
      </x:c>
      <x:c r="M287" s="11" t="n">
        <x:f>'管线假设'!H75</x:f>
        <x:v>0.13</x:v>
      </x:c>
      <x:c r="N287" s="11" t="n">
        <x:f>IF(G287,L287*AN287/(1+M287)^F287,0)</x:f>
        <x:v>0.039661938585918606</x:v>
      </x:c>
      <x:c r="AJ287" t="n">
        <x:v>0</x:v>
      </x:c>
      <x:c r="AK287" t="n">
        <x:v>0</x:v>
      </x:c>
      <x:c r="AL287" t="n">
        <x:v>0</x:v>
      </x:c>
      <x:c r="AM287" t="n">
        <x:f>CHOOSE('假设'!$B$3,AJ287,AK287,AL287)</x:f>
        <x:v>0</x:v>
      </x:c>
      <x:c r="AN287" t="n">
        <x:v>1</x:v>
      </x:c>
    </x:row>
    <x:row r="288" ht="23" customHeight="1">
      <x:c r="A288" s="11" t="str">
        <x:v>01093.HK</x:v>
      </x:c>
      <x:c r="B288" s="11" t="str">
        <x:v>一年</x:v>
      </x:c>
      <x:c r="C288" s="11" t="str">
        <x:v>OTHER_OVERSEAS</x:v>
      </x:c>
      <x:c r="D288" s="11" t="str">
        <x:v>2034-12-31</x:v>
      </x:c>
      <x:c r="E288" s="11" t="str">
        <x:v>USD</x:v>
      </x:c>
      <x:c r="F288" s="11" t="n">
        <x:v>7.227926078028747</x:v>
      </x:c>
      <x:c r="G288" s="26" t="b">
        <x:v>1</x:v>
      </x:c>
      <x:c r="H288" s="16" t="n">
        <x:v>0.375</x:v>
      </x:c>
      <x:c r="I288" s="16" t="n">
        <x:v>2.6</x:v>
      </x:c>
      <x:c r="J288" s="16" t="n">
        <x:v>7.6499999999999995</x:v>
      </x:c>
      <x:c r="K288" s="11" t="n">
        <x:f>CHOOSE('假设'!$B$3,H288,I288,J288)</x:f>
        <x:v>2.6</x:v>
      </x:c>
      <x:c r="L288" s="11" t="n">
        <x:f>K288*'管线假设'!E75*'管线假设'!F75*'管线假设'!G75*IF(E288="USD",'管线假设'!I75,1)-AM288</x:f>
        <x:v>0.12265344000000003</x:v>
      </x:c>
      <x:c r="M288" s="11" t="n">
        <x:f>'管线假设'!H75</x:f>
        <x:v>0.13</x:v>
      </x:c>
      <x:c r="N288" s="11" t="n">
        <x:f>IF(G288,L288*AN288/(1+M288)^F288,0)</x:f>
        <x:v>0.05070288451864783</x:v>
      </x:c>
      <x:c r="AJ288" t="n">
        <x:v>0</x:v>
      </x:c>
      <x:c r="AK288" t="n">
        <x:v>0</x:v>
      </x:c>
      <x:c r="AL288" t="n">
        <x:v>0</x:v>
      </x:c>
      <x:c r="AM288" t="n">
        <x:f>CHOOSE('假设'!$B$3,AJ288,AK288,AL288)</x:f>
        <x:v>0</x:v>
      </x:c>
      <x:c r="AN288" t="n">
        <x:v>1</x:v>
      </x:c>
    </x:row>
    <x:row r="289" ht="23" customHeight="1">
      <x:c r="A289" s="11" t="str">
        <x:v>01093.HK</x:v>
      </x:c>
      <x:c r="B289" s="11" t="str">
        <x:v>一年</x:v>
      </x:c>
      <x:c r="C289" s="11" t="str">
        <x:v>OTHER_OVERSEAS</x:v>
      </x:c>
      <x:c r="D289" s="11" t="str">
        <x:v>2035-12-31</x:v>
      </x:c>
      <x:c r="E289" s="11" t="str">
        <x:v>USD</x:v>
      </x:c>
      <x:c r="F289" s="11" t="n">
        <x:v>8.227241615331964</x:v>
      </x:c>
      <x:c r="G289" s="26" t="b">
        <x:v>1</x:v>
      </x:c>
      <x:c r="H289" s="16" t="n">
        <x:v>0.675</x:v>
      </x:c>
      <x:c r="I289" s="16" t="n">
        <x:v>3.4</x:v>
      </x:c>
      <x:c r="J289" s="16" t="n">
        <x:v>9</x:v>
      </x:c>
      <x:c r="K289" s="11" t="n">
        <x:f>CHOOSE('假设'!$B$3,H289,I289,J289)</x:f>
        <x:v>3.4</x:v>
      </x:c>
      <x:c r="L289" s="11" t="n">
        <x:f>K289*'管线假设'!E75*'管线假设'!F75*'管线假设'!G75*IF(E289="USD",'管线假设'!I75,1)-AM289</x:f>
        <x:v>0.16039296</x:v>
      </x:c>
      <x:c r="M289" s="11" t="n">
        <x:f>'管线假设'!H75</x:f>
        <x:v>0.13</x:v>
      </x:c>
      <x:c r="N289" s="11" t="n">
        <x:f>IF(G289,L289*AN289/(1+M289)^F289,0)</x:f>
        <x:v>0.05868081312522859</x:v>
      </x:c>
      <x:c r="AJ289" t="n">
        <x:v>0</x:v>
      </x:c>
      <x:c r="AK289" t="n">
        <x:v>0</x:v>
      </x:c>
      <x:c r="AL289" t="n">
        <x:v>0</x:v>
      </x:c>
      <x:c r="AM289" t="n">
        <x:f>CHOOSE('假设'!$B$3,AJ289,AK289,AL289)</x:f>
        <x:v>0</x:v>
      </x:c>
      <x:c r="AN289" t="n">
        <x:v>1</x:v>
      </x:c>
    </x:row>
    <x:row r="290" ht="23" customHeight="1">
      <x:c r="A290" s="11" t="str">
        <x:v>01093.HK</x:v>
      </x:c>
      <x:c r="B290" s="11" t="str">
        <x:v>一年</x:v>
      </x:c>
      <x:c r="C290" s="11" t="str">
        <x:v>OTHER_OVERSEAS</x:v>
      </x:c>
      <x:c r="D290" s="11" t="str">
        <x:v>2036-12-31</x:v>
      </x:c>
      <x:c r="E290" s="11" t="str">
        <x:v>USD</x:v>
      </x:c>
      <x:c r="F290" s="11" t="n">
        <x:v>9.229295003422314</x:v>
      </x:c>
      <x:c r="G290" s="26" t="b">
        <x:v>1</x:v>
      </x:c>
      <x:c r="H290" s="16" t="n">
        <x:v>0.9750000000000001</x:v>
      </x:c>
      <x:c r="I290" s="16" t="n">
        <x:v>4</x:v>
      </x:c>
      <x:c r="J290" s="16" t="n">
        <x:v>9</x:v>
      </x:c>
      <x:c r="K290" s="11" t="n">
        <x:f>CHOOSE('假设'!$B$3,H290,I290,J290)</x:f>
        <x:v>4</x:v>
      </x:c>
      <x:c r="L290" s="11" t="n">
        <x:f>K290*'管线假设'!E75*'管线假设'!F75*'管线假设'!G75*IF(E290="USD",'管线假设'!I75,1)-AM290</x:f>
        <x:v>0.1886976</x:v>
      </x:c>
      <x:c r="M290" s="11" t="n">
        <x:f>'管线假设'!H75</x:f>
        <x:v>0.13</x:v>
      </x:c>
      <x:c r="N290" s="11" t="n">
        <x:f>IF(G290,L290*AN290/(1+M290)^F290,0)</x:f>
        <x:v>0.06107869695212776</x:v>
      </x:c>
      <x:c r="AJ290" t="n">
        <x:v>0</x:v>
      </x:c>
      <x:c r="AK290" t="n">
        <x:v>0</x:v>
      </x:c>
      <x:c r="AL290" t="n">
        <x:v>0</x:v>
      </x:c>
      <x:c r="AM290" t="n">
        <x:f>CHOOSE('假设'!$B$3,AJ290,AK290,AL290)</x:f>
        <x:v>0</x:v>
      </x:c>
      <x:c r="AN290" t="n">
        <x:v>1</x:v>
      </x:c>
    </x:row>
    <x:row r="291" ht="23" customHeight="1">
      <x:c r="A291" s="11" t="str">
        <x:v>01093.HK</x:v>
      </x:c>
      <x:c r="B291" s="11" t="str">
        <x:v>一年</x:v>
      </x:c>
      <x:c r="C291" s="11" t="str">
        <x:v>OTHER_OVERSEAS</x:v>
      </x:c>
      <x:c r="D291" s="11" t="str">
        <x:v>2037-12-31</x:v>
      </x:c>
      <x:c r="E291" s="11" t="str">
        <x:v>USD</x:v>
      </x:c>
      <x:c r="F291" s="11" t="n">
        <x:v>10.22861054072553</x:v>
      </x:c>
      <x:c r="G291" s="26" t="b">
        <x:v>1</x:v>
      </x:c>
      <x:c r="H291" s="16" t="n">
        <x:v>1.275</x:v>
      </x:c>
      <x:c r="I291" s="16" t="n">
        <x:v>4</x:v>
      </x:c>
      <x:c r="J291" s="16" t="n">
        <x:v>8.549999999999999</x:v>
      </x:c>
      <x:c r="K291" s="11" t="n">
        <x:f>CHOOSE('假设'!$B$3,H291,I291,J291)</x:f>
        <x:v>4</x:v>
      </x:c>
      <x:c r="L291" s="11" t="n">
        <x:f>K291*'管线假设'!E75*'管线假设'!F75*'管线假设'!G75*IF(E291="USD",'管线假设'!I75,1)-AM291</x:f>
        <x:v>0.1886976</x:v>
      </x:c>
      <x:c r="M291" s="11" t="n">
        <x:f>'管线假设'!H75</x:f>
        <x:v>0.13</x:v>
      </x:c>
      <x:c r="N291" s="11" t="n">
        <x:f>IF(G291,L291*AN291/(1+M291)^F291,0)</x:f>
        <x:v>0.05405646602402928</x:v>
      </x:c>
      <x:c r="AJ291" t="n">
        <x:v>0</x:v>
      </x:c>
      <x:c r="AK291" t="n">
        <x:v>0</x:v>
      </x:c>
      <x:c r="AL291" t="n">
        <x:v>0</x:v>
      </x:c>
      <x:c r="AM291" t="n">
        <x:f>CHOOSE('假设'!$B$3,AJ291,AK291,AL291)</x:f>
        <x:v>0</x:v>
      </x:c>
      <x:c r="AN291" t="n">
        <x:v>1</x:v>
      </x:c>
    </x:row>
    <x:row r="292" ht="23" customHeight="1">
      <x:c r="A292" s="11" t="str">
        <x:v>01093.HK</x:v>
      </x:c>
      <x:c r="B292" s="11" t="str">
        <x:v>一年</x:v>
      </x:c>
      <x:c r="C292" s="11" t="str">
        <x:v>OTHER_OVERSEAS</x:v>
      </x:c>
      <x:c r="D292" s="11" t="str">
        <x:v>2038-12-31</x:v>
      </x:c>
      <x:c r="E292" s="11" t="str">
        <x:v>USD</x:v>
      </x:c>
      <x:c r="F292" s="11" t="n">
        <x:v>11.227926078028748</x:v>
      </x:c>
      <x:c r="G292" s="26" t="b">
        <x:v>1</x:v>
      </x:c>
      <x:c r="H292" s="16" t="n">
        <x:v>1.5</x:v>
      </x:c>
      <x:c r="I292" s="16" t="n">
        <x:v>3.8</x:v>
      </x:c>
      <x:c r="J292" s="16" t="n">
        <x:v>7.92</x:v>
      </x:c>
      <x:c r="K292" s="11" t="n">
        <x:f>CHOOSE('假设'!$B$3,H292,I292,J292)</x:f>
        <x:v>3.8</x:v>
      </x:c>
      <x:c r="L292" s="11" t="n">
        <x:f>K292*'管线假设'!E75*'管线假设'!F75*'管线假设'!G75*IF(E292="USD",'管线假设'!I75,1)-AM292</x:f>
        <x:v>0.17926272</x:v>
      </x:c>
      <x:c r="M292" s="11" t="n">
        <x:f>'管线假设'!H75</x:f>
        <x:v>0.13</x:v>
      </x:c>
      <x:c r="N292" s="11" t="n">
        <x:f>IF(G292,L292*AN292/(1+M292)^F292,0)</x:f>
        <x:v>0.045449503371567494</x:v>
      </x:c>
      <x:c r="AJ292" t="n">
        <x:v>0</x:v>
      </x:c>
      <x:c r="AK292" t="n">
        <x:v>0</x:v>
      </x:c>
      <x:c r="AL292" t="n">
        <x:v>0</x:v>
      </x:c>
      <x:c r="AM292" t="n">
        <x:f>CHOOSE('假设'!$B$3,AJ292,AK292,AL292)</x:f>
        <x:v>0</x:v>
      </x:c>
      <x:c r="AN292" t="n">
        <x:v>1</x:v>
      </x:c>
    </x:row>
    <x:row r="293" ht="23" customHeight="1">
      <x:c r="A293" s="11" t="str">
        <x:v>01093.HK</x:v>
      </x:c>
      <x:c r="B293" s="11" t="str">
        <x:v>一年</x:v>
      </x:c>
      <x:c r="C293" s="11" t="str">
        <x:v>OTHER_OVERSEAS</x:v>
      </x:c>
      <x:c r="D293" s="11" t="str">
        <x:v>2039-12-31</x:v>
      </x:c>
      <x:c r="E293" s="11" t="str">
        <x:v>USD</x:v>
      </x:c>
      <x:c r="F293" s="11" t="n">
        <x:v>12.227241615331964</x:v>
      </x:c>
      <x:c r="G293" s="26" t="b">
        <x:v>1</x:v>
      </x:c>
      <x:c r="H293" s="16" t="n">
        <x:v>1.5</x:v>
      </x:c>
      <x:c r="I293" s="16" t="n">
        <x:v>3.52</x:v>
      </x:c>
      <x:c r="J293" s="16" t="n">
        <x:v>6.75</x:v>
      </x:c>
      <x:c r="K293" s="11" t="n">
        <x:f>CHOOSE('假设'!$B$3,H293,I293,J293)</x:f>
        <x:v>3.52</x:v>
      </x:c>
      <x:c r="L293" s="11" t="n">
        <x:f>K293*'管线假设'!E75*'管线假设'!F75*'管线假设'!G75*IF(E293="USD",'管线假设'!I75,1)-AM293</x:f>
        <x:v>0.166053888</x:v>
      </x:c>
      <x:c r="M293" s="11" t="n">
        <x:f>'管线假设'!H75</x:f>
        <x:v>0.13</x:v>
      </x:c>
      <x:c r="N293" s="11" t="n">
        <x:f>IF(G293,L293*AN293/(1+M293)^F293,0)</x:f>
        <x:v>0.037260278409103176</x:v>
      </x:c>
      <x:c r="AJ293" t="n">
        <x:v>0</x:v>
      </x:c>
      <x:c r="AK293" t="n">
        <x:v>0</x:v>
      </x:c>
      <x:c r="AL293" t="n">
        <x:v>0</x:v>
      </x:c>
      <x:c r="AM293" t="n">
        <x:f>CHOOSE('假设'!$B$3,AJ293,AK293,AL293)</x:f>
        <x:v>0</x:v>
      </x:c>
      <x:c r="AN293" t="n">
        <x:v>1</x:v>
      </x:c>
    </x:row>
    <x:row r="294" ht="23" customHeight="1">
      <x:c r="A294" s="11" t="str">
        <x:v>01093.HK</x:v>
      </x:c>
      <x:c r="B294" s="11" t="str">
        <x:v>一年</x:v>
      </x:c>
      <x:c r="C294" s="11" t="str">
        <x:v>OTHER_OVERSEAS</x:v>
      </x:c>
      <x:c r="D294" s="11" t="str">
        <x:v>2040-12-31</x:v>
      </x:c>
      <x:c r="E294" s="11" t="str">
        <x:v>USD</x:v>
      </x:c>
      <x:c r="F294" s="11" t="n">
        <x:v>13.229295003422314</x:v>
      </x:c>
      <x:c r="G294" s="26" t="b">
        <x:v>1</x:v>
      </x:c>
      <x:c r="H294" s="16" t="n">
        <x:v>1.4249999999999998</x:v>
      </x:c>
      <x:c r="I294" s="16" t="n">
        <x:v>3</x:v>
      </x:c>
      <x:c r="J294" s="16" t="n">
        <x:v>5.3999999999999995</x:v>
      </x:c>
      <x:c r="K294" s="11" t="n">
        <x:f>CHOOSE('假设'!$B$3,H294,I294,J294)</x:f>
        <x:v>3</x:v>
      </x:c>
      <x:c r="L294" s="11" t="n">
        <x:f>K294*'管线假设'!E75*'管线假设'!F75*'管线假设'!G75*IF(E294="USD",'管线假设'!I75,1)-AM294</x:f>
        <x:v>0.14152320000000002</x:v>
      </x:c>
      <x:c r="M294" s="11" t="n">
        <x:f>'管线假设'!H75</x:f>
        <x:v>0.13</x:v>
      </x:c>
      <x:c r="N294" s="11" t="n">
        <x:f>IF(G294,L294*AN294/(1+M294)^F294,0)</x:f>
        <x:v>0.028095531527244928</x:v>
      </x:c>
      <x:c r="AJ294" t="n">
        <x:v>0</x:v>
      </x:c>
      <x:c r="AK294" t="n">
        <x:v>0</x:v>
      </x:c>
      <x:c r="AL294" t="n">
        <x:v>0</x:v>
      </x:c>
      <x:c r="AM294" t="n">
        <x:f>CHOOSE('假设'!$B$3,AJ294,AK294,AL294)</x:f>
        <x:v>0</x:v>
      </x:c>
      <x:c r="AN294" t="n">
        <x:v>1</x:v>
      </x:c>
    </x:row>
    <x:row r="295" ht="23" customHeight="1">
      <x:c r="A295" s="11" t="str">
        <x:v>01093.HK</x:v>
      </x:c>
      <x:c r="B295" s="11" t="str">
        <x:v>一年</x:v>
      </x:c>
      <x:c r="C295" s="11" t="str">
        <x:v>OTHER_OVERSEAS</x:v>
      </x:c>
      <x:c r="D295" s="11" t="str">
        <x:v>2041-12-31</x:v>
      </x:c>
      <x:c r="E295" s="11" t="str">
        <x:v>USD</x:v>
      </x:c>
      <x:c r="F295" s="11" t="n">
        <x:v>14.22861054072553</x:v>
      </x:c>
      <x:c r="G295" s="26" t="b">
        <x:v>1</x:v>
      </x:c>
      <x:c r="H295" s="16" t="n">
        <x:v>1.32</x:v>
      </x:c>
      <x:c r="I295" s="16" t="n">
        <x:v>2.4</x:v>
      </x:c>
      <x:c r="J295" s="16" t="n">
        <x:v>4.05</x:v>
      </x:c>
      <x:c r="K295" s="11" t="n">
        <x:f>CHOOSE('假设'!$B$3,H295,I295,J295)</x:f>
        <x:v>2.4</x:v>
      </x:c>
      <x:c r="L295" s="11" t="n">
        <x:f>K295*'管线假设'!E75*'管线假设'!F75*'管线假设'!G75*IF(E295="USD",'管线假设'!I75,1)-AM295</x:f>
        <x:v>0.11321856</x:v>
      </x:c>
      <x:c r="M295" s="11" t="n">
        <x:f>'管线假设'!H75</x:f>
        <x:v>0.13</x:v>
      </x:c>
      <x:c r="N295" s="11" t="n">
        <x:f>IF(G295,L295*AN295/(1+M295)^F295,0)</x:f>
        <x:v>0.01989230577882066</x:v>
      </x:c>
      <x:c r="AJ295" t="n">
        <x:v>0</x:v>
      </x:c>
      <x:c r="AK295" t="n">
        <x:v>0</x:v>
      </x:c>
      <x:c r="AL295" t="n">
        <x:v>0</x:v>
      </x:c>
      <x:c r="AM295" t="n">
        <x:f>CHOOSE('假设'!$B$3,AJ295,AK295,AL295)</x:f>
        <x:v>0</x:v>
      </x:c>
      <x:c r="AN295" t="n">
        <x:v>1</x:v>
      </x:c>
    </x:row>
    <x:row r="296" ht="23" customHeight="1">
      <x:c r="A296" s="11" t="str">
        <x:v>01093.HK</x:v>
      </x:c>
      <x:c r="B296" s="11" t="str">
        <x:v>一年</x:v>
      </x:c>
      <x:c r="C296" s="11" t="str">
        <x:v>OTHER_OVERSEAS</x:v>
      </x:c>
      <x:c r="D296" s="11" t="str">
        <x:v>2042-12-31</x:v>
      </x:c>
      <x:c r="E296" s="11" t="str">
        <x:v>USD</x:v>
      </x:c>
      <x:c r="F296" s="11" t="n">
        <x:v>15.227926078028748</x:v>
      </x:c>
      <x:c r="G296" s="26" t="b">
        <x:v>1</x:v>
      </x:c>
      <x:c r="H296" s="16" t="n">
        <x:v>1.125</x:v>
      </x:c>
      <x:c r="I296" s="16" t="n">
        <x:v>1.8</x:v>
      </x:c>
      <x:c r="J296" s="16" t="n">
        <x:v>2.6999999999999997</x:v>
      </x:c>
      <x:c r="K296" s="11" t="n">
        <x:f>CHOOSE('假设'!$B$3,H296,I296,J296)</x:f>
        <x:v>1.8</x:v>
      </x:c>
      <x:c r="L296" s="11" t="n">
        <x:f>K296*'管线假设'!E75*'管线假设'!F75*'管线假设'!G75*IF(E296="USD",'管线假设'!I75,1)-AM296</x:f>
        <x:v>0.08491392000000002</x:v>
      </x:c>
      <x:c r="M296" s="11" t="n">
        <x:f>'管线假设'!H75</x:f>
        <x:v>0.13</x:v>
      </x:c>
      <x:c r="N296" s="11" t="n">
        <x:f>IF(G296,L296*AN296/(1+M296)^F296,0)</x:f>
        <x:v>0.013203962328083367</x:v>
      </x:c>
      <x:c r="AJ296" t="n">
        <x:v>0</x:v>
      </x:c>
      <x:c r="AK296" t="n">
        <x:v>0</x:v>
      </x:c>
      <x:c r="AL296" t="n">
        <x:v>0</x:v>
      </x:c>
      <x:c r="AM296" t="n">
        <x:f>CHOOSE('假设'!$B$3,AJ296,AK296,AL296)</x:f>
        <x:v>0</x:v>
      </x:c>
      <x:c r="AN296" t="n">
        <x:v>1</x:v>
      </x:c>
    </x:row>
    <x:row r="297" ht="23" customHeight="1">
      <x:c r="A297" s="11" t="str">
        <x:v>01093.HK</x:v>
      </x:c>
      <x:c r="B297" s="11" t="str">
        <x:v>一年</x:v>
      </x:c>
      <x:c r="C297" s="11" t="str">
        <x:v>OTHER_OVERSEAS</x:v>
      </x:c>
      <x:c r="D297" s="11" t="str">
        <x:v>2043-12-31</x:v>
      </x:c>
      <x:c r="E297" s="11" t="str">
        <x:v>USD</x:v>
      </x:c>
      <x:c r="F297" s="11" t="n">
        <x:v>16.227241615331966</x:v>
      </x:c>
      <x:c r="G297" s="26" t="b">
        <x:v>1</x:v>
      </x:c>
      <x:c r="H297" s="16" t="n">
        <x:v>0.8999999999999999</x:v>
      </x:c>
      <x:c r="I297" s="16" t="n">
        <x:v>1.2</x:v>
      </x:c>
      <x:c r="J297" s="16" t="n">
        <x:v>1.6199999999999999</x:v>
      </x:c>
      <x:c r="K297" s="11" t="n">
        <x:f>CHOOSE('假设'!$B$3,H297,I297,J297)</x:f>
        <x:v>1.2</x:v>
      </x:c>
      <x:c r="L297" s="11" t="n">
        <x:f>K297*'管线假设'!E75*'管线假设'!F75*'管线假设'!G75*IF(E297="USD",'管线假设'!I75,1)-AM297</x:f>
        <x:v>0.05660928</x:v>
      </x:c>
      <x:c r="M297" s="11" t="n">
        <x:f>'管线假设'!H75</x:f>
        <x:v>0.13</x:v>
      </x:c>
      <x:c r="N297" s="11" t="n">
        <x:f>IF(G297,L297*AN297/(1+M297)^F297,0)</x:f>
        <x:v>0.007790599959153582</x:v>
      </x:c>
      <x:c r="AJ297" t="n">
        <x:v>0</x:v>
      </x:c>
      <x:c r="AK297" t="n">
        <x:v>0</x:v>
      </x:c>
      <x:c r="AL297" t="n">
        <x:v>0</x:v>
      </x:c>
      <x:c r="AM297" t="n">
        <x:f>CHOOSE('假设'!$B$3,AJ297,AK297,AL297)</x:f>
        <x:v>0</x:v>
      </x:c>
      <x:c r="AN297" t="n">
        <x:v>1</x:v>
      </x:c>
    </x:row>
    <x:row r="298" ht="23" customHeight="1">
      <x:c r="A298" s="11" t="str">
        <x:v>01093.HK</x:v>
      </x:c>
      <x:c r="B298" s="11" t="str">
        <x:v>三年</x:v>
      </x:c>
      <x:c r="C298" s="11" t="str">
        <x:v>SYS6010_DOM</x:v>
      </x:c>
      <x:c r="D298" s="11" t="str">
        <x:v>2027-12-31</x:v>
      </x:c>
      <x:c r="E298" s="11" t="str">
        <x:v>CNY</x:v>
      </x:c>
      <x:c r="F298" s="11" t="n">
        <x:v>-1.7741273100616017</x:v>
      </x:c>
      <x:c r="G298" s="26" t="b">
        <x:v>0</x:v>
      </x:c>
      <x:c r="H298" s="16" t="n">
        <x:v>0</x:v>
      </x:c>
      <x:c r="I298" s="16" t="n">
        <x:v>0.4</x:v>
      </x:c>
      <x:c r="J298" s="16" t="n">
        <x:v>0.72</x:v>
      </x:c>
      <x:c r="K298" s="11" t="n">
        <x:f>CHOOSE('假设'!$B$3,H298,I298,J298)</x:f>
        <x:v>0.4</x:v>
      </x:c>
      <x:c r="L298" s="11" t="n">
        <x:f>K298*'管线假设'!E79*'管线假设'!F79*'管线假设'!G79*IF(E298="USD",'管线假设'!I79,1)-AM298</x:f>
        <x:v>0.05319999999999999</x:v>
      </x:c>
      <x:c r="M298" s="11" t="n">
        <x:f>'管线假设'!H79</x:f>
        <x:v>0.13</x:v>
      </x:c>
      <x:c r="N298" s="11" t="n">
        <x:f>IF(G298,L298*AN298/(1+M298)^F298,0)</x:f>
        <x:v>0</x:v>
      </x:c>
      <x:c r="AJ298" t="n">
        <x:v>0</x:v>
      </x:c>
      <x:c r="AK298" t="n">
        <x:v>0</x:v>
      </x:c>
      <x:c r="AL298" t="n">
        <x:v>0</x:v>
      </x:c>
      <x:c r="AM298" t="n">
        <x:f>CHOOSE('假设'!$B$3,AJ298,AK298,AL298)</x:f>
        <x:v>0</x:v>
      </x:c>
      <x:c r="AN298" t="n">
        <x:v>1</x:v>
      </x:c>
    </x:row>
    <x:row r="299" ht="23" customHeight="1">
      <x:c r="A299" s="11" t="str">
        <x:v>01093.HK</x:v>
      </x:c>
      <x:c r="B299" s="11" t="str">
        <x:v>三年</x:v>
      </x:c>
      <x:c r="C299" s="11" t="str">
        <x:v>SYS6010_DOM</x:v>
      </x:c>
      <x:c r="D299" s="11" t="str">
        <x:v>2028-12-31</x:v>
      </x:c>
      <x:c r="E299" s="11" t="str">
        <x:v>CNY</x:v>
      </x:c>
      <x:c r="F299" s="11" t="n">
        <x:v>-0.7720739219712526</x:v>
      </x:c>
      <x:c r="G299" s="26" t="b">
        <x:v>0</x:v>
      </x:c>
      <x:c r="H299" s="16" t="n">
        <x:v>0</x:v>
      </x:c>
      <x:c r="I299" s="16" t="n">
        <x:v>1.25</x:v>
      </x:c>
      <x:c r="J299" s="16" t="n">
        <x:v>2.25</x:v>
      </x:c>
      <x:c r="K299" s="11" t="n">
        <x:f>CHOOSE('假设'!$B$3,H299,I299,J299)</x:f>
        <x:v>1.25</x:v>
      </x:c>
      <x:c r="L299" s="11" t="n">
        <x:f>K299*'管线假设'!E79*'管线假设'!F79*'管线假设'!G79*IF(E299="USD",'管线假设'!I79,1)-AM299</x:f>
        <x:v>0.16625</x:v>
      </x:c>
      <x:c r="M299" s="11" t="n">
        <x:f>'管线假设'!H79</x:f>
        <x:v>0.13</x:v>
      </x:c>
      <x:c r="N299" s="11" t="n">
        <x:f>IF(G299,L299*AN299/(1+M299)^F299,0)</x:f>
        <x:v>0</x:v>
      </x:c>
      <x:c r="AJ299" t="n">
        <x:v>0</x:v>
      </x:c>
      <x:c r="AK299" t="n">
        <x:v>0</x:v>
      </x:c>
      <x:c r="AL299" t="n">
        <x:v>0</x:v>
      </x:c>
      <x:c r="AM299" t="n">
        <x:f>CHOOSE('假设'!$B$3,AJ299,AK299,AL299)</x:f>
        <x:v>0</x:v>
      </x:c>
      <x:c r="AN299" t="n">
        <x:v>1</x:v>
      </x:c>
    </x:row>
    <x:row r="300" ht="23" customHeight="1">
      <x:c r="A300" s="11" t="str">
        <x:v>01093.HK</x:v>
      </x:c>
      <x:c r="B300" s="11" t="str">
        <x:v>三年</x:v>
      </x:c>
      <x:c r="C300" s="11" t="str">
        <x:v>SYS6010_DOM</x:v>
      </x:c>
      <x:c r="D300" s="11" t="str">
        <x:v>2029-12-31</x:v>
      </x:c>
      <x:c r="E300" s="11" t="str">
        <x:v>CNY</x:v>
      </x:c>
      <x:c r="F300" s="11" t="n">
        <x:v>0.2272416153319644</x:v>
      </x:c>
      <x:c r="G300" s="26" t="b">
        <x:v>1</x:v>
      </x:c>
      <x:c r="H300" s="16" t="n">
        <x:v>0.14400000000000002</x:v>
      </x:c>
      <x:c r="I300" s="16" t="n">
        <x:v>2.25</x:v>
      </x:c>
      <x:c r="J300" s="16" t="n">
        <x:v>4.05</x:v>
      </x:c>
      <x:c r="K300" s="11" t="n">
        <x:f>CHOOSE('假设'!$B$3,H300,I300,J300)</x:f>
        <x:v>2.25</x:v>
      </x:c>
      <x:c r="L300" s="11" t="n">
        <x:f>K300*'管线假设'!E79*'管线假设'!F79*'管线假设'!G79*IF(E300="USD",'管线假设'!I79,1)-AM300</x:f>
        <x:v>0.29924999999999996</x:v>
      </x:c>
      <x:c r="M300" s="11" t="n">
        <x:f>'管线假设'!H79</x:f>
        <x:v>0.13</x:v>
      </x:c>
      <x:c r="N300" s="11" t="n">
        <x:f>IF(G300,L300*AN300/(1+M300)^F300,0)</x:f>
        <x:v>0.29105330007109764</x:v>
      </x:c>
      <x:c r="AJ300" t="n">
        <x:v>0</x:v>
      </x:c>
      <x:c r="AK300" t="n">
        <x:v>0</x:v>
      </x:c>
      <x:c r="AL300" t="n">
        <x:v>0</x:v>
      </x:c>
      <x:c r="AM300" t="n">
        <x:f>CHOOSE('假设'!$B$3,AJ300,AK300,AL300)</x:f>
        <x:v>0</x:v>
      </x:c>
      <x:c r="AN300" t="n">
        <x:v>1</x:v>
      </x:c>
    </x:row>
    <x:row r="301" ht="23" customHeight="1">
      <x:c r="A301" s="11" t="str">
        <x:v>01093.HK</x:v>
      </x:c>
      <x:c r="B301" s="11" t="str">
        <x:v>三年</x:v>
      </x:c>
      <x:c r="C301" s="11" t="str">
        <x:v>SYS6010_DOM</x:v>
      </x:c>
      <x:c r="D301" s="11" t="str">
        <x:v>2030-12-31</x:v>
      </x:c>
      <x:c r="E301" s="11" t="str">
        <x:v>CNY</x:v>
      </x:c>
      <x:c r="F301" s="11" t="n">
        <x:v>1.2265571526351813</x:v>
      </x:c>
      <x:c r="G301" s="26" t="b">
        <x:v>1</x:v>
      </x:c>
      <x:c r="H301" s="16" t="n">
        <x:v>0.45</x:v>
      </x:c>
      <x:c r="I301" s="16" t="n">
        <x:v>3.25</x:v>
      </x:c>
      <x:c r="J301" s="16" t="n">
        <x:v>5.8500000000000005</x:v>
      </x:c>
      <x:c r="K301" s="11" t="n">
        <x:f>CHOOSE('假设'!$B$3,H301,I301,J301)</x:f>
        <x:v>3.25</x:v>
      </x:c>
      <x:c r="L301" s="11" t="n">
        <x:f>K301*'管线假设'!E79*'管线假设'!F79*'管线假设'!G79*IF(E301="USD",'管线假设'!I79,1)-AM301</x:f>
        <x:v>0.43224999999999997</x:v>
      </x:c>
      <x:c r="M301" s="11" t="n">
        <x:f>'管线假设'!H79</x:f>
        <x:v>0.13</x:v>
      </x:c>
      <x:c r="N301" s="11" t="n">
        <x:f>IF(G301,L301*AN301/(1+M301)^F301,0)</x:f>
        <x:v>0.3720756571267437</x:v>
      </x:c>
      <x:c r="AJ301" t="n">
        <x:v>0</x:v>
      </x:c>
      <x:c r="AK301" t="n">
        <x:v>0</x:v>
      </x:c>
      <x:c r="AL301" t="n">
        <x:v>0</x:v>
      </x:c>
      <x:c r="AM301" t="n">
        <x:f>CHOOSE('假设'!$B$3,AJ301,AK301,AL301)</x:f>
        <x:v>0</x:v>
      </x:c>
      <x:c r="AN301" t="n">
        <x:v>1</x:v>
      </x:c>
    </x:row>
    <x:row r="302" ht="23" customHeight="1">
      <x:c r="A302" s="11" t="str">
        <x:v>01093.HK</x:v>
      </x:c>
      <x:c r="B302" s="11" t="str">
        <x:v>三年</x:v>
      </x:c>
      <x:c r="C302" s="11" t="str">
        <x:v>SYS6010_DOM</x:v>
      </x:c>
      <x:c r="D302" s="11" t="str">
        <x:v>2031-12-31</x:v>
      </x:c>
      <x:c r="E302" s="11" t="str">
        <x:v>CNY</x:v>
      </x:c>
      <x:c r="F302" s="11" t="n">
        <x:v>2.2258726899383983</x:v>
      </x:c>
      <x:c r="G302" s="26" t="b">
        <x:v>1</x:v>
      </x:c>
      <x:c r="H302" s="16" t="n">
        <x:v>0.81</x:v>
      </x:c>
      <x:c r="I302" s="16" t="n">
        <x:v>4.25</x:v>
      </x:c>
      <x:c r="J302" s="16" t="n">
        <x:v>7.6499999999999995</x:v>
      </x:c>
      <x:c r="K302" s="11" t="n">
        <x:f>CHOOSE('假设'!$B$3,H302,I302,J302)</x:f>
        <x:v>4.25</x:v>
      </x:c>
      <x:c r="L302" s="11" t="n">
        <x:f>K302*'管线假设'!E79*'管线假设'!F79*'管线假设'!G79*IF(E302="USD",'管线假设'!I79,1)-AM302</x:f>
        <x:v>0.5652499999999999</x:v>
      </x:c>
      <x:c r="M302" s="11" t="n">
        <x:f>'管线假设'!H79</x:f>
        <x:v>0.13</x:v>
      </x:c>
      <x:c r="N302" s="11" t="n">
        <x:f>IF(G302,L302*AN302/(1+M302)^F302,0)</x:f>
        <x:v>0.430620512256476</x:v>
      </x:c>
      <x:c r="AJ302" t="n">
        <x:v>0</x:v>
      </x:c>
      <x:c r="AK302" t="n">
        <x:v>0</x:v>
      </x:c>
      <x:c r="AL302" t="n">
        <x:v>0</x:v>
      </x:c>
      <x:c r="AM302" t="n">
        <x:f>CHOOSE('假设'!$B$3,AJ302,AK302,AL302)</x:f>
        <x:v>0</x:v>
      </x:c>
      <x:c r="AN302" t="n">
        <x:v>1</x:v>
      </x:c>
    </x:row>
    <x:row r="303" ht="23" customHeight="1">
      <x:c r="A303" s="11" t="str">
        <x:v>01093.HK</x:v>
      </x:c>
      <x:c r="B303" s="11" t="str">
        <x:v>三年</x:v>
      </x:c>
      <x:c r="C303" s="11" t="str">
        <x:v>SYS6010_DOM</x:v>
      </x:c>
      <x:c r="D303" s="11" t="str">
        <x:v>2032-12-31</x:v>
      </x:c>
      <x:c r="E303" s="11" t="str">
        <x:v>CNY</x:v>
      </x:c>
      <x:c r="F303" s="11" t="n">
        <x:v>3.2279260780287475</x:v>
      </x:c>
      <x:c r="G303" s="26" t="b">
        <x:v>1</x:v>
      </x:c>
      <x:c r="H303" s="16" t="n">
        <x:v>1.1700000000000002</x:v>
      </x:c>
      <x:c r="I303" s="16" t="n">
        <x:v>5</x:v>
      </x:c>
      <x:c r="J303" s="16" t="n">
        <x:v>9</x:v>
      </x:c>
      <x:c r="K303" s="11" t="n">
        <x:f>CHOOSE('假设'!$B$3,H303,I303,J303)</x:f>
        <x:v>5</x:v>
      </x:c>
      <x:c r="L303" s="11" t="n">
        <x:f>K303*'管线假设'!E79*'管线假设'!F79*'管线假设'!G79*IF(E303="USD",'管线假设'!I79,1)-AM303</x:f>
        <x:v>0.665</x:v>
      </x:c>
      <x:c r="M303" s="11" t="n">
        <x:f>'管线假设'!H79</x:f>
        <x:v>0.13</x:v>
      </x:c>
      <x:c r="N303" s="11" t="n">
        <x:f>IF(G303,L303*AN303/(1+M303)^F303,0)</x:f>
        <x:v>0.44821702987233214</x:v>
      </x:c>
      <x:c r="AJ303" t="n">
        <x:v>0</x:v>
      </x:c>
      <x:c r="AK303" t="n">
        <x:v>0</x:v>
      </x:c>
      <x:c r="AL303" t="n">
        <x:v>0</x:v>
      </x:c>
      <x:c r="AM303" t="n">
        <x:f>CHOOSE('假设'!$B$3,AJ303,AK303,AL303)</x:f>
        <x:v>0</x:v>
      </x:c>
      <x:c r="AN303" t="n">
        <x:v>1</x:v>
      </x:c>
    </x:row>
    <x:row r="304" ht="23" customHeight="1">
      <x:c r="A304" s="11" t="str">
        <x:v>01093.HK</x:v>
      </x:c>
      <x:c r="B304" s="11" t="str">
        <x:v>三年</x:v>
      </x:c>
      <x:c r="C304" s="11" t="str">
        <x:v>SYS6010_DOM</x:v>
      </x:c>
      <x:c r="D304" s="11" t="str">
        <x:v>2033-12-31</x:v>
      </x:c>
      <x:c r="E304" s="11" t="str">
        <x:v>CNY</x:v>
      </x:c>
      <x:c r="F304" s="11" t="n">
        <x:v>4.227241615331964</x:v>
      </x:c>
      <x:c r="G304" s="26" t="b">
        <x:v>1</x:v>
      </x:c>
      <x:c r="H304" s="16" t="n">
        <x:v>1.53</x:v>
      </x:c>
      <x:c r="I304" s="16" t="n">
        <x:v>5</x:v>
      </x:c>
      <x:c r="J304" s="16" t="n">
        <x:v>9</x:v>
      </x:c>
      <x:c r="K304" s="11" t="n">
        <x:f>CHOOSE('假设'!$B$3,H304,I304,J304)</x:f>
        <x:v>5</x:v>
      </x:c>
      <x:c r="L304" s="11" t="n">
        <x:f>K304*'管线假设'!E79*'管线假设'!F79*'管线假设'!G79*IF(E304="USD",'管线假设'!I79,1)-AM304</x:f>
        <x:v>0.665</x:v>
      </x:c>
      <x:c r="M304" s="11" t="n">
        <x:f>'管线假设'!H79</x:f>
        <x:v>0.13</x:v>
      </x:c>
      <x:c r="N304" s="11" t="n">
        <x:f>IF(G304,L304*AN304/(1+M304)^F304,0)</x:f>
        <x:v>0.3966854215255322</x:v>
      </x:c>
      <x:c r="AJ304" t="n">
        <x:v>0</x:v>
      </x:c>
      <x:c r="AK304" t="n">
        <x:v>0</x:v>
      </x:c>
      <x:c r="AL304" t="n">
        <x:v>0</x:v>
      </x:c>
      <x:c r="AM304" t="n">
        <x:f>CHOOSE('假设'!$B$3,AJ304,AK304,AL304)</x:f>
        <x:v>0</x:v>
      </x:c>
      <x:c r="AN304" t="n">
        <x:v>1</x:v>
      </x:c>
    </x:row>
    <x:row r="305" ht="23" customHeight="1">
      <x:c r="A305" s="11" t="str">
        <x:v>01093.HK</x:v>
      </x:c>
      <x:c r="B305" s="11" t="str">
        <x:v>三年</x:v>
      </x:c>
      <x:c r="C305" s="11" t="str">
        <x:v>SYS6010_DOM</x:v>
      </x:c>
      <x:c r="D305" s="11" t="str">
        <x:v>2034-12-31</x:v>
      </x:c>
      <x:c r="E305" s="11" t="str">
        <x:v>CNY</x:v>
      </x:c>
      <x:c r="F305" s="11" t="n">
        <x:v>5.2265571526351815</x:v>
      </x:c>
      <x:c r="G305" s="26" t="b">
        <x:v>1</x:v>
      </x:c>
      <x:c r="H305" s="16" t="n">
        <x:v>1.8</x:v>
      </x:c>
      <x:c r="I305" s="16" t="n">
        <x:v>4.75</x:v>
      </x:c>
      <x:c r="J305" s="16" t="n">
        <x:v>8.549999999999999</x:v>
      </x:c>
      <x:c r="K305" s="11" t="n">
        <x:f>CHOOSE('假设'!$B$3,H305,I305,J305)</x:f>
        <x:v>4.75</x:v>
      </x:c>
      <x:c r="L305" s="11" t="n">
        <x:f>K305*'管线假设'!E79*'管线假设'!F79*'管线假设'!G79*IF(E305="USD",'管线假设'!I79,1)-AM305</x:f>
        <x:v>0.63175</x:v>
      </x:c>
      <x:c r="M305" s="11" t="n">
        <x:f>'管线假设'!H79</x:f>
        <x:v>0.13</x:v>
      </x:c>
      <x:c r="N305" s="11" t="n">
        <x:f>IF(G305,L305*AN305/(1+M305)^F305,0)</x:f>
        <x:v>0.33352449261226214</x:v>
      </x:c>
      <x:c r="AJ305" t="n">
        <x:v>0</x:v>
      </x:c>
      <x:c r="AK305" t="n">
        <x:v>0</x:v>
      </x:c>
      <x:c r="AL305" t="n">
        <x:v>0</x:v>
      </x:c>
      <x:c r="AM305" t="n">
        <x:f>CHOOSE('假设'!$B$3,AJ305,AK305,AL305)</x:f>
        <x:v>0</x:v>
      </x:c>
      <x:c r="AN305" t="n">
        <x:v>1</x:v>
      </x:c>
    </x:row>
    <x:row r="306" ht="23" customHeight="1">
      <x:c r="A306" s="11" t="str">
        <x:v>01093.HK</x:v>
      </x:c>
      <x:c r="B306" s="11" t="str">
        <x:v>三年</x:v>
      </x:c>
      <x:c r="C306" s="11" t="str">
        <x:v>SYS6010_DOM</x:v>
      </x:c>
      <x:c r="D306" s="11" t="str">
        <x:v>2035-12-31</x:v>
      </x:c>
      <x:c r="E306" s="11" t="str">
        <x:v>CNY</x:v>
      </x:c>
      <x:c r="F306" s="11" t="n">
        <x:v>6.225872689938399</x:v>
      </x:c>
      <x:c r="G306" s="26" t="b">
        <x:v>1</x:v>
      </x:c>
      <x:c r="H306" s="16" t="n">
        <x:v>1.8</x:v>
      </x:c>
      <x:c r="I306" s="16" t="n">
        <x:v>4.4</x:v>
      </x:c>
      <x:c r="J306" s="16" t="n">
        <x:v>7.92</x:v>
      </x:c>
      <x:c r="K306" s="11" t="n">
        <x:f>CHOOSE('假设'!$B$3,H306,I306,J306)</x:f>
        <x:v>4.4</x:v>
      </x:c>
      <x:c r="L306" s="11" t="n">
        <x:f>K306*'管线假设'!E79*'管线假设'!F79*'管线假设'!G79*IF(E306="USD",'管线假设'!I79,1)-AM306</x:f>
        <x:v>0.5852</x:v>
      </x:c>
      <x:c r="M306" s="11" t="n">
        <x:f>'管线假设'!H79</x:f>
        <x:v>0.13</x:v>
      </x:c>
      <x:c r="N306" s="11" t="n">
        <x:f>IF(G306,L306*AN306/(1+M306)^F306,0)</x:f>
        <x:v>0.27342907026706986</x:v>
      </x:c>
      <x:c r="AJ306" t="n">
        <x:v>0</x:v>
      </x:c>
      <x:c r="AK306" t="n">
        <x:v>0</x:v>
      </x:c>
      <x:c r="AL306" t="n">
        <x:v>0</x:v>
      </x:c>
      <x:c r="AM306" t="n">
        <x:f>CHOOSE('假设'!$B$3,AJ306,AK306,AL306)</x:f>
        <x:v>0</x:v>
      </x:c>
      <x:c r="AN306" t="n">
        <x:v>1</x:v>
      </x:c>
    </x:row>
    <x:row r="307" ht="23" customHeight="1">
      <x:c r="A307" s="11" t="str">
        <x:v>01093.HK</x:v>
      </x:c>
      <x:c r="B307" s="11" t="str">
        <x:v>三年</x:v>
      </x:c>
      <x:c r="C307" s="11" t="str">
        <x:v>SYS6010_DOM</x:v>
      </x:c>
      <x:c r="D307" s="11" t="str">
        <x:v>2036-12-31</x:v>
      </x:c>
      <x:c r="E307" s="11" t="str">
        <x:v>CNY</x:v>
      </x:c>
      <x:c r="F307" s="11" t="n">
        <x:v>7.227926078028747</x:v>
      </x:c>
      <x:c r="G307" s="26" t="b">
        <x:v>1</x:v>
      </x:c>
      <x:c r="H307" s="16" t="n">
        <x:v>1.71</x:v>
      </x:c>
      <x:c r="I307" s="16" t="n">
        <x:v>3.75</x:v>
      </x:c>
      <x:c r="J307" s="16" t="n">
        <x:v>6.75</x:v>
      </x:c>
      <x:c r="K307" s="11" t="n">
        <x:f>CHOOSE('假设'!$B$3,H307,I307,J307)</x:f>
        <x:v>3.75</x:v>
      </x:c>
      <x:c r="L307" s="11" t="n">
        <x:f>K307*'管线假设'!E79*'管线假设'!F79*'管线假设'!G79*IF(E307="USD",'管线假设'!I79,1)-AM307</x:f>
        <x:v>0.49874999999999997</x:v>
      </x:c>
      <x:c r="M307" s="11" t="n">
        <x:f>'管线假设'!H79</x:f>
        <x:v>0.13</x:v>
      </x:c>
      <x:c r="N307" s="11" t="n">
        <x:f>IF(G307,L307*AN307/(1+M307)^F307,0)</x:f>
        <x:v>0.206174923864146</x:v>
      </x:c>
      <x:c r="AJ307" t="n">
        <x:v>0</x:v>
      </x:c>
      <x:c r="AK307" t="n">
        <x:v>0</x:v>
      </x:c>
      <x:c r="AL307" t="n">
        <x:v>0</x:v>
      </x:c>
      <x:c r="AM307" t="n">
        <x:f>CHOOSE('假设'!$B$3,AJ307,AK307,AL307)</x:f>
        <x:v>0</x:v>
      </x:c>
      <x:c r="AN307" t="n">
        <x:v>1</x:v>
      </x:c>
    </x:row>
    <x:row r="308" ht="23" customHeight="1">
      <x:c r="A308" s="11" t="str">
        <x:v>01093.HK</x:v>
      </x:c>
      <x:c r="B308" s="11" t="str">
        <x:v>三年</x:v>
      </x:c>
      <x:c r="C308" s="11" t="str">
        <x:v>SYS6010_DOM</x:v>
      </x:c>
      <x:c r="D308" s="11" t="str">
        <x:v>2037-12-31</x:v>
      </x:c>
      <x:c r="E308" s="11" t="str">
        <x:v>CNY</x:v>
      </x:c>
      <x:c r="F308" s="11" t="n">
        <x:v>8.227241615331964</x:v>
      </x:c>
      <x:c r="G308" s="26" t="b">
        <x:v>1</x:v>
      </x:c>
      <x:c r="H308" s="16" t="n">
        <x:v>1.584</x:v>
      </x:c>
      <x:c r="I308" s="16" t="n">
        <x:v>3</x:v>
      </x:c>
      <x:c r="J308" s="16" t="n">
        <x:v>5.3999999999999995</x:v>
      </x:c>
      <x:c r="K308" s="11" t="n">
        <x:f>CHOOSE('假设'!$B$3,H308,I308,J308)</x:f>
        <x:v>3</x:v>
      </x:c>
      <x:c r="L308" s="11" t="n">
        <x:f>K308*'管线假设'!E79*'管线假设'!F79*'管线假设'!G79*IF(E308="USD",'管线假设'!I79,1)-AM308</x:f>
        <x:v>0.3989999999999999</x:v>
      </x:c>
      <x:c r="M308" s="11" t="n">
        <x:f>'管线假设'!H79</x:f>
        <x:v>0.13</x:v>
      </x:c>
      <x:c r="N308" s="11" t="n">
        <x:f>IF(G308,L308*AN308/(1+M308)^F308,0)</x:f>
        <x:v>0.14597675881139796</x:v>
      </x:c>
      <x:c r="AJ308" t="n">
        <x:v>0</x:v>
      </x:c>
      <x:c r="AK308" t="n">
        <x:v>0</x:v>
      </x:c>
      <x:c r="AL308" t="n">
        <x:v>0</x:v>
      </x:c>
      <x:c r="AM308" t="n">
        <x:f>CHOOSE('假设'!$B$3,AJ308,AK308,AL308)</x:f>
        <x:v>0</x:v>
      </x:c>
      <x:c r="AN308" t="n">
        <x:v>1</x:v>
      </x:c>
    </x:row>
    <x:row r="309" ht="23" customHeight="1">
      <x:c r="A309" s="11" t="str">
        <x:v>01093.HK</x:v>
      </x:c>
      <x:c r="B309" s="11" t="str">
        <x:v>三年</x:v>
      </x:c>
      <x:c r="C309" s="11" t="str">
        <x:v>SYS6010_DOM</x:v>
      </x:c>
      <x:c r="D309" s="11" t="str">
        <x:v>2038-12-31</x:v>
      </x:c>
      <x:c r="E309" s="11" t="str">
        <x:v>CNY</x:v>
      </x:c>
      <x:c r="F309" s="11" t="n">
        <x:v>9.22655715263518</x:v>
      </x:c>
      <x:c r="G309" s="26" t="b">
        <x:v>1</x:v>
      </x:c>
      <x:c r="H309" s="16" t="n">
        <x:v>1.35</x:v>
      </x:c>
      <x:c r="I309" s="16" t="n">
        <x:v>2.25</x:v>
      </x:c>
      <x:c r="J309" s="16" t="n">
        <x:v>4.05</x:v>
      </x:c>
      <x:c r="K309" s="11" t="n">
        <x:f>CHOOSE('假设'!$B$3,H309,I309,J309)</x:f>
        <x:v>2.25</x:v>
      </x:c>
      <x:c r="L309" s="11" t="n">
        <x:f>K309*'管线假设'!E79*'管线假设'!F79*'管线假设'!G79*IF(E309="USD",'管线假设'!I79,1)-AM309</x:f>
        <x:v>0.29924999999999996</x:v>
      </x:c>
      <x:c r="M309" s="11" t="n">
        <x:f>'管线假设'!H79</x:f>
        <x:v>0.13</x:v>
      </x:c>
      <x:c r="N309" s="11" t="n">
        <x:f>IF(G309,L309*AN309/(1+M309)^F309,0)</x:f>
        <x:v>0.09689533458577687</x:v>
      </x:c>
      <x:c r="AJ309" t="n">
        <x:v>0</x:v>
      </x:c>
      <x:c r="AK309" t="n">
        <x:v>0</x:v>
      </x:c>
      <x:c r="AL309" t="n">
        <x:v>0</x:v>
      </x:c>
      <x:c r="AM309" t="n">
        <x:f>CHOOSE('假设'!$B$3,AJ309,AK309,AL309)</x:f>
        <x:v>0</x:v>
      </x:c>
      <x:c r="AN309" t="n">
        <x:v>1</x:v>
      </x:c>
    </x:row>
    <x:row r="310" ht="23" customHeight="1">
      <x:c r="A310" s="11" t="str">
        <x:v>01093.HK</x:v>
      </x:c>
      <x:c r="B310" s="11" t="str">
        <x:v>三年</x:v>
      </x:c>
      <x:c r="C310" s="11" t="str">
        <x:v>SYS6010_DOM</x:v>
      </x:c>
      <x:c r="D310" s="11" t="str">
        <x:v>2039-12-31</x:v>
      </x:c>
      <x:c r="E310" s="11" t="str">
        <x:v>CNY</x:v>
      </x:c>
      <x:c r="F310" s="11" t="n">
        <x:v>10.225872689938399</x:v>
      </x:c>
      <x:c r="G310" s="26" t="b">
        <x:v>1</x:v>
      </x:c>
      <x:c r="H310" s="16" t="n">
        <x:v>1.08</x:v>
      </x:c>
      <x:c r="I310" s="16" t="n">
        <x:v>1.5</x:v>
      </x:c>
      <x:c r="J310" s="16" t="n">
        <x:v>2.6999999999999997</x:v>
      </x:c>
      <x:c r="K310" s="11" t="n">
        <x:f>CHOOSE('假设'!$B$3,H310,I310,J310)</x:f>
        <x:v>1.5</x:v>
      </x:c>
      <x:c r="L310" s="11" t="n">
        <x:f>K310*'管线假设'!E79*'管线假设'!F79*'管线假设'!G79*IF(E310="USD",'管线假设'!I79,1)-AM310</x:f>
        <x:v>0.19949999999999996</x:v>
      </x:c>
      <x:c r="M310" s="11" t="n">
        <x:f>'管线假设'!H79</x:f>
        <x:v>0.13</x:v>
      </x:c>
      <x:c r="N310" s="11" t="n">
        <x:f>IF(G310,L310*AN310/(1+M310)^F310,0)</x:f>
        <x:v>0.05717017141593892</x:v>
      </x:c>
      <x:c r="AJ310" t="n">
        <x:v>0</x:v>
      </x:c>
      <x:c r="AK310" t="n">
        <x:v>0</x:v>
      </x:c>
      <x:c r="AL310" t="n">
        <x:v>0</x:v>
      </x:c>
      <x:c r="AM310" t="n">
        <x:f>CHOOSE('假设'!$B$3,AJ310,AK310,AL310)</x:f>
        <x:v>0</x:v>
      </x:c>
      <x:c r="AN310" t="n">
        <x:v>1</x:v>
      </x:c>
    </x:row>
    <x:row r="311" ht="23" customHeight="1">
      <x:c r="A311" s="11" t="str">
        <x:v>01093.HK</x:v>
      </x:c>
      <x:c r="B311" s="11" t="str">
        <x:v>三年</x:v>
      </x:c>
      <x:c r="C311" s="11" t="str">
        <x:v>SYS6010_DOM</x:v>
      </x:c>
      <x:c r="D311" s="11" t="str">
        <x:v>2040-12-31</x:v>
      </x:c>
      <x:c r="E311" s="11" t="str">
        <x:v>CNY</x:v>
      </x:c>
      <x:c r="F311" s="11" t="n">
        <x:v>11.227926078028748</x:v>
      </x:c>
      <x:c r="G311" s="26" t="b">
        <x:v>1</x:v>
      </x:c>
      <x:c r="H311" s="16" t="n">
        <x:v>0.81</x:v>
      </x:c>
      <x:c r="I311" s="16" t="n">
        <x:v>0.8999999999999999</x:v>
      </x:c>
      <x:c r="J311" s="16" t="n">
        <x:v>1.6199999999999999</x:v>
      </x:c>
      <x:c r="K311" s="11" t="n">
        <x:f>CHOOSE('假设'!$B$3,H311,I311,J311)</x:f>
        <x:v>0.8999999999999999</x:v>
      </x:c>
      <x:c r="L311" s="11" t="n">
        <x:f>K311*'管线假设'!E79*'管线假设'!F79*'管线假设'!G79*IF(E311="USD",'管线假设'!I79,1)-AM311</x:f>
        <x:v>0.11969999999999997</x:v>
      </x:c>
      <x:c r="M311" s="11" t="n">
        <x:f>'管线假设'!H79</x:f>
        <x:v>0.13</x:v>
      </x:c>
      <x:c r="N311" s="11" t="n">
        <x:f>IF(G311,L311*AN311/(1+M311)^F311,0)</x:f>
        <x:v>0.030348226076100084</x:v>
      </x:c>
      <x:c r="AJ311" t="n">
        <x:v>0</x:v>
      </x:c>
      <x:c r="AK311" t="n">
        <x:v>0</x:v>
      </x:c>
      <x:c r="AL311" t="n">
        <x:v>0</x:v>
      </x:c>
      <x:c r="AM311" t="n">
        <x:f>CHOOSE('假设'!$B$3,AJ311,AK311,AL311)</x:f>
        <x:v>0</x:v>
      </x:c>
      <x:c r="AN311" t="n">
        <x:v>1</x:v>
      </x:c>
    </x:row>
    <x:row r="312" ht="23" customHeight="1">
      <x:c r="A312" s="11" t="str">
        <x:v>01093.HK</x:v>
      </x:c>
      <x:c r="B312" s="11" t="str">
        <x:v>三年</x:v>
      </x:c>
      <x:c r="C312" s="11" t="str">
        <x:v>SYS6010_DOM</x:v>
      </x:c>
      <x:c r="D312" s="11" t="str">
        <x:v>2041-12-31</x:v>
      </x:c>
      <x:c r="E312" s="11" t="str">
        <x:v>CNY</x:v>
      </x:c>
      <x:c r="F312" s="11" t="n">
        <x:v>12.227241615331964</x:v>
      </x:c>
      <x:c r="G312" s="26" t="b">
        <x:v>1</x:v>
      </x:c>
      <x:c r="H312" s="16" t="n">
        <x:v>0.54</x:v>
      </x:c>
      <x:c r="I312" s="16" t="n">
        <x:v>0.5</x:v>
      </x:c>
      <x:c r="J312" s="16" t="n">
        <x:v>0.9</x:v>
      </x:c>
      <x:c r="K312" s="11" t="n">
        <x:f>CHOOSE('假设'!$B$3,H312,I312,J312)</x:f>
        <x:v>0.5</x:v>
      </x:c>
      <x:c r="L312" s="11" t="n">
        <x:f>K312*'管线假设'!E79*'管线假设'!F79*'管线假设'!G79*IF(E312="USD",'管线假设'!I79,1)-AM312</x:f>
        <x:v>0.06649999999999999</x:v>
      </x:c>
      <x:c r="M312" s="11" t="n">
        <x:f>'管线假设'!H79</x:f>
        <x:v>0.13</x:v>
      </x:c>
      <x:c r="N312" s="11" t="n">
        <x:f>IF(G312,L312*AN312/(1+M312)^F312,0)</x:f>
        <x:v>0.014921713330827644</x:v>
      </x:c>
      <x:c r="AJ312" t="n">
        <x:v>0</x:v>
      </x:c>
      <x:c r="AK312" t="n">
        <x:v>0</x:v>
      </x:c>
      <x:c r="AL312" t="n">
        <x:v>0</x:v>
      </x:c>
      <x:c r="AM312" t="n">
        <x:f>CHOOSE('假设'!$B$3,AJ312,AK312,AL312)</x:f>
        <x:v>0</x:v>
      </x:c>
      <x:c r="AN312" t="n">
        <x:v>1</x:v>
      </x:c>
    </x:row>
    <x:row r="313" ht="23" customHeight="1">
      <x:c r="A313" s="11" t="str">
        <x:v>01093.HK</x:v>
      </x:c>
      <x:c r="B313" s="11" t="str">
        <x:v>三年</x:v>
      </x:c>
      <x:c r="C313" s="11" t="str">
        <x:v>SYS6010_DOM</x:v>
      </x:c>
      <x:c r="D313" s="11" t="str">
        <x:v>2042-12-31</x:v>
      </x:c>
      <x:c r="E313" s="11" t="str">
        <x:v>CNY</x:v>
      </x:c>
      <x:c r="F313" s="11" t="n">
        <x:v>13.22655715263518</x:v>
      </x:c>
      <x:c r="G313" s="26" t="b">
        <x:v>1</x:v>
      </x:c>
      <x:c r="H313" s="16" t="n">
        <x:v>0.324</x:v>
      </x:c>
      <x:c r="I313" s="16" t="n">
        <x:v>0.25</x:v>
      </x:c>
      <x:c r="J313" s="16" t="n">
        <x:v>0.45</x:v>
      </x:c>
      <x:c r="K313" s="11" t="n">
        <x:f>CHOOSE('假设'!$B$3,H313,I313,J313)</x:f>
        <x:v>0.25</x:v>
      </x:c>
      <x:c r="L313" s="11" t="n">
        <x:f>K313*'管线假设'!E79*'管线假设'!F79*'管线假设'!G79*IF(E313="USD",'管线假设'!I79,1)-AM313</x:f>
        <x:v>0.033249999999999995</x:v>
      </x:c>
      <x:c r="M313" s="11" t="n">
        <x:f>'管线假设'!H79</x:f>
        <x:v>0.13</x:v>
      </x:c>
      <x:c r="N313" s="11" t="n">
        <x:f>IF(G313,L313*AN313/(1+M313)^F313,0)</x:f>
        <x:v>0.006603080369579576</x:v>
      </x:c>
      <x:c r="AJ313" t="n">
        <x:v>0</x:v>
      </x:c>
      <x:c r="AK313" t="n">
        <x:v>0</x:v>
      </x:c>
      <x:c r="AL313" t="n">
        <x:v>0</x:v>
      </x:c>
      <x:c r="AM313" t="n">
        <x:f>CHOOSE('假设'!$B$3,AJ313,AK313,AL313)</x:f>
        <x:v>0</x:v>
      </x:c>
      <x:c r="AN313" t="n">
        <x:v>1</x:v>
      </x:c>
    </x:row>
    <x:row r="314" ht="23" customHeight="1">
      <x:c r="A314" s="11" t="str">
        <x:v>01093.HK</x:v>
      </x:c>
      <x:c r="B314" s="11" t="str">
        <x:v>三年</x:v>
      </x:c>
      <x:c r="C314" s="11" t="str">
        <x:v>SYS6010_DOM</x:v>
      </x:c>
      <x:c r="D314" s="11" t="str">
        <x:v>2043-12-31</x:v>
      </x:c>
      <x:c r="E314" s="11" t="str">
        <x:v>CNY</x:v>
      </x:c>
      <x:c r="F314" s="11" t="n">
        <x:v>14.225872689938399</x:v>
      </x:c>
      <x:c r="G314" s="26" t="b">
        <x:v>1</x:v>
      </x:c>
      <x:c r="H314" s="16" t="n">
        <x:v>0.18000000000000002</x:v>
      </x:c>
      <x:c r="I314" s="16" t="n">
        <x:v>0.25</x:v>
      </x:c>
      <x:c r="J314" s="16" t="n">
        <x:v>0.45</x:v>
      </x:c>
      <x:c r="K314" s="11" t="n">
        <x:f>CHOOSE('假设'!$B$3,H314,I314,J314)</x:f>
        <x:v>0.25</x:v>
      </x:c>
      <x:c r="L314" s="11" t="n">
        <x:f>K314*'管线假设'!E79*'管线假设'!F79*'管线假设'!G79*IF(E314="USD",'管线假设'!I79,1)-AM314</x:f>
        <x:v>0.033249999999999995</x:v>
      </x:c>
      <x:c r="M314" s="11" t="n">
        <x:f>'管线假设'!H79</x:f>
        <x:v>0.13</x:v>
      </x:c>
      <x:c r="N314" s="11" t="n">
        <x:f>IF(G314,L314*AN314/(1+M314)^F314,0)</x:f>
        <x:v>0.005843922799005922</x:v>
      </x:c>
      <x:c r="AJ314" t="n">
        <x:v>0</x:v>
      </x:c>
      <x:c r="AK314" t="n">
        <x:v>0</x:v>
      </x:c>
      <x:c r="AL314" t="n">
        <x:v>0</x:v>
      </x:c>
      <x:c r="AM314" t="n">
        <x:f>CHOOSE('假设'!$B$3,AJ314,AK314,AL314)</x:f>
        <x:v>0</x:v>
      </x:c>
      <x:c r="AN314" t="n">
        <x:v>1</x:v>
      </x:c>
    </x:row>
    <x:row r="315" ht="23" customHeight="1">
      <x:c r="A315" s="11" t="str">
        <x:v>01093.HK</x:v>
      </x:c>
      <x:c r="B315" s="11" t="str">
        <x:v>三年</x:v>
      </x:c>
      <x:c r="C315" s="11" t="str">
        <x:v>JMT101_DOM</x:v>
      </x:c>
      <x:c r="D315" s="11" t="str">
        <x:v>2027-12-31</x:v>
      </x:c>
      <x:c r="E315" s="11" t="str">
        <x:v>CNY</x:v>
      </x:c>
      <x:c r="F315" s="11" t="n">
        <x:v>-1.7741273100616017</x:v>
      </x:c>
      <x:c r="G315" s="26" t="b">
        <x:v>0</x:v>
      </x:c>
      <x:c r="H315" s="16" t="n">
        <x:v>0</x:v>
      </x:c>
      <x:c r="I315" s="16" t="n">
        <x:v>0.192</x:v>
      </x:c>
      <x:c r="J315" s="16" t="n">
        <x:v>0.384</x:v>
      </x:c>
      <x:c r="K315" s="11" t="n">
        <x:f>CHOOSE('假设'!$B$3,H315,I315,J315)</x:f>
        <x:v>0.192</x:v>
      </x:c>
      <x:c r="L315" s="11" t="n">
        <x:f>K315*'管线假设'!E83*'管线假设'!F83*'管线假设'!G83*IF(E315="USD",'管线假设'!I83,1)-AM315</x:f>
        <x:v>0.020217600000000002</x:v>
      </x:c>
      <x:c r="M315" s="11" t="n">
        <x:f>'管线假设'!H83</x:f>
        <x:v>0.13</x:v>
      </x:c>
      <x:c r="N315" s="11" t="n">
        <x:f>IF(G315,L315*AN315/(1+M315)^F315,0)</x:f>
        <x:v>0</x:v>
      </x:c>
      <x:c r="AJ315" t="n">
        <x:v>0</x:v>
      </x:c>
      <x:c r="AK315" t="n">
        <x:v>0</x:v>
      </x:c>
      <x:c r="AL315" t="n">
        <x:v>0</x:v>
      </x:c>
      <x:c r="AM315" t="n">
        <x:f>CHOOSE('假设'!$B$3,AJ315,AK315,AL315)</x:f>
        <x:v>0</x:v>
      </x:c>
      <x:c r="AN315" t="n">
        <x:v>1</x:v>
      </x:c>
    </x:row>
    <x:row r="316" ht="23" customHeight="1">
      <x:c r="A316" s="11" t="str">
        <x:v>01093.HK</x:v>
      </x:c>
      <x:c r="B316" s="11" t="str">
        <x:v>三年</x:v>
      </x:c>
      <x:c r="C316" s="11" t="str">
        <x:v>JMT101_DOM</x:v>
      </x:c>
      <x:c r="D316" s="11" t="str">
        <x:v>2028-12-31</x:v>
      </x:c>
      <x:c r="E316" s="11" t="str">
        <x:v>CNY</x:v>
      </x:c>
      <x:c r="F316" s="11" t="n">
        <x:v>-0.7720739219712526</x:v>
      </x:c>
      <x:c r="G316" s="26" t="b">
        <x:v>0</x:v>
      </x:c>
      <x:c r="H316" s="16" t="n">
        <x:v>0</x:v>
      </x:c>
      <x:c r="I316" s="16" t="n">
        <x:v>0.6</x:v>
      </x:c>
      <x:c r="J316" s="16" t="n">
        <x:v>1.2</x:v>
      </x:c>
      <x:c r="K316" s="11" t="n">
        <x:f>CHOOSE('假设'!$B$3,H316,I316,J316)</x:f>
        <x:v>0.6</x:v>
      </x:c>
      <x:c r="L316" s="11" t="n">
        <x:f>K316*'管线假设'!E83*'管线假设'!F83*'管线假设'!G83*IF(E316="USD",'管线假设'!I83,1)-AM316</x:f>
        <x:v>0.06318</x:v>
      </x:c>
      <x:c r="M316" s="11" t="n">
        <x:f>'管线假设'!H83</x:f>
        <x:v>0.13</x:v>
      </x:c>
      <x:c r="N316" s="11" t="n">
        <x:f>IF(G316,L316*AN316/(1+M316)^F316,0)</x:f>
        <x:v>0</x:v>
      </x:c>
      <x:c r="AJ316" t="n">
        <x:v>0</x:v>
      </x:c>
      <x:c r="AK316" t="n">
        <x:v>0</x:v>
      </x:c>
      <x:c r="AL316" t="n">
        <x:v>0</x:v>
      </x:c>
      <x:c r="AM316" t="n">
        <x:f>CHOOSE('假设'!$B$3,AJ316,AK316,AL316)</x:f>
        <x:v>0</x:v>
      </x:c>
      <x:c r="AN316" t="n">
        <x:v>1</x:v>
      </x:c>
    </x:row>
    <x:row r="317" ht="23" customHeight="1">
      <x:c r="A317" s="11" t="str">
        <x:v>01093.HK</x:v>
      </x:c>
      <x:c r="B317" s="11" t="str">
        <x:v>三年</x:v>
      </x:c>
      <x:c r="C317" s="11" t="str">
        <x:v>JMT101_DOM</x:v>
      </x:c>
      <x:c r="D317" s="11" t="str">
        <x:v>2029-12-31</x:v>
      </x:c>
      <x:c r="E317" s="11" t="str">
        <x:v>CNY</x:v>
      </x:c>
      <x:c r="F317" s="11" t="n">
        <x:v>0.2272416153319644</x:v>
      </x:c>
      <x:c r="G317" s="26" t="b">
        <x:v>1</x:v>
      </x:c>
      <x:c r="H317" s="16" t="n">
        <x:v>0.064</x:v>
      </x:c>
      <x:c r="I317" s="16" t="n">
        <x:v>1.08</x:v>
      </x:c>
      <x:c r="J317" s="16" t="n">
        <x:v>2.16</x:v>
      </x:c>
      <x:c r="K317" s="11" t="n">
        <x:f>CHOOSE('假设'!$B$3,H317,I317,J317)</x:f>
        <x:v>1.08</x:v>
      </x:c>
      <x:c r="L317" s="11" t="n">
        <x:f>K317*'管线假设'!E83*'管线假设'!F83*'管线假设'!G83*IF(E317="USD",'管线假设'!I83,1)-AM317</x:f>
        <x:v>0.113724</x:v>
      </x:c>
      <x:c r="M317" s="11" t="n">
        <x:f>'管线假设'!H83</x:f>
        <x:v>0.13</x:v>
      </x:c>
      <x:c r="N317" s="11" t="n">
        <x:f>IF(G317,L317*AN317/(1+M317)^F317,0)</x:f>
        <x:v>0.11060900750972603</x:v>
      </x:c>
      <x:c r="AJ317" t="n">
        <x:v>0</x:v>
      </x:c>
      <x:c r="AK317" t="n">
        <x:v>0</x:v>
      </x:c>
      <x:c r="AL317" t="n">
        <x:v>0</x:v>
      </x:c>
      <x:c r="AM317" t="n">
        <x:f>CHOOSE('假设'!$B$3,AJ317,AK317,AL317)</x:f>
        <x:v>0</x:v>
      </x:c>
      <x:c r="AN317" t="n">
        <x:v>1</x:v>
      </x:c>
    </x:row>
    <x:row r="318" ht="23" customHeight="1">
      <x:c r="A318" s="11" t="str">
        <x:v>01093.HK</x:v>
      </x:c>
      <x:c r="B318" s="11" t="str">
        <x:v>三年</x:v>
      </x:c>
      <x:c r="C318" s="11" t="str">
        <x:v>JMT101_DOM</x:v>
      </x:c>
      <x:c r="D318" s="11" t="str">
        <x:v>2030-12-31</x:v>
      </x:c>
      <x:c r="E318" s="11" t="str">
        <x:v>CNY</x:v>
      </x:c>
      <x:c r="F318" s="11" t="n">
        <x:v>1.2265571526351813</x:v>
      </x:c>
      <x:c r="G318" s="26" t="b">
        <x:v>1</x:v>
      </x:c>
      <x:c r="H318" s="16" t="n">
        <x:v>0.2</x:v>
      </x:c>
      <x:c r="I318" s="16" t="n">
        <x:v>1.56</x:v>
      </x:c>
      <x:c r="J318" s="16" t="n">
        <x:v>3.12</x:v>
      </x:c>
      <x:c r="K318" s="11" t="n">
        <x:f>CHOOSE('假设'!$B$3,H318,I318,J318)</x:f>
        <x:v>1.56</x:v>
      </x:c>
      <x:c r="L318" s="11" t="n">
        <x:f>K318*'管线假设'!E83*'管线假设'!F83*'管线假设'!G83*IF(E318="USD",'管线假设'!I83,1)-AM318</x:f>
        <x:v>0.164268</x:v>
      </x:c>
      <x:c r="M318" s="11" t="n">
        <x:f>'管线假设'!H83</x:f>
        <x:v>0.13</x:v>
      </x:c>
      <x:c r="N318" s="11" t="n">
        <x:f>IF(G318,L318*AN318/(1+M318)^F318,0)</x:f>
        <x:v>0.14139993995348973</x:v>
      </x:c>
      <x:c r="AJ318" t="n">
        <x:v>0</x:v>
      </x:c>
      <x:c r="AK318" t="n">
        <x:v>0</x:v>
      </x:c>
      <x:c r="AL318" t="n">
        <x:v>0</x:v>
      </x:c>
      <x:c r="AM318" t="n">
        <x:f>CHOOSE('假设'!$B$3,AJ318,AK318,AL318)</x:f>
        <x:v>0</x:v>
      </x:c>
      <x:c r="AN318" t="n">
        <x:v>1</x:v>
      </x:c>
    </x:row>
    <x:row r="319" ht="23" customHeight="1">
      <x:c r="A319" s="11" t="str">
        <x:v>01093.HK</x:v>
      </x:c>
      <x:c r="B319" s="11" t="str">
        <x:v>三年</x:v>
      </x:c>
      <x:c r="C319" s="11" t="str">
        <x:v>JMT101_DOM</x:v>
      </x:c>
      <x:c r="D319" s="11" t="str">
        <x:v>2031-12-31</x:v>
      </x:c>
      <x:c r="E319" s="11" t="str">
        <x:v>CNY</x:v>
      </x:c>
      <x:c r="F319" s="11" t="n">
        <x:v>2.2258726899383983</x:v>
      </x:c>
      <x:c r="G319" s="26" t="b">
        <x:v>1</x:v>
      </x:c>
      <x:c r="H319" s="16" t="n">
        <x:v>0.36000000000000004</x:v>
      </x:c>
      <x:c r="I319" s="16" t="n">
        <x:v>2.04</x:v>
      </x:c>
      <x:c r="J319" s="16" t="n">
        <x:v>4.08</x:v>
      </x:c>
      <x:c r="K319" s="11" t="n">
        <x:f>CHOOSE('假设'!$B$3,H319,I319,J319)</x:f>
        <x:v>2.04</x:v>
      </x:c>
      <x:c r="L319" s="11" t="n">
        <x:f>K319*'管线假设'!E83*'管线假设'!F83*'管线假设'!G83*IF(E319="USD",'管线假设'!I83,1)-AM319</x:f>
        <x:v>0.214812</x:v>
      </x:c>
      <x:c r="M319" s="11" t="n">
        <x:f>'管线假设'!H83</x:f>
        <x:v>0.13</x:v>
      </x:c>
      <x:c r="N319" s="11" t="n">
        <x:f>IF(G319,L319*AN319/(1+M319)^F319,0)</x:f>
        <x:v>0.16364874565031073</x:v>
      </x:c>
      <x:c r="AJ319" t="n">
        <x:v>0</x:v>
      </x:c>
      <x:c r="AK319" t="n">
        <x:v>0</x:v>
      </x:c>
      <x:c r="AL319" t="n">
        <x:v>0</x:v>
      </x:c>
      <x:c r="AM319" t="n">
        <x:f>CHOOSE('假设'!$B$3,AJ319,AK319,AL319)</x:f>
        <x:v>0</x:v>
      </x:c>
      <x:c r="AN319" t="n">
        <x:v>1</x:v>
      </x:c>
    </x:row>
    <x:row r="320" ht="23" customHeight="1">
      <x:c r="A320" s="11" t="str">
        <x:v>01093.HK</x:v>
      </x:c>
      <x:c r="B320" s="11" t="str">
        <x:v>三年</x:v>
      </x:c>
      <x:c r="C320" s="11" t="str">
        <x:v>JMT101_DOM</x:v>
      </x:c>
      <x:c r="D320" s="11" t="str">
        <x:v>2032-12-31</x:v>
      </x:c>
      <x:c r="E320" s="11" t="str">
        <x:v>CNY</x:v>
      </x:c>
      <x:c r="F320" s="11" t="n">
        <x:v>3.2279260780287475</x:v>
      </x:c>
      <x:c r="G320" s="26" t="b">
        <x:v>1</x:v>
      </x:c>
      <x:c r="H320" s="16" t="n">
        <x:v>0.52</x:v>
      </x:c>
      <x:c r="I320" s="16" t="n">
        <x:v>2.4</x:v>
      </x:c>
      <x:c r="J320" s="16" t="n">
        <x:v>4.8</x:v>
      </x:c>
      <x:c r="K320" s="11" t="n">
        <x:f>CHOOSE('假设'!$B$3,H320,I320,J320)</x:f>
        <x:v>2.4</x:v>
      </x:c>
      <x:c r="L320" s="11" t="n">
        <x:f>K320*'管线假设'!E83*'管线假设'!F83*'管线假设'!G83*IF(E320="USD",'管线假设'!I83,1)-AM320</x:f>
        <x:v>0.25272</x:v>
      </x:c>
      <x:c r="M320" s="11" t="n">
        <x:f>'管线假设'!H83</x:f>
        <x:v>0.13</x:v>
      </x:c>
      <x:c r="N320" s="11" t="n">
        <x:f>IF(G320,L320*AN320/(1+M320)^F320,0)</x:f>
        <x:v>0.17033595156291095</x:v>
      </x:c>
      <x:c r="AJ320" t="n">
        <x:v>0</x:v>
      </x:c>
      <x:c r="AK320" t="n">
        <x:v>0</x:v>
      </x:c>
      <x:c r="AL320" t="n">
        <x:v>0</x:v>
      </x:c>
      <x:c r="AM320" t="n">
        <x:f>CHOOSE('假设'!$B$3,AJ320,AK320,AL320)</x:f>
        <x:v>0</x:v>
      </x:c>
      <x:c r="AN320" t="n">
        <x:v>1</x:v>
      </x:c>
    </x:row>
    <x:row r="321" ht="23" customHeight="1">
      <x:c r="A321" s="11" t="str">
        <x:v>01093.HK</x:v>
      </x:c>
      <x:c r="B321" s="11" t="str">
        <x:v>三年</x:v>
      </x:c>
      <x:c r="C321" s="11" t="str">
        <x:v>JMT101_DOM</x:v>
      </x:c>
      <x:c r="D321" s="11" t="str">
        <x:v>2033-12-31</x:v>
      </x:c>
      <x:c r="E321" s="11" t="str">
        <x:v>CNY</x:v>
      </x:c>
      <x:c r="F321" s="11" t="n">
        <x:v>4.227241615331964</x:v>
      </x:c>
      <x:c r="G321" s="26" t="b">
        <x:v>1</x:v>
      </x:c>
      <x:c r="H321" s="16" t="n">
        <x:v>0.68</x:v>
      </x:c>
      <x:c r="I321" s="16" t="n">
        <x:v>2.4</x:v>
      </x:c>
      <x:c r="J321" s="16" t="n">
        <x:v>4.8</x:v>
      </x:c>
      <x:c r="K321" s="11" t="n">
        <x:f>CHOOSE('假设'!$B$3,H321,I321,J321)</x:f>
        <x:v>2.4</x:v>
      </x:c>
      <x:c r="L321" s="11" t="n">
        <x:f>K321*'管线假设'!E83*'管线假设'!F83*'管线假设'!G83*IF(E321="USD",'管线假设'!I83,1)-AM321</x:f>
        <x:v>0.25272</x:v>
      </x:c>
      <x:c r="M321" s="11" t="n">
        <x:f>'管线假设'!H83</x:f>
        <x:v>0.13</x:v>
      </x:c>
      <x:c r="N321" s="11" t="n">
        <x:f>IF(G321,L321*AN321/(1+M321)^F321,0)</x:f>
        <x:v>0.15075239056831954</x:v>
      </x:c>
      <x:c r="AJ321" t="n">
        <x:v>0</x:v>
      </x:c>
      <x:c r="AK321" t="n">
        <x:v>0</x:v>
      </x:c>
      <x:c r="AL321" t="n">
        <x:v>0</x:v>
      </x:c>
      <x:c r="AM321" t="n">
        <x:f>CHOOSE('假设'!$B$3,AJ321,AK321,AL321)</x:f>
        <x:v>0</x:v>
      </x:c>
      <x:c r="AN321" t="n">
        <x:v>1</x:v>
      </x:c>
    </x:row>
    <x:row r="322" ht="23" customHeight="1">
      <x:c r="A322" s="11" t="str">
        <x:v>01093.HK</x:v>
      </x:c>
      <x:c r="B322" s="11" t="str">
        <x:v>三年</x:v>
      </x:c>
      <x:c r="C322" s="11" t="str">
        <x:v>JMT101_DOM</x:v>
      </x:c>
      <x:c r="D322" s="11" t="str">
        <x:v>2034-12-31</x:v>
      </x:c>
      <x:c r="E322" s="11" t="str">
        <x:v>CNY</x:v>
      </x:c>
      <x:c r="F322" s="11" t="n">
        <x:v>5.2265571526351815</x:v>
      </x:c>
      <x:c r="G322" s="26" t="b">
        <x:v>1</x:v>
      </x:c>
      <x:c r="H322" s="16" t="n">
        <x:v>0.8</x:v>
      </x:c>
      <x:c r="I322" s="16" t="n">
        <x:v>2.28</x:v>
      </x:c>
      <x:c r="J322" s="16" t="n">
        <x:v>4.56</x:v>
      </x:c>
      <x:c r="K322" s="11" t="n">
        <x:f>CHOOSE('假设'!$B$3,H322,I322,J322)</x:f>
        <x:v>2.28</x:v>
      </x:c>
      <x:c r="L322" s="11" t="n">
        <x:f>K322*'管线假设'!E83*'管线假设'!F83*'管线假设'!G83*IF(E322="USD",'管线假设'!I83,1)-AM322</x:f>
        <x:v>0.240084</x:v>
      </x:c>
      <x:c r="M322" s="11" t="n">
        <x:f>'管线假设'!H83</x:f>
        <x:v>0.13</x:v>
      </x:c>
      <x:c r="N322" s="11" t="n">
        <x:f>IF(G322,L322*AN322/(1+M322)^F322,0)</x:f>
        <x:v>0.12674933800446747</x:v>
      </x:c>
      <x:c r="AJ322" t="n">
        <x:v>0</x:v>
      </x:c>
      <x:c r="AK322" t="n">
        <x:v>0</x:v>
      </x:c>
      <x:c r="AL322" t="n">
        <x:v>0</x:v>
      </x:c>
      <x:c r="AM322" t="n">
        <x:f>CHOOSE('假设'!$B$3,AJ322,AK322,AL322)</x:f>
        <x:v>0</x:v>
      </x:c>
      <x:c r="AN322" t="n">
        <x:v>1</x:v>
      </x:c>
    </x:row>
    <x:row r="323" ht="23" customHeight="1">
      <x:c r="A323" s="11" t="str">
        <x:v>01093.HK</x:v>
      </x:c>
      <x:c r="B323" s="11" t="str">
        <x:v>三年</x:v>
      </x:c>
      <x:c r="C323" s="11" t="str">
        <x:v>JMT101_DOM</x:v>
      </x:c>
      <x:c r="D323" s="11" t="str">
        <x:v>2035-12-31</x:v>
      </x:c>
      <x:c r="E323" s="11" t="str">
        <x:v>CNY</x:v>
      </x:c>
      <x:c r="F323" s="11" t="n">
        <x:v>6.225872689938399</x:v>
      </x:c>
      <x:c r="G323" s="26" t="b">
        <x:v>1</x:v>
      </x:c>
      <x:c r="H323" s="16" t="n">
        <x:v>0.8</x:v>
      </x:c>
      <x:c r="I323" s="16" t="n">
        <x:v>2.112</x:v>
      </x:c>
      <x:c r="J323" s="16" t="n">
        <x:v>4.224</x:v>
      </x:c>
      <x:c r="K323" s="11" t="n">
        <x:f>CHOOSE('假设'!$B$3,H323,I323,J323)</x:f>
        <x:v>2.112</x:v>
      </x:c>
      <x:c r="L323" s="11" t="n">
        <x:f>K323*'管线假设'!E83*'管线假设'!F83*'管线假设'!G83*IF(E323="USD",'管线假设'!I83,1)-AM323</x:f>
        <x:v>0.2223936</x:v>
      </x:c>
      <x:c r="M323" s="11" t="n">
        <x:f>'管线假设'!H83</x:f>
        <x:v>0.13</x:v>
      </x:c>
      <x:c r="N323" s="11" t="n">
        <x:f>IF(G323,L323*AN323/(1+M323)^F323,0)</x:f>
        <x:v>0.10391127013217126</x:v>
      </x:c>
      <x:c r="AJ323" t="n">
        <x:v>0</x:v>
      </x:c>
      <x:c r="AK323" t="n">
        <x:v>0</x:v>
      </x:c>
      <x:c r="AL323" t="n">
        <x:v>0</x:v>
      </x:c>
      <x:c r="AM323" t="n">
        <x:f>CHOOSE('假设'!$B$3,AJ323,AK323,AL323)</x:f>
        <x:v>0</x:v>
      </x:c>
      <x:c r="AN323" t="n">
        <x:v>1</x:v>
      </x:c>
    </x:row>
    <x:row r="324" ht="23" customHeight="1">
      <x:c r="A324" s="11" t="str">
        <x:v>01093.HK</x:v>
      </x:c>
      <x:c r="B324" s="11" t="str">
        <x:v>三年</x:v>
      </x:c>
      <x:c r="C324" s="11" t="str">
        <x:v>JMT101_DOM</x:v>
      </x:c>
      <x:c r="D324" s="11" t="str">
        <x:v>2036-12-31</x:v>
      </x:c>
      <x:c r="E324" s="11" t="str">
        <x:v>CNY</x:v>
      </x:c>
      <x:c r="F324" s="11" t="n">
        <x:v>7.227926078028747</x:v>
      </x:c>
      <x:c r="G324" s="26" t="b">
        <x:v>1</x:v>
      </x:c>
      <x:c r="H324" s="16" t="n">
        <x:v>0.76</x:v>
      </x:c>
      <x:c r="I324" s="16" t="n">
        <x:v>1.7999999999999998</x:v>
      </x:c>
      <x:c r="J324" s="16" t="n">
        <x:v>3.5999999999999996</x:v>
      </x:c>
      <x:c r="K324" s="11" t="n">
        <x:f>CHOOSE('假设'!$B$3,H324,I324,J324)</x:f>
        <x:v>1.7999999999999998</x:v>
      </x:c>
      <x:c r="L324" s="11" t="n">
        <x:f>K324*'管线假设'!E83*'管线假设'!F83*'管线假设'!G83*IF(E324="USD",'管线假设'!I83,1)-AM324</x:f>
        <x:v>0.18954</x:v>
      </x:c>
      <x:c r="M324" s="11" t="n">
        <x:f>'管线假设'!H83</x:f>
        <x:v>0.13</x:v>
      </x:c>
      <x:c r="N324" s="11" t="n">
        <x:f>IF(G324,L324*AN324/(1+M324)^F324,0)</x:f>
        <x:v>0.07835267181796537</x:v>
      </x:c>
      <x:c r="AJ324" t="n">
        <x:v>0</x:v>
      </x:c>
      <x:c r="AK324" t="n">
        <x:v>0</x:v>
      </x:c>
      <x:c r="AL324" t="n">
        <x:v>0</x:v>
      </x:c>
      <x:c r="AM324" t="n">
        <x:f>CHOOSE('假设'!$B$3,AJ324,AK324,AL324)</x:f>
        <x:v>0</x:v>
      </x:c>
      <x:c r="AN324" t="n">
        <x:v>1</x:v>
      </x:c>
    </x:row>
    <x:row r="325" ht="23" customHeight="1">
      <x:c r="A325" s="11" t="str">
        <x:v>01093.HK</x:v>
      </x:c>
      <x:c r="B325" s="11" t="str">
        <x:v>三年</x:v>
      </x:c>
      <x:c r="C325" s="11" t="str">
        <x:v>JMT101_DOM</x:v>
      </x:c>
      <x:c r="D325" s="11" t="str">
        <x:v>2037-12-31</x:v>
      </x:c>
      <x:c r="E325" s="11" t="str">
        <x:v>CNY</x:v>
      </x:c>
      <x:c r="F325" s="11" t="n">
        <x:v>8.227241615331964</x:v>
      </x:c>
      <x:c r="G325" s="26" t="b">
        <x:v>1</x:v>
      </x:c>
      <x:c r="H325" s="16" t="n">
        <x:v>0.7040000000000001</x:v>
      </x:c>
      <x:c r="I325" s="16" t="n">
        <x:v>1.44</x:v>
      </x:c>
      <x:c r="J325" s="16" t="n">
        <x:v>2.88</x:v>
      </x:c>
      <x:c r="K325" s="11" t="n">
        <x:f>CHOOSE('假设'!$B$3,H325,I325,J325)</x:f>
        <x:v>1.44</x:v>
      </x:c>
      <x:c r="L325" s="11" t="n">
        <x:f>K325*'管线假设'!E83*'管线假设'!F83*'管线假设'!G83*IF(E325="USD",'管线假设'!I83,1)-AM325</x:f>
        <x:v>0.151632</x:v>
      </x:c>
      <x:c r="M325" s="11" t="n">
        <x:f>'管线假设'!H83</x:f>
        <x:v>0.13</x:v>
      </x:c>
      <x:c r="N325" s="11" t="n">
        <x:f>IF(G325,L325*AN325/(1+M325)^F325,0)</x:f>
        <x:v>0.05547555862679173</x:v>
      </x:c>
      <x:c r="AJ325" t="n">
        <x:v>0</x:v>
      </x:c>
      <x:c r="AK325" t="n">
        <x:v>0</x:v>
      </x:c>
      <x:c r="AL325" t="n">
        <x:v>0</x:v>
      </x:c>
      <x:c r="AM325" t="n">
        <x:f>CHOOSE('假设'!$B$3,AJ325,AK325,AL325)</x:f>
        <x:v>0</x:v>
      </x:c>
      <x:c r="AN325" t="n">
        <x:v>1</x:v>
      </x:c>
    </x:row>
    <x:row r="326" ht="23" customHeight="1">
      <x:c r="A326" s="11" t="str">
        <x:v>01093.HK</x:v>
      </x:c>
      <x:c r="B326" s="11" t="str">
        <x:v>三年</x:v>
      </x:c>
      <x:c r="C326" s="11" t="str">
        <x:v>JMT101_DOM</x:v>
      </x:c>
      <x:c r="D326" s="11" t="str">
        <x:v>2038-12-31</x:v>
      </x:c>
      <x:c r="E326" s="11" t="str">
        <x:v>CNY</x:v>
      </x:c>
      <x:c r="F326" s="11" t="n">
        <x:v>9.22655715263518</x:v>
      </x:c>
      <x:c r="G326" s="26" t="b">
        <x:v>1</x:v>
      </x:c>
      <x:c r="H326" s="16" t="n">
        <x:v>0.6000000000000001</x:v>
      </x:c>
      <x:c r="I326" s="16" t="n">
        <x:v>1.08</x:v>
      </x:c>
      <x:c r="J326" s="16" t="n">
        <x:v>2.16</x:v>
      </x:c>
      <x:c r="K326" s="11" t="n">
        <x:f>CHOOSE('假设'!$B$3,H326,I326,J326)</x:f>
        <x:v>1.08</x:v>
      </x:c>
      <x:c r="L326" s="11" t="n">
        <x:f>K326*'管线假设'!E83*'管线假设'!F83*'管线假设'!G83*IF(E326="USD",'管线假设'!I83,1)-AM326</x:f>
        <x:v>0.113724</x:v>
      </x:c>
      <x:c r="M326" s="11" t="n">
        <x:f>'管线假设'!H83</x:f>
        <x:v>0.13</x:v>
      </x:c>
      <x:c r="N326" s="11" t="n">
        <x:f>IF(G326,L326*AN326/(1+M326)^F326,0)</x:f>
        <x:v>0.0368231412879963</x:v>
      </x:c>
      <x:c r="AJ326" t="n">
        <x:v>0</x:v>
      </x:c>
      <x:c r="AK326" t="n">
        <x:v>0</x:v>
      </x:c>
      <x:c r="AL326" t="n">
        <x:v>0</x:v>
      </x:c>
      <x:c r="AM326" t="n">
        <x:f>CHOOSE('假设'!$B$3,AJ326,AK326,AL326)</x:f>
        <x:v>0</x:v>
      </x:c>
      <x:c r="AN326" t="n">
        <x:v>1</x:v>
      </x:c>
    </x:row>
    <x:row r="327" ht="23" customHeight="1">
      <x:c r="A327" s="11" t="str">
        <x:v>01093.HK</x:v>
      </x:c>
      <x:c r="B327" s="11" t="str">
        <x:v>三年</x:v>
      </x:c>
      <x:c r="C327" s="11" t="str">
        <x:v>JMT101_DOM</x:v>
      </x:c>
      <x:c r="D327" s="11" t="str">
        <x:v>2039-12-31</x:v>
      </x:c>
      <x:c r="E327" s="11" t="str">
        <x:v>CNY</x:v>
      </x:c>
      <x:c r="F327" s="11" t="n">
        <x:v>10.225872689938399</x:v>
      </x:c>
      <x:c r="G327" s="26" t="b">
        <x:v>1</x:v>
      </x:c>
      <x:c r="H327" s="16" t="n">
        <x:v>0.48</x:v>
      </x:c>
      <x:c r="I327" s="16" t="n">
        <x:v>0.72</x:v>
      </x:c>
      <x:c r="J327" s="16" t="n">
        <x:v>1.44</x:v>
      </x:c>
      <x:c r="K327" s="11" t="n">
        <x:f>CHOOSE('假设'!$B$3,H327,I327,J327)</x:f>
        <x:v>0.72</x:v>
      </x:c>
      <x:c r="L327" s="11" t="n">
        <x:f>K327*'管线假设'!E83*'管线假设'!F83*'管线假设'!G83*IF(E327="USD",'管线假设'!I83,1)-AM327</x:f>
        <x:v>0.075816</x:v>
      </x:c>
      <x:c r="M327" s="11" t="n">
        <x:f>'管线假设'!H83</x:f>
        <x:v>0.13</x:v>
      </x:c>
      <x:c r="N327" s="11" t="n">
        <x:f>IF(G327,L327*AN327/(1+M327)^F327,0)</x:f>
        <x:v>0.0217263845417084</x:v>
      </x:c>
      <x:c r="AJ327" t="n">
        <x:v>0</x:v>
      </x:c>
      <x:c r="AK327" t="n">
        <x:v>0</x:v>
      </x:c>
      <x:c r="AL327" t="n">
        <x:v>0</x:v>
      </x:c>
      <x:c r="AM327" t="n">
        <x:f>CHOOSE('假设'!$B$3,AJ327,AK327,AL327)</x:f>
        <x:v>0</x:v>
      </x:c>
      <x:c r="AN327" t="n">
        <x:v>1</x:v>
      </x:c>
    </x:row>
    <x:row r="328" ht="23" customHeight="1">
      <x:c r="A328" s="11" t="str">
        <x:v>01093.HK</x:v>
      </x:c>
      <x:c r="B328" s="11" t="str">
        <x:v>三年</x:v>
      </x:c>
      <x:c r="C328" s="11" t="str">
        <x:v>JMT101_DOM</x:v>
      </x:c>
      <x:c r="D328" s="11" t="str">
        <x:v>2040-12-31</x:v>
      </x:c>
      <x:c r="E328" s="11" t="str">
        <x:v>CNY</x:v>
      </x:c>
      <x:c r="F328" s="11" t="n">
        <x:v>11.227926078028748</x:v>
      </x:c>
      <x:c r="G328" s="26" t="b">
        <x:v>1</x:v>
      </x:c>
      <x:c r="H328" s="16" t="n">
        <x:v>0.36000000000000004</x:v>
      </x:c>
      <x:c r="I328" s="16" t="n">
        <x:v>0.432</x:v>
      </x:c>
      <x:c r="J328" s="16" t="n">
        <x:v>0.864</x:v>
      </x:c>
      <x:c r="K328" s="11" t="n">
        <x:f>CHOOSE('假设'!$B$3,H328,I328,J328)</x:f>
        <x:v>0.432</x:v>
      </x:c>
      <x:c r="L328" s="11" t="n">
        <x:f>K328*'管线假设'!E83*'管线假设'!F83*'管线假设'!G83*IF(E328="USD",'管线假设'!I83,1)-AM328</x:f>
        <x:v>0.0454896</x:v>
      </x:c>
      <x:c r="M328" s="11" t="n">
        <x:f>'管线假设'!H83</x:f>
        <x:v>0.13</x:v>
      </x:c>
      <x:c r="N328" s="11" t="n">
        <x:f>IF(G328,L328*AN328/(1+M328)^F328,0)</x:f>
        <x:v>0.011533238637521826</x:v>
      </x:c>
      <x:c r="AJ328" t="n">
        <x:v>0</x:v>
      </x:c>
      <x:c r="AK328" t="n">
        <x:v>0</x:v>
      </x:c>
      <x:c r="AL328" t="n">
        <x:v>0</x:v>
      </x:c>
      <x:c r="AM328" t="n">
        <x:f>CHOOSE('假设'!$B$3,AJ328,AK328,AL328)</x:f>
        <x:v>0</x:v>
      </x:c>
      <x:c r="AN328" t="n">
        <x:v>1</x:v>
      </x:c>
    </x:row>
    <x:row r="329" ht="23" customHeight="1">
      <x:c r="A329" s="11" t="str">
        <x:v>01093.HK</x:v>
      </x:c>
      <x:c r="B329" s="11" t="str">
        <x:v>三年</x:v>
      </x:c>
      <x:c r="C329" s="11" t="str">
        <x:v>JMT101_DOM</x:v>
      </x:c>
      <x:c r="D329" s="11" t="str">
        <x:v>2041-12-31</x:v>
      </x:c>
      <x:c r="E329" s="11" t="str">
        <x:v>CNY</x:v>
      </x:c>
      <x:c r="F329" s="11" t="n">
        <x:v>12.227241615331964</x:v>
      </x:c>
      <x:c r="G329" s="26" t="b">
        <x:v>1</x:v>
      </x:c>
      <x:c r="H329" s="16" t="n">
        <x:v>0.24</x:v>
      </x:c>
      <x:c r="I329" s="16" t="n">
        <x:v>0.24</x:v>
      </x:c>
      <x:c r="J329" s="16" t="n">
        <x:v>0.48</x:v>
      </x:c>
      <x:c r="K329" s="11" t="n">
        <x:f>CHOOSE('假设'!$B$3,H329,I329,J329)</x:f>
        <x:v>0.24</x:v>
      </x:c>
      <x:c r="L329" s="11" t="n">
        <x:f>K329*'管线假设'!E83*'管线假设'!F83*'管线假设'!G83*IF(E329="USD",'管线假设'!I83,1)-AM329</x:f>
        <x:v>0.025272</x:v>
      </x:c>
      <x:c r="M329" s="11" t="n">
        <x:f>'管线假设'!H83</x:f>
        <x:v>0.13</x:v>
      </x:c>
      <x:c r="N329" s="11" t="n">
        <x:f>IF(G329,L329*AN329/(1+M329)^F329,0)</x:f>
        <x:v>0.005670699839047764</x:v>
      </x:c>
      <x:c r="AJ329" t="n">
        <x:v>0</x:v>
      </x:c>
      <x:c r="AK329" t="n">
        <x:v>0</x:v>
      </x:c>
      <x:c r="AL329" t="n">
        <x:v>0</x:v>
      </x:c>
      <x:c r="AM329" t="n">
        <x:f>CHOOSE('假设'!$B$3,AJ329,AK329,AL329)</x:f>
        <x:v>0</x:v>
      </x:c>
      <x:c r="AN329" t="n">
        <x:v>1</x:v>
      </x:c>
    </x:row>
    <x:row r="330" ht="23" customHeight="1">
      <x:c r="A330" s="11" t="str">
        <x:v>01093.HK</x:v>
      </x:c>
      <x:c r="B330" s="11" t="str">
        <x:v>三年</x:v>
      </x:c>
      <x:c r="C330" s="11" t="str">
        <x:v>JMT101_DOM</x:v>
      </x:c>
      <x:c r="D330" s="11" t="str">
        <x:v>2042-12-31</x:v>
      </x:c>
      <x:c r="E330" s="11" t="str">
        <x:v>CNY</x:v>
      </x:c>
      <x:c r="F330" s="11" t="n">
        <x:v>13.22655715263518</x:v>
      </x:c>
      <x:c r="G330" s="26" t="b">
        <x:v>1</x:v>
      </x:c>
      <x:c r="H330" s="16" t="n">
        <x:v>0.144</x:v>
      </x:c>
      <x:c r="I330" s="16" t="n">
        <x:v>0.12</x:v>
      </x:c>
      <x:c r="J330" s="16" t="n">
        <x:v>0.24</x:v>
      </x:c>
      <x:c r="K330" s="11" t="n">
        <x:f>CHOOSE('假设'!$B$3,H330,I330,J330)</x:f>
        <x:v>0.12</x:v>
      </x:c>
      <x:c r="L330" s="11" t="n">
        <x:f>K330*'管线假设'!E83*'管线假设'!F83*'管线假设'!G83*IF(E330="USD",'管线假设'!I83,1)-AM330</x:f>
        <x:v>0.012636</x:v>
      </x:c>
      <x:c r="M330" s="11" t="n">
        <x:f>'管线假设'!H83</x:f>
        <x:v>0.13</x:v>
      </x:c>
      <x:c r="N330" s="11" t="n">
        <x:f>IF(G330,L330*AN330/(1+M330)^F330,0)</x:f>
        <x:v>0.0025093691293235345</x:v>
      </x:c>
      <x:c r="AJ330" t="n">
        <x:v>0</x:v>
      </x:c>
      <x:c r="AK330" t="n">
        <x:v>0</x:v>
      </x:c>
      <x:c r="AL330" t="n">
        <x:v>0</x:v>
      </x:c>
      <x:c r="AM330" t="n">
        <x:f>CHOOSE('假设'!$B$3,AJ330,AK330,AL330)</x:f>
        <x:v>0</x:v>
      </x:c>
      <x:c r="AN330" t="n">
        <x:v>1</x:v>
      </x:c>
    </x:row>
    <x:row r="331" ht="23" customHeight="1">
      <x:c r="A331" s="11" t="str">
        <x:v>01093.HK</x:v>
      </x:c>
      <x:c r="B331" s="11" t="str">
        <x:v>三年</x:v>
      </x:c>
      <x:c r="C331" s="11" t="str">
        <x:v>JMT101_DOM</x:v>
      </x:c>
      <x:c r="D331" s="11" t="str">
        <x:v>2043-12-31</x:v>
      </x:c>
      <x:c r="E331" s="11" t="str">
        <x:v>CNY</x:v>
      </x:c>
      <x:c r="F331" s="11" t="n">
        <x:v>14.225872689938399</x:v>
      </x:c>
      <x:c r="G331" s="26" t="b">
        <x:v>1</x:v>
      </x:c>
      <x:c r="H331" s="16" t="n">
        <x:v>0.08000000000000002</x:v>
      </x:c>
      <x:c r="I331" s="16" t="n">
        <x:v>0.12</x:v>
      </x:c>
      <x:c r="J331" s="16" t="n">
        <x:v>0.24</x:v>
      </x:c>
      <x:c r="K331" s="11" t="n">
        <x:f>CHOOSE('假设'!$B$3,H331,I331,J331)</x:f>
        <x:v>0.12</x:v>
      </x:c>
      <x:c r="L331" s="11" t="n">
        <x:f>K331*'管线假设'!E83*'管线假设'!F83*'管线假设'!G83*IF(E331="USD",'管线假设'!I83,1)-AM331</x:f>
        <x:v>0.012636</x:v>
      </x:c>
      <x:c r="M331" s="11" t="n">
        <x:f>'管线假设'!H83</x:f>
        <x:v>0.13</x:v>
      </x:c>
      <x:c r="N331" s="11" t="n">
        <x:f>IF(G331,L331*AN331/(1+M331)^F331,0)</x:f>
        <x:v>0.0022208664206989125</x:v>
      </x:c>
      <x:c r="AJ331" t="n">
        <x:v>0</x:v>
      </x:c>
      <x:c r="AK331" t="n">
        <x:v>0</x:v>
      </x:c>
      <x:c r="AL331" t="n">
        <x:v>0</x:v>
      </x:c>
      <x:c r="AM331" t="n">
        <x:f>CHOOSE('假设'!$B$3,AJ331,AK331,AL331)</x:f>
        <x:v>0</x:v>
      </x:c>
      <x:c r="AN331" t="n">
        <x:v>1</x:v>
      </x:c>
    </x:row>
    <x:row r="332" ht="23" customHeight="1">
      <x:c r="A332" s="11" t="str">
        <x:v>01093.HK</x:v>
      </x:c>
      <x:c r="B332" s="11" t="str">
        <x:v>三年</x:v>
      </x:c>
      <x:c r="C332" s="11" t="str">
        <x:v>KN026_HB_INCREMENT_DOM</x:v>
      </x:c>
      <x:c r="D332" s="11" t="str">
        <x:v>2027-12-31</x:v>
      </x:c>
      <x:c r="E332" s="11" t="str">
        <x:v>CNY</x:v>
      </x:c>
      <x:c r="F332" s="11" t="n">
        <x:v>-1.7741273100616017</x:v>
      </x:c>
      <x:c r="G332" s="26" t="b">
        <x:v>0</x:v>
      </x:c>
      <x:c r="H332" s="16" t="n">
        <x:v>0</x:v>
      </x:c>
      <x:c r="I332" s="16" t="n">
        <x:v>0.28</x:v>
      </x:c>
      <x:c r="J332" s="16" t="n">
        <x:v>0.48</x:v>
      </x:c>
      <x:c r="K332" s="11" t="n">
        <x:f>CHOOSE('假设'!$B$3,H332,I332,J332)</x:f>
        <x:v>0.28</x:v>
      </x:c>
      <x:c r="L332" s="11" t="n">
        <x:f>K332*'管线假设'!E87*'管线假设'!F87*'管线假设'!G87*IF(E332="USD",'管线假设'!I87,1)-AM332</x:f>
        <x:v>0.028224</x:v>
      </x:c>
      <x:c r="M332" s="11" t="n">
        <x:f>'管线假设'!H87</x:f>
        <x:v>0.13</x:v>
      </x:c>
      <x:c r="N332" s="11" t="n">
        <x:f>IF(G332,L332*AN332/(1+M332)^F332,0)</x:f>
        <x:v>0</x:v>
      </x:c>
      <x:c r="AJ332" t="n">
        <x:v>0</x:v>
      </x:c>
      <x:c r="AK332" t="n">
        <x:v>0</x:v>
      </x:c>
      <x:c r="AL332" t="n">
        <x:v>0</x:v>
      </x:c>
      <x:c r="AM332" t="n">
        <x:f>CHOOSE('假设'!$B$3,AJ332,AK332,AL332)</x:f>
        <x:v>0</x:v>
      </x:c>
      <x:c r="AN332" t="n">
        <x:v>1</x:v>
      </x:c>
    </x:row>
    <x:row r="333" ht="23" customHeight="1">
      <x:c r="A333" s="11" t="str">
        <x:v>01093.HK</x:v>
      </x:c>
      <x:c r="B333" s="11" t="str">
        <x:v>三年</x:v>
      </x:c>
      <x:c r="C333" s="11" t="str">
        <x:v>KN026_HB_INCREMENT_DOM</x:v>
      </x:c>
      <x:c r="D333" s="11" t="str">
        <x:v>2028-12-31</x:v>
      </x:c>
      <x:c r="E333" s="11" t="str">
        <x:v>CNY</x:v>
      </x:c>
      <x:c r="F333" s="11" t="n">
        <x:v>-0.7720739219712526</x:v>
      </x:c>
      <x:c r="G333" s="26" t="b">
        <x:v>0</x:v>
      </x:c>
      <x:c r="H333" s="16" t="n">
        <x:v>0</x:v>
      </x:c>
      <x:c r="I333" s="16" t="n">
        <x:v>0.875</x:v>
      </x:c>
      <x:c r="J333" s="16" t="n">
        <x:v>1.5</x:v>
      </x:c>
      <x:c r="K333" s="11" t="n">
        <x:f>CHOOSE('假设'!$B$3,H333,I333,J333)</x:f>
        <x:v>0.875</x:v>
      </x:c>
      <x:c r="L333" s="11" t="n">
        <x:f>K333*'管线假设'!E87*'管线假设'!F87*'管线假设'!G87*IF(E333="USD",'管线假设'!I87,1)-AM333</x:f>
        <x:v>0.08819999999999999</x:v>
      </x:c>
      <x:c r="M333" s="11" t="n">
        <x:f>'管线假设'!H87</x:f>
        <x:v>0.13</x:v>
      </x:c>
      <x:c r="N333" s="11" t="n">
        <x:f>IF(G333,L333*AN333/(1+M333)^F333,0)</x:f>
        <x:v>0</x:v>
      </x:c>
      <x:c r="AJ333" t="n">
        <x:v>0</x:v>
      </x:c>
      <x:c r="AK333" t="n">
        <x:v>0</x:v>
      </x:c>
      <x:c r="AL333" t="n">
        <x:v>0</x:v>
      </x:c>
      <x:c r="AM333" t="n">
        <x:f>CHOOSE('假设'!$B$3,AJ333,AK333,AL333)</x:f>
        <x:v>0</x:v>
      </x:c>
      <x:c r="AN333" t="n">
        <x:v>1</x:v>
      </x:c>
    </x:row>
    <x:row r="334" ht="23" customHeight="1">
      <x:c r="A334" s="11" t="str">
        <x:v>01093.HK</x:v>
      </x:c>
      <x:c r="B334" s="11" t="str">
        <x:v>三年</x:v>
      </x:c>
      <x:c r="C334" s="11" t="str">
        <x:v>KN026_HB_INCREMENT_DOM</x:v>
      </x:c>
      <x:c r="D334" s="11" t="str">
        <x:v>2029-12-31</x:v>
      </x:c>
      <x:c r="E334" s="11" t="str">
        <x:v>CNY</x:v>
      </x:c>
      <x:c r="F334" s="11" t="n">
        <x:v>0.2272416153319644</x:v>
      </x:c>
      <x:c r="G334" s="26" t="b">
        <x:v>1</x:v>
      </x:c>
      <x:c r="H334" s="16" t="n">
        <x:v>0.10400000000000001</x:v>
      </x:c>
      <x:c r="I334" s="16" t="n">
        <x:v>1.575</x:v>
      </x:c>
      <x:c r="J334" s="16" t="n">
        <x:v>2.7</x:v>
      </x:c>
      <x:c r="K334" s="11" t="n">
        <x:f>CHOOSE('假设'!$B$3,H334,I334,J334)</x:f>
        <x:v>1.575</x:v>
      </x:c>
      <x:c r="L334" s="11" t="n">
        <x:f>K334*'管线假设'!E87*'管线假设'!F87*'管线假设'!G87*IF(E334="USD",'管线假设'!I87,1)-AM334</x:f>
        <x:v>0.15875999999999998</x:v>
      </x:c>
      <x:c r="M334" s="11" t="n">
        <x:f>'管线假设'!H87</x:f>
        <x:v>0.13</x:v>
      </x:c>
      <x:c r="N334" s="11" t="n">
        <x:f>IF(G334,L334*AN334/(1+M334)^F334,0)</x:f>
        <x:v>0.1544114349850876</x:v>
      </x:c>
      <x:c r="AJ334" t="n">
        <x:v>0</x:v>
      </x:c>
      <x:c r="AK334" t="n">
        <x:v>0</x:v>
      </x:c>
      <x:c r="AL334" t="n">
        <x:v>0</x:v>
      </x:c>
      <x:c r="AM334" t="n">
        <x:f>CHOOSE('假设'!$B$3,AJ334,AK334,AL334)</x:f>
        <x:v>0</x:v>
      </x:c>
      <x:c r="AN334" t="n">
        <x:v>1</x:v>
      </x:c>
    </x:row>
    <x:row r="335" ht="23" customHeight="1">
      <x:c r="A335" s="11" t="str">
        <x:v>01093.HK</x:v>
      </x:c>
      <x:c r="B335" s="11" t="str">
        <x:v>三年</x:v>
      </x:c>
      <x:c r="C335" s="11" t="str">
        <x:v>KN026_HB_INCREMENT_DOM</x:v>
      </x:c>
      <x:c r="D335" s="11" t="str">
        <x:v>2030-12-31</x:v>
      </x:c>
      <x:c r="E335" s="11" t="str">
        <x:v>CNY</x:v>
      </x:c>
      <x:c r="F335" s="11" t="n">
        <x:v>1.2265571526351813</x:v>
      </x:c>
      <x:c r="G335" s="26" t="b">
        <x:v>1</x:v>
      </x:c>
      <x:c r="H335" s="16" t="n">
        <x:v>0.325</x:v>
      </x:c>
      <x:c r="I335" s="16" t="n">
        <x:v>2.275</x:v>
      </x:c>
      <x:c r="J335" s="16" t="n">
        <x:v>3.9000000000000004</x:v>
      </x:c>
      <x:c r="K335" s="11" t="n">
        <x:f>CHOOSE('假设'!$B$3,H335,I335,J335)</x:f>
        <x:v>2.275</x:v>
      </x:c>
      <x:c r="L335" s="11" t="n">
        <x:f>K335*'管线假设'!E87*'管线假设'!F87*'管线假设'!G87*IF(E335="USD",'管线假设'!I87,1)-AM335</x:f>
        <x:v>0.22931999999999997</x:v>
      </x:c>
      <x:c r="M335" s="11" t="n">
        <x:f>'管线假设'!H87</x:f>
        <x:v>0.13</x:v>
      </x:c>
      <x:c r="N335" s="11" t="n">
        <x:f>IF(G335,L335*AN335/(1+M335)^F335,0)</x:f>
        <x:v>0.19739592757039875</x:v>
      </x:c>
      <x:c r="AJ335" t="n">
        <x:v>0</x:v>
      </x:c>
      <x:c r="AK335" t="n">
        <x:v>0</x:v>
      </x:c>
      <x:c r="AL335" t="n">
        <x:v>0</x:v>
      </x:c>
      <x:c r="AM335" t="n">
        <x:f>CHOOSE('假设'!$B$3,AJ335,AK335,AL335)</x:f>
        <x:v>0</x:v>
      </x:c>
      <x:c r="AN335" t="n">
        <x:v>1</x:v>
      </x:c>
    </x:row>
    <x:row r="336" ht="23" customHeight="1">
      <x:c r="A336" s="11" t="str">
        <x:v>01093.HK</x:v>
      </x:c>
      <x:c r="B336" s="11" t="str">
        <x:v>三年</x:v>
      </x:c>
      <x:c r="C336" s="11" t="str">
        <x:v>KN026_HB_INCREMENT_DOM</x:v>
      </x:c>
      <x:c r="D336" s="11" t="str">
        <x:v>2031-12-31</x:v>
      </x:c>
      <x:c r="E336" s="11" t="str">
        <x:v>CNY</x:v>
      </x:c>
      <x:c r="F336" s="11" t="n">
        <x:v>2.2258726899383983</x:v>
      </x:c>
      <x:c r="G336" s="26" t="b">
        <x:v>1</x:v>
      </x:c>
      <x:c r="H336" s="16" t="n">
        <x:v>0.5850000000000001</x:v>
      </x:c>
      <x:c r="I336" s="16" t="n">
        <x:v>2.975</x:v>
      </x:c>
      <x:c r="J336" s="16" t="n">
        <x:v>5.1</x:v>
      </x:c>
      <x:c r="K336" s="11" t="n">
        <x:f>CHOOSE('假设'!$B$3,H336,I336,J336)</x:f>
        <x:v>2.975</x:v>
      </x:c>
      <x:c r="L336" s="11" t="n">
        <x:f>K336*'管线假设'!E87*'管线假设'!F87*'管线假设'!G87*IF(E336="USD",'管线假设'!I87,1)-AM336</x:f>
        <x:v>0.29988</x:v>
      </x:c>
      <x:c r="M336" s="11" t="n">
        <x:f>'管线假设'!H87</x:f>
        <x:v>0.13</x:v>
      </x:c>
      <x:c r="N336" s="11" t="n">
        <x:f>IF(G336,L336*AN336/(1+M336)^F336,0)</x:f>
        <x:v>0.22845551387080415</x:v>
      </x:c>
      <x:c r="AJ336" t="n">
        <x:v>0</x:v>
      </x:c>
      <x:c r="AK336" t="n">
        <x:v>0</x:v>
      </x:c>
      <x:c r="AL336" t="n">
        <x:v>0</x:v>
      </x:c>
      <x:c r="AM336" t="n">
        <x:f>CHOOSE('假设'!$B$3,AJ336,AK336,AL336)</x:f>
        <x:v>0</x:v>
      </x:c>
      <x:c r="AN336" t="n">
        <x:v>1</x:v>
      </x:c>
    </x:row>
    <x:row r="337" ht="23" customHeight="1">
      <x:c r="A337" s="11" t="str">
        <x:v>01093.HK</x:v>
      </x:c>
      <x:c r="B337" s="11" t="str">
        <x:v>三年</x:v>
      </x:c>
      <x:c r="C337" s="11" t="str">
        <x:v>KN026_HB_INCREMENT_DOM</x:v>
      </x:c>
      <x:c r="D337" s="11" t="str">
        <x:v>2032-12-31</x:v>
      </x:c>
      <x:c r="E337" s="11" t="str">
        <x:v>CNY</x:v>
      </x:c>
      <x:c r="F337" s="11" t="n">
        <x:v>3.2279260780287475</x:v>
      </x:c>
      <x:c r="G337" s="26" t="b">
        <x:v>1</x:v>
      </x:c>
      <x:c r="H337" s="16" t="n">
        <x:v>0.8450000000000001</x:v>
      </x:c>
      <x:c r="I337" s="16" t="n">
        <x:v>3.5</x:v>
      </x:c>
      <x:c r="J337" s="16" t="n">
        <x:v>6</x:v>
      </x:c>
      <x:c r="K337" s="11" t="n">
        <x:f>CHOOSE('假设'!$B$3,H337,I337,J337)</x:f>
        <x:v>3.5</x:v>
      </x:c>
      <x:c r="L337" s="11" t="n">
        <x:f>K337*'管线假设'!E87*'管线假设'!F87*'管线假设'!G87*IF(E337="USD",'管线假设'!I87,1)-AM337</x:f>
        <x:v>0.35279999999999995</x:v>
      </x:c>
      <x:c r="M337" s="11" t="n">
        <x:f>'管线假设'!H87</x:f>
        <x:v>0.13</x:v>
      </x:c>
      <x:c r="N337" s="11" t="n">
        <x:f>IF(G337,L337*AN337/(1+M337)^F337,0)</x:f>
        <x:v>0.2377909295322688</x:v>
      </x:c>
      <x:c r="AJ337" t="n">
        <x:v>0</x:v>
      </x:c>
      <x:c r="AK337" t="n">
        <x:v>0</x:v>
      </x:c>
      <x:c r="AL337" t="n">
        <x:v>0</x:v>
      </x:c>
      <x:c r="AM337" t="n">
        <x:f>CHOOSE('假设'!$B$3,AJ337,AK337,AL337)</x:f>
        <x:v>0</x:v>
      </x:c>
      <x:c r="AN337" t="n">
        <x:v>1</x:v>
      </x:c>
    </x:row>
    <x:row r="338" ht="23" customHeight="1">
      <x:c r="A338" s="11" t="str">
        <x:v>01093.HK</x:v>
      </x:c>
      <x:c r="B338" s="11" t="str">
        <x:v>三年</x:v>
      </x:c>
      <x:c r="C338" s="11" t="str">
        <x:v>KN026_HB_INCREMENT_DOM</x:v>
      </x:c>
      <x:c r="D338" s="11" t="str">
        <x:v>2033-12-31</x:v>
      </x:c>
      <x:c r="E338" s="11" t="str">
        <x:v>CNY</x:v>
      </x:c>
      <x:c r="F338" s="11" t="n">
        <x:v>4.227241615331964</x:v>
      </x:c>
      <x:c r="G338" s="26" t="b">
        <x:v>1</x:v>
      </x:c>
      <x:c r="H338" s="16" t="n">
        <x:v>1.105</x:v>
      </x:c>
      <x:c r="I338" s="16" t="n">
        <x:v>3.5</x:v>
      </x:c>
      <x:c r="J338" s="16" t="n">
        <x:v>6</x:v>
      </x:c>
      <x:c r="K338" s="11" t="n">
        <x:f>CHOOSE('假设'!$B$3,H338,I338,J338)</x:f>
        <x:v>3.5</x:v>
      </x:c>
      <x:c r="L338" s="11" t="n">
        <x:f>K338*'管线假设'!E87*'管线假设'!F87*'管线假设'!G87*IF(E338="USD",'管线假设'!I87,1)-AM338</x:f>
        <x:v>0.35279999999999995</x:v>
      </x:c>
      <x:c r="M338" s="11" t="n">
        <x:f>'管线假设'!H87</x:f>
        <x:v>0.13</x:v>
      </x:c>
      <x:c r="N338" s="11" t="n">
        <x:f>IF(G338,L338*AN338/(1+M338)^F338,0)</x:f>
        <x:v>0.21045205520933494</x:v>
      </x:c>
      <x:c r="AJ338" t="n">
        <x:v>0</x:v>
      </x:c>
      <x:c r="AK338" t="n">
        <x:v>0</x:v>
      </x:c>
      <x:c r="AL338" t="n">
        <x:v>0</x:v>
      </x:c>
      <x:c r="AM338" t="n">
        <x:f>CHOOSE('假设'!$B$3,AJ338,AK338,AL338)</x:f>
        <x:v>0</x:v>
      </x:c>
      <x:c r="AN338" t="n">
        <x:v>1</x:v>
      </x:c>
    </x:row>
    <x:row r="339" ht="23" customHeight="1">
      <x:c r="A339" s="11" t="str">
        <x:v>01093.HK</x:v>
      </x:c>
      <x:c r="B339" s="11" t="str">
        <x:v>三年</x:v>
      </x:c>
      <x:c r="C339" s="11" t="str">
        <x:v>KN026_HB_INCREMENT_DOM</x:v>
      </x:c>
      <x:c r="D339" s="11" t="str">
        <x:v>2034-12-31</x:v>
      </x:c>
      <x:c r="E339" s="11" t="str">
        <x:v>CNY</x:v>
      </x:c>
      <x:c r="F339" s="11" t="n">
        <x:v>5.2265571526351815</x:v>
      </x:c>
      <x:c r="G339" s="26" t="b">
        <x:v>1</x:v>
      </x:c>
      <x:c r="H339" s="16" t="n">
        <x:v>1.3</x:v>
      </x:c>
      <x:c r="I339" s="16" t="n">
        <x:v>3.3249999999999997</x:v>
      </x:c>
      <x:c r="J339" s="16" t="n">
        <x:v>5.699999999999999</x:v>
      </x:c>
      <x:c r="K339" s="11" t="n">
        <x:f>CHOOSE('假设'!$B$3,H339,I339,J339)</x:f>
        <x:v>3.3249999999999997</x:v>
      </x:c>
      <x:c r="L339" s="11" t="n">
        <x:f>K339*'管线假设'!E87*'管线假设'!F87*'管线假设'!G87*IF(E339="USD",'管线假设'!I87,1)-AM339</x:f>
        <x:v>0.33515999999999996</x:v>
      </x:c>
      <x:c r="M339" s="11" t="n">
        <x:f>'管线假设'!H87</x:f>
        <x:v>0.13</x:v>
      </x:c>
      <x:c r="N339" s="11" t="n">
        <x:f>IF(G339,L339*AN339/(1+M339)^F339,0)</x:f>
        <x:v>0.1769435202911369</x:v>
      </x:c>
      <x:c r="AJ339" t="n">
        <x:v>0</x:v>
      </x:c>
      <x:c r="AK339" t="n">
        <x:v>0</x:v>
      </x:c>
      <x:c r="AL339" t="n">
        <x:v>0</x:v>
      </x:c>
      <x:c r="AM339" t="n">
        <x:f>CHOOSE('假设'!$B$3,AJ339,AK339,AL339)</x:f>
        <x:v>0</x:v>
      </x:c>
      <x:c r="AN339" t="n">
        <x:v>1</x:v>
      </x:c>
    </x:row>
    <x:row r="340" ht="23" customHeight="1">
      <x:c r="A340" s="11" t="str">
        <x:v>01093.HK</x:v>
      </x:c>
      <x:c r="B340" s="11" t="str">
        <x:v>三年</x:v>
      </x:c>
      <x:c r="C340" s="11" t="str">
        <x:v>KN026_HB_INCREMENT_DOM</x:v>
      </x:c>
      <x:c r="D340" s="11" t="str">
        <x:v>2035-12-31</x:v>
      </x:c>
      <x:c r="E340" s="11" t="str">
        <x:v>CNY</x:v>
      </x:c>
      <x:c r="F340" s="11" t="n">
        <x:v>6.225872689938399</x:v>
      </x:c>
      <x:c r="G340" s="26" t="b">
        <x:v>1</x:v>
      </x:c>
      <x:c r="H340" s="16" t="n">
        <x:v>1.3</x:v>
      </x:c>
      <x:c r="I340" s="16" t="n">
        <x:v>3.08</x:v>
      </x:c>
      <x:c r="J340" s="16" t="n">
        <x:v>5.28</x:v>
      </x:c>
      <x:c r="K340" s="11" t="n">
        <x:f>CHOOSE('假设'!$B$3,H340,I340,J340)</x:f>
        <x:v>3.08</x:v>
      </x:c>
      <x:c r="L340" s="11" t="n">
        <x:f>K340*'管线假设'!E87*'管线假设'!F87*'管线假设'!G87*IF(E340="USD",'管线假设'!I87,1)-AM340</x:f>
        <x:v>0.31046399999999996</x:v>
      </x:c>
      <x:c r="M340" s="11" t="n">
        <x:f>'管线假设'!H87</x:f>
        <x:v>0.13</x:v>
      </x:c>
      <x:c r="N340" s="11" t="n">
        <x:f>IF(G340,L340*AN340/(1+M340)^F340,0)</x:f>
        <x:v>0.14506131727852967</x:v>
      </x:c>
      <x:c r="AJ340" t="n">
        <x:v>0</x:v>
      </x:c>
      <x:c r="AK340" t="n">
        <x:v>0</x:v>
      </x:c>
      <x:c r="AL340" t="n">
        <x:v>0</x:v>
      </x:c>
      <x:c r="AM340" t="n">
        <x:f>CHOOSE('假设'!$B$3,AJ340,AK340,AL340)</x:f>
        <x:v>0</x:v>
      </x:c>
      <x:c r="AN340" t="n">
        <x:v>1</x:v>
      </x:c>
    </x:row>
    <x:row r="341" ht="23" customHeight="1">
      <x:c r="A341" s="11" t="str">
        <x:v>01093.HK</x:v>
      </x:c>
      <x:c r="B341" s="11" t="str">
        <x:v>三年</x:v>
      </x:c>
      <x:c r="C341" s="11" t="str">
        <x:v>KN026_HB_INCREMENT_DOM</x:v>
      </x:c>
      <x:c r="D341" s="11" t="str">
        <x:v>2036-12-31</x:v>
      </x:c>
      <x:c r="E341" s="11" t="str">
        <x:v>CNY</x:v>
      </x:c>
      <x:c r="F341" s="11" t="n">
        <x:v>7.227926078028747</x:v>
      </x:c>
      <x:c r="G341" s="26" t="b">
        <x:v>1</x:v>
      </x:c>
      <x:c r="H341" s="16" t="n">
        <x:v>1.2349999999999999</x:v>
      </x:c>
      <x:c r="I341" s="16" t="n">
        <x:v>2.625</x:v>
      </x:c>
      <x:c r="J341" s="16" t="n">
        <x:v>4.5</x:v>
      </x:c>
      <x:c r="K341" s="11" t="n">
        <x:f>CHOOSE('假设'!$B$3,H341,I341,J341)</x:f>
        <x:v>2.625</x:v>
      </x:c>
      <x:c r="L341" s="11" t="n">
        <x:f>K341*'管线假设'!E87*'管线假设'!F87*'管线假设'!G87*IF(E341="USD",'管线假设'!I87,1)-AM341</x:f>
        <x:v>0.2646</x:v>
      </x:c>
      <x:c r="M341" s="11" t="n">
        <x:f>'管线假设'!H87</x:f>
        <x:v>0.13</x:v>
      </x:c>
      <x:c r="N341" s="11" t="n">
        <x:f>IF(G341,L341*AN341/(1+M341)^F341,0)</x:f>
        <x:v>0.10938122276582062</x:v>
      </x:c>
      <x:c r="AJ341" t="n">
        <x:v>0</x:v>
      </x:c>
      <x:c r="AK341" t="n">
        <x:v>0</x:v>
      </x:c>
      <x:c r="AL341" t="n">
        <x:v>0</x:v>
      </x:c>
      <x:c r="AM341" t="n">
        <x:f>CHOOSE('假设'!$B$3,AJ341,AK341,AL341)</x:f>
        <x:v>0</x:v>
      </x:c>
      <x:c r="AN341" t="n">
        <x:v>1</x:v>
      </x:c>
    </x:row>
    <x:row r="342" ht="23" customHeight="1">
      <x:c r="A342" s="11" t="str">
        <x:v>01093.HK</x:v>
      </x:c>
      <x:c r="B342" s="11" t="str">
        <x:v>三年</x:v>
      </x:c>
      <x:c r="C342" s="11" t="str">
        <x:v>KN026_HB_INCREMENT_DOM</x:v>
      </x:c>
      <x:c r="D342" s="11" t="str">
        <x:v>2037-12-31</x:v>
      </x:c>
      <x:c r="E342" s="11" t="str">
        <x:v>CNY</x:v>
      </x:c>
      <x:c r="F342" s="11" t="n">
        <x:v>8.227241615331964</x:v>
      </x:c>
      <x:c r="G342" s="26" t="b">
        <x:v>1</x:v>
      </x:c>
      <x:c r="H342" s="16" t="n">
        <x:v>1.1440000000000001</x:v>
      </x:c>
      <x:c r="I342" s="16" t="n">
        <x:v>2.1</x:v>
      </x:c>
      <x:c r="J342" s="16" t="n">
        <x:v>3.5999999999999996</x:v>
      </x:c>
      <x:c r="K342" s="11" t="n">
        <x:f>CHOOSE('假设'!$B$3,H342,I342,J342)</x:f>
        <x:v>2.1</x:v>
      </x:c>
      <x:c r="L342" s="11" t="n">
        <x:f>K342*'管线假设'!E87*'管线假设'!F87*'管线假设'!G87*IF(E342="USD",'管线假设'!I87,1)-AM342</x:f>
        <x:v>0.21168</x:v>
      </x:c>
      <x:c r="M342" s="11" t="n">
        <x:f>'管线假设'!H87</x:f>
        <x:v>0.13</x:v>
      </x:c>
      <x:c r="N342" s="11" t="n">
        <x:f>IF(G342,L342*AN342/(1+M342)^F342,0)</x:f>
        <x:v>0.07744451204309957</x:v>
      </x:c>
      <x:c r="AJ342" t="n">
        <x:v>0</x:v>
      </x:c>
      <x:c r="AK342" t="n">
        <x:v>0</x:v>
      </x:c>
      <x:c r="AL342" t="n">
        <x:v>0</x:v>
      </x:c>
      <x:c r="AM342" t="n">
        <x:f>CHOOSE('假设'!$B$3,AJ342,AK342,AL342)</x:f>
        <x:v>0</x:v>
      </x:c>
      <x:c r="AN342" t="n">
        <x:v>1</x:v>
      </x:c>
    </x:row>
    <x:row r="343" ht="23" customHeight="1">
      <x:c r="A343" s="11" t="str">
        <x:v>01093.HK</x:v>
      </x:c>
      <x:c r="B343" s="11" t="str">
        <x:v>三年</x:v>
      </x:c>
      <x:c r="C343" s="11" t="str">
        <x:v>KN026_HB_INCREMENT_DOM</x:v>
      </x:c>
      <x:c r="D343" s="11" t="str">
        <x:v>2038-12-31</x:v>
      </x:c>
      <x:c r="E343" s="11" t="str">
        <x:v>CNY</x:v>
      </x:c>
      <x:c r="F343" s="11" t="n">
        <x:v>9.22655715263518</x:v>
      </x:c>
      <x:c r="G343" s="26" t="b">
        <x:v>1</x:v>
      </x:c>
      <x:c r="H343" s="16" t="n">
        <x:v>0.9750000000000001</x:v>
      </x:c>
      <x:c r="I343" s="16" t="n">
        <x:v>1.575</x:v>
      </x:c>
      <x:c r="J343" s="16" t="n">
        <x:v>2.7</x:v>
      </x:c>
      <x:c r="K343" s="11" t="n">
        <x:f>CHOOSE('假设'!$B$3,H343,I343,J343)</x:f>
        <x:v>1.575</x:v>
      </x:c>
      <x:c r="L343" s="11" t="n">
        <x:f>K343*'管线假设'!E87*'管线假设'!F87*'管线假设'!G87*IF(E343="USD",'管线假设'!I87,1)-AM343</x:f>
        <x:v>0.15875999999999998</x:v>
      </x:c>
      <x:c r="M343" s="11" t="n">
        <x:f>'管线假设'!H87</x:f>
        <x:v>0.13</x:v>
      </x:c>
      <x:c r="N343" s="11" t="n">
        <x:f>IF(G343,L343*AN343/(1+M343)^F343,0)</x:f>
        <x:v>0.051405524874980575</x:v>
      </x:c>
      <x:c r="AJ343" t="n">
        <x:v>0</x:v>
      </x:c>
      <x:c r="AK343" t="n">
        <x:v>0</x:v>
      </x:c>
      <x:c r="AL343" t="n">
        <x:v>0</x:v>
      </x:c>
      <x:c r="AM343" t="n">
        <x:f>CHOOSE('假设'!$B$3,AJ343,AK343,AL343)</x:f>
        <x:v>0</x:v>
      </x:c>
      <x:c r="AN343" t="n">
        <x:v>1</x:v>
      </x:c>
    </x:row>
    <x:row r="344" ht="23" customHeight="1">
      <x:c r="A344" s="11" t="str">
        <x:v>01093.HK</x:v>
      </x:c>
      <x:c r="B344" s="11" t="str">
        <x:v>三年</x:v>
      </x:c>
      <x:c r="C344" s="11" t="str">
        <x:v>KN026_HB_INCREMENT_DOM</x:v>
      </x:c>
      <x:c r="D344" s="11" t="str">
        <x:v>2039-12-31</x:v>
      </x:c>
      <x:c r="E344" s="11" t="str">
        <x:v>CNY</x:v>
      </x:c>
      <x:c r="F344" s="11" t="n">
        <x:v>10.225872689938399</x:v>
      </x:c>
      <x:c r="G344" s="26" t="b">
        <x:v>1</x:v>
      </x:c>
      <x:c r="H344" s="16" t="n">
        <x:v>0.78</x:v>
      </x:c>
      <x:c r="I344" s="16" t="n">
        <x:v>1.05</x:v>
      </x:c>
      <x:c r="J344" s="16" t="n">
        <x:v>1.7999999999999998</x:v>
      </x:c>
      <x:c r="K344" s="11" t="n">
        <x:f>CHOOSE('假设'!$B$3,H344,I344,J344)</x:f>
        <x:v>1.05</x:v>
      </x:c>
      <x:c r="L344" s="11" t="n">
        <x:f>K344*'管线假设'!E87*'管线假设'!F87*'管线假设'!G87*IF(E344="USD",'管线假设'!I87,1)-AM344</x:f>
        <x:v>0.10584</x:v>
      </x:c>
      <x:c r="M344" s="11" t="n">
        <x:f>'管线假设'!H87</x:f>
        <x:v>0.13</x:v>
      </x:c>
      <x:c r="N344" s="11" t="n">
        <x:f>IF(G344,L344*AN344/(1+M344)^F344,0)</x:f>
        <x:v>0.030330280414350763</x:v>
      </x:c>
      <x:c r="AJ344" t="n">
        <x:v>0</x:v>
      </x:c>
      <x:c r="AK344" t="n">
        <x:v>0</x:v>
      </x:c>
      <x:c r="AL344" t="n">
        <x:v>0</x:v>
      </x:c>
      <x:c r="AM344" t="n">
        <x:f>CHOOSE('假设'!$B$3,AJ344,AK344,AL344)</x:f>
        <x:v>0</x:v>
      </x:c>
      <x:c r="AN344" t="n">
        <x:v>1</x:v>
      </x:c>
    </x:row>
    <x:row r="345" ht="23" customHeight="1">
      <x:c r="A345" s="11" t="str">
        <x:v>01093.HK</x:v>
      </x:c>
      <x:c r="B345" s="11" t="str">
        <x:v>三年</x:v>
      </x:c>
      <x:c r="C345" s="11" t="str">
        <x:v>KN026_HB_INCREMENT_DOM</x:v>
      </x:c>
      <x:c r="D345" s="11" t="str">
        <x:v>2040-12-31</x:v>
      </x:c>
      <x:c r="E345" s="11" t="str">
        <x:v>CNY</x:v>
      </x:c>
      <x:c r="F345" s="11" t="n">
        <x:v>11.227926078028748</x:v>
      </x:c>
      <x:c r="G345" s="26" t="b">
        <x:v>1</x:v>
      </x:c>
      <x:c r="H345" s="16" t="n">
        <x:v>0.5850000000000001</x:v>
      </x:c>
      <x:c r="I345" s="16" t="n">
        <x:v>0.63</x:v>
      </x:c>
      <x:c r="J345" s="16" t="n">
        <x:v>1.08</x:v>
      </x:c>
      <x:c r="K345" s="11" t="n">
        <x:f>CHOOSE('假设'!$B$3,H345,I345,J345)</x:f>
        <x:v>0.63</x:v>
      </x:c>
      <x:c r="L345" s="11" t="n">
        <x:f>K345*'管线假设'!E87*'管线假设'!F87*'管线假设'!G87*IF(E345="USD",'管线假设'!I87,1)-AM345</x:f>
        <x:v>0.063504</x:v>
      </x:c>
      <x:c r="M345" s="11" t="n">
        <x:f>'管线假设'!H87</x:f>
        <x:v>0.13</x:v>
      </x:c>
      <x:c r="N345" s="11" t="n">
        <x:f>IF(G345,L345*AN345/(1+M345)^F345,0)</x:f>
        <x:v>0.01610053257089942</x:v>
      </x:c>
      <x:c r="AJ345" t="n">
        <x:v>0</x:v>
      </x:c>
      <x:c r="AK345" t="n">
        <x:v>0</x:v>
      </x:c>
      <x:c r="AL345" t="n">
        <x:v>0</x:v>
      </x:c>
      <x:c r="AM345" t="n">
        <x:f>CHOOSE('假设'!$B$3,AJ345,AK345,AL345)</x:f>
        <x:v>0</x:v>
      </x:c>
      <x:c r="AN345" t="n">
        <x:v>1</x:v>
      </x:c>
    </x:row>
    <x:row r="346" ht="23" customHeight="1">
      <x:c r="A346" s="11" t="str">
        <x:v>01093.HK</x:v>
      </x:c>
      <x:c r="B346" s="11" t="str">
        <x:v>三年</x:v>
      </x:c>
      <x:c r="C346" s="11" t="str">
        <x:v>KN026_HB_INCREMENT_DOM</x:v>
      </x:c>
      <x:c r="D346" s="11" t="str">
        <x:v>2041-12-31</x:v>
      </x:c>
      <x:c r="E346" s="11" t="str">
        <x:v>CNY</x:v>
      </x:c>
      <x:c r="F346" s="11" t="n">
        <x:v>12.227241615331964</x:v>
      </x:c>
      <x:c r="G346" s="26" t="b">
        <x:v>1</x:v>
      </x:c>
      <x:c r="H346" s="16" t="n">
        <x:v>0.39</x:v>
      </x:c>
      <x:c r="I346" s="16" t="n">
        <x:v>0.35000000000000003</x:v>
      </x:c>
      <x:c r="J346" s="16" t="n">
        <x:v>0.6000000000000001</x:v>
      </x:c>
      <x:c r="K346" s="11" t="n">
        <x:f>CHOOSE('假设'!$B$3,H346,I346,J346)</x:f>
        <x:v>0.35000000000000003</x:v>
      </x:c>
      <x:c r="L346" s="11" t="n">
        <x:f>K346*'管线假设'!E87*'管线假设'!F87*'管线假设'!G87*IF(E346="USD",'管线假设'!I87,1)-AM346</x:f>
        <x:v>0.03528</x:v>
      </x:c>
      <x:c r="M346" s="11" t="n">
        <x:f>'管线假设'!H87</x:f>
        <x:v>0.13</x:v>
      </x:c>
      <x:c r="N346" s="11" t="n">
        <x:f>IF(G346,L346*AN346/(1+M346)^F346,0)</x:f>
        <x:v>0.007916361598670667</x:v>
      </x:c>
      <x:c r="AJ346" t="n">
        <x:v>0</x:v>
      </x:c>
      <x:c r="AK346" t="n">
        <x:v>0</x:v>
      </x:c>
      <x:c r="AL346" t="n">
        <x:v>0</x:v>
      </x:c>
      <x:c r="AM346" t="n">
        <x:f>CHOOSE('假设'!$B$3,AJ346,AK346,AL346)</x:f>
        <x:v>0</x:v>
      </x:c>
      <x:c r="AN346" t="n">
        <x:v>1</x:v>
      </x:c>
    </x:row>
    <x:row r="347" ht="23" customHeight="1">
      <x:c r="A347" s="11" t="str">
        <x:v>01093.HK</x:v>
      </x:c>
      <x:c r="B347" s="11" t="str">
        <x:v>三年</x:v>
      </x:c>
      <x:c r="C347" s="11" t="str">
        <x:v>KN026_HB_INCREMENT_DOM</x:v>
      </x:c>
      <x:c r="D347" s="11" t="str">
        <x:v>2042-12-31</x:v>
      </x:c>
      <x:c r="E347" s="11" t="str">
        <x:v>CNY</x:v>
      </x:c>
      <x:c r="F347" s="11" t="n">
        <x:v>13.22655715263518</x:v>
      </x:c>
      <x:c r="G347" s="26" t="b">
        <x:v>1</x:v>
      </x:c>
      <x:c r="H347" s="16" t="n">
        <x:v>0.23399999999999999</x:v>
      </x:c>
      <x:c r="I347" s="16" t="n">
        <x:v>0.17500000000000002</x:v>
      </x:c>
      <x:c r="J347" s="16" t="n">
        <x:v>0.30000000000000004</x:v>
      </x:c>
      <x:c r="K347" s="11" t="n">
        <x:f>CHOOSE('假设'!$B$3,H347,I347,J347)</x:f>
        <x:v>0.17500000000000002</x:v>
      </x:c>
      <x:c r="L347" s="11" t="n">
        <x:f>K347*'管线假设'!E87*'管线假设'!F87*'管线假设'!G87*IF(E347="USD",'管线假设'!I87,1)-AM347</x:f>
        <x:v>0.01764</x:v>
      </x:c>
      <x:c r="M347" s="11" t="n">
        <x:f>'管线假设'!H87</x:f>
        <x:v>0.13</x:v>
      </x:c>
      <x:c r="N347" s="11" t="n">
        <x:f>IF(G347,L347*AN347/(1+M347)^F347,0)</x:f>
        <x:v>0.003503107901334849</x:v>
      </x:c>
      <x:c r="AJ347" t="n">
        <x:v>0</x:v>
      </x:c>
      <x:c r="AK347" t="n">
        <x:v>0</x:v>
      </x:c>
      <x:c r="AL347" t="n">
        <x:v>0</x:v>
      </x:c>
      <x:c r="AM347" t="n">
        <x:f>CHOOSE('假设'!$B$3,AJ347,AK347,AL347)</x:f>
        <x:v>0</x:v>
      </x:c>
      <x:c r="AN347" t="n">
        <x:v>1</x:v>
      </x:c>
    </x:row>
    <x:row r="348" ht="23" customHeight="1">
      <x:c r="A348" s="11" t="str">
        <x:v>01093.HK</x:v>
      </x:c>
      <x:c r="B348" s="11" t="str">
        <x:v>三年</x:v>
      </x:c>
      <x:c r="C348" s="11" t="str">
        <x:v>KN026_HB_INCREMENT_DOM</x:v>
      </x:c>
      <x:c r="D348" s="11" t="str">
        <x:v>2043-12-31</x:v>
      </x:c>
      <x:c r="E348" s="11" t="str">
        <x:v>CNY</x:v>
      </x:c>
      <x:c r="F348" s="11" t="n">
        <x:v>14.225872689938399</x:v>
      </x:c>
      <x:c r="G348" s="26" t="b">
        <x:v>1</x:v>
      </x:c>
      <x:c r="H348" s="16" t="n">
        <x:v>0.13</x:v>
      </x:c>
      <x:c r="I348" s="16" t="n">
        <x:v>0.17500000000000002</x:v>
      </x:c>
      <x:c r="J348" s="16" t="n">
        <x:v>0.30000000000000004</x:v>
      </x:c>
      <x:c r="K348" s="11" t="n">
        <x:f>CHOOSE('假设'!$B$3,H348,I348,J348)</x:f>
        <x:v>0.17500000000000002</x:v>
      </x:c>
      <x:c r="L348" s="11" t="n">
        <x:f>K348*'管线假设'!E87*'管线假设'!F87*'管线假设'!G87*IF(E348="USD",'管线假设'!I87,1)-AM348</x:f>
        <x:v>0.01764</x:v>
      </x:c>
      <x:c r="M348" s="11" t="n">
        <x:f>'管线假设'!H87</x:f>
        <x:v>0.13</x:v>
      </x:c>
      <x:c r="N348" s="11" t="n">
        <x:f>IF(G348,L348*AN348/(1+M348)^F348,0)</x:f>
        <x:v>0.003100354832314721</x:v>
      </x:c>
      <x:c r="AJ348" t="n">
        <x:v>0</x:v>
      </x:c>
      <x:c r="AK348" t="n">
        <x:v>0</x:v>
      </x:c>
      <x:c r="AL348" t="n">
        <x:v>0</x:v>
      </x:c>
      <x:c r="AM348" t="n">
        <x:f>CHOOSE('假设'!$B$3,AJ348,AK348,AL348)</x:f>
        <x:v>0</x:v>
      </x:c>
      <x:c r="AN348" t="n">
        <x:v>1</x:v>
      </x:c>
    </x:row>
    <x:row r="349" ht="23" customHeight="1">
      <x:c r="A349" s="11" t="str">
        <x:v>01093.HK</x:v>
      </x:c>
      <x:c r="B349" s="11" t="str">
        <x:v>三年</x:v>
      </x:c>
      <x:c r="C349" s="11" t="str">
        <x:v>TG103_DOM</x:v>
      </x:c>
      <x:c r="D349" s="11" t="str">
        <x:v>2027-12-31</x:v>
      </x:c>
      <x:c r="E349" s="11" t="str">
        <x:v>CNY</x:v>
      </x:c>
      <x:c r="F349" s="11" t="n">
        <x:v>-1.7741273100616017</x:v>
      </x:c>
      <x:c r="G349" s="26" t="b">
        <x:v>0</x:v>
      </x:c>
      <x:c r="H349" s="16" t="n">
        <x:v>0</x:v>
      </x:c>
      <x:c r="I349" s="16" t="n">
        <x:v>0.12</x:v>
      </x:c>
      <x:c r="J349" s="16" t="n">
        <x:v>0.256</x:v>
      </x:c>
      <x:c r="K349" s="11" t="n">
        <x:f>CHOOSE('假设'!$B$3,H349,I349,J349)</x:f>
        <x:v>0.12</x:v>
      </x:c>
      <x:c r="L349" s="11" t="n">
        <x:f>K349*'管线假设'!E91*'管线假设'!F91*'管线假设'!G91*IF(E349="USD",'管线假设'!I91,1)-AM349</x:f>
        <x:v>0.0132192</x:v>
      </x:c>
      <x:c r="M349" s="11" t="n">
        <x:f>'管线假设'!H91</x:f>
        <x:v>0.13</x:v>
      </x:c>
      <x:c r="N349" s="11" t="n">
        <x:f>IF(G349,L349*AN349/(1+M349)^F349,0)</x:f>
        <x:v>0</x:v>
      </x:c>
      <x:c r="AJ349" t="n">
        <x:v>0</x:v>
      </x:c>
      <x:c r="AK349" t="n">
        <x:v>0</x:v>
      </x:c>
      <x:c r="AL349" t="n">
        <x:v>0</x:v>
      </x:c>
      <x:c r="AM349" t="n">
        <x:f>CHOOSE('假设'!$B$3,AJ349,AK349,AL349)</x:f>
        <x:v>0</x:v>
      </x:c>
      <x:c r="AN349" t="n">
        <x:v>1</x:v>
      </x:c>
    </x:row>
    <x:row r="350" ht="23" customHeight="1">
      <x:c r="A350" s="11" t="str">
        <x:v>01093.HK</x:v>
      </x:c>
      <x:c r="B350" s="11" t="str">
        <x:v>三年</x:v>
      </x:c>
      <x:c r="C350" s="11" t="str">
        <x:v>TG103_DOM</x:v>
      </x:c>
      <x:c r="D350" s="11" t="str">
        <x:v>2028-12-31</x:v>
      </x:c>
      <x:c r="E350" s="11" t="str">
        <x:v>CNY</x:v>
      </x:c>
      <x:c r="F350" s="11" t="n">
        <x:v>-0.7720739219712526</x:v>
      </x:c>
      <x:c r="G350" s="26" t="b">
        <x:v>0</x:v>
      </x:c>
      <x:c r="H350" s="16" t="n">
        <x:v>0</x:v>
      </x:c>
      <x:c r="I350" s="16" t="n">
        <x:v>0.375</x:v>
      </x:c>
      <x:c r="J350" s="16" t="n">
        <x:v>0.8</x:v>
      </x:c>
      <x:c r="K350" s="11" t="n">
        <x:f>CHOOSE('假设'!$B$3,H350,I350,J350)</x:f>
        <x:v>0.375</x:v>
      </x:c>
      <x:c r="L350" s="11" t="n">
        <x:f>K350*'管线假设'!E91*'管线假设'!F91*'管线假设'!G91*IF(E350="USD",'管线假设'!I91,1)-AM350</x:f>
        <x:v>0.041310000000000006</x:v>
      </x:c>
      <x:c r="M350" s="11" t="n">
        <x:f>'管线假设'!H91</x:f>
        <x:v>0.13</x:v>
      </x:c>
      <x:c r="N350" s="11" t="n">
        <x:f>IF(G350,L350*AN350/(1+M350)^F350,0)</x:f>
        <x:v>0</x:v>
      </x:c>
      <x:c r="AJ350" t="n">
        <x:v>0</x:v>
      </x:c>
      <x:c r="AK350" t="n">
        <x:v>0</x:v>
      </x:c>
      <x:c r="AL350" t="n">
        <x:v>0</x:v>
      </x:c>
      <x:c r="AM350" t="n">
        <x:f>CHOOSE('假设'!$B$3,AJ350,AK350,AL350)</x:f>
        <x:v>0</x:v>
      </x:c>
      <x:c r="AN350" t="n">
        <x:v>1</x:v>
      </x:c>
    </x:row>
    <x:row r="351" ht="23" customHeight="1">
      <x:c r="A351" s="11" t="str">
        <x:v>01093.HK</x:v>
      </x:c>
      <x:c r="B351" s="11" t="str">
        <x:v>三年</x:v>
      </x:c>
      <x:c r="C351" s="11" t="str">
        <x:v>TG103_DOM</x:v>
      </x:c>
      <x:c r="D351" s="11" t="str">
        <x:v>2029-12-31</x:v>
      </x:c>
      <x:c r="E351" s="11" t="str">
        <x:v>CNY</x:v>
      </x:c>
      <x:c r="F351" s="11" t="n">
        <x:v>0.2272416153319644</x:v>
      </x:c>
      <x:c r="G351" s="26" t="b">
        <x:v>1</x:v>
      </x:c>
      <x:c r="H351" s="16" t="n">
        <x:v>0.04</x:v>
      </x:c>
      <x:c r="I351" s="16" t="n">
        <x:v>0.675</x:v>
      </x:c>
      <x:c r="J351" s="16" t="n">
        <x:v>1.4400000000000002</x:v>
      </x:c>
      <x:c r="K351" s="11" t="n">
        <x:f>CHOOSE('假设'!$B$3,H351,I351,J351)</x:f>
        <x:v>0.675</x:v>
      </x:c>
      <x:c r="L351" s="11" t="n">
        <x:f>K351*'管线假设'!E91*'管线假设'!F91*'管线假设'!G91*IF(E351="USD",'管线假设'!I91,1)-AM351</x:f>
        <x:v>0.07435800000000001</x:v>
      </x:c>
      <x:c r="M351" s="11" t="n">
        <x:f>'管线假设'!H91</x:f>
        <x:v>0.13</x:v>
      </x:c>
      <x:c r="N351" s="11" t="n">
        <x:f>IF(G351,L351*AN351/(1+M351)^F351,0)</x:f>
        <x:v>0.07232127414097472</x:v>
      </x:c>
      <x:c r="AJ351" t="n">
        <x:v>0</x:v>
      </x:c>
      <x:c r="AK351" t="n">
        <x:v>0</x:v>
      </x:c>
      <x:c r="AL351" t="n">
        <x:v>0</x:v>
      </x:c>
      <x:c r="AM351" t="n">
        <x:f>CHOOSE('假设'!$B$3,AJ351,AK351,AL351)</x:f>
        <x:v>0</x:v>
      </x:c>
      <x:c r="AN351" t="n">
        <x:v>1</x:v>
      </x:c>
    </x:row>
    <x:row r="352" ht="23" customHeight="1">
      <x:c r="A352" s="11" t="str">
        <x:v>01093.HK</x:v>
      </x:c>
      <x:c r="B352" s="11" t="str">
        <x:v>三年</x:v>
      </x:c>
      <x:c r="C352" s="11" t="str">
        <x:v>TG103_DOM</x:v>
      </x:c>
      <x:c r="D352" s="11" t="str">
        <x:v>2030-12-31</x:v>
      </x:c>
      <x:c r="E352" s="11" t="str">
        <x:v>CNY</x:v>
      </x:c>
      <x:c r="F352" s="11" t="n">
        <x:v>1.2265571526351813</x:v>
      </x:c>
      <x:c r="G352" s="26" t="b">
        <x:v>1</x:v>
      </x:c>
      <x:c r="H352" s="16" t="n">
        <x:v>0.125</x:v>
      </x:c>
      <x:c r="I352" s="16" t="n">
        <x:v>0.9750000000000001</x:v>
      </x:c>
      <x:c r="J352" s="16" t="n">
        <x:v>2.08</x:v>
      </x:c>
      <x:c r="K352" s="11" t="n">
        <x:f>CHOOSE('假设'!$B$3,H352,I352,J352)</x:f>
        <x:v>0.9750000000000001</x:v>
      </x:c>
      <x:c r="L352" s="11" t="n">
        <x:f>K352*'管线假设'!E91*'管线假设'!F91*'管线假设'!G91*IF(E352="USD",'管线假设'!I91,1)-AM352</x:f>
        <x:v>0.10740600000000002</x:v>
      </x:c>
      <x:c r="M352" s="11" t="n">
        <x:f>'管线假设'!H91</x:f>
        <x:v>0.13</x:v>
      </x:c>
      <x:c r="N352" s="11" t="n">
        <x:f>IF(G352,L352*AN352/(1+M352)^F352,0)</x:f>
        <x:v>0.09245380689266638</x:v>
      </x:c>
      <x:c r="AJ352" t="n">
        <x:v>0</x:v>
      </x:c>
      <x:c r="AK352" t="n">
        <x:v>0</x:v>
      </x:c>
      <x:c r="AL352" t="n">
        <x:v>0</x:v>
      </x:c>
      <x:c r="AM352" t="n">
        <x:f>CHOOSE('假设'!$B$3,AJ352,AK352,AL352)</x:f>
        <x:v>0</x:v>
      </x:c>
      <x:c r="AN352" t="n">
        <x:v>1</x:v>
      </x:c>
    </x:row>
    <x:row r="353" ht="23" customHeight="1">
      <x:c r="A353" s="11" t="str">
        <x:v>01093.HK</x:v>
      </x:c>
      <x:c r="B353" s="11" t="str">
        <x:v>三年</x:v>
      </x:c>
      <x:c r="C353" s="11" t="str">
        <x:v>TG103_DOM</x:v>
      </x:c>
      <x:c r="D353" s="11" t="str">
        <x:v>2031-12-31</x:v>
      </x:c>
      <x:c r="E353" s="11" t="str">
        <x:v>CNY</x:v>
      </x:c>
      <x:c r="F353" s="11" t="n">
        <x:v>2.2258726899383983</x:v>
      </x:c>
      <x:c r="G353" s="26" t="b">
        <x:v>1</x:v>
      </x:c>
      <x:c r="H353" s="16" t="n">
        <x:v>0.225</x:v>
      </x:c>
      <x:c r="I353" s="16" t="n">
        <x:v>1.275</x:v>
      </x:c>
      <x:c r="J353" s="16" t="n">
        <x:v>2.72</x:v>
      </x:c>
      <x:c r="K353" s="11" t="n">
        <x:f>CHOOSE('假设'!$B$3,H353,I353,J353)</x:f>
        <x:v>1.275</x:v>
      </x:c>
      <x:c r="L353" s="11" t="n">
        <x:f>K353*'管线假设'!E91*'管线假设'!F91*'管线假设'!G91*IF(E353="USD",'管线假设'!I91,1)-AM353</x:f>
        <x:v>0.140454</x:v>
      </x:c>
      <x:c r="M353" s="11" t="n">
        <x:f>'管线假设'!H91</x:f>
        <x:v>0.13</x:v>
      </x:c>
      <x:c r="N353" s="11" t="n">
        <x:f>IF(G353,L353*AN353/(1+M353)^F353,0)</x:f>
        <x:v>0.10700110292520316</x:v>
      </x:c>
      <x:c r="AJ353" t="n">
        <x:v>0</x:v>
      </x:c>
      <x:c r="AK353" t="n">
        <x:v>0</x:v>
      </x:c>
      <x:c r="AL353" t="n">
        <x:v>0</x:v>
      </x:c>
      <x:c r="AM353" t="n">
        <x:f>CHOOSE('假设'!$B$3,AJ353,AK353,AL353)</x:f>
        <x:v>0</x:v>
      </x:c>
      <x:c r="AN353" t="n">
        <x:v>1</x:v>
      </x:c>
    </x:row>
    <x:row r="354" ht="23" customHeight="1">
      <x:c r="A354" s="11" t="str">
        <x:v>01093.HK</x:v>
      </x:c>
      <x:c r="B354" s="11" t="str">
        <x:v>三年</x:v>
      </x:c>
      <x:c r="C354" s="11" t="str">
        <x:v>TG103_DOM</x:v>
      </x:c>
      <x:c r="D354" s="11" t="str">
        <x:v>2032-12-31</x:v>
      </x:c>
      <x:c r="E354" s="11" t="str">
        <x:v>CNY</x:v>
      </x:c>
      <x:c r="F354" s="11" t="n">
        <x:v>3.2279260780287475</x:v>
      </x:c>
      <x:c r="G354" s="26" t="b">
        <x:v>1</x:v>
      </x:c>
      <x:c r="H354" s="16" t="n">
        <x:v>0.325</x:v>
      </x:c>
      <x:c r="I354" s="16" t="n">
        <x:v>1.5</x:v>
      </x:c>
      <x:c r="J354" s="16" t="n">
        <x:v>3.2</x:v>
      </x:c>
      <x:c r="K354" s="11" t="n">
        <x:f>CHOOSE('假设'!$B$3,H354,I354,J354)</x:f>
        <x:v>1.5</x:v>
      </x:c>
      <x:c r="L354" s="11" t="n">
        <x:f>K354*'管线假设'!E91*'管线假设'!F91*'管线假设'!G91*IF(E354="USD",'管线假设'!I91,1)-AM354</x:f>
        <x:v>0.16524000000000003</x:v>
      </x:c>
      <x:c r="M354" s="11" t="n">
        <x:f>'管线假设'!H91</x:f>
        <x:v>0.13</x:v>
      </x:c>
      <x:c r="N354" s="11" t="n">
        <x:f>IF(G354,L354*AN354/(1+M354)^F354,0)</x:f>
        <x:v>0.1113735067911341</x:v>
      </x:c>
      <x:c r="AJ354" t="n">
        <x:v>0</x:v>
      </x:c>
      <x:c r="AK354" t="n">
        <x:v>0</x:v>
      </x:c>
      <x:c r="AL354" t="n">
        <x:v>0</x:v>
      </x:c>
      <x:c r="AM354" t="n">
        <x:f>CHOOSE('假设'!$B$3,AJ354,AK354,AL354)</x:f>
        <x:v>0</x:v>
      </x:c>
      <x:c r="AN354" t="n">
        <x:v>1</x:v>
      </x:c>
    </x:row>
    <x:row r="355" ht="23" customHeight="1">
      <x:c r="A355" s="11" t="str">
        <x:v>01093.HK</x:v>
      </x:c>
      <x:c r="B355" s="11" t="str">
        <x:v>三年</x:v>
      </x:c>
      <x:c r="C355" s="11" t="str">
        <x:v>TG103_DOM</x:v>
      </x:c>
      <x:c r="D355" s="11" t="str">
        <x:v>2033-12-31</x:v>
      </x:c>
      <x:c r="E355" s="11" t="str">
        <x:v>CNY</x:v>
      </x:c>
      <x:c r="F355" s="11" t="n">
        <x:v>4.227241615331964</x:v>
      </x:c>
      <x:c r="G355" s="26" t="b">
        <x:v>1</x:v>
      </x:c>
      <x:c r="H355" s="16" t="n">
        <x:v>0.425</x:v>
      </x:c>
      <x:c r="I355" s="16" t="n">
        <x:v>1.5</x:v>
      </x:c>
      <x:c r="J355" s="16" t="n">
        <x:v>3.2</x:v>
      </x:c>
      <x:c r="K355" s="11" t="n">
        <x:f>CHOOSE('假设'!$B$3,H355,I355,J355)</x:f>
        <x:v>1.5</x:v>
      </x:c>
      <x:c r="L355" s="11" t="n">
        <x:f>K355*'管线假设'!E91*'管线假设'!F91*'管线假设'!G91*IF(E355="USD",'管线假设'!I91,1)-AM355</x:f>
        <x:v>0.16524000000000003</x:v>
      </x:c>
      <x:c r="M355" s="11" t="n">
        <x:f>'管线假设'!H91</x:f>
        <x:v>0.13</x:v>
      </x:c>
      <x:c r="N355" s="11" t="n">
        <x:f>IF(G355,L355*AN355/(1+M355)^F355,0)</x:f>
        <x:v>0.09856887075620895</x:v>
      </x:c>
      <x:c r="AJ355" t="n">
        <x:v>0</x:v>
      </x:c>
      <x:c r="AK355" t="n">
        <x:v>0</x:v>
      </x:c>
      <x:c r="AL355" t="n">
        <x:v>0</x:v>
      </x:c>
      <x:c r="AM355" t="n">
        <x:f>CHOOSE('假设'!$B$3,AJ355,AK355,AL355)</x:f>
        <x:v>0</x:v>
      </x:c>
      <x:c r="AN355" t="n">
        <x:v>1</x:v>
      </x:c>
    </x:row>
    <x:row r="356" ht="23" customHeight="1">
      <x:c r="A356" s="11" t="str">
        <x:v>01093.HK</x:v>
      </x:c>
      <x:c r="B356" s="11" t="str">
        <x:v>三年</x:v>
      </x:c>
      <x:c r="C356" s="11" t="str">
        <x:v>TG103_DOM</x:v>
      </x:c>
      <x:c r="D356" s="11" t="str">
        <x:v>2034-12-31</x:v>
      </x:c>
      <x:c r="E356" s="11" t="str">
        <x:v>CNY</x:v>
      </x:c>
      <x:c r="F356" s="11" t="n">
        <x:v>5.2265571526351815</x:v>
      </x:c>
      <x:c r="G356" s="26" t="b">
        <x:v>1</x:v>
      </x:c>
      <x:c r="H356" s="16" t="n">
        <x:v>0.5</x:v>
      </x:c>
      <x:c r="I356" s="16" t="n">
        <x:v>1.4249999999999998</x:v>
      </x:c>
      <x:c r="J356" s="16" t="n">
        <x:v>3.04</x:v>
      </x:c>
      <x:c r="K356" s="11" t="n">
        <x:f>CHOOSE('假设'!$B$3,H356,I356,J356)</x:f>
        <x:v>1.4249999999999998</x:v>
      </x:c>
      <x:c r="L356" s="11" t="n">
        <x:f>K356*'管线假设'!E91*'管线假设'!F91*'管线假设'!G91*IF(E356="USD",'管线假设'!I91,1)-AM356</x:f>
        <x:v>0.156978</x:v>
      </x:c>
      <x:c r="M356" s="11" t="n">
        <x:f>'管线假设'!H91</x:f>
        <x:v>0.13</x:v>
      </x:c>
      <x:c r="N356" s="11" t="n">
        <x:f>IF(G356,L356*AN356/(1+M356)^F356,0)</x:f>
        <x:v>0.0828745671567672</x:v>
      </x:c>
      <x:c r="AJ356" t="n">
        <x:v>0</x:v>
      </x:c>
      <x:c r="AK356" t="n">
        <x:v>0</x:v>
      </x:c>
      <x:c r="AL356" t="n">
        <x:v>0</x:v>
      </x:c>
      <x:c r="AM356" t="n">
        <x:f>CHOOSE('假设'!$B$3,AJ356,AK356,AL356)</x:f>
        <x:v>0</x:v>
      </x:c>
      <x:c r="AN356" t="n">
        <x:v>1</x:v>
      </x:c>
    </x:row>
    <x:row r="357" ht="23" customHeight="1">
      <x:c r="A357" s="11" t="str">
        <x:v>01093.HK</x:v>
      </x:c>
      <x:c r="B357" s="11" t="str">
        <x:v>三年</x:v>
      </x:c>
      <x:c r="C357" s="11" t="str">
        <x:v>TG103_DOM</x:v>
      </x:c>
      <x:c r="D357" s="11" t="str">
        <x:v>2035-12-31</x:v>
      </x:c>
      <x:c r="E357" s="11" t="str">
        <x:v>CNY</x:v>
      </x:c>
      <x:c r="F357" s="11" t="n">
        <x:v>6.225872689938399</x:v>
      </x:c>
      <x:c r="G357" s="26" t="b">
        <x:v>1</x:v>
      </x:c>
      <x:c r="H357" s="16" t="n">
        <x:v>0.5</x:v>
      </x:c>
      <x:c r="I357" s="16" t="n">
        <x:v>1.32</x:v>
      </x:c>
      <x:c r="J357" s="16" t="n">
        <x:v>2.8160000000000003</x:v>
      </x:c>
      <x:c r="K357" s="11" t="n">
        <x:f>CHOOSE('假设'!$B$3,H357,I357,J357)</x:f>
        <x:v>1.32</x:v>
      </x:c>
      <x:c r="L357" s="11" t="n">
        <x:f>K357*'管线假设'!E91*'管线假设'!F91*'管线假设'!G91*IF(E357="USD",'管线假设'!I91,1)-AM357</x:f>
        <x:v>0.14541120000000002</x:v>
      </x:c>
      <x:c r="M357" s="11" t="n">
        <x:f>'管线假设'!H91</x:f>
        <x:v>0.13</x:v>
      </x:c>
      <x:c r="N357" s="11" t="n">
        <x:f>IF(G357,L357*AN357/(1+M357)^F357,0)</x:f>
        <x:v>0.06794198431718891</x:v>
      </x:c>
      <x:c r="AJ357" t="n">
        <x:v>0</x:v>
      </x:c>
      <x:c r="AK357" t="n">
        <x:v>0</x:v>
      </x:c>
      <x:c r="AL357" t="n">
        <x:v>0</x:v>
      </x:c>
      <x:c r="AM357" t="n">
        <x:f>CHOOSE('假设'!$B$3,AJ357,AK357,AL357)</x:f>
        <x:v>0</x:v>
      </x:c>
      <x:c r="AN357" t="n">
        <x:v>1</x:v>
      </x:c>
    </x:row>
    <x:row r="358" ht="23" customHeight="1">
      <x:c r="A358" s="11" t="str">
        <x:v>01093.HK</x:v>
      </x:c>
      <x:c r="B358" s="11" t="str">
        <x:v>三年</x:v>
      </x:c>
      <x:c r="C358" s="11" t="str">
        <x:v>TG103_DOM</x:v>
      </x:c>
      <x:c r="D358" s="11" t="str">
        <x:v>2036-12-31</x:v>
      </x:c>
      <x:c r="E358" s="11" t="str">
        <x:v>CNY</x:v>
      </x:c>
      <x:c r="F358" s="11" t="n">
        <x:v>7.227926078028747</x:v>
      </x:c>
      <x:c r="G358" s="26" t="b">
        <x:v>1</x:v>
      </x:c>
      <x:c r="H358" s="16" t="n">
        <x:v>0.475</x:v>
      </x:c>
      <x:c r="I358" s="16" t="n">
        <x:v>1.125</x:v>
      </x:c>
      <x:c r="J358" s="16" t="n">
        <x:v>2.4000000000000004</x:v>
      </x:c>
      <x:c r="K358" s="11" t="n">
        <x:f>CHOOSE('假设'!$B$3,H358,I358,J358)</x:f>
        <x:v>1.125</x:v>
      </x:c>
      <x:c r="L358" s="11" t="n">
        <x:f>K358*'管线假设'!E91*'管线假设'!F91*'管线假设'!G91*IF(E358="USD",'管线假设'!I91,1)-AM358</x:f>
        <x:v>0.12393</x:v>
      </x:c>
      <x:c r="M358" s="11" t="n">
        <x:f>'管线假设'!H91</x:f>
        <x:v>0.13</x:v>
      </x:c>
      <x:c r="N358" s="11" t="n">
        <x:f>IF(G358,L358*AN358/(1+M358)^F358,0)</x:f>
        <x:v>0.051230593111746596</x:v>
      </x:c>
      <x:c r="AJ358" t="n">
        <x:v>0</x:v>
      </x:c>
      <x:c r="AK358" t="n">
        <x:v>0</x:v>
      </x:c>
      <x:c r="AL358" t="n">
        <x:v>0</x:v>
      </x:c>
      <x:c r="AM358" t="n">
        <x:f>CHOOSE('假设'!$B$3,AJ358,AK358,AL358)</x:f>
        <x:v>0</x:v>
      </x:c>
      <x:c r="AN358" t="n">
        <x:v>1</x:v>
      </x:c>
    </x:row>
    <x:row r="359" ht="23" customHeight="1">
      <x:c r="A359" s="11" t="str">
        <x:v>01093.HK</x:v>
      </x:c>
      <x:c r="B359" s="11" t="str">
        <x:v>三年</x:v>
      </x:c>
      <x:c r="C359" s="11" t="str">
        <x:v>TG103_DOM</x:v>
      </x:c>
      <x:c r="D359" s="11" t="str">
        <x:v>2037-12-31</x:v>
      </x:c>
      <x:c r="E359" s="11" t="str">
        <x:v>CNY</x:v>
      </x:c>
      <x:c r="F359" s="11" t="n">
        <x:v>8.227241615331964</x:v>
      </x:c>
      <x:c r="G359" s="26" t="b">
        <x:v>1</x:v>
      </x:c>
      <x:c r="H359" s="16" t="n">
        <x:v>0.44</x:v>
      </x:c>
      <x:c r="I359" s="16" t="n">
        <x:v>0.8999999999999999</x:v>
      </x:c>
      <x:c r="J359" s="16" t="n">
        <x:v>1.92</x:v>
      </x:c>
      <x:c r="K359" s="11" t="n">
        <x:f>CHOOSE('假设'!$B$3,H359,I359,J359)</x:f>
        <x:v>0.8999999999999999</x:v>
      </x:c>
      <x:c r="L359" s="11" t="n">
        <x:f>K359*'管线假设'!E91*'管线假设'!F91*'管线假设'!G91*IF(E359="USD",'管线假设'!I91,1)-AM359</x:f>
        <x:v>0.099144</x:v>
      </x:c>
      <x:c r="M359" s="11" t="n">
        <x:f>'管线假设'!H91</x:f>
        <x:v>0.13</x:v>
      </x:c>
      <x:c r="N359" s="11" t="n">
        <x:f>IF(G359,L359*AN359/(1+M359)^F359,0)</x:f>
        <x:v>0.036272480640594594</x:v>
      </x:c>
      <x:c r="AJ359" t="n">
        <x:v>0</x:v>
      </x:c>
      <x:c r="AK359" t="n">
        <x:v>0</x:v>
      </x:c>
      <x:c r="AL359" t="n">
        <x:v>0</x:v>
      </x:c>
      <x:c r="AM359" t="n">
        <x:f>CHOOSE('假设'!$B$3,AJ359,AK359,AL359)</x:f>
        <x:v>0</x:v>
      </x:c>
      <x:c r="AN359" t="n">
        <x:v>1</x:v>
      </x:c>
    </x:row>
    <x:row r="360" ht="23" customHeight="1">
      <x:c r="A360" s="11" t="str">
        <x:v>01093.HK</x:v>
      </x:c>
      <x:c r="B360" s="11" t="str">
        <x:v>三年</x:v>
      </x:c>
      <x:c r="C360" s="11" t="str">
        <x:v>TG103_DOM</x:v>
      </x:c>
      <x:c r="D360" s="11" t="str">
        <x:v>2038-12-31</x:v>
      </x:c>
      <x:c r="E360" s="11" t="str">
        <x:v>CNY</x:v>
      </x:c>
      <x:c r="F360" s="11" t="n">
        <x:v>9.22655715263518</x:v>
      </x:c>
      <x:c r="G360" s="26" t="b">
        <x:v>1</x:v>
      </x:c>
      <x:c r="H360" s="16" t="n">
        <x:v>0.375</x:v>
      </x:c>
      <x:c r="I360" s="16" t="n">
        <x:v>0.675</x:v>
      </x:c>
      <x:c r="J360" s="16" t="n">
        <x:v>1.4400000000000002</x:v>
      </x:c>
      <x:c r="K360" s="11" t="n">
        <x:f>CHOOSE('假设'!$B$3,H360,I360,J360)</x:f>
        <x:v>0.675</x:v>
      </x:c>
      <x:c r="L360" s="11" t="n">
        <x:f>K360*'管线假设'!E91*'管线假设'!F91*'管线假设'!G91*IF(E360="USD",'管线假设'!I91,1)-AM360</x:f>
        <x:v>0.07435800000000001</x:v>
      </x:c>
      <x:c r="M360" s="11" t="n">
        <x:f>'管线假设'!H91</x:f>
        <x:v>0.13</x:v>
      </x:c>
      <x:c r="N360" s="11" t="n">
        <x:f>IF(G360,L360*AN360/(1+M360)^F360,0)</x:f>
        <x:v>0.024076669303689888</x:v>
      </x:c>
      <x:c r="AJ360" t="n">
        <x:v>0</x:v>
      </x:c>
      <x:c r="AK360" t="n">
        <x:v>0</x:v>
      </x:c>
      <x:c r="AL360" t="n">
        <x:v>0</x:v>
      </x:c>
      <x:c r="AM360" t="n">
        <x:f>CHOOSE('假设'!$B$3,AJ360,AK360,AL360)</x:f>
        <x:v>0</x:v>
      </x:c>
      <x:c r="AN360" t="n">
        <x:v>1</x:v>
      </x:c>
    </x:row>
    <x:row r="361" ht="23" customHeight="1">
      <x:c r="A361" s="11" t="str">
        <x:v>01093.HK</x:v>
      </x:c>
      <x:c r="B361" s="11" t="str">
        <x:v>三年</x:v>
      </x:c>
      <x:c r="C361" s="11" t="str">
        <x:v>TG103_DOM</x:v>
      </x:c>
      <x:c r="D361" s="11" t="str">
        <x:v>2039-12-31</x:v>
      </x:c>
      <x:c r="E361" s="11" t="str">
        <x:v>CNY</x:v>
      </x:c>
      <x:c r="F361" s="11" t="n">
        <x:v>10.225872689938399</x:v>
      </x:c>
      <x:c r="G361" s="26" t="b">
        <x:v>1</x:v>
      </x:c>
      <x:c r="H361" s="16" t="n">
        <x:v>0.3</x:v>
      </x:c>
      <x:c r="I361" s="16" t="n">
        <x:v>0.44999999999999996</x:v>
      </x:c>
      <x:c r="J361" s="16" t="n">
        <x:v>0.96</x:v>
      </x:c>
      <x:c r="K361" s="11" t="n">
        <x:f>CHOOSE('假设'!$B$3,H361,I361,J361)</x:f>
        <x:v>0.44999999999999996</x:v>
      </x:c>
      <x:c r="L361" s="11" t="n">
        <x:f>K361*'管线假设'!E91*'管线假设'!F91*'管线假设'!G91*IF(E361="USD",'管线假设'!I91,1)-AM361</x:f>
        <x:v>0.049572</x:v>
      </x:c>
      <x:c r="M361" s="11" t="n">
        <x:f>'管线假设'!H91</x:f>
        <x:v>0.13</x:v>
      </x:c>
      <x:c r="N361" s="11" t="n">
        <x:f>IF(G361,L361*AN361/(1+M361)^F361,0)</x:f>
        <x:v>0.01420571296957857</x:v>
      </x:c>
      <x:c r="AJ361" t="n">
        <x:v>0</x:v>
      </x:c>
      <x:c r="AK361" t="n">
        <x:v>0</x:v>
      </x:c>
      <x:c r="AL361" t="n">
        <x:v>0</x:v>
      </x:c>
      <x:c r="AM361" t="n">
        <x:f>CHOOSE('假设'!$B$3,AJ361,AK361,AL361)</x:f>
        <x:v>0</x:v>
      </x:c>
      <x:c r="AN361" t="n">
        <x:v>1</x:v>
      </x:c>
    </x:row>
    <x:row r="362" ht="23" customHeight="1">
      <x:c r="A362" s="11" t="str">
        <x:v>01093.HK</x:v>
      </x:c>
      <x:c r="B362" s="11" t="str">
        <x:v>三年</x:v>
      </x:c>
      <x:c r="C362" s="11" t="str">
        <x:v>TG103_DOM</x:v>
      </x:c>
      <x:c r="D362" s="11" t="str">
        <x:v>2040-12-31</x:v>
      </x:c>
      <x:c r="E362" s="11" t="str">
        <x:v>CNY</x:v>
      </x:c>
      <x:c r="F362" s="11" t="n">
        <x:v>11.227926078028748</x:v>
      </x:c>
      <x:c r="G362" s="26" t="b">
        <x:v>1</x:v>
      </x:c>
      <x:c r="H362" s="16" t="n">
        <x:v>0.225</x:v>
      </x:c>
      <x:c r="I362" s="16" t="n">
        <x:v>0.27</x:v>
      </x:c>
      <x:c r="J362" s="16" t="n">
        <x:v>0.576</x:v>
      </x:c>
      <x:c r="K362" s="11" t="n">
        <x:f>CHOOSE('假设'!$B$3,H362,I362,J362)</x:f>
        <x:v>0.27</x:v>
      </x:c>
      <x:c r="L362" s="11" t="n">
        <x:f>K362*'管线假设'!E91*'管线假设'!F91*'管线假设'!G91*IF(E362="USD",'管线假设'!I91,1)-AM362</x:f>
        <x:v>0.029743200000000008</x:v>
      </x:c>
      <x:c r="M362" s="11" t="n">
        <x:f>'管线假设'!H91</x:f>
        <x:v>0.13</x:v>
      </x:c>
      <x:c r="N362" s="11" t="n">
        <x:f>IF(G362,L362*AN362/(1+M362)^F362,0)</x:f>
        <x:v>0.007540963724533505</x:v>
      </x:c>
      <x:c r="AJ362" t="n">
        <x:v>0</x:v>
      </x:c>
      <x:c r="AK362" t="n">
        <x:v>0</x:v>
      </x:c>
      <x:c r="AL362" t="n">
        <x:v>0</x:v>
      </x:c>
      <x:c r="AM362" t="n">
        <x:f>CHOOSE('假设'!$B$3,AJ362,AK362,AL362)</x:f>
        <x:v>0</x:v>
      </x:c>
      <x:c r="AN362" t="n">
        <x:v>1</x:v>
      </x:c>
    </x:row>
    <x:row r="363" ht="23" customHeight="1">
      <x:c r="A363" s="11" t="str">
        <x:v>01093.HK</x:v>
      </x:c>
      <x:c r="B363" s="11" t="str">
        <x:v>三年</x:v>
      </x:c>
      <x:c r="C363" s="11" t="str">
        <x:v>TG103_DOM</x:v>
      </x:c>
      <x:c r="D363" s="11" t="str">
        <x:v>2041-12-31</x:v>
      </x:c>
      <x:c r="E363" s="11" t="str">
        <x:v>CNY</x:v>
      </x:c>
      <x:c r="F363" s="11" t="n">
        <x:v>12.227241615331964</x:v>
      </x:c>
      <x:c r="G363" s="26" t="b">
        <x:v>1</x:v>
      </x:c>
      <x:c r="H363" s="16" t="n">
        <x:v>0.15</x:v>
      </x:c>
      <x:c r="I363" s="16" t="n">
        <x:v>0.15000000000000002</x:v>
      </x:c>
      <x:c r="J363" s="16" t="n">
        <x:v>0.32000000000000006</x:v>
      </x:c>
      <x:c r="K363" s="11" t="n">
        <x:f>CHOOSE('假设'!$B$3,H363,I363,J363)</x:f>
        <x:v>0.15000000000000002</x:v>
      </x:c>
      <x:c r="L363" s="11" t="n">
        <x:f>K363*'管线假设'!E91*'管线假设'!F91*'管线假设'!G91*IF(E363="USD",'管线假设'!I91,1)-AM363</x:f>
        <x:v>0.016524000000000004</x:v>
      </x:c>
      <x:c r="M363" s="11" t="n">
        <x:f>'管线假设'!H91</x:f>
        <x:v>0.13</x:v>
      </x:c>
      <x:c r="N363" s="11" t="n">
        <x:f>IF(G363,L363*AN363/(1+M363)^F363,0)</x:f>
        <x:v>0.003707765279377385</x:v>
      </x:c>
      <x:c r="AJ363" t="n">
        <x:v>0</x:v>
      </x:c>
      <x:c r="AK363" t="n">
        <x:v>0</x:v>
      </x:c>
      <x:c r="AL363" t="n">
        <x:v>0</x:v>
      </x:c>
      <x:c r="AM363" t="n">
        <x:f>CHOOSE('假设'!$B$3,AJ363,AK363,AL363)</x:f>
        <x:v>0</x:v>
      </x:c>
      <x:c r="AN363" t="n">
        <x:v>1</x:v>
      </x:c>
    </x:row>
    <x:row r="364" ht="23" customHeight="1">
      <x:c r="A364" s="11" t="str">
        <x:v>01093.HK</x:v>
      </x:c>
      <x:c r="B364" s="11" t="str">
        <x:v>三年</x:v>
      </x:c>
      <x:c r="C364" s="11" t="str">
        <x:v>TG103_DOM</x:v>
      </x:c>
      <x:c r="D364" s="11" t="str">
        <x:v>2042-12-31</x:v>
      </x:c>
      <x:c r="E364" s="11" t="str">
        <x:v>CNY</x:v>
      </x:c>
      <x:c r="F364" s="11" t="n">
        <x:v>13.22655715263518</x:v>
      </x:c>
      <x:c r="G364" s="26" t="b">
        <x:v>1</x:v>
      </x:c>
      <x:c r="H364" s="16" t="n">
        <x:v>0.09</x:v>
      </x:c>
      <x:c r="I364" s="16" t="n">
        <x:v>0.07500000000000001</x:v>
      </x:c>
      <x:c r="J364" s="16" t="n">
        <x:v>0.16000000000000003</x:v>
      </x:c>
      <x:c r="K364" s="11" t="n">
        <x:f>CHOOSE('假设'!$B$3,H364,I364,J364)</x:f>
        <x:v>0.07500000000000001</x:v>
      </x:c>
      <x:c r="L364" s="11" t="n">
        <x:f>K364*'管线假设'!E91*'管线假设'!F91*'管线假设'!G91*IF(E364="USD",'管线假设'!I91,1)-AM364</x:f>
        <x:v>0.008262000000000002</x:v>
      </x:c>
      <x:c r="M364" s="11" t="n">
        <x:f>'管线假设'!H91</x:f>
        <x:v>0.13</x:v>
      </x:c>
      <x:c r="N364" s="11" t="n">
        <x:f>IF(G364,L364*AN364/(1+M364)^F364,0)</x:f>
        <x:v>0.0016407413537884654</x:v>
      </x:c>
      <x:c r="AJ364" t="n">
        <x:v>0</x:v>
      </x:c>
      <x:c r="AK364" t="n">
        <x:v>0</x:v>
      </x:c>
      <x:c r="AL364" t="n">
        <x:v>0</x:v>
      </x:c>
      <x:c r="AM364" t="n">
        <x:f>CHOOSE('假设'!$B$3,AJ364,AK364,AL364)</x:f>
        <x:v>0</x:v>
      </x:c>
      <x:c r="AN364" t="n">
        <x:v>1</x:v>
      </x:c>
    </x:row>
    <x:row r="365" ht="23" customHeight="1">
      <x:c r="A365" s="11" t="str">
        <x:v>01093.HK</x:v>
      </x:c>
      <x:c r="B365" s="11" t="str">
        <x:v>三年</x:v>
      </x:c>
      <x:c r="C365" s="11" t="str">
        <x:v>TG103_DOM</x:v>
      </x:c>
      <x:c r="D365" s="11" t="str">
        <x:v>2043-12-31</x:v>
      </x:c>
      <x:c r="E365" s="11" t="str">
        <x:v>CNY</x:v>
      </x:c>
      <x:c r="F365" s="11" t="n">
        <x:v>14.225872689938399</x:v>
      </x:c>
      <x:c r="G365" s="26" t="b">
        <x:v>1</x:v>
      </x:c>
      <x:c r="H365" s="16" t="n">
        <x:v>0.05</x:v>
      </x:c>
      <x:c r="I365" s="16" t="n">
        <x:v>0.07500000000000001</x:v>
      </x:c>
      <x:c r="J365" s="16" t="n">
        <x:v>0.16000000000000003</x:v>
      </x:c>
      <x:c r="K365" s="11" t="n">
        <x:f>CHOOSE('假设'!$B$3,H365,I365,J365)</x:f>
        <x:v>0.07500000000000001</x:v>
      </x:c>
      <x:c r="L365" s="11" t="n">
        <x:f>K365*'管线假设'!E91*'管线假设'!F91*'管线假设'!G91*IF(E365="USD",'管线假设'!I91,1)-AM365</x:f>
        <x:v>0.008262000000000002</x:v>
      </x:c>
      <x:c r="M365" s="11" t="n">
        <x:f>'管线假设'!H91</x:f>
        <x:v>0.13</x:v>
      </x:c>
      <x:c r="N365" s="11" t="n">
        <x:f>IF(G365,L365*AN365/(1+M365)^F365,0)</x:f>
        <x:v>0.0014521049673800585</x:v>
      </x:c>
      <x:c r="AJ365" t="n">
        <x:v>0</x:v>
      </x:c>
      <x:c r="AK365" t="n">
        <x:v>0</x:v>
      </x:c>
      <x:c r="AL365" t="n">
        <x:v>0</x:v>
      </x:c>
      <x:c r="AM365" t="n">
        <x:f>CHOOSE('假设'!$B$3,AJ365,AK365,AL365)</x:f>
        <x:v>0</x:v>
      </x:c>
      <x:c r="AN365" t="n">
        <x:v>1</x:v>
      </x:c>
    </x:row>
    <x:row r="366" ht="23" customHeight="1">
      <x:c r="A366" s="11" t="str">
        <x:v>01093.HK</x:v>
      </x:c>
      <x:c r="B366" s="11" t="str">
        <x:v>三年</x:v>
      </x:c>
      <x:c r="C366" s="11" t="str">
        <x:v>AZ_OBESITY_EXCHINA</x:v>
      </x:c>
      <x:c r="D366" s="11" t="str">
        <x:v>2029-12-31</x:v>
      </x:c>
      <x:c r="E366" s="11" t="str">
        <x:v>USD</x:v>
      </x:c>
      <x:c r="F366" s="11" t="n">
        <x:v>0.2272416153319644</x:v>
      </x:c>
      <x:c r="G366" s="26" t="b">
        <x:v>1</x:v>
      </x:c>
      <x:c r="H366" s="16" t="n">
        <x:v>0</x:v>
      </x:c>
      <x:c r="I366" s="16" t="n">
        <x:v>0</x:v>
      </x:c>
      <x:c r="J366" s="16" t="n">
        <x:v>1.6</x:v>
      </x:c>
      <x:c r="K366" s="11" t="n">
        <x:f>CHOOSE('假设'!$B$3,H366,I366,J366)</x:f>
        <x:v>0</x:v>
      </x:c>
      <x:c r="L366" s="11" t="n">
        <x:f>K366*'管线假设'!E95*'管线假设'!F95*'管线假设'!G95*IF(E366="USD",'管线假设'!I95,1)-AM366</x:f>
        <x:v>0</x:v>
      </x:c>
      <x:c r="M366" s="11" t="n">
        <x:f>'管线假设'!H95</x:f>
        <x:v>0.13</x:v>
      </x:c>
      <x:c r="N366" s="11" t="n">
        <x:f>IF(G366,L366*AN366/(1+M366)^F366,0)</x:f>
        <x:v>0</x:v>
      </x:c>
      <x:c r="AJ366" t="n">
        <x:v>0</x:v>
      </x:c>
      <x:c r="AK366" t="n">
        <x:v>0</x:v>
      </x:c>
      <x:c r="AL366" t="n">
        <x:v>0</x:v>
      </x:c>
      <x:c r="AM366" t="n">
        <x:f>CHOOSE('假设'!$B$3,AJ366,AK366,AL366)</x:f>
        <x:v>0</x:v>
      </x:c>
      <x:c r="AN366" t="n">
        <x:v>1</x:v>
      </x:c>
    </x:row>
    <x:row r="367" ht="23" customHeight="1">
      <x:c r="A367" s="11" t="str">
        <x:v>01093.HK</x:v>
      </x:c>
      <x:c r="B367" s="11" t="str">
        <x:v>三年</x:v>
      </x:c>
      <x:c r="C367" s="11" t="str">
        <x:v>AZ_OBESITY_EXCHINA</x:v>
      </x:c>
      <x:c r="D367" s="11" t="str">
        <x:v>2030-12-31</x:v>
      </x:c>
      <x:c r="E367" s="11" t="str">
        <x:v>USD</x:v>
      </x:c>
      <x:c r="F367" s="11" t="n">
        <x:v>1.2265571526351813</x:v>
      </x:c>
      <x:c r="G367" s="26" t="b">
        <x:v>1</x:v>
      </x:c>
      <x:c r="H367" s="16" t="n">
        <x:v>0</x:v>
      </x:c>
      <x:c r="I367" s="16" t="n">
        <x:v>0.72</x:v>
      </x:c>
      <x:c r="J367" s="16" t="n">
        <x:v>5</x:v>
      </x:c>
      <x:c r="K367" s="11" t="n">
        <x:f>CHOOSE('假设'!$B$3,H367,I367,J367)</x:f>
        <x:v>0.72</x:v>
      </x:c>
      <x:c r="L367" s="11" t="n">
        <x:f>K367*'管线假设'!E95*'管线假设'!F95*'管线假设'!G95*IF(E367="USD",'管线假设'!I95,1)-AM367</x:f>
        <x:v>0.07960679999999999</x:v>
      </x:c>
      <x:c r="M367" s="11" t="n">
        <x:f>'管线假设'!H95</x:f>
        <x:v>0.13</x:v>
      </x:c>
      <x:c r="N367" s="11" t="n">
        <x:f>IF(G367,L367*AN367/(1+M367)^F367,0)</x:f>
        <x:v>0.0685245862851527</x:v>
      </x:c>
      <x:c r="AJ367" t="n">
        <x:v>0</x:v>
      </x:c>
      <x:c r="AK367" t="n">
        <x:v>0</x:v>
      </x:c>
      <x:c r="AL367" t="n">
        <x:v>0</x:v>
      </x:c>
      <x:c r="AM367" t="n">
        <x:f>CHOOSE('假设'!$B$3,AJ367,AK367,AL367)</x:f>
        <x:v>0</x:v>
      </x:c>
      <x:c r="AN367" t="n">
        <x:v>1</x:v>
      </x:c>
    </x:row>
    <x:row r="368" ht="23" customHeight="1">
      <x:c r="A368" s="11" t="str">
        <x:v>01093.HK</x:v>
      </x:c>
      <x:c r="B368" s="11" t="str">
        <x:v>三年</x:v>
      </x:c>
      <x:c r="C368" s="11" t="str">
        <x:v>AZ_OBESITY_EXCHINA</x:v>
      </x:c>
      <x:c r="D368" s="11" t="str">
        <x:v>2031-12-31</x:v>
      </x:c>
      <x:c r="E368" s="11" t="str">
        <x:v>USD</x:v>
      </x:c>
      <x:c r="F368" s="11" t="n">
        <x:v>2.2258726899383983</x:v>
      </x:c>
      <x:c r="G368" s="26" t="b">
        <x:v>1</x:v>
      </x:c>
      <x:c r="H368" s="16" t="n">
        <x:v>0</x:v>
      </x:c>
      <x:c r="I368" s="16" t="n">
        <x:v>2.25</x:v>
      </x:c>
      <x:c r="J368" s="16" t="n">
        <x:v>9</x:v>
      </x:c>
      <x:c r="K368" s="11" t="n">
        <x:f>CHOOSE('假设'!$B$3,H368,I368,J368)</x:f>
        <x:v>2.25</x:v>
      </x:c>
      <x:c r="L368" s="11" t="n">
        <x:f>K368*'管线假设'!E95*'管线假设'!F95*'管线假设'!G95*IF(E368="USD",'管线假设'!I95,1)-AM368</x:f>
        <x:v>0.24877124999999994</x:v>
      </x:c>
      <x:c r="M368" s="11" t="n">
        <x:f>'管线假设'!H95</x:f>
        <x:v>0.13</x:v>
      </x:c>
      <x:c r="N368" s="11" t="n">
        <x:f>IF(G368,L368*AN368/(1+M368)^F368,0)</x:f>
        <x:v>0.18951968705826422</x:v>
      </x:c>
      <x:c r="AJ368" t="n">
        <x:v>0</x:v>
      </x:c>
      <x:c r="AK368" t="n">
        <x:v>0</x:v>
      </x:c>
      <x:c r="AL368" t="n">
        <x:v>0</x:v>
      </x:c>
      <x:c r="AM368" t="n">
        <x:f>CHOOSE('假设'!$B$3,AJ368,AK368,AL368)</x:f>
        <x:v>0</x:v>
      </x:c>
      <x:c r="AN368" t="n">
        <x:v>1</x:v>
      </x:c>
    </x:row>
    <x:row r="369" ht="23" customHeight="1">
      <x:c r="A369" s="11" t="str">
        <x:v>01093.HK</x:v>
      </x:c>
      <x:c r="B369" s="11" t="str">
        <x:v>三年</x:v>
      </x:c>
      <x:c r="C369" s="11" t="str">
        <x:v>AZ_OBESITY_EXCHINA</x:v>
      </x:c>
      <x:c r="D369" s="11" t="str">
        <x:v>2032-12-31</x:v>
      </x:c>
      <x:c r="E369" s="11" t="str">
        <x:v>USD</x:v>
      </x:c>
      <x:c r="F369" s="11" t="n">
        <x:v>3.2279260780287475</x:v>
      </x:c>
      <x:c r="G369" s="26" t="b">
        <x:v>1</x:v>
      </x:c>
      <x:c r="H369" s="16" t="n">
        <x:v>0.24</x:v>
      </x:c>
      <x:c r="I369" s="16" t="n">
        <x:v>4.05</x:v>
      </x:c>
      <x:c r="J369" s="16" t="n">
        <x:v>13</x:v>
      </x:c>
      <x:c r="K369" s="11" t="n">
        <x:f>CHOOSE('假设'!$B$3,H369,I369,J369)</x:f>
        <x:v>4.05</x:v>
      </x:c>
      <x:c r="L369" s="11" t="n">
        <x:f>K369*'管线假设'!E95*'管线假设'!F95*'管线假设'!G95*IF(E369="USD",'管线假设'!I95,1)-AM369</x:f>
        <x:v>0.44778824999999994</x:v>
      </x:c>
      <x:c r="M369" s="11" t="n">
        <x:f>'管线假设'!H95</x:f>
        <x:v>0.13</x:v>
      </x:c>
      <x:c r="N369" s="11" t="n">
        <x:f>IF(G369,L369*AN369/(1+M369)^F369,0)</x:f>
        <x:v>0.3018140141755328</x:v>
      </x:c>
      <x:c r="AJ369" t="n">
        <x:v>0</x:v>
      </x:c>
      <x:c r="AK369" t="n">
        <x:v>0</x:v>
      </x:c>
      <x:c r="AL369" t="n">
        <x:v>0</x:v>
      </x:c>
      <x:c r="AM369" t="n">
        <x:f>CHOOSE('假设'!$B$3,AJ369,AK369,AL369)</x:f>
        <x:v>0</x:v>
      </x:c>
      <x:c r="AN369" t="n">
        <x:v>1</x:v>
      </x:c>
    </x:row>
    <x:row r="370" ht="23" customHeight="1">
      <x:c r="A370" s="11" t="str">
        <x:v>01093.HK</x:v>
      </x:c>
      <x:c r="B370" s="11" t="str">
        <x:v>三年</x:v>
      </x:c>
      <x:c r="C370" s="11" t="str">
        <x:v>AZ_OBESITY_EXCHINA</x:v>
      </x:c>
      <x:c r="D370" s="11" t="str">
        <x:v>2033-12-31</x:v>
      </x:c>
      <x:c r="E370" s="11" t="str">
        <x:v>USD</x:v>
      </x:c>
      <x:c r="F370" s="11" t="n">
        <x:v>4.227241615331964</x:v>
      </x:c>
      <x:c r="G370" s="26" t="b">
        <x:v>1</x:v>
      </x:c>
      <x:c r="H370" s="16" t="n">
        <x:v>0.75</x:v>
      </x:c>
      <x:c r="I370" s="16" t="n">
        <x:v>5.8500000000000005</x:v>
      </x:c>
      <x:c r="J370" s="16" t="n">
        <x:v>17</x:v>
      </x:c>
      <x:c r="K370" s="11" t="n">
        <x:f>CHOOSE('假设'!$B$3,H370,I370,J370)</x:f>
        <x:v>5.8500000000000005</x:v>
      </x:c>
      <x:c r="L370" s="11" t="n">
        <x:f>K370*'管线假设'!E95*'管线假设'!F95*'管线假设'!G95*IF(E370="USD",'管线假设'!I95,1)-AM370</x:f>
        <x:v>0.64680525</x:v>
      </x:c>
      <x:c r="M370" s="11" t="n">
        <x:f>'管线假设'!H95</x:f>
        <x:v>0.13</x:v>
      </x:c>
      <x:c r="N370" s="11" t="n">
        <x:f>IF(G370,L370*AN370/(1+M370)^F370,0)</x:f>
        <x:v>0.38583189961079284</x:v>
      </x:c>
      <x:c r="AJ370" t="n">
        <x:v>0</x:v>
      </x:c>
      <x:c r="AK370" t="n">
        <x:v>0</x:v>
      </x:c>
      <x:c r="AL370" t="n">
        <x:v>0</x:v>
      </x:c>
      <x:c r="AM370" t="n">
        <x:f>CHOOSE('假设'!$B$3,AJ370,AK370,AL370)</x:f>
        <x:v>0</x:v>
      </x:c>
      <x:c r="AN370" t="n">
        <x:v>1</x:v>
      </x:c>
    </x:row>
    <x:row r="371" ht="23" customHeight="1">
      <x:c r="A371" s="11" t="str">
        <x:v>01093.HK</x:v>
      </x:c>
      <x:c r="B371" s="11" t="str">
        <x:v>三年</x:v>
      </x:c>
      <x:c r="C371" s="11" t="str">
        <x:v>AZ_OBESITY_EXCHINA</x:v>
      </x:c>
      <x:c r="D371" s="11" t="str">
        <x:v>2034-12-31</x:v>
      </x:c>
      <x:c r="E371" s="11" t="str">
        <x:v>USD</x:v>
      </x:c>
      <x:c r="F371" s="11" t="n">
        <x:v>5.2265571526351815</x:v>
      </x:c>
      <x:c r="G371" s="26" t="b">
        <x:v>1</x:v>
      </x:c>
      <x:c r="H371" s="16" t="n">
        <x:v>1.35</x:v>
      </x:c>
      <x:c r="I371" s="16" t="n">
        <x:v>7.6499999999999995</x:v>
      </x:c>
      <x:c r="J371" s="16" t="n">
        <x:v>20</x:v>
      </x:c>
      <x:c r="K371" s="11" t="n">
        <x:f>CHOOSE('假设'!$B$3,H371,I371,J371)</x:f>
        <x:v>7.6499999999999995</x:v>
      </x:c>
      <x:c r="L371" s="11" t="n">
        <x:f>K371*'管线假设'!E95*'管线假设'!F95*'管线假设'!G95*IF(E371="USD",'管线假设'!I95,1)-AM371</x:f>
        <x:v>0.8458222499999998</x:v>
      </x:c>
      <x:c r="M371" s="11" t="n">
        <x:f>'管线假设'!H95</x:f>
        <x:v>0.13</x:v>
      </x:c>
      <x:c r="N371" s="11" t="n">
        <x:f>IF(G371,L371*AN371/(1+M371)^F371,0)</x:f>
        <x:v>0.4465412532986337</x:v>
      </x:c>
      <x:c r="AJ371" t="n">
        <x:v>0</x:v>
      </x:c>
      <x:c r="AK371" t="n">
        <x:v>0</x:v>
      </x:c>
      <x:c r="AL371" t="n">
        <x:v>0</x:v>
      </x:c>
      <x:c r="AM371" t="n">
        <x:f>CHOOSE('假设'!$B$3,AJ371,AK371,AL371)</x:f>
        <x:v>0</x:v>
      </x:c>
      <x:c r="AN371" t="n">
        <x:v>1</x:v>
      </x:c>
    </x:row>
    <x:row r="372" ht="23" customHeight="1">
      <x:c r="A372" s="11" t="str">
        <x:v>01093.HK</x:v>
      </x:c>
      <x:c r="B372" s="11" t="str">
        <x:v>三年</x:v>
      </x:c>
      <x:c r="C372" s="11" t="str">
        <x:v>AZ_OBESITY_EXCHINA</x:v>
      </x:c>
      <x:c r="D372" s="11" t="str">
        <x:v>2035-12-31</x:v>
      </x:c>
      <x:c r="E372" s="11" t="str">
        <x:v>USD</x:v>
      </x:c>
      <x:c r="F372" s="11" t="n">
        <x:v>6.225872689938399</x:v>
      </x:c>
      <x:c r="G372" s="26" t="b">
        <x:v>1</x:v>
      </x:c>
      <x:c r="H372" s="16" t="n">
        <x:v>1.9500000000000002</x:v>
      </x:c>
      <x:c r="I372" s="16" t="n">
        <x:v>9</x:v>
      </x:c>
      <x:c r="J372" s="16" t="n">
        <x:v>20</x:v>
      </x:c>
      <x:c r="K372" s="11" t="n">
        <x:f>CHOOSE('假设'!$B$3,H372,I372,J372)</x:f>
        <x:v>9</x:v>
      </x:c>
      <x:c r="L372" s="11" t="n">
        <x:f>K372*'管线假设'!E95*'管线假设'!F95*'管线假设'!G95*IF(E372="USD",'管线假设'!I95,1)-AM372</x:f>
        <x:v>0.9950849999999998</x:v>
      </x:c>
      <x:c r="M372" s="11" t="n">
        <x:f>'管线假设'!H95</x:f>
        <x:v>0.13</x:v>
      </x:c>
      <x:c r="N372" s="11" t="n">
        <x:f>IF(G372,L372*AN372/(1+M372)^F372,0)</x:f>
        <x:v>0.46494389334707303</x:v>
      </x:c>
      <x:c r="AJ372" t="n">
        <x:v>0</x:v>
      </x:c>
      <x:c r="AK372" t="n">
        <x:v>0</x:v>
      </x:c>
      <x:c r="AL372" t="n">
        <x:v>0</x:v>
      </x:c>
      <x:c r="AM372" t="n">
        <x:f>CHOOSE('假设'!$B$3,AJ372,AK372,AL372)</x:f>
        <x:v>0</x:v>
      </x:c>
      <x:c r="AN372" t="n">
        <x:v>1</x:v>
      </x:c>
    </x:row>
    <x:row r="373" ht="23" customHeight="1">
      <x:c r="A373" s="11" t="str">
        <x:v>01093.HK</x:v>
      </x:c>
      <x:c r="B373" s="11" t="str">
        <x:v>三年</x:v>
      </x:c>
      <x:c r="C373" s="11" t="str">
        <x:v>AZ_OBESITY_EXCHINA</x:v>
      </x:c>
      <x:c r="D373" s="11" t="str">
        <x:v>2036-12-31</x:v>
      </x:c>
      <x:c r="E373" s="11" t="str">
        <x:v>USD</x:v>
      </x:c>
      <x:c r="F373" s="11" t="n">
        <x:v>7.227926078028747</x:v>
      </x:c>
      <x:c r="G373" s="26" t="b">
        <x:v>1</x:v>
      </x:c>
      <x:c r="H373" s="16" t="n">
        <x:v>2.55</x:v>
      </x:c>
      <x:c r="I373" s="16" t="n">
        <x:v>9</x:v>
      </x:c>
      <x:c r="J373" s="16" t="n">
        <x:v>19</x:v>
      </x:c>
      <x:c r="K373" s="11" t="n">
        <x:f>CHOOSE('假设'!$B$3,H373,I373,J373)</x:f>
        <x:v>9</x:v>
      </x:c>
      <x:c r="L373" s="11" t="n">
        <x:f>K373*'管线假设'!E95*'管线假设'!F95*'管线假设'!G95*IF(E373="USD",'管线假设'!I95,1)-AM373</x:f>
        <x:v>0.9950849999999998</x:v>
      </x:c>
      <x:c r="M373" s="11" t="n">
        <x:f>'管线假设'!H95</x:f>
        <x:v>0.13</x:v>
      </x:c>
      <x:c r="N373" s="11" t="n">
        <x:f>IF(G373,L373*AN373/(1+M373)^F373,0)</x:f>
        <x:v>0.41135152704431815</x:v>
      </x:c>
      <x:c r="AJ373" t="n">
        <x:v>0</x:v>
      </x:c>
      <x:c r="AK373" t="n">
        <x:v>0</x:v>
      </x:c>
      <x:c r="AL373" t="n">
        <x:v>0</x:v>
      </x:c>
      <x:c r="AM373" t="n">
        <x:f>CHOOSE('假设'!$B$3,AJ373,AK373,AL373)</x:f>
        <x:v>0</x:v>
      </x:c>
      <x:c r="AN373" t="n">
        <x:v>1</x:v>
      </x:c>
    </x:row>
    <x:row r="374" ht="23" customHeight="1">
      <x:c r="A374" s="11" t="str">
        <x:v>01093.HK</x:v>
      </x:c>
      <x:c r="B374" s="11" t="str">
        <x:v>三年</x:v>
      </x:c>
      <x:c r="C374" s="11" t="str">
        <x:v>AZ_OBESITY_EXCHINA</x:v>
      </x:c>
      <x:c r="D374" s="11" t="str">
        <x:v>2037-12-31</x:v>
      </x:c>
      <x:c r="E374" s="11" t="str">
        <x:v>USD</x:v>
      </x:c>
      <x:c r="F374" s="11" t="n">
        <x:v>8.227241615331964</x:v>
      </x:c>
      <x:c r="G374" s="26" t="b">
        <x:v>1</x:v>
      </x:c>
      <x:c r="H374" s="16" t="n">
        <x:v>3</x:v>
      </x:c>
      <x:c r="I374" s="16" t="n">
        <x:v>8.549999999999999</x:v>
      </x:c>
      <x:c r="J374" s="16" t="n">
        <x:v>17.6</x:v>
      </x:c>
      <x:c r="K374" s="11" t="n">
        <x:f>CHOOSE('假设'!$B$3,H374,I374,J374)</x:f>
        <x:v>8.549999999999999</x:v>
      </x:c>
      <x:c r="L374" s="11" t="n">
        <x:f>K374*'管线假设'!E95*'管线假设'!F95*'管线假设'!G95*IF(E374="USD",'管线假设'!I95,1)-AM374</x:f>
        <x:v>0.9453307499999997</x:v>
      </x:c>
      <x:c r="M374" s="11" t="n">
        <x:f>'管线假设'!H95</x:f>
        <x:v>0.13</x:v>
      </x:c>
      <x:c r="N374" s="11" t="n">
        <x:f>IF(G374,L374*AN374/(1+M374)^F374,0)</x:f>
        <x:v>0.3458554358139046</x:v>
      </x:c>
      <x:c r="AJ374" t="n">
        <x:v>0</x:v>
      </x:c>
      <x:c r="AK374" t="n">
        <x:v>0</x:v>
      </x:c>
      <x:c r="AL374" t="n">
        <x:v>0</x:v>
      </x:c>
      <x:c r="AM374" t="n">
        <x:f>CHOOSE('假设'!$B$3,AJ374,AK374,AL374)</x:f>
        <x:v>0</x:v>
      </x:c>
      <x:c r="AN374" t="n">
        <x:v>1</x:v>
      </x:c>
    </x:row>
    <x:row r="375" ht="23" customHeight="1">
      <x:c r="A375" s="11" t="str">
        <x:v>01093.HK</x:v>
      </x:c>
      <x:c r="B375" s="11" t="str">
        <x:v>三年</x:v>
      </x:c>
      <x:c r="C375" s="11" t="str">
        <x:v>AZ_OBESITY_EXCHINA</x:v>
      </x:c>
      <x:c r="D375" s="11" t="str">
        <x:v>2038-12-31</x:v>
      </x:c>
      <x:c r="E375" s="11" t="str">
        <x:v>USD</x:v>
      </x:c>
      <x:c r="F375" s="11" t="n">
        <x:v>9.22655715263518</x:v>
      </x:c>
      <x:c r="G375" s="26" t="b">
        <x:v>1</x:v>
      </x:c>
      <x:c r="H375" s="16" t="n">
        <x:v>3</x:v>
      </x:c>
      <x:c r="I375" s="16" t="n">
        <x:v>7.92</x:v>
      </x:c>
      <x:c r="J375" s="16" t="n">
        <x:v>15</x:v>
      </x:c>
      <x:c r="K375" s="11" t="n">
        <x:f>CHOOSE('假设'!$B$3,H375,I375,J375)</x:f>
        <x:v>7.92</x:v>
      </x:c>
      <x:c r="L375" s="11" t="n">
        <x:f>K375*'管线假设'!E95*'管线假设'!F95*'管线假设'!G95*IF(E375="USD",'管线假设'!I95,1)-AM375</x:f>
        <x:v>0.8756748</x:v>
      </x:c>
      <x:c r="M375" s="11" t="n">
        <x:f>'管线假设'!H95</x:f>
        <x:v>0.13</x:v>
      </x:c>
      <x:c r="N375" s="11" t="n">
        <x:f>IF(G375,L375*AN375/(1+M375)^F375,0)</x:f>
        <x:v>0.28353818791757146</x:v>
      </x:c>
      <x:c r="AJ375" t="n">
        <x:v>0</x:v>
      </x:c>
      <x:c r="AK375" t="n">
        <x:v>0</x:v>
      </x:c>
      <x:c r="AL375" t="n">
        <x:v>0</x:v>
      </x:c>
      <x:c r="AM375" t="n">
        <x:f>CHOOSE('假设'!$B$3,AJ375,AK375,AL375)</x:f>
        <x:v>0</x:v>
      </x:c>
      <x:c r="AN375" t="n">
        <x:v>1</x:v>
      </x:c>
    </x:row>
    <x:row r="376" ht="23" customHeight="1">
      <x:c r="A376" s="11" t="str">
        <x:v>01093.HK</x:v>
      </x:c>
      <x:c r="B376" s="11" t="str">
        <x:v>三年</x:v>
      </x:c>
      <x:c r="C376" s="11" t="str">
        <x:v>AZ_OBESITY_EXCHINA</x:v>
      </x:c>
      <x:c r="D376" s="11" t="str">
        <x:v>2039-12-31</x:v>
      </x:c>
      <x:c r="E376" s="11" t="str">
        <x:v>USD</x:v>
      </x:c>
      <x:c r="F376" s="11" t="n">
        <x:v>10.225872689938399</x:v>
      </x:c>
      <x:c r="G376" s="26" t="b">
        <x:v>1</x:v>
      </x:c>
      <x:c r="H376" s="16" t="n">
        <x:v>2.8499999999999996</x:v>
      </x:c>
      <x:c r="I376" s="16" t="n">
        <x:v>6.75</x:v>
      </x:c>
      <x:c r="J376" s="16" t="n">
        <x:v>12</x:v>
      </x:c>
      <x:c r="K376" s="11" t="n">
        <x:f>CHOOSE('假设'!$B$3,H376,I376,J376)</x:f>
        <x:v>6.75</x:v>
      </x:c>
      <x:c r="L376" s="11" t="n">
        <x:f>K376*'管线假设'!E95*'管线假设'!F95*'管线假设'!G95*IF(E376="USD",'管线假设'!I95,1)-AM376</x:f>
        <x:v>0.7463137499999999</x:v>
      </x:c>
      <x:c r="M376" s="11" t="n">
        <x:f>'管线假设'!H95</x:f>
        <x:v>0.13</x:v>
      </x:c>
      <x:c r="N376" s="11" t="n">
        <x:f>IF(G376,L376*AN376/(1+M376)^F376,0)</x:f>
        <x:v>0.21386909783244204</x:v>
      </x:c>
      <x:c r="AJ376" t="n">
        <x:v>0</x:v>
      </x:c>
      <x:c r="AK376" t="n">
        <x:v>0</x:v>
      </x:c>
      <x:c r="AL376" t="n">
        <x:v>0</x:v>
      </x:c>
      <x:c r="AM376" t="n">
        <x:f>CHOOSE('假设'!$B$3,AJ376,AK376,AL376)</x:f>
        <x:v>0</x:v>
      </x:c>
      <x:c r="AN376" t="n">
        <x:v>1</x:v>
      </x:c>
    </x:row>
    <x:row r="377" ht="23" customHeight="1">
      <x:c r="A377" s="11" t="str">
        <x:v>01093.HK</x:v>
      </x:c>
      <x:c r="B377" s="11" t="str">
        <x:v>三年</x:v>
      </x:c>
      <x:c r="C377" s="11" t="str">
        <x:v>AZ_OBESITY_EXCHINA</x:v>
      </x:c>
      <x:c r="D377" s="11" t="str">
        <x:v>2040-12-31</x:v>
      </x:c>
      <x:c r="E377" s="11" t="str">
        <x:v>USD</x:v>
      </x:c>
      <x:c r="F377" s="11" t="n">
        <x:v>11.227926078028748</x:v>
      </x:c>
      <x:c r="G377" s="26" t="b">
        <x:v>1</x:v>
      </x:c>
      <x:c r="H377" s="16" t="n">
        <x:v>2.64</x:v>
      </x:c>
      <x:c r="I377" s="16" t="n">
        <x:v>5.3999999999999995</x:v>
      </x:c>
      <x:c r="J377" s="16" t="n">
        <x:v>9</x:v>
      </x:c>
      <x:c r="K377" s="11" t="n">
        <x:f>CHOOSE('假设'!$B$3,H377,I377,J377)</x:f>
        <x:v>5.3999999999999995</x:v>
      </x:c>
      <x:c r="L377" s="11" t="n">
        <x:f>K377*'管线假设'!E95*'管线假设'!F95*'管线假设'!G95*IF(E377="USD",'管线假设'!I95,1)-AM377</x:f>
        <x:v>0.597051</x:v>
      </x:c>
      <x:c r="M377" s="11" t="n">
        <x:f>'管线假设'!H95</x:f>
        <x:v>0.13</x:v>
      </x:c>
      <x:c r="N377" s="11" t="n">
        <x:f>IF(G377,L377*AN377/(1+M377)^F377,0)</x:f>
        <x:v>0.15137375711747397</x:v>
      </x:c>
      <x:c r="AJ377" t="n">
        <x:v>0</x:v>
      </x:c>
      <x:c r="AK377" t="n">
        <x:v>0</x:v>
      </x:c>
      <x:c r="AL377" t="n">
        <x:v>0</x:v>
      </x:c>
      <x:c r="AM377" t="n">
        <x:f>CHOOSE('假设'!$B$3,AJ377,AK377,AL377)</x:f>
        <x:v>0</x:v>
      </x:c>
      <x:c r="AN377" t="n">
        <x:v>1</x:v>
      </x:c>
    </x:row>
    <x:row r="378" ht="23" customHeight="1">
      <x:c r="A378" s="11" t="str">
        <x:v>01093.HK</x:v>
      </x:c>
      <x:c r="B378" s="11" t="str">
        <x:v>三年</x:v>
      </x:c>
      <x:c r="C378" s="11" t="str">
        <x:v>AZ_OBESITY_EXCHINA</x:v>
      </x:c>
      <x:c r="D378" s="11" t="str">
        <x:v>2041-12-31</x:v>
      </x:c>
      <x:c r="E378" s="11" t="str">
        <x:v>USD</x:v>
      </x:c>
      <x:c r="F378" s="11" t="n">
        <x:v>12.227241615331964</x:v>
      </x:c>
      <x:c r="G378" s="26" t="b">
        <x:v>1</x:v>
      </x:c>
      <x:c r="H378" s="16" t="n">
        <x:v>2.25</x:v>
      </x:c>
      <x:c r="I378" s="16" t="n">
        <x:v>4.05</x:v>
      </x:c>
      <x:c r="J378" s="16" t="n">
        <x:v>6</x:v>
      </x:c>
      <x:c r="K378" s="11" t="n">
        <x:f>CHOOSE('假设'!$B$3,H378,I378,J378)</x:f>
        <x:v>4.05</x:v>
      </x:c>
      <x:c r="L378" s="11" t="n">
        <x:f>K378*'管线假设'!E95*'管线假设'!F95*'管线假设'!G95*IF(E378="USD",'管线假设'!I95,1)-AM378</x:f>
        <x:v>0.44778824999999994</x:v>
      </x:c>
      <x:c r="M378" s="11" t="n">
        <x:f>'管线假设'!H95</x:f>
        <x:v>0.13</x:v>
      </x:c>
      <x:c r="N378" s="11" t="n">
        <x:f>IF(G378,L378*AN378/(1+M378)^F378,0)</x:f>
        <x:v>0.10047771277312756</x:v>
      </x:c>
      <x:c r="AJ378" t="n">
        <x:v>0</x:v>
      </x:c>
      <x:c r="AK378" t="n">
        <x:v>0</x:v>
      </x:c>
      <x:c r="AL378" t="n">
        <x:v>0</x:v>
      </x:c>
      <x:c r="AM378" t="n">
        <x:f>CHOOSE('假设'!$B$3,AJ378,AK378,AL378)</x:f>
        <x:v>0</x:v>
      </x:c>
      <x:c r="AN378" t="n">
        <x:v>1</x:v>
      </x:c>
    </x:row>
    <x:row r="379" ht="23" customHeight="1">
      <x:c r="A379" s="11" t="str">
        <x:v>01093.HK</x:v>
      </x:c>
      <x:c r="B379" s="11" t="str">
        <x:v>三年</x:v>
      </x:c>
      <x:c r="C379" s="11" t="str">
        <x:v>AZ_OBESITY_EXCHINA</x:v>
      </x:c>
      <x:c r="D379" s="11" t="str">
        <x:v>2042-12-31</x:v>
      </x:c>
      <x:c r="E379" s="11" t="str">
        <x:v>USD</x:v>
      </x:c>
      <x:c r="F379" s="11" t="n">
        <x:v>13.22655715263518</x:v>
      </x:c>
      <x:c r="G379" s="26" t="b">
        <x:v>1</x:v>
      </x:c>
      <x:c r="H379" s="16" t="n">
        <x:v>1.7999999999999998</x:v>
      </x:c>
      <x:c r="I379" s="16" t="n">
        <x:v>2.6999999999999997</x:v>
      </x:c>
      <x:c r="J379" s="16" t="n">
        <x:v>3.5999999999999996</x:v>
      </x:c>
      <x:c r="K379" s="11" t="n">
        <x:f>CHOOSE('假设'!$B$3,H379,I379,J379)</x:f>
        <x:v>2.6999999999999997</x:v>
      </x:c>
      <x:c r="L379" s="11" t="n">
        <x:f>K379*'管线假设'!E95*'管线假设'!F95*'管线假设'!G95*IF(E379="USD",'管线假设'!I95,1)-AM379</x:f>
        <x:v>0.2985255</x:v>
      </x:c>
      <x:c r="M379" s="11" t="n">
        <x:f>'管线假设'!H95</x:f>
        <x:v>0.13</x:v>
      </x:c>
      <x:c r="N379" s="11" t="n">
        <x:f>IF(G379,L379*AN379/(1+M379)^F379,0)</x:f>
        <x:v>0.05928384568026851</x:v>
      </x:c>
      <x:c r="AJ379" t="n">
        <x:v>0</x:v>
      </x:c>
      <x:c r="AK379" t="n">
        <x:v>0</x:v>
      </x:c>
      <x:c r="AL379" t="n">
        <x:v>0</x:v>
      </x:c>
      <x:c r="AM379" t="n">
        <x:f>CHOOSE('假设'!$B$3,AJ379,AK379,AL379)</x:f>
        <x:v>0</x:v>
      </x:c>
      <x:c r="AN379" t="n">
        <x:v>1</x:v>
      </x:c>
    </x:row>
    <x:row r="380" ht="23" customHeight="1">
      <x:c r="A380" s="11" t="str">
        <x:v>01093.HK</x:v>
      </x:c>
      <x:c r="B380" s="11" t="str">
        <x:v>三年</x:v>
      </x:c>
      <x:c r="C380" s="11" t="str">
        <x:v>AZ_OBESITY_EXCHINA</x:v>
      </x:c>
      <x:c r="D380" s="11" t="str">
        <x:v>2043-12-31</x:v>
      </x:c>
      <x:c r="E380" s="11" t="str">
        <x:v>USD</x:v>
      </x:c>
      <x:c r="F380" s="11" t="n">
        <x:v>14.225872689938399</x:v>
      </x:c>
      <x:c r="G380" s="26" t="b">
        <x:v>1</x:v>
      </x:c>
      <x:c r="H380" s="16" t="n">
        <x:v>1.35</x:v>
      </x:c>
      <x:c r="I380" s="16" t="n">
        <x:v>1.6199999999999999</x:v>
      </x:c>
      <x:c r="J380" s="16" t="n">
        <x:v>2</x:v>
      </x:c>
      <x:c r="K380" s="11" t="n">
        <x:f>CHOOSE('假设'!$B$3,H380,I380,J380)</x:f>
        <x:v>1.6199999999999999</x:v>
      </x:c>
      <x:c r="L380" s="11" t="n">
        <x:f>K380*'管线假设'!E95*'管线假设'!F95*'管线假设'!G95*IF(E380="USD",'管线假设'!I95,1)-AM380</x:f>
        <x:v>0.17911529999999998</x:v>
      </x:c>
      <x:c r="M380" s="11" t="n">
        <x:f>'管线假设'!H95</x:f>
        <x:v>0.13</x:v>
      </x:c>
      <x:c r="N380" s="11" t="n">
        <x:f>IF(G380,L380*AN380/(1+M380)^F380,0)</x:f>
        <x:v>0.03148078151340708</x:v>
      </x:c>
      <x:c r="AJ380" t="n">
        <x:v>0</x:v>
      </x:c>
      <x:c r="AK380" t="n">
        <x:v>0</x:v>
      </x:c>
      <x:c r="AL380" t="n">
        <x:v>0</x:v>
      </x:c>
      <x:c r="AM380" t="n">
        <x:f>CHOOSE('假设'!$B$3,AJ380,AK380,AL380)</x:f>
        <x:v>0</x:v>
      </x:c>
      <x:c r="AN380" t="n">
        <x:v>1</x:v>
      </x:c>
    </x:row>
    <x:row r="381" ht="23" customHeight="1">
      <x:c r="A381" s="11" t="str">
        <x:v>01093.HK</x:v>
      </x:c>
      <x:c r="B381" s="11" t="str">
        <x:v>三年</x:v>
      </x:c>
      <x:c r="C381" s="11" t="str">
        <x:v>OTHER_OVERSEAS</x:v>
      </x:c>
      <x:c r="D381" s="11" t="str">
        <x:v>2030-12-31</x:v>
      </x:c>
      <x:c r="E381" s="11" t="str">
        <x:v>USD</x:v>
      </x:c>
      <x:c r="F381" s="11" t="n">
        <x:v>1.2265571526351813</x:v>
      </x:c>
      <x:c r="G381" s="26" t="b">
        <x:v>1</x:v>
      </x:c>
      <x:c r="H381" s="16" t="n">
        <x:v>0</x:v>
      </x:c>
      <x:c r="I381" s="16" t="n">
        <x:v>0</x:v>
      </x:c>
      <x:c r="J381" s="16" t="n">
        <x:v>0.72</x:v>
      </x:c>
      <x:c r="K381" s="11" t="n">
        <x:f>CHOOSE('假设'!$B$3,H381,I381,J381)</x:f>
        <x:v>0</x:v>
      </x:c>
      <x:c r="L381" s="11" t="n">
        <x:f>K381*'管线假设'!E99*'管线假设'!F99*'管线假设'!G99*IF(E381="USD",'管线假设'!I99,1)-AM381</x:f>
        <x:v>0</x:v>
      </x:c>
      <x:c r="M381" s="11" t="n">
        <x:f>'管线假设'!H99</x:f>
        <x:v>0.13</x:v>
      </x:c>
      <x:c r="N381" s="11" t="n">
        <x:f>IF(G381,L381*AN381/(1+M381)^F381,0)</x:f>
        <x:v>0</x:v>
      </x:c>
      <x:c r="AJ381" t="n">
        <x:v>0</x:v>
      </x:c>
      <x:c r="AK381" t="n">
        <x:v>0</x:v>
      </x:c>
      <x:c r="AL381" t="n">
        <x:v>0</x:v>
      </x:c>
      <x:c r="AM381" t="n">
        <x:f>CHOOSE('假设'!$B$3,AJ381,AK381,AL381)</x:f>
        <x:v>0</x:v>
      </x:c>
      <x:c r="AN381" t="n">
        <x:v>1</x:v>
      </x:c>
    </x:row>
    <x:row r="382" ht="23" customHeight="1">
      <x:c r="A382" s="11" t="str">
        <x:v>01093.HK</x:v>
      </x:c>
      <x:c r="B382" s="11" t="str">
        <x:v>三年</x:v>
      </x:c>
      <x:c r="C382" s="11" t="str">
        <x:v>OTHER_OVERSEAS</x:v>
      </x:c>
      <x:c r="D382" s="11" t="str">
        <x:v>2031-12-31</x:v>
      </x:c>
      <x:c r="E382" s="11" t="str">
        <x:v>USD</x:v>
      </x:c>
      <x:c r="F382" s="11" t="n">
        <x:v>2.2258726899383983</x:v>
      </x:c>
      <x:c r="G382" s="26" t="b">
        <x:v>1</x:v>
      </x:c>
      <x:c r="H382" s="16" t="n">
        <x:v>0</x:v>
      </x:c>
      <x:c r="I382" s="16" t="n">
        <x:v>0.32</x:v>
      </x:c>
      <x:c r="J382" s="16" t="n">
        <x:v>2.25</x:v>
      </x:c>
      <x:c r="K382" s="11" t="n">
        <x:f>CHOOSE('假设'!$B$3,H382,I382,J382)</x:f>
        <x:v>0.32</x:v>
      </x:c>
      <x:c r="L382" s="11" t="n">
        <x:f>K382*'管线假设'!E99*'管线假设'!F99*'管线假设'!G99*IF(E382="USD",'管线假设'!I99,1)-AM382</x:f>
        <x:v>0.015095808000000002</x:v>
      </x:c>
      <x:c r="M382" s="11" t="n">
        <x:f>'管线假设'!H99</x:f>
        <x:v>0.13</x:v>
      </x:c>
      <x:c r="N382" s="11" t="n">
        <x:f>IF(G382,L382*AN382/(1+M382)^F382,0)</x:f>
        <x:v>0.01150033538060223</x:v>
      </x:c>
      <x:c r="AJ382" t="n">
        <x:v>0</x:v>
      </x:c>
      <x:c r="AK382" t="n">
        <x:v>0</x:v>
      </x:c>
      <x:c r="AL382" t="n">
        <x:v>0</x:v>
      </x:c>
      <x:c r="AM382" t="n">
        <x:f>CHOOSE('假设'!$B$3,AJ382,AK382,AL382)</x:f>
        <x:v>0</x:v>
      </x:c>
      <x:c r="AN382" t="n">
        <x:v>1</x:v>
      </x:c>
    </x:row>
    <x:row r="383" ht="23" customHeight="1">
      <x:c r="A383" s="11" t="str">
        <x:v>01093.HK</x:v>
      </x:c>
      <x:c r="B383" s="11" t="str">
        <x:v>三年</x:v>
      </x:c>
      <x:c r="C383" s="11" t="str">
        <x:v>OTHER_OVERSEAS</x:v>
      </x:c>
      <x:c r="D383" s="11" t="str">
        <x:v>2032-12-31</x:v>
      </x:c>
      <x:c r="E383" s="11" t="str">
        <x:v>USD</x:v>
      </x:c>
      <x:c r="F383" s="11" t="n">
        <x:v>3.2279260780287475</x:v>
      </x:c>
      <x:c r="G383" s="26" t="b">
        <x:v>1</x:v>
      </x:c>
      <x:c r="H383" s="16" t="n">
        <x:v>0</x:v>
      </x:c>
      <x:c r="I383" s="16" t="n">
        <x:v>1</x:v>
      </x:c>
      <x:c r="J383" s="16" t="n">
        <x:v>4.05</x:v>
      </x:c>
      <x:c r="K383" s="11" t="n">
        <x:f>CHOOSE('假设'!$B$3,H383,I383,J383)</x:f>
        <x:v>1</x:v>
      </x:c>
      <x:c r="L383" s="11" t="n">
        <x:f>K383*'管线假设'!E99*'管线假设'!F99*'管线假设'!G99*IF(E383="USD",'管线假设'!I99,1)-AM383</x:f>
        <x:v>0.0471744</x:v>
      </x:c>
      <x:c r="M383" s="11" t="n">
        <x:f>'管线假设'!H99</x:f>
        <x:v>0.13</x:v>
      </x:c>
      <x:c r="N383" s="11" t="n">
        <x:f>IF(G383,L383*AN383/(1+M383)^F383,0)</x:f>
        <x:v>0.031796044291743375</x:v>
      </x:c>
      <x:c r="AJ383" t="n">
        <x:v>0</x:v>
      </x:c>
      <x:c r="AK383" t="n">
        <x:v>0</x:v>
      </x:c>
      <x:c r="AL383" t="n">
        <x:v>0</x:v>
      </x:c>
      <x:c r="AM383" t="n">
        <x:f>CHOOSE('假设'!$B$3,AJ383,AK383,AL383)</x:f>
        <x:v>0</x:v>
      </x:c>
      <x:c r="AN383" t="n">
        <x:v>1</x:v>
      </x:c>
    </x:row>
    <x:row r="384" ht="23" customHeight="1">
      <x:c r="A384" s="11" t="str">
        <x:v>01093.HK</x:v>
      </x:c>
      <x:c r="B384" s="11" t="str">
        <x:v>三年</x:v>
      </x:c>
      <x:c r="C384" s="11" t="str">
        <x:v>OTHER_OVERSEAS</x:v>
      </x:c>
      <x:c r="D384" s="11" t="str">
        <x:v>2033-12-31</x:v>
      </x:c>
      <x:c r="E384" s="11" t="str">
        <x:v>USD</x:v>
      </x:c>
      <x:c r="F384" s="11" t="n">
        <x:v>4.227241615331964</x:v>
      </x:c>
      <x:c r="G384" s="26" t="b">
        <x:v>1</x:v>
      </x:c>
      <x:c r="H384" s="16" t="n">
        <x:v>0.12</x:v>
      </x:c>
      <x:c r="I384" s="16" t="n">
        <x:v>1.8</x:v>
      </x:c>
      <x:c r="J384" s="16" t="n">
        <x:v>5.8500000000000005</x:v>
      </x:c>
      <x:c r="K384" s="11" t="n">
        <x:f>CHOOSE('假设'!$B$3,H384,I384,J384)</x:f>
        <x:v>1.8</x:v>
      </x:c>
      <x:c r="L384" s="11" t="n">
        <x:f>K384*'管线假设'!E99*'管线假设'!F99*'管线假设'!G99*IF(E384="USD",'管线假设'!I99,1)-AM384</x:f>
        <x:v>0.08491392000000002</x:v>
      </x:c>
      <x:c r="M384" s="11" t="n">
        <x:f>'管线假设'!H99</x:f>
        <x:v>0.13</x:v>
      </x:c>
      <x:c r="N384" s="11" t="n">
        <x:f>IF(G384,L384*AN384/(1+M384)^F384,0)</x:f>
        <x:v>0.050652803230955376</x:v>
      </x:c>
      <x:c r="AJ384" t="n">
        <x:v>0</x:v>
      </x:c>
      <x:c r="AK384" t="n">
        <x:v>0</x:v>
      </x:c>
      <x:c r="AL384" t="n">
        <x:v>0</x:v>
      </x:c>
      <x:c r="AM384" t="n">
        <x:f>CHOOSE('假设'!$B$3,AJ384,AK384,AL384)</x:f>
        <x:v>0</x:v>
      </x:c>
      <x:c r="AN384" t="n">
        <x:v>1</x:v>
      </x:c>
    </x:row>
    <x:row r="385" ht="23" customHeight="1">
      <x:c r="A385" s="11" t="str">
        <x:v>01093.HK</x:v>
      </x:c>
      <x:c r="B385" s="11" t="str">
        <x:v>三年</x:v>
      </x:c>
      <x:c r="C385" s="11" t="str">
        <x:v>OTHER_OVERSEAS</x:v>
      </x:c>
      <x:c r="D385" s="11" t="str">
        <x:v>2034-12-31</x:v>
      </x:c>
      <x:c r="E385" s="11" t="str">
        <x:v>USD</x:v>
      </x:c>
      <x:c r="F385" s="11" t="n">
        <x:v>5.2265571526351815</x:v>
      </x:c>
      <x:c r="G385" s="26" t="b">
        <x:v>1</x:v>
      </x:c>
      <x:c r="H385" s="16" t="n">
        <x:v>0.375</x:v>
      </x:c>
      <x:c r="I385" s="16" t="n">
        <x:v>2.6</x:v>
      </x:c>
      <x:c r="J385" s="16" t="n">
        <x:v>7.6499999999999995</x:v>
      </x:c>
      <x:c r="K385" s="11" t="n">
        <x:f>CHOOSE('假设'!$B$3,H385,I385,J385)</x:f>
        <x:v>2.6</x:v>
      </x:c>
      <x:c r="L385" s="11" t="n">
        <x:f>K385*'管线假设'!E99*'管线假设'!F99*'管线假设'!G99*IF(E385="USD",'管线假设'!I99,1)-AM385</x:f>
        <x:v>0.12265344000000003</x:v>
      </x:c>
      <x:c r="M385" s="11" t="n">
        <x:f>'管线假设'!H99</x:f>
        <x:v>0.13</x:v>
      </x:c>
      <x:c r="N385" s="11" t="n">
        <x:f>IF(G385,L385*AN385/(1+M385)^F385,0)</x:f>
        <x:v>0.06475334601210692</x:v>
      </x:c>
      <x:c r="AJ385" t="n">
        <x:v>0</x:v>
      </x:c>
      <x:c r="AK385" t="n">
        <x:v>0</x:v>
      </x:c>
      <x:c r="AL385" t="n">
        <x:v>0</x:v>
      </x:c>
      <x:c r="AM385" t="n">
        <x:f>CHOOSE('假设'!$B$3,AJ385,AK385,AL385)</x:f>
        <x:v>0</x:v>
      </x:c>
      <x:c r="AN385" t="n">
        <x:v>1</x:v>
      </x:c>
    </x:row>
    <x:row r="386" ht="23" customHeight="1">
      <x:c r="A386" s="11" t="str">
        <x:v>01093.HK</x:v>
      </x:c>
      <x:c r="B386" s="11" t="str">
        <x:v>三年</x:v>
      </x:c>
      <x:c r="C386" s="11" t="str">
        <x:v>OTHER_OVERSEAS</x:v>
      </x:c>
      <x:c r="D386" s="11" t="str">
        <x:v>2035-12-31</x:v>
      </x:c>
      <x:c r="E386" s="11" t="str">
        <x:v>USD</x:v>
      </x:c>
      <x:c r="F386" s="11" t="n">
        <x:v>6.225872689938399</x:v>
      </x:c>
      <x:c r="G386" s="26" t="b">
        <x:v>1</x:v>
      </x:c>
      <x:c r="H386" s="16" t="n">
        <x:v>0.675</x:v>
      </x:c>
      <x:c r="I386" s="16" t="n">
        <x:v>3.4</x:v>
      </x:c>
      <x:c r="J386" s="16" t="n">
        <x:v>9</x:v>
      </x:c>
      <x:c r="K386" s="11" t="n">
        <x:f>CHOOSE('假设'!$B$3,H386,I386,J386)</x:f>
        <x:v>3.4</x:v>
      </x:c>
      <x:c r="L386" s="11" t="n">
        <x:f>K386*'管线假设'!E99*'管线假设'!F99*'管线假设'!G99*IF(E386="USD",'管线假设'!I99,1)-AM386</x:f>
        <x:v>0.16039296</x:v>
      </x:c>
      <x:c r="M386" s="11" t="n">
        <x:f>'管线假设'!H99</x:f>
        <x:v>0.13</x:v>
      </x:c>
      <x:c r="N386" s="11" t="n">
        <x:f>IF(G386,L386*AN386/(1+M386)^F386,0)</x:f>
        <x:v>0.07494206754986897</x:v>
      </x:c>
      <x:c r="AJ386" t="n">
        <x:v>0</x:v>
      </x:c>
      <x:c r="AK386" t="n">
        <x:v>0</x:v>
      </x:c>
      <x:c r="AL386" t="n">
        <x:v>0</x:v>
      </x:c>
      <x:c r="AM386" t="n">
        <x:f>CHOOSE('假设'!$B$3,AJ386,AK386,AL386)</x:f>
        <x:v>0</x:v>
      </x:c>
      <x:c r="AN386" t="n">
        <x:v>1</x:v>
      </x:c>
    </x:row>
    <x:row r="387" ht="23" customHeight="1">
      <x:c r="A387" s="11" t="str">
        <x:v>01093.HK</x:v>
      </x:c>
      <x:c r="B387" s="11" t="str">
        <x:v>三年</x:v>
      </x:c>
      <x:c r="C387" s="11" t="str">
        <x:v>OTHER_OVERSEAS</x:v>
      </x:c>
      <x:c r="D387" s="11" t="str">
        <x:v>2036-12-31</x:v>
      </x:c>
      <x:c r="E387" s="11" t="str">
        <x:v>USD</x:v>
      </x:c>
      <x:c r="F387" s="11" t="n">
        <x:v>7.227926078028747</x:v>
      </x:c>
      <x:c r="G387" s="26" t="b">
        <x:v>1</x:v>
      </x:c>
      <x:c r="H387" s="16" t="n">
        <x:v>0.9750000000000001</x:v>
      </x:c>
      <x:c r="I387" s="16" t="n">
        <x:v>4</x:v>
      </x:c>
      <x:c r="J387" s="16" t="n">
        <x:v>9</x:v>
      </x:c>
      <x:c r="K387" s="11" t="n">
        <x:f>CHOOSE('假设'!$B$3,H387,I387,J387)</x:f>
        <x:v>4</x:v>
      </x:c>
      <x:c r="L387" s="11" t="n">
        <x:f>K387*'管线假设'!E99*'管线假设'!F99*'管线假设'!G99*IF(E387="USD",'管线假设'!I99,1)-AM387</x:f>
        <x:v>0.1886976</x:v>
      </x:c>
      <x:c r="M387" s="11" t="n">
        <x:f>'管线假设'!H99</x:f>
        <x:v>0.13</x:v>
      </x:c>
      <x:c r="N387" s="11" t="n">
        <x:f>IF(G387,L387*AN387/(1+M387)^F387,0)</x:f>
        <x:v>0.07800443772099665</x:v>
      </x:c>
      <x:c r="AJ387" t="n">
        <x:v>0</x:v>
      </x:c>
      <x:c r="AK387" t="n">
        <x:v>0</x:v>
      </x:c>
      <x:c r="AL387" t="n">
        <x:v>0</x:v>
      </x:c>
      <x:c r="AM387" t="n">
        <x:f>CHOOSE('假设'!$B$3,AJ387,AK387,AL387)</x:f>
        <x:v>0</x:v>
      </x:c>
      <x:c r="AN387" t="n">
        <x:v>1</x:v>
      </x:c>
    </x:row>
    <x:row r="388" ht="23" customHeight="1">
      <x:c r="A388" s="11" t="str">
        <x:v>01093.HK</x:v>
      </x:c>
      <x:c r="B388" s="11" t="str">
        <x:v>三年</x:v>
      </x:c>
      <x:c r="C388" s="11" t="str">
        <x:v>OTHER_OVERSEAS</x:v>
      </x:c>
      <x:c r="D388" s="11" t="str">
        <x:v>2037-12-31</x:v>
      </x:c>
      <x:c r="E388" s="11" t="str">
        <x:v>USD</x:v>
      </x:c>
      <x:c r="F388" s="11" t="n">
        <x:v>8.227241615331964</x:v>
      </x:c>
      <x:c r="G388" s="26" t="b">
        <x:v>1</x:v>
      </x:c>
      <x:c r="H388" s="16" t="n">
        <x:v>1.275</x:v>
      </x:c>
      <x:c r="I388" s="16" t="n">
        <x:v>4</x:v>
      </x:c>
      <x:c r="J388" s="16" t="n">
        <x:v>8.549999999999999</x:v>
      </x:c>
      <x:c r="K388" s="11" t="n">
        <x:f>CHOOSE('假设'!$B$3,H388,I388,J388)</x:f>
        <x:v>4</x:v>
      </x:c>
      <x:c r="L388" s="11" t="n">
        <x:f>K388*'管线假设'!E99*'管线假设'!F99*'管线假设'!G99*IF(E388="USD",'管线假设'!I99,1)-AM388</x:f>
        <x:v>0.1886976</x:v>
      </x:c>
      <x:c r="M388" s="11" t="n">
        <x:f>'管线假设'!H99</x:f>
        <x:v>0.13</x:v>
      </x:c>
      <x:c r="N388" s="11" t="n">
        <x:f>IF(G388,L388*AN388/(1+M388)^F388,0)</x:f>
        <x:v>0.06903625073556305</x:v>
      </x:c>
      <x:c r="AJ388" t="n">
        <x:v>0</x:v>
      </x:c>
      <x:c r="AK388" t="n">
        <x:v>0</x:v>
      </x:c>
      <x:c r="AL388" t="n">
        <x:v>0</x:v>
      </x:c>
      <x:c r="AM388" t="n">
        <x:f>CHOOSE('假设'!$B$3,AJ388,AK388,AL388)</x:f>
        <x:v>0</x:v>
      </x:c>
      <x:c r="AN388" t="n">
        <x:v>1</x:v>
      </x:c>
    </x:row>
    <x:row r="389" ht="23" customHeight="1">
      <x:c r="A389" s="11" t="str">
        <x:v>01093.HK</x:v>
      </x:c>
      <x:c r="B389" s="11" t="str">
        <x:v>三年</x:v>
      </x:c>
      <x:c r="C389" s="11" t="str">
        <x:v>OTHER_OVERSEAS</x:v>
      </x:c>
      <x:c r="D389" s="11" t="str">
        <x:v>2038-12-31</x:v>
      </x:c>
      <x:c r="E389" s="11" t="str">
        <x:v>USD</x:v>
      </x:c>
      <x:c r="F389" s="11" t="n">
        <x:v>9.22655715263518</x:v>
      </x:c>
      <x:c r="G389" s="26" t="b">
        <x:v>1</x:v>
      </x:c>
      <x:c r="H389" s="16" t="n">
        <x:v>1.5</x:v>
      </x:c>
      <x:c r="I389" s="16" t="n">
        <x:v>3.8</x:v>
      </x:c>
      <x:c r="J389" s="16" t="n">
        <x:v>7.92</x:v>
      </x:c>
      <x:c r="K389" s="11" t="n">
        <x:f>CHOOSE('假设'!$B$3,H389,I389,J389)</x:f>
        <x:v>3.8</x:v>
      </x:c>
      <x:c r="L389" s="11" t="n">
        <x:f>K389*'管线假设'!E99*'管线假设'!F99*'管线假设'!G99*IF(E389="USD",'管线假设'!I99,1)-AM389</x:f>
        <x:v>0.17926272</x:v>
      </x:c>
      <x:c r="M389" s="11" t="n">
        <x:f>'管线假设'!H99</x:f>
        <x:v>0.13</x:v>
      </x:c>
      <x:c r="N389" s="11" t="n">
        <x:f>IF(G389,L389*AN389/(1+M389)^F389,0)</x:f>
        <x:v>0.05804418123026378</x:v>
      </x:c>
      <x:c r="AJ389" t="n">
        <x:v>0</x:v>
      </x:c>
      <x:c r="AK389" t="n">
        <x:v>0</x:v>
      </x:c>
      <x:c r="AL389" t="n">
        <x:v>0</x:v>
      </x:c>
      <x:c r="AM389" t="n">
        <x:f>CHOOSE('假设'!$B$3,AJ389,AK389,AL389)</x:f>
        <x:v>0</x:v>
      </x:c>
      <x:c r="AN389" t="n">
        <x:v>1</x:v>
      </x:c>
    </x:row>
    <x:row r="390" ht="23" customHeight="1">
      <x:c r="A390" s="11" t="str">
        <x:v>01093.HK</x:v>
      </x:c>
      <x:c r="B390" s="11" t="str">
        <x:v>三年</x:v>
      </x:c>
      <x:c r="C390" s="11" t="str">
        <x:v>OTHER_OVERSEAS</x:v>
      </x:c>
      <x:c r="D390" s="11" t="str">
        <x:v>2039-12-31</x:v>
      </x:c>
      <x:c r="E390" s="11" t="str">
        <x:v>USD</x:v>
      </x:c>
      <x:c r="F390" s="11" t="n">
        <x:v>10.225872689938399</x:v>
      </x:c>
      <x:c r="G390" s="26" t="b">
        <x:v>1</x:v>
      </x:c>
      <x:c r="H390" s="16" t="n">
        <x:v>1.5</x:v>
      </x:c>
      <x:c r="I390" s="16" t="n">
        <x:v>3.52</x:v>
      </x:c>
      <x:c r="J390" s="16" t="n">
        <x:v>6.75</x:v>
      </x:c>
      <x:c r="K390" s="11" t="n">
        <x:f>CHOOSE('假设'!$B$3,H390,I390,J390)</x:f>
        <x:v>3.52</x:v>
      </x:c>
      <x:c r="L390" s="11" t="n">
        <x:f>K390*'管线假设'!E99*'管线假设'!F99*'管线假设'!G99*IF(E390="USD",'管线假设'!I99,1)-AM390</x:f>
        <x:v>0.166053888</x:v>
      </x:c>
      <x:c r="M390" s="11" t="n">
        <x:f>'管线假设'!H99</x:f>
        <x:v>0.13</x:v>
      </x:c>
      <x:c r="N390" s="11" t="n">
        <x:f>IF(G390,L390*AN390/(1+M390)^F390,0)</x:f>
        <x:v>0.04758561023179512</x:v>
      </x:c>
      <x:c r="AJ390" t="n">
        <x:v>0</x:v>
      </x:c>
      <x:c r="AK390" t="n">
        <x:v>0</x:v>
      </x:c>
      <x:c r="AL390" t="n">
        <x:v>0</x:v>
      </x:c>
      <x:c r="AM390" t="n">
        <x:f>CHOOSE('假设'!$B$3,AJ390,AK390,AL390)</x:f>
        <x:v>0</x:v>
      </x:c>
      <x:c r="AN390" t="n">
        <x:v>1</x:v>
      </x:c>
    </x:row>
    <x:row r="391" ht="23" customHeight="1">
      <x:c r="A391" s="11" t="str">
        <x:v>01093.HK</x:v>
      </x:c>
      <x:c r="B391" s="11" t="str">
        <x:v>三年</x:v>
      </x:c>
      <x:c r="C391" s="11" t="str">
        <x:v>OTHER_OVERSEAS</x:v>
      </x:c>
      <x:c r="D391" s="11" t="str">
        <x:v>2040-12-31</x:v>
      </x:c>
      <x:c r="E391" s="11" t="str">
        <x:v>USD</x:v>
      </x:c>
      <x:c r="F391" s="11" t="n">
        <x:v>11.227926078028748</x:v>
      </x:c>
      <x:c r="G391" s="26" t="b">
        <x:v>1</x:v>
      </x:c>
      <x:c r="H391" s="16" t="n">
        <x:v>1.4249999999999998</x:v>
      </x:c>
      <x:c r="I391" s="16" t="n">
        <x:v>3</x:v>
      </x:c>
      <x:c r="J391" s="16" t="n">
        <x:v>5.3999999999999995</x:v>
      </x:c>
      <x:c r="K391" s="11" t="n">
        <x:f>CHOOSE('假设'!$B$3,H391,I391,J391)</x:f>
        <x:v>3</x:v>
      </x:c>
      <x:c r="L391" s="11" t="n">
        <x:f>K391*'管线假设'!E99*'管线假设'!F99*'管线假设'!G99*IF(E391="USD",'管线假设'!I99,1)-AM391</x:f>
        <x:v>0.14152320000000002</x:v>
      </x:c>
      <x:c r="M391" s="11" t="n">
        <x:f>'管线假设'!H99</x:f>
        <x:v>0.13</x:v>
      </x:c>
      <x:c r="N391" s="11" t="n">
        <x:f>IF(G391,L391*AN391/(1+M391)^F391,0)</x:f>
        <x:v>0.03588118687229013</x:v>
      </x:c>
      <x:c r="AJ391" t="n">
        <x:v>0</x:v>
      </x:c>
      <x:c r="AK391" t="n">
        <x:v>0</x:v>
      </x:c>
      <x:c r="AL391" t="n">
        <x:v>0</x:v>
      </x:c>
      <x:c r="AM391" t="n">
        <x:f>CHOOSE('假设'!$B$3,AJ391,AK391,AL391)</x:f>
        <x:v>0</x:v>
      </x:c>
      <x:c r="AN391" t="n">
        <x:v>1</x:v>
      </x:c>
    </x:row>
    <x:row r="392" ht="23" customHeight="1">
      <x:c r="A392" s="11" t="str">
        <x:v>01093.HK</x:v>
      </x:c>
      <x:c r="B392" s="11" t="str">
        <x:v>三年</x:v>
      </x:c>
      <x:c r="C392" s="11" t="str">
        <x:v>OTHER_OVERSEAS</x:v>
      </x:c>
      <x:c r="D392" s="11" t="str">
        <x:v>2041-12-31</x:v>
      </x:c>
      <x:c r="E392" s="11" t="str">
        <x:v>USD</x:v>
      </x:c>
      <x:c r="F392" s="11" t="n">
        <x:v>12.227241615331964</x:v>
      </x:c>
      <x:c r="G392" s="26" t="b">
        <x:v>1</x:v>
      </x:c>
      <x:c r="H392" s="16" t="n">
        <x:v>1.32</x:v>
      </x:c>
      <x:c r="I392" s="16" t="n">
        <x:v>2.4</x:v>
      </x:c>
      <x:c r="J392" s="16" t="n">
        <x:v>4.05</x:v>
      </x:c>
      <x:c r="K392" s="11" t="n">
        <x:f>CHOOSE('假设'!$B$3,H392,I392,J392)</x:f>
        <x:v>2.4</x:v>
      </x:c>
      <x:c r="L392" s="11" t="n">
        <x:f>K392*'管线假设'!E99*'管线假设'!F99*'管线假设'!G99*IF(E392="USD",'管线假设'!I99,1)-AM392</x:f>
        <x:v>0.11321856</x:v>
      </x:c>
      <x:c r="M392" s="11" t="n">
        <x:f>'管线假设'!H99</x:f>
        <x:v>0.13</x:v>
      </x:c>
      <x:c r="N392" s="11" t="n">
        <x:f>IF(G392,L392*AN392/(1+M392)^F392,0)</x:f>
        <x:v>0.02540473527893398</x:v>
      </x:c>
      <x:c r="AJ392" t="n">
        <x:v>0</x:v>
      </x:c>
      <x:c r="AK392" t="n">
        <x:v>0</x:v>
      </x:c>
      <x:c r="AL392" t="n">
        <x:v>0</x:v>
      </x:c>
      <x:c r="AM392" t="n">
        <x:f>CHOOSE('假设'!$B$3,AJ392,AK392,AL392)</x:f>
        <x:v>0</x:v>
      </x:c>
      <x:c r="AN392" t="n">
        <x:v>1</x:v>
      </x:c>
    </x:row>
    <x:row r="393" ht="23" customHeight="1">
      <x:c r="A393" s="11" t="str">
        <x:v>01093.HK</x:v>
      </x:c>
      <x:c r="B393" s="11" t="str">
        <x:v>三年</x:v>
      </x:c>
      <x:c r="C393" s="11" t="str">
        <x:v>OTHER_OVERSEAS</x:v>
      </x:c>
      <x:c r="D393" s="11" t="str">
        <x:v>2042-12-31</x:v>
      </x:c>
      <x:c r="E393" s="11" t="str">
        <x:v>USD</x:v>
      </x:c>
      <x:c r="F393" s="11" t="n">
        <x:v>13.22655715263518</x:v>
      </x:c>
      <x:c r="G393" s="26" t="b">
        <x:v>1</x:v>
      </x:c>
      <x:c r="H393" s="16" t="n">
        <x:v>1.125</x:v>
      </x:c>
      <x:c r="I393" s="16" t="n">
        <x:v>1.8</x:v>
      </x:c>
      <x:c r="J393" s="16" t="n">
        <x:v>2.6999999999999997</x:v>
      </x:c>
      <x:c r="K393" s="11" t="n">
        <x:f>CHOOSE('假设'!$B$3,H393,I393,J393)</x:f>
        <x:v>1.8</x:v>
      </x:c>
      <x:c r="L393" s="11" t="n">
        <x:f>K393*'管线假设'!E99*'管线假设'!F99*'管线假设'!G99*IF(E393="USD",'管线假设'!I99,1)-AM393</x:f>
        <x:v>0.08491392000000002</x:v>
      </x:c>
      <x:c r="M393" s="11" t="n">
        <x:f>'管线假设'!H99</x:f>
        <x:v>0.13</x:v>
      </x:c>
      <x:c r="N393" s="11" t="n">
        <x:f>IF(G393,L393*AN393/(1+M393)^F393,0)</x:f>
        <x:v>0.016862960549054156</x:v>
      </x:c>
      <x:c r="AJ393" t="n">
        <x:v>0</x:v>
      </x:c>
      <x:c r="AK393" t="n">
        <x:v>0</x:v>
      </x:c>
      <x:c r="AL393" t="n">
        <x:v>0</x:v>
      </x:c>
      <x:c r="AM393" t="n">
        <x:f>CHOOSE('假设'!$B$3,AJ393,AK393,AL393)</x:f>
        <x:v>0</x:v>
      </x:c>
      <x:c r="AN393" t="n">
        <x:v>1</x:v>
      </x:c>
    </x:row>
    <x:row r="394" ht="23" customHeight="1">
      <x:c r="A394" s="11" t="str">
        <x:v>01093.HK</x:v>
      </x:c>
      <x:c r="B394" s="11" t="str">
        <x:v>三年</x:v>
      </x:c>
      <x:c r="C394" s="11" t="str">
        <x:v>OTHER_OVERSEAS</x:v>
      </x:c>
      <x:c r="D394" s="11" t="str">
        <x:v>2043-12-31</x:v>
      </x:c>
      <x:c r="E394" s="11" t="str">
        <x:v>USD</x:v>
      </x:c>
      <x:c r="F394" s="11" t="n">
        <x:v>14.225872689938399</x:v>
      </x:c>
      <x:c r="G394" s="26" t="b">
        <x:v>1</x:v>
      </x:c>
      <x:c r="H394" s="16" t="n">
        <x:v>0.8999999999999999</x:v>
      </x:c>
      <x:c r="I394" s="16" t="n">
        <x:v>1.2</x:v>
      </x:c>
      <x:c r="J394" s="16" t="n">
        <x:v>1.6199999999999999</x:v>
      </x:c>
      <x:c r="K394" s="11" t="n">
        <x:f>CHOOSE('假设'!$B$3,H394,I394,J394)</x:f>
        <x:v>1.2</x:v>
      </x:c>
      <x:c r="L394" s="11" t="n">
        <x:f>K394*'管线假设'!E99*'管线假设'!F99*'管线假设'!G99*IF(E394="USD",'管线假设'!I99,1)-AM394</x:f>
        <x:v>0.05660928</x:v>
      </x:c>
      <x:c r="M394" s="11" t="n">
        <x:f>'管线假设'!H99</x:f>
        <x:v>0.13</x:v>
      </x:c>
      <x:c r="N394" s="11" t="n">
        <x:f>IF(G394,L394*AN394/(1+M394)^F394,0)</x:f>
        <x:v>0.009949481564731128</x:v>
      </x:c>
      <x:c r="AJ394" t="n">
        <x:v>0</x:v>
      </x:c>
      <x:c r="AK394" t="n">
        <x:v>0</x:v>
      </x:c>
      <x:c r="AL394" t="n">
        <x:v>0</x:v>
      </x:c>
      <x:c r="AM394" t="n">
        <x:f>CHOOSE('假设'!$B$3,AJ394,AK394,AL394)</x:f>
        <x:v>0</x:v>
      </x:c>
      <x:c r="AN394" t="n">
        <x:v>1</x:v>
      </x:c>
    </x:row>
    <x:row r="395" ht="23" customHeight="1">
      <x:c r="A395" s="11" t="str">
        <x:v>01093.HK</x:v>
      </x:c>
      <x:c r="B395" s="11" t="str">
        <x:v>五年</x:v>
      </x:c>
      <x:c r="C395" s="11" t="str">
        <x:v>SYS6010_DOM</x:v>
      </x:c>
      <x:c r="D395" s="11" t="str">
        <x:v>2027-12-31</x:v>
      </x:c>
      <x:c r="E395" s="11" t="str">
        <x:v>CNY</x:v>
      </x:c>
      <x:c r="F395" s="11" t="n">
        <x:v>-3.7727583846680357</x:v>
      </x:c>
      <x:c r="G395" s="26" t="b">
        <x:v>0</x:v>
      </x:c>
      <x:c r="H395" s="16" t="n">
        <x:v>0</x:v>
      </x:c>
      <x:c r="I395" s="16" t="n">
        <x:v>0.4</x:v>
      </x:c>
      <x:c r="J395" s="16" t="n">
        <x:v>0.72</x:v>
      </x:c>
      <x:c r="K395" s="11" t="n">
        <x:f>CHOOSE('假设'!$B$3,H395,I395,J395)</x:f>
        <x:v>0.4</x:v>
      </x:c>
      <x:c r="L395" s="11" t="n">
        <x:f>K395*'管线假设'!E103*'管线假设'!F103*'管线假设'!G103*IF(E395="USD",'管线假设'!I103,1)-AM395</x:f>
        <x:v>0.05319999999999999</x:v>
      </x:c>
      <x:c r="M395" s="11" t="n">
        <x:f>'管线假设'!H103</x:f>
        <x:v>0.13</x:v>
      </x:c>
      <x:c r="N395" s="11" t="n">
        <x:f>IF(G395,L395*AN395/(1+M395)^F395,0)</x:f>
        <x:v>0</x:v>
      </x:c>
      <x:c r="AJ395" t="n">
        <x:v>0</x:v>
      </x:c>
      <x:c r="AK395" t="n">
        <x:v>0</x:v>
      </x:c>
      <x:c r="AL395" t="n">
        <x:v>0</x:v>
      </x:c>
      <x:c r="AM395" t="n">
        <x:f>CHOOSE('假设'!$B$3,AJ395,AK395,AL395)</x:f>
        <x:v>0</x:v>
      </x:c>
      <x:c r="AN395" t="n">
        <x:v>1</x:v>
      </x:c>
    </x:row>
    <x:row r="396" ht="23" customHeight="1">
      <x:c r="A396" s="11" t="str">
        <x:v>01093.HK</x:v>
      </x:c>
      <x:c r="B396" s="11" t="str">
        <x:v>五年</x:v>
      </x:c>
      <x:c r="C396" s="11" t="str">
        <x:v>SYS6010_DOM</x:v>
      </x:c>
      <x:c r="D396" s="11" t="str">
        <x:v>2028-12-31</x:v>
      </x:c>
      <x:c r="E396" s="11" t="str">
        <x:v>CNY</x:v>
      </x:c>
      <x:c r="F396" s="11" t="n">
        <x:v>-2.7707049965776864</x:v>
      </x:c>
      <x:c r="G396" s="26" t="b">
        <x:v>0</x:v>
      </x:c>
      <x:c r="H396" s="16" t="n">
        <x:v>0</x:v>
      </x:c>
      <x:c r="I396" s="16" t="n">
        <x:v>1.25</x:v>
      </x:c>
      <x:c r="J396" s="16" t="n">
        <x:v>2.25</x:v>
      </x:c>
      <x:c r="K396" s="11" t="n">
        <x:f>CHOOSE('假设'!$B$3,H396,I396,J396)</x:f>
        <x:v>1.25</x:v>
      </x:c>
      <x:c r="L396" s="11" t="n">
        <x:f>K396*'管线假设'!E103*'管线假设'!F103*'管线假设'!G103*IF(E396="USD",'管线假设'!I103,1)-AM396</x:f>
        <x:v>0.16625</x:v>
      </x:c>
      <x:c r="M396" s="11" t="n">
        <x:f>'管线假设'!H103</x:f>
        <x:v>0.13</x:v>
      </x:c>
      <x:c r="N396" s="11" t="n">
        <x:f>IF(G396,L396*AN396/(1+M396)^F396,0)</x:f>
        <x:v>0</x:v>
      </x:c>
      <x:c r="AJ396" t="n">
        <x:v>0</x:v>
      </x:c>
      <x:c r="AK396" t="n">
        <x:v>0</x:v>
      </x:c>
      <x:c r="AL396" t="n">
        <x:v>0</x:v>
      </x:c>
      <x:c r="AM396" t="n">
        <x:f>CHOOSE('假设'!$B$3,AJ396,AK396,AL396)</x:f>
        <x:v>0</x:v>
      </x:c>
      <x:c r="AN396" t="n">
        <x:v>1</x:v>
      </x:c>
    </x:row>
    <x:row r="397" ht="23" customHeight="1">
      <x:c r="A397" s="11" t="str">
        <x:v>01093.HK</x:v>
      </x:c>
      <x:c r="B397" s="11" t="str">
        <x:v>五年</x:v>
      </x:c>
      <x:c r="C397" s="11" t="str">
        <x:v>SYS6010_DOM</x:v>
      </x:c>
      <x:c r="D397" s="11" t="str">
        <x:v>2029-12-31</x:v>
      </x:c>
      <x:c r="E397" s="11" t="str">
        <x:v>CNY</x:v>
      </x:c>
      <x:c r="F397" s="11" t="n">
        <x:v>-1.7713894592744694</x:v>
      </x:c>
      <x:c r="G397" s="26" t="b">
        <x:v>0</x:v>
      </x:c>
      <x:c r="H397" s="16" t="n">
        <x:v>0.14400000000000002</x:v>
      </x:c>
      <x:c r="I397" s="16" t="n">
        <x:v>2.25</x:v>
      </x:c>
      <x:c r="J397" s="16" t="n">
        <x:v>4.05</x:v>
      </x:c>
      <x:c r="K397" s="11" t="n">
        <x:f>CHOOSE('假设'!$B$3,H397,I397,J397)</x:f>
        <x:v>2.25</x:v>
      </x:c>
      <x:c r="L397" s="11" t="n">
        <x:f>K397*'管线假设'!E103*'管线假设'!F103*'管线假设'!G103*IF(E397="USD",'管线假设'!I103,1)-AM397</x:f>
        <x:v>0.29924999999999996</x:v>
      </x:c>
      <x:c r="M397" s="11" t="n">
        <x:f>'管线假设'!H103</x:f>
        <x:v>0.13</x:v>
      </x:c>
      <x:c r="N397" s="11" t="n">
        <x:f>IF(G397,L397*AN397/(1+M397)^F397,0)</x:f>
        <x:v>0</x:v>
      </x:c>
      <x:c r="AJ397" t="n">
        <x:v>0</x:v>
      </x:c>
      <x:c r="AK397" t="n">
        <x:v>0</x:v>
      </x:c>
      <x:c r="AL397" t="n">
        <x:v>0</x:v>
      </x:c>
      <x:c r="AM397" t="n">
        <x:f>CHOOSE('假设'!$B$3,AJ397,AK397,AL397)</x:f>
        <x:v>0</x:v>
      </x:c>
      <x:c r="AN397" t="n">
        <x:v>1</x:v>
      </x:c>
    </x:row>
    <x:row r="398" ht="23" customHeight="1">
      <x:c r="A398" s="11" t="str">
        <x:v>01093.HK</x:v>
      </x:c>
      <x:c r="B398" s="11" t="str">
        <x:v>五年</x:v>
      </x:c>
      <x:c r="C398" s="11" t="str">
        <x:v>SYS6010_DOM</x:v>
      </x:c>
      <x:c r="D398" s="11" t="str">
        <x:v>2030-12-31</x:v>
      </x:c>
      <x:c r="E398" s="11" t="str">
        <x:v>CNY</x:v>
      </x:c>
      <x:c r="F398" s="11" t="n">
        <x:v>-0.7720739219712526</x:v>
      </x:c>
      <x:c r="G398" s="26" t="b">
        <x:v>0</x:v>
      </x:c>
      <x:c r="H398" s="16" t="n">
        <x:v>0.45</x:v>
      </x:c>
      <x:c r="I398" s="16" t="n">
        <x:v>3.25</x:v>
      </x:c>
      <x:c r="J398" s="16" t="n">
        <x:v>5.8500000000000005</x:v>
      </x:c>
      <x:c r="K398" s="11" t="n">
        <x:f>CHOOSE('假设'!$B$3,H398,I398,J398)</x:f>
        <x:v>3.25</x:v>
      </x:c>
      <x:c r="L398" s="11" t="n">
        <x:f>K398*'管线假设'!E103*'管线假设'!F103*'管线假设'!G103*IF(E398="USD",'管线假设'!I103,1)-AM398</x:f>
        <x:v>0.43224999999999997</x:v>
      </x:c>
      <x:c r="M398" s="11" t="n">
        <x:f>'管线假设'!H103</x:f>
        <x:v>0.13</x:v>
      </x:c>
      <x:c r="N398" s="11" t="n">
        <x:f>IF(G398,L398*AN398/(1+M398)^F398,0)</x:f>
        <x:v>0</x:v>
      </x:c>
      <x:c r="AJ398" t="n">
        <x:v>0</x:v>
      </x:c>
      <x:c r="AK398" t="n">
        <x:v>0</x:v>
      </x:c>
      <x:c r="AL398" t="n">
        <x:v>0</x:v>
      </x:c>
      <x:c r="AM398" t="n">
        <x:f>CHOOSE('假设'!$B$3,AJ398,AK398,AL398)</x:f>
        <x:v>0</x:v>
      </x:c>
      <x:c r="AN398" t="n">
        <x:v>1</x:v>
      </x:c>
    </x:row>
    <x:row r="399" ht="23" customHeight="1">
      <x:c r="A399" s="11" t="str">
        <x:v>01093.HK</x:v>
      </x:c>
      <x:c r="B399" s="11" t="str">
        <x:v>五年</x:v>
      </x:c>
      <x:c r="C399" s="11" t="str">
        <x:v>SYS6010_DOM</x:v>
      </x:c>
      <x:c r="D399" s="11" t="str">
        <x:v>2031-12-31</x:v>
      </x:c>
      <x:c r="E399" s="11" t="str">
        <x:v>CNY</x:v>
      </x:c>
      <x:c r="F399" s="11" t="n">
        <x:v>0.2272416153319644</x:v>
      </x:c>
      <x:c r="G399" s="26" t="b">
        <x:v>1</x:v>
      </x:c>
      <x:c r="H399" s="16" t="n">
        <x:v>0.81</x:v>
      </x:c>
      <x:c r="I399" s="16" t="n">
        <x:v>4.25</x:v>
      </x:c>
      <x:c r="J399" s="16" t="n">
        <x:v>7.6499999999999995</x:v>
      </x:c>
      <x:c r="K399" s="11" t="n">
        <x:f>CHOOSE('假设'!$B$3,H399,I399,J399)</x:f>
        <x:v>4.25</x:v>
      </x:c>
      <x:c r="L399" s="11" t="n">
        <x:f>K399*'管线假设'!E103*'管线假设'!F103*'管线假设'!G103*IF(E399="USD",'管线假设'!I103,1)-AM399</x:f>
        <x:v>0.5652499999999999</x:v>
      </x:c>
      <x:c r="M399" s="11" t="n">
        <x:f>'管线假设'!H103</x:f>
        <x:v>0.13</x:v>
      </x:c>
      <x:c r="N399" s="11" t="n">
        <x:f>IF(G399,L399*AN399/(1+M399)^F399,0)</x:f>
        <x:v>0.54976734457874</x:v>
      </x:c>
      <x:c r="AJ399" t="n">
        <x:v>0</x:v>
      </x:c>
      <x:c r="AK399" t="n">
        <x:v>0</x:v>
      </x:c>
      <x:c r="AL399" t="n">
        <x:v>0</x:v>
      </x:c>
      <x:c r="AM399" t="n">
        <x:f>CHOOSE('假设'!$B$3,AJ399,AK399,AL399)</x:f>
        <x:v>0</x:v>
      </x:c>
      <x:c r="AN399" t="n">
        <x:v>1</x:v>
      </x:c>
    </x:row>
    <x:row r="400" ht="23" customHeight="1">
      <x:c r="A400" s="11" t="str">
        <x:v>01093.HK</x:v>
      </x:c>
      <x:c r="B400" s="11" t="str">
        <x:v>五年</x:v>
      </x:c>
      <x:c r="C400" s="11" t="str">
        <x:v>SYS6010_DOM</x:v>
      </x:c>
      <x:c r="D400" s="11" t="str">
        <x:v>2032-12-31</x:v>
      </x:c>
      <x:c r="E400" s="11" t="str">
        <x:v>CNY</x:v>
      </x:c>
      <x:c r="F400" s="11" t="n">
        <x:v>1.2292950034223136</x:v>
      </x:c>
      <x:c r="G400" s="26" t="b">
        <x:v>1</x:v>
      </x:c>
      <x:c r="H400" s="16" t="n">
        <x:v>1.1700000000000002</x:v>
      </x:c>
      <x:c r="I400" s="16" t="n">
        <x:v>5</x:v>
      </x:c>
      <x:c r="J400" s="16" t="n">
        <x:v>9</x:v>
      </x:c>
      <x:c r="K400" s="11" t="n">
        <x:f>CHOOSE('假设'!$B$3,H400,I400,J400)</x:f>
        <x:v>5</x:v>
      </x:c>
      <x:c r="L400" s="11" t="n">
        <x:f>K400*'管线假设'!E103*'管线假设'!F103*'管线假设'!G103*IF(E400="USD",'管线假设'!I103,1)-AM400</x:f>
        <x:v>0.665</x:v>
      </x:c>
      <x:c r="M400" s="11" t="n">
        <x:f>'管线假设'!H103</x:f>
        <x:v>0.13</x:v>
      </x:c>
      <x:c r="N400" s="11" t="n">
        <x:f>IF(G400,L400*AN400/(1+M400)^F400,0)</x:f>
        <x:v>0.5722325790210335</x:v>
      </x:c>
      <x:c r="AJ400" t="n">
        <x:v>0</x:v>
      </x:c>
      <x:c r="AK400" t="n">
        <x:v>0</x:v>
      </x:c>
      <x:c r="AL400" t="n">
        <x:v>0</x:v>
      </x:c>
      <x:c r="AM400" t="n">
        <x:f>CHOOSE('假设'!$B$3,AJ400,AK400,AL400)</x:f>
        <x:v>0</x:v>
      </x:c>
      <x:c r="AN400" t="n">
        <x:v>1</x:v>
      </x:c>
    </x:row>
    <x:row r="401" ht="23" customHeight="1">
      <x:c r="A401" s="11" t="str">
        <x:v>01093.HK</x:v>
      </x:c>
      <x:c r="B401" s="11" t="str">
        <x:v>五年</x:v>
      </x:c>
      <x:c r="C401" s="11" t="str">
        <x:v>SYS6010_DOM</x:v>
      </x:c>
      <x:c r="D401" s="11" t="str">
        <x:v>2033-12-31</x:v>
      </x:c>
      <x:c r="E401" s="11" t="str">
        <x:v>CNY</x:v>
      </x:c>
      <x:c r="F401" s="11" t="n">
        <x:v>2.2286105407255303</x:v>
      </x:c>
      <x:c r="G401" s="26" t="b">
        <x:v>1</x:v>
      </x:c>
      <x:c r="H401" s="16" t="n">
        <x:v>1.53</x:v>
      </x:c>
      <x:c r="I401" s="16" t="n">
        <x:v>5</x:v>
      </x:c>
      <x:c r="J401" s="16" t="n">
        <x:v>9</x:v>
      </x:c>
      <x:c r="K401" s="11" t="n">
        <x:f>CHOOSE('假设'!$B$3,H401,I401,J401)</x:f>
        <x:v>5</x:v>
      </x:c>
      <x:c r="L401" s="11" t="n">
        <x:f>K401*'管线假设'!E103*'管线假设'!F103*'管线假设'!G103*IF(E401="USD",'管线假设'!I103,1)-AM401</x:f>
        <x:v>0.665</x:v>
      </x:c>
      <x:c r="M401" s="11" t="n">
        <x:f>'管线假设'!H103</x:f>
        <x:v>0.13</x:v>
      </x:c>
      <x:c r="N401" s="11" t="n">
        <x:f>IF(G401,L401*AN401/(1+M401)^F401,0)</x:f>
        <x:v>0.5064428763098483</x:v>
      </x:c>
      <x:c r="AJ401" t="n">
        <x:v>0</x:v>
      </x:c>
      <x:c r="AK401" t="n">
        <x:v>0</x:v>
      </x:c>
      <x:c r="AL401" t="n">
        <x:v>0</x:v>
      </x:c>
      <x:c r="AM401" t="n">
        <x:f>CHOOSE('假设'!$B$3,AJ401,AK401,AL401)</x:f>
        <x:v>0</x:v>
      </x:c>
      <x:c r="AN401" t="n">
        <x:v>1</x:v>
      </x:c>
    </x:row>
    <x:row r="402" ht="23" customHeight="1">
      <x:c r="A402" s="11" t="str">
        <x:v>01093.HK</x:v>
      </x:c>
      <x:c r="B402" s="11" t="str">
        <x:v>五年</x:v>
      </x:c>
      <x:c r="C402" s="11" t="str">
        <x:v>SYS6010_DOM</x:v>
      </x:c>
      <x:c r="D402" s="11" t="str">
        <x:v>2034-12-31</x:v>
      </x:c>
      <x:c r="E402" s="11" t="str">
        <x:v>CNY</x:v>
      </x:c>
      <x:c r="F402" s="11" t="n">
        <x:v>3.2279260780287475</x:v>
      </x:c>
      <x:c r="G402" s="26" t="b">
        <x:v>1</x:v>
      </x:c>
      <x:c r="H402" s="16" t="n">
        <x:v>1.8</x:v>
      </x:c>
      <x:c r="I402" s="16" t="n">
        <x:v>4.75</x:v>
      </x:c>
      <x:c r="J402" s="16" t="n">
        <x:v>8.549999999999999</x:v>
      </x:c>
      <x:c r="K402" s="11" t="n">
        <x:f>CHOOSE('假设'!$B$3,H402,I402,J402)</x:f>
        <x:v>4.75</x:v>
      </x:c>
      <x:c r="L402" s="11" t="n">
        <x:f>K402*'管线假设'!E103*'管线假设'!F103*'管线假设'!G103*IF(E402="USD",'管线假设'!I103,1)-AM402</x:f>
        <x:v>0.63175</x:v>
      </x:c>
      <x:c r="M402" s="11" t="n">
        <x:f>'管线假设'!H103</x:f>
        <x:v>0.13</x:v>
      </x:c>
      <x:c r="N402" s="11" t="n">
        <x:f>IF(G402,L402*AN402/(1+M402)^F402,0)</x:f>
        <x:v>0.42580617837871554</x:v>
      </x:c>
      <x:c r="AJ402" t="n">
        <x:v>0</x:v>
      </x:c>
      <x:c r="AK402" t="n">
        <x:v>0</x:v>
      </x:c>
      <x:c r="AL402" t="n">
        <x:v>0</x:v>
      </x:c>
      <x:c r="AM402" t="n">
        <x:f>CHOOSE('假设'!$B$3,AJ402,AK402,AL402)</x:f>
        <x:v>0</x:v>
      </x:c>
      <x:c r="AN402" t="n">
        <x:v>1</x:v>
      </x:c>
    </x:row>
    <x:row r="403" ht="23" customHeight="1">
      <x:c r="A403" s="11" t="str">
        <x:v>01093.HK</x:v>
      </x:c>
      <x:c r="B403" s="11" t="str">
        <x:v>五年</x:v>
      </x:c>
      <x:c r="C403" s="11" t="str">
        <x:v>SYS6010_DOM</x:v>
      </x:c>
      <x:c r="D403" s="11" t="str">
        <x:v>2035-12-31</x:v>
      </x:c>
      <x:c r="E403" s="11" t="str">
        <x:v>CNY</x:v>
      </x:c>
      <x:c r="F403" s="11" t="n">
        <x:v>4.227241615331964</x:v>
      </x:c>
      <x:c r="G403" s="26" t="b">
        <x:v>1</x:v>
      </x:c>
      <x:c r="H403" s="16" t="n">
        <x:v>1.8</x:v>
      </x:c>
      <x:c r="I403" s="16" t="n">
        <x:v>4.4</x:v>
      </x:c>
      <x:c r="J403" s="16" t="n">
        <x:v>7.92</x:v>
      </x:c>
      <x:c r="K403" s="11" t="n">
        <x:f>CHOOSE('假设'!$B$3,H403,I403,J403)</x:f>
        <x:v>4.4</x:v>
      </x:c>
      <x:c r="L403" s="11" t="n">
        <x:f>K403*'管线假设'!E103*'管线假设'!F103*'管线假设'!G103*IF(E403="USD",'管线假设'!I103,1)-AM403</x:f>
        <x:v>0.5852</x:v>
      </x:c>
      <x:c r="M403" s="11" t="n">
        <x:f>'管线假设'!H103</x:f>
        <x:v>0.13</x:v>
      </x:c>
      <x:c r="N403" s="11" t="n">
        <x:f>IF(G403,L403*AN403/(1+M403)^F403,0)</x:f>
        <x:v>0.3490831709424684</x:v>
      </x:c>
      <x:c r="AJ403" t="n">
        <x:v>0</x:v>
      </x:c>
      <x:c r="AK403" t="n">
        <x:v>0</x:v>
      </x:c>
      <x:c r="AL403" t="n">
        <x:v>0</x:v>
      </x:c>
      <x:c r="AM403" t="n">
        <x:f>CHOOSE('假设'!$B$3,AJ403,AK403,AL403)</x:f>
        <x:v>0</x:v>
      </x:c>
      <x:c r="AN403" t="n">
        <x:v>1</x:v>
      </x:c>
    </x:row>
    <x:row r="404" ht="23" customHeight="1">
      <x:c r="A404" s="11" t="str">
        <x:v>01093.HK</x:v>
      </x:c>
      <x:c r="B404" s="11" t="str">
        <x:v>五年</x:v>
      </x:c>
      <x:c r="C404" s="11" t="str">
        <x:v>SYS6010_DOM</x:v>
      </x:c>
      <x:c r="D404" s="11" t="str">
        <x:v>2036-12-31</x:v>
      </x:c>
      <x:c r="E404" s="11" t="str">
        <x:v>CNY</x:v>
      </x:c>
      <x:c r="F404" s="11" t="n">
        <x:v>5.229295003422314</x:v>
      </x:c>
      <x:c r="G404" s="26" t="b">
        <x:v>1</x:v>
      </x:c>
      <x:c r="H404" s="16" t="n">
        <x:v>1.71</x:v>
      </x:c>
      <x:c r="I404" s="16" t="n">
        <x:v>3.75</x:v>
      </x:c>
      <x:c r="J404" s="16" t="n">
        <x:v>6.75</x:v>
      </x:c>
      <x:c r="K404" s="11" t="n">
        <x:f>CHOOSE('假设'!$B$3,H404,I404,J404)</x:f>
        <x:v>3.75</x:v>
      </x:c>
      <x:c r="L404" s="11" t="n">
        <x:f>K404*'管线假设'!E103*'管线假设'!F103*'管线假设'!G103*IF(E404="USD",'管线假设'!I103,1)-AM404</x:f>
        <x:v>0.49874999999999997</x:v>
      </x:c>
      <x:c r="M404" s="11" t="n">
        <x:f>'管线假设'!H103</x:f>
        <x:v>0.13</x:v>
      </x:c>
      <x:c r="N404" s="11" t="n">
        <x:f>IF(G404,L404*AN404/(1+M404)^F404,0)</x:f>
        <x:v>0.26322071797640145</x:v>
      </x:c>
      <x:c r="AJ404" t="n">
        <x:v>0</x:v>
      </x:c>
      <x:c r="AK404" t="n">
        <x:v>0</x:v>
      </x:c>
      <x:c r="AL404" t="n">
        <x:v>0</x:v>
      </x:c>
      <x:c r="AM404" t="n">
        <x:f>CHOOSE('假设'!$B$3,AJ404,AK404,AL404)</x:f>
        <x:v>0</x:v>
      </x:c>
      <x:c r="AN404" t="n">
        <x:v>1</x:v>
      </x:c>
    </x:row>
    <x:row r="405" ht="23" customHeight="1">
      <x:c r="A405" s="11" t="str">
        <x:v>01093.HK</x:v>
      </x:c>
      <x:c r="B405" s="11" t="str">
        <x:v>五年</x:v>
      </x:c>
      <x:c r="C405" s="11" t="str">
        <x:v>SYS6010_DOM</x:v>
      </x:c>
      <x:c r="D405" s="11" t="str">
        <x:v>2037-12-31</x:v>
      </x:c>
      <x:c r="E405" s="11" t="str">
        <x:v>CNY</x:v>
      </x:c>
      <x:c r="F405" s="11" t="n">
        <x:v>6.228610540725531</x:v>
      </x:c>
      <x:c r="G405" s="26" t="b">
        <x:v>1</x:v>
      </x:c>
      <x:c r="H405" s="16" t="n">
        <x:v>1.584</x:v>
      </x:c>
      <x:c r="I405" s="16" t="n">
        <x:v>3</x:v>
      </x:c>
      <x:c r="J405" s="16" t="n">
        <x:v>5.3999999999999995</x:v>
      </x:c>
      <x:c r="K405" s="11" t="n">
        <x:f>CHOOSE('假设'!$B$3,H405,I405,J405)</x:f>
        <x:v>3</x:v>
      </x:c>
      <x:c r="L405" s="11" t="n">
        <x:f>K405*'管线假设'!E103*'管线假设'!F103*'管线假设'!G103*IF(E405="USD",'管线假设'!I103,1)-AM405</x:f>
        <x:v>0.3989999999999999</x:v>
      </x:c>
      <x:c r="M405" s="11" t="n">
        <x:f>'管线假设'!H103</x:f>
        <x:v>0.13</x:v>
      </x:c>
      <x:c r="N405" s="11" t="n">
        <x:f>IF(G405,L405*AN405/(1+M405)^F405,0)</x:f>
        <x:v>0.18636654032438402</x:v>
      </x:c>
      <x:c r="AJ405" t="n">
        <x:v>0</x:v>
      </x:c>
      <x:c r="AK405" t="n">
        <x:v>0</x:v>
      </x:c>
      <x:c r="AL405" t="n">
        <x:v>0</x:v>
      </x:c>
      <x:c r="AM405" t="n">
        <x:f>CHOOSE('假设'!$B$3,AJ405,AK405,AL405)</x:f>
        <x:v>0</x:v>
      </x:c>
      <x:c r="AN405" t="n">
        <x:v>1</x:v>
      </x:c>
    </x:row>
    <x:row r="406" ht="23" customHeight="1">
      <x:c r="A406" s="11" t="str">
        <x:v>01093.HK</x:v>
      </x:c>
      <x:c r="B406" s="11" t="str">
        <x:v>五年</x:v>
      </x:c>
      <x:c r="C406" s="11" t="str">
        <x:v>SYS6010_DOM</x:v>
      </x:c>
      <x:c r="D406" s="11" t="str">
        <x:v>2038-12-31</x:v>
      </x:c>
      <x:c r="E406" s="11" t="str">
        <x:v>CNY</x:v>
      </x:c>
      <x:c r="F406" s="11" t="n">
        <x:v>7.227926078028747</x:v>
      </x:c>
      <x:c r="G406" s="26" t="b">
        <x:v>1</x:v>
      </x:c>
      <x:c r="H406" s="16" t="n">
        <x:v>1.35</x:v>
      </x:c>
      <x:c r="I406" s="16" t="n">
        <x:v>2.25</x:v>
      </x:c>
      <x:c r="J406" s="16" t="n">
        <x:v>4.05</x:v>
      </x:c>
      <x:c r="K406" s="11" t="n">
        <x:f>CHOOSE('假设'!$B$3,H406,I406,J406)</x:f>
        <x:v>2.25</x:v>
      </x:c>
      <x:c r="L406" s="11" t="n">
        <x:f>K406*'管线假设'!E103*'管线假设'!F103*'管线假设'!G103*IF(E406="USD",'管线假设'!I103,1)-AM406</x:f>
        <x:v>0.29924999999999996</x:v>
      </x:c>
      <x:c r="M406" s="11" t="n">
        <x:f>'管线假设'!H103</x:f>
        <x:v>0.13</x:v>
      </x:c>
      <x:c r="N406" s="11" t="n">
        <x:f>IF(G406,L406*AN406/(1+M406)^F406,0)</x:f>
        <x:v>0.12370495431848759</x:v>
      </x:c>
      <x:c r="AJ406" t="n">
        <x:v>0</x:v>
      </x:c>
      <x:c r="AK406" t="n">
        <x:v>0</x:v>
      </x:c>
      <x:c r="AL406" t="n">
        <x:v>0</x:v>
      </x:c>
      <x:c r="AM406" t="n">
        <x:f>CHOOSE('假设'!$B$3,AJ406,AK406,AL406)</x:f>
        <x:v>0</x:v>
      </x:c>
      <x:c r="AN406" t="n">
        <x:v>1</x:v>
      </x:c>
    </x:row>
    <x:row r="407" ht="23" customHeight="1">
      <x:c r="A407" s="11" t="str">
        <x:v>01093.HK</x:v>
      </x:c>
      <x:c r="B407" s="11" t="str">
        <x:v>五年</x:v>
      </x:c>
      <x:c r="C407" s="11" t="str">
        <x:v>SYS6010_DOM</x:v>
      </x:c>
      <x:c r="D407" s="11" t="str">
        <x:v>2039-12-31</x:v>
      </x:c>
      <x:c r="E407" s="11" t="str">
        <x:v>CNY</x:v>
      </x:c>
      <x:c r="F407" s="11" t="n">
        <x:v>8.227241615331964</x:v>
      </x:c>
      <x:c r="G407" s="26" t="b">
        <x:v>1</x:v>
      </x:c>
      <x:c r="H407" s="16" t="n">
        <x:v>1.08</x:v>
      </x:c>
      <x:c r="I407" s="16" t="n">
        <x:v>1.5</x:v>
      </x:c>
      <x:c r="J407" s="16" t="n">
        <x:v>2.6999999999999997</x:v>
      </x:c>
      <x:c r="K407" s="11" t="n">
        <x:f>CHOOSE('假设'!$B$3,H407,I407,J407)</x:f>
        <x:v>1.5</x:v>
      </x:c>
      <x:c r="L407" s="11" t="n">
        <x:f>K407*'管线假设'!E103*'管线假设'!F103*'管线假设'!G103*IF(E407="USD",'管线假设'!I103,1)-AM407</x:f>
        <x:v>0.19949999999999996</x:v>
      </x:c>
      <x:c r="M407" s="11" t="n">
        <x:f>'管线假设'!H103</x:f>
        <x:v>0.13</x:v>
      </x:c>
      <x:c r="N407" s="11" t="n">
        <x:f>IF(G407,L407*AN407/(1+M407)^F407,0)</x:f>
        <x:v>0.07298837940569898</x:v>
      </x:c>
      <x:c r="AJ407" t="n">
        <x:v>0</x:v>
      </x:c>
      <x:c r="AK407" t="n">
        <x:v>0</x:v>
      </x:c>
      <x:c r="AL407" t="n">
        <x:v>0</x:v>
      </x:c>
      <x:c r="AM407" t="n">
        <x:f>CHOOSE('假设'!$B$3,AJ407,AK407,AL407)</x:f>
        <x:v>0</x:v>
      </x:c>
      <x:c r="AN407" t="n">
        <x:v>1</x:v>
      </x:c>
    </x:row>
    <x:row r="408" ht="23" customHeight="1">
      <x:c r="A408" s="11" t="str">
        <x:v>01093.HK</x:v>
      </x:c>
      <x:c r="B408" s="11" t="str">
        <x:v>五年</x:v>
      </x:c>
      <x:c r="C408" s="11" t="str">
        <x:v>SYS6010_DOM</x:v>
      </x:c>
      <x:c r="D408" s="11" t="str">
        <x:v>2040-12-31</x:v>
      </x:c>
      <x:c r="E408" s="11" t="str">
        <x:v>CNY</x:v>
      </x:c>
      <x:c r="F408" s="11" t="n">
        <x:v>9.229295003422314</x:v>
      </x:c>
      <x:c r="G408" s="26" t="b">
        <x:v>1</x:v>
      </x:c>
      <x:c r="H408" s="16" t="n">
        <x:v>0.81</x:v>
      </x:c>
      <x:c r="I408" s="16" t="n">
        <x:v>0.8999999999999999</x:v>
      </x:c>
      <x:c r="J408" s="16" t="n">
        <x:v>1.6199999999999999</x:v>
      </x:c>
      <x:c r="K408" s="11" t="n">
        <x:f>CHOOSE('假设'!$B$3,H408,I408,J408)</x:f>
        <x:v>0.8999999999999999</x:v>
      </x:c>
      <x:c r="L408" s="11" t="n">
        <x:f>K408*'管线假设'!E103*'管线假设'!F103*'管线假设'!G103*IF(E408="USD",'管线假设'!I103,1)-AM408</x:f>
        <x:v>0.11969999999999997</x:v>
      </x:c>
      <x:c r="M408" s="11" t="n">
        <x:f>'管线假设'!H103</x:f>
        <x:v>0.13</x:v>
      </x:c>
      <x:c r="N408" s="11" t="n">
        <x:f>IF(G408,L408*AN408/(1+M408)^F408,0)</x:f>
        <x:v>0.03874516700355326</x:v>
      </x:c>
      <x:c r="AJ408" t="n">
        <x:v>0</x:v>
      </x:c>
      <x:c r="AK408" t="n">
        <x:v>0</x:v>
      </x:c>
      <x:c r="AL408" t="n">
        <x:v>0</x:v>
      </x:c>
      <x:c r="AM408" t="n">
        <x:f>CHOOSE('假设'!$B$3,AJ408,AK408,AL408)</x:f>
        <x:v>0</x:v>
      </x:c>
      <x:c r="AN408" t="n">
        <x:v>1</x:v>
      </x:c>
    </x:row>
    <x:row r="409" ht="23" customHeight="1">
      <x:c r="A409" s="11" t="str">
        <x:v>01093.HK</x:v>
      </x:c>
      <x:c r="B409" s="11" t="str">
        <x:v>五年</x:v>
      </x:c>
      <x:c r="C409" s="11" t="str">
        <x:v>SYS6010_DOM</x:v>
      </x:c>
      <x:c r="D409" s="11" t="str">
        <x:v>2041-12-31</x:v>
      </x:c>
      <x:c r="E409" s="11" t="str">
        <x:v>CNY</x:v>
      </x:c>
      <x:c r="F409" s="11" t="n">
        <x:v>10.22861054072553</x:v>
      </x:c>
      <x:c r="G409" s="26" t="b">
        <x:v>1</x:v>
      </x:c>
      <x:c r="H409" s="16" t="n">
        <x:v>0.54</x:v>
      </x:c>
      <x:c r="I409" s="16" t="n">
        <x:v>0.5</x:v>
      </x:c>
      <x:c r="J409" s="16" t="n">
        <x:v>0.9</x:v>
      </x:c>
      <x:c r="K409" s="11" t="n">
        <x:f>CHOOSE('假设'!$B$3,H409,I409,J409)</x:f>
        <x:v>0.5</x:v>
      </x:c>
      <x:c r="L409" s="11" t="n">
        <x:f>K409*'管线假设'!E103*'管线假设'!F103*'管线假设'!G103*IF(E409="USD",'管线假设'!I103,1)-AM409</x:f>
        <x:v>0.06649999999999999</x:v>
      </x:c>
      <x:c r="M409" s="11" t="n">
        <x:f>'管线假设'!H103</x:f>
        <x:v>0.13</x:v>
      </x:c>
      <x:c r="N409" s="11" t="n">
        <x:f>IF(G409,L409*AN409/(1+M409)^F409,0)</x:f>
        <x:v>0.019050348232293082</x:v>
      </x:c>
      <x:c r="AJ409" t="n">
        <x:v>0</x:v>
      </x:c>
      <x:c r="AK409" t="n">
        <x:v>0</x:v>
      </x:c>
      <x:c r="AL409" t="n">
        <x:v>0</x:v>
      </x:c>
      <x:c r="AM409" t="n">
        <x:f>CHOOSE('假设'!$B$3,AJ409,AK409,AL409)</x:f>
        <x:v>0</x:v>
      </x:c>
      <x:c r="AN409" t="n">
        <x:v>1</x:v>
      </x:c>
    </x:row>
    <x:row r="410" ht="23" customHeight="1">
      <x:c r="A410" s="11" t="str">
        <x:v>01093.HK</x:v>
      </x:c>
      <x:c r="B410" s="11" t="str">
        <x:v>五年</x:v>
      </x:c>
      <x:c r="C410" s="11" t="str">
        <x:v>SYS6010_DOM</x:v>
      </x:c>
      <x:c r="D410" s="11" t="str">
        <x:v>2042-12-31</x:v>
      </x:c>
      <x:c r="E410" s="11" t="str">
        <x:v>CNY</x:v>
      </x:c>
      <x:c r="F410" s="11" t="n">
        <x:v>11.227926078028748</x:v>
      </x:c>
      <x:c r="G410" s="26" t="b">
        <x:v>1</x:v>
      </x:c>
      <x:c r="H410" s="16" t="n">
        <x:v>0.324</x:v>
      </x:c>
      <x:c r="I410" s="16" t="n">
        <x:v>0.25</x:v>
      </x:c>
      <x:c r="J410" s="16" t="n">
        <x:v>0.45</x:v>
      </x:c>
      <x:c r="K410" s="11" t="n">
        <x:f>CHOOSE('假设'!$B$3,H410,I410,J410)</x:f>
        <x:v>0.25</x:v>
      </x:c>
      <x:c r="L410" s="11" t="n">
        <x:f>K410*'管线假设'!E103*'管线假设'!F103*'管线假设'!G103*IF(E410="USD",'管线假设'!I103,1)-AM410</x:f>
        <x:v>0.033249999999999995</x:v>
      </x:c>
      <x:c r="M410" s="11" t="n">
        <x:f>'管线假设'!H103</x:f>
        <x:v>0.13</x:v>
      </x:c>
      <x:c r="N410" s="11" t="n">
        <x:f>IF(G410,L410*AN410/(1+M410)^F410,0)</x:f>
        <x:v>0.00843006279891669</x:v>
      </x:c>
      <x:c r="AJ410" t="n">
        <x:v>0</x:v>
      </x:c>
      <x:c r="AK410" t="n">
        <x:v>0</x:v>
      </x:c>
      <x:c r="AL410" t="n">
        <x:v>0</x:v>
      </x:c>
      <x:c r="AM410" t="n">
        <x:f>CHOOSE('假设'!$B$3,AJ410,AK410,AL410)</x:f>
        <x:v>0</x:v>
      </x:c>
      <x:c r="AN410" t="n">
        <x:v>1</x:v>
      </x:c>
    </x:row>
    <x:row r="411" ht="23" customHeight="1">
      <x:c r="A411" s="11" t="str">
        <x:v>01093.HK</x:v>
      </x:c>
      <x:c r="B411" s="11" t="str">
        <x:v>五年</x:v>
      </x:c>
      <x:c r="C411" s="11" t="str">
        <x:v>SYS6010_DOM</x:v>
      </x:c>
      <x:c r="D411" s="11" t="str">
        <x:v>2043-12-31</x:v>
      </x:c>
      <x:c r="E411" s="11" t="str">
        <x:v>CNY</x:v>
      </x:c>
      <x:c r="F411" s="11" t="n">
        <x:v>12.227241615331964</x:v>
      </x:c>
      <x:c r="G411" s="26" t="b">
        <x:v>1</x:v>
      </x:c>
      <x:c r="H411" s="16" t="n">
        <x:v>0.18000000000000002</x:v>
      </x:c>
      <x:c r="I411" s="16" t="n">
        <x:v>0.25</x:v>
      </x:c>
      <x:c r="J411" s="16" t="n">
        <x:v>0.45</x:v>
      </x:c>
      <x:c r="K411" s="11" t="n">
        <x:f>CHOOSE('假设'!$B$3,H411,I411,J411)</x:f>
        <x:v>0.25</x:v>
      </x:c>
      <x:c r="L411" s="11" t="n">
        <x:f>K411*'管线假设'!E103*'管线假设'!F103*'管线假设'!G103*IF(E411="USD",'管线假设'!I103,1)-AM411</x:f>
        <x:v>0.033249999999999995</x:v>
      </x:c>
      <x:c r="M411" s="11" t="n">
        <x:f>'管线假设'!H103</x:f>
        <x:v>0.13</x:v>
      </x:c>
      <x:c r="N411" s="11" t="n">
        <x:f>IF(G411,L411*AN411/(1+M411)^F411,0)</x:f>
        <x:v>0.007460856665413822</x:v>
      </x:c>
      <x:c r="AJ411" t="n">
        <x:v>0</x:v>
      </x:c>
      <x:c r="AK411" t="n">
        <x:v>0</x:v>
      </x:c>
      <x:c r="AL411" t="n">
        <x:v>0</x:v>
      </x:c>
      <x:c r="AM411" t="n">
        <x:f>CHOOSE('假设'!$B$3,AJ411,AK411,AL411)</x:f>
        <x:v>0</x:v>
      </x:c>
      <x:c r="AN411" t="n">
        <x:v>1</x:v>
      </x:c>
    </x:row>
    <x:row r="412" ht="23" customHeight="1">
      <x:c r="A412" s="11" t="str">
        <x:v>01093.HK</x:v>
      </x:c>
      <x:c r="B412" s="11" t="str">
        <x:v>五年</x:v>
      </x:c>
      <x:c r="C412" s="11" t="str">
        <x:v>JMT101_DOM</x:v>
      </x:c>
      <x:c r="D412" s="11" t="str">
        <x:v>2027-12-31</x:v>
      </x:c>
      <x:c r="E412" s="11" t="str">
        <x:v>CNY</x:v>
      </x:c>
      <x:c r="F412" s="11" t="n">
        <x:v>-3.7727583846680357</x:v>
      </x:c>
      <x:c r="G412" s="26" t="b">
        <x:v>0</x:v>
      </x:c>
      <x:c r="H412" s="16" t="n">
        <x:v>0</x:v>
      </x:c>
      <x:c r="I412" s="16" t="n">
        <x:v>0.192</x:v>
      </x:c>
      <x:c r="J412" s="16" t="n">
        <x:v>0.384</x:v>
      </x:c>
      <x:c r="K412" s="11" t="n">
        <x:f>CHOOSE('假设'!$B$3,H412,I412,J412)</x:f>
        <x:v>0.192</x:v>
      </x:c>
      <x:c r="L412" s="11" t="n">
        <x:f>K412*'管线假设'!E107*'管线假设'!F107*'管线假设'!G107*IF(E412="USD",'管线假设'!I107,1)-AM412</x:f>
        <x:v>0.020217600000000002</x:v>
      </x:c>
      <x:c r="M412" s="11" t="n">
        <x:f>'管线假设'!H107</x:f>
        <x:v>0.13</x:v>
      </x:c>
      <x:c r="N412" s="11" t="n">
        <x:f>IF(G412,L412*AN412/(1+M412)^F412,0)</x:f>
        <x:v>0</x:v>
      </x:c>
      <x:c r="AJ412" t="n">
        <x:v>0</x:v>
      </x:c>
      <x:c r="AK412" t="n">
        <x:v>0</x:v>
      </x:c>
      <x:c r="AL412" t="n">
        <x:v>0</x:v>
      </x:c>
      <x:c r="AM412" t="n">
        <x:f>CHOOSE('假设'!$B$3,AJ412,AK412,AL412)</x:f>
        <x:v>0</x:v>
      </x:c>
      <x:c r="AN412" t="n">
        <x:v>1</x:v>
      </x:c>
    </x:row>
    <x:row r="413" ht="23" customHeight="1">
      <x:c r="A413" s="11" t="str">
        <x:v>01093.HK</x:v>
      </x:c>
      <x:c r="B413" s="11" t="str">
        <x:v>五年</x:v>
      </x:c>
      <x:c r="C413" s="11" t="str">
        <x:v>JMT101_DOM</x:v>
      </x:c>
      <x:c r="D413" s="11" t="str">
        <x:v>2028-12-31</x:v>
      </x:c>
      <x:c r="E413" s="11" t="str">
        <x:v>CNY</x:v>
      </x:c>
      <x:c r="F413" s="11" t="n">
        <x:v>-2.7707049965776864</x:v>
      </x:c>
      <x:c r="G413" s="26" t="b">
        <x:v>0</x:v>
      </x:c>
      <x:c r="H413" s="16" t="n">
        <x:v>0</x:v>
      </x:c>
      <x:c r="I413" s="16" t="n">
        <x:v>0.6</x:v>
      </x:c>
      <x:c r="J413" s="16" t="n">
        <x:v>1.2</x:v>
      </x:c>
      <x:c r="K413" s="11" t="n">
        <x:f>CHOOSE('假设'!$B$3,H413,I413,J413)</x:f>
        <x:v>0.6</x:v>
      </x:c>
      <x:c r="L413" s="11" t="n">
        <x:f>K413*'管线假设'!E107*'管线假设'!F107*'管线假设'!G107*IF(E413="USD",'管线假设'!I107,1)-AM413</x:f>
        <x:v>0.06318</x:v>
      </x:c>
      <x:c r="M413" s="11" t="n">
        <x:f>'管线假设'!H107</x:f>
        <x:v>0.13</x:v>
      </x:c>
      <x:c r="N413" s="11" t="n">
        <x:f>IF(G413,L413*AN413/(1+M413)^F413,0)</x:f>
        <x:v>0</x:v>
      </x:c>
      <x:c r="AJ413" t="n">
        <x:v>0</x:v>
      </x:c>
      <x:c r="AK413" t="n">
        <x:v>0</x:v>
      </x:c>
      <x:c r="AL413" t="n">
        <x:v>0</x:v>
      </x:c>
      <x:c r="AM413" t="n">
        <x:f>CHOOSE('假设'!$B$3,AJ413,AK413,AL413)</x:f>
        <x:v>0</x:v>
      </x:c>
      <x:c r="AN413" t="n">
        <x:v>1</x:v>
      </x:c>
    </x:row>
    <x:row r="414" ht="23" customHeight="1">
      <x:c r="A414" s="11" t="str">
        <x:v>01093.HK</x:v>
      </x:c>
      <x:c r="B414" s="11" t="str">
        <x:v>五年</x:v>
      </x:c>
      <x:c r="C414" s="11" t="str">
        <x:v>JMT101_DOM</x:v>
      </x:c>
      <x:c r="D414" s="11" t="str">
        <x:v>2029-12-31</x:v>
      </x:c>
      <x:c r="E414" s="11" t="str">
        <x:v>CNY</x:v>
      </x:c>
      <x:c r="F414" s="11" t="n">
        <x:v>-1.7713894592744694</x:v>
      </x:c>
      <x:c r="G414" s="26" t="b">
        <x:v>0</x:v>
      </x:c>
      <x:c r="H414" s="16" t="n">
        <x:v>0.064</x:v>
      </x:c>
      <x:c r="I414" s="16" t="n">
        <x:v>1.08</x:v>
      </x:c>
      <x:c r="J414" s="16" t="n">
        <x:v>2.16</x:v>
      </x:c>
      <x:c r="K414" s="11" t="n">
        <x:f>CHOOSE('假设'!$B$3,H414,I414,J414)</x:f>
        <x:v>1.08</x:v>
      </x:c>
      <x:c r="L414" s="11" t="n">
        <x:f>K414*'管线假设'!E107*'管线假设'!F107*'管线假设'!G107*IF(E414="USD",'管线假设'!I107,1)-AM414</x:f>
        <x:v>0.113724</x:v>
      </x:c>
      <x:c r="M414" s="11" t="n">
        <x:f>'管线假设'!H107</x:f>
        <x:v>0.13</x:v>
      </x:c>
      <x:c r="N414" s="11" t="n">
        <x:f>IF(G414,L414*AN414/(1+M414)^F414,0)</x:f>
        <x:v>0</x:v>
      </x:c>
      <x:c r="AJ414" t="n">
        <x:v>0</x:v>
      </x:c>
      <x:c r="AK414" t="n">
        <x:v>0</x:v>
      </x:c>
      <x:c r="AL414" t="n">
        <x:v>0</x:v>
      </x:c>
      <x:c r="AM414" t="n">
        <x:f>CHOOSE('假设'!$B$3,AJ414,AK414,AL414)</x:f>
        <x:v>0</x:v>
      </x:c>
      <x:c r="AN414" t="n">
        <x:v>1</x:v>
      </x:c>
    </x:row>
    <x:row r="415" ht="23" customHeight="1">
      <x:c r="A415" s="11" t="str">
        <x:v>01093.HK</x:v>
      </x:c>
      <x:c r="B415" s="11" t="str">
        <x:v>五年</x:v>
      </x:c>
      <x:c r="C415" s="11" t="str">
        <x:v>JMT101_DOM</x:v>
      </x:c>
      <x:c r="D415" s="11" t="str">
        <x:v>2030-12-31</x:v>
      </x:c>
      <x:c r="E415" s="11" t="str">
        <x:v>CNY</x:v>
      </x:c>
      <x:c r="F415" s="11" t="n">
        <x:v>-0.7720739219712526</x:v>
      </x:c>
      <x:c r="G415" s="26" t="b">
        <x:v>0</x:v>
      </x:c>
      <x:c r="H415" s="16" t="n">
        <x:v>0.2</x:v>
      </x:c>
      <x:c r="I415" s="16" t="n">
        <x:v>1.56</x:v>
      </x:c>
      <x:c r="J415" s="16" t="n">
        <x:v>3.12</x:v>
      </x:c>
      <x:c r="K415" s="11" t="n">
        <x:f>CHOOSE('假设'!$B$3,H415,I415,J415)</x:f>
        <x:v>1.56</x:v>
      </x:c>
      <x:c r="L415" s="11" t="n">
        <x:f>K415*'管线假设'!E107*'管线假设'!F107*'管线假设'!G107*IF(E415="USD",'管线假设'!I107,1)-AM415</x:f>
        <x:v>0.164268</x:v>
      </x:c>
      <x:c r="M415" s="11" t="n">
        <x:f>'管线假设'!H107</x:f>
        <x:v>0.13</x:v>
      </x:c>
      <x:c r="N415" s="11" t="n">
        <x:f>IF(G415,L415*AN415/(1+M415)^F415,0)</x:f>
        <x:v>0</x:v>
      </x:c>
      <x:c r="AJ415" t="n">
        <x:v>0</x:v>
      </x:c>
      <x:c r="AK415" t="n">
        <x:v>0</x:v>
      </x:c>
      <x:c r="AL415" t="n">
        <x:v>0</x:v>
      </x:c>
      <x:c r="AM415" t="n">
        <x:f>CHOOSE('假设'!$B$3,AJ415,AK415,AL415)</x:f>
        <x:v>0</x:v>
      </x:c>
      <x:c r="AN415" t="n">
        <x:v>1</x:v>
      </x:c>
    </x:row>
    <x:row r="416" ht="23" customHeight="1">
      <x:c r="A416" s="11" t="str">
        <x:v>01093.HK</x:v>
      </x:c>
      <x:c r="B416" s="11" t="str">
        <x:v>五年</x:v>
      </x:c>
      <x:c r="C416" s="11" t="str">
        <x:v>JMT101_DOM</x:v>
      </x:c>
      <x:c r="D416" s="11" t="str">
        <x:v>2031-12-31</x:v>
      </x:c>
      <x:c r="E416" s="11" t="str">
        <x:v>CNY</x:v>
      </x:c>
      <x:c r="F416" s="11" t="n">
        <x:v>0.2272416153319644</x:v>
      </x:c>
      <x:c r="G416" s="26" t="b">
        <x:v>1</x:v>
      </x:c>
      <x:c r="H416" s="16" t="n">
        <x:v>0.36000000000000004</x:v>
      </x:c>
      <x:c r="I416" s="16" t="n">
        <x:v>2.04</x:v>
      </x:c>
      <x:c r="J416" s="16" t="n">
        <x:v>4.08</x:v>
      </x:c>
      <x:c r="K416" s="11" t="n">
        <x:f>CHOOSE('假设'!$B$3,H416,I416,J416)</x:f>
        <x:v>2.04</x:v>
      </x:c>
      <x:c r="L416" s="11" t="n">
        <x:f>K416*'管线假设'!E107*'管线假设'!F107*'管线假设'!G107*IF(E416="USD",'管线假设'!I107,1)-AM416</x:f>
        <x:v>0.214812</x:v>
      </x:c>
      <x:c r="M416" s="11" t="n">
        <x:f>'管线假设'!H107</x:f>
        <x:v>0.13</x:v>
      </x:c>
      <x:c r="N416" s="11" t="n">
        <x:f>IF(G416,L416*AN416/(1+M416)^F416,0)</x:f>
        <x:v>0.20892812529614918</x:v>
      </x:c>
      <x:c r="AJ416" t="n">
        <x:v>0</x:v>
      </x:c>
      <x:c r="AK416" t="n">
        <x:v>0</x:v>
      </x:c>
      <x:c r="AL416" t="n">
        <x:v>0</x:v>
      </x:c>
      <x:c r="AM416" t="n">
        <x:f>CHOOSE('假设'!$B$3,AJ416,AK416,AL416)</x:f>
        <x:v>0</x:v>
      </x:c>
      <x:c r="AN416" t="n">
        <x:v>1</x:v>
      </x:c>
    </x:row>
    <x:row r="417" ht="23" customHeight="1">
      <x:c r="A417" s="11" t="str">
        <x:v>01093.HK</x:v>
      </x:c>
      <x:c r="B417" s="11" t="str">
        <x:v>五年</x:v>
      </x:c>
      <x:c r="C417" s="11" t="str">
        <x:v>JMT101_DOM</x:v>
      </x:c>
      <x:c r="D417" s="11" t="str">
        <x:v>2032-12-31</x:v>
      </x:c>
      <x:c r="E417" s="11" t="str">
        <x:v>CNY</x:v>
      </x:c>
      <x:c r="F417" s="11" t="n">
        <x:v>1.2292950034223136</x:v>
      </x:c>
      <x:c r="G417" s="26" t="b">
        <x:v>1</x:v>
      </x:c>
      <x:c r="H417" s="16" t="n">
        <x:v>0.52</x:v>
      </x:c>
      <x:c r="I417" s="16" t="n">
        <x:v>2.4</x:v>
      </x:c>
      <x:c r="J417" s="16" t="n">
        <x:v>4.8</x:v>
      </x:c>
      <x:c r="K417" s="11" t="n">
        <x:f>CHOOSE('假设'!$B$3,H417,I417,J417)</x:f>
        <x:v>2.4</x:v>
      </x:c>
      <x:c r="L417" s="11" t="n">
        <x:f>K417*'管线假设'!E107*'管线假设'!F107*'管线假设'!G107*IF(E417="USD",'管线假设'!I107,1)-AM417</x:f>
        <x:v>0.25272</x:v>
      </x:c>
      <x:c r="M417" s="11" t="n">
        <x:f>'管线假设'!H107</x:f>
        <x:v>0.13</x:v>
      </x:c>
      <x:c r="N417" s="11" t="n">
        <x:f>IF(G417,L417*AN417/(1+M417)^F417,0)</x:f>
        <x:v>0.2174655900303693</x:v>
      </x:c>
      <x:c r="AJ417" t="n">
        <x:v>0</x:v>
      </x:c>
      <x:c r="AK417" t="n">
        <x:v>0</x:v>
      </x:c>
      <x:c r="AL417" t="n">
        <x:v>0</x:v>
      </x:c>
      <x:c r="AM417" t="n">
        <x:f>CHOOSE('假设'!$B$3,AJ417,AK417,AL417)</x:f>
        <x:v>0</x:v>
      </x:c>
      <x:c r="AN417" t="n">
        <x:v>1</x:v>
      </x:c>
    </x:row>
    <x:row r="418" ht="23" customHeight="1">
      <x:c r="A418" s="11" t="str">
        <x:v>01093.HK</x:v>
      </x:c>
      <x:c r="B418" s="11" t="str">
        <x:v>五年</x:v>
      </x:c>
      <x:c r="C418" s="11" t="str">
        <x:v>JMT101_DOM</x:v>
      </x:c>
      <x:c r="D418" s="11" t="str">
        <x:v>2033-12-31</x:v>
      </x:c>
      <x:c r="E418" s="11" t="str">
        <x:v>CNY</x:v>
      </x:c>
      <x:c r="F418" s="11" t="n">
        <x:v>2.2286105407255303</x:v>
      </x:c>
      <x:c r="G418" s="26" t="b">
        <x:v>1</x:v>
      </x:c>
      <x:c r="H418" s="16" t="n">
        <x:v>0.68</x:v>
      </x:c>
      <x:c r="I418" s="16" t="n">
        <x:v>2.4</x:v>
      </x:c>
      <x:c r="J418" s="16" t="n">
        <x:v>4.8</x:v>
      </x:c>
      <x:c r="K418" s="11" t="n">
        <x:f>CHOOSE('假设'!$B$3,H418,I418,J418)</x:f>
        <x:v>2.4</x:v>
      </x:c>
      <x:c r="L418" s="11" t="n">
        <x:f>K418*'管线假设'!E107*'管线假设'!F107*'管线假设'!G107*IF(E418="USD",'管线假设'!I107,1)-AM418</x:f>
        <x:v>0.25272</x:v>
      </x:c>
      <x:c r="M418" s="11" t="n">
        <x:f>'管线假设'!H107</x:f>
        <x:v>0.13</x:v>
      </x:c>
      <x:c r="N418" s="11" t="n">
        <x:f>IF(G418,L418*AN418/(1+M418)^F418,0)</x:f>
        <x:v>0.19246352436244338</x:v>
      </x:c>
      <x:c r="AJ418" t="n">
        <x:v>0</x:v>
      </x:c>
      <x:c r="AK418" t="n">
        <x:v>0</x:v>
      </x:c>
      <x:c r="AL418" t="n">
        <x:v>0</x:v>
      </x:c>
      <x:c r="AM418" t="n">
        <x:f>CHOOSE('假设'!$B$3,AJ418,AK418,AL418)</x:f>
        <x:v>0</x:v>
      </x:c>
      <x:c r="AN418" t="n">
        <x:v>1</x:v>
      </x:c>
    </x:row>
    <x:row r="419" ht="23" customHeight="1">
      <x:c r="A419" s="11" t="str">
        <x:v>01093.HK</x:v>
      </x:c>
      <x:c r="B419" s="11" t="str">
        <x:v>五年</x:v>
      </x:c>
      <x:c r="C419" s="11" t="str">
        <x:v>JMT101_DOM</x:v>
      </x:c>
      <x:c r="D419" s="11" t="str">
        <x:v>2034-12-31</x:v>
      </x:c>
      <x:c r="E419" s="11" t="str">
        <x:v>CNY</x:v>
      </x:c>
      <x:c r="F419" s="11" t="n">
        <x:v>3.2279260780287475</x:v>
      </x:c>
      <x:c r="G419" s="26" t="b">
        <x:v>1</x:v>
      </x:c>
      <x:c r="H419" s="16" t="n">
        <x:v>0.8</x:v>
      </x:c>
      <x:c r="I419" s="16" t="n">
        <x:v>2.28</x:v>
      </x:c>
      <x:c r="J419" s="16" t="n">
        <x:v>4.56</x:v>
      </x:c>
      <x:c r="K419" s="11" t="n">
        <x:f>CHOOSE('假设'!$B$3,H419,I419,J419)</x:f>
        <x:v>2.28</x:v>
      </x:c>
      <x:c r="L419" s="11" t="n">
        <x:f>K419*'管线假设'!E107*'管线假设'!F107*'管线假设'!G107*IF(E419="USD",'管线假设'!I107,1)-AM419</x:f>
        <x:v>0.240084</x:v>
      </x:c>
      <x:c r="M419" s="11" t="n">
        <x:f>'管线假设'!H107</x:f>
        <x:v>0.13</x:v>
      </x:c>
      <x:c r="N419" s="11" t="n">
        <x:f>IF(G419,L419*AN419/(1+M419)^F419,0)</x:f>
        <x:v>0.1618191539847654</x:v>
      </x:c>
      <x:c r="AJ419" t="n">
        <x:v>0</x:v>
      </x:c>
      <x:c r="AK419" t="n">
        <x:v>0</x:v>
      </x:c>
      <x:c r="AL419" t="n">
        <x:v>0</x:v>
      </x:c>
      <x:c r="AM419" t="n">
        <x:f>CHOOSE('假设'!$B$3,AJ419,AK419,AL419)</x:f>
        <x:v>0</x:v>
      </x:c>
      <x:c r="AN419" t="n">
        <x:v>1</x:v>
      </x:c>
    </x:row>
    <x:row r="420" ht="23" customHeight="1">
      <x:c r="A420" s="11" t="str">
        <x:v>01093.HK</x:v>
      </x:c>
      <x:c r="B420" s="11" t="str">
        <x:v>五年</x:v>
      </x:c>
      <x:c r="C420" s="11" t="str">
        <x:v>JMT101_DOM</x:v>
      </x:c>
      <x:c r="D420" s="11" t="str">
        <x:v>2035-12-31</x:v>
      </x:c>
      <x:c r="E420" s="11" t="str">
        <x:v>CNY</x:v>
      </x:c>
      <x:c r="F420" s="11" t="n">
        <x:v>4.227241615331964</x:v>
      </x:c>
      <x:c r="G420" s="26" t="b">
        <x:v>1</x:v>
      </x:c>
      <x:c r="H420" s="16" t="n">
        <x:v>0.8</x:v>
      </x:c>
      <x:c r="I420" s="16" t="n">
        <x:v>2.112</x:v>
      </x:c>
      <x:c r="J420" s="16" t="n">
        <x:v>4.224</x:v>
      </x:c>
      <x:c r="K420" s="11" t="n">
        <x:f>CHOOSE('假设'!$B$3,H420,I420,J420)</x:f>
        <x:v>2.112</x:v>
      </x:c>
      <x:c r="L420" s="11" t="n">
        <x:f>K420*'管线假设'!E107*'管线假设'!F107*'管线假设'!G107*IF(E420="USD",'管线假设'!I107,1)-AM420</x:f>
        <x:v>0.2223936</x:v>
      </x:c>
      <x:c r="M420" s="11" t="n">
        <x:f>'管线假设'!H107</x:f>
        <x:v>0.13</x:v>
      </x:c>
      <x:c r="N420" s="11" t="n">
        <x:f>IF(G420,L420*AN420/(1+M420)^F420,0)</x:f>
        <x:v>0.1326621037001212</x:v>
      </x:c>
      <x:c r="AJ420" t="n">
        <x:v>0</x:v>
      </x:c>
      <x:c r="AK420" t="n">
        <x:v>0</x:v>
      </x:c>
      <x:c r="AL420" t="n">
        <x:v>0</x:v>
      </x:c>
      <x:c r="AM420" t="n">
        <x:f>CHOOSE('假设'!$B$3,AJ420,AK420,AL420)</x:f>
        <x:v>0</x:v>
      </x:c>
      <x:c r="AN420" t="n">
        <x:v>1</x:v>
      </x:c>
    </x:row>
    <x:row r="421" ht="23" customHeight="1">
      <x:c r="A421" s="11" t="str">
        <x:v>01093.HK</x:v>
      </x:c>
      <x:c r="B421" s="11" t="str">
        <x:v>五年</x:v>
      </x:c>
      <x:c r="C421" s="11" t="str">
        <x:v>JMT101_DOM</x:v>
      </x:c>
      <x:c r="D421" s="11" t="str">
        <x:v>2036-12-31</x:v>
      </x:c>
      <x:c r="E421" s="11" t="str">
        <x:v>CNY</x:v>
      </x:c>
      <x:c r="F421" s="11" t="n">
        <x:v>5.229295003422314</x:v>
      </x:c>
      <x:c r="G421" s="26" t="b">
        <x:v>1</x:v>
      </x:c>
      <x:c r="H421" s="16" t="n">
        <x:v>0.76</x:v>
      </x:c>
      <x:c r="I421" s="16" t="n">
        <x:v>1.7999999999999998</x:v>
      </x:c>
      <x:c r="J421" s="16" t="n">
        <x:v>3.5999999999999996</x:v>
      </x:c>
      <x:c r="K421" s="11" t="n">
        <x:f>CHOOSE('假设'!$B$3,H421,I421,J421)</x:f>
        <x:v>1.7999999999999998</x:v>
      </x:c>
      <x:c r="L421" s="11" t="n">
        <x:f>K421*'管线假设'!E107*'管线假设'!F107*'管线假设'!G107*IF(E421="USD",'管线假设'!I107,1)-AM421</x:f>
        <x:v>0.18954</x:v>
      </x:c>
      <x:c r="M421" s="11" t="n">
        <x:f>'管线假设'!H107</x:f>
        <x:v>0.13</x:v>
      </x:c>
      <x:c r="N421" s="11" t="n">
        <x:f>IF(G421,L421*AN421/(1+M421)^F421,0)</x:f>
        <x:v>0.10003178924360327</x:v>
      </x:c>
      <x:c r="AJ421" t="n">
        <x:v>0</x:v>
      </x:c>
      <x:c r="AK421" t="n">
        <x:v>0</x:v>
      </x:c>
      <x:c r="AL421" t="n">
        <x:v>0</x:v>
      </x:c>
      <x:c r="AM421" t="n">
        <x:f>CHOOSE('假设'!$B$3,AJ421,AK421,AL421)</x:f>
        <x:v>0</x:v>
      </x:c>
      <x:c r="AN421" t="n">
        <x:v>1</x:v>
      </x:c>
    </x:row>
    <x:row r="422" ht="23" customHeight="1">
      <x:c r="A422" s="11" t="str">
        <x:v>01093.HK</x:v>
      </x:c>
      <x:c r="B422" s="11" t="str">
        <x:v>五年</x:v>
      </x:c>
      <x:c r="C422" s="11" t="str">
        <x:v>JMT101_DOM</x:v>
      </x:c>
      <x:c r="D422" s="11" t="str">
        <x:v>2037-12-31</x:v>
      </x:c>
      <x:c r="E422" s="11" t="str">
        <x:v>CNY</x:v>
      </x:c>
      <x:c r="F422" s="11" t="n">
        <x:v>6.228610540725531</x:v>
      </x:c>
      <x:c r="G422" s="26" t="b">
        <x:v>1</x:v>
      </x:c>
      <x:c r="H422" s="16" t="n">
        <x:v>0.7040000000000001</x:v>
      </x:c>
      <x:c r="I422" s="16" t="n">
        <x:v>1.44</x:v>
      </x:c>
      <x:c r="J422" s="16" t="n">
        <x:v>2.88</x:v>
      </x:c>
      <x:c r="K422" s="11" t="n">
        <x:f>CHOOSE('假设'!$B$3,H422,I422,J422)</x:f>
        <x:v>1.44</x:v>
      </x:c>
      <x:c r="L422" s="11" t="n">
        <x:f>K422*'管线假设'!E107*'管线假设'!F107*'管线假设'!G107*IF(E422="USD",'管线假设'!I107,1)-AM422</x:f>
        <x:v>0.151632</x:v>
      </x:c>
      <x:c r="M422" s="11" t="n">
        <x:f>'管线假设'!H107</x:f>
        <x:v>0.13</x:v>
      </x:c>
      <x:c r="N422" s="11" t="n">
        <x:f>IF(G422,L422*AN422/(1+M422)^F422,0)</x:f>
        <x:v>0.07082489033199749</x:v>
      </x:c>
      <x:c r="AJ422" t="n">
        <x:v>0</x:v>
      </x:c>
      <x:c r="AK422" t="n">
        <x:v>0</x:v>
      </x:c>
      <x:c r="AL422" t="n">
        <x:v>0</x:v>
      </x:c>
      <x:c r="AM422" t="n">
        <x:f>CHOOSE('假设'!$B$3,AJ422,AK422,AL422)</x:f>
        <x:v>0</x:v>
      </x:c>
      <x:c r="AN422" t="n">
        <x:v>1</x:v>
      </x:c>
    </x:row>
    <x:row r="423" ht="23" customHeight="1">
      <x:c r="A423" s="11" t="str">
        <x:v>01093.HK</x:v>
      </x:c>
      <x:c r="B423" s="11" t="str">
        <x:v>五年</x:v>
      </x:c>
      <x:c r="C423" s="11" t="str">
        <x:v>JMT101_DOM</x:v>
      </x:c>
      <x:c r="D423" s="11" t="str">
        <x:v>2038-12-31</x:v>
      </x:c>
      <x:c r="E423" s="11" t="str">
        <x:v>CNY</x:v>
      </x:c>
      <x:c r="F423" s="11" t="n">
        <x:v>7.227926078028747</x:v>
      </x:c>
      <x:c r="G423" s="26" t="b">
        <x:v>1</x:v>
      </x:c>
      <x:c r="H423" s="16" t="n">
        <x:v>0.6000000000000001</x:v>
      </x:c>
      <x:c r="I423" s="16" t="n">
        <x:v>1.08</x:v>
      </x:c>
      <x:c r="J423" s="16" t="n">
        <x:v>2.16</x:v>
      </x:c>
      <x:c r="K423" s="11" t="n">
        <x:f>CHOOSE('假设'!$B$3,H423,I423,J423)</x:f>
        <x:v>1.08</x:v>
      </x:c>
      <x:c r="L423" s="11" t="n">
        <x:f>K423*'管线假设'!E107*'管线假设'!F107*'管线假设'!G107*IF(E423="USD",'管线假设'!I107,1)-AM423</x:f>
        <x:v>0.113724</x:v>
      </x:c>
      <x:c r="M423" s="11" t="n">
        <x:f>'管线假设'!H107</x:f>
        <x:v>0.13</x:v>
      </x:c>
      <x:c r="N423" s="11" t="n">
        <x:f>IF(G423,L423*AN423/(1+M423)^F423,0)</x:f>
        <x:v>0.04701160309077923</x:v>
      </x:c>
      <x:c r="AJ423" t="n">
        <x:v>0</x:v>
      </x:c>
      <x:c r="AK423" t="n">
        <x:v>0</x:v>
      </x:c>
      <x:c r="AL423" t="n">
        <x:v>0</x:v>
      </x:c>
      <x:c r="AM423" t="n">
        <x:f>CHOOSE('假设'!$B$3,AJ423,AK423,AL423)</x:f>
        <x:v>0</x:v>
      </x:c>
      <x:c r="AN423" t="n">
        <x:v>1</x:v>
      </x:c>
    </x:row>
    <x:row r="424" ht="23" customHeight="1">
      <x:c r="A424" s="11" t="str">
        <x:v>01093.HK</x:v>
      </x:c>
      <x:c r="B424" s="11" t="str">
        <x:v>五年</x:v>
      </x:c>
      <x:c r="C424" s="11" t="str">
        <x:v>JMT101_DOM</x:v>
      </x:c>
      <x:c r="D424" s="11" t="str">
        <x:v>2039-12-31</x:v>
      </x:c>
      <x:c r="E424" s="11" t="str">
        <x:v>CNY</x:v>
      </x:c>
      <x:c r="F424" s="11" t="n">
        <x:v>8.227241615331964</x:v>
      </x:c>
      <x:c r="G424" s="26" t="b">
        <x:v>1</x:v>
      </x:c>
      <x:c r="H424" s="16" t="n">
        <x:v>0.48</x:v>
      </x:c>
      <x:c r="I424" s="16" t="n">
        <x:v>0.72</x:v>
      </x:c>
      <x:c r="J424" s="16" t="n">
        <x:v>1.44</x:v>
      </x:c>
      <x:c r="K424" s="11" t="n">
        <x:f>CHOOSE('假设'!$B$3,H424,I424,J424)</x:f>
        <x:v>0.72</x:v>
      </x:c>
      <x:c r="L424" s="11" t="n">
        <x:f>K424*'管线假设'!E107*'管线假设'!F107*'管线假设'!G107*IF(E424="USD",'管线假设'!I107,1)-AM424</x:f>
        <x:v>0.075816</x:v>
      </x:c>
      <x:c r="M424" s="11" t="n">
        <x:f>'管线假设'!H107</x:f>
        <x:v>0.13</x:v>
      </x:c>
      <x:c r="N424" s="11" t="n">
        <x:f>IF(G424,L424*AN424/(1+M424)^F424,0)</x:f>
        <x:v>0.027737779313395865</x:v>
      </x:c>
      <x:c r="AJ424" t="n">
        <x:v>0</x:v>
      </x:c>
      <x:c r="AK424" t="n">
        <x:v>0</x:v>
      </x:c>
      <x:c r="AL424" t="n">
        <x:v>0</x:v>
      </x:c>
      <x:c r="AM424" t="n">
        <x:f>CHOOSE('假设'!$B$3,AJ424,AK424,AL424)</x:f>
        <x:v>0</x:v>
      </x:c>
      <x:c r="AN424" t="n">
        <x:v>1</x:v>
      </x:c>
    </x:row>
    <x:row r="425" ht="23" customHeight="1">
      <x:c r="A425" s="11" t="str">
        <x:v>01093.HK</x:v>
      </x:c>
      <x:c r="B425" s="11" t="str">
        <x:v>五年</x:v>
      </x:c>
      <x:c r="C425" s="11" t="str">
        <x:v>JMT101_DOM</x:v>
      </x:c>
      <x:c r="D425" s="11" t="str">
        <x:v>2040-12-31</x:v>
      </x:c>
      <x:c r="E425" s="11" t="str">
        <x:v>CNY</x:v>
      </x:c>
      <x:c r="F425" s="11" t="n">
        <x:v>9.229295003422314</x:v>
      </x:c>
      <x:c r="G425" s="26" t="b">
        <x:v>1</x:v>
      </x:c>
      <x:c r="H425" s="16" t="n">
        <x:v>0.36000000000000004</x:v>
      </x:c>
      <x:c r="I425" s="16" t="n">
        <x:v>0.432</x:v>
      </x:c>
      <x:c r="J425" s="16" t="n">
        <x:v>0.864</x:v>
      </x:c>
      <x:c r="K425" s="11" t="n">
        <x:f>CHOOSE('假设'!$B$3,H425,I425,J425)</x:f>
        <x:v>0.432</x:v>
      </x:c>
      <x:c r="L425" s="11" t="n">
        <x:f>K425*'管线假设'!E107*'管线假设'!F107*'管线假设'!G107*IF(E425="USD",'管线假设'!I107,1)-AM425</x:f>
        <x:v>0.0454896</x:v>
      </x:c>
      <x:c r="M425" s="11" t="n">
        <x:f>'管线假设'!H107</x:f>
        <x:v>0.13</x:v>
      </x:c>
      <x:c r="N425" s="11" t="n">
        <x:f>IF(G425,L425*AN425/(1+M425)^F425,0)</x:f>
        <x:v>0.014724328729530799</x:v>
      </x:c>
      <x:c r="AJ425" t="n">
        <x:v>0</x:v>
      </x:c>
      <x:c r="AK425" t="n">
        <x:v>0</x:v>
      </x:c>
      <x:c r="AL425" t="n">
        <x:v>0</x:v>
      </x:c>
      <x:c r="AM425" t="n">
        <x:f>CHOOSE('假设'!$B$3,AJ425,AK425,AL425)</x:f>
        <x:v>0</x:v>
      </x:c>
      <x:c r="AN425" t="n">
        <x:v>1</x:v>
      </x:c>
    </x:row>
    <x:row r="426" ht="23" customHeight="1">
      <x:c r="A426" s="11" t="str">
        <x:v>01093.HK</x:v>
      </x:c>
      <x:c r="B426" s="11" t="str">
        <x:v>五年</x:v>
      </x:c>
      <x:c r="C426" s="11" t="str">
        <x:v>JMT101_DOM</x:v>
      </x:c>
      <x:c r="D426" s="11" t="str">
        <x:v>2041-12-31</x:v>
      </x:c>
      <x:c r="E426" s="11" t="str">
        <x:v>CNY</x:v>
      </x:c>
      <x:c r="F426" s="11" t="n">
        <x:v>10.22861054072553</x:v>
      </x:c>
      <x:c r="G426" s="26" t="b">
        <x:v>1</x:v>
      </x:c>
      <x:c r="H426" s="16" t="n">
        <x:v>0.24</x:v>
      </x:c>
      <x:c r="I426" s="16" t="n">
        <x:v>0.24</x:v>
      </x:c>
      <x:c r="J426" s="16" t="n">
        <x:v>0.48</x:v>
      </x:c>
      <x:c r="K426" s="11" t="n">
        <x:f>CHOOSE('假设'!$B$3,H426,I426,J426)</x:f>
        <x:v>0.24</x:v>
      </x:c>
      <x:c r="L426" s="11" t="n">
        <x:f>K426*'管线假设'!E107*'管线假设'!F107*'管线假设'!G107*IF(E426="USD",'管线假设'!I107,1)-AM426</x:f>
        <x:v>0.025272</x:v>
      </x:c>
      <x:c r="M426" s="11" t="n">
        <x:f>'管线假设'!H107</x:f>
        <x:v>0.13</x:v>
      </x:c>
      <x:c r="N426" s="11" t="n">
        <x:f>IF(G426,L426*AN426/(1+M426)^F426,0)</x:f>
        <x:v>0.0072397052710753505</x:v>
      </x:c>
      <x:c r="AJ426" t="n">
        <x:v>0</x:v>
      </x:c>
      <x:c r="AK426" t="n">
        <x:v>0</x:v>
      </x:c>
      <x:c r="AL426" t="n">
        <x:v>0</x:v>
      </x:c>
      <x:c r="AM426" t="n">
        <x:f>CHOOSE('假设'!$B$3,AJ426,AK426,AL426)</x:f>
        <x:v>0</x:v>
      </x:c>
      <x:c r="AN426" t="n">
        <x:v>1</x:v>
      </x:c>
    </x:row>
    <x:row r="427" ht="23" customHeight="1">
      <x:c r="A427" s="11" t="str">
        <x:v>01093.HK</x:v>
      </x:c>
      <x:c r="B427" s="11" t="str">
        <x:v>五年</x:v>
      </x:c>
      <x:c r="C427" s="11" t="str">
        <x:v>JMT101_DOM</x:v>
      </x:c>
      <x:c r="D427" s="11" t="str">
        <x:v>2042-12-31</x:v>
      </x:c>
      <x:c r="E427" s="11" t="str">
        <x:v>CNY</x:v>
      </x:c>
      <x:c r="F427" s="11" t="n">
        <x:v>11.227926078028748</x:v>
      </x:c>
      <x:c r="G427" s="26" t="b">
        <x:v>1</x:v>
      </x:c>
      <x:c r="H427" s="16" t="n">
        <x:v>0.144</x:v>
      </x:c>
      <x:c r="I427" s="16" t="n">
        <x:v>0.12</x:v>
      </x:c>
      <x:c r="J427" s="16" t="n">
        <x:v>0.24</x:v>
      </x:c>
      <x:c r="K427" s="11" t="n">
        <x:f>CHOOSE('假设'!$B$3,H427,I427,J427)</x:f>
        <x:v>0.12</x:v>
      </x:c>
      <x:c r="L427" s="11" t="n">
        <x:f>K427*'管线假设'!E107*'管线假设'!F107*'管线假设'!G107*IF(E427="USD",'管线假设'!I107,1)-AM427</x:f>
        <x:v>0.012636</x:v>
      </x:c>
      <x:c r="M427" s="11" t="n">
        <x:f>'管线假设'!H107</x:f>
        <x:v>0.13</x:v>
      </x:c>
      <x:c r="N427" s="11" t="n">
        <x:f>IF(G427,L427*AN427/(1+M427)^F427,0)</x:f>
        <x:v>0.0032036773993116188</x:v>
      </x:c>
      <x:c r="AJ427" t="n">
        <x:v>0</x:v>
      </x:c>
      <x:c r="AK427" t="n">
        <x:v>0</x:v>
      </x:c>
      <x:c r="AL427" t="n">
        <x:v>0</x:v>
      </x:c>
      <x:c r="AM427" t="n">
        <x:f>CHOOSE('假设'!$B$3,AJ427,AK427,AL427)</x:f>
        <x:v>0</x:v>
      </x:c>
      <x:c r="AN427" t="n">
        <x:v>1</x:v>
      </x:c>
    </x:row>
    <x:row r="428" ht="23" customHeight="1">
      <x:c r="A428" s="11" t="str">
        <x:v>01093.HK</x:v>
      </x:c>
      <x:c r="B428" s="11" t="str">
        <x:v>五年</x:v>
      </x:c>
      <x:c r="C428" s="11" t="str">
        <x:v>JMT101_DOM</x:v>
      </x:c>
      <x:c r="D428" s="11" t="str">
        <x:v>2043-12-31</x:v>
      </x:c>
      <x:c r="E428" s="11" t="str">
        <x:v>CNY</x:v>
      </x:c>
      <x:c r="F428" s="11" t="n">
        <x:v>12.227241615331964</x:v>
      </x:c>
      <x:c r="G428" s="26" t="b">
        <x:v>1</x:v>
      </x:c>
      <x:c r="H428" s="16" t="n">
        <x:v>0.08000000000000002</x:v>
      </x:c>
      <x:c r="I428" s="16" t="n">
        <x:v>0.12</x:v>
      </x:c>
      <x:c r="J428" s="16" t="n">
        <x:v>0.24</x:v>
      </x:c>
      <x:c r="K428" s="11" t="n">
        <x:f>CHOOSE('假设'!$B$3,H428,I428,J428)</x:f>
        <x:v>0.12</x:v>
      </x:c>
      <x:c r="L428" s="11" t="n">
        <x:f>K428*'管线假设'!E107*'管线假设'!F107*'管线假设'!G107*IF(E428="USD",'管线假设'!I107,1)-AM428</x:f>
        <x:v>0.012636</x:v>
      </x:c>
      <x:c r="M428" s="11" t="n">
        <x:f>'管线假设'!H107</x:f>
        <x:v>0.13</x:v>
      </x:c>
      <x:c r="N428" s="11" t="n">
        <x:f>IF(G428,L428*AN428/(1+M428)^F428,0)</x:f>
        <x:v>0.002835349919523882</x:v>
      </x:c>
      <x:c r="AJ428" t="n">
        <x:v>0</x:v>
      </x:c>
      <x:c r="AK428" t="n">
        <x:v>0</x:v>
      </x:c>
      <x:c r="AL428" t="n">
        <x:v>0</x:v>
      </x:c>
      <x:c r="AM428" t="n">
        <x:f>CHOOSE('假设'!$B$3,AJ428,AK428,AL428)</x:f>
        <x:v>0</x:v>
      </x:c>
      <x:c r="AN428" t="n">
        <x:v>1</x:v>
      </x:c>
    </x:row>
    <x:row r="429" ht="23" customHeight="1">
      <x:c r="A429" s="11" t="str">
        <x:v>01093.HK</x:v>
      </x:c>
      <x:c r="B429" s="11" t="str">
        <x:v>五年</x:v>
      </x:c>
      <x:c r="C429" s="11" t="str">
        <x:v>KN026_HB_INCREMENT_DOM</x:v>
      </x:c>
      <x:c r="D429" s="11" t="str">
        <x:v>2027-12-31</x:v>
      </x:c>
      <x:c r="E429" s="11" t="str">
        <x:v>CNY</x:v>
      </x:c>
      <x:c r="F429" s="11" t="n">
        <x:v>-3.7727583846680357</x:v>
      </x:c>
      <x:c r="G429" s="26" t="b">
        <x:v>0</x:v>
      </x:c>
      <x:c r="H429" s="16" t="n">
        <x:v>0</x:v>
      </x:c>
      <x:c r="I429" s="16" t="n">
        <x:v>0.28</x:v>
      </x:c>
      <x:c r="J429" s="16" t="n">
        <x:v>0.48</x:v>
      </x:c>
      <x:c r="K429" s="11" t="n">
        <x:f>CHOOSE('假设'!$B$3,H429,I429,J429)</x:f>
        <x:v>0.28</x:v>
      </x:c>
      <x:c r="L429" s="11" t="n">
        <x:f>K429*'管线假设'!E111*'管线假设'!F111*'管线假设'!G111*IF(E429="USD",'管线假设'!I111,1)-AM429</x:f>
        <x:v>0.028224</x:v>
      </x:c>
      <x:c r="M429" s="11" t="n">
        <x:f>'管线假设'!H111</x:f>
        <x:v>0.13</x:v>
      </x:c>
      <x:c r="N429" s="11" t="n">
        <x:f>IF(G429,L429*AN429/(1+M429)^F429,0)</x:f>
        <x:v>0</x:v>
      </x:c>
      <x:c r="AJ429" t="n">
        <x:v>0</x:v>
      </x:c>
      <x:c r="AK429" t="n">
        <x:v>0</x:v>
      </x:c>
      <x:c r="AL429" t="n">
        <x:v>0</x:v>
      </x:c>
      <x:c r="AM429" t="n">
        <x:f>CHOOSE('假设'!$B$3,AJ429,AK429,AL429)</x:f>
        <x:v>0</x:v>
      </x:c>
      <x:c r="AN429" t="n">
        <x:v>1</x:v>
      </x:c>
    </x:row>
    <x:row r="430" ht="23" customHeight="1">
      <x:c r="A430" s="11" t="str">
        <x:v>01093.HK</x:v>
      </x:c>
      <x:c r="B430" s="11" t="str">
        <x:v>五年</x:v>
      </x:c>
      <x:c r="C430" s="11" t="str">
        <x:v>KN026_HB_INCREMENT_DOM</x:v>
      </x:c>
      <x:c r="D430" s="11" t="str">
        <x:v>2028-12-31</x:v>
      </x:c>
      <x:c r="E430" s="11" t="str">
        <x:v>CNY</x:v>
      </x:c>
      <x:c r="F430" s="11" t="n">
        <x:v>-2.7707049965776864</x:v>
      </x:c>
      <x:c r="G430" s="26" t="b">
        <x:v>0</x:v>
      </x:c>
      <x:c r="H430" s="16" t="n">
        <x:v>0</x:v>
      </x:c>
      <x:c r="I430" s="16" t="n">
        <x:v>0.875</x:v>
      </x:c>
      <x:c r="J430" s="16" t="n">
        <x:v>1.5</x:v>
      </x:c>
      <x:c r="K430" s="11" t="n">
        <x:f>CHOOSE('假设'!$B$3,H430,I430,J430)</x:f>
        <x:v>0.875</x:v>
      </x:c>
      <x:c r="L430" s="11" t="n">
        <x:f>K430*'管线假设'!E111*'管线假设'!F111*'管线假设'!G111*IF(E430="USD",'管线假设'!I111,1)-AM430</x:f>
        <x:v>0.08819999999999999</x:v>
      </x:c>
      <x:c r="M430" s="11" t="n">
        <x:f>'管线假设'!H111</x:f>
        <x:v>0.13</x:v>
      </x:c>
      <x:c r="N430" s="11" t="n">
        <x:f>IF(G430,L430*AN430/(1+M430)^F430,0)</x:f>
        <x:v>0</x:v>
      </x:c>
      <x:c r="AJ430" t="n">
        <x:v>0</x:v>
      </x:c>
      <x:c r="AK430" t="n">
        <x:v>0</x:v>
      </x:c>
      <x:c r="AL430" t="n">
        <x:v>0</x:v>
      </x:c>
      <x:c r="AM430" t="n">
        <x:f>CHOOSE('假设'!$B$3,AJ430,AK430,AL430)</x:f>
        <x:v>0</x:v>
      </x:c>
      <x:c r="AN430" t="n">
        <x:v>1</x:v>
      </x:c>
    </x:row>
    <x:row r="431" ht="23" customHeight="1">
      <x:c r="A431" s="11" t="str">
        <x:v>01093.HK</x:v>
      </x:c>
      <x:c r="B431" s="11" t="str">
        <x:v>五年</x:v>
      </x:c>
      <x:c r="C431" s="11" t="str">
        <x:v>KN026_HB_INCREMENT_DOM</x:v>
      </x:c>
      <x:c r="D431" s="11" t="str">
        <x:v>2029-12-31</x:v>
      </x:c>
      <x:c r="E431" s="11" t="str">
        <x:v>CNY</x:v>
      </x:c>
      <x:c r="F431" s="11" t="n">
        <x:v>-1.7713894592744694</x:v>
      </x:c>
      <x:c r="G431" s="26" t="b">
        <x:v>0</x:v>
      </x:c>
      <x:c r="H431" s="16" t="n">
        <x:v>0.10400000000000001</x:v>
      </x:c>
      <x:c r="I431" s="16" t="n">
        <x:v>1.575</x:v>
      </x:c>
      <x:c r="J431" s="16" t="n">
        <x:v>2.7</x:v>
      </x:c>
      <x:c r="K431" s="11" t="n">
        <x:f>CHOOSE('假设'!$B$3,H431,I431,J431)</x:f>
        <x:v>1.575</x:v>
      </x:c>
      <x:c r="L431" s="11" t="n">
        <x:f>K431*'管线假设'!E111*'管线假设'!F111*'管线假设'!G111*IF(E431="USD",'管线假设'!I111,1)-AM431</x:f>
        <x:v>0.15875999999999998</x:v>
      </x:c>
      <x:c r="M431" s="11" t="n">
        <x:f>'管线假设'!H111</x:f>
        <x:v>0.13</x:v>
      </x:c>
      <x:c r="N431" s="11" t="n">
        <x:f>IF(G431,L431*AN431/(1+M431)^F431,0)</x:f>
        <x:v>0</x:v>
      </x:c>
      <x:c r="AJ431" t="n">
        <x:v>0</x:v>
      </x:c>
      <x:c r="AK431" t="n">
        <x:v>0</x:v>
      </x:c>
      <x:c r="AL431" t="n">
        <x:v>0</x:v>
      </x:c>
      <x:c r="AM431" t="n">
        <x:f>CHOOSE('假设'!$B$3,AJ431,AK431,AL431)</x:f>
        <x:v>0</x:v>
      </x:c>
      <x:c r="AN431" t="n">
        <x:v>1</x:v>
      </x:c>
    </x:row>
    <x:row r="432" ht="23" customHeight="1">
      <x:c r="A432" s="11" t="str">
        <x:v>01093.HK</x:v>
      </x:c>
      <x:c r="B432" s="11" t="str">
        <x:v>五年</x:v>
      </x:c>
      <x:c r="C432" s="11" t="str">
        <x:v>KN026_HB_INCREMENT_DOM</x:v>
      </x:c>
      <x:c r="D432" s="11" t="str">
        <x:v>2030-12-31</x:v>
      </x:c>
      <x:c r="E432" s="11" t="str">
        <x:v>CNY</x:v>
      </x:c>
      <x:c r="F432" s="11" t="n">
        <x:v>-0.7720739219712526</x:v>
      </x:c>
      <x:c r="G432" s="26" t="b">
        <x:v>0</x:v>
      </x:c>
      <x:c r="H432" s="16" t="n">
        <x:v>0.325</x:v>
      </x:c>
      <x:c r="I432" s="16" t="n">
        <x:v>2.275</x:v>
      </x:c>
      <x:c r="J432" s="16" t="n">
        <x:v>3.9000000000000004</x:v>
      </x:c>
      <x:c r="K432" s="11" t="n">
        <x:f>CHOOSE('假设'!$B$3,H432,I432,J432)</x:f>
        <x:v>2.275</x:v>
      </x:c>
      <x:c r="L432" s="11" t="n">
        <x:f>K432*'管线假设'!E111*'管线假设'!F111*'管线假设'!G111*IF(E432="USD",'管线假设'!I111,1)-AM432</x:f>
        <x:v>0.22931999999999997</x:v>
      </x:c>
      <x:c r="M432" s="11" t="n">
        <x:f>'管线假设'!H111</x:f>
        <x:v>0.13</x:v>
      </x:c>
      <x:c r="N432" s="11" t="n">
        <x:f>IF(G432,L432*AN432/(1+M432)^F432,0)</x:f>
        <x:v>0</x:v>
      </x:c>
      <x:c r="AJ432" t="n">
        <x:v>0</x:v>
      </x:c>
      <x:c r="AK432" t="n">
        <x:v>0</x:v>
      </x:c>
      <x:c r="AL432" t="n">
        <x:v>0</x:v>
      </x:c>
      <x:c r="AM432" t="n">
        <x:f>CHOOSE('假设'!$B$3,AJ432,AK432,AL432)</x:f>
        <x:v>0</x:v>
      </x:c>
      <x:c r="AN432" t="n">
        <x:v>1</x:v>
      </x:c>
    </x:row>
    <x:row r="433" ht="23" customHeight="1">
      <x:c r="A433" s="11" t="str">
        <x:v>01093.HK</x:v>
      </x:c>
      <x:c r="B433" s="11" t="str">
        <x:v>五年</x:v>
      </x:c>
      <x:c r="C433" s="11" t="str">
        <x:v>KN026_HB_INCREMENT_DOM</x:v>
      </x:c>
      <x:c r="D433" s="11" t="str">
        <x:v>2031-12-31</x:v>
      </x:c>
      <x:c r="E433" s="11" t="str">
        <x:v>CNY</x:v>
      </x:c>
      <x:c r="F433" s="11" t="n">
        <x:v>0.2272416153319644</x:v>
      </x:c>
      <x:c r="G433" s="26" t="b">
        <x:v>1</x:v>
      </x:c>
      <x:c r="H433" s="16" t="n">
        <x:v>0.5850000000000001</x:v>
      </x:c>
      <x:c r="I433" s="16" t="n">
        <x:v>2.975</x:v>
      </x:c>
      <x:c r="J433" s="16" t="n">
        <x:v>5.1</x:v>
      </x:c>
      <x:c r="K433" s="11" t="n">
        <x:f>CHOOSE('假设'!$B$3,H433,I433,J433)</x:f>
        <x:v>2.975</x:v>
      </x:c>
      <x:c r="L433" s="11" t="n">
        <x:f>K433*'管线假设'!E111*'管线假设'!F111*'管线假设'!G111*IF(E433="USD",'管线假设'!I111,1)-AM433</x:f>
        <x:v>0.29988</x:v>
      </x:c>
      <x:c r="M433" s="11" t="n">
        <x:f>'管线假设'!H111</x:f>
        <x:v>0.13</x:v>
      </x:c>
      <x:c r="N433" s="11" t="n">
        <x:f>IF(G433,L433*AN433/(1+M433)^F433,0)</x:f>
        <x:v>0.29166604386072104</x:v>
      </x:c>
      <x:c r="AJ433" t="n">
        <x:v>0</x:v>
      </x:c>
      <x:c r="AK433" t="n">
        <x:v>0</x:v>
      </x:c>
      <x:c r="AL433" t="n">
        <x:v>0</x:v>
      </x:c>
      <x:c r="AM433" t="n">
        <x:f>CHOOSE('假设'!$B$3,AJ433,AK433,AL433)</x:f>
        <x:v>0</x:v>
      </x:c>
      <x:c r="AN433" t="n">
        <x:v>1</x:v>
      </x:c>
    </x:row>
    <x:row r="434" ht="23" customHeight="1">
      <x:c r="A434" s="11" t="str">
        <x:v>01093.HK</x:v>
      </x:c>
      <x:c r="B434" s="11" t="str">
        <x:v>五年</x:v>
      </x:c>
      <x:c r="C434" s="11" t="str">
        <x:v>KN026_HB_INCREMENT_DOM</x:v>
      </x:c>
      <x:c r="D434" s="11" t="str">
        <x:v>2032-12-31</x:v>
      </x:c>
      <x:c r="E434" s="11" t="str">
        <x:v>CNY</x:v>
      </x:c>
      <x:c r="F434" s="11" t="n">
        <x:v>1.2292950034223136</x:v>
      </x:c>
      <x:c r="G434" s="26" t="b">
        <x:v>1</x:v>
      </x:c>
      <x:c r="H434" s="16" t="n">
        <x:v>0.8450000000000001</x:v>
      </x:c>
      <x:c r="I434" s="16" t="n">
        <x:v>3.5</x:v>
      </x:c>
      <x:c r="J434" s="16" t="n">
        <x:v>6</x:v>
      </x:c>
      <x:c r="K434" s="11" t="n">
        <x:f>CHOOSE('假设'!$B$3,H434,I434,J434)</x:f>
        <x:v>3.5</x:v>
      </x:c>
      <x:c r="L434" s="11" t="n">
        <x:f>K434*'管线假设'!E111*'管线假设'!F111*'管线假设'!G111*IF(E434="USD",'管线假设'!I111,1)-AM434</x:f>
        <x:v>0.35279999999999995</x:v>
      </x:c>
      <x:c r="M434" s="11" t="n">
        <x:f>'管线假设'!H111</x:f>
        <x:v>0.13</x:v>
      </x:c>
      <x:c r="N434" s="11" t="n">
        <x:f>IF(G434,L434*AN434/(1+M434)^F434,0)</x:f>
        <x:v>0.3035844419227377</x:v>
      </x:c>
      <x:c r="AJ434" t="n">
        <x:v>0</x:v>
      </x:c>
      <x:c r="AK434" t="n">
        <x:v>0</x:v>
      </x:c>
      <x:c r="AL434" t="n">
        <x:v>0</x:v>
      </x:c>
      <x:c r="AM434" t="n">
        <x:f>CHOOSE('假设'!$B$3,AJ434,AK434,AL434)</x:f>
        <x:v>0</x:v>
      </x:c>
      <x:c r="AN434" t="n">
        <x:v>1</x:v>
      </x:c>
    </x:row>
    <x:row r="435" ht="23" customHeight="1">
      <x:c r="A435" s="11" t="str">
        <x:v>01093.HK</x:v>
      </x:c>
      <x:c r="B435" s="11" t="str">
        <x:v>五年</x:v>
      </x:c>
      <x:c r="C435" s="11" t="str">
        <x:v>KN026_HB_INCREMENT_DOM</x:v>
      </x:c>
      <x:c r="D435" s="11" t="str">
        <x:v>2033-12-31</x:v>
      </x:c>
      <x:c r="E435" s="11" t="str">
        <x:v>CNY</x:v>
      </x:c>
      <x:c r="F435" s="11" t="n">
        <x:v>2.2286105407255303</x:v>
      </x:c>
      <x:c r="G435" s="26" t="b">
        <x:v>1</x:v>
      </x:c>
      <x:c r="H435" s="16" t="n">
        <x:v>1.105</x:v>
      </x:c>
      <x:c r="I435" s="16" t="n">
        <x:v>3.5</x:v>
      </x:c>
      <x:c r="J435" s="16" t="n">
        <x:v>6</x:v>
      </x:c>
      <x:c r="K435" s="11" t="n">
        <x:f>CHOOSE('假设'!$B$3,H435,I435,J435)</x:f>
        <x:v>3.5</x:v>
      </x:c>
      <x:c r="L435" s="11" t="n">
        <x:f>K435*'管线假设'!E111*'管线假设'!F111*'管线假设'!G111*IF(E435="USD",'管线假设'!I111,1)-AM435</x:f>
        <x:v>0.35279999999999995</x:v>
      </x:c>
      <x:c r="M435" s="11" t="n">
        <x:f>'管线假设'!H111</x:f>
        <x:v>0.13</x:v>
      </x:c>
      <x:c r="N435" s="11" t="n">
        <x:f>IF(G435,L435*AN435/(1+M435)^F435,0)</x:f>
        <x:v>0.26868127332648784</x:v>
      </x:c>
      <x:c r="AJ435" t="n">
        <x:v>0</x:v>
      </x:c>
      <x:c r="AK435" t="n">
        <x:v>0</x:v>
      </x:c>
      <x:c r="AL435" t="n">
        <x:v>0</x:v>
      </x:c>
      <x:c r="AM435" t="n">
        <x:f>CHOOSE('假设'!$B$3,AJ435,AK435,AL435)</x:f>
        <x:v>0</x:v>
      </x:c>
      <x:c r="AN435" t="n">
        <x:v>1</x:v>
      </x:c>
    </x:row>
    <x:row r="436" ht="23" customHeight="1">
      <x:c r="A436" s="11" t="str">
        <x:v>01093.HK</x:v>
      </x:c>
      <x:c r="B436" s="11" t="str">
        <x:v>五年</x:v>
      </x:c>
      <x:c r="C436" s="11" t="str">
        <x:v>KN026_HB_INCREMENT_DOM</x:v>
      </x:c>
      <x:c r="D436" s="11" t="str">
        <x:v>2034-12-31</x:v>
      </x:c>
      <x:c r="E436" s="11" t="str">
        <x:v>CNY</x:v>
      </x:c>
      <x:c r="F436" s="11" t="n">
        <x:v>3.2279260780287475</x:v>
      </x:c>
      <x:c r="G436" s="26" t="b">
        <x:v>1</x:v>
      </x:c>
      <x:c r="H436" s="16" t="n">
        <x:v>1.3</x:v>
      </x:c>
      <x:c r="I436" s="16" t="n">
        <x:v>3.3249999999999997</x:v>
      </x:c>
      <x:c r="J436" s="16" t="n">
        <x:v>5.699999999999999</x:v>
      </x:c>
      <x:c r="K436" s="11" t="n">
        <x:f>CHOOSE('假设'!$B$3,H436,I436,J436)</x:f>
        <x:v>3.3249999999999997</x:v>
      </x:c>
      <x:c r="L436" s="11" t="n">
        <x:f>K436*'管线假设'!E111*'管线假设'!F111*'管线假设'!G111*IF(E436="USD",'管线假设'!I111,1)-AM436</x:f>
        <x:v>0.33515999999999996</x:v>
      </x:c>
      <x:c r="M436" s="11" t="n">
        <x:f>'管线假设'!H111</x:f>
        <x:v>0.13</x:v>
      </x:c>
      <x:c r="N436" s="11" t="n">
        <x:f>IF(G436,L436*AN436/(1+M436)^F436,0)</x:f>
        <x:v>0.22590138305565538</x:v>
      </x:c>
      <x:c r="AJ436" t="n">
        <x:v>0</x:v>
      </x:c>
      <x:c r="AK436" t="n">
        <x:v>0</x:v>
      </x:c>
      <x:c r="AL436" t="n">
        <x:v>0</x:v>
      </x:c>
      <x:c r="AM436" t="n">
        <x:f>CHOOSE('假设'!$B$3,AJ436,AK436,AL436)</x:f>
        <x:v>0</x:v>
      </x:c>
      <x:c r="AN436" t="n">
        <x:v>1</x:v>
      </x:c>
    </x:row>
    <x:row r="437" ht="23" customHeight="1">
      <x:c r="A437" s="11" t="str">
        <x:v>01093.HK</x:v>
      </x:c>
      <x:c r="B437" s="11" t="str">
        <x:v>五年</x:v>
      </x:c>
      <x:c r="C437" s="11" t="str">
        <x:v>KN026_HB_INCREMENT_DOM</x:v>
      </x:c>
      <x:c r="D437" s="11" t="str">
        <x:v>2035-12-31</x:v>
      </x:c>
      <x:c r="E437" s="11" t="str">
        <x:v>CNY</x:v>
      </x:c>
      <x:c r="F437" s="11" t="n">
        <x:v>4.227241615331964</x:v>
      </x:c>
      <x:c r="G437" s="26" t="b">
        <x:v>1</x:v>
      </x:c>
      <x:c r="H437" s="16" t="n">
        <x:v>1.3</x:v>
      </x:c>
      <x:c r="I437" s="16" t="n">
        <x:v>3.08</x:v>
      </x:c>
      <x:c r="J437" s="16" t="n">
        <x:v>5.28</x:v>
      </x:c>
      <x:c r="K437" s="11" t="n">
        <x:f>CHOOSE('假设'!$B$3,H437,I437,J437)</x:f>
        <x:v>3.08</x:v>
      </x:c>
      <x:c r="L437" s="11" t="n">
        <x:f>K437*'管线假设'!E111*'管线假设'!F111*'管线假设'!G111*IF(E437="USD",'管线假设'!I111,1)-AM437</x:f>
        <x:v>0.31046399999999996</x:v>
      </x:c>
      <x:c r="M437" s="11" t="n">
        <x:f>'管线假设'!H111</x:f>
        <x:v>0.13</x:v>
      </x:c>
      <x:c r="N437" s="11" t="n">
        <x:f>IF(G437,L437*AN437/(1+M437)^F437,0)</x:f>
        <x:v>0.18519780858421475</x:v>
      </x:c>
      <x:c r="AJ437" t="n">
        <x:v>0</x:v>
      </x:c>
      <x:c r="AK437" t="n">
        <x:v>0</x:v>
      </x:c>
      <x:c r="AL437" t="n">
        <x:v>0</x:v>
      </x:c>
      <x:c r="AM437" t="n">
        <x:f>CHOOSE('假设'!$B$3,AJ437,AK437,AL437)</x:f>
        <x:v>0</x:v>
      </x:c>
      <x:c r="AN437" t="n">
        <x:v>1</x:v>
      </x:c>
    </x:row>
    <x:row r="438" ht="23" customHeight="1">
      <x:c r="A438" s="11" t="str">
        <x:v>01093.HK</x:v>
      </x:c>
      <x:c r="B438" s="11" t="str">
        <x:v>五年</x:v>
      </x:c>
      <x:c r="C438" s="11" t="str">
        <x:v>KN026_HB_INCREMENT_DOM</x:v>
      </x:c>
      <x:c r="D438" s="11" t="str">
        <x:v>2036-12-31</x:v>
      </x:c>
      <x:c r="E438" s="11" t="str">
        <x:v>CNY</x:v>
      </x:c>
      <x:c r="F438" s="11" t="n">
        <x:v>5.229295003422314</x:v>
      </x:c>
      <x:c r="G438" s="26" t="b">
        <x:v>1</x:v>
      </x:c>
      <x:c r="H438" s="16" t="n">
        <x:v>1.2349999999999999</x:v>
      </x:c>
      <x:c r="I438" s="16" t="n">
        <x:v>2.625</x:v>
      </x:c>
      <x:c r="J438" s="16" t="n">
        <x:v>4.5</x:v>
      </x:c>
      <x:c r="K438" s="11" t="n">
        <x:f>CHOOSE('假设'!$B$3,H438,I438,J438)</x:f>
        <x:v>2.625</x:v>
      </x:c>
      <x:c r="L438" s="11" t="n">
        <x:f>K438*'管线假设'!E111*'管线假设'!F111*'管线假设'!G111*IF(E438="USD",'管线假设'!I111,1)-AM438</x:f>
        <x:v>0.2646</x:v>
      </x:c>
      <x:c r="M438" s="11" t="n">
        <x:f>'管线假设'!H111</x:f>
        <x:v>0.13</x:v>
      </x:c>
      <x:c r="N438" s="11" t="n">
        <x:f>IF(G438,L438*AN438/(1+M438)^F438,0)</x:f>
        <x:v>0.13964551774748038</x:v>
      </x:c>
      <x:c r="AJ438" t="n">
        <x:v>0</x:v>
      </x:c>
      <x:c r="AK438" t="n">
        <x:v>0</x:v>
      </x:c>
      <x:c r="AL438" t="n">
        <x:v>0</x:v>
      </x:c>
      <x:c r="AM438" t="n">
        <x:f>CHOOSE('假设'!$B$3,AJ438,AK438,AL438)</x:f>
        <x:v>0</x:v>
      </x:c>
      <x:c r="AN438" t="n">
        <x:v>1</x:v>
      </x:c>
    </x:row>
    <x:row r="439" ht="23" customHeight="1">
      <x:c r="A439" s="11" t="str">
        <x:v>01093.HK</x:v>
      </x:c>
      <x:c r="B439" s="11" t="str">
        <x:v>五年</x:v>
      </x:c>
      <x:c r="C439" s="11" t="str">
        <x:v>KN026_HB_INCREMENT_DOM</x:v>
      </x:c>
      <x:c r="D439" s="11" t="str">
        <x:v>2037-12-31</x:v>
      </x:c>
      <x:c r="E439" s="11" t="str">
        <x:v>CNY</x:v>
      </x:c>
      <x:c r="F439" s="11" t="n">
        <x:v>6.228610540725531</x:v>
      </x:c>
      <x:c r="G439" s="26" t="b">
        <x:v>1</x:v>
      </x:c>
      <x:c r="H439" s="16" t="n">
        <x:v>1.1440000000000001</x:v>
      </x:c>
      <x:c r="I439" s="16" t="n">
        <x:v>2.1</x:v>
      </x:c>
      <x:c r="J439" s="16" t="n">
        <x:v>3.5999999999999996</x:v>
      </x:c>
      <x:c r="K439" s="11" t="n">
        <x:f>CHOOSE('假设'!$B$3,H439,I439,J439)</x:f>
        <x:v>2.1</x:v>
      </x:c>
      <x:c r="L439" s="11" t="n">
        <x:f>K439*'管线假设'!E111*'管线假设'!F111*'管线假设'!G111*IF(E439="USD",'管线假设'!I111,1)-AM439</x:f>
        <x:v>0.21168</x:v>
      </x:c>
      <x:c r="M439" s="11" t="n">
        <x:f>'管线假设'!H111</x:f>
        <x:v>0.13</x:v>
      </x:c>
      <x:c r="N439" s="11" t="n">
        <x:f>IF(G439,L439*AN439/(1+M439)^F439,0)</x:f>
        <x:v>0.09887235402472586</x:v>
      </x:c>
      <x:c r="AJ439" t="n">
        <x:v>0</x:v>
      </x:c>
      <x:c r="AK439" t="n">
        <x:v>0</x:v>
      </x:c>
      <x:c r="AL439" t="n">
        <x:v>0</x:v>
      </x:c>
      <x:c r="AM439" t="n">
        <x:f>CHOOSE('假设'!$B$3,AJ439,AK439,AL439)</x:f>
        <x:v>0</x:v>
      </x:c>
      <x:c r="AN439" t="n">
        <x:v>1</x:v>
      </x:c>
    </x:row>
    <x:row r="440" ht="23" customHeight="1">
      <x:c r="A440" s="11" t="str">
        <x:v>01093.HK</x:v>
      </x:c>
      <x:c r="B440" s="11" t="str">
        <x:v>五年</x:v>
      </x:c>
      <x:c r="C440" s="11" t="str">
        <x:v>KN026_HB_INCREMENT_DOM</x:v>
      </x:c>
      <x:c r="D440" s="11" t="str">
        <x:v>2038-12-31</x:v>
      </x:c>
      <x:c r="E440" s="11" t="str">
        <x:v>CNY</x:v>
      </x:c>
      <x:c r="F440" s="11" t="n">
        <x:v>7.227926078028747</x:v>
      </x:c>
      <x:c r="G440" s="26" t="b">
        <x:v>1</x:v>
      </x:c>
      <x:c r="H440" s="16" t="n">
        <x:v>0.9750000000000001</x:v>
      </x:c>
      <x:c r="I440" s="16" t="n">
        <x:v>1.575</x:v>
      </x:c>
      <x:c r="J440" s="16" t="n">
        <x:v>2.7</x:v>
      </x:c>
      <x:c r="K440" s="11" t="n">
        <x:f>CHOOSE('假设'!$B$3,H440,I440,J440)</x:f>
        <x:v>1.575</x:v>
      </x:c>
      <x:c r="L440" s="11" t="n">
        <x:f>K440*'管线假设'!E111*'管线假设'!F111*'管线假设'!G111*IF(E440="USD",'管线假设'!I111,1)-AM440</x:f>
        <x:v>0.15875999999999998</x:v>
      </x:c>
      <x:c r="M440" s="11" t="n">
        <x:f>'管线假设'!H111</x:f>
        <x:v>0.13</x:v>
      </x:c>
      <x:c r="N440" s="11" t="n">
        <x:f>IF(G440,L440*AN440/(1+M440)^F440,0)</x:f>
        <x:v>0.06562873365949236</x:v>
      </x:c>
      <x:c r="AJ440" t="n">
        <x:v>0</x:v>
      </x:c>
      <x:c r="AK440" t="n">
        <x:v>0</x:v>
      </x:c>
      <x:c r="AL440" t="n">
        <x:v>0</x:v>
      </x:c>
      <x:c r="AM440" t="n">
        <x:f>CHOOSE('假设'!$B$3,AJ440,AK440,AL440)</x:f>
        <x:v>0</x:v>
      </x:c>
      <x:c r="AN440" t="n">
        <x:v>1</x:v>
      </x:c>
    </x:row>
    <x:row r="441" ht="23" customHeight="1">
      <x:c r="A441" s="11" t="str">
        <x:v>01093.HK</x:v>
      </x:c>
      <x:c r="B441" s="11" t="str">
        <x:v>五年</x:v>
      </x:c>
      <x:c r="C441" s="11" t="str">
        <x:v>KN026_HB_INCREMENT_DOM</x:v>
      </x:c>
      <x:c r="D441" s="11" t="str">
        <x:v>2039-12-31</x:v>
      </x:c>
      <x:c r="E441" s="11" t="str">
        <x:v>CNY</x:v>
      </x:c>
      <x:c r="F441" s="11" t="n">
        <x:v>8.227241615331964</x:v>
      </x:c>
      <x:c r="G441" s="26" t="b">
        <x:v>1</x:v>
      </x:c>
      <x:c r="H441" s="16" t="n">
        <x:v>0.78</x:v>
      </x:c>
      <x:c r="I441" s="16" t="n">
        <x:v>1.05</x:v>
      </x:c>
      <x:c r="J441" s="16" t="n">
        <x:v>1.7999999999999998</x:v>
      </x:c>
      <x:c r="K441" s="11" t="n">
        <x:f>CHOOSE('假设'!$B$3,H441,I441,J441)</x:f>
        <x:v>1.05</x:v>
      </x:c>
      <x:c r="L441" s="11" t="n">
        <x:f>K441*'管线假设'!E111*'管线假设'!F111*'管线假设'!G111*IF(E441="USD",'管线假设'!I111,1)-AM441</x:f>
        <x:v>0.10584</x:v>
      </x:c>
      <x:c r="M441" s="11" t="n">
        <x:f>'管线假设'!H111</x:f>
        <x:v>0.13</x:v>
      </x:c>
      <x:c r="N441" s="11" t="n">
        <x:f>IF(G441,L441*AN441/(1+M441)^F441,0)</x:f>
        <x:v>0.038722256021549786</x:v>
      </x:c>
      <x:c r="AJ441" t="n">
        <x:v>0</x:v>
      </x:c>
      <x:c r="AK441" t="n">
        <x:v>0</x:v>
      </x:c>
      <x:c r="AL441" t="n">
        <x:v>0</x:v>
      </x:c>
      <x:c r="AM441" t="n">
        <x:f>CHOOSE('假设'!$B$3,AJ441,AK441,AL441)</x:f>
        <x:v>0</x:v>
      </x:c>
      <x:c r="AN441" t="n">
        <x:v>1</x:v>
      </x:c>
    </x:row>
    <x:row r="442" ht="23" customHeight="1">
      <x:c r="A442" s="11" t="str">
        <x:v>01093.HK</x:v>
      </x:c>
      <x:c r="B442" s="11" t="str">
        <x:v>五年</x:v>
      </x:c>
      <x:c r="C442" s="11" t="str">
        <x:v>KN026_HB_INCREMENT_DOM</x:v>
      </x:c>
      <x:c r="D442" s="11" t="str">
        <x:v>2040-12-31</x:v>
      </x:c>
      <x:c r="E442" s="11" t="str">
        <x:v>CNY</x:v>
      </x:c>
      <x:c r="F442" s="11" t="n">
        <x:v>9.229295003422314</x:v>
      </x:c>
      <x:c r="G442" s="26" t="b">
        <x:v>1</x:v>
      </x:c>
      <x:c r="H442" s="16" t="n">
        <x:v>0.5850000000000001</x:v>
      </x:c>
      <x:c r="I442" s="16" t="n">
        <x:v>0.63</x:v>
      </x:c>
      <x:c r="J442" s="16" t="n">
        <x:v>1.08</x:v>
      </x:c>
      <x:c r="K442" s="11" t="n">
        <x:f>CHOOSE('假设'!$B$3,H442,I442,J442)</x:f>
        <x:v>0.63</x:v>
      </x:c>
      <x:c r="L442" s="11" t="n">
        <x:f>K442*'管线假设'!E111*'管线假设'!F111*'管线假设'!G111*IF(E442="USD",'管线假设'!I111,1)-AM442</x:f>
        <x:v>0.063504</x:v>
      </x:c>
      <x:c r="M442" s="11" t="n">
        <x:f>'管线假设'!H111</x:f>
        <x:v>0.13</x:v>
      </x:c>
      <x:c r="N442" s="11" t="n">
        <x:f>IF(G442,L442*AN442/(1+M442)^F442,0)</x:f>
        <x:v>0.020555330705043</x:v>
      </x:c>
      <x:c r="AJ442" t="n">
        <x:v>0</x:v>
      </x:c>
      <x:c r="AK442" t="n">
        <x:v>0</x:v>
      </x:c>
      <x:c r="AL442" t="n">
        <x:v>0</x:v>
      </x:c>
      <x:c r="AM442" t="n">
        <x:f>CHOOSE('假设'!$B$3,AJ442,AK442,AL442)</x:f>
        <x:v>0</x:v>
      </x:c>
      <x:c r="AN442" t="n">
        <x:v>1</x:v>
      </x:c>
    </x:row>
    <x:row r="443" ht="23" customHeight="1">
      <x:c r="A443" s="11" t="str">
        <x:v>01093.HK</x:v>
      </x:c>
      <x:c r="B443" s="11" t="str">
        <x:v>五年</x:v>
      </x:c>
      <x:c r="C443" s="11" t="str">
        <x:v>KN026_HB_INCREMENT_DOM</x:v>
      </x:c>
      <x:c r="D443" s="11" t="str">
        <x:v>2041-12-31</x:v>
      </x:c>
      <x:c r="E443" s="11" t="str">
        <x:v>CNY</x:v>
      </x:c>
      <x:c r="F443" s="11" t="n">
        <x:v>10.22861054072553</x:v>
      </x:c>
      <x:c r="G443" s="26" t="b">
        <x:v>1</x:v>
      </x:c>
      <x:c r="H443" s="16" t="n">
        <x:v>0.39</x:v>
      </x:c>
      <x:c r="I443" s="16" t="n">
        <x:v>0.35000000000000003</x:v>
      </x:c>
      <x:c r="J443" s="16" t="n">
        <x:v>0.6000000000000001</x:v>
      </x:c>
      <x:c r="K443" s="11" t="n">
        <x:f>CHOOSE('假设'!$B$3,H443,I443,J443)</x:f>
        <x:v>0.35000000000000003</x:v>
      </x:c>
      <x:c r="L443" s="11" t="n">
        <x:f>K443*'管线假设'!E111*'管线假设'!F111*'管线假设'!G111*IF(E443="USD",'管线假设'!I111,1)-AM443</x:f>
        <x:v>0.03528</x:v>
      </x:c>
      <x:c r="M443" s="11" t="n">
        <x:f>'管线假设'!H111</x:f>
        <x:v>0.13</x:v>
      </x:c>
      <x:c r="N443" s="11" t="n">
        <x:f>IF(G443,L443*AN443/(1+M443)^F443,0)</x:f>
        <x:v>0.010106711062184961</x:v>
      </x:c>
      <x:c r="AJ443" t="n">
        <x:v>0</x:v>
      </x:c>
      <x:c r="AK443" t="n">
        <x:v>0</x:v>
      </x:c>
      <x:c r="AL443" t="n">
        <x:v>0</x:v>
      </x:c>
      <x:c r="AM443" t="n">
        <x:f>CHOOSE('假设'!$B$3,AJ443,AK443,AL443)</x:f>
        <x:v>0</x:v>
      </x:c>
      <x:c r="AN443" t="n">
        <x:v>1</x:v>
      </x:c>
    </x:row>
    <x:row r="444" ht="23" customHeight="1">
      <x:c r="A444" s="11" t="str">
        <x:v>01093.HK</x:v>
      </x:c>
      <x:c r="B444" s="11" t="str">
        <x:v>五年</x:v>
      </x:c>
      <x:c r="C444" s="11" t="str">
        <x:v>KN026_HB_INCREMENT_DOM</x:v>
      </x:c>
      <x:c r="D444" s="11" t="str">
        <x:v>2042-12-31</x:v>
      </x:c>
      <x:c r="E444" s="11" t="str">
        <x:v>CNY</x:v>
      </x:c>
      <x:c r="F444" s="11" t="n">
        <x:v>11.227926078028748</x:v>
      </x:c>
      <x:c r="G444" s="26" t="b">
        <x:v>1</x:v>
      </x:c>
      <x:c r="H444" s="16" t="n">
        <x:v>0.23399999999999999</x:v>
      </x:c>
      <x:c r="I444" s="16" t="n">
        <x:v>0.17500000000000002</x:v>
      </x:c>
      <x:c r="J444" s="16" t="n">
        <x:v>0.30000000000000004</x:v>
      </x:c>
      <x:c r="K444" s="11" t="n">
        <x:f>CHOOSE('假设'!$B$3,H444,I444,J444)</x:f>
        <x:v>0.17500000000000002</x:v>
      </x:c>
      <x:c r="L444" s="11" t="n">
        <x:f>K444*'管线假设'!E111*'管线假设'!F111*'管线假设'!G111*IF(E444="USD",'管线假设'!I111,1)-AM444</x:f>
        <x:v>0.01764</x:v>
      </x:c>
      <x:c r="M444" s="11" t="n">
        <x:f>'管线假设'!H111</x:f>
        <x:v>0.13</x:v>
      </x:c>
      <x:c r="N444" s="11" t="n">
        <x:f>IF(G444,L444*AN444/(1+M444)^F444,0)</x:f>
        <x:v>0.004472370158583172</x:v>
      </x:c>
      <x:c r="AJ444" t="n">
        <x:v>0</x:v>
      </x:c>
      <x:c r="AK444" t="n">
        <x:v>0</x:v>
      </x:c>
      <x:c r="AL444" t="n">
        <x:v>0</x:v>
      </x:c>
      <x:c r="AM444" t="n">
        <x:f>CHOOSE('假设'!$B$3,AJ444,AK444,AL444)</x:f>
        <x:v>0</x:v>
      </x:c>
      <x:c r="AN444" t="n">
        <x:v>1</x:v>
      </x:c>
    </x:row>
    <x:row r="445" ht="23" customHeight="1">
      <x:c r="A445" s="11" t="str">
        <x:v>01093.HK</x:v>
      </x:c>
      <x:c r="B445" s="11" t="str">
        <x:v>五年</x:v>
      </x:c>
      <x:c r="C445" s="11" t="str">
        <x:v>KN026_HB_INCREMENT_DOM</x:v>
      </x:c>
      <x:c r="D445" s="11" t="str">
        <x:v>2043-12-31</x:v>
      </x:c>
      <x:c r="E445" s="11" t="str">
        <x:v>CNY</x:v>
      </x:c>
      <x:c r="F445" s="11" t="n">
        <x:v>12.227241615331964</x:v>
      </x:c>
      <x:c r="G445" s="26" t="b">
        <x:v>1</x:v>
      </x:c>
      <x:c r="H445" s="16" t="n">
        <x:v>0.13</x:v>
      </x:c>
      <x:c r="I445" s="16" t="n">
        <x:v>0.17500000000000002</x:v>
      </x:c>
      <x:c r="J445" s="16" t="n">
        <x:v>0.30000000000000004</x:v>
      </x:c>
      <x:c r="K445" s="11" t="n">
        <x:f>CHOOSE('假设'!$B$3,H445,I445,J445)</x:f>
        <x:v>0.17500000000000002</x:v>
      </x:c>
      <x:c r="L445" s="11" t="n">
        <x:f>K445*'管线假设'!E111*'管线假设'!F111*'管线假设'!G111*IF(E445="USD",'管线假设'!I111,1)-AM445</x:f>
        <x:v>0.01764</x:v>
      </x:c>
      <x:c r="M445" s="11" t="n">
        <x:f>'管线假设'!H111</x:f>
        <x:v>0.13</x:v>
      </x:c>
      <x:c r="N445" s="11" t="n">
        <x:f>IF(G445,L445*AN445/(1+M445)^F445,0)</x:f>
        <x:v>0.0039581807993353335</x:v>
      </x:c>
      <x:c r="AJ445" t="n">
        <x:v>0</x:v>
      </x:c>
      <x:c r="AK445" t="n">
        <x:v>0</x:v>
      </x:c>
      <x:c r="AL445" t="n">
        <x:v>0</x:v>
      </x:c>
      <x:c r="AM445" t="n">
        <x:f>CHOOSE('假设'!$B$3,AJ445,AK445,AL445)</x:f>
        <x:v>0</x:v>
      </x:c>
      <x:c r="AN445" t="n">
        <x:v>1</x:v>
      </x:c>
    </x:row>
    <x:row r="446" ht="23" customHeight="1">
      <x:c r="A446" s="11" t="str">
        <x:v>01093.HK</x:v>
      </x:c>
      <x:c r="B446" s="11" t="str">
        <x:v>五年</x:v>
      </x:c>
      <x:c r="C446" s="11" t="str">
        <x:v>TG103_DOM</x:v>
      </x:c>
      <x:c r="D446" s="11" t="str">
        <x:v>2027-12-31</x:v>
      </x:c>
      <x:c r="E446" s="11" t="str">
        <x:v>CNY</x:v>
      </x:c>
      <x:c r="F446" s="11" t="n">
        <x:v>-3.7727583846680357</x:v>
      </x:c>
      <x:c r="G446" s="26" t="b">
        <x:v>0</x:v>
      </x:c>
      <x:c r="H446" s="16" t="n">
        <x:v>0</x:v>
      </x:c>
      <x:c r="I446" s="16" t="n">
        <x:v>0.12</x:v>
      </x:c>
      <x:c r="J446" s="16" t="n">
        <x:v>0.256</x:v>
      </x:c>
      <x:c r="K446" s="11" t="n">
        <x:f>CHOOSE('假设'!$B$3,H446,I446,J446)</x:f>
        <x:v>0.12</x:v>
      </x:c>
      <x:c r="L446" s="11" t="n">
        <x:f>K446*'管线假设'!E115*'管线假设'!F115*'管线假设'!G115*IF(E446="USD",'管线假设'!I115,1)-AM446</x:f>
        <x:v>0.0132192</x:v>
      </x:c>
      <x:c r="M446" s="11" t="n">
        <x:f>'管线假设'!H115</x:f>
        <x:v>0.13</x:v>
      </x:c>
      <x:c r="N446" s="11" t="n">
        <x:f>IF(G446,L446*AN446/(1+M446)^F446,0)</x:f>
        <x:v>0</x:v>
      </x:c>
      <x:c r="AJ446" t="n">
        <x:v>0</x:v>
      </x:c>
      <x:c r="AK446" t="n">
        <x:v>0</x:v>
      </x:c>
      <x:c r="AL446" t="n">
        <x:v>0</x:v>
      </x:c>
      <x:c r="AM446" t="n">
        <x:f>CHOOSE('假设'!$B$3,AJ446,AK446,AL446)</x:f>
        <x:v>0</x:v>
      </x:c>
      <x:c r="AN446" t="n">
        <x:v>1</x:v>
      </x:c>
    </x:row>
    <x:row r="447" ht="23" customHeight="1">
      <x:c r="A447" s="11" t="str">
        <x:v>01093.HK</x:v>
      </x:c>
      <x:c r="B447" s="11" t="str">
        <x:v>五年</x:v>
      </x:c>
      <x:c r="C447" s="11" t="str">
        <x:v>TG103_DOM</x:v>
      </x:c>
      <x:c r="D447" s="11" t="str">
        <x:v>2028-12-31</x:v>
      </x:c>
      <x:c r="E447" s="11" t="str">
        <x:v>CNY</x:v>
      </x:c>
      <x:c r="F447" s="11" t="n">
        <x:v>-2.7707049965776864</x:v>
      </x:c>
      <x:c r="G447" s="26" t="b">
        <x:v>0</x:v>
      </x:c>
      <x:c r="H447" s="16" t="n">
        <x:v>0</x:v>
      </x:c>
      <x:c r="I447" s="16" t="n">
        <x:v>0.375</x:v>
      </x:c>
      <x:c r="J447" s="16" t="n">
        <x:v>0.8</x:v>
      </x:c>
      <x:c r="K447" s="11" t="n">
        <x:f>CHOOSE('假设'!$B$3,H447,I447,J447)</x:f>
        <x:v>0.375</x:v>
      </x:c>
      <x:c r="L447" s="11" t="n">
        <x:f>K447*'管线假设'!E115*'管线假设'!F115*'管线假设'!G115*IF(E447="USD",'管线假设'!I115,1)-AM447</x:f>
        <x:v>0.041310000000000006</x:v>
      </x:c>
      <x:c r="M447" s="11" t="n">
        <x:f>'管线假设'!H115</x:f>
        <x:v>0.13</x:v>
      </x:c>
      <x:c r="N447" s="11" t="n">
        <x:f>IF(G447,L447*AN447/(1+M447)^F447,0)</x:f>
        <x:v>0</x:v>
      </x:c>
      <x:c r="AJ447" t="n">
        <x:v>0</x:v>
      </x:c>
      <x:c r="AK447" t="n">
        <x:v>0</x:v>
      </x:c>
      <x:c r="AL447" t="n">
        <x:v>0</x:v>
      </x:c>
      <x:c r="AM447" t="n">
        <x:f>CHOOSE('假设'!$B$3,AJ447,AK447,AL447)</x:f>
        <x:v>0</x:v>
      </x:c>
      <x:c r="AN447" t="n">
        <x:v>1</x:v>
      </x:c>
    </x:row>
    <x:row r="448" ht="23" customHeight="1">
      <x:c r="A448" s="11" t="str">
        <x:v>01093.HK</x:v>
      </x:c>
      <x:c r="B448" s="11" t="str">
        <x:v>五年</x:v>
      </x:c>
      <x:c r="C448" s="11" t="str">
        <x:v>TG103_DOM</x:v>
      </x:c>
      <x:c r="D448" s="11" t="str">
        <x:v>2029-12-31</x:v>
      </x:c>
      <x:c r="E448" s="11" t="str">
        <x:v>CNY</x:v>
      </x:c>
      <x:c r="F448" s="11" t="n">
        <x:v>-1.7713894592744694</x:v>
      </x:c>
      <x:c r="G448" s="26" t="b">
        <x:v>0</x:v>
      </x:c>
      <x:c r="H448" s="16" t="n">
        <x:v>0.04</x:v>
      </x:c>
      <x:c r="I448" s="16" t="n">
        <x:v>0.675</x:v>
      </x:c>
      <x:c r="J448" s="16" t="n">
        <x:v>1.4400000000000002</x:v>
      </x:c>
      <x:c r="K448" s="11" t="n">
        <x:f>CHOOSE('假设'!$B$3,H448,I448,J448)</x:f>
        <x:v>0.675</x:v>
      </x:c>
      <x:c r="L448" s="11" t="n">
        <x:f>K448*'管线假设'!E115*'管线假设'!F115*'管线假设'!G115*IF(E448="USD",'管线假设'!I115,1)-AM448</x:f>
        <x:v>0.07435800000000001</x:v>
      </x:c>
      <x:c r="M448" s="11" t="n">
        <x:f>'管线假设'!H115</x:f>
        <x:v>0.13</x:v>
      </x:c>
      <x:c r="N448" s="11" t="n">
        <x:f>IF(G448,L448*AN448/(1+M448)^F448,0)</x:f>
        <x:v>0</x:v>
      </x:c>
      <x:c r="AJ448" t="n">
        <x:v>0</x:v>
      </x:c>
      <x:c r="AK448" t="n">
        <x:v>0</x:v>
      </x:c>
      <x:c r="AL448" t="n">
        <x:v>0</x:v>
      </x:c>
      <x:c r="AM448" t="n">
        <x:f>CHOOSE('假设'!$B$3,AJ448,AK448,AL448)</x:f>
        <x:v>0</x:v>
      </x:c>
      <x:c r="AN448" t="n">
        <x:v>1</x:v>
      </x:c>
    </x:row>
    <x:row r="449" ht="23" customHeight="1">
      <x:c r="A449" s="11" t="str">
        <x:v>01093.HK</x:v>
      </x:c>
      <x:c r="B449" s="11" t="str">
        <x:v>五年</x:v>
      </x:c>
      <x:c r="C449" s="11" t="str">
        <x:v>TG103_DOM</x:v>
      </x:c>
      <x:c r="D449" s="11" t="str">
        <x:v>2030-12-31</x:v>
      </x:c>
      <x:c r="E449" s="11" t="str">
        <x:v>CNY</x:v>
      </x:c>
      <x:c r="F449" s="11" t="n">
        <x:v>-0.7720739219712526</x:v>
      </x:c>
      <x:c r="G449" s="26" t="b">
        <x:v>0</x:v>
      </x:c>
      <x:c r="H449" s="16" t="n">
        <x:v>0.125</x:v>
      </x:c>
      <x:c r="I449" s="16" t="n">
        <x:v>0.9750000000000001</x:v>
      </x:c>
      <x:c r="J449" s="16" t="n">
        <x:v>2.08</x:v>
      </x:c>
      <x:c r="K449" s="11" t="n">
        <x:f>CHOOSE('假设'!$B$3,H449,I449,J449)</x:f>
        <x:v>0.9750000000000001</x:v>
      </x:c>
      <x:c r="L449" s="11" t="n">
        <x:f>K449*'管线假设'!E115*'管线假设'!F115*'管线假设'!G115*IF(E449="USD",'管线假设'!I115,1)-AM449</x:f>
        <x:v>0.10740600000000002</x:v>
      </x:c>
      <x:c r="M449" s="11" t="n">
        <x:f>'管线假设'!H115</x:f>
        <x:v>0.13</x:v>
      </x:c>
      <x:c r="N449" s="11" t="n">
        <x:f>IF(G449,L449*AN449/(1+M449)^F449,0)</x:f>
        <x:v>0</x:v>
      </x:c>
      <x:c r="AJ449" t="n">
        <x:v>0</x:v>
      </x:c>
      <x:c r="AK449" t="n">
        <x:v>0</x:v>
      </x:c>
      <x:c r="AL449" t="n">
        <x:v>0</x:v>
      </x:c>
      <x:c r="AM449" t="n">
        <x:f>CHOOSE('假设'!$B$3,AJ449,AK449,AL449)</x:f>
        <x:v>0</x:v>
      </x:c>
      <x:c r="AN449" t="n">
        <x:v>1</x:v>
      </x:c>
    </x:row>
    <x:row r="450" ht="23" customHeight="1">
      <x:c r="A450" s="11" t="str">
        <x:v>01093.HK</x:v>
      </x:c>
      <x:c r="B450" s="11" t="str">
        <x:v>五年</x:v>
      </x:c>
      <x:c r="C450" s="11" t="str">
        <x:v>TG103_DOM</x:v>
      </x:c>
      <x:c r="D450" s="11" t="str">
        <x:v>2031-12-31</x:v>
      </x:c>
      <x:c r="E450" s="11" t="str">
        <x:v>CNY</x:v>
      </x:c>
      <x:c r="F450" s="11" t="n">
        <x:v>0.2272416153319644</x:v>
      </x:c>
      <x:c r="G450" s="26" t="b">
        <x:v>1</x:v>
      </x:c>
      <x:c r="H450" s="16" t="n">
        <x:v>0.225</x:v>
      </x:c>
      <x:c r="I450" s="16" t="n">
        <x:v>1.275</x:v>
      </x:c>
      <x:c r="J450" s="16" t="n">
        <x:v>2.72</x:v>
      </x:c>
      <x:c r="K450" s="11" t="n">
        <x:f>CHOOSE('假设'!$B$3,H450,I450,J450)</x:f>
        <x:v>1.275</x:v>
      </x:c>
      <x:c r="L450" s="11" t="n">
        <x:f>K450*'管线假设'!E115*'管线假设'!F115*'管线假设'!G115*IF(E450="USD",'管线假设'!I115,1)-AM450</x:f>
        <x:v>0.140454</x:v>
      </x:c>
      <x:c r="M450" s="11" t="n">
        <x:f>'管线假设'!H115</x:f>
        <x:v>0.13</x:v>
      </x:c>
      <x:c r="N450" s="11" t="n">
        <x:f>IF(G450,L450*AN450/(1+M450)^F450,0)</x:f>
        <x:v>0.13660685115517446</x:v>
      </x:c>
      <x:c r="AJ450" t="n">
        <x:v>0</x:v>
      </x:c>
      <x:c r="AK450" t="n">
        <x:v>0</x:v>
      </x:c>
      <x:c r="AL450" t="n">
        <x:v>0</x:v>
      </x:c>
      <x:c r="AM450" t="n">
        <x:f>CHOOSE('假设'!$B$3,AJ450,AK450,AL450)</x:f>
        <x:v>0</x:v>
      </x:c>
      <x:c r="AN450" t="n">
        <x:v>1</x:v>
      </x:c>
    </x:row>
    <x:row r="451" ht="23" customHeight="1">
      <x:c r="A451" s="11" t="str">
        <x:v>01093.HK</x:v>
      </x:c>
      <x:c r="B451" s="11" t="str">
        <x:v>五年</x:v>
      </x:c>
      <x:c r="C451" s="11" t="str">
        <x:v>TG103_DOM</x:v>
      </x:c>
      <x:c r="D451" s="11" t="str">
        <x:v>2032-12-31</x:v>
      </x:c>
      <x:c r="E451" s="11" t="str">
        <x:v>CNY</x:v>
      </x:c>
      <x:c r="F451" s="11" t="n">
        <x:v>1.2292950034223136</x:v>
      </x:c>
      <x:c r="G451" s="26" t="b">
        <x:v>1</x:v>
      </x:c>
      <x:c r="H451" s="16" t="n">
        <x:v>0.325</x:v>
      </x:c>
      <x:c r="I451" s="16" t="n">
        <x:v>1.5</x:v>
      </x:c>
      <x:c r="J451" s="16" t="n">
        <x:v>3.2</x:v>
      </x:c>
      <x:c r="K451" s="11" t="n">
        <x:f>CHOOSE('假设'!$B$3,H451,I451,J451)</x:f>
        <x:v>1.5</x:v>
      </x:c>
      <x:c r="L451" s="11" t="n">
        <x:f>K451*'管线假设'!E115*'管线假设'!F115*'管线假设'!G115*IF(E451="USD",'管线假设'!I115,1)-AM451</x:f>
        <x:v>0.16524000000000003</x:v>
      </x:c>
      <x:c r="M451" s="11" t="n">
        <x:f>'管线假设'!H115</x:f>
        <x:v>0.13</x:v>
      </x:c>
      <x:c r="N451" s="11" t="n">
        <x:f>IF(G451,L451*AN451/(1+M451)^F451,0)</x:f>
        <x:v>0.1421890396352415</x:v>
      </x:c>
      <x:c r="AJ451" t="n">
        <x:v>0</x:v>
      </x:c>
      <x:c r="AK451" t="n">
        <x:v>0</x:v>
      </x:c>
      <x:c r="AL451" t="n">
        <x:v>0</x:v>
      </x:c>
      <x:c r="AM451" t="n">
        <x:f>CHOOSE('假设'!$B$3,AJ451,AK451,AL451)</x:f>
        <x:v>0</x:v>
      </x:c>
      <x:c r="AN451" t="n">
        <x:v>1</x:v>
      </x:c>
    </x:row>
    <x:row r="452" ht="23" customHeight="1">
      <x:c r="A452" s="11" t="str">
        <x:v>01093.HK</x:v>
      </x:c>
      <x:c r="B452" s="11" t="str">
        <x:v>五年</x:v>
      </x:c>
      <x:c r="C452" s="11" t="str">
        <x:v>TG103_DOM</x:v>
      </x:c>
      <x:c r="D452" s="11" t="str">
        <x:v>2033-12-31</x:v>
      </x:c>
      <x:c r="E452" s="11" t="str">
        <x:v>CNY</x:v>
      </x:c>
      <x:c r="F452" s="11" t="n">
        <x:v>2.2286105407255303</x:v>
      </x:c>
      <x:c r="G452" s="26" t="b">
        <x:v>1</x:v>
      </x:c>
      <x:c r="H452" s="16" t="n">
        <x:v>0.425</x:v>
      </x:c>
      <x:c r="I452" s="16" t="n">
        <x:v>1.5</x:v>
      </x:c>
      <x:c r="J452" s="16" t="n">
        <x:v>3.2</x:v>
      </x:c>
      <x:c r="K452" s="11" t="n">
        <x:f>CHOOSE('假设'!$B$3,H452,I452,J452)</x:f>
        <x:v>1.5</x:v>
      </x:c>
      <x:c r="L452" s="11" t="n">
        <x:f>K452*'管线假设'!E115*'管线假设'!F115*'管线假设'!G115*IF(E452="USD",'管线假设'!I115,1)-AM452</x:f>
        <x:v>0.16524000000000003</x:v>
      </x:c>
      <x:c r="M452" s="11" t="n">
        <x:f>'管线假设'!H115</x:f>
        <x:v>0.13</x:v>
      </x:c>
      <x:c r="N452" s="11" t="n">
        <x:f>IF(G452,L452*AN452/(1+M452)^F452,0)</x:f>
        <x:v>0.12584153516005914</x:v>
      </x:c>
      <x:c r="AJ452" t="n">
        <x:v>0</x:v>
      </x:c>
      <x:c r="AK452" t="n">
        <x:v>0</x:v>
      </x:c>
      <x:c r="AL452" t="n">
        <x:v>0</x:v>
      </x:c>
      <x:c r="AM452" t="n">
        <x:f>CHOOSE('假设'!$B$3,AJ452,AK452,AL452)</x:f>
        <x:v>0</x:v>
      </x:c>
      <x:c r="AN452" t="n">
        <x:v>1</x:v>
      </x:c>
    </x:row>
    <x:row r="453" ht="23" customHeight="1">
      <x:c r="A453" s="11" t="str">
        <x:v>01093.HK</x:v>
      </x:c>
      <x:c r="B453" s="11" t="str">
        <x:v>五年</x:v>
      </x:c>
      <x:c r="C453" s="11" t="str">
        <x:v>TG103_DOM</x:v>
      </x:c>
      <x:c r="D453" s="11" t="str">
        <x:v>2034-12-31</x:v>
      </x:c>
      <x:c r="E453" s="11" t="str">
        <x:v>CNY</x:v>
      </x:c>
      <x:c r="F453" s="11" t="n">
        <x:v>3.2279260780287475</x:v>
      </x:c>
      <x:c r="G453" s="26" t="b">
        <x:v>1</x:v>
      </x:c>
      <x:c r="H453" s="16" t="n">
        <x:v>0.5</x:v>
      </x:c>
      <x:c r="I453" s="16" t="n">
        <x:v>1.4249999999999998</x:v>
      </x:c>
      <x:c r="J453" s="16" t="n">
        <x:v>3.04</x:v>
      </x:c>
      <x:c r="K453" s="11" t="n">
        <x:f>CHOOSE('假设'!$B$3,H453,I453,J453)</x:f>
        <x:v>1.4249999999999998</x:v>
      </x:c>
      <x:c r="L453" s="11" t="n">
        <x:f>K453*'管线假设'!E115*'管线假设'!F115*'管线假设'!G115*IF(E453="USD",'管线假设'!I115,1)-AM453</x:f>
        <x:v>0.156978</x:v>
      </x:c>
      <x:c r="M453" s="11" t="n">
        <x:f>'管线假设'!H115</x:f>
        <x:v>0.13</x:v>
      </x:c>
      <x:c r="N453" s="11" t="n">
        <x:f>IF(G453,L453*AN453/(1+M453)^F453,0)</x:f>
        <x:v>0.10580483145157737</x:v>
      </x:c>
      <x:c r="AJ453" t="n">
        <x:v>0</x:v>
      </x:c>
      <x:c r="AK453" t="n">
        <x:v>0</x:v>
      </x:c>
      <x:c r="AL453" t="n">
        <x:v>0</x:v>
      </x:c>
      <x:c r="AM453" t="n">
        <x:f>CHOOSE('假设'!$B$3,AJ453,AK453,AL453)</x:f>
        <x:v>0</x:v>
      </x:c>
      <x:c r="AN453" t="n">
        <x:v>1</x:v>
      </x:c>
    </x:row>
    <x:row r="454" ht="23" customHeight="1">
      <x:c r="A454" s="11" t="str">
        <x:v>01093.HK</x:v>
      </x:c>
      <x:c r="B454" s="11" t="str">
        <x:v>五年</x:v>
      </x:c>
      <x:c r="C454" s="11" t="str">
        <x:v>TG103_DOM</x:v>
      </x:c>
      <x:c r="D454" s="11" t="str">
        <x:v>2035-12-31</x:v>
      </x:c>
      <x:c r="E454" s="11" t="str">
        <x:v>CNY</x:v>
      </x:c>
      <x:c r="F454" s="11" t="n">
        <x:v>4.227241615331964</x:v>
      </x:c>
      <x:c r="G454" s="26" t="b">
        <x:v>1</x:v>
      </x:c>
      <x:c r="H454" s="16" t="n">
        <x:v>0.5</x:v>
      </x:c>
      <x:c r="I454" s="16" t="n">
        <x:v>1.32</x:v>
      </x:c>
      <x:c r="J454" s="16" t="n">
        <x:v>2.8160000000000003</x:v>
      </x:c>
      <x:c r="K454" s="11" t="n">
        <x:f>CHOOSE('假设'!$B$3,H454,I454,J454)</x:f>
        <x:v>1.32</x:v>
      </x:c>
      <x:c r="L454" s="11" t="n">
        <x:f>K454*'管线假设'!E115*'管线假设'!F115*'管线假设'!G115*IF(E454="USD",'管线假设'!I115,1)-AM454</x:f>
        <x:v>0.14541120000000002</x:v>
      </x:c>
      <x:c r="M454" s="11" t="n">
        <x:f>'管线假设'!H115</x:f>
        <x:v>0.13</x:v>
      </x:c>
      <x:c r="N454" s="11" t="n">
        <x:f>IF(G454,L454*AN454/(1+M454)^F454,0)</x:f>
        <x:v>0.08674060626546387</x:v>
      </x:c>
      <x:c r="AJ454" t="n">
        <x:v>0</x:v>
      </x:c>
      <x:c r="AK454" t="n">
        <x:v>0</x:v>
      </x:c>
      <x:c r="AL454" t="n">
        <x:v>0</x:v>
      </x:c>
      <x:c r="AM454" t="n">
        <x:f>CHOOSE('假设'!$B$3,AJ454,AK454,AL454)</x:f>
        <x:v>0</x:v>
      </x:c>
      <x:c r="AN454" t="n">
        <x:v>1</x:v>
      </x:c>
    </x:row>
    <x:row r="455" ht="23" customHeight="1">
      <x:c r="A455" s="11" t="str">
        <x:v>01093.HK</x:v>
      </x:c>
      <x:c r="B455" s="11" t="str">
        <x:v>五年</x:v>
      </x:c>
      <x:c r="C455" s="11" t="str">
        <x:v>TG103_DOM</x:v>
      </x:c>
      <x:c r="D455" s="11" t="str">
        <x:v>2036-12-31</x:v>
      </x:c>
      <x:c r="E455" s="11" t="str">
        <x:v>CNY</x:v>
      </x:c>
      <x:c r="F455" s="11" t="n">
        <x:v>5.229295003422314</x:v>
      </x:c>
      <x:c r="G455" s="26" t="b">
        <x:v>1</x:v>
      </x:c>
      <x:c r="H455" s="16" t="n">
        <x:v>0.475</x:v>
      </x:c>
      <x:c r="I455" s="16" t="n">
        <x:v>1.125</x:v>
      </x:c>
      <x:c r="J455" s="16" t="n">
        <x:v>2.4000000000000004</x:v>
      </x:c>
      <x:c r="K455" s="11" t="n">
        <x:f>CHOOSE('假设'!$B$3,H455,I455,J455)</x:f>
        <x:v>1.125</x:v>
      </x:c>
      <x:c r="L455" s="11" t="n">
        <x:f>K455*'管线假设'!E115*'管线假设'!F115*'管线假设'!G115*IF(E455="USD",'管线假设'!I115,1)-AM455</x:f>
        <x:v>0.12393</x:v>
      </x:c>
      <x:c r="M455" s="11" t="n">
        <x:f>'管线假设'!H115</x:f>
        <x:v>0.13</x:v>
      </x:c>
      <x:c r="N455" s="11" t="n">
        <x:f>IF(G455,L455*AN455/(1+M455)^F455,0)</x:f>
        <x:v>0.06540540065927906</x:v>
      </x:c>
      <x:c r="AJ455" t="n">
        <x:v>0</x:v>
      </x:c>
      <x:c r="AK455" t="n">
        <x:v>0</x:v>
      </x:c>
      <x:c r="AL455" t="n">
        <x:v>0</x:v>
      </x:c>
      <x:c r="AM455" t="n">
        <x:f>CHOOSE('假设'!$B$3,AJ455,AK455,AL455)</x:f>
        <x:v>0</x:v>
      </x:c>
      <x:c r="AN455" t="n">
        <x:v>1</x:v>
      </x:c>
    </x:row>
    <x:row r="456" ht="23" customHeight="1">
      <x:c r="A456" s="11" t="str">
        <x:v>01093.HK</x:v>
      </x:c>
      <x:c r="B456" s="11" t="str">
        <x:v>五年</x:v>
      </x:c>
      <x:c r="C456" s="11" t="str">
        <x:v>TG103_DOM</x:v>
      </x:c>
      <x:c r="D456" s="11" t="str">
        <x:v>2037-12-31</x:v>
      </x:c>
      <x:c r="E456" s="11" t="str">
        <x:v>CNY</x:v>
      </x:c>
      <x:c r="F456" s="11" t="n">
        <x:v>6.228610540725531</x:v>
      </x:c>
      <x:c r="G456" s="26" t="b">
        <x:v>1</x:v>
      </x:c>
      <x:c r="H456" s="16" t="n">
        <x:v>0.44</x:v>
      </x:c>
      <x:c r="I456" s="16" t="n">
        <x:v>0.8999999999999999</x:v>
      </x:c>
      <x:c r="J456" s="16" t="n">
        <x:v>1.92</x:v>
      </x:c>
      <x:c r="K456" s="11" t="n">
        <x:f>CHOOSE('假设'!$B$3,H456,I456,J456)</x:f>
        <x:v>0.8999999999999999</x:v>
      </x:c>
      <x:c r="L456" s="11" t="n">
        <x:f>K456*'管线假设'!E115*'管线假设'!F115*'管线假设'!G115*IF(E456="USD",'管线假设'!I115,1)-AM456</x:f>
        <x:v>0.099144</x:v>
      </x:c>
      <x:c r="M456" s="11" t="n">
        <x:f>'管线假设'!H115</x:f>
        <x:v>0.13</x:v>
      </x:c>
      <x:c r="N456" s="11" t="n">
        <x:f>IF(G456,L456*AN456/(1+M456)^F456,0)</x:f>
        <x:v>0.04630858214015221</x:v>
      </x:c>
      <x:c r="AJ456" t="n">
        <x:v>0</x:v>
      </x:c>
      <x:c r="AK456" t="n">
        <x:v>0</x:v>
      </x:c>
      <x:c r="AL456" t="n">
        <x:v>0</x:v>
      </x:c>
      <x:c r="AM456" t="n">
        <x:f>CHOOSE('假设'!$B$3,AJ456,AK456,AL456)</x:f>
        <x:v>0</x:v>
      </x:c>
      <x:c r="AN456" t="n">
        <x:v>1</x:v>
      </x:c>
    </x:row>
    <x:row r="457" ht="23" customHeight="1">
      <x:c r="A457" s="11" t="str">
        <x:v>01093.HK</x:v>
      </x:c>
      <x:c r="B457" s="11" t="str">
        <x:v>五年</x:v>
      </x:c>
      <x:c r="C457" s="11" t="str">
        <x:v>TG103_DOM</x:v>
      </x:c>
      <x:c r="D457" s="11" t="str">
        <x:v>2038-12-31</x:v>
      </x:c>
      <x:c r="E457" s="11" t="str">
        <x:v>CNY</x:v>
      </x:c>
      <x:c r="F457" s="11" t="n">
        <x:v>7.227926078028747</x:v>
      </x:c>
      <x:c r="G457" s="26" t="b">
        <x:v>1</x:v>
      </x:c>
      <x:c r="H457" s="16" t="n">
        <x:v>0.375</x:v>
      </x:c>
      <x:c r="I457" s="16" t="n">
        <x:v>0.675</x:v>
      </x:c>
      <x:c r="J457" s="16" t="n">
        <x:v>1.4400000000000002</x:v>
      </x:c>
      <x:c r="K457" s="11" t="n">
        <x:f>CHOOSE('假设'!$B$3,H457,I457,J457)</x:f>
        <x:v>0.675</x:v>
      </x:c>
      <x:c r="L457" s="11" t="n">
        <x:f>K457*'管线假设'!E115*'管线假设'!F115*'管线假设'!G115*IF(E457="USD",'管线假设'!I115,1)-AM457</x:f>
        <x:v>0.07435800000000001</x:v>
      </x:c>
      <x:c r="M457" s="11" t="n">
        <x:f>'管线假设'!H115</x:f>
        <x:v>0.13</x:v>
      </x:c>
      <x:c r="N457" s="11" t="n">
        <x:f>IF(G457,L457*AN457/(1+M457)^F457,0)</x:f>
        <x:v>0.03073835586704796</x:v>
      </x:c>
      <x:c r="AJ457" t="n">
        <x:v>0</x:v>
      </x:c>
      <x:c r="AK457" t="n">
        <x:v>0</x:v>
      </x:c>
      <x:c r="AL457" t="n">
        <x:v>0</x:v>
      </x:c>
      <x:c r="AM457" t="n">
        <x:f>CHOOSE('假设'!$B$3,AJ457,AK457,AL457)</x:f>
        <x:v>0</x:v>
      </x:c>
      <x:c r="AN457" t="n">
        <x:v>1</x:v>
      </x:c>
    </x:row>
    <x:row r="458" ht="23" customHeight="1">
      <x:c r="A458" s="11" t="str">
        <x:v>01093.HK</x:v>
      </x:c>
      <x:c r="B458" s="11" t="str">
        <x:v>五年</x:v>
      </x:c>
      <x:c r="C458" s="11" t="str">
        <x:v>TG103_DOM</x:v>
      </x:c>
      <x:c r="D458" s="11" t="str">
        <x:v>2039-12-31</x:v>
      </x:c>
      <x:c r="E458" s="11" t="str">
        <x:v>CNY</x:v>
      </x:c>
      <x:c r="F458" s="11" t="n">
        <x:v>8.227241615331964</x:v>
      </x:c>
      <x:c r="G458" s="26" t="b">
        <x:v>1</x:v>
      </x:c>
      <x:c r="H458" s="16" t="n">
        <x:v>0.3</x:v>
      </x:c>
      <x:c r="I458" s="16" t="n">
        <x:v>0.44999999999999996</x:v>
      </x:c>
      <x:c r="J458" s="16" t="n">
        <x:v>0.96</x:v>
      </x:c>
      <x:c r="K458" s="11" t="n">
        <x:f>CHOOSE('假设'!$B$3,H458,I458,J458)</x:f>
        <x:v>0.44999999999999996</x:v>
      </x:c>
      <x:c r="L458" s="11" t="n">
        <x:f>K458*'管线假设'!E115*'管线假设'!F115*'管线假设'!G115*IF(E458="USD",'管线假设'!I115,1)-AM458</x:f>
        <x:v>0.049572</x:v>
      </x:c>
      <x:c r="M458" s="11" t="n">
        <x:f>'管线假设'!H115</x:f>
        <x:v>0.13</x:v>
      </x:c>
      <x:c r="N458" s="11" t="n">
        <x:f>IF(G458,L458*AN458/(1+M458)^F458,0)</x:f>
        <x:v>0.018136240320297297</x:v>
      </x:c>
      <x:c r="AJ458" t="n">
        <x:v>0</x:v>
      </x:c>
      <x:c r="AK458" t="n">
        <x:v>0</x:v>
      </x:c>
      <x:c r="AL458" t="n">
        <x:v>0</x:v>
      </x:c>
      <x:c r="AM458" t="n">
        <x:f>CHOOSE('假设'!$B$3,AJ458,AK458,AL458)</x:f>
        <x:v>0</x:v>
      </x:c>
      <x:c r="AN458" t="n">
        <x:v>1</x:v>
      </x:c>
    </x:row>
    <x:row r="459" ht="23" customHeight="1">
      <x:c r="A459" s="11" t="str">
        <x:v>01093.HK</x:v>
      </x:c>
      <x:c r="B459" s="11" t="str">
        <x:v>五年</x:v>
      </x:c>
      <x:c r="C459" s="11" t="str">
        <x:v>TG103_DOM</x:v>
      </x:c>
      <x:c r="D459" s="11" t="str">
        <x:v>2040-12-31</x:v>
      </x:c>
      <x:c r="E459" s="11" t="str">
        <x:v>CNY</x:v>
      </x:c>
      <x:c r="F459" s="11" t="n">
        <x:v>9.229295003422314</x:v>
      </x:c>
      <x:c r="G459" s="26" t="b">
        <x:v>1</x:v>
      </x:c>
      <x:c r="H459" s="16" t="n">
        <x:v>0.225</x:v>
      </x:c>
      <x:c r="I459" s="16" t="n">
        <x:v>0.27</x:v>
      </x:c>
      <x:c r="J459" s="16" t="n">
        <x:v>0.576</x:v>
      </x:c>
      <x:c r="K459" s="11" t="n">
        <x:f>CHOOSE('假设'!$B$3,H459,I459,J459)</x:f>
        <x:v>0.27</x:v>
      </x:c>
      <x:c r="L459" s="11" t="n">
        <x:f>K459*'管线假设'!E115*'管线假设'!F115*'管线假设'!G115*IF(E459="USD",'管线假设'!I115,1)-AM459</x:f>
        <x:v>0.029743200000000008</x:v>
      </x:c>
      <x:c r="M459" s="11" t="n">
        <x:f>'管线假设'!H115</x:f>
        <x:v>0.13</x:v>
      </x:c>
      <x:c r="N459" s="11" t="n">
        <x:f>IF(G459,L459*AN459/(1+M459)^F459,0)</x:f>
        <x:v>0.009627445707770141</x:v>
      </x:c>
      <x:c r="AJ459" t="n">
        <x:v>0</x:v>
      </x:c>
      <x:c r="AK459" t="n">
        <x:v>0</x:v>
      </x:c>
      <x:c r="AL459" t="n">
        <x:v>0</x:v>
      </x:c>
      <x:c r="AM459" t="n">
        <x:f>CHOOSE('假设'!$B$3,AJ459,AK459,AL459)</x:f>
        <x:v>0</x:v>
      </x:c>
      <x:c r="AN459" t="n">
        <x:v>1</x:v>
      </x:c>
    </x:row>
    <x:row r="460" ht="23" customHeight="1">
      <x:c r="A460" s="11" t="str">
        <x:v>01093.HK</x:v>
      </x:c>
      <x:c r="B460" s="11" t="str">
        <x:v>五年</x:v>
      </x:c>
      <x:c r="C460" s="11" t="str">
        <x:v>TG103_DOM</x:v>
      </x:c>
      <x:c r="D460" s="11" t="str">
        <x:v>2041-12-31</x:v>
      </x:c>
      <x:c r="E460" s="11" t="str">
        <x:v>CNY</x:v>
      </x:c>
      <x:c r="F460" s="11" t="n">
        <x:v>10.22861054072553</x:v>
      </x:c>
      <x:c r="G460" s="26" t="b">
        <x:v>1</x:v>
      </x:c>
      <x:c r="H460" s="16" t="n">
        <x:v>0.15</x:v>
      </x:c>
      <x:c r="I460" s="16" t="n">
        <x:v>0.15000000000000002</x:v>
      </x:c>
      <x:c r="J460" s="16" t="n">
        <x:v>0.32000000000000006</x:v>
      </x:c>
      <x:c r="K460" s="11" t="n">
        <x:f>CHOOSE('假设'!$B$3,H460,I460,J460)</x:f>
        <x:v>0.15000000000000002</x:v>
      </x:c>
      <x:c r="L460" s="11" t="n">
        <x:f>K460*'管线假设'!E115*'管线假设'!F115*'管线假设'!G115*IF(E460="USD",'管线假设'!I115,1)-AM460</x:f>
        <x:v>0.016524000000000004</x:v>
      </x:c>
      <x:c r="M460" s="11" t="n">
        <x:f>'管线假设'!H115</x:f>
        <x:v>0.13</x:v>
      </x:c>
      <x:c r="N460" s="11" t="n">
        <x:f>IF(G460,L460*AN460/(1+M460)^F460,0)</x:f>
        <x:v>0.004733653446472346</x:v>
      </x:c>
      <x:c r="AJ460" t="n">
        <x:v>0</x:v>
      </x:c>
      <x:c r="AK460" t="n">
        <x:v>0</x:v>
      </x:c>
      <x:c r="AL460" t="n">
        <x:v>0</x:v>
      </x:c>
      <x:c r="AM460" t="n">
        <x:f>CHOOSE('假设'!$B$3,AJ460,AK460,AL460)</x:f>
        <x:v>0</x:v>
      </x:c>
      <x:c r="AN460" t="n">
        <x:v>1</x:v>
      </x:c>
    </x:row>
    <x:row r="461" ht="23" customHeight="1">
      <x:c r="A461" s="11" t="str">
        <x:v>01093.HK</x:v>
      </x:c>
      <x:c r="B461" s="11" t="str">
        <x:v>五年</x:v>
      </x:c>
      <x:c r="C461" s="11" t="str">
        <x:v>TG103_DOM</x:v>
      </x:c>
      <x:c r="D461" s="11" t="str">
        <x:v>2042-12-31</x:v>
      </x:c>
      <x:c r="E461" s="11" t="str">
        <x:v>CNY</x:v>
      </x:c>
      <x:c r="F461" s="11" t="n">
        <x:v>11.227926078028748</x:v>
      </x:c>
      <x:c r="G461" s="26" t="b">
        <x:v>1</x:v>
      </x:c>
      <x:c r="H461" s="16" t="n">
        <x:v>0.09</x:v>
      </x:c>
      <x:c r="I461" s="16" t="n">
        <x:v>0.07500000000000001</x:v>
      </x:c>
      <x:c r="J461" s="16" t="n">
        <x:v>0.16000000000000003</x:v>
      </x:c>
      <x:c r="K461" s="11" t="n">
        <x:f>CHOOSE('假设'!$B$3,H461,I461,J461)</x:f>
        <x:v>0.07500000000000001</x:v>
      </x:c>
      <x:c r="L461" s="11" t="n">
        <x:f>K461*'管线假设'!E115*'管线假设'!F115*'管线假设'!G115*IF(E461="USD",'管线假设'!I115,1)-AM461</x:f>
        <x:v>0.008262000000000002</x:v>
      </x:c>
      <x:c r="M461" s="11" t="n">
        <x:f>'管线假设'!H115</x:f>
        <x:v>0.13</x:v>
      </x:c>
      <x:c r="N461" s="11" t="n">
        <x:f>IF(G461,L461*AN461/(1+M461)^F461,0)</x:f>
        <x:v>0.002094712145703751</x:v>
      </x:c>
      <x:c r="AJ461" t="n">
        <x:v>0</x:v>
      </x:c>
      <x:c r="AK461" t="n">
        <x:v>0</x:v>
      </x:c>
      <x:c r="AL461" t="n">
        <x:v>0</x:v>
      </x:c>
      <x:c r="AM461" t="n">
        <x:f>CHOOSE('假设'!$B$3,AJ461,AK461,AL461)</x:f>
        <x:v>0</x:v>
      </x:c>
      <x:c r="AN461" t="n">
        <x:v>1</x:v>
      </x:c>
    </x:row>
    <x:row r="462" ht="23" customHeight="1">
      <x:c r="A462" s="11" t="str">
        <x:v>01093.HK</x:v>
      </x:c>
      <x:c r="B462" s="11" t="str">
        <x:v>五年</x:v>
      </x:c>
      <x:c r="C462" s="11" t="str">
        <x:v>TG103_DOM</x:v>
      </x:c>
      <x:c r="D462" s="11" t="str">
        <x:v>2043-12-31</x:v>
      </x:c>
      <x:c r="E462" s="11" t="str">
        <x:v>CNY</x:v>
      </x:c>
      <x:c r="F462" s="11" t="n">
        <x:v>12.227241615331964</x:v>
      </x:c>
      <x:c r="G462" s="26" t="b">
        <x:v>1</x:v>
      </x:c>
      <x:c r="H462" s="16" t="n">
        <x:v>0.05</x:v>
      </x:c>
      <x:c r="I462" s="16" t="n">
        <x:v>0.07500000000000001</x:v>
      </x:c>
      <x:c r="J462" s="16" t="n">
        <x:v>0.16000000000000003</x:v>
      </x:c>
      <x:c r="K462" s="11" t="n">
        <x:f>CHOOSE('假设'!$B$3,H462,I462,J462)</x:f>
        <x:v>0.07500000000000001</x:v>
      </x:c>
      <x:c r="L462" s="11" t="n">
        <x:f>K462*'管线假设'!E115*'管线假设'!F115*'管线假设'!G115*IF(E462="USD",'管线假设'!I115,1)-AM462</x:f>
        <x:v>0.008262000000000002</x:v>
      </x:c>
      <x:c r="M462" s="11" t="n">
        <x:f>'管线假设'!H115</x:f>
        <x:v>0.13</x:v>
      </x:c>
      <x:c r="N462" s="11" t="n">
        <x:f>IF(G462,L462*AN462/(1+M462)^F462,0)</x:f>
        <x:v>0.0018538826396886925</x:v>
      </x:c>
      <x:c r="AJ462" t="n">
        <x:v>0</x:v>
      </x:c>
      <x:c r="AK462" t="n">
        <x:v>0</x:v>
      </x:c>
      <x:c r="AL462" t="n">
        <x:v>0</x:v>
      </x:c>
      <x:c r="AM462" t="n">
        <x:f>CHOOSE('假设'!$B$3,AJ462,AK462,AL462)</x:f>
        <x:v>0</x:v>
      </x:c>
      <x:c r="AN462" t="n">
        <x:v>1</x:v>
      </x:c>
    </x:row>
    <x:row r="463" ht="23" customHeight="1">
      <x:c r="A463" s="11" t="str">
        <x:v>01093.HK</x:v>
      </x:c>
      <x:c r="B463" s="11" t="str">
        <x:v>五年</x:v>
      </x:c>
      <x:c r="C463" s="11" t="str">
        <x:v>AZ_OBESITY_EXCHINA</x:v>
      </x:c>
      <x:c r="D463" s="11" t="str">
        <x:v>2029-12-31</x:v>
      </x:c>
      <x:c r="E463" s="11" t="str">
        <x:v>USD</x:v>
      </x:c>
      <x:c r="F463" s="11" t="n">
        <x:v>-1.7713894592744694</x:v>
      </x:c>
      <x:c r="G463" s="26" t="b">
        <x:v>0</x:v>
      </x:c>
      <x:c r="H463" s="16" t="n">
        <x:v>0</x:v>
      </x:c>
      <x:c r="I463" s="16" t="n">
        <x:v>0</x:v>
      </x:c>
      <x:c r="J463" s="16" t="n">
        <x:v>1.6</x:v>
      </x:c>
      <x:c r="K463" s="11" t="n">
        <x:f>CHOOSE('假设'!$B$3,H463,I463,J463)</x:f>
        <x:v>0</x:v>
      </x:c>
      <x:c r="L463" s="11" t="n">
        <x:f>K463*'管线假设'!E119*'管线假设'!F119*'管线假设'!G119*IF(E463="USD",'管线假设'!I119,1)-AM463</x:f>
        <x:v>0</x:v>
      </x:c>
      <x:c r="M463" s="11" t="n">
        <x:f>'管线假设'!H119</x:f>
        <x:v>0.13</x:v>
      </x:c>
      <x:c r="N463" s="11" t="n">
        <x:f>IF(G463,L463*AN463/(1+M463)^F463,0)</x:f>
        <x:v>0</x:v>
      </x:c>
      <x:c r="AJ463" t="n">
        <x:v>0</x:v>
      </x:c>
      <x:c r="AK463" t="n">
        <x:v>0</x:v>
      </x:c>
      <x:c r="AL463" t="n">
        <x:v>0</x:v>
      </x:c>
      <x:c r="AM463" t="n">
        <x:f>CHOOSE('假设'!$B$3,AJ463,AK463,AL463)</x:f>
        <x:v>0</x:v>
      </x:c>
      <x:c r="AN463" t="n">
        <x:v>1</x:v>
      </x:c>
    </x:row>
    <x:row r="464" ht="23" customHeight="1">
      <x:c r="A464" s="11" t="str">
        <x:v>01093.HK</x:v>
      </x:c>
      <x:c r="B464" s="11" t="str">
        <x:v>五年</x:v>
      </x:c>
      <x:c r="C464" s="11" t="str">
        <x:v>AZ_OBESITY_EXCHINA</x:v>
      </x:c>
      <x:c r="D464" s="11" t="str">
        <x:v>2030-12-31</x:v>
      </x:c>
      <x:c r="E464" s="11" t="str">
        <x:v>USD</x:v>
      </x:c>
      <x:c r="F464" s="11" t="n">
        <x:v>-0.7720739219712526</x:v>
      </x:c>
      <x:c r="G464" s="26" t="b">
        <x:v>0</x:v>
      </x:c>
      <x:c r="H464" s="16" t="n">
        <x:v>0</x:v>
      </x:c>
      <x:c r="I464" s="16" t="n">
        <x:v>0.72</x:v>
      </x:c>
      <x:c r="J464" s="16" t="n">
        <x:v>5</x:v>
      </x:c>
      <x:c r="K464" s="11" t="n">
        <x:f>CHOOSE('假设'!$B$3,H464,I464,J464)</x:f>
        <x:v>0.72</x:v>
      </x:c>
      <x:c r="L464" s="11" t="n">
        <x:f>K464*'管线假设'!E119*'管线假设'!F119*'管线假设'!G119*IF(E464="USD",'管线假设'!I119,1)-AM464</x:f>
        <x:v>0.07960679999999999</x:v>
      </x:c>
      <x:c r="M464" s="11" t="n">
        <x:f>'管线假设'!H119</x:f>
        <x:v>0.13</x:v>
      </x:c>
      <x:c r="N464" s="11" t="n">
        <x:f>IF(G464,L464*AN464/(1+M464)^F464,0)</x:f>
        <x:v>0</x:v>
      </x:c>
      <x:c r="AJ464" t="n">
        <x:v>0</x:v>
      </x:c>
      <x:c r="AK464" t="n">
        <x:v>0</x:v>
      </x:c>
      <x:c r="AL464" t="n">
        <x:v>0</x:v>
      </x:c>
      <x:c r="AM464" t="n">
        <x:f>CHOOSE('假设'!$B$3,AJ464,AK464,AL464)</x:f>
        <x:v>0</x:v>
      </x:c>
      <x:c r="AN464" t="n">
        <x:v>1</x:v>
      </x:c>
    </x:row>
    <x:row r="465" ht="23" customHeight="1">
      <x:c r="A465" s="11" t="str">
        <x:v>01093.HK</x:v>
      </x:c>
      <x:c r="B465" s="11" t="str">
        <x:v>五年</x:v>
      </x:c>
      <x:c r="C465" s="11" t="str">
        <x:v>AZ_OBESITY_EXCHINA</x:v>
      </x:c>
      <x:c r="D465" s="11" t="str">
        <x:v>2031-12-31</x:v>
      </x:c>
      <x:c r="E465" s="11" t="str">
        <x:v>USD</x:v>
      </x:c>
      <x:c r="F465" s="11" t="n">
        <x:v>0.2272416153319644</x:v>
      </x:c>
      <x:c r="G465" s="26" t="b">
        <x:v>1</x:v>
      </x:c>
      <x:c r="H465" s="16" t="n">
        <x:v>0</x:v>
      </x:c>
      <x:c r="I465" s="16" t="n">
        <x:v>2.25</x:v>
      </x:c>
      <x:c r="J465" s="16" t="n">
        <x:v>9</x:v>
      </x:c>
      <x:c r="K465" s="11" t="n">
        <x:f>CHOOSE('假设'!$B$3,H465,I465,J465)</x:f>
        <x:v>2.25</x:v>
      </x:c>
      <x:c r="L465" s="11" t="n">
        <x:f>K465*'管线假设'!E119*'管线假设'!F119*'管线假设'!G119*IF(E465="USD",'管线假设'!I119,1)-AM465</x:f>
        <x:v>0.24877124999999994</x:v>
      </x:c>
      <x:c r="M465" s="11" t="n">
        <x:f>'管线假设'!H119</x:f>
        <x:v>0.13</x:v>
      </x:c>
      <x:c r="N465" s="11" t="n">
        <x:f>IF(G465,L465*AN465/(1+M465)^F465,0)</x:f>
        <x:v>0.24195720392752565</x:v>
      </x:c>
      <x:c r="AJ465" t="n">
        <x:v>0</x:v>
      </x:c>
      <x:c r="AK465" t="n">
        <x:v>0</x:v>
      </x:c>
      <x:c r="AL465" t="n">
        <x:v>0</x:v>
      </x:c>
      <x:c r="AM465" t="n">
        <x:f>CHOOSE('假设'!$B$3,AJ465,AK465,AL465)</x:f>
        <x:v>0</x:v>
      </x:c>
      <x:c r="AN465" t="n">
        <x:v>1</x:v>
      </x:c>
    </x:row>
    <x:row r="466" ht="23" customHeight="1">
      <x:c r="A466" s="11" t="str">
        <x:v>01093.HK</x:v>
      </x:c>
      <x:c r="B466" s="11" t="str">
        <x:v>五年</x:v>
      </x:c>
      <x:c r="C466" s="11" t="str">
        <x:v>AZ_OBESITY_EXCHINA</x:v>
      </x:c>
      <x:c r="D466" s="11" t="str">
        <x:v>2032-12-31</x:v>
      </x:c>
      <x:c r="E466" s="11" t="str">
        <x:v>USD</x:v>
      </x:c>
      <x:c r="F466" s="11" t="n">
        <x:v>1.2292950034223136</x:v>
      </x:c>
      <x:c r="G466" s="26" t="b">
        <x:v>1</x:v>
      </x:c>
      <x:c r="H466" s="16" t="n">
        <x:v>0.24</x:v>
      </x:c>
      <x:c r="I466" s="16" t="n">
        <x:v>4.05</x:v>
      </x:c>
      <x:c r="J466" s="16" t="n">
        <x:v>13</x:v>
      </x:c>
      <x:c r="K466" s="11" t="n">
        <x:f>CHOOSE('假设'!$B$3,H466,I466,J466)</x:f>
        <x:v>4.05</x:v>
      </x:c>
      <x:c r="L466" s="11" t="n">
        <x:f>K466*'管线假设'!E119*'管线假设'!F119*'管线假设'!G119*IF(E466="USD",'管线假设'!I119,1)-AM466</x:f>
        <x:v>0.44778824999999994</x:v>
      </x:c>
      <x:c r="M466" s="11" t="n">
        <x:f>'管线假设'!H119</x:f>
        <x:v>0.13</x:v>
      </x:c>
      <x:c r="N466" s="11" t="n">
        <x:f>IF(G466,L466*AN466/(1+M466)^F466,0)</x:f>
        <x:v>0.38532184233506056</x:v>
      </x:c>
      <x:c r="AJ466" t="n">
        <x:v>0</x:v>
      </x:c>
      <x:c r="AK466" t="n">
        <x:v>0</x:v>
      </x:c>
      <x:c r="AL466" t="n">
        <x:v>0</x:v>
      </x:c>
      <x:c r="AM466" t="n">
        <x:f>CHOOSE('假设'!$B$3,AJ466,AK466,AL466)</x:f>
        <x:v>0</x:v>
      </x:c>
      <x:c r="AN466" t="n">
        <x:v>1</x:v>
      </x:c>
    </x:row>
    <x:row r="467" ht="23" customHeight="1">
      <x:c r="A467" s="11" t="str">
        <x:v>01093.HK</x:v>
      </x:c>
      <x:c r="B467" s="11" t="str">
        <x:v>五年</x:v>
      </x:c>
      <x:c r="C467" s="11" t="str">
        <x:v>AZ_OBESITY_EXCHINA</x:v>
      </x:c>
      <x:c r="D467" s="11" t="str">
        <x:v>2033-12-31</x:v>
      </x:c>
      <x:c r="E467" s="11" t="str">
        <x:v>USD</x:v>
      </x:c>
      <x:c r="F467" s="11" t="n">
        <x:v>2.2286105407255303</x:v>
      </x:c>
      <x:c r="G467" s="26" t="b">
        <x:v>1</x:v>
      </x:c>
      <x:c r="H467" s="16" t="n">
        <x:v>0.75</x:v>
      </x:c>
      <x:c r="I467" s="16" t="n">
        <x:v>5.8500000000000005</x:v>
      </x:c>
      <x:c r="J467" s="16" t="n">
        <x:v>17</x:v>
      </x:c>
      <x:c r="K467" s="11" t="n">
        <x:f>CHOOSE('假设'!$B$3,H467,I467,J467)</x:f>
        <x:v>5.8500000000000005</x:v>
      </x:c>
      <x:c r="L467" s="11" t="n">
        <x:f>K467*'管线假设'!E119*'管线假设'!F119*'管线假设'!G119*IF(E467="USD",'管线假设'!I119,1)-AM467</x:f>
        <x:v>0.64680525</x:v>
      </x:c>
      <x:c r="M467" s="11" t="n">
        <x:f>'管线假设'!H119</x:f>
        <x:v>0.13</x:v>
      </x:c>
      <x:c r="N467" s="11" t="n">
        <x:f>IF(G467,L467*AN467/(1+M467)^F467,0)</x:f>
        <x:v>0.4925863326651285</x:v>
      </x:c>
      <x:c r="AJ467" t="n">
        <x:v>0</x:v>
      </x:c>
      <x:c r="AK467" t="n">
        <x:v>0</x:v>
      </x:c>
      <x:c r="AL467" t="n">
        <x:v>0</x:v>
      </x:c>
      <x:c r="AM467" t="n">
        <x:f>CHOOSE('假设'!$B$3,AJ467,AK467,AL467)</x:f>
        <x:v>0</x:v>
      </x:c>
      <x:c r="AN467" t="n">
        <x:v>1</x:v>
      </x:c>
    </x:row>
    <x:row r="468" ht="23" customHeight="1">
      <x:c r="A468" s="11" t="str">
        <x:v>01093.HK</x:v>
      </x:c>
      <x:c r="B468" s="11" t="str">
        <x:v>五年</x:v>
      </x:c>
      <x:c r="C468" s="11" t="str">
        <x:v>AZ_OBESITY_EXCHINA</x:v>
      </x:c>
      <x:c r="D468" s="11" t="str">
        <x:v>2034-12-31</x:v>
      </x:c>
      <x:c r="E468" s="11" t="str">
        <x:v>USD</x:v>
      </x:c>
      <x:c r="F468" s="11" t="n">
        <x:v>3.2279260780287475</x:v>
      </x:c>
      <x:c r="G468" s="26" t="b">
        <x:v>1</x:v>
      </x:c>
      <x:c r="H468" s="16" t="n">
        <x:v>1.35</x:v>
      </x:c>
      <x:c r="I468" s="16" t="n">
        <x:v>7.6499999999999995</x:v>
      </x:c>
      <x:c r="J468" s="16" t="n">
        <x:v>20</x:v>
      </x:c>
      <x:c r="K468" s="11" t="n">
        <x:f>CHOOSE('假设'!$B$3,H468,I468,J468)</x:f>
        <x:v>7.6499999999999995</x:v>
      </x:c>
      <x:c r="L468" s="11" t="n">
        <x:f>K468*'管线假设'!E119*'管线假设'!F119*'管线假设'!G119*IF(E468="USD",'管线假设'!I119,1)-AM468</x:f>
        <x:v>0.8458222499999998</x:v>
      </x:c>
      <x:c r="M468" s="11" t="n">
        <x:f>'管线假设'!H119</x:f>
        <x:v>0.13</x:v>
      </x:c>
      <x:c r="N468" s="11" t="n">
        <x:f>IF(G468,L468*AN468/(1+M468)^F468,0)</x:f>
        <x:v>0.5700931378871175</x:v>
      </x:c>
      <x:c r="AJ468" t="n">
        <x:v>0</x:v>
      </x:c>
      <x:c r="AK468" t="n">
        <x:v>0</x:v>
      </x:c>
      <x:c r="AL468" t="n">
        <x:v>0</x:v>
      </x:c>
      <x:c r="AM468" t="n">
        <x:f>CHOOSE('假设'!$B$3,AJ468,AK468,AL468)</x:f>
        <x:v>0</x:v>
      </x:c>
      <x:c r="AN468" t="n">
        <x:v>1</x:v>
      </x:c>
    </x:row>
    <x:row r="469" ht="23" customHeight="1">
      <x:c r="A469" s="11" t="str">
        <x:v>01093.HK</x:v>
      </x:c>
      <x:c r="B469" s="11" t="str">
        <x:v>五年</x:v>
      </x:c>
      <x:c r="C469" s="11" t="str">
        <x:v>AZ_OBESITY_EXCHINA</x:v>
      </x:c>
      <x:c r="D469" s="11" t="str">
        <x:v>2035-12-31</x:v>
      </x:c>
      <x:c r="E469" s="11" t="str">
        <x:v>USD</x:v>
      </x:c>
      <x:c r="F469" s="11" t="n">
        <x:v>4.227241615331964</x:v>
      </x:c>
      <x:c r="G469" s="26" t="b">
        <x:v>1</x:v>
      </x:c>
      <x:c r="H469" s="16" t="n">
        <x:v>1.9500000000000002</x:v>
      </x:c>
      <x:c r="I469" s="16" t="n">
        <x:v>9</x:v>
      </x:c>
      <x:c r="J469" s="16" t="n">
        <x:v>20</x:v>
      </x:c>
      <x:c r="K469" s="11" t="n">
        <x:f>CHOOSE('假设'!$B$3,H469,I469,J469)</x:f>
        <x:v>9</x:v>
      </x:c>
      <x:c r="L469" s="11" t="n">
        <x:f>K469*'管线假设'!E119*'管线假设'!F119*'管线假设'!G119*IF(E469="USD",'管线假设'!I119,1)-AM469</x:f>
        <x:v>0.9950849999999998</x:v>
      </x:c>
      <x:c r="M469" s="11" t="n">
        <x:f>'管线假设'!H119</x:f>
        <x:v>0.13</x:v>
      </x:c>
      <x:c r="N469" s="11" t="n">
        <x:f>IF(G469,L469*AN469/(1+M469)^F469,0)</x:f>
        <x:v>0.5935875378627581</x:v>
      </x:c>
      <x:c r="AJ469" t="n">
        <x:v>0</x:v>
      </x:c>
      <x:c r="AK469" t="n">
        <x:v>0</x:v>
      </x:c>
      <x:c r="AL469" t="n">
        <x:v>0</x:v>
      </x:c>
      <x:c r="AM469" t="n">
        <x:f>CHOOSE('假设'!$B$3,AJ469,AK469,AL469)</x:f>
        <x:v>0</x:v>
      </x:c>
      <x:c r="AN469" t="n">
        <x:v>1</x:v>
      </x:c>
    </x:row>
    <x:row r="470" ht="23" customHeight="1">
      <x:c r="A470" s="11" t="str">
        <x:v>01093.HK</x:v>
      </x:c>
      <x:c r="B470" s="11" t="str">
        <x:v>五年</x:v>
      </x:c>
      <x:c r="C470" s="11" t="str">
        <x:v>AZ_OBESITY_EXCHINA</x:v>
      </x:c>
      <x:c r="D470" s="11" t="str">
        <x:v>2036-12-31</x:v>
      </x:c>
      <x:c r="E470" s="11" t="str">
        <x:v>USD</x:v>
      </x:c>
      <x:c r="F470" s="11" t="n">
        <x:v>5.229295003422314</x:v>
      </x:c>
      <x:c r="G470" s="26" t="b">
        <x:v>1</x:v>
      </x:c>
      <x:c r="H470" s="16" t="n">
        <x:v>2.55</x:v>
      </x:c>
      <x:c r="I470" s="16" t="n">
        <x:v>9</x:v>
      </x:c>
      <x:c r="J470" s="16" t="n">
        <x:v>19</x:v>
      </x:c>
      <x:c r="K470" s="11" t="n">
        <x:f>CHOOSE('假设'!$B$3,H470,I470,J470)</x:f>
        <x:v>9</x:v>
      </x:c>
      <x:c r="L470" s="11" t="n">
        <x:f>K470*'管线假设'!E119*'管线假设'!F119*'管线假设'!G119*IF(E470="USD",'管线假设'!I119,1)-AM470</x:f>
        <x:v>0.9950849999999998</x:v>
      </x:c>
      <x:c r="M470" s="11" t="n">
        <x:f>'管线假设'!H119</x:f>
        <x:v>0.13</x:v>
      </x:c>
      <x:c r="N470" s="11" t="n">
        <x:f>IF(G470,L470*AN470/(1+M470)^F470,0)</x:f>
        <x:v>0.5251668935289171</x:v>
      </x:c>
      <x:c r="AJ470" t="n">
        <x:v>0</x:v>
      </x:c>
      <x:c r="AK470" t="n">
        <x:v>0</x:v>
      </x:c>
      <x:c r="AL470" t="n">
        <x:v>0</x:v>
      </x:c>
      <x:c r="AM470" t="n">
        <x:f>CHOOSE('假设'!$B$3,AJ470,AK470,AL470)</x:f>
        <x:v>0</x:v>
      </x:c>
      <x:c r="AN470" t="n">
        <x:v>1</x:v>
      </x:c>
    </x:row>
    <x:row r="471" ht="23" customHeight="1">
      <x:c r="A471" s="11" t="str">
        <x:v>01093.HK</x:v>
      </x:c>
      <x:c r="B471" s="11" t="str">
        <x:v>五年</x:v>
      </x:c>
      <x:c r="C471" s="11" t="str">
        <x:v>AZ_OBESITY_EXCHINA</x:v>
      </x:c>
      <x:c r="D471" s="11" t="str">
        <x:v>2037-12-31</x:v>
      </x:c>
      <x:c r="E471" s="11" t="str">
        <x:v>USD</x:v>
      </x:c>
      <x:c r="F471" s="11" t="n">
        <x:v>6.228610540725531</x:v>
      </x:c>
      <x:c r="G471" s="26" t="b">
        <x:v>1</x:v>
      </x:c>
      <x:c r="H471" s="16" t="n">
        <x:v>3</x:v>
      </x:c>
      <x:c r="I471" s="16" t="n">
        <x:v>8.549999999999999</x:v>
      </x:c>
      <x:c r="J471" s="16" t="n">
        <x:v>17.6</x:v>
      </x:c>
      <x:c r="K471" s="11" t="n">
        <x:f>CHOOSE('假设'!$B$3,H471,I471,J471)</x:f>
        <x:v>8.549999999999999</x:v>
      </x:c>
      <x:c r="L471" s="11" t="n">
        <x:f>K471*'管线假设'!E119*'管线假设'!F119*'管线假设'!G119*IF(E471="USD",'管线假设'!I119,1)-AM471</x:f>
        <x:v>0.9453307499999997</x:v>
      </x:c>
      <x:c r="M471" s="11" t="n">
        <x:f>'管线假设'!H119</x:f>
        <x:v>0.13</x:v>
      </x:c>
      <x:c r="N471" s="11" t="n">
        <x:f>IF(G471,L471*AN471/(1+M471)^F471,0)</x:f>
        <x:v>0.44154892566354675</x:v>
      </x:c>
      <x:c r="AJ471" t="n">
        <x:v>0</x:v>
      </x:c>
      <x:c r="AK471" t="n">
        <x:v>0</x:v>
      </x:c>
      <x:c r="AL471" t="n">
        <x:v>0</x:v>
      </x:c>
      <x:c r="AM471" t="n">
        <x:f>CHOOSE('假设'!$B$3,AJ471,AK471,AL471)</x:f>
        <x:v>0</x:v>
      </x:c>
      <x:c r="AN471" t="n">
        <x:v>1</x:v>
      </x:c>
    </x:row>
    <x:row r="472" ht="23" customHeight="1">
      <x:c r="A472" s="11" t="str">
        <x:v>01093.HK</x:v>
      </x:c>
      <x:c r="B472" s="11" t="str">
        <x:v>五年</x:v>
      </x:c>
      <x:c r="C472" s="11" t="str">
        <x:v>AZ_OBESITY_EXCHINA</x:v>
      </x:c>
      <x:c r="D472" s="11" t="str">
        <x:v>2038-12-31</x:v>
      </x:c>
      <x:c r="E472" s="11" t="str">
        <x:v>USD</x:v>
      </x:c>
      <x:c r="F472" s="11" t="n">
        <x:v>7.227926078028747</x:v>
      </x:c>
      <x:c r="G472" s="26" t="b">
        <x:v>1</x:v>
      </x:c>
      <x:c r="H472" s="16" t="n">
        <x:v>3</x:v>
      </x:c>
      <x:c r="I472" s="16" t="n">
        <x:v>7.92</x:v>
      </x:c>
      <x:c r="J472" s="16" t="n">
        <x:v>15</x:v>
      </x:c>
      <x:c r="K472" s="11" t="n">
        <x:f>CHOOSE('假设'!$B$3,H472,I472,J472)</x:f>
        <x:v>7.92</x:v>
      </x:c>
      <x:c r="L472" s="11" t="n">
        <x:f>K472*'管线假设'!E119*'管线假设'!F119*'管线假设'!G119*IF(E472="USD",'管线假设'!I119,1)-AM472</x:f>
        <x:v>0.8756748</x:v>
      </x:c>
      <x:c r="M472" s="11" t="n">
        <x:f>'管线假设'!H119</x:f>
        <x:v>0.13</x:v>
      </x:c>
      <x:c r="N472" s="11" t="n">
        <x:f>IF(G472,L472*AN472/(1+M472)^F472,0)</x:f>
        <x:v>0.36198934379900005</x:v>
      </x:c>
      <x:c r="AJ472" t="n">
        <x:v>0</x:v>
      </x:c>
      <x:c r="AK472" t="n">
        <x:v>0</x:v>
      </x:c>
      <x:c r="AL472" t="n">
        <x:v>0</x:v>
      </x:c>
      <x:c r="AM472" t="n">
        <x:f>CHOOSE('假设'!$B$3,AJ472,AK472,AL472)</x:f>
        <x:v>0</x:v>
      </x:c>
      <x:c r="AN472" t="n">
        <x:v>1</x:v>
      </x:c>
    </x:row>
    <x:row r="473" ht="23" customHeight="1">
      <x:c r="A473" s="11" t="str">
        <x:v>01093.HK</x:v>
      </x:c>
      <x:c r="B473" s="11" t="str">
        <x:v>五年</x:v>
      </x:c>
      <x:c r="C473" s="11" t="str">
        <x:v>AZ_OBESITY_EXCHINA</x:v>
      </x:c>
      <x:c r="D473" s="11" t="str">
        <x:v>2039-12-31</x:v>
      </x:c>
      <x:c r="E473" s="11" t="str">
        <x:v>USD</x:v>
      </x:c>
      <x:c r="F473" s="11" t="n">
        <x:v>8.227241615331964</x:v>
      </x:c>
      <x:c r="G473" s="26" t="b">
        <x:v>1</x:v>
      </x:c>
      <x:c r="H473" s="16" t="n">
        <x:v>2.8499999999999996</x:v>
      </x:c>
      <x:c r="I473" s="16" t="n">
        <x:v>6.75</x:v>
      </x:c>
      <x:c r="J473" s="16" t="n">
        <x:v>12</x:v>
      </x:c>
      <x:c r="K473" s="11" t="n">
        <x:f>CHOOSE('假设'!$B$3,H473,I473,J473)</x:f>
        <x:v>6.75</x:v>
      </x:c>
      <x:c r="L473" s="11" t="n">
        <x:f>K473*'管线假设'!E119*'管线假设'!F119*'管线假设'!G119*IF(E473="USD",'管线假设'!I119,1)-AM473</x:f>
        <x:v>0.7463137499999999</x:v>
      </x:c>
      <x:c r="M473" s="11" t="n">
        <x:f>'管线假设'!H119</x:f>
        <x:v>0.13</x:v>
      </x:c>
      <x:c r="N473" s="11" t="n">
        <x:f>IF(G473,L473*AN473/(1+M473)^F473,0)</x:f>
        <x:v>0.2730437651162405</x:v>
      </x:c>
      <x:c r="AJ473" t="n">
        <x:v>0</x:v>
      </x:c>
      <x:c r="AK473" t="n">
        <x:v>0</x:v>
      </x:c>
      <x:c r="AL473" t="n">
        <x:v>0</x:v>
      </x:c>
      <x:c r="AM473" t="n">
        <x:f>CHOOSE('假设'!$B$3,AJ473,AK473,AL473)</x:f>
        <x:v>0</x:v>
      </x:c>
      <x:c r="AN473" t="n">
        <x:v>1</x:v>
      </x:c>
    </x:row>
    <x:row r="474" ht="23" customHeight="1">
      <x:c r="A474" s="11" t="str">
        <x:v>01093.HK</x:v>
      </x:c>
      <x:c r="B474" s="11" t="str">
        <x:v>五年</x:v>
      </x:c>
      <x:c r="C474" s="11" t="str">
        <x:v>AZ_OBESITY_EXCHINA</x:v>
      </x:c>
      <x:c r="D474" s="11" t="str">
        <x:v>2040-12-31</x:v>
      </x:c>
      <x:c r="E474" s="11" t="str">
        <x:v>USD</x:v>
      </x:c>
      <x:c r="F474" s="11" t="n">
        <x:v>9.229295003422314</x:v>
      </x:c>
      <x:c r="G474" s="26" t="b">
        <x:v>1</x:v>
      </x:c>
      <x:c r="H474" s="16" t="n">
        <x:v>2.64</x:v>
      </x:c>
      <x:c r="I474" s="16" t="n">
        <x:v>5.3999999999999995</x:v>
      </x:c>
      <x:c r="J474" s="16" t="n">
        <x:v>9</x:v>
      </x:c>
      <x:c r="K474" s="11" t="n">
        <x:f>CHOOSE('假设'!$B$3,H474,I474,J474)</x:f>
        <x:v>5.3999999999999995</x:v>
      </x:c>
      <x:c r="L474" s="11" t="n">
        <x:f>K474*'管线假设'!E119*'管线假设'!F119*'管线假设'!G119*IF(E474="USD",'管线假设'!I119,1)-AM474</x:f>
        <x:v>0.597051</x:v>
      </x:c>
      <x:c r="M474" s="11" t="n">
        <x:f>'管线假设'!H119</x:f>
        <x:v>0.13</x:v>
      </x:c>
      <x:c r="N474" s="11" t="n">
        <x:f>IF(G474,L474*AN474/(1+M474)^F474,0)</x:f>
        <x:v>0.19325681457509175</x:v>
      </x:c>
      <x:c r="AJ474" t="n">
        <x:v>0</x:v>
      </x:c>
      <x:c r="AK474" t="n">
        <x:v>0</x:v>
      </x:c>
      <x:c r="AL474" t="n">
        <x:v>0</x:v>
      </x:c>
      <x:c r="AM474" t="n">
        <x:f>CHOOSE('假设'!$B$3,AJ474,AK474,AL474)</x:f>
        <x:v>0</x:v>
      </x:c>
      <x:c r="AN474" t="n">
        <x:v>1</x:v>
      </x:c>
    </x:row>
    <x:row r="475" ht="23" customHeight="1">
      <x:c r="A475" s="11" t="str">
        <x:v>01093.HK</x:v>
      </x:c>
      <x:c r="B475" s="11" t="str">
        <x:v>五年</x:v>
      </x:c>
      <x:c r="C475" s="11" t="str">
        <x:v>AZ_OBESITY_EXCHINA</x:v>
      </x:c>
      <x:c r="D475" s="11" t="str">
        <x:v>2041-12-31</x:v>
      </x:c>
      <x:c r="E475" s="11" t="str">
        <x:v>USD</x:v>
      </x:c>
      <x:c r="F475" s="11" t="n">
        <x:v>10.22861054072553</x:v>
      </x:c>
      <x:c r="G475" s="26" t="b">
        <x:v>1</x:v>
      </x:c>
      <x:c r="H475" s="16" t="n">
        <x:v>2.25</x:v>
      </x:c>
      <x:c r="I475" s="16" t="n">
        <x:v>4.05</x:v>
      </x:c>
      <x:c r="J475" s="16" t="n">
        <x:v>6</x:v>
      </x:c>
      <x:c r="K475" s="11" t="n">
        <x:f>CHOOSE('假设'!$B$3,H475,I475,J475)</x:f>
        <x:v>4.05</x:v>
      </x:c>
      <x:c r="L475" s="11" t="n">
        <x:f>K475*'管线假设'!E119*'管线假设'!F119*'管线假设'!G119*IF(E475="USD",'管线假设'!I119,1)-AM475</x:f>
        <x:v>0.44778824999999994</x:v>
      </x:c>
      <x:c r="M475" s="11" t="n">
        <x:f>'管线假设'!H119</x:f>
        <x:v>0.13</x:v>
      </x:c>
      <x:c r="N475" s="11" t="n">
        <x:f>IF(G475,L475*AN475/(1+M475)^F475,0)</x:f>
        <x:v>0.12827852777186635</x:v>
      </x:c>
      <x:c r="AJ475" t="n">
        <x:v>0</x:v>
      </x:c>
      <x:c r="AK475" t="n">
        <x:v>0</x:v>
      </x:c>
      <x:c r="AL475" t="n">
        <x:v>0</x:v>
      </x:c>
      <x:c r="AM475" t="n">
        <x:f>CHOOSE('假设'!$B$3,AJ475,AK475,AL475)</x:f>
        <x:v>0</x:v>
      </x:c>
      <x:c r="AN475" t="n">
        <x:v>1</x:v>
      </x:c>
    </x:row>
    <x:row r="476" ht="23" customHeight="1">
      <x:c r="A476" s="11" t="str">
        <x:v>01093.HK</x:v>
      </x:c>
      <x:c r="B476" s="11" t="str">
        <x:v>五年</x:v>
      </x:c>
      <x:c r="C476" s="11" t="str">
        <x:v>AZ_OBESITY_EXCHINA</x:v>
      </x:c>
      <x:c r="D476" s="11" t="str">
        <x:v>2042-12-31</x:v>
      </x:c>
      <x:c r="E476" s="11" t="str">
        <x:v>USD</x:v>
      </x:c>
      <x:c r="F476" s="11" t="n">
        <x:v>11.227926078028748</x:v>
      </x:c>
      <x:c r="G476" s="26" t="b">
        <x:v>1</x:v>
      </x:c>
      <x:c r="H476" s="16" t="n">
        <x:v>1.7999999999999998</x:v>
      </x:c>
      <x:c r="I476" s="16" t="n">
        <x:v>2.6999999999999997</x:v>
      </x:c>
      <x:c r="J476" s="16" t="n">
        <x:v>3.5999999999999996</x:v>
      </x:c>
      <x:c r="K476" s="11" t="n">
        <x:f>CHOOSE('假设'!$B$3,H476,I476,J476)</x:f>
        <x:v>2.6999999999999997</x:v>
      </x:c>
      <x:c r="L476" s="11" t="n">
        <x:f>K476*'管线假设'!E119*'管线假设'!F119*'管线假设'!G119*IF(E476="USD",'管线假设'!I119,1)-AM476</x:f>
        <x:v>0.2985255</x:v>
      </x:c>
      <x:c r="M476" s="11" t="n">
        <x:f>'管线假设'!H119</x:f>
        <x:v>0.13</x:v>
      </x:c>
      <x:c r="N476" s="11" t="n">
        <x:f>IF(G476,L476*AN476/(1+M476)^F476,0)</x:f>
        <x:v>0.07568687855873699</x:v>
      </x:c>
      <x:c r="AJ476" t="n">
        <x:v>0</x:v>
      </x:c>
      <x:c r="AK476" t="n">
        <x:v>0</x:v>
      </x:c>
      <x:c r="AL476" t="n">
        <x:v>0</x:v>
      </x:c>
      <x:c r="AM476" t="n">
        <x:f>CHOOSE('假设'!$B$3,AJ476,AK476,AL476)</x:f>
        <x:v>0</x:v>
      </x:c>
      <x:c r="AN476" t="n">
        <x:v>1</x:v>
      </x:c>
    </x:row>
    <x:row r="477" ht="23" customHeight="1">
      <x:c r="A477" s="11" t="str">
        <x:v>01093.HK</x:v>
      </x:c>
      <x:c r="B477" s="11" t="str">
        <x:v>五年</x:v>
      </x:c>
      <x:c r="C477" s="11" t="str">
        <x:v>AZ_OBESITY_EXCHINA</x:v>
      </x:c>
      <x:c r="D477" s="11" t="str">
        <x:v>2043-12-31</x:v>
      </x:c>
      <x:c r="E477" s="11" t="str">
        <x:v>USD</x:v>
      </x:c>
      <x:c r="F477" s="11" t="n">
        <x:v>12.227241615331964</x:v>
      </x:c>
      <x:c r="G477" s="26" t="b">
        <x:v>1</x:v>
      </x:c>
      <x:c r="H477" s="16" t="n">
        <x:v>1.35</x:v>
      </x:c>
      <x:c r="I477" s="16" t="n">
        <x:v>1.6199999999999999</x:v>
      </x:c>
      <x:c r="J477" s="16" t="n">
        <x:v>2</x:v>
      </x:c>
      <x:c r="K477" s="11" t="n">
        <x:f>CHOOSE('假设'!$B$3,H477,I477,J477)</x:f>
        <x:v>1.6199999999999999</x:v>
      </x:c>
      <x:c r="L477" s="11" t="n">
        <x:f>K477*'管线假设'!E119*'管线假设'!F119*'管线假设'!G119*IF(E477="USD",'管线假设'!I119,1)-AM477</x:f>
        <x:v>0.17911529999999998</x:v>
      </x:c>
      <x:c r="M477" s="11" t="n">
        <x:f>'管线假设'!H119</x:f>
        <x:v>0.13</x:v>
      </x:c>
      <x:c r="N477" s="11" t="n">
        <x:f>IF(G477,L477*AN477/(1+M477)^F477,0)</x:f>
        <x:v>0.04019108510925102</x:v>
      </x:c>
      <x:c r="AJ477" t="n">
        <x:v>0</x:v>
      </x:c>
      <x:c r="AK477" t="n">
        <x:v>0</x:v>
      </x:c>
      <x:c r="AL477" t="n">
        <x:v>0</x:v>
      </x:c>
      <x:c r="AM477" t="n">
        <x:f>CHOOSE('假设'!$B$3,AJ477,AK477,AL477)</x:f>
        <x:v>0</x:v>
      </x:c>
      <x:c r="AN477" t="n">
        <x:v>1</x:v>
      </x:c>
    </x:row>
    <x:row r="478" ht="23" customHeight="1">
      <x:c r="A478" s="11" t="str">
        <x:v>01093.HK</x:v>
      </x:c>
      <x:c r="B478" s="11" t="str">
        <x:v>五年</x:v>
      </x:c>
      <x:c r="C478" s="11" t="str">
        <x:v>OTHER_OVERSEAS</x:v>
      </x:c>
      <x:c r="D478" s="11" t="str">
        <x:v>2030-12-31</x:v>
      </x:c>
      <x:c r="E478" s="11" t="str">
        <x:v>USD</x:v>
      </x:c>
      <x:c r="F478" s="11" t="n">
        <x:v>-0.7720739219712526</x:v>
      </x:c>
      <x:c r="G478" s="26" t="b">
        <x:v>0</x:v>
      </x:c>
      <x:c r="H478" s="16" t="n">
        <x:v>0</x:v>
      </x:c>
      <x:c r="I478" s="16" t="n">
        <x:v>0</x:v>
      </x:c>
      <x:c r="J478" s="16" t="n">
        <x:v>0.72</x:v>
      </x:c>
      <x:c r="K478" s="11" t="n">
        <x:f>CHOOSE('假设'!$B$3,H478,I478,J478)</x:f>
        <x:v>0</x:v>
      </x:c>
      <x:c r="L478" s="11" t="n">
        <x:f>K478*'管线假设'!E123*'管线假设'!F123*'管线假设'!G123*IF(E478="USD",'管线假设'!I123,1)-AM478</x:f>
        <x:v>0</x:v>
      </x:c>
      <x:c r="M478" s="11" t="n">
        <x:f>'管线假设'!H123</x:f>
        <x:v>0.13</x:v>
      </x:c>
      <x:c r="N478" s="11" t="n">
        <x:f>IF(G478,L478*AN478/(1+M478)^F478,0)</x:f>
        <x:v>0</x:v>
      </x:c>
      <x:c r="AJ478" t="n">
        <x:v>0</x:v>
      </x:c>
      <x:c r="AK478" t="n">
        <x:v>0</x:v>
      </x:c>
      <x:c r="AL478" t="n">
        <x:v>0</x:v>
      </x:c>
      <x:c r="AM478" t="n">
        <x:f>CHOOSE('假设'!$B$3,AJ478,AK478,AL478)</x:f>
        <x:v>0</x:v>
      </x:c>
      <x:c r="AN478" t="n">
        <x:v>1</x:v>
      </x:c>
    </x:row>
    <x:row r="479" ht="23" customHeight="1">
      <x:c r="A479" s="11" t="str">
        <x:v>01093.HK</x:v>
      </x:c>
      <x:c r="B479" s="11" t="str">
        <x:v>五年</x:v>
      </x:c>
      <x:c r="C479" s="11" t="str">
        <x:v>OTHER_OVERSEAS</x:v>
      </x:c>
      <x:c r="D479" s="11" t="str">
        <x:v>2031-12-31</x:v>
      </x:c>
      <x:c r="E479" s="11" t="str">
        <x:v>USD</x:v>
      </x:c>
      <x:c r="F479" s="11" t="n">
        <x:v>0.2272416153319644</x:v>
      </x:c>
      <x:c r="G479" s="26" t="b">
        <x:v>1</x:v>
      </x:c>
      <x:c r="H479" s="16" t="n">
        <x:v>0</x:v>
      </x:c>
      <x:c r="I479" s="16" t="n">
        <x:v>0.32</x:v>
      </x:c>
      <x:c r="J479" s="16" t="n">
        <x:v>2.25</x:v>
      </x:c>
      <x:c r="K479" s="11" t="n">
        <x:f>CHOOSE('假设'!$B$3,H479,I479,J479)</x:f>
        <x:v>0.32</x:v>
      </x:c>
      <x:c r="L479" s="11" t="n">
        <x:f>K479*'管线假设'!E123*'管线假设'!F123*'管线假设'!G123*IF(E479="USD",'管线假设'!I123,1)-AM479</x:f>
        <x:v>0.015095808000000002</x:v>
      </x:c>
      <x:c r="M479" s="11" t="n">
        <x:f>'管线假设'!H123</x:f>
        <x:v>0.13</x:v>
      </x:c>
      <x:c r="N479" s="11" t="n">
        <x:f>IF(G479,L479*AN479/(1+M479)^F479,0)</x:f>
        <x:v>0.014682321589439192</x:v>
      </x:c>
      <x:c r="AJ479" t="n">
        <x:v>0</x:v>
      </x:c>
      <x:c r="AK479" t="n">
        <x:v>0</x:v>
      </x:c>
      <x:c r="AL479" t="n">
        <x:v>0</x:v>
      </x:c>
      <x:c r="AM479" t="n">
        <x:f>CHOOSE('假设'!$B$3,AJ479,AK479,AL479)</x:f>
        <x:v>0</x:v>
      </x:c>
      <x:c r="AN479" t="n">
        <x:v>1</x:v>
      </x:c>
    </x:row>
    <x:row r="480" ht="23" customHeight="1">
      <x:c r="A480" s="11" t="str">
        <x:v>01093.HK</x:v>
      </x:c>
      <x:c r="B480" s="11" t="str">
        <x:v>五年</x:v>
      </x:c>
      <x:c r="C480" s="11" t="str">
        <x:v>OTHER_OVERSEAS</x:v>
      </x:c>
      <x:c r="D480" s="11" t="str">
        <x:v>2032-12-31</x:v>
      </x:c>
      <x:c r="E480" s="11" t="str">
        <x:v>USD</x:v>
      </x:c>
      <x:c r="F480" s="11" t="n">
        <x:v>1.2292950034223136</x:v>
      </x:c>
      <x:c r="G480" s="26" t="b">
        <x:v>1</x:v>
      </x:c>
      <x:c r="H480" s="16" t="n">
        <x:v>0</x:v>
      </x:c>
      <x:c r="I480" s="16" t="n">
        <x:v>1</x:v>
      </x:c>
      <x:c r="J480" s="16" t="n">
        <x:v>4.05</x:v>
      </x:c>
      <x:c r="K480" s="11" t="n">
        <x:f>CHOOSE('假设'!$B$3,H480,I480,J480)</x:f>
        <x:v>1</x:v>
      </x:c>
      <x:c r="L480" s="11" t="n">
        <x:f>K480*'管线假设'!E123*'管线假设'!F123*'管线假设'!G123*IF(E480="USD",'管线假设'!I123,1)-AM480</x:f>
        <x:v>0.0471744</x:v>
      </x:c>
      <x:c r="M480" s="11" t="n">
        <x:f>'管线假设'!H123</x:f>
        <x:v>0.13</x:v>
      </x:c>
      <x:c r="N480" s="11" t="n">
        <x:f>IF(G480,L480*AN480/(1+M480)^F480,0)</x:f>
        <x:v>0.040593576805668934</x:v>
      </x:c>
      <x:c r="AJ480" t="n">
        <x:v>0</x:v>
      </x:c>
      <x:c r="AK480" t="n">
        <x:v>0</x:v>
      </x:c>
      <x:c r="AL480" t="n">
        <x:v>0</x:v>
      </x:c>
      <x:c r="AM480" t="n">
        <x:f>CHOOSE('假设'!$B$3,AJ480,AK480,AL480)</x:f>
        <x:v>0</x:v>
      </x:c>
      <x:c r="AN480" t="n">
        <x:v>1</x:v>
      </x:c>
    </x:row>
    <x:row r="481" ht="23" customHeight="1">
      <x:c r="A481" s="11" t="str">
        <x:v>01093.HK</x:v>
      </x:c>
      <x:c r="B481" s="11" t="str">
        <x:v>五年</x:v>
      </x:c>
      <x:c r="C481" s="11" t="str">
        <x:v>OTHER_OVERSEAS</x:v>
      </x:c>
      <x:c r="D481" s="11" t="str">
        <x:v>2033-12-31</x:v>
      </x:c>
      <x:c r="E481" s="11" t="str">
        <x:v>USD</x:v>
      </x:c>
      <x:c r="F481" s="11" t="n">
        <x:v>2.2286105407255303</x:v>
      </x:c>
      <x:c r="G481" s="26" t="b">
        <x:v>1</x:v>
      </x:c>
      <x:c r="H481" s="16" t="n">
        <x:v>0.12</x:v>
      </x:c>
      <x:c r="I481" s="16" t="n">
        <x:v>1.8</x:v>
      </x:c>
      <x:c r="J481" s="16" t="n">
        <x:v>5.8500000000000005</x:v>
      </x:c>
      <x:c r="K481" s="11" t="n">
        <x:f>CHOOSE('假设'!$B$3,H481,I481,J481)</x:f>
        <x:v>1.8</x:v>
      </x:c>
      <x:c r="L481" s="11" t="n">
        <x:f>K481*'管线假设'!E123*'管线假设'!F123*'管线假设'!G123*IF(E481="USD",'管线假设'!I123,1)-AM481</x:f>
        <x:v>0.08491392000000002</x:v>
      </x:c>
      <x:c r="M481" s="11" t="n">
        <x:f>'管线假设'!H123</x:f>
        <x:v>0.13</x:v>
      </x:c>
      <x:c r="N481" s="11" t="n">
        <x:f>IF(G481,L481*AN481/(1+M481)^F481,0)</x:f>
        <x:v>0.06466774418578099</x:v>
      </x:c>
      <x:c r="AJ481" t="n">
        <x:v>0</x:v>
      </x:c>
      <x:c r="AK481" t="n">
        <x:v>0</x:v>
      </x:c>
      <x:c r="AL481" t="n">
        <x:v>0</x:v>
      </x:c>
      <x:c r="AM481" t="n">
        <x:f>CHOOSE('假设'!$B$3,AJ481,AK481,AL481)</x:f>
        <x:v>0</x:v>
      </x:c>
      <x:c r="AN481" t="n">
        <x:v>1</x:v>
      </x:c>
    </x:row>
    <x:row r="482" ht="23" customHeight="1">
      <x:c r="A482" s="11" t="str">
        <x:v>01093.HK</x:v>
      </x:c>
      <x:c r="B482" s="11" t="str">
        <x:v>五年</x:v>
      </x:c>
      <x:c r="C482" s="11" t="str">
        <x:v>OTHER_OVERSEAS</x:v>
      </x:c>
      <x:c r="D482" s="11" t="str">
        <x:v>2034-12-31</x:v>
      </x:c>
      <x:c r="E482" s="11" t="str">
        <x:v>USD</x:v>
      </x:c>
      <x:c r="F482" s="11" t="n">
        <x:v>3.2279260780287475</x:v>
      </x:c>
      <x:c r="G482" s="26" t="b">
        <x:v>1</x:v>
      </x:c>
      <x:c r="H482" s="16" t="n">
        <x:v>0.375</x:v>
      </x:c>
      <x:c r="I482" s="16" t="n">
        <x:v>2.6</x:v>
      </x:c>
      <x:c r="J482" s="16" t="n">
        <x:v>7.6499999999999995</x:v>
      </x:c>
      <x:c r="K482" s="11" t="n">
        <x:f>CHOOSE('假设'!$B$3,H482,I482,J482)</x:f>
        <x:v>2.6</x:v>
      </x:c>
      <x:c r="L482" s="11" t="n">
        <x:f>K482*'管线假设'!E123*'管线假设'!F123*'管线假设'!G123*IF(E482="USD",'管线假设'!I123,1)-AM482</x:f>
        <x:v>0.12265344000000003</x:v>
      </x:c>
      <x:c r="M482" s="11" t="n">
        <x:f>'管线假设'!H123</x:f>
        <x:v>0.13</x:v>
      </x:c>
      <x:c r="N482" s="11" t="n">
        <x:f>IF(G482,L482*AN482/(1+M482)^F482,0)</x:f>
        <x:v>0.0826697151585328</x:v>
      </x:c>
      <x:c r="AJ482" t="n">
        <x:v>0</x:v>
      </x:c>
      <x:c r="AK482" t="n">
        <x:v>0</x:v>
      </x:c>
      <x:c r="AL482" t="n">
        <x:v>0</x:v>
      </x:c>
      <x:c r="AM482" t="n">
        <x:f>CHOOSE('假设'!$B$3,AJ482,AK482,AL482)</x:f>
        <x:v>0</x:v>
      </x:c>
      <x:c r="AN482" t="n">
        <x:v>1</x:v>
      </x:c>
    </x:row>
    <x:row r="483" ht="23" customHeight="1">
      <x:c r="A483" s="11" t="str">
        <x:v>01093.HK</x:v>
      </x:c>
      <x:c r="B483" s="11" t="str">
        <x:v>五年</x:v>
      </x:c>
      <x:c r="C483" s="11" t="str">
        <x:v>OTHER_OVERSEAS</x:v>
      </x:c>
      <x:c r="D483" s="11" t="str">
        <x:v>2035-12-31</x:v>
      </x:c>
      <x:c r="E483" s="11" t="str">
        <x:v>USD</x:v>
      </x:c>
      <x:c r="F483" s="11" t="n">
        <x:v>4.227241615331964</x:v>
      </x:c>
      <x:c r="G483" s="26" t="b">
        <x:v>1</x:v>
      </x:c>
      <x:c r="H483" s="16" t="n">
        <x:v>0.675</x:v>
      </x:c>
      <x:c r="I483" s="16" t="n">
        <x:v>3.4</x:v>
      </x:c>
      <x:c r="J483" s="16" t="n">
        <x:v>9</x:v>
      </x:c>
      <x:c r="K483" s="11" t="n">
        <x:f>CHOOSE('假设'!$B$3,H483,I483,J483)</x:f>
        <x:v>3.4</x:v>
      </x:c>
      <x:c r="L483" s="11" t="n">
        <x:f>K483*'管线假设'!E123*'管线假设'!F123*'管线假设'!G123*IF(E483="USD",'管线假设'!I123,1)-AM483</x:f>
        <x:v>0.16039296</x:v>
      </x:c>
      <x:c r="M483" s="11" t="n">
        <x:f>'管线假设'!H123</x:f>
        <x:v>0.13</x:v>
      </x:c>
      <x:c r="N483" s="11" t="n">
        <x:f>IF(G483,L483*AN483/(1+M483)^F483,0)</x:f>
        <x:v>0.0956775172140268</x:v>
      </x:c>
      <x:c r="AJ483" t="n">
        <x:v>0</x:v>
      </x:c>
      <x:c r="AK483" t="n">
        <x:v>0</x:v>
      </x:c>
      <x:c r="AL483" t="n">
        <x:v>0</x:v>
      </x:c>
      <x:c r="AM483" t="n">
        <x:f>CHOOSE('假设'!$B$3,AJ483,AK483,AL483)</x:f>
        <x:v>0</x:v>
      </x:c>
      <x:c r="AN483" t="n">
        <x:v>1</x:v>
      </x:c>
    </x:row>
    <x:row r="484" ht="23" customHeight="1">
      <x:c r="A484" s="11" t="str">
        <x:v>01093.HK</x:v>
      </x:c>
      <x:c r="B484" s="11" t="str">
        <x:v>五年</x:v>
      </x:c>
      <x:c r="C484" s="11" t="str">
        <x:v>OTHER_OVERSEAS</x:v>
      </x:c>
      <x:c r="D484" s="11" t="str">
        <x:v>2036-12-31</x:v>
      </x:c>
      <x:c r="E484" s="11" t="str">
        <x:v>USD</x:v>
      </x:c>
      <x:c r="F484" s="11" t="n">
        <x:v>5.229295003422314</x:v>
      </x:c>
      <x:c r="G484" s="26" t="b">
        <x:v>1</x:v>
      </x:c>
      <x:c r="H484" s="16" t="n">
        <x:v>0.9750000000000001</x:v>
      </x:c>
      <x:c r="I484" s="16" t="n">
        <x:v>4</x:v>
      </x:c>
      <x:c r="J484" s="16" t="n">
        <x:v>9</x:v>
      </x:c>
      <x:c r="K484" s="11" t="n">
        <x:f>CHOOSE('假设'!$B$3,H484,I484,J484)</x:f>
        <x:v>4</x:v>
      </x:c>
      <x:c r="L484" s="11" t="n">
        <x:f>K484*'管线假设'!E123*'管线假设'!F123*'管线假设'!G123*IF(E484="USD",'管线假设'!I123,1)-AM484</x:f>
        <x:v>0.1886976</x:v>
      </x:c>
      <x:c r="M484" s="11" t="n">
        <x:f>'管线假设'!H123</x:f>
        <x:v>0.13</x:v>
      </x:c>
      <x:c r="N484" s="11" t="n">
        <x:f>IF(G484,L484*AN484/(1+M484)^F484,0)</x:f>
        <x:v>0.0995872035136317</x:v>
      </x:c>
      <x:c r="AJ484" t="n">
        <x:v>0</x:v>
      </x:c>
      <x:c r="AK484" t="n">
        <x:v>0</x:v>
      </x:c>
      <x:c r="AL484" t="n">
        <x:v>0</x:v>
      </x:c>
      <x:c r="AM484" t="n">
        <x:f>CHOOSE('假设'!$B$3,AJ484,AK484,AL484)</x:f>
        <x:v>0</x:v>
      </x:c>
      <x:c r="AN484" t="n">
        <x:v>1</x:v>
      </x:c>
    </x:row>
    <x:row r="485" ht="23" customHeight="1">
      <x:c r="A485" s="11" t="str">
        <x:v>01093.HK</x:v>
      </x:c>
      <x:c r="B485" s="11" t="str">
        <x:v>五年</x:v>
      </x:c>
      <x:c r="C485" s="11" t="str">
        <x:v>OTHER_OVERSEAS</x:v>
      </x:c>
      <x:c r="D485" s="11" t="str">
        <x:v>2037-12-31</x:v>
      </x:c>
      <x:c r="E485" s="11" t="str">
        <x:v>USD</x:v>
      </x:c>
      <x:c r="F485" s="11" t="n">
        <x:v>6.228610540725531</x:v>
      </x:c>
      <x:c r="G485" s="26" t="b">
        <x:v>1</x:v>
      </x:c>
      <x:c r="H485" s="16" t="n">
        <x:v>1.275</x:v>
      </x:c>
      <x:c r="I485" s="16" t="n">
        <x:v>4</x:v>
      </x:c>
      <x:c r="J485" s="16" t="n">
        <x:v>8.549999999999999</x:v>
      </x:c>
      <x:c r="K485" s="11" t="n">
        <x:f>CHOOSE('假设'!$B$3,H485,I485,J485)</x:f>
        <x:v>4</x:v>
      </x:c>
      <x:c r="L485" s="11" t="n">
        <x:f>K485*'管线假设'!E123*'管线假设'!F123*'管线假设'!G123*IF(E485="USD",'管线假设'!I123,1)-AM485</x:f>
        <x:v>0.1886976</x:v>
      </x:c>
      <x:c r="M485" s="11" t="n">
        <x:f>'管线假设'!H123</x:f>
        <x:v>0.13</x:v>
      </x:c>
      <x:c r="N485" s="11" t="n">
        <x:f>IF(G485,L485*AN485/(1+M485)^F485,0)</x:f>
        <x:v>0.08813764130204133</x:v>
      </x:c>
      <x:c r="AJ485" t="n">
        <x:v>0</x:v>
      </x:c>
      <x:c r="AK485" t="n">
        <x:v>0</x:v>
      </x:c>
      <x:c r="AL485" t="n">
        <x:v>0</x:v>
      </x:c>
      <x:c r="AM485" t="n">
        <x:f>CHOOSE('假设'!$B$3,AJ485,AK485,AL485)</x:f>
        <x:v>0</x:v>
      </x:c>
      <x:c r="AN485" t="n">
        <x:v>1</x:v>
      </x:c>
    </x:row>
    <x:row r="486" ht="23" customHeight="1">
      <x:c r="A486" s="11" t="str">
        <x:v>01093.HK</x:v>
      </x:c>
      <x:c r="B486" s="11" t="str">
        <x:v>五年</x:v>
      </x:c>
      <x:c r="C486" s="11" t="str">
        <x:v>OTHER_OVERSEAS</x:v>
      </x:c>
      <x:c r="D486" s="11" t="str">
        <x:v>2038-12-31</x:v>
      </x:c>
      <x:c r="E486" s="11" t="str">
        <x:v>USD</x:v>
      </x:c>
      <x:c r="F486" s="11" t="n">
        <x:v>7.227926078028747</x:v>
      </x:c>
      <x:c r="G486" s="26" t="b">
        <x:v>1</x:v>
      </x:c>
      <x:c r="H486" s="16" t="n">
        <x:v>1.5</x:v>
      </x:c>
      <x:c r="I486" s="16" t="n">
        <x:v>3.8</x:v>
      </x:c>
      <x:c r="J486" s="16" t="n">
        <x:v>7.92</x:v>
      </x:c>
      <x:c r="K486" s="11" t="n">
        <x:f>CHOOSE('假设'!$B$3,H486,I486,J486)</x:f>
        <x:v>3.8</x:v>
      </x:c>
      <x:c r="L486" s="11" t="n">
        <x:f>K486*'管线假设'!E123*'管线假设'!F123*'管线假设'!G123*IF(E486="USD",'管线假设'!I123,1)-AM486</x:f>
        <x:v>0.17926272</x:v>
      </x:c>
      <x:c r="M486" s="11" t="n">
        <x:f>'管线假设'!H123</x:f>
        <x:v>0.13</x:v>
      </x:c>
      <x:c r="N486" s="11" t="n">
        <x:f>IF(G486,L486*AN486/(1+M486)^F486,0)</x:f>
        <x:v>0.07410421583494681</x:v>
      </x:c>
      <x:c r="AJ486" t="n">
        <x:v>0</x:v>
      </x:c>
      <x:c r="AK486" t="n">
        <x:v>0</x:v>
      </x:c>
      <x:c r="AL486" t="n">
        <x:v>0</x:v>
      </x:c>
      <x:c r="AM486" t="n">
        <x:f>CHOOSE('假设'!$B$3,AJ486,AK486,AL486)</x:f>
        <x:v>0</x:v>
      </x:c>
      <x:c r="AN486" t="n">
        <x:v>1</x:v>
      </x:c>
    </x:row>
    <x:row r="487" ht="23" customHeight="1">
      <x:c r="A487" s="11" t="str">
        <x:v>01093.HK</x:v>
      </x:c>
      <x:c r="B487" s="11" t="str">
        <x:v>五年</x:v>
      </x:c>
      <x:c r="C487" s="11" t="str">
        <x:v>OTHER_OVERSEAS</x:v>
      </x:c>
      <x:c r="D487" s="11" t="str">
        <x:v>2039-12-31</x:v>
      </x:c>
      <x:c r="E487" s="11" t="str">
        <x:v>USD</x:v>
      </x:c>
      <x:c r="F487" s="11" t="n">
        <x:v>8.227241615331964</x:v>
      </x:c>
      <x:c r="G487" s="26" t="b">
        <x:v>1</x:v>
      </x:c>
      <x:c r="H487" s="16" t="n">
        <x:v>1.5</x:v>
      </x:c>
      <x:c r="I487" s="16" t="n">
        <x:v>3.52</x:v>
      </x:c>
      <x:c r="J487" s="16" t="n">
        <x:v>6.75</x:v>
      </x:c>
      <x:c r="K487" s="11" t="n">
        <x:f>CHOOSE('假设'!$B$3,H487,I487,J487)</x:f>
        <x:v>3.52</x:v>
      </x:c>
      <x:c r="L487" s="11" t="n">
        <x:f>K487*'管线假设'!E123*'管线假设'!F123*'管线假设'!G123*IF(E487="USD",'管线假设'!I123,1)-AM487</x:f>
        <x:v>0.166053888</x:v>
      </x:c>
      <x:c r="M487" s="11" t="n">
        <x:f>'管线假设'!H123</x:f>
        <x:v>0.13</x:v>
      </x:c>
      <x:c r="N487" s="11" t="n">
        <x:f>IF(G487,L487*AN487/(1+M487)^F487,0)</x:f>
        <x:v>0.060751900647295486</x:v>
      </x:c>
      <x:c r="AJ487" t="n">
        <x:v>0</x:v>
      </x:c>
      <x:c r="AK487" t="n">
        <x:v>0</x:v>
      </x:c>
      <x:c r="AL487" t="n">
        <x:v>0</x:v>
      </x:c>
      <x:c r="AM487" t="n">
        <x:f>CHOOSE('假设'!$B$3,AJ487,AK487,AL487)</x:f>
        <x:v>0</x:v>
      </x:c>
      <x:c r="AN487" t="n">
        <x:v>1</x:v>
      </x:c>
    </x:row>
    <x:row r="488" ht="23" customHeight="1">
      <x:c r="A488" s="11" t="str">
        <x:v>01093.HK</x:v>
      </x:c>
      <x:c r="B488" s="11" t="str">
        <x:v>五年</x:v>
      </x:c>
      <x:c r="C488" s="11" t="str">
        <x:v>OTHER_OVERSEAS</x:v>
      </x:c>
      <x:c r="D488" s="11" t="str">
        <x:v>2040-12-31</x:v>
      </x:c>
      <x:c r="E488" s="11" t="str">
        <x:v>USD</x:v>
      </x:c>
      <x:c r="F488" s="11" t="n">
        <x:v>9.229295003422314</x:v>
      </x:c>
      <x:c r="G488" s="26" t="b">
        <x:v>1</x:v>
      </x:c>
      <x:c r="H488" s="16" t="n">
        <x:v>1.4249999999999998</x:v>
      </x:c>
      <x:c r="I488" s="16" t="n">
        <x:v>3</x:v>
      </x:c>
      <x:c r="J488" s="16" t="n">
        <x:v>5.3999999999999995</x:v>
      </x:c>
      <x:c r="K488" s="11" t="n">
        <x:f>CHOOSE('假设'!$B$3,H488,I488,J488)</x:f>
        <x:v>3</x:v>
      </x:c>
      <x:c r="L488" s="11" t="n">
        <x:f>K488*'管线假设'!E123*'管线假设'!F123*'管线假设'!G123*IF(E488="USD",'管线假设'!I123,1)-AM488</x:f>
        <x:v>0.14152320000000002</x:v>
      </x:c>
      <x:c r="M488" s="11" t="n">
        <x:f>'管线假设'!H123</x:f>
        <x:v>0.13</x:v>
      </x:c>
      <x:c r="N488" s="11" t="n">
        <x:f>IF(G488,L488*AN488/(1+M488)^F488,0)</x:f>
        <x:v>0.04580902271409583</x:v>
      </x:c>
      <x:c r="AJ488" t="n">
        <x:v>0</x:v>
      </x:c>
      <x:c r="AK488" t="n">
        <x:v>0</x:v>
      </x:c>
      <x:c r="AL488" t="n">
        <x:v>0</x:v>
      </x:c>
      <x:c r="AM488" t="n">
        <x:f>CHOOSE('假设'!$B$3,AJ488,AK488,AL488)</x:f>
        <x:v>0</x:v>
      </x:c>
      <x:c r="AN488" t="n">
        <x:v>1</x:v>
      </x:c>
    </x:row>
    <x:row r="489" ht="23" customHeight="1">
      <x:c r="A489" s="11" t="str">
        <x:v>01093.HK</x:v>
      </x:c>
      <x:c r="B489" s="11" t="str">
        <x:v>五年</x:v>
      </x:c>
      <x:c r="C489" s="11" t="str">
        <x:v>OTHER_OVERSEAS</x:v>
      </x:c>
      <x:c r="D489" s="11" t="str">
        <x:v>2041-12-31</x:v>
      </x:c>
      <x:c r="E489" s="11" t="str">
        <x:v>USD</x:v>
      </x:c>
      <x:c r="F489" s="11" t="n">
        <x:v>10.22861054072553</x:v>
      </x:c>
      <x:c r="G489" s="26" t="b">
        <x:v>1</x:v>
      </x:c>
      <x:c r="H489" s="16" t="n">
        <x:v>1.32</x:v>
      </x:c>
      <x:c r="I489" s="16" t="n">
        <x:v>2.4</x:v>
      </x:c>
      <x:c r="J489" s="16" t="n">
        <x:v>4.05</x:v>
      </x:c>
      <x:c r="K489" s="11" t="n">
        <x:f>CHOOSE('假设'!$B$3,H489,I489,J489)</x:f>
        <x:v>2.4</x:v>
      </x:c>
      <x:c r="L489" s="11" t="n">
        <x:f>K489*'管线假设'!E123*'管线假设'!F123*'管线假设'!G123*IF(E489="USD",'管线假设'!I123,1)-AM489</x:f>
        <x:v>0.11321856</x:v>
      </x:c>
      <x:c r="M489" s="11" t="n">
        <x:f>'管线假设'!H123</x:f>
        <x:v>0.13</x:v>
      </x:c>
      <x:c r="N489" s="11" t="n">
        <x:f>IF(G489,L489*AN489/(1+M489)^F489,0)</x:f>
        <x:v>0.03243387961441757</x:v>
      </x:c>
      <x:c r="AJ489" t="n">
        <x:v>0</x:v>
      </x:c>
      <x:c r="AK489" t="n">
        <x:v>0</x:v>
      </x:c>
      <x:c r="AL489" t="n">
        <x:v>0</x:v>
      </x:c>
      <x:c r="AM489" t="n">
        <x:f>CHOOSE('假设'!$B$3,AJ489,AK489,AL489)</x:f>
        <x:v>0</x:v>
      </x:c>
      <x:c r="AN489" t="n">
        <x:v>1</x:v>
      </x:c>
    </x:row>
    <x:row r="490" ht="23" customHeight="1">
      <x:c r="A490" s="11" t="str">
        <x:v>01093.HK</x:v>
      </x:c>
      <x:c r="B490" s="11" t="str">
        <x:v>五年</x:v>
      </x:c>
      <x:c r="C490" s="11" t="str">
        <x:v>OTHER_OVERSEAS</x:v>
      </x:c>
      <x:c r="D490" s="11" t="str">
        <x:v>2042-12-31</x:v>
      </x:c>
      <x:c r="E490" s="11" t="str">
        <x:v>USD</x:v>
      </x:c>
      <x:c r="F490" s="11" t="n">
        <x:v>11.227926078028748</x:v>
      </x:c>
      <x:c r="G490" s="26" t="b">
        <x:v>1</x:v>
      </x:c>
      <x:c r="H490" s="16" t="n">
        <x:v>1.125</x:v>
      </x:c>
      <x:c r="I490" s="16" t="n">
        <x:v>1.8</x:v>
      </x:c>
      <x:c r="J490" s="16" t="n">
        <x:v>2.6999999999999997</x:v>
      </x:c>
      <x:c r="K490" s="11" t="n">
        <x:f>CHOOSE('假设'!$B$3,H490,I490,J490)</x:f>
        <x:v>1.8</x:v>
      </x:c>
      <x:c r="L490" s="11" t="n">
        <x:f>K490*'管线假设'!E123*'管线假设'!F123*'管线假设'!G123*IF(E490="USD",'管线假设'!I123,1)-AM490</x:f>
        <x:v>0.08491392000000002</x:v>
      </x:c>
      <x:c r="M490" s="11" t="n">
        <x:f>'管线假设'!H123</x:f>
        <x:v>0.13</x:v>
      </x:c>
      <x:c r="N490" s="11" t="n">
        <x:f>IF(G490,L490*AN490/(1+M490)^F490,0)</x:f>
        <x:v>0.021528712123374084</x:v>
      </x:c>
      <x:c r="AJ490" t="n">
        <x:v>0</x:v>
      </x:c>
      <x:c r="AK490" t="n">
        <x:v>0</x:v>
      </x:c>
      <x:c r="AL490" t="n">
        <x:v>0</x:v>
      </x:c>
      <x:c r="AM490" t="n">
        <x:f>CHOOSE('假设'!$B$3,AJ490,AK490,AL490)</x:f>
        <x:v>0</x:v>
      </x:c>
      <x:c r="AN490" t="n">
        <x:v>1</x:v>
      </x:c>
    </x:row>
    <x:row r="491" ht="23" customHeight="1">
      <x:c r="A491" s="11" t="str">
        <x:v>01093.HK</x:v>
      </x:c>
      <x:c r="B491" s="11" t="str">
        <x:v>五年</x:v>
      </x:c>
      <x:c r="C491" s="11" t="str">
        <x:v>OTHER_OVERSEAS</x:v>
      </x:c>
      <x:c r="D491" s="11" t="str">
        <x:v>2043-12-31</x:v>
      </x:c>
      <x:c r="E491" s="11" t="str">
        <x:v>USD</x:v>
      </x:c>
      <x:c r="F491" s="11" t="n">
        <x:v>12.227241615331964</x:v>
      </x:c>
      <x:c r="G491" s="26" t="b">
        <x:v>1</x:v>
      </x:c>
      <x:c r="H491" s="16" t="n">
        <x:v>0.8999999999999999</x:v>
      </x:c>
      <x:c r="I491" s="16" t="n">
        <x:v>1.2</x:v>
      </x:c>
      <x:c r="J491" s="16" t="n">
        <x:v>1.6199999999999999</x:v>
      </x:c>
      <x:c r="K491" s="11" t="n">
        <x:f>CHOOSE('假设'!$B$3,H491,I491,J491)</x:f>
        <x:v>1.2</x:v>
      </x:c>
      <x:c r="L491" s="11" t="n">
        <x:f>K491*'管线假设'!E123*'管线假设'!F123*'管线假设'!G123*IF(E491="USD",'管线假设'!I123,1)-AM491</x:f>
        <x:v>0.05660928</x:v>
      </x:c>
      <x:c r="M491" s="11" t="n">
        <x:f>'管线假设'!H123</x:f>
        <x:v>0.13</x:v>
      </x:c>
      <x:c r="N491" s="11" t="n">
        <x:f>IF(G491,L491*AN491/(1+M491)^F491,0)</x:f>
        <x:v>0.01270236763946699</x:v>
      </x:c>
      <x:c r="AJ491" t="n">
        <x:v>0</x:v>
      </x:c>
      <x:c r="AK491" t="n">
        <x:v>0</x:v>
      </x:c>
      <x:c r="AL491" t="n">
        <x:v>0</x:v>
      </x:c>
      <x:c r="AM491" t="n">
        <x:f>CHOOSE('假设'!$B$3,AJ491,AK491,AL491)</x:f>
        <x:v>0</x:v>
      </x:c>
      <x:c r="AN491" t="n">
        <x:v>1</x:v>
      </x:c>
    </x:row>
    <x:row r="492" ht="23" customHeight="1">
      <x:c r="A492" s="11" t="str">
        <x:v>688192.SH</x:v>
      </x:c>
      <x:c r="B492" s="11" t="str">
        <x:v>2026年底</x:v>
      </x:c>
      <x:c r="C492" s="11" t="str">
        <x:v>sun_later</x:v>
      </x:c>
      <x:c r="D492" s="11" t="str">
        <x:v>2027-12-31</x:v>
      </x:c>
      <x:c r="E492" s="11" t="str">
        <x:v>USD</x:v>
      </x:c>
      <x:c r="F492" s="11" t="n">
        <x:v>0.999315537303217</x:v>
      </x:c>
      <x:c r="G492" s="26" t="b">
        <x:v>1</x:v>
      </x:c>
      <x:c r="H492" s="16" t="n">
        <x:v>0.06999999999999999</x:v>
      </x:c>
      <x:c r="I492" s="16" t="n">
        <x:v>0.13</x:v>
      </x:c>
      <x:c r="J492" s="16" t="n">
        <x:v>0.275</x:v>
      </x:c>
      <x:c r="K492" s="11" t="n">
        <x:f>CHOOSE('假设'!$B$3,H492,I492,J492)</x:f>
        <x:v>0.13</x:v>
      </x:c>
      <x:c r="L492" s="11" t="n">
        <x:f>K492*'管线假设'!E127*'管线假设'!F127*'管线假设'!G127*IF(E492="USD",'管线假设'!I127,1)-AM492</x:f>
        <x:v>0.07611240000000001</x:v>
      </x:c>
      <x:c r="M492" s="11" t="n">
        <x:f>'管线假设'!H127</x:f>
        <x:v>0.125</x:v>
      </x:c>
      <x:c r="N492" s="11" t="n">
        <x:f>IF(G492,L492*AN492/(1+M492)^F492,0)</x:f>
        <x:v>0.06766092114131467</x:v>
      </x:c>
      <x:c r="AJ492" t="n">
        <x:v>0</x:v>
      </x:c>
      <x:c r="AK492" t="n">
        <x:v>0</x:v>
      </x:c>
      <x:c r="AL492" t="n">
        <x:v>0</x:v>
      </x:c>
      <x:c r="AM492" t="n">
        <x:f>CHOOSE('假设'!$B$3,AJ492,AK492,AL492)</x:f>
        <x:v>0</x:v>
      </x:c>
      <x:c r="AN492" t="n">
        <x:v>1</x:v>
      </x:c>
    </x:row>
    <x:row r="493" ht="23" customHeight="1">
      <x:c r="A493" s="11" t="str">
        <x:v>688192.SH</x:v>
      </x:c>
      <x:c r="B493" s="11" t="str">
        <x:v>2026年底</x:v>
      </x:c>
      <x:c r="C493" s="11" t="str">
        <x:v>sun_later</x:v>
      </x:c>
      <x:c r="D493" s="11" t="str">
        <x:v>2028-12-31</x:v>
      </x:c>
      <x:c r="E493" s="11" t="str">
        <x:v>USD</x:v>
      </x:c>
      <x:c r="F493" s="11" t="n">
        <x:v>2.001368925393566</x:v>
      </x:c>
      <x:c r="G493" s="26" t="b">
        <x:v>1</x:v>
      </x:c>
      <x:c r="H493" s="16" t="n">
        <x:v>0.13999999999999999</x:v>
      </x:c>
      <x:c r="I493" s="16" t="n">
        <x:v>0.26</x:v>
      </x:c>
      <x:c r="J493" s="16" t="n">
        <x:v>0.55</x:v>
      </x:c>
      <x:c r="K493" s="11" t="n">
        <x:f>CHOOSE('假设'!$B$3,H493,I493,J493)</x:f>
        <x:v>0.26</x:v>
      </x:c>
      <x:c r="L493" s="11" t="n">
        <x:f>K493*'管线假设'!E127*'管线假设'!F127*'管线假设'!G127*IF(E493="USD",'管线假设'!I127,1)-AM493</x:f>
        <x:v>0.15222480000000002</x:v>
      </x:c>
      <x:c r="M493" s="11" t="n">
        <x:f>'管线假设'!H127</x:f>
        <x:v>0.125</x:v>
      </x:c>
      <x:c r="N493" s="11" t="n">
        <x:f>IF(G493,L493*AN493/(1+M493)^F493,0)</x:f>
        <x:v>0.12025699384261354</x:v>
      </x:c>
      <x:c r="AJ493" t="n">
        <x:v>0</x:v>
      </x:c>
      <x:c r="AK493" t="n">
        <x:v>0</x:v>
      </x:c>
      <x:c r="AL493" t="n">
        <x:v>0</x:v>
      </x:c>
      <x:c r="AM493" t="n">
        <x:f>CHOOSE('假设'!$B$3,AJ493,AK493,AL493)</x:f>
        <x:v>0</x:v>
      </x:c>
      <x:c r="AN493" t="n">
        <x:v>1</x:v>
      </x:c>
    </x:row>
    <x:row r="494" ht="23" customHeight="1">
      <x:c r="A494" s="11" t="str">
        <x:v>688192.SH</x:v>
      </x:c>
      <x:c r="B494" s="11" t="str">
        <x:v>2026年底</x:v>
      </x:c>
      <x:c r="C494" s="11" t="str">
        <x:v>sun_later</x:v>
      </x:c>
      <x:c r="D494" s="11" t="str">
        <x:v>2029-12-31</x:v>
      </x:c>
      <x:c r="E494" s="11" t="str">
        <x:v>USD</x:v>
      </x:c>
      <x:c r="F494" s="11" t="n">
        <x:v>3.0006844626967832</x:v>
      </x:c>
      <x:c r="G494" s="26" t="b">
        <x:v>1</x:v>
      </x:c>
      <x:c r="H494" s="16" t="n">
        <x:v>0.21</x:v>
      </x:c>
      <x:c r="I494" s="16" t="n">
        <x:v>0.39</x:v>
      </x:c>
      <x:c r="J494" s="16" t="n">
        <x:v>0.8250000000000001</x:v>
      </x:c>
      <x:c r="K494" s="11" t="n">
        <x:f>CHOOSE('假设'!$B$3,H494,I494,J494)</x:f>
        <x:v>0.39</x:v>
      </x:c>
      <x:c r="L494" s="11" t="n">
        <x:f>K494*'管线假设'!E127*'管线假设'!F127*'管线假设'!G127*IF(E494="USD",'管线假设'!I127,1)-AM494</x:f>
        <x:v>0.22833720000000002</x:v>
      </x:c>
      <x:c r="M494" s="11" t="n">
        <x:f>'管线假设'!H127</x:f>
        <x:v>0.125</x:v>
      </x:c>
      <x:c r="N494" s="11" t="n">
        <x:f>IF(G494,L494*AN494/(1+M494)^F494,0)</x:f>
        <x:v>0.16035558549743478</x:v>
      </x:c>
      <x:c r="AJ494" t="n">
        <x:v>0</x:v>
      </x:c>
      <x:c r="AK494" t="n">
        <x:v>0</x:v>
      </x:c>
      <x:c r="AL494" t="n">
        <x:v>0</x:v>
      </x:c>
      <x:c r="AM494" t="n">
        <x:f>CHOOSE('假设'!$B$3,AJ494,AK494,AL494)</x:f>
        <x:v>0</x:v>
      </x:c>
      <x:c r="AN494" t="n">
        <x:v>1</x:v>
      </x:c>
    </x:row>
    <x:row r="495" ht="23" customHeight="1">
      <x:c r="A495" s="11" t="str">
        <x:v>688192.SH</x:v>
      </x:c>
      <x:c r="B495" s="11" t="str">
        <x:v>2026年底</x:v>
      </x:c>
      <x:c r="C495" s="11" t="str">
        <x:v>sun_later</x:v>
      </x:c>
      <x:c r="D495" s="11" t="str">
        <x:v>2030-12-31</x:v>
      </x:c>
      <x:c r="E495" s="11" t="str">
        <x:v>USD</x:v>
      </x:c>
      <x:c r="F495" s="11" t="n">
        <x:v>4</x:v>
      </x:c>
      <x:c r="G495" s="26" t="b">
        <x:v>1</x:v>
      </x:c>
      <x:c r="H495" s="16" t="n">
        <x:v>0.27999999999999997</x:v>
      </x:c>
      <x:c r="I495" s="16" t="n">
        <x:v>0.52</x:v>
      </x:c>
      <x:c r="J495" s="16" t="n">
        <x:v>1.1</x:v>
      </x:c>
      <x:c r="K495" s="11" t="n">
        <x:f>CHOOSE('假设'!$B$3,H495,I495,J495)</x:f>
        <x:v>0.52</x:v>
      </x:c>
      <x:c r="L495" s="11" t="n">
        <x:f>K495*'管线假设'!E127*'管线假设'!F127*'管线假设'!G127*IF(E495="USD",'管线假设'!I127,1)-AM495</x:f>
        <x:v>0.30444960000000004</x:v>
      </x:c>
      <x:c r="M495" s="11" t="n">
        <x:f>'管线假设'!H127</x:f>
        <x:v>0.125</x:v>
      </x:c>
      <x:c r="N495" s="11" t="n">
        <x:f>IF(G495,L495*AN495/(1+M495)^F495,0)</x:f>
        <x:v>0.19006638646547785</x:v>
      </x:c>
      <x:c r="AJ495" t="n">
        <x:v>0</x:v>
      </x:c>
      <x:c r="AK495" t="n">
        <x:v>0</x:v>
      </x:c>
      <x:c r="AL495" t="n">
        <x:v>0</x:v>
      </x:c>
      <x:c r="AM495" t="n">
        <x:f>CHOOSE('假设'!$B$3,AJ495,AK495,AL495)</x:f>
        <x:v>0</x:v>
      </x:c>
      <x:c r="AN495" t="n">
        <x:v>1</x:v>
      </x:c>
    </x:row>
    <x:row r="496" ht="23" customHeight="1">
      <x:c r="A496" s="11" t="str">
        <x:v>688192.SH</x:v>
      </x:c>
      <x:c r="B496" s="11" t="str">
        <x:v>2026年底</x:v>
      </x:c>
      <x:c r="C496" s="11" t="str">
        <x:v>sun_later</x:v>
      </x:c>
      <x:c r="D496" s="11" t="str">
        <x:v>2031-12-31</x:v>
      </x:c>
      <x:c r="E496" s="11" t="str">
        <x:v>USD</x:v>
      </x:c>
      <x:c r="F496" s="11" t="n">
        <x:v>4.999315537303217</x:v>
      </x:c>
      <x:c r="G496" s="26" t="b">
        <x:v>1</x:v>
      </x:c>
      <x:c r="H496" s="16" t="n">
        <x:v>0.35</x:v>
      </x:c>
      <x:c r="I496" s="16" t="n">
        <x:v>0.65</x:v>
      </x:c>
      <x:c r="J496" s="16" t="n">
        <x:v>0.9680000000000001</x:v>
      </x:c>
      <x:c r="K496" s="11" t="n">
        <x:f>CHOOSE('假设'!$B$3,H496,I496,J496)</x:f>
        <x:v>0.65</x:v>
      </x:c>
      <x:c r="L496" s="11" t="n">
        <x:f>K496*'管线假设'!E127*'管线假设'!F127*'管线假设'!G127*IF(E496="USD",'管线假设'!I127,1)-AM496</x:f>
        <x:v>0.38056200000000007</x:v>
      </x:c>
      <x:c r="M496" s="11" t="n">
        <x:f>'管线假设'!H127</x:f>
        <x:v>0.125</x:v>
      </x:c>
      <x:c r="N496" s="11" t="n">
        <x:f>IF(G496,L496*AN496/(1+M496)^F496,0)</x:f>
        <x:v>0.21120189985888196</x:v>
      </x:c>
      <x:c r="AJ496" t="n">
        <x:v>0</x:v>
      </x:c>
      <x:c r="AK496" t="n">
        <x:v>0</x:v>
      </x:c>
      <x:c r="AL496" t="n">
        <x:v>0</x:v>
      </x:c>
      <x:c r="AM496" t="n">
        <x:f>CHOOSE('假设'!$B$3,AJ496,AK496,AL496)</x:f>
        <x:v>0</x:v>
      </x:c>
      <x:c r="AN496" t="n">
        <x:v>1</x:v>
      </x:c>
    </x:row>
    <x:row r="497" ht="23" customHeight="1">
      <x:c r="A497" s="11" t="str">
        <x:v>688192.SH</x:v>
      </x:c>
      <x:c r="B497" s="11" t="str">
        <x:v>2026年底</x:v>
      </x:c>
      <x:c r="C497" s="11" t="str">
        <x:v>sun_later</x:v>
      </x:c>
      <x:c r="D497" s="11" t="str">
        <x:v>2032-12-31</x:v>
      </x:c>
      <x:c r="E497" s="11" t="str">
        <x:v>USD</x:v>
      </x:c>
      <x:c r="F497" s="11" t="n">
        <x:v>6.0013689253935665</x:v>
      </x:c>
      <x:c r="G497" s="26" t="b">
        <x:v>1</x:v>
      </x:c>
      <x:c r="H497" s="16" t="n">
        <x:v>0.308</x:v>
      </x:c>
      <x:c r="I497" s="16" t="n">
        <x:v>0.5720000000000001</x:v>
      </x:c>
      <x:c r="J497" s="16" t="n">
        <x:v>0.8360000000000001</x:v>
      </x:c>
      <x:c r="K497" s="11" t="n">
        <x:f>CHOOSE('假设'!$B$3,H497,I497,J497)</x:f>
        <x:v>0.5720000000000001</x:v>
      </x:c>
      <x:c r="L497" s="11" t="n">
        <x:f>K497*'管线假设'!E127*'管线假设'!F127*'管线假设'!G127*IF(E497="USD",'管线假设'!I127,1)-AM497</x:f>
        <x:v>0.33489456000000006</x:v>
      </x:c>
      <x:c r="M497" s="11" t="n">
        <x:f>'管线假设'!H127</x:f>
        <x:v>0.125</x:v>
      </x:c>
      <x:c r="N497" s="11" t="n">
        <x:f>IF(G497,L497*AN497/(1+M497)^F497,0)</x:f>
        <x:v>0.16516686829973465</x:v>
      </x:c>
      <x:c r="AJ497" t="n">
        <x:v>0</x:v>
      </x:c>
      <x:c r="AK497" t="n">
        <x:v>0</x:v>
      </x:c>
      <x:c r="AL497" t="n">
        <x:v>0</x:v>
      </x:c>
      <x:c r="AM497" t="n">
        <x:f>CHOOSE('假设'!$B$3,AJ497,AK497,AL497)</x:f>
        <x:v>0</x:v>
      </x:c>
      <x:c r="AN497" t="n">
        <x:v>1</x:v>
      </x:c>
    </x:row>
    <x:row r="498" ht="23" customHeight="1">
      <x:c r="A498" s="11" t="str">
        <x:v>688192.SH</x:v>
      </x:c>
      <x:c r="B498" s="11" t="str">
        <x:v>2026年底</x:v>
      </x:c>
      <x:c r="C498" s="11" t="str">
        <x:v>sun_later</x:v>
      </x:c>
      <x:c r="D498" s="11" t="str">
        <x:v>2033-12-31</x:v>
      </x:c>
      <x:c r="E498" s="11" t="str">
        <x:v>USD</x:v>
      </x:c>
      <x:c r="F498" s="11" t="n">
        <x:v>7.000684462696783</x:v>
      </x:c>
      <x:c r="G498" s="26" t="b">
        <x:v>1</x:v>
      </x:c>
      <x:c r="H498" s="16" t="n">
        <x:v>0.26599999999999996</x:v>
      </x:c>
      <x:c r="I498" s="16" t="n">
        <x:v>0.49400000000000005</x:v>
      </x:c>
      <x:c r="J498" s="16" t="n">
        <x:v>0.7040000000000001</x:v>
      </x:c>
      <x:c r="K498" s="11" t="n">
        <x:f>CHOOSE('假设'!$B$3,H498,I498,J498)</x:f>
        <x:v>0.49400000000000005</x:v>
      </x:c>
      <x:c r="L498" s="11" t="n">
        <x:f>K498*'管线假设'!E127*'管线假设'!F127*'管线假设'!G127*IF(E498="USD",'管线假设'!I127,1)-AM498</x:f>
        <x:v>0.28922712000000006</x:v>
      </x:c>
      <x:c r="M498" s="11" t="n">
        <x:f>'管线假设'!H127</x:f>
        <x:v>0.125</x:v>
      </x:c>
      <x:c r="N498" s="11" t="n">
        <x:f>IF(G498,L498*AN498/(1+M498)^F498,0)</x:f>
        <x:v>0.12680498994820266</x:v>
      </x:c>
      <x:c r="AJ498" t="n">
        <x:v>0</x:v>
      </x:c>
      <x:c r="AK498" t="n">
        <x:v>0</x:v>
      </x:c>
      <x:c r="AL498" t="n">
        <x:v>0</x:v>
      </x:c>
      <x:c r="AM498" t="n">
        <x:f>CHOOSE('假设'!$B$3,AJ498,AK498,AL498)</x:f>
        <x:v>0</x:v>
      </x:c>
      <x:c r="AN498" t="n">
        <x:v>1</x:v>
      </x:c>
    </x:row>
    <x:row r="499" ht="23" customHeight="1">
      <x:c r="A499" s="11" t="str">
        <x:v>688192.SH</x:v>
      </x:c>
      <x:c r="B499" s="11" t="str">
        <x:v>2026年底</x:v>
      </x:c>
      <x:c r="C499" s="11" t="str">
        <x:v>sun_later</x:v>
      </x:c>
      <x:c r="D499" s="11" t="str">
        <x:v>2034-12-31</x:v>
      </x:c>
      <x:c r="E499" s="11" t="str">
        <x:v>USD</x:v>
      </x:c>
      <x:c r="F499" s="11" t="n">
        <x:v>8</x:v>
      </x:c>
      <x:c r="G499" s="26" t="b">
        <x:v>1</x:v>
      </x:c>
      <x:c r="H499" s="16" t="n">
        <x:v>0.22399999999999998</x:v>
      </x:c>
      <x:c r="I499" s="16" t="n">
        <x:v>0.41600000000000004</x:v>
      </x:c>
      <x:c r="J499" s="16" t="n">
        <x:v>0.5720000000000001</x:v>
      </x:c>
      <x:c r="K499" s="11" t="n">
        <x:f>CHOOSE('假设'!$B$3,H499,I499,J499)</x:f>
        <x:v>0.41600000000000004</x:v>
      </x:c>
      <x:c r="L499" s="11" t="n">
        <x:f>K499*'管线假设'!E127*'管线假设'!F127*'管线假设'!G127*IF(E499="USD",'管线假设'!I127,1)-AM499</x:f>
        <x:v>0.24355968000000003</x:v>
      </x:c>
      <x:c r="M499" s="11" t="n">
        <x:f>'管线假设'!H127</x:f>
        <x:v>0.125</x:v>
      </x:c>
      <x:c r="N499" s="11" t="n">
        <x:f>IF(G499,L499*AN499/(1+M499)^F499,0)</x:f>
        <x:v>0.09492600749429626</x:v>
      </x:c>
      <x:c r="AJ499" t="n">
        <x:v>0</x:v>
      </x:c>
      <x:c r="AK499" t="n">
        <x:v>0</x:v>
      </x:c>
      <x:c r="AL499" t="n">
        <x:v>0</x:v>
      </x:c>
      <x:c r="AM499" t="n">
        <x:f>CHOOSE('假设'!$B$3,AJ499,AK499,AL499)</x:f>
        <x:v>0</x:v>
      </x:c>
      <x:c r="AN499" t="n">
        <x:v>1</x:v>
      </x:c>
    </x:row>
    <x:row r="500" ht="23" customHeight="1">
      <x:c r="A500" s="11" t="str">
        <x:v>688192.SH</x:v>
      </x:c>
      <x:c r="B500" s="11" t="str">
        <x:v>2026年底</x:v>
      </x:c>
      <x:c r="C500" s="11" t="str">
        <x:v>sun_later</x:v>
      </x:c>
      <x:c r="D500" s="11" t="str">
        <x:v>2035-12-31</x:v>
      </x:c>
      <x:c r="E500" s="11" t="str">
        <x:v>USD</x:v>
      </x:c>
      <x:c r="F500" s="11" t="n">
        <x:v>8.999315537303216</x:v>
      </x:c>
      <x:c r="G500" s="26" t="b">
        <x:v>1</x:v>
      </x:c>
      <x:c r="H500" s="16" t="n">
        <x:v>0.182</x:v>
      </x:c>
      <x:c r="I500" s="16" t="n">
        <x:v>0.338</x:v>
      </x:c>
      <x:c r="J500" s="16" t="n">
        <x:v>0.44000000000000006</x:v>
      </x:c>
      <x:c r="K500" s="11" t="n">
        <x:f>CHOOSE('假设'!$B$3,H500,I500,J500)</x:f>
        <x:v>0.338</x:v>
      </x:c>
      <x:c r="L500" s="11" t="n">
        <x:f>K500*'管线假设'!E127*'管线假设'!F127*'管线假设'!G127*IF(E500="USD",'管线假设'!I127,1)-AM500</x:f>
        <x:v>0.19789224000000002</x:v>
      </x:c>
      <x:c r="M500" s="11" t="n">
        <x:f>'管线假设'!H127</x:f>
        <x:v>0.125</x:v>
      </x:c>
      <x:c r="N500" s="11" t="n">
        <x:f>IF(G500,L500*AN500/(1+M500)^F500,0)</x:f>
        <x:v>0.06856319929087486</x:v>
      </x:c>
      <x:c r="AJ500" t="n">
        <x:v>0</x:v>
      </x:c>
      <x:c r="AK500" t="n">
        <x:v>0</x:v>
      </x:c>
      <x:c r="AL500" t="n">
        <x:v>0</x:v>
      </x:c>
      <x:c r="AM500" t="n">
        <x:f>CHOOSE('假设'!$B$3,AJ500,AK500,AL500)</x:f>
        <x:v>0</x:v>
      </x:c>
      <x:c r="AN500" t="n">
        <x:v>1</x:v>
      </x:c>
    </x:row>
    <x:row r="501" ht="23" customHeight="1">
      <x:c r="A501" s="11" t="str">
        <x:v>688192.SH</x:v>
      </x:c>
      <x:c r="B501" s="11" t="str">
        <x:v>2026年底</x:v>
      </x:c>
      <x:c r="C501" s="11" t="str">
        <x:v>sun_later</x:v>
      </x:c>
      <x:c r="D501" s="11" t="str">
        <x:v>2036-12-31</x:v>
      </x:c>
      <x:c r="E501" s="11" t="str">
        <x:v>USD</x:v>
      </x:c>
      <x:c r="F501" s="11" t="n">
        <x:v>10.001368925393566</x:v>
      </x:c>
      <x:c r="G501" s="26" t="b">
        <x:v>1</x:v>
      </x:c>
      <x:c r="H501" s="16" t="n">
        <x:v>0.13999999999999999</x:v>
      </x:c>
      <x:c r="I501" s="16" t="n">
        <x:v>0.26</x:v>
      </x:c>
      <x:c r="J501" s="16" t="n">
        <x:v>0.30800000000000005</x:v>
      </x:c>
      <x:c r="K501" s="11" t="n">
        <x:f>CHOOSE('假设'!$B$3,H501,I501,J501)</x:f>
        <x:v>0.26</x:v>
      </x:c>
      <x:c r="L501" s="11" t="n">
        <x:f>K501*'管线假设'!E127*'管线假设'!F127*'管线假设'!G127*IF(E501="USD",'管线假设'!I127,1)-AM501</x:f>
        <x:v>0.15222480000000002</x:v>
      </x:c>
      <x:c r="M501" s="11" t="n">
        <x:f>'管线假设'!H127</x:f>
        <x:v>0.125</x:v>
      </x:c>
      <x:c r="N501" s="11" t="n">
        <x:f>IF(G501,L501*AN501/(1+M501)^F501,0)</x:f>
        <x:v>0.046869483071851105</x:v>
      </x:c>
      <x:c r="AJ501" t="n">
        <x:v>0</x:v>
      </x:c>
      <x:c r="AK501" t="n">
        <x:v>0</x:v>
      </x:c>
      <x:c r="AL501" t="n">
        <x:v>0</x:v>
      </x:c>
      <x:c r="AM501" t="n">
        <x:f>CHOOSE('假设'!$B$3,AJ501,AK501,AL501)</x:f>
        <x:v>0</x:v>
      </x:c>
      <x:c r="AN501" t="n">
        <x:v>1</x:v>
      </x:c>
    </x:row>
    <x:row r="502" ht="23" customHeight="1">
      <x:c r="A502" s="11" t="str">
        <x:v>688192.SH</x:v>
      </x:c>
      <x:c r="B502" s="11" t="str">
        <x:v>2026年底</x:v>
      </x:c>
      <x:c r="C502" s="11" t="str">
        <x:v>sun_later</x:v>
      </x:c>
      <x:c r="D502" s="11" t="str">
        <x:v>2037-12-31</x:v>
      </x:c>
      <x:c r="E502" s="11" t="str">
        <x:v>USD</x:v>
      </x:c>
      <x:c r="F502" s="11" t="n">
        <x:v>11.000684462696784</x:v>
      </x:c>
      <x:c r="G502" s="26" t="b">
        <x:v>1</x:v>
      </x:c>
      <x:c r="H502" s="16" t="n">
        <x:v>0.098</x:v>
      </x:c>
      <x:c r="I502" s="16" t="n">
        <x:v>0.18200000000000002</x:v>
      </x:c>
      <x:c r="J502" s="16" t="n">
        <x:v>0.17600000000000005</x:v>
      </x:c>
      <x:c r="K502" s="11" t="n">
        <x:f>CHOOSE('假设'!$B$3,H502,I502,J502)</x:f>
        <x:v>0.18200000000000002</x:v>
      </x:c>
      <x:c r="L502" s="11" t="n">
        <x:f>K502*'管线假设'!E127*'管线假设'!F127*'管线假设'!G127*IF(E502="USD",'管线假设'!I127,1)-AM502</x:f>
        <x:v>0.10655736000000002</x:v>
      </x:c>
      <x:c r="M502" s="11" t="n">
        <x:f>'管线假设'!H127</x:f>
        <x:v>0.125</x:v>
      </x:c>
      <x:c r="N502" s="11" t="n">
        <x:f>IF(G502,L502*AN502/(1+M502)^F502,0)</x:f>
        <x:v>0.02916558509048578</x:v>
      </x:c>
      <x:c r="AJ502" t="n">
        <x:v>0</x:v>
      </x:c>
      <x:c r="AK502" t="n">
        <x:v>0</x:v>
      </x:c>
      <x:c r="AL502" t="n">
        <x:v>0</x:v>
      </x:c>
      <x:c r="AM502" t="n">
        <x:f>CHOOSE('假设'!$B$3,AJ502,AK502,AL502)</x:f>
        <x:v>0</x:v>
      </x:c>
      <x:c r="AN502" t="n">
        <x:v>1</x:v>
      </x:c>
    </x:row>
    <x:row r="503" ht="23" customHeight="1">
      <x:c r="A503" s="11" t="str">
        <x:v>688192.SH</x:v>
      </x:c>
      <x:c r="B503" s="11" t="str">
        <x:v>2026年底</x:v>
      </x:c>
      <x:c r="C503" s="11" t="str">
        <x:v>sun_later</x:v>
      </x:c>
      <x:c r="D503" s="11" t="str">
        <x:v>2038-12-31</x:v>
      </x:c>
      <x:c r="E503" s="11" t="str">
        <x:v>USD</x:v>
      </x:c>
      <x:c r="F503" s="11" t="n">
        <x:v>12</x:v>
      </x:c>
      <x:c r="G503" s="26" t="b">
        <x:v>1</x:v>
      </x:c>
      <x:c r="H503" s="16" t="n">
        <x:v>0.05600000000000001</x:v>
      </x:c>
      <x:c r="I503" s="16" t="n">
        <x:v>0.10400000000000002</x:v>
      </x:c>
      <x:c r="J503" s="16" t="n">
        <x:v>0.044000000000000046</x:v>
      </x:c>
      <x:c r="K503" s="11" t="n">
        <x:f>CHOOSE('假设'!$B$3,H503,I503,J503)</x:f>
        <x:v>0.10400000000000002</x:v>
      </x:c>
      <x:c r="L503" s="11" t="n">
        <x:f>K503*'管线假设'!E127*'管线假设'!F127*'管线假设'!G127*IF(E503="USD",'管线假设'!I127,1)-AM503</x:f>
        <x:v>0.06088992000000002</x:v>
      </x:c>
      <x:c r="M503" s="11" t="n">
        <x:f>'管线假设'!H127</x:f>
        <x:v>0.125</x:v>
      </x:c>
      <x:c r="N503" s="11" t="n">
        <x:f>IF(G503,L503*AN503/(1+M503)^F503,0)</x:f>
        <x:v>0.01481545978877601</x:v>
      </x:c>
      <x:c r="AJ503" t="n">
        <x:v>0</x:v>
      </x:c>
      <x:c r="AK503" t="n">
        <x:v>0</x:v>
      </x:c>
      <x:c r="AL503" t="n">
        <x:v>0</x:v>
      </x:c>
      <x:c r="AM503" t="n">
        <x:f>CHOOSE('假设'!$B$3,AJ503,AK503,AL503)</x:f>
        <x:v>0</x:v>
      </x:c>
      <x:c r="AN503" t="n">
        <x:v>1</x:v>
      </x:c>
    </x:row>
    <x:row r="504" ht="23" customHeight="1">
      <x:c r="A504" s="11" t="str">
        <x:v>688192.SH</x:v>
      </x:c>
      <x:c r="B504" s="11" t="str">
        <x:v>2026年底</x:v>
      </x:c>
      <x:c r="C504" s="11" t="str">
        <x:v>sun_later</x:v>
      </x:c>
      <x:c r="D504" s="11" t="str">
        <x:v>2039-12-31</x:v>
      </x:c>
      <x:c r="E504" s="11" t="str">
        <x:v>USD</x:v>
      </x:c>
      <x:c r="F504" s="11" t="n">
        <x:v>12.999315537303216</x:v>
      </x:c>
      <x:c r="G504" s="26" t="b">
        <x:v>1</x:v>
      </x:c>
      <x:c r="H504" s="16" t="n">
        <x:v>0.01400000000000001</x:v>
      </x:c>
      <x:c r="I504" s="16" t="n">
        <x:v>0.026000000000000023</x:v>
      </x:c>
      <x:c r="J504" s="16" t="n">
        <x:v>0</x:v>
      </x:c>
      <x:c r="K504" s="11" t="n">
        <x:f>CHOOSE('假设'!$B$3,H504,I504,J504)</x:f>
        <x:v>0.026000000000000023</x:v>
      </x:c>
      <x:c r="L504" s="11" t="n">
        <x:f>K504*'管线假设'!E127*'管线假设'!F127*'管线假设'!G127*IF(E504="USD",'管线假设'!I127,1)-AM504</x:f>
        <x:v>0.015222480000000014</x:v>
      </x:c>
      <x:c r="M504" s="11" t="n">
        <x:f>'管线假设'!H127</x:f>
        <x:v>0.125</x:v>
      </x:c>
      <x:c r="N504" s="11" t="n">
        <x:f>IF(G504,L504*AN504/(1+M504)^F504,0)</x:f>
        <x:v>0.003292589829123417</x:v>
      </x:c>
      <x:c r="AJ504" t="n">
        <x:v>0</x:v>
      </x:c>
      <x:c r="AK504" t="n">
        <x:v>0</x:v>
      </x:c>
      <x:c r="AL504" t="n">
        <x:v>0</x:v>
      </x:c>
      <x:c r="AM504" t="n">
        <x:f>CHOOSE('假设'!$B$3,AJ504,AK504,AL504)</x:f>
        <x:v>0</x:v>
      </x:c>
      <x:c r="AN504" t="n">
        <x:v>1</x:v>
      </x:c>
    </x:row>
    <x:row r="505" ht="23" customHeight="1">
      <x:c r="A505" s="11" t="str">
        <x:v>688192.SH</x:v>
      </x:c>
      <x:c r="B505" s="11" t="str">
        <x:v>2026年底</x:v>
      </x:c>
      <x:c r="C505" s="11" t="str">
        <x:v>sun_later</x:v>
      </x:c>
      <x:c r="D505" s="11" t="str">
        <x:v>2040-12-31</x:v>
      </x:c>
      <x:c r="E505" s="11" t="str">
        <x:v>USD</x:v>
      </x:c>
      <x:c r="F505" s="11" t="n">
        <x:v>14.001368925393566</x:v>
      </x:c>
      <x:c r="G505" s="26" t="b">
        <x:v>1</x:v>
      </x:c>
      <x:c r="H505" s="16" t="n">
        <x:v>0</x:v>
      </x:c>
      <x:c r="I505" s="16" t="n">
        <x:v>0</x:v>
      </x:c>
      <x:c r="J505" s="16" t="n">
        <x:v>0</x:v>
      </x:c>
      <x:c r="K505" s="11" t="n">
        <x:f>CHOOSE('假设'!$B$3,H505,I505,J505)</x:f>
        <x:v>0</x:v>
      </x:c>
      <x:c r="L505" s="11" t="n">
        <x:f>K505*'管线假设'!E127*'管线假设'!F127*'管线假设'!G127*IF(E505="USD",'管线假设'!I127,1)-AM505</x:f>
        <x:v>0</x:v>
      </x:c>
      <x:c r="M505" s="11" t="n">
        <x:f>'管线假设'!H127</x:f>
        <x:v>0.125</x:v>
      </x:c>
      <x:c r="N505" s="11" t="n">
        <x:f>IF(G505,L505*AN505/(1+M505)^F505,0)</x:f>
        <x:v>0</x:v>
      </x:c>
      <x:c r="AJ505" t="n">
        <x:v>0</x:v>
      </x:c>
      <x:c r="AK505" t="n">
        <x:v>0</x:v>
      </x:c>
      <x:c r="AL505" t="n">
        <x:v>0</x:v>
      </x:c>
      <x:c r="AM505" t="n">
        <x:f>CHOOSE('假设'!$B$3,AJ505,AK505,AL505)</x:f>
        <x:v>0</x:v>
      </x:c>
      <x:c r="AN505" t="n">
        <x:v>1</x:v>
      </x:c>
    </x:row>
    <x:row r="506" ht="23" customHeight="1">
      <x:c r="A506" s="11" t="str">
        <x:v>688192.SH</x:v>
      </x:c>
      <x:c r="B506" s="11" t="str">
        <x:v>2026年底</x:v>
      </x:c>
      <x:c r="C506" s="11" t="str">
        <x:v>sun_later</x:v>
      </x:c>
      <x:c r="D506" s="11" t="str">
        <x:v>2041-12-31</x:v>
      </x:c>
      <x:c r="E506" s="11" t="str">
        <x:v>USD</x:v>
      </x:c>
      <x:c r="F506" s="11" t="n">
        <x:v>15.000684462696784</x:v>
      </x:c>
      <x:c r="G506" s="26" t="b">
        <x:v>1</x:v>
      </x:c>
      <x:c r="H506" s="16" t="n">
        <x:v>0</x:v>
      </x:c>
      <x:c r="I506" s="16" t="n">
        <x:v>0</x:v>
      </x:c>
      <x:c r="J506" s="16" t="n">
        <x:v>0</x:v>
      </x:c>
      <x:c r="K506" s="11" t="n">
        <x:f>CHOOSE('假设'!$B$3,H506,I506,J506)</x:f>
        <x:v>0</x:v>
      </x:c>
      <x:c r="L506" s="11" t="n">
        <x:f>K506*'管线假设'!E127*'管线假设'!F127*'管线假设'!G127*IF(E506="USD",'管线假设'!I127,1)-AM506</x:f>
        <x:v>0</x:v>
      </x:c>
      <x:c r="M506" s="11" t="n">
        <x:f>'管线假设'!H127</x:f>
        <x:v>0.125</x:v>
      </x:c>
      <x:c r="N506" s="11" t="n">
        <x:f>IF(G506,L506*AN506/(1+M506)^F506,0)</x:f>
        <x:v>0</x:v>
      </x:c>
      <x:c r="AJ506" t="n">
        <x:v>0</x:v>
      </x:c>
      <x:c r="AK506" t="n">
        <x:v>0</x:v>
      </x:c>
      <x:c r="AL506" t="n">
        <x:v>0</x:v>
      </x:c>
      <x:c r="AM506" t="n">
        <x:f>CHOOSE('假设'!$B$3,AJ506,AK506,AL506)</x:f>
        <x:v>0</x:v>
      </x:c>
      <x:c r="AN506" t="n">
        <x:v>1</x:v>
      </x:c>
    </x:row>
    <x:row r="507" ht="23" customHeight="1">
      <x:c r="A507" s="11" t="str">
        <x:v>688192.SH</x:v>
      </x:c>
      <x:c r="B507" s="11" t="str">
        <x:v>2026年底</x:v>
      </x:c>
      <x:c r="C507" s="11" t="str">
        <x:v>sun_later</x:v>
      </x:c>
      <x:c r="D507" s="11" t="str">
        <x:v>2042-12-31</x:v>
      </x:c>
      <x:c r="E507" s="11" t="str">
        <x:v>USD</x:v>
      </x:c>
      <x:c r="F507" s="11" t="n">
        <x:v>16</x:v>
      </x:c>
      <x:c r="G507" s="26" t="b">
        <x:v>1</x:v>
      </x:c>
      <x:c r="H507" s="16" t="n">
        <x:v>0</x:v>
      </x:c>
      <x:c r="I507" s="16" t="n">
        <x:v>0</x:v>
      </x:c>
      <x:c r="J507" s="16" t="n">
        <x:v>0</x:v>
      </x:c>
      <x:c r="K507" s="11" t="n">
        <x:f>CHOOSE('假设'!$B$3,H507,I507,J507)</x:f>
        <x:v>0</x:v>
      </x:c>
      <x:c r="L507" s="11" t="n">
        <x:f>K507*'管线假设'!E127*'管线假设'!F127*'管线假设'!G127*IF(E507="USD",'管线假设'!I127,1)-AM507</x:f>
        <x:v>0</x:v>
      </x:c>
      <x:c r="M507" s="11" t="n">
        <x:f>'管线假设'!H127</x:f>
        <x:v>0.125</x:v>
      </x:c>
      <x:c r="N507" s="11" t="n">
        <x:f>IF(G507,L507*AN507/(1+M507)^F507,0)</x:f>
        <x:v>0</x:v>
      </x:c>
      <x:c r="AJ507" t="n">
        <x:v>0</x:v>
      </x:c>
      <x:c r="AK507" t="n">
        <x:v>0</x:v>
      </x:c>
      <x:c r="AL507" t="n">
        <x:v>0</x:v>
      </x:c>
      <x:c r="AM507" t="n">
        <x:f>CHOOSE('假设'!$B$3,AJ507,AK507,AL507)</x:f>
        <x:v>0</x:v>
      </x:c>
      <x:c r="AN507" t="n">
        <x:v>1</x:v>
      </x:c>
    </x:row>
    <x:row r="508" ht="23" customHeight="1">
      <x:c r="A508" s="11" t="str">
        <x:v>688192.SH</x:v>
      </x:c>
      <x:c r="B508" s="11" t="str">
        <x:v>2026年底</x:v>
      </x:c>
      <x:c r="C508" s="11" t="str">
        <x:v>sun_later</x:v>
      </x:c>
      <x:c r="D508" s="11" t="str">
        <x:v>2043-12-31</x:v>
      </x:c>
      <x:c r="E508" s="11" t="str">
        <x:v>USD</x:v>
      </x:c>
      <x:c r="F508" s="11" t="n">
        <x:v>16.999315537303218</x:v>
      </x:c>
      <x:c r="G508" s="26" t="b">
        <x:v>1</x:v>
      </x:c>
      <x:c r="H508" s="16" t="n">
        <x:v>0</x:v>
      </x:c>
      <x:c r="I508" s="16" t="n">
        <x:v>0</x:v>
      </x:c>
      <x:c r="J508" s="16" t="n">
        <x:v>0</x:v>
      </x:c>
      <x:c r="K508" s="11" t="n">
        <x:f>CHOOSE('假设'!$B$3,H508,I508,J508)</x:f>
        <x:v>0</x:v>
      </x:c>
      <x:c r="L508" s="11" t="n">
        <x:f>K508*'管线假设'!E127*'管线假设'!F127*'管线假设'!G127*IF(E508="USD",'管线假设'!I127,1)-AM508</x:f>
        <x:v>0</x:v>
      </x:c>
      <x:c r="M508" s="11" t="n">
        <x:f>'管线假设'!H127</x:f>
        <x:v>0.125</x:v>
      </x:c>
      <x:c r="N508" s="11" t="n">
        <x:f>IF(G508,L508*AN508/(1+M508)^F508,0)</x:f>
        <x:v>0</x:v>
      </x:c>
      <x:c r="AJ508" t="n">
        <x:v>0</x:v>
      </x:c>
      <x:c r="AK508" t="n">
        <x:v>0</x:v>
      </x:c>
      <x:c r="AL508" t="n">
        <x:v>0</x:v>
      </x:c>
      <x:c r="AM508" t="n">
        <x:f>CHOOSE('假设'!$B$3,AJ508,AK508,AL508)</x:f>
        <x:v>0</x:v>
      </x:c>
      <x:c r="AN508" t="n">
        <x:v>1</x:v>
      </x:c>
    </x:row>
    <x:row r="509" ht="23" customHeight="1">
      <x:c r="A509" s="11" t="str">
        <x:v>688192.SH</x:v>
      </x:c>
      <x:c r="B509" s="11" t="str">
        <x:v>2026年底</x:v>
      </x:c>
      <x:c r="C509" s="11" t="str">
        <x:v>sun_later</x:v>
      </x:c>
      <x:c r="D509" s="11" t="str">
        <x:v>2044-12-31</x:v>
      </x:c>
      <x:c r="E509" s="11" t="str">
        <x:v>USD</x:v>
      </x:c>
      <x:c r="F509" s="11" t="n">
        <x:v>18.001368925393567</x:v>
      </x:c>
      <x:c r="G509" s="26" t="b">
        <x:v>1</x:v>
      </x:c>
      <x:c r="H509" s="16" t="n">
        <x:v>0</x:v>
      </x:c>
      <x:c r="I509" s="16" t="n">
        <x:v>0</x:v>
      </x:c>
      <x:c r="J509" s="16" t="n">
        <x:v>0</x:v>
      </x:c>
      <x:c r="K509" s="11" t="n">
        <x:f>CHOOSE('假设'!$B$3,H509,I509,J509)</x:f>
        <x:v>0</x:v>
      </x:c>
      <x:c r="L509" s="11" t="n">
        <x:f>K509*'管线假设'!E127*'管线假设'!F127*'管线假设'!G127*IF(E509="USD",'管线假设'!I127,1)-AM509</x:f>
        <x:v>0</x:v>
      </x:c>
      <x:c r="M509" s="11" t="n">
        <x:f>'管线假设'!H127</x:f>
        <x:v>0.125</x:v>
      </x:c>
      <x:c r="N509" s="11" t="n">
        <x:f>IF(G509,L509*AN509/(1+M509)^F509,0)</x:f>
        <x:v>0</x:v>
      </x:c>
      <x:c r="AJ509" t="n">
        <x:v>0</x:v>
      </x:c>
      <x:c r="AK509" t="n">
        <x:v>0</x:v>
      </x:c>
      <x:c r="AL509" t="n">
        <x:v>0</x:v>
      </x:c>
      <x:c r="AM509" t="n">
        <x:f>CHOOSE('假设'!$B$3,AJ509,AK509,AL509)</x:f>
        <x:v>0</x:v>
      </x:c>
      <x:c r="AN509" t="n">
        <x:v>1</x:v>
      </x:c>
    </x:row>
    <x:row r="510" ht="23" customHeight="1">
      <x:c r="A510" s="11" t="str">
        <x:v>688192.SH</x:v>
      </x:c>
      <x:c r="B510" s="11" t="str">
        <x:v>2026年底</x:v>
      </x:c>
      <x:c r="C510" s="11" t="str">
        <x:v>sun_later</x:v>
      </x:c>
      <x:c r="D510" s="11" t="str">
        <x:v>2045-12-31</x:v>
      </x:c>
      <x:c r="E510" s="11" t="str">
        <x:v>USD</x:v>
      </x:c>
      <x:c r="F510" s="11" t="n">
        <x:v>19.000684462696782</x:v>
      </x:c>
      <x:c r="G510" s="26" t="b">
        <x:v>1</x:v>
      </x:c>
      <x:c r="H510" s="16" t="n">
        <x:v>0</x:v>
      </x:c>
      <x:c r="I510" s="16" t="n">
        <x:v>0</x:v>
      </x:c>
      <x:c r="J510" s="16" t="n">
        <x:v>0</x:v>
      </x:c>
      <x:c r="K510" s="11" t="n">
        <x:f>CHOOSE('假设'!$B$3,H510,I510,J510)</x:f>
        <x:v>0</x:v>
      </x:c>
      <x:c r="L510" s="11" t="n">
        <x:f>K510*'管线假设'!E127*'管线假设'!F127*'管线假设'!G127*IF(E510="USD",'管线假设'!I127,1)-AM510</x:f>
        <x:v>0</x:v>
      </x:c>
      <x:c r="M510" s="11" t="n">
        <x:f>'管线假设'!H127</x:f>
        <x:v>0.125</x:v>
      </x:c>
      <x:c r="N510" s="11" t="n">
        <x:f>IF(G510,L510*AN510/(1+M510)^F510,0)</x:f>
        <x:v>0</x:v>
      </x:c>
      <x:c r="AJ510" t="n">
        <x:v>0</x:v>
      </x:c>
      <x:c r="AK510" t="n">
        <x:v>0</x:v>
      </x:c>
      <x:c r="AL510" t="n">
        <x:v>0</x:v>
      </x:c>
      <x:c r="AM510" t="n">
        <x:f>CHOOSE('假设'!$B$3,AJ510,AK510,AL510)</x:f>
        <x:v>0</x:v>
      </x:c>
      <x:c r="AN510" t="n">
        <x:v>1</x:v>
      </x:c>
    </x:row>
    <x:row r="511" ht="23" customHeight="1">
      <x:c r="A511" s="11" t="str">
        <x:v>688192.SH</x:v>
      </x:c>
      <x:c r="B511" s="11" t="str">
        <x:v>2026年底</x:v>
      </x:c>
      <x:c r="C511" s="11" t="str">
        <x:v>sun_first</x:v>
      </x:c>
      <x:c r="D511" s="11" t="str">
        <x:v>2027-12-31</x:v>
      </x:c>
      <x:c r="E511" s="11" t="str">
        <x:v>USD</x:v>
      </x:c>
      <x:c r="F511" s="11" t="n">
        <x:v>0.999315537303217</x:v>
      </x:c>
      <x:c r="G511" s="26" t="b">
        <x:v>1</x:v>
      </x:c>
      <x:c r="H511" s="16" t="n">
        <x:v>0</x:v>
      </x:c>
      <x:c r="I511" s="16" t="n">
        <x:v>0</x:v>
      </x:c>
      <x:c r="J511" s="16" t="n">
        <x:v>0.45</x:v>
      </x:c>
      <x:c r="K511" s="11" t="n">
        <x:f>CHOOSE('假设'!$B$3,H511,I511,J511)</x:f>
        <x:v>0</x:v>
      </x:c>
      <x:c r="L511" s="11" t="n">
        <x:f>K511*'管线假设'!E131*'管线假设'!F131*'管线假设'!G131*IF(E511="USD",'管线假设'!I131,1)-AM511</x:f>
        <x:v>0</x:v>
      </x:c>
      <x:c r="M511" s="11" t="n">
        <x:f>'管线假设'!H131</x:f>
        <x:v>0.125</x:v>
      </x:c>
      <x:c r="N511" s="11" t="n">
        <x:f>IF(G511,L511*AN511/(1+M511)^F511,0)</x:f>
        <x:v>0</x:v>
      </x:c>
      <x:c r="AJ511" t="n">
        <x:v>0</x:v>
      </x:c>
      <x:c r="AK511" t="n">
        <x:v>0</x:v>
      </x:c>
      <x:c r="AL511" t="n">
        <x:v>0</x:v>
      </x:c>
      <x:c r="AM511" t="n">
        <x:f>CHOOSE('假设'!$B$3,AJ511,AK511,AL511)</x:f>
        <x:v>0</x:v>
      </x:c>
      <x:c r="AN511" t="n">
        <x:v>1</x:v>
      </x:c>
    </x:row>
    <x:row r="512" ht="23" customHeight="1">
      <x:c r="A512" s="11" t="str">
        <x:v>688192.SH</x:v>
      </x:c>
      <x:c r="B512" s="11" t="str">
        <x:v>2026年底</x:v>
      </x:c>
      <x:c r="C512" s="11" t="str">
        <x:v>sun_first</x:v>
      </x:c>
      <x:c r="D512" s="11" t="str">
        <x:v>2028-12-31</x:v>
      </x:c>
      <x:c r="E512" s="11" t="str">
        <x:v>USD</x:v>
      </x:c>
      <x:c r="F512" s="11" t="n">
        <x:v>2.001368925393566</x:v>
      </x:c>
      <x:c r="G512" s="26" t="b">
        <x:v>1</x:v>
      </x:c>
      <x:c r="H512" s="16" t="n">
        <x:v>0</x:v>
      </x:c>
      <x:c r="I512" s="16" t="n">
        <x:v>0.25</x:v>
      </x:c>
      <x:c r="J512" s="16" t="n">
        <x:v>0.9</x:v>
      </x:c>
      <x:c r="K512" s="11" t="n">
        <x:f>CHOOSE('假设'!$B$3,H512,I512,J512)</x:f>
        <x:v>0.25</x:v>
      </x:c>
      <x:c r="L512" s="11" t="n">
        <x:f>K512*'管线假设'!E131*'管线假设'!F131*'管线假设'!G131*IF(E512="USD",'管线假设'!I131,1)-AM512</x:f>
        <x:v>0.11416860000000001</x:v>
      </x:c>
      <x:c r="M512" s="11" t="n">
        <x:f>'管线假设'!H131</x:f>
        <x:v>0.125</x:v>
      </x:c>
      <x:c r="N512" s="11" t="n">
        <x:f>IF(G512,L512*AN512/(1+M512)^F512,0)</x:f>
        <x:v>0.09019274538196015</x:v>
      </x:c>
      <x:c r="AJ512" t="n">
        <x:v>0</x:v>
      </x:c>
      <x:c r="AK512" t="n">
        <x:v>0</x:v>
      </x:c>
      <x:c r="AL512" t="n">
        <x:v>0</x:v>
      </x:c>
      <x:c r="AM512" t="n">
        <x:f>CHOOSE('假设'!$B$3,AJ512,AK512,AL512)</x:f>
        <x:v>0</x:v>
      </x:c>
      <x:c r="AN512" t="n">
        <x:v>1</x:v>
      </x:c>
    </x:row>
    <x:row r="513" ht="23" customHeight="1">
      <x:c r="A513" s="11" t="str">
        <x:v>688192.SH</x:v>
      </x:c>
      <x:c r="B513" s="11" t="str">
        <x:v>2026年底</x:v>
      </x:c>
      <x:c r="C513" s="11" t="str">
        <x:v>sun_first</x:v>
      </x:c>
      <x:c r="D513" s="11" t="str">
        <x:v>2029-12-31</x:v>
      </x:c>
      <x:c r="E513" s="11" t="str">
        <x:v>USD</x:v>
      </x:c>
      <x:c r="F513" s="11" t="n">
        <x:v>3.0006844626967832</x:v>
      </x:c>
      <x:c r="G513" s="26" t="b">
        <x:v>1</x:v>
      </x:c>
      <x:c r="H513" s="16" t="n">
        <x:v>0.1</x:v>
      </x:c>
      <x:c r="I513" s="16" t="n">
        <x:v>0.5</x:v>
      </x:c>
      <x:c r="J513" s="16" t="n">
        <x:v>1.35</x:v>
      </x:c>
      <x:c r="K513" s="11" t="n">
        <x:f>CHOOSE('假设'!$B$3,H513,I513,J513)</x:f>
        <x:v>0.5</x:v>
      </x:c>
      <x:c r="L513" s="11" t="n">
        <x:f>K513*'管线假设'!E131*'管线假设'!F131*'管线假设'!G131*IF(E513="USD",'管线假设'!I131,1)-AM513</x:f>
        <x:v>0.22833720000000002</x:v>
      </x:c>
      <x:c r="M513" s="11" t="n">
        <x:f>'管线假设'!H131</x:f>
        <x:v>0.125</x:v>
      </x:c>
      <x:c r="N513" s="11" t="n">
        <x:f>IF(G513,L513*AN513/(1+M513)^F513,0)</x:f>
        <x:v>0.16035558549743478</x:v>
      </x:c>
      <x:c r="AJ513" t="n">
        <x:v>0</x:v>
      </x:c>
      <x:c r="AK513" t="n">
        <x:v>0</x:v>
      </x:c>
      <x:c r="AL513" t="n">
        <x:v>0</x:v>
      </x:c>
      <x:c r="AM513" t="n">
        <x:f>CHOOSE('假设'!$B$3,AJ513,AK513,AL513)</x:f>
        <x:v>0</x:v>
      </x:c>
      <x:c r="AN513" t="n">
        <x:v>1</x:v>
      </x:c>
    </x:row>
    <x:row r="514" ht="23" customHeight="1">
      <x:c r="A514" s="11" t="str">
        <x:v>688192.SH</x:v>
      </x:c>
      <x:c r="B514" s="11" t="str">
        <x:v>2026年底</x:v>
      </x:c>
      <x:c r="C514" s="11" t="str">
        <x:v>sun_first</x:v>
      </x:c>
      <x:c r="D514" s="11" t="str">
        <x:v>2030-12-31</x:v>
      </x:c>
      <x:c r="E514" s="11" t="str">
        <x:v>USD</x:v>
      </x:c>
      <x:c r="F514" s="11" t="n">
        <x:v>4</x:v>
      </x:c>
      <x:c r="G514" s="26" t="b">
        <x:v>1</x:v>
      </x:c>
      <x:c r="H514" s="16" t="n">
        <x:v>0.2</x:v>
      </x:c>
      <x:c r="I514" s="16" t="n">
        <x:v>0.75</x:v>
      </x:c>
      <x:c r="J514" s="16" t="n">
        <x:v>1.8</x:v>
      </x:c>
      <x:c r="K514" s="11" t="n">
        <x:f>CHOOSE('假设'!$B$3,H514,I514,J514)</x:f>
        <x:v>0.75</x:v>
      </x:c>
      <x:c r="L514" s="11" t="n">
        <x:f>K514*'管线假设'!E131*'管线假设'!F131*'管线假设'!G131*IF(E514="USD",'管线假设'!I131,1)-AM514</x:f>
        <x:v>0.3425058</x:v>
      </x:c>
      <x:c r="M514" s="11" t="n">
        <x:f>'管线假设'!H131</x:f>
        <x:v>0.125</x:v>
      </x:c>
      <x:c r="N514" s="11" t="n">
        <x:f>IF(G514,L514*AN514/(1+M514)^F514,0)</x:f>
        <x:v>0.21382468477366257</x:v>
      </x:c>
      <x:c r="AJ514" t="n">
        <x:v>0</x:v>
      </x:c>
      <x:c r="AK514" t="n">
        <x:v>0</x:v>
      </x:c>
      <x:c r="AL514" t="n">
        <x:v>0</x:v>
      </x:c>
      <x:c r="AM514" t="n">
        <x:f>CHOOSE('假设'!$B$3,AJ514,AK514,AL514)</x:f>
        <x:v>0</x:v>
      </x:c>
      <x:c r="AN514" t="n">
        <x:v>1</x:v>
      </x:c>
    </x:row>
    <x:row r="515" ht="23" customHeight="1">
      <x:c r="A515" s="11" t="str">
        <x:v>688192.SH</x:v>
      </x:c>
      <x:c r="B515" s="11" t="str">
        <x:v>2026年底</x:v>
      </x:c>
      <x:c r="C515" s="11" t="str">
        <x:v>sun_first</x:v>
      </x:c>
      <x:c r="D515" s="11" t="str">
        <x:v>2031-12-31</x:v>
      </x:c>
      <x:c r="E515" s="11" t="str">
        <x:v>USD</x:v>
      </x:c>
      <x:c r="F515" s="11" t="n">
        <x:v>4.999315537303217</x:v>
      </x:c>
      <x:c r="G515" s="26" t="b">
        <x:v>1</x:v>
      </x:c>
      <x:c r="H515" s="16" t="n">
        <x:v>0.3</x:v>
      </x:c>
      <x:c r="I515" s="16" t="n">
        <x:v>1</x:v>
      </x:c>
      <x:c r="J515" s="16" t="n">
        <x:v>2.2500000000000004</x:v>
      </x:c>
      <x:c r="K515" s="11" t="n">
        <x:f>CHOOSE('假设'!$B$3,H515,I515,J515)</x:f>
        <x:v>1</x:v>
      </x:c>
      <x:c r="L515" s="11" t="n">
        <x:f>K515*'管线假设'!E131*'管线假设'!F131*'管线假设'!G131*IF(E515="USD",'管线假设'!I131,1)-AM515</x:f>
        <x:v>0.45667440000000004</x:v>
      </x:c>
      <x:c r="M515" s="11" t="n">
        <x:f>'管线假设'!H131</x:f>
        <x:v>0.125</x:v>
      </x:c>
      <x:c r="N515" s="11" t="n">
        <x:f>IF(G515,L515*AN515/(1+M515)^F515,0)</x:f>
        <x:v>0.2534422798306583</x:v>
      </x:c>
      <x:c r="AJ515" t="n">
        <x:v>0</x:v>
      </x:c>
      <x:c r="AK515" t="n">
        <x:v>0</x:v>
      </x:c>
      <x:c r="AL515" t="n">
        <x:v>0</x:v>
      </x:c>
      <x:c r="AM515" t="n">
        <x:f>CHOOSE('假设'!$B$3,AJ515,AK515,AL515)</x:f>
        <x:v>0</x:v>
      </x:c>
      <x:c r="AN515" t="n">
        <x:v>1</x:v>
      </x:c>
    </x:row>
    <x:row r="516" ht="23" customHeight="1">
      <x:c r="A516" s="11" t="str">
        <x:v>688192.SH</x:v>
      </x:c>
      <x:c r="B516" s="11" t="str">
        <x:v>2026年底</x:v>
      </x:c>
      <x:c r="C516" s="11" t="str">
        <x:v>sun_first</x:v>
      </x:c>
      <x:c r="D516" s="11" t="str">
        <x:v>2032-12-31</x:v>
      </x:c>
      <x:c r="E516" s="11" t="str">
        <x:v>USD</x:v>
      </x:c>
      <x:c r="F516" s="11" t="n">
        <x:v>6.0013689253935665</x:v>
      </x:c>
      <x:c r="G516" s="26" t="b">
        <x:v>1</x:v>
      </x:c>
      <x:c r="H516" s="16" t="n">
        <x:v>0.4</x:v>
      </x:c>
      <x:c r="I516" s="16" t="n">
        <x:v>1.25</x:v>
      </x:c>
      <x:c r="J516" s="16" t="n">
        <x:v>2.7</x:v>
      </x:c>
      <x:c r="K516" s="11" t="n">
        <x:f>CHOOSE('假设'!$B$3,H516,I516,J516)</x:f>
        <x:v>1.25</x:v>
      </x:c>
      <x:c r="L516" s="11" t="n">
        <x:f>K516*'管线假设'!E131*'管线假设'!F131*'管线假设'!G131*IF(E516="USD",'管线假设'!I131,1)-AM516</x:f>
        <x:v>0.5708430000000001</x:v>
      </x:c>
      <x:c r="M516" s="11" t="n">
        <x:f>'管线假设'!H131</x:f>
        <x:v>0.125</x:v>
      </x:c>
      <x:c r="N516" s="11" t="n">
        <x:f>IF(G516,L516*AN516/(1+M516)^F516,0)</x:f>
        <x:v>0.2815344346018204</x:v>
      </x:c>
      <x:c r="AJ516" t="n">
        <x:v>0</x:v>
      </x:c>
      <x:c r="AK516" t="n">
        <x:v>0</x:v>
      </x:c>
      <x:c r="AL516" t="n">
        <x:v>0</x:v>
      </x:c>
      <x:c r="AM516" t="n">
        <x:f>CHOOSE('假设'!$B$3,AJ516,AK516,AL516)</x:f>
        <x:v>0</x:v>
      </x:c>
      <x:c r="AN516" t="n">
        <x:v>1</x:v>
      </x:c>
    </x:row>
    <x:row r="517" ht="23" customHeight="1">
      <x:c r="A517" s="11" t="str">
        <x:v>688192.SH</x:v>
      </x:c>
      <x:c r="B517" s="11" t="str">
        <x:v>2026年底</x:v>
      </x:c>
      <x:c r="C517" s="11" t="str">
        <x:v>sun_first</x:v>
      </x:c>
      <x:c r="D517" s="11" t="str">
        <x:v>2033-12-31</x:v>
      </x:c>
      <x:c r="E517" s="11" t="str">
        <x:v>USD</x:v>
      </x:c>
      <x:c r="F517" s="11" t="n">
        <x:v>7.000684462696783</x:v>
      </x:c>
      <x:c r="G517" s="26" t="b">
        <x:v>1</x:v>
      </x:c>
      <x:c r="H517" s="16" t="n">
        <x:v>0.5</x:v>
      </x:c>
      <x:c r="I517" s="16" t="n">
        <x:v>1.5</x:v>
      </x:c>
      <x:c r="J517" s="16" t="n">
        <x:v>2.3760000000000003</x:v>
      </x:c>
      <x:c r="K517" s="11" t="n">
        <x:f>CHOOSE('假设'!$B$3,H517,I517,J517)</x:f>
        <x:v>1.5</x:v>
      </x:c>
      <x:c r="L517" s="11" t="n">
        <x:f>K517*'管线假设'!E131*'管线假设'!F131*'管线假设'!G131*IF(E517="USD",'管线假设'!I131,1)-AM517</x:f>
        <x:v>0.6850116</x:v>
      </x:c>
      <x:c r="M517" s="11" t="n">
        <x:f>'管线假设'!H131</x:f>
        <x:v>0.125</x:v>
      </x:c>
      <x:c r="N517" s="11" t="n">
        <x:f>IF(G517,L517*AN517/(1+M517)^F517,0)</x:f>
        <x:v>0.3003276077720589</x:v>
      </x:c>
      <x:c r="AJ517" t="n">
        <x:v>0</x:v>
      </x:c>
      <x:c r="AK517" t="n">
        <x:v>0</x:v>
      </x:c>
      <x:c r="AL517" t="n">
        <x:v>0</x:v>
      </x:c>
      <x:c r="AM517" t="n">
        <x:f>CHOOSE('假设'!$B$3,AJ517,AK517,AL517)</x:f>
        <x:v>0</x:v>
      </x:c>
      <x:c r="AN517" t="n">
        <x:v>1</x:v>
      </x:c>
    </x:row>
    <x:row r="518" ht="23" customHeight="1">
      <x:c r="A518" s="11" t="str">
        <x:v>688192.SH</x:v>
      </x:c>
      <x:c r="B518" s="11" t="str">
        <x:v>2026年底</x:v>
      </x:c>
      <x:c r="C518" s="11" t="str">
        <x:v>sun_first</x:v>
      </x:c>
      <x:c r="D518" s="11" t="str">
        <x:v>2034-12-31</x:v>
      </x:c>
      <x:c r="E518" s="11" t="str">
        <x:v>USD</x:v>
      </x:c>
      <x:c r="F518" s="11" t="n">
        <x:v>8</x:v>
      </x:c>
      <x:c r="G518" s="26" t="b">
        <x:v>1</x:v>
      </x:c>
      <x:c r="H518" s="16" t="n">
        <x:v>0.44</x:v>
      </x:c>
      <x:c r="I518" s="16" t="n">
        <x:v>1.32</x:v>
      </x:c>
      <x:c r="J518" s="16" t="n">
        <x:v>2.052</x:v>
      </x:c>
      <x:c r="K518" s="11" t="n">
        <x:f>CHOOSE('假设'!$B$3,H518,I518,J518)</x:f>
        <x:v>1.32</x:v>
      </x:c>
      <x:c r="L518" s="11" t="n">
        <x:f>K518*'管线假设'!E131*'管线假设'!F131*'管线假设'!G131*IF(E518="USD",'管线假设'!I131,1)-AM518</x:f>
        <x:v>0.6028102080000001</x:v>
      </x:c>
      <x:c r="M518" s="11" t="n">
        <x:f>'管线假设'!H131</x:f>
        <x:v>0.125</x:v>
      </x:c>
      <x:c r="N518" s="11" t="n">
        <x:f>IF(G518,L518*AN518/(1+M518)^F518,0)</x:f>
        <x:v>0.23494186854838325</x:v>
      </x:c>
      <x:c r="AJ518" t="n">
        <x:v>0</x:v>
      </x:c>
      <x:c r="AK518" t="n">
        <x:v>0</x:v>
      </x:c>
      <x:c r="AL518" t="n">
        <x:v>0</x:v>
      </x:c>
      <x:c r="AM518" t="n">
        <x:f>CHOOSE('假设'!$B$3,AJ518,AK518,AL518)</x:f>
        <x:v>0</x:v>
      </x:c>
      <x:c r="AN518" t="n">
        <x:v>1</x:v>
      </x:c>
    </x:row>
    <x:row r="519" ht="23" customHeight="1">
      <x:c r="A519" s="11" t="str">
        <x:v>688192.SH</x:v>
      </x:c>
      <x:c r="B519" s="11" t="str">
        <x:v>2026年底</x:v>
      </x:c>
      <x:c r="C519" s="11" t="str">
        <x:v>sun_first</x:v>
      </x:c>
      <x:c r="D519" s="11" t="str">
        <x:v>2035-12-31</x:v>
      </x:c>
      <x:c r="E519" s="11" t="str">
        <x:v>USD</x:v>
      </x:c>
      <x:c r="F519" s="11" t="n">
        <x:v>8.999315537303216</x:v>
      </x:c>
      <x:c r="G519" s="26" t="b">
        <x:v>1</x:v>
      </x:c>
      <x:c r="H519" s="16" t="n">
        <x:v>0.38</x:v>
      </x:c>
      <x:c r="I519" s="16" t="n">
        <x:v>1.1400000000000001</x:v>
      </x:c>
      <x:c r="J519" s="16" t="n">
        <x:v>1.7280000000000002</x:v>
      </x:c>
      <x:c r="K519" s="11" t="n">
        <x:f>CHOOSE('假设'!$B$3,H519,I519,J519)</x:f>
        <x:v>1.1400000000000001</x:v>
      </x:c>
      <x:c r="L519" s="11" t="n">
        <x:f>K519*'管线假设'!E131*'管线假设'!F131*'管线假设'!G131*IF(E519="USD",'管线假设'!I131,1)-AM519</x:f>
        <x:v>0.5206088160000002</x:v>
      </x:c>
      <x:c r="M519" s="11" t="n">
        <x:f>'管线假设'!H131</x:f>
        <x:v>0.125</x:v>
      </x:c>
      <x:c r="N519" s="11" t="n">
        <x:f>IF(G519,L519*AN519/(1+M519)^F519,0)</x:f>
        <x:v>0.18037395505753234</x:v>
      </x:c>
      <x:c r="AJ519" t="n">
        <x:v>0</x:v>
      </x:c>
      <x:c r="AK519" t="n">
        <x:v>0</x:v>
      </x:c>
      <x:c r="AL519" t="n">
        <x:v>0</x:v>
      </x:c>
      <x:c r="AM519" t="n">
        <x:f>CHOOSE('假设'!$B$3,AJ519,AK519,AL519)</x:f>
        <x:v>0</x:v>
      </x:c>
      <x:c r="AN519" t="n">
        <x:v>1</x:v>
      </x:c>
    </x:row>
    <x:row r="520" ht="23" customHeight="1">
      <x:c r="A520" s="11" t="str">
        <x:v>688192.SH</x:v>
      </x:c>
      <x:c r="B520" s="11" t="str">
        <x:v>2026年底</x:v>
      </x:c>
      <x:c r="C520" s="11" t="str">
        <x:v>sun_first</x:v>
      </x:c>
      <x:c r="D520" s="11" t="str">
        <x:v>2036-12-31</x:v>
      </x:c>
      <x:c r="E520" s="11" t="str">
        <x:v>USD</x:v>
      </x:c>
      <x:c r="F520" s="11" t="n">
        <x:v>10.001368925393566</x:v>
      </x:c>
      <x:c r="G520" s="26" t="b">
        <x:v>1</x:v>
      </x:c>
      <x:c r="H520" s="16" t="n">
        <x:v>0.32</x:v>
      </x:c>
      <x:c r="I520" s="16" t="n">
        <x:v>0.96</x:v>
      </x:c>
      <x:c r="J520" s="16" t="n">
        <x:v>1.4040000000000001</x:v>
      </x:c>
      <x:c r="K520" s="11" t="n">
        <x:f>CHOOSE('假设'!$B$3,H520,I520,J520)</x:f>
        <x:v>0.96</x:v>
      </x:c>
      <x:c r="L520" s="11" t="n">
        <x:f>K520*'管线假设'!E131*'管线假设'!F131*'管线假设'!G131*IF(E520="USD",'管线假设'!I131,1)-AM520</x:f>
        <x:v>0.438407424</x:v>
      </x:c>
      <x:c r="M520" s="11" t="n">
        <x:f>'管线假设'!H131</x:f>
        <x:v>0.125</x:v>
      </x:c>
      <x:c r="N520" s="11" t="n">
        <x:f>IF(G520,L520*AN520/(1+M520)^F520,0)</x:f>
        <x:v>0.13498411124693116</x:v>
      </x:c>
      <x:c r="AJ520" t="n">
        <x:v>0</x:v>
      </x:c>
      <x:c r="AK520" t="n">
        <x:v>0</x:v>
      </x:c>
      <x:c r="AL520" t="n">
        <x:v>0</x:v>
      </x:c>
      <x:c r="AM520" t="n">
        <x:f>CHOOSE('假设'!$B$3,AJ520,AK520,AL520)</x:f>
        <x:v>0</x:v>
      </x:c>
      <x:c r="AN520" t="n">
        <x:v>1</x:v>
      </x:c>
    </x:row>
    <x:row r="521" ht="23" customHeight="1">
      <x:c r="A521" s="11" t="str">
        <x:v>688192.SH</x:v>
      </x:c>
      <x:c r="B521" s="11" t="str">
        <x:v>2026年底</x:v>
      </x:c>
      <x:c r="C521" s="11" t="str">
        <x:v>sun_first</x:v>
      </x:c>
      <x:c r="D521" s="11" t="str">
        <x:v>2037-12-31</x:v>
      </x:c>
      <x:c r="E521" s="11" t="str">
        <x:v>USD</x:v>
      </x:c>
      <x:c r="F521" s="11" t="n">
        <x:v>11.000684462696784</x:v>
      </x:c>
      <x:c r="G521" s="26" t="b">
        <x:v>1</x:v>
      </x:c>
      <x:c r="H521" s="16" t="n">
        <x:v>0.26</x:v>
      </x:c>
      <x:c r="I521" s="16" t="n">
        <x:v>0.78</x:v>
      </x:c>
      <x:c r="J521" s="16" t="n">
        <x:v>1.08</x:v>
      </x:c>
      <x:c r="K521" s="11" t="n">
        <x:f>CHOOSE('假设'!$B$3,H521,I521,J521)</x:f>
        <x:v>0.78</x:v>
      </x:c>
      <x:c r="L521" s="11" t="n">
        <x:f>K521*'管线假设'!E131*'管线假设'!F131*'管线假设'!G131*IF(E521="USD",'管线假设'!I131,1)-AM521</x:f>
        <x:v>0.35620603200000006</x:v>
      </x:c>
      <x:c r="M521" s="11" t="n">
        <x:f>'管线假设'!H131</x:f>
        <x:v>0.125</x:v>
      </x:c>
      <x:c r="N521" s="11" t="n">
        <x:f>IF(G521,L521*AN521/(1+M521)^F521,0)</x:f>
        <x:v>0.09749638444533817</x:v>
      </x:c>
      <x:c r="AJ521" t="n">
        <x:v>0</x:v>
      </x:c>
      <x:c r="AK521" t="n">
        <x:v>0</x:v>
      </x:c>
      <x:c r="AL521" t="n">
        <x:v>0</x:v>
      </x:c>
      <x:c r="AM521" t="n">
        <x:f>CHOOSE('假设'!$B$3,AJ521,AK521,AL521)</x:f>
        <x:v>0</x:v>
      </x:c>
      <x:c r="AN521" t="n">
        <x:v>1</x:v>
      </x:c>
    </x:row>
    <x:row r="522" ht="23" customHeight="1">
      <x:c r="A522" s="11" t="str">
        <x:v>688192.SH</x:v>
      </x:c>
      <x:c r="B522" s="11" t="str">
        <x:v>2026年底</x:v>
      </x:c>
      <x:c r="C522" s="11" t="str">
        <x:v>sun_first</x:v>
      </x:c>
      <x:c r="D522" s="11" t="str">
        <x:v>2038-12-31</x:v>
      </x:c>
      <x:c r="E522" s="11" t="str">
        <x:v>USD</x:v>
      </x:c>
      <x:c r="F522" s="11" t="n">
        <x:v>12</x:v>
      </x:c>
      <x:c r="G522" s="26" t="b">
        <x:v>1</x:v>
      </x:c>
      <x:c r="H522" s="16" t="n">
        <x:v>0.2</x:v>
      </x:c>
      <x:c r="I522" s="16" t="n">
        <x:v>0.6000000000000001</x:v>
      </x:c>
      <x:c r="J522" s="16" t="n">
        <x:v>0.7560000000000001</x:v>
      </x:c>
      <x:c r="K522" s="11" t="n">
        <x:f>CHOOSE('假设'!$B$3,H522,I522,J522)</x:f>
        <x:v>0.6000000000000001</x:v>
      </x:c>
      <x:c r="L522" s="11" t="n">
        <x:f>K522*'管线假设'!E131*'管线假设'!F131*'管线假设'!G131*IF(E522="USD",'管线假设'!I131,1)-AM522</x:f>
        <x:v>0.2740046400000001</x:v>
      </x:c>
      <x:c r="M522" s="11" t="n">
        <x:f>'管线假设'!H131</x:f>
        <x:v>0.125</x:v>
      </x:c>
      <x:c r="N522" s="11" t="n">
        <x:f>IF(G522,L522*AN522/(1+M522)^F522,0)</x:f>
        <x:v>0.06666956904949203</x:v>
      </x:c>
      <x:c r="AJ522" t="n">
        <x:v>0</x:v>
      </x:c>
      <x:c r="AK522" t="n">
        <x:v>0</x:v>
      </x:c>
      <x:c r="AL522" t="n">
        <x:v>0</x:v>
      </x:c>
      <x:c r="AM522" t="n">
        <x:f>CHOOSE('假设'!$B$3,AJ522,AK522,AL522)</x:f>
        <x:v>0</x:v>
      </x:c>
      <x:c r="AN522" t="n">
        <x:v>1</x:v>
      </x:c>
    </x:row>
    <x:row r="523" ht="23" customHeight="1">
      <x:c r="A523" s="11" t="str">
        <x:v>688192.SH</x:v>
      </x:c>
      <x:c r="B523" s="11" t="str">
        <x:v>2026年底</x:v>
      </x:c>
      <x:c r="C523" s="11" t="str">
        <x:v>sun_first</x:v>
      </x:c>
      <x:c r="D523" s="11" t="str">
        <x:v>2039-12-31</x:v>
      </x:c>
      <x:c r="E523" s="11" t="str">
        <x:v>USD</x:v>
      </x:c>
      <x:c r="F523" s="11" t="n">
        <x:v>12.999315537303216</x:v>
      </x:c>
      <x:c r="G523" s="26" t="b">
        <x:v>1</x:v>
      </x:c>
      <x:c r="H523" s="16" t="n">
        <x:v>0.14</x:v>
      </x:c>
      <x:c r="I523" s="16" t="n">
        <x:v>0.42000000000000004</x:v>
      </x:c>
      <x:c r="J523" s="16" t="n">
        <x:v>0.4320000000000001</x:v>
      </x:c>
      <x:c r="K523" s="11" t="n">
        <x:f>CHOOSE('假设'!$B$3,H523,I523,J523)</x:f>
        <x:v>0.42000000000000004</x:v>
      </x:c>
      <x:c r="L523" s="11" t="n">
        <x:f>K523*'管线假设'!E131*'管线假设'!F131*'管线假设'!G131*IF(E523="USD",'管线假设'!I131,1)-AM523</x:f>
        <x:v>0.19180324800000004</x:v>
      </x:c>
      <x:c r="M523" s="11" t="n">
        <x:f>'管线假设'!H131</x:f>
        <x:v>0.125</x:v>
      </x:c>
      <x:c r="N523" s="11" t="n">
        <x:f>IF(G523,L523*AN523/(1+M523)^F523,0)</x:f>
        <x:v>0.04148663184695502</x:v>
      </x:c>
      <x:c r="AJ523" t="n">
        <x:v>0</x:v>
      </x:c>
      <x:c r="AK523" t="n">
        <x:v>0</x:v>
      </x:c>
      <x:c r="AL523" t="n">
        <x:v>0</x:v>
      </x:c>
      <x:c r="AM523" t="n">
        <x:f>CHOOSE('假设'!$B$3,AJ523,AK523,AL523)</x:f>
        <x:v>0</x:v>
      </x:c>
      <x:c r="AN523" t="n">
        <x:v>1</x:v>
      </x:c>
    </x:row>
    <x:row r="524" ht="23" customHeight="1">
      <x:c r="A524" s="11" t="str">
        <x:v>688192.SH</x:v>
      </x:c>
      <x:c r="B524" s="11" t="str">
        <x:v>2026年底</x:v>
      </x:c>
      <x:c r="C524" s="11" t="str">
        <x:v>sun_first</x:v>
      </x:c>
      <x:c r="D524" s="11" t="str">
        <x:v>2040-12-31</x:v>
      </x:c>
      <x:c r="E524" s="11" t="str">
        <x:v>USD</x:v>
      </x:c>
      <x:c r="F524" s="11" t="n">
        <x:v>14.001368925393566</x:v>
      </x:c>
      <x:c r="G524" s="26" t="b">
        <x:v>1</x:v>
      </x:c>
      <x:c r="H524" s="16" t="n">
        <x:v>0.08000000000000002</x:v>
      </x:c>
      <x:c r="I524" s="16" t="n">
        <x:v>0.24000000000000005</x:v>
      </x:c>
      <x:c r="J524" s="16" t="n">
        <x:v>0.10800000000000011</x:v>
      </x:c>
      <x:c r="K524" s="11" t="n">
        <x:f>CHOOSE('假设'!$B$3,H524,I524,J524)</x:f>
        <x:v>0.24000000000000005</x:v>
      </x:c>
      <x:c r="L524" s="11" t="n">
        <x:f>K524*'管线假设'!E131*'管线假设'!F131*'管线假设'!G131*IF(E524="USD",'管线假设'!I131,1)-AM524</x:f>
        <x:v>0.10960185600000003</x:v>
      </x:c>
      <x:c r="M524" s="11" t="n">
        <x:f>'管线假设'!H131</x:f>
        <x:v>0.125</x:v>
      </x:c>
      <x:c r="N524" s="11" t="n">
        <x:f>IF(G524,L524*AN524/(1+M524)^F524,0)</x:f>
        <x:v>0.021067479030156613</x:v>
      </x:c>
      <x:c r="AJ524" t="n">
        <x:v>0</x:v>
      </x:c>
      <x:c r="AK524" t="n">
        <x:v>0</x:v>
      </x:c>
      <x:c r="AL524" t="n">
        <x:v>0</x:v>
      </x:c>
      <x:c r="AM524" t="n">
        <x:f>CHOOSE('假设'!$B$3,AJ524,AK524,AL524)</x:f>
        <x:v>0</x:v>
      </x:c>
      <x:c r="AN524" t="n">
        <x:v>1</x:v>
      </x:c>
    </x:row>
    <x:row r="525" ht="23" customHeight="1">
      <x:c r="A525" s="11" t="str">
        <x:v>688192.SH</x:v>
      </x:c>
      <x:c r="B525" s="11" t="str">
        <x:v>2026年底</x:v>
      </x:c>
      <x:c r="C525" s="11" t="str">
        <x:v>sun_first</x:v>
      </x:c>
      <x:c r="D525" s="11" t="str">
        <x:v>2041-12-31</x:v>
      </x:c>
      <x:c r="E525" s="11" t="str">
        <x:v>USD</x:v>
      </x:c>
      <x:c r="F525" s="11" t="n">
        <x:v>15.000684462696784</x:v>
      </x:c>
      <x:c r="G525" s="26" t="b">
        <x:v>1</x:v>
      </x:c>
      <x:c r="H525" s="16" t="n">
        <x:v>0.020000000000000018</x:v>
      </x:c>
      <x:c r="I525" s="16" t="n">
        <x:v>0.06000000000000005</x:v>
      </x:c>
      <x:c r="J525" s="16" t="n">
        <x:v>0</x:v>
      </x:c>
      <x:c r="K525" s="11" t="n">
        <x:f>CHOOSE('假设'!$B$3,H525,I525,J525)</x:f>
        <x:v>0.06000000000000005</x:v>
      </x:c>
      <x:c r="L525" s="11" t="n">
        <x:f>K525*'管线假设'!E131*'管线假设'!F131*'管线假设'!G131*IF(E525="USD",'管线假设'!I131,1)-AM525</x:f>
        <x:v>0.02740046400000003</x:v>
      </x:c>
      <x:c r="M525" s="11" t="n">
        <x:f>'管线假设'!H131</x:f>
        <x:v>0.125</x:v>
      </x:c>
      <x:c r="N525" s="11" t="n">
        <x:f>IF(G525,L525*AN525/(1+M525)^F525,0)</x:f>
        <x:v>0.004682039448584357</x:v>
      </x:c>
      <x:c r="AJ525" t="n">
        <x:v>0</x:v>
      </x:c>
      <x:c r="AK525" t="n">
        <x:v>0</x:v>
      </x:c>
      <x:c r="AL525" t="n">
        <x:v>0</x:v>
      </x:c>
      <x:c r="AM525" t="n">
        <x:f>CHOOSE('假设'!$B$3,AJ525,AK525,AL525)</x:f>
        <x:v>0</x:v>
      </x:c>
      <x:c r="AN525" t="n">
        <x:v>1</x:v>
      </x:c>
    </x:row>
    <x:row r="526" ht="23" customHeight="1">
      <x:c r="A526" s="11" t="str">
        <x:v>688192.SH</x:v>
      </x:c>
      <x:c r="B526" s="11" t="str">
        <x:v>2026年底</x:v>
      </x:c>
      <x:c r="C526" s="11" t="str">
        <x:v>sun_first</x:v>
      </x:c>
      <x:c r="D526" s="11" t="str">
        <x:v>2042-12-31</x:v>
      </x:c>
      <x:c r="E526" s="11" t="str">
        <x:v>USD</x:v>
      </x:c>
      <x:c r="F526" s="11" t="n">
        <x:v>16</x:v>
      </x:c>
      <x:c r="G526" s="26" t="b">
        <x:v>1</x:v>
      </x:c>
      <x:c r="H526" s="16" t="n">
        <x:v>0</x:v>
      </x:c>
      <x:c r="I526" s="16" t="n">
        <x:v>0</x:v>
      </x:c>
      <x:c r="J526" s="16" t="n">
        <x:v>0</x:v>
      </x:c>
      <x:c r="K526" s="11" t="n">
        <x:f>CHOOSE('假设'!$B$3,H526,I526,J526)</x:f>
        <x:v>0</x:v>
      </x:c>
      <x:c r="L526" s="11" t="n">
        <x:f>K526*'管线假设'!E131*'管线假设'!F131*'管线假设'!G131*IF(E526="USD",'管线假设'!I131,1)-AM526</x:f>
        <x:v>0</x:v>
      </x:c>
      <x:c r="M526" s="11" t="n">
        <x:f>'管线假设'!H131</x:f>
        <x:v>0.125</x:v>
      </x:c>
      <x:c r="N526" s="11" t="n">
        <x:f>IF(G526,L526*AN526/(1+M526)^F526,0)</x:f>
        <x:v>0</x:v>
      </x:c>
      <x:c r="AJ526" t="n">
        <x:v>0</x:v>
      </x:c>
      <x:c r="AK526" t="n">
        <x:v>0</x:v>
      </x:c>
      <x:c r="AL526" t="n">
        <x:v>0</x:v>
      </x:c>
      <x:c r="AM526" t="n">
        <x:f>CHOOSE('假设'!$B$3,AJ526,AK526,AL526)</x:f>
        <x:v>0</x:v>
      </x:c>
      <x:c r="AN526" t="n">
        <x:v>1</x:v>
      </x:c>
    </x:row>
    <x:row r="527" ht="23" customHeight="1">
      <x:c r="A527" s="11" t="str">
        <x:v>688192.SH</x:v>
      </x:c>
      <x:c r="B527" s="11" t="str">
        <x:v>2026年底</x:v>
      </x:c>
      <x:c r="C527" s="11" t="str">
        <x:v>sun_first</x:v>
      </x:c>
      <x:c r="D527" s="11" t="str">
        <x:v>2043-12-31</x:v>
      </x:c>
      <x:c r="E527" s="11" t="str">
        <x:v>USD</x:v>
      </x:c>
      <x:c r="F527" s="11" t="n">
        <x:v>16.999315537303218</x:v>
      </x:c>
      <x:c r="G527" s="26" t="b">
        <x:v>1</x:v>
      </x:c>
      <x:c r="H527" s="16" t="n">
        <x:v>0</x:v>
      </x:c>
      <x:c r="I527" s="16" t="n">
        <x:v>0</x:v>
      </x:c>
      <x:c r="J527" s="16" t="n">
        <x:v>0</x:v>
      </x:c>
      <x:c r="K527" s="11" t="n">
        <x:f>CHOOSE('假设'!$B$3,H527,I527,J527)</x:f>
        <x:v>0</x:v>
      </x:c>
      <x:c r="L527" s="11" t="n">
        <x:f>K527*'管线假设'!E131*'管线假设'!F131*'管线假设'!G131*IF(E527="USD",'管线假设'!I131,1)-AM527</x:f>
        <x:v>0</x:v>
      </x:c>
      <x:c r="M527" s="11" t="n">
        <x:f>'管线假设'!H131</x:f>
        <x:v>0.125</x:v>
      </x:c>
      <x:c r="N527" s="11" t="n">
        <x:f>IF(G527,L527*AN527/(1+M527)^F527,0)</x:f>
        <x:v>0</x:v>
      </x:c>
      <x:c r="AJ527" t="n">
        <x:v>0</x:v>
      </x:c>
      <x:c r="AK527" t="n">
        <x:v>0</x:v>
      </x:c>
      <x:c r="AL527" t="n">
        <x:v>0</x:v>
      </x:c>
      <x:c r="AM527" t="n">
        <x:f>CHOOSE('假设'!$B$3,AJ527,AK527,AL527)</x:f>
        <x:v>0</x:v>
      </x:c>
      <x:c r="AN527" t="n">
        <x:v>1</x:v>
      </x:c>
    </x:row>
    <x:row r="528" ht="23" customHeight="1">
      <x:c r="A528" s="11" t="str">
        <x:v>688192.SH</x:v>
      </x:c>
      <x:c r="B528" s="11" t="str">
        <x:v>2026年底</x:v>
      </x:c>
      <x:c r="C528" s="11" t="str">
        <x:v>sun_first</x:v>
      </x:c>
      <x:c r="D528" s="11" t="str">
        <x:v>2044-12-31</x:v>
      </x:c>
      <x:c r="E528" s="11" t="str">
        <x:v>USD</x:v>
      </x:c>
      <x:c r="F528" s="11" t="n">
        <x:v>18.001368925393567</x:v>
      </x:c>
      <x:c r="G528" s="26" t="b">
        <x:v>1</x:v>
      </x:c>
      <x:c r="H528" s="16" t="n">
        <x:v>0</x:v>
      </x:c>
      <x:c r="I528" s="16" t="n">
        <x:v>0</x:v>
      </x:c>
      <x:c r="J528" s="16" t="n">
        <x:v>0</x:v>
      </x:c>
      <x:c r="K528" s="11" t="n">
        <x:f>CHOOSE('假设'!$B$3,H528,I528,J528)</x:f>
        <x:v>0</x:v>
      </x:c>
      <x:c r="L528" s="11" t="n">
        <x:f>K528*'管线假设'!E131*'管线假设'!F131*'管线假设'!G131*IF(E528="USD",'管线假设'!I131,1)-AM528</x:f>
        <x:v>0</x:v>
      </x:c>
      <x:c r="M528" s="11" t="n">
        <x:f>'管线假设'!H131</x:f>
        <x:v>0.125</x:v>
      </x:c>
      <x:c r="N528" s="11" t="n">
        <x:f>IF(G528,L528*AN528/(1+M528)^F528,0)</x:f>
        <x:v>0</x:v>
      </x:c>
      <x:c r="AJ528" t="n">
        <x:v>0</x:v>
      </x:c>
      <x:c r="AK528" t="n">
        <x:v>0</x:v>
      </x:c>
      <x:c r="AL528" t="n">
        <x:v>0</x:v>
      </x:c>
      <x:c r="AM528" t="n">
        <x:f>CHOOSE('假设'!$B$3,AJ528,AK528,AL528)</x:f>
        <x:v>0</x:v>
      </x:c>
      <x:c r="AN528" t="n">
        <x:v>1</x:v>
      </x:c>
    </x:row>
    <x:row r="529" ht="23" customHeight="1">
      <x:c r="A529" s="11" t="str">
        <x:v>688192.SH</x:v>
      </x:c>
      <x:c r="B529" s="11" t="str">
        <x:v>2026年底</x:v>
      </x:c>
      <x:c r="C529" s="11" t="str">
        <x:v>sun_first</x:v>
      </x:c>
      <x:c r="D529" s="11" t="str">
        <x:v>2045-12-31</x:v>
      </x:c>
      <x:c r="E529" s="11" t="str">
        <x:v>USD</x:v>
      </x:c>
      <x:c r="F529" s="11" t="n">
        <x:v>19.000684462696782</x:v>
      </x:c>
      <x:c r="G529" s="26" t="b">
        <x:v>1</x:v>
      </x:c>
      <x:c r="H529" s="16" t="n">
        <x:v>0</x:v>
      </x:c>
      <x:c r="I529" s="16" t="n">
        <x:v>0</x:v>
      </x:c>
      <x:c r="J529" s="16" t="n">
        <x:v>0</x:v>
      </x:c>
      <x:c r="K529" s="11" t="n">
        <x:f>CHOOSE('假设'!$B$3,H529,I529,J529)</x:f>
        <x:v>0</x:v>
      </x:c>
      <x:c r="L529" s="11" t="n">
        <x:f>K529*'管线假设'!E131*'管线假设'!F131*'管线假设'!G131*IF(E529="USD",'管线假设'!I131,1)-AM529</x:f>
        <x:v>0</x:v>
      </x:c>
      <x:c r="M529" s="11" t="n">
        <x:f>'管线假设'!H131</x:f>
        <x:v>0.125</x:v>
      </x:c>
      <x:c r="N529" s="11" t="n">
        <x:f>IF(G529,L529*AN529/(1+M529)^F529,0)</x:f>
        <x:v>0</x:v>
      </x:c>
      <x:c r="AJ529" t="n">
        <x:v>0</x:v>
      </x:c>
      <x:c r="AK529" t="n">
        <x:v>0</x:v>
      </x:c>
      <x:c r="AL529" t="n">
        <x:v>0</x:v>
      </x:c>
      <x:c r="AM529" t="n">
        <x:f>CHOOSE('假设'!$B$3,AJ529,AK529,AL529)</x:f>
        <x:v>0</x:v>
      </x:c>
      <x:c r="AN529" t="n">
        <x:v>1</x:v>
      </x:c>
    </x:row>
    <x:row r="530" ht="23" customHeight="1">
      <x:c r="A530" s="11" t="str">
        <x:v>688192.SH</x:v>
      </x:c>
      <x:c r="B530" s="11" t="str">
        <x:v>2026年底</x:v>
      </x:c>
      <x:c r="C530" s="11" t="str">
        <x:v>goli_rr</x:v>
      </x:c>
      <x:c r="D530" s="11" t="str">
        <x:v>2027-12-31</x:v>
      </x:c>
      <x:c r="E530" s="11" t="str">
        <x:v>CNY</x:v>
      </x:c>
      <x:c r="F530" s="11" t="n">
        <x:v>0.999315537303217</x:v>
      </x:c>
      <x:c r="G530" s="26" t="b">
        <x:v>1</x:v>
      </x:c>
      <x:c r="H530" s="16" t="n">
        <x:v>0.10833333333333334</x:v>
      </x:c>
      <x:c r="I530" s="16" t="n">
        <x:v>0.19999999999999998</x:v>
      </x:c>
      <x:c r="J530" s="16" t="n">
        <x:v>0.36000000000000004</x:v>
      </x:c>
      <x:c r="K530" s="11" t="n">
        <x:f>CHOOSE('假设'!$B$3,H530,I530,J530)</x:f>
        <x:v>0.19999999999999998</x:v>
      </x:c>
      <x:c r="L530" s="11" t="n">
        <x:f>K530*'管线假设'!E135*'管线假设'!F135*'管线假设'!G135*IF(E530="USD",'管线假设'!I135,1)-AM530</x:f>
        <x:v>0.066</x:v>
      </x:c>
      <x:c r="M530" s="11" t="n">
        <x:f>'管线假设'!H135</x:f>
        <x:v>0.125</x:v>
      </x:c>
      <x:c r="N530" s="11" t="n">
        <x:f>IF(G530,L530*AN530/(1+M530)^F530,0)</x:f>
        <x:v>0.05867139645217819</x:v>
      </x:c>
      <x:c r="AJ530" t="n">
        <x:v>0</x:v>
      </x:c>
      <x:c r="AK530" t="n">
        <x:v>0</x:v>
      </x:c>
      <x:c r="AL530" t="n">
        <x:v>0</x:v>
      </x:c>
      <x:c r="AM530" t="n">
        <x:f>CHOOSE('假设'!$B$3,AJ530,AK530,AL530)</x:f>
        <x:v>0</x:v>
      </x:c>
      <x:c r="AN530" t="n">
        <x:v>1</x:v>
      </x:c>
    </x:row>
    <x:row r="531" ht="23" customHeight="1">
      <x:c r="A531" s="11" t="str">
        <x:v>688192.SH</x:v>
      </x:c>
      <x:c r="B531" s="11" t="str">
        <x:v>2026年底</x:v>
      </x:c>
      <x:c r="C531" s="11" t="str">
        <x:v>goli_rr</x:v>
      </x:c>
      <x:c r="D531" s="11" t="str">
        <x:v>2028-12-31</x:v>
      </x:c>
      <x:c r="E531" s="11" t="str">
        <x:v>CNY</x:v>
      </x:c>
      <x:c r="F531" s="11" t="n">
        <x:v>2.001368925393566</x:v>
      </x:c>
      <x:c r="G531" s="26" t="b">
        <x:v>1</x:v>
      </x:c>
      <x:c r="H531" s="16" t="n">
        <x:v>0.21666666666666667</x:v>
      </x:c>
      <x:c r="I531" s="16" t="n">
        <x:v>0.39999999999999997</x:v>
      </x:c>
      <x:c r="J531" s="16" t="n">
        <x:v>0.7200000000000001</x:v>
      </x:c>
      <x:c r="K531" s="11" t="n">
        <x:f>CHOOSE('假设'!$B$3,H531,I531,J531)</x:f>
        <x:v>0.39999999999999997</x:v>
      </x:c>
      <x:c r="L531" s="11" t="n">
        <x:f>K531*'管线假设'!E135*'管线假设'!F135*'管线假设'!G135*IF(E531="USD",'管线假设'!I135,1)-AM531</x:f>
        <x:v>0.132</x:v>
      </x:c>
      <x:c r="M531" s="11" t="n">
        <x:f>'管线假设'!H135</x:f>
        <x:v>0.125</x:v>
      </x:c>
      <x:c r="N531" s="11" t="n">
        <x:f>IF(G531,L531*AN531/(1+M531)^F531,0)</x:f>
        <x:v>0.10427948131464115</x:v>
      </x:c>
      <x:c r="AJ531" t="n">
        <x:v>0</x:v>
      </x:c>
      <x:c r="AK531" t="n">
        <x:v>0</x:v>
      </x:c>
      <x:c r="AL531" t="n">
        <x:v>0</x:v>
      </x:c>
      <x:c r="AM531" t="n">
        <x:f>CHOOSE('假设'!$B$3,AJ531,AK531,AL531)</x:f>
        <x:v>0</x:v>
      </x:c>
      <x:c r="AN531" t="n">
        <x:v>1</x:v>
      </x:c>
    </x:row>
    <x:row r="532" ht="23" customHeight="1">
      <x:c r="A532" s="11" t="str">
        <x:v>688192.SH</x:v>
      </x:c>
      <x:c r="B532" s="11" t="str">
        <x:v>2026年底</x:v>
      </x:c>
      <x:c r="C532" s="11" t="str">
        <x:v>goli_rr</x:v>
      </x:c>
      <x:c r="D532" s="11" t="str">
        <x:v>2029-12-31</x:v>
      </x:c>
      <x:c r="E532" s="11" t="str">
        <x:v>CNY</x:v>
      </x:c>
      <x:c r="F532" s="11" t="n">
        <x:v>3.0006844626967832</x:v>
      </x:c>
      <x:c r="G532" s="26" t="b">
        <x:v>1</x:v>
      </x:c>
      <x:c r="H532" s="16" t="n">
        <x:v>0.325</x:v>
      </x:c>
      <x:c r="I532" s="16" t="n">
        <x:v>0.6</x:v>
      </x:c>
      <x:c r="J532" s="16" t="n">
        <x:v>1.08</x:v>
      </x:c>
      <x:c r="K532" s="11" t="n">
        <x:f>CHOOSE('假设'!$B$3,H532,I532,J532)</x:f>
        <x:v>0.6</x:v>
      </x:c>
      <x:c r="L532" s="11" t="n">
        <x:f>K532*'管线假设'!E135*'管线假设'!F135*'管线假设'!G135*IF(E532="USD",'管线假设'!I135,1)-AM532</x:f>
        <x:v>0.198</x:v>
      </x:c>
      <x:c r="M532" s="11" t="n">
        <x:f>'管线假设'!H135</x:f>
        <x:v>0.125</x:v>
      </x:c>
      <x:c r="N532" s="11" t="n">
        <x:f>IF(G532,L532*AN532/(1+M532)^F532,0)</x:f>
        <x:v>0.1390505179554277</x:v>
      </x:c>
      <x:c r="AJ532" t="n">
        <x:v>0</x:v>
      </x:c>
      <x:c r="AK532" t="n">
        <x:v>0</x:v>
      </x:c>
      <x:c r="AL532" t="n">
        <x:v>0</x:v>
      </x:c>
      <x:c r="AM532" t="n">
        <x:f>CHOOSE('假设'!$B$3,AJ532,AK532,AL532)</x:f>
        <x:v>0</x:v>
      </x:c>
      <x:c r="AN532" t="n">
        <x:v>1</x:v>
      </x:c>
    </x:row>
    <x:row r="533" ht="23" customHeight="1">
      <x:c r="A533" s="11" t="str">
        <x:v>688192.SH</x:v>
      </x:c>
      <x:c r="B533" s="11" t="str">
        <x:v>2026年底</x:v>
      </x:c>
      <x:c r="C533" s="11" t="str">
        <x:v>goli_rr</x:v>
      </x:c>
      <x:c r="D533" s="11" t="str">
        <x:v>2030-12-31</x:v>
      </x:c>
      <x:c r="E533" s="11" t="str">
        <x:v>CNY</x:v>
      </x:c>
      <x:c r="F533" s="11" t="n">
        <x:v>4</x:v>
      </x:c>
      <x:c r="G533" s="26" t="b">
        <x:v>1</x:v>
      </x:c>
      <x:c r="H533" s="16" t="n">
        <x:v>0.43333333333333335</x:v>
      </x:c>
      <x:c r="I533" s="16" t="n">
        <x:v>0.7999999999999999</x:v>
      </x:c>
      <x:c r="J533" s="16" t="n">
        <x:v>1.4400000000000002</x:v>
      </x:c>
      <x:c r="K533" s="11" t="n">
        <x:f>CHOOSE('假设'!$B$3,H533,I533,J533)</x:f>
        <x:v>0.7999999999999999</x:v>
      </x:c>
      <x:c r="L533" s="11" t="n">
        <x:f>K533*'管线假设'!E135*'管线假设'!F135*'管线假设'!G135*IF(E533="USD",'管线假设'!I135,1)-AM533</x:f>
        <x:v>0.264</x:v>
      </x:c>
      <x:c r="M533" s="11" t="n">
        <x:f>'管线假设'!H135</x:f>
        <x:v>0.125</x:v>
      </x:c>
      <x:c r="N533" s="11" t="n">
        <x:f>IF(G533,L533*AN533/(1+M533)^F533,0)</x:f>
        <x:v>0.16481390032007318</x:v>
      </x:c>
      <x:c r="AJ533" t="n">
        <x:v>0</x:v>
      </x:c>
      <x:c r="AK533" t="n">
        <x:v>0</x:v>
      </x:c>
      <x:c r="AL533" t="n">
        <x:v>0</x:v>
      </x:c>
      <x:c r="AM533" t="n">
        <x:f>CHOOSE('假设'!$B$3,AJ533,AK533,AL533)</x:f>
        <x:v>0</x:v>
      </x:c>
      <x:c r="AN533" t="n">
        <x:v>1</x:v>
      </x:c>
    </x:row>
    <x:row r="534" ht="23" customHeight="1">
      <x:c r="A534" s="11" t="str">
        <x:v>688192.SH</x:v>
      </x:c>
      <x:c r="B534" s="11" t="str">
        <x:v>2026年底</x:v>
      </x:c>
      <x:c r="C534" s="11" t="str">
        <x:v>goli_rr</x:v>
      </x:c>
      <x:c r="D534" s="11" t="str">
        <x:v>2031-12-31</x:v>
      </x:c>
      <x:c r="E534" s="11" t="str">
        <x:v>CNY</x:v>
      </x:c>
      <x:c r="F534" s="11" t="n">
        <x:v>4.999315537303217</x:v>
      </x:c>
      <x:c r="G534" s="26" t="b">
        <x:v>1</x:v>
      </x:c>
      <x:c r="H534" s="16" t="n">
        <x:v>0.5416666666666667</x:v>
      </x:c>
      <x:c r="I534" s="16" t="n">
        <x:v>1</x:v>
      </x:c>
      <x:c r="J534" s="16" t="n">
        <x:v>1.8</x:v>
      </x:c>
      <x:c r="K534" s="11" t="n">
        <x:f>CHOOSE('假设'!$B$3,H534,I534,J534)</x:f>
        <x:v>1</x:v>
      </x:c>
      <x:c r="L534" s="11" t="n">
        <x:f>K534*'管线假设'!E135*'管线假设'!F135*'管线假设'!G135*IF(E534="USD",'管线假设'!I135,1)-AM534</x:f>
        <x:v>0.33</x:v>
      </x:c>
      <x:c r="M534" s="11" t="n">
        <x:f>'管线假设'!H135</x:f>
        <x:v>0.125</x:v>
      </x:c>
      <x:c r="N534" s="11" t="n">
        <x:f>IF(G534,L534*AN534/(1+M534)^F534,0)</x:f>
        <x:v>0.18314131982024226</x:v>
      </x:c>
      <x:c r="AJ534" t="n">
        <x:v>0</x:v>
      </x:c>
      <x:c r="AK534" t="n">
        <x:v>0</x:v>
      </x:c>
      <x:c r="AL534" t="n">
        <x:v>0</x:v>
      </x:c>
      <x:c r="AM534" t="n">
        <x:f>CHOOSE('假设'!$B$3,AJ534,AK534,AL534)</x:f>
        <x:v>0</x:v>
      </x:c>
      <x:c r="AN534" t="n">
        <x:v>1</x:v>
      </x:c>
    </x:row>
    <x:row r="535" ht="23" customHeight="1">
      <x:c r="A535" s="11" t="str">
        <x:v>688192.SH</x:v>
      </x:c>
      <x:c r="B535" s="11" t="str">
        <x:v>2026年底</x:v>
      </x:c>
      <x:c r="C535" s="11" t="str">
        <x:v>goli_rr</x:v>
      </x:c>
      <x:c r="D535" s="11" t="str">
        <x:v>2032-12-31</x:v>
      </x:c>
      <x:c r="E535" s="11" t="str">
        <x:v>CNY</x:v>
      </x:c>
      <x:c r="F535" s="11" t="n">
        <x:v>6.0013689253935665</x:v>
      </x:c>
      <x:c r="G535" s="26" t="b">
        <x:v>1</x:v>
      </x:c>
      <x:c r="H535" s="16" t="n">
        <x:v>0.65</x:v>
      </x:c>
      <x:c r="I535" s="16" t="n">
        <x:v>1.2</x:v>
      </x:c>
      <x:c r="J535" s="16" t="n">
        <x:v>1.584</x:v>
      </x:c>
      <x:c r="K535" s="11" t="n">
        <x:f>CHOOSE('假设'!$B$3,H535,I535,J535)</x:f>
        <x:v>1.2</x:v>
      </x:c>
      <x:c r="L535" s="11" t="n">
        <x:f>K535*'管线假设'!E135*'管线假设'!F135*'管线假设'!G135*IF(E535="USD",'管线假设'!I135,1)-AM535</x:f>
        <x:v>0.396</x:v>
      </x:c>
      <x:c r="M535" s="11" t="n">
        <x:f>'管线假设'!H135</x:f>
        <x:v>0.125</x:v>
      </x:c>
      <x:c r="N535" s="11" t="n">
        <x:f>IF(G535,L535*AN535/(1+M535)^F535,0)</x:f>
        <x:v>0.1953035004411386</x:v>
      </x:c>
      <x:c r="AJ535" t="n">
        <x:v>0</x:v>
      </x:c>
      <x:c r="AK535" t="n">
        <x:v>0</x:v>
      </x:c>
      <x:c r="AL535" t="n">
        <x:v>0</x:v>
      </x:c>
      <x:c r="AM535" t="n">
        <x:f>CHOOSE('假设'!$B$3,AJ535,AK535,AL535)</x:f>
        <x:v>0</x:v>
      </x:c>
      <x:c r="AN535" t="n">
        <x:v>1</x:v>
      </x:c>
    </x:row>
    <x:row r="536" ht="23" customHeight="1">
      <x:c r="A536" s="11" t="str">
        <x:v>688192.SH</x:v>
      </x:c>
      <x:c r="B536" s="11" t="str">
        <x:v>2026年底</x:v>
      </x:c>
      <x:c r="C536" s="11" t="str">
        <x:v>goli_rr</x:v>
      </x:c>
      <x:c r="D536" s="11" t="str">
        <x:v>2033-12-31</x:v>
      </x:c>
      <x:c r="E536" s="11" t="str">
        <x:v>CNY</x:v>
      </x:c>
      <x:c r="F536" s="11" t="n">
        <x:v>7.000684462696783</x:v>
      </x:c>
      <x:c r="G536" s="26" t="b">
        <x:v>1</x:v>
      </x:c>
      <x:c r="H536" s="16" t="n">
        <x:v>0.5720000000000001</x:v>
      </x:c>
      <x:c r="I536" s="16" t="n">
        <x:v>1.056</x:v>
      </x:c>
      <x:c r="J536" s="16" t="n">
        <x:v>1.368</x:v>
      </x:c>
      <x:c r="K536" s="11" t="n">
        <x:f>CHOOSE('假设'!$B$3,H536,I536,J536)</x:f>
        <x:v>1.056</x:v>
      </x:c>
      <x:c r="L536" s="11" t="n">
        <x:f>K536*'管线假设'!E135*'管线假设'!F135*'管线假设'!G135*IF(E536="USD",'管线假设'!I135,1)-AM536</x:f>
        <x:v>0.34848</x:v>
      </x:c>
      <x:c r="M536" s="11" t="n">
        <x:f>'管线假设'!H135</x:f>
        <x:v>0.125</x:v>
      </x:c>
      <x:c r="N536" s="11" t="n">
        <x:f>IF(G536,L536*AN536/(1+M536)^F536,0)</x:f>
        <x:v>0.15278305470506937</x:v>
      </x:c>
      <x:c r="AJ536" t="n">
        <x:v>0</x:v>
      </x:c>
      <x:c r="AK536" t="n">
        <x:v>0</x:v>
      </x:c>
      <x:c r="AL536" t="n">
        <x:v>0</x:v>
      </x:c>
      <x:c r="AM536" t="n">
        <x:f>CHOOSE('假设'!$B$3,AJ536,AK536,AL536)</x:f>
        <x:v>0</x:v>
      </x:c>
      <x:c r="AN536" t="n">
        <x:v>1</x:v>
      </x:c>
    </x:row>
    <x:row r="537" ht="23" customHeight="1">
      <x:c r="A537" s="11" t="str">
        <x:v>688192.SH</x:v>
      </x:c>
      <x:c r="B537" s="11" t="str">
        <x:v>2026年底</x:v>
      </x:c>
      <x:c r="C537" s="11" t="str">
        <x:v>goli_rr</x:v>
      </x:c>
      <x:c r="D537" s="11" t="str">
        <x:v>2034-12-31</x:v>
      </x:c>
      <x:c r="E537" s="11" t="str">
        <x:v>CNY</x:v>
      </x:c>
      <x:c r="F537" s="11" t="n">
        <x:v>8</x:v>
      </x:c>
      <x:c r="G537" s="26" t="b">
        <x:v>1</x:v>
      </x:c>
      <x:c r="H537" s="16" t="n">
        <x:v>0.49400000000000005</x:v>
      </x:c>
      <x:c r="I537" s="16" t="n">
        <x:v>0.9119999999999999</x:v>
      </x:c>
      <x:c r="J537" s="16" t="n">
        <x:v>1.1520000000000001</x:v>
      </x:c>
      <x:c r="K537" s="11" t="n">
        <x:f>CHOOSE('假设'!$B$3,H537,I537,J537)</x:f>
        <x:v>0.9119999999999999</x:v>
      </x:c>
      <x:c r="L537" s="11" t="n">
        <x:f>K537*'管线假设'!E135*'管线假设'!F135*'管线假设'!G135*IF(E537="USD",'管线假设'!I135,1)-AM537</x:f>
        <x:v>0.30096</x:v>
      </x:c>
      <x:c r="M537" s="11" t="n">
        <x:f>'管线假设'!H135</x:f>
        <x:v>0.125</x:v>
      </x:c>
      <x:c r="N537" s="11" t="n">
        <x:f>IF(G537,L537*AN537/(1+M537)^F537,0)</x:f>
        <x:v>0.11729745750808755</x:v>
      </x:c>
      <x:c r="AJ537" t="n">
        <x:v>0</x:v>
      </x:c>
      <x:c r="AK537" t="n">
        <x:v>0</x:v>
      </x:c>
      <x:c r="AL537" t="n">
        <x:v>0</x:v>
      </x:c>
      <x:c r="AM537" t="n">
        <x:f>CHOOSE('假设'!$B$3,AJ537,AK537,AL537)</x:f>
        <x:v>0</x:v>
      </x:c>
      <x:c r="AN537" t="n">
        <x:v>1</x:v>
      </x:c>
    </x:row>
    <x:row r="538" ht="23" customHeight="1">
      <x:c r="A538" s="11" t="str">
        <x:v>688192.SH</x:v>
      </x:c>
      <x:c r="B538" s="11" t="str">
        <x:v>2026年底</x:v>
      </x:c>
      <x:c r="C538" s="11" t="str">
        <x:v>goli_rr</x:v>
      </x:c>
      <x:c r="D538" s="11" t="str">
        <x:v>2035-12-31</x:v>
      </x:c>
      <x:c r="E538" s="11" t="str">
        <x:v>CNY</x:v>
      </x:c>
      <x:c r="F538" s="11" t="n">
        <x:v>8.999315537303216</x:v>
      </x:c>
      <x:c r="G538" s="26" t="b">
        <x:v>1</x:v>
      </x:c>
      <x:c r="H538" s="16" t="n">
        <x:v>0.41600000000000004</x:v>
      </x:c>
      <x:c r="I538" s="16" t="n">
        <x:v>0.768</x:v>
      </x:c>
      <x:c r="J538" s="16" t="n">
        <x:v>0.936</x:v>
      </x:c>
      <x:c r="K538" s="11" t="n">
        <x:f>CHOOSE('假设'!$B$3,H538,I538,J538)</x:f>
        <x:v>0.768</x:v>
      </x:c>
      <x:c r="L538" s="11" t="n">
        <x:f>K538*'管线假设'!E135*'管线假设'!F135*'管线假设'!G135*IF(E538="USD",'管线假设'!I135,1)-AM538</x:f>
        <x:v>0.25344</x:v>
      </x:c>
      <x:c r="M538" s="11" t="n">
        <x:f>'管线假设'!H135</x:f>
        <x:v>0.125</x:v>
      </x:c>
      <x:c r="N538" s="11" t="n">
        <x:f>IF(G538,L538*AN538/(1+M538)^F538,0)</x:f>
        <x:v>0.0878086843035347</x:v>
      </x:c>
      <x:c r="AJ538" t="n">
        <x:v>0</x:v>
      </x:c>
      <x:c r="AK538" t="n">
        <x:v>0</x:v>
      </x:c>
      <x:c r="AL538" t="n">
        <x:v>0</x:v>
      </x:c>
      <x:c r="AM538" t="n">
        <x:f>CHOOSE('假设'!$B$3,AJ538,AK538,AL538)</x:f>
        <x:v>0</x:v>
      </x:c>
      <x:c r="AN538" t="n">
        <x:v>1</x:v>
      </x:c>
    </x:row>
    <x:row r="539" ht="23" customHeight="1">
      <x:c r="A539" s="11" t="str">
        <x:v>688192.SH</x:v>
      </x:c>
      <x:c r="B539" s="11" t="str">
        <x:v>2026年底</x:v>
      </x:c>
      <x:c r="C539" s="11" t="str">
        <x:v>goli_rr</x:v>
      </x:c>
      <x:c r="D539" s="11" t="str">
        <x:v>2036-12-31</x:v>
      </x:c>
      <x:c r="E539" s="11" t="str">
        <x:v>CNY</x:v>
      </x:c>
      <x:c r="F539" s="11" t="n">
        <x:v>10.001368925393566</x:v>
      </x:c>
      <x:c r="G539" s="26" t="b">
        <x:v>1</x:v>
      </x:c>
      <x:c r="H539" s="16" t="n">
        <x:v>0.338</x:v>
      </x:c>
      <x:c r="I539" s="16" t="n">
        <x:v>0.624</x:v>
      </x:c>
      <x:c r="J539" s="16" t="n">
        <x:v>0.7200000000000001</x:v>
      </x:c>
      <x:c r="K539" s="11" t="n">
        <x:f>CHOOSE('假设'!$B$3,H539,I539,J539)</x:f>
        <x:v>0.624</x:v>
      </x:c>
      <x:c r="L539" s="11" t="n">
        <x:f>K539*'管线假设'!E135*'管线假设'!F135*'管线假设'!G135*IF(E539="USD",'管线假设'!I135,1)-AM539</x:f>
        <x:v>0.20592000000000002</x:v>
      </x:c>
      <x:c r="M539" s="11" t="n">
        <x:f>'管线假设'!H135</x:f>
        <x:v>0.125</x:v>
      </x:c>
      <x:c r="N539" s="11" t="n">
        <x:f>IF(G539,L539*AN539/(1+M539)^F539,0)</x:f>
        <x:v>0.06340204719701113</x:v>
      </x:c>
      <x:c r="AJ539" t="n">
        <x:v>0</x:v>
      </x:c>
      <x:c r="AK539" t="n">
        <x:v>0</x:v>
      </x:c>
      <x:c r="AL539" t="n">
        <x:v>0</x:v>
      </x:c>
      <x:c r="AM539" t="n">
        <x:f>CHOOSE('假设'!$B$3,AJ539,AK539,AL539)</x:f>
        <x:v>0</x:v>
      </x:c>
      <x:c r="AN539" t="n">
        <x:v>1</x:v>
      </x:c>
    </x:row>
    <x:row r="540" ht="23" customHeight="1">
      <x:c r="A540" s="11" t="str">
        <x:v>688192.SH</x:v>
      </x:c>
      <x:c r="B540" s="11" t="str">
        <x:v>2026年底</x:v>
      </x:c>
      <x:c r="C540" s="11" t="str">
        <x:v>goli_rr</x:v>
      </x:c>
      <x:c r="D540" s="11" t="str">
        <x:v>2037-12-31</x:v>
      </x:c>
      <x:c r="E540" s="11" t="str">
        <x:v>CNY</x:v>
      </x:c>
      <x:c r="F540" s="11" t="n">
        <x:v>11.000684462696784</x:v>
      </x:c>
      <x:c r="G540" s="26" t="b">
        <x:v>1</x:v>
      </x:c>
      <x:c r="H540" s="16" t="n">
        <x:v>0.26</x:v>
      </x:c>
      <x:c r="I540" s="16" t="n">
        <x:v>0.48</x:v>
      </x:c>
      <x:c r="J540" s="16" t="n">
        <x:v>0.5040000000000001</x:v>
      </x:c>
      <x:c r="K540" s="11" t="n">
        <x:f>CHOOSE('假设'!$B$3,H540,I540,J540)</x:f>
        <x:v>0.48</x:v>
      </x:c>
      <x:c r="L540" s="11" t="n">
        <x:f>K540*'管线假设'!E135*'管线假设'!F135*'管线假设'!G135*IF(E540="USD",'管线假设'!I135,1)-AM540</x:f>
        <x:v>0.1584</x:v>
      </x:c>
      <x:c r="M540" s="11" t="n">
        <x:f>'管线假设'!H135</x:f>
        <x:v>0.125</x:v>
      </x:c>
      <x:c r="N540" s="11" t="n">
        <x:f>IF(G540,L540*AN540/(1+M540)^F540,0)</x:f>
        <x:v>0.04335532222582229</x:v>
      </x:c>
      <x:c r="AJ540" t="n">
        <x:v>0</x:v>
      </x:c>
      <x:c r="AK540" t="n">
        <x:v>0</x:v>
      </x:c>
      <x:c r="AL540" t="n">
        <x:v>0</x:v>
      </x:c>
      <x:c r="AM540" t="n">
        <x:f>CHOOSE('假设'!$B$3,AJ540,AK540,AL540)</x:f>
        <x:v>0</x:v>
      </x:c>
      <x:c r="AN540" t="n">
        <x:v>1</x:v>
      </x:c>
    </x:row>
    <x:row r="541" ht="23" customHeight="1">
      <x:c r="A541" s="11" t="str">
        <x:v>688192.SH</x:v>
      </x:c>
      <x:c r="B541" s="11" t="str">
        <x:v>2026年底</x:v>
      </x:c>
      <x:c r="C541" s="11" t="str">
        <x:v>goli_rr</x:v>
      </x:c>
      <x:c r="D541" s="11" t="str">
        <x:v>2038-12-31</x:v>
      </x:c>
      <x:c r="E541" s="11" t="str">
        <x:v>CNY</x:v>
      </x:c>
      <x:c r="F541" s="11" t="n">
        <x:v>12</x:v>
      </x:c>
      <x:c r="G541" s="26" t="b">
        <x:v>1</x:v>
      </x:c>
      <x:c r="H541" s="16" t="n">
        <x:v>0.18200000000000002</x:v>
      </x:c>
      <x:c r="I541" s="16" t="n">
        <x:v>0.336</x:v>
      </x:c>
      <x:c r="J541" s="16" t="n">
        <x:v>0.2880000000000001</x:v>
      </x:c>
      <x:c r="K541" s="11" t="n">
        <x:f>CHOOSE('假设'!$B$3,H541,I541,J541)</x:f>
        <x:v>0.336</x:v>
      </x:c>
      <x:c r="L541" s="11" t="n">
        <x:f>K541*'管线假设'!E135*'管线假设'!F135*'管线假设'!G135*IF(E541="USD",'管线假设'!I135,1)-AM541</x:f>
        <x:v>0.11088</x:v>
      </x:c>
      <x:c r="M541" s="11" t="n">
        <x:f>'管线假设'!H135</x:f>
        <x:v>0.125</x:v>
      </x:c>
      <x:c r="N541" s="11" t="n">
        <x:f>IF(G541,L541*AN541/(1+M541)^F541,0)</x:f>
        <x:v>0.026978819833881923</x:v>
      </x:c>
      <x:c r="AJ541" t="n">
        <x:v>0</x:v>
      </x:c>
      <x:c r="AK541" t="n">
        <x:v>0</x:v>
      </x:c>
      <x:c r="AL541" t="n">
        <x:v>0</x:v>
      </x:c>
      <x:c r="AM541" t="n">
        <x:f>CHOOSE('假设'!$B$3,AJ541,AK541,AL541)</x:f>
        <x:v>0</x:v>
      </x:c>
      <x:c r="AN541" t="n">
        <x:v>1</x:v>
      </x:c>
    </x:row>
    <x:row r="542" ht="23" customHeight="1">
      <x:c r="A542" s="11" t="str">
        <x:v>688192.SH</x:v>
      </x:c>
      <x:c r="B542" s="11" t="str">
        <x:v>2026年底</x:v>
      </x:c>
      <x:c r="C542" s="11" t="str">
        <x:v>goli_rr</x:v>
      </x:c>
      <x:c r="D542" s="11" t="str">
        <x:v>2039-12-31</x:v>
      </x:c>
      <x:c r="E542" s="11" t="str">
        <x:v>CNY</x:v>
      </x:c>
      <x:c r="F542" s="11" t="n">
        <x:v>12.999315537303216</x:v>
      </x:c>
      <x:c r="G542" s="26" t="b">
        <x:v>1</x:v>
      </x:c>
      <x:c r="H542" s="16" t="n">
        <x:v>0.10400000000000002</x:v>
      </x:c>
      <x:c r="I542" s="16" t="n">
        <x:v>0.19200000000000003</x:v>
      </x:c>
      <x:c r="J542" s="16" t="n">
        <x:v>0.07200000000000006</x:v>
      </x:c>
      <x:c r="K542" s="11" t="n">
        <x:f>CHOOSE('假设'!$B$3,H542,I542,J542)</x:f>
        <x:v>0.19200000000000003</x:v>
      </x:c>
      <x:c r="L542" s="11" t="n">
        <x:f>K542*'管线假设'!E135*'管线假设'!F135*'管线假设'!G135*IF(E542="USD",'管线假设'!I135,1)-AM542</x:f>
        <x:v>0.06336000000000001</x:v>
      </x:c>
      <x:c r="M542" s="11" t="n">
        <x:f>'管线假设'!H135</x:f>
        <x:v>0.125</x:v>
      </x:c>
      <x:c r="N542" s="11" t="n">
        <x:f>IF(G542,L542*AN542/(1+M542)^F542,0)</x:f>
        <x:v>0.013704632331476839</x:v>
      </x:c>
      <x:c r="AJ542" t="n">
        <x:v>0</x:v>
      </x:c>
      <x:c r="AK542" t="n">
        <x:v>0</x:v>
      </x:c>
      <x:c r="AL542" t="n">
        <x:v>0</x:v>
      </x:c>
      <x:c r="AM542" t="n">
        <x:f>CHOOSE('假设'!$B$3,AJ542,AK542,AL542)</x:f>
        <x:v>0</x:v>
      </x:c>
      <x:c r="AN542" t="n">
        <x:v>1</x:v>
      </x:c>
    </x:row>
    <x:row r="543" ht="23" customHeight="1">
      <x:c r="A543" s="11" t="str">
        <x:v>688192.SH</x:v>
      </x:c>
      <x:c r="B543" s="11" t="str">
        <x:v>2026年底</x:v>
      </x:c>
      <x:c r="C543" s="11" t="str">
        <x:v>goli_rr</x:v>
      </x:c>
      <x:c r="D543" s="11" t="str">
        <x:v>2040-12-31</x:v>
      </x:c>
      <x:c r="E543" s="11" t="str">
        <x:v>CNY</x:v>
      </x:c>
      <x:c r="F543" s="11" t="n">
        <x:v>14.001368925393566</x:v>
      </x:c>
      <x:c r="G543" s="26" t="b">
        <x:v>1</x:v>
      </x:c>
      <x:c r="H543" s="16" t="n">
        <x:v>0.026000000000000023</x:v>
      </x:c>
      <x:c r="I543" s="16" t="n">
        <x:v>0.04800000000000004</x:v>
      </x:c>
      <x:c r="J543" s="16" t="n">
        <x:v>0</x:v>
      </x:c>
      <x:c r="K543" s="11" t="n">
        <x:f>CHOOSE('假设'!$B$3,H543,I543,J543)</x:f>
        <x:v>0.04800000000000004</x:v>
      </x:c>
      <x:c r="L543" s="11" t="n">
        <x:f>K543*'管线假设'!E135*'管线假设'!F135*'管线假设'!G135*IF(E543="USD",'管线假设'!I135,1)-AM543</x:f>
        <x:v>0.015840000000000014</x:v>
      </x:c>
      <x:c r="M543" s="11" t="n">
        <x:f>'管线假设'!H135</x:f>
        <x:v>0.125</x:v>
      </x:c>
      <x:c r="N543" s="11" t="n">
        <x:f>IF(G543,L543*AN543/(1+M543)^F543,0)</x:f>
        <x:v>0.0030447373796086167</x:v>
      </x:c>
      <x:c r="AJ543" t="n">
        <x:v>0</x:v>
      </x:c>
      <x:c r="AK543" t="n">
        <x:v>0</x:v>
      </x:c>
      <x:c r="AL543" t="n">
        <x:v>0</x:v>
      </x:c>
      <x:c r="AM543" t="n">
        <x:f>CHOOSE('假设'!$B$3,AJ543,AK543,AL543)</x:f>
        <x:v>0</x:v>
      </x:c>
      <x:c r="AN543" t="n">
        <x:v>1</x:v>
      </x:c>
    </x:row>
    <x:row r="544" ht="23" customHeight="1">
      <x:c r="A544" s="11" t="str">
        <x:v>688192.SH</x:v>
      </x:c>
      <x:c r="B544" s="11" t="str">
        <x:v>2026年底</x:v>
      </x:c>
      <x:c r="C544" s="11" t="str">
        <x:v>goli_rr</x:v>
      </x:c>
      <x:c r="D544" s="11" t="str">
        <x:v>2041-12-31</x:v>
      </x:c>
      <x:c r="E544" s="11" t="str">
        <x:v>CNY</x:v>
      </x:c>
      <x:c r="F544" s="11" t="n">
        <x:v>15.000684462696784</x:v>
      </x:c>
      <x:c r="G544" s="26" t="b">
        <x:v>1</x:v>
      </x:c>
      <x:c r="H544" s="16" t="n">
        <x:v>0</x:v>
      </x:c>
      <x:c r="I544" s="16" t="n">
        <x:v>0</x:v>
      </x:c>
      <x:c r="J544" s="16" t="n">
        <x:v>0</x:v>
      </x:c>
      <x:c r="K544" s="11" t="n">
        <x:f>CHOOSE('假设'!$B$3,H544,I544,J544)</x:f>
        <x:v>0</x:v>
      </x:c>
      <x:c r="L544" s="11" t="n">
        <x:f>K544*'管线假设'!E135*'管线假设'!F135*'管线假设'!G135*IF(E544="USD",'管线假设'!I135,1)-AM544</x:f>
        <x:v>0</x:v>
      </x:c>
      <x:c r="M544" s="11" t="n">
        <x:f>'管线假设'!H135</x:f>
        <x:v>0.125</x:v>
      </x:c>
      <x:c r="N544" s="11" t="n">
        <x:f>IF(G544,L544*AN544/(1+M544)^F544,0)</x:f>
        <x:v>0</x:v>
      </x:c>
      <x:c r="AJ544" t="n">
        <x:v>0</x:v>
      </x:c>
      <x:c r="AK544" t="n">
        <x:v>0</x:v>
      </x:c>
      <x:c r="AL544" t="n">
        <x:v>0</x:v>
      </x:c>
      <x:c r="AM544" t="n">
        <x:f>CHOOSE('假设'!$B$3,AJ544,AK544,AL544)</x:f>
        <x:v>0</x:v>
      </x:c>
      <x:c r="AN544" t="n">
        <x:v>1</x:v>
      </x:c>
    </x:row>
    <x:row r="545" ht="23" customHeight="1">
      <x:c r="A545" s="11" t="str">
        <x:v>688192.SH</x:v>
      </x:c>
      <x:c r="B545" s="11" t="str">
        <x:v>2026年底</x:v>
      </x:c>
      <x:c r="C545" s="11" t="str">
        <x:v>goli_rr</x:v>
      </x:c>
      <x:c r="D545" s="11" t="str">
        <x:v>2042-12-31</x:v>
      </x:c>
      <x:c r="E545" s="11" t="str">
        <x:v>CNY</x:v>
      </x:c>
      <x:c r="F545" s="11" t="n">
        <x:v>16</x:v>
      </x:c>
      <x:c r="G545" s="26" t="b">
        <x:v>1</x:v>
      </x:c>
      <x:c r="H545" s="16" t="n">
        <x:v>0</x:v>
      </x:c>
      <x:c r="I545" s="16" t="n">
        <x:v>0</x:v>
      </x:c>
      <x:c r="J545" s="16" t="n">
        <x:v>0</x:v>
      </x:c>
      <x:c r="K545" s="11" t="n">
        <x:f>CHOOSE('假设'!$B$3,H545,I545,J545)</x:f>
        <x:v>0</x:v>
      </x:c>
      <x:c r="L545" s="11" t="n">
        <x:f>K545*'管线假设'!E135*'管线假设'!F135*'管线假设'!G135*IF(E545="USD",'管线假设'!I135,1)-AM545</x:f>
        <x:v>0</x:v>
      </x:c>
      <x:c r="M545" s="11" t="n">
        <x:f>'管线假设'!H135</x:f>
        <x:v>0.125</x:v>
      </x:c>
      <x:c r="N545" s="11" t="n">
        <x:f>IF(G545,L545*AN545/(1+M545)^F545,0)</x:f>
        <x:v>0</x:v>
      </x:c>
      <x:c r="AJ545" t="n">
        <x:v>0</x:v>
      </x:c>
      <x:c r="AK545" t="n">
        <x:v>0</x:v>
      </x:c>
      <x:c r="AL545" t="n">
        <x:v>0</x:v>
      </x:c>
      <x:c r="AM545" t="n">
        <x:f>CHOOSE('假设'!$B$3,AJ545,AK545,AL545)</x:f>
        <x:v>0</x:v>
      </x:c>
      <x:c r="AN545" t="n">
        <x:v>1</x:v>
      </x:c>
    </x:row>
    <x:row r="546" ht="23" customHeight="1">
      <x:c r="A546" s="11" t="str">
        <x:v>688192.SH</x:v>
      </x:c>
      <x:c r="B546" s="11" t="str">
        <x:v>2026年底</x:v>
      </x:c>
      <x:c r="C546" s="11" t="str">
        <x:v>goli_rr</x:v>
      </x:c>
      <x:c r="D546" s="11" t="str">
        <x:v>2043-12-31</x:v>
      </x:c>
      <x:c r="E546" s="11" t="str">
        <x:v>CNY</x:v>
      </x:c>
      <x:c r="F546" s="11" t="n">
        <x:v>16.999315537303218</x:v>
      </x:c>
      <x:c r="G546" s="26" t="b">
        <x:v>1</x:v>
      </x:c>
      <x:c r="H546" s="16" t="n">
        <x:v>0</x:v>
      </x:c>
      <x:c r="I546" s="16" t="n">
        <x:v>0</x:v>
      </x:c>
      <x:c r="J546" s="16" t="n">
        <x:v>0</x:v>
      </x:c>
      <x:c r="K546" s="11" t="n">
        <x:f>CHOOSE('假设'!$B$3,H546,I546,J546)</x:f>
        <x:v>0</x:v>
      </x:c>
      <x:c r="L546" s="11" t="n">
        <x:f>K546*'管线假设'!E135*'管线假设'!F135*'管线假设'!G135*IF(E546="USD",'管线假设'!I135,1)-AM546</x:f>
        <x:v>0</x:v>
      </x:c>
      <x:c r="M546" s="11" t="n">
        <x:f>'管线假设'!H135</x:f>
        <x:v>0.125</x:v>
      </x:c>
      <x:c r="N546" s="11" t="n">
        <x:f>IF(G546,L546*AN546/(1+M546)^F546,0)</x:f>
        <x:v>0</x:v>
      </x:c>
      <x:c r="AJ546" t="n">
        <x:v>0</x:v>
      </x:c>
      <x:c r="AK546" t="n">
        <x:v>0</x:v>
      </x:c>
      <x:c r="AL546" t="n">
        <x:v>0</x:v>
      </x:c>
      <x:c r="AM546" t="n">
        <x:f>CHOOSE('假设'!$B$3,AJ546,AK546,AL546)</x:f>
        <x:v>0</x:v>
      </x:c>
      <x:c r="AN546" t="n">
        <x:v>1</x:v>
      </x:c>
    </x:row>
    <x:row r="547" ht="23" customHeight="1">
      <x:c r="A547" s="11" t="str">
        <x:v>688192.SH</x:v>
      </x:c>
      <x:c r="B547" s="11" t="str">
        <x:v>2026年底</x:v>
      </x:c>
      <x:c r="C547" s="11" t="str">
        <x:v>goli_rr</x:v>
      </x:c>
      <x:c r="D547" s="11" t="str">
        <x:v>2044-12-31</x:v>
      </x:c>
      <x:c r="E547" s="11" t="str">
        <x:v>CNY</x:v>
      </x:c>
      <x:c r="F547" s="11" t="n">
        <x:v>18.001368925393567</x:v>
      </x:c>
      <x:c r="G547" s="26" t="b">
        <x:v>1</x:v>
      </x:c>
      <x:c r="H547" s="16" t="n">
        <x:v>0</x:v>
      </x:c>
      <x:c r="I547" s="16" t="n">
        <x:v>0</x:v>
      </x:c>
      <x:c r="J547" s="16" t="n">
        <x:v>0</x:v>
      </x:c>
      <x:c r="K547" s="11" t="n">
        <x:f>CHOOSE('假设'!$B$3,H547,I547,J547)</x:f>
        <x:v>0</x:v>
      </x:c>
      <x:c r="L547" s="11" t="n">
        <x:f>K547*'管线假设'!E135*'管线假设'!F135*'管线假设'!G135*IF(E547="USD",'管线假设'!I135,1)-AM547</x:f>
        <x:v>0</x:v>
      </x:c>
      <x:c r="M547" s="11" t="n">
        <x:f>'管线假设'!H135</x:f>
        <x:v>0.125</x:v>
      </x:c>
      <x:c r="N547" s="11" t="n">
        <x:f>IF(G547,L547*AN547/(1+M547)^F547,0)</x:f>
        <x:v>0</x:v>
      </x:c>
      <x:c r="AJ547" t="n">
        <x:v>0</x:v>
      </x:c>
      <x:c r="AK547" t="n">
        <x:v>0</x:v>
      </x:c>
      <x:c r="AL547" t="n">
        <x:v>0</x:v>
      </x:c>
      <x:c r="AM547" t="n">
        <x:f>CHOOSE('假设'!$B$3,AJ547,AK547,AL547)</x:f>
        <x:v>0</x:v>
      </x:c>
      <x:c r="AN547" t="n">
        <x:v>1</x:v>
      </x:c>
    </x:row>
    <x:row r="548" ht="23" customHeight="1">
      <x:c r="A548" s="11" t="str">
        <x:v>688192.SH</x:v>
      </x:c>
      <x:c r="B548" s="11" t="str">
        <x:v>2026年底</x:v>
      </x:c>
      <x:c r="C548" s="11" t="str">
        <x:v>goli_rr</x:v>
      </x:c>
      <x:c r="D548" s="11" t="str">
        <x:v>2045-12-31</x:v>
      </x:c>
      <x:c r="E548" s="11" t="str">
        <x:v>CNY</x:v>
      </x:c>
      <x:c r="F548" s="11" t="n">
        <x:v>19.000684462696782</x:v>
      </x:c>
      <x:c r="G548" s="26" t="b">
        <x:v>1</x:v>
      </x:c>
      <x:c r="H548" s="16" t="n">
        <x:v>0</x:v>
      </x:c>
      <x:c r="I548" s="16" t="n">
        <x:v>0</x:v>
      </x:c>
      <x:c r="J548" s="16" t="n">
        <x:v>0</x:v>
      </x:c>
      <x:c r="K548" s="11" t="n">
        <x:f>CHOOSE('假设'!$B$3,H548,I548,J548)</x:f>
        <x:v>0</x:v>
      </x:c>
      <x:c r="L548" s="11" t="n">
        <x:f>K548*'管线假设'!E135*'管线假设'!F135*'管线假设'!G135*IF(E548="USD",'管线假设'!I135,1)-AM548</x:f>
        <x:v>0</x:v>
      </x:c>
      <x:c r="M548" s="11" t="n">
        <x:f>'管线假设'!H135</x:f>
        <x:v>0.125</x:v>
      </x:c>
      <x:c r="N548" s="11" t="n">
        <x:f>IF(G548,L548*AN548/(1+M548)^F548,0)</x:f>
        <x:v>0</x:v>
      </x:c>
      <x:c r="AJ548" t="n">
        <x:v>0</x:v>
      </x:c>
      <x:c r="AK548" t="n">
        <x:v>0</x:v>
      </x:c>
      <x:c r="AL548" t="n">
        <x:v>0</x:v>
      </x:c>
      <x:c r="AM548" t="n">
        <x:f>CHOOSE('假设'!$B$3,AJ548,AK548,AL548)</x:f>
        <x:v>0</x:v>
      </x:c>
      <x:c r="AN548" t="n">
        <x:v>1</x:v>
      </x:c>
    </x:row>
    <x:row r="549" ht="23" customHeight="1">
      <x:c r="A549" s="11" t="str">
        <x:v>688192.SH</x:v>
      </x:c>
      <x:c r="B549" s="11" t="str">
        <x:v>2026年底</x:v>
      </x:c>
      <x:c r="C549" s="11" t="str">
        <x:v>goli_first</x:v>
      </x:c>
      <x:c r="D549" s="11" t="str">
        <x:v>2027-12-31</x:v>
      </x:c>
      <x:c r="E549" s="11" t="str">
        <x:v>CNY</x:v>
      </x:c>
      <x:c r="F549" s="11" t="n">
        <x:v>0.999315537303217</x:v>
      </x:c>
      <x:c r="G549" s="26" t="b">
        <x:v>1</x:v>
      </x:c>
      <x:c r="H549" s="16" t="n">
        <x:v>0</x:v>
      </x:c>
      <x:c r="I549" s="16" t="n">
        <x:v>0</x:v>
      </x:c>
      <x:c r="J549" s="16" t="n">
        <x:v>0</x:v>
      </x:c>
      <x:c r="K549" s="11" t="n">
        <x:f>CHOOSE('假设'!$B$3,H549,I549,J549)</x:f>
        <x:v>0</x:v>
      </x:c>
      <x:c r="L549" s="11" t="n">
        <x:f>K549*'管线假设'!E139*'管线假设'!F139*'管线假设'!G139*IF(E549="USD",'管线假设'!I139,1)-AM549</x:f>
        <x:v>0</x:v>
      </x:c>
      <x:c r="M549" s="11" t="n">
        <x:f>'管线假设'!H139</x:f>
        <x:v>0.125</x:v>
      </x:c>
      <x:c r="N549" s="11" t="n">
        <x:f>IF(G549,L549*AN549/(1+M549)^F549,0)</x:f>
        <x:v>0</x:v>
      </x:c>
      <x:c r="AJ549" t="n">
        <x:v>0</x:v>
      </x:c>
      <x:c r="AK549" t="n">
        <x:v>0</x:v>
      </x:c>
      <x:c r="AL549" t="n">
        <x:v>0</x:v>
      </x:c>
      <x:c r="AM549" t="n">
        <x:f>CHOOSE('假设'!$B$3,AJ549,AK549,AL549)</x:f>
        <x:v>0</x:v>
      </x:c>
      <x:c r="AN549" t="n">
        <x:v>1</x:v>
      </x:c>
    </x:row>
    <x:row r="550" ht="23" customHeight="1">
      <x:c r="A550" s="11" t="str">
        <x:v>688192.SH</x:v>
      </x:c>
      <x:c r="B550" s="11" t="str">
        <x:v>2026年底</x:v>
      </x:c>
      <x:c r="C550" s="11" t="str">
        <x:v>goli_first</x:v>
      </x:c>
      <x:c r="D550" s="11" t="str">
        <x:v>2028-12-31</x:v>
      </x:c>
      <x:c r="E550" s="11" t="str">
        <x:v>CNY</x:v>
      </x:c>
      <x:c r="F550" s="11" t="n">
        <x:v>2.001368925393566</x:v>
      </x:c>
      <x:c r="G550" s="26" t="b">
        <x:v>1</x:v>
      </x:c>
      <x:c r="H550" s="16" t="n">
        <x:v>0</x:v>
      </x:c>
      <x:c r="I550" s="16" t="n">
        <x:v>0</x:v>
      </x:c>
      <x:c r="J550" s="16" t="n">
        <x:v>0.25</x:v>
      </x:c>
      <x:c r="K550" s="11" t="n">
        <x:f>CHOOSE('假设'!$B$3,H550,I550,J550)</x:f>
        <x:v>0</x:v>
      </x:c>
      <x:c r="L550" s="11" t="n">
        <x:f>K550*'管线假设'!E139*'管线假设'!F139*'管线假设'!G139*IF(E550="USD",'管线假设'!I139,1)-AM550</x:f>
        <x:v>0</x:v>
      </x:c>
      <x:c r="M550" s="11" t="n">
        <x:f>'管线假设'!H139</x:f>
        <x:v>0.125</x:v>
      </x:c>
      <x:c r="N550" s="11" t="n">
        <x:f>IF(G550,L550*AN550/(1+M550)^F550,0)</x:f>
        <x:v>0</x:v>
      </x:c>
      <x:c r="AJ550" t="n">
        <x:v>0</x:v>
      </x:c>
      <x:c r="AK550" t="n">
        <x:v>0</x:v>
      </x:c>
      <x:c r="AL550" t="n">
        <x:v>0</x:v>
      </x:c>
      <x:c r="AM550" t="n">
        <x:f>CHOOSE('假设'!$B$3,AJ550,AK550,AL550)</x:f>
        <x:v>0</x:v>
      </x:c>
      <x:c r="AN550" t="n">
        <x:v>1</x:v>
      </x:c>
    </x:row>
    <x:row r="551" ht="23" customHeight="1">
      <x:c r="A551" s="11" t="str">
        <x:v>688192.SH</x:v>
      </x:c>
      <x:c r="B551" s="11" t="str">
        <x:v>2026年底</x:v>
      </x:c>
      <x:c r="C551" s="11" t="str">
        <x:v>goli_first</x:v>
      </x:c>
      <x:c r="D551" s="11" t="str">
        <x:v>2029-12-31</x:v>
      </x:c>
      <x:c r="E551" s="11" t="str">
        <x:v>CNY</x:v>
      </x:c>
      <x:c r="F551" s="11" t="n">
        <x:v>3.0006844626967832</x:v>
      </x:c>
      <x:c r="G551" s="26" t="b">
        <x:v>1</x:v>
      </x:c>
      <x:c r="H551" s="16" t="n">
        <x:v>0</x:v>
      </x:c>
      <x:c r="I551" s="16" t="n">
        <x:v>0.15833333333333333</x:v>
      </x:c>
      <x:c r="J551" s="16" t="n">
        <x:v>0.5</x:v>
      </x:c>
      <x:c r="K551" s="11" t="n">
        <x:f>CHOOSE('假设'!$B$3,H551,I551,J551)</x:f>
        <x:v>0.15833333333333333</x:v>
      </x:c>
      <x:c r="L551" s="11" t="n">
        <x:f>K551*'管线假设'!E139*'管线假设'!F139*'管线假设'!G139*IF(E551="USD",'管线假设'!I139,1)-AM551</x:f>
        <x:v>0.020900000000000002</x:v>
      </x:c>
      <x:c r="M551" s="11" t="n">
        <x:f>'管线假设'!H139</x:f>
        <x:v>0.125</x:v>
      </x:c>
      <x:c r="N551" s="11" t="n">
        <x:f>IF(G551,L551*AN551/(1+M551)^F551,0)</x:f>
        <x:v>0.014677554673072924</x:v>
      </x:c>
      <x:c r="AJ551" t="n">
        <x:v>0</x:v>
      </x:c>
      <x:c r="AK551" t="n">
        <x:v>0</x:v>
      </x:c>
      <x:c r="AL551" t="n">
        <x:v>0</x:v>
      </x:c>
      <x:c r="AM551" t="n">
        <x:f>CHOOSE('假设'!$B$3,AJ551,AK551,AL551)</x:f>
        <x:v>0</x:v>
      </x:c>
      <x:c r="AN551" t="n">
        <x:v>1</x:v>
      </x:c>
    </x:row>
    <x:row r="552" ht="23" customHeight="1">
      <x:c r="A552" s="11" t="str">
        <x:v>688192.SH</x:v>
      </x:c>
      <x:c r="B552" s="11" t="str">
        <x:v>2026年底</x:v>
      </x:c>
      <x:c r="C552" s="11" t="str">
        <x:v>goli_first</x:v>
      </x:c>
      <x:c r="D552" s="11" t="str">
        <x:v>2030-12-31</x:v>
      </x:c>
      <x:c r="E552" s="11" t="str">
        <x:v>CNY</x:v>
      </x:c>
      <x:c r="F552" s="11" t="n">
        <x:v>4</x:v>
      </x:c>
      <x:c r="G552" s="26" t="b">
        <x:v>1</x:v>
      </x:c>
      <x:c r="H552" s="16" t="n">
        <x:v>0</x:v>
      </x:c>
      <x:c r="I552" s="16" t="n">
        <x:v>0.31666666666666665</x:v>
      </x:c>
      <x:c r="J552" s="16" t="n">
        <x:v>0.75</x:v>
      </x:c>
      <x:c r="K552" s="11" t="n">
        <x:f>CHOOSE('假设'!$B$3,H552,I552,J552)</x:f>
        <x:v>0.31666666666666665</x:v>
      </x:c>
      <x:c r="L552" s="11" t="n">
        <x:f>K552*'管线假设'!E139*'管线假设'!F139*'管线假设'!G139*IF(E552="USD",'管线假设'!I139,1)-AM552</x:f>
        <x:v>0.041800000000000004</x:v>
      </x:c>
      <x:c r="M552" s="11" t="n">
        <x:f>'管线假设'!H139</x:f>
        <x:v>0.125</x:v>
      </x:c>
      <x:c r="N552" s="11" t="n">
        <x:f>IF(G552,L552*AN552/(1+M552)^F552,0)</x:f>
        <x:v>0.02609553421734492</x:v>
      </x:c>
      <x:c r="AJ552" t="n">
        <x:v>0</x:v>
      </x:c>
      <x:c r="AK552" t="n">
        <x:v>0</x:v>
      </x:c>
      <x:c r="AL552" t="n">
        <x:v>0</x:v>
      </x:c>
      <x:c r="AM552" t="n">
        <x:f>CHOOSE('假设'!$B$3,AJ552,AK552,AL552)</x:f>
        <x:v>0</x:v>
      </x:c>
      <x:c r="AN552" t="n">
        <x:v>1</x:v>
      </x:c>
    </x:row>
    <x:row r="553" ht="23" customHeight="1">
      <x:c r="A553" s="11" t="str">
        <x:v>688192.SH</x:v>
      </x:c>
      <x:c r="B553" s="11" t="str">
        <x:v>2026年底</x:v>
      </x:c>
      <x:c r="C553" s="11" t="str">
        <x:v>goli_first</x:v>
      </x:c>
      <x:c r="D553" s="11" t="str">
        <x:v>2031-12-31</x:v>
      </x:c>
      <x:c r="E553" s="11" t="str">
        <x:v>CNY</x:v>
      </x:c>
      <x:c r="F553" s="11" t="n">
        <x:v>4.999315537303217</x:v>
      </x:c>
      <x:c r="G553" s="26" t="b">
        <x:v>1</x:v>
      </x:c>
      <x:c r="H553" s="16" t="n">
        <x:v>0.08000000000000002</x:v>
      </x:c>
      <x:c r="I553" s="16" t="n">
        <x:v>0.475</x:v>
      </x:c>
      <x:c r="J553" s="16" t="n">
        <x:v>1</x:v>
      </x:c>
      <x:c r="K553" s="11" t="n">
        <x:f>CHOOSE('假设'!$B$3,H553,I553,J553)</x:f>
        <x:v>0.475</x:v>
      </x:c>
      <x:c r="L553" s="11" t="n">
        <x:f>K553*'管线假设'!E139*'管线假设'!F139*'管线假设'!G139*IF(E553="USD",'管线假设'!I139,1)-AM553</x:f>
        <x:v>0.0627</x:v>
      </x:c>
      <x:c r="M553" s="11" t="n">
        <x:f>'管线假设'!H139</x:f>
        <x:v>0.125</x:v>
      </x:c>
      <x:c r="N553" s="11" t="n">
        <x:f>IF(G553,L553*AN553/(1+M553)^F553,0)</x:f>
        <x:v>0.03479685076584603</x:v>
      </x:c>
      <x:c r="AJ553" t="n">
        <x:v>0</x:v>
      </x:c>
      <x:c r="AK553" t="n">
        <x:v>0</x:v>
      </x:c>
      <x:c r="AL553" t="n">
        <x:v>0</x:v>
      </x:c>
      <x:c r="AM553" t="n">
        <x:f>CHOOSE('假设'!$B$3,AJ553,AK553,AL553)</x:f>
        <x:v>0</x:v>
      </x:c>
      <x:c r="AN553" t="n">
        <x:v>1</x:v>
      </x:c>
    </x:row>
    <x:row r="554" ht="23" customHeight="1">
      <x:c r="A554" s="11" t="str">
        <x:v>688192.SH</x:v>
      </x:c>
      <x:c r="B554" s="11" t="str">
        <x:v>2026年底</x:v>
      </x:c>
      <x:c r="C554" s="11" t="str">
        <x:v>goli_first</x:v>
      </x:c>
      <x:c r="D554" s="11" t="str">
        <x:v>2032-12-31</x:v>
      </x:c>
      <x:c r="E554" s="11" t="str">
        <x:v>CNY</x:v>
      </x:c>
      <x:c r="F554" s="11" t="n">
        <x:v>6.0013689253935665</x:v>
      </x:c>
      <x:c r="G554" s="26" t="b">
        <x:v>1</x:v>
      </x:c>
      <x:c r="H554" s="16" t="n">
        <x:v>0.16000000000000003</x:v>
      </x:c>
      <x:c r="I554" s="16" t="n">
        <x:v>0.6333333333333333</x:v>
      </x:c>
      <x:c r="J554" s="16" t="n">
        <x:v>1.25</x:v>
      </x:c>
      <x:c r="K554" s="11" t="n">
        <x:f>CHOOSE('假设'!$B$3,H554,I554,J554)</x:f>
        <x:v>0.6333333333333333</x:v>
      </x:c>
      <x:c r="L554" s="11" t="n">
        <x:f>K554*'管线假设'!E139*'管线假设'!F139*'管线假设'!G139*IF(E554="USD",'管线假设'!I139,1)-AM554</x:f>
        <x:v>0.08360000000000001</x:v>
      </x:c>
      <x:c r="M554" s="11" t="n">
        <x:f>'管线假设'!H139</x:f>
        <x:v>0.125</x:v>
      </x:c>
      <x:c r="N554" s="11" t="n">
        <x:f>IF(G554,L554*AN554/(1+M554)^F554,0)</x:f>
        <x:v>0.04123073898201815</x:v>
      </x:c>
      <x:c r="AJ554" t="n">
        <x:v>0</x:v>
      </x:c>
      <x:c r="AK554" t="n">
        <x:v>0</x:v>
      </x:c>
      <x:c r="AL554" t="n">
        <x:v>0</x:v>
      </x:c>
      <x:c r="AM554" t="n">
        <x:f>CHOOSE('假设'!$B$3,AJ554,AK554,AL554)</x:f>
        <x:v>0</x:v>
      </x:c>
      <x:c r="AN554" t="n">
        <x:v>1</x:v>
      </x:c>
    </x:row>
    <x:row r="555" ht="23" customHeight="1">
      <x:c r="A555" s="11" t="str">
        <x:v>688192.SH</x:v>
      </x:c>
      <x:c r="B555" s="11" t="str">
        <x:v>2026年底</x:v>
      </x:c>
      <x:c r="C555" s="11" t="str">
        <x:v>goli_first</x:v>
      </x:c>
      <x:c r="D555" s="11" t="str">
        <x:v>2033-12-31</x:v>
      </x:c>
      <x:c r="E555" s="11" t="str">
        <x:v>CNY</x:v>
      </x:c>
      <x:c r="F555" s="11" t="n">
        <x:v>7.000684462696783</x:v>
      </x:c>
      <x:c r="G555" s="26" t="b">
        <x:v>1</x:v>
      </x:c>
      <x:c r="H555" s="16" t="n">
        <x:v>0.24</x:v>
      </x:c>
      <x:c r="I555" s="16" t="n">
        <x:v>0.7916666666666666</x:v>
      </x:c>
      <x:c r="J555" s="16" t="n">
        <x:v>1.5</x:v>
      </x:c>
      <x:c r="K555" s="11" t="n">
        <x:f>CHOOSE('假设'!$B$3,H555,I555,J555)</x:f>
        <x:v>0.7916666666666666</x:v>
      </x:c>
      <x:c r="L555" s="11" t="n">
        <x:f>K555*'管线假设'!E139*'管线假设'!F139*'管线假设'!G139*IF(E555="USD",'管线假设'!I139,1)-AM555</x:f>
        <x:v>0.1045</x:v>
      </x:c>
      <x:c r="M555" s="11" t="n">
        <x:f>'管线假设'!H139</x:f>
        <x:v>0.125</x:v>
      </x:c>
      <x:c r="N555" s="11" t="n">
        <x:f>IF(G555,L555*AN555/(1+M555)^F555,0)</x:f>
        <x:v>0.045815625621785316</x:v>
      </x:c>
      <x:c r="AJ555" t="n">
        <x:v>0</x:v>
      </x:c>
      <x:c r="AK555" t="n">
        <x:v>0</x:v>
      </x:c>
      <x:c r="AL555" t="n">
        <x:v>0</x:v>
      </x:c>
      <x:c r="AM555" t="n">
        <x:f>CHOOSE('假设'!$B$3,AJ555,AK555,AL555)</x:f>
        <x:v>0</x:v>
      </x:c>
      <x:c r="AN555" t="n">
        <x:v>1</x:v>
      </x:c>
    </x:row>
    <x:row r="556" ht="23" customHeight="1">
      <x:c r="A556" s="11" t="str">
        <x:v>688192.SH</x:v>
      </x:c>
      <x:c r="B556" s="11" t="str">
        <x:v>2026年底</x:v>
      </x:c>
      <x:c r="C556" s="11" t="str">
        <x:v>goli_first</x:v>
      </x:c>
      <x:c r="D556" s="11" t="str">
        <x:v>2034-12-31</x:v>
      </x:c>
      <x:c r="E556" s="11" t="str">
        <x:v>CNY</x:v>
      </x:c>
      <x:c r="F556" s="11" t="n">
        <x:v>8</x:v>
      </x:c>
      <x:c r="G556" s="26" t="b">
        <x:v>1</x:v>
      </x:c>
      <x:c r="H556" s="16" t="n">
        <x:v>0.32000000000000006</x:v>
      </x:c>
      <x:c r="I556" s="16" t="n">
        <x:v>0.95</x:v>
      </x:c>
      <x:c r="J556" s="16" t="n">
        <x:v>1.32</x:v>
      </x:c>
      <x:c r="K556" s="11" t="n">
        <x:f>CHOOSE('假设'!$B$3,H556,I556,J556)</x:f>
        <x:v>0.95</x:v>
      </x:c>
      <x:c r="L556" s="11" t="n">
        <x:f>K556*'管线假设'!E139*'管线假设'!F139*'管线假设'!G139*IF(E556="USD",'管线假设'!I139,1)-AM556</x:f>
        <x:v>0.1254</x:v>
      </x:c>
      <x:c r="M556" s="11" t="n">
        <x:f>'管线假设'!H139</x:f>
        <x:v>0.125</x:v>
      </x:c>
      <x:c r="N556" s="11" t="n">
        <x:f>IF(G556,L556*AN556/(1+M556)^F556,0)</x:f>
        <x:v>0.04887394062836982</x:v>
      </x:c>
      <x:c r="AJ556" t="n">
        <x:v>0</x:v>
      </x:c>
      <x:c r="AK556" t="n">
        <x:v>0</x:v>
      </x:c>
      <x:c r="AL556" t="n">
        <x:v>0</x:v>
      </x:c>
      <x:c r="AM556" t="n">
        <x:f>CHOOSE('假设'!$B$3,AJ556,AK556,AL556)</x:f>
        <x:v>0</x:v>
      </x:c>
      <x:c r="AN556" t="n">
        <x:v>1</x:v>
      </x:c>
    </x:row>
    <x:row r="557" ht="23" customHeight="1">
      <x:c r="A557" s="11" t="str">
        <x:v>688192.SH</x:v>
      </x:c>
      <x:c r="B557" s="11" t="str">
        <x:v>2026年底</x:v>
      </x:c>
      <x:c r="C557" s="11" t="str">
        <x:v>goli_first</x:v>
      </x:c>
      <x:c r="D557" s="11" t="str">
        <x:v>2035-12-31</x:v>
      </x:c>
      <x:c r="E557" s="11" t="str">
        <x:v>CNY</x:v>
      </x:c>
      <x:c r="F557" s="11" t="n">
        <x:v>8.999315537303216</x:v>
      </x:c>
      <x:c r="G557" s="26" t="b">
        <x:v>1</x:v>
      </x:c>
      <x:c r="H557" s="16" t="n">
        <x:v>0.4</x:v>
      </x:c>
      <x:c r="I557" s="16" t="n">
        <x:v>0.836</x:v>
      </x:c>
      <x:c r="J557" s="16" t="n">
        <x:v>1.1400000000000001</x:v>
      </x:c>
      <x:c r="K557" s="11" t="n">
        <x:f>CHOOSE('假设'!$B$3,H557,I557,J557)</x:f>
        <x:v>0.836</x:v>
      </x:c>
      <x:c r="L557" s="11" t="n">
        <x:f>K557*'管线假设'!E139*'管线假设'!F139*'管线假设'!G139*IF(E557="USD",'管线假设'!I139,1)-AM557</x:f>
        <x:v>0.11035200000000002</x:v>
      </x:c>
      <x:c r="M557" s="11" t="n">
        <x:f>'管线假设'!H139</x:f>
        <x:v>0.125</x:v>
      </x:c>
      <x:c r="N557" s="11" t="n">
        <x:f>IF(G557,L557*AN557/(1+M557)^F557,0)</x:f>
        <x:v>0.038233364623830736</x:v>
      </x:c>
      <x:c r="AJ557" t="n">
        <x:v>0</x:v>
      </x:c>
      <x:c r="AK557" t="n">
        <x:v>0</x:v>
      </x:c>
      <x:c r="AL557" t="n">
        <x:v>0</x:v>
      </x:c>
      <x:c r="AM557" t="n">
        <x:f>CHOOSE('假设'!$B$3,AJ557,AK557,AL557)</x:f>
        <x:v>0</x:v>
      </x:c>
      <x:c r="AN557" t="n">
        <x:v>1</x:v>
      </x:c>
    </x:row>
    <x:row r="558" ht="23" customHeight="1">
      <x:c r="A558" s="11" t="str">
        <x:v>688192.SH</x:v>
      </x:c>
      <x:c r="B558" s="11" t="str">
        <x:v>2026年底</x:v>
      </x:c>
      <x:c r="C558" s="11" t="str">
        <x:v>goli_first</x:v>
      </x:c>
      <x:c r="D558" s="11" t="str">
        <x:v>2036-12-31</x:v>
      </x:c>
      <x:c r="E558" s="11" t="str">
        <x:v>CNY</x:v>
      </x:c>
      <x:c r="F558" s="11" t="n">
        <x:v>10.001368925393566</x:v>
      </x:c>
      <x:c r="G558" s="26" t="b">
        <x:v>1</x:v>
      </x:c>
      <x:c r="H558" s="16" t="n">
        <x:v>0.35200000000000004</x:v>
      </x:c>
      <x:c r="I558" s="16" t="n">
        <x:v>0.722</x:v>
      </x:c>
      <x:c r="J558" s="16" t="n">
        <x:v>0.96</x:v>
      </x:c>
      <x:c r="K558" s="11" t="n">
        <x:f>CHOOSE('假设'!$B$3,H558,I558,J558)</x:f>
        <x:v>0.722</x:v>
      </x:c>
      <x:c r="L558" s="11" t="n">
        <x:f>K558*'管线假设'!E139*'管线假设'!F139*'管线假设'!G139*IF(E558="USD",'管线假设'!I139,1)-AM558</x:f>
        <x:v>0.095304</x:v>
      </x:c>
      <x:c r="M558" s="11" t="n">
        <x:f>'管线假设'!H139</x:f>
        <x:v>0.125</x:v>
      </x:c>
      <x:c r="N558" s="11" t="n">
        <x:f>IF(G558,L558*AN558/(1+M558)^F558,0)</x:f>
        <x:v>0.029343767997591044</x:v>
      </x:c>
      <x:c r="AJ558" t="n">
        <x:v>0</x:v>
      </x:c>
      <x:c r="AK558" t="n">
        <x:v>0</x:v>
      </x:c>
      <x:c r="AL558" t="n">
        <x:v>0</x:v>
      </x:c>
      <x:c r="AM558" t="n">
        <x:f>CHOOSE('假设'!$B$3,AJ558,AK558,AL558)</x:f>
        <x:v>0</x:v>
      </x:c>
      <x:c r="AN558" t="n">
        <x:v>1</x:v>
      </x:c>
    </x:row>
    <x:row r="559" ht="23" customHeight="1">
      <x:c r="A559" s="11" t="str">
        <x:v>688192.SH</x:v>
      </x:c>
      <x:c r="B559" s="11" t="str">
        <x:v>2026年底</x:v>
      </x:c>
      <x:c r="C559" s="11" t="str">
        <x:v>goli_first</x:v>
      </x:c>
      <x:c r="D559" s="11" t="str">
        <x:v>2037-12-31</x:v>
      </x:c>
      <x:c r="E559" s="11" t="str">
        <x:v>CNY</x:v>
      </x:c>
      <x:c r="F559" s="11" t="n">
        <x:v>11.000684462696784</x:v>
      </x:c>
      <x:c r="G559" s="26" t="b">
        <x:v>1</x:v>
      </x:c>
      <x:c r="H559" s="16" t="n">
        <x:v>0.30400000000000005</x:v>
      </x:c>
      <x:c r="I559" s="16" t="n">
        <x:v>0.608</x:v>
      </x:c>
      <x:c r="J559" s="16" t="n">
        <x:v>0.78</x:v>
      </x:c>
      <x:c r="K559" s="11" t="n">
        <x:f>CHOOSE('假设'!$B$3,H559,I559,J559)</x:f>
        <x:v>0.608</x:v>
      </x:c>
      <x:c r="L559" s="11" t="n">
        <x:f>K559*'管线假设'!E139*'管线假设'!F139*'管线假设'!G139*IF(E559="USD",'管线假设'!I139,1)-AM559</x:f>
        <x:v>0.08025600000000001</x:v>
      </x:c>
      <x:c r="M559" s="11" t="n">
        <x:f>'管线假设'!H139</x:f>
        <x:v>0.125</x:v>
      </x:c>
      <x:c r="N559" s="11" t="n">
        <x:f>IF(G559,L559*AN559/(1+M559)^F559,0)</x:f>
        <x:v>0.021966696594416628</x:v>
      </x:c>
      <x:c r="AJ559" t="n">
        <x:v>0</x:v>
      </x:c>
      <x:c r="AK559" t="n">
        <x:v>0</x:v>
      </x:c>
      <x:c r="AL559" t="n">
        <x:v>0</x:v>
      </x:c>
      <x:c r="AM559" t="n">
        <x:f>CHOOSE('假设'!$B$3,AJ559,AK559,AL559)</x:f>
        <x:v>0</x:v>
      </x:c>
      <x:c r="AN559" t="n">
        <x:v>1</x:v>
      </x:c>
    </x:row>
    <x:row r="560" ht="23" customHeight="1">
      <x:c r="A560" s="11" t="str">
        <x:v>688192.SH</x:v>
      </x:c>
      <x:c r="B560" s="11" t="str">
        <x:v>2026年底</x:v>
      </x:c>
      <x:c r="C560" s="11" t="str">
        <x:v>goli_first</x:v>
      </x:c>
      <x:c r="D560" s="11" t="str">
        <x:v>2038-12-31</x:v>
      </x:c>
      <x:c r="E560" s="11" t="str">
        <x:v>CNY</x:v>
      </x:c>
      <x:c r="F560" s="11" t="n">
        <x:v>12</x:v>
      </x:c>
      <x:c r="G560" s="26" t="b">
        <x:v>1</x:v>
      </x:c>
      <x:c r="H560" s="16" t="n">
        <x:v>0.256</x:v>
      </x:c>
      <x:c r="I560" s="16" t="n">
        <x:v>0.494</x:v>
      </x:c>
      <x:c r="J560" s="16" t="n">
        <x:v>0.6000000000000001</x:v>
      </x:c>
      <x:c r="K560" s="11" t="n">
        <x:f>CHOOSE('假设'!$B$3,H560,I560,J560)</x:f>
        <x:v>0.494</x:v>
      </x:c>
      <x:c r="L560" s="11" t="n">
        <x:f>K560*'管线假设'!E139*'管线假设'!F139*'管线假设'!G139*IF(E560="USD",'管线假设'!I139,1)-AM560</x:f>
        <x:v>0.065208</x:v>
      </x:c>
      <x:c r="M560" s="11" t="n">
        <x:f>'管线假设'!H139</x:f>
        <x:v>0.125</x:v>
      </x:c>
      <x:c r="N560" s="11" t="n">
        <x:f>IF(G560,L560*AN560/(1+M560)^F560,0)</x:f>
        <x:v>0.01586611547373532</x:v>
      </x:c>
      <x:c r="AJ560" t="n">
        <x:v>0</x:v>
      </x:c>
      <x:c r="AK560" t="n">
        <x:v>0</x:v>
      </x:c>
      <x:c r="AL560" t="n">
        <x:v>0</x:v>
      </x:c>
      <x:c r="AM560" t="n">
        <x:f>CHOOSE('假设'!$B$3,AJ560,AK560,AL560)</x:f>
        <x:v>0</x:v>
      </x:c>
      <x:c r="AN560" t="n">
        <x:v>1</x:v>
      </x:c>
    </x:row>
    <x:row r="561" ht="23" customHeight="1">
      <x:c r="A561" s="11" t="str">
        <x:v>688192.SH</x:v>
      </x:c>
      <x:c r="B561" s="11" t="str">
        <x:v>2026年底</x:v>
      </x:c>
      <x:c r="C561" s="11" t="str">
        <x:v>goli_first</x:v>
      </x:c>
      <x:c r="D561" s="11" t="str">
        <x:v>2039-12-31</x:v>
      </x:c>
      <x:c r="E561" s="11" t="str">
        <x:v>CNY</x:v>
      </x:c>
      <x:c r="F561" s="11" t="n">
        <x:v>12.999315537303216</x:v>
      </x:c>
      <x:c r="G561" s="26" t="b">
        <x:v>1</x:v>
      </x:c>
      <x:c r="H561" s="16" t="n">
        <x:v>0.20800000000000002</x:v>
      </x:c>
      <x:c r="I561" s="16" t="n">
        <x:v>0.38</x:v>
      </x:c>
      <x:c r="J561" s="16" t="n">
        <x:v>0.42000000000000004</x:v>
      </x:c>
      <x:c r="K561" s="11" t="n">
        <x:f>CHOOSE('假设'!$B$3,H561,I561,J561)</x:f>
        <x:v>0.38</x:v>
      </x:c>
      <x:c r="L561" s="11" t="n">
        <x:f>K561*'管线假设'!E139*'管线假设'!F139*'管线假设'!G139*IF(E561="USD",'管线假设'!I139,1)-AM561</x:f>
        <x:v>0.05016000000000001</x:v>
      </x:c>
      <x:c r="M561" s="11" t="n">
        <x:f>'管线假设'!H139</x:f>
        <x:v>0.125</x:v>
      </x:c>
      <x:c r="N561" s="11" t="n">
        <x:f>IF(G561,L561*AN561/(1+M561)^F561,0)</x:f>
        <x:v>0.010849500595752497</x:v>
      </x:c>
      <x:c r="AJ561" t="n">
        <x:v>0</x:v>
      </x:c>
      <x:c r="AK561" t="n">
        <x:v>0</x:v>
      </x:c>
      <x:c r="AL561" t="n">
        <x:v>0</x:v>
      </x:c>
      <x:c r="AM561" t="n">
        <x:f>CHOOSE('假设'!$B$3,AJ561,AK561,AL561)</x:f>
        <x:v>0</x:v>
      </x:c>
      <x:c r="AN561" t="n">
        <x:v>1</x:v>
      </x:c>
    </x:row>
    <x:row r="562" ht="23" customHeight="1">
      <x:c r="A562" s="11" t="str">
        <x:v>688192.SH</x:v>
      </x:c>
      <x:c r="B562" s="11" t="str">
        <x:v>2026年底</x:v>
      </x:c>
      <x:c r="C562" s="11" t="str">
        <x:v>goli_first</x:v>
      </x:c>
      <x:c r="D562" s="11" t="str">
        <x:v>2040-12-31</x:v>
      </x:c>
      <x:c r="E562" s="11" t="str">
        <x:v>CNY</x:v>
      </x:c>
      <x:c r="F562" s="11" t="n">
        <x:v>14.001368925393566</x:v>
      </x:c>
      <x:c r="G562" s="26" t="b">
        <x:v>1</x:v>
      </x:c>
      <x:c r="H562" s="16" t="n">
        <x:v>0.16000000000000003</x:v>
      </x:c>
      <x:c r="I562" s="16" t="n">
        <x:v>0.266</x:v>
      </x:c>
      <x:c r="J562" s="16" t="n">
        <x:v>0.24000000000000005</x:v>
      </x:c>
      <x:c r="K562" s="11" t="n">
        <x:f>CHOOSE('假设'!$B$3,H562,I562,J562)</x:f>
        <x:v>0.266</x:v>
      </x:c>
      <x:c r="L562" s="11" t="n">
        <x:f>K562*'管线假设'!E139*'管线假设'!F139*'管线假设'!G139*IF(E562="USD",'管线假设'!I139,1)-AM562</x:f>
        <x:v>0.035112000000000004</x:v>
      </x:c>
      <x:c r="M562" s="11" t="n">
        <x:f>'管线假设'!H139</x:f>
        <x:v>0.125</x:v>
      </x:c>
      <x:c r="N562" s="11" t="n">
        <x:f>IF(G562,L562*AN562/(1+M562)^F562,0)</x:f>
        <x:v>0.006749167858132429</x:v>
      </x:c>
      <x:c r="AJ562" t="n">
        <x:v>0</x:v>
      </x:c>
      <x:c r="AK562" t="n">
        <x:v>0</x:v>
      </x:c>
      <x:c r="AL562" t="n">
        <x:v>0</x:v>
      </x:c>
      <x:c r="AM562" t="n">
        <x:f>CHOOSE('假设'!$B$3,AJ562,AK562,AL562)</x:f>
        <x:v>0</x:v>
      </x:c>
      <x:c r="AN562" t="n">
        <x:v>1</x:v>
      </x:c>
    </x:row>
    <x:row r="563" ht="23" customHeight="1">
      <x:c r="A563" s="11" t="str">
        <x:v>688192.SH</x:v>
      </x:c>
      <x:c r="B563" s="11" t="str">
        <x:v>2026年底</x:v>
      </x:c>
      <x:c r="C563" s="11" t="str">
        <x:v>goli_first</x:v>
      </x:c>
      <x:c r="D563" s="11" t="str">
        <x:v>2041-12-31</x:v>
      </x:c>
      <x:c r="E563" s="11" t="str">
        <x:v>CNY</x:v>
      </x:c>
      <x:c r="F563" s="11" t="n">
        <x:v>15.000684462696784</x:v>
      </x:c>
      <x:c r="G563" s="26" t="b">
        <x:v>1</x:v>
      </x:c>
      <x:c r="H563" s="16" t="n">
        <x:v>0.11200000000000002</x:v>
      </x:c>
      <x:c r="I563" s="16" t="n">
        <x:v>0.15200000000000002</x:v>
      </x:c>
      <x:c r="J563" s="16" t="n">
        <x:v>0.06000000000000005</x:v>
      </x:c>
      <x:c r="K563" s="11" t="n">
        <x:f>CHOOSE('假设'!$B$3,H563,I563,J563)</x:f>
        <x:v>0.15200000000000002</x:v>
      </x:c>
      <x:c r="L563" s="11" t="n">
        <x:f>K563*'管线假设'!E139*'管线假设'!F139*'管线假设'!G139*IF(E563="USD",'管线假设'!I139,1)-AM563</x:f>
        <x:v>0.020064000000000005</x:v>
      </x:c>
      <x:c r="M563" s="11" t="n">
        <x:f>'管线假设'!H139</x:f>
        <x:v>0.125</x:v>
      </x:c>
      <x:c r="N563" s="11" t="n">
        <x:f>IF(G563,L563*AN563/(1+M563)^F563,0)</x:f>
        <x:v>0.00342842513529685</x:v>
      </x:c>
      <x:c r="AJ563" t="n">
        <x:v>0</x:v>
      </x:c>
      <x:c r="AK563" t="n">
        <x:v>0</x:v>
      </x:c>
      <x:c r="AL563" t="n">
        <x:v>0</x:v>
      </x:c>
      <x:c r="AM563" t="n">
        <x:f>CHOOSE('假设'!$B$3,AJ563,AK563,AL563)</x:f>
        <x:v>0</x:v>
      </x:c>
      <x:c r="AN563" t="n">
        <x:v>1</x:v>
      </x:c>
    </x:row>
    <x:row r="564" ht="23" customHeight="1">
      <x:c r="A564" s="11" t="str">
        <x:v>688192.SH</x:v>
      </x:c>
      <x:c r="B564" s="11" t="str">
        <x:v>2026年底</x:v>
      </x:c>
      <x:c r="C564" s="11" t="str">
        <x:v>goli_first</x:v>
      </x:c>
      <x:c r="D564" s="11" t="str">
        <x:v>2042-12-31</x:v>
      </x:c>
      <x:c r="E564" s="11" t="str">
        <x:v>CNY</x:v>
      </x:c>
      <x:c r="F564" s="11" t="n">
        <x:v>16</x:v>
      </x:c>
      <x:c r="G564" s="26" t="b">
        <x:v>1</x:v>
      </x:c>
      <x:c r="H564" s="16" t="n">
        <x:v>0.06400000000000002</x:v>
      </x:c>
      <x:c r="I564" s="16" t="n">
        <x:v>0.038000000000000034</x:v>
      </x:c>
      <x:c r="J564" s="16" t="n">
        <x:v>0</x:v>
      </x:c>
      <x:c r="K564" s="11" t="n">
        <x:f>CHOOSE('假设'!$B$3,H564,I564,J564)</x:f>
        <x:v>0.038000000000000034</x:v>
      </x:c>
      <x:c r="L564" s="11" t="n">
        <x:f>K564*'管线假设'!E139*'管线假设'!F139*'管线假设'!G139*IF(E564="USD",'管线假设'!I139,1)-AM564</x:f>
        <x:v>0.005016000000000005</x:v>
      </x:c>
      <x:c r="M564" s="11" t="n">
        <x:f>'管线假设'!H139</x:f>
        <x:v>0.125</x:v>
      </x:c>
      <x:c r="N564" s="11" t="n">
        <x:f>IF(G564,L564*AN564/(1+M564)^F564,0)</x:f>
        <x:v>0.0007619336754530844</x:v>
      </x:c>
      <x:c r="AJ564" t="n">
        <x:v>0</x:v>
      </x:c>
      <x:c r="AK564" t="n">
        <x:v>0</x:v>
      </x:c>
      <x:c r="AL564" t="n">
        <x:v>0</x:v>
      </x:c>
      <x:c r="AM564" t="n">
        <x:f>CHOOSE('假设'!$B$3,AJ564,AK564,AL564)</x:f>
        <x:v>0</x:v>
      </x:c>
      <x:c r="AN564" t="n">
        <x:v>1</x:v>
      </x:c>
    </x:row>
    <x:row r="565" ht="23" customHeight="1">
      <x:c r="A565" s="11" t="str">
        <x:v>688192.SH</x:v>
      </x:c>
      <x:c r="B565" s="11" t="str">
        <x:v>2026年底</x:v>
      </x:c>
      <x:c r="C565" s="11" t="str">
        <x:v>goli_first</x:v>
      </x:c>
      <x:c r="D565" s="11" t="str">
        <x:v>2043-12-31</x:v>
      </x:c>
      <x:c r="E565" s="11" t="str">
        <x:v>CNY</x:v>
      </x:c>
      <x:c r="F565" s="11" t="n">
        <x:v>16.999315537303218</x:v>
      </x:c>
      <x:c r="G565" s="26" t="b">
        <x:v>1</x:v>
      </x:c>
      <x:c r="H565" s="16" t="n">
        <x:v>0.016000000000000014</x:v>
      </x:c>
      <x:c r="I565" s="16" t="n">
        <x:v>0</x:v>
      </x:c>
      <x:c r="J565" s="16" t="n">
        <x:v>0</x:v>
      </x:c>
      <x:c r="K565" s="11" t="n">
        <x:f>CHOOSE('假设'!$B$3,H565,I565,J565)</x:f>
        <x:v>0</x:v>
      </x:c>
      <x:c r="L565" s="11" t="n">
        <x:f>K565*'管线假设'!E139*'管线假设'!F139*'管线假设'!G139*IF(E565="USD",'管线假设'!I139,1)-AM565</x:f>
        <x:v>0</x:v>
      </x:c>
      <x:c r="M565" s="11" t="n">
        <x:f>'管线假设'!H139</x:f>
        <x:v>0.125</x:v>
      </x:c>
      <x:c r="N565" s="11" t="n">
        <x:f>IF(G565,L565*AN565/(1+M565)^F565,0)</x:f>
        <x:v>0</x:v>
      </x:c>
      <x:c r="AJ565" t="n">
        <x:v>0</x:v>
      </x:c>
      <x:c r="AK565" t="n">
        <x:v>0</x:v>
      </x:c>
      <x:c r="AL565" t="n">
        <x:v>0</x:v>
      </x:c>
      <x:c r="AM565" t="n">
        <x:f>CHOOSE('假设'!$B$3,AJ565,AK565,AL565)</x:f>
        <x:v>0</x:v>
      </x:c>
      <x:c r="AN565" t="n">
        <x:v>1</x:v>
      </x:c>
    </x:row>
    <x:row r="566" ht="23" customHeight="1">
      <x:c r="A566" s="11" t="str">
        <x:v>688192.SH</x:v>
      </x:c>
      <x:c r="B566" s="11" t="str">
        <x:v>2026年底</x:v>
      </x:c>
      <x:c r="C566" s="11" t="str">
        <x:v>goli_first</x:v>
      </x:c>
      <x:c r="D566" s="11" t="str">
        <x:v>2044-12-31</x:v>
      </x:c>
      <x:c r="E566" s="11" t="str">
        <x:v>CNY</x:v>
      </x:c>
      <x:c r="F566" s="11" t="n">
        <x:v>18.001368925393567</x:v>
      </x:c>
      <x:c r="G566" s="26" t="b">
        <x:v>1</x:v>
      </x:c>
      <x:c r="H566" s="16" t="n">
        <x:v>0</x:v>
      </x:c>
      <x:c r="I566" s="16" t="n">
        <x:v>0</x:v>
      </x:c>
      <x:c r="J566" s="16" t="n">
        <x:v>0</x:v>
      </x:c>
      <x:c r="K566" s="11" t="n">
        <x:f>CHOOSE('假设'!$B$3,H566,I566,J566)</x:f>
        <x:v>0</x:v>
      </x:c>
      <x:c r="L566" s="11" t="n">
        <x:f>K566*'管线假设'!E139*'管线假设'!F139*'管线假设'!G139*IF(E566="USD",'管线假设'!I139,1)-AM566</x:f>
        <x:v>0</x:v>
      </x:c>
      <x:c r="M566" s="11" t="n">
        <x:f>'管线假设'!H139</x:f>
        <x:v>0.125</x:v>
      </x:c>
      <x:c r="N566" s="11" t="n">
        <x:f>IF(G566,L566*AN566/(1+M566)^F566,0)</x:f>
        <x:v>0</x:v>
      </x:c>
      <x:c r="AJ566" t="n">
        <x:v>0</x:v>
      </x:c>
      <x:c r="AK566" t="n">
        <x:v>0</x:v>
      </x:c>
      <x:c r="AL566" t="n">
        <x:v>0</x:v>
      </x:c>
      <x:c r="AM566" t="n">
        <x:f>CHOOSE('假设'!$B$3,AJ566,AK566,AL566)</x:f>
        <x:v>0</x:v>
      </x:c>
      <x:c r="AN566" t="n">
        <x:v>1</x:v>
      </x:c>
    </x:row>
    <x:row r="567" ht="23" customHeight="1">
      <x:c r="A567" s="11" t="str">
        <x:v>688192.SH</x:v>
      </x:c>
      <x:c r="B567" s="11" t="str">
        <x:v>2026年底</x:v>
      </x:c>
      <x:c r="C567" s="11" t="str">
        <x:v>goli_first</x:v>
      </x:c>
      <x:c r="D567" s="11" t="str">
        <x:v>2045-12-31</x:v>
      </x:c>
      <x:c r="E567" s="11" t="str">
        <x:v>CNY</x:v>
      </x:c>
      <x:c r="F567" s="11" t="n">
        <x:v>19.000684462696782</x:v>
      </x:c>
      <x:c r="G567" s="26" t="b">
        <x:v>1</x:v>
      </x:c>
      <x:c r="H567" s="16" t="n">
        <x:v>0</x:v>
      </x:c>
      <x:c r="I567" s="16" t="n">
        <x:v>0</x:v>
      </x:c>
      <x:c r="J567" s="16" t="n">
        <x:v>0</x:v>
      </x:c>
      <x:c r="K567" s="11" t="n">
        <x:f>CHOOSE('假设'!$B$3,H567,I567,J567)</x:f>
        <x:v>0</x:v>
      </x:c>
      <x:c r="L567" s="11" t="n">
        <x:f>K567*'管线假设'!E139*'管线假设'!F139*'管线假设'!G139*IF(E567="USD",'管线假设'!I139,1)-AM567</x:f>
        <x:v>0</x:v>
      </x:c>
      <x:c r="M567" s="11" t="n">
        <x:f>'管线假设'!H139</x:f>
        <x:v>0.125</x:v>
      </x:c>
      <x:c r="N567" s="11" t="n">
        <x:f>IF(G567,L567*AN567/(1+M567)^F567,0)</x:f>
        <x:v>0</x:v>
      </x:c>
      <x:c r="AJ567" t="n">
        <x:v>0</x:v>
      </x:c>
      <x:c r="AK567" t="n">
        <x:v>0</x:v>
      </x:c>
      <x:c r="AL567" t="n">
        <x:v>0</x:v>
      </x:c>
      <x:c r="AM567" t="n">
        <x:f>CHOOSE('假设'!$B$3,AJ567,AK567,AL567)</x:f>
        <x:v>0</x:v>
      </x:c>
      <x:c r="AN567" t="n">
        <x:v>1</x:v>
      </x:c>
    </x:row>
    <x:row r="568" ht="23" customHeight="1">
      <x:c r="A568" s="11" t="str">
        <x:v>688192.SH</x:v>
      </x:c>
      <x:c r="B568" s="11" t="str">
        <x:v>2026年底</x:v>
      </x:c>
      <x:c r="C568" s="11" t="str">
        <x:v>goli_lung</x:v>
      </x:c>
      <x:c r="D568" s="11" t="str">
        <x:v>2027-12-31</x:v>
      </x:c>
      <x:c r="E568" s="11" t="str">
        <x:v>USD</x:v>
      </x:c>
      <x:c r="F568" s="11" t="n">
        <x:v>0.999315537303217</x:v>
      </x:c>
      <x:c r="G568" s="26" t="b">
        <x:v>1</x:v>
      </x:c>
      <x:c r="H568" s="16" t="n">
        <x:v>0</x:v>
      </x:c>
      <x:c r="I568" s="16" t="n">
        <x:v>0</x:v>
      </x:c>
      <x:c r="J568" s="16" t="n">
        <x:v>0</x:v>
      </x:c>
      <x:c r="K568" s="11" t="n">
        <x:f>CHOOSE('假设'!$B$3,H568,I568,J568)</x:f>
        <x:v>0</x:v>
      </x:c>
      <x:c r="L568" s="11" t="n">
        <x:f>K568*'管线假设'!E143*'管线假设'!F143*'管线假设'!G143*IF(E568="USD",'管线假设'!I143,1)-AM568</x:f>
        <x:v>0</x:v>
      </x:c>
      <x:c r="M568" s="11" t="n">
        <x:f>'管线假设'!H143</x:f>
        <x:v>0.125</x:v>
      </x:c>
      <x:c r="N568" s="11" t="n">
        <x:f>IF(G568,L568*AN568/(1+M568)^F568,0)</x:f>
        <x:v>0</x:v>
      </x:c>
      <x:c r="AJ568" t="n">
        <x:v>0</x:v>
      </x:c>
      <x:c r="AK568" t="n">
        <x:v>0</x:v>
      </x:c>
      <x:c r="AL568" t="n">
        <x:v>0</x:v>
      </x:c>
      <x:c r="AM568" t="n">
        <x:f>CHOOSE('假设'!$B$3,AJ568,AK568,AL568)</x:f>
        <x:v>0</x:v>
      </x:c>
      <x:c r="AN568" t="n">
        <x:v>1</x:v>
      </x:c>
    </x:row>
    <x:row r="569" ht="23" customHeight="1">
      <x:c r="A569" s="11" t="str">
        <x:v>688192.SH</x:v>
      </x:c>
      <x:c r="B569" s="11" t="str">
        <x:v>2026年底</x:v>
      </x:c>
      <x:c r="C569" s="11" t="str">
        <x:v>goli_lung</x:v>
      </x:c>
      <x:c r="D569" s="11" t="str">
        <x:v>2028-12-31</x:v>
      </x:c>
      <x:c r="E569" s="11" t="str">
        <x:v>USD</x:v>
      </x:c>
      <x:c r="F569" s="11" t="n">
        <x:v>2.001368925393566</x:v>
      </x:c>
      <x:c r="G569" s="26" t="b">
        <x:v>1</x:v>
      </x:c>
      <x:c r="H569" s="16" t="n">
        <x:v>0</x:v>
      </x:c>
      <x:c r="I569" s="16" t="n">
        <x:v>0</x:v>
      </x:c>
      <x:c r="J569" s="16" t="n">
        <x:v>0</x:v>
      </x:c>
      <x:c r="K569" s="11" t="n">
        <x:f>CHOOSE('假设'!$B$3,H569,I569,J569)</x:f>
        <x:v>0</x:v>
      </x:c>
      <x:c r="L569" s="11" t="n">
        <x:f>K569*'管线假设'!E143*'管线假设'!F143*'管线假设'!G143*IF(E569="USD",'管线假设'!I143,1)-AM569</x:f>
        <x:v>0</x:v>
      </x:c>
      <x:c r="M569" s="11" t="n">
        <x:f>'管线假设'!H143</x:f>
        <x:v>0.125</x:v>
      </x:c>
      <x:c r="N569" s="11" t="n">
        <x:f>IF(G569,L569*AN569/(1+M569)^F569,0)</x:f>
        <x:v>0</x:v>
      </x:c>
      <x:c r="AJ569" t="n">
        <x:v>0</x:v>
      </x:c>
      <x:c r="AK569" t="n">
        <x:v>0</x:v>
      </x:c>
      <x:c r="AL569" t="n">
        <x:v>0</x:v>
      </x:c>
      <x:c r="AM569" t="n">
        <x:f>CHOOSE('假设'!$B$3,AJ569,AK569,AL569)</x:f>
        <x:v>0</x:v>
      </x:c>
      <x:c r="AN569" t="n">
        <x:v>1</x:v>
      </x:c>
    </x:row>
    <x:row r="570" ht="23" customHeight="1">
      <x:c r="A570" s="11" t="str">
        <x:v>688192.SH</x:v>
      </x:c>
      <x:c r="B570" s="11" t="str">
        <x:v>2026年底</x:v>
      </x:c>
      <x:c r="C570" s="11" t="str">
        <x:v>goli_lung</x:v>
      </x:c>
      <x:c r="D570" s="11" t="str">
        <x:v>2029-12-31</x:v>
      </x:c>
      <x:c r="E570" s="11" t="str">
        <x:v>USD</x:v>
      </x:c>
      <x:c r="F570" s="11" t="n">
        <x:v>3.0006844626967832</x:v>
      </x:c>
      <x:c r="G570" s="26" t="b">
        <x:v>1</x:v>
      </x:c>
      <x:c r="H570" s="16" t="n">
        <x:v>0</x:v>
      </x:c>
      <x:c r="I570" s="16" t="n">
        <x:v>0</x:v>
      </x:c>
      <x:c r="J570" s="16" t="n">
        <x:v>0</x:v>
      </x:c>
      <x:c r="K570" s="11" t="n">
        <x:f>CHOOSE('假设'!$B$3,H570,I570,J570)</x:f>
        <x:v>0</x:v>
      </x:c>
      <x:c r="L570" s="11" t="n">
        <x:f>K570*'管线假设'!E143*'管线假设'!F143*'管线假设'!G143*IF(E570="USD",'管线假设'!I143,1)-AM570</x:f>
        <x:v>0</x:v>
      </x:c>
      <x:c r="M570" s="11" t="n">
        <x:f>'管线假设'!H143</x:f>
        <x:v>0.125</x:v>
      </x:c>
      <x:c r="N570" s="11" t="n">
        <x:f>IF(G570,L570*AN570/(1+M570)^F570,0)</x:f>
        <x:v>0</x:v>
      </x:c>
      <x:c r="AJ570" t="n">
        <x:v>0</x:v>
      </x:c>
      <x:c r="AK570" t="n">
        <x:v>0</x:v>
      </x:c>
      <x:c r="AL570" t="n">
        <x:v>0</x:v>
      </x:c>
      <x:c r="AM570" t="n">
        <x:f>CHOOSE('假设'!$B$3,AJ570,AK570,AL570)</x:f>
        <x:v>0</x:v>
      </x:c>
      <x:c r="AN570" t="n">
        <x:v>1</x:v>
      </x:c>
    </x:row>
    <x:row r="571" ht="23" customHeight="1">
      <x:c r="A571" s="11" t="str">
        <x:v>688192.SH</x:v>
      </x:c>
      <x:c r="B571" s="11" t="str">
        <x:v>2026年底</x:v>
      </x:c>
      <x:c r="C571" s="11" t="str">
        <x:v>goli_lung</x:v>
      </x:c>
      <x:c r="D571" s="11" t="str">
        <x:v>2030-12-31</x:v>
      </x:c>
      <x:c r="E571" s="11" t="str">
        <x:v>USD</x:v>
      </x:c>
      <x:c r="F571" s="11" t="n">
        <x:v>4</x:v>
      </x:c>
      <x:c r="G571" s="26" t="b">
        <x:v>1</x:v>
      </x:c>
      <x:c r="H571" s="16" t="n">
        <x:v>0</x:v>
      </x:c>
      <x:c r="I571" s="16" t="n">
        <x:v>0</x:v>
      </x:c>
      <x:c r="J571" s="16" t="n">
        <x:v>0.5833333333333333</x:v>
      </x:c>
      <x:c r="K571" s="11" t="n">
        <x:f>CHOOSE('假设'!$B$3,H571,I571,J571)</x:f>
        <x:v>0</x:v>
      </x:c>
      <x:c r="L571" s="11" t="n">
        <x:f>K571*'管线假设'!E143*'管线假设'!F143*'管线假设'!G143*IF(E571="USD",'管线假设'!I143,1)-AM571</x:f>
        <x:v>0</x:v>
      </x:c>
      <x:c r="M571" s="11" t="n">
        <x:f>'管线假设'!H143</x:f>
        <x:v>0.125</x:v>
      </x:c>
      <x:c r="N571" s="11" t="n">
        <x:f>IF(G571,L571*AN571/(1+M571)^F571,0)</x:f>
        <x:v>0</x:v>
      </x:c>
      <x:c r="AJ571" t="n">
        <x:v>0</x:v>
      </x:c>
      <x:c r="AK571" t="n">
        <x:v>0</x:v>
      </x:c>
      <x:c r="AL571" t="n">
        <x:v>0</x:v>
      </x:c>
      <x:c r="AM571" t="n">
        <x:f>CHOOSE('假设'!$B$3,AJ571,AK571,AL571)</x:f>
        <x:v>0</x:v>
      </x:c>
      <x:c r="AN571" t="n">
        <x:v>1</x:v>
      </x:c>
    </x:row>
    <x:row r="572" ht="23" customHeight="1">
      <x:c r="A572" s="11" t="str">
        <x:v>688192.SH</x:v>
      </x:c>
      <x:c r="B572" s="11" t="str">
        <x:v>2026年底</x:v>
      </x:c>
      <x:c r="C572" s="11" t="str">
        <x:v>goli_lung</x:v>
      </x:c>
      <x:c r="D572" s="11" t="str">
        <x:v>2031-12-31</x:v>
      </x:c>
      <x:c r="E572" s="11" t="str">
        <x:v>USD</x:v>
      </x:c>
      <x:c r="F572" s="11" t="n">
        <x:v>4.999315537303217</x:v>
      </x:c>
      <x:c r="G572" s="26" t="b">
        <x:v>1</x:v>
      </x:c>
      <x:c r="H572" s="16" t="n">
        <x:v>0</x:v>
      </x:c>
      <x:c r="I572" s="16" t="n">
        <x:v>0</x:v>
      </x:c>
      <x:c r="J572" s="16" t="n">
        <x:v>1.1666666666666665</x:v>
      </x:c>
      <x:c r="K572" s="11" t="n">
        <x:f>CHOOSE('假设'!$B$3,H572,I572,J572)</x:f>
        <x:v>0</x:v>
      </x:c>
      <x:c r="L572" s="11" t="n">
        <x:f>K572*'管线假设'!E143*'管线假设'!F143*'管线假设'!G143*IF(E572="USD",'管线假设'!I143,1)-AM572</x:f>
        <x:v>0</x:v>
      </x:c>
      <x:c r="M572" s="11" t="n">
        <x:f>'管线假设'!H143</x:f>
        <x:v>0.125</x:v>
      </x:c>
      <x:c r="N572" s="11" t="n">
        <x:f>IF(G572,L572*AN572/(1+M572)^F572,0)</x:f>
        <x:v>0</x:v>
      </x:c>
      <x:c r="AJ572" t="n">
        <x:v>0</x:v>
      </x:c>
      <x:c r="AK572" t="n">
        <x:v>0</x:v>
      </x:c>
      <x:c r="AL572" t="n">
        <x:v>0</x:v>
      </x:c>
      <x:c r="AM572" t="n">
        <x:f>CHOOSE('假设'!$B$3,AJ572,AK572,AL572)</x:f>
        <x:v>0</x:v>
      </x:c>
      <x:c r="AN572" t="n">
        <x:v>1</x:v>
      </x:c>
    </x:row>
    <x:row r="573" ht="23" customHeight="1">
      <x:c r="A573" s="11" t="str">
        <x:v>688192.SH</x:v>
      </x:c>
      <x:c r="B573" s="11" t="str">
        <x:v>2026年底</x:v>
      </x:c>
      <x:c r="C573" s="11" t="str">
        <x:v>goli_lung</x:v>
      </x:c>
      <x:c r="D573" s="11" t="str">
        <x:v>2032-12-31</x:v>
      </x:c>
      <x:c r="E573" s="11" t="str">
        <x:v>USD</x:v>
      </x:c>
      <x:c r="F573" s="11" t="n">
        <x:v>6.0013689253935665</x:v>
      </x:c>
      <x:c r="G573" s="26" t="b">
        <x:v>1</x:v>
      </x:c>
      <x:c r="H573" s="16" t="n">
        <x:v>0</x:v>
      </x:c>
      <x:c r="I573" s="16" t="n">
        <x:v>0.3</x:v>
      </x:c>
      <x:c r="J573" s="16" t="n">
        <x:v>1.75</x:v>
      </x:c>
      <x:c r="K573" s="11" t="n">
        <x:f>CHOOSE('假设'!$B$3,H573,I573,J573)</x:f>
        <x:v>0.3</x:v>
      </x:c>
      <x:c r="L573" s="11" t="n">
        <x:f>K573*'管线假设'!E143*'管线假设'!F143*'管线假设'!G143*IF(E573="USD",'管线假设'!I143,1)-AM573</x:f>
        <x:v>0.12239999999999997</x:v>
      </x:c>
      <x:c r="M573" s="11" t="n">
        <x:f>'管线假设'!H143</x:f>
        <x:v>0.125</x:v>
      </x:c>
      <x:c r="N573" s="11" t="n">
        <x:f>IF(G573,L573*AN573/(1+M573)^F573,0)</x:f>
        <x:v>0.06036653649998827</x:v>
      </x:c>
      <x:c r="AJ573" t="n">
        <x:v>0</x:v>
      </x:c>
      <x:c r="AK573" t="n">
        <x:v>0</x:v>
      </x:c>
      <x:c r="AL573" t="n">
        <x:v>0</x:v>
      </x:c>
      <x:c r="AM573" t="n">
        <x:f>CHOOSE('假设'!$B$3,AJ573,AK573,AL573)</x:f>
        <x:v>0</x:v>
      </x:c>
      <x:c r="AN573" t="n">
        <x:v>1</x:v>
      </x:c>
    </x:row>
    <x:row r="574" ht="23" customHeight="1">
      <x:c r="A574" s="11" t="str">
        <x:v>688192.SH</x:v>
      </x:c>
      <x:c r="B574" s="11" t="str">
        <x:v>2026年底</x:v>
      </x:c>
      <x:c r="C574" s="11" t="str">
        <x:v>goli_lung</x:v>
      </x:c>
      <x:c r="D574" s="11" t="str">
        <x:v>2033-12-31</x:v>
      </x:c>
      <x:c r="E574" s="11" t="str">
        <x:v>USD</x:v>
      </x:c>
      <x:c r="F574" s="11" t="n">
        <x:v>7.000684462696783</x:v>
      </x:c>
      <x:c r="G574" s="26" t="b">
        <x:v>1</x:v>
      </x:c>
      <x:c r="H574" s="16" t="n">
        <x:v>0</x:v>
      </x:c>
      <x:c r="I574" s="16" t="n">
        <x:v>0.6</x:v>
      </x:c>
      <x:c r="J574" s="16" t="n">
        <x:v>2.333333333333333</x:v>
      </x:c>
      <x:c r="K574" s="11" t="n">
        <x:f>CHOOSE('假设'!$B$3,H574,I574,J574)</x:f>
        <x:v>0.6</x:v>
      </x:c>
      <x:c r="L574" s="11" t="n">
        <x:f>K574*'管线假设'!E143*'管线假设'!F143*'管线假设'!G143*IF(E574="USD",'管线假设'!I143,1)-AM574</x:f>
        <x:v>0.24479999999999993</x:v>
      </x:c>
      <x:c r="M574" s="11" t="n">
        <x:f>'管线假设'!H143</x:f>
        <x:v>0.125</x:v>
      </x:c>
      <x:c r="N574" s="11" t="n">
        <x:f>IF(G574,L574*AN574/(1+M574)^F574,0)</x:f>
        <x:v>0.10732693925562721</x:v>
      </x:c>
      <x:c r="AJ574" t="n">
        <x:v>0</x:v>
      </x:c>
      <x:c r="AK574" t="n">
        <x:v>0</x:v>
      </x:c>
      <x:c r="AL574" t="n">
        <x:v>0</x:v>
      </x:c>
      <x:c r="AM574" t="n">
        <x:f>CHOOSE('假设'!$B$3,AJ574,AK574,AL574)</x:f>
        <x:v>0</x:v>
      </x:c>
      <x:c r="AN574" t="n">
        <x:v>1</x:v>
      </x:c>
    </x:row>
    <x:row r="575" ht="23" customHeight="1">
      <x:c r="A575" s="11" t="str">
        <x:v>688192.SH</x:v>
      </x:c>
      <x:c r="B575" s="11" t="str">
        <x:v>2026年底</x:v>
      </x:c>
      <x:c r="C575" s="11" t="str">
        <x:v>goli_lung</x:v>
      </x:c>
      <x:c r="D575" s="11" t="str">
        <x:v>2034-12-31</x:v>
      </x:c>
      <x:c r="E575" s="11" t="str">
        <x:v>USD</x:v>
      </x:c>
      <x:c r="F575" s="11" t="n">
        <x:v>8</x:v>
      </x:c>
      <x:c r="G575" s="26" t="b">
        <x:v>1</x:v>
      </x:c>
      <x:c r="H575" s="16" t="n">
        <x:v>0.12</x:v>
      </x:c>
      <x:c r="I575" s="16" t="n">
        <x:v>0.9</x:v>
      </x:c>
      <x:c r="J575" s="16" t="n">
        <x:v>2.916666666666667</x:v>
      </x:c>
      <x:c r="K575" s="11" t="n">
        <x:f>CHOOSE('假设'!$B$3,H575,I575,J575)</x:f>
        <x:v>0.9</x:v>
      </x:c>
      <x:c r="L575" s="11" t="n">
        <x:f>K575*'管线假设'!E143*'管线假设'!F143*'管线假设'!G143*IF(E575="USD",'管线假设'!I143,1)-AM575</x:f>
        <x:v>0.3671999999999999</x:v>
      </x:c>
      <x:c r="M575" s="11" t="n">
        <x:f>'管线假设'!H143</x:f>
        <x:v>0.125</x:v>
      </x:c>
      <x:c r="N575" s="11" t="n">
        <x:f>IF(G575,L575*AN575/(1+M575)^F575,0)</x:f>
        <x:v>0.14311412279694888</x:v>
      </x:c>
      <x:c r="AJ575" t="n">
        <x:v>0</x:v>
      </x:c>
      <x:c r="AK575" t="n">
        <x:v>0</x:v>
      </x:c>
      <x:c r="AL575" t="n">
        <x:v>0</x:v>
      </x:c>
      <x:c r="AM575" t="n">
        <x:f>CHOOSE('假设'!$B$3,AJ575,AK575,AL575)</x:f>
        <x:v>0</x:v>
      </x:c>
      <x:c r="AN575" t="n">
        <x:v>1</x:v>
      </x:c>
    </x:row>
    <x:row r="576" ht="23" customHeight="1">
      <x:c r="A576" s="11" t="str">
        <x:v>688192.SH</x:v>
      </x:c>
      <x:c r="B576" s="11" t="str">
        <x:v>2026年底</x:v>
      </x:c>
      <x:c r="C576" s="11" t="str">
        <x:v>goli_lung</x:v>
      </x:c>
      <x:c r="D576" s="11" t="str">
        <x:v>2035-12-31</x:v>
      </x:c>
      <x:c r="E576" s="11" t="str">
        <x:v>USD</x:v>
      </x:c>
      <x:c r="F576" s="11" t="n">
        <x:v>8.999315537303216</x:v>
      </x:c>
      <x:c r="G576" s="26" t="b">
        <x:v>1</x:v>
      </x:c>
      <x:c r="H576" s="16" t="n">
        <x:v>0.24</x:v>
      </x:c>
      <x:c r="I576" s="16" t="n">
        <x:v>1.2</x:v>
      </x:c>
      <x:c r="J576" s="16" t="n">
        <x:v>3.5</x:v>
      </x:c>
      <x:c r="K576" s="11" t="n">
        <x:f>CHOOSE('假设'!$B$3,H576,I576,J576)</x:f>
        <x:v>1.2</x:v>
      </x:c>
      <x:c r="L576" s="11" t="n">
        <x:f>K576*'管线假设'!E143*'管线假设'!F143*'管线假设'!G143*IF(E576="USD",'管线假设'!I143,1)-AM576</x:f>
        <x:v>0.48959999999999987</x:v>
      </x:c>
      <x:c r="M576" s="11" t="n">
        <x:f>'管线假设'!H143</x:f>
        <x:v>0.125</x:v>
      </x:c>
      <x:c r="N576" s="11" t="n">
        <x:f>IF(G576,L576*AN576/(1+M576)^F576,0)</x:f>
        <x:v>0.16963041285910108</x:v>
      </x:c>
      <x:c r="AJ576" t="n">
        <x:v>0</x:v>
      </x:c>
      <x:c r="AK576" t="n">
        <x:v>0</x:v>
      </x:c>
      <x:c r="AL576" t="n">
        <x:v>0</x:v>
      </x:c>
      <x:c r="AM576" t="n">
        <x:f>CHOOSE('假设'!$B$3,AJ576,AK576,AL576)</x:f>
        <x:v>0</x:v>
      </x:c>
      <x:c r="AN576" t="n">
        <x:v>1</x:v>
      </x:c>
    </x:row>
    <x:row r="577" ht="23" customHeight="1">
      <x:c r="A577" s="11" t="str">
        <x:v>688192.SH</x:v>
      </x:c>
      <x:c r="B577" s="11" t="str">
        <x:v>2026年底</x:v>
      </x:c>
      <x:c r="C577" s="11" t="str">
        <x:v>goli_lung</x:v>
      </x:c>
      <x:c r="D577" s="11" t="str">
        <x:v>2036-12-31</x:v>
      </x:c>
      <x:c r="E577" s="11" t="str">
        <x:v>USD</x:v>
      </x:c>
      <x:c r="F577" s="11" t="n">
        <x:v>10.001368925393566</x:v>
      </x:c>
      <x:c r="G577" s="26" t="b">
        <x:v>1</x:v>
      </x:c>
      <x:c r="H577" s="16" t="n">
        <x:v>0.36</x:v>
      </x:c>
      <x:c r="I577" s="16" t="n">
        <x:v>1.5</x:v>
      </x:c>
      <x:c r="J577" s="16" t="n">
        <x:v>3.08</x:v>
      </x:c>
      <x:c r="K577" s="11" t="n">
        <x:f>CHOOSE('假设'!$B$3,H577,I577,J577)</x:f>
        <x:v>1.5</x:v>
      </x:c>
      <x:c r="L577" s="11" t="n">
        <x:f>K577*'管线假设'!E143*'管线假设'!F143*'管线假设'!G143*IF(E577="USD",'管线假设'!I143,1)-AM577</x:f>
        <x:v>0.6119999999999999</x:v>
      </x:c>
      <x:c r="M577" s="11" t="n">
        <x:f>'管线假设'!H143</x:f>
        <x:v>0.125</x:v>
      </x:c>
      <x:c r="N577" s="11" t="n">
        <x:f>IF(G577,L577*AN577/(1+M577)^F577,0)</x:f>
        <x:v>0.1884326577533547</x:v>
      </x:c>
      <x:c r="AJ577" t="n">
        <x:v>0</x:v>
      </x:c>
      <x:c r="AK577" t="n">
        <x:v>0</x:v>
      </x:c>
      <x:c r="AL577" t="n">
        <x:v>0</x:v>
      </x:c>
      <x:c r="AM577" t="n">
        <x:f>CHOOSE('假设'!$B$3,AJ577,AK577,AL577)</x:f>
        <x:v>0</x:v>
      </x:c>
      <x:c r="AN577" t="n">
        <x:v>1</x:v>
      </x:c>
    </x:row>
    <x:row r="578" ht="23" customHeight="1">
      <x:c r="A578" s="11" t="str">
        <x:v>688192.SH</x:v>
      </x:c>
      <x:c r="B578" s="11" t="str">
        <x:v>2026年底</x:v>
      </x:c>
      <x:c r="C578" s="11" t="str">
        <x:v>goli_lung</x:v>
      </x:c>
      <x:c r="D578" s="11" t="str">
        <x:v>2037-12-31</x:v>
      </x:c>
      <x:c r="E578" s="11" t="str">
        <x:v>USD</x:v>
      </x:c>
      <x:c r="F578" s="11" t="n">
        <x:v>11.000684462696784</x:v>
      </x:c>
      <x:c r="G578" s="26" t="b">
        <x:v>1</x:v>
      </x:c>
      <x:c r="H578" s="16" t="n">
        <x:v>0.48</x:v>
      </x:c>
      <x:c r="I578" s="16" t="n">
        <x:v>1.8</x:v>
      </x:c>
      <x:c r="J578" s="16" t="n">
        <x:v>2.66</x:v>
      </x:c>
      <x:c r="K578" s="11" t="n">
        <x:f>CHOOSE('假设'!$B$3,H578,I578,J578)</x:f>
        <x:v>1.8</x:v>
      </x:c>
      <x:c r="L578" s="11" t="n">
        <x:f>K578*'管线假设'!E143*'管线假设'!F143*'管线假设'!G143*IF(E578="USD",'管线假设'!I143,1)-AM578</x:f>
        <x:v>0.7343999999999998</x:v>
      </x:c>
      <x:c r="M578" s="11" t="n">
        <x:f>'管线假设'!H143</x:f>
        <x:v>0.125</x:v>
      </x:c>
      <x:c r="N578" s="11" t="n">
        <x:f>IF(G578,L578*AN578/(1+M578)^F578,0)</x:f>
        <x:v>0.20101103941063056</x:v>
      </x:c>
      <x:c r="AJ578" t="n">
        <x:v>0</x:v>
      </x:c>
      <x:c r="AK578" t="n">
        <x:v>0</x:v>
      </x:c>
      <x:c r="AL578" t="n">
        <x:v>0</x:v>
      </x:c>
      <x:c r="AM578" t="n">
        <x:f>CHOOSE('假设'!$B$3,AJ578,AK578,AL578)</x:f>
        <x:v>0</x:v>
      </x:c>
      <x:c r="AN578" t="n">
        <x:v>1</x:v>
      </x:c>
    </x:row>
    <x:row r="579" ht="23" customHeight="1">
      <x:c r="A579" s="11" t="str">
        <x:v>688192.SH</x:v>
      </x:c>
      <x:c r="B579" s="11" t="str">
        <x:v>2026年底</x:v>
      </x:c>
      <x:c r="C579" s="11" t="str">
        <x:v>goli_lung</x:v>
      </x:c>
      <x:c r="D579" s="11" t="str">
        <x:v>2038-12-31</x:v>
      </x:c>
      <x:c r="E579" s="11" t="str">
        <x:v>USD</x:v>
      </x:c>
      <x:c r="F579" s="11" t="n">
        <x:v>12</x:v>
      </x:c>
      <x:c r="G579" s="26" t="b">
        <x:v>1</x:v>
      </x:c>
      <x:c r="H579" s="16" t="n">
        <x:v>0.6</x:v>
      </x:c>
      <x:c r="I579" s="16" t="n">
        <x:v>1.584</x:v>
      </x:c>
      <x:c r="J579" s="16" t="n">
        <x:v>2.24</x:v>
      </x:c>
      <x:c r="K579" s="11" t="n">
        <x:f>CHOOSE('假设'!$B$3,H579,I579,J579)</x:f>
        <x:v>1.584</x:v>
      </x:c>
      <x:c r="L579" s="11" t="n">
        <x:f>K579*'管线假设'!E143*'管线假设'!F143*'管线假设'!G143*IF(E579="USD",'管线假设'!I143,1)-AM579</x:f>
        <x:v>0.6462719999999998</x:v>
      </x:c>
      <x:c r="M579" s="11" t="n">
        <x:f>'管线假设'!H143</x:f>
        <x:v>0.125</x:v>
      </x:c>
      <x:c r="N579" s="11" t="n">
        <x:f>IF(G579,L579*AN579/(1+M579)^F579,0)</x:f>
        <x:v>0.1572479784603403</x:v>
      </x:c>
      <x:c r="AJ579" t="n">
        <x:v>0</x:v>
      </x:c>
      <x:c r="AK579" t="n">
        <x:v>0</x:v>
      </x:c>
      <x:c r="AL579" t="n">
        <x:v>0</x:v>
      </x:c>
      <x:c r="AM579" t="n">
        <x:f>CHOOSE('假设'!$B$3,AJ579,AK579,AL579)</x:f>
        <x:v>0</x:v>
      </x:c>
      <x:c r="AN579" t="n">
        <x:v>1</x:v>
      </x:c>
    </x:row>
    <x:row r="580" ht="23" customHeight="1">
      <x:c r="A580" s="11" t="str">
        <x:v>688192.SH</x:v>
      </x:c>
      <x:c r="B580" s="11" t="str">
        <x:v>2026年底</x:v>
      </x:c>
      <x:c r="C580" s="11" t="str">
        <x:v>goli_lung</x:v>
      </x:c>
      <x:c r="D580" s="11" t="str">
        <x:v>2039-12-31</x:v>
      </x:c>
      <x:c r="E580" s="11" t="str">
        <x:v>USD</x:v>
      </x:c>
      <x:c r="F580" s="11" t="n">
        <x:v>12.999315537303216</x:v>
      </x:c>
      <x:c r="G580" s="26" t="b">
        <x:v>1</x:v>
      </x:c>
      <x:c r="H580" s="16" t="n">
        <x:v>0.528</x:v>
      </x:c>
      <x:c r="I580" s="16" t="n">
        <x:v>1.368</x:v>
      </x:c>
      <x:c r="J580" s="16" t="n">
        <x:v>1.82</x:v>
      </x:c>
      <x:c r="K580" s="11" t="n">
        <x:f>CHOOSE('假设'!$B$3,H580,I580,J580)</x:f>
        <x:v>1.368</x:v>
      </x:c>
      <x:c r="L580" s="11" t="n">
        <x:f>K580*'管线假设'!E143*'管线假设'!F143*'管线假设'!G143*IF(E580="USD",'管线假设'!I143,1)-AM580</x:f>
        <x:v>0.5581439999999999</x:v>
      </x:c>
      <x:c r="M580" s="11" t="n">
        <x:f>'管线假设'!H143</x:f>
        <x:v>0.125</x:v>
      </x:c>
      <x:c r="N580" s="11" t="n">
        <x:f>IF(G580,L580*AN580/(1+M580)^F580,0)</x:f>
        <x:v>0.12072535208364592</x:v>
      </x:c>
      <x:c r="AJ580" t="n">
        <x:v>0</x:v>
      </x:c>
      <x:c r="AK580" t="n">
        <x:v>0</x:v>
      </x:c>
      <x:c r="AL580" t="n">
        <x:v>0</x:v>
      </x:c>
      <x:c r="AM580" t="n">
        <x:f>CHOOSE('假设'!$B$3,AJ580,AK580,AL580)</x:f>
        <x:v>0</x:v>
      </x:c>
      <x:c r="AN580" t="n">
        <x:v>1</x:v>
      </x:c>
    </x:row>
    <x:row r="581" ht="23" customHeight="1">
      <x:c r="A581" s="11" t="str">
        <x:v>688192.SH</x:v>
      </x:c>
      <x:c r="B581" s="11" t="str">
        <x:v>2026年底</x:v>
      </x:c>
      <x:c r="C581" s="11" t="str">
        <x:v>goli_lung</x:v>
      </x:c>
      <x:c r="D581" s="11" t="str">
        <x:v>2040-12-31</x:v>
      </x:c>
      <x:c r="E581" s="11" t="str">
        <x:v>USD</x:v>
      </x:c>
      <x:c r="F581" s="11" t="n">
        <x:v>14.001368925393566</x:v>
      </x:c>
      <x:c r="G581" s="26" t="b">
        <x:v>1</x:v>
      </x:c>
      <x:c r="H581" s="16" t="n">
        <x:v>0.45599999999999996</x:v>
      </x:c>
      <x:c r="I581" s="16" t="n">
        <x:v>1.1520000000000001</x:v>
      </x:c>
      <x:c r="J581" s="16" t="n">
        <x:v>1.4000000000000001</x:v>
      </x:c>
      <x:c r="K581" s="11" t="n">
        <x:f>CHOOSE('假设'!$B$3,H581,I581,J581)</x:f>
        <x:v>1.1520000000000001</x:v>
      </x:c>
      <x:c r="L581" s="11" t="n">
        <x:f>K581*'管线假设'!E143*'管线假设'!F143*'管线假设'!G143*IF(E581="USD",'管线假设'!I143,1)-AM581</x:f>
        <x:v>0.4700159999999999</x:v>
      </x:c>
      <x:c r="M581" s="11" t="n">
        <x:f>'管线假设'!H143</x:f>
        <x:v>0.125</x:v>
      </x:c>
      <x:c r="N581" s="11" t="n">
        <x:f>IF(G581,L581*AN581/(1+M581)^F581,0)</x:f>
        <x:v>0.09034566188220468</x:v>
      </x:c>
      <x:c r="AJ581" t="n">
        <x:v>0</x:v>
      </x:c>
      <x:c r="AK581" t="n">
        <x:v>0</x:v>
      </x:c>
      <x:c r="AL581" t="n">
        <x:v>0</x:v>
      </x:c>
      <x:c r="AM581" t="n">
        <x:f>CHOOSE('假设'!$B$3,AJ581,AK581,AL581)</x:f>
        <x:v>0</x:v>
      </x:c>
      <x:c r="AN581" t="n">
        <x:v>1</x:v>
      </x:c>
    </x:row>
    <x:row r="582" ht="23" customHeight="1">
      <x:c r="A582" s="11" t="str">
        <x:v>688192.SH</x:v>
      </x:c>
      <x:c r="B582" s="11" t="str">
        <x:v>2026年底</x:v>
      </x:c>
      <x:c r="C582" s="11" t="str">
        <x:v>goli_lung</x:v>
      </x:c>
      <x:c r="D582" s="11" t="str">
        <x:v>2041-12-31</x:v>
      </x:c>
      <x:c r="E582" s="11" t="str">
        <x:v>USD</x:v>
      </x:c>
      <x:c r="F582" s="11" t="n">
        <x:v>15.000684462696784</x:v>
      </x:c>
      <x:c r="G582" s="26" t="b">
        <x:v>1</x:v>
      </x:c>
      <x:c r="H582" s="16" t="n">
        <x:v>0.384</x:v>
      </x:c>
      <x:c r="I582" s="16" t="n">
        <x:v>0.936</x:v>
      </x:c>
      <x:c r="J582" s="16" t="n">
        <x:v>0.9800000000000001</x:v>
      </x:c>
      <x:c r="K582" s="11" t="n">
        <x:f>CHOOSE('假设'!$B$3,H582,I582,J582)</x:f>
        <x:v>0.936</x:v>
      </x:c>
      <x:c r="L582" s="11" t="n">
        <x:f>K582*'管线假设'!E143*'管线假设'!F143*'管线假设'!G143*IF(E582="USD",'管线假设'!I143,1)-AM582</x:f>
        <x:v>0.38188799999999995</x:v>
      </x:c>
      <x:c r="M582" s="11" t="n">
        <x:f>'管线假设'!H143</x:f>
        <x:v>0.125</x:v>
      </x:c>
      <x:c r="N582" s="11" t="n">
        <x:f>IF(G582,L582*AN582/(1+M582)^F582,0)</x:f>
        <x:v>0.06525490520675054</x:v>
      </x:c>
      <x:c r="AJ582" t="n">
        <x:v>0</x:v>
      </x:c>
      <x:c r="AK582" t="n">
        <x:v>0</x:v>
      </x:c>
      <x:c r="AL582" t="n">
        <x:v>0</x:v>
      </x:c>
      <x:c r="AM582" t="n">
        <x:f>CHOOSE('假设'!$B$3,AJ582,AK582,AL582)</x:f>
        <x:v>0</x:v>
      </x:c>
      <x:c r="AN582" t="n">
        <x:v>1</x:v>
      </x:c>
    </x:row>
    <x:row r="583" ht="23" customHeight="1">
      <x:c r="A583" s="11" t="str">
        <x:v>688192.SH</x:v>
      </x:c>
      <x:c r="B583" s="11" t="str">
        <x:v>2026年底</x:v>
      </x:c>
      <x:c r="C583" s="11" t="str">
        <x:v>goli_lung</x:v>
      </x:c>
      <x:c r="D583" s="11" t="str">
        <x:v>2042-12-31</x:v>
      </x:c>
      <x:c r="E583" s="11" t="str">
        <x:v>USD</x:v>
      </x:c>
      <x:c r="F583" s="11" t="n">
        <x:v>16</x:v>
      </x:c>
      <x:c r="G583" s="26" t="b">
        <x:v>1</x:v>
      </x:c>
      <x:c r="H583" s="16" t="n">
        <x:v>0.312</x:v>
      </x:c>
      <x:c r="I583" s="16" t="n">
        <x:v>0.7200000000000001</x:v>
      </x:c>
      <x:c r="J583" s="16" t="n">
        <x:v>0.56</x:v>
      </x:c>
      <x:c r="K583" s="11" t="n">
        <x:f>CHOOSE('假设'!$B$3,H583,I583,J583)</x:f>
        <x:v>0.7200000000000001</x:v>
      </x:c>
      <x:c r="L583" s="11" t="n">
        <x:f>K583*'管线假设'!E143*'管线假设'!F143*'管线假设'!G143*IF(E583="USD",'管线假设'!I143,1)-AM583</x:f>
        <x:v>0.29375999999999997</x:v>
      </x:c>
      <x:c r="M583" s="11" t="n">
        <x:f>'管线假设'!H143</x:f>
        <x:v>0.125</x:v>
      </x:c>
      <x:c r="N583" s="11" t="n">
        <x:f>IF(G583,L583*AN583/(1+M583)^F583,0)</x:f>
        <x:v>0.04462233582557772</x:v>
      </x:c>
      <x:c r="AJ583" t="n">
        <x:v>0</x:v>
      </x:c>
      <x:c r="AK583" t="n">
        <x:v>0</x:v>
      </x:c>
      <x:c r="AL583" t="n">
        <x:v>0</x:v>
      </x:c>
      <x:c r="AM583" t="n">
        <x:f>CHOOSE('假设'!$B$3,AJ583,AK583,AL583)</x:f>
        <x:v>0</x:v>
      </x:c>
      <x:c r="AN583" t="n">
        <x:v>1</x:v>
      </x:c>
    </x:row>
    <x:row r="584" ht="23" customHeight="1">
      <x:c r="A584" s="11" t="str">
        <x:v>688192.SH</x:v>
      </x:c>
      <x:c r="B584" s="11" t="str">
        <x:v>2026年底</x:v>
      </x:c>
      <x:c r="C584" s="11" t="str">
        <x:v>goli_lung</x:v>
      </x:c>
      <x:c r="D584" s="11" t="str">
        <x:v>2043-12-31</x:v>
      </x:c>
      <x:c r="E584" s="11" t="str">
        <x:v>USD</x:v>
      </x:c>
      <x:c r="F584" s="11" t="n">
        <x:v>16.999315537303218</x:v>
      </x:c>
      <x:c r="G584" s="26" t="b">
        <x:v>1</x:v>
      </x:c>
      <x:c r="H584" s="16" t="n">
        <x:v>0.24</x:v>
      </x:c>
      <x:c r="I584" s="16" t="n">
        <x:v>0.5040000000000001</x:v>
      </x:c>
      <x:c r="J584" s="16" t="n">
        <x:v>0.14000000000000012</x:v>
      </x:c>
      <x:c r="K584" s="11" t="n">
        <x:f>CHOOSE('假设'!$B$3,H584,I584,J584)</x:f>
        <x:v>0.5040000000000001</x:v>
      </x:c>
      <x:c r="L584" s="11" t="n">
        <x:f>K584*'管线假设'!E143*'管线假设'!F143*'管线假设'!G143*IF(E584="USD",'管线假设'!I143,1)-AM584</x:f>
        <x:v>0.20563199999999998</x:v>
      </x:c>
      <x:c r="M584" s="11" t="n">
        <x:f>'管线假设'!H143</x:f>
        <x:v>0.125</x:v>
      </x:c>
      <x:c r="N584" s="11" t="n">
        <x:f>IF(G584,L584*AN584/(1+M584)^F584,0)</x:f>
        <x:v>0.02776724741047414</x:v>
      </x:c>
      <x:c r="AJ584" t="n">
        <x:v>0</x:v>
      </x:c>
      <x:c r="AK584" t="n">
        <x:v>0</x:v>
      </x:c>
      <x:c r="AL584" t="n">
        <x:v>0</x:v>
      </x:c>
      <x:c r="AM584" t="n">
        <x:f>CHOOSE('假设'!$B$3,AJ584,AK584,AL584)</x:f>
        <x:v>0</x:v>
      </x:c>
      <x:c r="AN584" t="n">
        <x:v>1</x:v>
      </x:c>
    </x:row>
    <x:row r="585" ht="23" customHeight="1">
      <x:c r="A585" s="11" t="str">
        <x:v>688192.SH</x:v>
      </x:c>
      <x:c r="B585" s="11" t="str">
        <x:v>2026年底</x:v>
      </x:c>
      <x:c r="C585" s="11" t="str">
        <x:v>goli_lung</x:v>
      </x:c>
      <x:c r="D585" s="11" t="str">
        <x:v>2044-12-31</x:v>
      </x:c>
      <x:c r="E585" s="11" t="str">
        <x:v>USD</x:v>
      </x:c>
      <x:c r="F585" s="11" t="n">
        <x:v>18.001368925393567</x:v>
      </x:c>
      <x:c r="G585" s="26" t="b">
        <x:v>1</x:v>
      </x:c>
      <x:c r="H585" s="16" t="n">
        <x:v>0.168</x:v>
      </x:c>
      <x:c r="I585" s="16" t="n">
        <x:v>0.2880000000000001</x:v>
      </x:c>
      <x:c r="J585" s="16" t="n">
        <x:v>0</x:v>
      </x:c>
      <x:c r="K585" s="11" t="n">
        <x:f>CHOOSE('假设'!$B$3,H585,I585,J585)</x:f>
        <x:v>0.2880000000000001</x:v>
      </x:c>
      <x:c r="L585" s="11" t="n">
        <x:f>K585*'管线假设'!E143*'管线假设'!F143*'管线假设'!G143*IF(E585="USD",'管线假设'!I143,1)-AM585</x:f>
        <x:v>0.117504</x:v>
      </x:c>
      <x:c r="M585" s="11" t="n">
        <x:f>'管线假设'!H143</x:f>
        <x:v>0.125</x:v>
      </x:c>
      <x:c r="N585" s="11" t="n">
        <x:f>IF(G585,L585*AN585/(1+M585)^F585,0)</x:f>
        <x:v>0.014100587984663555</x:v>
      </x:c>
      <x:c r="AJ585" t="n">
        <x:v>0</x:v>
      </x:c>
      <x:c r="AK585" t="n">
        <x:v>0</x:v>
      </x:c>
      <x:c r="AL585" t="n">
        <x:v>0</x:v>
      </x:c>
      <x:c r="AM585" t="n">
        <x:f>CHOOSE('假设'!$B$3,AJ585,AK585,AL585)</x:f>
        <x:v>0</x:v>
      </x:c>
      <x:c r="AN585" t="n">
        <x:v>1</x:v>
      </x:c>
    </x:row>
    <x:row r="586" ht="23" customHeight="1">
      <x:c r="A586" s="11" t="str">
        <x:v>688192.SH</x:v>
      </x:c>
      <x:c r="B586" s="11" t="str">
        <x:v>2026年底</x:v>
      </x:c>
      <x:c r="C586" s="11" t="str">
        <x:v>goli_lung</x:v>
      </x:c>
      <x:c r="D586" s="11" t="str">
        <x:v>2045-12-31</x:v>
      </x:c>
      <x:c r="E586" s="11" t="str">
        <x:v>USD</x:v>
      </x:c>
      <x:c r="F586" s="11" t="n">
        <x:v>19.000684462696782</x:v>
      </x:c>
      <x:c r="G586" s="26" t="b">
        <x:v>1</x:v>
      </x:c>
      <x:c r="H586" s="16" t="n">
        <x:v>0.09600000000000002</x:v>
      </x:c>
      <x:c r="I586" s="16" t="n">
        <x:v>0.07200000000000006</x:v>
      </x:c>
      <x:c r="J586" s="16" t="n">
        <x:v>0</x:v>
      </x:c>
      <x:c r="K586" s="11" t="n">
        <x:f>CHOOSE('假设'!$B$3,H586,I586,J586)</x:f>
        <x:v>0.07200000000000006</x:v>
      </x:c>
      <x:c r="L586" s="11" t="n">
        <x:f>K586*'管线假设'!E143*'管线假设'!F143*'管线假设'!G143*IF(E586="USD",'管线假设'!I143,1)-AM586</x:f>
        <x:v>0.029376000000000017</x:v>
      </x:c>
      <x:c r="M586" s="11" t="n">
        <x:f>'管线假设'!H143</x:f>
        <x:v>0.125</x:v>
      </x:c>
      <x:c r="N586" s="11" t="n">
        <x:f>IF(G586,L586*AN586/(1+M586)^F586,0)</x:f>
        <x:v>0.003133716620670517</x:v>
      </x:c>
      <x:c r="AJ586" t="n">
        <x:v>0</x:v>
      </x:c>
      <x:c r="AK586" t="n">
        <x:v>0</x:v>
      </x:c>
      <x:c r="AL586" t="n">
        <x:v>0</x:v>
      </x:c>
      <x:c r="AM586" t="n">
        <x:f>CHOOSE('假设'!$B$3,AJ586,AK586,AL586)</x:f>
        <x:v>0</x:v>
      </x:c>
      <x:c r="AN586" t="n">
        <x:v>1</x:v>
      </x:c>
    </x:row>
    <x:row r="587" ht="23" customHeight="1">
      <x:c r="A587" s="11" t="str">
        <x:v>688192.SH</x:v>
      </x:c>
      <x:c r="B587" s="11" t="str">
        <x:v>2026年底</x:v>
      </x:c>
      <x:c r="C587" s="11" t="str">
        <x:v>bire_cll</x:v>
      </x:c>
      <x:c r="D587" s="11" t="str">
        <x:v>2027-12-31</x:v>
      </x:c>
      <x:c r="E587" s="11" t="str">
        <x:v>USD</x:v>
      </x:c>
      <x:c r="F587" s="11" t="n">
        <x:v>0.999315537303217</x:v>
      </x:c>
      <x:c r="G587" s="26" t="b">
        <x:v>1</x:v>
      </x:c>
      <x:c r="H587" s="16" t="n">
        <x:v>0</x:v>
      </x:c>
      <x:c r="I587" s="16" t="n">
        <x:v>0</x:v>
      </x:c>
      <x:c r="J587" s="16" t="n">
        <x:v>0</x:v>
      </x:c>
      <x:c r="K587" s="11" t="n">
        <x:f>CHOOSE('假设'!$B$3,H587,I587,J587)</x:f>
        <x:v>0</x:v>
      </x:c>
      <x:c r="L587" s="11" t="n">
        <x:f>K587*'管线假设'!E147*'管线假设'!F147*'管线假设'!G147*IF(E587="USD",'管线假设'!I147,1)-AM587</x:f>
        <x:v>0</x:v>
      </x:c>
      <x:c r="M587" s="11" t="n">
        <x:f>'管线假设'!H147</x:f>
        <x:v>0.125</x:v>
      </x:c>
      <x:c r="N587" s="11" t="n">
        <x:f>IF(G587,L587*AN587/(1+M587)^F587,0)</x:f>
        <x:v>0</x:v>
      </x:c>
      <x:c r="AJ587" t="n">
        <x:v>0</x:v>
      </x:c>
      <x:c r="AK587" t="n">
        <x:v>0</x:v>
      </x:c>
      <x:c r="AL587" t="n">
        <x:v>0</x:v>
      </x:c>
      <x:c r="AM587" t="n">
        <x:f>CHOOSE('假设'!$B$3,AJ587,AK587,AL587)</x:f>
        <x:v>0</x:v>
      </x:c>
      <x:c r="AN587" t="n">
        <x:v>1</x:v>
      </x:c>
    </x:row>
    <x:row r="588" ht="23" customHeight="1">
      <x:c r="A588" s="11" t="str">
        <x:v>688192.SH</x:v>
      </x:c>
      <x:c r="B588" s="11" t="str">
        <x:v>2026年底</x:v>
      </x:c>
      <x:c r="C588" s="11" t="str">
        <x:v>bire_cll</x:v>
      </x:c>
      <x:c r="D588" s="11" t="str">
        <x:v>2028-12-31</x:v>
      </x:c>
      <x:c r="E588" s="11" t="str">
        <x:v>USD</x:v>
      </x:c>
      <x:c r="F588" s="11" t="n">
        <x:v>2.001368925393566</x:v>
      </x:c>
      <x:c r="G588" s="26" t="b">
        <x:v>1</x:v>
      </x:c>
      <x:c r="H588" s="16" t="n">
        <x:v>0</x:v>
      </x:c>
      <x:c r="I588" s="16" t="n">
        <x:v>0</x:v>
      </x:c>
      <x:c r="J588" s="16" t="n">
        <x:v>0</x:v>
      </x:c>
      <x:c r="K588" s="11" t="n">
        <x:f>CHOOSE('假设'!$B$3,H588,I588,J588)</x:f>
        <x:v>0</x:v>
      </x:c>
      <x:c r="L588" s="11" t="n">
        <x:f>K588*'管线假设'!E147*'管线假设'!F147*'管线假设'!G147*IF(E588="USD",'管线假设'!I147,1)-AM588</x:f>
        <x:v>0</x:v>
      </x:c>
      <x:c r="M588" s="11" t="n">
        <x:f>'管线假设'!H147</x:f>
        <x:v>0.125</x:v>
      </x:c>
      <x:c r="N588" s="11" t="n">
        <x:f>IF(G588,L588*AN588/(1+M588)^F588,0)</x:f>
        <x:v>0</x:v>
      </x:c>
      <x:c r="AJ588" t="n">
        <x:v>0</x:v>
      </x:c>
      <x:c r="AK588" t="n">
        <x:v>0</x:v>
      </x:c>
      <x:c r="AL588" t="n">
        <x:v>0</x:v>
      </x:c>
      <x:c r="AM588" t="n">
        <x:f>CHOOSE('假设'!$B$3,AJ588,AK588,AL588)</x:f>
        <x:v>0</x:v>
      </x:c>
      <x:c r="AN588" t="n">
        <x:v>1</x:v>
      </x:c>
    </x:row>
    <x:row r="589" ht="23" customHeight="1">
      <x:c r="A589" s="11" t="str">
        <x:v>688192.SH</x:v>
      </x:c>
      <x:c r="B589" s="11" t="str">
        <x:v>2026年底</x:v>
      </x:c>
      <x:c r="C589" s="11" t="str">
        <x:v>bire_cll</x:v>
      </x:c>
      <x:c r="D589" s="11" t="str">
        <x:v>2029-12-31</x:v>
      </x:c>
      <x:c r="E589" s="11" t="str">
        <x:v>USD</x:v>
      </x:c>
      <x:c r="F589" s="11" t="n">
        <x:v>3.0006844626967832</x:v>
      </x:c>
      <x:c r="G589" s="26" t="b">
        <x:v>1</x:v>
      </x:c>
      <x:c r="H589" s="16" t="n">
        <x:v>0</x:v>
      </x:c>
      <x:c r="I589" s="16" t="n">
        <x:v>0</x:v>
      </x:c>
      <x:c r="J589" s="16" t="n">
        <x:v>0.5333333333333333</x:v>
      </x:c>
      <x:c r="K589" s="11" t="n">
        <x:f>CHOOSE('假设'!$B$3,H589,I589,J589)</x:f>
        <x:v>0</x:v>
      </x:c>
      <x:c r="L589" s="11" t="n">
        <x:f>K589*'管线假设'!E147*'管线假设'!F147*'管线假设'!G147*IF(E589="USD",'管线假设'!I147,1)-AM589</x:f>
        <x:v>0</x:v>
      </x:c>
      <x:c r="M589" s="11" t="n">
        <x:f>'管线假设'!H147</x:f>
        <x:v>0.125</x:v>
      </x:c>
      <x:c r="N589" s="11" t="n">
        <x:f>IF(G589,L589*AN589/(1+M589)^F589,0)</x:f>
        <x:v>0</x:v>
      </x:c>
      <x:c r="AJ589" t="n">
        <x:v>0</x:v>
      </x:c>
      <x:c r="AK589" t="n">
        <x:v>0</x:v>
      </x:c>
      <x:c r="AL589" t="n">
        <x:v>0</x:v>
      </x:c>
      <x:c r="AM589" t="n">
        <x:f>CHOOSE('假设'!$B$3,AJ589,AK589,AL589)</x:f>
        <x:v>0</x:v>
      </x:c>
      <x:c r="AN589" t="n">
        <x:v>1</x:v>
      </x:c>
    </x:row>
    <x:row r="590" ht="23" customHeight="1">
      <x:c r="A590" s="11" t="str">
        <x:v>688192.SH</x:v>
      </x:c>
      <x:c r="B590" s="11" t="str">
        <x:v>2026年底</x:v>
      </x:c>
      <x:c r="C590" s="11" t="str">
        <x:v>bire_cll</x:v>
      </x:c>
      <x:c r="D590" s="11" t="str">
        <x:v>2030-12-31</x:v>
      </x:c>
      <x:c r="E590" s="11" t="str">
        <x:v>USD</x:v>
      </x:c>
      <x:c r="F590" s="11" t="n">
        <x:v>4</x:v>
      </x:c>
      <x:c r="G590" s="26" t="b">
        <x:v>1</x:v>
      </x:c>
      <x:c r="H590" s="16" t="n">
        <x:v>0</x:v>
      </x:c>
      <x:c r="I590" s="16" t="n">
        <x:v>0.3</x:v>
      </x:c>
      <x:c r="J590" s="16" t="n">
        <x:v>1.0666666666666667</x:v>
      </x:c>
      <x:c r="K590" s="11" t="n">
        <x:f>CHOOSE('假设'!$B$3,H590,I590,J590)</x:f>
        <x:v>0.3</x:v>
      </x:c>
      <x:c r="L590" s="11" t="n">
        <x:f>K590*'管线假设'!E147*'管线假设'!F147*'管线假设'!G147*IF(E590="USD",'管线假设'!I147,1)-AM590</x:f>
        <x:v>0.31334399999999996</x:v>
      </x:c>
      <x:c r="M590" s="11" t="n">
        <x:f>'管线假设'!H147</x:f>
        <x:v>0.125</x:v>
      </x:c>
      <x:c r="N590" s="11" t="n">
        <x:f>IF(G590,L590*AN590/(1+M590)^F590,0)</x:f>
        <x:v>0.19561911659807954</x:v>
      </x:c>
      <x:c r="AJ590" t="n">
        <x:v>0</x:v>
      </x:c>
      <x:c r="AK590" t="n">
        <x:v>0</x:v>
      </x:c>
      <x:c r="AL590" t="n">
        <x:v>0</x:v>
      </x:c>
      <x:c r="AM590" t="n">
        <x:f>CHOOSE('假设'!$B$3,AJ590,AK590,AL590)</x:f>
        <x:v>0</x:v>
      </x:c>
      <x:c r="AN590" t="n">
        <x:v>1</x:v>
      </x:c>
    </x:row>
    <x:row r="591" ht="23" customHeight="1">
      <x:c r="A591" s="11" t="str">
        <x:v>688192.SH</x:v>
      </x:c>
      <x:c r="B591" s="11" t="str">
        <x:v>2026年底</x:v>
      </x:c>
      <x:c r="C591" s="11" t="str">
        <x:v>bire_cll</x:v>
      </x:c>
      <x:c r="D591" s="11" t="str">
        <x:v>2031-12-31</x:v>
      </x:c>
      <x:c r="E591" s="11" t="str">
        <x:v>USD</x:v>
      </x:c>
      <x:c r="F591" s="11" t="n">
        <x:v>4.999315537303217</x:v>
      </x:c>
      <x:c r="G591" s="26" t="b">
        <x:v>1</x:v>
      </x:c>
      <x:c r="H591" s="16" t="n">
        <x:v>0</x:v>
      </x:c>
      <x:c r="I591" s="16" t="n">
        <x:v>0.6</x:v>
      </x:c>
      <x:c r="J591" s="16" t="n">
        <x:v>1.6</x:v>
      </x:c>
      <x:c r="K591" s="11" t="n">
        <x:f>CHOOSE('假设'!$B$3,H591,I591,J591)</x:f>
        <x:v>0.6</x:v>
      </x:c>
      <x:c r="L591" s="11" t="n">
        <x:f>K591*'管线假设'!E147*'管线假设'!F147*'管线假设'!G147*IF(E591="USD",'管线假设'!I147,1)-AM591</x:f>
        <x:v>0.6266879999999999</x:v>
      </x:c>
      <x:c r="M591" s="11" t="n">
        <x:f>'管线假设'!H147</x:f>
        <x:v>0.125</x:v>
      </x:c>
      <x:c r="N591" s="11" t="n">
        <x:f>IF(G591,L591*AN591/(1+M591)^F591,0)</x:f>
        <x:v>0.3477953558651756</x:v>
      </x:c>
      <x:c r="AJ591" t="n">
        <x:v>0</x:v>
      </x:c>
      <x:c r="AK591" t="n">
        <x:v>0</x:v>
      </x:c>
      <x:c r="AL591" t="n">
        <x:v>0</x:v>
      </x:c>
      <x:c r="AM591" t="n">
        <x:f>CHOOSE('假设'!$B$3,AJ591,AK591,AL591)</x:f>
        <x:v>0</x:v>
      </x:c>
      <x:c r="AN591" t="n">
        <x:v>1</x:v>
      </x:c>
    </x:row>
    <x:row r="592" ht="23" customHeight="1">
      <x:c r="A592" s="11" t="str">
        <x:v>688192.SH</x:v>
      </x:c>
      <x:c r="B592" s="11" t="str">
        <x:v>2026年底</x:v>
      </x:c>
      <x:c r="C592" s="11" t="str">
        <x:v>bire_cll</x:v>
      </x:c>
      <x:c r="D592" s="11" t="str">
        <x:v>2032-12-31</x:v>
      </x:c>
      <x:c r="E592" s="11" t="str">
        <x:v>USD</x:v>
      </x:c>
      <x:c r="F592" s="11" t="n">
        <x:v>6.0013689253935665</x:v>
      </x:c>
      <x:c r="G592" s="26" t="b">
        <x:v>1</x:v>
      </x:c>
      <x:c r="H592" s="16" t="n">
        <x:v>0.13999999999999999</x:v>
      </x:c>
      <x:c r="I592" s="16" t="n">
        <x:v>0.9</x:v>
      </x:c>
      <x:c r="J592" s="16" t="n">
        <x:v>2.1333333333333333</x:v>
      </x:c>
      <x:c r="K592" s="11" t="n">
        <x:f>CHOOSE('假设'!$B$3,H592,I592,J592)</x:f>
        <x:v>0.9</x:v>
      </x:c>
      <x:c r="L592" s="11" t="n">
        <x:f>K592*'管线假设'!E147*'管线假设'!F147*'管线假设'!G147*IF(E592="USD",'管线假设'!I147,1)-AM592</x:f>
        <x:v>0.940032</x:v>
      </x:c>
      <x:c r="M592" s="11" t="n">
        <x:f>'管线假设'!H147</x:f>
        <x:v>0.125</x:v>
      </x:c>
      <x:c r="N592" s="11" t="n">
        <x:f>IF(G592,L592*AN592/(1+M592)^F592,0)</x:f>
        <x:v>0.46361500031991004</x:v>
      </x:c>
      <x:c r="AJ592" t="n">
        <x:v>0</x:v>
      </x:c>
      <x:c r="AK592" t="n">
        <x:v>0</x:v>
      </x:c>
      <x:c r="AL592" t="n">
        <x:v>0</x:v>
      </x:c>
      <x:c r="AM592" t="n">
        <x:f>CHOOSE('假设'!$B$3,AJ592,AK592,AL592)</x:f>
        <x:v>0</x:v>
      </x:c>
      <x:c r="AN592" t="n">
        <x:v>1</x:v>
      </x:c>
    </x:row>
    <x:row r="593" ht="23" customHeight="1">
      <x:c r="A593" s="11" t="str">
        <x:v>688192.SH</x:v>
      </x:c>
      <x:c r="B593" s="11" t="str">
        <x:v>2026年底</x:v>
      </x:c>
      <x:c r="C593" s="11" t="str">
        <x:v>bire_cll</x:v>
      </x:c>
      <x:c r="D593" s="11" t="str">
        <x:v>2033-12-31</x:v>
      </x:c>
      <x:c r="E593" s="11" t="str">
        <x:v>USD</x:v>
      </x:c>
      <x:c r="F593" s="11" t="n">
        <x:v>7.000684462696783</x:v>
      </x:c>
      <x:c r="G593" s="26" t="b">
        <x:v>1</x:v>
      </x:c>
      <x:c r="H593" s="16" t="n">
        <x:v>0.27999999999999997</x:v>
      </x:c>
      <x:c r="I593" s="16" t="n">
        <x:v>1.2</x:v>
      </x:c>
      <x:c r="J593" s="16" t="n">
        <x:v>2.666666666666667</x:v>
      </x:c>
      <x:c r="K593" s="11" t="n">
        <x:f>CHOOSE('假设'!$B$3,H593,I593,J593)</x:f>
        <x:v>1.2</x:v>
      </x:c>
      <x:c r="L593" s="11" t="n">
        <x:f>K593*'管线假设'!E147*'管线假设'!F147*'管线假设'!G147*IF(E593="USD",'管线假设'!I147,1)-AM593</x:f>
        <x:v>1.2533759999999998</x:v>
      </x:c>
      <x:c r="M593" s="11" t="n">
        <x:f>'管线假设'!H147</x:f>
        <x:v>0.125</x:v>
      </x:c>
      <x:c r="N593" s="11" t="n">
        <x:f>IF(G593,L593*AN593/(1+M593)^F593,0)</x:f>
        <x:v>0.5495139289888114</x:v>
      </x:c>
      <x:c r="AJ593" t="n">
        <x:v>0</x:v>
      </x:c>
      <x:c r="AK593" t="n">
        <x:v>0</x:v>
      </x:c>
      <x:c r="AL593" t="n">
        <x:v>0</x:v>
      </x:c>
      <x:c r="AM593" t="n">
        <x:f>CHOOSE('假设'!$B$3,AJ593,AK593,AL593)</x:f>
        <x:v>0</x:v>
      </x:c>
      <x:c r="AN593" t="n">
        <x:v>1</x:v>
      </x:c>
    </x:row>
    <x:row r="594" ht="23" customHeight="1">
      <x:c r="A594" s="11" t="str">
        <x:v>688192.SH</x:v>
      </x:c>
      <x:c r="B594" s="11" t="str">
        <x:v>2026年底</x:v>
      </x:c>
      <x:c r="C594" s="11" t="str">
        <x:v>bire_cll</x:v>
      </x:c>
      <x:c r="D594" s="11" t="str">
        <x:v>2034-12-31</x:v>
      </x:c>
      <x:c r="E594" s="11" t="str">
        <x:v>USD</x:v>
      </x:c>
      <x:c r="F594" s="11" t="n">
        <x:v>8</x:v>
      </x:c>
      <x:c r="G594" s="26" t="b">
        <x:v>1</x:v>
      </x:c>
      <x:c r="H594" s="16" t="n">
        <x:v>0.42</x:v>
      </x:c>
      <x:c r="I594" s="16" t="n">
        <x:v>1.5</x:v>
      </x:c>
      <x:c r="J594" s="16" t="n">
        <x:v>3.2</x:v>
      </x:c>
      <x:c r="K594" s="11" t="n">
        <x:f>CHOOSE('假设'!$B$3,H594,I594,J594)</x:f>
        <x:v>1.5</x:v>
      </x:c>
      <x:c r="L594" s="11" t="n">
        <x:f>K594*'管线假设'!E147*'管线假设'!F147*'管线假设'!G147*IF(E594="USD",'管线假设'!I147,1)-AM594</x:f>
        <x:v>1.56672</x:v>
      </x:c>
      <x:c r="M594" s="11" t="n">
        <x:f>'管线假设'!H147</x:f>
        <x:v>0.125</x:v>
      </x:c>
      <x:c r="N594" s="11" t="n">
        <x:f>IF(G594,L594*AN594/(1+M594)^F594,0)</x:f>
        <x:v>0.610620257266982</x:v>
      </x:c>
      <x:c r="AJ594" t="n">
        <x:v>0</x:v>
      </x:c>
      <x:c r="AK594" t="n">
        <x:v>0</x:v>
      </x:c>
      <x:c r="AL594" t="n">
        <x:v>0</x:v>
      </x:c>
      <x:c r="AM594" t="n">
        <x:f>CHOOSE('假设'!$B$3,AJ594,AK594,AL594)</x:f>
        <x:v>0</x:v>
      </x:c>
      <x:c r="AN594" t="n">
        <x:v>1</x:v>
      </x:c>
    </x:row>
    <x:row r="595" ht="23" customHeight="1">
      <x:c r="A595" s="11" t="str">
        <x:v>688192.SH</x:v>
      </x:c>
      <x:c r="B595" s="11" t="str">
        <x:v>2026年底</x:v>
      </x:c>
      <x:c r="C595" s="11" t="str">
        <x:v>bire_cll</x:v>
      </x:c>
      <x:c r="D595" s="11" t="str">
        <x:v>2035-12-31</x:v>
      </x:c>
      <x:c r="E595" s="11" t="str">
        <x:v>USD</x:v>
      </x:c>
      <x:c r="F595" s="11" t="n">
        <x:v>8.999315537303216</x:v>
      </x:c>
      <x:c r="G595" s="26" t="b">
        <x:v>1</x:v>
      </x:c>
      <x:c r="H595" s="16" t="n">
        <x:v>0.5599999999999999</x:v>
      </x:c>
      <x:c r="I595" s="16" t="n">
        <x:v>1.8</x:v>
      </x:c>
      <x:c r="J595" s="16" t="n">
        <x:v>2.8160000000000003</x:v>
      </x:c>
      <x:c r="K595" s="11" t="n">
        <x:f>CHOOSE('假设'!$B$3,H595,I595,J595)</x:f>
        <x:v>1.8</x:v>
      </x:c>
      <x:c r="L595" s="11" t="n">
        <x:f>K595*'管线假设'!E147*'管线假设'!F147*'管线假设'!G147*IF(E595="USD",'管线假设'!I147,1)-AM595</x:f>
        <x:v>1.880064</x:v>
      </x:c>
      <x:c r="M595" s="11" t="n">
        <x:f>'管线假设'!H147</x:f>
        <x:v>0.125</x:v>
      </x:c>
      <x:c r="N595" s="11" t="n">
        <x:f>IF(G595,L595*AN595/(1+M595)^F595,0)</x:f>
        <x:v>0.6513807853789483</x:v>
      </x:c>
      <x:c r="AJ595" t="n">
        <x:v>0</x:v>
      </x:c>
      <x:c r="AK595" t="n">
        <x:v>0</x:v>
      </x:c>
      <x:c r="AL595" t="n">
        <x:v>0</x:v>
      </x:c>
      <x:c r="AM595" t="n">
        <x:f>CHOOSE('假设'!$B$3,AJ595,AK595,AL595)</x:f>
        <x:v>0</x:v>
      </x:c>
      <x:c r="AN595" t="n">
        <x:v>1</x:v>
      </x:c>
    </x:row>
    <x:row r="596" ht="23" customHeight="1">
      <x:c r="A596" s="11" t="str">
        <x:v>688192.SH</x:v>
      </x:c>
      <x:c r="B596" s="11" t="str">
        <x:v>2026年底</x:v>
      </x:c>
      <x:c r="C596" s="11" t="str">
        <x:v>bire_cll</x:v>
      </x:c>
      <x:c r="D596" s="11" t="str">
        <x:v>2036-12-31</x:v>
      </x:c>
      <x:c r="E596" s="11" t="str">
        <x:v>USD</x:v>
      </x:c>
      <x:c r="F596" s="11" t="n">
        <x:v>10.001368925393566</x:v>
      </x:c>
      <x:c r="G596" s="26" t="b">
        <x:v>1</x:v>
      </x:c>
      <x:c r="H596" s="16" t="n">
        <x:v>0.7</x:v>
      </x:c>
      <x:c r="I596" s="16" t="n">
        <x:v>1.584</x:v>
      </x:c>
      <x:c r="J596" s="16" t="n">
        <x:v>2.4320000000000004</x:v>
      </x:c>
      <x:c r="K596" s="11" t="n">
        <x:f>CHOOSE('假设'!$B$3,H596,I596,J596)</x:f>
        <x:v>1.584</x:v>
      </x:c>
      <x:c r="L596" s="11" t="n">
        <x:f>K596*'管线假设'!E147*'管线假设'!F147*'管线假设'!G147*IF(E596="USD",'管线假设'!I147,1)-AM596</x:f>
        <x:v>1.65445632</x:v>
      </x:c>
      <x:c r="M596" s="11" t="n">
        <x:f>'管线假设'!H147</x:f>
        <x:v>0.125</x:v>
      </x:c>
      <x:c r="N596" s="11" t="n">
        <x:f>IF(G596,L596*AN596/(1+M596)^F596,0)</x:f>
        <x:v>0.509401309664109</x:v>
      </x:c>
      <x:c r="AJ596" t="n">
        <x:v>0</x:v>
      </x:c>
      <x:c r="AK596" t="n">
        <x:v>0</x:v>
      </x:c>
      <x:c r="AL596" t="n">
        <x:v>0</x:v>
      </x:c>
      <x:c r="AM596" t="n">
        <x:f>CHOOSE('假设'!$B$3,AJ596,AK596,AL596)</x:f>
        <x:v>0</x:v>
      </x:c>
      <x:c r="AN596" t="n">
        <x:v>1</x:v>
      </x:c>
    </x:row>
    <x:row r="597" ht="23" customHeight="1">
      <x:c r="A597" s="11" t="str">
        <x:v>688192.SH</x:v>
      </x:c>
      <x:c r="B597" s="11" t="str">
        <x:v>2026年底</x:v>
      </x:c>
      <x:c r="C597" s="11" t="str">
        <x:v>bire_cll</x:v>
      </x:c>
      <x:c r="D597" s="11" t="str">
        <x:v>2037-12-31</x:v>
      </x:c>
      <x:c r="E597" s="11" t="str">
        <x:v>USD</x:v>
      </x:c>
      <x:c r="F597" s="11" t="n">
        <x:v>11.000684462696784</x:v>
      </x:c>
      <x:c r="G597" s="26" t="b">
        <x:v>1</x:v>
      </x:c>
      <x:c r="H597" s="16" t="n">
        <x:v>0.616</x:v>
      </x:c>
      <x:c r="I597" s="16" t="n">
        <x:v>1.368</x:v>
      </x:c>
      <x:c r="J597" s="16" t="n">
        <x:v>2.048</x:v>
      </x:c>
      <x:c r="K597" s="11" t="n">
        <x:f>CHOOSE('假设'!$B$3,H597,I597,J597)</x:f>
        <x:v>1.368</x:v>
      </x:c>
      <x:c r="L597" s="11" t="n">
        <x:f>K597*'管线假设'!E147*'管线假设'!F147*'管线假设'!G147*IF(E597="USD",'管线假设'!I147,1)-AM597</x:f>
        <x:v>1.42884864</x:v>
      </x:c>
      <x:c r="M597" s="11" t="n">
        <x:f>'管线假设'!H147</x:f>
        <x:v>0.125</x:v>
      </x:c>
      <x:c r="N597" s="11" t="n">
        <x:f>IF(G597,L597*AN597/(1+M597)^F597,0)</x:f>
        <x:v>0.3910870782773229</x:v>
      </x:c>
      <x:c r="AJ597" t="n">
        <x:v>0</x:v>
      </x:c>
      <x:c r="AK597" t="n">
        <x:v>0</x:v>
      </x:c>
      <x:c r="AL597" t="n">
        <x:v>0</x:v>
      </x:c>
      <x:c r="AM597" t="n">
        <x:f>CHOOSE('假设'!$B$3,AJ597,AK597,AL597)</x:f>
        <x:v>0</x:v>
      </x:c>
      <x:c r="AN597" t="n">
        <x:v>1</x:v>
      </x:c>
    </x:row>
    <x:row r="598" ht="23" customHeight="1">
      <x:c r="A598" s="11" t="str">
        <x:v>688192.SH</x:v>
      </x:c>
      <x:c r="B598" s="11" t="str">
        <x:v>2026年底</x:v>
      </x:c>
      <x:c r="C598" s="11" t="str">
        <x:v>bire_cll</x:v>
      </x:c>
      <x:c r="D598" s="11" t="str">
        <x:v>2038-12-31</x:v>
      </x:c>
      <x:c r="E598" s="11" t="str">
        <x:v>USD</x:v>
      </x:c>
      <x:c r="F598" s="11" t="n">
        <x:v>12</x:v>
      </x:c>
      <x:c r="G598" s="26" t="b">
        <x:v>1</x:v>
      </x:c>
      <x:c r="H598" s="16" t="n">
        <x:v>0.5319999999999999</x:v>
      </x:c>
      <x:c r="I598" s="16" t="n">
        <x:v>1.1520000000000001</x:v>
      </x:c>
      <x:c r="J598" s="16" t="n">
        <x:v>1.6640000000000001</x:v>
      </x:c>
      <x:c r="K598" s="11" t="n">
        <x:f>CHOOSE('假设'!$B$3,H598,I598,J598)</x:f>
        <x:v>1.1520000000000001</x:v>
      </x:c>
      <x:c r="L598" s="11" t="n">
        <x:f>K598*'管线假设'!E147*'管线假设'!F147*'管线假设'!G147*IF(E598="USD",'管线假设'!I147,1)-AM598</x:f>
        <x:v>1.20324096</x:v>
      </x:c>
      <x:c r="M598" s="11" t="n">
        <x:f>'管线假设'!H147</x:f>
        <x:v>0.125</x:v>
      </x:c>
      <x:c r="N598" s="11" t="n">
        <x:f>IF(G598,L598*AN598/(1+M598)^F598,0)</x:f>
        <x:v>0.29276714535161547</x:v>
      </x:c>
      <x:c r="AJ598" t="n">
        <x:v>0</x:v>
      </x:c>
      <x:c r="AK598" t="n">
        <x:v>0</x:v>
      </x:c>
      <x:c r="AL598" t="n">
        <x:v>0</x:v>
      </x:c>
      <x:c r="AM598" t="n">
        <x:f>CHOOSE('假设'!$B$3,AJ598,AK598,AL598)</x:f>
        <x:v>0</x:v>
      </x:c>
      <x:c r="AN598" t="n">
        <x:v>1</x:v>
      </x:c>
    </x:row>
    <x:row r="599" ht="23" customHeight="1">
      <x:c r="A599" s="11" t="str">
        <x:v>688192.SH</x:v>
      </x:c>
      <x:c r="B599" s="11" t="str">
        <x:v>2026年底</x:v>
      </x:c>
      <x:c r="C599" s="11" t="str">
        <x:v>bire_cll</x:v>
      </x:c>
      <x:c r="D599" s="11" t="str">
        <x:v>2039-12-31</x:v>
      </x:c>
      <x:c r="E599" s="11" t="str">
        <x:v>USD</x:v>
      </x:c>
      <x:c r="F599" s="11" t="n">
        <x:v>12.999315537303216</x:v>
      </x:c>
      <x:c r="G599" s="26" t="b">
        <x:v>1</x:v>
      </x:c>
      <x:c r="H599" s="16" t="n">
        <x:v>0.44799999999999995</x:v>
      </x:c>
      <x:c r="I599" s="16" t="n">
        <x:v>0.936</x:v>
      </x:c>
      <x:c r="J599" s="16" t="n">
        <x:v>1.2800000000000002</x:v>
      </x:c>
      <x:c r="K599" s="11" t="n">
        <x:f>CHOOSE('假设'!$B$3,H599,I599,J599)</x:f>
        <x:v>0.936</x:v>
      </x:c>
      <x:c r="L599" s="11" t="n">
        <x:f>K599*'管线假设'!E147*'管线假设'!F147*'管线假设'!G147*IF(E599="USD",'管线假设'!I147,1)-AM599</x:f>
        <x:v>0.9776332799999999</x:v>
      </x:c>
      <x:c r="M599" s="11" t="n">
        <x:f>'管线假设'!H147</x:f>
        <x:v>0.125</x:v>
      </x:c>
      <x:c r="N599" s="11" t="n">
        <x:f>IF(G599,L599*AN599/(1+M599)^F599,0)</x:f>
        <x:v>0.21145998512335457</x:v>
      </x:c>
      <x:c r="AJ599" t="n">
        <x:v>0</x:v>
      </x:c>
      <x:c r="AK599" t="n">
        <x:v>0</x:v>
      </x:c>
      <x:c r="AL599" t="n">
        <x:v>0</x:v>
      </x:c>
      <x:c r="AM599" t="n">
        <x:f>CHOOSE('假设'!$B$3,AJ599,AK599,AL599)</x:f>
        <x:v>0</x:v>
      </x:c>
      <x:c r="AN599" t="n">
        <x:v>1</x:v>
      </x:c>
    </x:row>
    <x:row r="600" ht="23" customHeight="1">
      <x:c r="A600" s="11" t="str">
        <x:v>688192.SH</x:v>
      </x:c>
      <x:c r="B600" s="11" t="str">
        <x:v>2026年底</x:v>
      </x:c>
      <x:c r="C600" s="11" t="str">
        <x:v>bire_cll</x:v>
      </x:c>
      <x:c r="D600" s="11" t="str">
        <x:v>2040-12-31</x:v>
      </x:c>
      <x:c r="E600" s="11" t="str">
        <x:v>USD</x:v>
      </x:c>
      <x:c r="F600" s="11" t="n">
        <x:v>14.001368925393566</x:v>
      </x:c>
      <x:c r="G600" s="26" t="b">
        <x:v>1</x:v>
      </x:c>
      <x:c r="H600" s="16" t="n">
        <x:v>0.364</x:v>
      </x:c>
      <x:c r="I600" s="16" t="n">
        <x:v>0.7200000000000001</x:v>
      </x:c>
      <x:c r="J600" s="16" t="n">
        <x:v>0.8960000000000001</x:v>
      </x:c>
      <x:c r="K600" s="11" t="n">
        <x:f>CHOOSE('假设'!$B$3,H600,I600,J600)</x:f>
        <x:v>0.7200000000000001</x:v>
      </x:c>
      <x:c r="L600" s="11" t="n">
        <x:f>K600*'管线假设'!E147*'管线假设'!F147*'管线假设'!G147*IF(E600="USD",'管线假设'!I147,1)-AM600</x:f>
        <x:v>0.7520256000000001</x:v>
      </x:c>
      <x:c r="M600" s="11" t="n">
        <x:f>'管线假设'!H147</x:f>
        <x:v>0.125</x:v>
      </x:c>
      <x:c r="N600" s="11" t="n">
        <x:f>IF(G600,L600*AN600/(1+M600)^F600,0)</x:f>
        <x:v>0.14455305901152754</x:v>
      </x:c>
      <x:c r="AJ600" t="n">
        <x:v>0</x:v>
      </x:c>
      <x:c r="AK600" t="n">
        <x:v>0</x:v>
      </x:c>
      <x:c r="AL600" t="n">
        <x:v>0</x:v>
      </x:c>
      <x:c r="AM600" t="n">
        <x:f>CHOOSE('假设'!$B$3,AJ600,AK600,AL600)</x:f>
        <x:v>0</x:v>
      </x:c>
      <x:c r="AN600" t="n">
        <x:v>1</x:v>
      </x:c>
    </x:row>
    <x:row r="601" ht="23" customHeight="1">
      <x:c r="A601" s="11" t="str">
        <x:v>688192.SH</x:v>
      </x:c>
      <x:c r="B601" s="11" t="str">
        <x:v>2026年底</x:v>
      </x:c>
      <x:c r="C601" s="11" t="str">
        <x:v>bire_cll</x:v>
      </x:c>
      <x:c r="D601" s="11" t="str">
        <x:v>2041-12-31</x:v>
      </x:c>
      <x:c r="E601" s="11" t="str">
        <x:v>USD</x:v>
      </x:c>
      <x:c r="F601" s="11" t="n">
        <x:v>15.000684462696784</x:v>
      </x:c>
      <x:c r="G601" s="26" t="b">
        <x:v>1</x:v>
      </x:c>
      <x:c r="H601" s="16" t="n">
        <x:v>0.27999999999999997</x:v>
      </x:c>
      <x:c r="I601" s="16" t="n">
        <x:v>0.5040000000000001</x:v>
      </x:c>
      <x:c r="J601" s="16" t="n">
        <x:v>0.5120000000000001</x:v>
      </x:c>
      <x:c r="K601" s="11" t="n">
        <x:f>CHOOSE('假设'!$B$3,H601,I601,J601)</x:f>
        <x:v>0.5040000000000001</x:v>
      </x:c>
      <x:c r="L601" s="11" t="n">
        <x:f>K601*'管线假设'!E147*'管线假设'!F147*'管线假设'!G147*IF(E601="USD",'管线假设'!I147,1)-AM601</x:f>
        <x:v>0.5264179200000001</x:v>
      </x:c>
      <x:c r="M601" s="11" t="n">
        <x:f>'管线假设'!H147</x:f>
        <x:v>0.125</x:v>
      </x:c>
      <x:c r="N601" s="11" t="n">
        <x:f>IF(G601,L601*AN601/(1+M601)^F601,0)</x:f>
        <x:v>0.08995137702345923</x:v>
      </x:c>
      <x:c r="AJ601" t="n">
        <x:v>0</x:v>
      </x:c>
      <x:c r="AK601" t="n">
        <x:v>0</x:v>
      </x:c>
      <x:c r="AL601" t="n">
        <x:v>0</x:v>
      </x:c>
      <x:c r="AM601" t="n">
        <x:f>CHOOSE('假设'!$B$3,AJ601,AK601,AL601)</x:f>
        <x:v>0</x:v>
      </x:c>
      <x:c r="AN601" t="n">
        <x:v>1</x:v>
      </x:c>
    </x:row>
    <x:row r="602" ht="23" customHeight="1">
      <x:c r="A602" s="11" t="str">
        <x:v>688192.SH</x:v>
      </x:c>
      <x:c r="B602" s="11" t="str">
        <x:v>2026年底</x:v>
      </x:c>
      <x:c r="C602" s="11" t="str">
        <x:v>bire_cll</x:v>
      </x:c>
      <x:c r="D602" s="11" t="str">
        <x:v>2042-12-31</x:v>
      </x:c>
      <x:c r="E602" s="11" t="str">
        <x:v>USD</x:v>
      </x:c>
      <x:c r="F602" s="11" t="n">
        <x:v>16</x:v>
      </x:c>
      <x:c r="G602" s="26" t="b">
        <x:v>1</x:v>
      </x:c>
      <x:c r="H602" s="16" t="n">
        <x:v>0.196</x:v>
      </x:c>
      <x:c r="I602" s="16" t="n">
        <x:v>0.2880000000000001</x:v>
      </x:c>
      <x:c r="J602" s="16" t="n">
        <x:v>0.1280000000000001</x:v>
      </x:c>
      <x:c r="K602" s="11" t="n">
        <x:f>CHOOSE('假设'!$B$3,H602,I602,J602)</x:f>
        <x:v>0.2880000000000001</x:v>
      </x:c>
      <x:c r="L602" s="11" t="n">
        <x:f>K602*'管线假设'!E147*'管线假设'!F147*'管线假设'!G147*IF(E602="USD",'管线假设'!I147,1)-AM602</x:f>
        <x:v>0.30081024000000006</x:v>
      </x:c>
      <x:c r="M602" s="11" t="n">
        <x:f>'管线假设'!H147</x:f>
        <x:v>0.125</x:v>
      </x:c>
      <x:c r="N602" s="11" t="n">
        <x:f>IF(G602,L602*AN602/(1+M602)^F602,0)</x:f>
        <x:v>0.0456932718853916</x:v>
      </x:c>
      <x:c r="AJ602" t="n">
        <x:v>0</x:v>
      </x:c>
      <x:c r="AK602" t="n">
        <x:v>0</x:v>
      </x:c>
      <x:c r="AL602" t="n">
        <x:v>0</x:v>
      </x:c>
      <x:c r="AM602" t="n">
        <x:f>CHOOSE('假设'!$B$3,AJ602,AK602,AL602)</x:f>
        <x:v>0</x:v>
      </x:c>
      <x:c r="AN602" t="n">
        <x:v>1</x:v>
      </x:c>
    </x:row>
    <x:row r="603" ht="23" customHeight="1">
      <x:c r="A603" s="11" t="str">
        <x:v>688192.SH</x:v>
      </x:c>
      <x:c r="B603" s="11" t="str">
        <x:v>2026年底</x:v>
      </x:c>
      <x:c r="C603" s="11" t="str">
        <x:v>bire_cll</x:v>
      </x:c>
      <x:c r="D603" s="11" t="str">
        <x:v>2043-12-31</x:v>
      </x:c>
      <x:c r="E603" s="11" t="str">
        <x:v>USD</x:v>
      </x:c>
      <x:c r="F603" s="11" t="n">
        <x:v>16.999315537303218</x:v>
      </x:c>
      <x:c r="G603" s="26" t="b">
        <x:v>1</x:v>
      </x:c>
      <x:c r="H603" s="16" t="n">
        <x:v>0.11200000000000002</x:v>
      </x:c>
      <x:c r="I603" s="16" t="n">
        <x:v>0.07200000000000006</x:v>
      </x:c>
      <x:c r="J603" s="16" t="n">
        <x:v>0</x:v>
      </x:c>
      <x:c r="K603" s="11" t="n">
        <x:f>CHOOSE('假设'!$B$3,H603,I603,J603)</x:f>
        <x:v>0.07200000000000006</x:v>
      </x:c>
      <x:c r="L603" s="11" t="n">
        <x:f>K603*'管线假设'!E147*'管线假设'!F147*'管线假设'!G147*IF(E603="USD",'管线假设'!I147,1)-AM603</x:f>
        <x:v>0.07520256000000006</x:v>
      </x:c>
      <x:c r="M603" s="11" t="n">
        <x:f>'管线假设'!H147</x:f>
        <x:v>0.125</x:v>
      </x:c>
      <x:c r="N603" s="11" t="n">
        <x:f>IF(G603,L603*AN603/(1+M603)^F603,0)</x:f>
        <x:v>0.010154879052973409</x:v>
      </x:c>
      <x:c r="AJ603" t="n">
        <x:v>0</x:v>
      </x:c>
      <x:c r="AK603" t="n">
        <x:v>0</x:v>
      </x:c>
      <x:c r="AL603" t="n">
        <x:v>0</x:v>
      </x:c>
      <x:c r="AM603" t="n">
        <x:f>CHOOSE('假设'!$B$3,AJ603,AK603,AL603)</x:f>
        <x:v>0</x:v>
      </x:c>
      <x:c r="AN603" t="n">
        <x:v>1</x:v>
      </x:c>
    </x:row>
    <x:row r="604" ht="23" customHeight="1">
      <x:c r="A604" s="11" t="str">
        <x:v>688192.SH</x:v>
      </x:c>
      <x:c r="B604" s="11" t="str">
        <x:v>2026年底</x:v>
      </x:c>
      <x:c r="C604" s="11" t="str">
        <x:v>bire_cll</x:v>
      </x:c>
      <x:c r="D604" s="11" t="str">
        <x:v>2044-12-31</x:v>
      </x:c>
      <x:c r="E604" s="11" t="str">
        <x:v>USD</x:v>
      </x:c>
      <x:c r="F604" s="11" t="n">
        <x:v>18.001368925393567</x:v>
      </x:c>
      <x:c r="G604" s="26" t="b">
        <x:v>1</x:v>
      </x:c>
      <x:c r="H604" s="16" t="n">
        <x:v>0.02800000000000002</x:v>
      </x:c>
      <x:c r="I604" s="16" t="n">
        <x:v>0</x:v>
      </x:c>
      <x:c r="J604" s="16" t="n">
        <x:v>0</x:v>
      </x:c>
      <x:c r="K604" s="11" t="n">
        <x:f>CHOOSE('假设'!$B$3,H604,I604,J604)</x:f>
        <x:v>0</x:v>
      </x:c>
      <x:c r="L604" s="11" t="n">
        <x:f>K604*'管线假设'!E147*'管线假设'!F147*'管线假设'!G147*IF(E604="USD",'管线假设'!I147,1)-AM604</x:f>
        <x:v>0</x:v>
      </x:c>
      <x:c r="M604" s="11" t="n">
        <x:f>'管线假设'!H147</x:f>
        <x:v>0.125</x:v>
      </x:c>
      <x:c r="N604" s="11" t="n">
        <x:f>IF(G604,L604*AN604/(1+M604)^F604,0)</x:f>
        <x:v>0</x:v>
      </x:c>
      <x:c r="AJ604" t="n">
        <x:v>0</x:v>
      </x:c>
      <x:c r="AK604" t="n">
        <x:v>0</x:v>
      </x:c>
      <x:c r="AL604" t="n">
        <x:v>0</x:v>
      </x:c>
      <x:c r="AM604" t="n">
        <x:f>CHOOSE('假设'!$B$3,AJ604,AK604,AL604)</x:f>
        <x:v>0</x:v>
      </x:c>
      <x:c r="AN604" t="n">
        <x:v>1</x:v>
      </x:c>
    </x:row>
    <x:row r="605" ht="23" customHeight="1">
      <x:c r="A605" s="11" t="str">
        <x:v>688192.SH</x:v>
      </x:c>
      <x:c r="B605" s="11" t="str">
        <x:v>2026年底</x:v>
      </x:c>
      <x:c r="C605" s="11" t="str">
        <x:v>bire_cll</x:v>
      </x:c>
      <x:c r="D605" s="11" t="str">
        <x:v>2045-12-31</x:v>
      </x:c>
      <x:c r="E605" s="11" t="str">
        <x:v>USD</x:v>
      </x:c>
      <x:c r="F605" s="11" t="n">
        <x:v>19.000684462696782</x:v>
      </x:c>
      <x:c r="G605" s="26" t="b">
        <x:v>1</x:v>
      </x:c>
      <x:c r="H605" s="16" t="n">
        <x:v>0</x:v>
      </x:c>
      <x:c r="I605" s="16" t="n">
        <x:v>0</x:v>
      </x:c>
      <x:c r="J605" s="16" t="n">
        <x:v>0</x:v>
      </x:c>
      <x:c r="K605" s="11" t="n">
        <x:f>CHOOSE('假设'!$B$3,H605,I605,J605)</x:f>
        <x:v>0</x:v>
      </x:c>
      <x:c r="L605" s="11" t="n">
        <x:f>K605*'管线假设'!E147*'管线假设'!F147*'管线假设'!G147*IF(E605="USD",'管线假设'!I147,1)-AM605</x:f>
        <x:v>0</x:v>
      </x:c>
      <x:c r="M605" s="11" t="n">
        <x:f>'管线假设'!H147</x:f>
        <x:v>0.125</x:v>
      </x:c>
      <x:c r="N605" s="11" t="n">
        <x:f>IF(G605,L605*AN605/(1+M605)^F605,0)</x:f>
        <x:v>0</x:v>
      </x:c>
      <x:c r="AJ605" t="n">
        <x:v>0</x:v>
      </x:c>
      <x:c r="AK605" t="n">
        <x:v>0</x:v>
      </x:c>
      <x:c r="AL605" t="n">
        <x:v>0</x:v>
      </x:c>
      <x:c r="AM605" t="n">
        <x:f>CHOOSE('假设'!$B$3,AJ605,AK605,AL605)</x:f>
        <x:v>0</x:v>
      </x:c>
      <x:c r="AN605" t="n">
        <x:v>1</x:v>
      </x:c>
    </x:row>
    <x:row r="606" ht="23" customHeight="1">
      <x:c r="A606" s="11" t="str">
        <x:v>688192.SH</x:v>
      </x:c>
      <x:c r="B606" s="11" t="str">
        <x:v>2026年底</x:v>
      </x:c>
      <x:c r="C606" s="11" t="str">
        <x:v>bire_dlbcl</x:v>
      </x:c>
      <x:c r="D606" s="11" t="str">
        <x:v>2027-12-31</x:v>
      </x:c>
      <x:c r="E606" s="11" t="str">
        <x:v>USD</x:v>
      </x:c>
      <x:c r="F606" s="11" t="n">
        <x:v>0.999315537303217</x:v>
      </x:c>
      <x:c r="G606" s="26" t="b">
        <x:v>1</x:v>
      </x:c>
      <x:c r="H606" s="16" t="n">
        <x:v>0</x:v>
      </x:c>
      <x:c r="I606" s="16" t="n">
        <x:v>0</x:v>
      </x:c>
      <x:c r="J606" s="16" t="n">
        <x:v>0</x:v>
      </x:c>
      <x:c r="K606" s="11" t="n">
        <x:f>CHOOSE('假设'!$B$3,H606,I606,J606)</x:f>
        <x:v>0</x:v>
      </x:c>
      <x:c r="L606" s="11" t="n">
        <x:f>K606*'管线假设'!E151*'管线假设'!F151*'管线假设'!G151*IF(E606="USD",'管线假设'!I151,1)-AM606</x:f>
        <x:v>0</x:v>
      </x:c>
      <x:c r="M606" s="11" t="n">
        <x:f>'管线假设'!H151</x:f>
        <x:v>0.125</x:v>
      </x:c>
      <x:c r="N606" s="11" t="n">
        <x:f>IF(G606,L606*AN606/(1+M606)^F606,0)</x:f>
        <x:v>0</x:v>
      </x:c>
      <x:c r="AJ606" t="n">
        <x:v>0</x:v>
      </x:c>
      <x:c r="AK606" t="n">
        <x:v>0</x:v>
      </x:c>
      <x:c r="AL606" t="n">
        <x:v>0</x:v>
      </x:c>
      <x:c r="AM606" t="n">
        <x:f>CHOOSE('假设'!$B$3,AJ606,AK606,AL606)</x:f>
        <x:v>0</x:v>
      </x:c>
      <x:c r="AN606" t="n">
        <x:v>1</x:v>
      </x:c>
    </x:row>
    <x:row r="607" ht="23" customHeight="1">
      <x:c r="A607" s="11" t="str">
        <x:v>688192.SH</x:v>
      </x:c>
      <x:c r="B607" s="11" t="str">
        <x:v>2026年底</x:v>
      </x:c>
      <x:c r="C607" s="11" t="str">
        <x:v>bire_dlbcl</x:v>
      </x:c>
      <x:c r="D607" s="11" t="str">
        <x:v>2028-12-31</x:v>
      </x:c>
      <x:c r="E607" s="11" t="str">
        <x:v>USD</x:v>
      </x:c>
      <x:c r="F607" s="11" t="n">
        <x:v>2.001368925393566</x:v>
      </x:c>
      <x:c r="G607" s="26" t="b">
        <x:v>1</x:v>
      </x:c>
      <x:c r="H607" s="16" t="n">
        <x:v>0</x:v>
      </x:c>
      <x:c r="I607" s="16" t="n">
        <x:v>0</x:v>
      </x:c>
      <x:c r="J607" s="16" t="n">
        <x:v>0</x:v>
      </x:c>
      <x:c r="K607" s="11" t="n">
        <x:f>CHOOSE('假设'!$B$3,H607,I607,J607)</x:f>
        <x:v>0</x:v>
      </x:c>
      <x:c r="L607" s="11" t="n">
        <x:f>K607*'管线假设'!E151*'管线假设'!F151*'管线假设'!G151*IF(E607="USD",'管线假设'!I151,1)-AM607</x:f>
        <x:v>0</x:v>
      </x:c>
      <x:c r="M607" s="11" t="n">
        <x:f>'管线假设'!H151</x:f>
        <x:v>0.125</x:v>
      </x:c>
      <x:c r="N607" s="11" t="n">
        <x:f>IF(G607,L607*AN607/(1+M607)^F607,0)</x:f>
        <x:v>0</x:v>
      </x:c>
      <x:c r="AJ607" t="n">
        <x:v>0</x:v>
      </x:c>
      <x:c r="AK607" t="n">
        <x:v>0</x:v>
      </x:c>
      <x:c r="AL607" t="n">
        <x:v>0</x:v>
      </x:c>
      <x:c r="AM607" t="n">
        <x:f>CHOOSE('假设'!$B$3,AJ607,AK607,AL607)</x:f>
        <x:v>0</x:v>
      </x:c>
      <x:c r="AN607" t="n">
        <x:v>1</x:v>
      </x:c>
    </x:row>
    <x:row r="608" ht="23" customHeight="1">
      <x:c r="A608" s="11" t="str">
        <x:v>688192.SH</x:v>
      </x:c>
      <x:c r="B608" s="11" t="str">
        <x:v>2026年底</x:v>
      </x:c>
      <x:c r="C608" s="11" t="str">
        <x:v>bire_dlbcl</x:v>
      </x:c>
      <x:c r="D608" s="11" t="str">
        <x:v>2029-12-31</x:v>
      </x:c>
      <x:c r="E608" s="11" t="str">
        <x:v>USD</x:v>
      </x:c>
      <x:c r="F608" s="11" t="n">
        <x:v>3.0006844626967832</x:v>
      </x:c>
      <x:c r="G608" s="26" t="b">
        <x:v>1</x:v>
      </x:c>
      <x:c r="H608" s="16" t="n">
        <x:v>0</x:v>
      </x:c>
      <x:c r="I608" s="16" t="n">
        <x:v>0</x:v>
      </x:c>
      <x:c r="J608" s="16" t="n">
        <x:v>0.5666666666666667</x:v>
      </x:c>
      <x:c r="K608" s="11" t="n">
        <x:f>CHOOSE('假设'!$B$3,H608,I608,J608)</x:f>
        <x:v>0</x:v>
      </x:c>
      <x:c r="L608" s="11" t="n">
        <x:f>K608*'管线假设'!E151*'管线假设'!F151*'管线假设'!G151*IF(E608="USD",'管线假设'!I151,1)-AM608</x:f>
        <x:v>0</x:v>
      </x:c>
      <x:c r="M608" s="11" t="n">
        <x:f>'管线假设'!H151</x:f>
        <x:v>0.125</x:v>
      </x:c>
      <x:c r="N608" s="11" t="n">
        <x:f>IF(G608,L608*AN608/(1+M608)^F608,0)</x:f>
        <x:v>0</x:v>
      </x:c>
      <x:c r="AJ608" t="n">
        <x:v>0</x:v>
      </x:c>
      <x:c r="AK608" t="n">
        <x:v>0</x:v>
      </x:c>
      <x:c r="AL608" t="n">
        <x:v>0</x:v>
      </x:c>
      <x:c r="AM608" t="n">
        <x:f>CHOOSE('假设'!$B$3,AJ608,AK608,AL608)</x:f>
        <x:v>0</x:v>
      </x:c>
      <x:c r="AN608" t="n">
        <x:v>1</x:v>
      </x:c>
    </x:row>
    <x:row r="609" ht="23" customHeight="1">
      <x:c r="A609" s="11" t="str">
        <x:v>688192.SH</x:v>
      </x:c>
      <x:c r="B609" s="11" t="str">
        <x:v>2026年底</x:v>
      </x:c>
      <x:c r="C609" s="11" t="str">
        <x:v>bire_dlbcl</x:v>
      </x:c>
      <x:c r="D609" s="11" t="str">
        <x:v>2030-12-31</x:v>
      </x:c>
      <x:c r="E609" s="11" t="str">
        <x:v>USD</x:v>
      </x:c>
      <x:c r="F609" s="11" t="n">
        <x:v>4</x:v>
      </x:c>
      <x:c r="G609" s="26" t="b">
        <x:v>1</x:v>
      </x:c>
      <x:c r="H609" s="16" t="n">
        <x:v>0</x:v>
      </x:c>
      <x:c r="I609" s="16" t="n">
        <x:v>0</x:v>
      </x:c>
      <x:c r="J609" s="16" t="n">
        <x:v>1.1333333333333333</x:v>
      </x:c>
      <x:c r="K609" s="11" t="n">
        <x:f>CHOOSE('假设'!$B$3,H609,I609,J609)</x:f>
        <x:v>0</x:v>
      </x:c>
      <x:c r="L609" s="11" t="n">
        <x:f>K609*'管线假设'!E151*'管线假设'!F151*'管线假设'!G151*IF(E609="USD",'管线假设'!I151,1)-AM609</x:f>
        <x:v>0</x:v>
      </x:c>
      <x:c r="M609" s="11" t="n">
        <x:f>'管线假设'!H151</x:f>
        <x:v>0.125</x:v>
      </x:c>
      <x:c r="N609" s="11" t="n">
        <x:f>IF(G609,L609*AN609/(1+M609)^F609,0)</x:f>
        <x:v>0</x:v>
      </x:c>
      <x:c r="AJ609" t="n">
        <x:v>0</x:v>
      </x:c>
      <x:c r="AK609" t="n">
        <x:v>0</x:v>
      </x:c>
      <x:c r="AL609" t="n">
        <x:v>0</x:v>
      </x:c>
      <x:c r="AM609" t="n">
        <x:f>CHOOSE('假设'!$B$3,AJ609,AK609,AL609)</x:f>
        <x:v>0</x:v>
      </x:c>
      <x:c r="AN609" t="n">
        <x:v>1</x:v>
      </x:c>
    </x:row>
    <x:row r="610" ht="23" customHeight="1">
      <x:c r="A610" s="11" t="str">
        <x:v>688192.SH</x:v>
      </x:c>
      <x:c r="B610" s="11" t="str">
        <x:v>2026年底</x:v>
      </x:c>
      <x:c r="C610" s="11" t="str">
        <x:v>bire_dlbcl</x:v>
      </x:c>
      <x:c r="D610" s="11" t="str">
        <x:v>2031-12-31</x:v>
      </x:c>
      <x:c r="E610" s="11" t="str">
        <x:v>USD</x:v>
      </x:c>
      <x:c r="F610" s="11" t="n">
        <x:v>4.999315537303217</x:v>
      </x:c>
      <x:c r="G610" s="26" t="b">
        <x:v>1</x:v>
      </x:c>
      <x:c r="H610" s="16" t="n">
        <x:v>0</x:v>
      </x:c>
      <x:c r="I610" s="16" t="n">
        <x:v>0.3</x:v>
      </x:c>
      <x:c r="J610" s="16" t="n">
        <x:v>1.7</x:v>
      </x:c>
      <x:c r="K610" s="11" t="n">
        <x:f>CHOOSE('假设'!$B$3,H610,I610,J610)</x:f>
        <x:v>0.3</x:v>
      </x:c>
      <x:c r="L610" s="11" t="n">
        <x:f>K610*'管线假设'!E151*'管线假设'!F151*'管线假设'!G151*IF(E610="USD",'管线假设'!I151,1)-AM610</x:f>
        <x:v>0.19584000000000001</x:v>
      </x:c>
      <x:c r="M610" s="11" t="n">
        <x:f>'管线假设'!H151</x:f>
        <x:v>0.125</x:v>
      </x:c>
      <x:c r="N610" s="11" t="n">
        <x:f>IF(G610,L610*AN610/(1+M610)^F610,0)</x:f>
        <x:v>0.10868604870786741</x:v>
      </x:c>
      <x:c r="AJ610" t="n">
        <x:v>0</x:v>
      </x:c>
      <x:c r="AK610" t="n">
        <x:v>0</x:v>
      </x:c>
      <x:c r="AL610" t="n">
        <x:v>0</x:v>
      </x:c>
      <x:c r="AM610" t="n">
        <x:f>CHOOSE('假设'!$B$3,AJ610,AK610,AL610)</x:f>
        <x:v>0</x:v>
      </x:c>
      <x:c r="AN610" t="n">
        <x:v>1</x:v>
      </x:c>
    </x:row>
    <x:row r="611" ht="23" customHeight="1">
      <x:c r="A611" s="11" t="str">
        <x:v>688192.SH</x:v>
      </x:c>
      <x:c r="B611" s="11" t="str">
        <x:v>2026年底</x:v>
      </x:c>
      <x:c r="C611" s="11" t="str">
        <x:v>bire_dlbcl</x:v>
      </x:c>
      <x:c r="D611" s="11" t="str">
        <x:v>2032-12-31</x:v>
      </x:c>
      <x:c r="E611" s="11" t="str">
        <x:v>USD</x:v>
      </x:c>
      <x:c r="F611" s="11" t="n">
        <x:v>6.0013689253935665</x:v>
      </x:c>
      <x:c r="G611" s="26" t="b">
        <x:v>1</x:v>
      </x:c>
      <x:c r="H611" s="16" t="n">
        <x:v>0</x:v>
      </x:c>
      <x:c r="I611" s="16" t="n">
        <x:v>0.6</x:v>
      </x:c>
      <x:c r="J611" s="16" t="n">
        <x:v>2.2666666666666666</x:v>
      </x:c>
      <x:c r="K611" s="11" t="n">
        <x:f>CHOOSE('假设'!$B$3,H611,I611,J611)</x:f>
        <x:v>0.6</x:v>
      </x:c>
      <x:c r="L611" s="11" t="n">
        <x:f>K611*'管线假设'!E151*'管线假设'!F151*'管线假设'!G151*IF(E611="USD",'管线假设'!I151,1)-AM611</x:f>
        <x:v>0.39168000000000003</x:v>
      </x:c>
      <x:c r="M611" s="11" t="n">
        <x:f>'管线假设'!H151</x:f>
        <x:v>0.125</x:v>
      </x:c>
      <x:c r="N611" s="11" t="n">
        <x:f>IF(G611,L611*AN611/(1+M611)^F611,0)</x:f>
        <x:v>0.19317291679996254</x:v>
      </x:c>
      <x:c r="AJ611" t="n">
        <x:v>0</x:v>
      </x:c>
      <x:c r="AK611" t="n">
        <x:v>0</x:v>
      </x:c>
      <x:c r="AL611" t="n">
        <x:v>0</x:v>
      </x:c>
      <x:c r="AM611" t="n">
        <x:f>CHOOSE('假设'!$B$3,AJ611,AK611,AL611)</x:f>
        <x:v>0</x:v>
      </x:c>
      <x:c r="AN611" t="n">
        <x:v>1</x:v>
      </x:c>
    </x:row>
    <x:row r="612" ht="23" customHeight="1">
      <x:c r="A612" s="11" t="str">
        <x:v>688192.SH</x:v>
      </x:c>
      <x:c r="B612" s="11" t="str">
        <x:v>2026年底</x:v>
      </x:c>
      <x:c r="C612" s="11" t="str">
        <x:v>bire_dlbcl</x:v>
      </x:c>
      <x:c r="D612" s="11" t="str">
        <x:v>2033-12-31</x:v>
      </x:c>
      <x:c r="E612" s="11" t="str">
        <x:v>USD</x:v>
      </x:c>
      <x:c r="F612" s="11" t="n">
        <x:v>7.000684462696783</x:v>
      </x:c>
      <x:c r="G612" s="26" t="b">
        <x:v>1</x:v>
      </x:c>
      <x:c r="H612" s="16" t="n">
        <x:v>0.1</x:v>
      </x:c>
      <x:c r="I612" s="16" t="n">
        <x:v>0.9</x:v>
      </x:c>
      <x:c r="J612" s="16" t="n">
        <x:v>2.8333333333333335</x:v>
      </x:c>
      <x:c r="K612" s="11" t="n">
        <x:f>CHOOSE('假设'!$B$3,H612,I612,J612)</x:f>
        <x:v>0.9</x:v>
      </x:c>
      <x:c r="L612" s="11" t="n">
        <x:f>K612*'管线假设'!E151*'管线假设'!F151*'管线假设'!G151*IF(E612="USD",'管线假设'!I151,1)-AM612</x:f>
        <x:v>0.5875200000000002</x:v>
      </x:c>
      <x:c r="M612" s="11" t="n">
        <x:f>'管线假设'!H151</x:f>
        <x:v>0.125</x:v>
      </x:c>
      <x:c r="N612" s="11" t="n">
        <x:f>IF(G612,L612*AN612/(1+M612)^F612,0)</x:f>
        <x:v>0.2575846542135054</x:v>
      </x:c>
      <x:c r="AJ612" t="n">
        <x:v>0</x:v>
      </x:c>
      <x:c r="AK612" t="n">
        <x:v>0</x:v>
      </x:c>
      <x:c r="AL612" t="n">
        <x:v>0</x:v>
      </x:c>
      <x:c r="AM612" t="n">
        <x:f>CHOOSE('假设'!$B$3,AJ612,AK612,AL612)</x:f>
        <x:v>0</x:v>
      </x:c>
      <x:c r="AN612" t="n">
        <x:v>1</x:v>
      </x:c>
    </x:row>
    <x:row r="613" ht="23" customHeight="1">
      <x:c r="A613" s="11" t="str">
        <x:v>688192.SH</x:v>
      </x:c>
      <x:c r="B613" s="11" t="str">
        <x:v>2026年底</x:v>
      </x:c>
      <x:c r="C613" s="11" t="str">
        <x:v>bire_dlbcl</x:v>
      </x:c>
      <x:c r="D613" s="11" t="str">
        <x:v>2034-12-31</x:v>
      </x:c>
      <x:c r="E613" s="11" t="str">
        <x:v>USD</x:v>
      </x:c>
      <x:c r="F613" s="11" t="n">
        <x:v>8</x:v>
      </x:c>
      <x:c r="G613" s="26" t="b">
        <x:v>1</x:v>
      </x:c>
      <x:c r="H613" s="16" t="n">
        <x:v>0.2</x:v>
      </x:c>
      <x:c r="I613" s="16" t="n">
        <x:v>1.2</x:v>
      </x:c>
      <x:c r="J613" s="16" t="n">
        <x:v>3.4</x:v>
      </x:c>
      <x:c r="K613" s="11" t="n">
        <x:f>CHOOSE('假设'!$B$3,H613,I613,J613)</x:f>
        <x:v>1.2</x:v>
      </x:c>
      <x:c r="L613" s="11" t="n">
        <x:f>K613*'管线假设'!E151*'管线假设'!F151*'管线假设'!G151*IF(E613="USD",'管线假设'!I151,1)-AM613</x:f>
        <x:v>0.7833600000000001</x:v>
      </x:c>
      <x:c r="M613" s="11" t="n">
        <x:f>'管线假设'!H151</x:f>
        <x:v>0.125</x:v>
      </x:c>
      <x:c r="N613" s="11" t="n">
        <x:f>IF(G613,L613*AN613/(1+M613)^F613,0)</x:f>
        <x:v>0.30531012863349105</x:v>
      </x:c>
      <x:c r="AJ613" t="n">
        <x:v>0</x:v>
      </x:c>
      <x:c r="AK613" t="n">
        <x:v>0</x:v>
      </x:c>
      <x:c r="AL613" t="n">
        <x:v>0</x:v>
      </x:c>
      <x:c r="AM613" t="n">
        <x:f>CHOOSE('假设'!$B$3,AJ613,AK613,AL613)</x:f>
        <x:v>0</x:v>
      </x:c>
      <x:c r="AN613" t="n">
        <x:v>1</x:v>
      </x:c>
    </x:row>
    <x:row r="614" ht="23" customHeight="1">
      <x:c r="A614" s="11" t="str">
        <x:v>688192.SH</x:v>
      </x:c>
      <x:c r="B614" s="11" t="str">
        <x:v>2026年底</x:v>
      </x:c>
      <x:c r="C614" s="11" t="str">
        <x:v>bire_dlbcl</x:v>
      </x:c>
      <x:c r="D614" s="11" t="str">
        <x:v>2035-12-31</x:v>
      </x:c>
      <x:c r="E614" s="11" t="str">
        <x:v>USD</x:v>
      </x:c>
      <x:c r="F614" s="11" t="n">
        <x:v>8.999315537303216</x:v>
      </x:c>
      <x:c r="G614" s="26" t="b">
        <x:v>1</x:v>
      </x:c>
      <x:c r="H614" s="16" t="n">
        <x:v>0.3</x:v>
      </x:c>
      <x:c r="I614" s="16" t="n">
        <x:v>1.5</x:v>
      </x:c>
      <x:c r="J614" s="16" t="n">
        <x:v>2.992</x:v>
      </x:c>
      <x:c r="K614" s="11" t="n">
        <x:f>CHOOSE('假设'!$B$3,H614,I614,J614)</x:f>
        <x:v>1.5</x:v>
      </x:c>
      <x:c r="L614" s="11" t="n">
        <x:f>K614*'管线假设'!E151*'管线假设'!F151*'管线假设'!G151*IF(E614="USD",'管线假设'!I151,1)-AM614</x:f>
        <x:v>0.9792000000000001</x:v>
      </x:c>
      <x:c r="M614" s="11" t="n">
        <x:f>'管线假设'!H151</x:f>
        <x:v>0.125</x:v>
      </x:c>
      <x:c r="N614" s="11" t="n">
        <x:f>IF(G614,L614*AN614/(1+M614)^F614,0)</x:f>
        <x:v>0.33926082571820226</x:v>
      </x:c>
      <x:c r="AJ614" t="n">
        <x:v>0</x:v>
      </x:c>
      <x:c r="AK614" t="n">
        <x:v>0</x:v>
      </x:c>
      <x:c r="AL614" t="n">
        <x:v>0</x:v>
      </x:c>
      <x:c r="AM614" t="n">
        <x:f>CHOOSE('假设'!$B$3,AJ614,AK614,AL614)</x:f>
        <x:v>0</x:v>
      </x:c>
      <x:c r="AN614" t="n">
        <x:v>1</x:v>
      </x:c>
    </x:row>
    <x:row r="615" ht="23" customHeight="1">
      <x:c r="A615" s="11" t="str">
        <x:v>688192.SH</x:v>
      </x:c>
      <x:c r="B615" s="11" t="str">
        <x:v>2026年底</x:v>
      </x:c>
      <x:c r="C615" s="11" t="str">
        <x:v>bire_dlbcl</x:v>
      </x:c>
      <x:c r="D615" s="11" t="str">
        <x:v>2036-12-31</x:v>
      </x:c>
      <x:c r="E615" s="11" t="str">
        <x:v>USD</x:v>
      </x:c>
      <x:c r="F615" s="11" t="n">
        <x:v>10.001368925393566</x:v>
      </x:c>
      <x:c r="G615" s="26" t="b">
        <x:v>1</x:v>
      </x:c>
      <x:c r="H615" s="16" t="n">
        <x:v>0.4</x:v>
      </x:c>
      <x:c r="I615" s="16" t="n">
        <x:v>1.8</x:v>
      </x:c>
      <x:c r="J615" s="16" t="n">
        <x:v>2.584</x:v>
      </x:c>
      <x:c r="K615" s="11" t="n">
        <x:f>CHOOSE('假设'!$B$3,H615,I615,J615)</x:f>
        <x:v>1.8</x:v>
      </x:c>
      <x:c r="L615" s="11" t="n">
        <x:f>K615*'管线假设'!E151*'管线假设'!F151*'管线假设'!G151*IF(E615="USD",'管线假设'!I151,1)-AM615</x:f>
        <x:v>1.1750400000000003</x:v>
      </x:c>
      <x:c r="M615" s="11" t="n">
        <x:f>'管线假设'!H151</x:f>
        <x:v>0.125</x:v>
      </x:c>
      <x:c r="N615" s="11" t="n">
        <x:f>IF(G615,L615*AN615/(1+M615)^F615,0)</x:f>
        <x:v>0.36179070288644116</x:v>
      </x:c>
      <x:c r="AJ615" t="n">
        <x:v>0</x:v>
      </x:c>
      <x:c r="AK615" t="n">
        <x:v>0</x:v>
      </x:c>
      <x:c r="AL615" t="n">
        <x:v>0</x:v>
      </x:c>
      <x:c r="AM615" t="n">
        <x:f>CHOOSE('假设'!$B$3,AJ615,AK615,AL615)</x:f>
        <x:v>0</x:v>
      </x:c>
      <x:c r="AN615" t="n">
        <x:v>1</x:v>
      </x:c>
    </x:row>
    <x:row r="616" ht="23" customHeight="1">
      <x:c r="A616" s="11" t="str">
        <x:v>688192.SH</x:v>
      </x:c>
      <x:c r="B616" s="11" t="str">
        <x:v>2026年底</x:v>
      </x:c>
      <x:c r="C616" s="11" t="str">
        <x:v>bire_dlbcl</x:v>
      </x:c>
      <x:c r="D616" s="11" t="str">
        <x:v>2037-12-31</x:v>
      </x:c>
      <x:c r="E616" s="11" t="str">
        <x:v>USD</x:v>
      </x:c>
      <x:c r="F616" s="11" t="n">
        <x:v>11.000684462696784</x:v>
      </x:c>
      <x:c r="G616" s="26" t="b">
        <x:v>1</x:v>
      </x:c>
      <x:c r="H616" s="16" t="n">
        <x:v>0.5</x:v>
      </x:c>
      <x:c r="I616" s="16" t="n">
        <x:v>1.584</x:v>
      </x:c>
      <x:c r="J616" s="16" t="n">
        <x:v>2.176</x:v>
      </x:c>
      <x:c r="K616" s="11" t="n">
        <x:f>CHOOSE('假设'!$B$3,H616,I616,J616)</x:f>
        <x:v>1.584</x:v>
      </x:c>
      <x:c r="L616" s="11" t="n">
        <x:f>K616*'管线假设'!E151*'管线假设'!F151*'管线假设'!G151*IF(E616="USD",'管线假设'!I151,1)-AM616</x:f>
        <x:v>1.0340352000000002</x:v>
      </x:c>
      <x:c r="M616" s="11" t="n">
        <x:f>'管线假设'!H151</x:f>
        <x:v>0.125</x:v>
      </x:c>
      <x:c r="N616" s="11" t="n">
        <x:f>IF(G616,L616*AN616/(1+M616)^F616,0)</x:f>
        <x:v>0.28302354349016795</x:v>
      </x:c>
      <x:c r="AJ616" t="n">
        <x:v>0</x:v>
      </x:c>
      <x:c r="AK616" t="n">
        <x:v>0</x:v>
      </x:c>
      <x:c r="AL616" t="n">
        <x:v>0</x:v>
      </x:c>
      <x:c r="AM616" t="n">
        <x:f>CHOOSE('假设'!$B$3,AJ616,AK616,AL616)</x:f>
        <x:v>0</x:v>
      </x:c>
      <x:c r="AN616" t="n">
        <x:v>1</x:v>
      </x:c>
    </x:row>
    <x:row r="617" ht="23" customHeight="1">
      <x:c r="A617" s="11" t="str">
        <x:v>688192.SH</x:v>
      </x:c>
      <x:c r="B617" s="11" t="str">
        <x:v>2026年底</x:v>
      </x:c>
      <x:c r="C617" s="11" t="str">
        <x:v>bire_dlbcl</x:v>
      </x:c>
      <x:c r="D617" s="11" t="str">
        <x:v>2038-12-31</x:v>
      </x:c>
      <x:c r="E617" s="11" t="str">
        <x:v>USD</x:v>
      </x:c>
      <x:c r="F617" s="11" t="n">
        <x:v>12</x:v>
      </x:c>
      <x:c r="G617" s="26" t="b">
        <x:v>1</x:v>
      </x:c>
      <x:c r="H617" s="16" t="n">
        <x:v>0.44</x:v>
      </x:c>
      <x:c r="I617" s="16" t="n">
        <x:v>1.368</x:v>
      </x:c>
      <x:c r="J617" s="16" t="n">
        <x:v>1.768</x:v>
      </x:c>
      <x:c r="K617" s="11" t="n">
        <x:f>CHOOSE('假设'!$B$3,H617,I617,J617)</x:f>
        <x:v>1.368</x:v>
      </x:c>
      <x:c r="L617" s="11" t="n">
        <x:f>K617*'管线假设'!E151*'管线假设'!F151*'管线假设'!G151*IF(E617="USD",'管线假设'!I151,1)-AM617</x:f>
        <x:v>0.8930304000000001</x:v>
      </x:c>
      <x:c r="M617" s="11" t="n">
        <x:f>'管线假设'!H151</x:f>
        <x:v>0.125</x:v>
      </x:c>
      <x:c r="N617" s="11" t="n">
        <x:f>IF(G617,L617*AN617/(1+M617)^F617,0)</x:f>
        <x:v>0.21728811569065212</x:v>
      </x:c>
      <x:c r="AJ617" t="n">
        <x:v>0</x:v>
      </x:c>
      <x:c r="AK617" t="n">
        <x:v>0</x:v>
      </x:c>
      <x:c r="AL617" t="n">
        <x:v>0</x:v>
      </x:c>
      <x:c r="AM617" t="n">
        <x:f>CHOOSE('假设'!$B$3,AJ617,AK617,AL617)</x:f>
        <x:v>0</x:v>
      </x:c>
      <x:c r="AN617" t="n">
        <x:v>1</x:v>
      </x:c>
    </x:row>
    <x:row r="618" ht="23" customHeight="1">
      <x:c r="A618" s="11" t="str">
        <x:v>688192.SH</x:v>
      </x:c>
      <x:c r="B618" s="11" t="str">
        <x:v>2026年底</x:v>
      </x:c>
      <x:c r="C618" s="11" t="str">
        <x:v>bire_dlbcl</x:v>
      </x:c>
      <x:c r="D618" s="11" t="str">
        <x:v>2039-12-31</x:v>
      </x:c>
      <x:c r="E618" s="11" t="str">
        <x:v>USD</x:v>
      </x:c>
      <x:c r="F618" s="11" t="n">
        <x:v>12.999315537303216</x:v>
      </x:c>
      <x:c r="G618" s="26" t="b">
        <x:v>1</x:v>
      </x:c>
      <x:c r="H618" s="16" t="n">
        <x:v>0.38</x:v>
      </x:c>
      <x:c r="I618" s="16" t="n">
        <x:v>1.1520000000000001</x:v>
      </x:c>
      <x:c r="J618" s="16" t="n">
        <x:v>1.36</x:v>
      </x:c>
      <x:c r="K618" s="11" t="n">
        <x:f>CHOOSE('假设'!$B$3,H618,I618,J618)</x:f>
        <x:v>1.1520000000000001</x:v>
      </x:c>
      <x:c r="L618" s="11" t="n">
        <x:f>K618*'管线假设'!E151*'管线假设'!F151*'管线假设'!G151*IF(E618="USD",'管线假设'!I151,1)-AM618</x:f>
        <x:v>0.7520256000000002</x:v>
      </x:c>
      <x:c r="M618" s="11" t="n">
        <x:f>'管线假设'!H151</x:f>
        <x:v>0.125</x:v>
      </x:c>
      <x:c r="N618" s="11" t="n">
        <x:f>IF(G618,L618*AN618/(1+M618)^F618,0)</x:f>
        <x:v>0.1626615270179651</x:v>
      </x:c>
      <x:c r="AJ618" t="n">
        <x:v>0</x:v>
      </x:c>
      <x:c r="AK618" t="n">
        <x:v>0</x:v>
      </x:c>
      <x:c r="AL618" t="n">
        <x:v>0</x:v>
      </x:c>
      <x:c r="AM618" t="n">
        <x:f>CHOOSE('假设'!$B$3,AJ618,AK618,AL618)</x:f>
        <x:v>0</x:v>
      </x:c>
      <x:c r="AN618" t="n">
        <x:v>1</x:v>
      </x:c>
    </x:row>
    <x:row r="619" ht="23" customHeight="1">
      <x:c r="A619" s="11" t="str">
        <x:v>688192.SH</x:v>
      </x:c>
      <x:c r="B619" s="11" t="str">
        <x:v>2026年底</x:v>
      </x:c>
      <x:c r="C619" s="11" t="str">
        <x:v>bire_dlbcl</x:v>
      </x:c>
      <x:c r="D619" s="11" t="str">
        <x:v>2040-12-31</x:v>
      </x:c>
      <x:c r="E619" s="11" t="str">
        <x:v>USD</x:v>
      </x:c>
      <x:c r="F619" s="11" t="n">
        <x:v>14.001368925393566</x:v>
      </x:c>
      <x:c r="G619" s="26" t="b">
        <x:v>1</x:v>
      </x:c>
      <x:c r="H619" s="16" t="n">
        <x:v>0.32</x:v>
      </x:c>
      <x:c r="I619" s="16" t="n">
        <x:v>0.936</x:v>
      </x:c>
      <x:c r="J619" s="16" t="n">
        <x:v>0.9520000000000001</x:v>
      </x:c>
      <x:c r="K619" s="11" t="n">
        <x:f>CHOOSE('假设'!$B$3,H619,I619,J619)</x:f>
        <x:v>0.936</x:v>
      </x:c>
      <x:c r="L619" s="11" t="n">
        <x:f>K619*'管线假设'!E151*'管线假设'!F151*'管线假设'!G151*IF(E619="USD",'管线假设'!I151,1)-AM619</x:f>
        <x:v>0.6110208000000001</x:v>
      </x:c>
      <x:c r="M619" s="11" t="n">
        <x:f>'管线假设'!H151</x:f>
        <x:v>0.125</x:v>
      </x:c>
      <x:c r="N619" s="11" t="n">
        <x:f>IF(G619,L619*AN619/(1+M619)^F619,0)</x:f>
        <x:v>0.11744936044686613</x:v>
      </x:c>
      <x:c r="AJ619" t="n">
        <x:v>0</x:v>
      </x:c>
      <x:c r="AK619" t="n">
        <x:v>0</x:v>
      </x:c>
      <x:c r="AL619" t="n">
        <x:v>0</x:v>
      </x:c>
      <x:c r="AM619" t="n">
        <x:f>CHOOSE('假设'!$B$3,AJ619,AK619,AL619)</x:f>
        <x:v>0</x:v>
      </x:c>
      <x:c r="AN619" t="n">
        <x:v>1</x:v>
      </x:c>
    </x:row>
    <x:row r="620" ht="23" customHeight="1">
      <x:c r="A620" s="11" t="str">
        <x:v>688192.SH</x:v>
      </x:c>
      <x:c r="B620" s="11" t="str">
        <x:v>2026年底</x:v>
      </x:c>
      <x:c r="C620" s="11" t="str">
        <x:v>bire_dlbcl</x:v>
      </x:c>
      <x:c r="D620" s="11" t="str">
        <x:v>2041-12-31</x:v>
      </x:c>
      <x:c r="E620" s="11" t="str">
        <x:v>USD</x:v>
      </x:c>
      <x:c r="F620" s="11" t="n">
        <x:v>15.000684462696784</x:v>
      </x:c>
      <x:c r="G620" s="26" t="b">
        <x:v>1</x:v>
      </x:c>
      <x:c r="H620" s="16" t="n">
        <x:v>0.26</x:v>
      </x:c>
      <x:c r="I620" s="16" t="n">
        <x:v>0.7200000000000001</x:v>
      </x:c>
      <x:c r="J620" s="16" t="n">
        <x:v>0.544</x:v>
      </x:c>
      <x:c r="K620" s="11" t="n">
        <x:f>CHOOSE('假设'!$B$3,H620,I620,J620)</x:f>
        <x:v>0.7200000000000001</x:v>
      </x:c>
      <x:c r="L620" s="11" t="n">
        <x:f>K620*'管线假设'!E151*'管线假设'!F151*'管线假设'!G151*IF(E620="USD",'管线假设'!I151,1)-AM620</x:f>
        <x:v>0.4700160000000001</x:v>
      </x:c>
      <x:c r="M620" s="11" t="n">
        <x:f>'管线假设'!H151</x:f>
        <x:v>0.125</x:v>
      </x:c>
      <x:c r="N620" s="11" t="n">
        <x:f>IF(G620,L620*AN620/(1+M620)^F620,0)</x:f>
        <x:v>0.08031372948523147</x:v>
      </x:c>
      <x:c r="AJ620" t="n">
        <x:v>0</x:v>
      </x:c>
      <x:c r="AK620" t="n">
        <x:v>0</x:v>
      </x:c>
      <x:c r="AL620" t="n">
        <x:v>0</x:v>
      </x:c>
      <x:c r="AM620" t="n">
        <x:f>CHOOSE('假设'!$B$3,AJ620,AK620,AL620)</x:f>
        <x:v>0</x:v>
      </x:c>
      <x:c r="AN620" t="n">
        <x:v>1</x:v>
      </x:c>
    </x:row>
    <x:row r="621" ht="23" customHeight="1">
      <x:c r="A621" s="11" t="str">
        <x:v>688192.SH</x:v>
      </x:c>
      <x:c r="B621" s="11" t="str">
        <x:v>2026年底</x:v>
      </x:c>
      <x:c r="C621" s="11" t="str">
        <x:v>bire_dlbcl</x:v>
      </x:c>
      <x:c r="D621" s="11" t="str">
        <x:v>2042-12-31</x:v>
      </x:c>
      <x:c r="E621" s="11" t="str">
        <x:v>USD</x:v>
      </x:c>
      <x:c r="F621" s="11" t="n">
        <x:v>16</x:v>
      </x:c>
      <x:c r="G621" s="26" t="b">
        <x:v>1</x:v>
      </x:c>
      <x:c r="H621" s="16" t="n">
        <x:v>0.2</x:v>
      </x:c>
      <x:c r="I621" s="16" t="n">
        <x:v>0.5040000000000001</x:v>
      </x:c>
      <x:c r="J621" s="16" t="n">
        <x:v>0.13600000000000012</x:v>
      </x:c>
      <x:c r="K621" s="11" t="n">
        <x:f>CHOOSE('假设'!$B$3,H621,I621,J621)</x:f>
        <x:v>0.5040000000000001</x:v>
      </x:c>
      <x:c r="L621" s="11" t="n">
        <x:f>K621*'管线假设'!E151*'管线假设'!F151*'管线假设'!G151*IF(E621="USD",'管线假设'!I151,1)-AM621</x:f>
        <x:v>0.3290112000000001</x:v>
      </x:c>
      <x:c r="M621" s="11" t="n">
        <x:f>'管线假设'!H151</x:f>
        <x:v>0.125</x:v>
      </x:c>
      <x:c r="N621" s="11" t="n">
        <x:f>IF(G621,L621*AN621/(1+M621)^F621,0)</x:f>
        <x:v>0.04997701612464707</x:v>
      </x:c>
      <x:c r="AJ621" t="n">
        <x:v>0</x:v>
      </x:c>
      <x:c r="AK621" t="n">
        <x:v>0</x:v>
      </x:c>
      <x:c r="AL621" t="n">
        <x:v>0</x:v>
      </x:c>
      <x:c r="AM621" t="n">
        <x:f>CHOOSE('假设'!$B$3,AJ621,AK621,AL621)</x:f>
        <x:v>0</x:v>
      </x:c>
      <x:c r="AN621" t="n">
        <x:v>1</x:v>
      </x:c>
    </x:row>
    <x:row r="622" ht="23" customHeight="1">
      <x:c r="A622" s="11" t="str">
        <x:v>688192.SH</x:v>
      </x:c>
      <x:c r="B622" s="11" t="str">
        <x:v>2026年底</x:v>
      </x:c>
      <x:c r="C622" s="11" t="str">
        <x:v>bire_dlbcl</x:v>
      </x:c>
      <x:c r="D622" s="11" t="str">
        <x:v>2043-12-31</x:v>
      </x:c>
      <x:c r="E622" s="11" t="str">
        <x:v>USD</x:v>
      </x:c>
      <x:c r="F622" s="11" t="n">
        <x:v>16.999315537303218</x:v>
      </x:c>
      <x:c r="G622" s="26" t="b">
        <x:v>1</x:v>
      </x:c>
      <x:c r="H622" s="16" t="n">
        <x:v>0.14</x:v>
      </x:c>
      <x:c r="I622" s="16" t="n">
        <x:v>0.2880000000000001</x:v>
      </x:c>
      <x:c r="J622" s="16" t="n">
        <x:v>0</x:v>
      </x:c>
      <x:c r="K622" s="11" t="n">
        <x:f>CHOOSE('假设'!$B$3,H622,I622,J622)</x:f>
        <x:v>0.2880000000000001</x:v>
      </x:c>
      <x:c r="L622" s="11" t="n">
        <x:f>K622*'管线假设'!E151*'管线假设'!F151*'管线假设'!G151*IF(E622="USD",'管线假设'!I151,1)-AM622</x:f>
        <x:v>0.1880064000000001</x:v>
      </x:c>
      <x:c r="M622" s="11" t="n">
        <x:f>'管线假设'!H151</x:f>
        <x:v>0.125</x:v>
      </x:c>
      <x:c r="N622" s="11" t="n">
        <x:f>IF(G622,L622*AN622/(1+M622)^F622,0)</x:f>
        <x:v>0.025387197632433516</x:v>
      </x:c>
      <x:c r="AJ622" t="n">
        <x:v>0</x:v>
      </x:c>
      <x:c r="AK622" t="n">
        <x:v>0</x:v>
      </x:c>
      <x:c r="AL622" t="n">
        <x:v>0</x:v>
      </x:c>
      <x:c r="AM622" t="n">
        <x:f>CHOOSE('假设'!$B$3,AJ622,AK622,AL622)</x:f>
        <x:v>0</x:v>
      </x:c>
      <x:c r="AN622" t="n">
        <x:v>1</x:v>
      </x:c>
    </x:row>
    <x:row r="623" ht="23" customHeight="1">
      <x:c r="A623" s="11" t="str">
        <x:v>688192.SH</x:v>
      </x:c>
      <x:c r="B623" s="11" t="str">
        <x:v>2026年底</x:v>
      </x:c>
      <x:c r="C623" s="11" t="str">
        <x:v>bire_dlbcl</x:v>
      </x:c>
      <x:c r="D623" s="11" t="str">
        <x:v>2044-12-31</x:v>
      </x:c>
      <x:c r="E623" s="11" t="str">
        <x:v>USD</x:v>
      </x:c>
      <x:c r="F623" s="11" t="n">
        <x:v>18.001368925393567</x:v>
      </x:c>
      <x:c r="G623" s="26" t="b">
        <x:v>1</x:v>
      </x:c>
      <x:c r="H623" s="16" t="n">
        <x:v>0.08000000000000002</x:v>
      </x:c>
      <x:c r="I623" s="16" t="n">
        <x:v>0.07200000000000006</x:v>
      </x:c>
      <x:c r="J623" s="16" t="n">
        <x:v>0</x:v>
      </x:c>
      <x:c r="K623" s="11" t="n">
        <x:f>CHOOSE('假设'!$B$3,H623,I623,J623)</x:f>
        <x:v>0.07200000000000006</x:v>
      </x:c>
      <x:c r="L623" s="11" t="n">
        <x:f>K623*'管线假设'!E151*'管线假设'!F151*'管线假设'!G151*IF(E623="USD",'管线假设'!I151,1)-AM623</x:f>
        <x:v>0.04700160000000005</x:v>
      </x:c>
      <x:c r="M623" s="11" t="n">
        <x:f>'管线假设'!H151</x:f>
        <x:v>0.125</x:v>
      </x:c>
      <x:c r="N623" s="11" t="n">
        <x:f>IF(G623,L623*AN623/(1+M623)^F623,0)</x:f>
        <x:v>0.0056402351938654284</x:v>
      </x:c>
      <x:c r="AJ623" t="n">
        <x:v>0</x:v>
      </x:c>
      <x:c r="AK623" t="n">
        <x:v>0</x:v>
      </x:c>
      <x:c r="AL623" t="n">
        <x:v>0</x:v>
      </x:c>
      <x:c r="AM623" t="n">
        <x:f>CHOOSE('假设'!$B$3,AJ623,AK623,AL623)</x:f>
        <x:v>0</x:v>
      </x:c>
      <x:c r="AN623" t="n">
        <x:v>1</x:v>
      </x:c>
    </x:row>
    <x:row r="624" ht="23" customHeight="1">
      <x:c r="A624" s="11" t="str">
        <x:v>688192.SH</x:v>
      </x:c>
      <x:c r="B624" s="11" t="str">
        <x:v>2026年底</x:v>
      </x:c>
      <x:c r="C624" s="11" t="str">
        <x:v>bire_dlbcl</x:v>
      </x:c>
      <x:c r="D624" s="11" t="str">
        <x:v>2045-12-31</x:v>
      </x:c>
      <x:c r="E624" s="11" t="str">
        <x:v>USD</x:v>
      </x:c>
      <x:c r="F624" s="11" t="n">
        <x:v>19.000684462696782</x:v>
      </x:c>
      <x:c r="G624" s="26" t="b">
        <x:v>1</x:v>
      </x:c>
      <x:c r="H624" s="16" t="n">
        <x:v>0.020000000000000018</x:v>
      </x:c>
      <x:c r="I624" s="16" t="n">
        <x:v>0</x:v>
      </x:c>
      <x:c r="J624" s="16" t="n">
        <x:v>0</x:v>
      </x:c>
      <x:c r="K624" s="11" t="n">
        <x:f>CHOOSE('假设'!$B$3,H624,I624,J624)</x:f>
        <x:v>0</x:v>
      </x:c>
      <x:c r="L624" s="11" t="n">
        <x:f>K624*'管线假设'!E151*'管线假设'!F151*'管线假设'!G151*IF(E624="USD",'管线假设'!I151,1)-AM624</x:f>
        <x:v>0</x:v>
      </x:c>
      <x:c r="M624" s="11" t="n">
        <x:f>'管线假设'!H151</x:f>
        <x:v>0.125</x:v>
      </x:c>
      <x:c r="N624" s="11" t="n">
        <x:f>IF(G624,L624*AN624/(1+M624)^F624,0)</x:f>
        <x:v>0</x:v>
      </x:c>
      <x:c r="AJ624" t="n">
        <x:v>0</x:v>
      </x:c>
      <x:c r="AK624" t="n">
        <x:v>0</x:v>
      </x:c>
      <x:c r="AL624" t="n">
        <x:v>0</x:v>
      </x:c>
      <x:c r="AM624" t="n">
        <x:f>CHOOSE('假设'!$B$3,AJ624,AK624,AL624)</x:f>
        <x:v>0</x:v>
      </x:c>
      <x:c r="AN624" t="n">
        <x:v>1</x:v>
      </x:c>
    </x:row>
    <x:row r="625" ht="23" customHeight="1">
      <x:c r="A625" s="11" t="str">
        <x:v>688192.SH</x:v>
      </x:c>
      <x:c r="B625" s="11" t="str">
        <x:v>2026年底</x:v>
      </x:c>
      <x:c r="C625" s="11" t="str">
        <x:v>dzd6008</x:v>
      </x:c>
      <x:c r="D625" s="11" t="str">
        <x:v>2027-12-31</x:v>
      </x:c>
      <x:c r="E625" s="11" t="str">
        <x:v>USD</x:v>
      </x:c>
      <x:c r="F625" s="11" t="n">
        <x:v>0.999315537303217</x:v>
      </x:c>
      <x:c r="G625" s="26" t="b">
        <x:v>1</x:v>
      </x:c>
      <x:c r="H625" s="16" t="n">
        <x:v>0</x:v>
      </x:c>
      <x:c r="I625" s="16" t="n">
        <x:v>0</x:v>
      </x:c>
      <x:c r="J625" s="16" t="n">
        <x:v>0</x:v>
      </x:c>
      <x:c r="K625" s="11" t="n">
        <x:f>CHOOSE('假设'!$B$3,H625,I625,J625)</x:f>
        <x:v>0</x:v>
      </x:c>
      <x:c r="L625" s="11" t="n">
        <x:f>K625*'管线假设'!E155*'管线假设'!F155*'管线假设'!G155*IF(E625="USD",'管线假设'!I155,1)-AM625</x:f>
        <x:v>0</x:v>
      </x:c>
      <x:c r="M625" s="11" t="n">
        <x:f>'管线假设'!H155</x:f>
        <x:v>0.125</x:v>
      </x:c>
      <x:c r="N625" s="11" t="n">
        <x:f>IF(G625,L625*AN625/(1+M625)^F625,0)</x:f>
        <x:v>0</x:v>
      </x:c>
      <x:c r="AJ625" t="n">
        <x:v>0</x:v>
      </x:c>
      <x:c r="AK625" t="n">
        <x:v>0</x:v>
      </x:c>
      <x:c r="AL625" t="n">
        <x:v>0</x:v>
      </x:c>
      <x:c r="AM625" t="n">
        <x:f>CHOOSE('假设'!$B$3,AJ625,AK625,AL625)</x:f>
        <x:v>0</x:v>
      </x:c>
      <x:c r="AN625" t="n">
        <x:v>1</x:v>
      </x:c>
    </x:row>
    <x:row r="626" ht="23" customHeight="1">
      <x:c r="A626" s="11" t="str">
        <x:v>688192.SH</x:v>
      </x:c>
      <x:c r="B626" s="11" t="str">
        <x:v>2026年底</x:v>
      </x:c>
      <x:c r="C626" s="11" t="str">
        <x:v>dzd6008</x:v>
      </x:c>
      <x:c r="D626" s="11" t="str">
        <x:v>2028-12-31</x:v>
      </x:c>
      <x:c r="E626" s="11" t="str">
        <x:v>USD</x:v>
      </x:c>
      <x:c r="F626" s="11" t="n">
        <x:v>2.001368925393566</x:v>
      </x:c>
      <x:c r="G626" s="26" t="b">
        <x:v>1</x:v>
      </x:c>
      <x:c r="H626" s="16" t="n">
        <x:v>0</x:v>
      </x:c>
      <x:c r="I626" s="16" t="n">
        <x:v>0</x:v>
      </x:c>
      <x:c r="J626" s="16" t="n">
        <x:v>0</x:v>
      </x:c>
      <x:c r="K626" s="11" t="n">
        <x:f>CHOOSE('假设'!$B$3,H626,I626,J626)</x:f>
        <x:v>0</x:v>
      </x:c>
      <x:c r="L626" s="11" t="n">
        <x:f>K626*'管线假设'!E155*'管线假设'!F155*'管线假设'!G155*IF(E626="USD",'管线假设'!I155,1)-AM626</x:f>
        <x:v>0</x:v>
      </x:c>
      <x:c r="M626" s="11" t="n">
        <x:f>'管线假设'!H155</x:f>
        <x:v>0.125</x:v>
      </x:c>
      <x:c r="N626" s="11" t="n">
        <x:f>IF(G626,L626*AN626/(1+M626)^F626,0)</x:f>
        <x:v>0</x:v>
      </x:c>
      <x:c r="AJ626" t="n">
        <x:v>0</x:v>
      </x:c>
      <x:c r="AK626" t="n">
        <x:v>0</x:v>
      </x:c>
      <x:c r="AL626" t="n">
        <x:v>0</x:v>
      </x:c>
      <x:c r="AM626" t="n">
        <x:f>CHOOSE('假设'!$B$3,AJ626,AK626,AL626)</x:f>
        <x:v>0</x:v>
      </x:c>
      <x:c r="AN626" t="n">
        <x:v>1</x:v>
      </x:c>
    </x:row>
    <x:row r="627" ht="23" customHeight="1">
      <x:c r="A627" s="11" t="str">
        <x:v>688192.SH</x:v>
      </x:c>
      <x:c r="B627" s="11" t="str">
        <x:v>2026年底</x:v>
      </x:c>
      <x:c r="C627" s="11" t="str">
        <x:v>dzd6008</x:v>
      </x:c>
      <x:c r="D627" s="11" t="str">
        <x:v>2029-12-31</x:v>
      </x:c>
      <x:c r="E627" s="11" t="str">
        <x:v>USD</x:v>
      </x:c>
      <x:c r="F627" s="11" t="n">
        <x:v>3.0006844626967832</x:v>
      </x:c>
      <x:c r="G627" s="26" t="b">
        <x:v>1</x:v>
      </x:c>
      <x:c r="H627" s="16" t="n">
        <x:v>0</x:v>
      </x:c>
      <x:c r="I627" s="16" t="n">
        <x:v>0</x:v>
      </x:c>
      <x:c r="J627" s="16" t="n">
        <x:v>0.75</x:v>
      </x:c>
      <x:c r="K627" s="11" t="n">
        <x:f>CHOOSE('假设'!$B$3,H627,I627,J627)</x:f>
        <x:v>0</x:v>
      </x:c>
      <x:c r="L627" s="11" t="n">
        <x:f>K627*'管线假设'!E155*'管线假设'!F155*'管线假设'!G155*IF(E627="USD",'管线假设'!I155,1)-AM627</x:f>
        <x:v>0</x:v>
      </x:c>
      <x:c r="M627" s="11" t="n">
        <x:f>'管线假设'!H155</x:f>
        <x:v>0.125</x:v>
      </x:c>
      <x:c r="N627" s="11" t="n">
        <x:f>IF(G627,L627*AN627/(1+M627)^F627,0)</x:f>
        <x:v>0</x:v>
      </x:c>
      <x:c r="AJ627" t="n">
        <x:v>0</x:v>
      </x:c>
      <x:c r="AK627" t="n">
        <x:v>0</x:v>
      </x:c>
      <x:c r="AL627" t="n">
        <x:v>0</x:v>
      </x:c>
      <x:c r="AM627" t="n">
        <x:f>CHOOSE('假设'!$B$3,AJ627,AK627,AL627)</x:f>
        <x:v>0</x:v>
      </x:c>
      <x:c r="AN627" t="n">
        <x:v>1</x:v>
      </x:c>
    </x:row>
    <x:row r="628" ht="23" customHeight="1">
      <x:c r="A628" s="11" t="str">
        <x:v>688192.SH</x:v>
      </x:c>
      <x:c r="B628" s="11" t="str">
        <x:v>2026年底</x:v>
      </x:c>
      <x:c r="C628" s="11" t="str">
        <x:v>dzd6008</x:v>
      </x:c>
      <x:c r="D628" s="11" t="str">
        <x:v>2030-12-31</x:v>
      </x:c>
      <x:c r="E628" s="11" t="str">
        <x:v>USD</x:v>
      </x:c>
      <x:c r="F628" s="11" t="n">
        <x:v>4</x:v>
      </x:c>
      <x:c r="G628" s="26" t="b">
        <x:v>1</x:v>
      </x:c>
      <x:c r="H628" s="16" t="n">
        <x:v>0</x:v>
      </x:c>
      <x:c r="I628" s="16" t="n">
        <x:v>0</x:v>
      </x:c>
      <x:c r="J628" s="16" t="n">
        <x:v>1.5</x:v>
      </x:c>
      <x:c r="K628" s="11" t="n">
        <x:f>CHOOSE('假设'!$B$3,H628,I628,J628)</x:f>
        <x:v>0</x:v>
      </x:c>
      <x:c r="L628" s="11" t="n">
        <x:f>K628*'管线假设'!E155*'管线假设'!F155*'管线假设'!G155*IF(E628="USD",'管线假设'!I155,1)-AM628</x:f>
        <x:v>0</x:v>
      </x:c>
      <x:c r="M628" s="11" t="n">
        <x:f>'管线假设'!H155</x:f>
        <x:v>0.125</x:v>
      </x:c>
      <x:c r="N628" s="11" t="n">
        <x:f>IF(G628,L628*AN628/(1+M628)^F628,0)</x:f>
        <x:v>0</x:v>
      </x:c>
      <x:c r="AJ628" t="n">
        <x:v>0</x:v>
      </x:c>
      <x:c r="AK628" t="n">
        <x:v>0</x:v>
      </x:c>
      <x:c r="AL628" t="n">
        <x:v>0</x:v>
      </x:c>
      <x:c r="AM628" t="n">
        <x:f>CHOOSE('假设'!$B$3,AJ628,AK628,AL628)</x:f>
        <x:v>0</x:v>
      </x:c>
      <x:c r="AN628" t="n">
        <x:v>1</x:v>
      </x:c>
    </x:row>
    <x:row r="629" ht="23" customHeight="1">
      <x:c r="A629" s="11" t="str">
        <x:v>688192.SH</x:v>
      </x:c>
      <x:c r="B629" s="11" t="str">
        <x:v>2026年底</x:v>
      </x:c>
      <x:c r="C629" s="11" t="str">
        <x:v>dzd6008</x:v>
      </x:c>
      <x:c r="D629" s="11" t="str">
        <x:v>2031-12-31</x:v>
      </x:c>
      <x:c r="E629" s="11" t="str">
        <x:v>USD</x:v>
      </x:c>
      <x:c r="F629" s="11" t="n">
        <x:v>4.999315537303217</x:v>
      </x:c>
      <x:c r="G629" s="26" t="b">
        <x:v>1</x:v>
      </x:c>
      <x:c r="H629" s="16" t="n">
        <x:v>0</x:v>
      </x:c>
      <x:c r="I629" s="16" t="n">
        <x:v>0.41666666666666663</x:v>
      </x:c>
      <x:c r="J629" s="16" t="n">
        <x:v>2.25</x:v>
      </x:c>
      <x:c r="K629" s="11" t="n">
        <x:f>CHOOSE('假设'!$B$3,H629,I629,J629)</x:f>
        <x:v>0.41666666666666663</x:v>
      </x:c>
      <x:c r="L629" s="11" t="n">
        <x:f>K629*'管线假设'!E155*'管线假设'!F155*'管线假设'!G155*IF(E629="USD",'管线假设'!I155,1)-AM629</x:f>
        <x:v>0.272</x:v>
      </x:c>
      <x:c r="M629" s="11" t="n">
        <x:f>'管线假设'!H155</x:f>
        <x:v>0.125</x:v>
      </x:c>
      <x:c r="N629" s="11" t="n">
        <x:f>IF(G629,L629*AN629/(1+M629)^F629,0)</x:f>
        <x:v>0.15095284542759363</x:v>
      </x:c>
      <x:c r="AJ629" t="n">
        <x:v>0</x:v>
      </x:c>
      <x:c r="AK629" t="n">
        <x:v>0</x:v>
      </x:c>
      <x:c r="AL629" t="n">
        <x:v>0</x:v>
      </x:c>
      <x:c r="AM629" t="n">
        <x:f>CHOOSE('假设'!$B$3,AJ629,AK629,AL629)</x:f>
        <x:v>0</x:v>
      </x:c>
      <x:c r="AN629" t="n">
        <x:v>1</x:v>
      </x:c>
    </x:row>
    <x:row r="630" ht="23" customHeight="1">
      <x:c r="A630" s="11" t="str">
        <x:v>688192.SH</x:v>
      </x:c>
      <x:c r="B630" s="11" t="str">
        <x:v>2026年底</x:v>
      </x:c>
      <x:c r="C630" s="11" t="str">
        <x:v>dzd6008</x:v>
      </x:c>
      <x:c r="D630" s="11" t="str">
        <x:v>2032-12-31</x:v>
      </x:c>
      <x:c r="E630" s="11" t="str">
        <x:v>USD</x:v>
      </x:c>
      <x:c r="F630" s="11" t="n">
        <x:v>6.0013689253935665</x:v>
      </x:c>
      <x:c r="G630" s="26" t="b">
        <x:v>1</x:v>
      </x:c>
      <x:c r="H630" s="16" t="n">
        <x:v>0</x:v>
      </x:c>
      <x:c r="I630" s="16" t="n">
        <x:v>0.8333333333333333</x:v>
      </x:c>
      <x:c r="J630" s="16" t="n">
        <x:v>3</x:v>
      </x:c>
      <x:c r="K630" s="11" t="n">
        <x:f>CHOOSE('假设'!$B$3,H630,I630,J630)</x:f>
        <x:v>0.8333333333333333</x:v>
      </x:c>
      <x:c r="L630" s="11" t="n">
        <x:f>K630*'管线假设'!E155*'管线假设'!F155*'管线假设'!G155*IF(E630="USD",'管线假设'!I155,1)-AM630</x:f>
        <x:v>0.544</x:v>
      </x:c>
      <x:c r="M630" s="11" t="n">
        <x:f>'管线假设'!H155</x:f>
        <x:v>0.125</x:v>
      </x:c>
      <x:c r="N630" s="11" t="n">
        <x:f>IF(G630,L630*AN630/(1+M630)^F630,0)</x:f>
        <x:v>0.26829571777772576</x:v>
      </x:c>
      <x:c r="AJ630" t="n">
        <x:v>0</x:v>
      </x:c>
      <x:c r="AK630" t="n">
        <x:v>0</x:v>
      </x:c>
      <x:c r="AL630" t="n">
        <x:v>0</x:v>
      </x:c>
      <x:c r="AM630" t="n">
        <x:f>CHOOSE('假设'!$B$3,AJ630,AK630,AL630)</x:f>
        <x:v>0</x:v>
      </x:c>
      <x:c r="AN630" t="n">
        <x:v>1</x:v>
      </x:c>
    </x:row>
    <x:row r="631" ht="23" customHeight="1">
      <x:c r="A631" s="11" t="str">
        <x:v>688192.SH</x:v>
      </x:c>
      <x:c r="B631" s="11" t="str">
        <x:v>2026年底</x:v>
      </x:c>
      <x:c r="C631" s="11" t="str">
        <x:v>dzd6008</x:v>
      </x:c>
      <x:c r="D631" s="11" t="str">
        <x:v>2033-12-31</x:v>
      </x:c>
      <x:c r="E631" s="11" t="str">
        <x:v>USD</x:v>
      </x:c>
      <x:c r="F631" s="11" t="n">
        <x:v>7.000684462696783</x:v>
      </x:c>
      <x:c r="G631" s="26" t="b">
        <x:v>1</x:v>
      </x:c>
      <x:c r="H631" s="16" t="n">
        <x:v>0</x:v>
      </x:c>
      <x:c r="I631" s="16" t="n">
        <x:v>1.25</x:v>
      </x:c>
      <x:c r="J631" s="16" t="n">
        <x:v>3.75</x:v>
      </x:c>
      <x:c r="K631" s="11" t="n">
        <x:f>CHOOSE('假设'!$B$3,H631,I631,J631)</x:f>
        <x:v>1.25</x:v>
      </x:c>
      <x:c r="L631" s="11" t="n">
        <x:f>K631*'管线假设'!E155*'管线假设'!F155*'管线假设'!G155*IF(E631="USD",'管线假设'!I155,1)-AM631</x:f>
        <x:v>0.8160000000000002</x:v>
      </x:c>
      <x:c r="M631" s="11" t="n">
        <x:f>'管线假设'!H155</x:f>
        <x:v>0.125</x:v>
      </x:c>
      <x:c r="N631" s="11" t="n">
        <x:f>IF(G631,L631*AN631/(1+M631)^F631,0)</x:f>
        <x:v>0.3577564641854242</x:v>
      </x:c>
      <x:c r="AJ631" t="n">
        <x:v>0</x:v>
      </x:c>
      <x:c r="AK631" t="n">
        <x:v>0</x:v>
      </x:c>
      <x:c r="AL631" t="n">
        <x:v>0</x:v>
      </x:c>
      <x:c r="AM631" t="n">
        <x:f>CHOOSE('假设'!$B$3,AJ631,AK631,AL631)</x:f>
        <x:v>0</x:v>
      </x:c>
      <x:c r="AN631" t="n">
        <x:v>1</x:v>
      </x:c>
    </x:row>
    <x:row r="632" ht="23" customHeight="1">
      <x:c r="A632" s="11" t="str">
        <x:v>688192.SH</x:v>
      </x:c>
      <x:c r="B632" s="11" t="str">
        <x:v>2026年底</x:v>
      </x:c>
      <x:c r="C632" s="11" t="str">
        <x:v>dzd6008</x:v>
      </x:c>
      <x:c r="D632" s="11" t="str">
        <x:v>2034-12-31</x:v>
      </x:c>
      <x:c r="E632" s="11" t="str">
        <x:v>USD</x:v>
      </x:c>
      <x:c r="F632" s="11" t="n">
        <x:v>8</x:v>
      </x:c>
      <x:c r="G632" s="26" t="b">
        <x:v>1</x:v>
      </x:c>
      <x:c r="H632" s="16" t="n">
        <x:v>0.16000000000000003</x:v>
      </x:c>
      <x:c r="I632" s="16" t="n">
        <x:v>1.6666666666666665</x:v>
      </x:c>
      <x:c r="J632" s="16" t="n">
        <x:v>4.5</x:v>
      </x:c>
      <x:c r="K632" s="11" t="n">
        <x:f>CHOOSE('假设'!$B$3,H632,I632,J632)</x:f>
        <x:v>1.6666666666666665</x:v>
      </x:c>
      <x:c r="L632" s="11" t="n">
        <x:f>K632*'管线假设'!E155*'管线假设'!F155*'管线假设'!G155*IF(E632="USD",'管线假设'!I155,1)-AM632</x:f>
        <x:v>1.088</x:v>
      </x:c>
      <x:c r="M632" s="11" t="n">
        <x:f>'管线假设'!H155</x:f>
        <x:v>0.125</x:v>
      </x:c>
      <x:c r="N632" s="11" t="n">
        <x:f>IF(G632,L632*AN632/(1+M632)^F632,0)</x:f>
        <x:v>0.4240418453242931</x:v>
      </x:c>
      <x:c r="AJ632" t="n">
        <x:v>0</x:v>
      </x:c>
      <x:c r="AK632" t="n">
        <x:v>0</x:v>
      </x:c>
      <x:c r="AL632" t="n">
        <x:v>0</x:v>
      </x:c>
      <x:c r="AM632" t="n">
        <x:f>CHOOSE('假设'!$B$3,AJ632,AK632,AL632)</x:f>
        <x:v>0</x:v>
      </x:c>
      <x:c r="AN632" t="n">
        <x:v>1</x:v>
      </x:c>
    </x:row>
    <x:row r="633" ht="23" customHeight="1">
      <x:c r="A633" s="11" t="str">
        <x:v>688192.SH</x:v>
      </x:c>
      <x:c r="B633" s="11" t="str">
        <x:v>2026年底</x:v>
      </x:c>
      <x:c r="C633" s="11" t="str">
        <x:v>dzd6008</x:v>
      </x:c>
      <x:c r="D633" s="11" t="str">
        <x:v>2035-12-31</x:v>
      </x:c>
      <x:c r="E633" s="11" t="str">
        <x:v>USD</x:v>
      </x:c>
      <x:c r="F633" s="11" t="n">
        <x:v>8.999315537303216</x:v>
      </x:c>
      <x:c r="G633" s="26" t="b">
        <x:v>1</x:v>
      </x:c>
      <x:c r="H633" s="16" t="n">
        <x:v>0.32000000000000006</x:v>
      </x:c>
      <x:c r="I633" s="16" t="n">
        <x:v>2.0833333333333335</x:v>
      </x:c>
      <x:c r="J633" s="16" t="n">
        <x:v>3.96</x:v>
      </x:c>
      <x:c r="K633" s="11" t="n">
        <x:f>CHOOSE('假设'!$B$3,H633,I633,J633)</x:f>
        <x:v>2.0833333333333335</x:v>
      </x:c>
      <x:c r="L633" s="11" t="n">
        <x:f>K633*'管线假设'!E155*'管线假设'!F155*'管线假设'!G155*IF(E633="USD",'管线假设'!I155,1)-AM633</x:f>
        <x:v>1.3600000000000003</x:v>
      </x:c>
      <x:c r="M633" s="11" t="n">
        <x:f>'管线假设'!H155</x:f>
        <x:v>0.125</x:v>
      </x:c>
      <x:c r="N633" s="11" t="n">
        <x:f>IF(G633,L633*AN633/(1+M633)^F633,0)</x:f>
        <x:v>0.471195591275281</x:v>
      </x:c>
      <x:c r="AJ633" t="n">
        <x:v>0</x:v>
      </x:c>
      <x:c r="AK633" t="n">
        <x:v>0</x:v>
      </x:c>
      <x:c r="AL633" t="n">
        <x:v>0</x:v>
      </x:c>
      <x:c r="AM633" t="n">
        <x:f>CHOOSE('假设'!$B$3,AJ633,AK633,AL633)</x:f>
        <x:v>0</x:v>
      </x:c>
      <x:c r="AN633" t="n">
        <x:v>1</x:v>
      </x:c>
    </x:row>
    <x:row r="634" ht="23" customHeight="1">
      <x:c r="A634" s="11" t="str">
        <x:v>688192.SH</x:v>
      </x:c>
      <x:c r="B634" s="11" t="str">
        <x:v>2026年底</x:v>
      </x:c>
      <x:c r="C634" s="11" t="str">
        <x:v>dzd6008</x:v>
      </x:c>
      <x:c r="D634" s="11" t="str">
        <x:v>2036-12-31</x:v>
      </x:c>
      <x:c r="E634" s="11" t="str">
        <x:v>USD</x:v>
      </x:c>
      <x:c r="F634" s="11" t="n">
        <x:v>10.001368925393566</x:v>
      </x:c>
      <x:c r="G634" s="26" t="b">
        <x:v>1</x:v>
      </x:c>
      <x:c r="H634" s="16" t="n">
        <x:v>0.48</x:v>
      </x:c>
      <x:c r="I634" s="16" t="n">
        <x:v>2.5</x:v>
      </x:c>
      <x:c r="J634" s="16" t="n">
        <x:v>3.42</x:v>
      </x:c>
      <x:c r="K634" s="11" t="n">
        <x:f>CHOOSE('假设'!$B$3,H634,I634,J634)</x:f>
        <x:v>2.5</x:v>
      </x:c>
      <x:c r="L634" s="11" t="n">
        <x:f>K634*'管线假设'!E155*'管线假设'!F155*'管线假设'!G155*IF(E634="USD",'管线假设'!I155,1)-AM634</x:f>
        <x:v>1.6320000000000003</x:v>
      </x:c>
      <x:c r="M634" s="11" t="n">
        <x:f>'管线假设'!H155</x:f>
        <x:v>0.125</x:v>
      </x:c>
      <x:c r="N634" s="11" t="n">
        <x:f>IF(G634,L634*AN634/(1+M634)^F634,0)</x:f>
        <x:v>0.5024870873422794</x:v>
      </x:c>
      <x:c r="AJ634" t="n">
        <x:v>0</x:v>
      </x:c>
      <x:c r="AK634" t="n">
        <x:v>0</x:v>
      </x:c>
      <x:c r="AL634" t="n">
        <x:v>0</x:v>
      </x:c>
      <x:c r="AM634" t="n">
        <x:f>CHOOSE('假设'!$B$3,AJ634,AK634,AL634)</x:f>
        <x:v>0</x:v>
      </x:c>
      <x:c r="AN634" t="n">
        <x:v>1</x:v>
      </x:c>
    </x:row>
    <x:row r="635" ht="23" customHeight="1">
      <x:c r="A635" s="11" t="str">
        <x:v>688192.SH</x:v>
      </x:c>
      <x:c r="B635" s="11" t="str">
        <x:v>2026年底</x:v>
      </x:c>
      <x:c r="C635" s="11" t="str">
        <x:v>dzd6008</x:v>
      </x:c>
      <x:c r="D635" s="11" t="str">
        <x:v>2037-12-31</x:v>
      </x:c>
      <x:c r="E635" s="11" t="str">
        <x:v>USD</x:v>
      </x:c>
      <x:c r="F635" s="11" t="n">
        <x:v>11.000684462696784</x:v>
      </x:c>
      <x:c r="G635" s="26" t="b">
        <x:v>1</x:v>
      </x:c>
      <x:c r="H635" s="16" t="n">
        <x:v>0.6400000000000001</x:v>
      </x:c>
      <x:c r="I635" s="16" t="n">
        <x:v>2.2</x:v>
      </x:c>
      <x:c r="J635" s="16" t="n">
        <x:v>2.88</x:v>
      </x:c>
      <x:c r="K635" s="11" t="n">
        <x:f>CHOOSE('假设'!$B$3,H635,I635,J635)</x:f>
        <x:v>2.2</x:v>
      </x:c>
      <x:c r="L635" s="11" t="n">
        <x:f>K635*'管线假设'!E155*'管线假设'!F155*'管线假设'!G155*IF(E635="USD",'管线假设'!I155,1)-AM635</x:f>
        <x:v>1.4361600000000003</x:v>
      </x:c>
      <x:c r="M635" s="11" t="n">
        <x:f>'管线假设'!H155</x:f>
        <x:v>0.125</x:v>
      </x:c>
      <x:c r="N635" s="11" t="n">
        <x:f>IF(G635,L635*AN635/(1+M635)^F635,0)</x:f>
        <x:v>0.3930882548474555</x:v>
      </x:c>
      <x:c r="AJ635" t="n">
        <x:v>0</x:v>
      </x:c>
      <x:c r="AK635" t="n">
        <x:v>0</x:v>
      </x:c>
      <x:c r="AL635" t="n">
        <x:v>0</x:v>
      </x:c>
      <x:c r="AM635" t="n">
        <x:f>CHOOSE('假设'!$B$3,AJ635,AK635,AL635)</x:f>
        <x:v>0</x:v>
      </x:c>
      <x:c r="AN635" t="n">
        <x:v>1</x:v>
      </x:c>
    </x:row>
    <x:row r="636" ht="23" customHeight="1">
      <x:c r="A636" s="11" t="str">
        <x:v>688192.SH</x:v>
      </x:c>
      <x:c r="B636" s="11" t="str">
        <x:v>2026年底</x:v>
      </x:c>
      <x:c r="C636" s="11" t="str">
        <x:v>dzd6008</x:v>
      </x:c>
      <x:c r="D636" s="11" t="str">
        <x:v>2038-12-31</x:v>
      </x:c>
      <x:c r="E636" s="11" t="str">
        <x:v>USD</x:v>
      </x:c>
      <x:c r="F636" s="11" t="n">
        <x:v>12</x:v>
      </x:c>
      <x:c r="G636" s="26" t="b">
        <x:v>1</x:v>
      </x:c>
      <x:c r="H636" s="16" t="n">
        <x:v>0.8</x:v>
      </x:c>
      <x:c r="I636" s="16" t="n">
        <x:v>1.9</x:v>
      </x:c>
      <x:c r="J636" s="16" t="n">
        <x:v>2.34</x:v>
      </x:c>
      <x:c r="K636" s="11" t="n">
        <x:f>CHOOSE('假设'!$B$3,H636,I636,J636)</x:f>
        <x:v>1.9</x:v>
      </x:c>
      <x:c r="L636" s="11" t="n">
        <x:f>K636*'管线假设'!E155*'管线假设'!F155*'管线假设'!G155*IF(E636="USD",'管线假设'!I155,1)-AM636</x:f>
        <x:v>1.2403200000000003</x:v>
      </x:c>
      <x:c r="M636" s="11" t="n">
        <x:f>'管线假设'!H155</x:f>
        <x:v>0.125</x:v>
      </x:c>
      <x:c r="N636" s="11" t="n">
        <x:f>IF(G636,L636*AN636/(1+M636)^F636,0)</x:f>
        <x:v>0.3017890495703502</x:v>
      </x:c>
      <x:c r="AJ636" t="n">
        <x:v>0</x:v>
      </x:c>
      <x:c r="AK636" t="n">
        <x:v>0</x:v>
      </x:c>
      <x:c r="AL636" t="n">
        <x:v>0</x:v>
      </x:c>
      <x:c r="AM636" t="n">
        <x:f>CHOOSE('假设'!$B$3,AJ636,AK636,AL636)</x:f>
        <x:v>0</x:v>
      </x:c>
      <x:c r="AN636" t="n">
        <x:v>1</x:v>
      </x:c>
    </x:row>
    <x:row r="637" ht="23" customHeight="1">
      <x:c r="A637" s="11" t="str">
        <x:v>688192.SH</x:v>
      </x:c>
      <x:c r="B637" s="11" t="str">
        <x:v>2026年底</x:v>
      </x:c>
      <x:c r="C637" s="11" t="str">
        <x:v>dzd6008</x:v>
      </x:c>
      <x:c r="D637" s="11" t="str">
        <x:v>2039-12-31</x:v>
      </x:c>
      <x:c r="E637" s="11" t="str">
        <x:v>USD</x:v>
      </x:c>
      <x:c r="F637" s="11" t="n">
        <x:v>12.999315537303216</x:v>
      </x:c>
      <x:c r="G637" s="26" t="b">
        <x:v>1</x:v>
      </x:c>
      <x:c r="H637" s="16" t="n">
        <x:v>0.7040000000000001</x:v>
      </x:c>
      <x:c r="I637" s="16" t="n">
        <x:v>1.6</x:v>
      </x:c>
      <x:c r="J637" s="16" t="n">
        <x:v>1.8</x:v>
      </x:c>
      <x:c r="K637" s="11" t="n">
        <x:f>CHOOSE('假设'!$B$3,H637,I637,J637)</x:f>
        <x:v>1.6</x:v>
      </x:c>
      <x:c r="L637" s="11" t="n">
        <x:f>K637*'管线假设'!E155*'管线假设'!F155*'管线假设'!G155*IF(E637="USD",'管线假设'!I155,1)-AM637</x:f>
        <x:v>1.0444800000000003</x:v>
      </x:c>
      <x:c r="M637" s="11" t="n">
        <x:f>'管线假设'!H155</x:f>
        <x:v>0.125</x:v>
      </x:c>
      <x:c r="N637" s="11" t="n">
        <x:f>IF(G637,L637*AN637/(1+M637)^F637,0)</x:f>
        <x:v>0.22591878752495154</x:v>
      </x:c>
      <x:c r="AJ637" t="n">
        <x:v>0</x:v>
      </x:c>
      <x:c r="AK637" t="n">
        <x:v>0</x:v>
      </x:c>
      <x:c r="AL637" t="n">
        <x:v>0</x:v>
      </x:c>
      <x:c r="AM637" t="n">
        <x:f>CHOOSE('假设'!$B$3,AJ637,AK637,AL637)</x:f>
        <x:v>0</x:v>
      </x:c>
      <x:c r="AN637" t="n">
        <x:v>1</x:v>
      </x:c>
    </x:row>
    <x:row r="638" ht="23" customHeight="1">
      <x:c r="A638" s="11" t="str">
        <x:v>688192.SH</x:v>
      </x:c>
      <x:c r="B638" s="11" t="str">
        <x:v>2026年底</x:v>
      </x:c>
      <x:c r="C638" s="11" t="str">
        <x:v>dzd6008</x:v>
      </x:c>
      <x:c r="D638" s="11" t="str">
        <x:v>2040-12-31</x:v>
      </x:c>
      <x:c r="E638" s="11" t="str">
        <x:v>USD</x:v>
      </x:c>
      <x:c r="F638" s="11" t="n">
        <x:v>14.001368925393566</x:v>
      </x:c>
      <x:c r="G638" s="26" t="b">
        <x:v>1</x:v>
      </x:c>
      <x:c r="H638" s="16" t="n">
        <x:v>0.6080000000000001</x:v>
      </x:c>
      <x:c r="I638" s="16" t="n">
        <x:v>1.3</x:v>
      </x:c>
      <x:c r="J638" s="16" t="n">
        <x:v>1.2600000000000002</x:v>
      </x:c>
      <x:c r="K638" s="11" t="n">
        <x:f>CHOOSE('假设'!$B$3,H638,I638,J638)</x:f>
        <x:v>1.3</x:v>
      </x:c>
      <x:c r="L638" s="11" t="n">
        <x:f>K638*'管线假设'!E155*'管线假设'!F155*'管线假设'!G155*IF(E638="USD",'管线假设'!I155,1)-AM638</x:f>
        <x:v>0.8486400000000002</x:v>
      </x:c>
      <x:c r="M638" s="11" t="n">
        <x:f>'管线假设'!H155</x:f>
        <x:v>0.125</x:v>
      </x:c>
      <x:c r="N638" s="11" t="n">
        <x:f>IF(G638,L638*AN638/(1+M638)^F638,0)</x:f>
        <x:v>0.1631241117317585</x:v>
      </x:c>
      <x:c r="AJ638" t="n">
        <x:v>0</x:v>
      </x:c>
      <x:c r="AK638" t="n">
        <x:v>0</x:v>
      </x:c>
      <x:c r="AL638" t="n">
        <x:v>0</x:v>
      </x:c>
      <x:c r="AM638" t="n">
        <x:f>CHOOSE('假设'!$B$3,AJ638,AK638,AL638)</x:f>
        <x:v>0</x:v>
      </x:c>
      <x:c r="AN638" t="n">
        <x:v>1</x:v>
      </x:c>
    </x:row>
    <x:row r="639" ht="23" customHeight="1">
      <x:c r="A639" s="11" t="str">
        <x:v>688192.SH</x:v>
      </x:c>
      <x:c r="B639" s="11" t="str">
        <x:v>2026年底</x:v>
      </x:c>
      <x:c r="C639" s="11" t="str">
        <x:v>dzd6008</x:v>
      </x:c>
      <x:c r="D639" s="11" t="str">
        <x:v>2041-12-31</x:v>
      </x:c>
      <x:c r="E639" s="11" t="str">
        <x:v>USD</x:v>
      </x:c>
      <x:c r="F639" s="11" t="n">
        <x:v>15.000684462696784</x:v>
      </x:c>
      <x:c r="G639" s="26" t="b">
        <x:v>1</x:v>
      </x:c>
      <x:c r="H639" s="16" t="n">
        <x:v>0.512</x:v>
      </x:c>
      <x:c r="I639" s="16" t="n">
        <x:v>1</x:v>
      </x:c>
      <x:c r="J639" s="16" t="n">
        <x:v>0.7200000000000002</x:v>
      </x:c>
      <x:c r="K639" s="11" t="n">
        <x:f>CHOOSE('假设'!$B$3,H639,I639,J639)</x:f>
        <x:v>1</x:v>
      </x:c>
      <x:c r="L639" s="11" t="n">
        <x:f>K639*'管线假设'!E155*'管线假设'!F155*'管线假设'!G155*IF(E639="USD",'管线假设'!I155,1)-AM639</x:f>
        <x:v>0.6528</x:v>
      </x:c>
      <x:c r="M639" s="11" t="n">
        <x:f>'管线假设'!H155</x:f>
        <x:v>0.125</x:v>
      </x:c>
      <x:c r="N639" s="11" t="n">
        <x:f>IF(G639,L639*AN639/(1+M639)^F639,0)</x:f>
        <x:v>0.1115468465072659</x:v>
      </x:c>
      <x:c r="AJ639" t="n">
        <x:v>0</x:v>
      </x:c>
      <x:c r="AK639" t="n">
        <x:v>0</x:v>
      </x:c>
      <x:c r="AL639" t="n">
        <x:v>0</x:v>
      </x:c>
      <x:c r="AM639" t="n">
        <x:f>CHOOSE('假设'!$B$3,AJ639,AK639,AL639)</x:f>
        <x:v>0</x:v>
      </x:c>
      <x:c r="AN639" t="n">
        <x:v>1</x:v>
      </x:c>
    </x:row>
    <x:row r="640" ht="23" customHeight="1">
      <x:c r="A640" s="11" t="str">
        <x:v>688192.SH</x:v>
      </x:c>
      <x:c r="B640" s="11" t="str">
        <x:v>2026年底</x:v>
      </x:c>
      <x:c r="C640" s="11" t="str">
        <x:v>dzd6008</x:v>
      </x:c>
      <x:c r="D640" s="11" t="str">
        <x:v>2042-12-31</x:v>
      </x:c>
      <x:c r="E640" s="11" t="str">
        <x:v>USD</x:v>
      </x:c>
      <x:c r="F640" s="11" t="n">
        <x:v>16</x:v>
      </x:c>
      <x:c r="G640" s="26" t="b">
        <x:v>1</x:v>
      </x:c>
      <x:c r="H640" s="16" t="n">
        <x:v>0.41600000000000004</x:v>
      </x:c>
      <x:c r="I640" s="16" t="n">
        <x:v>0.7000000000000001</x:v>
      </x:c>
      <x:c r="J640" s="16" t="n">
        <x:v>0.18000000000000016</x:v>
      </x:c>
      <x:c r="K640" s="11" t="n">
        <x:f>CHOOSE('假设'!$B$3,H640,I640,J640)</x:f>
        <x:v>0.7000000000000001</x:v>
      </x:c>
      <x:c r="L640" s="11" t="n">
        <x:f>K640*'管线假设'!E155*'管线假设'!F155*'管线假设'!G155*IF(E640="USD",'管线假设'!I155,1)-AM640</x:f>
        <x:v>0.45696000000000014</x:v>
      </x:c>
      <x:c r="M640" s="11" t="n">
        <x:f>'管线假设'!H155</x:f>
        <x:v>0.125</x:v>
      </x:c>
      <x:c r="N640" s="11" t="n">
        <x:f>IF(G640,L640*AN640/(1+M640)^F640,0)</x:f>
        <x:v>0.06941252239534315</x:v>
      </x:c>
      <x:c r="AJ640" t="n">
        <x:v>0</x:v>
      </x:c>
      <x:c r="AK640" t="n">
        <x:v>0</x:v>
      </x:c>
      <x:c r="AL640" t="n">
        <x:v>0</x:v>
      </x:c>
      <x:c r="AM640" t="n">
        <x:f>CHOOSE('假设'!$B$3,AJ640,AK640,AL640)</x:f>
        <x:v>0</x:v>
      </x:c>
      <x:c r="AN640" t="n">
        <x:v>1</x:v>
      </x:c>
    </x:row>
    <x:row r="641" ht="23" customHeight="1">
      <x:c r="A641" s="11" t="str">
        <x:v>688192.SH</x:v>
      </x:c>
      <x:c r="B641" s="11" t="str">
        <x:v>2026年底</x:v>
      </x:c>
      <x:c r="C641" s="11" t="str">
        <x:v>dzd6008</x:v>
      </x:c>
      <x:c r="D641" s="11" t="str">
        <x:v>2043-12-31</x:v>
      </x:c>
      <x:c r="E641" s="11" t="str">
        <x:v>USD</x:v>
      </x:c>
      <x:c r="F641" s="11" t="n">
        <x:v>16.999315537303218</x:v>
      </x:c>
      <x:c r="G641" s="26" t="b">
        <x:v>1</x:v>
      </x:c>
      <x:c r="H641" s="16" t="n">
        <x:v>0.32000000000000006</x:v>
      </x:c>
      <x:c r="I641" s="16" t="n">
        <x:v>0.4000000000000001</x:v>
      </x:c>
      <x:c r="J641" s="16" t="n">
        <x:v>0</x:v>
      </x:c>
      <x:c r="K641" s="11" t="n">
        <x:f>CHOOSE('假设'!$B$3,H641,I641,J641)</x:f>
        <x:v>0.4000000000000001</x:v>
      </x:c>
      <x:c r="L641" s="11" t="n">
        <x:f>K641*'管线假设'!E155*'管线假设'!F155*'管线假设'!G155*IF(E641="USD",'管线假设'!I155,1)-AM641</x:f>
        <x:v>0.2611200000000001</x:v>
      </x:c>
      <x:c r="M641" s="11" t="n">
        <x:f>'管线假设'!H155</x:f>
        <x:v>0.125</x:v>
      </x:c>
      <x:c r="N641" s="11" t="n">
        <x:f>IF(G641,L641*AN641/(1+M641)^F641,0)</x:f>
        <x:v>0.035259996711713204</x:v>
      </x:c>
      <x:c r="AJ641" t="n">
        <x:v>0</x:v>
      </x:c>
      <x:c r="AK641" t="n">
        <x:v>0</x:v>
      </x:c>
      <x:c r="AL641" t="n">
        <x:v>0</x:v>
      </x:c>
      <x:c r="AM641" t="n">
        <x:f>CHOOSE('假设'!$B$3,AJ641,AK641,AL641)</x:f>
        <x:v>0</x:v>
      </x:c>
      <x:c r="AN641" t="n">
        <x:v>1</x:v>
      </x:c>
    </x:row>
    <x:row r="642" ht="23" customHeight="1">
      <x:c r="A642" s="11" t="str">
        <x:v>688192.SH</x:v>
      </x:c>
      <x:c r="B642" s="11" t="str">
        <x:v>2026年底</x:v>
      </x:c>
      <x:c r="C642" s="11" t="str">
        <x:v>dzd6008</x:v>
      </x:c>
      <x:c r="D642" s="11" t="str">
        <x:v>2044-12-31</x:v>
      </x:c>
      <x:c r="E642" s="11" t="str">
        <x:v>USD</x:v>
      </x:c>
      <x:c r="F642" s="11" t="n">
        <x:v>18.001368925393567</x:v>
      </x:c>
      <x:c r="G642" s="26" t="b">
        <x:v>1</x:v>
      </x:c>
      <x:c r="H642" s="16" t="n">
        <x:v>0.22400000000000003</x:v>
      </x:c>
      <x:c r="I642" s="16" t="n">
        <x:v>0.10000000000000009</x:v>
      </x:c>
      <x:c r="J642" s="16" t="n">
        <x:v>0</x:v>
      </x:c>
      <x:c r="K642" s="11" t="n">
        <x:f>CHOOSE('假设'!$B$3,H642,I642,J642)</x:f>
        <x:v>0.10000000000000009</x:v>
      </x:c>
      <x:c r="L642" s="11" t="n">
        <x:f>K642*'管线假设'!E155*'管线假设'!F155*'管线假设'!G155*IF(E642="USD",'管线假设'!I155,1)-AM642</x:f>
        <x:v>0.06528000000000006</x:v>
      </x:c>
      <x:c r="M642" s="11" t="n">
        <x:f>'管线假设'!H155</x:f>
        <x:v>0.125</x:v>
      </x:c>
      <x:c r="N642" s="11" t="n">
        <x:f>IF(G642,L642*AN642/(1+M642)^F642,0)</x:f>
        <x:v>0.007833659991479761</x:v>
      </x:c>
      <x:c r="AJ642" t="n">
        <x:v>0</x:v>
      </x:c>
      <x:c r="AK642" t="n">
        <x:v>0</x:v>
      </x:c>
      <x:c r="AL642" t="n">
        <x:v>0</x:v>
      </x:c>
      <x:c r="AM642" t="n">
        <x:f>CHOOSE('假设'!$B$3,AJ642,AK642,AL642)</x:f>
        <x:v>0</x:v>
      </x:c>
      <x:c r="AN642" t="n">
        <x:v>1</x:v>
      </x:c>
    </x:row>
    <x:row r="643" ht="23" customHeight="1">
      <x:c r="A643" s="11" t="str">
        <x:v>688192.SH</x:v>
      </x:c>
      <x:c r="B643" s="11" t="str">
        <x:v>2026年底</x:v>
      </x:c>
      <x:c r="C643" s="11" t="str">
        <x:v>dzd6008</x:v>
      </x:c>
      <x:c r="D643" s="11" t="str">
        <x:v>2045-12-31</x:v>
      </x:c>
      <x:c r="E643" s="11" t="str">
        <x:v>USD</x:v>
      </x:c>
      <x:c r="F643" s="11" t="n">
        <x:v>19.000684462696782</x:v>
      </x:c>
      <x:c r="G643" s="26" t="b">
        <x:v>1</x:v>
      </x:c>
      <x:c r="H643" s="16" t="n">
        <x:v>0.12800000000000003</x:v>
      </x:c>
      <x:c r="I643" s="16" t="n">
        <x:v>0</x:v>
      </x:c>
      <x:c r="J643" s="16" t="n">
        <x:v>0</x:v>
      </x:c>
      <x:c r="K643" s="11" t="n">
        <x:f>CHOOSE('假设'!$B$3,H643,I643,J643)</x:f>
        <x:v>0</x:v>
      </x:c>
      <x:c r="L643" s="11" t="n">
        <x:f>K643*'管线假设'!E155*'管线假设'!F155*'管线假设'!G155*IF(E643="USD",'管线假设'!I155,1)-AM643</x:f>
        <x:v>0</x:v>
      </x:c>
      <x:c r="M643" s="11" t="n">
        <x:f>'管线假设'!H155</x:f>
        <x:v>0.125</x:v>
      </x:c>
      <x:c r="N643" s="11" t="n">
        <x:f>IF(G643,L643*AN643/(1+M643)^F643,0)</x:f>
        <x:v>0</x:v>
      </x:c>
      <x:c r="AJ643" t="n">
        <x:v>0</x:v>
      </x:c>
      <x:c r="AK643" t="n">
        <x:v>0</x:v>
      </x:c>
      <x:c r="AL643" t="n">
        <x:v>0</x:v>
      </x:c>
      <x:c r="AM643" t="n">
        <x:f>CHOOSE('假设'!$B$3,AJ643,AK643,AL643)</x:f>
        <x:v>0</x:v>
      </x:c>
      <x:c r="AN643" t="n">
        <x:v>1</x:v>
      </x:c>
    </x:row>
    <x:row r="644" ht="23" customHeight="1">
      <x:c r="A644" s="11" t="str">
        <x:v>688192.SH</x:v>
      </x:c>
      <x:c r="B644" s="11" t="str">
        <x:v>半年</x:v>
      </x:c>
      <x:c r="C644" s="11" t="str">
        <x:v>sun_later</x:v>
      </x:c>
      <x:c r="D644" s="11" t="str">
        <x:v>2027-12-31</x:v>
      </x:c>
      <x:c r="E644" s="11" t="str">
        <x:v>USD</x:v>
      </x:c>
      <x:c r="F644" s="11" t="n">
        <x:v>0.7282683093771389</x:v>
      </x:c>
      <x:c r="G644" s="26" t="b">
        <x:v>1</x:v>
      </x:c>
      <x:c r="H644" s="16" t="n">
        <x:v>0.06999999999999999</x:v>
      </x:c>
      <x:c r="I644" s="16" t="n">
        <x:v>0.13</x:v>
      </x:c>
      <x:c r="J644" s="16" t="n">
        <x:v>0.275</x:v>
      </x:c>
      <x:c r="K644" s="11" t="n">
        <x:f>CHOOSE('假设'!$B$3,H644,I644,J644)</x:f>
        <x:v>0.13</x:v>
      </x:c>
      <x:c r="L644" s="11" t="n">
        <x:f>K644*'管线假设'!E159*'管线假设'!F159*'管线假设'!G159*IF(E644="USD",'管线假设'!I159,1)-AM644</x:f>
        <x:v>0.07611240000000001</x:v>
      </x:c>
      <x:c r="M644" s="11" t="n">
        <x:f>'管线假设'!H159</x:f>
        <x:v>0.125</x:v>
      </x:c>
      <x:c r="N644" s="11" t="n">
        <x:f>IF(G644,L644*AN644/(1+M644)^F644,0)</x:f>
        <x:v>0.06985582972417308</x:v>
      </x:c>
      <x:c r="AJ644" t="n">
        <x:v>0</x:v>
      </x:c>
      <x:c r="AK644" t="n">
        <x:v>0</x:v>
      </x:c>
      <x:c r="AL644" t="n">
        <x:v>0</x:v>
      </x:c>
      <x:c r="AM644" t="n">
        <x:f>CHOOSE('假设'!$B$3,AJ644,AK644,AL644)</x:f>
        <x:v>0</x:v>
      </x:c>
      <x:c r="AN644" t="n">
        <x:v>1</x:v>
      </x:c>
    </x:row>
    <x:row r="645" ht="23" customHeight="1">
      <x:c r="A645" s="11" t="str">
        <x:v>688192.SH</x:v>
      </x:c>
      <x:c r="B645" s="11" t="str">
        <x:v>半年</x:v>
      </x:c>
      <x:c r="C645" s="11" t="str">
        <x:v>sun_later</x:v>
      </x:c>
      <x:c r="D645" s="11" t="str">
        <x:v>2028-12-31</x:v>
      </x:c>
      <x:c r="E645" s="11" t="str">
        <x:v>USD</x:v>
      </x:c>
      <x:c r="F645" s="11" t="n">
        <x:v>1.730321697467488</x:v>
      </x:c>
      <x:c r="G645" s="26" t="b">
        <x:v>1</x:v>
      </x:c>
      <x:c r="H645" s="16" t="n">
        <x:v>0.13999999999999999</x:v>
      </x:c>
      <x:c r="I645" s="16" t="n">
        <x:v>0.26</x:v>
      </x:c>
      <x:c r="J645" s="16" t="n">
        <x:v>0.55</x:v>
      </x:c>
      <x:c r="K645" s="11" t="n">
        <x:f>CHOOSE('假设'!$B$3,H645,I645,J645)</x:f>
        <x:v>0.26</x:v>
      </x:c>
      <x:c r="L645" s="11" t="n">
        <x:f>K645*'管线假设'!E159*'管线假设'!F159*'管线假设'!G159*IF(E645="USD",'管线假设'!I159,1)-AM645</x:f>
        <x:v>0.15222480000000002</x:v>
      </x:c>
      <x:c r="M645" s="11" t="n">
        <x:f>'管线假设'!H159</x:f>
        <x:v>0.125</x:v>
      </x:c>
      <x:c r="N645" s="11" t="n">
        <x:f>IF(G645,L645*AN645/(1+M645)^F645,0)</x:f>
        <x:v>0.12415810992973593</x:v>
      </x:c>
      <x:c r="AJ645" t="n">
        <x:v>0</x:v>
      </x:c>
      <x:c r="AK645" t="n">
        <x:v>0</x:v>
      </x:c>
      <x:c r="AL645" t="n">
        <x:v>0</x:v>
      </x:c>
      <x:c r="AM645" t="n">
        <x:f>CHOOSE('假设'!$B$3,AJ645,AK645,AL645)</x:f>
        <x:v>0</x:v>
      </x:c>
      <x:c r="AN645" t="n">
        <x:v>1</x:v>
      </x:c>
    </x:row>
    <x:row r="646" ht="23" customHeight="1">
      <x:c r="A646" s="11" t="str">
        <x:v>688192.SH</x:v>
      </x:c>
      <x:c r="B646" s="11" t="str">
        <x:v>半年</x:v>
      </x:c>
      <x:c r="C646" s="11" t="str">
        <x:v>sun_later</x:v>
      </x:c>
      <x:c r="D646" s="11" t="str">
        <x:v>2029-12-31</x:v>
      </x:c>
      <x:c r="E646" s="11" t="str">
        <x:v>USD</x:v>
      </x:c>
      <x:c r="F646" s="11" t="n">
        <x:v>2.729637234770705</x:v>
      </x:c>
      <x:c r="G646" s="26" t="b">
        <x:v>1</x:v>
      </x:c>
      <x:c r="H646" s="16" t="n">
        <x:v>0.21</x:v>
      </x:c>
      <x:c r="I646" s="16" t="n">
        <x:v>0.39</x:v>
      </x:c>
      <x:c r="J646" s="16" t="n">
        <x:v>0.8250000000000001</x:v>
      </x:c>
      <x:c r="K646" s="11" t="n">
        <x:f>CHOOSE('假设'!$B$3,H646,I646,J646)</x:f>
        <x:v>0.39</x:v>
      </x:c>
      <x:c r="L646" s="11" t="n">
        <x:f>K646*'管线假设'!E159*'管线假设'!F159*'管线假设'!G159*IF(E646="USD",'管线假设'!I159,1)-AM646</x:f>
        <x:v>0.22833720000000002</x:v>
      </x:c>
      <x:c r="M646" s="11" t="n">
        <x:f>'管线假设'!H159</x:f>
        <x:v>0.125</x:v>
      </x:c>
      <x:c r="N646" s="11" t="n">
        <x:f>IF(G646,L646*AN646/(1+M646)^F646,0)</x:f>
        <x:v>0.16555749296456046</x:v>
      </x:c>
      <x:c r="AJ646" t="n">
        <x:v>0</x:v>
      </x:c>
      <x:c r="AK646" t="n">
        <x:v>0</x:v>
      </x:c>
      <x:c r="AL646" t="n">
        <x:v>0</x:v>
      </x:c>
      <x:c r="AM646" t="n">
        <x:f>CHOOSE('假设'!$B$3,AJ646,AK646,AL646)</x:f>
        <x:v>0</x:v>
      </x:c>
      <x:c r="AN646" t="n">
        <x:v>1</x:v>
      </x:c>
    </x:row>
    <x:row r="647" ht="23" customHeight="1">
      <x:c r="A647" s="11" t="str">
        <x:v>688192.SH</x:v>
      </x:c>
      <x:c r="B647" s="11" t="str">
        <x:v>半年</x:v>
      </x:c>
      <x:c r="C647" s="11" t="str">
        <x:v>sun_later</x:v>
      </x:c>
      <x:c r="D647" s="11" t="str">
        <x:v>2030-12-31</x:v>
      </x:c>
      <x:c r="E647" s="11" t="str">
        <x:v>USD</x:v>
      </x:c>
      <x:c r="F647" s="11" t="n">
        <x:v>3.728952772073922</x:v>
      </x:c>
      <x:c r="G647" s="26" t="b">
        <x:v>1</x:v>
      </x:c>
      <x:c r="H647" s="16" t="n">
        <x:v>0.27999999999999997</x:v>
      </x:c>
      <x:c r="I647" s="16" t="n">
        <x:v>0.52</x:v>
      </x:c>
      <x:c r="J647" s="16" t="n">
        <x:v>1.1</x:v>
      </x:c>
      <x:c r="K647" s="11" t="n">
        <x:f>CHOOSE('假设'!$B$3,H647,I647,J647)</x:f>
        <x:v>0.52</x:v>
      </x:c>
      <x:c r="L647" s="11" t="n">
        <x:f>K647*'管线假设'!E159*'管线假设'!F159*'管线假设'!G159*IF(E647="USD",'管线假设'!I159,1)-AM647</x:f>
        <x:v>0.30444960000000004</x:v>
      </x:c>
      <x:c r="M647" s="11" t="n">
        <x:f>'管线假设'!H159</x:f>
        <x:v>0.125</x:v>
      </x:c>
      <x:c r="N647" s="11" t="n">
        <x:f>IF(G647,L647*AN647/(1+M647)^F647,0)</x:f>
        <x:v>0.19623210717883693</x:v>
      </x:c>
      <x:c r="AJ647" t="n">
        <x:v>0</x:v>
      </x:c>
      <x:c r="AK647" t="n">
        <x:v>0</x:v>
      </x:c>
      <x:c r="AL647" t="n">
        <x:v>0</x:v>
      </x:c>
      <x:c r="AM647" t="n">
        <x:f>CHOOSE('假设'!$B$3,AJ647,AK647,AL647)</x:f>
        <x:v>0</x:v>
      </x:c>
      <x:c r="AN647" t="n">
        <x:v>1</x:v>
      </x:c>
    </x:row>
    <x:row r="648" ht="23" customHeight="1">
      <x:c r="A648" s="11" t="str">
        <x:v>688192.SH</x:v>
      </x:c>
      <x:c r="B648" s="11" t="str">
        <x:v>半年</x:v>
      </x:c>
      <x:c r="C648" s="11" t="str">
        <x:v>sun_later</x:v>
      </x:c>
      <x:c r="D648" s="11" t="str">
        <x:v>2031-12-31</x:v>
      </x:c>
      <x:c r="E648" s="11" t="str">
        <x:v>USD</x:v>
      </x:c>
      <x:c r="F648" s="11" t="n">
        <x:v>4.728268309377139</x:v>
      </x:c>
      <x:c r="G648" s="26" t="b">
        <x:v>1</x:v>
      </x:c>
      <x:c r="H648" s="16" t="n">
        <x:v>0.35</x:v>
      </x:c>
      <x:c r="I648" s="16" t="n">
        <x:v>0.65</x:v>
      </x:c>
      <x:c r="J648" s="16" t="n">
        <x:v>0.9680000000000001</x:v>
      </x:c>
      <x:c r="K648" s="11" t="n">
        <x:f>CHOOSE('假设'!$B$3,H648,I648,J648)</x:f>
        <x:v>0.65</x:v>
      </x:c>
      <x:c r="L648" s="11" t="n">
        <x:f>K648*'管线假设'!E159*'管线假设'!F159*'管线假设'!G159*IF(E648="USD",'管线假设'!I159,1)-AM648</x:f>
        <x:v>0.38056200000000007</x:v>
      </x:c>
      <x:c r="M648" s="11" t="n">
        <x:f>'管线假设'!H159</x:f>
        <x:v>0.125</x:v>
      </x:c>
      <x:c r="N648" s="11" t="n">
        <x:f>IF(G648,L648*AN648/(1+M648)^F648,0)</x:f>
        <x:v>0.2180532529722702</x:v>
      </x:c>
      <x:c r="AJ648" t="n">
        <x:v>0</x:v>
      </x:c>
      <x:c r="AK648" t="n">
        <x:v>0</x:v>
      </x:c>
      <x:c r="AL648" t="n">
        <x:v>0</x:v>
      </x:c>
      <x:c r="AM648" t="n">
        <x:f>CHOOSE('假设'!$B$3,AJ648,AK648,AL648)</x:f>
        <x:v>0</x:v>
      </x:c>
      <x:c r="AN648" t="n">
        <x:v>1</x:v>
      </x:c>
    </x:row>
    <x:row r="649" ht="23" customHeight="1">
      <x:c r="A649" s="11" t="str">
        <x:v>688192.SH</x:v>
      </x:c>
      <x:c r="B649" s="11" t="str">
        <x:v>半年</x:v>
      </x:c>
      <x:c r="C649" s="11" t="str">
        <x:v>sun_later</x:v>
      </x:c>
      <x:c r="D649" s="11" t="str">
        <x:v>2032-12-31</x:v>
      </x:c>
      <x:c r="E649" s="11" t="str">
        <x:v>USD</x:v>
      </x:c>
      <x:c r="F649" s="11" t="n">
        <x:v>5.730321697467488</x:v>
      </x:c>
      <x:c r="G649" s="26" t="b">
        <x:v>1</x:v>
      </x:c>
      <x:c r="H649" s="16" t="n">
        <x:v>0.308</x:v>
      </x:c>
      <x:c r="I649" s="16" t="n">
        <x:v>0.5720000000000001</x:v>
      </x:c>
      <x:c r="J649" s="16" t="n">
        <x:v>0.8360000000000001</x:v>
      </x:c>
      <x:c r="K649" s="11" t="n">
        <x:f>CHOOSE('假设'!$B$3,H649,I649,J649)</x:f>
        <x:v>0.5720000000000001</x:v>
      </x:c>
      <x:c r="L649" s="11" t="n">
        <x:f>K649*'管线假设'!E159*'管线假设'!F159*'管线假设'!G159*IF(E649="USD",'管线假设'!I159,1)-AM649</x:f>
        <x:v>0.33489456000000006</x:v>
      </x:c>
      <x:c r="M649" s="11" t="n">
        <x:f>'管线假设'!H159</x:f>
        <x:v>0.125</x:v>
      </x:c>
      <x:c r="N649" s="11" t="n">
        <x:f>IF(G649,L649*AN649/(1+M649)^F649,0)</x:f>
        <x:v>0.17052485294906822</x:v>
      </x:c>
      <x:c r="AJ649" t="n">
        <x:v>0</x:v>
      </x:c>
      <x:c r="AK649" t="n">
        <x:v>0</x:v>
      </x:c>
      <x:c r="AL649" t="n">
        <x:v>0</x:v>
      </x:c>
      <x:c r="AM649" t="n">
        <x:f>CHOOSE('假设'!$B$3,AJ649,AK649,AL649)</x:f>
        <x:v>0</x:v>
      </x:c>
      <x:c r="AN649" t="n">
        <x:v>1</x:v>
      </x:c>
    </x:row>
    <x:row r="650" ht="23" customHeight="1">
      <x:c r="A650" s="11" t="str">
        <x:v>688192.SH</x:v>
      </x:c>
      <x:c r="B650" s="11" t="str">
        <x:v>半年</x:v>
      </x:c>
      <x:c r="C650" s="11" t="str">
        <x:v>sun_later</x:v>
      </x:c>
      <x:c r="D650" s="11" t="str">
        <x:v>2033-12-31</x:v>
      </x:c>
      <x:c r="E650" s="11" t="str">
        <x:v>USD</x:v>
      </x:c>
      <x:c r="F650" s="11" t="n">
        <x:v>6.729637234770705</x:v>
      </x:c>
      <x:c r="G650" s="26" t="b">
        <x:v>1</x:v>
      </x:c>
      <x:c r="H650" s="16" t="n">
        <x:v>0.26599999999999996</x:v>
      </x:c>
      <x:c r="I650" s="16" t="n">
        <x:v>0.49400000000000005</x:v>
      </x:c>
      <x:c r="J650" s="16" t="n">
        <x:v>0.7040000000000001</x:v>
      </x:c>
      <x:c r="K650" s="11" t="n">
        <x:f>CHOOSE('假设'!$B$3,H650,I650,J650)</x:f>
        <x:v>0.49400000000000005</x:v>
      </x:c>
      <x:c r="L650" s="11" t="n">
        <x:f>K650*'管线假设'!E159*'管线假设'!F159*'管线假设'!G159*IF(E650="USD",'管线假设'!I159,1)-AM650</x:f>
        <x:v>0.28922712000000006</x:v>
      </x:c>
      <x:c r="M650" s="11" t="n">
        <x:f>'管线假设'!H159</x:f>
        <x:v>0.125</x:v>
      </x:c>
      <x:c r="N650" s="11" t="n">
        <x:f>IF(G650,L650*AN650/(1+M650)^F650,0)</x:f>
        <x:v>0.13091852189680386</x:v>
      </x:c>
      <x:c r="AJ650" t="n">
        <x:v>0</x:v>
      </x:c>
      <x:c r="AK650" t="n">
        <x:v>0</x:v>
      </x:c>
      <x:c r="AL650" t="n">
        <x:v>0</x:v>
      </x:c>
      <x:c r="AM650" t="n">
        <x:f>CHOOSE('假设'!$B$3,AJ650,AK650,AL650)</x:f>
        <x:v>0</x:v>
      </x:c>
      <x:c r="AN650" t="n">
        <x:v>1</x:v>
      </x:c>
    </x:row>
    <x:row r="651" ht="23" customHeight="1">
      <x:c r="A651" s="11" t="str">
        <x:v>688192.SH</x:v>
      </x:c>
      <x:c r="B651" s="11" t="str">
        <x:v>半年</x:v>
      </x:c>
      <x:c r="C651" s="11" t="str">
        <x:v>sun_later</x:v>
      </x:c>
      <x:c r="D651" s="11" t="str">
        <x:v>2034-12-31</x:v>
      </x:c>
      <x:c r="E651" s="11" t="str">
        <x:v>USD</x:v>
      </x:c>
      <x:c r="F651" s="11" t="n">
        <x:v>7.728952772073922</x:v>
      </x:c>
      <x:c r="G651" s="26" t="b">
        <x:v>1</x:v>
      </x:c>
      <x:c r="H651" s="16" t="n">
        <x:v>0.22399999999999998</x:v>
      </x:c>
      <x:c r="I651" s="16" t="n">
        <x:v>0.41600000000000004</x:v>
      </x:c>
      <x:c r="J651" s="16" t="n">
        <x:v>0.5720000000000001</x:v>
      </x:c>
      <x:c r="K651" s="11" t="n">
        <x:f>CHOOSE('假设'!$B$3,H651,I651,J651)</x:f>
        <x:v>0.41600000000000004</x:v>
      </x:c>
      <x:c r="L651" s="11" t="n">
        <x:f>K651*'管线假设'!E159*'管线假设'!F159*'管线假设'!G159*IF(E651="USD",'管线假设'!I159,1)-AM651</x:f>
        <x:v>0.24355968000000003</x:v>
      </x:c>
      <x:c r="M651" s="11" t="n">
        <x:f>'管线假设'!H159</x:f>
        <x:v>0.125</x:v>
      </x:c>
      <x:c r="N651" s="11" t="n">
        <x:f>IF(G651,L651*AN651/(1+M651)^F651,0)</x:f>
        <x:v>0.09800539076415377</x:v>
      </x:c>
      <x:c r="AJ651" t="n">
        <x:v>0</x:v>
      </x:c>
      <x:c r="AK651" t="n">
        <x:v>0</x:v>
      </x:c>
      <x:c r="AL651" t="n">
        <x:v>0</x:v>
      </x:c>
      <x:c r="AM651" t="n">
        <x:f>CHOOSE('假设'!$B$3,AJ651,AK651,AL651)</x:f>
        <x:v>0</x:v>
      </x:c>
      <x:c r="AN651" t="n">
        <x:v>1</x:v>
      </x:c>
    </x:row>
    <x:row r="652" ht="23" customHeight="1">
      <x:c r="A652" s="11" t="str">
        <x:v>688192.SH</x:v>
      </x:c>
      <x:c r="B652" s="11" t="str">
        <x:v>半年</x:v>
      </x:c>
      <x:c r="C652" s="11" t="str">
        <x:v>sun_later</x:v>
      </x:c>
      <x:c r="D652" s="11" t="str">
        <x:v>2035-12-31</x:v>
      </x:c>
      <x:c r="E652" s="11" t="str">
        <x:v>USD</x:v>
      </x:c>
      <x:c r="F652" s="11" t="n">
        <x:v>8.728268309377139</x:v>
      </x:c>
      <x:c r="G652" s="26" t="b">
        <x:v>1</x:v>
      </x:c>
      <x:c r="H652" s="16" t="n">
        <x:v>0.182</x:v>
      </x:c>
      <x:c r="I652" s="16" t="n">
        <x:v>0.338</x:v>
      </x:c>
      <x:c r="J652" s="16" t="n">
        <x:v>0.44000000000000006</x:v>
      </x:c>
      <x:c r="K652" s="11" t="n">
        <x:f>CHOOSE('假设'!$B$3,H652,I652,J652)</x:f>
        <x:v>0.338</x:v>
      </x:c>
      <x:c r="L652" s="11" t="n">
        <x:f>K652*'管线假设'!E159*'管线假设'!F159*'管线假设'!G159*IF(E652="USD",'管线假设'!I159,1)-AM652</x:f>
        <x:v>0.19789224000000002</x:v>
      </x:c>
      <x:c r="M652" s="11" t="n">
        <x:f>'管线假设'!H159</x:f>
        <x:v>0.125</x:v>
      </x:c>
      <x:c r="N652" s="11" t="n">
        <x:f>IF(G652,L652*AN652/(1+M652)^F652,0)</x:f>
        <x:v>0.07078737762089585</x:v>
      </x:c>
      <x:c r="AJ652" t="n">
        <x:v>0</x:v>
      </x:c>
      <x:c r="AK652" t="n">
        <x:v>0</x:v>
      </x:c>
      <x:c r="AL652" t="n">
        <x:v>0</x:v>
      </x:c>
      <x:c r="AM652" t="n">
        <x:f>CHOOSE('假设'!$B$3,AJ652,AK652,AL652)</x:f>
        <x:v>0</x:v>
      </x:c>
      <x:c r="AN652" t="n">
        <x:v>1</x:v>
      </x:c>
    </x:row>
    <x:row r="653" ht="23" customHeight="1">
      <x:c r="A653" s="11" t="str">
        <x:v>688192.SH</x:v>
      </x:c>
      <x:c r="B653" s="11" t="str">
        <x:v>半年</x:v>
      </x:c>
      <x:c r="C653" s="11" t="str">
        <x:v>sun_later</x:v>
      </x:c>
      <x:c r="D653" s="11" t="str">
        <x:v>2036-12-31</x:v>
      </x:c>
      <x:c r="E653" s="11" t="str">
        <x:v>USD</x:v>
      </x:c>
      <x:c r="F653" s="11" t="n">
        <x:v>9.730321697467488</x:v>
      </x:c>
      <x:c r="G653" s="26" t="b">
        <x:v>1</x:v>
      </x:c>
      <x:c r="H653" s="16" t="n">
        <x:v>0.13999999999999999</x:v>
      </x:c>
      <x:c r="I653" s="16" t="n">
        <x:v>0.26</x:v>
      </x:c>
      <x:c r="J653" s="16" t="n">
        <x:v>0.30800000000000005</x:v>
      </x:c>
      <x:c r="K653" s="11" t="n">
        <x:f>CHOOSE('假设'!$B$3,H653,I653,J653)</x:f>
        <x:v>0.26</x:v>
      </x:c>
      <x:c r="L653" s="11" t="n">
        <x:f>K653*'管线假设'!E159*'管线假设'!F159*'管线假设'!G159*IF(E653="USD",'管线假设'!I159,1)-AM653</x:f>
        <x:v>0.15222480000000002</x:v>
      </x:c>
      <x:c r="M653" s="11" t="n">
        <x:f>'管线假设'!H159</x:f>
        <x:v>0.125</x:v>
      </x:c>
      <x:c r="N653" s="11" t="n">
        <x:f>IF(G653,L653*AN653/(1+M653)^F653,0)</x:f>
        <x:v>0.048389920998696385</x:v>
      </x:c>
      <x:c r="AJ653" t="n">
        <x:v>0</x:v>
      </x:c>
      <x:c r="AK653" t="n">
        <x:v>0</x:v>
      </x:c>
      <x:c r="AL653" t="n">
        <x:v>0</x:v>
      </x:c>
      <x:c r="AM653" t="n">
        <x:f>CHOOSE('假设'!$B$3,AJ653,AK653,AL653)</x:f>
        <x:v>0</x:v>
      </x:c>
      <x:c r="AN653" t="n">
        <x:v>1</x:v>
      </x:c>
    </x:row>
    <x:row r="654" ht="23" customHeight="1">
      <x:c r="A654" s="11" t="str">
        <x:v>688192.SH</x:v>
      </x:c>
      <x:c r="B654" s="11" t="str">
        <x:v>半年</x:v>
      </x:c>
      <x:c r="C654" s="11" t="str">
        <x:v>sun_later</x:v>
      </x:c>
      <x:c r="D654" s="11" t="str">
        <x:v>2037-12-31</x:v>
      </x:c>
      <x:c r="E654" s="11" t="str">
        <x:v>USD</x:v>
      </x:c>
      <x:c r="F654" s="11" t="n">
        <x:v>10.729637234770705</x:v>
      </x:c>
      <x:c r="G654" s="26" t="b">
        <x:v>1</x:v>
      </x:c>
      <x:c r="H654" s="16" t="n">
        <x:v>0.098</x:v>
      </x:c>
      <x:c r="I654" s="16" t="n">
        <x:v>0.18200000000000002</x:v>
      </x:c>
      <x:c r="J654" s="16" t="n">
        <x:v>0.17600000000000005</x:v>
      </x:c>
      <x:c r="K654" s="11" t="n">
        <x:f>CHOOSE('假设'!$B$3,H654,I654,J654)</x:f>
        <x:v>0.18200000000000002</x:v>
      </x:c>
      <x:c r="L654" s="11" t="n">
        <x:f>K654*'管线假设'!E159*'管线假设'!F159*'管线假设'!G159*IF(E654="USD",'管线假设'!I159,1)-AM654</x:f>
        <x:v>0.10655736000000002</x:v>
      </x:c>
      <x:c r="M654" s="11" t="n">
        <x:f>'管线假设'!H159</x:f>
        <x:v>0.125</x:v>
      </x:c>
      <x:c r="N654" s="11" t="n">
        <x:f>IF(G654,L654*AN654/(1+M654)^F654,0)</x:f>
        <x:v>0.030111711627922255</x:v>
      </x:c>
      <x:c r="AJ654" t="n">
        <x:v>0</x:v>
      </x:c>
      <x:c r="AK654" t="n">
        <x:v>0</x:v>
      </x:c>
      <x:c r="AL654" t="n">
        <x:v>0</x:v>
      </x:c>
      <x:c r="AM654" t="n">
        <x:f>CHOOSE('假设'!$B$3,AJ654,AK654,AL654)</x:f>
        <x:v>0</x:v>
      </x:c>
      <x:c r="AN654" t="n">
        <x:v>1</x:v>
      </x:c>
    </x:row>
    <x:row r="655" ht="23" customHeight="1">
      <x:c r="A655" s="11" t="str">
        <x:v>688192.SH</x:v>
      </x:c>
      <x:c r="B655" s="11" t="str">
        <x:v>半年</x:v>
      </x:c>
      <x:c r="C655" s="11" t="str">
        <x:v>sun_later</x:v>
      </x:c>
      <x:c r="D655" s="11" t="str">
        <x:v>2038-12-31</x:v>
      </x:c>
      <x:c r="E655" s="11" t="str">
        <x:v>USD</x:v>
      </x:c>
      <x:c r="F655" s="11" t="n">
        <x:v>11.728952772073923</x:v>
      </x:c>
      <x:c r="G655" s="26" t="b">
        <x:v>1</x:v>
      </x:c>
      <x:c r="H655" s="16" t="n">
        <x:v>0.05600000000000001</x:v>
      </x:c>
      <x:c r="I655" s="16" t="n">
        <x:v>0.10400000000000002</x:v>
      </x:c>
      <x:c r="J655" s="16" t="n">
        <x:v>0.044000000000000046</x:v>
      </x:c>
      <x:c r="K655" s="11" t="n">
        <x:f>CHOOSE('假设'!$B$3,H655,I655,J655)</x:f>
        <x:v>0.10400000000000002</x:v>
      </x:c>
      <x:c r="L655" s="11" t="n">
        <x:f>K655*'管线假设'!E159*'管线假设'!F159*'管线假设'!G159*IF(E655="USD",'管线假设'!I159,1)-AM655</x:f>
        <x:v>0.06088992000000002</x:v>
      </x:c>
      <x:c r="M655" s="11" t="n">
        <x:f>'管线假设'!H159</x:f>
        <x:v>0.125</x:v>
      </x:c>
      <x:c r="N655" s="11" t="n">
        <x:f>IF(G655,L655*AN655/(1+M655)^F655,0)</x:f>
        <x:v>0.015296070742644944</x:v>
      </x:c>
      <x:c r="AJ655" t="n">
        <x:v>0</x:v>
      </x:c>
      <x:c r="AK655" t="n">
        <x:v>0</x:v>
      </x:c>
      <x:c r="AL655" t="n">
        <x:v>0</x:v>
      </x:c>
      <x:c r="AM655" t="n">
        <x:f>CHOOSE('假设'!$B$3,AJ655,AK655,AL655)</x:f>
        <x:v>0</x:v>
      </x:c>
      <x:c r="AN655" t="n">
        <x:v>1</x:v>
      </x:c>
    </x:row>
    <x:row r="656" ht="23" customHeight="1">
      <x:c r="A656" s="11" t="str">
        <x:v>688192.SH</x:v>
      </x:c>
      <x:c r="B656" s="11" t="str">
        <x:v>半年</x:v>
      </x:c>
      <x:c r="C656" s="11" t="str">
        <x:v>sun_later</x:v>
      </x:c>
      <x:c r="D656" s="11" t="str">
        <x:v>2039-12-31</x:v>
      </x:c>
      <x:c r="E656" s="11" t="str">
        <x:v>USD</x:v>
      </x:c>
      <x:c r="F656" s="11" t="n">
        <x:v>12.728268309377139</x:v>
      </x:c>
      <x:c r="G656" s="26" t="b">
        <x:v>1</x:v>
      </x:c>
      <x:c r="H656" s="16" t="n">
        <x:v>0.01400000000000001</x:v>
      </x:c>
      <x:c r="I656" s="16" t="n">
        <x:v>0.026000000000000023</x:v>
      </x:c>
      <x:c r="J656" s="16" t="n">
        <x:v>0</x:v>
      </x:c>
      <x:c r="K656" s="11" t="n">
        <x:f>CHOOSE('假设'!$B$3,H656,I656,J656)</x:f>
        <x:v>0.026000000000000023</x:v>
      </x:c>
      <x:c r="L656" s="11" t="n">
        <x:f>K656*'管线假设'!E159*'管线假设'!F159*'管线假设'!G159*IF(E656="USD",'管线假设'!I159,1)-AM656</x:f>
        <x:v>0.015222480000000014</x:v>
      </x:c>
      <x:c r="M656" s="11" t="n">
        <x:f>'管线假设'!H159</x:f>
        <x:v>0.125</x:v>
      </x:c>
      <x:c r="N656" s="11" t="n">
        <x:f>IF(G656,L656*AN656/(1+M656)^F656,0)</x:f>
        <x:v>0.003399400873872295</x:v>
      </x:c>
      <x:c r="AJ656" t="n">
        <x:v>0</x:v>
      </x:c>
      <x:c r="AK656" t="n">
        <x:v>0</x:v>
      </x:c>
      <x:c r="AL656" t="n">
        <x:v>0</x:v>
      </x:c>
      <x:c r="AM656" t="n">
        <x:f>CHOOSE('假设'!$B$3,AJ656,AK656,AL656)</x:f>
        <x:v>0</x:v>
      </x:c>
      <x:c r="AN656" t="n">
        <x:v>1</x:v>
      </x:c>
    </x:row>
    <x:row r="657" ht="23" customHeight="1">
      <x:c r="A657" s="11" t="str">
        <x:v>688192.SH</x:v>
      </x:c>
      <x:c r="B657" s="11" t="str">
        <x:v>半年</x:v>
      </x:c>
      <x:c r="C657" s="11" t="str">
        <x:v>sun_later</x:v>
      </x:c>
      <x:c r="D657" s="11" t="str">
        <x:v>2040-12-31</x:v>
      </x:c>
      <x:c r="E657" s="11" t="str">
        <x:v>USD</x:v>
      </x:c>
      <x:c r="F657" s="11" t="n">
        <x:v>13.730321697467488</x:v>
      </x:c>
      <x:c r="G657" s="26" t="b">
        <x:v>1</x:v>
      </x:c>
      <x:c r="H657" s="16" t="n">
        <x:v>0</x:v>
      </x:c>
      <x:c r="I657" s="16" t="n">
        <x:v>0</x:v>
      </x:c>
      <x:c r="J657" s="16" t="n">
        <x:v>0</x:v>
      </x:c>
      <x:c r="K657" s="11" t="n">
        <x:f>CHOOSE('假设'!$B$3,H657,I657,J657)</x:f>
        <x:v>0</x:v>
      </x:c>
      <x:c r="L657" s="11" t="n">
        <x:f>K657*'管线假设'!E159*'管线假设'!F159*'管线假设'!G159*IF(E657="USD",'管线假设'!I159,1)-AM657</x:f>
        <x:v>0</x:v>
      </x:c>
      <x:c r="M657" s="11" t="n">
        <x:f>'管线假设'!H159</x:f>
        <x:v>0.125</x:v>
      </x:c>
      <x:c r="N657" s="11" t="n">
        <x:f>IF(G657,L657*AN657/(1+M657)^F657,0)</x:f>
        <x:v>0</x:v>
      </x:c>
      <x:c r="AJ657" t="n">
        <x:v>0</x:v>
      </x:c>
      <x:c r="AK657" t="n">
        <x:v>0</x:v>
      </x:c>
      <x:c r="AL657" t="n">
        <x:v>0</x:v>
      </x:c>
      <x:c r="AM657" t="n">
        <x:f>CHOOSE('假设'!$B$3,AJ657,AK657,AL657)</x:f>
        <x:v>0</x:v>
      </x:c>
      <x:c r="AN657" t="n">
        <x:v>1</x:v>
      </x:c>
    </x:row>
    <x:row r="658" ht="23" customHeight="1">
      <x:c r="A658" s="11" t="str">
        <x:v>688192.SH</x:v>
      </x:c>
      <x:c r="B658" s="11" t="str">
        <x:v>半年</x:v>
      </x:c>
      <x:c r="C658" s="11" t="str">
        <x:v>sun_later</x:v>
      </x:c>
      <x:c r="D658" s="11" t="str">
        <x:v>2041-12-31</x:v>
      </x:c>
      <x:c r="E658" s="11" t="str">
        <x:v>USD</x:v>
      </x:c>
      <x:c r="F658" s="11" t="n">
        <x:v>14.729637234770705</x:v>
      </x:c>
      <x:c r="G658" s="26" t="b">
        <x:v>1</x:v>
      </x:c>
      <x:c r="H658" s="16" t="n">
        <x:v>0</x:v>
      </x:c>
      <x:c r="I658" s="16" t="n">
        <x:v>0</x:v>
      </x:c>
      <x:c r="J658" s="16" t="n">
        <x:v>0</x:v>
      </x:c>
      <x:c r="K658" s="11" t="n">
        <x:f>CHOOSE('假设'!$B$3,H658,I658,J658)</x:f>
        <x:v>0</x:v>
      </x:c>
      <x:c r="L658" s="11" t="n">
        <x:f>K658*'管线假设'!E159*'管线假设'!F159*'管线假设'!G159*IF(E658="USD",'管线假设'!I159,1)-AM658</x:f>
        <x:v>0</x:v>
      </x:c>
      <x:c r="M658" s="11" t="n">
        <x:f>'管线假设'!H159</x:f>
        <x:v>0.125</x:v>
      </x:c>
      <x:c r="N658" s="11" t="n">
        <x:f>IF(G658,L658*AN658/(1+M658)^F658,0)</x:f>
        <x:v>0</x:v>
      </x:c>
      <x:c r="AJ658" t="n">
        <x:v>0</x:v>
      </x:c>
      <x:c r="AK658" t="n">
        <x:v>0</x:v>
      </x:c>
      <x:c r="AL658" t="n">
        <x:v>0</x:v>
      </x:c>
      <x:c r="AM658" t="n">
        <x:f>CHOOSE('假设'!$B$3,AJ658,AK658,AL658)</x:f>
        <x:v>0</x:v>
      </x:c>
      <x:c r="AN658" t="n">
        <x:v>1</x:v>
      </x:c>
    </x:row>
    <x:row r="659" ht="23" customHeight="1">
      <x:c r="A659" s="11" t="str">
        <x:v>688192.SH</x:v>
      </x:c>
      <x:c r="B659" s="11" t="str">
        <x:v>半年</x:v>
      </x:c>
      <x:c r="C659" s="11" t="str">
        <x:v>sun_later</x:v>
      </x:c>
      <x:c r="D659" s="11" t="str">
        <x:v>2042-12-31</x:v>
      </x:c>
      <x:c r="E659" s="11" t="str">
        <x:v>USD</x:v>
      </x:c>
      <x:c r="F659" s="11" t="n">
        <x:v>15.728952772073923</x:v>
      </x:c>
      <x:c r="G659" s="26" t="b">
        <x:v>1</x:v>
      </x:c>
      <x:c r="H659" s="16" t="n">
        <x:v>0</x:v>
      </x:c>
      <x:c r="I659" s="16" t="n">
        <x:v>0</x:v>
      </x:c>
      <x:c r="J659" s="16" t="n">
        <x:v>0</x:v>
      </x:c>
      <x:c r="K659" s="11" t="n">
        <x:f>CHOOSE('假设'!$B$3,H659,I659,J659)</x:f>
        <x:v>0</x:v>
      </x:c>
      <x:c r="L659" s="11" t="n">
        <x:f>K659*'管线假设'!E159*'管线假设'!F159*'管线假设'!G159*IF(E659="USD",'管线假设'!I159,1)-AM659</x:f>
        <x:v>0</x:v>
      </x:c>
      <x:c r="M659" s="11" t="n">
        <x:f>'管线假设'!H159</x:f>
        <x:v>0.125</x:v>
      </x:c>
      <x:c r="N659" s="11" t="n">
        <x:f>IF(G659,L659*AN659/(1+M659)^F659,0)</x:f>
        <x:v>0</x:v>
      </x:c>
      <x:c r="AJ659" t="n">
        <x:v>0</x:v>
      </x:c>
      <x:c r="AK659" t="n">
        <x:v>0</x:v>
      </x:c>
      <x:c r="AL659" t="n">
        <x:v>0</x:v>
      </x:c>
      <x:c r="AM659" t="n">
        <x:f>CHOOSE('假设'!$B$3,AJ659,AK659,AL659)</x:f>
        <x:v>0</x:v>
      </x:c>
      <x:c r="AN659" t="n">
        <x:v>1</x:v>
      </x:c>
    </x:row>
    <x:row r="660" ht="23" customHeight="1">
      <x:c r="A660" s="11" t="str">
        <x:v>688192.SH</x:v>
      </x:c>
      <x:c r="B660" s="11" t="str">
        <x:v>半年</x:v>
      </x:c>
      <x:c r="C660" s="11" t="str">
        <x:v>sun_later</x:v>
      </x:c>
      <x:c r="D660" s="11" t="str">
        <x:v>2043-12-31</x:v>
      </x:c>
      <x:c r="E660" s="11" t="str">
        <x:v>USD</x:v>
      </x:c>
      <x:c r="F660" s="11" t="n">
        <x:v>16.72826830937714</x:v>
      </x:c>
      <x:c r="G660" s="26" t="b">
        <x:v>1</x:v>
      </x:c>
      <x:c r="H660" s="16" t="n">
        <x:v>0</x:v>
      </x:c>
      <x:c r="I660" s="16" t="n">
        <x:v>0</x:v>
      </x:c>
      <x:c r="J660" s="16" t="n">
        <x:v>0</x:v>
      </x:c>
      <x:c r="K660" s="11" t="n">
        <x:f>CHOOSE('假设'!$B$3,H660,I660,J660)</x:f>
        <x:v>0</x:v>
      </x:c>
      <x:c r="L660" s="11" t="n">
        <x:f>K660*'管线假设'!E159*'管线假设'!F159*'管线假设'!G159*IF(E660="USD",'管线假设'!I159,1)-AM660</x:f>
        <x:v>0</x:v>
      </x:c>
      <x:c r="M660" s="11" t="n">
        <x:f>'管线假设'!H159</x:f>
        <x:v>0.125</x:v>
      </x:c>
      <x:c r="N660" s="11" t="n">
        <x:f>IF(G660,L660*AN660/(1+M660)^F660,0)</x:f>
        <x:v>0</x:v>
      </x:c>
      <x:c r="AJ660" t="n">
        <x:v>0</x:v>
      </x:c>
      <x:c r="AK660" t="n">
        <x:v>0</x:v>
      </x:c>
      <x:c r="AL660" t="n">
        <x:v>0</x:v>
      </x:c>
      <x:c r="AM660" t="n">
        <x:f>CHOOSE('假设'!$B$3,AJ660,AK660,AL660)</x:f>
        <x:v>0</x:v>
      </x:c>
      <x:c r="AN660" t="n">
        <x:v>1</x:v>
      </x:c>
    </x:row>
    <x:row r="661" ht="23" customHeight="1">
      <x:c r="A661" s="11" t="str">
        <x:v>688192.SH</x:v>
      </x:c>
      <x:c r="B661" s="11" t="str">
        <x:v>半年</x:v>
      </x:c>
      <x:c r="C661" s="11" t="str">
        <x:v>sun_later</x:v>
      </x:c>
      <x:c r="D661" s="11" t="str">
        <x:v>2044-12-31</x:v>
      </x:c>
      <x:c r="E661" s="11" t="str">
        <x:v>USD</x:v>
      </x:c>
      <x:c r="F661" s="11" t="n">
        <x:v>17.730321697467488</x:v>
      </x:c>
      <x:c r="G661" s="26" t="b">
        <x:v>1</x:v>
      </x:c>
      <x:c r="H661" s="16" t="n">
        <x:v>0</x:v>
      </x:c>
      <x:c r="I661" s="16" t="n">
        <x:v>0</x:v>
      </x:c>
      <x:c r="J661" s="16" t="n">
        <x:v>0</x:v>
      </x:c>
      <x:c r="K661" s="11" t="n">
        <x:f>CHOOSE('假设'!$B$3,H661,I661,J661)</x:f>
        <x:v>0</x:v>
      </x:c>
      <x:c r="L661" s="11" t="n">
        <x:f>K661*'管线假设'!E159*'管线假设'!F159*'管线假设'!G159*IF(E661="USD",'管线假设'!I159,1)-AM661</x:f>
        <x:v>0</x:v>
      </x:c>
      <x:c r="M661" s="11" t="n">
        <x:f>'管线假设'!H159</x:f>
        <x:v>0.125</x:v>
      </x:c>
      <x:c r="N661" s="11" t="n">
        <x:f>IF(G661,L661*AN661/(1+M661)^F661,0)</x:f>
        <x:v>0</x:v>
      </x:c>
      <x:c r="AJ661" t="n">
        <x:v>0</x:v>
      </x:c>
      <x:c r="AK661" t="n">
        <x:v>0</x:v>
      </x:c>
      <x:c r="AL661" t="n">
        <x:v>0</x:v>
      </x:c>
      <x:c r="AM661" t="n">
        <x:f>CHOOSE('假设'!$B$3,AJ661,AK661,AL661)</x:f>
        <x:v>0</x:v>
      </x:c>
      <x:c r="AN661" t="n">
        <x:v>1</x:v>
      </x:c>
    </x:row>
    <x:row r="662" ht="23" customHeight="1">
      <x:c r="A662" s="11" t="str">
        <x:v>688192.SH</x:v>
      </x:c>
      <x:c r="B662" s="11" t="str">
        <x:v>半年</x:v>
      </x:c>
      <x:c r="C662" s="11" t="str">
        <x:v>sun_later</x:v>
      </x:c>
      <x:c r="D662" s="11" t="str">
        <x:v>2045-12-31</x:v>
      </x:c>
      <x:c r="E662" s="11" t="str">
        <x:v>USD</x:v>
      </x:c>
      <x:c r="F662" s="11" t="n">
        <x:v>18.729637234770706</x:v>
      </x:c>
      <x:c r="G662" s="26" t="b">
        <x:v>1</x:v>
      </x:c>
      <x:c r="H662" s="16" t="n">
        <x:v>0</x:v>
      </x:c>
      <x:c r="I662" s="16" t="n">
        <x:v>0</x:v>
      </x:c>
      <x:c r="J662" s="16" t="n">
        <x:v>0</x:v>
      </x:c>
      <x:c r="K662" s="11" t="n">
        <x:f>CHOOSE('假设'!$B$3,H662,I662,J662)</x:f>
        <x:v>0</x:v>
      </x:c>
      <x:c r="L662" s="11" t="n">
        <x:f>K662*'管线假设'!E159*'管线假设'!F159*'管线假设'!G159*IF(E662="USD",'管线假设'!I159,1)-AM662</x:f>
        <x:v>0</x:v>
      </x:c>
      <x:c r="M662" s="11" t="n">
        <x:f>'管线假设'!H159</x:f>
        <x:v>0.125</x:v>
      </x:c>
      <x:c r="N662" s="11" t="n">
        <x:f>IF(G662,L662*AN662/(1+M662)^F662,0)</x:f>
        <x:v>0</x:v>
      </x:c>
      <x:c r="AJ662" t="n">
        <x:v>0</x:v>
      </x:c>
      <x:c r="AK662" t="n">
        <x:v>0</x:v>
      </x:c>
      <x:c r="AL662" t="n">
        <x:v>0</x:v>
      </x:c>
      <x:c r="AM662" t="n">
        <x:f>CHOOSE('假设'!$B$3,AJ662,AK662,AL662)</x:f>
        <x:v>0</x:v>
      </x:c>
      <x:c r="AN662" t="n">
        <x:v>1</x:v>
      </x:c>
    </x:row>
    <x:row r="663" ht="23" customHeight="1">
      <x:c r="A663" s="11" t="str">
        <x:v>688192.SH</x:v>
      </x:c>
      <x:c r="B663" s="11" t="str">
        <x:v>半年</x:v>
      </x:c>
      <x:c r="C663" s="11" t="str">
        <x:v>sun_first</x:v>
      </x:c>
      <x:c r="D663" s="11" t="str">
        <x:v>2027-12-31</x:v>
      </x:c>
      <x:c r="E663" s="11" t="str">
        <x:v>USD</x:v>
      </x:c>
      <x:c r="F663" s="11" t="n">
        <x:v>0.7282683093771389</x:v>
      </x:c>
      <x:c r="G663" s="26" t="b">
        <x:v>1</x:v>
      </x:c>
      <x:c r="H663" s="16" t="n">
        <x:v>0</x:v>
      </x:c>
      <x:c r="I663" s="16" t="n">
        <x:v>0</x:v>
      </x:c>
      <x:c r="J663" s="16" t="n">
        <x:v>0.45</x:v>
      </x:c>
      <x:c r="K663" s="11" t="n">
        <x:f>CHOOSE('假设'!$B$3,H663,I663,J663)</x:f>
        <x:v>0</x:v>
      </x:c>
      <x:c r="L663" s="11" t="n">
        <x:f>K663*'管线假设'!E163*'管线假设'!F163*'管线假设'!G163*IF(E663="USD",'管线假设'!I163,1)-AM663</x:f>
        <x:v>0</x:v>
      </x:c>
      <x:c r="M663" s="11" t="n">
        <x:f>'管线假设'!H163</x:f>
        <x:v>0.125</x:v>
      </x:c>
      <x:c r="N663" s="11" t="n">
        <x:f>IF(G663,L663*AN663/(1+M663)^F663,0)</x:f>
        <x:v>0</x:v>
      </x:c>
      <x:c r="AJ663" t="n">
        <x:v>0</x:v>
      </x:c>
      <x:c r="AK663" t="n">
        <x:v>0</x:v>
      </x:c>
      <x:c r="AL663" t="n">
        <x:v>0</x:v>
      </x:c>
      <x:c r="AM663" t="n">
        <x:f>CHOOSE('假设'!$B$3,AJ663,AK663,AL663)</x:f>
        <x:v>0</x:v>
      </x:c>
      <x:c r="AN663" t="n">
        <x:v>1</x:v>
      </x:c>
    </x:row>
    <x:row r="664" ht="23" customHeight="1">
      <x:c r="A664" s="11" t="str">
        <x:v>688192.SH</x:v>
      </x:c>
      <x:c r="B664" s="11" t="str">
        <x:v>半年</x:v>
      </x:c>
      <x:c r="C664" s="11" t="str">
        <x:v>sun_first</x:v>
      </x:c>
      <x:c r="D664" s="11" t="str">
        <x:v>2028-12-31</x:v>
      </x:c>
      <x:c r="E664" s="11" t="str">
        <x:v>USD</x:v>
      </x:c>
      <x:c r="F664" s="11" t="n">
        <x:v>1.730321697467488</x:v>
      </x:c>
      <x:c r="G664" s="26" t="b">
        <x:v>1</x:v>
      </x:c>
      <x:c r="H664" s="16" t="n">
        <x:v>0</x:v>
      </x:c>
      <x:c r="I664" s="16" t="n">
        <x:v>0.25</x:v>
      </x:c>
      <x:c r="J664" s="16" t="n">
        <x:v>0.9</x:v>
      </x:c>
      <x:c r="K664" s="11" t="n">
        <x:f>CHOOSE('假设'!$B$3,H664,I664,J664)</x:f>
        <x:v>0.25</x:v>
      </x:c>
      <x:c r="L664" s="11" t="n">
        <x:f>K664*'管线假设'!E163*'管线假设'!F163*'管线假设'!G163*IF(E664="USD",'管线假设'!I163,1)-AM664</x:f>
        <x:v>0.114812628</x:v>
      </x:c>
      <x:c r="M664" s="11" t="n">
        <x:f>'管线假设'!H163</x:f>
        <x:v>0.125</x:v>
      </x:c>
      <x:c r="N664" s="11" t="n">
        <x:f>IF(G664,L664*AN664/(1+M664)^F664,0)</x:f>
        <x:v>0.09364386675854312</x:v>
      </x:c>
      <x:c r="AJ664" t="n">
        <x:v>0</x:v>
      </x:c>
      <x:c r="AK664" t="n">
        <x:v>0</x:v>
      </x:c>
      <x:c r="AL664" t="n">
        <x:v>0</x:v>
      </x:c>
      <x:c r="AM664" t="n">
        <x:f>CHOOSE('假设'!$B$3,AJ664,AK664,AL664)</x:f>
        <x:v>0</x:v>
      </x:c>
      <x:c r="AN664" t="n">
        <x:v>1</x:v>
      </x:c>
    </x:row>
    <x:row r="665" ht="23" customHeight="1">
      <x:c r="A665" s="11" t="str">
        <x:v>688192.SH</x:v>
      </x:c>
      <x:c r="B665" s="11" t="str">
        <x:v>半年</x:v>
      </x:c>
      <x:c r="C665" s="11" t="str">
        <x:v>sun_first</x:v>
      </x:c>
      <x:c r="D665" s="11" t="str">
        <x:v>2029-12-31</x:v>
      </x:c>
      <x:c r="E665" s="11" t="str">
        <x:v>USD</x:v>
      </x:c>
      <x:c r="F665" s="11" t="n">
        <x:v>2.729637234770705</x:v>
      </x:c>
      <x:c r="G665" s="26" t="b">
        <x:v>1</x:v>
      </x:c>
      <x:c r="H665" s="16" t="n">
        <x:v>0.1</x:v>
      </x:c>
      <x:c r="I665" s="16" t="n">
        <x:v>0.5</x:v>
      </x:c>
      <x:c r="J665" s="16" t="n">
        <x:v>1.35</x:v>
      </x:c>
      <x:c r="K665" s="11" t="n">
        <x:f>CHOOSE('假设'!$B$3,H665,I665,J665)</x:f>
        <x:v>0.5</x:v>
      </x:c>
      <x:c r="L665" s="11" t="n">
        <x:f>K665*'管线假设'!E163*'管线假设'!F163*'管线假设'!G163*IF(E665="USD",'管线假设'!I163,1)-AM665</x:f>
        <x:v>0.229625256</x:v>
      </x:c>
      <x:c r="M665" s="11" t="n">
        <x:f>'管线假设'!H163</x:f>
        <x:v>0.125</x:v>
      </x:c>
      <x:c r="N665" s="11" t="n">
        <x:f>IF(G665,L665*AN665/(1+M665)^F665,0)</x:f>
        <x:v>0.16649140702743745</x:v>
      </x:c>
      <x:c r="AJ665" t="n">
        <x:v>0</x:v>
      </x:c>
      <x:c r="AK665" t="n">
        <x:v>0</x:v>
      </x:c>
      <x:c r="AL665" t="n">
        <x:v>0</x:v>
      </x:c>
      <x:c r="AM665" t="n">
        <x:f>CHOOSE('假设'!$B$3,AJ665,AK665,AL665)</x:f>
        <x:v>0</x:v>
      </x:c>
      <x:c r="AN665" t="n">
        <x:v>1</x:v>
      </x:c>
    </x:row>
    <x:row r="666" ht="23" customHeight="1">
      <x:c r="A666" s="11" t="str">
        <x:v>688192.SH</x:v>
      </x:c>
      <x:c r="B666" s="11" t="str">
        <x:v>半年</x:v>
      </x:c>
      <x:c r="C666" s="11" t="str">
        <x:v>sun_first</x:v>
      </x:c>
      <x:c r="D666" s="11" t="str">
        <x:v>2030-12-31</x:v>
      </x:c>
      <x:c r="E666" s="11" t="str">
        <x:v>USD</x:v>
      </x:c>
      <x:c r="F666" s="11" t="n">
        <x:v>3.728952772073922</x:v>
      </x:c>
      <x:c r="G666" s="26" t="b">
        <x:v>1</x:v>
      </x:c>
      <x:c r="H666" s="16" t="n">
        <x:v>0.2</x:v>
      </x:c>
      <x:c r="I666" s="16" t="n">
        <x:v>0.75</x:v>
      </x:c>
      <x:c r="J666" s="16" t="n">
        <x:v>1.8</x:v>
      </x:c>
      <x:c r="K666" s="11" t="n">
        <x:f>CHOOSE('假设'!$B$3,H666,I666,J666)</x:f>
        <x:v>0.75</x:v>
      </x:c>
      <x:c r="L666" s="11" t="n">
        <x:f>K666*'管线假设'!E163*'管线假设'!F163*'管线假设'!G163*IF(E666="USD",'管线假设'!I163,1)-AM666</x:f>
        <x:v>0.3444378840000001</x:v>
      </x:c>
      <x:c r="M666" s="11" t="n">
        <x:f>'管线假设'!H163</x:f>
        <x:v>0.125</x:v>
      </x:c>
      <x:c r="N666" s="11" t="n">
        <x:f>IF(G666,L666*AN666/(1+M666)^F666,0)</x:f>
        <x:v>0.22200643971790343</x:v>
      </x:c>
      <x:c r="AJ666" t="n">
        <x:v>0</x:v>
      </x:c>
      <x:c r="AK666" t="n">
        <x:v>0</x:v>
      </x:c>
      <x:c r="AL666" t="n">
        <x:v>0</x:v>
      </x:c>
      <x:c r="AM666" t="n">
        <x:f>CHOOSE('假设'!$B$3,AJ666,AK666,AL666)</x:f>
        <x:v>0</x:v>
      </x:c>
      <x:c r="AN666" t="n">
        <x:v>1</x:v>
      </x:c>
    </x:row>
    <x:row r="667" ht="23" customHeight="1">
      <x:c r="A667" s="11" t="str">
        <x:v>688192.SH</x:v>
      </x:c>
      <x:c r="B667" s="11" t="str">
        <x:v>半年</x:v>
      </x:c>
      <x:c r="C667" s="11" t="str">
        <x:v>sun_first</x:v>
      </x:c>
      <x:c r="D667" s="11" t="str">
        <x:v>2031-12-31</x:v>
      </x:c>
      <x:c r="E667" s="11" t="str">
        <x:v>USD</x:v>
      </x:c>
      <x:c r="F667" s="11" t="n">
        <x:v>4.728268309377139</x:v>
      </x:c>
      <x:c r="G667" s="26" t="b">
        <x:v>1</x:v>
      </x:c>
      <x:c r="H667" s="16" t="n">
        <x:v>0.3</x:v>
      </x:c>
      <x:c r="I667" s="16" t="n">
        <x:v>1</x:v>
      </x:c>
      <x:c r="J667" s="16" t="n">
        <x:v>2.2500000000000004</x:v>
      </x:c>
      <x:c r="K667" s="11" t="n">
        <x:f>CHOOSE('假设'!$B$3,H667,I667,J667)</x:f>
        <x:v>1</x:v>
      </x:c>
      <x:c r="L667" s="11" t="n">
        <x:f>K667*'管线假设'!E163*'管线假设'!F163*'管线假设'!G163*IF(E667="USD",'管线假设'!I163,1)-AM667</x:f>
        <x:v>0.459250512</x:v>
      </x:c>
      <x:c r="M667" s="11" t="n">
        <x:f>'管线假设'!H163</x:f>
        <x:v>0.125</x:v>
      </x:c>
      <x:c r="N667" s="11" t="n">
        <x:f>IF(G667,L667*AN667/(1+M667)^F667,0)</x:f>
        <x:v>0.26313995635607496</x:v>
      </x:c>
      <x:c r="AJ667" t="n">
        <x:v>0</x:v>
      </x:c>
      <x:c r="AK667" t="n">
        <x:v>0</x:v>
      </x:c>
      <x:c r="AL667" t="n">
        <x:v>0</x:v>
      </x:c>
      <x:c r="AM667" t="n">
        <x:f>CHOOSE('假设'!$B$3,AJ667,AK667,AL667)</x:f>
        <x:v>0</x:v>
      </x:c>
      <x:c r="AN667" t="n">
        <x:v>1</x:v>
      </x:c>
    </x:row>
    <x:row r="668" ht="23" customHeight="1">
      <x:c r="A668" s="11" t="str">
        <x:v>688192.SH</x:v>
      </x:c>
      <x:c r="B668" s="11" t="str">
        <x:v>半年</x:v>
      </x:c>
      <x:c r="C668" s="11" t="str">
        <x:v>sun_first</x:v>
      </x:c>
      <x:c r="D668" s="11" t="str">
        <x:v>2032-12-31</x:v>
      </x:c>
      <x:c r="E668" s="11" t="str">
        <x:v>USD</x:v>
      </x:c>
      <x:c r="F668" s="11" t="n">
        <x:v>5.730321697467488</x:v>
      </x:c>
      <x:c r="G668" s="26" t="b">
        <x:v>1</x:v>
      </x:c>
      <x:c r="H668" s="16" t="n">
        <x:v>0.4</x:v>
      </x:c>
      <x:c r="I668" s="16" t="n">
        <x:v>1.25</x:v>
      </x:c>
      <x:c r="J668" s="16" t="n">
        <x:v>2.7</x:v>
      </x:c>
      <x:c r="K668" s="11" t="n">
        <x:f>CHOOSE('假设'!$B$3,H668,I668,J668)</x:f>
        <x:v>1.25</x:v>
      </x:c>
      <x:c r="L668" s="11" t="n">
        <x:f>K668*'管线假设'!E163*'管线假设'!F163*'管线假设'!G163*IF(E668="USD",'管线假设'!I163,1)-AM668</x:f>
        <x:v>0.5740631399999999</x:v>
      </x:c>
      <x:c r="M668" s="11" t="n">
        <x:f>'管线假设'!H163</x:f>
        <x:v>0.125</x:v>
      </x:c>
      <x:c r="N668" s="11" t="n">
        <x:f>IF(G668,L668*AN668/(1+M668)^F668,0)</x:f>
        <x:v>0.2923070250289534</x:v>
      </x:c>
      <x:c r="AJ668" t="n">
        <x:v>0</x:v>
      </x:c>
      <x:c r="AK668" t="n">
        <x:v>0</x:v>
      </x:c>
      <x:c r="AL668" t="n">
        <x:v>0</x:v>
      </x:c>
      <x:c r="AM668" t="n">
        <x:f>CHOOSE('假设'!$B$3,AJ668,AK668,AL668)</x:f>
        <x:v>0</x:v>
      </x:c>
      <x:c r="AN668" t="n">
        <x:v>1</x:v>
      </x:c>
    </x:row>
    <x:row r="669" ht="23" customHeight="1">
      <x:c r="A669" s="11" t="str">
        <x:v>688192.SH</x:v>
      </x:c>
      <x:c r="B669" s="11" t="str">
        <x:v>半年</x:v>
      </x:c>
      <x:c r="C669" s="11" t="str">
        <x:v>sun_first</x:v>
      </x:c>
      <x:c r="D669" s="11" t="str">
        <x:v>2033-12-31</x:v>
      </x:c>
      <x:c r="E669" s="11" t="str">
        <x:v>USD</x:v>
      </x:c>
      <x:c r="F669" s="11" t="n">
        <x:v>6.729637234770705</x:v>
      </x:c>
      <x:c r="G669" s="26" t="b">
        <x:v>1</x:v>
      </x:c>
      <x:c r="H669" s="16" t="n">
        <x:v>0.5</x:v>
      </x:c>
      <x:c r="I669" s="16" t="n">
        <x:v>1.5</x:v>
      </x:c>
      <x:c r="J669" s="16" t="n">
        <x:v>2.3760000000000003</x:v>
      </x:c>
      <x:c r="K669" s="11" t="n">
        <x:f>CHOOSE('假设'!$B$3,H669,I669,J669)</x:f>
        <x:v>1.5</x:v>
      </x:c>
      <x:c r="L669" s="11" t="n">
        <x:f>K669*'管线假设'!E163*'管线假设'!F163*'管线假设'!G163*IF(E669="USD",'管线假设'!I163,1)-AM669</x:f>
        <x:v>0.6888757680000002</x:v>
      </x:c>
      <x:c r="M669" s="11" t="n">
        <x:f>'管线假设'!H163</x:f>
        <x:v>0.125</x:v>
      </x:c>
      <x:c r="N669" s="11" t="n">
        <x:f>IF(G669,L669*AN669/(1+M669)^F669,0)</x:f>
        <x:v>0.31181929729510005</x:v>
      </x:c>
      <x:c r="AJ669" t="n">
        <x:v>0</x:v>
      </x:c>
      <x:c r="AK669" t="n">
        <x:v>0</x:v>
      </x:c>
      <x:c r="AL669" t="n">
        <x:v>0</x:v>
      </x:c>
      <x:c r="AM669" t="n">
        <x:f>CHOOSE('假设'!$B$3,AJ669,AK669,AL669)</x:f>
        <x:v>0</x:v>
      </x:c>
      <x:c r="AN669" t="n">
        <x:v>1</x:v>
      </x:c>
    </x:row>
    <x:row r="670" ht="23" customHeight="1">
      <x:c r="A670" s="11" t="str">
        <x:v>688192.SH</x:v>
      </x:c>
      <x:c r="B670" s="11" t="str">
        <x:v>半年</x:v>
      </x:c>
      <x:c r="C670" s="11" t="str">
        <x:v>sun_first</x:v>
      </x:c>
      <x:c r="D670" s="11" t="str">
        <x:v>2034-12-31</x:v>
      </x:c>
      <x:c r="E670" s="11" t="str">
        <x:v>USD</x:v>
      </x:c>
      <x:c r="F670" s="11" t="n">
        <x:v>7.728952772073922</x:v>
      </x:c>
      <x:c r="G670" s="26" t="b">
        <x:v>1</x:v>
      </x:c>
      <x:c r="H670" s="16" t="n">
        <x:v>0.44</x:v>
      </x:c>
      <x:c r="I670" s="16" t="n">
        <x:v>1.32</x:v>
      </x:c>
      <x:c r="J670" s="16" t="n">
        <x:v>2.052</x:v>
      </x:c>
      <x:c r="K670" s="11" t="n">
        <x:f>CHOOSE('假设'!$B$3,H670,I670,J670)</x:f>
        <x:v>1.32</x:v>
      </x:c>
      <x:c r="L670" s="11" t="n">
        <x:f>K670*'管线假设'!E163*'管线假设'!F163*'管线假设'!G163*IF(E670="USD",'管线假设'!I163,1)-AM670</x:f>
        <x:v>0.6062106758400001</x:v>
      </x:c>
      <x:c r="M670" s="11" t="n">
        <x:f>'管线假设'!H163</x:f>
        <x:v>0.125</x:v>
      </x:c>
      <x:c r="N670" s="11" t="n">
        <x:f>IF(G670,L670*AN670/(1+M670)^F670,0)</x:f>
        <x:v>0.24393164817387245</x:v>
      </x:c>
      <x:c r="AJ670" t="n">
        <x:v>0</x:v>
      </x:c>
      <x:c r="AK670" t="n">
        <x:v>0</x:v>
      </x:c>
      <x:c r="AL670" t="n">
        <x:v>0</x:v>
      </x:c>
      <x:c r="AM670" t="n">
        <x:f>CHOOSE('假设'!$B$3,AJ670,AK670,AL670)</x:f>
        <x:v>0</x:v>
      </x:c>
      <x:c r="AN670" t="n">
        <x:v>1</x:v>
      </x:c>
    </x:row>
    <x:row r="671" ht="23" customHeight="1">
      <x:c r="A671" s="11" t="str">
        <x:v>688192.SH</x:v>
      </x:c>
      <x:c r="B671" s="11" t="str">
        <x:v>半年</x:v>
      </x:c>
      <x:c r="C671" s="11" t="str">
        <x:v>sun_first</x:v>
      </x:c>
      <x:c r="D671" s="11" t="str">
        <x:v>2035-12-31</x:v>
      </x:c>
      <x:c r="E671" s="11" t="str">
        <x:v>USD</x:v>
      </x:c>
      <x:c r="F671" s="11" t="n">
        <x:v>8.728268309377139</x:v>
      </x:c>
      <x:c r="G671" s="26" t="b">
        <x:v>1</x:v>
      </x:c>
      <x:c r="H671" s="16" t="n">
        <x:v>0.38</x:v>
      </x:c>
      <x:c r="I671" s="16" t="n">
        <x:v>1.1400000000000001</x:v>
      </x:c>
      <x:c r="J671" s="16" t="n">
        <x:v>1.7280000000000002</x:v>
      </x:c>
      <x:c r="K671" s="11" t="n">
        <x:f>CHOOSE('假设'!$B$3,H671,I671,J671)</x:f>
        <x:v>1.1400000000000001</x:v>
      </x:c>
      <x:c r="L671" s="11" t="n">
        <x:f>K671*'管线假设'!E163*'管线假设'!F163*'管线假设'!G163*IF(E671="USD",'管线假设'!I163,1)-AM671</x:f>
        <x:v>0.52354558368</x:v>
      </x:c>
      <x:c r="M671" s="11" t="n">
        <x:f>'管线假设'!H163</x:f>
        <x:v>0.125</x:v>
      </x:c>
      <x:c r="N671" s="11" t="n">
        <x:f>IF(G671,L671*AN671/(1+M671)^F671,0)</x:f>
        <x:v>0.18727575641019822</x:v>
      </x:c>
      <x:c r="AJ671" t="n">
        <x:v>0</x:v>
      </x:c>
      <x:c r="AK671" t="n">
        <x:v>0</x:v>
      </x:c>
      <x:c r="AL671" t="n">
        <x:v>0</x:v>
      </x:c>
      <x:c r="AM671" t="n">
        <x:f>CHOOSE('假设'!$B$3,AJ671,AK671,AL671)</x:f>
        <x:v>0</x:v>
      </x:c>
      <x:c r="AN671" t="n">
        <x:v>1</x:v>
      </x:c>
    </x:row>
    <x:row r="672" ht="23" customHeight="1">
      <x:c r="A672" s="11" t="str">
        <x:v>688192.SH</x:v>
      </x:c>
      <x:c r="B672" s="11" t="str">
        <x:v>半年</x:v>
      </x:c>
      <x:c r="C672" s="11" t="str">
        <x:v>sun_first</x:v>
      </x:c>
      <x:c r="D672" s="11" t="str">
        <x:v>2036-12-31</x:v>
      </x:c>
      <x:c r="E672" s="11" t="str">
        <x:v>USD</x:v>
      </x:c>
      <x:c r="F672" s="11" t="n">
        <x:v>9.730321697467488</x:v>
      </x:c>
      <x:c r="G672" s="26" t="b">
        <x:v>1</x:v>
      </x:c>
      <x:c r="H672" s="16" t="n">
        <x:v>0.32</x:v>
      </x:c>
      <x:c r="I672" s="16" t="n">
        <x:v>0.96</x:v>
      </x:c>
      <x:c r="J672" s="16" t="n">
        <x:v>1.4040000000000001</x:v>
      </x:c>
      <x:c r="K672" s="11" t="n">
        <x:f>CHOOSE('假设'!$B$3,H672,I672,J672)</x:f>
        <x:v>0.96</x:v>
      </x:c>
      <x:c r="L672" s="11" t="n">
        <x:f>K672*'管线假设'!E163*'管线假设'!F163*'管线假设'!G163*IF(E672="USD",'管线假设'!I163,1)-AM672</x:f>
        <x:v>0.44088049152</x:v>
      </x:c>
      <x:c r="M672" s="11" t="n">
        <x:f>'管线假设'!H163</x:f>
        <x:v>0.125</x:v>
      </x:c>
      <x:c r="N672" s="11" t="n">
        <x:f>IF(G672,L672*AN672/(1+M672)^F672,0)</x:f>
        <x:v>0.14014912257739362</x:v>
      </x:c>
      <x:c r="AJ672" t="n">
        <x:v>0</x:v>
      </x:c>
      <x:c r="AK672" t="n">
        <x:v>0</x:v>
      </x:c>
      <x:c r="AL672" t="n">
        <x:v>0</x:v>
      </x:c>
      <x:c r="AM672" t="n">
        <x:f>CHOOSE('假设'!$B$3,AJ672,AK672,AL672)</x:f>
        <x:v>0</x:v>
      </x:c>
      <x:c r="AN672" t="n">
        <x:v>1</x:v>
      </x:c>
    </x:row>
    <x:row r="673" ht="23" customHeight="1">
      <x:c r="A673" s="11" t="str">
        <x:v>688192.SH</x:v>
      </x:c>
      <x:c r="B673" s="11" t="str">
        <x:v>半年</x:v>
      </x:c>
      <x:c r="C673" s="11" t="str">
        <x:v>sun_first</x:v>
      </x:c>
      <x:c r="D673" s="11" t="str">
        <x:v>2037-12-31</x:v>
      </x:c>
      <x:c r="E673" s="11" t="str">
        <x:v>USD</x:v>
      </x:c>
      <x:c r="F673" s="11" t="n">
        <x:v>10.729637234770705</x:v>
      </x:c>
      <x:c r="G673" s="26" t="b">
        <x:v>1</x:v>
      </x:c>
      <x:c r="H673" s="16" t="n">
        <x:v>0.26</x:v>
      </x:c>
      <x:c r="I673" s="16" t="n">
        <x:v>0.78</x:v>
      </x:c>
      <x:c r="J673" s="16" t="n">
        <x:v>1.08</x:v>
      </x:c>
      <x:c r="K673" s="11" t="n">
        <x:f>CHOOSE('假设'!$B$3,H673,I673,J673)</x:f>
        <x:v>0.78</x:v>
      </x:c>
      <x:c r="L673" s="11" t="n">
        <x:f>K673*'管线假设'!E163*'管线假设'!F163*'管线假设'!G163*IF(E673="USD",'管线假设'!I163,1)-AM673</x:f>
        <x:v>0.35821539936</x:v>
      </x:c>
      <x:c r="M673" s="11" t="n">
        <x:f>'管线假设'!H163</x:f>
        <x:v>0.125</x:v>
      </x:c>
      <x:c r="N673" s="11" t="n">
        <x:f>IF(G673,L673*AN673/(1+M673)^F673,0)</x:f>
        <x:v>0.1012269711468952</x:v>
      </x:c>
      <x:c r="AJ673" t="n">
        <x:v>0</x:v>
      </x:c>
      <x:c r="AK673" t="n">
        <x:v>0</x:v>
      </x:c>
      <x:c r="AL673" t="n">
        <x:v>0</x:v>
      </x:c>
      <x:c r="AM673" t="n">
        <x:f>CHOOSE('假设'!$B$3,AJ673,AK673,AL673)</x:f>
        <x:v>0</x:v>
      </x:c>
      <x:c r="AN673" t="n">
        <x:v>1</x:v>
      </x:c>
    </x:row>
    <x:row r="674" ht="23" customHeight="1">
      <x:c r="A674" s="11" t="str">
        <x:v>688192.SH</x:v>
      </x:c>
      <x:c r="B674" s="11" t="str">
        <x:v>半年</x:v>
      </x:c>
      <x:c r="C674" s="11" t="str">
        <x:v>sun_first</x:v>
      </x:c>
      <x:c r="D674" s="11" t="str">
        <x:v>2038-12-31</x:v>
      </x:c>
      <x:c r="E674" s="11" t="str">
        <x:v>USD</x:v>
      </x:c>
      <x:c r="F674" s="11" t="n">
        <x:v>11.728952772073923</x:v>
      </x:c>
      <x:c r="G674" s="26" t="b">
        <x:v>1</x:v>
      </x:c>
      <x:c r="H674" s="16" t="n">
        <x:v>0.2</x:v>
      </x:c>
      <x:c r="I674" s="16" t="n">
        <x:v>0.6000000000000001</x:v>
      </x:c>
      <x:c r="J674" s="16" t="n">
        <x:v>0.7560000000000001</x:v>
      </x:c>
      <x:c r="K674" s="11" t="n">
        <x:f>CHOOSE('假设'!$B$3,H674,I674,J674)</x:f>
        <x:v>0.6000000000000001</x:v>
      </x:c>
      <x:c r="L674" s="11" t="n">
        <x:f>K674*'管线假设'!E163*'管线假设'!F163*'管线假设'!G163*IF(E674="USD",'管线假设'!I163,1)-AM674</x:f>
        <x:v>0.27555030720000007</x:v>
      </x:c>
      <x:c r="M674" s="11" t="n">
        <x:f>'管线假设'!H163</x:f>
        <x:v>0.125</x:v>
      </x:c>
      <x:c r="N674" s="11" t="n">
        <x:f>IF(G674,L674*AN674/(1+M674)^F674,0)</x:f>
        <x:v>0.06922060321460015</x:v>
      </x:c>
      <x:c r="AJ674" t="n">
        <x:v>0</x:v>
      </x:c>
      <x:c r="AK674" t="n">
        <x:v>0</x:v>
      </x:c>
      <x:c r="AL674" t="n">
        <x:v>0</x:v>
      </x:c>
      <x:c r="AM674" t="n">
        <x:f>CHOOSE('假设'!$B$3,AJ674,AK674,AL674)</x:f>
        <x:v>0</x:v>
      </x:c>
      <x:c r="AN674" t="n">
        <x:v>1</x:v>
      </x:c>
    </x:row>
    <x:row r="675" ht="23" customHeight="1">
      <x:c r="A675" s="11" t="str">
        <x:v>688192.SH</x:v>
      </x:c>
      <x:c r="B675" s="11" t="str">
        <x:v>半年</x:v>
      </x:c>
      <x:c r="C675" s="11" t="str">
        <x:v>sun_first</x:v>
      </x:c>
      <x:c r="D675" s="11" t="str">
        <x:v>2039-12-31</x:v>
      </x:c>
      <x:c r="E675" s="11" t="str">
        <x:v>USD</x:v>
      </x:c>
      <x:c r="F675" s="11" t="n">
        <x:v>12.728268309377139</x:v>
      </x:c>
      <x:c r="G675" s="26" t="b">
        <x:v>1</x:v>
      </x:c>
      <x:c r="H675" s="16" t="n">
        <x:v>0.14</x:v>
      </x:c>
      <x:c r="I675" s="16" t="n">
        <x:v>0.42000000000000004</x:v>
      </x:c>
      <x:c r="J675" s="16" t="n">
        <x:v>0.4320000000000001</x:v>
      </x:c>
      <x:c r="K675" s="11" t="n">
        <x:f>CHOOSE('假设'!$B$3,H675,I675,J675)</x:f>
        <x:v>0.42000000000000004</x:v>
      </x:c>
      <x:c r="L675" s="11" t="n">
        <x:f>K675*'管线假设'!E163*'管线假设'!F163*'管线假设'!G163*IF(E675="USD",'管线假设'!I163,1)-AM675</x:f>
        <x:v>0.19288521504000003</x:v>
      </x:c>
      <x:c r="M675" s="11" t="n">
        <x:f>'管线假设'!H163</x:f>
        <x:v>0.125</x:v>
      </x:c>
      <x:c r="N675" s="11" t="n">
        <x:f>IF(G675,L675*AN675/(1+M675)^F675,0)</x:f>
        <x:v>0.04307406996521074</x:v>
      </x:c>
      <x:c r="AJ675" t="n">
        <x:v>0</x:v>
      </x:c>
      <x:c r="AK675" t="n">
        <x:v>0</x:v>
      </x:c>
      <x:c r="AL675" t="n">
        <x:v>0</x:v>
      </x:c>
      <x:c r="AM675" t="n">
        <x:f>CHOOSE('假设'!$B$3,AJ675,AK675,AL675)</x:f>
        <x:v>0</x:v>
      </x:c>
      <x:c r="AN675" t="n">
        <x:v>1</x:v>
      </x:c>
    </x:row>
    <x:row r="676" ht="23" customHeight="1">
      <x:c r="A676" s="11" t="str">
        <x:v>688192.SH</x:v>
      </x:c>
      <x:c r="B676" s="11" t="str">
        <x:v>半年</x:v>
      </x:c>
      <x:c r="C676" s="11" t="str">
        <x:v>sun_first</x:v>
      </x:c>
      <x:c r="D676" s="11" t="str">
        <x:v>2040-12-31</x:v>
      </x:c>
      <x:c r="E676" s="11" t="str">
        <x:v>USD</x:v>
      </x:c>
      <x:c r="F676" s="11" t="n">
        <x:v>13.730321697467488</x:v>
      </x:c>
      <x:c r="G676" s="26" t="b">
        <x:v>1</x:v>
      </x:c>
      <x:c r="H676" s="16" t="n">
        <x:v>0.08000000000000002</x:v>
      </x:c>
      <x:c r="I676" s="16" t="n">
        <x:v>0.24000000000000005</x:v>
      </x:c>
      <x:c r="J676" s="16" t="n">
        <x:v>0.10800000000000011</x:v>
      </x:c>
      <x:c r="K676" s="11" t="n">
        <x:f>CHOOSE('假设'!$B$3,H676,I676,J676)</x:f>
        <x:v>0.24000000000000005</x:v>
      </x:c>
      <x:c r="L676" s="11" t="n">
        <x:f>K676*'管线假设'!E163*'管线假设'!F163*'管线假设'!G163*IF(E676="USD",'管线假设'!I163,1)-AM676</x:f>
        <x:v>0.11022012288000003</x:v>
      </x:c>
      <x:c r="M676" s="11" t="n">
        <x:f>'管线假设'!H163</x:f>
        <x:v>0.125</x:v>
      </x:c>
      <x:c r="N676" s="11" t="n">
        <x:f>IF(G676,L676*AN676/(1+M676)^F676,0)</x:f>
        <x:v>0.02187360181668208</x:v>
      </x:c>
      <x:c r="AJ676" t="n">
        <x:v>0</x:v>
      </x:c>
      <x:c r="AK676" t="n">
        <x:v>0</x:v>
      </x:c>
      <x:c r="AL676" t="n">
        <x:v>0</x:v>
      </x:c>
      <x:c r="AM676" t="n">
        <x:f>CHOOSE('假设'!$B$3,AJ676,AK676,AL676)</x:f>
        <x:v>0</x:v>
      </x:c>
      <x:c r="AN676" t="n">
        <x:v>1</x:v>
      </x:c>
    </x:row>
    <x:row r="677" ht="23" customHeight="1">
      <x:c r="A677" s="11" t="str">
        <x:v>688192.SH</x:v>
      </x:c>
      <x:c r="B677" s="11" t="str">
        <x:v>半年</x:v>
      </x:c>
      <x:c r="C677" s="11" t="str">
        <x:v>sun_first</x:v>
      </x:c>
      <x:c r="D677" s="11" t="str">
        <x:v>2041-12-31</x:v>
      </x:c>
      <x:c r="E677" s="11" t="str">
        <x:v>USD</x:v>
      </x:c>
      <x:c r="F677" s="11" t="n">
        <x:v>14.729637234770705</x:v>
      </x:c>
      <x:c r="G677" s="26" t="b">
        <x:v>1</x:v>
      </x:c>
      <x:c r="H677" s="16" t="n">
        <x:v>0.020000000000000018</x:v>
      </x:c>
      <x:c r="I677" s="16" t="n">
        <x:v>0.06000000000000005</x:v>
      </x:c>
      <x:c r="J677" s="16" t="n">
        <x:v>0</x:v>
      </x:c>
      <x:c r="K677" s="11" t="n">
        <x:f>CHOOSE('假设'!$B$3,H677,I677,J677)</x:f>
        <x:v>0.06000000000000005</x:v>
      </x:c>
      <x:c r="L677" s="11" t="n">
        <x:f>K677*'管线假设'!E163*'管线假设'!F163*'管线假设'!G163*IF(E677="USD",'管线假设'!I163,1)-AM677</x:f>
        <x:v>0.027555030720000026</x:v>
      </x:c>
      <x:c r="M677" s="11" t="n">
        <x:f>'管线假设'!H163</x:f>
        <x:v>0.125</x:v>
      </x:c>
      <x:c r="N677" s="11" t="n">
        <x:f>IF(G677,L677*AN677/(1+M677)^F677,0)</x:f>
        <x:v>0.004861192287968334</x:v>
      </x:c>
      <x:c r="AJ677" t="n">
        <x:v>0</x:v>
      </x:c>
      <x:c r="AK677" t="n">
        <x:v>0</x:v>
      </x:c>
      <x:c r="AL677" t="n">
        <x:v>0</x:v>
      </x:c>
      <x:c r="AM677" t="n">
        <x:f>CHOOSE('假设'!$B$3,AJ677,AK677,AL677)</x:f>
        <x:v>0</x:v>
      </x:c>
      <x:c r="AN677" t="n">
        <x:v>1</x:v>
      </x:c>
    </x:row>
    <x:row r="678" ht="23" customHeight="1">
      <x:c r="A678" s="11" t="str">
        <x:v>688192.SH</x:v>
      </x:c>
      <x:c r="B678" s="11" t="str">
        <x:v>半年</x:v>
      </x:c>
      <x:c r="C678" s="11" t="str">
        <x:v>sun_first</x:v>
      </x:c>
      <x:c r="D678" s="11" t="str">
        <x:v>2042-12-31</x:v>
      </x:c>
      <x:c r="E678" s="11" t="str">
        <x:v>USD</x:v>
      </x:c>
      <x:c r="F678" s="11" t="n">
        <x:v>15.728952772073923</x:v>
      </x:c>
      <x:c r="G678" s="26" t="b">
        <x:v>1</x:v>
      </x:c>
      <x:c r="H678" s="16" t="n">
        <x:v>0</x:v>
      </x:c>
      <x:c r="I678" s="16" t="n">
        <x:v>0</x:v>
      </x:c>
      <x:c r="J678" s="16" t="n">
        <x:v>0</x:v>
      </x:c>
      <x:c r="K678" s="11" t="n">
        <x:f>CHOOSE('假设'!$B$3,H678,I678,J678)</x:f>
        <x:v>0</x:v>
      </x:c>
      <x:c r="L678" s="11" t="n">
        <x:f>K678*'管线假设'!E163*'管线假设'!F163*'管线假设'!G163*IF(E678="USD",'管线假设'!I163,1)-AM678</x:f>
        <x:v>0</x:v>
      </x:c>
      <x:c r="M678" s="11" t="n">
        <x:f>'管线假设'!H163</x:f>
        <x:v>0.125</x:v>
      </x:c>
      <x:c r="N678" s="11" t="n">
        <x:f>IF(G678,L678*AN678/(1+M678)^F678,0)</x:f>
        <x:v>0</x:v>
      </x:c>
      <x:c r="AJ678" t="n">
        <x:v>0</x:v>
      </x:c>
      <x:c r="AK678" t="n">
        <x:v>0</x:v>
      </x:c>
      <x:c r="AL678" t="n">
        <x:v>0</x:v>
      </x:c>
      <x:c r="AM678" t="n">
        <x:f>CHOOSE('假设'!$B$3,AJ678,AK678,AL678)</x:f>
        <x:v>0</x:v>
      </x:c>
      <x:c r="AN678" t="n">
        <x:v>1</x:v>
      </x:c>
    </x:row>
    <x:row r="679" ht="23" customHeight="1">
      <x:c r="A679" s="11" t="str">
        <x:v>688192.SH</x:v>
      </x:c>
      <x:c r="B679" s="11" t="str">
        <x:v>半年</x:v>
      </x:c>
      <x:c r="C679" s="11" t="str">
        <x:v>sun_first</x:v>
      </x:c>
      <x:c r="D679" s="11" t="str">
        <x:v>2043-12-31</x:v>
      </x:c>
      <x:c r="E679" s="11" t="str">
        <x:v>USD</x:v>
      </x:c>
      <x:c r="F679" s="11" t="n">
        <x:v>16.72826830937714</x:v>
      </x:c>
      <x:c r="G679" s="26" t="b">
        <x:v>1</x:v>
      </x:c>
      <x:c r="H679" s="16" t="n">
        <x:v>0</x:v>
      </x:c>
      <x:c r="I679" s="16" t="n">
        <x:v>0</x:v>
      </x:c>
      <x:c r="J679" s="16" t="n">
        <x:v>0</x:v>
      </x:c>
      <x:c r="K679" s="11" t="n">
        <x:f>CHOOSE('假设'!$B$3,H679,I679,J679)</x:f>
        <x:v>0</x:v>
      </x:c>
      <x:c r="L679" s="11" t="n">
        <x:f>K679*'管线假设'!E163*'管线假设'!F163*'管线假设'!G163*IF(E679="USD",'管线假设'!I163,1)-AM679</x:f>
        <x:v>0</x:v>
      </x:c>
      <x:c r="M679" s="11" t="n">
        <x:f>'管线假设'!H163</x:f>
        <x:v>0.125</x:v>
      </x:c>
      <x:c r="N679" s="11" t="n">
        <x:f>IF(G679,L679*AN679/(1+M679)^F679,0)</x:f>
        <x:v>0</x:v>
      </x:c>
      <x:c r="AJ679" t="n">
        <x:v>0</x:v>
      </x:c>
      <x:c r="AK679" t="n">
        <x:v>0</x:v>
      </x:c>
      <x:c r="AL679" t="n">
        <x:v>0</x:v>
      </x:c>
      <x:c r="AM679" t="n">
        <x:f>CHOOSE('假设'!$B$3,AJ679,AK679,AL679)</x:f>
        <x:v>0</x:v>
      </x:c>
      <x:c r="AN679" t="n">
        <x:v>1</x:v>
      </x:c>
    </x:row>
    <x:row r="680" ht="23" customHeight="1">
      <x:c r="A680" s="11" t="str">
        <x:v>688192.SH</x:v>
      </x:c>
      <x:c r="B680" s="11" t="str">
        <x:v>半年</x:v>
      </x:c>
      <x:c r="C680" s="11" t="str">
        <x:v>sun_first</x:v>
      </x:c>
      <x:c r="D680" s="11" t="str">
        <x:v>2044-12-31</x:v>
      </x:c>
      <x:c r="E680" s="11" t="str">
        <x:v>USD</x:v>
      </x:c>
      <x:c r="F680" s="11" t="n">
        <x:v>17.730321697467488</x:v>
      </x:c>
      <x:c r="G680" s="26" t="b">
        <x:v>1</x:v>
      </x:c>
      <x:c r="H680" s="16" t="n">
        <x:v>0</x:v>
      </x:c>
      <x:c r="I680" s="16" t="n">
        <x:v>0</x:v>
      </x:c>
      <x:c r="J680" s="16" t="n">
        <x:v>0</x:v>
      </x:c>
      <x:c r="K680" s="11" t="n">
        <x:f>CHOOSE('假设'!$B$3,H680,I680,J680)</x:f>
        <x:v>0</x:v>
      </x:c>
      <x:c r="L680" s="11" t="n">
        <x:f>K680*'管线假设'!E163*'管线假设'!F163*'管线假设'!G163*IF(E680="USD",'管线假设'!I163,1)-AM680</x:f>
        <x:v>0</x:v>
      </x:c>
      <x:c r="M680" s="11" t="n">
        <x:f>'管线假设'!H163</x:f>
        <x:v>0.125</x:v>
      </x:c>
      <x:c r="N680" s="11" t="n">
        <x:f>IF(G680,L680*AN680/(1+M680)^F680,0)</x:f>
        <x:v>0</x:v>
      </x:c>
      <x:c r="AJ680" t="n">
        <x:v>0</x:v>
      </x:c>
      <x:c r="AK680" t="n">
        <x:v>0</x:v>
      </x:c>
      <x:c r="AL680" t="n">
        <x:v>0</x:v>
      </x:c>
      <x:c r="AM680" t="n">
        <x:f>CHOOSE('假设'!$B$3,AJ680,AK680,AL680)</x:f>
        <x:v>0</x:v>
      </x:c>
      <x:c r="AN680" t="n">
        <x:v>1</x:v>
      </x:c>
    </x:row>
    <x:row r="681" ht="23" customHeight="1">
      <x:c r="A681" s="11" t="str">
        <x:v>688192.SH</x:v>
      </x:c>
      <x:c r="B681" s="11" t="str">
        <x:v>半年</x:v>
      </x:c>
      <x:c r="C681" s="11" t="str">
        <x:v>sun_first</x:v>
      </x:c>
      <x:c r="D681" s="11" t="str">
        <x:v>2045-12-31</x:v>
      </x:c>
      <x:c r="E681" s="11" t="str">
        <x:v>USD</x:v>
      </x:c>
      <x:c r="F681" s="11" t="n">
        <x:v>18.729637234770706</x:v>
      </x:c>
      <x:c r="G681" s="26" t="b">
        <x:v>1</x:v>
      </x:c>
      <x:c r="H681" s="16" t="n">
        <x:v>0</x:v>
      </x:c>
      <x:c r="I681" s="16" t="n">
        <x:v>0</x:v>
      </x:c>
      <x:c r="J681" s="16" t="n">
        <x:v>0</x:v>
      </x:c>
      <x:c r="K681" s="11" t="n">
        <x:f>CHOOSE('假设'!$B$3,H681,I681,J681)</x:f>
        <x:v>0</x:v>
      </x:c>
      <x:c r="L681" s="11" t="n">
        <x:f>K681*'管线假设'!E163*'管线假设'!F163*'管线假设'!G163*IF(E681="USD",'管线假设'!I163,1)-AM681</x:f>
        <x:v>0</x:v>
      </x:c>
      <x:c r="M681" s="11" t="n">
        <x:f>'管线假设'!H163</x:f>
        <x:v>0.125</x:v>
      </x:c>
      <x:c r="N681" s="11" t="n">
        <x:f>IF(G681,L681*AN681/(1+M681)^F681,0)</x:f>
        <x:v>0</x:v>
      </x:c>
      <x:c r="AJ681" t="n">
        <x:v>0</x:v>
      </x:c>
      <x:c r="AK681" t="n">
        <x:v>0</x:v>
      </x:c>
      <x:c r="AL681" t="n">
        <x:v>0</x:v>
      </x:c>
      <x:c r="AM681" t="n">
        <x:f>CHOOSE('假设'!$B$3,AJ681,AK681,AL681)</x:f>
        <x:v>0</x:v>
      </x:c>
      <x:c r="AN681" t="n">
        <x:v>1</x:v>
      </x:c>
    </x:row>
    <x:row r="682" ht="23" customHeight="1">
      <x:c r="A682" s="11" t="str">
        <x:v>688192.SH</x:v>
      </x:c>
      <x:c r="B682" s="11" t="str">
        <x:v>半年</x:v>
      </x:c>
      <x:c r="C682" s="11" t="str">
        <x:v>goli_rr</x:v>
      </x:c>
      <x:c r="D682" s="11" t="str">
        <x:v>2027-12-31</x:v>
      </x:c>
      <x:c r="E682" s="11" t="str">
        <x:v>CNY</x:v>
      </x:c>
      <x:c r="F682" s="11" t="n">
        <x:v>0.7282683093771389</x:v>
      </x:c>
      <x:c r="G682" s="26" t="b">
        <x:v>1</x:v>
      </x:c>
      <x:c r="H682" s="16" t="n">
        <x:v>0.10833333333333334</x:v>
      </x:c>
      <x:c r="I682" s="16" t="n">
        <x:v>0.19999999999999998</x:v>
      </x:c>
      <x:c r="J682" s="16" t="n">
        <x:v>0.36000000000000004</x:v>
      </x:c>
      <x:c r="K682" s="11" t="n">
        <x:f>CHOOSE('假设'!$B$3,H682,I682,J682)</x:f>
        <x:v>0.19999999999999998</x:v>
      </x:c>
      <x:c r="L682" s="11" t="n">
        <x:f>K682*'管线假设'!E167*'管线假设'!F167*'管线假设'!G167*IF(E682="USD",'管线假设'!I167,1)-AM682</x:f>
        <x:v>0.066</x:v>
      </x:c>
      <x:c r="M682" s="11" t="n">
        <x:f>'管线假设'!H167</x:f>
        <x:v>0.125</x:v>
      </x:c>
      <x:c r="N682" s="11" t="n">
        <x:f>IF(G682,L682*AN682/(1+M682)^F682,0)</x:f>
        <x:v>0.060574686408461996</x:v>
      </x:c>
      <x:c r="AJ682" t="n">
        <x:v>0</x:v>
      </x:c>
      <x:c r="AK682" t="n">
        <x:v>0</x:v>
      </x:c>
      <x:c r="AL682" t="n">
        <x:v>0</x:v>
      </x:c>
      <x:c r="AM682" t="n">
        <x:f>CHOOSE('假设'!$B$3,AJ682,AK682,AL682)</x:f>
        <x:v>0</x:v>
      </x:c>
      <x:c r="AN682" t="n">
        <x:v>1</x:v>
      </x:c>
    </x:row>
    <x:row r="683" ht="23" customHeight="1">
      <x:c r="A683" s="11" t="str">
        <x:v>688192.SH</x:v>
      </x:c>
      <x:c r="B683" s="11" t="str">
        <x:v>半年</x:v>
      </x:c>
      <x:c r="C683" s="11" t="str">
        <x:v>goli_rr</x:v>
      </x:c>
      <x:c r="D683" s="11" t="str">
        <x:v>2028-12-31</x:v>
      </x:c>
      <x:c r="E683" s="11" t="str">
        <x:v>CNY</x:v>
      </x:c>
      <x:c r="F683" s="11" t="n">
        <x:v>1.730321697467488</x:v>
      </x:c>
      <x:c r="G683" s="26" t="b">
        <x:v>1</x:v>
      </x:c>
      <x:c r="H683" s="16" t="n">
        <x:v>0.21666666666666667</x:v>
      </x:c>
      <x:c r="I683" s="16" t="n">
        <x:v>0.39999999999999997</x:v>
      </x:c>
      <x:c r="J683" s="16" t="n">
        <x:v>0.7200000000000001</x:v>
      </x:c>
      <x:c r="K683" s="11" t="n">
        <x:f>CHOOSE('假设'!$B$3,H683,I683,J683)</x:f>
        <x:v>0.39999999999999997</x:v>
      </x:c>
      <x:c r="L683" s="11" t="n">
        <x:f>K683*'管线假设'!E167*'管线假设'!F167*'管线假设'!G167*IF(E683="USD",'管线假设'!I167,1)-AM683</x:f>
        <x:v>0.132</x:v>
      </x:c>
      <x:c r="M683" s="11" t="n">
        <x:f>'管线假设'!H167</x:f>
        <x:v>0.125</x:v>
      </x:c>
      <x:c r="N683" s="11" t="n">
        <x:f>IF(G683,L683*AN683/(1+M683)^F683,0)</x:f>
        <x:v>0.10766228965796074</x:v>
      </x:c>
      <x:c r="AJ683" t="n">
        <x:v>0</x:v>
      </x:c>
      <x:c r="AK683" t="n">
        <x:v>0</x:v>
      </x:c>
      <x:c r="AL683" t="n">
        <x:v>0</x:v>
      </x:c>
      <x:c r="AM683" t="n">
        <x:f>CHOOSE('假设'!$B$3,AJ683,AK683,AL683)</x:f>
        <x:v>0</x:v>
      </x:c>
      <x:c r="AN683" t="n">
        <x:v>1</x:v>
      </x:c>
    </x:row>
    <x:row r="684" ht="23" customHeight="1">
      <x:c r="A684" s="11" t="str">
        <x:v>688192.SH</x:v>
      </x:c>
      <x:c r="B684" s="11" t="str">
        <x:v>半年</x:v>
      </x:c>
      <x:c r="C684" s="11" t="str">
        <x:v>goli_rr</x:v>
      </x:c>
      <x:c r="D684" s="11" t="str">
        <x:v>2029-12-31</x:v>
      </x:c>
      <x:c r="E684" s="11" t="str">
        <x:v>CNY</x:v>
      </x:c>
      <x:c r="F684" s="11" t="n">
        <x:v>2.729637234770705</x:v>
      </x:c>
      <x:c r="G684" s="26" t="b">
        <x:v>1</x:v>
      </x:c>
      <x:c r="H684" s="16" t="n">
        <x:v>0.325</x:v>
      </x:c>
      <x:c r="I684" s="16" t="n">
        <x:v>0.6</x:v>
      </x:c>
      <x:c r="J684" s="16" t="n">
        <x:v>1.08</x:v>
      </x:c>
      <x:c r="K684" s="11" t="n">
        <x:f>CHOOSE('假设'!$B$3,H684,I684,J684)</x:f>
        <x:v>0.6</x:v>
      </x:c>
      <x:c r="L684" s="11" t="n">
        <x:f>K684*'管线假设'!E167*'管线假设'!F167*'管线假设'!G167*IF(E684="USD",'管线假设'!I167,1)-AM684</x:f>
        <x:v>0.198</x:v>
      </x:c>
      <x:c r="M684" s="11" t="n">
        <x:f>'管线假设'!H167</x:f>
        <x:v>0.125</x:v>
      </x:c>
      <x:c r="N684" s="11" t="n">
        <x:f>IF(G684,L684*AN684/(1+M684)^F684,0)</x:f>
        <x:v>0.14356129271526044</x:v>
      </x:c>
      <x:c r="AJ684" t="n">
        <x:v>0</x:v>
      </x:c>
      <x:c r="AK684" t="n">
        <x:v>0</x:v>
      </x:c>
      <x:c r="AL684" t="n">
        <x:v>0</x:v>
      </x:c>
      <x:c r="AM684" t="n">
        <x:f>CHOOSE('假设'!$B$3,AJ684,AK684,AL684)</x:f>
        <x:v>0</x:v>
      </x:c>
      <x:c r="AN684" t="n">
        <x:v>1</x:v>
      </x:c>
    </x:row>
    <x:row r="685" ht="23" customHeight="1">
      <x:c r="A685" s="11" t="str">
        <x:v>688192.SH</x:v>
      </x:c>
      <x:c r="B685" s="11" t="str">
        <x:v>半年</x:v>
      </x:c>
      <x:c r="C685" s="11" t="str">
        <x:v>goli_rr</x:v>
      </x:c>
      <x:c r="D685" s="11" t="str">
        <x:v>2030-12-31</x:v>
      </x:c>
      <x:c r="E685" s="11" t="str">
        <x:v>CNY</x:v>
      </x:c>
      <x:c r="F685" s="11" t="n">
        <x:v>3.728952772073922</x:v>
      </x:c>
      <x:c r="G685" s="26" t="b">
        <x:v>1</x:v>
      </x:c>
      <x:c r="H685" s="16" t="n">
        <x:v>0.43333333333333335</x:v>
      </x:c>
      <x:c r="I685" s="16" t="n">
        <x:v>0.7999999999999999</x:v>
      </x:c>
      <x:c r="J685" s="16" t="n">
        <x:v>1.4400000000000002</x:v>
      </x:c>
      <x:c r="K685" s="11" t="n">
        <x:f>CHOOSE('假设'!$B$3,H685,I685,J685)</x:f>
        <x:v>0.7999999999999999</x:v>
      </x:c>
      <x:c r="L685" s="11" t="n">
        <x:f>K685*'管线假设'!E167*'管线假设'!F167*'管线假设'!G167*IF(E685="USD",'管线假设'!I167,1)-AM685</x:f>
        <x:v>0.264</x:v>
      </x:c>
      <x:c r="M685" s="11" t="n">
        <x:f>'管线假设'!H167</x:f>
        <x:v>0.125</x:v>
      </x:c>
      <x:c r="N685" s="11" t="n">
        <x:f>IF(G685,L685*AN685/(1+M685)^F685,0)</x:f>
        <x:v>0.1701604347491767</x:v>
      </x:c>
      <x:c r="AJ685" t="n">
        <x:v>0</x:v>
      </x:c>
      <x:c r="AK685" t="n">
        <x:v>0</x:v>
      </x:c>
      <x:c r="AL685" t="n">
        <x:v>0</x:v>
      </x:c>
      <x:c r="AM685" t="n">
        <x:f>CHOOSE('假设'!$B$3,AJ685,AK685,AL685)</x:f>
        <x:v>0</x:v>
      </x:c>
      <x:c r="AN685" t="n">
        <x:v>1</x:v>
      </x:c>
    </x:row>
    <x:row r="686" ht="23" customHeight="1">
      <x:c r="A686" s="11" t="str">
        <x:v>688192.SH</x:v>
      </x:c>
      <x:c r="B686" s="11" t="str">
        <x:v>半年</x:v>
      </x:c>
      <x:c r="C686" s="11" t="str">
        <x:v>goli_rr</x:v>
      </x:c>
      <x:c r="D686" s="11" t="str">
        <x:v>2031-12-31</x:v>
      </x:c>
      <x:c r="E686" s="11" t="str">
        <x:v>CNY</x:v>
      </x:c>
      <x:c r="F686" s="11" t="n">
        <x:v>4.728268309377139</x:v>
      </x:c>
      <x:c r="G686" s="26" t="b">
        <x:v>1</x:v>
      </x:c>
      <x:c r="H686" s="16" t="n">
        <x:v>0.5416666666666667</x:v>
      </x:c>
      <x:c r="I686" s="16" t="n">
        <x:v>1</x:v>
      </x:c>
      <x:c r="J686" s="16" t="n">
        <x:v>1.8</x:v>
      </x:c>
      <x:c r="K686" s="11" t="n">
        <x:f>CHOOSE('假设'!$B$3,H686,I686,J686)</x:f>
        <x:v>1</x:v>
      </x:c>
      <x:c r="L686" s="11" t="n">
        <x:f>K686*'管线假设'!E167*'管线假设'!F167*'管线假设'!G167*IF(E686="USD",'管线假设'!I167,1)-AM686</x:f>
        <x:v>0.33</x:v>
      </x:c>
      <x:c r="M686" s="11" t="n">
        <x:f>'管线假设'!H167</x:f>
        <x:v>0.125</x:v>
      </x:c>
      <x:c r="N686" s="11" t="n">
        <x:f>IF(G686,L686*AN686/(1+M686)^F686,0)</x:f>
        <x:v>0.18908239256901413</x:v>
      </x:c>
      <x:c r="AJ686" t="n">
        <x:v>0</x:v>
      </x:c>
      <x:c r="AK686" t="n">
        <x:v>0</x:v>
      </x:c>
      <x:c r="AL686" t="n">
        <x:v>0</x:v>
      </x:c>
      <x:c r="AM686" t="n">
        <x:f>CHOOSE('假设'!$B$3,AJ686,AK686,AL686)</x:f>
        <x:v>0</x:v>
      </x:c>
      <x:c r="AN686" t="n">
        <x:v>1</x:v>
      </x:c>
    </x:row>
    <x:row r="687" ht="23" customHeight="1">
      <x:c r="A687" s="11" t="str">
        <x:v>688192.SH</x:v>
      </x:c>
      <x:c r="B687" s="11" t="str">
        <x:v>半年</x:v>
      </x:c>
      <x:c r="C687" s="11" t="str">
        <x:v>goli_rr</x:v>
      </x:c>
      <x:c r="D687" s="11" t="str">
        <x:v>2032-12-31</x:v>
      </x:c>
      <x:c r="E687" s="11" t="str">
        <x:v>CNY</x:v>
      </x:c>
      <x:c r="F687" s="11" t="n">
        <x:v>5.730321697467488</x:v>
      </x:c>
      <x:c r="G687" s="26" t="b">
        <x:v>1</x:v>
      </x:c>
      <x:c r="H687" s="16" t="n">
        <x:v>0.65</x:v>
      </x:c>
      <x:c r="I687" s="16" t="n">
        <x:v>1.2</x:v>
      </x:c>
      <x:c r="J687" s="16" t="n">
        <x:v>1.584</x:v>
      </x:c>
      <x:c r="K687" s="11" t="n">
        <x:f>CHOOSE('假设'!$B$3,H687,I687,J687)</x:f>
        <x:v>1.2</x:v>
      </x:c>
      <x:c r="L687" s="11" t="n">
        <x:f>K687*'管线假设'!E167*'管线假设'!F167*'管线假设'!G167*IF(E687="USD",'管线假设'!I167,1)-AM687</x:f>
        <x:v>0.396</x:v>
      </x:c>
      <x:c r="M687" s="11" t="n">
        <x:f>'管线假设'!H167</x:f>
        <x:v>0.125</x:v>
      </x:c>
      <x:c r="N687" s="11" t="n">
        <x:f>IF(G687,L687*AN687/(1+M687)^F687,0)</x:f>
        <x:v>0.20163911222634073</x:v>
      </x:c>
      <x:c r="AJ687" t="n">
        <x:v>0</x:v>
      </x:c>
      <x:c r="AK687" t="n">
        <x:v>0</x:v>
      </x:c>
      <x:c r="AL687" t="n">
        <x:v>0</x:v>
      </x:c>
      <x:c r="AM687" t="n">
        <x:f>CHOOSE('假设'!$B$3,AJ687,AK687,AL687)</x:f>
        <x:v>0</x:v>
      </x:c>
      <x:c r="AN687" t="n">
        <x:v>1</x:v>
      </x:c>
    </x:row>
    <x:row r="688" ht="23" customHeight="1">
      <x:c r="A688" s="11" t="str">
        <x:v>688192.SH</x:v>
      </x:c>
      <x:c r="B688" s="11" t="str">
        <x:v>半年</x:v>
      </x:c>
      <x:c r="C688" s="11" t="str">
        <x:v>goli_rr</x:v>
      </x:c>
      <x:c r="D688" s="11" t="str">
        <x:v>2033-12-31</x:v>
      </x:c>
      <x:c r="E688" s="11" t="str">
        <x:v>CNY</x:v>
      </x:c>
      <x:c r="F688" s="11" t="n">
        <x:v>6.729637234770705</x:v>
      </x:c>
      <x:c r="G688" s="26" t="b">
        <x:v>1</x:v>
      </x:c>
      <x:c r="H688" s="16" t="n">
        <x:v>0.5720000000000001</x:v>
      </x:c>
      <x:c r="I688" s="16" t="n">
        <x:v>1.056</x:v>
      </x:c>
      <x:c r="J688" s="16" t="n">
        <x:v>1.368</x:v>
      </x:c>
      <x:c r="K688" s="11" t="n">
        <x:f>CHOOSE('假设'!$B$3,H688,I688,J688)</x:f>
        <x:v>1.056</x:v>
      </x:c>
      <x:c r="L688" s="11" t="n">
        <x:f>K688*'管线假设'!E167*'管线假设'!F167*'管线假设'!G167*IF(E688="USD",'管线假设'!I167,1)-AM688</x:f>
        <x:v>0.34848</x:v>
      </x:c>
      <x:c r="M688" s="11" t="n">
        <x:f>'管线假设'!H167</x:f>
        <x:v>0.125</x:v>
      </x:c>
      <x:c r="N688" s="11" t="n">
        <x:f>IF(G688,L688*AN688/(1+M688)^F688,0)</x:f>
        <x:v>0.1577393105826252</x:v>
      </x:c>
      <x:c r="AJ688" t="n">
        <x:v>0</x:v>
      </x:c>
      <x:c r="AK688" t="n">
        <x:v>0</x:v>
      </x:c>
      <x:c r="AL688" t="n">
        <x:v>0</x:v>
      </x:c>
      <x:c r="AM688" t="n">
        <x:f>CHOOSE('假设'!$B$3,AJ688,AK688,AL688)</x:f>
        <x:v>0</x:v>
      </x:c>
      <x:c r="AN688" t="n">
        <x:v>1</x:v>
      </x:c>
    </x:row>
    <x:row r="689" ht="23" customHeight="1">
      <x:c r="A689" s="11" t="str">
        <x:v>688192.SH</x:v>
      </x:c>
      <x:c r="B689" s="11" t="str">
        <x:v>半年</x:v>
      </x:c>
      <x:c r="C689" s="11" t="str">
        <x:v>goli_rr</x:v>
      </x:c>
      <x:c r="D689" s="11" t="str">
        <x:v>2034-12-31</x:v>
      </x:c>
      <x:c r="E689" s="11" t="str">
        <x:v>CNY</x:v>
      </x:c>
      <x:c r="F689" s="11" t="n">
        <x:v>7.728952772073922</x:v>
      </x:c>
      <x:c r="G689" s="26" t="b">
        <x:v>1</x:v>
      </x:c>
      <x:c r="H689" s="16" t="n">
        <x:v>0.49400000000000005</x:v>
      </x:c>
      <x:c r="I689" s="16" t="n">
        <x:v>0.9119999999999999</x:v>
      </x:c>
      <x:c r="J689" s="16" t="n">
        <x:v>1.1520000000000001</x:v>
      </x:c>
      <x:c r="K689" s="11" t="n">
        <x:f>CHOOSE('假设'!$B$3,H689,I689,J689)</x:f>
        <x:v>0.9119999999999999</x:v>
      </x:c>
      <x:c r="L689" s="11" t="n">
        <x:f>K689*'管线假设'!E167*'管线假设'!F167*'管线假设'!G167*IF(E689="USD",'管线假设'!I167,1)-AM689</x:f>
        <x:v>0.30096</x:v>
      </x:c>
      <x:c r="M689" s="11" t="n">
        <x:f>'管线假设'!H167</x:f>
        <x:v>0.125</x:v>
      </x:c>
      <x:c r="N689" s="11" t="n">
        <x:f>IF(G689,L689*AN689/(1+M689)^F689,0)</x:f>
        <x:v>0.12110256674823894</x:v>
      </x:c>
      <x:c r="AJ689" t="n">
        <x:v>0</x:v>
      </x:c>
      <x:c r="AK689" t="n">
        <x:v>0</x:v>
      </x:c>
      <x:c r="AL689" t="n">
        <x:v>0</x:v>
      </x:c>
      <x:c r="AM689" t="n">
        <x:f>CHOOSE('假设'!$B$3,AJ689,AK689,AL689)</x:f>
        <x:v>0</x:v>
      </x:c>
      <x:c r="AN689" t="n">
        <x:v>1</x:v>
      </x:c>
    </x:row>
    <x:row r="690" ht="23" customHeight="1">
      <x:c r="A690" s="11" t="str">
        <x:v>688192.SH</x:v>
      </x:c>
      <x:c r="B690" s="11" t="str">
        <x:v>半年</x:v>
      </x:c>
      <x:c r="C690" s="11" t="str">
        <x:v>goli_rr</x:v>
      </x:c>
      <x:c r="D690" s="11" t="str">
        <x:v>2035-12-31</x:v>
      </x:c>
      <x:c r="E690" s="11" t="str">
        <x:v>CNY</x:v>
      </x:c>
      <x:c r="F690" s="11" t="n">
        <x:v>8.728268309377139</x:v>
      </x:c>
      <x:c r="G690" s="26" t="b">
        <x:v>1</x:v>
      </x:c>
      <x:c r="H690" s="16" t="n">
        <x:v>0.41600000000000004</x:v>
      </x:c>
      <x:c r="I690" s="16" t="n">
        <x:v>0.768</x:v>
      </x:c>
      <x:c r="J690" s="16" t="n">
        <x:v>0.936</x:v>
      </x:c>
      <x:c r="K690" s="11" t="n">
        <x:f>CHOOSE('假设'!$B$3,H690,I690,J690)</x:f>
        <x:v>0.768</x:v>
      </x:c>
      <x:c r="L690" s="11" t="n">
        <x:f>K690*'管线假设'!E167*'管线假设'!F167*'管线假设'!G167*IF(E690="USD",'管线假设'!I167,1)-AM690</x:f>
        <x:v>0.25344</x:v>
      </x:c>
      <x:c r="M690" s="11" t="n">
        <x:f>'管线假设'!H167</x:f>
        <x:v>0.125</x:v>
      </x:c>
      <x:c r="N690" s="11" t="n">
        <x:f>IF(G690,L690*AN690/(1+M690)^F690,0)</x:f>
        <x:v>0.09065718283971036</x:v>
      </x:c>
      <x:c r="AJ690" t="n">
        <x:v>0</x:v>
      </x:c>
      <x:c r="AK690" t="n">
        <x:v>0</x:v>
      </x:c>
      <x:c r="AL690" t="n">
        <x:v>0</x:v>
      </x:c>
      <x:c r="AM690" t="n">
        <x:f>CHOOSE('假设'!$B$3,AJ690,AK690,AL690)</x:f>
        <x:v>0</x:v>
      </x:c>
      <x:c r="AN690" t="n">
        <x:v>1</x:v>
      </x:c>
    </x:row>
    <x:row r="691" ht="23" customHeight="1">
      <x:c r="A691" s="11" t="str">
        <x:v>688192.SH</x:v>
      </x:c>
      <x:c r="B691" s="11" t="str">
        <x:v>半年</x:v>
      </x:c>
      <x:c r="C691" s="11" t="str">
        <x:v>goli_rr</x:v>
      </x:c>
      <x:c r="D691" s="11" t="str">
        <x:v>2036-12-31</x:v>
      </x:c>
      <x:c r="E691" s="11" t="str">
        <x:v>CNY</x:v>
      </x:c>
      <x:c r="F691" s="11" t="n">
        <x:v>9.730321697467488</x:v>
      </x:c>
      <x:c r="G691" s="26" t="b">
        <x:v>1</x:v>
      </x:c>
      <x:c r="H691" s="16" t="n">
        <x:v>0.338</x:v>
      </x:c>
      <x:c r="I691" s="16" t="n">
        <x:v>0.624</x:v>
      </x:c>
      <x:c r="J691" s="16" t="n">
        <x:v>0.7200000000000001</x:v>
      </x:c>
      <x:c r="K691" s="11" t="n">
        <x:f>CHOOSE('假设'!$B$3,H691,I691,J691)</x:f>
        <x:v>0.624</x:v>
      </x:c>
      <x:c r="L691" s="11" t="n">
        <x:f>K691*'管线假设'!E167*'管线假设'!F167*'管线假设'!G167*IF(E691="USD",'管线假设'!I167,1)-AM691</x:f>
        <x:v>0.20592000000000002</x:v>
      </x:c>
      <x:c r="M691" s="11" t="n">
        <x:f>'管线假设'!H167</x:f>
        <x:v>0.125</x:v>
      </x:c>
      <x:c r="N691" s="11" t="n">
        <x:f>IF(G691,L691*AN691/(1+M691)^F691,0)</x:f>
        <x:v>0.06545879864550033</x:v>
      </x:c>
      <x:c r="AJ691" t="n">
        <x:v>0</x:v>
      </x:c>
      <x:c r="AK691" t="n">
        <x:v>0</x:v>
      </x:c>
      <x:c r="AL691" t="n">
        <x:v>0</x:v>
      </x:c>
      <x:c r="AM691" t="n">
        <x:f>CHOOSE('假设'!$B$3,AJ691,AK691,AL691)</x:f>
        <x:v>0</x:v>
      </x:c>
      <x:c r="AN691" t="n">
        <x:v>1</x:v>
      </x:c>
    </x:row>
    <x:row r="692" ht="23" customHeight="1">
      <x:c r="A692" s="11" t="str">
        <x:v>688192.SH</x:v>
      </x:c>
      <x:c r="B692" s="11" t="str">
        <x:v>半年</x:v>
      </x:c>
      <x:c r="C692" s="11" t="str">
        <x:v>goli_rr</x:v>
      </x:c>
      <x:c r="D692" s="11" t="str">
        <x:v>2037-12-31</x:v>
      </x:c>
      <x:c r="E692" s="11" t="str">
        <x:v>CNY</x:v>
      </x:c>
      <x:c r="F692" s="11" t="n">
        <x:v>10.729637234770705</x:v>
      </x:c>
      <x:c r="G692" s="26" t="b">
        <x:v>1</x:v>
      </x:c>
      <x:c r="H692" s="16" t="n">
        <x:v>0.26</x:v>
      </x:c>
      <x:c r="I692" s="16" t="n">
        <x:v>0.48</x:v>
      </x:c>
      <x:c r="J692" s="16" t="n">
        <x:v>0.5040000000000001</x:v>
      </x:c>
      <x:c r="K692" s="11" t="n">
        <x:f>CHOOSE('假设'!$B$3,H692,I692,J692)</x:f>
        <x:v>0.48</x:v>
      </x:c>
      <x:c r="L692" s="11" t="n">
        <x:f>K692*'管线假设'!E167*'管线假设'!F167*'管线假设'!G167*IF(E692="USD",'管线假设'!I167,1)-AM692</x:f>
        <x:v>0.1584</x:v>
      </x:c>
      <x:c r="M692" s="11" t="n">
        <x:f>'管线假设'!H167</x:f>
        <x:v>0.125</x:v>
      </x:c>
      <x:c r="N692" s="11" t="n">
        <x:f>IF(G692,L692*AN692/(1+M692)^F692,0)</x:f>
        <x:v>0.04476176138244121</x:v>
      </x:c>
      <x:c r="AJ692" t="n">
        <x:v>0</x:v>
      </x:c>
      <x:c r="AK692" t="n">
        <x:v>0</x:v>
      </x:c>
      <x:c r="AL692" t="n">
        <x:v>0</x:v>
      </x:c>
      <x:c r="AM692" t="n">
        <x:f>CHOOSE('假设'!$B$3,AJ692,AK692,AL692)</x:f>
        <x:v>0</x:v>
      </x:c>
      <x:c r="AN692" t="n">
        <x:v>1</x:v>
      </x:c>
    </x:row>
    <x:row r="693" ht="23" customHeight="1">
      <x:c r="A693" s="11" t="str">
        <x:v>688192.SH</x:v>
      </x:c>
      <x:c r="B693" s="11" t="str">
        <x:v>半年</x:v>
      </x:c>
      <x:c r="C693" s="11" t="str">
        <x:v>goli_rr</x:v>
      </x:c>
      <x:c r="D693" s="11" t="str">
        <x:v>2038-12-31</x:v>
      </x:c>
      <x:c r="E693" s="11" t="str">
        <x:v>CNY</x:v>
      </x:c>
      <x:c r="F693" s="11" t="n">
        <x:v>11.728952772073923</x:v>
      </x:c>
      <x:c r="G693" s="26" t="b">
        <x:v>1</x:v>
      </x:c>
      <x:c r="H693" s="16" t="n">
        <x:v>0.18200000000000002</x:v>
      </x:c>
      <x:c r="I693" s="16" t="n">
        <x:v>0.336</x:v>
      </x:c>
      <x:c r="J693" s="16" t="n">
        <x:v>0.2880000000000001</x:v>
      </x:c>
      <x:c r="K693" s="11" t="n">
        <x:f>CHOOSE('假设'!$B$3,H693,I693,J693)</x:f>
        <x:v>0.336</x:v>
      </x:c>
      <x:c r="L693" s="11" t="n">
        <x:f>K693*'管线假设'!E167*'管线假设'!F167*'管线假设'!G167*IF(E693="USD",'管线假设'!I167,1)-AM693</x:f>
        <x:v>0.11088</x:v>
      </x:c>
      <x:c r="M693" s="11" t="n">
        <x:f>'管线假设'!H167</x:f>
        <x:v>0.125</x:v>
      </x:c>
      <x:c r="N693" s="11" t="n">
        <x:f>IF(G693,L693*AN693/(1+M693)^F693,0)</x:f>
        <x:v>0.027854008084498567</x:v>
      </x:c>
      <x:c r="AJ693" t="n">
        <x:v>0</x:v>
      </x:c>
      <x:c r="AK693" t="n">
        <x:v>0</x:v>
      </x:c>
      <x:c r="AL693" t="n">
        <x:v>0</x:v>
      </x:c>
      <x:c r="AM693" t="n">
        <x:f>CHOOSE('假设'!$B$3,AJ693,AK693,AL693)</x:f>
        <x:v>0</x:v>
      </x:c>
      <x:c r="AN693" t="n">
        <x:v>1</x:v>
      </x:c>
    </x:row>
    <x:row r="694" ht="23" customHeight="1">
      <x:c r="A694" s="11" t="str">
        <x:v>688192.SH</x:v>
      </x:c>
      <x:c r="B694" s="11" t="str">
        <x:v>半年</x:v>
      </x:c>
      <x:c r="C694" s="11" t="str">
        <x:v>goli_rr</x:v>
      </x:c>
      <x:c r="D694" s="11" t="str">
        <x:v>2039-12-31</x:v>
      </x:c>
      <x:c r="E694" s="11" t="str">
        <x:v>CNY</x:v>
      </x:c>
      <x:c r="F694" s="11" t="n">
        <x:v>12.728268309377139</x:v>
      </x:c>
      <x:c r="G694" s="26" t="b">
        <x:v>1</x:v>
      </x:c>
      <x:c r="H694" s="16" t="n">
        <x:v>0.10400000000000002</x:v>
      </x:c>
      <x:c r="I694" s="16" t="n">
        <x:v>0.19200000000000003</x:v>
      </x:c>
      <x:c r="J694" s="16" t="n">
        <x:v>0.07200000000000006</x:v>
      </x:c>
      <x:c r="K694" s="11" t="n">
        <x:f>CHOOSE('假设'!$B$3,H694,I694,J694)</x:f>
        <x:v>0.19200000000000003</x:v>
      </x:c>
      <x:c r="L694" s="11" t="n">
        <x:f>K694*'管线假设'!E167*'管线假设'!F167*'管线假设'!G167*IF(E694="USD",'管线假设'!I167,1)-AM694</x:f>
        <x:v>0.06336000000000001</x:v>
      </x:c>
      <x:c r="M694" s="11" t="n">
        <x:f>'管线假设'!H167</x:f>
        <x:v>0.125</x:v>
      </x:c>
      <x:c r="N694" s="11" t="n">
        <x:f>IF(G694,L694*AN694/(1+M694)^F694,0)</x:f>
        <x:v>0.014149208234699503</x:v>
      </x:c>
      <x:c r="AJ694" t="n">
        <x:v>0</x:v>
      </x:c>
      <x:c r="AK694" t="n">
        <x:v>0</x:v>
      </x:c>
      <x:c r="AL694" t="n">
        <x:v>0</x:v>
      </x:c>
      <x:c r="AM694" t="n">
        <x:f>CHOOSE('假设'!$B$3,AJ694,AK694,AL694)</x:f>
        <x:v>0</x:v>
      </x:c>
      <x:c r="AN694" t="n">
        <x:v>1</x:v>
      </x:c>
    </x:row>
    <x:row r="695" ht="23" customHeight="1">
      <x:c r="A695" s="11" t="str">
        <x:v>688192.SH</x:v>
      </x:c>
      <x:c r="B695" s="11" t="str">
        <x:v>半年</x:v>
      </x:c>
      <x:c r="C695" s="11" t="str">
        <x:v>goli_rr</x:v>
      </x:c>
      <x:c r="D695" s="11" t="str">
        <x:v>2040-12-31</x:v>
      </x:c>
      <x:c r="E695" s="11" t="str">
        <x:v>CNY</x:v>
      </x:c>
      <x:c r="F695" s="11" t="n">
        <x:v>13.730321697467488</x:v>
      </x:c>
      <x:c r="G695" s="26" t="b">
        <x:v>1</x:v>
      </x:c>
      <x:c r="H695" s="16" t="n">
        <x:v>0.026000000000000023</x:v>
      </x:c>
      <x:c r="I695" s="16" t="n">
        <x:v>0.04800000000000004</x:v>
      </x:c>
      <x:c r="J695" s="16" t="n">
        <x:v>0</x:v>
      </x:c>
      <x:c r="K695" s="11" t="n">
        <x:f>CHOOSE('假设'!$B$3,H695,I695,J695)</x:f>
        <x:v>0.04800000000000004</x:v>
      </x:c>
      <x:c r="L695" s="11" t="n">
        <x:f>K695*'管线假设'!E167*'管线假设'!F167*'管线假设'!G167*IF(E695="USD",'管线假设'!I167,1)-AM695</x:f>
        <x:v>0.015840000000000014</x:v>
      </x:c>
      <x:c r="M695" s="11" t="n">
        <x:f>'管线假设'!H167</x:f>
        <x:v>0.125</x:v>
      </x:c>
      <x:c r="N695" s="11" t="n">
        <x:f>IF(G695,L695*AN695/(1+M695)^F695,0)</x:f>
        <x:v>0.003143508133750361</x:v>
      </x:c>
      <x:c r="AJ695" t="n">
        <x:v>0</x:v>
      </x:c>
      <x:c r="AK695" t="n">
        <x:v>0</x:v>
      </x:c>
      <x:c r="AL695" t="n">
        <x:v>0</x:v>
      </x:c>
      <x:c r="AM695" t="n">
        <x:f>CHOOSE('假设'!$B$3,AJ695,AK695,AL695)</x:f>
        <x:v>0</x:v>
      </x:c>
      <x:c r="AN695" t="n">
        <x:v>1</x:v>
      </x:c>
    </x:row>
    <x:row r="696" ht="23" customHeight="1">
      <x:c r="A696" s="11" t="str">
        <x:v>688192.SH</x:v>
      </x:c>
      <x:c r="B696" s="11" t="str">
        <x:v>半年</x:v>
      </x:c>
      <x:c r="C696" s="11" t="str">
        <x:v>goli_rr</x:v>
      </x:c>
      <x:c r="D696" s="11" t="str">
        <x:v>2041-12-31</x:v>
      </x:c>
      <x:c r="E696" s="11" t="str">
        <x:v>CNY</x:v>
      </x:c>
      <x:c r="F696" s="11" t="n">
        <x:v>14.729637234770705</x:v>
      </x:c>
      <x:c r="G696" s="26" t="b">
        <x:v>1</x:v>
      </x:c>
      <x:c r="H696" s="16" t="n">
        <x:v>0</x:v>
      </x:c>
      <x:c r="I696" s="16" t="n">
        <x:v>0</x:v>
      </x:c>
      <x:c r="J696" s="16" t="n">
        <x:v>0</x:v>
      </x:c>
      <x:c r="K696" s="11" t="n">
        <x:f>CHOOSE('假设'!$B$3,H696,I696,J696)</x:f>
        <x:v>0</x:v>
      </x:c>
      <x:c r="L696" s="11" t="n">
        <x:f>K696*'管线假设'!E167*'管线假设'!F167*'管线假设'!G167*IF(E696="USD",'管线假设'!I167,1)-AM696</x:f>
        <x:v>0</x:v>
      </x:c>
      <x:c r="M696" s="11" t="n">
        <x:f>'管线假设'!H167</x:f>
        <x:v>0.125</x:v>
      </x:c>
      <x:c r="N696" s="11" t="n">
        <x:f>IF(G696,L696*AN696/(1+M696)^F696,0)</x:f>
        <x:v>0</x:v>
      </x:c>
      <x:c r="AJ696" t="n">
        <x:v>0</x:v>
      </x:c>
      <x:c r="AK696" t="n">
        <x:v>0</x:v>
      </x:c>
      <x:c r="AL696" t="n">
        <x:v>0</x:v>
      </x:c>
      <x:c r="AM696" t="n">
        <x:f>CHOOSE('假设'!$B$3,AJ696,AK696,AL696)</x:f>
        <x:v>0</x:v>
      </x:c>
      <x:c r="AN696" t="n">
        <x:v>1</x:v>
      </x:c>
    </x:row>
    <x:row r="697" ht="23" customHeight="1">
      <x:c r="A697" s="11" t="str">
        <x:v>688192.SH</x:v>
      </x:c>
      <x:c r="B697" s="11" t="str">
        <x:v>半年</x:v>
      </x:c>
      <x:c r="C697" s="11" t="str">
        <x:v>goli_rr</x:v>
      </x:c>
      <x:c r="D697" s="11" t="str">
        <x:v>2042-12-31</x:v>
      </x:c>
      <x:c r="E697" s="11" t="str">
        <x:v>CNY</x:v>
      </x:c>
      <x:c r="F697" s="11" t="n">
        <x:v>15.728952772073923</x:v>
      </x:c>
      <x:c r="G697" s="26" t="b">
        <x:v>1</x:v>
      </x:c>
      <x:c r="H697" s="16" t="n">
        <x:v>0</x:v>
      </x:c>
      <x:c r="I697" s="16" t="n">
        <x:v>0</x:v>
      </x:c>
      <x:c r="J697" s="16" t="n">
        <x:v>0</x:v>
      </x:c>
      <x:c r="K697" s="11" t="n">
        <x:f>CHOOSE('假设'!$B$3,H697,I697,J697)</x:f>
        <x:v>0</x:v>
      </x:c>
      <x:c r="L697" s="11" t="n">
        <x:f>K697*'管线假设'!E167*'管线假设'!F167*'管线假设'!G167*IF(E697="USD",'管线假设'!I167,1)-AM697</x:f>
        <x:v>0</x:v>
      </x:c>
      <x:c r="M697" s="11" t="n">
        <x:f>'管线假设'!H167</x:f>
        <x:v>0.125</x:v>
      </x:c>
      <x:c r="N697" s="11" t="n">
        <x:f>IF(G697,L697*AN697/(1+M697)^F697,0)</x:f>
        <x:v>0</x:v>
      </x:c>
      <x:c r="AJ697" t="n">
        <x:v>0</x:v>
      </x:c>
      <x:c r="AK697" t="n">
        <x:v>0</x:v>
      </x:c>
      <x:c r="AL697" t="n">
        <x:v>0</x:v>
      </x:c>
      <x:c r="AM697" t="n">
        <x:f>CHOOSE('假设'!$B$3,AJ697,AK697,AL697)</x:f>
        <x:v>0</x:v>
      </x:c>
      <x:c r="AN697" t="n">
        <x:v>1</x:v>
      </x:c>
    </x:row>
    <x:row r="698" ht="23" customHeight="1">
      <x:c r="A698" s="11" t="str">
        <x:v>688192.SH</x:v>
      </x:c>
      <x:c r="B698" s="11" t="str">
        <x:v>半年</x:v>
      </x:c>
      <x:c r="C698" s="11" t="str">
        <x:v>goli_rr</x:v>
      </x:c>
      <x:c r="D698" s="11" t="str">
        <x:v>2043-12-31</x:v>
      </x:c>
      <x:c r="E698" s="11" t="str">
        <x:v>CNY</x:v>
      </x:c>
      <x:c r="F698" s="11" t="n">
        <x:v>16.72826830937714</x:v>
      </x:c>
      <x:c r="G698" s="26" t="b">
        <x:v>1</x:v>
      </x:c>
      <x:c r="H698" s="16" t="n">
        <x:v>0</x:v>
      </x:c>
      <x:c r="I698" s="16" t="n">
        <x:v>0</x:v>
      </x:c>
      <x:c r="J698" s="16" t="n">
        <x:v>0</x:v>
      </x:c>
      <x:c r="K698" s="11" t="n">
        <x:f>CHOOSE('假设'!$B$3,H698,I698,J698)</x:f>
        <x:v>0</x:v>
      </x:c>
      <x:c r="L698" s="11" t="n">
        <x:f>K698*'管线假设'!E167*'管线假设'!F167*'管线假设'!G167*IF(E698="USD",'管线假设'!I167,1)-AM698</x:f>
        <x:v>0</x:v>
      </x:c>
      <x:c r="M698" s="11" t="n">
        <x:f>'管线假设'!H167</x:f>
        <x:v>0.125</x:v>
      </x:c>
      <x:c r="N698" s="11" t="n">
        <x:f>IF(G698,L698*AN698/(1+M698)^F698,0)</x:f>
        <x:v>0</x:v>
      </x:c>
      <x:c r="AJ698" t="n">
        <x:v>0</x:v>
      </x:c>
      <x:c r="AK698" t="n">
        <x:v>0</x:v>
      </x:c>
      <x:c r="AL698" t="n">
        <x:v>0</x:v>
      </x:c>
      <x:c r="AM698" t="n">
        <x:f>CHOOSE('假设'!$B$3,AJ698,AK698,AL698)</x:f>
        <x:v>0</x:v>
      </x:c>
      <x:c r="AN698" t="n">
        <x:v>1</x:v>
      </x:c>
    </x:row>
    <x:row r="699" ht="23" customHeight="1">
      <x:c r="A699" s="11" t="str">
        <x:v>688192.SH</x:v>
      </x:c>
      <x:c r="B699" s="11" t="str">
        <x:v>半年</x:v>
      </x:c>
      <x:c r="C699" s="11" t="str">
        <x:v>goli_rr</x:v>
      </x:c>
      <x:c r="D699" s="11" t="str">
        <x:v>2044-12-31</x:v>
      </x:c>
      <x:c r="E699" s="11" t="str">
        <x:v>CNY</x:v>
      </x:c>
      <x:c r="F699" s="11" t="n">
        <x:v>17.730321697467488</x:v>
      </x:c>
      <x:c r="G699" s="26" t="b">
        <x:v>1</x:v>
      </x:c>
      <x:c r="H699" s="16" t="n">
        <x:v>0</x:v>
      </x:c>
      <x:c r="I699" s="16" t="n">
        <x:v>0</x:v>
      </x:c>
      <x:c r="J699" s="16" t="n">
        <x:v>0</x:v>
      </x:c>
      <x:c r="K699" s="11" t="n">
        <x:f>CHOOSE('假设'!$B$3,H699,I699,J699)</x:f>
        <x:v>0</x:v>
      </x:c>
      <x:c r="L699" s="11" t="n">
        <x:f>K699*'管线假设'!E167*'管线假设'!F167*'管线假设'!G167*IF(E699="USD",'管线假设'!I167,1)-AM699</x:f>
        <x:v>0</x:v>
      </x:c>
      <x:c r="M699" s="11" t="n">
        <x:f>'管线假设'!H167</x:f>
        <x:v>0.125</x:v>
      </x:c>
      <x:c r="N699" s="11" t="n">
        <x:f>IF(G699,L699*AN699/(1+M699)^F699,0)</x:f>
        <x:v>0</x:v>
      </x:c>
      <x:c r="AJ699" t="n">
        <x:v>0</x:v>
      </x:c>
      <x:c r="AK699" t="n">
        <x:v>0</x:v>
      </x:c>
      <x:c r="AL699" t="n">
        <x:v>0</x:v>
      </x:c>
      <x:c r="AM699" t="n">
        <x:f>CHOOSE('假设'!$B$3,AJ699,AK699,AL699)</x:f>
        <x:v>0</x:v>
      </x:c>
      <x:c r="AN699" t="n">
        <x:v>1</x:v>
      </x:c>
    </x:row>
    <x:row r="700" ht="23" customHeight="1">
      <x:c r="A700" s="11" t="str">
        <x:v>688192.SH</x:v>
      </x:c>
      <x:c r="B700" s="11" t="str">
        <x:v>半年</x:v>
      </x:c>
      <x:c r="C700" s="11" t="str">
        <x:v>goli_rr</x:v>
      </x:c>
      <x:c r="D700" s="11" t="str">
        <x:v>2045-12-31</x:v>
      </x:c>
      <x:c r="E700" s="11" t="str">
        <x:v>CNY</x:v>
      </x:c>
      <x:c r="F700" s="11" t="n">
        <x:v>18.729637234770706</x:v>
      </x:c>
      <x:c r="G700" s="26" t="b">
        <x:v>1</x:v>
      </x:c>
      <x:c r="H700" s="16" t="n">
        <x:v>0</x:v>
      </x:c>
      <x:c r="I700" s="16" t="n">
        <x:v>0</x:v>
      </x:c>
      <x:c r="J700" s="16" t="n">
        <x:v>0</x:v>
      </x:c>
      <x:c r="K700" s="11" t="n">
        <x:f>CHOOSE('假设'!$B$3,H700,I700,J700)</x:f>
        <x:v>0</x:v>
      </x:c>
      <x:c r="L700" s="11" t="n">
        <x:f>K700*'管线假设'!E167*'管线假设'!F167*'管线假设'!G167*IF(E700="USD",'管线假设'!I167,1)-AM700</x:f>
        <x:v>0</x:v>
      </x:c>
      <x:c r="M700" s="11" t="n">
        <x:f>'管线假设'!H167</x:f>
        <x:v>0.125</x:v>
      </x:c>
      <x:c r="N700" s="11" t="n">
        <x:f>IF(G700,L700*AN700/(1+M700)^F700,0)</x:f>
        <x:v>0</x:v>
      </x:c>
      <x:c r="AJ700" t="n">
        <x:v>0</x:v>
      </x:c>
      <x:c r="AK700" t="n">
        <x:v>0</x:v>
      </x:c>
      <x:c r="AL700" t="n">
        <x:v>0</x:v>
      </x:c>
      <x:c r="AM700" t="n">
        <x:f>CHOOSE('假设'!$B$3,AJ700,AK700,AL700)</x:f>
        <x:v>0</x:v>
      </x:c>
      <x:c r="AN700" t="n">
        <x:v>1</x:v>
      </x:c>
    </x:row>
    <x:row r="701" ht="23" customHeight="1">
      <x:c r="A701" s="11" t="str">
        <x:v>688192.SH</x:v>
      </x:c>
      <x:c r="B701" s="11" t="str">
        <x:v>半年</x:v>
      </x:c>
      <x:c r="C701" s="11" t="str">
        <x:v>goli_first</x:v>
      </x:c>
      <x:c r="D701" s="11" t="str">
        <x:v>2027-12-31</x:v>
      </x:c>
      <x:c r="E701" s="11" t="str">
        <x:v>CNY</x:v>
      </x:c>
      <x:c r="F701" s="11" t="n">
        <x:v>0.7282683093771389</x:v>
      </x:c>
      <x:c r="G701" s="26" t="b">
        <x:v>1</x:v>
      </x:c>
      <x:c r="H701" s="16" t="n">
        <x:v>0</x:v>
      </x:c>
      <x:c r="I701" s="16" t="n">
        <x:v>0</x:v>
      </x:c>
      <x:c r="J701" s="16" t="n">
        <x:v>0</x:v>
      </x:c>
      <x:c r="K701" s="11" t="n">
        <x:f>CHOOSE('假设'!$B$3,H701,I701,J701)</x:f>
        <x:v>0</x:v>
      </x:c>
      <x:c r="L701" s="11" t="n">
        <x:f>K701*'管线假设'!E171*'管线假设'!F171*'管线假设'!G171*IF(E701="USD",'管线假设'!I171,1)-AM701</x:f>
        <x:v>0</x:v>
      </x:c>
      <x:c r="M701" s="11" t="n">
        <x:f>'管线假设'!H171</x:f>
        <x:v>0.125</x:v>
      </x:c>
      <x:c r="N701" s="11" t="n">
        <x:f>IF(G701,L701*AN701/(1+M701)^F701,0)</x:f>
        <x:v>0</x:v>
      </x:c>
      <x:c r="AJ701" t="n">
        <x:v>0</x:v>
      </x:c>
      <x:c r="AK701" t="n">
        <x:v>0</x:v>
      </x:c>
      <x:c r="AL701" t="n">
        <x:v>0</x:v>
      </x:c>
      <x:c r="AM701" t="n">
        <x:f>CHOOSE('假设'!$B$3,AJ701,AK701,AL701)</x:f>
        <x:v>0</x:v>
      </x:c>
      <x:c r="AN701" t="n">
        <x:v>1</x:v>
      </x:c>
    </x:row>
    <x:row r="702" ht="23" customHeight="1">
      <x:c r="A702" s="11" t="str">
        <x:v>688192.SH</x:v>
      </x:c>
      <x:c r="B702" s="11" t="str">
        <x:v>半年</x:v>
      </x:c>
      <x:c r="C702" s="11" t="str">
        <x:v>goli_first</x:v>
      </x:c>
      <x:c r="D702" s="11" t="str">
        <x:v>2028-12-31</x:v>
      </x:c>
      <x:c r="E702" s="11" t="str">
        <x:v>CNY</x:v>
      </x:c>
      <x:c r="F702" s="11" t="n">
        <x:v>1.730321697467488</x:v>
      </x:c>
      <x:c r="G702" s="26" t="b">
        <x:v>1</x:v>
      </x:c>
      <x:c r="H702" s="16" t="n">
        <x:v>0</x:v>
      </x:c>
      <x:c r="I702" s="16" t="n">
        <x:v>0</x:v>
      </x:c>
      <x:c r="J702" s="16" t="n">
        <x:v>0.25</x:v>
      </x:c>
      <x:c r="K702" s="11" t="n">
        <x:f>CHOOSE('假设'!$B$3,H702,I702,J702)</x:f>
        <x:v>0</x:v>
      </x:c>
      <x:c r="L702" s="11" t="n">
        <x:f>K702*'管线假设'!E171*'管线假设'!F171*'管线假设'!G171*IF(E702="USD",'管线假设'!I171,1)-AM702</x:f>
        <x:v>0</x:v>
      </x:c>
      <x:c r="M702" s="11" t="n">
        <x:f>'管线假设'!H171</x:f>
        <x:v>0.125</x:v>
      </x:c>
      <x:c r="N702" s="11" t="n">
        <x:f>IF(G702,L702*AN702/(1+M702)^F702,0)</x:f>
        <x:v>0</x:v>
      </x:c>
      <x:c r="AJ702" t="n">
        <x:v>0</x:v>
      </x:c>
      <x:c r="AK702" t="n">
        <x:v>0</x:v>
      </x:c>
      <x:c r="AL702" t="n">
        <x:v>0</x:v>
      </x:c>
      <x:c r="AM702" t="n">
        <x:f>CHOOSE('假设'!$B$3,AJ702,AK702,AL702)</x:f>
        <x:v>0</x:v>
      </x:c>
      <x:c r="AN702" t="n">
        <x:v>1</x:v>
      </x:c>
    </x:row>
    <x:row r="703" ht="23" customHeight="1">
      <x:c r="A703" s="11" t="str">
        <x:v>688192.SH</x:v>
      </x:c>
      <x:c r="B703" s="11" t="str">
        <x:v>半年</x:v>
      </x:c>
      <x:c r="C703" s="11" t="str">
        <x:v>goli_first</x:v>
      </x:c>
      <x:c r="D703" s="11" t="str">
        <x:v>2029-12-31</x:v>
      </x:c>
      <x:c r="E703" s="11" t="str">
        <x:v>CNY</x:v>
      </x:c>
      <x:c r="F703" s="11" t="n">
        <x:v>2.729637234770705</x:v>
      </x:c>
      <x:c r="G703" s="26" t="b">
        <x:v>1</x:v>
      </x:c>
      <x:c r="H703" s="16" t="n">
        <x:v>0</x:v>
      </x:c>
      <x:c r="I703" s="16" t="n">
        <x:v>0.15833333333333333</x:v>
      </x:c>
      <x:c r="J703" s="16" t="n">
        <x:v>0.5</x:v>
      </x:c>
      <x:c r="K703" s="11" t="n">
        <x:f>CHOOSE('假设'!$B$3,H703,I703,J703)</x:f>
        <x:v>0.15833333333333333</x:v>
      </x:c>
      <x:c r="L703" s="11" t="n">
        <x:f>K703*'管线假设'!E171*'管线假设'!F171*'管线假设'!G171*IF(E703="USD",'管线假设'!I171,1)-AM703</x:f>
        <x:v>0.021527</x:v>
      </x:c>
      <x:c r="M703" s="11" t="n">
        <x:f>'管线假设'!H171</x:f>
        <x:v>0.125</x:v>
      </x:c>
      <x:c r="N703" s="11" t="n">
        <x:f>IF(G703,L703*AN703/(1+M703)^F703,0)</x:f>
        <x:v>0.01560830276909804</x:v>
      </x:c>
      <x:c r="AJ703" t="n">
        <x:v>0</x:v>
      </x:c>
      <x:c r="AK703" t="n">
        <x:v>0</x:v>
      </x:c>
      <x:c r="AL703" t="n">
        <x:v>0</x:v>
      </x:c>
      <x:c r="AM703" t="n">
        <x:f>CHOOSE('假设'!$B$3,AJ703,AK703,AL703)</x:f>
        <x:v>0</x:v>
      </x:c>
      <x:c r="AN703" t="n">
        <x:v>1</x:v>
      </x:c>
    </x:row>
    <x:row r="704" ht="23" customHeight="1">
      <x:c r="A704" s="11" t="str">
        <x:v>688192.SH</x:v>
      </x:c>
      <x:c r="B704" s="11" t="str">
        <x:v>半年</x:v>
      </x:c>
      <x:c r="C704" s="11" t="str">
        <x:v>goli_first</x:v>
      </x:c>
      <x:c r="D704" s="11" t="str">
        <x:v>2030-12-31</x:v>
      </x:c>
      <x:c r="E704" s="11" t="str">
        <x:v>CNY</x:v>
      </x:c>
      <x:c r="F704" s="11" t="n">
        <x:v>3.728952772073922</x:v>
      </x:c>
      <x:c r="G704" s="26" t="b">
        <x:v>1</x:v>
      </x:c>
      <x:c r="H704" s="16" t="n">
        <x:v>0</x:v>
      </x:c>
      <x:c r="I704" s="16" t="n">
        <x:v>0.31666666666666665</x:v>
      </x:c>
      <x:c r="J704" s="16" t="n">
        <x:v>0.75</x:v>
      </x:c>
      <x:c r="K704" s="11" t="n">
        <x:f>CHOOSE('假设'!$B$3,H704,I704,J704)</x:f>
        <x:v>0.31666666666666665</x:v>
      </x:c>
      <x:c r="L704" s="11" t="n">
        <x:f>K704*'管线假设'!E171*'管线假设'!F171*'管线假设'!G171*IF(E704="USD",'管线假设'!I171,1)-AM704</x:f>
        <x:v>0.043054</x:v>
      </x:c>
      <x:c r="M704" s="11" t="n">
        <x:f>'管线假设'!H171</x:f>
        <x:v>0.125</x:v>
      </x:c>
      <x:c r="N704" s="11" t="n">
        <x:f>IF(G704,L704*AN704/(1+M704)^F704,0)</x:f>
        <x:v>0.0277503309003449</x:v>
      </x:c>
      <x:c r="AJ704" t="n">
        <x:v>0</x:v>
      </x:c>
      <x:c r="AK704" t="n">
        <x:v>0</x:v>
      </x:c>
      <x:c r="AL704" t="n">
        <x:v>0</x:v>
      </x:c>
      <x:c r="AM704" t="n">
        <x:f>CHOOSE('假设'!$B$3,AJ704,AK704,AL704)</x:f>
        <x:v>0</x:v>
      </x:c>
      <x:c r="AN704" t="n">
        <x:v>1</x:v>
      </x:c>
    </x:row>
    <x:row r="705" ht="23" customHeight="1">
      <x:c r="A705" s="11" t="str">
        <x:v>688192.SH</x:v>
      </x:c>
      <x:c r="B705" s="11" t="str">
        <x:v>半年</x:v>
      </x:c>
      <x:c r="C705" s="11" t="str">
        <x:v>goli_first</x:v>
      </x:c>
      <x:c r="D705" s="11" t="str">
        <x:v>2031-12-31</x:v>
      </x:c>
      <x:c r="E705" s="11" t="str">
        <x:v>CNY</x:v>
      </x:c>
      <x:c r="F705" s="11" t="n">
        <x:v>4.728268309377139</x:v>
      </x:c>
      <x:c r="G705" s="26" t="b">
        <x:v>1</x:v>
      </x:c>
      <x:c r="H705" s="16" t="n">
        <x:v>0.08000000000000002</x:v>
      </x:c>
      <x:c r="I705" s="16" t="n">
        <x:v>0.475</x:v>
      </x:c>
      <x:c r="J705" s="16" t="n">
        <x:v>1</x:v>
      </x:c>
      <x:c r="K705" s="11" t="n">
        <x:f>CHOOSE('假设'!$B$3,H705,I705,J705)</x:f>
        <x:v>0.475</x:v>
      </x:c>
      <x:c r="L705" s="11" t="n">
        <x:f>K705*'管线假设'!E171*'管线假设'!F171*'管线假设'!G171*IF(E705="USD",'管线假设'!I171,1)-AM705</x:f>
        <x:v>0.06458100000000001</x:v>
      </x:c>
      <x:c r="M705" s="11" t="n">
        <x:f>'管线假设'!H171</x:f>
        <x:v>0.125</x:v>
      </x:c>
      <x:c r="N705" s="11" t="n">
        <x:f>IF(G705,L705*AN705/(1+M705)^F705,0)</x:f>
        <x:v>0.037003424225756074</x:v>
      </x:c>
      <x:c r="AJ705" t="n">
        <x:v>0</x:v>
      </x:c>
      <x:c r="AK705" t="n">
        <x:v>0</x:v>
      </x:c>
      <x:c r="AL705" t="n">
        <x:v>0</x:v>
      </x:c>
      <x:c r="AM705" t="n">
        <x:f>CHOOSE('假设'!$B$3,AJ705,AK705,AL705)</x:f>
        <x:v>0</x:v>
      </x:c>
      <x:c r="AN705" t="n">
        <x:v>1</x:v>
      </x:c>
    </x:row>
    <x:row r="706" ht="23" customHeight="1">
      <x:c r="A706" s="11" t="str">
        <x:v>688192.SH</x:v>
      </x:c>
      <x:c r="B706" s="11" t="str">
        <x:v>半年</x:v>
      </x:c>
      <x:c r="C706" s="11" t="str">
        <x:v>goli_first</x:v>
      </x:c>
      <x:c r="D706" s="11" t="str">
        <x:v>2032-12-31</x:v>
      </x:c>
      <x:c r="E706" s="11" t="str">
        <x:v>CNY</x:v>
      </x:c>
      <x:c r="F706" s="11" t="n">
        <x:v>5.730321697467488</x:v>
      </x:c>
      <x:c r="G706" s="26" t="b">
        <x:v>1</x:v>
      </x:c>
      <x:c r="H706" s="16" t="n">
        <x:v>0.16000000000000003</x:v>
      </x:c>
      <x:c r="I706" s="16" t="n">
        <x:v>0.6333333333333333</x:v>
      </x:c>
      <x:c r="J706" s="16" t="n">
        <x:v>1.25</x:v>
      </x:c>
      <x:c r="K706" s="11" t="n">
        <x:f>CHOOSE('假设'!$B$3,H706,I706,J706)</x:f>
        <x:v>0.6333333333333333</x:v>
      </x:c>
      <x:c r="L706" s="11" t="n">
        <x:f>K706*'管线假设'!E171*'管线假设'!F171*'管线假设'!G171*IF(E706="USD",'管线假设'!I171,1)-AM706</x:f>
        <x:v>0.086108</x:v>
      </x:c>
      <x:c r="M706" s="11" t="n">
        <x:f>'管线假设'!H171</x:f>
        <x:v>0.125</x:v>
      </x:c>
      <x:c r="N706" s="11" t="n">
        <x:f>IF(G706,L706*AN706/(1+M706)^F706,0)</x:f>
        <x:v>0.043845304736327646</x:v>
      </x:c>
      <x:c r="AJ706" t="n">
        <x:v>0</x:v>
      </x:c>
      <x:c r="AK706" t="n">
        <x:v>0</x:v>
      </x:c>
      <x:c r="AL706" t="n">
        <x:v>0</x:v>
      </x:c>
      <x:c r="AM706" t="n">
        <x:f>CHOOSE('假设'!$B$3,AJ706,AK706,AL706)</x:f>
        <x:v>0</x:v>
      </x:c>
      <x:c r="AN706" t="n">
        <x:v>1</x:v>
      </x:c>
    </x:row>
    <x:row r="707" ht="23" customHeight="1">
      <x:c r="A707" s="11" t="str">
        <x:v>688192.SH</x:v>
      </x:c>
      <x:c r="B707" s="11" t="str">
        <x:v>半年</x:v>
      </x:c>
      <x:c r="C707" s="11" t="str">
        <x:v>goli_first</x:v>
      </x:c>
      <x:c r="D707" s="11" t="str">
        <x:v>2033-12-31</x:v>
      </x:c>
      <x:c r="E707" s="11" t="str">
        <x:v>CNY</x:v>
      </x:c>
      <x:c r="F707" s="11" t="n">
        <x:v>6.729637234770705</x:v>
      </x:c>
      <x:c r="G707" s="26" t="b">
        <x:v>1</x:v>
      </x:c>
      <x:c r="H707" s="16" t="n">
        <x:v>0.24</x:v>
      </x:c>
      <x:c r="I707" s="16" t="n">
        <x:v>0.7916666666666666</x:v>
      </x:c>
      <x:c r="J707" s="16" t="n">
        <x:v>1.5</x:v>
      </x:c>
      <x:c r="K707" s="11" t="n">
        <x:f>CHOOSE('假设'!$B$3,H707,I707,J707)</x:f>
        <x:v>0.7916666666666666</x:v>
      </x:c>
      <x:c r="L707" s="11" t="n">
        <x:f>K707*'管线假设'!E171*'管线假设'!F171*'管线假设'!G171*IF(E707="USD",'管线假设'!I171,1)-AM707</x:f>
        <x:v>0.10763500000000001</x:v>
      </x:c>
      <x:c r="M707" s="11" t="n">
        <x:f>'管线假设'!H171</x:f>
        <x:v>0.125</x:v>
      </x:c>
      <x:c r="N707" s="11" t="n">
        <x:f>IF(G707,L707*AN707/(1+M707)^F707,0)</x:f>
        <x:v>0.048720932893023594</x:v>
      </x:c>
      <x:c r="AJ707" t="n">
        <x:v>0</x:v>
      </x:c>
      <x:c r="AK707" t="n">
        <x:v>0</x:v>
      </x:c>
      <x:c r="AL707" t="n">
        <x:v>0</x:v>
      </x:c>
      <x:c r="AM707" t="n">
        <x:f>CHOOSE('假设'!$B$3,AJ707,AK707,AL707)</x:f>
        <x:v>0</x:v>
      </x:c>
      <x:c r="AN707" t="n">
        <x:v>1</x:v>
      </x:c>
    </x:row>
    <x:row r="708" ht="23" customHeight="1">
      <x:c r="A708" s="11" t="str">
        <x:v>688192.SH</x:v>
      </x:c>
      <x:c r="B708" s="11" t="str">
        <x:v>半年</x:v>
      </x:c>
      <x:c r="C708" s="11" t="str">
        <x:v>goli_first</x:v>
      </x:c>
      <x:c r="D708" s="11" t="str">
        <x:v>2034-12-31</x:v>
      </x:c>
      <x:c r="E708" s="11" t="str">
        <x:v>CNY</x:v>
      </x:c>
      <x:c r="F708" s="11" t="n">
        <x:v>7.728952772073922</x:v>
      </x:c>
      <x:c r="G708" s="26" t="b">
        <x:v>1</x:v>
      </x:c>
      <x:c r="H708" s="16" t="n">
        <x:v>0.32000000000000006</x:v>
      </x:c>
      <x:c r="I708" s="16" t="n">
        <x:v>0.95</x:v>
      </x:c>
      <x:c r="J708" s="16" t="n">
        <x:v>1.32</x:v>
      </x:c>
      <x:c r="K708" s="11" t="n">
        <x:f>CHOOSE('假设'!$B$3,H708,I708,J708)</x:f>
        <x:v>0.95</x:v>
      </x:c>
      <x:c r="L708" s="11" t="n">
        <x:f>K708*'管线假设'!E171*'管线假设'!F171*'管线假设'!G171*IF(E708="USD",'管线假设'!I171,1)-AM708</x:f>
        <x:v>0.12916200000000003</x:v>
      </x:c>
      <x:c r="M708" s="11" t="n">
        <x:f>'管线假设'!H171</x:f>
        <x:v>0.125</x:v>
      </x:c>
      <x:c r="N708" s="11" t="n">
        <x:f>IF(G708,L708*AN708/(1+M708)^F708,0)</x:f>
        <x:v>0.05197318489611922</x:v>
      </x:c>
      <x:c r="AJ708" t="n">
        <x:v>0</x:v>
      </x:c>
      <x:c r="AK708" t="n">
        <x:v>0</x:v>
      </x:c>
      <x:c r="AL708" t="n">
        <x:v>0</x:v>
      </x:c>
      <x:c r="AM708" t="n">
        <x:f>CHOOSE('假设'!$B$3,AJ708,AK708,AL708)</x:f>
        <x:v>0</x:v>
      </x:c>
      <x:c r="AN708" t="n">
        <x:v>1</x:v>
      </x:c>
    </x:row>
    <x:row r="709" ht="23" customHeight="1">
      <x:c r="A709" s="11" t="str">
        <x:v>688192.SH</x:v>
      </x:c>
      <x:c r="B709" s="11" t="str">
        <x:v>半年</x:v>
      </x:c>
      <x:c r="C709" s="11" t="str">
        <x:v>goli_first</x:v>
      </x:c>
      <x:c r="D709" s="11" t="str">
        <x:v>2035-12-31</x:v>
      </x:c>
      <x:c r="E709" s="11" t="str">
        <x:v>CNY</x:v>
      </x:c>
      <x:c r="F709" s="11" t="n">
        <x:v>8.728268309377139</x:v>
      </x:c>
      <x:c r="G709" s="26" t="b">
        <x:v>1</x:v>
      </x:c>
      <x:c r="H709" s="16" t="n">
        <x:v>0.4</x:v>
      </x:c>
      <x:c r="I709" s="16" t="n">
        <x:v>0.836</x:v>
      </x:c>
      <x:c r="J709" s="16" t="n">
        <x:v>1.1400000000000001</x:v>
      </x:c>
      <x:c r="K709" s="11" t="n">
        <x:f>CHOOSE('假设'!$B$3,H709,I709,J709)</x:f>
        <x:v>0.836</x:v>
      </x:c>
      <x:c r="L709" s="11" t="n">
        <x:f>K709*'管线假设'!E171*'管线假设'!F171*'管线假设'!G171*IF(E709="USD",'管线假设'!I171,1)-AM709</x:f>
        <x:v>0.11366256000000001</x:v>
      </x:c>
      <x:c r="M709" s="11" t="n">
        <x:f>'管线假设'!H171</x:f>
        <x:v>0.125</x:v>
      </x:c>
      <x:c r="N709" s="11" t="n">
        <x:f>IF(G709,L709*AN709/(1+M709)^F709,0)</x:f>
        <x:v>0.040657857812300933</x:v>
      </x:c>
      <x:c r="AJ709" t="n">
        <x:v>0</x:v>
      </x:c>
      <x:c r="AK709" t="n">
        <x:v>0</x:v>
      </x:c>
      <x:c r="AL709" t="n">
        <x:v>0</x:v>
      </x:c>
      <x:c r="AM709" t="n">
        <x:f>CHOOSE('假设'!$B$3,AJ709,AK709,AL709)</x:f>
        <x:v>0</x:v>
      </x:c>
      <x:c r="AN709" t="n">
        <x:v>1</x:v>
      </x:c>
    </x:row>
    <x:row r="710" ht="23" customHeight="1">
      <x:c r="A710" s="11" t="str">
        <x:v>688192.SH</x:v>
      </x:c>
      <x:c r="B710" s="11" t="str">
        <x:v>半年</x:v>
      </x:c>
      <x:c r="C710" s="11" t="str">
        <x:v>goli_first</x:v>
      </x:c>
      <x:c r="D710" s="11" t="str">
        <x:v>2036-12-31</x:v>
      </x:c>
      <x:c r="E710" s="11" t="str">
        <x:v>CNY</x:v>
      </x:c>
      <x:c r="F710" s="11" t="n">
        <x:v>9.730321697467488</x:v>
      </x:c>
      <x:c r="G710" s="26" t="b">
        <x:v>1</x:v>
      </x:c>
      <x:c r="H710" s="16" t="n">
        <x:v>0.35200000000000004</x:v>
      </x:c>
      <x:c r="I710" s="16" t="n">
        <x:v>0.722</x:v>
      </x:c>
      <x:c r="J710" s="16" t="n">
        <x:v>0.96</x:v>
      </x:c>
      <x:c r="K710" s="11" t="n">
        <x:f>CHOOSE('假设'!$B$3,H710,I710,J710)</x:f>
        <x:v>0.722</x:v>
      </x:c>
      <x:c r="L710" s="11" t="n">
        <x:f>K710*'管线假设'!E171*'管线假设'!F171*'管线假设'!G171*IF(E710="USD",'管线假设'!I171,1)-AM710</x:f>
        <x:v>0.09816312</x:v>
      </x:c>
      <x:c r="M710" s="11" t="n">
        <x:f>'管线假设'!H171</x:f>
        <x:v>0.125</x:v>
      </x:c>
      <x:c r="N710" s="11" t="n">
        <x:f>IF(G710,L710*AN710/(1+M710)^F710,0)</x:f>
        <x:v>0.03120454500045691</x:v>
      </x:c>
      <x:c r="AJ710" t="n">
        <x:v>0</x:v>
      </x:c>
      <x:c r="AK710" t="n">
        <x:v>0</x:v>
      </x:c>
      <x:c r="AL710" t="n">
        <x:v>0</x:v>
      </x:c>
      <x:c r="AM710" t="n">
        <x:f>CHOOSE('假设'!$B$3,AJ710,AK710,AL710)</x:f>
        <x:v>0</x:v>
      </x:c>
      <x:c r="AN710" t="n">
        <x:v>1</x:v>
      </x:c>
    </x:row>
    <x:row r="711" ht="23" customHeight="1">
      <x:c r="A711" s="11" t="str">
        <x:v>688192.SH</x:v>
      </x:c>
      <x:c r="B711" s="11" t="str">
        <x:v>半年</x:v>
      </x:c>
      <x:c r="C711" s="11" t="str">
        <x:v>goli_first</x:v>
      </x:c>
      <x:c r="D711" s="11" t="str">
        <x:v>2037-12-31</x:v>
      </x:c>
      <x:c r="E711" s="11" t="str">
        <x:v>CNY</x:v>
      </x:c>
      <x:c r="F711" s="11" t="n">
        <x:v>10.729637234770705</x:v>
      </x:c>
      <x:c r="G711" s="26" t="b">
        <x:v>1</x:v>
      </x:c>
      <x:c r="H711" s="16" t="n">
        <x:v>0.30400000000000005</x:v>
      </x:c>
      <x:c r="I711" s="16" t="n">
        <x:v>0.608</x:v>
      </x:c>
      <x:c r="J711" s="16" t="n">
        <x:v>0.78</x:v>
      </x:c>
      <x:c r="K711" s="11" t="n">
        <x:f>CHOOSE('假设'!$B$3,H711,I711,J711)</x:f>
        <x:v>0.608</x:v>
      </x:c>
      <x:c r="L711" s="11" t="n">
        <x:f>K711*'管线假设'!E171*'管线假设'!F171*'管线假设'!G171*IF(E711="USD",'管线假设'!I171,1)-AM711</x:f>
        <x:v>0.08266368</x:v>
      </x:c>
      <x:c r="M711" s="11" t="n">
        <x:f>'管线假设'!H171</x:f>
        <x:v>0.125</x:v>
      </x:c>
      <x:c r="N711" s="11" t="n">
        <x:f>IF(G711,L711*AN711/(1+M711)^F711,0)</x:f>
        <x:v>0.023359671206783315</x:v>
      </x:c>
      <x:c r="AJ711" t="n">
        <x:v>0</x:v>
      </x:c>
      <x:c r="AK711" t="n">
        <x:v>0</x:v>
      </x:c>
      <x:c r="AL711" t="n">
        <x:v>0</x:v>
      </x:c>
      <x:c r="AM711" t="n">
        <x:f>CHOOSE('假设'!$B$3,AJ711,AK711,AL711)</x:f>
        <x:v>0</x:v>
      </x:c>
      <x:c r="AN711" t="n">
        <x:v>1</x:v>
      </x:c>
    </x:row>
    <x:row r="712" ht="23" customHeight="1">
      <x:c r="A712" s="11" t="str">
        <x:v>688192.SH</x:v>
      </x:c>
      <x:c r="B712" s="11" t="str">
        <x:v>半年</x:v>
      </x:c>
      <x:c r="C712" s="11" t="str">
        <x:v>goli_first</x:v>
      </x:c>
      <x:c r="D712" s="11" t="str">
        <x:v>2038-12-31</x:v>
      </x:c>
      <x:c r="E712" s="11" t="str">
        <x:v>CNY</x:v>
      </x:c>
      <x:c r="F712" s="11" t="n">
        <x:v>11.728952772073923</x:v>
      </x:c>
      <x:c r="G712" s="26" t="b">
        <x:v>1</x:v>
      </x:c>
      <x:c r="H712" s="16" t="n">
        <x:v>0.256</x:v>
      </x:c>
      <x:c r="I712" s="16" t="n">
        <x:v>0.494</x:v>
      </x:c>
      <x:c r="J712" s="16" t="n">
        <x:v>0.6000000000000001</x:v>
      </x:c>
      <x:c r="K712" s="11" t="n">
        <x:f>CHOOSE('假设'!$B$3,H712,I712,J712)</x:f>
        <x:v>0.494</x:v>
      </x:c>
      <x:c r="L712" s="11" t="n">
        <x:f>K712*'管线假设'!E171*'管线假设'!F171*'管线假设'!G171*IF(E712="USD",'管线假设'!I171,1)-AM712</x:f>
        <x:v>0.06716424000000001</x:v>
      </x:c>
      <x:c r="M712" s="11" t="n">
        <x:f>'管线假设'!H171</x:f>
        <x:v>0.125</x:v>
      </x:c>
      <x:c r="N712" s="11" t="n">
        <x:f>IF(G712,L712*AN712/(1+M712)^F712,0)</x:f>
        <x:v>0.01687223380185067</x:v>
      </x:c>
      <x:c r="AJ712" t="n">
        <x:v>0</x:v>
      </x:c>
      <x:c r="AK712" t="n">
        <x:v>0</x:v>
      </x:c>
      <x:c r="AL712" t="n">
        <x:v>0</x:v>
      </x:c>
      <x:c r="AM712" t="n">
        <x:f>CHOOSE('假设'!$B$3,AJ712,AK712,AL712)</x:f>
        <x:v>0</x:v>
      </x:c>
      <x:c r="AN712" t="n">
        <x:v>1</x:v>
      </x:c>
    </x:row>
    <x:row r="713" ht="23" customHeight="1">
      <x:c r="A713" s="11" t="str">
        <x:v>688192.SH</x:v>
      </x:c>
      <x:c r="B713" s="11" t="str">
        <x:v>半年</x:v>
      </x:c>
      <x:c r="C713" s="11" t="str">
        <x:v>goli_first</x:v>
      </x:c>
      <x:c r="D713" s="11" t="str">
        <x:v>2039-12-31</x:v>
      </x:c>
      <x:c r="E713" s="11" t="str">
        <x:v>CNY</x:v>
      </x:c>
      <x:c r="F713" s="11" t="n">
        <x:v>12.728268309377139</x:v>
      </x:c>
      <x:c r="G713" s="26" t="b">
        <x:v>1</x:v>
      </x:c>
      <x:c r="H713" s="16" t="n">
        <x:v>0.20800000000000002</x:v>
      </x:c>
      <x:c r="I713" s="16" t="n">
        <x:v>0.38</x:v>
      </x:c>
      <x:c r="J713" s="16" t="n">
        <x:v>0.42000000000000004</x:v>
      </x:c>
      <x:c r="K713" s="11" t="n">
        <x:f>CHOOSE('假设'!$B$3,H713,I713,J713)</x:f>
        <x:v>0.38</x:v>
      </x:c>
      <x:c r="L713" s="11" t="n">
        <x:f>K713*'管线假设'!E171*'管线假设'!F171*'管线假设'!G171*IF(E713="USD",'管线假设'!I171,1)-AM713</x:f>
        <x:v>0.051664800000000004</x:v>
      </x:c>
      <x:c r="M713" s="11" t="n">
        <x:f>'管线假设'!H171</x:f>
        <x:v>0.125</x:v>
      </x:c>
      <x:c r="N713" s="11" t="n">
        <x:f>IF(G713,L713*AN713/(1+M713)^F713,0)</x:f>
        <x:v>0.011537500214711217</x:v>
      </x:c>
      <x:c r="AJ713" t="n">
        <x:v>0</x:v>
      </x:c>
      <x:c r="AK713" t="n">
        <x:v>0</x:v>
      </x:c>
      <x:c r="AL713" t="n">
        <x:v>0</x:v>
      </x:c>
      <x:c r="AM713" t="n">
        <x:f>CHOOSE('假设'!$B$3,AJ713,AK713,AL713)</x:f>
        <x:v>0</x:v>
      </x:c>
      <x:c r="AN713" t="n">
        <x:v>1</x:v>
      </x:c>
    </x:row>
    <x:row r="714" ht="23" customHeight="1">
      <x:c r="A714" s="11" t="str">
        <x:v>688192.SH</x:v>
      </x:c>
      <x:c r="B714" s="11" t="str">
        <x:v>半年</x:v>
      </x:c>
      <x:c r="C714" s="11" t="str">
        <x:v>goli_first</x:v>
      </x:c>
      <x:c r="D714" s="11" t="str">
        <x:v>2040-12-31</x:v>
      </x:c>
      <x:c r="E714" s="11" t="str">
        <x:v>CNY</x:v>
      </x:c>
      <x:c r="F714" s="11" t="n">
        <x:v>13.730321697467488</x:v>
      </x:c>
      <x:c r="G714" s="26" t="b">
        <x:v>1</x:v>
      </x:c>
      <x:c r="H714" s="16" t="n">
        <x:v>0.16000000000000003</x:v>
      </x:c>
      <x:c r="I714" s="16" t="n">
        <x:v>0.266</x:v>
      </x:c>
      <x:c r="J714" s="16" t="n">
        <x:v>0.24000000000000005</x:v>
      </x:c>
      <x:c r="K714" s="11" t="n">
        <x:f>CHOOSE('假设'!$B$3,H714,I714,J714)</x:f>
        <x:v>0.266</x:v>
      </x:c>
      <x:c r="L714" s="11" t="n">
        <x:f>K714*'管线假设'!E171*'管线假设'!F171*'管线假设'!G171*IF(E714="USD",'管线假设'!I171,1)-AM714</x:f>
        <x:v>0.03616536000000001</x:v>
      </x:c>
      <x:c r="M714" s="11" t="n">
        <x:f>'管线假设'!H171</x:f>
        <x:v>0.125</x:v>
      </x:c>
      <x:c r="N714" s="11" t="n">
        <x:f>IF(G714,L714*AN714/(1+M714)^F714,0)</x:f>
        <x:v>0.007177152987374362</x:v>
      </x:c>
      <x:c r="AJ714" t="n">
        <x:v>0</x:v>
      </x:c>
      <x:c r="AK714" t="n">
        <x:v>0</x:v>
      </x:c>
      <x:c r="AL714" t="n">
        <x:v>0</x:v>
      </x:c>
      <x:c r="AM714" t="n">
        <x:f>CHOOSE('假设'!$B$3,AJ714,AK714,AL714)</x:f>
        <x:v>0</x:v>
      </x:c>
      <x:c r="AN714" t="n">
        <x:v>1</x:v>
      </x:c>
    </x:row>
    <x:row r="715" ht="23" customHeight="1">
      <x:c r="A715" s="11" t="str">
        <x:v>688192.SH</x:v>
      </x:c>
      <x:c r="B715" s="11" t="str">
        <x:v>半年</x:v>
      </x:c>
      <x:c r="C715" s="11" t="str">
        <x:v>goli_first</x:v>
      </x:c>
      <x:c r="D715" s="11" t="str">
        <x:v>2041-12-31</x:v>
      </x:c>
      <x:c r="E715" s="11" t="str">
        <x:v>CNY</x:v>
      </x:c>
      <x:c r="F715" s="11" t="n">
        <x:v>14.729637234770705</x:v>
      </x:c>
      <x:c r="G715" s="26" t="b">
        <x:v>1</x:v>
      </x:c>
      <x:c r="H715" s="16" t="n">
        <x:v>0.11200000000000002</x:v>
      </x:c>
      <x:c r="I715" s="16" t="n">
        <x:v>0.15200000000000002</x:v>
      </x:c>
      <x:c r="J715" s="16" t="n">
        <x:v>0.06000000000000005</x:v>
      </x:c>
      <x:c r="K715" s="11" t="n">
        <x:f>CHOOSE('假设'!$B$3,H715,I715,J715)</x:f>
        <x:v>0.15200000000000002</x:v>
      </x:c>
      <x:c r="L715" s="11" t="n">
        <x:f>K715*'管线假设'!E171*'管线假设'!F171*'管线假设'!G171*IF(E715="USD",'管线假设'!I171,1)-AM715</x:f>
        <x:v>0.020665920000000004</x:v>
      </x:c>
      <x:c r="M715" s="11" t="n">
        <x:f>'管线假设'!H171</x:f>
        <x:v>0.125</x:v>
      </x:c>
      <x:c r="N715" s="11" t="n">
        <x:f>IF(G715,L715*AN715/(1+M715)^F715,0)</x:f>
        <x:v>0.00364583193350802</x:v>
      </x:c>
      <x:c r="AJ715" t="n">
        <x:v>0</x:v>
      </x:c>
      <x:c r="AK715" t="n">
        <x:v>0</x:v>
      </x:c>
      <x:c r="AL715" t="n">
        <x:v>0</x:v>
      </x:c>
      <x:c r="AM715" t="n">
        <x:f>CHOOSE('假设'!$B$3,AJ715,AK715,AL715)</x:f>
        <x:v>0</x:v>
      </x:c>
      <x:c r="AN715" t="n">
        <x:v>1</x:v>
      </x:c>
    </x:row>
    <x:row r="716" ht="23" customHeight="1">
      <x:c r="A716" s="11" t="str">
        <x:v>688192.SH</x:v>
      </x:c>
      <x:c r="B716" s="11" t="str">
        <x:v>半年</x:v>
      </x:c>
      <x:c r="C716" s="11" t="str">
        <x:v>goli_first</x:v>
      </x:c>
      <x:c r="D716" s="11" t="str">
        <x:v>2042-12-31</x:v>
      </x:c>
      <x:c r="E716" s="11" t="str">
        <x:v>CNY</x:v>
      </x:c>
      <x:c r="F716" s="11" t="n">
        <x:v>15.728952772073923</x:v>
      </x:c>
      <x:c r="G716" s="26" t="b">
        <x:v>1</x:v>
      </x:c>
      <x:c r="H716" s="16" t="n">
        <x:v>0.06400000000000002</x:v>
      </x:c>
      <x:c r="I716" s="16" t="n">
        <x:v>0.038000000000000034</x:v>
      </x:c>
      <x:c r="J716" s="16" t="n">
        <x:v>0</x:v>
      </x:c>
      <x:c r="K716" s="11" t="n">
        <x:f>CHOOSE('假设'!$B$3,H716,I716,J716)</x:f>
        <x:v>0.038000000000000034</x:v>
      </x:c>
      <x:c r="L716" s="11" t="n">
        <x:f>K716*'管线假设'!E171*'管线假设'!F171*'管线假设'!G171*IF(E716="USD",'管线假设'!I171,1)-AM716</x:f>
        <x:v>0.0051664800000000045</x:v>
      </x:c>
      <x:c r="M716" s="11" t="n">
        <x:f>'管线假设'!H171</x:f>
        <x:v>0.125</x:v>
      </x:c>
      <x:c r="N716" s="11" t="n">
        <x:f>IF(G716,L716*AN716/(1+M716)^F716,0)</x:f>
        <x:v>0.00081025019230629</x:v>
      </x:c>
      <x:c r="AJ716" t="n">
        <x:v>0</x:v>
      </x:c>
      <x:c r="AK716" t="n">
        <x:v>0</x:v>
      </x:c>
      <x:c r="AL716" t="n">
        <x:v>0</x:v>
      </x:c>
      <x:c r="AM716" t="n">
        <x:f>CHOOSE('假设'!$B$3,AJ716,AK716,AL716)</x:f>
        <x:v>0</x:v>
      </x:c>
      <x:c r="AN716" t="n">
        <x:v>1</x:v>
      </x:c>
    </x:row>
    <x:row r="717" ht="23" customHeight="1">
      <x:c r="A717" s="11" t="str">
        <x:v>688192.SH</x:v>
      </x:c>
      <x:c r="B717" s="11" t="str">
        <x:v>半年</x:v>
      </x:c>
      <x:c r="C717" s="11" t="str">
        <x:v>goli_first</x:v>
      </x:c>
      <x:c r="D717" s="11" t="str">
        <x:v>2043-12-31</x:v>
      </x:c>
      <x:c r="E717" s="11" t="str">
        <x:v>CNY</x:v>
      </x:c>
      <x:c r="F717" s="11" t="n">
        <x:v>16.72826830937714</x:v>
      </x:c>
      <x:c r="G717" s="26" t="b">
        <x:v>1</x:v>
      </x:c>
      <x:c r="H717" s="16" t="n">
        <x:v>0.016000000000000014</x:v>
      </x:c>
      <x:c r="I717" s="16" t="n">
        <x:v>0</x:v>
      </x:c>
      <x:c r="J717" s="16" t="n">
        <x:v>0</x:v>
      </x:c>
      <x:c r="K717" s="11" t="n">
        <x:f>CHOOSE('假设'!$B$3,H717,I717,J717)</x:f>
        <x:v>0</x:v>
      </x:c>
      <x:c r="L717" s="11" t="n">
        <x:f>K717*'管线假设'!E171*'管线假设'!F171*'管线假设'!G171*IF(E717="USD",'管线假设'!I171,1)-AM717</x:f>
        <x:v>0</x:v>
      </x:c>
      <x:c r="M717" s="11" t="n">
        <x:f>'管线假设'!H171</x:f>
        <x:v>0.125</x:v>
      </x:c>
      <x:c r="N717" s="11" t="n">
        <x:f>IF(G717,L717*AN717/(1+M717)^F717,0)</x:f>
        <x:v>0</x:v>
      </x:c>
      <x:c r="AJ717" t="n">
        <x:v>0</x:v>
      </x:c>
      <x:c r="AK717" t="n">
        <x:v>0</x:v>
      </x:c>
      <x:c r="AL717" t="n">
        <x:v>0</x:v>
      </x:c>
      <x:c r="AM717" t="n">
        <x:f>CHOOSE('假设'!$B$3,AJ717,AK717,AL717)</x:f>
        <x:v>0</x:v>
      </x:c>
      <x:c r="AN717" t="n">
        <x:v>1</x:v>
      </x:c>
    </x:row>
    <x:row r="718" ht="23" customHeight="1">
      <x:c r="A718" s="11" t="str">
        <x:v>688192.SH</x:v>
      </x:c>
      <x:c r="B718" s="11" t="str">
        <x:v>半年</x:v>
      </x:c>
      <x:c r="C718" s="11" t="str">
        <x:v>goli_first</x:v>
      </x:c>
      <x:c r="D718" s="11" t="str">
        <x:v>2044-12-31</x:v>
      </x:c>
      <x:c r="E718" s="11" t="str">
        <x:v>CNY</x:v>
      </x:c>
      <x:c r="F718" s="11" t="n">
        <x:v>17.730321697467488</x:v>
      </x:c>
      <x:c r="G718" s="26" t="b">
        <x:v>1</x:v>
      </x:c>
      <x:c r="H718" s="16" t="n">
        <x:v>0</x:v>
      </x:c>
      <x:c r="I718" s="16" t="n">
        <x:v>0</x:v>
      </x:c>
      <x:c r="J718" s="16" t="n">
        <x:v>0</x:v>
      </x:c>
      <x:c r="K718" s="11" t="n">
        <x:f>CHOOSE('假设'!$B$3,H718,I718,J718)</x:f>
        <x:v>0</x:v>
      </x:c>
      <x:c r="L718" s="11" t="n">
        <x:f>K718*'管线假设'!E171*'管线假设'!F171*'管线假设'!G171*IF(E718="USD",'管线假设'!I171,1)-AM718</x:f>
        <x:v>0</x:v>
      </x:c>
      <x:c r="M718" s="11" t="n">
        <x:f>'管线假设'!H171</x:f>
        <x:v>0.125</x:v>
      </x:c>
      <x:c r="N718" s="11" t="n">
        <x:f>IF(G718,L718*AN718/(1+M718)^F718,0)</x:f>
        <x:v>0</x:v>
      </x:c>
      <x:c r="AJ718" t="n">
        <x:v>0</x:v>
      </x:c>
      <x:c r="AK718" t="n">
        <x:v>0</x:v>
      </x:c>
      <x:c r="AL718" t="n">
        <x:v>0</x:v>
      </x:c>
      <x:c r="AM718" t="n">
        <x:f>CHOOSE('假设'!$B$3,AJ718,AK718,AL718)</x:f>
        <x:v>0</x:v>
      </x:c>
      <x:c r="AN718" t="n">
        <x:v>1</x:v>
      </x:c>
    </x:row>
    <x:row r="719" ht="23" customHeight="1">
      <x:c r="A719" s="11" t="str">
        <x:v>688192.SH</x:v>
      </x:c>
      <x:c r="B719" s="11" t="str">
        <x:v>半年</x:v>
      </x:c>
      <x:c r="C719" s="11" t="str">
        <x:v>goli_first</x:v>
      </x:c>
      <x:c r="D719" s="11" t="str">
        <x:v>2045-12-31</x:v>
      </x:c>
      <x:c r="E719" s="11" t="str">
        <x:v>CNY</x:v>
      </x:c>
      <x:c r="F719" s="11" t="n">
        <x:v>18.729637234770706</x:v>
      </x:c>
      <x:c r="G719" s="26" t="b">
        <x:v>1</x:v>
      </x:c>
      <x:c r="H719" s="16" t="n">
        <x:v>0</x:v>
      </x:c>
      <x:c r="I719" s="16" t="n">
        <x:v>0</x:v>
      </x:c>
      <x:c r="J719" s="16" t="n">
        <x:v>0</x:v>
      </x:c>
      <x:c r="K719" s="11" t="n">
        <x:f>CHOOSE('假设'!$B$3,H719,I719,J719)</x:f>
        <x:v>0</x:v>
      </x:c>
      <x:c r="L719" s="11" t="n">
        <x:f>K719*'管线假设'!E171*'管线假设'!F171*'管线假设'!G171*IF(E719="USD",'管线假设'!I171,1)-AM719</x:f>
        <x:v>0</x:v>
      </x:c>
      <x:c r="M719" s="11" t="n">
        <x:f>'管线假设'!H171</x:f>
        <x:v>0.125</x:v>
      </x:c>
      <x:c r="N719" s="11" t="n">
        <x:f>IF(G719,L719*AN719/(1+M719)^F719,0)</x:f>
        <x:v>0</x:v>
      </x:c>
      <x:c r="AJ719" t="n">
        <x:v>0</x:v>
      </x:c>
      <x:c r="AK719" t="n">
        <x:v>0</x:v>
      </x:c>
      <x:c r="AL719" t="n">
        <x:v>0</x:v>
      </x:c>
      <x:c r="AM719" t="n">
        <x:f>CHOOSE('假设'!$B$3,AJ719,AK719,AL719)</x:f>
        <x:v>0</x:v>
      </x:c>
      <x:c r="AN719" t="n">
        <x:v>1</x:v>
      </x:c>
    </x:row>
    <x:row r="720" ht="23" customHeight="1">
      <x:c r="A720" s="11" t="str">
        <x:v>688192.SH</x:v>
      </x:c>
      <x:c r="B720" s="11" t="str">
        <x:v>半年</x:v>
      </x:c>
      <x:c r="C720" s="11" t="str">
        <x:v>goli_lung</x:v>
      </x:c>
      <x:c r="D720" s="11" t="str">
        <x:v>2027-12-31</x:v>
      </x:c>
      <x:c r="E720" s="11" t="str">
        <x:v>USD</x:v>
      </x:c>
      <x:c r="F720" s="11" t="n">
        <x:v>0.7282683093771389</x:v>
      </x:c>
      <x:c r="G720" s="26" t="b">
        <x:v>1</x:v>
      </x:c>
      <x:c r="H720" s="16" t="n">
        <x:v>0</x:v>
      </x:c>
      <x:c r="I720" s="16" t="n">
        <x:v>0</x:v>
      </x:c>
      <x:c r="J720" s="16" t="n">
        <x:v>0</x:v>
      </x:c>
      <x:c r="K720" s="11" t="n">
        <x:f>CHOOSE('假设'!$B$3,H720,I720,J720)</x:f>
        <x:v>0</x:v>
      </x:c>
      <x:c r="L720" s="11" t="n">
        <x:f>K720*'管线假设'!E175*'管线假设'!F175*'管线假设'!G175*IF(E720="USD",'管线假设'!I175,1)-AM720</x:f>
        <x:v>0</x:v>
      </x:c>
      <x:c r="M720" s="11" t="n">
        <x:f>'管线假设'!H175</x:f>
        <x:v>0.125</x:v>
      </x:c>
      <x:c r="N720" s="11" t="n">
        <x:f>IF(G720,L720*AN720/(1+M720)^F720,0)</x:f>
        <x:v>0</x:v>
      </x:c>
      <x:c r="AJ720" t="n">
        <x:v>0</x:v>
      </x:c>
      <x:c r="AK720" t="n">
        <x:v>0</x:v>
      </x:c>
      <x:c r="AL720" t="n">
        <x:v>0</x:v>
      </x:c>
      <x:c r="AM720" t="n">
        <x:f>CHOOSE('假设'!$B$3,AJ720,AK720,AL720)</x:f>
        <x:v>0</x:v>
      </x:c>
      <x:c r="AN720" t="n">
        <x:v>1</x:v>
      </x:c>
    </x:row>
    <x:row r="721" ht="23" customHeight="1">
      <x:c r="A721" s="11" t="str">
        <x:v>688192.SH</x:v>
      </x:c>
      <x:c r="B721" s="11" t="str">
        <x:v>半年</x:v>
      </x:c>
      <x:c r="C721" s="11" t="str">
        <x:v>goli_lung</x:v>
      </x:c>
      <x:c r="D721" s="11" t="str">
        <x:v>2028-12-31</x:v>
      </x:c>
      <x:c r="E721" s="11" t="str">
        <x:v>USD</x:v>
      </x:c>
      <x:c r="F721" s="11" t="n">
        <x:v>1.730321697467488</x:v>
      </x:c>
      <x:c r="G721" s="26" t="b">
        <x:v>1</x:v>
      </x:c>
      <x:c r="H721" s="16" t="n">
        <x:v>0</x:v>
      </x:c>
      <x:c r="I721" s="16" t="n">
        <x:v>0</x:v>
      </x:c>
      <x:c r="J721" s="16" t="n">
        <x:v>0</x:v>
      </x:c>
      <x:c r="K721" s="11" t="n">
        <x:f>CHOOSE('假设'!$B$3,H721,I721,J721)</x:f>
        <x:v>0</x:v>
      </x:c>
      <x:c r="L721" s="11" t="n">
        <x:f>K721*'管线假设'!E175*'管线假设'!F175*'管线假设'!G175*IF(E721="USD",'管线假设'!I175,1)-AM721</x:f>
        <x:v>0</x:v>
      </x:c>
      <x:c r="M721" s="11" t="n">
        <x:f>'管线假设'!H175</x:f>
        <x:v>0.125</x:v>
      </x:c>
      <x:c r="N721" s="11" t="n">
        <x:f>IF(G721,L721*AN721/(1+M721)^F721,0)</x:f>
        <x:v>0</x:v>
      </x:c>
      <x:c r="AJ721" t="n">
        <x:v>0</x:v>
      </x:c>
      <x:c r="AK721" t="n">
        <x:v>0</x:v>
      </x:c>
      <x:c r="AL721" t="n">
        <x:v>0</x:v>
      </x:c>
      <x:c r="AM721" t="n">
        <x:f>CHOOSE('假设'!$B$3,AJ721,AK721,AL721)</x:f>
        <x:v>0</x:v>
      </x:c>
      <x:c r="AN721" t="n">
        <x:v>1</x:v>
      </x:c>
    </x:row>
    <x:row r="722" ht="23" customHeight="1">
      <x:c r="A722" s="11" t="str">
        <x:v>688192.SH</x:v>
      </x:c>
      <x:c r="B722" s="11" t="str">
        <x:v>半年</x:v>
      </x:c>
      <x:c r="C722" s="11" t="str">
        <x:v>goli_lung</x:v>
      </x:c>
      <x:c r="D722" s="11" t="str">
        <x:v>2029-12-31</x:v>
      </x:c>
      <x:c r="E722" s="11" t="str">
        <x:v>USD</x:v>
      </x:c>
      <x:c r="F722" s="11" t="n">
        <x:v>2.729637234770705</x:v>
      </x:c>
      <x:c r="G722" s="26" t="b">
        <x:v>1</x:v>
      </x:c>
      <x:c r="H722" s="16" t="n">
        <x:v>0</x:v>
      </x:c>
      <x:c r="I722" s="16" t="n">
        <x:v>0</x:v>
      </x:c>
      <x:c r="J722" s="16" t="n">
        <x:v>0</x:v>
      </x:c>
      <x:c r="K722" s="11" t="n">
        <x:f>CHOOSE('假设'!$B$3,H722,I722,J722)</x:f>
        <x:v>0</x:v>
      </x:c>
      <x:c r="L722" s="11" t="n">
        <x:f>K722*'管线假设'!E175*'管线假设'!F175*'管线假设'!G175*IF(E722="USD",'管线假设'!I175,1)-AM722</x:f>
        <x:v>0</x:v>
      </x:c>
      <x:c r="M722" s="11" t="n">
        <x:f>'管线假设'!H175</x:f>
        <x:v>0.125</x:v>
      </x:c>
      <x:c r="N722" s="11" t="n">
        <x:f>IF(G722,L722*AN722/(1+M722)^F722,0)</x:f>
        <x:v>0</x:v>
      </x:c>
      <x:c r="AJ722" t="n">
        <x:v>0</x:v>
      </x:c>
      <x:c r="AK722" t="n">
        <x:v>0</x:v>
      </x:c>
      <x:c r="AL722" t="n">
        <x:v>0</x:v>
      </x:c>
      <x:c r="AM722" t="n">
        <x:f>CHOOSE('假设'!$B$3,AJ722,AK722,AL722)</x:f>
        <x:v>0</x:v>
      </x:c>
      <x:c r="AN722" t="n">
        <x:v>1</x:v>
      </x:c>
    </x:row>
    <x:row r="723" ht="23" customHeight="1">
      <x:c r="A723" s="11" t="str">
        <x:v>688192.SH</x:v>
      </x:c>
      <x:c r="B723" s="11" t="str">
        <x:v>半年</x:v>
      </x:c>
      <x:c r="C723" s="11" t="str">
        <x:v>goli_lung</x:v>
      </x:c>
      <x:c r="D723" s="11" t="str">
        <x:v>2030-12-31</x:v>
      </x:c>
      <x:c r="E723" s="11" t="str">
        <x:v>USD</x:v>
      </x:c>
      <x:c r="F723" s="11" t="n">
        <x:v>3.728952772073922</x:v>
      </x:c>
      <x:c r="G723" s="26" t="b">
        <x:v>1</x:v>
      </x:c>
      <x:c r="H723" s="16" t="n">
        <x:v>0</x:v>
      </x:c>
      <x:c r="I723" s="16" t="n">
        <x:v>0</x:v>
      </x:c>
      <x:c r="J723" s="16" t="n">
        <x:v>0.5833333333333333</x:v>
      </x:c>
      <x:c r="K723" s="11" t="n">
        <x:f>CHOOSE('假设'!$B$3,H723,I723,J723)</x:f>
        <x:v>0</x:v>
      </x:c>
      <x:c r="L723" s="11" t="n">
        <x:f>K723*'管线假设'!E175*'管线假设'!F175*'管线假设'!G175*IF(E723="USD",'管线假设'!I175,1)-AM723</x:f>
        <x:v>0</x:v>
      </x:c>
      <x:c r="M723" s="11" t="n">
        <x:f>'管线假设'!H175</x:f>
        <x:v>0.125</x:v>
      </x:c>
      <x:c r="N723" s="11" t="n">
        <x:f>IF(G723,L723*AN723/(1+M723)^F723,0)</x:f>
        <x:v>0</x:v>
      </x:c>
      <x:c r="AJ723" t="n">
        <x:v>0</x:v>
      </x:c>
      <x:c r="AK723" t="n">
        <x:v>0</x:v>
      </x:c>
      <x:c r="AL723" t="n">
        <x:v>0</x:v>
      </x:c>
      <x:c r="AM723" t="n">
        <x:f>CHOOSE('假设'!$B$3,AJ723,AK723,AL723)</x:f>
        <x:v>0</x:v>
      </x:c>
      <x:c r="AN723" t="n">
        <x:v>1</x:v>
      </x:c>
    </x:row>
    <x:row r="724" ht="23" customHeight="1">
      <x:c r="A724" s="11" t="str">
        <x:v>688192.SH</x:v>
      </x:c>
      <x:c r="B724" s="11" t="str">
        <x:v>半年</x:v>
      </x:c>
      <x:c r="C724" s="11" t="str">
        <x:v>goli_lung</x:v>
      </x:c>
      <x:c r="D724" s="11" t="str">
        <x:v>2031-12-31</x:v>
      </x:c>
      <x:c r="E724" s="11" t="str">
        <x:v>USD</x:v>
      </x:c>
      <x:c r="F724" s="11" t="n">
        <x:v>4.728268309377139</x:v>
      </x:c>
      <x:c r="G724" s="26" t="b">
        <x:v>1</x:v>
      </x:c>
      <x:c r="H724" s="16" t="n">
        <x:v>0</x:v>
      </x:c>
      <x:c r="I724" s="16" t="n">
        <x:v>0</x:v>
      </x:c>
      <x:c r="J724" s="16" t="n">
        <x:v>1.1666666666666665</x:v>
      </x:c>
      <x:c r="K724" s="11" t="n">
        <x:f>CHOOSE('假设'!$B$3,H724,I724,J724)</x:f>
        <x:v>0</x:v>
      </x:c>
      <x:c r="L724" s="11" t="n">
        <x:f>K724*'管线假设'!E175*'管线假设'!F175*'管线假设'!G175*IF(E724="USD",'管线假设'!I175,1)-AM724</x:f>
        <x:v>0</x:v>
      </x:c>
      <x:c r="M724" s="11" t="n">
        <x:f>'管线假设'!H175</x:f>
        <x:v>0.125</x:v>
      </x:c>
      <x:c r="N724" s="11" t="n">
        <x:f>IF(G724,L724*AN724/(1+M724)^F724,0)</x:f>
        <x:v>0</x:v>
      </x:c>
      <x:c r="AJ724" t="n">
        <x:v>0</x:v>
      </x:c>
      <x:c r="AK724" t="n">
        <x:v>0</x:v>
      </x:c>
      <x:c r="AL724" t="n">
        <x:v>0</x:v>
      </x:c>
      <x:c r="AM724" t="n">
        <x:f>CHOOSE('假设'!$B$3,AJ724,AK724,AL724)</x:f>
        <x:v>0</x:v>
      </x:c>
      <x:c r="AN724" t="n">
        <x:v>1</x:v>
      </x:c>
    </x:row>
    <x:row r="725" ht="23" customHeight="1">
      <x:c r="A725" s="11" t="str">
        <x:v>688192.SH</x:v>
      </x:c>
      <x:c r="B725" s="11" t="str">
        <x:v>半年</x:v>
      </x:c>
      <x:c r="C725" s="11" t="str">
        <x:v>goli_lung</x:v>
      </x:c>
      <x:c r="D725" s="11" t="str">
        <x:v>2032-12-31</x:v>
      </x:c>
      <x:c r="E725" s="11" t="str">
        <x:v>USD</x:v>
      </x:c>
      <x:c r="F725" s="11" t="n">
        <x:v>5.730321697467488</x:v>
      </x:c>
      <x:c r="G725" s="26" t="b">
        <x:v>1</x:v>
      </x:c>
      <x:c r="H725" s="16" t="n">
        <x:v>0</x:v>
      </x:c>
      <x:c r="I725" s="16" t="n">
        <x:v>0.3</x:v>
      </x:c>
      <x:c r="J725" s="16" t="n">
        <x:v>1.75</x:v>
      </x:c>
      <x:c r="K725" s="11" t="n">
        <x:f>CHOOSE('假设'!$B$3,H725,I725,J725)</x:f>
        <x:v>0.3</x:v>
      </x:c>
      <x:c r="L725" s="11" t="n">
        <x:f>K725*'管线假设'!E175*'管线假设'!F175*'管线假设'!G175*IF(E725="USD",'管线假设'!I175,1)-AM725</x:f>
        <x:v>0.13219199999999998</x:v>
      </x:c>
      <x:c r="M725" s="11" t="n">
        <x:f>'管线假设'!H175</x:f>
        <x:v>0.125</x:v>
      </x:c>
      <x:c r="N725" s="11" t="n">
        <x:f>IF(G725,L725*AN725/(1+M725)^F725,0)</x:f>
        <x:v>0.06731080182682937</x:v>
      </x:c>
      <x:c r="AJ725" t="n">
        <x:v>0</x:v>
      </x:c>
      <x:c r="AK725" t="n">
        <x:v>0</x:v>
      </x:c>
      <x:c r="AL725" t="n">
        <x:v>0</x:v>
      </x:c>
      <x:c r="AM725" t="n">
        <x:f>CHOOSE('假设'!$B$3,AJ725,AK725,AL725)</x:f>
        <x:v>0</x:v>
      </x:c>
      <x:c r="AN725" t="n">
        <x:v>1</x:v>
      </x:c>
    </x:row>
    <x:row r="726" ht="23" customHeight="1">
      <x:c r="A726" s="11" t="str">
        <x:v>688192.SH</x:v>
      </x:c>
      <x:c r="B726" s="11" t="str">
        <x:v>半年</x:v>
      </x:c>
      <x:c r="C726" s="11" t="str">
        <x:v>goli_lung</x:v>
      </x:c>
      <x:c r="D726" s="11" t="str">
        <x:v>2033-12-31</x:v>
      </x:c>
      <x:c r="E726" s="11" t="str">
        <x:v>USD</x:v>
      </x:c>
      <x:c r="F726" s="11" t="n">
        <x:v>6.729637234770705</x:v>
      </x:c>
      <x:c r="G726" s="26" t="b">
        <x:v>1</x:v>
      </x:c>
      <x:c r="H726" s="16" t="n">
        <x:v>0</x:v>
      </x:c>
      <x:c r="I726" s="16" t="n">
        <x:v>0.6</x:v>
      </x:c>
      <x:c r="J726" s="16" t="n">
        <x:v>2.333333333333333</x:v>
      </x:c>
      <x:c r="K726" s="11" t="n">
        <x:f>CHOOSE('假设'!$B$3,H726,I726,J726)</x:f>
        <x:v>0.6</x:v>
      </x:c>
      <x:c r="L726" s="11" t="n">
        <x:f>K726*'管线假设'!E175*'管线假设'!F175*'管线假设'!G175*IF(E726="USD",'管线假设'!I175,1)-AM726</x:f>
        <x:v>0.26438399999999995</x:v>
      </x:c>
      <x:c r="M726" s="11" t="n">
        <x:f>'管线假设'!H175</x:f>
        <x:v>0.125</x:v>
      </x:c>
      <x:c r="N726" s="11" t="n">
        <x:f>IF(G726,L726*AN726/(1+M726)^F726,0)</x:f>
        <x:v>0.11967329513623957</x:v>
      </x:c>
      <x:c r="AJ726" t="n">
        <x:v>0</x:v>
      </x:c>
      <x:c r="AK726" t="n">
        <x:v>0</x:v>
      </x:c>
      <x:c r="AL726" t="n">
        <x:v>0</x:v>
      </x:c>
      <x:c r="AM726" t="n">
        <x:f>CHOOSE('假设'!$B$3,AJ726,AK726,AL726)</x:f>
        <x:v>0</x:v>
      </x:c>
      <x:c r="AN726" t="n">
        <x:v>1</x:v>
      </x:c>
    </x:row>
    <x:row r="727" ht="23" customHeight="1">
      <x:c r="A727" s="11" t="str">
        <x:v>688192.SH</x:v>
      </x:c>
      <x:c r="B727" s="11" t="str">
        <x:v>半年</x:v>
      </x:c>
      <x:c r="C727" s="11" t="str">
        <x:v>goli_lung</x:v>
      </x:c>
      <x:c r="D727" s="11" t="str">
        <x:v>2034-12-31</x:v>
      </x:c>
      <x:c r="E727" s="11" t="str">
        <x:v>USD</x:v>
      </x:c>
      <x:c r="F727" s="11" t="n">
        <x:v>7.728952772073922</x:v>
      </x:c>
      <x:c r="G727" s="26" t="b">
        <x:v>1</x:v>
      </x:c>
      <x:c r="H727" s="16" t="n">
        <x:v>0.12</x:v>
      </x:c>
      <x:c r="I727" s="16" t="n">
        <x:v>0.9</x:v>
      </x:c>
      <x:c r="J727" s="16" t="n">
        <x:v>2.916666666666667</x:v>
      </x:c>
      <x:c r="K727" s="11" t="n">
        <x:f>CHOOSE('假设'!$B$3,H727,I727,J727)</x:f>
        <x:v>0.9</x:v>
      </x:c>
      <x:c r="L727" s="11" t="n">
        <x:f>K727*'管线假设'!E175*'管线假设'!F175*'管线假设'!G175*IF(E727="USD",'管线假设'!I175,1)-AM727</x:f>
        <x:v>0.396576</x:v>
      </x:c>
      <x:c r="M727" s="11" t="n">
        <x:f>'管线假设'!H175</x:f>
        <x:v>0.125</x:v>
      </x:c>
      <x:c r="N727" s="11" t="n">
        <x:f>IF(G727,L727*AN727/(1+M727)^F727,0)</x:f>
        <x:v>0.15957725781083731</x:v>
      </x:c>
      <x:c r="AJ727" t="n">
        <x:v>0</x:v>
      </x:c>
      <x:c r="AK727" t="n">
        <x:v>0</x:v>
      </x:c>
      <x:c r="AL727" t="n">
        <x:v>0</x:v>
      </x:c>
      <x:c r="AM727" t="n">
        <x:f>CHOOSE('假设'!$B$3,AJ727,AK727,AL727)</x:f>
        <x:v>0</x:v>
      </x:c>
      <x:c r="AN727" t="n">
        <x:v>1</x:v>
      </x:c>
    </x:row>
    <x:row r="728" ht="23" customHeight="1">
      <x:c r="A728" s="11" t="str">
        <x:v>688192.SH</x:v>
      </x:c>
      <x:c r="B728" s="11" t="str">
        <x:v>半年</x:v>
      </x:c>
      <x:c r="C728" s="11" t="str">
        <x:v>goli_lung</x:v>
      </x:c>
      <x:c r="D728" s="11" t="str">
        <x:v>2035-12-31</x:v>
      </x:c>
      <x:c r="E728" s="11" t="str">
        <x:v>USD</x:v>
      </x:c>
      <x:c r="F728" s="11" t="n">
        <x:v>8.728268309377139</x:v>
      </x:c>
      <x:c r="G728" s="26" t="b">
        <x:v>1</x:v>
      </x:c>
      <x:c r="H728" s="16" t="n">
        <x:v>0.24</x:v>
      </x:c>
      <x:c r="I728" s="16" t="n">
        <x:v>1.2</x:v>
      </x:c>
      <x:c r="J728" s="16" t="n">
        <x:v>3.5</x:v>
      </x:c>
      <x:c r="K728" s="11" t="n">
        <x:f>CHOOSE('假设'!$B$3,H728,I728,J728)</x:f>
        <x:v>1.2</x:v>
      </x:c>
      <x:c r="L728" s="11" t="n">
        <x:f>K728*'管线假设'!E175*'管线假设'!F175*'管线假设'!G175*IF(E728="USD",'管线假设'!I175,1)-AM728</x:f>
        <x:v>0.5287679999999999</x:v>
      </x:c>
      <x:c r="M728" s="11" t="n">
        <x:f>'管线假设'!H175</x:f>
        <x:v>0.125</x:v>
      </x:c>
      <x:c r="N728" s="11" t="n">
        <x:f>IF(G728,L728*AN728/(1+M728)^F728,0)</x:f>
        <x:v>0.18914384965194111</x:v>
      </x:c>
      <x:c r="AJ728" t="n">
        <x:v>0</x:v>
      </x:c>
      <x:c r="AK728" t="n">
        <x:v>0</x:v>
      </x:c>
      <x:c r="AL728" t="n">
        <x:v>0</x:v>
      </x:c>
      <x:c r="AM728" t="n">
        <x:f>CHOOSE('假设'!$B$3,AJ728,AK728,AL728)</x:f>
        <x:v>0</x:v>
      </x:c>
      <x:c r="AN728" t="n">
        <x:v>1</x:v>
      </x:c>
    </x:row>
    <x:row r="729" ht="23" customHeight="1">
      <x:c r="A729" s="11" t="str">
        <x:v>688192.SH</x:v>
      </x:c>
      <x:c r="B729" s="11" t="str">
        <x:v>半年</x:v>
      </x:c>
      <x:c r="C729" s="11" t="str">
        <x:v>goli_lung</x:v>
      </x:c>
      <x:c r="D729" s="11" t="str">
        <x:v>2036-12-31</x:v>
      </x:c>
      <x:c r="E729" s="11" t="str">
        <x:v>USD</x:v>
      </x:c>
      <x:c r="F729" s="11" t="n">
        <x:v>9.730321697467488</x:v>
      </x:c>
      <x:c r="G729" s="26" t="b">
        <x:v>1</x:v>
      </x:c>
      <x:c r="H729" s="16" t="n">
        <x:v>0.36</x:v>
      </x:c>
      <x:c r="I729" s="16" t="n">
        <x:v>1.5</x:v>
      </x:c>
      <x:c r="J729" s="16" t="n">
        <x:v>3.08</x:v>
      </x:c>
      <x:c r="K729" s="11" t="n">
        <x:f>CHOOSE('假设'!$B$3,H729,I729,J729)</x:f>
        <x:v>1.5</x:v>
      </x:c>
      <x:c r="L729" s="11" t="n">
        <x:f>K729*'管线假设'!E175*'管线假设'!F175*'管线假设'!G175*IF(E729="USD",'管线假设'!I175,1)-AM729</x:f>
        <x:v>0.6609599999999999</x:v>
      </x:c>
      <x:c r="M729" s="11" t="n">
        <x:f>'管线假设'!H175</x:f>
        <x:v>0.125</x:v>
      </x:c>
      <x:c r="N729" s="11" t="n">
        <x:f>IF(G729,L729*AN729/(1+M729)^F729,0)</x:f>
        <x:v>0.21010901103695556</x:v>
      </x:c>
      <x:c r="AJ729" t="n">
        <x:v>0</x:v>
      </x:c>
      <x:c r="AK729" t="n">
        <x:v>0</x:v>
      </x:c>
      <x:c r="AL729" t="n">
        <x:v>0</x:v>
      </x:c>
      <x:c r="AM729" t="n">
        <x:f>CHOOSE('假设'!$B$3,AJ729,AK729,AL729)</x:f>
        <x:v>0</x:v>
      </x:c>
      <x:c r="AN729" t="n">
        <x:v>1</x:v>
      </x:c>
    </x:row>
    <x:row r="730" ht="23" customHeight="1">
      <x:c r="A730" s="11" t="str">
        <x:v>688192.SH</x:v>
      </x:c>
      <x:c r="B730" s="11" t="str">
        <x:v>半年</x:v>
      </x:c>
      <x:c r="C730" s="11" t="str">
        <x:v>goli_lung</x:v>
      </x:c>
      <x:c r="D730" s="11" t="str">
        <x:v>2037-12-31</x:v>
      </x:c>
      <x:c r="E730" s="11" t="str">
        <x:v>USD</x:v>
      </x:c>
      <x:c r="F730" s="11" t="n">
        <x:v>10.729637234770705</x:v>
      </x:c>
      <x:c r="G730" s="26" t="b">
        <x:v>1</x:v>
      </x:c>
      <x:c r="H730" s="16" t="n">
        <x:v>0.48</x:v>
      </x:c>
      <x:c r="I730" s="16" t="n">
        <x:v>1.8</x:v>
      </x:c>
      <x:c r="J730" s="16" t="n">
        <x:v>2.66</x:v>
      </x:c>
      <x:c r="K730" s="11" t="n">
        <x:f>CHOOSE('假设'!$B$3,H730,I730,J730)</x:f>
        <x:v>1.8</x:v>
      </x:c>
      <x:c r="L730" s="11" t="n">
        <x:f>K730*'管线假设'!E175*'管线假设'!F175*'管线假设'!G175*IF(E730="USD",'管线假设'!I175,1)-AM730</x:f>
        <x:v>0.793152</x:v>
      </x:c>
      <x:c r="M730" s="11" t="n">
        <x:f>'管线假设'!H175</x:f>
        <x:v>0.125</x:v>
      </x:c>
      <x:c r="N730" s="11" t="n">
        <x:f>IF(G730,L730*AN730/(1+M730)^F730,0)</x:f>
        <x:v>0.22413434699498738</x:v>
      </x:c>
      <x:c r="AJ730" t="n">
        <x:v>0</x:v>
      </x:c>
      <x:c r="AK730" t="n">
        <x:v>0</x:v>
      </x:c>
      <x:c r="AL730" t="n">
        <x:v>0</x:v>
      </x:c>
      <x:c r="AM730" t="n">
        <x:f>CHOOSE('假设'!$B$3,AJ730,AK730,AL730)</x:f>
        <x:v>0</x:v>
      </x:c>
      <x:c r="AN730" t="n">
        <x:v>1</x:v>
      </x:c>
    </x:row>
    <x:row r="731" ht="23" customHeight="1">
      <x:c r="A731" s="11" t="str">
        <x:v>688192.SH</x:v>
      </x:c>
      <x:c r="B731" s="11" t="str">
        <x:v>半年</x:v>
      </x:c>
      <x:c r="C731" s="11" t="str">
        <x:v>goli_lung</x:v>
      </x:c>
      <x:c r="D731" s="11" t="str">
        <x:v>2038-12-31</x:v>
      </x:c>
      <x:c r="E731" s="11" t="str">
        <x:v>USD</x:v>
      </x:c>
      <x:c r="F731" s="11" t="n">
        <x:v>11.728952772073923</x:v>
      </x:c>
      <x:c r="G731" s="26" t="b">
        <x:v>1</x:v>
      </x:c>
      <x:c r="H731" s="16" t="n">
        <x:v>0.6</x:v>
      </x:c>
      <x:c r="I731" s="16" t="n">
        <x:v>1.584</x:v>
      </x:c>
      <x:c r="J731" s="16" t="n">
        <x:v>2.24</x:v>
      </x:c>
      <x:c r="K731" s="11" t="n">
        <x:f>CHOOSE('假设'!$B$3,H731,I731,J731)</x:f>
        <x:v>1.584</x:v>
      </x:c>
      <x:c r="L731" s="11" t="n">
        <x:f>K731*'管线假设'!E175*'管线假设'!F175*'管线假设'!G175*IF(E731="USD",'管线假设'!I175,1)-AM731</x:f>
        <x:v>0.6979737599999998</x:v>
      </x:c>
      <x:c r="M731" s="11" t="n">
        <x:f>'管线假设'!H175</x:f>
        <x:v>0.125</x:v>
      </x:c>
      <x:c r="N731" s="11" t="n">
        <x:f>IF(G731,L731*AN731/(1+M731)^F731,0)</x:f>
        <x:v>0.17533700174790634</x:v>
      </x:c>
      <x:c r="AJ731" t="n">
        <x:v>0</x:v>
      </x:c>
      <x:c r="AK731" t="n">
        <x:v>0</x:v>
      </x:c>
      <x:c r="AL731" t="n">
        <x:v>0</x:v>
      </x:c>
      <x:c r="AM731" t="n">
        <x:f>CHOOSE('假设'!$B$3,AJ731,AK731,AL731)</x:f>
        <x:v>0</x:v>
      </x:c>
      <x:c r="AN731" t="n">
        <x:v>1</x:v>
      </x:c>
    </x:row>
    <x:row r="732" ht="23" customHeight="1">
      <x:c r="A732" s="11" t="str">
        <x:v>688192.SH</x:v>
      </x:c>
      <x:c r="B732" s="11" t="str">
        <x:v>半年</x:v>
      </x:c>
      <x:c r="C732" s="11" t="str">
        <x:v>goli_lung</x:v>
      </x:c>
      <x:c r="D732" s="11" t="str">
        <x:v>2039-12-31</x:v>
      </x:c>
      <x:c r="E732" s="11" t="str">
        <x:v>USD</x:v>
      </x:c>
      <x:c r="F732" s="11" t="n">
        <x:v>12.728268309377139</x:v>
      </x:c>
      <x:c r="G732" s="26" t="b">
        <x:v>1</x:v>
      </x:c>
      <x:c r="H732" s="16" t="n">
        <x:v>0.528</x:v>
      </x:c>
      <x:c r="I732" s="16" t="n">
        <x:v>1.368</x:v>
      </x:c>
      <x:c r="J732" s="16" t="n">
        <x:v>1.82</x:v>
      </x:c>
      <x:c r="K732" s="11" t="n">
        <x:f>CHOOSE('假设'!$B$3,H732,I732,J732)</x:f>
        <x:v>1.368</x:v>
      </x:c>
      <x:c r="L732" s="11" t="n">
        <x:f>K732*'管线假设'!E175*'管线假设'!F175*'管线假设'!G175*IF(E732="USD",'管线假设'!I175,1)-AM732</x:f>
        <x:v>0.6027955199999999</x:v>
      </x:c>
      <x:c r="M732" s="11" t="n">
        <x:f>'管线假设'!H175</x:f>
        <x:v>0.125</x:v>
      </x:c>
      <x:c r="N732" s="11" t="n">
        <x:f>IF(G732,L732*AN732/(1+M732)^F732,0)</x:f>
        <x:v>0.13461299456161563</x:v>
      </x:c>
      <x:c r="AJ732" t="n">
        <x:v>0</x:v>
      </x:c>
      <x:c r="AK732" t="n">
        <x:v>0</x:v>
      </x:c>
      <x:c r="AL732" t="n">
        <x:v>0</x:v>
      </x:c>
      <x:c r="AM732" t="n">
        <x:f>CHOOSE('假设'!$B$3,AJ732,AK732,AL732)</x:f>
        <x:v>0</x:v>
      </x:c>
      <x:c r="AN732" t="n">
        <x:v>1</x:v>
      </x:c>
    </x:row>
    <x:row r="733" ht="23" customHeight="1">
      <x:c r="A733" s="11" t="str">
        <x:v>688192.SH</x:v>
      </x:c>
      <x:c r="B733" s="11" t="str">
        <x:v>半年</x:v>
      </x:c>
      <x:c r="C733" s="11" t="str">
        <x:v>goli_lung</x:v>
      </x:c>
      <x:c r="D733" s="11" t="str">
        <x:v>2040-12-31</x:v>
      </x:c>
      <x:c r="E733" s="11" t="str">
        <x:v>USD</x:v>
      </x:c>
      <x:c r="F733" s="11" t="n">
        <x:v>13.730321697467488</x:v>
      </x:c>
      <x:c r="G733" s="26" t="b">
        <x:v>1</x:v>
      </x:c>
      <x:c r="H733" s="16" t="n">
        <x:v>0.45599999999999996</x:v>
      </x:c>
      <x:c r="I733" s="16" t="n">
        <x:v>1.1520000000000001</x:v>
      </x:c>
      <x:c r="J733" s="16" t="n">
        <x:v>1.4000000000000001</x:v>
      </x:c>
      <x:c r="K733" s="11" t="n">
        <x:f>CHOOSE('假设'!$B$3,H733,I733,J733)</x:f>
        <x:v>1.1520000000000001</x:v>
      </x:c>
      <x:c r="L733" s="11" t="n">
        <x:f>K733*'管线假设'!E175*'管线假设'!F175*'管线假设'!G175*IF(E733="USD",'管线假设'!I175,1)-AM733</x:f>
        <x:v>0.50761728</x:v>
      </x:c>
      <x:c r="M733" s="11" t="n">
        <x:f>'管线假设'!H175</x:f>
        <x:v>0.125</x:v>
      </x:c>
      <x:c r="N733" s="11" t="n">
        <x:f>IF(G733,L733*AN733/(1+M733)^F733,0)</x:f>
        <x:v>0.1007385762949642</x:v>
      </x:c>
      <x:c r="AJ733" t="n">
        <x:v>0</x:v>
      </x:c>
      <x:c r="AK733" t="n">
        <x:v>0</x:v>
      </x:c>
      <x:c r="AL733" t="n">
        <x:v>0</x:v>
      </x:c>
      <x:c r="AM733" t="n">
        <x:f>CHOOSE('假设'!$B$3,AJ733,AK733,AL733)</x:f>
        <x:v>0</x:v>
      </x:c>
      <x:c r="AN733" t="n">
        <x:v>1</x:v>
      </x:c>
    </x:row>
    <x:row r="734" ht="23" customHeight="1">
      <x:c r="A734" s="11" t="str">
        <x:v>688192.SH</x:v>
      </x:c>
      <x:c r="B734" s="11" t="str">
        <x:v>半年</x:v>
      </x:c>
      <x:c r="C734" s="11" t="str">
        <x:v>goli_lung</x:v>
      </x:c>
      <x:c r="D734" s="11" t="str">
        <x:v>2041-12-31</x:v>
      </x:c>
      <x:c r="E734" s="11" t="str">
        <x:v>USD</x:v>
      </x:c>
      <x:c r="F734" s="11" t="n">
        <x:v>14.729637234770705</x:v>
      </x:c>
      <x:c r="G734" s="26" t="b">
        <x:v>1</x:v>
      </x:c>
      <x:c r="H734" s="16" t="n">
        <x:v>0.384</x:v>
      </x:c>
      <x:c r="I734" s="16" t="n">
        <x:v>0.936</x:v>
      </x:c>
      <x:c r="J734" s="16" t="n">
        <x:v>0.9800000000000001</x:v>
      </x:c>
      <x:c r="K734" s="11" t="n">
        <x:f>CHOOSE('假设'!$B$3,H734,I734,J734)</x:f>
        <x:v>0.936</x:v>
      </x:c>
      <x:c r="L734" s="11" t="n">
        <x:f>K734*'管线假设'!E175*'管线假设'!F175*'管线假设'!G175*IF(E734="USD",'管线假设'!I175,1)-AM734</x:f>
        <x:v>0.4124390399999999</x:v>
      </x:c>
      <x:c r="M734" s="11" t="n">
        <x:f>'管线假设'!H175</x:f>
        <x:v>0.125</x:v>
      </x:c>
      <x:c r="N734" s="11" t="n">
        <x:f>IF(G734,L734*AN734/(1+M734)^F734,0)</x:f>
        <x:v>0.07276150409260226</x:v>
      </x:c>
      <x:c r="AJ734" t="n">
        <x:v>0</x:v>
      </x:c>
      <x:c r="AK734" t="n">
        <x:v>0</x:v>
      </x:c>
      <x:c r="AL734" t="n">
        <x:v>0</x:v>
      </x:c>
      <x:c r="AM734" t="n">
        <x:f>CHOOSE('假设'!$B$3,AJ734,AK734,AL734)</x:f>
        <x:v>0</x:v>
      </x:c>
      <x:c r="AN734" t="n">
        <x:v>1</x:v>
      </x:c>
    </x:row>
    <x:row r="735" ht="23" customHeight="1">
      <x:c r="A735" s="11" t="str">
        <x:v>688192.SH</x:v>
      </x:c>
      <x:c r="B735" s="11" t="str">
        <x:v>半年</x:v>
      </x:c>
      <x:c r="C735" s="11" t="str">
        <x:v>goli_lung</x:v>
      </x:c>
      <x:c r="D735" s="11" t="str">
        <x:v>2042-12-31</x:v>
      </x:c>
      <x:c r="E735" s="11" t="str">
        <x:v>USD</x:v>
      </x:c>
      <x:c r="F735" s="11" t="n">
        <x:v>15.728952772073923</x:v>
      </x:c>
      <x:c r="G735" s="26" t="b">
        <x:v>1</x:v>
      </x:c>
      <x:c r="H735" s="16" t="n">
        <x:v>0.312</x:v>
      </x:c>
      <x:c r="I735" s="16" t="n">
        <x:v>0.7200000000000001</x:v>
      </x:c>
      <x:c r="J735" s="16" t="n">
        <x:v>0.56</x:v>
      </x:c>
      <x:c r="K735" s="11" t="n">
        <x:f>CHOOSE('假设'!$B$3,H735,I735,J735)</x:f>
        <x:v>0.7200000000000001</x:v>
      </x:c>
      <x:c r="L735" s="11" t="n">
        <x:f>K735*'管线假设'!E175*'管线假设'!F175*'管线假设'!G175*IF(E735="USD",'管线假设'!I175,1)-AM735</x:f>
        <x:v>0.31726079999999995</x:v>
      </x:c>
      <x:c r="M735" s="11" t="n">
        <x:f>'管线假设'!H175</x:f>
        <x:v>0.125</x:v>
      </x:c>
      <x:c r="N735" s="11" t="n">
        <x:f>IF(G735,L735*AN735/(1+M735)^F735,0)</x:f>
        <x:v>0.04975546681904259</x:v>
      </x:c>
      <x:c r="AJ735" t="n">
        <x:v>0</x:v>
      </x:c>
      <x:c r="AK735" t="n">
        <x:v>0</x:v>
      </x:c>
      <x:c r="AL735" t="n">
        <x:v>0</x:v>
      </x:c>
      <x:c r="AM735" t="n">
        <x:f>CHOOSE('假设'!$B$3,AJ735,AK735,AL735)</x:f>
        <x:v>0</x:v>
      </x:c>
      <x:c r="AN735" t="n">
        <x:v>1</x:v>
      </x:c>
    </x:row>
    <x:row r="736" ht="23" customHeight="1">
      <x:c r="A736" s="11" t="str">
        <x:v>688192.SH</x:v>
      </x:c>
      <x:c r="B736" s="11" t="str">
        <x:v>半年</x:v>
      </x:c>
      <x:c r="C736" s="11" t="str">
        <x:v>goli_lung</x:v>
      </x:c>
      <x:c r="D736" s="11" t="str">
        <x:v>2043-12-31</x:v>
      </x:c>
      <x:c r="E736" s="11" t="str">
        <x:v>USD</x:v>
      </x:c>
      <x:c r="F736" s="11" t="n">
        <x:v>16.72826830937714</x:v>
      </x:c>
      <x:c r="G736" s="26" t="b">
        <x:v>1</x:v>
      </x:c>
      <x:c r="H736" s="16" t="n">
        <x:v>0.24</x:v>
      </x:c>
      <x:c r="I736" s="16" t="n">
        <x:v>0.5040000000000001</x:v>
      </x:c>
      <x:c r="J736" s="16" t="n">
        <x:v>0.14000000000000012</x:v>
      </x:c>
      <x:c r="K736" s="11" t="n">
        <x:f>CHOOSE('假设'!$B$3,H736,I736,J736)</x:f>
        <x:v>0.5040000000000001</x:v>
      </x:c>
      <x:c r="L736" s="11" t="n">
        <x:f>K736*'管线假设'!E175*'管线假设'!F175*'管线假设'!G175*IF(E736="USD",'管线假设'!I175,1)-AM736</x:f>
        <x:v>0.22208256000000004</x:v>
      </x:c>
      <x:c r="M736" s="11" t="n">
        <x:f>'管线假设'!H175</x:f>
        <x:v>0.125</x:v>
      </x:c>
      <x:c r="N736" s="11" t="n">
        <x:f>IF(G736,L736*AN736/(1+M736)^F736,0)</x:f>
        <x:v>0.030961453084579885</x:v>
      </x:c>
      <x:c r="AJ736" t="n">
        <x:v>0</x:v>
      </x:c>
      <x:c r="AK736" t="n">
        <x:v>0</x:v>
      </x:c>
      <x:c r="AL736" t="n">
        <x:v>0</x:v>
      </x:c>
      <x:c r="AM736" t="n">
        <x:f>CHOOSE('假设'!$B$3,AJ736,AK736,AL736)</x:f>
        <x:v>0</x:v>
      </x:c>
      <x:c r="AN736" t="n">
        <x:v>1</x:v>
      </x:c>
    </x:row>
    <x:row r="737" ht="23" customHeight="1">
      <x:c r="A737" s="11" t="str">
        <x:v>688192.SH</x:v>
      </x:c>
      <x:c r="B737" s="11" t="str">
        <x:v>半年</x:v>
      </x:c>
      <x:c r="C737" s="11" t="str">
        <x:v>goli_lung</x:v>
      </x:c>
      <x:c r="D737" s="11" t="str">
        <x:v>2044-12-31</x:v>
      </x:c>
      <x:c r="E737" s="11" t="str">
        <x:v>USD</x:v>
      </x:c>
      <x:c r="F737" s="11" t="n">
        <x:v>17.730321697467488</x:v>
      </x:c>
      <x:c r="G737" s="26" t="b">
        <x:v>1</x:v>
      </x:c>
      <x:c r="H737" s="16" t="n">
        <x:v>0.168</x:v>
      </x:c>
      <x:c r="I737" s="16" t="n">
        <x:v>0.2880000000000001</x:v>
      </x:c>
      <x:c r="J737" s="16" t="n">
        <x:v>0</x:v>
      </x:c>
      <x:c r="K737" s="11" t="n">
        <x:f>CHOOSE('假设'!$B$3,H737,I737,J737)</x:f>
        <x:v>0.2880000000000001</x:v>
      </x:c>
      <x:c r="L737" s="11" t="n">
        <x:f>K737*'管线假设'!E175*'管线假设'!F175*'管线假设'!G175*IF(E737="USD",'管线假设'!I175,1)-AM737</x:f>
        <x:v>0.12690432000000001</x:v>
      </x:c>
      <x:c r="M737" s="11" t="n">
        <x:f>'管线假设'!H175</x:f>
        <x:v>0.125</x:v>
      </x:c>
      <x:c r="N737" s="11" t="n">
        <x:f>IF(G737,L737*AN737/(1+M737)^F737,0)</x:f>
        <x:v>0.015722649310477576</x:v>
      </x:c>
      <x:c r="AJ737" t="n">
        <x:v>0</x:v>
      </x:c>
      <x:c r="AK737" t="n">
        <x:v>0</x:v>
      </x:c>
      <x:c r="AL737" t="n">
        <x:v>0</x:v>
      </x:c>
      <x:c r="AM737" t="n">
        <x:f>CHOOSE('假设'!$B$3,AJ737,AK737,AL737)</x:f>
        <x:v>0</x:v>
      </x:c>
      <x:c r="AN737" t="n">
        <x:v>1</x:v>
      </x:c>
    </x:row>
    <x:row r="738" ht="23" customHeight="1">
      <x:c r="A738" s="11" t="str">
        <x:v>688192.SH</x:v>
      </x:c>
      <x:c r="B738" s="11" t="str">
        <x:v>半年</x:v>
      </x:c>
      <x:c r="C738" s="11" t="str">
        <x:v>goli_lung</x:v>
      </x:c>
      <x:c r="D738" s="11" t="str">
        <x:v>2045-12-31</x:v>
      </x:c>
      <x:c r="E738" s="11" t="str">
        <x:v>USD</x:v>
      </x:c>
      <x:c r="F738" s="11" t="n">
        <x:v>18.729637234770706</x:v>
      </x:c>
      <x:c r="G738" s="26" t="b">
        <x:v>1</x:v>
      </x:c>
      <x:c r="H738" s="16" t="n">
        <x:v>0.09600000000000002</x:v>
      </x:c>
      <x:c r="I738" s="16" t="n">
        <x:v>0.07200000000000006</x:v>
      </x:c>
      <x:c r="J738" s="16" t="n">
        <x:v>0</x:v>
      </x:c>
      <x:c r="K738" s="11" t="n">
        <x:f>CHOOSE('假设'!$B$3,H738,I738,J738)</x:f>
        <x:v>0.07200000000000006</x:v>
      </x:c>
      <x:c r="L738" s="11" t="n">
        <x:f>K738*'管线假设'!E175*'管线假设'!F175*'管线假设'!G175*IF(E738="USD",'管线假设'!I175,1)-AM738</x:f>
        <x:v>0.031726080000000025</x:v>
      </x:c>
      <x:c r="M738" s="11" t="n">
        <x:f>'管线假设'!H175</x:f>
        <x:v>0.125</x:v>
      </x:c>
      <x:c r="N738" s="11" t="n">
        <x:f>IF(G738,L738*AN738/(1+M738)^F738,0)</x:f>
        <x:v>0.0034942037536878656</x:v>
      </x:c>
      <x:c r="AJ738" t="n">
        <x:v>0</x:v>
      </x:c>
      <x:c r="AK738" t="n">
        <x:v>0</x:v>
      </x:c>
      <x:c r="AL738" t="n">
        <x:v>0</x:v>
      </x:c>
      <x:c r="AM738" t="n">
        <x:f>CHOOSE('假设'!$B$3,AJ738,AK738,AL738)</x:f>
        <x:v>0</x:v>
      </x:c>
      <x:c r="AN738" t="n">
        <x:v>1</x:v>
      </x:c>
    </x:row>
    <x:row r="739" ht="23" customHeight="1">
      <x:c r="A739" s="11" t="str">
        <x:v>688192.SH</x:v>
      </x:c>
      <x:c r="B739" s="11" t="str">
        <x:v>半年</x:v>
      </x:c>
      <x:c r="C739" s="11" t="str">
        <x:v>bire_cll</x:v>
      </x:c>
      <x:c r="D739" s="11" t="str">
        <x:v>2027-12-31</x:v>
      </x:c>
      <x:c r="E739" s="11" t="str">
        <x:v>USD</x:v>
      </x:c>
      <x:c r="F739" s="11" t="n">
        <x:v>0.7282683093771389</x:v>
      </x:c>
      <x:c r="G739" s="26" t="b">
        <x:v>1</x:v>
      </x:c>
      <x:c r="H739" s="16" t="n">
        <x:v>0</x:v>
      </x:c>
      <x:c r="I739" s="16" t="n">
        <x:v>0</x:v>
      </x:c>
      <x:c r="J739" s="16" t="n">
        <x:v>0</x:v>
      </x:c>
      <x:c r="K739" s="11" t="n">
        <x:f>CHOOSE('假设'!$B$3,H739,I739,J739)</x:f>
        <x:v>0</x:v>
      </x:c>
      <x:c r="L739" s="11" t="n">
        <x:f>K739*'管线假设'!E179*'管线假设'!F179*'管线假设'!G179*IF(E739="USD",'管线假设'!I179,1)-AM739</x:f>
        <x:v>0</x:v>
      </x:c>
      <x:c r="M739" s="11" t="n">
        <x:f>'管线假设'!H179</x:f>
        <x:v>0.125</x:v>
      </x:c>
      <x:c r="N739" s="11" t="n">
        <x:f>IF(G739,L739*AN739/(1+M739)^F739,0)</x:f>
        <x:v>0</x:v>
      </x:c>
      <x:c r="AJ739" t="n">
        <x:v>0</x:v>
      </x:c>
      <x:c r="AK739" t="n">
        <x:v>0</x:v>
      </x:c>
      <x:c r="AL739" t="n">
        <x:v>0</x:v>
      </x:c>
      <x:c r="AM739" t="n">
        <x:f>CHOOSE('假设'!$B$3,AJ739,AK739,AL739)</x:f>
        <x:v>0</x:v>
      </x:c>
      <x:c r="AN739" t="n">
        <x:v>1</x:v>
      </x:c>
    </x:row>
    <x:row r="740" ht="23" customHeight="1">
      <x:c r="A740" s="11" t="str">
        <x:v>688192.SH</x:v>
      </x:c>
      <x:c r="B740" s="11" t="str">
        <x:v>半年</x:v>
      </x:c>
      <x:c r="C740" s="11" t="str">
        <x:v>bire_cll</x:v>
      </x:c>
      <x:c r="D740" s="11" t="str">
        <x:v>2028-12-31</x:v>
      </x:c>
      <x:c r="E740" s="11" t="str">
        <x:v>USD</x:v>
      </x:c>
      <x:c r="F740" s="11" t="n">
        <x:v>1.730321697467488</x:v>
      </x:c>
      <x:c r="G740" s="26" t="b">
        <x:v>1</x:v>
      </x:c>
      <x:c r="H740" s="16" t="n">
        <x:v>0</x:v>
      </x:c>
      <x:c r="I740" s="16" t="n">
        <x:v>0</x:v>
      </x:c>
      <x:c r="J740" s="16" t="n">
        <x:v>0</x:v>
      </x:c>
      <x:c r="K740" s="11" t="n">
        <x:f>CHOOSE('假设'!$B$3,H740,I740,J740)</x:f>
        <x:v>0</x:v>
      </x:c>
      <x:c r="L740" s="11" t="n">
        <x:f>K740*'管线假设'!E179*'管线假设'!F179*'管线假设'!G179*IF(E740="USD",'管线假设'!I179,1)-AM740</x:f>
        <x:v>0</x:v>
      </x:c>
      <x:c r="M740" s="11" t="n">
        <x:f>'管线假设'!H179</x:f>
        <x:v>0.125</x:v>
      </x:c>
      <x:c r="N740" s="11" t="n">
        <x:f>IF(G740,L740*AN740/(1+M740)^F740,0)</x:f>
        <x:v>0</x:v>
      </x:c>
      <x:c r="AJ740" t="n">
        <x:v>0</x:v>
      </x:c>
      <x:c r="AK740" t="n">
        <x:v>0</x:v>
      </x:c>
      <x:c r="AL740" t="n">
        <x:v>0</x:v>
      </x:c>
      <x:c r="AM740" t="n">
        <x:f>CHOOSE('假设'!$B$3,AJ740,AK740,AL740)</x:f>
        <x:v>0</x:v>
      </x:c>
      <x:c r="AN740" t="n">
        <x:v>1</x:v>
      </x:c>
    </x:row>
    <x:row r="741" ht="23" customHeight="1">
      <x:c r="A741" s="11" t="str">
        <x:v>688192.SH</x:v>
      </x:c>
      <x:c r="B741" s="11" t="str">
        <x:v>半年</x:v>
      </x:c>
      <x:c r="C741" s="11" t="str">
        <x:v>bire_cll</x:v>
      </x:c>
      <x:c r="D741" s="11" t="str">
        <x:v>2029-12-31</x:v>
      </x:c>
      <x:c r="E741" s="11" t="str">
        <x:v>USD</x:v>
      </x:c>
      <x:c r="F741" s="11" t="n">
        <x:v>2.729637234770705</x:v>
      </x:c>
      <x:c r="G741" s="26" t="b">
        <x:v>1</x:v>
      </x:c>
      <x:c r="H741" s="16" t="n">
        <x:v>0</x:v>
      </x:c>
      <x:c r="I741" s="16" t="n">
        <x:v>0</x:v>
      </x:c>
      <x:c r="J741" s="16" t="n">
        <x:v>0.5333333333333333</x:v>
      </x:c>
      <x:c r="K741" s="11" t="n">
        <x:f>CHOOSE('假设'!$B$3,H741,I741,J741)</x:f>
        <x:v>0</x:v>
      </x:c>
      <x:c r="L741" s="11" t="n">
        <x:f>K741*'管线假设'!E179*'管线假设'!F179*'管线假设'!G179*IF(E741="USD",'管线假设'!I179,1)-AM741</x:f>
        <x:v>0</x:v>
      </x:c>
      <x:c r="M741" s="11" t="n">
        <x:f>'管线假设'!H179</x:f>
        <x:v>0.125</x:v>
      </x:c>
      <x:c r="N741" s="11" t="n">
        <x:f>IF(G741,L741*AN741/(1+M741)^F741,0)</x:f>
        <x:v>0</x:v>
      </x:c>
      <x:c r="AJ741" t="n">
        <x:v>0</x:v>
      </x:c>
      <x:c r="AK741" t="n">
        <x:v>0</x:v>
      </x:c>
      <x:c r="AL741" t="n">
        <x:v>0</x:v>
      </x:c>
      <x:c r="AM741" t="n">
        <x:f>CHOOSE('假设'!$B$3,AJ741,AK741,AL741)</x:f>
        <x:v>0</x:v>
      </x:c>
      <x:c r="AN741" t="n">
        <x:v>1</x:v>
      </x:c>
    </x:row>
    <x:row r="742" ht="23" customHeight="1">
      <x:c r="A742" s="11" t="str">
        <x:v>688192.SH</x:v>
      </x:c>
      <x:c r="B742" s="11" t="str">
        <x:v>半年</x:v>
      </x:c>
      <x:c r="C742" s="11" t="str">
        <x:v>bire_cll</x:v>
      </x:c>
      <x:c r="D742" s="11" t="str">
        <x:v>2030-12-31</x:v>
      </x:c>
      <x:c r="E742" s="11" t="str">
        <x:v>USD</x:v>
      </x:c>
      <x:c r="F742" s="11" t="n">
        <x:v>3.728952772073922</x:v>
      </x:c>
      <x:c r="G742" s="26" t="b">
        <x:v>1</x:v>
      </x:c>
      <x:c r="H742" s="16" t="n">
        <x:v>0</x:v>
      </x:c>
      <x:c r="I742" s="16" t="n">
        <x:v>0.3</x:v>
      </x:c>
      <x:c r="J742" s="16" t="n">
        <x:v>1.0666666666666667</x:v>
      </x:c>
      <x:c r="K742" s="11" t="n">
        <x:f>CHOOSE('假设'!$B$3,H742,I742,J742)</x:f>
        <x:v>0.3</x:v>
      </x:c>
      <x:c r="L742" s="11" t="n">
        <x:f>K742*'管线假设'!E179*'管线假设'!F179*'管线假设'!G179*IF(E742="USD",'管线假设'!I179,1)-AM742</x:f>
        <x:v>0.32013311999999994</x:v>
      </x:c>
      <x:c r="M742" s="11" t="n">
        <x:f>'管线假设'!H179</x:f>
        <x:v>0.125</x:v>
      </x:c>
      <x:c r="N742" s="11" t="n">
        <x:f>IF(G742,L742*AN742/(1+M742)^F742,0)</x:f>
        <x:v>0.2063408745333725</x:v>
      </x:c>
      <x:c r="AJ742" t="n">
        <x:v>0</x:v>
      </x:c>
      <x:c r="AK742" t="n">
        <x:v>0</x:v>
      </x:c>
      <x:c r="AL742" t="n">
        <x:v>0</x:v>
      </x:c>
      <x:c r="AM742" t="n">
        <x:f>CHOOSE('假设'!$B$3,AJ742,AK742,AL742)</x:f>
        <x:v>0</x:v>
      </x:c>
      <x:c r="AN742" t="n">
        <x:v>1</x:v>
      </x:c>
    </x:row>
    <x:row r="743" ht="23" customHeight="1">
      <x:c r="A743" s="11" t="str">
        <x:v>688192.SH</x:v>
      </x:c>
      <x:c r="B743" s="11" t="str">
        <x:v>半年</x:v>
      </x:c>
      <x:c r="C743" s="11" t="str">
        <x:v>bire_cll</x:v>
      </x:c>
      <x:c r="D743" s="11" t="str">
        <x:v>2031-12-31</x:v>
      </x:c>
      <x:c r="E743" s="11" t="str">
        <x:v>USD</x:v>
      </x:c>
      <x:c r="F743" s="11" t="n">
        <x:v>4.728268309377139</x:v>
      </x:c>
      <x:c r="G743" s="26" t="b">
        <x:v>1</x:v>
      </x:c>
      <x:c r="H743" s="16" t="n">
        <x:v>0</x:v>
      </x:c>
      <x:c r="I743" s="16" t="n">
        <x:v>0.6</x:v>
      </x:c>
      <x:c r="J743" s="16" t="n">
        <x:v>1.6</x:v>
      </x:c>
      <x:c r="K743" s="11" t="n">
        <x:f>CHOOSE('假设'!$B$3,H743,I743,J743)</x:f>
        <x:v>0.6</x:v>
      </x:c>
      <x:c r="L743" s="11" t="n">
        <x:f>K743*'管线假设'!E179*'管线假设'!F179*'管线假设'!G179*IF(E743="USD",'管线假设'!I179,1)-AM743</x:f>
        <x:v>0.6402662399999999</x:v>
      </x:c>
      <x:c r="M743" s="11" t="n">
        <x:f>'管线假设'!H179</x:f>
        <x:v>0.125</x:v>
      </x:c>
      <x:c r="N743" s="11" t="n">
        <x:f>IF(G743,L743*AN743/(1+M743)^F743,0)</x:f>
        <x:v>0.3668577955768685</x:v>
      </x:c>
      <x:c r="AJ743" t="n">
        <x:v>0</x:v>
      </x:c>
      <x:c r="AK743" t="n">
        <x:v>0</x:v>
      </x:c>
      <x:c r="AL743" t="n">
        <x:v>0</x:v>
      </x:c>
      <x:c r="AM743" t="n">
        <x:f>CHOOSE('假设'!$B$3,AJ743,AK743,AL743)</x:f>
        <x:v>0</x:v>
      </x:c>
      <x:c r="AN743" t="n">
        <x:v>1</x:v>
      </x:c>
    </x:row>
    <x:row r="744" ht="23" customHeight="1">
      <x:c r="A744" s="11" t="str">
        <x:v>688192.SH</x:v>
      </x:c>
      <x:c r="B744" s="11" t="str">
        <x:v>半年</x:v>
      </x:c>
      <x:c r="C744" s="11" t="str">
        <x:v>bire_cll</x:v>
      </x:c>
      <x:c r="D744" s="11" t="str">
        <x:v>2032-12-31</x:v>
      </x:c>
      <x:c r="E744" s="11" t="str">
        <x:v>USD</x:v>
      </x:c>
      <x:c r="F744" s="11" t="n">
        <x:v>5.730321697467488</x:v>
      </x:c>
      <x:c r="G744" s="26" t="b">
        <x:v>1</x:v>
      </x:c>
      <x:c r="H744" s="16" t="n">
        <x:v>0.13999999999999999</x:v>
      </x:c>
      <x:c r="I744" s="16" t="n">
        <x:v>0.9</x:v>
      </x:c>
      <x:c r="J744" s="16" t="n">
        <x:v>2.1333333333333333</x:v>
      </x:c>
      <x:c r="K744" s="11" t="n">
        <x:f>CHOOSE('假设'!$B$3,H744,I744,J744)</x:f>
        <x:v>0.9</x:v>
      </x:c>
      <x:c r="L744" s="11" t="n">
        <x:f>K744*'管线假设'!E179*'管线假设'!F179*'管线假设'!G179*IF(E744="USD",'管线假设'!I179,1)-AM744</x:f>
        <x:v>0.96039936</x:v>
      </x:c>
      <x:c r="M744" s="11" t="n">
        <x:f>'管线假设'!H179</x:f>
        <x:v>0.125</x:v>
      </x:c>
      <x:c r="N744" s="11" t="n">
        <x:f>IF(G744,L744*AN744/(1+M744)^F744,0)</x:f>
        <x:v>0.4890254402352167</x:v>
      </x:c>
      <x:c r="AJ744" t="n">
        <x:v>0</x:v>
      </x:c>
      <x:c r="AK744" t="n">
        <x:v>0</x:v>
      </x:c>
      <x:c r="AL744" t="n">
        <x:v>0</x:v>
      </x:c>
      <x:c r="AM744" t="n">
        <x:f>CHOOSE('假设'!$B$3,AJ744,AK744,AL744)</x:f>
        <x:v>0</x:v>
      </x:c>
      <x:c r="AN744" t="n">
        <x:v>1</x:v>
      </x:c>
    </x:row>
    <x:row r="745" ht="23" customHeight="1">
      <x:c r="A745" s="11" t="str">
        <x:v>688192.SH</x:v>
      </x:c>
      <x:c r="B745" s="11" t="str">
        <x:v>半年</x:v>
      </x:c>
      <x:c r="C745" s="11" t="str">
        <x:v>bire_cll</x:v>
      </x:c>
      <x:c r="D745" s="11" t="str">
        <x:v>2033-12-31</x:v>
      </x:c>
      <x:c r="E745" s="11" t="str">
        <x:v>USD</x:v>
      </x:c>
      <x:c r="F745" s="11" t="n">
        <x:v>6.729637234770705</x:v>
      </x:c>
      <x:c r="G745" s="26" t="b">
        <x:v>1</x:v>
      </x:c>
      <x:c r="H745" s="16" t="n">
        <x:v>0.27999999999999997</x:v>
      </x:c>
      <x:c r="I745" s="16" t="n">
        <x:v>1.2</x:v>
      </x:c>
      <x:c r="J745" s="16" t="n">
        <x:v>2.666666666666667</x:v>
      </x:c>
      <x:c r="K745" s="11" t="n">
        <x:f>CHOOSE('假设'!$B$3,H745,I745,J745)</x:f>
        <x:v>1.2</x:v>
      </x:c>
      <x:c r="L745" s="11" t="n">
        <x:f>K745*'管线假设'!E179*'管线假设'!F179*'管线假设'!G179*IF(E745="USD",'管线假设'!I179,1)-AM745</x:f>
        <x:v>1.2805324799999998</x:v>
      </x:c>
      <x:c r="M745" s="11" t="n">
        <x:f>'管线假设'!H179</x:f>
        <x:v>0.125</x:v>
      </x:c>
      <x:c r="N745" s="11" t="n">
        <x:f>IF(G745,L745*AN745/(1+M745)^F745,0)</x:f>
        <x:v>0.579632433924068</x:v>
      </x:c>
      <x:c r="AJ745" t="n">
        <x:v>0</x:v>
      </x:c>
      <x:c r="AK745" t="n">
        <x:v>0</x:v>
      </x:c>
      <x:c r="AL745" t="n">
        <x:v>0</x:v>
      </x:c>
      <x:c r="AM745" t="n">
        <x:f>CHOOSE('假设'!$B$3,AJ745,AK745,AL745)</x:f>
        <x:v>0</x:v>
      </x:c>
      <x:c r="AN745" t="n">
        <x:v>1</x:v>
      </x:c>
    </x:row>
    <x:row r="746" ht="23" customHeight="1">
      <x:c r="A746" s="11" t="str">
        <x:v>688192.SH</x:v>
      </x:c>
      <x:c r="B746" s="11" t="str">
        <x:v>半年</x:v>
      </x:c>
      <x:c r="C746" s="11" t="str">
        <x:v>bire_cll</x:v>
      </x:c>
      <x:c r="D746" s="11" t="str">
        <x:v>2034-12-31</x:v>
      </x:c>
      <x:c r="E746" s="11" t="str">
        <x:v>USD</x:v>
      </x:c>
      <x:c r="F746" s="11" t="n">
        <x:v>7.728952772073922</x:v>
      </x:c>
      <x:c r="G746" s="26" t="b">
        <x:v>1</x:v>
      </x:c>
      <x:c r="H746" s="16" t="n">
        <x:v>0.42</x:v>
      </x:c>
      <x:c r="I746" s="16" t="n">
        <x:v>1.5</x:v>
      </x:c>
      <x:c r="J746" s="16" t="n">
        <x:v>3.2</x:v>
      </x:c>
      <x:c r="K746" s="11" t="n">
        <x:f>CHOOSE('假设'!$B$3,H746,I746,J746)</x:f>
        <x:v>1.5</x:v>
      </x:c>
      <x:c r="L746" s="11" t="n">
        <x:f>K746*'管线假设'!E179*'管线假设'!F179*'管线假设'!G179*IF(E746="USD",'管线假设'!I179,1)-AM746</x:f>
        <x:v>1.6006656</x:v>
      </x:c>
      <x:c r="M746" s="11" t="n">
        <x:f>'管线假设'!H179</x:f>
        <x:v>0.125</x:v>
      </x:c>
      <x:c r="N746" s="11" t="n">
        <x:f>IF(G746,L746*AN746/(1+M746)^F746,0)</x:f>
        <x:v>0.6440879607443178</x:v>
      </x:c>
      <x:c r="AJ746" t="n">
        <x:v>0</x:v>
      </x:c>
      <x:c r="AK746" t="n">
        <x:v>0</x:v>
      </x:c>
      <x:c r="AL746" t="n">
        <x:v>0</x:v>
      </x:c>
      <x:c r="AM746" t="n">
        <x:f>CHOOSE('假设'!$B$3,AJ746,AK746,AL746)</x:f>
        <x:v>0</x:v>
      </x:c>
      <x:c r="AN746" t="n">
        <x:v>1</x:v>
      </x:c>
    </x:row>
    <x:row r="747" ht="23" customHeight="1">
      <x:c r="A747" s="11" t="str">
        <x:v>688192.SH</x:v>
      </x:c>
      <x:c r="B747" s="11" t="str">
        <x:v>半年</x:v>
      </x:c>
      <x:c r="C747" s="11" t="str">
        <x:v>bire_cll</x:v>
      </x:c>
      <x:c r="D747" s="11" t="str">
        <x:v>2035-12-31</x:v>
      </x:c>
      <x:c r="E747" s="11" t="str">
        <x:v>USD</x:v>
      </x:c>
      <x:c r="F747" s="11" t="n">
        <x:v>8.728268309377139</x:v>
      </x:c>
      <x:c r="G747" s="26" t="b">
        <x:v>1</x:v>
      </x:c>
      <x:c r="H747" s="16" t="n">
        <x:v>0.5599999999999999</x:v>
      </x:c>
      <x:c r="I747" s="16" t="n">
        <x:v>1.8</x:v>
      </x:c>
      <x:c r="J747" s="16" t="n">
        <x:v>2.8160000000000003</x:v>
      </x:c>
      <x:c r="K747" s="11" t="n">
        <x:f>CHOOSE('假设'!$B$3,H747,I747,J747)</x:f>
        <x:v>1.8</x:v>
      </x:c>
      <x:c r="L747" s="11" t="n">
        <x:f>K747*'管线假设'!E179*'管线假设'!F179*'管线假设'!G179*IF(E747="USD",'管线假设'!I179,1)-AM747</x:f>
        <x:v>1.92079872</x:v>
      </x:c>
      <x:c r="M747" s="11" t="n">
        <x:f>'管线假设'!H179</x:f>
        <x:v>0.125</x:v>
      </x:c>
      <x:c r="N747" s="11" t="n">
        <x:f>IF(G747,L747*AN747/(1+M747)^F747,0)</x:f>
        <x:v>0.6870825471800884</x:v>
      </x:c>
      <x:c r="AJ747" t="n">
        <x:v>0</x:v>
      </x:c>
      <x:c r="AK747" t="n">
        <x:v>0</x:v>
      </x:c>
      <x:c r="AL747" t="n">
        <x:v>0</x:v>
      </x:c>
      <x:c r="AM747" t="n">
        <x:f>CHOOSE('假设'!$B$3,AJ747,AK747,AL747)</x:f>
        <x:v>0</x:v>
      </x:c>
      <x:c r="AN747" t="n">
        <x:v>1</x:v>
      </x:c>
    </x:row>
    <x:row r="748" ht="23" customHeight="1">
      <x:c r="A748" s="11" t="str">
        <x:v>688192.SH</x:v>
      </x:c>
      <x:c r="B748" s="11" t="str">
        <x:v>半年</x:v>
      </x:c>
      <x:c r="C748" s="11" t="str">
        <x:v>bire_cll</x:v>
      </x:c>
      <x:c r="D748" s="11" t="str">
        <x:v>2036-12-31</x:v>
      </x:c>
      <x:c r="E748" s="11" t="str">
        <x:v>USD</x:v>
      </x:c>
      <x:c r="F748" s="11" t="n">
        <x:v>9.730321697467488</x:v>
      </x:c>
      <x:c r="G748" s="26" t="b">
        <x:v>1</x:v>
      </x:c>
      <x:c r="H748" s="16" t="n">
        <x:v>0.7</x:v>
      </x:c>
      <x:c r="I748" s="16" t="n">
        <x:v>1.584</x:v>
      </x:c>
      <x:c r="J748" s="16" t="n">
        <x:v>2.4320000000000004</x:v>
      </x:c>
      <x:c r="K748" s="11" t="n">
        <x:f>CHOOSE('假设'!$B$3,H748,I748,J748)</x:f>
        <x:v>1.584</x:v>
      </x:c>
      <x:c r="L748" s="11" t="n">
        <x:f>K748*'管线假设'!E179*'管线假设'!F179*'管线假设'!G179*IF(E748="USD",'管线假设'!I179,1)-AM748</x:f>
        <x:v>1.6903028735999999</x:v>
      </x:c>
      <x:c r="M748" s="11" t="n">
        <x:f>'管线假设'!H179</x:f>
        <x:v>0.125</x:v>
      </x:c>
      <x:c r="N748" s="11" t="n">
        <x:f>IF(G748,L748*AN748/(1+M748)^F748,0)</x:f>
        <x:v>0.5373212677393793</x:v>
      </x:c>
      <x:c r="AJ748" t="n">
        <x:v>0</x:v>
      </x:c>
      <x:c r="AK748" t="n">
        <x:v>0</x:v>
      </x:c>
      <x:c r="AL748" t="n">
        <x:v>0</x:v>
      </x:c>
      <x:c r="AM748" t="n">
        <x:f>CHOOSE('假设'!$B$3,AJ748,AK748,AL748)</x:f>
        <x:v>0</x:v>
      </x:c>
      <x:c r="AN748" t="n">
        <x:v>1</x:v>
      </x:c>
    </x:row>
    <x:row r="749" ht="23" customHeight="1">
      <x:c r="A749" s="11" t="str">
        <x:v>688192.SH</x:v>
      </x:c>
      <x:c r="B749" s="11" t="str">
        <x:v>半年</x:v>
      </x:c>
      <x:c r="C749" s="11" t="str">
        <x:v>bire_cll</x:v>
      </x:c>
      <x:c r="D749" s="11" t="str">
        <x:v>2037-12-31</x:v>
      </x:c>
      <x:c r="E749" s="11" t="str">
        <x:v>USD</x:v>
      </x:c>
      <x:c r="F749" s="11" t="n">
        <x:v>10.729637234770705</x:v>
      </x:c>
      <x:c r="G749" s="26" t="b">
        <x:v>1</x:v>
      </x:c>
      <x:c r="H749" s="16" t="n">
        <x:v>0.616</x:v>
      </x:c>
      <x:c r="I749" s="16" t="n">
        <x:v>1.368</x:v>
      </x:c>
      <x:c r="J749" s="16" t="n">
        <x:v>2.048</x:v>
      </x:c>
      <x:c r="K749" s="11" t="n">
        <x:f>CHOOSE('假设'!$B$3,H749,I749,J749)</x:f>
        <x:v>1.368</x:v>
      </x:c>
      <x:c r="L749" s="11" t="n">
        <x:f>K749*'管线假设'!E179*'管线假设'!F179*'管线假设'!G179*IF(E749="USD",'管线假设'!I179,1)-AM749</x:f>
        <x:v>1.4598070271999999</x:v>
      </x:c>
      <x:c r="M749" s="11" t="n">
        <x:f>'管线假设'!H179</x:f>
        <x:v>0.125</x:v>
      </x:c>
      <x:c r="N749" s="11" t="n">
        <x:f>IF(G749,L749*AN749/(1+M749)^F749,0)</x:f>
        <x:v>0.4125223094440483</x:v>
      </x:c>
      <x:c r="AJ749" t="n">
        <x:v>0</x:v>
      </x:c>
      <x:c r="AK749" t="n">
        <x:v>0</x:v>
      </x:c>
      <x:c r="AL749" t="n">
        <x:v>0</x:v>
      </x:c>
      <x:c r="AM749" t="n">
        <x:f>CHOOSE('假设'!$B$3,AJ749,AK749,AL749)</x:f>
        <x:v>0</x:v>
      </x:c>
      <x:c r="AN749" t="n">
        <x:v>1</x:v>
      </x:c>
    </x:row>
    <x:row r="750" ht="23" customHeight="1">
      <x:c r="A750" s="11" t="str">
        <x:v>688192.SH</x:v>
      </x:c>
      <x:c r="B750" s="11" t="str">
        <x:v>半年</x:v>
      </x:c>
      <x:c r="C750" s="11" t="str">
        <x:v>bire_cll</x:v>
      </x:c>
      <x:c r="D750" s="11" t="str">
        <x:v>2038-12-31</x:v>
      </x:c>
      <x:c r="E750" s="11" t="str">
        <x:v>USD</x:v>
      </x:c>
      <x:c r="F750" s="11" t="n">
        <x:v>11.728952772073923</x:v>
      </x:c>
      <x:c r="G750" s="26" t="b">
        <x:v>1</x:v>
      </x:c>
      <x:c r="H750" s="16" t="n">
        <x:v>0.5319999999999999</x:v>
      </x:c>
      <x:c r="I750" s="16" t="n">
        <x:v>1.1520000000000001</x:v>
      </x:c>
      <x:c r="J750" s="16" t="n">
        <x:v>1.6640000000000001</x:v>
      </x:c>
      <x:c r="K750" s="11" t="n">
        <x:f>CHOOSE('假设'!$B$3,H750,I750,J750)</x:f>
        <x:v>1.1520000000000001</x:v>
      </x:c>
      <x:c r="L750" s="11" t="n">
        <x:f>K750*'管线假设'!E179*'管线假设'!F179*'管线假设'!G179*IF(E750="USD",'管线假设'!I179,1)-AM750</x:f>
        <x:v>1.2293111808000001</x:v>
      </x:c>
      <x:c r="M750" s="11" t="n">
        <x:f>'管线假设'!H179</x:f>
        <x:v>0.125</x:v>
      </x:c>
      <x:c r="N750" s="11" t="n">
        <x:f>IF(G750,L750*AN750/(1+M750)^F750,0)</x:f>
        <x:v>0.30881352424574027</x:v>
      </x:c>
      <x:c r="AJ750" t="n">
        <x:v>0</x:v>
      </x:c>
      <x:c r="AK750" t="n">
        <x:v>0</x:v>
      </x:c>
      <x:c r="AL750" t="n">
        <x:v>0</x:v>
      </x:c>
      <x:c r="AM750" t="n">
        <x:f>CHOOSE('假设'!$B$3,AJ750,AK750,AL750)</x:f>
        <x:v>0</x:v>
      </x:c>
      <x:c r="AN750" t="n">
        <x:v>1</x:v>
      </x:c>
    </x:row>
    <x:row r="751" ht="23" customHeight="1">
      <x:c r="A751" s="11" t="str">
        <x:v>688192.SH</x:v>
      </x:c>
      <x:c r="B751" s="11" t="str">
        <x:v>半年</x:v>
      </x:c>
      <x:c r="C751" s="11" t="str">
        <x:v>bire_cll</x:v>
      </x:c>
      <x:c r="D751" s="11" t="str">
        <x:v>2039-12-31</x:v>
      </x:c>
      <x:c r="E751" s="11" t="str">
        <x:v>USD</x:v>
      </x:c>
      <x:c r="F751" s="11" t="n">
        <x:v>12.728268309377139</x:v>
      </x:c>
      <x:c r="G751" s="26" t="b">
        <x:v>1</x:v>
      </x:c>
      <x:c r="H751" s="16" t="n">
        <x:v>0.44799999999999995</x:v>
      </x:c>
      <x:c r="I751" s="16" t="n">
        <x:v>0.936</x:v>
      </x:c>
      <x:c r="J751" s="16" t="n">
        <x:v>1.2800000000000002</x:v>
      </x:c>
      <x:c r="K751" s="11" t="n">
        <x:f>CHOOSE('假设'!$B$3,H751,I751,J751)</x:f>
        <x:v>0.936</x:v>
      </x:c>
      <x:c r="L751" s="11" t="n">
        <x:f>K751*'管线假设'!E179*'管线假设'!F179*'管线假设'!G179*IF(E751="USD",'管线假设'!I179,1)-AM751</x:f>
        <x:v>0.9988153343999999</x:v>
      </x:c>
      <x:c r="M751" s="11" t="n">
        <x:f>'管线假设'!H179</x:f>
        <x:v>0.125</x:v>
      </x:c>
      <x:c r="N751" s="11" t="n">
        <x:f>IF(G751,L751*AN751/(1+M751)^F751,0)</x:f>
        <x:v>0.22304997087179</x:v>
      </x:c>
      <x:c r="AJ751" t="n">
        <x:v>0</x:v>
      </x:c>
      <x:c r="AK751" t="n">
        <x:v>0</x:v>
      </x:c>
      <x:c r="AL751" t="n">
        <x:v>0</x:v>
      </x:c>
      <x:c r="AM751" t="n">
        <x:f>CHOOSE('假设'!$B$3,AJ751,AK751,AL751)</x:f>
        <x:v>0</x:v>
      </x:c>
      <x:c r="AN751" t="n">
        <x:v>1</x:v>
      </x:c>
    </x:row>
    <x:row r="752" ht="23" customHeight="1">
      <x:c r="A752" s="11" t="str">
        <x:v>688192.SH</x:v>
      </x:c>
      <x:c r="B752" s="11" t="str">
        <x:v>半年</x:v>
      </x:c>
      <x:c r="C752" s="11" t="str">
        <x:v>bire_cll</x:v>
      </x:c>
      <x:c r="D752" s="11" t="str">
        <x:v>2040-12-31</x:v>
      </x:c>
      <x:c r="E752" s="11" t="str">
        <x:v>USD</x:v>
      </x:c>
      <x:c r="F752" s="11" t="n">
        <x:v>13.730321697467488</x:v>
      </x:c>
      <x:c r="G752" s="26" t="b">
        <x:v>1</x:v>
      </x:c>
      <x:c r="H752" s="16" t="n">
        <x:v>0.364</x:v>
      </x:c>
      <x:c r="I752" s="16" t="n">
        <x:v>0.7200000000000001</x:v>
      </x:c>
      <x:c r="J752" s="16" t="n">
        <x:v>0.8960000000000001</x:v>
      </x:c>
      <x:c r="K752" s="11" t="n">
        <x:f>CHOOSE('假设'!$B$3,H752,I752,J752)</x:f>
        <x:v>0.7200000000000001</x:v>
      </x:c>
      <x:c r="L752" s="11" t="n">
        <x:f>K752*'管线假设'!E179*'管线假设'!F179*'管线假设'!G179*IF(E752="USD",'管线假设'!I179,1)-AM752</x:f>
        <x:v>0.768319488</x:v>
      </x:c>
      <x:c r="M752" s="11" t="n">
        <x:f>'管线假设'!H179</x:f>
        <x:v>0.125</x:v>
      </x:c>
      <x:c r="N752" s="11" t="n">
        <x:f>IF(G752,L752*AN752/(1+M752)^F752,0)</x:f>
        <x:v>0.1524759191822545</x:v>
      </x:c>
      <x:c r="AJ752" t="n">
        <x:v>0</x:v>
      </x:c>
      <x:c r="AK752" t="n">
        <x:v>0</x:v>
      </x:c>
      <x:c r="AL752" t="n">
        <x:v>0</x:v>
      </x:c>
      <x:c r="AM752" t="n">
        <x:f>CHOOSE('假设'!$B$3,AJ752,AK752,AL752)</x:f>
        <x:v>0</x:v>
      </x:c>
      <x:c r="AN752" t="n">
        <x:v>1</x:v>
      </x:c>
    </x:row>
    <x:row r="753" ht="23" customHeight="1">
      <x:c r="A753" s="11" t="str">
        <x:v>688192.SH</x:v>
      </x:c>
      <x:c r="B753" s="11" t="str">
        <x:v>半年</x:v>
      </x:c>
      <x:c r="C753" s="11" t="str">
        <x:v>bire_cll</x:v>
      </x:c>
      <x:c r="D753" s="11" t="str">
        <x:v>2041-12-31</x:v>
      </x:c>
      <x:c r="E753" s="11" t="str">
        <x:v>USD</x:v>
      </x:c>
      <x:c r="F753" s="11" t="n">
        <x:v>14.729637234770705</x:v>
      </x:c>
      <x:c r="G753" s="26" t="b">
        <x:v>1</x:v>
      </x:c>
      <x:c r="H753" s="16" t="n">
        <x:v>0.27999999999999997</x:v>
      </x:c>
      <x:c r="I753" s="16" t="n">
        <x:v>0.5040000000000001</x:v>
      </x:c>
      <x:c r="J753" s="16" t="n">
        <x:v>0.5120000000000001</x:v>
      </x:c>
      <x:c r="K753" s="11" t="n">
        <x:f>CHOOSE('假设'!$B$3,H753,I753,J753)</x:f>
        <x:v>0.5040000000000001</x:v>
      </x:c>
      <x:c r="L753" s="11" t="n">
        <x:f>K753*'管线假设'!E179*'管线假设'!F179*'管线假设'!G179*IF(E753="USD",'管线假设'!I179,1)-AM753</x:f>
        <x:v>0.5378236416000001</x:v>
      </x:c>
      <x:c r="M753" s="11" t="n">
        <x:f>'管线假设'!H179</x:f>
        <x:v>0.125</x:v>
      </x:c>
      <x:c r="N753" s="11" t="n">
        <x:f>IF(G753,L753*AN753/(1+M753)^F753,0)</x:f>
        <x:v>0.0948815541307066</x:v>
      </x:c>
      <x:c r="AJ753" t="n">
        <x:v>0</x:v>
      </x:c>
      <x:c r="AK753" t="n">
        <x:v>0</x:v>
      </x:c>
      <x:c r="AL753" t="n">
        <x:v>0</x:v>
      </x:c>
      <x:c r="AM753" t="n">
        <x:f>CHOOSE('假设'!$B$3,AJ753,AK753,AL753)</x:f>
        <x:v>0</x:v>
      </x:c>
      <x:c r="AN753" t="n">
        <x:v>1</x:v>
      </x:c>
    </x:row>
    <x:row r="754" ht="23" customHeight="1">
      <x:c r="A754" s="11" t="str">
        <x:v>688192.SH</x:v>
      </x:c>
      <x:c r="B754" s="11" t="str">
        <x:v>半年</x:v>
      </x:c>
      <x:c r="C754" s="11" t="str">
        <x:v>bire_cll</x:v>
      </x:c>
      <x:c r="D754" s="11" t="str">
        <x:v>2042-12-31</x:v>
      </x:c>
      <x:c r="E754" s="11" t="str">
        <x:v>USD</x:v>
      </x:c>
      <x:c r="F754" s="11" t="n">
        <x:v>15.728952772073923</x:v>
      </x:c>
      <x:c r="G754" s="26" t="b">
        <x:v>1</x:v>
      </x:c>
      <x:c r="H754" s="16" t="n">
        <x:v>0.196</x:v>
      </x:c>
      <x:c r="I754" s="16" t="n">
        <x:v>0.2880000000000001</x:v>
      </x:c>
      <x:c r="J754" s="16" t="n">
        <x:v>0.1280000000000001</x:v>
      </x:c>
      <x:c r="K754" s="11" t="n">
        <x:f>CHOOSE('假设'!$B$3,H754,I754,J754)</x:f>
        <x:v>0.2880000000000001</x:v>
      </x:c>
      <x:c r="L754" s="11" t="n">
        <x:f>K754*'管线假设'!E179*'管线假设'!F179*'管线假设'!G179*IF(E754="USD",'管线假设'!I179,1)-AM754</x:f>
        <x:v>0.3073277952000001</x:v>
      </x:c>
      <x:c r="M754" s="11" t="n">
        <x:f>'管线假设'!H179</x:f>
        <x:v>0.125</x:v>
      </x:c>
      <x:c r="N754" s="11" t="n">
        <x:f>IF(G754,L754*AN754/(1+M754)^F754,0)</x:f>
        <x:v>0.048197690722090854</x:v>
      </x:c>
      <x:c r="AJ754" t="n">
        <x:v>0</x:v>
      </x:c>
      <x:c r="AK754" t="n">
        <x:v>0</x:v>
      </x:c>
      <x:c r="AL754" t="n">
        <x:v>0</x:v>
      </x:c>
      <x:c r="AM754" t="n">
        <x:f>CHOOSE('假设'!$B$3,AJ754,AK754,AL754)</x:f>
        <x:v>0</x:v>
      </x:c>
      <x:c r="AN754" t="n">
        <x:v>1</x:v>
      </x:c>
    </x:row>
    <x:row r="755" ht="23" customHeight="1">
      <x:c r="A755" s="11" t="str">
        <x:v>688192.SH</x:v>
      </x:c>
      <x:c r="B755" s="11" t="str">
        <x:v>半年</x:v>
      </x:c>
      <x:c r="C755" s="11" t="str">
        <x:v>bire_cll</x:v>
      </x:c>
      <x:c r="D755" s="11" t="str">
        <x:v>2043-12-31</x:v>
      </x:c>
      <x:c r="E755" s="11" t="str">
        <x:v>USD</x:v>
      </x:c>
      <x:c r="F755" s="11" t="n">
        <x:v>16.72826830937714</x:v>
      </x:c>
      <x:c r="G755" s="26" t="b">
        <x:v>1</x:v>
      </x:c>
      <x:c r="H755" s="16" t="n">
        <x:v>0.11200000000000002</x:v>
      </x:c>
      <x:c r="I755" s="16" t="n">
        <x:v>0.07200000000000006</x:v>
      </x:c>
      <x:c r="J755" s="16" t="n">
        <x:v>0</x:v>
      </x:c>
      <x:c r="K755" s="11" t="n">
        <x:f>CHOOSE('假设'!$B$3,H755,I755,J755)</x:f>
        <x:v>0.07200000000000006</x:v>
      </x:c>
      <x:c r="L755" s="11" t="n">
        <x:f>K755*'管线假设'!E179*'管线假设'!F179*'管线假设'!G179*IF(E755="USD",'管线假设'!I179,1)-AM755</x:f>
        <x:v>0.07683194880000006</x:v>
      </x:c>
      <x:c r="M755" s="11" t="n">
        <x:f>'管线假设'!H179</x:f>
        <x:v>0.125</x:v>
      </x:c>
      <x:c r="N755" s="11" t="n">
        <x:f>IF(G755,L755*AN755/(1+M755)^F755,0)</x:f>
        <x:v>0.01071146144104267</x:v>
      </x:c>
      <x:c r="AJ755" t="n">
        <x:v>0</x:v>
      </x:c>
      <x:c r="AK755" t="n">
        <x:v>0</x:v>
      </x:c>
      <x:c r="AL755" t="n">
        <x:v>0</x:v>
      </x:c>
      <x:c r="AM755" t="n">
        <x:f>CHOOSE('假设'!$B$3,AJ755,AK755,AL755)</x:f>
        <x:v>0</x:v>
      </x:c>
      <x:c r="AN755" t="n">
        <x:v>1</x:v>
      </x:c>
    </x:row>
    <x:row r="756" ht="23" customHeight="1">
      <x:c r="A756" s="11" t="str">
        <x:v>688192.SH</x:v>
      </x:c>
      <x:c r="B756" s="11" t="str">
        <x:v>半年</x:v>
      </x:c>
      <x:c r="C756" s="11" t="str">
        <x:v>bire_cll</x:v>
      </x:c>
      <x:c r="D756" s="11" t="str">
        <x:v>2044-12-31</x:v>
      </x:c>
      <x:c r="E756" s="11" t="str">
        <x:v>USD</x:v>
      </x:c>
      <x:c r="F756" s="11" t="n">
        <x:v>17.730321697467488</x:v>
      </x:c>
      <x:c r="G756" s="26" t="b">
        <x:v>1</x:v>
      </x:c>
      <x:c r="H756" s="16" t="n">
        <x:v>0.02800000000000002</x:v>
      </x:c>
      <x:c r="I756" s="16" t="n">
        <x:v>0</x:v>
      </x:c>
      <x:c r="J756" s="16" t="n">
        <x:v>0</x:v>
      </x:c>
      <x:c r="K756" s="11" t="n">
        <x:f>CHOOSE('假设'!$B$3,H756,I756,J756)</x:f>
        <x:v>0</x:v>
      </x:c>
      <x:c r="L756" s="11" t="n">
        <x:f>K756*'管线假设'!E179*'管线假设'!F179*'管线假设'!G179*IF(E756="USD",'管线假设'!I179,1)-AM756</x:f>
        <x:v>0</x:v>
      </x:c>
      <x:c r="M756" s="11" t="n">
        <x:f>'管线假设'!H179</x:f>
        <x:v>0.125</x:v>
      </x:c>
      <x:c r="N756" s="11" t="n">
        <x:f>IF(G756,L756*AN756/(1+M756)^F756,0)</x:f>
        <x:v>0</x:v>
      </x:c>
      <x:c r="AJ756" t="n">
        <x:v>0</x:v>
      </x:c>
      <x:c r="AK756" t="n">
        <x:v>0</x:v>
      </x:c>
      <x:c r="AL756" t="n">
        <x:v>0</x:v>
      </x:c>
      <x:c r="AM756" t="n">
        <x:f>CHOOSE('假设'!$B$3,AJ756,AK756,AL756)</x:f>
        <x:v>0</x:v>
      </x:c>
      <x:c r="AN756" t="n">
        <x:v>1</x:v>
      </x:c>
    </x:row>
    <x:row r="757" ht="23" customHeight="1">
      <x:c r="A757" s="11" t="str">
        <x:v>688192.SH</x:v>
      </x:c>
      <x:c r="B757" s="11" t="str">
        <x:v>半年</x:v>
      </x:c>
      <x:c r="C757" s="11" t="str">
        <x:v>bire_cll</x:v>
      </x:c>
      <x:c r="D757" s="11" t="str">
        <x:v>2045-12-31</x:v>
      </x:c>
      <x:c r="E757" s="11" t="str">
        <x:v>USD</x:v>
      </x:c>
      <x:c r="F757" s="11" t="n">
        <x:v>18.729637234770706</x:v>
      </x:c>
      <x:c r="G757" s="26" t="b">
        <x:v>1</x:v>
      </x:c>
      <x:c r="H757" s="16" t="n">
        <x:v>0</x:v>
      </x:c>
      <x:c r="I757" s="16" t="n">
        <x:v>0</x:v>
      </x:c>
      <x:c r="J757" s="16" t="n">
        <x:v>0</x:v>
      </x:c>
      <x:c r="K757" s="11" t="n">
        <x:f>CHOOSE('假设'!$B$3,H757,I757,J757)</x:f>
        <x:v>0</x:v>
      </x:c>
      <x:c r="L757" s="11" t="n">
        <x:f>K757*'管线假设'!E179*'管线假设'!F179*'管线假设'!G179*IF(E757="USD",'管线假设'!I179,1)-AM757</x:f>
        <x:v>0</x:v>
      </x:c>
      <x:c r="M757" s="11" t="n">
        <x:f>'管线假设'!H179</x:f>
        <x:v>0.125</x:v>
      </x:c>
      <x:c r="N757" s="11" t="n">
        <x:f>IF(G757,L757*AN757/(1+M757)^F757,0)</x:f>
        <x:v>0</x:v>
      </x:c>
      <x:c r="AJ757" t="n">
        <x:v>0</x:v>
      </x:c>
      <x:c r="AK757" t="n">
        <x:v>0</x:v>
      </x:c>
      <x:c r="AL757" t="n">
        <x:v>0</x:v>
      </x:c>
      <x:c r="AM757" t="n">
        <x:f>CHOOSE('假设'!$B$3,AJ757,AK757,AL757)</x:f>
        <x:v>0</x:v>
      </x:c>
      <x:c r="AN757" t="n">
        <x:v>1</x:v>
      </x:c>
    </x:row>
    <x:row r="758" ht="23" customHeight="1">
      <x:c r="A758" s="11" t="str">
        <x:v>688192.SH</x:v>
      </x:c>
      <x:c r="B758" s="11" t="str">
        <x:v>半年</x:v>
      </x:c>
      <x:c r="C758" s="11" t="str">
        <x:v>bire_dlbcl</x:v>
      </x:c>
      <x:c r="D758" s="11" t="str">
        <x:v>2027-12-31</x:v>
      </x:c>
      <x:c r="E758" s="11" t="str">
        <x:v>USD</x:v>
      </x:c>
      <x:c r="F758" s="11" t="n">
        <x:v>0.7282683093771389</x:v>
      </x:c>
      <x:c r="G758" s="26" t="b">
        <x:v>1</x:v>
      </x:c>
      <x:c r="H758" s="16" t="n">
        <x:v>0</x:v>
      </x:c>
      <x:c r="I758" s="16" t="n">
        <x:v>0</x:v>
      </x:c>
      <x:c r="J758" s="16" t="n">
        <x:v>0</x:v>
      </x:c>
      <x:c r="K758" s="11" t="n">
        <x:f>CHOOSE('假设'!$B$3,H758,I758,J758)</x:f>
        <x:v>0</x:v>
      </x:c>
      <x:c r="L758" s="11" t="n">
        <x:f>K758*'管线假设'!E183*'管线假设'!F183*'管线假设'!G183*IF(E758="USD",'管线假设'!I183,1)-AM758</x:f>
        <x:v>0</x:v>
      </x:c>
      <x:c r="M758" s="11" t="n">
        <x:f>'管线假设'!H183</x:f>
        <x:v>0.125</x:v>
      </x:c>
      <x:c r="N758" s="11" t="n">
        <x:f>IF(G758,L758*AN758/(1+M758)^F758,0)</x:f>
        <x:v>0</x:v>
      </x:c>
      <x:c r="AJ758" t="n">
        <x:v>0</x:v>
      </x:c>
      <x:c r="AK758" t="n">
        <x:v>0</x:v>
      </x:c>
      <x:c r="AL758" t="n">
        <x:v>0</x:v>
      </x:c>
      <x:c r="AM758" t="n">
        <x:f>CHOOSE('假设'!$B$3,AJ758,AK758,AL758)</x:f>
        <x:v>0</x:v>
      </x:c>
      <x:c r="AN758" t="n">
        <x:v>1</x:v>
      </x:c>
    </x:row>
    <x:row r="759" ht="23" customHeight="1">
      <x:c r="A759" s="11" t="str">
        <x:v>688192.SH</x:v>
      </x:c>
      <x:c r="B759" s="11" t="str">
        <x:v>半年</x:v>
      </x:c>
      <x:c r="C759" s="11" t="str">
        <x:v>bire_dlbcl</x:v>
      </x:c>
      <x:c r="D759" s="11" t="str">
        <x:v>2028-12-31</x:v>
      </x:c>
      <x:c r="E759" s="11" t="str">
        <x:v>USD</x:v>
      </x:c>
      <x:c r="F759" s="11" t="n">
        <x:v>1.730321697467488</x:v>
      </x:c>
      <x:c r="G759" s="26" t="b">
        <x:v>1</x:v>
      </x:c>
      <x:c r="H759" s="16" t="n">
        <x:v>0</x:v>
      </x:c>
      <x:c r="I759" s="16" t="n">
        <x:v>0</x:v>
      </x:c>
      <x:c r="J759" s="16" t="n">
        <x:v>0</x:v>
      </x:c>
      <x:c r="K759" s="11" t="n">
        <x:f>CHOOSE('假设'!$B$3,H759,I759,J759)</x:f>
        <x:v>0</x:v>
      </x:c>
      <x:c r="L759" s="11" t="n">
        <x:f>K759*'管线假设'!E183*'管线假设'!F183*'管线假设'!G183*IF(E759="USD",'管线假设'!I183,1)-AM759</x:f>
        <x:v>0</x:v>
      </x:c>
      <x:c r="M759" s="11" t="n">
        <x:f>'管线假设'!H183</x:f>
        <x:v>0.125</x:v>
      </x:c>
      <x:c r="N759" s="11" t="n">
        <x:f>IF(G759,L759*AN759/(1+M759)^F759,0)</x:f>
        <x:v>0</x:v>
      </x:c>
      <x:c r="AJ759" t="n">
        <x:v>0</x:v>
      </x:c>
      <x:c r="AK759" t="n">
        <x:v>0</x:v>
      </x:c>
      <x:c r="AL759" t="n">
        <x:v>0</x:v>
      </x:c>
      <x:c r="AM759" t="n">
        <x:f>CHOOSE('假设'!$B$3,AJ759,AK759,AL759)</x:f>
        <x:v>0</x:v>
      </x:c>
      <x:c r="AN759" t="n">
        <x:v>1</x:v>
      </x:c>
    </x:row>
    <x:row r="760" ht="23" customHeight="1">
      <x:c r="A760" s="11" t="str">
        <x:v>688192.SH</x:v>
      </x:c>
      <x:c r="B760" s="11" t="str">
        <x:v>半年</x:v>
      </x:c>
      <x:c r="C760" s="11" t="str">
        <x:v>bire_dlbcl</x:v>
      </x:c>
      <x:c r="D760" s="11" t="str">
        <x:v>2029-12-31</x:v>
      </x:c>
      <x:c r="E760" s="11" t="str">
        <x:v>USD</x:v>
      </x:c>
      <x:c r="F760" s="11" t="n">
        <x:v>2.729637234770705</x:v>
      </x:c>
      <x:c r="G760" s="26" t="b">
        <x:v>1</x:v>
      </x:c>
      <x:c r="H760" s="16" t="n">
        <x:v>0</x:v>
      </x:c>
      <x:c r="I760" s="16" t="n">
        <x:v>0</x:v>
      </x:c>
      <x:c r="J760" s="16" t="n">
        <x:v>0.5666666666666667</x:v>
      </x:c>
      <x:c r="K760" s="11" t="n">
        <x:f>CHOOSE('假设'!$B$3,H760,I760,J760)</x:f>
        <x:v>0</x:v>
      </x:c>
      <x:c r="L760" s="11" t="n">
        <x:f>K760*'管线假设'!E183*'管线假设'!F183*'管线假设'!G183*IF(E760="USD",'管线假设'!I183,1)-AM760</x:f>
        <x:v>0</x:v>
      </x:c>
      <x:c r="M760" s="11" t="n">
        <x:f>'管线假设'!H183</x:f>
        <x:v>0.125</x:v>
      </x:c>
      <x:c r="N760" s="11" t="n">
        <x:f>IF(G760,L760*AN760/(1+M760)^F760,0)</x:f>
        <x:v>0</x:v>
      </x:c>
      <x:c r="AJ760" t="n">
        <x:v>0</x:v>
      </x:c>
      <x:c r="AK760" t="n">
        <x:v>0</x:v>
      </x:c>
      <x:c r="AL760" t="n">
        <x:v>0</x:v>
      </x:c>
      <x:c r="AM760" t="n">
        <x:f>CHOOSE('假设'!$B$3,AJ760,AK760,AL760)</x:f>
        <x:v>0</x:v>
      </x:c>
      <x:c r="AN760" t="n">
        <x:v>1</x:v>
      </x:c>
    </x:row>
    <x:row r="761" ht="23" customHeight="1">
      <x:c r="A761" s="11" t="str">
        <x:v>688192.SH</x:v>
      </x:c>
      <x:c r="B761" s="11" t="str">
        <x:v>半年</x:v>
      </x:c>
      <x:c r="C761" s="11" t="str">
        <x:v>bire_dlbcl</x:v>
      </x:c>
      <x:c r="D761" s="11" t="str">
        <x:v>2030-12-31</x:v>
      </x:c>
      <x:c r="E761" s="11" t="str">
        <x:v>USD</x:v>
      </x:c>
      <x:c r="F761" s="11" t="n">
        <x:v>3.728952772073922</x:v>
      </x:c>
      <x:c r="G761" s="26" t="b">
        <x:v>1</x:v>
      </x:c>
      <x:c r="H761" s="16" t="n">
        <x:v>0</x:v>
      </x:c>
      <x:c r="I761" s="16" t="n">
        <x:v>0</x:v>
      </x:c>
      <x:c r="J761" s="16" t="n">
        <x:v>1.1333333333333333</x:v>
      </x:c>
      <x:c r="K761" s="11" t="n">
        <x:f>CHOOSE('假设'!$B$3,H761,I761,J761)</x:f>
        <x:v>0</x:v>
      </x:c>
      <x:c r="L761" s="11" t="n">
        <x:f>K761*'管线假设'!E183*'管线假设'!F183*'管线假设'!G183*IF(E761="USD",'管线假设'!I183,1)-AM761</x:f>
        <x:v>0</x:v>
      </x:c>
      <x:c r="M761" s="11" t="n">
        <x:f>'管线假设'!H183</x:f>
        <x:v>0.125</x:v>
      </x:c>
      <x:c r="N761" s="11" t="n">
        <x:f>IF(G761,L761*AN761/(1+M761)^F761,0)</x:f>
        <x:v>0</x:v>
      </x:c>
      <x:c r="AJ761" t="n">
        <x:v>0</x:v>
      </x:c>
      <x:c r="AK761" t="n">
        <x:v>0</x:v>
      </x:c>
      <x:c r="AL761" t="n">
        <x:v>0</x:v>
      </x:c>
      <x:c r="AM761" t="n">
        <x:f>CHOOSE('假设'!$B$3,AJ761,AK761,AL761)</x:f>
        <x:v>0</x:v>
      </x:c>
      <x:c r="AN761" t="n">
        <x:v>1</x:v>
      </x:c>
    </x:row>
    <x:row r="762" ht="23" customHeight="1">
      <x:c r="A762" s="11" t="str">
        <x:v>688192.SH</x:v>
      </x:c>
      <x:c r="B762" s="11" t="str">
        <x:v>半年</x:v>
      </x:c>
      <x:c r="C762" s="11" t="str">
        <x:v>bire_dlbcl</x:v>
      </x:c>
      <x:c r="D762" s="11" t="str">
        <x:v>2031-12-31</x:v>
      </x:c>
      <x:c r="E762" s="11" t="str">
        <x:v>USD</x:v>
      </x:c>
      <x:c r="F762" s="11" t="n">
        <x:v>4.728268309377139</x:v>
      </x:c>
      <x:c r="G762" s="26" t="b">
        <x:v>1</x:v>
      </x:c>
      <x:c r="H762" s="16" t="n">
        <x:v>0</x:v>
      </x:c>
      <x:c r="I762" s="16" t="n">
        <x:v>0.3</x:v>
      </x:c>
      <x:c r="J762" s="16" t="n">
        <x:v>1.7</x:v>
      </x:c>
      <x:c r="K762" s="11" t="n">
        <x:f>CHOOSE('假设'!$B$3,H762,I762,J762)</x:f>
        <x:v>0.3</x:v>
      </x:c>
      <x:c r="L762" s="11" t="n">
        <x:f>K762*'管线假设'!E183*'管线假设'!F183*'管线假设'!G183*IF(E762="USD",'管线假设'!I183,1)-AM762</x:f>
        <x:v>0.20497920000000006</x:v>
      </x:c>
      <x:c r="M762" s="11" t="n">
        <x:f>'管线假设'!H183</x:f>
        <x:v>0.125</x:v>
      </x:c>
      <x:c r="N762" s="11" t="n">
        <x:f>IF(G762,L762*AN762/(1+M762)^F762,0)</x:f>
        <x:v>0.117448356251159</x:v>
      </x:c>
      <x:c r="AJ762" t="n">
        <x:v>0</x:v>
      </x:c>
      <x:c r="AK762" t="n">
        <x:v>0</x:v>
      </x:c>
      <x:c r="AL762" t="n">
        <x:v>0</x:v>
      </x:c>
      <x:c r="AM762" t="n">
        <x:f>CHOOSE('假设'!$B$3,AJ762,AK762,AL762)</x:f>
        <x:v>0</x:v>
      </x:c>
      <x:c r="AN762" t="n">
        <x:v>1</x:v>
      </x:c>
    </x:row>
    <x:row r="763" ht="23" customHeight="1">
      <x:c r="A763" s="11" t="str">
        <x:v>688192.SH</x:v>
      </x:c>
      <x:c r="B763" s="11" t="str">
        <x:v>半年</x:v>
      </x:c>
      <x:c r="C763" s="11" t="str">
        <x:v>bire_dlbcl</x:v>
      </x:c>
      <x:c r="D763" s="11" t="str">
        <x:v>2032-12-31</x:v>
      </x:c>
      <x:c r="E763" s="11" t="str">
        <x:v>USD</x:v>
      </x:c>
      <x:c r="F763" s="11" t="n">
        <x:v>5.730321697467488</x:v>
      </x:c>
      <x:c r="G763" s="26" t="b">
        <x:v>1</x:v>
      </x:c>
      <x:c r="H763" s="16" t="n">
        <x:v>0</x:v>
      </x:c>
      <x:c r="I763" s="16" t="n">
        <x:v>0.6</x:v>
      </x:c>
      <x:c r="J763" s="16" t="n">
        <x:v>2.2666666666666666</x:v>
      </x:c>
      <x:c r="K763" s="11" t="n">
        <x:f>CHOOSE('假设'!$B$3,H763,I763,J763)</x:f>
        <x:v>0.6</x:v>
      </x:c>
      <x:c r="L763" s="11" t="n">
        <x:f>K763*'管线假设'!E183*'管线假设'!F183*'管线假设'!G183*IF(E763="USD",'管线假设'!I183,1)-AM763</x:f>
        <x:v>0.4099584000000001</x:v>
      </x:c>
      <x:c r="M763" s="11" t="n">
        <x:f>'管线假设'!H183</x:f>
        <x:v>0.125</x:v>
      </x:c>
      <x:c r="N763" s="11" t="n">
        <x:f>IF(G763,L763*AN763/(1+M763)^F763,0)</x:f>
        <x:v>0.2087465854185129</x:v>
      </x:c>
      <x:c r="AJ763" t="n">
        <x:v>0</x:v>
      </x:c>
      <x:c r="AK763" t="n">
        <x:v>0</x:v>
      </x:c>
      <x:c r="AL763" t="n">
        <x:v>0</x:v>
      </x:c>
      <x:c r="AM763" t="n">
        <x:f>CHOOSE('假设'!$B$3,AJ763,AK763,AL763)</x:f>
        <x:v>0</x:v>
      </x:c>
      <x:c r="AN763" t="n">
        <x:v>1</x:v>
      </x:c>
    </x:row>
    <x:row r="764" ht="23" customHeight="1">
      <x:c r="A764" s="11" t="str">
        <x:v>688192.SH</x:v>
      </x:c>
      <x:c r="B764" s="11" t="str">
        <x:v>半年</x:v>
      </x:c>
      <x:c r="C764" s="11" t="str">
        <x:v>bire_dlbcl</x:v>
      </x:c>
      <x:c r="D764" s="11" t="str">
        <x:v>2033-12-31</x:v>
      </x:c>
      <x:c r="E764" s="11" t="str">
        <x:v>USD</x:v>
      </x:c>
      <x:c r="F764" s="11" t="n">
        <x:v>6.729637234770705</x:v>
      </x:c>
      <x:c r="G764" s="26" t="b">
        <x:v>1</x:v>
      </x:c>
      <x:c r="H764" s="16" t="n">
        <x:v>0.1</x:v>
      </x:c>
      <x:c r="I764" s="16" t="n">
        <x:v>0.9</x:v>
      </x:c>
      <x:c r="J764" s="16" t="n">
        <x:v>2.8333333333333335</x:v>
      </x:c>
      <x:c r="K764" s="11" t="n">
        <x:f>CHOOSE('假设'!$B$3,H764,I764,J764)</x:f>
        <x:v>0.9</x:v>
      </x:c>
      <x:c r="L764" s="11" t="n">
        <x:f>K764*'管线假设'!E183*'管线假设'!F183*'管线假设'!G183*IF(E764="USD",'管线假设'!I183,1)-AM764</x:f>
        <x:v>0.6149376000000002</x:v>
      </x:c>
      <x:c r="M764" s="11" t="n">
        <x:f>'管线假设'!H183</x:f>
        <x:v>0.125</x:v>
      </x:c>
      <x:c r="N764" s="11" t="n">
        <x:f>IF(G764,L764*AN764/(1+M764)^F764,0)</x:f>
        <x:v>0.2783512197983648</x:v>
      </x:c>
      <x:c r="AJ764" t="n">
        <x:v>0</x:v>
      </x:c>
      <x:c r="AK764" t="n">
        <x:v>0</x:v>
      </x:c>
      <x:c r="AL764" t="n">
        <x:v>0</x:v>
      </x:c>
      <x:c r="AM764" t="n">
        <x:f>CHOOSE('假设'!$B$3,AJ764,AK764,AL764)</x:f>
        <x:v>0</x:v>
      </x:c>
      <x:c r="AN764" t="n">
        <x:v>1</x:v>
      </x:c>
    </x:row>
    <x:row r="765" ht="23" customHeight="1">
      <x:c r="A765" s="11" t="str">
        <x:v>688192.SH</x:v>
      </x:c>
      <x:c r="B765" s="11" t="str">
        <x:v>半年</x:v>
      </x:c>
      <x:c r="C765" s="11" t="str">
        <x:v>bire_dlbcl</x:v>
      </x:c>
      <x:c r="D765" s="11" t="str">
        <x:v>2034-12-31</x:v>
      </x:c>
      <x:c r="E765" s="11" t="str">
        <x:v>USD</x:v>
      </x:c>
      <x:c r="F765" s="11" t="n">
        <x:v>7.728952772073922</x:v>
      </x:c>
      <x:c r="G765" s="26" t="b">
        <x:v>1</x:v>
      </x:c>
      <x:c r="H765" s="16" t="n">
        <x:v>0.2</x:v>
      </x:c>
      <x:c r="I765" s="16" t="n">
        <x:v>1.2</x:v>
      </x:c>
      <x:c r="J765" s="16" t="n">
        <x:v>3.4</x:v>
      </x:c>
      <x:c r="K765" s="11" t="n">
        <x:f>CHOOSE('假设'!$B$3,H765,I765,J765)</x:f>
        <x:v>1.2</x:v>
      </x:c>
      <x:c r="L765" s="11" t="n">
        <x:f>K765*'管线假设'!E183*'管线假设'!F183*'管线假设'!G183*IF(E765="USD",'管线假设'!I183,1)-AM765</x:f>
        <x:v>0.8199168000000002</x:v>
      </x:c>
      <x:c r="M765" s="11" t="n">
        <x:f>'管线假设'!H183</x:f>
        <x:v>0.125</x:v>
      </x:c>
      <x:c r="N765" s="11" t="n">
        <x:f>IF(G765,L765*AN765/(1+M765)^F765,0)</x:f>
        <x:v>0.32992433878257077</x:v>
      </x:c>
      <x:c r="AJ765" t="n">
        <x:v>0</x:v>
      </x:c>
      <x:c r="AK765" t="n">
        <x:v>0</x:v>
      </x:c>
      <x:c r="AL765" t="n">
        <x:v>0</x:v>
      </x:c>
      <x:c r="AM765" t="n">
        <x:f>CHOOSE('假设'!$B$3,AJ765,AK765,AL765)</x:f>
        <x:v>0</x:v>
      </x:c>
      <x:c r="AN765" t="n">
        <x:v>1</x:v>
      </x:c>
    </x:row>
    <x:row r="766" ht="23" customHeight="1">
      <x:c r="A766" s="11" t="str">
        <x:v>688192.SH</x:v>
      </x:c>
      <x:c r="B766" s="11" t="str">
        <x:v>半年</x:v>
      </x:c>
      <x:c r="C766" s="11" t="str">
        <x:v>bire_dlbcl</x:v>
      </x:c>
      <x:c r="D766" s="11" t="str">
        <x:v>2035-12-31</x:v>
      </x:c>
      <x:c r="E766" s="11" t="str">
        <x:v>USD</x:v>
      </x:c>
      <x:c r="F766" s="11" t="n">
        <x:v>8.728268309377139</x:v>
      </x:c>
      <x:c r="G766" s="26" t="b">
        <x:v>1</x:v>
      </x:c>
      <x:c r="H766" s="16" t="n">
        <x:v>0.3</x:v>
      </x:c>
      <x:c r="I766" s="16" t="n">
        <x:v>1.5</x:v>
      </x:c>
      <x:c r="J766" s="16" t="n">
        <x:v>2.992</x:v>
      </x:c>
      <x:c r="K766" s="11" t="n">
        <x:f>CHOOSE('假设'!$B$3,H766,I766,J766)</x:f>
        <x:v>1.5</x:v>
      </x:c>
      <x:c r="L766" s="11" t="n">
        <x:f>K766*'管线假设'!E183*'管线假设'!F183*'管线假设'!G183*IF(E766="USD",'管线假设'!I183,1)-AM766</x:f>
        <x:v>1.024896</x:v>
      </x:c>
      <x:c r="M766" s="11" t="n">
        <x:f>'管线假设'!H183</x:f>
        <x:v>0.125</x:v>
      </x:c>
      <x:c r="N766" s="11" t="n">
        <x:f>IF(G766,L766*AN766/(1+M766)^F766,0)</x:f>
        <x:v>0.36661215302907113</x:v>
      </x:c>
      <x:c r="AJ766" t="n">
        <x:v>0</x:v>
      </x:c>
      <x:c r="AK766" t="n">
        <x:v>0</x:v>
      </x:c>
      <x:c r="AL766" t="n">
        <x:v>0</x:v>
      </x:c>
      <x:c r="AM766" t="n">
        <x:f>CHOOSE('假设'!$B$3,AJ766,AK766,AL766)</x:f>
        <x:v>0</x:v>
      </x:c>
      <x:c r="AN766" t="n">
        <x:v>1</x:v>
      </x:c>
    </x:row>
    <x:row r="767" ht="23" customHeight="1">
      <x:c r="A767" s="11" t="str">
        <x:v>688192.SH</x:v>
      </x:c>
      <x:c r="B767" s="11" t="str">
        <x:v>半年</x:v>
      </x:c>
      <x:c r="C767" s="11" t="str">
        <x:v>bire_dlbcl</x:v>
      </x:c>
      <x:c r="D767" s="11" t="str">
        <x:v>2036-12-31</x:v>
      </x:c>
      <x:c r="E767" s="11" t="str">
        <x:v>USD</x:v>
      </x:c>
      <x:c r="F767" s="11" t="n">
        <x:v>9.730321697467488</x:v>
      </x:c>
      <x:c r="G767" s="26" t="b">
        <x:v>1</x:v>
      </x:c>
      <x:c r="H767" s="16" t="n">
        <x:v>0.4</x:v>
      </x:c>
      <x:c r="I767" s="16" t="n">
        <x:v>1.8</x:v>
      </x:c>
      <x:c r="J767" s="16" t="n">
        <x:v>2.584</x:v>
      </x:c>
      <x:c r="K767" s="11" t="n">
        <x:f>CHOOSE('假设'!$B$3,H767,I767,J767)</x:f>
        <x:v>1.8</x:v>
      </x:c>
      <x:c r="L767" s="11" t="n">
        <x:f>K767*'管线假设'!E183*'管线假设'!F183*'管线假设'!G183*IF(E767="USD",'管线假设'!I183,1)-AM767</x:f>
        <x:v>1.2298752000000004</x:v>
      </x:c>
      <x:c r="M767" s="11" t="n">
        <x:f>'管线假设'!H183</x:f>
        <x:v>0.125</x:v>
      </x:c>
      <x:c r="N767" s="11" t="n">
        <x:f>IF(G767,L767*AN767/(1+M767)^F767,0)</x:f>
        <x:v>0.3909583968332094</x:v>
      </x:c>
      <x:c r="AJ767" t="n">
        <x:v>0</x:v>
      </x:c>
      <x:c r="AK767" t="n">
        <x:v>0</x:v>
      </x:c>
      <x:c r="AL767" t="n">
        <x:v>0</x:v>
      </x:c>
      <x:c r="AM767" t="n">
        <x:f>CHOOSE('假设'!$B$3,AJ767,AK767,AL767)</x:f>
        <x:v>0</x:v>
      </x:c>
      <x:c r="AN767" t="n">
        <x:v>1</x:v>
      </x:c>
    </x:row>
    <x:row r="768" ht="23" customHeight="1">
      <x:c r="A768" s="11" t="str">
        <x:v>688192.SH</x:v>
      </x:c>
      <x:c r="B768" s="11" t="str">
        <x:v>半年</x:v>
      </x:c>
      <x:c r="C768" s="11" t="str">
        <x:v>bire_dlbcl</x:v>
      </x:c>
      <x:c r="D768" s="11" t="str">
        <x:v>2037-12-31</x:v>
      </x:c>
      <x:c r="E768" s="11" t="str">
        <x:v>USD</x:v>
      </x:c>
      <x:c r="F768" s="11" t="n">
        <x:v>10.729637234770705</x:v>
      </x:c>
      <x:c r="G768" s="26" t="b">
        <x:v>1</x:v>
      </x:c>
      <x:c r="H768" s="16" t="n">
        <x:v>0.5</x:v>
      </x:c>
      <x:c r="I768" s="16" t="n">
        <x:v>1.584</x:v>
      </x:c>
      <x:c r="J768" s="16" t="n">
        <x:v>2.176</x:v>
      </x:c>
      <x:c r="K768" s="11" t="n">
        <x:f>CHOOSE('假设'!$B$3,H768,I768,J768)</x:f>
        <x:v>1.584</x:v>
      </x:c>
      <x:c r="L768" s="11" t="n">
        <x:f>K768*'管线假设'!E183*'管线假设'!F183*'管线假设'!G183*IF(E768="USD",'管线假设'!I183,1)-AM768</x:f>
        <x:v>1.082290176</x:v>
      </x:c>
      <x:c r="M768" s="11" t="n">
        <x:f>'管线假设'!H183</x:f>
        <x:v>0.125</x:v>
      </x:c>
      <x:c r="N768" s="11" t="n">
        <x:f>IF(G768,L768*AN768/(1+M768)^F768,0)</x:f>
        <x:v>0.30584100129212305</x:v>
      </x:c>
      <x:c r="AJ768" t="n">
        <x:v>0</x:v>
      </x:c>
      <x:c r="AK768" t="n">
        <x:v>0</x:v>
      </x:c>
      <x:c r="AL768" t="n">
        <x:v>0</x:v>
      </x:c>
      <x:c r="AM768" t="n">
        <x:f>CHOOSE('假设'!$B$3,AJ768,AK768,AL768)</x:f>
        <x:v>0</x:v>
      </x:c>
      <x:c r="AN768" t="n">
        <x:v>1</x:v>
      </x:c>
    </x:row>
    <x:row r="769" ht="23" customHeight="1">
      <x:c r="A769" s="11" t="str">
        <x:v>688192.SH</x:v>
      </x:c>
      <x:c r="B769" s="11" t="str">
        <x:v>半年</x:v>
      </x:c>
      <x:c r="C769" s="11" t="str">
        <x:v>bire_dlbcl</x:v>
      </x:c>
      <x:c r="D769" s="11" t="str">
        <x:v>2038-12-31</x:v>
      </x:c>
      <x:c r="E769" s="11" t="str">
        <x:v>USD</x:v>
      </x:c>
      <x:c r="F769" s="11" t="n">
        <x:v>11.728952772073923</x:v>
      </x:c>
      <x:c r="G769" s="26" t="b">
        <x:v>1</x:v>
      </x:c>
      <x:c r="H769" s="16" t="n">
        <x:v>0.44</x:v>
      </x:c>
      <x:c r="I769" s="16" t="n">
        <x:v>1.368</x:v>
      </x:c>
      <x:c r="J769" s="16" t="n">
        <x:v>1.768</x:v>
      </x:c>
      <x:c r="K769" s="11" t="n">
        <x:f>CHOOSE('假设'!$B$3,H769,I769,J769)</x:f>
        <x:v>1.368</x:v>
      </x:c>
      <x:c r="L769" s="11" t="n">
        <x:f>K769*'管线假设'!E183*'管线假设'!F183*'管线假设'!G183*IF(E769="USD",'管线假设'!I183,1)-AM769</x:f>
        <x:v>0.9347051520000003</x:v>
      </x:c>
      <x:c r="M769" s="11" t="n">
        <x:f>'管线假设'!H183</x:f>
        <x:v>0.125</x:v>
      </x:c>
      <x:c r="N769" s="11" t="n">
        <x:f>IF(G769,L769*AN769/(1+M769)^F769,0)</x:f>
        <x:v>0.2348059601409674</x:v>
      </x:c>
      <x:c r="AJ769" t="n">
        <x:v>0</x:v>
      </x:c>
      <x:c r="AK769" t="n">
        <x:v>0</x:v>
      </x:c>
      <x:c r="AL769" t="n">
        <x:v>0</x:v>
      </x:c>
      <x:c r="AM769" t="n">
        <x:f>CHOOSE('假设'!$B$3,AJ769,AK769,AL769)</x:f>
        <x:v>0</x:v>
      </x:c>
      <x:c r="AN769" t="n">
        <x:v>1</x:v>
      </x:c>
    </x:row>
    <x:row r="770" ht="23" customHeight="1">
      <x:c r="A770" s="11" t="str">
        <x:v>688192.SH</x:v>
      </x:c>
      <x:c r="B770" s="11" t="str">
        <x:v>半年</x:v>
      </x:c>
      <x:c r="C770" s="11" t="str">
        <x:v>bire_dlbcl</x:v>
      </x:c>
      <x:c r="D770" s="11" t="str">
        <x:v>2039-12-31</x:v>
      </x:c>
      <x:c r="E770" s="11" t="str">
        <x:v>USD</x:v>
      </x:c>
      <x:c r="F770" s="11" t="n">
        <x:v>12.728268309377139</x:v>
      </x:c>
      <x:c r="G770" s="26" t="b">
        <x:v>1</x:v>
      </x:c>
      <x:c r="H770" s="16" t="n">
        <x:v>0.38</x:v>
      </x:c>
      <x:c r="I770" s="16" t="n">
        <x:v>1.1520000000000001</x:v>
      </x:c>
      <x:c r="J770" s="16" t="n">
        <x:v>1.36</x:v>
      </x:c>
      <x:c r="K770" s="11" t="n">
        <x:f>CHOOSE('假设'!$B$3,H770,I770,J770)</x:f>
        <x:v>1.1520000000000001</x:v>
      </x:c>
      <x:c r="L770" s="11" t="n">
        <x:f>K770*'管线假设'!E183*'管线假设'!F183*'管线假设'!G183*IF(E770="USD",'管线假设'!I183,1)-AM770</x:f>
        <x:v>0.7871201280000002</x:v>
      </x:c>
      <x:c r="M770" s="11" t="n">
        <x:f>'管线假设'!H183</x:f>
        <x:v>0.125</x:v>
      </x:c>
      <x:c r="N770" s="11" t="n">
        <x:f>IF(G770,L770*AN770/(1+M770)^F770,0)</x:f>
        <x:v>0.1757753566413404</x:v>
      </x:c>
      <x:c r="AJ770" t="n">
        <x:v>0</x:v>
      </x:c>
      <x:c r="AK770" t="n">
        <x:v>0</x:v>
      </x:c>
      <x:c r="AL770" t="n">
        <x:v>0</x:v>
      </x:c>
      <x:c r="AM770" t="n">
        <x:f>CHOOSE('假设'!$B$3,AJ770,AK770,AL770)</x:f>
        <x:v>0</x:v>
      </x:c>
      <x:c r="AN770" t="n">
        <x:v>1</x:v>
      </x:c>
    </x:row>
    <x:row r="771" ht="23" customHeight="1">
      <x:c r="A771" s="11" t="str">
        <x:v>688192.SH</x:v>
      </x:c>
      <x:c r="B771" s="11" t="str">
        <x:v>半年</x:v>
      </x:c>
      <x:c r="C771" s="11" t="str">
        <x:v>bire_dlbcl</x:v>
      </x:c>
      <x:c r="D771" s="11" t="str">
        <x:v>2040-12-31</x:v>
      </x:c>
      <x:c r="E771" s="11" t="str">
        <x:v>USD</x:v>
      </x:c>
      <x:c r="F771" s="11" t="n">
        <x:v>13.730321697467488</x:v>
      </x:c>
      <x:c r="G771" s="26" t="b">
        <x:v>1</x:v>
      </x:c>
      <x:c r="H771" s="16" t="n">
        <x:v>0.32</x:v>
      </x:c>
      <x:c r="I771" s="16" t="n">
        <x:v>0.936</x:v>
      </x:c>
      <x:c r="J771" s="16" t="n">
        <x:v>0.9520000000000001</x:v>
      </x:c>
      <x:c r="K771" s="11" t="n">
        <x:f>CHOOSE('假设'!$B$3,H771,I771,J771)</x:f>
        <x:v>0.936</x:v>
      </x:c>
      <x:c r="L771" s="11" t="n">
        <x:f>K771*'管线假设'!E183*'管线假设'!F183*'管线假设'!G183*IF(E771="USD",'管线假设'!I183,1)-AM771</x:f>
        <x:v>0.639535104</x:v>
      </x:c>
      <x:c r="M771" s="11" t="n">
        <x:f>'管线假设'!H183</x:f>
        <x:v>0.125</x:v>
      </x:c>
      <x:c r="N771" s="11" t="n">
        <x:f>IF(G771,L771*AN771/(1+M771)^F771,0)</x:f>
        <x:v>0.12691816927038393</x:v>
      </x:c>
      <x:c r="AJ771" t="n">
        <x:v>0</x:v>
      </x:c>
      <x:c r="AK771" t="n">
        <x:v>0</x:v>
      </x:c>
      <x:c r="AL771" t="n">
        <x:v>0</x:v>
      </x:c>
      <x:c r="AM771" t="n">
        <x:f>CHOOSE('假设'!$B$3,AJ771,AK771,AL771)</x:f>
        <x:v>0</x:v>
      </x:c>
      <x:c r="AN771" t="n">
        <x:v>1</x:v>
      </x:c>
    </x:row>
    <x:row r="772" ht="23" customHeight="1">
      <x:c r="A772" s="11" t="str">
        <x:v>688192.SH</x:v>
      </x:c>
      <x:c r="B772" s="11" t="str">
        <x:v>半年</x:v>
      </x:c>
      <x:c r="C772" s="11" t="str">
        <x:v>bire_dlbcl</x:v>
      </x:c>
      <x:c r="D772" s="11" t="str">
        <x:v>2041-12-31</x:v>
      </x:c>
      <x:c r="E772" s="11" t="str">
        <x:v>USD</x:v>
      </x:c>
      <x:c r="F772" s="11" t="n">
        <x:v>14.729637234770705</x:v>
      </x:c>
      <x:c r="G772" s="26" t="b">
        <x:v>1</x:v>
      </x:c>
      <x:c r="H772" s="16" t="n">
        <x:v>0.26</x:v>
      </x:c>
      <x:c r="I772" s="16" t="n">
        <x:v>0.7200000000000001</x:v>
      </x:c>
      <x:c r="J772" s="16" t="n">
        <x:v>0.544</x:v>
      </x:c>
      <x:c r="K772" s="11" t="n">
        <x:f>CHOOSE('假设'!$B$3,H772,I772,J772)</x:f>
        <x:v>0.7200000000000001</x:v>
      </x:c>
      <x:c r="L772" s="11" t="n">
        <x:f>K772*'管线假设'!E183*'管线假设'!F183*'管线假设'!G183*IF(E772="USD",'管线假设'!I183,1)-AM772</x:f>
        <x:v>0.4919500800000001</x:v>
      </x:c>
      <x:c r="M772" s="11" t="n">
        <x:f>'管线假设'!H183</x:f>
        <x:v>0.125</x:v>
      </x:c>
      <x:c r="N772" s="11" t="n">
        <x:f>IF(G772,L772*AN772/(1+M772)^F772,0)</x:f>
        <x:v>0.08678865065556361</x:v>
      </x:c>
      <x:c r="AJ772" t="n">
        <x:v>0</x:v>
      </x:c>
      <x:c r="AK772" t="n">
        <x:v>0</x:v>
      </x:c>
      <x:c r="AL772" t="n">
        <x:v>0</x:v>
      </x:c>
      <x:c r="AM772" t="n">
        <x:f>CHOOSE('假设'!$B$3,AJ772,AK772,AL772)</x:f>
        <x:v>0</x:v>
      </x:c>
      <x:c r="AN772" t="n">
        <x:v>1</x:v>
      </x:c>
    </x:row>
    <x:row r="773" ht="23" customHeight="1">
      <x:c r="A773" s="11" t="str">
        <x:v>688192.SH</x:v>
      </x:c>
      <x:c r="B773" s="11" t="str">
        <x:v>半年</x:v>
      </x:c>
      <x:c r="C773" s="11" t="str">
        <x:v>bire_dlbcl</x:v>
      </x:c>
      <x:c r="D773" s="11" t="str">
        <x:v>2042-12-31</x:v>
      </x:c>
      <x:c r="E773" s="11" t="str">
        <x:v>USD</x:v>
      </x:c>
      <x:c r="F773" s="11" t="n">
        <x:v>15.728952772073923</x:v>
      </x:c>
      <x:c r="G773" s="26" t="b">
        <x:v>1</x:v>
      </x:c>
      <x:c r="H773" s="16" t="n">
        <x:v>0.2</x:v>
      </x:c>
      <x:c r="I773" s="16" t="n">
        <x:v>0.5040000000000001</x:v>
      </x:c>
      <x:c r="J773" s="16" t="n">
        <x:v>0.13600000000000012</x:v>
      </x:c>
      <x:c r="K773" s="11" t="n">
        <x:f>CHOOSE('假设'!$B$3,H773,I773,J773)</x:f>
        <x:v>0.5040000000000001</x:v>
      </x:c>
      <x:c r="L773" s="11" t="n">
        <x:f>K773*'管线假设'!E183*'管线假设'!F183*'管线假设'!G183*IF(E773="USD",'管线假设'!I183,1)-AM773</x:f>
        <x:v>0.3443650560000001</x:v>
      </x:c>
      <x:c r="M773" s="11" t="n">
        <x:f>'管线假设'!H183</x:f>
        <x:v>0.125</x:v>
      </x:c>
      <x:c r="N773" s="11" t="n">
        <x:f>IF(G773,L773*AN773/(1+M773)^F773,0)</x:f>
        <x:v>0.054006180774447236</x:v>
      </x:c>
      <x:c r="AJ773" t="n">
        <x:v>0</x:v>
      </x:c>
      <x:c r="AK773" t="n">
        <x:v>0</x:v>
      </x:c>
      <x:c r="AL773" t="n">
        <x:v>0</x:v>
      </x:c>
      <x:c r="AM773" t="n">
        <x:f>CHOOSE('假设'!$B$3,AJ773,AK773,AL773)</x:f>
        <x:v>0</x:v>
      </x:c>
      <x:c r="AN773" t="n">
        <x:v>1</x:v>
      </x:c>
    </x:row>
    <x:row r="774" ht="23" customHeight="1">
      <x:c r="A774" s="11" t="str">
        <x:v>688192.SH</x:v>
      </x:c>
      <x:c r="B774" s="11" t="str">
        <x:v>半年</x:v>
      </x:c>
      <x:c r="C774" s="11" t="str">
        <x:v>bire_dlbcl</x:v>
      </x:c>
      <x:c r="D774" s="11" t="str">
        <x:v>2043-12-31</x:v>
      </x:c>
      <x:c r="E774" s="11" t="str">
        <x:v>USD</x:v>
      </x:c>
      <x:c r="F774" s="11" t="n">
        <x:v>16.72826830937714</x:v>
      </x:c>
      <x:c r="G774" s="26" t="b">
        <x:v>1</x:v>
      </x:c>
      <x:c r="H774" s="16" t="n">
        <x:v>0.14</x:v>
      </x:c>
      <x:c r="I774" s="16" t="n">
        <x:v>0.2880000000000001</x:v>
      </x:c>
      <x:c r="J774" s="16" t="n">
        <x:v>0</x:v>
      </x:c>
      <x:c r="K774" s="11" t="n">
        <x:f>CHOOSE('假设'!$B$3,H774,I774,J774)</x:f>
        <x:v>0.2880000000000001</x:v>
      </x:c>
      <x:c r="L774" s="11" t="n">
        <x:f>K774*'管线假设'!E183*'管线假设'!F183*'管线假设'!G183*IF(E774="USD",'管线假设'!I183,1)-AM774</x:f>
        <x:v>0.1967800320000001</x:v>
      </x:c>
      <x:c r="M774" s="11" t="n">
        <x:f>'管线假设'!H183</x:f>
        <x:v>0.125</x:v>
      </x:c>
      <x:c r="N774" s="11" t="n">
        <x:f>IF(G774,L774*AN774/(1+M774)^F774,0)</x:f>
        <x:v>0.027433922450957566</x:v>
      </x:c>
      <x:c r="AJ774" t="n">
        <x:v>0</x:v>
      </x:c>
      <x:c r="AK774" t="n">
        <x:v>0</x:v>
      </x:c>
      <x:c r="AL774" t="n">
        <x:v>0</x:v>
      </x:c>
      <x:c r="AM774" t="n">
        <x:f>CHOOSE('假设'!$B$3,AJ774,AK774,AL774)</x:f>
        <x:v>0</x:v>
      </x:c>
      <x:c r="AN774" t="n">
        <x:v>1</x:v>
      </x:c>
    </x:row>
    <x:row r="775" ht="23" customHeight="1">
      <x:c r="A775" s="11" t="str">
        <x:v>688192.SH</x:v>
      </x:c>
      <x:c r="B775" s="11" t="str">
        <x:v>半年</x:v>
      </x:c>
      <x:c r="C775" s="11" t="str">
        <x:v>bire_dlbcl</x:v>
      </x:c>
      <x:c r="D775" s="11" t="str">
        <x:v>2044-12-31</x:v>
      </x:c>
      <x:c r="E775" s="11" t="str">
        <x:v>USD</x:v>
      </x:c>
      <x:c r="F775" s="11" t="n">
        <x:v>17.730321697467488</x:v>
      </x:c>
      <x:c r="G775" s="26" t="b">
        <x:v>1</x:v>
      </x:c>
      <x:c r="H775" s="16" t="n">
        <x:v>0.08000000000000002</x:v>
      </x:c>
      <x:c r="I775" s="16" t="n">
        <x:v>0.07200000000000006</x:v>
      </x:c>
      <x:c r="J775" s="16" t="n">
        <x:v>0</x:v>
      </x:c>
      <x:c r="K775" s="11" t="n">
        <x:f>CHOOSE('假设'!$B$3,H775,I775,J775)</x:f>
        <x:v>0.07200000000000006</x:v>
      </x:c>
      <x:c r="L775" s="11" t="n">
        <x:f>K775*'管线假设'!E183*'管线假设'!F183*'管线假设'!G183*IF(E775="USD",'管线假设'!I183,1)-AM775</x:f>
        <x:v>0.049195008000000054</x:v>
      </x:c>
      <x:c r="M775" s="11" t="n">
        <x:f>'管线假设'!H183</x:f>
        <x:v>0.125</x:v>
      </x:c>
      <x:c r="N775" s="11" t="n">
        <x:f>IF(G775,L775*AN775/(1+M775)^F775,0)</x:f>
        <x:v>0.006094952942580202</x:v>
      </x:c>
      <x:c r="AJ775" t="n">
        <x:v>0</x:v>
      </x:c>
      <x:c r="AK775" t="n">
        <x:v>0</x:v>
      </x:c>
      <x:c r="AL775" t="n">
        <x:v>0</x:v>
      </x:c>
      <x:c r="AM775" t="n">
        <x:f>CHOOSE('假设'!$B$3,AJ775,AK775,AL775)</x:f>
        <x:v>0</x:v>
      </x:c>
      <x:c r="AN775" t="n">
        <x:v>1</x:v>
      </x:c>
    </x:row>
    <x:row r="776" ht="23" customHeight="1">
      <x:c r="A776" s="11" t="str">
        <x:v>688192.SH</x:v>
      </x:c>
      <x:c r="B776" s="11" t="str">
        <x:v>半年</x:v>
      </x:c>
      <x:c r="C776" s="11" t="str">
        <x:v>bire_dlbcl</x:v>
      </x:c>
      <x:c r="D776" s="11" t="str">
        <x:v>2045-12-31</x:v>
      </x:c>
      <x:c r="E776" s="11" t="str">
        <x:v>USD</x:v>
      </x:c>
      <x:c r="F776" s="11" t="n">
        <x:v>18.729637234770706</x:v>
      </x:c>
      <x:c r="G776" s="26" t="b">
        <x:v>1</x:v>
      </x:c>
      <x:c r="H776" s="16" t="n">
        <x:v>0.020000000000000018</x:v>
      </x:c>
      <x:c r="I776" s="16" t="n">
        <x:v>0</x:v>
      </x:c>
      <x:c r="J776" s="16" t="n">
        <x:v>0</x:v>
      </x:c>
      <x:c r="K776" s="11" t="n">
        <x:f>CHOOSE('假设'!$B$3,H776,I776,J776)</x:f>
        <x:v>0</x:v>
      </x:c>
      <x:c r="L776" s="11" t="n">
        <x:f>K776*'管线假设'!E183*'管线假设'!F183*'管线假设'!G183*IF(E776="USD",'管线假设'!I183,1)-AM776</x:f>
        <x:v>0</x:v>
      </x:c>
      <x:c r="M776" s="11" t="n">
        <x:f>'管线假设'!H183</x:f>
        <x:v>0.125</x:v>
      </x:c>
      <x:c r="N776" s="11" t="n">
        <x:f>IF(G776,L776*AN776/(1+M776)^F776,0)</x:f>
        <x:v>0</x:v>
      </x:c>
      <x:c r="AJ776" t="n">
        <x:v>0</x:v>
      </x:c>
      <x:c r="AK776" t="n">
        <x:v>0</x:v>
      </x:c>
      <x:c r="AL776" t="n">
        <x:v>0</x:v>
      </x:c>
      <x:c r="AM776" t="n">
        <x:f>CHOOSE('假设'!$B$3,AJ776,AK776,AL776)</x:f>
        <x:v>0</x:v>
      </x:c>
      <x:c r="AN776" t="n">
        <x:v>1</x:v>
      </x:c>
    </x:row>
    <x:row r="777" ht="23" customHeight="1">
      <x:c r="A777" s="11" t="str">
        <x:v>688192.SH</x:v>
      </x:c>
      <x:c r="B777" s="11" t="str">
        <x:v>半年</x:v>
      </x:c>
      <x:c r="C777" s="11" t="str">
        <x:v>dzd6008</x:v>
      </x:c>
      <x:c r="D777" s="11" t="str">
        <x:v>2027-12-31</x:v>
      </x:c>
      <x:c r="E777" s="11" t="str">
        <x:v>USD</x:v>
      </x:c>
      <x:c r="F777" s="11" t="n">
        <x:v>0.7282683093771389</x:v>
      </x:c>
      <x:c r="G777" s="26" t="b">
        <x:v>1</x:v>
      </x:c>
      <x:c r="H777" s="16" t="n">
        <x:v>0</x:v>
      </x:c>
      <x:c r="I777" s="16" t="n">
        <x:v>0</x:v>
      </x:c>
      <x:c r="J777" s="16" t="n">
        <x:v>0</x:v>
      </x:c>
      <x:c r="K777" s="11" t="n">
        <x:f>CHOOSE('假设'!$B$3,H777,I777,J777)</x:f>
        <x:v>0</x:v>
      </x:c>
      <x:c r="L777" s="11" t="n">
        <x:f>K777*'管线假设'!E187*'管线假设'!F187*'管线假设'!G187*IF(E777="USD",'管线假设'!I187,1)-AM777</x:f>
        <x:v>0</x:v>
      </x:c>
      <x:c r="M777" s="11" t="n">
        <x:f>'管线假设'!H187</x:f>
        <x:v>0.125</x:v>
      </x:c>
      <x:c r="N777" s="11" t="n">
        <x:f>IF(G777,L777*AN777/(1+M777)^F777,0)</x:f>
        <x:v>0</x:v>
      </x:c>
      <x:c r="AJ777" t="n">
        <x:v>0</x:v>
      </x:c>
      <x:c r="AK777" t="n">
        <x:v>0</x:v>
      </x:c>
      <x:c r="AL777" t="n">
        <x:v>0</x:v>
      </x:c>
      <x:c r="AM777" t="n">
        <x:f>CHOOSE('假设'!$B$3,AJ777,AK777,AL777)</x:f>
        <x:v>0</x:v>
      </x:c>
      <x:c r="AN777" t="n">
        <x:v>1</x:v>
      </x:c>
    </x:row>
    <x:row r="778" ht="23" customHeight="1">
      <x:c r="A778" s="11" t="str">
        <x:v>688192.SH</x:v>
      </x:c>
      <x:c r="B778" s="11" t="str">
        <x:v>半年</x:v>
      </x:c>
      <x:c r="C778" s="11" t="str">
        <x:v>dzd6008</x:v>
      </x:c>
      <x:c r="D778" s="11" t="str">
        <x:v>2028-12-31</x:v>
      </x:c>
      <x:c r="E778" s="11" t="str">
        <x:v>USD</x:v>
      </x:c>
      <x:c r="F778" s="11" t="n">
        <x:v>1.730321697467488</x:v>
      </x:c>
      <x:c r="G778" s="26" t="b">
        <x:v>1</x:v>
      </x:c>
      <x:c r="H778" s="16" t="n">
        <x:v>0</x:v>
      </x:c>
      <x:c r="I778" s="16" t="n">
        <x:v>0</x:v>
      </x:c>
      <x:c r="J778" s="16" t="n">
        <x:v>0</x:v>
      </x:c>
      <x:c r="K778" s="11" t="n">
        <x:f>CHOOSE('假设'!$B$3,H778,I778,J778)</x:f>
        <x:v>0</x:v>
      </x:c>
      <x:c r="L778" s="11" t="n">
        <x:f>K778*'管线假设'!E187*'管线假设'!F187*'管线假设'!G187*IF(E778="USD",'管线假设'!I187,1)-AM778</x:f>
        <x:v>0</x:v>
      </x:c>
      <x:c r="M778" s="11" t="n">
        <x:f>'管线假设'!H187</x:f>
        <x:v>0.125</x:v>
      </x:c>
      <x:c r="N778" s="11" t="n">
        <x:f>IF(G778,L778*AN778/(1+M778)^F778,0)</x:f>
        <x:v>0</x:v>
      </x:c>
      <x:c r="AJ778" t="n">
        <x:v>0</x:v>
      </x:c>
      <x:c r="AK778" t="n">
        <x:v>0</x:v>
      </x:c>
      <x:c r="AL778" t="n">
        <x:v>0</x:v>
      </x:c>
      <x:c r="AM778" t="n">
        <x:f>CHOOSE('假设'!$B$3,AJ778,AK778,AL778)</x:f>
        <x:v>0</x:v>
      </x:c>
      <x:c r="AN778" t="n">
        <x:v>1</x:v>
      </x:c>
    </x:row>
    <x:row r="779" ht="23" customHeight="1">
      <x:c r="A779" s="11" t="str">
        <x:v>688192.SH</x:v>
      </x:c>
      <x:c r="B779" s="11" t="str">
        <x:v>半年</x:v>
      </x:c>
      <x:c r="C779" s="11" t="str">
        <x:v>dzd6008</x:v>
      </x:c>
      <x:c r="D779" s="11" t="str">
        <x:v>2029-12-31</x:v>
      </x:c>
      <x:c r="E779" s="11" t="str">
        <x:v>USD</x:v>
      </x:c>
      <x:c r="F779" s="11" t="n">
        <x:v>2.729637234770705</x:v>
      </x:c>
      <x:c r="G779" s="26" t="b">
        <x:v>1</x:v>
      </x:c>
      <x:c r="H779" s="16" t="n">
        <x:v>0</x:v>
      </x:c>
      <x:c r="I779" s="16" t="n">
        <x:v>0</x:v>
      </x:c>
      <x:c r="J779" s="16" t="n">
        <x:v>0.75</x:v>
      </x:c>
      <x:c r="K779" s="11" t="n">
        <x:f>CHOOSE('假设'!$B$3,H779,I779,J779)</x:f>
        <x:v>0</x:v>
      </x:c>
      <x:c r="L779" s="11" t="n">
        <x:f>K779*'管线假设'!E187*'管线假设'!F187*'管线假设'!G187*IF(E779="USD",'管线假设'!I187,1)-AM779</x:f>
        <x:v>0</x:v>
      </x:c>
      <x:c r="M779" s="11" t="n">
        <x:f>'管线假设'!H187</x:f>
        <x:v>0.125</x:v>
      </x:c>
      <x:c r="N779" s="11" t="n">
        <x:f>IF(G779,L779*AN779/(1+M779)^F779,0)</x:f>
        <x:v>0</x:v>
      </x:c>
      <x:c r="AJ779" t="n">
        <x:v>0</x:v>
      </x:c>
      <x:c r="AK779" t="n">
        <x:v>0</x:v>
      </x:c>
      <x:c r="AL779" t="n">
        <x:v>0</x:v>
      </x:c>
      <x:c r="AM779" t="n">
        <x:f>CHOOSE('假设'!$B$3,AJ779,AK779,AL779)</x:f>
        <x:v>0</x:v>
      </x:c>
      <x:c r="AN779" t="n">
        <x:v>1</x:v>
      </x:c>
    </x:row>
    <x:row r="780" ht="23" customHeight="1">
      <x:c r="A780" s="11" t="str">
        <x:v>688192.SH</x:v>
      </x:c>
      <x:c r="B780" s="11" t="str">
        <x:v>半年</x:v>
      </x:c>
      <x:c r="C780" s="11" t="str">
        <x:v>dzd6008</x:v>
      </x:c>
      <x:c r="D780" s="11" t="str">
        <x:v>2030-12-31</x:v>
      </x:c>
      <x:c r="E780" s="11" t="str">
        <x:v>USD</x:v>
      </x:c>
      <x:c r="F780" s="11" t="n">
        <x:v>3.728952772073922</x:v>
      </x:c>
      <x:c r="G780" s="26" t="b">
        <x:v>1</x:v>
      </x:c>
      <x:c r="H780" s="16" t="n">
        <x:v>0</x:v>
      </x:c>
      <x:c r="I780" s="16" t="n">
        <x:v>0</x:v>
      </x:c>
      <x:c r="J780" s="16" t="n">
        <x:v>1.5</x:v>
      </x:c>
      <x:c r="K780" s="11" t="n">
        <x:f>CHOOSE('假设'!$B$3,H780,I780,J780)</x:f>
        <x:v>0</x:v>
      </x:c>
      <x:c r="L780" s="11" t="n">
        <x:f>K780*'管线假设'!E187*'管线假设'!F187*'管线假设'!G187*IF(E780="USD",'管线假设'!I187,1)-AM780</x:f>
        <x:v>0</x:v>
      </x:c>
      <x:c r="M780" s="11" t="n">
        <x:f>'管线假设'!H187</x:f>
        <x:v>0.125</x:v>
      </x:c>
      <x:c r="N780" s="11" t="n">
        <x:f>IF(G780,L780*AN780/(1+M780)^F780,0)</x:f>
        <x:v>0</x:v>
      </x:c>
      <x:c r="AJ780" t="n">
        <x:v>0</x:v>
      </x:c>
      <x:c r="AK780" t="n">
        <x:v>0</x:v>
      </x:c>
      <x:c r="AL780" t="n">
        <x:v>0</x:v>
      </x:c>
      <x:c r="AM780" t="n">
        <x:f>CHOOSE('假设'!$B$3,AJ780,AK780,AL780)</x:f>
        <x:v>0</x:v>
      </x:c>
      <x:c r="AN780" t="n">
        <x:v>1</x:v>
      </x:c>
    </x:row>
    <x:row r="781" ht="23" customHeight="1">
      <x:c r="A781" s="11" t="str">
        <x:v>688192.SH</x:v>
      </x:c>
      <x:c r="B781" s="11" t="str">
        <x:v>半年</x:v>
      </x:c>
      <x:c r="C781" s="11" t="str">
        <x:v>dzd6008</x:v>
      </x:c>
      <x:c r="D781" s="11" t="str">
        <x:v>2031-12-31</x:v>
      </x:c>
      <x:c r="E781" s="11" t="str">
        <x:v>USD</x:v>
      </x:c>
      <x:c r="F781" s="11" t="n">
        <x:v>4.728268309377139</x:v>
      </x:c>
      <x:c r="G781" s="26" t="b">
        <x:v>1</x:v>
      </x:c>
      <x:c r="H781" s="16" t="n">
        <x:v>0</x:v>
      </x:c>
      <x:c r="I781" s="16" t="n">
        <x:v>0.41666666666666663</x:v>
      </x:c>
      <x:c r="J781" s="16" t="n">
        <x:v>2.25</x:v>
      </x:c>
      <x:c r="K781" s="11" t="n">
        <x:f>CHOOSE('假设'!$B$3,H781,I781,J781)</x:f>
        <x:v>0.41666666666666663</x:v>
      </x:c>
      <x:c r="L781" s="11" t="n">
        <x:f>K781*'管线假设'!E187*'管线假设'!F187*'管线假设'!G187*IF(E781="USD",'管线假设'!I187,1)-AM781</x:f>
        <x:v>0.2846933333333334</x:v>
      </x:c>
      <x:c r="M781" s="11" t="n">
        <x:f>'管线假设'!H187</x:f>
        <x:v>0.125</x:v>
      </x:c>
      <x:c r="N781" s="11" t="n">
        <x:f>IF(G781,L781*AN781/(1+M781)^F781,0)</x:f>
        <x:v>0.1631227170154986</x:v>
      </x:c>
      <x:c r="AJ781" t="n">
        <x:v>0</x:v>
      </x:c>
      <x:c r="AK781" t="n">
        <x:v>0</x:v>
      </x:c>
      <x:c r="AL781" t="n">
        <x:v>0</x:v>
      </x:c>
      <x:c r="AM781" t="n">
        <x:f>CHOOSE('假设'!$B$3,AJ781,AK781,AL781)</x:f>
        <x:v>0</x:v>
      </x:c>
      <x:c r="AN781" t="n">
        <x:v>1</x:v>
      </x:c>
    </x:row>
    <x:row r="782" ht="23" customHeight="1">
      <x:c r="A782" s="11" t="str">
        <x:v>688192.SH</x:v>
      </x:c>
      <x:c r="B782" s="11" t="str">
        <x:v>半年</x:v>
      </x:c>
      <x:c r="C782" s="11" t="str">
        <x:v>dzd6008</x:v>
      </x:c>
      <x:c r="D782" s="11" t="str">
        <x:v>2032-12-31</x:v>
      </x:c>
      <x:c r="E782" s="11" t="str">
        <x:v>USD</x:v>
      </x:c>
      <x:c r="F782" s="11" t="n">
        <x:v>5.730321697467488</x:v>
      </x:c>
      <x:c r="G782" s="26" t="b">
        <x:v>1</x:v>
      </x:c>
      <x:c r="H782" s="16" t="n">
        <x:v>0</x:v>
      </x:c>
      <x:c r="I782" s="16" t="n">
        <x:v>0.8333333333333333</x:v>
      </x:c>
      <x:c r="J782" s="16" t="n">
        <x:v>3</x:v>
      </x:c>
      <x:c r="K782" s="11" t="n">
        <x:f>CHOOSE('假设'!$B$3,H782,I782,J782)</x:f>
        <x:v>0.8333333333333333</x:v>
      </x:c>
      <x:c r="L782" s="11" t="n">
        <x:f>K782*'管线假设'!E187*'管线假设'!F187*'管线假设'!G187*IF(E782="USD",'管线假设'!I187,1)-AM782</x:f>
        <x:v>0.5693866666666668</x:v>
      </x:c>
      <x:c r="M782" s="11" t="n">
        <x:f>'管线假设'!H187</x:f>
        <x:v>0.125</x:v>
      </x:c>
      <x:c r="N782" s="11" t="n">
        <x:f>IF(G782,L782*AN782/(1+M782)^F782,0)</x:f>
        <x:v>0.2899258130812679</x:v>
      </x:c>
      <x:c r="AJ782" t="n">
        <x:v>0</x:v>
      </x:c>
      <x:c r="AK782" t="n">
        <x:v>0</x:v>
      </x:c>
      <x:c r="AL782" t="n">
        <x:v>0</x:v>
      </x:c>
      <x:c r="AM782" t="n">
        <x:f>CHOOSE('假设'!$B$3,AJ782,AK782,AL782)</x:f>
        <x:v>0</x:v>
      </x:c>
      <x:c r="AN782" t="n">
        <x:v>1</x:v>
      </x:c>
    </x:row>
    <x:row r="783" ht="23" customHeight="1">
      <x:c r="A783" s="11" t="str">
        <x:v>688192.SH</x:v>
      </x:c>
      <x:c r="B783" s="11" t="str">
        <x:v>半年</x:v>
      </x:c>
      <x:c r="C783" s="11" t="str">
        <x:v>dzd6008</x:v>
      </x:c>
      <x:c r="D783" s="11" t="str">
        <x:v>2033-12-31</x:v>
      </x:c>
      <x:c r="E783" s="11" t="str">
        <x:v>USD</x:v>
      </x:c>
      <x:c r="F783" s="11" t="n">
        <x:v>6.729637234770705</x:v>
      </x:c>
      <x:c r="G783" s="26" t="b">
        <x:v>1</x:v>
      </x:c>
      <x:c r="H783" s="16" t="n">
        <x:v>0</x:v>
      </x:c>
      <x:c r="I783" s="16" t="n">
        <x:v>1.25</x:v>
      </x:c>
      <x:c r="J783" s="16" t="n">
        <x:v>3.75</x:v>
      </x:c>
      <x:c r="K783" s="11" t="n">
        <x:f>CHOOSE('假设'!$B$3,H783,I783,J783)</x:f>
        <x:v>1.25</x:v>
      </x:c>
      <x:c r="L783" s="11" t="n">
        <x:f>K783*'管线假设'!E187*'管线假设'!F187*'管线假设'!G187*IF(E783="USD",'管线假设'!I187,1)-AM783</x:f>
        <x:v>0.8540800000000001</x:v>
      </x:c>
      <x:c r="M783" s="11" t="n">
        <x:f>'管线假设'!H187</x:f>
        <x:v>0.125</x:v>
      </x:c>
      <x:c r="N783" s="11" t="n">
        <x:f>IF(G783,L783*AN783/(1+M783)^F783,0)</x:f>
        <x:v>0.38659891638661764</x:v>
      </x:c>
      <x:c r="AJ783" t="n">
        <x:v>0</x:v>
      </x:c>
      <x:c r="AK783" t="n">
        <x:v>0</x:v>
      </x:c>
      <x:c r="AL783" t="n">
        <x:v>0</x:v>
      </x:c>
      <x:c r="AM783" t="n">
        <x:f>CHOOSE('假设'!$B$3,AJ783,AK783,AL783)</x:f>
        <x:v>0</x:v>
      </x:c>
      <x:c r="AN783" t="n">
        <x:v>1</x:v>
      </x:c>
    </x:row>
    <x:row r="784" ht="23" customHeight="1">
      <x:c r="A784" s="11" t="str">
        <x:v>688192.SH</x:v>
      </x:c>
      <x:c r="B784" s="11" t="str">
        <x:v>半年</x:v>
      </x:c>
      <x:c r="C784" s="11" t="str">
        <x:v>dzd6008</x:v>
      </x:c>
      <x:c r="D784" s="11" t="str">
        <x:v>2034-12-31</x:v>
      </x:c>
      <x:c r="E784" s="11" t="str">
        <x:v>USD</x:v>
      </x:c>
      <x:c r="F784" s="11" t="n">
        <x:v>7.728952772073922</x:v>
      </x:c>
      <x:c r="G784" s="26" t="b">
        <x:v>1</x:v>
      </x:c>
      <x:c r="H784" s="16" t="n">
        <x:v>0.16000000000000003</x:v>
      </x:c>
      <x:c r="I784" s="16" t="n">
        <x:v>1.6666666666666665</x:v>
      </x:c>
      <x:c r="J784" s="16" t="n">
        <x:v>4.5</x:v>
      </x:c>
      <x:c r="K784" s="11" t="n">
        <x:f>CHOOSE('假设'!$B$3,H784,I784,J784)</x:f>
        <x:v>1.6666666666666665</x:v>
      </x:c>
      <x:c r="L784" s="11" t="n">
        <x:f>K784*'管线假设'!E187*'管线假设'!F187*'管线假设'!G187*IF(E784="USD",'管线假设'!I187,1)-AM784</x:f>
        <x:v>1.1387733333333336</x:v>
      </x:c>
      <x:c r="M784" s="11" t="n">
        <x:f>'管线假设'!H187</x:f>
        <x:v>0.125</x:v>
      </x:c>
      <x:c r="N784" s="11" t="n">
        <x:f>IF(G784,L784*AN784/(1+M784)^F784,0)</x:f>
        <x:v>0.45822824830912606</x:v>
      </x:c>
      <x:c r="AJ784" t="n">
        <x:v>0</x:v>
      </x:c>
      <x:c r="AK784" t="n">
        <x:v>0</x:v>
      </x:c>
      <x:c r="AL784" t="n">
        <x:v>0</x:v>
      </x:c>
      <x:c r="AM784" t="n">
        <x:f>CHOOSE('假设'!$B$3,AJ784,AK784,AL784)</x:f>
        <x:v>0</x:v>
      </x:c>
      <x:c r="AN784" t="n">
        <x:v>1</x:v>
      </x:c>
    </x:row>
    <x:row r="785" ht="23" customHeight="1">
      <x:c r="A785" s="11" t="str">
        <x:v>688192.SH</x:v>
      </x:c>
      <x:c r="B785" s="11" t="str">
        <x:v>半年</x:v>
      </x:c>
      <x:c r="C785" s="11" t="str">
        <x:v>dzd6008</x:v>
      </x:c>
      <x:c r="D785" s="11" t="str">
        <x:v>2035-12-31</x:v>
      </x:c>
      <x:c r="E785" s="11" t="str">
        <x:v>USD</x:v>
      </x:c>
      <x:c r="F785" s="11" t="n">
        <x:v>8.728268309377139</x:v>
      </x:c>
      <x:c r="G785" s="26" t="b">
        <x:v>1</x:v>
      </x:c>
      <x:c r="H785" s="16" t="n">
        <x:v>0.32000000000000006</x:v>
      </x:c>
      <x:c r="I785" s="16" t="n">
        <x:v>2.0833333333333335</x:v>
      </x:c>
      <x:c r="J785" s="16" t="n">
        <x:v>3.96</x:v>
      </x:c>
      <x:c r="K785" s="11" t="n">
        <x:f>CHOOSE('假设'!$B$3,H785,I785,J785)</x:f>
        <x:v>2.0833333333333335</x:v>
      </x:c>
      <x:c r="L785" s="11" t="n">
        <x:f>K785*'管线假设'!E187*'管线假设'!F187*'管线假设'!G187*IF(E785="USD",'管线假设'!I187,1)-AM785</x:f>
        <x:v>1.4234666666666669</x:v>
      </x:c>
      <x:c r="M785" s="11" t="n">
        <x:f>'管线假设'!H187</x:f>
        <x:v>0.125</x:v>
      </x:c>
      <x:c r="N785" s="11" t="n">
        <x:f>IF(G785,L785*AN785/(1+M785)^F785,0)</x:f>
        <x:v>0.50918354587371</x:v>
      </x:c>
      <x:c r="AJ785" t="n">
        <x:v>0</x:v>
      </x:c>
      <x:c r="AK785" t="n">
        <x:v>0</x:v>
      </x:c>
      <x:c r="AL785" t="n">
        <x:v>0</x:v>
      </x:c>
      <x:c r="AM785" t="n">
        <x:f>CHOOSE('假设'!$B$3,AJ785,AK785,AL785)</x:f>
        <x:v>0</x:v>
      </x:c>
      <x:c r="AN785" t="n">
        <x:v>1</x:v>
      </x:c>
    </x:row>
    <x:row r="786" ht="23" customHeight="1">
      <x:c r="A786" s="11" t="str">
        <x:v>688192.SH</x:v>
      </x:c>
      <x:c r="B786" s="11" t="str">
        <x:v>半年</x:v>
      </x:c>
      <x:c r="C786" s="11" t="str">
        <x:v>dzd6008</x:v>
      </x:c>
      <x:c r="D786" s="11" t="str">
        <x:v>2036-12-31</x:v>
      </x:c>
      <x:c r="E786" s="11" t="str">
        <x:v>USD</x:v>
      </x:c>
      <x:c r="F786" s="11" t="n">
        <x:v>9.730321697467488</x:v>
      </x:c>
      <x:c r="G786" s="26" t="b">
        <x:v>1</x:v>
      </x:c>
      <x:c r="H786" s="16" t="n">
        <x:v>0.48</x:v>
      </x:c>
      <x:c r="I786" s="16" t="n">
        <x:v>2.5</x:v>
      </x:c>
      <x:c r="J786" s="16" t="n">
        <x:v>3.42</x:v>
      </x:c>
      <x:c r="K786" s="11" t="n">
        <x:f>CHOOSE('假设'!$B$3,H786,I786,J786)</x:f>
        <x:v>2.5</x:v>
      </x:c>
      <x:c r="L786" s="11" t="n">
        <x:f>K786*'管线假设'!E187*'管线假设'!F187*'管线假设'!G187*IF(E786="USD",'管线假设'!I187,1)-AM786</x:f>
        <x:v>1.7081600000000001</x:v>
      </x:c>
      <x:c r="M786" s="11" t="n">
        <x:f>'管线假设'!H187</x:f>
        <x:v>0.125</x:v>
      </x:c>
      <x:c r="N786" s="11" t="n">
        <x:f>IF(G786,L786*AN786/(1+M786)^F786,0)</x:f>
        <x:v>0.5429977733794573</x:v>
      </x:c>
      <x:c r="AJ786" t="n">
        <x:v>0</x:v>
      </x:c>
      <x:c r="AK786" t="n">
        <x:v>0</x:v>
      </x:c>
      <x:c r="AL786" t="n">
        <x:v>0</x:v>
      </x:c>
      <x:c r="AM786" t="n">
        <x:f>CHOOSE('假设'!$B$3,AJ786,AK786,AL786)</x:f>
        <x:v>0</x:v>
      </x:c>
      <x:c r="AN786" t="n">
        <x:v>1</x:v>
      </x:c>
    </x:row>
    <x:row r="787" ht="23" customHeight="1">
      <x:c r="A787" s="11" t="str">
        <x:v>688192.SH</x:v>
      </x:c>
      <x:c r="B787" s="11" t="str">
        <x:v>半年</x:v>
      </x:c>
      <x:c r="C787" s="11" t="str">
        <x:v>dzd6008</x:v>
      </x:c>
      <x:c r="D787" s="11" t="str">
        <x:v>2037-12-31</x:v>
      </x:c>
      <x:c r="E787" s="11" t="str">
        <x:v>USD</x:v>
      </x:c>
      <x:c r="F787" s="11" t="n">
        <x:v>10.729637234770705</x:v>
      </x:c>
      <x:c r="G787" s="26" t="b">
        <x:v>1</x:v>
      </x:c>
      <x:c r="H787" s="16" t="n">
        <x:v>0.6400000000000001</x:v>
      </x:c>
      <x:c r="I787" s="16" t="n">
        <x:v>2.2</x:v>
      </x:c>
      <x:c r="J787" s="16" t="n">
        <x:v>2.88</x:v>
      </x:c>
      <x:c r="K787" s="11" t="n">
        <x:f>CHOOSE('假设'!$B$3,H787,I787,J787)</x:f>
        <x:v>2.2</x:v>
      </x:c>
      <x:c r="L787" s="11" t="n">
        <x:f>K787*'管线假设'!E187*'管线假设'!F187*'管线假设'!G187*IF(E787="USD",'管线假设'!I187,1)-AM787</x:f>
        <x:v>1.5031808000000004</x:v>
      </x:c>
      <x:c r="M787" s="11" t="n">
        <x:f>'管线假设'!H187</x:f>
        <x:v>0.125</x:v>
      </x:c>
      <x:c r="N787" s="11" t="n">
        <x:f>IF(G787,L787*AN787/(1+M787)^F787,0)</x:f>
        <x:v>0.4247791684612821</x:v>
      </x:c>
      <x:c r="AJ787" t="n">
        <x:v>0</x:v>
      </x:c>
      <x:c r="AK787" t="n">
        <x:v>0</x:v>
      </x:c>
      <x:c r="AL787" t="n">
        <x:v>0</x:v>
      </x:c>
      <x:c r="AM787" t="n">
        <x:f>CHOOSE('假设'!$B$3,AJ787,AK787,AL787)</x:f>
        <x:v>0</x:v>
      </x:c>
      <x:c r="AN787" t="n">
        <x:v>1</x:v>
      </x:c>
    </x:row>
    <x:row r="788" ht="23" customHeight="1">
      <x:c r="A788" s="11" t="str">
        <x:v>688192.SH</x:v>
      </x:c>
      <x:c r="B788" s="11" t="str">
        <x:v>半年</x:v>
      </x:c>
      <x:c r="C788" s="11" t="str">
        <x:v>dzd6008</x:v>
      </x:c>
      <x:c r="D788" s="11" t="str">
        <x:v>2038-12-31</x:v>
      </x:c>
      <x:c r="E788" s="11" t="str">
        <x:v>USD</x:v>
      </x:c>
      <x:c r="F788" s="11" t="n">
        <x:v>11.728952772073923</x:v>
      </x:c>
      <x:c r="G788" s="26" t="b">
        <x:v>1</x:v>
      </x:c>
      <x:c r="H788" s="16" t="n">
        <x:v>0.8</x:v>
      </x:c>
      <x:c r="I788" s="16" t="n">
        <x:v>1.9</x:v>
      </x:c>
      <x:c r="J788" s="16" t="n">
        <x:v>2.34</x:v>
      </x:c>
      <x:c r="K788" s="11" t="n">
        <x:f>CHOOSE('假设'!$B$3,H788,I788,J788)</x:f>
        <x:v>1.9</x:v>
      </x:c>
      <x:c r="L788" s="11" t="n">
        <x:f>K788*'管线假设'!E187*'管线假设'!F187*'管线假设'!G187*IF(E788="USD",'管线假设'!I187,1)-AM788</x:f>
        <x:v>1.2982016000000003</x:v>
      </x:c>
      <x:c r="M788" s="11" t="n">
        <x:f>'管线假设'!H187</x:f>
        <x:v>0.125</x:v>
      </x:c>
      <x:c r="N788" s="11" t="n">
        <x:f>IF(G788,L788*AN788/(1+M788)^F788,0)</x:f>
        <x:v>0.32611938908467697</x:v>
      </x:c>
      <x:c r="AJ788" t="n">
        <x:v>0</x:v>
      </x:c>
      <x:c r="AK788" t="n">
        <x:v>0</x:v>
      </x:c>
      <x:c r="AL788" t="n">
        <x:v>0</x:v>
      </x:c>
      <x:c r="AM788" t="n">
        <x:f>CHOOSE('假设'!$B$3,AJ788,AK788,AL788)</x:f>
        <x:v>0</x:v>
      </x:c>
      <x:c r="AN788" t="n">
        <x:v>1</x:v>
      </x:c>
    </x:row>
    <x:row r="789" ht="23" customHeight="1">
      <x:c r="A789" s="11" t="str">
        <x:v>688192.SH</x:v>
      </x:c>
      <x:c r="B789" s="11" t="str">
        <x:v>半年</x:v>
      </x:c>
      <x:c r="C789" s="11" t="str">
        <x:v>dzd6008</x:v>
      </x:c>
      <x:c r="D789" s="11" t="str">
        <x:v>2039-12-31</x:v>
      </x:c>
      <x:c r="E789" s="11" t="str">
        <x:v>USD</x:v>
      </x:c>
      <x:c r="F789" s="11" t="n">
        <x:v>12.728268309377139</x:v>
      </x:c>
      <x:c r="G789" s="26" t="b">
        <x:v>1</x:v>
      </x:c>
      <x:c r="H789" s="16" t="n">
        <x:v>0.7040000000000001</x:v>
      </x:c>
      <x:c r="I789" s="16" t="n">
        <x:v>1.6</x:v>
      </x:c>
      <x:c r="J789" s="16" t="n">
        <x:v>1.8</x:v>
      </x:c>
      <x:c r="K789" s="11" t="n">
        <x:f>CHOOSE('假设'!$B$3,H789,I789,J789)</x:f>
        <x:v>1.6</x:v>
      </x:c>
      <x:c r="L789" s="11" t="n">
        <x:f>K789*'管线假设'!E187*'管线假设'!F187*'管线假设'!G187*IF(E789="USD",'管线假设'!I187,1)-AM789</x:f>
        <x:v>1.0932224000000001</x:v>
      </x:c>
      <x:c r="M789" s="11" t="n">
        <x:f>'管线假设'!H187</x:f>
        <x:v>0.125</x:v>
      </x:c>
      <x:c r="N789" s="11" t="n">
        <x:f>IF(G789,L789*AN789/(1+M789)^F789,0)</x:f>
        <x:v>0.2441324397796394</x:v>
      </x:c>
      <x:c r="AJ789" t="n">
        <x:v>0</x:v>
      </x:c>
      <x:c r="AK789" t="n">
        <x:v>0</x:v>
      </x:c>
      <x:c r="AL789" t="n">
        <x:v>0</x:v>
      </x:c>
      <x:c r="AM789" t="n">
        <x:f>CHOOSE('假设'!$B$3,AJ789,AK789,AL789)</x:f>
        <x:v>0</x:v>
      </x:c>
      <x:c r="AN789" t="n">
        <x:v>1</x:v>
      </x:c>
    </x:row>
    <x:row r="790" ht="23" customHeight="1">
      <x:c r="A790" s="11" t="str">
        <x:v>688192.SH</x:v>
      </x:c>
      <x:c r="B790" s="11" t="str">
        <x:v>半年</x:v>
      </x:c>
      <x:c r="C790" s="11" t="str">
        <x:v>dzd6008</x:v>
      </x:c>
      <x:c r="D790" s="11" t="str">
        <x:v>2040-12-31</x:v>
      </x:c>
      <x:c r="E790" s="11" t="str">
        <x:v>USD</x:v>
      </x:c>
      <x:c r="F790" s="11" t="n">
        <x:v>13.730321697467488</x:v>
      </x:c>
      <x:c r="G790" s="26" t="b">
        <x:v>1</x:v>
      </x:c>
      <x:c r="H790" s="16" t="n">
        <x:v>0.6080000000000001</x:v>
      </x:c>
      <x:c r="I790" s="16" t="n">
        <x:v>1.3</x:v>
      </x:c>
      <x:c r="J790" s="16" t="n">
        <x:v>1.2600000000000002</x:v>
      </x:c>
      <x:c r="K790" s="11" t="n">
        <x:f>CHOOSE('假设'!$B$3,H790,I790,J790)</x:f>
        <x:v>1.3</x:v>
      </x:c>
      <x:c r="L790" s="11" t="n">
        <x:f>K790*'管线假设'!E187*'管线假设'!F187*'管线假设'!G187*IF(E790="USD",'管线假设'!I187,1)-AM790</x:f>
        <x:v>0.8882432000000001</x:v>
      </x:c>
      <x:c r="M790" s="11" t="n">
        <x:f>'管线假设'!H187</x:f>
        <x:v>0.125</x:v>
      </x:c>
      <x:c r="N790" s="11" t="n">
        <x:f>IF(G790,L790*AN790/(1+M790)^F790,0)</x:f>
        <x:v>0.17627523509775547</x:v>
      </x:c>
      <x:c r="AJ790" t="n">
        <x:v>0</x:v>
      </x:c>
      <x:c r="AK790" t="n">
        <x:v>0</x:v>
      </x:c>
      <x:c r="AL790" t="n">
        <x:v>0</x:v>
      </x:c>
      <x:c r="AM790" t="n">
        <x:f>CHOOSE('假设'!$B$3,AJ790,AK790,AL790)</x:f>
        <x:v>0</x:v>
      </x:c>
      <x:c r="AN790" t="n">
        <x:v>1</x:v>
      </x:c>
    </x:row>
    <x:row r="791" ht="23" customHeight="1">
      <x:c r="A791" s="11" t="str">
        <x:v>688192.SH</x:v>
      </x:c>
      <x:c r="B791" s="11" t="str">
        <x:v>半年</x:v>
      </x:c>
      <x:c r="C791" s="11" t="str">
        <x:v>dzd6008</x:v>
      </x:c>
      <x:c r="D791" s="11" t="str">
        <x:v>2041-12-31</x:v>
      </x:c>
      <x:c r="E791" s="11" t="str">
        <x:v>USD</x:v>
      </x:c>
      <x:c r="F791" s="11" t="n">
        <x:v>14.729637234770705</x:v>
      </x:c>
      <x:c r="G791" s="26" t="b">
        <x:v>1</x:v>
      </x:c>
      <x:c r="H791" s="16" t="n">
        <x:v>0.512</x:v>
      </x:c>
      <x:c r="I791" s="16" t="n">
        <x:v>1</x:v>
      </x:c>
      <x:c r="J791" s="16" t="n">
        <x:v>0.7200000000000002</x:v>
      </x:c>
      <x:c r="K791" s="11" t="n">
        <x:f>CHOOSE('假设'!$B$3,H791,I791,J791)</x:f>
        <x:v>1</x:v>
      </x:c>
      <x:c r="L791" s="11" t="n">
        <x:f>K791*'管线假设'!E187*'管线假设'!F187*'管线假设'!G187*IF(E791="USD",'管线假设'!I187,1)-AM791</x:f>
        <x:v>0.6832640000000001</x:v>
      </x:c>
      <x:c r="M791" s="11" t="n">
        <x:f>'管线假设'!H187</x:f>
        <x:v>0.125</x:v>
      </x:c>
      <x:c r="N791" s="11" t="n">
        <x:f>IF(G791,L791*AN791/(1+M791)^F791,0)</x:f>
        <x:v>0.12053979257717168</x:v>
      </x:c>
      <x:c r="AJ791" t="n">
        <x:v>0</x:v>
      </x:c>
      <x:c r="AK791" t="n">
        <x:v>0</x:v>
      </x:c>
      <x:c r="AL791" t="n">
        <x:v>0</x:v>
      </x:c>
      <x:c r="AM791" t="n">
        <x:f>CHOOSE('假设'!$B$3,AJ791,AK791,AL791)</x:f>
        <x:v>0</x:v>
      </x:c>
      <x:c r="AN791" t="n">
        <x:v>1</x:v>
      </x:c>
    </x:row>
    <x:row r="792" ht="23" customHeight="1">
      <x:c r="A792" s="11" t="str">
        <x:v>688192.SH</x:v>
      </x:c>
      <x:c r="B792" s="11" t="str">
        <x:v>半年</x:v>
      </x:c>
      <x:c r="C792" s="11" t="str">
        <x:v>dzd6008</x:v>
      </x:c>
      <x:c r="D792" s="11" t="str">
        <x:v>2042-12-31</x:v>
      </x:c>
      <x:c r="E792" s="11" t="str">
        <x:v>USD</x:v>
      </x:c>
      <x:c r="F792" s="11" t="n">
        <x:v>15.728952772073923</x:v>
      </x:c>
      <x:c r="G792" s="26" t="b">
        <x:v>1</x:v>
      </x:c>
      <x:c r="H792" s="16" t="n">
        <x:v>0.41600000000000004</x:v>
      </x:c>
      <x:c r="I792" s="16" t="n">
        <x:v>0.7000000000000001</x:v>
      </x:c>
      <x:c r="J792" s="16" t="n">
        <x:v>0.18000000000000016</x:v>
      </x:c>
      <x:c r="K792" s="11" t="n">
        <x:f>CHOOSE('假设'!$B$3,H792,I792,J792)</x:f>
        <x:v>0.7000000000000001</x:v>
      </x:c>
      <x:c r="L792" s="11" t="n">
        <x:f>K792*'管线假设'!E187*'管线假设'!F187*'管线假设'!G187*IF(E792="USD",'管线假设'!I187,1)-AM792</x:f>
        <x:v>0.4782848000000001</x:v>
      </x:c>
      <x:c r="M792" s="11" t="n">
        <x:f>'管线假设'!H187</x:f>
        <x:v>0.125</x:v>
      </x:c>
      <x:c r="N792" s="11" t="n">
        <x:f>IF(G792,L792*AN792/(1+M792)^F792,0)</x:f>
        <x:v>0.0750085844089545</x:v>
      </x:c>
      <x:c r="AJ792" t="n">
        <x:v>0</x:v>
      </x:c>
      <x:c r="AK792" t="n">
        <x:v>0</x:v>
      </x:c>
      <x:c r="AL792" t="n">
        <x:v>0</x:v>
      </x:c>
      <x:c r="AM792" t="n">
        <x:f>CHOOSE('假设'!$B$3,AJ792,AK792,AL792)</x:f>
        <x:v>0</x:v>
      </x:c>
      <x:c r="AN792" t="n">
        <x:v>1</x:v>
      </x:c>
    </x:row>
    <x:row r="793" ht="23" customHeight="1">
      <x:c r="A793" s="11" t="str">
        <x:v>688192.SH</x:v>
      </x:c>
      <x:c r="B793" s="11" t="str">
        <x:v>半年</x:v>
      </x:c>
      <x:c r="C793" s="11" t="str">
        <x:v>dzd6008</x:v>
      </x:c>
      <x:c r="D793" s="11" t="str">
        <x:v>2043-12-31</x:v>
      </x:c>
      <x:c r="E793" s="11" t="str">
        <x:v>USD</x:v>
      </x:c>
      <x:c r="F793" s="11" t="n">
        <x:v>16.72826830937714</x:v>
      </x:c>
      <x:c r="G793" s="26" t="b">
        <x:v>1</x:v>
      </x:c>
      <x:c r="H793" s="16" t="n">
        <x:v>0.32000000000000006</x:v>
      </x:c>
      <x:c r="I793" s="16" t="n">
        <x:v>0.4000000000000001</x:v>
      </x:c>
      <x:c r="J793" s="16" t="n">
        <x:v>0</x:v>
      </x:c>
      <x:c r="K793" s="11" t="n">
        <x:f>CHOOSE('假设'!$B$3,H793,I793,J793)</x:f>
        <x:v>0.4000000000000001</x:v>
      </x:c>
      <x:c r="L793" s="11" t="n">
        <x:f>K793*'管线假设'!E187*'管线假设'!F187*'管线假设'!G187*IF(E793="USD",'管线假设'!I187,1)-AM793</x:f>
        <x:v>0.2733056000000001</x:v>
      </x:c>
      <x:c r="M793" s="11" t="n">
        <x:f>'管线假设'!H187</x:f>
        <x:v>0.125</x:v>
      </x:c>
      <x:c r="N793" s="11" t="n">
        <x:f>IF(G793,L793*AN793/(1+M793)^F793,0)</x:f>
        <x:v>0.03810267007077439</x:v>
      </x:c>
      <x:c r="AJ793" t="n">
        <x:v>0</x:v>
      </x:c>
      <x:c r="AK793" t="n">
        <x:v>0</x:v>
      </x:c>
      <x:c r="AL793" t="n">
        <x:v>0</x:v>
      </x:c>
      <x:c r="AM793" t="n">
        <x:f>CHOOSE('假设'!$B$3,AJ793,AK793,AL793)</x:f>
        <x:v>0</x:v>
      </x:c>
      <x:c r="AN793" t="n">
        <x:v>1</x:v>
      </x:c>
    </x:row>
    <x:row r="794" ht="23" customHeight="1">
      <x:c r="A794" s="11" t="str">
        <x:v>688192.SH</x:v>
      </x:c>
      <x:c r="B794" s="11" t="str">
        <x:v>半年</x:v>
      </x:c>
      <x:c r="C794" s="11" t="str">
        <x:v>dzd6008</x:v>
      </x:c>
      <x:c r="D794" s="11" t="str">
        <x:v>2044-12-31</x:v>
      </x:c>
      <x:c r="E794" s="11" t="str">
        <x:v>USD</x:v>
      </x:c>
      <x:c r="F794" s="11" t="n">
        <x:v>17.730321697467488</x:v>
      </x:c>
      <x:c r="G794" s="26" t="b">
        <x:v>1</x:v>
      </x:c>
      <x:c r="H794" s="16" t="n">
        <x:v>0.22400000000000003</x:v>
      </x:c>
      <x:c r="I794" s="16" t="n">
        <x:v>0.10000000000000009</x:v>
      </x:c>
      <x:c r="J794" s="16" t="n">
        <x:v>0</x:v>
      </x:c>
      <x:c r="K794" s="11" t="n">
        <x:f>CHOOSE('假设'!$B$3,H794,I794,J794)</x:f>
        <x:v>0.10000000000000009</x:v>
      </x:c>
      <x:c r="L794" s="11" t="n">
        <x:f>K794*'管线假设'!E187*'管线假设'!F187*'管线假设'!G187*IF(E794="USD",'管线假设'!I187,1)-AM794</x:f>
        <x:v>0.06832640000000006</x:v>
      </x:c>
      <x:c r="M794" s="11" t="n">
        <x:f>'管线假设'!H187</x:f>
        <x:v>0.125</x:v>
      </x:c>
      <x:c r="N794" s="11" t="n">
        <x:f>IF(G794,L794*AN794/(1+M794)^F794,0)</x:f>
        <x:v>0.00846521242025028</x:v>
      </x:c>
      <x:c r="AJ794" t="n">
        <x:v>0</x:v>
      </x:c>
      <x:c r="AK794" t="n">
        <x:v>0</x:v>
      </x:c>
      <x:c r="AL794" t="n">
        <x:v>0</x:v>
      </x:c>
      <x:c r="AM794" t="n">
        <x:f>CHOOSE('假设'!$B$3,AJ794,AK794,AL794)</x:f>
        <x:v>0</x:v>
      </x:c>
      <x:c r="AN794" t="n">
        <x:v>1</x:v>
      </x:c>
    </x:row>
    <x:row r="795" ht="23" customHeight="1">
      <x:c r="A795" s="11" t="str">
        <x:v>688192.SH</x:v>
      </x:c>
      <x:c r="B795" s="11" t="str">
        <x:v>半年</x:v>
      </x:c>
      <x:c r="C795" s="11" t="str">
        <x:v>dzd6008</x:v>
      </x:c>
      <x:c r="D795" s="11" t="str">
        <x:v>2045-12-31</x:v>
      </x:c>
      <x:c r="E795" s="11" t="str">
        <x:v>USD</x:v>
      </x:c>
      <x:c r="F795" s="11" t="n">
        <x:v>18.729637234770706</x:v>
      </x:c>
      <x:c r="G795" s="26" t="b">
        <x:v>1</x:v>
      </x:c>
      <x:c r="H795" s="16" t="n">
        <x:v>0.12800000000000003</x:v>
      </x:c>
      <x:c r="I795" s="16" t="n">
        <x:v>0</x:v>
      </x:c>
      <x:c r="J795" s="16" t="n">
        <x:v>0</x:v>
      </x:c>
      <x:c r="K795" s="11" t="n">
        <x:f>CHOOSE('假设'!$B$3,H795,I795,J795)</x:f>
        <x:v>0</x:v>
      </x:c>
      <x:c r="L795" s="11" t="n">
        <x:f>K795*'管线假设'!E187*'管线假设'!F187*'管线假设'!G187*IF(E795="USD",'管线假设'!I187,1)-AM795</x:f>
        <x:v>0</x:v>
      </x:c>
      <x:c r="M795" s="11" t="n">
        <x:f>'管线假设'!H187</x:f>
        <x:v>0.125</x:v>
      </x:c>
      <x:c r="N795" s="11" t="n">
        <x:f>IF(G795,L795*AN795/(1+M795)^F795,0)</x:f>
        <x:v>0</x:v>
      </x:c>
      <x:c r="AJ795" t="n">
        <x:v>0</x:v>
      </x:c>
      <x:c r="AK795" t="n">
        <x:v>0</x:v>
      </x:c>
      <x:c r="AL795" t="n">
        <x:v>0</x:v>
      </x:c>
      <x:c r="AM795" t="n">
        <x:f>CHOOSE('假设'!$B$3,AJ795,AK795,AL795)</x:f>
        <x:v>0</x:v>
      </x:c>
      <x:c r="AN795" t="n">
        <x:v>1</x:v>
      </x:c>
    </x:row>
    <x:row r="796" ht="23" customHeight="1">
      <x:c r="A796" s="11" t="str">
        <x:v>688192.SH</x:v>
      </x:c>
      <x:c r="B796" s="11" t="str">
        <x:v>一年</x:v>
      </x:c>
      <x:c r="C796" s="11" t="str">
        <x:v>sun_later</x:v>
      </x:c>
      <x:c r="D796" s="11" t="str">
        <x:v>2027-12-31</x:v>
      </x:c>
      <x:c r="E796" s="11" t="str">
        <x:v>USD</x:v>
      </x:c>
      <x:c r="F796" s="11" t="n">
        <x:v>0.2272416153319644</x:v>
      </x:c>
      <x:c r="G796" s="26" t="b">
        <x:v>1</x:v>
      </x:c>
      <x:c r="H796" s="16" t="n">
        <x:v>0.06999999999999999</x:v>
      </x:c>
      <x:c r="I796" s="16" t="n">
        <x:v>0.13</x:v>
      </x:c>
      <x:c r="J796" s="16" t="n">
        <x:v>0.275</x:v>
      </x:c>
      <x:c r="K796" s="11" t="n">
        <x:f>CHOOSE('假设'!$B$3,H796,I796,J796)</x:f>
        <x:v>0.13</x:v>
      </x:c>
      <x:c r="L796" s="11" t="n">
        <x:f>K796*'管线假设'!E191*'管线假设'!F191*'管线假设'!G191*IF(E796="USD",'管线假设'!I191,1)-AM796</x:f>
        <x:v>0.07611240000000001</x:v>
      </x:c>
      <x:c r="M796" s="11" t="n">
        <x:f>'管线假设'!H191</x:f>
        <x:v>0.125</x:v>
      </x:c>
      <x:c r="N796" s="11" t="n">
        <x:f>IF(G796,L796*AN796/(1+M796)^F796,0)</x:f>
        <x:v>0.07410225678735219</x:v>
      </x:c>
      <x:c r="AJ796" t="n">
        <x:v>0</x:v>
      </x:c>
      <x:c r="AK796" t="n">
        <x:v>0</x:v>
      </x:c>
      <x:c r="AL796" t="n">
        <x:v>0</x:v>
      </x:c>
      <x:c r="AM796" t="n">
        <x:f>CHOOSE('假设'!$B$3,AJ796,AK796,AL796)</x:f>
        <x:v>0</x:v>
      </x:c>
      <x:c r="AN796" t="n">
        <x:v>1</x:v>
      </x:c>
    </x:row>
    <x:row r="797" ht="23" customHeight="1">
      <x:c r="A797" s="11" t="str">
        <x:v>688192.SH</x:v>
      </x:c>
      <x:c r="B797" s="11" t="str">
        <x:v>一年</x:v>
      </x:c>
      <x:c r="C797" s="11" t="str">
        <x:v>sun_later</x:v>
      </x:c>
      <x:c r="D797" s="11" t="str">
        <x:v>2028-12-31</x:v>
      </x:c>
      <x:c r="E797" s="11" t="str">
        <x:v>USD</x:v>
      </x:c>
      <x:c r="F797" s="11" t="n">
        <x:v>1.2292950034223136</x:v>
      </x:c>
      <x:c r="G797" s="26" t="b">
        <x:v>1</x:v>
      </x:c>
      <x:c r="H797" s="16" t="n">
        <x:v>0.13999999999999999</x:v>
      </x:c>
      <x:c r="I797" s="16" t="n">
        <x:v>0.26</x:v>
      </x:c>
      <x:c r="J797" s="16" t="n">
        <x:v>0.55</x:v>
      </x:c>
      <x:c r="K797" s="11" t="n">
        <x:f>CHOOSE('假设'!$B$3,H797,I797,J797)</x:f>
        <x:v>0.26</x:v>
      </x:c>
      <x:c r="L797" s="11" t="n">
        <x:f>K797*'管线假设'!E191*'管线假设'!F191*'管线假设'!G191*IF(E797="USD",'管线假设'!I191,1)-AM797</x:f>
        <x:v>0.15222480000000002</x:v>
      </x:c>
      <x:c r="M797" s="11" t="n">
        <x:f>'管线假设'!H191</x:f>
        <x:v>0.125</x:v>
      </x:c>
      <x:c r="N797" s="11" t="n">
        <x:f>IF(G797,L797*AN797/(1+M797)^F797,0)</x:f>
        <x:v>0.13170548801114398</x:v>
      </x:c>
      <x:c r="AJ797" t="n">
        <x:v>0</x:v>
      </x:c>
      <x:c r="AK797" t="n">
        <x:v>0</x:v>
      </x:c>
      <x:c r="AL797" t="n">
        <x:v>0</x:v>
      </x:c>
      <x:c r="AM797" t="n">
        <x:f>CHOOSE('假设'!$B$3,AJ797,AK797,AL797)</x:f>
        <x:v>0</x:v>
      </x:c>
      <x:c r="AN797" t="n">
        <x:v>1</x:v>
      </x:c>
    </x:row>
    <x:row r="798" ht="23" customHeight="1">
      <x:c r="A798" s="11" t="str">
        <x:v>688192.SH</x:v>
      </x:c>
      <x:c r="B798" s="11" t="str">
        <x:v>一年</x:v>
      </x:c>
      <x:c r="C798" s="11" t="str">
        <x:v>sun_later</x:v>
      </x:c>
      <x:c r="D798" s="11" t="str">
        <x:v>2029-12-31</x:v>
      </x:c>
      <x:c r="E798" s="11" t="str">
        <x:v>USD</x:v>
      </x:c>
      <x:c r="F798" s="11" t="n">
        <x:v>2.2286105407255303</x:v>
      </x:c>
      <x:c r="G798" s="26" t="b">
        <x:v>1</x:v>
      </x:c>
      <x:c r="H798" s="16" t="n">
        <x:v>0.21</x:v>
      </x:c>
      <x:c r="I798" s="16" t="n">
        <x:v>0.39</x:v>
      </x:c>
      <x:c r="J798" s="16" t="n">
        <x:v>0.8250000000000001</x:v>
      </x:c>
      <x:c r="K798" s="11" t="n">
        <x:f>CHOOSE('假设'!$B$3,H798,I798,J798)</x:f>
        <x:v>0.39</x:v>
      </x:c>
      <x:c r="L798" s="11" t="n">
        <x:f>K798*'管线假设'!E191*'管线假设'!F191*'管线假设'!G191*IF(E798="USD",'管线假设'!I191,1)-AM798</x:f>
        <x:v>0.22833720000000002</x:v>
      </x:c>
      <x:c r="M798" s="11" t="n">
        <x:f>'管线假设'!H191</x:f>
        <x:v>0.125</x:v>
      </x:c>
      <x:c r="N798" s="11" t="n">
        <x:f>IF(G798,L798*AN798/(1+M798)^F798,0)</x:f>
        <x:v>0.17562147504612344</x:v>
      </x:c>
      <x:c r="AJ798" t="n">
        <x:v>0</x:v>
      </x:c>
      <x:c r="AK798" t="n">
        <x:v>0</x:v>
      </x:c>
      <x:c r="AL798" t="n">
        <x:v>0</x:v>
      </x:c>
      <x:c r="AM798" t="n">
        <x:f>CHOOSE('假设'!$B$3,AJ798,AK798,AL798)</x:f>
        <x:v>0</x:v>
      </x:c>
      <x:c r="AN798" t="n">
        <x:v>1</x:v>
      </x:c>
    </x:row>
    <x:row r="799" ht="23" customHeight="1">
      <x:c r="A799" s="11" t="str">
        <x:v>688192.SH</x:v>
      </x:c>
      <x:c r="B799" s="11" t="str">
        <x:v>一年</x:v>
      </x:c>
      <x:c r="C799" s="11" t="str">
        <x:v>sun_later</x:v>
      </x:c>
      <x:c r="D799" s="11" t="str">
        <x:v>2030-12-31</x:v>
      </x:c>
      <x:c r="E799" s="11" t="str">
        <x:v>USD</x:v>
      </x:c>
      <x:c r="F799" s="11" t="n">
        <x:v>3.2279260780287475</x:v>
      </x:c>
      <x:c r="G799" s="26" t="b">
        <x:v>1</x:v>
      </x:c>
      <x:c r="H799" s="16" t="n">
        <x:v>0.27999999999999997</x:v>
      </x:c>
      <x:c r="I799" s="16" t="n">
        <x:v>0.52</x:v>
      </x:c>
      <x:c r="J799" s="16" t="n">
        <x:v>1.1</x:v>
      </x:c>
      <x:c r="K799" s="11" t="n">
        <x:f>CHOOSE('假设'!$B$3,H799,I799,J799)</x:f>
        <x:v>0.52</x:v>
      </x:c>
      <x:c r="L799" s="11" t="n">
        <x:f>K799*'管线假设'!E191*'管线假设'!F191*'管线假设'!G191*IF(E799="USD",'管线假设'!I191,1)-AM799</x:f>
        <x:v>0.30444960000000004</x:v>
      </x:c>
      <x:c r="M799" s="11" t="n">
        <x:f>'管线假设'!H191</x:f>
        <x:v>0.125</x:v>
      </x:c>
      <x:c r="N799" s="11" t="n">
        <x:f>IF(G799,L799*AN799/(1+M799)^F799,0)</x:f>
        <x:v>0.20816075127166522</x:v>
      </x:c>
      <x:c r="AJ799" t="n">
        <x:v>0</x:v>
      </x:c>
      <x:c r="AK799" t="n">
        <x:v>0</x:v>
      </x:c>
      <x:c r="AL799" t="n">
        <x:v>0</x:v>
      </x:c>
      <x:c r="AM799" t="n">
        <x:f>CHOOSE('假设'!$B$3,AJ799,AK799,AL799)</x:f>
        <x:v>0</x:v>
      </x:c>
      <x:c r="AN799" t="n">
        <x:v>1</x:v>
      </x:c>
    </x:row>
    <x:row r="800" ht="23" customHeight="1">
      <x:c r="A800" s="11" t="str">
        <x:v>688192.SH</x:v>
      </x:c>
      <x:c r="B800" s="11" t="str">
        <x:v>一年</x:v>
      </x:c>
      <x:c r="C800" s="11" t="str">
        <x:v>sun_later</x:v>
      </x:c>
      <x:c r="D800" s="11" t="str">
        <x:v>2031-12-31</x:v>
      </x:c>
      <x:c r="E800" s="11" t="str">
        <x:v>USD</x:v>
      </x:c>
      <x:c r="F800" s="11" t="n">
        <x:v>4.227241615331964</x:v>
      </x:c>
      <x:c r="G800" s="26" t="b">
        <x:v>1</x:v>
      </x:c>
      <x:c r="H800" s="16" t="n">
        <x:v>0.35</x:v>
      </x:c>
      <x:c r="I800" s="16" t="n">
        <x:v>0.65</x:v>
      </x:c>
      <x:c r="J800" s="16" t="n">
        <x:v>0.9680000000000001</x:v>
      </x:c>
      <x:c r="K800" s="11" t="n">
        <x:f>CHOOSE('假设'!$B$3,H800,I800,J800)</x:f>
        <x:v>0.65</x:v>
      </x:c>
      <x:c r="L800" s="11" t="n">
        <x:f>K800*'管线假设'!E191*'管线假设'!F191*'管线假设'!G191*IF(E800="USD",'管线假设'!I191,1)-AM800</x:f>
        <x:v>0.38056200000000007</x:v>
      </x:c>
      <x:c r="M800" s="11" t="n">
        <x:f>'管线假设'!H191</x:f>
        <x:v>0.125</x:v>
      </x:c>
      <x:c r="N800" s="11" t="n">
        <x:f>IF(G800,L800*AN800/(1+M800)^F800,0)</x:f>
        <x:v>0.23130837052354408</x:v>
      </x:c>
      <x:c r="AJ800" t="n">
        <x:v>0</x:v>
      </x:c>
      <x:c r="AK800" t="n">
        <x:v>0</x:v>
      </x:c>
      <x:c r="AL800" t="n">
        <x:v>0</x:v>
      </x:c>
      <x:c r="AM800" t="n">
        <x:f>CHOOSE('假设'!$B$3,AJ800,AK800,AL800)</x:f>
        <x:v>0</x:v>
      </x:c>
      <x:c r="AN800" t="n">
        <x:v>1</x:v>
      </x:c>
    </x:row>
    <x:row r="801" ht="23" customHeight="1">
      <x:c r="A801" s="11" t="str">
        <x:v>688192.SH</x:v>
      </x:c>
      <x:c r="B801" s="11" t="str">
        <x:v>一年</x:v>
      </x:c>
      <x:c r="C801" s="11" t="str">
        <x:v>sun_later</x:v>
      </x:c>
      <x:c r="D801" s="11" t="str">
        <x:v>2032-12-31</x:v>
      </x:c>
      <x:c r="E801" s="11" t="str">
        <x:v>USD</x:v>
      </x:c>
      <x:c r="F801" s="11" t="n">
        <x:v>5.229295003422314</x:v>
      </x:c>
      <x:c r="G801" s="26" t="b">
        <x:v>1</x:v>
      </x:c>
      <x:c r="H801" s="16" t="n">
        <x:v>0.308</x:v>
      </x:c>
      <x:c r="I801" s="16" t="n">
        <x:v>0.5720000000000001</x:v>
      </x:c>
      <x:c r="J801" s="16" t="n">
        <x:v>0.8360000000000001</x:v>
      </x:c>
      <x:c r="K801" s="11" t="n">
        <x:f>CHOOSE('假设'!$B$3,H801,I801,J801)</x:f>
        <x:v>0.5720000000000001</x:v>
      </x:c>
      <x:c r="L801" s="11" t="n">
        <x:f>K801*'管线假设'!E191*'管线假设'!F191*'管线假设'!G191*IF(E801="USD",'管线假设'!I191,1)-AM801</x:f>
        <x:v>0.33489456000000006</x:v>
      </x:c>
      <x:c r="M801" s="11" t="n">
        <x:f>'管线假设'!H191</x:f>
        <x:v>0.125</x:v>
      </x:c>
      <x:c r="N801" s="11" t="n">
        <x:f>IF(G801,L801*AN801/(1+M801)^F801,0)</x:f>
        <x:v>0.1808907931056273</x:v>
      </x:c>
      <x:c r="AJ801" t="n">
        <x:v>0</x:v>
      </x:c>
      <x:c r="AK801" t="n">
        <x:v>0</x:v>
      </x:c>
      <x:c r="AL801" t="n">
        <x:v>0</x:v>
      </x:c>
      <x:c r="AM801" t="n">
        <x:f>CHOOSE('假设'!$B$3,AJ801,AK801,AL801)</x:f>
        <x:v>0</x:v>
      </x:c>
      <x:c r="AN801" t="n">
        <x:v>1</x:v>
      </x:c>
    </x:row>
    <x:row r="802" ht="23" customHeight="1">
      <x:c r="A802" s="11" t="str">
        <x:v>688192.SH</x:v>
      </x:c>
      <x:c r="B802" s="11" t="str">
        <x:v>一年</x:v>
      </x:c>
      <x:c r="C802" s="11" t="str">
        <x:v>sun_later</x:v>
      </x:c>
      <x:c r="D802" s="11" t="str">
        <x:v>2033-12-31</x:v>
      </x:c>
      <x:c r="E802" s="11" t="str">
        <x:v>USD</x:v>
      </x:c>
      <x:c r="F802" s="11" t="n">
        <x:v>6.228610540725531</x:v>
      </x:c>
      <x:c r="G802" s="26" t="b">
        <x:v>1</x:v>
      </x:c>
      <x:c r="H802" s="16" t="n">
        <x:v>0.26599999999999996</x:v>
      </x:c>
      <x:c r="I802" s="16" t="n">
        <x:v>0.49400000000000005</x:v>
      </x:c>
      <x:c r="J802" s="16" t="n">
        <x:v>0.7040000000000001</x:v>
      </x:c>
      <x:c r="K802" s="11" t="n">
        <x:f>CHOOSE('假设'!$B$3,H802,I802,J802)</x:f>
        <x:v>0.49400000000000005</x:v>
      </x:c>
      <x:c r="L802" s="11" t="n">
        <x:f>K802*'管线假设'!E191*'管线假设'!F191*'管线假设'!G191*IF(E802="USD",'管线假设'!I191,1)-AM802</x:f>
        <x:v>0.28922712000000006</x:v>
      </x:c>
      <x:c r="M802" s="11" t="n">
        <x:f>'管线假设'!H191</x:f>
        <x:v>0.125</x:v>
      </x:c>
      <x:c r="N802" s="11" t="n">
        <x:f>IF(G802,L802*AN802/(1+M802)^F802,0)</x:f>
        <x:v>0.13887685488990004</x:v>
      </x:c>
      <x:c r="AJ802" t="n">
        <x:v>0</x:v>
      </x:c>
      <x:c r="AK802" t="n">
        <x:v>0</x:v>
      </x:c>
      <x:c r="AL802" t="n">
        <x:v>0</x:v>
      </x:c>
      <x:c r="AM802" t="n">
        <x:f>CHOOSE('假设'!$B$3,AJ802,AK802,AL802)</x:f>
        <x:v>0</x:v>
      </x:c>
      <x:c r="AN802" t="n">
        <x:v>1</x:v>
      </x:c>
    </x:row>
    <x:row r="803" ht="23" customHeight="1">
      <x:c r="A803" s="11" t="str">
        <x:v>688192.SH</x:v>
      </x:c>
      <x:c r="B803" s="11" t="str">
        <x:v>一年</x:v>
      </x:c>
      <x:c r="C803" s="11" t="str">
        <x:v>sun_later</x:v>
      </x:c>
      <x:c r="D803" s="11" t="str">
        <x:v>2034-12-31</x:v>
      </x:c>
      <x:c r="E803" s="11" t="str">
        <x:v>USD</x:v>
      </x:c>
      <x:c r="F803" s="11" t="n">
        <x:v>7.227926078028747</x:v>
      </x:c>
      <x:c r="G803" s="26" t="b">
        <x:v>1</x:v>
      </x:c>
      <x:c r="H803" s="16" t="n">
        <x:v>0.22399999999999998</x:v>
      </x:c>
      <x:c r="I803" s="16" t="n">
        <x:v>0.41600000000000004</x:v>
      </x:c>
      <x:c r="J803" s="16" t="n">
        <x:v>0.5720000000000001</x:v>
      </x:c>
      <x:c r="K803" s="11" t="n">
        <x:f>CHOOSE('假设'!$B$3,H803,I803,J803)</x:f>
        <x:v>0.41600000000000004</x:v>
      </x:c>
      <x:c r="L803" s="11" t="n">
        <x:f>K803*'管线假设'!E191*'管线假设'!F191*'管线假设'!G191*IF(E803="USD",'管线假设'!I191,1)-AM803</x:f>
        <x:v>0.24355968000000003</x:v>
      </x:c>
      <x:c r="M803" s="11" t="n">
        <x:f>'管线假设'!H191</x:f>
        <x:v>0.125</x:v>
      </x:c>
      <x:c r="N803" s="11" t="n">
        <x:f>IF(G803,L803*AN803/(1+M803)^F803,0)</x:f>
        <x:v>0.10396298578981751</x:v>
      </x:c>
      <x:c r="AJ803" t="n">
        <x:v>0</x:v>
      </x:c>
      <x:c r="AK803" t="n">
        <x:v>0</x:v>
      </x:c>
      <x:c r="AL803" t="n">
        <x:v>0</x:v>
      </x:c>
      <x:c r="AM803" t="n">
        <x:f>CHOOSE('假设'!$B$3,AJ803,AK803,AL803)</x:f>
        <x:v>0</x:v>
      </x:c>
      <x:c r="AN803" t="n">
        <x:v>1</x:v>
      </x:c>
    </x:row>
    <x:row r="804" ht="23" customHeight="1">
      <x:c r="A804" s="11" t="str">
        <x:v>688192.SH</x:v>
      </x:c>
      <x:c r="B804" s="11" t="str">
        <x:v>一年</x:v>
      </x:c>
      <x:c r="C804" s="11" t="str">
        <x:v>sun_later</x:v>
      </x:c>
      <x:c r="D804" s="11" t="str">
        <x:v>2035-12-31</x:v>
      </x:c>
      <x:c r="E804" s="11" t="str">
        <x:v>USD</x:v>
      </x:c>
      <x:c r="F804" s="11" t="n">
        <x:v>8.227241615331964</x:v>
      </x:c>
      <x:c r="G804" s="26" t="b">
        <x:v>1</x:v>
      </x:c>
      <x:c r="H804" s="16" t="n">
        <x:v>0.182</x:v>
      </x:c>
      <x:c r="I804" s="16" t="n">
        <x:v>0.338</x:v>
      </x:c>
      <x:c r="J804" s="16" t="n">
        <x:v>0.44000000000000006</x:v>
      </x:c>
      <x:c r="K804" s="11" t="n">
        <x:f>CHOOSE('假设'!$B$3,H804,I804,J804)</x:f>
        <x:v>0.338</x:v>
      </x:c>
      <x:c r="L804" s="11" t="n">
        <x:f>K804*'管线假设'!E191*'管线假设'!F191*'管线假设'!G191*IF(E804="USD",'管线假设'!I191,1)-AM804</x:f>
        <x:v>0.19789224000000002</x:v>
      </x:c>
      <x:c r="M804" s="11" t="n">
        <x:f>'管线假设'!H191</x:f>
        <x:v>0.125</x:v>
      </x:c>
      <x:c r="N804" s="11" t="n">
        <x:f>IF(G804,L804*AN804/(1+M804)^F804,0)</x:f>
        <x:v>0.07509043202949352</x:v>
      </x:c>
      <x:c r="AJ804" t="n">
        <x:v>0</x:v>
      </x:c>
      <x:c r="AK804" t="n">
        <x:v>0</x:v>
      </x:c>
      <x:c r="AL804" t="n">
        <x:v>0</x:v>
      </x:c>
      <x:c r="AM804" t="n">
        <x:f>CHOOSE('假设'!$B$3,AJ804,AK804,AL804)</x:f>
        <x:v>0</x:v>
      </x:c>
      <x:c r="AN804" t="n">
        <x:v>1</x:v>
      </x:c>
    </x:row>
    <x:row r="805" ht="23" customHeight="1">
      <x:c r="A805" s="11" t="str">
        <x:v>688192.SH</x:v>
      </x:c>
      <x:c r="B805" s="11" t="str">
        <x:v>一年</x:v>
      </x:c>
      <x:c r="C805" s="11" t="str">
        <x:v>sun_later</x:v>
      </x:c>
      <x:c r="D805" s="11" t="str">
        <x:v>2036-12-31</x:v>
      </x:c>
      <x:c r="E805" s="11" t="str">
        <x:v>USD</x:v>
      </x:c>
      <x:c r="F805" s="11" t="n">
        <x:v>9.229295003422314</x:v>
      </x:c>
      <x:c r="G805" s="26" t="b">
        <x:v>1</x:v>
      </x:c>
      <x:c r="H805" s="16" t="n">
        <x:v>0.13999999999999999</x:v>
      </x:c>
      <x:c r="I805" s="16" t="n">
        <x:v>0.26</x:v>
      </x:c>
      <x:c r="J805" s="16" t="n">
        <x:v>0.30800000000000005</x:v>
      </x:c>
      <x:c r="K805" s="11" t="n">
        <x:f>CHOOSE('假设'!$B$3,H805,I805,J805)</x:f>
        <x:v>0.26</x:v>
      </x:c>
      <x:c r="L805" s="11" t="n">
        <x:f>K805*'管线假设'!E191*'管线假设'!F191*'管线假设'!G191*IF(E805="USD",'管线假设'!I191,1)-AM805</x:f>
        <x:v>0.15222480000000002</x:v>
      </x:c>
      <x:c r="M805" s="11" t="n">
        <x:f>'管线假设'!H191</x:f>
        <x:v>0.125</x:v>
      </x:c>
      <x:c r="N805" s="11" t="n">
        <x:f>IF(G805,L805*AN805/(1+M805)^F805,0)</x:f>
        <x:v>0.05133146891138057</x:v>
      </x:c>
      <x:c r="AJ805" t="n">
        <x:v>0</x:v>
      </x:c>
      <x:c r="AK805" t="n">
        <x:v>0</x:v>
      </x:c>
      <x:c r="AL805" t="n">
        <x:v>0</x:v>
      </x:c>
      <x:c r="AM805" t="n">
        <x:f>CHOOSE('假设'!$B$3,AJ805,AK805,AL805)</x:f>
        <x:v>0</x:v>
      </x:c>
      <x:c r="AN805" t="n">
        <x:v>1</x:v>
      </x:c>
    </x:row>
    <x:row r="806" ht="23" customHeight="1">
      <x:c r="A806" s="11" t="str">
        <x:v>688192.SH</x:v>
      </x:c>
      <x:c r="B806" s="11" t="str">
        <x:v>一年</x:v>
      </x:c>
      <x:c r="C806" s="11" t="str">
        <x:v>sun_later</x:v>
      </x:c>
      <x:c r="D806" s="11" t="str">
        <x:v>2037-12-31</x:v>
      </x:c>
      <x:c r="E806" s="11" t="str">
        <x:v>USD</x:v>
      </x:c>
      <x:c r="F806" s="11" t="n">
        <x:v>10.22861054072553</x:v>
      </x:c>
      <x:c r="G806" s="26" t="b">
        <x:v>1</x:v>
      </x:c>
      <x:c r="H806" s="16" t="n">
        <x:v>0.098</x:v>
      </x:c>
      <x:c r="I806" s="16" t="n">
        <x:v>0.18200000000000002</x:v>
      </x:c>
      <x:c r="J806" s="16" t="n">
        <x:v>0.17600000000000005</x:v>
      </x:c>
      <x:c r="K806" s="11" t="n">
        <x:f>CHOOSE('假设'!$B$3,H806,I806,J806)</x:f>
        <x:v>0.18200000000000002</x:v>
      </x:c>
      <x:c r="L806" s="11" t="n">
        <x:f>K806*'管线假设'!E191*'管线假设'!F191*'管线假设'!G191*IF(E806="USD",'管线假设'!I191,1)-AM806</x:f>
        <x:v>0.10655736000000002</x:v>
      </x:c>
      <x:c r="M806" s="11" t="n">
        <x:f>'管线假设'!H191</x:f>
        <x:v>0.125</x:v>
      </x:c>
      <x:c r="N806" s="11" t="n">
        <x:f>IF(G806,L806*AN806/(1+M806)^F806,0)</x:f>
        <x:v>0.03194215566788771</x:v>
      </x:c>
      <x:c r="AJ806" t="n">
        <x:v>0</x:v>
      </x:c>
      <x:c r="AK806" t="n">
        <x:v>0</x:v>
      </x:c>
      <x:c r="AL806" t="n">
        <x:v>0</x:v>
      </x:c>
      <x:c r="AM806" t="n">
        <x:f>CHOOSE('假设'!$B$3,AJ806,AK806,AL806)</x:f>
        <x:v>0</x:v>
      </x:c>
      <x:c r="AN806" t="n">
        <x:v>1</x:v>
      </x:c>
    </x:row>
    <x:row r="807" ht="23" customHeight="1">
      <x:c r="A807" s="11" t="str">
        <x:v>688192.SH</x:v>
      </x:c>
      <x:c r="B807" s="11" t="str">
        <x:v>一年</x:v>
      </x:c>
      <x:c r="C807" s="11" t="str">
        <x:v>sun_later</x:v>
      </x:c>
      <x:c r="D807" s="11" t="str">
        <x:v>2038-12-31</x:v>
      </x:c>
      <x:c r="E807" s="11" t="str">
        <x:v>USD</x:v>
      </x:c>
      <x:c r="F807" s="11" t="n">
        <x:v>11.227926078028748</x:v>
      </x:c>
      <x:c r="G807" s="26" t="b">
        <x:v>1</x:v>
      </x:c>
      <x:c r="H807" s="16" t="n">
        <x:v>0.05600000000000001</x:v>
      </x:c>
      <x:c r="I807" s="16" t="n">
        <x:v>0.10400000000000002</x:v>
      </x:c>
      <x:c r="J807" s="16" t="n">
        <x:v>0.044000000000000046</x:v>
      </x:c>
      <x:c r="K807" s="11" t="n">
        <x:f>CHOOSE('假设'!$B$3,H807,I807,J807)</x:f>
        <x:v>0.10400000000000002</x:v>
      </x:c>
      <x:c r="L807" s="11" t="n">
        <x:f>K807*'管线假设'!E191*'管线假设'!F191*'管线假设'!G191*IF(E807="USD",'管线假设'!I191,1)-AM807</x:f>
        <x:v>0.06088992000000002</x:v>
      </x:c>
      <x:c r="M807" s="11" t="n">
        <x:f>'管线假设'!H191</x:f>
        <x:v>0.125</x:v>
      </x:c>
      <x:c r="N807" s="11" t="n">
        <x:f>IF(G807,L807*AN807/(1+M807)^F807,0)</x:f>
        <x:v>0.01622589505392061</x:v>
      </x:c>
      <x:c r="AJ807" t="n">
        <x:v>0</x:v>
      </x:c>
      <x:c r="AK807" t="n">
        <x:v>0</x:v>
      </x:c>
      <x:c r="AL807" t="n">
        <x:v>0</x:v>
      </x:c>
      <x:c r="AM807" t="n">
        <x:f>CHOOSE('假设'!$B$3,AJ807,AK807,AL807)</x:f>
        <x:v>0</x:v>
      </x:c>
      <x:c r="AN807" t="n">
        <x:v>1</x:v>
      </x:c>
    </x:row>
    <x:row r="808" ht="23" customHeight="1">
      <x:c r="A808" s="11" t="str">
        <x:v>688192.SH</x:v>
      </x:c>
      <x:c r="B808" s="11" t="str">
        <x:v>一年</x:v>
      </x:c>
      <x:c r="C808" s="11" t="str">
        <x:v>sun_later</x:v>
      </x:c>
      <x:c r="D808" s="11" t="str">
        <x:v>2039-12-31</x:v>
      </x:c>
      <x:c r="E808" s="11" t="str">
        <x:v>USD</x:v>
      </x:c>
      <x:c r="F808" s="11" t="n">
        <x:v>12.227241615331964</x:v>
      </x:c>
      <x:c r="G808" s="26" t="b">
        <x:v>1</x:v>
      </x:c>
      <x:c r="H808" s="16" t="n">
        <x:v>0.01400000000000001</x:v>
      </x:c>
      <x:c r="I808" s="16" t="n">
        <x:v>0.026000000000000023</x:v>
      </x:c>
      <x:c r="J808" s="16" t="n">
        <x:v>0</x:v>
      </x:c>
      <x:c r="K808" s="11" t="n">
        <x:f>CHOOSE('假设'!$B$3,H808,I808,J808)</x:f>
        <x:v>0.026000000000000023</x:v>
      </x:c>
      <x:c r="L808" s="11" t="n">
        <x:f>K808*'管线假设'!E191*'管线假设'!F191*'管线假设'!G191*IF(E808="USD",'管线假设'!I191,1)-AM808</x:f>
        <x:v>0.015222480000000014</x:v>
      </x:c>
      <x:c r="M808" s="11" t="n">
        <x:f>'管线假设'!H191</x:f>
        <x:v>0.125</x:v>
      </x:c>
      <x:c r="N808" s="11" t="n">
        <x:f>IF(G808,L808*AN808/(1+M808)^F808,0)</x:f>
        <x:v>0.0036060451571970236</x:v>
      </x:c>
      <x:c r="AJ808" t="n">
        <x:v>0</x:v>
      </x:c>
      <x:c r="AK808" t="n">
        <x:v>0</x:v>
      </x:c>
      <x:c r="AL808" t="n">
        <x:v>0</x:v>
      </x:c>
      <x:c r="AM808" t="n">
        <x:f>CHOOSE('假设'!$B$3,AJ808,AK808,AL808)</x:f>
        <x:v>0</x:v>
      </x:c>
      <x:c r="AN808" t="n">
        <x:v>1</x:v>
      </x:c>
    </x:row>
    <x:row r="809" ht="23" customHeight="1">
      <x:c r="A809" s="11" t="str">
        <x:v>688192.SH</x:v>
      </x:c>
      <x:c r="B809" s="11" t="str">
        <x:v>一年</x:v>
      </x:c>
      <x:c r="C809" s="11" t="str">
        <x:v>sun_later</x:v>
      </x:c>
      <x:c r="D809" s="11" t="str">
        <x:v>2040-12-31</x:v>
      </x:c>
      <x:c r="E809" s="11" t="str">
        <x:v>USD</x:v>
      </x:c>
      <x:c r="F809" s="11" t="n">
        <x:v>13.229295003422314</x:v>
      </x:c>
      <x:c r="G809" s="26" t="b">
        <x:v>1</x:v>
      </x:c>
      <x:c r="H809" s="16" t="n">
        <x:v>0</x:v>
      </x:c>
      <x:c r="I809" s="16" t="n">
        <x:v>0</x:v>
      </x:c>
      <x:c r="J809" s="16" t="n">
        <x:v>0</x:v>
      </x:c>
      <x:c r="K809" s="11" t="n">
        <x:f>CHOOSE('假设'!$B$3,H809,I809,J809)</x:f>
        <x:v>0</x:v>
      </x:c>
      <x:c r="L809" s="11" t="n">
        <x:f>K809*'管线假设'!E191*'管线假设'!F191*'管线假设'!G191*IF(E809="USD",'管线假设'!I191,1)-AM809</x:f>
        <x:v>0</x:v>
      </x:c>
      <x:c r="M809" s="11" t="n">
        <x:f>'管线假设'!H191</x:f>
        <x:v>0.125</x:v>
      </x:c>
      <x:c r="N809" s="11" t="n">
        <x:f>IF(G809,L809*AN809/(1+M809)^F809,0)</x:f>
        <x:v>0</x:v>
      </x:c>
      <x:c r="AJ809" t="n">
        <x:v>0</x:v>
      </x:c>
      <x:c r="AK809" t="n">
        <x:v>0</x:v>
      </x:c>
      <x:c r="AL809" t="n">
        <x:v>0</x:v>
      </x:c>
      <x:c r="AM809" t="n">
        <x:f>CHOOSE('假设'!$B$3,AJ809,AK809,AL809)</x:f>
        <x:v>0</x:v>
      </x:c>
      <x:c r="AN809" t="n">
        <x:v>1</x:v>
      </x:c>
    </x:row>
    <x:row r="810" ht="23" customHeight="1">
      <x:c r="A810" s="11" t="str">
        <x:v>688192.SH</x:v>
      </x:c>
      <x:c r="B810" s="11" t="str">
        <x:v>一年</x:v>
      </x:c>
      <x:c r="C810" s="11" t="str">
        <x:v>sun_later</x:v>
      </x:c>
      <x:c r="D810" s="11" t="str">
        <x:v>2041-12-31</x:v>
      </x:c>
      <x:c r="E810" s="11" t="str">
        <x:v>USD</x:v>
      </x:c>
      <x:c r="F810" s="11" t="n">
        <x:v>14.22861054072553</x:v>
      </x:c>
      <x:c r="G810" s="26" t="b">
        <x:v>1</x:v>
      </x:c>
      <x:c r="H810" s="16" t="n">
        <x:v>0</x:v>
      </x:c>
      <x:c r="I810" s="16" t="n">
        <x:v>0</x:v>
      </x:c>
      <x:c r="J810" s="16" t="n">
        <x:v>0</x:v>
      </x:c>
      <x:c r="K810" s="11" t="n">
        <x:f>CHOOSE('假设'!$B$3,H810,I810,J810)</x:f>
        <x:v>0</x:v>
      </x:c>
      <x:c r="L810" s="11" t="n">
        <x:f>K810*'管线假设'!E191*'管线假设'!F191*'管线假设'!G191*IF(E810="USD",'管线假设'!I191,1)-AM810</x:f>
        <x:v>0</x:v>
      </x:c>
      <x:c r="M810" s="11" t="n">
        <x:f>'管线假设'!H191</x:f>
        <x:v>0.125</x:v>
      </x:c>
      <x:c r="N810" s="11" t="n">
        <x:f>IF(G810,L810*AN810/(1+M810)^F810,0)</x:f>
        <x:v>0</x:v>
      </x:c>
      <x:c r="AJ810" t="n">
        <x:v>0</x:v>
      </x:c>
      <x:c r="AK810" t="n">
        <x:v>0</x:v>
      </x:c>
      <x:c r="AL810" t="n">
        <x:v>0</x:v>
      </x:c>
      <x:c r="AM810" t="n">
        <x:f>CHOOSE('假设'!$B$3,AJ810,AK810,AL810)</x:f>
        <x:v>0</x:v>
      </x:c>
      <x:c r="AN810" t="n">
        <x:v>1</x:v>
      </x:c>
    </x:row>
    <x:row r="811" ht="23" customHeight="1">
      <x:c r="A811" s="11" t="str">
        <x:v>688192.SH</x:v>
      </x:c>
      <x:c r="B811" s="11" t="str">
        <x:v>一年</x:v>
      </x:c>
      <x:c r="C811" s="11" t="str">
        <x:v>sun_later</x:v>
      </x:c>
      <x:c r="D811" s="11" t="str">
        <x:v>2042-12-31</x:v>
      </x:c>
      <x:c r="E811" s="11" t="str">
        <x:v>USD</x:v>
      </x:c>
      <x:c r="F811" s="11" t="n">
        <x:v>15.227926078028748</x:v>
      </x:c>
      <x:c r="G811" s="26" t="b">
        <x:v>1</x:v>
      </x:c>
      <x:c r="H811" s="16" t="n">
        <x:v>0</x:v>
      </x:c>
      <x:c r="I811" s="16" t="n">
        <x:v>0</x:v>
      </x:c>
      <x:c r="J811" s="16" t="n">
        <x:v>0</x:v>
      </x:c>
      <x:c r="K811" s="11" t="n">
        <x:f>CHOOSE('假设'!$B$3,H811,I811,J811)</x:f>
        <x:v>0</x:v>
      </x:c>
      <x:c r="L811" s="11" t="n">
        <x:f>K811*'管线假设'!E191*'管线假设'!F191*'管线假设'!G191*IF(E811="USD",'管线假设'!I191,1)-AM811</x:f>
        <x:v>0</x:v>
      </x:c>
      <x:c r="M811" s="11" t="n">
        <x:f>'管线假设'!H191</x:f>
        <x:v>0.125</x:v>
      </x:c>
      <x:c r="N811" s="11" t="n">
        <x:f>IF(G811,L811*AN811/(1+M811)^F811,0)</x:f>
        <x:v>0</x:v>
      </x:c>
      <x:c r="AJ811" t="n">
        <x:v>0</x:v>
      </x:c>
      <x:c r="AK811" t="n">
        <x:v>0</x:v>
      </x:c>
      <x:c r="AL811" t="n">
        <x:v>0</x:v>
      </x:c>
      <x:c r="AM811" t="n">
        <x:f>CHOOSE('假设'!$B$3,AJ811,AK811,AL811)</x:f>
        <x:v>0</x:v>
      </x:c>
      <x:c r="AN811" t="n">
        <x:v>1</x:v>
      </x:c>
    </x:row>
    <x:row r="812" ht="23" customHeight="1">
      <x:c r="A812" s="11" t="str">
        <x:v>688192.SH</x:v>
      </x:c>
      <x:c r="B812" s="11" t="str">
        <x:v>一年</x:v>
      </x:c>
      <x:c r="C812" s="11" t="str">
        <x:v>sun_later</x:v>
      </x:c>
      <x:c r="D812" s="11" t="str">
        <x:v>2043-12-31</x:v>
      </x:c>
      <x:c r="E812" s="11" t="str">
        <x:v>USD</x:v>
      </x:c>
      <x:c r="F812" s="11" t="n">
        <x:v>16.227241615331966</x:v>
      </x:c>
      <x:c r="G812" s="26" t="b">
        <x:v>1</x:v>
      </x:c>
      <x:c r="H812" s="16" t="n">
        <x:v>0</x:v>
      </x:c>
      <x:c r="I812" s="16" t="n">
        <x:v>0</x:v>
      </x:c>
      <x:c r="J812" s="16" t="n">
        <x:v>0</x:v>
      </x:c>
      <x:c r="K812" s="11" t="n">
        <x:f>CHOOSE('假设'!$B$3,H812,I812,J812)</x:f>
        <x:v>0</x:v>
      </x:c>
      <x:c r="L812" s="11" t="n">
        <x:f>K812*'管线假设'!E191*'管线假设'!F191*'管线假设'!G191*IF(E812="USD",'管线假设'!I191,1)-AM812</x:f>
        <x:v>0</x:v>
      </x:c>
      <x:c r="M812" s="11" t="n">
        <x:f>'管线假设'!H191</x:f>
        <x:v>0.125</x:v>
      </x:c>
      <x:c r="N812" s="11" t="n">
        <x:f>IF(G812,L812*AN812/(1+M812)^F812,0)</x:f>
        <x:v>0</x:v>
      </x:c>
      <x:c r="AJ812" t="n">
        <x:v>0</x:v>
      </x:c>
      <x:c r="AK812" t="n">
        <x:v>0</x:v>
      </x:c>
      <x:c r="AL812" t="n">
        <x:v>0</x:v>
      </x:c>
      <x:c r="AM812" t="n">
        <x:f>CHOOSE('假设'!$B$3,AJ812,AK812,AL812)</x:f>
        <x:v>0</x:v>
      </x:c>
      <x:c r="AN812" t="n">
        <x:v>1</x:v>
      </x:c>
    </x:row>
    <x:row r="813" ht="23" customHeight="1">
      <x:c r="A813" s="11" t="str">
        <x:v>688192.SH</x:v>
      </x:c>
      <x:c r="B813" s="11" t="str">
        <x:v>一年</x:v>
      </x:c>
      <x:c r="C813" s="11" t="str">
        <x:v>sun_later</x:v>
      </x:c>
      <x:c r="D813" s="11" t="str">
        <x:v>2044-12-31</x:v>
      </x:c>
      <x:c r="E813" s="11" t="str">
        <x:v>USD</x:v>
      </x:c>
      <x:c r="F813" s="11" t="n">
        <x:v>17.229295003422312</x:v>
      </x:c>
      <x:c r="G813" s="26" t="b">
        <x:v>1</x:v>
      </x:c>
      <x:c r="H813" s="16" t="n">
        <x:v>0</x:v>
      </x:c>
      <x:c r="I813" s="16" t="n">
        <x:v>0</x:v>
      </x:c>
      <x:c r="J813" s="16" t="n">
        <x:v>0</x:v>
      </x:c>
      <x:c r="K813" s="11" t="n">
        <x:f>CHOOSE('假设'!$B$3,H813,I813,J813)</x:f>
        <x:v>0</x:v>
      </x:c>
      <x:c r="L813" s="11" t="n">
        <x:f>K813*'管线假设'!E191*'管线假设'!F191*'管线假设'!G191*IF(E813="USD",'管线假设'!I191,1)-AM813</x:f>
        <x:v>0</x:v>
      </x:c>
      <x:c r="M813" s="11" t="n">
        <x:f>'管线假设'!H191</x:f>
        <x:v>0.125</x:v>
      </x:c>
      <x:c r="N813" s="11" t="n">
        <x:f>IF(G813,L813*AN813/(1+M813)^F813,0)</x:f>
        <x:v>0</x:v>
      </x:c>
      <x:c r="AJ813" t="n">
        <x:v>0</x:v>
      </x:c>
      <x:c r="AK813" t="n">
        <x:v>0</x:v>
      </x:c>
      <x:c r="AL813" t="n">
        <x:v>0</x:v>
      </x:c>
      <x:c r="AM813" t="n">
        <x:f>CHOOSE('假设'!$B$3,AJ813,AK813,AL813)</x:f>
        <x:v>0</x:v>
      </x:c>
      <x:c r="AN813" t="n">
        <x:v>1</x:v>
      </x:c>
    </x:row>
    <x:row r="814" ht="23" customHeight="1">
      <x:c r="A814" s="11" t="str">
        <x:v>688192.SH</x:v>
      </x:c>
      <x:c r="B814" s="11" t="str">
        <x:v>一年</x:v>
      </x:c>
      <x:c r="C814" s="11" t="str">
        <x:v>sun_later</x:v>
      </x:c>
      <x:c r="D814" s="11" t="str">
        <x:v>2045-12-31</x:v>
      </x:c>
      <x:c r="E814" s="11" t="str">
        <x:v>USD</x:v>
      </x:c>
      <x:c r="F814" s="11" t="n">
        <x:v>18.22861054072553</x:v>
      </x:c>
      <x:c r="G814" s="26" t="b">
        <x:v>1</x:v>
      </x:c>
      <x:c r="H814" s="16" t="n">
        <x:v>0</x:v>
      </x:c>
      <x:c r="I814" s="16" t="n">
        <x:v>0</x:v>
      </x:c>
      <x:c r="J814" s="16" t="n">
        <x:v>0</x:v>
      </x:c>
      <x:c r="K814" s="11" t="n">
        <x:f>CHOOSE('假设'!$B$3,H814,I814,J814)</x:f>
        <x:v>0</x:v>
      </x:c>
      <x:c r="L814" s="11" t="n">
        <x:f>K814*'管线假设'!E191*'管线假设'!F191*'管线假设'!G191*IF(E814="USD",'管线假设'!I191,1)-AM814</x:f>
        <x:v>0</x:v>
      </x:c>
      <x:c r="M814" s="11" t="n">
        <x:f>'管线假设'!H191</x:f>
        <x:v>0.125</x:v>
      </x:c>
      <x:c r="N814" s="11" t="n">
        <x:f>IF(G814,L814*AN814/(1+M814)^F814,0)</x:f>
        <x:v>0</x:v>
      </x:c>
      <x:c r="AJ814" t="n">
        <x:v>0</x:v>
      </x:c>
      <x:c r="AK814" t="n">
        <x:v>0</x:v>
      </x:c>
      <x:c r="AL814" t="n">
        <x:v>0</x:v>
      </x:c>
      <x:c r="AM814" t="n">
        <x:f>CHOOSE('假设'!$B$3,AJ814,AK814,AL814)</x:f>
        <x:v>0</x:v>
      </x:c>
      <x:c r="AN814" t="n">
        <x:v>1</x:v>
      </x:c>
    </x:row>
    <x:row r="815" ht="23" customHeight="1">
      <x:c r="A815" s="11" t="str">
        <x:v>688192.SH</x:v>
      </x:c>
      <x:c r="B815" s="11" t="str">
        <x:v>一年</x:v>
      </x:c>
      <x:c r="C815" s="11" t="str">
        <x:v>sun_first</x:v>
      </x:c>
      <x:c r="D815" s="11" t="str">
        <x:v>2027-12-31</x:v>
      </x:c>
      <x:c r="E815" s="11" t="str">
        <x:v>USD</x:v>
      </x:c>
      <x:c r="F815" s="11" t="n">
        <x:v>0.2272416153319644</x:v>
      </x:c>
      <x:c r="G815" s="26" t="b">
        <x:v>1</x:v>
      </x:c>
      <x:c r="H815" s="16" t="n">
        <x:v>0</x:v>
      </x:c>
      <x:c r="I815" s="16" t="n">
        <x:v>0</x:v>
      </x:c>
      <x:c r="J815" s="16" t="n">
        <x:v>0.45</x:v>
      </x:c>
      <x:c r="K815" s="11" t="n">
        <x:f>CHOOSE('假设'!$B$3,H815,I815,J815)</x:f>
        <x:v>0</x:v>
      </x:c>
      <x:c r="L815" s="11" t="n">
        <x:f>K815*'管线假设'!E195*'管线假设'!F195*'管线假设'!G195*IF(E815="USD",'管线假设'!I195,1)-AM815</x:f>
        <x:v>0</x:v>
      </x:c>
      <x:c r="M815" s="11" t="n">
        <x:f>'管线假设'!H195</x:f>
        <x:v>0.125</x:v>
      </x:c>
      <x:c r="N815" s="11" t="n">
        <x:f>IF(G815,L815*AN815/(1+M815)^F815,0)</x:f>
        <x:v>0</x:v>
      </x:c>
      <x:c r="AJ815" t="n">
        <x:v>0</x:v>
      </x:c>
      <x:c r="AK815" t="n">
        <x:v>0</x:v>
      </x:c>
      <x:c r="AL815" t="n">
        <x:v>0</x:v>
      </x:c>
      <x:c r="AM815" t="n">
        <x:f>CHOOSE('假设'!$B$3,AJ815,AK815,AL815)</x:f>
        <x:v>0</x:v>
      </x:c>
      <x:c r="AN815" t="n">
        <x:v>1</x:v>
      </x:c>
    </x:row>
    <x:row r="816" ht="23" customHeight="1">
      <x:c r="A816" s="11" t="str">
        <x:v>688192.SH</x:v>
      </x:c>
      <x:c r="B816" s="11" t="str">
        <x:v>一年</x:v>
      </x:c>
      <x:c r="C816" s="11" t="str">
        <x:v>sun_first</x:v>
      </x:c>
      <x:c r="D816" s="11" t="str">
        <x:v>2028-12-31</x:v>
      </x:c>
      <x:c r="E816" s="11" t="str">
        <x:v>USD</x:v>
      </x:c>
      <x:c r="F816" s="11" t="n">
        <x:v>1.2292950034223136</x:v>
      </x:c>
      <x:c r="G816" s="26" t="b">
        <x:v>1</x:v>
      </x:c>
      <x:c r="H816" s="16" t="n">
        <x:v>0</x:v>
      </x:c>
      <x:c r="I816" s="16" t="n">
        <x:v>0.25</x:v>
      </x:c>
      <x:c r="J816" s="16" t="n">
        <x:v>0.9</x:v>
      </x:c>
      <x:c r="K816" s="11" t="n">
        <x:f>CHOOSE('假设'!$B$3,H816,I816,J816)</x:f>
        <x:v>0.25</x:v>
      </x:c>
      <x:c r="L816" s="11" t="n">
        <x:f>K816*'管线假设'!E195*'管线假设'!F195*'管线假设'!G195*IF(E816="USD",'管线假设'!I195,1)-AM816</x:f>
        <x:v>0.116744712</x:v>
      </x:c>
      <x:c r="M816" s="11" t="n">
        <x:f>'管线假设'!H195</x:f>
        <x:v>0.125</x:v>
      </x:c>
      <x:c r="N816" s="11" t="n">
        <x:f>IF(G816,L816*AN816/(1+M816)^F816,0)</x:f>
        <x:v>0.10100797811316196</x:v>
      </x:c>
      <x:c r="AJ816" t="n">
        <x:v>0</x:v>
      </x:c>
      <x:c r="AK816" t="n">
        <x:v>0</x:v>
      </x:c>
      <x:c r="AL816" t="n">
        <x:v>0</x:v>
      </x:c>
      <x:c r="AM816" t="n">
        <x:f>CHOOSE('假设'!$B$3,AJ816,AK816,AL816)</x:f>
        <x:v>0</x:v>
      </x:c>
      <x:c r="AN816" t="n">
        <x:v>1</x:v>
      </x:c>
    </x:row>
    <x:row r="817" ht="23" customHeight="1">
      <x:c r="A817" s="11" t="str">
        <x:v>688192.SH</x:v>
      </x:c>
      <x:c r="B817" s="11" t="str">
        <x:v>一年</x:v>
      </x:c>
      <x:c r="C817" s="11" t="str">
        <x:v>sun_first</x:v>
      </x:c>
      <x:c r="D817" s="11" t="str">
        <x:v>2029-12-31</x:v>
      </x:c>
      <x:c r="E817" s="11" t="str">
        <x:v>USD</x:v>
      </x:c>
      <x:c r="F817" s="11" t="n">
        <x:v>2.2286105407255303</x:v>
      </x:c>
      <x:c r="G817" s="26" t="b">
        <x:v>1</x:v>
      </x:c>
      <x:c r="H817" s="16" t="n">
        <x:v>0.1</x:v>
      </x:c>
      <x:c r="I817" s="16" t="n">
        <x:v>0.5</x:v>
      </x:c>
      <x:c r="J817" s="16" t="n">
        <x:v>1.35</x:v>
      </x:c>
      <x:c r="K817" s="11" t="n">
        <x:f>CHOOSE('假设'!$B$3,H817,I817,J817)</x:f>
        <x:v>0.5</x:v>
      </x:c>
      <x:c r="L817" s="11" t="n">
        <x:f>K817*'管线假设'!E195*'管线假设'!F195*'管线假设'!G195*IF(E817="USD",'管线假设'!I195,1)-AM817</x:f>
        <x:v>0.233489424</x:v>
      </x:c>
      <x:c r="M817" s="11" t="n">
        <x:f>'管线假设'!H195</x:f>
        <x:v>0.125</x:v>
      </x:c>
      <x:c r="N817" s="11" t="n">
        <x:f>IF(G817,L817*AN817/(1+M817)^F817,0)</x:f>
        <x:v>0.1795842160215231</x:v>
      </x:c>
      <x:c r="AJ817" t="n">
        <x:v>0</x:v>
      </x:c>
      <x:c r="AK817" t="n">
        <x:v>0</x:v>
      </x:c>
      <x:c r="AL817" t="n">
        <x:v>0</x:v>
      </x:c>
      <x:c r="AM817" t="n">
        <x:f>CHOOSE('假设'!$B$3,AJ817,AK817,AL817)</x:f>
        <x:v>0</x:v>
      </x:c>
      <x:c r="AN817" t="n">
        <x:v>1</x:v>
      </x:c>
    </x:row>
    <x:row r="818" ht="23" customHeight="1">
      <x:c r="A818" s="11" t="str">
        <x:v>688192.SH</x:v>
      </x:c>
      <x:c r="B818" s="11" t="str">
        <x:v>一年</x:v>
      </x:c>
      <x:c r="C818" s="11" t="str">
        <x:v>sun_first</x:v>
      </x:c>
      <x:c r="D818" s="11" t="str">
        <x:v>2030-12-31</x:v>
      </x:c>
      <x:c r="E818" s="11" t="str">
        <x:v>USD</x:v>
      </x:c>
      <x:c r="F818" s="11" t="n">
        <x:v>3.2279260780287475</x:v>
      </x:c>
      <x:c r="G818" s="26" t="b">
        <x:v>1</x:v>
      </x:c>
      <x:c r="H818" s="16" t="n">
        <x:v>0.2</x:v>
      </x:c>
      <x:c r="I818" s="16" t="n">
        <x:v>0.75</x:v>
      </x:c>
      <x:c r="J818" s="16" t="n">
        <x:v>1.8</x:v>
      </x:c>
      <x:c r="K818" s="11" t="n">
        <x:f>CHOOSE('假设'!$B$3,H818,I818,J818)</x:f>
        <x:v>0.75</x:v>
      </x:c>
      <x:c r="L818" s="11" t="n">
        <x:f>K818*'管线假设'!E195*'管线假设'!F195*'管线假设'!G195*IF(E818="USD",'管线假设'!I195,1)-AM818</x:f>
        <x:v>0.350234136</x:v>
      </x:c>
      <x:c r="M818" s="11" t="n">
        <x:f>'管线假设'!H195</x:f>
        <x:v>0.125</x:v>
      </x:c>
      <x:c r="N818" s="11" t="n">
        <x:f>IF(G818,L818*AN818/(1+M818)^F818,0)</x:f>
        <x:v>0.23946492578982714</x:v>
      </x:c>
      <x:c r="AJ818" t="n">
        <x:v>0</x:v>
      </x:c>
      <x:c r="AK818" t="n">
        <x:v>0</x:v>
      </x:c>
      <x:c r="AL818" t="n">
        <x:v>0</x:v>
      </x:c>
      <x:c r="AM818" t="n">
        <x:f>CHOOSE('假设'!$B$3,AJ818,AK818,AL818)</x:f>
        <x:v>0</x:v>
      </x:c>
      <x:c r="AN818" t="n">
        <x:v>1</x:v>
      </x:c>
    </x:row>
    <x:row r="819" ht="23" customHeight="1">
      <x:c r="A819" s="11" t="str">
        <x:v>688192.SH</x:v>
      </x:c>
      <x:c r="B819" s="11" t="str">
        <x:v>一年</x:v>
      </x:c>
      <x:c r="C819" s="11" t="str">
        <x:v>sun_first</x:v>
      </x:c>
      <x:c r="D819" s="11" t="str">
        <x:v>2031-12-31</x:v>
      </x:c>
      <x:c r="E819" s="11" t="str">
        <x:v>USD</x:v>
      </x:c>
      <x:c r="F819" s="11" t="n">
        <x:v>4.227241615331964</x:v>
      </x:c>
      <x:c r="G819" s="26" t="b">
        <x:v>1</x:v>
      </x:c>
      <x:c r="H819" s="16" t="n">
        <x:v>0.3</x:v>
      </x:c>
      <x:c r="I819" s="16" t="n">
        <x:v>1</x:v>
      </x:c>
      <x:c r="J819" s="16" t="n">
        <x:v>2.2500000000000004</x:v>
      </x:c>
      <x:c r="K819" s="11" t="n">
        <x:f>CHOOSE('假设'!$B$3,H819,I819,J819)</x:f>
        <x:v>1</x:v>
      </x:c>
      <x:c r="L819" s="11" t="n">
        <x:f>K819*'管线假设'!E195*'管线假设'!F195*'管线假设'!G195*IF(E819="USD",'管线假设'!I195,1)-AM819</x:f>
        <x:v>0.466978848</x:v>
      </x:c>
      <x:c r="M819" s="11" t="n">
        <x:f>'管线假设'!H195</x:f>
        <x:v>0.125</x:v>
      </x:c>
      <x:c r="N819" s="11" t="n">
        <x:f>IF(G819,L819*AN819/(1+M819)^F819,0)</x:f>
        <x:v>0.2838331635839673</x:v>
      </x:c>
      <x:c r="AJ819" t="n">
        <x:v>0</x:v>
      </x:c>
      <x:c r="AK819" t="n">
        <x:v>0</x:v>
      </x:c>
      <x:c r="AL819" t="n">
        <x:v>0</x:v>
      </x:c>
      <x:c r="AM819" t="n">
        <x:f>CHOOSE('假设'!$B$3,AJ819,AK819,AL819)</x:f>
        <x:v>0</x:v>
      </x:c>
      <x:c r="AN819" t="n">
        <x:v>1</x:v>
      </x:c>
    </x:row>
    <x:row r="820" ht="23" customHeight="1">
      <x:c r="A820" s="11" t="str">
        <x:v>688192.SH</x:v>
      </x:c>
      <x:c r="B820" s="11" t="str">
        <x:v>一年</x:v>
      </x:c>
      <x:c r="C820" s="11" t="str">
        <x:v>sun_first</x:v>
      </x:c>
      <x:c r="D820" s="11" t="str">
        <x:v>2032-12-31</x:v>
      </x:c>
      <x:c r="E820" s="11" t="str">
        <x:v>USD</x:v>
      </x:c>
      <x:c r="F820" s="11" t="n">
        <x:v>5.229295003422314</x:v>
      </x:c>
      <x:c r="G820" s="26" t="b">
        <x:v>1</x:v>
      </x:c>
      <x:c r="H820" s="16" t="n">
        <x:v>0.4</x:v>
      </x:c>
      <x:c r="I820" s="16" t="n">
        <x:v>1.25</x:v>
      </x:c>
      <x:c r="J820" s="16" t="n">
        <x:v>2.7</x:v>
      </x:c>
      <x:c r="K820" s="11" t="n">
        <x:f>CHOOSE('假设'!$B$3,H820,I820,J820)</x:f>
        <x:v>1.25</x:v>
      </x:c>
      <x:c r="L820" s="11" t="n">
        <x:f>K820*'管线假设'!E195*'管线假设'!F195*'管线假设'!G195*IF(E820="USD",'管线假设'!I195,1)-AM820</x:f>
        <x:v>0.58372356</x:v>
      </x:c>
      <x:c r="M820" s="11" t="n">
        <x:f>'管线假设'!H195</x:f>
        <x:v>0.125</x:v>
      </x:c>
      <x:c r="N820" s="11" t="n">
        <x:f>IF(G820,L820*AN820/(1+M820)^F820,0)</x:f>
        <x:v>0.3152939173536895</x:v>
      </x:c>
      <x:c r="AJ820" t="n">
        <x:v>0</x:v>
      </x:c>
      <x:c r="AK820" t="n">
        <x:v>0</x:v>
      </x:c>
      <x:c r="AL820" t="n">
        <x:v>0</x:v>
      </x:c>
      <x:c r="AM820" t="n">
        <x:f>CHOOSE('假设'!$B$3,AJ820,AK820,AL820)</x:f>
        <x:v>0</x:v>
      </x:c>
      <x:c r="AN820" t="n">
        <x:v>1</x:v>
      </x:c>
    </x:row>
    <x:row r="821" ht="23" customHeight="1">
      <x:c r="A821" s="11" t="str">
        <x:v>688192.SH</x:v>
      </x:c>
      <x:c r="B821" s="11" t="str">
        <x:v>一年</x:v>
      </x:c>
      <x:c r="C821" s="11" t="str">
        <x:v>sun_first</x:v>
      </x:c>
      <x:c r="D821" s="11" t="str">
        <x:v>2033-12-31</x:v>
      </x:c>
      <x:c r="E821" s="11" t="str">
        <x:v>USD</x:v>
      </x:c>
      <x:c r="F821" s="11" t="n">
        <x:v>6.228610540725531</x:v>
      </x:c>
      <x:c r="G821" s="26" t="b">
        <x:v>1</x:v>
      </x:c>
      <x:c r="H821" s="16" t="n">
        <x:v>0.5</x:v>
      </x:c>
      <x:c r="I821" s="16" t="n">
        <x:v>1.5</x:v>
      </x:c>
      <x:c r="J821" s="16" t="n">
        <x:v>2.3760000000000003</x:v>
      </x:c>
      <x:c r="K821" s="11" t="n">
        <x:f>CHOOSE('假设'!$B$3,H821,I821,J821)</x:f>
        <x:v>1.5</x:v>
      </x:c>
      <x:c r="L821" s="11" t="n">
        <x:f>K821*'管线假设'!E195*'管线假设'!F195*'管线假设'!G195*IF(E821="USD",'管线假设'!I195,1)-AM821</x:f>
        <x:v>0.700468272</x:v>
      </x:c>
      <x:c r="M821" s="11" t="n">
        <x:f>'管线假设'!H195</x:f>
        <x:v>0.125</x:v>
      </x:c>
      <x:c r="N821" s="11" t="n">
        <x:f>IF(G821,L821*AN821/(1+M821)^F821,0)</x:f>
        <x:v>0.3363406258912477</x:v>
      </x:c>
      <x:c r="AJ821" t="n">
        <x:v>0</x:v>
      </x:c>
      <x:c r="AK821" t="n">
        <x:v>0</x:v>
      </x:c>
      <x:c r="AL821" t="n">
        <x:v>0</x:v>
      </x:c>
      <x:c r="AM821" t="n">
        <x:f>CHOOSE('假设'!$B$3,AJ821,AK821,AL821)</x:f>
        <x:v>0</x:v>
      </x:c>
      <x:c r="AN821" t="n">
        <x:v>1</x:v>
      </x:c>
    </x:row>
    <x:row r="822" ht="23" customHeight="1">
      <x:c r="A822" s="11" t="str">
        <x:v>688192.SH</x:v>
      </x:c>
      <x:c r="B822" s="11" t="str">
        <x:v>一年</x:v>
      </x:c>
      <x:c r="C822" s="11" t="str">
        <x:v>sun_first</x:v>
      </x:c>
      <x:c r="D822" s="11" t="str">
        <x:v>2034-12-31</x:v>
      </x:c>
      <x:c r="E822" s="11" t="str">
        <x:v>USD</x:v>
      </x:c>
      <x:c r="F822" s="11" t="n">
        <x:v>7.227926078028747</x:v>
      </x:c>
      <x:c r="G822" s="26" t="b">
        <x:v>1</x:v>
      </x:c>
      <x:c r="H822" s="16" t="n">
        <x:v>0.44</x:v>
      </x:c>
      <x:c r="I822" s="16" t="n">
        <x:v>1.32</x:v>
      </x:c>
      <x:c r="J822" s="16" t="n">
        <x:v>2.052</x:v>
      </x:c>
      <x:c r="K822" s="11" t="n">
        <x:f>CHOOSE('假设'!$B$3,H822,I822,J822)</x:f>
        <x:v>1.32</x:v>
      </x:c>
      <x:c r="L822" s="11" t="n">
        <x:f>K822*'管线假设'!E195*'管线假设'!F195*'管线假设'!G195*IF(E822="USD",'管线假设'!I195,1)-AM822</x:f>
        <x:v>0.6164120793600001</x:v>
      </x:c>
      <x:c r="M822" s="11" t="n">
        <x:f>'管线假设'!H195</x:f>
        <x:v>0.125</x:v>
      </x:c>
      <x:c r="N822" s="11" t="n">
        <x:f>IF(G822,L822*AN822/(1+M822)^F822,0)</x:f>
        <x:v>0.263114322728522</x:v>
      </x:c>
      <x:c r="AJ822" t="n">
        <x:v>0</x:v>
      </x:c>
      <x:c r="AK822" t="n">
        <x:v>0</x:v>
      </x:c>
      <x:c r="AL822" t="n">
        <x:v>0</x:v>
      </x:c>
      <x:c r="AM822" t="n">
        <x:f>CHOOSE('假设'!$B$3,AJ822,AK822,AL822)</x:f>
        <x:v>0</x:v>
      </x:c>
      <x:c r="AN822" t="n">
        <x:v>1</x:v>
      </x:c>
    </x:row>
    <x:row r="823" ht="23" customHeight="1">
      <x:c r="A823" s="11" t="str">
        <x:v>688192.SH</x:v>
      </x:c>
      <x:c r="B823" s="11" t="str">
        <x:v>一年</x:v>
      </x:c>
      <x:c r="C823" s="11" t="str">
        <x:v>sun_first</x:v>
      </x:c>
      <x:c r="D823" s="11" t="str">
        <x:v>2035-12-31</x:v>
      </x:c>
      <x:c r="E823" s="11" t="str">
        <x:v>USD</x:v>
      </x:c>
      <x:c r="F823" s="11" t="n">
        <x:v>8.227241615331964</x:v>
      </x:c>
      <x:c r="G823" s="26" t="b">
        <x:v>1</x:v>
      </x:c>
      <x:c r="H823" s="16" t="n">
        <x:v>0.38</x:v>
      </x:c>
      <x:c r="I823" s="16" t="n">
        <x:v>1.1400000000000001</x:v>
      </x:c>
      <x:c r="J823" s="16" t="n">
        <x:v>1.7280000000000002</x:v>
      </x:c>
      <x:c r="K823" s="11" t="n">
        <x:f>CHOOSE('假设'!$B$3,H823,I823,J823)</x:f>
        <x:v>1.1400000000000001</x:v>
      </x:c>
      <x:c r="L823" s="11" t="n">
        <x:f>K823*'管线假设'!E195*'管线假设'!F195*'管线假设'!G195*IF(E823="USD",'管线假设'!I195,1)-AM823</x:f>
        <x:v>0.5323558867200001</x:v>
      </x:c>
      <x:c r="M823" s="11" t="n">
        <x:f>'管线假设'!H195</x:f>
        <x:v>0.125</x:v>
      </x:c>
      <x:c r="N823" s="11" t="n">
        <x:f>IF(G823,L823*AN823/(1+M823)^F823,0)</x:f>
        <x:v>0.2020030372451639</x:v>
      </x:c>
      <x:c r="AJ823" t="n">
        <x:v>0</x:v>
      </x:c>
      <x:c r="AK823" t="n">
        <x:v>0</x:v>
      </x:c>
      <x:c r="AL823" t="n">
        <x:v>0</x:v>
      </x:c>
      <x:c r="AM823" t="n">
        <x:f>CHOOSE('假设'!$B$3,AJ823,AK823,AL823)</x:f>
        <x:v>0</x:v>
      </x:c>
      <x:c r="AN823" t="n">
        <x:v>1</x:v>
      </x:c>
    </x:row>
    <x:row r="824" ht="23" customHeight="1">
      <x:c r="A824" s="11" t="str">
        <x:v>688192.SH</x:v>
      </x:c>
      <x:c r="B824" s="11" t="str">
        <x:v>一年</x:v>
      </x:c>
      <x:c r="C824" s="11" t="str">
        <x:v>sun_first</x:v>
      </x:c>
      <x:c r="D824" s="11" t="str">
        <x:v>2036-12-31</x:v>
      </x:c>
      <x:c r="E824" s="11" t="str">
        <x:v>USD</x:v>
      </x:c>
      <x:c r="F824" s="11" t="n">
        <x:v>9.229295003422314</x:v>
      </x:c>
      <x:c r="G824" s="26" t="b">
        <x:v>1</x:v>
      </x:c>
      <x:c r="H824" s="16" t="n">
        <x:v>0.32</x:v>
      </x:c>
      <x:c r="I824" s="16" t="n">
        <x:v>0.96</x:v>
      </x:c>
      <x:c r="J824" s="16" t="n">
        <x:v>1.4040000000000001</x:v>
      </x:c>
      <x:c r="K824" s="11" t="n">
        <x:f>CHOOSE('假设'!$B$3,H824,I824,J824)</x:f>
        <x:v>0.96</x:v>
      </x:c>
      <x:c r="L824" s="11" t="n">
        <x:f>K824*'管线假设'!E195*'管线假设'!F195*'管线假设'!G195*IF(E824="USD",'管线假设'!I195,1)-AM824</x:f>
        <x:v>0.44829969408000003</x:v>
      </x:c>
      <x:c r="M824" s="11" t="n">
        <x:f>'管线假设'!H195</x:f>
        <x:v>0.125</x:v>
      </x:c>
      <x:c r="N824" s="11" t="n">
        <x:f>IF(G824,L824*AN824/(1+M824)^F824,0)</x:f>
        <x:v>0.15117038622910944</x:v>
      </x:c>
      <x:c r="AJ824" t="n">
        <x:v>0</x:v>
      </x:c>
      <x:c r="AK824" t="n">
        <x:v>0</x:v>
      </x:c>
      <x:c r="AL824" t="n">
        <x:v>0</x:v>
      </x:c>
      <x:c r="AM824" t="n">
        <x:f>CHOOSE('假设'!$B$3,AJ824,AK824,AL824)</x:f>
        <x:v>0</x:v>
      </x:c>
      <x:c r="AN824" t="n">
        <x:v>1</x:v>
      </x:c>
    </x:row>
    <x:row r="825" ht="23" customHeight="1">
      <x:c r="A825" s="11" t="str">
        <x:v>688192.SH</x:v>
      </x:c>
      <x:c r="B825" s="11" t="str">
        <x:v>一年</x:v>
      </x:c>
      <x:c r="C825" s="11" t="str">
        <x:v>sun_first</x:v>
      </x:c>
      <x:c r="D825" s="11" t="str">
        <x:v>2037-12-31</x:v>
      </x:c>
      <x:c r="E825" s="11" t="str">
        <x:v>USD</x:v>
      </x:c>
      <x:c r="F825" s="11" t="n">
        <x:v>10.22861054072553</x:v>
      </x:c>
      <x:c r="G825" s="26" t="b">
        <x:v>1</x:v>
      </x:c>
      <x:c r="H825" s="16" t="n">
        <x:v>0.26</x:v>
      </x:c>
      <x:c r="I825" s="16" t="n">
        <x:v>0.78</x:v>
      </x:c>
      <x:c r="J825" s="16" t="n">
        <x:v>1.08</x:v>
      </x:c>
      <x:c r="K825" s="11" t="n">
        <x:f>CHOOSE('假设'!$B$3,H825,I825,J825)</x:f>
        <x:v>0.78</x:v>
      </x:c>
      <x:c r="L825" s="11" t="n">
        <x:f>K825*'管线假设'!E195*'管线假设'!F195*'管线假设'!G195*IF(E825="USD",'管线假设'!I195,1)-AM825</x:f>
        <x:v>0.36424350144000006</x:v>
      </x:c>
      <x:c r="M825" s="11" t="n">
        <x:f>'管线假设'!H195</x:f>
        <x:v>0.125</x:v>
      </x:c>
      <x:c r="N825" s="11" t="n">
        <x:f>IF(G825,L825*AN825/(1+M825)^F825,0)</x:f>
        <x:v>0.10918741440303101</x:v>
      </x:c>
      <x:c r="AJ825" t="n">
        <x:v>0</x:v>
      </x:c>
      <x:c r="AK825" t="n">
        <x:v>0</x:v>
      </x:c>
      <x:c r="AL825" t="n">
        <x:v>0</x:v>
      </x:c>
      <x:c r="AM825" t="n">
        <x:f>CHOOSE('假设'!$B$3,AJ825,AK825,AL825)</x:f>
        <x:v>0</x:v>
      </x:c>
      <x:c r="AN825" t="n">
        <x:v>1</x:v>
      </x:c>
    </x:row>
    <x:row r="826" ht="23" customHeight="1">
      <x:c r="A826" s="11" t="str">
        <x:v>688192.SH</x:v>
      </x:c>
      <x:c r="B826" s="11" t="str">
        <x:v>一年</x:v>
      </x:c>
      <x:c r="C826" s="11" t="str">
        <x:v>sun_first</x:v>
      </x:c>
      <x:c r="D826" s="11" t="str">
        <x:v>2038-12-31</x:v>
      </x:c>
      <x:c r="E826" s="11" t="str">
        <x:v>USD</x:v>
      </x:c>
      <x:c r="F826" s="11" t="n">
        <x:v>11.227926078028748</x:v>
      </x:c>
      <x:c r="G826" s="26" t="b">
        <x:v>1</x:v>
      </x:c>
      <x:c r="H826" s="16" t="n">
        <x:v>0.2</x:v>
      </x:c>
      <x:c r="I826" s="16" t="n">
        <x:v>0.6000000000000001</x:v>
      </x:c>
      <x:c r="J826" s="16" t="n">
        <x:v>0.7560000000000001</x:v>
      </x:c>
      <x:c r="K826" s="11" t="n">
        <x:f>CHOOSE('假设'!$B$3,H826,I826,J826)</x:f>
        <x:v>0.6000000000000001</x:v>
      </x:c>
      <x:c r="L826" s="11" t="n">
        <x:f>K826*'管线假设'!E195*'管线假设'!F195*'管线假设'!G195*IF(E826="USD",'管线假设'!I195,1)-AM826</x:f>
        <x:v>0.28018730880000003</x:v>
      </x:c>
      <x:c r="M826" s="11" t="n">
        <x:f>'管线假设'!H195</x:f>
        <x:v>0.125</x:v>
      </x:c>
      <x:c r="N826" s="11" t="n">
        <x:f>IF(G826,L826*AN826/(1+M826)^F826,0)</x:f>
        <x:v>0.07466408016350237</x:v>
      </x:c>
      <x:c r="AJ826" t="n">
        <x:v>0</x:v>
      </x:c>
      <x:c r="AK826" t="n">
        <x:v>0</x:v>
      </x:c>
      <x:c r="AL826" t="n">
        <x:v>0</x:v>
      </x:c>
      <x:c r="AM826" t="n">
        <x:f>CHOOSE('假设'!$B$3,AJ826,AK826,AL826)</x:f>
        <x:v>0</x:v>
      </x:c>
      <x:c r="AN826" t="n">
        <x:v>1</x:v>
      </x:c>
    </x:row>
    <x:row r="827" ht="23" customHeight="1">
      <x:c r="A827" s="11" t="str">
        <x:v>688192.SH</x:v>
      </x:c>
      <x:c r="B827" s="11" t="str">
        <x:v>一年</x:v>
      </x:c>
      <x:c r="C827" s="11" t="str">
        <x:v>sun_first</x:v>
      </x:c>
      <x:c r="D827" s="11" t="str">
        <x:v>2039-12-31</x:v>
      </x:c>
      <x:c r="E827" s="11" t="str">
        <x:v>USD</x:v>
      </x:c>
      <x:c r="F827" s="11" t="n">
        <x:v>12.227241615331964</x:v>
      </x:c>
      <x:c r="G827" s="26" t="b">
        <x:v>1</x:v>
      </x:c>
      <x:c r="H827" s="16" t="n">
        <x:v>0.14</x:v>
      </x:c>
      <x:c r="I827" s="16" t="n">
        <x:v>0.42000000000000004</x:v>
      </x:c>
      <x:c r="J827" s="16" t="n">
        <x:v>0.4320000000000001</x:v>
      </x:c>
      <x:c r="K827" s="11" t="n">
        <x:f>CHOOSE('假设'!$B$3,H827,I827,J827)</x:f>
        <x:v>0.42000000000000004</x:v>
      </x:c>
      <x:c r="L827" s="11" t="n">
        <x:f>K827*'管线假设'!E195*'管线假设'!F195*'管线假设'!G195*IF(E827="USD",'管线假设'!I195,1)-AM827</x:f>
        <x:v>0.19613111616000004</x:v>
      </x:c>
      <x:c r="M827" s="11" t="n">
        <x:f>'管线假设'!H195</x:f>
        <x:v>0.125</x:v>
      </x:c>
      <x:c r="N827" s="11" t="n">
        <x:f>IF(G827,L827*AN827/(1+M827)^F827,0)</x:f>
        <x:v>0.04646139535768248</x:v>
      </x:c>
      <x:c r="AJ827" t="n">
        <x:v>0</x:v>
      </x:c>
      <x:c r="AK827" t="n">
        <x:v>0</x:v>
      </x:c>
      <x:c r="AL827" t="n">
        <x:v>0</x:v>
      </x:c>
      <x:c r="AM827" t="n">
        <x:f>CHOOSE('假设'!$B$3,AJ827,AK827,AL827)</x:f>
        <x:v>0</x:v>
      </x:c>
      <x:c r="AN827" t="n">
        <x:v>1</x:v>
      </x:c>
    </x:row>
    <x:row r="828" ht="23" customHeight="1">
      <x:c r="A828" s="11" t="str">
        <x:v>688192.SH</x:v>
      </x:c>
      <x:c r="B828" s="11" t="str">
        <x:v>一年</x:v>
      </x:c>
      <x:c r="C828" s="11" t="str">
        <x:v>sun_first</x:v>
      </x:c>
      <x:c r="D828" s="11" t="str">
        <x:v>2040-12-31</x:v>
      </x:c>
      <x:c r="E828" s="11" t="str">
        <x:v>USD</x:v>
      </x:c>
      <x:c r="F828" s="11" t="n">
        <x:v>13.229295003422314</x:v>
      </x:c>
      <x:c r="G828" s="26" t="b">
        <x:v>1</x:v>
      </x:c>
      <x:c r="H828" s="16" t="n">
        <x:v>0.08000000000000002</x:v>
      </x:c>
      <x:c r="I828" s="16" t="n">
        <x:v>0.24000000000000005</x:v>
      </x:c>
      <x:c r="J828" s="16" t="n">
        <x:v>0.10800000000000011</x:v>
      </x:c>
      <x:c r="K828" s="11" t="n">
        <x:f>CHOOSE('假设'!$B$3,H828,I828,J828)</x:f>
        <x:v>0.24000000000000005</x:v>
      </x:c>
      <x:c r="L828" s="11" t="n">
        <x:f>K828*'管线假设'!E195*'管线假设'!F195*'管线假设'!G195*IF(E828="USD",'管线假设'!I195,1)-AM828</x:f>
        <x:v>0.11207492352000002</x:v>
      </x:c>
      <x:c r="M828" s="11" t="n">
        <x:f>'管线假设'!H195</x:f>
        <x:v>0.125</x:v>
      </x:c>
      <x:c r="N828" s="11" t="n">
        <x:f>IF(G828,L828*AN828/(1+M828)^F828,0)</x:f>
        <x:v>0.02359373197662065</x:v>
      </x:c>
      <x:c r="AJ828" t="n">
        <x:v>0</x:v>
      </x:c>
      <x:c r="AK828" t="n">
        <x:v>0</x:v>
      </x:c>
      <x:c r="AL828" t="n">
        <x:v>0</x:v>
      </x:c>
      <x:c r="AM828" t="n">
        <x:f>CHOOSE('假设'!$B$3,AJ828,AK828,AL828)</x:f>
        <x:v>0</x:v>
      </x:c>
      <x:c r="AN828" t="n">
        <x:v>1</x:v>
      </x:c>
    </x:row>
    <x:row r="829" ht="23" customHeight="1">
      <x:c r="A829" s="11" t="str">
        <x:v>688192.SH</x:v>
      </x:c>
      <x:c r="B829" s="11" t="str">
        <x:v>一年</x:v>
      </x:c>
      <x:c r="C829" s="11" t="str">
        <x:v>sun_first</x:v>
      </x:c>
      <x:c r="D829" s="11" t="str">
        <x:v>2041-12-31</x:v>
      </x:c>
      <x:c r="E829" s="11" t="str">
        <x:v>USD</x:v>
      </x:c>
      <x:c r="F829" s="11" t="n">
        <x:v>14.22861054072553</x:v>
      </x:c>
      <x:c r="G829" s="26" t="b">
        <x:v>1</x:v>
      </x:c>
      <x:c r="H829" s="16" t="n">
        <x:v>0.020000000000000018</x:v>
      </x:c>
      <x:c r="I829" s="16" t="n">
        <x:v>0.06000000000000005</x:v>
      </x:c>
      <x:c r="J829" s="16" t="n">
        <x:v>0</x:v>
      </x:c>
      <x:c r="K829" s="11" t="n">
        <x:f>CHOOSE('假设'!$B$3,H829,I829,J829)</x:f>
        <x:v>0.06000000000000005</x:v>
      </x:c>
      <x:c r="L829" s="11" t="n">
        <x:f>K829*'管线假设'!E195*'管线假设'!F195*'管线假设'!G195*IF(E829="USD",'管线假设'!I195,1)-AM829</x:f>
        <x:v>0.02801873088000003</x:v>
      </x:c>
      <x:c r="M829" s="11" t="n">
        <x:f>'管线假设'!H195</x:f>
        <x:v>0.125</x:v>
      </x:c>
      <x:c r="N829" s="11" t="n">
        <x:f>IF(G829,L829*AN829/(1+M829)^F829,0)</x:f>
        <x:v>0.00524347425222252</x:v>
      </x:c>
      <x:c r="AJ829" t="n">
        <x:v>0</x:v>
      </x:c>
      <x:c r="AK829" t="n">
        <x:v>0</x:v>
      </x:c>
      <x:c r="AL829" t="n">
        <x:v>0</x:v>
      </x:c>
      <x:c r="AM829" t="n">
        <x:f>CHOOSE('假设'!$B$3,AJ829,AK829,AL829)</x:f>
        <x:v>0</x:v>
      </x:c>
      <x:c r="AN829" t="n">
        <x:v>1</x:v>
      </x:c>
    </x:row>
    <x:row r="830" ht="23" customHeight="1">
      <x:c r="A830" s="11" t="str">
        <x:v>688192.SH</x:v>
      </x:c>
      <x:c r="B830" s="11" t="str">
        <x:v>一年</x:v>
      </x:c>
      <x:c r="C830" s="11" t="str">
        <x:v>sun_first</x:v>
      </x:c>
      <x:c r="D830" s="11" t="str">
        <x:v>2042-12-31</x:v>
      </x:c>
      <x:c r="E830" s="11" t="str">
        <x:v>USD</x:v>
      </x:c>
      <x:c r="F830" s="11" t="n">
        <x:v>15.227926078028748</x:v>
      </x:c>
      <x:c r="G830" s="26" t="b">
        <x:v>1</x:v>
      </x:c>
      <x:c r="H830" s="16" t="n">
        <x:v>0</x:v>
      </x:c>
      <x:c r="I830" s="16" t="n">
        <x:v>0</x:v>
      </x:c>
      <x:c r="J830" s="16" t="n">
        <x:v>0</x:v>
      </x:c>
      <x:c r="K830" s="11" t="n">
        <x:f>CHOOSE('假设'!$B$3,H830,I830,J830)</x:f>
        <x:v>0</x:v>
      </x:c>
      <x:c r="L830" s="11" t="n">
        <x:f>K830*'管线假设'!E195*'管线假设'!F195*'管线假设'!G195*IF(E830="USD",'管线假设'!I195,1)-AM830</x:f>
        <x:v>0</x:v>
      </x:c>
      <x:c r="M830" s="11" t="n">
        <x:f>'管线假设'!H195</x:f>
        <x:v>0.125</x:v>
      </x:c>
      <x:c r="N830" s="11" t="n">
        <x:f>IF(G830,L830*AN830/(1+M830)^F830,0)</x:f>
        <x:v>0</x:v>
      </x:c>
      <x:c r="AJ830" t="n">
        <x:v>0</x:v>
      </x:c>
      <x:c r="AK830" t="n">
        <x:v>0</x:v>
      </x:c>
      <x:c r="AL830" t="n">
        <x:v>0</x:v>
      </x:c>
      <x:c r="AM830" t="n">
        <x:f>CHOOSE('假设'!$B$3,AJ830,AK830,AL830)</x:f>
        <x:v>0</x:v>
      </x:c>
      <x:c r="AN830" t="n">
        <x:v>1</x:v>
      </x:c>
    </x:row>
    <x:row r="831" ht="23" customHeight="1">
      <x:c r="A831" s="11" t="str">
        <x:v>688192.SH</x:v>
      </x:c>
      <x:c r="B831" s="11" t="str">
        <x:v>一年</x:v>
      </x:c>
      <x:c r="C831" s="11" t="str">
        <x:v>sun_first</x:v>
      </x:c>
      <x:c r="D831" s="11" t="str">
        <x:v>2043-12-31</x:v>
      </x:c>
      <x:c r="E831" s="11" t="str">
        <x:v>USD</x:v>
      </x:c>
      <x:c r="F831" s="11" t="n">
        <x:v>16.227241615331966</x:v>
      </x:c>
      <x:c r="G831" s="26" t="b">
        <x:v>1</x:v>
      </x:c>
      <x:c r="H831" s="16" t="n">
        <x:v>0</x:v>
      </x:c>
      <x:c r="I831" s="16" t="n">
        <x:v>0</x:v>
      </x:c>
      <x:c r="J831" s="16" t="n">
        <x:v>0</x:v>
      </x:c>
      <x:c r="K831" s="11" t="n">
        <x:f>CHOOSE('假设'!$B$3,H831,I831,J831)</x:f>
        <x:v>0</x:v>
      </x:c>
      <x:c r="L831" s="11" t="n">
        <x:f>K831*'管线假设'!E195*'管线假设'!F195*'管线假设'!G195*IF(E831="USD",'管线假设'!I195,1)-AM831</x:f>
        <x:v>0</x:v>
      </x:c>
      <x:c r="M831" s="11" t="n">
        <x:f>'管线假设'!H195</x:f>
        <x:v>0.125</x:v>
      </x:c>
      <x:c r="N831" s="11" t="n">
        <x:f>IF(G831,L831*AN831/(1+M831)^F831,0)</x:f>
        <x:v>0</x:v>
      </x:c>
      <x:c r="AJ831" t="n">
        <x:v>0</x:v>
      </x:c>
      <x:c r="AK831" t="n">
        <x:v>0</x:v>
      </x:c>
      <x:c r="AL831" t="n">
        <x:v>0</x:v>
      </x:c>
      <x:c r="AM831" t="n">
        <x:f>CHOOSE('假设'!$B$3,AJ831,AK831,AL831)</x:f>
        <x:v>0</x:v>
      </x:c>
      <x:c r="AN831" t="n">
        <x:v>1</x:v>
      </x:c>
    </x:row>
    <x:row r="832" ht="23" customHeight="1">
      <x:c r="A832" s="11" t="str">
        <x:v>688192.SH</x:v>
      </x:c>
      <x:c r="B832" s="11" t="str">
        <x:v>一年</x:v>
      </x:c>
      <x:c r="C832" s="11" t="str">
        <x:v>sun_first</x:v>
      </x:c>
      <x:c r="D832" s="11" t="str">
        <x:v>2044-12-31</x:v>
      </x:c>
      <x:c r="E832" s="11" t="str">
        <x:v>USD</x:v>
      </x:c>
      <x:c r="F832" s="11" t="n">
        <x:v>17.229295003422312</x:v>
      </x:c>
      <x:c r="G832" s="26" t="b">
        <x:v>1</x:v>
      </x:c>
      <x:c r="H832" s="16" t="n">
        <x:v>0</x:v>
      </x:c>
      <x:c r="I832" s="16" t="n">
        <x:v>0</x:v>
      </x:c>
      <x:c r="J832" s="16" t="n">
        <x:v>0</x:v>
      </x:c>
      <x:c r="K832" s="11" t="n">
        <x:f>CHOOSE('假设'!$B$3,H832,I832,J832)</x:f>
        <x:v>0</x:v>
      </x:c>
      <x:c r="L832" s="11" t="n">
        <x:f>K832*'管线假设'!E195*'管线假设'!F195*'管线假设'!G195*IF(E832="USD",'管线假设'!I195,1)-AM832</x:f>
        <x:v>0</x:v>
      </x:c>
      <x:c r="M832" s="11" t="n">
        <x:f>'管线假设'!H195</x:f>
        <x:v>0.125</x:v>
      </x:c>
      <x:c r="N832" s="11" t="n">
        <x:f>IF(G832,L832*AN832/(1+M832)^F832,0)</x:f>
        <x:v>0</x:v>
      </x:c>
      <x:c r="AJ832" t="n">
        <x:v>0</x:v>
      </x:c>
      <x:c r="AK832" t="n">
        <x:v>0</x:v>
      </x:c>
      <x:c r="AL832" t="n">
        <x:v>0</x:v>
      </x:c>
      <x:c r="AM832" t="n">
        <x:f>CHOOSE('假设'!$B$3,AJ832,AK832,AL832)</x:f>
        <x:v>0</x:v>
      </x:c>
      <x:c r="AN832" t="n">
        <x:v>1</x:v>
      </x:c>
    </x:row>
    <x:row r="833" ht="23" customHeight="1">
      <x:c r="A833" s="11" t="str">
        <x:v>688192.SH</x:v>
      </x:c>
      <x:c r="B833" s="11" t="str">
        <x:v>一年</x:v>
      </x:c>
      <x:c r="C833" s="11" t="str">
        <x:v>sun_first</x:v>
      </x:c>
      <x:c r="D833" s="11" t="str">
        <x:v>2045-12-31</x:v>
      </x:c>
      <x:c r="E833" s="11" t="str">
        <x:v>USD</x:v>
      </x:c>
      <x:c r="F833" s="11" t="n">
        <x:v>18.22861054072553</x:v>
      </x:c>
      <x:c r="G833" s="26" t="b">
        <x:v>1</x:v>
      </x:c>
      <x:c r="H833" s="16" t="n">
        <x:v>0</x:v>
      </x:c>
      <x:c r="I833" s="16" t="n">
        <x:v>0</x:v>
      </x:c>
      <x:c r="J833" s="16" t="n">
        <x:v>0</x:v>
      </x:c>
      <x:c r="K833" s="11" t="n">
        <x:f>CHOOSE('假设'!$B$3,H833,I833,J833)</x:f>
        <x:v>0</x:v>
      </x:c>
      <x:c r="L833" s="11" t="n">
        <x:f>K833*'管线假设'!E195*'管线假设'!F195*'管线假设'!G195*IF(E833="USD",'管线假设'!I195,1)-AM833</x:f>
        <x:v>0</x:v>
      </x:c>
      <x:c r="M833" s="11" t="n">
        <x:f>'管线假设'!H195</x:f>
        <x:v>0.125</x:v>
      </x:c>
      <x:c r="N833" s="11" t="n">
        <x:f>IF(G833,L833*AN833/(1+M833)^F833,0)</x:f>
        <x:v>0</x:v>
      </x:c>
      <x:c r="AJ833" t="n">
        <x:v>0</x:v>
      </x:c>
      <x:c r="AK833" t="n">
        <x:v>0</x:v>
      </x:c>
      <x:c r="AL833" t="n">
        <x:v>0</x:v>
      </x:c>
      <x:c r="AM833" t="n">
        <x:f>CHOOSE('假设'!$B$3,AJ833,AK833,AL833)</x:f>
        <x:v>0</x:v>
      </x:c>
      <x:c r="AN833" t="n">
        <x:v>1</x:v>
      </x:c>
    </x:row>
    <x:row r="834" ht="23" customHeight="1">
      <x:c r="A834" s="11" t="str">
        <x:v>688192.SH</x:v>
      </x:c>
      <x:c r="B834" s="11" t="str">
        <x:v>一年</x:v>
      </x:c>
      <x:c r="C834" s="11" t="str">
        <x:v>goli_rr</x:v>
      </x:c>
      <x:c r="D834" s="11" t="str">
        <x:v>2027-12-31</x:v>
      </x:c>
      <x:c r="E834" s="11" t="str">
        <x:v>CNY</x:v>
      </x:c>
      <x:c r="F834" s="11" t="n">
        <x:v>0.2272416153319644</x:v>
      </x:c>
      <x:c r="G834" s="26" t="b">
        <x:v>1</x:v>
      </x:c>
      <x:c r="H834" s="16" t="n">
        <x:v>0.10833333333333334</x:v>
      </x:c>
      <x:c r="I834" s="16" t="n">
        <x:v>0.19999999999999998</x:v>
      </x:c>
      <x:c r="J834" s="16" t="n">
        <x:v>0.36000000000000004</x:v>
      </x:c>
      <x:c r="K834" s="11" t="n">
        <x:f>CHOOSE('假设'!$B$3,H834,I834,J834)</x:f>
        <x:v>0.19999999999999998</x:v>
      </x:c>
      <x:c r="L834" s="11" t="n">
        <x:f>K834*'管线假设'!E199*'管线假设'!F199*'管线假设'!G199*IF(E834="USD",'管线假设'!I199,1)-AM834</x:f>
        <x:v>0.066</x:v>
      </x:c>
      <x:c r="M834" s="11" t="n">
        <x:f>'管线假设'!H199</x:f>
        <x:v>0.125</x:v>
      </x:c>
      <x:c r="N834" s="11" t="n">
        <x:f>IF(G834,L834*AN834/(1+M834)^F834,0)</x:f>
        <x:v>0.06425692722822095</x:v>
      </x:c>
      <x:c r="AJ834" t="n">
        <x:v>0</x:v>
      </x:c>
      <x:c r="AK834" t="n">
        <x:v>0</x:v>
      </x:c>
      <x:c r="AL834" t="n">
        <x:v>0</x:v>
      </x:c>
      <x:c r="AM834" t="n">
        <x:f>CHOOSE('假设'!$B$3,AJ834,AK834,AL834)</x:f>
        <x:v>0</x:v>
      </x:c>
      <x:c r="AN834" t="n">
        <x:v>1</x:v>
      </x:c>
    </x:row>
    <x:row r="835" ht="23" customHeight="1">
      <x:c r="A835" s="11" t="str">
        <x:v>688192.SH</x:v>
      </x:c>
      <x:c r="B835" s="11" t="str">
        <x:v>一年</x:v>
      </x:c>
      <x:c r="C835" s="11" t="str">
        <x:v>goli_rr</x:v>
      </x:c>
      <x:c r="D835" s="11" t="str">
        <x:v>2028-12-31</x:v>
      </x:c>
      <x:c r="E835" s="11" t="str">
        <x:v>CNY</x:v>
      </x:c>
      <x:c r="F835" s="11" t="n">
        <x:v>1.2292950034223136</x:v>
      </x:c>
      <x:c r="G835" s="26" t="b">
        <x:v>1</x:v>
      </x:c>
      <x:c r="H835" s="16" t="n">
        <x:v>0.21666666666666667</x:v>
      </x:c>
      <x:c r="I835" s="16" t="n">
        <x:v>0.39999999999999997</x:v>
      </x:c>
      <x:c r="J835" s="16" t="n">
        <x:v>0.7200000000000001</x:v>
      </x:c>
      <x:c r="K835" s="11" t="n">
        <x:f>CHOOSE('假设'!$B$3,H835,I835,J835)</x:f>
        <x:v>0.39999999999999997</x:v>
      </x:c>
      <x:c r="L835" s="11" t="n">
        <x:f>K835*'管线假设'!E199*'管线假设'!F199*'管线假设'!G199*IF(E835="USD",'管线假设'!I199,1)-AM835</x:f>
        <x:v>0.132</x:v>
      </x:c>
      <x:c r="M835" s="11" t="n">
        <x:f>'管线假设'!H199</x:f>
        <x:v>0.125</x:v>
      </x:c>
      <x:c r="N835" s="11" t="n">
        <x:f>IF(G835,L835*AN835/(1+M835)^F835,0)</x:f>
        <x:v>0.11420691252326169</x:v>
      </x:c>
      <x:c r="AJ835" t="n">
        <x:v>0</x:v>
      </x:c>
      <x:c r="AK835" t="n">
        <x:v>0</x:v>
      </x:c>
      <x:c r="AL835" t="n">
        <x:v>0</x:v>
      </x:c>
      <x:c r="AM835" t="n">
        <x:f>CHOOSE('假设'!$B$3,AJ835,AK835,AL835)</x:f>
        <x:v>0</x:v>
      </x:c>
      <x:c r="AN835" t="n">
        <x:v>1</x:v>
      </x:c>
    </x:row>
    <x:row r="836" ht="23" customHeight="1">
      <x:c r="A836" s="11" t="str">
        <x:v>688192.SH</x:v>
      </x:c>
      <x:c r="B836" s="11" t="str">
        <x:v>一年</x:v>
      </x:c>
      <x:c r="C836" s="11" t="str">
        <x:v>goli_rr</x:v>
      </x:c>
      <x:c r="D836" s="11" t="str">
        <x:v>2029-12-31</x:v>
      </x:c>
      <x:c r="E836" s="11" t="str">
        <x:v>CNY</x:v>
      </x:c>
      <x:c r="F836" s="11" t="n">
        <x:v>2.2286105407255303</x:v>
      </x:c>
      <x:c r="G836" s="26" t="b">
        <x:v>1</x:v>
      </x:c>
      <x:c r="H836" s="16" t="n">
        <x:v>0.325</x:v>
      </x:c>
      <x:c r="I836" s="16" t="n">
        <x:v>0.6</x:v>
      </x:c>
      <x:c r="J836" s="16" t="n">
        <x:v>1.08</x:v>
      </x:c>
      <x:c r="K836" s="11" t="n">
        <x:f>CHOOSE('假设'!$B$3,H836,I836,J836)</x:f>
        <x:v>0.6</x:v>
      </x:c>
      <x:c r="L836" s="11" t="n">
        <x:f>K836*'管线假设'!E199*'管线假设'!F199*'管线假设'!G199*IF(E836="USD",'管线假设'!I199,1)-AM836</x:f>
        <x:v>0.198</x:v>
      </x:c>
      <x:c r="M836" s="11" t="n">
        <x:f>'管线假设'!H199</x:f>
        <x:v>0.125</x:v>
      </x:c>
      <x:c r="N836" s="11" t="n">
        <x:f>IF(G836,L836*AN836/(1+M836)^F836,0)</x:f>
        <x:v>0.15228816005071638</x:v>
      </x:c>
      <x:c r="AJ836" t="n">
        <x:v>0</x:v>
      </x:c>
      <x:c r="AK836" t="n">
        <x:v>0</x:v>
      </x:c>
      <x:c r="AL836" t="n">
        <x:v>0</x:v>
      </x:c>
      <x:c r="AM836" t="n">
        <x:f>CHOOSE('假设'!$B$3,AJ836,AK836,AL836)</x:f>
        <x:v>0</x:v>
      </x:c>
      <x:c r="AN836" t="n">
        <x:v>1</x:v>
      </x:c>
    </x:row>
    <x:row r="837" ht="23" customHeight="1">
      <x:c r="A837" s="11" t="str">
        <x:v>688192.SH</x:v>
      </x:c>
      <x:c r="B837" s="11" t="str">
        <x:v>一年</x:v>
      </x:c>
      <x:c r="C837" s="11" t="str">
        <x:v>goli_rr</x:v>
      </x:c>
      <x:c r="D837" s="11" t="str">
        <x:v>2030-12-31</x:v>
      </x:c>
      <x:c r="E837" s="11" t="str">
        <x:v>CNY</x:v>
      </x:c>
      <x:c r="F837" s="11" t="n">
        <x:v>3.2279260780287475</x:v>
      </x:c>
      <x:c r="G837" s="26" t="b">
        <x:v>1</x:v>
      </x:c>
      <x:c r="H837" s="16" t="n">
        <x:v>0.43333333333333335</x:v>
      </x:c>
      <x:c r="I837" s="16" t="n">
        <x:v>0.7999999999999999</x:v>
      </x:c>
      <x:c r="J837" s="16" t="n">
        <x:v>1.4400000000000002</x:v>
      </x:c>
      <x:c r="K837" s="11" t="n">
        <x:f>CHOOSE('假设'!$B$3,H837,I837,J837)</x:f>
        <x:v>0.7999999999999999</x:v>
      </x:c>
      <x:c r="L837" s="11" t="n">
        <x:f>K837*'管线假设'!E199*'管线假设'!F199*'管线假设'!G199*IF(E837="USD",'管线假设'!I199,1)-AM837</x:f>
        <x:v>0.264</x:v>
      </x:c>
      <x:c r="M837" s="11" t="n">
        <x:f>'管线假设'!H199</x:f>
        <x:v>0.125</x:v>
      </x:c>
      <x:c r="N837" s="11" t="n">
        <x:f>IF(G837,L837*AN837/(1+M837)^F837,0)</x:f>
        <x:v>0.18050422249107773</x:v>
      </x:c>
      <x:c r="AJ837" t="n">
        <x:v>0</x:v>
      </x:c>
      <x:c r="AK837" t="n">
        <x:v>0</x:v>
      </x:c>
      <x:c r="AL837" t="n">
        <x:v>0</x:v>
      </x:c>
      <x:c r="AM837" t="n">
        <x:f>CHOOSE('假设'!$B$3,AJ837,AK837,AL837)</x:f>
        <x:v>0</x:v>
      </x:c>
      <x:c r="AN837" t="n">
        <x:v>1</x:v>
      </x:c>
    </x:row>
    <x:row r="838" ht="23" customHeight="1">
      <x:c r="A838" s="11" t="str">
        <x:v>688192.SH</x:v>
      </x:c>
      <x:c r="B838" s="11" t="str">
        <x:v>一年</x:v>
      </x:c>
      <x:c r="C838" s="11" t="str">
        <x:v>goli_rr</x:v>
      </x:c>
      <x:c r="D838" s="11" t="str">
        <x:v>2031-12-31</x:v>
      </x:c>
      <x:c r="E838" s="11" t="str">
        <x:v>CNY</x:v>
      </x:c>
      <x:c r="F838" s="11" t="n">
        <x:v>4.227241615331964</x:v>
      </x:c>
      <x:c r="G838" s="26" t="b">
        <x:v>1</x:v>
      </x:c>
      <x:c r="H838" s="16" t="n">
        <x:v>0.5416666666666667</x:v>
      </x:c>
      <x:c r="I838" s="16" t="n">
        <x:v>1</x:v>
      </x:c>
      <x:c r="J838" s="16" t="n">
        <x:v>1.8</x:v>
      </x:c>
      <x:c r="K838" s="11" t="n">
        <x:f>CHOOSE('假设'!$B$3,H838,I838,J838)</x:f>
        <x:v>1</x:v>
      </x:c>
      <x:c r="L838" s="11" t="n">
        <x:f>K838*'管线假设'!E199*'管线假设'!F199*'管线假设'!G199*IF(E838="USD",'管线假设'!I199,1)-AM838</x:f>
        <x:v>0.33</x:v>
      </x:c>
      <x:c r="M838" s="11" t="n">
        <x:f>'管线假设'!H199</x:f>
        <x:v>0.125</x:v>
      </x:c>
      <x:c r="N838" s="11" t="n">
        <x:f>IF(G838,L838*AN838/(1+M838)^F838,0)</x:f>
        <x:v>0.2005764166489811</x:v>
      </x:c>
      <x:c r="AJ838" t="n">
        <x:v>0</x:v>
      </x:c>
      <x:c r="AK838" t="n">
        <x:v>0</x:v>
      </x:c>
      <x:c r="AL838" t="n">
        <x:v>0</x:v>
      </x:c>
      <x:c r="AM838" t="n">
        <x:f>CHOOSE('假设'!$B$3,AJ838,AK838,AL838)</x:f>
        <x:v>0</x:v>
      </x:c>
      <x:c r="AN838" t="n">
        <x:v>1</x:v>
      </x:c>
    </x:row>
    <x:row r="839" ht="23" customHeight="1">
      <x:c r="A839" s="11" t="str">
        <x:v>688192.SH</x:v>
      </x:c>
      <x:c r="B839" s="11" t="str">
        <x:v>一年</x:v>
      </x:c>
      <x:c r="C839" s="11" t="str">
        <x:v>goli_rr</x:v>
      </x:c>
      <x:c r="D839" s="11" t="str">
        <x:v>2032-12-31</x:v>
      </x:c>
      <x:c r="E839" s="11" t="str">
        <x:v>CNY</x:v>
      </x:c>
      <x:c r="F839" s="11" t="n">
        <x:v>5.229295003422314</x:v>
      </x:c>
      <x:c r="G839" s="26" t="b">
        <x:v>1</x:v>
      </x:c>
      <x:c r="H839" s="16" t="n">
        <x:v>0.65</x:v>
      </x:c>
      <x:c r="I839" s="16" t="n">
        <x:v>1.2</x:v>
      </x:c>
      <x:c r="J839" s="16" t="n">
        <x:v>1.584</x:v>
      </x:c>
      <x:c r="K839" s="11" t="n">
        <x:f>CHOOSE('假设'!$B$3,H839,I839,J839)</x:f>
        <x:v>1.2</x:v>
      </x:c>
      <x:c r="L839" s="11" t="n">
        <x:f>K839*'管线假设'!E199*'管线假设'!F199*'管线假设'!G199*IF(E839="USD",'管线假设'!I199,1)-AM839</x:f>
        <x:v>0.396</x:v>
      </x:c>
      <x:c r="M839" s="11" t="n">
        <x:f>'管线假设'!H199</x:f>
        <x:v>0.125</x:v>
      </x:c>
      <x:c r="N839" s="11" t="n">
        <x:f>IF(G839,L839*AN839/(1+M839)^F839,0)</x:f>
        <x:v>0.21389643973263825</x:v>
      </x:c>
      <x:c r="AJ839" t="n">
        <x:v>0</x:v>
      </x:c>
      <x:c r="AK839" t="n">
        <x:v>0</x:v>
      </x:c>
      <x:c r="AL839" t="n">
        <x:v>0</x:v>
      </x:c>
      <x:c r="AM839" t="n">
        <x:f>CHOOSE('假设'!$B$3,AJ839,AK839,AL839)</x:f>
        <x:v>0</x:v>
      </x:c>
      <x:c r="AN839" t="n">
        <x:v>1</x:v>
      </x:c>
    </x:row>
    <x:row r="840" ht="23" customHeight="1">
      <x:c r="A840" s="11" t="str">
        <x:v>688192.SH</x:v>
      </x:c>
      <x:c r="B840" s="11" t="str">
        <x:v>一年</x:v>
      </x:c>
      <x:c r="C840" s="11" t="str">
        <x:v>goli_rr</x:v>
      </x:c>
      <x:c r="D840" s="11" t="str">
        <x:v>2033-12-31</x:v>
      </x:c>
      <x:c r="E840" s="11" t="str">
        <x:v>CNY</x:v>
      </x:c>
      <x:c r="F840" s="11" t="n">
        <x:v>6.228610540725531</x:v>
      </x:c>
      <x:c r="G840" s="26" t="b">
        <x:v>1</x:v>
      </x:c>
      <x:c r="H840" s="16" t="n">
        <x:v>0.5720000000000001</x:v>
      </x:c>
      <x:c r="I840" s="16" t="n">
        <x:v>1.056</x:v>
      </x:c>
      <x:c r="J840" s="16" t="n">
        <x:v>1.368</x:v>
      </x:c>
      <x:c r="K840" s="11" t="n">
        <x:f>CHOOSE('假设'!$B$3,H840,I840,J840)</x:f>
        <x:v>1.056</x:v>
      </x:c>
      <x:c r="L840" s="11" t="n">
        <x:f>K840*'管线假设'!E199*'管线假设'!F199*'管线假设'!G199*IF(E840="USD",'管线假设'!I199,1)-AM840</x:f>
        <x:v>0.34848</x:v>
      </x:c>
      <x:c r="M840" s="11" t="n">
        <x:f>'管线假设'!H199</x:f>
        <x:v>0.125</x:v>
      </x:c>
      <x:c r="N840" s="11" t="n">
        <x:f>IF(G840,L840*AN840/(1+M840)^F840,0)</x:f>
        <x:v>0.16732803753684078</x:v>
      </x:c>
      <x:c r="AJ840" t="n">
        <x:v>0</x:v>
      </x:c>
      <x:c r="AK840" t="n">
        <x:v>0</x:v>
      </x:c>
      <x:c r="AL840" t="n">
        <x:v>0</x:v>
      </x:c>
      <x:c r="AM840" t="n">
        <x:f>CHOOSE('假设'!$B$3,AJ840,AK840,AL840)</x:f>
        <x:v>0</x:v>
      </x:c>
      <x:c r="AN840" t="n">
        <x:v>1</x:v>
      </x:c>
    </x:row>
    <x:row r="841" ht="23" customHeight="1">
      <x:c r="A841" s="11" t="str">
        <x:v>688192.SH</x:v>
      </x:c>
      <x:c r="B841" s="11" t="str">
        <x:v>一年</x:v>
      </x:c>
      <x:c r="C841" s="11" t="str">
        <x:v>goli_rr</x:v>
      </x:c>
      <x:c r="D841" s="11" t="str">
        <x:v>2034-12-31</x:v>
      </x:c>
      <x:c r="E841" s="11" t="str">
        <x:v>CNY</x:v>
      </x:c>
      <x:c r="F841" s="11" t="n">
        <x:v>7.227926078028747</x:v>
      </x:c>
      <x:c r="G841" s="26" t="b">
        <x:v>1</x:v>
      </x:c>
      <x:c r="H841" s="16" t="n">
        <x:v>0.49400000000000005</x:v>
      </x:c>
      <x:c r="I841" s="16" t="n">
        <x:v>0.9119999999999999</x:v>
      </x:c>
      <x:c r="J841" s="16" t="n">
        <x:v>1.1520000000000001</x:v>
      </x:c>
      <x:c r="K841" s="11" t="n">
        <x:f>CHOOSE('假设'!$B$3,H841,I841,J841)</x:f>
        <x:v>0.9119999999999999</x:v>
      </x:c>
      <x:c r="L841" s="11" t="n">
        <x:f>K841*'管线假设'!E199*'管线假设'!F199*'管线假设'!G199*IF(E841="USD",'管线假设'!I199,1)-AM841</x:f>
        <x:v>0.30096</x:v>
      </x:c>
      <x:c r="M841" s="11" t="n">
        <x:f>'管线假设'!H199</x:f>
        <x:v>0.125</x:v>
      </x:c>
      <x:c r="N841" s="11" t="n">
        <x:f>IF(G841,L841*AN841/(1+M841)^F841,0)</x:f>
        <x:v>0.12846420311975887</x:v>
      </x:c>
      <x:c r="AJ841" t="n">
        <x:v>0</x:v>
      </x:c>
      <x:c r="AK841" t="n">
        <x:v>0</x:v>
      </x:c>
      <x:c r="AL841" t="n">
        <x:v>0</x:v>
      </x:c>
      <x:c r="AM841" t="n">
        <x:f>CHOOSE('假设'!$B$3,AJ841,AK841,AL841)</x:f>
        <x:v>0</x:v>
      </x:c>
      <x:c r="AN841" t="n">
        <x:v>1</x:v>
      </x:c>
    </x:row>
    <x:row r="842" ht="23" customHeight="1">
      <x:c r="A842" s="11" t="str">
        <x:v>688192.SH</x:v>
      </x:c>
      <x:c r="B842" s="11" t="str">
        <x:v>一年</x:v>
      </x:c>
      <x:c r="C842" s="11" t="str">
        <x:v>goli_rr</x:v>
      </x:c>
      <x:c r="D842" s="11" t="str">
        <x:v>2035-12-31</x:v>
      </x:c>
      <x:c r="E842" s="11" t="str">
        <x:v>CNY</x:v>
      </x:c>
      <x:c r="F842" s="11" t="n">
        <x:v>8.227241615331964</x:v>
      </x:c>
      <x:c r="G842" s="26" t="b">
        <x:v>1</x:v>
      </x:c>
      <x:c r="H842" s="16" t="n">
        <x:v>0.41600000000000004</x:v>
      </x:c>
      <x:c r="I842" s="16" t="n">
        <x:v>0.768</x:v>
      </x:c>
      <x:c r="J842" s="16" t="n">
        <x:v>0.936</x:v>
      </x:c>
      <x:c r="K842" s="11" t="n">
        <x:f>CHOOSE('假设'!$B$3,H842,I842,J842)</x:f>
        <x:v>0.768</x:v>
      </x:c>
      <x:c r="L842" s="11" t="n">
        <x:f>K842*'管线假设'!E199*'管线假设'!F199*'管线假设'!G199*IF(E842="USD",'管线假设'!I199,1)-AM842</x:f>
        <x:v>0.25344</x:v>
      </x:c>
      <x:c r="M842" s="11" t="n">
        <x:f>'管线假设'!H199</x:f>
        <x:v>0.125</x:v>
      </x:c>
      <x:c r="N842" s="11" t="n">
        <x:f>IF(G842,L842*AN842/(1+M842)^F842,0)</x:f>
        <x:v>0.09616809175314218</x:v>
      </x:c>
      <x:c r="AJ842" t="n">
        <x:v>0</x:v>
      </x:c>
      <x:c r="AK842" t="n">
        <x:v>0</x:v>
      </x:c>
      <x:c r="AL842" t="n">
        <x:v>0</x:v>
      </x:c>
      <x:c r="AM842" t="n">
        <x:f>CHOOSE('假设'!$B$3,AJ842,AK842,AL842)</x:f>
        <x:v>0</x:v>
      </x:c>
      <x:c r="AN842" t="n">
        <x:v>1</x:v>
      </x:c>
    </x:row>
    <x:row r="843" ht="23" customHeight="1">
      <x:c r="A843" s="11" t="str">
        <x:v>688192.SH</x:v>
      </x:c>
      <x:c r="B843" s="11" t="str">
        <x:v>一年</x:v>
      </x:c>
      <x:c r="C843" s="11" t="str">
        <x:v>goli_rr</x:v>
      </x:c>
      <x:c r="D843" s="11" t="str">
        <x:v>2036-12-31</x:v>
      </x:c>
      <x:c r="E843" s="11" t="str">
        <x:v>CNY</x:v>
      </x:c>
      <x:c r="F843" s="11" t="n">
        <x:v>9.229295003422314</x:v>
      </x:c>
      <x:c r="G843" s="26" t="b">
        <x:v>1</x:v>
      </x:c>
      <x:c r="H843" s="16" t="n">
        <x:v>0.338</x:v>
      </x:c>
      <x:c r="I843" s="16" t="n">
        <x:v>0.624</x:v>
      </x:c>
      <x:c r="J843" s="16" t="n">
        <x:v>0.7200000000000001</x:v>
      </x:c>
      <x:c r="K843" s="11" t="n">
        <x:f>CHOOSE('假设'!$B$3,H843,I843,J843)</x:f>
        <x:v>0.624</x:v>
      </x:c>
      <x:c r="L843" s="11" t="n">
        <x:f>K843*'管线假设'!E199*'管线假设'!F199*'管线假设'!G199*IF(E843="USD",'管线假设'!I199,1)-AM843</x:f>
        <x:v>0.20592000000000002</x:v>
      </x:c>
      <x:c r="M843" s="11" t="n">
        <x:f>'管线假设'!H199</x:f>
        <x:v>0.125</x:v>
      </x:c>
      <x:c r="N843" s="11" t="n">
        <x:f>IF(G843,L843*AN843/(1+M843)^F843,0)</x:f>
        <x:v>0.06943793703937523</x:v>
      </x:c>
      <x:c r="AJ843" t="n">
        <x:v>0</x:v>
      </x:c>
      <x:c r="AK843" t="n">
        <x:v>0</x:v>
      </x:c>
      <x:c r="AL843" t="n">
        <x:v>0</x:v>
      </x:c>
      <x:c r="AM843" t="n">
        <x:f>CHOOSE('假设'!$B$3,AJ843,AK843,AL843)</x:f>
        <x:v>0</x:v>
      </x:c>
      <x:c r="AN843" t="n">
        <x:v>1</x:v>
      </x:c>
    </x:row>
    <x:row r="844" ht="23" customHeight="1">
      <x:c r="A844" s="11" t="str">
        <x:v>688192.SH</x:v>
      </x:c>
      <x:c r="B844" s="11" t="str">
        <x:v>一年</x:v>
      </x:c>
      <x:c r="C844" s="11" t="str">
        <x:v>goli_rr</x:v>
      </x:c>
      <x:c r="D844" s="11" t="str">
        <x:v>2037-12-31</x:v>
      </x:c>
      <x:c r="E844" s="11" t="str">
        <x:v>CNY</x:v>
      </x:c>
      <x:c r="F844" s="11" t="n">
        <x:v>10.22861054072553</x:v>
      </x:c>
      <x:c r="G844" s="26" t="b">
        <x:v>1</x:v>
      </x:c>
      <x:c r="H844" s="16" t="n">
        <x:v>0.26</x:v>
      </x:c>
      <x:c r="I844" s="16" t="n">
        <x:v>0.48</x:v>
      </x:c>
      <x:c r="J844" s="16" t="n">
        <x:v>0.5040000000000001</x:v>
      </x:c>
      <x:c r="K844" s="11" t="n">
        <x:f>CHOOSE('假设'!$B$3,H844,I844,J844)</x:f>
        <x:v>0.48</x:v>
      </x:c>
      <x:c r="L844" s="11" t="n">
        <x:f>K844*'管线假设'!E199*'管线假设'!F199*'管线假设'!G199*IF(E844="USD",'管线假设'!I199,1)-AM844</x:f>
        <x:v>0.1584</x:v>
      </x:c>
      <x:c r="M844" s="11" t="n">
        <x:f>'管线假设'!H199</x:f>
        <x:v>0.125</x:v>
      </x:c>
      <x:c r="N844" s="11" t="n">
        <x:f>IF(G844,L844*AN844/(1+M844)^F844,0)</x:f>
        <x:v>0.047482759124225796</x:v>
      </x:c>
      <x:c r="AJ844" t="n">
        <x:v>0</x:v>
      </x:c>
      <x:c r="AK844" t="n">
        <x:v>0</x:v>
      </x:c>
      <x:c r="AL844" t="n">
        <x:v>0</x:v>
      </x:c>
      <x:c r="AM844" t="n">
        <x:f>CHOOSE('假设'!$B$3,AJ844,AK844,AL844)</x:f>
        <x:v>0</x:v>
      </x:c>
      <x:c r="AN844" t="n">
        <x:v>1</x:v>
      </x:c>
    </x:row>
    <x:row r="845" ht="23" customHeight="1">
      <x:c r="A845" s="11" t="str">
        <x:v>688192.SH</x:v>
      </x:c>
      <x:c r="B845" s="11" t="str">
        <x:v>一年</x:v>
      </x:c>
      <x:c r="C845" s="11" t="str">
        <x:v>goli_rr</x:v>
      </x:c>
      <x:c r="D845" s="11" t="str">
        <x:v>2038-12-31</x:v>
      </x:c>
      <x:c r="E845" s="11" t="str">
        <x:v>CNY</x:v>
      </x:c>
      <x:c r="F845" s="11" t="n">
        <x:v>11.227926078028748</x:v>
      </x:c>
      <x:c r="G845" s="26" t="b">
        <x:v>1</x:v>
      </x:c>
      <x:c r="H845" s="16" t="n">
        <x:v>0.18200000000000002</x:v>
      </x:c>
      <x:c r="I845" s="16" t="n">
        <x:v>0.336</x:v>
      </x:c>
      <x:c r="J845" s="16" t="n">
        <x:v>0.2880000000000001</x:v>
      </x:c>
      <x:c r="K845" s="11" t="n">
        <x:f>CHOOSE('假设'!$B$3,H845,I845,J845)</x:f>
        <x:v>0.336</x:v>
      </x:c>
      <x:c r="L845" s="11" t="n">
        <x:f>K845*'管线假设'!E199*'管线假设'!F199*'管线假设'!G199*IF(E845="USD",'管线假设'!I199,1)-AM845</x:f>
        <x:v>0.11088</x:v>
      </x:c>
      <x:c r="M845" s="11" t="n">
        <x:f>'管线假设'!H199</x:f>
        <x:v>0.125</x:v>
      </x:c>
      <x:c r="N845" s="11" t="n">
        <x:f>IF(G845,L845*AN845/(1+M845)^F845,0)</x:f>
        <x:v>0.029547209843250197</x:v>
      </x:c>
      <x:c r="AJ845" t="n">
        <x:v>0</x:v>
      </x:c>
      <x:c r="AK845" t="n">
        <x:v>0</x:v>
      </x:c>
      <x:c r="AL845" t="n">
        <x:v>0</x:v>
      </x:c>
      <x:c r="AM845" t="n">
        <x:f>CHOOSE('假设'!$B$3,AJ845,AK845,AL845)</x:f>
        <x:v>0</x:v>
      </x:c>
      <x:c r="AN845" t="n">
        <x:v>1</x:v>
      </x:c>
    </x:row>
    <x:row r="846" ht="23" customHeight="1">
      <x:c r="A846" s="11" t="str">
        <x:v>688192.SH</x:v>
      </x:c>
      <x:c r="B846" s="11" t="str">
        <x:v>一年</x:v>
      </x:c>
      <x:c r="C846" s="11" t="str">
        <x:v>goli_rr</x:v>
      </x:c>
      <x:c r="D846" s="11" t="str">
        <x:v>2039-12-31</x:v>
      </x:c>
      <x:c r="E846" s="11" t="str">
        <x:v>CNY</x:v>
      </x:c>
      <x:c r="F846" s="11" t="n">
        <x:v>12.227241615331964</x:v>
      </x:c>
      <x:c r="G846" s="26" t="b">
        <x:v>1</x:v>
      </x:c>
      <x:c r="H846" s="16" t="n">
        <x:v>0.10400000000000002</x:v>
      </x:c>
      <x:c r="I846" s="16" t="n">
        <x:v>0.19200000000000003</x:v>
      </x:c>
      <x:c r="J846" s="16" t="n">
        <x:v>0.07200000000000006</x:v>
      </x:c>
      <x:c r="K846" s="11" t="n">
        <x:f>CHOOSE('假设'!$B$3,H846,I846,J846)</x:f>
        <x:v>0.19200000000000003</x:v>
      </x:c>
      <x:c r="L846" s="11" t="n">
        <x:f>K846*'管线假设'!E199*'管线假设'!F199*'管线假设'!G199*IF(E846="USD",'管线假设'!I199,1)-AM846</x:f>
        <x:v>0.06336000000000001</x:v>
      </x:c>
      <x:c r="M846" s="11" t="n">
        <x:f>'管线假设'!H199</x:f>
        <x:v>0.125</x:v>
      </x:c>
      <x:c r="N846" s="11" t="n">
        <x:f>IF(G846,L846*AN846/(1+M846)^F846,0)</x:f>
        <x:v>0.015009316560770864</x:v>
      </x:c>
      <x:c r="AJ846" t="n">
        <x:v>0</x:v>
      </x:c>
      <x:c r="AK846" t="n">
        <x:v>0</x:v>
      </x:c>
      <x:c r="AL846" t="n">
        <x:v>0</x:v>
      </x:c>
      <x:c r="AM846" t="n">
        <x:f>CHOOSE('假设'!$B$3,AJ846,AK846,AL846)</x:f>
        <x:v>0</x:v>
      </x:c>
      <x:c r="AN846" t="n">
        <x:v>1</x:v>
      </x:c>
    </x:row>
    <x:row r="847" ht="23" customHeight="1">
      <x:c r="A847" s="11" t="str">
        <x:v>688192.SH</x:v>
      </x:c>
      <x:c r="B847" s="11" t="str">
        <x:v>一年</x:v>
      </x:c>
      <x:c r="C847" s="11" t="str">
        <x:v>goli_rr</x:v>
      </x:c>
      <x:c r="D847" s="11" t="str">
        <x:v>2040-12-31</x:v>
      </x:c>
      <x:c r="E847" s="11" t="str">
        <x:v>CNY</x:v>
      </x:c>
      <x:c r="F847" s="11" t="n">
        <x:v>13.229295003422314</x:v>
      </x:c>
      <x:c r="G847" s="26" t="b">
        <x:v>1</x:v>
      </x:c>
      <x:c r="H847" s="16" t="n">
        <x:v>0.026000000000000023</x:v>
      </x:c>
      <x:c r="I847" s="16" t="n">
        <x:v>0.04800000000000004</x:v>
      </x:c>
      <x:c r="J847" s="16" t="n">
        <x:v>0</x:v>
      </x:c>
      <x:c r="K847" s="11" t="n">
        <x:f>CHOOSE('假设'!$B$3,H847,I847,J847)</x:f>
        <x:v>0.04800000000000004</x:v>
      </x:c>
      <x:c r="L847" s="11" t="n">
        <x:f>K847*'管线假设'!E199*'管线假设'!F199*'管线假设'!G199*IF(E847="USD",'管线假设'!I199,1)-AM847</x:f>
        <x:v>0.015840000000000014</x:v>
      </x:c>
      <x:c r="M847" s="11" t="n">
        <x:f>'管线假设'!H199</x:f>
        <x:v>0.125</x:v>
      </x:c>
      <x:c r="N847" s="11" t="n">
        <x:f>IF(G847,L847*AN847/(1+M847)^F847,0)</x:f>
        <x:v>0.0033345970960486928</x:v>
      </x:c>
      <x:c r="AJ847" t="n">
        <x:v>0</x:v>
      </x:c>
      <x:c r="AK847" t="n">
        <x:v>0</x:v>
      </x:c>
      <x:c r="AL847" t="n">
        <x:v>0</x:v>
      </x:c>
      <x:c r="AM847" t="n">
        <x:f>CHOOSE('假设'!$B$3,AJ847,AK847,AL847)</x:f>
        <x:v>0</x:v>
      </x:c>
      <x:c r="AN847" t="n">
        <x:v>1</x:v>
      </x:c>
    </x:row>
    <x:row r="848" ht="23" customHeight="1">
      <x:c r="A848" s="11" t="str">
        <x:v>688192.SH</x:v>
      </x:c>
      <x:c r="B848" s="11" t="str">
        <x:v>一年</x:v>
      </x:c>
      <x:c r="C848" s="11" t="str">
        <x:v>goli_rr</x:v>
      </x:c>
      <x:c r="D848" s="11" t="str">
        <x:v>2041-12-31</x:v>
      </x:c>
      <x:c r="E848" s="11" t="str">
        <x:v>CNY</x:v>
      </x:c>
      <x:c r="F848" s="11" t="n">
        <x:v>14.22861054072553</x:v>
      </x:c>
      <x:c r="G848" s="26" t="b">
        <x:v>1</x:v>
      </x:c>
      <x:c r="H848" s="16" t="n">
        <x:v>0</x:v>
      </x:c>
      <x:c r="I848" s="16" t="n">
        <x:v>0</x:v>
      </x:c>
      <x:c r="J848" s="16" t="n">
        <x:v>0</x:v>
      </x:c>
      <x:c r="K848" s="11" t="n">
        <x:f>CHOOSE('假设'!$B$3,H848,I848,J848)</x:f>
        <x:v>0</x:v>
      </x:c>
      <x:c r="L848" s="11" t="n">
        <x:f>K848*'管线假设'!E199*'管线假设'!F199*'管线假设'!G199*IF(E848="USD",'管线假设'!I199,1)-AM848</x:f>
        <x:v>0</x:v>
      </x:c>
      <x:c r="M848" s="11" t="n">
        <x:f>'管线假设'!H199</x:f>
        <x:v>0.125</x:v>
      </x:c>
      <x:c r="N848" s="11" t="n">
        <x:f>IF(G848,L848*AN848/(1+M848)^F848,0)</x:f>
        <x:v>0</x:v>
      </x:c>
      <x:c r="AJ848" t="n">
        <x:v>0</x:v>
      </x:c>
      <x:c r="AK848" t="n">
        <x:v>0</x:v>
      </x:c>
      <x:c r="AL848" t="n">
        <x:v>0</x:v>
      </x:c>
      <x:c r="AM848" t="n">
        <x:f>CHOOSE('假设'!$B$3,AJ848,AK848,AL848)</x:f>
        <x:v>0</x:v>
      </x:c>
      <x:c r="AN848" t="n">
        <x:v>1</x:v>
      </x:c>
    </x:row>
    <x:row r="849" ht="23" customHeight="1">
      <x:c r="A849" s="11" t="str">
        <x:v>688192.SH</x:v>
      </x:c>
      <x:c r="B849" s="11" t="str">
        <x:v>一年</x:v>
      </x:c>
      <x:c r="C849" s="11" t="str">
        <x:v>goli_rr</x:v>
      </x:c>
      <x:c r="D849" s="11" t="str">
        <x:v>2042-12-31</x:v>
      </x:c>
      <x:c r="E849" s="11" t="str">
        <x:v>CNY</x:v>
      </x:c>
      <x:c r="F849" s="11" t="n">
        <x:v>15.227926078028748</x:v>
      </x:c>
      <x:c r="G849" s="26" t="b">
        <x:v>1</x:v>
      </x:c>
      <x:c r="H849" s="16" t="n">
        <x:v>0</x:v>
      </x:c>
      <x:c r="I849" s="16" t="n">
        <x:v>0</x:v>
      </x:c>
      <x:c r="J849" s="16" t="n">
        <x:v>0</x:v>
      </x:c>
      <x:c r="K849" s="11" t="n">
        <x:f>CHOOSE('假设'!$B$3,H849,I849,J849)</x:f>
        <x:v>0</x:v>
      </x:c>
      <x:c r="L849" s="11" t="n">
        <x:f>K849*'管线假设'!E199*'管线假设'!F199*'管线假设'!G199*IF(E849="USD",'管线假设'!I199,1)-AM849</x:f>
        <x:v>0</x:v>
      </x:c>
      <x:c r="M849" s="11" t="n">
        <x:f>'管线假设'!H199</x:f>
        <x:v>0.125</x:v>
      </x:c>
      <x:c r="N849" s="11" t="n">
        <x:f>IF(G849,L849*AN849/(1+M849)^F849,0)</x:f>
        <x:v>0</x:v>
      </x:c>
      <x:c r="AJ849" t="n">
        <x:v>0</x:v>
      </x:c>
      <x:c r="AK849" t="n">
        <x:v>0</x:v>
      </x:c>
      <x:c r="AL849" t="n">
        <x:v>0</x:v>
      </x:c>
      <x:c r="AM849" t="n">
        <x:f>CHOOSE('假设'!$B$3,AJ849,AK849,AL849)</x:f>
        <x:v>0</x:v>
      </x:c>
      <x:c r="AN849" t="n">
        <x:v>1</x:v>
      </x:c>
    </x:row>
    <x:row r="850" ht="23" customHeight="1">
      <x:c r="A850" s="11" t="str">
        <x:v>688192.SH</x:v>
      </x:c>
      <x:c r="B850" s="11" t="str">
        <x:v>一年</x:v>
      </x:c>
      <x:c r="C850" s="11" t="str">
        <x:v>goli_rr</x:v>
      </x:c>
      <x:c r="D850" s="11" t="str">
        <x:v>2043-12-31</x:v>
      </x:c>
      <x:c r="E850" s="11" t="str">
        <x:v>CNY</x:v>
      </x:c>
      <x:c r="F850" s="11" t="n">
        <x:v>16.227241615331966</x:v>
      </x:c>
      <x:c r="G850" s="26" t="b">
        <x:v>1</x:v>
      </x:c>
      <x:c r="H850" s="16" t="n">
        <x:v>0</x:v>
      </x:c>
      <x:c r="I850" s="16" t="n">
        <x:v>0</x:v>
      </x:c>
      <x:c r="J850" s="16" t="n">
        <x:v>0</x:v>
      </x:c>
      <x:c r="K850" s="11" t="n">
        <x:f>CHOOSE('假设'!$B$3,H850,I850,J850)</x:f>
        <x:v>0</x:v>
      </x:c>
      <x:c r="L850" s="11" t="n">
        <x:f>K850*'管线假设'!E199*'管线假设'!F199*'管线假设'!G199*IF(E850="USD",'管线假设'!I199,1)-AM850</x:f>
        <x:v>0</x:v>
      </x:c>
      <x:c r="M850" s="11" t="n">
        <x:f>'管线假设'!H199</x:f>
        <x:v>0.125</x:v>
      </x:c>
      <x:c r="N850" s="11" t="n">
        <x:f>IF(G850,L850*AN850/(1+M850)^F850,0)</x:f>
        <x:v>0</x:v>
      </x:c>
      <x:c r="AJ850" t="n">
        <x:v>0</x:v>
      </x:c>
      <x:c r="AK850" t="n">
        <x:v>0</x:v>
      </x:c>
      <x:c r="AL850" t="n">
        <x:v>0</x:v>
      </x:c>
      <x:c r="AM850" t="n">
        <x:f>CHOOSE('假设'!$B$3,AJ850,AK850,AL850)</x:f>
        <x:v>0</x:v>
      </x:c>
      <x:c r="AN850" t="n">
        <x:v>1</x:v>
      </x:c>
    </x:row>
    <x:row r="851" ht="23" customHeight="1">
      <x:c r="A851" s="11" t="str">
        <x:v>688192.SH</x:v>
      </x:c>
      <x:c r="B851" s="11" t="str">
        <x:v>一年</x:v>
      </x:c>
      <x:c r="C851" s="11" t="str">
        <x:v>goli_rr</x:v>
      </x:c>
      <x:c r="D851" s="11" t="str">
        <x:v>2044-12-31</x:v>
      </x:c>
      <x:c r="E851" s="11" t="str">
        <x:v>CNY</x:v>
      </x:c>
      <x:c r="F851" s="11" t="n">
        <x:v>17.229295003422312</x:v>
      </x:c>
      <x:c r="G851" s="26" t="b">
        <x:v>1</x:v>
      </x:c>
      <x:c r="H851" s="16" t="n">
        <x:v>0</x:v>
      </x:c>
      <x:c r="I851" s="16" t="n">
        <x:v>0</x:v>
      </x:c>
      <x:c r="J851" s="16" t="n">
        <x:v>0</x:v>
      </x:c>
      <x:c r="K851" s="11" t="n">
        <x:f>CHOOSE('假设'!$B$3,H851,I851,J851)</x:f>
        <x:v>0</x:v>
      </x:c>
      <x:c r="L851" s="11" t="n">
        <x:f>K851*'管线假设'!E199*'管线假设'!F199*'管线假设'!G199*IF(E851="USD",'管线假设'!I199,1)-AM851</x:f>
        <x:v>0</x:v>
      </x:c>
      <x:c r="M851" s="11" t="n">
        <x:f>'管线假设'!H199</x:f>
        <x:v>0.125</x:v>
      </x:c>
      <x:c r="N851" s="11" t="n">
        <x:f>IF(G851,L851*AN851/(1+M851)^F851,0)</x:f>
        <x:v>0</x:v>
      </x:c>
      <x:c r="AJ851" t="n">
        <x:v>0</x:v>
      </x:c>
      <x:c r="AK851" t="n">
        <x:v>0</x:v>
      </x:c>
      <x:c r="AL851" t="n">
        <x:v>0</x:v>
      </x:c>
      <x:c r="AM851" t="n">
        <x:f>CHOOSE('假设'!$B$3,AJ851,AK851,AL851)</x:f>
        <x:v>0</x:v>
      </x:c>
      <x:c r="AN851" t="n">
        <x:v>1</x:v>
      </x:c>
    </x:row>
    <x:row r="852" ht="23" customHeight="1">
      <x:c r="A852" s="11" t="str">
        <x:v>688192.SH</x:v>
      </x:c>
      <x:c r="B852" s="11" t="str">
        <x:v>一年</x:v>
      </x:c>
      <x:c r="C852" s="11" t="str">
        <x:v>goli_rr</x:v>
      </x:c>
      <x:c r="D852" s="11" t="str">
        <x:v>2045-12-31</x:v>
      </x:c>
      <x:c r="E852" s="11" t="str">
        <x:v>CNY</x:v>
      </x:c>
      <x:c r="F852" s="11" t="n">
        <x:v>18.22861054072553</x:v>
      </x:c>
      <x:c r="G852" s="26" t="b">
        <x:v>1</x:v>
      </x:c>
      <x:c r="H852" s="16" t="n">
        <x:v>0</x:v>
      </x:c>
      <x:c r="I852" s="16" t="n">
        <x:v>0</x:v>
      </x:c>
      <x:c r="J852" s="16" t="n">
        <x:v>0</x:v>
      </x:c>
      <x:c r="K852" s="11" t="n">
        <x:f>CHOOSE('假设'!$B$3,H852,I852,J852)</x:f>
        <x:v>0</x:v>
      </x:c>
      <x:c r="L852" s="11" t="n">
        <x:f>K852*'管线假设'!E199*'管线假设'!F199*'管线假设'!G199*IF(E852="USD",'管线假设'!I199,1)-AM852</x:f>
        <x:v>0</x:v>
      </x:c>
      <x:c r="M852" s="11" t="n">
        <x:f>'管线假设'!H199</x:f>
        <x:v>0.125</x:v>
      </x:c>
      <x:c r="N852" s="11" t="n">
        <x:f>IF(G852,L852*AN852/(1+M852)^F852,0)</x:f>
        <x:v>0</x:v>
      </x:c>
      <x:c r="AJ852" t="n">
        <x:v>0</x:v>
      </x:c>
      <x:c r="AK852" t="n">
        <x:v>0</x:v>
      </x:c>
      <x:c r="AL852" t="n">
        <x:v>0</x:v>
      </x:c>
      <x:c r="AM852" t="n">
        <x:f>CHOOSE('假设'!$B$3,AJ852,AK852,AL852)</x:f>
        <x:v>0</x:v>
      </x:c>
      <x:c r="AN852" t="n">
        <x:v>1</x:v>
      </x:c>
    </x:row>
    <x:row r="853" ht="23" customHeight="1">
      <x:c r="A853" s="11" t="str">
        <x:v>688192.SH</x:v>
      </x:c>
      <x:c r="B853" s="11" t="str">
        <x:v>一年</x:v>
      </x:c>
      <x:c r="C853" s="11" t="str">
        <x:v>goli_first</x:v>
      </x:c>
      <x:c r="D853" s="11" t="str">
        <x:v>2027-12-31</x:v>
      </x:c>
      <x:c r="E853" s="11" t="str">
        <x:v>CNY</x:v>
      </x:c>
      <x:c r="F853" s="11" t="n">
        <x:v>0.2272416153319644</x:v>
      </x:c>
      <x:c r="G853" s="26" t="b">
        <x:v>1</x:v>
      </x:c>
      <x:c r="H853" s="16" t="n">
        <x:v>0</x:v>
      </x:c>
      <x:c r="I853" s="16" t="n">
        <x:v>0</x:v>
      </x:c>
      <x:c r="J853" s="16" t="n">
        <x:v>0</x:v>
      </x:c>
      <x:c r="K853" s="11" t="n">
        <x:f>CHOOSE('假设'!$B$3,H853,I853,J853)</x:f>
        <x:v>0</x:v>
      </x:c>
      <x:c r="L853" s="11" t="n">
        <x:f>K853*'管线假设'!E203*'管线假设'!F203*'管线假设'!G203*IF(E853="USD",'管线假设'!I203,1)-AM853</x:f>
        <x:v>0</x:v>
      </x:c>
      <x:c r="M853" s="11" t="n">
        <x:f>'管线假设'!H203</x:f>
        <x:v>0.125</x:v>
      </x:c>
      <x:c r="N853" s="11" t="n">
        <x:f>IF(G853,L853*AN853/(1+M853)^F853,0)</x:f>
        <x:v>0</x:v>
      </x:c>
      <x:c r="AJ853" t="n">
        <x:v>0</x:v>
      </x:c>
      <x:c r="AK853" t="n">
        <x:v>0</x:v>
      </x:c>
      <x:c r="AL853" t="n">
        <x:v>0</x:v>
      </x:c>
      <x:c r="AM853" t="n">
        <x:f>CHOOSE('假设'!$B$3,AJ853,AK853,AL853)</x:f>
        <x:v>0</x:v>
      </x:c>
      <x:c r="AN853" t="n">
        <x:v>1</x:v>
      </x:c>
    </x:row>
    <x:row r="854" ht="23" customHeight="1">
      <x:c r="A854" s="11" t="str">
        <x:v>688192.SH</x:v>
      </x:c>
      <x:c r="B854" s="11" t="str">
        <x:v>一年</x:v>
      </x:c>
      <x:c r="C854" s="11" t="str">
        <x:v>goli_first</x:v>
      </x:c>
      <x:c r="D854" s="11" t="str">
        <x:v>2028-12-31</x:v>
      </x:c>
      <x:c r="E854" s="11" t="str">
        <x:v>CNY</x:v>
      </x:c>
      <x:c r="F854" s="11" t="n">
        <x:v>1.2292950034223136</x:v>
      </x:c>
      <x:c r="G854" s="26" t="b">
        <x:v>1</x:v>
      </x:c>
      <x:c r="H854" s="16" t="n">
        <x:v>0</x:v>
      </x:c>
      <x:c r="I854" s="16" t="n">
        <x:v>0</x:v>
      </x:c>
      <x:c r="J854" s="16" t="n">
        <x:v>0.25</x:v>
      </x:c>
      <x:c r="K854" s="11" t="n">
        <x:f>CHOOSE('假设'!$B$3,H854,I854,J854)</x:f>
        <x:v>0</x:v>
      </x:c>
      <x:c r="L854" s="11" t="n">
        <x:f>K854*'管线假设'!E203*'管线假设'!F203*'管线假设'!G203*IF(E854="USD",'管线假设'!I203,1)-AM854</x:f>
        <x:v>0</x:v>
      </x:c>
      <x:c r="M854" s="11" t="n">
        <x:f>'管线假设'!H203</x:f>
        <x:v>0.125</x:v>
      </x:c>
      <x:c r="N854" s="11" t="n">
        <x:f>IF(G854,L854*AN854/(1+M854)^F854,0)</x:f>
        <x:v>0</x:v>
      </x:c>
      <x:c r="AJ854" t="n">
        <x:v>0</x:v>
      </x:c>
      <x:c r="AK854" t="n">
        <x:v>0</x:v>
      </x:c>
      <x:c r="AL854" t="n">
        <x:v>0</x:v>
      </x:c>
      <x:c r="AM854" t="n">
        <x:f>CHOOSE('假设'!$B$3,AJ854,AK854,AL854)</x:f>
        <x:v>0</x:v>
      </x:c>
      <x:c r="AN854" t="n">
        <x:v>1</x:v>
      </x:c>
    </x:row>
    <x:row r="855" ht="23" customHeight="1">
      <x:c r="A855" s="11" t="str">
        <x:v>688192.SH</x:v>
      </x:c>
      <x:c r="B855" s="11" t="str">
        <x:v>一年</x:v>
      </x:c>
      <x:c r="C855" s="11" t="str">
        <x:v>goli_first</x:v>
      </x:c>
      <x:c r="D855" s="11" t="str">
        <x:v>2029-12-31</x:v>
      </x:c>
      <x:c r="E855" s="11" t="str">
        <x:v>CNY</x:v>
      </x:c>
      <x:c r="F855" s="11" t="n">
        <x:v>2.2286105407255303</x:v>
      </x:c>
      <x:c r="G855" s="26" t="b">
        <x:v>1</x:v>
      </x:c>
      <x:c r="H855" s="16" t="n">
        <x:v>0</x:v>
      </x:c>
      <x:c r="I855" s="16" t="n">
        <x:v>0.15833333333333333</x:v>
      </x:c>
      <x:c r="J855" s="16" t="n">
        <x:v>0.5</x:v>
      </x:c>
      <x:c r="K855" s="11" t="n">
        <x:f>CHOOSE('假设'!$B$3,H855,I855,J855)</x:f>
        <x:v>0.15833333333333333</x:v>
      </x:c>
      <x:c r="L855" s="11" t="n">
        <x:f>K855*'管线假设'!E203*'管线假设'!F203*'管线假设'!G203*IF(E855="USD",'管线假设'!I203,1)-AM855</x:f>
        <x:v>0.023407999999999998</x:v>
      </x:c>
      <x:c r="M855" s="11" t="n">
        <x:f>'管线假设'!H203</x:f>
        <x:v>0.125</x:v>
      </x:c>
      <x:c r="N855" s="11" t="n">
        <x:f>IF(G855,L855*AN855/(1+M855)^F855,0)</x:f>
        <x:v>0.018003844699329134</x:v>
      </x:c>
      <x:c r="AJ855" t="n">
        <x:v>0</x:v>
      </x:c>
      <x:c r="AK855" t="n">
        <x:v>0</x:v>
      </x:c>
      <x:c r="AL855" t="n">
        <x:v>0</x:v>
      </x:c>
      <x:c r="AM855" t="n">
        <x:f>CHOOSE('假设'!$B$3,AJ855,AK855,AL855)</x:f>
        <x:v>0</x:v>
      </x:c>
      <x:c r="AN855" t="n">
        <x:v>1</x:v>
      </x:c>
    </x:row>
    <x:row r="856" ht="23" customHeight="1">
      <x:c r="A856" s="11" t="str">
        <x:v>688192.SH</x:v>
      </x:c>
      <x:c r="B856" s="11" t="str">
        <x:v>一年</x:v>
      </x:c>
      <x:c r="C856" s="11" t="str">
        <x:v>goli_first</x:v>
      </x:c>
      <x:c r="D856" s="11" t="str">
        <x:v>2030-12-31</x:v>
      </x:c>
      <x:c r="E856" s="11" t="str">
        <x:v>CNY</x:v>
      </x:c>
      <x:c r="F856" s="11" t="n">
        <x:v>3.2279260780287475</x:v>
      </x:c>
      <x:c r="G856" s="26" t="b">
        <x:v>1</x:v>
      </x:c>
      <x:c r="H856" s="16" t="n">
        <x:v>0</x:v>
      </x:c>
      <x:c r="I856" s="16" t="n">
        <x:v>0.31666666666666665</x:v>
      </x:c>
      <x:c r="J856" s="16" t="n">
        <x:v>0.75</x:v>
      </x:c>
      <x:c r="K856" s="11" t="n">
        <x:f>CHOOSE('假设'!$B$3,H856,I856,J856)</x:f>
        <x:v>0.31666666666666665</x:v>
      </x:c>
      <x:c r="L856" s="11" t="n">
        <x:f>K856*'管线假设'!E203*'管线假设'!F203*'管线假设'!G203*IF(E856="USD",'管线假设'!I203,1)-AM856</x:f>
        <x:v>0.046815999999999997</x:v>
      </x:c>
      <x:c r="M856" s="11" t="n">
        <x:f>'管线假设'!H203</x:f>
        <x:v>0.125</x:v>
      </x:c>
      <x:c r="N856" s="11" t="n">
        <x:f>IF(G856,L856*AN856/(1+M856)^F856,0)</x:f>
        <x:v>0.03200941545508444</x:v>
      </x:c>
      <x:c r="AJ856" t="n">
        <x:v>0</x:v>
      </x:c>
      <x:c r="AK856" t="n">
        <x:v>0</x:v>
      </x:c>
      <x:c r="AL856" t="n">
        <x:v>0</x:v>
      </x:c>
      <x:c r="AM856" t="n">
        <x:f>CHOOSE('假设'!$B$3,AJ856,AK856,AL856)</x:f>
        <x:v>0</x:v>
      </x:c>
      <x:c r="AN856" t="n">
        <x:v>1</x:v>
      </x:c>
    </x:row>
    <x:row r="857" ht="23" customHeight="1">
      <x:c r="A857" s="11" t="str">
        <x:v>688192.SH</x:v>
      </x:c>
      <x:c r="B857" s="11" t="str">
        <x:v>一年</x:v>
      </x:c>
      <x:c r="C857" s="11" t="str">
        <x:v>goli_first</x:v>
      </x:c>
      <x:c r="D857" s="11" t="str">
        <x:v>2031-12-31</x:v>
      </x:c>
      <x:c r="E857" s="11" t="str">
        <x:v>CNY</x:v>
      </x:c>
      <x:c r="F857" s="11" t="n">
        <x:v>4.227241615331964</x:v>
      </x:c>
      <x:c r="G857" s="26" t="b">
        <x:v>1</x:v>
      </x:c>
      <x:c r="H857" s="16" t="n">
        <x:v>0.08000000000000002</x:v>
      </x:c>
      <x:c r="I857" s="16" t="n">
        <x:v>0.475</x:v>
      </x:c>
      <x:c r="J857" s="16" t="n">
        <x:v>1</x:v>
      </x:c>
      <x:c r="K857" s="11" t="n">
        <x:f>CHOOSE('假设'!$B$3,H857,I857,J857)</x:f>
        <x:v>0.475</x:v>
      </x:c>
      <x:c r="L857" s="11" t="n">
        <x:f>K857*'管线假设'!E203*'管线假设'!F203*'管线假设'!G203*IF(E857="USD",'管线假设'!I203,1)-AM857</x:f>
        <x:v>0.070224</x:v>
      </x:c>
      <x:c r="M857" s="11" t="n">
        <x:f>'管线假设'!H203</x:f>
        <x:v>0.125</x:v>
      </x:c>
      <x:c r="N857" s="11" t="n">
        <x:f>IF(G857,L857*AN857/(1+M857)^F857,0)</x:f>
        <x:v>0.04268266146290317</x:v>
      </x:c>
      <x:c r="AJ857" t="n">
        <x:v>0</x:v>
      </x:c>
      <x:c r="AK857" t="n">
        <x:v>0</x:v>
      </x:c>
      <x:c r="AL857" t="n">
        <x:v>0</x:v>
      </x:c>
      <x:c r="AM857" t="n">
        <x:f>CHOOSE('假设'!$B$3,AJ857,AK857,AL857)</x:f>
        <x:v>0</x:v>
      </x:c>
      <x:c r="AN857" t="n">
        <x:v>1</x:v>
      </x:c>
    </x:row>
    <x:row r="858" ht="23" customHeight="1">
      <x:c r="A858" s="11" t="str">
        <x:v>688192.SH</x:v>
      </x:c>
      <x:c r="B858" s="11" t="str">
        <x:v>一年</x:v>
      </x:c>
      <x:c r="C858" s="11" t="str">
        <x:v>goli_first</x:v>
      </x:c>
      <x:c r="D858" s="11" t="str">
        <x:v>2032-12-31</x:v>
      </x:c>
      <x:c r="E858" s="11" t="str">
        <x:v>CNY</x:v>
      </x:c>
      <x:c r="F858" s="11" t="n">
        <x:v>5.229295003422314</x:v>
      </x:c>
      <x:c r="G858" s="26" t="b">
        <x:v>1</x:v>
      </x:c>
      <x:c r="H858" s="16" t="n">
        <x:v>0.16000000000000003</x:v>
      </x:c>
      <x:c r="I858" s="16" t="n">
        <x:v>0.6333333333333333</x:v>
      </x:c>
      <x:c r="J858" s="16" t="n">
        <x:v>1.25</x:v>
      </x:c>
      <x:c r="K858" s="11" t="n">
        <x:f>CHOOSE('假设'!$B$3,H858,I858,J858)</x:f>
        <x:v>0.6333333333333333</x:v>
      </x:c>
      <x:c r="L858" s="11" t="n">
        <x:f>K858*'管线假设'!E203*'管线假设'!F203*'管线假设'!G203*IF(E858="USD",'管线假设'!I203,1)-AM858</x:f>
        <x:v>0.09363199999999999</x:v>
      </x:c>
      <x:c r="M858" s="11" t="n">
        <x:f>'管线假设'!H203</x:f>
        <x:v>0.125</x:v>
      </x:c>
      <x:c r="N858" s="11" t="n">
        <x:f>IF(G858,L858*AN858/(1+M858)^F858,0)</x:f>
        <x:v>0.05057462486122824</x:v>
      </x:c>
      <x:c r="AJ858" t="n">
        <x:v>0</x:v>
      </x:c>
      <x:c r="AK858" t="n">
        <x:v>0</x:v>
      </x:c>
      <x:c r="AL858" t="n">
        <x:v>0</x:v>
      </x:c>
      <x:c r="AM858" t="n">
        <x:f>CHOOSE('假设'!$B$3,AJ858,AK858,AL858)</x:f>
        <x:v>0</x:v>
      </x:c>
      <x:c r="AN858" t="n">
        <x:v>1</x:v>
      </x:c>
    </x:row>
    <x:row r="859" ht="23" customHeight="1">
      <x:c r="A859" s="11" t="str">
        <x:v>688192.SH</x:v>
      </x:c>
      <x:c r="B859" s="11" t="str">
        <x:v>一年</x:v>
      </x:c>
      <x:c r="C859" s="11" t="str">
        <x:v>goli_first</x:v>
      </x:c>
      <x:c r="D859" s="11" t="str">
        <x:v>2033-12-31</x:v>
      </x:c>
      <x:c r="E859" s="11" t="str">
        <x:v>CNY</x:v>
      </x:c>
      <x:c r="F859" s="11" t="n">
        <x:v>6.228610540725531</x:v>
      </x:c>
      <x:c r="G859" s="26" t="b">
        <x:v>1</x:v>
      </x:c>
      <x:c r="H859" s="16" t="n">
        <x:v>0.24</x:v>
      </x:c>
      <x:c r="I859" s="16" t="n">
        <x:v>0.7916666666666666</x:v>
      </x:c>
      <x:c r="J859" s="16" t="n">
        <x:v>1.5</x:v>
      </x:c>
      <x:c r="K859" s="11" t="n">
        <x:f>CHOOSE('假设'!$B$3,H859,I859,J859)</x:f>
        <x:v>0.7916666666666666</x:v>
      </x:c>
      <x:c r="L859" s="11" t="n">
        <x:f>K859*'管线假设'!E203*'管线假设'!F203*'管线假设'!G203*IF(E859="USD",'管线假设'!I203,1)-AM859</x:f>
        <x:v>0.11703999999999999</x:v>
      </x:c>
      <x:c r="M859" s="11" t="n">
        <x:f>'管线假设'!H203</x:f>
        <x:v>0.125</x:v>
      </x:c>
      <x:c r="N859" s="11" t="n">
        <x:f>IF(G859,L859*AN859/(1+M859)^F859,0)</x:f>
        <x:v>0.056198558061615715</x:v>
      </x:c>
      <x:c r="AJ859" t="n">
        <x:v>0</x:v>
      </x:c>
      <x:c r="AK859" t="n">
        <x:v>0</x:v>
      </x:c>
      <x:c r="AL859" t="n">
        <x:v>0</x:v>
      </x:c>
      <x:c r="AM859" t="n">
        <x:f>CHOOSE('假设'!$B$3,AJ859,AK859,AL859)</x:f>
        <x:v>0</x:v>
      </x:c>
      <x:c r="AN859" t="n">
        <x:v>1</x:v>
      </x:c>
    </x:row>
    <x:row r="860" ht="23" customHeight="1">
      <x:c r="A860" s="11" t="str">
        <x:v>688192.SH</x:v>
      </x:c>
      <x:c r="B860" s="11" t="str">
        <x:v>一年</x:v>
      </x:c>
      <x:c r="C860" s="11" t="str">
        <x:v>goli_first</x:v>
      </x:c>
      <x:c r="D860" s="11" t="str">
        <x:v>2034-12-31</x:v>
      </x:c>
      <x:c r="E860" s="11" t="str">
        <x:v>CNY</x:v>
      </x:c>
      <x:c r="F860" s="11" t="n">
        <x:v>7.227926078028747</x:v>
      </x:c>
      <x:c r="G860" s="26" t="b">
        <x:v>1</x:v>
      </x:c>
      <x:c r="H860" s="16" t="n">
        <x:v>0.32000000000000006</x:v>
      </x:c>
      <x:c r="I860" s="16" t="n">
        <x:v>0.95</x:v>
      </x:c>
      <x:c r="J860" s="16" t="n">
        <x:v>1.32</x:v>
      </x:c>
      <x:c r="K860" s="11" t="n">
        <x:f>CHOOSE('假设'!$B$3,H860,I860,J860)</x:f>
        <x:v>0.95</x:v>
      </x:c>
      <x:c r="L860" s="11" t="n">
        <x:f>K860*'管线假设'!E203*'管线假设'!F203*'管线假设'!G203*IF(E860="USD",'管线假设'!I203,1)-AM860</x:f>
        <x:v>0.140448</x:v>
      </x:c>
      <x:c r="M860" s="11" t="n">
        <x:f>'管线假设'!H203</x:f>
        <x:v>0.125</x:v>
      </x:c>
      <x:c r="N860" s="11" t="n">
        <x:f>IF(G860,L860*AN860/(1+M860)^F860,0)</x:f>
        <x:v>0.05994996145588747</x:v>
      </x:c>
      <x:c r="AJ860" t="n">
        <x:v>0</x:v>
      </x:c>
      <x:c r="AK860" t="n">
        <x:v>0</x:v>
      </x:c>
      <x:c r="AL860" t="n">
        <x:v>0</x:v>
      </x:c>
      <x:c r="AM860" t="n">
        <x:f>CHOOSE('假设'!$B$3,AJ860,AK860,AL860)</x:f>
        <x:v>0</x:v>
      </x:c>
      <x:c r="AN860" t="n">
        <x:v>1</x:v>
      </x:c>
    </x:row>
    <x:row r="861" ht="23" customHeight="1">
      <x:c r="A861" s="11" t="str">
        <x:v>688192.SH</x:v>
      </x:c>
      <x:c r="B861" s="11" t="str">
        <x:v>一年</x:v>
      </x:c>
      <x:c r="C861" s="11" t="str">
        <x:v>goli_first</x:v>
      </x:c>
      <x:c r="D861" s="11" t="str">
        <x:v>2035-12-31</x:v>
      </x:c>
      <x:c r="E861" s="11" t="str">
        <x:v>CNY</x:v>
      </x:c>
      <x:c r="F861" s="11" t="n">
        <x:v>8.227241615331964</x:v>
      </x:c>
      <x:c r="G861" s="26" t="b">
        <x:v>1</x:v>
      </x:c>
      <x:c r="H861" s="16" t="n">
        <x:v>0.4</x:v>
      </x:c>
      <x:c r="I861" s="16" t="n">
        <x:v>0.836</x:v>
      </x:c>
      <x:c r="J861" s="16" t="n">
        <x:v>1.1400000000000001</x:v>
      </x:c>
      <x:c r="K861" s="11" t="n">
        <x:f>CHOOSE('假设'!$B$3,H861,I861,J861)</x:f>
        <x:v>0.836</x:v>
      </x:c>
      <x:c r="L861" s="11" t="n">
        <x:f>K861*'管线假设'!E203*'管线假设'!F203*'管线假设'!G203*IF(E861="USD",'管线假设'!I203,1)-AM861</x:f>
        <x:v>0.12359424</x:v>
      </x:c>
      <x:c r="M861" s="11" t="n">
        <x:f>'管线假设'!H203</x:f>
        <x:v>0.125</x:v>
      </x:c>
      <x:c r="N861" s="11" t="n">
        <x:f>IF(G861,L861*AN861/(1+M861)^F861,0)</x:f>
        <x:v>0.04689797274494901</x:v>
      </x:c>
      <x:c r="AJ861" t="n">
        <x:v>0</x:v>
      </x:c>
      <x:c r="AK861" t="n">
        <x:v>0</x:v>
      </x:c>
      <x:c r="AL861" t="n">
        <x:v>0</x:v>
      </x:c>
      <x:c r="AM861" t="n">
        <x:f>CHOOSE('假设'!$B$3,AJ861,AK861,AL861)</x:f>
        <x:v>0</x:v>
      </x:c>
      <x:c r="AN861" t="n">
        <x:v>1</x:v>
      </x:c>
    </x:row>
    <x:row r="862" ht="23" customHeight="1">
      <x:c r="A862" s="11" t="str">
        <x:v>688192.SH</x:v>
      </x:c>
      <x:c r="B862" s="11" t="str">
        <x:v>一年</x:v>
      </x:c>
      <x:c r="C862" s="11" t="str">
        <x:v>goli_first</x:v>
      </x:c>
      <x:c r="D862" s="11" t="str">
        <x:v>2036-12-31</x:v>
      </x:c>
      <x:c r="E862" s="11" t="str">
        <x:v>CNY</x:v>
      </x:c>
      <x:c r="F862" s="11" t="n">
        <x:v>9.229295003422314</x:v>
      </x:c>
      <x:c r="G862" s="26" t="b">
        <x:v>1</x:v>
      </x:c>
      <x:c r="H862" s="16" t="n">
        <x:v>0.35200000000000004</x:v>
      </x:c>
      <x:c r="I862" s="16" t="n">
        <x:v>0.722</x:v>
      </x:c>
      <x:c r="J862" s="16" t="n">
        <x:v>0.96</x:v>
      </x:c>
      <x:c r="K862" s="11" t="n">
        <x:f>CHOOSE('假设'!$B$3,H862,I862,J862)</x:f>
        <x:v>0.722</x:v>
      </x:c>
      <x:c r="L862" s="11" t="n">
        <x:f>K862*'管线假设'!E203*'管线假设'!F203*'管线假设'!G203*IF(E862="USD",'管线假设'!I203,1)-AM862</x:f>
        <x:v>0.10674048</x:v>
      </x:c>
      <x:c r="M862" s="11" t="n">
        <x:f>'管线假设'!H203</x:f>
        <x:v>0.125</x:v>
      </x:c>
      <x:c r="N862" s="11" t="n">
        <x:f>IF(G862,L862*AN862/(1+M862)^F862,0)</x:f>
        <x:v>0.03599377782533358</x:v>
      </x:c>
      <x:c r="AJ862" t="n">
        <x:v>0</x:v>
      </x:c>
      <x:c r="AK862" t="n">
        <x:v>0</x:v>
      </x:c>
      <x:c r="AL862" t="n">
        <x:v>0</x:v>
      </x:c>
      <x:c r="AM862" t="n">
        <x:f>CHOOSE('假设'!$B$3,AJ862,AK862,AL862)</x:f>
        <x:v>0</x:v>
      </x:c>
      <x:c r="AN862" t="n">
        <x:v>1</x:v>
      </x:c>
    </x:row>
    <x:row r="863" ht="23" customHeight="1">
      <x:c r="A863" s="11" t="str">
        <x:v>688192.SH</x:v>
      </x:c>
      <x:c r="B863" s="11" t="str">
        <x:v>一年</x:v>
      </x:c>
      <x:c r="C863" s="11" t="str">
        <x:v>goli_first</x:v>
      </x:c>
      <x:c r="D863" s="11" t="str">
        <x:v>2037-12-31</x:v>
      </x:c>
      <x:c r="E863" s="11" t="str">
        <x:v>CNY</x:v>
      </x:c>
      <x:c r="F863" s="11" t="n">
        <x:v>10.22861054072553</x:v>
      </x:c>
      <x:c r="G863" s="26" t="b">
        <x:v>1</x:v>
      </x:c>
      <x:c r="H863" s="16" t="n">
        <x:v>0.30400000000000005</x:v>
      </x:c>
      <x:c r="I863" s="16" t="n">
        <x:v>0.608</x:v>
      </x:c>
      <x:c r="J863" s="16" t="n">
        <x:v>0.78</x:v>
      </x:c>
      <x:c r="K863" s="11" t="n">
        <x:f>CHOOSE('假设'!$B$3,H863,I863,J863)</x:f>
        <x:v>0.608</x:v>
      </x:c>
      <x:c r="L863" s="11" t="n">
        <x:f>K863*'管线假设'!E203*'管线假设'!F203*'管线假设'!G203*IF(E863="USD",'管线假设'!I203,1)-AM863</x:f>
        <x:v>0.08988671999999999</x:v>
      </x:c>
      <x:c r="M863" s="11" t="n">
        <x:f>'管线假设'!H203</x:f>
        <x:v>0.125</x:v>
      </x:c>
      <x:c r="N863" s="11" t="n">
        <x:f>IF(G863,L863*AN863/(1+M863)^F863,0)</x:f>
        <x:v>0.026944883044360657</x:v>
      </x:c>
      <x:c r="AJ863" t="n">
        <x:v>0</x:v>
      </x:c>
      <x:c r="AK863" t="n">
        <x:v>0</x:v>
      </x:c>
      <x:c r="AL863" t="n">
        <x:v>0</x:v>
      </x:c>
      <x:c r="AM863" t="n">
        <x:f>CHOOSE('假设'!$B$3,AJ863,AK863,AL863)</x:f>
        <x:v>0</x:v>
      </x:c>
      <x:c r="AN863" t="n">
        <x:v>1</x:v>
      </x:c>
    </x:row>
    <x:row r="864" ht="23" customHeight="1">
      <x:c r="A864" s="11" t="str">
        <x:v>688192.SH</x:v>
      </x:c>
      <x:c r="B864" s="11" t="str">
        <x:v>一年</x:v>
      </x:c>
      <x:c r="C864" s="11" t="str">
        <x:v>goli_first</x:v>
      </x:c>
      <x:c r="D864" s="11" t="str">
        <x:v>2038-12-31</x:v>
      </x:c>
      <x:c r="E864" s="11" t="str">
        <x:v>CNY</x:v>
      </x:c>
      <x:c r="F864" s="11" t="n">
        <x:v>11.227926078028748</x:v>
      </x:c>
      <x:c r="G864" s="26" t="b">
        <x:v>1</x:v>
      </x:c>
      <x:c r="H864" s="16" t="n">
        <x:v>0.256</x:v>
      </x:c>
      <x:c r="I864" s="16" t="n">
        <x:v>0.494</x:v>
      </x:c>
      <x:c r="J864" s="16" t="n">
        <x:v>0.6000000000000001</x:v>
      </x:c>
      <x:c r="K864" s="11" t="n">
        <x:f>CHOOSE('假设'!$B$3,H864,I864,J864)</x:f>
        <x:v>0.494</x:v>
      </x:c>
      <x:c r="L864" s="11" t="n">
        <x:f>K864*'管线假设'!E203*'管线假设'!F203*'管线假设'!G203*IF(E864="USD",'管线假设'!I203,1)-AM864</x:f>
        <x:v>0.07303296</x:v>
      </x:c>
      <x:c r="M864" s="11" t="n">
        <x:f>'管线假设'!H203</x:f>
        <x:v>0.125</x:v>
      </x:c>
      <x:c r="N864" s="11" t="n">
        <x:f>IF(G864,L864*AN864/(1+M864)^F864,0)</x:f>
        <x:v>0.019461762216754126</x:v>
      </x:c>
      <x:c r="AJ864" t="n">
        <x:v>0</x:v>
      </x:c>
      <x:c r="AK864" t="n">
        <x:v>0</x:v>
      </x:c>
      <x:c r="AL864" t="n">
        <x:v>0</x:v>
      </x:c>
      <x:c r="AM864" t="n">
        <x:f>CHOOSE('假设'!$B$3,AJ864,AK864,AL864)</x:f>
        <x:v>0</x:v>
      </x:c>
      <x:c r="AN864" t="n">
        <x:v>1</x:v>
      </x:c>
    </x:row>
    <x:row r="865" ht="23" customHeight="1">
      <x:c r="A865" s="11" t="str">
        <x:v>688192.SH</x:v>
      </x:c>
      <x:c r="B865" s="11" t="str">
        <x:v>一年</x:v>
      </x:c>
      <x:c r="C865" s="11" t="str">
        <x:v>goli_first</x:v>
      </x:c>
      <x:c r="D865" s="11" t="str">
        <x:v>2039-12-31</x:v>
      </x:c>
      <x:c r="E865" s="11" t="str">
        <x:v>CNY</x:v>
      </x:c>
      <x:c r="F865" s="11" t="n">
        <x:v>12.227241615331964</x:v>
      </x:c>
      <x:c r="G865" s="26" t="b">
        <x:v>1</x:v>
      </x:c>
      <x:c r="H865" s="16" t="n">
        <x:v>0.20800000000000002</x:v>
      </x:c>
      <x:c r="I865" s="16" t="n">
        <x:v>0.38</x:v>
      </x:c>
      <x:c r="J865" s="16" t="n">
        <x:v>0.42000000000000004</x:v>
      </x:c>
      <x:c r="K865" s="11" t="n">
        <x:f>CHOOSE('假设'!$B$3,H865,I865,J865)</x:f>
        <x:v>0.38</x:v>
      </x:c>
      <x:c r="L865" s="11" t="n">
        <x:f>K865*'管线假设'!E203*'管线假设'!F203*'管线假设'!G203*IF(E865="USD",'管线假设'!I203,1)-AM865</x:f>
        <x:v>0.05617919999999999</x:v>
      </x:c>
      <x:c r="M865" s="11" t="n">
        <x:f>'管线假设'!H203</x:f>
        <x:v>0.125</x:v>
      </x:c>
      <x:c r="N865" s="11" t="n">
        <x:f>IF(G865,L865*AN865/(1+M865)^F865,0)</x:f>
        <x:v>0.013308260683883496</x:v>
      </x:c>
      <x:c r="AJ865" t="n">
        <x:v>0</x:v>
      </x:c>
      <x:c r="AK865" t="n">
        <x:v>0</x:v>
      </x:c>
      <x:c r="AL865" t="n">
        <x:v>0</x:v>
      </x:c>
      <x:c r="AM865" t="n">
        <x:f>CHOOSE('假设'!$B$3,AJ865,AK865,AL865)</x:f>
        <x:v>0</x:v>
      </x:c>
      <x:c r="AN865" t="n">
        <x:v>1</x:v>
      </x:c>
    </x:row>
    <x:row r="866" ht="23" customHeight="1">
      <x:c r="A866" s="11" t="str">
        <x:v>688192.SH</x:v>
      </x:c>
      <x:c r="B866" s="11" t="str">
        <x:v>一年</x:v>
      </x:c>
      <x:c r="C866" s="11" t="str">
        <x:v>goli_first</x:v>
      </x:c>
      <x:c r="D866" s="11" t="str">
        <x:v>2040-12-31</x:v>
      </x:c>
      <x:c r="E866" s="11" t="str">
        <x:v>CNY</x:v>
      </x:c>
      <x:c r="F866" s="11" t="n">
        <x:v>13.229295003422314</x:v>
      </x:c>
      <x:c r="G866" s="26" t="b">
        <x:v>1</x:v>
      </x:c>
      <x:c r="H866" s="16" t="n">
        <x:v>0.16000000000000003</x:v>
      </x:c>
      <x:c r="I866" s="16" t="n">
        <x:v>0.266</x:v>
      </x:c>
      <x:c r="J866" s="16" t="n">
        <x:v>0.24000000000000005</x:v>
      </x:c>
      <x:c r="K866" s="11" t="n">
        <x:f>CHOOSE('假设'!$B$3,H866,I866,J866)</x:f>
        <x:v>0.266</x:v>
      </x:c>
      <x:c r="L866" s="11" t="n">
        <x:f>K866*'管线假设'!E203*'管线假设'!F203*'管线假设'!G203*IF(E866="USD",'管线假设'!I203,1)-AM866</x:f>
        <x:v>0.03932544</x:v>
      </x:c>
      <x:c r="M866" s="11" t="n">
        <x:f>'管线假设'!H203</x:f>
        <x:v>0.125</x:v>
      </x:c>
      <x:c r="N866" s="11" t="n">
        <x:f>IF(G866,L866*AN866/(1+M866)^F866,0)</x:f>
        <x:v>0.008278693057123547</x:v>
      </x:c>
      <x:c r="AJ866" t="n">
        <x:v>0</x:v>
      </x:c>
      <x:c r="AK866" t="n">
        <x:v>0</x:v>
      </x:c>
      <x:c r="AL866" t="n">
        <x:v>0</x:v>
      </x:c>
      <x:c r="AM866" t="n">
        <x:f>CHOOSE('假设'!$B$3,AJ866,AK866,AL866)</x:f>
        <x:v>0</x:v>
      </x:c>
      <x:c r="AN866" t="n">
        <x:v>1</x:v>
      </x:c>
    </x:row>
    <x:row r="867" ht="23" customHeight="1">
      <x:c r="A867" s="11" t="str">
        <x:v>688192.SH</x:v>
      </x:c>
      <x:c r="B867" s="11" t="str">
        <x:v>一年</x:v>
      </x:c>
      <x:c r="C867" s="11" t="str">
        <x:v>goli_first</x:v>
      </x:c>
      <x:c r="D867" s="11" t="str">
        <x:v>2041-12-31</x:v>
      </x:c>
      <x:c r="E867" s="11" t="str">
        <x:v>CNY</x:v>
      </x:c>
      <x:c r="F867" s="11" t="n">
        <x:v>14.22861054072553</x:v>
      </x:c>
      <x:c r="G867" s="26" t="b">
        <x:v>1</x:v>
      </x:c>
      <x:c r="H867" s="16" t="n">
        <x:v>0.11200000000000002</x:v>
      </x:c>
      <x:c r="I867" s="16" t="n">
        <x:v>0.15200000000000002</x:v>
      </x:c>
      <x:c r="J867" s="16" t="n">
        <x:v>0.06000000000000005</x:v>
      </x:c>
      <x:c r="K867" s="11" t="n">
        <x:f>CHOOSE('假设'!$B$3,H867,I867,J867)</x:f>
        <x:v>0.15200000000000002</x:v>
      </x:c>
      <x:c r="L867" s="11" t="n">
        <x:f>K867*'管线假设'!E203*'管线假设'!F203*'管线假设'!G203*IF(E867="USD",'管线假设'!I203,1)-AM867</x:f>
        <x:v>0.02247168</x:v>
      </x:c>
      <x:c r="M867" s="11" t="n">
        <x:f>'管线假设'!H203</x:f>
        <x:v>0.125</x:v>
      </x:c>
      <x:c r="N867" s="11" t="n">
        <x:f>IF(G867,L867*AN867/(1+M867)^F867,0)</x:f>
        <x:v>0.004205389458531522</x:v>
      </x:c>
      <x:c r="AJ867" t="n">
        <x:v>0</x:v>
      </x:c>
      <x:c r="AK867" t="n">
        <x:v>0</x:v>
      </x:c>
      <x:c r="AL867" t="n">
        <x:v>0</x:v>
      </x:c>
      <x:c r="AM867" t="n">
        <x:f>CHOOSE('假设'!$B$3,AJ867,AK867,AL867)</x:f>
        <x:v>0</x:v>
      </x:c>
      <x:c r="AN867" t="n">
        <x:v>1</x:v>
      </x:c>
    </x:row>
    <x:row r="868" ht="23" customHeight="1">
      <x:c r="A868" s="11" t="str">
        <x:v>688192.SH</x:v>
      </x:c>
      <x:c r="B868" s="11" t="str">
        <x:v>一年</x:v>
      </x:c>
      <x:c r="C868" s="11" t="str">
        <x:v>goli_first</x:v>
      </x:c>
      <x:c r="D868" s="11" t="str">
        <x:v>2042-12-31</x:v>
      </x:c>
      <x:c r="E868" s="11" t="str">
        <x:v>CNY</x:v>
      </x:c>
      <x:c r="F868" s="11" t="n">
        <x:v>15.227926078028748</x:v>
      </x:c>
      <x:c r="G868" s="26" t="b">
        <x:v>1</x:v>
      </x:c>
      <x:c r="H868" s="16" t="n">
        <x:v>0.06400000000000002</x:v>
      </x:c>
      <x:c r="I868" s="16" t="n">
        <x:v>0.038000000000000034</x:v>
      </x:c>
      <x:c r="J868" s="16" t="n">
        <x:v>0</x:v>
      </x:c>
      <x:c r="K868" s="11" t="n">
        <x:f>CHOOSE('假设'!$B$3,H868,I868,J868)</x:f>
        <x:v>0.038000000000000034</x:v>
      </x:c>
      <x:c r="L868" s="11" t="n">
        <x:f>K868*'管线假设'!E203*'管线假设'!F203*'管线假设'!G203*IF(E868="USD",'管线假设'!I203,1)-AM868</x:f>
        <x:v>0.005617920000000005</x:v>
      </x:c>
      <x:c r="M868" s="11" t="n">
        <x:f>'管线假设'!H203</x:f>
        <x:v>0.125</x:v>
      </x:c>
      <x:c r="N868" s="11" t="n">
        <x:f>IF(G868,L868*AN868/(1+M868)^F868,0)</x:f>
        <x:v>0.0009346063339292203</x:v>
      </x:c>
      <x:c r="AJ868" t="n">
        <x:v>0</x:v>
      </x:c>
      <x:c r="AK868" t="n">
        <x:v>0</x:v>
      </x:c>
      <x:c r="AL868" t="n">
        <x:v>0</x:v>
      </x:c>
      <x:c r="AM868" t="n">
        <x:f>CHOOSE('假设'!$B$3,AJ868,AK868,AL868)</x:f>
        <x:v>0</x:v>
      </x:c>
      <x:c r="AN868" t="n">
        <x:v>1</x:v>
      </x:c>
    </x:row>
    <x:row r="869" ht="23" customHeight="1">
      <x:c r="A869" s="11" t="str">
        <x:v>688192.SH</x:v>
      </x:c>
      <x:c r="B869" s="11" t="str">
        <x:v>一年</x:v>
      </x:c>
      <x:c r="C869" s="11" t="str">
        <x:v>goli_first</x:v>
      </x:c>
      <x:c r="D869" s="11" t="str">
        <x:v>2043-12-31</x:v>
      </x:c>
      <x:c r="E869" s="11" t="str">
        <x:v>CNY</x:v>
      </x:c>
      <x:c r="F869" s="11" t="n">
        <x:v>16.227241615331966</x:v>
      </x:c>
      <x:c r="G869" s="26" t="b">
        <x:v>1</x:v>
      </x:c>
      <x:c r="H869" s="16" t="n">
        <x:v>0.016000000000000014</x:v>
      </x:c>
      <x:c r="I869" s="16" t="n">
        <x:v>0</x:v>
      </x:c>
      <x:c r="J869" s="16" t="n">
        <x:v>0</x:v>
      </x:c>
      <x:c r="K869" s="11" t="n">
        <x:f>CHOOSE('假设'!$B$3,H869,I869,J869)</x:f>
        <x:v>0</x:v>
      </x:c>
      <x:c r="L869" s="11" t="n">
        <x:f>K869*'管线假设'!E203*'管线假设'!F203*'管线假设'!G203*IF(E869="USD",'管线假设'!I203,1)-AM869</x:f>
        <x:v>0</x:v>
      </x:c>
      <x:c r="M869" s="11" t="n">
        <x:f>'管线假设'!H203</x:f>
        <x:v>0.125</x:v>
      </x:c>
      <x:c r="N869" s="11" t="n">
        <x:f>IF(G869,L869*AN869/(1+M869)^F869,0)</x:f>
        <x:v>0</x:v>
      </x:c>
      <x:c r="AJ869" t="n">
        <x:v>0</x:v>
      </x:c>
      <x:c r="AK869" t="n">
        <x:v>0</x:v>
      </x:c>
      <x:c r="AL869" t="n">
        <x:v>0</x:v>
      </x:c>
      <x:c r="AM869" t="n">
        <x:f>CHOOSE('假设'!$B$3,AJ869,AK869,AL869)</x:f>
        <x:v>0</x:v>
      </x:c>
      <x:c r="AN869" t="n">
        <x:v>1</x:v>
      </x:c>
    </x:row>
    <x:row r="870" ht="23" customHeight="1">
      <x:c r="A870" s="11" t="str">
        <x:v>688192.SH</x:v>
      </x:c>
      <x:c r="B870" s="11" t="str">
        <x:v>一年</x:v>
      </x:c>
      <x:c r="C870" s="11" t="str">
        <x:v>goli_first</x:v>
      </x:c>
      <x:c r="D870" s="11" t="str">
        <x:v>2044-12-31</x:v>
      </x:c>
      <x:c r="E870" s="11" t="str">
        <x:v>CNY</x:v>
      </x:c>
      <x:c r="F870" s="11" t="n">
        <x:v>17.229295003422312</x:v>
      </x:c>
      <x:c r="G870" s="26" t="b">
        <x:v>1</x:v>
      </x:c>
      <x:c r="H870" s="16" t="n">
        <x:v>0</x:v>
      </x:c>
      <x:c r="I870" s="16" t="n">
        <x:v>0</x:v>
      </x:c>
      <x:c r="J870" s="16" t="n">
        <x:v>0</x:v>
      </x:c>
      <x:c r="K870" s="11" t="n">
        <x:f>CHOOSE('假设'!$B$3,H870,I870,J870)</x:f>
        <x:v>0</x:v>
      </x:c>
      <x:c r="L870" s="11" t="n">
        <x:f>K870*'管线假设'!E203*'管线假设'!F203*'管线假设'!G203*IF(E870="USD",'管线假设'!I203,1)-AM870</x:f>
        <x:v>0</x:v>
      </x:c>
      <x:c r="M870" s="11" t="n">
        <x:f>'管线假设'!H203</x:f>
        <x:v>0.125</x:v>
      </x:c>
      <x:c r="N870" s="11" t="n">
        <x:f>IF(G870,L870*AN870/(1+M870)^F870,0)</x:f>
        <x:v>0</x:v>
      </x:c>
      <x:c r="AJ870" t="n">
        <x:v>0</x:v>
      </x:c>
      <x:c r="AK870" t="n">
        <x:v>0</x:v>
      </x:c>
      <x:c r="AL870" t="n">
        <x:v>0</x:v>
      </x:c>
      <x:c r="AM870" t="n">
        <x:f>CHOOSE('假设'!$B$3,AJ870,AK870,AL870)</x:f>
        <x:v>0</x:v>
      </x:c>
      <x:c r="AN870" t="n">
        <x:v>1</x:v>
      </x:c>
    </x:row>
    <x:row r="871" ht="23" customHeight="1">
      <x:c r="A871" s="11" t="str">
        <x:v>688192.SH</x:v>
      </x:c>
      <x:c r="B871" s="11" t="str">
        <x:v>一年</x:v>
      </x:c>
      <x:c r="C871" s="11" t="str">
        <x:v>goli_first</x:v>
      </x:c>
      <x:c r="D871" s="11" t="str">
        <x:v>2045-12-31</x:v>
      </x:c>
      <x:c r="E871" s="11" t="str">
        <x:v>CNY</x:v>
      </x:c>
      <x:c r="F871" s="11" t="n">
        <x:v>18.22861054072553</x:v>
      </x:c>
      <x:c r="G871" s="26" t="b">
        <x:v>1</x:v>
      </x:c>
      <x:c r="H871" s="16" t="n">
        <x:v>0</x:v>
      </x:c>
      <x:c r="I871" s="16" t="n">
        <x:v>0</x:v>
      </x:c>
      <x:c r="J871" s="16" t="n">
        <x:v>0</x:v>
      </x:c>
      <x:c r="K871" s="11" t="n">
        <x:f>CHOOSE('假设'!$B$3,H871,I871,J871)</x:f>
        <x:v>0</x:v>
      </x:c>
      <x:c r="L871" s="11" t="n">
        <x:f>K871*'管线假设'!E203*'管线假设'!F203*'管线假设'!G203*IF(E871="USD",'管线假设'!I203,1)-AM871</x:f>
        <x:v>0</x:v>
      </x:c>
      <x:c r="M871" s="11" t="n">
        <x:f>'管线假设'!H203</x:f>
        <x:v>0.125</x:v>
      </x:c>
      <x:c r="N871" s="11" t="n">
        <x:f>IF(G871,L871*AN871/(1+M871)^F871,0)</x:f>
        <x:v>0</x:v>
      </x:c>
      <x:c r="AJ871" t="n">
        <x:v>0</x:v>
      </x:c>
      <x:c r="AK871" t="n">
        <x:v>0</x:v>
      </x:c>
      <x:c r="AL871" t="n">
        <x:v>0</x:v>
      </x:c>
      <x:c r="AM871" t="n">
        <x:f>CHOOSE('假设'!$B$3,AJ871,AK871,AL871)</x:f>
        <x:v>0</x:v>
      </x:c>
      <x:c r="AN871" t="n">
        <x:v>1</x:v>
      </x:c>
    </x:row>
    <x:row r="872" ht="23" customHeight="1">
      <x:c r="A872" s="11" t="str">
        <x:v>688192.SH</x:v>
      </x:c>
      <x:c r="B872" s="11" t="str">
        <x:v>一年</x:v>
      </x:c>
      <x:c r="C872" s="11" t="str">
        <x:v>goli_lung</x:v>
      </x:c>
      <x:c r="D872" s="11" t="str">
        <x:v>2027-12-31</x:v>
      </x:c>
      <x:c r="E872" s="11" t="str">
        <x:v>USD</x:v>
      </x:c>
      <x:c r="F872" s="11" t="n">
        <x:v>0.2272416153319644</x:v>
      </x:c>
      <x:c r="G872" s="26" t="b">
        <x:v>1</x:v>
      </x:c>
      <x:c r="H872" s="16" t="n">
        <x:v>0</x:v>
      </x:c>
      <x:c r="I872" s="16" t="n">
        <x:v>0</x:v>
      </x:c>
      <x:c r="J872" s="16" t="n">
        <x:v>0</x:v>
      </x:c>
      <x:c r="K872" s="11" t="n">
        <x:f>CHOOSE('假设'!$B$3,H872,I872,J872)</x:f>
        <x:v>0</x:v>
      </x:c>
      <x:c r="L872" s="11" t="n">
        <x:f>K872*'管线假设'!E207*'管线假设'!F207*'管线假设'!G207*IF(E872="USD",'管线假设'!I207,1)-AM872</x:f>
        <x:v>0</x:v>
      </x:c>
      <x:c r="M872" s="11" t="n">
        <x:f>'管线假设'!H207</x:f>
        <x:v>0.125</x:v>
      </x:c>
      <x:c r="N872" s="11" t="n">
        <x:f>IF(G872,L872*AN872/(1+M872)^F872,0)</x:f>
        <x:v>0</x:v>
      </x:c>
      <x:c r="AJ872" t="n">
        <x:v>0</x:v>
      </x:c>
      <x:c r="AK872" t="n">
        <x:v>0</x:v>
      </x:c>
      <x:c r="AL872" t="n">
        <x:v>0</x:v>
      </x:c>
      <x:c r="AM872" t="n">
        <x:f>CHOOSE('假设'!$B$3,AJ872,AK872,AL872)</x:f>
        <x:v>0</x:v>
      </x:c>
      <x:c r="AN872" t="n">
        <x:v>1</x:v>
      </x:c>
    </x:row>
    <x:row r="873" ht="23" customHeight="1">
      <x:c r="A873" s="11" t="str">
        <x:v>688192.SH</x:v>
      </x:c>
      <x:c r="B873" s="11" t="str">
        <x:v>一年</x:v>
      </x:c>
      <x:c r="C873" s="11" t="str">
        <x:v>goli_lung</x:v>
      </x:c>
      <x:c r="D873" s="11" t="str">
        <x:v>2028-12-31</x:v>
      </x:c>
      <x:c r="E873" s="11" t="str">
        <x:v>USD</x:v>
      </x:c>
      <x:c r="F873" s="11" t="n">
        <x:v>1.2292950034223136</x:v>
      </x:c>
      <x:c r="G873" s="26" t="b">
        <x:v>1</x:v>
      </x:c>
      <x:c r="H873" s="16" t="n">
        <x:v>0</x:v>
      </x:c>
      <x:c r="I873" s="16" t="n">
        <x:v>0</x:v>
      </x:c>
      <x:c r="J873" s="16" t="n">
        <x:v>0</x:v>
      </x:c>
      <x:c r="K873" s="11" t="n">
        <x:f>CHOOSE('假设'!$B$3,H873,I873,J873)</x:f>
        <x:v>0</x:v>
      </x:c>
      <x:c r="L873" s="11" t="n">
        <x:f>K873*'管线假设'!E207*'管线假设'!F207*'管线假设'!G207*IF(E873="USD",'管线假设'!I207,1)-AM873</x:f>
        <x:v>0</x:v>
      </x:c>
      <x:c r="M873" s="11" t="n">
        <x:f>'管线假设'!H207</x:f>
        <x:v>0.125</x:v>
      </x:c>
      <x:c r="N873" s="11" t="n">
        <x:f>IF(G873,L873*AN873/(1+M873)^F873,0)</x:f>
        <x:v>0</x:v>
      </x:c>
      <x:c r="AJ873" t="n">
        <x:v>0</x:v>
      </x:c>
      <x:c r="AK873" t="n">
        <x:v>0</x:v>
      </x:c>
      <x:c r="AL873" t="n">
        <x:v>0</x:v>
      </x:c>
      <x:c r="AM873" t="n">
        <x:f>CHOOSE('假设'!$B$3,AJ873,AK873,AL873)</x:f>
        <x:v>0</x:v>
      </x:c>
      <x:c r="AN873" t="n">
        <x:v>1</x:v>
      </x:c>
    </x:row>
    <x:row r="874" ht="23" customHeight="1">
      <x:c r="A874" s="11" t="str">
        <x:v>688192.SH</x:v>
      </x:c>
      <x:c r="B874" s="11" t="str">
        <x:v>一年</x:v>
      </x:c>
      <x:c r="C874" s="11" t="str">
        <x:v>goli_lung</x:v>
      </x:c>
      <x:c r="D874" s="11" t="str">
        <x:v>2029-12-31</x:v>
      </x:c>
      <x:c r="E874" s="11" t="str">
        <x:v>USD</x:v>
      </x:c>
      <x:c r="F874" s="11" t="n">
        <x:v>2.2286105407255303</x:v>
      </x:c>
      <x:c r="G874" s="26" t="b">
        <x:v>1</x:v>
      </x:c>
      <x:c r="H874" s="16" t="n">
        <x:v>0</x:v>
      </x:c>
      <x:c r="I874" s="16" t="n">
        <x:v>0</x:v>
      </x:c>
      <x:c r="J874" s="16" t="n">
        <x:v>0</x:v>
      </x:c>
      <x:c r="K874" s="11" t="n">
        <x:f>CHOOSE('假设'!$B$3,H874,I874,J874)</x:f>
        <x:v>0</x:v>
      </x:c>
      <x:c r="L874" s="11" t="n">
        <x:f>K874*'管线假设'!E207*'管线假设'!F207*'管线假设'!G207*IF(E874="USD",'管线假设'!I207,1)-AM874</x:f>
        <x:v>0</x:v>
      </x:c>
      <x:c r="M874" s="11" t="n">
        <x:f>'管线假设'!H207</x:f>
        <x:v>0.125</x:v>
      </x:c>
      <x:c r="N874" s="11" t="n">
        <x:f>IF(G874,L874*AN874/(1+M874)^F874,0)</x:f>
        <x:v>0</x:v>
      </x:c>
      <x:c r="AJ874" t="n">
        <x:v>0</x:v>
      </x:c>
      <x:c r="AK874" t="n">
        <x:v>0</x:v>
      </x:c>
      <x:c r="AL874" t="n">
        <x:v>0</x:v>
      </x:c>
      <x:c r="AM874" t="n">
        <x:f>CHOOSE('假设'!$B$3,AJ874,AK874,AL874)</x:f>
        <x:v>0</x:v>
      </x:c>
      <x:c r="AN874" t="n">
        <x:v>1</x:v>
      </x:c>
    </x:row>
    <x:row r="875" ht="23" customHeight="1">
      <x:c r="A875" s="11" t="str">
        <x:v>688192.SH</x:v>
      </x:c>
      <x:c r="B875" s="11" t="str">
        <x:v>一年</x:v>
      </x:c>
      <x:c r="C875" s="11" t="str">
        <x:v>goli_lung</x:v>
      </x:c>
      <x:c r="D875" s="11" t="str">
        <x:v>2030-12-31</x:v>
      </x:c>
      <x:c r="E875" s="11" t="str">
        <x:v>USD</x:v>
      </x:c>
      <x:c r="F875" s="11" t="n">
        <x:v>3.2279260780287475</x:v>
      </x:c>
      <x:c r="G875" s="26" t="b">
        <x:v>1</x:v>
      </x:c>
      <x:c r="H875" s="16" t="n">
        <x:v>0</x:v>
      </x:c>
      <x:c r="I875" s="16" t="n">
        <x:v>0</x:v>
      </x:c>
      <x:c r="J875" s="16" t="n">
        <x:v>0.5833333333333333</x:v>
      </x:c>
      <x:c r="K875" s="11" t="n">
        <x:f>CHOOSE('假设'!$B$3,H875,I875,J875)</x:f>
        <x:v>0</x:v>
      </x:c>
      <x:c r="L875" s="11" t="n">
        <x:f>K875*'管线假设'!E207*'管线假设'!F207*'管线假设'!G207*IF(E875="USD",'管线假设'!I207,1)-AM875</x:f>
        <x:v>0</x:v>
      </x:c>
      <x:c r="M875" s="11" t="n">
        <x:f>'管线假设'!H207</x:f>
        <x:v>0.125</x:v>
      </x:c>
      <x:c r="N875" s="11" t="n">
        <x:f>IF(G875,L875*AN875/(1+M875)^F875,0)</x:f>
        <x:v>0</x:v>
      </x:c>
      <x:c r="AJ875" t="n">
        <x:v>0</x:v>
      </x:c>
      <x:c r="AK875" t="n">
        <x:v>0</x:v>
      </x:c>
      <x:c r="AL875" t="n">
        <x:v>0</x:v>
      </x:c>
      <x:c r="AM875" t="n">
        <x:f>CHOOSE('假设'!$B$3,AJ875,AK875,AL875)</x:f>
        <x:v>0</x:v>
      </x:c>
      <x:c r="AN875" t="n">
        <x:v>1</x:v>
      </x:c>
    </x:row>
    <x:row r="876" ht="23" customHeight="1">
      <x:c r="A876" s="11" t="str">
        <x:v>688192.SH</x:v>
      </x:c>
      <x:c r="B876" s="11" t="str">
        <x:v>一年</x:v>
      </x:c>
      <x:c r="C876" s="11" t="str">
        <x:v>goli_lung</x:v>
      </x:c>
      <x:c r="D876" s="11" t="str">
        <x:v>2031-12-31</x:v>
      </x:c>
      <x:c r="E876" s="11" t="str">
        <x:v>USD</x:v>
      </x:c>
      <x:c r="F876" s="11" t="n">
        <x:v>4.227241615331964</x:v>
      </x:c>
      <x:c r="G876" s="26" t="b">
        <x:v>1</x:v>
      </x:c>
      <x:c r="H876" s="16" t="n">
        <x:v>0</x:v>
      </x:c>
      <x:c r="I876" s="16" t="n">
        <x:v>0</x:v>
      </x:c>
      <x:c r="J876" s="16" t="n">
        <x:v>1.1666666666666665</x:v>
      </x:c>
      <x:c r="K876" s="11" t="n">
        <x:f>CHOOSE('假设'!$B$3,H876,I876,J876)</x:f>
        <x:v>0</x:v>
      </x:c>
      <x:c r="L876" s="11" t="n">
        <x:f>K876*'管线假设'!E207*'管线假设'!F207*'管线假设'!G207*IF(E876="USD",'管线假设'!I207,1)-AM876</x:f>
        <x:v>0</x:v>
      </x:c>
      <x:c r="M876" s="11" t="n">
        <x:f>'管线假设'!H207</x:f>
        <x:v>0.125</x:v>
      </x:c>
      <x:c r="N876" s="11" t="n">
        <x:f>IF(G876,L876*AN876/(1+M876)^F876,0)</x:f>
        <x:v>0</x:v>
      </x:c>
      <x:c r="AJ876" t="n">
        <x:v>0</x:v>
      </x:c>
      <x:c r="AK876" t="n">
        <x:v>0</x:v>
      </x:c>
      <x:c r="AL876" t="n">
        <x:v>0</x:v>
      </x:c>
      <x:c r="AM876" t="n">
        <x:f>CHOOSE('假设'!$B$3,AJ876,AK876,AL876)</x:f>
        <x:v>0</x:v>
      </x:c>
      <x:c r="AN876" t="n">
        <x:v>1</x:v>
      </x:c>
    </x:row>
    <x:row r="877" ht="23" customHeight="1">
      <x:c r="A877" s="11" t="str">
        <x:v>688192.SH</x:v>
      </x:c>
      <x:c r="B877" s="11" t="str">
        <x:v>一年</x:v>
      </x:c>
      <x:c r="C877" s="11" t="str">
        <x:v>goli_lung</x:v>
      </x:c>
      <x:c r="D877" s="11" t="str">
        <x:v>2032-12-31</x:v>
      </x:c>
      <x:c r="E877" s="11" t="str">
        <x:v>USD</x:v>
      </x:c>
      <x:c r="F877" s="11" t="n">
        <x:v>5.229295003422314</x:v>
      </x:c>
      <x:c r="G877" s="26" t="b">
        <x:v>1</x:v>
      </x:c>
      <x:c r="H877" s="16" t="n">
        <x:v>0</x:v>
      </x:c>
      <x:c r="I877" s="16" t="n">
        <x:v>0.3</x:v>
      </x:c>
      <x:c r="J877" s="16" t="n">
        <x:v>1.75</x:v>
      </x:c>
      <x:c r="K877" s="11" t="n">
        <x:f>CHOOSE('假设'!$B$3,H877,I877,J877)</x:f>
        <x:v>0.3</x:v>
      </x:c>
      <x:c r="L877" s="11" t="n">
        <x:f>K877*'管线假设'!E207*'管线假设'!F207*'管线假设'!G207*IF(E877="USD",'管线假设'!I207,1)-AM877</x:f>
        <x:v>0.16156799999999993</x:v>
      </x:c>
      <x:c r="M877" s="11" t="n">
        <x:f>'管线假设'!H207</x:f>
        <x:v>0.125</x:v>
      </x:c>
      <x:c r="N877" s="11" t="n">
        <x:f>IF(G877,L877*AN877/(1+M877)^F877,0)</x:f>
        <x:v>0.08726974741091637</x:v>
      </x:c>
      <x:c r="AJ877" t="n">
        <x:v>0</x:v>
      </x:c>
      <x:c r="AK877" t="n">
        <x:v>0</x:v>
      </x:c>
      <x:c r="AL877" t="n">
        <x:v>0</x:v>
      </x:c>
      <x:c r="AM877" t="n">
        <x:f>CHOOSE('假设'!$B$3,AJ877,AK877,AL877)</x:f>
        <x:v>0</x:v>
      </x:c>
      <x:c r="AN877" t="n">
        <x:v>1</x:v>
      </x:c>
    </x:row>
    <x:row r="878" ht="23" customHeight="1">
      <x:c r="A878" s="11" t="str">
        <x:v>688192.SH</x:v>
      </x:c>
      <x:c r="B878" s="11" t="str">
        <x:v>一年</x:v>
      </x:c>
      <x:c r="C878" s="11" t="str">
        <x:v>goli_lung</x:v>
      </x:c>
      <x:c r="D878" s="11" t="str">
        <x:v>2033-12-31</x:v>
      </x:c>
      <x:c r="E878" s="11" t="str">
        <x:v>USD</x:v>
      </x:c>
      <x:c r="F878" s="11" t="n">
        <x:v>6.228610540725531</x:v>
      </x:c>
      <x:c r="G878" s="26" t="b">
        <x:v>1</x:v>
      </x:c>
      <x:c r="H878" s="16" t="n">
        <x:v>0</x:v>
      </x:c>
      <x:c r="I878" s="16" t="n">
        <x:v>0.6</x:v>
      </x:c>
      <x:c r="J878" s="16" t="n">
        <x:v>2.333333333333333</x:v>
      </x:c>
      <x:c r="K878" s="11" t="n">
        <x:f>CHOOSE('假设'!$B$3,H878,I878,J878)</x:f>
        <x:v>0.6</x:v>
      </x:c>
      <x:c r="L878" s="11" t="n">
        <x:f>K878*'管线假设'!E207*'管线假设'!F207*'管线假设'!G207*IF(E878="USD",'管线假设'!I207,1)-AM878</x:f>
        <x:v>0.32313599999999987</x:v>
      </x:c>
      <x:c r="M878" s="11" t="n">
        <x:f>'管线假设'!H207</x:f>
        <x:v>0.125</x:v>
      </x:c>
      <x:c r="N878" s="11" t="n">
        <x:f>IF(G878,L878*AN878/(1+M878)^F878,0)</x:f>
        <x:v>0.15515872571597958</x:v>
      </x:c>
      <x:c r="AJ878" t="n">
        <x:v>0</x:v>
      </x:c>
      <x:c r="AK878" t="n">
        <x:v>0</x:v>
      </x:c>
      <x:c r="AL878" t="n">
        <x:v>0</x:v>
      </x:c>
      <x:c r="AM878" t="n">
        <x:f>CHOOSE('假设'!$B$3,AJ878,AK878,AL878)</x:f>
        <x:v>0</x:v>
      </x:c>
      <x:c r="AN878" t="n">
        <x:v>1</x:v>
      </x:c>
    </x:row>
    <x:row r="879" ht="23" customHeight="1">
      <x:c r="A879" s="11" t="str">
        <x:v>688192.SH</x:v>
      </x:c>
      <x:c r="B879" s="11" t="str">
        <x:v>一年</x:v>
      </x:c>
      <x:c r="C879" s="11" t="str">
        <x:v>goli_lung</x:v>
      </x:c>
      <x:c r="D879" s="11" t="str">
        <x:v>2034-12-31</x:v>
      </x:c>
      <x:c r="E879" s="11" t="str">
        <x:v>USD</x:v>
      </x:c>
      <x:c r="F879" s="11" t="n">
        <x:v>7.227926078028747</x:v>
      </x:c>
      <x:c r="G879" s="26" t="b">
        <x:v>1</x:v>
      </x:c>
      <x:c r="H879" s="16" t="n">
        <x:v>0.12</x:v>
      </x:c>
      <x:c r="I879" s="16" t="n">
        <x:v>0.9</x:v>
      </x:c>
      <x:c r="J879" s="16" t="n">
        <x:v>2.916666666666667</x:v>
      </x:c>
      <x:c r="K879" s="11" t="n">
        <x:f>CHOOSE('假设'!$B$3,H879,I879,J879)</x:f>
        <x:v>0.9</x:v>
      </x:c>
      <x:c r="L879" s="11" t="n">
        <x:f>K879*'管线假设'!E207*'管线假设'!F207*'管线假设'!G207*IF(E879="USD",'管线假设'!I207,1)-AM879</x:f>
        <x:v>0.48470399999999975</x:v>
      </x:c>
      <x:c r="M879" s="11" t="n">
        <x:f>'管线假设'!H207</x:f>
        <x:v>0.125</x:v>
      </x:c>
      <x:c r="N879" s="11" t="n">
        <x:f>IF(G879,L879*AN879/(1+M879)^F879,0)</x:f>
        <x:v>0.20689497976129576</x:v>
      </x:c>
      <x:c r="AJ879" t="n">
        <x:v>0</x:v>
      </x:c>
      <x:c r="AK879" t="n">
        <x:v>0</x:v>
      </x:c>
      <x:c r="AL879" t="n">
        <x:v>0</x:v>
      </x:c>
      <x:c r="AM879" t="n">
        <x:f>CHOOSE('假设'!$B$3,AJ879,AK879,AL879)</x:f>
        <x:v>0</x:v>
      </x:c>
      <x:c r="AN879" t="n">
        <x:v>1</x:v>
      </x:c>
    </x:row>
    <x:row r="880" ht="23" customHeight="1">
      <x:c r="A880" s="11" t="str">
        <x:v>688192.SH</x:v>
      </x:c>
      <x:c r="B880" s="11" t="str">
        <x:v>一年</x:v>
      </x:c>
      <x:c r="C880" s="11" t="str">
        <x:v>goli_lung</x:v>
      </x:c>
      <x:c r="D880" s="11" t="str">
        <x:v>2035-12-31</x:v>
      </x:c>
      <x:c r="E880" s="11" t="str">
        <x:v>USD</x:v>
      </x:c>
      <x:c r="F880" s="11" t="n">
        <x:v>8.227241615331964</x:v>
      </x:c>
      <x:c r="G880" s="26" t="b">
        <x:v>1</x:v>
      </x:c>
      <x:c r="H880" s="16" t="n">
        <x:v>0.24</x:v>
      </x:c>
      <x:c r="I880" s="16" t="n">
        <x:v>1.2</x:v>
      </x:c>
      <x:c r="J880" s="16" t="n">
        <x:v>3.5</x:v>
      </x:c>
      <x:c r="K880" s="11" t="n">
        <x:f>CHOOSE('假设'!$B$3,H880,I880,J880)</x:f>
        <x:v>1.2</x:v>
      </x:c>
      <x:c r="L880" s="11" t="n">
        <x:f>K880*'管线假设'!E207*'管线假设'!F207*'管线假设'!G207*IF(E880="USD",'管线假设'!I207,1)-AM880</x:f>
        <x:v>0.6462719999999997</x:v>
      </x:c>
      <x:c r="M880" s="11" t="n">
        <x:f>'管线假设'!H207</x:f>
        <x:v>0.125</x:v>
      </x:c>
      <x:c r="N880" s="11" t="n">
        <x:f>IF(G880,L880*AN880/(1+M880)^F880,0)</x:f>
        <x:v>0.24522863397051248</x:v>
      </x:c>
      <x:c r="AJ880" t="n">
        <x:v>0</x:v>
      </x:c>
      <x:c r="AK880" t="n">
        <x:v>0</x:v>
      </x:c>
      <x:c r="AL880" t="n">
        <x:v>0</x:v>
      </x:c>
      <x:c r="AM880" t="n">
        <x:f>CHOOSE('假设'!$B$3,AJ880,AK880,AL880)</x:f>
        <x:v>0</x:v>
      </x:c>
      <x:c r="AN880" t="n">
        <x:v>1</x:v>
      </x:c>
    </x:row>
    <x:row r="881" ht="23" customHeight="1">
      <x:c r="A881" s="11" t="str">
        <x:v>688192.SH</x:v>
      </x:c>
      <x:c r="B881" s="11" t="str">
        <x:v>一年</x:v>
      </x:c>
      <x:c r="C881" s="11" t="str">
        <x:v>goli_lung</x:v>
      </x:c>
      <x:c r="D881" s="11" t="str">
        <x:v>2036-12-31</x:v>
      </x:c>
      <x:c r="E881" s="11" t="str">
        <x:v>USD</x:v>
      </x:c>
      <x:c r="F881" s="11" t="n">
        <x:v>9.229295003422314</x:v>
      </x:c>
      <x:c r="G881" s="26" t="b">
        <x:v>1</x:v>
      </x:c>
      <x:c r="H881" s="16" t="n">
        <x:v>0.36</x:v>
      </x:c>
      <x:c r="I881" s="16" t="n">
        <x:v>1.5</x:v>
      </x:c>
      <x:c r="J881" s="16" t="n">
        <x:v>3.08</x:v>
      </x:c>
      <x:c r="K881" s="11" t="n">
        <x:f>CHOOSE('假设'!$B$3,H881,I881,J881)</x:f>
        <x:v>1.5</x:v>
      </x:c>
      <x:c r="L881" s="11" t="n">
        <x:f>K881*'管线假设'!E207*'管线假设'!F207*'管线假设'!G207*IF(E881="USD",'管线假设'!I207,1)-AM881</x:f>
        <x:v>0.8078399999999997</x:v>
      </x:c>
      <x:c r="M881" s="11" t="n">
        <x:f>'管线假设'!H207</x:f>
        <x:v>0.125</x:v>
      </x:c>
      <x:c r="N881" s="11" t="n">
        <x:f>IF(G881,L881*AN881/(1+M881)^F881,0)</x:f>
        <x:v>0.2724103683852412</x:v>
      </x:c>
      <x:c r="AJ881" t="n">
        <x:v>0</x:v>
      </x:c>
      <x:c r="AK881" t="n">
        <x:v>0</x:v>
      </x:c>
      <x:c r="AL881" t="n">
        <x:v>0</x:v>
      </x:c>
      <x:c r="AM881" t="n">
        <x:f>CHOOSE('假设'!$B$3,AJ881,AK881,AL881)</x:f>
        <x:v>0</x:v>
      </x:c>
      <x:c r="AN881" t="n">
        <x:v>1</x:v>
      </x:c>
    </x:row>
    <x:row r="882" ht="23" customHeight="1">
      <x:c r="A882" s="11" t="str">
        <x:v>688192.SH</x:v>
      </x:c>
      <x:c r="B882" s="11" t="str">
        <x:v>一年</x:v>
      </x:c>
      <x:c r="C882" s="11" t="str">
        <x:v>goli_lung</x:v>
      </x:c>
      <x:c r="D882" s="11" t="str">
        <x:v>2037-12-31</x:v>
      </x:c>
      <x:c r="E882" s="11" t="str">
        <x:v>USD</x:v>
      </x:c>
      <x:c r="F882" s="11" t="n">
        <x:v>10.22861054072553</x:v>
      </x:c>
      <x:c r="G882" s="26" t="b">
        <x:v>1</x:v>
      </x:c>
      <x:c r="H882" s="16" t="n">
        <x:v>0.48</x:v>
      </x:c>
      <x:c r="I882" s="16" t="n">
        <x:v>1.8</x:v>
      </x:c>
      <x:c r="J882" s="16" t="n">
        <x:v>2.66</x:v>
      </x:c>
      <x:c r="K882" s="11" t="n">
        <x:f>CHOOSE('假设'!$B$3,H882,I882,J882)</x:f>
        <x:v>1.8</x:v>
      </x:c>
      <x:c r="L882" s="11" t="n">
        <x:f>K882*'管线假设'!E207*'管线假设'!F207*'管线假设'!G207*IF(E882="USD",'管线假设'!I207,1)-AM882</x:f>
        <x:v>0.9694079999999995</x:v>
      </x:c>
      <x:c r="M882" s="11" t="n">
        <x:f>'管线假设'!H207</x:f>
        <x:v>0.125</x:v>
      </x:c>
      <x:c r="N882" s="11" t="n">
        <x:f>IF(G882,L882*AN882/(1+M882)^F882,0)</x:f>
        <x:v>0.29059448584026165</x:v>
      </x:c>
      <x:c r="AJ882" t="n">
        <x:v>0</x:v>
      </x:c>
      <x:c r="AK882" t="n">
        <x:v>0</x:v>
      </x:c>
      <x:c r="AL882" t="n">
        <x:v>0</x:v>
      </x:c>
      <x:c r="AM882" t="n">
        <x:f>CHOOSE('假设'!$B$3,AJ882,AK882,AL882)</x:f>
        <x:v>0</x:v>
      </x:c>
      <x:c r="AN882" t="n">
        <x:v>1</x:v>
      </x:c>
    </x:row>
    <x:row r="883" ht="23" customHeight="1">
      <x:c r="A883" s="11" t="str">
        <x:v>688192.SH</x:v>
      </x:c>
      <x:c r="B883" s="11" t="str">
        <x:v>一年</x:v>
      </x:c>
      <x:c r="C883" s="11" t="str">
        <x:v>goli_lung</x:v>
      </x:c>
      <x:c r="D883" s="11" t="str">
        <x:v>2038-12-31</x:v>
      </x:c>
      <x:c r="E883" s="11" t="str">
        <x:v>USD</x:v>
      </x:c>
      <x:c r="F883" s="11" t="n">
        <x:v>11.227926078028748</x:v>
      </x:c>
      <x:c r="G883" s="26" t="b">
        <x:v>1</x:v>
      </x:c>
      <x:c r="H883" s="16" t="n">
        <x:v>0.6</x:v>
      </x:c>
      <x:c r="I883" s="16" t="n">
        <x:v>1.584</x:v>
      </x:c>
      <x:c r="J883" s="16" t="n">
        <x:v>2.24</x:v>
      </x:c>
      <x:c r="K883" s="11" t="n">
        <x:f>CHOOSE('假设'!$B$3,H883,I883,J883)</x:f>
        <x:v>1.584</x:v>
      </x:c>
      <x:c r="L883" s="11" t="n">
        <x:f>K883*'管线假设'!E207*'管线假设'!F207*'管线假设'!G207*IF(E883="USD",'管线假设'!I207,1)-AM883</x:f>
        <x:v>0.8530790399999996</x:v>
      </x:c>
      <x:c r="M883" s="11" t="n">
        <x:f>'管线假设'!H207</x:f>
        <x:v>0.125</x:v>
      </x:c>
      <x:c r="N883" s="11" t="n">
        <x:f>IF(G883,L883*AN883/(1+M883)^F883,0)</x:f>
        <x:v>0.22732779047401167</x:v>
      </x:c>
      <x:c r="AJ883" t="n">
        <x:v>0</x:v>
      </x:c>
      <x:c r="AK883" t="n">
        <x:v>0</x:v>
      </x:c>
      <x:c r="AL883" t="n">
        <x:v>0</x:v>
      </x:c>
      <x:c r="AM883" t="n">
        <x:f>CHOOSE('假设'!$B$3,AJ883,AK883,AL883)</x:f>
        <x:v>0</x:v>
      </x:c>
      <x:c r="AN883" t="n">
        <x:v>1</x:v>
      </x:c>
    </x:row>
    <x:row r="884" ht="23" customHeight="1">
      <x:c r="A884" s="11" t="str">
        <x:v>688192.SH</x:v>
      </x:c>
      <x:c r="B884" s="11" t="str">
        <x:v>一年</x:v>
      </x:c>
      <x:c r="C884" s="11" t="str">
        <x:v>goli_lung</x:v>
      </x:c>
      <x:c r="D884" s="11" t="str">
        <x:v>2039-12-31</x:v>
      </x:c>
      <x:c r="E884" s="11" t="str">
        <x:v>USD</x:v>
      </x:c>
      <x:c r="F884" s="11" t="n">
        <x:v>12.227241615331964</x:v>
      </x:c>
      <x:c r="G884" s="26" t="b">
        <x:v>1</x:v>
      </x:c>
      <x:c r="H884" s="16" t="n">
        <x:v>0.528</x:v>
      </x:c>
      <x:c r="I884" s="16" t="n">
        <x:v>1.368</x:v>
      </x:c>
      <x:c r="J884" s="16" t="n">
        <x:v>1.82</x:v>
      </x:c>
      <x:c r="K884" s="11" t="n">
        <x:f>CHOOSE('假设'!$B$3,H884,I884,J884)</x:f>
        <x:v>1.368</x:v>
      </x:c>
      <x:c r="L884" s="11" t="n">
        <x:f>K884*'管线假设'!E207*'管线假设'!F207*'管线假设'!G207*IF(E884="USD",'管线假设'!I207,1)-AM884</x:f>
        <x:v>0.7367500799999998</x:v>
      </x:c>
      <x:c r="M884" s="11" t="n">
        <x:f>'管线假设'!H207</x:f>
        <x:v>0.125</x:v>
      </x:c>
      <x:c r="N884" s="11" t="n">
        <x:f>IF(G884,L884*AN884/(1+M884)^F884,0)</x:f>
        <x:v>0.1745283329686435</x:v>
      </x:c>
      <x:c r="AJ884" t="n">
        <x:v>0</x:v>
      </x:c>
      <x:c r="AK884" t="n">
        <x:v>0</x:v>
      </x:c>
      <x:c r="AL884" t="n">
        <x:v>0</x:v>
      </x:c>
      <x:c r="AM884" t="n">
        <x:f>CHOOSE('假设'!$B$3,AJ884,AK884,AL884)</x:f>
        <x:v>0</x:v>
      </x:c>
      <x:c r="AN884" t="n">
        <x:v>1</x:v>
      </x:c>
    </x:row>
    <x:row r="885" ht="23" customHeight="1">
      <x:c r="A885" s="11" t="str">
        <x:v>688192.SH</x:v>
      </x:c>
      <x:c r="B885" s="11" t="str">
        <x:v>一年</x:v>
      </x:c>
      <x:c r="C885" s="11" t="str">
        <x:v>goli_lung</x:v>
      </x:c>
      <x:c r="D885" s="11" t="str">
        <x:v>2040-12-31</x:v>
      </x:c>
      <x:c r="E885" s="11" t="str">
        <x:v>USD</x:v>
      </x:c>
      <x:c r="F885" s="11" t="n">
        <x:v>13.229295003422314</x:v>
      </x:c>
      <x:c r="G885" s="26" t="b">
        <x:v>1</x:v>
      </x:c>
      <x:c r="H885" s="16" t="n">
        <x:v>0.45599999999999996</x:v>
      </x:c>
      <x:c r="I885" s="16" t="n">
        <x:v>1.1520000000000001</x:v>
      </x:c>
      <x:c r="J885" s="16" t="n">
        <x:v>1.4000000000000001</x:v>
      </x:c>
      <x:c r="K885" s="11" t="n">
        <x:f>CHOOSE('假设'!$B$3,H885,I885,J885)</x:f>
        <x:v>1.1520000000000001</x:v>
      </x:c>
      <x:c r="L885" s="11" t="n">
        <x:f>K885*'管线假设'!E207*'管线假设'!F207*'管线假设'!G207*IF(E885="USD",'管线假设'!I207,1)-AM885</x:f>
        <x:v>0.6204211199999998</x:v>
      </x:c>
      <x:c r="M885" s="11" t="n">
        <x:f>'管线假设'!H207</x:f>
        <x:v>0.125</x:v>
      </x:c>
      <x:c r="N885" s="11" t="n">
        <x:f>IF(G885,L885*AN885/(1+M885)^F885,0)</x:f>
        <x:v>0.13060949905803504</x:v>
      </x:c>
      <x:c r="AJ885" t="n">
        <x:v>0</x:v>
      </x:c>
      <x:c r="AK885" t="n">
        <x:v>0</x:v>
      </x:c>
      <x:c r="AL885" t="n">
        <x:v>0</x:v>
      </x:c>
      <x:c r="AM885" t="n">
        <x:f>CHOOSE('假设'!$B$3,AJ885,AK885,AL885)</x:f>
        <x:v>0</x:v>
      </x:c>
      <x:c r="AN885" t="n">
        <x:v>1</x:v>
      </x:c>
    </x:row>
    <x:row r="886" ht="23" customHeight="1">
      <x:c r="A886" s="11" t="str">
        <x:v>688192.SH</x:v>
      </x:c>
      <x:c r="B886" s="11" t="str">
        <x:v>一年</x:v>
      </x:c>
      <x:c r="C886" s="11" t="str">
        <x:v>goli_lung</x:v>
      </x:c>
      <x:c r="D886" s="11" t="str">
        <x:v>2041-12-31</x:v>
      </x:c>
      <x:c r="E886" s="11" t="str">
        <x:v>USD</x:v>
      </x:c>
      <x:c r="F886" s="11" t="n">
        <x:v>14.22861054072553</x:v>
      </x:c>
      <x:c r="G886" s="26" t="b">
        <x:v>1</x:v>
      </x:c>
      <x:c r="H886" s="16" t="n">
        <x:v>0.384</x:v>
      </x:c>
      <x:c r="I886" s="16" t="n">
        <x:v>0.936</x:v>
      </x:c>
      <x:c r="J886" s="16" t="n">
        <x:v>0.9800000000000001</x:v>
      </x:c>
      <x:c r="K886" s="11" t="n">
        <x:f>CHOOSE('假设'!$B$3,H886,I886,J886)</x:f>
        <x:v>0.936</x:v>
      </x:c>
      <x:c r="L886" s="11" t="n">
        <x:f>K886*'管线假设'!E207*'管线假设'!F207*'管线假设'!G207*IF(E886="USD",'管线假设'!I207,1)-AM886</x:f>
        <x:v>0.5040921599999999</x:v>
      </x:c>
      <x:c r="M886" s="11" t="n">
        <x:f>'管线假设'!H207</x:f>
        <x:v>0.125</x:v>
      </x:c>
      <x:c r="N886" s="11" t="n">
        <x:f>IF(G886,L886*AN886/(1+M886)^F886,0)</x:f>
        <x:v>0.09433668759044206</x:v>
      </x:c>
      <x:c r="AJ886" t="n">
        <x:v>0</x:v>
      </x:c>
      <x:c r="AK886" t="n">
        <x:v>0</x:v>
      </x:c>
      <x:c r="AL886" t="n">
        <x:v>0</x:v>
      </x:c>
      <x:c r="AM886" t="n">
        <x:f>CHOOSE('假设'!$B$3,AJ886,AK886,AL886)</x:f>
        <x:v>0</x:v>
      </x:c>
      <x:c r="AN886" t="n">
        <x:v>1</x:v>
      </x:c>
    </x:row>
    <x:row r="887" ht="23" customHeight="1">
      <x:c r="A887" s="11" t="str">
        <x:v>688192.SH</x:v>
      </x:c>
      <x:c r="B887" s="11" t="str">
        <x:v>一年</x:v>
      </x:c>
      <x:c r="C887" s="11" t="str">
        <x:v>goli_lung</x:v>
      </x:c>
      <x:c r="D887" s="11" t="str">
        <x:v>2042-12-31</x:v>
      </x:c>
      <x:c r="E887" s="11" t="str">
        <x:v>USD</x:v>
      </x:c>
      <x:c r="F887" s="11" t="n">
        <x:v>15.227926078028748</x:v>
      </x:c>
      <x:c r="G887" s="26" t="b">
        <x:v>1</x:v>
      </x:c>
      <x:c r="H887" s="16" t="n">
        <x:v>0.312</x:v>
      </x:c>
      <x:c r="I887" s="16" t="n">
        <x:v>0.7200000000000001</x:v>
      </x:c>
      <x:c r="J887" s="16" t="n">
        <x:v>0.56</x:v>
      </x:c>
      <x:c r="K887" s="11" t="n">
        <x:f>CHOOSE('假设'!$B$3,H887,I887,J887)</x:f>
        <x:v>0.7200000000000001</x:v>
      </x:c>
      <x:c r="L887" s="11" t="n">
        <x:f>K887*'管线假设'!E207*'管线假设'!F207*'管线假设'!G207*IF(E887="USD",'管线假设'!I207,1)-AM887</x:f>
        <x:v>0.38776319999999986</x:v>
      </x:c>
      <x:c r="M887" s="11" t="n">
        <x:f>'管线假设'!H207</x:f>
        <x:v>0.125</x:v>
      </x:c>
      <x:c r="N887" s="11" t="n">
        <x:f>IF(G887,L887*AN887/(1+M887)^F887,0)</x:f>
        <x:v>0.06450891838699421</x:v>
      </x:c>
      <x:c r="AJ887" t="n">
        <x:v>0</x:v>
      </x:c>
      <x:c r="AK887" t="n">
        <x:v>0</x:v>
      </x:c>
      <x:c r="AL887" t="n">
        <x:v>0</x:v>
      </x:c>
      <x:c r="AM887" t="n">
        <x:f>CHOOSE('假设'!$B$3,AJ887,AK887,AL887)</x:f>
        <x:v>0</x:v>
      </x:c>
      <x:c r="AN887" t="n">
        <x:v>1</x:v>
      </x:c>
    </x:row>
    <x:row r="888" ht="23" customHeight="1">
      <x:c r="A888" s="11" t="str">
        <x:v>688192.SH</x:v>
      </x:c>
      <x:c r="B888" s="11" t="str">
        <x:v>一年</x:v>
      </x:c>
      <x:c r="C888" s="11" t="str">
        <x:v>goli_lung</x:v>
      </x:c>
      <x:c r="D888" s="11" t="str">
        <x:v>2043-12-31</x:v>
      </x:c>
      <x:c r="E888" s="11" t="str">
        <x:v>USD</x:v>
      </x:c>
      <x:c r="F888" s="11" t="n">
        <x:v>16.227241615331966</x:v>
      </x:c>
      <x:c r="G888" s="26" t="b">
        <x:v>1</x:v>
      </x:c>
      <x:c r="H888" s="16" t="n">
        <x:v>0.24</x:v>
      </x:c>
      <x:c r="I888" s="16" t="n">
        <x:v>0.5040000000000001</x:v>
      </x:c>
      <x:c r="J888" s="16" t="n">
        <x:v>0.14000000000000012</x:v>
      </x:c>
      <x:c r="K888" s="11" t="n">
        <x:f>CHOOSE('假设'!$B$3,H888,I888,J888)</x:f>
        <x:v>0.5040000000000001</x:v>
      </x:c>
      <x:c r="L888" s="11" t="n">
        <x:f>K888*'管线假设'!E207*'管线假设'!F207*'管线假设'!G207*IF(E888="USD",'管线假设'!I207,1)-AM888</x:f>
        <x:v>0.27143423999999994</x:v>
      </x:c>
      <x:c r="M888" s="11" t="n">
        <x:f>'管线假设'!H207</x:f>
        <x:v>0.125</x:v>
      </x:c>
      <x:c r="N888" s="11" t="n">
        <x:f>IF(G888,L888*AN888/(1+M888)^F888,0)</x:f>
        <x:v>0.040142118602563365</x:v>
      </x:c>
      <x:c r="AJ888" t="n">
        <x:v>0</x:v>
      </x:c>
      <x:c r="AK888" t="n">
        <x:v>0</x:v>
      </x:c>
      <x:c r="AL888" t="n">
        <x:v>0</x:v>
      </x:c>
      <x:c r="AM888" t="n">
        <x:f>CHOOSE('假设'!$B$3,AJ888,AK888,AL888)</x:f>
        <x:v>0</x:v>
      </x:c>
      <x:c r="AN888" t="n">
        <x:v>1</x:v>
      </x:c>
    </x:row>
    <x:row r="889" ht="23" customHeight="1">
      <x:c r="A889" s="11" t="str">
        <x:v>688192.SH</x:v>
      </x:c>
      <x:c r="B889" s="11" t="str">
        <x:v>一年</x:v>
      </x:c>
      <x:c r="C889" s="11" t="str">
        <x:v>goli_lung</x:v>
      </x:c>
      <x:c r="D889" s="11" t="str">
        <x:v>2044-12-31</x:v>
      </x:c>
      <x:c r="E889" s="11" t="str">
        <x:v>USD</x:v>
      </x:c>
      <x:c r="F889" s="11" t="n">
        <x:v>17.229295003422312</x:v>
      </x:c>
      <x:c r="G889" s="26" t="b">
        <x:v>1</x:v>
      </x:c>
      <x:c r="H889" s="16" t="n">
        <x:v>0.168</x:v>
      </x:c>
      <x:c r="I889" s="16" t="n">
        <x:v>0.2880000000000001</x:v>
      </x:c>
      <x:c r="J889" s="16" t="n">
        <x:v>0</x:v>
      </x:c>
      <x:c r="K889" s="11" t="n">
        <x:f>CHOOSE('假设'!$B$3,H889,I889,J889)</x:f>
        <x:v>0.2880000000000001</x:v>
      </x:c>
      <x:c r="L889" s="11" t="n">
        <x:f>K889*'管线假设'!E207*'管线假设'!F207*'管线假设'!G207*IF(E889="USD",'管线假设'!I207,1)-AM889</x:f>
        <x:v>0.15510527999999996</x:v>
      </x:c>
      <x:c r="M889" s="11" t="n">
        <x:f>'管线假设'!H207</x:f>
        <x:v>0.125</x:v>
      </x:c>
      <x:c r="N889" s="11" t="n">
        <x:f>IF(G889,L889*AN889/(1+M889)^F889,0)</x:f>
        <x:v>0.020384716816861444</x:v>
      </x:c>
      <x:c r="AJ889" t="n">
        <x:v>0</x:v>
      </x:c>
      <x:c r="AK889" t="n">
        <x:v>0</x:v>
      </x:c>
      <x:c r="AL889" t="n">
        <x:v>0</x:v>
      </x:c>
      <x:c r="AM889" t="n">
        <x:f>CHOOSE('假设'!$B$3,AJ889,AK889,AL889)</x:f>
        <x:v>0</x:v>
      </x:c>
      <x:c r="AN889" t="n">
        <x:v>1</x:v>
      </x:c>
    </x:row>
    <x:row r="890" ht="23" customHeight="1">
      <x:c r="A890" s="11" t="str">
        <x:v>688192.SH</x:v>
      </x:c>
      <x:c r="B890" s="11" t="str">
        <x:v>一年</x:v>
      </x:c>
      <x:c r="C890" s="11" t="str">
        <x:v>goli_lung</x:v>
      </x:c>
      <x:c r="D890" s="11" t="str">
        <x:v>2045-12-31</x:v>
      </x:c>
      <x:c r="E890" s="11" t="str">
        <x:v>USD</x:v>
      </x:c>
      <x:c r="F890" s="11" t="n">
        <x:v>18.22861054072553</x:v>
      </x:c>
      <x:c r="G890" s="26" t="b">
        <x:v>1</x:v>
      </x:c>
      <x:c r="H890" s="16" t="n">
        <x:v>0.09600000000000002</x:v>
      </x:c>
      <x:c r="I890" s="16" t="n">
        <x:v>0.07200000000000006</x:v>
      </x:c>
      <x:c r="J890" s="16" t="n">
        <x:v>0</x:v>
      </x:c>
      <x:c r="K890" s="11" t="n">
        <x:f>CHOOSE('假设'!$B$3,H890,I890,J890)</x:f>
        <x:v>0.07200000000000006</x:v>
      </x:c>
      <x:c r="L890" s="11" t="n">
        <x:f>K890*'管线假设'!E207*'管线假设'!F207*'管线假设'!G207*IF(E890="USD",'管线假设'!I207,1)-AM890</x:f>
        <x:v>0.038776320000000024</x:v>
      </x:c>
      <x:c r="M890" s="11" t="n">
        <x:f>'管线假设'!H207</x:f>
        <x:v>0.125</x:v>
      </x:c>
      <x:c r="N890" s="11" t="n">
        <x:f>IF(G890,L890*AN890/(1+M890)^F890,0)</x:f>
        <x:v>0.004530302280028268</x:v>
      </x:c>
      <x:c r="AJ890" t="n">
        <x:v>0</x:v>
      </x:c>
      <x:c r="AK890" t="n">
        <x:v>0</x:v>
      </x:c>
      <x:c r="AL890" t="n">
        <x:v>0</x:v>
      </x:c>
      <x:c r="AM890" t="n">
        <x:f>CHOOSE('假设'!$B$3,AJ890,AK890,AL890)</x:f>
        <x:v>0</x:v>
      </x:c>
      <x:c r="AN890" t="n">
        <x:v>1</x:v>
      </x:c>
    </x:row>
    <x:row r="891" ht="23" customHeight="1">
      <x:c r="A891" s="11" t="str">
        <x:v>688192.SH</x:v>
      </x:c>
      <x:c r="B891" s="11" t="str">
        <x:v>一年</x:v>
      </x:c>
      <x:c r="C891" s="11" t="str">
        <x:v>bire_cll</x:v>
      </x:c>
      <x:c r="D891" s="11" t="str">
        <x:v>2027-12-31</x:v>
      </x:c>
      <x:c r="E891" s="11" t="str">
        <x:v>USD</x:v>
      </x:c>
      <x:c r="F891" s="11" t="n">
        <x:v>0.2272416153319644</x:v>
      </x:c>
      <x:c r="G891" s="26" t="b">
        <x:v>1</x:v>
      </x:c>
      <x:c r="H891" s="16" t="n">
        <x:v>0</x:v>
      </x:c>
      <x:c r="I891" s="16" t="n">
        <x:v>0</x:v>
      </x:c>
      <x:c r="J891" s="16" t="n">
        <x:v>0</x:v>
      </x:c>
      <x:c r="K891" s="11" t="n">
        <x:f>CHOOSE('假设'!$B$3,H891,I891,J891)</x:f>
        <x:v>0</x:v>
      </x:c>
      <x:c r="L891" s="11" t="n">
        <x:f>K891*'管线假设'!E211*'管线假设'!F211*'管线假设'!G211*IF(E891="USD",'管线假设'!I211,1)-AM891</x:f>
        <x:v>0</x:v>
      </x:c>
      <x:c r="M891" s="11" t="n">
        <x:f>'管线假设'!H211</x:f>
        <x:v>0.125</x:v>
      </x:c>
      <x:c r="N891" s="11" t="n">
        <x:f>IF(G891,L891*AN891/(1+M891)^F891,0)</x:f>
        <x:v>0</x:v>
      </x:c>
      <x:c r="AJ891" t="n">
        <x:v>0</x:v>
      </x:c>
      <x:c r="AK891" t="n">
        <x:v>0</x:v>
      </x:c>
      <x:c r="AL891" t="n">
        <x:v>0</x:v>
      </x:c>
      <x:c r="AM891" t="n">
        <x:f>CHOOSE('假设'!$B$3,AJ891,AK891,AL891)</x:f>
        <x:v>0</x:v>
      </x:c>
      <x:c r="AN891" t="n">
        <x:v>1</x:v>
      </x:c>
    </x:row>
    <x:row r="892" ht="23" customHeight="1">
      <x:c r="A892" s="11" t="str">
        <x:v>688192.SH</x:v>
      </x:c>
      <x:c r="B892" s="11" t="str">
        <x:v>一年</x:v>
      </x:c>
      <x:c r="C892" s="11" t="str">
        <x:v>bire_cll</x:v>
      </x:c>
      <x:c r="D892" s="11" t="str">
        <x:v>2028-12-31</x:v>
      </x:c>
      <x:c r="E892" s="11" t="str">
        <x:v>USD</x:v>
      </x:c>
      <x:c r="F892" s="11" t="n">
        <x:v>1.2292950034223136</x:v>
      </x:c>
      <x:c r="G892" s="26" t="b">
        <x:v>1</x:v>
      </x:c>
      <x:c r="H892" s="16" t="n">
        <x:v>0</x:v>
      </x:c>
      <x:c r="I892" s="16" t="n">
        <x:v>0</x:v>
      </x:c>
      <x:c r="J892" s="16" t="n">
        <x:v>0</x:v>
      </x:c>
      <x:c r="K892" s="11" t="n">
        <x:f>CHOOSE('假设'!$B$3,H892,I892,J892)</x:f>
        <x:v>0</x:v>
      </x:c>
      <x:c r="L892" s="11" t="n">
        <x:f>K892*'管线假设'!E211*'管线假设'!F211*'管线假设'!G211*IF(E892="USD",'管线假设'!I211,1)-AM892</x:f>
        <x:v>0</x:v>
      </x:c>
      <x:c r="M892" s="11" t="n">
        <x:f>'管线假设'!H211</x:f>
        <x:v>0.125</x:v>
      </x:c>
      <x:c r="N892" s="11" t="n">
        <x:f>IF(G892,L892*AN892/(1+M892)^F892,0)</x:f>
        <x:v>0</x:v>
      </x:c>
      <x:c r="AJ892" t="n">
        <x:v>0</x:v>
      </x:c>
      <x:c r="AK892" t="n">
        <x:v>0</x:v>
      </x:c>
      <x:c r="AL892" t="n">
        <x:v>0</x:v>
      </x:c>
      <x:c r="AM892" t="n">
        <x:f>CHOOSE('假设'!$B$3,AJ892,AK892,AL892)</x:f>
        <x:v>0</x:v>
      </x:c>
      <x:c r="AN892" t="n">
        <x:v>1</x:v>
      </x:c>
    </x:row>
    <x:row r="893" ht="23" customHeight="1">
      <x:c r="A893" s="11" t="str">
        <x:v>688192.SH</x:v>
      </x:c>
      <x:c r="B893" s="11" t="str">
        <x:v>一年</x:v>
      </x:c>
      <x:c r="C893" s="11" t="str">
        <x:v>bire_cll</x:v>
      </x:c>
      <x:c r="D893" s="11" t="str">
        <x:v>2029-12-31</x:v>
      </x:c>
      <x:c r="E893" s="11" t="str">
        <x:v>USD</x:v>
      </x:c>
      <x:c r="F893" s="11" t="n">
        <x:v>2.2286105407255303</x:v>
      </x:c>
      <x:c r="G893" s="26" t="b">
        <x:v>1</x:v>
      </x:c>
      <x:c r="H893" s="16" t="n">
        <x:v>0</x:v>
      </x:c>
      <x:c r="I893" s="16" t="n">
        <x:v>0</x:v>
      </x:c>
      <x:c r="J893" s="16" t="n">
        <x:v>0.5333333333333333</x:v>
      </x:c>
      <x:c r="K893" s="11" t="n">
        <x:f>CHOOSE('假设'!$B$3,H893,I893,J893)</x:f>
        <x:v>0</x:v>
      </x:c>
      <x:c r="L893" s="11" t="n">
        <x:f>K893*'管线假设'!E211*'管线假设'!F211*'管线假设'!G211*IF(E893="USD",'管线假设'!I211,1)-AM893</x:f>
        <x:v>0</x:v>
      </x:c>
      <x:c r="M893" s="11" t="n">
        <x:f>'管线假设'!H211</x:f>
        <x:v>0.125</x:v>
      </x:c>
      <x:c r="N893" s="11" t="n">
        <x:f>IF(G893,L893*AN893/(1+M893)^F893,0)</x:f>
        <x:v>0</x:v>
      </x:c>
      <x:c r="AJ893" t="n">
        <x:v>0</x:v>
      </x:c>
      <x:c r="AK893" t="n">
        <x:v>0</x:v>
      </x:c>
      <x:c r="AL893" t="n">
        <x:v>0</x:v>
      </x:c>
      <x:c r="AM893" t="n">
        <x:f>CHOOSE('假设'!$B$3,AJ893,AK893,AL893)</x:f>
        <x:v>0</x:v>
      </x:c>
      <x:c r="AN893" t="n">
        <x:v>1</x:v>
      </x:c>
    </x:row>
    <x:row r="894" ht="23" customHeight="1">
      <x:c r="A894" s="11" t="str">
        <x:v>688192.SH</x:v>
      </x:c>
      <x:c r="B894" s="11" t="str">
        <x:v>一年</x:v>
      </x:c>
      <x:c r="C894" s="11" t="str">
        <x:v>bire_cll</x:v>
      </x:c>
      <x:c r="D894" s="11" t="str">
        <x:v>2030-12-31</x:v>
      </x:c>
      <x:c r="E894" s="11" t="str">
        <x:v>USD</x:v>
      </x:c>
      <x:c r="F894" s="11" t="n">
        <x:v>3.2279260780287475</x:v>
      </x:c>
      <x:c r="G894" s="26" t="b">
        <x:v>1</x:v>
      </x:c>
      <x:c r="H894" s="16" t="n">
        <x:v>0</x:v>
      </x:c>
      <x:c r="I894" s="16" t="n">
        <x:v>0.3</x:v>
      </x:c>
      <x:c r="J894" s="16" t="n">
        <x:v>1.0666666666666667</x:v>
      </x:c>
      <x:c r="K894" s="11" t="n">
        <x:f>CHOOSE('假设'!$B$3,H894,I894,J894)</x:f>
        <x:v>0.3</x:v>
      </x:c>
      <x:c r="L894" s="11" t="n">
        <x:f>K894*'管线假设'!E211*'管线假设'!F211*'管线假设'!G211*IF(E894="USD",'管线假设'!I211,1)-AM894</x:f>
        <x:v>0.34050047999999994</x:v>
      </x:c>
      <x:c r="M894" s="11" t="n">
        <x:f>'管线假设'!H211</x:f>
        <x:v>0.125</x:v>
      </x:c>
      <x:c r="N894" s="11" t="n">
        <x:f>IF(G894,L894*AN894/(1+M894)^F894,0)</x:f>
        <x:v>0.23280975151605585</x:v>
      </x:c>
      <x:c r="AJ894" t="n">
        <x:v>0</x:v>
      </x:c>
      <x:c r="AK894" t="n">
        <x:v>0</x:v>
      </x:c>
      <x:c r="AL894" t="n">
        <x:v>0</x:v>
      </x:c>
      <x:c r="AM894" t="n">
        <x:f>CHOOSE('假设'!$B$3,AJ894,AK894,AL894)</x:f>
        <x:v>0</x:v>
      </x:c>
      <x:c r="AN894" t="n">
        <x:v>1</x:v>
      </x:c>
    </x:row>
    <x:row r="895" ht="23" customHeight="1">
      <x:c r="A895" s="11" t="str">
        <x:v>688192.SH</x:v>
      </x:c>
      <x:c r="B895" s="11" t="str">
        <x:v>一年</x:v>
      </x:c>
      <x:c r="C895" s="11" t="str">
        <x:v>bire_cll</x:v>
      </x:c>
      <x:c r="D895" s="11" t="str">
        <x:v>2031-12-31</x:v>
      </x:c>
      <x:c r="E895" s="11" t="str">
        <x:v>USD</x:v>
      </x:c>
      <x:c r="F895" s="11" t="n">
        <x:v>4.227241615331964</x:v>
      </x:c>
      <x:c r="G895" s="26" t="b">
        <x:v>1</x:v>
      </x:c>
      <x:c r="H895" s="16" t="n">
        <x:v>0</x:v>
      </x:c>
      <x:c r="I895" s="16" t="n">
        <x:v>0.6</x:v>
      </x:c>
      <x:c r="J895" s="16" t="n">
        <x:v>1.6</x:v>
      </x:c>
      <x:c r="K895" s="11" t="n">
        <x:f>CHOOSE('假设'!$B$3,H895,I895,J895)</x:f>
        <x:v>0.6</x:v>
      </x:c>
      <x:c r="L895" s="11" t="n">
        <x:f>K895*'管线假设'!E211*'管线假设'!F211*'管线假设'!G211*IF(E895="USD",'管线假设'!I211,1)-AM895</x:f>
        <x:v>0.6810009599999999</x:v>
      </x:c>
      <x:c r="M895" s="11" t="n">
        <x:f>'管线假设'!H211</x:f>
        <x:v>0.125</x:v>
      </x:c>
      <x:c r="N895" s="11" t="n">
        <x:f>IF(G895,L895*AN895/(1+M895)^F895,0)</x:f>
        <x:v>0.4139173705797457</x:v>
      </x:c>
      <x:c r="AJ895" t="n">
        <x:v>0</x:v>
      </x:c>
      <x:c r="AK895" t="n">
        <x:v>0</x:v>
      </x:c>
      <x:c r="AL895" t="n">
        <x:v>0</x:v>
      </x:c>
      <x:c r="AM895" t="n">
        <x:f>CHOOSE('假设'!$B$3,AJ895,AK895,AL895)</x:f>
        <x:v>0</x:v>
      </x:c>
      <x:c r="AN895" t="n">
        <x:v>1</x:v>
      </x:c>
    </x:row>
    <x:row r="896" ht="23" customHeight="1">
      <x:c r="A896" s="11" t="str">
        <x:v>688192.SH</x:v>
      </x:c>
      <x:c r="B896" s="11" t="str">
        <x:v>一年</x:v>
      </x:c>
      <x:c r="C896" s="11" t="str">
        <x:v>bire_cll</x:v>
      </x:c>
      <x:c r="D896" s="11" t="str">
        <x:v>2032-12-31</x:v>
      </x:c>
      <x:c r="E896" s="11" t="str">
        <x:v>USD</x:v>
      </x:c>
      <x:c r="F896" s="11" t="n">
        <x:v>5.229295003422314</x:v>
      </x:c>
      <x:c r="G896" s="26" t="b">
        <x:v>1</x:v>
      </x:c>
      <x:c r="H896" s="16" t="n">
        <x:v>0.13999999999999999</x:v>
      </x:c>
      <x:c r="I896" s="16" t="n">
        <x:v>0.9</x:v>
      </x:c>
      <x:c r="J896" s="16" t="n">
        <x:v>2.1333333333333333</x:v>
      </x:c>
      <x:c r="K896" s="11" t="n">
        <x:f>CHOOSE('假设'!$B$3,H896,I896,J896)</x:f>
        <x:v>0.9</x:v>
      </x:c>
      <x:c r="L896" s="11" t="n">
        <x:f>K896*'管线假设'!E211*'管线假设'!F211*'管线假设'!G211*IF(E896="USD",'管线假设'!I211,1)-AM896</x:f>
        <x:v>1.02150144</x:v>
      </x:c>
      <x:c r="M896" s="11" t="n">
        <x:f>'管线假设'!H211</x:f>
        <x:v>0.125</x:v>
      </x:c>
      <x:c r="N896" s="11" t="n">
        <x:f>IF(G896,L896*AN896/(1+M896)^F896,0)</x:f>
        <x:v>0.5517563666610181</x:v>
      </x:c>
      <x:c r="AJ896" t="n">
        <x:v>0</x:v>
      </x:c>
      <x:c r="AK896" t="n">
        <x:v>0</x:v>
      </x:c>
      <x:c r="AL896" t="n">
        <x:v>0</x:v>
      </x:c>
      <x:c r="AM896" t="n">
        <x:f>CHOOSE('假设'!$B$3,AJ896,AK896,AL896)</x:f>
        <x:v>0</x:v>
      </x:c>
      <x:c r="AN896" t="n">
        <x:v>1</x:v>
      </x:c>
    </x:row>
    <x:row r="897" ht="23" customHeight="1">
      <x:c r="A897" s="11" t="str">
        <x:v>688192.SH</x:v>
      </x:c>
      <x:c r="B897" s="11" t="str">
        <x:v>一年</x:v>
      </x:c>
      <x:c r="C897" s="11" t="str">
        <x:v>bire_cll</x:v>
      </x:c>
      <x:c r="D897" s="11" t="str">
        <x:v>2033-12-31</x:v>
      </x:c>
      <x:c r="E897" s="11" t="str">
        <x:v>USD</x:v>
      </x:c>
      <x:c r="F897" s="11" t="n">
        <x:v>6.228610540725531</x:v>
      </x:c>
      <x:c r="G897" s="26" t="b">
        <x:v>1</x:v>
      </x:c>
      <x:c r="H897" s="16" t="n">
        <x:v>0.27999999999999997</x:v>
      </x:c>
      <x:c r="I897" s="16" t="n">
        <x:v>1.2</x:v>
      </x:c>
      <x:c r="J897" s="16" t="n">
        <x:v>2.666666666666667</x:v>
      </x:c>
      <x:c r="K897" s="11" t="n">
        <x:f>CHOOSE('假设'!$B$3,H897,I897,J897)</x:f>
        <x:v>1.2</x:v>
      </x:c>
      <x:c r="L897" s="11" t="n">
        <x:f>K897*'管线假设'!E211*'管线假设'!F211*'管线假设'!G211*IF(E897="USD",'管线假设'!I211,1)-AM897</x:f>
        <x:v>1.3620019199999998</x:v>
      </x:c>
      <x:c r="M897" s="11" t="n">
        <x:f>'管线假设'!H211</x:f>
        <x:v>0.125</x:v>
      </x:c>
      <x:c r="N897" s="11" t="n">
        <x:f>IF(G897,L897*AN897/(1+M897)^F897,0)</x:f>
        <x:v>0.6539861925935755</x:v>
      </x:c>
      <x:c r="AJ897" t="n">
        <x:v>0</x:v>
      </x:c>
      <x:c r="AK897" t="n">
        <x:v>0</x:v>
      </x:c>
      <x:c r="AL897" t="n">
        <x:v>0</x:v>
      </x:c>
      <x:c r="AM897" t="n">
        <x:f>CHOOSE('假设'!$B$3,AJ897,AK897,AL897)</x:f>
        <x:v>0</x:v>
      </x:c>
      <x:c r="AN897" t="n">
        <x:v>1</x:v>
      </x:c>
    </x:row>
    <x:row r="898" ht="23" customHeight="1">
      <x:c r="A898" s="11" t="str">
        <x:v>688192.SH</x:v>
      </x:c>
      <x:c r="B898" s="11" t="str">
        <x:v>一年</x:v>
      </x:c>
      <x:c r="C898" s="11" t="str">
        <x:v>bire_cll</x:v>
      </x:c>
      <x:c r="D898" s="11" t="str">
        <x:v>2034-12-31</x:v>
      </x:c>
      <x:c r="E898" s="11" t="str">
        <x:v>USD</x:v>
      </x:c>
      <x:c r="F898" s="11" t="n">
        <x:v>7.227926078028747</x:v>
      </x:c>
      <x:c r="G898" s="26" t="b">
        <x:v>1</x:v>
      </x:c>
      <x:c r="H898" s="16" t="n">
        <x:v>0.42</x:v>
      </x:c>
      <x:c r="I898" s="16" t="n">
        <x:v>1.5</x:v>
      </x:c>
      <x:c r="J898" s="16" t="n">
        <x:v>3.2</x:v>
      </x:c>
      <x:c r="K898" s="11" t="n">
        <x:f>CHOOSE('假设'!$B$3,H898,I898,J898)</x:f>
        <x:v>1.5</x:v>
      </x:c>
      <x:c r="L898" s="11" t="n">
        <x:f>K898*'管线假设'!E211*'管线假设'!F211*'管线假设'!G211*IF(E898="USD",'管线假设'!I211,1)-AM898</x:f>
        <x:v>1.7025023999999997</x:v>
      </x:c>
      <x:c r="M898" s="11" t="n">
        <x:f>'管线假设'!H211</x:f>
        <x:v>0.125</x:v>
      </x:c>
      <x:c r="N898" s="11" t="n">
        <x:f>IF(G898,L898*AN898/(1+M898)^F898,0)</x:f>
        <x:v>0.7267099087103832</x:v>
      </x:c>
      <x:c r="AJ898" t="n">
        <x:v>0</x:v>
      </x:c>
      <x:c r="AK898" t="n">
        <x:v>0</x:v>
      </x:c>
      <x:c r="AL898" t="n">
        <x:v>0</x:v>
      </x:c>
      <x:c r="AM898" t="n">
        <x:f>CHOOSE('假设'!$B$3,AJ898,AK898,AL898)</x:f>
        <x:v>0</x:v>
      </x:c>
      <x:c r="AN898" t="n">
        <x:v>1</x:v>
      </x:c>
    </x:row>
    <x:row r="899" ht="23" customHeight="1">
      <x:c r="A899" s="11" t="str">
        <x:v>688192.SH</x:v>
      </x:c>
      <x:c r="B899" s="11" t="str">
        <x:v>一年</x:v>
      </x:c>
      <x:c r="C899" s="11" t="str">
        <x:v>bire_cll</x:v>
      </x:c>
      <x:c r="D899" s="11" t="str">
        <x:v>2035-12-31</x:v>
      </x:c>
      <x:c r="E899" s="11" t="str">
        <x:v>USD</x:v>
      </x:c>
      <x:c r="F899" s="11" t="n">
        <x:v>8.227241615331964</x:v>
      </x:c>
      <x:c r="G899" s="26" t="b">
        <x:v>1</x:v>
      </x:c>
      <x:c r="H899" s="16" t="n">
        <x:v>0.5599999999999999</x:v>
      </x:c>
      <x:c r="I899" s="16" t="n">
        <x:v>1.8</x:v>
      </x:c>
      <x:c r="J899" s="16" t="n">
        <x:v>2.8160000000000003</x:v>
      </x:c>
      <x:c r="K899" s="11" t="n">
        <x:f>CHOOSE('假设'!$B$3,H899,I899,J899)</x:f>
        <x:v>1.8</x:v>
      </x:c>
      <x:c r="L899" s="11" t="n">
        <x:f>K899*'管线假设'!E211*'管线假设'!F211*'管线假设'!G211*IF(E899="USD",'管线假设'!I211,1)-AM899</x:f>
        <x:v>2.04300288</x:v>
      </x:c>
      <x:c r="M899" s="11" t="n">
        <x:f>'管线假设'!H211</x:f>
        <x:v>0.125</x:v>
      </x:c>
      <x:c r="N899" s="11" t="n">
        <x:f>IF(G899,L899*AN899/(1+M899)^F899,0)</x:f>
        <x:v>0.775219730175875</x:v>
      </x:c>
      <x:c r="AJ899" t="n">
        <x:v>0</x:v>
      </x:c>
      <x:c r="AK899" t="n">
        <x:v>0</x:v>
      </x:c>
      <x:c r="AL899" t="n">
        <x:v>0</x:v>
      </x:c>
      <x:c r="AM899" t="n">
        <x:f>CHOOSE('假设'!$B$3,AJ899,AK899,AL899)</x:f>
        <x:v>0</x:v>
      </x:c>
      <x:c r="AN899" t="n">
        <x:v>1</x:v>
      </x:c>
    </x:row>
    <x:row r="900" ht="23" customHeight="1">
      <x:c r="A900" s="11" t="str">
        <x:v>688192.SH</x:v>
      </x:c>
      <x:c r="B900" s="11" t="str">
        <x:v>一年</x:v>
      </x:c>
      <x:c r="C900" s="11" t="str">
        <x:v>bire_cll</x:v>
      </x:c>
      <x:c r="D900" s="11" t="str">
        <x:v>2036-12-31</x:v>
      </x:c>
      <x:c r="E900" s="11" t="str">
        <x:v>USD</x:v>
      </x:c>
      <x:c r="F900" s="11" t="n">
        <x:v>9.229295003422314</x:v>
      </x:c>
      <x:c r="G900" s="26" t="b">
        <x:v>1</x:v>
      </x:c>
      <x:c r="H900" s="16" t="n">
        <x:v>0.7</x:v>
      </x:c>
      <x:c r="I900" s="16" t="n">
        <x:v>1.584</x:v>
      </x:c>
      <x:c r="J900" s="16" t="n">
        <x:v>2.4320000000000004</x:v>
      </x:c>
      <x:c r="K900" s="11" t="n">
        <x:f>CHOOSE('假设'!$B$3,H900,I900,J900)</x:f>
        <x:v>1.584</x:v>
      </x:c>
      <x:c r="L900" s="11" t="n">
        <x:f>K900*'管线假设'!E211*'管线假设'!F211*'管线假设'!G211*IF(E900="USD",'管线假设'!I211,1)-AM900</x:f>
        <x:v>1.7978425344000002</x:v>
      </x:c>
      <x:c r="M900" s="11" t="n">
        <x:f>'管线假设'!H211</x:f>
        <x:v>0.125</x:v>
      </x:c>
      <x:c r="N900" s="11" t="n">
        <x:f>IF(G900,L900*AN900/(1+M900)^F900,0)</x:f>
        <x:v>0.606247458772232</x:v>
      </x:c>
      <x:c r="AJ900" t="n">
        <x:v>0</x:v>
      </x:c>
      <x:c r="AK900" t="n">
        <x:v>0</x:v>
      </x:c>
      <x:c r="AL900" t="n">
        <x:v>0</x:v>
      </x:c>
      <x:c r="AM900" t="n">
        <x:f>CHOOSE('假设'!$B$3,AJ900,AK900,AL900)</x:f>
        <x:v>0</x:v>
      </x:c>
      <x:c r="AN900" t="n">
        <x:v>1</x:v>
      </x:c>
    </x:row>
    <x:row r="901" ht="23" customHeight="1">
      <x:c r="A901" s="11" t="str">
        <x:v>688192.SH</x:v>
      </x:c>
      <x:c r="B901" s="11" t="str">
        <x:v>一年</x:v>
      </x:c>
      <x:c r="C901" s="11" t="str">
        <x:v>bire_cll</x:v>
      </x:c>
      <x:c r="D901" s="11" t="str">
        <x:v>2037-12-31</x:v>
      </x:c>
      <x:c r="E901" s="11" t="str">
        <x:v>USD</x:v>
      </x:c>
      <x:c r="F901" s="11" t="n">
        <x:v>10.22861054072553</x:v>
      </x:c>
      <x:c r="G901" s="26" t="b">
        <x:v>1</x:v>
      </x:c>
      <x:c r="H901" s="16" t="n">
        <x:v>0.616</x:v>
      </x:c>
      <x:c r="I901" s="16" t="n">
        <x:v>1.368</x:v>
      </x:c>
      <x:c r="J901" s="16" t="n">
        <x:v>2.048</x:v>
      </x:c>
      <x:c r="K901" s="11" t="n">
        <x:f>CHOOSE('假设'!$B$3,H901,I901,J901)</x:f>
        <x:v>1.368</x:v>
      </x:c>
      <x:c r="L901" s="11" t="n">
        <x:f>K901*'管线假设'!E211*'管线假设'!F211*'管线假设'!G211*IF(E901="USD",'管线假设'!I211,1)-AM901</x:f>
        <x:v>1.5526821888</x:v>
      </x:c>
      <x:c r="M901" s="11" t="n">
        <x:f>'管线假设'!H211</x:f>
        <x:v>0.125</x:v>
      </x:c>
      <x:c r="N901" s="11" t="n">
        <x:f>IF(G901,L901*AN901/(1+M901)^F901,0)</x:f>
        <x:v>0.4654396109044575</x:v>
      </x:c>
      <x:c r="AJ901" t="n">
        <x:v>0</x:v>
      </x:c>
      <x:c r="AK901" t="n">
        <x:v>0</x:v>
      </x:c>
      <x:c r="AL901" t="n">
        <x:v>0</x:v>
      </x:c>
      <x:c r="AM901" t="n">
        <x:f>CHOOSE('假设'!$B$3,AJ901,AK901,AL901)</x:f>
        <x:v>0</x:v>
      </x:c>
      <x:c r="AN901" t="n">
        <x:v>1</x:v>
      </x:c>
    </x:row>
    <x:row r="902" ht="23" customHeight="1">
      <x:c r="A902" s="11" t="str">
        <x:v>688192.SH</x:v>
      </x:c>
      <x:c r="B902" s="11" t="str">
        <x:v>一年</x:v>
      </x:c>
      <x:c r="C902" s="11" t="str">
        <x:v>bire_cll</x:v>
      </x:c>
      <x:c r="D902" s="11" t="str">
        <x:v>2038-12-31</x:v>
      </x:c>
      <x:c r="E902" s="11" t="str">
        <x:v>USD</x:v>
      </x:c>
      <x:c r="F902" s="11" t="n">
        <x:v>11.227926078028748</x:v>
      </x:c>
      <x:c r="G902" s="26" t="b">
        <x:v>1</x:v>
      </x:c>
      <x:c r="H902" s="16" t="n">
        <x:v>0.5319999999999999</x:v>
      </x:c>
      <x:c r="I902" s="16" t="n">
        <x:v>1.1520000000000001</x:v>
      </x:c>
      <x:c r="J902" s="16" t="n">
        <x:v>1.6640000000000001</x:v>
      </x:c>
      <x:c r="K902" s="11" t="n">
        <x:f>CHOOSE('假设'!$B$3,H902,I902,J902)</x:f>
        <x:v>1.1520000000000001</x:v>
      </x:c>
      <x:c r="L902" s="11" t="n">
        <x:f>K902*'管线假设'!E211*'管线假设'!F211*'管线假设'!G211*IF(E902="USD",'管线假设'!I211,1)-AM902</x:f>
        <x:v>1.3075218432</x:v>
      </x:c>
      <x:c r="M902" s="11" t="n">
        <x:f>'管线假设'!H211</x:f>
        <x:v>0.125</x:v>
      </x:c>
      <x:c r="N902" s="11" t="n">
        <x:f>IF(G902,L902*AN902/(1+M902)^F902,0)</x:f>
        <x:v>0.3484273293259711</x:v>
      </x:c>
      <x:c r="AJ902" t="n">
        <x:v>0</x:v>
      </x:c>
      <x:c r="AK902" t="n">
        <x:v>0</x:v>
      </x:c>
      <x:c r="AL902" t="n">
        <x:v>0</x:v>
      </x:c>
      <x:c r="AM902" t="n">
        <x:f>CHOOSE('假设'!$B$3,AJ902,AK902,AL902)</x:f>
        <x:v>0</x:v>
      </x:c>
      <x:c r="AN902" t="n">
        <x:v>1</x:v>
      </x:c>
    </x:row>
    <x:row r="903" ht="23" customHeight="1">
      <x:c r="A903" s="11" t="str">
        <x:v>688192.SH</x:v>
      </x:c>
      <x:c r="B903" s="11" t="str">
        <x:v>一年</x:v>
      </x:c>
      <x:c r="C903" s="11" t="str">
        <x:v>bire_cll</x:v>
      </x:c>
      <x:c r="D903" s="11" t="str">
        <x:v>2039-12-31</x:v>
      </x:c>
      <x:c r="E903" s="11" t="str">
        <x:v>USD</x:v>
      </x:c>
      <x:c r="F903" s="11" t="n">
        <x:v>12.227241615331964</x:v>
      </x:c>
      <x:c r="G903" s="26" t="b">
        <x:v>1</x:v>
      </x:c>
      <x:c r="H903" s="16" t="n">
        <x:v>0.44799999999999995</x:v>
      </x:c>
      <x:c r="I903" s="16" t="n">
        <x:v>0.936</x:v>
      </x:c>
      <x:c r="J903" s="16" t="n">
        <x:v>1.2800000000000002</x:v>
      </x:c>
      <x:c r="K903" s="11" t="n">
        <x:f>CHOOSE('假设'!$B$3,H903,I903,J903)</x:f>
        <x:v>0.936</x:v>
      </x:c>
      <x:c r="L903" s="11" t="n">
        <x:f>K903*'管线假设'!E211*'管线假设'!F211*'管线假设'!G211*IF(E903="USD",'管线假设'!I211,1)-AM903</x:f>
        <x:v>1.0623614976</x:v>
      </x:c>
      <x:c r="M903" s="11" t="n">
        <x:f>'管线假设'!H211</x:f>
        <x:v>0.125</x:v>
      </x:c>
      <x:c r="N903" s="11" t="n">
        <x:f>IF(G903,L903*AN903/(1+M903)^F903,0)</x:f>
        <x:v>0.25166224778177104</x:v>
      </x:c>
      <x:c r="AJ903" t="n">
        <x:v>0</x:v>
      </x:c>
      <x:c r="AK903" t="n">
        <x:v>0</x:v>
      </x:c>
      <x:c r="AL903" t="n">
        <x:v>0</x:v>
      </x:c>
      <x:c r="AM903" t="n">
        <x:f>CHOOSE('假设'!$B$3,AJ903,AK903,AL903)</x:f>
        <x:v>0</x:v>
      </x:c>
      <x:c r="AN903" t="n">
        <x:v>1</x:v>
      </x:c>
    </x:row>
    <x:row r="904" ht="23" customHeight="1">
      <x:c r="A904" s="11" t="str">
        <x:v>688192.SH</x:v>
      </x:c>
      <x:c r="B904" s="11" t="str">
        <x:v>一年</x:v>
      </x:c>
      <x:c r="C904" s="11" t="str">
        <x:v>bire_cll</x:v>
      </x:c>
      <x:c r="D904" s="11" t="str">
        <x:v>2040-12-31</x:v>
      </x:c>
      <x:c r="E904" s="11" t="str">
        <x:v>USD</x:v>
      </x:c>
      <x:c r="F904" s="11" t="n">
        <x:v>13.229295003422314</x:v>
      </x:c>
      <x:c r="G904" s="26" t="b">
        <x:v>1</x:v>
      </x:c>
      <x:c r="H904" s="16" t="n">
        <x:v>0.364</x:v>
      </x:c>
      <x:c r="I904" s="16" t="n">
        <x:v>0.7200000000000001</x:v>
      </x:c>
      <x:c r="J904" s="16" t="n">
        <x:v>0.8960000000000001</x:v>
      </x:c>
      <x:c r="K904" s="11" t="n">
        <x:f>CHOOSE('假设'!$B$3,H904,I904,J904)</x:f>
        <x:v>0.7200000000000001</x:v>
      </x:c>
      <x:c r="L904" s="11" t="n">
        <x:f>K904*'管线假设'!E211*'管线假设'!F211*'管线假设'!G211*IF(E904="USD",'管线假设'!I211,1)-AM904</x:f>
        <x:v>0.817201152</x:v>
      </x:c>
      <x:c r="M904" s="11" t="n">
        <x:f>'管线假设'!H211</x:f>
        <x:v>0.125</x:v>
      </x:c>
      <x:c r="N904" s="11" t="n">
        <x:f>IF(G904,L904*AN904/(1+M904)^F904,0)</x:f>
        <x:v>0.17203513815320984</x:v>
      </x:c>
      <x:c r="AJ904" t="n">
        <x:v>0</x:v>
      </x:c>
      <x:c r="AK904" t="n">
        <x:v>0</x:v>
      </x:c>
      <x:c r="AL904" t="n">
        <x:v>0</x:v>
      </x:c>
      <x:c r="AM904" t="n">
        <x:f>CHOOSE('假设'!$B$3,AJ904,AK904,AL904)</x:f>
        <x:v>0</x:v>
      </x:c>
      <x:c r="AN904" t="n">
        <x:v>1</x:v>
      </x:c>
    </x:row>
    <x:row r="905" ht="23" customHeight="1">
      <x:c r="A905" s="11" t="str">
        <x:v>688192.SH</x:v>
      </x:c>
      <x:c r="B905" s="11" t="str">
        <x:v>一年</x:v>
      </x:c>
      <x:c r="C905" s="11" t="str">
        <x:v>bire_cll</x:v>
      </x:c>
      <x:c r="D905" s="11" t="str">
        <x:v>2041-12-31</x:v>
      </x:c>
      <x:c r="E905" s="11" t="str">
        <x:v>USD</x:v>
      </x:c>
      <x:c r="F905" s="11" t="n">
        <x:v>14.22861054072553</x:v>
      </x:c>
      <x:c r="G905" s="26" t="b">
        <x:v>1</x:v>
      </x:c>
      <x:c r="H905" s="16" t="n">
        <x:v>0.27999999999999997</x:v>
      </x:c>
      <x:c r="I905" s="16" t="n">
        <x:v>0.5040000000000001</x:v>
      </x:c>
      <x:c r="J905" s="16" t="n">
        <x:v>0.5120000000000001</x:v>
      </x:c>
      <x:c r="K905" s="11" t="n">
        <x:f>CHOOSE('假设'!$B$3,H905,I905,J905)</x:f>
        <x:v>0.5040000000000001</x:v>
      </x:c>
      <x:c r="L905" s="11" t="n">
        <x:f>K905*'管线假设'!E211*'管线假设'!F211*'管线假设'!G211*IF(E905="USD",'管线假设'!I211,1)-AM905</x:f>
        <x:v>0.5720408064000001</x:v>
      </x:c>
      <x:c r="M905" s="11" t="n">
        <x:f>'管线假设'!H211</x:f>
        <x:v>0.125</x:v>
      </x:c>
      <x:c r="N905" s="11" t="n">
        <x:f>IF(G905,L905*AN905/(1+M905)^F905,0)</x:f>
        <x:v>0.10705271600006905</x:v>
      </x:c>
      <x:c r="AJ905" t="n">
        <x:v>0</x:v>
      </x:c>
      <x:c r="AK905" t="n">
        <x:v>0</x:v>
      </x:c>
      <x:c r="AL905" t="n">
        <x:v>0</x:v>
      </x:c>
      <x:c r="AM905" t="n">
        <x:f>CHOOSE('假设'!$B$3,AJ905,AK905,AL905)</x:f>
        <x:v>0</x:v>
      </x:c>
      <x:c r="AN905" t="n">
        <x:v>1</x:v>
      </x:c>
    </x:row>
    <x:row r="906" ht="23" customHeight="1">
      <x:c r="A906" s="11" t="str">
        <x:v>688192.SH</x:v>
      </x:c>
      <x:c r="B906" s="11" t="str">
        <x:v>一年</x:v>
      </x:c>
      <x:c r="C906" s="11" t="str">
        <x:v>bire_cll</x:v>
      </x:c>
      <x:c r="D906" s="11" t="str">
        <x:v>2042-12-31</x:v>
      </x:c>
      <x:c r="E906" s="11" t="str">
        <x:v>USD</x:v>
      </x:c>
      <x:c r="F906" s="11" t="n">
        <x:v>15.227926078028748</x:v>
      </x:c>
      <x:c r="G906" s="26" t="b">
        <x:v>1</x:v>
      </x:c>
      <x:c r="H906" s="16" t="n">
        <x:v>0.196</x:v>
      </x:c>
      <x:c r="I906" s="16" t="n">
        <x:v>0.2880000000000001</x:v>
      </x:c>
      <x:c r="J906" s="16" t="n">
        <x:v>0.1280000000000001</x:v>
      </x:c>
      <x:c r="K906" s="11" t="n">
        <x:f>CHOOSE('假设'!$B$3,H906,I906,J906)</x:f>
        <x:v>0.2880000000000001</x:v>
      </x:c>
      <x:c r="L906" s="11" t="n">
        <x:f>K906*'管线假设'!E211*'管线假设'!F211*'管线假设'!G211*IF(E906="USD",'管线假设'!I211,1)-AM906</x:f>
        <x:v>0.3268804608000001</x:v>
      </x:c>
      <x:c r="M906" s="11" t="n">
        <x:f>'管线假设'!H211</x:f>
        <x:v>0.125</x:v>
      </x:c>
      <x:c r="N906" s="11" t="n">
        <x:f>IF(G906,L906*AN906/(1+M906)^F906,0)</x:f>
        <x:v>0.05438036659499993</x:v>
      </x:c>
      <x:c r="AJ906" t="n">
        <x:v>0</x:v>
      </x:c>
      <x:c r="AK906" t="n">
        <x:v>0</x:v>
      </x:c>
      <x:c r="AL906" t="n">
        <x:v>0</x:v>
      </x:c>
      <x:c r="AM906" t="n">
        <x:f>CHOOSE('假设'!$B$3,AJ906,AK906,AL906)</x:f>
        <x:v>0</x:v>
      </x:c>
      <x:c r="AN906" t="n">
        <x:v>1</x:v>
      </x:c>
    </x:row>
    <x:row r="907" ht="23" customHeight="1">
      <x:c r="A907" s="11" t="str">
        <x:v>688192.SH</x:v>
      </x:c>
      <x:c r="B907" s="11" t="str">
        <x:v>一年</x:v>
      </x:c>
      <x:c r="C907" s="11" t="str">
        <x:v>bire_cll</x:v>
      </x:c>
      <x:c r="D907" s="11" t="str">
        <x:v>2043-12-31</x:v>
      </x:c>
      <x:c r="E907" s="11" t="str">
        <x:v>USD</x:v>
      </x:c>
      <x:c r="F907" s="11" t="n">
        <x:v>16.227241615331966</x:v>
      </x:c>
      <x:c r="G907" s="26" t="b">
        <x:v>1</x:v>
      </x:c>
      <x:c r="H907" s="16" t="n">
        <x:v>0.11200000000000002</x:v>
      </x:c>
      <x:c r="I907" s="16" t="n">
        <x:v>0.07200000000000006</x:v>
      </x:c>
      <x:c r="J907" s="16" t="n">
        <x:v>0</x:v>
      </x:c>
      <x:c r="K907" s="11" t="n">
        <x:f>CHOOSE('假设'!$B$3,H907,I907,J907)</x:f>
        <x:v>0.07200000000000006</x:v>
      </x:c>
      <x:c r="L907" s="11" t="n">
        <x:f>K907*'管线假设'!E211*'管线假设'!F211*'管线假设'!G211*IF(E907="USD",'管线假设'!I211,1)-AM907</x:f>
        <x:v>0.08172011520000007</x:v>
      </x:c>
      <x:c r="M907" s="11" t="n">
        <x:f>'管线假设'!H211</x:f>
        <x:v>0.125</x:v>
      </x:c>
      <x:c r="N907" s="11" t="n">
        <x:f>IF(G907,L907*AN907/(1+M907)^F907,0)</x:f>
        <x:v>0.012085500180719811</x:v>
      </x:c>
      <x:c r="AJ907" t="n">
        <x:v>0</x:v>
      </x:c>
      <x:c r="AK907" t="n">
        <x:v>0</x:v>
      </x:c>
      <x:c r="AL907" t="n">
        <x:v>0</x:v>
      </x:c>
      <x:c r="AM907" t="n">
        <x:f>CHOOSE('假设'!$B$3,AJ907,AK907,AL907)</x:f>
        <x:v>0</x:v>
      </x:c>
      <x:c r="AN907" t="n">
        <x:v>1</x:v>
      </x:c>
    </x:row>
    <x:row r="908" ht="23" customHeight="1">
      <x:c r="A908" s="11" t="str">
        <x:v>688192.SH</x:v>
      </x:c>
      <x:c r="B908" s="11" t="str">
        <x:v>一年</x:v>
      </x:c>
      <x:c r="C908" s="11" t="str">
        <x:v>bire_cll</x:v>
      </x:c>
      <x:c r="D908" s="11" t="str">
        <x:v>2044-12-31</x:v>
      </x:c>
      <x:c r="E908" s="11" t="str">
        <x:v>USD</x:v>
      </x:c>
      <x:c r="F908" s="11" t="n">
        <x:v>17.229295003422312</x:v>
      </x:c>
      <x:c r="G908" s="26" t="b">
        <x:v>1</x:v>
      </x:c>
      <x:c r="H908" s="16" t="n">
        <x:v>0.02800000000000002</x:v>
      </x:c>
      <x:c r="I908" s="16" t="n">
        <x:v>0</x:v>
      </x:c>
      <x:c r="J908" s="16" t="n">
        <x:v>0</x:v>
      </x:c>
      <x:c r="K908" s="11" t="n">
        <x:f>CHOOSE('假设'!$B$3,H908,I908,J908)</x:f>
        <x:v>0</x:v>
      </x:c>
      <x:c r="L908" s="11" t="n">
        <x:f>K908*'管线假设'!E211*'管线假设'!F211*'管线假设'!G211*IF(E908="USD",'管线假设'!I211,1)-AM908</x:f>
        <x:v>0</x:v>
      </x:c>
      <x:c r="M908" s="11" t="n">
        <x:f>'管线假设'!H211</x:f>
        <x:v>0.125</x:v>
      </x:c>
      <x:c r="N908" s="11" t="n">
        <x:f>IF(G908,L908*AN908/(1+M908)^F908,0)</x:f>
        <x:v>0</x:v>
      </x:c>
      <x:c r="AJ908" t="n">
        <x:v>0</x:v>
      </x:c>
      <x:c r="AK908" t="n">
        <x:v>0</x:v>
      </x:c>
      <x:c r="AL908" t="n">
        <x:v>0</x:v>
      </x:c>
      <x:c r="AM908" t="n">
        <x:f>CHOOSE('假设'!$B$3,AJ908,AK908,AL908)</x:f>
        <x:v>0</x:v>
      </x:c>
      <x:c r="AN908" t="n">
        <x:v>1</x:v>
      </x:c>
    </x:row>
    <x:row r="909" ht="23" customHeight="1">
      <x:c r="A909" s="11" t="str">
        <x:v>688192.SH</x:v>
      </x:c>
      <x:c r="B909" s="11" t="str">
        <x:v>一年</x:v>
      </x:c>
      <x:c r="C909" s="11" t="str">
        <x:v>bire_cll</x:v>
      </x:c>
      <x:c r="D909" s="11" t="str">
        <x:v>2045-12-31</x:v>
      </x:c>
      <x:c r="E909" s="11" t="str">
        <x:v>USD</x:v>
      </x:c>
      <x:c r="F909" s="11" t="n">
        <x:v>18.22861054072553</x:v>
      </x:c>
      <x:c r="G909" s="26" t="b">
        <x:v>1</x:v>
      </x:c>
      <x:c r="H909" s="16" t="n">
        <x:v>0</x:v>
      </x:c>
      <x:c r="I909" s="16" t="n">
        <x:v>0</x:v>
      </x:c>
      <x:c r="J909" s="16" t="n">
        <x:v>0</x:v>
      </x:c>
      <x:c r="K909" s="11" t="n">
        <x:f>CHOOSE('假设'!$B$3,H909,I909,J909)</x:f>
        <x:v>0</x:v>
      </x:c>
      <x:c r="L909" s="11" t="n">
        <x:f>K909*'管线假设'!E211*'管线假设'!F211*'管线假设'!G211*IF(E909="USD",'管线假设'!I211,1)-AM909</x:f>
        <x:v>0</x:v>
      </x:c>
      <x:c r="M909" s="11" t="n">
        <x:f>'管线假设'!H211</x:f>
        <x:v>0.125</x:v>
      </x:c>
      <x:c r="N909" s="11" t="n">
        <x:f>IF(G909,L909*AN909/(1+M909)^F909,0)</x:f>
        <x:v>0</x:v>
      </x:c>
      <x:c r="AJ909" t="n">
        <x:v>0</x:v>
      </x:c>
      <x:c r="AK909" t="n">
        <x:v>0</x:v>
      </x:c>
      <x:c r="AL909" t="n">
        <x:v>0</x:v>
      </x:c>
      <x:c r="AM909" t="n">
        <x:f>CHOOSE('假设'!$B$3,AJ909,AK909,AL909)</x:f>
        <x:v>0</x:v>
      </x:c>
      <x:c r="AN909" t="n">
        <x:v>1</x:v>
      </x:c>
    </x:row>
    <x:row r="910" ht="23" customHeight="1">
      <x:c r="A910" s="11" t="str">
        <x:v>688192.SH</x:v>
      </x:c>
      <x:c r="B910" s="11" t="str">
        <x:v>一年</x:v>
      </x:c>
      <x:c r="C910" s="11" t="str">
        <x:v>bire_dlbcl</x:v>
      </x:c>
      <x:c r="D910" s="11" t="str">
        <x:v>2027-12-31</x:v>
      </x:c>
      <x:c r="E910" s="11" t="str">
        <x:v>USD</x:v>
      </x:c>
      <x:c r="F910" s="11" t="n">
        <x:v>0.2272416153319644</x:v>
      </x:c>
      <x:c r="G910" s="26" t="b">
        <x:v>1</x:v>
      </x:c>
      <x:c r="H910" s="16" t="n">
        <x:v>0</x:v>
      </x:c>
      <x:c r="I910" s="16" t="n">
        <x:v>0</x:v>
      </x:c>
      <x:c r="J910" s="16" t="n">
        <x:v>0</x:v>
      </x:c>
      <x:c r="K910" s="11" t="n">
        <x:f>CHOOSE('假设'!$B$3,H910,I910,J910)</x:f>
        <x:v>0</x:v>
      </x:c>
      <x:c r="L910" s="11" t="n">
        <x:f>K910*'管线假设'!E215*'管线假设'!F215*'管线假设'!G215*IF(E910="USD",'管线假设'!I215,1)-AM910</x:f>
        <x:v>0</x:v>
      </x:c>
      <x:c r="M910" s="11" t="n">
        <x:f>'管线假设'!H215</x:f>
        <x:v>0.125</x:v>
      </x:c>
      <x:c r="N910" s="11" t="n">
        <x:f>IF(G910,L910*AN910/(1+M910)^F910,0)</x:f>
        <x:v>0</x:v>
      </x:c>
      <x:c r="AJ910" t="n">
        <x:v>0</x:v>
      </x:c>
      <x:c r="AK910" t="n">
        <x:v>0</x:v>
      </x:c>
      <x:c r="AL910" t="n">
        <x:v>0</x:v>
      </x:c>
      <x:c r="AM910" t="n">
        <x:f>CHOOSE('假设'!$B$3,AJ910,AK910,AL910)</x:f>
        <x:v>0</x:v>
      </x:c>
      <x:c r="AN910" t="n">
        <x:v>1</x:v>
      </x:c>
    </x:row>
    <x:row r="911" ht="23" customHeight="1">
      <x:c r="A911" s="11" t="str">
        <x:v>688192.SH</x:v>
      </x:c>
      <x:c r="B911" s="11" t="str">
        <x:v>一年</x:v>
      </x:c>
      <x:c r="C911" s="11" t="str">
        <x:v>bire_dlbcl</x:v>
      </x:c>
      <x:c r="D911" s="11" t="str">
        <x:v>2028-12-31</x:v>
      </x:c>
      <x:c r="E911" s="11" t="str">
        <x:v>USD</x:v>
      </x:c>
      <x:c r="F911" s="11" t="n">
        <x:v>1.2292950034223136</x:v>
      </x:c>
      <x:c r="G911" s="26" t="b">
        <x:v>1</x:v>
      </x:c>
      <x:c r="H911" s="16" t="n">
        <x:v>0</x:v>
      </x:c>
      <x:c r="I911" s="16" t="n">
        <x:v>0</x:v>
      </x:c>
      <x:c r="J911" s="16" t="n">
        <x:v>0</x:v>
      </x:c>
      <x:c r="K911" s="11" t="n">
        <x:f>CHOOSE('假设'!$B$3,H911,I911,J911)</x:f>
        <x:v>0</x:v>
      </x:c>
      <x:c r="L911" s="11" t="n">
        <x:f>K911*'管线假设'!E215*'管线假设'!F215*'管线假设'!G215*IF(E911="USD",'管线假设'!I215,1)-AM911</x:f>
        <x:v>0</x:v>
      </x:c>
      <x:c r="M911" s="11" t="n">
        <x:f>'管线假设'!H215</x:f>
        <x:v>0.125</x:v>
      </x:c>
      <x:c r="N911" s="11" t="n">
        <x:f>IF(G911,L911*AN911/(1+M911)^F911,0)</x:f>
        <x:v>0</x:v>
      </x:c>
      <x:c r="AJ911" t="n">
        <x:v>0</x:v>
      </x:c>
      <x:c r="AK911" t="n">
        <x:v>0</x:v>
      </x:c>
      <x:c r="AL911" t="n">
        <x:v>0</x:v>
      </x:c>
      <x:c r="AM911" t="n">
        <x:f>CHOOSE('假设'!$B$3,AJ911,AK911,AL911)</x:f>
        <x:v>0</x:v>
      </x:c>
      <x:c r="AN911" t="n">
        <x:v>1</x:v>
      </x:c>
    </x:row>
    <x:row r="912" ht="23" customHeight="1">
      <x:c r="A912" s="11" t="str">
        <x:v>688192.SH</x:v>
      </x:c>
      <x:c r="B912" s="11" t="str">
        <x:v>一年</x:v>
      </x:c>
      <x:c r="C912" s="11" t="str">
        <x:v>bire_dlbcl</x:v>
      </x:c>
      <x:c r="D912" s="11" t="str">
        <x:v>2029-12-31</x:v>
      </x:c>
      <x:c r="E912" s="11" t="str">
        <x:v>USD</x:v>
      </x:c>
      <x:c r="F912" s="11" t="n">
        <x:v>2.2286105407255303</x:v>
      </x:c>
      <x:c r="G912" s="26" t="b">
        <x:v>1</x:v>
      </x:c>
      <x:c r="H912" s="16" t="n">
        <x:v>0</x:v>
      </x:c>
      <x:c r="I912" s="16" t="n">
        <x:v>0</x:v>
      </x:c>
      <x:c r="J912" s="16" t="n">
        <x:v>0.5666666666666667</x:v>
      </x:c>
      <x:c r="K912" s="11" t="n">
        <x:f>CHOOSE('假设'!$B$3,H912,I912,J912)</x:f>
        <x:v>0</x:v>
      </x:c>
      <x:c r="L912" s="11" t="n">
        <x:f>K912*'管线假设'!E215*'管线假设'!F215*'管线假设'!G215*IF(E912="USD",'管线假设'!I215,1)-AM912</x:f>
        <x:v>0</x:v>
      </x:c>
      <x:c r="M912" s="11" t="n">
        <x:f>'管线假设'!H215</x:f>
        <x:v>0.125</x:v>
      </x:c>
      <x:c r="N912" s="11" t="n">
        <x:f>IF(G912,L912*AN912/(1+M912)^F912,0)</x:f>
        <x:v>0</x:v>
      </x:c>
      <x:c r="AJ912" t="n">
        <x:v>0</x:v>
      </x:c>
      <x:c r="AK912" t="n">
        <x:v>0</x:v>
      </x:c>
      <x:c r="AL912" t="n">
        <x:v>0</x:v>
      </x:c>
      <x:c r="AM912" t="n">
        <x:f>CHOOSE('假设'!$B$3,AJ912,AK912,AL912)</x:f>
        <x:v>0</x:v>
      </x:c>
      <x:c r="AN912" t="n">
        <x:v>1</x:v>
      </x:c>
    </x:row>
    <x:row r="913" ht="23" customHeight="1">
      <x:c r="A913" s="11" t="str">
        <x:v>688192.SH</x:v>
      </x:c>
      <x:c r="B913" s="11" t="str">
        <x:v>一年</x:v>
      </x:c>
      <x:c r="C913" s="11" t="str">
        <x:v>bire_dlbcl</x:v>
      </x:c>
      <x:c r="D913" s="11" t="str">
        <x:v>2030-12-31</x:v>
      </x:c>
      <x:c r="E913" s="11" t="str">
        <x:v>USD</x:v>
      </x:c>
      <x:c r="F913" s="11" t="n">
        <x:v>3.2279260780287475</x:v>
      </x:c>
      <x:c r="G913" s="26" t="b">
        <x:v>1</x:v>
      </x:c>
      <x:c r="H913" s="16" t="n">
        <x:v>0</x:v>
      </x:c>
      <x:c r="I913" s="16" t="n">
        <x:v>0</x:v>
      </x:c>
      <x:c r="J913" s="16" t="n">
        <x:v>1.1333333333333333</x:v>
      </x:c>
      <x:c r="K913" s="11" t="n">
        <x:f>CHOOSE('假设'!$B$3,H913,I913,J913)</x:f>
        <x:v>0</x:v>
      </x:c>
      <x:c r="L913" s="11" t="n">
        <x:f>K913*'管线假设'!E215*'管线假设'!F215*'管线假设'!G215*IF(E913="USD",'管线假设'!I215,1)-AM913</x:f>
        <x:v>0</x:v>
      </x:c>
      <x:c r="M913" s="11" t="n">
        <x:f>'管线假设'!H215</x:f>
        <x:v>0.125</x:v>
      </x:c>
      <x:c r="N913" s="11" t="n">
        <x:f>IF(G913,L913*AN913/(1+M913)^F913,0)</x:f>
        <x:v>0</x:v>
      </x:c>
      <x:c r="AJ913" t="n">
        <x:v>0</x:v>
      </x:c>
      <x:c r="AK913" t="n">
        <x:v>0</x:v>
      </x:c>
      <x:c r="AL913" t="n">
        <x:v>0</x:v>
      </x:c>
      <x:c r="AM913" t="n">
        <x:f>CHOOSE('假设'!$B$3,AJ913,AK913,AL913)</x:f>
        <x:v>0</x:v>
      </x:c>
      <x:c r="AN913" t="n">
        <x:v>1</x:v>
      </x:c>
    </x:row>
    <x:row r="914" ht="23" customHeight="1">
      <x:c r="A914" s="11" t="str">
        <x:v>688192.SH</x:v>
      </x:c>
      <x:c r="B914" s="11" t="str">
        <x:v>一年</x:v>
      </x:c>
      <x:c r="C914" s="11" t="str">
        <x:v>bire_dlbcl</x:v>
      </x:c>
      <x:c r="D914" s="11" t="str">
        <x:v>2031-12-31</x:v>
      </x:c>
      <x:c r="E914" s="11" t="str">
        <x:v>USD</x:v>
      </x:c>
      <x:c r="F914" s="11" t="n">
        <x:v>4.227241615331964</x:v>
      </x:c>
      <x:c r="G914" s="26" t="b">
        <x:v>1</x:v>
      </x:c>
      <x:c r="H914" s="16" t="n">
        <x:v>0</x:v>
      </x:c>
      <x:c r="I914" s="16" t="n">
        <x:v>0.3</x:v>
      </x:c>
      <x:c r="J914" s="16" t="n">
        <x:v>1.7</x:v>
      </x:c>
      <x:c r="K914" s="11" t="n">
        <x:f>CHOOSE('假设'!$B$3,H914,I914,J914)</x:f>
        <x:v>0.3</x:v>
      </x:c>
      <x:c r="L914" s="11" t="n">
        <x:f>K914*'管线假设'!E215*'管线假设'!F215*'管线假设'!G215*IF(E914="USD",'管线假设'!I215,1)-AM914</x:f>
        <x:v>0.2323968</x:v>
      </x:c>
      <x:c r="M914" s="11" t="n">
        <x:f>'管线假设'!H215</x:f>
        <x:v>0.125</x:v>
      </x:c>
      <x:c r="N914" s="11" t="n">
        <x:f>IF(G914,L914*AN914/(1+M914)^F914,0)</x:f>
        <x:v>0.1412524769233028</x:v>
      </x:c>
      <x:c r="AJ914" t="n">
        <x:v>0</x:v>
      </x:c>
      <x:c r="AK914" t="n">
        <x:v>0</x:v>
      </x:c>
      <x:c r="AL914" t="n">
        <x:v>0</x:v>
      </x:c>
      <x:c r="AM914" t="n">
        <x:f>CHOOSE('假设'!$B$3,AJ914,AK914,AL914)</x:f>
        <x:v>0</x:v>
      </x:c>
      <x:c r="AN914" t="n">
        <x:v>1</x:v>
      </x:c>
    </x:row>
    <x:row r="915" ht="23" customHeight="1">
      <x:c r="A915" s="11" t="str">
        <x:v>688192.SH</x:v>
      </x:c>
      <x:c r="B915" s="11" t="str">
        <x:v>一年</x:v>
      </x:c>
      <x:c r="C915" s="11" t="str">
        <x:v>bire_dlbcl</x:v>
      </x:c>
      <x:c r="D915" s="11" t="str">
        <x:v>2032-12-31</x:v>
      </x:c>
      <x:c r="E915" s="11" t="str">
        <x:v>USD</x:v>
      </x:c>
      <x:c r="F915" s="11" t="n">
        <x:v>5.229295003422314</x:v>
      </x:c>
      <x:c r="G915" s="26" t="b">
        <x:v>1</x:v>
      </x:c>
      <x:c r="H915" s="16" t="n">
        <x:v>0</x:v>
      </x:c>
      <x:c r="I915" s="16" t="n">
        <x:v>0.6</x:v>
      </x:c>
      <x:c r="J915" s="16" t="n">
        <x:v>2.2666666666666666</x:v>
      </x:c>
      <x:c r="K915" s="11" t="n">
        <x:f>CHOOSE('假设'!$B$3,H915,I915,J915)</x:f>
        <x:v>0.6</x:v>
      </x:c>
      <x:c r="L915" s="11" t="n">
        <x:f>K915*'管线假设'!E215*'管线假设'!F215*'管线假设'!G215*IF(E915="USD",'管线假设'!I215,1)-AM915</x:f>
        <x:v>0.4647936</x:v>
      </x:c>
      <x:c r="M915" s="11" t="n">
        <x:f>'管线假设'!H215</x:f>
        <x:v>0.125</x:v>
      </x:c>
      <x:c r="N915" s="11" t="n">
        <x:f>IF(G915,L915*AN915/(1+M915)^F915,0)</x:f>
        <x:v>0.25105478851140395</x:v>
      </x:c>
      <x:c r="AJ915" t="n">
        <x:v>0</x:v>
      </x:c>
      <x:c r="AK915" t="n">
        <x:v>0</x:v>
      </x:c>
      <x:c r="AL915" t="n">
        <x:v>0</x:v>
      </x:c>
      <x:c r="AM915" t="n">
        <x:f>CHOOSE('假设'!$B$3,AJ915,AK915,AL915)</x:f>
        <x:v>0</x:v>
      </x:c>
      <x:c r="AN915" t="n">
        <x:v>1</x:v>
      </x:c>
    </x:row>
    <x:row r="916" ht="23" customHeight="1">
      <x:c r="A916" s="11" t="str">
        <x:v>688192.SH</x:v>
      </x:c>
      <x:c r="B916" s="11" t="str">
        <x:v>一年</x:v>
      </x:c>
      <x:c r="C916" s="11" t="str">
        <x:v>bire_dlbcl</x:v>
      </x:c>
      <x:c r="D916" s="11" t="str">
        <x:v>2033-12-31</x:v>
      </x:c>
      <x:c r="E916" s="11" t="str">
        <x:v>USD</x:v>
      </x:c>
      <x:c r="F916" s="11" t="n">
        <x:v>6.228610540725531</x:v>
      </x:c>
      <x:c r="G916" s="26" t="b">
        <x:v>1</x:v>
      </x:c>
      <x:c r="H916" s="16" t="n">
        <x:v>0.1</x:v>
      </x:c>
      <x:c r="I916" s="16" t="n">
        <x:v>0.9</x:v>
      </x:c>
      <x:c r="J916" s="16" t="n">
        <x:v>2.8333333333333335</x:v>
      </x:c>
      <x:c r="K916" s="11" t="n">
        <x:f>CHOOSE('假设'!$B$3,H916,I916,J916)</x:f>
        <x:v>0.9</x:v>
      </x:c>
      <x:c r="L916" s="11" t="n">
        <x:f>K916*'管线假设'!E215*'管线假设'!F215*'管线假设'!G215*IF(E916="USD",'管线假设'!I215,1)-AM916</x:f>
        <x:v>0.6971904</x:v>
      </x:c>
      <x:c r="M916" s="11" t="n">
        <x:f>'管线假设'!H215</x:f>
        <x:v>0.125</x:v>
      </x:c>
      <x:c r="N916" s="11" t="n">
        <x:f>IF(G916,L916*AN916/(1+M916)^F916,0)</x:f>
        <x:v>0.33476670518114393</x:v>
      </x:c>
      <x:c r="AJ916" t="n">
        <x:v>0</x:v>
      </x:c>
      <x:c r="AK916" t="n">
        <x:v>0</x:v>
      </x:c>
      <x:c r="AL916" t="n">
        <x:v>0</x:v>
      </x:c>
      <x:c r="AM916" t="n">
        <x:f>CHOOSE('假设'!$B$3,AJ916,AK916,AL916)</x:f>
        <x:v>0</x:v>
      </x:c>
      <x:c r="AN916" t="n">
        <x:v>1</x:v>
      </x:c>
    </x:row>
    <x:row r="917" ht="23" customHeight="1">
      <x:c r="A917" s="11" t="str">
        <x:v>688192.SH</x:v>
      </x:c>
      <x:c r="B917" s="11" t="str">
        <x:v>一年</x:v>
      </x:c>
      <x:c r="C917" s="11" t="str">
        <x:v>bire_dlbcl</x:v>
      </x:c>
      <x:c r="D917" s="11" t="str">
        <x:v>2034-12-31</x:v>
      </x:c>
      <x:c r="E917" s="11" t="str">
        <x:v>USD</x:v>
      </x:c>
      <x:c r="F917" s="11" t="n">
        <x:v>7.227926078028747</x:v>
      </x:c>
      <x:c r="G917" s="26" t="b">
        <x:v>1</x:v>
      </x:c>
      <x:c r="H917" s="16" t="n">
        <x:v>0.2</x:v>
      </x:c>
      <x:c r="I917" s="16" t="n">
        <x:v>1.2</x:v>
      </x:c>
      <x:c r="J917" s="16" t="n">
        <x:v>3.4</x:v>
      </x:c>
      <x:c r="K917" s="11" t="n">
        <x:f>CHOOSE('假设'!$B$3,H917,I917,J917)</x:f>
        <x:v>1.2</x:v>
      </x:c>
      <x:c r="L917" s="11" t="n">
        <x:f>K917*'管线假设'!E215*'管线假设'!F215*'管线假设'!G215*IF(E917="USD",'管线假设'!I215,1)-AM917</x:f>
        <x:v>0.9295872</x:v>
      </x:c>
      <x:c r="M917" s="11" t="n">
        <x:f>'管线假设'!H215</x:f>
        <x:v>0.125</x:v>
      </x:c>
      <x:c r="N917" s="11" t="n">
        <x:f>IF(G917,L917*AN917/(1+M917)^F917,0)</x:f>
        <x:v>0.3967925268418657</x:v>
      </x:c>
      <x:c r="AJ917" t="n">
        <x:v>0</x:v>
      </x:c>
      <x:c r="AK917" t="n">
        <x:v>0</x:v>
      </x:c>
      <x:c r="AL917" t="n">
        <x:v>0</x:v>
      </x:c>
      <x:c r="AM917" t="n">
        <x:f>CHOOSE('假设'!$B$3,AJ917,AK917,AL917)</x:f>
        <x:v>0</x:v>
      </x:c>
      <x:c r="AN917" t="n">
        <x:v>1</x:v>
      </x:c>
    </x:row>
    <x:row r="918" ht="23" customHeight="1">
      <x:c r="A918" s="11" t="str">
        <x:v>688192.SH</x:v>
      </x:c>
      <x:c r="B918" s="11" t="str">
        <x:v>一年</x:v>
      </x:c>
      <x:c r="C918" s="11" t="str">
        <x:v>bire_dlbcl</x:v>
      </x:c>
      <x:c r="D918" s="11" t="str">
        <x:v>2035-12-31</x:v>
      </x:c>
      <x:c r="E918" s="11" t="str">
        <x:v>USD</x:v>
      </x:c>
      <x:c r="F918" s="11" t="n">
        <x:v>8.227241615331964</x:v>
      </x:c>
      <x:c r="G918" s="26" t="b">
        <x:v>1</x:v>
      </x:c>
      <x:c r="H918" s="16" t="n">
        <x:v>0.3</x:v>
      </x:c>
      <x:c r="I918" s="16" t="n">
        <x:v>1.5</x:v>
      </x:c>
      <x:c r="J918" s="16" t="n">
        <x:v>2.992</x:v>
      </x:c>
      <x:c r="K918" s="11" t="n">
        <x:f>CHOOSE('假设'!$B$3,H918,I918,J918)</x:f>
        <x:v>1.5</x:v>
      </x:c>
      <x:c r="L918" s="11" t="n">
        <x:f>K918*'管线假设'!E215*'管线假设'!F215*'管线假设'!G215*IF(E918="USD",'管线假设'!I215,1)-AM918</x:f>
        <x:v>1.161984</x:v>
      </x:c>
      <x:c r="M918" s="11" t="n">
        <x:f>'管线假设'!H215</x:f>
        <x:v>0.125</x:v>
      </x:c>
      <x:c r="N918" s="11" t="n">
        <x:f>IF(G918,L918*AN918/(1+M918)^F918,0)</x:f>
        <x:v>0.44091612976516403</x:v>
      </x:c>
      <x:c r="AJ918" t="n">
        <x:v>0</x:v>
      </x:c>
      <x:c r="AK918" t="n">
        <x:v>0</x:v>
      </x:c>
      <x:c r="AL918" t="n">
        <x:v>0</x:v>
      </x:c>
      <x:c r="AM918" t="n">
        <x:f>CHOOSE('假设'!$B$3,AJ918,AK918,AL918)</x:f>
        <x:v>0</x:v>
      </x:c>
      <x:c r="AN918" t="n">
        <x:v>1</x:v>
      </x:c>
    </x:row>
    <x:row r="919" ht="23" customHeight="1">
      <x:c r="A919" s="11" t="str">
        <x:v>688192.SH</x:v>
      </x:c>
      <x:c r="B919" s="11" t="str">
        <x:v>一年</x:v>
      </x:c>
      <x:c r="C919" s="11" t="str">
        <x:v>bire_dlbcl</x:v>
      </x:c>
      <x:c r="D919" s="11" t="str">
        <x:v>2036-12-31</x:v>
      </x:c>
      <x:c r="E919" s="11" t="str">
        <x:v>USD</x:v>
      </x:c>
      <x:c r="F919" s="11" t="n">
        <x:v>9.229295003422314</x:v>
      </x:c>
      <x:c r="G919" s="26" t="b">
        <x:v>1</x:v>
      </x:c>
      <x:c r="H919" s="16" t="n">
        <x:v>0.4</x:v>
      </x:c>
      <x:c r="I919" s="16" t="n">
        <x:v>1.8</x:v>
      </x:c>
      <x:c r="J919" s="16" t="n">
        <x:v>2.584</x:v>
      </x:c>
      <x:c r="K919" s="11" t="n">
        <x:f>CHOOSE('假设'!$B$3,H919,I919,J919)</x:f>
        <x:v>1.8</x:v>
      </x:c>
      <x:c r="L919" s="11" t="n">
        <x:f>K919*'管线假设'!E215*'管线假设'!F215*'管线假设'!G215*IF(E919="USD",'管线假设'!I215,1)-AM919</x:f>
        <x:v>1.3943808</x:v>
      </x:c>
      <x:c r="M919" s="11" t="n">
        <x:f>'管线假设'!H215</x:f>
        <x:v>0.125</x:v>
      </x:c>
      <x:c r="N919" s="11" t="n">
        <x:f>IF(G919,L919*AN919/(1+M919)^F919,0)</x:f>
        <x:v>0.4701968055522225</x:v>
      </x:c>
      <x:c r="AJ919" t="n">
        <x:v>0</x:v>
      </x:c>
      <x:c r="AK919" t="n">
        <x:v>0</x:v>
      </x:c>
      <x:c r="AL919" t="n">
        <x:v>0</x:v>
      </x:c>
      <x:c r="AM919" t="n">
        <x:f>CHOOSE('假设'!$B$3,AJ919,AK919,AL919)</x:f>
        <x:v>0</x:v>
      </x:c>
      <x:c r="AN919" t="n">
        <x:v>1</x:v>
      </x:c>
    </x:row>
    <x:row r="920" ht="23" customHeight="1">
      <x:c r="A920" s="11" t="str">
        <x:v>688192.SH</x:v>
      </x:c>
      <x:c r="B920" s="11" t="str">
        <x:v>一年</x:v>
      </x:c>
      <x:c r="C920" s="11" t="str">
        <x:v>bire_dlbcl</x:v>
      </x:c>
      <x:c r="D920" s="11" t="str">
        <x:v>2037-12-31</x:v>
      </x:c>
      <x:c r="E920" s="11" t="str">
        <x:v>USD</x:v>
      </x:c>
      <x:c r="F920" s="11" t="n">
        <x:v>10.22861054072553</x:v>
      </x:c>
      <x:c r="G920" s="26" t="b">
        <x:v>1</x:v>
      </x:c>
      <x:c r="H920" s="16" t="n">
        <x:v>0.5</x:v>
      </x:c>
      <x:c r="I920" s="16" t="n">
        <x:v>1.584</x:v>
      </x:c>
      <x:c r="J920" s="16" t="n">
        <x:v>2.176</x:v>
      </x:c>
      <x:c r="K920" s="11" t="n">
        <x:f>CHOOSE('假设'!$B$3,H920,I920,J920)</x:f>
        <x:v>1.584</x:v>
      </x:c>
      <x:c r="L920" s="11" t="n">
        <x:f>K920*'管线假设'!E215*'管线假设'!F215*'管线假设'!G215*IF(E920="USD",'管线假设'!I215,1)-AM920</x:f>
        <x:v>1.227055104</x:v>
      </x:c>
      <x:c r="M920" s="11" t="n">
        <x:f>'管线假设'!H215</x:f>
        <x:v>0.125</x:v>
      </x:c>
      <x:c r="N920" s="11" t="n">
        <x:f>IF(G920,L920*AN920/(1+M920)^F920,0)</x:f>
        <x:v>0.36782804252136253</x:v>
      </x:c>
      <x:c r="AJ920" t="n">
        <x:v>0</x:v>
      </x:c>
      <x:c r="AK920" t="n">
        <x:v>0</x:v>
      </x:c>
      <x:c r="AL920" t="n">
        <x:v>0</x:v>
      </x:c>
      <x:c r="AM920" t="n">
        <x:f>CHOOSE('假设'!$B$3,AJ920,AK920,AL920)</x:f>
        <x:v>0</x:v>
      </x:c>
      <x:c r="AN920" t="n">
        <x:v>1</x:v>
      </x:c>
    </x:row>
    <x:row r="921" ht="23" customHeight="1">
      <x:c r="A921" s="11" t="str">
        <x:v>688192.SH</x:v>
      </x:c>
      <x:c r="B921" s="11" t="str">
        <x:v>一年</x:v>
      </x:c>
      <x:c r="C921" s="11" t="str">
        <x:v>bire_dlbcl</x:v>
      </x:c>
      <x:c r="D921" s="11" t="str">
        <x:v>2038-12-31</x:v>
      </x:c>
      <x:c r="E921" s="11" t="str">
        <x:v>USD</x:v>
      </x:c>
      <x:c r="F921" s="11" t="n">
        <x:v>11.227926078028748</x:v>
      </x:c>
      <x:c r="G921" s="26" t="b">
        <x:v>1</x:v>
      </x:c>
      <x:c r="H921" s="16" t="n">
        <x:v>0.44</x:v>
      </x:c>
      <x:c r="I921" s="16" t="n">
        <x:v>1.368</x:v>
      </x:c>
      <x:c r="J921" s="16" t="n">
        <x:v>1.768</x:v>
      </x:c>
      <x:c r="K921" s="11" t="n">
        <x:f>CHOOSE('假设'!$B$3,H921,I921,J921)</x:f>
        <x:v>1.368</x:v>
      </x:c>
      <x:c r="L921" s="11" t="n">
        <x:f>K921*'管线假设'!E215*'管线假设'!F215*'管线假设'!G215*IF(E921="USD",'管线假设'!I215,1)-AM921</x:f>
        <x:v>1.059729408</x:v>
      </x:c>
      <x:c r="M921" s="11" t="n">
        <x:f>'管线假设'!H215</x:f>
        <x:v>0.125</x:v>
      </x:c>
      <x:c r="N921" s="11" t="n">
        <x:f>IF(G921,L921*AN921/(1+M921)^F921,0)</x:f>
        <x:v>0.28239580803787245</x:v>
      </x:c>
      <x:c r="AJ921" t="n">
        <x:v>0</x:v>
      </x:c>
      <x:c r="AK921" t="n">
        <x:v>0</x:v>
      </x:c>
      <x:c r="AL921" t="n">
        <x:v>0</x:v>
      </x:c>
      <x:c r="AM921" t="n">
        <x:f>CHOOSE('假设'!$B$3,AJ921,AK921,AL921)</x:f>
        <x:v>0</x:v>
      </x:c>
      <x:c r="AN921" t="n">
        <x:v>1</x:v>
      </x:c>
    </x:row>
    <x:row r="922" ht="23" customHeight="1">
      <x:c r="A922" s="11" t="str">
        <x:v>688192.SH</x:v>
      </x:c>
      <x:c r="B922" s="11" t="str">
        <x:v>一年</x:v>
      </x:c>
      <x:c r="C922" s="11" t="str">
        <x:v>bire_dlbcl</x:v>
      </x:c>
      <x:c r="D922" s="11" t="str">
        <x:v>2039-12-31</x:v>
      </x:c>
      <x:c r="E922" s="11" t="str">
        <x:v>USD</x:v>
      </x:c>
      <x:c r="F922" s="11" t="n">
        <x:v>12.227241615331964</x:v>
      </x:c>
      <x:c r="G922" s="26" t="b">
        <x:v>1</x:v>
      </x:c>
      <x:c r="H922" s="16" t="n">
        <x:v>0.38</x:v>
      </x:c>
      <x:c r="I922" s="16" t="n">
        <x:v>1.1520000000000001</x:v>
      </x:c>
      <x:c r="J922" s="16" t="n">
        <x:v>1.36</x:v>
      </x:c>
      <x:c r="K922" s="11" t="n">
        <x:f>CHOOSE('假设'!$B$3,H922,I922,J922)</x:f>
        <x:v>1.1520000000000001</x:v>
      </x:c>
      <x:c r="L922" s="11" t="n">
        <x:f>K922*'管线假设'!E215*'管线假设'!F215*'管线假设'!G215*IF(E922="USD",'管线假设'!I215,1)-AM922</x:f>
        <x:v>0.8924037120000001</x:v>
      </x:c>
      <x:c r="M922" s="11" t="n">
        <x:f>'管线假设'!H215</x:f>
        <x:v>0.125</x:v>
      </x:c>
      <x:c r="N922" s="11" t="n">
        <x:f>IF(G922,L922*AN922/(1+M922)^F922,0)</x:f>
        <x:v>0.21140103872182753</x:v>
      </x:c>
      <x:c r="AJ922" t="n">
        <x:v>0</x:v>
      </x:c>
      <x:c r="AK922" t="n">
        <x:v>0</x:v>
      </x:c>
      <x:c r="AL922" t="n">
        <x:v>0</x:v>
      </x:c>
      <x:c r="AM922" t="n">
        <x:f>CHOOSE('假设'!$B$3,AJ922,AK922,AL922)</x:f>
        <x:v>0</x:v>
      </x:c>
      <x:c r="AN922" t="n">
        <x:v>1</x:v>
      </x:c>
    </x:row>
    <x:row r="923" ht="23" customHeight="1">
      <x:c r="A923" s="11" t="str">
        <x:v>688192.SH</x:v>
      </x:c>
      <x:c r="B923" s="11" t="str">
        <x:v>一年</x:v>
      </x:c>
      <x:c r="C923" s="11" t="str">
        <x:v>bire_dlbcl</x:v>
      </x:c>
      <x:c r="D923" s="11" t="str">
        <x:v>2040-12-31</x:v>
      </x:c>
      <x:c r="E923" s="11" t="str">
        <x:v>USD</x:v>
      </x:c>
      <x:c r="F923" s="11" t="n">
        <x:v>13.229295003422314</x:v>
      </x:c>
      <x:c r="G923" s="26" t="b">
        <x:v>1</x:v>
      </x:c>
      <x:c r="H923" s="16" t="n">
        <x:v>0.32</x:v>
      </x:c>
      <x:c r="I923" s="16" t="n">
        <x:v>0.936</x:v>
      </x:c>
      <x:c r="J923" s="16" t="n">
        <x:v>0.9520000000000001</x:v>
      </x:c>
      <x:c r="K923" s="11" t="n">
        <x:f>CHOOSE('假设'!$B$3,H923,I923,J923)</x:f>
        <x:v>0.936</x:v>
      </x:c>
      <x:c r="L923" s="11" t="n">
        <x:f>K923*'管线假设'!E215*'管线假设'!F215*'管线假设'!G215*IF(E923="USD",'管线假设'!I215,1)-AM923</x:f>
        <x:v>0.725078016</x:v>
      </x:c>
      <x:c r="M923" s="11" t="n">
        <x:f>'管线假设'!H215</x:f>
        <x:v>0.125</x:v>
      </x:c>
      <x:c r="N923" s="11" t="n">
        <x:f>IF(G923,L923*AN923/(1+M923)^F923,0)</x:f>
        <x:v>0.15264160647489555</x:v>
      </x:c>
      <x:c r="AJ923" t="n">
        <x:v>0</x:v>
      </x:c>
      <x:c r="AK923" t="n">
        <x:v>0</x:v>
      </x:c>
      <x:c r="AL923" t="n">
        <x:v>0</x:v>
      </x:c>
      <x:c r="AM923" t="n">
        <x:f>CHOOSE('假设'!$B$3,AJ923,AK923,AL923)</x:f>
        <x:v>0</x:v>
      </x:c>
      <x:c r="AN923" t="n">
        <x:v>1</x:v>
      </x:c>
    </x:row>
    <x:row r="924" ht="23" customHeight="1">
      <x:c r="A924" s="11" t="str">
        <x:v>688192.SH</x:v>
      </x:c>
      <x:c r="B924" s="11" t="str">
        <x:v>一年</x:v>
      </x:c>
      <x:c r="C924" s="11" t="str">
        <x:v>bire_dlbcl</x:v>
      </x:c>
      <x:c r="D924" s="11" t="str">
        <x:v>2041-12-31</x:v>
      </x:c>
      <x:c r="E924" s="11" t="str">
        <x:v>USD</x:v>
      </x:c>
      <x:c r="F924" s="11" t="n">
        <x:v>14.22861054072553</x:v>
      </x:c>
      <x:c r="G924" s="26" t="b">
        <x:v>1</x:v>
      </x:c>
      <x:c r="H924" s="16" t="n">
        <x:v>0.26</x:v>
      </x:c>
      <x:c r="I924" s="16" t="n">
        <x:v>0.7200000000000001</x:v>
      </x:c>
      <x:c r="J924" s="16" t="n">
        <x:v>0.544</x:v>
      </x:c>
      <x:c r="K924" s="11" t="n">
        <x:f>CHOOSE('假设'!$B$3,H924,I924,J924)</x:f>
        <x:v>0.7200000000000001</x:v>
      </x:c>
      <x:c r="L924" s="11" t="n">
        <x:f>K924*'管线假设'!E215*'管线假设'!F215*'管线假设'!G215*IF(E924="USD",'管线假设'!I215,1)-AM924</x:f>
        <x:v>0.55775232</x:v>
      </x:c>
      <x:c r="M924" s="11" t="n">
        <x:f>'管线假设'!H215</x:f>
        <x:v>0.125</x:v>
      </x:c>
      <x:c r="N924" s="11" t="n">
        <x:f>IF(G924,L924*AN924/(1+M924)^F924,0)</x:f>
        <x:v>0.10437874368981313</x:v>
      </x:c>
      <x:c r="AJ924" t="n">
        <x:v>0</x:v>
      </x:c>
      <x:c r="AK924" t="n">
        <x:v>0</x:v>
      </x:c>
      <x:c r="AL924" t="n">
        <x:v>0</x:v>
      </x:c>
      <x:c r="AM924" t="n">
        <x:f>CHOOSE('假设'!$B$3,AJ924,AK924,AL924)</x:f>
        <x:v>0</x:v>
      </x:c>
      <x:c r="AN924" t="n">
        <x:v>1</x:v>
      </x:c>
    </x:row>
    <x:row r="925" ht="23" customHeight="1">
      <x:c r="A925" s="11" t="str">
        <x:v>688192.SH</x:v>
      </x:c>
      <x:c r="B925" s="11" t="str">
        <x:v>一年</x:v>
      </x:c>
      <x:c r="C925" s="11" t="str">
        <x:v>bire_dlbcl</x:v>
      </x:c>
      <x:c r="D925" s="11" t="str">
        <x:v>2042-12-31</x:v>
      </x:c>
      <x:c r="E925" s="11" t="str">
        <x:v>USD</x:v>
      </x:c>
      <x:c r="F925" s="11" t="n">
        <x:v>15.227926078028748</x:v>
      </x:c>
      <x:c r="G925" s="26" t="b">
        <x:v>1</x:v>
      </x:c>
      <x:c r="H925" s="16" t="n">
        <x:v>0.2</x:v>
      </x:c>
      <x:c r="I925" s="16" t="n">
        <x:v>0.5040000000000001</x:v>
      </x:c>
      <x:c r="J925" s="16" t="n">
        <x:v>0.13600000000000012</x:v>
      </x:c>
      <x:c r="K925" s="11" t="n">
        <x:f>CHOOSE('假设'!$B$3,H925,I925,J925)</x:f>
        <x:v>0.5040000000000001</x:v>
      </x:c>
      <x:c r="L925" s="11" t="n">
        <x:f>K925*'管线假设'!E215*'管线假设'!F215*'管线假设'!G215*IF(E925="USD",'管线假设'!I215,1)-AM925</x:f>
        <x:v>0.39042662400000006</x:v>
      </x:c>
      <x:c r="M925" s="11" t="n">
        <x:f>'管线假设'!H215</x:f>
        <x:v>0.125</x:v>
      </x:c>
      <x:c r="N925" s="11" t="n">
        <x:f>IF(G925,L925*AN925/(1+M925)^F925,0)</x:f>
        <x:v>0.06495200994763219</x:v>
      </x:c>
      <x:c r="AJ925" t="n">
        <x:v>0</x:v>
      </x:c>
      <x:c r="AK925" t="n">
        <x:v>0</x:v>
      </x:c>
      <x:c r="AL925" t="n">
        <x:v>0</x:v>
      </x:c>
      <x:c r="AM925" t="n">
        <x:f>CHOOSE('假设'!$B$3,AJ925,AK925,AL925)</x:f>
        <x:v>0</x:v>
      </x:c>
      <x:c r="AN925" t="n">
        <x:v>1</x:v>
      </x:c>
    </x:row>
    <x:row r="926" ht="23" customHeight="1">
      <x:c r="A926" s="11" t="str">
        <x:v>688192.SH</x:v>
      </x:c>
      <x:c r="B926" s="11" t="str">
        <x:v>一年</x:v>
      </x:c>
      <x:c r="C926" s="11" t="str">
        <x:v>bire_dlbcl</x:v>
      </x:c>
      <x:c r="D926" s="11" t="str">
        <x:v>2043-12-31</x:v>
      </x:c>
      <x:c r="E926" s="11" t="str">
        <x:v>USD</x:v>
      </x:c>
      <x:c r="F926" s="11" t="n">
        <x:v>16.227241615331966</x:v>
      </x:c>
      <x:c r="G926" s="26" t="b">
        <x:v>1</x:v>
      </x:c>
      <x:c r="H926" s="16" t="n">
        <x:v>0.14</x:v>
      </x:c>
      <x:c r="I926" s="16" t="n">
        <x:v>0.2880000000000001</x:v>
      </x:c>
      <x:c r="J926" s="16" t="n">
        <x:v>0</x:v>
      </x:c>
      <x:c r="K926" s="11" t="n">
        <x:f>CHOOSE('假设'!$B$3,H926,I926,J926)</x:f>
        <x:v>0.2880000000000001</x:v>
      </x:c>
      <x:c r="L926" s="11" t="n">
        <x:f>K926*'管线假设'!E215*'管线假设'!F215*'管线假设'!G215*IF(E926="USD",'管线假设'!I215,1)-AM926</x:f>
        <x:v>0.22310092800000003</x:v>
      </x:c>
      <x:c r="M926" s="11" t="n">
        <x:f>'管线假设'!H215</x:f>
        <x:v>0.125</x:v>
      </x:c>
      <x:c r="N926" s="11" t="n">
        <x:f>IF(G926,L926*AN926/(1+M926)^F926,0)</x:f>
        <x:v>0.032994156935093936</x:v>
      </x:c>
      <x:c r="AJ926" t="n">
        <x:v>0</x:v>
      </x:c>
      <x:c r="AK926" t="n">
        <x:v>0</x:v>
      </x:c>
      <x:c r="AL926" t="n">
        <x:v>0</x:v>
      </x:c>
      <x:c r="AM926" t="n">
        <x:f>CHOOSE('假设'!$B$3,AJ926,AK926,AL926)</x:f>
        <x:v>0</x:v>
      </x:c>
      <x:c r="AN926" t="n">
        <x:v>1</x:v>
      </x:c>
    </x:row>
    <x:row r="927" ht="23" customHeight="1">
      <x:c r="A927" s="11" t="str">
        <x:v>688192.SH</x:v>
      </x:c>
      <x:c r="B927" s="11" t="str">
        <x:v>一年</x:v>
      </x:c>
      <x:c r="C927" s="11" t="str">
        <x:v>bire_dlbcl</x:v>
      </x:c>
      <x:c r="D927" s="11" t="str">
        <x:v>2044-12-31</x:v>
      </x:c>
      <x:c r="E927" s="11" t="str">
        <x:v>USD</x:v>
      </x:c>
      <x:c r="F927" s="11" t="n">
        <x:v>17.229295003422312</x:v>
      </x:c>
      <x:c r="G927" s="26" t="b">
        <x:v>1</x:v>
      </x:c>
      <x:c r="H927" s="16" t="n">
        <x:v>0.08000000000000002</x:v>
      </x:c>
      <x:c r="I927" s="16" t="n">
        <x:v>0.07200000000000006</x:v>
      </x:c>
      <x:c r="J927" s="16" t="n">
        <x:v>0</x:v>
      </x:c>
      <x:c r="K927" s="11" t="n">
        <x:f>CHOOSE('假设'!$B$3,H927,I927,J927)</x:f>
        <x:v>0.07200000000000006</x:v>
      </x:c>
      <x:c r="L927" s="11" t="n">
        <x:f>K927*'管线假设'!E215*'管线假设'!F215*'管线假设'!G215*IF(E927="USD",'管线假设'!I215,1)-AM927</x:f>
        <x:v>0.055775232000000056</x:v>
      </x:c>
      <x:c r="M927" s="11" t="n">
        <x:f>'管线假设'!H215</x:f>
        <x:v>0.125</x:v>
      </x:c>
      <x:c r="N927" s="11" t="n">
        <x:f>IF(G927,L927*AN927/(1+M927)^F927,0)</x:f>
        <x:v>0.0073302618048511955</x:v>
      </x:c>
      <x:c r="AJ927" t="n">
        <x:v>0</x:v>
      </x:c>
      <x:c r="AK927" t="n">
        <x:v>0</x:v>
      </x:c>
      <x:c r="AL927" t="n">
        <x:v>0</x:v>
      </x:c>
      <x:c r="AM927" t="n">
        <x:f>CHOOSE('假设'!$B$3,AJ927,AK927,AL927)</x:f>
        <x:v>0</x:v>
      </x:c>
      <x:c r="AN927" t="n">
        <x:v>1</x:v>
      </x:c>
    </x:row>
    <x:row r="928" ht="23" customHeight="1">
      <x:c r="A928" s="11" t="str">
        <x:v>688192.SH</x:v>
      </x:c>
      <x:c r="B928" s="11" t="str">
        <x:v>一年</x:v>
      </x:c>
      <x:c r="C928" s="11" t="str">
        <x:v>bire_dlbcl</x:v>
      </x:c>
      <x:c r="D928" s="11" t="str">
        <x:v>2045-12-31</x:v>
      </x:c>
      <x:c r="E928" s="11" t="str">
        <x:v>USD</x:v>
      </x:c>
      <x:c r="F928" s="11" t="n">
        <x:v>18.22861054072553</x:v>
      </x:c>
      <x:c r="G928" s="26" t="b">
        <x:v>1</x:v>
      </x:c>
      <x:c r="H928" s="16" t="n">
        <x:v>0.020000000000000018</x:v>
      </x:c>
      <x:c r="I928" s="16" t="n">
        <x:v>0</x:v>
      </x:c>
      <x:c r="J928" s="16" t="n">
        <x:v>0</x:v>
      </x:c>
      <x:c r="K928" s="11" t="n">
        <x:f>CHOOSE('假设'!$B$3,H928,I928,J928)</x:f>
        <x:v>0</x:v>
      </x:c>
      <x:c r="L928" s="11" t="n">
        <x:f>K928*'管线假设'!E215*'管线假设'!F215*'管线假设'!G215*IF(E928="USD",'管线假设'!I215,1)-AM928</x:f>
        <x:v>0</x:v>
      </x:c>
      <x:c r="M928" s="11" t="n">
        <x:f>'管线假设'!H215</x:f>
        <x:v>0.125</x:v>
      </x:c>
      <x:c r="N928" s="11" t="n">
        <x:f>IF(G928,L928*AN928/(1+M928)^F928,0)</x:f>
        <x:v>0</x:v>
      </x:c>
      <x:c r="AJ928" t="n">
        <x:v>0</x:v>
      </x:c>
      <x:c r="AK928" t="n">
        <x:v>0</x:v>
      </x:c>
      <x:c r="AL928" t="n">
        <x:v>0</x:v>
      </x:c>
      <x:c r="AM928" t="n">
        <x:f>CHOOSE('假设'!$B$3,AJ928,AK928,AL928)</x:f>
        <x:v>0</x:v>
      </x:c>
      <x:c r="AN928" t="n">
        <x:v>1</x:v>
      </x:c>
    </x:row>
    <x:row r="929" ht="23" customHeight="1">
      <x:c r="A929" s="11" t="str">
        <x:v>688192.SH</x:v>
      </x:c>
      <x:c r="B929" s="11" t="str">
        <x:v>一年</x:v>
      </x:c>
      <x:c r="C929" s="11" t="str">
        <x:v>dzd6008</x:v>
      </x:c>
      <x:c r="D929" s="11" t="str">
        <x:v>2027-12-31</x:v>
      </x:c>
      <x:c r="E929" s="11" t="str">
        <x:v>USD</x:v>
      </x:c>
      <x:c r="F929" s="11" t="n">
        <x:v>0.2272416153319644</x:v>
      </x:c>
      <x:c r="G929" s="26" t="b">
        <x:v>1</x:v>
      </x:c>
      <x:c r="H929" s="16" t="n">
        <x:v>0</x:v>
      </x:c>
      <x:c r="I929" s="16" t="n">
        <x:v>0</x:v>
      </x:c>
      <x:c r="J929" s="16" t="n">
        <x:v>0</x:v>
      </x:c>
      <x:c r="K929" s="11" t="n">
        <x:f>CHOOSE('假设'!$B$3,H929,I929,J929)</x:f>
        <x:v>0</x:v>
      </x:c>
      <x:c r="L929" s="11" t="n">
        <x:f>K929*'管线假设'!E219*'管线假设'!F219*'管线假设'!G219*IF(E929="USD",'管线假设'!I219,1)-AM929</x:f>
        <x:v>0</x:v>
      </x:c>
      <x:c r="M929" s="11" t="n">
        <x:f>'管线假设'!H219</x:f>
        <x:v>0.125</x:v>
      </x:c>
      <x:c r="N929" s="11" t="n">
        <x:f>IF(G929,L929*AN929/(1+M929)^F929,0)</x:f>
        <x:v>0</x:v>
      </x:c>
      <x:c r="AJ929" t="n">
        <x:v>0</x:v>
      </x:c>
      <x:c r="AK929" t="n">
        <x:v>0</x:v>
      </x:c>
      <x:c r="AL929" t="n">
        <x:v>0</x:v>
      </x:c>
      <x:c r="AM929" t="n">
        <x:f>CHOOSE('假设'!$B$3,AJ929,AK929,AL929)</x:f>
        <x:v>0</x:v>
      </x:c>
      <x:c r="AN929" t="n">
        <x:v>1</x:v>
      </x:c>
    </x:row>
    <x:row r="930" ht="23" customHeight="1">
      <x:c r="A930" s="11" t="str">
        <x:v>688192.SH</x:v>
      </x:c>
      <x:c r="B930" s="11" t="str">
        <x:v>一年</x:v>
      </x:c>
      <x:c r="C930" s="11" t="str">
        <x:v>dzd6008</x:v>
      </x:c>
      <x:c r="D930" s="11" t="str">
        <x:v>2028-12-31</x:v>
      </x:c>
      <x:c r="E930" s="11" t="str">
        <x:v>USD</x:v>
      </x:c>
      <x:c r="F930" s="11" t="n">
        <x:v>1.2292950034223136</x:v>
      </x:c>
      <x:c r="G930" s="26" t="b">
        <x:v>1</x:v>
      </x:c>
      <x:c r="H930" s="16" t="n">
        <x:v>0</x:v>
      </x:c>
      <x:c r="I930" s="16" t="n">
        <x:v>0</x:v>
      </x:c>
      <x:c r="J930" s="16" t="n">
        <x:v>0</x:v>
      </x:c>
      <x:c r="K930" s="11" t="n">
        <x:f>CHOOSE('假设'!$B$3,H930,I930,J930)</x:f>
        <x:v>0</x:v>
      </x:c>
      <x:c r="L930" s="11" t="n">
        <x:f>K930*'管线假设'!E219*'管线假设'!F219*'管线假设'!G219*IF(E930="USD",'管线假设'!I219,1)-AM930</x:f>
        <x:v>0</x:v>
      </x:c>
      <x:c r="M930" s="11" t="n">
        <x:f>'管线假设'!H219</x:f>
        <x:v>0.125</x:v>
      </x:c>
      <x:c r="N930" s="11" t="n">
        <x:f>IF(G930,L930*AN930/(1+M930)^F930,0)</x:f>
        <x:v>0</x:v>
      </x:c>
      <x:c r="AJ930" t="n">
        <x:v>0</x:v>
      </x:c>
      <x:c r="AK930" t="n">
        <x:v>0</x:v>
      </x:c>
      <x:c r="AL930" t="n">
        <x:v>0</x:v>
      </x:c>
      <x:c r="AM930" t="n">
        <x:f>CHOOSE('假设'!$B$3,AJ930,AK930,AL930)</x:f>
        <x:v>0</x:v>
      </x:c>
      <x:c r="AN930" t="n">
        <x:v>1</x:v>
      </x:c>
    </x:row>
    <x:row r="931" ht="23" customHeight="1">
      <x:c r="A931" s="11" t="str">
        <x:v>688192.SH</x:v>
      </x:c>
      <x:c r="B931" s="11" t="str">
        <x:v>一年</x:v>
      </x:c>
      <x:c r="C931" s="11" t="str">
        <x:v>dzd6008</x:v>
      </x:c>
      <x:c r="D931" s="11" t="str">
        <x:v>2029-12-31</x:v>
      </x:c>
      <x:c r="E931" s="11" t="str">
        <x:v>USD</x:v>
      </x:c>
      <x:c r="F931" s="11" t="n">
        <x:v>2.2286105407255303</x:v>
      </x:c>
      <x:c r="G931" s="26" t="b">
        <x:v>1</x:v>
      </x:c>
      <x:c r="H931" s="16" t="n">
        <x:v>0</x:v>
      </x:c>
      <x:c r="I931" s="16" t="n">
        <x:v>0</x:v>
      </x:c>
      <x:c r="J931" s="16" t="n">
        <x:v>0.75</x:v>
      </x:c>
      <x:c r="K931" s="11" t="n">
        <x:f>CHOOSE('假设'!$B$3,H931,I931,J931)</x:f>
        <x:v>0</x:v>
      </x:c>
      <x:c r="L931" s="11" t="n">
        <x:f>K931*'管线假设'!E219*'管线假设'!F219*'管线假设'!G219*IF(E931="USD",'管线假设'!I219,1)-AM931</x:f>
        <x:v>0</x:v>
      </x:c>
      <x:c r="M931" s="11" t="n">
        <x:f>'管线假设'!H219</x:f>
        <x:v>0.125</x:v>
      </x:c>
      <x:c r="N931" s="11" t="n">
        <x:f>IF(G931,L931*AN931/(1+M931)^F931,0)</x:f>
        <x:v>0</x:v>
      </x:c>
      <x:c r="AJ931" t="n">
        <x:v>0</x:v>
      </x:c>
      <x:c r="AK931" t="n">
        <x:v>0</x:v>
      </x:c>
      <x:c r="AL931" t="n">
        <x:v>0</x:v>
      </x:c>
      <x:c r="AM931" t="n">
        <x:f>CHOOSE('假设'!$B$3,AJ931,AK931,AL931)</x:f>
        <x:v>0</x:v>
      </x:c>
      <x:c r="AN931" t="n">
        <x:v>1</x:v>
      </x:c>
    </x:row>
    <x:row r="932" ht="23" customHeight="1">
      <x:c r="A932" s="11" t="str">
        <x:v>688192.SH</x:v>
      </x:c>
      <x:c r="B932" s="11" t="str">
        <x:v>一年</x:v>
      </x:c>
      <x:c r="C932" s="11" t="str">
        <x:v>dzd6008</x:v>
      </x:c>
      <x:c r="D932" s="11" t="str">
        <x:v>2030-12-31</x:v>
      </x:c>
      <x:c r="E932" s="11" t="str">
        <x:v>USD</x:v>
      </x:c>
      <x:c r="F932" s="11" t="n">
        <x:v>3.2279260780287475</x:v>
      </x:c>
      <x:c r="G932" s="26" t="b">
        <x:v>1</x:v>
      </x:c>
      <x:c r="H932" s="16" t="n">
        <x:v>0</x:v>
      </x:c>
      <x:c r="I932" s="16" t="n">
        <x:v>0</x:v>
      </x:c>
      <x:c r="J932" s="16" t="n">
        <x:v>1.5</x:v>
      </x:c>
      <x:c r="K932" s="11" t="n">
        <x:f>CHOOSE('假设'!$B$3,H932,I932,J932)</x:f>
        <x:v>0</x:v>
      </x:c>
      <x:c r="L932" s="11" t="n">
        <x:f>K932*'管线假设'!E219*'管线假设'!F219*'管线假设'!G219*IF(E932="USD",'管线假设'!I219,1)-AM932</x:f>
        <x:v>0</x:v>
      </x:c>
      <x:c r="M932" s="11" t="n">
        <x:f>'管线假设'!H219</x:f>
        <x:v>0.125</x:v>
      </x:c>
      <x:c r="N932" s="11" t="n">
        <x:f>IF(G932,L932*AN932/(1+M932)^F932,0)</x:f>
        <x:v>0</x:v>
      </x:c>
      <x:c r="AJ932" t="n">
        <x:v>0</x:v>
      </x:c>
      <x:c r="AK932" t="n">
        <x:v>0</x:v>
      </x:c>
      <x:c r="AL932" t="n">
        <x:v>0</x:v>
      </x:c>
      <x:c r="AM932" t="n">
        <x:f>CHOOSE('假设'!$B$3,AJ932,AK932,AL932)</x:f>
        <x:v>0</x:v>
      </x:c>
      <x:c r="AN932" t="n">
        <x:v>1</x:v>
      </x:c>
    </x:row>
    <x:row r="933" ht="23" customHeight="1">
      <x:c r="A933" s="11" t="str">
        <x:v>688192.SH</x:v>
      </x:c>
      <x:c r="B933" s="11" t="str">
        <x:v>一年</x:v>
      </x:c>
      <x:c r="C933" s="11" t="str">
        <x:v>dzd6008</x:v>
      </x:c>
      <x:c r="D933" s="11" t="str">
        <x:v>2031-12-31</x:v>
      </x:c>
      <x:c r="E933" s="11" t="str">
        <x:v>USD</x:v>
      </x:c>
      <x:c r="F933" s="11" t="n">
        <x:v>4.227241615331964</x:v>
      </x:c>
      <x:c r="G933" s="26" t="b">
        <x:v>1</x:v>
      </x:c>
      <x:c r="H933" s="16" t="n">
        <x:v>0</x:v>
      </x:c>
      <x:c r="I933" s="16" t="n">
        <x:v>0.41666666666666663</x:v>
      </x:c>
      <x:c r="J933" s="16" t="n">
        <x:v>2.25</x:v>
      </x:c>
      <x:c r="K933" s="11" t="n">
        <x:f>CHOOSE('假设'!$B$3,H933,I933,J933)</x:f>
        <x:v>0.41666666666666663</x:v>
      </x:c>
      <x:c r="L933" s="11" t="n">
        <x:f>K933*'管线假设'!E219*'管线假设'!F219*'管线假设'!G219*IF(E933="USD",'管线假设'!I219,1)-AM933</x:f>
        <x:v>0.3227733333333333</x:v>
      </x:c>
      <x:c r="M933" s="11" t="n">
        <x:f>'管线假设'!H219</x:f>
        <x:v>0.125</x:v>
      </x:c>
      <x:c r="N933" s="11" t="n">
        <x:f>IF(G933,L933*AN933/(1+M933)^F933,0)</x:f>
        <x:v>0.19618399572680945</x:v>
      </x:c>
      <x:c r="AJ933" t="n">
        <x:v>0</x:v>
      </x:c>
      <x:c r="AK933" t="n">
        <x:v>0</x:v>
      </x:c>
      <x:c r="AL933" t="n">
        <x:v>0</x:v>
      </x:c>
      <x:c r="AM933" t="n">
        <x:f>CHOOSE('假设'!$B$3,AJ933,AK933,AL933)</x:f>
        <x:v>0</x:v>
      </x:c>
      <x:c r="AN933" t="n">
        <x:v>1</x:v>
      </x:c>
    </x:row>
    <x:row r="934" ht="23" customHeight="1">
      <x:c r="A934" s="11" t="str">
        <x:v>688192.SH</x:v>
      </x:c>
      <x:c r="B934" s="11" t="str">
        <x:v>一年</x:v>
      </x:c>
      <x:c r="C934" s="11" t="str">
        <x:v>dzd6008</x:v>
      </x:c>
      <x:c r="D934" s="11" t="str">
        <x:v>2032-12-31</x:v>
      </x:c>
      <x:c r="E934" s="11" t="str">
        <x:v>USD</x:v>
      </x:c>
      <x:c r="F934" s="11" t="n">
        <x:v>5.229295003422314</x:v>
      </x:c>
      <x:c r="G934" s="26" t="b">
        <x:v>1</x:v>
      </x:c>
      <x:c r="H934" s="16" t="n">
        <x:v>0</x:v>
      </x:c>
      <x:c r="I934" s="16" t="n">
        <x:v>0.8333333333333333</x:v>
      </x:c>
      <x:c r="J934" s="16" t="n">
        <x:v>3</x:v>
      </x:c>
      <x:c r="K934" s="11" t="n">
        <x:f>CHOOSE('假设'!$B$3,H934,I934,J934)</x:f>
        <x:v>0.8333333333333333</x:v>
      </x:c>
      <x:c r="L934" s="11" t="n">
        <x:f>K934*'管线假设'!E219*'管线假设'!F219*'管线假设'!G219*IF(E934="USD",'管线假设'!I219,1)-AM934</x:f>
        <x:v>0.6455466666666666</x:v>
      </x:c>
      <x:c r="M934" s="11" t="n">
        <x:f>'管线假设'!H219</x:f>
        <x:v>0.125</x:v>
      </x:c>
      <x:c r="N934" s="11" t="n">
        <x:f>IF(G934,L934*AN934/(1+M934)^F934,0)</x:f>
        <x:v>0.3486872062658388</x:v>
      </x:c>
      <x:c r="AJ934" t="n">
        <x:v>0</x:v>
      </x:c>
      <x:c r="AK934" t="n">
        <x:v>0</x:v>
      </x:c>
      <x:c r="AL934" t="n">
        <x:v>0</x:v>
      </x:c>
      <x:c r="AM934" t="n">
        <x:f>CHOOSE('假设'!$B$3,AJ934,AK934,AL934)</x:f>
        <x:v>0</x:v>
      </x:c>
      <x:c r="AN934" t="n">
        <x:v>1</x:v>
      </x:c>
    </x:row>
    <x:row r="935" ht="23" customHeight="1">
      <x:c r="A935" s="11" t="str">
        <x:v>688192.SH</x:v>
      </x:c>
      <x:c r="B935" s="11" t="str">
        <x:v>一年</x:v>
      </x:c>
      <x:c r="C935" s="11" t="str">
        <x:v>dzd6008</x:v>
      </x:c>
      <x:c r="D935" s="11" t="str">
        <x:v>2033-12-31</x:v>
      </x:c>
      <x:c r="E935" s="11" t="str">
        <x:v>USD</x:v>
      </x:c>
      <x:c r="F935" s="11" t="n">
        <x:v>6.228610540725531</x:v>
      </x:c>
      <x:c r="G935" s="26" t="b">
        <x:v>1</x:v>
      </x:c>
      <x:c r="H935" s="16" t="n">
        <x:v>0</x:v>
      </x:c>
      <x:c r="I935" s="16" t="n">
        <x:v>1.25</x:v>
      </x:c>
      <x:c r="J935" s="16" t="n">
        <x:v>3.75</x:v>
      </x:c>
      <x:c r="K935" s="11" t="n">
        <x:f>CHOOSE('假设'!$B$3,H935,I935,J935)</x:f>
        <x:v>1.25</x:v>
      </x:c>
      <x:c r="L935" s="11" t="n">
        <x:f>K935*'管线假设'!E219*'管线假设'!F219*'管线假设'!G219*IF(E935="USD",'管线假设'!I219,1)-AM935</x:f>
        <x:v>0.96832</x:v>
      </x:c>
      <x:c r="M935" s="11" t="n">
        <x:f>'管线假设'!H219</x:f>
        <x:v>0.125</x:v>
      </x:c>
      <x:c r="N935" s="11" t="n">
        <x:f>IF(G935,L935*AN935/(1+M935)^F935,0)</x:f>
        <x:v>0.4649537571960332</x:v>
      </x:c>
      <x:c r="AJ935" t="n">
        <x:v>0</x:v>
      </x:c>
      <x:c r="AK935" t="n">
        <x:v>0</x:v>
      </x:c>
      <x:c r="AL935" t="n">
        <x:v>0</x:v>
      </x:c>
      <x:c r="AM935" t="n">
        <x:f>CHOOSE('假设'!$B$3,AJ935,AK935,AL935)</x:f>
        <x:v>0</x:v>
      </x:c>
      <x:c r="AN935" t="n">
        <x:v>1</x:v>
      </x:c>
    </x:row>
    <x:row r="936" ht="23" customHeight="1">
      <x:c r="A936" s="11" t="str">
        <x:v>688192.SH</x:v>
      </x:c>
      <x:c r="B936" s="11" t="str">
        <x:v>一年</x:v>
      </x:c>
      <x:c r="C936" s="11" t="str">
        <x:v>dzd6008</x:v>
      </x:c>
      <x:c r="D936" s="11" t="str">
        <x:v>2034-12-31</x:v>
      </x:c>
      <x:c r="E936" s="11" t="str">
        <x:v>USD</x:v>
      </x:c>
      <x:c r="F936" s="11" t="n">
        <x:v>7.227926078028747</x:v>
      </x:c>
      <x:c r="G936" s="26" t="b">
        <x:v>1</x:v>
      </x:c>
      <x:c r="H936" s="16" t="n">
        <x:v>0.16000000000000003</x:v>
      </x:c>
      <x:c r="I936" s="16" t="n">
        <x:v>1.6666666666666665</x:v>
      </x:c>
      <x:c r="J936" s="16" t="n">
        <x:v>4.5</x:v>
      </x:c>
      <x:c r="K936" s="11" t="n">
        <x:f>CHOOSE('假设'!$B$3,H936,I936,J936)</x:f>
        <x:v>1.6666666666666665</x:v>
      </x:c>
      <x:c r="L936" s="11" t="n">
        <x:f>K936*'管线假设'!E219*'管线假设'!F219*'管线假设'!G219*IF(E936="USD",'管线假设'!I219,1)-AM936</x:f>
        <x:v>1.2910933333333332</x:v>
      </x:c>
      <x:c r="M936" s="11" t="n">
        <x:f>'管线假设'!H219</x:f>
        <x:v>0.125</x:v>
      </x:c>
      <x:c r="N936" s="11" t="n">
        <x:f>IF(G936,L936*AN936/(1+M936)^F936,0)</x:f>
        <x:v>0.5511007317248134</x:v>
      </x:c>
      <x:c r="AJ936" t="n">
        <x:v>0</x:v>
      </x:c>
      <x:c r="AK936" t="n">
        <x:v>0</x:v>
      </x:c>
      <x:c r="AL936" t="n">
        <x:v>0</x:v>
      </x:c>
      <x:c r="AM936" t="n">
        <x:f>CHOOSE('假设'!$B$3,AJ936,AK936,AL936)</x:f>
        <x:v>0</x:v>
      </x:c>
      <x:c r="AN936" t="n">
        <x:v>1</x:v>
      </x:c>
    </x:row>
    <x:row r="937" ht="23" customHeight="1">
      <x:c r="A937" s="11" t="str">
        <x:v>688192.SH</x:v>
      </x:c>
      <x:c r="B937" s="11" t="str">
        <x:v>一年</x:v>
      </x:c>
      <x:c r="C937" s="11" t="str">
        <x:v>dzd6008</x:v>
      </x:c>
      <x:c r="D937" s="11" t="str">
        <x:v>2035-12-31</x:v>
      </x:c>
      <x:c r="E937" s="11" t="str">
        <x:v>USD</x:v>
      </x:c>
      <x:c r="F937" s="11" t="n">
        <x:v>8.227241615331964</x:v>
      </x:c>
      <x:c r="G937" s="26" t="b">
        <x:v>1</x:v>
      </x:c>
      <x:c r="H937" s="16" t="n">
        <x:v>0.32000000000000006</x:v>
      </x:c>
      <x:c r="I937" s="16" t="n">
        <x:v>2.0833333333333335</x:v>
      </x:c>
      <x:c r="J937" s="16" t="n">
        <x:v>3.96</x:v>
      </x:c>
      <x:c r="K937" s="11" t="n">
        <x:f>CHOOSE('假设'!$B$3,H937,I937,J937)</x:f>
        <x:v>2.0833333333333335</x:v>
      </x:c>
      <x:c r="L937" s="11" t="n">
        <x:f>K937*'管线假设'!E219*'管线假设'!F219*'管线假设'!G219*IF(E937="USD",'管线假设'!I219,1)-AM937</x:f>
        <x:v>1.6138666666666668</x:v>
      </x:c>
      <x:c r="M937" s="11" t="n">
        <x:f>'管线假设'!H219</x:f>
        <x:v>0.125</x:v>
      </x:c>
      <x:c r="N937" s="11" t="n">
        <x:f>IF(G937,L937*AN937/(1+M937)^F937,0)</x:f>
        <x:v>0.6123835135627279</x:v>
      </x:c>
      <x:c r="AJ937" t="n">
        <x:v>0</x:v>
      </x:c>
      <x:c r="AK937" t="n">
        <x:v>0</x:v>
      </x:c>
      <x:c r="AL937" t="n">
        <x:v>0</x:v>
      </x:c>
      <x:c r="AM937" t="n">
        <x:f>CHOOSE('假设'!$B$3,AJ937,AK937,AL937)</x:f>
        <x:v>0</x:v>
      </x:c>
      <x:c r="AN937" t="n">
        <x:v>1</x:v>
      </x:c>
    </x:row>
    <x:row r="938" ht="23" customHeight="1">
      <x:c r="A938" s="11" t="str">
        <x:v>688192.SH</x:v>
      </x:c>
      <x:c r="B938" s="11" t="str">
        <x:v>一年</x:v>
      </x:c>
      <x:c r="C938" s="11" t="str">
        <x:v>dzd6008</x:v>
      </x:c>
      <x:c r="D938" s="11" t="str">
        <x:v>2036-12-31</x:v>
      </x:c>
      <x:c r="E938" s="11" t="str">
        <x:v>USD</x:v>
      </x:c>
      <x:c r="F938" s="11" t="n">
        <x:v>9.229295003422314</x:v>
      </x:c>
      <x:c r="G938" s="26" t="b">
        <x:v>1</x:v>
      </x:c>
      <x:c r="H938" s="16" t="n">
        <x:v>0.48</x:v>
      </x:c>
      <x:c r="I938" s="16" t="n">
        <x:v>2.5</x:v>
      </x:c>
      <x:c r="J938" s="16" t="n">
        <x:v>3.42</x:v>
      </x:c>
      <x:c r="K938" s="11" t="n">
        <x:f>CHOOSE('假设'!$B$3,H938,I938,J938)</x:f>
        <x:v>2.5</x:v>
      </x:c>
      <x:c r="L938" s="11" t="n">
        <x:f>K938*'管线假设'!E219*'管线假设'!F219*'管线假设'!G219*IF(E938="USD",'管线假设'!I219,1)-AM938</x:f>
        <x:v>1.93664</x:v>
      </x:c>
      <x:c r="M938" s="11" t="n">
        <x:f>'管线假设'!H219</x:f>
        <x:v>0.125</x:v>
      </x:c>
      <x:c r="N938" s="11" t="n">
        <x:f>IF(G938,L938*AN938/(1+M938)^F938,0)</x:f>
        <x:v>0.6530511188225312</x:v>
      </x:c>
      <x:c r="AJ938" t="n">
        <x:v>0</x:v>
      </x:c>
      <x:c r="AK938" t="n">
        <x:v>0</x:v>
      </x:c>
      <x:c r="AL938" t="n">
        <x:v>0</x:v>
      </x:c>
      <x:c r="AM938" t="n">
        <x:f>CHOOSE('假设'!$B$3,AJ938,AK938,AL938)</x:f>
        <x:v>0</x:v>
      </x:c>
      <x:c r="AN938" t="n">
        <x:v>1</x:v>
      </x:c>
    </x:row>
    <x:row r="939" ht="23" customHeight="1">
      <x:c r="A939" s="11" t="str">
        <x:v>688192.SH</x:v>
      </x:c>
      <x:c r="B939" s="11" t="str">
        <x:v>一年</x:v>
      </x:c>
      <x:c r="C939" s="11" t="str">
        <x:v>dzd6008</x:v>
      </x:c>
      <x:c r="D939" s="11" t="str">
        <x:v>2037-12-31</x:v>
      </x:c>
      <x:c r="E939" s="11" t="str">
        <x:v>USD</x:v>
      </x:c>
      <x:c r="F939" s="11" t="n">
        <x:v>10.22861054072553</x:v>
      </x:c>
      <x:c r="G939" s="26" t="b">
        <x:v>1</x:v>
      </x:c>
      <x:c r="H939" s="16" t="n">
        <x:v>0.6400000000000001</x:v>
      </x:c>
      <x:c r="I939" s="16" t="n">
        <x:v>2.2</x:v>
      </x:c>
      <x:c r="J939" s="16" t="n">
        <x:v>2.88</x:v>
      </x:c>
      <x:c r="K939" s="11" t="n">
        <x:f>CHOOSE('假设'!$B$3,H939,I939,J939)</x:f>
        <x:v>2.2</x:v>
      </x:c>
      <x:c r="L939" s="11" t="n">
        <x:f>K939*'管线假设'!E219*'管线假设'!F219*'管线假设'!G219*IF(E939="USD",'管线假设'!I219,1)-AM939</x:f>
        <x:v>1.7042432</x:v>
      </x:c>
      <x:c r="M939" s="11" t="n">
        <x:f>'管线假设'!H219</x:f>
        <x:v>0.125</x:v>
      </x:c>
      <x:c r="N939" s="11" t="n">
        <x:f>IF(G939,L939*AN939/(1+M939)^F939,0)</x:f>
        <x:v>0.5108722812796702</x:v>
      </x:c>
      <x:c r="AJ939" t="n">
        <x:v>0</x:v>
      </x:c>
      <x:c r="AK939" t="n">
        <x:v>0</x:v>
      </x:c>
      <x:c r="AL939" t="n">
        <x:v>0</x:v>
      </x:c>
      <x:c r="AM939" t="n">
        <x:f>CHOOSE('假设'!$B$3,AJ939,AK939,AL939)</x:f>
        <x:v>0</x:v>
      </x:c>
      <x:c r="AN939" t="n">
        <x:v>1</x:v>
      </x:c>
    </x:row>
    <x:row r="940" ht="23" customHeight="1">
      <x:c r="A940" s="11" t="str">
        <x:v>688192.SH</x:v>
      </x:c>
      <x:c r="B940" s="11" t="str">
        <x:v>一年</x:v>
      </x:c>
      <x:c r="C940" s="11" t="str">
        <x:v>dzd6008</x:v>
      </x:c>
      <x:c r="D940" s="11" t="str">
        <x:v>2038-12-31</x:v>
      </x:c>
      <x:c r="E940" s="11" t="str">
        <x:v>USD</x:v>
      </x:c>
      <x:c r="F940" s="11" t="n">
        <x:v>11.227926078028748</x:v>
      </x:c>
      <x:c r="G940" s="26" t="b">
        <x:v>1</x:v>
      </x:c>
      <x:c r="H940" s="16" t="n">
        <x:v>0.8</x:v>
      </x:c>
      <x:c r="I940" s="16" t="n">
        <x:v>1.9</x:v>
      </x:c>
      <x:c r="J940" s="16" t="n">
        <x:v>2.34</x:v>
      </x:c>
      <x:c r="K940" s="11" t="n">
        <x:f>CHOOSE('假设'!$B$3,H940,I940,J940)</x:f>
        <x:v>1.9</x:v>
      </x:c>
      <x:c r="L940" s="11" t="n">
        <x:f>K940*'管线假设'!E219*'管线假设'!F219*'管线假设'!G219*IF(E940="USD",'管线假设'!I219,1)-AM940</x:f>
        <x:v>1.4718463999999998</x:v>
      </x:c>
      <x:c r="M940" s="11" t="n">
        <x:f>'管线假设'!H219</x:f>
        <x:v>0.125</x:v>
      </x:c>
      <x:c r="N940" s="11" t="n">
        <x:f>IF(G940,L940*AN940/(1+M940)^F940,0)</x:f>
        <x:v>0.3922164000526006</x:v>
      </x:c>
      <x:c r="AJ940" t="n">
        <x:v>0</x:v>
      </x:c>
      <x:c r="AK940" t="n">
        <x:v>0</x:v>
      </x:c>
      <x:c r="AL940" t="n">
        <x:v>0</x:v>
      </x:c>
      <x:c r="AM940" t="n">
        <x:f>CHOOSE('假设'!$B$3,AJ940,AK940,AL940)</x:f>
        <x:v>0</x:v>
      </x:c>
      <x:c r="AN940" t="n">
        <x:v>1</x:v>
      </x:c>
    </x:row>
    <x:row r="941" ht="23" customHeight="1">
      <x:c r="A941" s="11" t="str">
        <x:v>688192.SH</x:v>
      </x:c>
      <x:c r="B941" s="11" t="str">
        <x:v>一年</x:v>
      </x:c>
      <x:c r="C941" s="11" t="str">
        <x:v>dzd6008</x:v>
      </x:c>
      <x:c r="D941" s="11" t="str">
        <x:v>2039-12-31</x:v>
      </x:c>
      <x:c r="E941" s="11" t="str">
        <x:v>USD</x:v>
      </x:c>
      <x:c r="F941" s="11" t="n">
        <x:v>12.227241615331964</x:v>
      </x:c>
      <x:c r="G941" s="26" t="b">
        <x:v>1</x:v>
      </x:c>
      <x:c r="H941" s="16" t="n">
        <x:v>0.7040000000000001</x:v>
      </x:c>
      <x:c r="I941" s="16" t="n">
        <x:v>1.6</x:v>
      </x:c>
      <x:c r="J941" s="16" t="n">
        <x:v>1.8</x:v>
      </x:c>
      <x:c r="K941" s="11" t="n">
        <x:f>CHOOSE('假设'!$B$3,H941,I941,J941)</x:f>
        <x:v>1.6</x:v>
      </x:c>
      <x:c r="L941" s="11" t="n">
        <x:f>K941*'管线假设'!E219*'管线假设'!F219*'管线假设'!G219*IF(E941="USD",'管线假设'!I219,1)-AM941</x:f>
        <x:v>1.2394496</x:v>
      </x:c>
      <x:c r="M941" s="11" t="n">
        <x:f>'管线假设'!H219</x:f>
        <x:v>0.125</x:v>
      </x:c>
      <x:c r="N941" s="11" t="n">
        <x:f>IF(G941,L941*AN941/(1+M941)^F941,0)</x:f>
        <x:v>0.2936125537803159</x:v>
      </x:c>
      <x:c r="AJ941" t="n">
        <x:v>0</x:v>
      </x:c>
      <x:c r="AK941" t="n">
        <x:v>0</x:v>
      </x:c>
      <x:c r="AL941" t="n">
        <x:v>0</x:v>
      </x:c>
      <x:c r="AM941" t="n">
        <x:f>CHOOSE('假设'!$B$3,AJ941,AK941,AL941)</x:f>
        <x:v>0</x:v>
      </x:c>
      <x:c r="AN941" t="n">
        <x:v>1</x:v>
      </x:c>
    </x:row>
    <x:row r="942" ht="23" customHeight="1">
      <x:c r="A942" s="11" t="str">
        <x:v>688192.SH</x:v>
      </x:c>
      <x:c r="B942" s="11" t="str">
        <x:v>一年</x:v>
      </x:c>
      <x:c r="C942" s="11" t="str">
        <x:v>dzd6008</x:v>
      </x:c>
      <x:c r="D942" s="11" t="str">
        <x:v>2040-12-31</x:v>
      </x:c>
      <x:c r="E942" s="11" t="str">
        <x:v>USD</x:v>
      </x:c>
      <x:c r="F942" s="11" t="n">
        <x:v>13.229295003422314</x:v>
      </x:c>
      <x:c r="G942" s="26" t="b">
        <x:v>1</x:v>
      </x:c>
      <x:c r="H942" s="16" t="n">
        <x:v>0.6080000000000001</x:v>
      </x:c>
      <x:c r="I942" s="16" t="n">
        <x:v>1.3</x:v>
      </x:c>
      <x:c r="J942" s="16" t="n">
        <x:v>1.2600000000000002</x:v>
      </x:c>
      <x:c r="K942" s="11" t="n">
        <x:f>CHOOSE('假设'!$B$3,H942,I942,J942)</x:f>
        <x:v>1.3</x:v>
      </x:c>
      <x:c r="L942" s="11" t="n">
        <x:f>K942*'管线假设'!E219*'管线假设'!F219*'管线假设'!G219*IF(E942="USD",'管线假设'!I219,1)-AM942</x:f>
        <x:v>1.0070528</x:v>
      </x:c>
      <x:c r="M942" s="11" t="n">
        <x:f>'管线假设'!H219</x:f>
        <x:v>0.125</x:v>
      </x:c>
      <x:c r="N942" s="11" t="n">
        <x:f>IF(G942,L942*AN942/(1+M942)^F942,0)</x:f>
        <x:v>0.21200223121513273</x:v>
      </x:c>
      <x:c r="AJ942" t="n">
        <x:v>0</x:v>
      </x:c>
      <x:c r="AK942" t="n">
        <x:v>0</x:v>
      </x:c>
      <x:c r="AL942" t="n">
        <x:v>0</x:v>
      </x:c>
      <x:c r="AM942" t="n">
        <x:f>CHOOSE('假设'!$B$3,AJ942,AK942,AL942)</x:f>
        <x:v>0</x:v>
      </x:c>
      <x:c r="AN942" t="n">
        <x:v>1</x:v>
      </x:c>
    </x:row>
    <x:row r="943" ht="23" customHeight="1">
      <x:c r="A943" s="11" t="str">
        <x:v>688192.SH</x:v>
      </x:c>
      <x:c r="B943" s="11" t="str">
        <x:v>一年</x:v>
      </x:c>
      <x:c r="C943" s="11" t="str">
        <x:v>dzd6008</x:v>
      </x:c>
      <x:c r="D943" s="11" t="str">
        <x:v>2041-12-31</x:v>
      </x:c>
      <x:c r="E943" s="11" t="str">
        <x:v>USD</x:v>
      </x:c>
      <x:c r="F943" s="11" t="n">
        <x:v>14.22861054072553</x:v>
      </x:c>
      <x:c r="G943" s="26" t="b">
        <x:v>1</x:v>
      </x:c>
      <x:c r="H943" s="16" t="n">
        <x:v>0.512</x:v>
      </x:c>
      <x:c r="I943" s="16" t="n">
        <x:v>1</x:v>
      </x:c>
      <x:c r="J943" s="16" t="n">
        <x:v>0.7200000000000002</x:v>
      </x:c>
      <x:c r="K943" s="11" t="n">
        <x:f>CHOOSE('假设'!$B$3,H943,I943,J943)</x:f>
        <x:v>1</x:v>
      </x:c>
      <x:c r="L943" s="11" t="n">
        <x:f>K943*'管线假设'!E219*'管线假设'!F219*'管线假设'!G219*IF(E943="USD",'管线假设'!I219,1)-AM943</x:f>
        <x:v>0.7746559999999999</x:v>
      </x:c>
      <x:c r="M943" s="11" t="n">
        <x:f>'管线假设'!H219</x:f>
        <x:v>0.125</x:v>
      </x:c>
      <x:c r="N943" s="11" t="n">
        <x:f>IF(G943,L943*AN943/(1+M943)^F943,0)</x:f>
        <x:v>0.1449704773469627</x:v>
      </x:c>
      <x:c r="AJ943" t="n">
        <x:v>0</x:v>
      </x:c>
      <x:c r="AK943" t="n">
        <x:v>0</x:v>
      </x:c>
      <x:c r="AL943" t="n">
        <x:v>0</x:v>
      </x:c>
      <x:c r="AM943" t="n">
        <x:f>CHOOSE('假设'!$B$3,AJ943,AK943,AL943)</x:f>
        <x:v>0</x:v>
      </x:c>
      <x:c r="AN943" t="n">
        <x:v>1</x:v>
      </x:c>
    </x:row>
    <x:row r="944" ht="23" customHeight="1">
      <x:c r="A944" s="11" t="str">
        <x:v>688192.SH</x:v>
      </x:c>
      <x:c r="B944" s="11" t="str">
        <x:v>一年</x:v>
      </x:c>
      <x:c r="C944" s="11" t="str">
        <x:v>dzd6008</x:v>
      </x:c>
      <x:c r="D944" s="11" t="str">
        <x:v>2042-12-31</x:v>
      </x:c>
      <x:c r="E944" s="11" t="str">
        <x:v>USD</x:v>
      </x:c>
      <x:c r="F944" s="11" t="n">
        <x:v>15.227926078028748</x:v>
      </x:c>
      <x:c r="G944" s="26" t="b">
        <x:v>1</x:v>
      </x:c>
      <x:c r="H944" s="16" t="n">
        <x:v>0.41600000000000004</x:v>
      </x:c>
      <x:c r="I944" s="16" t="n">
        <x:v>0.7000000000000001</x:v>
      </x:c>
      <x:c r="J944" s="16" t="n">
        <x:v>0.18000000000000016</x:v>
      </x:c>
      <x:c r="K944" s="11" t="n">
        <x:f>CHOOSE('假设'!$B$3,H944,I944,J944)</x:f>
        <x:v>0.7000000000000001</x:v>
      </x:c>
      <x:c r="L944" s="11" t="n">
        <x:f>K944*'管线假设'!E219*'管线假设'!F219*'管线假设'!G219*IF(E944="USD",'管线假设'!I219,1)-AM944</x:f>
        <x:v>0.5422592</x:v>
      </x:c>
      <x:c r="M944" s="11" t="n">
        <x:f>'管线假设'!H219</x:f>
        <x:v>0.125</x:v>
      </x:c>
      <x:c r="N944" s="11" t="n">
        <x:f>IF(G944,L944*AN944/(1+M944)^F944,0)</x:f>
        <x:v>0.09021112492726692</x:v>
      </x:c>
      <x:c r="AJ944" t="n">
        <x:v>0</x:v>
      </x:c>
      <x:c r="AK944" t="n">
        <x:v>0</x:v>
      </x:c>
      <x:c r="AL944" t="n">
        <x:v>0</x:v>
      </x:c>
      <x:c r="AM944" t="n">
        <x:f>CHOOSE('假设'!$B$3,AJ944,AK944,AL944)</x:f>
        <x:v>0</x:v>
      </x:c>
      <x:c r="AN944" t="n">
        <x:v>1</x:v>
      </x:c>
    </x:row>
    <x:row r="945" ht="23" customHeight="1">
      <x:c r="A945" s="11" t="str">
        <x:v>688192.SH</x:v>
      </x:c>
      <x:c r="B945" s="11" t="str">
        <x:v>一年</x:v>
      </x:c>
      <x:c r="C945" s="11" t="str">
        <x:v>dzd6008</x:v>
      </x:c>
      <x:c r="D945" s="11" t="str">
        <x:v>2043-12-31</x:v>
      </x:c>
      <x:c r="E945" s="11" t="str">
        <x:v>USD</x:v>
      </x:c>
      <x:c r="F945" s="11" t="n">
        <x:v>16.227241615331966</x:v>
      </x:c>
      <x:c r="G945" s="26" t="b">
        <x:v>1</x:v>
      </x:c>
      <x:c r="H945" s="16" t="n">
        <x:v>0.32000000000000006</x:v>
      </x:c>
      <x:c r="I945" s="16" t="n">
        <x:v>0.4000000000000001</x:v>
      </x:c>
      <x:c r="J945" s="16" t="n">
        <x:v>0</x:v>
      </x:c>
      <x:c r="K945" s="11" t="n">
        <x:f>CHOOSE('假设'!$B$3,H945,I945,J945)</x:f>
        <x:v>0.4000000000000001</x:v>
      </x:c>
      <x:c r="L945" s="11" t="n">
        <x:f>K945*'管线假设'!E219*'管线假设'!F219*'管线假设'!G219*IF(E945="USD",'管线假设'!I219,1)-AM945</x:f>
        <x:v>0.3098624000000001</x:v>
      </x:c>
      <x:c r="M945" s="11" t="n">
        <x:f>'管线假设'!H219</x:f>
        <x:v>0.125</x:v>
      </x:c>
      <x:c r="N945" s="11" t="n">
        <x:f>IF(G945,L945*AN945/(1+M945)^F945,0)</x:f>
        <x:v>0.045825217965408255</x:v>
      </x:c>
      <x:c r="AJ945" t="n">
        <x:v>0</x:v>
      </x:c>
      <x:c r="AK945" t="n">
        <x:v>0</x:v>
      </x:c>
      <x:c r="AL945" t="n">
        <x:v>0</x:v>
      </x:c>
      <x:c r="AM945" t="n">
        <x:f>CHOOSE('假设'!$B$3,AJ945,AK945,AL945)</x:f>
        <x:v>0</x:v>
      </x:c>
      <x:c r="AN945" t="n">
        <x:v>1</x:v>
      </x:c>
    </x:row>
    <x:row r="946" ht="23" customHeight="1">
      <x:c r="A946" s="11" t="str">
        <x:v>688192.SH</x:v>
      </x:c>
      <x:c r="B946" s="11" t="str">
        <x:v>一年</x:v>
      </x:c>
      <x:c r="C946" s="11" t="str">
        <x:v>dzd6008</x:v>
      </x:c>
      <x:c r="D946" s="11" t="str">
        <x:v>2044-12-31</x:v>
      </x:c>
      <x:c r="E946" s="11" t="str">
        <x:v>USD</x:v>
      </x:c>
      <x:c r="F946" s="11" t="n">
        <x:v>17.229295003422312</x:v>
      </x:c>
      <x:c r="G946" s="26" t="b">
        <x:v>1</x:v>
      </x:c>
      <x:c r="H946" s="16" t="n">
        <x:v>0.22400000000000003</x:v>
      </x:c>
      <x:c r="I946" s="16" t="n">
        <x:v>0.10000000000000009</x:v>
      </x:c>
      <x:c r="J946" s="16" t="n">
        <x:v>0</x:v>
      </x:c>
      <x:c r="K946" s="11" t="n">
        <x:f>CHOOSE('假设'!$B$3,H946,I946,J946)</x:f>
        <x:v>0.10000000000000009</x:v>
      </x:c>
      <x:c r="L946" s="11" t="n">
        <x:f>K946*'管线假设'!E219*'管线假设'!F219*'管线假设'!G219*IF(E946="USD",'管线假设'!I219,1)-AM946</x:f>
        <x:v>0.07746560000000006</x:v>
      </x:c>
      <x:c r="M946" s="11" t="n">
        <x:f>'管线假设'!H219</x:f>
        <x:v>0.125</x:v>
      </x:c>
      <x:c r="N946" s="11" t="n">
        <x:f>IF(G946,L946*AN946/(1+M946)^F946,0)</x:f>
        <x:v>0.010180919173404437</x:v>
      </x:c>
      <x:c r="AJ946" t="n">
        <x:v>0</x:v>
      </x:c>
      <x:c r="AK946" t="n">
        <x:v>0</x:v>
      </x:c>
      <x:c r="AL946" t="n">
        <x:v>0</x:v>
      </x:c>
      <x:c r="AM946" t="n">
        <x:f>CHOOSE('假设'!$B$3,AJ946,AK946,AL946)</x:f>
        <x:v>0</x:v>
      </x:c>
      <x:c r="AN946" t="n">
        <x:v>1</x:v>
      </x:c>
    </x:row>
    <x:row r="947" ht="23" customHeight="1">
      <x:c r="A947" s="11" t="str">
        <x:v>688192.SH</x:v>
      </x:c>
      <x:c r="B947" s="11" t="str">
        <x:v>一年</x:v>
      </x:c>
      <x:c r="C947" s="11" t="str">
        <x:v>dzd6008</x:v>
      </x:c>
      <x:c r="D947" s="11" t="str">
        <x:v>2045-12-31</x:v>
      </x:c>
      <x:c r="E947" s="11" t="str">
        <x:v>USD</x:v>
      </x:c>
      <x:c r="F947" s="11" t="n">
        <x:v>18.22861054072553</x:v>
      </x:c>
      <x:c r="G947" s="26" t="b">
        <x:v>1</x:v>
      </x:c>
      <x:c r="H947" s="16" t="n">
        <x:v>0.12800000000000003</x:v>
      </x:c>
      <x:c r="I947" s="16" t="n">
        <x:v>0</x:v>
      </x:c>
      <x:c r="J947" s="16" t="n">
        <x:v>0</x:v>
      </x:c>
      <x:c r="K947" s="11" t="n">
        <x:f>CHOOSE('假设'!$B$3,H947,I947,J947)</x:f>
        <x:v>0</x:v>
      </x:c>
      <x:c r="L947" s="11" t="n">
        <x:f>K947*'管线假设'!E219*'管线假设'!F219*'管线假设'!G219*IF(E947="USD",'管线假设'!I219,1)-AM947</x:f>
        <x:v>0</x:v>
      </x:c>
      <x:c r="M947" s="11" t="n">
        <x:f>'管线假设'!H219</x:f>
        <x:v>0.125</x:v>
      </x:c>
      <x:c r="N947" s="11" t="n">
        <x:f>IF(G947,L947*AN947/(1+M947)^F947,0)</x:f>
        <x:v>0</x:v>
      </x:c>
      <x:c r="AJ947" t="n">
        <x:v>0</x:v>
      </x:c>
      <x:c r="AK947" t="n">
        <x:v>0</x:v>
      </x:c>
      <x:c r="AL947" t="n">
        <x:v>0</x:v>
      </x:c>
      <x:c r="AM947" t="n">
        <x:f>CHOOSE('假设'!$B$3,AJ947,AK947,AL947)</x:f>
        <x:v>0</x:v>
      </x:c>
      <x:c r="AN947" t="n">
        <x:v>1</x:v>
      </x:c>
    </x:row>
    <x:row r="948" ht="23" customHeight="1">
      <x:c r="A948" s="11" t="str">
        <x:v>688192.SH</x:v>
      </x:c>
      <x:c r="B948" s="11" t="str">
        <x:v>三年</x:v>
      </x:c>
      <x:c r="C948" s="11" t="str">
        <x:v>sun_later</x:v>
      </x:c>
      <x:c r="D948" s="11" t="str">
        <x:v>2027-12-31</x:v>
      </x:c>
      <x:c r="E948" s="11" t="str">
        <x:v>USD</x:v>
      </x:c>
      <x:c r="F948" s="11" t="n">
        <x:v>-1.7741273100616017</x:v>
      </x:c>
      <x:c r="G948" s="26" t="b">
        <x:v>0</x:v>
      </x:c>
      <x:c r="H948" s="16" t="n">
        <x:v>0.06999999999999999</x:v>
      </x:c>
      <x:c r="I948" s="16" t="n">
        <x:v>0.13</x:v>
      </x:c>
      <x:c r="J948" s="16" t="n">
        <x:v>0.275</x:v>
      </x:c>
      <x:c r="K948" s="11" t="n">
        <x:f>CHOOSE('假设'!$B$3,H948,I948,J948)</x:f>
        <x:v>0.13</x:v>
      </x:c>
      <x:c r="L948" s="11" t="n">
        <x:f>K948*'管线假设'!E223*'管线假设'!F223*'管线假设'!G223*IF(E948="USD",'管线假设'!I223,1)-AM948</x:f>
        <x:v>0.07611240000000001</x:v>
      </x:c>
      <x:c r="M948" s="11" t="n">
        <x:f>'管线假设'!H223</x:f>
        <x:v>0.125</x:v>
      </x:c>
      <x:c r="N948" s="11" t="n">
        <x:f>IF(G948,L948*AN948/(1+M948)^F948,0)</x:f>
        <x:v>0</x:v>
      </x:c>
      <x:c r="AJ948" t="n">
        <x:v>0</x:v>
      </x:c>
      <x:c r="AK948" t="n">
        <x:v>0</x:v>
      </x:c>
      <x:c r="AL948" t="n">
        <x:v>0</x:v>
      </x:c>
      <x:c r="AM948" t="n">
        <x:f>CHOOSE('假设'!$B$3,AJ948,AK948,AL948)</x:f>
        <x:v>0</x:v>
      </x:c>
      <x:c r="AN948" t="n">
        <x:v>1</x:v>
      </x:c>
    </x:row>
    <x:row r="949" ht="23" customHeight="1">
      <x:c r="A949" s="11" t="str">
        <x:v>688192.SH</x:v>
      </x:c>
      <x:c r="B949" s="11" t="str">
        <x:v>三年</x:v>
      </x:c>
      <x:c r="C949" s="11" t="str">
        <x:v>sun_later</x:v>
      </x:c>
      <x:c r="D949" s="11" t="str">
        <x:v>2028-12-31</x:v>
      </x:c>
      <x:c r="E949" s="11" t="str">
        <x:v>USD</x:v>
      </x:c>
      <x:c r="F949" s="11" t="n">
        <x:v>-0.7720739219712526</x:v>
      </x:c>
      <x:c r="G949" s="26" t="b">
        <x:v>0</x:v>
      </x:c>
      <x:c r="H949" s="16" t="n">
        <x:v>0.13999999999999999</x:v>
      </x:c>
      <x:c r="I949" s="16" t="n">
        <x:v>0.26</x:v>
      </x:c>
      <x:c r="J949" s="16" t="n">
        <x:v>0.55</x:v>
      </x:c>
      <x:c r="K949" s="11" t="n">
        <x:f>CHOOSE('假设'!$B$3,H949,I949,J949)</x:f>
        <x:v>0.26</x:v>
      </x:c>
      <x:c r="L949" s="11" t="n">
        <x:f>K949*'管线假设'!E223*'管线假设'!F223*'管线假设'!G223*IF(E949="USD",'管线假设'!I223,1)-AM949</x:f>
        <x:v>0.15222480000000002</x:v>
      </x:c>
      <x:c r="M949" s="11" t="n">
        <x:f>'管线假设'!H223</x:f>
        <x:v>0.125</x:v>
      </x:c>
      <x:c r="N949" s="11" t="n">
        <x:f>IF(G949,L949*AN949/(1+M949)^F949,0)</x:f>
        <x:v>0</x:v>
      </x:c>
      <x:c r="AJ949" t="n">
        <x:v>0</x:v>
      </x:c>
      <x:c r="AK949" t="n">
        <x:v>0</x:v>
      </x:c>
      <x:c r="AL949" t="n">
        <x:v>0</x:v>
      </x:c>
      <x:c r="AM949" t="n">
        <x:f>CHOOSE('假设'!$B$3,AJ949,AK949,AL949)</x:f>
        <x:v>0</x:v>
      </x:c>
      <x:c r="AN949" t="n">
        <x:v>1</x:v>
      </x:c>
    </x:row>
    <x:row r="950" ht="23" customHeight="1">
      <x:c r="A950" s="11" t="str">
        <x:v>688192.SH</x:v>
      </x:c>
      <x:c r="B950" s="11" t="str">
        <x:v>三年</x:v>
      </x:c>
      <x:c r="C950" s="11" t="str">
        <x:v>sun_later</x:v>
      </x:c>
      <x:c r="D950" s="11" t="str">
        <x:v>2029-12-31</x:v>
      </x:c>
      <x:c r="E950" s="11" t="str">
        <x:v>USD</x:v>
      </x:c>
      <x:c r="F950" s="11" t="n">
        <x:v>0.2272416153319644</x:v>
      </x:c>
      <x:c r="G950" s="26" t="b">
        <x:v>1</x:v>
      </x:c>
      <x:c r="H950" s="16" t="n">
        <x:v>0.21</x:v>
      </x:c>
      <x:c r="I950" s="16" t="n">
        <x:v>0.39</x:v>
      </x:c>
      <x:c r="J950" s="16" t="n">
        <x:v>0.8250000000000001</x:v>
      </x:c>
      <x:c r="K950" s="11" t="n">
        <x:f>CHOOSE('假设'!$B$3,H950,I950,J950)</x:f>
        <x:v>0.39</x:v>
      </x:c>
      <x:c r="L950" s="11" t="n">
        <x:f>K950*'管线假设'!E223*'管线假设'!F223*'管线假设'!G223*IF(E950="USD",'管线假设'!I223,1)-AM950</x:f>
        <x:v>0.22833720000000002</x:v>
      </x:c>
      <x:c r="M950" s="11" t="n">
        <x:f>'管线假设'!H223</x:f>
        <x:v>0.125</x:v>
      </x:c>
      <x:c r="N950" s="11" t="n">
        <x:f>IF(G950,L950*AN950/(1+M950)^F950,0)</x:f>
        <x:v>0.22230677036205657</x:v>
      </x:c>
      <x:c r="AJ950" t="n">
        <x:v>0</x:v>
      </x:c>
      <x:c r="AK950" t="n">
        <x:v>0</x:v>
      </x:c>
      <x:c r="AL950" t="n">
        <x:v>0</x:v>
      </x:c>
      <x:c r="AM950" t="n">
        <x:f>CHOOSE('假设'!$B$3,AJ950,AK950,AL950)</x:f>
        <x:v>0</x:v>
      </x:c>
      <x:c r="AN950" t="n">
        <x:v>1</x:v>
      </x:c>
    </x:row>
    <x:row r="951" ht="23" customHeight="1">
      <x:c r="A951" s="11" t="str">
        <x:v>688192.SH</x:v>
      </x:c>
      <x:c r="B951" s="11" t="str">
        <x:v>三年</x:v>
      </x:c>
      <x:c r="C951" s="11" t="str">
        <x:v>sun_later</x:v>
      </x:c>
      <x:c r="D951" s="11" t="str">
        <x:v>2030-12-31</x:v>
      </x:c>
      <x:c r="E951" s="11" t="str">
        <x:v>USD</x:v>
      </x:c>
      <x:c r="F951" s="11" t="n">
        <x:v>1.2265571526351813</x:v>
      </x:c>
      <x:c r="G951" s="26" t="b">
        <x:v>1</x:v>
      </x:c>
      <x:c r="H951" s="16" t="n">
        <x:v>0.27999999999999997</x:v>
      </x:c>
      <x:c r="I951" s="16" t="n">
        <x:v>0.52</x:v>
      </x:c>
      <x:c r="J951" s="16" t="n">
        <x:v>1.1</x:v>
      </x:c>
      <x:c r="K951" s="11" t="n">
        <x:f>CHOOSE('假设'!$B$3,H951,I951,J951)</x:f>
        <x:v>0.52</x:v>
      </x:c>
      <x:c r="L951" s="11" t="n">
        <x:f>K951*'管线假设'!E223*'管线假设'!F223*'管线假设'!G223*IF(E951="USD",'管线假设'!I223,1)-AM951</x:f>
        <x:v>0.30444960000000004</x:v>
      </x:c>
      <x:c r="M951" s="11" t="n">
        <x:f>'管线假设'!H223</x:f>
        <x:v>0.125</x:v>
      </x:c>
      <x:c r="N951" s="11" t="n">
        <x:f>IF(G951,L951*AN951/(1+M951)^F951,0)</x:f>
        <x:v>0.2634959324831426</x:v>
      </x:c>
      <x:c r="AJ951" t="n">
        <x:v>0</x:v>
      </x:c>
      <x:c r="AK951" t="n">
        <x:v>0</x:v>
      </x:c>
      <x:c r="AL951" t="n">
        <x:v>0</x:v>
      </x:c>
      <x:c r="AM951" t="n">
        <x:f>CHOOSE('假设'!$B$3,AJ951,AK951,AL951)</x:f>
        <x:v>0</x:v>
      </x:c>
      <x:c r="AN951" t="n">
        <x:v>1</x:v>
      </x:c>
    </x:row>
    <x:row r="952" ht="23" customHeight="1">
      <x:c r="A952" s="11" t="str">
        <x:v>688192.SH</x:v>
      </x:c>
      <x:c r="B952" s="11" t="str">
        <x:v>三年</x:v>
      </x:c>
      <x:c r="C952" s="11" t="str">
        <x:v>sun_later</x:v>
      </x:c>
      <x:c r="D952" s="11" t="str">
        <x:v>2031-12-31</x:v>
      </x:c>
      <x:c r="E952" s="11" t="str">
        <x:v>USD</x:v>
      </x:c>
      <x:c r="F952" s="11" t="n">
        <x:v>2.2258726899383983</x:v>
      </x:c>
      <x:c r="G952" s="26" t="b">
        <x:v>1</x:v>
      </x:c>
      <x:c r="H952" s="16" t="n">
        <x:v>0.35</x:v>
      </x:c>
      <x:c r="I952" s="16" t="n">
        <x:v>0.65</x:v>
      </x:c>
      <x:c r="J952" s="16" t="n">
        <x:v>0.9680000000000001</x:v>
      </x:c>
      <x:c r="K952" s="11" t="n">
        <x:f>CHOOSE('假设'!$B$3,H952,I952,J952)</x:f>
        <x:v>0.65</x:v>
      </x:c>
      <x:c r="L952" s="11" t="n">
        <x:f>K952*'管线假设'!E223*'管线假设'!F223*'管线假设'!G223*IF(E952="USD",'管线假设'!I223,1)-AM952</x:f>
        <x:v>0.38056200000000007</x:v>
      </x:c>
      <x:c r="M952" s="11" t="n">
        <x:f>'管线假设'!H223</x:f>
        <x:v>0.125</x:v>
      </x:c>
      <x:c r="N952" s="11" t="n">
        <x:f>IF(G952,L952*AN952/(1+M952)^F952,0)</x:f>
        <x:v>0.2927968620881598</x:v>
      </x:c>
      <x:c r="AJ952" t="n">
        <x:v>0</x:v>
      </x:c>
      <x:c r="AK952" t="n">
        <x:v>0</x:v>
      </x:c>
      <x:c r="AL952" t="n">
        <x:v>0</x:v>
      </x:c>
      <x:c r="AM952" t="n">
        <x:f>CHOOSE('假设'!$B$3,AJ952,AK952,AL952)</x:f>
        <x:v>0</x:v>
      </x:c>
      <x:c r="AN952" t="n">
        <x:v>1</x:v>
      </x:c>
    </x:row>
    <x:row r="953" ht="23" customHeight="1">
      <x:c r="A953" s="11" t="str">
        <x:v>688192.SH</x:v>
      </x:c>
      <x:c r="B953" s="11" t="str">
        <x:v>三年</x:v>
      </x:c>
      <x:c r="C953" s="11" t="str">
        <x:v>sun_later</x:v>
      </x:c>
      <x:c r="D953" s="11" t="str">
        <x:v>2032-12-31</x:v>
      </x:c>
      <x:c r="E953" s="11" t="str">
        <x:v>USD</x:v>
      </x:c>
      <x:c r="F953" s="11" t="n">
        <x:v>3.2279260780287475</x:v>
      </x:c>
      <x:c r="G953" s="26" t="b">
        <x:v>1</x:v>
      </x:c>
      <x:c r="H953" s="16" t="n">
        <x:v>0.308</x:v>
      </x:c>
      <x:c r="I953" s="16" t="n">
        <x:v>0.5720000000000001</x:v>
      </x:c>
      <x:c r="J953" s="16" t="n">
        <x:v>0.8360000000000001</x:v>
      </x:c>
      <x:c r="K953" s="11" t="n">
        <x:f>CHOOSE('假设'!$B$3,H953,I953,J953)</x:f>
        <x:v>0.5720000000000001</x:v>
      </x:c>
      <x:c r="L953" s="11" t="n">
        <x:f>K953*'管线假设'!E223*'管线假设'!F223*'管线假设'!G223*IF(E953="USD",'管线假设'!I223,1)-AM953</x:f>
        <x:v>0.33489456000000006</x:v>
      </x:c>
      <x:c r="M953" s="11" t="n">
        <x:f>'管线假设'!H223</x:f>
        <x:v>0.125</x:v>
      </x:c>
      <x:c r="N953" s="11" t="n">
        <x:f>IF(G953,L953*AN953/(1+M953)^F953,0)</x:f>
        <x:v>0.22897682639883177</x:v>
      </x:c>
      <x:c r="AJ953" t="n">
        <x:v>0</x:v>
      </x:c>
      <x:c r="AK953" t="n">
        <x:v>0</x:v>
      </x:c>
      <x:c r="AL953" t="n">
        <x:v>0</x:v>
      </x:c>
      <x:c r="AM953" t="n">
        <x:f>CHOOSE('假设'!$B$3,AJ953,AK953,AL953)</x:f>
        <x:v>0</x:v>
      </x:c>
      <x:c r="AN953" t="n">
        <x:v>1</x:v>
      </x:c>
    </x:row>
    <x:row r="954" ht="23" customHeight="1">
      <x:c r="A954" s="11" t="str">
        <x:v>688192.SH</x:v>
      </x:c>
      <x:c r="B954" s="11" t="str">
        <x:v>三年</x:v>
      </x:c>
      <x:c r="C954" s="11" t="str">
        <x:v>sun_later</x:v>
      </x:c>
      <x:c r="D954" s="11" t="str">
        <x:v>2033-12-31</x:v>
      </x:c>
      <x:c r="E954" s="11" t="str">
        <x:v>USD</x:v>
      </x:c>
      <x:c r="F954" s="11" t="n">
        <x:v>4.227241615331964</x:v>
      </x:c>
      <x:c r="G954" s="26" t="b">
        <x:v>1</x:v>
      </x:c>
      <x:c r="H954" s="16" t="n">
        <x:v>0.26599999999999996</x:v>
      </x:c>
      <x:c r="I954" s="16" t="n">
        <x:v>0.49400000000000005</x:v>
      </x:c>
      <x:c r="J954" s="16" t="n">
        <x:v>0.7040000000000001</x:v>
      </x:c>
      <x:c r="K954" s="11" t="n">
        <x:f>CHOOSE('假设'!$B$3,H954,I954,J954)</x:f>
        <x:v>0.49400000000000005</x:v>
      </x:c>
      <x:c r="L954" s="11" t="n">
        <x:f>K954*'管线假设'!E223*'管线假设'!F223*'管线假设'!G223*IF(E954="USD",'管线假设'!I223,1)-AM954</x:f>
        <x:v>0.28922712000000006</x:v>
      </x:c>
      <x:c r="M954" s="11" t="n">
        <x:f>'管线假设'!H223</x:f>
        <x:v>0.125</x:v>
      </x:c>
      <x:c r="N954" s="11" t="n">
        <x:f>IF(G954,L954*AN954/(1+M954)^F954,0)</x:f>
        <x:v>0.17579436159789352</x:v>
      </x:c>
      <x:c r="AJ954" t="n">
        <x:v>0</x:v>
      </x:c>
      <x:c r="AK954" t="n">
        <x:v>0</x:v>
      </x:c>
      <x:c r="AL954" t="n">
        <x:v>0</x:v>
      </x:c>
      <x:c r="AM954" t="n">
        <x:f>CHOOSE('假设'!$B$3,AJ954,AK954,AL954)</x:f>
        <x:v>0</x:v>
      </x:c>
      <x:c r="AN954" t="n">
        <x:v>1</x:v>
      </x:c>
    </x:row>
    <x:row r="955" ht="23" customHeight="1">
      <x:c r="A955" s="11" t="str">
        <x:v>688192.SH</x:v>
      </x:c>
      <x:c r="B955" s="11" t="str">
        <x:v>三年</x:v>
      </x:c>
      <x:c r="C955" s="11" t="str">
        <x:v>sun_later</x:v>
      </x:c>
      <x:c r="D955" s="11" t="str">
        <x:v>2034-12-31</x:v>
      </x:c>
      <x:c r="E955" s="11" t="str">
        <x:v>USD</x:v>
      </x:c>
      <x:c r="F955" s="11" t="n">
        <x:v>5.2265571526351815</x:v>
      </x:c>
      <x:c r="G955" s="26" t="b">
        <x:v>1</x:v>
      </x:c>
      <x:c r="H955" s="16" t="n">
        <x:v>0.22399999999999998</x:v>
      </x:c>
      <x:c r="I955" s="16" t="n">
        <x:v>0.41600000000000004</x:v>
      </x:c>
      <x:c r="J955" s="16" t="n">
        <x:v>0.5720000000000001</x:v>
      </x:c>
      <x:c r="K955" s="11" t="n">
        <x:f>CHOOSE('假设'!$B$3,H955,I955,J955)</x:f>
        <x:v>0.41600000000000004</x:v>
      </x:c>
      <x:c r="L955" s="11" t="n">
        <x:f>K955*'管线假设'!E223*'管线假设'!F223*'管线假设'!G223*IF(E955="USD",'管线假设'!I223,1)-AM955</x:f>
        <x:v>0.24355968000000003</x:v>
      </x:c>
      <x:c r="M955" s="11" t="n">
        <x:f>'管线假设'!H223</x:f>
        <x:v>0.125</x:v>
      </x:c>
      <x:c r="N955" s="11" t="n">
        <x:f>IF(G955,L955*AN955/(1+M955)^F955,0)</x:f>
        <x:v>0.13159937076067088</x:v>
      </x:c>
      <x:c r="AJ955" t="n">
        <x:v>0</x:v>
      </x:c>
      <x:c r="AK955" t="n">
        <x:v>0</x:v>
      </x:c>
      <x:c r="AL955" t="n">
        <x:v>0</x:v>
      </x:c>
      <x:c r="AM955" t="n">
        <x:f>CHOOSE('假设'!$B$3,AJ955,AK955,AL955)</x:f>
        <x:v>0</x:v>
      </x:c>
      <x:c r="AN955" t="n">
        <x:v>1</x:v>
      </x:c>
    </x:row>
    <x:row r="956" ht="23" customHeight="1">
      <x:c r="A956" s="11" t="str">
        <x:v>688192.SH</x:v>
      </x:c>
      <x:c r="B956" s="11" t="str">
        <x:v>三年</x:v>
      </x:c>
      <x:c r="C956" s="11" t="str">
        <x:v>sun_later</x:v>
      </x:c>
      <x:c r="D956" s="11" t="str">
        <x:v>2035-12-31</x:v>
      </x:c>
      <x:c r="E956" s="11" t="str">
        <x:v>USD</x:v>
      </x:c>
      <x:c r="F956" s="11" t="n">
        <x:v>6.225872689938399</x:v>
      </x:c>
      <x:c r="G956" s="26" t="b">
        <x:v>1</x:v>
      </x:c>
      <x:c r="H956" s="16" t="n">
        <x:v>0.182</x:v>
      </x:c>
      <x:c r="I956" s="16" t="n">
        <x:v>0.338</x:v>
      </x:c>
      <x:c r="J956" s="16" t="n">
        <x:v>0.44000000000000006</x:v>
      </x:c>
      <x:c r="K956" s="11" t="n">
        <x:f>CHOOSE('假设'!$B$3,H956,I956,J956)</x:f>
        <x:v>0.338</x:v>
      </x:c>
      <x:c r="L956" s="11" t="n">
        <x:f>K956*'管线假设'!E223*'管线假设'!F223*'管线假设'!G223*IF(E956="USD",'管线假设'!I223,1)-AM956</x:f>
        <x:v>0.19789224000000002</x:v>
      </x:c>
      <x:c r="M956" s="11" t="n">
        <x:f>'管线假设'!H223</x:f>
        <x:v>0.125</x:v>
      </x:c>
      <x:c r="N956" s="11" t="n">
        <x:f>IF(G956,L956*AN956/(1+M956)^F956,0)</x:f>
        <x:v>0.0950516525680252</x:v>
      </x:c>
      <x:c r="AJ956" t="n">
        <x:v>0</x:v>
      </x:c>
      <x:c r="AK956" t="n">
        <x:v>0</x:v>
      </x:c>
      <x:c r="AL956" t="n">
        <x:v>0</x:v>
      </x:c>
      <x:c r="AM956" t="n">
        <x:f>CHOOSE('假设'!$B$3,AJ956,AK956,AL956)</x:f>
        <x:v>0</x:v>
      </x:c>
      <x:c r="AN956" t="n">
        <x:v>1</x:v>
      </x:c>
    </x:row>
    <x:row r="957" ht="23" customHeight="1">
      <x:c r="A957" s="11" t="str">
        <x:v>688192.SH</x:v>
      </x:c>
      <x:c r="B957" s="11" t="str">
        <x:v>三年</x:v>
      </x:c>
      <x:c r="C957" s="11" t="str">
        <x:v>sun_later</x:v>
      </x:c>
      <x:c r="D957" s="11" t="str">
        <x:v>2036-12-31</x:v>
      </x:c>
      <x:c r="E957" s="11" t="str">
        <x:v>USD</x:v>
      </x:c>
      <x:c r="F957" s="11" t="n">
        <x:v>7.227926078028747</x:v>
      </x:c>
      <x:c r="G957" s="26" t="b">
        <x:v>1</x:v>
      </x:c>
      <x:c r="H957" s="16" t="n">
        <x:v>0.13999999999999999</x:v>
      </x:c>
      <x:c r="I957" s="16" t="n">
        <x:v>0.26</x:v>
      </x:c>
      <x:c r="J957" s="16" t="n">
        <x:v>0.30800000000000005</x:v>
      </x:c>
      <x:c r="K957" s="11" t="n">
        <x:f>CHOOSE('假设'!$B$3,H957,I957,J957)</x:f>
        <x:v>0.26</x:v>
      </x:c>
      <x:c r="L957" s="11" t="n">
        <x:f>K957*'管线假设'!E223*'管线假设'!F223*'管线假设'!G223*IF(E957="USD",'管线假设'!I223,1)-AM957</x:f>
        <x:v>0.15222480000000002</x:v>
      </x:c>
      <x:c r="M957" s="11" t="n">
        <x:f>'管线假设'!H223</x:f>
        <x:v>0.125</x:v>
      </x:c>
      <x:c r="N957" s="11" t="n">
        <x:f>IF(G957,L957*AN957/(1+M957)^F957,0)</x:f>
        <x:v>0.06497686611863594</x:v>
      </x:c>
      <x:c r="AJ957" t="n">
        <x:v>0</x:v>
      </x:c>
      <x:c r="AK957" t="n">
        <x:v>0</x:v>
      </x:c>
      <x:c r="AL957" t="n">
        <x:v>0</x:v>
      </x:c>
      <x:c r="AM957" t="n">
        <x:f>CHOOSE('假设'!$B$3,AJ957,AK957,AL957)</x:f>
        <x:v>0</x:v>
      </x:c>
      <x:c r="AN957" t="n">
        <x:v>1</x:v>
      </x:c>
    </x:row>
    <x:row r="958" ht="23" customHeight="1">
      <x:c r="A958" s="11" t="str">
        <x:v>688192.SH</x:v>
      </x:c>
      <x:c r="B958" s="11" t="str">
        <x:v>三年</x:v>
      </x:c>
      <x:c r="C958" s="11" t="str">
        <x:v>sun_later</x:v>
      </x:c>
      <x:c r="D958" s="11" t="str">
        <x:v>2037-12-31</x:v>
      </x:c>
      <x:c r="E958" s="11" t="str">
        <x:v>USD</x:v>
      </x:c>
      <x:c r="F958" s="11" t="n">
        <x:v>8.227241615331964</x:v>
      </x:c>
      <x:c r="G958" s="26" t="b">
        <x:v>1</x:v>
      </x:c>
      <x:c r="H958" s="16" t="n">
        <x:v>0.098</x:v>
      </x:c>
      <x:c r="I958" s="16" t="n">
        <x:v>0.18200000000000002</x:v>
      </x:c>
      <x:c r="J958" s="16" t="n">
        <x:v>0.17600000000000005</x:v>
      </x:c>
      <x:c r="K958" s="11" t="n">
        <x:f>CHOOSE('假设'!$B$3,H958,I958,J958)</x:f>
        <x:v>0.18200000000000002</x:v>
      </x:c>
      <x:c r="L958" s="11" t="n">
        <x:f>K958*'管线假设'!E223*'管线假设'!F223*'管线假设'!G223*IF(E958="USD",'管线假设'!I223,1)-AM958</x:f>
        <x:v>0.10655736000000002</x:v>
      </x:c>
      <x:c r="M958" s="11" t="n">
        <x:f>'管线假设'!H223</x:f>
        <x:v>0.125</x:v>
      </x:c>
      <x:c r="N958" s="11" t="n">
        <x:f>IF(G958,L958*AN958/(1+M958)^F958,0)</x:f>
        <x:v>0.04043330955434267</x:v>
      </x:c>
      <x:c r="AJ958" t="n">
        <x:v>0</x:v>
      </x:c>
      <x:c r="AK958" t="n">
        <x:v>0</x:v>
      </x:c>
      <x:c r="AL958" t="n">
        <x:v>0</x:v>
      </x:c>
      <x:c r="AM958" t="n">
        <x:f>CHOOSE('假设'!$B$3,AJ958,AK958,AL958)</x:f>
        <x:v>0</x:v>
      </x:c>
      <x:c r="AN958" t="n">
        <x:v>1</x:v>
      </x:c>
    </x:row>
    <x:row r="959" ht="23" customHeight="1">
      <x:c r="A959" s="11" t="str">
        <x:v>688192.SH</x:v>
      </x:c>
      <x:c r="B959" s="11" t="str">
        <x:v>三年</x:v>
      </x:c>
      <x:c r="C959" s="11" t="str">
        <x:v>sun_later</x:v>
      </x:c>
      <x:c r="D959" s="11" t="str">
        <x:v>2038-12-31</x:v>
      </x:c>
      <x:c r="E959" s="11" t="str">
        <x:v>USD</x:v>
      </x:c>
      <x:c r="F959" s="11" t="n">
        <x:v>9.22655715263518</x:v>
      </x:c>
      <x:c r="G959" s="26" t="b">
        <x:v>1</x:v>
      </x:c>
      <x:c r="H959" s="16" t="n">
        <x:v>0.05600000000000001</x:v>
      </x:c>
      <x:c r="I959" s="16" t="n">
        <x:v>0.10400000000000002</x:v>
      </x:c>
      <x:c r="J959" s="16" t="n">
        <x:v>0.044000000000000046</x:v>
      </x:c>
      <x:c r="K959" s="11" t="n">
        <x:f>CHOOSE('假设'!$B$3,H959,I959,J959)</x:f>
        <x:v>0.10400000000000002</x:v>
      </x:c>
      <x:c r="L959" s="11" t="n">
        <x:f>K959*'管线假设'!E223*'管线假设'!F223*'管线假设'!G223*IF(E959="USD",'管线假设'!I223,1)-AM959</x:f>
        <x:v>0.06088992000000002</x:v>
      </x:c>
      <x:c r="M959" s="11" t="n">
        <x:f>'管线假设'!H223</x:f>
        <x:v>0.125</x:v>
      </x:c>
      <x:c r="N959" s="11" t="n">
        <x:f>IF(G959,L959*AN959/(1+M959)^F959,0)</x:f>
        <x:v>0.020539209824558303</x:v>
      </x:c>
      <x:c r="AJ959" t="n">
        <x:v>0</x:v>
      </x:c>
      <x:c r="AK959" t="n">
        <x:v>0</x:v>
      </x:c>
      <x:c r="AL959" t="n">
        <x:v>0</x:v>
      </x:c>
      <x:c r="AM959" t="n">
        <x:f>CHOOSE('假设'!$B$3,AJ959,AK959,AL959)</x:f>
        <x:v>0</x:v>
      </x:c>
      <x:c r="AN959" t="n">
        <x:v>1</x:v>
      </x:c>
    </x:row>
    <x:row r="960" ht="23" customHeight="1">
      <x:c r="A960" s="11" t="str">
        <x:v>688192.SH</x:v>
      </x:c>
      <x:c r="B960" s="11" t="str">
        <x:v>三年</x:v>
      </x:c>
      <x:c r="C960" s="11" t="str">
        <x:v>sun_later</x:v>
      </x:c>
      <x:c r="D960" s="11" t="str">
        <x:v>2039-12-31</x:v>
      </x:c>
      <x:c r="E960" s="11" t="str">
        <x:v>USD</x:v>
      </x:c>
      <x:c r="F960" s="11" t="n">
        <x:v>10.225872689938399</x:v>
      </x:c>
      <x:c r="G960" s="26" t="b">
        <x:v>1</x:v>
      </x:c>
      <x:c r="H960" s="16" t="n">
        <x:v>0.01400000000000001</x:v>
      </x:c>
      <x:c r="I960" s="16" t="n">
        <x:v>0.026000000000000023</x:v>
      </x:c>
      <x:c r="J960" s="16" t="n">
        <x:v>0</x:v>
      </x:c>
      <x:c r="K960" s="11" t="n">
        <x:f>CHOOSE('假设'!$B$3,H960,I960,J960)</x:f>
        <x:v>0.026000000000000023</x:v>
      </x:c>
      <x:c r="L960" s="11" t="n">
        <x:f>K960*'管线假设'!E223*'管线假设'!F223*'管线假设'!G223*IF(E960="USD",'管线假设'!I223,1)-AM960</x:f>
        <x:v>0.015222480000000014</x:v>
      </x:c>
      <x:c r="M960" s="11" t="n">
        <x:f>'管线假设'!H223</x:f>
        <x:v>0.125</x:v>
      </x:c>
      <x:c r="N960" s="11" t="n">
        <x:f>IF(G960,L960*AN960/(1+M960)^F960,0)</x:f>
        <x:v>0.00456463682739066</x:v>
      </x:c>
      <x:c r="AJ960" t="n">
        <x:v>0</x:v>
      </x:c>
      <x:c r="AK960" t="n">
        <x:v>0</x:v>
      </x:c>
      <x:c r="AL960" t="n">
        <x:v>0</x:v>
      </x:c>
      <x:c r="AM960" t="n">
        <x:f>CHOOSE('假设'!$B$3,AJ960,AK960,AL960)</x:f>
        <x:v>0</x:v>
      </x:c>
      <x:c r="AN960" t="n">
        <x:v>1</x:v>
      </x:c>
    </x:row>
    <x:row r="961" ht="23" customHeight="1">
      <x:c r="A961" s="11" t="str">
        <x:v>688192.SH</x:v>
      </x:c>
      <x:c r="B961" s="11" t="str">
        <x:v>三年</x:v>
      </x:c>
      <x:c r="C961" s="11" t="str">
        <x:v>sun_later</x:v>
      </x:c>
      <x:c r="D961" s="11" t="str">
        <x:v>2040-12-31</x:v>
      </x:c>
      <x:c r="E961" s="11" t="str">
        <x:v>USD</x:v>
      </x:c>
      <x:c r="F961" s="11" t="n">
        <x:v>11.227926078028748</x:v>
      </x:c>
      <x:c r="G961" s="26" t="b">
        <x:v>1</x:v>
      </x:c>
      <x:c r="H961" s="16" t="n">
        <x:v>0</x:v>
      </x:c>
      <x:c r="I961" s="16" t="n">
        <x:v>0</x:v>
      </x:c>
      <x:c r="J961" s="16" t="n">
        <x:v>0</x:v>
      </x:c>
      <x:c r="K961" s="11" t="n">
        <x:f>CHOOSE('假设'!$B$3,H961,I961,J961)</x:f>
        <x:v>0</x:v>
      </x:c>
      <x:c r="L961" s="11" t="n">
        <x:f>K961*'管线假设'!E223*'管线假设'!F223*'管线假设'!G223*IF(E961="USD",'管线假设'!I223,1)-AM961</x:f>
        <x:v>0</x:v>
      </x:c>
      <x:c r="M961" s="11" t="n">
        <x:f>'管线假设'!H223</x:f>
        <x:v>0.125</x:v>
      </x:c>
      <x:c r="N961" s="11" t="n">
        <x:f>IF(G961,L961*AN961/(1+M961)^F961,0)</x:f>
        <x:v>0</x:v>
      </x:c>
      <x:c r="AJ961" t="n">
        <x:v>0</x:v>
      </x:c>
      <x:c r="AK961" t="n">
        <x:v>0</x:v>
      </x:c>
      <x:c r="AL961" t="n">
        <x:v>0</x:v>
      </x:c>
      <x:c r="AM961" t="n">
        <x:f>CHOOSE('假设'!$B$3,AJ961,AK961,AL961)</x:f>
        <x:v>0</x:v>
      </x:c>
      <x:c r="AN961" t="n">
        <x:v>1</x:v>
      </x:c>
    </x:row>
    <x:row r="962" ht="23" customHeight="1">
      <x:c r="A962" s="11" t="str">
        <x:v>688192.SH</x:v>
      </x:c>
      <x:c r="B962" s="11" t="str">
        <x:v>三年</x:v>
      </x:c>
      <x:c r="C962" s="11" t="str">
        <x:v>sun_later</x:v>
      </x:c>
      <x:c r="D962" s="11" t="str">
        <x:v>2041-12-31</x:v>
      </x:c>
      <x:c r="E962" s="11" t="str">
        <x:v>USD</x:v>
      </x:c>
      <x:c r="F962" s="11" t="n">
        <x:v>12.227241615331964</x:v>
      </x:c>
      <x:c r="G962" s="26" t="b">
        <x:v>1</x:v>
      </x:c>
      <x:c r="H962" s="16" t="n">
        <x:v>0</x:v>
      </x:c>
      <x:c r="I962" s="16" t="n">
        <x:v>0</x:v>
      </x:c>
      <x:c r="J962" s="16" t="n">
        <x:v>0</x:v>
      </x:c>
      <x:c r="K962" s="11" t="n">
        <x:f>CHOOSE('假设'!$B$3,H962,I962,J962)</x:f>
        <x:v>0</x:v>
      </x:c>
      <x:c r="L962" s="11" t="n">
        <x:f>K962*'管线假设'!E223*'管线假设'!F223*'管线假设'!G223*IF(E962="USD",'管线假设'!I223,1)-AM962</x:f>
        <x:v>0</x:v>
      </x:c>
      <x:c r="M962" s="11" t="n">
        <x:f>'管线假设'!H223</x:f>
        <x:v>0.125</x:v>
      </x:c>
      <x:c r="N962" s="11" t="n">
        <x:f>IF(G962,L962*AN962/(1+M962)^F962,0)</x:f>
        <x:v>0</x:v>
      </x:c>
      <x:c r="AJ962" t="n">
        <x:v>0</x:v>
      </x:c>
      <x:c r="AK962" t="n">
        <x:v>0</x:v>
      </x:c>
      <x:c r="AL962" t="n">
        <x:v>0</x:v>
      </x:c>
      <x:c r="AM962" t="n">
        <x:f>CHOOSE('假设'!$B$3,AJ962,AK962,AL962)</x:f>
        <x:v>0</x:v>
      </x:c>
      <x:c r="AN962" t="n">
        <x:v>1</x:v>
      </x:c>
    </x:row>
    <x:row r="963" ht="23" customHeight="1">
      <x:c r="A963" s="11" t="str">
        <x:v>688192.SH</x:v>
      </x:c>
      <x:c r="B963" s="11" t="str">
        <x:v>三年</x:v>
      </x:c>
      <x:c r="C963" s="11" t="str">
        <x:v>sun_later</x:v>
      </x:c>
      <x:c r="D963" s="11" t="str">
        <x:v>2042-12-31</x:v>
      </x:c>
      <x:c r="E963" s="11" t="str">
        <x:v>USD</x:v>
      </x:c>
      <x:c r="F963" s="11" t="n">
        <x:v>13.22655715263518</x:v>
      </x:c>
      <x:c r="G963" s="26" t="b">
        <x:v>1</x:v>
      </x:c>
      <x:c r="H963" s="16" t="n">
        <x:v>0</x:v>
      </x:c>
      <x:c r="I963" s="16" t="n">
        <x:v>0</x:v>
      </x:c>
      <x:c r="J963" s="16" t="n">
        <x:v>0</x:v>
      </x:c>
      <x:c r="K963" s="11" t="n">
        <x:f>CHOOSE('假设'!$B$3,H963,I963,J963)</x:f>
        <x:v>0</x:v>
      </x:c>
      <x:c r="L963" s="11" t="n">
        <x:f>K963*'管线假设'!E223*'管线假设'!F223*'管线假设'!G223*IF(E963="USD",'管线假设'!I223,1)-AM963</x:f>
        <x:v>0</x:v>
      </x:c>
      <x:c r="M963" s="11" t="n">
        <x:f>'管线假设'!H223</x:f>
        <x:v>0.125</x:v>
      </x:c>
      <x:c r="N963" s="11" t="n">
        <x:f>IF(G963,L963*AN963/(1+M963)^F963,0)</x:f>
        <x:v>0</x:v>
      </x:c>
      <x:c r="AJ963" t="n">
        <x:v>0</x:v>
      </x:c>
      <x:c r="AK963" t="n">
        <x:v>0</x:v>
      </x:c>
      <x:c r="AL963" t="n">
        <x:v>0</x:v>
      </x:c>
      <x:c r="AM963" t="n">
        <x:f>CHOOSE('假设'!$B$3,AJ963,AK963,AL963)</x:f>
        <x:v>0</x:v>
      </x:c>
      <x:c r="AN963" t="n">
        <x:v>1</x:v>
      </x:c>
    </x:row>
    <x:row r="964" ht="23" customHeight="1">
      <x:c r="A964" s="11" t="str">
        <x:v>688192.SH</x:v>
      </x:c>
      <x:c r="B964" s="11" t="str">
        <x:v>三年</x:v>
      </x:c>
      <x:c r="C964" s="11" t="str">
        <x:v>sun_later</x:v>
      </x:c>
      <x:c r="D964" s="11" t="str">
        <x:v>2043-12-31</x:v>
      </x:c>
      <x:c r="E964" s="11" t="str">
        <x:v>USD</x:v>
      </x:c>
      <x:c r="F964" s="11" t="n">
        <x:v>14.225872689938399</x:v>
      </x:c>
      <x:c r="G964" s="26" t="b">
        <x:v>1</x:v>
      </x:c>
      <x:c r="H964" s="16" t="n">
        <x:v>0</x:v>
      </x:c>
      <x:c r="I964" s="16" t="n">
        <x:v>0</x:v>
      </x:c>
      <x:c r="J964" s="16" t="n">
        <x:v>0</x:v>
      </x:c>
      <x:c r="K964" s="11" t="n">
        <x:f>CHOOSE('假设'!$B$3,H964,I964,J964)</x:f>
        <x:v>0</x:v>
      </x:c>
      <x:c r="L964" s="11" t="n">
        <x:f>K964*'管线假设'!E223*'管线假设'!F223*'管线假设'!G223*IF(E964="USD",'管线假设'!I223,1)-AM964</x:f>
        <x:v>0</x:v>
      </x:c>
      <x:c r="M964" s="11" t="n">
        <x:f>'管线假设'!H223</x:f>
        <x:v>0.125</x:v>
      </x:c>
      <x:c r="N964" s="11" t="n">
        <x:f>IF(G964,L964*AN964/(1+M964)^F964,0)</x:f>
        <x:v>0</x:v>
      </x:c>
      <x:c r="AJ964" t="n">
        <x:v>0</x:v>
      </x:c>
      <x:c r="AK964" t="n">
        <x:v>0</x:v>
      </x:c>
      <x:c r="AL964" t="n">
        <x:v>0</x:v>
      </x:c>
      <x:c r="AM964" t="n">
        <x:f>CHOOSE('假设'!$B$3,AJ964,AK964,AL964)</x:f>
        <x:v>0</x:v>
      </x:c>
      <x:c r="AN964" t="n">
        <x:v>1</x:v>
      </x:c>
    </x:row>
    <x:row r="965" ht="23" customHeight="1">
      <x:c r="A965" s="11" t="str">
        <x:v>688192.SH</x:v>
      </x:c>
      <x:c r="B965" s="11" t="str">
        <x:v>三年</x:v>
      </x:c>
      <x:c r="C965" s="11" t="str">
        <x:v>sun_later</x:v>
      </x:c>
      <x:c r="D965" s="11" t="str">
        <x:v>2044-12-31</x:v>
      </x:c>
      <x:c r="E965" s="11" t="str">
        <x:v>USD</x:v>
      </x:c>
      <x:c r="F965" s="11" t="n">
        <x:v>15.227926078028748</x:v>
      </x:c>
      <x:c r="G965" s="26" t="b">
        <x:v>1</x:v>
      </x:c>
      <x:c r="H965" s="16" t="n">
        <x:v>0</x:v>
      </x:c>
      <x:c r="I965" s="16" t="n">
        <x:v>0</x:v>
      </x:c>
      <x:c r="J965" s="16" t="n">
        <x:v>0</x:v>
      </x:c>
      <x:c r="K965" s="11" t="n">
        <x:f>CHOOSE('假设'!$B$3,H965,I965,J965)</x:f>
        <x:v>0</x:v>
      </x:c>
      <x:c r="L965" s="11" t="n">
        <x:f>K965*'管线假设'!E223*'管线假设'!F223*'管线假设'!G223*IF(E965="USD",'管线假设'!I223,1)-AM965</x:f>
        <x:v>0</x:v>
      </x:c>
      <x:c r="M965" s="11" t="n">
        <x:f>'管线假设'!H223</x:f>
        <x:v>0.125</x:v>
      </x:c>
      <x:c r="N965" s="11" t="n">
        <x:f>IF(G965,L965*AN965/(1+M965)^F965,0)</x:f>
        <x:v>0</x:v>
      </x:c>
      <x:c r="AJ965" t="n">
        <x:v>0</x:v>
      </x:c>
      <x:c r="AK965" t="n">
        <x:v>0</x:v>
      </x:c>
      <x:c r="AL965" t="n">
        <x:v>0</x:v>
      </x:c>
      <x:c r="AM965" t="n">
        <x:f>CHOOSE('假设'!$B$3,AJ965,AK965,AL965)</x:f>
        <x:v>0</x:v>
      </x:c>
      <x:c r="AN965" t="n">
        <x:v>1</x:v>
      </x:c>
    </x:row>
    <x:row r="966" ht="23" customHeight="1">
      <x:c r="A966" s="11" t="str">
        <x:v>688192.SH</x:v>
      </x:c>
      <x:c r="B966" s="11" t="str">
        <x:v>三年</x:v>
      </x:c>
      <x:c r="C966" s="11" t="str">
        <x:v>sun_later</x:v>
      </x:c>
      <x:c r="D966" s="11" t="str">
        <x:v>2045-12-31</x:v>
      </x:c>
      <x:c r="E966" s="11" t="str">
        <x:v>USD</x:v>
      </x:c>
      <x:c r="F966" s="11" t="n">
        <x:v>16.227241615331966</x:v>
      </x:c>
      <x:c r="G966" s="26" t="b">
        <x:v>1</x:v>
      </x:c>
      <x:c r="H966" s="16" t="n">
        <x:v>0</x:v>
      </x:c>
      <x:c r="I966" s="16" t="n">
        <x:v>0</x:v>
      </x:c>
      <x:c r="J966" s="16" t="n">
        <x:v>0</x:v>
      </x:c>
      <x:c r="K966" s="11" t="n">
        <x:f>CHOOSE('假设'!$B$3,H966,I966,J966)</x:f>
        <x:v>0</x:v>
      </x:c>
      <x:c r="L966" s="11" t="n">
        <x:f>K966*'管线假设'!E223*'管线假设'!F223*'管线假设'!G223*IF(E966="USD",'管线假设'!I223,1)-AM966</x:f>
        <x:v>0</x:v>
      </x:c>
      <x:c r="M966" s="11" t="n">
        <x:f>'管线假设'!H223</x:f>
        <x:v>0.125</x:v>
      </x:c>
      <x:c r="N966" s="11" t="n">
        <x:f>IF(G966,L966*AN966/(1+M966)^F966,0)</x:f>
        <x:v>0</x:v>
      </x:c>
      <x:c r="AJ966" t="n">
        <x:v>0</x:v>
      </x:c>
      <x:c r="AK966" t="n">
        <x:v>0</x:v>
      </x:c>
      <x:c r="AL966" t="n">
        <x:v>0</x:v>
      </x:c>
      <x:c r="AM966" t="n">
        <x:f>CHOOSE('假设'!$B$3,AJ966,AK966,AL966)</x:f>
        <x:v>0</x:v>
      </x:c>
      <x:c r="AN966" t="n">
        <x:v>1</x:v>
      </x:c>
    </x:row>
    <x:row r="967" ht="23" customHeight="1">
      <x:c r="A967" s="11" t="str">
        <x:v>688192.SH</x:v>
      </x:c>
      <x:c r="B967" s="11" t="str">
        <x:v>三年</x:v>
      </x:c>
      <x:c r="C967" s="11" t="str">
        <x:v>sun_first</x:v>
      </x:c>
      <x:c r="D967" s="11" t="str">
        <x:v>2027-12-31</x:v>
      </x:c>
      <x:c r="E967" s="11" t="str">
        <x:v>USD</x:v>
      </x:c>
      <x:c r="F967" s="11" t="n">
        <x:v>-1.7741273100616017</x:v>
      </x:c>
      <x:c r="G967" s="26" t="b">
        <x:v>0</x:v>
      </x:c>
      <x:c r="H967" s="16" t="n">
        <x:v>0</x:v>
      </x:c>
      <x:c r="I967" s="16" t="n">
        <x:v>0</x:v>
      </x:c>
      <x:c r="J967" s="16" t="n">
        <x:v>0.45</x:v>
      </x:c>
      <x:c r="K967" s="11" t="n">
        <x:f>CHOOSE('假设'!$B$3,H967,I967,J967)</x:f>
        <x:v>0</x:v>
      </x:c>
      <x:c r="L967" s="11" t="n">
        <x:f>K967*'管线假设'!E227*'管线假设'!F227*'管线假设'!G227*IF(E967="USD",'管线假设'!I227,1)-AM967</x:f>
        <x:v>0</x:v>
      </x:c>
      <x:c r="M967" s="11" t="n">
        <x:f>'管线假设'!H227</x:f>
        <x:v>0.125</x:v>
      </x:c>
      <x:c r="N967" s="11" t="n">
        <x:f>IF(G967,L967*AN967/(1+M967)^F967,0)</x:f>
        <x:v>0</x:v>
      </x:c>
      <x:c r="AJ967" t="n">
        <x:v>0</x:v>
      </x:c>
      <x:c r="AK967" t="n">
        <x:v>0</x:v>
      </x:c>
      <x:c r="AL967" t="n">
        <x:v>0</x:v>
      </x:c>
      <x:c r="AM967" t="n">
        <x:f>CHOOSE('假设'!$B$3,AJ967,AK967,AL967)</x:f>
        <x:v>0</x:v>
      </x:c>
      <x:c r="AN967" t="n">
        <x:v>1</x:v>
      </x:c>
    </x:row>
    <x:row r="968" ht="23" customHeight="1">
      <x:c r="A968" s="11" t="str">
        <x:v>688192.SH</x:v>
      </x:c>
      <x:c r="B968" s="11" t="str">
        <x:v>三年</x:v>
      </x:c>
      <x:c r="C968" s="11" t="str">
        <x:v>sun_first</x:v>
      </x:c>
      <x:c r="D968" s="11" t="str">
        <x:v>2028-12-31</x:v>
      </x:c>
      <x:c r="E968" s="11" t="str">
        <x:v>USD</x:v>
      </x:c>
      <x:c r="F968" s="11" t="n">
        <x:v>-0.7720739219712526</x:v>
      </x:c>
      <x:c r="G968" s="26" t="b">
        <x:v>0</x:v>
      </x:c>
      <x:c r="H968" s="16" t="n">
        <x:v>0</x:v>
      </x:c>
      <x:c r="I968" s="16" t="n">
        <x:v>0.25</x:v>
      </x:c>
      <x:c r="J968" s="16" t="n">
        <x:v>0.9</x:v>
      </x:c>
      <x:c r="K968" s="11" t="n">
        <x:f>CHOOSE('假设'!$B$3,H968,I968,J968)</x:f>
        <x:v>0.25</x:v>
      </x:c>
      <x:c r="L968" s="11" t="n">
        <x:f>K968*'管线假设'!E227*'管线假设'!F227*'管线假设'!G227*IF(E968="USD",'管线假设'!I227,1)-AM968</x:f>
        <x:v>0.12318499200000002</x:v>
      </x:c>
      <x:c r="M968" s="11" t="n">
        <x:f>'管线假设'!H227</x:f>
        <x:v>0.125</x:v>
      </x:c>
      <x:c r="N968" s="11" t="n">
        <x:f>IF(G968,L968*AN968/(1+M968)^F968,0)</x:f>
        <x:v>0</x:v>
      </x:c>
      <x:c r="AJ968" t="n">
        <x:v>0</x:v>
      </x:c>
      <x:c r="AK968" t="n">
        <x:v>0</x:v>
      </x:c>
      <x:c r="AL968" t="n">
        <x:v>0</x:v>
      </x:c>
      <x:c r="AM968" t="n">
        <x:f>CHOOSE('假设'!$B$3,AJ968,AK968,AL968)</x:f>
        <x:v>0</x:v>
      </x:c>
      <x:c r="AN968" t="n">
        <x:v>1</x:v>
      </x:c>
    </x:row>
    <x:row r="969" ht="23" customHeight="1">
      <x:c r="A969" s="11" t="str">
        <x:v>688192.SH</x:v>
      </x:c>
      <x:c r="B969" s="11" t="str">
        <x:v>三年</x:v>
      </x:c>
      <x:c r="C969" s="11" t="str">
        <x:v>sun_first</x:v>
      </x:c>
      <x:c r="D969" s="11" t="str">
        <x:v>2029-12-31</x:v>
      </x:c>
      <x:c r="E969" s="11" t="str">
        <x:v>USD</x:v>
      </x:c>
      <x:c r="F969" s="11" t="n">
        <x:v>0.2272416153319644</x:v>
      </x:c>
      <x:c r="G969" s="26" t="b">
        <x:v>1</x:v>
      </x:c>
      <x:c r="H969" s="16" t="n">
        <x:v>0.1</x:v>
      </x:c>
      <x:c r="I969" s="16" t="n">
        <x:v>0.5</x:v>
      </x:c>
      <x:c r="J969" s="16" t="n">
        <x:v>1.35</x:v>
      </x:c>
      <x:c r="K969" s="11" t="n">
        <x:f>CHOOSE('假设'!$B$3,H969,I969,J969)</x:f>
        <x:v>0.5</x:v>
      </x:c>
      <x:c r="L969" s="11" t="n">
        <x:f>K969*'管线假设'!E227*'管线假设'!F227*'管线假设'!G227*IF(E969="USD",'管线假设'!I227,1)-AM969</x:f>
        <x:v>0.24636998400000004</x:v>
      </x:c>
      <x:c r="M969" s="11" t="n">
        <x:f>'管线假设'!H227</x:f>
        <x:v>0.125</x:v>
      </x:c>
      <x:c r="N969" s="11" t="n">
        <x:f>IF(G969,L969*AN969/(1+M969)^F969,0)</x:f>
        <x:v>0.23986330504706002</x:v>
      </x:c>
      <x:c r="AJ969" t="n">
        <x:v>0</x:v>
      </x:c>
      <x:c r="AK969" t="n">
        <x:v>0</x:v>
      </x:c>
      <x:c r="AL969" t="n">
        <x:v>0</x:v>
      </x:c>
      <x:c r="AM969" t="n">
        <x:f>CHOOSE('假设'!$B$3,AJ969,AK969,AL969)</x:f>
        <x:v>0</x:v>
      </x:c>
      <x:c r="AN969" t="n">
        <x:v>1</x:v>
      </x:c>
    </x:row>
    <x:row r="970" ht="23" customHeight="1">
      <x:c r="A970" s="11" t="str">
        <x:v>688192.SH</x:v>
      </x:c>
      <x:c r="B970" s="11" t="str">
        <x:v>三年</x:v>
      </x:c>
      <x:c r="C970" s="11" t="str">
        <x:v>sun_first</x:v>
      </x:c>
      <x:c r="D970" s="11" t="str">
        <x:v>2030-12-31</x:v>
      </x:c>
      <x:c r="E970" s="11" t="str">
        <x:v>USD</x:v>
      </x:c>
      <x:c r="F970" s="11" t="n">
        <x:v>1.2265571526351813</x:v>
      </x:c>
      <x:c r="G970" s="26" t="b">
        <x:v>1</x:v>
      </x:c>
      <x:c r="H970" s="16" t="n">
        <x:v>0.2</x:v>
      </x:c>
      <x:c r="I970" s="16" t="n">
        <x:v>0.75</x:v>
      </x:c>
      <x:c r="J970" s="16" t="n">
        <x:v>1.8</x:v>
      </x:c>
      <x:c r="K970" s="11" t="n">
        <x:f>CHOOSE('假设'!$B$3,H970,I970,J970)</x:f>
        <x:v>0.75</x:v>
      </x:c>
      <x:c r="L970" s="11" t="n">
        <x:f>K970*'管线假设'!E227*'管线假设'!F227*'管线假设'!G227*IF(E970="USD",'管线假设'!I227,1)-AM970</x:f>
        <x:v>0.36955497600000003</x:v>
      </x:c>
      <x:c r="M970" s="11" t="n">
        <x:f>'管线假设'!H227</x:f>
        <x:v>0.125</x:v>
      </x:c>
      <x:c r="N970" s="11" t="n">
        <x:f>IF(G970,L970*AN970/(1+M970)^F970,0)</x:f>
        <x:v>0.3198435241987685</x:v>
      </x:c>
      <x:c r="AJ970" t="n">
        <x:v>0</x:v>
      </x:c>
      <x:c r="AK970" t="n">
        <x:v>0</x:v>
      </x:c>
      <x:c r="AL970" t="n">
        <x:v>0</x:v>
      </x:c>
      <x:c r="AM970" t="n">
        <x:f>CHOOSE('假设'!$B$3,AJ970,AK970,AL970)</x:f>
        <x:v>0</x:v>
      </x:c>
      <x:c r="AN970" t="n">
        <x:v>1</x:v>
      </x:c>
    </x:row>
    <x:row r="971" ht="23" customHeight="1">
      <x:c r="A971" s="11" t="str">
        <x:v>688192.SH</x:v>
      </x:c>
      <x:c r="B971" s="11" t="str">
        <x:v>三年</x:v>
      </x:c>
      <x:c r="C971" s="11" t="str">
        <x:v>sun_first</x:v>
      </x:c>
      <x:c r="D971" s="11" t="str">
        <x:v>2031-12-31</x:v>
      </x:c>
      <x:c r="E971" s="11" t="str">
        <x:v>USD</x:v>
      </x:c>
      <x:c r="F971" s="11" t="n">
        <x:v>2.2258726899383983</x:v>
      </x:c>
      <x:c r="G971" s="26" t="b">
        <x:v>1</x:v>
      </x:c>
      <x:c r="H971" s="16" t="n">
        <x:v>0.3</x:v>
      </x:c>
      <x:c r="I971" s="16" t="n">
        <x:v>1</x:v>
      </x:c>
      <x:c r="J971" s="16" t="n">
        <x:v>2.2500000000000004</x:v>
      </x:c>
      <x:c r="K971" s="11" t="n">
        <x:f>CHOOSE('假设'!$B$3,H971,I971,J971)</x:f>
        <x:v>1</x:v>
      </x:c>
      <x:c r="L971" s="11" t="n">
        <x:f>K971*'管线假设'!E227*'管线假设'!F227*'管线假设'!G227*IF(E971="USD",'管线假设'!I227,1)-AM971</x:f>
        <x:v>0.4927399680000001</x:v>
      </x:c>
      <x:c r="M971" s="11" t="n">
        <x:f>'管线假设'!H227</x:f>
        <x:v>0.125</x:v>
      </x:c>
      <x:c r="N971" s="11" t="n">
        <x:f>IF(G971,L971*AN971/(1+M971)^F971,0)</x:f>
        <x:v>0.37910436789753127</x:v>
      </x:c>
      <x:c r="AJ971" t="n">
        <x:v>0</x:v>
      </x:c>
      <x:c r="AK971" t="n">
        <x:v>0</x:v>
      </x:c>
      <x:c r="AL971" t="n">
        <x:v>0</x:v>
      </x:c>
      <x:c r="AM971" t="n">
        <x:f>CHOOSE('假设'!$B$3,AJ971,AK971,AL971)</x:f>
        <x:v>0</x:v>
      </x:c>
      <x:c r="AN971" t="n">
        <x:v>1</x:v>
      </x:c>
    </x:row>
    <x:row r="972" ht="23" customHeight="1">
      <x:c r="A972" s="11" t="str">
        <x:v>688192.SH</x:v>
      </x:c>
      <x:c r="B972" s="11" t="str">
        <x:v>三年</x:v>
      </x:c>
      <x:c r="C972" s="11" t="str">
        <x:v>sun_first</x:v>
      </x:c>
      <x:c r="D972" s="11" t="str">
        <x:v>2032-12-31</x:v>
      </x:c>
      <x:c r="E972" s="11" t="str">
        <x:v>USD</x:v>
      </x:c>
      <x:c r="F972" s="11" t="n">
        <x:v>3.2279260780287475</x:v>
      </x:c>
      <x:c r="G972" s="26" t="b">
        <x:v>1</x:v>
      </x:c>
      <x:c r="H972" s="16" t="n">
        <x:v>0.4</x:v>
      </x:c>
      <x:c r="I972" s="16" t="n">
        <x:v>1.25</x:v>
      </x:c>
      <x:c r="J972" s="16" t="n">
        <x:v>2.7</x:v>
      </x:c>
      <x:c r="K972" s="11" t="n">
        <x:f>CHOOSE('假设'!$B$3,H972,I972,J972)</x:f>
        <x:v>1.25</x:v>
      </x:c>
      <x:c r="L972" s="11" t="n">
        <x:f>K972*'管线假设'!E227*'管线假设'!F227*'管线假设'!G227*IF(E972="USD",'管线假设'!I227,1)-AM972</x:f>
        <x:v>0.6159249600000001</x:v>
      </x:c>
      <x:c r="M972" s="11" t="n">
        <x:f>'管线假设'!H227</x:f>
        <x:v>0.125</x:v>
      </x:c>
      <x:c r="N972" s="11" t="n">
        <x:f>IF(G972,L972*AN972/(1+M972)^F972,0)</x:f>
        <x:v>0.4211252121880612</x:v>
      </x:c>
      <x:c r="AJ972" t="n">
        <x:v>0</x:v>
      </x:c>
      <x:c r="AK972" t="n">
        <x:v>0</x:v>
      </x:c>
      <x:c r="AL972" t="n">
        <x:v>0</x:v>
      </x:c>
      <x:c r="AM972" t="n">
        <x:f>CHOOSE('假设'!$B$3,AJ972,AK972,AL972)</x:f>
        <x:v>0</x:v>
      </x:c>
      <x:c r="AN972" t="n">
        <x:v>1</x:v>
      </x:c>
    </x:row>
    <x:row r="973" ht="23" customHeight="1">
      <x:c r="A973" s="11" t="str">
        <x:v>688192.SH</x:v>
      </x:c>
      <x:c r="B973" s="11" t="str">
        <x:v>三年</x:v>
      </x:c>
      <x:c r="C973" s="11" t="str">
        <x:v>sun_first</x:v>
      </x:c>
      <x:c r="D973" s="11" t="str">
        <x:v>2033-12-31</x:v>
      </x:c>
      <x:c r="E973" s="11" t="str">
        <x:v>USD</x:v>
      </x:c>
      <x:c r="F973" s="11" t="n">
        <x:v>4.227241615331964</x:v>
      </x:c>
      <x:c r="G973" s="26" t="b">
        <x:v>1</x:v>
      </x:c>
      <x:c r="H973" s="16" t="n">
        <x:v>0.5</x:v>
      </x:c>
      <x:c r="I973" s="16" t="n">
        <x:v>1.5</x:v>
      </x:c>
      <x:c r="J973" s="16" t="n">
        <x:v>2.3760000000000003</x:v>
      </x:c>
      <x:c r="K973" s="11" t="n">
        <x:f>CHOOSE('假设'!$B$3,H973,I973,J973)</x:f>
        <x:v>1.5</x:v>
      </x:c>
      <x:c r="L973" s="11" t="n">
        <x:f>K973*'管线假设'!E227*'管线假设'!F227*'管线假设'!G227*IF(E973="USD",'管线假设'!I227,1)-AM973</x:f>
        <x:v>0.7391099520000001</x:v>
      </x:c>
      <x:c r="M973" s="11" t="n">
        <x:f>'管线假设'!H227</x:f>
        <x:v>0.125</x:v>
      </x:c>
      <x:c r="N973" s="11" t="n">
        <x:f>IF(G973,L973*AN973/(1+M973)^F973,0)</x:f>
        <x:v>0.44923644145988006</x:v>
      </x:c>
      <x:c r="AJ973" t="n">
        <x:v>0</x:v>
      </x:c>
      <x:c r="AK973" t="n">
        <x:v>0</x:v>
      </x:c>
      <x:c r="AL973" t="n">
        <x:v>0</x:v>
      </x:c>
      <x:c r="AM973" t="n">
        <x:f>CHOOSE('假设'!$B$3,AJ973,AK973,AL973)</x:f>
        <x:v>0</x:v>
      </x:c>
      <x:c r="AN973" t="n">
        <x:v>1</x:v>
      </x:c>
    </x:row>
    <x:row r="974" ht="23" customHeight="1">
      <x:c r="A974" s="11" t="str">
        <x:v>688192.SH</x:v>
      </x:c>
      <x:c r="B974" s="11" t="str">
        <x:v>三年</x:v>
      </x:c>
      <x:c r="C974" s="11" t="str">
        <x:v>sun_first</x:v>
      </x:c>
      <x:c r="D974" s="11" t="str">
        <x:v>2034-12-31</x:v>
      </x:c>
      <x:c r="E974" s="11" t="str">
        <x:v>USD</x:v>
      </x:c>
      <x:c r="F974" s="11" t="n">
        <x:v>5.2265571526351815</x:v>
      </x:c>
      <x:c r="G974" s="26" t="b">
        <x:v>1</x:v>
      </x:c>
      <x:c r="H974" s="16" t="n">
        <x:v>0.44</x:v>
      </x:c>
      <x:c r="I974" s="16" t="n">
        <x:v>1.32</x:v>
      </x:c>
      <x:c r="J974" s="16" t="n">
        <x:v>2.052</x:v>
      </x:c>
      <x:c r="K974" s="11" t="n">
        <x:f>CHOOSE('假设'!$B$3,H974,I974,J974)</x:f>
        <x:v>1.32</x:v>
      </x:c>
      <x:c r="L974" s="11" t="n">
        <x:f>K974*'管线假设'!E227*'管线假设'!F227*'管线假设'!G227*IF(E974="USD",'管线假设'!I227,1)-AM974</x:f>
        <x:v>0.6504167577600001</x:v>
      </x:c>
      <x:c r="M974" s="11" t="n">
        <x:f>'管线假设'!H227</x:f>
        <x:v>0.125</x:v>
      </x:c>
      <x:c r="N974" s="11" t="n">
        <x:f>IF(G974,L974*AN974/(1+M974)^F974,0)</x:f>
        <x:v>0.35143105810211156</x:v>
      </x:c>
      <x:c r="AJ974" t="n">
        <x:v>0</x:v>
      </x:c>
      <x:c r="AK974" t="n">
        <x:v>0</x:v>
      </x:c>
      <x:c r="AL974" t="n">
        <x:v>0</x:v>
      </x:c>
      <x:c r="AM974" t="n">
        <x:f>CHOOSE('假设'!$B$3,AJ974,AK974,AL974)</x:f>
        <x:v>0</x:v>
      </x:c>
      <x:c r="AN974" t="n">
        <x:v>1</x:v>
      </x:c>
    </x:row>
    <x:row r="975" ht="23" customHeight="1">
      <x:c r="A975" s="11" t="str">
        <x:v>688192.SH</x:v>
      </x:c>
      <x:c r="B975" s="11" t="str">
        <x:v>三年</x:v>
      </x:c>
      <x:c r="C975" s="11" t="str">
        <x:v>sun_first</x:v>
      </x:c>
      <x:c r="D975" s="11" t="str">
        <x:v>2035-12-31</x:v>
      </x:c>
      <x:c r="E975" s="11" t="str">
        <x:v>USD</x:v>
      </x:c>
      <x:c r="F975" s="11" t="n">
        <x:v>6.225872689938399</x:v>
      </x:c>
      <x:c r="G975" s="26" t="b">
        <x:v>1</x:v>
      </x:c>
      <x:c r="H975" s="16" t="n">
        <x:v>0.38</x:v>
      </x:c>
      <x:c r="I975" s="16" t="n">
        <x:v>1.1400000000000001</x:v>
      </x:c>
      <x:c r="J975" s="16" t="n">
        <x:v>1.7280000000000002</x:v>
      </x:c>
      <x:c r="K975" s="11" t="n">
        <x:f>CHOOSE('假设'!$B$3,H975,I975,J975)</x:f>
        <x:v>1.1400000000000001</x:v>
      </x:c>
      <x:c r="L975" s="11" t="n">
        <x:f>K975*'管线假设'!E227*'管线假设'!F227*'管线假设'!G227*IF(E975="USD",'管线假设'!I227,1)-AM975</x:f>
        <x:v>0.5617235635200002</x:v>
      </x:c>
      <x:c r="M975" s="11" t="n">
        <x:f>'管线假设'!H227</x:f>
        <x:v>0.125</x:v>
      </x:c>
      <x:c r="N975" s="11" t="n">
        <x:f>IF(G975,L975*AN975/(1+M975)^F975,0)</x:f>
        <x:v>0.2698072092113166</x:v>
      </x:c>
      <x:c r="AJ975" t="n">
        <x:v>0</x:v>
      </x:c>
      <x:c r="AK975" t="n">
        <x:v>0</x:v>
      </x:c>
      <x:c r="AL975" t="n">
        <x:v>0</x:v>
      </x:c>
      <x:c r="AM975" t="n">
        <x:f>CHOOSE('假设'!$B$3,AJ975,AK975,AL975)</x:f>
        <x:v>0</x:v>
      </x:c>
      <x:c r="AN975" t="n">
        <x:v>1</x:v>
      </x:c>
    </x:row>
    <x:row r="976" ht="23" customHeight="1">
      <x:c r="A976" s="11" t="str">
        <x:v>688192.SH</x:v>
      </x:c>
      <x:c r="B976" s="11" t="str">
        <x:v>三年</x:v>
      </x:c>
      <x:c r="C976" s="11" t="str">
        <x:v>sun_first</x:v>
      </x:c>
      <x:c r="D976" s="11" t="str">
        <x:v>2036-12-31</x:v>
      </x:c>
      <x:c r="E976" s="11" t="str">
        <x:v>USD</x:v>
      </x:c>
      <x:c r="F976" s="11" t="n">
        <x:v>7.227926078028747</x:v>
      </x:c>
      <x:c r="G976" s="26" t="b">
        <x:v>1</x:v>
      </x:c>
      <x:c r="H976" s="16" t="n">
        <x:v>0.32</x:v>
      </x:c>
      <x:c r="I976" s="16" t="n">
        <x:v>0.96</x:v>
      </x:c>
      <x:c r="J976" s="16" t="n">
        <x:v>1.4040000000000001</x:v>
      </x:c>
      <x:c r="K976" s="11" t="n">
        <x:f>CHOOSE('假设'!$B$3,H976,I976,J976)</x:f>
        <x:v>0.96</x:v>
      </x:c>
      <x:c r="L976" s="11" t="n">
        <x:f>K976*'管线假设'!E227*'管线假设'!F227*'管线假设'!G227*IF(E976="USD",'管线假设'!I227,1)-AM976</x:f>
        <x:v>0.47303036928000003</x:v>
      </x:c>
      <x:c r="M976" s="11" t="n">
        <x:f>'管线假设'!H227</x:f>
        <x:v>0.125</x:v>
      </x:c>
      <x:c r="N976" s="11" t="n">
        <x:f>IF(G976,L976*AN976/(1+M976)^F976,0)</x:f>
        <x:v>0.2019121127093317</x:v>
      </x:c>
      <x:c r="AJ976" t="n">
        <x:v>0</x:v>
      </x:c>
      <x:c r="AK976" t="n">
        <x:v>0</x:v>
      </x:c>
      <x:c r="AL976" t="n">
        <x:v>0</x:v>
      </x:c>
      <x:c r="AM976" t="n">
        <x:f>CHOOSE('假设'!$B$3,AJ976,AK976,AL976)</x:f>
        <x:v>0</x:v>
      </x:c>
      <x:c r="AN976" t="n">
        <x:v>1</x:v>
      </x:c>
    </x:row>
    <x:row r="977" ht="23" customHeight="1">
      <x:c r="A977" s="11" t="str">
        <x:v>688192.SH</x:v>
      </x:c>
      <x:c r="B977" s="11" t="str">
        <x:v>三年</x:v>
      </x:c>
      <x:c r="C977" s="11" t="str">
        <x:v>sun_first</x:v>
      </x:c>
      <x:c r="D977" s="11" t="str">
        <x:v>2037-12-31</x:v>
      </x:c>
      <x:c r="E977" s="11" t="str">
        <x:v>USD</x:v>
      </x:c>
      <x:c r="F977" s="11" t="n">
        <x:v>8.227241615331964</x:v>
      </x:c>
      <x:c r="G977" s="26" t="b">
        <x:v>1</x:v>
      </x:c>
      <x:c r="H977" s="16" t="n">
        <x:v>0.26</x:v>
      </x:c>
      <x:c r="I977" s="16" t="n">
        <x:v>0.78</x:v>
      </x:c>
      <x:c r="J977" s="16" t="n">
        <x:v>1.08</x:v>
      </x:c>
      <x:c r="K977" s="11" t="n">
        <x:f>CHOOSE('假设'!$B$3,H977,I977,J977)</x:f>
        <x:v>0.78</x:v>
      </x:c>
      <x:c r="L977" s="11" t="n">
        <x:f>K977*'管线假设'!E227*'管线假设'!F227*'管线假设'!G227*IF(E977="USD",'管线假设'!I227,1)-AM977</x:f>
        <x:v>0.3843371750400001</x:v>
      </x:c>
      <x:c r="M977" s="11" t="n">
        <x:f>'管线假设'!H227</x:f>
        <x:v>0.125</x:v>
      </x:c>
      <x:c r="N977" s="11" t="n">
        <x:f>IF(G977,L977*AN977/(1+M977)^F977,0)</x:f>
        <x:v>0.1458371713754348</x:v>
      </x:c>
      <x:c r="AJ977" t="n">
        <x:v>0</x:v>
      </x:c>
      <x:c r="AK977" t="n">
        <x:v>0</x:v>
      </x:c>
      <x:c r="AL977" t="n">
        <x:v>0</x:v>
      </x:c>
      <x:c r="AM977" t="n">
        <x:f>CHOOSE('假设'!$B$3,AJ977,AK977,AL977)</x:f>
        <x:v>0</x:v>
      </x:c>
      <x:c r="AN977" t="n">
        <x:v>1</x:v>
      </x:c>
    </x:row>
    <x:row r="978" ht="23" customHeight="1">
      <x:c r="A978" s="11" t="str">
        <x:v>688192.SH</x:v>
      </x:c>
      <x:c r="B978" s="11" t="str">
        <x:v>三年</x:v>
      </x:c>
      <x:c r="C978" s="11" t="str">
        <x:v>sun_first</x:v>
      </x:c>
      <x:c r="D978" s="11" t="str">
        <x:v>2038-12-31</x:v>
      </x:c>
      <x:c r="E978" s="11" t="str">
        <x:v>USD</x:v>
      </x:c>
      <x:c r="F978" s="11" t="n">
        <x:v>9.22655715263518</x:v>
      </x:c>
      <x:c r="G978" s="26" t="b">
        <x:v>1</x:v>
      </x:c>
      <x:c r="H978" s="16" t="n">
        <x:v>0.2</x:v>
      </x:c>
      <x:c r="I978" s="16" t="n">
        <x:v>0.6000000000000001</x:v>
      </x:c>
      <x:c r="J978" s="16" t="n">
        <x:v>0.7560000000000001</x:v>
      </x:c>
      <x:c r="K978" s="11" t="n">
        <x:f>CHOOSE('假设'!$B$3,H978,I978,J978)</x:f>
        <x:v>0.6000000000000001</x:v>
      </x:c>
      <x:c r="L978" s="11" t="n">
        <x:f>K978*'管线假设'!E227*'管线假设'!F227*'管线假设'!G227*IF(E978="USD",'管线假设'!I227,1)-AM978</x:f>
        <x:v>0.2956439808000001</x:v>
      </x:c>
      <x:c r="M978" s="11" t="n">
        <x:f>'管线假设'!H227</x:f>
        <x:v>0.125</x:v>
      </x:c>
      <x:c r="N978" s="11" t="n">
        <x:f>IF(G978,L978*AN978/(1+M978)^F978,0)</x:f>
        <x:v>0.09972576339431692</x:v>
      </x:c>
      <x:c r="AJ978" t="n">
        <x:v>0</x:v>
      </x:c>
      <x:c r="AK978" t="n">
        <x:v>0</x:v>
      </x:c>
      <x:c r="AL978" t="n">
        <x:v>0</x:v>
      </x:c>
      <x:c r="AM978" t="n">
        <x:f>CHOOSE('假设'!$B$3,AJ978,AK978,AL978)</x:f>
        <x:v>0</x:v>
      </x:c>
      <x:c r="AN978" t="n">
        <x:v>1</x:v>
      </x:c>
    </x:row>
    <x:row r="979" ht="23" customHeight="1">
      <x:c r="A979" s="11" t="str">
        <x:v>688192.SH</x:v>
      </x:c>
      <x:c r="B979" s="11" t="str">
        <x:v>三年</x:v>
      </x:c>
      <x:c r="C979" s="11" t="str">
        <x:v>sun_first</x:v>
      </x:c>
      <x:c r="D979" s="11" t="str">
        <x:v>2039-12-31</x:v>
      </x:c>
      <x:c r="E979" s="11" t="str">
        <x:v>USD</x:v>
      </x:c>
      <x:c r="F979" s="11" t="n">
        <x:v>10.225872689938399</x:v>
      </x:c>
      <x:c r="G979" s="26" t="b">
        <x:v>1</x:v>
      </x:c>
      <x:c r="H979" s="16" t="n">
        <x:v>0.14</x:v>
      </x:c>
      <x:c r="I979" s="16" t="n">
        <x:v>0.42000000000000004</x:v>
      </x:c>
      <x:c r="J979" s="16" t="n">
        <x:v>0.4320000000000001</x:v>
      </x:c>
      <x:c r="K979" s="11" t="n">
        <x:f>CHOOSE('假设'!$B$3,H979,I979,J979)</x:f>
        <x:v>0.42000000000000004</x:v>
      </x:c>
      <x:c r="L979" s="11" t="n">
        <x:f>K979*'管线假设'!E227*'管线假设'!F227*'管线假设'!G227*IF(E979="USD",'管线假设'!I227,1)-AM979</x:f>
        <x:v>0.20695078656000007</x:v>
      </x:c>
      <x:c r="M979" s="11" t="n">
        <x:f>'管线假设'!H227</x:f>
        <x:v>0.125</x:v>
      </x:c>
      <x:c r="N979" s="11" t="n">
        <x:f>IF(G979,L979*AN979/(1+M979)^F979,0)</x:f>
        <x:v>0.06205658879428578</x:v>
      </x:c>
      <x:c r="AJ979" t="n">
        <x:v>0</x:v>
      </x:c>
      <x:c r="AK979" t="n">
        <x:v>0</x:v>
      </x:c>
      <x:c r="AL979" t="n">
        <x:v>0</x:v>
      </x:c>
      <x:c r="AM979" t="n">
        <x:f>CHOOSE('假设'!$B$3,AJ979,AK979,AL979)</x:f>
        <x:v>0</x:v>
      </x:c>
      <x:c r="AN979" t="n">
        <x:v>1</x:v>
      </x:c>
    </x:row>
    <x:row r="980" ht="23" customHeight="1">
      <x:c r="A980" s="11" t="str">
        <x:v>688192.SH</x:v>
      </x:c>
      <x:c r="B980" s="11" t="str">
        <x:v>三年</x:v>
      </x:c>
      <x:c r="C980" s="11" t="str">
        <x:v>sun_first</x:v>
      </x:c>
      <x:c r="D980" s="11" t="str">
        <x:v>2040-12-31</x:v>
      </x:c>
      <x:c r="E980" s="11" t="str">
        <x:v>USD</x:v>
      </x:c>
      <x:c r="F980" s="11" t="n">
        <x:v>11.227926078028748</x:v>
      </x:c>
      <x:c r="G980" s="26" t="b">
        <x:v>1</x:v>
      </x:c>
      <x:c r="H980" s="16" t="n">
        <x:v>0.08000000000000002</x:v>
      </x:c>
      <x:c r="I980" s="16" t="n">
        <x:v>0.24000000000000005</x:v>
      </x:c>
      <x:c r="J980" s="16" t="n">
        <x:v>0.10800000000000011</x:v>
      </x:c>
      <x:c r="K980" s="11" t="n">
        <x:f>CHOOSE('假设'!$B$3,H980,I980,J980)</x:f>
        <x:v>0.24000000000000005</x:v>
      </x:c>
      <x:c r="L980" s="11" t="n">
        <x:f>K980*'管线假设'!E227*'管线假设'!F227*'管线假设'!G227*IF(E980="USD",'管线假设'!I227,1)-AM980</x:f>
        <x:v>0.11825759232000004</x:v>
      </x:c>
      <x:c r="M980" s="11" t="n">
        <x:f>'管线假设'!H227</x:f>
        <x:v>0.125</x:v>
      </x:c>
      <x:c r="N980" s="11" t="n">
        <x:f>IF(G980,L980*AN980/(1+M980)^F980,0)</x:f>
        <x:v>0.03151318448626059</x:v>
      </x:c>
      <x:c r="AJ980" t="n">
        <x:v>0</x:v>
      </x:c>
      <x:c r="AK980" t="n">
        <x:v>0</x:v>
      </x:c>
      <x:c r="AL980" t="n">
        <x:v>0</x:v>
      </x:c>
      <x:c r="AM980" t="n">
        <x:f>CHOOSE('假设'!$B$3,AJ980,AK980,AL980)</x:f>
        <x:v>0</x:v>
      </x:c>
      <x:c r="AN980" t="n">
        <x:v>1</x:v>
      </x:c>
    </x:row>
    <x:row r="981" ht="23" customHeight="1">
      <x:c r="A981" s="11" t="str">
        <x:v>688192.SH</x:v>
      </x:c>
      <x:c r="B981" s="11" t="str">
        <x:v>三年</x:v>
      </x:c>
      <x:c r="C981" s="11" t="str">
        <x:v>sun_first</x:v>
      </x:c>
      <x:c r="D981" s="11" t="str">
        <x:v>2041-12-31</x:v>
      </x:c>
      <x:c r="E981" s="11" t="str">
        <x:v>USD</x:v>
      </x:c>
      <x:c r="F981" s="11" t="n">
        <x:v>12.227241615331964</x:v>
      </x:c>
      <x:c r="G981" s="26" t="b">
        <x:v>1</x:v>
      </x:c>
      <x:c r="H981" s="16" t="n">
        <x:v>0.020000000000000018</x:v>
      </x:c>
      <x:c r="I981" s="16" t="n">
        <x:v>0.06000000000000005</x:v>
      </x:c>
      <x:c r="J981" s="16" t="n">
        <x:v>0</x:v>
      </x:c>
      <x:c r="K981" s="11" t="n">
        <x:f>CHOOSE('假设'!$B$3,H981,I981,J981)</x:f>
        <x:v>0.06000000000000005</x:v>
      </x:c>
      <x:c r="L981" s="11" t="n">
        <x:f>K981*'管线假设'!E227*'管线假设'!F227*'管线假设'!G227*IF(E981="USD",'管线假设'!I227,1)-AM981</x:f>
        <x:v>0.029564398080000033</x:v>
      </x:c>
      <x:c r="M981" s="11" t="n">
        <x:f>'管线假设'!H227</x:f>
        <x:v>0.125</x:v>
      </x:c>
      <x:c r="N981" s="11" t="n">
        <x:f>IF(G981,L981*AN981/(1+M981)^F981,0)</x:f>
        <x:v>0.007003494471454652</x:v>
      </x:c>
      <x:c r="AJ981" t="n">
        <x:v>0</x:v>
      </x:c>
      <x:c r="AK981" t="n">
        <x:v>0</x:v>
      </x:c>
      <x:c r="AL981" t="n">
        <x:v>0</x:v>
      </x:c>
      <x:c r="AM981" t="n">
        <x:f>CHOOSE('假设'!$B$3,AJ981,AK981,AL981)</x:f>
        <x:v>0</x:v>
      </x:c>
      <x:c r="AN981" t="n">
        <x:v>1</x:v>
      </x:c>
    </x:row>
    <x:row r="982" ht="23" customHeight="1">
      <x:c r="A982" s="11" t="str">
        <x:v>688192.SH</x:v>
      </x:c>
      <x:c r="B982" s="11" t="str">
        <x:v>三年</x:v>
      </x:c>
      <x:c r="C982" s="11" t="str">
        <x:v>sun_first</x:v>
      </x:c>
      <x:c r="D982" s="11" t="str">
        <x:v>2042-12-31</x:v>
      </x:c>
      <x:c r="E982" s="11" t="str">
        <x:v>USD</x:v>
      </x:c>
      <x:c r="F982" s="11" t="n">
        <x:v>13.22655715263518</x:v>
      </x:c>
      <x:c r="G982" s="26" t="b">
        <x:v>1</x:v>
      </x:c>
      <x:c r="H982" s="16" t="n">
        <x:v>0</x:v>
      </x:c>
      <x:c r="I982" s="16" t="n">
        <x:v>0</x:v>
      </x:c>
      <x:c r="J982" s="16" t="n">
        <x:v>0</x:v>
      </x:c>
      <x:c r="K982" s="11" t="n">
        <x:f>CHOOSE('假设'!$B$3,H982,I982,J982)</x:f>
        <x:v>0</x:v>
      </x:c>
      <x:c r="L982" s="11" t="n">
        <x:f>K982*'管线假设'!E227*'管线假设'!F227*'管线假设'!G227*IF(E982="USD",'管线假设'!I227,1)-AM982</x:f>
        <x:v>0</x:v>
      </x:c>
      <x:c r="M982" s="11" t="n">
        <x:f>'管线假设'!H227</x:f>
        <x:v>0.125</x:v>
      </x:c>
      <x:c r="N982" s="11" t="n">
        <x:f>IF(G982,L982*AN982/(1+M982)^F982,0)</x:f>
        <x:v>0</x:v>
      </x:c>
      <x:c r="AJ982" t="n">
        <x:v>0</x:v>
      </x:c>
      <x:c r="AK982" t="n">
        <x:v>0</x:v>
      </x:c>
      <x:c r="AL982" t="n">
        <x:v>0</x:v>
      </x:c>
      <x:c r="AM982" t="n">
        <x:f>CHOOSE('假设'!$B$3,AJ982,AK982,AL982)</x:f>
        <x:v>0</x:v>
      </x:c>
      <x:c r="AN982" t="n">
        <x:v>1</x:v>
      </x:c>
    </x:row>
    <x:row r="983" ht="23" customHeight="1">
      <x:c r="A983" s="11" t="str">
        <x:v>688192.SH</x:v>
      </x:c>
      <x:c r="B983" s="11" t="str">
        <x:v>三年</x:v>
      </x:c>
      <x:c r="C983" s="11" t="str">
        <x:v>sun_first</x:v>
      </x:c>
      <x:c r="D983" s="11" t="str">
        <x:v>2043-12-31</x:v>
      </x:c>
      <x:c r="E983" s="11" t="str">
        <x:v>USD</x:v>
      </x:c>
      <x:c r="F983" s="11" t="n">
        <x:v>14.225872689938399</x:v>
      </x:c>
      <x:c r="G983" s="26" t="b">
        <x:v>1</x:v>
      </x:c>
      <x:c r="H983" s="16" t="n">
        <x:v>0</x:v>
      </x:c>
      <x:c r="I983" s="16" t="n">
        <x:v>0</x:v>
      </x:c>
      <x:c r="J983" s="16" t="n">
        <x:v>0</x:v>
      </x:c>
      <x:c r="K983" s="11" t="n">
        <x:f>CHOOSE('假设'!$B$3,H983,I983,J983)</x:f>
        <x:v>0</x:v>
      </x:c>
      <x:c r="L983" s="11" t="n">
        <x:f>K983*'管线假设'!E227*'管线假设'!F227*'管线假设'!G227*IF(E983="USD",'管线假设'!I227,1)-AM983</x:f>
        <x:v>0</x:v>
      </x:c>
      <x:c r="M983" s="11" t="n">
        <x:f>'管线假设'!H227</x:f>
        <x:v>0.125</x:v>
      </x:c>
      <x:c r="N983" s="11" t="n">
        <x:f>IF(G983,L983*AN983/(1+M983)^F983,0)</x:f>
        <x:v>0</x:v>
      </x:c>
      <x:c r="AJ983" t="n">
        <x:v>0</x:v>
      </x:c>
      <x:c r="AK983" t="n">
        <x:v>0</x:v>
      </x:c>
      <x:c r="AL983" t="n">
        <x:v>0</x:v>
      </x:c>
      <x:c r="AM983" t="n">
        <x:f>CHOOSE('假设'!$B$3,AJ983,AK983,AL983)</x:f>
        <x:v>0</x:v>
      </x:c>
      <x:c r="AN983" t="n">
        <x:v>1</x:v>
      </x:c>
    </x:row>
    <x:row r="984" ht="23" customHeight="1">
      <x:c r="A984" s="11" t="str">
        <x:v>688192.SH</x:v>
      </x:c>
      <x:c r="B984" s="11" t="str">
        <x:v>三年</x:v>
      </x:c>
      <x:c r="C984" s="11" t="str">
        <x:v>sun_first</x:v>
      </x:c>
      <x:c r="D984" s="11" t="str">
        <x:v>2044-12-31</x:v>
      </x:c>
      <x:c r="E984" s="11" t="str">
        <x:v>USD</x:v>
      </x:c>
      <x:c r="F984" s="11" t="n">
        <x:v>15.227926078028748</x:v>
      </x:c>
      <x:c r="G984" s="26" t="b">
        <x:v>1</x:v>
      </x:c>
      <x:c r="H984" s="16" t="n">
        <x:v>0</x:v>
      </x:c>
      <x:c r="I984" s="16" t="n">
        <x:v>0</x:v>
      </x:c>
      <x:c r="J984" s="16" t="n">
        <x:v>0</x:v>
      </x:c>
      <x:c r="K984" s="11" t="n">
        <x:f>CHOOSE('假设'!$B$3,H984,I984,J984)</x:f>
        <x:v>0</x:v>
      </x:c>
      <x:c r="L984" s="11" t="n">
        <x:f>K984*'管线假设'!E227*'管线假设'!F227*'管线假设'!G227*IF(E984="USD",'管线假设'!I227,1)-AM984</x:f>
        <x:v>0</x:v>
      </x:c>
      <x:c r="M984" s="11" t="n">
        <x:f>'管线假设'!H227</x:f>
        <x:v>0.125</x:v>
      </x:c>
      <x:c r="N984" s="11" t="n">
        <x:f>IF(G984,L984*AN984/(1+M984)^F984,0)</x:f>
        <x:v>0</x:v>
      </x:c>
      <x:c r="AJ984" t="n">
        <x:v>0</x:v>
      </x:c>
      <x:c r="AK984" t="n">
        <x:v>0</x:v>
      </x:c>
      <x:c r="AL984" t="n">
        <x:v>0</x:v>
      </x:c>
      <x:c r="AM984" t="n">
        <x:f>CHOOSE('假设'!$B$3,AJ984,AK984,AL984)</x:f>
        <x:v>0</x:v>
      </x:c>
      <x:c r="AN984" t="n">
        <x:v>1</x:v>
      </x:c>
    </x:row>
    <x:row r="985" ht="23" customHeight="1">
      <x:c r="A985" s="11" t="str">
        <x:v>688192.SH</x:v>
      </x:c>
      <x:c r="B985" s="11" t="str">
        <x:v>三年</x:v>
      </x:c>
      <x:c r="C985" s="11" t="str">
        <x:v>sun_first</x:v>
      </x:c>
      <x:c r="D985" s="11" t="str">
        <x:v>2045-12-31</x:v>
      </x:c>
      <x:c r="E985" s="11" t="str">
        <x:v>USD</x:v>
      </x:c>
      <x:c r="F985" s="11" t="n">
        <x:v>16.227241615331966</x:v>
      </x:c>
      <x:c r="G985" s="26" t="b">
        <x:v>1</x:v>
      </x:c>
      <x:c r="H985" s="16" t="n">
        <x:v>0</x:v>
      </x:c>
      <x:c r="I985" s="16" t="n">
        <x:v>0</x:v>
      </x:c>
      <x:c r="J985" s="16" t="n">
        <x:v>0</x:v>
      </x:c>
      <x:c r="K985" s="11" t="n">
        <x:f>CHOOSE('假设'!$B$3,H985,I985,J985)</x:f>
        <x:v>0</x:v>
      </x:c>
      <x:c r="L985" s="11" t="n">
        <x:f>K985*'管线假设'!E227*'管线假设'!F227*'管线假设'!G227*IF(E985="USD",'管线假设'!I227,1)-AM985</x:f>
        <x:v>0</x:v>
      </x:c>
      <x:c r="M985" s="11" t="n">
        <x:f>'管线假设'!H227</x:f>
        <x:v>0.125</x:v>
      </x:c>
      <x:c r="N985" s="11" t="n">
        <x:f>IF(G985,L985*AN985/(1+M985)^F985,0)</x:f>
        <x:v>0</x:v>
      </x:c>
      <x:c r="AJ985" t="n">
        <x:v>0</x:v>
      </x:c>
      <x:c r="AK985" t="n">
        <x:v>0</x:v>
      </x:c>
      <x:c r="AL985" t="n">
        <x:v>0</x:v>
      </x:c>
      <x:c r="AM985" t="n">
        <x:f>CHOOSE('假设'!$B$3,AJ985,AK985,AL985)</x:f>
        <x:v>0</x:v>
      </x:c>
      <x:c r="AN985" t="n">
        <x:v>1</x:v>
      </x:c>
    </x:row>
    <x:row r="986" ht="23" customHeight="1">
      <x:c r="A986" s="11" t="str">
        <x:v>688192.SH</x:v>
      </x:c>
      <x:c r="B986" s="11" t="str">
        <x:v>三年</x:v>
      </x:c>
      <x:c r="C986" s="11" t="str">
        <x:v>goli_rr</x:v>
      </x:c>
      <x:c r="D986" s="11" t="str">
        <x:v>2027-12-31</x:v>
      </x:c>
      <x:c r="E986" s="11" t="str">
        <x:v>CNY</x:v>
      </x:c>
      <x:c r="F986" s="11" t="n">
        <x:v>-1.7741273100616017</x:v>
      </x:c>
      <x:c r="G986" s="26" t="b">
        <x:v>0</x:v>
      </x:c>
      <x:c r="H986" s="16" t="n">
        <x:v>0.10833333333333334</x:v>
      </x:c>
      <x:c r="I986" s="16" t="n">
        <x:v>0.19999999999999998</x:v>
      </x:c>
      <x:c r="J986" s="16" t="n">
        <x:v>0.36000000000000004</x:v>
      </x:c>
      <x:c r="K986" s="11" t="n">
        <x:f>CHOOSE('假设'!$B$3,H986,I986,J986)</x:f>
        <x:v>0.19999999999999998</x:v>
      </x:c>
      <x:c r="L986" s="11" t="n">
        <x:f>K986*'管线假设'!E231*'管线假设'!F231*'管线假设'!G231*IF(E986="USD",'管线假设'!I231,1)-AM986</x:f>
        <x:v>0.066</x:v>
      </x:c>
      <x:c r="M986" s="11" t="n">
        <x:f>'管线假设'!H231</x:f>
        <x:v>0.125</x:v>
      </x:c>
      <x:c r="N986" s="11" t="n">
        <x:f>IF(G986,L986*AN986/(1+M986)^F986,0)</x:f>
        <x:v>0</x:v>
      </x:c>
      <x:c r="AJ986" t="n">
        <x:v>0</x:v>
      </x:c>
      <x:c r="AK986" t="n">
        <x:v>0</x:v>
      </x:c>
      <x:c r="AL986" t="n">
        <x:v>0</x:v>
      </x:c>
      <x:c r="AM986" t="n">
        <x:f>CHOOSE('假设'!$B$3,AJ986,AK986,AL986)</x:f>
        <x:v>0</x:v>
      </x:c>
      <x:c r="AN986" t="n">
        <x:v>1</x:v>
      </x:c>
    </x:row>
    <x:row r="987" ht="23" customHeight="1">
      <x:c r="A987" s="11" t="str">
        <x:v>688192.SH</x:v>
      </x:c>
      <x:c r="B987" s="11" t="str">
        <x:v>三年</x:v>
      </x:c>
      <x:c r="C987" s="11" t="str">
        <x:v>goli_rr</x:v>
      </x:c>
      <x:c r="D987" s="11" t="str">
        <x:v>2028-12-31</x:v>
      </x:c>
      <x:c r="E987" s="11" t="str">
        <x:v>CNY</x:v>
      </x:c>
      <x:c r="F987" s="11" t="n">
        <x:v>-0.7720739219712526</x:v>
      </x:c>
      <x:c r="G987" s="26" t="b">
        <x:v>0</x:v>
      </x:c>
      <x:c r="H987" s="16" t="n">
        <x:v>0.21666666666666667</x:v>
      </x:c>
      <x:c r="I987" s="16" t="n">
        <x:v>0.39999999999999997</x:v>
      </x:c>
      <x:c r="J987" s="16" t="n">
        <x:v>0.7200000000000001</x:v>
      </x:c>
      <x:c r="K987" s="11" t="n">
        <x:f>CHOOSE('假设'!$B$3,H987,I987,J987)</x:f>
        <x:v>0.39999999999999997</x:v>
      </x:c>
      <x:c r="L987" s="11" t="n">
        <x:f>K987*'管线假设'!E231*'管线假设'!F231*'管线假设'!G231*IF(E987="USD",'管线假设'!I231,1)-AM987</x:f>
        <x:v>0.132</x:v>
      </x:c>
      <x:c r="M987" s="11" t="n">
        <x:f>'管线假设'!H231</x:f>
        <x:v>0.125</x:v>
      </x:c>
      <x:c r="N987" s="11" t="n">
        <x:f>IF(G987,L987*AN987/(1+M987)^F987,0)</x:f>
        <x:v>0</x:v>
      </x:c>
      <x:c r="AJ987" t="n">
        <x:v>0</x:v>
      </x:c>
      <x:c r="AK987" t="n">
        <x:v>0</x:v>
      </x:c>
      <x:c r="AL987" t="n">
        <x:v>0</x:v>
      </x:c>
      <x:c r="AM987" t="n">
        <x:f>CHOOSE('假设'!$B$3,AJ987,AK987,AL987)</x:f>
        <x:v>0</x:v>
      </x:c>
      <x:c r="AN987" t="n">
        <x:v>1</x:v>
      </x:c>
    </x:row>
    <x:row r="988" ht="23" customHeight="1">
      <x:c r="A988" s="11" t="str">
        <x:v>688192.SH</x:v>
      </x:c>
      <x:c r="B988" s="11" t="str">
        <x:v>三年</x:v>
      </x:c>
      <x:c r="C988" s="11" t="str">
        <x:v>goli_rr</x:v>
      </x:c>
      <x:c r="D988" s="11" t="str">
        <x:v>2029-12-31</x:v>
      </x:c>
      <x:c r="E988" s="11" t="str">
        <x:v>CNY</x:v>
      </x:c>
      <x:c r="F988" s="11" t="n">
        <x:v>0.2272416153319644</x:v>
      </x:c>
      <x:c r="G988" s="26" t="b">
        <x:v>1</x:v>
      </x:c>
      <x:c r="H988" s="16" t="n">
        <x:v>0.325</x:v>
      </x:c>
      <x:c r="I988" s="16" t="n">
        <x:v>0.6</x:v>
      </x:c>
      <x:c r="J988" s="16" t="n">
        <x:v>1.08</x:v>
      </x:c>
      <x:c r="K988" s="11" t="n">
        <x:f>CHOOSE('假设'!$B$3,H988,I988,J988)</x:f>
        <x:v>0.6</x:v>
      </x:c>
      <x:c r="L988" s="11" t="n">
        <x:f>K988*'管线假设'!E231*'管线假设'!F231*'管线假设'!G231*IF(E988="USD",'管线假设'!I231,1)-AM988</x:f>
        <x:v>0.198</x:v>
      </x:c>
      <x:c r="M988" s="11" t="n">
        <x:f>'管线假设'!H231</x:f>
        <x:v>0.125</x:v>
      </x:c>
      <x:c r="N988" s="11" t="n">
        <x:f>IF(G988,L988*AN988/(1+M988)^F988,0)</x:f>
        <x:v>0.19277078168466286</x:v>
      </x:c>
      <x:c r="AJ988" t="n">
        <x:v>0</x:v>
      </x:c>
      <x:c r="AK988" t="n">
        <x:v>0</x:v>
      </x:c>
      <x:c r="AL988" t="n">
        <x:v>0</x:v>
      </x:c>
      <x:c r="AM988" t="n">
        <x:f>CHOOSE('假设'!$B$3,AJ988,AK988,AL988)</x:f>
        <x:v>0</x:v>
      </x:c>
      <x:c r="AN988" t="n">
        <x:v>1</x:v>
      </x:c>
    </x:row>
    <x:row r="989" ht="23" customHeight="1">
      <x:c r="A989" s="11" t="str">
        <x:v>688192.SH</x:v>
      </x:c>
      <x:c r="B989" s="11" t="str">
        <x:v>三年</x:v>
      </x:c>
      <x:c r="C989" s="11" t="str">
        <x:v>goli_rr</x:v>
      </x:c>
      <x:c r="D989" s="11" t="str">
        <x:v>2030-12-31</x:v>
      </x:c>
      <x:c r="E989" s="11" t="str">
        <x:v>CNY</x:v>
      </x:c>
      <x:c r="F989" s="11" t="n">
        <x:v>1.2265571526351813</x:v>
      </x:c>
      <x:c r="G989" s="26" t="b">
        <x:v>1</x:v>
      </x:c>
      <x:c r="H989" s="16" t="n">
        <x:v>0.43333333333333335</x:v>
      </x:c>
      <x:c r="I989" s="16" t="n">
        <x:v>0.7999999999999999</x:v>
      </x:c>
      <x:c r="J989" s="16" t="n">
        <x:v>1.4400000000000002</x:v>
      </x:c>
      <x:c r="K989" s="11" t="n">
        <x:f>CHOOSE('假设'!$B$3,H989,I989,J989)</x:f>
        <x:v>0.7999999999999999</x:v>
      </x:c>
      <x:c r="L989" s="11" t="n">
        <x:f>K989*'管线假设'!E231*'管线假设'!F231*'管线假设'!G231*IF(E989="USD",'管线假设'!I231,1)-AM989</x:f>
        <x:v>0.264</x:v>
      </x:c>
      <x:c r="M989" s="11" t="n">
        <x:f>'管线假设'!H231</x:f>
        <x:v>0.125</x:v>
      </x:c>
      <x:c r="N989" s="11" t="n">
        <x:f>IF(G989,L989*AN989/(1+M989)^F989,0)</x:f>
        <x:v>0.22848749407307364</x:v>
      </x:c>
      <x:c r="AJ989" t="n">
        <x:v>0</x:v>
      </x:c>
      <x:c r="AK989" t="n">
        <x:v>0</x:v>
      </x:c>
      <x:c r="AL989" t="n">
        <x:v>0</x:v>
      </x:c>
      <x:c r="AM989" t="n">
        <x:f>CHOOSE('假设'!$B$3,AJ989,AK989,AL989)</x:f>
        <x:v>0</x:v>
      </x:c>
      <x:c r="AN989" t="n">
        <x:v>1</x:v>
      </x:c>
    </x:row>
    <x:row r="990" ht="23" customHeight="1">
      <x:c r="A990" s="11" t="str">
        <x:v>688192.SH</x:v>
      </x:c>
      <x:c r="B990" s="11" t="str">
        <x:v>三年</x:v>
      </x:c>
      <x:c r="C990" s="11" t="str">
        <x:v>goli_rr</x:v>
      </x:c>
      <x:c r="D990" s="11" t="str">
        <x:v>2031-12-31</x:v>
      </x:c>
      <x:c r="E990" s="11" t="str">
        <x:v>CNY</x:v>
      </x:c>
      <x:c r="F990" s="11" t="n">
        <x:v>2.2258726899383983</x:v>
      </x:c>
      <x:c r="G990" s="26" t="b">
        <x:v>1</x:v>
      </x:c>
      <x:c r="H990" s="16" t="n">
        <x:v>0.5416666666666667</x:v>
      </x:c>
      <x:c r="I990" s="16" t="n">
        <x:v>1</x:v>
      </x:c>
      <x:c r="J990" s="16" t="n">
        <x:v>1.8</x:v>
      </x:c>
      <x:c r="K990" s="11" t="n">
        <x:f>CHOOSE('假设'!$B$3,H990,I990,J990)</x:f>
        <x:v>1</x:v>
      </x:c>
      <x:c r="L990" s="11" t="n">
        <x:f>K990*'管线假设'!E231*'管线假设'!F231*'管线假设'!G231*IF(E990="USD",'管线假设'!I231,1)-AM990</x:f>
        <x:v>0.33</x:v>
      </x:c>
      <x:c r="M990" s="11" t="n">
        <x:f>'管线假设'!H231</x:f>
        <x:v>0.125</x:v>
      </x:c>
      <x:c r="N990" s="11" t="n">
        <x:f>IF(G990,L990*AN990/(1+M990)^F990,0)</x:f>
        <x:v>0.25389546115768974</x:v>
      </x:c>
      <x:c r="AJ990" t="n">
        <x:v>0</x:v>
      </x:c>
      <x:c r="AK990" t="n">
        <x:v>0</x:v>
      </x:c>
      <x:c r="AL990" t="n">
        <x:v>0</x:v>
      </x:c>
      <x:c r="AM990" t="n">
        <x:f>CHOOSE('假设'!$B$3,AJ990,AK990,AL990)</x:f>
        <x:v>0</x:v>
      </x:c>
      <x:c r="AN990" t="n">
        <x:v>1</x:v>
      </x:c>
    </x:row>
    <x:row r="991" ht="23" customHeight="1">
      <x:c r="A991" s="11" t="str">
        <x:v>688192.SH</x:v>
      </x:c>
      <x:c r="B991" s="11" t="str">
        <x:v>三年</x:v>
      </x:c>
      <x:c r="C991" s="11" t="str">
        <x:v>goli_rr</x:v>
      </x:c>
      <x:c r="D991" s="11" t="str">
        <x:v>2032-12-31</x:v>
      </x:c>
      <x:c r="E991" s="11" t="str">
        <x:v>CNY</x:v>
      </x:c>
      <x:c r="F991" s="11" t="n">
        <x:v>3.2279260780287475</x:v>
      </x:c>
      <x:c r="G991" s="26" t="b">
        <x:v>1</x:v>
      </x:c>
      <x:c r="H991" s="16" t="n">
        <x:v>0.65</x:v>
      </x:c>
      <x:c r="I991" s="16" t="n">
        <x:v>1.2</x:v>
      </x:c>
      <x:c r="J991" s="16" t="n">
        <x:v>1.584</x:v>
      </x:c>
      <x:c r="K991" s="11" t="n">
        <x:f>CHOOSE('假设'!$B$3,H991,I991,J991)</x:f>
        <x:v>1.2</x:v>
      </x:c>
      <x:c r="L991" s="11" t="n">
        <x:f>K991*'管线假设'!E231*'管线假设'!F231*'管线假设'!G231*IF(E991="USD",'管线假设'!I231,1)-AM991</x:f>
        <x:v>0.396</x:v>
      </x:c>
      <x:c r="M991" s="11" t="n">
        <x:f>'管线假设'!H231</x:f>
        <x:v>0.125</x:v>
      </x:c>
      <x:c r="N991" s="11" t="n">
        <x:f>IF(G991,L991*AN991/(1+M991)^F991,0)</x:f>
        <x:v>0.27075633373661656</x:v>
      </x:c>
      <x:c r="AJ991" t="n">
        <x:v>0</x:v>
      </x:c>
      <x:c r="AK991" t="n">
        <x:v>0</x:v>
      </x:c>
      <x:c r="AL991" t="n">
        <x:v>0</x:v>
      </x:c>
      <x:c r="AM991" t="n">
        <x:f>CHOOSE('假设'!$B$3,AJ991,AK991,AL991)</x:f>
        <x:v>0</x:v>
      </x:c>
      <x:c r="AN991" t="n">
        <x:v>1</x:v>
      </x:c>
    </x:row>
    <x:row r="992" ht="23" customHeight="1">
      <x:c r="A992" s="11" t="str">
        <x:v>688192.SH</x:v>
      </x:c>
      <x:c r="B992" s="11" t="str">
        <x:v>三年</x:v>
      </x:c>
      <x:c r="C992" s="11" t="str">
        <x:v>goli_rr</x:v>
      </x:c>
      <x:c r="D992" s="11" t="str">
        <x:v>2033-12-31</x:v>
      </x:c>
      <x:c r="E992" s="11" t="str">
        <x:v>CNY</x:v>
      </x:c>
      <x:c r="F992" s="11" t="n">
        <x:v>4.227241615331964</x:v>
      </x:c>
      <x:c r="G992" s="26" t="b">
        <x:v>1</x:v>
      </x:c>
      <x:c r="H992" s="16" t="n">
        <x:v>0.5720000000000001</x:v>
      </x:c>
      <x:c r="I992" s="16" t="n">
        <x:v>1.056</x:v>
      </x:c>
      <x:c r="J992" s="16" t="n">
        <x:v>1.368</x:v>
      </x:c>
      <x:c r="K992" s="11" t="n">
        <x:f>CHOOSE('假设'!$B$3,H992,I992,J992)</x:f>
        <x:v>1.056</x:v>
      </x:c>
      <x:c r="L992" s="11" t="n">
        <x:f>K992*'管线假设'!E231*'管线假设'!F231*'管线假设'!G231*IF(E992="USD",'管线假设'!I231,1)-AM992</x:f>
        <x:v>0.34848</x:v>
      </x:c>
      <x:c r="M992" s="11" t="n">
        <x:f>'管线假设'!H231</x:f>
        <x:v>0.125</x:v>
      </x:c>
      <x:c r="N992" s="11" t="n">
        <x:f>IF(G992,L992*AN992/(1+M992)^F992,0)</x:f>
        <x:v>0.21180869598132404</x:v>
      </x:c>
      <x:c r="AJ992" t="n">
        <x:v>0</x:v>
      </x:c>
      <x:c r="AK992" t="n">
        <x:v>0</x:v>
      </x:c>
      <x:c r="AL992" t="n">
        <x:v>0</x:v>
      </x:c>
      <x:c r="AM992" t="n">
        <x:f>CHOOSE('假设'!$B$3,AJ992,AK992,AL992)</x:f>
        <x:v>0</x:v>
      </x:c>
      <x:c r="AN992" t="n">
        <x:v>1</x:v>
      </x:c>
    </x:row>
    <x:row r="993" ht="23" customHeight="1">
      <x:c r="A993" s="11" t="str">
        <x:v>688192.SH</x:v>
      </x:c>
      <x:c r="B993" s="11" t="str">
        <x:v>三年</x:v>
      </x:c>
      <x:c r="C993" s="11" t="str">
        <x:v>goli_rr</x:v>
      </x:c>
      <x:c r="D993" s="11" t="str">
        <x:v>2034-12-31</x:v>
      </x:c>
      <x:c r="E993" s="11" t="str">
        <x:v>CNY</x:v>
      </x:c>
      <x:c r="F993" s="11" t="n">
        <x:v>5.2265571526351815</x:v>
      </x:c>
      <x:c r="G993" s="26" t="b">
        <x:v>1</x:v>
      </x:c>
      <x:c r="H993" s="16" t="n">
        <x:v>0.49400000000000005</x:v>
      </x:c>
      <x:c r="I993" s="16" t="n">
        <x:v>0.9119999999999999</x:v>
      </x:c>
      <x:c r="J993" s="16" t="n">
        <x:v>1.1520000000000001</x:v>
      </x:c>
      <x:c r="K993" s="11" t="n">
        <x:f>CHOOSE('假设'!$B$3,H993,I993,J993)</x:f>
        <x:v>0.9119999999999999</x:v>
      </x:c>
      <x:c r="L993" s="11" t="n">
        <x:f>K993*'管线假设'!E231*'管线假设'!F231*'管线假设'!G231*IF(E993="USD",'管线假设'!I231,1)-AM993</x:f>
        <x:v>0.30096</x:v>
      </x:c>
      <x:c r="M993" s="11" t="n">
        <x:f>'管线假设'!H231</x:f>
        <x:v>0.125</x:v>
      </x:c>
      <x:c r="N993" s="11" t="n">
        <x:f>IF(G993,L993*AN993/(1+M993)^F993,0)</x:f>
        <x:v>0.16261372417688963</x:v>
      </x:c>
      <x:c r="AJ993" t="n">
        <x:v>0</x:v>
      </x:c>
      <x:c r="AK993" t="n">
        <x:v>0</x:v>
      </x:c>
      <x:c r="AL993" t="n">
        <x:v>0</x:v>
      </x:c>
      <x:c r="AM993" t="n">
        <x:f>CHOOSE('假设'!$B$3,AJ993,AK993,AL993)</x:f>
        <x:v>0</x:v>
      </x:c>
      <x:c r="AN993" t="n">
        <x:v>1</x:v>
      </x:c>
    </x:row>
    <x:row r="994" ht="23" customHeight="1">
      <x:c r="A994" s="11" t="str">
        <x:v>688192.SH</x:v>
      </x:c>
      <x:c r="B994" s="11" t="str">
        <x:v>三年</x:v>
      </x:c>
      <x:c r="C994" s="11" t="str">
        <x:v>goli_rr</x:v>
      </x:c>
      <x:c r="D994" s="11" t="str">
        <x:v>2035-12-31</x:v>
      </x:c>
      <x:c r="E994" s="11" t="str">
        <x:v>CNY</x:v>
      </x:c>
      <x:c r="F994" s="11" t="n">
        <x:v>6.225872689938399</x:v>
      </x:c>
      <x:c r="G994" s="26" t="b">
        <x:v>1</x:v>
      </x:c>
      <x:c r="H994" s="16" t="n">
        <x:v>0.41600000000000004</x:v>
      </x:c>
      <x:c r="I994" s="16" t="n">
        <x:v>0.768</x:v>
      </x:c>
      <x:c r="J994" s="16" t="n">
        <x:v>0.936</x:v>
      </x:c>
      <x:c r="K994" s="11" t="n">
        <x:f>CHOOSE('假设'!$B$3,H994,I994,J994)</x:f>
        <x:v>0.768</x:v>
      </x:c>
      <x:c r="L994" s="11" t="n">
        <x:f>K994*'管线假设'!E231*'管线假设'!F231*'管线假设'!G231*IF(E994="USD",'管线假设'!I231,1)-AM994</x:f>
        <x:v>0.25344</x:v>
      </x:c>
      <x:c r="M994" s="11" t="n">
        <x:f>'管线假设'!H231</x:f>
        <x:v>0.125</x:v>
      </x:c>
      <x:c r="N994" s="11" t="n">
        <x:f>IF(G994,L994*AN994/(1+M994)^F994,0)</x:f>
        <x:v>0.12173236720570903</x:v>
      </x:c>
      <x:c r="AJ994" t="n">
        <x:v>0</x:v>
      </x:c>
      <x:c r="AK994" t="n">
        <x:v>0</x:v>
      </x:c>
      <x:c r="AL994" t="n">
        <x:v>0</x:v>
      </x:c>
      <x:c r="AM994" t="n">
        <x:f>CHOOSE('假设'!$B$3,AJ994,AK994,AL994)</x:f>
        <x:v>0</x:v>
      </x:c>
      <x:c r="AN994" t="n">
        <x:v>1</x:v>
      </x:c>
    </x:row>
    <x:row r="995" ht="23" customHeight="1">
      <x:c r="A995" s="11" t="str">
        <x:v>688192.SH</x:v>
      </x:c>
      <x:c r="B995" s="11" t="str">
        <x:v>三年</x:v>
      </x:c>
      <x:c r="C995" s="11" t="str">
        <x:v>goli_rr</x:v>
      </x:c>
      <x:c r="D995" s="11" t="str">
        <x:v>2036-12-31</x:v>
      </x:c>
      <x:c r="E995" s="11" t="str">
        <x:v>CNY</x:v>
      </x:c>
      <x:c r="F995" s="11" t="n">
        <x:v>7.227926078028747</x:v>
      </x:c>
      <x:c r="G995" s="26" t="b">
        <x:v>1</x:v>
      </x:c>
      <x:c r="H995" s="16" t="n">
        <x:v>0.338</x:v>
      </x:c>
      <x:c r="I995" s="16" t="n">
        <x:v>0.624</x:v>
      </x:c>
      <x:c r="J995" s="16" t="n">
        <x:v>0.7200000000000001</x:v>
      </x:c>
      <x:c r="K995" s="11" t="n">
        <x:f>CHOOSE('假设'!$B$3,H995,I995,J995)</x:f>
        <x:v>0.624</x:v>
      </x:c>
      <x:c r="L995" s="11" t="n">
        <x:f>K995*'管线假设'!E231*'管线假设'!F231*'管线假设'!G231*IF(E995="USD",'管线假设'!I231,1)-AM995</x:f>
        <x:v>0.20592000000000002</x:v>
      </x:c>
      <x:c r="M995" s="11" t="n">
        <x:f>'管线假设'!H231</x:f>
        <x:v>0.125</x:v>
      </x:c>
      <x:c r="N995" s="11" t="n">
        <x:f>IF(G995,L995*AN995/(1+M995)^F995,0)</x:f>
        <x:v>0.0878965600293087</x:v>
      </x:c>
      <x:c r="AJ995" t="n">
        <x:v>0</x:v>
      </x:c>
      <x:c r="AK995" t="n">
        <x:v>0</x:v>
      </x:c>
      <x:c r="AL995" t="n">
        <x:v>0</x:v>
      </x:c>
      <x:c r="AM995" t="n">
        <x:f>CHOOSE('假设'!$B$3,AJ995,AK995,AL995)</x:f>
        <x:v>0</x:v>
      </x:c>
      <x:c r="AN995" t="n">
        <x:v>1</x:v>
      </x:c>
    </x:row>
    <x:row r="996" ht="23" customHeight="1">
      <x:c r="A996" s="11" t="str">
        <x:v>688192.SH</x:v>
      </x:c>
      <x:c r="B996" s="11" t="str">
        <x:v>三年</x:v>
      </x:c>
      <x:c r="C996" s="11" t="str">
        <x:v>goli_rr</x:v>
      </x:c>
      <x:c r="D996" s="11" t="str">
        <x:v>2037-12-31</x:v>
      </x:c>
      <x:c r="E996" s="11" t="str">
        <x:v>CNY</x:v>
      </x:c>
      <x:c r="F996" s="11" t="n">
        <x:v>8.227241615331964</x:v>
      </x:c>
      <x:c r="G996" s="26" t="b">
        <x:v>1</x:v>
      </x:c>
      <x:c r="H996" s="16" t="n">
        <x:v>0.26</x:v>
      </x:c>
      <x:c r="I996" s="16" t="n">
        <x:v>0.48</x:v>
      </x:c>
      <x:c r="J996" s="16" t="n">
        <x:v>0.5040000000000001</x:v>
      </x:c>
      <x:c r="K996" s="11" t="n">
        <x:f>CHOOSE('假设'!$B$3,H996,I996,J996)</x:f>
        <x:v>0.48</x:v>
      </x:c>
      <x:c r="L996" s="11" t="n">
        <x:f>K996*'管线假设'!E231*'管线假设'!F231*'管线假设'!G231*IF(E996="USD",'管线假设'!I231,1)-AM996</x:f>
        <x:v>0.1584</x:v>
      </x:c>
      <x:c r="M996" s="11" t="n">
        <x:f>'管线假设'!H231</x:f>
        <x:v>0.125</x:v>
      </x:c>
      <x:c r="N996" s="11" t="n">
        <x:f>IF(G996,L996*AN996/(1+M996)^F996,0)</x:f>
        <x:v>0.06010505734571388</x:v>
      </x:c>
      <x:c r="AJ996" t="n">
        <x:v>0</x:v>
      </x:c>
      <x:c r="AK996" t="n">
        <x:v>0</x:v>
      </x:c>
      <x:c r="AL996" t="n">
        <x:v>0</x:v>
      </x:c>
      <x:c r="AM996" t="n">
        <x:f>CHOOSE('假设'!$B$3,AJ996,AK996,AL996)</x:f>
        <x:v>0</x:v>
      </x:c>
      <x:c r="AN996" t="n">
        <x:v>1</x:v>
      </x:c>
    </x:row>
    <x:row r="997" ht="23" customHeight="1">
      <x:c r="A997" s="11" t="str">
        <x:v>688192.SH</x:v>
      </x:c>
      <x:c r="B997" s="11" t="str">
        <x:v>三年</x:v>
      </x:c>
      <x:c r="C997" s="11" t="str">
        <x:v>goli_rr</x:v>
      </x:c>
      <x:c r="D997" s="11" t="str">
        <x:v>2038-12-31</x:v>
      </x:c>
      <x:c r="E997" s="11" t="str">
        <x:v>CNY</x:v>
      </x:c>
      <x:c r="F997" s="11" t="n">
        <x:v>9.22655715263518</x:v>
      </x:c>
      <x:c r="G997" s="26" t="b">
        <x:v>1</x:v>
      </x:c>
      <x:c r="H997" s="16" t="n">
        <x:v>0.18200000000000002</x:v>
      </x:c>
      <x:c r="I997" s="16" t="n">
        <x:v>0.336</x:v>
      </x:c>
      <x:c r="J997" s="16" t="n">
        <x:v>0.2880000000000001</x:v>
      </x:c>
      <x:c r="K997" s="11" t="n">
        <x:f>CHOOSE('假设'!$B$3,H997,I997,J997)</x:f>
        <x:v>0.336</x:v>
      </x:c>
      <x:c r="L997" s="11" t="n">
        <x:f>K997*'管线假设'!E231*'管线假设'!F231*'管线假设'!G231*IF(E997="USD",'管线假设'!I231,1)-AM997</x:f>
        <x:v>0.11088</x:v>
      </x:c>
      <x:c r="M997" s="11" t="n">
        <x:f>'管线假设'!H231</x:f>
        <x:v>0.125</x:v>
      </x:c>
      <x:c r="N997" s="11" t="n">
        <x:f>IF(G997,L997*AN997/(1+M997)^F997,0)</x:f>
        <x:v>0.03740171748208938</x:v>
      </x:c>
      <x:c r="AJ997" t="n">
        <x:v>0</x:v>
      </x:c>
      <x:c r="AK997" t="n">
        <x:v>0</x:v>
      </x:c>
      <x:c r="AL997" t="n">
        <x:v>0</x:v>
      </x:c>
      <x:c r="AM997" t="n">
        <x:f>CHOOSE('假设'!$B$3,AJ997,AK997,AL997)</x:f>
        <x:v>0</x:v>
      </x:c>
      <x:c r="AN997" t="n">
        <x:v>1</x:v>
      </x:c>
    </x:row>
    <x:row r="998" ht="23" customHeight="1">
      <x:c r="A998" s="11" t="str">
        <x:v>688192.SH</x:v>
      </x:c>
      <x:c r="B998" s="11" t="str">
        <x:v>三年</x:v>
      </x:c>
      <x:c r="C998" s="11" t="str">
        <x:v>goli_rr</x:v>
      </x:c>
      <x:c r="D998" s="11" t="str">
        <x:v>2039-12-31</x:v>
      </x:c>
      <x:c r="E998" s="11" t="str">
        <x:v>CNY</x:v>
      </x:c>
      <x:c r="F998" s="11" t="n">
        <x:v>10.225872689938399</x:v>
      </x:c>
      <x:c r="G998" s="26" t="b">
        <x:v>1</x:v>
      </x:c>
      <x:c r="H998" s="16" t="n">
        <x:v>0.10400000000000002</x:v>
      </x:c>
      <x:c r="I998" s="16" t="n">
        <x:v>0.19200000000000003</x:v>
      </x:c>
      <x:c r="J998" s="16" t="n">
        <x:v>0.07200000000000006</x:v>
      </x:c>
      <x:c r="K998" s="11" t="n">
        <x:f>CHOOSE('假设'!$B$3,H998,I998,J998)</x:f>
        <x:v>0.19200000000000003</x:v>
      </x:c>
      <x:c r="L998" s="11" t="n">
        <x:f>K998*'管线假设'!E231*'管线假设'!F231*'管线假设'!G231*IF(E998="USD",'管线假设'!I231,1)-AM998</x:f>
        <x:v>0.06336000000000001</x:v>
      </x:c>
      <x:c r="M998" s="11" t="n">
        <x:f>'管线假设'!H231</x:f>
        <x:v>0.125</x:v>
      </x:c>
      <x:c r="N998" s="11" t="n">
        <x:f>IF(G998,L998*AN998/(1+M998)^F998,0)</x:f>
        <x:v>0.018999229388606324</x:v>
      </x:c>
      <x:c r="AJ998" t="n">
        <x:v>0</x:v>
      </x:c>
      <x:c r="AK998" t="n">
        <x:v>0</x:v>
      </x:c>
      <x:c r="AL998" t="n">
        <x:v>0</x:v>
      </x:c>
      <x:c r="AM998" t="n">
        <x:f>CHOOSE('假设'!$B$3,AJ998,AK998,AL998)</x:f>
        <x:v>0</x:v>
      </x:c>
      <x:c r="AN998" t="n">
        <x:v>1</x:v>
      </x:c>
    </x:row>
    <x:row r="999" ht="23" customHeight="1">
      <x:c r="A999" s="11" t="str">
        <x:v>688192.SH</x:v>
      </x:c>
      <x:c r="B999" s="11" t="str">
        <x:v>三年</x:v>
      </x:c>
      <x:c r="C999" s="11" t="str">
        <x:v>goli_rr</x:v>
      </x:c>
      <x:c r="D999" s="11" t="str">
        <x:v>2040-12-31</x:v>
      </x:c>
      <x:c r="E999" s="11" t="str">
        <x:v>CNY</x:v>
      </x:c>
      <x:c r="F999" s="11" t="n">
        <x:v>11.227926078028748</x:v>
      </x:c>
      <x:c r="G999" s="26" t="b">
        <x:v>1</x:v>
      </x:c>
      <x:c r="H999" s="16" t="n">
        <x:v>0.026000000000000023</x:v>
      </x:c>
      <x:c r="I999" s="16" t="n">
        <x:v>0.04800000000000004</x:v>
      </x:c>
      <x:c r="J999" s="16" t="n">
        <x:v>0</x:v>
      </x:c>
      <x:c r="K999" s="11" t="n">
        <x:f>CHOOSE('假设'!$B$3,H999,I999,J999)</x:f>
        <x:v>0.04800000000000004</x:v>
      </x:c>
      <x:c r="L999" s="11" t="n">
        <x:f>K999*'管线假设'!E231*'管线假设'!F231*'管线假设'!G231*IF(E999="USD",'管线假设'!I231,1)-AM999</x:f>
        <x:v>0.015840000000000014</x:v>
      </x:c>
      <x:c r="M999" s="11" t="n">
        <x:f>'管线假设'!H231</x:f>
        <x:v>0.125</x:v>
      </x:c>
      <x:c r="N999" s="11" t="n">
        <x:f>IF(G999,L999*AN999/(1+M999)^F999,0)</x:f>
        <x:v>0.004221029977607174</x:v>
      </x:c>
      <x:c r="AJ999" t="n">
        <x:v>0</x:v>
      </x:c>
      <x:c r="AK999" t="n">
        <x:v>0</x:v>
      </x:c>
      <x:c r="AL999" t="n">
        <x:v>0</x:v>
      </x:c>
      <x:c r="AM999" t="n">
        <x:f>CHOOSE('假设'!$B$3,AJ999,AK999,AL999)</x:f>
        <x:v>0</x:v>
      </x:c>
      <x:c r="AN999" t="n">
        <x:v>1</x:v>
      </x:c>
    </x:row>
    <x:row r="1000" ht="23" customHeight="1">
      <x:c r="A1000" s="11" t="str">
        <x:v>688192.SH</x:v>
      </x:c>
      <x:c r="B1000" s="11" t="str">
        <x:v>三年</x:v>
      </x:c>
      <x:c r="C1000" s="11" t="str">
        <x:v>goli_rr</x:v>
      </x:c>
      <x:c r="D1000" s="11" t="str">
        <x:v>2041-12-31</x:v>
      </x:c>
      <x:c r="E1000" s="11" t="str">
        <x:v>CNY</x:v>
      </x:c>
      <x:c r="F1000" s="11" t="n">
        <x:v>12.227241615331964</x:v>
      </x:c>
      <x:c r="G1000" s="26" t="b">
        <x:v>1</x:v>
      </x:c>
      <x:c r="H1000" s="16" t="n">
        <x:v>0</x:v>
      </x:c>
      <x:c r="I1000" s="16" t="n">
        <x:v>0</x:v>
      </x:c>
      <x:c r="J1000" s="16" t="n">
        <x:v>0</x:v>
      </x:c>
      <x:c r="K1000" s="11" t="n">
        <x:f>CHOOSE('假设'!$B$3,H1000,I1000,J1000)</x:f>
        <x:v>0</x:v>
      </x:c>
      <x:c r="L1000" s="11" t="n">
        <x:f>K1000*'管线假设'!E231*'管线假设'!F231*'管线假设'!G231*IF(E1000="USD",'管线假设'!I231,1)-AM1000</x:f>
        <x:v>0</x:v>
      </x:c>
      <x:c r="M1000" s="11" t="n">
        <x:f>'管线假设'!H231</x:f>
        <x:v>0.125</x:v>
      </x:c>
      <x:c r="N1000" s="11" t="n">
        <x:f>IF(G1000,L1000*AN1000/(1+M1000)^F1000,0)</x:f>
        <x:v>0</x:v>
      </x:c>
      <x:c r="AJ1000" t="n">
        <x:v>0</x:v>
      </x:c>
      <x:c r="AK1000" t="n">
        <x:v>0</x:v>
      </x:c>
      <x:c r="AL1000" t="n">
        <x:v>0</x:v>
      </x:c>
      <x:c r="AM1000" t="n">
        <x:f>CHOOSE('假设'!$B$3,AJ1000,AK1000,AL1000)</x:f>
        <x:v>0</x:v>
      </x:c>
      <x:c r="AN1000" t="n">
        <x:v>1</x:v>
      </x:c>
    </x:row>
    <x:row r="1001" ht="23" customHeight="1">
      <x:c r="A1001" s="11" t="str">
        <x:v>688192.SH</x:v>
      </x:c>
      <x:c r="B1001" s="11" t="str">
        <x:v>三年</x:v>
      </x:c>
      <x:c r="C1001" s="11" t="str">
        <x:v>goli_rr</x:v>
      </x:c>
      <x:c r="D1001" s="11" t="str">
        <x:v>2042-12-31</x:v>
      </x:c>
      <x:c r="E1001" s="11" t="str">
        <x:v>CNY</x:v>
      </x:c>
      <x:c r="F1001" s="11" t="n">
        <x:v>13.22655715263518</x:v>
      </x:c>
      <x:c r="G1001" s="26" t="b">
        <x:v>1</x:v>
      </x:c>
      <x:c r="H1001" s="16" t="n">
        <x:v>0</x:v>
      </x:c>
      <x:c r="I1001" s="16" t="n">
        <x:v>0</x:v>
      </x:c>
      <x:c r="J1001" s="16" t="n">
        <x:v>0</x:v>
      </x:c>
      <x:c r="K1001" s="11" t="n">
        <x:f>CHOOSE('假设'!$B$3,H1001,I1001,J1001)</x:f>
        <x:v>0</x:v>
      </x:c>
      <x:c r="L1001" s="11" t="n">
        <x:f>K1001*'管线假设'!E231*'管线假设'!F231*'管线假设'!G231*IF(E1001="USD",'管线假设'!I231,1)-AM1001</x:f>
        <x:v>0</x:v>
      </x:c>
      <x:c r="M1001" s="11" t="n">
        <x:f>'管线假设'!H231</x:f>
        <x:v>0.125</x:v>
      </x:c>
      <x:c r="N1001" s="11" t="n">
        <x:f>IF(G1001,L1001*AN1001/(1+M1001)^F1001,0)</x:f>
        <x:v>0</x:v>
      </x:c>
      <x:c r="AJ1001" t="n">
        <x:v>0</x:v>
      </x:c>
      <x:c r="AK1001" t="n">
        <x:v>0</x:v>
      </x:c>
      <x:c r="AL1001" t="n">
        <x:v>0</x:v>
      </x:c>
      <x:c r="AM1001" t="n">
        <x:f>CHOOSE('假设'!$B$3,AJ1001,AK1001,AL1001)</x:f>
        <x:v>0</x:v>
      </x:c>
      <x:c r="AN1001" t="n">
        <x:v>1</x:v>
      </x:c>
    </x:row>
    <x:row r="1002" ht="23" customHeight="1">
      <x:c r="A1002" s="11" t="str">
        <x:v>688192.SH</x:v>
      </x:c>
      <x:c r="B1002" s="11" t="str">
        <x:v>三年</x:v>
      </x:c>
      <x:c r="C1002" s="11" t="str">
        <x:v>goli_rr</x:v>
      </x:c>
      <x:c r="D1002" s="11" t="str">
        <x:v>2043-12-31</x:v>
      </x:c>
      <x:c r="E1002" s="11" t="str">
        <x:v>CNY</x:v>
      </x:c>
      <x:c r="F1002" s="11" t="n">
        <x:v>14.225872689938399</x:v>
      </x:c>
      <x:c r="G1002" s="26" t="b">
        <x:v>1</x:v>
      </x:c>
      <x:c r="H1002" s="16" t="n">
        <x:v>0</x:v>
      </x:c>
      <x:c r="I1002" s="16" t="n">
        <x:v>0</x:v>
      </x:c>
      <x:c r="J1002" s="16" t="n">
        <x:v>0</x:v>
      </x:c>
      <x:c r="K1002" s="11" t="n">
        <x:f>CHOOSE('假设'!$B$3,H1002,I1002,J1002)</x:f>
        <x:v>0</x:v>
      </x:c>
      <x:c r="L1002" s="11" t="n">
        <x:f>K1002*'管线假设'!E231*'管线假设'!F231*'管线假设'!G231*IF(E1002="USD",'管线假设'!I231,1)-AM1002</x:f>
        <x:v>0</x:v>
      </x:c>
      <x:c r="M1002" s="11" t="n">
        <x:f>'管线假设'!H231</x:f>
        <x:v>0.125</x:v>
      </x:c>
      <x:c r="N1002" s="11" t="n">
        <x:f>IF(G1002,L1002*AN1002/(1+M1002)^F1002,0)</x:f>
        <x:v>0</x:v>
      </x:c>
      <x:c r="AJ1002" t="n">
        <x:v>0</x:v>
      </x:c>
      <x:c r="AK1002" t="n">
        <x:v>0</x:v>
      </x:c>
      <x:c r="AL1002" t="n">
        <x:v>0</x:v>
      </x:c>
      <x:c r="AM1002" t="n">
        <x:f>CHOOSE('假设'!$B$3,AJ1002,AK1002,AL1002)</x:f>
        <x:v>0</x:v>
      </x:c>
      <x:c r="AN1002" t="n">
        <x:v>1</x:v>
      </x:c>
    </x:row>
    <x:row r="1003" ht="23" customHeight="1">
      <x:c r="A1003" s="11" t="str">
        <x:v>688192.SH</x:v>
      </x:c>
      <x:c r="B1003" s="11" t="str">
        <x:v>三年</x:v>
      </x:c>
      <x:c r="C1003" s="11" t="str">
        <x:v>goli_rr</x:v>
      </x:c>
      <x:c r="D1003" s="11" t="str">
        <x:v>2044-12-31</x:v>
      </x:c>
      <x:c r="E1003" s="11" t="str">
        <x:v>CNY</x:v>
      </x:c>
      <x:c r="F1003" s="11" t="n">
        <x:v>15.227926078028748</x:v>
      </x:c>
      <x:c r="G1003" s="26" t="b">
        <x:v>1</x:v>
      </x:c>
      <x:c r="H1003" s="16" t="n">
        <x:v>0</x:v>
      </x:c>
      <x:c r="I1003" s="16" t="n">
        <x:v>0</x:v>
      </x:c>
      <x:c r="J1003" s="16" t="n">
        <x:v>0</x:v>
      </x:c>
      <x:c r="K1003" s="11" t="n">
        <x:f>CHOOSE('假设'!$B$3,H1003,I1003,J1003)</x:f>
        <x:v>0</x:v>
      </x:c>
      <x:c r="L1003" s="11" t="n">
        <x:f>K1003*'管线假设'!E231*'管线假设'!F231*'管线假设'!G231*IF(E1003="USD",'管线假设'!I231,1)-AM1003</x:f>
        <x:v>0</x:v>
      </x:c>
      <x:c r="M1003" s="11" t="n">
        <x:f>'管线假设'!H231</x:f>
        <x:v>0.125</x:v>
      </x:c>
      <x:c r="N1003" s="11" t="n">
        <x:f>IF(G1003,L1003*AN1003/(1+M1003)^F1003,0)</x:f>
        <x:v>0</x:v>
      </x:c>
      <x:c r="AJ1003" t="n">
        <x:v>0</x:v>
      </x:c>
      <x:c r="AK1003" t="n">
        <x:v>0</x:v>
      </x:c>
      <x:c r="AL1003" t="n">
        <x:v>0</x:v>
      </x:c>
      <x:c r="AM1003" t="n">
        <x:f>CHOOSE('假设'!$B$3,AJ1003,AK1003,AL1003)</x:f>
        <x:v>0</x:v>
      </x:c>
      <x:c r="AN1003" t="n">
        <x:v>1</x:v>
      </x:c>
    </x:row>
    <x:row r="1004" ht="23" customHeight="1">
      <x:c r="A1004" s="11" t="str">
        <x:v>688192.SH</x:v>
      </x:c>
      <x:c r="B1004" s="11" t="str">
        <x:v>三年</x:v>
      </x:c>
      <x:c r="C1004" s="11" t="str">
        <x:v>goli_rr</x:v>
      </x:c>
      <x:c r="D1004" s="11" t="str">
        <x:v>2045-12-31</x:v>
      </x:c>
      <x:c r="E1004" s="11" t="str">
        <x:v>CNY</x:v>
      </x:c>
      <x:c r="F1004" s="11" t="n">
        <x:v>16.227241615331966</x:v>
      </x:c>
      <x:c r="G1004" s="26" t="b">
        <x:v>1</x:v>
      </x:c>
      <x:c r="H1004" s="16" t="n">
        <x:v>0</x:v>
      </x:c>
      <x:c r="I1004" s="16" t="n">
        <x:v>0</x:v>
      </x:c>
      <x:c r="J1004" s="16" t="n">
        <x:v>0</x:v>
      </x:c>
      <x:c r="K1004" s="11" t="n">
        <x:f>CHOOSE('假设'!$B$3,H1004,I1004,J1004)</x:f>
        <x:v>0</x:v>
      </x:c>
      <x:c r="L1004" s="11" t="n">
        <x:f>K1004*'管线假设'!E231*'管线假设'!F231*'管线假设'!G231*IF(E1004="USD",'管线假设'!I231,1)-AM1004</x:f>
        <x:v>0</x:v>
      </x:c>
      <x:c r="M1004" s="11" t="n">
        <x:f>'管线假设'!H231</x:f>
        <x:v>0.125</x:v>
      </x:c>
      <x:c r="N1004" s="11" t="n">
        <x:f>IF(G1004,L1004*AN1004/(1+M1004)^F1004,0)</x:f>
        <x:v>0</x:v>
      </x:c>
      <x:c r="AJ1004" t="n">
        <x:v>0</x:v>
      </x:c>
      <x:c r="AK1004" t="n">
        <x:v>0</x:v>
      </x:c>
      <x:c r="AL1004" t="n">
        <x:v>0</x:v>
      </x:c>
      <x:c r="AM1004" t="n">
        <x:f>CHOOSE('假设'!$B$3,AJ1004,AK1004,AL1004)</x:f>
        <x:v>0</x:v>
      </x:c>
      <x:c r="AN1004" t="n">
        <x:v>1</x:v>
      </x:c>
    </x:row>
    <x:row r="1005" ht="23" customHeight="1">
      <x:c r="A1005" s="11" t="str">
        <x:v>688192.SH</x:v>
      </x:c>
      <x:c r="B1005" s="11" t="str">
        <x:v>三年</x:v>
      </x:c>
      <x:c r="C1005" s="11" t="str">
        <x:v>goli_first</x:v>
      </x:c>
      <x:c r="D1005" s="11" t="str">
        <x:v>2027-12-31</x:v>
      </x:c>
      <x:c r="E1005" s="11" t="str">
        <x:v>CNY</x:v>
      </x:c>
      <x:c r="F1005" s="11" t="n">
        <x:v>-1.7741273100616017</x:v>
      </x:c>
      <x:c r="G1005" s="26" t="b">
        <x:v>0</x:v>
      </x:c>
      <x:c r="H1005" s="16" t="n">
        <x:v>0</x:v>
      </x:c>
      <x:c r="I1005" s="16" t="n">
        <x:v>0</x:v>
      </x:c>
      <x:c r="J1005" s="16" t="n">
        <x:v>0</x:v>
      </x:c>
      <x:c r="K1005" s="11" t="n">
        <x:f>CHOOSE('假设'!$B$3,H1005,I1005,J1005)</x:f>
        <x:v>0</x:v>
      </x:c>
      <x:c r="L1005" s="11" t="n">
        <x:f>K1005*'管线假设'!E235*'管线假设'!F235*'管线假设'!G235*IF(E1005="USD",'管线假设'!I235,1)-AM1005</x:f>
        <x:v>0</x:v>
      </x:c>
      <x:c r="M1005" s="11" t="n">
        <x:f>'管线假设'!H235</x:f>
        <x:v>0.125</x:v>
      </x:c>
      <x:c r="N1005" s="11" t="n">
        <x:f>IF(G1005,L1005*AN1005/(1+M1005)^F1005,0)</x:f>
        <x:v>0</x:v>
      </x:c>
      <x:c r="AJ1005" t="n">
        <x:v>0</x:v>
      </x:c>
      <x:c r="AK1005" t="n">
        <x:v>0</x:v>
      </x:c>
      <x:c r="AL1005" t="n">
        <x:v>0</x:v>
      </x:c>
      <x:c r="AM1005" t="n">
        <x:f>CHOOSE('假设'!$B$3,AJ1005,AK1005,AL1005)</x:f>
        <x:v>0</x:v>
      </x:c>
      <x:c r="AN1005" t="n">
        <x:v>1</x:v>
      </x:c>
    </x:row>
    <x:row r="1006" ht="23" customHeight="1">
      <x:c r="A1006" s="11" t="str">
        <x:v>688192.SH</x:v>
      </x:c>
      <x:c r="B1006" s="11" t="str">
        <x:v>三年</x:v>
      </x:c>
      <x:c r="C1006" s="11" t="str">
        <x:v>goli_first</x:v>
      </x:c>
      <x:c r="D1006" s="11" t="str">
        <x:v>2028-12-31</x:v>
      </x:c>
      <x:c r="E1006" s="11" t="str">
        <x:v>CNY</x:v>
      </x:c>
      <x:c r="F1006" s="11" t="n">
        <x:v>-0.7720739219712526</x:v>
      </x:c>
      <x:c r="G1006" s="26" t="b">
        <x:v>0</x:v>
      </x:c>
      <x:c r="H1006" s="16" t="n">
        <x:v>0</x:v>
      </x:c>
      <x:c r="I1006" s="16" t="n">
        <x:v>0</x:v>
      </x:c>
      <x:c r="J1006" s="16" t="n">
        <x:v>0.25</x:v>
      </x:c>
      <x:c r="K1006" s="11" t="n">
        <x:f>CHOOSE('假设'!$B$3,H1006,I1006,J1006)</x:f>
        <x:v>0</x:v>
      </x:c>
      <x:c r="L1006" s="11" t="n">
        <x:f>K1006*'管线假设'!E235*'管线假设'!F235*'管线假设'!G235*IF(E1006="USD",'管线假设'!I235,1)-AM1006</x:f>
        <x:v>0</x:v>
      </x:c>
      <x:c r="M1006" s="11" t="n">
        <x:f>'管线假设'!H235</x:f>
        <x:v>0.125</x:v>
      </x:c>
      <x:c r="N1006" s="11" t="n">
        <x:f>IF(G1006,L1006*AN1006/(1+M1006)^F1006,0)</x:f>
        <x:v>0</x:v>
      </x:c>
      <x:c r="AJ1006" t="n">
        <x:v>0</x:v>
      </x:c>
      <x:c r="AK1006" t="n">
        <x:v>0</x:v>
      </x:c>
      <x:c r="AL1006" t="n">
        <x:v>0</x:v>
      </x:c>
      <x:c r="AM1006" t="n">
        <x:f>CHOOSE('假设'!$B$3,AJ1006,AK1006,AL1006)</x:f>
        <x:v>0</x:v>
      </x:c>
      <x:c r="AN1006" t="n">
        <x:v>1</x:v>
      </x:c>
    </x:row>
    <x:row r="1007" ht="23" customHeight="1">
      <x:c r="A1007" s="11" t="str">
        <x:v>688192.SH</x:v>
      </x:c>
      <x:c r="B1007" s="11" t="str">
        <x:v>三年</x:v>
      </x:c>
      <x:c r="C1007" s="11" t="str">
        <x:v>goli_first</x:v>
      </x:c>
      <x:c r="D1007" s="11" t="str">
        <x:v>2029-12-31</x:v>
      </x:c>
      <x:c r="E1007" s="11" t="str">
        <x:v>CNY</x:v>
      </x:c>
      <x:c r="F1007" s="11" t="n">
        <x:v>0.2272416153319644</x:v>
      </x:c>
      <x:c r="G1007" s="26" t="b">
        <x:v>1</x:v>
      </x:c>
      <x:c r="H1007" s="16" t="n">
        <x:v>0</x:v>
      </x:c>
      <x:c r="I1007" s="16" t="n">
        <x:v>0.15833333333333333</x:v>
      </x:c>
      <x:c r="J1007" s="16" t="n">
        <x:v>0.5</x:v>
      </x:c>
      <x:c r="K1007" s="11" t="n">
        <x:f>CHOOSE('假设'!$B$3,H1007,I1007,J1007)</x:f>
        <x:v>0.15833333333333333</x:v>
      </x:c>
      <x:c r="L1007" s="11" t="n">
        <x:f>K1007*'管线假设'!E235*'管线假设'!F235*'管线假设'!G235*IF(E1007="USD",'管线假设'!I235,1)-AM1007</x:f>
        <x:v>0.029678000000000003</x:v>
      </x:c>
      <x:c r="M1007" s="11" t="n">
        <x:f>'管线假设'!H235</x:f>
        <x:v>0.125</x:v>
      </x:c>
      <x:c r="N1007" s="11" t="n">
        <x:f>IF(G1007,L1007*AN1007/(1+M1007)^F1007,0)</x:f>
        <x:v>0.02889419827695669</x:v>
      </x:c>
      <x:c r="AJ1007" t="n">
        <x:v>0</x:v>
      </x:c>
      <x:c r="AK1007" t="n">
        <x:v>0</x:v>
      </x:c>
      <x:c r="AL1007" t="n">
        <x:v>0</x:v>
      </x:c>
      <x:c r="AM1007" t="n">
        <x:f>CHOOSE('假设'!$B$3,AJ1007,AK1007,AL1007)</x:f>
        <x:v>0</x:v>
      </x:c>
      <x:c r="AN1007" t="n">
        <x:v>1</x:v>
      </x:c>
    </x:row>
    <x:row r="1008" ht="23" customHeight="1">
      <x:c r="A1008" s="11" t="str">
        <x:v>688192.SH</x:v>
      </x:c>
      <x:c r="B1008" s="11" t="str">
        <x:v>三年</x:v>
      </x:c>
      <x:c r="C1008" s="11" t="str">
        <x:v>goli_first</x:v>
      </x:c>
      <x:c r="D1008" s="11" t="str">
        <x:v>2030-12-31</x:v>
      </x:c>
      <x:c r="E1008" s="11" t="str">
        <x:v>CNY</x:v>
      </x:c>
      <x:c r="F1008" s="11" t="n">
        <x:v>1.2265571526351813</x:v>
      </x:c>
      <x:c r="G1008" s="26" t="b">
        <x:v>1</x:v>
      </x:c>
      <x:c r="H1008" s="16" t="n">
        <x:v>0</x:v>
      </x:c>
      <x:c r="I1008" s="16" t="n">
        <x:v>0.31666666666666665</x:v>
      </x:c>
      <x:c r="J1008" s="16" t="n">
        <x:v>0.75</x:v>
      </x:c>
      <x:c r="K1008" s="11" t="n">
        <x:f>CHOOSE('假设'!$B$3,H1008,I1008,J1008)</x:f>
        <x:v>0.31666666666666665</x:v>
      </x:c>
      <x:c r="L1008" s="11" t="n">
        <x:f>K1008*'管线假设'!E235*'管线假设'!F235*'管线假设'!G235*IF(E1008="USD",'管线假设'!I235,1)-AM1008</x:f>
        <x:v>0.059356000000000006</x:v>
      </x:c>
      <x:c r="M1008" s="11" t="n">
        <x:f>'管线假设'!H235</x:f>
        <x:v>0.125</x:v>
      </x:c>
      <x:c r="N1008" s="11" t="n">
        <x:f>IF(G1008,L1008*AN1008/(1+M1008)^F1008,0)</x:f>
        <x:v>0.05137160491742939</x:v>
      </x:c>
      <x:c r="AJ1008" t="n">
        <x:v>0</x:v>
      </x:c>
      <x:c r="AK1008" t="n">
        <x:v>0</x:v>
      </x:c>
      <x:c r="AL1008" t="n">
        <x:v>0</x:v>
      </x:c>
      <x:c r="AM1008" t="n">
        <x:f>CHOOSE('假设'!$B$3,AJ1008,AK1008,AL1008)</x:f>
        <x:v>0</x:v>
      </x:c>
      <x:c r="AN1008" t="n">
        <x:v>1</x:v>
      </x:c>
    </x:row>
    <x:row r="1009" ht="23" customHeight="1">
      <x:c r="A1009" s="11" t="str">
        <x:v>688192.SH</x:v>
      </x:c>
      <x:c r="B1009" s="11" t="str">
        <x:v>三年</x:v>
      </x:c>
      <x:c r="C1009" s="11" t="str">
        <x:v>goli_first</x:v>
      </x:c>
      <x:c r="D1009" s="11" t="str">
        <x:v>2031-12-31</x:v>
      </x:c>
      <x:c r="E1009" s="11" t="str">
        <x:v>CNY</x:v>
      </x:c>
      <x:c r="F1009" s="11" t="n">
        <x:v>2.2258726899383983</x:v>
      </x:c>
      <x:c r="G1009" s="26" t="b">
        <x:v>1</x:v>
      </x:c>
      <x:c r="H1009" s="16" t="n">
        <x:v>0.08000000000000002</x:v>
      </x:c>
      <x:c r="I1009" s="16" t="n">
        <x:v>0.475</x:v>
      </x:c>
      <x:c r="J1009" s="16" t="n">
        <x:v>1</x:v>
      </x:c>
      <x:c r="K1009" s="11" t="n">
        <x:f>CHOOSE('假设'!$B$3,H1009,I1009,J1009)</x:f>
        <x:v>0.475</x:v>
      </x:c>
      <x:c r="L1009" s="11" t="n">
        <x:f>K1009*'管线假设'!E235*'管线假设'!F235*'管线假设'!G235*IF(E1009="USD",'管线假设'!I235,1)-AM1009</x:f>
        <x:v>0.08903400000000002</x:v>
      </x:c>
      <x:c r="M1009" s="11" t="n">
        <x:f>'管线假设'!H235</x:f>
        <x:v>0.125</x:v>
      </x:c>
      <x:c r="N1009" s="11" t="n">
        <x:f>IF(G1009,L1009*AN1009/(1+M1009)^F1009,0)</x:f>
        <x:v>0.06850099542034471</x:v>
      </x:c>
      <x:c r="AJ1009" t="n">
        <x:v>0</x:v>
      </x:c>
      <x:c r="AK1009" t="n">
        <x:v>0</x:v>
      </x:c>
      <x:c r="AL1009" t="n">
        <x:v>0</x:v>
      </x:c>
      <x:c r="AM1009" t="n">
        <x:f>CHOOSE('假设'!$B$3,AJ1009,AK1009,AL1009)</x:f>
        <x:v>0</x:v>
      </x:c>
      <x:c r="AN1009" t="n">
        <x:v>1</x:v>
      </x:c>
    </x:row>
    <x:row r="1010" ht="23" customHeight="1">
      <x:c r="A1010" s="11" t="str">
        <x:v>688192.SH</x:v>
      </x:c>
      <x:c r="B1010" s="11" t="str">
        <x:v>三年</x:v>
      </x:c>
      <x:c r="C1010" s="11" t="str">
        <x:v>goli_first</x:v>
      </x:c>
      <x:c r="D1010" s="11" t="str">
        <x:v>2032-12-31</x:v>
      </x:c>
      <x:c r="E1010" s="11" t="str">
        <x:v>CNY</x:v>
      </x:c>
      <x:c r="F1010" s="11" t="n">
        <x:v>3.2279260780287475</x:v>
      </x:c>
      <x:c r="G1010" s="26" t="b">
        <x:v>1</x:v>
      </x:c>
      <x:c r="H1010" s="16" t="n">
        <x:v>0.16000000000000003</x:v>
      </x:c>
      <x:c r="I1010" s="16" t="n">
        <x:v>0.6333333333333333</x:v>
      </x:c>
      <x:c r="J1010" s="16" t="n">
        <x:v>1.25</x:v>
      </x:c>
      <x:c r="K1010" s="11" t="n">
        <x:f>CHOOSE('假设'!$B$3,H1010,I1010,J1010)</x:f>
        <x:v>0.6333333333333333</x:v>
      </x:c>
      <x:c r="L1010" s="11" t="n">
        <x:f>K1010*'管线假设'!E235*'管线假设'!F235*'管线假设'!G235*IF(E1010="USD",'管线假设'!I235,1)-AM1010</x:f>
        <x:v>0.11871200000000001</x:v>
      </x:c>
      <x:c r="M1010" s="11" t="n">
        <x:f>'管线假设'!H235</x:f>
        <x:v>0.125</x:v>
      </x:c>
      <x:c r="N1010" s="11" t="n">
        <x:f>IF(G1010,L1010*AN1010/(1+M1010)^F1010,0)</x:f>
        <x:v>0.08116673204682129</x:v>
      </x:c>
      <x:c r="AJ1010" t="n">
        <x:v>0</x:v>
      </x:c>
      <x:c r="AK1010" t="n">
        <x:v>0</x:v>
      </x:c>
      <x:c r="AL1010" t="n">
        <x:v>0</x:v>
      </x:c>
      <x:c r="AM1010" t="n">
        <x:f>CHOOSE('假设'!$B$3,AJ1010,AK1010,AL1010)</x:f>
        <x:v>0</x:v>
      </x:c>
      <x:c r="AN1010" t="n">
        <x:v>1</x:v>
      </x:c>
    </x:row>
    <x:row r="1011" ht="23" customHeight="1">
      <x:c r="A1011" s="11" t="str">
        <x:v>688192.SH</x:v>
      </x:c>
      <x:c r="B1011" s="11" t="str">
        <x:v>三年</x:v>
      </x:c>
      <x:c r="C1011" s="11" t="str">
        <x:v>goli_first</x:v>
      </x:c>
      <x:c r="D1011" s="11" t="str">
        <x:v>2033-12-31</x:v>
      </x:c>
      <x:c r="E1011" s="11" t="str">
        <x:v>CNY</x:v>
      </x:c>
      <x:c r="F1011" s="11" t="n">
        <x:v>4.227241615331964</x:v>
      </x:c>
      <x:c r="G1011" s="26" t="b">
        <x:v>1</x:v>
      </x:c>
      <x:c r="H1011" s="16" t="n">
        <x:v>0.24</x:v>
      </x:c>
      <x:c r="I1011" s="16" t="n">
        <x:v>0.7916666666666666</x:v>
      </x:c>
      <x:c r="J1011" s="16" t="n">
        <x:v>1.5</x:v>
      </x:c>
      <x:c r="K1011" s="11" t="n">
        <x:f>CHOOSE('假设'!$B$3,H1011,I1011,J1011)</x:f>
        <x:v>0.7916666666666666</x:v>
      </x:c>
      <x:c r="L1011" s="11" t="n">
        <x:f>K1011*'管线假设'!E235*'管线假设'!F235*'管线假设'!G235*IF(E1011="USD",'管线假设'!I235,1)-AM1011</x:f>
        <x:v>0.14839000000000002</x:v>
      </x:c>
      <x:c r="M1011" s="11" t="n">
        <x:f>'管线假设'!H235</x:f>
        <x:v>0.125</x:v>
      </x:c>
      <x:c r="N1011" s="11" t="n">
        <x:f>IF(G1011,L1011*AN1011/(1+M1011)^F1011,0)</x:f>
        <x:v>0.09019252868649184</x:v>
      </x:c>
      <x:c r="AJ1011" t="n">
        <x:v>0</x:v>
      </x:c>
      <x:c r="AK1011" t="n">
        <x:v>0</x:v>
      </x:c>
      <x:c r="AL1011" t="n">
        <x:v>0</x:v>
      </x:c>
      <x:c r="AM1011" t="n">
        <x:f>CHOOSE('假设'!$B$3,AJ1011,AK1011,AL1011)</x:f>
        <x:v>0</x:v>
      </x:c>
      <x:c r="AN1011" t="n">
        <x:v>1</x:v>
      </x:c>
    </x:row>
    <x:row r="1012" ht="23" customHeight="1">
      <x:c r="A1012" s="11" t="str">
        <x:v>688192.SH</x:v>
      </x:c>
      <x:c r="B1012" s="11" t="str">
        <x:v>三年</x:v>
      </x:c>
      <x:c r="C1012" s="11" t="str">
        <x:v>goli_first</x:v>
      </x:c>
      <x:c r="D1012" s="11" t="str">
        <x:v>2034-12-31</x:v>
      </x:c>
      <x:c r="E1012" s="11" t="str">
        <x:v>CNY</x:v>
      </x:c>
      <x:c r="F1012" s="11" t="n">
        <x:v>5.2265571526351815</x:v>
      </x:c>
      <x:c r="G1012" s="26" t="b">
        <x:v>1</x:v>
      </x:c>
      <x:c r="H1012" s="16" t="n">
        <x:v>0.32000000000000006</x:v>
      </x:c>
      <x:c r="I1012" s="16" t="n">
        <x:v>0.95</x:v>
      </x:c>
      <x:c r="J1012" s="16" t="n">
        <x:v>1.32</x:v>
      </x:c>
      <x:c r="K1012" s="11" t="n">
        <x:f>CHOOSE('假设'!$B$3,H1012,I1012,J1012)</x:f>
        <x:v>0.95</x:v>
      </x:c>
      <x:c r="L1012" s="11" t="n">
        <x:f>K1012*'管线假设'!E235*'管线假设'!F235*'管线假设'!G235*IF(E1012="USD",'管线假设'!I235,1)-AM1012</x:f>
        <x:v>0.17806800000000003</x:v>
      </x:c>
      <x:c r="M1012" s="11" t="n">
        <x:f>'管线假设'!H235</x:f>
        <x:v>0.125</x:v>
      </x:c>
      <x:c r="N1012" s="11" t="n">
        <x:f>IF(G1012,L1012*AN1012/(1+M1012)^F1012,0)</x:f>
        <x:v>0.09621312013799305</x:v>
      </x:c>
      <x:c r="AJ1012" t="n">
        <x:v>0</x:v>
      </x:c>
      <x:c r="AK1012" t="n">
        <x:v>0</x:v>
      </x:c>
      <x:c r="AL1012" t="n">
        <x:v>0</x:v>
      </x:c>
      <x:c r="AM1012" t="n">
        <x:f>CHOOSE('假设'!$B$3,AJ1012,AK1012,AL1012)</x:f>
        <x:v>0</x:v>
      </x:c>
      <x:c r="AN1012" t="n">
        <x:v>1</x:v>
      </x:c>
    </x:row>
    <x:row r="1013" ht="23" customHeight="1">
      <x:c r="A1013" s="11" t="str">
        <x:v>688192.SH</x:v>
      </x:c>
      <x:c r="B1013" s="11" t="str">
        <x:v>三年</x:v>
      </x:c>
      <x:c r="C1013" s="11" t="str">
        <x:v>goli_first</x:v>
      </x:c>
      <x:c r="D1013" s="11" t="str">
        <x:v>2035-12-31</x:v>
      </x:c>
      <x:c r="E1013" s="11" t="str">
        <x:v>CNY</x:v>
      </x:c>
      <x:c r="F1013" s="11" t="n">
        <x:v>6.225872689938399</x:v>
      </x:c>
      <x:c r="G1013" s="26" t="b">
        <x:v>1</x:v>
      </x:c>
      <x:c r="H1013" s="16" t="n">
        <x:v>0.4</x:v>
      </x:c>
      <x:c r="I1013" s="16" t="n">
        <x:v>0.836</x:v>
      </x:c>
      <x:c r="J1013" s="16" t="n">
        <x:v>1.1400000000000001</x:v>
      </x:c>
      <x:c r="K1013" s="11" t="n">
        <x:f>CHOOSE('假设'!$B$3,H1013,I1013,J1013)</x:f>
        <x:v>0.836</x:v>
      </x:c>
      <x:c r="L1013" s="11" t="n">
        <x:f>K1013*'管线假设'!E235*'管线假设'!F235*'管线假设'!G235*IF(E1013="USD",'管线假设'!I235,1)-AM1013</x:f>
        <x:v>0.15669984000000003</x:v>
      </x:c>
      <x:c r="M1013" s="11" t="n">
        <x:f>'管线假设'!H235</x:f>
        <x:v>0.125</x:v>
      </x:c>
      <x:c r="N1013" s="11" t="n">
        <x:f>IF(G1013,L1013*AN1013/(1+M1013)^F1013,0)</x:f>
        <x:v>0.07526610820689653</x:v>
      </x:c>
      <x:c r="AJ1013" t="n">
        <x:v>0</x:v>
      </x:c>
      <x:c r="AK1013" t="n">
        <x:v>0</x:v>
      </x:c>
      <x:c r="AL1013" t="n">
        <x:v>0</x:v>
      </x:c>
      <x:c r="AM1013" t="n">
        <x:f>CHOOSE('假设'!$B$3,AJ1013,AK1013,AL1013)</x:f>
        <x:v>0</x:v>
      </x:c>
      <x:c r="AN1013" t="n">
        <x:v>1</x:v>
      </x:c>
    </x:row>
    <x:row r="1014" ht="23" customHeight="1">
      <x:c r="A1014" s="11" t="str">
        <x:v>688192.SH</x:v>
      </x:c>
      <x:c r="B1014" s="11" t="str">
        <x:v>三年</x:v>
      </x:c>
      <x:c r="C1014" s="11" t="str">
        <x:v>goli_first</x:v>
      </x:c>
      <x:c r="D1014" s="11" t="str">
        <x:v>2036-12-31</x:v>
      </x:c>
      <x:c r="E1014" s="11" t="str">
        <x:v>CNY</x:v>
      </x:c>
      <x:c r="F1014" s="11" t="n">
        <x:v>7.227926078028747</x:v>
      </x:c>
      <x:c r="G1014" s="26" t="b">
        <x:v>1</x:v>
      </x:c>
      <x:c r="H1014" s="16" t="n">
        <x:v>0.35200000000000004</x:v>
      </x:c>
      <x:c r="I1014" s="16" t="n">
        <x:v>0.722</x:v>
      </x:c>
      <x:c r="J1014" s="16" t="n">
        <x:v>0.96</x:v>
      </x:c>
      <x:c r="K1014" s="11" t="n">
        <x:f>CHOOSE('假设'!$B$3,H1014,I1014,J1014)</x:f>
        <x:v>0.722</x:v>
      </x:c>
      <x:c r="L1014" s="11" t="n">
        <x:f>K1014*'管线假设'!E235*'管线假设'!F235*'管线假设'!G235*IF(E1014="USD",'管线假设'!I235,1)-AM1014</x:f>
        <x:v>0.13533168</x:v>
      </x:c>
      <x:c r="M1014" s="11" t="n">
        <x:f>'管线假设'!H235</x:f>
        <x:v>0.125</x:v>
      </x:c>
      <x:c r="N1014" s="11" t="n">
        <x:f>IF(G1014,L1014*AN1014/(1+M1014)^F1014,0)</x:f>
        <x:v>0.057766070002851576</x:v>
      </x:c>
      <x:c r="AJ1014" t="n">
        <x:v>0</x:v>
      </x:c>
      <x:c r="AK1014" t="n">
        <x:v>0</x:v>
      </x:c>
      <x:c r="AL1014" t="n">
        <x:v>0</x:v>
      </x:c>
      <x:c r="AM1014" t="n">
        <x:f>CHOOSE('假设'!$B$3,AJ1014,AK1014,AL1014)</x:f>
        <x:v>0</x:v>
      </x:c>
      <x:c r="AN1014" t="n">
        <x:v>1</x:v>
      </x:c>
    </x:row>
    <x:row r="1015" ht="23" customHeight="1">
      <x:c r="A1015" s="11" t="str">
        <x:v>688192.SH</x:v>
      </x:c>
      <x:c r="B1015" s="11" t="str">
        <x:v>三年</x:v>
      </x:c>
      <x:c r="C1015" s="11" t="str">
        <x:v>goli_first</x:v>
      </x:c>
      <x:c r="D1015" s="11" t="str">
        <x:v>2037-12-31</x:v>
      </x:c>
      <x:c r="E1015" s="11" t="str">
        <x:v>CNY</x:v>
      </x:c>
      <x:c r="F1015" s="11" t="n">
        <x:v>8.227241615331964</x:v>
      </x:c>
      <x:c r="G1015" s="26" t="b">
        <x:v>1</x:v>
      </x:c>
      <x:c r="H1015" s="16" t="n">
        <x:v>0.30400000000000005</x:v>
      </x:c>
      <x:c r="I1015" s="16" t="n">
        <x:v>0.608</x:v>
      </x:c>
      <x:c r="J1015" s="16" t="n">
        <x:v>0.78</x:v>
      </x:c>
      <x:c r="K1015" s="11" t="n">
        <x:f>CHOOSE('假设'!$B$3,H1015,I1015,J1015)</x:f>
        <x:v>0.608</x:v>
      </x:c>
      <x:c r="L1015" s="11" t="n">
        <x:f>K1015*'管线假设'!E235*'管线假设'!F235*'管线假设'!G235*IF(E1015="USD",'管线假设'!I235,1)-AM1015</x:f>
        <x:v>0.11396352000000001</x:v>
      </x:c>
      <x:c r="M1015" s="11" t="n">
        <x:f>'管线假设'!H235</x:f>
        <x:v>0.125</x:v>
      </x:c>
      <x:c r="N1015" s="11" t="n">
        <x:f>IF(G1015,L1015*AN1015/(1+M1015)^F1015,0)</x:f>
        <x:v>0.04324358525832961</x:v>
      </x:c>
      <x:c r="AJ1015" t="n">
        <x:v>0</x:v>
      </x:c>
      <x:c r="AK1015" t="n">
        <x:v>0</x:v>
      </x:c>
      <x:c r="AL1015" t="n">
        <x:v>0</x:v>
      </x:c>
      <x:c r="AM1015" t="n">
        <x:f>CHOOSE('假设'!$B$3,AJ1015,AK1015,AL1015)</x:f>
        <x:v>0</x:v>
      </x:c>
      <x:c r="AN1015" t="n">
        <x:v>1</x:v>
      </x:c>
    </x:row>
    <x:row r="1016" ht="23" customHeight="1">
      <x:c r="A1016" s="11" t="str">
        <x:v>688192.SH</x:v>
      </x:c>
      <x:c r="B1016" s="11" t="str">
        <x:v>三年</x:v>
      </x:c>
      <x:c r="C1016" s="11" t="str">
        <x:v>goli_first</x:v>
      </x:c>
      <x:c r="D1016" s="11" t="str">
        <x:v>2038-12-31</x:v>
      </x:c>
      <x:c r="E1016" s="11" t="str">
        <x:v>CNY</x:v>
      </x:c>
      <x:c r="F1016" s="11" t="n">
        <x:v>9.22655715263518</x:v>
      </x:c>
      <x:c r="G1016" s="26" t="b">
        <x:v>1</x:v>
      </x:c>
      <x:c r="H1016" s="16" t="n">
        <x:v>0.256</x:v>
      </x:c>
      <x:c r="I1016" s="16" t="n">
        <x:v>0.494</x:v>
      </x:c>
      <x:c r="J1016" s="16" t="n">
        <x:v>0.6000000000000001</x:v>
      </x:c>
      <x:c r="K1016" s="11" t="n">
        <x:f>CHOOSE('假设'!$B$3,H1016,I1016,J1016)</x:f>
        <x:v>0.494</x:v>
      </x:c>
      <x:c r="L1016" s="11" t="n">
        <x:f>K1016*'管线假设'!E235*'管线假设'!F235*'管线假设'!G235*IF(E1016="USD",'管线假设'!I235,1)-AM1016</x:f>
        <x:v>0.09259536</x:v>
      </x:c>
      <x:c r="M1016" s="11" t="n">
        <x:f>'管线假设'!H235</x:f>
        <x:v>0.125</x:v>
      </x:c>
      <x:c r="N1016" s="11" t="n">
        <x:f>IF(G1016,L1016*AN1016/(1+M1016)^F1016,0)</x:f>
        <x:v>0.03123399616587626</x:v>
      </x:c>
      <x:c r="AJ1016" t="n">
        <x:v>0</x:v>
      </x:c>
      <x:c r="AK1016" t="n">
        <x:v>0</x:v>
      </x:c>
      <x:c r="AL1016" t="n">
        <x:v>0</x:v>
      </x:c>
      <x:c r="AM1016" t="n">
        <x:f>CHOOSE('假设'!$B$3,AJ1016,AK1016,AL1016)</x:f>
        <x:v>0</x:v>
      </x:c>
      <x:c r="AN1016" t="n">
        <x:v>1</x:v>
      </x:c>
    </x:row>
    <x:row r="1017" ht="23" customHeight="1">
      <x:c r="A1017" s="11" t="str">
        <x:v>688192.SH</x:v>
      </x:c>
      <x:c r="B1017" s="11" t="str">
        <x:v>三年</x:v>
      </x:c>
      <x:c r="C1017" s="11" t="str">
        <x:v>goli_first</x:v>
      </x:c>
      <x:c r="D1017" s="11" t="str">
        <x:v>2039-12-31</x:v>
      </x:c>
      <x:c r="E1017" s="11" t="str">
        <x:v>CNY</x:v>
      </x:c>
      <x:c r="F1017" s="11" t="n">
        <x:v>10.225872689938399</x:v>
      </x:c>
      <x:c r="G1017" s="26" t="b">
        <x:v>1</x:v>
      </x:c>
      <x:c r="H1017" s="16" t="n">
        <x:v>0.20800000000000002</x:v>
      </x:c>
      <x:c r="I1017" s="16" t="n">
        <x:v>0.38</x:v>
      </x:c>
      <x:c r="J1017" s="16" t="n">
        <x:v>0.42000000000000004</x:v>
      </x:c>
      <x:c r="K1017" s="11" t="n">
        <x:f>CHOOSE('假设'!$B$3,H1017,I1017,J1017)</x:f>
        <x:v>0.38</x:v>
      </x:c>
      <x:c r="L1017" s="11" t="n">
        <x:f>K1017*'管线假设'!E235*'管线假设'!F235*'管线假设'!G235*IF(E1017="USD",'管线假设'!I235,1)-AM1017</x:f>
        <x:v>0.07122720000000002</x:v>
      </x:c>
      <x:c r="M1017" s="11" t="n">
        <x:f>'管线假设'!H235</x:f>
        <x:v>0.125</x:v>
      </x:c>
      <x:c r="N1017" s="11" t="n">
        <x:f>IF(G1017,L1017*AN1017/(1+M1017)^F1017,0)</x:f>
        <x:v>0.021358300371024944</x:v>
      </x:c>
      <x:c r="AJ1017" t="n">
        <x:v>0</x:v>
      </x:c>
      <x:c r="AK1017" t="n">
        <x:v>0</x:v>
      </x:c>
      <x:c r="AL1017" t="n">
        <x:v>0</x:v>
      </x:c>
      <x:c r="AM1017" t="n">
        <x:f>CHOOSE('假设'!$B$3,AJ1017,AK1017,AL1017)</x:f>
        <x:v>0</x:v>
      </x:c>
      <x:c r="AN1017" t="n">
        <x:v>1</x:v>
      </x:c>
    </x:row>
    <x:row r="1018" ht="23" customHeight="1">
      <x:c r="A1018" s="11" t="str">
        <x:v>688192.SH</x:v>
      </x:c>
      <x:c r="B1018" s="11" t="str">
        <x:v>三年</x:v>
      </x:c>
      <x:c r="C1018" s="11" t="str">
        <x:v>goli_first</x:v>
      </x:c>
      <x:c r="D1018" s="11" t="str">
        <x:v>2040-12-31</x:v>
      </x:c>
      <x:c r="E1018" s="11" t="str">
        <x:v>CNY</x:v>
      </x:c>
      <x:c r="F1018" s="11" t="n">
        <x:v>11.227926078028748</x:v>
      </x:c>
      <x:c r="G1018" s="26" t="b">
        <x:v>1</x:v>
      </x:c>
      <x:c r="H1018" s="16" t="n">
        <x:v>0.16000000000000003</x:v>
      </x:c>
      <x:c r="I1018" s="16" t="n">
        <x:v>0.266</x:v>
      </x:c>
      <x:c r="J1018" s="16" t="n">
        <x:v>0.24000000000000005</x:v>
      </x:c>
      <x:c r="K1018" s="11" t="n">
        <x:f>CHOOSE('假设'!$B$3,H1018,I1018,J1018)</x:f>
        <x:v>0.266</x:v>
      </x:c>
      <x:c r="L1018" s="11" t="n">
        <x:f>K1018*'管线假设'!E235*'管线假设'!F235*'管线假设'!G235*IF(E1018="USD",'管线假设'!I235,1)-AM1018</x:f>
        <x:v>0.049859040000000014</x:v>
      </x:c>
      <x:c r="M1018" s="11" t="n">
        <x:f>'管线假设'!H235</x:f>
        <x:v>0.125</x:v>
      </x:c>
      <x:c r="N1018" s="11" t="n">
        <x:f>IF(G1018,L1018*AN1018/(1+M1018)^F1018,0)</x:f>
        <x:v>0.013286395359514841</x:v>
      </x:c>
      <x:c r="AJ1018" t="n">
        <x:v>0</x:v>
      </x:c>
      <x:c r="AK1018" t="n">
        <x:v>0</x:v>
      </x:c>
      <x:c r="AL1018" t="n">
        <x:v>0</x:v>
      </x:c>
      <x:c r="AM1018" t="n">
        <x:f>CHOOSE('假设'!$B$3,AJ1018,AK1018,AL1018)</x:f>
        <x:v>0</x:v>
      </x:c>
      <x:c r="AN1018" t="n">
        <x:v>1</x:v>
      </x:c>
    </x:row>
    <x:row r="1019" ht="23" customHeight="1">
      <x:c r="A1019" s="11" t="str">
        <x:v>688192.SH</x:v>
      </x:c>
      <x:c r="B1019" s="11" t="str">
        <x:v>三年</x:v>
      </x:c>
      <x:c r="C1019" s="11" t="str">
        <x:v>goli_first</x:v>
      </x:c>
      <x:c r="D1019" s="11" t="str">
        <x:v>2041-12-31</x:v>
      </x:c>
      <x:c r="E1019" s="11" t="str">
        <x:v>CNY</x:v>
      </x:c>
      <x:c r="F1019" s="11" t="n">
        <x:v>12.227241615331964</x:v>
      </x:c>
      <x:c r="G1019" s="26" t="b">
        <x:v>1</x:v>
      </x:c>
      <x:c r="H1019" s="16" t="n">
        <x:v>0.11200000000000002</x:v>
      </x:c>
      <x:c r="I1019" s="16" t="n">
        <x:v>0.15200000000000002</x:v>
      </x:c>
      <x:c r="J1019" s="16" t="n">
        <x:v>0.06000000000000005</x:v>
      </x:c>
      <x:c r="K1019" s="11" t="n">
        <x:f>CHOOSE('假设'!$B$3,H1019,I1019,J1019)</x:f>
        <x:v>0.15200000000000002</x:v>
      </x:c>
      <x:c r="L1019" s="11" t="n">
        <x:f>K1019*'管线假设'!E235*'管线假设'!F235*'管线假设'!G235*IF(E1019="USD",'管线假设'!I235,1)-AM1019</x:f>
        <x:v>0.02849088000000001</x:v>
      </x:c>
      <x:c r="M1019" s="11" t="n">
        <x:f>'管线假设'!H235</x:f>
        <x:v>0.125</x:v>
      </x:c>
      <x:c r="N1019" s="11" t="n">
        <x:f>IF(G1019,L1019*AN1019/(1+M1019)^F1019,0)</x:f>
        <x:v>0.006749189346826633</x:v>
      </x:c>
      <x:c r="AJ1019" t="n">
        <x:v>0</x:v>
      </x:c>
      <x:c r="AK1019" t="n">
        <x:v>0</x:v>
      </x:c>
      <x:c r="AL1019" t="n">
        <x:v>0</x:v>
      </x:c>
      <x:c r="AM1019" t="n">
        <x:f>CHOOSE('假设'!$B$3,AJ1019,AK1019,AL1019)</x:f>
        <x:v>0</x:v>
      </x:c>
      <x:c r="AN1019" t="n">
        <x:v>1</x:v>
      </x:c>
    </x:row>
    <x:row r="1020" ht="23" customHeight="1">
      <x:c r="A1020" s="11" t="str">
        <x:v>688192.SH</x:v>
      </x:c>
      <x:c r="B1020" s="11" t="str">
        <x:v>三年</x:v>
      </x:c>
      <x:c r="C1020" s="11" t="str">
        <x:v>goli_first</x:v>
      </x:c>
      <x:c r="D1020" s="11" t="str">
        <x:v>2042-12-31</x:v>
      </x:c>
      <x:c r="E1020" s="11" t="str">
        <x:v>CNY</x:v>
      </x:c>
      <x:c r="F1020" s="11" t="n">
        <x:v>13.22655715263518</x:v>
      </x:c>
      <x:c r="G1020" s="26" t="b">
        <x:v>1</x:v>
      </x:c>
      <x:c r="H1020" s="16" t="n">
        <x:v>0.06400000000000002</x:v>
      </x:c>
      <x:c r="I1020" s="16" t="n">
        <x:v>0.038000000000000034</x:v>
      </x:c>
      <x:c r="J1020" s="16" t="n">
        <x:v>0</x:v>
      </x:c>
      <x:c r="K1020" s="11" t="n">
        <x:f>CHOOSE('假设'!$B$3,H1020,I1020,J1020)</x:f>
        <x:v>0.038000000000000034</x:v>
      </x:c>
      <x:c r="L1020" s="11" t="n">
        <x:f>K1020*'管线假设'!E235*'管线假设'!F235*'管线假设'!G235*IF(E1020="USD",'管线假设'!I235,1)-AM1020</x:f>
        <x:v>0.007122720000000007</x:v>
      </x:c>
      <x:c r="M1020" s="11" t="n">
        <x:f>'管线假设'!H235</x:f>
        <x:v>0.125</x:v>
      </x:c>
      <x:c r="N1020" s="11" t="n">
        <x:f>IF(G1020,L1020*AN1020/(1+M1020)^F1020,0)</x:f>
        <x:v>0.0014999407723427396</x:v>
      </x:c>
      <x:c r="AJ1020" t="n">
        <x:v>0</x:v>
      </x:c>
      <x:c r="AK1020" t="n">
        <x:v>0</x:v>
      </x:c>
      <x:c r="AL1020" t="n">
        <x:v>0</x:v>
      </x:c>
      <x:c r="AM1020" t="n">
        <x:f>CHOOSE('假设'!$B$3,AJ1020,AK1020,AL1020)</x:f>
        <x:v>0</x:v>
      </x:c>
      <x:c r="AN1020" t="n">
        <x:v>1</x:v>
      </x:c>
    </x:row>
    <x:row r="1021" ht="23" customHeight="1">
      <x:c r="A1021" s="11" t="str">
        <x:v>688192.SH</x:v>
      </x:c>
      <x:c r="B1021" s="11" t="str">
        <x:v>三年</x:v>
      </x:c>
      <x:c r="C1021" s="11" t="str">
        <x:v>goli_first</x:v>
      </x:c>
      <x:c r="D1021" s="11" t="str">
        <x:v>2043-12-31</x:v>
      </x:c>
      <x:c r="E1021" s="11" t="str">
        <x:v>CNY</x:v>
      </x:c>
      <x:c r="F1021" s="11" t="n">
        <x:v>14.225872689938399</x:v>
      </x:c>
      <x:c r="G1021" s="26" t="b">
        <x:v>1</x:v>
      </x:c>
      <x:c r="H1021" s="16" t="n">
        <x:v>0.016000000000000014</x:v>
      </x:c>
      <x:c r="I1021" s="16" t="n">
        <x:v>0</x:v>
      </x:c>
      <x:c r="J1021" s="16" t="n">
        <x:v>0</x:v>
      </x:c>
      <x:c r="K1021" s="11" t="n">
        <x:f>CHOOSE('假设'!$B$3,H1021,I1021,J1021)</x:f>
        <x:v>0</x:v>
      </x:c>
      <x:c r="L1021" s="11" t="n">
        <x:f>K1021*'管线假设'!E235*'管线假设'!F235*'管线假设'!G235*IF(E1021="USD",'管线假设'!I235,1)-AM1021</x:f>
        <x:v>0</x:v>
      </x:c>
      <x:c r="M1021" s="11" t="n">
        <x:f>'管线假设'!H235</x:f>
        <x:v>0.125</x:v>
      </x:c>
      <x:c r="N1021" s="11" t="n">
        <x:f>IF(G1021,L1021*AN1021/(1+M1021)^F1021,0)</x:f>
        <x:v>0</x:v>
      </x:c>
      <x:c r="AJ1021" t="n">
        <x:v>0</x:v>
      </x:c>
      <x:c r="AK1021" t="n">
        <x:v>0</x:v>
      </x:c>
      <x:c r="AL1021" t="n">
        <x:v>0</x:v>
      </x:c>
      <x:c r="AM1021" t="n">
        <x:f>CHOOSE('假设'!$B$3,AJ1021,AK1021,AL1021)</x:f>
        <x:v>0</x:v>
      </x:c>
      <x:c r="AN1021" t="n">
        <x:v>1</x:v>
      </x:c>
    </x:row>
    <x:row r="1022" ht="23" customHeight="1">
      <x:c r="A1022" s="11" t="str">
        <x:v>688192.SH</x:v>
      </x:c>
      <x:c r="B1022" s="11" t="str">
        <x:v>三年</x:v>
      </x:c>
      <x:c r="C1022" s="11" t="str">
        <x:v>goli_first</x:v>
      </x:c>
      <x:c r="D1022" s="11" t="str">
        <x:v>2044-12-31</x:v>
      </x:c>
      <x:c r="E1022" s="11" t="str">
        <x:v>CNY</x:v>
      </x:c>
      <x:c r="F1022" s="11" t="n">
        <x:v>15.227926078028748</x:v>
      </x:c>
      <x:c r="G1022" s="26" t="b">
        <x:v>1</x:v>
      </x:c>
      <x:c r="H1022" s="16" t="n">
        <x:v>0</x:v>
      </x:c>
      <x:c r="I1022" s="16" t="n">
        <x:v>0</x:v>
      </x:c>
      <x:c r="J1022" s="16" t="n">
        <x:v>0</x:v>
      </x:c>
      <x:c r="K1022" s="11" t="n">
        <x:f>CHOOSE('假设'!$B$3,H1022,I1022,J1022)</x:f>
        <x:v>0</x:v>
      </x:c>
      <x:c r="L1022" s="11" t="n">
        <x:f>K1022*'管线假设'!E235*'管线假设'!F235*'管线假设'!G235*IF(E1022="USD",'管线假设'!I235,1)-AM1022</x:f>
        <x:v>0</x:v>
      </x:c>
      <x:c r="M1022" s="11" t="n">
        <x:f>'管线假设'!H235</x:f>
        <x:v>0.125</x:v>
      </x:c>
      <x:c r="N1022" s="11" t="n">
        <x:f>IF(G1022,L1022*AN1022/(1+M1022)^F1022,0)</x:f>
        <x:v>0</x:v>
      </x:c>
      <x:c r="AJ1022" t="n">
        <x:v>0</x:v>
      </x:c>
      <x:c r="AK1022" t="n">
        <x:v>0</x:v>
      </x:c>
      <x:c r="AL1022" t="n">
        <x:v>0</x:v>
      </x:c>
      <x:c r="AM1022" t="n">
        <x:f>CHOOSE('假设'!$B$3,AJ1022,AK1022,AL1022)</x:f>
        <x:v>0</x:v>
      </x:c>
      <x:c r="AN1022" t="n">
        <x:v>1</x:v>
      </x:c>
    </x:row>
    <x:row r="1023" ht="23" customHeight="1">
      <x:c r="A1023" s="11" t="str">
        <x:v>688192.SH</x:v>
      </x:c>
      <x:c r="B1023" s="11" t="str">
        <x:v>三年</x:v>
      </x:c>
      <x:c r="C1023" s="11" t="str">
        <x:v>goli_first</x:v>
      </x:c>
      <x:c r="D1023" s="11" t="str">
        <x:v>2045-12-31</x:v>
      </x:c>
      <x:c r="E1023" s="11" t="str">
        <x:v>CNY</x:v>
      </x:c>
      <x:c r="F1023" s="11" t="n">
        <x:v>16.227241615331966</x:v>
      </x:c>
      <x:c r="G1023" s="26" t="b">
        <x:v>1</x:v>
      </x:c>
      <x:c r="H1023" s="16" t="n">
        <x:v>0</x:v>
      </x:c>
      <x:c r="I1023" s="16" t="n">
        <x:v>0</x:v>
      </x:c>
      <x:c r="J1023" s="16" t="n">
        <x:v>0</x:v>
      </x:c>
      <x:c r="K1023" s="11" t="n">
        <x:f>CHOOSE('假设'!$B$3,H1023,I1023,J1023)</x:f>
        <x:v>0</x:v>
      </x:c>
      <x:c r="L1023" s="11" t="n">
        <x:f>K1023*'管线假设'!E235*'管线假设'!F235*'管线假设'!G235*IF(E1023="USD",'管线假设'!I235,1)-AM1023</x:f>
        <x:v>0</x:v>
      </x:c>
      <x:c r="M1023" s="11" t="n">
        <x:f>'管线假设'!H235</x:f>
        <x:v>0.125</x:v>
      </x:c>
      <x:c r="N1023" s="11" t="n">
        <x:f>IF(G1023,L1023*AN1023/(1+M1023)^F1023,0)</x:f>
        <x:v>0</x:v>
      </x:c>
      <x:c r="AJ1023" t="n">
        <x:v>0</x:v>
      </x:c>
      <x:c r="AK1023" t="n">
        <x:v>0</x:v>
      </x:c>
      <x:c r="AL1023" t="n">
        <x:v>0</x:v>
      </x:c>
      <x:c r="AM1023" t="n">
        <x:f>CHOOSE('假设'!$B$3,AJ1023,AK1023,AL1023)</x:f>
        <x:v>0</x:v>
      </x:c>
      <x:c r="AN1023" t="n">
        <x:v>1</x:v>
      </x:c>
    </x:row>
    <x:row r="1024" ht="23" customHeight="1">
      <x:c r="A1024" s="11" t="str">
        <x:v>688192.SH</x:v>
      </x:c>
      <x:c r="B1024" s="11" t="str">
        <x:v>三年</x:v>
      </x:c>
      <x:c r="C1024" s="11" t="str">
        <x:v>goli_lung</x:v>
      </x:c>
      <x:c r="D1024" s="11" t="str">
        <x:v>2027-12-31</x:v>
      </x:c>
      <x:c r="E1024" s="11" t="str">
        <x:v>USD</x:v>
      </x:c>
      <x:c r="F1024" s="11" t="n">
        <x:v>-1.7741273100616017</x:v>
      </x:c>
      <x:c r="G1024" s="26" t="b">
        <x:v>0</x:v>
      </x:c>
      <x:c r="H1024" s="16" t="n">
        <x:v>0</x:v>
      </x:c>
      <x:c r="I1024" s="16" t="n">
        <x:v>0</x:v>
      </x:c>
      <x:c r="J1024" s="16" t="n">
        <x:v>0</x:v>
      </x:c>
      <x:c r="K1024" s="11" t="n">
        <x:f>CHOOSE('假设'!$B$3,H1024,I1024,J1024)</x:f>
        <x:v>0</x:v>
      </x:c>
      <x:c r="L1024" s="11" t="n">
        <x:f>K1024*'管线假设'!E239*'管线假设'!F239*'管线假设'!G239*IF(E1024="USD",'管线假设'!I239,1)-AM1024</x:f>
        <x:v>0</x:v>
      </x:c>
      <x:c r="M1024" s="11" t="n">
        <x:f>'管线假设'!H239</x:f>
        <x:v>0.125</x:v>
      </x:c>
      <x:c r="N1024" s="11" t="n">
        <x:f>IF(G1024,L1024*AN1024/(1+M1024)^F1024,0)</x:f>
        <x:v>0</x:v>
      </x:c>
      <x:c r="AJ1024" t="n">
        <x:v>0</x:v>
      </x:c>
      <x:c r="AK1024" t="n">
        <x:v>0</x:v>
      </x:c>
      <x:c r="AL1024" t="n">
        <x:v>0</x:v>
      </x:c>
      <x:c r="AM1024" t="n">
        <x:f>CHOOSE('假设'!$B$3,AJ1024,AK1024,AL1024)</x:f>
        <x:v>0</x:v>
      </x:c>
      <x:c r="AN1024" t="n">
        <x:v>1</x:v>
      </x:c>
    </x:row>
    <x:row r="1025" ht="23" customHeight="1">
      <x:c r="A1025" s="11" t="str">
        <x:v>688192.SH</x:v>
      </x:c>
      <x:c r="B1025" s="11" t="str">
        <x:v>三年</x:v>
      </x:c>
      <x:c r="C1025" s="11" t="str">
        <x:v>goli_lung</x:v>
      </x:c>
      <x:c r="D1025" s="11" t="str">
        <x:v>2028-12-31</x:v>
      </x:c>
      <x:c r="E1025" s="11" t="str">
        <x:v>USD</x:v>
      </x:c>
      <x:c r="F1025" s="11" t="n">
        <x:v>-0.7720739219712526</x:v>
      </x:c>
      <x:c r="G1025" s="26" t="b">
        <x:v>0</x:v>
      </x:c>
      <x:c r="H1025" s="16" t="n">
        <x:v>0</x:v>
      </x:c>
      <x:c r="I1025" s="16" t="n">
        <x:v>0</x:v>
      </x:c>
      <x:c r="J1025" s="16" t="n">
        <x:v>0</x:v>
      </x:c>
      <x:c r="K1025" s="11" t="n">
        <x:f>CHOOSE('假设'!$B$3,H1025,I1025,J1025)</x:f>
        <x:v>0</x:v>
      </x:c>
      <x:c r="L1025" s="11" t="n">
        <x:f>K1025*'管线假设'!E239*'管线假设'!F239*'管线假设'!G239*IF(E1025="USD",'管线假设'!I239,1)-AM1025</x:f>
        <x:v>0</x:v>
      </x:c>
      <x:c r="M1025" s="11" t="n">
        <x:f>'管线假设'!H239</x:f>
        <x:v>0.125</x:v>
      </x:c>
      <x:c r="N1025" s="11" t="n">
        <x:f>IF(G1025,L1025*AN1025/(1+M1025)^F1025,0)</x:f>
        <x:v>0</x:v>
      </x:c>
      <x:c r="AJ1025" t="n">
        <x:v>0</x:v>
      </x:c>
      <x:c r="AK1025" t="n">
        <x:v>0</x:v>
      </x:c>
      <x:c r="AL1025" t="n">
        <x:v>0</x:v>
      </x:c>
      <x:c r="AM1025" t="n">
        <x:f>CHOOSE('假设'!$B$3,AJ1025,AK1025,AL1025)</x:f>
        <x:v>0</x:v>
      </x:c>
      <x:c r="AN1025" t="n">
        <x:v>1</x:v>
      </x:c>
    </x:row>
    <x:row r="1026" ht="23" customHeight="1">
      <x:c r="A1026" s="11" t="str">
        <x:v>688192.SH</x:v>
      </x:c>
      <x:c r="B1026" s="11" t="str">
        <x:v>三年</x:v>
      </x:c>
      <x:c r="C1026" s="11" t="str">
        <x:v>goli_lung</x:v>
      </x:c>
      <x:c r="D1026" s="11" t="str">
        <x:v>2029-12-31</x:v>
      </x:c>
      <x:c r="E1026" s="11" t="str">
        <x:v>USD</x:v>
      </x:c>
      <x:c r="F1026" s="11" t="n">
        <x:v>0.2272416153319644</x:v>
      </x:c>
      <x:c r="G1026" s="26" t="b">
        <x:v>1</x:v>
      </x:c>
      <x:c r="H1026" s="16" t="n">
        <x:v>0</x:v>
      </x:c>
      <x:c r="I1026" s="16" t="n">
        <x:v>0</x:v>
      </x:c>
      <x:c r="J1026" s="16" t="n">
        <x:v>0</x:v>
      </x:c>
      <x:c r="K1026" s="11" t="n">
        <x:f>CHOOSE('假设'!$B$3,H1026,I1026,J1026)</x:f>
        <x:v>0</x:v>
      </x:c>
      <x:c r="L1026" s="11" t="n">
        <x:f>K1026*'管线假设'!E239*'管线假设'!F239*'管线假设'!G239*IF(E1026="USD",'管线假设'!I239,1)-AM1026</x:f>
        <x:v>0</x:v>
      </x:c>
      <x:c r="M1026" s="11" t="n">
        <x:f>'管线假设'!H239</x:f>
        <x:v>0.125</x:v>
      </x:c>
      <x:c r="N1026" s="11" t="n">
        <x:f>IF(G1026,L1026*AN1026/(1+M1026)^F1026,0)</x:f>
        <x:v>0</x:v>
      </x:c>
      <x:c r="AJ1026" t="n">
        <x:v>0</x:v>
      </x:c>
      <x:c r="AK1026" t="n">
        <x:v>0</x:v>
      </x:c>
      <x:c r="AL1026" t="n">
        <x:v>0</x:v>
      </x:c>
      <x:c r="AM1026" t="n">
        <x:f>CHOOSE('假设'!$B$3,AJ1026,AK1026,AL1026)</x:f>
        <x:v>0</x:v>
      </x:c>
      <x:c r="AN1026" t="n">
        <x:v>1</x:v>
      </x:c>
    </x:row>
    <x:row r="1027" ht="23" customHeight="1">
      <x:c r="A1027" s="11" t="str">
        <x:v>688192.SH</x:v>
      </x:c>
      <x:c r="B1027" s="11" t="str">
        <x:v>三年</x:v>
      </x:c>
      <x:c r="C1027" s="11" t="str">
        <x:v>goli_lung</x:v>
      </x:c>
      <x:c r="D1027" s="11" t="str">
        <x:v>2030-12-31</x:v>
      </x:c>
      <x:c r="E1027" s="11" t="str">
        <x:v>USD</x:v>
      </x:c>
      <x:c r="F1027" s="11" t="n">
        <x:v>1.2265571526351813</x:v>
      </x:c>
      <x:c r="G1027" s="26" t="b">
        <x:v>1</x:v>
      </x:c>
      <x:c r="H1027" s="16" t="n">
        <x:v>0</x:v>
      </x:c>
      <x:c r="I1027" s="16" t="n">
        <x:v>0</x:v>
      </x:c>
      <x:c r="J1027" s="16" t="n">
        <x:v>0.5833333333333333</x:v>
      </x:c>
      <x:c r="K1027" s="11" t="n">
        <x:f>CHOOSE('假设'!$B$3,H1027,I1027,J1027)</x:f>
        <x:v>0</x:v>
      </x:c>
      <x:c r="L1027" s="11" t="n">
        <x:f>K1027*'管线假设'!E239*'管线假设'!F239*'管线假设'!G239*IF(E1027="USD",'管线假设'!I239,1)-AM1027</x:f>
        <x:v>0</x:v>
      </x:c>
      <x:c r="M1027" s="11" t="n">
        <x:f>'管线假设'!H239</x:f>
        <x:v>0.125</x:v>
      </x:c>
      <x:c r="N1027" s="11" t="n">
        <x:f>IF(G1027,L1027*AN1027/(1+M1027)^F1027,0)</x:f>
        <x:v>0</x:v>
      </x:c>
      <x:c r="AJ1027" t="n">
        <x:v>0</x:v>
      </x:c>
      <x:c r="AK1027" t="n">
        <x:v>0</x:v>
      </x:c>
      <x:c r="AL1027" t="n">
        <x:v>0</x:v>
      </x:c>
      <x:c r="AM1027" t="n">
        <x:f>CHOOSE('假设'!$B$3,AJ1027,AK1027,AL1027)</x:f>
        <x:v>0</x:v>
      </x:c>
      <x:c r="AN1027" t="n">
        <x:v>1</x:v>
      </x:c>
    </x:row>
    <x:row r="1028" ht="23" customHeight="1">
      <x:c r="A1028" s="11" t="str">
        <x:v>688192.SH</x:v>
      </x:c>
      <x:c r="B1028" s="11" t="str">
        <x:v>三年</x:v>
      </x:c>
      <x:c r="C1028" s="11" t="str">
        <x:v>goli_lung</x:v>
      </x:c>
      <x:c r="D1028" s="11" t="str">
        <x:v>2031-12-31</x:v>
      </x:c>
      <x:c r="E1028" s="11" t="str">
        <x:v>USD</x:v>
      </x:c>
      <x:c r="F1028" s="11" t="n">
        <x:v>2.2258726899383983</x:v>
      </x:c>
      <x:c r="G1028" s="26" t="b">
        <x:v>1</x:v>
      </x:c>
      <x:c r="H1028" s="16" t="n">
        <x:v>0</x:v>
      </x:c>
      <x:c r="I1028" s="16" t="n">
        <x:v>0</x:v>
      </x:c>
      <x:c r="J1028" s="16" t="n">
        <x:v>1.1666666666666665</x:v>
      </x:c>
      <x:c r="K1028" s="11" t="n">
        <x:f>CHOOSE('假设'!$B$3,H1028,I1028,J1028)</x:f>
        <x:v>0</x:v>
      </x:c>
      <x:c r="L1028" s="11" t="n">
        <x:f>K1028*'管线假设'!E239*'管线假设'!F239*'管线假设'!G239*IF(E1028="USD",'管线假设'!I239,1)-AM1028</x:f>
        <x:v>0</x:v>
      </x:c>
      <x:c r="M1028" s="11" t="n">
        <x:f>'管线假设'!H239</x:f>
        <x:v>0.125</x:v>
      </x:c>
      <x:c r="N1028" s="11" t="n">
        <x:f>IF(G1028,L1028*AN1028/(1+M1028)^F1028,0)</x:f>
        <x:v>0</x:v>
      </x:c>
      <x:c r="AJ1028" t="n">
        <x:v>0</x:v>
      </x:c>
      <x:c r="AK1028" t="n">
        <x:v>0</x:v>
      </x:c>
      <x:c r="AL1028" t="n">
        <x:v>0</x:v>
      </x:c>
      <x:c r="AM1028" t="n">
        <x:f>CHOOSE('假设'!$B$3,AJ1028,AK1028,AL1028)</x:f>
        <x:v>0</x:v>
      </x:c>
      <x:c r="AN1028" t="n">
        <x:v>1</x:v>
      </x:c>
    </x:row>
    <x:row r="1029" ht="23" customHeight="1">
      <x:c r="A1029" s="11" t="str">
        <x:v>688192.SH</x:v>
      </x:c>
      <x:c r="B1029" s="11" t="str">
        <x:v>三年</x:v>
      </x:c>
      <x:c r="C1029" s="11" t="str">
        <x:v>goli_lung</x:v>
      </x:c>
      <x:c r="D1029" s="11" t="str">
        <x:v>2032-12-31</x:v>
      </x:c>
      <x:c r="E1029" s="11" t="str">
        <x:v>USD</x:v>
      </x:c>
      <x:c r="F1029" s="11" t="n">
        <x:v>3.2279260780287475</x:v>
      </x:c>
      <x:c r="G1029" s="26" t="b">
        <x:v>1</x:v>
      </x:c>
      <x:c r="H1029" s="16" t="n">
        <x:v>0</x:v>
      </x:c>
      <x:c r="I1029" s="16" t="n">
        <x:v>0.3</x:v>
      </x:c>
      <x:c r="J1029" s="16" t="n">
        <x:v>1.75</x:v>
      </x:c>
      <x:c r="K1029" s="11" t="n">
        <x:f>CHOOSE('假设'!$B$3,H1029,I1029,J1029)</x:f>
        <x:v>0.3</x:v>
      </x:c>
      <x:c r="L1029" s="11" t="n">
        <x:f>K1029*'管线假设'!E239*'管线假设'!F239*'管线假设'!G239*IF(E1029="USD",'管线假设'!I239,1)-AM1029</x:f>
        <x:v>0.259488</x:v>
      </x:c>
      <x:c r="M1029" s="11" t="n">
        <x:f>'管线假设'!H239</x:f>
        <x:v>0.125</x:v>
      </x:c>
      <x:c r="N1029" s="11" t="n">
        <x:f>IF(G1029,L1029*AN1029/(1+M1029)^F1029,0)</x:f>
        <x:v>0.17741924123395747</x:v>
      </x:c>
      <x:c r="AJ1029" t="n">
        <x:v>0</x:v>
      </x:c>
      <x:c r="AK1029" t="n">
        <x:v>0</x:v>
      </x:c>
      <x:c r="AL1029" t="n">
        <x:v>0</x:v>
      </x:c>
      <x:c r="AM1029" t="n">
        <x:f>CHOOSE('假设'!$B$3,AJ1029,AK1029,AL1029)</x:f>
        <x:v>0</x:v>
      </x:c>
      <x:c r="AN1029" t="n">
        <x:v>1</x:v>
      </x:c>
    </x:row>
    <x:row r="1030" ht="23" customHeight="1">
      <x:c r="A1030" s="11" t="str">
        <x:v>688192.SH</x:v>
      </x:c>
      <x:c r="B1030" s="11" t="str">
        <x:v>三年</x:v>
      </x:c>
      <x:c r="C1030" s="11" t="str">
        <x:v>goli_lung</x:v>
      </x:c>
      <x:c r="D1030" s="11" t="str">
        <x:v>2033-12-31</x:v>
      </x:c>
      <x:c r="E1030" s="11" t="str">
        <x:v>USD</x:v>
      </x:c>
      <x:c r="F1030" s="11" t="n">
        <x:v>4.227241615331964</x:v>
      </x:c>
      <x:c r="G1030" s="26" t="b">
        <x:v>1</x:v>
      </x:c>
      <x:c r="H1030" s="16" t="n">
        <x:v>0</x:v>
      </x:c>
      <x:c r="I1030" s="16" t="n">
        <x:v>0.6</x:v>
      </x:c>
      <x:c r="J1030" s="16" t="n">
        <x:v>2.333333333333333</x:v>
      </x:c>
      <x:c r="K1030" s="11" t="n">
        <x:f>CHOOSE('假设'!$B$3,H1030,I1030,J1030)</x:f>
        <x:v>0.6</x:v>
      </x:c>
      <x:c r="L1030" s="11" t="n">
        <x:f>K1030*'管线假设'!E239*'管线假设'!F239*'管线假设'!G239*IF(E1030="USD",'管线假设'!I239,1)-AM1030</x:f>
        <x:v>0.518976</x:v>
      </x:c>
      <x:c r="M1030" s="11" t="n">
        <x:f>'管线假设'!H239</x:f>
        <x:v>0.125</x:v>
      </x:c>
      <x:c r="N1030" s="11" t="n">
        <x:f>IF(G1030,L1030*AN1030/(1+M1030)^F1030,0)</x:f>
        <x:v>0.3154374133540049</x:v>
      </x:c>
      <x:c r="AJ1030" t="n">
        <x:v>0</x:v>
      </x:c>
      <x:c r="AK1030" t="n">
        <x:v>0</x:v>
      </x:c>
      <x:c r="AL1030" t="n">
        <x:v>0</x:v>
      </x:c>
      <x:c r="AM1030" t="n">
        <x:f>CHOOSE('假设'!$B$3,AJ1030,AK1030,AL1030)</x:f>
        <x:v>0</x:v>
      </x:c>
      <x:c r="AN1030" t="n">
        <x:v>1</x:v>
      </x:c>
    </x:row>
    <x:row r="1031" ht="23" customHeight="1">
      <x:c r="A1031" s="11" t="str">
        <x:v>688192.SH</x:v>
      </x:c>
      <x:c r="B1031" s="11" t="str">
        <x:v>三年</x:v>
      </x:c>
      <x:c r="C1031" s="11" t="str">
        <x:v>goli_lung</x:v>
      </x:c>
      <x:c r="D1031" s="11" t="str">
        <x:v>2034-12-31</x:v>
      </x:c>
      <x:c r="E1031" s="11" t="str">
        <x:v>USD</x:v>
      </x:c>
      <x:c r="F1031" s="11" t="n">
        <x:v>5.2265571526351815</x:v>
      </x:c>
      <x:c r="G1031" s="26" t="b">
        <x:v>1</x:v>
      </x:c>
      <x:c r="H1031" s="16" t="n">
        <x:v>0.12</x:v>
      </x:c>
      <x:c r="I1031" s="16" t="n">
        <x:v>0.9</x:v>
      </x:c>
      <x:c r="J1031" s="16" t="n">
        <x:v>2.916666666666667</x:v>
      </x:c>
      <x:c r="K1031" s="11" t="n">
        <x:f>CHOOSE('假设'!$B$3,H1031,I1031,J1031)</x:f>
        <x:v>0.9</x:v>
      </x:c>
      <x:c r="L1031" s="11" t="n">
        <x:f>K1031*'管线假设'!E239*'管线假设'!F239*'管线假设'!G239*IF(E1031="USD",'管线假设'!I239,1)-AM1031</x:f>
        <x:v>0.778464</x:v>
      </x:c>
      <x:c r="M1031" s="11" t="n">
        <x:f>'管线假设'!H239</x:f>
        <x:v>0.125</x:v>
      </x:c>
      <x:c r="N1031" s="11" t="n">
        <x:f>IF(G1031,L1031*AN1031/(1+M1031)^F1031,0)</x:f>
        <x:v>0.42061712578960064</x:v>
      </x:c>
      <x:c r="AJ1031" t="n">
        <x:v>0</x:v>
      </x:c>
      <x:c r="AK1031" t="n">
        <x:v>0</x:v>
      </x:c>
      <x:c r="AL1031" t="n">
        <x:v>0</x:v>
      </x:c>
      <x:c r="AM1031" t="n">
        <x:f>CHOOSE('假设'!$B$3,AJ1031,AK1031,AL1031)</x:f>
        <x:v>0</x:v>
      </x:c>
      <x:c r="AN1031" t="n">
        <x:v>1</x:v>
      </x:c>
    </x:row>
    <x:row r="1032" ht="23" customHeight="1">
      <x:c r="A1032" s="11" t="str">
        <x:v>688192.SH</x:v>
      </x:c>
      <x:c r="B1032" s="11" t="str">
        <x:v>三年</x:v>
      </x:c>
      <x:c r="C1032" s="11" t="str">
        <x:v>goli_lung</x:v>
      </x:c>
      <x:c r="D1032" s="11" t="str">
        <x:v>2035-12-31</x:v>
      </x:c>
      <x:c r="E1032" s="11" t="str">
        <x:v>USD</x:v>
      </x:c>
      <x:c r="F1032" s="11" t="n">
        <x:v>6.225872689938399</x:v>
      </x:c>
      <x:c r="G1032" s="26" t="b">
        <x:v>1</x:v>
      </x:c>
      <x:c r="H1032" s="16" t="n">
        <x:v>0.24</x:v>
      </x:c>
      <x:c r="I1032" s="16" t="n">
        <x:v>1.2</x:v>
      </x:c>
      <x:c r="J1032" s="16" t="n">
        <x:v>3.5</x:v>
      </x:c>
      <x:c r="K1032" s="11" t="n">
        <x:f>CHOOSE('假设'!$B$3,H1032,I1032,J1032)</x:f>
        <x:v>1.2</x:v>
      </x:c>
      <x:c r="L1032" s="11" t="n">
        <x:f>K1032*'管线假设'!E239*'管线假设'!F239*'管线假设'!G239*IF(E1032="USD",'管线假设'!I239,1)-AM1032</x:f>
        <x:v>1.037952</x:v>
      </x:c>
      <x:c r="M1032" s="11" t="n">
        <x:f>'管线假设'!H239</x:f>
        <x:v>0.125</x:v>
      </x:c>
      <x:c r="N1032" s="11" t="n">
        <x:f>IF(G1032,L1032*AN1032/(1+M1032)^F1032,0)</x:f>
        <x:v>0.4985493766015629</x:v>
      </x:c>
      <x:c r="AJ1032" t="n">
        <x:v>0</x:v>
      </x:c>
      <x:c r="AK1032" t="n">
        <x:v>0</x:v>
      </x:c>
      <x:c r="AL1032" t="n">
        <x:v>0</x:v>
      </x:c>
      <x:c r="AM1032" t="n">
        <x:f>CHOOSE('假设'!$B$3,AJ1032,AK1032,AL1032)</x:f>
        <x:v>0</x:v>
      </x:c>
      <x:c r="AN1032" t="n">
        <x:v>1</x:v>
      </x:c>
    </x:row>
    <x:row r="1033" ht="23" customHeight="1">
      <x:c r="A1033" s="11" t="str">
        <x:v>688192.SH</x:v>
      </x:c>
      <x:c r="B1033" s="11" t="str">
        <x:v>三年</x:v>
      </x:c>
      <x:c r="C1033" s="11" t="str">
        <x:v>goli_lung</x:v>
      </x:c>
      <x:c r="D1033" s="11" t="str">
        <x:v>2036-12-31</x:v>
      </x:c>
      <x:c r="E1033" s="11" t="str">
        <x:v>USD</x:v>
      </x:c>
      <x:c r="F1033" s="11" t="n">
        <x:v>7.227926078028747</x:v>
      </x:c>
      <x:c r="G1033" s="26" t="b">
        <x:v>1</x:v>
      </x:c>
      <x:c r="H1033" s="16" t="n">
        <x:v>0.36</x:v>
      </x:c>
      <x:c r="I1033" s="16" t="n">
        <x:v>1.5</x:v>
      </x:c>
      <x:c r="J1033" s="16" t="n">
        <x:v>3.08</x:v>
      </x:c>
      <x:c r="K1033" s="11" t="n">
        <x:f>CHOOSE('假设'!$B$3,H1033,I1033,J1033)</x:f>
        <x:v>1.5</x:v>
      </x:c>
      <x:c r="L1033" s="11" t="n">
        <x:f>K1033*'管线假设'!E239*'管线假设'!F239*'管线假设'!G239*IF(E1033="USD",'管线假设'!I239,1)-AM1033</x:f>
        <x:v>1.2974400000000001</x:v>
      </x:c>
      <x:c r="M1033" s="11" t="n">
        <x:f>'管线假设'!H239</x:f>
        <x:v>0.125</x:v>
      </x:c>
      <x:c r="N1033" s="11" t="n">
        <x:f>IF(G1033,L1033*AN1033/(1+M1033)^F1033,0)</x:f>
        <x:v>0.5538097943105396</x:v>
      </x:c>
      <x:c r="AJ1033" t="n">
        <x:v>0</x:v>
      </x:c>
      <x:c r="AK1033" t="n">
        <x:v>0</x:v>
      </x:c>
      <x:c r="AL1033" t="n">
        <x:v>0</x:v>
      </x:c>
      <x:c r="AM1033" t="n">
        <x:f>CHOOSE('假设'!$B$3,AJ1033,AK1033,AL1033)</x:f>
        <x:v>0</x:v>
      </x:c>
      <x:c r="AN1033" t="n">
        <x:v>1</x:v>
      </x:c>
    </x:row>
    <x:row r="1034" ht="23" customHeight="1">
      <x:c r="A1034" s="11" t="str">
        <x:v>688192.SH</x:v>
      </x:c>
      <x:c r="B1034" s="11" t="str">
        <x:v>三年</x:v>
      </x:c>
      <x:c r="C1034" s="11" t="str">
        <x:v>goli_lung</x:v>
      </x:c>
      <x:c r="D1034" s="11" t="str">
        <x:v>2037-12-31</x:v>
      </x:c>
      <x:c r="E1034" s="11" t="str">
        <x:v>USD</x:v>
      </x:c>
      <x:c r="F1034" s="11" t="n">
        <x:v>8.227241615331964</x:v>
      </x:c>
      <x:c r="G1034" s="26" t="b">
        <x:v>1</x:v>
      </x:c>
      <x:c r="H1034" s="16" t="n">
        <x:v>0.48</x:v>
      </x:c>
      <x:c r="I1034" s="16" t="n">
        <x:v>1.8</x:v>
      </x:c>
      <x:c r="J1034" s="16" t="n">
        <x:v>2.66</x:v>
      </x:c>
      <x:c r="K1034" s="11" t="n">
        <x:f>CHOOSE('假设'!$B$3,H1034,I1034,J1034)</x:f>
        <x:v>1.8</x:v>
      </x:c>
      <x:c r="L1034" s="11" t="n">
        <x:f>K1034*'管线假设'!E239*'管线假设'!F239*'管线假设'!G239*IF(E1034="USD",'管线假设'!I239,1)-AM1034</x:f>
        <x:v>1.556928</x:v>
      </x:c>
      <x:c r="M1034" s="11" t="n">
        <x:f>'管线假设'!H239</x:f>
        <x:v>0.125</x:v>
      </x:c>
      <x:c r="N1034" s="11" t="n">
        <x:f>IF(G1034,L1034*AN1034/(1+M1034)^F1034,0)</x:f>
        <x:v>0.590778072747144</x:v>
      </x:c>
      <x:c r="AJ1034" t="n">
        <x:v>0</x:v>
      </x:c>
      <x:c r="AK1034" t="n">
        <x:v>0</x:v>
      </x:c>
      <x:c r="AL1034" t="n">
        <x:v>0</x:v>
      </x:c>
      <x:c r="AM1034" t="n">
        <x:f>CHOOSE('假设'!$B$3,AJ1034,AK1034,AL1034)</x:f>
        <x:v>0</x:v>
      </x:c>
      <x:c r="AN1034" t="n">
        <x:v>1</x:v>
      </x:c>
    </x:row>
    <x:row r="1035" ht="23" customHeight="1">
      <x:c r="A1035" s="11" t="str">
        <x:v>688192.SH</x:v>
      </x:c>
      <x:c r="B1035" s="11" t="str">
        <x:v>三年</x:v>
      </x:c>
      <x:c r="C1035" s="11" t="str">
        <x:v>goli_lung</x:v>
      </x:c>
      <x:c r="D1035" s="11" t="str">
        <x:v>2038-12-31</x:v>
      </x:c>
      <x:c r="E1035" s="11" t="str">
        <x:v>USD</x:v>
      </x:c>
      <x:c r="F1035" s="11" t="n">
        <x:v>9.22655715263518</x:v>
      </x:c>
      <x:c r="G1035" s="26" t="b">
        <x:v>1</x:v>
      </x:c>
      <x:c r="H1035" s="16" t="n">
        <x:v>0.6</x:v>
      </x:c>
      <x:c r="I1035" s="16" t="n">
        <x:v>1.584</x:v>
      </x:c>
      <x:c r="J1035" s="16" t="n">
        <x:v>2.24</x:v>
      </x:c>
      <x:c r="K1035" s="11" t="n">
        <x:f>CHOOSE('假设'!$B$3,H1035,I1035,J1035)</x:f>
        <x:v>1.584</x:v>
      </x:c>
      <x:c r="L1035" s="11" t="n">
        <x:f>K1035*'管线假设'!E239*'管线假设'!F239*'管线假设'!G239*IF(E1035="USD",'管线假设'!I239,1)-AM1035</x:f>
        <x:v>1.37009664</x:v>
      </x:c>
      <x:c r="M1035" s="11" t="n">
        <x:f>'管线假设'!H239</x:f>
        <x:v>0.125</x:v>
      </x:c>
      <x:c r="N1035" s="11" t="n">
        <x:f>IF(G1035,L1035*AN1035/(1+M1035)^F1035,0)</x:f>
        <x:v>0.4621569936186862</x:v>
      </x:c>
      <x:c r="AJ1035" t="n">
        <x:v>0</x:v>
      </x:c>
      <x:c r="AK1035" t="n">
        <x:v>0</x:v>
      </x:c>
      <x:c r="AL1035" t="n">
        <x:v>0</x:v>
      </x:c>
      <x:c r="AM1035" t="n">
        <x:f>CHOOSE('假设'!$B$3,AJ1035,AK1035,AL1035)</x:f>
        <x:v>0</x:v>
      </x:c>
      <x:c r="AN1035" t="n">
        <x:v>1</x:v>
      </x:c>
    </x:row>
    <x:row r="1036" ht="23" customHeight="1">
      <x:c r="A1036" s="11" t="str">
        <x:v>688192.SH</x:v>
      </x:c>
      <x:c r="B1036" s="11" t="str">
        <x:v>三年</x:v>
      </x:c>
      <x:c r="C1036" s="11" t="str">
        <x:v>goli_lung</x:v>
      </x:c>
      <x:c r="D1036" s="11" t="str">
        <x:v>2039-12-31</x:v>
      </x:c>
      <x:c r="E1036" s="11" t="str">
        <x:v>USD</x:v>
      </x:c>
      <x:c r="F1036" s="11" t="n">
        <x:v>10.225872689938399</x:v>
      </x:c>
      <x:c r="G1036" s="26" t="b">
        <x:v>1</x:v>
      </x:c>
      <x:c r="H1036" s="16" t="n">
        <x:v>0.528</x:v>
      </x:c>
      <x:c r="I1036" s="16" t="n">
        <x:v>1.368</x:v>
      </x:c>
      <x:c r="J1036" s="16" t="n">
        <x:v>1.82</x:v>
      </x:c>
      <x:c r="K1036" s="11" t="n">
        <x:f>CHOOSE('假设'!$B$3,H1036,I1036,J1036)</x:f>
        <x:v>1.368</x:v>
      </x:c>
      <x:c r="L1036" s="11" t="n">
        <x:f>K1036*'管线假设'!E239*'管线假设'!F239*'管线假设'!G239*IF(E1036="USD",'管线假设'!I239,1)-AM1036</x:f>
        <x:v>1.18326528</x:v>
      </x:c>
      <x:c r="M1036" s="11" t="n">
        <x:f>'管线假设'!H239</x:f>
        <x:v>0.125</x:v>
      </x:c>
      <x:c r="N1036" s="11" t="n">
        <x:f>IF(G1036,L1036*AN1036/(1+M1036)^F1036,0)</x:f>
        <x:v>0.35481579044023814</x:v>
      </x:c>
      <x:c r="AJ1036" t="n">
        <x:v>0</x:v>
      </x:c>
      <x:c r="AK1036" t="n">
        <x:v>0</x:v>
      </x:c>
      <x:c r="AL1036" t="n">
        <x:v>0</x:v>
      </x:c>
      <x:c r="AM1036" t="n">
        <x:f>CHOOSE('假设'!$B$3,AJ1036,AK1036,AL1036)</x:f>
        <x:v>0</x:v>
      </x:c>
      <x:c r="AN1036" t="n">
        <x:v>1</x:v>
      </x:c>
    </x:row>
    <x:row r="1037" ht="23" customHeight="1">
      <x:c r="A1037" s="11" t="str">
        <x:v>688192.SH</x:v>
      </x:c>
      <x:c r="B1037" s="11" t="str">
        <x:v>三年</x:v>
      </x:c>
      <x:c r="C1037" s="11" t="str">
        <x:v>goli_lung</x:v>
      </x:c>
      <x:c r="D1037" s="11" t="str">
        <x:v>2040-12-31</x:v>
      </x:c>
      <x:c r="E1037" s="11" t="str">
        <x:v>USD</x:v>
      </x:c>
      <x:c r="F1037" s="11" t="n">
        <x:v>11.227926078028748</x:v>
      </x:c>
      <x:c r="G1037" s="26" t="b">
        <x:v>1</x:v>
      </x:c>
      <x:c r="H1037" s="16" t="n">
        <x:v>0.45599999999999996</x:v>
      </x:c>
      <x:c r="I1037" s="16" t="n">
        <x:v>1.1520000000000001</x:v>
      </x:c>
      <x:c r="J1037" s="16" t="n">
        <x:v>1.4000000000000001</x:v>
      </x:c>
      <x:c r="K1037" s="11" t="n">
        <x:f>CHOOSE('假设'!$B$3,H1037,I1037,J1037)</x:f>
        <x:v>1.1520000000000001</x:v>
      </x:c>
      <x:c r="L1037" s="11" t="n">
        <x:f>K1037*'管线假设'!E239*'管线假设'!F239*'管线假设'!G239*IF(E1037="USD",'管线假设'!I239,1)-AM1037</x:f>
        <x:v>0.9964339200000002</x:v>
      </x:c>
      <x:c r="M1037" s="11" t="n">
        <x:f>'管线假设'!H239</x:f>
        <x:v>0.125</x:v>
      </x:c>
      <x:c r="N1037" s="11" t="n">
        <x:f>IF(G1037,L1037*AN1037/(1+M1037)^F1037,0)</x:f>
        <x:v>0.26552887923135265</x:v>
      </x:c>
      <x:c r="AJ1037" t="n">
        <x:v>0</x:v>
      </x:c>
      <x:c r="AK1037" t="n">
        <x:v>0</x:v>
      </x:c>
      <x:c r="AL1037" t="n">
        <x:v>0</x:v>
      </x:c>
      <x:c r="AM1037" t="n">
        <x:f>CHOOSE('假设'!$B$3,AJ1037,AK1037,AL1037)</x:f>
        <x:v>0</x:v>
      </x:c>
      <x:c r="AN1037" t="n">
        <x:v>1</x:v>
      </x:c>
    </x:row>
    <x:row r="1038" ht="23" customHeight="1">
      <x:c r="A1038" s="11" t="str">
        <x:v>688192.SH</x:v>
      </x:c>
      <x:c r="B1038" s="11" t="str">
        <x:v>三年</x:v>
      </x:c>
      <x:c r="C1038" s="11" t="str">
        <x:v>goli_lung</x:v>
      </x:c>
      <x:c r="D1038" s="11" t="str">
        <x:v>2041-12-31</x:v>
      </x:c>
      <x:c r="E1038" s="11" t="str">
        <x:v>USD</x:v>
      </x:c>
      <x:c r="F1038" s="11" t="n">
        <x:v>12.227241615331964</x:v>
      </x:c>
      <x:c r="G1038" s="26" t="b">
        <x:v>1</x:v>
      </x:c>
      <x:c r="H1038" s="16" t="n">
        <x:v>0.384</x:v>
      </x:c>
      <x:c r="I1038" s="16" t="n">
        <x:v>0.936</x:v>
      </x:c>
      <x:c r="J1038" s="16" t="n">
        <x:v>0.9800000000000001</x:v>
      </x:c>
      <x:c r="K1038" s="11" t="n">
        <x:f>CHOOSE('假设'!$B$3,H1038,I1038,J1038)</x:f>
        <x:v>0.936</x:v>
      </x:c>
      <x:c r="L1038" s="11" t="n">
        <x:f>K1038*'管线假设'!E239*'管线假设'!F239*'管线假设'!G239*IF(E1038="USD",'管线假设'!I239,1)-AM1038</x:f>
        <x:v>0.80960256</x:v>
      </x:c>
      <x:c r="M1038" s="11" t="n">
        <x:f>'管线假设'!H239</x:f>
        <x:v>0.125</x:v>
      </x:c>
      <x:c r="N1038" s="11" t="n">
        <x:f>IF(G1038,L1038*AN1038/(1+M1038)^F1038,0)</x:f>
        <x:v>0.19178631804688265</x:v>
      </x:c>
      <x:c r="AJ1038" t="n">
        <x:v>0</x:v>
      </x:c>
      <x:c r="AK1038" t="n">
        <x:v>0</x:v>
      </x:c>
      <x:c r="AL1038" t="n">
        <x:v>0</x:v>
      </x:c>
      <x:c r="AM1038" t="n">
        <x:f>CHOOSE('假设'!$B$3,AJ1038,AK1038,AL1038)</x:f>
        <x:v>0</x:v>
      </x:c>
      <x:c r="AN1038" t="n">
        <x:v>1</x:v>
      </x:c>
    </x:row>
    <x:row r="1039" ht="23" customHeight="1">
      <x:c r="A1039" s="11" t="str">
        <x:v>688192.SH</x:v>
      </x:c>
      <x:c r="B1039" s="11" t="str">
        <x:v>三年</x:v>
      </x:c>
      <x:c r="C1039" s="11" t="str">
        <x:v>goli_lung</x:v>
      </x:c>
      <x:c r="D1039" s="11" t="str">
        <x:v>2042-12-31</x:v>
      </x:c>
      <x:c r="E1039" s="11" t="str">
        <x:v>USD</x:v>
      </x:c>
      <x:c r="F1039" s="11" t="n">
        <x:v>13.22655715263518</x:v>
      </x:c>
      <x:c r="G1039" s="26" t="b">
        <x:v>1</x:v>
      </x:c>
      <x:c r="H1039" s="16" t="n">
        <x:v>0.312</x:v>
      </x:c>
      <x:c r="I1039" s="16" t="n">
        <x:v>0.7200000000000001</x:v>
      </x:c>
      <x:c r="J1039" s="16" t="n">
        <x:v>0.56</x:v>
      </x:c>
      <x:c r="K1039" s="11" t="n">
        <x:f>CHOOSE('假设'!$B$3,H1039,I1039,J1039)</x:f>
        <x:v>0.7200000000000001</x:v>
      </x:c>
      <x:c r="L1039" s="11" t="n">
        <x:f>K1039*'管线假设'!E239*'管线假设'!F239*'管线假设'!G239*IF(E1039="USD",'管线假设'!I239,1)-AM1039</x:f>
        <x:v>0.6227712000000001</x:v>
      </x:c>
      <x:c r="M1039" s="11" t="n">
        <x:f>'管线假设'!H239</x:f>
        <x:v>0.125</x:v>
      </x:c>
      <x:c r="N1039" s="11" t="n">
        <x:f>IF(G1039,L1039*AN1039/(1+M1039)^F1039,0)</x:f>
        <x:v>0.13114651631972252</x:v>
      </x:c>
      <x:c r="AJ1039" t="n">
        <x:v>0</x:v>
      </x:c>
      <x:c r="AK1039" t="n">
        <x:v>0</x:v>
      </x:c>
      <x:c r="AL1039" t="n">
        <x:v>0</x:v>
      </x:c>
      <x:c r="AM1039" t="n">
        <x:f>CHOOSE('假设'!$B$3,AJ1039,AK1039,AL1039)</x:f>
        <x:v>0</x:v>
      </x:c>
      <x:c r="AN1039" t="n">
        <x:v>1</x:v>
      </x:c>
    </x:row>
    <x:row r="1040" ht="23" customHeight="1">
      <x:c r="A1040" s="11" t="str">
        <x:v>688192.SH</x:v>
      </x:c>
      <x:c r="B1040" s="11" t="str">
        <x:v>三年</x:v>
      </x:c>
      <x:c r="C1040" s="11" t="str">
        <x:v>goli_lung</x:v>
      </x:c>
      <x:c r="D1040" s="11" t="str">
        <x:v>2043-12-31</x:v>
      </x:c>
      <x:c r="E1040" s="11" t="str">
        <x:v>USD</x:v>
      </x:c>
      <x:c r="F1040" s="11" t="n">
        <x:v>14.225872689938399</x:v>
      </x:c>
      <x:c r="G1040" s="26" t="b">
        <x:v>1</x:v>
      </x:c>
      <x:c r="H1040" s="16" t="n">
        <x:v>0.24</x:v>
      </x:c>
      <x:c r="I1040" s="16" t="n">
        <x:v>0.5040000000000001</x:v>
      </x:c>
      <x:c r="J1040" s="16" t="n">
        <x:v>0.14000000000000012</x:v>
      </x:c>
      <x:c r="K1040" s="11" t="n">
        <x:f>CHOOSE('假设'!$B$3,H1040,I1040,J1040)</x:f>
        <x:v>0.5040000000000001</x:v>
      </x:c>
      <x:c r="L1040" s="11" t="n">
        <x:f>K1040*'管线假设'!E239*'管线假设'!F239*'管线假设'!G239*IF(E1040="USD",'管线假设'!I239,1)-AM1040</x:f>
        <x:v>0.43593984000000013</x:v>
      </x:c>
      <x:c r="M1040" s="11" t="n">
        <x:f>'管线假设'!H239</x:f>
        <x:v>0.125</x:v>
      </x:c>
      <x:c r="N1040" s="11" t="n">
        <x:f>IF(G1040,L1040*AN1040/(1+M1040)^F1040,0)</x:f>
        <x:v>0.0816088557063871</x:v>
      </x:c>
      <x:c r="AJ1040" t="n">
        <x:v>0</x:v>
      </x:c>
      <x:c r="AK1040" t="n">
        <x:v>0</x:v>
      </x:c>
      <x:c r="AL1040" t="n">
        <x:v>0</x:v>
      </x:c>
      <x:c r="AM1040" t="n">
        <x:f>CHOOSE('假设'!$B$3,AJ1040,AK1040,AL1040)</x:f>
        <x:v>0</x:v>
      </x:c>
      <x:c r="AN1040" t="n">
        <x:v>1</x:v>
      </x:c>
    </x:row>
    <x:row r="1041" ht="23" customHeight="1">
      <x:c r="A1041" s="11" t="str">
        <x:v>688192.SH</x:v>
      </x:c>
      <x:c r="B1041" s="11" t="str">
        <x:v>三年</x:v>
      </x:c>
      <x:c r="C1041" s="11" t="str">
        <x:v>goli_lung</x:v>
      </x:c>
      <x:c r="D1041" s="11" t="str">
        <x:v>2044-12-31</x:v>
      </x:c>
      <x:c r="E1041" s="11" t="str">
        <x:v>USD</x:v>
      </x:c>
      <x:c r="F1041" s="11" t="n">
        <x:v>15.227926078028748</x:v>
      </x:c>
      <x:c r="G1041" s="26" t="b">
        <x:v>1</x:v>
      </x:c>
      <x:c r="H1041" s="16" t="n">
        <x:v>0.168</x:v>
      </x:c>
      <x:c r="I1041" s="16" t="n">
        <x:v>0.2880000000000001</x:v>
      </x:c>
      <x:c r="J1041" s="16" t="n">
        <x:v>0</x:v>
      </x:c>
      <x:c r="K1041" s="11" t="n">
        <x:f>CHOOSE('假设'!$B$3,H1041,I1041,J1041)</x:f>
        <x:v>0.2880000000000001</x:v>
      </x:c>
      <x:c r="L1041" s="11" t="n">
        <x:f>K1041*'管线假设'!E239*'管线假设'!F239*'管线假设'!G239*IF(E1041="USD",'管线假设'!I239,1)-AM1041</x:f>
        <x:v>0.2491084800000001</x:v>
      </x:c>
      <x:c r="M1041" s="11" t="n">
        <x:f>'管线假设'!H239</x:f>
        <x:v>0.125</x:v>
      </x:c>
      <x:c r="N1041" s="11" t="n">
        <x:f>IF(G1041,L1041*AN1041/(1+M1041)^F1041,0)</x:f>
        <x:v>0.04144209302437207</x:v>
      </x:c>
      <x:c r="AJ1041" t="n">
        <x:v>0</x:v>
      </x:c>
      <x:c r="AK1041" t="n">
        <x:v>0</x:v>
      </x:c>
      <x:c r="AL1041" t="n">
        <x:v>0</x:v>
      </x:c>
      <x:c r="AM1041" t="n">
        <x:f>CHOOSE('假设'!$B$3,AJ1041,AK1041,AL1041)</x:f>
        <x:v>0</x:v>
      </x:c>
      <x:c r="AN1041" t="n">
        <x:v>1</x:v>
      </x:c>
    </x:row>
    <x:row r="1042" ht="23" customHeight="1">
      <x:c r="A1042" s="11" t="str">
        <x:v>688192.SH</x:v>
      </x:c>
      <x:c r="B1042" s="11" t="str">
        <x:v>三年</x:v>
      </x:c>
      <x:c r="C1042" s="11" t="str">
        <x:v>goli_lung</x:v>
      </x:c>
      <x:c r="D1042" s="11" t="str">
        <x:v>2045-12-31</x:v>
      </x:c>
      <x:c r="E1042" s="11" t="str">
        <x:v>USD</x:v>
      </x:c>
      <x:c r="F1042" s="11" t="n">
        <x:v>16.227241615331966</x:v>
      </x:c>
      <x:c r="G1042" s="26" t="b">
        <x:v>1</x:v>
      </x:c>
      <x:c r="H1042" s="16" t="n">
        <x:v>0.09600000000000002</x:v>
      </x:c>
      <x:c r="I1042" s="16" t="n">
        <x:v>0.07200000000000006</x:v>
      </x:c>
      <x:c r="J1042" s="16" t="n">
        <x:v>0</x:v>
      </x:c>
      <x:c r="K1042" s="11" t="n">
        <x:f>CHOOSE('假设'!$B$3,H1042,I1042,J1042)</x:f>
        <x:v>0.07200000000000006</x:v>
      </x:c>
      <x:c r="L1042" s="11" t="n">
        <x:f>K1042*'管线假设'!E239*'管线假设'!F239*'管线假设'!G239*IF(E1042="USD",'管线假设'!I239,1)-AM1042</x:f>
        <x:v>0.06227712000000006</x:v>
      </x:c>
      <x:c r="M1042" s="11" t="n">
        <x:f>'管线假设'!H239</x:f>
        <x:v>0.125</x:v>
      </x:c>
      <x:c r="N1042" s="11" t="n">
        <x:f>IF(G1042,L1042*AN1042/(1+M1042)^F1042,0)</x:f>
        <x:v>0.009210096475912817</x:v>
      </x:c>
      <x:c r="AJ1042" t="n">
        <x:v>0</x:v>
      </x:c>
      <x:c r="AK1042" t="n">
        <x:v>0</x:v>
      </x:c>
      <x:c r="AL1042" t="n">
        <x:v>0</x:v>
      </x:c>
      <x:c r="AM1042" t="n">
        <x:f>CHOOSE('假设'!$B$3,AJ1042,AK1042,AL1042)</x:f>
        <x:v>0</x:v>
      </x:c>
      <x:c r="AN1042" t="n">
        <x:v>1</x:v>
      </x:c>
    </x:row>
    <x:row r="1043" ht="23" customHeight="1">
      <x:c r="A1043" s="11" t="str">
        <x:v>688192.SH</x:v>
      </x:c>
      <x:c r="B1043" s="11" t="str">
        <x:v>三年</x:v>
      </x:c>
      <x:c r="C1043" s="11" t="str">
        <x:v>bire_cll</x:v>
      </x:c>
      <x:c r="D1043" s="11" t="str">
        <x:v>2027-12-31</x:v>
      </x:c>
      <x:c r="E1043" s="11" t="str">
        <x:v>USD</x:v>
      </x:c>
      <x:c r="F1043" s="11" t="n">
        <x:v>-1.7741273100616017</x:v>
      </x:c>
      <x:c r="G1043" s="26" t="b">
        <x:v>0</x:v>
      </x:c>
      <x:c r="H1043" s="16" t="n">
        <x:v>0</x:v>
      </x:c>
      <x:c r="I1043" s="16" t="n">
        <x:v>0</x:v>
      </x:c>
      <x:c r="J1043" s="16" t="n">
        <x:v>0</x:v>
      </x:c>
      <x:c r="K1043" s="11" t="n">
        <x:f>CHOOSE('假设'!$B$3,H1043,I1043,J1043)</x:f>
        <x:v>0</x:v>
      </x:c>
      <x:c r="L1043" s="11" t="n">
        <x:f>K1043*'管线假设'!E243*'管线假设'!F243*'管线假设'!G243*IF(E1043="USD",'管线假设'!I243,1)-AM1043</x:f>
        <x:v>0</x:v>
      </x:c>
      <x:c r="M1043" s="11" t="n">
        <x:f>'管线假设'!H243</x:f>
        <x:v>0.125</x:v>
      </x:c>
      <x:c r="N1043" s="11" t="n">
        <x:f>IF(G1043,L1043*AN1043/(1+M1043)^F1043,0)</x:f>
        <x:v>0</x:v>
      </x:c>
      <x:c r="AJ1043" t="n">
        <x:v>0</x:v>
      </x:c>
      <x:c r="AK1043" t="n">
        <x:v>0</x:v>
      </x:c>
      <x:c r="AL1043" t="n">
        <x:v>0</x:v>
      </x:c>
      <x:c r="AM1043" t="n">
        <x:f>CHOOSE('假设'!$B$3,AJ1043,AK1043,AL1043)</x:f>
        <x:v>0</x:v>
      </x:c>
      <x:c r="AN1043" t="n">
        <x:v>1</x:v>
      </x:c>
    </x:row>
    <x:row r="1044" ht="23" customHeight="1">
      <x:c r="A1044" s="11" t="str">
        <x:v>688192.SH</x:v>
      </x:c>
      <x:c r="B1044" s="11" t="str">
        <x:v>三年</x:v>
      </x:c>
      <x:c r="C1044" s="11" t="str">
        <x:v>bire_cll</x:v>
      </x:c>
      <x:c r="D1044" s="11" t="str">
        <x:v>2028-12-31</x:v>
      </x:c>
      <x:c r="E1044" s="11" t="str">
        <x:v>USD</x:v>
      </x:c>
      <x:c r="F1044" s="11" t="n">
        <x:v>-0.7720739219712526</x:v>
      </x:c>
      <x:c r="G1044" s="26" t="b">
        <x:v>0</x:v>
      </x:c>
      <x:c r="H1044" s="16" t="n">
        <x:v>0</x:v>
      </x:c>
      <x:c r="I1044" s="16" t="n">
        <x:v>0</x:v>
      </x:c>
      <x:c r="J1044" s="16" t="n">
        <x:v>0</x:v>
      </x:c>
      <x:c r="K1044" s="11" t="n">
        <x:f>CHOOSE('假设'!$B$3,H1044,I1044,J1044)</x:f>
        <x:v>0</x:v>
      </x:c>
      <x:c r="L1044" s="11" t="n">
        <x:f>K1044*'管线假设'!E243*'管线假设'!F243*'管线假设'!G243*IF(E1044="USD",'管线假设'!I243,1)-AM1044</x:f>
        <x:v>0</x:v>
      </x:c>
      <x:c r="M1044" s="11" t="n">
        <x:f>'管线假设'!H243</x:f>
        <x:v>0.125</x:v>
      </x:c>
      <x:c r="N1044" s="11" t="n">
        <x:f>IF(G1044,L1044*AN1044/(1+M1044)^F1044,0)</x:f>
        <x:v>0</x:v>
      </x:c>
      <x:c r="AJ1044" t="n">
        <x:v>0</x:v>
      </x:c>
      <x:c r="AK1044" t="n">
        <x:v>0</x:v>
      </x:c>
      <x:c r="AL1044" t="n">
        <x:v>0</x:v>
      </x:c>
      <x:c r="AM1044" t="n">
        <x:f>CHOOSE('假设'!$B$3,AJ1044,AK1044,AL1044)</x:f>
        <x:v>0</x:v>
      </x:c>
      <x:c r="AN1044" t="n">
        <x:v>1</x:v>
      </x:c>
    </x:row>
    <x:row r="1045" ht="23" customHeight="1">
      <x:c r="A1045" s="11" t="str">
        <x:v>688192.SH</x:v>
      </x:c>
      <x:c r="B1045" s="11" t="str">
        <x:v>三年</x:v>
      </x:c>
      <x:c r="C1045" s="11" t="str">
        <x:v>bire_cll</x:v>
      </x:c>
      <x:c r="D1045" s="11" t="str">
        <x:v>2029-12-31</x:v>
      </x:c>
      <x:c r="E1045" s="11" t="str">
        <x:v>USD</x:v>
      </x:c>
      <x:c r="F1045" s="11" t="n">
        <x:v>0.2272416153319644</x:v>
      </x:c>
      <x:c r="G1045" s="26" t="b">
        <x:v>1</x:v>
      </x:c>
      <x:c r="H1045" s="16" t="n">
        <x:v>0</x:v>
      </x:c>
      <x:c r="I1045" s="16" t="n">
        <x:v>0</x:v>
      </x:c>
      <x:c r="J1045" s="16" t="n">
        <x:v>0.5333333333333333</x:v>
      </x:c>
      <x:c r="K1045" s="11" t="n">
        <x:f>CHOOSE('假设'!$B$3,H1045,I1045,J1045)</x:f>
        <x:v>0</x:v>
      </x:c>
      <x:c r="L1045" s="11" t="n">
        <x:f>K1045*'管线假设'!E243*'管线假设'!F243*'管线假设'!G243*IF(E1045="USD",'管线假设'!I243,1)-AM1045</x:f>
        <x:v>0</x:v>
      </x:c>
      <x:c r="M1045" s="11" t="n">
        <x:f>'管线假设'!H243</x:f>
        <x:v>0.125</x:v>
      </x:c>
      <x:c r="N1045" s="11" t="n">
        <x:f>IF(G1045,L1045*AN1045/(1+M1045)^F1045,0)</x:f>
        <x:v>0</x:v>
      </x:c>
      <x:c r="AJ1045" t="n">
        <x:v>0</x:v>
      </x:c>
      <x:c r="AK1045" t="n">
        <x:v>0</x:v>
      </x:c>
      <x:c r="AL1045" t="n">
        <x:v>0</x:v>
      </x:c>
      <x:c r="AM1045" t="n">
        <x:f>CHOOSE('假设'!$B$3,AJ1045,AK1045,AL1045)</x:f>
        <x:v>0</x:v>
      </x:c>
      <x:c r="AN1045" t="n">
        <x:v>1</x:v>
      </x:c>
    </x:row>
    <x:row r="1046" ht="23" customHeight="1">
      <x:c r="A1046" s="11" t="str">
        <x:v>688192.SH</x:v>
      </x:c>
      <x:c r="B1046" s="11" t="str">
        <x:v>三年</x:v>
      </x:c>
      <x:c r="C1046" s="11" t="str">
        <x:v>bire_cll</x:v>
      </x:c>
      <x:c r="D1046" s="11" t="str">
        <x:v>2030-12-31</x:v>
      </x:c>
      <x:c r="E1046" s="11" t="str">
        <x:v>USD</x:v>
      </x:c>
      <x:c r="F1046" s="11" t="n">
        <x:v>1.2265571526351813</x:v>
      </x:c>
      <x:c r="G1046" s="26" t="b">
        <x:v>1</x:v>
      </x:c>
      <x:c r="H1046" s="16" t="n">
        <x:v>0</x:v>
      </x:c>
      <x:c r="I1046" s="16" t="n">
        <x:v>0.3</x:v>
      </x:c>
      <x:c r="J1046" s="16" t="n">
        <x:v>1.0666666666666667</x:v>
      </x:c>
      <x:c r="K1046" s="11" t="n">
        <x:f>CHOOSE('假设'!$B$3,H1046,I1046,J1046)</x:f>
        <x:v>0.3</x:v>
      </x:c>
      <x:c r="L1046" s="11" t="n">
        <x:f>K1046*'管线假设'!E243*'管线假设'!F243*'管线假设'!G243*IF(E1046="USD",'管线假设'!I243,1)-AM1046</x:f>
        <x:v>0.40839168</x:v>
      </x:c>
      <x:c r="M1046" s="11" t="n">
        <x:f>'管线假设'!H243</x:f>
        <x:v>0.125</x:v>
      </x:c>
      <x:c r="N1046" s="11" t="n">
        <x:f>IF(G1046,L1046*AN1046/(1+M1046)^F1046,0)</x:f>
        <x:v>0.3534560286495931</x:v>
      </x:c>
      <x:c r="AJ1046" t="n">
        <x:v>0</x:v>
      </x:c>
      <x:c r="AK1046" t="n">
        <x:v>0</x:v>
      </x:c>
      <x:c r="AL1046" t="n">
        <x:v>0</x:v>
      </x:c>
      <x:c r="AM1046" t="n">
        <x:f>CHOOSE('假设'!$B$3,AJ1046,AK1046,AL1046)</x:f>
        <x:v>0</x:v>
      </x:c>
      <x:c r="AN1046" t="n">
        <x:v>1</x:v>
      </x:c>
    </x:row>
    <x:row r="1047" ht="23" customHeight="1">
      <x:c r="A1047" s="11" t="str">
        <x:v>688192.SH</x:v>
      </x:c>
      <x:c r="B1047" s="11" t="str">
        <x:v>三年</x:v>
      </x:c>
      <x:c r="C1047" s="11" t="str">
        <x:v>bire_cll</x:v>
      </x:c>
      <x:c r="D1047" s="11" t="str">
        <x:v>2031-12-31</x:v>
      </x:c>
      <x:c r="E1047" s="11" t="str">
        <x:v>USD</x:v>
      </x:c>
      <x:c r="F1047" s="11" t="n">
        <x:v>2.2258726899383983</x:v>
      </x:c>
      <x:c r="G1047" s="26" t="b">
        <x:v>1</x:v>
      </x:c>
      <x:c r="H1047" s="16" t="n">
        <x:v>0</x:v>
      </x:c>
      <x:c r="I1047" s="16" t="n">
        <x:v>0.6</x:v>
      </x:c>
      <x:c r="J1047" s="16" t="n">
        <x:v>1.6</x:v>
      </x:c>
      <x:c r="K1047" s="11" t="n">
        <x:f>CHOOSE('假设'!$B$3,H1047,I1047,J1047)</x:f>
        <x:v>0.6</x:v>
      </x:c>
      <x:c r="L1047" s="11" t="n">
        <x:f>K1047*'管线假设'!E243*'管线假设'!F243*'管线假设'!G243*IF(E1047="USD",'管线假设'!I243,1)-AM1047</x:f>
        <x:v>0.81678336</x:v>
      </x:c>
      <x:c r="M1047" s="11" t="n">
        <x:f>'管线假设'!H243</x:f>
        <x:v>0.125</x:v>
      </x:c>
      <x:c r="N1047" s="11" t="n">
        <x:f>IF(G1047,L1047*AN1047/(1+M1047)^F1047,0)</x:f>
        <x:v>0.6284169328882646</x:v>
      </x:c>
      <x:c r="AJ1047" t="n">
        <x:v>0</x:v>
      </x:c>
      <x:c r="AK1047" t="n">
        <x:v>0</x:v>
      </x:c>
      <x:c r="AL1047" t="n">
        <x:v>0</x:v>
      </x:c>
      <x:c r="AM1047" t="n">
        <x:f>CHOOSE('假设'!$B$3,AJ1047,AK1047,AL1047)</x:f>
        <x:v>0</x:v>
      </x:c>
      <x:c r="AN1047" t="n">
        <x:v>1</x:v>
      </x:c>
    </x:row>
    <x:row r="1048" ht="23" customHeight="1">
      <x:c r="A1048" s="11" t="str">
        <x:v>688192.SH</x:v>
      </x:c>
      <x:c r="B1048" s="11" t="str">
        <x:v>三年</x:v>
      </x:c>
      <x:c r="C1048" s="11" t="str">
        <x:v>bire_cll</x:v>
      </x:c>
      <x:c r="D1048" s="11" t="str">
        <x:v>2032-12-31</x:v>
      </x:c>
      <x:c r="E1048" s="11" t="str">
        <x:v>USD</x:v>
      </x:c>
      <x:c r="F1048" s="11" t="n">
        <x:v>3.2279260780287475</x:v>
      </x:c>
      <x:c r="G1048" s="26" t="b">
        <x:v>1</x:v>
      </x:c>
      <x:c r="H1048" s="16" t="n">
        <x:v>0.13999999999999999</x:v>
      </x:c>
      <x:c r="I1048" s="16" t="n">
        <x:v>0.9</x:v>
      </x:c>
      <x:c r="J1048" s="16" t="n">
        <x:v>2.1333333333333333</x:v>
      </x:c>
      <x:c r="K1048" s="11" t="n">
        <x:f>CHOOSE('假设'!$B$3,H1048,I1048,J1048)</x:f>
        <x:v>0.9</x:v>
      </x:c>
      <x:c r="L1048" s="11" t="n">
        <x:f>K1048*'管线假设'!E243*'管线假设'!F243*'管线假设'!G243*IF(E1048="USD",'管线假设'!I243,1)-AM1048</x:f>
        <x:v>1.2251750399999999</x:v>
      </x:c>
      <x:c r="M1048" s="11" t="n">
        <x:f>'管线假设'!H243</x:f>
        <x:v>0.125</x:v>
      </x:c>
      <x:c r="N1048" s="11" t="n">
        <x:f>IF(G1048,L1048*AN1048/(1+M1048)^F1048,0)</x:f>
        <x:v>0.8376866212525569</x:v>
      </x:c>
      <x:c r="AJ1048" t="n">
        <x:v>0</x:v>
      </x:c>
      <x:c r="AK1048" t="n">
        <x:v>0</x:v>
      </x:c>
      <x:c r="AL1048" t="n">
        <x:v>0</x:v>
      </x:c>
      <x:c r="AM1048" t="n">
        <x:f>CHOOSE('假设'!$B$3,AJ1048,AK1048,AL1048)</x:f>
        <x:v>0</x:v>
      </x:c>
      <x:c r="AN1048" t="n">
        <x:v>1</x:v>
      </x:c>
    </x:row>
    <x:row r="1049" ht="23" customHeight="1">
      <x:c r="A1049" s="11" t="str">
        <x:v>688192.SH</x:v>
      </x:c>
      <x:c r="B1049" s="11" t="str">
        <x:v>三年</x:v>
      </x:c>
      <x:c r="C1049" s="11" t="str">
        <x:v>bire_cll</x:v>
      </x:c>
      <x:c r="D1049" s="11" t="str">
        <x:v>2033-12-31</x:v>
      </x:c>
      <x:c r="E1049" s="11" t="str">
        <x:v>USD</x:v>
      </x:c>
      <x:c r="F1049" s="11" t="n">
        <x:v>4.227241615331964</x:v>
      </x:c>
      <x:c r="G1049" s="26" t="b">
        <x:v>1</x:v>
      </x:c>
      <x:c r="H1049" s="16" t="n">
        <x:v>0.27999999999999997</x:v>
      </x:c>
      <x:c r="I1049" s="16" t="n">
        <x:v>1.2</x:v>
      </x:c>
      <x:c r="J1049" s="16" t="n">
        <x:v>2.666666666666667</x:v>
      </x:c>
      <x:c r="K1049" s="11" t="n">
        <x:f>CHOOSE('假设'!$B$3,H1049,I1049,J1049)</x:f>
        <x:v>1.2</x:v>
      </x:c>
      <x:c r="L1049" s="11" t="n">
        <x:f>K1049*'管线假设'!E243*'管线假设'!F243*'管线假设'!G243*IF(E1049="USD",'管线假设'!I243,1)-AM1049</x:f>
        <x:v>1.63356672</x:v>
      </x:c>
      <x:c r="M1049" s="11" t="n">
        <x:f>'管线假设'!H243</x:f>
        <x:v>0.125</x:v>
      </x:c>
      <x:c r="N1049" s="11" t="n">
        <x:f>IF(G1049,L1049*AN1049/(1+M1049)^F1049,0)</x:f>
        <x:v>0.9928938153170588</x:v>
      </x:c>
      <x:c r="AJ1049" t="n">
        <x:v>0</x:v>
      </x:c>
      <x:c r="AK1049" t="n">
        <x:v>0</x:v>
      </x:c>
      <x:c r="AL1049" t="n">
        <x:v>0</x:v>
      </x:c>
      <x:c r="AM1049" t="n">
        <x:f>CHOOSE('假设'!$B$3,AJ1049,AK1049,AL1049)</x:f>
        <x:v>0</x:v>
      </x:c>
      <x:c r="AN1049" t="n">
        <x:v>1</x:v>
      </x:c>
    </x:row>
    <x:row r="1050" ht="23" customHeight="1">
      <x:c r="A1050" s="11" t="str">
        <x:v>688192.SH</x:v>
      </x:c>
      <x:c r="B1050" s="11" t="str">
        <x:v>三年</x:v>
      </x:c>
      <x:c r="C1050" s="11" t="str">
        <x:v>bire_cll</x:v>
      </x:c>
      <x:c r="D1050" s="11" t="str">
        <x:v>2034-12-31</x:v>
      </x:c>
      <x:c r="E1050" s="11" t="str">
        <x:v>USD</x:v>
      </x:c>
      <x:c r="F1050" s="11" t="n">
        <x:v>5.2265571526351815</x:v>
      </x:c>
      <x:c r="G1050" s="26" t="b">
        <x:v>1</x:v>
      </x:c>
      <x:c r="H1050" s="16" t="n">
        <x:v>0.42</x:v>
      </x:c>
      <x:c r="I1050" s="16" t="n">
        <x:v>1.5</x:v>
      </x:c>
      <x:c r="J1050" s="16" t="n">
        <x:v>3.2</x:v>
      </x:c>
      <x:c r="K1050" s="11" t="n">
        <x:f>CHOOSE('假设'!$B$3,H1050,I1050,J1050)</x:f>
        <x:v>1.5</x:v>
      </x:c>
      <x:c r="L1050" s="11" t="n">
        <x:f>K1050*'管线假设'!E243*'管线假设'!F243*'管线假设'!G243*IF(E1050="USD",'管线假设'!I243,1)-AM1050</x:f>
        <x:v>2.0419584</x:v>
      </x:c>
      <x:c r="M1050" s="11" t="n">
        <x:f>'管线假设'!H243</x:f>
        <x:v>0.125</x:v>
      </x:c>
      <x:c r="N1050" s="11" t="n">
        <x:f>IF(G1050,L1050*AN1050/(1+M1050)^F1050,0)</x:f>
        <x:v>1.1033042930564954</x:v>
      </x:c>
      <x:c r="AJ1050" t="n">
        <x:v>0</x:v>
      </x:c>
      <x:c r="AK1050" t="n">
        <x:v>0</x:v>
      </x:c>
      <x:c r="AL1050" t="n">
        <x:v>0</x:v>
      </x:c>
      <x:c r="AM1050" t="n">
        <x:f>CHOOSE('假设'!$B$3,AJ1050,AK1050,AL1050)</x:f>
        <x:v>0</x:v>
      </x:c>
      <x:c r="AN1050" t="n">
        <x:v>1</x:v>
      </x:c>
    </x:row>
    <x:row r="1051" ht="23" customHeight="1">
      <x:c r="A1051" s="11" t="str">
        <x:v>688192.SH</x:v>
      </x:c>
      <x:c r="B1051" s="11" t="str">
        <x:v>三年</x:v>
      </x:c>
      <x:c r="C1051" s="11" t="str">
        <x:v>bire_cll</x:v>
      </x:c>
      <x:c r="D1051" s="11" t="str">
        <x:v>2035-12-31</x:v>
      </x:c>
      <x:c r="E1051" s="11" t="str">
        <x:v>USD</x:v>
      </x:c>
      <x:c r="F1051" s="11" t="n">
        <x:v>6.225872689938399</x:v>
      </x:c>
      <x:c r="G1051" s="26" t="b">
        <x:v>1</x:v>
      </x:c>
      <x:c r="H1051" s="16" t="n">
        <x:v>0.5599999999999999</x:v>
      </x:c>
      <x:c r="I1051" s="16" t="n">
        <x:v>1.8</x:v>
      </x:c>
      <x:c r="J1051" s="16" t="n">
        <x:v>2.8160000000000003</x:v>
      </x:c>
      <x:c r="K1051" s="11" t="n">
        <x:f>CHOOSE('假设'!$B$3,H1051,I1051,J1051)</x:f>
        <x:v>1.8</x:v>
      </x:c>
      <x:c r="L1051" s="11" t="n">
        <x:f>K1051*'管线假设'!E243*'管线假设'!F243*'管线假设'!G243*IF(E1051="USD",'管线假设'!I243,1)-AM1051</x:f>
        <x:v>2.4503500799999998</x:v>
      </x:c>
      <x:c r="M1051" s="11" t="n">
        <x:f>'管线假设'!H243</x:f>
        <x:v>0.125</x:v>
      </x:c>
      <x:c r="N1051" s="11" t="n">
        <x:f>IF(G1051,L1051*AN1051/(1+M1051)^F1051,0)</x:f>
        <x:v>1.1769527924601424</x:v>
      </x:c>
      <x:c r="AJ1051" t="n">
        <x:v>0</x:v>
      </x:c>
      <x:c r="AK1051" t="n">
        <x:v>0</x:v>
      </x:c>
      <x:c r="AL1051" t="n">
        <x:v>0</x:v>
      </x:c>
      <x:c r="AM1051" t="n">
        <x:f>CHOOSE('假设'!$B$3,AJ1051,AK1051,AL1051)</x:f>
        <x:v>0</x:v>
      </x:c>
      <x:c r="AN1051" t="n">
        <x:v>1</x:v>
      </x:c>
    </x:row>
    <x:row r="1052" ht="23" customHeight="1">
      <x:c r="A1052" s="11" t="str">
        <x:v>688192.SH</x:v>
      </x:c>
      <x:c r="B1052" s="11" t="str">
        <x:v>三年</x:v>
      </x:c>
      <x:c r="C1052" s="11" t="str">
        <x:v>bire_cll</x:v>
      </x:c>
      <x:c r="D1052" s="11" t="str">
        <x:v>2036-12-31</x:v>
      </x:c>
      <x:c r="E1052" s="11" t="str">
        <x:v>USD</x:v>
      </x:c>
      <x:c r="F1052" s="11" t="n">
        <x:v>7.227926078028747</x:v>
      </x:c>
      <x:c r="G1052" s="26" t="b">
        <x:v>1</x:v>
      </x:c>
      <x:c r="H1052" s="16" t="n">
        <x:v>0.7</x:v>
      </x:c>
      <x:c r="I1052" s="16" t="n">
        <x:v>1.584</x:v>
      </x:c>
      <x:c r="J1052" s="16" t="n">
        <x:v>2.4320000000000004</x:v>
      </x:c>
      <x:c r="K1052" s="11" t="n">
        <x:f>CHOOSE('假设'!$B$3,H1052,I1052,J1052)</x:f>
        <x:v>1.584</x:v>
      </x:c>
      <x:c r="L1052" s="11" t="n">
        <x:f>K1052*'管线假设'!E243*'管线假设'!F243*'管线假设'!G243*IF(E1052="USD",'管线假设'!I243,1)-AM1052</x:f>
        <x:v>2.1563080703999997</x:v>
      </x:c>
      <x:c r="M1052" s="11" t="n">
        <x:f>'管线假设'!H243</x:f>
        <x:v>0.125</x:v>
      </x:c>
      <x:c r="N1052" s="11" t="n">
        <x:f>IF(G1052,L1052*AN1052/(1+M1052)^F1052,0)</x:f>
        <x:v>0.9204159952971853</x:v>
      </x:c>
      <x:c r="AJ1052" t="n">
        <x:v>0</x:v>
      </x:c>
      <x:c r="AK1052" t="n">
        <x:v>0</x:v>
      </x:c>
      <x:c r="AL1052" t="n">
        <x:v>0</x:v>
      </x:c>
      <x:c r="AM1052" t="n">
        <x:f>CHOOSE('假设'!$B$3,AJ1052,AK1052,AL1052)</x:f>
        <x:v>0</x:v>
      </x:c>
      <x:c r="AN1052" t="n">
        <x:v>1</x:v>
      </x:c>
    </x:row>
    <x:row r="1053" ht="23" customHeight="1">
      <x:c r="A1053" s="11" t="str">
        <x:v>688192.SH</x:v>
      </x:c>
      <x:c r="B1053" s="11" t="str">
        <x:v>三年</x:v>
      </x:c>
      <x:c r="C1053" s="11" t="str">
        <x:v>bire_cll</x:v>
      </x:c>
      <x:c r="D1053" s="11" t="str">
        <x:v>2037-12-31</x:v>
      </x:c>
      <x:c r="E1053" s="11" t="str">
        <x:v>USD</x:v>
      </x:c>
      <x:c r="F1053" s="11" t="n">
        <x:v>8.227241615331964</x:v>
      </x:c>
      <x:c r="G1053" s="26" t="b">
        <x:v>1</x:v>
      </x:c>
      <x:c r="H1053" s="16" t="n">
        <x:v>0.616</x:v>
      </x:c>
      <x:c r="I1053" s="16" t="n">
        <x:v>1.368</x:v>
      </x:c>
      <x:c r="J1053" s="16" t="n">
        <x:v>2.048</x:v>
      </x:c>
      <x:c r="K1053" s="11" t="n">
        <x:f>CHOOSE('假设'!$B$3,H1053,I1053,J1053)</x:f>
        <x:v>1.368</x:v>
      </x:c>
      <x:c r="L1053" s="11" t="n">
        <x:f>K1053*'管线假设'!E243*'管线假设'!F243*'管线假设'!G243*IF(E1053="USD",'管线假设'!I243,1)-AM1053</x:f>
        <x:v>1.8622660608</x:v>
      </x:c>
      <x:c r="M1053" s="11" t="n">
        <x:f>'管线假设'!H243</x:f>
        <x:v>0.125</x:v>
      </x:c>
      <x:c r="N1053" s="11" t="n">
        <x:f>IF(G1053,L1053*AN1053/(1+M1053)^F1053,0)</x:f>
        <x:v>0.7066389417762668</x:v>
      </x:c>
      <x:c r="AJ1053" t="n">
        <x:v>0</x:v>
      </x:c>
      <x:c r="AK1053" t="n">
        <x:v>0</x:v>
      </x:c>
      <x:c r="AL1053" t="n">
        <x:v>0</x:v>
      </x:c>
      <x:c r="AM1053" t="n">
        <x:f>CHOOSE('假设'!$B$3,AJ1053,AK1053,AL1053)</x:f>
        <x:v>0</x:v>
      </x:c>
      <x:c r="AN1053" t="n">
        <x:v>1</x:v>
      </x:c>
    </x:row>
    <x:row r="1054" ht="23" customHeight="1">
      <x:c r="A1054" s="11" t="str">
        <x:v>688192.SH</x:v>
      </x:c>
      <x:c r="B1054" s="11" t="str">
        <x:v>三年</x:v>
      </x:c>
      <x:c r="C1054" s="11" t="str">
        <x:v>bire_cll</x:v>
      </x:c>
      <x:c r="D1054" s="11" t="str">
        <x:v>2038-12-31</x:v>
      </x:c>
      <x:c r="E1054" s="11" t="str">
        <x:v>USD</x:v>
      </x:c>
      <x:c r="F1054" s="11" t="n">
        <x:v>9.22655715263518</x:v>
      </x:c>
      <x:c r="G1054" s="26" t="b">
        <x:v>1</x:v>
      </x:c>
      <x:c r="H1054" s="16" t="n">
        <x:v>0.5319999999999999</x:v>
      </x:c>
      <x:c r="I1054" s="16" t="n">
        <x:v>1.1520000000000001</x:v>
      </x:c>
      <x:c r="J1054" s="16" t="n">
        <x:v>1.6640000000000001</x:v>
      </x:c>
      <x:c r="K1054" s="11" t="n">
        <x:f>CHOOSE('假设'!$B$3,H1054,I1054,J1054)</x:f>
        <x:v>1.1520000000000001</x:v>
      </x:c>
      <x:c r="L1054" s="11" t="n">
        <x:f>K1054*'管线假设'!E243*'管线假设'!F243*'管线假设'!G243*IF(E1054="USD",'管线假设'!I243,1)-AM1054</x:f>
        <x:v>1.5682240512</x:v>
      </x:c>
      <x:c r="M1054" s="11" t="n">
        <x:f>'管线假设'!H243</x:f>
        <x:v>0.125</x:v>
      </x:c>
      <x:c r="N1054" s="11" t="n">
        <x:f>IF(G1054,L1054*AN1054/(1+M1054)^F1054,0)</x:f>
        <x:v>0.5289887528102459</x:v>
      </x:c>
      <x:c r="AJ1054" t="n">
        <x:v>0</x:v>
      </x:c>
      <x:c r="AK1054" t="n">
        <x:v>0</x:v>
      </x:c>
      <x:c r="AL1054" t="n">
        <x:v>0</x:v>
      </x:c>
      <x:c r="AM1054" t="n">
        <x:f>CHOOSE('假设'!$B$3,AJ1054,AK1054,AL1054)</x:f>
        <x:v>0</x:v>
      </x:c>
      <x:c r="AN1054" t="n">
        <x:v>1</x:v>
      </x:c>
    </x:row>
    <x:row r="1055" ht="23" customHeight="1">
      <x:c r="A1055" s="11" t="str">
        <x:v>688192.SH</x:v>
      </x:c>
      <x:c r="B1055" s="11" t="str">
        <x:v>三年</x:v>
      </x:c>
      <x:c r="C1055" s="11" t="str">
        <x:v>bire_cll</x:v>
      </x:c>
      <x:c r="D1055" s="11" t="str">
        <x:v>2039-12-31</x:v>
      </x:c>
      <x:c r="E1055" s="11" t="str">
        <x:v>USD</x:v>
      </x:c>
      <x:c r="F1055" s="11" t="n">
        <x:v>10.225872689938399</x:v>
      </x:c>
      <x:c r="G1055" s="26" t="b">
        <x:v>1</x:v>
      </x:c>
      <x:c r="H1055" s="16" t="n">
        <x:v>0.44799999999999995</x:v>
      </x:c>
      <x:c r="I1055" s="16" t="n">
        <x:v>0.936</x:v>
      </x:c>
      <x:c r="J1055" s="16" t="n">
        <x:v>1.2800000000000002</x:v>
      </x:c>
      <x:c r="K1055" s="11" t="n">
        <x:f>CHOOSE('假设'!$B$3,H1055,I1055,J1055)</x:f>
        <x:v>0.936</x:v>
      </x:c>
      <x:c r="L1055" s="11" t="n">
        <x:f>K1055*'管线假设'!E243*'管线假设'!F243*'管线假设'!G243*IF(E1055="USD",'管线假设'!I243,1)-AM1055</x:f>
        <x:v>1.2741820416</x:v>
      </x:c>
      <x:c r="M1055" s="11" t="n">
        <x:f>'管线假设'!H243</x:f>
        <x:v>0.125</x:v>
      </x:c>
      <x:c r="N1055" s="11" t="n">
        <x:f>IF(G1055,L1055*AN1055/(1+M1055)^F1055,0)</x:f>
        <x:v>0.38207823376264394</x:v>
      </x:c>
      <x:c r="AJ1055" t="n">
        <x:v>0</x:v>
      </x:c>
      <x:c r="AK1055" t="n">
        <x:v>0</x:v>
      </x:c>
      <x:c r="AL1055" t="n">
        <x:v>0</x:v>
      </x:c>
      <x:c r="AM1055" t="n">
        <x:f>CHOOSE('假设'!$B$3,AJ1055,AK1055,AL1055)</x:f>
        <x:v>0</x:v>
      </x:c>
      <x:c r="AN1055" t="n">
        <x:v>1</x:v>
      </x:c>
    </x:row>
    <x:row r="1056" ht="23" customHeight="1">
      <x:c r="A1056" s="11" t="str">
        <x:v>688192.SH</x:v>
      </x:c>
      <x:c r="B1056" s="11" t="str">
        <x:v>三年</x:v>
      </x:c>
      <x:c r="C1056" s="11" t="str">
        <x:v>bire_cll</x:v>
      </x:c>
      <x:c r="D1056" s="11" t="str">
        <x:v>2040-12-31</x:v>
      </x:c>
      <x:c r="E1056" s="11" t="str">
        <x:v>USD</x:v>
      </x:c>
      <x:c r="F1056" s="11" t="n">
        <x:v>11.227926078028748</x:v>
      </x:c>
      <x:c r="G1056" s="26" t="b">
        <x:v>1</x:v>
      </x:c>
      <x:c r="H1056" s="16" t="n">
        <x:v>0.364</x:v>
      </x:c>
      <x:c r="I1056" s="16" t="n">
        <x:v>0.7200000000000001</x:v>
      </x:c>
      <x:c r="J1056" s="16" t="n">
        <x:v>0.8960000000000001</x:v>
      </x:c>
      <x:c r="K1056" s="11" t="n">
        <x:f>CHOOSE('假设'!$B$3,H1056,I1056,J1056)</x:f>
        <x:v>0.7200000000000001</x:v>
      </x:c>
      <x:c r="L1056" s="11" t="n">
        <x:f>K1056*'管线假设'!E243*'管线假设'!F243*'管线假设'!G243*IF(E1056="USD",'管线假设'!I243,1)-AM1056</x:f>
        <x:v>0.980140032</x:v>
      </x:c>
      <x:c r="M1056" s="11" t="n">
        <x:f>'管线假设'!H243</x:f>
        <x:v>0.125</x:v>
      </x:c>
      <x:c r="N1056" s="11" t="n">
        <x:f>IF(G1056,L1056*AN1056/(1+M1056)^F1056,0)</x:f>
        <x:v>0.2611868975583871</x:v>
      </x:c>
      <x:c r="AJ1056" t="n">
        <x:v>0</x:v>
      </x:c>
      <x:c r="AK1056" t="n">
        <x:v>0</x:v>
      </x:c>
      <x:c r="AL1056" t="n">
        <x:v>0</x:v>
      </x:c>
      <x:c r="AM1056" t="n">
        <x:f>CHOOSE('假设'!$B$3,AJ1056,AK1056,AL1056)</x:f>
        <x:v>0</x:v>
      </x:c>
      <x:c r="AN1056" t="n">
        <x:v>1</x:v>
      </x:c>
    </x:row>
    <x:row r="1057" ht="23" customHeight="1">
      <x:c r="A1057" s="11" t="str">
        <x:v>688192.SH</x:v>
      </x:c>
      <x:c r="B1057" s="11" t="str">
        <x:v>三年</x:v>
      </x:c>
      <x:c r="C1057" s="11" t="str">
        <x:v>bire_cll</x:v>
      </x:c>
      <x:c r="D1057" s="11" t="str">
        <x:v>2041-12-31</x:v>
      </x:c>
      <x:c r="E1057" s="11" t="str">
        <x:v>USD</x:v>
      </x:c>
      <x:c r="F1057" s="11" t="n">
        <x:v>12.227241615331964</x:v>
      </x:c>
      <x:c r="G1057" s="26" t="b">
        <x:v>1</x:v>
      </x:c>
      <x:c r="H1057" s="16" t="n">
        <x:v>0.27999999999999997</x:v>
      </x:c>
      <x:c r="I1057" s="16" t="n">
        <x:v>0.5040000000000001</x:v>
      </x:c>
      <x:c r="J1057" s="16" t="n">
        <x:v>0.5120000000000001</x:v>
      </x:c>
      <x:c r="K1057" s="11" t="n">
        <x:f>CHOOSE('假设'!$B$3,H1057,I1057,J1057)</x:f>
        <x:v>0.5040000000000001</x:v>
      </x:c>
      <x:c r="L1057" s="11" t="n">
        <x:f>K1057*'管线假设'!E243*'管线假设'!F243*'管线假设'!G243*IF(E1057="USD",'管线假设'!I243,1)-AM1057</x:f>
        <x:v>0.6860980224000001</x:v>
      </x:c>
      <x:c r="M1057" s="11" t="n">
        <x:f>'管线假设'!H243</x:f>
        <x:v>0.125</x:v>
      </x:c>
      <x:c r="N1057" s="11" t="n">
        <x:f>IF(G1057,L1057*AN1057/(1+M1057)^F1057,0)</x:f>
        <x:v>0.16252939409596684</x:v>
      </x:c>
      <x:c r="AJ1057" t="n">
        <x:v>0</x:v>
      </x:c>
      <x:c r="AK1057" t="n">
        <x:v>0</x:v>
      </x:c>
      <x:c r="AL1057" t="n">
        <x:v>0</x:v>
      </x:c>
      <x:c r="AM1057" t="n">
        <x:f>CHOOSE('假设'!$B$3,AJ1057,AK1057,AL1057)</x:f>
        <x:v>0</x:v>
      </x:c>
      <x:c r="AN1057" t="n">
        <x:v>1</x:v>
      </x:c>
    </x:row>
    <x:row r="1058" ht="23" customHeight="1">
      <x:c r="A1058" s="11" t="str">
        <x:v>688192.SH</x:v>
      </x:c>
      <x:c r="B1058" s="11" t="str">
        <x:v>三年</x:v>
      </x:c>
      <x:c r="C1058" s="11" t="str">
        <x:v>bire_cll</x:v>
      </x:c>
      <x:c r="D1058" s="11" t="str">
        <x:v>2042-12-31</x:v>
      </x:c>
      <x:c r="E1058" s="11" t="str">
        <x:v>USD</x:v>
      </x:c>
      <x:c r="F1058" s="11" t="n">
        <x:v>13.22655715263518</x:v>
      </x:c>
      <x:c r="G1058" s="26" t="b">
        <x:v>1</x:v>
      </x:c>
      <x:c r="H1058" s="16" t="n">
        <x:v>0.196</x:v>
      </x:c>
      <x:c r="I1058" s="16" t="n">
        <x:v>0.2880000000000001</x:v>
      </x:c>
      <x:c r="J1058" s="16" t="n">
        <x:v>0.1280000000000001</x:v>
      </x:c>
      <x:c r="K1058" s="11" t="n">
        <x:f>CHOOSE('假设'!$B$3,H1058,I1058,J1058)</x:f>
        <x:v>0.2880000000000001</x:v>
      </x:c>
      <x:c r="L1058" s="11" t="n">
        <x:f>K1058*'管线假设'!E243*'管线假设'!F243*'管线假设'!G243*IF(E1058="USD",'管线假设'!I243,1)-AM1058</x:f>
        <x:v>0.3920560128000001</x:v>
      </x:c>
      <x:c r="M1058" s="11" t="n">
        <x:f>'管线假设'!H243</x:f>
        <x:v>0.125</x:v>
      </x:c>
      <x:c r="N1058" s="11" t="n">
        <x:f>IF(G1058,L1058*AN1058/(1+M1058)^F1058,0)</x:f>
        <x:v>0.08256126853798079</x:v>
      </x:c>
      <x:c r="AJ1058" t="n">
        <x:v>0</x:v>
      </x:c>
      <x:c r="AK1058" t="n">
        <x:v>0</x:v>
      </x:c>
      <x:c r="AL1058" t="n">
        <x:v>0</x:v>
      </x:c>
      <x:c r="AM1058" t="n">
        <x:f>CHOOSE('假设'!$B$3,AJ1058,AK1058,AL1058)</x:f>
        <x:v>0</x:v>
      </x:c>
      <x:c r="AN1058" t="n">
        <x:v>1</x:v>
      </x:c>
    </x:row>
    <x:row r="1059" ht="23" customHeight="1">
      <x:c r="A1059" s="11" t="str">
        <x:v>688192.SH</x:v>
      </x:c>
      <x:c r="B1059" s="11" t="str">
        <x:v>三年</x:v>
      </x:c>
      <x:c r="C1059" s="11" t="str">
        <x:v>bire_cll</x:v>
      </x:c>
      <x:c r="D1059" s="11" t="str">
        <x:v>2043-12-31</x:v>
      </x:c>
      <x:c r="E1059" s="11" t="str">
        <x:v>USD</x:v>
      </x:c>
      <x:c r="F1059" s="11" t="n">
        <x:v>14.225872689938399</x:v>
      </x:c>
      <x:c r="G1059" s="26" t="b">
        <x:v>1</x:v>
      </x:c>
      <x:c r="H1059" s="16" t="n">
        <x:v>0.11200000000000002</x:v>
      </x:c>
      <x:c r="I1059" s="16" t="n">
        <x:v>0.07200000000000006</x:v>
      </x:c>
      <x:c r="J1059" s="16" t="n">
        <x:v>0</x:v>
      </x:c>
      <x:c r="K1059" s="11" t="n">
        <x:f>CHOOSE('假设'!$B$3,H1059,I1059,J1059)</x:f>
        <x:v>0.07200000000000006</x:v>
      </x:c>
      <x:c r="L1059" s="11" t="n">
        <x:f>K1059*'管线假设'!E243*'管线假设'!F243*'管线假设'!G243*IF(E1059="USD",'管线假设'!I243,1)-AM1059</x:f>
        <x:v>0.09801400320000007</x:v>
      </x:c>
      <x:c r="M1059" s="11" t="n">
        <x:f>'管线假设'!H243</x:f>
        <x:v>0.125</x:v>
      </x:c>
      <x:c r="N1059" s="11" t="n">
        <x:f>IF(G1059,L1059*AN1059/(1+M1059)^F1059,0)</x:f>
        <x:v>0.018348427719646287</x:v>
      </x:c>
      <x:c r="AJ1059" t="n">
        <x:v>0</x:v>
      </x:c>
      <x:c r="AK1059" t="n">
        <x:v>0</x:v>
      </x:c>
      <x:c r="AL1059" t="n">
        <x:v>0</x:v>
      </x:c>
      <x:c r="AM1059" t="n">
        <x:f>CHOOSE('假设'!$B$3,AJ1059,AK1059,AL1059)</x:f>
        <x:v>0</x:v>
      </x:c>
      <x:c r="AN1059" t="n">
        <x:v>1</x:v>
      </x:c>
    </x:row>
    <x:row r="1060" ht="23" customHeight="1">
      <x:c r="A1060" s="11" t="str">
        <x:v>688192.SH</x:v>
      </x:c>
      <x:c r="B1060" s="11" t="str">
        <x:v>三年</x:v>
      </x:c>
      <x:c r="C1060" s="11" t="str">
        <x:v>bire_cll</x:v>
      </x:c>
      <x:c r="D1060" s="11" t="str">
        <x:v>2044-12-31</x:v>
      </x:c>
      <x:c r="E1060" s="11" t="str">
        <x:v>USD</x:v>
      </x:c>
      <x:c r="F1060" s="11" t="n">
        <x:v>15.227926078028748</x:v>
      </x:c>
      <x:c r="G1060" s="26" t="b">
        <x:v>1</x:v>
      </x:c>
      <x:c r="H1060" s="16" t="n">
        <x:v>0.02800000000000002</x:v>
      </x:c>
      <x:c r="I1060" s="16" t="n">
        <x:v>0</x:v>
      </x:c>
      <x:c r="J1060" s="16" t="n">
        <x:v>0</x:v>
      </x:c>
      <x:c r="K1060" s="11" t="n">
        <x:f>CHOOSE('假设'!$B$3,H1060,I1060,J1060)</x:f>
        <x:v>0</x:v>
      </x:c>
      <x:c r="L1060" s="11" t="n">
        <x:f>K1060*'管线假设'!E243*'管线假设'!F243*'管线假设'!G243*IF(E1060="USD",'管线假设'!I243,1)-AM1060</x:f>
        <x:v>0</x:v>
      </x:c>
      <x:c r="M1060" s="11" t="n">
        <x:f>'管线假设'!H243</x:f>
        <x:v>0.125</x:v>
      </x:c>
      <x:c r="N1060" s="11" t="n">
        <x:f>IF(G1060,L1060*AN1060/(1+M1060)^F1060,0)</x:f>
        <x:v>0</x:v>
      </x:c>
      <x:c r="AJ1060" t="n">
        <x:v>0</x:v>
      </x:c>
      <x:c r="AK1060" t="n">
        <x:v>0</x:v>
      </x:c>
      <x:c r="AL1060" t="n">
        <x:v>0</x:v>
      </x:c>
      <x:c r="AM1060" t="n">
        <x:f>CHOOSE('假设'!$B$3,AJ1060,AK1060,AL1060)</x:f>
        <x:v>0</x:v>
      </x:c>
      <x:c r="AN1060" t="n">
        <x:v>1</x:v>
      </x:c>
    </x:row>
    <x:row r="1061" ht="23" customHeight="1">
      <x:c r="A1061" s="11" t="str">
        <x:v>688192.SH</x:v>
      </x:c>
      <x:c r="B1061" s="11" t="str">
        <x:v>三年</x:v>
      </x:c>
      <x:c r="C1061" s="11" t="str">
        <x:v>bire_cll</x:v>
      </x:c>
      <x:c r="D1061" s="11" t="str">
        <x:v>2045-12-31</x:v>
      </x:c>
      <x:c r="E1061" s="11" t="str">
        <x:v>USD</x:v>
      </x:c>
      <x:c r="F1061" s="11" t="n">
        <x:v>16.227241615331966</x:v>
      </x:c>
      <x:c r="G1061" s="26" t="b">
        <x:v>1</x:v>
      </x:c>
      <x:c r="H1061" s="16" t="n">
        <x:v>0</x:v>
      </x:c>
      <x:c r="I1061" s="16" t="n">
        <x:v>0</x:v>
      </x:c>
      <x:c r="J1061" s="16" t="n">
        <x:v>0</x:v>
      </x:c>
      <x:c r="K1061" s="11" t="n">
        <x:f>CHOOSE('假设'!$B$3,H1061,I1061,J1061)</x:f>
        <x:v>0</x:v>
      </x:c>
      <x:c r="L1061" s="11" t="n">
        <x:f>K1061*'管线假设'!E243*'管线假设'!F243*'管线假设'!G243*IF(E1061="USD",'管线假设'!I243,1)-AM1061</x:f>
        <x:v>0</x:v>
      </x:c>
      <x:c r="M1061" s="11" t="n">
        <x:f>'管线假设'!H243</x:f>
        <x:v>0.125</x:v>
      </x:c>
      <x:c r="N1061" s="11" t="n">
        <x:f>IF(G1061,L1061*AN1061/(1+M1061)^F1061,0)</x:f>
        <x:v>0</x:v>
      </x:c>
      <x:c r="AJ1061" t="n">
        <x:v>0</x:v>
      </x:c>
      <x:c r="AK1061" t="n">
        <x:v>0</x:v>
      </x:c>
      <x:c r="AL1061" t="n">
        <x:v>0</x:v>
      </x:c>
      <x:c r="AM1061" t="n">
        <x:f>CHOOSE('假设'!$B$3,AJ1061,AK1061,AL1061)</x:f>
        <x:v>0</x:v>
      </x:c>
      <x:c r="AN1061" t="n">
        <x:v>1</x:v>
      </x:c>
    </x:row>
    <x:row r="1062" ht="23" customHeight="1">
      <x:c r="A1062" s="11" t="str">
        <x:v>688192.SH</x:v>
      </x:c>
      <x:c r="B1062" s="11" t="str">
        <x:v>三年</x:v>
      </x:c>
      <x:c r="C1062" s="11" t="str">
        <x:v>bire_dlbcl</x:v>
      </x:c>
      <x:c r="D1062" s="11" t="str">
        <x:v>2027-12-31</x:v>
      </x:c>
      <x:c r="E1062" s="11" t="str">
        <x:v>USD</x:v>
      </x:c>
      <x:c r="F1062" s="11" t="n">
        <x:v>-1.7741273100616017</x:v>
      </x:c>
      <x:c r="G1062" s="26" t="b">
        <x:v>0</x:v>
      </x:c>
      <x:c r="H1062" s="16" t="n">
        <x:v>0</x:v>
      </x:c>
      <x:c r="I1062" s="16" t="n">
        <x:v>0</x:v>
      </x:c>
      <x:c r="J1062" s="16" t="n">
        <x:v>0</x:v>
      </x:c>
      <x:c r="K1062" s="11" t="n">
        <x:f>CHOOSE('假设'!$B$3,H1062,I1062,J1062)</x:f>
        <x:v>0</x:v>
      </x:c>
      <x:c r="L1062" s="11" t="n">
        <x:f>K1062*'管线假设'!E247*'管线假设'!F247*'管线假设'!G247*IF(E1062="USD",'管线假设'!I247,1)-AM1062</x:f>
        <x:v>0</x:v>
      </x:c>
      <x:c r="M1062" s="11" t="n">
        <x:f>'管线假设'!H247</x:f>
        <x:v>0.125</x:v>
      </x:c>
      <x:c r="N1062" s="11" t="n">
        <x:f>IF(G1062,L1062*AN1062/(1+M1062)^F1062,0)</x:f>
        <x:v>0</x:v>
      </x:c>
      <x:c r="AJ1062" t="n">
        <x:v>0</x:v>
      </x:c>
      <x:c r="AK1062" t="n">
        <x:v>0</x:v>
      </x:c>
      <x:c r="AL1062" t="n">
        <x:v>0</x:v>
      </x:c>
      <x:c r="AM1062" t="n">
        <x:f>CHOOSE('假设'!$B$3,AJ1062,AK1062,AL1062)</x:f>
        <x:v>0</x:v>
      </x:c>
      <x:c r="AN1062" t="n">
        <x:v>1</x:v>
      </x:c>
    </x:row>
    <x:row r="1063" ht="23" customHeight="1">
      <x:c r="A1063" s="11" t="str">
        <x:v>688192.SH</x:v>
      </x:c>
      <x:c r="B1063" s="11" t="str">
        <x:v>三年</x:v>
      </x:c>
      <x:c r="C1063" s="11" t="str">
        <x:v>bire_dlbcl</x:v>
      </x:c>
      <x:c r="D1063" s="11" t="str">
        <x:v>2028-12-31</x:v>
      </x:c>
      <x:c r="E1063" s="11" t="str">
        <x:v>USD</x:v>
      </x:c>
      <x:c r="F1063" s="11" t="n">
        <x:v>-0.7720739219712526</x:v>
      </x:c>
      <x:c r="G1063" s="26" t="b">
        <x:v>0</x:v>
      </x:c>
      <x:c r="H1063" s="16" t="n">
        <x:v>0</x:v>
      </x:c>
      <x:c r="I1063" s="16" t="n">
        <x:v>0</x:v>
      </x:c>
      <x:c r="J1063" s="16" t="n">
        <x:v>0</x:v>
      </x:c>
      <x:c r="K1063" s="11" t="n">
        <x:f>CHOOSE('假设'!$B$3,H1063,I1063,J1063)</x:f>
        <x:v>0</x:v>
      </x:c>
      <x:c r="L1063" s="11" t="n">
        <x:f>K1063*'管线假设'!E247*'管线假设'!F247*'管线假设'!G247*IF(E1063="USD",'管线假设'!I247,1)-AM1063</x:f>
        <x:v>0</x:v>
      </x:c>
      <x:c r="M1063" s="11" t="n">
        <x:f>'管线假设'!H247</x:f>
        <x:v>0.125</x:v>
      </x:c>
      <x:c r="N1063" s="11" t="n">
        <x:f>IF(G1063,L1063*AN1063/(1+M1063)^F1063,0)</x:f>
        <x:v>0</x:v>
      </x:c>
      <x:c r="AJ1063" t="n">
        <x:v>0</x:v>
      </x:c>
      <x:c r="AK1063" t="n">
        <x:v>0</x:v>
      </x:c>
      <x:c r="AL1063" t="n">
        <x:v>0</x:v>
      </x:c>
      <x:c r="AM1063" t="n">
        <x:f>CHOOSE('假设'!$B$3,AJ1063,AK1063,AL1063)</x:f>
        <x:v>0</x:v>
      </x:c>
      <x:c r="AN1063" t="n">
        <x:v>1</x:v>
      </x:c>
    </x:row>
    <x:row r="1064" ht="23" customHeight="1">
      <x:c r="A1064" s="11" t="str">
        <x:v>688192.SH</x:v>
      </x:c>
      <x:c r="B1064" s="11" t="str">
        <x:v>三年</x:v>
      </x:c>
      <x:c r="C1064" s="11" t="str">
        <x:v>bire_dlbcl</x:v>
      </x:c>
      <x:c r="D1064" s="11" t="str">
        <x:v>2029-12-31</x:v>
      </x:c>
      <x:c r="E1064" s="11" t="str">
        <x:v>USD</x:v>
      </x:c>
      <x:c r="F1064" s="11" t="n">
        <x:v>0.2272416153319644</x:v>
      </x:c>
      <x:c r="G1064" s="26" t="b">
        <x:v>1</x:v>
      </x:c>
      <x:c r="H1064" s="16" t="n">
        <x:v>0</x:v>
      </x:c>
      <x:c r="I1064" s="16" t="n">
        <x:v>0</x:v>
      </x:c>
      <x:c r="J1064" s="16" t="n">
        <x:v>0.5666666666666667</x:v>
      </x:c>
      <x:c r="K1064" s="11" t="n">
        <x:f>CHOOSE('假设'!$B$3,H1064,I1064,J1064)</x:f>
        <x:v>0</x:v>
      </x:c>
      <x:c r="L1064" s="11" t="n">
        <x:f>K1064*'管线假设'!E247*'管线假设'!F247*'管线假设'!G247*IF(E1064="USD",'管线假设'!I247,1)-AM1064</x:f>
        <x:v>0</x:v>
      </x:c>
      <x:c r="M1064" s="11" t="n">
        <x:f>'管线假设'!H247</x:f>
        <x:v>0.125</x:v>
      </x:c>
      <x:c r="N1064" s="11" t="n">
        <x:f>IF(G1064,L1064*AN1064/(1+M1064)^F1064,0)</x:f>
        <x:v>0</x:v>
      </x:c>
      <x:c r="AJ1064" t="n">
        <x:v>0</x:v>
      </x:c>
      <x:c r="AK1064" t="n">
        <x:v>0</x:v>
      </x:c>
      <x:c r="AL1064" t="n">
        <x:v>0</x:v>
      </x:c>
      <x:c r="AM1064" t="n">
        <x:f>CHOOSE('假设'!$B$3,AJ1064,AK1064,AL1064)</x:f>
        <x:v>0</x:v>
      </x:c>
      <x:c r="AN1064" t="n">
        <x:v>1</x:v>
      </x:c>
    </x:row>
    <x:row r="1065" ht="23" customHeight="1">
      <x:c r="A1065" s="11" t="str">
        <x:v>688192.SH</x:v>
      </x:c>
      <x:c r="B1065" s="11" t="str">
        <x:v>三年</x:v>
      </x:c>
      <x:c r="C1065" s="11" t="str">
        <x:v>bire_dlbcl</x:v>
      </x:c>
      <x:c r="D1065" s="11" t="str">
        <x:v>2030-12-31</x:v>
      </x:c>
      <x:c r="E1065" s="11" t="str">
        <x:v>USD</x:v>
      </x:c>
      <x:c r="F1065" s="11" t="n">
        <x:v>1.2265571526351813</x:v>
      </x:c>
      <x:c r="G1065" s="26" t="b">
        <x:v>1</x:v>
      </x:c>
      <x:c r="H1065" s="16" t="n">
        <x:v>0</x:v>
      </x:c>
      <x:c r="I1065" s="16" t="n">
        <x:v>0</x:v>
      </x:c>
      <x:c r="J1065" s="16" t="n">
        <x:v>1.1333333333333333</x:v>
      </x:c>
      <x:c r="K1065" s="11" t="n">
        <x:f>CHOOSE('假设'!$B$3,H1065,I1065,J1065)</x:f>
        <x:v>0</x:v>
      </x:c>
      <x:c r="L1065" s="11" t="n">
        <x:f>K1065*'管线假设'!E247*'管线假设'!F247*'管线假设'!G247*IF(E1065="USD",'管线假设'!I247,1)-AM1065</x:f>
        <x:v>0</x:v>
      </x:c>
      <x:c r="M1065" s="11" t="n">
        <x:f>'管线假设'!H247</x:f>
        <x:v>0.125</x:v>
      </x:c>
      <x:c r="N1065" s="11" t="n">
        <x:f>IF(G1065,L1065*AN1065/(1+M1065)^F1065,0)</x:f>
        <x:v>0</x:v>
      </x:c>
      <x:c r="AJ1065" t="n">
        <x:v>0</x:v>
      </x:c>
      <x:c r="AK1065" t="n">
        <x:v>0</x:v>
      </x:c>
      <x:c r="AL1065" t="n">
        <x:v>0</x:v>
      </x:c>
      <x:c r="AM1065" t="n">
        <x:f>CHOOSE('假设'!$B$3,AJ1065,AK1065,AL1065)</x:f>
        <x:v>0</x:v>
      </x:c>
      <x:c r="AN1065" t="n">
        <x:v>1</x:v>
      </x:c>
    </x:row>
    <x:row r="1066" ht="23" customHeight="1">
      <x:c r="A1066" s="11" t="str">
        <x:v>688192.SH</x:v>
      </x:c>
      <x:c r="B1066" s="11" t="str">
        <x:v>三年</x:v>
      </x:c>
      <x:c r="C1066" s="11" t="str">
        <x:v>bire_dlbcl</x:v>
      </x:c>
      <x:c r="D1066" s="11" t="str">
        <x:v>2031-12-31</x:v>
      </x:c>
      <x:c r="E1066" s="11" t="str">
        <x:v>USD</x:v>
      </x:c>
      <x:c r="F1066" s="11" t="n">
        <x:v>2.2258726899383983</x:v>
      </x:c>
      <x:c r="G1066" s="26" t="b">
        <x:v>1</x:v>
      </x:c>
      <x:c r="H1066" s="16" t="n">
        <x:v>0</x:v>
      </x:c>
      <x:c r="I1066" s="16" t="n">
        <x:v>0.3</x:v>
      </x:c>
      <x:c r="J1066" s="16" t="n">
        <x:v>1.7</x:v>
      </x:c>
      <x:c r="K1066" s="11" t="n">
        <x:f>CHOOSE('假设'!$B$3,H1066,I1066,J1066)</x:f>
        <x:v>0.3</x:v>
      </x:c>
      <x:c r="L1066" s="11" t="n">
        <x:f>K1066*'管线假设'!E247*'管线假设'!F247*'管线假设'!G247*IF(E1066="USD",'管线假设'!I247,1)-AM1066</x:f>
        <x:v>0.3237888</x:v>
      </x:c>
      <x:c r="M1066" s="11" t="n">
        <x:f>'管线假设'!H247</x:f>
        <x:v>0.125</x:v>
      </x:c>
      <x:c r="N1066" s="11" t="n">
        <x:f>IF(G1066,L1066*AN1066/(1+M1066)^F1066,0)</x:f>
        <x:v>0.24911668695059083</x:v>
      </x:c>
      <x:c r="AJ1066" t="n">
        <x:v>0</x:v>
      </x:c>
      <x:c r="AK1066" t="n">
        <x:v>0</x:v>
      </x:c>
      <x:c r="AL1066" t="n">
        <x:v>0</x:v>
      </x:c>
      <x:c r="AM1066" t="n">
        <x:f>CHOOSE('假设'!$B$3,AJ1066,AK1066,AL1066)</x:f>
        <x:v>0</x:v>
      </x:c>
      <x:c r="AN1066" t="n">
        <x:v>1</x:v>
      </x:c>
    </x:row>
    <x:row r="1067" ht="23" customHeight="1">
      <x:c r="A1067" s="11" t="str">
        <x:v>688192.SH</x:v>
      </x:c>
      <x:c r="B1067" s="11" t="str">
        <x:v>三年</x:v>
      </x:c>
      <x:c r="C1067" s="11" t="str">
        <x:v>bire_dlbcl</x:v>
      </x:c>
      <x:c r="D1067" s="11" t="str">
        <x:v>2032-12-31</x:v>
      </x:c>
      <x:c r="E1067" s="11" t="str">
        <x:v>USD</x:v>
      </x:c>
      <x:c r="F1067" s="11" t="n">
        <x:v>3.2279260780287475</x:v>
      </x:c>
      <x:c r="G1067" s="26" t="b">
        <x:v>1</x:v>
      </x:c>
      <x:c r="H1067" s="16" t="n">
        <x:v>0</x:v>
      </x:c>
      <x:c r="I1067" s="16" t="n">
        <x:v>0.6</x:v>
      </x:c>
      <x:c r="J1067" s="16" t="n">
        <x:v>2.2666666666666666</x:v>
      </x:c>
      <x:c r="K1067" s="11" t="n">
        <x:f>CHOOSE('假设'!$B$3,H1067,I1067,J1067)</x:f>
        <x:v>0.6</x:v>
      </x:c>
      <x:c r="L1067" s="11" t="n">
        <x:f>K1067*'管线假设'!E247*'管线假设'!F247*'管线假设'!G247*IF(E1067="USD",'管线假设'!I247,1)-AM1067</x:f>
        <x:v>0.6475776</x:v>
      </x:c>
      <x:c r="M1067" s="11" t="n">
        <x:f>'管线假设'!H247</x:f>
        <x:v>0.125</x:v>
      </x:c>
      <x:c r="N1067" s="11" t="n">
        <x:f>IF(G1067,L1067*AN1067/(1+M1067)^F1067,0)</x:f>
        <x:v>0.4427670120857505</x:v>
      </x:c>
      <x:c r="AJ1067" t="n">
        <x:v>0</x:v>
      </x:c>
      <x:c r="AK1067" t="n">
        <x:v>0</x:v>
      </x:c>
      <x:c r="AL1067" t="n">
        <x:v>0</x:v>
      </x:c>
      <x:c r="AM1067" t="n">
        <x:f>CHOOSE('假设'!$B$3,AJ1067,AK1067,AL1067)</x:f>
        <x:v>0</x:v>
      </x:c>
      <x:c r="AN1067" t="n">
        <x:v>1</x:v>
      </x:c>
    </x:row>
    <x:row r="1068" ht="23" customHeight="1">
      <x:c r="A1068" s="11" t="str">
        <x:v>688192.SH</x:v>
      </x:c>
      <x:c r="B1068" s="11" t="str">
        <x:v>三年</x:v>
      </x:c>
      <x:c r="C1068" s="11" t="str">
        <x:v>bire_dlbcl</x:v>
      </x:c>
      <x:c r="D1068" s="11" t="str">
        <x:v>2033-12-31</x:v>
      </x:c>
      <x:c r="E1068" s="11" t="str">
        <x:v>USD</x:v>
      </x:c>
      <x:c r="F1068" s="11" t="n">
        <x:v>4.227241615331964</x:v>
      </x:c>
      <x:c r="G1068" s="26" t="b">
        <x:v>1</x:v>
      </x:c>
      <x:c r="H1068" s="16" t="n">
        <x:v>0.1</x:v>
      </x:c>
      <x:c r="I1068" s="16" t="n">
        <x:v>0.9</x:v>
      </x:c>
      <x:c r="J1068" s="16" t="n">
        <x:v>2.8333333333333335</x:v>
      </x:c>
      <x:c r="K1068" s="11" t="n">
        <x:f>CHOOSE('假设'!$B$3,H1068,I1068,J1068)</x:f>
        <x:v>0.9</x:v>
      </x:c>
      <x:c r="L1068" s="11" t="n">
        <x:f>K1068*'管线假设'!E247*'管线假设'!F247*'管线假设'!G247*IF(E1068="USD",'管线假设'!I247,1)-AM1068</x:f>
        <x:v>0.9713664</x:v>
      </x:c>
      <x:c r="M1068" s="11" t="n">
        <x:f>'管线假设'!H247</x:f>
        <x:v>0.125</x:v>
      </x:c>
      <x:c r="N1068" s="11" t="n">
        <x:f>IF(G1068,L1068*AN1068/(1+M1068)^F1068,0)</x:f>
        <x:v>0.59040361140976</x:v>
      </x:c>
      <x:c r="AJ1068" t="n">
        <x:v>0</x:v>
      </x:c>
      <x:c r="AK1068" t="n">
        <x:v>0</x:v>
      </x:c>
      <x:c r="AL1068" t="n">
        <x:v>0</x:v>
      </x:c>
      <x:c r="AM1068" t="n">
        <x:f>CHOOSE('假设'!$B$3,AJ1068,AK1068,AL1068)</x:f>
        <x:v>0</x:v>
      </x:c>
      <x:c r="AN1068" t="n">
        <x:v>1</x:v>
      </x:c>
    </x:row>
    <x:row r="1069" ht="23" customHeight="1">
      <x:c r="A1069" s="11" t="str">
        <x:v>688192.SH</x:v>
      </x:c>
      <x:c r="B1069" s="11" t="str">
        <x:v>三年</x:v>
      </x:c>
      <x:c r="C1069" s="11" t="str">
        <x:v>bire_dlbcl</x:v>
      </x:c>
      <x:c r="D1069" s="11" t="str">
        <x:v>2034-12-31</x:v>
      </x:c>
      <x:c r="E1069" s="11" t="str">
        <x:v>USD</x:v>
      </x:c>
      <x:c r="F1069" s="11" t="n">
        <x:v>5.2265571526351815</x:v>
      </x:c>
      <x:c r="G1069" s="26" t="b">
        <x:v>1</x:v>
      </x:c>
      <x:c r="H1069" s="16" t="n">
        <x:v>0.2</x:v>
      </x:c>
      <x:c r="I1069" s="16" t="n">
        <x:v>1.2</x:v>
      </x:c>
      <x:c r="J1069" s="16" t="n">
        <x:v>3.4</x:v>
      </x:c>
      <x:c r="K1069" s="11" t="n">
        <x:f>CHOOSE('假设'!$B$3,H1069,I1069,J1069)</x:f>
        <x:v>1.2</x:v>
      </x:c>
      <x:c r="L1069" s="11" t="n">
        <x:f>K1069*'管线假设'!E247*'管线假设'!F247*'管线假设'!G247*IF(E1069="USD",'管线假设'!I247,1)-AM1069</x:f>
        <x:v>1.2951552</x:v>
      </x:c>
      <x:c r="M1069" s="11" t="n">
        <x:f>'管线假设'!H247</x:f>
        <x:v>0.125</x:v>
      </x:c>
      <x:c r="N1069" s="11" t="n">
        <x:f>IF(G1069,L1069*AN1069/(1+M1069)^F1069,0)</x:f>
        <x:v>0.6997940273094907</x:v>
      </x:c>
      <x:c r="AJ1069" t="n">
        <x:v>0</x:v>
      </x:c>
      <x:c r="AK1069" t="n">
        <x:v>0</x:v>
      </x:c>
      <x:c r="AL1069" t="n">
        <x:v>0</x:v>
      </x:c>
      <x:c r="AM1069" t="n">
        <x:f>CHOOSE('假设'!$B$3,AJ1069,AK1069,AL1069)</x:f>
        <x:v>0</x:v>
      </x:c>
      <x:c r="AN1069" t="n">
        <x:v>1</x:v>
      </x:c>
    </x:row>
    <x:row r="1070" ht="23" customHeight="1">
      <x:c r="A1070" s="11" t="str">
        <x:v>688192.SH</x:v>
      </x:c>
      <x:c r="B1070" s="11" t="str">
        <x:v>三年</x:v>
      </x:c>
      <x:c r="C1070" s="11" t="str">
        <x:v>bire_dlbcl</x:v>
      </x:c>
      <x:c r="D1070" s="11" t="str">
        <x:v>2035-12-31</x:v>
      </x:c>
      <x:c r="E1070" s="11" t="str">
        <x:v>USD</x:v>
      </x:c>
      <x:c r="F1070" s="11" t="n">
        <x:v>6.225872689938399</x:v>
      </x:c>
      <x:c r="G1070" s="26" t="b">
        <x:v>1</x:v>
      </x:c>
      <x:c r="H1070" s="16" t="n">
        <x:v>0.3</x:v>
      </x:c>
      <x:c r="I1070" s="16" t="n">
        <x:v>1.5</x:v>
      </x:c>
      <x:c r="J1070" s="16" t="n">
        <x:v>2.992</x:v>
      </x:c>
      <x:c r="K1070" s="11" t="n">
        <x:f>CHOOSE('假设'!$B$3,H1070,I1070,J1070)</x:f>
        <x:v>1.5</x:v>
      </x:c>
      <x:c r="L1070" s="11" t="n">
        <x:f>K1070*'管线假设'!E247*'管线假设'!F247*'管线假设'!G247*IF(E1070="USD",'管线假设'!I247,1)-AM1070</x:f>
        <x:v>1.6189440000000002</x:v>
      </x:c>
      <x:c r="M1070" s="11" t="n">
        <x:f>'管线假设'!H247</x:f>
        <x:v>0.125</x:v>
      </x:c>
      <x:c r="N1070" s="11" t="n">
        <x:f>IF(G1070,L1070*AN1070/(1+M1070)^F1070,0)</x:f>
        <x:v>0.7776116062716202</x:v>
      </x:c>
      <x:c r="AJ1070" t="n">
        <x:v>0</x:v>
      </x:c>
      <x:c r="AK1070" t="n">
        <x:v>0</x:v>
      </x:c>
      <x:c r="AL1070" t="n">
        <x:v>0</x:v>
      </x:c>
      <x:c r="AM1070" t="n">
        <x:f>CHOOSE('假设'!$B$3,AJ1070,AK1070,AL1070)</x:f>
        <x:v>0</x:v>
      </x:c>
      <x:c r="AN1070" t="n">
        <x:v>1</x:v>
      </x:c>
    </x:row>
    <x:row r="1071" ht="23" customHeight="1">
      <x:c r="A1071" s="11" t="str">
        <x:v>688192.SH</x:v>
      </x:c>
      <x:c r="B1071" s="11" t="str">
        <x:v>三年</x:v>
      </x:c>
      <x:c r="C1071" s="11" t="str">
        <x:v>bire_dlbcl</x:v>
      </x:c>
      <x:c r="D1071" s="11" t="str">
        <x:v>2036-12-31</x:v>
      </x:c>
      <x:c r="E1071" s="11" t="str">
        <x:v>USD</x:v>
      </x:c>
      <x:c r="F1071" s="11" t="n">
        <x:v>7.227926078028747</x:v>
      </x:c>
      <x:c r="G1071" s="26" t="b">
        <x:v>1</x:v>
      </x:c>
      <x:c r="H1071" s="16" t="n">
        <x:v>0.4</x:v>
      </x:c>
      <x:c r="I1071" s="16" t="n">
        <x:v>1.8</x:v>
      </x:c>
      <x:c r="J1071" s="16" t="n">
        <x:v>2.584</x:v>
      </x:c>
      <x:c r="K1071" s="11" t="n">
        <x:f>CHOOSE('假设'!$B$3,H1071,I1071,J1071)</x:f>
        <x:v>1.8</x:v>
      </x:c>
      <x:c r="L1071" s="11" t="n">
        <x:f>K1071*'管线假设'!E247*'管线假设'!F247*'管线假设'!G247*IF(E1071="USD",'管线假设'!I247,1)-AM1071</x:f>
        <x:v>1.9427328</x:v>
      </x:c>
      <x:c r="M1071" s="11" t="n">
        <x:f>'管线假设'!H247</x:f>
        <x:v>0.125</x:v>
      </x:c>
      <x:c r="N1071" s="11" t="n">
        <x:f>IF(G1071,L1071*AN1071/(1+M1071)^F1071,0)</x:f>
        <x:v>0.8292517976695172</x:v>
      </x:c>
      <x:c r="AJ1071" t="n">
        <x:v>0</x:v>
      </x:c>
      <x:c r="AK1071" t="n">
        <x:v>0</x:v>
      </x:c>
      <x:c r="AL1071" t="n">
        <x:v>0</x:v>
      </x:c>
      <x:c r="AM1071" t="n">
        <x:f>CHOOSE('假设'!$B$3,AJ1071,AK1071,AL1071)</x:f>
        <x:v>0</x:v>
      </x:c>
      <x:c r="AN1071" t="n">
        <x:v>1</x:v>
      </x:c>
    </x:row>
    <x:row r="1072" ht="23" customHeight="1">
      <x:c r="A1072" s="11" t="str">
        <x:v>688192.SH</x:v>
      </x:c>
      <x:c r="B1072" s="11" t="str">
        <x:v>三年</x:v>
      </x:c>
      <x:c r="C1072" s="11" t="str">
        <x:v>bire_dlbcl</x:v>
      </x:c>
      <x:c r="D1072" s="11" t="str">
        <x:v>2037-12-31</x:v>
      </x:c>
      <x:c r="E1072" s="11" t="str">
        <x:v>USD</x:v>
      </x:c>
      <x:c r="F1072" s="11" t="n">
        <x:v>8.227241615331964</x:v>
      </x:c>
      <x:c r="G1072" s="26" t="b">
        <x:v>1</x:v>
      </x:c>
      <x:c r="H1072" s="16" t="n">
        <x:v>0.5</x:v>
      </x:c>
      <x:c r="I1072" s="16" t="n">
        <x:v>1.584</x:v>
      </x:c>
      <x:c r="J1072" s="16" t="n">
        <x:v>2.176</x:v>
      </x:c>
      <x:c r="K1072" s="11" t="n">
        <x:f>CHOOSE('假设'!$B$3,H1072,I1072,J1072)</x:f>
        <x:v>1.584</x:v>
      </x:c>
      <x:c r="L1072" s="11" t="n">
        <x:f>K1072*'管线假设'!E247*'管线假设'!F247*'管线假设'!G247*IF(E1072="USD",'管线假设'!I247,1)-AM1072</x:f>
        <x:v>1.709604864</x:v>
      </x:c>
      <x:c r="M1072" s="11" t="n">
        <x:f>'管线假设'!H247</x:f>
        <x:v>0.125</x:v>
      </x:c>
      <x:c r="N1072" s="11" t="n">
        <x:f>IF(G1072,L1072*AN1072/(1+M1072)^F1072,0)</x:f>
        <x:v>0.6487114797299959</x:v>
      </x:c>
      <x:c r="AJ1072" t="n">
        <x:v>0</x:v>
      </x:c>
      <x:c r="AK1072" t="n">
        <x:v>0</x:v>
      </x:c>
      <x:c r="AL1072" t="n">
        <x:v>0</x:v>
      </x:c>
      <x:c r="AM1072" t="n">
        <x:f>CHOOSE('假设'!$B$3,AJ1072,AK1072,AL1072)</x:f>
        <x:v>0</x:v>
      </x:c>
      <x:c r="AN1072" t="n">
        <x:v>1</x:v>
      </x:c>
    </x:row>
    <x:row r="1073" ht="23" customHeight="1">
      <x:c r="A1073" s="11" t="str">
        <x:v>688192.SH</x:v>
      </x:c>
      <x:c r="B1073" s="11" t="str">
        <x:v>三年</x:v>
      </x:c>
      <x:c r="C1073" s="11" t="str">
        <x:v>bire_dlbcl</x:v>
      </x:c>
      <x:c r="D1073" s="11" t="str">
        <x:v>2038-12-31</x:v>
      </x:c>
      <x:c r="E1073" s="11" t="str">
        <x:v>USD</x:v>
      </x:c>
      <x:c r="F1073" s="11" t="n">
        <x:v>9.22655715263518</x:v>
      </x:c>
      <x:c r="G1073" s="26" t="b">
        <x:v>1</x:v>
      </x:c>
      <x:c r="H1073" s="16" t="n">
        <x:v>0.44</x:v>
      </x:c>
      <x:c r="I1073" s="16" t="n">
        <x:v>1.368</x:v>
      </x:c>
      <x:c r="J1073" s="16" t="n">
        <x:v>1.768</x:v>
      </x:c>
      <x:c r="K1073" s="11" t="n">
        <x:f>CHOOSE('假设'!$B$3,H1073,I1073,J1073)</x:f>
        <x:v>1.368</x:v>
      </x:c>
      <x:c r="L1073" s="11" t="n">
        <x:f>K1073*'管线假设'!E247*'管线假设'!F247*'管线假设'!G247*IF(E1073="USD",'管线假设'!I247,1)-AM1073</x:f>
        <x:v>1.476476928</x:v>
      </x:c>
      <x:c r="M1073" s="11" t="n">
        <x:f>'管线假设'!H247</x:f>
        <x:v>0.125</x:v>
      </x:c>
      <x:c r="N1073" s="11" t="n">
        <x:f>IF(G1073,L1073*AN1073/(1+M1073)^F1073,0)</x:f>
        <x:v>0.49804088140222963</x:v>
      </x:c>
      <x:c r="AJ1073" t="n">
        <x:v>0</x:v>
      </x:c>
      <x:c r="AK1073" t="n">
        <x:v>0</x:v>
      </x:c>
      <x:c r="AL1073" t="n">
        <x:v>0</x:v>
      </x:c>
      <x:c r="AM1073" t="n">
        <x:f>CHOOSE('假设'!$B$3,AJ1073,AK1073,AL1073)</x:f>
        <x:v>0</x:v>
      </x:c>
      <x:c r="AN1073" t="n">
        <x:v>1</x:v>
      </x:c>
    </x:row>
    <x:row r="1074" ht="23" customHeight="1">
      <x:c r="A1074" s="11" t="str">
        <x:v>688192.SH</x:v>
      </x:c>
      <x:c r="B1074" s="11" t="str">
        <x:v>三年</x:v>
      </x:c>
      <x:c r="C1074" s="11" t="str">
        <x:v>bire_dlbcl</x:v>
      </x:c>
      <x:c r="D1074" s="11" t="str">
        <x:v>2039-12-31</x:v>
      </x:c>
      <x:c r="E1074" s="11" t="str">
        <x:v>USD</x:v>
      </x:c>
      <x:c r="F1074" s="11" t="n">
        <x:v>10.225872689938399</x:v>
      </x:c>
      <x:c r="G1074" s="26" t="b">
        <x:v>1</x:v>
      </x:c>
      <x:c r="H1074" s="16" t="n">
        <x:v>0.38</x:v>
      </x:c>
      <x:c r="I1074" s="16" t="n">
        <x:v>1.1520000000000001</x:v>
      </x:c>
      <x:c r="J1074" s="16" t="n">
        <x:v>1.36</x:v>
      </x:c>
      <x:c r="K1074" s="11" t="n">
        <x:f>CHOOSE('假设'!$B$3,H1074,I1074,J1074)</x:f>
        <x:v>1.1520000000000001</x:v>
      </x:c>
      <x:c r="L1074" s="11" t="n">
        <x:f>K1074*'管线假设'!E247*'管线假设'!F247*'管线假设'!G247*IF(E1074="USD",'管线假设'!I247,1)-AM1074</x:f>
        <x:v>1.243348992</x:v>
      </x:c>
      <x:c r="M1074" s="11" t="n">
        <x:f>'管线假设'!H247</x:f>
        <x:v>0.125</x:v>
      </x:c>
      <x:c r="N1074" s="11" t="n">
        <x:f>IF(G1074,L1074*AN1074/(1+M1074)^F1074,0)</x:f>
        <x:v>0.3728325869491863</x:v>
      </x:c>
      <x:c r="AJ1074" t="n">
        <x:v>0</x:v>
      </x:c>
      <x:c r="AK1074" t="n">
        <x:v>0</x:v>
      </x:c>
      <x:c r="AL1074" t="n">
        <x:v>0</x:v>
      </x:c>
      <x:c r="AM1074" t="n">
        <x:f>CHOOSE('假设'!$B$3,AJ1074,AK1074,AL1074)</x:f>
        <x:v>0</x:v>
      </x:c>
      <x:c r="AN1074" t="n">
        <x:v>1</x:v>
      </x:c>
    </x:row>
    <x:row r="1075" ht="23" customHeight="1">
      <x:c r="A1075" s="11" t="str">
        <x:v>688192.SH</x:v>
      </x:c>
      <x:c r="B1075" s="11" t="str">
        <x:v>三年</x:v>
      </x:c>
      <x:c r="C1075" s="11" t="str">
        <x:v>bire_dlbcl</x:v>
      </x:c>
      <x:c r="D1075" s="11" t="str">
        <x:v>2040-12-31</x:v>
      </x:c>
      <x:c r="E1075" s="11" t="str">
        <x:v>USD</x:v>
      </x:c>
      <x:c r="F1075" s="11" t="n">
        <x:v>11.227926078028748</x:v>
      </x:c>
      <x:c r="G1075" s="26" t="b">
        <x:v>1</x:v>
      </x:c>
      <x:c r="H1075" s="16" t="n">
        <x:v>0.32</x:v>
      </x:c>
      <x:c r="I1075" s="16" t="n">
        <x:v>0.936</x:v>
      </x:c>
      <x:c r="J1075" s="16" t="n">
        <x:v>0.9520000000000001</x:v>
      </x:c>
      <x:c r="K1075" s="11" t="n">
        <x:f>CHOOSE('假设'!$B$3,H1075,I1075,J1075)</x:f>
        <x:v>0.936</x:v>
      </x:c>
      <x:c r="L1075" s="11" t="n">
        <x:f>K1075*'管线假设'!E247*'管线假设'!F247*'管线假设'!G247*IF(E1075="USD",'管线假设'!I247,1)-AM1075</x:f>
        <x:v>1.010221056</x:v>
      </x:c>
      <x:c r="M1075" s="11" t="n">
        <x:f>'管线假设'!H247</x:f>
        <x:v>0.125</x:v>
      </x:c>
      <x:c r="N1075" s="11" t="n">
        <x:f>IF(G1075,L1075*AN1075/(1+M1075)^F1075,0)</x:f>
        <x:v>0.2692028637238619</x:v>
      </x:c>
      <x:c r="AJ1075" t="n">
        <x:v>0</x:v>
      </x:c>
      <x:c r="AK1075" t="n">
        <x:v>0</x:v>
      </x:c>
      <x:c r="AL1075" t="n">
        <x:v>0</x:v>
      </x:c>
      <x:c r="AM1075" t="n">
        <x:f>CHOOSE('假设'!$B$3,AJ1075,AK1075,AL1075)</x:f>
        <x:v>0</x:v>
      </x:c>
      <x:c r="AN1075" t="n">
        <x:v>1</x:v>
      </x:c>
    </x:row>
    <x:row r="1076" ht="23" customHeight="1">
      <x:c r="A1076" s="11" t="str">
        <x:v>688192.SH</x:v>
      </x:c>
      <x:c r="B1076" s="11" t="str">
        <x:v>三年</x:v>
      </x:c>
      <x:c r="C1076" s="11" t="str">
        <x:v>bire_dlbcl</x:v>
      </x:c>
      <x:c r="D1076" s="11" t="str">
        <x:v>2041-12-31</x:v>
      </x:c>
      <x:c r="E1076" s="11" t="str">
        <x:v>USD</x:v>
      </x:c>
      <x:c r="F1076" s="11" t="n">
        <x:v>12.227241615331964</x:v>
      </x:c>
      <x:c r="G1076" s="26" t="b">
        <x:v>1</x:v>
      </x:c>
      <x:c r="H1076" s="16" t="n">
        <x:v>0.26</x:v>
      </x:c>
      <x:c r="I1076" s="16" t="n">
        <x:v>0.7200000000000001</x:v>
      </x:c>
      <x:c r="J1076" s="16" t="n">
        <x:v>0.544</x:v>
      </x:c>
      <x:c r="K1076" s="11" t="n">
        <x:f>CHOOSE('假设'!$B$3,H1076,I1076,J1076)</x:f>
        <x:v>0.7200000000000001</x:v>
      </x:c>
      <x:c r="L1076" s="11" t="n">
        <x:f>K1076*'管线假设'!E247*'管线假设'!F247*'管线假设'!G247*IF(E1076="USD",'管线假设'!I247,1)-AM1076</x:f>
        <x:v>0.7770931200000001</x:v>
      </x:c>
      <x:c r="M1076" s="11" t="n">
        <x:f>'管线假设'!H247</x:f>
        <x:v>0.125</x:v>
      </x:c>
      <x:c r="N1076" s="11" t="n">
        <x:f>IF(G1076,L1076*AN1076/(1+M1076)^F1076,0)</x:f>
        <x:v>0.1840851741678835</x:v>
      </x:c>
      <x:c r="AJ1076" t="n">
        <x:v>0</x:v>
      </x:c>
      <x:c r="AK1076" t="n">
        <x:v>0</x:v>
      </x:c>
      <x:c r="AL1076" t="n">
        <x:v>0</x:v>
      </x:c>
      <x:c r="AM1076" t="n">
        <x:f>CHOOSE('假设'!$B$3,AJ1076,AK1076,AL1076)</x:f>
        <x:v>0</x:v>
      </x:c>
      <x:c r="AN1076" t="n">
        <x:v>1</x:v>
      </x:c>
    </x:row>
    <x:row r="1077" ht="23" customHeight="1">
      <x:c r="A1077" s="11" t="str">
        <x:v>688192.SH</x:v>
      </x:c>
      <x:c r="B1077" s="11" t="str">
        <x:v>三年</x:v>
      </x:c>
      <x:c r="C1077" s="11" t="str">
        <x:v>bire_dlbcl</x:v>
      </x:c>
      <x:c r="D1077" s="11" t="str">
        <x:v>2042-12-31</x:v>
      </x:c>
      <x:c r="E1077" s="11" t="str">
        <x:v>USD</x:v>
      </x:c>
      <x:c r="F1077" s="11" t="n">
        <x:v>13.22655715263518</x:v>
      </x:c>
      <x:c r="G1077" s="26" t="b">
        <x:v>1</x:v>
      </x:c>
      <x:c r="H1077" s="16" t="n">
        <x:v>0.2</x:v>
      </x:c>
      <x:c r="I1077" s="16" t="n">
        <x:v>0.5040000000000001</x:v>
      </x:c>
      <x:c r="J1077" s="16" t="n">
        <x:v>0.13600000000000012</x:v>
      </x:c>
      <x:c r="K1077" s="11" t="n">
        <x:f>CHOOSE('假设'!$B$3,H1077,I1077,J1077)</x:f>
        <x:v>0.5040000000000001</x:v>
      </x:c>
      <x:c r="L1077" s="11" t="n">
        <x:f>K1077*'管线假设'!E247*'管线假设'!F247*'管线假设'!G247*IF(E1077="USD",'管线假设'!I247,1)-AM1077</x:f>
        <x:v>0.5439651840000002</x:v>
      </x:c>
      <x:c r="M1077" s="11" t="n">
        <x:f>'管线假设'!H247</x:f>
        <x:v>0.125</x:v>
      </x:c>
      <x:c r="N1077" s="11" t="n">
        <x:f>IF(G1077,L1077*AN1077/(1+M1077)^F1077,0)</x:f>
        <x:v>0.11455112066970481</x:v>
      </x:c>
      <x:c r="AJ1077" t="n">
        <x:v>0</x:v>
      </x:c>
      <x:c r="AK1077" t="n">
        <x:v>0</x:v>
      </x:c>
      <x:c r="AL1077" t="n">
        <x:v>0</x:v>
      </x:c>
      <x:c r="AM1077" t="n">
        <x:f>CHOOSE('假设'!$B$3,AJ1077,AK1077,AL1077)</x:f>
        <x:v>0</x:v>
      </x:c>
      <x:c r="AN1077" t="n">
        <x:v>1</x:v>
      </x:c>
    </x:row>
    <x:row r="1078" ht="23" customHeight="1">
      <x:c r="A1078" s="11" t="str">
        <x:v>688192.SH</x:v>
      </x:c>
      <x:c r="B1078" s="11" t="str">
        <x:v>三年</x:v>
      </x:c>
      <x:c r="C1078" s="11" t="str">
        <x:v>bire_dlbcl</x:v>
      </x:c>
      <x:c r="D1078" s="11" t="str">
        <x:v>2043-12-31</x:v>
      </x:c>
      <x:c r="E1078" s="11" t="str">
        <x:v>USD</x:v>
      </x:c>
      <x:c r="F1078" s="11" t="n">
        <x:v>14.225872689938399</x:v>
      </x:c>
      <x:c r="G1078" s="26" t="b">
        <x:v>1</x:v>
      </x:c>
      <x:c r="H1078" s="16" t="n">
        <x:v>0.14</x:v>
      </x:c>
      <x:c r="I1078" s="16" t="n">
        <x:v>0.2880000000000001</x:v>
      </x:c>
      <x:c r="J1078" s="16" t="n">
        <x:v>0</x:v>
      </x:c>
      <x:c r="K1078" s="11" t="n">
        <x:f>CHOOSE('假设'!$B$3,H1078,I1078,J1078)</x:f>
        <x:v>0.2880000000000001</x:v>
      </x:c>
      <x:c r="L1078" s="11" t="n">
        <x:f>K1078*'管线假设'!E247*'管线假设'!F247*'管线假设'!G247*IF(E1078="USD",'管线假设'!I247,1)-AM1078</x:f>
        <x:v>0.31083724800000007</x:v>
      </x:c>
      <x:c r="M1078" s="11" t="n">
        <x:f>'管线假设'!H247</x:f>
        <x:v>0.125</x:v>
      </x:c>
      <x:c r="N1078" s="11" t="n">
        <x:f>IF(G1078,L1078*AN1078/(1+M1078)^F1078,0)</x:f>
        <x:v>0.058189387141589215</x:v>
      </x:c>
      <x:c r="AJ1078" t="n">
        <x:v>0</x:v>
      </x:c>
      <x:c r="AK1078" t="n">
        <x:v>0</x:v>
      </x:c>
      <x:c r="AL1078" t="n">
        <x:v>0</x:v>
      </x:c>
      <x:c r="AM1078" t="n">
        <x:f>CHOOSE('假设'!$B$3,AJ1078,AK1078,AL1078)</x:f>
        <x:v>0</x:v>
      </x:c>
      <x:c r="AN1078" t="n">
        <x:v>1</x:v>
      </x:c>
    </x:row>
    <x:row r="1079" ht="23" customHeight="1">
      <x:c r="A1079" s="11" t="str">
        <x:v>688192.SH</x:v>
      </x:c>
      <x:c r="B1079" s="11" t="str">
        <x:v>三年</x:v>
      </x:c>
      <x:c r="C1079" s="11" t="str">
        <x:v>bire_dlbcl</x:v>
      </x:c>
      <x:c r="D1079" s="11" t="str">
        <x:v>2044-12-31</x:v>
      </x:c>
      <x:c r="E1079" s="11" t="str">
        <x:v>USD</x:v>
      </x:c>
      <x:c r="F1079" s="11" t="n">
        <x:v>15.227926078028748</x:v>
      </x:c>
      <x:c r="G1079" s="26" t="b">
        <x:v>1</x:v>
      </x:c>
      <x:c r="H1079" s="16" t="n">
        <x:v>0.08000000000000002</x:v>
      </x:c>
      <x:c r="I1079" s="16" t="n">
        <x:v>0.07200000000000006</x:v>
      </x:c>
      <x:c r="J1079" s="16" t="n">
        <x:v>0</x:v>
      </x:c>
      <x:c r="K1079" s="11" t="n">
        <x:f>CHOOSE('假设'!$B$3,H1079,I1079,J1079)</x:f>
        <x:v>0.07200000000000006</x:v>
      </x:c>
      <x:c r="L1079" s="11" t="n">
        <x:f>K1079*'管线假设'!E247*'管线假设'!F247*'管线假设'!G247*IF(E1079="USD",'管线假设'!I247,1)-AM1079</x:f>
        <x:v>0.07770931200000006</x:v>
      </x:c>
      <x:c r="M1079" s="11" t="n">
        <x:f>'管线假设'!H247</x:f>
        <x:v>0.125</x:v>
      </x:c>
      <x:c r="N1079" s="11" t="n">
        <x:f>IF(G1079,L1079*AN1079/(1+M1079)^F1079,0)</x:f>
        <x:v>0.012927847886848148</x:v>
      </x:c>
      <x:c r="AJ1079" t="n">
        <x:v>0</x:v>
      </x:c>
      <x:c r="AK1079" t="n">
        <x:v>0</x:v>
      </x:c>
      <x:c r="AL1079" t="n">
        <x:v>0</x:v>
      </x:c>
      <x:c r="AM1079" t="n">
        <x:f>CHOOSE('假设'!$B$3,AJ1079,AK1079,AL1079)</x:f>
        <x:v>0</x:v>
      </x:c>
      <x:c r="AN1079" t="n">
        <x:v>1</x:v>
      </x:c>
    </x:row>
    <x:row r="1080" ht="23" customHeight="1">
      <x:c r="A1080" s="11" t="str">
        <x:v>688192.SH</x:v>
      </x:c>
      <x:c r="B1080" s="11" t="str">
        <x:v>三年</x:v>
      </x:c>
      <x:c r="C1080" s="11" t="str">
        <x:v>bire_dlbcl</x:v>
      </x:c>
      <x:c r="D1080" s="11" t="str">
        <x:v>2045-12-31</x:v>
      </x:c>
      <x:c r="E1080" s="11" t="str">
        <x:v>USD</x:v>
      </x:c>
      <x:c r="F1080" s="11" t="n">
        <x:v>16.227241615331966</x:v>
      </x:c>
      <x:c r="G1080" s="26" t="b">
        <x:v>1</x:v>
      </x:c>
      <x:c r="H1080" s="16" t="n">
        <x:v>0.020000000000000018</x:v>
      </x:c>
      <x:c r="I1080" s="16" t="n">
        <x:v>0</x:v>
      </x:c>
      <x:c r="J1080" s="16" t="n">
        <x:v>0</x:v>
      </x:c>
      <x:c r="K1080" s="11" t="n">
        <x:f>CHOOSE('假设'!$B$3,H1080,I1080,J1080)</x:f>
        <x:v>0</x:v>
      </x:c>
      <x:c r="L1080" s="11" t="n">
        <x:f>K1080*'管线假设'!E247*'管线假设'!F247*'管线假设'!G247*IF(E1080="USD",'管线假设'!I247,1)-AM1080</x:f>
        <x:v>0</x:v>
      </x:c>
      <x:c r="M1080" s="11" t="n">
        <x:f>'管线假设'!H247</x:f>
        <x:v>0.125</x:v>
      </x:c>
      <x:c r="N1080" s="11" t="n">
        <x:f>IF(G1080,L1080*AN1080/(1+M1080)^F1080,0)</x:f>
        <x:v>0</x:v>
      </x:c>
      <x:c r="AJ1080" t="n">
        <x:v>0</x:v>
      </x:c>
      <x:c r="AK1080" t="n">
        <x:v>0</x:v>
      </x:c>
      <x:c r="AL1080" t="n">
        <x:v>0</x:v>
      </x:c>
      <x:c r="AM1080" t="n">
        <x:f>CHOOSE('假设'!$B$3,AJ1080,AK1080,AL1080)</x:f>
        <x:v>0</x:v>
      </x:c>
      <x:c r="AN1080" t="n">
        <x:v>1</x:v>
      </x:c>
    </x:row>
    <x:row r="1081" ht="23" customHeight="1">
      <x:c r="A1081" s="11" t="str">
        <x:v>688192.SH</x:v>
      </x:c>
      <x:c r="B1081" s="11" t="str">
        <x:v>三年</x:v>
      </x:c>
      <x:c r="C1081" s="11" t="str">
        <x:v>dzd6008</x:v>
      </x:c>
      <x:c r="D1081" s="11" t="str">
        <x:v>2027-12-31</x:v>
      </x:c>
      <x:c r="E1081" s="11" t="str">
        <x:v>USD</x:v>
      </x:c>
      <x:c r="F1081" s="11" t="n">
        <x:v>-1.7741273100616017</x:v>
      </x:c>
      <x:c r="G1081" s="26" t="b">
        <x:v>0</x:v>
      </x:c>
      <x:c r="H1081" s="16" t="n">
        <x:v>0</x:v>
      </x:c>
      <x:c r="I1081" s="16" t="n">
        <x:v>0</x:v>
      </x:c>
      <x:c r="J1081" s="16" t="n">
        <x:v>0</x:v>
      </x:c>
      <x:c r="K1081" s="11" t="n">
        <x:f>CHOOSE('假设'!$B$3,H1081,I1081,J1081)</x:f>
        <x:v>0</x:v>
      </x:c>
      <x:c r="L1081" s="11" t="n">
        <x:f>K1081*'管线假设'!E251*'管线假设'!F251*'管线假设'!G251*IF(E1081="USD",'管线假设'!I251,1)-AM1081</x:f>
        <x:v>0</x:v>
      </x:c>
      <x:c r="M1081" s="11" t="n">
        <x:f>'管线假设'!H251</x:f>
        <x:v>0.125</x:v>
      </x:c>
      <x:c r="N1081" s="11" t="n">
        <x:f>IF(G1081,L1081*AN1081/(1+M1081)^F1081,0)</x:f>
        <x:v>0</x:v>
      </x:c>
      <x:c r="AJ1081" t="n">
        <x:v>0</x:v>
      </x:c>
      <x:c r="AK1081" t="n">
        <x:v>0</x:v>
      </x:c>
      <x:c r="AL1081" t="n">
        <x:v>0</x:v>
      </x:c>
      <x:c r="AM1081" t="n">
        <x:f>CHOOSE('假设'!$B$3,AJ1081,AK1081,AL1081)</x:f>
        <x:v>0</x:v>
      </x:c>
      <x:c r="AN1081" t="n">
        <x:v>1</x:v>
      </x:c>
    </x:row>
    <x:row r="1082" ht="23" customHeight="1">
      <x:c r="A1082" s="11" t="str">
        <x:v>688192.SH</x:v>
      </x:c>
      <x:c r="B1082" s="11" t="str">
        <x:v>三年</x:v>
      </x:c>
      <x:c r="C1082" s="11" t="str">
        <x:v>dzd6008</x:v>
      </x:c>
      <x:c r="D1082" s="11" t="str">
        <x:v>2028-12-31</x:v>
      </x:c>
      <x:c r="E1082" s="11" t="str">
        <x:v>USD</x:v>
      </x:c>
      <x:c r="F1082" s="11" t="n">
        <x:v>-0.7720739219712526</x:v>
      </x:c>
      <x:c r="G1082" s="26" t="b">
        <x:v>0</x:v>
      </x:c>
      <x:c r="H1082" s="16" t="n">
        <x:v>0</x:v>
      </x:c>
      <x:c r="I1082" s="16" t="n">
        <x:v>0</x:v>
      </x:c>
      <x:c r="J1082" s="16" t="n">
        <x:v>0</x:v>
      </x:c>
      <x:c r="K1082" s="11" t="n">
        <x:f>CHOOSE('假设'!$B$3,H1082,I1082,J1082)</x:f>
        <x:v>0</x:v>
      </x:c>
      <x:c r="L1082" s="11" t="n">
        <x:f>K1082*'管线假设'!E251*'管线假设'!F251*'管线假设'!G251*IF(E1082="USD",'管线假设'!I251,1)-AM1082</x:f>
        <x:v>0</x:v>
      </x:c>
      <x:c r="M1082" s="11" t="n">
        <x:f>'管线假设'!H251</x:f>
        <x:v>0.125</x:v>
      </x:c>
      <x:c r="N1082" s="11" t="n">
        <x:f>IF(G1082,L1082*AN1082/(1+M1082)^F1082,0)</x:f>
        <x:v>0</x:v>
      </x:c>
      <x:c r="AJ1082" t="n">
        <x:v>0</x:v>
      </x:c>
      <x:c r="AK1082" t="n">
        <x:v>0</x:v>
      </x:c>
      <x:c r="AL1082" t="n">
        <x:v>0</x:v>
      </x:c>
      <x:c r="AM1082" t="n">
        <x:f>CHOOSE('假设'!$B$3,AJ1082,AK1082,AL1082)</x:f>
        <x:v>0</x:v>
      </x:c>
      <x:c r="AN1082" t="n">
        <x:v>1</x:v>
      </x:c>
    </x:row>
    <x:row r="1083" ht="23" customHeight="1">
      <x:c r="A1083" s="11" t="str">
        <x:v>688192.SH</x:v>
      </x:c>
      <x:c r="B1083" s="11" t="str">
        <x:v>三年</x:v>
      </x:c>
      <x:c r="C1083" s="11" t="str">
        <x:v>dzd6008</x:v>
      </x:c>
      <x:c r="D1083" s="11" t="str">
        <x:v>2029-12-31</x:v>
      </x:c>
      <x:c r="E1083" s="11" t="str">
        <x:v>USD</x:v>
      </x:c>
      <x:c r="F1083" s="11" t="n">
        <x:v>0.2272416153319644</x:v>
      </x:c>
      <x:c r="G1083" s="26" t="b">
        <x:v>1</x:v>
      </x:c>
      <x:c r="H1083" s="16" t="n">
        <x:v>0</x:v>
      </x:c>
      <x:c r="I1083" s="16" t="n">
        <x:v>0</x:v>
      </x:c>
      <x:c r="J1083" s="16" t="n">
        <x:v>0.75</x:v>
      </x:c>
      <x:c r="K1083" s="11" t="n">
        <x:f>CHOOSE('假设'!$B$3,H1083,I1083,J1083)</x:f>
        <x:v>0</x:v>
      </x:c>
      <x:c r="L1083" s="11" t="n">
        <x:f>K1083*'管线假设'!E251*'管线假设'!F251*'管线假设'!G251*IF(E1083="USD",'管线假设'!I251,1)-AM1083</x:f>
        <x:v>0</x:v>
      </x:c>
      <x:c r="M1083" s="11" t="n">
        <x:f>'管线假设'!H251</x:f>
        <x:v>0.125</x:v>
      </x:c>
      <x:c r="N1083" s="11" t="n">
        <x:f>IF(G1083,L1083*AN1083/(1+M1083)^F1083,0)</x:f>
        <x:v>0</x:v>
      </x:c>
      <x:c r="AJ1083" t="n">
        <x:v>0</x:v>
      </x:c>
      <x:c r="AK1083" t="n">
        <x:v>0</x:v>
      </x:c>
      <x:c r="AL1083" t="n">
        <x:v>0</x:v>
      </x:c>
      <x:c r="AM1083" t="n">
        <x:f>CHOOSE('假设'!$B$3,AJ1083,AK1083,AL1083)</x:f>
        <x:v>0</x:v>
      </x:c>
      <x:c r="AN1083" t="n">
        <x:v>1</x:v>
      </x:c>
    </x:row>
    <x:row r="1084" ht="23" customHeight="1">
      <x:c r="A1084" s="11" t="str">
        <x:v>688192.SH</x:v>
      </x:c>
      <x:c r="B1084" s="11" t="str">
        <x:v>三年</x:v>
      </x:c>
      <x:c r="C1084" s="11" t="str">
        <x:v>dzd6008</x:v>
      </x:c>
      <x:c r="D1084" s="11" t="str">
        <x:v>2030-12-31</x:v>
      </x:c>
      <x:c r="E1084" s="11" t="str">
        <x:v>USD</x:v>
      </x:c>
      <x:c r="F1084" s="11" t="n">
        <x:v>1.2265571526351813</x:v>
      </x:c>
      <x:c r="G1084" s="26" t="b">
        <x:v>1</x:v>
      </x:c>
      <x:c r="H1084" s="16" t="n">
        <x:v>0</x:v>
      </x:c>
      <x:c r="I1084" s="16" t="n">
        <x:v>0</x:v>
      </x:c>
      <x:c r="J1084" s="16" t="n">
        <x:v>1.5</x:v>
      </x:c>
      <x:c r="K1084" s="11" t="n">
        <x:f>CHOOSE('假设'!$B$3,H1084,I1084,J1084)</x:f>
        <x:v>0</x:v>
      </x:c>
      <x:c r="L1084" s="11" t="n">
        <x:f>K1084*'管线假设'!E251*'管线假设'!F251*'管线假设'!G251*IF(E1084="USD",'管线假设'!I251,1)-AM1084</x:f>
        <x:v>0</x:v>
      </x:c>
      <x:c r="M1084" s="11" t="n">
        <x:f>'管线假设'!H251</x:f>
        <x:v>0.125</x:v>
      </x:c>
      <x:c r="N1084" s="11" t="n">
        <x:f>IF(G1084,L1084*AN1084/(1+M1084)^F1084,0)</x:f>
        <x:v>0</x:v>
      </x:c>
      <x:c r="AJ1084" t="n">
        <x:v>0</x:v>
      </x:c>
      <x:c r="AK1084" t="n">
        <x:v>0</x:v>
      </x:c>
      <x:c r="AL1084" t="n">
        <x:v>0</x:v>
      </x:c>
      <x:c r="AM1084" t="n">
        <x:f>CHOOSE('假设'!$B$3,AJ1084,AK1084,AL1084)</x:f>
        <x:v>0</x:v>
      </x:c>
      <x:c r="AN1084" t="n">
        <x:v>1</x:v>
      </x:c>
    </x:row>
    <x:row r="1085" ht="23" customHeight="1">
      <x:c r="A1085" s="11" t="str">
        <x:v>688192.SH</x:v>
      </x:c>
      <x:c r="B1085" s="11" t="str">
        <x:v>三年</x:v>
      </x:c>
      <x:c r="C1085" s="11" t="str">
        <x:v>dzd6008</x:v>
      </x:c>
      <x:c r="D1085" s="11" t="str">
        <x:v>2031-12-31</x:v>
      </x:c>
      <x:c r="E1085" s="11" t="str">
        <x:v>USD</x:v>
      </x:c>
      <x:c r="F1085" s="11" t="n">
        <x:v>2.2258726899383983</x:v>
      </x:c>
      <x:c r="G1085" s="26" t="b">
        <x:v>1</x:v>
      </x:c>
      <x:c r="H1085" s="16" t="n">
        <x:v>0</x:v>
      </x:c>
      <x:c r="I1085" s="16" t="n">
        <x:v>0.41666666666666663</x:v>
      </x:c>
      <x:c r="J1085" s="16" t="n">
        <x:v>2.25</x:v>
      </x:c>
      <x:c r="K1085" s="11" t="n">
        <x:f>CHOOSE('假设'!$B$3,H1085,I1085,J1085)</x:f>
        <x:v>0.41666666666666663</x:v>
      </x:c>
      <x:c r="L1085" s="11" t="n">
        <x:f>K1085*'管线假设'!E251*'管线假设'!F251*'管线假设'!G251*IF(E1085="USD",'管线假设'!I251,1)-AM1085</x:f>
        <x:v>0.4497066666666666</x:v>
      </x:c>
      <x:c r="M1085" s="11" t="n">
        <x:f>'管线假设'!H251</x:f>
        <x:v>0.125</x:v>
      </x:c>
      <x:c r="N1085" s="11" t="n">
        <x:f>IF(G1085,L1085*AN1085/(1+M1085)^F1085,0)</x:f>
        <x:v>0.34599539854248723</x:v>
      </x:c>
      <x:c r="AJ1085" t="n">
        <x:v>0</x:v>
      </x:c>
      <x:c r="AK1085" t="n">
        <x:v>0</x:v>
      </x:c>
      <x:c r="AL1085" t="n">
        <x:v>0</x:v>
      </x:c>
      <x:c r="AM1085" t="n">
        <x:f>CHOOSE('假设'!$B$3,AJ1085,AK1085,AL1085)</x:f>
        <x:v>0</x:v>
      </x:c>
      <x:c r="AN1085" t="n">
        <x:v>1</x:v>
      </x:c>
    </x:row>
    <x:row r="1086" ht="23" customHeight="1">
      <x:c r="A1086" s="11" t="str">
        <x:v>688192.SH</x:v>
      </x:c>
      <x:c r="B1086" s="11" t="str">
        <x:v>三年</x:v>
      </x:c>
      <x:c r="C1086" s="11" t="str">
        <x:v>dzd6008</x:v>
      </x:c>
      <x:c r="D1086" s="11" t="str">
        <x:v>2032-12-31</x:v>
      </x:c>
      <x:c r="E1086" s="11" t="str">
        <x:v>USD</x:v>
      </x:c>
      <x:c r="F1086" s="11" t="n">
        <x:v>3.2279260780287475</x:v>
      </x:c>
      <x:c r="G1086" s="26" t="b">
        <x:v>1</x:v>
      </x:c>
      <x:c r="H1086" s="16" t="n">
        <x:v>0</x:v>
      </x:c>
      <x:c r="I1086" s="16" t="n">
        <x:v>0.8333333333333333</x:v>
      </x:c>
      <x:c r="J1086" s="16" t="n">
        <x:v>3</x:v>
      </x:c>
      <x:c r="K1086" s="11" t="n">
        <x:f>CHOOSE('假设'!$B$3,H1086,I1086,J1086)</x:f>
        <x:v>0.8333333333333333</x:v>
      </x:c>
      <x:c r="L1086" s="11" t="n">
        <x:f>K1086*'管线假设'!E251*'管线假设'!F251*'管线假设'!G251*IF(E1086="USD",'管线假设'!I251,1)-AM1086</x:f>
        <x:v>0.8994133333333332</x:v>
      </x:c>
      <x:c r="M1086" s="11" t="n">
        <x:f>'管线假设'!H251</x:f>
        <x:v>0.125</x:v>
      </x:c>
      <x:c r="N1086" s="11" t="n">
        <x:f>IF(G1086,L1086*AN1086/(1+M1086)^F1086,0)</x:f>
        <x:v>0.6149541834524311</x:v>
      </x:c>
      <x:c r="AJ1086" t="n">
        <x:v>0</x:v>
      </x:c>
      <x:c r="AK1086" t="n">
        <x:v>0</x:v>
      </x:c>
      <x:c r="AL1086" t="n">
        <x:v>0</x:v>
      </x:c>
      <x:c r="AM1086" t="n">
        <x:f>CHOOSE('假设'!$B$3,AJ1086,AK1086,AL1086)</x:f>
        <x:v>0</x:v>
      </x:c>
      <x:c r="AN1086" t="n">
        <x:v>1</x:v>
      </x:c>
    </x:row>
    <x:row r="1087" ht="23" customHeight="1">
      <x:c r="A1087" s="11" t="str">
        <x:v>688192.SH</x:v>
      </x:c>
      <x:c r="B1087" s="11" t="str">
        <x:v>三年</x:v>
      </x:c>
      <x:c r="C1087" s="11" t="str">
        <x:v>dzd6008</x:v>
      </x:c>
      <x:c r="D1087" s="11" t="str">
        <x:v>2033-12-31</x:v>
      </x:c>
      <x:c r="E1087" s="11" t="str">
        <x:v>USD</x:v>
      </x:c>
      <x:c r="F1087" s="11" t="n">
        <x:v>4.227241615331964</x:v>
      </x:c>
      <x:c r="G1087" s="26" t="b">
        <x:v>1</x:v>
      </x:c>
      <x:c r="H1087" s="16" t="n">
        <x:v>0</x:v>
      </x:c>
      <x:c r="I1087" s="16" t="n">
        <x:v>1.25</x:v>
      </x:c>
      <x:c r="J1087" s="16" t="n">
        <x:v>3.75</x:v>
      </x:c>
      <x:c r="K1087" s="11" t="n">
        <x:f>CHOOSE('假设'!$B$3,H1087,I1087,J1087)</x:f>
        <x:v>1.25</x:v>
      </x:c>
      <x:c r="L1087" s="11" t="n">
        <x:f>K1087*'管线假设'!E251*'管线假设'!F251*'管线假设'!G251*IF(E1087="USD",'管线假设'!I251,1)-AM1087</x:f>
        <x:v>1.3491199999999999</x:v>
      </x:c>
      <x:c r="M1087" s="11" t="n">
        <x:f>'管线假设'!H251</x:f>
        <x:v>0.125</x:v>
      </x:c>
      <x:c r="N1087" s="11" t="n">
        <x:f>IF(G1087,L1087*AN1087/(1+M1087)^F1087,0)</x:f>
        <x:v>0.8200050158468889</x:v>
      </x:c>
      <x:c r="AJ1087" t="n">
        <x:v>0</x:v>
      </x:c>
      <x:c r="AK1087" t="n">
        <x:v>0</x:v>
      </x:c>
      <x:c r="AL1087" t="n">
        <x:v>0</x:v>
      </x:c>
      <x:c r="AM1087" t="n">
        <x:f>CHOOSE('假设'!$B$3,AJ1087,AK1087,AL1087)</x:f>
        <x:v>0</x:v>
      </x:c>
      <x:c r="AN1087" t="n">
        <x:v>1</x:v>
      </x:c>
    </x:row>
    <x:row r="1088" ht="23" customHeight="1">
      <x:c r="A1088" s="11" t="str">
        <x:v>688192.SH</x:v>
      </x:c>
      <x:c r="B1088" s="11" t="str">
        <x:v>三年</x:v>
      </x:c>
      <x:c r="C1088" s="11" t="str">
        <x:v>dzd6008</x:v>
      </x:c>
      <x:c r="D1088" s="11" t="str">
        <x:v>2034-12-31</x:v>
      </x:c>
      <x:c r="E1088" s="11" t="str">
        <x:v>USD</x:v>
      </x:c>
      <x:c r="F1088" s="11" t="n">
        <x:v>5.2265571526351815</x:v>
      </x:c>
      <x:c r="G1088" s="26" t="b">
        <x:v>1</x:v>
      </x:c>
      <x:c r="H1088" s="16" t="n">
        <x:v>0.16000000000000003</x:v>
      </x:c>
      <x:c r="I1088" s="16" t="n">
        <x:v>1.6666666666666665</x:v>
      </x:c>
      <x:c r="J1088" s="16" t="n">
        <x:v>4.5</x:v>
      </x:c>
      <x:c r="K1088" s="11" t="n">
        <x:f>CHOOSE('假设'!$B$3,H1088,I1088,J1088)</x:f>
        <x:v>1.6666666666666665</x:v>
      </x:c>
      <x:c r="L1088" s="11" t="n">
        <x:f>K1088*'管线假设'!E251*'管线假设'!F251*'管线假设'!G251*IF(E1088="USD",'管线假设'!I251,1)-AM1088</x:f>
        <x:v>1.7988266666666664</x:v>
      </x:c>
      <x:c r="M1088" s="11" t="n">
        <x:f>'管线假设'!H251</x:f>
        <x:v>0.125</x:v>
      </x:c>
      <x:c r="N1088" s="11" t="n">
        <x:f>IF(G1088,L1088*AN1088/(1+M1088)^F1088,0)</x:f>
        <x:v>0.9719361490409592</x:v>
      </x:c>
      <x:c r="AJ1088" t="n">
        <x:v>0</x:v>
      </x:c>
      <x:c r="AK1088" t="n">
        <x:v>0</x:v>
      </x:c>
      <x:c r="AL1088" t="n">
        <x:v>0</x:v>
      </x:c>
      <x:c r="AM1088" t="n">
        <x:f>CHOOSE('假设'!$B$3,AJ1088,AK1088,AL1088)</x:f>
        <x:v>0</x:v>
      </x:c>
      <x:c r="AN1088" t="n">
        <x:v>1</x:v>
      </x:c>
    </x:row>
    <x:row r="1089" ht="23" customHeight="1">
      <x:c r="A1089" s="11" t="str">
        <x:v>688192.SH</x:v>
      </x:c>
      <x:c r="B1089" s="11" t="str">
        <x:v>三年</x:v>
      </x:c>
      <x:c r="C1089" s="11" t="str">
        <x:v>dzd6008</x:v>
      </x:c>
      <x:c r="D1089" s="11" t="str">
        <x:v>2035-12-31</x:v>
      </x:c>
      <x:c r="E1089" s="11" t="str">
        <x:v>USD</x:v>
      </x:c>
      <x:c r="F1089" s="11" t="n">
        <x:v>6.225872689938399</x:v>
      </x:c>
      <x:c r="G1089" s="26" t="b">
        <x:v>1</x:v>
      </x:c>
      <x:c r="H1089" s="16" t="n">
        <x:v>0.32000000000000006</x:v>
      </x:c>
      <x:c r="I1089" s="16" t="n">
        <x:v>2.0833333333333335</x:v>
      </x:c>
      <x:c r="J1089" s="16" t="n">
        <x:v>3.96</x:v>
      </x:c>
      <x:c r="K1089" s="11" t="n">
        <x:f>CHOOSE('假设'!$B$3,H1089,I1089,J1089)</x:f>
        <x:v>2.0833333333333335</x:v>
      </x:c>
      <x:c r="L1089" s="11" t="n">
        <x:f>K1089*'管线假设'!E251*'管线假设'!F251*'管线假设'!G251*IF(E1089="USD",'管线假设'!I251,1)-AM1089</x:f>
        <x:v>2.2485333333333335</x:v>
      </x:c>
      <x:c r="M1089" s="11" t="n">
        <x:f>'管线假设'!H251</x:f>
        <x:v>0.125</x:v>
      </x:c>
      <x:c r="N1089" s="11" t="n">
        <x:f>IF(G1089,L1089*AN1089/(1+M1089)^F1089,0)</x:f>
        <x:v>1.0800161198216947</x:v>
      </x:c>
      <x:c r="AJ1089" t="n">
        <x:v>0</x:v>
      </x:c>
      <x:c r="AK1089" t="n">
        <x:v>0</x:v>
      </x:c>
      <x:c r="AL1089" t="n">
        <x:v>0</x:v>
      </x:c>
      <x:c r="AM1089" t="n">
        <x:f>CHOOSE('假设'!$B$3,AJ1089,AK1089,AL1089)</x:f>
        <x:v>0</x:v>
      </x:c>
      <x:c r="AN1089" t="n">
        <x:v>1</x:v>
      </x:c>
    </x:row>
    <x:row r="1090" ht="23" customHeight="1">
      <x:c r="A1090" s="11" t="str">
        <x:v>688192.SH</x:v>
      </x:c>
      <x:c r="B1090" s="11" t="str">
        <x:v>三年</x:v>
      </x:c>
      <x:c r="C1090" s="11" t="str">
        <x:v>dzd6008</x:v>
      </x:c>
      <x:c r="D1090" s="11" t="str">
        <x:v>2036-12-31</x:v>
      </x:c>
      <x:c r="E1090" s="11" t="str">
        <x:v>USD</x:v>
      </x:c>
      <x:c r="F1090" s="11" t="n">
        <x:v>7.227926078028747</x:v>
      </x:c>
      <x:c r="G1090" s="26" t="b">
        <x:v>1</x:v>
      </x:c>
      <x:c r="H1090" s="16" t="n">
        <x:v>0.48</x:v>
      </x:c>
      <x:c r="I1090" s="16" t="n">
        <x:v>2.5</x:v>
      </x:c>
      <x:c r="J1090" s="16" t="n">
        <x:v>3.42</x:v>
      </x:c>
      <x:c r="K1090" s="11" t="n">
        <x:f>CHOOSE('假设'!$B$3,H1090,I1090,J1090)</x:f>
        <x:v>2.5</x:v>
      </x:c>
      <x:c r="L1090" s="11" t="n">
        <x:f>K1090*'管线假设'!E251*'管线假设'!F251*'管线假设'!G251*IF(E1090="USD",'管线假设'!I251,1)-AM1090</x:f>
        <x:v>2.6982399999999997</x:v>
      </x:c>
      <x:c r="M1090" s="11" t="n">
        <x:f>'管线假设'!H251</x:f>
        <x:v>0.125</x:v>
      </x:c>
      <x:c r="N1090" s="11" t="n">
        <x:f>IF(G1090,L1090*AN1090/(1+M1090)^F1090,0)</x:f>
        <x:v>1.1517386078743292</x:v>
      </x:c>
      <x:c r="AJ1090" t="n">
        <x:v>0</x:v>
      </x:c>
      <x:c r="AK1090" t="n">
        <x:v>0</x:v>
      </x:c>
      <x:c r="AL1090" t="n">
        <x:v>0</x:v>
      </x:c>
      <x:c r="AM1090" t="n">
        <x:f>CHOOSE('假设'!$B$3,AJ1090,AK1090,AL1090)</x:f>
        <x:v>0</x:v>
      </x:c>
      <x:c r="AN1090" t="n">
        <x:v>1</x:v>
      </x:c>
    </x:row>
    <x:row r="1091" ht="23" customHeight="1">
      <x:c r="A1091" s="11" t="str">
        <x:v>688192.SH</x:v>
      </x:c>
      <x:c r="B1091" s="11" t="str">
        <x:v>三年</x:v>
      </x:c>
      <x:c r="C1091" s="11" t="str">
        <x:v>dzd6008</x:v>
      </x:c>
      <x:c r="D1091" s="11" t="str">
        <x:v>2037-12-31</x:v>
      </x:c>
      <x:c r="E1091" s="11" t="str">
        <x:v>USD</x:v>
      </x:c>
      <x:c r="F1091" s="11" t="n">
        <x:v>8.227241615331964</x:v>
      </x:c>
      <x:c r="G1091" s="26" t="b">
        <x:v>1</x:v>
      </x:c>
      <x:c r="H1091" s="16" t="n">
        <x:v>0.6400000000000001</x:v>
      </x:c>
      <x:c r="I1091" s="16" t="n">
        <x:v>2.2</x:v>
      </x:c>
      <x:c r="J1091" s="16" t="n">
        <x:v>2.88</x:v>
      </x:c>
      <x:c r="K1091" s="11" t="n">
        <x:f>CHOOSE('假设'!$B$3,H1091,I1091,J1091)</x:f>
        <x:v>2.2</x:v>
      </x:c>
      <x:c r="L1091" s="11" t="n">
        <x:f>K1091*'管线假设'!E251*'管线假设'!F251*'管线假设'!G251*IF(E1091="USD",'管线假设'!I251,1)-AM1091</x:f>
        <x:v>2.3744512</x:v>
      </x:c>
      <x:c r="M1091" s="11" t="n">
        <x:f>'管线假设'!H251</x:f>
        <x:v>0.125</x:v>
      </x:c>
      <x:c r="N1091" s="11" t="n">
        <x:f>IF(G1091,L1091*AN1091/(1+M1091)^F1091,0)</x:f>
        <x:v>0.9009881662916611</x:v>
      </x:c>
      <x:c r="AJ1091" t="n">
        <x:v>0</x:v>
      </x:c>
      <x:c r="AK1091" t="n">
        <x:v>0</x:v>
      </x:c>
      <x:c r="AL1091" t="n">
        <x:v>0</x:v>
      </x:c>
      <x:c r="AM1091" t="n">
        <x:f>CHOOSE('假设'!$B$3,AJ1091,AK1091,AL1091)</x:f>
        <x:v>0</x:v>
      </x:c>
      <x:c r="AN1091" t="n">
        <x:v>1</x:v>
      </x:c>
    </x:row>
    <x:row r="1092" ht="23" customHeight="1">
      <x:c r="A1092" s="11" t="str">
        <x:v>688192.SH</x:v>
      </x:c>
      <x:c r="B1092" s="11" t="str">
        <x:v>三年</x:v>
      </x:c>
      <x:c r="C1092" s="11" t="str">
        <x:v>dzd6008</x:v>
      </x:c>
      <x:c r="D1092" s="11" t="str">
        <x:v>2038-12-31</x:v>
      </x:c>
      <x:c r="E1092" s="11" t="str">
        <x:v>USD</x:v>
      </x:c>
      <x:c r="F1092" s="11" t="n">
        <x:v>9.22655715263518</x:v>
      </x:c>
      <x:c r="G1092" s="26" t="b">
        <x:v>1</x:v>
      </x:c>
      <x:c r="H1092" s="16" t="n">
        <x:v>0.8</x:v>
      </x:c>
      <x:c r="I1092" s="16" t="n">
        <x:v>1.9</x:v>
      </x:c>
      <x:c r="J1092" s="16" t="n">
        <x:v>2.34</x:v>
      </x:c>
      <x:c r="K1092" s="11" t="n">
        <x:f>CHOOSE('假设'!$B$3,H1092,I1092,J1092)</x:f>
        <x:v>1.9</x:v>
      </x:c>
      <x:c r="L1092" s="11" t="n">
        <x:f>K1092*'管线假设'!E251*'管线假设'!F251*'管线假设'!G251*IF(E1092="USD",'管线假设'!I251,1)-AM1092</x:f>
        <x:v>2.0506623999999998</x:v>
      </x:c>
      <x:c r="M1092" s="11" t="n">
        <x:f>'管线假设'!H251</x:f>
        <x:v>0.125</x:v>
      </x:c>
      <x:c r="N1092" s="11" t="n">
        <x:f>IF(G1092,L1092*AN1092/(1+M1092)^F1092,0)</x:f>
        <x:v>0.6917234463919855</x:v>
      </x:c>
      <x:c r="AJ1092" t="n">
        <x:v>0</x:v>
      </x:c>
      <x:c r="AK1092" t="n">
        <x:v>0</x:v>
      </x:c>
      <x:c r="AL1092" t="n">
        <x:v>0</x:v>
      </x:c>
      <x:c r="AM1092" t="n">
        <x:f>CHOOSE('假设'!$B$3,AJ1092,AK1092,AL1092)</x:f>
        <x:v>0</x:v>
      </x:c>
      <x:c r="AN1092" t="n">
        <x:v>1</x:v>
      </x:c>
    </x:row>
    <x:row r="1093" ht="23" customHeight="1">
      <x:c r="A1093" s="11" t="str">
        <x:v>688192.SH</x:v>
      </x:c>
      <x:c r="B1093" s="11" t="str">
        <x:v>三年</x:v>
      </x:c>
      <x:c r="C1093" s="11" t="str">
        <x:v>dzd6008</x:v>
      </x:c>
      <x:c r="D1093" s="11" t="str">
        <x:v>2039-12-31</x:v>
      </x:c>
      <x:c r="E1093" s="11" t="str">
        <x:v>USD</x:v>
      </x:c>
      <x:c r="F1093" s="11" t="n">
        <x:v>10.225872689938399</x:v>
      </x:c>
      <x:c r="G1093" s="26" t="b">
        <x:v>1</x:v>
      </x:c>
      <x:c r="H1093" s="16" t="n">
        <x:v>0.7040000000000001</x:v>
      </x:c>
      <x:c r="I1093" s="16" t="n">
        <x:v>1.6</x:v>
      </x:c>
      <x:c r="J1093" s="16" t="n">
        <x:v>1.8</x:v>
      </x:c>
      <x:c r="K1093" s="11" t="n">
        <x:f>CHOOSE('假设'!$B$3,H1093,I1093,J1093)</x:f>
        <x:v>1.6</x:v>
      </x:c>
      <x:c r="L1093" s="11" t="n">
        <x:f>K1093*'管线假设'!E251*'管线假设'!F251*'管线假设'!G251*IF(E1093="USD",'管线假设'!I251,1)-AM1093</x:f>
        <x:v>1.7268736</x:v>
      </x:c>
      <x:c r="M1093" s="11" t="n">
        <x:f>'管线假设'!H251</x:f>
        <x:v>0.125</x:v>
      </x:c>
      <x:c r="N1093" s="11" t="n">
        <x:f>IF(G1093,L1093*AN1093/(1+M1093)^F1093,0)</x:f>
        <x:v>0.5178230374294254</x:v>
      </x:c>
      <x:c r="AJ1093" t="n">
        <x:v>0</x:v>
      </x:c>
      <x:c r="AK1093" t="n">
        <x:v>0</x:v>
      </x:c>
      <x:c r="AL1093" t="n">
        <x:v>0</x:v>
      </x:c>
      <x:c r="AM1093" t="n">
        <x:f>CHOOSE('假设'!$B$3,AJ1093,AK1093,AL1093)</x:f>
        <x:v>0</x:v>
      </x:c>
      <x:c r="AN1093" t="n">
        <x:v>1</x:v>
      </x:c>
    </x:row>
    <x:row r="1094" ht="23" customHeight="1">
      <x:c r="A1094" s="11" t="str">
        <x:v>688192.SH</x:v>
      </x:c>
      <x:c r="B1094" s="11" t="str">
        <x:v>三年</x:v>
      </x:c>
      <x:c r="C1094" s="11" t="str">
        <x:v>dzd6008</x:v>
      </x:c>
      <x:c r="D1094" s="11" t="str">
        <x:v>2040-12-31</x:v>
      </x:c>
      <x:c r="E1094" s="11" t="str">
        <x:v>USD</x:v>
      </x:c>
      <x:c r="F1094" s="11" t="n">
        <x:v>11.227926078028748</x:v>
      </x:c>
      <x:c r="G1094" s="26" t="b">
        <x:v>1</x:v>
      </x:c>
      <x:c r="H1094" s="16" t="n">
        <x:v>0.6080000000000001</x:v>
      </x:c>
      <x:c r="I1094" s="16" t="n">
        <x:v>1.3</x:v>
      </x:c>
      <x:c r="J1094" s="16" t="n">
        <x:v>1.2600000000000002</x:v>
      </x:c>
      <x:c r="K1094" s="11" t="n">
        <x:f>CHOOSE('假设'!$B$3,H1094,I1094,J1094)</x:f>
        <x:v>1.3</x:v>
      </x:c>
      <x:c r="L1094" s="11" t="n">
        <x:f>K1094*'管线假设'!E251*'管线假设'!F251*'管线假设'!G251*IF(E1094="USD",'管线假设'!I251,1)-AM1094</x:f>
        <x:v>1.4030848</x:v>
      </x:c>
      <x:c r="M1094" s="11" t="n">
        <x:f>'管线假设'!H251</x:f>
        <x:v>0.125</x:v>
      </x:c>
      <x:c r="N1094" s="11" t="n">
        <x:f>IF(G1094,L1094*AN1094/(1+M1094)^F1094,0)</x:f>
        <x:v>0.3738928662831415</x:v>
      </x:c>
      <x:c r="AJ1094" t="n">
        <x:v>0</x:v>
      </x:c>
      <x:c r="AK1094" t="n">
        <x:v>0</x:v>
      </x:c>
      <x:c r="AL1094" t="n">
        <x:v>0</x:v>
      </x:c>
      <x:c r="AM1094" t="n">
        <x:f>CHOOSE('假设'!$B$3,AJ1094,AK1094,AL1094)</x:f>
        <x:v>0</x:v>
      </x:c>
      <x:c r="AN1094" t="n">
        <x:v>1</x:v>
      </x:c>
    </x:row>
    <x:row r="1095" ht="23" customHeight="1">
      <x:c r="A1095" s="11" t="str">
        <x:v>688192.SH</x:v>
      </x:c>
      <x:c r="B1095" s="11" t="str">
        <x:v>三年</x:v>
      </x:c>
      <x:c r="C1095" s="11" t="str">
        <x:v>dzd6008</x:v>
      </x:c>
      <x:c r="D1095" s="11" t="str">
        <x:v>2041-12-31</x:v>
      </x:c>
      <x:c r="E1095" s="11" t="str">
        <x:v>USD</x:v>
      </x:c>
      <x:c r="F1095" s="11" t="n">
        <x:v>12.227241615331964</x:v>
      </x:c>
      <x:c r="G1095" s="26" t="b">
        <x:v>1</x:v>
      </x:c>
      <x:c r="H1095" s="16" t="n">
        <x:v>0.512</x:v>
      </x:c>
      <x:c r="I1095" s="16" t="n">
        <x:v>1</x:v>
      </x:c>
      <x:c r="J1095" s="16" t="n">
        <x:v>0.7200000000000002</x:v>
      </x:c>
      <x:c r="K1095" s="11" t="n">
        <x:f>CHOOSE('假设'!$B$3,H1095,I1095,J1095)</x:f>
        <x:v>1</x:v>
      </x:c>
      <x:c r="L1095" s="11" t="n">
        <x:f>K1095*'管线假设'!E251*'管线假设'!F251*'管线假设'!G251*IF(E1095="USD",'管线假设'!I251,1)-AM1095</x:f>
        <x:v>1.079296</x:v>
      </x:c>
      <x:c r="M1095" s="11" t="n">
        <x:f>'管线假设'!H251</x:f>
        <x:v>0.125</x:v>
      </x:c>
      <x:c r="N1095" s="11" t="n">
        <x:f>IF(G1095,L1095*AN1095/(1+M1095)^F1095,0)</x:f>
        <x:v>0.2556738530109493</x:v>
      </x:c>
      <x:c r="AJ1095" t="n">
        <x:v>0</x:v>
      </x:c>
      <x:c r="AK1095" t="n">
        <x:v>0</x:v>
      </x:c>
      <x:c r="AL1095" t="n">
        <x:v>0</x:v>
      </x:c>
      <x:c r="AM1095" t="n">
        <x:f>CHOOSE('假设'!$B$3,AJ1095,AK1095,AL1095)</x:f>
        <x:v>0</x:v>
      </x:c>
      <x:c r="AN1095" t="n">
        <x:v>1</x:v>
      </x:c>
    </x:row>
    <x:row r="1096" ht="23" customHeight="1">
      <x:c r="A1096" s="11" t="str">
        <x:v>688192.SH</x:v>
      </x:c>
      <x:c r="B1096" s="11" t="str">
        <x:v>三年</x:v>
      </x:c>
      <x:c r="C1096" s="11" t="str">
        <x:v>dzd6008</x:v>
      </x:c>
      <x:c r="D1096" s="11" t="str">
        <x:v>2042-12-31</x:v>
      </x:c>
      <x:c r="E1096" s="11" t="str">
        <x:v>USD</x:v>
      </x:c>
      <x:c r="F1096" s="11" t="n">
        <x:v>13.22655715263518</x:v>
      </x:c>
      <x:c r="G1096" s="26" t="b">
        <x:v>1</x:v>
      </x:c>
      <x:c r="H1096" s="16" t="n">
        <x:v>0.41600000000000004</x:v>
      </x:c>
      <x:c r="I1096" s="16" t="n">
        <x:v>0.7000000000000001</x:v>
      </x:c>
      <x:c r="J1096" s="16" t="n">
        <x:v>0.18000000000000016</x:v>
      </x:c>
      <x:c r="K1096" s="11" t="n">
        <x:f>CHOOSE('假设'!$B$3,H1096,I1096,J1096)</x:f>
        <x:v>0.7000000000000001</x:v>
      </x:c>
      <x:c r="L1096" s="11" t="n">
        <x:f>K1096*'管线假设'!E251*'管线假设'!F251*'管线假设'!G251*IF(E1096="USD",'管线假设'!I251,1)-AM1096</x:f>
        <x:v>0.7555072</x:v>
      </x:c>
      <x:c r="M1096" s="11" t="n">
        <x:f>'管线假设'!H251</x:f>
        <x:v>0.125</x:v>
      </x:c>
      <x:c r="N1096" s="11" t="n">
        <x:f>IF(G1096,L1096*AN1096/(1+M1096)^F1096,0)</x:f>
        <x:v>0.15909877870792333</x:v>
      </x:c>
      <x:c r="AJ1096" t="n">
        <x:v>0</x:v>
      </x:c>
      <x:c r="AK1096" t="n">
        <x:v>0</x:v>
      </x:c>
      <x:c r="AL1096" t="n">
        <x:v>0</x:v>
      </x:c>
      <x:c r="AM1096" t="n">
        <x:f>CHOOSE('假设'!$B$3,AJ1096,AK1096,AL1096)</x:f>
        <x:v>0</x:v>
      </x:c>
      <x:c r="AN1096" t="n">
        <x:v>1</x:v>
      </x:c>
    </x:row>
    <x:row r="1097" ht="23" customHeight="1">
      <x:c r="A1097" s="11" t="str">
        <x:v>688192.SH</x:v>
      </x:c>
      <x:c r="B1097" s="11" t="str">
        <x:v>三年</x:v>
      </x:c>
      <x:c r="C1097" s="11" t="str">
        <x:v>dzd6008</x:v>
      </x:c>
      <x:c r="D1097" s="11" t="str">
        <x:v>2043-12-31</x:v>
      </x:c>
      <x:c r="E1097" s="11" t="str">
        <x:v>USD</x:v>
      </x:c>
      <x:c r="F1097" s="11" t="n">
        <x:v>14.225872689938399</x:v>
      </x:c>
      <x:c r="G1097" s="26" t="b">
        <x:v>1</x:v>
      </x:c>
      <x:c r="H1097" s="16" t="n">
        <x:v>0.32000000000000006</x:v>
      </x:c>
      <x:c r="I1097" s="16" t="n">
        <x:v>0.4000000000000001</x:v>
      </x:c>
      <x:c r="J1097" s="16" t="n">
        <x:v>0</x:v>
      </x:c>
      <x:c r="K1097" s="11" t="n">
        <x:f>CHOOSE('假设'!$B$3,H1097,I1097,J1097)</x:f>
        <x:v>0.4000000000000001</x:v>
      </x:c>
      <x:c r="L1097" s="11" t="n">
        <x:f>K1097*'管线假设'!E251*'管线假设'!F251*'管线假设'!G251*IF(E1097="USD",'管线假设'!I251,1)-AM1097</x:f>
        <x:v>0.4317184000000001</x:v>
      </x:c>
      <x:c r="M1097" s="11" t="n">
        <x:f>'管线假设'!H251</x:f>
        <x:v>0.125</x:v>
      </x:c>
      <x:c r="N1097" s="11" t="n">
        <x:f>IF(G1097,L1097*AN1097/(1+M1097)^F1097,0)</x:f>
        <x:v>0.08081859325220725</x:v>
      </x:c>
      <x:c r="AJ1097" t="n">
        <x:v>0</x:v>
      </x:c>
      <x:c r="AK1097" t="n">
        <x:v>0</x:v>
      </x:c>
      <x:c r="AL1097" t="n">
        <x:v>0</x:v>
      </x:c>
      <x:c r="AM1097" t="n">
        <x:f>CHOOSE('假设'!$B$3,AJ1097,AK1097,AL1097)</x:f>
        <x:v>0</x:v>
      </x:c>
      <x:c r="AN1097" t="n">
        <x:v>1</x:v>
      </x:c>
    </x:row>
    <x:row r="1098" ht="23" customHeight="1">
      <x:c r="A1098" s="11" t="str">
        <x:v>688192.SH</x:v>
      </x:c>
      <x:c r="B1098" s="11" t="str">
        <x:v>三年</x:v>
      </x:c>
      <x:c r="C1098" s="11" t="str">
        <x:v>dzd6008</x:v>
      </x:c>
      <x:c r="D1098" s="11" t="str">
        <x:v>2044-12-31</x:v>
      </x:c>
      <x:c r="E1098" s="11" t="str">
        <x:v>USD</x:v>
      </x:c>
      <x:c r="F1098" s="11" t="n">
        <x:v>15.227926078028748</x:v>
      </x:c>
      <x:c r="G1098" s="26" t="b">
        <x:v>1</x:v>
      </x:c>
      <x:c r="H1098" s="16" t="n">
        <x:v>0.22400000000000003</x:v>
      </x:c>
      <x:c r="I1098" s="16" t="n">
        <x:v>0.10000000000000009</x:v>
      </x:c>
      <x:c r="J1098" s="16" t="n">
        <x:v>0</x:v>
      </x:c>
      <x:c r="K1098" s="11" t="n">
        <x:f>CHOOSE('假设'!$B$3,H1098,I1098,J1098)</x:f>
        <x:v>0.10000000000000009</x:v>
      </x:c>
      <x:c r="L1098" s="11" t="n">
        <x:f>K1098*'管线假设'!E251*'管线假设'!F251*'管线假设'!G251*IF(E1098="USD",'管线假设'!I251,1)-AM1098</x:f>
        <x:v>0.1079296000000001</x:v>
      </x:c>
      <x:c r="M1098" s="11" t="n">
        <x:f>'管线假设'!H251</x:f>
        <x:v>0.125</x:v>
      </x:c>
      <x:c r="N1098" s="11" t="n">
        <x:f>IF(G1098,L1098*AN1098/(1+M1098)^F1098,0)</x:f>
        <x:v>0.017955344287289097</x:v>
      </x:c>
      <x:c r="AJ1098" t="n">
        <x:v>0</x:v>
      </x:c>
      <x:c r="AK1098" t="n">
        <x:v>0</x:v>
      </x:c>
      <x:c r="AL1098" t="n">
        <x:v>0</x:v>
      </x:c>
      <x:c r="AM1098" t="n">
        <x:f>CHOOSE('假设'!$B$3,AJ1098,AK1098,AL1098)</x:f>
        <x:v>0</x:v>
      </x:c>
      <x:c r="AN1098" t="n">
        <x:v>1</x:v>
      </x:c>
    </x:row>
    <x:row r="1099" ht="23" customHeight="1">
      <x:c r="A1099" s="11" t="str">
        <x:v>688192.SH</x:v>
      </x:c>
      <x:c r="B1099" s="11" t="str">
        <x:v>三年</x:v>
      </x:c>
      <x:c r="C1099" s="11" t="str">
        <x:v>dzd6008</x:v>
      </x:c>
      <x:c r="D1099" s="11" t="str">
        <x:v>2045-12-31</x:v>
      </x:c>
      <x:c r="E1099" s="11" t="str">
        <x:v>USD</x:v>
      </x:c>
      <x:c r="F1099" s="11" t="n">
        <x:v>16.227241615331966</x:v>
      </x:c>
      <x:c r="G1099" s="26" t="b">
        <x:v>1</x:v>
      </x:c>
      <x:c r="H1099" s="16" t="n">
        <x:v>0.12800000000000003</x:v>
      </x:c>
      <x:c r="I1099" s="16" t="n">
        <x:v>0</x:v>
      </x:c>
      <x:c r="J1099" s="16" t="n">
        <x:v>0</x:v>
      </x:c>
      <x:c r="K1099" s="11" t="n">
        <x:f>CHOOSE('假设'!$B$3,H1099,I1099,J1099)</x:f>
        <x:v>0</x:v>
      </x:c>
      <x:c r="L1099" s="11" t="n">
        <x:f>K1099*'管线假设'!E251*'管线假设'!F251*'管线假设'!G251*IF(E1099="USD",'管线假设'!I251,1)-AM1099</x:f>
        <x:v>0</x:v>
      </x:c>
      <x:c r="M1099" s="11" t="n">
        <x:f>'管线假设'!H251</x:f>
        <x:v>0.125</x:v>
      </x:c>
      <x:c r="N1099" s="11" t="n">
        <x:f>IF(G1099,L1099*AN1099/(1+M1099)^F1099,0)</x:f>
        <x:v>0</x:v>
      </x:c>
      <x:c r="AJ1099" t="n">
        <x:v>0</x:v>
      </x:c>
      <x:c r="AK1099" t="n">
        <x:v>0</x:v>
      </x:c>
      <x:c r="AL1099" t="n">
        <x:v>0</x:v>
      </x:c>
      <x:c r="AM1099" t="n">
        <x:f>CHOOSE('假设'!$B$3,AJ1099,AK1099,AL1099)</x:f>
        <x:v>0</x:v>
      </x:c>
      <x:c r="AN1099" t="n">
        <x:v>1</x:v>
      </x:c>
    </x:row>
    <x:row r="1100" ht="23" customHeight="1">
      <x:c r="A1100" s="11" t="str">
        <x:v>688192.SH</x:v>
      </x:c>
      <x:c r="B1100" s="11" t="str">
        <x:v>五年</x:v>
      </x:c>
      <x:c r="C1100" s="11" t="str">
        <x:v>sun_later</x:v>
      </x:c>
      <x:c r="D1100" s="11" t="str">
        <x:v>2027-12-31</x:v>
      </x:c>
      <x:c r="E1100" s="11" t="str">
        <x:v>USD</x:v>
      </x:c>
      <x:c r="F1100" s="11" t="n">
        <x:v>-3.7727583846680357</x:v>
      </x:c>
      <x:c r="G1100" s="26" t="b">
        <x:v>0</x:v>
      </x:c>
      <x:c r="H1100" s="16" t="n">
        <x:v>0.06999999999999999</x:v>
      </x:c>
      <x:c r="I1100" s="16" t="n">
        <x:v>0.13</x:v>
      </x:c>
      <x:c r="J1100" s="16" t="n">
        <x:v>0.275</x:v>
      </x:c>
      <x:c r="K1100" s="11" t="n">
        <x:f>CHOOSE('假设'!$B$3,H1100,I1100,J1100)</x:f>
        <x:v>0.13</x:v>
      </x:c>
      <x:c r="L1100" s="11" t="n">
        <x:f>K1100*'管线假设'!E255*'管线假设'!F255*'管线假设'!G255*IF(E1100="USD",'管线假设'!I255,1)-AM1100</x:f>
        <x:v>0.07611240000000001</x:v>
      </x:c>
      <x:c r="M1100" s="11" t="n">
        <x:f>'管线假设'!H255</x:f>
        <x:v>0.125</x:v>
      </x:c>
      <x:c r="N1100" s="11" t="n">
        <x:f>IF(G1100,L1100*AN1100/(1+M1100)^F1100,0)</x:f>
        <x:v>0</x:v>
      </x:c>
      <x:c r="AJ1100" t="n">
        <x:v>0</x:v>
      </x:c>
      <x:c r="AK1100" t="n">
        <x:v>0</x:v>
      </x:c>
      <x:c r="AL1100" t="n">
        <x:v>0</x:v>
      </x:c>
      <x:c r="AM1100" t="n">
        <x:f>CHOOSE('假设'!$B$3,AJ1100,AK1100,AL1100)</x:f>
        <x:v>0</x:v>
      </x:c>
      <x:c r="AN1100" t="n">
        <x:v>1</x:v>
      </x:c>
    </x:row>
    <x:row r="1101" ht="23" customHeight="1">
      <x:c r="A1101" s="11" t="str">
        <x:v>688192.SH</x:v>
      </x:c>
      <x:c r="B1101" s="11" t="str">
        <x:v>五年</x:v>
      </x:c>
      <x:c r="C1101" s="11" t="str">
        <x:v>sun_later</x:v>
      </x:c>
      <x:c r="D1101" s="11" t="str">
        <x:v>2028-12-31</x:v>
      </x:c>
      <x:c r="E1101" s="11" t="str">
        <x:v>USD</x:v>
      </x:c>
      <x:c r="F1101" s="11" t="n">
        <x:v>-2.7707049965776864</x:v>
      </x:c>
      <x:c r="G1101" s="26" t="b">
        <x:v>0</x:v>
      </x:c>
      <x:c r="H1101" s="16" t="n">
        <x:v>0.13999999999999999</x:v>
      </x:c>
      <x:c r="I1101" s="16" t="n">
        <x:v>0.26</x:v>
      </x:c>
      <x:c r="J1101" s="16" t="n">
        <x:v>0.55</x:v>
      </x:c>
      <x:c r="K1101" s="11" t="n">
        <x:f>CHOOSE('假设'!$B$3,H1101,I1101,J1101)</x:f>
        <x:v>0.26</x:v>
      </x:c>
      <x:c r="L1101" s="11" t="n">
        <x:f>K1101*'管线假设'!E255*'管线假设'!F255*'管线假设'!G255*IF(E1101="USD",'管线假设'!I255,1)-AM1101</x:f>
        <x:v>0.15222480000000002</x:v>
      </x:c>
      <x:c r="M1101" s="11" t="n">
        <x:f>'管线假设'!H255</x:f>
        <x:v>0.125</x:v>
      </x:c>
      <x:c r="N1101" s="11" t="n">
        <x:f>IF(G1101,L1101*AN1101/(1+M1101)^F1101,0)</x:f>
        <x:v>0</x:v>
      </x:c>
      <x:c r="AJ1101" t="n">
        <x:v>0</x:v>
      </x:c>
      <x:c r="AK1101" t="n">
        <x:v>0</x:v>
      </x:c>
      <x:c r="AL1101" t="n">
        <x:v>0</x:v>
      </x:c>
      <x:c r="AM1101" t="n">
        <x:f>CHOOSE('假设'!$B$3,AJ1101,AK1101,AL1101)</x:f>
        <x:v>0</x:v>
      </x:c>
      <x:c r="AN1101" t="n">
        <x:v>1</x:v>
      </x:c>
    </x:row>
    <x:row r="1102" ht="23" customHeight="1">
      <x:c r="A1102" s="11" t="str">
        <x:v>688192.SH</x:v>
      </x:c>
      <x:c r="B1102" s="11" t="str">
        <x:v>五年</x:v>
      </x:c>
      <x:c r="C1102" s="11" t="str">
        <x:v>sun_later</x:v>
      </x:c>
      <x:c r="D1102" s="11" t="str">
        <x:v>2029-12-31</x:v>
      </x:c>
      <x:c r="E1102" s="11" t="str">
        <x:v>USD</x:v>
      </x:c>
      <x:c r="F1102" s="11" t="n">
        <x:v>-1.7713894592744694</x:v>
      </x:c>
      <x:c r="G1102" s="26" t="b">
        <x:v>0</x:v>
      </x:c>
      <x:c r="H1102" s="16" t="n">
        <x:v>0.21</x:v>
      </x:c>
      <x:c r="I1102" s="16" t="n">
        <x:v>0.39</x:v>
      </x:c>
      <x:c r="J1102" s="16" t="n">
        <x:v>0.8250000000000001</x:v>
      </x:c>
      <x:c r="K1102" s="11" t="n">
        <x:f>CHOOSE('假设'!$B$3,H1102,I1102,J1102)</x:f>
        <x:v>0.39</x:v>
      </x:c>
      <x:c r="L1102" s="11" t="n">
        <x:f>K1102*'管线假设'!E255*'管线假设'!F255*'管线假设'!G255*IF(E1102="USD",'管线假设'!I255,1)-AM1102</x:f>
        <x:v>0.22833720000000002</x:v>
      </x:c>
      <x:c r="M1102" s="11" t="n">
        <x:f>'管线假设'!H255</x:f>
        <x:v>0.125</x:v>
      </x:c>
      <x:c r="N1102" s="11" t="n">
        <x:f>IF(G1102,L1102*AN1102/(1+M1102)^F1102,0)</x:f>
        <x:v>0</x:v>
      </x:c>
      <x:c r="AJ1102" t="n">
        <x:v>0</x:v>
      </x:c>
      <x:c r="AK1102" t="n">
        <x:v>0</x:v>
      </x:c>
      <x:c r="AL1102" t="n">
        <x:v>0</x:v>
      </x:c>
      <x:c r="AM1102" t="n">
        <x:f>CHOOSE('假设'!$B$3,AJ1102,AK1102,AL1102)</x:f>
        <x:v>0</x:v>
      </x:c>
      <x:c r="AN1102" t="n">
        <x:v>1</x:v>
      </x:c>
    </x:row>
    <x:row r="1103" ht="23" customHeight="1">
      <x:c r="A1103" s="11" t="str">
        <x:v>688192.SH</x:v>
      </x:c>
      <x:c r="B1103" s="11" t="str">
        <x:v>五年</x:v>
      </x:c>
      <x:c r="C1103" s="11" t="str">
        <x:v>sun_later</x:v>
      </x:c>
      <x:c r="D1103" s="11" t="str">
        <x:v>2030-12-31</x:v>
      </x:c>
      <x:c r="E1103" s="11" t="str">
        <x:v>USD</x:v>
      </x:c>
      <x:c r="F1103" s="11" t="n">
        <x:v>-0.7720739219712526</x:v>
      </x:c>
      <x:c r="G1103" s="26" t="b">
        <x:v>0</x:v>
      </x:c>
      <x:c r="H1103" s="16" t="n">
        <x:v>0.27999999999999997</x:v>
      </x:c>
      <x:c r="I1103" s="16" t="n">
        <x:v>0.52</x:v>
      </x:c>
      <x:c r="J1103" s="16" t="n">
        <x:v>1.1</x:v>
      </x:c>
      <x:c r="K1103" s="11" t="n">
        <x:f>CHOOSE('假设'!$B$3,H1103,I1103,J1103)</x:f>
        <x:v>0.52</x:v>
      </x:c>
      <x:c r="L1103" s="11" t="n">
        <x:f>K1103*'管线假设'!E255*'管线假设'!F255*'管线假设'!G255*IF(E1103="USD",'管线假设'!I255,1)-AM1103</x:f>
        <x:v>0.30444960000000004</x:v>
      </x:c>
      <x:c r="M1103" s="11" t="n">
        <x:f>'管线假设'!H255</x:f>
        <x:v>0.125</x:v>
      </x:c>
      <x:c r="N1103" s="11" t="n">
        <x:f>IF(G1103,L1103*AN1103/(1+M1103)^F1103,0)</x:f>
        <x:v>0</x:v>
      </x:c>
      <x:c r="AJ1103" t="n">
        <x:v>0</x:v>
      </x:c>
      <x:c r="AK1103" t="n">
        <x:v>0</x:v>
      </x:c>
      <x:c r="AL1103" t="n">
        <x:v>0</x:v>
      </x:c>
      <x:c r="AM1103" t="n">
        <x:f>CHOOSE('假设'!$B$3,AJ1103,AK1103,AL1103)</x:f>
        <x:v>0</x:v>
      </x:c>
      <x:c r="AN1103" t="n">
        <x:v>1</x:v>
      </x:c>
    </x:row>
    <x:row r="1104" ht="23" customHeight="1">
      <x:c r="A1104" s="11" t="str">
        <x:v>688192.SH</x:v>
      </x:c>
      <x:c r="B1104" s="11" t="str">
        <x:v>五年</x:v>
      </x:c>
      <x:c r="C1104" s="11" t="str">
        <x:v>sun_later</x:v>
      </x:c>
      <x:c r="D1104" s="11" t="str">
        <x:v>2031-12-31</x:v>
      </x:c>
      <x:c r="E1104" s="11" t="str">
        <x:v>USD</x:v>
      </x:c>
      <x:c r="F1104" s="11" t="n">
        <x:v>0.2272416153319644</x:v>
      </x:c>
      <x:c r="G1104" s="26" t="b">
        <x:v>1</x:v>
      </x:c>
      <x:c r="H1104" s="16" t="n">
        <x:v>0.35</x:v>
      </x:c>
      <x:c r="I1104" s="16" t="n">
        <x:v>0.65</x:v>
      </x:c>
      <x:c r="J1104" s="16" t="n">
        <x:v>0.9680000000000001</x:v>
      </x:c>
      <x:c r="K1104" s="11" t="n">
        <x:f>CHOOSE('假设'!$B$3,H1104,I1104,J1104)</x:f>
        <x:v>0.65</x:v>
      </x:c>
      <x:c r="L1104" s="11" t="n">
        <x:f>K1104*'管线假设'!E255*'管线假设'!F255*'管线假设'!G255*IF(E1104="USD",'管线假设'!I255,1)-AM1104</x:f>
        <x:v>0.38056200000000007</x:v>
      </x:c>
      <x:c r="M1104" s="11" t="n">
        <x:f>'管线假设'!H255</x:f>
        <x:v>0.125</x:v>
      </x:c>
      <x:c r="N1104" s="11" t="n">
        <x:f>IF(G1104,L1104*AN1104/(1+M1104)^F1104,0)</x:f>
        <x:v>0.37051128393676097</x:v>
      </x:c>
      <x:c r="AJ1104" t="n">
        <x:v>0</x:v>
      </x:c>
      <x:c r="AK1104" t="n">
        <x:v>0</x:v>
      </x:c>
      <x:c r="AL1104" t="n">
        <x:v>0</x:v>
      </x:c>
      <x:c r="AM1104" t="n">
        <x:f>CHOOSE('假设'!$B$3,AJ1104,AK1104,AL1104)</x:f>
        <x:v>0</x:v>
      </x:c>
      <x:c r="AN1104" t="n">
        <x:v>1</x:v>
      </x:c>
    </x:row>
    <x:row r="1105" ht="23" customHeight="1">
      <x:c r="A1105" s="11" t="str">
        <x:v>688192.SH</x:v>
      </x:c>
      <x:c r="B1105" s="11" t="str">
        <x:v>五年</x:v>
      </x:c>
      <x:c r="C1105" s="11" t="str">
        <x:v>sun_later</x:v>
      </x:c>
      <x:c r="D1105" s="11" t="str">
        <x:v>2032-12-31</x:v>
      </x:c>
      <x:c r="E1105" s="11" t="str">
        <x:v>USD</x:v>
      </x:c>
      <x:c r="F1105" s="11" t="n">
        <x:v>1.2292950034223136</x:v>
      </x:c>
      <x:c r="G1105" s="26" t="b">
        <x:v>1</x:v>
      </x:c>
      <x:c r="H1105" s="16" t="n">
        <x:v>0.308</x:v>
      </x:c>
      <x:c r="I1105" s="16" t="n">
        <x:v>0.5720000000000001</x:v>
      </x:c>
      <x:c r="J1105" s="16" t="n">
        <x:v>0.8360000000000001</x:v>
      </x:c>
      <x:c r="K1105" s="11" t="n">
        <x:f>CHOOSE('假设'!$B$3,H1105,I1105,J1105)</x:f>
        <x:v>0.5720000000000001</x:v>
      </x:c>
      <x:c r="L1105" s="11" t="n">
        <x:f>K1105*'管线假设'!E255*'管线假设'!F255*'管线假设'!G255*IF(E1105="USD",'管线假设'!I255,1)-AM1105</x:f>
        <x:v>0.33489456000000006</x:v>
      </x:c>
      <x:c r="M1105" s="11" t="n">
        <x:f>'管线假设'!H255</x:f>
        <x:v>0.125</x:v>
      </x:c>
      <x:c r="N1105" s="11" t="n">
        <x:f>IF(G1105,L1105*AN1105/(1+M1105)^F1105,0)</x:f>
        <x:v>0.2897520736245168</x:v>
      </x:c>
      <x:c r="AJ1105" t="n">
        <x:v>0</x:v>
      </x:c>
      <x:c r="AK1105" t="n">
        <x:v>0</x:v>
      </x:c>
      <x:c r="AL1105" t="n">
        <x:v>0</x:v>
      </x:c>
      <x:c r="AM1105" t="n">
        <x:f>CHOOSE('假设'!$B$3,AJ1105,AK1105,AL1105)</x:f>
        <x:v>0</x:v>
      </x:c>
      <x:c r="AN1105" t="n">
        <x:v>1</x:v>
      </x:c>
    </x:row>
    <x:row r="1106" ht="23" customHeight="1">
      <x:c r="A1106" s="11" t="str">
        <x:v>688192.SH</x:v>
      </x:c>
      <x:c r="B1106" s="11" t="str">
        <x:v>五年</x:v>
      </x:c>
      <x:c r="C1106" s="11" t="str">
        <x:v>sun_later</x:v>
      </x:c>
      <x:c r="D1106" s="11" t="str">
        <x:v>2033-12-31</x:v>
      </x:c>
      <x:c r="E1106" s="11" t="str">
        <x:v>USD</x:v>
      </x:c>
      <x:c r="F1106" s="11" t="n">
        <x:v>2.2286105407255303</x:v>
      </x:c>
      <x:c r="G1106" s="26" t="b">
        <x:v>1</x:v>
      </x:c>
      <x:c r="H1106" s="16" t="n">
        <x:v>0.26599999999999996</x:v>
      </x:c>
      <x:c r="I1106" s="16" t="n">
        <x:v>0.49400000000000005</x:v>
      </x:c>
      <x:c r="J1106" s="16" t="n">
        <x:v>0.7040000000000001</x:v>
      </x:c>
      <x:c r="K1106" s="11" t="n">
        <x:f>CHOOSE('假设'!$B$3,H1106,I1106,J1106)</x:f>
        <x:v>0.49400000000000005</x:v>
      </x:c>
      <x:c r="L1106" s="11" t="n">
        <x:f>K1106*'管线假设'!E255*'管线假设'!F255*'管线假设'!G255*IF(E1106="USD",'管线假设'!I255,1)-AM1106</x:f>
        <x:v>0.28922712000000006</x:v>
      </x:c>
      <x:c r="M1106" s="11" t="n">
        <x:f>'管线假设'!H255</x:f>
        <x:v>0.125</x:v>
      </x:c>
      <x:c r="N1106" s="11" t="n">
        <x:f>IF(G1106,L1106*AN1106/(1+M1106)^F1106,0)</x:f>
        <x:v>0.22245386839175638</x:v>
      </x:c>
      <x:c r="AJ1106" t="n">
        <x:v>0</x:v>
      </x:c>
      <x:c r="AK1106" t="n">
        <x:v>0</x:v>
      </x:c>
      <x:c r="AL1106" t="n">
        <x:v>0</x:v>
      </x:c>
      <x:c r="AM1106" t="n">
        <x:f>CHOOSE('假设'!$B$3,AJ1106,AK1106,AL1106)</x:f>
        <x:v>0</x:v>
      </x:c>
      <x:c r="AN1106" t="n">
        <x:v>1</x:v>
      </x:c>
    </x:row>
    <x:row r="1107" ht="23" customHeight="1">
      <x:c r="A1107" s="11" t="str">
        <x:v>688192.SH</x:v>
      </x:c>
      <x:c r="B1107" s="11" t="str">
        <x:v>五年</x:v>
      </x:c>
      <x:c r="C1107" s="11" t="str">
        <x:v>sun_later</x:v>
      </x:c>
      <x:c r="D1107" s="11" t="str">
        <x:v>2034-12-31</x:v>
      </x:c>
      <x:c r="E1107" s="11" t="str">
        <x:v>USD</x:v>
      </x:c>
      <x:c r="F1107" s="11" t="n">
        <x:v>3.2279260780287475</x:v>
      </x:c>
      <x:c r="G1107" s="26" t="b">
        <x:v>1</x:v>
      </x:c>
      <x:c r="H1107" s="16" t="n">
        <x:v>0.22399999999999998</x:v>
      </x:c>
      <x:c r="I1107" s="16" t="n">
        <x:v>0.41600000000000004</x:v>
      </x:c>
      <x:c r="J1107" s="16" t="n">
        <x:v>0.5720000000000001</x:v>
      </x:c>
      <x:c r="K1107" s="11" t="n">
        <x:f>CHOOSE('假设'!$B$3,H1107,I1107,J1107)</x:f>
        <x:v>0.41600000000000004</x:v>
      </x:c>
      <x:c r="L1107" s="11" t="n">
        <x:f>K1107*'管线假设'!E255*'管线假设'!F255*'管线假设'!G255*IF(E1107="USD",'管线假设'!I255,1)-AM1107</x:f>
        <x:v>0.24355968000000003</x:v>
      </x:c>
      <x:c r="M1107" s="11" t="n">
        <x:f>'管线假设'!H255</x:f>
        <x:v>0.125</x:v>
      </x:c>
      <x:c r="N1107" s="11" t="n">
        <x:f>IF(G1107,L1107*AN1107/(1+M1107)^F1107,0)</x:f>
        <x:v>0.1665286010173322</x:v>
      </x:c>
      <x:c r="AJ1107" t="n">
        <x:v>0</x:v>
      </x:c>
      <x:c r="AK1107" t="n">
        <x:v>0</x:v>
      </x:c>
      <x:c r="AL1107" t="n">
        <x:v>0</x:v>
      </x:c>
      <x:c r="AM1107" t="n">
        <x:f>CHOOSE('假设'!$B$3,AJ1107,AK1107,AL1107)</x:f>
        <x:v>0</x:v>
      </x:c>
      <x:c r="AN1107" t="n">
        <x:v>1</x:v>
      </x:c>
    </x:row>
    <x:row r="1108" ht="23" customHeight="1">
      <x:c r="A1108" s="11" t="str">
        <x:v>688192.SH</x:v>
      </x:c>
      <x:c r="B1108" s="11" t="str">
        <x:v>五年</x:v>
      </x:c>
      <x:c r="C1108" s="11" t="str">
        <x:v>sun_later</x:v>
      </x:c>
      <x:c r="D1108" s="11" t="str">
        <x:v>2035-12-31</x:v>
      </x:c>
      <x:c r="E1108" s="11" t="str">
        <x:v>USD</x:v>
      </x:c>
      <x:c r="F1108" s="11" t="n">
        <x:v>4.227241615331964</x:v>
      </x:c>
      <x:c r="G1108" s="26" t="b">
        <x:v>1</x:v>
      </x:c>
      <x:c r="H1108" s="16" t="n">
        <x:v>0.182</x:v>
      </x:c>
      <x:c r="I1108" s="16" t="n">
        <x:v>0.338</x:v>
      </x:c>
      <x:c r="J1108" s="16" t="n">
        <x:v>0.44000000000000006</x:v>
      </x:c>
      <x:c r="K1108" s="11" t="n">
        <x:f>CHOOSE('假设'!$B$3,H1108,I1108,J1108)</x:f>
        <x:v>0.338</x:v>
      </x:c>
      <x:c r="L1108" s="11" t="n">
        <x:f>K1108*'管线假设'!E255*'管线假设'!F255*'管线假设'!G255*IF(E1108="USD",'管线假设'!I255,1)-AM1108</x:f>
        <x:v>0.19789224000000002</x:v>
      </x:c>
      <x:c r="M1108" s="11" t="n">
        <x:f>'管线假设'!H255</x:f>
        <x:v>0.125</x:v>
      </x:c>
      <x:c r="N1108" s="11" t="n">
        <x:f>IF(G1108,L1108*AN1108/(1+M1108)^F1108,0)</x:f>
        <x:v>0.12028035267224292</x:v>
      </x:c>
      <x:c r="AJ1108" t="n">
        <x:v>0</x:v>
      </x:c>
      <x:c r="AK1108" t="n">
        <x:v>0</x:v>
      </x:c>
      <x:c r="AL1108" t="n">
        <x:v>0</x:v>
      </x:c>
      <x:c r="AM1108" t="n">
        <x:f>CHOOSE('假设'!$B$3,AJ1108,AK1108,AL1108)</x:f>
        <x:v>0</x:v>
      </x:c>
      <x:c r="AN1108" t="n">
        <x:v>1</x:v>
      </x:c>
    </x:row>
    <x:row r="1109" ht="23" customHeight="1">
      <x:c r="A1109" s="11" t="str">
        <x:v>688192.SH</x:v>
      </x:c>
      <x:c r="B1109" s="11" t="str">
        <x:v>五年</x:v>
      </x:c>
      <x:c r="C1109" s="11" t="str">
        <x:v>sun_later</x:v>
      </x:c>
      <x:c r="D1109" s="11" t="str">
        <x:v>2036-12-31</x:v>
      </x:c>
      <x:c r="E1109" s="11" t="str">
        <x:v>USD</x:v>
      </x:c>
      <x:c r="F1109" s="11" t="n">
        <x:v>5.229295003422314</x:v>
      </x:c>
      <x:c r="G1109" s="26" t="b">
        <x:v>1</x:v>
      </x:c>
      <x:c r="H1109" s="16" t="n">
        <x:v>0.13999999999999999</x:v>
      </x:c>
      <x:c r="I1109" s="16" t="n">
        <x:v>0.26</x:v>
      </x:c>
      <x:c r="J1109" s="16" t="n">
        <x:v>0.30800000000000005</x:v>
      </x:c>
      <x:c r="K1109" s="11" t="n">
        <x:f>CHOOSE('假设'!$B$3,H1109,I1109,J1109)</x:f>
        <x:v>0.26</x:v>
      </x:c>
      <x:c r="L1109" s="11" t="n">
        <x:f>K1109*'管线假设'!E255*'管线假设'!F255*'管线假设'!G255*IF(E1109="USD",'管线假设'!I255,1)-AM1109</x:f>
        <x:v>0.15222480000000002</x:v>
      </x:c>
      <x:c r="M1109" s="11" t="n">
        <x:f>'管线假设'!H255</x:f>
        <x:v>0.125</x:v>
      </x:c>
      <x:c r="N1109" s="11" t="n">
        <x:f>IF(G1109,L1109*AN1109/(1+M1109)^F1109,0)</x:f>
        <x:v>0.08222308777528514</x:v>
      </x:c>
      <x:c r="AJ1109" t="n">
        <x:v>0</x:v>
      </x:c>
      <x:c r="AK1109" t="n">
        <x:v>0</x:v>
      </x:c>
      <x:c r="AL1109" t="n">
        <x:v>0</x:v>
      </x:c>
      <x:c r="AM1109" t="n">
        <x:f>CHOOSE('假设'!$B$3,AJ1109,AK1109,AL1109)</x:f>
        <x:v>0</x:v>
      </x:c>
      <x:c r="AN1109" t="n">
        <x:v>1</x:v>
      </x:c>
    </x:row>
    <x:row r="1110" ht="23" customHeight="1">
      <x:c r="A1110" s="11" t="str">
        <x:v>688192.SH</x:v>
      </x:c>
      <x:c r="B1110" s="11" t="str">
        <x:v>五年</x:v>
      </x:c>
      <x:c r="C1110" s="11" t="str">
        <x:v>sun_later</x:v>
      </x:c>
      <x:c r="D1110" s="11" t="str">
        <x:v>2037-12-31</x:v>
      </x:c>
      <x:c r="E1110" s="11" t="str">
        <x:v>USD</x:v>
      </x:c>
      <x:c r="F1110" s="11" t="n">
        <x:v>6.228610540725531</x:v>
      </x:c>
      <x:c r="G1110" s="26" t="b">
        <x:v>1</x:v>
      </x:c>
      <x:c r="H1110" s="16" t="n">
        <x:v>0.098</x:v>
      </x:c>
      <x:c r="I1110" s="16" t="n">
        <x:v>0.18200000000000002</x:v>
      </x:c>
      <x:c r="J1110" s="16" t="n">
        <x:v>0.17600000000000005</x:v>
      </x:c>
      <x:c r="K1110" s="11" t="n">
        <x:f>CHOOSE('假设'!$B$3,H1110,I1110,J1110)</x:f>
        <x:v>0.18200000000000002</x:v>
      </x:c>
      <x:c r="L1110" s="11" t="n">
        <x:f>K1110*'管线假设'!E255*'管线假设'!F255*'管线假设'!G255*IF(E1110="USD",'管线假设'!I255,1)-AM1110</x:f>
        <x:v>0.10655736000000002</x:v>
      </x:c>
      <x:c r="M1110" s="11" t="n">
        <x:f>'管线假设'!H255</x:f>
        <x:v>0.125</x:v>
      </x:c>
      <x:c r="N1110" s="11" t="n">
        <x:f>IF(G1110,L1110*AN1110/(1+M1110)^F1110,0)</x:f>
        <x:v>0.05116515706470001</x:v>
      </x:c>
      <x:c r="AJ1110" t="n">
        <x:v>0</x:v>
      </x:c>
      <x:c r="AK1110" t="n">
        <x:v>0</x:v>
      </x:c>
      <x:c r="AL1110" t="n">
        <x:v>0</x:v>
      </x:c>
      <x:c r="AM1110" t="n">
        <x:f>CHOOSE('假设'!$B$3,AJ1110,AK1110,AL1110)</x:f>
        <x:v>0</x:v>
      </x:c>
      <x:c r="AN1110" t="n">
        <x:v>1</x:v>
      </x:c>
    </x:row>
    <x:row r="1111" ht="23" customHeight="1">
      <x:c r="A1111" s="11" t="str">
        <x:v>688192.SH</x:v>
      </x:c>
      <x:c r="B1111" s="11" t="str">
        <x:v>五年</x:v>
      </x:c>
      <x:c r="C1111" s="11" t="str">
        <x:v>sun_later</x:v>
      </x:c>
      <x:c r="D1111" s="11" t="str">
        <x:v>2038-12-31</x:v>
      </x:c>
      <x:c r="E1111" s="11" t="str">
        <x:v>USD</x:v>
      </x:c>
      <x:c r="F1111" s="11" t="n">
        <x:v>7.227926078028747</x:v>
      </x:c>
      <x:c r="G1111" s="26" t="b">
        <x:v>1</x:v>
      </x:c>
      <x:c r="H1111" s="16" t="n">
        <x:v>0.05600000000000001</x:v>
      </x:c>
      <x:c r="I1111" s="16" t="n">
        <x:v>0.10400000000000002</x:v>
      </x:c>
      <x:c r="J1111" s="16" t="n">
        <x:v>0.044000000000000046</x:v>
      </x:c>
      <x:c r="K1111" s="11" t="n">
        <x:f>CHOOSE('假设'!$B$3,H1111,I1111,J1111)</x:f>
        <x:v>0.10400000000000002</x:v>
      </x:c>
      <x:c r="L1111" s="11" t="n">
        <x:f>K1111*'管线假设'!E255*'管线假设'!F255*'管线假设'!G255*IF(E1111="USD",'管线假设'!I255,1)-AM1111</x:f>
        <x:v>0.06088992000000002</x:v>
      </x:c>
      <x:c r="M1111" s="11" t="n">
        <x:f>'管线假设'!H255</x:f>
        <x:v>0.125</x:v>
      </x:c>
      <x:c r="N1111" s="11" t="n">
        <x:f>IF(G1111,L1111*AN1111/(1+M1111)^F1111,0)</x:f>
        <x:v>0.02599074644745438</x:v>
      </x:c>
      <x:c r="AJ1111" t="n">
        <x:v>0</x:v>
      </x:c>
      <x:c r="AK1111" t="n">
        <x:v>0</x:v>
      </x:c>
      <x:c r="AL1111" t="n">
        <x:v>0</x:v>
      </x:c>
      <x:c r="AM1111" t="n">
        <x:f>CHOOSE('假设'!$B$3,AJ1111,AK1111,AL1111)</x:f>
        <x:v>0</x:v>
      </x:c>
      <x:c r="AN1111" t="n">
        <x:v>1</x:v>
      </x:c>
    </x:row>
    <x:row r="1112" ht="23" customHeight="1">
      <x:c r="A1112" s="11" t="str">
        <x:v>688192.SH</x:v>
      </x:c>
      <x:c r="B1112" s="11" t="str">
        <x:v>五年</x:v>
      </x:c>
      <x:c r="C1112" s="11" t="str">
        <x:v>sun_later</x:v>
      </x:c>
      <x:c r="D1112" s="11" t="str">
        <x:v>2039-12-31</x:v>
      </x:c>
      <x:c r="E1112" s="11" t="str">
        <x:v>USD</x:v>
      </x:c>
      <x:c r="F1112" s="11" t="n">
        <x:v>8.227241615331964</x:v>
      </x:c>
      <x:c r="G1112" s="26" t="b">
        <x:v>1</x:v>
      </x:c>
      <x:c r="H1112" s="16" t="n">
        <x:v>0.01400000000000001</x:v>
      </x:c>
      <x:c r="I1112" s="16" t="n">
        <x:v>0.026000000000000023</x:v>
      </x:c>
      <x:c r="J1112" s="16" t="n">
        <x:v>0</x:v>
      </x:c>
      <x:c r="K1112" s="11" t="n">
        <x:f>CHOOSE('假设'!$B$3,H1112,I1112,J1112)</x:f>
        <x:v>0.026000000000000023</x:v>
      </x:c>
      <x:c r="L1112" s="11" t="n">
        <x:f>K1112*'管线假设'!E255*'管线假设'!F255*'管线假设'!G255*IF(E1112="USD",'管线假设'!I255,1)-AM1112</x:f>
        <x:v>0.015222480000000014</x:v>
      </x:c>
      <x:c r="M1112" s="11" t="n">
        <x:f>'管线假设'!H255</x:f>
        <x:v>0.125</x:v>
      </x:c>
      <x:c r="N1112" s="11" t="n">
        <x:f>IF(G1112,L1112*AN1112/(1+M1112)^F1112,0)</x:f>
        <x:v>0.005776187079191814</x:v>
      </x:c>
      <x:c r="AJ1112" t="n">
        <x:v>0</x:v>
      </x:c>
      <x:c r="AK1112" t="n">
        <x:v>0</x:v>
      </x:c>
      <x:c r="AL1112" t="n">
        <x:v>0</x:v>
      </x:c>
      <x:c r="AM1112" t="n">
        <x:f>CHOOSE('假设'!$B$3,AJ1112,AK1112,AL1112)</x:f>
        <x:v>0</x:v>
      </x:c>
      <x:c r="AN1112" t="n">
        <x:v>1</x:v>
      </x:c>
    </x:row>
    <x:row r="1113" ht="23" customHeight="1">
      <x:c r="A1113" s="11" t="str">
        <x:v>688192.SH</x:v>
      </x:c>
      <x:c r="B1113" s="11" t="str">
        <x:v>五年</x:v>
      </x:c>
      <x:c r="C1113" s="11" t="str">
        <x:v>sun_later</x:v>
      </x:c>
      <x:c r="D1113" s="11" t="str">
        <x:v>2040-12-31</x:v>
      </x:c>
      <x:c r="E1113" s="11" t="str">
        <x:v>USD</x:v>
      </x:c>
      <x:c r="F1113" s="11" t="n">
        <x:v>9.229295003422314</x:v>
      </x:c>
      <x:c r="G1113" s="26" t="b">
        <x:v>1</x:v>
      </x:c>
      <x:c r="H1113" s="16" t="n">
        <x:v>0</x:v>
      </x:c>
      <x:c r="I1113" s="16" t="n">
        <x:v>0</x:v>
      </x:c>
      <x:c r="J1113" s="16" t="n">
        <x:v>0</x:v>
      </x:c>
      <x:c r="K1113" s="11" t="n">
        <x:f>CHOOSE('假设'!$B$3,H1113,I1113,J1113)</x:f>
        <x:v>0</x:v>
      </x:c>
      <x:c r="L1113" s="11" t="n">
        <x:f>K1113*'管线假设'!E255*'管线假设'!F255*'管线假设'!G255*IF(E1113="USD",'管线假设'!I255,1)-AM1113</x:f>
        <x:v>0</x:v>
      </x:c>
      <x:c r="M1113" s="11" t="n">
        <x:f>'管线假设'!H255</x:f>
        <x:v>0.125</x:v>
      </x:c>
      <x:c r="N1113" s="11" t="n">
        <x:f>IF(G1113,L1113*AN1113/(1+M1113)^F1113,0)</x:f>
        <x:v>0</x:v>
      </x:c>
      <x:c r="AJ1113" t="n">
        <x:v>0</x:v>
      </x:c>
      <x:c r="AK1113" t="n">
        <x:v>0</x:v>
      </x:c>
      <x:c r="AL1113" t="n">
        <x:v>0</x:v>
      </x:c>
      <x:c r="AM1113" t="n">
        <x:f>CHOOSE('假设'!$B$3,AJ1113,AK1113,AL1113)</x:f>
        <x:v>0</x:v>
      </x:c>
      <x:c r="AN1113" t="n">
        <x:v>1</x:v>
      </x:c>
    </x:row>
    <x:row r="1114" ht="23" customHeight="1">
      <x:c r="A1114" s="11" t="str">
        <x:v>688192.SH</x:v>
      </x:c>
      <x:c r="B1114" s="11" t="str">
        <x:v>五年</x:v>
      </x:c>
      <x:c r="C1114" s="11" t="str">
        <x:v>sun_later</x:v>
      </x:c>
      <x:c r="D1114" s="11" t="str">
        <x:v>2041-12-31</x:v>
      </x:c>
      <x:c r="E1114" s="11" t="str">
        <x:v>USD</x:v>
      </x:c>
      <x:c r="F1114" s="11" t="n">
        <x:v>10.22861054072553</x:v>
      </x:c>
      <x:c r="G1114" s="26" t="b">
        <x:v>1</x:v>
      </x:c>
      <x:c r="H1114" s="16" t="n">
        <x:v>0</x:v>
      </x:c>
      <x:c r="I1114" s="16" t="n">
        <x:v>0</x:v>
      </x:c>
      <x:c r="J1114" s="16" t="n">
        <x:v>0</x:v>
      </x:c>
      <x:c r="K1114" s="11" t="n">
        <x:f>CHOOSE('假设'!$B$3,H1114,I1114,J1114)</x:f>
        <x:v>0</x:v>
      </x:c>
      <x:c r="L1114" s="11" t="n">
        <x:f>K1114*'管线假设'!E255*'管线假设'!F255*'管线假设'!G255*IF(E1114="USD",'管线假设'!I255,1)-AM1114</x:f>
        <x:v>0</x:v>
      </x:c>
      <x:c r="M1114" s="11" t="n">
        <x:f>'管线假设'!H255</x:f>
        <x:v>0.125</x:v>
      </x:c>
      <x:c r="N1114" s="11" t="n">
        <x:f>IF(G1114,L1114*AN1114/(1+M1114)^F1114,0)</x:f>
        <x:v>0</x:v>
      </x:c>
      <x:c r="AJ1114" t="n">
        <x:v>0</x:v>
      </x:c>
      <x:c r="AK1114" t="n">
        <x:v>0</x:v>
      </x:c>
      <x:c r="AL1114" t="n">
        <x:v>0</x:v>
      </x:c>
      <x:c r="AM1114" t="n">
        <x:f>CHOOSE('假设'!$B$3,AJ1114,AK1114,AL1114)</x:f>
        <x:v>0</x:v>
      </x:c>
      <x:c r="AN1114" t="n">
        <x:v>1</x:v>
      </x:c>
    </x:row>
    <x:row r="1115" ht="23" customHeight="1">
      <x:c r="A1115" s="11" t="str">
        <x:v>688192.SH</x:v>
      </x:c>
      <x:c r="B1115" s="11" t="str">
        <x:v>五年</x:v>
      </x:c>
      <x:c r="C1115" s="11" t="str">
        <x:v>sun_later</x:v>
      </x:c>
      <x:c r="D1115" s="11" t="str">
        <x:v>2042-12-31</x:v>
      </x:c>
      <x:c r="E1115" s="11" t="str">
        <x:v>USD</x:v>
      </x:c>
      <x:c r="F1115" s="11" t="n">
        <x:v>11.227926078028748</x:v>
      </x:c>
      <x:c r="G1115" s="26" t="b">
        <x:v>1</x:v>
      </x:c>
      <x:c r="H1115" s="16" t="n">
        <x:v>0</x:v>
      </x:c>
      <x:c r="I1115" s="16" t="n">
        <x:v>0</x:v>
      </x:c>
      <x:c r="J1115" s="16" t="n">
        <x:v>0</x:v>
      </x:c>
      <x:c r="K1115" s="11" t="n">
        <x:f>CHOOSE('假设'!$B$3,H1115,I1115,J1115)</x:f>
        <x:v>0</x:v>
      </x:c>
      <x:c r="L1115" s="11" t="n">
        <x:f>K1115*'管线假设'!E255*'管线假设'!F255*'管线假设'!G255*IF(E1115="USD",'管线假设'!I255,1)-AM1115</x:f>
        <x:v>0</x:v>
      </x:c>
      <x:c r="M1115" s="11" t="n">
        <x:f>'管线假设'!H255</x:f>
        <x:v>0.125</x:v>
      </x:c>
      <x:c r="N1115" s="11" t="n">
        <x:f>IF(G1115,L1115*AN1115/(1+M1115)^F1115,0)</x:f>
        <x:v>0</x:v>
      </x:c>
      <x:c r="AJ1115" t="n">
        <x:v>0</x:v>
      </x:c>
      <x:c r="AK1115" t="n">
        <x:v>0</x:v>
      </x:c>
      <x:c r="AL1115" t="n">
        <x:v>0</x:v>
      </x:c>
      <x:c r="AM1115" t="n">
        <x:f>CHOOSE('假设'!$B$3,AJ1115,AK1115,AL1115)</x:f>
        <x:v>0</x:v>
      </x:c>
      <x:c r="AN1115" t="n">
        <x:v>1</x:v>
      </x:c>
    </x:row>
    <x:row r="1116" ht="23" customHeight="1">
      <x:c r="A1116" s="11" t="str">
        <x:v>688192.SH</x:v>
      </x:c>
      <x:c r="B1116" s="11" t="str">
        <x:v>五年</x:v>
      </x:c>
      <x:c r="C1116" s="11" t="str">
        <x:v>sun_later</x:v>
      </x:c>
      <x:c r="D1116" s="11" t="str">
        <x:v>2043-12-31</x:v>
      </x:c>
      <x:c r="E1116" s="11" t="str">
        <x:v>USD</x:v>
      </x:c>
      <x:c r="F1116" s="11" t="n">
        <x:v>12.227241615331964</x:v>
      </x:c>
      <x:c r="G1116" s="26" t="b">
        <x:v>1</x:v>
      </x:c>
      <x:c r="H1116" s="16" t="n">
        <x:v>0</x:v>
      </x:c>
      <x:c r="I1116" s="16" t="n">
        <x:v>0</x:v>
      </x:c>
      <x:c r="J1116" s="16" t="n">
        <x:v>0</x:v>
      </x:c>
      <x:c r="K1116" s="11" t="n">
        <x:f>CHOOSE('假设'!$B$3,H1116,I1116,J1116)</x:f>
        <x:v>0</x:v>
      </x:c>
      <x:c r="L1116" s="11" t="n">
        <x:f>K1116*'管线假设'!E255*'管线假设'!F255*'管线假设'!G255*IF(E1116="USD",'管线假设'!I255,1)-AM1116</x:f>
        <x:v>0</x:v>
      </x:c>
      <x:c r="M1116" s="11" t="n">
        <x:f>'管线假设'!H255</x:f>
        <x:v>0.125</x:v>
      </x:c>
      <x:c r="N1116" s="11" t="n">
        <x:f>IF(G1116,L1116*AN1116/(1+M1116)^F1116,0)</x:f>
        <x:v>0</x:v>
      </x:c>
      <x:c r="AJ1116" t="n">
        <x:v>0</x:v>
      </x:c>
      <x:c r="AK1116" t="n">
        <x:v>0</x:v>
      </x:c>
      <x:c r="AL1116" t="n">
        <x:v>0</x:v>
      </x:c>
      <x:c r="AM1116" t="n">
        <x:f>CHOOSE('假设'!$B$3,AJ1116,AK1116,AL1116)</x:f>
        <x:v>0</x:v>
      </x:c>
      <x:c r="AN1116" t="n">
        <x:v>1</x:v>
      </x:c>
    </x:row>
    <x:row r="1117" ht="23" customHeight="1">
      <x:c r="A1117" s="11" t="str">
        <x:v>688192.SH</x:v>
      </x:c>
      <x:c r="B1117" s="11" t="str">
        <x:v>五年</x:v>
      </x:c>
      <x:c r="C1117" s="11" t="str">
        <x:v>sun_later</x:v>
      </x:c>
      <x:c r="D1117" s="11" t="str">
        <x:v>2044-12-31</x:v>
      </x:c>
      <x:c r="E1117" s="11" t="str">
        <x:v>USD</x:v>
      </x:c>
      <x:c r="F1117" s="11" t="n">
        <x:v>13.229295003422314</x:v>
      </x:c>
      <x:c r="G1117" s="26" t="b">
        <x:v>1</x:v>
      </x:c>
      <x:c r="H1117" s="16" t="n">
        <x:v>0</x:v>
      </x:c>
      <x:c r="I1117" s="16" t="n">
        <x:v>0</x:v>
      </x:c>
      <x:c r="J1117" s="16" t="n">
        <x:v>0</x:v>
      </x:c>
      <x:c r="K1117" s="11" t="n">
        <x:f>CHOOSE('假设'!$B$3,H1117,I1117,J1117)</x:f>
        <x:v>0</x:v>
      </x:c>
      <x:c r="L1117" s="11" t="n">
        <x:f>K1117*'管线假设'!E255*'管线假设'!F255*'管线假设'!G255*IF(E1117="USD",'管线假设'!I255,1)-AM1117</x:f>
        <x:v>0</x:v>
      </x:c>
      <x:c r="M1117" s="11" t="n">
        <x:f>'管线假设'!H255</x:f>
        <x:v>0.125</x:v>
      </x:c>
      <x:c r="N1117" s="11" t="n">
        <x:f>IF(G1117,L1117*AN1117/(1+M1117)^F1117,0)</x:f>
        <x:v>0</x:v>
      </x:c>
      <x:c r="AJ1117" t="n">
        <x:v>0</x:v>
      </x:c>
      <x:c r="AK1117" t="n">
        <x:v>0</x:v>
      </x:c>
      <x:c r="AL1117" t="n">
        <x:v>0</x:v>
      </x:c>
      <x:c r="AM1117" t="n">
        <x:f>CHOOSE('假设'!$B$3,AJ1117,AK1117,AL1117)</x:f>
        <x:v>0</x:v>
      </x:c>
      <x:c r="AN1117" t="n">
        <x:v>1</x:v>
      </x:c>
    </x:row>
    <x:row r="1118" ht="23" customHeight="1">
      <x:c r="A1118" s="11" t="str">
        <x:v>688192.SH</x:v>
      </x:c>
      <x:c r="B1118" s="11" t="str">
        <x:v>五年</x:v>
      </x:c>
      <x:c r="C1118" s="11" t="str">
        <x:v>sun_later</x:v>
      </x:c>
      <x:c r="D1118" s="11" t="str">
        <x:v>2045-12-31</x:v>
      </x:c>
      <x:c r="E1118" s="11" t="str">
        <x:v>USD</x:v>
      </x:c>
      <x:c r="F1118" s="11" t="n">
        <x:v>14.22861054072553</x:v>
      </x:c>
      <x:c r="G1118" s="26" t="b">
        <x:v>1</x:v>
      </x:c>
      <x:c r="H1118" s="16" t="n">
        <x:v>0</x:v>
      </x:c>
      <x:c r="I1118" s="16" t="n">
        <x:v>0</x:v>
      </x:c>
      <x:c r="J1118" s="16" t="n">
        <x:v>0</x:v>
      </x:c>
      <x:c r="K1118" s="11" t="n">
        <x:f>CHOOSE('假设'!$B$3,H1118,I1118,J1118)</x:f>
        <x:v>0</x:v>
      </x:c>
      <x:c r="L1118" s="11" t="n">
        <x:f>K1118*'管线假设'!E255*'管线假设'!F255*'管线假设'!G255*IF(E1118="USD",'管线假设'!I255,1)-AM1118</x:f>
        <x:v>0</x:v>
      </x:c>
      <x:c r="M1118" s="11" t="n">
        <x:f>'管线假设'!H255</x:f>
        <x:v>0.125</x:v>
      </x:c>
      <x:c r="N1118" s="11" t="n">
        <x:f>IF(G1118,L1118*AN1118/(1+M1118)^F1118,0)</x:f>
        <x:v>0</x:v>
      </x:c>
      <x:c r="AJ1118" t="n">
        <x:v>0</x:v>
      </x:c>
      <x:c r="AK1118" t="n">
        <x:v>0</x:v>
      </x:c>
      <x:c r="AL1118" t="n">
        <x:v>0</x:v>
      </x:c>
      <x:c r="AM1118" t="n">
        <x:f>CHOOSE('假设'!$B$3,AJ1118,AK1118,AL1118)</x:f>
        <x:v>0</x:v>
      </x:c>
      <x:c r="AN1118" t="n">
        <x:v>1</x:v>
      </x:c>
    </x:row>
    <x:row r="1119" ht="23" customHeight="1">
      <x:c r="A1119" s="11" t="str">
        <x:v>688192.SH</x:v>
      </x:c>
      <x:c r="B1119" s="11" t="str">
        <x:v>五年</x:v>
      </x:c>
      <x:c r="C1119" s="11" t="str">
        <x:v>sun_first</x:v>
      </x:c>
      <x:c r="D1119" s="11" t="str">
        <x:v>2027-12-31</x:v>
      </x:c>
      <x:c r="E1119" s="11" t="str">
        <x:v>USD</x:v>
      </x:c>
      <x:c r="F1119" s="11" t="n">
        <x:v>-3.7727583846680357</x:v>
      </x:c>
      <x:c r="G1119" s="26" t="b">
        <x:v>0</x:v>
      </x:c>
      <x:c r="H1119" s="16" t="n">
        <x:v>0</x:v>
      </x:c>
      <x:c r="I1119" s="16" t="n">
        <x:v>0</x:v>
      </x:c>
      <x:c r="J1119" s="16" t="n">
        <x:v>0.45</x:v>
      </x:c>
      <x:c r="K1119" s="11" t="n">
        <x:f>CHOOSE('假设'!$B$3,H1119,I1119,J1119)</x:f>
        <x:v>0</x:v>
      </x:c>
      <x:c r="L1119" s="11" t="n">
        <x:f>K1119*'管线假设'!E259*'管线假设'!F259*'管线假设'!G259*IF(E1119="USD",'管线假设'!I259,1)-AM1119</x:f>
        <x:v>0</x:v>
      </x:c>
      <x:c r="M1119" s="11" t="n">
        <x:f>'管线假设'!H259</x:f>
        <x:v>0.125</x:v>
      </x:c>
      <x:c r="N1119" s="11" t="n">
        <x:f>IF(G1119,L1119*AN1119/(1+M1119)^F1119,0)</x:f>
        <x:v>0</x:v>
      </x:c>
      <x:c r="AJ1119" t="n">
        <x:v>0</x:v>
      </x:c>
      <x:c r="AK1119" t="n">
        <x:v>0</x:v>
      </x:c>
      <x:c r="AL1119" t="n">
        <x:v>0</x:v>
      </x:c>
      <x:c r="AM1119" t="n">
        <x:f>CHOOSE('假设'!$B$3,AJ1119,AK1119,AL1119)</x:f>
        <x:v>0</x:v>
      </x:c>
      <x:c r="AN1119" t="n">
        <x:v>1</x:v>
      </x:c>
    </x:row>
    <x:row r="1120" ht="23" customHeight="1">
      <x:c r="A1120" s="11" t="str">
        <x:v>688192.SH</x:v>
      </x:c>
      <x:c r="B1120" s="11" t="str">
        <x:v>五年</x:v>
      </x:c>
      <x:c r="C1120" s="11" t="str">
        <x:v>sun_first</x:v>
      </x:c>
      <x:c r="D1120" s="11" t="str">
        <x:v>2028-12-31</x:v>
      </x:c>
      <x:c r="E1120" s="11" t="str">
        <x:v>USD</x:v>
      </x:c>
      <x:c r="F1120" s="11" t="n">
        <x:v>-2.7707049965776864</x:v>
      </x:c>
      <x:c r="G1120" s="26" t="b">
        <x:v>0</x:v>
      </x:c>
      <x:c r="H1120" s="16" t="n">
        <x:v>0</x:v>
      </x:c>
      <x:c r="I1120" s="16" t="n">
        <x:v>0.25</x:v>
      </x:c>
      <x:c r="J1120" s="16" t="n">
        <x:v>0.9</x:v>
      </x:c>
      <x:c r="K1120" s="11" t="n">
        <x:f>CHOOSE('假设'!$B$3,H1120,I1120,J1120)</x:f>
        <x:v>0.25</x:v>
      </x:c>
      <x:c r="L1120" s="11" t="n">
        <x:f>K1120*'管线假设'!E259*'管线假设'!F259*'管线假设'!G259*IF(E1120="USD",'管线假设'!I259,1)-AM1120</x:f>
        <x:v>0.12865923</x:v>
      </x:c>
      <x:c r="M1120" s="11" t="n">
        <x:f>'管线假设'!H259</x:f>
        <x:v>0.125</x:v>
      </x:c>
      <x:c r="N1120" s="11" t="n">
        <x:f>IF(G1120,L1120*AN1120/(1+M1120)^F1120,0)</x:f>
        <x:v>0</x:v>
      </x:c>
      <x:c r="AJ1120" t="n">
        <x:v>0</x:v>
      </x:c>
      <x:c r="AK1120" t="n">
        <x:v>0</x:v>
      </x:c>
      <x:c r="AL1120" t="n">
        <x:v>0</x:v>
      </x:c>
      <x:c r="AM1120" t="n">
        <x:f>CHOOSE('假设'!$B$3,AJ1120,AK1120,AL1120)</x:f>
        <x:v>0</x:v>
      </x:c>
      <x:c r="AN1120" t="n">
        <x:v>1</x:v>
      </x:c>
    </x:row>
    <x:row r="1121" ht="23" customHeight="1">
      <x:c r="A1121" s="11" t="str">
        <x:v>688192.SH</x:v>
      </x:c>
      <x:c r="B1121" s="11" t="str">
        <x:v>五年</x:v>
      </x:c>
      <x:c r="C1121" s="11" t="str">
        <x:v>sun_first</x:v>
      </x:c>
      <x:c r="D1121" s="11" t="str">
        <x:v>2029-12-31</x:v>
      </x:c>
      <x:c r="E1121" s="11" t="str">
        <x:v>USD</x:v>
      </x:c>
      <x:c r="F1121" s="11" t="n">
        <x:v>-1.7713894592744694</x:v>
      </x:c>
      <x:c r="G1121" s="26" t="b">
        <x:v>0</x:v>
      </x:c>
      <x:c r="H1121" s="16" t="n">
        <x:v>0.1</x:v>
      </x:c>
      <x:c r="I1121" s="16" t="n">
        <x:v>0.5</x:v>
      </x:c>
      <x:c r="J1121" s="16" t="n">
        <x:v>1.35</x:v>
      </x:c>
      <x:c r="K1121" s="11" t="n">
        <x:f>CHOOSE('假设'!$B$3,H1121,I1121,J1121)</x:f>
        <x:v>0.5</x:v>
      </x:c>
      <x:c r="L1121" s="11" t="n">
        <x:f>K1121*'管线假设'!E259*'管线假设'!F259*'管线假设'!G259*IF(E1121="USD",'管线假设'!I259,1)-AM1121</x:f>
        <x:v>0.25731846</x:v>
      </x:c>
      <x:c r="M1121" s="11" t="n">
        <x:f>'管线假设'!H259</x:f>
        <x:v>0.125</x:v>
      </x:c>
      <x:c r="N1121" s="11" t="n">
        <x:f>IF(G1121,L1121*AN1121/(1+M1121)^F1121,0)</x:f>
        <x:v>0</x:v>
      </x:c>
      <x:c r="AJ1121" t="n">
        <x:v>0</x:v>
      </x:c>
      <x:c r="AK1121" t="n">
        <x:v>0</x:v>
      </x:c>
      <x:c r="AL1121" t="n">
        <x:v>0</x:v>
      </x:c>
      <x:c r="AM1121" t="n">
        <x:f>CHOOSE('假设'!$B$3,AJ1121,AK1121,AL1121)</x:f>
        <x:v>0</x:v>
      </x:c>
      <x:c r="AN1121" t="n">
        <x:v>1</x:v>
      </x:c>
    </x:row>
    <x:row r="1122" ht="23" customHeight="1">
      <x:c r="A1122" s="11" t="str">
        <x:v>688192.SH</x:v>
      </x:c>
      <x:c r="B1122" s="11" t="str">
        <x:v>五年</x:v>
      </x:c>
      <x:c r="C1122" s="11" t="str">
        <x:v>sun_first</x:v>
      </x:c>
      <x:c r="D1122" s="11" t="str">
        <x:v>2030-12-31</x:v>
      </x:c>
      <x:c r="E1122" s="11" t="str">
        <x:v>USD</x:v>
      </x:c>
      <x:c r="F1122" s="11" t="n">
        <x:v>-0.7720739219712526</x:v>
      </x:c>
      <x:c r="G1122" s="26" t="b">
        <x:v>0</x:v>
      </x:c>
      <x:c r="H1122" s="16" t="n">
        <x:v>0.2</x:v>
      </x:c>
      <x:c r="I1122" s="16" t="n">
        <x:v>0.75</x:v>
      </x:c>
      <x:c r="J1122" s="16" t="n">
        <x:v>1.8</x:v>
      </x:c>
      <x:c r="K1122" s="11" t="n">
        <x:f>CHOOSE('假设'!$B$3,H1122,I1122,J1122)</x:f>
        <x:v>0.75</x:v>
      </x:c>
      <x:c r="L1122" s="11" t="n">
        <x:f>K1122*'管线假设'!E259*'管线假设'!F259*'管线假设'!G259*IF(E1122="USD",'管线假设'!I259,1)-AM1122</x:f>
        <x:v>0.38597769000000004</x:v>
      </x:c>
      <x:c r="M1122" s="11" t="n">
        <x:f>'管线假设'!H259</x:f>
        <x:v>0.125</x:v>
      </x:c>
      <x:c r="N1122" s="11" t="n">
        <x:f>IF(G1122,L1122*AN1122/(1+M1122)^F1122,0)</x:f>
        <x:v>0</x:v>
      </x:c>
      <x:c r="AJ1122" t="n">
        <x:v>0</x:v>
      </x:c>
      <x:c r="AK1122" t="n">
        <x:v>0</x:v>
      </x:c>
      <x:c r="AL1122" t="n">
        <x:v>0</x:v>
      </x:c>
      <x:c r="AM1122" t="n">
        <x:f>CHOOSE('假设'!$B$3,AJ1122,AK1122,AL1122)</x:f>
        <x:v>0</x:v>
      </x:c>
      <x:c r="AN1122" t="n">
        <x:v>1</x:v>
      </x:c>
    </x:row>
    <x:row r="1123" ht="23" customHeight="1">
      <x:c r="A1123" s="11" t="str">
        <x:v>688192.SH</x:v>
      </x:c>
      <x:c r="B1123" s="11" t="str">
        <x:v>五年</x:v>
      </x:c>
      <x:c r="C1123" s="11" t="str">
        <x:v>sun_first</x:v>
      </x:c>
      <x:c r="D1123" s="11" t="str">
        <x:v>2031-12-31</x:v>
      </x:c>
      <x:c r="E1123" s="11" t="str">
        <x:v>USD</x:v>
      </x:c>
      <x:c r="F1123" s="11" t="n">
        <x:v>0.2272416153319644</x:v>
      </x:c>
      <x:c r="G1123" s="26" t="b">
        <x:v>1</x:v>
      </x:c>
      <x:c r="H1123" s="16" t="n">
        <x:v>0.3</x:v>
      </x:c>
      <x:c r="I1123" s="16" t="n">
        <x:v>1</x:v>
      </x:c>
      <x:c r="J1123" s="16" t="n">
        <x:v>2.2500000000000004</x:v>
      </x:c>
      <x:c r="K1123" s="11" t="n">
        <x:f>CHOOSE('假设'!$B$3,H1123,I1123,J1123)</x:f>
        <x:v>1</x:v>
      </x:c>
      <x:c r="L1123" s="11" t="n">
        <x:f>K1123*'管线假设'!E259*'管线假设'!F259*'管线假设'!G259*IF(E1123="USD",'管线假设'!I259,1)-AM1123</x:f>
        <x:v>0.51463692</x:v>
      </x:c>
      <x:c r="M1123" s="11" t="n">
        <x:f>'管线假设'!H259</x:f>
        <x:v>0.125</x:v>
      </x:c>
      <x:c r="N1123" s="11" t="n">
        <x:f>IF(G1123,L1123*AN1123/(1+M1123)^F1123,0)</x:f>
        <x:v>0.5010452593544813</x:v>
      </x:c>
      <x:c r="AJ1123" t="n">
        <x:v>0</x:v>
      </x:c>
      <x:c r="AK1123" t="n">
        <x:v>0</x:v>
      </x:c>
      <x:c r="AL1123" t="n">
        <x:v>0</x:v>
      </x:c>
      <x:c r="AM1123" t="n">
        <x:f>CHOOSE('假设'!$B$3,AJ1123,AK1123,AL1123)</x:f>
        <x:v>0</x:v>
      </x:c>
      <x:c r="AN1123" t="n">
        <x:v>1</x:v>
      </x:c>
    </x:row>
    <x:row r="1124" ht="23" customHeight="1">
      <x:c r="A1124" s="11" t="str">
        <x:v>688192.SH</x:v>
      </x:c>
      <x:c r="B1124" s="11" t="str">
        <x:v>五年</x:v>
      </x:c>
      <x:c r="C1124" s="11" t="str">
        <x:v>sun_first</x:v>
      </x:c>
      <x:c r="D1124" s="11" t="str">
        <x:v>2032-12-31</x:v>
      </x:c>
      <x:c r="E1124" s="11" t="str">
        <x:v>USD</x:v>
      </x:c>
      <x:c r="F1124" s="11" t="n">
        <x:v>1.2292950034223136</x:v>
      </x:c>
      <x:c r="G1124" s="26" t="b">
        <x:v>1</x:v>
      </x:c>
      <x:c r="H1124" s="16" t="n">
        <x:v>0.4</x:v>
      </x:c>
      <x:c r="I1124" s="16" t="n">
        <x:v>1.25</x:v>
      </x:c>
      <x:c r="J1124" s="16" t="n">
        <x:v>2.7</x:v>
      </x:c>
      <x:c r="K1124" s="11" t="n">
        <x:f>CHOOSE('假设'!$B$3,H1124,I1124,J1124)</x:f>
        <x:v>1.25</x:v>
      </x:c>
      <x:c r="L1124" s="11" t="n">
        <x:f>K1124*'管线假设'!E259*'管线假设'!F259*'管线假设'!G259*IF(E1124="USD",'管线假设'!I259,1)-AM1124</x:f>
        <x:v>0.64329615</x:v>
      </x:c>
      <x:c r="M1124" s="11" t="n">
        <x:f>'管线假设'!H259</x:f>
        <x:v>0.125</x:v>
      </x:c>
      <x:c r="N1124" s="11" t="n">
        <x:f>IF(G1124,L1124*AN1124/(1+M1124)^F1124,0)</x:f>
        <x:v>0.5565823267394017</x:v>
      </x:c>
      <x:c r="AJ1124" t="n">
        <x:v>0</x:v>
      </x:c>
      <x:c r="AK1124" t="n">
        <x:v>0</x:v>
      </x:c>
      <x:c r="AL1124" t="n">
        <x:v>0</x:v>
      </x:c>
      <x:c r="AM1124" t="n">
        <x:f>CHOOSE('假设'!$B$3,AJ1124,AK1124,AL1124)</x:f>
        <x:v>0</x:v>
      </x:c>
      <x:c r="AN1124" t="n">
        <x:v>1</x:v>
      </x:c>
    </x:row>
    <x:row r="1125" ht="23" customHeight="1">
      <x:c r="A1125" s="11" t="str">
        <x:v>688192.SH</x:v>
      </x:c>
      <x:c r="B1125" s="11" t="str">
        <x:v>五年</x:v>
      </x:c>
      <x:c r="C1125" s="11" t="str">
        <x:v>sun_first</x:v>
      </x:c>
      <x:c r="D1125" s="11" t="str">
        <x:v>2033-12-31</x:v>
      </x:c>
      <x:c r="E1125" s="11" t="str">
        <x:v>USD</x:v>
      </x:c>
      <x:c r="F1125" s="11" t="n">
        <x:v>2.2286105407255303</x:v>
      </x:c>
      <x:c r="G1125" s="26" t="b">
        <x:v>1</x:v>
      </x:c>
      <x:c r="H1125" s="16" t="n">
        <x:v>0.5</x:v>
      </x:c>
      <x:c r="I1125" s="16" t="n">
        <x:v>1.5</x:v>
      </x:c>
      <x:c r="J1125" s="16" t="n">
        <x:v>2.3760000000000003</x:v>
      </x:c>
      <x:c r="K1125" s="11" t="n">
        <x:f>CHOOSE('假设'!$B$3,H1125,I1125,J1125)</x:f>
        <x:v>1.5</x:v>
      </x:c>
      <x:c r="L1125" s="11" t="n">
        <x:f>K1125*'管线假设'!E259*'管线假设'!F259*'管线假设'!G259*IF(E1125="USD",'管线假设'!I259,1)-AM1125</x:f>
        <x:v>0.7719553800000001</x:v>
      </x:c>
      <x:c r="M1125" s="11" t="n">
        <x:f>'管线假设'!H259</x:f>
        <x:v>0.125</x:v>
      </x:c>
      <x:c r="N1125" s="11" t="n">
        <x:f>IF(G1125,L1125*AN1125/(1+M1125)^F1125,0)</x:f>
        <x:v>0.5937356790982403</x:v>
      </x:c>
      <x:c r="AJ1125" t="n">
        <x:v>0</x:v>
      </x:c>
      <x:c r="AK1125" t="n">
        <x:v>0</x:v>
      </x:c>
      <x:c r="AL1125" t="n">
        <x:v>0</x:v>
      </x:c>
      <x:c r="AM1125" t="n">
        <x:f>CHOOSE('假设'!$B$3,AJ1125,AK1125,AL1125)</x:f>
        <x:v>0</x:v>
      </x:c>
      <x:c r="AN1125" t="n">
        <x:v>1</x:v>
      </x:c>
    </x:row>
    <x:row r="1126" ht="23" customHeight="1">
      <x:c r="A1126" s="11" t="str">
        <x:v>688192.SH</x:v>
      </x:c>
      <x:c r="B1126" s="11" t="str">
        <x:v>五年</x:v>
      </x:c>
      <x:c r="C1126" s="11" t="str">
        <x:v>sun_first</x:v>
      </x:c>
      <x:c r="D1126" s="11" t="str">
        <x:v>2034-12-31</x:v>
      </x:c>
      <x:c r="E1126" s="11" t="str">
        <x:v>USD</x:v>
      </x:c>
      <x:c r="F1126" s="11" t="n">
        <x:v>3.2279260780287475</x:v>
      </x:c>
      <x:c r="G1126" s="26" t="b">
        <x:v>1</x:v>
      </x:c>
      <x:c r="H1126" s="16" t="n">
        <x:v>0.44</x:v>
      </x:c>
      <x:c r="I1126" s="16" t="n">
        <x:v>1.32</x:v>
      </x:c>
      <x:c r="J1126" s="16" t="n">
        <x:v>2.052</x:v>
      </x:c>
      <x:c r="K1126" s="11" t="n">
        <x:f>CHOOSE('假设'!$B$3,H1126,I1126,J1126)</x:f>
        <x:v>1.32</x:v>
      </x:c>
      <x:c r="L1126" s="11" t="n">
        <x:f>K1126*'管线假设'!E259*'管线假设'!F259*'管线假设'!G259*IF(E1126="USD",'管线假设'!I259,1)-AM1126</x:f>
        <x:v>0.6793207344000001</x:v>
      </x:c>
      <x:c r="M1126" s="11" t="n">
        <x:f>'管线假设'!H259</x:f>
        <x:v>0.125</x:v>
      </x:c>
      <x:c r="N1126" s="11" t="n">
        <x:f>IF(G1126,L1126*AN1126/(1+M1126)^F1126,0)</x:f>
        <x:v>0.46447068554901483</x:v>
      </x:c>
      <x:c r="AJ1126" t="n">
        <x:v>0</x:v>
      </x:c>
      <x:c r="AK1126" t="n">
        <x:v>0</x:v>
      </x:c>
      <x:c r="AL1126" t="n">
        <x:v>0</x:v>
      </x:c>
      <x:c r="AM1126" t="n">
        <x:f>CHOOSE('假设'!$B$3,AJ1126,AK1126,AL1126)</x:f>
        <x:v>0</x:v>
      </x:c>
      <x:c r="AN1126" t="n">
        <x:v>1</x:v>
      </x:c>
    </x:row>
    <x:row r="1127" ht="23" customHeight="1">
      <x:c r="A1127" s="11" t="str">
        <x:v>688192.SH</x:v>
      </x:c>
      <x:c r="B1127" s="11" t="str">
        <x:v>五年</x:v>
      </x:c>
      <x:c r="C1127" s="11" t="str">
        <x:v>sun_first</x:v>
      </x:c>
      <x:c r="D1127" s="11" t="str">
        <x:v>2035-12-31</x:v>
      </x:c>
      <x:c r="E1127" s="11" t="str">
        <x:v>USD</x:v>
      </x:c>
      <x:c r="F1127" s="11" t="n">
        <x:v>4.227241615331964</x:v>
      </x:c>
      <x:c r="G1127" s="26" t="b">
        <x:v>1</x:v>
      </x:c>
      <x:c r="H1127" s="16" t="n">
        <x:v>0.38</x:v>
      </x:c>
      <x:c r="I1127" s="16" t="n">
        <x:v>1.1400000000000001</x:v>
      </x:c>
      <x:c r="J1127" s="16" t="n">
        <x:v>1.7280000000000002</x:v>
      </x:c>
      <x:c r="K1127" s="11" t="n">
        <x:f>CHOOSE('假设'!$B$3,H1127,I1127,J1127)</x:f>
        <x:v>1.1400000000000001</x:v>
      </x:c>
      <x:c r="L1127" s="11" t="n">
        <x:f>K1127*'管线假设'!E259*'管线假设'!F259*'管线假设'!G259*IF(E1127="USD",'管线假设'!I259,1)-AM1127</x:f>
        <x:v>0.5866860888000002</x:v>
      </x:c>
      <x:c r="M1127" s="11" t="n">
        <x:f>'管线假设'!H259</x:f>
        <x:v>0.125</x:v>
      </x:c>
      <x:c r="N1127" s="11" t="n">
        <x:f>IF(G1127,L1127*AN1127/(1+M1127)^F1127,0)</x:f>
        <x:v>0.3565921011797271</x:v>
      </x:c>
      <x:c r="AJ1127" t="n">
        <x:v>0</x:v>
      </x:c>
      <x:c r="AK1127" t="n">
        <x:v>0</x:v>
      </x:c>
      <x:c r="AL1127" t="n">
        <x:v>0</x:v>
      </x:c>
      <x:c r="AM1127" t="n">
        <x:f>CHOOSE('假设'!$B$3,AJ1127,AK1127,AL1127)</x:f>
        <x:v>0</x:v>
      </x:c>
      <x:c r="AN1127" t="n">
        <x:v>1</x:v>
      </x:c>
    </x:row>
    <x:row r="1128" ht="23" customHeight="1">
      <x:c r="A1128" s="11" t="str">
        <x:v>688192.SH</x:v>
      </x:c>
      <x:c r="B1128" s="11" t="str">
        <x:v>五年</x:v>
      </x:c>
      <x:c r="C1128" s="11" t="str">
        <x:v>sun_first</x:v>
      </x:c>
      <x:c r="D1128" s="11" t="str">
        <x:v>2036-12-31</x:v>
      </x:c>
      <x:c r="E1128" s="11" t="str">
        <x:v>USD</x:v>
      </x:c>
      <x:c r="F1128" s="11" t="n">
        <x:v>5.229295003422314</x:v>
      </x:c>
      <x:c r="G1128" s="26" t="b">
        <x:v>1</x:v>
      </x:c>
      <x:c r="H1128" s="16" t="n">
        <x:v>0.32</x:v>
      </x:c>
      <x:c r="I1128" s="16" t="n">
        <x:v>0.96</x:v>
      </x:c>
      <x:c r="J1128" s="16" t="n">
        <x:v>1.4040000000000001</x:v>
      </x:c>
      <x:c r="K1128" s="11" t="n">
        <x:f>CHOOSE('假设'!$B$3,H1128,I1128,J1128)</x:f>
        <x:v>0.96</x:v>
      </x:c>
      <x:c r="L1128" s="11" t="n">
        <x:f>K1128*'管线假设'!E259*'管线假设'!F259*'管线假设'!G259*IF(E1128="USD",'管线假设'!I259,1)-AM1128</x:f>
        <x:v>0.4940514432</x:v>
      </x:c>
      <x:c r="M1128" s="11" t="n">
        <x:f>'管线假设'!H259</x:f>
        <x:v>0.125</x:v>
      </x:c>
      <x:c r="N1128" s="11" t="n">
        <x:f>IF(G1128,L1128*AN1128/(1+M1128)^F1128,0)</x:f>
        <x:v>0.2668581938011408</x:v>
      </x:c>
      <x:c r="AJ1128" t="n">
        <x:v>0</x:v>
      </x:c>
      <x:c r="AK1128" t="n">
        <x:v>0</x:v>
      </x:c>
      <x:c r="AL1128" t="n">
        <x:v>0</x:v>
      </x:c>
      <x:c r="AM1128" t="n">
        <x:f>CHOOSE('假设'!$B$3,AJ1128,AK1128,AL1128)</x:f>
        <x:v>0</x:v>
      </x:c>
      <x:c r="AN1128" t="n">
        <x:v>1</x:v>
      </x:c>
    </x:row>
    <x:row r="1129" ht="23" customHeight="1">
      <x:c r="A1129" s="11" t="str">
        <x:v>688192.SH</x:v>
      </x:c>
      <x:c r="B1129" s="11" t="str">
        <x:v>五年</x:v>
      </x:c>
      <x:c r="C1129" s="11" t="str">
        <x:v>sun_first</x:v>
      </x:c>
      <x:c r="D1129" s="11" t="str">
        <x:v>2037-12-31</x:v>
      </x:c>
      <x:c r="E1129" s="11" t="str">
        <x:v>USD</x:v>
      </x:c>
      <x:c r="F1129" s="11" t="n">
        <x:v>6.228610540725531</x:v>
      </x:c>
      <x:c r="G1129" s="26" t="b">
        <x:v>1</x:v>
      </x:c>
      <x:c r="H1129" s="16" t="n">
        <x:v>0.26</x:v>
      </x:c>
      <x:c r="I1129" s="16" t="n">
        <x:v>0.78</x:v>
      </x:c>
      <x:c r="J1129" s="16" t="n">
        <x:v>1.08</x:v>
      </x:c>
      <x:c r="K1129" s="11" t="n">
        <x:f>CHOOSE('假设'!$B$3,H1129,I1129,J1129)</x:f>
        <x:v>0.78</x:v>
      </x:c>
      <x:c r="L1129" s="11" t="n">
        <x:f>K1129*'管线假设'!E259*'管线假设'!F259*'管线假设'!G259*IF(E1129="USD",'管线假设'!I259,1)-AM1129</x:f>
        <x:v>0.40141679760000004</x:v>
      </x:c>
      <x:c r="M1129" s="11" t="n">
        <x:f>'管线假设'!H259</x:f>
        <x:v>0.125</x:v>
      </x:c>
      <x:c r="N1129" s="11" t="n">
        <x:f>IF(G1129,L1129*AN1129/(1+M1129)^F1129,0)</x:f>
        <x:v>0.19274645597087703</x:v>
      </x:c>
      <x:c r="AJ1129" t="n">
        <x:v>0</x:v>
      </x:c>
      <x:c r="AK1129" t="n">
        <x:v>0</x:v>
      </x:c>
      <x:c r="AL1129" t="n">
        <x:v>0</x:v>
      </x:c>
      <x:c r="AM1129" t="n">
        <x:f>CHOOSE('假设'!$B$3,AJ1129,AK1129,AL1129)</x:f>
        <x:v>0</x:v>
      </x:c>
      <x:c r="AN1129" t="n">
        <x:v>1</x:v>
      </x:c>
    </x:row>
    <x:row r="1130" ht="23" customHeight="1">
      <x:c r="A1130" s="11" t="str">
        <x:v>688192.SH</x:v>
      </x:c>
      <x:c r="B1130" s="11" t="str">
        <x:v>五年</x:v>
      </x:c>
      <x:c r="C1130" s="11" t="str">
        <x:v>sun_first</x:v>
      </x:c>
      <x:c r="D1130" s="11" t="str">
        <x:v>2038-12-31</x:v>
      </x:c>
      <x:c r="E1130" s="11" t="str">
        <x:v>USD</x:v>
      </x:c>
      <x:c r="F1130" s="11" t="n">
        <x:v>7.227926078028747</x:v>
      </x:c>
      <x:c r="G1130" s="26" t="b">
        <x:v>1</x:v>
      </x:c>
      <x:c r="H1130" s="16" t="n">
        <x:v>0.2</x:v>
      </x:c>
      <x:c r="I1130" s="16" t="n">
        <x:v>0.6000000000000001</x:v>
      </x:c>
      <x:c r="J1130" s="16" t="n">
        <x:v>0.7560000000000001</x:v>
      </x:c>
      <x:c r="K1130" s="11" t="n">
        <x:f>CHOOSE('假设'!$B$3,H1130,I1130,J1130)</x:f>
        <x:v>0.6000000000000001</x:v>
      </x:c>
      <x:c r="L1130" s="11" t="n">
        <x:f>K1130*'管线假设'!E259*'管线假设'!F259*'管线假设'!G259*IF(E1130="USD",'管线假设'!I259,1)-AM1130</x:f>
        <x:v>0.3087821520000001</x:v>
      </x:c>
      <x:c r="M1130" s="11" t="n">
        <x:f>'管线假设'!H259</x:f>
        <x:v>0.125</x:v>
      </x:c>
      <x:c r="N1130" s="11" t="n">
        <x:f>IF(G1130,L1130*AN1130/(1+M1130)^F1130,0)</x:f>
        <x:v>0.1318030738114177</x:v>
      </x:c>
      <x:c r="AJ1130" t="n">
        <x:v>0</x:v>
      </x:c>
      <x:c r="AK1130" t="n">
        <x:v>0</x:v>
      </x:c>
      <x:c r="AL1130" t="n">
        <x:v>0</x:v>
      </x:c>
      <x:c r="AM1130" t="n">
        <x:f>CHOOSE('假设'!$B$3,AJ1130,AK1130,AL1130)</x:f>
        <x:v>0</x:v>
      </x:c>
      <x:c r="AN1130" t="n">
        <x:v>1</x:v>
      </x:c>
    </x:row>
    <x:row r="1131" ht="23" customHeight="1">
      <x:c r="A1131" s="11" t="str">
        <x:v>688192.SH</x:v>
      </x:c>
      <x:c r="B1131" s="11" t="str">
        <x:v>五年</x:v>
      </x:c>
      <x:c r="C1131" s="11" t="str">
        <x:v>sun_first</x:v>
      </x:c>
      <x:c r="D1131" s="11" t="str">
        <x:v>2039-12-31</x:v>
      </x:c>
      <x:c r="E1131" s="11" t="str">
        <x:v>USD</x:v>
      </x:c>
      <x:c r="F1131" s="11" t="n">
        <x:v>8.227241615331964</x:v>
      </x:c>
      <x:c r="G1131" s="26" t="b">
        <x:v>1</x:v>
      </x:c>
      <x:c r="H1131" s="16" t="n">
        <x:v>0.14</x:v>
      </x:c>
      <x:c r="I1131" s="16" t="n">
        <x:v>0.42000000000000004</x:v>
      </x:c>
      <x:c r="J1131" s="16" t="n">
        <x:v>0.4320000000000001</x:v>
      </x:c>
      <x:c r="K1131" s="11" t="n">
        <x:f>CHOOSE('假设'!$B$3,H1131,I1131,J1131)</x:f>
        <x:v>0.42000000000000004</x:v>
      </x:c>
      <x:c r="L1131" s="11" t="n">
        <x:f>K1131*'管线假设'!E259*'管线假设'!F259*'管线假设'!G259*IF(E1131="USD",'管线假设'!I259,1)-AM1131</x:f>
        <x:v>0.21614750640000005</x:v>
      </x:c>
      <x:c r="M1131" s="11" t="n">
        <x:f>'管线假设'!H259</x:f>
        <x:v>0.125</x:v>
      </x:c>
      <x:c r="N1131" s="11" t="n">
        <x:f>IF(G1131,L1131*AN1131/(1+M1131)^F1131,0)</x:f>
        <x:v>0.08201741330369355</x:v>
      </x:c>
      <x:c r="AJ1131" t="n">
        <x:v>0</x:v>
      </x:c>
      <x:c r="AK1131" t="n">
        <x:v>0</x:v>
      </x:c>
      <x:c r="AL1131" t="n">
        <x:v>0</x:v>
      </x:c>
      <x:c r="AM1131" t="n">
        <x:f>CHOOSE('假设'!$B$3,AJ1131,AK1131,AL1131)</x:f>
        <x:v>0</x:v>
      </x:c>
      <x:c r="AN1131" t="n">
        <x:v>1</x:v>
      </x:c>
    </x:row>
    <x:row r="1132" ht="23" customHeight="1">
      <x:c r="A1132" s="11" t="str">
        <x:v>688192.SH</x:v>
      </x:c>
      <x:c r="B1132" s="11" t="str">
        <x:v>五年</x:v>
      </x:c>
      <x:c r="C1132" s="11" t="str">
        <x:v>sun_first</x:v>
      </x:c>
      <x:c r="D1132" s="11" t="str">
        <x:v>2040-12-31</x:v>
      </x:c>
      <x:c r="E1132" s="11" t="str">
        <x:v>USD</x:v>
      </x:c>
      <x:c r="F1132" s="11" t="n">
        <x:v>9.229295003422314</x:v>
      </x:c>
      <x:c r="G1132" s="26" t="b">
        <x:v>1</x:v>
      </x:c>
      <x:c r="H1132" s="16" t="n">
        <x:v>0.08000000000000002</x:v>
      </x:c>
      <x:c r="I1132" s="16" t="n">
        <x:v>0.24000000000000005</x:v>
      </x:c>
      <x:c r="J1132" s="16" t="n">
        <x:v>0.10800000000000011</x:v>
      </x:c>
      <x:c r="K1132" s="11" t="n">
        <x:f>CHOOSE('假设'!$B$3,H1132,I1132,J1132)</x:f>
        <x:v>0.24000000000000005</x:v>
      </x:c>
      <x:c r="L1132" s="11" t="n">
        <x:f>K1132*'管线假设'!E259*'管线假设'!F259*'管线假设'!G259*IF(E1132="USD",'管线假设'!I259,1)-AM1132</x:f>
        <x:v>0.12351286080000003</x:v>
      </x:c>
      <x:c r="M1132" s="11" t="n">
        <x:f>'管线假设'!H259</x:f>
        <x:v>0.125</x:v>
      </x:c>
      <x:c r="N1132" s="11" t="n">
        <x:f>IF(G1132,L1132*AN1132/(1+M1132)^F1132,0)</x:f>
        <x:v>0.04164956415978787</x:v>
      </x:c>
      <x:c r="AJ1132" t="n">
        <x:v>0</x:v>
      </x:c>
      <x:c r="AK1132" t="n">
        <x:v>0</x:v>
      </x:c>
      <x:c r="AL1132" t="n">
        <x:v>0</x:v>
      </x:c>
      <x:c r="AM1132" t="n">
        <x:f>CHOOSE('假设'!$B$3,AJ1132,AK1132,AL1132)</x:f>
        <x:v>0</x:v>
      </x:c>
      <x:c r="AN1132" t="n">
        <x:v>1</x:v>
      </x:c>
    </x:row>
    <x:row r="1133" ht="23" customHeight="1">
      <x:c r="A1133" s="11" t="str">
        <x:v>688192.SH</x:v>
      </x:c>
      <x:c r="B1133" s="11" t="str">
        <x:v>五年</x:v>
      </x:c>
      <x:c r="C1133" s="11" t="str">
        <x:v>sun_first</x:v>
      </x:c>
      <x:c r="D1133" s="11" t="str">
        <x:v>2041-12-31</x:v>
      </x:c>
      <x:c r="E1133" s="11" t="str">
        <x:v>USD</x:v>
      </x:c>
      <x:c r="F1133" s="11" t="n">
        <x:v>10.22861054072553</x:v>
      </x:c>
      <x:c r="G1133" s="26" t="b">
        <x:v>1</x:v>
      </x:c>
      <x:c r="H1133" s="16" t="n">
        <x:v>0.020000000000000018</x:v>
      </x:c>
      <x:c r="I1133" s="16" t="n">
        <x:v>0.06000000000000005</x:v>
      </x:c>
      <x:c r="J1133" s="16" t="n">
        <x:v>0</x:v>
      </x:c>
      <x:c r="K1133" s="11" t="n">
        <x:f>CHOOSE('假设'!$B$3,H1133,I1133,J1133)</x:f>
        <x:v>0.06000000000000005</x:v>
      </x:c>
      <x:c r="L1133" s="11" t="n">
        <x:f>K1133*'管线假设'!E259*'管线假设'!F259*'管线假设'!G259*IF(E1133="USD",'管线假设'!I259,1)-AM1133</x:f>
        <x:v>0.030878215200000027</x:v>
      </x:c>
      <x:c r="M1133" s="11" t="n">
        <x:f>'管线假设'!H259</x:f>
        <x:v>0.125</x:v>
      </x:c>
      <x:c r="N1133" s="11" t="n">
        <x:f>IF(G1133,L1133*AN1133/(1+M1133)^F1133,0)</x:f>
        <x:v>0.0092562048896945</x:v>
      </x:c>
      <x:c r="AJ1133" t="n">
        <x:v>0</x:v>
      </x:c>
      <x:c r="AK1133" t="n">
        <x:v>0</x:v>
      </x:c>
      <x:c r="AL1133" t="n">
        <x:v>0</x:v>
      </x:c>
      <x:c r="AM1133" t="n">
        <x:f>CHOOSE('假设'!$B$3,AJ1133,AK1133,AL1133)</x:f>
        <x:v>0</x:v>
      </x:c>
      <x:c r="AN1133" t="n">
        <x:v>1</x:v>
      </x:c>
    </x:row>
    <x:row r="1134" ht="23" customHeight="1">
      <x:c r="A1134" s="11" t="str">
        <x:v>688192.SH</x:v>
      </x:c>
      <x:c r="B1134" s="11" t="str">
        <x:v>五年</x:v>
      </x:c>
      <x:c r="C1134" s="11" t="str">
        <x:v>sun_first</x:v>
      </x:c>
      <x:c r="D1134" s="11" t="str">
        <x:v>2042-12-31</x:v>
      </x:c>
      <x:c r="E1134" s="11" t="str">
        <x:v>USD</x:v>
      </x:c>
      <x:c r="F1134" s="11" t="n">
        <x:v>11.227926078028748</x:v>
      </x:c>
      <x:c r="G1134" s="26" t="b">
        <x:v>1</x:v>
      </x:c>
      <x:c r="H1134" s="16" t="n">
        <x:v>0</x:v>
      </x:c>
      <x:c r="I1134" s="16" t="n">
        <x:v>0</x:v>
      </x:c>
      <x:c r="J1134" s="16" t="n">
        <x:v>0</x:v>
      </x:c>
      <x:c r="K1134" s="11" t="n">
        <x:f>CHOOSE('假设'!$B$3,H1134,I1134,J1134)</x:f>
        <x:v>0</x:v>
      </x:c>
      <x:c r="L1134" s="11" t="n">
        <x:f>K1134*'管线假设'!E259*'管线假设'!F259*'管线假设'!G259*IF(E1134="USD",'管线假设'!I259,1)-AM1134</x:f>
        <x:v>0</x:v>
      </x:c>
      <x:c r="M1134" s="11" t="n">
        <x:f>'管线假设'!H259</x:f>
        <x:v>0.125</x:v>
      </x:c>
      <x:c r="N1134" s="11" t="n">
        <x:f>IF(G1134,L1134*AN1134/(1+M1134)^F1134,0)</x:f>
        <x:v>0</x:v>
      </x:c>
      <x:c r="AJ1134" t="n">
        <x:v>0</x:v>
      </x:c>
      <x:c r="AK1134" t="n">
        <x:v>0</x:v>
      </x:c>
      <x:c r="AL1134" t="n">
        <x:v>0</x:v>
      </x:c>
      <x:c r="AM1134" t="n">
        <x:f>CHOOSE('假设'!$B$3,AJ1134,AK1134,AL1134)</x:f>
        <x:v>0</x:v>
      </x:c>
      <x:c r="AN1134" t="n">
        <x:v>1</x:v>
      </x:c>
    </x:row>
    <x:row r="1135" ht="23" customHeight="1">
      <x:c r="A1135" s="11" t="str">
        <x:v>688192.SH</x:v>
      </x:c>
      <x:c r="B1135" s="11" t="str">
        <x:v>五年</x:v>
      </x:c>
      <x:c r="C1135" s="11" t="str">
        <x:v>sun_first</x:v>
      </x:c>
      <x:c r="D1135" s="11" t="str">
        <x:v>2043-12-31</x:v>
      </x:c>
      <x:c r="E1135" s="11" t="str">
        <x:v>USD</x:v>
      </x:c>
      <x:c r="F1135" s="11" t="n">
        <x:v>12.227241615331964</x:v>
      </x:c>
      <x:c r="G1135" s="26" t="b">
        <x:v>1</x:v>
      </x:c>
      <x:c r="H1135" s="16" t="n">
        <x:v>0</x:v>
      </x:c>
      <x:c r="I1135" s="16" t="n">
        <x:v>0</x:v>
      </x:c>
      <x:c r="J1135" s="16" t="n">
        <x:v>0</x:v>
      </x:c>
      <x:c r="K1135" s="11" t="n">
        <x:f>CHOOSE('假设'!$B$3,H1135,I1135,J1135)</x:f>
        <x:v>0</x:v>
      </x:c>
      <x:c r="L1135" s="11" t="n">
        <x:f>K1135*'管线假设'!E259*'管线假设'!F259*'管线假设'!G259*IF(E1135="USD",'管线假设'!I259,1)-AM1135</x:f>
        <x:v>0</x:v>
      </x:c>
      <x:c r="M1135" s="11" t="n">
        <x:f>'管线假设'!H259</x:f>
        <x:v>0.125</x:v>
      </x:c>
      <x:c r="N1135" s="11" t="n">
        <x:f>IF(G1135,L1135*AN1135/(1+M1135)^F1135,0)</x:f>
        <x:v>0</x:v>
      </x:c>
      <x:c r="AJ1135" t="n">
        <x:v>0</x:v>
      </x:c>
      <x:c r="AK1135" t="n">
        <x:v>0</x:v>
      </x:c>
      <x:c r="AL1135" t="n">
        <x:v>0</x:v>
      </x:c>
      <x:c r="AM1135" t="n">
        <x:f>CHOOSE('假设'!$B$3,AJ1135,AK1135,AL1135)</x:f>
        <x:v>0</x:v>
      </x:c>
      <x:c r="AN1135" t="n">
        <x:v>1</x:v>
      </x:c>
    </x:row>
    <x:row r="1136" ht="23" customHeight="1">
      <x:c r="A1136" s="11" t="str">
        <x:v>688192.SH</x:v>
      </x:c>
      <x:c r="B1136" s="11" t="str">
        <x:v>五年</x:v>
      </x:c>
      <x:c r="C1136" s="11" t="str">
        <x:v>sun_first</x:v>
      </x:c>
      <x:c r="D1136" s="11" t="str">
        <x:v>2044-12-31</x:v>
      </x:c>
      <x:c r="E1136" s="11" t="str">
        <x:v>USD</x:v>
      </x:c>
      <x:c r="F1136" s="11" t="n">
        <x:v>13.229295003422314</x:v>
      </x:c>
      <x:c r="G1136" s="26" t="b">
        <x:v>1</x:v>
      </x:c>
      <x:c r="H1136" s="16" t="n">
        <x:v>0</x:v>
      </x:c>
      <x:c r="I1136" s="16" t="n">
        <x:v>0</x:v>
      </x:c>
      <x:c r="J1136" s="16" t="n">
        <x:v>0</x:v>
      </x:c>
      <x:c r="K1136" s="11" t="n">
        <x:f>CHOOSE('假设'!$B$3,H1136,I1136,J1136)</x:f>
        <x:v>0</x:v>
      </x:c>
      <x:c r="L1136" s="11" t="n">
        <x:f>K1136*'管线假设'!E259*'管线假设'!F259*'管线假设'!G259*IF(E1136="USD",'管线假设'!I259,1)-AM1136</x:f>
        <x:v>0</x:v>
      </x:c>
      <x:c r="M1136" s="11" t="n">
        <x:f>'管线假设'!H259</x:f>
        <x:v>0.125</x:v>
      </x:c>
      <x:c r="N1136" s="11" t="n">
        <x:f>IF(G1136,L1136*AN1136/(1+M1136)^F1136,0)</x:f>
        <x:v>0</x:v>
      </x:c>
      <x:c r="AJ1136" t="n">
        <x:v>0</x:v>
      </x:c>
      <x:c r="AK1136" t="n">
        <x:v>0</x:v>
      </x:c>
      <x:c r="AL1136" t="n">
        <x:v>0</x:v>
      </x:c>
      <x:c r="AM1136" t="n">
        <x:f>CHOOSE('假设'!$B$3,AJ1136,AK1136,AL1136)</x:f>
        <x:v>0</x:v>
      </x:c>
      <x:c r="AN1136" t="n">
        <x:v>1</x:v>
      </x:c>
    </x:row>
    <x:row r="1137" ht="23" customHeight="1">
      <x:c r="A1137" s="11" t="str">
        <x:v>688192.SH</x:v>
      </x:c>
      <x:c r="B1137" s="11" t="str">
        <x:v>五年</x:v>
      </x:c>
      <x:c r="C1137" s="11" t="str">
        <x:v>sun_first</x:v>
      </x:c>
      <x:c r="D1137" s="11" t="str">
        <x:v>2045-12-31</x:v>
      </x:c>
      <x:c r="E1137" s="11" t="str">
        <x:v>USD</x:v>
      </x:c>
      <x:c r="F1137" s="11" t="n">
        <x:v>14.22861054072553</x:v>
      </x:c>
      <x:c r="G1137" s="26" t="b">
        <x:v>1</x:v>
      </x:c>
      <x:c r="H1137" s="16" t="n">
        <x:v>0</x:v>
      </x:c>
      <x:c r="I1137" s="16" t="n">
        <x:v>0</x:v>
      </x:c>
      <x:c r="J1137" s="16" t="n">
        <x:v>0</x:v>
      </x:c>
      <x:c r="K1137" s="11" t="n">
        <x:f>CHOOSE('假设'!$B$3,H1137,I1137,J1137)</x:f>
        <x:v>0</x:v>
      </x:c>
      <x:c r="L1137" s="11" t="n">
        <x:f>K1137*'管线假设'!E259*'管线假设'!F259*'管线假设'!G259*IF(E1137="USD",'管线假设'!I259,1)-AM1137</x:f>
        <x:v>0</x:v>
      </x:c>
      <x:c r="M1137" s="11" t="n">
        <x:f>'管线假设'!H259</x:f>
        <x:v>0.125</x:v>
      </x:c>
      <x:c r="N1137" s="11" t="n">
        <x:f>IF(G1137,L1137*AN1137/(1+M1137)^F1137,0)</x:f>
        <x:v>0</x:v>
      </x:c>
      <x:c r="AJ1137" t="n">
        <x:v>0</x:v>
      </x:c>
      <x:c r="AK1137" t="n">
        <x:v>0</x:v>
      </x:c>
      <x:c r="AL1137" t="n">
        <x:v>0</x:v>
      </x:c>
      <x:c r="AM1137" t="n">
        <x:f>CHOOSE('假设'!$B$3,AJ1137,AK1137,AL1137)</x:f>
        <x:v>0</x:v>
      </x:c>
      <x:c r="AN1137" t="n">
        <x:v>1</x:v>
      </x:c>
    </x:row>
    <x:row r="1138" ht="23" customHeight="1">
      <x:c r="A1138" s="11" t="str">
        <x:v>688192.SH</x:v>
      </x:c>
      <x:c r="B1138" s="11" t="str">
        <x:v>五年</x:v>
      </x:c>
      <x:c r="C1138" s="11" t="str">
        <x:v>goli_rr</x:v>
      </x:c>
      <x:c r="D1138" s="11" t="str">
        <x:v>2027-12-31</x:v>
      </x:c>
      <x:c r="E1138" s="11" t="str">
        <x:v>CNY</x:v>
      </x:c>
      <x:c r="F1138" s="11" t="n">
        <x:v>-3.7727583846680357</x:v>
      </x:c>
      <x:c r="G1138" s="26" t="b">
        <x:v>0</x:v>
      </x:c>
      <x:c r="H1138" s="16" t="n">
        <x:v>0.10833333333333334</x:v>
      </x:c>
      <x:c r="I1138" s="16" t="n">
        <x:v>0.19999999999999998</x:v>
      </x:c>
      <x:c r="J1138" s="16" t="n">
        <x:v>0.36000000000000004</x:v>
      </x:c>
      <x:c r="K1138" s="11" t="n">
        <x:f>CHOOSE('假设'!$B$3,H1138,I1138,J1138)</x:f>
        <x:v>0.19999999999999998</x:v>
      </x:c>
      <x:c r="L1138" s="11" t="n">
        <x:f>K1138*'管线假设'!E263*'管线假设'!F263*'管线假设'!G263*IF(E1138="USD",'管线假设'!I263,1)-AM1138</x:f>
        <x:v>0.066</x:v>
      </x:c>
      <x:c r="M1138" s="11" t="n">
        <x:f>'管线假设'!H263</x:f>
        <x:v>0.125</x:v>
      </x:c>
      <x:c r="N1138" s="11" t="n">
        <x:f>IF(G1138,L1138*AN1138/(1+M1138)^F1138,0)</x:f>
        <x:v>0</x:v>
      </x:c>
      <x:c r="AJ1138" t="n">
        <x:v>0</x:v>
      </x:c>
      <x:c r="AK1138" t="n">
        <x:v>0</x:v>
      </x:c>
      <x:c r="AL1138" t="n">
        <x:v>0</x:v>
      </x:c>
      <x:c r="AM1138" t="n">
        <x:f>CHOOSE('假设'!$B$3,AJ1138,AK1138,AL1138)</x:f>
        <x:v>0</x:v>
      </x:c>
      <x:c r="AN1138" t="n">
        <x:v>1</x:v>
      </x:c>
    </x:row>
    <x:row r="1139" ht="23" customHeight="1">
      <x:c r="A1139" s="11" t="str">
        <x:v>688192.SH</x:v>
      </x:c>
      <x:c r="B1139" s="11" t="str">
        <x:v>五年</x:v>
      </x:c>
      <x:c r="C1139" s="11" t="str">
        <x:v>goli_rr</x:v>
      </x:c>
      <x:c r="D1139" s="11" t="str">
        <x:v>2028-12-31</x:v>
      </x:c>
      <x:c r="E1139" s="11" t="str">
        <x:v>CNY</x:v>
      </x:c>
      <x:c r="F1139" s="11" t="n">
        <x:v>-2.7707049965776864</x:v>
      </x:c>
      <x:c r="G1139" s="26" t="b">
        <x:v>0</x:v>
      </x:c>
      <x:c r="H1139" s="16" t="n">
        <x:v>0.21666666666666667</x:v>
      </x:c>
      <x:c r="I1139" s="16" t="n">
        <x:v>0.39999999999999997</x:v>
      </x:c>
      <x:c r="J1139" s="16" t="n">
        <x:v>0.7200000000000001</x:v>
      </x:c>
      <x:c r="K1139" s="11" t="n">
        <x:f>CHOOSE('假设'!$B$3,H1139,I1139,J1139)</x:f>
        <x:v>0.39999999999999997</x:v>
      </x:c>
      <x:c r="L1139" s="11" t="n">
        <x:f>K1139*'管线假设'!E263*'管线假设'!F263*'管线假设'!G263*IF(E1139="USD",'管线假设'!I263,1)-AM1139</x:f>
        <x:v>0.132</x:v>
      </x:c>
      <x:c r="M1139" s="11" t="n">
        <x:f>'管线假设'!H263</x:f>
        <x:v>0.125</x:v>
      </x:c>
      <x:c r="N1139" s="11" t="n">
        <x:f>IF(G1139,L1139*AN1139/(1+M1139)^F1139,0)</x:f>
        <x:v>0</x:v>
      </x:c>
      <x:c r="AJ1139" t="n">
        <x:v>0</x:v>
      </x:c>
      <x:c r="AK1139" t="n">
        <x:v>0</x:v>
      </x:c>
      <x:c r="AL1139" t="n">
        <x:v>0</x:v>
      </x:c>
      <x:c r="AM1139" t="n">
        <x:f>CHOOSE('假设'!$B$3,AJ1139,AK1139,AL1139)</x:f>
        <x:v>0</x:v>
      </x:c>
      <x:c r="AN1139" t="n">
        <x:v>1</x:v>
      </x:c>
    </x:row>
    <x:row r="1140" ht="23" customHeight="1">
      <x:c r="A1140" s="11" t="str">
        <x:v>688192.SH</x:v>
      </x:c>
      <x:c r="B1140" s="11" t="str">
        <x:v>五年</x:v>
      </x:c>
      <x:c r="C1140" s="11" t="str">
        <x:v>goli_rr</x:v>
      </x:c>
      <x:c r="D1140" s="11" t="str">
        <x:v>2029-12-31</x:v>
      </x:c>
      <x:c r="E1140" s="11" t="str">
        <x:v>CNY</x:v>
      </x:c>
      <x:c r="F1140" s="11" t="n">
        <x:v>-1.7713894592744694</x:v>
      </x:c>
      <x:c r="G1140" s="26" t="b">
        <x:v>0</x:v>
      </x:c>
      <x:c r="H1140" s="16" t="n">
        <x:v>0.325</x:v>
      </x:c>
      <x:c r="I1140" s="16" t="n">
        <x:v>0.6</x:v>
      </x:c>
      <x:c r="J1140" s="16" t="n">
        <x:v>1.08</x:v>
      </x:c>
      <x:c r="K1140" s="11" t="n">
        <x:f>CHOOSE('假设'!$B$3,H1140,I1140,J1140)</x:f>
        <x:v>0.6</x:v>
      </x:c>
      <x:c r="L1140" s="11" t="n">
        <x:f>K1140*'管线假设'!E263*'管线假设'!F263*'管线假设'!G263*IF(E1140="USD",'管线假设'!I263,1)-AM1140</x:f>
        <x:v>0.198</x:v>
      </x:c>
      <x:c r="M1140" s="11" t="n">
        <x:f>'管线假设'!H263</x:f>
        <x:v>0.125</x:v>
      </x:c>
      <x:c r="N1140" s="11" t="n">
        <x:f>IF(G1140,L1140*AN1140/(1+M1140)^F1140,0)</x:f>
        <x:v>0</x:v>
      </x:c>
      <x:c r="AJ1140" t="n">
        <x:v>0</x:v>
      </x:c>
      <x:c r="AK1140" t="n">
        <x:v>0</x:v>
      </x:c>
      <x:c r="AL1140" t="n">
        <x:v>0</x:v>
      </x:c>
      <x:c r="AM1140" t="n">
        <x:f>CHOOSE('假设'!$B$3,AJ1140,AK1140,AL1140)</x:f>
        <x:v>0</x:v>
      </x:c>
      <x:c r="AN1140" t="n">
        <x:v>1</x:v>
      </x:c>
    </x:row>
    <x:row r="1141" ht="23" customHeight="1">
      <x:c r="A1141" s="11" t="str">
        <x:v>688192.SH</x:v>
      </x:c>
      <x:c r="B1141" s="11" t="str">
        <x:v>五年</x:v>
      </x:c>
      <x:c r="C1141" s="11" t="str">
        <x:v>goli_rr</x:v>
      </x:c>
      <x:c r="D1141" s="11" t="str">
        <x:v>2030-12-31</x:v>
      </x:c>
      <x:c r="E1141" s="11" t="str">
        <x:v>CNY</x:v>
      </x:c>
      <x:c r="F1141" s="11" t="n">
        <x:v>-0.7720739219712526</x:v>
      </x:c>
      <x:c r="G1141" s="26" t="b">
        <x:v>0</x:v>
      </x:c>
      <x:c r="H1141" s="16" t="n">
        <x:v>0.43333333333333335</x:v>
      </x:c>
      <x:c r="I1141" s="16" t="n">
        <x:v>0.7999999999999999</x:v>
      </x:c>
      <x:c r="J1141" s="16" t="n">
        <x:v>1.4400000000000002</x:v>
      </x:c>
      <x:c r="K1141" s="11" t="n">
        <x:f>CHOOSE('假设'!$B$3,H1141,I1141,J1141)</x:f>
        <x:v>0.7999999999999999</x:v>
      </x:c>
      <x:c r="L1141" s="11" t="n">
        <x:f>K1141*'管线假设'!E263*'管线假设'!F263*'管线假设'!G263*IF(E1141="USD",'管线假设'!I263,1)-AM1141</x:f>
        <x:v>0.264</x:v>
      </x:c>
      <x:c r="M1141" s="11" t="n">
        <x:f>'管线假设'!H263</x:f>
        <x:v>0.125</x:v>
      </x:c>
      <x:c r="N1141" s="11" t="n">
        <x:f>IF(G1141,L1141*AN1141/(1+M1141)^F1141,0)</x:f>
        <x:v>0</x:v>
      </x:c>
      <x:c r="AJ1141" t="n">
        <x:v>0</x:v>
      </x:c>
      <x:c r="AK1141" t="n">
        <x:v>0</x:v>
      </x:c>
      <x:c r="AL1141" t="n">
        <x:v>0</x:v>
      </x:c>
      <x:c r="AM1141" t="n">
        <x:f>CHOOSE('假设'!$B$3,AJ1141,AK1141,AL1141)</x:f>
        <x:v>0</x:v>
      </x:c>
      <x:c r="AN1141" t="n">
        <x:v>1</x:v>
      </x:c>
    </x:row>
    <x:row r="1142" ht="23" customHeight="1">
      <x:c r="A1142" s="11" t="str">
        <x:v>688192.SH</x:v>
      </x:c>
      <x:c r="B1142" s="11" t="str">
        <x:v>五年</x:v>
      </x:c>
      <x:c r="C1142" s="11" t="str">
        <x:v>goli_rr</x:v>
      </x:c>
      <x:c r="D1142" s="11" t="str">
        <x:v>2031-12-31</x:v>
      </x:c>
      <x:c r="E1142" s="11" t="str">
        <x:v>CNY</x:v>
      </x:c>
      <x:c r="F1142" s="11" t="n">
        <x:v>0.2272416153319644</x:v>
      </x:c>
      <x:c r="G1142" s="26" t="b">
        <x:v>1</x:v>
      </x:c>
      <x:c r="H1142" s="16" t="n">
        <x:v>0.5416666666666667</x:v>
      </x:c>
      <x:c r="I1142" s="16" t="n">
        <x:v>1</x:v>
      </x:c>
      <x:c r="J1142" s="16" t="n">
        <x:v>1.8</x:v>
      </x:c>
      <x:c r="K1142" s="11" t="n">
        <x:f>CHOOSE('假设'!$B$3,H1142,I1142,J1142)</x:f>
        <x:v>1</x:v>
      </x:c>
      <x:c r="L1142" s="11" t="n">
        <x:f>K1142*'管线假设'!E263*'管线假设'!F263*'管线假设'!G263*IF(E1142="USD",'管线假设'!I263,1)-AM1142</x:f>
        <x:v>0.33</x:v>
      </x:c>
      <x:c r="M1142" s="11" t="n">
        <x:f>'管线假设'!H263</x:f>
        <x:v>0.125</x:v>
      </x:c>
      <x:c r="N1142" s="11" t="n">
        <x:f>IF(G1142,L1142*AN1142/(1+M1142)^F1142,0)</x:f>
        <x:v>0.32128463614110475</x:v>
      </x:c>
      <x:c r="AJ1142" t="n">
        <x:v>0</x:v>
      </x:c>
      <x:c r="AK1142" t="n">
        <x:v>0</x:v>
      </x:c>
      <x:c r="AL1142" t="n">
        <x:v>0</x:v>
      </x:c>
      <x:c r="AM1142" t="n">
        <x:f>CHOOSE('假设'!$B$3,AJ1142,AK1142,AL1142)</x:f>
        <x:v>0</x:v>
      </x:c>
      <x:c r="AN1142" t="n">
        <x:v>1</x:v>
      </x:c>
    </x:row>
    <x:row r="1143" ht="23" customHeight="1">
      <x:c r="A1143" s="11" t="str">
        <x:v>688192.SH</x:v>
      </x:c>
      <x:c r="B1143" s="11" t="str">
        <x:v>五年</x:v>
      </x:c>
      <x:c r="C1143" s="11" t="str">
        <x:v>goli_rr</x:v>
      </x:c>
      <x:c r="D1143" s="11" t="str">
        <x:v>2032-12-31</x:v>
      </x:c>
      <x:c r="E1143" s="11" t="str">
        <x:v>CNY</x:v>
      </x:c>
      <x:c r="F1143" s="11" t="n">
        <x:v>1.2292950034223136</x:v>
      </x:c>
      <x:c r="G1143" s="26" t="b">
        <x:v>1</x:v>
      </x:c>
      <x:c r="H1143" s="16" t="n">
        <x:v>0.65</x:v>
      </x:c>
      <x:c r="I1143" s="16" t="n">
        <x:v>1.2</x:v>
      </x:c>
      <x:c r="J1143" s="16" t="n">
        <x:v>1.584</x:v>
      </x:c>
      <x:c r="K1143" s="11" t="n">
        <x:f>CHOOSE('假设'!$B$3,H1143,I1143,J1143)</x:f>
        <x:v>1.2</x:v>
      </x:c>
      <x:c r="L1143" s="11" t="n">
        <x:f>K1143*'管线假设'!E263*'管线假设'!F263*'管线假设'!G263*IF(E1143="USD",'管线假设'!I263,1)-AM1143</x:f>
        <x:v>0.396</x:v>
      </x:c>
      <x:c r="M1143" s="11" t="n">
        <x:f>'管线假设'!H263</x:f>
        <x:v>0.125</x:v>
      </x:c>
      <x:c r="N1143" s="11" t="n">
        <x:f>IF(G1143,L1143*AN1143/(1+M1143)^F1143,0)</x:f>
        <x:v>0.34262073756978506</x:v>
      </x:c>
      <x:c r="AJ1143" t="n">
        <x:v>0</x:v>
      </x:c>
      <x:c r="AK1143" t="n">
        <x:v>0</x:v>
      </x:c>
      <x:c r="AL1143" t="n">
        <x:v>0</x:v>
      </x:c>
      <x:c r="AM1143" t="n">
        <x:f>CHOOSE('假设'!$B$3,AJ1143,AK1143,AL1143)</x:f>
        <x:v>0</x:v>
      </x:c>
      <x:c r="AN1143" t="n">
        <x:v>1</x:v>
      </x:c>
    </x:row>
    <x:row r="1144" ht="23" customHeight="1">
      <x:c r="A1144" s="11" t="str">
        <x:v>688192.SH</x:v>
      </x:c>
      <x:c r="B1144" s="11" t="str">
        <x:v>五年</x:v>
      </x:c>
      <x:c r="C1144" s="11" t="str">
        <x:v>goli_rr</x:v>
      </x:c>
      <x:c r="D1144" s="11" t="str">
        <x:v>2033-12-31</x:v>
      </x:c>
      <x:c r="E1144" s="11" t="str">
        <x:v>CNY</x:v>
      </x:c>
      <x:c r="F1144" s="11" t="n">
        <x:v>2.2286105407255303</x:v>
      </x:c>
      <x:c r="G1144" s="26" t="b">
        <x:v>1</x:v>
      </x:c>
      <x:c r="H1144" s="16" t="n">
        <x:v>0.5720000000000001</x:v>
      </x:c>
      <x:c r="I1144" s="16" t="n">
        <x:v>1.056</x:v>
      </x:c>
      <x:c r="J1144" s="16" t="n">
        <x:v>1.368</x:v>
      </x:c>
      <x:c r="K1144" s="11" t="n">
        <x:f>CHOOSE('假设'!$B$3,H1144,I1144,J1144)</x:f>
        <x:v>1.056</x:v>
      </x:c>
      <x:c r="L1144" s="11" t="n">
        <x:f>K1144*'管线假设'!E263*'管线假设'!F263*'管线假设'!G263*IF(E1144="USD",'管线假设'!I263,1)-AM1144</x:f>
        <x:v>0.34848</x:v>
      </x:c>
      <x:c r="M1144" s="11" t="n">
        <x:f>'管线假设'!H263</x:f>
        <x:v>0.125</x:v>
      </x:c>
      <x:c r="N1144" s="11" t="n">
        <x:f>IF(G1144,L1144*AN1144/(1+M1144)^F1144,0)</x:f>
        <x:v>0.26802716168926083</x:v>
      </x:c>
      <x:c r="AJ1144" t="n">
        <x:v>0</x:v>
      </x:c>
      <x:c r="AK1144" t="n">
        <x:v>0</x:v>
      </x:c>
      <x:c r="AL1144" t="n">
        <x:v>0</x:v>
      </x:c>
      <x:c r="AM1144" t="n">
        <x:f>CHOOSE('假设'!$B$3,AJ1144,AK1144,AL1144)</x:f>
        <x:v>0</x:v>
      </x:c>
      <x:c r="AN1144" t="n">
        <x:v>1</x:v>
      </x:c>
    </x:row>
    <x:row r="1145" ht="23" customHeight="1">
      <x:c r="A1145" s="11" t="str">
        <x:v>688192.SH</x:v>
      </x:c>
      <x:c r="B1145" s="11" t="str">
        <x:v>五年</x:v>
      </x:c>
      <x:c r="C1145" s="11" t="str">
        <x:v>goli_rr</x:v>
      </x:c>
      <x:c r="D1145" s="11" t="str">
        <x:v>2034-12-31</x:v>
      </x:c>
      <x:c r="E1145" s="11" t="str">
        <x:v>CNY</x:v>
      </x:c>
      <x:c r="F1145" s="11" t="n">
        <x:v>3.2279260780287475</x:v>
      </x:c>
      <x:c r="G1145" s="26" t="b">
        <x:v>1</x:v>
      </x:c>
      <x:c r="H1145" s="16" t="n">
        <x:v>0.49400000000000005</x:v>
      </x:c>
      <x:c r="I1145" s="16" t="n">
        <x:v>0.9119999999999999</x:v>
      </x:c>
      <x:c r="J1145" s="16" t="n">
        <x:v>1.1520000000000001</x:v>
      </x:c>
      <x:c r="K1145" s="11" t="n">
        <x:f>CHOOSE('假设'!$B$3,H1145,I1145,J1145)</x:f>
        <x:v>0.9119999999999999</x:v>
      </x:c>
      <x:c r="L1145" s="11" t="n">
        <x:f>K1145*'管线假设'!E263*'管线假设'!F263*'管线假设'!G263*IF(E1145="USD",'管线假设'!I263,1)-AM1145</x:f>
        <x:v>0.30096</x:v>
      </x:c>
      <x:c r="M1145" s="11" t="n">
        <x:f>'管线假设'!H263</x:f>
        <x:v>0.125</x:v>
      </x:c>
      <x:c r="N1145" s="11" t="n">
        <x:f>IF(G1145,L1145*AN1145/(1+M1145)^F1145,0)</x:f>
        <x:v>0.20577481363982858</x:v>
      </x:c>
      <x:c r="AJ1145" t="n">
        <x:v>0</x:v>
      </x:c>
      <x:c r="AK1145" t="n">
        <x:v>0</x:v>
      </x:c>
      <x:c r="AL1145" t="n">
        <x:v>0</x:v>
      </x:c>
      <x:c r="AM1145" t="n">
        <x:f>CHOOSE('假设'!$B$3,AJ1145,AK1145,AL1145)</x:f>
        <x:v>0</x:v>
      </x:c>
      <x:c r="AN1145" t="n">
        <x:v>1</x:v>
      </x:c>
    </x:row>
    <x:row r="1146" ht="23" customHeight="1">
      <x:c r="A1146" s="11" t="str">
        <x:v>688192.SH</x:v>
      </x:c>
      <x:c r="B1146" s="11" t="str">
        <x:v>五年</x:v>
      </x:c>
      <x:c r="C1146" s="11" t="str">
        <x:v>goli_rr</x:v>
      </x:c>
      <x:c r="D1146" s="11" t="str">
        <x:v>2035-12-31</x:v>
      </x:c>
      <x:c r="E1146" s="11" t="str">
        <x:v>CNY</x:v>
      </x:c>
      <x:c r="F1146" s="11" t="n">
        <x:v>4.227241615331964</x:v>
      </x:c>
      <x:c r="G1146" s="26" t="b">
        <x:v>1</x:v>
      </x:c>
      <x:c r="H1146" s="16" t="n">
        <x:v>0.41600000000000004</x:v>
      </x:c>
      <x:c r="I1146" s="16" t="n">
        <x:v>0.768</x:v>
      </x:c>
      <x:c r="J1146" s="16" t="n">
        <x:v>0.936</x:v>
      </x:c>
      <x:c r="K1146" s="11" t="n">
        <x:f>CHOOSE('假设'!$B$3,H1146,I1146,J1146)</x:f>
        <x:v>0.768</x:v>
      </x:c>
      <x:c r="L1146" s="11" t="n">
        <x:f>K1146*'管线假设'!E263*'管线假设'!F263*'管线假设'!G263*IF(E1146="USD",'管线假设'!I263,1)-AM1146</x:f>
        <x:v>0.25344</x:v>
      </x:c>
      <x:c r="M1146" s="11" t="n">
        <x:f>'管线假设'!H263</x:f>
        <x:v>0.125</x:v>
      </x:c>
      <x:c r="N1146" s="11" t="n">
        <x:f>IF(G1146,L1146*AN1146/(1+M1146)^F1146,0)</x:f>
        <x:v>0.15404268798641746</x:v>
      </x:c>
      <x:c r="AJ1146" t="n">
        <x:v>0</x:v>
      </x:c>
      <x:c r="AK1146" t="n">
        <x:v>0</x:v>
      </x:c>
      <x:c r="AL1146" t="n">
        <x:v>0</x:v>
      </x:c>
      <x:c r="AM1146" t="n">
        <x:f>CHOOSE('假设'!$B$3,AJ1146,AK1146,AL1146)</x:f>
        <x:v>0</x:v>
      </x:c>
      <x:c r="AN1146" t="n">
        <x:v>1</x:v>
      </x:c>
    </x:row>
    <x:row r="1147" ht="23" customHeight="1">
      <x:c r="A1147" s="11" t="str">
        <x:v>688192.SH</x:v>
      </x:c>
      <x:c r="B1147" s="11" t="str">
        <x:v>五年</x:v>
      </x:c>
      <x:c r="C1147" s="11" t="str">
        <x:v>goli_rr</x:v>
      </x:c>
      <x:c r="D1147" s="11" t="str">
        <x:v>2036-12-31</x:v>
      </x:c>
      <x:c r="E1147" s="11" t="str">
        <x:v>CNY</x:v>
      </x:c>
      <x:c r="F1147" s="11" t="n">
        <x:v>5.229295003422314</x:v>
      </x:c>
      <x:c r="G1147" s="26" t="b">
        <x:v>1</x:v>
      </x:c>
      <x:c r="H1147" s="16" t="n">
        <x:v>0.338</x:v>
      </x:c>
      <x:c r="I1147" s="16" t="n">
        <x:v>0.624</x:v>
      </x:c>
      <x:c r="J1147" s="16" t="n">
        <x:v>0.7200000000000001</x:v>
      </x:c>
      <x:c r="K1147" s="11" t="n">
        <x:f>CHOOSE('假设'!$B$3,H1147,I1147,J1147)</x:f>
        <x:v>0.624</x:v>
      </x:c>
      <x:c r="L1147" s="11" t="n">
        <x:f>K1147*'管线假设'!E263*'管线假设'!F263*'管线假设'!G263*IF(E1147="USD",'管线假设'!I263,1)-AM1147</x:f>
        <x:v>0.20592000000000002</x:v>
      </x:c>
      <x:c r="M1147" s="11" t="n">
        <x:f>'管线假设'!H263</x:f>
        <x:v>0.125</x:v>
      </x:c>
      <x:c r="N1147" s="11" t="n">
        <x:f>IF(G1147,L1147*AN1147/(1+M1147)^F1147,0)</x:f>
        <x:v>0.1112261486609719</x:v>
      </x:c>
      <x:c r="AJ1147" t="n">
        <x:v>0</x:v>
      </x:c>
      <x:c r="AK1147" t="n">
        <x:v>0</x:v>
      </x:c>
      <x:c r="AL1147" t="n">
        <x:v>0</x:v>
      </x:c>
      <x:c r="AM1147" t="n">
        <x:f>CHOOSE('假设'!$B$3,AJ1147,AK1147,AL1147)</x:f>
        <x:v>0</x:v>
      </x:c>
      <x:c r="AN1147" t="n">
        <x:v>1</x:v>
      </x:c>
    </x:row>
    <x:row r="1148" ht="23" customHeight="1">
      <x:c r="A1148" s="11" t="str">
        <x:v>688192.SH</x:v>
      </x:c>
      <x:c r="B1148" s="11" t="str">
        <x:v>五年</x:v>
      </x:c>
      <x:c r="C1148" s="11" t="str">
        <x:v>goli_rr</x:v>
      </x:c>
      <x:c r="D1148" s="11" t="str">
        <x:v>2037-12-31</x:v>
      </x:c>
      <x:c r="E1148" s="11" t="str">
        <x:v>CNY</x:v>
      </x:c>
      <x:c r="F1148" s="11" t="n">
        <x:v>6.228610540725531</x:v>
      </x:c>
      <x:c r="G1148" s="26" t="b">
        <x:v>1</x:v>
      </x:c>
      <x:c r="H1148" s="16" t="n">
        <x:v>0.26</x:v>
      </x:c>
      <x:c r="I1148" s="16" t="n">
        <x:v>0.48</x:v>
      </x:c>
      <x:c r="J1148" s="16" t="n">
        <x:v>0.5040000000000001</x:v>
      </x:c>
      <x:c r="K1148" s="11" t="n">
        <x:f>CHOOSE('假设'!$B$3,H1148,I1148,J1148)</x:f>
        <x:v>0.48</x:v>
      </x:c>
      <x:c r="L1148" s="11" t="n">
        <x:f>K1148*'管线假设'!E263*'管线假设'!F263*'管线假设'!G263*IF(E1148="USD",'管线假设'!I263,1)-AM1148</x:f>
        <x:v>0.1584</x:v>
      </x:c>
      <x:c r="M1148" s="11" t="n">
        <x:f>'管线假设'!H263</x:f>
        <x:v>0.125</x:v>
      </x:c>
      <x:c r="N1148" s="11" t="n">
        <x:f>IF(G1148,L1148*AN1148/(1+M1148)^F1148,0)</x:f>
        <x:v>0.07605819888038218</x:v>
      </x:c>
      <x:c r="AJ1148" t="n">
        <x:v>0</x:v>
      </x:c>
      <x:c r="AK1148" t="n">
        <x:v>0</x:v>
      </x:c>
      <x:c r="AL1148" t="n">
        <x:v>0</x:v>
      </x:c>
      <x:c r="AM1148" t="n">
        <x:f>CHOOSE('假设'!$B$3,AJ1148,AK1148,AL1148)</x:f>
        <x:v>0</x:v>
      </x:c>
      <x:c r="AN1148" t="n">
        <x:v>1</x:v>
      </x:c>
    </x:row>
    <x:row r="1149" ht="23" customHeight="1">
      <x:c r="A1149" s="11" t="str">
        <x:v>688192.SH</x:v>
      </x:c>
      <x:c r="B1149" s="11" t="str">
        <x:v>五年</x:v>
      </x:c>
      <x:c r="C1149" s="11" t="str">
        <x:v>goli_rr</x:v>
      </x:c>
      <x:c r="D1149" s="11" t="str">
        <x:v>2038-12-31</x:v>
      </x:c>
      <x:c r="E1149" s="11" t="str">
        <x:v>CNY</x:v>
      </x:c>
      <x:c r="F1149" s="11" t="n">
        <x:v>7.227926078028747</x:v>
      </x:c>
      <x:c r="G1149" s="26" t="b">
        <x:v>1</x:v>
      </x:c>
      <x:c r="H1149" s="16" t="n">
        <x:v>0.18200000000000002</x:v>
      </x:c>
      <x:c r="I1149" s="16" t="n">
        <x:v>0.336</x:v>
      </x:c>
      <x:c r="J1149" s="16" t="n">
        <x:v>0.2880000000000001</x:v>
      </x:c>
      <x:c r="K1149" s="11" t="n">
        <x:f>CHOOSE('假设'!$B$3,H1149,I1149,J1149)</x:f>
        <x:v>0.336</x:v>
      </x:c>
      <x:c r="L1149" s="11" t="n">
        <x:f>K1149*'管线假设'!E263*'管线假设'!F263*'管线假设'!G263*IF(E1149="USD",'管线假设'!I263,1)-AM1149</x:f>
        <x:v>0.11088</x:v>
      </x:c>
      <x:c r="M1149" s="11" t="n">
        <x:f>'管线假设'!H263</x:f>
        <x:v>0.125</x:v>
      </x:c>
      <x:c r="N1149" s="11" t="n">
        <x:f>IF(G1149,L1149*AN1149/(1+M1149)^F1149,0)</x:f>
        <x:v>0.04732891693885853</x:v>
      </x:c>
      <x:c r="AJ1149" t="n">
        <x:v>0</x:v>
      </x:c>
      <x:c r="AK1149" t="n">
        <x:v>0</x:v>
      </x:c>
      <x:c r="AL1149" t="n">
        <x:v>0</x:v>
      </x:c>
      <x:c r="AM1149" t="n">
        <x:f>CHOOSE('假设'!$B$3,AJ1149,AK1149,AL1149)</x:f>
        <x:v>0</x:v>
      </x:c>
      <x:c r="AN1149" t="n">
        <x:v>1</x:v>
      </x:c>
    </x:row>
    <x:row r="1150" ht="23" customHeight="1">
      <x:c r="A1150" s="11" t="str">
        <x:v>688192.SH</x:v>
      </x:c>
      <x:c r="B1150" s="11" t="str">
        <x:v>五年</x:v>
      </x:c>
      <x:c r="C1150" s="11" t="str">
        <x:v>goli_rr</x:v>
      </x:c>
      <x:c r="D1150" s="11" t="str">
        <x:v>2039-12-31</x:v>
      </x:c>
      <x:c r="E1150" s="11" t="str">
        <x:v>CNY</x:v>
      </x:c>
      <x:c r="F1150" s="11" t="n">
        <x:v>8.227241615331964</x:v>
      </x:c>
      <x:c r="G1150" s="26" t="b">
        <x:v>1</x:v>
      </x:c>
      <x:c r="H1150" s="16" t="n">
        <x:v>0.10400000000000002</x:v>
      </x:c>
      <x:c r="I1150" s="16" t="n">
        <x:v>0.19200000000000003</x:v>
      </x:c>
      <x:c r="J1150" s="16" t="n">
        <x:v>0.07200000000000006</x:v>
      </x:c>
      <x:c r="K1150" s="11" t="n">
        <x:f>CHOOSE('假设'!$B$3,H1150,I1150,J1150)</x:f>
        <x:v>0.19200000000000003</x:v>
      </x:c>
      <x:c r="L1150" s="11" t="n">
        <x:f>K1150*'管线假设'!E263*'管线假设'!F263*'管线假设'!G263*IF(E1150="USD",'管线假设'!I263,1)-AM1150</x:f>
        <x:v>0.06336000000000001</x:v>
      </x:c>
      <x:c r="M1150" s="11" t="n">
        <x:f>'管线假设'!H263</x:f>
        <x:v>0.125</x:v>
      </x:c>
      <x:c r="N1150" s="11" t="n">
        <x:f>IF(G1150,L1150*AN1150/(1+M1150)^F1150,0)</x:f>
        <x:v>0.024042022938285553</x:v>
      </x:c>
      <x:c r="AJ1150" t="n">
        <x:v>0</x:v>
      </x:c>
      <x:c r="AK1150" t="n">
        <x:v>0</x:v>
      </x:c>
      <x:c r="AL1150" t="n">
        <x:v>0</x:v>
      </x:c>
      <x:c r="AM1150" t="n">
        <x:f>CHOOSE('假设'!$B$3,AJ1150,AK1150,AL1150)</x:f>
        <x:v>0</x:v>
      </x:c>
      <x:c r="AN1150" t="n">
        <x:v>1</x:v>
      </x:c>
    </x:row>
    <x:row r="1151" ht="23" customHeight="1">
      <x:c r="A1151" s="11" t="str">
        <x:v>688192.SH</x:v>
      </x:c>
      <x:c r="B1151" s="11" t="str">
        <x:v>五年</x:v>
      </x:c>
      <x:c r="C1151" s="11" t="str">
        <x:v>goli_rr</x:v>
      </x:c>
      <x:c r="D1151" s="11" t="str">
        <x:v>2040-12-31</x:v>
      </x:c>
      <x:c r="E1151" s="11" t="str">
        <x:v>CNY</x:v>
      </x:c>
      <x:c r="F1151" s="11" t="n">
        <x:v>9.229295003422314</x:v>
      </x:c>
      <x:c r="G1151" s="26" t="b">
        <x:v>1</x:v>
      </x:c>
      <x:c r="H1151" s="16" t="n">
        <x:v>0.026000000000000023</x:v>
      </x:c>
      <x:c r="I1151" s="16" t="n">
        <x:v>0.04800000000000004</x:v>
      </x:c>
      <x:c r="J1151" s="16" t="n">
        <x:v>0</x:v>
      </x:c>
      <x:c r="K1151" s="11" t="n">
        <x:f>CHOOSE('假设'!$B$3,H1151,I1151,J1151)</x:f>
        <x:v>0.04800000000000004</x:v>
      </x:c>
      <x:c r="L1151" s="11" t="n">
        <x:f>K1151*'管线假设'!E263*'管线假设'!F263*'管线假设'!G263*IF(E1151="USD",'管线假设'!I263,1)-AM1151</x:f>
        <x:v>0.015840000000000014</x:v>
      </x:c>
      <x:c r="M1151" s="11" t="n">
        <x:f>'管线假设'!H263</x:f>
        <x:v>0.125</x:v>
      </x:c>
      <x:c r="N1151" s="11" t="n">
        <x:f>IF(G1151,L1151*AN1151/(1+M1151)^F1151,0)</x:f>
        <x:v>0.005341379772259638</x:v>
      </x:c>
      <x:c r="AJ1151" t="n">
        <x:v>0</x:v>
      </x:c>
      <x:c r="AK1151" t="n">
        <x:v>0</x:v>
      </x:c>
      <x:c r="AL1151" t="n">
        <x:v>0</x:v>
      </x:c>
      <x:c r="AM1151" t="n">
        <x:f>CHOOSE('假设'!$B$3,AJ1151,AK1151,AL1151)</x:f>
        <x:v>0</x:v>
      </x:c>
      <x:c r="AN1151" t="n">
        <x:v>1</x:v>
      </x:c>
    </x:row>
    <x:row r="1152" ht="23" customHeight="1">
      <x:c r="A1152" s="11" t="str">
        <x:v>688192.SH</x:v>
      </x:c>
      <x:c r="B1152" s="11" t="str">
        <x:v>五年</x:v>
      </x:c>
      <x:c r="C1152" s="11" t="str">
        <x:v>goli_rr</x:v>
      </x:c>
      <x:c r="D1152" s="11" t="str">
        <x:v>2041-12-31</x:v>
      </x:c>
      <x:c r="E1152" s="11" t="str">
        <x:v>CNY</x:v>
      </x:c>
      <x:c r="F1152" s="11" t="n">
        <x:v>10.22861054072553</x:v>
      </x:c>
      <x:c r="G1152" s="26" t="b">
        <x:v>1</x:v>
      </x:c>
      <x:c r="H1152" s="16" t="n">
        <x:v>0</x:v>
      </x:c>
      <x:c r="I1152" s="16" t="n">
        <x:v>0</x:v>
      </x:c>
      <x:c r="J1152" s="16" t="n">
        <x:v>0</x:v>
      </x:c>
      <x:c r="K1152" s="11" t="n">
        <x:f>CHOOSE('假设'!$B$3,H1152,I1152,J1152)</x:f>
        <x:v>0</x:v>
      </x:c>
      <x:c r="L1152" s="11" t="n">
        <x:f>K1152*'管线假设'!E263*'管线假设'!F263*'管线假设'!G263*IF(E1152="USD",'管线假设'!I263,1)-AM1152</x:f>
        <x:v>0</x:v>
      </x:c>
      <x:c r="M1152" s="11" t="n">
        <x:f>'管线假设'!H263</x:f>
        <x:v>0.125</x:v>
      </x:c>
      <x:c r="N1152" s="11" t="n">
        <x:f>IF(G1152,L1152*AN1152/(1+M1152)^F1152,0)</x:f>
        <x:v>0</x:v>
      </x:c>
      <x:c r="AJ1152" t="n">
        <x:v>0</x:v>
      </x:c>
      <x:c r="AK1152" t="n">
        <x:v>0</x:v>
      </x:c>
      <x:c r="AL1152" t="n">
        <x:v>0</x:v>
      </x:c>
      <x:c r="AM1152" t="n">
        <x:f>CHOOSE('假设'!$B$3,AJ1152,AK1152,AL1152)</x:f>
        <x:v>0</x:v>
      </x:c>
      <x:c r="AN1152" t="n">
        <x:v>1</x:v>
      </x:c>
    </x:row>
    <x:row r="1153" ht="23" customHeight="1">
      <x:c r="A1153" s="11" t="str">
        <x:v>688192.SH</x:v>
      </x:c>
      <x:c r="B1153" s="11" t="str">
        <x:v>五年</x:v>
      </x:c>
      <x:c r="C1153" s="11" t="str">
        <x:v>goli_rr</x:v>
      </x:c>
      <x:c r="D1153" s="11" t="str">
        <x:v>2042-12-31</x:v>
      </x:c>
      <x:c r="E1153" s="11" t="str">
        <x:v>CNY</x:v>
      </x:c>
      <x:c r="F1153" s="11" t="n">
        <x:v>11.227926078028748</x:v>
      </x:c>
      <x:c r="G1153" s="26" t="b">
        <x:v>1</x:v>
      </x:c>
      <x:c r="H1153" s="16" t="n">
        <x:v>0</x:v>
      </x:c>
      <x:c r="I1153" s="16" t="n">
        <x:v>0</x:v>
      </x:c>
      <x:c r="J1153" s="16" t="n">
        <x:v>0</x:v>
      </x:c>
      <x:c r="K1153" s="11" t="n">
        <x:f>CHOOSE('假设'!$B$3,H1153,I1153,J1153)</x:f>
        <x:v>0</x:v>
      </x:c>
      <x:c r="L1153" s="11" t="n">
        <x:f>K1153*'管线假设'!E263*'管线假设'!F263*'管线假设'!G263*IF(E1153="USD",'管线假设'!I263,1)-AM1153</x:f>
        <x:v>0</x:v>
      </x:c>
      <x:c r="M1153" s="11" t="n">
        <x:f>'管线假设'!H263</x:f>
        <x:v>0.125</x:v>
      </x:c>
      <x:c r="N1153" s="11" t="n">
        <x:f>IF(G1153,L1153*AN1153/(1+M1153)^F1153,0)</x:f>
        <x:v>0</x:v>
      </x:c>
      <x:c r="AJ1153" t="n">
        <x:v>0</x:v>
      </x:c>
      <x:c r="AK1153" t="n">
        <x:v>0</x:v>
      </x:c>
      <x:c r="AL1153" t="n">
        <x:v>0</x:v>
      </x:c>
      <x:c r="AM1153" t="n">
        <x:f>CHOOSE('假设'!$B$3,AJ1153,AK1153,AL1153)</x:f>
        <x:v>0</x:v>
      </x:c>
      <x:c r="AN1153" t="n">
        <x:v>1</x:v>
      </x:c>
    </x:row>
    <x:row r="1154" ht="23" customHeight="1">
      <x:c r="A1154" s="11" t="str">
        <x:v>688192.SH</x:v>
      </x:c>
      <x:c r="B1154" s="11" t="str">
        <x:v>五年</x:v>
      </x:c>
      <x:c r="C1154" s="11" t="str">
        <x:v>goli_rr</x:v>
      </x:c>
      <x:c r="D1154" s="11" t="str">
        <x:v>2043-12-31</x:v>
      </x:c>
      <x:c r="E1154" s="11" t="str">
        <x:v>CNY</x:v>
      </x:c>
      <x:c r="F1154" s="11" t="n">
        <x:v>12.227241615331964</x:v>
      </x:c>
      <x:c r="G1154" s="26" t="b">
        <x:v>1</x:v>
      </x:c>
      <x:c r="H1154" s="16" t="n">
        <x:v>0</x:v>
      </x:c>
      <x:c r="I1154" s="16" t="n">
        <x:v>0</x:v>
      </x:c>
      <x:c r="J1154" s="16" t="n">
        <x:v>0</x:v>
      </x:c>
      <x:c r="K1154" s="11" t="n">
        <x:f>CHOOSE('假设'!$B$3,H1154,I1154,J1154)</x:f>
        <x:v>0</x:v>
      </x:c>
      <x:c r="L1154" s="11" t="n">
        <x:f>K1154*'管线假设'!E263*'管线假设'!F263*'管线假设'!G263*IF(E1154="USD",'管线假设'!I263,1)-AM1154</x:f>
        <x:v>0</x:v>
      </x:c>
      <x:c r="M1154" s="11" t="n">
        <x:f>'管线假设'!H263</x:f>
        <x:v>0.125</x:v>
      </x:c>
      <x:c r="N1154" s="11" t="n">
        <x:f>IF(G1154,L1154*AN1154/(1+M1154)^F1154,0)</x:f>
        <x:v>0</x:v>
      </x:c>
      <x:c r="AJ1154" t="n">
        <x:v>0</x:v>
      </x:c>
      <x:c r="AK1154" t="n">
        <x:v>0</x:v>
      </x:c>
      <x:c r="AL1154" t="n">
        <x:v>0</x:v>
      </x:c>
      <x:c r="AM1154" t="n">
        <x:f>CHOOSE('假设'!$B$3,AJ1154,AK1154,AL1154)</x:f>
        <x:v>0</x:v>
      </x:c>
      <x:c r="AN1154" t="n">
        <x:v>1</x:v>
      </x:c>
    </x:row>
    <x:row r="1155" ht="23" customHeight="1">
      <x:c r="A1155" s="11" t="str">
        <x:v>688192.SH</x:v>
      </x:c>
      <x:c r="B1155" s="11" t="str">
        <x:v>五年</x:v>
      </x:c>
      <x:c r="C1155" s="11" t="str">
        <x:v>goli_rr</x:v>
      </x:c>
      <x:c r="D1155" s="11" t="str">
        <x:v>2044-12-31</x:v>
      </x:c>
      <x:c r="E1155" s="11" t="str">
        <x:v>CNY</x:v>
      </x:c>
      <x:c r="F1155" s="11" t="n">
        <x:v>13.229295003422314</x:v>
      </x:c>
      <x:c r="G1155" s="26" t="b">
        <x:v>1</x:v>
      </x:c>
      <x:c r="H1155" s="16" t="n">
        <x:v>0</x:v>
      </x:c>
      <x:c r="I1155" s="16" t="n">
        <x:v>0</x:v>
      </x:c>
      <x:c r="J1155" s="16" t="n">
        <x:v>0</x:v>
      </x:c>
      <x:c r="K1155" s="11" t="n">
        <x:f>CHOOSE('假设'!$B$3,H1155,I1155,J1155)</x:f>
        <x:v>0</x:v>
      </x:c>
      <x:c r="L1155" s="11" t="n">
        <x:f>K1155*'管线假设'!E263*'管线假设'!F263*'管线假设'!G263*IF(E1155="USD",'管线假设'!I263,1)-AM1155</x:f>
        <x:v>0</x:v>
      </x:c>
      <x:c r="M1155" s="11" t="n">
        <x:f>'管线假设'!H263</x:f>
        <x:v>0.125</x:v>
      </x:c>
      <x:c r="N1155" s="11" t="n">
        <x:f>IF(G1155,L1155*AN1155/(1+M1155)^F1155,0)</x:f>
        <x:v>0</x:v>
      </x:c>
      <x:c r="AJ1155" t="n">
        <x:v>0</x:v>
      </x:c>
      <x:c r="AK1155" t="n">
        <x:v>0</x:v>
      </x:c>
      <x:c r="AL1155" t="n">
        <x:v>0</x:v>
      </x:c>
      <x:c r="AM1155" t="n">
        <x:f>CHOOSE('假设'!$B$3,AJ1155,AK1155,AL1155)</x:f>
        <x:v>0</x:v>
      </x:c>
      <x:c r="AN1155" t="n">
        <x:v>1</x:v>
      </x:c>
    </x:row>
    <x:row r="1156" ht="23" customHeight="1">
      <x:c r="A1156" s="11" t="str">
        <x:v>688192.SH</x:v>
      </x:c>
      <x:c r="B1156" s="11" t="str">
        <x:v>五年</x:v>
      </x:c>
      <x:c r="C1156" s="11" t="str">
        <x:v>goli_rr</x:v>
      </x:c>
      <x:c r="D1156" s="11" t="str">
        <x:v>2045-12-31</x:v>
      </x:c>
      <x:c r="E1156" s="11" t="str">
        <x:v>CNY</x:v>
      </x:c>
      <x:c r="F1156" s="11" t="n">
        <x:v>14.22861054072553</x:v>
      </x:c>
      <x:c r="G1156" s="26" t="b">
        <x:v>1</x:v>
      </x:c>
      <x:c r="H1156" s="16" t="n">
        <x:v>0</x:v>
      </x:c>
      <x:c r="I1156" s="16" t="n">
        <x:v>0</x:v>
      </x:c>
      <x:c r="J1156" s="16" t="n">
        <x:v>0</x:v>
      </x:c>
      <x:c r="K1156" s="11" t="n">
        <x:f>CHOOSE('假设'!$B$3,H1156,I1156,J1156)</x:f>
        <x:v>0</x:v>
      </x:c>
      <x:c r="L1156" s="11" t="n">
        <x:f>K1156*'管线假设'!E263*'管线假设'!F263*'管线假设'!G263*IF(E1156="USD",'管线假设'!I263,1)-AM1156</x:f>
        <x:v>0</x:v>
      </x:c>
      <x:c r="M1156" s="11" t="n">
        <x:f>'管线假设'!H263</x:f>
        <x:v>0.125</x:v>
      </x:c>
      <x:c r="N1156" s="11" t="n">
        <x:f>IF(G1156,L1156*AN1156/(1+M1156)^F1156,0)</x:f>
        <x:v>0</x:v>
      </x:c>
      <x:c r="AJ1156" t="n">
        <x:v>0</x:v>
      </x:c>
      <x:c r="AK1156" t="n">
        <x:v>0</x:v>
      </x:c>
      <x:c r="AL1156" t="n">
        <x:v>0</x:v>
      </x:c>
      <x:c r="AM1156" t="n">
        <x:f>CHOOSE('假设'!$B$3,AJ1156,AK1156,AL1156)</x:f>
        <x:v>0</x:v>
      </x:c>
      <x:c r="AN1156" t="n">
        <x:v>1</x:v>
      </x:c>
    </x:row>
    <x:row r="1157" ht="23" customHeight="1">
      <x:c r="A1157" s="11" t="str">
        <x:v>688192.SH</x:v>
      </x:c>
      <x:c r="B1157" s="11" t="str">
        <x:v>五年</x:v>
      </x:c>
      <x:c r="C1157" s="11" t="str">
        <x:v>goli_first</x:v>
      </x:c>
      <x:c r="D1157" s="11" t="str">
        <x:v>2027-12-31</x:v>
      </x:c>
      <x:c r="E1157" s="11" t="str">
        <x:v>CNY</x:v>
      </x:c>
      <x:c r="F1157" s="11" t="n">
        <x:v>-3.7727583846680357</x:v>
      </x:c>
      <x:c r="G1157" s="26" t="b">
        <x:v>0</x:v>
      </x:c>
      <x:c r="H1157" s="16" t="n">
        <x:v>0</x:v>
      </x:c>
      <x:c r="I1157" s="16" t="n">
        <x:v>0</x:v>
      </x:c>
      <x:c r="J1157" s="16" t="n">
        <x:v>0</x:v>
      </x:c>
      <x:c r="K1157" s="11" t="n">
        <x:f>CHOOSE('假设'!$B$3,H1157,I1157,J1157)</x:f>
        <x:v>0</x:v>
      </x:c>
      <x:c r="L1157" s="11" t="n">
        <x:f>K1157*'管线假设'!E267*'管线假设'!F267*'管线假设'!G267*IF(E1157="USD",'管线假设'!I267,1)-AM1157</x:f>
        <x:v>0</x:v>
      </x:c>
      <x:c r="M1157" s="11" t="n">
        <x:f>'管线假设'!H267</x:f>
        <x:v>0.125</x:v>
      </x:c>
      <x:c r="N1157" s="11" t="n">
        <x:f>IF(G1157,L1157*AN1157/(1+M1157)^F1157,0)</x:f>
        <x:v>0</x:v>
      </x:c>
      <x:c r="AJ1157" t="n">
        <x:v>0</x:v>
      </x:c>
      <x:c r="AK1157" t="n">
        <x:v>0</x:v>
      </x:c>
      <x:c r="AL1157" t="n">
        <x:v>0</x:v>
      </x:c>
      <x:c r="AM1157" t="n">
        <x:f>CHOOSE('假设'!$B$3,AJ1157,AK1157,AL1157)</x:f>
        <x:v>0</x:v>
      </x:c>
      <x:c r="AN1157" t="n">
        <x:v>1</x:v>
      </x:c>
    </x:row>
    <x:row r="1158" ht="23" customHeight="1">
      <x:c r="A1158" s="11" t="str">
        <x:v>688192.SH</x:v>
      </x:c>
      <x:c r="B1158" s="11" t="str">
        <x:v>五年</x:v>
      </x:c>
      <x:c r="C1158" s="11" t="str">
        <x:v>goli_first</x:v>
      </x:c>
      <x:c r="D1158" s="11" t="str">
        <x:v>2028-12-31</x:v>
      </x:c>
      <x:c r="E1158" s="11" t="str">
        <x:v>CNY</x:v>
      </x:c>
      <x:c r="F1158" s="11" t="n">
        <x:v>-2.7707049965776864</x:v>
      </x:c>
      <x:c r="G1158" s="26" t="b">
        <x:v>0</x:v>
      </x:c>
      <x:c r="H1158" s="16" t="n">
        <x:v>0</x:v>
      </x:c>
      <x:c r="I1158" s="16" t="n">
        <x:v>0</x:v>
      </x:c>
      <x:c r="J1158" s="16" t="n">
        <x:v>0.25</x:v>
      </x:c>
      <x:c r="K1158" s="11" t="n">
        <x:f>CHOOSE('假设'!$B$3,H1158,I1158,J1158)</x:f>
        <x:v>0</x:v>
      </x:c>
      <x:c r="L1158" s="11" t="n">
        <x:f>K1158*'管线假设'!E267*'管线假设'!F267*'管线假设'!G267*IF(E1158="USD",'管线假设'!I267,1)-AM1158</x:f>
        <x:v>0</x:v>
      </x:c>
      <x:c r="M1158" s="11" t="n">
        <x:f>'管线假设'!H267</x:f>
        <x:v>0.125</x:v>
      </x:c>
      <x:c r="N1158" s="11" t="n">
        <x:f>IF(G1158,L1158*AN1158/(1+M1158)^F1158,0)</x:f>
        <x:v>0</x:v>
      </x:c>
      <x:c r="AJ1158" t="n">
        <x:v>0</x:v>
      </x:c>
      <x:c r="AK1158" t="n">
        <x:v>0</x:v>
      </x:c>
      <x:c r="AL1158" t="n">
        <x:v>0</x:v>
      </x:c>
      <x:c r="AM1158" t="n">
        <x:f>CHOOSE('假设'!$B$3,AJ1158,AK1158,AL1158)</x:f>
        <x:v>0</x:v>
      </x:c>
      <x:c r="AN1158" t="n">
        <x:v>1</x:v>
      </x:c>
    </x:row>
    <x:row r="1159" ht="23" customHeight="1">
      <x:c r="A1159" s="11" t="str">
        <x:v>688192.SH</x:v>
      </x:c>
      <x:c r="B1159" s="11" t="str">
        <x:v>五年</x:v>
      </x:c>
      <x:c r="C1159" s="11" t="str">
        <x:v>goli_first</x:v>
      </x:c>
      <x:c r="D1159" s="11" t="str">
        <x:v>2029-12-31</x:v>
      </x:c>
      <x:c r="E1159" s="11" t="str">
        <x:v>CNY</x:v>
      </x:c>
      <x:c r="F1159" s="11" t="n">
        <x:v>-1.7713894592744694</x:v>
      </x:c>
      <x:c r="G1159" s="26" t="b">
        <x:v>0</x:v>
      </x:c>
      <x:c r="H1159" s="16" t="n">
        <x:v>0</x:v>
      </x:c>
      <x:c r="I1159" s="16" t="n">
        <x:v>0.15833333333333333</x:v>
      </x:c>
      <x:c r="J1159" s="16" t="n">
        <x:v>0.5</x:v>
      </x:c>
      <x:c r="K1159" s="11" t="n">
        <x:f>CHOOSE('假设'!$B$3,H1159,I1159,J1159)</x:f>
        <x:v>0.15833333333333333</x:v>
      </x:c>
      <x:c r="L1159" s="11" t="n">
        <x:f>K1159*'管线假设'!E267*'管线假设'!F267*'管线假设'!G267*IF(E1159="USD",'管线假设'!I267,1)-AM1159</x:f>
        <x:v>0.0350075</x:v>
      </x:c>
      <x:c r="M1159" s="11" t="n">
        <x:f>'管线假设'!H267</x:f>
        <x:v>0.125</x:v>
      </x:c>
      <x:c r="N1159" s="11" t="n">
        <x:f>IF(G1159,L1159*AN1159/(1+M1159)^F1159,0)</x:f>
        <x:v>0</x:v>
      </x:c>
      <x:c r="AJ1159" t="n">
        <x:v>0</x:v>
      </x:c>
      <x:c r="AK1159" t="n">
        <x:v>0</x:v>
      </x:c>
      <x:c r="AL1159" t="n">
        <x:v>0</x:v>
      </x:c>
      <x:c r="AM1159" t="n">
        <x:f>CHOOSE('假设'!$B$3,AJ1159,AK1159,AL1159)</x:f>
        <x:v>0</x:v>
      </x:c>
      <x:c r="AN1159" t="n">
        <x:v>1</x:v>
      </x:c>
    </x:row>
    <x:row r="1160" ht="23" customHeight="1">
      <x:c r="A1160" s="11" t="str">
        <x:v>688192.SH</x:v>
      </x:c>
      <x:c r="B1160" s="11" t="str">
        <x:v>五年</x:v>
      </x:c>
      <x:c r="C1160" s="11" t="str">
        <x:v>goli_first</x:v>
      </x:c>
      <x:c r="D1160" s="11" t="str">
        <x:v>2030-12-31</x:v>
      </x:c>
      <x:c r="E1160" s="11" t="str">
        <x:v>CNY</x:v>
      </x:c>
      <x:c r="F1160" s="11" t="n">
        <x:v>-0.7720739219712526</x:v>
      </x:c>
      <x:c r="G1160" s="26" t="b">
        <x:v>0</x:v>
      </x:c>
      <x:c r="H1160" s="16" t="n">
        <x:v>0</x:v>
      </x:c>
      <x:c r="I1160" s="16" t="n">
        <x:v>0.31666666666666665</x:v>
      </x:c>
      <x:c r="J1160" s="16" t="n">
        <x:v>0.75</x:v>
      </x:c>
      <x:c r="K1160" s="11" t="n">
        <x:f>CHOOSE('假设'!$B$3,H1160,I1160,J1160)</x:f>
        <x:v>0.31666666666666665</x:v>
      </x:c>
      <x:c r="L1160" s="11" t="n">
        <x:f>K1160*'管线假设'!E267*'管线假设'!F267*'管线假设'!G267*IF(E1160="USD",'管线假设'!I267,1)-AM1160</x:f>
        <x:v>0.070015</x:v>
      </x:c>
      <x:c r="M1160" s="11" t="n">
        <x:f>'管线假设'!H267</x:f>
        <x:v>0.125</x:v>
      </x:c>
      <x:c r="N1160" s="11" t="n">
        <x:f>IF(G1160,L1160*AN1160/(1+M1160)^F1160,0)</x:f>
        <x:v>0</x:v>
      </x:c>
      <x:c r="AJ1160" t="n">
        <x:v>0</x:v>
      </x:c>
      <x:c r="AK1160" t="n">
        <x:v>0</x:v>
      </x:c>
      <x:c r="AL1160" t="n">
        <x:v>0</x:v>
      </x:c>
      <x:c r="AM1160" t="n">
        <x:f>CHOOSE('假设'!$B$3,AJ1160,AK1160,AL1160)</x:f>
        <x:v>0</x:v>
      </x:c>
      <x:c r="AN1160" t="n">
        <x:v>1</x:v>
      </x:c>
    </x:row>
    <x:row r="1161" ht="23" customHeight="1">
      <x:c r="A1161" s="11" t="str">
        <x:v>688192.SH</x:v>
      </x:c>
      <x:c r="B1161" s="11" t="str">
        <x:v>五年</x:v>
      </x:c>
      <x:c r="C1161" s="11" t="str">
        <x:v>goli_first</x:v>
      </x:c>
      <x:c r="D1161" s="11" t="str">
        <x:v>2031-12-31</x:v>
      </x:c>
      <x:c r="E1161" s="11" t="str">
        <x:v>CNY</x:v>
      </x:c>
      <x:c r="F1161" s="11" t="n">
        <x:v>0.2272416153319644</x:v>
      </x:c>
      <x:c r="G1161" s="26" t="b">
        <x:v>1</x:v>
      </x:c>
      <x:c r="H1161" s="16" t="n">
        <x:v>0.08000000000000002</x:v>
      </x:c>
      <x:c r="I1161" s="16" t="n">
        <x:v>0.475</x:v>
      </x:c>
      <x:c r="J1161" s="16" t="n">
        <x:v>1</x:v>
      </x:c>
      <x:c r="K1161" s="11" t="n">
        <x:f>CHOOSE('假设'!$B$3,H1161,I1161,J1161)</x:f>
        <x:v>0.475</x:v>
      </x:c>
      <x:c r="L1161" s="11" t="n">
        <x:f>K1161*'管线假设'!E267*'管线假设'!F267*'管线假设'!G267*IF(E1161="USD",'管线假设'!I267,1)-AM1161</x:f>
        <x:v>0.10502249999999999</x:v>
      </x:c>
      <x:c r="M1161" s="11" t="n">
        <x:f>'管线假设'!H267</x:f>
        <x:v>0.125</x:v>
      </x:c>
      <x:c r="N1161" s="11" t="n">
        <x:f>IF(G1161,L1161*AN1161/(1+M1161)^F1161,0)</x:f>
        <x:v>0.10224883545190658</x:v>
      </x:c>
      <x:c r="AJ1161" t="n">
        <x:v>0</x:v>
      </x:c>
      <x:c r="AK1161" t="n">
        <x:v>0</x:v>
      </x:c>
      <x:c r="AL1161" t="n">
        <x:v>0</x:v>
      </x:c>
      <x:c r="AM1161" t="n">
        <x:f>CHOOSE('假设'!$B$3,AJ1161,AK1161,AL1161)</x:f>
        <x:v>0</x:v>
      </x:c>
      <x:c r="AN1161" t="n">
        <x:v>1</x:v>
      </x:c>
    </x:row>
    <x:row r="1162" ht="23" customHeight="1">
      <x:c r="A1162" s="11" t="str">
        <x:v>688192.SH</x:v>
      </x:c>
      <x:c r="B1162" s="11" t="str">
        <x:v>五年</x:v>
      </x:c>
      <x:c r="C1162" s="11" t="str">
        <x:v>goli_first</x:v>
      </x:c>
      <x:c r="D1162" s="11" t="str">
        <x:v>2032-12-31</x:v>
      </x:c>
      <x:c r="E1162" s="11" t="str">
        <x:v>CNY</x:v>
      </x:c>
      <x:c r="F1162" s="11" t="n">
        <x:v>1.2292950034223136</x:v>
      </x:c>
      <x:c r="G1162" s="26" t="b">
        <x:v>1</x:v>
      </x:c>
      <x:c r="H1162" s="16" t="n">
        <x:v>0.16000000000000003</x:v>
      </x:c>
      <x:c r="I1162" s="16" t="n">
        <x:v>0.6333333333333333</x:v>
      </x:c>
      <x:c r="J1162" s="16" t="n">
        <x:v>1.25</x:v>
      </x:c>
      <x:c r="K1162" s="11" t="n">
        <x:f>CHOOSE('假设'!$B$3,H1162,I1162,J1162)</x:f>
        <x:v>0.6333333333333333</x:v>
      </x:c>
      <x:c r="L1162" s="11" t="n">
        <x:f>K1162*'管线假设'!E267*'管线假设'!F267*'管线假设'!G267*IF(E1162="USD",'管线假设'!I267,1)-AM1162</x:f>
        <x:v>0.14003</x:v>
      </x:c>
      <x:c r="M1162" s="11" t="n">
        <x:f>'管线假设'!H267</x:f>
        <x:v>0.125</x:v>
      </x:c>
      <x:c r="N1162" s="11" t="n">
        <x:f>IF(G1162,L1162*AN1162/(1+M1162)^F1162,0)</x:f>
        <x:v>0.1211544997017601</x:v>
      </x:c>
      <x:c r="AJ1162" t="n">
        <x:v>0</x:v>
      </x:c>
      <x:c r="AK1162" t="n">
        <x:v>0</x:v>
      </x:c>
      <x:c r="AL1162" t="n">
        <x:v>0</x:v>
      </x:c>
      <x:c r="AM1162" t="n">
        <x:f>CHOOSE('假设'!$B$3,AJ1162,AK1162,AL1162)</x:f>
        <x:v>0</x:v>
      </x:c>
      <x:c r="AN1162" t="n">
        <x:v>1</x:v>
      </x:c>
    </x:row>
    <x:row r="1163" ht="23" customHeight="1">
      <x:c r="A1163" s="11" t="str">
        <x:v>688192.SH</x:v>
      </x:c>
      <x:c r="B1163" s="11" t="str">
        <x:v>五年</x:v>
      </x:c>
      <x:c r="C1163" s="11" t="str">
        <x:v>goli_first</x:v>
      </x:c>
      <x:c r="D1163" s="11" t="str">
        <x:v>2033-12-31</x:v>
      </x:c>
      <x:c r="E1163" s="11" t="str">
        <x:v>CNY</x:v>
      </x:c>
      <x:c r="F1163" s="11" t="n">
        <x:v>2.2286105407255303</x:v>
      </x:c>
      <x:c r="G1163" s="26" t="b">
        <x:v>1</x:v>
      </x:c>
      <x:c r="H1163" s="16" t="n">
        <x:v>0.24</x:v>
      </x:c>
      <x:c r="I1163" s="16" t="n">
        <x:v>0.7916666666666666</x:v>
      </x:c>
      <x:c r="J1163" s="16" t="n">
        <x:v>1.5</x:v>
      </x:c>
      <x:c r="K1163" s="11" t="n">
        <x:f>CHOOSE('假设'!$B$3,H1163,I1163,J1163)</x:f>
        <x:v>0.7916666666666666</x:v>
      </x:c>
      <x:c r="L1163" s="11" t="n">
        <x:f>K1163*'管线假设'!E267*'管线假设'!F267*'管线假设'!G267*IF(E1163="USD",'管线假设'!I267,1)-AM1163</x:f>
        <x:v>0.17503749999999996</x:v>
      </x:c>
      <x:c r="M1163" s="11" t="n">
        <x:f>'管线假设'!H267</x:f>
        <x:v>0.125</x:v>
      </x:c>
      <x:c r="N1163" s="11" t="n">
        <x:f>IF(G1163,L1163*AN1163/(1+M1163)^F1163,0)</x:f>
        <x:v>0.13462696371150132</x:v>
      </x:c>
      <x:c r="AJ1163" t="n">
        <x:v>0</x:v>
      </x:c>
      <x:c r="AK1163" t="n">
        <x:v>0</x:v>
      </x:c>
      <x:c r="AL1163" t="n">
        <x:v>0</x:v>
      </x:c>
      <x:c r="AM1163" t="n">
        <x:f>CHOOSE('假设'!$B$3,AJ1163,AK1163,AL1163)</x:f>
        <x:v>0</x:v>
      </x:c>
      <x:c r="AN1163" t="n">
        <x:v>1</x:v>
      </x:c>
    </x:row>
    <x:row r="1164" ht="23" customHeight="1">
      <x:c r="A1164" s="11" t="str">
        <x:v>688192.SH</x:v>
      </x:c>
      <x:c r="B1164" s="11" t="str">
        <x:v>五年</x:v>
      </x:c>
      <x:c r="C1164" s="11" t="str">
        <x:v>goli_first</x:v>
      </x:c>
      <x:c r="D1164" s="11" t="str">
        <x:v>2034-12-31</x:v>
      </x:c>
      <x:c r="E1164" s="11" t="str">
        <x:v>CNY</x:v>
      </x:c>
      <x:c r="F1164" s="11" t="n">
        <x:v>3.2279260780287475</x:v>
      </x:c>
      <x:c r="G1164" s="26" t="b">
        <x:v>1</x:v>
      </x:c>
      <x:c r="H1164" s="16" t="n">
        <x:v>0.32000000000000006</x:v>
      </x:c>
      <x:c r="I1164" s="16" t="n">
        <x:v>0.95</x:v>
      </x:c>
      <x:c r="J1164" s="16" t="n">
        <x:v>1.32</x:v>
      </x:c>
      <x:c r="K1164" s="11" t="n">
        <x:f>CHOOSE('假设'!$B$3,H1164,I1164,J1164)</x:f>
        <x:v>0.95</x:v>
      </x:c>
      <x:c r="L1164" s="11" t="n">
        <x:f>K1164*'管线假设'!E267*'管线假设'!F267*'管线假设'!G267*IF(E1164="USD",'管线假设'!I267,1)-AM1164</x:f>
        <x:v>0.21004499999999998</x:v>
      </x:c>
      <x:c r="M1164" s="11" t="n">
        <x:f>'管线假设'!H267</x:f>
        <x:v>0.125</x:v>
      </x:c>
      <x:c r="N1164" s="11" t="n">
        <x:f>IF(G1164,L1164*AN1164/(1+M1164)^F1164,0)</x:f>
        <x:v>0.14361367201946368</x:v>
      </x:c>
      <x:c r="AJ1164" t="n">
        <x:v>0</x:v>
      </x:c>
      <x:c r="AK1164" t="n">
        <x:v>0</x:v>
      </x:c>
      <x:c r="AL1164" t="n">
        <x:v>0</x:v>
      </x:c>
      <x:c r="AM1164" t="n">
        <x:f>CHOOSE('假设'!$B$3,AJ1164,AK1164,AL1164)</x:f>
        <x:v>0</x:v>
      </x:c>
      <x:c r="AN1164" t="n">
        <x:v>1</x:v>
      </x:c>
    </x:row>
    <x:row r="1165" ht="23" customHeight="1">
      <x:c r="A1165" s="11" t="str">
        <x:v>688192.SH</x:v>
      </x:c>
      <x:c r="B1165" s="11" t="str">
        <x:v>五年</x:v>
      </x:c>
      <x:c r="C1165" s="11" t="str">
        <x:v>goli_first</x:v>
      </x:c>
      <x:c r="D1165" s="11" t="str">
        <x:v>2035-12-31</x:v>
      </x:c>
      <x:c r="E1165" s="11" t="str">
        <x:v>CNY</x:v>
      </x:c>
      <x:c r="F1165" s="11" t="n">
        <x:v>4.227241615331964</x:v>
      </x:c>
      <x:c r="G1165" s="26" t="b">
        <x:v>1</x:v>
      </x:c>
      <x:c r="H1165" s="16" t="n">
        <x:v>0.4</x:v>
      </x:c>
      <x:c r="I1165" s="16" t="n">
        <x:v>0.836</x:v>
      </x:c>
      <x:c r="J1165" s="16" t="n">
        <x:v>1.1400000000000001</x:v>
      </x:c>
      <x:c r="K1165" s="11" t="n">
        <x:f>CHOOSE('假设'!$B$3,H1165,I1165,J1165)</x:f>
        <x:v>0.836</x:v>
      </x:c>
      <x:c r="L1165" s="11" t="n">
        <x:f>K1165*'管线假设'!E267*'管线假设'!F267*'管线假设'!G267*IF(E1165="USD",'管线假设'!I267,1)-AM1165</x:f>
        <x:v>0.1848396</x:v>
      </x:c>
      <x:c r="M1165" s="11" t="n">
        <x:f>'管线假设'!H267</x:f>
        <x:v>0.125</x:v>
      </x:c>
      <x:c r="N1165" s="11" t="n">
        <x:f>IF(G1165,L1165*AN1165/(1+M1165)^F1165,0)</x:f>
        <x:v>0.11234686249342728</x:v>
      </x:c>
      <x:c r="AJ1165" t="n">
        <x:v>0</x:v>
      </x:c>
      <x:c r="AK1165" t="n">
        <x:v>0</x:v>
      </x:c>
      <x:c r="AL1165" t="n">
        <x:v>0</x:v>
      </x:c>
      <x:c r="AM1165" t="n">
        <x:f>CHOOSE('假设'!$B$3,AJ1165,AK1165,AL1165)</x:f>
        <x:v>0</x:v>
      </x:c>
      <x:c r="AN1165" t="n">
        <x:v>1</x:v>
      </x:c>
    </x:row>
    <x:row r="1166" ht="23" customHeight="1">
      <x:c r="A1166" s="11" t="str">
        <x:v>688192.SH</x:v>
      </x:c>
      <x:c r="B1166" s="11" t="str">
        <x:v>五年</x:v>
      </x:c>
      <x:c r="C1166" s="11" t="str">
        <x:v>goli_first</x:v>
      </x:c>
      <x:c r="D1166" s="11" t="str">
        <x:v>2036-12-31</x:v>
      </x:c>
      <x:c r="E1166" s="11" t="str">
        <x:v>CNY</x:v>
      </x:c>
      <x:c r="F1166" s="11" t="n">
        <x:v>5.229295003422314</x:v>
      </x:c>
      <x:c r="G1166" s="26" t="b">
        <x:v>1</x:v>
      </x:c>
      <x:c r="H1166" s="16" t="n">
        <x:v>0.35200000000000004</x:v>
      </x:c>
      <x:c r="I1166" s="16" t="n">
        <x:v>0.722</x:v>
      </x:c>
      <x:c r="J1166" s="16" t="n">
        <x:v>0.96</x:v>
      </x:c>
      <x:c r="K1166" s="11" t="n">
        <x:f>CHOOSE('假设'!$B$3,H1166,I1166,J1166)</x:f>
        <x:v>0.722</x:v>
      </x:c>
      <x:c r="L1166" s="11" t="n">
        <x:f>K1166*'管线假设'!E267*'管线假设'!F267*'管线假设'!G267*IF(E1166="USD",'管线假设'!I267,1)-AM1166</x:f>
        <x:v>0.1596342</x:v>
      </x:c>
      <x:c r="M1166" s="11" t="n">
        <x:f>'管线假设'!H267</x:f>
        <x:v>0.125</x:v>
      </x:c>
      <x:c r="N1166" s="11" t="n">
        <x:f>IF(G1166,L1166*AN1166/(1+M1166)^F1166,0)</x:f>
        <x:v>0.08622521979688869</x:v>
      </x:c>
      <x:c r="AJ1166" t="n">
        <x:v>0</x:v>
      </x:c>
      <x:c r="AK1166" t="n">
        <x:v>0</x:v>
      </x:c>
      <x:c r="AL1166" t="n">
        <x:v>0</x:v>
      </x:c>
      <x:c r="AM1166" t="n">
        <x:f>CHOOSE('假设'!$B$3,AJ1166,AK1166,AL1166)</x:f>
        <x:v>0</x:v>
      </x:c>
      <x:c r="AN1166" t="n">
        <x:v>1</x:v>
      </x:c>
    </x:row>
    <x:row r="1167" ht="23" customHeight="1">
      <x:c r="A1167" s="11" t="str">
        <x:v>688192.SH</x:v>
      </x:c>
      <x:c r="B1167" s="11" t="str">
        <x:v>五年</x:v>
      </x:c>
      <x:c r="C1167" s="11" t="str">
        <x:v>goli_first</x:v>
      </x:c>
      <x:c r="D1167" s="11" t="str">
        <x:v>2037-12-31</x:v>
      </x:c>
      <x:c r="E1167" s="11" t="str">
        <x:v>CNY</x:v>
      </x:c>
      <x:c r="F1167" s="11" t="n">
        <x:v>6.228610540725531</x:v>
      </x:c>
      <x:c r="G1167" s="26" t="b">
        <x:v>1</x:v>
      </x:c>
      <x:c r="H1167" s="16" t="n">
        <x:v>0.30400000000000005</x:v>
      </x:c>
      <x:c r="I1167" s="16" t="n">
        <x:v>0.608</x:v>
      </x:c>
      <x:c r="J1167" s="16" t="n">
        <x:v>0.78</x:v>
      </x:c>
      <x:c r="K1167" s="11" t="n">
        <x:f>CHOOSE('假设'!$B$3,H1167,I1167,J1167)</x:f>
        <x:v>0.608</x:v>
      </x:c>
      <x:c r="L1167" s="11" t="n">
        <x:f>K1167*'管线假设'!E267*'管线假设'!F267*'管线假设'!G267*IF(E1167="USD",'管线假设'!I267,1)-AM1167</x:f>
        <x:v>0.1344288</x:v>
      </x:c>
      <x:c r="M1167" s="11" t="n">
        <x:f>'管线假设'!H267</x:f>
        <x:v>0.125</x:v>
      </x:c>
      <x:c r="N1167" s="11" t="n">
        <x:f>IF(G1167,L1167*AN1167/(1+M1167)^F1167,0)</x:f>
        <x:v>0.06454805811648433</x:v>
      </x:c>
      <x:c r="AJ1167" t="n">
        <x:v>0</x:v>
      </x:c>
      <x:c r="AK1167" t="n">
        <x:v>0</x:v>
      </x:c>
      <x:c r="AL1167" t="n">
        <x:v>0</x:v>
      </x:c>
      <x:c r="AM1167" t="n">
        <x:f>CHOOSE('假设'!$B$3,AJ1167,AK1167,AL1167)</x:f>
        <x:v>0</x:v>
      </x:c>
      <x:c r="AN1167" t="n">
        <x:v>1</x:v>
      </x:c>
    </x:row>
    <x:row r="1168" ht="23" customHeight="1">
      <x:c r="A1168" s="11" t="str">
        <x:v>688192.SH</x:v>
      </x:c>
      <x:c r="B1168" s="11" t="str">
        <x:v>五年</x:v>
      </x:c>
      <x:c r="C1168" s="11" t="str">
        <x:v>goli_first</x:v>
      </x:c>
      <x:c r="D1168" s="11" t="str">
        <x:v>2038-12-31</x:v>
      </x:c>
      <x:c r="E1168" s="11" t="str">
        <x:v>CNY</x:v>
      </x:c>
      <x:c r="F1168" s="11" t="n">
        <x:v>7.227926078028747</x:v>
      </x:c>
      <x:c r="G1168" s="26" t="b">
        <x:v>1</x:v>
      </x:c>
      <x:c r="H1168" s="16" t="n">
        <x:v>0.256</x:v>
      </x:c>
      <x:c r="I1168" s="16" t="n">
        <x:v>0.494</x:v>
      </x:c>
      <x:c r="J1168" s="16" t="n">
        <x:v>0.6000000000000001</x:v>
      </x:c>
      <x:c r="K1168" s="11" t="n">
        <x:f>CHOOSE('假设'!$B$3,H1168,I1168,J1168)</x:f>
        <x:v>0.494</x:v>
      </x:c>
      <x:c r="L1168" s="11" t="n">
        <x:f>K1168*'管线假设'!E267*'管线假设'!F267*'管线假设'!G267*IF(E1168="USD",'管线假设'!I267,1)-AM1168</x:f>
        <x:v>0.10922339999999998</x:v>
      </x:c>
      <x:c r="M1168" s="11" t="n">
        <x:f>'管线假设'!H267</x:f>
        <x:v>0.125</x:v>
      </x:c>
      <x:c r="N1168" s="11" t="n">
        <x:f>IF(G1168,L1168*AN1168/(1+M1168)^F1168,0)</x:f>
        <x:v>0.04662180038221248</x:v>
      </x:c>
      <x:c r="AJ1168" t="n">
        <x:v>0</x:v>
      </x:c>
      <x:c r="AK1168" t="n">
        <x:v>0</x:v>
      </x:c>
      <x:c r="AL1168" t="n">
        <x:v>0</x:v>
      </x:c>
      <x:c r="AM1168" t="n">
        <x:f>CHOOSE('假设'!$B$3,AJ1168,AK1168,AL1168)</x:f>
        <x:v>0</x:v>
      </x:c>
      <x:c r="AN1168" t="n">
        <x:v>1</x:v>
      </x:c>
    </x:row>
    <x:row r="1169" ht="23" customHeight="1">
      <x:c r="A1169" s="11" t="str">
        <x:v>688192.SH</x:v>
      </x:c>
      <x:c r="B1169" s="11" t="str">
        <x:v>五年</x:v>
      </x:c>
      <x:c r="C1169" s="11" t="str">
        <x:v>goli_first</x:v>
      </x:c>
      <x:c r="D1169" s="11" t="str">
        <x:v>2039-12-31</x:v>
      </x:c>
      <x:c r="E1169" s="11" t="str">
        <x:v>CNY</x:v>
      </x:c>
      <x:c r="F1169" s="11" t="n">
        <x:v>8.227241615331964</x:v>
      </x:c>
      <x:c r="G1169" s="26" t="b">
        <x:v>1</x:v>
      </x:c>
      <x:c r="H1169" s="16" t="n">
        <x:v>0.20800000000000002</x:v>
      </x:c>
      <x:c r="I1169" s="16" t="n">
        <x:v>0.38</x:v>
      </x:c>
      <x:c r="J1169" s="16" t="n">
        <x:v>0.42000000000000004</x:v>
      </x:c>
      <x:c r="K1169" s="11" t="n">
        <x:f>CHOOSE('假设'!$B$3,H1169,I1169,J1169)</x:f>
        <x:v>0.38</x:v>
      </x:c>
      <x:c r="L1169" s="11" t="n">
        <x:f>K1169*'管线假设'!E267*'管线假设'!F267*'管线假设'!G267*IF(E1169="USD",'管线假设'!I267,1)-AM1169</x:f>
        <x:v>0.084018</x:v>
      </x:c>
      <x:c r="M1169" s="11" t="n">
        <x:f>'管线假设'!H267</x:f>
        <x:v>0.125</x:v>
      </x:c>
      <x:c r="N1169" s="11" t="n">
        <x:f>IF(G1169,L1169*AN1169/(1+M1169)^F1169,0)</x:f>
        <x:v>0.0318807241671224</x:v>
      </x:c>
      <x:c r="AJ1169" t="n">
        <x:v>0</x:v>
      </x:c>
      <x:c r="AK1169" t="n">
        <x:v>0</x:v>
      </x:c>
      <x:c r="AL1169" t="n">
        <x:v>0</x:v>
      </x:c>
      <x:c r="AM1169" t="n">
        <x:f>CHOOSE('假设'!$B$3,AJ1169,AK1169,AL1169)</x:f>
        <x:v>0</x:v>
      </x:c>
      <x:c r="AN1169" t="n">
        <x:v>1</x:v>
      </x:c>
    </x:row>
    <x:row r="1170" ht="23" customHeight="1">
      <x:c r="A1170" s="11" t="str">
        <x:v>688192.SH</x:v>
      </x:c>
      <x:c r="B1170" s="11" t="str">
        <x:v>五年</x:v>
      </x:c>
      <x:c r="C1170" s="11" t="str">
        <x:v>goli_first</x:v>
      </x:c>
      <x:c r="D1170" s="11" t="str">
        <x:v>2040-12-31</x:v>
      </x:c>
      <x:c r="E1170" s="11" t="str">
        <x:v>CNY</x:v>
      </x:c>
      <x:c r="F1170" s="11" t="n">
        <x:v>9.229295003422314</x:v>
      </x:c>
      <x:c r="G1170" s="26" t="b">
        <x:v>1</x:v>
      </x:c>
      <x:c r="H1170" s="16" t="n">
        <x:v>0.16000000000000003</x:v>
      </x:c>
      <x:c r="I1170" s="16" t="n">
        <x:v>0.266</x:v>
      </x:c>
      <x:c r="J1170" s="16" t="n">
        <x:v>0.24000000000000005</x:v>
      </x:c>
      <x:c r="K1170" s="11" t="n">
        <x:f>CHOOSE('假设'!$B$3,H1170,I1170,J1170)</x:f>
        <x:v>0.266</x:v>
      </x:c>
      <x:c r="L1170" s="11" t="n">
        <x:f>K1170*'管线假设'!E267*'管线假设'!F267*'管线假设'!G267*IF(E1170="USD",'管线假设'!I267,1)-AM1170</x:f>
        <x:v>0.0588126</x:v>
      </x:c>
      <x:c r="M1170" s="11" t="n">
        <x:f>'管线假设'!H267</x:f>
        <x:v>0.125</x:v>
      </x:c>
      <x:c r="N1170" s="11" t="n">
        <x:f>IF(G1170,L1170*AN1170/(1+M1170)^F1170,0)</x:f>
        <x:v>0.019832097979418994</x:v>
      </x:c>
      <x:c r="AJ1170" t="n">
        <x:v>0</x:v>
      </x:c>
      <x:c r="AK1170" t="n">
        <x:v>0</x:v>
      </x:c>
      <x:c r="AL1170" t="n">
        <x:v>0</x:v>
      </x:c>
      <x:c r="AM1170" t="n">
        <x:f>CHOOSE('假设'!$B$3,AJ1170,AK1170,AL1170)</x:f>
        <x:v>0</x:v>
      </x:c>
      <x:c r="AN1170" t="n">
        <x:v>1</x:v>
      </x:c>
    </x:row>
    <x:row r="1171" ht="23" customHeight="1">
      <x:c r="A1171" s="11" t="str">
        <x:v>688192.SH</x:v>
      </x:c>
      <x:c r="B1171" s="11" t="str">
        <x:v>五年</x:v>
      </x:c>
      <x:c r="C1171" s="11" t="str">
        <x:v>goli_first</x:v>
      </x:c>
      <x:c r="D1171" s="11" t="str">
        <x:v>2041-12-31</x:v>
      </x:c>
      <x:c r="E1171" s="11" t="str">
        <x:v>CNY</x:v>
      </x:c>
      <x:c r="F1171" s="11" t="n">
        <x:v>10.22861054072553</x:v>
      </x:c>
      <x:c r="G1171" s="26" t="b">
        <x:v>1</x:v>
      </x:c>
      <x:c r="H1171" s="16" t="n">
        <x:v>0.11200000000000002</x:v>
      </x:c>
      <x:c r="I1171" s="16" t="n">
        <x:v>0.15200000000000002</x:v>
      </x:c>
      <x:c r="J1171" s="16" t="n">
        <x:v>0.06000000000000005</x:v>
      </x:c>
      <x:c r="K1171" s="11" t="n">
        <x:f>CHOOSE('假设'!$B$3,H1171,I1171,J1171)</x:f>
        <x:v>0.15200000000000002</x:v>
      </x:c>
      <x:c r="L1171" s="11" t="n">
        <x:f>K1171*'管线假设'!E267*'管线假设'!F267*'管线假设'!G267*IF(E1171="USD",'管线假设'!I267,1)-AM1171</x:f>
        <x:v>0.033607200000000004</x:v>
      </x:c>
      <x:c r="M1171" s="11" t="n">
        <x:f>'管线假设'!H267</x:f>
        <x:v>0.125</x:v>
      </x:c>
      <x:c r="N1171" s="11" t="n">
        <x:f>IF(G1171,L1171*AN1171/(1+M1171)^F1171,0)</x:f>
        <x:v>0.010074258727523239</x:v>
      </x:c>
      <x:c r="AJ1171" t="n">
        <x:v>0</x:v>
      </x:c>
      <x:c r="AK1171" t="n">
        <x:v>0</x:v>
      </x:c>
      <x:c r="AL1171" t="n">
        <x:v>0</x:v>
      </x:c>
      <x:c r="AM1171" t="n">
        <x:f>CHOOSE('假设'!$B$3,AJ1171,AK1171,AL1171)</x:f>
        <x:v>0</x:v>
      </x:c>
      <x:c r="AN1171" t="n">
        <x:v>1</x:v>
      </x:c>
    </x:row>
    <x:row r="1172" ht="23" customHeight="1">
      <x:c r="A1172" s="11" t="str">
        <x:v>688192.SH</x:v>
      </x:c>
      <x:c r="B1172" s="11" t="str">
        <x:v>五年</x:v>
      </x:c>
      <x:c r="C1172" s="11" t="str">
        <x:v>goli_first</x:v>
      </x:c>
      <x:c r="D1172" s="11" t="str">
        <x:v>2042-12-31</x:v>
      </x:c>
      <x:c r="E1172" s="11" t="str">
        <x:v>CNY</x:v>
      </x:c>
      <x:c r="F1172" s="11" t="n">
        <x:v>11.227926078028748</x:v>
      </x:c>
      <x:c r="G1172" s="26" t="b">
        <x:v>1</x:v>
      </x:c>
      <x:c r="H1172" s="16" t="n">
        <x:v>0.06400000000000002</x:v>
      </x:c>
      <x:c r="I1172" s="16" t="n">
        <x:v>0.038000000000000034</x:v>
      </x:c>
      <x:c r="J1172" s="16" t="n">
        <x:v>0</x:v>
      </x:c>
      <x:c r="K1172" s="11" t="n">
        <x:f>CHOOSE('假设'!$B$3,H1172,I1172,J1172)</x:f>
        <x:v>0.038000000000000034</x:v>
      </x:c>
      <x:c r="L1172" s="11" t="n">
        <x:f>K1172*'管线假设'!E267*'管线假设'!F267*'管线假设'!G267*IF(E1172="USD",'管线假设'!I267,1)-AM1172</x:f>
        <x:v>0.008401800000000008</x:v>
      </x:c>
      <x:c r="M1172" s="11" t="n">
        <x:f>'管线假设'!H267</x:f>
        <x:v>0.125</x:v>
      </x:c>
      <x:c r="N1172" s="11" t="n">
        <x:f>IF(G1172,L1172*AN1172/(1+M1172)^F1172,0)</x:f>
        <x:v>0.002238904650622472</x:v>
      </x:c>
      <x:c r="AJ1172" t="n">
        <x:v>0</x:v>
      </x:c>
      <x:c r="AK1172" t="n">
        <x:v>0</x:v>
      </x:c>
      <x:c r="AL1172" t="n">
        <x:v>0</x:v>
      </x:c>
      <x:c r="AM1172" t="n">
        <x:f>CHOOSE('假设'!$B$3,AJ1172,AK1172,AL1172)</x:f>
        <x:v>0</x:v>
      </x:c>
      <x:c r="AN1172" t="n">
        <x:v>1</x:v>
      </x:c>
    </x:row>
    <x:row r="1173" ht="23" customHeight="1">
      <x:c r="A1173" s="11" t="str">
        <x:v>688192.SH</x:v>
      </x:c>
      <x:c r="B1173" s="11" t="str">
        <x:v>五年</x:v>
      </x:c>
      <x:c r="C1173" s="11" t="str">
        <x:v>goli_first</x:v>
      </x:c>
      <x:c r="D1173" s="11" t="str">
        <x:v>2043-12-31</x:v>
      </x:c>
      <x:c r="E1173" s="11" t="str">
        <x:v>CNY</x:v>
      </x:c>
      <x:c r="F1173" s="11" t="n">
        <x:v>12.227241615331964</x:v>
      </x:c>
      <x:c r="G1173" s="26" t="b">
        <x:v>1</x:v>
      </x:c>
      <x:c r="H1173" s="16" t="n">
        <x:v>0.016000000000000014</x:v>
      </x:c>
      <x:c r="I1173" s="16" t="n">
        <x:v>0</x:v>
      </x:c>
      <x:c r="J1173" s="16" t="n">
        <x:v>0</x:v>
      </x:c>
      <x:c r="K1173" s="11" t="n">
        <x:f>CHOOSE('假设'!$B$3,H1173,I1173,J1173)</x:f>
        <x:v>0</x:v>
      </x:c>
      <x:c r="L1173" s="11" t="n">
        <x:f>K1173*'管线假设'!E267*'管线假设'!F267*'管线假设'!G267*IF(E1173="USD",'管线假设'!I267,1)-AM1173</x:f>
        <x:v>0</x:v>
      </x:c>
      <x:c r="M1173" s="11" t="n">
        <x:f>'管线假设'!H267</x:f>
        <x:v>0.125</x:v>
      </x:c>
      <x:c r="N1173" s="11" t="n">
        <x:f>IF(G1173,L1173*AN1173/(1+M1173)^F1173,0)</x:f>
        <x:v>0</x:v>
      </x:c>
      <x:c r="AJ1173" t="n">
        <x:v>0</x:v>
      </x:c>
      <x:c r="AK1173" t="n">
        <x:v>0</x:v>
      </x:c>
      <x:c r="AL1173" t="n">
        <x:v>0</x:v>
      </x:c>
      <x:c r="AM1173" t="n">
        <x:f>CHOOSE('假设'!$B$3,AJ1173,AK1173,AL1173)</x:f>
        <x:v>0</x:v>
      </x:c>
      <x:c r="AN1173" t="n">
        <x:v>1</x:v>
      </x:c>
    </x:row>
    <x:row r="1174" ht="23" customHeight="1">
      <x:c r="A1174" s="11" t="str">
        <x:v>688192.SH</x:v>
      </x:c>
      <x:c r="B1174" s="11" t="str">
        <x:v>五年</x:v>
      </x:c>
      <x:c r="C1174" s="11" t="str">
        <x:v>goli_first</x:v>
      </x:c>
      <x:c r="D1174" s="11" t="str">
        <x:v>2044-12-31</x:v>
      </x:c>
      <x:c r="E1174" s="11" t="str">
        <x:v>CNY</x:v>
      </x:c>
      <x:c r="F1174" s="11" t="n">
        <x:v>13.229295003422314</x:v>
      </x:c>
      <x:c r="G1174" s="26" t="b">
        <x:v>1</x:v>
      </x:c>
      <x:c r="H1174" s="16" t="n">
        <x:v>0</x:v>
      </x:c>
      <x:c r="I1174" s="16" t="n">
        <x:v>0</x:v>
      </x:c>
      <x:c r="J1174" s="16" t="n">
        <x:v>0</x:v>
      </x:c>
      <x:c r="K1174" s="11" t="n">
        <x:f>CHOOSE('假设'!$B$3,H1174,I1174,J1174)</x:f>
        <x:v>0</x:v>
      </x:c>
      <x:c r="L1174" s="11" t="n">
        <x:f>K1174*'管线假设'!E267*'管线假设'!F267*'管线假设'!G267*IF(E1174="USD",'管线假设'!I267,1)-AM1174</x:f>
        <x:v>0</x:v>
      </x:c>
      <x:c r="M1174" s="11" t="n">
        <x:f>'管线假设'!H267</x:f>
        <x:v>0.125</x:v>
      </x:c>
      <x:c r="N1174" s="11" t="n">
        <x:f>IF(G1174,L1174*AN1174/(1+M1174)^F1174,0)</x:f>
        <x:v>0</x:v>
      </x:c>
      <x:c r="AJ1174" t="n">
        <x:v>0</x:v>
      </x:c>
      <x:c r="AK1174" t="n">
        <x:v>0</x:v>
      </x:c>
      <x:c r="AL1174" t="n">
        <x:v>0</x:v>
      </x:c>
      <x:c r="AM1174" t="n">
        <x:f>CHOOSE('假设'!$B$3,AJ1174,AK1174,AL1174)</x:f>
        <x:v>0</x:v>
      </x:c>
      <x:c r="AN1174" t="n">
        <x:v>1</x:v>
      </x:c>
    </x:row>
    <x:row r="1175" ht="23" customHeight="1">
      <x:c r="A1175" s="11" t="str">
        <x:v>688192.SH</x:v>
      </x:c>
      <x:c r="B1175" s="11" t="str">
        <x:v>五年</x:v>
      </x:c>
      <x:c r="C1175" s="11" t="str">
        <x:v>goli_first</x:v>
      </x:c>
      <x:c r="D1175" s="11" t="str">
        <x:v>2045-12-31</x:v>
      </x:c>
      <x:c r="E1175" s="11" t="str">
        <x:v>CNY</x:v>
      </x:c>
      <x:c r="F1175" s="11" t="n">
        <x:v>14.22861054072553</x:v>
      </x:c>
      <x:c r="G1175" s="26" t="b">
        <x:v>1</x:v>
      </x:c>
      <x:c r="H1175" s="16" t="n">
        <x:v>0</x:v>
      </x:c>
      <x:c r="I1175" s="16" t="n">
        <x:v>0</x:v>
      </x:c>
      <x:c r="J1175" s="16" t="n">
        <x:v>0</x:v>
      </x:c>
      <x:c r="K1175" s="11" t="n">
        <x:f>CHOOSE('假设'!$B$3,H1175,I1175,J1175)</x:f>
        <x:v>0</x:v>
      </x:c>
      <x:c r="L1175" s="11" t="n">
        <x:f>K1175*'管线假设'!E267*'管线假设'!F267*'管线假设'!G267*IF(E1175="USD",'管线假设'!I267,1)-AM1175</x:f>
        <x:v>0</x:v>
      </x:c>
      <x:c r="M1175" s="11" t="n">
        <x:f>'管线假设'!H267</x:f>
        <x:v>0.125</x:v>
      </x:c>
      <x:c r="N1175" s="11" t="n">
        <x:f>IF(G1175,L1175*AN1175/(1+M1175)^F1175,0)</x:f>
        <x:v>0</x:v>
      </x:c>
      <x:c r="AJ1175" t="n">
        <x:v>0</x:v>
      </x:c>
      <x:c r="AK1175" t="n">
        <x:v>0</x:v>
      </x:c>
      <x:c r="AL1175" t="n">
        <x:v>0</x:v>
      </x:c>
      <x:c r="AM1175" t="n">
        <x:f>CHOOSE('假设'!$B$3,AJ1175,AK1175,AL1175)</x:f>
        <x:v>0</x:v>
      </x:c>
      <x:c r="AN1175" t="n">
        <x:v>1</x:v>
      </x:c>
    </x:row>
    <x:row r="1176" ht="23" customHeight="1">
      <x:c r="A1176" s="11" t="str">
        <x:v>688192.SH</x:v>
      </x:c>
      <x:c r="B1176" s="11" t="str">
        <x:v>五年</x:v>
      </x:c>
      <x:c r="C1176" s="11" t="str">
        <x:v>goli_lung</x:v>
      </x:c>
      <x:c r="D1176" s="11" t="str">
        <x:v>2027-12-31</x:v>
      </x:c>
      <x:c r="E1176" s="11" t="str">
        <x:v>USD</x:v>
      </x:c>
      <x:c r="F1176" s="11" t="n">
        <x:v>-3.7727583846680357</x:v>
      </x:c>
      <x:c r="G1176" s="26" t="b">
        <x:v>0</x:v>
      </x:c>
      <x:c r="H1176" s="16" t="n">
        <x:v>0</x:v>
      </x:c>
      <x:c r="I1176" s="16" t="n">
        <x:v>0</x:v>
      </x:c>
      <x:c r="J1176" s="16" t="n">
        <x:v>0</x:v>
      </x:c>
      <x:c r="K1176" s="11" t="n">
        <x:f>CHOOSE('假设'!$B$3,H1176,I1176,J1176)</x:f>
        <x:v>0</x:v>
      </x:c>
      <x:c r="L1176" s="11" t="n">
        <x:f>K1176*'管线假设'!E271*'管线假设'!F271*'管线假设'!G271*IF(E1176="USD",'管线假设'!I271,1)-AM1176</x:f>
        <x:v>0</x:v>
      </x:c>
      <x:c r="M1176" s="11" t="n">
        <x:f>'管线假设'!H271</x:f>
        <x:v>0.125</x:v>
      </x:c>
      <x:c r="N1176" s="11" t="n">
        <x:f>IF(G1176,L1176*AN1176/(1+M1176)^F1176,0)</x:f>
        <x:v>0</x:v>
      </x:c>
      <x:c r="AJ1176" t="n">
        <x:v>0</x:v>
      </x:c>
      <x:c r="AK1176" t="n">
        <x:v>0</x:v>
      </x:c>
      <x:c r="AL1176" t="n">
        <x:v>0</x:v>
      </x:c>
      <x:c r="AM1176" t="n">
        <x:f>CHOOSE('假设'!$B$3,AJ1176,AK1176,AL1176)</x:f>
        <x:v>0</x:v>
      </x:c>
      <x:c r="AN1176" t="n">
        <x:v>1</x:v>
      </x:c>
    </x:row>
    <x:row r="1177" ht="23" customHeight="1">
      <x:c r="A1177" s="11" t="str">
        <x:v>688192.SH</x:v>
      </x:c>
      <x:c r="B1177" s="11" t="str">
        <x:v>五年</x:v>
      </x:c>
      <x:c r="C1177" s="11" t="str">
        <x:v>goli_lung</x:v>
      </x:c>
      <x:c r="D1177" s="11" t="str">
        <x:v>2028-12-31</x:v>
      </x:c>
      <x:c r="E1177" s="11" t="str">
        <x:v>USD</x:v>
      </x:c>
      <x:c r="F1177" s="11" t="n">
        <x:v>-2.7707049965776864</x:v>
      </x:c>
      <x:c r="G1177" s="26" t="b">
        <x:v>0</x:v>
      </x:c>
      <x:c r="H1177" s="16" t="n">
        <x:v>0</x:v>
      </x:c>
      <x:c r="I1177" s="16" t="n">
        <x:v>0</x:v>
      </x:c>
      <x:c r="J1177" s="16" t="n">
        <x:v>0</x:v>
      </x:c>
      <x:c r="K1177" s="11" t="n">
        <x:f>CHOOSE('假设'!$B$3,H1177,I1177,J1177)</x:f>
        <x:v>0</x:v>
      </x:c>
      <x:c r="L1177" s="11" t="n">
        <x:f>K1177*'管线假设'!E271*'管线假设'!F271*'管线假设'!G271*IF(E1177="USD",'管线假设'!I271,1)-AM1177</x:f>
        <x:v>0</x:v>
      </x:c>
      <x:c r="M1177" s="11" t="n">
        <x:f>'管线假设'!H271</x:f>
        <x:v>0.125</x:v>
      </x:c>
      <x:c r="N1177" s="11" t="n">
        <x:f>IF(G1177,L1177*AN1177/(1+M1177)^F1177,0)</x:f>
        <x:v>0</x:v>
      </x:c>
      <x:c r="AJ1177" t="n">
        <x:v>0</x:v>
      </x:c>
      <x:c r="AK1177" t="n">
        <x:v>0</x:v>
      </x:c>
      <x:c r="AL1177" t="n">
        <x:v>0</x:v>
      </x:c>
      <x:c r="AM1177" t="n">
        <x:f>CHOOSE('假设'!$B$3,AJ1177,AK1177,AL1177)</x:f>
        <x:v>0</x:v>
      </x:c>
      <x:c r="AN1177" t="n">
        <x:v>1</x:v>
      </x:c>
    </x:row>
    <x:row r="1178" ht="23" customHeight="1">
      <x:c r="A1178" s="11" t="str">
        <x:v>688192.SH</x:v>
      </x:c>
      <x:c r="B1178" s="11" t="str">
        <x:v>五年</x:v>
      </x:c>
      <x:c r="C1178" s="11" t="str">
        <x:v>goli_lung</x:v>
      </x:c>
      <x:c r="D1178" s="11" t="str">
        <x:v>2029-12-31</x:v>
      </x:c>
      <x:c r="E1178" s="11" t="str">
        <x:v>USD</x:v>
      </x:c>
      <x:c r="F1178" s="11" t="n">
        <x:v>-1.7713894592744694</x:v>
      </x:c>
      <x:c r="G1178" s="26" t="b">
        <x:v>0</x:v>
      </x:c>
      <x:c r="H1178" s="16" t="n">
        <x:v>0</x:v>
      </x:c>
      <x:c r="I1178" s="16" t="n">
        <x:v>0</x:v>
      </x:c>
      <x:c r="J1178" s="16" t="n">
        <x:v>0</x:v>
      </x:c>
      <x:c r="K1178" s="11" t="n">
        <x:f>CHOOSE('假设'!$B$3,H1178,I1178,J1178)</x:f>
        <x:v>0</x:v>
      </x:c>
      <x:c r="L1178" s="11" t="n">
        <x:f>K1178*'管线假设'!E271*'管线假设'!F271*'管线假设'!G271*IF(E1178="USD",'管线假设'!I271,1)-AM1178</x:f>
        <x:v>0</x:v>
      </x:c>
      <x:c r="M1178" s="11" t="n">
        <x:f>'管线假设'!H271</x:f>
        <x:v>0.125</x:v>
      </x:c>
      <x:c r="N1178" s="11" t="n">
        <x:f>IF(G1178,L1178*AN1178/(1+M1178)^F1178,0)</x:f>
        <x:v>0</x:v>
      </x:c>
      <x:c r="AJ1178" t="n">
        <x:v>0</x:v>
      </x:c>
      <x:c r="AK1178" t="n">
        <x:v>0</x:v>
      </x:c>
      <x:c r="AL1178" t="n">
        <x:v>0</x:v>
      </x:c>
      <x:c r="AM1178" t="n">
        <x:f>CHOOSE('假设'!$B$3,AJ1178,AK1178,AL1178)</x:f>
        <x:v>0</x:v>
      </x:c>
      <x:c r="AN1178" t="n">
        <x:v>1</x:v>
      </x:c>
    </x:row>
    <x:row r="1179" ht="23" customHeight="1">
      <x:c r="A1179" s="11" t="str">
        <x:v>688192.SH</x:v>
      </x:c>
      <x:c r="B1179" s="11" t="str">
        <x:v>五年</x:v>
      </x:c>
      <x:c r="C1179" s="11" t="str">
        <x:v>goli_lung</x:v>
      </x:c>
      <x:c r="D1179" s="11" t="str">
        <x:v>2030-12-31</x:v>
      </x:c>
      <x:c r="E1179" s="11" t="str">
        <x:v>USD</x:v>
      </x:c>
      <x:c r="F1179" s="11" t="n">
        <x:v>-0.7720739219712526</x:v>
      </x:c>
      <x:c r="G1179" s="26" t="b">
        <x:v>0</x:v>
      </x:c>
      <x:c r="H1179" s="16" t="n">
        <x:v>0</x:v>
      </x:c>
      <x:c r="I1179" s="16" t="n">
        <x:v>0</x:v>
      </x:c>
      <x:c r="J1179" s="16" t="n">
        <x:v>0.5833333333333333</x:v>
      </x:c>
      <x:c r="K1179" s="11" t="n">
        <x:f>CHOOSE('假设'!$B$3,H1179,I1179,J1179)</x:f>
        <x:v>0</x:v>
      </x:c>
      <x:c r="L1179" s="11" t="n">
        <x:f>K1179*'管线假设'!E271*'管线假设'!F271*'管线假设'!G271*IF(E1179="USD",'管线假设'!I271,1)-AM1179</x:f>
        <x:v>0</x:v>
      </x:c>
      <x:c r="M1179" s="11" t="n">
        <x:f>'管线假设'!H271</x:f>
        <x:v>0.125</x:v>
      </x:c>
      <x:c r="N1179" s="11" t="n">
        <x:f>IF(G1179,L1179*AN1179/(1+M1179)^F1179,0)</x:f>
        <x:v>0</x:v>
      </x:c>
      <x:c r="AJ1179" t="n">
        <x:v>0</x:v>
      </x:c>
      <x:c r="AK1179" t="n">
        <x:v>0</x:v>
      </x:c>
      <x:c r="AL1179" t="n">
        <x:v>0</x:v>
      </x:c>
      <x:c r="AM1179" t="n">
        <x:f>CHOOSE('假设'!$B$3,AJ1179,AK1179,AL1179)</x:f>
        <x:v>0</x:v>
      </x:c>
      <x:c r="AN1179" t="n">
        <x:v>1</x:v>
      </x:c>
    </x:row>
    <x:row r="1180" ht="23" customHeight="1">
      <x:c r="A1180" s="11" t="str">
        <x:v>688192.SH</x:v>
      </x:c>
      <x:c r="B1180" s="11" t="str">
        <x:v>五年</x:v>
      </x:c>
      <x:c r="C1180" s="11" t="str">
        <x:v>goli_lung</x:v>
      </x:c>
      <x:c r="D1180" s="11" t="str">
        <x:v>2031-12-31</x:v>
      </x:c>
      <x:c r="E1180" s="11" t="str">
        <x:v>USD</x:v>
      </x:c>
      <x:c r="F1180" s="11" t="n">
        <x:v>0.2272416153319644</x:v>
      </x:c>
      <x:c r="G1180" s="26" t="b">
        <x:v>1</x:v>
      </x:c>
      <x:c r="H1180" s="16" t="n">
        <x:v>0</x:v>
      </x:c>
      <x:c r="I1180" s="16" t="n">
        <x:v>0</x:v>
      </x:c>
      <x:c r="J1180" s="16" t="n">
        <x:v>1.1666666666666665</x:v>
      </x:c>
      <x:c r="K1180" s="11" t="n">
        <x:f>CHOOSE('假设'!$B$3,H1180,I1180,J1180)</x:f>
        <x:v>0</x:v>
      </x:c>
      <x:c r="L1180" s="11" t="n">
        <x:f>K1180*'管线假设'!E271*'管线假设'!F271*'管线假设'!G271*IF(E1180="USD",'管线假设'!I271,1)-AM1180</x:f>
        <x:v>0</x:v>
      </x:c>
      <x:c r="M1180" s="11" t="n">
        <x:f>'管线假设'!H271</x:f>
        <x:v>0.125</x:v>
      </x:c>
      <x:c r="N1180" s="11" t="n">
        <x:f>IF(G1180,L1180*AN1180/(1+M1180)^F1180,0)</x:f>
        <x:v>0</x:v>
      </x:c>
      <x:c r="AJ1180" t="n">
        <x:v>0</x:v>
      </x:c>
      <x:c r="AK1180" t="n">
        <x:v>0</x:v>
      </x:c>
      <x:c r="AL1180" t="n">
        <x:v>0</x:v>
      </x:c>
      <x:c r="AM1180" t="n">
        <x:f>CHOOSE('假设'!$B$3,AJ1180,AK1180,AL1180)</x:f>
        <x:v>0</x:v>
      </x:c>
      <x:c r="AN1180" t="n">
        <x:v>1</x:v>
      </x:c>
    </x:row>
    <x:row r="1181" ht="23" customHeight="1">
      <x:c r="A1181" s="11" t="str">
        <x:v>688192.SH</x:v>
      </x:c>
      <x:c r="B1181" s="11" t="str">
        <x:v>五年</x:v>
      </x:c>
      <x:c r="C1181" s="11" t="str">
        <x:v>goli_lung</x:v>
      </x:c>
      <x:c r="D1181" s="11" t="str">
        <x:v>2032-12-31</x:v>
      </x:c>
      <x:c r="E1181" s="11" t="str">
        <x:v>USD</x:v>
      </x:c>
      <x:c r="F1181" s="11" t="n">
        <x:v>1.2292950034223136</x:v>
      </x:c>
      <x:c r="G1181" s="26" t="b">
        <x:v>1</x:v>
      </x:c>
      <x:c r="H1181" s="16" t="n">
        <x:v>0</x:v>
      </x:c>
      <x:c r="I1181" s="16" t="n">
        <x:v>0.3</x:v>
      </x:c>
      <x:c r="J1181" s="16" t="n">
        <x:v>1.75</x:v>
      </x:c>
      <x:c r="K1181" s="11" t="n">
        <x:f>CHOOSE('假设'!$B$3,H1181,I1181,J1181)</x:f>
        <x:v>0.3</x:v>
      </x:c>
      <x:c r="L1181" s="11" t="n">
        <x:f>K1181*'管线假设'!E271*'管线假设'!F271*'管线假设'!G271*IF(E1181="USD",'管线假设'!I271,1)-AM1181</x:f>
        <x:v>0.34271999999999997</x:v>
      </x:c>
      <x:c r="M1181" s="11" t="n">
        <x:f>'管线假设'!H271</x:f>
        <x:v>0.125</x:v>
      </x:c>
      <x:c r="N1181" s="11" t="n">
        <x:f>IF(G1181,L1181*AN1181/(1+M1181)^F1181,0)</x:f>
        <x:v>0.2965226746967594</x:v>
      </x:c>
      <x:c r="AJ1181" t="n">
        <x:v>0</x:v>
      </x:c>
      <x:c r="AK1181" t="n">
        <x:v>0</x:v>
      </x:c>
      <x:c r="AL1181" t="n">
        <x:v>0</x:v>
      </x:c>
      <x:c r="AM1181" t="n">
        <x:f>CHOOSE('假设'!$B$3,AJ1181,AK1181,AL1181)</x:f>
        <x:v>0</x:v>
      </x:c>
      <x:c r="AN1181" t="n">
        <x:v>1</x:v>
      </x:c>
    </x:row>
    <x:row r="1182" ht="23" customHeight="1">
      <x:c r="A1182" s="11" t="str">
        <x:v>688192.SH</x:v>
      </x:c>
      <x:c r="B1182" s="11" t="str">
        <x:v>五年</x:v>
      </x:c>
      <x:c r="C1182" s="11" t="str">
        <x:v>goli_lung</x:v>
      </x:c>
      <x:c r="D1182" s="11" t="str">
        <x:v>2033-12-31</x:v>
      </x:c>
      <x:c r="E1182" s="11" t="str">
        <x:v>USD</x:v>
      </x:c>
      <x:c r="F1182" s="11" t="n">
        <x:v>2.2286105407255303</x:v>
      </x:c>
      <x:c r="G1182" s="26" t="b">
        <x:v>1</x:v>
      </x:c>
      <x:c r="H1182" s="16" t="n">
        <x:v>0</x:v>
      </x:c>
      <x:c r="I1182" s="16" t="n">
        <x:v>0.6</x:v>
      </x:c>
      <x:c r="J1182" s="16" t="n">
        <x:v>2.333333333333333</x:v>
      </x:c>
      <x:c r="K1182" s="11" t="n">
        <x:f>CHOOSE('假设'!$B$3,H1182,I1182,J1182)</x:f>
        <x:v>0.6</x:v>
      </x:c>
      <x:c r="L1182" s="11" t="n">
        <x:f>K1182*'管线假设'!E271*'管线假设'!F271*'管线假设'!G271*IF(E1182="USD",'管线假设'!I271,1)-AM1182</x:f>
        <x:v>0.6854399999999999</x:v>
      </x:c>
      <x:c r="M1182" s="11" t="n">
        <x:f>'管线假设'!H271</x:f>
        <x:v>0.125</x:v>
      </x:c>
      <x:c r="N1182" s="11" t="n">
        <x:f>IF(G1182,L1182*AN1182/(1+M1182)^F1182,0)</x:f>
        <x:v>0.5271939213392072</x:v>
      </x:c>
      <x:c r="AJ1182" t="n">
        <x:v>0</x:v>
      </x:c>
      <x:c r="AK1182" t="n">
        <x:v>0</x:v>
      </x:c>
      <x:c r="AL1182" t="n">
        <x:v>0</x:v>
      </x:c>
      <x:c r="AM1182" t="n">
        <x:f>CHOOSE('假设'!$B$3,AJ1182,AK1182,AL1182)</x:f>
        <x:v>0</x:v>
      </x:c>
      <x:c r="AN1182" t="n">
        <x:v>1</x:v>
      </x:c>
    </x:row>
    <x:row r="1183" ht="23" customHeight="1">
      <x:c r="A1183" s="11" t="str">
        <x:v>688192.SH</x:v>
      </x:c>
      <x:c r="B1183" s="11" t="str">
        <x:v>五年</x:v>
      </x:c>
      <x:c r="C1183" s="11" t="str">
        <x:v>goli_lung</x:v>
      </x:c>
      <x:c r="D1183" s="11" t="str">
        <x:v>2034-12-31</x:v>
      </x:c>
      <x:c r="E1183" s="11" t="str">
        <x:v>USD</x:v>
      </x:c>
      <x:c r="F1183" s="11" t="n">
        <x:v>3.2279260780287475</x:v>
      </x:c>
      <x:c r="G1183" s="26" t="b">
        <x:v>1</x:v>
      </x:c>
      <x:c r="H1183" s="16" t="n">
        <x:v>0.12</x:v>
      </x:c>
      <x:c r="I1183" s="16" t="n">
        <x:v>0.9</x:v>
      </x:c>
      <x:c r="J1183" s="16" t="n">
        <x:v>2.916666666666667</x:v>
      </x:c>
      <x:c r="K1183" s="11" t="n">
        <x:f>CHOOSE('假设'!$B$3,H1183,I1183,J1183)</x:f>
        <x:v>0.9</x:v>
      </x:c>
      <x:c r="L1183" s="11" t="n">
        <x:f>K1183*'管线假设'!E271*'管线假设'!F271*'管线假设'!G271*IF(E1183="USD",'管线假设'!I271,1)-AM1183</x:f>
        <x:v>1.02816</x:v>
      </x:c>
      <x:c r="M1183" s="11" t="n">
        <x:f>'管线假设'!H271</x:f>
        <x:v>0.125</x:v>
      </x:c>
      <x:c r="N1183" s="11" t="n">
        <x:f>IF(G1183,L1183*AN1183/(1+M1183)^F1183,0)</x:f>
        <x:v>0.7029818992288881</x:v>
      </x:c>
      <x:c r="AJ1183" t="n">
        <x:v>0</x:v>
      </x:c>
      <x:c r="AK1183" t="n">
        <x:v>0</x:v>
      </x:c>
      <x:c r="AL1183" t="n">
        <x:v>0</x:v>
      </x:c>
      <x:c r="AM1183" t="n">
        <x:f>CHOOSE('假设'!$B$3,AJ1183,AK1183,AL1183)</x:f>
        <x:v>0</x:v>
      </x:c>
      <x:c r="AN1183" t="n">
        <x:v>1</x:v>
      </x:c>
    </x:row>
    <x:row r="1184" ht="23" customHeight="1">
      <x:c r="A1184" s="11" t="str">
        <x:v>688192.SH</x:v>
      </x:c>
      <x:c r="B1184" s="11" t="str">
        <x:v>五年</x:v>
      </x:c>
      <x:c r="C1184" s="11" t="str">
        <x:v>goli_lung</x:v>
      </x:c>
      <x:c r="D1184" s="11" t="str">
        <x:v>2035-12-31</x:v>
      </x:c>
      <x:c r="E1184" s="11" t="str">
        <x:v>USD</x:v>
      </x:c>
      <x:c r="F1184" s="11" t="n">
        <x:v>4.227241615331964</x:v>
      </x:c>
      <x:c r="G1184" s="26" t="b">
        <x:v>1</x:v>
      </x:c>
      <x:c r="H1184" s="16" t="n">
        <x:v>0.24</x:v>
      </x:c>
      <x:c r="I1184" s="16" t="n">
        <x:v>1.2</x:v>
      </x:c>
      <x:c r="J1184" s="16" t="n">
        <x:v>3.5</x:v>
      </x:c>
      <x:c r="K1184" s="11" t="n">
        <x:f>CHOOSE('假设'!$B$3,H1184,I1184,J1184)</x:f>
        <x:v>1.2</x:v>
      </x:c>
      <x:c r="L1184" s="11" t="n">
        <x:f>K1184*'管线假设'!E271*'管线假设'!F271*'管线假设'!G271*IF(E1184="USD",'管线假设'!I271,1)-AM1184</x:f>
        <x:v>1.3708799999999999</x:v>
      </x:c>
      <x:c r="M1184" s="11" t="n">
        <x:f>'管线假设'!H271</x:f>
        <x:v>0.125</x:v>
      </x:c>
      <x:c r="N1184" s="11" t="n">
        <x:f>IF(G1184,L1184*AN1184/(1+M1184)^F1184,0)</x:f>
        <x:v>0.8332309031992581</x:v>
      </x:c>
      <x:c r="AJ1184" t="n">
        <x:v>0</x:v>
      </x:c>
      <x:c r="AK1184" t="n">
        <x:v>0</x:v>
      </x:c>
      <x:c r="AL1184" t="n">
        <x:v>0</x:v>
      </x:c>
      <x:c r="AM1184" t="n">
        <x:f>CHOOSE('假设'!$B$3,AJ1184,AK1184,AL1184)</x:f>
        <x:v>0</x:v>
      </x:c>
      <x:c r="AN1184" t="n">
        <x:v>1</x:v>
      </x:c>
    </x:row>
    <x:row r="1185" ht="23" customHeight="1">
      <x:c r="A1185" s="11" t="str">
        <x:v>688192.SH</x:v>
      </x:c>
      <x:c r="B1185" s="11" t="str">
        <x:v>五年</x:v>
      </x:c>
      <x:c r="C1185" s="11" t="str">
        <x:v>goli_lung</x:v>
      </x:c>
      <x:c r="D1185" s="11" t="str">
        <x:v>2036-12-31</x:v>
      </x:c>
      <x:c r="E1185" s="11" t="str">
        <x:v>USD</x:v>
      </x:c>
      <x:c r="F1185" s="11" t="n">
        <x:v>5.229295003422314</x:v>
      </x:c>
      <x:c r="G1185" s="26" t="b">
        <x:v>1</x:v>
      </x:c>
      <x:c r="H1185" s="16" t="n">
        <x:v>0.36</x:v>
      </x:c>
      <x:c r="I1185" s="16" t="n">
        <x:v>1.5</x:v>
      </x:c>
      <x:c r="J1185" s="16" t="n">
        <x:v>3.08</x:v>
      </x:c>
      <x:c r="K1185" s="11" t="n">
        <x:f>CHOOSE('假设'!$B$3,H1185,I1185,J1185)</x:f>
        <x:v>1.5</x:v>
      </x:c>
      <x:c r="L1185" s="11" t="n">
        <x:f>K1185*'管线假设'!E271*'管线假设'!F271*'管线假设'!G271*IF(E1185="USD",'管线假设'!I271,1)-AM1185</x:f>
        <x:v>1.7135999999999996</x:v>
      </x:c>
      <x:c r="M1185" s="11" t="n">
        <x:f>'管线假设'!H271</x:f>
        <x:v>0.125</x:v>
      </x:c>
      <x:c r="N1185" s="11" t="n">
        <x:f>IF(G1185,L1185*AN1185/(1+M1185)^F1185,0)</x:f>
        <x:v>0.9255882301157798</x:v>
      </x:c>
      <x:c r="AJ1185" t="n">
        <x:v>0</x:v>
      </x:c>
      <x:c r="AK1185" t="n">
        <x:v>0</x:v>
      </x:c>
      <x:c r="AL1185" t="n">
        <x:v>0</x:v>
      </x:c>
      <x:c r="AM1185" t="n">
        <x:f>CHOOSE('假设'!$B$3,AJ1185,AK1185,AL1185)</x:f>
        <x:v>0</x:v>
      </x:c>
      <x:c r="AN1185" t="n">
        <x:v>1</x:v>
      </x:c>
    </x:row>
    <x:row r="1186" ht="23" customHeight="1">
      <x:c r="A1186" s="11" t="str">
        <x:v>688192.SH</x:v>
      </x:c>
      <x:c r="B1186" s="11" t="str">
        <x:v>五年</x:v>
      </x:c>
      <x:c r="C1186" s="11" t="str">
        <x:v>goli_lung</x:v>
      </x:c>
      <x:c r="D1186" s="11" t="str">
        <x:v>2037-12-31</x:v>
      </x:c>
      <x:c r="E1186" s="11" t="str">
        <x:v>USD</x:v>
      </x:c>
      <x:c r="F1186" s="11" t="n">
        <x:v>6.228610540725531</x:v>
      </x:c>
      <x:c r="G1186" s="26" t="b">
        <x:v>1</x:v>
      </x:c>
      <x:c r="H1186" s="16" t="n">
        <x:v>0.48</x:v>
      </x:c>
      <x:c r="I1186" s="16" t="n">
        <x:v>1.8</x:v>
      </x:c>
      <x:c r="J1186" s="16" t="n">
        <x:v>2.66</x:v>
      </x:c>
      <x:c r="K1186" s="11" t="n">
        <x:f>CHOOSE('假设'!$B$3,H1186,I1186,J1186)</x:f>
        <x:v>1.8</x:v>
      </x:c>
      <x:c r="L1186" s="11" t="n">
        <x:f>K1186*'管线假设'!E271*'管线假设'!F271*'管线假设'!G271*IF(E1186="USD",'管线假设'!I271,1)-AM1186</x:f>
        <x:v>2.05632</x:v>
      </x:c>
      <x:c r="M1186" s="11" t="n">
        <x:f>'管线假设'!H271</x:f>
        <x:v>0.125</x:v>
      </x:c>
      <x:c r="N1186" s="11" t="n">
        <x:f>IF(G1186,L1186*AN1186/(1+M1186)^F1186,0)</x:f>
        <x:v>0.9873737091016885</x:v>
      </x:c>
      <x:c r="AJ1186" t="n">
        <x:v>0</x:v>
      </x:c>
      <x:c r="AK1186" t="n">
        <x:v>0</x:v>
      </x:c>
      <x:c r="AL1186" t="n">
        <x:v>0</x:v>
      </x:c>
      <x:c r="AM1186" t="n">
        <x:f>CHOOSE('假设'!$B$3,AJ1186,AK1186,AL1186)</x:f>
        <x:v>0</x:v>
      </x:c>
      <x:c r="AN1186" t="n">
        <x:v>1</x:v>
      </x:c>
    </x:row>
    <x:row r="1187" ht="23" customHeight="1">
      <x:c r="A1187" s="11" t="str">
        <x:v>688192.SH</x:v>
      </x:c>
      <x:c r="B1187" s="11" t="str">
        <x:v>五年</x:v>
      </x:c>
      <x:c r="C1187" s="11" t="str">
        <x:v>goli_lung</x:v>
      </x:c>
      <x:c r="D1187" s="11" t="str">
        <x:v>2038-12-31</x:v>
      </x:c>
      <x:c r="E1187" s="11" t="str">
        <x:v>USD</x:v>
      </x:c>
      <x:c r="F1187" s="11" t="n">
        <x:v>7.227926078028747</x:v>
      </x:c>
      <x:c r="G1187" s="26" t="b">
        <x:v>1</x:v>
      </x:c>
      <x:c r="H1187" s="16" t="n">
        <x:v>0.6</x:v>
      </x:c>
      <x:c r="I1187" s="16" t="n">
        <x:v>1.584</x:v>
      </x:c>
      <x:c r="J1187" s="16" t="n">
        <x:v>2.24</x:v>
      </x:c>
      <x:c r="K1187" s="11" t="n">
        <x:f>CHOOSE('假设'!$B$3,H1187,I1187,J1187)</x:f>
        <x:v>1.584</x:v>
      </x:c>
      <x:c r="L1187" s="11" t="n">
        <x:f>K1187*'管线假设'!E271*'管线假设'!F271*'管线假设'!G271*IF(E1187="USD",'管线假设'!I271,1)-AM1187</x:f>
        <x:v>1.8095615999999997</x:v>
      </x:c>
      <x:c r="M1187" s="11" t="n">
        <x:f>'管线假设'!H271</x:f>
        <x:v>0.125</x:v>
      </x:c>
      <x:c r="N1187" s="11" t="n">
        <x:f>IF(G1187,L1187*AN1187/(1+M1187)^F1187,0)</x:f>
        <x:v>0.7724079244421711</x:v>
      </x:c>
      <x:c r="AJ1187" t="n">
        <x:v>0</x:v>
      </x:c>
      <x:c r="AK1187" t="n">
        <x:v>0</x:v>
      </x:c>
      <x:c r="AL1187" t="n">
        <x:v>0</x:v>
      </x:c>
      <x:c r="AM1187" t="n">
        <x:f>CHOOSE('假设'!$B$3,AJ1187,AK1187,AL1187)</x:f>
        <x:v>0</x:v>
      </x:c>
      <x:c r="AN1187" t="n">
        <x:v>1</x:v>
      </x:c>
    </x:row>
    <x:row r="1188" ht="23" customHeight="1">
      <x:c r="A1188" s="11" t="str">
        <x:v>688192.SH</x:v>
      </x:c>
      <x:c r="B1188" s="11" t="str">
        <x:v>五年</x:v>
      </x:c>
      <x:c r="C1188" s="11" t="str">
        <x:v>goli_lung</x:v>
      </x:c>
      <x:c r="D1188" s="11" t="str">
        <x:v>2039-12-31</x:v>
      </x:c>
      <x:c r="E1188" s="11" t="str">
        <x:v>USD</x:v>
      </x:c>
      <x:c r="F1188" s="11" t="n">
        <x:v>8.227241615331964</x:v>
      </x:c>
      <x:c r="G1188" s="26" t="b">
        <x:v>1</x:v>
      </x:c>
      <x:c r="H1188" s="16" t="n">
        <x:v>0.528</x:v>
      </x:c>
      <x:c r="I1188" s="16" t="n">
        <x:v>1.368</x:v>
      </x:c>
      <x:c r="J1188" s="16" t="n">
        <x:v>1.82</x:v>
      </x:c>
      <x:c r="K1188" s="11" t="n">
        <x:f>CHOOSE('假设'!$B$3,H1188,I1188,J1188)</x:f>
        <x:v>1.368</x:v>
      </x:c>
      <x:c r="L1188" s="11" t="n">
        <x:f>K1188*'管线假设'!E271*'管线假设'!F271*'管线假设'!G271*IF(E1188="USD",'管线假设'!I271,1)-AM1188</x:f>
        <x:v>1.5628031999999998</x:v>
      </x:c>
      <x:c r="M1188" s="11" t="n">
        <x:f>'管线假设'!H271</x:f>
        <x:v>0.125</x:v>
      </x:c>
      <x:c r="N1188" s="11" t="n">
        <x:f>IF(G1188,L1188*AN1188/(1+M1188)^F1188,0)</x:f>
        <x:v>0.5930074239650577</x:v>
      </x:c>
      <x:c r="AJ1188" t="n">
        <x:v>0</x:v>
      </x:c>
      <x:c r="AK1188" t="n">
        <x:v>0</x:v>
      </x:c>
      <x:c r="AL1188" t="n">
        <x:v>0</x:v>
      </x:c>
      <x:c r="AM1188" t="n">
        <x:f>CHOOSE('假设'!$B$3,AJ1188,AK1188,AL1188)</x:f>
        <x:v>0</x:v>
      </x:c>
      <x:c r="AN1188" t="n">
        <x:v>1</x:v>
      </x:c>
    </x:row>
    <x:row r="1189" ht="23" customHeight="1">
      <x:c r="A1189" s="11" t="str">
        <x:v>688192.SH</x:v>
      </x:c>
      <x:c r="B1189" s="11" t="str">
        <x:v>五年</x:v>
      </x:c>
      <x:c r="C1189" s="11" t="str">
        <x:v>goli_lung</x:v>
      </x:c>
      <x:c r="D1189" s="11" t="str">
        <x:v>2040-12-31</x:v>
      </x:c>
      <x:c r="E1189" s="11" t="str">
        <x:v>USD</x:v>
      </x:c>
      <x:c r="F1189" s="11" t="n">
        <x:v>9.229295003422314</x:v>
      </x:c>
      <x:c r="G1189" s="26" t="b">
        <x:v>1</x:v>
      </x:c>
      <x:c r="H1189" s="16" t="n">
        <x:v>0.45599999999999996</x:v>
      </x:c>
      <x:c r="I1189" s="16" t="n">
        <x:v>1.1520000000000001</x:v>
      </x:c>
      <x:c r="J1189" s="16" t="n">
        <x:v>1.4000000000000001</x:v>
      </x:c>
      <x:c r="K1189" s="11" t="n">
        <x:f>CHOOSE('假设'!$B$3,H1189,I1189,J1189)</x:f>
        <x:v>1.1520000000000001</x:v>
      </x:c>
      <x:c r="L1189" s="11" t="n">
        <x:f>K1189*'管线假设'!E271*'管线假设'!F271*'管线假设'!G271*IF(E1189="USD",'管线假设'!I271,1)-AM1189</x:f>
        <x:v>1.3160448</x:v>
      </x:c>
      <x:c r="M1189" s="11" t="n">
        <x:f>'管线假设'!H271</x:f>
        <x:v>0.125</x:v>
      </x:c>
      <x:c r="N1189" s="11" t="n">
        <x:f>IF(G1189,L1189*AN1189/(1+M1189)^F1189,0)</x:f>
        <x:v>0.44378125467850216</x:v>
      </x:c>
      <x:c r="AJ1189" t="n">
        <x:v>0</x:v>
      </x:c>
      <x:c r="AK1189" t="n">
        <x:v>0</x:v>
      </x:c>
      <x:c r="AL1189" t="n">
        <x:v>0</x:v>
      </x:c>
      <x:c r="AM1189" t="n">
        <x:f>CHOOSE('假设'!$B$3,AJ1189,AK1189,AL1189)</x:f>
        <x:v>0</x:v>
      </x:c>
      <x:c r="AN1189" t="n">
        <x:v>1</x:v>
      </x:c>
    </x:row>
    <x:row r="1190" ht="23" customHeight="1">
      <x:c r="A1190" s="11" t="str">
        <x:v>688192.SH</x:v>
      </x:c>
      <x:c r="B1190" s="11" t="str">
        <x:v>五年</x:v>
      </x:c>
      <x:c r="C1190" s="11" t="str">
        <x:v>goli_lung</x:v>
      </x:c>
      <x:c r="D1190" s="11" t="str">
        <x:v>2041-12-31</x:v>
      </x:c>
      <x:c r="E1190" s="11" t="str">
        <x:v>USD</x:v>
      </x:c>
      <x:c r="F1190" s="11" t="n">
        <x:v>10.22861054072553</x:v>
      </x:c>
      <x:c r="G1190" s="26" t="b">
        <x:v>1</x:v>
      </x:c>
      <x:c r="H1190" s="16" t="n">
        <x:v>0.384</x:v>
      </x:c>
      <x:c r="I1190" s="16" t="n">
        <x:v>0.936</x:v>
      </x:c>
      <x:c r="J1190" s="16" t="n">
        <x:v>0.9800000000000001</x:v>
      </x:c>
      <x:c r="K1190" s="11" t="n">
        <x:f>CHOOSE('假设'!$B$3,H1190,I1190,J1190)</x:f>
        <x:v>0.936</x:v>
      </x:c>
      <x:c r="L1190" s="11" t="n">
        <x:f>K1190*'管线假设'!E271*'管线假设'!F271*'管线假设'!G271*IF(E1190="USD",'管线假设'!I271,1)-AM1190</x:f>
        <x:v>1.0692863999999997</x:v>
      </x:c>
      <x:c r="M1190" s="11" t="n">
        <x:f>'管线假设'!H271</x:f>
        <x:v>0.125</x:v>
      </x:c>
      <x:c r="N1190" s="11" t="n">
        <x:f>IF(G1190,L1190*AN1190/(1+M1190)^F1190,0)</x:f>
        <x:v>0.32053452377531905</x:v>
      </x:c>
      <x:c r="AJ1190" t="n">
        <x:v>0</x:v>
      </x:c>
      <x:c r="AK1190" t="n">
        <x:v>0</x:v>
      </x:c>
      <x:c r="AL1190" t="n">
        <x:v>0</x:v>
      </x:c>
      <x:c r="AM1190" t="n">
        <x:f>CHOOSE('假设'!$B$3,AJ1190,AK1190,AL1190)</x:f>
        <x:v>0</x:v>
      </x:c>
      <x:c r="AN1190" t="n">
        <x:v>1</x:v>
      </x:c>
    </x:row>
    <x:row r="1191" ht="23" customHeight="1">
      <x:c r="A1191" s="11" t="str">
        <x:v>688192.SH</x:v>
      </x:c>
      <x:c r="B1191" s="11" t="str">
        <x:v>五年</x:v>
      </x:c>
      <x:c r="C1191" s="11" t="str">
        <x:v>goli_lung</x:v>
      </x:c>
      <x:c r="D1191" s="11" t="str">
        <x:v>2042-12-31</x:v>
      </x:c>
      <x:c r="E1191" s="11" t="str">
        <x:v>USD</x:v>
      </x:c>
      <x:c r="F1191" s="11" t="n">
        <x:v>11.227926078028748</x:v>
      </x:c>
      <x:c r="G1191" s="26" t="b">
        <x:v>1</x:v>
      </x:c>
      <x:c r="H1191" s="16" t="n">
        <x:v>0.312</x:v>
      </x:c>
      <x:c r="I1191" s="16" t="n">
        <x:v>0.7200000000000001</x:v>
      </x:c>
      <x:c r="J1191" s="16" t="n">
        <x:v>0.56</x:v>
      </x:c>
      <x:c r="K1191" s="11" t="n">
        <x:f>CHOOSE('假设'!$B$3,H1191,I1191,J1191)</x:f>
        <x:v>0.7200000000000001</x:v>
      </x:c>
      <x:c r="L1191" s="11" t="n">
        <x:f>K1191*'管线假设'!E271*'管线假设'!F271*'管线假设'!G271*IF(E1191="USD",'管线假设'!I271,1)-AM1191</x:f>
        <x:v>0.8225279999999999</x:v>
      </x:c>
      <x:c r="M1191" s="11" t="n">
        <x:f>'管线假设'!H271</x:f>
        <x:v>0.125</x:v>
      </x:c>
      <x:c r="N1191" s="11" t="n">
        <x:f>IF(G1191,L1191*AN1191/(1+M1191)^F1191,0)</x:f>
        <x:v>0.21918657483720141</x:v>
      </x:c>
      <x:c r="AJ1191" t="n">
        <x:v>0</x:v>
      </x:c>
      <x:c r="AK1191" t="n">
        <x:v>0</x:v>
      </x:c>
      <x:c r="AL1191" t="n">
        <x:v>0</x:v>
      </x:c>
      <x:c r="AM1191" t="n">
        <x:f>CHOOSE('假设'!$B$3,AJ1191,AK1191,AL1191)</x:f>
        <x:v>0</x:v>
      </x:c>
      <x:c r="AN1191" t="n">
        <x:v>1</x:v>
      </x:c>
    </x:row>
    <x:row r="1192" ht="23" customHeight="1">
      <x:c r="A1192" s="11" t="str">
        <x:v>688192.SH</x:v>
      </x:c>
      <x:c r="B1192" s="11" t="str">
        <x:v>五年</x:v>
      </x:c>
      <x:c r="C1192" s="11" t="str">
        <x:v>goli_lung</x:v>
      </x:c>
      <x:c r="D1192" s="11" t="str">
        <x:v>2043-12-31</x:v>
      </x:c>
      <x:c r="E1192" s="11" t="str">
        <x:v>USD</x:v>
      </x:c>
      <x:c r="F1192" s="11" t="n">
        <x:v>12.227241615331964</x:v>
      </x:c>
      <x:c r="G1192" s="26" t="b">
        <x:v>1</x:v>
      </x:c>
      <x:c r="H1192" s="16" t="n">
        <x:v>0.24</x:v>
      </x:c>
      <x:c r="I1192" s="16" t="n">
        <x:v>0.5040000000000001</x:v>
      </x:c>
      <x:c r="J1192" s="16" t="n">
        <x:v>0.14000000000000012</x:v>
      </x:c>
      <x:c r="K1192" s="11" t="n">
        <x:f>CHOOSE('假设'!$B$3,H1192,I1192,J1192)</x:f>
        <x:v>0.5040000000000001</x:v>
      </x:c>
      <x:c r="L1192" s="11" t="n">
        <x:f>K1192*'管线假设'!E271*'管线假设'!F271*'管线假设'!G271*IF(E1192="USD",'管线假设'!I271,1)-AM1192</x:f>
        <x:v>0.5757696000000001</x:v>
      </x:c>
      <x:c r="M1192" s="11" t="n">
        <x:f>'管线假设'!H271</x:f>
        <x:v>0.125</x:v>
      </x:c>
      <x:c r="N1192" s="11" t="n">
        <x:f>IF(G1192,L1192*AN1192/(1+M1192)^F1192,0)</x:f>
        <x:v>0.13639375303769596</x:v>
      </x:c>
      <x:c r="AJ1192" t="n">
        <x:v>0</x:v>
      </x:c>
      <x:c r="AK1192" t="n">
        <x:v>0</x:v>
      </x:c>
      <x:c r="AL1192" t="n">
        <x:v>0</x:v>
      </x:c>
      <x:c r="AM1192" t="n">
        <x:f>CHOOSE('假设'!$B$3,AJ1192,AK1192,AL1192)</x:f>
        <x:v>0</x:v>
      </x:c>
      <x:c r="AN1192" t="n">
        <x:v>1</x:v>
      </x:c>
    </x:row>
    <x:row r="1193" ht="23" customHeight="1">
      <x:c r="A1193" s="11" t="str">
        <x:v>688192.SH</x:v>
      </x:c>
      <x:c r="B1193" s="11" t="str">
        <x:v>五年</x:v>
      </x:c>
      <x:c r="C1193" s="11" t="str">
        <x:v>goli_lung</x:v>
      </x:c>
      <x:c r="D1193" s="11" t="str">
        <x:v>2044-12-31</x:v>
      </x:c>
      <x:c r="E1193" s="11" t="str">
        <x:v>USD</x:v>
      </x:c>
      <x:c r="F1193" s="11" t="n">
        <x:v>13.229295003422314</x:v>
      </x:c>
      <x:c r="G1193" s="26" t="b">
        <x:v>1</x:v>
      </x:c>
      <x:c r="H1193" s="16" t="n">
        <x:v>0.168</x:v>
      </x:c>
      <x:c r="I1193" s="16" t="n">
        <x:v>0.2880000000000001</x:v>
      </x:c>
      <x:c r="J1193" s="16" t="n">
        <x:v>0</x:v>
      </x:c>
      <x:c r="K1193" s="11" t="n">
        <x:f>CHOOSE('假设'!$B$3,H1193,I1193,J1193)</x:f>
        <x:v>0.2880000000000001</x:v>
      </x:c>
      <x:c r="L1193" s="11" t="n">
        <x:f>K1193*'管线假设'!E271*'管线假设'!F271*'管线假设'!G271*IF(E1193="USD",'管线假设'!I271,1)-AM1193</x:f>
        <x:v>0.32901120000000006</x:v>
      </x:c>
      <x:c r="M1193" s="11" t="n">
        <x:f>'管线假设'!H271</x:f>
        <x:v>0.125</x:v>
      </x:c>
      <x:c r="N1193" s="11" t="n">
        <x:f>IF(G1193,L1193*AN1193/(1+M1193)^F1193,0)</x:f>
        <x:v>0.06926261313683679</x:v>
      </x:c>
      <x:c r="AJ1193" t="n">
        <x:v>0</x:v>
      </x:c>
      <x:c r="AK1193" t="n">
        <x:v>0</x:v>
      </x:c>
      <x:c r="AL1193" t="n">
        <x:v>0</x:v>
      </x:c>
      <x:c r="AM1193" t="n">
        <x:f>CHOOSE('假设'!$B$3,AJ1193,AK1193,AL1193)</x:f>
        <x:v>0</x:v>
      </x:c>
      <x:c r="AN1193" t="n">
        <x:v>1</x:v>
      </x:c>
    </x:row>
    <x:row r="1194" ht="23" customHeight="1">
      <x:c r="A1194" s="11" t="str">
        <x:v>688192.SH</x:v>
      </x:c>
      <x:c r="B1194" s="11" t="str">
        <x:v>五年</x:v>
      </x:c>
      <x:c r="C1194" s="11" t="str">
        <x:v>goli_lung</x:v>
      </x:c>
      <x:c r="D1194" s="11" t="str">
        <x:v>2045-12-31</x:v>
      </x:c>
      <x:c r="E1194" s="11" t="str">
        <x:v>USD</x:v>
      </x:c>
      <x:c r="F1194" s="11" t="n">
        <x:v>14.22861054072553</x:v>
      </x:c>
      <x:c r="G1194" s="26" t="b">
        <x:v>1</x:v>
      </x:c>
      <x:c r="H1194" s="16" t="n">
        <x:v>0.09600000000000002</x:v>
      </x:c>
      <x:c r="I1194" s="16" t="n">
        <x:v>0.07200000000000006</x:v>
      </x:c>
      <x:c r="J1194" s="16" t="n">
        <x:v>0</x:v>
      </x:c>
      <x:c r="K1194" s="11" t="n">
        <x:f>CHOOSE('假设'!$B$3,H1194,I1194,J1194)</x:f>
        <x:v>0.07200000000000006</x:v>
      </x:c>
      <x:c r="L1194" s="11" t="n">
        <x:f>K1194*'管线假设'!E271*'管线假设'!F271*'管线假设'!G271*IF(E1194="USD",'管线假设'!I271,1)-AM1194</x:f>
        <x:v>0.08225280000000006</x:v>
      </x:c>
      <x:c r="M1194" s="11" t="n">
        <x:f>'管线假设'!H271</x:f>
        <x:v>0.125</x:v>
      </x:c>
      <x:c r="N1194" s="11" t="n">
        <x:f>IF(G1194,L1194*AN1194/(1+M1194)^F1194,0)</x:f>
        <x:v>0.015392932707065151</x:v>
      </x:c>
      <x:c r="AJ1194" t="n">
        <x:v>0</x:v>
      </x:c>
      <x:c r="AK1194" t="n">
        <x:v>0</x:v>
      </x:c>
      <x:c r="AL1194" t="n">
        <x:v>0</x:v>
      </x:c>
      <x:c r="AM1194" t="n">
        <x:f>CHOOSE('假设'!$B$3,AJ1194,AK1194,AL1194)</x:f>
        <x:v>0</x:v>
      </x:c>
      <x:c r="AN1194" t="n">
        <x:v>1</x:v>
      </x:c>
    </x:row>
    <x:row r="1195" ht="23" customHeight="1">
      <x:c r="A1195" s="11" t="str">
        <x:v>688192.SH</x:v>
      </x:c>
      <x:c r="B1195" s="11" t="str">
        <x:v>五年</x:v>
      </x:c>
      <x:c r="C1195" s="11" t="str">
        <x:v>bire_cll</x:v>
      </x:c>
      <x:c r="D1195" s="11" t="str">
        <x:v>2027-12-31</x:v>
      </x:c>
      <x:c r="E1195" s="11" t="str">
        <x:v>USD</x:v>
      </x:c>
      <x:c r="F1195" s="11" t="n">
        <x:v>-3.7727583846680357</x:v>
      </x:c>
      <x:c r="G1195" s="26" t="b">
        <x:v>0</x:v>
      </x:c>
      <x:c r="H1195" s="16" t="n">
        <x:v>0</x:v>
      </x:c>
      <x:c r="I1195" s="16" t="n">
        <x:v>0</x:v>
      </x:c>
      <x:c r="J1195" s="16" t="n">
        <x:v>0</x:v>
      </x:c>
      <x:c r="K1195" s="11" t="n">
        <x:f>CHOOSE('假设'!$B$3,H1195,I1195,J1195)</x:f>
        <x:v>0</x:v>
      </x:c>
      <x:c r="L1195" s="11" t="n">
        <x:f>K1195*'管线假设'!E275*'管线假设'!F275*'管线假设'!G275*IF(E1195="USD",'管线假设'!I275,1)-AM1195</x:f>
        <x:v>0</x:v>
      </x:c>
      <x:c r="M1195" s="11" t="n">
        <x:f>'管线假设'!H275</x:f>
        <x:v>0.125</x:v>
      </x:c>
      <x:c r="N1195" s="11" t="n">
        <x:f>IF(G1195,L1195*AN1195/(1+M1195)^F1195,0)</x:f>
        <x:v>0</x:v>
      </x:c>
      <x:c r="AJ1195" t="n">
        <x:v>0</x:v>
      </x:c>
      <x:c r="AK1195" t="n">
        <x:v>0</x:v>
      </x:c>
      <x:c r="AL1195" t="n">
        <x:v>0</x:v>
      </x:c>
      <x:c r="AM1195" t="n">
        <x:f>CHOOSE('假设'!$B$3,AJ1195,AK1195,AL1195)</x:f>
        <x:v>0</x:v>
      </x:c>
      <x:c r="AN1195" t="n">
        <x:v>1</x:v>
      </x:c>
    </x:row>
    <x:row r="1196" ht="23" customHeight="1">
      <x:c r="A1196" s="11" t="str">
        <x:v>688192.SH</x:v>
      </x:c>
      <x:c r="B1196" s="11" t="str">
        <x:v>五年</x:v>
      </x:c>
      <x:c r="C1196" s="11" t="str">
        <x:v>bire_cll</x:v>
      </x:c>
      <x:c r="D1196" s="11" t="str">
        <x:v>2028-12-31</x:v>
      </x:c>
      <x:c r="E1196" s="11" t="str">
        <x:v>USD</x:v>
      </x:c>
      <x:c r="F1196" s="11" t="n">
        <x:v>-2.7707049965776864</x:v>
      </x:c>
      <x:c r="G1196" s="26" t="b">
        <x:v>0</x:v>
      </x:c>
      <x:c r="H1196" s="16" t="n">
        <x:v>0</x:v>
      </x:c>
      <x:c r="I1196" s="16" t="n">
        <x:v>0</x:v>
      </x:c>
      <x:c r="J1196" s="16" t="n">
        <x:v>0</x:v>
      </x:c>
      <x:c r="K1196" s="11" t="n">
        <x:f>CHOOSE('假设'!$B$3,H1196,I1196,J1196)</x:f>
        <x:v>0</x:v>
      </x:c>
      <x:c r="L1196" s="11" t="n">
        <x:f>K1196*'管线假设'!E275*'管线假设'!F275*'管线假设'!G275*IF(E1196="USD",'管线假设'!I275,1)-AM1196</x:f>
        <x:v>0</x:v>
      </x:c>
      <x:c r="M1196" s="11" t="n">
        <x:f>'管线假设'!H275</x:f>
        <x:v>0.125</x:v>
      </x:c>
      <x:c r="N1196" s="11" t="n">
        <x:f>IF(G1196,L1196*AN1196/(1+M1196)^F1196,0)</x:f>
        <x:v>0</x:v>
      </x:c>
      <x:c r="AJ1196" t="n">
        <x:v>0</x:v>
      </x:c>
      <x:c r="AK1196" t="n">
        <x:v>0</x:v>
      </x:c>
      <x:c r="AL1196" t="n">
        <x:v>0</x:v>
      </x:c>
      <x:c r="AM1196" t="n">
        <x:f>CHOOSE('假设'!$B$3,AJ1196,AK1196,AL1196)</x:f>
        <x:v>0</x:v>
      </x:c>
      <x:c r="AN1196" t="n">
        <x:v>1</x:v>
      </x:c>
    </x:row>
    <x:row r="1197" ht="23" customHeight="1">
      <x:c r="A1197" s="11" t="str">
        <x:v>688192.SH</x:v>
      </x:c>
      <x:c r="B1197" s="11" t="str">
        <x:v>五年</x:v>
      </x:c>
      <x:c r="C1197" s="11" t="str">
        <x:v>bire_cll</x:v>
      </x:c>
      <x:c r="D1197" s="11" t="str">
        <x:v>2029-12-31</x:v>
      </x:c>
      <x:c r="E1197" s="11" t="str">
        <x:v>USD</x:v>
      </x:c>
      <x:c r="F1197" s="11" t="n">
        <x:v>-1.7713894592744694</x:v>
      </x:c>
      <x:c r="G1197" s="26" t="b">
        <x:v>0</x:v>
      </x:c>
      <x:c r="H1197" s="16" t="n">
        <x:v>0</x:v>
      </x:c>
      <x:c r="I1197" s="16" t="n">
        <x:v>0</x:v>
      </x:c>
      <x:c r="J1197" s="16" t="n">
        <x:v>0.5333333333333333</x:v>
      </x:c>
      <x:c r="K1197" s="11" t="n">
        <x:f>CHOOSE('假设'!$B$3,H1197,I1197,J1197)</x:f>
        <x:v>0</x:v>
      </x:c>
      <x:c r="L1197" s="11" t="n">
        <x:f>K1197*'管线假设'!E275*'管线假设'!F275*'管线假设'!G275*IF(E1197="USD",'管线假设'!I275,1)-AM1197</x:f>
        <x:v>0</x:v>
      </x:c>
      <x:c r="M1197" s="11" t="n">
        <x:f>'管线假设'!H275</x:f>
        <x:v>0.125</x:v>
      </x:c>
      <x:c r="N1197" s="11" t="n">
        <x:f>IF(G1197,L1197*AN1197/(1+M1197)^F1197,0)</x:f>
        <x:v>0</x:v>
      </x:c>
      <x:c r="AJ1197" t="n">
        <x:v>0</x:v>
      </x:c>
      <x:c r="AK1197" t="n">
        <x:v>0</x:v>
      </x:c>
      <x:c r="AL1197" t="n">
        <x:v>0</x:v>
      </x:c>
      <x:c r="AM1197" t="n">
        <x:f>CHOOSE('假设'!$B$3,AJ1197,AK1197,AL1197)</x:f>
        <x:v>0</x:v>
      </x:c>
      <x:c r="AN1197" t="n">
        <x:v>1</x:v>
      </x:c>
    </x:row>
    <x:row r="1198" ht="23" customHeight="1">
      <x:c r="A1198" s="11" t="str">
        <x:v>688192.SH</x:v>
      </x:c>
      <x:c r="B1198" s="11" t="str">
        <x:v>五年</x:v>
      </x:c>
      <x:c r="C1198" s="11" t="str">
        <x:v>bire_cll</x:v>
      </x:c>
      <x:c r="D1198" s="11" t="str">
        <x:v>2030-12-31</x:v>
      </x:c>
      <x:c r="E1198" s="11" t="str">
        <x:v>USD</x:v>
      </x:c>
      <x:c r="F1198" s="11" t="n">
        <x:v>-0.7720739219712526</x:v>
      </x:c>
      <x:c r="G1198" s="26" t="b">
        <x:v>0</x:v>
      </x:c>
      <x:c r="H1198" s="16" t="n">
        <x:v>0</x:v>
      </x:c>
      <x:c r="I1198" s="16" t="n">
        <x:v>0.3</x:v>
      </x:c>
      <x:c r="J1198" s="16" t="n">
        <x:v>1.0666666666666667</x:v>
      </x:c>
      <x:c r="K1198" s="11" t="n">
        <x:f>CHOOSE('假设'!$B$3,H1198,I1198,J1198)</x:f>
        <x:v>0.3</x:v>
      </x:c>
      <x:c r="L1198" s="11" t="n">
        <x:f>K1198*'管线假设'!E275*'管线假设'!F275*'管线假设'!G275*IF(E1198="USD",'管线假设'!I275,1)-AM1198</x:f>
        <x:v>0.46609919999999994</x:v>
      </x:c>
      <x:c r="M1198" s="11" t="n">
        <x:f>'管线假设'!H275</x:f>
        <x:v>0.125</x:v>
      </x:c>
      <x:c r="N1198" s="11" t="n">
        <x:f>IF(G1198,L1198*AN1198/(1+M1198)^F1198,0)</x:f>
        <x:v>0</x:v>
      </x:c>
      <x:c r="AJ1198" t="n">
        <x:v>0</x:v>
      </x:c>
      <x:c r="AK1198" t="n">
        <x:v>0</x:v>
      </x:c>
      <x:c r="AL1198" t="n">
        <x:v>0</x:v>
      </x:c>
      <x:c r="AM1198" t="n">
        <x:f>CHOOSE('假设'!$B$3,AJ1198,AK1198,AL1198)</x:f>
        <x:v>0</x:v>
      </x:c>
      <x:c r="AN1198" t="n">
        <x:v>1</x:v>
      </x:c>
    </x:row>
    <x:row r="1199" ht="23" customHeight="1">
      <x:c r="A1199" s="11" t="str">
        <x:v>688192.SH</x:v>
      </x:c>
      <x:c r="B1199" s="11" t="str">
        <x:v>五年</x:v>
      </x:c>
      <x:c r="C1199" s="11" t="str">
        <x:v>bire_cll</x:v>
      </x:c>
      <x:c r="D1199" s="11" t="str">
        <x:v>2031-12-31</x:v>
      </x:c>
      <x:c r="E1199" s="11" t="str">
        <x:v>USD</x:v>
      </x:c>
      <x:c r="F1199" s="11" t="n">
        <x:v>0.2272416153319644</x:v>
      </x:c>
      <x:c r="G1199" s="26" t="b">
        <x:v>1</x:v>
      </x:c>
      <x:c r="H1199" s="16" t="n">
        <x:v>0</x:v>
      </x:c>
      <x:c r="I1199" s="16" t="n">
        <x:v>0.6</x:v>
      </x:c>
      <x:c r="J1199" s="16" t="n">
        <x:v>1.6</x:v>
      </x:c>
      <x:c r="K1199" s="11" t="n">
        <x:f>CHOOSE('假设'!$B$3,H1199,I1199,J1199)</x:f>
        <x:v>0.6</x:v>
      </x:c>
      <x:c r="L1199" s="11" t="n">
        <x:f>K1199*'管线假设'!E275*'管线假设'!F275*'管线假设'!G275*IF(E1199="USD",'管线假设'!I275,1)-AM1199</x:f>
        <x:v>0.9321983999999999</x:v>
      </x:c>
      <x:c r="M1199" s="11" t="n">
        <x:f>'管线假设'!H275</x:f>
        <x:v>0.125</x:v>
      </x:c>
      <x:c r="N1199" s="11" t="n">
        <x:f>IF(G1199,L1199*AN1199/(1+M1199)^F1199,0)</x:f>
        <x:v>0.907578859864606</x:v>
      </x:c>
      <x:c r="AJ1199" t="n">
        <x:v>0</x:v>
      </x:c>
      <x:c r="AK1199" t="n">
        <x:v>0</x:v>
      </x:c>
      <x:c r="AL1199" t="n">
        <x:v>0</x:v>
      </x:c>
      <x:c r="AM1199" t="n">
        <x:f>CHOOSE('假设'!$B$3,AJ1199,AK1199,AL1199)</x:f>
        <x:v>0</x:v>
      </x:c>
      <x:c r="AN1199" t="n">
        <x:v>1</x:v>
      </x:c>
    </x:row>
    <x:row r="1200" ht="23" customHeight="1">
      <x:c r="A1200" s="11" t="str">
        <x:v>688192.SH</x:v>
      </x:c>
      <x:c r="B1200" s="11" t="str">
        <x:v>五年</x:v>
      </x:c>
      <x:c r="C1200" s="11" t="str">
        <x:v>bire_cll</x:v>
      </x:c>
      <x:c r="D1200" s="11" t="str">
        <x:v>2032-12-31</x:v>
      </x:c>
      <x:c r="E1200" s="11" t="str">
        <x:v>USD</x:v>
      </x:c>
      <x:c r="F1200" s="11" t="n">
        <x:v>1.2292950034223136</x:v>
      </x:c>
      <x:c r="G1200" s="26" t="b">
        <x:v>1</x:v>
      </x:c>
      <x:c r="H1200" s="16" t="n">
        <x:v>0.13999999999999999</x:v>
      </x:c>
      <x:c r="I1200" s="16" t="n">
        <x:v>0.9</x:v>
      </x:c>
      <x:c r="J1200" s="16" t="n">
        <x:v>2.1333333333333333</x:v>
      </x:c>
      <x:c r="K1200" s="11" t="n">
        <x:f>CHOOSE('假设'!$B$3,H1200,I1200,J1200)</x:f>
        <x:v>0.9</x:v>
      </x:c>
      <x:c r="L1200" s="11" t="n">
        <x:f>K1200*'管线假设'!E275*'管线假设'!F275*'管线假设'!G275*IF(E1200="USD",'管线假设'!I275,1)-AM1200</x:f>
        <x:v>1.3982975999999998</x:v>
      </x:c>
      <x:c r="M1200" s="11" t="n">
        <x:f>'管线假设'!H275</x:f>
        <x:v>0.125</x:v>
      </x:c>
      <x:c r="N1200" s="11" t="n">
        <x:f>IF(G1200,L1200*AN1200/(1+M1200)^F1200,0)</x:f>
        <x:v>1.2098125127627783</x:v>
      </x:c>
      <x:c r="AJ1200" t="n">
        <x:v>0</x:v>
      </x:c>
      <x:c r="AK1200" t="n">
        <x:v>0</x:v>
      </x:c>
      <x:c r="AL1200" t="n">
        <x:v>0</x:v>
      </x:c>
      <x:c r="AM1200" t="n">
        <x:f>CHOOSE('假设'!$B$3,AJ1200,AK1200,AL1200)</x:f>
        <x:v>0</x:v>
      </x:c>
      <x:c r="AN1200" t="n">
        <x:v>1</x:v>
      </x:c>
    </x:row>
    <x:row r="1201" ht="23" customHeight="1">
      <x:c r="A1201" s="11" t="str">
        <x:v>688192.SH</x:v>
      </x:c>
      <x:c r="B1201" s="11" t="str">
        <x:v>五年</x:v>
      </x:c>
      <x:c r="C1201" s="11" t="str">
        <x:v>bire_cll</x:v>
      </x:c>
      <x:c r="D1201" s="11" t="str">
        <x:v>2033-12-31</x:v>
      </x:c>
      <x:c r="E1201" s="11" t="str">
        <x:v>USD</x:v>
      </x:c>
      <x:c r="F1201" s="11" t="n">
        <x:v>2.2286105407255303</x:v>
      </x:c>
      <x:c r="G1201" s="26" t="b">
        <x:v>1</x:v>
      </x:c>
      <x:c r="H1201" s="16" t="n">
        <x:v>0.27999999999999997</x:v>
      </x:c>
      <x:c r="I1201" s="16" t="n">
        <x:v>1.2</x:v>
      </x:c>
      <x:c r="J1201" s="16" t="n">
        <x:v>2.666666666666667</x:v>
      </x:c>
      <x:c r="K1201" s="11" t="n">
        <x:f>CHOOSE('假设'!$B$3,H1201,I1201,J1201)</x:f>
        <x:v>1.2</x:v>
      </x:c>
      <x:c r="L1201" s="11" t="n">
        <x:f>K1201*'管线假设'!E275*'管线假设'!F275*'管线假设'!G275*IF(E1201="USD",'管线假设'!I275,1)-AM1201</x:f>
        <x:v>1.8643967999999997</x:v>
      </x:c>
      <x:c r="M1201" s="11" t="n">
        <x:f>'管线假设'!H275</x:f>
        <x:v>0.125</x:v>
      </x:c>
      <x:c r="N1201" s="11" t="n">
        <x:f>IF(G1201,L1201*AN1201/(1+M1201)^F1201,0)</x:f>
        <x:v>1.4339674660426436</x:v>
      </x:c>
      <x:c r="AJ1201" t="n">
        <x:v>0</x:v>
      </x:c>
      <x:c r="AK1201" t="n">
        <x:v>0</x:v>
      </x:c>
      <x:c r="AL1201" t="n">
        <x:v>0</x:v>
      </x:c>
      <x:c r="AM1201" t="n">
        <x:f>CHOOSE('假设'!$B$3,AJ1201,AK1201,AL1201)</x:f>
        <x:v>0</x:v>
      </x:c>
      <x:c r="AN1201" t="n">
        <x:v>1</x:v>
      </x:c>
    </x:row>
    <x:row r="1202" ht="23" customHeight="1">
      <x:c r="A1202" s="11" t="str">
        <x:v>688192.SH</x:v>
      </x:c>
      <x:c r="B1202" s="11" t="str">
        <x:v>五年</x:v>
      </x:c>
      <x:c r="C1202" s="11" t="str">
        <x:v>bire_cll</x:v>
      </x:c>
      <x:c r="D1202" s="11" t="str">
        <x:v>2034-12-31</x:v>
      </x:c>
      <x:c r="E1202" s="11" t="str">
        <x:v>USD</x:v>
      </x:c>
      <x:c r="F1202" s="11" t="n">
        <x:v>3.2279260780287475</x:v>
      </x:c>
      <x:c r="G1202" s="26" t="b">
        <x:v>1</x:v>
      </x:c>
      <x:c r="H1202" s="16" t="n">
        <x:v>0.42</x:v>
      </x:c>
      <x:c r="I1202" s="16" t="n">
        <x:v>1.5</x:v>
      </x:c>
      <x:c r="J1202" s="16" t="n">
        <x:v>3.2</x:v>
      </x:c>
      <x:c r="K1202" s="11" t="n">
        <x:f>CHOOSE('假设'!$B$3,H1202,I1202,J1202)</x:f>
        <x:v>1.5</x:v>
      </x:c>
      <x:c r="L1202" s="11" t="n">
        <x:f>K1202*'管线假设'!E275*'管线假设'!F275*'管线假设'!G275*IF(E1202="USD",'管线假设'!I275,1)-AM1202</x:f>
        <x:v>2.3304959999999997</x:v>
      </x:c>
      <x:c r="M1202" s="11" t="n">
        <x:f>'管线假设'!H275</x:f>
        <x:v>0.125</x:v>
      </x:c>
      <x:c r="N1202" s="11" t="n">
        <x:f>IF(G1202,L1202*AN1202/(1+M1202)^F1202,0)</x:f>
        <x:v>1.5934256382521461</x:v>
      </x:c>
      <x:c r="AJ1202" t="n">
        <x:v>0</x:v>
      </x:c>
      <x:c r="AK1202" t="n">
        <x:v>0</x:v>
      </x:c>
      <x:c r="AL1202" t="n">
        <x:v>0</x:v>
      </x:c>
      <x:c r="AM1202" t="n">
        <x:f>CHOOSE('假设'!$B$3,AJ1202,AK1202,AL1202)</x:f>
        <x:v>0</x:v>
      </x:c>
      <x:c r="AN1202" t="n">
        <x:v>1</x:v>
      </x:c>
    </x:row>
    <x:row r="1203" ht="23" customHeight="1">
      <x:c r="A1203" s="11" t="str">
        <x:v>688192.SH</x:v>
      </x:c>
      <x:c r="B1203" s="11" t="str">
        <x:v>五年</x:v>
      </x:c>
      <x:c r="C1203" s="11" t="str">
        <x:v>bire_cll</x:v>
      </x:c>
      <x:c r="D1203" s="11" t="str">
        <x:v>2035-12-31</x:v>
      </x:c>
      <x:c r="E1203" s="11" t="str">
        <x:v>USD</x:v>
      </x:c>
      <x:c r="F1203" s="11" t="n">
        <x:v>4.227241615331964</x:v>
      </x:c>
      <x:c r="G1203" s="26" t="b">
        <x:v>1</x:v>
      </x:c>
      <x:c r="H1203" s="16" t="n">
        <x:v>0.5599999999999999</x:v>
      </x:c>
      <x:c r="I1203" s="16" t="n">
        <x:v>1.8</x:v>
      </x:c>
      <x:c r="J1203" s="16" t="n">
        <x:v>2.8160000000000003</x:v>
      </x:c>
      <x:c r="K1203" s="11" t="n">
        <x:f>CHOOSE('假设'!$B$3,H1203,I1203,J1203)</x:f>
        <x:v>1.8</x:v>
      </x:c>
      <x:c r="L1203" s="11" t="n">
        <x:f>K1203*'管线假设'!E275*'管线假设'!F275*'管线假设'!G275*IF(E1203="USD",'管线假设'!I275,1)-AM1203</x:f>
        <x:v>2.7965951999999996</x:v>
      </x:c>
      <x:c r="M1203" s="11" t="n">
        <x:f>'管线假设'!H275</x:f>
        <x:v>0.125</x:v>
      </x:c>
      <x:c r="N1203" s="11" t="n">
        <x:f>IF(G1203,L1203*AN1203/(1+M1203)^F1203,0)</x:f>
        <x:v>1.6997910425264864</x:v>
      </x:c>
      <x:c r="AJ1203" t="n">
        <x:v>0</x:v>
      </x:c>
      <x:c r="AK1203" t="n">
        <x:v>0</x:v>
      </x:c>
      <x:c r="AL1203" t="n">
        <x:v>0</x:v>
      </x:c>
      <x:c r="AM1203" t="n">
        <x:f>CHOOSE('假设'!$B$3,AJ1203,AK1203,AL1203)</x:f>
        <x:v>0</x:v>
      </x:c>
      <x:c r="AN1203" t="n">
        <x:v>1</x:v>
      </x:c>
    </x:row>
    <x:row r="1204" ht="23" customHeight="1">
      <x:c r="A1204" s="11" t="str">
        <x:v>688192.SH</x:v>
      </x:c>
      <x:c r="B1204" s="11" t="str">
        <x:v>五年</x:v>
      </x:c>
      <x:c r="C1204" s="11" t="str">
        <x:v>bire_cll</x:v>
      </x:c>
      <x:c r="D1204" s="11" t="str">
        <x:v>2036-12-31</x:v>
      </x:c>
      <x:c r="E1204" s="11" t="str">
        <x:v>USD</x:v>
      </x:c>
      <x:c r="F1204" s="11" t="n">
        <x:v>5.229295003422314</x:v>
      </x:c>
      <x:c r="G1204" s="26" t="b">
        <x:v>1</x:v>
      </x:c>
      <x:c r="H1204" s="16" t="n">
        <x:v>0.7</x:v>
      </x:c>
      <x:c r="I1204" s="16" t="n">
        <x:v>1.584</x:v>
      </x:c>
      <x:c r="J1204" s="16" t="n">
        <x:v>2.4320000000000004</x:v>
      </x:c>
      <x:c r="K1204" s="11" t="n">
        <x:f>CHOOSE('假设'!$B$3,H1204,I1204,J1204)</x:f>
        <x:v>1.584</x:v>
      </x:c>
      <x:c r="L1204" s="11" t="n">
        <x:f>K1204*'管线假设'!E275*'管线假设'!F275*'管线假设'!G275*IF(E1204="USD",'管线假设'!I275,1)-AM1204</x:f>
        <x:v>2.461003776</x:v>
      </x:c>
      <x:c r="M1204" s="11" t="n">
        <x:f>'管线假设'!H275</x:f>
        <x:v>0.125</x:v>
      </x:c>
      <x:c r="N1204" s="11" t="n">
        <x:f>IF(G1204,L1204*AN1204/(1+M1204)^F1204,0)</x:f>
        <x:v>1.3292927925630786</x:v>
      </x:c>
      <x:c r="AJ1204" t="n">
        <x:v>0</x:v>
      </x:c>
      <x:c r="AK1204" t="n">
        <x:v>0</x:v>
      </x:c>
      <x:c r="AL1204" t="n">
        <x:v>0</x:v>
      </x:c>
      <x:c r="AM1204" t="n">
        <x:f>CHOOSE('假设'!$B$3,AJ1204,AK1204,AL1204)</x:f>
        <x:v>0</x:v>
      </x:c>
      <x:c r="AN1204" t="n">
        <x:v>1</x:v>
      </x:c>
    </x:row>
    <x:row r="1205" ht="23" customHeight="1">
      <x:c r="A1205" s="11" t="str">
        <x:v>688192.SH</x:v>
      </x:c>
      <x:c r="B1205" s="11" t="str">
        <x:v>五年</x:v>
      </x:c>
      <x:c r="C1205" s="11" t="str">
        <x:v>bire_cll</x:v>
      </x:c>
      <x:c r="D1205" s="11" t="str">
        <x:v>2037-12-31</x:v>
      </x:c>
      <x:c r="E1205" s="11" t="str">
        <x:v>USD</x:v>
      </x:c>
      <x:c r="F1205" s="11" t="n">
        <x:v>6.228610540725531</x:v>
      </x:c>
      <x:c r="G1205" s="26" t="b">
        <x:v>1</x:v>
      </x:c>
      <x:c r="H1205" s="16" t="n">
        <x:v>0.616</x:v>
      </x:c>
      <x:c r="I1205" s="16" t="n">
        <x:v>1.368</x:v>
      </x:c>
      <x:c r="J1205" s="16" t="n">
        <x:v>2.048</x:v>
      </x:c>
      <x:c r="K1205" s="11" t="n">
        <x:f>CHOOSE('假设'!$B$3,H1205,I1205,J1205)</x:f>
        <x:v>1.368</x:v>
      </x:c>
      <x:c r="L1205" s="11" t="n">
        <x:f>K1205*'管线假设'!E275*'管线假设'!F275*'管线假设'!G275*IF(E1205="USD",'管线假设'!I275,1)-AM1205</x:f>
        <x:v>2.125412352</x:v>
      </x:c>
      <x:c r="M1205" s="11" t="n">
        <x:f>'管线假设'!H275</x:f>
        <x:v>0.125</x:v>
      </x:c>
      <x:c r="N1205" s="11" t="n">
        <x:f>IF(G1205,L1205*AN1205/(1+M1205)^F1205,0)</x:f>
        <x:v>1.0205494657275054</x:v>
      </x:c>
      <x:c r="AJ1205" t="n">
        <x:v>0</x:v>
      </x:c>
      <x:c r="AK1205" t="n">
        <x:v>0</x:v>
      </x:c>
      <x:c r="AL1205" t="n">
        <x:v>0</x:v>
      </x:c>
      <x:c r="AM1205" t="n">
        <x:f>CHOOSE('假设'!$B$3,AJ1205,AK1205,AL1205)</x:f>
        <x:v>0</x:v>
      </x:c>
      <x:c r="AN1205" t="n">
        <x:v>1</x:v>
      </x:c>
    </x:row>
    <x:row r="1206" ht="23" customHeight="1">
      <x:c r="A1206" s="11" t="str">
        <x:v>688192.SH</x:v>
      </x:c>
      <x:c r="B1206" s="11" t="str">
        <x:v>五年</x:v>
      </x:c>
      <x:c r="C1206" s="11" t="str">
        <x:v>bire_cll</x:v>
      </x:c>
      <x:c r="D1206" s="11" t="str">
        <x:v>2038-12-31</x:v>
      </x:c>
      <x:c r="E1206" s="11" t="str">
        <x:v>USD</x:v>
      </x:c>
      <x:c r="F1206" s="11" t="n">
        <x:v>7.227926078028747</x:v>
      </x:c>
      <x:c r="G1206" s="26" t="b">
        <x:v>1</x:v>
      </x:c>
      <x:c r="H1206" s="16" t="n">
        <x:v>0.5319999999999999</x:v>
      </x:c>
      <x:c r="I1206" s="16" t="n">
        <x:v>1.1520000000000001</x:v>
      </x:c>
      <x:c r="J1206" s="16" t="n">
        <x:v>1.6640000000000001</x:v>
      </x:c>
      <x:c r="K1206" s="11" t="n">
        <x:f>CHOOSE('假设'!$B$3,H1206,I1206,J1206)</x:f>
        <x:v>1.1520000000000001</x:v>
      </x:c>
      <x:c r="L1206" s="11" t="n">
        <x:f>K1206*'管线假设'!E275*'管线假设'!F275*'管线假设'!G275*IF(E1206="USD",'管线假设'!I275,1)-AM1206</x:f>
        <x:v>1.789820928</x:v>
      </x:c>
      <x:c r="M1206" s="11" t="n">
        <x:f>'管线假设'!H275</x:f>
        <x:v>0.125</x:v>
      </x:c>
      <x:c r="N1206" s="11" t="n">
        <x:f>IF(G1206,L1206*AN1206/(1+M1206)^F1206,0)</x:f>
        <x:v>0.7639816561755294</x:v>
      </x:c>
      <x:c r="AJ1206" t="n">
        <x:v>0</x:v>
      </x:c>
      <x:c r="AK1206" t="n">
        <x:v>0</x:v>
      </x:c>
      <x:c r="AL1206" t="n">
        <x:v>0</x:v>
      </x:c>
      <x:c r="AM1206" t="n">
        <x:f>CHOOSE('假设'!$B$3,AJ1206,AK1206,AL1206)</x:f>
        <x:v>0</x:v>
      </x:c>
      <x:c r="AN1206" t="n">
        <x:v>1</x:v>
      </x:c>
    </x:row>
    <x:row r="1207" ht="23" customHeight="1">
      <x:c r="A1207" s="11" t="str">
        <x:v>688192.SH</x:v>
      </x:c>
      <x:c r="B1207" s="11" t="str">
        <x:v>五年</x:v>
      </x:c>
      <x:c r="C1207" s="11" t="str">
        <x:v>bire_cll</x:v>
      </x:c>
      <x:c r="D1207" s="11" t="str">
        <x:v>2039-12-31</x:v>
      </x:c>
      <x:c r="E1207" s="11" t="str">
        <x:v>USD</x:v>
      </x:c>
      <x:c r="F1207" s="11" t="n">
        <x:v>8.227241615331964</x:v>
      </x:c>
      <x:c r="G1207" s="26" t="b">
        <x:v>1</x:v>
      </x:c>
      <x:c r="H1207" s="16" t="n">
        <x:v>0.44799999999999995</x:v>
      </x:c>
      <x:c r="I1207" s="16" t="n">
        <x:v>0.936</x:v>
      </x:c>
      <x:c r="J1207" s="16" t="n">
        <x:v>1.2800000000000002</x:v>
      </x:c>
      <x:c r="K1207" s="11" t="n">
        <x:f>CHOOSE('假设'!$B$3,H1207,I1207,J1207)</x:f>
        <x:v>0.936</x:v>
      </x:c>
      <x:c r="L1207" s="11" t="n">
        <x:f>K1207*'管线假设'!E275*'管线假设'!F275*'管线假设'!G275*IF(E1207="USD",'管线假设'!I275,1)-AM1207</x:f>
        <x:v>1.454229504</x:v>
      </x:c>
      <x:c r="M1207" s="11" t="n">
        <x:f>'管线假设'!H275</x:f>
        <x:v>0.125</x:v>
      </x:c>
      <x:c r="N1207" s="11" t="n">
        <x:f>IF(G1207,L1207*AN1207/(1+M1207)^F1207,0)</x:f>
        <x:v>0.5518090134580116</x:v>
      </x:c>
      <x:c r="AJ1207" t="n">
        <x:v>0</x:v>
      </x:c>
      <x:c r="AK1207" t="n">
        <x:v>0</x:v>
      </x:c>
      <x:c r="AL1207" t="n">
        <x:v>0</x:v>
      </x:c>
      <x:c r="AM1207" t="n">
        <x:f>CHOOSE('假设'!$B$3,AJ1207,AK1207,AL1207)</x:f>
        <x:v>0</x:v>
      </x:c>
      <x:c r="AN1207" t="n">
        <x:v>1</x:v>
      </x:c>
    </x:row>
    <x:row r="1208" ht="23" customHeight="1">
      <x:c r="A1208" s="11" t="str">
        <x:v>688192.SH</x:v>
      </x:c>
      <x:c r="B1208" s="11" t="str">
        <x:v>五年</x:v>
      </x:c>
      <x:c r="C1208" s="11" t="str">
        <x:v>bire_cll</x:v>
      </x:c>
      <x:c r="D1208" s="11" t="str">
        <x:v>2040-12-31</x:v>
      </x:c>
      <x:c r="E1208" s="11" t="str">
        <x:v>USD</x:v>
      </x:c>
      <x:c r="F1208" s="11" t="n">
        <x:v>9.229295003422314</x:v>
      </x:c>
      <x:c r="G1208" s="26" t="b">
        <x:v>1</x:v>
      </x:c>
      <x:c r="H1208" s="16" t="n">
        <x:v>0.364</x:v>
      </x:c>
      <x:c r="I1208" s="16" t="n">
        <x:v>0.7200000000000001</x:v>
      </x:c>
      <x:c r="J1208" s="16" t="n">
        <x:v>0.8960000000000001</x:v>
      </x:c>
      <x:c r="K1208" s="11" t="n">
        <x:f>CHOOSE('假设'!$B$3,H1208,I1208,J1208)</x:f>
        <x:v>0.7200000000000001</x:v>
      </x:c>
      <x:c r="L1208" s="11" t="n">
        <x:f>K1208*'管线假设'!E275*'管线假设'!F275*'管线假设'!G275*IF(E1208="USD",'管线假设'!I275,1)-AM1208</x:f>
        <x:v>1.1186380800000002</x:v>
      </x:c>
      <x:c r="M1208" s="11" t="n">
        <x:f>'管线假设'!H275</x:f>
        <x:v>0.125</x:v>
      </x:c>
      <x:c r="N1208" s="11" t="n">
        <x:f>IF(G1208,L1208*AN1208/(1+M1208)^F1208,0)</x:f>
        <x:v>0.3772140664767269</x:v>
      </x:c>
      <x:c r="AJ1208" t="n">
        <x:v>0</x:v>
      </x:c>
      <x:c r="AK1208" t="n">
        <x:v>0</x:v>
      </x:c>
      <x:c r="AL1208" t="n">
        <x:v>0</x:v>
      </x:c>
      <x:c r="AM1208" t="n">
        <x:f>CHOOSE('假设'!$B$3,AJ1208,AK1208,AL1208)</x:f>
        <x:v>0</x:v>
      </x:c>
      <x:c r="AN1208" t="n">
        <x:v>1</x:v>
      </x:c>
    </x:row>
    <x:row r="1209" ht="23" customHeight="1">
      <x:c r="A1209" s="11" t="str">
        <x:v>688192.SH</x:v>
      </x:c>
      <x:c r="B1209" s="11" t="str">
        <x:v>五年</x:v>
      </x:c>
      <x:c r="C1209" s="11" t="str">
        <x:v>bire_cll</x:v>
      </x:c>
      <x:c r="D1209" s="11" t="str">
        <x:v>2041-12-31</x:v>
      </x:c>
      <x:c r="E1209" s="11" t="str">
        <x:v>USD</x:v>
      </x:c>
      <x:c r="F1209" s="11" t="n">
        <x:v>10.22861054072553</x:v>
      </x:c>
      <x:c r="G1209" s="26" t="b">
        <x:v>1</x:v>
      </x:c>
      <x:c r="H1209" s="16" t="n">
        <x:v>0.27999999999999997</x:v>
      </x:c>
      <x:c r="I1209" s="16" t="n">
        <x:v>0.5040000000000001</x:v>
      </x:c>
      <x:c r="J1209" s="16" t="n">
        <x:v>0.5120000000000001</x:v>
      </x:c>
      <x:c r="K1209" s="11" t="n">
        <x:f>CHOOSE('假设'!$B$3,H1209,I1209,J1209)</x:f>
        <x:v>0.5040000000000001</x:v>
      </x:c>
      <x:c r="L1209" s="11" t="n">
        <x:f>K1209*'管线假设'!E275*'管线假设'!F275*'管线假设'!G275*IF(E1209="USD",'管线假设'!I275,1)-AM1209</x:f>
        <x:v>0.7830466560000001</x:v>
      </x:c>
      <x:c r="M1209" s="11" t="n">
        <x:f>'管线假设'!H275</x:f>
        <x:v>0.125</x:v>
      </x:c>
      <x:c r="N1209" s="11" t="n">
        <x:f>IF(G1209,L1209*AN1209/(1+M1209)^F1209,0)</x:f>
        <x:v>0.2347298974108491</x:v>
      </x:c>
      <x:c r="AJ1209" t="n">
        <x:v>0</x:v>
      </x:c>
      <x:c r="AK1209" t="n">
        <x:v>0</x:v>
      </x:c>
      <x:c r="AL1209" t="n">
        <x:v>0</x:v>
      </x:c>
      <x:c r="AM1209" t="n">
        <x:f>CHOOSE('假设'!$B$3,AJ1209,AK1209,AL1209)</x:f>
        <x:v>0</x:v>
      </x:c>
      <x:c r="AN1209" t="n">
        <x:v>1</x:v>
      </x:c>
    </x:row>
    <x:row r="1210" ht="23" customHeight="1">
      <x:c r="A1210" s="11" t="str">
        <x:v>688192.SH</x:v>
      </x:c>
      <x:c r="B1210" s="11" t="str">
        <x:v>五年</x:v>
      </x:c>
      <x:c r="C1210" s="11" t="str">
        <x:v>bire_cll</x:v>
      </x:c>
      <x:c r="D1210" s="11" t="str">
        <x:v>2042-12-31</x:v>
      </x:c>
      <x:c r="E1210" s="11" t="str">
        <x:v>USD</x:v>
      </x:c>
      <x:c r="F1210" s="11" t="n">
        <x:v>11.227926078028748</x:v>
      </x:c>
      <x:c r="G1210" s="26" t="b">
        <x:v>1</x:v>
      </x:c>
      <x:c r="H1210" s="16" t="n">
        <x:v>0.196</x:v>
      </x:c>
      <x:c r="I1210" s="16" t="n">
        <x:v>0.2880000000000001</x:v>
      </x:c>
      <x:c r="J1210" s="16" t="n">
        <x:v>0.1280000000000001</x:v>
      </x:c>
      <x:c r="K1210" s="11" t="n">
        <x:f>CHOOSE('假设'!$B$3,H1210,I1210,J1210)</x:f>
        <x:v>0.2880000000000001</x:v>
      </x:c>
      <x:c r="L1210" s="11" t="n">
        <x:f>K1210*'管线假设'!E275*'管线假设'!F275*'管线假设'!G275*IF(E1210="USD",'管线假设'!I275,1)-AM1210</x:f>
        <x:v>0.44745523200000015</x:v>
      </x:c>
      <x:c r="M1210" s="11" t="n">
        <x:f>'管线假设'!H275</x:f>
        <x:v>0.125</x:v>
      </x:c>
      <x:c r="N1210" s="11" t="n">
        <x:f>IF(G1210,L1210*AN1210/(1+M1210)^F1210,0)</x:f>
        <x:v>0.11923749671143762</x:v>
      </x:c>
      <x:c r="AJ1210" t="n">
        <x:v>0</x:v>
      </x:c>
      <x:c r="AK1210" t="n">
        <x:v>0</x:v>
      </x:c>
      <x:c r="AL1210" t="n">
        <x:v>0</x:v>
      </x:c>
      <x:c r="AM1210" t="n">
        <x:f>CHOOSE('假设'!$B$3,AJ1210,AK1210,AL1210)</x:f>
        <x:v>0</x:v>
      </x:c>
      <x:c r="AN1210" t="n">
        <x:v>1</x:v>
      </x:c>
    </x:row>
    <x:row r="1211" ht="23" customHeight="1">
      <x:c r="A1211" s="11" t="str">
        <x:v>688192.SH</x:v>
      </x:c>
      <x:c r="B1211" s="11" t="str">
        <x:v>五年</x:v>
      </x:c>
      <x:c r="C1211" s="11" t="str">
        <x:v>bire_cll</x:v>
      </x:c>
      <x:c r="D1211" s="11" t="str">
        <x:v>2043-12-31</x:v>
      </x:c>
      <x:c r="E1211" s="11" t="str">
        <x:v>USD</x:v>
      </x:c>
      <x:c r="F1211" s="11" t="n">
        <x:v>12.227241615331964</x:v>
      </x:c>
      <x:c r="G1211" s="26" t="b">
        <x:v>1</x:v>
      </x:c>
      <x:c r="H1211" s="16" t="n">
        <x:v>0.11200000000000002</x:v>
      </x:c>
      <x:c r="I1211" s="16" t="n">
        <x:v>0.07200000000000006</x:v>
      </x:c>
      <x:c r="J1211" s="16" t="n">
        <x:v>0</x:v>
      </x:c>
      <x:c r="K1211" s="11" t="n">
        <x:f>CHOOSE('假设'!$B$3,H1211,I1211,J1211)</x:f>
        <x:v>0.07200000000000006</x:v>
      </x:c>
      <x:c r="L1211" s="11" t="n">
        <x:f>K1211*'管线假设'!E275*'管线假设'!F275*'管线假设'!G275*IF(E1211="USD",'管线假设'!I275,1)-AM1211</x:f>
        <x:v>0.11186380800000009</x:v>
      </x:c>
      <x:c r="M1211" s="11" t="n">
        <x:f>'管线假设'!H275</x:f>
        <x:v>0.125</x:v>
      </x:c>
      <x:c r="N1211" s="11" t="n">
        <x:f>IF(G1211,L1211*AN1211/(1+M1211)^F1211,0)</x:f>
        <x:v>0.02649935773303809</x:v>
      </x:c>
      <x:c r="AJ1211" t="n">
        <x:v>0</x:v>
      </x:c>
      <x:c r="AK1211" t="n">
        <x:v>0</x:v>
      </x:c>
      <x:c r="AL1211" t="n">
        <x:v>0</x:v>
      </x:c>
      <x:c r="AM1211" t="n">
        <x:f>CHOOSE('假设'!$B$3,AJ1211,AK1211,AL1211)</x:f>
        <x:v>0</x:v>
      </x:c>
      <x:c r="AN1211" t="n">
        <x:v>1</x:v>
      </x:c>
    </x:row>
    <x:row r="1212" ht="23" customHeight="1">
      <x:c r="A1212" s="11" t="str">
        <x:v>688192.SH</x:v>
      </x:c>
      <x:c r="B1212" s="11" t="str">
        <x:v>五年</x:v>
      </x:c>
      <x:c r="C1212" s="11" t="str">
        <x:v>bire_cll</x:v>
      </x:c>
      <x:c r="D1212" s="11" t="str">
        <x:v>2044-12-31</x:v>
      </x:c>
      <x:c r="E1212" s="11" t="str">
        <x:v>USD</x:v>
      </x:c>
      <x:c r="F1212" s="11" t="n">
        <x:v>13.229295003422314</x:v>
      </x:c>
      <x:c r="G1212" s="26" t="b">
        <x:v>1</x:v>
      </x:c>
      <x:c r="H1212" s="16" t="n">
        <x:v>0.02800000000000002</x:v>
      </x:c>
      <x:c r="I1212" s="16" t="n">
        <x:v>0</x:v>
      </x:c>
      <x:c r="J1212" s="16" t="n">
        <x:v>0</x:v>
      </x:c>
      <x:c r="K1212" s="11" t="n">
        <x:f>CHOOSE('假设'!$B$3,H1212,I1212,J1212)</x:f>
        <x:v>0</x:v>
      </x:c>
      <x:c r="L1212" s="11" t="n">
        <x:f>K1212*'管线假设'!E275*'管线假设'!F275*'管线假设'!G275*IF(E1212="USD",'管线假设'!I275,1)-AM1212</x:f>
        <x:v>0</x:v>
      </x:c>
      <x:c r="M1212" s="11" t="n">
        <x:f>'管线假设'!H275</x:f>
        <x:v>0.125</x:v>
      </x:c>
      <x:c r="N1212" s="11" t="n">
        <x:f>IF(G1212,L1212*AN1212/(1+M1212)^F1212,0)</x:f>
        <x:v>0</x:v>
      </x:c>
      <x:c r="AJ1212" t="n">
        <x:v>0</x:v>
      </x:c>
      <x:c r="AK1212" t="n">
        <x:v>0</x:v>
      </x:c>
      <x:c r="AL1212" t="n">
        <x:v>0</x:v>
      </x:c>
      <x:c r="AM1212" t="n">
        <x:f>CHOOSE('假设'!$B$3,AJ1212,AK1212,AL1212)</x:f>
        <x:v>0</x:v>
      </x:c>
      <x:c r="AN1212" t="n">
        <x:v>1</x:v>
      </x:c>
    </x:row>
    <x:row r="1213" ht="23" customHeight="1">
      <x:c r="A1213" s="11" t="str">
        <x:v>688192.SH</x:v>
      </x:c>
      <x:c r="B1213" s="11" t="str">
        <x:v>五年</x:v>
      </x:c>
      <x:c r="C1213" s="11" t="str">
        <x:v>bire_cll</x:v>
      </x:c>
      <x:c r="D1213" s="11" t="str">
        <x:v>2045-12-31</x:v>
      </x:c>
      <x:c r="E1213" s="11" t="str">
        <x:v>USD</x:v>
      </x:c>
      <x:c r="F1213" s="11" t="n">
        <x:v>14.22861054072553</x:v>
      </x:c>
      <x:c r="G1213" s="26" t="b">
        <x:v>1</x:v>
      </x:c>
      <x:c r="H1213" s="16" t="n">
        <x:v>0</x:v>
      </x:c>
      <x:c r="I1213" s="16" t="n">
        <x:v>0</x:v>
      </x:c>
      <x:c r="J1213" s="16" t="n">
        <x:v>0</x:v>
      </x:c>
      <x:c r="K1213" s="11" t="n">
        <x:f>CHOOSE('假设'!$B$3,H1213,I1213,J1213)</x:f>
        <x:v>0</x:v>
      </x:c>
      <x:c r="L1213" s="11" t="n">
        <x:f>K1213*'管线假设'!E275*'管线假设'!F275*'管线假设'!G275*IF(E1213="USD",'管线假设'!I275,1)-AM1213</x:f>
        <x:v>0</x:v>
      </x:c>
      <x:c r="M1213" s="11" t="n">
        <x:f>'管线假设'!H275</x:f>
        <x:v>0.125</x:v>
      </x:c>
      <x:c r="N1213" s="11" t="n">
        <x:f>IF(G1213,L1213*AN1213/(1+M1213)^F1213,0)</x:f>
        <x:v>0</x:v>
      </x:c>
      <x:c r="AJ1213" t="n">
        <x:v>0</x:v>
      </x:c>
      <x:c r="AK1213" t="n">
        <x:v>0</x:v>
      </x:c>
      <x:c r="AL1213" t="n">
        <x:v>0</x:v>
      </x:c>
      <x:c r="AM1213" t="n">
        <x:f>CHOOSE('假设'!$B$3,AJ1213,AK1213,AL1213)</x:f>
        <x:v>0</x:v>
      </x:c>
      <x:c r="AN1213" t="n">
        <x:v>1</x:v>
      </x:c>
    </x:row>
    <x:row r="1214" ht="23" customHeight="1">
      <x:c r="A1214" s="11" t="str">
        <x:v>688192.SH</x:v>
      </x:c>
      <x:c r="B1214" s="11" t="str">
        <x:v>五年</x:v>
      </x:c>
      <x:c r="C1214" s="11" t="str">
        <x:v>bire_dlbcl</x:v>
      </x:c>
      <x:c r="D1214" s="11" t="str">
        <x:v>2027-12-31</x:v>
      </x:c>
      <x:c r="E1214" s="11" t="str">
        <x:v>USD</x:v>
      </x:c>
      <x:c r="F1214" s="11" t="n">
        <x:v>-3.7727583846680357</x:v>
      </x:c>
      <x:c r="G1214" s="26" t="b">
        <x:v>0</x:v>
      </x:c>
      <x:c r="H1214" s="16" t="n">
        <x:v>0</x:v>
      </x:c>
      <x:c r="I1214" s="16" t="n">
        <x:v>0</x:v>
      </x:c>
      <x:c r="J1214" s="16" t="n">
        <x:v>0</x:v>
      </x:c>
      <x:c r="K1214" s="11" t="n">
        <x:f>CHOOSE('假设'!$B$3,H1214,I1214,J1214)</x:f>
        <x:v>0</x:v>
      </x:c>
      <x:c r="L1214" s="11" t="n">
        <x:f>K1214*'管线假设'!E279*'管线假设'!F279*'管线假设'!G279*IF(E1214="USD",'管线假设'!I279,1)-AM1214</x:f>
        <x:v>0</x:v>
      </x:c>
      <x:c r="M1214" s="11" t="n">
        <x:f>'管线假设'!H279</x:f>
        <x:v>0.125</x:v>
      </x:c>
      <x:c r="N1214" s="11" t="n">
        <x:f>IF(G1214,L1214*AN1214/(1+M1214)^F1214,0)</x:f>
        <x:v>0</x:v>
      </x:c>
      <x:c r="AJ1214" t="n">
        <x:v>0</x:v>
      </x:c>
      <x:c r="AK1214" t="n">
        <x:v>0</x:v>
      </x:c>
      <x:c r="AL1214" t="n">
        <x:v>0</x:v>
      </x:c>
      <x:c r="AM1214" t="n">
        <x:f>CHOOSE('假设'!$B$3,AJ1214,AK1214,AL1214)</x:f>
        <x:v>0</x:v>
      </x:c>
      <x:c r="AN1214" t="n">
        <x:v>1</x:v>
      </x:c>
    </x:row>
    <x:row r="1215" ht="23" customHeight="1">
      <x:c r="A1215" s="11" t="str">
        <x:v>688192.SH</x:v>
      </x:c>
      <x:c r="B1215" s="11" t="str">
        <x:v>五年</x:v>
      </x:c>
      <x:c r="C1215" s="11" t="str">
        <x:v>bire_dlbcl</x:v>
      </x:c>
      <x:c r="D1215" s="11" t="str">
        <x:v>2028-12-31</x:v>
      </x:c>
      <x:c r="E1215" s="11" t="str">
        <x:v>USD</x:v>
      </x:c>
      <x:c r="F1215" s="11" t="n">
        <x:v>-2.7707049965776864</x:v>
      </x:c>
      <x:c r="G1215" s="26" t="b">
        <x:v>0</x:v>
      </x:c>
      <x:c r="H1215" s="16" t="n">
        <x:v>0</x:v>
      </x:c>
      <x:c r="I1215" s="16" t="n">
        <x:v>0</x:v>
      </x:c>
      <x:c r="J1215" s="16" t="n">
        <x:v>0</x:v>
      </x:c>
      <x:c r="K1215" s="11" t="n">
        <x:f>CHOOSE('假设'!$B$3,H1215,I1215,J1215)</x:f>
        <x:v>0</x:v>
      </x:c>
      <x:c r="L1215" s="11" t="n">
        <x:f>K1215*'管线假设'!E279*'管线假设'!F279*'管线假设'!G279*IF(E1215="USD",'管线假设'!I279,1)-AM1215</x:f>
        <x:v>0</x:v>
      </x:c>
      <x:c r="M1215" s="11" t="n">
        <x:f>'管线假设'!H279</x:f>
        <x:v>0.125</x:v>
      </x:c>
      <x:c r="N1215" s="11" t="n">
        <x:f>IF(G1215,L1215*AN1215/(1+M1215)^F1215,0)</x:f>
        <x:v>0</x:v>
      </x:c>
      <x:c r="AJ1215" t="n">
        <x:v>0</x:v>
      </x:c>
      <x:c r="AK1215" t="n">
        <x:v>0</x:v>
      </x:c>
      <x:c r="AL1215" t="n">
        <x:v>0</x:v>
      </x:c>
      <x:c r="AM1215" t="n">
        <x:f>CHOOSE('假设'!$B$3,AJ1215,AK1215,AL1215)</x:f>
        <x:v>0</x:v>
      </x:c>
      <x:c r="AN1215" t="n">
        <x:v>1</x:v>
      </x:c>
    </x:row>
    <x:row r="1216" ht="23" customHeight="1">
      <x:c r="A1216" s="11" t="str">
        <x:v>688192.SH</x:v>
      </x:c>
      <x:c r="B1216" s="11" t="str">
        <x:v>五年</x:v>
      </x:c>
      <x:c r="C1216" s="11" t="str">
        <x:v>bire_dlbcl</x:v>
      </x:c>
      <x:c r="D1216" s="11" t="str">
        <x:v>2029-12-31</x:v>
      </x:c>
      <x:c r="E1216" s="11" t="str">
        <x:v>USD</x:v>
      </x:c>
      <x:c r="F1216" s="11" t="n">
        <x:v>-1.7713894592744694</x:v>
      </x:c>
      <x:c r="G1216" s="26" t="b">
        <x:v>0</x:v>
      </x:c>
      <x:c r="H1216" s="16" t="n">
        <x:v>0</x:v>
      </x:c>
      <x:c r="I1216" s="16" t="n">
        <x:v>0</x:v>
      </x:c>
      <x:c r="J1216" s="16" t="n">
        <x:v>0.5666666666666667</x:v>
      </x:c>
      <x:c r="K1216" s="11" t="n">
        <x:f>CHOOSE('假设'!$B$3,H1216,I1216,J1216)</x:f>
        <x:v>0</x:v>
      </x:c>
      <x:c r="L1216" s="11" t="n">
        <x:f>K1216*'管线假设'!E279*'管线假设'!F279*'管线假设'!G279*IF(E1216="USD",'管线假设'!I279,1)-AM1216</x:f>
        <x:v>0</x:v>
      </x:c>
      <x:c r="M1216" s="11" t="n">
        <x:f>'管线假设'!H279</x:f>
        <x:v>0.125</x:v>
      </x:c>
      <x:c r="N1216" s="11" t="n">
        <x:f>IF(G1216,L1216*AN1216/(1+M1216)^F1216,0)</x:f>
        <x:v>0</x:v>
      </x:c>
      <x:c r="AJ1216" t="n">
        <x:v>0</x:v>
      </x:c>
      <x:c r="AK1216" t="n">
        <x:v>0</x:v>
      </x:c>
      <x:c r="AL1216" t="n">
        <x:v>0</x:v>
      </x:c>
      <x:c r="AM1216" t="n">
        <x:f>CHOOSE('假设'!$B$3,AJ1216,AK1216,AL1216)</x:f>
        <x:v>0</x:v>
      </x:c>
      <x:c r="AN1216" t="n">
        <x:v>1</x:v>
      </x:c>
    </x:row>
    <x:row r="1217" ht="23" customHeight="1">
      <x:c r="A1217" s="11" t="str">
        <x:v>688192.SH</x:v>
      </x:c>
      <x:c r="B1217" s="11" t="str">
        <x:v>五年</x:v>
      </x:c>
      <x:c r="C1217" s="11" t="str">
        <x:v>bire_dlbcl</x:v>
      </x:c>
      <x:c r="D1217" s="11" t="str">
        <x:v>2030-12-31</x:v>
      </x:c>
      <x:c r="E1217" s="11" t="str">
        <x:v>USD</x:v>
      </x:c>
      <x:c r="F1217" s="11" t="n">
        <x:v>-0.7720739219712526</x:v>
      </x:c>
      <x:c r="G1217" s="26" t="b">
        <x:v>0</x:v>
      </x:c>
      <x:c r="H1217" s="16" t="n">
        <x:v>0</x:v>
      </x:c>
      <x:c r="I1217" s="16" t="n">
        <x:v>0</x:v>
      </x:c>
      <x:c r="J1217" s="16" t="n">
        <x:v>1.1333333333333333</x:v>
      </x:c>
      <x:c r="K1217" s="11" t="n">
        <x:f>CHOOSE('假设'!$B$3,H1217,I1217,J1217)</x:f>
        <x:v>0</x:v>
      </x:c>
      <x:c r="L1217" s="11" t="n">
        <x:f>K1217*'管线假设'!E279*'管线假设'!F279*'管线假设'!G279*IF(E1217="USD",'管线假设'!I279,1)-AM1217</x:f>
        <x:v>0</x:v>
      </x:c>
      <x:c r="M1217" s="11" t="n">
        <x:f>'管线假设'!H279</x:f>
        <x:v>0.125</x:v>
      </x:c>
      <x:c r="N1217" s="11" t="n">
        <x:f>IF(G1217,L1217*AN1217/(1+M1217)^F1217,0)</x:f>
        <x:v>0</x:v>
      </x:c>
      <x:c r="AJ1217" t="n">
        <x:v>0</x:v>
      </x:c>
      <x:c r="AK1217" t="n">
        <x:v>0</x:v>
      </x:c>
      <x:c r="AL1217" t="n">
        <x:v>0</x:v>
      </x:c>
      <x:c r="AM1217" t="n">
        <x:f>CHOOSE('假设'!$B$3,AJ1217,AK1217,AL1217)</x:f>
        <x:v>0</x:v>
      </x:c>
      <x:c r="AN1217" t="n">
        <x:v>1</x:v>
      </x:c>
    </x:row>
    <x:row r="1218" ht="23" customHeight="1">
      <x:c r="A1218" s="11" t="str">
        <x:v>688192.SH</x:v>
      </x:c>
      <x:c r="B1218" s="11" t="str">
        <x:v>五年</x:v>
      </x:c>
      <x:c r="C1218" s="11" t="str">
        <x:v>bire_dlbcl</x:v>
      </x:c>
      <x:c r="D1218" s="11" t="str">
        <x:v>2031-12-31</x:v>
      </x:c>
      <x:c r="E1218" s="11" t="str">
        <x:v>USD</x:v>
      </x:c>
      <x:c r="F1218" s="11" t="n">
        <x:v>0.2272416153319644</x:v>
      </x:c>
      <x:c r="G1218" s="26" t="b">
        <x:v>1</x:v>
      </x:c>
      <x:c r="H1218" s="16" t="n">
        <x:v>0</x:v>
      </x:c>
      <x:c r="I1218" s="16" t="n">
        <x:v>0.3</x:v>
      </x:c>
      <x:c r="J1218" s="16" t="n">
        <x:v>1.7</x:v>
      </x:c>
      <x:c r="K1218" s="11" t="n">
        <x:f>CHOOSE('假设'!$B$3,H1218,I1218,J1218)</x:f>
        <x:v>0.3</x:v>
      </x:c>
      <x:c r="L1218" s="11" t="n">
        <x:f>K1218*'管线假设'!E279*'管线假设'!F279*'管线假设'!G279*IF(E1218="USD",'管线假设'!I279,1)-AM1218</x:f>
        <x:v>0.401472</x:v>
      </x:c>
      <x:c r="M1218" s="11" t="n">
        <x:f>'管线假设'!H279</x:f>
        <x:v>0.125</x:v>
      </x:c>
      <x:c r="N1218" s="11" t="n">
        <x:f>IF(G1218,L1218*AN1218/(1+M1218)^F1218,0)</x:f>
        <x:v>0.3908690467904291</x:v>
      </x:c>
      <x:c r="AJ1218" t="n">
        <x:v>0</x:v>
      </x:c>
      <x:c r="AK1218" t="n">
        <x:v>0</x:v>
      </x:c>
      <x:c r="AL1218" t="n">
        <x:v>0</x:v>
      </x:c>
      <x:c r="AM1218" t="n">
        <x:f>CHOOSE('假设'!$B$3,AJ1218,AK1218,AL1218)</x:f>
        <x:v>0</x:v>
      </x:c>
      <x:c r="AN1218" t="n">
        <x:v>1</x:v>
      </x:c>
    </x:row>
    <x:row r="1219" ht="23" customHeight="1">
      <x:c r="A1219" s="11" t="str">
        <x:v>688192.SH</x:v>
      </x:c>
      <x:c r="B1219" s="11" t="str">
        <x:v>五年</x:v>
      </x:c>
      <x:c r="C1219" s="11" t="str">
        <x:v>bire_dlbcl</x:v>
      </x:c>
      <x:c r="D1219" s="11" t="str">
        <x:v>2032-12-31</x:v>
      </x:c>
      <x:c r="E1219" s="11" t="str">
        <x:v>USD</x:v>
      </x:c>
      <x:c r="F1219" s="11" t="n">
        <x:v>1.2292950034223136</x:v>
      </x:c>
      <x:c r="G1219" s="26" t="b">
        <x:v>1</x:v>
      </x:c>
      <x:c r="H1219" s="16" t="n">
        <x:v>0</x:v>
      </x:c>
      <x:c r="I1219" s="16" t="n">
        <x:v>0.6</x:v>
      </x:c>
      <x:c r="J1219" s="16" t="n">
        <x:v>2.2666666666666666</x:v>
      </x:c>
      <x:c r="K1219" s="11" t="n">
        <x:f>CHOOSE('假设'!$B$3,H1219,I1219,J1219)</x:f>
        <x:v>0.6</x:v>
      </x:c>
      <x:c r="L1219" s="11" t="n">
        <x:f>K1219*'管线假设'!E279*'管线假设'!F279*'管线假设'!G279*IF(E1219="USD",'管线假设'!I279,1)-AM1219</x:f>
        <x:v>0.802944</x:v>
      </x:c>
      <x:c r="M1219" s="11" t="n">
        <x:f>'管线假设'!H279</x:f>
        <x:v>0.125</x:v>
      </x:c>
      <x:c r="N1219" s="11" t="n">
        <x:f>IF(G1219,L1219*AN1219/(1+M1219)^F1219,0)</x:f>
        <x:v>0.6947102664324077</x:v>
      </x:c>
      <x:c r="AJ1219" t="n">
        <x:v>0</x:v>
      </x:c>
      <x:c r="AK1219" t="n">
        <x:v>0</x:v>
      </x:c>
      <x:c r="AL1219" t="n">
        <x:v>0</x:v>
      </x:c>
      <x:c r="AM1219" t="n">
        <x:f>CHOOSE('假设'!$B$3,AJ1219,AK1219,AL1219)</x:f>
        <x:v>0</x:v>
      </x:c>
      <x:c r="AN1219" t="n">
        <x:v>1</x:v>
      </x:c>
    </x:row>
    <x:row r="1220" ht="23" customHeight="1">
      <x:c r="A1220" s="11" t="str">
        <x:v>688192.SH</x:v>
      </x:c>
      <x:c r="B1220" s="11" t="str">
        <x:v>五年</x:v>
      </x:c>
      <x:c r="C1220" s="11" t="str">
        <x:v>bire_dlbcl</x:v>
      </x:c>
      <x:c r="D1220" s="11" t="str">
        <x:v>2033-12-31</x:v>
      </x:c>
      <x:c r="E1220" s="11" t="str">
        <x:v>USD</x:v>
      </x:c>
      <x:c r="F1220" s="11" t="n">
        <x:v>2.2286105407255303</x:v>
      </x:c>
      <x:c r="G1220" s="26" t="b">
        <x:v>1</x:v>
      </x:c>
      <x:c r="H1220" s="16" t="n">
        <x:v>0.1</x:v>
      </x:c>
      <x:c r="I1220" s="16" t="n">
        <x:v>0.9</x:v>
      </x:c>
      <x:c r="J1220" s="16" t="n">
        <x:v>2.8333333333333335</x:v>
      </x:c>
      <x:c r="K1220" s="11" t="n">
        <x:f>CHOOSE('假设'!$B$3,H1220,I1220,J1220)</x:f>
        <x:v>0.9</x:v>
      </x:c>
      <x:c r="L1220" s="11" t="n">
        <x:f>K1220*'管线假设'!E279*'管线假设'!F279*'管线假设'!G279*IF(E1220="USD",'管线假设'!I279,1)-AM1220</x:f>
        <x:v>1.204416</x:v>
      </x:c>
      <x:c r="M1220" s="11" t="n">
        <x:f>'管线假设'!H279</x:f>
        <x:v>0.125</x:v>
      </x:c>
      <x:c r="N1220" s="11" t="n">
        <x:f>IF(G1220,L1220*AN1220/(1+M1220)^F1220,0)</x:f>
        <x:v>0.9263550332103212</x:v>
      </x:c>
      <x:c r="AJ1220" t="n">
        <x:v>0</x:v>
      </x:c>
      <x:c r="AK1220" t="n">
        <x:v>0</x:v>
      </x:c>
      <x:c r="AL1220" t="n">
        <x:v>0</x:v>
      </x:c>
      <x:c r="AM1220" t="n">
        <x:f>CHOOSE('假设'!$B$3,AJ1220,AK1220,AL1220)</x:f>
        <x:v>0</x:v>
      </x:c>
      <x:c r="AN1220" t="n">
        <x:v>1</x:v>
      </x:c>
    </x:row>
    <x:row r="1221" ht="23" customHeight="1">
      <x:c r="A1221" s="11" t="str">
        <x:v>688192.SH</x:v>
      </x:c>
      <x:c r="B1221" s="11" t="str">
        <x:v>五年</x:v>
      </x:c>
      <x:c r="C1221" s="11" t="str">
        <x:v>bire_dlbcl</x:v>
      </x:c>
      <x:c r="D1221" s="11" t="str">
        <x:v>2034-12-31</x:v>
      </x:c>
      <x:c r="E1221" s="11" t="str">
        <x:v>USD</x:v>
      </x:c>
      <x:c r="F1221" s="11" t="n">
        <x:v>3.2279260780287475</x:v>
      </x:c>
      <x:c r="G1221" s="26" t="b">
        <x:v>1</x:v>
      </x:c>
      <x:c r="H1221" s="16" t="n">
        <x:v>0.2</x:v>
      </x:c>
      <x:c r="I1221" s="16" t="n">
        <x:v>1.2</x:v>
      </x:c>
      <x:c r="J1221" s="16" t="n">
        <x:v>3.4</x:v>
      </x:c>
      <x:c r="K1221" s="11" t="n">
        <x:f>CHOOSE('假设'!$B$3,H1221,I1221,J1221)</x:f>
        <x:v>1.2</x:v>
      </x:c>
      <x:c r="L1221" s="11" t="n">
        <x:f>K1221*'管线假设'!E279*'管线假设'!F279*'管线假设'!G279*IF(E1221="USD",'管线假设'!I279,1)-AM1221</x:f>
        <x:v>1.605888</x:v>
      </x:c>
      <x:c r="M1221" s="11" t="n">
        <x:f>'管线假设'!H279</x:f>
        <x:v>0.125</x:v>
      </x:c>
      <x:c r="N1221" s="11" t="n">
        <x:f>IF(G1221,L1221*AN1221/(1+M1221)^F1221,0)</x:f>
        <x:v>1.0979907759384537</x:v>
      </x:c>
      <x:c r="AJ1221" t="n">
        <x:v>0</x:v>
      </x:c>
      <x:c r="AK1221" t="n">
        <x:v>0</x:v>
      </x:c>
      <x:c r="AL1221" t="n">
        <x:v>0</x:v>
      </x:c>
      <x:c r="AM1221" t="n">
        <x:f>CHOOSE('假设'!$B$3,AJ1221,AK1221,AL1221)</x:f>
        <x:v>0</x:v>
      </x:c>
      <x:c r="AN1221" t="n">
        <x:v>1</x:v>
      </x:c>
    </x:row>
    <x:row r="1222" ht="23" customHeight="1">
      <x:c r="A1222" s="11" t="str">
        <x:v>688192.SH</x:v>
      </x:c>
      <x:c r="B1222" s="11" t="str">
        <x:v>五年</x:v>
      </x:c>
      <x:c r="C1222" s="11" t="str">
        <x:v>bire_dlbcl</x:v>
      </x:c>
      <x:c r="D1222" s="11" t="str">
        <x:v>2035-12-31</x:v>
      </x:c>
      <x:c r="E1222" s="11" t="str">
        <x:v>USD</x:v>
      </x:c>
      <x:c r="F1222" s="11" t="n">
        <x:v>4.227241615331964</x:v>
      </x:c>
      <x:c r="G1222" s="26" t="b">
        <x:v>1</x:v>
      </x:c>
      <x:c r="H1222" s="16" t="n">
        <x:v>0.3</x:v>
      </x:c>
      <x:c r="I1222" s="16" t="n">
        <x:v>1.5</x:v>
      </x:c>
      <x:c r="J1222" s="16" t="n">
        <x:v>2.992</x:v>
      </x:c>
      <x:c r="K1222" s="11" t="n">
        <x:f>CHOOSE('假设'!$B$3,H1222,I1222,J1222)</x:f>
        <x:v>1.5</x:v>
      </x:c>
      <x:c r="L1222" s="11" t="n">
        <x:f>K1222*'管线假设'!E279*'管线假设'!F279*'管线假设'!G279*IF(E1222="USD",'管线假设'!I279,1)-AM1222</x:f>
        <x:v>2.0073600000000003</x:v>
      </x:c>
      <x:c r="M1222" s="11" t="n">
        <x:f>'管线假设'!H279</x:f>
        <x:v>0.125</x:v>
      </x:c>
      <x:c r="N1222" s="11" t="n">
        <x:f>IF(G1222,L1222*AN1222/(1+M1222)^F1222,0)</x:f>
        <x:v>1.2200881082560566</x:v>
      </x:c>
      <x:c r="AJ1222" t="n">
        <x:v>0</x:v>
      </x:c>
      <x:c r="AK1222" t="n">
        <x:v>0</x:v>
      </x:c>
      <x:c r="AL1222" t="n">
        <x:v>0</x:v>
      </x:c>
      <x:c r="AM1222" t="n">
        <x:f>CHOOSE('假设'!$B$3,AJ1222,AK1222,AL1222)</x:f>
        <x:v>0</x:v>
      </x:c>
      <x:c r="AN1222" t="n">
        <x:v>1</x:v>
      </x:c>
    </x:row>
    <x:row r="1223" ht="23" customHeight="1">
      <x:c r="A1223" s="11" t="str">
        <x:v>688192.SH</x:v>
      </x:c>
      <x:c r="B1223" s="11" t="str">
        <x:v>五年</x:v>
      </x:c>
      <x:c r="C1223" s="11" t="str">
        <x:v>bire_dlbcl</x:v>
      </x:c>
      <x:c r="D1223" s="11" t="str">
        <x:v>2036-12-31</x:v>
      </x:c>
      <x:c r="E1223" s="11" t="str">
        <x:v>USD</x:v>
      </x:c>
      <x:c r="F1223" s="11" t="n">
        <x:v>5.229295003422314</x:v>
      </x:c>
      <x:c r="G1223" s="26" t="b">
        <x:v>1</x:v>
      </x:c>
      <x:c r="H1223" s="16" t="n">
        <x:v>0.4</x:v>
      </x:c>
      <x:c r="I1223" s="16" t="n">
        <x:v>1.8</x:v>
      </x:c>
      <x:c r="J1223" s="16" t="n">
        <x:v>2.584</x:v>
      </x:c>
      <x:c r="K1223" s="11" t="n">
        <x:f>CHOOSE('假设'!$B$3,H1223,I1223,J1223)</x:f>
        <x:v>1.8</x:v>
      </x:c>
      <x:c r="L1223" s="11" t="n">
        <x:f>K1223*'管线假设'!E279*'管线假设'!F279*'管线假设'!G279*IF(E1223="USD",'管线假设'!I279,1)-AM1223</x:f>
        <x:v>2.408832</x:v>
      </x:c>
      <x:c r="M1223" s="11" t="n">
        <x:f>'管线假设'!H279</x:f>
        <x:v>0.125</x:v>
      </x:c>
      <x:c r="N1223" s="11" t="n">
        <x:f>IF(G1223,L1223*AN1223/(1+M1223)^F1223,0)</x:f>
        <x:v>1.3011125977627536</x:v>
      </x:c>
      <x:c r="AJ1223" t="n">
        <x:v>0</x:v>
      </x:c>
      <x:c r="AK1223" t="n">
        <x:v>0</x:v>
      </x:c>
      <x:c r="AL1223" t="n">
        <x:v>0</x:v>
      </x:c>
      <x:c r="AM1223" t="n">
        <x:f>CHOOSE('假设'!$B$3,AJ1223,AK1223,AL1223)</x:f>
        <x:v>0</x:v>
      </x:c>
      <x:c r="AN1223" t="n">
        <x:v>1</x:v>
      </x:c>
    </x:row>
    <x:row r="1224" ht="23" customHeight="1">
      <x:c r="A1224" s="11" t="str">
        <x:v>688192.SH</x:v>
      </x:c>
      <x:c r="B1224" s="11" t="str">
        <x:v>五年</x:v>
      </x:c>
      <x:c r="C1224" s="11" t="str">
        <x:v>bire_dlbcl</x:v>
      </x:c>
      <x:c r="D1224" s="11" t="str">
        <x:v>2037-12-31</x:v>
      </x:c>
      <x:c r="E1224" s="11" t="str">
        <x:v>USD</x:v>
      </x:c>
      <x:c r="F1224" s="11" t="n">
        <x:v>6.228610540725531</x:v>
      </x:c>
      <x:c r="G1224" s="26" t="b">
        <x:v>1</x:v>
      </x:c>
      <x:c r="H1224" s="16" t="n">
        <x:v>0.5</x:v>
      </x:c>
      <x:c r="I1224" s="16" t="n">
        <x:v>1.584</x:v>
      </x:c>
      <x:c r="J1224" s="16" t="n">
        <x:v>2.176</x:v>
      </x:c>
      <x:c r="K1224" s="11" t="n">
        <x:f>CHOOSE('假设'!$B$3,H1224,I1224,J1224)</x:f>
        <x:v>1.584</x:v>
      </x:c>
      <x:c r="L1224" s="11" t="n">
        <x:f>K1224*'管线假设'!E279*'管线假设'!F279*'管线假设'!G279*IF(E1224="USD",'管线假设'!I279,1)-AM1224</x:f>
        <x:v>2.11977216</x:v>
      </x:c>
      <x:c r="M1224" s="11" t="n">
        <x:f>'管线假设'!H279</x:f>
        <x:v>0.125</x:v>
      </x:c>
      <x:c r="N1224" s="11" t="n">
        <x:f>IF(G1224,L1224*AN1224/(1+M1224)^F1224,0)</x:f>
        <x:v>1.0178412406968265</x:v>
      </x:c>
      <x:c r="AJ1224" t="n">
        <x:v>0</x:v>
      </x:c>
      <x:c r="AK1224" t="n">
        <x:v>0</x:v>
      </x:c>
      <x:c r="AL1224" t="n">
        <x:v>0</x:v>
      </x:c>
      <x:c r="AM1224" t="n">
        <x:f>CHOOSE('假设'!$B$3,AJ1224,AK1224,AL1224)</x:f>
        <x:v>0</x:v>
      </x:c>
      <x:c r="AN1224" t="n">
        <x:v>1</x:v>
      </x:c>
    </x:row>
    <x:row r="1225" ht="23" customHeight="1">
      <x:c r="A1225" s="11" t="str">
        <x:v>688192.SH</x:v>
      </x:c>
      <x:c r="B1225" s="11" t="str">
        <x:v>五年</x:v>
      </x:c>
      <x:c r="C1225" s="11" t="str">
        <x:v>bire_dlbcl</x:v>
      </x:c>
      <x:c r="D1225" s="11" t="str">
        <x:v>2038-12-31</x:v>
      </x:c>
      <x:c r="E1225" s="11" t="str">
        <x:v>USD</x:v>
      </x:c>
      <x:c r="F1225" s="11" t="n">
        <x:v>7.227926078028747</x:v>
      </x:c>
      <x:c r="G1225" s="26" t="b">
        <x:v>1</x:v>
      </x:c>
      <x:c r="H1225" s="16" t="n">
        <x:v>0.44</x:v>
      </x:c>
      <x:c r="I1225" s="16" t="n">
        <x:v>1.368</x:v>
      </x:c>
      <x:c r="J1225" s="16" t="n">
        <x:v>1.768</x:v>
      </x:c>
      <x:c r="K1225" s="11" t="n">
        <x:f>CHOOSE('假设'!$B$3,H1225,I1225,J1225)</x:f>
        <x:v>1.368</x:v>
      </x:c>
      <x:c r="L1225" s="11" t="n">
        <x:f>K1225*'管线假设'!E279*'管线假设'!F279*'管线假设'!G279*IF(E1225="USD",'管线假设'!I279,1)-AM1225</x:f>
        <x:v>1.8307123200000002</x:v>
      </x:c>
      <x:c r="M1225" s="11" t="n">
        <x:f>'管线假设'!H279</x:f>
        <x:v>0.125</x:v>
      </x:c>
      <x:c r="N1225" s="11" t="n">
        <x:f>IF(G1225,L1225*AN1225/(1+M1225)^F1225,0)</x:f>
        <x:v>0.7814360690135733</x:v>
      </x:c>
      <x:c r="AJ1225" t="n">
        <x:v>0</x:v>
      </x:c>
      <x:c r="AK1225" t="n">
        <x:v>0</x:v>
      </x:c>
      <x:c r="AL1225" t="n">
        <x:v>0</x:v>
      </x:c>
      <x:c r="AM1225" t="n">
        <x:f>CHOOSE('假设'!$B$3,AJ1225,AK1225,AL1225)</x:f>
        <x:v>0</x:v>
      </x:c>
      <x:c r="AN1225" t="n">
        <x:v>1</x:v>
      </x:c>
    </x:row>
    <x:row r="1226" ht="23" customHeight="1">
      <x:c r="A1226" s="11" t="str">
        <x:v>688192.SH</x:v>
      </x:c>
      <x:c r="B1226" s="11" t="str">
        <x:v>五年</x:v>
      </x:c>
      <x:c r="C1226" s="11" t="str">
        <x:v>bire_dlbcl</x:v>
      </x:c>
      <x:c r="D1226" s="11" t="str">
        <x:v>2039-12-31</x:v>
      </x:c>
      <x:c r="E1226" s="11" t="str">
        <x:v>USD</x:v>
      </x:c>
      <x:c r="F1226" s="11" t="n">
        <x:v>8.227241615331964</x:v>
      </x:c>
      <x:c r="G1226" s="26" t="b">
        <x:v>1</x:v>
      </x:c>
      <x:c r="H1226" s="16" t="n">
        <x:v>0.38</x:v>
      </x:c>
      <x:c r="I1226" s="16" t="n">
        <x:v>1.1520000000000001</x:v>
      </x:c>
      <x:c r="J1226" s="16" t="n">
        <x:v>1.36</x:v>
      </x:c>
      <x:c r="K1226" s="11" t="n">
        <x:f>CHOOSE('假设'!$B$3,H1226,I1226,J1226)</x:f>
        <x:v>1.1520000000000001</x:v>
      </x:c>
      <x:c r="L1226" s="11" t="n">
        <x:f>K1226*'管线假设'!E279*'管线假设'!F279*'管线假设'!G279*IF(E1226="USD",'管线假设'!I279,1)-AM1226</x:f>
        <x:v>1.5416524800000002</x:v>
      </x:c>
      <x:c r="M1226" s="11" t="n">
        <x:f>'管线假设'!H279</x:f>
        <x:v>0.125</x:v>
      </x:c>
      <x:c r="N1226" s="11" t="n">
        <x:f>IF(G1226,L1226*AN1226/(1+M1226)^F1226,0)</x:f>
        <x:v>0.5849817595805683</x:v>
      </x:c>
      <x:c r="AJ1226" t="n">
        <x:v>0</x:v>
      </x:c>
      <x:c r="AK1226" t="n">
        <x:v>0</x:v>
      </x:c>
      <x:c r="AL1226" t="n">
        <x:v>0</x:v>
      </x:c>
      <x:c r="AM1226" t="n">
        <x:f>CHOOSE('假设'!$B$3,AJ1226,AK1226,AL1226)</x:f>
        <x:v>0</x:v>
      </x:c>
      <x:c r="AN1226" t="n">
        <x:v>1</x:v>
      </x:c>
    </x:row>
    <x:row r="1227" ht="23" customHeight="1">
      <x:c r="A1227" s="11" t="str">
        <x:v>688192.SH</x:v>
      </x:c>
      <x:c r="B1227" s="11" t="str">
        <x:v>五年</x:v>
      </x:c>
      <x:c r="C1227" s="11" t="str">
        <x:v>bire_dlbcl</x:v>
      </x:c>
      <x:c r="D1227" s="11" t="str">
        <x:v>2040-12-31</x:v>
      </x:c>
      <x:c r="E1227" s="11" t="str">
        <x:v>USD</x:v>
      </x:c>
      <x:c r="F1227" s="11" t="n">
        <x:v>9.229295003422314</x:v>
      </x:c>
      <x:c r="G1227" s="26" t="b">
        <x:v>1</x:v>
      </x:c>
      <x:c r="H1227" s="16" t="n">
        <x:v>0.32</x:v>
      </x:c>
      <x:c r="I1227" s="16" t="n">
        <x:v>0.936</x:v>
      </x:c>
      <x:c r="J1227" s="16" t="n">
        <x:v>0.9520000000000001</x:v>
      </x:c>
      <x:c r="K1227" s="11" t="n">
        <x:f>CHOOSE('假设'!$B$3,H1227,I1227,J1227)</x:f>
        <x:v>0.936</x:v>
      </x:c>
      <x:c r="L1227" s="11" t="n">
        <x:f>K1227*'管线假设'!E279*'管线假设'!F279*'管线假设'!G279*IF(E1227="USD",'管线假设'!I279,1)-AM1227</x:f>
        <x:v>1.2525926400000003</x:v>
      </x:c>
      <x:c r="M1227" s="11" t="n">
        <x:f>'管线假设'!H279</x:f>
        <x:v>0.125</x:v>
      </x:c>
      <x:c r="N1227" s="11" t="n">
        <x:f>IF(G1227,L1227*AN1227/(1+M1227)^F1227,0)</x:f>
        <x:v>0.4223846584707887</x:v>
      </x:c>
      <x:c r="AJ1227" t="n">
        <x:v>0</x:v>
      </x:c>
      <x:c r="AK1227" t="n">
        <x:v>0</x:v>
      </x:c>
      <x:c r="AL1227" t="n">
        <x:v>0</x:v>
      </x:c>
      <x:c r="AM1227" t="n">
        <x:f>CHOOSE('假设'!$B$3,AJ1227,AK1227,AL1227)</x:f>
        <x:v>0</x:v>
      </x:c>
      <x:c r="AN1227" t="n">
        <x:v>1</x:v>
      </x:c>
    </x:row>
    <x:row r="1228" ht="23" customHeight="1">
      <x:c r="A1228" s="11" t="str">
        <x:v>688192.SH</x:v>
      </x:c>
      <x:c r="B1228" s="11" t="str">
        <x:v>五年</x:v>
      </x:c>
      <x:c r="C1228" s="11" t="str">
        <x:v>bire_dlbcl</x:v>
      </x:c>
      <x:c r="D1228" s="11" t="str">
        <x:v>2041-12-31</x:v>
      </x:c>
      <x:c r="E1228" s="11" t="str">
        <x:v>USD</x:v>
      </x:c>
      <x:c r="F1228" s="11" t="n">
        <x:v>10.22861054072553</x:v>
      </x:c>
      <x:c r="G1228" s="26" t="b">
        <x:v>1</x:v>
      </x:c>
      <x:c r="H1228" s="16" t="n">
        <x:v>0.26</x:v>
      </x:c>
      <x:c r="I1228" s="16" t="n">
        <x:v>0.7200000000000001</x:v>
      </x:c>
      <x:c r="J1228" s="16" t="n">
        <x:v>0.544</x:v>
      </x:c>
      <x:c r="K1228" s="11" t="n">
        <x:f>CHOOSE('假设'!$B$3,H1228,I1228,J1228)</x:f>
        <x:v>0.7200000000000001</x:v>
      </x:c>
      <x:c r="L1228" s="11" t="n">
        <x:f>K1228*'管线假设'!E279*'管线假设'!F279*'管线假设'!G279*IF(E1228="USD",'管线假设'!I279,1)-AM1228</x:f>
        <x:v>0.9635328000000001</x:v>
      </x:c>
      <x:c r="M1228" s="11" t="n">
        <x:f>'管线假设'!H279</x:f>
        <x:v>0.125</x:v>
      </x:c>
      <x:c r="N1228" s="11" t="n">
        <x:f>IF(G1228,L1228*AN1228/(1+M1228)^F1228,0)</x:f>
        <x:v>0.28883330713819966</x:v>
      </x:c>
      <x:c r="AJ1228" t="n">
        <x:v>0</x:v>
      </x:c>
      <x:c r="AK1228" t="n">
        <x:v>0</x:v>
      </x:c>
      <x:c r="AL1228" t="n">
        <x:v>0</x:v>
      </x:c>
      <x:c r="AM1228" t="n">
        <x:f>CHOOSE('假设'!$B$3,AJ1228,AK1228,AL1228)</x:f>
        <x:v>0</x:v>
      </x:c>
      <x:c r="AN1228" t="n">
        <x:v>1</x:v>
      </x:c>
    </x:row>
    <x:row r="1229" ht="23" customHeight="1">
      <x:c r="A1229" s="11" t="str">
        <x:v>688192.SH</x:v>
      </x:c>
      <x:c r="B1229" s="11" t="str">
        <x:v>五年</x:v>
      </x:c>
      <x:c r="C1229" s="11" t="str">
        <x:v>bire_dlbcl</x:v>
      </x:c>
      <x:c r="D1229" s="11" t="str">
        <x:v>2042-12-31</x:v>
      </x:c>
      <x:c r="E1229" s="11" t="str">
        <x:v>USD</x:v>
      </x:c>
      <x:c r="F1229" s="11" t="n">
        <x:v>11.227926078028748</x:v>
      </x:c>
      <x:c r="G1229" s="26" t="b">
        <x:v>1</x:v>
      </x:c>
      <x:c r="H1229" s="16" t="n">
        <x:v>0.2</x:v>
      </x:c>
      <x:c r="I1229" s="16" t="n">
        <x:v>0.5040000000000001</x:v>
      </x:c>
      <x:c r="J1229" s="16" t="n">
        <x:v>0.13600000000000012</x:v>
      </x:c>
      <x:c r="K1229" s="11" t="n">
        <x:f>CHOOSE('假设'!$B$3,H1229,I1229,J1229)</x:f>
        <x:v>0.5040000000000001</x:v>
      </x:c>
      <x:c r="L1229" s="11" t="n">
        <x:f>K1229*'管线假设'!E279*'管线假设'!F279*'管线假设'!G279*IF(E1229="USD",'管线假设'!I279,1)-AM1229</x:f>
        <x:v>0.6744729600000002</x:v>
      </x:c>
      <x:c r="M1229" s="11" t="n">
        <x:f>'管线假设'!H279</x:f>
        <x:v>0.125</x:v>
      </x:c>
      <x:c r="N1229" s="11" t="n">
        <x:f>IF(G1229,L1229*AN1229/(1+M1229)^F1229,0)</x:f>
        <x:v>0.17973299136650525</x:v>
      </x:c>
      <x:c r="AJ1229" t="n">
        <x:v>0</x:v>
      </x:c>
      <x:c r="AK1229" t="n">
        <x:v>0</x:v>
      </x:c>
      <x:c r="AL1229" t="n">
        <x:v>0</x:v>
      </x:c>
      <x:c r="AM1229" t="n">
        <x:f>CHOOSE('假设'!$B$3,AJ1229,AK1229,AL1229)</x:f>
        <x:v>0</x:v>
      </x:c>
      <x:c r="AN1229" t="n">
        <x:v>1</x:v>
      </x:c>
    </x:row>
    <x:row r="1230" ht="23" customHeight="1">
      <x:c r="A1230" s="11" t="str">
        <x:v>688192.SH</x:v>
      </x:c>
      <x:c r="B1230" s="11" t="str">
        <x:v>五年</x:v>
      </x:c>
      <x:c r="C1230" s="11" t="str">
        <x:v>bire_dlbcl</x:v>
      </x:c>
      <x:c r="D1230" s="11" t="str">
        <x:v>2043-12-31</x:v>
      </x:c>
      <x:c r="E1230" s="11" t="str">
        <x:v>USD</x:v>
      </x:c>
      <x:c r="F1230" s="11" t="n">
        <x:v>12.227241615331964</x:v>
      </x:c>
      <x:c r="G1230" s="26" t="b">
        <x:v>1</x:v>
      </x:c>
      <x:c r="H1230" s="16" t="n">
        <x:v>0.14</x:v>
      </x:c>
      <x:c r="I1230" s="16" t="n">
        <x:v>0.2880000000000001</x:v>
      </x:c>
      <x:c r="J1230" s="16" t="n">
        <x:v>0</x:v>
      </x:c>
      <x:c r="K1230" s="11" t="n">
        <x:f>CHOOSE('假设'!$B$3,H1230,I1230,J1230)</x:f>
        <x:v>0.2880000000000001</x:v>
      </x:c>
      <x:c r="L1230" s="11" t="n">
        <x:f>K1230*'管线假设'!E279*'管线假设'!F279*'管线假设'!G279*IF(E1230="USD",'管线假设'!I279,1)-AM1230</x:f>
        <x:v>0.3854131200000001</x:v>
      </x:c>
      <x:c r="M1230" s="11" t="n">
        <x:f>'管线假设'!H279</x:f>
        <x:v>0.125</x:v>
      </x:c>
      <x:c r="N1230" s="11" t="n">
        <x:f>IF(G1230,L1230*AN1230/(1+M1230)^F1230,0)</x:f>
        <x:v>0.09130030815584547</x:v>
      </x:c>
      <x:c r="AJ1230" t="n">
        <x:v>0</x:v>
      </x:c>
      <x:c r="AK1230" t="n">
        <x:v>0</x:v>
      </x:c>
      <x:c r="AL1230" t="n">
        <x:v>0</x:v>
      </x:c>
      <x:c r="AM1230" t="n">
        <x:f>CHOOSE('假设'!$B$3,AJ1230,AK1230,AL1230)</x:f>
        <x:v>0</x:v>
      </x:c>
      <x:c r="AN1230" t="n">
        <x:v>1</x:v>
      </x:c>
    </x:row>
    <x:row r="1231" ht="23" customHeight="1">
      <x:c r="A1231" s="11" t="str">
        <x:v>688192.SH</x:v>
      </x:c>
      <x:c r="B1231" s="11" t="str">
        <x:v>五年</x:v>
      </x:c>
      <x:c r="C1231" s="11" t="str">
        <x:v>bire_dlbcl</x:v>
      </x:c>
      <x:c r="D1231" s="11" t="str">
        <x:v>2044-12-31</x:v>
      </x:c>
      <x:c r="E1231" s="11" t="str">
        <x:v>USD</x:v>
      </x:c>
      <x:c r="F1231" s="11" t="n">
        <x:v>13.229295003422314</x:v>
      </x:c>
      <x:c r="G1231" s="26" t="b">
        <x:v>1</x:v>
      </x:c>
      <x:c r="H1231" s="16" t="n">
        <x:v>0.08000000000000002</x:v>
      </x:c>
      <x:c r="I1231" s="16" t="n">
        <x:v>0.07200000000000006</x:v>
      </x:c>
      <x:c r="J1231" s="16" t="n">
        <x:v>0</x:v>
      </x:c>
      <x:c r="K1231" s="11" t="n">
        <x:f>CHOOSE('假设'!$B$3,H1231,I1231,J1231)</x:f>
        <x:v>0.07200000000000006</x:v>
      </x:c>
      <x:c r="L1231" s="11" t="n">
        <x:f>K1231*'管线假设'!E279*'管线假设'!F279*'管线假设'!G279*IF(E1231="USD",'管线假设'!I279,1)-AM1231</x:f>
        <x:v>0.09635328000000008</x:v>
      </x:c>
      <x:c r="M1231" s="11" t="n">
        <x:f>'管线假设'!H279</x:f>
        <x:v>0.125</x:v>
      </x:c>
      <x:c r="N1231" s="11" t="n">
        <x:f>IF(G1231,L1231*AN1231/(1+M1231)^F1231,0)</x:f>
        <x:v>0.020284050990073646</x:v>
      </x:c>
      <x:c r="AJ1231" t="n">
        <x:v>0</x:v>
      </x:c>
      <x:c r="AK1231" t="n">
        <x:v>0</x:v>
      </x:c>
      <x:c r="AL1231" t="n">
        <x:v>0</x:v>
      </x:c>
      <x:c r="AM1231" t="n">
        <x:f>CHOOSE('假设'!$B$3,AJ1231,AK1231,AL1231)</x:f>
        <x:v>0</x:v>
      </x:c>
      <x:c r="AN1231" t="n">
        <x:v>1</x:v>
      </x:c>
    </x:row>
    <x:row r="1232" ht="23" customHeight="1">
      <x:c r="A1232" s="11" t="str">
        <x:v>688192.SH</x:v>
      </x:c>
      <x:c r="B1232" s="11" t="str">
        <x:v>五年</x:v>
      </x:c>
      <x:c r="C1232" s="11" t="str">
        <x:v>bire_dlbcl</x:v>
      </x:c>
      <x:c r="D1232" s="11" t="str">
        <x:v>2045-12-31</x:v>
      </x:c>
      <x:c r="E1232" s="11" t="str">
        <x:v>USD</x:v>
      </x:c>
      <x:c r="F1232" s="11" t="n">
        <x:v>14.22861054072553</x:v>
      </x:c>
      <x:c r="G1232" s="26" t="b">
        <x:v>1</x:v>
      </x:c>
      <x:c r="H1232" s="16" t="n">
        <x:v>0.020000000000000018</x:v>
      </x:c>
      <x:c r="I1232" s="16" t="n">
        <x:v>0</x:v>
      </x:c>
      <x:c r="J1232" s="16" t="n">
        <x:v>0</x:v>
      </x:c>
      <x:c r="K1232" s="11" t="n">
        <x:f>CHOOSE('假设'!$B$3,H1232,I1232,J1232)</x:f>
        <x:v>0</x:v>
      </x:c>
      <x:c r="L1232" s="11" t="n">
        <x:f>K1232*'管线假设'!E279*'管线假设'!F279*'管线假设'!G279*IF(E1232="USD",'管线假设'!I279,1)-AM1232</x:f>
        <x:v>0</x:v>
      </x:c>
      <x:c r="M1232" s="11" t="n">
        <x:f>'管线假设'!H279</x:f>
        <x:v>0.125</x:v>
      </x:c>
      <x:c r="N1232" s="11" t="n">
        <x:f>IF(G1232,L1232*AN1232/(1+M1232)^F1232,0)</x:f>
        <x:v>0</x:v>
      </x:c>
      <x:c r="AJ1232" t="n">
        <x:v>0</x:v>
      </x:c>
      <x:c r="AK1232" t="n">
        <x:v>0</x:v>
      </x:c>
      <x:c r="AL1232" t="n">
        <x:v>0</x:v>
      </x:c>
      <x:c r="AM1232" t="n">
        <x:f>CHOOSE('假设'!$B$3,AJ1232,AK1232,AL1232)</x:f>
        <x:v>0</x:v>
      </x:c>
      <x:c r="AN1232" t="n">
        <x:v>1</x:v>
      </x:c>
    </x:row>
    <x:row r="1233" ht="23" customHeight="1">
      <x:c r="A1233" s="11" t="str">
        <x:v>688192.SH</x:v>
      </x:c>
      <x:c r="B1233" s="11" t="str">
        <x:v>五年</x:v>
      </x:c>
      <x:c r="C1233" s="11" t="str">
        <x:v>dzd6008</x:v>
      </x:c>
      <x:c r="D1233" s="11" t="str">
        <x:v>2027-12-31</x:v>
      </x:c>
      <x:c r="E1233" s="11" t="str">
        <x:v>USD</x:v>
      </x:c>
      <x:c r="F1233" s="11" t="n">
        <x:v>-3.7727583846680357</x:v>
      </x:c>
      <x:c r="G1233" s="26" t="b">
        <x:v>0</x:v>
      </x:c>
      <x:c r="H1233" s="16" t="n">
        <x:v>0</x:v>
      </x:c>
      <x:c r="I1233" s="16" t="n">
        <x:v>0</x:v>
      </x:c>
      <x:c r="J1233" s="16" t="n">
        <x:v>0</x:v>
      </x:c>
      <x:c r="K1233" s="11" t="n">
        <x:f>CHOOSE('假设'!$B$3,H1233,I1233,J1233)</x:f>
        <x:v>0</x:v>
      </x:c>
      <x:c r="L1233" s="11" t="n">
        <x:f>K1233*'管线假设'!E283*'管线假设'!F283*'管线假设'!G283*IF(E1233="USD",'管线假设'!I283,1)-AM1233</x:f>
        <x:v>0</x:v>
      </x:c>
      <x:c r="M1233" s="11" t="n">
        <x:f>'管线假设'!H283</x:f>
        <x:v>0.125</x:v>
      </x:c>
      <x:c r="N1233" s="11" t="n">
        <x:f>IF(G1233,L1233*AN1233/(1+M1233)^F1233,0)</x:f>
        <x:v>0</x:v>
      </x:c>
      <x:c r="AJ1233" t="n">
        <x:v>0</x:v>
      </x:c>
      <x:c r="AK1233" t="n">
        <x:v>0</x:v>
      </x:c>
      <x:c r="AL1233" t="n">
        <x:v>0</x:v>
      </x:c>
      <x:c r="AM1233" t="n">
        <x:f>CHOOSE('假设'!$B$3,AJ1233,AK1233,AL1233)</x:f>
        <x:v>0</x:v>
      </x:c>
      <x:c r="AN1233" t="n">
        <x:v>1</x:v>
      </x:c>
    </x:row>
    <x:row r="1234" ht="23" customHeight="1">
      <x:c r="A1234" s="11" t="str">
        <x:v>688192.SH</x:v>
      </x:c>
      <x:c r="B1234" s="11" t="str">
        <x:v>五年</x:v>
      </x:c>
      <x:c r="C1234" s="11" t="str">
        <x:v>dzd6008</x:v>
      </x:c>
      <x:c r="D1234" s="11" t="str">
        <x:v>2028-12-31</x:v>
      </x:c>
      <x:c r="E1234" s="11" t="str">
        <x:v>USD</x:v>
      </x:c>
      <x:c r="F1234" s="11" t="n">
        <x:v>-2.7707049965776864</x:v>
      </x:c>
      <x:c r="G1234" s="26" t="b">
        <x:v>0</x:v>
      </x:c>
      <x:c r="H1234" s="16" t="n">
        <x:v>0</x:v>
      </x:c>
      <x:c r="I1234" s="16" t="n">
        <x:v>0</x:v>
      </x:c>
      <x:c r="J1234" s="16" t="n">
        <x:v>0</x:v>
      </x:c>
      <x:c r="K1234" s="11" t="n">
        <x:f>CHOOSE('假设'!$B$3,H1234,I1234,J1234)</x:f>
        <x:v>0</x:v>
      </x:c>
      <x:c r="L1234" s="11" t="n">
        <x:f>K1234*'管线假设'!E283*'管线假设'!F283*'管线假设'!G283*IF(E1234="USD",'管线假设'!I283,1)-AM1234</x:f>
        <x:v>0</x:v>
      </x:c>
      <x:c r="M1234" s="11" t="n">
        <x:f>'管线假设'!H283</x:f>
        <x:v>0.125</x:v>
      </x:c>
      <x:c r="N1234" s="11" t="n">
        <x:f>IF(G1234,L1234*AN1234/(1+M1234)^F1234,0)</x:f>
        <x:v>0</x:v>
      </x:c>
      <x:c r="AJ1234" t="n">
        <x:v>0</x:v>
      </x:c>
      <x:c r="AK1234" t="n">
        <x:v>0</x:v>
      </x:c>
      <x:c r="AL1234" t="n">
        <x:v>0</x:v>
      </x:c>
      <x:c r="AM1234" t="n">
        <x:f>CHOOSE('假设'!$B$3,AJ1234,AK1234,AL1234)</x:f>
        <x:v>0</x:v>
      </x:c>
      <x:c r="AN1234" t="n">
        <x:v>1</x:v>
      </x:c>
    </x:row>
    <x:row r="1235" ht="23" customHeight="1">
      <x:c r="A1235" s="11" t="str">
        <x:v>688192.SH</x:v>
      </x:c>
      <x:c r="B1235" s="11" t="str">
        <x:v>五年</x:v>
      </x:c>
      <x:c r="C1235" s="11" t="str">
        <x:v>dzd6008</x:v>
      </x:c>
      <x:c r="D1235" s="11" t="str">
        <x:v>2029-12-31</x:v>
      </x:c>
      <x:c r="E1235" s="11" t="str">
        <x:v>USD</x:v>
      </x:c>
      <x:c r="F1235" s="11" t="n">
        <x:v>-1.7713894592744694</x:v>
      </x:c>
      <x:c r="G1235" s="26" t="b">
        <x:v>0</x:v>
      </x:c>
      <x:c r="H1235" s="16" t="n">
        <x:v>0</x:v>
      </x:c>
      <x:c r="I1235" s="16" t="n">
        <x:v>0</x:v>
      </x:c>
      <x:c r="J1235" s="16" t="n">
        <x:v>0.75</x:v>
      </x:c>
      <x:c r="K1235" s="11" t="n">
        <x:f>CHOOSE('假设'!$B$3,H1235,I1235,J1235)</x:f>
        <x:v>0</x:v>
      </x:c>
      <x:c r="L1235" s="11" t="n">
        <x:f>K1235*'管线假设'!E283*'管线假设'!F283*'管线假设'!G283*IF(E1235="USD",'管线假设'!I283,1)-AM1235</x:f>
        <x:v>0</x:v>
      </x:c>
      <x:c r="M1235" s="11" t="n">
        <x:f>'管线假设'!H283</x:f>
        <x:v>0.125</x:v>
      </x:c>
      <x:c r="N1235" s="11" t="n">
        <x:f>IF(G1235,L1235*AN1235/(1+M1235)^F1235,0)</x:f>
        <x:v>0</x:v>
      </x:c>
      <x:c r="AJ1235" t="n">
        <x:v>0</x:v>
      </x:c>
      <x:c r="AK1235" t="n">
        <x:v>0</x:v>
      </x:c>
      <x:c r="AL1235" t="n">
        <x:v>0</x:v>
      </x:c>
      <x:c r="AM1235" t="n">
        <x:f>CHOOSE('假设'!$B$3,AJ1235,AK1235,AL1235)</x:f>
        <x:v>0</x:v>
      </x:c>
      <x:c r="AN1235" t="n">
        <x:v>1</x:v>
      </x:c>
    </x:row>
    <x:row r="1236" ht="23" customHeight="1">
      <x:c r="A1236" s="11" t="str">
        <x:v>688192.SH</x:v>
      </x:c>
      <x:c r="B1236" s="11" t="str">
        <x:v>五年</x:v>
      </x:c>
      <x:c r="C1236" s="11" t="str">
        <x:v>dzd6008</x:v>
      </x:c>
      <x:c r="D1236" s="11" t="str">
        <x:v>2030-12-31</x:v>
      </x:c>
      <x:c r="E1236" s="11" t="str">
        <x:v>USD</x:v>
      </x:c>
      <x:c r="F1236" s="11" t="n">
        <x:v>-0.7720739219712526</x:v>
      </x:c>
      <x:c r="G1236" s="26" t="b">
        <x:v>0</x:v>
      </x:c>
      <x:c r="H1236" s="16" t="n">
        <x:v>0</x:v>
      </x:c>
      <x:c r="I1236" s="16" t="n">
        <x:v>0</x:v>
      </x:c>
      <x:c r="J1236" s="16" t="n">
        <x:v>1.5</x:v>
      </x:c>
      <x:c r="K1236" s="11" t="n">
        <x:f>CHOOSE('假设'!$B$3,H1236,I1236,J1236)</x:f>
        <x:v>0</x:v>
      </x:c>
      <x:c r="L1236" s="11" t="n">
        <x:f>K1236*'管线假设'!E283*'管线假设'!F283*'管线假设'!G283*IF(E1236="USD",'管线假设'!I283,1)-AM1236</x:f>
        <x:v>0</x:v>
      </x:c>
      <x:c r="M1236" s="11" t="n">
        <x:f>'管线假设'!H283</x:f>
        <x:v>0.125</x:v>
      </x:c>
      <x:c r="N1236" s="11" t="n">
        <x:f>IF(G1236,L1236*AN1236/(1+M1236)^F1236,0)</x:f>
        <x:v>0</x:v>
      </x:c>
      <x:c r="AJ1236" t="n">
        <x:v>0</x:v>
      </x:c>
      <x:c r="AK1236" t="n">
        <x:v>0</x:v>
      </x:c>
      <x:c r="AL1236" t="n">
        <x:v>0</x:v>
      </x:c>
      <x:c r="AM1236" t="n">
        <x:f>CHOOSE('假设'!$B$3,AJ1236,AK1236,AL1236)</x:f>
        <x:v>0</x:v>
      </x:c>
      <x:c r="AN1236" t="n">
        <x:v>1</x:v>
      </x:c>
    </x:row>
    <x:row r="1237" ht="23" customHeight="1">
      <x:c r="A1237" s="11" t="str">
        <x:v>688192.SH</x:v>
      </x:c>
      <x:c r="B1237" s="11" t="str">
        <x:v>五年</x:v>
      </x:c>
      <x:c r="C1237" s="11" t="str">
        <x:v>dzd6008</x:v>
      </x:c>
      <x:c r="D1237" s="11" t="str">
        <x:v>2031-12-31</x:v>
      </x:c>
      <x:c r="E1237" s="11" t="str">
        <x:v>USD</x:v>
      </x:c>
      <x:c r="F1237" s="11" t="n">
        <x:v>0.2272416153319644</x:v>
      </x:c>
      <x:c r="G1237" s="26" t="b">
        <x:v>1</x:v>
      </x:c>
      <x:c r="H1237" s="16" t="n">
        <x:v>0</x:v>
      </x:c>
      <x:c r="I1237" s="16" t="n">
        <x:v>0.41666666666666663</x:v>
      </x:c>
      <x:c r="J1237" s="16" t="n">
        <x:v>2.25</x:v>
      </x:c>
      <x:c r="K1237" s="11" t="n">
        <x:f>CHOOSE('假设'!$B$3,H1237,I1237,J1237)</x:f>
        <x:v>0.41666666666666663</x:v>
      </x:c>
      <x:c r="L1237" s="11" t="n">
        <x:f>K1237*'管线假设'!E283*'管线假设'!F283*'管线假设'!G283*IF(E1237="USD",'管线假设'!I283,1)-AM1237</x:f>
        <x:v>0.5575999999999999</x:v>
      </x:c>
      <x:c r="M1237" s="11" t="n">
        <x:f>'管线假设'!H283</x:f>
        <x:v>0.125</x:v>
      </x:c>
      <x:c r="N1237" s="11" t="n">
        <x:f>IF(G1237,L1237*AN1237/(1+M1237)^F1237,0)</x:f>
        <x:v>0.542873676097818</x:v>
      </x:c>
      <x:c r="AJ1237" t="n">
        <x:v>0</x:v>
      </x:c>
      <x:c r="AK1237" t="n">
        <x:v>0</x:v>
      </x:c>
      <x:c r="AL1237" t="n">
        <x:v>0</x:v>
      </x:c>
      <x:c r="AM1237" t="n">
        <x:f>CHOOSE('假设'!$B$3,AJ1237,AK1237,AL1237)</x:f>
        <x:v>0</x:v>
      </x:c>
      <x:c r="AN1237" t="n">
        <x:v>1</x:v>
      </x:c>
    </x:row>
    <x:row r="1238" ht="23" customHeight="1">
      <x:c r="A1238" s="11" t="str">
        <x:v>688192.SH</x:v>
      </x:c>
      <x:c r="B1238" s="11" t="str">
        <x:v>五年</x:v>
      </x:c>
      <x:c r="C1238" s="11" t="str">
        <x:v>dzd6008</x:v>
      </x:c>
      <x:c r="D1238" s="11" t="str">
        <x:v>2032-12-31</x:v>
      </x:c>
      <x:c r="E1238" s="11" t="str">
        <x:v>USD</x:v>
      </x:c>
      <x:c r="F1238" s="11" t="n">
        <x:v>1.2292950034223136</x:v>
      </x:c>
      <x:c r="G1238" s="26" t="b">
        <x:v>1</x:v>
      </x:c>
      <x:c r="H1238" s="16" t="n">
        <x:v>0</x:v>
      </x:c>
      <x:c r="I1238" s="16" t="n">
        <x:v>0.8333333333333333</x:v>
      </x:c>
      <x:c r="J1238" s="16" t="n">
        <x:v>3</x:v>
      </x:c>
      <x:c r="K1238" s="11" t="n">
        <x:f>CHOOSE('假设'!$B$3,H1238,I1238,J1238)</x:f>
        <x:v>0.8333333333333333</x:v>
      </x:c>
      <x:c r="L1238" s="11" t="n">
        <x:f>K1238*'管线假设'!E283*'管线假设'!F283*'管线假设'!G283*IF(E1238="USD",'管线假设'!I283,1)-AM1238</x:f>
        <x:v>1.1151999999999997</x:v>
      </x:c>
      <x:c r="M1238" s="11" t="n">
        <x:f>'管线假设'!H283</x:f>
        <x:v>0.125</x:v>
      </x:c>
      <x:c r="N1238" s="11" t="n">
        <x:f>IF(G1238,L1238*AN1238/(1+M1238)^F1238,0)</x:f>
        <x:v>0.9648753700450107</x:v>
      </x:c>
      <x:c r="AJ1238" t="n">
        <x:v>0</x:v>
      </x:c>
      <x:c r="AK1238" t="n">
        <x:v>0</x:v>
      </x:c>
      <x:c r="AL1238" t="n">
        <x:v>0</x:v>
      </x:c>
      <x:c r="AM1238" t="n">
        <x:f>CHOOSE('假设'!$B$3,AJ1238,AK1238,AL1238)</x:f>
        <x:v>0</x:v>
      </x:c>
      <x:c r="AN1238" t="n">
        <x:v>1</x:v>
      </x:c>
    </x:row>
    <x:row r="1239" ht="23" customHeight="1">
      <x:c r="A1239" s="11" t="str">
        <x:v>688192.SH</x:v>
      </x:c>
      <x:c r="B1239" s="11" t="str">
        <x:v>五年</x:v>
      </x:c>
      <x:c r="C1239" s="11" t="str">
        <x:v>dzd6008</x:v>
      </x:c>
      <x:c r="D1239" s="11" t="str">
        <x:v>2033-12-31</x:v>
      </x:c>
      <x:c r="E1239" s="11" t="str">
        <x:v>USD</x:v>
      </x:c>
      <x:c r="F1239" s="11" t="n">
        <x:v>2.2286105407255303</x:v>
      </x:c>
      <x:c r="G1239" s="26" t="b">
        <x:v>1</x:v>
      </x:c>
      <x:c r="H1239" s="16" t="n">
        <x:v>0</x:v>
      </x:c>
      <x:c r="I1239" s="16" t="n">
        <x:v>1.25</x:v>
      </x:c>
      <x:c r="J1239" s="16" t="n">
        <x:v>3.75</x:v>
      </x:c>
      <x:c r="K1239" s="11" t="n">
        <x:f>CHOOSE('假设'!$B$3,H1239,I1239,J1239)</x:f>
        <x:v>1.25</x:v>
      </x:c>
      <x:c r="L1239" s="11" t="n">
        <x:f>K1239*'管线假设'!E283*'管线假设'!F283*'管线假设'!G283*IF(E1239="USD",'管线假设'!I283,1)-AM1239</x:f>
        <x:v>1.6728</x:v>
      </x:c>
      <x:c r="M1239" s="11" t="n">
        <x:f>'管线假设'!H283</x:f>
        <x:v>0.125</x:v>
      </x:c>
      <x:c r="N1239" s="11" t="n">
        <x:f>IF(G1239,L1239*AN1239/(1+M1239)^F1239,0)</x:f>
        <x:v>1.286604212792113</x:v>
      </x:c>
      <x:c r="AJ1239" t="n">
        <x:v>0</x:v>
      </x:c>
      <x:c r="AK1239" t="n">
        <x:v>0</x:v>
      </x:c>
      <x:c r="AL1239" t="n">
        <x:v>0</x:v>
      </x:c>
      <x:c r="AM1239" t="n">
        <x:f>CHOOSE('假设'!$B$3,AJ1239,AK1239,AL1239)</x:f>
        <x:v>0</x:v>
      </x:c>
      <x:c r="AN1239" t="n">
        <x:v>1</x:v>
      </x:c>
    </x:row>
    <x:row r="1240" ht="23" customHeight="1">
      <x:c r="A1240" s="11" t="str">
        <x:v>688192.SH</x:v>
      </x:c>
      <x:c r="B1240" s="11" t="str">
        <x:v>五年</x:v>
      </x:c>
      <x:c r="C1240" s="11" t="str">
        <x:v>dzd6008</x:v>
      </x:c>
      <x:c r="D1240" s="11" t="str">
        <x:v>2034-12-31</x:v>
      </x:c>
      <x:c r="E1240" s="11" t="str">
        <x:v>USD</x:v>
      </x:c>
      <x:c r="F1240" s="11" t="n">
        <x:v>3.2279260780287475</x:v>
      </x:c>
      <x:c r="G1240" s="26" t="b">
        <x:v>1</x:v>
      </x:c>
      <x:c r="H1240" s="16" t="n">
        <x:v>0.16000000000000003</x:v>
      </x:c>
      <x:c r="I1240" s="16" t="n">
        <x:v>1.6666666666666665</x:v>
      </x:c>
      <x:c r="J1240" s="16" t="n">
        <x:v>4.5</x:v>
      </x:c>
      <x:c r="K1240" s="11" t="n">
        <x:f>CHOOSE('假设'!$B$3,H1240,I1240,J1240)</x:f>
        <x:v>1.6666666666666665</x:v>
      </x:c>
      <x:c r="L1240" s="11" t="n">
        <x:f>K1240*'管线假设'!E283*'管线假设'!F283*'管线假设'!G283*IF(E1240="USD",'管线假设'!I283,1)-AM1240</x:f>
        <x:v>2.2303999999999995</x:v>
      </x:c>
      <x:c r="M1240" s="11" t="n">
        <x:f>'管线假设'!H283</x:f>
        <x:v>0.125</x:v>
      </x:c>
      <x:c r="N1240" s="11" t="n">
        <x:f>IF(G1240,L1240*AN1240/(1+M1240)^F1240,0)</x:f>
        <x:v>1.5249871888034077</x:v>
      </x:c>
      <x:c r="AJ1240" t="n">
        <x:v>0</x:v>
      </x:c>
      <x:c r="AK1240" t="n">
        <x:v>0</x:v>
      </x:c>
      <x:c r="AL1240" t="n">
        <x:v>0</x:v>
      </x:c>
      <x:c r="AM1240" t="n">
        <x:f>CHOOSE('假设'!$B$3,AJ1240,AK1240,AL1240)</x:f>
        <x:v>0</x:v>
      </x:c>
      <x:c r="AN1240" t="n">
        <x:v>1</x:v>
      </x:c>
    </x:row>
    <x:row r="1241" ht="23" customHeight="1">
      <x:c r="A1241" s="11" t="str">
        <x:v>688192.SH</x:v>
      </x:c>
      <x:c r="B1241" s="11" t="str">
        <x:v>五年</x:v>
      </x:c>
      <x:c r="C1241" s="11" t="str">
        <x:v>dzd6008</x:v>
      </x:c>
      <x:c r="D1241" s="11" t="str">
        <x:v>2035-12-31</x:v>
      </x:c>
      <x:c r="E1241" s="11" t="str">
        <x:v>USD</x:v>
      </x:c>
      <x:c r="F1241" s="11" t="n">
        <x:v>4.227241615331964</x:v>
      </x:c>
      <x:c r="G1241" s="26" t="b">
        <x:v>1</x:v>
      </x:c>
      <x:c r="H1241" s="16" t="n">
        <x:v>0.32000000000000006</x:v>
      </x:c>
      <x:c r="I1241" s="16" t="n">
        <x:v>2.0833333333333335</x:v>
      </x:c>
      <x:c r="J1241" s="16" t="n">
        <x:v>3.96</x:v>
      </x:c>
      <x:c r="K1241" s="11" t="n">
        <x:f>CHOOSE('假设'!$B$3,H1241,I1241,J1241)</x:f>
        <x:v>2.0833333333333335</x:v>
      </x:c>
      <x:c r="L1241" s="11" t="n">
        <x:f>K1241*'管线假设'!E283*'管线假设'!F283*'管线假设'!G283*IF(E1241="USD",'管线假设'!I283,1)-AM1241</x:f>
        <x:v>2.7880000000000003</x:v>
      </x:c>
      <x:c r="M1241" s="11" t="n">
        <x:f>'管线假设'!H283</x:f>
        <x:v>0.125</x:v>
      </x:c>
      <x:c r="N1241" s="11" t="n">
        <x:f>IF(G1241,L1241*AN1241/(1+M1241)^F1241,0)</x:f>
        <x:v>1.694566817022301</x:v>
      </x:c>
      <x:c r="AJ1241" t="n">
        <x:v>0</x:v>
      </x:c>
      <x:c r="AK1241" t="n">
        <x:v>0</x:v>
      </x:c>
      <x:c r="AL1241" t="n">
        <x:v>0</x:v>
      </x:c>
      <x:c r="AM1241" t="n">
        <x:f>CHOOSE('假设'!$B$3,AJ1241,AK1241,AL1241)</x:f>
        <x:v>0</x:v>
      </x:c>
      <x:c r="AN1241" t="n">
        <x:v>1</x:v>
      </x:c>
    </x:row>
    <x:row r="1242" ht="23" customHeight="1">
      <x:c r="A1242" s="11" t="str">
        <x:v>688192.SH</x:v>
      </x:c>
      <x:c r="B1242" s="11" t="str">
        <x:v>五年</x:v>
      </x:c>
      <x:c r="C1242" s="11" t="str">
        <x:v>dzd6008</x:v>
      </x:c>
      <x:c r="D1242" s="11" t="str">
        <x:v>2036-12-31</x:v>
      </x:c>
      <x:c r="E1242" s="11" t="str">
        <x:v>USD</x:v>
      </x:c>
      <x:c r="F1242" s="11" t="n">
        <x:v>5.229295003422314</x:v>
      </x:c>
      <x:c r="G1242" s="26" t="b">
        <x:v>1</x:v>
      </x:c>
      <x:c r="H1242" s="16" t="n">
        <x:v>0.48</x:v>
      </x:c>
      <x:c r="I1242" s="16" t="n">
        <x:v>2.5</x:v>
      </x:c>
      <x:c r="J1242" s="16" t="n">
        <x:v>3.42</x:v>
      </x:c>
      <x:c r="K1242" s="11" t="n">
        <x:f>CHOOSE('假设'!$B$3,H1242,I1242,J1242)</x:f>
        <x:v>2.5</x:v>
      </x:c>
      <x:c r="L1242" s="11" t="n">
        <x:f>K1242*'管线假设'!E283*'管线假设'!F283*'管线假设'!G283*IF(E1242="USD",'管线假设'!I283,1)-AM1242</x:f>
        <x:v>3.3456</x:v>
      </x:c>
      <x:c r="M1242" s="11" t="n">
        <x:f>'管线假设'!H283</x:f>
        <x:v>0.125</x:v>
      </x:c>
      <x:c r="N1242" s="11" t="n">
        <x:f>IF(G1242,L1242*AN1242/(1+M1242)^F1242,0)</x:f>
        <x:v>1.8071008302260467</x:v>
      </x:c>
      <x:c r="AJ1242" t="n">
        <x:v>0</x:v>
      </x:c>
      <x:c r="AK1242" t="n">
        <x:v>0</x:v>
      </x:c>
      <x:c r="AL1242" t="n">
        <x:v>0</x:v>
      </x:c>
      <x:c r="AM1242" t="n">
        <x:f>CHOOSE('假设'!$B$3,AJ1242,AK1242,AL1242)</x:f>
        <x:v>0</x:v>
      </x:c>
      <x:c r="AN1242" t="n">
        <x:v>1</x:v>
      </x:c>
    </x:row>
    <x:row r="1243" ht="23" customHeight="1">
      <x:c r="A1243" s="11" t="str">
        <x:v>688192.SH</x:v>
      </x:c>
      <x:c r="B1243" s="11" t="str">
        <x:v>五年</x:v>
      </x:c>
      <x:c r="C1243" s="11" t="str">
        <x:v>dzd6008</x:v>
      </x:c>
      <x:c r="D1243" s="11" t="str">
        <x:v>2037-12-31</x:v>
      </x:c>
      <x:c r="E1243" s="11" t="str">
        <x:v>USD</x:v>
      </x:c>
      <x:c r="F1243" s="11" t="n">
        <x:v>6.228610540725531</x:v>
      </x:c>
      <x:c r="G1243" s="26" t="b">
        <x:v>1</x:v>
      </x:c>
      <x:c r="H1243" s="16" t="n">
        <x:v>0.6400000000000001</x:v>
      </x:c>
      <x:c r="I1243" s="16" t="n">
        <x:v>2.2</x:v>
      </x:c>
      <x:c r="J1243" s="16" t="n">
        <x:v>2.88</x:v>
      </x:c>
      <x:c r="K1243" s="11" t="n">
        <x:f>CHOOSE('假设'!$B$3,H1243,I1243,J1243)</x:f>
        <x:v>2.2</x:v>
      </x:c>
      <x:c r="L1243" s="11" t="n">
        <x:f>K1243*'管线假设'!E283*'管线假设'!F283*'管线假设'!G283*IF(E1243="USD",'管线假设'!I283,1)-AM1243</x:f>
        <x:v>2.944128</x:v>
      </x:c>
      <x:c r="M1243" s="11" t="n">
        <x:f>'管线假设'!H283</x:f>
        <x:v>0.125</x:v>
      </x:c>
      <x:c r="N1243" s="11" t="n">
        <x:f>IF(G1243,L1243*AN1243/(1+M1243)^F1243,0)</x:f>
        <x:v>1.4136683898567033</x:v>
      </x:c>
      <x:c r="AJ1243" t="n">
        <x:v>0</x:v>
      </x:c>
      <x:c r="AK1243" t="n">
        <x:v>0</x:v>
      </x:c>
      <x:c r="AL1243" t="n">
        <x:v>0</x:v>
      </x:c>
      <x:c r="AM1243" t="n">
        <x:f>CHOOSE('假设'!$B$3,AJ1243,AK1243,AL1243)</x:f>
        <x:v>0</x:v>
      </x:c>
      <x:c r="AN1243" t="n">
        <x:v>1</x:v>
      </x:c>
    </x:row>
    <x:row r="1244" ht="23" customHeight="1">
      <x:c r="A1244" s="11" t="str">
        <x:v>688192.SH</x:v>
      </x:c>
      <x:c r="B1244" s="11" t="str">
        <x:v>五年</x:v>
      </x:c>
      <x:c r="C1244" s="11" t="str">
        <x:v>dzd6008</x:v>
      </x:c>
      <x:c r="D1244" s="11" t="str">
        <x:v>2038-12-31</x:v>
      </x:c>
      <x:c r="E1244" s="11" t="str">
        <x:v>USD</x:v>
      </x:c>
      <x:c r="F1244" s="11" t="n">
        <x:v>7.227926078028747</x:v>
      </x:c>
      <x:c r="G1244" s="26" t="b">
        <x:v>1</x:v>
      </x:c>
      <x:c r="H1244" s="16" t="n">
        <x:v>0.8</x:v>
      </x:c>
      <x:c r="I1244" s="16" t="n">
        <x:v>1.9</x:v>
      </x:c>
      <x:c r="J1244" s="16" t="n">
        <x:v>2.34</x:v>
      </x:c>
      <x:c r="K1244" s="11" t="n">
        <x:f>CHOOSE('假设'!$B$3,H1244,I1244,J1244)</x:f>
        <x:v>1.9</x:v>
      </x:c>
      <x:c r="L1244" s="11" t="n">
        <x:f>K1244*'管线假设'!E283*'管线假设'!F283*'管线假设'!G283*IF(E1244="USD",'管线假设'!I283,1)-AM1244</x:f>
        <x:v>2.5426559999999996</x:v>
      </x:c>
      <x:c r="M1244" s="11" t="n">
        <x:f>'管线假设'!H283</x:f>
        <x:v>0.125</x:v>
      </x:c>
      <x:c r="N1244" s="11" t="n">
        <x:f>IF(G1244,L1244*AN1244/(1+M1244)^F1244,0)</x:f>
        <x:v>1.0853278736299627</x:v>
      </x:c>
      <x:c r="AJ1244" t="n">
        <x:v>0</x:v>
      </x:c>
      <x:c r="AK1244" t="n">
        <x:v>0</x:v>
      </x:c>
      <x:c r="AL1244" t="n">
        <x:v>0</x:v>
      </x:c>
      <x:c r="AM1244" t="n">
        <x:f>CHOOSE('假设'!$B$3,AJ1244,AK1244,AL1244)</x:f>
        <x:v>0</x:v>
      </x:c>
      <x:c r="AN1244" t="n">
        <x:v>1</x:v>
      </x:c>
    </x:row>
    <x:row r="1245" ht="23" customHeight="1">
      <x:c r="A1245" s="11" t="str">
        <x:v>688192.SH</x:v>
      </x:c>
      <x:c r="B1245" s="11" t="str">
        <x:v>五年</x:v>
      </x:c>
      <x:c r="C1245" s="11" t="str">
        <x:v>dzd6008</x:v>
      </x:c>
      <x:c r="D1245" s="11" t="str">
        <x:v>2039-12-31</x:v>
      </x:c>
      <x:c r="E1245" s="11" t="str">
        <x:v>USD</x:v>
      </x:c>
      <x:c r="F1245" s="11" t="n">
        <x:v>8.227241615331964</x:v>
      </x:c>
      <x:c r="G1245" s="26" t="b">
        <x:v>1</x:v>
      </x:c>
      <x:c r="H1245" s="16" t="n">
        <x:v>0.7040000000000001</x:v>
      </x:c>
      <x:c r="I1245" s="16" t="n">
        <x:v>1.6</x:v>
      </x:c>
      <x:c r="J1245" s="16" t="n">
        <x:v>1.8</x:v>
      </x:c>
      <x:c r="K1245" s="11" t="n">
        <x:f>CHOOSE('假设'!$B$3,H1245,I1245,J1245)</x:f>
        <x:v>1.6</x:v>
      </x:c>
      <x:c r="L1245" s="11" t="n">
        <x:f>K1245*'管线假设'!E283*'管线假设'!F283*'管线假设'!G283*IF(E1245="USD",'管线假设'!I283,1)-AM1245</x:f>
        <x:v>2.141184</x:v>
      </x:c>
      <x:c r="M1245" s="11" t="n">
        <x:f>'管线假设'!H283</x:f>
        <x:v>0.125</x:v>
      </x:c>
      <x:c r="N1245" s="11" t="n">
        <x:f>IF(G1245,L1245*AN1245/(1+M1245)^F1245,0)</x:f>
        <x:v>0.8124746660841226</x:v>
      </x:c>
      <x:c r="AJ1245" t="n">
        <x:v>0</x:v>
      </x:c>
      <x:c r="AK1245" t="n">
        <x:v>0</x:v>
      </x:c>
      <x:c r="AL1245" t="n">
        <x:v>0</x:v>
      </x:c>
      <x:c r="AM1245" t="n">
        <x:f>CHOOSE('假设'!$B$3,AJ1245,AK1245,AL1245)</x:f>
        <x:v>0</x:v>
      </x:c>
      <x:c r="AN1245" t="n">
        <x:v>1</x:v>
      </x:c>
    </x:row>
    <x:row r="1246" ht="23" customHeight="1">
      <x:c r="A1246" s="11" t="str">
        <x:v>688192.SH</x:v>
      </x:c>
      <x:c r="B1246" s="11" t="str">
        <x:v>五年</x:v>
      </x:c>
      <x:c r="C1246" s="11" t="str">
        <x:v>dzd6008</x:v>
      </x:c>
      <x:c r="D1246" s="11" t="str">
        <x:v>2040-12-31</x:v>
      </x:c>
      <x:c r="E1246" s="11" t="str">
        <x:v>USD</x:v>
      </x:c>
      <x:c r="F1246" s="11" t="n">
        <x:v>9.229295003422314</x:v>
      </x:c>
      <x:c r="G1246" s="26" t="b">
        <x:v>1</x:v>
      </x:c>
      <x:c r="H1246" s="16" t="n">
        <x:v>0.6080000000000001</x:v>
      </x:c>
      <x:c r="I1246" s="16" t="n">
        <x:v>1.3</x:v>
      </x:c>
      <x:c r="J1246" s="16" t="n">
        <x:v>1.2600000000000002</x:v>
      </x:c>
      <x:c r="K1246" s="11" t="n">
        <x:f>CHOOSE('假设'!$B$3,H1246,I1246,J1246)</x:f>
        <x:v>1.3</x:v>
      </x:c>
      <x:c r="L1246" s="11" t="n">
        <x:f>K1246*'管线假设'!E283*'管线假设'!F283*'管线假设'!G283*IF(E1246="USD",'管线假设'!I283,1)-AM1246</x:f>
        <x:v>1.739712</x:v>
      </x:c>
      <x:c r="M1246" s="11" t="n">
        <x:f>'管线假设'!H283</x:f>
        <x:v>0.125</x:v>
      </x:c>
      <x:c r="N1246" s="11" t="n">
        <x:f>IF(G1246,L1246*AN1246/(1+M1246)^F1246,0)</x:f>
        <x:v>0.5866453589872064</x:v>
      </x:c>
      <x:c r="AJ1246" t="n">
        <x:v>0</x:v>
      </x:c>
      <x:c r="AK1246" t="n">
        <x:v>0</x:v>
      </x:c>
      <x:c r="AL1246" t="n">
        <x:v>0</x:v>
      </x:c>
      <x:c r="AM1246" t="n">
        <x:f>CHOOSE('假设'!$B$3,AJ1246,AK1246,AL1246)</x:f>
        <x:v>0</x:v>
      </x:c>
      <x:c r="AN1246" t="n">
        <x:v>1</x:v>
      </x:c>
    </x:row>
    <x:row r="1247" ht="23" customHeight="1">
      <x:c r="A1247" s="11" t="str">
        <x:v>688192.SH</x:v>
      </x:c>
      <x:c r="B1247" s="11" t="str">
        <x:v>五年</x:v>
      </x:c>
      <x:c r="C1247" s="11" t="str">
        <x:v>dzd6008</x:v>
      </x:c>
      <x:c r="D1247" s="11" t="str">
        <x:v>2041-12-31</x:v>
      </x:c>
      <x:c r="E1247" s="11" t="str">
        <x:v>USD</x:v>
      </x:c>
      <x:c r="F1247" s="11" t="n">
        <x:v>10.22861054072553</x:v>
      </x:c>
      <x:c r="G1247" s="26" t="b">
        <x:v>1</x:v>
      </x:c>
      <x:c r="H1247" s="16" t="n">
        <x:v>0.512</x:v>
      </x:c>
      <x:c r="I1247" s="16" t="n">
        <x:v>1</x:v>
      </x:c>
      <x:c r="J1247" s="16" t="n">
        <x:v>0.7200000000000002</x:v>
      </x:c>
      <x:c r="K1247" s="11" t="n">
        <x:f>CHOOSE('假设'!$B$3,H1247,I1247,J1247)</x:f>
        <x:v>1</x:v>
      </x:c>
      <x:c r="L1247" s="11" t="n">
        <x:f>K1247*'管线假设'!E283*'管线假设'!F283*'管线假设'!G283*IF(E1247="USD",'管线假设'!I283,1)-AM1247</x:f>
        <x:v>1.3382399999999999</x:v>
      </x:c>
      <x:c r="M1247" s="11" t="n">
        <x:f>'管线假设'!H283</x:f>
        <x:v>0.125</x:v>
      </x:c>
      <x:c r="N1247" s="11" t="n">
        <x:f>IF(G1247,L1247*AN1247/(1+M1247)^F1247,0)</x:f>
        <x:v>0.4011573710252772</x:v>
      </x:c>
      <x:c r="AJ1247" t="n">
        <x:v>0</x:v>
      </x:c>
      <x:c r="AK1247" t="n">
        <x:v>0</x:v>
      </x:c>
      <x:c r="AL1247" t="n">
        <x:v>0</x:v>
      </x:c>
      <x:c r="AM1247" t="n">
        <x:f>CHOOSE('假设'!$B$3,AJ1247,AK1247,AL1247)</x:f>
        <x:v>0</x:v>
      </x:c>
      <x:c r="AN1247" t="n">
        <x:v>1</x:v>
      </x:c>
    </x:row>
    <x:row r="1248" ht="23" customHeight="1">
      <x:c r="A1248" s="11" t="str">
        <x:v>688192.SH</x:v>
      </x:c>
      <x:c r="B1248" s="11" t="str">
        <x:v>五年</x:v>
      </x:c>
      <x:c r="C1248" s="11" t="str">
        <x:v>dzd6008</x:v>
      </x:c>
      <x:c r="D1248" s="11" t="str">
        <x:v>2042-12-31</x:v>
      </x:c>
      <x:c r="E1248" s="11" t="str">
        <x:v>USD</x:v>
      </x:c>
      <x:c r="F1248" s="11" t="n">
        <x:v>11.227926078028748</x:v>
      </x:c>
      <x:c r="G1248" s="26" t="b">
        <x:v>1</x:v>
      </x:c>
      <x:c r="H1248" s="16" t="n">
        <x:v>0.41600000000000004</x:v>
      </x:c>
      <x:c r="I1248" s="16" t="n">
        <x:v>0.7000000000000001</x:v>
      </x:c>
      <x:c r="J1248" s="16" t="n">
        <x:v>0.18000000000000016</x:v>
      </x:c>
      <x:c r="K1248" s="11" t="n">
        <x:f>CHOOSE('假设'!$B$3,H1248,I1248,J1248)</x:f>
        <x:v>0.7000000000000001</x:v>
      </x:c>
      <x:c r="L1248" s="11" t="n">
        <x:f>K1248*'管线假设'!E283*'管线假设'!F283*'管线假设'!G283*IF(E1248="USD",'管线假设'!I283,1)-AM1248</x:f>
        <x:v>0.9367680000000002</x:v>
      </x:c>
      <x:c r="M1248" s="11" t="n">
        <x:f>'管线假设'!H283</x:f>
        <x:v>0.125</x:v>
      </x:c>
      <x:c r="N1248" s="11" t="n">
        <x:f>IF(G1248,L1248*AN1248/(1+M1248)^F1248,0)</x:f>
        <x:v>0.24962915467570168</x:v>
      </x:c>
      <x:c r="AJ1248" t="n">
        <x:v>0</x:v>
      </x:c>
      <x:c r="AK1248" t="n">
        <x:v>0</x:v>
      </x:c>
      <x:c r="AL1248" t="n">
        <x:v>0</x:v>
      </x:c>
      <x:c r="AM1248" t="n">
        <x:f>CHOOSE('假设'!$B$3,AJ1248,AK1248,AL1248)</x:f>
        <x:v>0</x:v>
      </x:c>
      <x:c r="AN1248" t="n">
        <x:v>1</x:v>
      </x:c>
    </x:row>
    <x:row r="1249" ht="23" customHeight="1">
      <x:c r="A1249" s="11" t="str">
        <x:v>688192.SH</x:v>
      </x:c>
      <x:c r="B1249" s="11" t="str">
        <x:v>五年</x:v>
      </x:c>
      <x:c r="C1249" s="11" t="str">
        <x:v>dzd6008</x:v>
      </x:c>
      <x:c r="D1249" s="11" t="str">
        <x:v>2043-12-31</x:v>
      </x:c>
      <x:c r="E1249" s="11" t="str">
        <x:v>USD</x:v>
      </x:c>
      <x:c r="F1249" s="11" t="n">
        <x:v>12.227241615331964</x:v>
      </x:c>
      <x:c r="G1249" s="26" t="b">
        <x:v>1</x:v>
      </x:c>
      <x:c r="H1249" s="16" t="n">
        <x:v>0.32000000000000006</x:v>
      </x:c>
      <x:c r="I1249" s="16" t="n">
        <x:v>0.4000000000000001</x:v>
      </x:c>
      <x:c r="J1249" s="16" t="n">
        <x:v>0</x:v>
      </x:c>
      <x:c r="K1249" s="11" t="n">
        <x:f>CHOOSE('假设'!$B$3,H1249,I1249,J1249)</x:f>
        <x:v>0.4000000000000001</x:v>
      </x:c>
      <x:c r="L1249" s="11" t="n">
        <x:f>K1249*'管线假设'!E283*'管线假设'!F283*'管线假设'!G283*IF(E1249="USD",'管线假设'!I283,1)-AM1249</x:f>
        <x:v>0.5352960000000001</x:v>
      </x:c>
      <x:c r="M1249" s="11" t="n">
        <x:f>'管线假设'!H283</x:f>
        <x:v>0.125</x:v>
      </x:c>
      <x:c r="N1249" s="11" t="n">
        <x:f>IF(G1249,L1249*AN1249/(1+M1249)^F1249,0)</x:f>
        <x:v>0.12680598354978537</x:v>
      </x:c>
      <x:c r="AJ1249" t="n">
        <x:v>0</x:v>
      </x:c>
      <x:c r="AK1249" t="n">
        <x:v>0</x:v>
      </x:c>
      <x:c r="AL1249" t="n">
        <x:v>0</x:v>
      </x:c>
      <x:c r="AM1249" t="n">
        <x:f>CHOOSE('假设'!$B$3,AJ1249,AK1249,AL1249)</x:f>
        <x:v>0</x:v>
      </x:c>
      <x:c r="AN1249" t="n">
        <x:v>1</x:v>
      </x:c>
    </x:row>
    <x:row r="1250" ht="23" customHeight="1">
      <x:c r="A1250" s="11" t="str">
        <x:v>688192.SH</x:v>
      </x:c>
      <x:c r="B1250" s="11" t="str">
        <x:v>五年</x:v>
      </x:c>
      <x:c r="C1250" s="11" t="str">
        <x:v>dzd6008</x:v>
      </x:c>
      <x:c r="D1250" s="11" t="str">
        <x:v>2044-12-31</x:v>
      </x:c>
      <x:c r="E1250" s="11" t="str">
        <x:v>USD</x:v>
      </x:c>
      <x:c r="F1250" s="11" t="n">
        <x:v>13.229295003422314</x:v>
      </x:c>
      <x:c r="G1250" s="26" t="b">
        <x:v>1</x:v>
      </x:c>
      <x:c r="H1250" s="16" t="n">
        <x:v>0.22400000000000003</x:v>
      </x:c>
      <x:c r="I1250" s="16" t="n">
        <x:v>0.10000000000000009</x:v>
      </x:c>
      <x:c r="J1250" s="16" t="n">
        <x:v>0</x:v>
      </x:c>
      <x:c r="K1250" s="11" t="n">
        <x:f>CHOOSE('假设'!$B$3,H1250,I1250,J1250)</x:f>
        <x:v>0.10000000000000009</x:v>
      </x:c>
      <x:c r="L1250" s="11" t="n">
        <x:f>K1250*'管线假设'!E283*'管线假设'!F283*'管线假设'!G283*IF(E1250="USD",'管线假设'!I283,1)-AM1250</x:f>
        <x:v>0.1338240000000001</x:v>
      </x:c>
      <x:c r="M1250" s="11" t="n">
        <x:f>'管线假设'!H283</x:f>
        <x:v>0.125</x:v>
      </x:c>
      <x:c r="N1250" s="11" t="n">
        <x:f>IF(G1250,L1250*AN1250/(1+M1250)^F1250,0)</x:f>
        <x:v>0.028172293041768954</x:v>
      </x:c>
      <x:c r="AJ1250" t="n">
        <x:v>0</x:v>
      </x:c>
      <x:c r="AK1250" t="n">
        <x:v>0</x:v>
      </x:c>
      <x:c r="AL1250" t="n">
        <x:v>0</x:v>
      </x:c>
      <x:c r="AM1250" t="n">
        <x:f>CHOOSE('假设'!$B$3,AJ1250,AK1250,AL1250)</x:f>
        <x:v>0</x:v>
      </x:c>
      <x:c r="AN1250" t="n">
        <x:v>1</x:v>
      </x:c>
    </x:row>
    <x:row r="1251" ht="23" customHeight="1">
      <x:c r="A1251" s="11" t="str">
        <x:v>688192.SH</x:v>
      </x:c>
      <x:c r="B1251" s="11" t="str">
        <x:v>五年</x:v>
      </x:c>
      <x:c r="C1251" s="11" t="str">
        <x:v>dzd6008</x:v>
      </x:c>
      <x:c r="D1251" s="11" t="str">
        <x:v>2045-12-31</x:v>
      </x:c>
      <x:c r="E1251" s="11" t="str">
        <x:v>USD</x:v>
      </x:c>
      <x:c r="F1251" s="11" t="n">
        <x:v>14.22861054072553</x:v>
      </x:c>
      <x:c r="G1251" s="26" t="b">
        <x:v>1</x:v>
      </x:c>
      <x:c r="H1251" s="16" t="n">
        <x:v>0.12800000000000003</x:v>
      </x:c>
      <x:c r="I1251" s="16" t="n">
        <x:v>0</x:v>
      </x:c>
      <x:c r="J1251" s="16" t="n">
        <x:v>0</x:v>
      </x:c>
      <x:c r="K1251" s="11" t="n">
        <x:f>CHOOSE('假设'!$B$3,H1251,I1251,J1251)</x:f>
        <x:v>0</x:v>
      </x:c>
      <x:c r="L1251" s="11" t="n">
        <x:f>K1251*'管线假设'!E283*'管线假设'!F283*'管线假设'!G283*IF(E1251="USD",'管线假设'!I283,1)-AM1251</x:f>
        <x:v>0</x:v>
      </x:c>
      <x:c r="M1251" s="11" t="n">
        <x:f>'管线假设'!H283</x:f>
        <x:v>0.125</x:v>
      </x:c>
      <x:c r="N1251" s="11" t="n">
        <x:f>IF(G1251,L1251*AN1251/(1+M1251)^F1251,0)</x:f>
        <x:v>0</x:v>
      </x:c>
      <x:c r="AJ1251" t="n">
        <x:v>0</x:v>
      </x:c>
      <x:c r="AK1251" t="n">
        <x:v>0</x:v>
      </x:c>
      <x:c r="AL1251" t="n">
        <x:v>0</x:v>
      </x:c>
      <x:c r="AM1251" t="n">
        <x:f>CHOOSE('假设'!$B$3,AJ1251,AK1251,AL1251)</x:f>
        <x:v>0</x:v>
      </x:c>
      <x:c r="AN1251" t="n">
        <x:v>1</x:v>
      </x:c>
    </x:row>
    <x:row r="1252" ht="23" customHeight="1">
      <x:c r="A1252" s="11" t="str">
        <x:v>688302.SH</x:v>
      </x:c>
      <x:c r="B1252" s="11" t="str">
        <x:v>2026年底</x:v>
      </x:c>
      <x:c r="C1252" s="11" t="str">
        <x:v>hc1119_later</x:v>
      </x:c>
      <x:c r="D1252" s="11" t="str">
        <x:v>2027-12-31</x:v>
      </x:c>
      <x:c r="E1252" s="11" t="str">
        <x:v>CNY</x:v>
      </x:c>
      <x:c r="F1252" s="11" t="n">
        <x:v>0.999315537303217</x:v>
      </x:c>
      <x:c r="G1252" s="26" t="b">
        <x:v>1</x:v>
      </x:c>
      <x:c r="H1252" s="16" t="n">
        <x:v>0.09000000000000001</x:v>
      </x:c>
      <x:c r="I1252" s="16" t="n">
        <x:v>0.18000000000000002</x:v>
      </x:c>
      <x:c r="J1252" s="16" t="n">
        <x:v>0.375</x:v>
      </x:c>
      <x:c r="K1252" s="11" t="n">
        <x:f>CHOOSE('假设'!$B$3,H1252,I1252,J1252)</x:f>
        <x:v>0.18000000000000002</x:v>
      </x:c>
      <x:c r="L1252" s="11" t="n">
        <x:f>K1252*'管线假设'!E287*'管线假设'!F287*'管线假设'!G287*IF(E1252="USD",'管线假设'!I287,1)-AM1252</x:f>
        <x:v>0.045000000000000005</x:v>
      </x:c>
      <x:c r="M1252" s="11" t="n">
        <x:f>'管线假设'!H287</x:f>
        <x:v>0.14</x:v>
      </x:c>
      <x:c r="N1252" s="11" t="n">
        <x:f>IF(G1252,L1252*AN1252/(1+M1252)^F1252,0)</x:f>
        <x:v>0.03947722452550926</x:v>
      </x:c>
      <x:c r="AJ1252" t="n">
        <x:v>0</x:v>
      </x:c>
      <x:c r="AK1252" t="n">
        <x:v>0</x:v>
      </x:c>
      <x:c r="AL1252" t="n">
        <x:v>0</x:v>
      </x:c>
      <x:c r="AM1252" t="n">
        <x:f>CHOOSE('假设'!$B$3,AJ1252,AK1252,AL1252)</x:f>
        <x:v>0</x:v>
      </x:c>
      <x:c r="AN1252" t="n">
        <x:v>1</x:v>
      </x:c>
    </x:row>
    <x:row r="1253" ht="23" customHeight="1">
      <x:c r="A1253" s="11" t="str">
        <x:v>688302.SH</x:v>
      </x:c>
      <x:c r="B1253" s="11" t="str">
        <x:v>2026年底</x:v>
      </x:c>
      <x:c r="C1253" s="11" t="str">
        <x:v>hc1119_later</x:v>
      </x:c>
      <x:c r="D1253" s="11" t="str">
        <x:v>2028-12-31</x:v>
      </x:c>
      <x:c r="E1253" s="11" t="str">
        <x:v>CNY</x:v>
      </x:c>
      <x:c r="F1253" s="11" t="n">
        <x:v>2.001368925393566</x:v>
      </x:c>
      <x:c r="G1253" s="26" t="b">
        <x:v>1</x:v>
      </x:c>
      <x:c r="H1253" s="16" t="n">
        <x:v>0.18000000000000002</x:v>
      </x:c>
      <x:c r="I1253" s="16" t="n">
        <x:v>0.36000000000000004</x:v>
      </x:c>
      <x:c r="J1253" s="16" t="n">
        <x:v>0.75</x:v>
      </x:c>
      <x:c r="K1253" s="11" t="n">
        <x:f>CHOOSE('假设'!$B$3,H1253,I1253,J1253)</x:f>
        <x:v>0.36000000000000004</x:v>
      </x:c>
      <x:c r="L1253" s="11" t="n">
        <x:f>K1253*'管线假设'!E287*'管线假设'!F287*'管线假设'!G287*IF(E1253="USD",'管线假设'!I287,1)-AM1253</x:f>
        <x:v>0.09000000000000001</x:v>
      </x:c>
      <x:c r="M1253" s="11" t="n">
        <x:f>'管线假设'!H287</x:f>
        <x:v>0.14</x:v>
      </x:c>
      <x:c r="N1253" s="11" t="n">
        <x:f>IF(G1253,L1253*AN1253/(1+M1253)^F1253,0)</x:f>
        <x:v>0.0692396570754695</x:v>
      </x:c>
      <x:c r="AJ1253" t="n">
        <x:v>0</x:v>
      </x:c>
      <x:c r="AK1253" t="n">
        <x:v>0</x:v>
      </x:c>
      <x:c r="AL1253" t="n">
        <x:v>0</x:v>
      </x:c>
      <x:c r="AM1253" t="n">
        <x:f>CHOOSE('假设'!$B$3,AJ1253,AK1253,AL1253)</x:f>
        <x:v>0</x:v>
      </x:c>
      <x:c r="AN1253" t="n">
        <x:v>1</x:v>
      </x:c>
    </x:row>
    <x:row r="1254" ht="23" customHeight="1">
      <x:c r="A1254" s="11" t="str">
        <x:v>688302.SH</x:v>
      </x:c>
      <x:c r="B1254" s="11" t="str">
        <x:v>2026年底</x:v>
      </x:c>
      <x:c r="C1254" s="11" t="str">
        <x:v>hc1119_later</x:v>
      </x:c>
      <x:c r="D1254" s="11" t="str">
        <x:v>2029-12-31</x:v>
      </x:c>
      <x:c r="E1254" s="11" t="str">
        <x:v>CNY</x:v>
      </x:c>
      <x:c r="F1254" s="11" t="n">
        <x:v>3.0006844626967832</x:v>
      </x:c>
      <x:c r="G1254" s="26" t="b">
        <x:v>1</x:v>
      </x:c>
      <x:c r="H1254" s="16" t="n">
        <x:v>0.27</x:v>
      </x:c>
      <x:c r="I1254" s="16" t="n">
        <x:v>0.54</x:v>
      </x:c>
      <x:c r="J1254" s="16" t="n">
        <x:v>1.125</x:v>
      </x:c>
      <x:c r="K1254" s="11" t="n">
        <x:f>CHOOSE('假设'!$B$3,H1254,I1254,J1254)</x:f>
        <x:v>0.54</x:v>
      </x:c>
      <x:c r="L1254" s="11" t="n">
        <x:f>K1254*'管线假设'!E287*'管线假设'!F287*'管线假设'!G287*IF(E1254="USD",'管线假设'!I287,1)-AM1254</x:f>
        <x:v>0.135</x:v>
      </x:c>
      <x:c r="M1254" s="11" t="n">
        <x:f>'管线假设'!H287</x:f>
        <x:v>0.14</x:v>
      </x:c>
      <x:c r="N1254" s="11" t="n">
        <x:f>IF(G1254,L1254*AN1254/(1+M1254)^F1254,0)</x:f>
        <x:v>0.09111298294791918</x:v>
      </x:c>
      <x:c r="AJ1254" t="n">
        <x:v>0</x:v>
      </x:c>
      <x:c r="AK1254" t="n">
        <x:v>0</x:v>
      </x:c>
      <x:c r="AL1254" t="n">
        <x:v>0</x:v>
      </x:c>
      <x:c r="AM1254" t="n">
        <x:f>CHOOSE('假设'!$B$3,AJ1254,AK1254,AL1254)</x:f>
        <x:v>0</x:v>
      </x:c>
      <x:c r="AN1254" t="n">
        <x:v>1</x:v>
      </x:c>
    </x:row>
    <x:row r="1255" ht="23" customHeight="1">
      <x:c r="A1255" s="11" t="str">
        <x:v>688302.SH</x:v>
      </x:c>
      <x:c r="B1255" s="11" t="str">
        <x:v>2026年底</x:v>
      </x:c>
      <x:c r="C1255" s="11" t="str">
        <x:v>hc1119_later</x:v>
      </x:c>
      <x:c r="D1255" s="11" t="str">
        <x:v>2030-12-31</x:v>
      </x:c>
      <x:c r="E1255" s="11" t="str">
        <x:v>CNY</x:v>
      </x:c>
      <x:c r="F1255" s="11" t="n">
        <x:v>4</x:v>
      </x:c>
      <x:c r="G1255" s="26" t="b">
        <x:v>1</x:v>
      </x:c>
      <x:c r="H1255" s="16" t="n">
        <x:v>0.36000000000000004</x:v>
      </x:c>
      <x:c r="I1255" s="16" t="n">
        <x:v>0.7200000000000001</x:v>
      </x:c>
      <x:c r="J1255" s="16" t="n">
        <x:v>1.5</x:v>
      </x:c>
      <x:c r="K1255" s="11" t="n">
        <x:f>CHOOSE('假设'!$B$3,H1255,I1255,J1255)</x:f>
        <x:v>0.7200000000000001</x:v>
      </x:c>
      <x:c r="L1255" s="11" t="n">
        <x:f>K1255*'管线假设'!E287*'管线假设'!F287*'管线假设'!G287*IF(E1255="USD",'管线假设'!I287,1)-AM1255</x:f>
        <x:v>0.18000000000000002</x:v>
      </x:c>
      <x:c r="M1255" s="11" t="n">
        <x:f>'管线假设'!H287</x:f>
        <x:v>0.14</x:v>
      </x:c>
      <x:c r="N1255" s="11" t="n">
        <x:f>IF(G1255,L1255*AN1255/(1+M1255)^F1255,0)</x:f>
        <x:v>0.1065744499266341</x:v>
      </x:c>
      <x:c r="AJ1255" t="n">
        <x:v>0</x:v>
      </x:c>
      <x:c r="AK1255" t="n">
        <x:v>0</x:v>
      </x:c>
      <x:c r="AL1255" t="n">
        <x:v>0</x:v>
      </x:c>
      <x:c r="AM1255" t="n">
        <x:f>CHOOSE('假设'!$B$3,AJ1255,AK1255,AL1255)</x:f>
        <x:v>0</x:v>
      </x:c>
      <x:c r="AN1255" t="n">
        <x:v>1</x:v>
      </x:c>
    </x:row>
    <x:row r="1256" ht="23" customHeight="1">
      <x:c r="A1256" s="11" t="str">
        <x:v>688302.SH</x:v>
      </x:c>
      <x:c r="B1256" s="11" t="str">
        <x:v>2026年底</x:v>
      </x:c>
      <x:c r="C1256" s="11" t="str">
        <x:v>hc1119_later</x:v>
      </x:c>
      <x:c r="D1256" s="11" t="str">
        <x:v>2031-12-31</x:v>
      </x:c>
      <x:c r="E1256" s="11" t="str">
        <x:v>CNY</x:v>
      </x:c>
      <x:c r="F1256" s="11" t="n">
        <x:v>4.999315537303217</x:v>
      </x:c>
      <x:c r="G1256" s="26" t="b">
        <x:v>1</x:v>
      </x:c>
      <x:c r="H1256" s="16" t="n">
        <x:v>0.45</x:v>
      </x:c>
      <x:c r="I1256" s="16" t="n">
        <x:v>0.9</x:v>
      </x:c>
      <x:c r="J1256" s="16" t="n">
        <x:v>1.305</x:v>
      </x:c>
      <x:c r="K1256" s="11" t="n">
        <x:f>CHOOSE('假设'!$B$3,H1256,I1256,J1256)</x:f>
        <x:v>0.9</x:v>
      </x:c>
      <x:c r="L1256" s="11" t="n">
        <x:f>K1256*'管线假设'!E287*'管线假设'!F287*'管线假设'!G287*IF(E1256="USD",'管线假设'!I287,1)-AM1256</x:f>
        <x:v>0.225</x:v>
      </x:c>
      <x:c r="M1256" s="11" t="n">
        <x:f>'管线假设'!H287</x:f>
        <x:v>0.14</x:v>
      </x:c>
      <x:c r="N1256" s="11" t="n">
        <x:f>IF(G1256,L1256*AN1256/(1+M1256)^F1256,0)</x:f>
        <x:v>0.11686843023434382</x:v>
      </x:c>
      <x:c r="AJ1256" t="n">
        <x:v>0</x:v>
      </x:c>
      <x:c r="AK1256" t="n">
        <x:v>0</x:v>
      </x:c>
      <x:c r="AL1256" t="n">
        <x:v>0</x:v>
      </x:c>
      <x:c r="AM1256" t="n">
        <x:f>CHOOSE('假设'!$B$3,AJ1256,AK1256,AL1256)</x:f>
        <x:v>0</x:v>
      </x:c>
      <x:c r="AN1256" t="n">
        <x:v>1</x:v>
      </x:c>
    </x:row>
    <x:row r="1257" ht="23" customHeight="1">
      <x:c r="A1257" s="11" t="str">
        <x:v>688302.SH</x:v>
      </x:c>
      <x:c r="B1257" s="11" t="str">
        <x:v>2026年底</x:v>
      </x:c>
      <x:c r="C1257" s="11" t="str">
        <x:v>hc1119_later</x:v>
      </x:c>
      <x:c r="D1257" s="11" t="str">
        <x:v>2032-12-31</x:v>
      </x:c>
      <x:c r="E1257" s="11" t="str">
        <x:v>CNY</x:v>
      </x:c>
      <x:c r="F1257" s="11" t="n">
        <x:v>6.0013689253935665</x:v>
      </x:c>
      <x:c r="G1257" s="26" t="b">
        <x:v>1</x:v>
      </x:c>
      <x:c r="H1257" s="16" t="n">
        <x:v>0.3915</x:v>
      </x:c>
      <x:c r="I1257" s="16" t="n">
        <x:v>0.783</x:v>
      </x:c>
      <x:c r="J1257" s="16" t="n">
        <x:v>1.1099999999999999</x:v>
      </x:c>
      <x:c r="K1257" s="11" t="n">
        <x:f>CHOOSE('假设'!$B$3,H1257,I1257,J1257)</x:f>
        <x:v>0.783</x:v>
      </x:c>
      <x:c r="L1257" s="11" t="n">
        <x:f>K1257*'管线假设'!E287*'管线假设'!F287*'管线假设'!G287*IF(E1257="USD",'管线假设'!I287,1)-AM1257</x:f>
        <x:v>0.19575</x:v>
      </x:c>
      <x:c r="M1257" s="11" t="n">
        <x:f>'管线假设'!H287</x:f>
        <x:v>0.14</x:v>
      </x:c>
      <x:c r="N1257" s="11" t="n">
        <x:f>IF(G1257,L1257*AN1257/(1+M1257)^F1257,0)</x:f>
        <x:v>0.0891650719216172</x:v>
      </x:c>
      <x:c r="AJ1257" t="n">
        <x:v>0</x:v>
      </x:c>
      <x:c r="AK1257" t="n">
        <x:v>0</x:v>
      </x:c>
      <x:c r="AL1257" t="n">
        <x:v>0</x:v>
      </x:c>
      <x:c r="AM1257" t="n">
        <x:f>CHOOSE('假设'!$B$3,AJ1257,AK1257,AL1257)</x:f>
        <x:v>0</x:v>
      </x:c>
      <x:c r="AN1257" t="n">
        <x:v>1</x:v>
      </x:c>
    </x:row>
    <x:row r="1258" ht="23" customHeight="1">
      <x:c r="A1258" s="11" t="str">
        <x:v>688302.SH</x:v>
      </x:c>
      <x:c r="B1258" s="11" t="str">
        <x:v>2026年底</x:v>
      </x:c>
      <x:c r="C1258" s="11" t="str">
        <x:v>hc1119_later</x:v>
      </x:c>
      <x:c r="D1258" s="11" t="str">
        <x:v>2033-12-31</x:v>
      </x:c>
      <x:c r="E1258" s="11" t="str">
        <x:v>CNY</x:v>
      </x:c>
      <x:c r="F1258" s="11" t="n">
        <x:v>7.000684462696783</x:v>
      </x:c>
      <x:c r="G1258" s="26" t="b">
        <x:v>1</x:v>
      </x:c>
      <x:c r="H1258" s="16" t="n">
        <x:v>0.333</x:v>
      </x:c>
      <x:c r="I1258" s="16" t="n">
        <x:v>0.666</x:v>
      </x:c>
      <x:c r="J1258" s="16" t="n">
        <x:v>0.915</x:v>
      </x:c>
      <x:c r="K1258" s="11" t="n">
        <x:f>CHOOSE('假设'!$B$3,H1258,I1258,J1258)</x:f>
        <x:v>0.666</x:v>
      </x:c>
      <x:c r="L1258" s="11" t="n">
        <x:f>K1258*'管线假设'!E287*'管线假设'!F287*'管线假设'!G287*IF(E1258="USD",'管线假设'!I287,1)-AM1258</x:f>
        <x:v>0.1665</x:v>
      </x:c>
      <x:c r="M1258" s="11" t="n">
        <x:f>'管线假设'!H287</x:f>
        <x:v>0.14</x:v>
      </x:c>
      <x:c r="N1258" s="11" t="n">
        <x:f>IF(G1258,L1258*AN1258/(1+M1258)^F1258,0)</x:f>
        <x:v>0.06653364693285617</x:v>
      </x:c>
      <x:c r="AJ1258" t="n">
        <x:v>0</x:v>
      </x:c>
      <x:c r="AK1258" t="n">
        <x:v>0</x:v>
      </x:c>
      <x:c r="AL1258" t="n">
        <x:v>0</x:v>
      </x:c>
      <x:c r="AM1258" t="n">
        <x:f>CHOOSE('假设'!$B$3,AJ1258,AK1258,AL1258)</x:f>
        <x:v>0</x:v>
      </x:c>
      <x:c r="AN1258" t="n">
        <x:v>1</x:v>
      </x:c>
    </x:row>
    <x:row r="1259" ht="23" customHeight="1">
      <x:c r="A1259" s="11" t="str">
        <x:v>688302.SH</x:v>
      </x:c>
      <x:c r="B1259" s="11" t="str">
        <x:v>2026年底</x:v>
      </x:c>
      <x:c r="C1259" s="11" t="str">
        <x:v>hc1119_later</x:v>
      </x:c>
      <x:c r="D1259" s="11" t="str">
        <x:v>2034-12-31</x:v>
      </x:c>
      <x:c r="E1259" s="11" t="str">
        <x:v>CNY</x:v>
      </x:c>
      <x:c r="F1259" s="11" t="n">
        <x:v>8</x:v>
      </x:c>
      <x:c r="G1259" s="26" t="b">
        <x:v>1</x:v>
      </x:c>
      <x:c r="H1259" s="16" t="n">
        <x:v>0.2745</x:v>
      </x:c>
      <x:c r="I1259" s="16" t="n">
        <x:v>0.549</x:v>
      </x:c>
      <x:c r="J1259" s="16" t="n">
        <x:v>0.72</x:v>
      </x:c>
      <x:c r="K1259" s="11" t="n">
        <x:f>CHOOSE('假设'!$B$3,H1259,I1259,J1259)</x:f>
        <x:v>0.549</x:v>
      </x:c>
      <x:c r="L1259" s="11" t="n">
        <x:f>K1259*'管线假设'!E287*'管线假设'!F287*'管线假设'!G287*IF(E1259="USD",'管线假设'!I287,1)-AM1259</x:f>
        <x:v>0.13725</x:v>
      </x:c>
      <x:c r="M1259" s="11" t="n">
        <x:f>'管线假设'!H287</x:f>
        <x:v>0.14</x:v>
      </x:c>
      <x:c r="N1259" s="11" t="n">
        <x:f>IF(G1259,L1259*AN1259/(1+M1259)^F1259,0)</x:f>
        <x:v>0.04811423027826688</x:v>
      </x:c>
      <x:c r="AJ1259" t="n">
        <x:v>0</x:v>
      </x:c>
      <x:c r="AK1259" t="n">
        <x:v>0</x:v>
      </x:c>
      <x:c r="AL1259" t="n">
        <x:v>0</x:v>
      </x:c>
      <x:c r="AM1259" t="n">
        <x:f>CHOOSE('假设'!$B$3,AJ1259,AK1259,AL1259)</x:f>
        <x:v>0</x:v>
      </x:c>
      <x:c r="AN1259" t="n">
        <x:v>1</x:v>
      </x:c>
    </x:row>
    <x:row r="1260" ht="23" customHeight="1">
      <x:c r="A1260" s="11" t="str">
        <x:v>688302.SH</x:v>
      </x:c>
      <x:c r="B1260" s="11" t="str">
        <x:v>2026年底</x:v>
      </x:c>
      <x:c r="C1260" s="11" t="str">
        <x:v>hc1119_later</x:v>
      </x:c>
      <x:c r="D1260" s="11" t="str">
        <x:v>2035-12-31</x:v>
      </x:c>
      <x:c r="E1260" s="11" t="str">
        <x:v>CNY</x:v>
      </x:c>
      <x:c r="F1260" s="11" t="n">
        <x:v>8.999315537303216</x:v>
      </x:c>
      <x:c r="G1260" s="26" t="b">
        <x:v>1</x:v>
      </x:c>
      <x:c r="H1260" s="16" t="n">
        <x:v>0.216</x:v>
      </x:c>
      <x:c r="I1260" s="16" t="n">
        <x:v>0.432</x:v>
      </x:c>
      <x:c r="J1260" s="16" t="n">
        <x:v>0.5249999999999999</x:v>
      </x:c>
      <x:c r="K1260" s="11" t="n">
        <x:f>CHOOSE('假设'!$B$3,H1260,I1260,J1260)</x:f>
        <x:v>0.432</x:v>
      </x:c>
      <x:c r="L1260" s="11" t="n">
        <x:f>K1260*'管线假设'!E287*'管线假设'!F287*'管线假设'!G287*IF(E1260="USD",'管线假设'!I287,1)-AM1260</x:f>
        <x:v>0.108</x:v>
      </x:c>
      <x:c r="M1260" s="11" t="n">
        <x:f>'管线假设'!H287</x:f>
        <x:v>0.14</x:v>
      </x:c>
      <x:c r="N1260" s="11" t="n">
        <x:f>IF(G1260,L1260*AN1260/(1+M1260)^F1260,0)</x:f>
        <x:v>0.03321383644270509</x:v>
      </x:c>
      <x:c r="AJ1260" t="n">
        <x:v>0</x:v>
      </x:c>
      <x:c r="AK1260" t="n">
        <x:v>0</x:v>
      </x:c>
      <x:c r="AL1260" t="n">
        <x:v>0</x:v>
      </x:c>
      <x:c r="AM1260" t="n">
        <x:f>CHOOSE('假设'!$B$3,AJ1260,AK1260,AL1260)</x:f>
        <x:v>0</x:v>
      </x:c>
      <x:c r="AN1260" t="n">
        <x:v>1</x:v>
      </x:c>
    </x:row>
    <x:row r="1261" ht="23" customHeight="1">
      <x:c r="A1261" s="11" t="str">
        <x:v>688302.SH</x:v>
      </x:c>
      <x:c r="B1261" s="11" t="str">
        <x:v>2026年底</x:v>
      </x:c>
      <x:c r="C1261" s="11" t="str">
        <x:v>hc1119_later</x:v>
      </x:c>
      <x:c r="D1261" s="11" t="str">
        <x:v>2036-12-31</x:v>
      </x:c>
      <x:c r="E1261" s="11" t="str">
        <x:v>CNY</x:v>
      </x:c>
      <x:c r="F1261" s="11" t="n">
        <x:v>10.001368925393566</x:v>
      </x:c>
      <x:c r="G1261" s="26" t="b">
        <x:v>1</x:v>
      </x:c>
      <x:c r="H1261" s="16" t="n">
        <x:v>0.1575</x:v>
      </x:c>
      <x:c r="I1261" s="16" t="n">
        <x:v>0.315</x:v>
      </x:c>
      <x:c r="J1261" s="16" t="n">
        <x:v>0.32999999999999996</x:v>
      </x:c>
      <x:c r="K1261" s="11" t="n">
        <x:f>CHOOSE('假设'!$B$3,H1261,I1261,J1261)</x:f>
        <x:v>0.315</x:v>
      </x:c>
      <x:c r="L1261" s="11" t="n">
        <x:f>K1261*'管线假设'!E287*'管线假设'!F287*'管线假设'!G287*IF(E1261="USD",'管线假设'!I287,1)-AM1261</x:f>
        <x:v>0.07875</x:v>
      </x:c>
      <x:c r="M1261" s="11" t="n">
        <x:f>'管线假设'!H287</x:f>
        <x:v>0.14</x:v>
      </x:c>
      <x:c r="N1261" s="11" t="n">
        <x:f>IF(G1261,L1261*AN1261/(1+M1261)^F1261,0)</x:f>
        <x:v>0.02123851514974644</x:v>
      </x:c>
      <x:c r="AJ1261" t="n">
        <x:v>0</x:v>
      </x:c>
      <x:c r="AK1261" t="n">
        <x:v>0</x:v>
      </x:c>
      <x:c r="AL1261" t="n">
        <x:v>0</x:v>
      </x:c>
      <x:c r="AM1261" t="n">
        <x:f>CHOOSE('假设'!$B$3,AJ1261,AK1261,AL1261)</x:f>
        <x:v>0</x:v>
      </x:c>
      <x:c r="AN1261" t="n">
        <x:v>1</x:v>
      </x:c>
    </x:row>
    <x:row r="1262" ht="23" customHeight="1">
      <x:c r="A1262" s="11" t="str">
        <x:v>688302.SH</x:v>
      </x:c>
      <x:c r="B1262" s="11" t="str">
        <x:v>2026年底</x:v>
      </x:c>
      <x:c r="C1262" s="11" t="str">
        <x:v>hc1119_later</x:v>
      </x:c>
      <x:c r="D1262" s="11" t="str">
        <x:v>2037-12-31</x:v>
      </x:c>
      <x:c r="E1262" s="11" t="str">
        <x:v>CNY</x:v>
      </x:c>
      <x:c r="F1262" s="11" t="n">
        <x:v>11.000684462696784</x:v>
      </x:c>
      <x:c r="G1262" s="26" t="b">
        <x:v>1</x:v>
      </x:c>
      <x:c r="H1262" s="16" t="n">
        <x:v>0.09899999999999999</x:v>
      </x:c>
      <x:c r="I1262" s="16" t="n">
        <x:v>0.19799999999999998</x:v>
      </x:c>
      <x:c r="J1262" s="16" t="n">
        <x:v>0.13499999999999995</x:v>
      </x:c>
      <x:c r="K1262" s="11" t="n">
        <x:f>CHOOSE('假设'!$B$3,H1262,I1262,J1262)</x:f>
        <x:v>0.19799999999999998</x:v>
      </x:c>
      <x:c r="L1262" s="11" t="n">
        <x:f>K1262*'管线假设'!E287*'管线假设'!F287*'管线假设'!G287*IF(E1262="USD",'管线假设'!I287,1)-AM1262</x:f>
        <x:v>0.049499999999999995</x:v>
      </x:c>
      <x:c r="M1262" s="11" t="n">
        <x:f>'管线假设'!H287</x:f>
        <x:v>0.14</x:v>
      </x:c>
      <x:c r="N1262" s="11" t="n">
        <x:f>IF(G1262,L1262*AN1262/(1+M1262)^F1262,0)</x:f>
        <x:v>0.011711509768513866</x:v>
      </x:c>
      <x:c r="AJ1262" t="n">
        <x:v>0</x:v>
      </x:c>
      <x:c r="AK1262" t="n">
        <x:v>0</x:v>
      </x:c>
      <x:c r="AL1262" t="n">
        <x:v>0</x:v>
      </x:c>
      <x:c r="AM1262" t="n">
        <x:f>CHOOSE('假设'!$B$3,AJ1262,AK1262,AL1262)</x:f>
        <x:v>0</x:v>
      </x:c>
      <x:c r="AN1262" t="n">
        <x:v>1</x:v>
      </x:c>
    </x:row>
    <x:row r="1263" ht="23" customHeight="1">
      <x:c r="A1263" s="11" t="str">
        <x:v>688302.SH</x:v>
      </x:c>
      <x:c r="B1263" s="11" t="str">
        <x:v>2026年底</x:v>
      </x:c>
      <x:c r="C1263" s="11" t="str">
        <x:v>hc1119_later</x:v>
      </x:c>
      <x:c r="D1263" s="11" t="str">
        <x:v>2038-12-31</x:v>
      </x:c>
      <x:c r="E1263" s="11" t="str">
        <x:v>CNY</x:v>
      </x:c>
      <x:c r="F1263" s="11" t="n">
        <x:v>12</x:v>
      </x:c>
      <x:c r="G1263" s="26" t="b">
        <x:v>1</x:v>
      </x:c>
      <x:c r="H1263" s="16" t="n">
        <x:v>0.04049999999999999</x:v>
      </x:c>
      <x:c r="I1263" s="16" t="n">
        <x:v>0.08099999999999997</x:v>
      </x:c>
      <x:c r="J1263" s="16" t="n">
        <x:v>0</x:v>
      </x:c>
      <x:c r="K1263" s="11" t="n">
        <x:f>CHOOSE('假设'!$B$3,H1263,I1263,J1263)</x:f>
        <x:v>0.08099999999999997</x:v>
      </x:c>
      <x:c r="L1263" s="11" t="n">
        <x:f>K1263*'管线假设'!E287*'管线假设'!F287*'管线假设'!G287*IF(E1263="USD",'管线假设'!I287,1)-AM1263</x:f>
        <x:v>0.020249999999999994</x:v>
      </x:c>
      <x:c r="M1263" s="11" t="n">
        <x:f>'管线假设'!H287</x:f>
        <x:v>0.14</x:v>
      </x:c>
      <x:c r="N1263" s="11" t="n">
        <x:f>IF(G1263,L1263*AN1263/(1+M1263)^F1263,0)</x:f>
        <x:v>0.00420307182422106</x:v>
      </x:c>
      <x:c r="AJ1263" t="n">
        <x:v>0</x:v>
      </x:c>
      <x:c r="AK1263" t="n">
        <x:v>0</x:v>
      </x:c>
      <x:c r="AL1263" t="n">
        <x:v>0</x:v>
      </x:c>
      <x:c r="AM1263" t="n">
        <x:f>CHOOSE('假设'!$B$3,AJ1263,AK1263,AL1263)</x:f>
        <x:v>0</x:v>
      </x:c>
      <x:c r="AN1263" t="n">
        <x:v>1</x:v>
      </x:c>
    </x:row>
    <x:row r="1264" ht="23" customHeight="1">
      <x:c r="A1264" s="11" t="str">
        <x:v>688302.SH</x:v>
      </x:c>
      <x:c r="B1264" s="11" t="str">
        <x:v>2026年底</x:v>
      </x:c>
      <x:c r="C1264" s="11" t="str">
        <x:v>hc1119_later</x:v>
      </x:c>
      <x:c r="D1264" s="11" t="str">
        <x:v>2039-12-31</x:v>
      </x:c>
      <x:c r="E1264" s="11" t="str">
        <x:v>CNY</x:v>
      </x:c>
      <x:c r="F1264" s="11" t="n">
        <x:v>12.999315537303216</x:v>
      </x:c>
      <x:c r="G1264" s="26" t="b">
        <x:v>1</x:v>
      </x:c>
      <x:c r="H1264" s="16" t="n">
        <x:v>0</x:v>
      </x:c>
      <x:c r="I1264" s="16" t="n">
        <x:v>0</x:v>
      </x:c>
      <x:c r="J1264" s="16" t="n">
        <x:v>0</x:v>
      </x:c>
      <x:c r="K1264" s="11" t="n">
        <x:f>CHOOSE('假设'!$B$3,H1264,I1264,J1264)</x:f>
        <x:v>0</x:v>
      </x:c>
      <x:c r="L1264" s="11" t="n">
        <x:f>K1264*'管线假设'!E287*'管线假设'!F287*'管线假设'!G287*IF(E1264="USD",'管线假设'!I287,1)-AM1264</x:f>
        <x:v>0</x:v>
      </x:c>
      <x:c r="M1264" s="11" t="n">
        <x:f>'管线假设'!H287</x:f>
        <x:v>0.14</x:v>
      </x:c>
      <x:c r="N1264" s="11" t="n">
        <x:f>IF(G1264,L1264*AN1264/(1+M1264)^F1264,0)</x:f>
        <x:v>0</x:v>
      </x:c>
      <x:c r="AJ1264" t="n">
        <x:v>0</x:v>
      </x:c>
      <x:c r="AK1264" t="n">
        <x:v>0</x:v>
      </x:c>
      <x:c r="AL1264" t="n">
        <x:v>0</x:v>
      </x:c>
      <x:c r="AM1264" t="n">
        <x:f>CHOOSE('假设'!$B$3,AJ1264,AK1264,AL1264)</x:f>
        <x:v>0</x:v>
      </x:c>
      <x:c r="AN1264" t="n">
        <x:v>1</x:v>
      </x:c>
    </x:row>
    <x:row r="1265" ht="23" customHeight="1">
      <x:c r="A1265" s="11" t="str">
        <x:v>688302.SH</x:v>
      </x:c>
      <x:c r="B1265" s="11" t="str">
        <x:v>2026年底</x:v>
      </x:c>
      <x:c r="C1265" s="11" t="str">
        <x:v>hc1119_later</x:v>
      </x:c>
      <x:c r="D1265" s="11" t="str">
        <x:v>2040-12-31</x:v>
      </x:c>
      <x:c r="E1265" s="11" t="str">
        <x:v>CNY</x:v>
      </x:c>
      <x:c r="F1265" s="11" t="n">
        <x:v>14.001368925393566</x:v>
      </x:c>
      <x:c r="G1265" s="26" t="b">
        <x:v>1</x:v>
      </x:c>
      <x:c r="H1265" s="16" t="n">
        <x:v>0</x:v>
      </x:c>
      <x:c r="I1265" s="16" t="n">
        <x:v>0</x:v>
      </x:c>
      <x:c r="J1265" s="16" t="n">
        <x:v>0</x:v>
      </x:c>
      <x:c r="K1265" s="11" t="n">
        <x:f>CHOOSE('假设'!$B$3,H1265,I1265,J1265)</x:f>
        <x:v>0</x:v>
      </x:c>
      <x:c r="L1265" s="11" t="n">
        <x:f>K1265*'管线假设'!E287*'管线假设'!F287*'管线假设'!G287*IF(E1265="USD",'管线假设'!I287,1)-AM1265</x:f>
        <x:v>0</x:v>
      </x:c>
      <x:c r="M1265" s="11" t="n">
        <x:f>'管线假设'!H287</x:f>
        <x:v>0.14</x:v>
      </x:c>
      <x:c r="N1265" s="11" t="n">
        <x:f>IF(G1265,L1265*AN1265/(1+M1265)^F1265,0)</x:f>
        <x:v>0</x:v>
      </x:c>
      <x:c r="AJ1265" t="n">
        <x:v>0</x:v>
      </x:c>
      <x:c r="AK1265" t="n">
        <x:v>0</x:v>
      </x:c>
      <x:c r="AL1265" t="n">
        <x:v>0</x:v>
      </x:c>
      <x:c r="AM1265" t="n">
        <x:f>CHOOSE('假设'!$B$3,AJ1265,AK1265,AL1265)</x:f>
        <x:v>0</x:v>
      </x:c>
      <x:c r="AN1265" t="n">
        <x:v>1</x:v>
      </x:c>
    </x:row>
    <x:row r="1266" ht="23" customHeight="1">
      <x:c r="A1266" s="11" t="str">
        <x:v>688302.SH</x:v>
      </x:c>
      <x:c r="B1266" s="11" t="str">
        <x:v>2026年底</x:v>
      </x:c>
      <x:c r="C1266" s="11" t="str">
        <x:v>hc1119_later</x:v>
      </x:c>
      <x:c r="D1266" s="11" t="str">
        <x:v>2041-12-31</x:v>
      </x:c>
      <x:c r="E1266" s="11" t="str">
        <x:v>CNY</x:v>
      </x:c>
      <x:c r="F1266" s="11" t="n">
        <x:v>15.000684462696784</x:v>
      </x:c>
      <x:c r="G1266" s="26" t="b">
        <x:v>1</x:v>
      </x:c>
      <x:c r="H1266" s="16" t="n">
        <x:v>0</x:v>
      </x:c>
      <x:c r="I1266" s="16" t="n">
        <x:v>0</x:v>
      </x:c>
      <x:c r="J1266" s="16" t="n">
        <x:v>0</x:v>
      </x:c>
      <x:c r="K1266" s="11" t="n">
        <x:f>CHOOSE('假设'!$B$3,H1266,I1266,J1266)</x:f>
        <x:v>0</x:v>
      </x:c>
      <x:c r="L1266" s="11" t="n">
        <x:f>K1266*'管线假设'!E287*'管线假设'!F287*'管线假设'!G287*IF(E1266="USD",'管线假设'!I287,1)-AM1266</x:f>
        <x:v>0</x:v>
      </x:c>
      <x:c r="M1266" s="11" t="n">
        <x:f>'管线假设'!H287</x:f>
        <x:v>0.14</x:v>
      </x:c>
      <x:c r="N1266" s="11" t="n">
        <x:f>IF(G1266,L1266*AN1266/(1+M1266)^F1266,0)</x:f>
        <x:v>0</x:v>
      </x:c>
      <x:c r="AJ1266" t="n">
        <x:v>0</x:v>
      </x:c>
      <x:c r="AK1266" t="n">
        <x:v>0</x:v>
      </x:c>
      <x:c r="AL1266" t="n">
        <x:v>0</x:v>
      </x:c>
      <x:c r="AM1266" t="n">
        <x:f>CHOOSE('假设'!$B$3,AJ1266,AK1266,AL1266)</x:f>
        <x:v>0</x:v>
      </x:c>
      <x:c r="AN1266" t="n">
        <x:v>1</x:v>
      </x:c>
    </x:row>
    <x:row r="1267" ht="23" customHeight="1">
      <x:c r="A1267" s="11" t="str">
        <x:v>688302.SH</x:v>
      </x:c>
      <x:c r="B1267" s="11" t="str">
        <x:v>2026年底</x:v>
      </x:c>
      <x:c r="C1267" s="11" t="str">
        <x:v>hc1119_later</x:v>
      </x:c>
      <x:c r="D1267" s="11" t="str">
        <x:v>2042-12-31</x:v>
      </x:c>
      <x:c r="E1267" s="11" t="str">
        <x:v>CNY</x:v>
      </x:c>
      <x:c r="F1267" s="11" t="n">
        <x:v>16</x:v>
      </x:c>
      <x:c r="G1267" s="26" t="b">
        <x:v>1</x:v>
      </x:c>
      <x:c r="H1267" s="16" t="n">
        <x:v>0</x:v>
      </x:c>
      <x:c r="I1267" s="16" t="n">
        <x:v>0</x:v>
      </x:c>
      <x:c r="J1267" s="16" t="n">
        <x:v>0</x:v>
      </x:c>
      <x:c r="K1267" s="11" t="n">
        <x:f>CHOOSE('假设'!$B$3,H1267,I1267,J1267)</x:f>
        <x:v>0</x:v>
      </x:c>
      <x:c r="L1267" s="11" t="n">
        <x:f>K1267*'管线假设'!E287*'管线假设'!F287*'管线假设'!G287*IF(E1267="USD",'管线假设'!I287,1)-AM1267</x:f>
        <x:v>0</x:v>
      </x:c>
      <x:c r="M1267" s="11" t="n">
        <x:f>'管线假设'!H287</x:f>
        <x:v>0.14</x:v>
      </x:c>
      <x:c r="N1267" s="11" t="n">
        <x:f>IF(G1267,L1267*AN1267/(1+M1267)^F1267,0)</x:f>
        <x:v>0</x:v>
      </x:c>
      <x:c r="AJ1267" t="n">
        <x:v>0</x:v>
      </x:c>
      <x:c r="AK1267" t="n">
        <x:v>0</x:v>
      </x:c>
      <x:c r="AL1267" t="n">
        <x:v>0</x:v>
      </x:c>
      <x:c r="AM1267" t="n">
        <x:f>CHOOSE('假设'!$B$3,AJ1267,AK1267,AL1267)</x:f>
        <x:v>0</x:v>
      </x:c>
      <x:c r="AN1267" t="n">
        <x:v>1</x:v>
      </x:c>
    </x:row>
    <x:row r="1268" ht="23" customHeight="1">
      <x:c r="A1268" s="11" t="str">
        <x:v>688302.SH</x:v>
      </x:c>
      <x:c r="B1268" s="11" t="str">
        <x:v>2026年底</x:v>
      </x:c>
      <x:c r="C1268" s="11" t="str">
        <x:v>hc1119_later</x:v>
      </x:c>
      <x:c r="D1268" s="11" t="str">
        <x:v>2043-12-31</x:v>
      </x:c>
      <x:c r="E1268" s="11" t="str">
        <x:v>CNY</x:v>
      </x:c>
      <x:c r="F1268" s="11" t="n">
        <x:v>16.999315537303218</x:v>
      </x:c>
      <x:c r="G1268" s="26" t="b">
        <x:v>1</x:v>
      </x:c>
      <x:c r="H1268" s="16" t="n">
        <x:v>0</x:v>
      </x:c>
      <x:c r="I1268" s="16" t="n">
        <x:v>0</x:v>
      </x:c>
      <x:c r="J1268" s="16" t="n">
        <x:v>0</x:v>
      </x:c>
      <x:c r="K1268" s="11" t="n">
        <x:f>CHOOSE('假设'!$B$3,H1268,I1268,J1268)</x:f>
        <x:v>0</x:v>
      </x:c>
      <x:c r="L1268" s="11" t="n">
        <x:f>K1268*'管线假设'!E287*'管线假设'!F287*'管线假设'!G287*IF(E1268="USD",'管线假设'!I287,1)-AM1268</x:f>
        <x:v>0</x:v>
      </x:c>
      <x:c r="M1268" s="11" t="n">
        <x:f>'管线假设'!H287</x:f>
        <x:v>0.14</x:v>
      </x:c>
      <x:c r="N1268" s="11" t="n">
        <x:f>IF(G1268,L1268*AN1268/(1+M1268)^F1268,0)</x:f>
        <x:v>0</x:v>
      </x:c>
      <x:c r="AJ1268" t="n">
        <x:v>0</x:v>
      </x:c>
      <x:c r="AK1268" t="n">
        <x:v>0</x:v>
      </x:c>
      <x:c r="AL1268" t="n">
        <x:v>0</x:v>
      </x:c>
      <x:c r="AM1268" t="n">
        <x:f>CHOOSE('假设'!$B$3,AJ1268,AK1268,AL1268)</x:f>
        <x:v>0</x:v>
      </x:c>
      <x:c r="AN1268" t="n">
        <x:v>1</x:v>
      </x:c>
    </x:row>
    <x:row r="1269" ht="23" customHeight="1">
      <x:c r="A1269" s="11" t="str">
        <x:v>688302.SH</x:v>
      </x:c>
      <x:c r="B1269" s="11" t="str">
        <x:v>2026年底</x:v>
      </x:c>
      <x:c r="C1269" s="11" t="str">
        <x:v>hc1119_later</x:v>
      </x:c>
      <x:c r="D1269" s="11" t="str">
        <x:v>2044-12-31</x:v>
      </x:c>
      <x:c r="E1269" s="11" t="str">
        <x:v>CNY</x:v>
      </x:c>
      <x:c r="F1269" s="11" t="n">
        <x:v>18.001368925393567</x:v>
      </x:c>
      <x:c r="G1269" s="26" t="b">
        <x:v>1</x:v>
      </x:c>
      <x:c r="H1269" s="16" t="n">
        <x:v>0</x:v>
      </x:c>
      <x:c r="I1269" s="16" t="n">
        <x:v>0</x:v>
      </x:c>
      <x:c r="J1269" s="16" t="n">
        <x:v>0</x:v>
      </x:c>
      <x:c r="K1269" s="11" t="n">
        <x:f>CHOOSE('假设'!$B$3,H1269,I1269,J1269)</x:f>
        <x:v>0</x:v>
      </x:c>
      <x:c r="L1269" s="11" t="n">
        <x:f>K1269*'管线假设'!E287*'管线假设'!F287*'管线假设'!G287*IF(E1269="USD",'管线假设'!I287,1)-AM1269</x:f>
        <x:v>0</x:v>
      </x:c>
      <x:c r="M1269" s="11" t="n">
        <x:f>'管线假设'!H287</x:f>
        <x:v>0.14</x:v>
      </x:c>
      <x:c r="N1269" s="11" t="n">
        <x:f>IF(G1269,L1269*AN1269/(1+M1269)^F1269,0)</x:f>
        <x:v>0</x:v>
      </x:c>
      <x:c r="AJ1269" t="n">
        <x:v>0</x:v>
      </x:c>
      <x:c r="AK1269" t="n">
        <x:v>0</x:v>
      </x:c>
      <x:c r="AL1269" t="n">
        <x:v>0</x:v>
      </x:c>
      <x:c r="AM1269" t="n">
        <x:f>CHOOSE('假设'!$B$3,AJ1269,AK1269,AL1269)</x:f>
        <x:v>0</x:v>
      </x:c>
      <x:c r="AN1269" t="n">
        <x:v>1</x:v>
      </x:c>
    </x:row>
    <x:row r="1270" ht="23" customHeight="1">
      <x:c r="A1270" s="11" t="str">
        <x:v>688302.SH</x:v>
      </x:c>
      <x:c r="B1270" s="11" t="str">
        <x:v>2026年底</x:v>
      </x:c>
      <x:c r="C1270" s="11" t="str">
        <x:v>hc1119_later</x:v>
      </x:c>
      <x:c r="D1270" s="11" t="str">
        <x:v>2045-12-31</x:v>
      </x:c>
      <x:c r="E1270" s="11" t="str">
        <x:v>CNY</x:v>
      </x:c>
      <x:c r="F1270" s="11" t="n">
        <x:v>19.000684462696782</x:v>
      </x:c>
      <x:c r="G1270" s="26" t="b">
        <x:v>1</x:v>
      </x:c>
      <x:c r="H1270" s="16" t="n">
        <x:v>0</x:v>
      </x:c>
      <x:c r="I1270" s="16" t="n">
        <x:v>0</x:v>
      </x:c>
      <x:c r="J1270" s="16" t="n">
        <x:v>0</x:v>
      </x:c>
      <x:c r="K1270" s="11" t="n">
        <x:f>CHOOSE('假设'!$B$3,H1270,I1270,J1270)</x:f>
        <x:v>0</x:v>
      </x:c>
      <x:c r="L1270" s="11" t="n">
        <x:f>K1270*'管线假设'!E287*'管线假设'!F287*'管线假设'!G287*IF(E1270="USD",'管线假设'!I287,1)-AM1270</x:f>
        <x:v>0</x:v>
      </x:c>
      <x:c r="M1270" s="11" t="n">
        <x:f>'管线假设'!H287</x:f>
        <x:v>0.14</x:v>
      </x:c>
      <x:c r="N1270" s="11" t="n">
        <x:f>IF(G1270,L1270*AN1270/(1+M1270)^F1270,0)</x:f>
        <x:v>0</x:v>
      </x:c>
      <x:c r="AJ1270" t="n">
        <x:v>0</x:v>
      </x:c>
      <x:c r="AK1270" t="n">
        <x:v>0</x:v>
      </x:c>
      <x:c r="AL1270" t="n">
        <x:v>0</x:v>
      </x:c>
      <x:c r="AM1270" t="n">
        <x:f>CHOOSE('假设'!$B$3,AJ1270,AK1270,AL1270)</x:f>
        <x:v>0</x:v>
      </x:c>
      <x:c r="AN1270" t="n">
        <x:v>1</x:v>
      </x:c>
    </x:row>
    <x:row r="1271" ht="23" customHeight="1">
      <x:c r="A1271" s="11" t="str">
        <x:v>688302.SH</x:v>
      </x:c>
      <x:c r="B1271" s="11" t="str">
        <x:v>2026年底</x:v>
      </x:c>
      <x:c r="C1271" s="11" t="str">
        <x:v>hc1119_bcr</x:v>
      </x:c>
      <x:c r="D1271" s="11" t="str">
        <x:v>2027-12-31</x:v>
      </x:c>
      <x:c r="E1271" s="11" t="str">
        <x:v>CNY</x:v>
      </x:c>
      <x:c r="F1271" s="11" t="n">
        <x:v>0.999315537303217</x:v>
      </x:c>
      <x:c r="G1271" s="26" t="b">
        <x:v>1</x:v>
      </x:c>
      <x:c r="H1271" s="16" t="n">
        <x:v>0</x:v>
      </x:c>
      <x:c r="I1271" s="16" t="n">
        <x:v>0</x:v>
      </x:c>
      <x:c r="J1271" s="16" t="n">
        <x:v>0</x:v>
      </x:c>
      <x:c r="K1271" s="11" t="n">
        <x:f>CHOOSE('假设'!$B$3,H1271,I1271,J1271)</x:f>
        <x:v>0</x:v>
      </x:c>
      <x:c r="L1271" s="11" t="n">
        <x:f>K1271*'管线假设'!E291*'管线假设'!F291*'管线假设'!G291*IF(E1271="USD",'管线假设'!I291,1)-AM1271</x:f>
        <x:v>0</x:v>
      </x:c>
      <x:c r="M1271" s="11" t="n">
        <x:f>'管线假设'!H291</x:f>
        <x:v>0.14</x:v>
      </x:c>
      <x:c r="N1271" s="11" t="n">
        <x:f>IF(G1271,L1271*AN1271/(1+M1271)^F1271,0)</x:f>
        <x:v>0</x:v>
      </x:c>
      <x:c r="AJ1271" t="n">
        <x:v>0</x:v>
      </x:c>
      <x:c r="AK1271" t="n">
        <x:v>0</x:v>
      </x:c>
      <x:c r="AL1271" t="n">
        <x:v>0</x:v>
      </x:c>
      <x:c r="AM1271" t="n">
        <x:f>CHOOSE('假设'!$B$3,AJ1271,AK1271,AL1271)</x:f>
        <x:v>0</x:v>
      </x:c>
      <x:c r="AN1271" t="n">
        <x:v>1</x:v>
      </x:c>
    </x:row>
    <x:row r="1272" ht="23" customHeight="1">
      <x:c r="A1272" s="11" t="str">
        <x:v>688302.SH</x:v>
      </x:c>
      <x:c r="B1272" s="11" t="str">
        <x:v>2026年底</x:v>
      </x:c>
      <x:c r="C1272" s="11" t="str">
        <x:v>hc1119_bcr</x:v>
      </x:c>
      <x:c r="D1272" s="11" t="str">
        <x:v>2028-12-31</x:v>
      </x:c>
      <x:c r="E1272" s="11" t="str">
        <x:v>CNY</x:v>
      </x:c>
      <x:c r="F1272" s="11" t="n">
        <x:v>2.001368925393566</x:v>
      </x:c>
      <x:c r="G1272" s="26" t="b">
        <x:v>1</x:v>
      </x:c>
      <x:c r="H1272" s="16" t="n">
        <x:v>0</x:v>
      </x:c>
      <x:c r="I1272" s="16" t="n">
        <x:v>0</x:v>
      </x:c>
      <x:c r="J1272" s="16" t="n">
        <x:v>0</x:v>
      </x:c>
      <x:c r="K1272" s="11" t="n">
        <x:f>CHOOSE('假设'!$B$3,H1272,I1272,J1272)</x:f>
        <x:v>0</x:v>
      </x:c>
      <x:c r="L1272" s="11" t="n">
        <x:f>K1272*'管线假设'!E291*'管线假设'!F291*'管线假设'!G291*IF(E1272="USD",'管线假设'!I291,1)-AM1272</x:f>
        <x:v>0</x:v>
      </x:c>
      <x:c r="M1272" s="11" t="n">
        <x:f>'管线假设'!H291</x:f>
        <x:v>0.14</x:v>
      </x:c>
      <x:c r="N1272" s="11" t="n">
        <x:f>IF(G1272,L1272*AN1272/(1+M1272)^F1272,0)</x:f>
        <x:v>0</x:v>
      </x:c>
      <x:c r="AJ1272" t="n">
        <x:v>0</x:v>
      </x:c>
      <x:c r="AK1272" t="n">
        <x:v>0</x:v>
      </x:c>
      <x:c r="AL1272" t="n">
        <x:v>0</x:v>
      </x:c>
      <x:c r="AM1272" t="n">
        <x:f>CHOOSE('假设'!$B$3,AJ1272,AK1272,AL1272)</x:f>
        <x:v>0</x:v>
      </x:c>
      <x:c r="AN1272" t="n">
        <x:v>1</x:v>
      </x:c>
    </x:row>
    <x:row r="1273" ht="23" customHeight="1">
      <x:c r="A1273" s="11" t="str">
        <x:v>688302.SH</x:v>
      </x:c>
      <x:c r="B1273" s="11" t="str">
        <x:v>2026年底</x:v>
      </x:c>
      <x:c r="C1273" s="11" t="str">
        <x:v>hc1119_bcr</x:v>
      </x:c>
      <x:c r="D1273" s="11" t="str">
        <x:v>2029-12-31</x:v>
      </x:c>
      <x:c r="E1273" s="11" t="str">
        <x:v>CNY</x:v>
      </x:c>
      <x:c r="F1273" s="11" t="n">
        <x:v>3.0006844626967832</x:v>
      </x:c>
      <x:c r="G1273" s="26" t="b">
        <x:v>1</x:v>
      </x:c>
      <x:c r="H1273" s="16" t="n">
        <x:v>0</x:v>
      </x:c>
      <x:c r="I1273" s="16" t="n">
        <x:v>0</x:v>
      </x:c>
      <x:c r="J1273" s="16" t="n">
        <x:v>0.5</x:v>
      </x:c>
      <x:c r="K1273" s="11" t="n">
        <x:f>CHOOSE('假设'!$B$3,H1273,I1273,J1273)</x:f>
        <x:v>0</x:v>
      </x:c>
      <x:c r="L1273" s="11" t="n">
        <x:f>K1273*'管线假设'!E291*'管线假设'!F291*'管线假设'!G291*IF(E1273="USD",'管线假设'!I291,1)-AM1273</x:f>
        <x:v>0</x:v>
      </x:c>
      <x:c r="M1273" s="11" t="n">
        <x:f>'管线假设'!H291</x:f>
        <x:v>0.14</x:v>
      </x:c>
      <x:c r="N1273" s="11" t="n">
        <x:f>IF(G1273,L1273*AN1273/(1+M1273)^F1273,0)</x:f>
        <x:v>0</x:v>
      </x:c>
      <x:c r="AJ1273" t="n">
        <x:v>0</x:v>
      </x:c>
      <x:c r="AK1273" t="n">
        <x:v>0</x:v>
      </x:c>
      <x:c r="AL1273" t="n">
        <x:v>0</x:v>
      </x:c>
      <x:c r="AM1273" t="n">
        <x:f>CHOOSE('假设'!$B$3,AJ1273,AK1273,AL1273)</x:f>
        <x:v>0</x:v>
      </x:c>
      <x:c r="AN1273" t="n">
        <x:v>1</x:v>
      </x:c>
    </x:row>
    <x:row r="1274" ht="23" customHeight="1">
      <x:c r="A1274" s="11" t="str">
        <x:v>688302.SH</x:v>
      </x:c>
      <x:c r="B1274" s="11" t="str">
        <x:v>2026年底</x:v>
      </x:c>
      <x:c r="C1274" s="11" t="str">
        <x:v>hc1119_bcr</x:v>
      </x:c>
      <x:c r="D1274" s="11" t="str">
        <x:v>2030-12-31</x:v>
      </x:c>
      <x:c r="E1274" s="11" t="str">
        <x:v>CNY</x:v>
      </x:c>
      <x:c r="F1274" s="11" t="n">
        <x:v>4</x:v>
      </x:c>
      <x:c r="G1274" s="26" t="b">
        <x:v>1</x:v>
      </x:c>
      <x:c r="H1274" s="16" t="n">
        <x:v>0</x:v>
      </x:c>
      <x:c r="I1274" s="16" t="n">
        <x:v>0</x:v>
      </x:c>
      <x:c r="J1274" s="16" t="n">
        <x:v>1</x:v>
      </x:c>
      <x:c r="K1274" s="11" t="n">
        <x:f>CHOOSE('假设'!$B$3,H1274,I1274,J1274)</x:f>
        <x:v>0</x:v>
      </x:c>
      <x:c r="L1274" s="11" t="n">
        <x:f>K1274*'管线假设'!E291*'管线假设'!F291*'管线假设'!G291*IF(E1274="USD",'管线假设'!I291,1)-AM1274</x:f>
        <x:v>0</x:v>
      </x:c>
      <x:c r="M1274" s="11" t="n">
        <x:f>'管线假设'!H291</x:f>
        <x:v>0.14</x:v>
      </x:c>
      <x:c r="N1274" s="11" t="n">
        <x:f>IF(G1274,L1274*AN1274/(1+M1274)^F1274,0)</x:f>
        <x:v>0</x:v>
      </x:c>
      <x:c r="AJ1274" t="n">
        <x:v>0</x:v>
      </x:c>
      <x:c r="AK1274" t="n">
        <x:v>0</x:v>
      </x:c>
      <x:c r="AL1274" t="n">
        <x:v>0</x:v>
      </x:c>
      <x:c r="AM1274" t="n">
        <x:f>CHOOSE('假设'!$B$3,AJ1274,AK1274,AL1274)</x:f>
        <x:v>0</x:v>
      </x:c>
      <x:c r="AN1274" t="n">
        <x:v>1</x:v>
      </x:c>
    </x:row>
    <x:row r="1275" ht="23" customHeight="1">
      <x:c r="A1275" s="11" t="str">
        <x:v>688302.SH</x:v>
      </x:c>
      <x:c r="B1275" s="11" t="str">
        <x:v>2026年底</x:v>
      </x:c>
      <x:c r="C1275" s="11" t="str">
        <x:v>hc1119_bcr</x:v>
      </x:c>
      <x:c r="D1275" s="11" t="str">
        <x:v>2031-12-31</x:v>
      </x:c>
      <x:c r="E1275" s="11" t="str">
        <x:v>CNY</x:v>
      </x:c>
      <x:c r="F1275" s="11" t="n">
        <x:v>4.999315537303217</x:v>
      </x:c>
      <x:c r="G1275" s="26" t="b">
        <x:v>1</x:v>
      </x:c>
      <x:c r="H1275" s="16" t="n">
        <x:v>0</x:v>
      </x:c>
      <x:c r="I1275" s="16" t="n">
        <x:v>0.3</x:v>
      </x:c>
      <x:c r="J1275" s="16" t="n">
        <x:v>1.5</x:v>
      </x:c>
      <x:c r="K1275" s="11" t="n">
        <x:f>CHOOSE('假设'!$B$3,H1275,I1275,J1275)</x:f>
        <x:v>0.3</x:v>
      </x:c>
      <x:c r="L1275" s="11" t="n">
        <x:f>K1275*'管线假设'!E291*'管线假设'!F291*'管线假设'!G291*IF(E1275="USD",'管线假设'!I291,1)-AM1275</x:f>
        <x:v>0.033749999999999995</x:v>
      </x:c>
      <x:c r="M1275" s="11" t="n">
        <x:f>'管线假设'!H291</x:f>
        <x:v>0.14</x:v>
      </x:c>
      <x:c r="N1275" s="11" t="n">
        <x:f>IF(G1275,L1275*AN1275/(1+M1275)^F1275,0)</x:f>
        <x:v>0.01753026453515157</x:v>
      </x:c>
      <x:c r="AJ1275" t="n">
        <x:v>0</x:v>
      </x:c>
      <x:c r="AK1275" t="n">
        <x:v>0</x:v>
      </x:c>
      <x:c r="AL1275" t="n">
        <x:v>0</x:v>
      </x:c>
      <x:c r="AM1275" t="n">
        <x:f>CHOOSE('假设'!$B$3,AJ1275,AK1275,AL1275)</x:f>
        <x:v>0</x:v>
      </x:c>
      <x:c r="AN1275" t="n">
        <x:v>1</x:v>
      </x:c>
    </x:row>
    <x:row r="1276" ht="23" customHeight="1">
      <x:c r="A1276" s="11" t="str">
        <x:v>688302.SH</x:v>
      </x:c>
      <x:c r="B1276" s="11" t="str">
        <x:v>2026年底</x:v>
      </x:c>
      <x:c r="C1276" s="11" t="str">
        <x:v>hc1119_bcr</x:v>
      </x:c>
      <x:c r="D1276" s="11" t="str">
        <x:v>2032-12-31</x:v>
      </x:c>
      <x:c r="E1276" s="11" t="str">
        <x:v>CNY</x:v>
      </x:c>
      <x:c r="F1276" s="11" t="n">
        <x:v>6.0013689253935665</x:v>
      </x:c>
      <x:c r="G1276" s="26" t="b">
        <x:v>1</x:v>
      </x:c>
      <x:c r="H1276" s="16" t="n">
        <x:v>0</x:v>
      </x:c>
      <x:c r="I1276" s="16" t="n">
        <x:v>0.6</x:v>
      </x:c>
      <x:c r="J1276" s="16" t="n">
        <x:v>2</x:v>
      </x:c>
      <x:c r="K1276" s="11" t="n">
        <x:f>CHOOSE('假设'!$B$3,H1276,I1276,J1276)</x:f>
        <x:v>0.6</x:v>
      </x:c>
      <x:c r="L1276" s="11" t="n">
        <x:f>K1276*'管线假设'!E291*'管线假设'!F291*'管线假设'!G291*IF(E1276="USD",'管线假设'!I291,1)-AM1276</x:f>
        <x:v>0.06749999999999999</x:v>
      </x:c>
      <x:c r="M1276" s="11" t="n">
        <x:f>'管线假设'!H291</x:f>
        <x:v>0.14</x:v>
      </x:c>
      <x:c r="N1276" s="11" t="n">
        <x:f>IF(G1276,L1276*AN1276/(1+M1276)^F1276,0)</x:f>
        <x:v>0.030746576524695583</x:v>
      </x:c>
      <x:c r="AJ1276" t="n">
        <x:v>0</x:v>
      </x:c>
      <x:c r="AK1276" t="n">
        <x:v>0</x:v>
      </x:c>
      <x:c r="AL1276" t="n">
        <x:v>0</x:v>
      </x:c>
      <x:c r="AM1276" t="n">
        <x:f>CHOOSE('假设'!$B$3,AJ1276,AK1276,AL1276)</x:f>
        <x:v>0</x:v>
      </x:c>
      <x:c r="AN1276" t="n">
        <x:v>1</x:v>
      </x:c>
    </x:row>
    <x:row r="1277" ht="23" customHeight="1">
      <x:c r="A1277" s="11" t="str">
        <x:v>688302.SH</x:v>
      </x:c>
      <x:c r="B1277" s="11" t="str">
        <x:v>2026年底</x:v>
      </x:c>
      <x:c r="C1277" s="11" t="str">
        <x:v>hc1119_bcr</x:v>
      </x:c>
      <x:c r="D1277" s="11" t="str">
        <x:v>2033-12-31</x:v>
      </x:c>
      <x:c r="E1277" s="11" t="str">
        <x:v>CNY</x:v>
      </x:c>
      <x:c r="F1277" s="11" t="n">
        <x:v>7.000684462696783</x:v>
      </x:c>
      <x:c r="G1277" s="26" t="b">
        <x:v>1</x:v>
      </x:c>
      <x:c r="H1277" s="16" t="n">
        <x:v>0</x:v>
      </x:c>
      <x:c r="I1277" s="16" t="n">
        <x:v>0.9</x:v>
      </x:c>
      <x:c r="J1277" s="16" t="n">
        <x:v>2.5</x:v>
      </x:c>
      <x:c r="K1277" s="11" t="n">
        <x:f>CHOOSE('假设'!$B$3,H1277,I1277,J1277)</x:f>
        <x:v>0.9</x:v>
      </x:c>
      <x:c r="L1277" s="11" t="n">
        <x:f>K1277*'管线假设'!E291*'管线假设'!F291*'管线假设'!G291*IF(E1277="USD",'管线假设'!I291,1)-AM1277</x:f>
        <x:v>0.10124999999999999</x:v>
      </x:c>
      <x:c r="M1277" s="11" t="n">
        <x:f>'管线假设'!H291</x:f>
        <x:v>0.14</x:v>
      </x:c>
      <x:c r="N1277" s="11" t="n">
        <x:f>IF(G1277,L1277*AN1277/(1+M1277)^F1277,0)</x:f>
        <x:v>0.040459650161871995</x:v>
      </x:c>
      <x:c r="AJ1277" t="n">
        <x:v>0</x:v>
      </x:c>
      <x:c r="AK1277" t="n">
        <x:v>0</x:v>
      </x:c>
      <x:c r="AL1277" t="n">
        <x:v>0</x:v>
      </x:c>
      <x:c r="AM1277" t="n">
        <x:f>CHOOSE('假设'!$B$3,AJ1277,AK1277,AL1277)</x:f>
        <x:v>0</x:v>
      </x:c>
      <x:c r="AN1277" t="n">
        <x:v>1</x:v>
      </x:c>
    </x:row>
    <x:row r="1278" ht="23" customHeight="1">
      <x:c r="A1278" s="11" t="str">
        <x:v>688302.SH</x:v>
      </x:c>
      <x:c r="B1278" s="11" t="str">
        <x:v>2026年底</x:v>
      </x:c>
      <x:c r="C1278" s="11" t="str">
        <x:v>hc1119_bcr</x:v>
      </x:c>
      <x:c r="D1278" s="11" t="str">
        <x:v>2034-12-31</x:v>
      </x:c>
      <x:c r="E1278" s="11" t="str">
        <x:v>CNY</x:v>
      </x:c>
      <x:c r="F1278" s="11" t="n">
        <x:v>8</x:v>
      </x:c>
      <x:c r="G1278" s="26" t="b">
        <x:v>1</x:v>
      </x:c>
      <x:c r="H1278" s="16" t="n">
        <x:v>0.12</x:v>
      </x:c>
      <x:c r="I1278" s="16" t="n">
        <x:v>1.2</x:v>
      </x:c>
      <x:c r="J1278" s="16" t="n">
        <x:v>3</x:v>
      </x:c>
      <x:c r="K1278" s="11" t="n">
        <x:f>CHOOSE('假设'!$B$3,H1278,I1278,J1278)</x:f>
        <x:v>1.2</x:v>
      </x:c>
      <x:c r="L1278" s="11" t="n">
        <x:f>K1278*'管线假设'!E291*'管线假设'!F291*'管线假设'!G291*IF(E1278="USD",'管线假设'!I291,1)-AM1278</x:f>
        <x:v>0.13499999999999998</x:v>
      </x:c>
      <x:c r="M1278" s="11" t="n">
        <x:f>'管线假设'!H291</x:f>
        <x:v>0.14</x:v>
      </x:c>
      <x:c r="N1278" s="11" t="n">
        <x:f>IF(G1278,L1278*AN1278/(1+M1278)^F1278,0)</x:f>
        <x:v>0.04732547240485266</x:v>
      </x:c>
      <x:c r="AJ1278" t="n">
        <x:v>0</x:v>
      </x:c>
      <x:c r="AK1278" t="n">
        <x:v>0</x:v>
      </x:c>
      <x:c r="AL1278" t="n">
        <x:v>0</x:v>
      </x:c>
      <x:c r="AM1278" t="n">
        <x:f>CHOOSE('假设'!$B$3,AJ1278,AK1278,AL1278)</x:f>
        <x:v>0</x:v>
      </x:c>
      <x:c r="AN1278" t="n">
        <x:v>1</x:v>
      </x:c>
    </x:row>
    <x:row r="1279" ht="23" customHeight="1">
      <x:c r="A1279" s="11" t="str">
        <x:v>688302.SH</x:v>
      </x:c>
      <x:c r="B1279" s="11" t="str">
        <x:v>2026年底</x:v>
      </x:c>
      <x:c r="C1279" s="11" t="str">
        <x:v>hc1119_bcr</x:v>
      </x:c>
      <x:c r="D1279" s="11" t="str">
        <x:v>2035-12-31</x:v>
      </x:c>
      <x:c r="E1279" s="11" t="str">
        <x:v>CNY</x:v>
      </x:c>
      <x:c r="F1279" s="11" t="n">
        <x:v>8.999315537303216</x:v>
      </x:c>
      <x:c r="G1279" s="26" t="b">
        <x:v>1</x:v>
      </x:c>
      <x:c r="H1279" s="16" t="n">
        <x:v>0.24</x:v>
      </x:c>
      <x:c r="I1279" s="16" t="n">
        <x:v>1.5</x:v>
      </x:c>
      <x:c r="J1279" s="16" t="n">
        <x:v>2.61</x:v>
      </x:c>
      <x:c r="K1279" s="11" t="n">
        <x:f>CHOOSE('假设'!$B$3,H1279,I1279,J1279)</x:f>
        <x:v>1.5</x:v>
      </x:c>
      <x:c r="L1279" s="11" t="n">
        <x:f>K1279*'管线假设'!E291*'管线假设'!F291*'管线假设'!G291*IF(E1279="USD",'管线假设'!I291,1)-AM1279</x:f>
        <x:v>0.16874999999999998</x:v>
      </x:c>
      <x:c r="M1279" s="11" t="n">
        <x:f>'管线假设'!H291</x:f>
        <x:v>0.14</x:v>
      </x:c>
      <x:c r="N1279" s="11" t="n">
        <x:f>IF(G1279,L1279*AN1279/(1+M1279)^F1279,0)</x:f>
        <x:v>0.051896619441726695</x:v>
      </x:c>
      <x:c r="AJ1279" t="n">
        <x:v>0</x:v>
      </x:c>
      <x:c r="AK1279" t="n">
        <x:v>0</x:v>
      </x:c>
      <x:c r="AL1279" t="n">
        <x:v>0</x:v>
      </x:c>
      <x:c r="AM1279" t="n">
        <x:f>CHOOSE('假设'!$B$3,AJ1279,AK1279,AL1279)</x:f>
        <x:v>0</x:v>
      </x:c>
      <x:c r="AN1279" t="n">
        <x:v>1</x:v>
      </x:c>
    </x:row>
    <x:row r="1280" ht="23" customHeight="1">
      <x:c r="A1280" s="11" t="str">
        <x:v>688302.SH</x:v>
      </x:c>
      <x:c r="B1280" s="11" t="str">
        <x:v>2026年底</x:v>
      </x:c>
      <x:c r="C1280" s="11" t="str">
        <x:v>hc1119_bcr</x:v>
      </x:c>
      <x:c r="D1280" s="11" t="str">
        <x:v>2036-12-31</x:v>
      </x:c>
      <x:c r="E1280" s="11" t="str">
        <x:v>CNY</x:v>
      </x:c>
      <x:c r="F1280" s="11" t="n">
        <x:v>10.001368925393566</x:v>
      </x:c>
      <x:c r="G1280" s="26" t="b">
        <x:v>1</x:v>
      </x:c>
      <x:c r="H1280" s="16" t="n">
        <x:v>0.36</x:v>
      </x:c>
      <x:c r="I1280" s="16" t="n">
        <x:v>1.8</x:v>
      </x:c>
      <x:c r="J1280" s="16" t="n">
        <x:v>2.2199999999999998</x:v>
      </x:c>
      <x:c r="K1280" s="11" t="n">
        <x:f>CHOOSE('假设'!$B$3,H1280,I1280,J1280)</x:f>
        <x:v>1.8</x:v>
      </x:c>
      <x:c r="L1280" s="11" t="n">
        <x:f>K1280*'管线假设'!E291*'管线假设'!F291*'管线假设'!G291*IF(E1280="USD",'管线假设'!I291,1)-AM1280</x:f>
        <x:v>0.20249999999999999</x:v>
      </x:c>
      <x:c r="M1280" s="11" t="n">
        <x:f>'管线假设'!H291</x:f>
        <x:v>0.14</x:v>
      </x:c>
      <x:c r="N1280" s="11" t="n">
        <x:f>IF(G1280,L1280*AN1280/(1+M1280)^F1280,0)</x:f>
        <x:v>0.05461332467077656</x:v>
      </x:c>
      <x:c r="AJ1280" t="n">
        <x:v>0</x:v>
      </x:c>
      <x:c r="AK1280" t="n">
        <x:v>0</x:v>
      </x:c>
      <x:c r="AL1280" t="n">
        <x:v>0</x:v>
      </x:c>
      <x:c r="AM1280" t="n">
        <x:f>CHOOSE('假设'!$B$3,AJ1280,AK1280,AL1280)</x:f>
        <x:v>0</x:v>
      </x:c>
      <x:c r="AN1280" t="n">
        <x:v>1</x:v>
      </x:c>
    </x:row>
    <x:row r="1281" ht="23" customHeight="1">
      <x:c r="A1281" s="11" t="str">
        <x:v>688302.SH</x:v>
      </x:c>
      <x:c r="B1281" s="11" t="str">
        <x:v>2026年底</x:v>
      </x:c>
      <x:c r="C1281" s="11" t="str">
        <x:v>hc1119_bcr</x:v>
      </x:c>
      <x:c r="D1281" s="11" t="str">
        <x:v>2037-12-31</x:v>
      </x:c>
      <x:c r="E1281" s="11" t="str">
        <x:v>CNY</x:v>
      </x:c>
      <x:c r="F1281" s="11" t="n">
        <x:v>11.000684462696784</x:v>
      </x:c>
      <x:c r="G1281" s="26" t="b">
        <x:v>1</x:v>
      </x:c>
      <x:c r="H1281" s="16" t="n">
        <x:v>0.48</x:v>
      </x:c>
      <x:c r="I1281" s="16" t="n">
        <x:v>1.566</x:v>
      </x:c>
      <x:c r="J1281" s="16" t="n">
        <x:v>1.83</x:v>
      </x:c>
      <x:c r="K1281" s="11" t="n">
        <x:f>CHOOSE('假设'!$B$3,H1281,I1281,J1281)</x:f>
        <x:v>1.566</x:v>
      </x:c>
      <x:c r="L1281" s="11" t="n">
        <x:f>K1281*'管线假设'!E291*'管线假设'!F291*'管线假设'!G291*IF(E1281="USD",'管线假设'!I291,1)-AM1281</x:f>
        <x:v>0.176175</x:v>
      </x:c>
      <x:c r="M1281" s="11" t="n">
        <x:f>'管线假设'!H291</x:f>
        <x:v>0.14</x:v>
      </x:c>
      <x:c r="N1281" s="11" t="n">
        <x:f>IF(G1281,L1281*AN1281/(1+M1281)^F1281,0)</x:f>
        <x:v>0.04168232794884708</x:v>
      </x:c>
      <x:c r="AJ1281" t="n">
        <x:v>0</x:v>
      </x:c>
      <x:c r="AK1281" t="n">
        <x:v>0</x:v>
      </x:c>
      <x:c r="AL1281" t="n">
        <x:v>0</x:v>
      </x:c>
      <x:c r="AM1281" t="n">
        <x:f>CHOOSE('假设'!$B$3,AJ1281,AK1281,AL1281)</x:f>
        <x:v>0</x:v>
      </x:c>
      <x:c r="AN1281" t="n">
        <x:v>1</x:v>
      </x:c>
    </x:row>
    <x:row r="1282" ht="23" customHeight="1">
      <x:c r="A1282" s="11" t="str">
        <x:v>688302.SH</x:v>
      </x:c>
      <x:c r="B1282" s="11" t="str">
        <x:v>2026年底</x:v>
      </x:c>
      <x:c r="C1282" s="11" t="str">
        <x:v>hc1119_bcr</x:v>
      </x:c>
      <x:c r="D1282" s="11" t="str">
        <x:v>2038-12-31</x:v>
      </x:c>
      <x:c r="E1282" s="11" t="str">
        <x:v>CNY</x:v>
      </x:c>
      <x:c r="F1282" s="11" t="n">
        <x:v>12</x:v>
      </x:c>
      <x:c r="G1282" s="26" t="b">
        <x:v>1</x:v>
      </x:c>
      <x:c r="H1282" s="16" t="n">
        <x:v>0.6</x:v>
      </x:c>
      <x:c r="I1282" s="16" t="n">
        <x:v>1.332</x:v>
      </x:c>
      <x:c r="J1282" s="16" t="n">
        <x:v>1.44</x:v>
      </x:c>
      <x:c r="K1282" s="11" t="n">
        <x:f>CHOOSE('假设'!$B$3,H1282,I1282,J1282)</x:f>
        <x:v>1.332</x:v>
      </x:c>
      <x:c r="L1282" s="11" t="n">
        <x:f>K1282*'管线假设'!E291*'管线假设'!F291*'管线假设'!G291*IF(E1282="USD",'管线假设'!I291,1)-AM1282</x:f>
        <x:v>0.14984999999999998</x:v>
      </x:c>
      <x:c r="M1282" s="11" t="n">
        <x:f>'管线假设'!H291</x:f>
        <x:v>0.14</x:v>
      </x:c>
      <x:c r="N1282" s="11" t="n">
        <x:f>IF(G1282,L1282*AN1282/(1+M1282)^F1282,0)</x:f>
        <x:v>0.031102731499235856</x:v>
      </x:c>
      <x:c r="AJ1282" t="n">
        <x:v>0</x:v>
      </x:c>
      <x:c r="AK1282" t="n">
        <x:v>0</x:v>
      </x:c>
      <x:c r="AL1282" t="n">
        <x:v>0</x:v>
      </x:c>
      <x:c r="AM1282" t="n">
        <x:f>CHOOSE('假设'!$B$3,AJ1282,AK1282,AL1282)</x:f>
        <x:v>0</x:v>
      </x:c>
      <x:c r="AN1282" t="n">
        <x:v>1</x:v>
      </x:c>
    </x:row>
    <x:row r="1283" ht="23" customHeight="1">
      <x:c r="A1283" s="11" t="str">
        <x:v>688302.SH</x:v>
      </x:c>
      <x:c r="B1283" s="11" t="str">
        <x:v>2026年底</x:v>
      </x:c>
      <x:c r="C1283" s="11" t="str">
        <x:v>hc1119_bcr</x:v>
      </x:c>
      <x:c r="D1283" s="11" t="str">
        <x:v>2039-12-31</x:v>
      </x:c>
      <x:c r="E1283" s="11" t="str">
        <x:v>CNY</x:v>
      </x:c>
      <x:c r="F1283" s="11" t="n">
        <x:v>12.999315537303216</x:v>
      </x:c>
      <x:c r="G1283" s="26" t="b">
        <x:v>1</x:v>
      </x:c>
      <x:c r="H1283" s="16" t="n">
        <x:v>0.522</x:v>
      </x:c>
      <x:c r="I1283" s="16" t="n">
        <x:v>1.098</x:v>
      </x:c>
      <x:c r="J1283" s="16" t="n">
        <x:v>1.0499999999999998</x:v>
      </x:c>
      <x:c r="K1283" s="11" t="n">
        <x:f>CHOOSE('假设'!$B$3,H1283,I1283,J1283)</x:f>
        <x:v>1.098</x:v>
      </x:c>
      <x:c r="L1283" s="11" t="n">
        <x:f>K1283*'管线假设'!E291*'管线假设'!F291*'管线假设'!G291*IF(E1283="USD",'管线假设'!I291,1)-AM1283</x:f>
        <x:v>0.123525</x:v>
      </x:c>
      <x:c r="M1283" s="11" t="n">
        <x:f>'管线假设'!H291</x:f>
        <x:v>0.14</x:v>
      </x:c>
      <x:c r="N1283" s="11" t="n">
        <x:f>IF(G1283,L1283*AN1283/(1+M1283)^F1283,0)</x:f>
        <x:v>0.022492138258219142</x:v>
      </x:c>
      <x:c r="AJ1283" t="n">
        <x:v>0</x:v>
      </x:c>
      <x:c r="AK1283" t="n">
        <x:v>0</x:v>
      </x:c>
      <x:c r="AL1283" t="n">
        <x:v>0</x:v>
      </x:c>
      <x:c r="AM1283" t="n">
        <x:f>CHOOSE('假设'!$B$3,AJ1283,AK1283,AL1283)</x:f>
        <x:v>0</x:v>
      </x:c>
      <x:c r="AN1283" t="n">
        <x:v>1</x:v>
      </x:c>
    </x:row>
    <x:row r="1284" ht="23" customHeight="1">
      <x:c r="A1284" s="11" t="str">
        <x:v>688302.SH</x:v>
      </x:c>
      <x:c r="B1284" s="11" t="str">
        <x:v>2026年底</x:v>
      </x:c>
      <x:c r="C1284" s="11" t="str">
        <x:v>hc1119_bcr</x:v>
      </x:c>
      <x:c r="D1284" s="11" t="str">
        <x:v>2040-12-31</x:v>
      </x:c>
      <x:c r="E1284" s="11" t="str">
        <x:v>CNY</x:v>
      </x:c>
      <x:c r="F1284" s="11" t="n">
        <x:v>14.001368925393566</x:v>
      </x:c>
      <x:c r="G1284" s="26" t="b">
        <x:v>1</x:v>
      </x:c>
      <x:c r="H1284" s="16" t="n">
        <x:v>0.444</x:v>
      </x:c>
      <x:c r="I1284" s="16" t="n">
        <x:v>0.864</x:v>
      </x:c>
      <x:c r="J1284" s="16" t="n">
        <x:v>0.6599999999999999</x:v>
      </x:c>
      <x:c r="K1284" s="11" t="n">
        <x:f>CHOOSE('假设'!$B$3,H1284,I1284,J1284)</x:f>
        <x:v>0.864</x:v>
      </x:c>
      <x:c r="L1284" s="11" t="n">
        <x:f>K1284*'管线假设'!E291*'管线假设'!F291*'管线假设'!G291*IF(E1284="USD",'管线假设'!I291,1)-AM1284</x:f>
        <x:v>0.0972</x:v>
      </x:c>
      <x:c r="M1284" s="11" t="n">
        <x:f>'管线假设'!H291</x:f>
        <x:v>0.14</x:v>
      </x:c>
      <x:c r="N1284" s="11" t="n">
        <x:f>IF(G1284,L1284*AN1284/(1+M1284)^F1284,0)</x:f>
        <x:v>0.015521026761207167</x:v>
      </x:c>
      <x:c r="AJ1284" t="n">
        <x:v>0</x:v>
      </x:c>
      <x:c r="AK1284" t="n">
        <x:v>0</x:v>
      </x:c>
      <x:c r="AL1284" t="n">
        <x:v>0</x:v>
      </x:c>
      <x:c r="AM1284" t="n">
        <x:f>CHOOSE('假设'!$B$3,AJ1284,AK1284,AL1284)</x:f>
        <x:v>0</x:v>
      </x:c>
      <x:c r="AN1284" t="n">
        <x:v>1</x:v>
      </x:c>
    </x:row>
    <x:row r="1285" ht="23" customHeight="1">
      <x:c r="A1285" s="11" t="str">
        <x:v>688302.SH</x:v>
      </x:c>
      <x:c r="B1285" s="11" t="str">
        <x:v>2026年底</x:v>
      </x:c>
      <x:c r="C1285" s="11" t="str">
        <x:v>hc1119_bcr</x:v>
      </x:c>
      <x:c r="D1285" s="11" t="str">
        <x:v>2041-12-31</x:v>
      </x:c>
      <x:c r="E1285" s="11" t="str">
        <x:v>CNY</x:v>
      </x:c>
      <x:c r="F1285" s="11" t="n">
        <x:v>15.000684462696784</x:v>
      </x:c>
      <x:c r="G1285" s="26" t="b">
        <x:v>1</x:v>
      </x:c>
      <x:c r="H1285" s="16" t="n">
        <x:v>0.366</x:v>
      </x:c>
      <x:c r="I1285" s="16" t="n">
        <x:v>0.63</x:v>
      </x:c>
      <x:c r="J1285" s="16" t="n">
        <x:v>0.2699999999999999</x:v>
      </x:c>
      <x:c r="K1285" s="11" t="n">
        <x:f>CHOOSE('假设'!$B$3,H1285,I1285,J1285)</x:f>
        <x:v>0.63</x:v>
      </x:c>
      <x:c r="L1285" s="11" t="n">
        <x:f>K1285*'管线假设'!E291*'管线假设'!F291*'管线假设'!G291*IF(E1285="USD",'管线假设'!I291,1)-AM1285</x:f>
        <x:v>0.070875</x:v>
      </x:c>
      <x:c r="M1285" s="11" t="n">
        <x:f>'管线假设'!H291</x:f>
        <x:v>0.14</x:v>
      </x:c>
      <x:c r="N1285" s="11" t="n">
        <x:f>IF(G1285,L1285*AN1285/(1+M1285)^F1285,0)</x:f>
        <x:v>0.009928447704236783</x:v>
      </x:c>
      <x:c r="AJ1285" t="n">
        <x:v>0</x:v>
      </x:c>
      <x:c r="AK1285" t="n">
        <x:v>0</x:v>
      </x:c>
      <x:c r="AL1285" t="n">
        <x:v>0</x:v>
      </x:c>
      <x:c r="AM1285" t="n">
        <x:f>CHOOSE('假设'!$B$3,AJ1285,AK1285,AL1285)</x:f>
        <x:v>0</x:v>
      </x:c>
      <x:c r="AN1285" t="n">
        <x:v>1</x:v>
      </x:c>
    </x:row>
    <x:row r="1286" ht="23" customHeight="1">
      <x:c r="A1286" s="11" t="str">
        <x:v>688302.SH</x:v>
      </x:c>
      <x:c r="B1286" s="11" t="str">
        <x:v>2026年底</x:v>
      </x:c>
      <x:c r="C1286" s="11" t="str">
        <x:v>hc1119_bcr</x:v>
      </x:c>
      <x:c r="D1286" s="11" t="str">
        <x:v>2042-12-31</x:v>
      </x:c>
      <x:c r="E1286" s="11" t="str">
        <x:v>CNY</x:v>
      </x:c>
      <x:c r="F1286" s="11" t="n">
        <x:v>16</x:v>
      </x:c>
      <x:c r="G1286" s="26" t="b">
        <x:v>1</x:v>
      </x:c>
      <x:c r="H1286" s="16" t="n">
        <x:v>0.288</x:v>
      </x:c>
      <x:c r="I1286" s="16" t="n">
        <x:v>0.39599999999999996</x:v>
      </x:c>
      <x:c r="J1286" s="16" t="n">
        <x:v>0</x:v>
      </x:c>
      <x:c r="K1286" s="11" t="n">
        <x:f>CHOOSE('假设'!$B$3,H1286,I1286,J1286)</x:f>
        <x:v>0.39599999999999996</x:v>
      </x:c>
      <x:c r="L1286" s="11" t="n">
        <x:f>K1286*'管线假设'!E291*'管线假设'!F291*'管线假设'!G291*IF(E1286="USD",'管线假设'!I291,1)-AM1286</x:f>
        <x:v>0.04454999999999999</x:v>
      </x:c>
      <x:c r="M1286" s="11" t="n">
        <x:f>'管线假设'!H291</x:f>
        <x:v>0.14</x:v>
      </x:c>
      <x:c r="N1286" s="11" t="n">
        <x:f>IF(G1286,L1286*AN1286/(1+M1286)^F1286,0)</x:f>
        <x:v>0.0054748230492815955</x:v>
      </x:c>
      <x:c r="AJ1286" t="n">
        <x:v>0</x:v>
      </x:c>
      <x:c r="AK1286" t="n">
        <x:v>0</x:v>
      </x:c>
      <x:c r="AL1286" t="n">
        <x:v>0</x:v>
      </x:c>
      <x:c r="AM1286" t="n">
        <x:f>CHOOSE('假设'!$B$3,AJ1286,AK1286,AL1286)</x:f>
        <x:v>0</x:v>
      </x:c>
      <x:c r="AN1286" t="n">
        <x:v>1</x:v>
      </x:c>
    </x:row>
    <x:row r="1287" ht="23" customHeight="1">
      <x:c r="A1287" s="11" t="str">
        <x:v>688302.SH</x:v>
      </x:c>
      <x:c r="B1287" s="11" t="str">
        <x:v>2026年底</x:v>
      </x:c>
      <x:c r="C1287" s="11" t="str">
        <x:v>hc1119_bcr</x:v>
      </x:c>
      <x:c r="D1287" s="11" t="str">
        <x:v>2043-12-31</x:v>
      </x:c>
      <x:c r="E1287" s="11" t="str">
        <x:v>CNY</x:v>
      </x:c>
      <x:c r="F1287" s="11" t="n">
        <x:v>16.999315537303218</x:v>
      </x:c>
      <x:c r="G1287" s="26" t="b">
        <x:v>1</x:v>
      </x:c>
      <x:c r="H1287" s="16" t="n">
        <x:v>0.21</x:v>
      </x:c>
      <x:c r="I1287" s="16" t="n">
        <x:v>0.16199999999999995</x:v>
      </x:c>
      <x:c r="J1287" s="16" t="n">
        <x:v>0</x:v>
      </x:c>
      <x:c r="K1287" s="11" t="n">
        <x:f>CHOOSE('假设'!$B$3,H1287,I1287,J1287)</x:f>
        <x:v>0.16199999999999995</x:v>
      </x:c>
      <x:c r="L1287" s="11" t="n">
        <x:f>K1287*'管线假设'!E291*'管线假设'!F291*'管线假设'!G291*IF(E1287="USD",'管线假设'!I291,1)-AM1287</x:f>
        <x:v>0.01822499999999999</x:v>
      </x:c>
      <x:c r="M1287" s="11" t="n">
        <x:f>'管线假设'!H291</x:f>
        <x:v>0.14</x:v>
      </x:c>
      <x:c r="N1287" s="11" t="n">
        <x:f>IF(G1287,L1287*AN1287/(1+M1287)^F1287,0)</x:f>
        <x:v>0.0019648256250356603</x:v>
      </x:c>
      <x:c r="AJ1287" t="n">
        <x:v>0</x:v>
      </x:c>
      <x:c r="AK1287" t="n">
        <x:v>0</x:v>
      </x:c>
      <x:c r="AL1287" t="n">
        <x:v>0</x:v>
      </x:c>
      <x:c r="AM1287" t="n">
        <x:f>CHOOSE('假设'!$B$3,AJ1287,AK1287,AL1287)</x:f>
        <x:v>0</x:v>
      </x:c>
      <x:c r="AN1287" t="n">
        <x:v>1</x:v>
      </x:c>
    </x:row>
    <x:row r="1288" ht="23" customHeight="1">
      <x:c r="A1288" s="11" t="str">
        <x:v>688302.SH</x:v>
      </x:c>
      <x:c r="B1288" s="11" t="str">
        <x:v>2026年底</x:v>
      </x:c>
      <x:c r="C1288" s="11" t="str">
        <x:v>hc1119_bcr</x:v>
      </x:c>
      <x:c r="D1288" s="11" t="str">
        <x:v>2044-12-31</x:v>
      </x:c>
      <x:c r="E1288" s="11" t="str">
        <x:v>CNY</x:v>
      </x:c>
      <x:c r="F1288" s="11" t="n">
        <x:v>18.001368925393567</x:v>
      </x:c>
      <x:c r="G1288" s="26" t="b">
        <x:v>1</x:v>
      </x:c>
      <x:c r="H1288" s="16" t="n">
        <x:v>0.13199999999999998</x:v>
      </x:c>
      <x:c r="I1288" s="16" t="n">
        <x:v>0</x:v>
      </x:c>
      <x:c r="J1288" s="16" t="n">
        <x:v>0</x:v>
      </x:c>
      <x:c r="K1288" s="11" t="n">
        <x:f>CHOOSE('假设'!$B$3,H1288,I1288,J1288)</x:f>
        <x:v>0</x:v>
      </x:c>
      <x:c r="L1288" s="11" t="n">
        <x:f>K1288*'管线假设'!E291*'管线假设'!F291*'管线假设'!G291*IF(E1288="USD",'管线假设'!I291,1)-AM1288</x:f>
        <x:v>0</x:v>
      </x:c>
      <x:c r="M1288" s="11" t="n">
        <x:f>'管线假设'!H291</x:f>
        <x:v>0.14</x:v>
      </x:c>
      <x:c r="N1288" s="11" t="n">
        <x:f>IF(G1288,L1288*AN1288/(1+M1288)^F1288,0)</x:f>
        <x:v>0</x:v>
      </x:c>
      <x:c r="AJ1288" t="n">
        <x:v>0</x:v>
      </x:c>
      <x:c r="AK1288" t="n">
        <x:v>0</x:v>
      </x:c>
      <x:c r="AL1288" t="n">
        <x:v>0</x:v>
      </x:c>
      <x:c r="AM1288" t="n">
        <x:f>CHOOSE('假设'!$B$3,AJ1288,AK1288,AL1288)</x:f>
        <x:v>0</x:v>
      </x:c>
      <x:c r="AN1288" t="n">
        <x:v>1</x:v>
      </x:c>
    </x:row>
    <x:row r="1289" ht="23" customHeight="1">
      <x:c r="A1289" s="11" t="str">
        <x:v>688302.SH</x:v>
      </x:c>
      <x:c r="B1289" s="11" t="str">
        <x:v>2026年底</x:v>
      </x:c>
      <x:c r="C1289" s="11" t="str">
        <x:v>hc1119_bcr</x:v>
      </x:c>
      <x:c r="D1289" s="11" t="str">
        <x:v>2045-12-31</x:v>
      </x:c>
      <x:c r="E1289" s="11" t="str">
        <x:v>CNY</x:v>
      </x:c>
      <x:c r="F1289" s="11" t="n">
        <x:v>19.000684462696782</x:v>
      </x:c>
      <x:c r="G1289" s="26" t="b">
        <x:v>1</x:v>
      </x:c>
      <x:c r="H1289" s="16" t="n">
        <x:v>0.05399999999999998</x:v>
      </x:c>
      <x:c r="I1289" s="16" t="n">
        <x:v>0</x:v>
      </x:c>
      <x:c r="J1289" s="16" t="n">
        <x:v>0</x:v>
      </x:c>
      <x:c r="K1289" s="11" t="n">
        <x:f>CHOOSE('假设'!$B$3,H1289,I1289,J1289)</x:f>
        <x:v>0</x:v>
      </x:c>
      <x:c r="L1289" s="11" t="n">
        <x:f>K1289*'管线假设'!E291*'管线假设'!F291*'管线假设'!G291*IF(E1289="USD",'管线假设'!I291,1)-AM1289</x:f>
        <x:v>0</x:v>
      </x:c>
      <x:c r="M1289" s="11" t="n">
        <x:f>'管线假设'!H291</x:f>
        <x:v>0.14</x:v>
      </x:c>
      <x:c r="N1289" s="11" t="n">
        <x:f>IF(G1289,L1289*AN1289/(1+M1289)^F1289,0)</x:f>
        <x:v>0</x:v>
      </x:c>
      <x:c r="AJ1289" t="n">
        <x:v>0</x:v>
      </x:c>
      <x:c r="AK1289" t="n">
        <x:v>0</x:v>
      </x:c>
      <x:c r="AL1289" t="n">
        <x:v>0</x:v>
      </x:c>
      <x:c r="AM1289" t="n">
        <x:f>CHOOSE('假设'!$B$3,AJ1289,AK1289,AL1289)</x:f>
        <x:v>0</x:v>
      </x:c>
      <x:c r="AN1289" t="n">
        <x:v>1</x:v>
      </x:c>
    </x:row>
    <x:row r="1290" ht="23" customHeight="1">
      <x:c r="A1290" s="11" t="str">
        <x:v>688302.SH</x:v>
      </x:c>
      <x:c r="B1290" s="11" t="str">
        <x:v>2026年底</x:v>
      </x:c>
      <x:c r="C1290" s="11" t="str">
        <x:v>hp518_combo_cn</x:v>
      </x:c>
      <x:c r="D1290" s="11" t="str">
        <x:v>2027-12-31</x:v>
      </x:c>
      <x:c r="E1290" s="11" t="str">
        <x:v>CNY</x:v>
      </x:c>
      <x:c r="F1290" s="11" t="n">
        <x:v>0.999315537303217</x:v>
      </x:c>
      <x:c r="G1290" s="26" t="b">
        <x:v>1</x:v>
      </x:c>
      <x:c r="H1290" s="16" t="n">
        <x:v>0</x:v>
      </x:c>
      <x:c r="I1290" s="16" t="n">
        <x:v>0</x:v>
      </x:c>
      <x:c r="J1290" s="16" t="n">
        <x:v>0</x:v>
      </x:c>
      <x:c r="K1290" s="11" t="n">
        <x:f>CHOOSE('假设'!$B$3,H1290,I1290,J1290)</x:f>
        <x:v>0</x:v>
      </x:c>
      <x:c r="L1290" s="11" t="n">
        <x:f>K1290*'管线假设'!E295*'管线假设'!F295*'管线假设'!G295*IF(E1290="USD",'管线假设'!I295,1)-AM1290</x:f>
        <x:v>0</x:v>
      </x:c>
      <x:c r="M1290" s="11" t="n">
        <x:f>'管线假设'!H295</x:f>
        <x:v>0.14</x:v>
      </x:c>
      <x:c r="N1290" s="11" t="n">
        <x:f>IF(G1290,L1290*AN1290/(1+M1290)^F1290,0)</x:f>
        <x:v>0</x:v>
      </x:c>
      <x:c r="AJ1290" t="n">
        <x:v>0</x:v>
      </x:c>
      <x:c r="AK1290" t="n">
        <x:v>0</x:v>
      </x:c>
      <x:c r="AL1290" t="n">
        <x:v>0</x:v>
      </x:c>
      <x:c r="AM1290" t="n">
        <x:f>CHOOSE('假设'!$B$3,AJ1290,AK1290,AL1290)</x:f>
        <x:v>0</x:v>
      </x:c>
      <x:c r="AN1290" t="n">
        <x:v>1</x:v>
      </x:c>
    </x:row>
    <x:row r="1291" ht="23" customHeight="1">
      <x:c r="A1291" s="11" t="str">
        <x:v>688302.SH</x:v>
      </x:c>
      <x:c r="B1291" s="11" t="str">
        <x:v>2026年底</x:v>
      </x:c>
      <x:c r="C1291" s="11" t="str">
        <x:v>hp518_combo_cn</x:v>
      </x:c>
      <x:c r="D1291" s="11" t="str">
        <x:v>2028-12-31</x:v>
      </x:c>
      <x:c r="E1291" s="11" t="str">
        <x:v>CNY</x:v>
      </x:c>
      <x:c r="F1291" s="11" t="n">
        <x:v>2.001368925393566</x:v>
      </x:c>
      <x:c r="G1291" s="26" t="b">
        <x:v>1</x:v>
      </x:c>
      <x:c r="H1291" s="16" t="n">
        <x:v>0</x:v>
      </x:c>
      <x:c r="I1291" s="16" t="n">
        <x:v>0</x:v>
      </x:c>
      <x:c r="J1291" s="16" t="n">
        <x:v>0</x:v>
      </x:c>
      <x:c r="K1291" s="11" t="n">
        <x:f>CHOOSE('假设'!$B$3,H1291,I1291,J1291)</x:f>
        <x:v>0</x:v>
      </x:c>
      <x:c r="L1291" s="11" t="n">
        <x:f>K1291*'管线假设'!E295*'管线假设'!F295*'管线假设'!G295*IF(E1291="USD",'管线假设'!I295,1)-AM1291</x:f>
        <x:v>0</x:v>
      </x:c>
      <x:c r="M1291" s="11" t="n">
        <x:f>'管线假设'!H295</x:f>
        <x:v>0.14</x:v>
      </x:c>
      <x:c r="N1291" s="11" t="n">
        <x:f>IF(G1291,L1291*AN1291/(1+M1291)^F1291,0)</x:f>
        <x:v>0</x:v>
      </x:c>
      <x:c r="AJ1291" t="n">
        <x:v>0</x:v>
      </x:c>
      <x:c r="AK1291" t="n">
        <x:v>0</x:v>
      </x:c>
      <x:c r="AL1291" t="n">
        <x:v>0</x:v>
      </x:c>
      <x:c r="AM1291" t="n">
        <x:f>CHOOSE('假设'!$B$3,AJ1291,AK1291,AL1291)</x:f>
        <x:v>0</x:v>
      </x:c>
      <x:c r="AN1291" t="n">
        <x:v>1</x:v>
      </x:c>
    </x:row>
    <x:row r="1292" ht="23" customHeight="1">
      <x:c r="A1292" s="11" t="str">
        <x:v>688302.SH</x:v>
      </x:c>
      <x:c r="B1292" s="11" t="str">
        <x:v>2026年底</x:v>
      </x:c>
      <x:c r="C1292" s="11" t="str">
        <x:v>hp518_combo_cn</x:v>
      </x:c>
      <x:c r="D1292" s="11" t="str">
        <x:v>2029-12-31</x:v>
      </x:c>
      <x:c r="E1292" s="11" t="str">
        <x:v>CNY</x:v>
      </x:c>
      <x:c r="F1292" s="11" t="n">
        <x:v>3.0006844626967832</x:v>
      </x:c>
      <x:c r="G1292" s="26" t="b">
        <x:v>1</x:v>
      </x:c>
      <x:c r="H1292" s="16" t="n">
        <x:v>0</x:v>
      </x:c>
      <x:c r="I1292" s="16" t="n">
        <x:v>0</x:v>
      </x:c>
      <x:c r="J1292" s="16" t="n">
        <x:v>0</x:v>
      </x:c>
      <x:c r="K1292" s="11" t="n">
        <x:f>CHOOSE('假设'!$B$3,H1292,I1292,J1292)</x:f>
        <x:v>0</x:v>
      </x:c>
      <x:c r="L1292" s="11" t="n">
        <x:f>K1292*'管线假设'!E295*'管线假设'!F295*'管线假设'!G295*IF(E1292="USD",'管线假设'!I295,1)-AM1292</x:f>
        <x:v>0</x:v>
      </x:c>
      <x:c r="M1292" s="11" t="n">
        <x:f>'管线假设'!H295</x:f>
        <x:v>0.14</x:v>
      </x:c>
      <x:c r="N1292" s="11" t="n">
        <x:f>IF(G1292,L1292*AN1292/(1+M1292)^F1292,0)</x:f>
        <x:v>0</x:v>
      </x:c>
      <x:c r="AJ1292" t="n">
        <x:v>0</x:v>
      </x:c>
      <x:c r="AK1292" t="n">
        <x:v>0</x:v>
      </x:c>
      <x:c r="AL1292" t="n">
        <x:v>0</x:v>
      </x:c>
      <x:c r="AM1292" t="n">
        <x:f>CHOOSE('假设'!$B$3,AJ1292,AK1292,AL1292)</x:f>
        <x:v>0</x:v>
      </x:c>
      <x:c r="AN1292" t="n">
        <x:v>1</x:v>
      </x:c>
    </x:row>
    <x:row r="1293" ht="23" customHeight="1">
      <x:c r="A1293" s="11" t="str">
        <x:v>688302.SH</x:v>
      </x:c>
      <x:c r="B1293" s="11" t="str">
        <x:v>2026年底</x:v>
      </x:c>
      <x:c r="C1293" s="11" t="str">
        <x:v>hp518_combo_cn</x:v>
      </x:c>
      <x:c r="D1293" s="11" t="str">
        <x:v>2030-12-31</x:v>
      </x:c>
      <x:c r="E1293" s="11" t="str">
        <x:v>CNY</x:v>
      </x:c>
      <x:c r="F1293" s="11" t="n">
        <x:v>4</x:v>
      </x:c>
      <x:c r="G1293" s="26" t="b">
        <x:v>1</x:v>
      </x:c>
      <x:c r="H1293" s="16" t="n">
        <x:v>0</x:v>
      </x:c>
      <x:c r="I1293" s="16" t="n">
        <x:v>0</x:v>
      </x:c>
      <x:c r="J1293" s="16" t="n">
        <x:v>0</x:v>
      </x:c>
      <x:c r="K1293" s="11" t="n">
        <x:f>CHOOSE('假设'!$B$3,H1293,I1293,J1293)</x:f>
        <x:v>0</x:v>
      </x:c>
      <x:c r="L1293" s="11" t="n">
        <x:f>K1293*'管线假设'!E295*'管线假设'!F295*'管线假设'!G295*IF(E1293="USD",'管线假设'!I295,1)-AM1293</x:f>
        <x:v>0</x:v>
      </x:c>
      <x:c r="M1293" s="11" t="n">
        <x:f>'管线假设'!H295</x:f>
        <x:v>0.14</x:v>
      </x:c>
      <x:c r="N1293" s="11" t="n">
        <x:f>IF(G1293,L1293*AN1293/(1+M1293)^F1293,0)</x:f>
        <x:v>0</x:v>
      </x:c>
      <x:c r="AJ1293" t="n">
        <x:v>0</x:v>
      </x:c>
      <x:c r="AK1293" t="n">
        <x:v>0</x:v>
      </x:c>
      <x:c r="AL1293" t="n">
        <x:v>0</x:v>
      </x:c>
      <x:c r="AM1293" t="n">
        <x:f>CHOOSE('假设'!$B$3,AJ1293,AK1293,AL1293)</x:f>
        <x:v>0</x:v>
      </x:c>
      <x:c r="AN1293" t="n">
        <x:v>1</x:v>
      </x:c>
    </x:row>
    <x:row r="1294" ht="23" customHeight="1">
      <x:c r="A1294" s="11" t="str">
        <x:v>688302.SH</x:v>
      </x:c>
      <x:c r="B1294" s="11" t="str">
        <x:v>2026年底</x:v>
      </x:c>
      <x:c r="C1294" s="11" t="str">
        <x:v>hp518_combo_cn</x:v>
      </x:c>
      <x:c r="D1294" s="11" t="str">
        <x:v>2031-12-31</x:v>
      </x:c>
      <x:c r="E1294" s="11" t="str">
        <x:v>CNY</x:v>
      </x:c>
      <x:c r="F1294" s="11" t="n">
        <x:v>4.999315537303217</x:v>
      </x:c>
      <x:c r="G1294" s="26" t="b">
        <x:v>1</x:v>
      </x:c>
      <x:c r="H1294" s="16" t="n">
        <x:v>0</x:v>
      </x:c>
      <x:c r="I1294" s="16" t="n">
        <x:v>0</x:v>
      </x:c>
      <x:c r="J1294" s="16" t="n">
        <x:v>0.41666666666666663</x:v>
      </x:c>
      <x:c r="K1294" s="11" t="n">
        <x:f>CHOOSE('假设'!$B$3,H1294,I1294,J1294)</x:f>
        <x:v>0</x:v>
      </x:c>
      <x:c r="L1294" s="11" t="n">
        <x:f>K1294*'管线假设'!E295*'管线假设'!F295*'管线假设'!G295*IF(E1294="USD",'管线假设'!I295,1)-AM1294</x:f>
        <x:v>0</x:v>
      </x:c>
      <x:c r="M1294" s="11" t="n">
        <x:f>'管线假设'!H295</x:f>
        <x:v>0.14</x:v>
      </x:c>
      <x:c r="N1294" s="11" t="n">
        <x:f>IF(G1294,L1294*AN1294/(1+M1294)^F1294,0)</x:f>
        <x:v>0</x:v>
      </x:c>
      <x:c r="AJ1294" t="n">
        <x:v>0</x:v>
      </x:c>
      <x:c r="AK1294" t="n">
        <x:v>0</x:v>
      </x:c>
      <x:c r="AL1294" t="n">
        <x:v>0</x:v>
      </x:c>
      <x:c r="AM1294" t="n">
        <x:f>CHOOSE('假设'!$B$3,AJ1294,AK1294,AL1294)</x:f>
        <x:v>0</x:v>
      </x:c>
      <x:c r="AN1294" t="n">
        <x:v>1</x:v>
      </x:c>
    </x:row>
    <x:row r="1295" ht="23" customHeight="1">
      <x:c r="A1295" s="11" t="str">
        <x:v>688302.SH</x:v>
      </x:c>
      <x:c r="B1295" s="11" t="str">
        <x:v>2026年底</x:v>
      </x:c>
      <x:c r="C1295" s="11" t="str">
        <x:v>hp518_combo_cn</x:v>
      </x:c>
      <x:c r="D1295" s="11" t="str">
        <x:v>2032-12-31</x:v>
      </x:c>
      <x:c r="E1295" s="11" t="str">
        <x:v>CNY</x:v>
      </x:c>
      <x:c r="F1295" s="11" t="n">
        <x:v>6.0013689253935665</x:v>
      </x:c>
      <x:c r="G1295" s="26" t="b">
        <x:v>1</x:v>
      </x:c>
      <x:c r="H1295" s="16" t="n">
        <x:v>0</x:v>
      </x:c>
      <x:c r="I1295" s="16" t="n">
        <x:v>0</x:v>
      </x:c>
      <x:c r="J1295" s="16" t="n">
        <x:v>0.8333333333333333</x:v>
      </x:c>
      <x:c r="K1295" s="11" t="n">
        <x:f>CHOOSE('假设'!$B$3,H1295,I1295,J1295)</x:f>
        <x:v>0</x:v>
      </x:c>
      <x:c r="L1295" s="11" t="n">
        <x:f>K1295*'管线假设'!E295*'管线假设'!F295*'管线假设'!G295*IF(E1295="USD",'管线假设'!I295,1)-AM1295</x:f>
        <x:v>0</x:v>
      </x:c>
      <x:c r="M1295" s="11" t="n">
        <x:f>'管线假设'!H295</x:f>
        <x:v>0.14</x:v>
      </x:c>
      <x:c r="N1295" s="11" t="n">
        <x:f>IF(G1295,L1295*AN1295/(1+M1295)^F1295,0)</x:f>
        <x:v>0</x:v>
      </x:c>
      <x:c r="AJ1295" t="n">
        <x:v>0</x:v>
      </x:c>
      <x:c r="AK1295" t="n">
        <x:v>0</x:v>
      </x:c>
      <x:c r="AL1295" t="n">
        <x:v>0</x:v>
      </x:c>
      <x:c r="AM1295" t="n">
        <x:f>CHOOSE('假设'!$B$3,AJ1295,AK1295,AL1295)</x:f>
        <x:v>0</x:v>
      </x:c>
      <x:c r="AN1295" t="n">
        <x:v>1</x:v>
      </x:c>
    </x:row>
    <x:row r="1296" ht="23" customHeight="1">
      <x:c r="A1296" s="11" t="str">
        <x:v>688302.SH</x:v>
      </x:c>
      <x:c r="B1296" s="11" t="str">
        <x:v>2026年底</x:v>
      </x:c>
      <x:c r="C1296" s="11" t="str">
        <x:v>hp518_combo_cn</x:v>
      </x:c>
      <x:c r="D1296" s="11" t="str">
        <x:v>2033-12-31</x:v>
      </x:c>
      <x:c r="E1296" s="11" t="str">
        <x:v>CNY</x:v>
      </x:c>
      <x:c r="F1296" s="11" t="n">
        <x:v>7.000684462696783</x:v>
      </x:c>
      <x:c r="G1296" s="26" t="b">
        <x:v>1</x:v>
      </x:c>
      <x:c r="H1296" s="16" t="n">
        <x:v>0</x:v>
      </x:c>
      <x:c r="I1296" s="16" t="n">
        <x:v>0.21666666666666667</x:v>
      </x:c>
      <x:c r="J1296" s="16" t="n">
        <x:v>1.25</x:v>
      </x:c>
      <x:c r="K1296" s="11" t="n">
        <x:f>CHOOSE('假设'!$B$3,H1296,I1296,J1296)</x:f>
        <x:v>0.21666666666666667</x:v>
      </x:c>
      <x:c r="L1296" s="11" t="n">
        <x:f>K1296*'管线假设'!E295*'管线假设'!F295*'管线假设'!G295*IF(E1296="USD",'管线假设'!I295,1)-AM1296</x:f>
        <x:v>0.010963333333333334</x:v>
      </x:c>
      <x:c r="M1296" s="11" t="n">
        <x:f>'管线假设'!H295</x:f>
        <x:v>0.14</x:v>
      </x:c>
      <x:c r="N1296" s="11" t="n">
        <x:f>IF(G1296,L1296*AN1296/(1+M1296)^F1296,0)</x:f>
        <x:v>0.0043809642595027815</x:v>
      </x:c>
      <x:c r="AJ1296" t="n">
        <x:v>0</x:v>
      </x:c>
      <x:c r="AK1296" t="n">
        <x:v>0</x:v>
      </x:c>
      <x:c r="AL1296" t="n">
        <x:v>0</x:v>
      </x:c>
      <x:c r="AM1296" t="n">
        <x:f>CHOOSE('假设'!$B$3,AJ1296,AK1296,AL1296)</x:f>
        <x:v>0</x:v>
      </x:c>
      <x:c r="AN1296" t="n">
        <x:v>1</x:v>
      </x:c>
    </x:row>
    <x:row r="1297" ht="23" customHeight="1">
      <x:c r="A1297" s="11" t="str">
        <x:v>688302.SH</x:v>
      </x:c>
      <x:c r="B1297" s="11" t="str">
        <x:v>2026年底</x:v>
      </x:c>
      <x:c r="C1297" s="11" t="str">
        <x:v>hp518_combo_cn</x:v>
      </x:c>
      <x:c r="D1297" s="11" t="str">
        <x:v>2034-12-31</x:v>
      </x:c>
      <x:c r="E1297" s="11" t="str">
        <x:v>CNY</x:v>
      </x:c>
      <x:c r="F1297" s="11" t="n">
        <x:v>8</x:v>
      </x:c>
      <x:c r="G1297" s="26" t="b">
        <x:v>1</x:v>
      </x:c>
      <x:c r="H1297" s="16" t="n">
        <x:v>0</x:v>
      </x:c>
      <x:c r="I1297" s="16" t="n">
        <x:v>0.43333333333333335</x:v>
      </x:c>
      <x:c r="J1297" s="16" t="n">
        <x:v>1.6666666666666665</x:v>
      </x:c>
      <x:c r="K1297" s="11" t="n">
        <x:f>CHOOSE('假设'!$B$3,H1297,I1297,J1297)</x:f>
        <x:v>0.43333333333333335</x:v>
      </x:c>
      <x:c r="L1297" s="11" t="n">
        <x:f>K1297*'管线假设'!E295*'管线假设'!F295*'管线假设'!G295*IF(E1297="USD",'管线假设'!I295,1)-AM1297</x:f>
        <x:v>0.021926666666666667</x:v>
      </x:c>
      <x:c r="M1297" s="11" t="n">
        <x:f>'管线假设'!H295</x:f>
        <x:v>0.14</x:v>
      </x:c>
      <x:c r="N1297" s="11" t="n">
        <x:f>IF(G1297,L1297*AN1297/(1+M1297)^F1297,0)</x:f>
        <x:v>0.007686591542694342</x:v>
      </x:c>
      <x:c r="AJ1297" t="n">
        <x:v>0</x:v>
      </x:c>
      <x:c r="AK1297" t="n">
        <x:v>0</x:v>
      </x:c>
      <x:c r="AL1297" t="n">
        <x:v>0</x:v>
      </x:c>
      <x:c r="AM1297" t="n">
        <x:f>CHOOSE('假设'!$B$3,AJ1297,AK1297,AL1297)</x:f>
        <x:v>0</x:v>
      </x:c>
      <x:c r="AN1297" t="n">
        <x:v>1</x:v>
      </x:c>
    </x:row>
    <x:row r="1298" ht="23" customHeight="1">
      <x:c r="A1298" s="11" t="str">
        <x:v>688302.SH</x:v>
      </x:c>
      <x:c r="B1298" s="11" t="str">
        <x:v>2026年底</x:v>
      </x:c>
      <x:c r="C1298" s="11" t="str">
        <x:v>hp518_combo_cn</x:v>
      </x:c>
      <x:c r="D1298" s="11" t="str">
        <x:v>2035-12-31</x:v>
      </x:c>
      <x:c r="E1298" s="11" t="str">
        <x:v>CNY</x:v>
      </x:c>
      <x:c r="F1298" s="11" t="n">
        <x:v>8.999315537303216</x:v>
      </x:c>
      <x:c r="G1298" s="26" t="b">
        <x:v>1</x:v>
      </x:c>
      <x:c r="H1298" s="16" t="n">
        <x:v>0</x:v>
      </x:c>
      <x:c r="I1298" s="16" t="n">
        <x:v>0.65</x:v>
      </x:c>
      <x:c r="J1298" s="16" t="n">
        <x:v>2.0833333333333335</x:v>
      </x:c>
      <x:c r="K1298" s="11" t="n">
        <x:f>CHOOSE('假设'!$B$3,H1298,I1298,J1298)</x:f>
        <x:v>0.65</x:v>
      </x:c>
      <x:c r="L1298" s="11" t="n">
        <x:f>K1298*'管线假设'!E295*'管线假设'!F295*'管线假设'!G295*IF(E1298="USD",'管线假设'!I295,1)-AM1298</x:f>
        <x:v>0.032889999999999996</x:v>
      </x:c>
      <x:c r="M1298" s="11" t="n">
        <x:f>'管线假设'!H295</x:f>
        <x:v>0.14</x:v>
      </x:c>
      <x:c r="N1298" s="11" t="n">
        <x:f>IF(G1298,L1298*AN1298/(1+M1298)^F1298,0)</x:f>
        <x:v>0.010114843338894168</x:v>
      </x:c>
      <x:c r="AJ1298" t="n">
        <x:v>0</x:v>
      </x:c>
      <x:c r="AK1298" t="n">
        <x:v>0</x:v>
      </x:c>
      <x:c r="AL1298" t="n">
        <x:v>0</x:v>
      </x:c>
      <x:c r="AM1298" t="n">
        <x:f>CHOOSE('假设'!$B$3,AJ1298,AK1298,AL1298)</x:f>
        <x:v>0</x:v>
      </x:c>
      <x:c r="AN1298" t="n">
        <x:v>1</x:v>
      </x:c>
    </x:row>
    <x:row r="1299" ht="23" customHeight="1">
      <x:c r="A1299" s="11" t="str">
        <x:v>688302.SH</x:v>
      </x:c>
      <x:c r="B1299" s="11" t="str">
        <x:v>2026年底</x:v>
      </x:c>
      <x:c r="C1299" s="11" t="str">
        <x:v>hp518_combo_cn</x:v>
      </x:c>
      <x:c r="D1299" s="11" t="str">
        <x:v>2036-12-31</x:v>
      </x:c>
      <x:c r="E1299" s="11" t="str">
        <x:v>CNY</x:v>
      </x:c>
      <x:c r="F1299" s="11" t="n">
        <x:v>10.001368925393566</x:v>
      </x:c>
      <x:c r="G1299" s="26" t="b">
        <x:v>1</x:v>
      </x:c>
      <x:c r="H1299" s="16" t="n">
        <x:v>0.1</x:v>
      </x:c>
      <x:c r="I1299" s="16" t="n">
        <x:v>0.8666666666666667</x:v>
      </x:c>
      <x:c r="J1299" s="16" t="n">
        <x:v>2.5</x:v>
      </x:c>
      <x:c r="K1299" s="11" t="n">
        <x:f>CHOOSE('假设'!$B$3,H1299,I1299,J1299)</x:f>
        <x:v>0.8666666666666667</x:v>
      </x:c>
      <x:c r="L1299" s="11" t="n">
        <x:f>K1299*'管线假设'!E295*'管线假设'!F295*'管线假设'!G295*IF(E1299="USD",'管线假设'!I295,1)-AM1299</x:f>
        <x:v>0.043853333333333334</x:v>
      </x:c>
      <x:c r="M1299" s="11" t="n">
        <x:f>'管线假设'!H295</x:f>
        <x:v>0.14</x:v>
      </x:c>
      <x:c r="N1299" s="11" t="n">
        <x:f>IF(G1299,L1299*AN1299/(1+M1299)^F1299,0)</x:f>
        <x:v>0.011827043611008007</x:v>
      </x:c>
      <x:c r="AJ1299" t="n">
        <x:v>0</x:v>
      </x:c>
      <x:c r="AK1299" t="n">
        <x:v>0</x:v>
      </x:c>
      <x:c r="AL1299" t="n">
        <x:v>0</x:v>
      </x:c>
      <x:c r="AM1299" t="n">
        <x:f>CHOOSE('假设'!$B$3,AJ1299,AK1299,AL1299)</x:f>
        <x:v>0</x:v>
      </x:c>
      <x:c r="AN1299" t="n">
        <x:v>1</x:v>
      </x:c>
    </x:row>
    <x:row r="1300" ht="23" customHeight="1">
      <x:c r="A1300" s="11" t="str">
        <x:v>688302.SH</x:v>
      </x:c>
      <x:c r="B1300" s="11" t="str">
        <x:v>2026年底</x:v>
      </x:c>
      <x:c r="C1300" s="11" t="str">
        <x:v>hp518_combo_cn</x:v>
      </x:c>
      <x:c r="D1300" s="11" t="str">
        <x:v>2037-12-31</x:v>
      </x:c>
      <x:c r="E1300" s="11" t="str">
        <x:v>CNY</x:v>
      </x:c>
      <x:c r="F1300" s="11" t="n">
        <x:v>11.000684462696784</x:v>
      </x:c>
      <x:c r="G1300" s="26" t="b">
        <x:v>1</x:v>
      </x:c>
      <x:c r="H1300" s="16" t="n">
        <x:v>0.2</x:v>
      </x:c>
      <x:c r="I1300" s="16" t="n">
        <x:v>1.0833333333333335</x:v>
      </x:c>
      <x:c r="J1300" s="16" t="n">
        <x:v>2.175</x:v>
      </x:c>
      <x:c r="K1300" s="11" t="n">
        <x:f>CHOOSE('假设'!$B$3,H1300,I1300,J1300)</x:f>
        <x:v>1.0833333333333335</x:v>
      </x:c>
      <x:c r="L1300" s="11" t="n">
        <x:f>K1300*'管线假设'!E295*'管线假设'!F295*'管线假设'!G295*IF(E1300="USD",'管线假设'!I295,1)-AM1300</x:f>
        <x:v>0.05481666666666667</x:v>
      </x:c>
      <x:c r="M1300" s="11" t="n">
        <x:f>'管线假设'!H295</x:f>
        <x:v>0.14</x:v>
      </x:c>
      <x:c r="N1300" s="11" t="n">
        <x:f>IF(G1300,L1300*AN1300/(1+M1300)^F1300,0)</x:f>
        <x:v>0.012969412669576469</x:v>
      </x:c>
      <x:c r="AJ1300" t="n">
        <x:v>0</x:v>
      </x:c>
      <x:c r="AK1300" t="n">
        <x:v>0</x:v>
      </x:c>
      <x:c r="AL1300" t="n">
        <x:v>0</x:v>
      </x:c>
      <x:c r="AM1300" t="n">
        <x:f>CHOOSE('假设'!$B$3,AJ1300,AK1300,AL1300)</x:f>
        <x:v>0</x:v>
      </x:c>
      <x:c r="AN1300" t="n">
        <x:v>1</x:v>
      </x:c>
    </x:row>
    <x:row r="1301" ht="23" customHeight="1">
      <x:c r="A1301" s="11" t="str">
        <x:v>688302.SH</x:v>
      </x:c>
      <x:c r="B1301" s="11" t="str">
        <x:v>2026年底</x:v>
      </x:c>
      <x:c r="C1301" s="11" t="str">
        <x:v>hp518_combo_cn</x:v>
      </x:c>
      <x:c r="D1301" s="11" t="str">
        <x:v>2038-12-31</x:v>
      </x:c>
      <x:c r="E1301" s="11" t="str">
        <x:v>CNY</x:v>
      </x:c>
      <x:c r="F1301" s="11" t="n">
        <x:v>12</x:v>
      </x:c>
      <x:c r="G1301" s="26" t="b">
        <x:v>1</x:v>
      </x:c>
      <x:c r="H1301" s="16" t="n">
        <x:v>0.3</x:v>
      </x:c>
      <x:c r="I1301" s="16" t="n">
        <x:v>1.3</x:v>
      </x:c>
      <x:c r="J1301" s="16" t="n">
        <x:v>1.85</x:v>
      </x:c>
      <x:c r="K1301" s="11" t="n">
        <x:f>CHOOSE('假设'!$B$3,H1301,I1301,J1301)</x:f>
        <x:v>1.3</x:v>
      </x:c>
      <x:c r="L1301" s="11" t="n">
        <x:f>K1301*'管线假设'!E295*'管线假设'!F295*'管线假设'!G295*IF(E1301="USD",'管线假设'!I295,1)-AM1301</x:f>
        <x:v>0.06577999999999999</x:v>
      </x:c>
      <x:c r="M1301" s="11" t="n">
        <x:f>'管线假设'!H295</x:f>
        <x:v>0.14</x:v>
      </x:c>
      <x:c r="N1301" s="11" t="n">
        <x:f>IF(G1301,L1301*AN1301/(1+M1301)^F1301,0)</x:f>
        <x:v>0.013653237757889453</x:v>
      </x:c>
      <x:c r="AJ1301" t="n">
        <x:v>0</x:v>
      </x:c>
      <x:c r="AK1301" t="n">
        <x:v>0</x:v>
      </x:c>
      <x:c r="AL1301" t="n">
        <x:v>0</x:v>
      </x:c>
      <x:c r="AM1301" t="n">
        <x:f>CHOOSE('假设'!$B$3,AJ1301,AK1301,AL1301)</x:f>
        <x:v>0</x:v>
      </x:c>
      <x:c r="AN1301" t="n">
        <x:v>1</x:v>
      </x:c>
    </x:row>
    <x:row r="1302" ht="23" customHeight="1">
      <x:c r="A1302" s="11" t="str">
        <x:v>688302.SH</x:v>
      </x:c>
      <x:c r="B1302" s="11" t="str">
        <x:v>2026年底</x:v>
      </x:c>
      <x:c r="C1302" s="11" t="str">
        <x:v>hp518_combo_cn</x:v>
      </x:c>
      <x:c r="D1302" s="11" t="str">
        <x:v>2039-12-31</x:v>
      </x:c>
      <x:c r="E1302" s="11" t="str">
        <x:v>CNY</x:v>
      </x:c>
      <x:c r="F1302" s="11" t="n">
        <x:v>12.999315537303216</x:v>
      </x:c>
      <x:c r="G1302" s="26" t="b">
        <x:v>1</x:v>
      </x:c>
      <x:c r="H1302" s="16" t="n">
        <x:v>0.4</x:v>
      </x:c>
      <x:c r="I1302" s="16" t="n">
        <x:v>1.131</x:v>
      </x:c>
      <x:c r="J1302" s="16" t="n">
        <x:v>1.525</x:v>
      </x:c>
      <x:c r="K1302" s="11" t="n">
        <x:f>CHOOSE('假设'!$B$3,H1302,I1302,J1302)</x:f>
        <x:v>1.131</x:v>
      </x:c>
      <x:c r="L1302" s="11" t="n">
        <x:f>K1302*'管线假设'!E295*'管线假设'!F295*'管线假设'!G295*IF(E1302="USD",'管线假设'!I295,1)-AM1302</x:f>
        <x:v>0.05722859999999999</x:v>
      </x:c>
      <x:c r="M1302" s="11" t="n">
        <x:f>'管线假设'!H295</x:f>
        <x:v>0.14</x:v>
      </x:c>
      <x:c r="N1302" s="11" t="n">
        <x:f>IF(G1302,L1302*AN1302/(1+M1302)^F1302,0)</x:f>
        <x:v>0.010420510694388341</x:v>
      </x:c>
      <x:c r="AJ1302" t="n">
        <x:v>0</x:v>
      </x:c>
      <x:c r="AK1302" t="n">
        <x:v>0</x:v>
      </x:c>
      <x:c r="AL1302" t="n">
        <x:v>0</x:v>
      </x:c>
      <x:c r="AM1302" t="n">
        <x:f>CHOOSE('假设'!$B$3,AJ1302,AK1302,AL1302)</x:f>
        <x:v>0</x:v>
      </x:c>
      <x:c r="AN1302" t="n">
        <x:v>1</x:v>
      </x:c>
    </x:row>
    <x:row r="1303" ht="23" customHeight="1">
      <x:c r="A1303" s="11" t="str">
        <x:v>688302.SH</x:v>
      </x:c>
      <x:c r="B1303" s="11" t="str">
        <x:v>2026年底</x:v>
      </x:c>
      <x:c r="C1303" s="11" t="str">
        <x:v>hp518_combo_cn</x:v>
      </x:c>
      <x:c r="D1303" s="11" t="str">
        <x:v>2040-12-31</x:v>
      </x:c>
      <x:c r="E1303" s="11" t="str">
        <x:v>CNY</x:v>
      </x:c>
      <x:c r="F1303" s="11" t="n">
        <x:v>14.001368925393566</x:v>
      </x:c>
      <x:c r="G1303" s="26" t="b">
        <x:v>1</x:v>
      </x:c>
      <x:c r="H1303" s="16" t="n">
        <x:v>0.5</x:v>
      </x:c>
      <x:c r="I1303" s="16" t="n">
        <x:v>0.962</x:v>
      </x:c>
      <x:c r="J1303" s="16" t="n">
        <x:v>1.2</x:v>
      </x:c>
      <x:c r="K1303" s="11" t="n">
        <x:f>CHOOSE('假设'!$B$3,H1303,I1303,J1303)</x:f>
        <x:v>0.962</x:v>
      </x:c>
      <x:c r="L1303" s="11" t="n">
        <x:f>K1303*'管线假设'!E295*'管线假设'!F295*'管线假设'!G295*IF(E1303="USD",'管线假设'!I295,1)-AM1303</x:f>
        <x:v>0.0486772</x:v>
      </x:c>
      <x:c r="M1303" s="11" t="n">
        <x:f>'管线假设'!H295</x:f>
        <x:v>0.14</x:v>
      </x:c>
      <x:c r="N1303" s="11" t="n">
        <x:f>IF(G1303,L1303*AN1303/(1+M1303)^F1303,0)</x:f>
        <x:v>0.0077728407804591925</x:v>
      </x:c>
      <x:c r="AJ1303" t="n">
        <x:v>0</x:v>
      </x:c>
      <x:c r="AK1303" t="n">
        <x:v>0</x:v>
      </x:c>
      <x:c r="AL1303" t="n">
        <x:v>0</x:v>
      </x:c>
      <x:c r="AM1303" t="n">
        <x:f>CHOOSE('假设'!$B$3,AJ1303,AK1303,AL1303)</x:f>
        <x:v>0</x:v>
      </x:c>
      <x:c r="AN1303" t="n">
        <x:v>1</x:v>
      </x:c>
    </x:row>
    <x:row r="1304" ht="23" customHeight="1">
      <x:c r="A1304" s="11" t="str">
        <x:v>688302.SH</x:v>
      </x:c>
      <x:c r="B1304" s="11" t="str">
        <x:v>2026年底</x:v>
      </x:c>
      <x:c r="C1304" s="11" t="str">
        <x:v>hp518_combo_cn</x:v>
      </x:c>
      <x:c r="D1304" s="11" t="str">
        <x:v>2041-12-31</x:v>
      </x:c>
      <x:c r="E1304" s="11" t="str">
        <x:v>CNY</x:v>
      </x:c>
      <x:c r="F1304" s="11" t="n">
        <x:v>15.000684462696784</x:v>
      </x:c>
      <x:c r="G1304" s="26" t="b">
        <x:v>1</x:v>
      </x:c>
      <x:c r="H1304" s="16" t="n">
        <x:v>0.435</x:v>
      </x:c>
      <x:c r="I1304" s="16" t="n">
        <x:v>0.793</x:v>
      </x:c>
      <x:c r="J1304" s="16" t="n">
        <x:v>0.875</x:v>
      </x:c>
      <x:c r="K1304" s="11" t="n">
        <x:f>CHOOSE('假设'!$B$3,H1304,I1304,J1304)</x:f>
        <x:v>0.793</x:v>
      </x:c>
      <x:c r="L1304" s="11" t="n">
        <x:f>K1304*'管线假设'!E295*'管线假设'!F295*'管线假设'!G295*IF(E1304="USD",'管线假设'!I295,1)-AM1304</x:f>
        <x:v>0.040125799999999996</x:v>
      </x:c>
      <x:c r="M1304" s="11" t="n">
        <x:f>'管线假设'!H295</x:f>
        <x:v>0.14</x:v>
      </x:c>
      <x:c r="N1304" s="11" t="n">
        <x:f>IF(G1304,L1304*AN1304/(1+M1304)^F1304,0)</x:f>
        <x:v>0.005620979285935299</x:v>
      </x:c>
      <x:c r="AJ1304" t="n">
        <x:v>0</x:v>
      </x:c>
      <x:c r="AK1304" t="n">
        <x:v>0</x:v>
      </x:c>
      <x:c r="AL1304" t="n">
        <x:v>0</x:v>
      </x:c>
      <x:c r="AM1304" t="n">
        <x:f>CHOOSE('假设'!$B$3,AJ1304,AK1304,AL1304)</x:f>
        <x:v>0</x:v>
      </x:c>
      <x:c r="AN1304" t="n">
        <x:v>1</x:v>
      </x:c>
    </x:row>
    <x:row r="1305" ht="23" customHeight="1">
      <x:c r="A1305" s="11" t="str">
        <x:v>688302.SH</x:v>
      </x:c>
      <x:c r="B1305" s="11" t="str">
        <x:v>2026年底</x:v>
      </x:c>
      <x:c r="C1305" s="11" t="str">
        <x:v>hp518_combo_cn</x:v>
      </x:c>
      <x:c r="D1305" s="11" t="str">
        <x:v>2042-12-31</x:v>
      </x:c>
      <x:c r="E1305" s="11" t="str">
        <x:v>CNY</x:v>
      </x:c>
      <x:c r="F1305" s="11" t="n">
        <x:v>16</x:v>
      </x:c>
      <x:c r="G1305" s="26" t="b">
        <x:v>1</x:v>
      </x:c>
      <x:c r="H1305" s="16" t="n">
        <x:v>0.37</x:v>
      </x:c>
      <x:c r="I1305" s="16" t="n">
        <x:v>0.624</x:v>
      </x:c>
      <x:c r="J1305" s="16" t="n">
        <x:v>0.5499999999999999</x:v>
      </x:c>
      <x:c r="K1305" s="11" t="n">
        <x:f>CHOOSE('假设'!$B$3,H1305,I1305,J1305)</x:f>
        <x:v>0.624</x:v>
      </x:c>
      <x:c r="L1305" s="11" t="n">
        <x:f>K1305*'管线假设'!E295*'管线假设'!F295*'管线假设'!G295*IF(E1305="USD",'管线假设'!I295,1)-AM1305</x:f>
        <x:v>0.031574399999999996</x:v>
      </x:c>
      <x:c r="M1305" s="11" t="n">
        <x:f>'管线假设'!H295</x:f>
        <x:v>0.14</x:v>
      </x:c>
      <x:c r="N1305" s="11" t="n">
        <x:f>IF(G1305,L1305*AN1305/(1+M1305)^F1305,0)</x:f>
        <x:v>0.003880230143372319</x:v>
      </x:c>
      <x:c r="AJ1305" t="n">
        <x:v>0</x:v>
      </x:c>
      <x:c r="AK1305" t="n">
        <x:v>0</x:v>
      </x:c>
      <x:c r="AL1305" t="n">
        <x:v>0</x:v>
      </x:c>
      <x:c r="AM1305" t="n">
        <x:f>CHOOSE('假设'!$B$3,AJ1305,AK1305,AL1305)</x:f>
        <x:v>0</x:v>
      </x:c>
      <x:c r="AN1305" t="n">
        <x:v>1</x:v>
      </x:c>
    </x:row>
    <x:row r="1306" ht="23" customHeight="1">
      <x:c r="A1306" s="11" t="str">
        <x:v>688302.SH</x:v>
      </x:c>
      <x:c r="B1306" s="11" t="str">
        <x:v>2026年底</x:v>
      </x:c>
      <x:c r="C1306" s="11" t="str">
        <x:v>hp518_combo_cn</x:v>
      </x:c>
      <x:c r="D1306" s="11" t="str">
        <x:v>2043-12-31</x:v>
      </x:c>
      <x:c r="E1306" s="11" t="str">
        <x:v>CNY</x:v>
      </x:c>
      <x:c r="F1306" s="11" t="n">
        <x:v>16.999315537303218</x:v>
      </x:c>
      <x:c r="G1306" s="26" t="b">
        <x:v>1</x:v>
      </x:c>
      <x:c r="H1306" s="16" t="n">
        <x:v>0.305</x:v>
      </x:c>
      <x:c r="I1306" s="16" t="n">
        <x:v>0.45499999999999996</x:v>
      </x:c>
      <x:c r="J1306" s="16" t="n">
        <x:v>0.22499999999999992</x:v>
      </x:c>
      <x:c r="K1306" s="11" t="n">
        <x:f>CHOOSE('假设'!$B$3,H1306,I1306,J1306)</x:f>
        <x:v>0.45499999999999996</x:v>
      </x:c>
      <x:c r="L1306" s="11" t="n">
        <x:f>K1306*'管线假设'!E295*'管线假设'!F295*'管线假设'!G295*IF(E1306="USD",'管线假设'!I295,1)-AM1306</x:f>
        <x:v>0.023022999999999995</x:v>
      </x:c>
      <x:c r="M1306" s="11" t="n">
        <x:f>'管线假设'!H295</x:f>
        <x:v>0.14</x:v>
      </x:c>
      <x:c r="N1306" s="11" t="n">
        <x:f>IF(G1306,L1306*AN1306/(1+M1306)^F1306,0)</x:f>
        <x:v>0.002482094944592374</x:v>
      </x:c>
      <x:c r="AJ1306" t="n">
        <x:v>0</x:v>
      </x:c>
      <x:c r="AK1306" t="n">
        <x:v>0</x:v>
      </x:c>
      <x:c r="AL1306" t="n">
        <x:v>0</x:v>
      </x:c>
      <x:c r="AM1306" t="n">
        <x:f>CHOOSE('假设'!$B$3,AJ1306,AK1306,AL1306)</x:f>
        <x:v>0</x:v>
      </x:c>
      <x:c r="AN1306" t="n">
        <x:v>1</x:v>
      </x:c>
    </x:row>
    <x:row r="1307" ht="23" customHeight="1">
      <x:c r="A1307" s="11" t="str">
        <x:v>688302.SH</x:v>
      </x:c>
      <x:c r="B1307" s="11" t="str">
        <x:v>2026年底</x:v>
      </x:c>
      <x:c r="C1307" s="11" t="str">
        <x:v>hp518_combo_cn</x:v>
      </x:c>
      <x:c r="D1307" s="11" t="str">
        <x:v>2044-12-31</x:v>
      </x:c>
      <x:c r="E1307" s="11" t="str">
        <x:v>CNY</x:v>
      </x:c>
      <x:c r="F1307" s="11" t="n">
        <x:v>18.001368925393567</x:v>
      </x:c>
      <x:c r="G1307" s="26" t="b">
        <x:v>1</x:v>
      </x:c>
      <x:c r="H1307" s="16" t="n">
        <x:v>0.24</x:v>
      </x:c>
      <x:c r="I1307" s="16" t="n">
        <x:v>0.286</x:v>
      </x:c>
      <x:c r="J1307" s="16" t="n">
        <x:v>0</x:v>
      </x:c>
      <x:c r="K1307" s="11" t="n">
        <x:f>CHOOSE('假设'!$B$3,H1307,I1307,J1307)</x:f>
        <x:v>0.286</x:v>
      </x:c>
      <x:c r="L1307" s="11" t="n">
        <x:f>K1307*'管线假设'!E295*'管线假设'!F295*'管线假设'!G295*IF(E1307="USD",'管线假设'!I295,1)-AM1307</x:f>
        <x:v>0.014471599999999998</x:v>
      </x:c>
      <x:c r="M1307" s="11" t="n">
        <x:f>'管线假设'!H295</x:f>
        <x:v>0.14</x:v>
      </x:c>
      <x:c r="N1307" s="11" t="n">
        <x:f>IF(G1307,L1307*AN1307/(1+M1307)^F1307,0)</x:f>
        <x:v>0.001368205485884718</x:v>
      </x:c>
      <x:c r="AJ1307" t="n">
        <x:v>0</x:v>
      </x:c>
      <x:c r="AK1307" t="n">
        <x:v>0</x:v>
      </x:c>
      <x:c r="AL1307" t="n">
        <x:v>0</x:v>
      </x:c>
      <x:c r="AM1307" t="n">
        <x:f>CHOOSE('假设'!$B$3,AJ1307,AK1307,AL1307)</x:f>
        <x:v>0</x:v>
      </x:c>
      <x:c r="AN1307" t="n">
        <x:v>1</x:v>
      </x:c>
    </x:row>
    <x:row r="1308" ht="23" customHeight="1">
      <x:c r="A1308" s="11" t="str">
        <x:v>688302.SH</x:v>
      </x:c>
      <x:c r="B1308" s="11" t="str">
        <x:v>2026年底</x:v>
      </x:c>
      <x:c r="C1308" s="11" t="str">
        <x:v>hp518_combo_cn</x:v>
      </x:c>
      <x:c r="D1308" s="11" t="str">
        <x:v>2045-12-31</x:v>
      </x:c>
      <x:c r="E1308" s="11" t="str">
        <x:v>CNY</x:v>
      </x:c>
      <x:c r="F1308" s="11" t="n">
        <x:v>19.000684462696782</x:v>
      </x:c>
      <x:c r="G1308" s="26" t="b">
        <x:v>1</x:v>
      </x:c>
      <x:c r="H1308" s="16" t="n">
        <x:v>0.175</x:v>
      </x:c>
      <x:c r="I1308" s="16" t="n">
        <x:v>0.11699999999999997</x:v>
      </x:c>
      <x:c r="J1308" s="16" t="n">
        <x:v>0</x:v>
      </x:c>
      <x:c r="K1308" s="11" t="n">
        <x:f>CHOOSE('假设'!$B$3,H1308,I1308,J1308)</x:f>
        <x:v>0.11699999999999997</x:v>
      </x:c>
      <x:c r="L1308" s="11" t="n">
        <x:f>K1308*'管线假设'!E295*'管线假设'!F295*'管线假设'!G295*IF(E1308="USD",'管线假设'!I295,1)-AM1308</x:f>
        <x:v>0.005920199999999998</x:v>
      </x:c>
      <x:c r="M1308" s="11" t="n">
        <x:f>'管线假设'!H295</x:f>
        <x:v>0.14</x:v>
      </x:c>
      <x:c r="N1308" s="11" t="n">
        <x:f>IF(G1308,L1308*AN1308/(1+M1308)^F1308,0)</x:f>
        <x:v>0.00049102686512095</x:v>
      </x:c>
      <x:c r="AJ1308" t="n">
        <x:v>0</x:v>
      </x:c>
      <x:c r="AK1308" t="n">
        <x:v>0</x:v>
      </x:c>
      <x:c r="AL1308" t="n">
        <x:v>0</x:v>
      </x:c>
      <x:c r="AM1308" t="n">
        <x:f>CHOOSE('假设'!$B$3,AJ1308,AK1308,AL1308)</x:f>
        <x:v>0</x:v>
      </x:c>
      <x:c r="AN1308" t="n">
        <x:v>1</x:v>
      </x:c>
    </x:row>
    <x:row r="1309" ht="23" customHeight="1">
      <x:c r="A1309" s="11" t="str">
        <x:v>688302.SH</x:v>
      </x:c>
      <x:c r="B1309" s="11" t="str">
        <x:v>2026年底</x:v>
      </x:c>
      <x:c r="C1309" s="11" t="str">
        <x:v>hp518_combo_global</x:v>
      </x:c>
      <x:c r="D1309" s="11" t="str">
        <x:v>2027-12-31</x:v>
      </x:c>
      <x:c r="E1309" s="11" t="str">
        <x:v>USD</x:v>
      </x:c>
      <x:c r="F1309" s="11" t="n">
        <x:v>0.999315537303217</x:v>
      </x:c>
      <x:c r="G1309" s="26" t="b">
        <x:v>1</x:v>
      </x:c>
      <x:c r="H1309" s="16" t="n">
        <x:v>0</x:v>
      </x:c>
      <x:c r="I1309" s="16" t="n">
        <x:v>0</x:v>
      </x:c>
      <x:c r="J1309" s="16" t="n">
        <x:v>0</x:v>
      </x:c>
      <x:c r="K1309" s="11" t="n">
        <x:f>CHOOSE('假设'!$B$3,H1309,I1309,J1309)</x:f>
        <x:v>0</x:v>
      </x:c>
      <x:c r="L1309" s="11" t="n">
        <x:f>K1309*'管线假设'!E299*'管线假设'!F299*'管线假设'!G299*IF(E1309="USD",'管线假设'!I299,1)-AM1309</x:f>
        <x:v>0</x:v>
      </x:c>
      <x:c r="M1309" s="11" t="n">
        <x:f>'管线假设'!H299</x:f>
        <x:v>0.14</x:v>
      </x:c>
      <x:c r="N1309" s="11" t="n">
        <x:f>IF(G1309,L1309*AN1309/(1+M1309)^F1309,0)</x:f>
        <x:v>0</x:v>
      </x:c>
      <x:c r="AJ1309" t="n">
        <x:v>0</x:v>
      </x:c>
      <x:c r="AK1309" t="n">
        <x:v>0</x:v>
      </x:c>
      <x:c r="AL1309" t="n">
        <x:v>0</x:v>
      </x:c>
      <x:c r="AM1309" t="n">
        <x:f>CHOOSE('假设'!$B$3,AJ1309,AK1309,AL1309)</x:f>
        <x:v>0</x:v>
      </x:c>
      <x:c r="AN1309" t="n">
        <x:v>1</x:v>
      </x:c>
    </x:row>
    <x:row r="1310" ht="23" customHeight="1">
      <x:c r="A1310" s="11" t="str">
        <x:v>688302.SH</x:v>
      </x:c>
      <x:c r="B1310" s="11" t="str">
        <x:v>2026年底</x:v>
      </x:c>
      <x:c r="C1310" s="11" t="str">
        <x:v>hp518_combo_global</x:v>
      </x:c>
      <x:c r="D1310" s="11" t="str">
        <x:v>2028-12-31</x:v>
      </x:c>
      <x:c r="E1310" s="11" t="str">
        <x:v>USD</x:v>
      </x:c>
      <x:c r="F1310" s="11" t="n">
        <x:v>2.001368925393566</x:v>
      </x:c>
      <x:c r="G1310" s="26" t="b">
        <x:v>1</x:v>
      </x:c>
      <x:c r="H1310" s="16" t="n">
        <x:v>0</x:v>
      </x:c>
      <x:c r="I1310" s="16" t="n">
        <x:v>0</x:v>
      </x:c>
      <x:c r="J1310" s="16" t="n">
        <x:v>0</x:v>
      </x:c>
      <x:c r="K1310" s="11" t="n">
        <x:f>CHOOSE('假设'!$B$3,H1310,I1310,J1310)</x:f>
        <x:v>0</x:v>
      </x:c>
      <x:c r="L1310" s="11" t="n">
        <x:f>K1310*'管线假设'!E299*'管线假设'!F299*'管线假设'!G299*IF(E1310="USD",'管线假设'!I299,1)-AM1310</x:f>
        <x:v>0</x:v>
      </x:c>
      <x:c r="M1310" s="11" t="n">
        <x:f>'管线假设'!H299</x:f>
        <x:v>0.14</x:v>
      </x:c>
      <x:c r="N1310" s="11" t="n">
        <x:f>IF(G1310,L1310*AN1310/(1+M1310)^F1310,0)</x:f>
        <x:v>0</x:v>
      </x:c>
      <x:c r="AJ1310" t="n">
        <x:v>0</x:v>
      </x:c>
      <x:c r="AK1310" t="n">
        <x:v>0</x:v>
      </x:c>
      <x:c r="AL1310" t="n">
        <x:v>0</x:v>
      </x:c>
      <x:c r="AM1310" t="n">
        <x:f>CHOOSE('假设'!$B$3,AJ1310,AK1310,AL1310)</x:f>
        <x:v>0</x:v>
      </x:c>
      <x:c r="AN1310" t="n">
        <x:v>1</x:v>
      </x:c>
    </x:row>
    <x:row r="1311" ht="23" customHeight="1">
      <x:c r="A1311" s="11" t="str">
        <x:v>688302.SH</x:v>
      </x:c>
      <x:c r="B1311" s="11" t="str">
        <x:v>2026年底</x:v>
      </x:c>
      <x:c r="C1311" s="11" t="str">
        <x:v>hp518_combo_global</x:v>
      </x:c>
      <x:c r="D1311" s="11" t="str">
        <x:v>2029-12-31</x:v>
      </x:c>
      <x:c r="E1311" s="11" t="str">
        <x:v>USD</x:v>
      </x:c>
      <x:c r="F1311" s="11" t="n">
        <x:v>3.0006844626967832</x:v>
      </x:c>
      <x:c r="G1311" s="26" t="b">
        <x:v>1</x:v>
      </x:c>
      <x:c r="H1311" s="16" t="n">
        <x:v>0</x:v>
      </x:c>
      <x:c r="I1311" s="16" t="n">
        <x:v>0</x:v>
      </x:c>
      <x:c r="J1311" s="16" t="n">
        <x:v>0</x:v>
      </x:c>
      <x:c r="K1311" s="11" t="n">
        <x:f>CHOOSE('假设'!$B$3,H1311,I1311,J1311)</x:f>
        <x:v>0</x:v>
      </x:c>
      <x:c r="L1311" s="11" t="n">
        <x:f>K1311*'管线假设'!E299*'管线假设'!F299*'管线假设'!G299*IF(E1311="USD",'管线假设'!I299,1)-AM1311</x:f>
        <x:v>0</x:v>
      </x:c>
      <x:c r="M1311" s="11" t="n">
        <x:f>'管线假设'!H299</x:f>
        <x:v>0.14</x:v>
      </x:c>
      <x:c r="N1311" s="11" t="n">
        <x:f>IF(G1311,L1311*AN1311/(1+M1311)^F1311,0)</x:f>
        <x:v>0</x:v>
      </x:c>
      <x:c r="AJ1311" t="n">
        <x:v>0</x:v>
      </x:c>
      <x:c r="AK1311" t="n">
        <x:v>0</x:v>
      </x:c>
      <x:c r="AL1311" t="n">
        <x:v>0</x:v>
      </x:c>
      <x:c r="AM1311" t="n">
        <x:f>CHOOSE('假设'!$B$3,AJ1311,AK1311,AL1311)</x:f>
        <x:v>0</x:v>
      </x:c>
      <x:c r="AN1311" t="n">
        <x:v>1</x:v>
      </x:c>
    </x:row>
    <x:row r="1312" ht="23" customHeight="1">
      <x:c r="A1312" s="11" t="str">
        <x:v>688302.SH</x:v>
      </x:c>
      <x:c r="B1312" s="11" t="str">
        <x:v>2026年底</x:v>
      </x:c>
      <x:c r="C1312" s="11" t="str">
        <x:v>hp518_combo_global</x:v>
      </x:c>
      <x:c r="D1312" s="11" t="str">
        <x:v>2030-12-31</x:v>
      </x:c>
      <x:c r="E1312" s="11" t="str">
        <x:v>USD</x:v>
      </x:c>
      <x:c r="F1312" s="11" t="n">
        <x:v>4</x:v>
      </x:c>
      <x:c r="G1312" s="26" t="b">
        <x:v>1</x:v>
      </x:c>
      <x:c r="H1312" s="16" t="n">
        <x:v>0</x:v>
      </x:c>
      <x:c r="I1312" s="16" t="n">
        <x:v>0</x:v>
      </x:c>
      <x:c r="J1312" s="16" t="n">
        <x:v>0</x:v>
      </x:c>
      <x:c r="K1312" s="11" t="n">
        <x:f>CHOOSE('假设'!$B$3,H1312,I1312,J1312)</x:f>
        <x:v>0</x:v>
      </x:c>
      <x:c r="L1312" s="11" t="n">
        <x:f>K1312*'管线假设'!E299*'管线假设'!F299*'管线假设'!G299*IF(E1312="USD",'管线假设'!I299,1)-AM1312</x:f>
        <x:v>0</x:v>
      </x:c>
      <x:c r="M1312" s="11" t="n">
        <x:f>'管线假设'!H299</x:f>
        <x:v>0.14</x:v>
      </x:c>
      <x:c r="N1312" s="11" t="n">
        <x:f>IF(G1312,L1312*AN1312/(1+M1312)^F1312,0)</x:f>
        <x:v>0</x:v>
      </x:c>
      <x:c r="AJ1312" t="n">
        <x:v>0</x:v>
      </x:c>
      <x:c r="AK1312" t="n">
        <x:v>0</x:v>
      </x:c>
      <x:c r="AL1312" t="n">
        <x:v>0</x:v>
      </x:c>
      <x:c r="AM1312" t="n">
        <x:f>CHOOSE('假设'!$B$3,AJ1312,AK1312,AL1312)</x:f>
        <x:v>0</x:v>
      </x:c>
      <x:c r="AN1312" t="n">
        <x:v>1</x:v>
      </x:c>
    </x:row>
    <x:row r="1313" ht="23" customHeight="1">
      <x:c r="A1313" s="11" t="str">
        <x:v>688302.SH</x:v>
      </x:c>
      <x:c r="B1313" s="11" t="str">
        <x:v>2026年底</x:v>
      </x:c>
      <x:c r="C1313" s="11" t="str">
        <x:v>hp518_combo_global</x:v>
      </x:c>
      <x:c r="D1313" s="11" t="str">
        <x:v>2031-12-31</x:v>
      </x:c>
      <x:c r="E1313" s="11" t="str">
        <x:v>USD</x:v>
      </x:c>
      <x:c r="F1313" s="11" t="n">
        <x:v>4.999315537303217</x:v>
      </x:c>
      <x:c r="G1313" s="26" t="b">
        <x:v>1</x:v>
      </x:c>
      <x:c r="H1313" s="16" t="n">
        <x:v>0</x:v>
      </x:c>
      <x:c r="I1313" s="16" t="n">
        <x:v>0</x:v>
      </x:c>
      <x:c r="J1313" s="16" t="n">
        <x:v>0</x:v>
      </x:c>
      <x:c r="K1313" s="11" t="n">
        <x:f>CHOOSE('假设'!$B$3,H1313,I1313,J1313)</x:f>
        <x:v>0</x:v>
      </x:c>
      <x:c r="L1313" s="11" t="n">
        <x:f>K1313*'管线假设'!E299*'管线假设'!F299*'管线假设'!G299*IF(E1313="USD",'管线假设'!I299,1)-AM1313</x:f>
        <x:v>0</x:v>
      </x:c>
      <x:c r="M1313" s="11" t="n">
        <x:f>'管线假设'!H299</x:f>
        <x:v>0.14</x:v>
      </x:c>
      <x:c r="N1313" s="11" t="n">
        <x:f>IF(G1313,L1313*AN1313/(1+M1313)^F1313,0)</x:f>
        <x:v>0</x:v>
      </x:c>
      <x:c r="AJ1313" t="n">
        <x:v>0</x:v>
      </x:c>
      <x:c r="AK1313" t="n">
        <x:v>0</x:v>
      </x:c>
      <x:c r="AL1313" t="n">
        <x:v>0</x:v>
      </x:c>
      <x:c r="AM1313" t="n">
        <x:f>CHOOSE('假设'!$B$3,AJ1313,AK1313,AL1313)</x:f>
        <x:v>0</x:v>
      </x:c>
      <x:c r="AN1313" t="n">
        <x:v>1</x:v>
      </x:c>
    </x:row>
    <x:row r="1314" ht="23" customHeight="1">
      <x:c r="A1314" s="11" t="str">
        <x:v>688302.SH</x:v>
      </x:c>
      <x:c r="B1314" s="11" t="str">
        <x:v>2026年底</x:v>
      </x:c>
      <x:c r="C1314" s="11" t="str">
        <x:v>hp518_combo_global</x:v>
      </x:c>
      <x:c r="D1314" s="11" t="str">
        <x:v>2032-12-31</x:v>
      </x:c>
      <x:c r="E1314" s="11" t="str">
        <x:v>USD</x:v>
      </x:c>
      <x:c r="F1314" s="11" t="n">
        <x:v>6.0013689253935665</x:v>
      </x:c>
      <x:c r="G1314" s="26" t="b">
        <x:v>1</x:v>
      </x:c>
      <x:c r="H1314" s="16" t="n">
        <x:v>0</x:v>
      </x:c>
      <x:c r="I1314" s="16" t="n">
        <x:v>0</x:v>
      </x:c>
      <x:c r="J1314" s="16" t="n">
        <x:v>0.5</x:v>
      </x:c>
      <x:c r="K1314" s="11" t="n">
        <x:f>CHOOSE('假设'!$B$3,H1314,I1314,J1314)</x:f>
        <x:v>0</x:v>
      </x:c>
      <x:c r="L1314" s="11" t="n">
        <x:f>K1314*'管线假设'!E299*'管线假设'!F299*'管线假设'!G299*IF(E1314="USD",'管线假设'!I299,1)-AM1314</x:f>
        <x:v>0</x:v>
      </x:c>
      <x:c r="M1314" s="11" t="n">
        <x:f>'管线假设'!H299</x:f>
        <x:v>0.14</x:v>
      </x:c>
      <x:c r="N1314" s="11" t="n">
        <x:f>IF(G1314,L1314*AN1314/(1+M1314)^F1314,0)</x:f>
        <x:v>0</x:v>
      </x:c>
      <x:c r="AJ1314" t="n">
        <x:v>0</x:v>
      </x:c>
      <x:c r="AK1314" t="n">
        <x:v>0</x:v>
      </x:c>
      <x:c r="AL1314" t="n">
        <x:v>0</x:v>
      </x:c>
      <x:c r="AM1314" t="n">
        <x:f>CHOOSE('假设'!$B$3,AJ1314,AK1314,AL1314)</x:f>
        <x:v>0</x:v>
      </x:c>
      <x:c r="AN1314" t="n">
        <x:v>1</x:v>
      </x:c>
    </x:row>
    <x:row r="1315" ht="23" customHeight="1">
      <x:c r="A1315" s="11" t="str">
        <x:v>688302.SH</x:v>
      </x:c>
      <x:c r="B1315" s="11" t="str">
        <x:v>2026年底</x:v>
      </x:c>
      <x:c r="C1315" s="11" t="str">
        <x:v>hp518_combo_global</x:v>
      </x:c>
      <x:c r="D1315" s="11" t="str">
        <x:v>2033-12-31</x:v>
      </x:c>
      <x:c r="E1315" s="11" t="str">
        <x:v>USD</x:v>
      </x:c>
      <x:c r="F1315" s="11" t="n">
        <x:v>7.000684462696783</x:v>
      </x:c>
      <x:c r="G1315" s="26" t="b">
        <x:v>1</x:v>
      </x:c>
      <x:c r="H1315" s="16" t="n">
        <x:v>0</x:v>
      </x:c>
      <x:c r="I1315" s="16" t="n">
        <x:v>0</x:v>
      </x:c>
      <x:c r="J1315" s="16" t="n">
        <x:v>1</x:v>
      </x:c>
      <x:c r="K1315" s="11" t="n">
        <x:f>CHOOSE('假设'!$B$3,H1315,I1315,J1315)</x:f>
        <x:v>0</x:v>
      </x:c>
      <x:c r="L1315" s="11" t="n">
        <x:f>K1315*'管线假设'!E299*'管线假设'!F299*'管线假设'!G299*IF(E1315="USD",'管线假设'!I299,1)-AM1315</x:f>
        <x:v>0</x:v>
      </x:c>
      <x:c r="M1315" s="11" t="n">
        <x:f>'管线假设'!H299</x:f>
        <x:v>0.14</x:v>
      </x:c>
      <x:c r="N1315" s="11" t="n">
        <x:f>IF(G1315,L1315*AN1315/(1+M1315)^F1315,0)</x:f>
        <x:v>0</x:v>
      </x:c>
      <x:c r="AJ1315" t="n">
        <x:v>0</x:v>
      </x:c>
      <x:c r="AK1315" t="n">
        <x:v>0</x:v>
      </x:c>
      <x:c r="AL1315" t="n">
        <x:v>0</x:v>
      </x:c>
      <x:c r="AM1315" t="n">
        <x:f>CHOOSE('假设'!$B$3,AJ1315,AK1315,AL1315)</x:f>
        <x:v>0</x:v>
      </x:c>
      <x:c r="AN1315" t="n">
        <x:v>1</x:v>
      </x:c>
    </x:row>
    <x:row r="1316" ht="23" customHeight="1">
      <x:c r="A1316" s="11" t="str">
        <x:v>688302.SH</x:v>
      </x:c>
      <x:c r="B1316" s="11" t="str">
        <x:v>2026年底</x:v>
      </x:c>
      <x:c r="C1316" s="11" t="str">
        <x:v>hp518_combo_global</x:v>
      </x:c>
      <x:c r="D1316" s="11" t="str">
        <x:v>2034-12-31</x:v>
      </x:c>
      <x:c r="E1316" s="11" t="str">
        <x:v>USD</x:v>
      </x:c>
      <x:c r="F1316" s="11" t="n">
        <x:v>8</x:v>
      </x:c>
      <x:c r="G1316" s="26" t="b">
        <x:v>1</x:v>
      </x:c>
      <x:c r="H1316" s="16" t="n">
        <x:v>0</x:v>
      </x:c>
      <x:c r="I1316" s="16" t="n">
        <x:v>0.26666666666666666</x:v>
      </x:c>
      <x:c r="J1316" s="16" t="n">
        <x:v>1.5</x:v>
      </x:c>
      <x:c r="K1316" s="11" t="n">
        <x:f>CHOOSE('假设'!$B$3,H1316,I1316,J1316)</x:f>
        <x:v>0.26666666666666666</x:v>
      </x:c>
      <x:c r="L1316" s="11" t="n">
        <x:f>K1316*'管线假设'!E299*'管线假设'!F299*'管线假设'!G299*IF(E1316="USD",'管线假设'!I299,1)-AM1316</x:f>
        <x:v>0.020073600000000004</x:v>
      </x:c>
      <x:c r="M1316" s="11" t="n">
        <x:f>'管线假设'!H299</x:f>
        <x:v>0.14</x:v>
      </x:c>
      <x:c r="N1316" s="11" t="n">
        <x:f>IF(G1316,L1316*AN1316/(1+M1316)^F1316,0)</x:f>
        <x:v>0.007036982243452228</x:v>
      </x:c>
      <x:c r="AJ1316" t="n">
        <x:v>0</x:v>
      </x:c>
      <x:c r="AK1316" t="n">
        <x:v>0</x:v>
      </x:c>
      <x:c r="AL1316" t="n">
        <x:v>0</x:v>
      </x:c>
      <x:c r="AM1316" t="n">
        <x:f>CHOOSE('假设'!$B$3,AJ1316,AK1316,AL1316)</x:f>
        <x:v>0</x:v>
      </x:c>
      <x:c r="AN1316" t="n">
        <x:v>1</x:v>
      </x:c>
    </x:row>
    <x:row r="1317" ht="23" customHeight="1">
      <x:c r="A1317" s="11" t="str">
        <x:v>688302.SH</x:v>
      </x:c>
      <x:c r="B1317" s="11" t="str">
        <x:v>2026年底</x:v>
      </x:c>
      <x:c r="C1317" s="11" t="str">
        <x:v>hp518_combo_global</x:v>
      </x:c>
      <x:c r="D1317" s="11" t="str">
        <x:v>2035-12-31</x:v>
      </x:c>
      <x:c r="E1317" s="11" t="str">
        <x:v>USD</x:v>
      </x:c>
      <x:c r="F1317" s="11" t="n">
        <x:v>8.999315537303216</x:v>
      </x:c>
      <x:c r="G1317" s="26" t="b">
        <x:v>1</x:v>
      </x:c>
      <x:c r="H1317" s="16" t="n">
        <x:v>0</x:v>
      </x:c>
      <x:c r="I1317" s="16" t="n">
        <x:v>0.5333333333333333</x:v>
      </x:c>
      <x:c r="J1317" s="16" t="n">
        <x:v>2</x:v>
      </x:c>
      <x:c r="K1317" s="11" t="n">
        <x:f>CHOOSE('假设'!$B$3,H1317,I1317,J1317)</x:f>
        <x:v>0.5333333333333333</x:v>
      </x:c>
      <x:c r="L1317" s="11" t="n">
        <x:f>K1317*'管线假设'!E299*'管线假设'!F299*'管线假设'!G299*IF(E1317="USD",'管线假设'!I299,1)-AM1317</x:f>
        <x:v>0.04014720000000001</x:v>
      </x:c>
      <x:c r="M1317" s="11" t="n">
        <x:f>'管线假设'!H299</x:f>
        <x:v>0.14</x:v>
      </x:c>
      <x:c r="N1317" s="11" t="n">
        <x:f>IF(G1317,L1317*AN1317/(1+M1317)^F1317,0)</x:f>
        <x:v>0.012346690133634907</x:v>
      </x:c>
      <x:c r="AJ1317" t="n">
        <x:v>0</x:v>
      </x:c>
      <x:c r="AK1317" t="n">
        <x:v>0</x:v>
      </x:c>
      <x:c r="AL1317" t="n">
        <x:v>0</x:v>
      </x:c>
      <x:c r="AM1317" t="n">
        <x:f>CHOOSE('假设'!$B$3,AJ1317,AK1317,AL1317)</x:f>
        <x:v>0</x:v>
      </x:c>
      <x:c r="AN1317" t="n">
        <x:v>1</x:v>
      </x:c>
    </x:row>
    <x:row r="1318" ht="23" customHeight="1">
      <x:c r="A1318" s="11" t="str">
        <x:v>688302.SH</x:v>
      </x:c>
      <x:c r="B1318" s="11" t="str">
        <x:v>2026年底</x:v>
      </x:c>
      <x:c r="C1318" s="11" t="str">
        <x:v>hp518_combo_global</x:v>
      </x:c>
      <x:c r="D1318" s="11" t="str">
        <x:v>2036-12-31</x:v>
      </x:c>
      <x:c r="E1318" s="11" t="str">
        <x:v>USD</x:v>
      </x:c>
      <x:c r="F1318" s="11" t="n">
        <x:v>10.001368925393566</x:v>
      </x:c>
      <x:c r="G1318" s="26" t="b">
        <x:v>1</x:v>
      </x:c>
      <x:c r="H1318" s="16" t="n">
        <x:v>0</x:v>
      </x:c>
      <x:c r="I1318" s="16" t="n">
        <x:v>0.8</x:v>
      </x:c>
      <x:c r="J1318" s="16" t="n">
        <x:v>2.5</x:v>
      </x:c>
      <x:c r="K1318" s="11" t="n">
        <x:f>CHOOSE('假设'!$B$3,H1318,I1318,J1318)</x:f>
        <x:v>0.8</x:v>
      </x:c>
      <x:c r="L1318" s="11" t="n">
        <x:f>K1318*'管线假设'!E299*'管线假设'!F299*'管线假设'!G299*IF(E1318="USD",'管线假设'!I299,1)-AM1318</x:f>
        <x:v>0.06022080000000002</x:v>
      </x:c>
      <x:c r="M1318" s="11" t="n">
        <x:f>'管线假设'!H299</x:f>
        <x:v>0.14</x:v>
      </x:c>
      <x:c r="N1318" s="11" t="n">
        <x:f>IF(G1318,L1318*AN1318/(1+M1318)^F1318,0)</x:f>
        <x:v>0.016241274579426677</x:v>
      </x:c>
      <x:c r="AJ1318" t="n">
        <x:v>0</x:v>
      </x:c>
      <x:c r="AK1318" t="n">
        <x:v>0</x:v>
      </x:c>
      <x:c r="AL1318" t="n">
        <x:v>0</x:v>
      </x:c>
      <x:c r="AM1318" t="n">
        <x:f>CHOOSE('假设'!$B$3,AJ1318,AK1318,AL1318)</x:f>
        <x:v>0</x:v>
      </x:c>
      <x:c r="AN1318" t="n">
        <x:v>1</x:v>
      </x:c>
    </x:row>
    <x:row r="1319" ht="23" customHeight="1">
      <x:c r="A1319" s="11" t="str">
        <x:v>688302.SH</x:v>
      </x:c>
      <x:c r="B1319" s="11" t="str">
        <x:v>2026年底</x:v>
      </x:c>
      <x:c r="C1319" s="11" t="str">
        <x:v>hp518_combo_global</x:v>
      </x:c>
      <x:c r="D1319" s="11" t="str">
        <x:v>2037-12-31</x:v>
      </x:c>
      <x:c r="E1319" s="11" t="str">
        <x:v>USD</x:v>
      </x:c>
      <x:c r="F1319" s="11" t="n">
        <x:v>11.000684462696784</x:v>
      </x:c>
      <x:c r="G1319" s="26" t="b">
        <x:v>1</x:v>
      </x:c>
      <x:c r="H1319" s="16" t="n">
        <x:v>0.1</x:v>
      </x:c>
      <x:c r="I1319" s="16" t="n">
        <x:v>1.0666666666666667</x:v>
      </x:c>
      <x:c r="J1319" s="16" t="n">
        <x:v>3</x:v>
      </x:c>
      <x:c r="K1319" s="11" t="n">
        <x:f>CHOOSE('假设'!$B$3,H1319,I1319,J1319)</x:f>
        <x:v>1.0666666666666667</x:v>
      </x:c>
      <x:c r="L1319" s="11" t="n">
        <x:f>K1319*'管线假设'!E299*'管线假设'!F299*'管线假设'!G299*IF(E1319="USD",'管线假设'!I299,1)-AM1319</x:f>
        <x:v>0.08029440000000002</x:v>
      </x:c>
      <x:c r="M1319" s="11" t="n">
        <x:f>'管线假设'!H299</x:f>
        <x:v>0.14</x:v>
      </x:c>
      <x:c r="N1319" s="11" t="n">
        <x:f>IF(G1319,L1319*AN1319/(1+M1319)^F1319,0)</x:f>
        <x:v>0.01899734646377697</x:v>
      </x:c>
      <x:c r="AJ1319" t="n">
        <x:v>0</x:v>
      </x:c>
      <x:c r="AK1319" t="n">
        <x:v>0</x:v>
      </x:c>
      <x:c r="AL1319" t="n">
        <x:v>0</x:v>
      </x:c>
      <x:c r="AM1319" t="n">
        <x:f>CHOOSE('假设'!$B$3,AJ1319,AK1319,AL1319)</x:f>
        <x:v>0</x:v>
      </x:c>
      <x:c r="AN1319" t="n">
        <x:v>1</x:v>
      </x:c>
    </x:row>
    <x:row r="1320" ht="23" customHeight="1">
      <x:c r="A1320" s="11" t="str">
        <x:v>688302.SH</x:v>
      </x:c>
      <x:c r="B1320" s="11" t="str">
        <x:v>2026年底</x:v>
      </x:c>
      <x:c r="C1320" s="11" t="str">
        <x:v>hp518_combo_global</x:v>
      </x:c>
      <x:c r="D1320" s="11" t="str">
        <x:v>2038-12-31</x:v>
      </x:c>
      <x:c r="E1320" s="11" t="str">
        <x:v>USD</x:v>
      </x:c>
      <x:c r="F1320" s="11" t="n">
        <x:v>12</x:v>
      </x:c>
      <x:c r="G1320" s="26" t="b">
        <x:v>1</x:v>
      </x:c>
      <x:c r="H1320" s="16" t="n">
        <x:v>0.2</x:v>
      </x:c>
      <x:c r="I1320" s="16" t="n">
        <x:v>1.3333333333333335</x:v>
      </x:c>
      <x:c r="J1320" s="16" t="n">
        <x:v>2.61</x:v>
      </x:c>
      <x:c r="K1320" s="11" t="n">
        <x:f>CHOOSE('假设'!$B$3,H1320,I1320,J1320)</x:f>
        <x:v>1.3333333333333335</x:v>
      </x:c>
      <x:c r="L1320" s="11" t="n">
        <x:f>K1320*'管线假设'!E299*'管线假设'!F299*'管线假设'!G299*IF(E1320="USD",'管线假设'!I299,1)-AM1320</x:f>
        <x:v>0.10036800000000003</x:v>
      </x:c>
      <x:c r="M1320" s="11" t="n">
        <x:f>'管线假设'!H299</x:f>
        <x:v>0.14</x:v>
      </x:c>
      <x:c r="N1320" s="11" t="n">
        <x:f>IF(G1320,L1320*AN1320/(1+M1320)^F1320,0)</x:f>
        <x:v>0.020832291992761463</x:v>
      </x:c>
      <x:c r="AJ1320" t="n">
        <x:v>0</x:v>
      </x:c>
      <x:c r="AK1320" t="n">
        <x:v>0</x:v>
      </x:c>
      <x:c r="AL1320" t="n">
        <x:v>0</x:v>
      </x:c>
      <x:c r="AM1320" t="n">
        <x:f>CHOOSE('假设'!$B$3,AJ1320,AK1320,AL1320)</x:f>
        <x:v>0</x:v>
      </x:c>
      <x:c r="AN1320" t="n">
        <x:v>1</x:v>
      </x:c>
    </x:row>
    <x:row r="1321" ht="23" customHeight="1">
      <x:c r="A1321" s="11" t="str">
        <x:v>688302.SH</x:v>
      </x:c>
      <x:c r="B1321" s="11" t="str">
        <x:v>2026年底</x:v>
      </x:c>
      <x:c r="C1321" s="11" t="str">
        <x:v>hp518_combo_global</x:v>
      </x:c>
      <x:c r="D1321" s="11" t="str">
        <x:v>2039-12-31</x:v>
      </x:c>
      <x:c r="E1321" s="11" t="str">
        <x:v>USD</x:v>
      </x:c>
      <x:c r="F1321" s="11" t="n">
        <x:v>12.999315537303216</x:v>
      </x:c>
      <x:c r="G1321" s="26" t="b">
        <x:v>1</x:v>
      </x:c>
      <x:c r="H1321" s="16" t="n">
        <x:v>0.3</x:v>
      </x:c>
      <x:c r="I1321" s="16" t="n">
        <x:v>1.6</x:v>
      </x:c>
      <x:c r="J1321" s="16" t="n">
        <x:v>2.2199999999999998</x:v>
      </x:c>
      <x:c r="K1321" s="11" t="n">
        <x:f>CHOOSE('假设'!$B$3,H1321,I1321,J1321)</x:f>
        <x:v>1.6</x:v>
      </x:c>
      <x:c r="L1321" s="11" t="n">
        <x:f>K1321*'管线假设'!E299*'管线假设'!F299*'管线假设'!G299*IF(E1321="USD",'管线假设'!I299,1)-AM1321</x:f>
        <x:v>0.12044160000000004</x:v>
      </x:c>
      <x:c r="M1321" s="11" t="n">
        <x:f>'管线假设'!H299</x:f>
        <x:v>0.14</x:v>
      </x:c>
      <x:c r="N1321" s="11" t="n">
        <x:f>IF(G1321,L1321*AN1321/(1+M1321)^F1321,0)</x:f>
        <x:v>0.021930695156779013</x:v>
      </x:c>
      <x:c r="AJ1321" t="n">
        <x:v>0</x:v>
      </x:c>
      <x:c r="AK1321" t="n">
        <x:v>0</x:v>
      </x:c>
      <x:c r="AL1321" t="n">
        <x:v>0</x:v>
      </x:c>
      <x:c r="AM1321" t="n">
        <x:f>CHOOSE('假设'!$B$3,AJ1321,AK1321,AL1321)</x:f>
        <x:v>0</x:v>
      </x:c>
      <x:c r="AN1321" t="n">
        <x:v>1</x:v>
      </x:c>
    </x:row>
    <x:row r="1322" ht="23" customHeight="1">
      <x:c r="A1322" s="11" t="str">
        <x:v>688302.SH</x:v>
      </x:c>
      <x:c r="B1322" s="11" t="str">
        <x:v>2026年底</x:v>
      </x:c>
      <x:c r="C1322" s="11" t="str">
        <x:v>hp518_combo_global</x:v>
      </x:c>
      <x:c r="D1322" s="11" t="str">
        <x:v>2040-12-31</x:v>
      </x:c>
      <x:c r="E1322" s="11" t="str">
        <x:v>USD</x:v>
      </x:c>
      <x:c r="F1322" s="11" t="n">
        <x:v>14.001368925393566</x:v>
      </x:c>
      <x:c r="G1322" s="26" t="b">
        <x:v>1</x:v>
      </x:c>
      <x:c r="H1322" s="16" t="n">
        <x:v>0.4</x:v>
      </x:c>
      <x:c r="I1322" s="16" t="n">
        <x:v>1.3920000000000001</x:v>
      </x:c>
      <x:c r="J1322" s="16" t="n">
        <x:v>1.83</x:v>
      </x:c>
      <x:c r="K1322" s="11" t="n">
        <x:f>CHOOSE('假设'!$B$3,H1322,I1322,J1322)</x:f>
        <x:v>1.3920000000000001</x:v>
      </x:c>
      <x:c r="L1322" s="11" t="n">
        <x:f>K1322*'管线假设'!E299*'管线假设'!F299*'管线假设'!G299*IF(E1322="USD",'管线假设'!I299,1)-AM1322</x:f>
        <x:v>0.10478419200000003</x:v>
      </x:c>
      <x:c r="M1322" s="11" t="n">
        <x:f>'管线假设'!H299</x:f>
        <x:v>0.14</x:v>
      </x:c>
      <x:c r="N1322" s="11" t="n">
        <x:f>IF(G1322,L1322*AN1322/(1+M1322)^F1322,0)</x:f>
        <x:v>0.016732080742628296</x:v>
      </x:c>
      <x:c r="AJ1322" t="n">
        <x:v>0</x:v>
      </x:c>
      <x:c r="AK1322" t="n">
        <x:v>0</x:v>
      </x:c>
      <x:c r="AL1322" t="n">
        <x:v>0</x:v>
      </x:c>
      <x:c r="AM1322" t="n">
        <x:f>CHOOSE('假设'!$B$3,AJ1322,AK1322,AL1322)</x:f>
        <x:v>0</x:v>
      </x:c>
      <x:c r="AN1322" t="n">
        <x:v>1</x:v>
      </x:c>
    </x:row>
    <x:row r="1323" ht="23" customHeight="1">
      <x:c r="A1323" s="11" t="str">
        <x:v>688302.SH</x:v>
      </x:c>
      <x:c r="B1323" s="11" t="str">
        <x:v>2026年底</x:v>
      </x:c>
      <x:c r="C1323" s="11" t="str">
        <x:v>hp518_combo_global</x:v>
      </x:c>
      <x:c r="D1323" s="11" t="str">
        <x:v>2041-12-31</x:v>
      </x:c>
      <x:c r="E1323" s="11" t="str">
        <x:v>USD</x:v>
      </x:c>
      <x:c r="F1323" s="11" t="n">
        <x:v>15.000684462696784</x:v>
      </x:c>
      <x:c r="G1323" s="26" t="b">
        <x:v>1</x:v>
      </x:c>
      <x:c r="H1323" s="16" t="n">
        <x:v>0.5</x:v>
      </x:c>
      <x:c r="I1323" s="16" t="n">
        <x:v>1.184</x:v>
      </x:c>
      <x:c r="J1323" s="16" t="n">
        <x:v>1.44</x:v>
      </x:c>
      <x:c r="K1323" s="11" t="n">
        <x:f>CHOOSE('假设'!$B$3,H1323,I1323,J1323)</x:f>
        <x:v>1.184</x:v>
      </x:c>
      <x:c r="L1323" s="11" t="n">
        <x:f>K1323*'管线假设'!E299*'管线假设'!F299*'管线假设'!G299*IF(E1323="USD",'管线假设'!I299,1)-AM1323</x:f>
        <x:v>0.089126784</x:v>
      </x:c>
      <x:c r="M1323" s="11" t="n">
        <x:f>'管线假设'!H299</x:f>
        <x:v>0.14</x:v>
      </x:c>
      <x:c r="N1323" s="11" t="n">
        <x:f>IF(G1323,L1323*AN1323/(1+M1323)^F1323,0)</x:f>
        <x:v>0.012485229121563425</x:v>
      </x:c>
      <x:c r="AJ1323" t="n">
        <x:v>0</x:v>
      </x:c>
      <x:c r="AK1323" t="n">
        <x:v>0</x:v>
      </x:c>
      <x:c r="AL1323" t="n">
        <x:v>0</x:v>
      </x:c>
      <x:c r="AM1323" t="n">
        <x:f>CHOOSE('假设'!$B$3,AJ1323,AK1323,AL1323)</x:f>
        <x:v>0</x:v>
      </x:c>
      <x:c r="AN1323" t="n">
        <x:v>1</x:v>
      </x:c>
    </x:row>
    <x:row r="1324" ht="23" customHeight="1">
      <x:c r="A1324" s="11" t="str">
        <x:v>688302.SH</x:v>
      </x:c>
      <x:c r="B1324" s="11" t="str">
        <x:v>2026年底</x:v>
      </x:c>
      <x:c r="C1324" s="11" t="str">
        <x:v>hp518_combo_global</x:v>
      </x:c>
      <x:c r="D1324" s="11" t="str">
        <x:v>2042-12-31</x:v>
      </x:c>
      <x:c r="E1324" s="11" t="str">
        <x:v>USD</x:v>
      </x:c>
      <x:c r="F1324" s="11" t="n">
        <x:v>16</x:v>
      </x:c>
      <x:c r="G1324" s="26" t="b">
        <x:v>1</x:v>
      </x:c>
      <x:c r="H1324" s="16" t="n">
        <x:v>0.435</x:v>
      </x:c>
      <x:c r="I1324" s="16" t="n">
        <x:v>0.976</x:v>
      </x:c>
      <x:c r="J1324" s="16" t="n">
        <x:v>1.0499999999999998</x:v>
      </x:c>
      <x:c r="K1324" s="11" t="n">
        <x:f>CHOOSE('假设'!$B$3,H1324,I1324,J1324)</x:f>
        <x:v>0.976</x:v>
      </x:c>
      <x:c r="L1324" s="11" t="n">
        <x:f>K1324*'管线假设'!E299*'管线假设'!F299*'管线假设'!G299*IF(E1324="USD",'管线假设'!I299,1)-AM1324</x:f>
        <x:v>0.07346937600000002</x:v>
      </x:c>
      <x:c r="M1324" s="11" t="n">
        <x:f>'管线假设'!H299</x:f>
        <x:v>0.14</x:v>
      </x:c>
      <x:c r="N1324" s="11" t="n">
        <x:f>IF(G1324,L1324*AN1324/(1+M1324)^F1324,0)</x:f>
        <x:v>0.009028772910014282</x:v>
      </x:c>
      <x:c r="AJ1324" t="n">
        <x:v>0</x:v>
      </x:c>
      <x:c r="AK1324" t="n">
        <x:v>0</x:v>
      </x:c>
      <x:c r="AL1324" t="n">
        <x:v>0</x:v>
      </x:c>
      <x:c r="AM1324" t="n">
        <x:f>CHOOSE('假设'!$B$3,AJ1324,AK1324,AL1324)</x:f>
        <x:v>0</x:v>
      </x:c>
      <x:c r="AN1324" t="n">
        <x:v>1</x:v>
      </x:c>
    </x:row>
    <x:row r="1325" ht="23" customHeight="1">
      <x:c r="A1325" s="11" t="str">
        <x:v>688302.SH</x:v>
      </x:c>
      <x:c r="B1325" s="11" t="str">
        <x:v>2026年底</x:v>
      </x:c>
      <x:c r="C1325" s="11" t="str">
        <x:v>hp518_combo_global</x:v>
      </x:c>
      <x:c r="D1325" s="11" t="str">
        <x:v>2043-12-31</x:v>
      </x:c>
      <x:c r="E1325" s="11" t="str">
        <x:v>USD</x:v>
      </x:c>
      <x:c r="F1325" s="11" t="n">
        <x:v>16.999315537303218</x:v>
      </x:c>
      <x:c r="G1325" s="26" t="b">
        <x:v>1</x:v>
      </x:c>
      <x:c r="H1325" s="16" t="n">
        <x:v>0.37</x:v>
      </x:c>
      <x:c r="I1325" s="16" t="n">
        <x:v>0.768</x:v>
      </x:c>
      <x:c r="J1325" s="16" t="n">
        <x:v>0.6599999999999999</x:v>
      </x:c>
      <x:c r="K1325" s="11" t="n">
        <x:f>CHOOSE('假设'!$B$3,H1325,I1325,J1325)</x:f>
        <x:v>0.768</x:v>
      </x:c>
      <x:c r="L1325" s="11" t="n">
        <x:f>K1325*'管线假设'!E299*'管线假设'!F299*'管线假设'!G299*IF(E1325="USD",'管线假设'!I299,1)-AM1325</x:f>
        <x:v>0.05781196800000001</x:v>
      </x:c>
      <x:c r="M1325" s="11" t="n">
        <x:f>'管线假设'!H299</x:f>
        <x:v>0.14</x:v>
      </x:c>
      <x:c r="N1325" s="11" t="n">
        <x:f>IF(G1325,L1325*AN1325/(1+M1325)^F1325,0)</x:f>
        <x:v>0.006232671394246457</x:v>
      </x:c>
      <x:c r="AJ1325" t="n">
        <x:v>0</x:v>
      </x:c>
      <x:c r="AK1325" t="n">
        <x:v>0</x:v>
      </x:c>
      <x:c r="AL1325" t="n">
        <x:v>0</x:v>
      </x:c>
      <x:c r="AM1325" t="n">
        <x:f>CHOOSE('假设'!$B$3,AJ1325,AK1325,AL1325)</x:f>
        <x:v>0</x:v>
      </x:c>
      <x:c r="AN1325" t="n">
        <x:v>1</x:v>
      </x:c>
    </x:row>
    <x:row r="1326" ht="23" customHeight="1">
      <x:c r="A1326" s="11" t="str">
        <x:v>688302.SH</x:v>
      </x:c>
      <x:c r="B1326" s="11" t="str">
        <x:v>2026年底</x:v>
      </x:c>
      <x:c r="C1326" s="11" t="str">
        <x:v>hp518_combo_global</x:v>
      </x:c>
      <x:c r="D1326" s="11" t="str">
        <x:v>2044-12-31</x:v>
      </x:c>
      <x:c r="E1326" s="11" t="str">
        <x:v>USD</x:v>
      </x:c>
      <x:c r="F1326" s="11" t="n">
        <x:v>18.001368925393567</x:v>
      </x:c>
      <x:c r="G1326" s="26" t="b">
        <x:v>1</x:v>
      </x:c>
      <x:c r="H1326" s="16" t="n">
        <x:v>0.305</x:v>
      </x:c>
      <x:c r="I1326" s="16" t="n">
        <x:v>0.5599999999999999</x:v>
      </x:c>
      <x:c r="J1326" s="16" t="n">
        <x:v>0.2699999999999999</x:v>
      </x:c>
      <x:c r="K1326" s="11" t="n">
        <x:f>CHOOSE('假设'!$B$3,H1326,I1326,J1326)</x:f>
        <x:v>0.5599999999999999</x:v>
      </x:c>
      <x:c r="L1326" s="11" t="n">
        <x:f>K1326*'管线假设'!E299*'管线假设'!F299*'管线假设'!G299*IF(E1326="USD",'管线假设'!I299,1)-AM1326</x:f>
        <x:v>0.04215456000000001</x:v>
      </x:c>
      <x:c r="M1326" s="11" t="n">
        <x:f>'管线假设'!H299</x:f>
        <x:v>0.14</x:v>
      </x:c>
      <x:c r="N1326" s="11" t="n">
        <x:f>IF(G1326,L1326*AN1326/(1+M1326)^F1326,0)</x:f>
        <x:v>0.003985468106294848</x:v>
      </x:c>
      <x:c r="AJ1326" t="n">
        <x:v>0</x:v>
      </x:c>
      <x:c r="AK1326" t="n">
        <x:v>0</x:v>
      </x:c>
      <x:c r="AL1326" t="n">
        <x:v>0</x:v>
      </x:c>
      <x:c r="AM1326" t="n">
        <x:f>CHOOSE('假设'!$B$3,AJ1326,AK1326,AL1326)</x:f>
        <x:v>0</x:v>
      </x:c>
      <x:c r="AN1326" t="n">
        <x:v>1</x:v>
      </x:c>
    </x:row>
    <x:row r="1327" ht="23" customHeight="1">
      <x:c r="A1327" s="11" t="str">
        <x:v>688302.SH</x:v>
      </x:c>
      <x:c r="B1327" s="11" t="str">
        <x:v>2026年底</x:v>
      </x:c>
      <x:c r="C1327" s="11" t="str">
        <x:v>hp518_combo_global</x:v>
      </x:c>
      <x:c r="D1327" s="11" t="str">
        <x:v>2045-12-31</x:v>
      </x:c>
      <x:c r="E1327" s="11" t="str">
        <x:v>USD</x:v>
      </x:c>
      <x:c r="F1327" s="11" t="n">
        <x:v>19.000684462696782</x:v>
      </x:c>
      <x:c r="G1327" s="26" t="b">
        <x:v>1</x:v>
      </x:c>
      <x:c r="H1327" s="16" t="n">
        <x:v>0.24</x:v>
      </x:c>
      <x:c r="I1327" s="16" t="n">
        <x:v>0.352</x:v>
      </x:c>
      <x:c r="J1327" s="16" t="n">
        <x:v>0</x:v>
      </x:c>
      <x:c r="K1327" s="11" t="n">
        <x:f>CHOOSE('假设'!$B$3,H1327,I1327,J1327)</x:f>
        <x:v>0.352</x:v>
      </x:c>
      <x:c r="L1327" s="11" t="n">
        <x:f>K1327*'管线假设'!E299*'管线假设'!F299*'管线假设'!G299*IF(E1327="USD",'管线假设'!I299,1)-AM1327</x:f>
        <x:v>0.026497152000000003</x:v>
      </x:c>
      <x:c r="M1327" s="11" t="n">
        <x:f>'管线假设'!H299</x:f>
        <x:v>0.14</x:v>
      </x:c>
      <x:c r="N1327" s="11" t="n">
        <x:f>IF(G1327,L1327*AN1327/(1+M1327)^F1327,0)</x:f>
        <x:v>0.00219769830093465</x:v>
      </x:c>
      <x:c r="AJ1327" t="n">
        <x:v>0</x:v>
      </x:c>
      <x:c r="AK1327" t="n">
        <x:v>0</x:v>
      </x:c>
      <x:c r="AL1327" t="n">
        <x:v>0</x:v>
      </x:c>
      <x:c r="AM1327" t="n">
        <x:f>CHOOSE('假设'!$B$3,AJ1327,AK1327,AL1327)</x:f>
        <x:v>0</x:v>
      </x:c>
      <x:c r="AN1327" t="n">
        <x:v>1</x:v>
      </x:c>
    </x:row>
    <x:row r="1328" ht="23" customHeight="1">
      <x:c r="A1328" s="11" t="str">
        <x:v>688302.SH</x:v>
      </x:c>
      <x:c r="B1328" s="11" t="str">
        <x:v>2026年底</x:v>
      </x:c>
      <x:c r="C1328" s="11" t="str">
        <x:v>hp518_tnbc_cn</x:v>
      </x:c>
      <x:c r="D1328" s="11" t="str">
        <x:v>2027-12-31</x:v>
      </x:c>
      <x:c r="E1328" s="11" t="str">
        <x:v>CNY</x:v>
      </x:c>
      <x:c r="F1328" s="11" t="n">
        <x:v>0.999315537303217</x:v>
      </x:c>
      <x:c r="G1328" s="26" t="b">
        <x:v>1</x:v>
      </x:c>
      <x:c r="H1328" s="16" t="n">
        <x:v>0</x:v>
      </x:c>
      <x:c r="I1328" s="16" t="n">
        <x:v>0</x:v>
      </x:c>
      <x:c r="J1328" s="16" t="n">
        <x:v>0</x:v>
      </x:c>
      <x:c r="K1328" s="11" t="n">
        <x:f>CHOOSE('假设'!$B$3,H1328,I1328,J1328)</x:f>
        <x:v>0</x:v>
      </x:c>
      <x:c r="L1328" s="11" t="n">
        <x:f>K1328*'管线假设'!E303*'管线假设'!F303*'管线假设'!G303*IF(E1328="USD",'管线假设'!I303,1)-AM1328</x:f>
        <x:v>0</x:v>
      </x:c>
      <x:c r="M1328" s="11" t="n">
        <x:f>'管线假设'!H303</x:f>
        <x:v>0.14</x:v>
      </x:c>
      <x:c r="N1328" s="11" t="n">
        <x:f>IF(G1328,L1328*AN1328/(1+M1328)^F1328,0)</x:f>
        <x:v>0</x:v>
      </x:c>
      <x:c r="AJ1328" t="n">
        <x:v>0</x:v>
      </x:c>
      <x:c r="AK1328" t="n">
        <x:v>0</x:v>
      </x:c>
      <x:c r="AL1328" t="n">
        <x:v>0</x:v>
      </x:c>
      <x:c r="AM1328" t="n">
        <x:f>CHOOSE('假设'!$B$3,AJ1328,AK1328,AL1328)</x:f>
        <x:v>0</x:v>
      </x:c>
      <x:c r="AN1328" t="n">
        <x:v>1</x:v>
      </x:c>
    </x:row>
    <x:row r="1329" ht="23" customHeight="1">
      <x:c r="A1329" s="11" t="str">
        <x:v>688302.SH</x:v>
      </x:c>
      <x:c r="B1329" s="11" t="str">
        <x:v>2026年底</x:v>
      </x:c>
      <x:c r="C1329" s="11" t="str">
        <x:v>hp518_tnbc_cn</x:v>
      </x:c>
      <x:c r="D1329" s="11" t="str">
        <x:v>2028-12-31</x:v>
      </x:c>
      <x:c r="E1329" s="11" t="str">
        <x:v>CNY</x:v>
      </x:c>
      <x:c r="F1329" s="11" t="n">
        <x:v>2.001368925393566</x:v>
      </x:c>
      <x:c r="G1329" s="26" t="b">
        <x:v>1</x:v>
      </x:c>
      <x:c r="H1329" s="16" t="n">
        <x:v>0</x:v>
      </x:c>
      <x:c r="I1329" s="16" t="n">
        <x:v>0</x:v>
      </x:c>
      <x:c r="J1329" s="16" t="n">
        <x:v>0</x:v>
      </x:c>
      <x:c r="K1329" s="11" t="n">
        <x:f>CHOOSE('假设'!$B$3,H1329,I1329,J1329)</x:f>
        <x:v>0</x:v>
      </x:c>
      <x:c r="L1329" s="11" t="n">
        <x:f>K1329*'管线假设'!E303*'管线假设'!F303*'管线假设'!G303*IF(E1329="USD",'管线假设'!I303,1)-AM1329</x:f>
        <x:v>0</x:v>
      </x:c>
      <x:c r="M1329" s="11" t="n">
        <x:f>'管线假设'!H303</x:f>
        <x:v>0.14</x:v>
      </x:c>
      <x:c r="N1329" s="11" t="n">
        <x:f>IF(G1329,L1329*AN1329/(1+M1329)^F1329,0)</x:f>
        <x:v>0</x:v>
      </x:c>
      <x:c r="AJ1329" t="n">
        <x:v>0</x:v>
      </x:c>
      <x:c r="AK1329" t="n">
        <x:v>0</x:v>
      </x:c>
      <x:c r="AL1329" t="n">
        <x:v>0</x:v>
      </x:c>
      <x:c r="AM1329" t="n">
        <x:f>CHOOSE('假设'!$B$3,AJ1329,AK1329,AL1329)</x:f>
        <x:v>0</x:v>
      </x:c>
      <x:c r="AN1329" t="n">
        <x:v>1</x:v>
      </x:c>
    </x:row>
    <x:row r="1330" ht="23" customHeight="1">
      <x:c r="A1330" s="11" t="str">
        <x:v>688302.SH</x:v>
      </x:c>
      <x:c r="B1330" s="11" t="str">
        <x:v>2026年底</x:v>
      </x:c>
      <x:c r="C1330" s="11" t="str">
        <x:v>hp518_tnbc_cn</x:v>
      </x:c>
      <x:c r="D1330" s="11" t="str">
        <x:v>2029-12-31</x:v>
      </x:c>
      <x:c r="E1330" s="11" t="str">
        <x:v>CNY</x:v>
      </x:c>
      <x:c r="F1330" s="11" t="n">
        <x:v>3.0006844626967832</x:v>
      </x:c>
      <x:c r="G1330" s="26" t="b">
        <x:v>1</x:v>
      </x:c>
      <x:c r="H1330" s="16" t="n">
        <x:v>0</x:v>
      </x:c>
      <x:c r="I1330" s="16" t="n">
        <x:v>0</x:v>
      </x:c>
      <x:c r="J1330" s="16" t="n">
        <x:v>0</x:v>
      </x:c>
      <x:c r="K1330" s="11" t="n">
        <x:f>CHOOSE('假设'!$B$3,H1330,I1330,J1330)</x:f>
        <x:v>0</x:v>
      </x:c>
      <x:c r="L1330" s="11" t="n">
        <x:f>K1330*'管线假设'!E303*'管线假设'!F303*'管线假设'!G303*IF(E1330="USD",'管线假设'!I303,1)-AM1330</x:f>
        <x:v>0</x:v>
      </x:c>
      <x:c r="M1330" s="11" t="n">
        <x:f>'管线假设'!H303</x:f>
        <x:v>0.14</x:v>
      </x:c>
      <x:c r="N1330" s="11" t="n">
        <x:f>IF(G1330,L1330*AN1330/(1+M1330)^F1330,0)</x:f>
        <x:v>0</x:v>
      </x:c>
      <x:c r="AJ1330" t="n">
        <x:v>0</x:v>
      </x:c>
      <x:c r="AK1330" t="n">
        <x:v>0</x:v>
      </x:c>
      <x:c r="AL1330" t="n">
        <x:v>0</x:v>
      </x:c>
      <x:c r="AM1330" t="n">
        <x:f>CHOOSE('假设'!$B$3,AJ1330,AK1330,AL1330)</x:f>
        <x:v>0</x:v>
      </x:c>
      <x:c r="AN1330" t="n">
        <x:v>1</x:v>
      </x:c>
    </x:row>
    <x:row r="1331" ht="23" customHeight="1">
      <x:c r="A1331" s="11" t="str">
        <x:v>688302.SH</x:v>
      </x:c>
      <x:c r="B1331" s="11" t="str">
        <x:v>2026年底</x:v>
      </x:c>
      <x:c r="C1331" s="11" t="str">
        <x:v>hp518_tnbc_cn</x:v>
      </x:c>
      <x:c r="D1331" s="11" t="str">
        <x:v>2030-12-31</x:v>
      </x:c>
      <x:c r="E1331" s="11" t="str">
        <x:v>CNY</x:v>
      </x:c>
      <x:c r="F1331" s="11" t="n">
        <x:v>4</x:v>
      </x:c>
      <x:c r="G1331" s="26" t="b">
        <x:v>1</x:v>
      </x:c>
      <x:c r="H1331" s="16" t="n">
        <x:v>0</x:v>
      </x:c>
      <x:c r="I1331" s="16" t="n">
        <x:v>0</x:v>
      </x:c>
      <x:c r="J1331" s="16" t="n">
        <x:v>0</x:v>
      </x:c>
      <x:c r="K1331" s="11" t="n">
        <x:f>CHOOSE('假设'!$B$3,H1331,I1331,J1331)</x:f>
        <x:v>0</x:v>
      </x:c>
      <x:c r="L1331" s="11" t="n">
        <x:f>K1331*'管线假设'!E303*'管线假设'!F303*'管线假设'!G303*IF(E1331="USD",'管线假设'!I303,1)-AM1331</x:f>
        <x:v>0</x:v>
      </x:c>
      <x:c r="M1331" s="11" t="n">
        <x:f>'管线假设'!H303</x:f>
        <x:v>0.14</x:v>
      </x:c>
      <x:c r="N1331" s="11" t="n">
        <x:f>IF(G1331,L1331*AN1331/(1+M1331)^F1331,0)</x:f>
        <x:v>0</x:v>
      </x:c>
      <x:c r="AJ1331" t="n">
        <x:v>0</x:v>
      </x:c>
      <x:c r="AK1331" t="n">
        <x:v>0</x:v>
      </x:c>
      <x:c r="AL1331" t="n">
        <x:v>0</x:v>
      </x:c>
      <x:c r="AM1331" t="n">
        <x:f>CHOOSE('假设'!$B$3,AJ1331,AK1331,AL1331)</x:f>
        <x:v>0</x:v>
      </x:c>
      <x:c r="AN1331" t="n">
        <x:v>1</x:v>
      </x:c>
    </x:row>
    <x:row r="1332" ht="23" customHeight="1">
      <x:c r="A1332" s="11" t="str">
        <x:v>688302.SH</x:v>
      </x:c>
      <x:c r="B1332" s="11" t="str">
        <x:v>2026年底</x:v>
      </x:c>
      <x:c r="C1332" s="11" t="str">
        <x:v>hp518_tnbc_cn</x:v>
      </x:c>
      <x:c r="D1332" s="11" t="str">
        <x:v>2031-12-31</x:v>
      </x:c>
      <x:c r="E1332" s="11" t="str">
        <x:v>CNY</x:v>
      </x:c>
      <x:c r="F1332" s="11" t="n">
        <x:v>4.999315537303217</x:v>
      </x:c>
      <x:c r="G1332" s="26" t="b">
        <x:v>1</x:v>
      </x:c>
      <x:c r="H1332" s="16" t="n">
        <x:v>0</x:v>
      </x:c>
      <x:c r="I1332" s="16" t="n">
        <x:v>0</x:v>
      </x:c>
      <x:c r="J1332" s="16" t="n">
        <x:v>0</x:v>
      </x:c>
      <x:c r="K1332" s="11" t="n">
        <x:f>CHOOSE('假设'!$B$3,H1332,I1332,J1332)</x:f>
        <x:v>0</x:v>
      </x:c>
      <x:c r="L1332" s="11" t="n">
        <x:f>K1332*'管线假设'!E303*'管线假设'!F303*'管线假设'!G303*IF(E1332="USD",'管线假设'!I303,1)-AM1332</x:f>
        <x:v>0</x:v>
      </x:c>
      <x:c r="M1332" s="11" t="n">
        <x:f>'管线假设'!H303</x:f>
        <x:v>0.14</x:v>
      </x:c>
      <x:c r="N1332" s="11" t="n">
        <x:f>IF(G1332,L1332*AN1332/(1+M1332)^F1332,0)</x:f>
        <x:v>0</x:v>
      </x:c>
      <x:c r="AJ1332" t="n">
        <x:v>0</x:v>
      </x:c>
      <x:c r="AK1332" t="n">
        <x:v>0</x:v>
      </x:c>
      <x:c r="AL1332" t="n">
        <x:v>0</x:v>
      </x:c>
      <x:c r="AM1332" t="n">
        <x:f>CHOOSE('假设'!$B$3,AJ1332,AK1332,AL1332)</x:f>
        <x:v>0</x:v>
      </x:c>
      <x:c r="AN1332" t="n">
        <x:v>1</x:v>
      </x:c>
    </x:row>
    <x:row r="1333" ht="23" customHeight="1">
      <x:c r="A1333" s="11" t="str">
        <x:v>688302.SH</x:v>
      </x:c>
      <x:c r="B1333" s="11" t="str">
        <x:v>2026年底</x:v>
      </x:c>
      <x:c r="C1333" s="11" t="str">
        <x:v>hp518_tnbc_cn</x:v>
      </x:c>
      <x:c r="D1333" s="11" t="str">
        <x:v>2032-12-31</x:v>
      </x:c>
      <x:c r="E1333" s="11" t="str">
        <x:v>CNY</x:v>
      </x:c>
      <x:c r="F1333" s="11" t="n">
        <x:v>6.0013689253935665</x:v>
      </x:c>
      <x:c r="G1333" s="26" t="b">
        <x:v>1</x:v>
      </x:c>
      <x:c r="H1333" s="16" t="n">
        <x:v>0</x:v>
      </x:c>
      <x:c r="I1333" s="16" t="n">
        <x:v>0</x:v>
      </x:c>
      <x:c r="J1333" s="16" t="n">
        <x:v>0.19999999999999998</x:v>
      </x:c>
      <x:c r="K1333" s="11" t="n">
        <x:f>CHOOSE('假设'!$B$3,H1333,I1333,J1333)</x:f>
        <x:v>0</x:v>
      </x:c>
      <x:c r="L1333" s="11" t="n">
        <x:f>K1333*'管线假设'!E303*'管线假设'!F303*'管线假设'!G303*IF(E1333="USD",'管线假设'!I303,1)-AM1333</x:f>
        <x:v>0</x:v>
      </x:c>
      <x:c r="M1333" s="11" t="n">
        <x:f>'管线假设'!H303</x:f>
        <x:v>0.14</x:v>
      </x:c>
      <x:c r="N1333" s="11" t="n">
        <x:f>IF(G1333,L1333*AN1333/(1+M1333)^F1333,0)</x:f>
        <x:v>0</x:v>
      </x:c>
      <x:c r="AJ1333" t="n">
        <x:v>0</x:v>
      </x:c>
      <x:c r="AK1333" t="n">
        <x:v>0</x:v>
      </x:c>
      <x:c r="AL1333" t="n">
        <x:v>0</x:v>
      </x:c>
      <x:c r="AM1333" t="n">
        <x:f>CHOOSE('假设'!$B$3,AJ1333,AK1333,AL1333)</x:f>
        <x:v>0</x:v>
      </x:c>
      <x:c r="AN1333" t="n">
        <x:v>1</x:v>
      </x:c>
    </x:row>
    <x:row r="1334" ht="23" customHeight="1">
      <x:c r="A1334" s="11" t="str">
        <x:v>688302.SH</x:v>
      </x:c>
      <x:c r="B1334" s="11" t="str">
        <x:v>2026年底</x:v>
      </x:c>
      <x:c r="C1334" s="11" t="str">
        <x:v>hp518_tnbc_cn</x:v>
      </x:c>
      <x:c r="D1334" s="11" t="str">
        <x:v>2033-12-31</x:v>
      </x:c>
      <x:c r="E1334" s="11" t="str">
        <x:v>CNY</x:v>
      </x:c>
      <x:c r="F1334" s="11" t="n">
        <x:v>7.000684462696783</x:v>
      </x:c>
      <x:c r="G1334" s="26" t="b">
        <x:v>1</x:v>
      </x:c>
      <x:c r="H1334" s="16" t="n">
        <x:v>0</x:v>
      </x:c>
      <x:c r="I1334" s="16" t="n">
        <x:v>0</x:v>
      </x:c>
      <x:c r="J1334" s="16" t="n">
        <x:v>0.39999999999999997</x:v>
      </x:c>
      <x:c r="K1334" s="11" t="n">
        <x:f>CHOOSE('假设'!$B$3,H1334,I1334,J1334)</x:f>
        <x:v>0</x:v>
      </x:c>
      <x:c r="L1334" s="11" t="n">
        <x:f>K1334*'管线假设'!E303*'管线假设'!F303*'管线假设'!G303*IF(E1334="USD",'管线假设'!I303,1)-AM1334</x:f>
        <x:v>0</x:v>
      </x:c>
      <x:c r="M1334" s="11" t="n">
        <x:f>'管线假设'!H303</x:f>
        <x:v>0.14</x:v>
      </x:c>
      <x:c r="N1334" s="11" t="n">
        <x:f>IF(G1334,L1334*AN1334/(1+M1334)^F1334,0)</x:f>
        <x:v>0</x:v>
      </x:c>
      <x:c r="AJ1334" t="n">
        <x:v>0</x:v>
      </x:c>
      <x:c r="AK1334" t="n">
        <x:v>0</x:v>
      </x:c>
      <x:c r="AL1334" t="n">
        <x:v>0</x:v>
      </x:c>
      <x:c r="AM1334" t="n">
        <x:f>CHOOSE('假设'!$B$3,AJ1334,AK1334,AL1334)</x:f>
        <x:v>0</x:v>
      </x:c>
      <x:c r="AN1334" t="n">
        <x:v>1</x:v>
      </x:c>
    </x:row>
    <x:row r="1335" ht="23" customHeight="1">
      <x:c r="A1335" s="11" t="str">
        <x:v>688302.SH</x:v>
      </x:c>
      <x:c r="B1335" s="11" t="str">
        <x:v>2026年底</x:v>
      </x:c>
      <x:c r="C1335" s="11" t="str">
        <x:v>hp518_tnbc_cn</x:v>
      </x:c>
      <x:c r="D1335" s="11" t="str">
        <x:v>2034-12-31</x:v>
      </x:c>
      <x:c r="E1335" s="11" t="str">
        <x:v>CNY</x:v>
      </x:c>
      <x:c r="F1335" s="11" t="n">
        <x:v>8</x:v>
      </x:c>
      <x:c r="G1335" s="26" t="b">
        <x:v>1</x:v>
      </x:c>
      <x:c r="H1335" s="16" t="n">
        <x:v>0</x:v>
      </x:c>
      <x:c r="I1335" s="16" t="n">
        <x:v>0.09999999999999999</x:v>
      </x:c>
      <x:c r="J1335" s="16" t="n">
        <x:v>0.6</x:v>
      </x:c>
      <x:c r="K1335" s="11" t="n">
        <x:f>CHOOSE('假设'!$B$3,H1335,I1335,J1335)</x:f>
        <x:v>0.09999999999999999</x:v>
      </x:c>
      <x:c r="L1335" s="11" t="n">
        <x:f>K1335*'管线假设'!E303*'管线假设'!F303*'管线假设'!G303*IF(E1335="USD",'管线假设'!I303,1)-AM1335</x:f>
        <x:v>0.00276</x:v>
      </x:c>
      <x:c r="M1335" s="11" t="n">
        <x:f>'管线假设'!H303</x:f>
        <x:v>0.14</x:v>
      </x:c>
      <x:c r="N1335" s="11" t="n">
        <x:f>IF(G1335,L1335*AN1335/(1+M1335)^F1335,0)</x:f>
        <x:v>0.000967542991388099</x:v>
      </x:c>
      <x:c r="AJ1335" t="n">
        <x:v>0</x:v>
      </x:c>
      <x:c r="AK1335" t="n">
        <x:v>0</x:v>
      </x:c>
      <x:c r="AL1335" t="n">
        <x:v>0</x:v>
      </x:c>
      <x:c r="AM1335" t="n">
        <x:f>CHOOSE('假设'!$B$3,AJ1335,AK1335,AL1335)</x:f>
        <x:v>0</x:v>
      </x:c>
      <x:c r="AN1335" t="n">
        <x:v>1</x:v>
      </x:c>
    </x:row>
    <x:row r="1336" ht="23" customHeight="1">
      <x:c r="A1336" s="11" t="str">
        <x:v>688302.SH</x:v>
      </x:c>
      <x:c r="B1336" s="11" t="str">
        <x:v>2026年底</x:v>
      </x:c>
      <x:c r="C1336" s="11" t="str">
        <x:v>hp518_tnbc_cn</x:v>
      </x:c>
      <x:c r="D1336" s="11" t="str">
        <x:v>2035-12-31</x:v>
      </x:c>
      <x:c r="E1336" s="11" t="str">
        <x:v>CNY</x:v>
      </x:c>
      <x:c r="F1336" s="11" t="n">
        <x:v>8.999315537303216</x:v>
      </x:c>
      <x:c r="G1336" s="26" t="b">
        <x:v>1</x:v>
      </x:c>
      <x:c r="H1336" s="16" t="n">
        <x:v>0</x:v>
      </x:c>
      <x:c r="I1336" s="16" t="n">
        <x:v>0.19999999999999998</x:v>
      </x:c>
      <x:c r="J1336" s="16" t="n">
        <x:v>0.7999999999999999</x:v>
      </x:c>
      <x:c r="K1336" s="11" t="n">
        <x:f>CHOOSE('假设'!$B$3,H1336,I1336,J1336)</x:f>
        <x:v>0.19999999999999998</x:v>
      </x:c>
      <x:c r="L1336" s="11" t="n">
        <x:f>K1336*'管线假设'!E303*'管线假设'!F303*'管线假设'!G303*IF(E1336="USD",'管线假设'!I303,1)-AM1336</x:f>
        <x:v>0.00552</x:v>
      </x:c>
      <x:c r="M1336" s="11" t="n">
        <x:f>'管线假设'!H303</x:f>
        <x:v>0.14</x:v>
      </x:c>
      <x:c r="N1336" s="11" t="n">
        <x:f>IF(G1336,L1336*AN1336/(1+M1336)^F1336,0)</x:f>
        <x:v>0.001697596084849371</x:v>
      </x:c>
      <x:c r="AJ1336" t="n">
        <x:v>0</x:v>
      </x:c>
      <x:c r="AK1336" t="n">
        <x:v>0</x:v>
      </x:c>
      <x:c r="AL1336" t="n">
        <x:v>0</x:v>
      </x:c>
      <x:c r="AM1336" t="n">
        <x:f>CHOOSE('假设'!$B$3,AJ1336,AK1336,AL1336)</x:f>
        <x:v>0</x:v>
      </x:c>
      <x:c r="AN1336" t="n">
        <x:v>1</x:v>
      </x:c>
    </x:row>
    <x:row r="1337" ht="23" customHeight="1">
      <x:c r="A1337" s="11" t="str">
        <x:v>688302.SH</x:v>
      </x:c>
      <x:c r="B1337" s="11" t="str">
        <x:v>2026年底</x:v>
      </x:c>
      <x:c r="C1337" s="11" t="str">
        <x:v>hp518_tnbc_cn</x:v>
      </x:c>
      <x:c r="D1337" s="11" t="str">
        <x:v>2036-12-31</x:v>
      </x:c>
      <x:c r="E1337" s="11" t="str">
        <x:v>CNY</x:v>
      </x:c>
      <x:c r="F1337" s="11" t="n">
        <x:v>10.001368925393566</x:v>
      </x:c>
      <x:c r="G1337" s="26" t="b">
        <x:v>1</x:v>
      </x:c>
      <x:c r="H1337" s="16" t="n">
        <x:v>0.04000000000000001</x:v>
      </x:c>
      <x:c r="I1337" s="16" t="n">
        <x:v>0.3</x:v>
      </x:c>
      <x:c r="J1337" s="16" t="n">
        <x:v>1</x:v>
      </x:c>
      <x:c r="K1337" s="11" t="n">
        <x:f>CHOOSE('假设'!$B$3,H1337,I1337,J1337)</x:f>
        <x:v>0.3</x:v>
      </x:c>
      <x:c r="L1337" s="11" t="n">
        <x:f>K1337*'管线假设'!E303*'管线假设'!F303*'管线假设'!G303*IF(E1337="USD",'管线假设'!I303,1)-AM1337</x:f>
        <x:v>0.00828</x:v>
      </x:c>
      <x:c r="M1337" s="11" t="n">
        <x:f>'管线假设'!H303</x:f>
        <x:v>0.14</x:v>
      </x:c>
      <x:c r="N1337" s="11" t="n">
        <x:f>IF(G1337,L1337*AN1337/(1+M1337)^F1337,0)</x:f>
        <x:v>0.002233078164316197</x:v>
      </x:c>
      <x:c r="AJ1337" t="n">
        <x:v>0</x:v>
      </x:c>
      <x:c r="AK1337" t="n">
        <x:v>0</x:v>
      </x:c>
      <x:c r="AL1337" t="n">
        <x:v>0</x:v>
      </x:c>
      <x:c r="AM1337" t="n">
        <x:f>CHOOSE('假设'!$B$3,AJ1337,AK1337,AL1337)</x:f>
        <x:v>0</x:v>
      </x:c>
      <x:c r="AN1337" t="n">
        <x:v>1</x:v>
      </x:c>
    </x:row>
    <x:row r="1338" ht="23" customHeight="1">
      <x:c r="A1338" s="11" t="str">
        <x:v>688302.SH</x:v>
      </x:c>
      <x:c r="B1338" s="11" t="str">
        <x:v>2026年底</x:v>
      </x:c>
      <x:c r="C1338" s="11" t="str">
        <x:v>hp518_tnbc_cn</x:v>
      </x:c>
      <x:c r="D1338" s="11" t="str">
        <x:v>2037-12-31</x:v>
      </x:c>
      <x:c r="E1338" s="11" t="str">
        <x:v>CNY</x:v>
      </x:c>
      <x:c r="F1338" s="11" t="n">
        <x:v>11.000684462696784</x:v>
      </x:c>
      <x:c r="G1338" s="26" t="b">
        <x:v>1</x:v>
      </x:c>
      <x:c r="H1338" s="16" t="n">
        <x:v>0.08000000000000002</x:v>
      </x:c>
      <x:c r="I1338" s="16" t="n">
        <x:v>0.39999999999999997</x:v>
      </x:c>
      <x:c r="J1338" s="16" t="n">
        <x:v>1.2</x:v>
      </x:c>
      <x:c r="K1338" s="11" t="n">
        <x:f>CHOOSE('假设'!$B$3,H1338,I1338,J1338)</x:f>
        <x:v>0.39999999999999997</x:v>
      </x:c>
      <x:c r="L1338" s="11" t="n">
        <x:f>K1338*'管线假设'!E303*'管线假设'!F303*'管线假设'!G303*IF(E1338="USD",'管线假设'!I303,1)-AM1338</x:f>
        <x:v>0.01104</x:v>
      </x:c>
      <x:c r="M1338" s="11" t="n">
        <x:f>'管线假设'!H303</x:f>
        <x:v>0.14</x:v>
      </x:c>
      <x:c r="N1338" s="11" t="n">
        <x:f>IF(G1338,L1338*AN1338/(1+M1338)^F1338,0)</x:f>
        <x:v>0.0026120215726140017</x:v>
      </x:c>
      <x:c r="AJ1338" t="n">
        <x:v>0</x:v>
      </x:c>
      <x:c r="AK1338" t="n">
        <x:v>0</x:v>
      </x:c>
      <x:c r="AL1338" t="n">
        <x:v>0</x:v>
      </x:c>
      <x:c r="AM1338" t="n">
        <x:f>CHOOSE('假设'!$B$3,AJ1338,AK1338,AL1338)</x:f>
        <x:v>0</x:v>
      </x:c>
      <x:c r="AN1338" t="n">
        <x:v>1</x:v>
      </x:c>
    </x:row>
    <x:row r="1339" ht="23" customHeight="1">
      <x:c r="A1339" s="11" t="str">
        <x:v>688302.SH</x:v>
      </x:c>
      <x:c r="B1339" s="11" t="str">
        <x:v>2026年底</x:v>
      </x:c>
      <x:c r="C1339" s="11" t="str">
        <x:v>hp518_tnbc_cn</x:v>
      </x:c>
      <x:c r="D1339" s="11" t="str">
        <x:v>2038-12-31</x:v>
      </x:c>
      <x:c r="E1339" s="11" t="str">
        <x:v>CNY</x:v>
      </x:c>
      <x:c r="F1339" s="11" t="n">
        <x:v>12</x:v>
      </x:c>
      <x:c r="G1339" s="26" t="b">
        <x:v>1</x:v>
      </x:c>
      <x:c r="H1339" s="16" t="n">
        <x:v>0.12</x:v>
      </x:c>
      <x:c r="I1339" s="16" t="n">
        <x:v>0.5</x:v>
      </x:c>
      <x:c r="J1339" s="16" t="n">
        <x:v>1.044</x:v>
      </x:c>
      <x:c r="K1339" s="11" t="n">
        <x:f>CHOOSE('假设'!$B$3,H1339,I1339,J1339)</x:f>
        <x:v>0.5</x:v>
      </x:c>
      <x:c r="L1339" s="11" t="n">
        <x:f>K1339*'管线假设'!E303*'管线假设'!F303*'管线假设'!G303*IF(E1339="USD",'管线假设'!I303,1)-AM1339</x:f>
        <x:v>0.0138</x:v>
      </x:c>
      <x:c r="M1339" s="11" t="n">
        <x:f>'管线假设'!H303</x:f>
        <x:v>0.14</x:v>
      </x:c>
      <x:c r="N1339" s="11" t="n">
        <x:f>IF(G1339,L1339*AN1339/(1+M1339)^F1339,0)</x:f>
        <x:v>0.002864315613543242</x:v>
      </x:c>
      <x:c r="AJ1339" t="n">
        <x:v>0</x:v>
      </x:c>
      <x:c r="AK1339" t="n">
        <x:v>0</x:v>
      </x:c>
      <x:c r="AL1339" t="n">
        <x:v>0</x:v>
      </x:c>
      <x:c r="AM1339" t="n">
        <x:f>CHOOSE('假设'!$B$3,AJ1339,AK1339,AL1339)</x:f>
        <x:v>0</x:v>
      </x:c>
      <x:c r="AN1339" t="n">
        <x:v>1</x:v>
      </x:c>
    </x:row>
    <x:row r="1340" ht="23" customHeight="1">
      <x:c r="A1340" s="11" t="str">
        <x:v>688302.SH</x:v>
      </x:c>
      <x:c r="B1340" s="11" t="str">
        <x:v>2026年底</x:v>
      </x:c>
      <x:c r="C1340" s="11" t="str">
        <x:v>hp518_tnbc_cn</x:v>
      </x:c>
      <x:c r="D1340" s="11" t="str">
        <x:v>2039-12-31</x:v>
      </x:c>
      <x:c r="E1340" s="11" t="str">
        <x:v>CNY</x:v>
      </x:c>
      <x:c r="F1340" s="11" t="n">
        <x:v>12.999315537303216</x:v>
      </x:c>
      <x:c r="G1340" s="26" t="b">
        <x:v>1</x:v>
      </x:c>
      <x:c r="H1340" s="16" t="n">
        <x:v>0.16000000000000003</x:v>
      </x:c>
      <x:c r="I1340" s="16" t="n">
        <x:v>0.6</x:v>
      </x:c>
      <x:c r="J1340" s="16" t="n">
        <x:v>0.888</x:v>
      </x:c>
      <x:c r="K1340" s="11" t="n">
        <x:f>CHOOSE('假设'!$B$3,H1340,I1340,J1340)</x:f>
        <x:v>0.6</x:v>
      </x:c>
      <x:c r="L1340" s="11" t="n">
        <x:f>K1340*'管线假设'!E303*'管线假设'!F303*'管线假设'!G303*IF(E1340="USD",'管线假设'!I303,1)-AM1340</x:f>
        <x:v>0.01656</x:v>
      </x:c>
      <x:c r="M1340" s="11" t="n">
        <x:f>'管线假设'!H303</x:f>
        <x:v>0.14</x:v>
      </x:c>
      <x:c r="N1340" s="11" t="n">
        <x:f>IF(G1340,L1340*AN1340/(1+M1340)^F1340,0)</x:f>
        <x:v>0.0030153394823404897</x:v>
      </x:c>
      <x:c r="AJ1340" t="n">
        <x:v>0</x:v>
      </x:c>
      <x:c r="AK1340" t="n">
        <x:v>0</x:v>
      </x:c>
      <x:c r="AL1340" t="n">
        <x:v>0</x:v>
      </x:c>
      <x:c r="AM1340" t="n">
        <x:f>CHOOSE('假设'!$B$3,AJ1340,AK1340,AL1340)</x:f>
        <x:v>0</x:v>
      </x:c>
      <x:c r="AN1340" t="n">
        <x:v>1</x:v>
      </x:c>
    </x:row>
    <x:row r="1341" ht="23" customHeight="1">
      <x:c r="A1341" s="11" t="str">
        <x:v>688302.SH</x:v>
      </x:c>
      <x:c r="B1341" s="11" t="str">
        <x:v>2026年底</x:v>
      </x:c>
      <x:c r="C1341" s="11" t="str">
        <x:v>hp518_tnbc_cn</x:v>
      </x:c>
      <x:c r="D1341" s="11" t="str">
        <x:v>2040-12-31</x:v>
      </x:c>
      <x:c r="E1341" s="11" t="str">
        <x:v>CNY</x:v>
      </x:c>
      <x:c r="F1341" s="11" t="n">
        <x:v>14.001368925393566</x:v>
      </x:c>
      <x:c r="G1341" s="26" t="b">
        <x:v>1</x:v>
      </x:c>
      <x:c r="H1341" s="16" t="n">
        <x:v>0.2</x:v>
      </x:c>
      <x:c r="I1341" s="16" t="n">
        <x:v>0.522</x:v>
      </x:c>
      <x:c r="J1341" s="16" t="n">
        <x:v>0.732</x:v>
      </x:c>
      <x:c r="K1341" s="11" t="n">
        <x:f>CHOOSE('假设'!$B$3,H1341,I1341,J1341)</x:f>
        <x:v>0.522</x:v>
      </x:c>
      <x:c r="L1341" s="11" t="n">
        <x:f>K1341*'管线假设'!E303*'管线假设'!F303*'管线假设'!G303*IF(E1341="USD",'管线假设'!I303,1)-AM1341</x:f>
        <x:v>0.0144072</x:v>
      </x:c>
      <x:c r="M1341" s="11" t="n">
        <x:f>'管线假设'!H303</x:f>
        <x:v>0.14</x:v>
      </x:c>
      <x:c r="N1341" s="11" t="n">
        <x:f>IF(G1341,L1341*AN1341/(1+M1341)^F1341,0)</x:f>
        <x:v>0.0023005610777167068</x:v>
      </x:c>
      <x:c r="AJ1341" t="n">
        <x:v>0</x:v>
      </x:c>
      <x:c r="AK1341" t="n">
        <x:v>0</x:v>
      </x:c>
      <x:c r="AL1341" t="n">
        <x:v>0</x:v>
      </x:c>
      <x:c r="AM1341" t="n">
        <x:f>CHOOSE('假设'!$B$3,AJ1341,AK1341,AL1341)</x:f>
        <x:v>0</x:v>
      </x:c>
      <x:c r="AN1341" t="n">
        <x:v>1</x:v>
      </x:c>
    </x:row>
    <x:row r="1342" ht="23" customHeight="1">
      <x:c r="A1342" s="11" t="str">
        <x:v>688302.SH</x:v>
      </x:c>
      <x:c r="B1342" s="11" t="str">
        <x:v>2026年底</x:v>
      </x:c>
      <x:c r="C1342" s="11" t="str">
        <x:v>hp518_tnbc_cn</x:v>
      </x:c>
      <x:c r="D1342" s="11" t="str">
        <x:v>2041-12-31</x:v>
      </x:c>
      <x:c r="E1342" s="11" t="str">
        <x:v>CNY</x:v>
      </x:c>
      <x:c r="F1342" s="11" t="n">
        <x:v>15.000684462696784</x:v>
      </x:c>
      <x:c r="G1342" s="26" t="b">
        <x:v>1</x:v>
      </x:c>
      <x:c r="H1342" s="16" t="n">
        <x:v>0.17400000000000002</x:v>
      </x:c>
      <x:c r="I1342" s="16" t="n">
        <x:v>0.444</x:v>
      </x:c>
      <x:c r="J1342" s="16" t="n">
        <x:v>0.576</x:v>
      </x:c>
      <x:c r="K1342" s="11" t="n">
        <x:f>CHOOSE('假设'!$B$3,H1342,I1342,J1342)</x:f>
        <x:v>0.444</x:v>
      </x:c>
      <x:c r="L1342" s="11" t="n">
        <x:f>K1342*'管线假设'!E303*'管线假设'!F303*'管线假设'!G303*IF(E1342="USD",'管线假设'!I303,1)-AM1342</x:f>
        <x:v>0.0122544</x:v>
      </x:c>
      <x:c r="M1342" s="11" t="n">
        <x:f>'管线假设'!H303</x:f>
        <x:v>0.14</x:v>
      </x:c>
      <x:c r="N1342" s="11" t="n">
        <x:f>IF(G1342,L1342*AN1342/(1+M1342)^F1342,0)</x:f>
        <x:v>0.0017166443675033405</x:v>
      </x:c>
      <x:c r="AJ1342" t="n">
        <x:v>0</x:v>
      </x:c>
      <x:c r="AK1342" t="n">
        <x:v>0</x:v>
      </x:c>
      <x:c r="AL1342" t="n">
        <x:v>0</x:v>
      </x:c>
      <x:c r="AM1342" t="n">
        <x:f>CHOOSE('假设'!$B$3,AJ1342,AK1342,AL1342)</x:f>
        <x:v>0</x:v>
      </x:c>
      <x:c r="AN1342" t="n">
        <x:v>1</x:v>
      </x:c>
    </x:row>
    <x:row r="1343" ht="23" customHeight="1">
      <x:c r="A1343" s="11" t="str">
        <x:v>688302.SH</x:v>
      </x:c>
      <x:c r="B1343" s="11" t="str">
        <x:v>2026年底</x:v>
      </x:c>
      <x:c r="C1343" s="11" t="str">
        <x:v>hp518_tnbc_cn</x:v>
      </x:c>
      <x:c r="D1343" s="11" t="str">
        <x:v>2042-12-31</x:v>
      </x:c>
      <x:c r="E1343" s="11" t="str">
        <x:v>CNY</x:v>
      </x:c>
      <x:c r="F1343" s="11" t="n">
        <x:v>16</x:v>
      </x:c>
      <x:c r="G1343" s="26" t="b">
        <x:v>1</x:v>
      </x:c>
      <x:c r="H1343" s="16" t="n">
        <x:v>0.148</x:v>
      </x:c>
      <x:c r="I1343" s="16" t="n">
        <x:v>0.366</x:v>
      </x:c>
      <x:c r="J1343" s="16" t="n">
        <x:v>0.42</x:v>
      </x:c>
      <x:c r="K1343" s="11" t="n">
        <x:f>CHOOSE('假设'!$B$3,H1343,I1343,J1343)</x:f>
        <x:v>0.366</x:v>
      </x:c>
      <x:c r="L1343" s="11" t="n">
        <x:f>K1343*'管线假设'!E303*'管线假设'!F303*'管线假设'!G303*IF(E1343="USD",'管线假设'!I303,1)-AM1343</x:f>
        <x:v>0.0101016</x:v>
      </x:c>
      <x:c r="M1343" s="11" t="n">
        <x:f>'管线假设'!H303</x:f>
        <x:v>0.14</x:v>
      </x:c>
      <x:c r="N1343" s="11" t="n">
        <x:f>IF(G1343,L1343*AN1343/(1+M1343)^F1343,0)</x:f>
        <x:v>0.0012414023011138714</x:v>
      </x:c>
      <x:c r="AJ1343" t="n">
        <x:v>0</x:v>
      </x:c>
      <x:c r="AK1343" t="n">
        <x:v>0</x:v>
      </x:c>
      <x:c r="AL1343" t="n">
        <x:v>0</x:v>
      </x:c>
      <x:c r="AM1343" t="n">
        <x:f>CHOOSE('假设'!$B$3,AJ1343,AK1343,AL1343)</x:f>
        <x:v>0</x:v>
      </x:c>
      <x:c r="AN1343" t="n">
        <x:v>1</x:v>
      </x:c>
    </x:row>
    <x:row r="1344" ht="23" customHeight="1">
      <x:c r="A1344" s="11" t="str">
        <x:v>688302.SH</x:v>
      </x:c>
      <x:c r="B1344" s="11" t="str">
        <x:v>2026年底</x:v>
      </x:c>
      <x:c r="C1344" s="11" t="str">
        <x:v>hp518_tnbc_cn</x:v>
      </x:c>
      <x:c r="D1344" s="11" t="str">
        <x:v>2043-12-31</x:v>
      </x:c>
      <x:c r="E1344" s="11" t="str">
        <x:v>CNY</x:v>
      </x:c>
      <x:c r="F1344" s="11" t="n">
        <x:v>16.999315537303218</x:v>
      </x:c>
      <x:c r="G1344" s="26" t="b">
        <x:v>1</x:v>
      </x:c>
      <x:c r="H1344" s="16" t="n">
        <x:v>0.122</x:v>
      </x:c>
      <x:c r="I1344" s="16" t="n">
        <x:v>0.288</x:v>
      </x:c>
      <x:c r="J1344" s="16" t="n">
        <x:v>0.26399999999999996</x:v>
      </x:c>
      <x:c r="K1344" s="11" t="n">
        <x:f>CHOOSE('假设'!$B$3,H1344,I1344,J1344)</x:f>
        <x:v>0.288</x:v>
      </x:c>
      <x:c r="L1344" s="11" t="n">
        <x:f>K1344*'管线假设'!E303*'管线假设'!F303*'管线假设'!G303*IF(E1344="USD",'管线假设'!I303,1)-AM1344</x:f>
        <x:v>0.007948799999999999</x:v>
      </x:c>
      <x:c r="M1344" s="11" t="n">
        <x:f>'管线假设'!H303</x:f>
        <x:v>0.14</x:v>
      </x:c>
      <x:c r="N1344" s="11" t="n">
        <x:f>IF(G1344,L1344*AN1344/(1+M1344)^F1344,0)</x:f>
        <x:v>0.0008569550577933313</x:v>
      </x:c>
      <x:c r="AJ1344" t="n">
        <x:v>0</x:v>
      </x:c>
      <x:c r="AK1344" t="n">
        <x:v>0</x:v>
      </x:c>
      <x:c r="AL1344" t="n">
        <x:v>0</x:v>
      </x:c>
      <x:c r="AM1344" t="n">
        <x:f>CHOOSE('假设'!$B$3,AJ1344,AK1344,AL1344)</x:f>
        <x:v>0</x:v>
      </x:c>
      <x:c r="AN1344" t="n">
        <x:v>1</x:v>
      </x:c>
    </x:row>
    <x:row r="1345" ht="23" customHeight="1">
      <x:c r="A1345" s="11" t="str">
        <x:v>688302.SH</x:v>
      </x:c>
      <x:c r="B1345" s="11" t="str">
        <x:v>2026年底</x:v>
      </x:c>
      <x:c r="C1345" s="11" t="str">
        <x:v>hp518_tnbc_cn</x:v>
      </x:c>
      <x:c r="D1345" s="11" t="str">
        <x:v>2044-12-31</x:v>
      </x:c>
      <x:c r="E1345" s="11" t="str">
        <x:v>CNY</x:v>
      </x:c>
      <x:c r="F1345" s="11" t="n">
        <x:v>18.001368925393567</x:v>
      </x:c>
      <x:c r="G1345" s="26" t="b">
        <x:v>1</x:v>
      </x:c>
      <x:c r="H1345" s="16" t="n">
        <x:v>0.096</x:v>
      </x:c>
      <x:c r="I1345" s="16" t="n">
        <x:v>0.21</x:v>
      </x:c>
      <x:c r="J1345" s="16" t="n">
        <x:v>0.10799999999999996</x:v>
      </x:c>
      <x:c r="K1345" s="11" t="n">
        <x:f>CHOOSE('假设'!$B$3,H1345,I1345,J1345)</x:f>
        <x:v>0.21</x:v>
      </x:c>
      <x:c r="L1345" s="11" t="n">
        <x:f>K1345*'管线假设'!E303*'管线假设'!F303*'管线假设'!G303*IF(E1345="USD",'管线假设'!I303,1)-AM1345</x:f>
        <x:v>0.005795999999999999</x:v>
      </x:c>
      <x:c r="M1345" s="11" t="n">
        <x:f>'管线假设'!H303</x:f>
        <x:v>0.14</x:v>
      </x:c>
      <x:c r="N1345" s="11" t="n">
        <x:f>IF(G1345,L1345*AN1345/(1+M1345)^F1345,0)</x:f>
        <x:v>0.0005479780394833899</x:v>
      </x:c>
      <x:c r="AJ1345" t="n">
        <x:v>0</x:v>
      </x:c>
      <x:c r="AK1345" t="n">
        <x:v>0</x:v>
      </x:c>
      <x:c r="AL1345" t="n">
        <x:v>0</x:v>
      </x:c>
      <x:c r="AM1345" t="n">
        <x:f>CHOOSE('假设'!$B$3,AJ1345,AK1345,AL1345)</x:f>
        <x:v>0</x:v>
      </x:c>
      <x:c r="AN1345" t="n">
        <x:v>1</x:v>
      </x:c>
    </x:row>
    <x:row r="1346" ht="23" customHeight="1">
      <x:c r="A1346" s="11" t="str">
        <x:v>688302.SH</x:v>
      </x:c>
      <x:c r="B1346" s="11" t="str">
        <x:v>2026年底</x:v>
      </x:c>
      <x:c r="C1346" s="11" t="str">
        <x:v>hp518_tnbc_cn</x:v>
      </x:c>
      <x:c r="D1346" s="11" t="str">
        <x:v>2045-12-31</x:v>
      </x:c>
      <x:c r="E1346" s="11" t="str">
        <x:v>CNY</x:v>
      </x:c>
      <x:c r="F1346" s="11" t="n">
        <x:v>19.000684462696782</x:v>
      </x:c>
      <x:c r="G1346" s="26" t="b">
        <x:v>1</x:v>
      </x:c>
      <x:c r="H1346" s="16" t="n">
        <x:v>0.06999999999999999</x:v>
      </x:c>
      <x:c r="I1346" s="16" t="n">
        <x:v>0.13199999999999998</x:v>
      </x:c>
      <x:c r="J1346" s="16" t="n">
        <x:v>0</x:v>
      </x:c>
      <x:c r="K1346" s="11" t="n">
        <x:f>CHOOSE('假设'!$B$3,H1346,I1346,J1346)</x:f>
        <x:v>0.13199999999999998</x:v>
      </x:c>
      <x:c r="L1346" s="11" t="n">
        <x:f>K1346*'管线假设'!E303*'管线假设'!F303*'管线假设'!G303*IF(E1346="USD",'管线假设'!I303,1)-AM1346</x:f>
        <x:v>0.003643199999999999</x:v>
      </x:c>
      <x:c r="M1346" s="11" t="n">
        <x:f>'管线假设'!H303</x:f>
        <x:v>0.14</x:v>
      </x:c>
      <x:c r="N1346" s="11" t="n">
        <x:f>IF(G1346,L1346*AN1346/(1+M1346)^F1346,0)</x:f>
        <x:v>0.00030217037853596927</x:v>
      </x:c>
      <x:c r="AJ1346" t="n">
        <x:v>0</x:v>
      </x:c>
      <x:c r="AK1346" t="n">
        <x:v>0</x:v>
      </x:c>
      <x:c r="AL1346" t="n">
        <x:v>0</x:v>
      </x:c>
      <x:c r="AM1346" t="n">
        <x:f>CHOOSE('假设'!$B$3,AJ1346,AK1346,AL1346)</x:f>
        <x:v>0</x:v>
      </x:c>
      <x:c r="AN1346" t="n">
        <x:v>1</x:v>
      </x:c>
    </x:row>
    <x:row r="1347" ht="23" customHeight="1">
      <x:c r="A1347" s="11" t="str">
        <x:v>688302.SH</x:v>
      </x:c>
      <x:c r="B1347" s="11" t="str">
        <x:v>2026年底</x:v>
      </x:c>
      <x:c r="C1347" s="11" t="str">
        <x:v>hp518_tnbc_global</x:v>
      </x:c>
      <x:c r="D1347" s="11" t="str">
        <x:v>2027-12-31</x:v>
      </x:c>
      <x:c r="E1347" s="11" t="str">
        <x:v>USD</x:v>
      </x:c>
      <x:c r="F1347" s="11" t="n">
        <x:v>0.999315537303217</x:v>
      </x:c>
      <x:c r="G1347" s="26" t="b">
        <x:v>1</x:v>
      </x:c>
      <x:c r="H1347" s="16" t="n">
        <x:v>0</x:v>
      </x:c>
      <x:c r="I1347" s="16" t="n">
        <x:v>0</x:v>
      </x:c>
      <x:c r="J1347" s="16" t="n">
        <x:v>0</x:v>
      </x:c>
      <x:c r="K1347" s="11" t="n">
        <x:f>CHOOSE('假设'!$B$3,H1347,I1347,J1347)</x:f>
        <x:v>0</x:v>
      </x:c>
      <x:c r="L1347" s="11" t="n">
        <x:f>K1347*'管线假设'!E307*'管线假设'!F307*'管线假设'!G307*IF(E1347="USD",'管线假设'!I307,1)-AM1347</x:f>
        <x:v>0</x:v>
      </x:c>
      <x:c r="M1347" s="11" t="n">
        <x:f>'管线假设'!H307</x:f>
        <x:v>0.14</x:v>
      </x:c>
      <x:c r="N1347" s="11" t="n">
        <x:f>IF(G1347,L1347*AN1347/(1+M1347)^F1347,0)</x:f>
        <x:v>0</x:v>
      </x:c>
      <x:c r="AJ1347" t="n">
        <x:v>0</x:v>
      </x:c>
      <x:c r="AK1347" t="n">
        <x:v>0</x:v>
      </x:c>
      <x:c r="AL1347" t="n">
        <x:v>0</x:v>
      </x:c>
      <x:c r="AM1347" t="n">
        <x:f>CHOOSE('假设'!$B$3,AJ1347,AK1347,AL1347)</x:f>
        <x:v>0</x:v>
      </x:c>
      <x:c r="AN1347" t="n">
        <x:v>1</x:v>
      </x:c>
    </x:row>
    <x:row r="1348" ht="23" customHeight="1">
      <x:c r="A1348" s="11" t="str">
        <x:v>688302.SH</x:v>
      </x:c>
      <x:c r="B1348" s="11" t="str">
        <x:v>2026年底</x:v>
      </x:c>
      <x:c r="C1348" s="11" t="str">
        <x:v>hp518_tnbc_global</x:v>
      </x:c>
      <x:c r="D1348" s="11" t="str">
        <x:v>2028-12-31</x:v>
      </x:c>
      <x:c r="E1348" s="11" t="str">
        <x:v>USD</x:v>
      </x:c>
      <x:c r="F1348" s="11" t="n">
        <x:v>2.001368925393566</x:v>
      </x:c>
      <x:c r="G1348" s="26" t="b">
        <x:v>1</x:v>
      </x:c>
      <x:c r="H1348" s="16" t="n">
        <x:v>0</x:v>
      </x:c>
      <x:c r="I1348" s="16" t="n">
        <x:v>0</x:v>
      </x:c>
      <x:c r="J1348" s="16" t="n">
        <x:v>0</x:v>
      </x:c>
      <x:c r="K1348" s="11" t="n">
        <x:f>CHOOSE('假设'!$B$3,H1348,I1348,J1348)</x:f>
        <x:v>0</x:v>
      </x:c>
      <x:c r="L1348" s="11" t="n">
        <x:f>K1348*'管线假设'!E307*'管线假设'!F307*'管线假设'!G307*IF(E1348="USD",'管线假设'!I307,1)-AM1348</x:f>
        <x:v>0</x:v>
      </x:c>
      <x:c r="M1348" s="11" t="n">
        <x:f>'管线假设'!H307</x:f>
        <x:v>0.14</x:v>
      </x:c>
      <x:c r="N1348" s="11" t="n">
        <x:f>IF(G1348,L1348*AN1348/(1+M1348)^F1348,0)</x:f>
        <x:v>0</x:v>
      </x:c>
      <x:c r="AJ1348" t="n">
        <x:v>0</x:v>
      </x:c>
      <x:c r="AK1348" t="n">
        <x:v>0</x:v>
      </x:c>
      <x:c r="AL1348" t="n">
        <x:v>0</x:v>
      </x:c>
      <x:c r="AM1348" t="n">
        <x:f>CHOOSE('假设'!$B$3,AJ1348,AK1348,AL1348)</x:f>
        <x:v>0</x:v>
      </x:c>
      <x:c r="AN1348" t="n">
        <x:v>1</x:v>
      </x:c>
    </x:row>
    <x:row r="1349" ht="23" customHeight="1">
      <x:c r="A1349" s="11" t="str">
        <x:v>688302.SH</x:v>
      </x:c>
      <x:c r="B1349" s="11" t="str">
        <x:v>2026年底</x:v>
      </x:c>
      <x:c r="C1349" s="11" t="str">
        <x:v>hp518_tnbc_global</x:v>
      </x:c>
      <x:c r="D1349" s="11" t="str">
        <x:v>2029-12-31</x:v>
      </x:c>
      <x:c r="E1349" s="11" t="str">
        <x:v>USD</x:v>
      </x:c>
      <x:c r="F1349" s="11" t="n">
        <x:v>3.0006844626967832</x:v>
      </x:c>
      <x:c r="G1349" s="26" t="b">
        <x:v>1</x:v>
      </x:c>
      <x:c r="H1349" s="16" t="n">
        <x:v>0</x:v>
      </x:c>
      <x:c r="I1349" s="16" t="n">
        <x:v>0</x:v>
      </x:c>
      <x:c r="J1349" s="16" t="n">
        <x:v>0</x:v>
      </x:c>
      <x:c r="K1349" s="11" t="n">
        <x:f>CHOOSE('假设'!$B$3,H1349,I1349,J1349)</x:f>
        <x:v>0</x:v>
      </x:c>
      <x:c r="L1349" s="11" t="n">
        <x:f>K1349*'管线假设'!E307*'管线假设'!F307*'管线假设'!G307*IF(E1349="USD",'管线假设'!I307,1)-AM1349</x:f>
        <x:v>0</x:v>
      </x:c>
      <x:c r="M1349" s="11" t="n">
        <x:f>'管线假设'!H307</x:f>
        <x:v>0.14</x:v>
      </x:c>
      <x:c r="N1349" s="11" t="n">
        <x:f>IF(G1349,L1349*AN1349/(1+M1349)^F1349,0)</x:f>
        <x:v>0</x:v>
      </x:c>
      <x:c r="AJ1349" t="n">
        <x:v>0</x:v>
      </x:c>
      <x:c r="AK1349" t="n">
        <x:v>0</x:v>
      </x:c>
      <x:c r="AL1349" t="n">
        <x:v>0</x:v>
      </x:c>
      <x:c r="AM1349" t="n">
        <x:f>CHOOSE('假设'!$B$3,AJ1349,AK1349,AL1349)</x:f>
        <x:v>0</x:v>
      </x:c>
      <x:c r="AN1349" t="n">
        <x:v>1</x:v>
      </x:c>
    </x:row>
    <x:row r="1350" ht="23" customHeight="1">
      <x:c r="A1350" s="11" t="str">
        <x:v>688302.SH</x:v>
      </x:c>
      <x:c r="B1350" s="11" t="str">
        <x:v>2026年底</x:v>
      </x:c>
      <x:c r="C1350" s="11" t="str">
        <x:v>hp518_tnbc_global</x:v>
      </x:c>
      <x:c r="D1350" s="11" t="str">
        <x:v>2030-12-31</x:v>
      </x:c>
      <x:c r="E1350" s="11" t="str">
        <x:v>USD</x:v>
      </x:c>
      <x:c r="F1350" s="11" t="n">
        <x:v>4</x:v>
      </x:c>
      <x:c r="G1350" s="26" t="b">
        <x:v>1</x:v>
      </x:c>
      <x:c r="H1350" s="16" t="n">
        <x:v>0</x:v>
      </x:c>
      <x:c r="I1350" s="16" t="n">
        <x:v>0</x:v>
      </x:c>
      <x:c r="J1350" s="16" t="n">
        <x:v>0</x:v>
      </x:c>
      <x:c r="K1350" s="11" t="n">
        <x:f>CHOOSE('假设'!$B$3,H1350,I1350,J1350)</x:f>
        <x:v>0</x:v>
      </x:c>
      <x:c r="L1350" s="11" t="n">
        <x:f>K1350*'管线假设'!E307*'管线假设'!F307*'管线假设'!G307*IF(E1350="USD",'管线假设'!I307,1)-AM1350</x:f>
        <x:v>0</x:v>
      </x:c>
      <x:c r="M1350" s="11" t="n">
        <x:f>'管线假设'!H307</x:f>
        <x:v>0.14</x:v>
      </x:c>
      <x:c r="N1350" s="11" t="n">
        <x:f>IF(G1350,L1350*AN1350/(1+M1350)^F1350,0)</x:f>
        <x:v>0</x:v>
      </x:c>
      <x:c r="AJ1350" t="n">
        <x:v>0</x:v>
      </x:c>
      <x:c r="AK1350" t="n">
        <x:v>0</x:v>
      </x:c>
      <x:c r="AL1350" t="n">
        <x:v>0</x:v>
      </x:c>
      <x:c r="AM1350" t="n">
        <x:f>CHOOSE('假设'!$B$3,AJ1350,AK1350,AL1350)</x:f>
        <x:v>0</x:v>
      </x:c>
      <x:c r="AN1350" t="n">
        <x:v>1</x:v>
      </x:c>
    </x:row>
    <x:row r="1351" ht="23" customHeight="1">
      <x:c r="A1351" s="11" t="str">
        <x:v>688302.SH</x:v>
      </x:c>
      <x:c r="B1351" s="11" t="str">
        <x:v>2026年底</x:v>
      </x:c>
      <x:c r="C1351" s="11" t="str">
        <x:v>hp518_tnbc_global</x:v>
      </x:c>
      <x:c r="D1351" s="11" t="str">
        <x:v>2031-12-31</x:v>
      </x:c>
      <x:c r="E1351" s="11" t="str">
        <x:v>USD</x:v>
      </x:c>
      <x:c r="F1351" s="11" t="n">
        <x:v>4.999315537303217</x:v>
      </x:c>
      <x:c r="G1351" s="26" t="b">
        <x:v>1</x:v>
      </x:c>
      <x:c r="H1351" s="16" t="n">
        <x:v>0</x:v>
      </x:c>
      <x:c r="I1351" s="16" t="n">
        <x:v>0</x:v>
      </x:c>
      <x:c r="J1351" s="16" t="n">
        <x:v>0</x:v>
      </x:c>
      <x:c r="K1351" s="11" t="n">
        <x:f>CHOOSE('假设'!$B$3,H1351,I1351,J1351)</x:f>
        <x:v>0</x:v>
      </x:c>
      <x:c r="L1351" s="11" t="n">
        <x:f>K1351*'管线假设'!E307*'管线假设'!F307*'管线假设'!G307*IF(E1351="USD",'管线假设'!I307,1)-AM1351</x:f>
        <x:v>0</x:v>
      </x:c>
      <x:c r="M1351" s="11" t="n">
        <x:f>'管线假设'!H307</x:f>
        <x:v>0.14</x:v>
      </x:c>
      <x:c r="N1351" s="11" t="n">
        <x:f>IF(G1351,L1351*AN1351/(1+M1351)^F1351,0)</x:f>
        <x:v>0</x:v>
      </x:c>
      <x:c r="AJ1351" t="n">
        <x:v>0</x:v>
      </x:c>
      <x:c r="AK1351" t="n">
        <x:v>0</x:v>
      </x:c>
      <x:c r="AL1351" t="n">
        <x:v>0</x:v>
      </x:c>
      <x:c r="AM1351" t="n">
        <x:f>CHOOSE('假设'!$B$3,AJ1351,AK1351,AL1351)</x:f>
        <x:v>0</x:v>
      </x:c>
      <x:c r="AN1351" t="n">
        <x:v>1</x:v>
      </x:c>
    </x:row>
    <x:row r="1352" ht="23" customHeight="1">
      <x:c r="A1352" s="11" t="str">
        <x:v>688302.SH</x:v>
      </x:c>
      <x:c r="B1352" s="11" t="str">
        <x:v>2026年底</x:v>
      </x:c>
      <x:c r="C1352" s="11" t="str">
        <x:v>hp518_tnbc_global</x:v>
      </x:c>
      <x:c r="D1352" s="11" t="str">
        <x:v>2032-12-31</x:v>
      </x:c>
      <x:c r="E1352" s="11" t="str">
        <x:v>USD</x:v>
      </x:c>
      <x:c r="F1352" s="11" t="n">
        <x:v>6.0013689253935665</x:v>
      </x:c>
      <x:c r="G1352" s="26" t="b">
        <x:v>1</x:v>
      </x:c>
      <x:c r="H1352" s="16" t="n">
        <x:v>0</x:v>
      </x:c>
      <x:c r="I1352" s="16" t="n">
        <x:v>0</x:v>
      </x:c>
      <x:c r="J1352" s="16" t="n">
        <x:v>0</x:v>
      </x:c>
      <x:c r="K1352" s="11" t="n">
        <x:f>CHOOSE('假设'!$B$3,H1352,I1352,J1352)</x:f>
        <x:v>0</x:v>
      </x:c>
      <x:c r="L1352" s="11" t="n">
        <x:f>K1352*'管线假设'!E307*'管线假设'!F307*'管线假设'!G307*IF(E1352="USD",'管线假设'!I307,1)-AM1352</x:f>
        <x:v>0</x:v>
      </x:c>
      <x:c r="M1352" s="11" t="n">
        <x:f>'管线假设'!H307</x:f>
        <x:v>0.14</x:v>
      </x:c>
      <x:c r="N1352" s="11" t="n">
        <x:f>IF(G1352,L1352*AN1352/(1+M1352)^F1352,0)</x:f>
        <x:v>0</x:v>
      </x:c>
      <x:c r="AJ1352" t="n">
        <x:v>0</x:v>
      </x:c>
      <x:c r="AK1352" t="n">
        <x:v>0</x:v>
      </x:c>
      <x:c r="AL1352" t="n">
        <x:v>0</x:v>
      </x:c>
      <x:c r="AM1352" t="n">
        <x:f>CHOOSE('假设'!$B$3,AJ1352,AK1352,AL1352)</x:f>
        <x:v>0</x:v>
      </x:c>
      <x:c r="AN1352" t="n">
        <x:v>1</x:v>
      </x:c>
    </x:row>
    <x:row r="1353" ht="23" customHeight="1">
      <x:c r="A1353" s="11" t="str">
        <x:v>688302.SH</x:v>
      </x:c>
      <x:c r="B1353" s="11" t="str">
        <x:v>2026年底</x:v>
      </x:c>
      <x:c r="C1353" s="11" t="str">
        <x:v>hp518_tnbc_global</x:v>
      </x:c>
      <x:c r="D1353" s="11" t="str">
        <x:v>2033-12-31</x:v>
      </x:c>
      <x:c r="E1353" s="11" t="str">
        <x:v>USD</x:v>
      </x:c>
      <x:c r="F1353" s="11" t="n">
        <x:v>7.000684462696783</x:v>
      </x:c>
      <x:c r="G1353" s="26" t="b">
        <x:v>1</x:v>
      </x:c>
      <x:c r="H1353" s="16" t="n">
        <x:v>0</x:v>
      </x:c>
      <x:c r="I1353" s="16" t="n">
        <x:v>0</x:v>
      </x:c>
      <x:c r="J1353" s="16" t="n">
        <x:v>0.3</x:v>
      </x:c>
      <x:c r="K1353" s="11" t="n">
        <x:f>CHOOSE('假设'!$B$3,H1353,I1353,J1353)</x:f>
        <x:v>0</x:v>
      </x:c>
      <x:c r="L1353" s="11" t="n">
        <x:f>K1353*'管线假设'!E307*'管线假设'!F307*'管线假设'!G307*IF(E1353="USD",'管线假设'!I307,1)-AM1353</x:f>
        <x:v>0</x:v>
      </x:c>
      <x:c r="M1353" s="11" t="n">
        <x:f>'管线假设'!H307</x:f>
        <x:v>0.14</x:v>
      </x:c>
      <x:c r="N1353" s="11" t="n">
        <x:f>IF(G1353,L1353*AN1353/(1+M1353)^F1353,0)</x:f>
        <x:v>0</x:v>
      </x:c>
      <x:c r="AJ1353" t="n">
        <x:v>0</x:v>
      </x:c>
      <x:c r="AK1353" t="n">
        <x:v>0</x:v>
      </x:c>
      <x:c r="AL1353" t="n">
        <x:v>0</x:v>
      </x:c>
      <x:c r="AM1353" t="n">
        <x:f>CHOOSE('假设'!$B$3,AJ1353,AK1353,AL1353)</x:f>
        <x:v>0</x:v>
      </x:c>
      <x:c r="AN1353" t="n">
        <x:v>1</x:v>
      </x:c>
    </x:row>
    <x:row r="1354" ht="23" customHeight="1">
      <x:c r="A1354" s="11" t="str">
        <x:v>688302.SH</x:v>
      </x:c>
      <x:c r="B1354" s="11" t="str">
        <x:v>2026年底</x:v>
      </x:c>
      <x:c r="C1354" s="11" t="str">
        <x:v>hp518_tnbc_global</x:v>
      </x:c>
      <x:c r="D1354" s="11" t="str">
        <x:v>2034-12-31</x:v>
      </x:c>
      <x:c r="E1354" s="11" t="str">
        <x:v>USD</x:v>
      </x:c>
      <x:c r="F1354" s="11" t="n">
        <x:v>8</x:v>
      </x:c>
      <x:c r="G1354" s="26" t="b">
        <x:v>1</x:v>
      </x:c>
      <x:c r="H1354" s="16" t="n">
        <x:v>0</x:v>
      </x:c>
      <x:c r="I1354" s="16" t="n">
        <x:v>0</x:v>
      </x:c>
      <x:c r="J1354" s="16" t="n">
        <x:v>0.6</x:v>
      </x:c>
      <x:c r="K1354" s="11" t="n">
        <x:f>CHOOSE('假设'!$B$3,H1354,I1354,J1354)</x:f>
        <x:v>0</x:v>
      </x:c>
      <x:c r="L1354" s="11" t="n">
        <x:f>K1354*'管线假设'!E307*'管线假设'!F307*'管线假设'!G307*IF(E1354="USD",'管线假设'!I307,1)-AM1354</x:f>
        <x:v>0</x:v>
      </x:c>
      <x:c r="M1354" s="11" t="n">
        <x:f>'管线假设'!H307</x:f>
        <x:v>0.14</x:v>
      </x:c>
      <x:c r="N1354" s="11" t="n">
        <x:f>IF(G1354,L1354*AN1354/(1+M1354)^F1354,0)</x:f>
        <x:v>0</x:v>
      </x:c>
      <x:c r="AJ1354" t="n">
        <x:v>0</x:v>
      </x:c>
      <x:c r="AK1354" t="n">
        <x:v>0</x:v>
      </x:c>
      <x:c r="AL1354" t="n">
        <x:v>0</x:v>
      </x:c>
      <x:c r="AM1354" t="n">
        <x:f>CHOOSE('假设'!$B$3,AJ1354,AK1354,AL1354)</x:f>
        <x:v>0</x:v>
      </x:c>
      <x:c r="AN1354" t="n">
        <x:v>1</x:v>
      </x:c>
    </x:row>
    <x:row r="1355" ht="23" customHeight="1">
      <x:c r="A1355" s="11" t="str">
        <x:v>688302.SH</x:v>
      </x:c>
      <x:c r="B1355" s="11" t="str">
        <x:v>2026年底</x:v>
      </x:c>
      <x:c r="C1355" s="11" t="str">
        <x:v>hp518_tnbc_global</x:v>
      </x:c>
      <x:c r="D1355" s="11" t="str">
        <x:v>2035-12-31</x:v>
      </x:c>
      <x:c r="E1355" s="11" t="str">
        <x:v>USD</x:v>
      </x:c>
      <x:c r="F1355" s="11" t="n">
        <x:v>8.999315537303216</x:v>
      </x:c>
      <x:c r="G1355" s="26" t="b">
        <x:v>1</x:v>
      </x:c>
      <x:c r="H1355" s="16" t="n">
        <x:v>0</x:v>
      </x:c>
      <x:c r="I1355" s="16" t="n">
        <x:v>0.15</x:v>
      </x:c>
      <x:c r="J1355" s="16" t="n">
        <x:v>0.9</x:v>
      </x:c>
      <x:c r="K1355" s="11" t="n">
        <x:f>CHOOSE('假设'!$B$3,H1355,I1355,J1355)</x:f>
        <x:v>0.15</x:v>
      </x:c>
      <x:c r="L1355" s="11" t="n">
        <x:f>K1355*'管线假设'!E307*'管线假设'!F307*'管线假设'!G307*IF(E1355="USD",'管线假设'!I307,1)-AM1355</x:f>
        <x:v>0.007527599999999998</x:v>
      </x:c>
      <x:c r="M1355" s="11" t="n">
        <x:f>'管线假设'!H307</x:f>
        <x:v>0.14</x:v>
      </x:c>
      <x:c r="N1355" s="11" t="n">
        <x:f>IF(G1355,L1355*AN1355/(1+M1355)^F1355,0)</x:f>
        <x:v>0.002315004400056544</x:v>
      </x:c>
      <x:c r="AJ1355" t="n">
        <x:v>0</x:v>
      </x:c>
      <x:c r="AK1355" t="n">
        <x:v>0</x:v>
      </x:c>
      <x:c r="AL1355" t="n">
        <x:v>0</x:v>
      </x:c>
      <x:c r="AM1355" t="n">
        <x:f>CHOOSE('假设'!$B$3,AJ1355,AK1355,AL1355)</x:f>
        <x:v>0</x:v>
      </x:c>
      <x:c r="AN1355" t="n">
        <x:v>1</x:v>
      </x:c>
    </x:row>
    <x:row r="1356" ht="23" customHeight="1">
      <x:c r="A1356" s="11" t="str">
        <x:v>688302.SH</x:v>
      </x:c>
      <x:c r="B1356" s="11" t="str">
        <x:v>2026年底</x:v>
      </x:c>
      <x:c r="C1356" s="11" t="str">
        <x:v>hp518_tnbc_global</x:v>
      </x:c>
      <x:c r="D1356" s="11" t="str">
        <x:v>2036-12-31</x:v>
      </x:c>
      <x:c r="E1356" s="11" t="str">
        <x:v>USD</x:v>
      </x:c>
      <x:c r="F1356" s="11" t="n">
        <x:v>10.001368925393566</x:v>
      </x:c>
      <x:c r="G1356" s="26" t="b">
        <x:v>1</x:v>
      </x:c>
      <x:c r="H1356" s="16" t="n">
        <x:v>0</x:v>
      </x:c>
      <x:c r="I1356" s="16" t="n">
        <x:v>0.3</x:v>
      </x:c>
      <x:c r="J1356" s="16" t="n">
        <x:v>1.2</x:v>
      </x:c>
      <x:c r="K1356" s="11" t="n">
        <x:f>CHOOSE('假设'!$B$3,H1356,I1356,J1356)</x:f>
        <x:v>0.3</x:v>
      </x:c>
      <x:c r="L1356" s="11" t="n">
        <x:f>K1356*'管线假设'!E307*'管线假设'!F307*'管线假设'!G307*IF(E1356="USD",'管线假设'!I307,1)-AM1356</x:f>
        <x:v>0.015055199999999996</x:v>
      </x:c>
      <x:c r="M1356" s="11" t="n">
        <x:f>'管线假设'!H307</x:f>
        <x:v>0.14</x:v>
      </x:c>
      <x:c r="N1356" s="11" t="n">
        <x:f>IF(G1356,L1356*AN1356/(1+M1356)^F1356,0)</x:f>
        <x:v>0.0040603186448566675</x:v>
      </x:c>
      <x:c r="AJ1356" t="n">
        <x:v>0</x:v>
      </x:c>
      <x:c r="AK1356" t="n">
        <x:v>0</x:v>
      </x:c>
      <x:c r="AL1356" t="n">
        <x:v>0</x:v>
      </x:c>
      <x:c r="AM1356" t="n">
        <x:f>CHOOSE('假设'!$B$3,AJ1356,AK1356,AL1356)</x:f>
        <x:v>0</x:v>
      </x:c>
      <x:c r="AN1356" t="n">
        <x:v>1</x:v>
      </x:c>
    </x:row>
    <x:row r="1357" ht="23" customHeight="1">
      <x:c r="A1357" s="11" t="str">
        <x:v>688302.SH</x:v>
      </x:c>
      <x:c r="B1357" s="11" t="str">
        <x:v>2026年底</x:v>
      </x:c>
      <x:c r="C1357" s="11" t="str">
        <x:v>hp518_tnbc_global</x:v>
      </x:c>
      <x:c r="D1357" s="11" t="str">
        <x:v>2037-12-31</x:v>
      </x:c>
      <x:c r="E1357" s="11" t="str">
        <x:v>USD</x:v>
      </x:c>
      <x:c r="F1357" s="11" t="n">
        <x:v>11.000684462696784</x:v>
      </x:c>
      <x:c r="G1357" s="26" t="b">
        <x:v>1</x:v>
      </x:c>
      <x:c r="H1357" s="16" t="n">
        <x:v>0.06</x:v>
      </x:c>
      <x:c r="I1357" s="16" t="n">
        <x:v>0.45</x:v>
      </x:c>
      <x:c r="J1357" s="16" t="n">
        <x:v>1.5</x:v>
      </x:c>
      <x:c r="K1357" s="11" t="n">
        <x:f>CHOOSE('假设'!$B$3,H1357,I1357,J1357)</x:f>
        <x:v>0.45</x:v>
      </x:c>
      <x:c r="L1357" s="11" t="n">
        <x:f>K1357*'管线假设'!E307*'管线假设'!F307*'管线假设'!G307*IF(E1357="USD",'管线假设'!I307,1)-AM1357</x:f>
        <x:v>0.022582799999999997</x:v>
      </x:c>
      <x:c r="M1357" s="11" t="n">
        <x:f>'管线假设'!H307</x:f>
        <x:v>0.14</x:v>
      </x:c>
      <x:c r="N1357" s="11" t="n">
        <x:f>IF(G1357,L1357*AN1357/(1+M1357)^F1357,0)</x:f>
        <x:v>0.005343003692937271</x:v>
      </x:c>
      <x:c r="AJ1357" t="n">
        <x:v>0</x:v>
      </x:c>
      <x:c r="AK1357" t="n">
        <x:v>0</x:v>
      </x:c>
      <x:c r="AL1357" t="n">
        <x:v>0</x:v>
      </x:c>
      <x:c r="AM1357" t="n">
        <x:f>CHOOSE('假设'!$B$3,AJ1357,AK1357,AL1357)</x:f>
        <x:v>0</x:v>
      </x:c>
      <x:c r="AN1357" t="n">
        <x:v>1</x:v>
      </x:c>
    </x:row>
    <x:row r="1358" ht="23" customHeight="1">
      <x:c r="A1358" s="11" t="str">
        <x:v>688302.SH</x:v>
      </x:c>
      <x:c r="B1358" s="11" t="str">
        <x:v>2026年底</x:v>
      </x:c>
      <x:c r="C1358" s="11" t="str">
        <x:v>hp518_tnbc_global</x:v>
      </x:c>
      <x:c r="D1358" s="11" t="str">
        <x:v>2038-12-31</x:v>
      </x:c>
      <x:c r="E1358" s="11" t="str">
        <x:v>USD</x:v>
      </x:c>
      <x:c r="F1358" s="11" t="n">
        <x:v>12</x:v>
      </x:c>
      <x:c r="G1358" s="26" t="b">
        <x:v>1</x:v>
      </x:c>
      <x:c r="H1358" s="16" t="n">
        <x:v>0.12</x:v>
      </x:c>
      <x:c r="I1358" s="16" t="n">
        <x:v>0.6</x:v>
      </x:c>
      <x:c r="J1358" s="16" t="n">
        <x:v>1.8</x:v>
      </x:c>
      <x:c r="K1358" s="11" t="n">
        <x:f>CHOOSE('假设'!$B$3,H1358,I1358,J1358)</x:f>
        <x:v>0.6</x:v>
      </x:c>
      <x:c r="L1358" s="11" t="n">
        <x:f>K1358*'管线假设'!E307*'管线假设'!F307*'管线假设'!G307*IF(E1358="USD",'管线假设'!I307,1)-AM1358</x:f>
        <x:v>0.030110399999999992</x:v>
      </x:c>
      <x:c r="M1358" s="11" t="n">
        <x:f>'管线假设'!H307</x:f>
        <x:v>0.14</x:v>
      </x:c>
      <x:c r="N1358" s="11" t="n">
        <x:f>IF(G1358,L1358*AN1358/(1+M1358)^F1358,0)</x:f>
        <x:v>0.0062496875978284355</x:v>
      </x:c>
      <x:c r="AJ1358" t="n">
        <x:v>0</x:v>
      </x:c>
      <x:c r="AK1358" t="n">
        <x:v>0</x:v>
      </x:c>
      <x:c r="AL1358" t="n">
        <x:v>0</x:v>
      </x:c>
      <x:c r="AM1358" t="n">
        <x:f>CHOOSE('假设'!$B$3,AJ1358,AK1358,AL1358)</x:f>
        <x:v>0</x:v>
      </x:c>
      <x:c r="AN1358" t="n">
        <x:v>1</x:v>
      </x:c>
    </x:row>
    <x:row r="1359" ht="23" customHeight="1">
      <x:c r="A1359" s="11" t="str">
        <x:v>688302.SH</x:v>
      </x:c>
      <x:c r="B1359" s="11" t="str">
        <x:v>2026年底</x:v>
      </x:c>
      <x:c r="C1359" s="11" t="str">
        <x:v>hp518_tnbc_global</x:v>
      </x:c>
      <x:c r="D1359" s="11" t="str">
        <x:v>2039-12-31</x:v>
      </x:c>
      <x:c r="E1359" s="11" t="str">
        <x:v>USD</x:v>
      </x:c>
      <x:c r="F1359" s="11" t="n">
        <x:v>12.999315537303216</x:v>
      </x:c>
      <x:c r="G1359" s="26" t="b">
        <x:v>1</x:v>
      </x:c>
      <x:c r="H1359" s="16" t="n">
        <x:v>0.18</x:v>
      </x:c>
      <x:c r="I1359" s="16" t="n">
        <x:v>0.75</x:v>
      </x:c>
      <x:c r="J1359" s="16" t="n">
        <x:v>1.566</x:v>
      </x:c>
      <x:c r="K1359" s="11" t="n">
        <x:f>CHOOSE('假设'!$B$3,H1359,I1359,J1359)</x:f>
        <x:v>0.75</x:v>
      </x:c>
      <x:c r="L1359" s="11" t="n">
        <x:f>K1359*'管线假设'!E307*'管线假设'!F307*'管线假设'!G307*IF(E1359="USD",'管线假设'!I307,1)-AM1359</x:f>
        <x:v>0.03763799999999999</x:v>
      </x:c>
      <x:c r="M1359" s="11" t="n">
        <x:f>'管线假设'!H307</x:f>
        <x:v>0.14</x:v>
      </x:c>
      <x:c r="N1359" s="11" t="n">
        <x:f>IF(G1359,L1359*AN1359/(1+M1359)^F1359,0)</x:f>
        <x:v>0.006853342236493438</x:v>
      </x:c>
      <x:c r="AJ1359" t="n">
        <x:v>0</x:v>
      </x:c>
      <x:c r="AK1359" t="n">
        <x:v>0</x:v>
      </x:c>
      <x:c r="AL1359" t="n">
        <x:v>0</x:v>
      </x:c>
      <x:c r="AM1359" t="n">
        <x:f>CHOOSE('假设'!$B$3,AJ1359,AK1359,AL1359)</x:f>
        <x:v>0</x:v>
      </x:c>
      <x:c r="AN1359" t="n">
        <x:v>1</x:v>
      </x:c>
    </x:row>
    <x:row r="1360" ht="23" customHeight="1">
      <x:c r="A1360" s="11" t="str">
        <x:v>688302.SH</x:v>
      </x:c>
      <x:c r="B1360" s="11" t="str">
        <x:v>2026年底</x:v>
      </x:c>
      <x:c r="C1360" s="11" t="str">
        <x:v>hp518_tnbc_global</x:v>
      </x:c>
      <x:c r="D1360" s="11" t="str">
        <x:v>2040-12-31</x:v>
      </x:c>
      <x:c r="E1360" s="11" t="str">
        <x:v>USD</x:v>
      </x:c>
      <x:c r="F1360" s="11" t="n">
        <x:v>14.001368925393566</x:v>
      </x:c>
      <x:c r="G1360" s="26" t="b">
        <x:v>1</x:v>
      </x:c>
      <x:c r="H1360" s="16" t="n">
        <x:v>0.24</x:v>
      </x:c>
      <x:c r="I1360" s="16" t="n">
        <x:v>0.9</x:v>
      </x:c>
      <x:c r="J1360" s="16" t="n">
        <x:v>1.332</x:v>
      </x:c>
      <x:c r="K1360" s="11" t="n">
        <x:f>CHOOSE('假设'!$B$3,H1360,I1360,J1360)</x:f>
        <x:v>0.9</x:v>
      </x:c>
      <x:c r="L1360" s="11" t="n">
        <x:f>K1360*'管线假设'!E307*'管线假设'!F307*'管线假设'!G307*IF(E1360="USD",'管线假设'!I307,1)-AM1360</x:f>
        <x:v>0.04516559999999999</x:v>
      </x:c>
      <x:c r="M1360" s="11" t="n">
        <x:f>'管线假设'!H307</x:f>
        <x:v>0.14</x:v>
      </x:c>
      <x:c r="N1360" s="11" t="n">
        <x:f>IF(G1360,L1360*AN1360/(1+M1360)^F1360,0)</x:f>
        <x:v>0.007212103768374263</x:v>
      </x:c>
      <x:c r="AJ1360" t="n">
        <x:v>0</x:v>
      </x:c>
      <x:c r="AK1360" t="n">
        <x:v>0</x:v>
      </x:c>
      <x:c r="AL1360" t="n">
        <x:v>0</x:v>
      </x:c>
      <x:c r="AM1360" t="n">
        <x:f>CHOOSE('假设'!$B$3,AJ1360,AK1360,AL1360)</x:f>
        <x:v>0</x:v>
      </x:c>
      <x:c r="AN1360" t="n">
        <x:v>1</x:v>
      </x:c>
    </x:row>
    <x:row r="1361" ht="23" customHeight="1">
      <x:c r="A1361" s="11" t="str">
        <x:v>688302.SH</x:v>
      </x:c>
      <x:c r="B1361" s="11" t="str">
        <x:v>2026年底</x:v>
      </x:c>
      <x:c r="C1361" s="11" t="str">
        <x:v>hp518_tnbc_global</x:v>
      </x:c>
      <x:c r="D1361" s="11" t="str">
        <x:v>2041-12-31</x:v>
      </x:c>
      <x:c r="E1361" s="11" t="str">
        <x:v>USD</x:v>
      </x:c>
      <x:c r="F1361" s="11" t="n">
        <x:v>15.000684462696784</x:v>
      </x:c>
      <x:c r="G1361" s="26" t="b">
        <x:v>1</x:v>
      </x:c>
      <x:c r="H1361" s="16" t="n">
        <x:v>0.3</x:v>
      </x:c>
      <x:c r="I1361" s="16" t="n">
        <x:v>0.783</x:v>
      </x:c>
      <x:c r="J1361" s="16" t="n">
        <x:v>1.098</x:v>
      </x:c>
      <x:c r="K1361" s="11" t="n">
        <x:f>CHOOSE('假设'!$B$3,H1361,I1361,J1361)</x:f>
        <x:v>0.783</x:v>
      </x:c>
      <x:c r="L1361" s="11" t="n">
        <x:f>K1361*'管线假设'!E307*'管线假设'!F307*'管线假设'!G307*IF(E1361="USD",'管线假设'!I307,1)-AM1361</x:f>
        <x:v>0.03929407199999999</x:v>
      </x:c>
      <x:c r="M1361" s="11" t="n">
        <x:f>'管线假设'!H307</x:f>
        <x:v>0.14</x:v>
      </x:c>
      <x:c r="N1361" s="11" t="n">
        <x:f>IF(G1361,L1361*AN1361/(1+M1361)^F1361,0)</x:f>
        <x:v>0.0055044675687973875</x:v>
      </x:c>
      <x:c r="AJ1361" t="n">
        <x:v>0</x:v>
      </x:c>
      <x:c r="AK1361" t="n">
        <x:v>0</x:v>
      </x:c>
      <x:c r="AL1361" t="n">
        <x:v>0</x:v>
      </x:c>
      <x:c r="AM1361" t="n">
        <x:f>CHOOSE('假设'!$B$3,AJ1361,AK1361,AL1361)</x:f>
        <x:v>0</x:v>
      </x:c>
      <x:c r="AN1361" t="n">
        <x:v>1</x:v>
      </x:c>
    </x:row>
    <x:row r="1362" ht="23" customHeight="1">
      <x:c r="A1362" s="11" t="str">
        <x:v>688302.SH</x:v>
      </x:c>
      <x:c r="B1362" s="11" t="str">
        <x:v>2026年底</x:v>
      </x:c>
      <x:c r="C1362" s="11" t="str">
        <x:v>hp518_tnbc_global</x:v>
      </x:c>
      <x:c r="D1362" s="11" t="str">
        <x:v>2042-12-31</x:v>
      </x:c>
      <x:c r="E1362" s="11" t="str">
        <x:v>USD</x:v>
      </x:c>
      <x:c r="F1362" s="11" t="n">
        <x:v>16</x:v>
      </x:c>
      <x:c r="G1362" s="26" t="b">
        <x:v>1</x:v>
      </x:c>
      <x:c r="H1362" s="16" t="n">
        <x:v>0.261</x:v>
      </x:c>
      <x:c r="I1362" s="16" t="n">
        <x:v>0.666</x:v>
      </x:c>
      <x:c r="J1362" s="16" t="n">
        <x:v>0.864</x:v>
      </x:c>
      <x:c r="K1362" s="11" t="n">
        <x:f>CHOOSE('假设'!$B$3,H1362,I1362,J1362)</x:f>
        <x:v>0.666</x:v>
      </x:c>
      <x:c r="L1362" s="11" t="n">
        <x:f>K1362*'管线假设'!E307*'管线假设'!F307*'管线假设'!G307*IF(E1362="USD",'管线假设'!I307,1)-AM1362</x:f>
        <x:v>0.033422544</x:v>
      </x:c>
      <x:c r="M1362" s="11" t="n">
        <x:f>'管线假设'!H307</x:f>
        <x:v>0.14</x:v>
      </x:c>
      <x:c r="N1362" s="11" t="n">
        <x:f>IF(G1362,L1362*AN1362/(1+M1362)^F1362,0)</x:f>
        <x:v>0.004107351610703217</x:v>
      </x:c>
      <x:c r="AJ1362" t="n">
        <x:v>0</x:v>
      </x:c>
      <x:c r="AK1362" t="n">
        <x:v>0</x:v>
      </x:c>
      <x:c r="AL1362" t="n">
        <x:v>0</x:v>
      </x:c>
      <x:c r="AM1362" t="n">
        <x:f>CHOOSE('假设'!$B$3,AJ1362,AK1362,AL1362)</x:f>
        <x:v>0</x:v>
      </x:c>
      <x:c r="AN1362" t="n">
        <x:v>1</x:v>
      </x:c>
    </x:row>
    <x:row r="1363" ht="23" customHeight="1">
      <x:c r="A1363" s="11" t="str">
        <x:v>688302.SH</x:v>
      </x:c>
      <x:c r="B1363" s="11" t="str">
        <x:v>2026年底</x:v>
      </x:c>
      <x:c r="C1363" s="11" t="str">
        <x:v>hp518_tnbc_global</x:v>
      </x:c>
      <x:c r="D1363" s="11" t="str">
        <x:v>2043-12-31</x:v>
      </x:c>
      <x:c r="E1363" s="11" t="str">
        <x:v>USD</x:v>
      </x:c>
      <x:c r="F1363" s="11" t="n">
        <x:v>16.999315537303218</x:v>
      </x:c>
      <x:c r="G1363" s="26" t="b">
        <x:v>1</x:v>
      </x:c>
      <x:c r="H1363" s="16" t="n">
        <x:v>0.222</x:v>
      </x:c>
      <x:c r="I1363" s="16" t="n">
        <x:v>0.549</x:v>
      </x:c>
      <x:c r="J1363" s="16" t="n">
        <x:v>0.63</x:v>
      </x:c>
      <x:c r="K1363" s="11" t="n">
        <x:f>CHOOSE('假设'!$B$3,H1363,I1363,J1363)</x:f>
        <x:v>0.549</x:v>
      </x:c>
      <x:c r="L1363" s="11" t="n">
        <x:f>K1363*'管线假设'!E307*'管线假设'!F307*'管线假设'!G307*IF(E1363="USD",'管线假设'!I307,1)-AM1363</x:f>
        <x:v>0.027551015999999998</x:v>
      </x:c>
      <x:c r="M1363" s="11" t="n">
        <x:f>'管线假设'!H307</x:f>
        <x:v>0.14</x:v>
      </x:c>
      <x:c r="N1363" s="11" t="n">
        <x:f>IF(G1363,L1363*AN1363/(1+M1363)^F1363,0)</x:f>
        <x:v>0.0029702574613205764</x:v>
      </x:c>
      <x:c r="AJ1363" t="n">
        <x:v>0</x:v>
      </x:c>
      <x:c r="AK1363" t="n">
        <x:v>0</x:v>
      </x:c>
      <x:c r="AL1363" t="n">
        <x:v>0</x:v>
      </x:c>
      <x:c r="AM1363" t="n">
        <x:f>CHOOSE('假设'!$B$3,AJ1363,AK1363,AL1363)</x:f>
        <x:v>0</x:v>
      </x:c>
      <x:c r="AN1363" t="n">
        <x:v>1</x:v>
      </x:c>
    </x:row>
    <x:row r="1364" ht="23" customHeight="1">
      <x:c r="A1364" s="11" t="str">
        <x:v>688302.SH</x:v>
      </x:c>
      <x:c r="B1364" s="11" t="str">
        <x:v>2026年底</x:v>
      </x:c>
      <x:c r="C1364" s="11" t="str">
        <x:v>hp518_tnbc_global</x:v>
      </x:c>
      <x:c r="D1364" s="11" t="str">
        <x:v>2044-12-31</x:v>
      </x:c>
      <x:c r="E1364" s="11" t="str">
        <x:v>USD</x:v>
      </x:c>
      <x:c r="F1364" s="11" t="n">
        <x:v>18.001368925393567</x:v>
      </x:c>
      <x:c r="G1364" s="26" t="b">
        <x:v>1</x:v>
      </x:c>
      <x:c r="H1364" s="16" t="n">
        <x:v>0.183</x:v>
      </x:c>
      <x:c r="I1364" s="16" t="n">
        <x:v>0.432</x:v>
      </x:c>
      <x:c r="J1364" s="16" t="n">
        <x:v>0.39599999999999996</x:v>
      </x:c>
      <x:c r="K1364" s="11" t="n">
        <x:f>CHOOSE('假设'!$B$3,H1364,I1364,J1364)</x:f>
        <x:v>0.432</x:v>
      </x:c>
      <x:c r="L1364" s="11" t="n">
        <x:f>K1364*'管线假设'!E307*'管线假设'!F307*'管线假设'!G307*IF(E1364="USD",'管线假设'!I307,1)-AM1364</x:f>
        <x:v>0.021679487999999993</x:v>
      </x:c>
      <x:c r="M1364" s="11" t="n">
        <x:f>'管线假设'!H307</x:f>
        <x:v>0.14</x:v>
      </x:c>
      <x:c r="N1364" s="11" t="n">
        <x:f>IF(G1364,L1364*AN1364/(1+M1364)^F1364,0)</x:f>
        <x:v>0.002049669311808778</x:v>
      </x:c>
      <x:c r="AJ1364" t="n">
        <x:v>0</x:v>
      </x:c>
      <x:c r="AK1364" t="n">
        <x:v>0</x:v>
      </x:c>
      <x:c r="AL1364" t="n">
        <x:v>0</x:v>
      </x:c>
      <x:c r="AM1364" t="n">
        <x:f>CHOOSE('假设'!$B$3,AJ1364,AK1364,AL1364)</x:f>
        <x:v>0</x:v>
      </x:c>
      <x:c r="AN1364" t="n">
        <x:v>1</x:v>
      </x:c>
    </x:row>
    <x:row r="1365" ht="23" customHeight="1">
      <x:c r="A1365" s="11" t="str">
        <x:v>688302.SH</x:v>
      </x:c>
      <x:c r="B1365" s="11" t="str">
        <x:v>2026年底</x:v>
      </x:c>
      <x:c r="C1365" s="11" t="str">
        <x:v>hp518_tnbc_global</x:v>
      </x:c>
      <x:c r="D1365" s="11" t="str">
        <x:v>2045-12-31</x:v>
      </x:c>
      <x:c r="E1365" s="11" t="str">
        <x:v>USD</x:v>
      </x:c>
      <x:c r="F1365" s="11" t="n">
        <x:v>19.000684462696782</x:v>
      </x:c>
      <x:c r="G1365" s="26" t="b">
        <x:v>1</x:v>
      </x:c>
      <x:c r="H1365" s="16" t="n">
        <x:v>0.144</x:v>
      </x:c>
      <x:c r="I1365" s="16" t="n">
        <x:v>0.315</x:v>
      </x:c>
      <x:c r="J1365" s="16" t="n">
        <x:v>0.16199999999999995</x:v>
      </x:c>
      <x:c r="K1365" s="11" t="n">
        <x:f>CHOOSE('假设'!$B$3,H1365,I1365,J1365)</x:f>
        <x:v>0.315</x:v>
      </x:c>
      <x:c r="L1365" s="11" t="n">
        <x:f>K1365*'管线假设'!E307*'管线假设'!F307*'管线假设'!G307*IF(E1365="USD",'管线假设'!I307,1)-AM1365</x:f>
        <x:v>0.01580796</x:v>
      </x:c>
      <x:c r="M1365" s="11" t="n">
        <x:f>'管线假设'!H307</x:f>
        <x:v>0.14</x:v>
      </x:c>
      <x:c r="N1365" s="11" t="n">
        <x:f>IF(G1365,L1365*AN1365/(1+M1365)^F1365,0)</x:f>
        <x:v>0.001311126827262149</x:v>
      </x:c>
      <x:c r="AJ1365" t="n">
        <x:v>0</x:v>
      </x:c>
      <x:c r="AK1365" t="n">
        <x:v>0</x:v>
      </x:c>
      <x:c r="AL1365" t="n">
        <x:v>0</x:v>
      </x:c>
      <x:c r="AM1365" t="n">
        <x:f>CHOOSE('假设'!$B$3,AJ1365,AK1365,AL1365)</x:f>
        <x:v>0</x:v>
      </x:c>
      <x:c r="AN1365" t="n">
        <x:v>1</x:v>
      </x:c>
    </x:row>
    <x:row r="1366" ht="23" customHeight="1">
      <x:c r="A1366" s="11" t="str">
        <x:v>688302.SH</x:v>
      </x:c>
      <x:c r="B1366" s="11" t="str">
        <x:v>2026年底</x:v>
      </x:c>
      <x:c r="C1366" s="11" t="str">
        <x:v>hp515_mash_cn</x:v>
      </x:c>
      <x:c r="D1366" s="11" t="str">
        <x:v>2027-12-31</x:v>
      </x:c>
      <x:c r="E1366" s="11" t="str">
        <x:v>CNY</x:v>
      </x:c>
      <x:c r="F1366" s="11" t="n">
        <x:v>0.999315537303217</x:v>
      </x:c>
      <x:c r="G1366" s="26" t="b">
        <x:v>1</x:v>
      </x:c>
      <x:c r="H1366" s="16" t="n">
        <x:v>0</x:v>
      </x:c>
      <x:c r="I1366" s="16" t="n">
        <x:v>0</x:v>
      </x:c>
      <x:c r="J1366" s="16" t="n">
        <x:v>0</x:v>
      </x:c>
      <x:c r="K1366" s="11" t="n">
        <x:f>CHOOSE('假设'!$B$3,H1366,I1366,J1366)</x:f>
        <x:v>0</x:v>
      </x:c>
      <x:c r="L1366" s="11" t="n">
        <x:f>K1366*'管线假设'!E311*'管线假设'!F311*'管线假设'!G311*IF(E1366="USD",'管线假设'!I311,1)-AM1366</x:f>
        <x:v>0</x:v>
      </x:c>
      <x:c r="M1366" s="11" t="n">
        <x:f>'管线假设'!H311</x:f>
        <x:v>0.14</x:v>
      </x:c>
      <x:c r="N1366" s="11" t="n">
        <x:f>IF(G1366,L1366*AN1366/(1+M1366)^F1366,0)</x:f>
        <x:v>0</x:v>
      </x:c>
      <x:c r="AJ1366" t="n">
        <x:v>0</x:v>
      </x:c>
      <x:c r="AK1366" t="n">
        <x:v>0</x:v>
      </x:c>
      <x:c r="AL1366" t="n">
        <x:v>0</x:v>
      </x:c>
      <x:c r="AM1366" t="n">
        <x:f>CHOOSE('假设'!$B$3,AJ1366,AK1366,AL1366)</x:f>
        <x:v>0</x:v>
      </x:c>
      <x:c r="AN1366" t="n">
        <x:v>1</x:v>
      </x:c>
    </x:row>
    <x:row r="1367" ht="23" customHeight="1">
      <x:c r="A1367" s="11" t="str">
        <x:v>688302.SH</x:v>
      </x:c>
      <x:c r="B1367" s="11" t="str">
        <x:v>2026年底</x:v>
      </x:c>
      <x:c r="C1367" s="11" t="str">
        <x:v>hp515_mash_cn</x:v>
      </x:c>
      <x:c r="D1367" s="11" t="str">
        <x:v>2028-12-31</x:v>
      </x:c>
      <x:c r="E1367" s="11" t="str">
        <x:v>CNY</x:v>
      </x:c>
      <x:c r="F1367" s="11" t="n">
        <x:v>2.001368925393566</x:v>
      </x:c>
      <x:c r="G1367" s="26" t="b">
        <x:v>1</x:v>
      </x:c>
      <x:c r="H1367" s="16" t="n">
        <x:v>0</x:v>
      </x:c>
      <x:c r="I1367" s="16" t="n">
        <x:v>0</x:v>
      </x:c>
      <x:c r="J1367" s="16" t="n">
        <x:v>0</x:v>
      </x:c>
      <x:c r="K1367" s="11" t="n">
        <x:f>CHOOSE('假设'!$B$3,H1367,I1367,J1367)</x:f>
        <x:v>0</x:v>
      </x:c>
      <x:c r="L1367" s="11" t="n">
        <x:f>K1367*'管线假设'!E311*'管线假设'!F311*'管线假设'!G311*IF(E1367="USD",'管线假设'!I311,1)-AM1367</x:f>
        <x:v>0</x:v>
      </x:c>
      <x:c r="M1367" s="11" t="n">
        <x:f>'管线假设'!H311</x:f>
        <x:v>0.14</x:v>
      </x:c>
      <x:c r="N1367" s="11" t="n">
        <x:f>IF(G1367,L1367*AN1367/(1+M1367)^F1367,0)</x:f>
        <x:v>0</x:v>
      </x:c>
      <x:c r="AJ1367" t="n">
        <x:v>0</x:v>
      </x:c>
      <x:c r="AK1367" t="n">
        <x:v>0</x:v>
      </x:c>
      <x:c r="AL1367" t="n">
        <x:v>0</x:v>
      </x:c>
      <x:c r="AM1367" t="n">
        <x:f>CHOOSE('假设'!$B$3,AJ1367,AK1367,AL1367)</x:f>
        <x:v>0</x:v>
      </x:c>
      <x:c r="AN1367" t="n">
        <x:v>1</x:v>
      </x:c>
    </x:row>
    <x:row r="1368" ht="23" customHeight="1">
      <x:c r="A1368" s="11" t="str">
        <x:v>688302.SH</x:v>
      </x:c>
      <x:c r="B1368" s="11" t="str">
        <x:v>2026年底</x:v>
      </x:c>
      <x:c r="C1368" s="11" t="str">
        <x:v>hp515_mash_cn</x:v>
      </x:c>
      <x:c r="D1368" s="11" t="str">
        <x:v>2029-12-31</x:v>
      </x:c>
      <x:c r="E1368" s="11" t="str">
        <x:v>CNY</x:v>
      </x:c>
      <x:c r="F1368" s="11" t="n">
        <x:v>3.0006844626967832</x:v>
      </x:c>
      <x:c r="G1368" s="26" t="b">
        <x:v>1</x:v>
      </x:c>
      <x:c r="H1368" s="16" t="n">
        <x:v>0</x:v>
      </x:c>
      <x:c r="I1368" s="16" t="n">
        <x:v>0</x:v>
      </x:c>
      <x:c r="J1368" s="16" t="n">
        <x:v>0</x:v>
      </x:c>
      <x:c r="K1368" s="11" t="n">
        <x:f>CHOOSE('假设'!$B$3,H1368,I1368,J1368)</x:f>
        <x:v>0</x:v>
      </x:c>
      <x:c r="L1368" s="11" t="n">
        <x:f>K1368*'管线假设'!E311*'管线假设'!F311*'管线假设'!G311*IF(E1368="USD",'管线假设'!I311,1)-AM1368</x:f>
        <x:v>0</x:v>
      </x:c>
      <x:c r="M1368" s="11" t="n">
        <x:f>'管线假设'!H311</x:f>
        <x:v>0.14</x:v>
      </x:c>
      <x:c r="N1368" s="11" t="n">
        <x:f>IF(G1368,L1368*AN1368/(1+M1368)^F1368,0)</x:f>
        <x:v>0</x:v>
      </x:c>
      <x:c r="AJ1368" t="n">
        <x:v>0</x:v>
      </x:c>
      <x:c r="AK1368" t="n">
        <x:v>0</x:v>
      </x:c>
      <x:c r="AL1368" t="n">
        <x:v>0</x:v>
      </x:c>
      <x:c r="AM1368" t="n">
        <x:f>CHOOSE('假设'!$B$3,AJ1368,AK1368,AL1368)</x:f>
        <x:v>0</x:v>
      </x:c>
      <x:c r="AN1368" t="n">
        <x:v>1</x:v>
      </x:c>
    </x:row>
    <x:row r="1369" ht="23" customHeight="1">
      <x:c r="A1369" s="11" t="str">
        <x:v>688302.SH</x:v>
      </x:c>
      <x:c r="B1369" s="11" t="str">
        <x:v>2026年底</x:v>
      </x:c>
      <x:c r="C1369" s="11" t="str">
        <x:v>hp515_mash_cn</x:v>
      </x:c>
      <x:c r="D1369" s="11" t="str">
        <x:v>2030-12-31</x:v>
      </x:c>
      <x:c r="E1369" s="11" t="str">
        <x:v>CNY</x:v>
      </x:c>
      <x:c r="F1369" s="11" t="n">
        <x:v>4</x:v>
      </x:c>
      <x:c r="G1369" s="26" t="b">
        <x:v>1</x:v>
      </x:c>
      <x:c r="H1369" s="16" t="n">
        <x:v>0</x:v>
      </x:c>
      <x:c r="I1369" s="16" t="n">
        <x:v>0</x:v>
      </x:c>
      <x:c r="J1369" s="16" t="n">
        <x:v>1</x:v>
      </x:c>
      <x:c r="K1369" s="11" t="n">
        <x:f>CHOOSE('假设'!$B$3,H1369,I1369,J1369)</x:f>
        <x:v>0</x:v>
      </x:c>
      <x:c r="L1369" s="11" t="n">
        <x:f>K1369*'管线假设'!E311*'管线假设'!F311*'管线假设'!G311*IF(E1369="USD",'管线假设'!I311,1)-AM1369</x:f>
        <x:v>0</x:v>
      </x:c>
      <x:c r="M1369" s="11" t="n">
        <x:f>'管线假设'!H311</x:f>
        <x:v>0.14</x:v>
      </x:c>
      <x:c r="N1369" s="11" t="n">
        <x:f>IF(G1369,L1369*AN1369/(1+M1369)^F1369,0)</x:f>
        <x:v>0</x:v>
      </x:c>
      <x:c r="AJ1369" t="n">
        <x:v>0</x:v>
      </x:c>
      <x:c r="AK1369" t="n">
        <x:v>0</x:v>
      </x:c>
      <x:c r="AL1369" t="n">
        <x:v>0</x:v>
      </x:c>
      <x:c r="AM1369" t="n">
        <x:f>CHOOSE('假设'!$B$3,AJ1369,AK1369,AL1369)</x:f>
        <x:v>0</x:v>
      </x:c>
      <x:c r="AN1369" t="n">
        <x:v>1</x:v>
      </x:c>
    </x:row>
    <x:row r="1370" ht="23" customHeight="1">
      <x:c r="A1370" s="11" t="str">
        <x:v>688302.SH</x:v>
      </x:c>
      <x:c r="B1370" s="11" t="str">
        <x:v>2026年底</x:v>
      </x:c>
      <x:c r="C1370" s="11" t="str">
        <x:v>hp515_mash_cn</x:v>
      </x:c>
      <x:c r="D1370" s="11" t="str">
        <x:v>2031-12-31</x:v>
      </x:c>
      <x:c r="E1370" s="11" t="str">
        <x:v>CNY</x:v>
      </x:c>
      <x:c r="F1370" s="11" t="n">
        <x:v>4.999315537303217</x:v>
      </x:c>
      <x:c r="G1370" s="26" t="b">
        <x:v>1</x:v>
      </x:c>
      <x:c r="H1370" s="16" t="n">
        <x:v>0</x:v>
      </x:c>
      <x:c r="I1370" s="16" t="n">
        <x:v>0</x:v>
      </x:c>
      <x:c r="J1370" s="16" t="n">
        <x:v>2</x:v>
      </x:c>
      <x:c r="K1370" s="11" t="n">
        <x:f>CHOOSE('假设'!$B$3,H1370,I1370,J1370)</x:f>
        <x:v>0</x:v>
      </x:c>
      <x:c r="L1370" s="11" t="n">
        <x:f>K1370*'管线假设'!E311*'管线假设'!F311*'管线假设'!G311*IF(E1370="USD",'管线假设'!I311,1)-AM1370</x:f>
        <x:v>0</x:v>
      </x:c>
      <x:c r="M1370" s="11" t="n">
        <x:f>'管线假设'!H311</x:f>
        <x:v>0.14</x:v>
      </x:c>
      <x:c r="N1370" s="11" t="n">
        <x:f>IF(G1370,L1370*AN1370/(1+M1370)^F1370,0)</x:f>
        <x:v>0</x:v>
      </x:c>
      <x:c r="AJ1370" t="n">
        <x:v>0</x:v>
      </x:c>
      <x:c r="AK1370" t="n">
        <x:v>0</x:v>
      </x:c>
      <x:c r="AL1370" t="n">
        <x:v>0</x:v>
      </x:c>
      <x:c r="AM1370" t="n">
        <x:f>CHOOSE('假设'!$B$3,AJ1370,AK1370,AL1370)</x:f>
        <x:v>0</x:v>
      </x:c>
      <x:c r="AN1370" t="n">
        <x:v>1</x:v>
      </x:c>
    </x:row>
    <x:row r="1371" ht="23" customHeight="1">
      <x:c r="A1371" s="11" t="str">
        <x:v>688302.SH</x:v>
      </x:c>
      <x:c r="B1371" s="11" t="str">
        <x:v>2026年底</x:v>
      </x:c>
      <x:c r="C1371" s="11" t="str">
        <x:v>hp515_mash_cn</x:v>
      </x:c>
      <x:c r="D1371" s="11" t="str">
        <x:v>2032-12-31</x:v>
      </x:c>
      <x:c r="E1371" s="11" t="str">
        <x:v>CNY</x:v>
      </x:c>
      <x:c r="F1371" s="11" t="n">
        <x:v>6.0013689253935665</x:v>
      </x:c>
      <x:c r="G1371" s="26" t="b">
        <x:v>1</x:v>
      </x:c>
      <x:c r="H1371" s="16" t="n">
        <x:v>0</x:v>
      </x:c>
      <x:c r="I1371" s="16" t="n">
        <x:v>0.5</x:v>
      </x:c>
      <x:c r="J1371" s="16" t="n">
        <x:v>3</x:v>
      </x:c>
      <x:c r="K1371" s="11" t="n">
        <x:f>CHOOSE('假设'!$B$3,H1371,I1371,J1371)</x:f>
        <x:v>0.5</x:v>
      </x:c>
      <x:c r="L1371" s="11" t="n">
        <x:f>K1371*'管线假设'!E311*'管线假设'!F311*'管线假设'!G311*IF(E1371="USD",'管线假设'!I311,1)-AM1371</x:f>
        <x:v>0.0475</x:v>
      </x:c>
      <x:c r="M1371" s="11" t="n">
        <x:f>'管线假设'!H311</x:f>
        <x:v>0.14</x:v>
      </x:c>
      <x:c r="N1371" s="11" t="n">
        <x:f>IF(G1371,L1371*AN1371/(1+M1371)^F1371,0)</x:f>
        <x:v>0.021636479776637636</x:v>
      </x:c>
      <x:c r="AJ1371" t="n">
        <x:v>0</x:v>
      </x:c>
      <x:c r="AK1371" t="n">
        <x:v>0</x:v>
      </x:c>
      <x:c r="AL1371" t="n">
        <x:v>0</x:v>
      </x:c>
      <x:c r="AM1371" t="n">
        <x:f>CHOOSE('假设'!$B$3,AJ1371,AK1371,AL1371)</x:f>
        <x:v>0</x:v>
      </x:c>
      <x:c r="AN1371" t="n">
        <x:v>1</x:v>
      </x:c>
    </x:row>
    <x:row r="1372" ht="23" customHeight="1">
      <x:c r="A1372" s="11" t="str">
        <x:v>688302.SH</x:v>
      </x:c>
      <x:c r="B1372" s="11" t="str">
        <x:v>2026年底</x:v>
      </x:c>
      <x:c r="C1372" s="11" t="str">
        <x:v>hp515_mash_cn</x:v>
      </x:c>
      <x:c r="D1372" s="11" t="str">
        <x:v>2033-12-31</x:v>
      </x:c>
      <x:c r="E1372" s="11" t="str">
        <x:v>CNY</x:v>
      </x:c>
      <x:c r="F1372" s="11" t="n">
        <x:v>7.000684462696783</x:v>
      </x:c>
      <x:c r="G1372" s="26" t="b">
        <x:v>1</x:v>
      </x:c>
      <x:c r="H1372" s="16" t="n">
        <x:v>0</x:v>
      </x:c>
      <x:c r="I1372" s="16" t="n">
        <x:v>1</x:v>
      </x:c>
      <x:c r="J1372" s="16" t="n">
        <x:v>4</x:v>
      </x:c>
      <x:c r="K1372" s="11" t="n">
        <x:f>CHOOSE('假设'!$B$3,H1372,I1372,J1372)</x:f>
        <x:v>1</x:v>
      </x:c>
      <x:c r="L1372" s="11" t="n">
        <x:f>K1372*'管线假设'!E311*'管线假设'!F311*'管线假设'!G311*IF(E1372="USD",'管线假设'!I311,1)-AM1372</x:f>
        <x:v>0.095</x:v>
      </x:c>
      <x:c r="M1372" s="11" t="n">
        <x:f>'管线假设'!H311</x:f>
        <x:v>0.14</x:v>
      </x:c>
      <x:c r="N1372" s="11" t="n">
        <x:f>IF(G1372,L1372*AN1372/(1+M1372)^F1372,0)</x:f>
        <x:v>0.037962140892620636</x:v>
      </x:c>
      <x:c r="AJ1372" t="n">
        <x:v>0</x:v>
      </x:c>
      <x:c r="AK1372" t="n">
        <x:v>0</x:v>
      </x:c>
      <x:c r="AL1372" t="n">
        <x:v>0</x:v>
      </x:c>
      <x:c r="AM1372" t="n">
        <x:f>CHOOSE('假设'!$B$3,AJ1372,AK1372,AL1372)</x:f>
        <x:v>0</x:v>
      </x:c>
      <x:c r="AN1372" t="n">
        <x:v>1</x:v>
      </x:c>
    </x:row>
    <x:row r="1373" ht="23" customHeight="1">
      <x:c r="A1373" s="11" t="str">
        <x:v>688302.SH</x:v>
      </x:c>
      <x:c r="B1373" s="11" t="str">
        <x:v>2026年底</x:v>
      </x:c>
      <x:c r="C1373" s="11" t="str">
        <x:v>hp515_mash_cn</x:v>
      </x:c>
      <x:c r="D1373" s="11" t="str">
        <x:v>2034-12-31</x:v>
      </x:c>
      <x:c r="E1373" s="11" t="str">
        <x:v>CNY</x:v>
      </x:c>
      <x:c r="F1373" s="11" t="n">
        <x:v>8</x:v>
      </x:c>
      <x:c r="G1373" s="26" t="b">
        <x:v>1</x:v>
      </x:c>
      <x:c r="H1373" s="16" t="n">
        <x:v>0</x:v>
      </x:c>
      <x:c r="I1373" s="16" t="n">
        <x:v>1.5</x:v>
      </x:c>
      <x:c r="J1373" s="16" t="n">
        <x:v>5</x:v>
      </x:c>
      <x:c r="K1373" s="11" t="n">
        <x:f>CHOOSE('假设'!$B$3,H1373,I1373,J1373)</x:f>
        <x:v>1.5</x:v>
      </x:c>
      <x:c r="L1373" s="11" t="n">
        <x:f>K1373*'管线假设'!E311*'管线假设'!F311*'管线假设'!G311*IF(E1373="USD",'管线假设'!I311,1)-AM1373</x:f>
        <x:v>0.14250000000000002</x:v>
      </x:c>
      <x:c r="M1373" s="11" t="n">
        <x:f>'管线假设'!H311</x:f>
        <x:v>0.14</x:v>
      </x:c>
      <x:c r="N1373" s="11" t="n">
        <x:f>IF(G1373,L1373*AN1373/(1+M1373)^F1373,0)</x:f>
        <x:v>0.049954665316233375</x:v>
      </x:c>
      <x:c r="AJ1373" t="n">
        <x:v>0</x:v>
      </x:c>
      <x:c r="AK1373" t="n">
        <x:v>0</x:v>
      </x:c>
      <x:c r="AL1373" t="n">
        <x:v>0</x:v>
      </x:c>
      <x:c r="AM1373" t="n">
        <x:f>CHOOSE('假设'!$B$3,AJ1373,AK1373,AL1373)</x:f>
        <x:v>0</x:v>
      </x:c>
      <x:c r="AN1373" t="n">
        <x:v>1</x:v>
      </x:c>
    </x:row>
    <x:row r="1374" ht="23" customHeight="1">
      <x:c r="A1374" s="11" t="str">
        <x:v>688302.SH</x:v>
      </x:c>
      <x:c r="B1374" s="11" t="str">
        <x:v>2026年底</x:v>
      </x:c>
      <x:c r="C1374" s="11" t="str">
        <x:v>hp515_mash_cn</x:v>
      </x:c>
      <x:c r="D1374" s="11" t="str">
        <x:v>2035-12-31</x:v>
      </x:c>
      <x:c r="E1374" s="11" t="str">
        <x:v>CNY</x:v>
      </x:c>
      <x:c r="F1374" s="11" t="n">
        <x:v>8.999315537303216</x:v>
      </x:c>
      <x:c r="G1374" s="26" t="b">
        <x:v>1</x:v>
      </x:c>
      <x:c r="H1374" s="16" t="n">
        <x:v>0.2</x:v>
      </x:c>
      <x:c r="I1374" s="16" t="n">
        <x:v>2</x:v>
      </x:c>
      <x:c r="J1374" s="16" t="n">
        <x:v>6</x:v>
      </x:c>
      <x:c r="K1374" s="11" t="n">
        <x:f>CHOOSE('假设'!$B$3,H1374,I1374,J1374)</x:f>
        <x:v>2</x:v>
      </x:c>
      <x:c r="L1374" s="11" t="n">
        <x:f>K1374*'管线假设'!E311*'管线假设'!F311*'管线假设'!G311*IF(E1374="USD",'管线假设'!I311,1)-AM1374</x:f>
        <x:v>0.19</x:v>
      </x:c>
      <x:c r="M1374" s="11" t="n">
        <x:f>'管线假设'!H311</x:f>
        <x:v>0.14</x:v>
      </x:c>
      <x:c r="N1374" s="11" t="n">
        <x:f>IF(G1374,L1374*AN1374/(1+M1374)^F1374,0)</x:f>
        <x:v>0.058431749297351544</x:v>
      </x:c>
      <x:c r="AJ1374" t="n">
        <x:v>0</x:v>
      </x:c>
      <x:c r="AK1374" t="n">
        <x:v>0</x:v>
      </x:c>
      <x:c r="AL1374" t="n">
        <x:v>0</x:v>
      </x:c>
      <x:c r="AM1374" t="n">
        <x:f>CHOOSE('假设'!$B$3,AJ1374,AK1374,AL1374)</x:f>
        <x:v>0</x:v>
      </x:c>
      <x:c r="AN1374" t="n">
        <x:v>1</x:v>
      </x:c>
    </x:row>
    <x:row r="1375" ht="23" customHeight="1">
      <x:c r="A1375" s="11" t="str">
        <x:v>688302.SH</x:v>
      </x:c>
      <x:c r="B1375" s="11" t="str">
        <x:v>2026年底</x:v>
      </x:c>
      <x:c r="C1375" s="11" t="str">
        <x:v>hp515_mash_cn</x:v>
      </x:c>
      <x:c r="D1375" s="11" t="str">
        <x:v>2036-12-31</x:v>
      </x:c>
      <x:c r="E1375" s="11" t="str">
        <x:v>CNY</x:v>
      </x:c>
      <x:c r="F1375" s="11" t="n">
        <x:v>10.001368925393566</x:v>
      </x:c>
      <x:c r="G1375" s="26" t="b">
        <x:v>1</x:v>
      </x:c>
      <x:c r="H1375" s="16" t="n">
        <x:v>0.4</x:v>
      </x:c>
      <x:c r="I1375" s="16" t="n">
        <x:v>2.5</x:v>
      </x:c>
      <x:c r="J1375" s="16" t="n">
        <x:v>5.22</x:v>
      </x:c>
      <x:c r="K1375" s="11" t="n">
        <x:f>CHOOSE('假设'!$B$3,H1375,I1375,J1375)</x:f>
        <x:v>2.5</x:v>
      </x:c>
      <x:c r="L1375" s="11" t="n">
        <x:f>K1375*'管线假设'!E311*'管线假设'!F311*'管线假设'!G311*IF(E1375="USD",'管线假设'!I311,1)-AM1375</x:f>
        <x:v>0.2375</x:v>
      </x:c>
      <x:c r="M1375" s="11" t="n">
        <x:f>'管线假设'!H311</x:f>
        <x:v>0.14</x:v>
      </x:c>
      <x:c r="N1375" s="11" t="n">
        <x:f>IF(G1375,L1375*AN1375/(1+M1375)^F1375,0)</x:f>
        <x:v>0.06405266473733054</x:v>
      </x:c>
      <x:c r="AJ1375" t="n">
        <x:v>0</x:v>
      </x:c>
      <x:c r="AK1375" t="n">
        <x:v>0</x:v>
      </x:c>
      <x:c r="AL1375" t="n">
        <x:v>0</x:v>
      </x:c>
      <x:c r="AM1375" t="n">
        <x:f>CHOOSE('假设'!$B$3,AJ1375,AK1375,AL1375)</x:f>
        <x:v>0</x:v>
      </x:c>
      <x:c r="AN1375" t="n">
        <x:v>1</x:v>
      </x:c>
    </x:row>
    <x:row r="1376" ht="23" customHeight="1">
      <x:c r="A1376" s="11" t="str">
        <x:v>688302.SH</x:v>
      </x:c>
      <x:c r="B1376" s="11" t="str">
        <x:v>2026年底</x:v>
      </x:c>
      <x:c r="C1376" s="11" t="str">
        <x:v>hp515_mash_cn</x:v>
      </x:c>
      <x:c r="D1376" s="11" t="str">
        <x:v>2037-12-31</x:v>
      </x:c>
      <x:c r="E1376" s="11" t="str">
        <x:v>CNY</x:v>
      </x:c>
      <x:c r="F1376" s="11" t="n">
        <x:v>11.000684462696784</x:v>
      </x:c>
      <x:c r="G1376" s="26" t="b">
        <x:v>1</x:v>
      </x:c>
      <x:c r="H1376" s="16" t="n">
        <x:v>0.6</x:v>
      </x:c>
      <x:c r="I1376" s="16" t="n">
        <x:v>3</x:v>
      </x:c>
      <x:c r="J1376" s="16" t="n">
        <x:v>4.4399999999999995</x:v>
      </x:c>
      <x:c r="K1376" s="11" t="n">
        <x:f>CHOOSE('假设'!$B$3,H1376,I1376,J1376)</x:f>
        <x:v>3</x:v>
      </x:c>
      <x:c r="L1376" s="11" t="n">
        <x:f>K1376*'管线假设'!E311*'管线假设'!F311*'管线假设'!G311*IF(E1376="USD",'管线假设'!I311,1)-AM1376</x:f>
        <x:v>0.28500000000000003</x:v>
      </x:c>
      <x:c r="M1376" s="11" t="n">
        <x:f>'管线假设'!H311</x:f>
        <x:v>0.14</x:v>
      </x:c>
      <x:c r="N1376" s="11" t="n">
        <x:f>IF(G1376,L1376*AN1376/(1+M1376)^F1376,0)</x:f>
        <x:v>0.06742990472780712</x:v>
      </x:c>
      <x:c r="AJ1376" t="n">
        <x:v>0</x:v>
      </x:c>
      <x:c r="AK1376" t="n">
        <x:v>0</x:v>
      </x:c>
      <x:c r="AL1376" t="n">
        <x:v>0</x:v>
      </x:c>
      <x:c r="AM1376" t="n">
        <x:f>CHOOSE('假设'!$B$3,AJ1376,AK1376,AL1376)</x:f>
        <x:v>0</x:v>
      </x:c>
      <x:c r="AN1376" t="n">
        <x:v>1</x:v>
      </x:c>
    </x:row>
    <x:row r="1377" ht="23" customHeight="1">
      <x:c r="A1377" s="11" t="str">
        <x:v>688302.SH</x:v>
      </x:c>
      <x:c r="B1377" s="11" t="str">
        <x:v>2026年底</x:v>
      </x:c>
      <x:c r="C1377" s="11" t="str">
        <x:v>hp515_mash_cn</x:v>
      </x:c>
      <x:c r="D1377" s="11" t="str">
        <x:v>2038-12-31</x:v>
      </x:c>
      <x:c r="E1377" s="11" t="str">
        <x:v>CNY</x:v>
      </x:c>
      <x:c r="F1377" s="11" t="n">
        <x:v>12</x:v>
      </x:c>
      <x:c r="G1377" s="26" t="b">
        <x:v>1</x:v>
      </x:c>
      <x:c r="H1377" s="16" t="n">
        <x:v>0.8</x:v>
      </x:c>
      <x:c r="I1377" s="16" t="n">
        <x:v>2.61</x:v>
      </x:c>
      <x:c r="J1377" s="16" t="n">
        <x:v>3.66</x:v>
      </x:c>
      <x:c r="K1377" s="11" t="n">
        <x:f>CHOOSE('假设'!$B$3,H1377,I1377,J1377)</x:f>
        <x:v>2.61</x:v>
      </x:c>
      <x:c r="L1377" s="11" t="n">
        <x:f>K1377*'管线假设'!E311*'管线假设'!F311*'管线假设'!G311*IF(E1377="USD",'管线假设'!I311,1)-AM1377</x:f>
        <x:v>0.24795</x:v>
      </x:c>
      <x:c r="M1377" s="11" t="n">
        <x:f>'管线假设'!H311</x:f>
        <x:v>0.14</x:v>
      </x:c>
      <x:c r="N1377" s="11" t="n">
        <x:f>IF(G1377,L1377*AN1377/(1+M1377)^F1377,0)</x:f>
        <x:v>0.05146427944768456</x:v>
      </x:c>
      <x:c r="AJ1377" t="n">
        <x:v>0</x:v>
      </x:c>
      <x:c r="AK1377" t="n">
        <x:v>0</x:v>
      </x:c>
      <x:c r="AL1377" t="n">
        <x:v>0</x:v>
      </x:c>
      <x:c r="AM1377" t="n">
        <x:f>CHOOSE('假设'!$B$3,AJ1377,AK1377,AL1377)</x:f>
        <x:v>0</x:v>
      </x:c>
      <x:c r="AN1377" t="n">
        <x:v>1</x:v>
      </x:c>
    </x:row>
    <x:row r="1378" ht="23" customHeight="1">
      <x:c r="A1378" s="11" t="str">
        <x:v>688302.SH</x:v>
      </x:c>
      <x:c r="B1378" s="11" t="str">
        <x:v>2026年底</x:v>
      </x:c>
      <x:c r="C1378" s="11" t="str">
        <x:v>hp515_mash_cn</x:v>
      </x:c>
      <x:c r="D1378" s="11" t="str">
        <x:v>2039-12-31</x:v>
      </x:c>
      <x:c r="E1378" s="11" t="str">
        <x:v>CNY</x:v>
      </x:c>
      <x:c r="F1378" s="11" t="n">
        <x:v>12.999315537303216</x:v>
      </x:c>
      <x:c r="G1378" s="26" t="b">
        <x:v>1</x:v>
      </x:c>
      <x:c r="H1378" s="16" t="n">
        <x:v>1</x:v>
      </x:c>
      <x:c r="I1378" s="16" t="n">
        <x:v>2.2199999999999998</x:v>
      </x:c>
      <x:c r="J1378" s="16" t="n">
        <x:v>2.88</x:v>
      </x:c>
      <x:c r="K1378" s="11" t="n">
        <x:f>CHOOSE('假设'!$B$3,H1378,I1378,J1378)</x:f>
        <x:v>2.2199999999999998</x:v>
      </x:c>
      <x:c r="L1378" s="11" t="n">
        <x:f>K1378*'管线假设'!E311*'管线假设'!F311*'管线假设'!G311*IF(E1378="USD",'管线假设'!I311,1)-AM1378</x:f>
        <x:v>0.21089999999999998</x:v>
      </x:c>
      <x:c r="M1378" s="11" t="n">
        <x:f>'管线假设'!H311</x:f>
        <x:v>0.14</x:v>
      </x:c>
      <x:c r="N1378" s="11" t="n">
        <x:f>IF(G1378,L1378*AN1378/(1+M1378)^F1378,0)</x:f>
        <x:v>0.03840187782763341</x:v>
      </x:c>
      <x:c r="AJ1378" t="n">
        <x:v>0</x:v>
      </x:c>
      <x:c r="AK1378" t="n">
        <x:v>0</x:v>
      </x:c>
      <x:c r="AL1378" t="n">
        <x:v>0</x:v>
      </x:c>
      <x:c r="AM1378" t="n">
        <x:f>CHOOSE('假设'!$B$3,AJ1378,AK1378,AL1378)</x:f>
        <x:v>0</x:v>
      </x:c>
      <x:c r="AN1378" t="n">
        <x:v>1</x:v>
      </x:c>
    </x:row>
    <x:row r="1379" ht="23" customHeight="1">
      <x:c r="A1379" s="11" t="str">
        <x:v>688302.SH</x:v>
      </x:c>
      <x:c r="B1379" s="11" t="str">
        <x:v>2026年底</x:v>
      </x:c>
      <x:c r="C1379" s="11" t="str">
        <x:v>hp515_mash_cn</x:v>
      </x:c>
      <x:c r="D1379" s="11" t="str">
        <x:v>2040-12-31</x:v>
      </x:c>
      <x:c r="E1379" s="11" t="str">
        <x:v>CNY</x:v>
      </x:c>
      <x:c r="F1379" s="11" t="n">
        <x:v>14.001368925393566</x:v>
      </x:c>
      <x:c r="G1379" s="26" t="b">
        <x:v>1</x:v>
      </x:c>
      <x:c r="H1379" s="16" t="n">
        <x:v>0.87</x:v>
      </x:c>
      <x:c r="I1379" s="16" t="n">
        <x:v>1.83</x:v>
      </x:c>
      <x:c r="J1379" s="16" t="n">
        <x:v>2.0999999999999996</x:v>
      </x:c>
      <x:c r="K1379" s="11" t="n">
        <x:f>CHOOSE('假设'!$B$3,H1379,I1379,J1379)</x:f>
        <x:v>1.83</x:v>
      </x:c>
      <x:c r="L1379" s="11" t="n">
        <x:f>K1379*'管线假设'!E311*'管线假设'!F311*'管线假设'!G311*IF(E1379="USD",'管线假设'!I311,1)-AM1379</x:f>
        <x:v>0.17385</x:v>
      </x:c>
      <x:c r="M1379" s="11" t="n">
        <x:f>'管线假设'!H311</x:f>
        <x:v>0.14</x:v>
      </x:c>
      <x:c r="N1379" s="11" t="n">
        <x:f>IF(G1379,L1379*AN1379/(1+M1379)^F1379,0)</x:f>
        <x:v>0.027760601876912205</x:v>
      </x:c>
      <x:c r="AJ1379" t="n">
        <x:v>0</x:v>
      </x:c>
      <x:c r="AK1379" t="n">
        <x:v>0</x:v>
      </x:c>
      <x:c r="AL1379" t="n">
        <x:v>0</x:v>
      </x:c>
      <x:c r="AM1379" t="n">
        <x:f>CHOOSE('假设'!$B$3,AJ1379,AK1379,AL1379)</x:f>
        <x:v>0</x:v>
      </x:c>
      <x:c r="AN1379" t="n">
        <x:v>1</x:v>
      </x:c>
    </x:row>
    <x:row r="1380" ht="23" customHeight="1">
      <x:c r="A1380" s="11" t="str">
        <x:v>688302.SH</x:v>
      </x:c>
      <x:c r="B1380" s="11" t="str">
        <x:v>2026年底</x:v>
      </x:c>
      <x:c r="C1380" s="11" t="str">
        <x:v>hp515_mash_cn</x:v>
      </x:c>
      <x:c r="D1380" s="11" t="str">
        <x:v>2041-12-31</x:v>
      </x:c>
      <x:c r="E1380" s="11" t="str">
        <x:v>CNY</x:v>
      </x:c>
      <x:c r="F1380" s="11" t="n">
        <x:v>15.000684462696784</x:v>
      </x:c>
      <x:c r="G1380" s="26" t="b">
        <x:v>1</x:v>
      </x:c>
      <x:c r="H1380" s="16" t="n">
        <x:v>0.74</x:v>
      </x:c>
      <x:c r="I1380" s="16" t="n">
        <x:v>1.44</x:v>
      </x:c>
      <x:c r="J1380" s="16" t="n">
        <x:v>1.3199999999999998</x:v>
      </x:c>
      <x:c r="K1380" s="11" t="n">
        <x:f>CHOOSE('假设'!$B$3,H1380,I1380,J1380)</x:f>
        <x:v>1.44</x:v>
      </x:c>
      <x:c r="L1380" s="11" t="n">
        <x:f>K1380*'管线假设'!E311*'管线假设'!F311*'管线假设'!G311*IF(E1380="USD",'管线假设'!I311,1)-AM1380</x:f>
        <x:v>0.1368</x:v>
      </x:c>
      <x:c r="M1380" s="11" t="n">
        <x:f>'管线假设'!H311</x:f>
        <x:v>0.14</x:v>
      </x:c>
      <x:c r="N1380" s="11" t="n">
        <x:f>IF(G1380,L1380*AN1380/(1+M1380)^F1380,0)</x:f>
        <x:v>0.01916348001325703</x:v>
      </x:c>
      <x:c r="AJ1380" t="n">
        <x:v>0</x:v>
      </x:c>
      <x:c r="AK1380" t="n">
        <x:v>0</x:v>
      </x:c>
      <x:c r="AL1380" t="n">
        <x:v>0</x:v>
      </x:c>
      <x:c r="AM1380" t="n">
        <x:f>CHOOSE('假设'!$B$3,AJ1380,AK1380,AL1380)</x:f>
        <x:v>0</x:v>
      </x:c>
      <x:c r="AN1380" t="n">
        <x:v>1</x:v>
      </x:c>
    </x:row>
    <x:row r="1381" ht="23" customHeight="1">
      <x:c r="A1381" s="11" t="str">
        <x:v>688302.SH</x:v>
      </x:c>
      <x:c r="B1381" s="11" t="str">
        <x:v>2026年底</x:v>
      </x:c>
      <x:c r="C1381" s="11" t="str">
        <x:v>hp515_mash_cn</x:v>
      </x:c>
      <x:c r="D1381" s="11" t="str">
        <x:v>2042-12-31</x:v>
      </x:c>
      <x:c r="E1381" s="11" t="str">
        <x:v>CNY</x:v>
      </x:c>
      <x:c r="F1381" s="11" t="n">
        <x:v>16</x:v>
      </x:c>
      <x:c r="G1381" s="26" t="b">
        <x:v>1</x:v>
      </x:c>
      <x:c r="H1381" s="16" t="n">
        <x:v>0.61</x:v>
      </x:c>
      <x:c r="I1381" s="16" t="n">
        <x:v>1.0499999999999998</x:v>
      </x:c>
      <x:c r="J1381" s="16" t="n">
        <x:v>0.5399999999999998</x:v>
      </x:c>
      <x:c r="K1381" s="11" t="n">
        <x:f>CHOOSE('假设'!$B$3,H1381,I1381,J1381)</x:f>
        <x:v>1.0499999999999998</x:v>
      </x:c>
      <x:c r="L1381" s="11" t="n">
        <x:f>K1381*'管线假设'!E311*'管线假设'!F311*'管线假设'!G311*IF(E1381="USD",'管线假设'!I311,1)-AM1381</x:f>
        <x:v>0.09974999999999998</x:v>
      </x:c>
      <x:c r="M1381" s="11" t="n">
        <x:f>'管线假设'!H311</x:f>
        <x:v>0.14</x:v>
      </x:c>
      <x:c r="N1381" s="11" t="n">
        <x:f>IF(G1381,L1381*AN1381/(1+M1381)^F1381,0)</x:f>
        <x:v>0.012258442181051384</x:v>
      </x:c>
      <x:c r="AJ1381" t="n">
        <x:v>0</x:v>
      </x:c>
      <x:c r="AK1381" t="n">
        <x:v>0</x:v>
      </x:c>
      <x:c r="AL1381" t="n">
        <x:v>0</x:v>
      </x:c>
      <x:c r="AM1381" t="n">
        <x:f>CHOOSE('假设'!$B$3,AJ1381,AK1381,AL1381)</x:f>
        <x:v>0</x:v>
      </x:c>
      <x:c r="AN1381" t="n">
        <x:v>1</x:v>
      </x:c>
    </x:row>
    <x:row r="1382" ht="23" customHeight="1">
      <x:c r="A1382" s="11" t="str">
        <x:v>688302.SH</x:v>
      </x:c>
      <x:c r="B1382" s="11" t="str">
        <x:v>2026年底</x:v>
      </x:c>
      <x:c r="C1382" s="11" t="str">
        <x:v>hp515_mash_cn</x:v>
      </x:c>
      <x:c r="D1382" s="11" t="str">
        <x:v>2043-12-31</x:v>
      </x:c>
      <x:c r="E1382" s="11" t="str">
        <x:v>CNY</x:v>
      </x:c>
      <x:c r="F1382" s="11" t="n">
        <x:v>16.999315537303218</x:v>
      </x:c>
      <x:c r="G1382" s="26" t="b">
        <x:v>1</x:v>
      </x:c>
      <x:c r="H1382" s="16" t="n">
        <x:v>0.48</x:v>
      </x:c>
      <x:c r="I1382" s="16" t="n">
        <x:v>0.6599999999999999</x:v>
      </x:c>
      <x:c r="J1382" s="16" t="n">
        <x:v>0</x:v>
      </x:c>
      <x:c r="K1382" s="11" t="n">
        <x:f>CHOOSE('假设'!$B$3,H1382,I1382,J1382)</x:f>
        <x:v>0.6599999999999999</x:v>
      </x:c>
      <x:c r="L1382" s="11" t="n">
        <x:f>K1382*'管线假设'!E311*'管线假设'!F311*'管线假设'!G311*IF(E1382="USD",'管线假设'!I311,1)-AM1382</x:f>
        <x:v>0.06269999999999999</x:v>
      </x:c>
      <x:c r="M1382" s="11" t="n">
        <x:f>'管线假设'!H311</x:f>
        <x:v>0.14</x:v>
      </x:c>
      <x:c r="N1382" s="11" t="n">
        <x:f>IF(G1382,L1382*AN1382/(1+M1382)^F1382,0)</x:f>
        <x:v>0.0067596470062955254</x:v>
      </x:c>
      <x:c r="AJ1382" t="n">
        <x:v>0</x:v>
      </x:c>
      <x:c r="AK1382" t="n">
        <x:v>0</x:v>
      </x:c>
      <x:c r="AL1382" t="n">
        <x:v>0</x:v>
      </x:c>
      <x:c r="AM1382" t="n">
        <x:f>CHOOSE('假设'!$B$3,AJ1382,AK1382,AL1382)</x:f>
        <x:v>0</x:v>
      </x:c>
      <x:c r="AN1382" t="n">
        <x:v>1</x:v>
      </x:c>
    </x:row>
    <x:row r="1383" ht="23" customHeight="1">
      <x:c r="A1383" s="11" t="str">
        <x:v>688302.SH</x:v>
      </x:c>
      <x:c r="B1383" s="11" t="str">
        <x:v>2026年底</x:v>
      </x:c>
      <x:c r="C1383" s="11" t="str">
        <x:v>hp515_mash_cn</x:v>
      </x:c>
      <x:c r="D1383" s="11" t="str">
        <x:v>2044-12-31</x:v>
      </x:c>
      <x:c r="E1383" s="11" t="str">
        <x:v>CNY</x:v>
      </x:c>
      <x:c r="F1383" s="11" t="n">
        <x:v>18.001368925393567</x:v>
      </x:c>
      <x:c r="G1383" s="26" t="b">
        <x:v>1</x:v>
      </x:c>
      <x:c r="H1383" s="16" t="n">
        <x:v>0.35</x:v>
      </x:c>
      <x:c r="I1383" s="16" t="n">
        <x:v>0.2699999999999999</x:v>
      </x:c>
      <x:c r="J1383" s="16" t="n">
        <x:v>0</x:v>
      </x:c>
      <x:c r="K1383" s="11" t="n">
        <x:f>CHOOSE('假设'!$B$3,H1383,I1383,J1383)</x:f>
        <x:v>0.2699999999999999</x:v>
      </x:c>
      <x:c r="L1383" s="11" t="n">
        <x:f>K1383*'管线假设'!E311*'管线假设'!F311*'管线假设'!G311*IF(E1383="USD",'管线假设'!I311,1)-AM1383</x:f>
        <x:v>0.025649999999999992</x:v>
      </x:c>
      <x:c r="M1383" s="11" t="n">
        <x:f>'管线假设'!H311</x:f>
        <x:v>0.14</x:v>
      </x:c>
      <x:c r="N1383" s="11" t="n">
        <x:f>IF(G1383,L1383*AN1383/(1+M1383)^F1383,0)</x:f>
        <x:v>0.0024250580939870515</x:v>
      </x:c>
      <x:c r="AJ1383" t="n">
        <x:v>0</x:v>
      </x:c>
      <x:c r="AK1383" t="n">
        <x:v>0</x:v>
      </x:c>
      <x:c r="AL1383" t="n">
        <x:v>0</x:v>
      </x:c>
      <x:c r="AM1383" t="n">
        <x:f>CHOOSE('假设'!$B$3,AJ1383,AK1383,AL1383)</x:f>
        <x:v>0</x:v>
      </x:c>
      <x:c r="AN1383" t="n">
        <x:v>1</x:v>
      </x:c>
    </x:row>
    <x:row r="1384" ht="23" customHeight="1">
      <x:c r="A1384" s="11" t="str">
        <x:v>688302.SH</x:v>
      </x:c>
      <x:c r="B1384" s="11" t="str">
        <x:v>2026年底</x:v>
      </x:c>
      <x:c r="C1384" s="11" t="str">
        <x:v>hp515_mash_cn</x:v>
      </x:c>
      <x:c r="D1384" s="11" t="str">
        <x:v>2045-12-31</x:v>
      </x:c>
      <x:c r="E1384" s="11" t="str">
        <x:v>CNY</x:v>
      </x:c>
      <x:c r="F1384" s="11" t="n">
        <x:v>19.000684462696782</x:v>
      </x:c>
      <x:c r="G1384" s="26" t="b">
        <x:v>1</x:v>
      </x:c>
      <x:c r="H1384" s="16" t="n">
        <x:v>0.21999999999999997</x:v>
      </x:c>
      <x:c r="I1384" s="16" t="n">
        <x:v>0</x:v>
      </x:c>
      <x:c r="J1384" s="16" t="n">
        <x:v>0</x:v>
      </x:c>
      <x:c r="K1384" s="11" t="n">
        <x:f>CHOOSE('假设'!$B$3,H1384,I1384,J1384)</x:f>
        <x:v>0</x:v>
      </x:c>
      <x:c r="L1384" s="11" t="n">
        <x:f>K1384*'管线假设'!E311*'管线假设'!F311*'管线假设'!G311*IF(E1384="USD",'管线假设'!I311,1)-AM1384</x:f>
        <x:v>0</x:v>
      </x:c>
      <x:c r="M1384" s="11" t="n">
        <x:f>'管线假设'!H311</x:f>
        <x:v>0.14</x:v>
      </x:c>
      <x:c r="N1384" s="11" t="n">
        <x:f>IF(G1384,L1384*AN1384/(1+M1384)^F1384,0)</x:f>
        <x:v>0</x:v>
      </x:c>
      <x:c r="AJ1384" t="n">
        <x:v>0</x:v>
      </x:c>
      <x:c r="AK1384" t="n">
        <x:v>0</x:v>
      </x:c>
      <x:c r="AL1384" t="n">
        <x:v>0</x:v>
      </x:c>
      <x:c r="AM1384" t="n">
        <x:f>CHOOSE('假设'!$B$3,AJ1384,AK1384,AL1384)</x:f>
        <x:v>0</x:v>
      </x:c>
      <x:c r="AN1384" t="n">
        <x:v>1</x:v>
      </x:c>
    </x:row>
    <x:row r="1385" ht="23" customHeight="1">
      <x:c r="A1385" s="11" t="str">
        <x:v>688302.SH</x:v>
      </x:c>
      <x:c r="B1385" s="11" t="str">
        <x:v>2026年底</x:v>
      </x:c>
      <x:c r="C1385" s="11" t="str">
        <x:v>hp515_mash_global</x:v>
      </x:c>
      <x:c r="D1385" s="11" t="str">
        <x:v>2027-12-31</x:v>
      </x:c>
      <x:c r="E1385" s="11" t="str">
        <x:v>USD</x:v>
      </x:c>
      <x:c r="F1385" s="11" t="n">
        <x:v>0.999315537303217</x:v>
      </x:c>
      <x:c r="G1385" s="26" t="b">
        <x:v>1</x:v>
      </x:c>
      <x:c r="H1385" s="16" t="n">
        <x:v>0</x:v>
      </x:c>
      <x:c r="I1385" s="16" t="n">
        <x:v>0</x:v>
      </x:c>
      <x:c r="J1385" s="16" t="n">
        <x:v>0</x:v>
      </x:c>
      <x:c r="K1385" s="11" t="n">
        <x:f>CHOOSE('假设'!$B$3,H1385,I1385,J1385)</x:f>
        <x:v>0</x:v>
      </x:c>
      <x:c r="L1385" s="11" t="n">
        <x:f>K1385*'管线假设'!E315*'管线假设'!F315*'管线假设'!G315*IF(E1385="USD",'管线假设'!I315,1)-AM1385</x:f>
        <x:v>0</x:v>
      </x:c>
      <x:c r="M1385" s="11" t="n">
        <x:f>'管线假设'!H315</x:f>
        <x:v>0.14</x:v>
      </x:c>
      <x:c r="N1385" s="11" t="n">
        <x:f>IF(G1385,L1385*AN1385/(1+M1385)^F1385,0)</x:f>
        <x:v>0</x:v>
      </x:c>
      <x:c r="AJ1385" t="n">
        <x:v>0</x:v>
      </x:c>
      <x:c r="AK1385" t="n">
        <x:v>0</x:v>
      </x:c>
      <x:c r="AL1385" t="n">
        <x:v>0</x:v>
      </x:c>
      <x:c r="AM1385" t="n">
        <x:f>CHOOSE('假设'!$B$3,AJ1385,AK1385,AL1385)</x:f>
        <x:v>0</x:v>
      </x:c>
      <x:c r="AN1385" t="n">
        <x:v>1</x:v>
      </x:c>
    </x:row>
    <x:row r="1386" ht="23" customHeight="1">
      <x:c r="A1386" s="11" t="str">
        <x:v>688302.SH</x:v>
      </x:c>
      <x:c r="B1386" s="11" t="str">
        <x:v>2026年底</x:v>
      </x:c>
      <x:c r="C1386" s="11" t="str">
        <x:v>hp515_mash_global</x:v>
      </x:c>
      <x:c r="D1386" s="11" t="str">
        <x:v>2028-12-31</x:v>
      </x:c>
      <x:c r="E1386" s="11" t="str">
        <x:v>USD</x:v>
      </x:c>
      <x:c r="F1386" s="11" t="n">
        <x:v>2.001368925393566</x:v>
      </x:c>
      <x:c r="G1386" s="26" t="b">
        <x:v>1</x:v>
      </x:c>
      <x:c r="H1386" s="16" t="n">
        <x:v>0</x:v>
      </x:c>
      <x:c r="I1386" s="16" t="n">
        <x:v>0</x:v>
      </x:c>
      <x:c r="J1386" s="16" t="n">
        <x:v>0</x:v>
      </x:c>
      <x:c r="K1386" s="11" t="n">
        <x:f>CHOOSE('假设'!$B$3,H1386,I1386,J1386)</x:f>
        <x:v>0</x:v>
      </x:c>
      <x:c r="L1386" s="11" t="n">
        <x:f>K1386*'管线假设'!E315*'管线假设'!F315*'管线假设'!G315*IF(E1386="USD",'管线假设'!I315,1)-AM1386</x:f>
        <x:v>0</x:v>
      </x:c>
      <x:c r="M1386" s="11" t="n">
        <x:f>'管线假设'!H315</x:f>
        <x:v>0.14</x:v>
      </x:c>
      <x:c r="N1386" s="11" t="n">
        <x:f>IF(G1386,L1386*AN1386/(1+M1386)^F1386,0)</x:f>
        <x:v>0</x:v>
      </x:c>
      <x:c r="AJ1386" t="n">
        <x:v>0</x:v>
      </x:c>
      <x:c r="AK1386" t="n">
        <x:v>0</x:v>
      </x:c>
      <x:c r="AL1386" t="n">
        <x:v>0</x:v>
      </x:c>
      <x:c r="AM1386" t="n">
        <x:f>CHOOSE('假设'!$B$3,AJ1386,AK1386,AL1386)</x:f>
        <x:v>0</x:v>
      </x:c>
      <x:c r="AN1386" t="n">
        <x:v>1</x:v>
      </x:c>
    </x:row>
    <x:row r="1387" ht="23" customHeight="1">
      <x:c r="A1387" s="11" t="str">
        <x:v>688302.SH</x:v>
      </x:c>
      <x:c r="B1387" s="11" t="str">
        <x:v>2026年底</x:v>
      </x:c>
      <x:c r="C1387" s="11" t="str">
        <x:v>hp515_mash_global</x:v>
      </x:c>
      <x:c r="D1387" s="11" t="str">
        <x:v>2029-12-31</x:v>
      </x:c>
      <x:c r="E1387" s="11" t="str">
        <x:v>USD</x:v>
      </x:c>
      <x:c r="F1387" s="11" t="n">
        <x:v>3.0006844626967832</x:v>
      </x:c>
      <x:c r="G1387" s="26" t="b">
        <x:v>1</x:v>
      </x:c>
      <x:c r="H1387" s="16" t="n">
        <x:v>0</x:v>
      </x:c>
      <x:c r="I1387" s="16" t="n">
        <x:v>0</x:v>
      </x:c>
      <x:c r="J1387" s="16" t="n">
        <x:v>0</x:v>
      </x:c>
      <x:c r="K1387" s="11" t="n">
        <x:f>CHOOSE('假设'!$B$3,H1387,I1387,J1387)</x:f>
        <x:v>0</x:v>
      </x:c>
      <x:c r="L1387" s="11" t="n">
        <x:f>K1387*'管线假设'!E315*'管线假设'!F315*'管线假设'!G315*IF(E1387="USD",'管线假设'!I315,1)-AM1387</x:f>
        <x:v>0</x:v>
      </x:c>
      <x:c r="M1387" s="11" t="n">
        <x:f>'管线假设'!H315</x:f>
        <x:v>0.14</x:v>
      </x:c>
      <x:c r="N1387" s="11" t="n">
        <x:f>IF(G1387,L1387*AN1387/(1+M1387)^F1387,0)</x:f>
        <x:v>0</x:v>
      </x:c>
      <x:c r="AJ1387" t="n">
        <x:v>0</x:v>
      </x:c>
      <x:c r="AK1387" t="n">
        <x:v>0</x:v>
      </x:c>
      <x:c r="AL1387" t="n">
        <x:v>0</x:v>
      </x:c>
      <x:c r="AM1387" t="n">
        <x:f>CHOOSE('假设'!$B$3,AJ1387,AK1387,AL1387)</x:f>
        <x:v>0</x:v>
      </x:c>
      <x:c r="AN1387" t="n">
        <x:v>1</x:v>
      </x:c>
    </x:row>
    <x:row r="1388" ht="23" customHeight="1">
      <x:c r="A1388" s="11" t="str">
        <x:v>688302.SH</x:v>
      </x:c>
      <x:c r="B1388" s="11" t="str">
        <x:v>2026年底</x:v>
      </x:c>
      <x:c r="C1388" s="11" t="str">
        <x:v>hp515_mash_global</x:v>
      </x:c>
      <x:c r="D1388" s="11" t="str">
        <x:v>2030-12-31</x:v>
      </x:c>
      <x:c r="E1388" s="11" t="str">
        <x:v>USD</x:v>
      </x:c>
      <x:c r="F1388" s="11" t="n">
        <x:v>4</x:v>
      </x:c>
      <x:c r="G1388" s="26" t="b">
        <x:v>1</x:v>
      </x:c>
      <x:c r="H1388" s="16" t="n">
        <x:v>0</x:v>
      </x:c>
      <x:c r="I1388" s="16" t="n">
        <x:v>0</x:v>
      </x:c>
      <x:c r="J1388" s="16" t="n">
        <x:v>0</x:v>
      </x:c>
      <x:c r="K1388" s="11" t="n">
        <x:f>CHOOSE('假设'!$B$3,H1388,I1388,J1388)</x:f>
        <x:v>0</x:v>
      </x:c>
      <x:c r="L1388" s="11" t="n">
        <x:f>K1388*'管线假设'!E315*'管线假设'!F315*'管线假设'!G315*IF(E1388="USD",'管线假设'!I315,1)-AM1388</x:f>
        <x:v>0</x:v>
      </x:c>
      <x:c r="M1388" s="11" t="n">
        <x:f>'管线假设'!H315</x:f>
        <x:v>0.14</x:v>
      </x:c>
      <x:c r="N1388" s="11" t="n">
        <x:f>IF(G1388,L1388*AN1388/(1+M1388)^F1388,0)</x:f>
        <x:v>0</x:v>
      </x:c>
      <x:c r="AJ1388" t="n">
        <x:v>0</x:v>
      </x:c>
      <x:c r="AK1388" t="n">
        <x:v>0</x:v>
      </x:c>
      <x:c r="AL1388" t="n">
        <x:v>0</x:v>
      </x:c>
      <x:c r="AM1388" t="n">
        <x:f>CHOOSE('假设'!$B$3,AJ1388,AK1388,AL1388)</x:f>
        <x:v>0</x:v>
      </x:c>
      <x:c r="AN1388" t="n">
        <x:v>1</x:v>
      </x:c>
    </x:row>
    <x:row r="1389" ht="23" customHeight="1">
      <x:c r="A1389" s="11" t="str">
        <x:v>688302.SH</x:v>
      </x:c>
      <x:c r="B1389" s="11" t="str">
        <x:v>2026年底</x:v>
      </x:c>
      <x:c r="C1389" s="11" t="str">
        <x:v>hp515_mash_global</x:v>
      </x:c>
      <x:c r="D1389" s="11" t="str">
        <x:v>2031-12-31</x:v>
      </x:c>
      <x:c r="E1389" s="11" t="str">
        <x:v>USD</x:v>
      </x:c>
      <x:c r="F1389" s="11" t="n">
        <x:v>4.999315537303217</x:v>
      </x:c>
      <x:c r="G1389" s="26" t="b">
        <x:v>1</x:v>
      </x:c>
      <x:c r="H1389" s="16" t="n">
        <x:v>0</x:v>
      </x:c>
      <x:c r="I1389" s="16" t="n">
        <x:v>0</x:v>
      </x:c>
      <x:c r="J1389" s="16" t="n">
        <x:v>1.1666666666666665</x:v>
      </x:c>
      <x:c r="K1389" s="11" t="n">
        <x:f>CHOOSE('假设'!$B$3,H1389,I1389,J1389)</x:f>
        <x:v>0</x:v>
      </x:c>
      <x:c r="L1389" s="11" t="n">
        <x:f>K1389*'管线假设'!E315*'管线假设'!F315*'管线假设'!G315*IF(E1389="USD",'管线假设'!I315,1)-AM1389</x:f>
        <x:v>0</x:v>
      </x:c>
      <x:c r="M1389" s="11" t="n">
        <x:f>'管线假设'!H315</x:f>
        <x:v>0.14</x:v>
      </x:c>
      <x:c r="N1389" s="11" t="n">
        <x:f>IF(G1389,L1389*AN1389/(1+M1389)^F1389,0)</x:f>
        <x:v>0</x:v>
      </x:c>
      <x:c r="AJ1389" t="n">
        <x:v>0</x:v>
      </x:c>
      <x:c r="AK1389" t="n">
        <x:v>0</x:v>
      </x:c>
      <x:c r="AL1389" t="n">
        <x:v>0</x:v>
      </x:c>
      <x:c r="AM1389" t="n">
        <x:f>CHOOSE('假设'!$B$3,AJ1389,AK1389,AL1389)</x:f>
        <x:v>0</x:v>
      </x:c>
      <x:c r="AN1389" t="n">
        <x:v>1</x:v>
      </x:c>
    </x:row>
    <x:row r="1390" ht="23" customHeight="1">
      <x:c r="A1390" s="11" t="str">
        <x:v>688302.SH</x:v>
      </x:c>
      <x:c r="B1390" s="11" t="str">
        <x:v>2026年底</x:v>
      </x:c>
      <x:c r="C1390" s="11" t="str">
        <x:v>hp515_mash_global</x:v>
      </x:c>
      <x:c r="D1390" s="11" t="str">
        <x:v>2032-12-31</x:v>
      </x:c>
      <x:c r="E1390" s="11" t="str">
        <x:v>USD</x:v>
      </x:c>
      <x:c r="F1390" s="11" t="n">
        <x:v>6.0013689253935665</x:v>
      </x:c>
      <x:c r="G1390" s="26" t="b">
        <x:v>1</x:v>
      </x:c>
      <x:c r="H1390" s="16" t="n">
        <x:v>0</x:v>
      </x:c>
      <x:c r="I1390" s="16" t="n">
        <x:v>0</x:v>
      </x:c>
      <x:c r="J1390" s="16" t="n">
        <x:v>2.333333333333333</x:v>
      </x:c>
      <x:c r="K1390" s="11" t="n">
        <x:f>CHOOSE('假设'!$B$3,H1390,I1390,J1390)</x:f>
        <x:v>0</x:v>
      </x:c>
      <x:c r="L1390" s="11" t="n">
        <x:f>K1390*'管线假设'!E315*'管线假设'!F315*'管线假设'!G315*IF(E1390="USD",'管线假设'!I315,1)-AM1390</x:f>
        <x:v>0</x:v>
      </x:c>
      <x:c r="M1390" s="11" t="n">
        <x:f>'管线假设'!H315</x:f>
        <x:v>0.14</x:v>
      </x:c>
      <x:c r="N1390" s="11" t="n">
        <x:f>IF(G1390,L1390*AN1390/(1+M1390)^F1390,0)</x:f>
        <x:v>0</x:v>
      </x:c>
      <x:c r="AJ1390" t="n">
        <x:v>0</x:v>
      </x:c>
      <x:c r="AK1390" t="n">
        <x:v>0</x:v>
      </x:c>
      <x:c r="AL1390" t="n">
        <x:v>0</x:v>
      </x:c>
      <x:c r="AM1390" t="n">
        <x:f>CHOOSE('假设'!$B$3,AJ1390,AK1390,AL1390)</x:f>
        <x:v>0</x:v>
      </x:c>
      <x:c r="AN1390" t="n">
        <x:v>1</x:v>
      </x:c>
    </x:row>
    <x:row r="1391" ht="23" customHeight="1">
      <x:c r="A1391" s="11" t="str">
        <x:v>688302.SH</x:v>
      </x:c>
      <x:c r="B1391" s="11" t="str">
        <x:v>2026年底</x:v>
      </x:c>
      <x:c r="C1391" s="11" t="str">
        <x:v>hp515_mash_global</x:v>
      </x:c>
      <x:c r="D1391" s="11" t="str">
        <x:v>2033-12-31</x:v>
      </x:c>
      <x:c r="E1391" s="11" t="str">
        <x:v>USD</x:v>
      </x:c>
      <x:c r="F1391" s="11" t="n">
        <x:v>7.000684462696783</x:v>
      </x:c>
      <x:c r="G1391" s="26" t="b">
        <x:v>1</x:v>
      </x:c>
      <x:c r="H1391" s="16" t="n">
        <x:v>0</x:v>
      </x:c>
      <x:c r="I1391" s="16" t="n">
        <x:v>0.5833333333333333</x:v>
      </x:c>
      <x:c r="J1391" s="16" t="n">
        <x:v>3.5</x:v>
      </x:c>
      <x:c r="K1391" s="11" t="n">
        <x:f>CHOOSE('假设'!$B$3,H1391,I1391,J1391)</x:f>
        <x:v>0.5833333333333333</x:v>
      </x:c>
      <x:c r="L1391" s="11" t="n">
        <x:f>K1391*'管线假设'!E315*'管线假设'!F315*'管线假设'!G315*IF(E1391="USD",'管线假设'!I315,1)-AM1391</x:f>
        <x:v>0.073185</x:v>
      </x:c>
      <x:c r="M1391" s="11" t="n">
        <x:f>'管线假设'!H315</x:f>
        <x:v>0.14</x:v>
      </x:c>
      <x:c r="N1391" s="11" t="n">
        <x:f>IF(G1391,L1391*AN1391/(1+M1391)^F1391,0)</x:f>
        <x:v>0.0292448345392257</x:v>
      </x:c>
      <x:c r="AJ1391" t="n">
        <x:v>0</x:v>
      </x:c>
      <x:c r="AK1391" t="n">
        <x:v>0</x:v>
      </x:c>
      <x:c r="AL1391" t="n">
        <x:v>0</x:v>
      </x:c>
      <x:c r="AM1391" t="n">
        <x:f>CHOOSE('假设'!$B$3,AJ1391,AK1391,AL1391)</x:f>
        <x:v>0</x:v>
      </x:c>
      <x:c r="AN1391" t="n">
        <x:v>1</x:v>
      </x:c>
    </x:row>
    <x:row r="1392" ht="23" customHeight="1">
      <x:c r="A1392" s="11" t="str">
        <x:v>688302.SH</x:v>
      </x:c>
      <x:c r="B1392" s="11" t="str">
        <x:v>2026年底</x:v>
      </x:c>
      <x:c r="C1392" s="11" t="str">
        <x:v>hp515_mash_global</x:v>
      </x:c>
      <x:c r="D1392" s="11" t="str">
        <x:v>2034-12-31</x:v>
      </x:c>
      <x:c r="E1392" s="11" t="str">
        <x:v>USD</x:v>
      </x:c>
      <x:c r="F1392" s="11" t="n">
        <x:v>8</x:v>
      </x:c>
      <x:c r="G1392" s="26" t="b">
        <x:v>1</x:v>
      </x:c>
      <x:c r="H1392" s="16" t="n">
        <x:v>0</x:v>
      </x:c>
      <x:c r="I1392" s="16" t="n">
        <x:v>1.1666666666666665</x:v>
      </x:c>
      <x:c r="J1392" s="16" t="n">
        <x:v>4.666666666666666</x:v>
      </x:c>
      <x:c r="K1392" s="11" t="n">
        <x:f>CHOOSE('假设'!$B$3,H1392,I1392,J1392)</x:f>
        <x:v>1.1666666666666665</x:v>
      </x:c>
      <x:c r="L1392" s="11" t="n">
        <x:f>K1392*'管线假设'!E315*'管线假设'!F315*'管线假设'!G315*IF(E1392="USD",'管线假设'!I315,1)-AM1392</x:f>
        <x:v>0.14637</x:v>
      </x:c>
      <x:c r="M1392" s="11" t="n">
        <x:f>'管线假设'!H315</x:f>
        <x:v>0.14</x:v>
      </x:c>
      <x:c r="N1392" s="11" t="n">
        <x:f>IF(G1392,L1392*AN1392/(1+M1392)^F1392,0)</x:f>
        <x:v>0.05131132885850582</x:v>
      </x:c>
      <x:c r="AJ1392" t="n">
        <x:v>0</x:v>
      </x:c>
      <x:c r="AK1392" t="n">
        <x:v>0</x:v>
      </x:c>
      <x:c r="AL1392" t="n">
        <x:v>0</x:v>
      </x:c>
      <x:c r="AM1392" t="n">
        <x:f>CHOOSE('假设'!$B$3,AJ1392,AK1392,AL1392)</x:f>
        <x:v>0</x:v>
      </x:c>
      <x:c r="AN1392" t="n">
        <x:v>1</x:v>
      </x:c>
    </x:row>
    <x:row r="1393" ht="23" customHeight="1">
      <x:c r="A1393" s="11" t="str">
        <x:v>688302.SH</x:v>
      </x:c>
      <x:c r="B1393" s="11" t="str">
        <x:v>2026年底</x:v>
      </x:c>
      <x:c r="C1393" s="11" t="str">
        <x:v>hp515_mash_global</x:v>
      </x:c>
      <x:c r="D1393" s="11" t="str">
        <x:v>2035-12-31</x:v>
      </x:c>
      <x:c r="E1393" s="11" t="str">
        <x:v>USD</x:v>
      </x:c>
      <x:c r="F1393" s="11" t="n">
        <x:v>8.999315537303216</x:v>
      </x:c>
      <x:c r="G1393" s="26" t="b">
        <x:v>1</x:v>
      </x:c>
      <x:c r="H1393" s="16" t="n">
        <x:v>0</x:v>
      </x:c>
      <x:c r="I1393" s="16" t="n">
        <x:v>1.75</x:v>
      </x:c>
      <x:c r="J1393" s="16" t="n">
        <x:v>5.833333333333334</x:v>
      </x:c>
      <x:c r="K1393" s="11" t="n">
        <x:f>CHOOSE('假设'!$B$3,H1393,I1393,J1393)</x:f>
        <x:v>1.75</x:v>
      </x:c>
      <x:c r="L1393" s="11" t="n">
        <x:f>K1393*'管线假设'!E315*'管线假设'!F315*'管线假设'!G315*IF(E1393="USD",'管线假设'!I315,1)-AM1393</x:f>
        <x:v>0.21955500000000003</x:v>
      </x:c>
      <x:c r="M1393" s="11" t="n">
        <x:f>'管线假设'!H315</x:f>
        <x:v>0.14</x:v>
      </x:c>
      <x:c r="N1393" s="11" t="n">
        <x:f>IF(G1393,L1393*AN1393/(1+M1393)^F1393,0)</x:f>
        <x:v>0.0675209616683159</x:v>
      </x:c>
      <x:c r="AJ1393" t="n">
        <x:v>0</x:v>
      </x:c>
      <x:c r="AK1393" t="n">
        <x:v>0</x:v>
      </x:c>
      <x:c r="AL1393" t="n">
        <x:v>0</x:v>
      </x:c>
      <x:c r="AM1393" t="n">
        <x:f>CHOOSE('假设'!$B$3,AJ1393,AK1393,AL1393)</x:f>
        <x:v>0</x:v>
      </x:c>
      <x:c r="AN1393" t="n">
        <x:v>1</x:v>
      </x:c>
    </x:row>
    <x:row r="1394" ht="23" customHeight="1">
      <x:c r="A1394" s="11" t="str">
        <x:v>688302.SH</x:v>
      </x:c>
      <x:c r="B1394" s="11" t="str">
        <x:v>2026年底</x:v>
      </x:c>
      <x:c r="C1394" s="11" t="str">
        <x:v>hp515_mash_global</x:v>
      </x:c>
      <x:c r="D1394" s="11" t="str">
        <x:v>2036-12-31</x:v>
      </x:c>
      <x:c r="E1394" s="11" t="str">
        <x:v>USD</x:v>
      </x:c>
      <x:c r="F1394" s="11" t="n">
        <x:v>10.001368925393566</x:v>
      </x:c>
      <x:c r="G1394" s="26" t="b">
        <x:v>1</x:v>
      </x:c>
      <x:c r="H1394" s="16" t="n">
        <x:v>0.2</x:v>
      </x:c>
      <x:c r="I1394" s="16" t="n">
        <x:v>2.333333333333333</x:v>
      </x:c>
      <x:c r="J1394" s="16" t="n">
        <x:v>7</x:v>
      </x:c>
      <x:c r="K1394" s="11" t="n">
        <x:f>CHOOSE('假设'!$B$3,H1394,I1394,J1394)</x:f>
        <x:v>2.333333333333333</x:v>
      </x:c>
      <x:c r="L1394" s="11" t="n">
        <x:f>K1394*'管线假设'!E315*'管线假设'!F315*'管线假设'!G315*IF(E1394="USD",'管线假设'!I315,1)-AM1394</x:f>
        <x:v>0.29274</x:v>
      </x:c>
      <x:c r="M1394" s="11" t="n">
        <x:f>'管线假设'!H315</x:f>
        <x:v>0.14</x:v>
      </x:c>
      <x:c r="N1394" s="11" t="n">
        <x:f>IF(G1394,L1394*AN1394/(1+M1394)^F1394,0)</x:f>
        <x:v>0.07895064031665744</x:v>
      </x:c>
      <x:c r="AJ1394" t="n">
        <x:v>0</x:v>
      </x:c>
      <x:c r="AK1394" t="n">
        <x:v>0</x:v>
      </x:c>
      <x:c r="AL1394" t="n">
        <x:v>0</x:v>
      </x:c>
      <x:c r="AM1394" t="n">
        <x:f>CHOOSE('假设'!$B$3,AJ1394,AK1394,AL1394)</x:f>
        <x:v>0</x:v>
      </x:c>
      <x:c r="AN1394" t="n">
        <x:v>1</x:v>
      </x:c>
    </x:row>
    <x:row r="1395" ht="23" customHeight="1">
      <x:c r="A1395" s="11" t="str">
        <x:v>688302.SH</x:v>
      </x:c>
      <x:c r="B1395" s="11" t="str">
        <x:v>2026年底</x:v>
      </x:c>
      <x:c r="C1395" s="11" t="str">
        <x:v>hp515_mash_global</x:v>
      </x:c>
      <x:c r="D1395" s="11" t="str">
        <x:v>2037-12-31</x:v>
      </x:c>
      <x:c r="E1395" s="11" t="str">
        <x:v>USD</x:v>
      </x:c>
      <x:c r="F1395" s="11" t="n">
        <x:v>11.000684462696784</x:v>
      </x:c>
      <x:c r="G1395" s="26" t="b">
        <x:v>1</x:v>
      </x:c>
      <x:c r="H1395" s="16" t="n">
        <x:v>0.4</x:v>
      </x:c>
      <x:c r="I1395" s="16" t="n">
        <x:v>2.916666666666667</x:v>
      </x:c>
      <x:c r="J1395" s="16" t="n">
        <x:v>6.09</x:v>
      </x:c>
      <x:c r="K1395" s="11" t="n">
        <x:f>CHOOSE('假设'!$B$3,H1395,I1395,J1395)</x:f>
        <x:v>2.916666666666667</x:v>
      </x:c>
      <x:c r="L1395" s="11" t="n">
        <x:f>K1395*'管线假设'!E315*'管线假设'!F315*'管线假设'!G315*IF(E1395="USD",'管线假设'!I315,1)-AM1395</x:f>
        <x:v>0.36592500000000006</x:v>
      </x:c>
      <x:c r="M1395" s="11" t="n">
        <x:f>'管线假设'!H315</x:f>
        <x:v>0.14</x:v>
      </x:c>
      <x:c r="N1395" s="11" t="n">
        <x:f>IF(G1395,L1395*AN1395/(1+M1395)^F1395,0)</x:f>
        <x:v>0.08657644872815025</x:v>
      </x:c>
      <x:c r="AJ1395" t="n">
        <x:v>0</x:v>
      </x:c>
      <x:c r="AK1395" t="n">
        <x:v>0</x:v>
      </x:c>
      <x:c r="AL1395" t="n">
        <x:v>0</x:v>
      </x:c>
      <x:c r="AM1395" t="n">
        <x:f>CHOOSE('假设'!$B$3,AJ1395,AK1395,AL1395)</x:f>
        <x:v>0</x:v>
      </x:c>
      <x:c r="AN1395" t="n">
        <x:v>1</x:v>
      </x:c>
    </x:row>
    <x:row r="1396" ht="23" customHeight="1">
      <x:c r="A1396" s="11" t="str">
        <x:v>688302.SH</x:v>
      </x:c>
      <x:c r="B1396" s="11" t="str">
        <x:v>2026年底</x:v>
      </x:c>
      <x:c r="C1396" s="11" t="str">
        <x:v>hp515_mash_global</x:v>
      </x:c>
      <x:c r="D1396" s="11" t="str">
        <x:v>2038-12-31</x:v>
      </x:c>
      <x:c r="E1396" s="11" t="str">
        <x:v>USD</x:v>
      </x:c>
      <x:c r="F1396" s="11" t="n">
        <x:v>12</x:v>
      </x:c>
      <x:c r="G1396" s="26" t="b">
        <x:v>1</x:v>
      </x:c>
      <x:c r="H1396" s="16" t="n">
        <x:v>0.6</x:v>
      </x:c>
      <x:c r="I1396" s="16" t="n">
        <x:v>3.5</x:v>
      </x:c>
      <x:c r="J1396" s="16" t="n">
        <x:v>5.18</x:v>
      </x:c>
      <x:c r="K1396" s="11" t="n">
        <x:f>CHOOSE('假设'!$B$3,H1396,I1396,J1396)</x:f>
        <x:v>3.5</x:v>
      </x:c>
      <x:c r="L1396" s="11" t="n">
        <x:f>K1396*'管线假设'!E315*'管线假设'!F315*'管线假设'!G315*IF(E1396="USD",'管线假设'!I315,1)-AM1396</x:f>
        <x:v>0.43911000000000006</x:v>
      </x:c>
      <x:c r="M1396" s="11" t="n">
        <x:f>'管线假设'!H315</x:f>
        <x:v>0.14</x:v>
      </x:c>
      <x:c r="N1396" s="11" t="n">
        <x:f>IF(G1396,L1396*AN1396/(1+M1396)^F1396,0)</x:f>
        <x:v>0.0911412774683314</x:v>
      </x:c>
      <x:c r="AJ1396" t="n">
        <x:v>0</x:v>
      </x:c>
      <x:c r="AK1396" t="n">
        <x:v>0</x:v>
      </x:c>
      <x:c r="AL1396" t="n">
        <x:v>0</x:v>
      </x:c>
      <x:c r="AM1396" t="n">
        <x:f>CHOOSE('假设'!$B$3,AJ1396,AK1396,AL1396)</x:f>
        <x:v>0</x:v>
      </x:c>
      <x:c r="AN1396" t="n">
        <x:v>1</x:v>
      </x:c>
    </x:row>
    <x:row r="1397" ht="23" customHeight="1">
      <x:c r="A1397" s="11" t="str">
        <x:v>688302.SH</x:v>
      </x:c>
      <x:c r="B1397" s="11" t="str">
        <x:v>2026年底</x:v>
      </x:c>
      <x:c r="C1397" s="11" t="str">
        <x:v>hp515_mash_global</x:v>
      </x:c>
      <x:c r="D1397" s="11" t="str">
        <x:v>2039-12-31</x:v>
      </x:c>
      <x:c r="E1397" s="11" t="str">
        <x:v>USD</x:v>
      </x:c>
      <x:c r="F1397" s="11" t="n">
        <x:v>12.999315537303216</x:v>
      </x:c>
      <x:c r="G1397" s="26" t="b">
        <x:v>1</x:v>
      </x:c>
      <x:c r="H1397" s="16" t="n">
        <x:v>0.8</x:v>
      </x:c>
      <x:c r="I1397" s="16" t="n">
        <x:v>3.045</x:v>
      </x:c>
      <x:c r="J1397" s="16" t="n">
        <x:v>4.27</x:v>
      </x:c>
      <x:c r="K1397" s="11" t="n">
        <x:f>CHOOSE('假设'!$B$3,H1397,I1397,J1397)</x:f>
        <x:v>3.045</x:v>
      </x:c>
      <x:c r="L1397" s="11" t="n">
        <x:f>K1397*'管线假设'!E315*'管线假设'!F315*'管线假设'!G315*IF(E1397="USD",'管线假设'!I315,1)-AM1397</x:f>
        <x:v>0.3820257</x:v>
      </x:c>
      <x:c r="M1397" s="11" t="n">
        <x:f>'管线假设'!H315</x:f>
        <x:v>0.14</x:v>
      </x:c>
      <x:c r="N1397" s="11" t="n">
        <x:f>IF(G1397,L1397*AN1397/(1+M1397)^F1397,0)</x:f>
        <x:v>0.06956142370040842</x:v>
      </x:c>
      <x:c r="AJ1397" t="n">
        <x:v>0</x:v>
      </x:c>
      <x:c r="AK1397" t="n">
        <x:v>0</x:v>
      </x:c>
      <x:c r="AL1397" t="n">
        <x:v>0</x:v>
      </x:c>
      <x:c r="AM1397" t="n">
        <x:f>CHOOSE('假设'!$B$3,AJ1397,AK1397,AL1397)</x:f>
        <x:v>0</x:v>
      </x:c>
      <x:c r="AN1397" t="n">
        <x:v>1</x:v>
      </x:c>
    </x:row>
    <x:row r="1398" ht="23" customHeight="1">
      <x:c r="A1398" s="11" t="str">
        <x:v>688302.SH</x:v>
      </x:c>
      <x:c r="B1398" s="11" t="str">
        <x:v>2026年底</x:v>
      </x:c>
      <x:c r="C1398" s="11" t="str">
        <x:v>hp515_mash_global</x:v>
      </x:c>
      <x:c r="D1398" s="11" t="str">
        <x:v>2040-12-31</x:v>
      </x:c>
      <x:c r="E1398" s="11" t="str">
        <x:v>USD</x:v>
      </x:c>
      <x:c r="F1398" s="11" t="n">
        <x:v>14.001368925393566</x:v>
      </x:c>
      <x:c r="G1398" s="26" t="b">
        <x:v>1</x:v>
      </x:c>
      <x:c r="H1398" s="16" t="n">
        <x:v>1</x:v>
      </x:c>
      <x:c r="I1398" s="16" t="n">
        <x:v>2.59</x:v>
      </x:c>
      <x:c r="J1398" s="16" t="n">
        <x:v>3.36</x:v>
      </x:c>
      <x:c r="K1398" s="11" t="n">
        <x:f>CHOOSE('假设'!$B$3,H1398,I1398,J1398)</x:f>
        <x:v>2.59</x:v>
      </x:c>
      <x:c r="L1398" s="11" t="n">
        <x:f>K1398*'管线假设'!E315*'管线假设'!F315*'管线假设'!G315*IF(E1398="USD",'管线假设'!I315,1)-AM1398</x:f>
        <x:v>0.3249414</x:v>
      </x:c>
      <x:c r="M1398" s="11" t="n">
        <x:f>'管线假设'!H315</x:f>
        <x:v>0.14</x:v>
      </x:c>
      <x:c r="N1398" s="11" t="n">
        <x:f>IF(G1398,L1398*AN1398/(1+M1398)^F1398,0)</x:f>
        <x:v>0.051887079889137065</x:v>
      </x:c>
      <x:c r="AJ1398" t="n">
        <x:v>0</x:v>
      </x:c>
      <x:c r="AK1398" t="n">
        <x:v>0</x:v>
      </x:c>
      <x:c r="AL1398" t="n">
        <x:v>0</x:v>
      </x:c>
      <x:c r="AM1398" t="n">
        <x:f>CHOOSE('假设'!$B$3,AJ1398,AK1398,AL1398)</x:f>
        <x:v>0</x:v>
      </x:c>
      <x:c r="AN1398" t="n">
        <x:v>1</x:v>
      </x:c>
    </x:row>
    <x:row r="1399" ht="23" customHeight="1">
      <x:c r="A1399" s="11" t="str">
        <x:v>688302.SH</x:v>
      </x:c>
      <x:c r="B1399" s="11" t="str">
        <x:v>2026年底</x:v>
      </x:c>
      <x:c r="C1399" s="11" t="str">
        <x:v>hp515_mash_global</x:v>
      </x:c>
      <x:c r="D1399" s="11" t="str">
        <x:v>2041-12-31</x:v>
      </x:c>
      <x:c r="E1399" s="11" t="str">
        <x:v>USD</x:v>
      </x:c>
      <x:c r="F1399" s="11" t="n">
        <x:v>15.000684462696784</x:v>
      </x:c>
      <x:c r="G1399" s="26" t="b">
        <x:v>1</x:v>
      </x:c>
      <x:c r="H1399" s="16" t="n">
        <x:v>0.87</x:v>
      </x:c>
      <x:c r="I1399" s="16" t="n">
        <x:v>2.135</x:v>
      </x:c>
      <x:c r="J1399" s="16" t="n">
        <x:v>2.4499999999999997</x:v>
      </x:c>
      <x:c r="K1399" s="11" t="n">
        <x:f>CHOOSE('假设'!$B$3,H1399,I1399,J1399)</x:f>
        <x:v>2.135</x:v>
      </x:c>
      <x:c r="L1399" s="11" t="n">
        <x:f>K1399*'管线假设'!E315*'管线假设'!F315*'管线假设'!G315*IF(E1399="USD",'管线假设'!I315,1)-AM1399</x:f>
        <x:v>0.26785709999999996</x:v>
      </x:c>
      <x:c r="M1399" s="11" t="n">
        <x:f>'管线假设'!H315</x:f>
        <x:v>0.14</x:v>
      </x:c>
      <x:c r="N1399" s="11" t="n">
        <x:f>IF(G1399,L1399*AN1399/(1+M1399)^F1399,0)</x:f>
        <x:v>0.03752247209253647</x:v>
      </x:c>
      <x:c r="AJ1399" t="n">
        <x:v>0</x:v>
      </x:c>
      <x:c r="AK1399" t="n">
        <x:v>0</x:v>
      </x:c>
      <x:c r="AL1399" t="n">
        <x:v>0</x:v>
      </x:c>
      <x:c r="AM1399" t="n">
        <x:f>CHOOSE('假设'!$B$3,AJ1399,AK1399,AL1399)</x:f>
        <x:v>0</x:v>
      </x:c>
      <x:c r="AN1399" t="n">
        <x:v>1</x:v>
      </x:c>
    </x:row>
    <x:row r="1400" ht="23" customHeight="1">
      <x:c r="A1400" s="11" t="str">
        <x:v>688302.SH</x:v>
      </x:c>
      <x:c r="B1400" s="11" t="str">
        <x:v>2026年底</x:v>
      </x:c>
      <x:c r="C1400" s="11" t="str">
        <x:v>hp515_mash_global</x:v>
      </x:c>
      <x:c r="D1400" s="11" t="str">
        <x:v>2042-12-31</x:v>
      </x:c>
      <x:c r="E1400" s="11" t="str">
        <x:v>USD</x:v>
      </x:c>
      <x:c r="F1400" s="11" t="n">
        <x:v>16</x:v>
      </x:c>
      <x:c r="G1400" s="26" t="b">
        <x:v>1</x:v>
      </x:c>
      <x:c r="H1400" s="16" t="n">
        <x:v>0.74</x:v>
      </x:c>
      <x:c r="I1400" s="16" t="n">
        <x:v>1.68</x:v>
      </x:c>
      <x:c r="J1400" s="16" t="n">
        <x:v>1.5399999999999998</x:v>
      </x:c>
      <x:c r="K1400" s="11" t="n">
        <x:f>CHOOSE('假设'!$B$3,H1400,I1400,J1400)</x:f>
        <x:v>1.68</x:v>
      </x:c>
      <x:c r="L1400" s="11" t="n">
        <x:f>K1400*'管线假设'!E315*'管线假设'!F315*'管线假设'!G315*IF(E1400="USD",'管线假设'!I315,1)-AM1400</x:f>
        <x:v>0.21077279999999998</x:v>
      </x:c>
      <x:c r="M1400" s="11" t="n">
        <x:f>'管线假设'!H315</x:f>
        <x:v>0.14</x:v>
      </x:c>
      <x:c r="N1400" s="11" t="n">
        <x:f>IF(G1400,L1400*AN1400/(1+M1400)^F1400,0)</x:f>
        <x:v>0.02590221736479506</x:v>
      </x:c>
      <x:c r="AJ1400" t="n">
        <x:v>0</x:v>
      </x:c>
      <x:c r="AK1400" t="n">
        <x:v>0</x:v>
      </x:c>
      <x:c r="AL1400" t="n">
        <x:v>0</x:v>
      </x:c>
      <x:c r="AM1400" t="n">
        <x:f>CHOOSE('假设'!$B$3,AJ1400,AK1400,AL1400)</x:f>
        <x:v>0</x:v>
      </x:c>
      <x:c r="AN1400" t="n">
        <x:v>1</x:v>
      </x:c>
    </x:row>
    <x:row r="1401" ht="23" customHeight="1">
      <x:c r="A1401" s="11" t="str">
        <x:v>688302.SH</x:v>
      </x:c>
      <x:c r="B1401" s="11" t="str">
        <x:v>2026年底</x:v>
      </x:c>
      <x:c r="C1401" s="11" t="str">
        <x:v>hp515_mash_global</x:v>
      </x:c>
      <x:c r="D1401" s="11" t="str">
        <x:v>2043-12-31</x:v>
      </x:c>
      <x:c r="E1401" s="11" t="str">
        <x:v>USD</x:v>
      </x:c>
      <x:c r="F1401" s="11" t="n">
        <x:v>16.999315537303218</x:v>
      </x:c>
      <x:c r="G1401" s="26" t="b">
        <x:v>1</x:v>
      </x:c>
      <x:c r="H1401" s="16" t="n">
        <x:v>0.61</x:v>
      </x:c>
      <x:c r="I1401" s="16" t="n">
        <x:v>1.2249999999999999</x:v>
      </x:c>
      <x:c r="J1401" s="16" t="n">
        <x:v>0.6299999999999998</x:v>
      </x:c>
      <x:c r="K1401" s="11" t="n">
        <x:f>CHOOSE('假设'!$B$3,H1401,I1401,J1401)</x:f>
        <x:v>1.2249999999999999</x:v>
      </x:c>
      <x:c r="L1401" s="11" t="n">
        <x:f>K1401*'管线假设'!E315*'管线假设'!F315*'管线假设'!G315*IF(E1401="USD",'管线假设'!I315,1)-AM1401</x:f>
        <x:v>0.1536885</x:v>
      </x:c>
      <x:c r="M1401" s="11" t="n">
        <x:f>'管线假设'!H315</x:f>
        <x:v>0.14</x:v>
      </x:c>
      <x:c r="N1401" s="11" t="n">
        <x:f>IF(G1401,L1401*AN1401/(1+M1401)^F1401,0)</x:f>
        <x:v>0.01656905915354147</x:v>
      </x:c>
      <x:c r="AJ1401" t="n">
        <x:v>0</x:v>
      </x:c>
      <x:c r="AK1401" t="n">
        <x:v>0</x:v>
      </x:c>
      <x:c r="AL1401" t="n">
        <x:v>0</x:v>
      </x:c>
      <x:c r="AM1401" t="n">
        <x:f>CHOOSE('假设'!$B$3,AJ1401,AK1401,AL1401)</x:f>
        <x:v>0</x:v>
      </x:c>
      <x:c r="AN1401" t="n">
        <x:v>1</x:v>
      </x:c>
    </x:row>
    <x:row r="1402" ht="23" customHeight="1">
      <x:c r="A1402" s="11" t="str">
        <x:v>688302.SH</x:v>
      </x:c>
      <x:c r="B1402" s="11" t="str">
        <x:v>2026年底</x:v>
      </x:c>
      <x:c r="C1402" s="11" t="str">
        <x:v>hp515_mash_global</x:v>
      </x:c>
      <x:c r="D1402" s="11" t="str">
        <x:v>2044-12-31</x:v>
      </x:c>
      <x:c r="E1402" s="11" t="str">
        <x:v>USD</x:v>
      </x:c>
      <x:c r="F1402" s="11" t="n">
        <x:v>18.001368925393567</x:v>
      </x:c>
      <x:c r="G1402" s="26" t="b">
        <x:v>1</x:v>
      </x:c>
      <x:c r="H1402" s="16" t="n">
        <x:v>0.48</x:v>
      </x:c>
      <x:c r="I1402" s="16" t="n">
        <x:v>0.7699999999999999</x:v>
      </x:c>
      <x:c r="J1402" s="16" t="n">
        <x:v>0</x:v>
      </x:c>
      <x:c r="K1402" s="11" t="n">
        <x:f>CHOOSE('假设'!$B$3,H1402,I1402,J1402)</x:f>
        <x:v>0.7699999999999999</x:v>
      </x:c>
      <x:c r="L1402" s="11" t="n">
        <x:f>K1402*'管线假设'!E315*'管线假设'!F315*'管线假设'!G315*IF(E1402="USD",'管线假设'!I315,1)-AM1402</x:f>
        <x:v>0.09660419999999999</x:v>
      </x:c>
      <x:c r="M1402" s="11" t="n">
        <x:f>'管线假设'!H315</x:f>
        <x:v>0.14</x:v>
      </x:c>
      <x:c r="N1402" s="11" t="n">
        <x:f>IF(G1402,L1402*AN1402/(1+M1402)^F1402,0)</x:f>
        <x:v>0.009133364410259024</x:v>
      </x:c>
      <x:c r="AJ1402" t="n">
        <x:v>0</x:v>
      </x:c>
      <x:c r="AK1402" t="n">
        <x:v>0</x:v>
      </x:c>
      <x:c r="AL1402" t="n">
        <x:v>0</x:v>
      </x:c>
      <x:c r="AM1402" t="n">
        <x:f>CHOOSE('假设'!$B$3,AJ1402,AK1402,AL1402)</x:f>
        <x:v>0</x:v>
      </x:c>
      <x:c r="AN1402" t="n">
        <x:v>1</x:v>
      </x:c>
    </x:row>
    <x:row r="1403" ht="23" customHeight="1">
      <x:c r="A1403" s="11" t="str">
        <x:v>688302.SH</x:v>
      </x:c>
      <x:c r="B1403" s="11" t="str">
        <x:v>2026年底</x:v>
      </x:c>
      <x:c r="C1403" s="11" t="str">
        <x:v>hp515_mash_global</x:v>
      </x:c>
      <x:c r="D1403" s="11" t="str">
        <x:v>2045-12-31</x:v>
      </x:c>
      <x:c r="E1403" s="11" t="str">
        <x:v>USD</x:v>
      </x:c>
      <x:c r="F1403" s="11" t="n">
        <x:v>19.000684462696782</x:v>
      </x:c>
      <x:c r="G1403" s="26" t="b">
        <x:v>1</x:v>
      </x:c>
      <x:c r="H1403" s="16" t="n">
        <x:v>0.35</x:v>
      </x:c>
      <x:c r="I1403" s="16" t="n">
        <x:v>0.3149999999999999</x:v>
      </x:c>
      <x:c r="J1403" s="16" t="n">
        <x:v>0</x:v>
      </x:c>
      <x:c r="K1403" s="11" t="n">
        <x:f>CHOOSE('假设'!$B$3,H1403,I1403,J1403)</x:f>
        <x:v>0.3149999999999999</x:v>
      </x:c>
      <x:c r="L1403" s="11" t="n">
        <x:f>K1403*'管线假设'!E315*'管线假设'!F315*'管线假设'!G315*IF(E1403="USD",'管线假设'!I315,1)-AM1403</x:f>
        <x:v>0.03951989999999999</x:v>
      </x:c>
      <x:c r="M1403" s="11" t="n">
        <x:f>'管线假设'!H315</x:f>
        <x:v>0.14</x:v>
      </x:c>
      <x:c r="N1403" s="11" t="n">
        <x:f>IF(G1403,L1403*AN1403/(1+M1403)^F1403,0)</x:f>
        <x:v>0.003277817068155372</x:v>
      </x:c>
      <x:c r="AJ1403" t="n">
        <x:v>0</x:v>
      </x:c>
      <x:c r="AK1403" t="n">
        <x:v>0</x:v>
      </x:c>
      <x:c r="AL1403" t="n">
        <x:v>0</x:v>
      </x:c>
      <x:c r="AM1403" t="n">
        <x:f>CHOOSE('假设'!$B$3,AJ1403,AK1403,AL1403)</x:f>
        <x:v>0</x:v>
      </x:c>
      <x:c r="AN1403" t="n">
        <x:v>1</x:v>
      </x:c>
    </x:row>
    <x:row r="1404" ht="23" customHeight="1">
      <x:c r="A1404" s="11" t="str">
        <x:v>688302.SH</x:v>
      </x:c>
      <x:c r="B1404" s="11" t="str">
        <x:v>2026年底</x:v>
      </x:c>
      <x:c r="C1404" s="11" t="str">
        <x:v>hp515_obesity_cn</x:v>
      </x:c>
      <x:c r="D1404" s="11" t="str">
        <x:v>2027-12-31</x:v>
      </x:c>
      <x:c r="E1404" s="11" t="str">
        <x:v>CNY</x:v>
      </x:c>
      <x:c r="F1404" s="11" t="n">
        <x:v>0.999315537303217</x:v>
      </x:c>
      <x:c r="G1404" s="26" t="b">
        <x:v>1</x:v>
      </x:c>
      <x:c r="H1404" s="16" t="n">
        <x:v>0</x:v>
      </x:c>
      <x:c r="I1404" s="16" t="n">
        <x:v>0</x:v>
      </x:c>
      <x:c r="J1404" s="16" t="n">
        <x:v>0</x:v>
      </x:c>
      <x:c r="K1404" s="11" t="n">
        <x:f>CHOOSE('假设'!$B$3,H1404,I1404,J1404)</x:f>
        <x:v>0</x:v>
      </x:c>
      <x:c r="L1404" s="11" t="n">
        <x:f>K1404*'管线假设'!E319*'管线假设'!F319*'管线假设'!G319*IF(E1404="USD",'管线假设'!I319,1)-AM1404</x:f>
        <x:v>0</x:v>
      </x:c>
      <x:c r="M1404" s="11" t="n">
        <x:f>'管线假设'!H319</x:f>
        <x:v>0.14</x:v>
      </x:c>
      <x:c r="N1404" s="11" t="n">
        <x:f>IF(G1404,L1404*AN1404/(1+M1404)^F1404,0)</x:f>
        <x:v>0</x:v>
      </x:c>
      <x:c r="AJ1404" t="n">
        <x:v>0</x:v>
      </x:c>
      <x:c r="AK1404" t="n">
        <x:v>0</x:v>
      </x:c>
      <x:c r="AL1404" t="n">
        <x:v>0</x:v>
      </x:c>
      <x:c r="AM1404" t="n">
        <x:f>CHOOSE('假设'!$B$3,AJ1404,AK1404,AL1404)</x:f>
        <x:v>0</x:v>
      </x:c>
      <x:c r="AN1404" t="n">
        <x:v>1</x:v>
      </x:c>
    </x:row>
    <x:row r="1405" ht="23" customHeight="1">
      <x:c r="A1405" s="11" t="str">
        <x:v>688302.SH</x:v>
      </x:c>
      <x:c r="B1405" s="11" t="str">
        <x:v>2026年底</x:v>
      </x:c>
      <x:c r="C1405" s="11" t="str">
        <x:v>hp515_obesity_cn</x:v>
      </x:c>
      <x:c r="D1405" s="11" t="str">
        <x:v>2028-12-31</x:v>
      </x:c>
      <x:c r="E1405" s="11" t="str">
        <x:v>CNY</x:v>
      </x:c>
      <x:c r="F1405" s="11" t="n">
        <x:v>2.001368925393566</x:v>
      </x:c>
      <x:c r="G1405" s="26" t="b">
        <x:v>1</x:v>
      </x:c>
      <x:c r="H1405" s="16" t="n">
        <x:v>0</x:v>
      </x:c>
      <x:c r="I1405" s="16" t="n">
        <x:v>0</x:v>
      </x:c>
      <x:c r="J1405" s="16" t="n">
        <x:v>0</x:v>
      </x:c>
      <x:c r="K1405" s="11" t="n">
        <x:f>CHOOSE('假设'!$B$3,H1405,I1405,J1405)</x:f>
        <x:v>0</x:v>
      </x:c>
      <x:c r="L1405" s="11" t="n">
        <x:f>K1405*'管线假设'!E319*'管线假设'!F319*'管线假设'!G319*IF(E1405="USD",'管线假设'!I319,1)-AM1405</x:f>
        <x:v>0</x:v>
      </x:c>
      <x:c r="M1405" s="11" t="n">
        <x:f>'管线假设'!H319</x:f>
        <x:v>0.14</x:v>
      </x:c>
      <x:c r="N1405" s="11" t="n">
        <x:f>IF(G1405,L1405*AN1405/(1+M1405)^F1405,0)</x:f>
        <x:v>0</x:v>
      </x:c>
      <x:c r="AJ1405" t="n">
        <x:v>0</x:v>
      </x:c>
      <x:c r="AK1405" t="n">
        <x:v>0</x:v>
      </x:c>
      <x:c r="AL1405" t="n">
        <x:v>0</x:v>
      </x:c>
      <x:c r="AM1405" t="n">
        <x:f>CHOOSE('假设'!$B$3,AJ1405,AK1405,AL1405)</x:f>
        <x:v>0</x:v>
      </x:c>
      <x:c r="AN1405" t="n">
        <x:v>1</x:v>
      </x:c>
    </x:row>
    <x:row r="1406" ht="23" customHeight="1">
      <x:c r="A1406" s="11" t="str">
        <x:v>688302.SH</x:v>
      </x:c>
      <x:c r="B1406" s="11" t="str">
        <x:v>2026年底</x:v>
      </x:c>
      <x:c r="C1406" s="11" t="str">
        <x:v>hp515_obesity_cn</x:v>
      </x:c>
      <x:c r="D1406" s="11" t="str">
        <x:v>2029-12-31</x:v>
      </x:c>
      <x:c r="E1406" s="11" t="str">
        <x:v>CNY</x:v>
      </x:c>
      <x:c r="F1406" s="11" t="n">
        <x:v>3.0006844626967832</x:v>
      </x:c>
      <x:c r="G1406" s="26" t="b">
        <x:v>1</x:v>
      </x:c>
      <x:c r="H1406" s="16" t="n">
        <x:v>0</x:v>
      </x:c>
      <x:c r="I1406" s="16" t="n">
        <x:v>0</x:v>
      </x:c>
      <x:c r="J1406" s="16" t="n">
        <x:v>0</x:v>
      </x:c>
      <x:c r="K1406" s="11" t="n">
        <x:f>CHOOSE('假设'!$B$3,H1406,I1406,J1406)</x:f>
        <x:v>0</x:v>
      </x:c>
      <x:c r="L1406" s="11" t="n">
        <x:f>K1406*'管线假设'!E319*'管线假设'!F319*'管线假设'!G319*IF(E1406="USD",'管线假设'!I319,1)-AM1406</x:f>
        <x:v>0</x:v>
      </x:c>
      <x:c r="M1406" s="11" t="n">
        <x:f>'管线假设'!H319</x:f>
        <x:v>0.14</x:v>
      </x:c>
      <x:c r="N1406" s="11" t="n">
        <x:f>IF(G1406,L1406*AN1406/(1+M1406)^F1406,0)</x:f>
        <x:v>0</x:v>
      </x:c>
      <x:c r="AJ1406" t="n">
        <x:v>0</x:v>
      </x:c>
      <x:c r="AK1406" t="n">
        <x:v>0</x:v>
      </x:c>
      <x:c r="AL1406" t="n">
        <x:v>0</x:v>
      </x:c>
      <x:c r="AM1406" t="n">
        <x:f>CHOOSE('假设'!$B$3,AJ1406,AK1406,AL1406)</x:f>
        <x:v>0</x:v>
      </x:c>
      <x:c r="AN1406" t="n">
        <x:v>1</x:v>
      </x:c>
    </x:row>
    <x:row r="1407" ht="23" customHeight="1">
      <x:c r="A1407" s="11" t="str">
        <x:v>688302.SH</x:v>
      </x:c>
      <x:c r="B1407" s="11" t="str">
        <x:v>2026年底</x:v>
      </x:c>
      <x:c r="C1407" s="11" t="str">
        <x:v>hp515_obesity_cn</x:v>
      </x:c>
      <x:c r="D1407" s="11" t="str">
        <x:v>2030-12-31</x:v>
      </x:c>
      <x:c r="E1407" s="11" t="str">
        <x:v>CNY</x:v>
      </x:c>
      <x:c r="F1407" s="11" t="n">
        <x:v>4</x:v>
      </x:c>
      <x:c r="G1407" s="26" t="b">
        <x:v>1</x:v>
      </x:c>
      <x:c r="H1407" s="16" t="n">
        <x:v>0</x:v>
      </x:c>
      <x:c r="I1407" s="16" t="n">
        <x:v>0</x:v>
      </x:c>
      <x:c r="J1407" s="16" t="n">
        <x:v>0</x:v>
      </x:c>
      <x:c r="K1407" s="11" t="n">
        <x:f>CHOOSE('假设'!$B$3,H1407,I1407,J1407)</x:f>
        <x:v>0</x:v>
      </x:c>
      <x:c r="L1407" s="11" t="n">
        <x:f>K1407*'管线假设'!E319*'管线假设'!F319*'管线假设'!G319*IF(E1407="USD",'管线假设'!I319,1)-AM1407</x:f>
        <x:v>0</x:v>
      </x:c>
      <x:c r="M1407" s="11" t="n">
        <x:f>'管线假设'!H319</x:f>
        <x:v>0.14</x:v>
      </x:c>
      <x:c r="N1407" s="11" t="n">
        <x:f>IF(G1407,L1407*AN1407/(1+M1407)^F1407,0)</x:f>
        <x:v>0</x:v>
      </x:c>
      <x:c r="AJ1407" t="n">
        <x:v>0</x:v>
      </x:c>
      <x:c r="AK1407" t="n">
        <x:v>0</x:v>
      </x:c>
      <x:c r="AL1407" t="n">
        <x:v>0</x:v>
      </x:c>
      <x:c r="AM1407" t="n">
        <x:f>CHOOSE('假设'!$B$3,AJ1407,AK1407,AL1407)</x:f>
        <x:v>0</x:v>
      </x:c>
      <x:c r="AN1407" t="n">
        <x:v>1</x:v>
      </x:c>
    </x:row>
    <x:row r="1408" ht="23" customHeight="1">
      <x:c r="A1408" s="11" t="str">
        <x:v>688302.SH</x:v>
      </x:c>
      <x:c r="B1408" s="11" t="str">
        <x:v>2026年底</x:v>
      </x:c>
      <x:c r="C1408" s="11" t="str">
        <x:v>hp515_obesity_cn</x:v>
      </x:c>
      <x:c r="D1408" s="11" t="str">
        <x:v>2031-12-31</x:v>
      </x:c>
      <x:c r="E1408" s="11" t="str">
        <x:v>CNY</x:v>
      </x:c>
      <x:c r="F1408" s="11" t="n">
        <x:v>4.999315537303217</x:v>
      </x:c>
      <x:c r="G1408" s="26" t="b">
        <x:v>1</x:v>
      </x:c>
      <x:c r="H1408" s="16" t="n">
        <x:v>0</x:v>
      </x:c>
      <x:c r="I1408" s="16" t="n">
        <x:v>0</x:v>
      </x:c>
      <x:c r="J1408" s="16" t="n">
        <x:v>0</x:v>
      </x:c>
      <x:c r="K1408" s="11" t="n">
        <x:f>CHOOSE('假设'!$B$3,H1408,I1408,J1408)</x:f>
        <x:v>0</x:v>
      </x:c>
      <x:c r="L1408" s="11" t="n">
        <x:f>K1408*'管线假设'!E319*'管线假设'!F319*'管线假设'!G319*IF(E1408="USD",'管线假设'!I319,1)-AM1408</x:f>
        <x:v>0</x:v>
      </x:c>
      <x:c r="M1408" s="11" t="n">
        <x:f>'管线假设'!H319</x:f>
        <x:v>0.14</x:v>
      </x:c>
      <x:c r="N1408" s="11" t="n">
        <x:f>IF(G1408,L1408*AN1408/(1+M1408)^F1408,0)</x:f>
        <x:v>0</x:v>
      </x:c>
      <x:c r="AJ1408" t="n">
        <x:v>0</x:v>
      </x:c>
      <x:c r="AK1408" t="n">
        <x:v>0</x:v>
      </x:c>
      <x:c r="AL1408" t="n">
        <x:v>0</x:v>
      </x:c>
      <x:c r="AM1408" t="n">
        <x:f>CHOOSE('假设'!$B$3,AJ1408,AK1408,AL1408)</x:f>
        <x:v>0</x:v>
      </x:c>
      <x:c r="AN1408" t="n">
        <x:v>1</x:v>
      </x:c>
    </x:row>
    <x:row r="1409" ht="23" customHeight="1">
      <x:c r="A1409" s="11" t="str">
        <x:v>688302.SH</x:v>
      </x:c>
      <x:c r="B1409" s="11" t="str">
        <x:v>2026年底</x:v>
      </x:c>
      <x:c r="C1409" s="11" t="str">
        <x:v>hp515_obesity_cn</x:v>
      </x:c>
      <x:c r="D1409" s="11" t="str">
        <x:v>2032-12-31</x:v>
      </x:c>
      <x:c r="E1409" s="11" t="str">
        <x:v>CNY</x:v>
      </x:c>
      <x:c r="F1409" s="11" t="n">
        <x:v>6.0013689253935665</x:v>
      </x:c>
      <x:c r="G1409" s="26" t="b">
        <x:v>1</x:v>
      </x:c>
      <x:c r="H1409" s="16" t="n">
        <x:v>0</x:v>
      </x:c>
      <x:c r="I1409" s="16" t="n">
        <x:v>0</x:v>
      </x:c>
      <x:c r="J1409" s="16" t="n">
        <x:v>0.41666666666666663</x:v>
      </x:c>
      <x:c r="K1409" s="11" t="n">
        <x:f>CHOOSE('假设'!$B$3,H1409,I1409,J1409)</x:f>
        <x:v>0</x:v>
      </x:c>
      <x:c r="L1409" s="11" t="n">
        <x:f>K1409*'管线假设'!E319*'管线假设'!F319*'管线假设'!G319*IF(E1409="USD",'管线假设'!I319,1)-AM1409</x:f>
        <x:v>0</x:v>
      </x:c>
      <x:c r="M1409" s="11" t="n">
        <x:f>'管线假设'!H319</x:f>
        <x:v>0.14</x:v>
      </x:c>
      <x:c r="N1409" s="11" t="n">
        <x:f>IF(G1409,L1409*AN1409/(1+M1409)^F1409,0)</x:f>
        <x:v>0</x:v>
      </x:c>
      <x:c r="AJ1409" t="n">
        <x:v>0</x:v>
      </x:c>
      <x:c r="AK1409" t="n">
        <x:v>0</x:v>
      </x:c>
      <x:c r="AL1409" t="n">
        <x:v>0</x:v>
      </x:c>
      <x:c r="AM1409" t="n">
        <x:f>CHOOSE('假设'!$B$3,AJ1409,AK1409,AL1409)</x:f>
        <x:v>0</x:v>
      </x:c>
      <x:c r="AN1409" t="n">
        <x:v>1</x:v>
      </x:c>
    </x:row>
    <x:row r="1410" ht="23" customHeight="1">
      <x:c r="A1410" s="11" t="str">
        <x:v>688302.SH</x:v>
      </x:c>
      <x:c r="B1410" s="11" t="str">
        <x:v>2026年底</x:v>
      </x:c>
      <x:c r="C1410" s="11" t="str">
        <x:v>hp515_obesity_cn</x:v>
      </x:c>
      <x:c r="D1410" s="11" t="str">
        <x:v>2033-12-31</x:v>
      </x:c>
      <x:c r="E1410" s="11" t="str">
        <x:v>CNY</x:v>
      </x:c>
      <x:c r="F1410" s="11" t="n">
        <x:v>7.000684462696783</x:v>
      </x:c>
      <x:c r="G1410" s="26" t="b">
        <x:v>1</x:v>
      </x:c>
      <x:c r="H1410" s="16" t="n">
        <x:v>0</x:v>
      </x:c>
      <x:c r="I1410" s="16" t="n">
        <x:v>0</x:v>
      </x:c>
      <x:c r="J1410" s="16" t="n">
        <x:v>0.8333333333333333</x:v>
      </x:c>
      <x:c r="K1410" s="11" t="n">
        <x:f>CHOOSE('假设'!$B$3,H1410,I1410,J1410)</x:f>
        <x:v>0</x:v>
      </x:c>
      <x:c r="L1410" s="11" t="n">
        <x:f>K1410*'管线假设'!E319*'管线假设'!F319*'管线假设'!G319*IF(E1410="USD",'管线假设'!I319,1)-AM1410</x:f>
        <x:v>0</x:v>
      </x:c>
      <x:c r="M1410" s="11" t="n">
        <x:f>'管线假设'!H319</x:f>
        <x:v>0.14</x:v>
      </x:c>
      <x:c r="N1410" s="11" t="n">
        <x:f>IF(G1410,L1410*AN1410/(1+M1410)^F1410,0)</x:f>
        <x:v>0</x:v>
      </x:c>
      <x:c r="AJ1410" t="n">
        <x:v>0</x:v>
      </x:c>
      <x:c r="AK1410" t="n">
        <x:v>0</x:v>
      </x:c>
      <x:c r="AL1410" t="n">
        <x:v>0</x:v>
      </x:c>
      <x:c r="AM1410" t="n">
        <x:f>CHOOSE('假设'!$B$3,AJ1410,AK1410,AL1410)</x:f>
        <x:v>0</x:v>
      </x:c>
      <x:c r="AN1410" t="n">
        <x:v>1</x:v>
      </x:c>
    </x:row>
    <x:row r="1411" ht="23" customHeight="1">
      <x:c r="A1411" s="11" t="str">
        <x:v>688302.SH</x:v>
      </x:c>
      <x:c r="B1411" s="11" t="str">
        <x:v>2026年底</x:v>
      </x:c>
      <x:c r="C1411" s="11" t="str">
        <x:v>hp515_obesity_cn</x:v>
      </x:c>
      <x:c r="D1411" s="11" t="str">
        <x:v>2034-12-31</x:v>
      </x:c>
      <x:c r="E1411" s="11" t="str">
        <x:v>CNY</x:v>
      </x:c>
      <x:c r="F1411" s="11" t="n">
        <x:v>8</x:v>
      </x:c>
      <x:c r="G1411" s="26" t="b">
        <x:v>1</x:v>
      </x:c>
      <x:c r="H1411" s="16" t="n">
        <x:v>0</x:v>
      </x:c>
      <x:c r="I1411" s="16" t="n">
        <x:v>0.18333333333333335</x:v>
      </x:c>
      <x:c r="J1411" s="16" t="n">
        <x:v>1.25</x:v>
      </x:c>
      <x:c r="K1411" s="11" t="n">
        <x:f>CHOOSE('假设'!$B$3,H1411,I1411,J1411)</x:f>
        <x:v>0.18333333333333335</x:v>
      </x:c>
      <x:c r="L1411" s="11" t="n">
        <x:f>K1411*'管线假设'!E319*'管线假设'!F319*'管线假设'!G319*IF(E1411="USD",'管线假设'!I319,1)-AM1411</x:f>
        <x:v>0.004950000000000001</x:v>
      </x:c>
      <x:c r="M1411" s="11" t="n">
        <x:f>'管线假设'!H319</x:f>
        <x:v>0.14</x:v>
      </x:c>
      <x:c r="N1411" s="11" t="n">
        <x:f>IF(G1411,L1411*AN1411/(1+M1411)^F1411,0)</x:f>
        <x:v>0.0017352673215112648</x:v>
      </x:c>
      <x:c r="AJ1411" t="n">
        <x:v>0</x:v>
      </x:c>
      <x:c r="AK1411" t="n">
        <x:v>0</x:v>
      </x:c>
      <x:c r="AL1411" t="n">
        <x:v>0</x:v>
      </x:c>
      <x:c r="AM1411" t="n">
        <x:f>CHOOSE('假设'!$B$3,AJ1411,AK1411,AL1411)</x:f>
        <x:v>0</x:v>
      </x:c>
      <x:c r="AN1411" t="n">
        <x:v>1</x:v>
      </x:c>
    </x:row>
    <x:row r="1412" ht="23" customHeight="1">
      <x:c r="A1412" s="11" t="str">
        <x:v>688302.SH</x:v>
      </x:c>
      <x:c r="B1412" s="11" t="str">
        <x:v>2026年底</x:v>
      </x:c>
      <x:c r="C1412" s="11" t="str">
        <x:v>hp515_obesity_cn</x:v>
      </x:c>
      <x:c r="D1412" s="11" t="str">
        <x:v>2035-12-31</x:v>
      </x:c>
      <x:c r="E1412" s="11" t="str">
        <x:v>CNY</x:v>
      </x:c>
      <x:c r="F1412" s="11" t="n">
        <x:v>8.999315537303216</x:v>
      </x:c>
      <x:c r="G1412" s="26" t="b">
        <x:v>1</x:v>
      </x:c>
      <x:c r="H1412" s="16" t="n">
        <x:v>0</x:v>
      </x:c>
      <x:c r="I1412" s="16" t="n">
        <x:v>0.3666666666666667</x:v>
      </x:c>
      <x:c r="J1412" s="16" t="n">
        <x:v>1.6666666666666665</x:v>
      </x:c>
      <x:c r="K1412" s="11" t="n">
        <x:f>CHOOSE('假设'!$B$3,H1412,I1412,J1412)</x:f>
        <x:v>0.3666666666666667</x:v>
      </x:c>
      <x:c r="L1412" s="11" t="n">
        <x:f>K1412*'管线假设'!E319*'管线假设'!F319*'管线假设'!G319*IF(E1412="USD",'管线假设'!I319,1)-AM1412</x:f>
        <x:v>0.009900000000000003</x:v>
      </x:c>
      <x:c r="M1412" s="11" t="n">
        <x:f>'管线假设'!H319</x:f>
        <x:v>0.14</x:v>
      </x:c>
      <x:c r="N1412" s="11" t="n">
        <x:f>IF(G1412,L1412*AN1412/(1+M1412)^F1412,0)</x:f>
        <x:v>0.003044601673914634</x:v>
      </x:c>
      <x:c r="AJ1412" t="n">
        <x:v>0</x:v>
      </x:c>
      <x:c r="AK1412" t="n">
        <x:v>0</x:v>
      </x:c>
      <x:c r="AL1412" t="n">
        <x:v>0</x:v>
      </x:c>
      <x:c r="AM1412" t="n">
        <x:f>CHOOSE('假设'!$B$3,AJ1412,AK1412,AL1412)</x:f>
        <x:v>0</x:v>
      </x:c>
      <x:c r="AN1412" t="n">
        <x:v>1</x:v>
      </x:c>
    </x:row>
    <x:row r="1413" ht="23" customHeight="1">
      <x:c r="A1413" s="11" t="str">
        <x:v>688302.SH</x:v>
      </x:c>
      <x:c r="B1413" s="11" t="str">
        <x:v>2026年底</x:v>
      </x:c>
      <x:c r="C1413" s="11" t="str">
        <x:v>hp515_obesity_cn</x:v>
      </x:c>
      <x:c r="D1413" s="11" t="str">
        <x:v>2036-12-31</x:v>
      </x:c>
      <x:c r="E1413" s="11" t="str">
        <x:v>CNY</x:v>
      </x:c>
      <x:c r="F1413" s="11" t="n">
        <x:v>10.001368925393566</x:v>
      </x:c>
      <x:c r="G1413" s="26" t="b">
        <x:v>1</x:v>
      </x:c>
      <x:c r="H1413" s="16" t="n">
        <x:v>0</x:v>
      </x:c>
      <x:c r="I1413" s="16" t="n">
        <x:v>0.55</x:v>
      </x:c>
      <x:c r="J1413" s="16" t="n">
        <x:v>2.0833333333333335</x:v>
      </x:c>
      <x:c r="K1413" s="11" t="n">
        <x:f>CHOOSE('假设'!$B$3,H1413,I1413,J1413)</x:f>
        <x:v>0.55</x:v>
      </x:c>
      <x:c r="L1413" s="11" t="n">
        <x:f>K1413*'管线假设'!E319*'管线假设'!F319*'管线假设'!G319*IF(E1413="USD",'管线假设'!I319,1)-AM1413</x:f>
        <x:v>0.014850000000000002</x:v>
      </x:c>
      <x:c r="M1413" s="11" t="n">
        <x:f>'管线假设'!H319</x:f>
        <x:v>0.14</x:v>
      </x:c>
      <x:c r="N1413" s="11" t="n">
        <x:f>IF(G1413,L1413*AN1413/(1+M1413)^F1413,0)</x:f>
        <x:v>0.004004977142523615</x:v>
      </x:c>
      <x:c r="AJ1413" t="n">
        <x:v>0</x:v>
      </x:c>
      <x:c r="AK1413" t="n">
        <x:v>0</x:v>
      </x:c>
      <x:c r="AL1413" t="n">
        <x:v>0</x:v>
      </x:c>
      <x:c r="AM1413" t="n">
        <x:f>CHOOSE('假设'!$B$3,AJ1413,AK1413,AL1413)</x:f>
        <x:v>0</x:v>
      </x:c>
      <x:c r="AN1413" t="n">
        <x:v>1</x:v>
      </x:c>
    </x:row>
    <x:row r="1414" ht="23" customHeight="1">
      <x:c r="A1414" s="11" t="str">
        <x:v>688302.SH</x:v>
      </x:c>
      <x:c r="B1414" s="11" t="str">
        <x:v>2026年底</x:v>
      </x:c>
      <x:c r="C1414" s="11" t="str">
        <x:v>hp515_obesity_cn</x:v>
      </x:c>
      <x:c r="D1414" s="11" t="str">
        <x:v>2037-12-31</x:v>
      </x:c>
      <x:c r="E1414" s="11" t="str">
        <x:v>CNY</x:v>
      </x:c>
      <x:c r="F1414" s="11" t="n">
        <x:v>11.000684462696784</x:v>
      </x:c>
      <x:c r="G1414" s="26" t="b">
        <x:v>1</x:v>
      </x:c>
      <x:c r="H1414" s="16" t="n">
        <x:v>0.08000000000000002</x:v>
      </x:c>
      <x:c r="I1414" s="16" t="n">
        <x:v>0.7333333333333334</x:v>
      </x:c>
      <x:c r="J1414" s="16" t="n">
        <x:v>2.5</x:v>
      </x:c>
      <x:c r="K1414" s="11" t="n">
        <x:f>CHOOSE('假设'!$B$3,H1414,I1414,J1414)</x:f>
        <x:v>0.7333333333333334</x:v>
      </x:c>
      <x:c r="L1414" s="11" t="n">
        <x:f>K1414*'管线假设'!E319*'管线假设'!F319*'管线假设'!G319*IF(E1414="USD",'管线假设'!I319,1)-AM1414</x:f>
        <x:v>0.019800000000000005</x:v>
      </x:c>
      <x:c r="M1414" s="11" t="n">
        <x:f>'管线假设'!H319</x:f>
        <x:v>0.14</x:v>
      </x:c>
      <x:c r="N1414" s="11" t="n">
        <x:f>IF(G1414,L1414*AN1414/(1+M1414)^F1414,0)</x:f>
        <x:v>0.004684603907405548</x:v>
      </x:c>
      <x:c r="AJ1414" t="n">
        <x:v>0</x:v>
      </x:c>
      <x:c r="AK1414" t="n">
        <x:v>0</x:v>
      </x:c>
      <x:c r="AL1414" t="n">
        <x:v>0</x:v>
      </x:c>
      <x:c r="AM1414" t="n">
        <x:f>CHOOSE('假设'!$B$3,AJ1414,AK1414,AL1414)</x:f>
        <x:v>0</x:v>
      </x:c>
      <x:c r="AN1414" t="n">
        <x:v>1</x:v>
      </x:c>
    </x:row>
    <x:row r="1415" ht="23" customHeight="1">
      <x:c r="A1415" s="11" t="str">
        <x:v>688302.SH</x:v>
      </x:c>
      <x:c r="B1415" s="11" t="str">
        <x:v>2026年底</x:v>
      </x:c>
      <x:c r="C1415" s="11" t="str">
        <x:v>hp515_obesity_cn</x:v>
      </x:c>
      <x:c r="D1415" s="11" t="str">
        <x:v>2038-12-31</x:v>
      </x:c>
      <x:c r="E1415" s="11" t="str">
        <x:v>CNY</x:v>
      </x:c>
      <x:c r="F1415" s="11" t="n">
        <x:v>12</x:v>
      </x:c>
      <x:c r="G1415" s="26" t="b">
        <x:v>1</x:v>
      </x:c>
      <x:c r="H1415" s="16" t="n">
        <x:v>0.16000000000000003</x:v>
      </x:c>
      <x:c r="I1415" s="16" t="n">
        <x:v>0.9166666666666667</x:v>
      </x:c>
      <x:c r="J1415" s="16" t="n">
        <x:v>2.175</x:v>
      </x:c>
      <x:c r="K1415" s="11" t="n">
        <x:f>CHOOSE('假设'!$B$3,H1415,I1415,J1415)</x:f>
        <x:v>0.9166666666666667</x:v>
      </x:c>
      <x:c r="L1415" s="11" t="n">
        <x:f>K1415*'管线假设'!E319*'管线假设'!F319*'管线假设'!G319*IF(E1415="USD",'管线假设'!I319,1)-AM1415</x:f>
        <x:v>0.024750000000000005</x:v>
      </x:c>
      <x:c r="M1415" s="11" t="n">
        <x:f>'管线假设'!H319</x:f>
        <x:v>0.14</x:v>
      </x:c>
      <x:c r="N1415" s="11" t="n">
        <x:f>IF(G1415,L1415*AN1415/(1+M1415)^F1415,0)</x:f>
        <x:v>0.005137087785159077</x:v>
      </x:c>
      <x:c r="AJ1415" t="n">
        <x:v>0</x:v>
      </x:c>
      <x:c r="AK1415" t="n">
        <x:v>0</x:v>
      </x:c>
      <x:c r="AL1415" t="n">
        <x:v>0</x:v>
      </x:c>
      <x:c r="AM1415" t="n">
        <x:f>CHOOSE('假设'!$B$3,AJ1415,AK1415,AL1415)</x:f>
        <x:v>0</x:v>
      </x:c>
      <x:c r="AN1415" t="n">
        <x:v>1</x:v>
      </x:c>
    </x:row>
    <x:row r="1416" ht="23" customHeight="1">
      <x:c r="A1416" s="11" t="str">
        <x:v>688302.SH</x:v>
      </x:c>
      <x:c r="B1416" s="11" t="str">
        <x:v>2026年底</x:v>
      </x:c>
      <x:c r="C1416" s="11" t="str">
        <x:v>hp515_obesity_cn</x:v>
      </x:c>
      <x:c r="D1416" s="11" t="str">
        <x:v>2039-12-31</x:v>
      </x:c>
      <x:c r="E1416" s="11" t="str">
        <x:v>CNY</x:v>
      </x:c>
      <x:c r="F1416" s="11" t="n">
        <x:v>12.999315537303216</x:v>
      </x:c>
      <x:c r="G1416" s="26" t="b">
        <x:v>1</x:v>
      </x:c>
      <x:c r="H1416" s="16" t="n">
        <x:v>0.24</x:v>
      </x:c>
      <x:c r="I1416" s="16" t="n">
        <x:v>1.1</x:v>
      </x:c>
      <x:c r="J1416" s="16" t="n">
        <x:v>1.85</x:v>
      </x:c>
      <x:c r="K1416" s="11" t="n">
        <x:f>CHOOSE('假设'!$B$3,H1416,I1416,J1416)</x:f>
        <x:v>1.1</x:v>
      </x:c>
      <x:c r="L1416" s="11" t="n">
        <x:f>K1416*'管线假设'!E319*'管线假设'!F319*'管线假设'!G319*IF(E1416="USD",'管线假设'!I319,1)-AM1416</x:f>
        <x:v>0.029700000000000004</x:v>
      </x:c>
      <x:c r="M1416" s="11" t="n">
        <x:f>'管线假设'!H319</x:f>
        <x:v>0.14</x:v>
      </x:c>
      <x:c r="N1416" s="11" t="n">
        <x:f>IF(G1416,L1416*AN1416/(1+M1416)^F1416,0)</x:f>
        <x:v>0.005407945810719358</x:v>
      </x:c>
      <x:c r="AJ1416" t="n">
        <x:v>0</x:v>
      </x:c>
      <x:c r="AK1416" t="n">
        <x:v>0</x:v>
      </x:c>
      <x:c r="AL1416" t="n">
        <x:v>0</x:v>
      </x:c>
      <x:c r="AM1416" t="n">
        <x:f>CHOOSE('假设'!$B$3,AJ1416,AK1416,AL1416)</x:f>
        <x:v>0</x:v>
      </x:c>
      <x:c r="AN1416" t="n">
        <x:v>1</x:v>
      </x:c>
    </x:row>
    <x:row r="1417" ht="23" customHeight="1">
      <x:c r="A1417" s="11" t="str">
        <x:v>688302.SH</x:v>
      </x:c>
      <x:c r="B1417" s="11" t="str">
        <x:v>2026年底</x:v>
      </x:c>
      <x:c r="C1417" s="11" t="str">
        <x:v>hp515_obesity_cn</x:v>
      </x:c>
      <x:c r="D1417" s="11" t="str">
        <x:v>2040-12-31</x:v>
      </x:c>
      <x:c r="E1417" s="11" t="str">
        <x:v>CNY</x:v>
      </x:c>
      <x:c r="F1417" s="11" t="n">
        <x:v>14.001368925393566</x:v>
      </x:c>
      <x:c r="G1417" s="26" t="b">
        <x:v>1</x:v>
      </x:c>
      <x:c r="H1417" s="16" t="n">
        <x:v>0.32000000000000006</x:v>
      </x:c>
      <x:c r="I1417" s="16" t="n">
        <x:v>0.9570000000000001</x:v>
      </x:c>
      <x:c r="J1417" s="16" t="n">
        <x:v>1.525</x:v>
      </x:c>
      <x:c r="K1417" s="11" t="n">
        <x:f>CHOOSE('假设'!$B$3,H1417,I1417,J1417)</x:f>
        <x:v>0.9570000000000001</x:v>
      </x:c>
      <x:c r="L1417" s="11" t="n">
        <x:f>K1417*'管线假设'!E319*'管线假设'!F319*'管线假设'!G319*IF(E1417="USD",'管线假设'!I319,1)-AM1417</x:f>
        <x:v>0.025839000000000004</x:v>
      </x:c>
      <x:c r="M1417" s="11" t="n">
        <x:f>'管线假设'!H319</x:f>
        <x:v>0.14</x:v>
      </x:c>
      <x:c r="N1417" s="11" t="n">
        <x:f>IF(G1417,L1417*AN1417/(1+M1417)^F1417,0)</x:f>
        <x:v>0.004126006280687573</x:v>
      </x:c>
      <x:c r="AJ1417" t="n">
        <x:v>0</x:v>
      </x:c>
      <x:c r="AK1417" t="n">
        <x:v>0</x:v>
      </x:c>
      <x:c r="AL1417" t="n">
        <x:v>0</x:v>
      </x:c>
      <x:c r="AM1417" t="n">
        <x:f>CHOOSE('假设'!$B$3,AJ1417,AK1417,AL1417)</x:f>
        <x:v>0</x:v>
      </x:c>
      <x:c r="AN1417" t="n">
        <x:v>1</x:v>
      </x:c>
    </x:row>
    <x:row r="1418" ht="23" customHeight="1">
      <x:c r="A1418" s="11" t="str">
        <x:v>688302.SH</x:v>
      </x:c>
      <x:c r="B1418" s="11" t="str">
        <x:v>2026年底</x:v>
      </x:c>
      <x:c r="C1418" s="11" t="str">
        <x:v>hp515_obesity_cn</x:v>
      </x:c>
      <x:c r="D1418" s="11" t="str">
        <x:v>2041-12-31</x:v>
      </x:c>
      <x:c r="E1418" s="11" t="str">
        <x:v>CNY</x:v>
      </x:c>
      <x:c r="F1418" s="11" t="n">
        <x:v>15.000684462696784</x:v>
      </x:c>
      <x:c r="G1418" s="26" t="b">
        <x:v>1</x:v>
      </x:c>
      <x:c r="H1418" s="16" t="n">
        <x:v>0.4</x:v>
      </x:c>
      <x:c r="I1418" s="16" t="n">
        <x:v>0.8140000000000001</x:v>
      </x:c>
      <x:c r="J1418" s="16" t="n">
        <x:v>1.2</x:v>
      </x:c>
      <x:c r="K1418" s="11" t="n">
        <x:f>CHOOSE('假设'!$B$3,H1418,I1418,J1418)</x:f>
        <x:v>0.8140000000000001</x:v>
      </x:c>
      <x:c r="L1418" s="11" t="n">
        <x:f>K1418*'管线假设'!E319*'管线假设'!F319*'管线假设'!G319*IF(E1418="USD",'管线假设'!I319,1)-AM1418</x:f>
        <x:v>0.021978000000000004</x:v>
      </x:c>
      <x:c r="M1418" s="11" t="n">
        <x:f>'管线假设'!H319</x:f>
        <x:v>0.14</x:v>
      </x:c>
      <x:c r="N1418" s="11" t="n">
        <x:f>IF(G1418,L1418*AN1418/(1+M1418)^F1418,0)</x:f>
        <x:v>0.0030787643547614263</x:v>
      </x:c>
      <x:c r="AJ1418" t="n">
        <x:v>0</x:v>
      </x:c>
      <x:c r="AK1418" t="n">
        <x:v>0</x:v>
      </x:c>
      <x:c r="AL1418" t="n">
        <x:v>0</x:v>
      </x:c>
      <x:c r="AM1418" t="n">
        <x:f>CHOOSE('假设'!$B$3,AJ1418,AK1418,AL1418)</x:f>
        <x:v>0</x:v>
      </x:c>
      <x:c r="AN1418" t="n">
        <x:v>1</x:v>
      </x:c>
    </x:row>
    <x:row r="1419" ht="23" customHeight="1">
      <x:c r="A1419" s="11" t="str">
        <x:v>688302.SH</x:v>
      </x:c>
      <x:c r="B1419" s="11" t="str">
        <x:v>2026年底</x:v>
      </x:c>
      <x:c r="C1419" s="11" t="str">
        <x:v>hp515_obesity_cn</x:v>
      </x:c>
      <x:c r="D1419" s="11" t="str">
        <x:v>2042-12-31</x:v>
      </x:c>
      <x:c r="E1419" s="11" t="str">
        <x:v>CNY</x:v>
      </x:c>
      <x:c r="F1419" s="11" t="n">
        <x:v>16</x:v>
      </x:c>
      <x:c r="G1419" s="26" t="b">
        <x:v>1</x:v>
      </x:c>
      <x:c r="H1419" s="16" t="n">
        <x:v>0.34800000000000003</x:v>
      </x:c>
      <x:c r="I1419" s="16" t="n">
        <x:v>0.671</x:v>
      </x:c>
      <x:c r="J1419" s="16" t="n">
        <x:v>0.875</x:v>
      </x:c>
      <x:c r="K1419" s="11" t="n">
        <x:f>CHOOSE('假设'!$B$3,H1419,I1419,J1419)</x:f>
        <x:v>0.671</x:v>
      </x:c>
      <x:c r="L1419" s="11" t="n">
        <x:f>K1419*'管线假设'!E319*'管线假设'!F319*'管线假设'!G319*IF(E1419="USD",'管线假设'!I319,1)-AM1419</x:f>
        <x:v>0.018117</x:v>
      </x:c>
      <x:c r="M1419" s="11" t="n">
        <x:f>'管线假设'!H319</x:f>
        <x:v>0.14</x:v>
      </x:c>
      <x:c r="N1419" s="11" t="n">
        <x:f>IF(G1419,L1419*AN1419/(1+M1419)^F1419,0)</x:f>
        <x:v>0.0022264280400411825</x:v>
      </x:c>
      <x:c r="AJ1419" t="n">
        <x:v>0</x:v>
      </x:c>
      <x:c r="AK1419" t="n">
        <x:v>0</x:v>
      </x:c>
      <x:c r="AL1419" t="n">
        <x:v>0</x:v>
      </x:c>
      <x:c r="AM1419" t="n">
        <x:f>CHOOSE('假设'!$B$3,AJ1419,AK1419,AL1419)</x:f>
        <x:v>0</x:v>
      </x:c>
      <x:c r="AN1419" t="n">
        <x:v>1</x:v>
      </x:c>
    </x:row>
    <x:row r="1420" ht="23" customHeight="1">
      <x:c r="A1420" s="11" t="str">
        <x:v>688302.SH</x:v>
      </x:c>
      <x:c r="B1420" s="11" t="str">
        <x:v>2026年底</x:v>
      </x:c>
      <x:c r="C1420" s="11" t="str">
        <x:v>hp515_obesity_cn</x:v>
      </x:c>
      <x:c r="D1420" s="11" t="str">
        <x:v>2043-12-31</x:v>
      </x:c>
      <x:c r="E1420" s="11" t="str">
        <x:v>CNY</x:v>
      </x:c>
      <x:c r="F1420" s="11" t="n">
        <x:v>16.999315537303218</x:v>
      </x:c>
      <x:c r="G1420" s="26" t="b">
        <x:v>1</x:v>
      </x:c>
      <x:c r="H1420" s="16" t="n">
        <x:v>0.296</x:v>
      </x:c>
      <x:c r="I1420" s="16" t="n">
        <x:v>0.528</x:v>
      </x:c>
      <x:c r="J1420" s="16" t="n">
        <x:v>0.5499999999999999</x:v>
      </x:c>
      <x:c r="K1420" s="11" t="n">
        <x:f>CHOOSE('假设'!$B$3,H1420,I1420,J1420)</x:f>
        <x:v>0.528</x:v>
      </x:c>
      <x:c r="L1420" s="11" t="n">
        <x:f>K1420*'管线假设'!E319*'管线假设'!F319*'管线假设'!G319*IF(E1420="USD",'管线假设'!I319,1)-AM1420</x:f>
        <x:v>0.014256000000000003</x:v>
      </x:c>
      <x:c r="M1420" s="11" t="n">
        <x:f>'管线假设'!H319</x:f>
        <x:v>0.14</x:v>
      </x:c>
      <x:c r="N1420" s="11" t="n">
        <x:f>IF(G1420,L1420*AN1420/(1+M1420)^F1420,0)</x:f>
        <x:v>0.001536930266694562</x:v>
      </x:c>
      <x:c r="AJ1420" t="n">
        <x:v>0</x:v>
      </x:c>
      <x:c r="AK1420" t="n">
        <x:v>0</x:v>
      </x:c>
      <x:c r="AL1420" t="n">
        <x:v>0</x:v>
      </x:c>
      <x:c r="AM1420" t="n">
        <x:f>CHOOSE('假设'!$B$3,AJ1420,AK1420,AL1420)</x:f>
        <x:v>0</x:v>
      </x:c>
      <x:c r="AN1420" t="n">
        <x:v>1</x:v>
      </x:c>
    </x:row>
    <x:row r="1421" ht="23" customHeight="1">
      <x:c r="A1421" s="11" t="str">
        <x:v>688302.SH</x:v>
      </x:c>
      <x:c r="B1421" s="11" t="str">
        <x:v>2026年底</x:v>
      </x:c>
      <x:c r="C1421" s="11" t="str">
        <x:v>hp515_obesity_cn</x:v>
      </x:c>
      <x:c r="D1421" s="11" t="str">
        <x:v>2044-12-31</x:v>
      </x:c>
      <x:c r="E1421" s="11" t="str">
        <x:v>CNY</x:v>
      </x:c>
      <x:c r="F1421" s="11" t="n">
        <x:v>18.001368925393567</x:v>
      </x:c>
      <x:c r="G1421" s="26" t="b">
        <x:v>1</x:v>
      </x:c>
      <x:c r="H1421" s="16" t="n">
        <x:v>0.244</x:v>
      </x:c>
      <x:c r="I1421" s="16" t="n">
        <x:v>0.385</x:v>
      </x:c>
      <x:c r="J1421" s="16" t="n">
        <x:v>0.22499999999999992</x:v>
      </x:c>
      <x:c r="K1421" s="11" t="n">
        <x:f>CHOOSE('假设'!$B$3,H1421,I1421,J1421)</x:f>
        <x:v>0.385</x:v>
      </x:c>
      <x:c r="L1421" s="11" t="n">
        <x:f>K1421*'管线假设'!E319*'管线假设'!F319*'管线假设'!G319*IF(E1421="USD",'管线假设'!I319,1)-AM1421</x:f>
        <x:v>0.010395000000000001</x:v>
      </x:c>
      <x:c r="M1421" s="11" t="n">
        <x:f>'管线假设'!H319</x:f>
        <x:v>0.14</x:v>
      </x:c>
      <x:c r="N1421" s="11" t="n">
        <x:f>IF(G1421,L1421*AN1421/(1+M1421)^F1421,0)</x:f>
        <x:v>0.0009827867012473844</x:v>
      </x:c>
      <x:c r="AJ1421" t="n">
        <x:v>0</x:v>
      </x:c>
      <x:c r="AK1421" t="n">
        <x:v>0</x:v>
      </x:c>
      <x:c r="AL1421" t="n">
        <x:v>0</x:v>
      </x:c>
      <x:c r="AM1421" t="n">
        <x:f>CHOOSE('假设'!$B$3,AJ1421,AK1421,AL1421)</x:f>
        <x:v>0</x:v>
      </x:c>
      <x:c r="AN1421" t="n">
        <x:v>1</x:v>
      </x:c>
    </x:row>
    <x:row r="1422" ht="23" customHeight="1">
      <x:c r="A1422" s="11" t="str">
        <x:v>688302.SH</x:v>
      </x:c>
      <x:c r="B1422" s="11" t="str">
        <x:v>2026年底</x:v>
      </x:c>
      <x:c r="C1422" s="11" t="str">
        <x:v>hp515_obesity_cn</x:v>
      </x:c>
      <x:c r="D1422" s="11" t="str">
        <x:v>2045-12-31</x:v>
      </x:c>
      <x:c r="E1422" s="11" t="str">
        <x:v>CNY</x:v>
      </x:c>
      <x:c r="F1422" s="11" t="n">
        <x:v>19.000684462696782</x:v>
      </x:c>
      <x:c r="G1422" s="26" t="b">
        <x:v>1</x:v>
      </x:c>
      <x:c r="H1422" s="16" t="n">
        <x:v>0.192</x:v>
      </x:c>
      <x:c r="I1422" s="16" t="n">
        <x:v>0.242</x:v>
      </x:c>
      <x:c r="J1422" s="16" t="n">
        <x:v>0</x:v>
      </x:c>
      <x:c r="K1422" s="11" t="n">
        <x:f>CHOOSE('假设'!$B$3,H1422,I1422,J1422)</x:f>
        <x:v>0.242</x:v>
      </x:c>
      <x:c r="L1422" s="11" t="n">
        <x:f>K1422*'管线假设'!E319*'管线假设'!F319*'管线假设'!G319*IF(E1422="USD",'管线假设'!I319,1)-AM1422</x:f>
        <x:v>0.006534000000000001</x:v>
      </x:c>
      <x:c r="M1422" s="11" t="n">
        <x:f>'管线假设'!H319</x:f>
        <x:v>0.14</x:v>
      </x:c>
      <x:c r="N1422" s="11" t="n">
        <x:f>IF(G1422,L1422*AN1422/(1+M1422)^F1422,0)</x:f>
        <x:v>0.0005419360049829885</x:v>
      </x:c>
      <x:c r="AJ1422" t="n">
        <x:v>0</x:v>
      </x:c>
      <x:c r="AK1422" t="n">
        <x:v>0</x:v>
      </x:c>
      <x:c r="AL1422" t="n">
        <x:v>0</x:v>
      </x:c>
      <x:c r="AM1422" t="n">
        <x:f>CHOOSE('假设'!$B$3,AJ1422,AK1422,AL1422)</x:f>
        <x:v>0</x:v>
      </x:c>
      <x:c r="AN1422" t="n">
        <x:v>1</x:v>
      </x:c>
    </x:row>
    <x:row r="1423" ht="23" customHeight="1">
      <x:c r="A1423" s="11" t="str">
        <x:v>688302.SH</x:v>
      </x:c>
      <x:c r="B1423" s="11" t="str">
        <x:v>2026年底</x:v>
      </x:c>
      <x:c r="C1423" s="11" t="str">
        <x:v>hp515_obesity_global</x:v>
      </x:c>
      <x:c r="D1423" s="11" t="str">
        <x:v>2027-12-31</x:v>
      </x:c>
      <x:c r="E1423" s="11" t="str">
        <x:v>USD</x:v>
      </x:c>
      <x:c r="F1423" s="11" t="n">
        <x:v>0.999315537303217</x:v>
      </x:c>
      <x:c r="G1423" s="26" t="b">
        <x:v>1</x:v>
      </x:c>
      <x:c r="H1423" s="16" t="n">
        <x:v>0</x:v>
      </x:c>
      <x:c r="I1423" s="16" t="n">
        <x:v>0</x:v>
      </x:c>
      <x:c r="J1423" s="16" t="n">
        <x:v>0</x:v>
      </x:c>
      <x:c r="K1423" s="11" t="n">
        <x:f>CHOOSE('假设'!$B$3,H1423,I1423,J1423)</x:f>
        <x:v>0</x:v>
      </x:c>
      <x:c r="L1423" s="11" t="n">
        <x:f>K1423*'管线假设'!E323*'管线假设'!F323*'管线假设'!G323*IF(E1423="USD",'管线假设'!I323,1)-AM1423</x:f>
        <x:v>0</x:v>
      </x:c>
      <x:c r="M1423" s="11" t="n">
        <x:f>'管线假设'!H323</x:f>
        <x:v>0.14</x:v>
      </x:c>
      <x:c r="N1423" s="11" t="n">
        <x:f>IF(G1423,L1423*AN1423/(1+M1423)^F1423,0)</x:f>
        <x:v>0</x:v>
      </x:c>
      <x:c r="AJ1423" t="n">
        <x:v>0</x:v>
      </x:c>
      <x:c r="AK1423" t="n">
        <x:v>0</x:v>
      </x:c>
      <x:c r="AL1423" t="n">
        <x:v>0</x:v>
      </x:c>
      <x:c r="AM1423" t="n">
        <x:f>CHOOSE('假设'!$B$3,AJ1423,AK1423,AL1423)</x:f>
        <x:v>0</x:v>
      </x:c>
      <x:c r="AN1423" t="n">
        <x:v>1</x:v>
      </x:c>
    </x:row>
    <x:row r="1424" ht="23" customHeight="1">
      <x:c r="A1424" s="11" t="str">
        <x:v>688302.SH</x:v>
      </x:c>
      <x:c r="B1424" s="11" t="str">
        <x:v>2026年底</x:v>
      </x:c>
      <x:c r="C1424" s="11" t="str">
        <x:v>hp515_obesity_global</x:v>
      </x:c>
      <x:c r="D1424" s="11" t="str">
        <x:v>2028-12-31</x:v>
      </x:c>
      <x:c r="E1424" s="11" t="str">
        <x:v>USD</x:v>
      </x:c>
      <x:c r="F1424" s="11" t="n">
        <x:v>2.001368925393566</x:v>
      </x:c>
      <x:c r="G1424" s="26" t="b">
        <x:v>1</x:v>
      </x:c>
      <x:c r="H1424" s="16" t="n">
        <x:v>0</x:v>
      </x:c>
      <x:c r="I1424" s="16" t="n">
        <x:v>0</x:v>
      </x:c>
      <x:c r="J1424" s="16" t="n">
        <x:v>0</x:v>
      </x:c>
      <x:c r="K1424" s="11" t="n">
        <x:f>CHOOSE('假设'!$B$3,H1424,I1424,J1424)</x:f>
        <x:v>0</x:v>
      </x:c>
      <x:c r="L1424" s="11" t="n">
        <x:f>K1424*'管线假设'!E323*'管线假设'!F323*'管线假设'!G323*IF(E1424="USD",'管线假设'!I323,1)-AM1424</x:f>
        <x:v>0</x:v>
      </x:c>
      <x:c r="M1424" s="11" t="n">
        <x:f>'管线假设'!H323</x:f>
        <x:v>0.14</x:v>
      </x:c>
      <x:c r="N1424" s="11" t="n">
        <x:f>IF(G1424,L1424*AN1424/(1+M1424)^F1424,0)</x:f>
        <x:v>0</x:v>
      </x:c>
      <x:c r="AJ1424" t="n">
        <x:v>0</x:v>
      </x:c>
      <x:c r="AK1424" t="n">
        <x:v>0</x:v>
      </x:c>
      <x:c r="AL1424" t="n">
        <x:v>0</x:v>
      </x:c>
      <x:c r="AM1424" t="n">
        <x:f>CHOOSE('假设'!$B$3,AJ1424,AK1424,AL1424)</x:f>
        <x:v>0</x:v>
      </x:c>
      <x:c r="AN1424" t="n">
        <x:v>1</x:v>
      </x:c>
    </x:row>
    <x:row r="1425" ht="23" customHeight="1">
      <x:c r="A1425" s="11" t="str">
        <x:v>688302.SH</x:v>
      </x:c>
      <x:c r="B1425" s="11" t="str">
        <x:v>2026年底</x:v>
      </x:c>
      <x:c r="C1425" s="11" t="str">
        <x:v>hp515_obesity_global</x:v>
      </x:c>
      <x:c r="D1425" s="11" t="str">
        <x:v>2029-12-31</x:v>
      </x:c>
      <x:c r="E1425" s="11" t="str">
        <x:v>USD</x:v>
      </x:c>
      <x:c r="F1425" s="11" t="n">
        <x:v>3.0006844626967832</x:v>
      </x:c>
      <x:c r="G1425" s="26" t="b">
        <x:v>1</x:v>
      </x:c>
      <x:c r="H1425" s="16" t="n">
        <x:v>0</x:v>
      </x:c>
      <x:c r="I1425" s="16" t="n">
        <x:v>0</x:v>
      </x:c>
      <x:c r="J1425" s="16" t="n">
        <x:v>0</x:v>
      </x:c>
      <x:c r="K1425" s="11" t="n">
        <x:f>CHOOSE('假设'!$B$3,H1425,I1425,J1425)</x:f>
        <x:v>0</x:v>
      </x:c>
      <x:c r="L1425" s="11" t="n">
        <x:f>K1425*'管线假设'!E323*'管线假设'!F323*'管线假设'!G323*IF(E1425="USD",'管线假设'!I323,1)-AM1425</x:f>
        <x:v>0</x:v>
      </x:c>
      <x:c r="M1425" s="11" t="n">
        <x:f>'管线假设'!H323</x:f>
        <x:v>0.14</x:v>
      </x:c>
      <x:c r="N1425" s="11" t="n">
        <x:f>IF(G1425,L1425*AN1425/(1+M1425)^F1425,0)</x:f>
        <x:v>0</x:v>
      </x:c>
      <x:c r="AJ1425" t="n">
        <x:v>0</x:v>
      </x:c>
      <x:c r="AK1425" t="n">
        <x:v>0</x:v>
      </x:c>
      <x:c r="AL1425" t="n">
        <x:v>0</x:v>
      </x:c>
      <x:c r="AM1425" t="n">
        <x:f>CHOOSE('假设'!$B$3,AJ1425,AK1425,AL1425)</x:f>
        <x:v>0</x:v>
      </x:c>
      <x:c r="AN1425" t="n">
        <x:v>1</x:v>
      </x:c>
    </x:row>
    <x:row r="1426" ht="23" customHeight="1">
      <x:c r="A1426" s="11" t="str">
        <x:v>688302.SH</x:v>
      </x:c>
      <x:c r="B1426" s="11" t="str">
        <x:v>2026年底</x:v>
      </x:c>
      <x:c r="C1426" s="11" t="str">
        <x:v>hp515_obesity_global</x:v>
      </x:c>
      <x:c r="D1426" s="11" t="str">
        <x:v>2030-12-31</x:v>
      </x:c>
      <x:c r="E1426" s="11" t="str">
        <x:v>USD</x:v>
      </x:c>
      <x:c r="F1426" s="11" t="n">
        <x:v>4</x:v>
      </x:c>
      <x:c r="G1426" s="26" t="b">
        <x:v>1</x:v>
      </x:c>
      <x:c r="H1426" s="16" t="n">
        <x:v>0</x:v>
      </x:c>
      <x:c r="I1426" s="16" t="n">
        <x:v>0</x:v>
      </x:c>
      <x:c r="J1426" s="16" t="n">
        <x:v>0</x:v>
      </x:c>
      <x:c r="K1426" s="11" t="n">
        <x:f>CHOOSE('假设'!$B$3,H1426,I1426,J1426)</x:f>
        <x:v>0</x:v>
      </x:c>
      <x:c r="L1426" s="11" t="n">
        <x:f>K1426*'管线假设'!E323*'管线假设'!F323*'管线假设'!G323*IF(E1426="USD",'管线假设'!I323,1)-AM1426</x:f>
        <x:v>0</x:v>
      </x:c>
      <x:c r="M1426" s="11" t="n">
        <x:f>'管线假设'!H323</x:f>
        <x:v>0.14</x:v>
      </x:c>
      <x:c r="N1426" s="11" t="n">
        <x:f>IF(G1426,L1426*AN1426/(1+M1426)^F1426,0)</x:f>
        <x:v>0</x:v>
      </x:c>
      <x:c r="AJ1426" t="n">
        <x:v>0</x:v>
      </x:c>
      <x:c r="AK1426" t="n">
        <x:v>0</x:v>
      </x:c>
      <x:c r="AL1426" t="n">
        <x:v>0</x:v>
      </x:c>
      <x:c r="AM1426" t="n">
        <x:f>CHOOSE('假设'!$B$3,AJ1426,AK1426,AL1426)</x:f>
        <x:v>0</x:v>
      </x:c>
      <x:c r="AN1426" t="n">
        <x:v>1</x:v>
      </x:c>
    </x:row>
    <x:row r="1427" ht="23" customHeight="1">
      <x:c r="A1427" s="11" t="str">
        <x:v>688302.SH</x:v>
      </x:c>
      <x:c r="B1427" s="11" t="str">
        <x:v>2026年底</x:v>
      </x:c>
      <x:c r="C1427" s="11" t="str">
        <x:v>hp515_obesity_global</x:v>
      </x:c>
      <x:c r="D1427" s="11" t="str">
        <x:v>2031-12-31</x:v>
      </x:c>
      <x:c r="E1427" s="11" t="str">
        <x:v>USD</x:v>
      </x:c>
      <x:c r="F1427" s="11" t="n">
        <x:v>4.999315537303217</x:v>
      </x:c>
      <x:c r="G1427" s="26" t="b">
        <x:v>1</x:v>
      </x:c>
      <x:c r="H1427" s="16" t="n">
        <x:v>0</x:v>
      </x:c>
      <x:c r="I1427" s="16" t="n">
        <x:v>0</x:v>
      </x:c>
      <x:c r="J1427" s="16" t="n">
        <x:v>0</x:v>
      </x:c>
      <x:c r="K1427" s="11" t="n">
        <x:f>CHOOSE('假设'!$B$3,H1427,I1427,J1427)</x:f>
        <x:v>0</x:v>
      </x:c>
      <x:c r="L1427" s="11" t="n">
        <x:f>K1427*'管线假设'!E323*'管线假设'!F323*'管线假设'!G323*IF(E1427="USD",'管线假设'!I323,1)-AM1427</x:f>
        <x:v>0</x:v>
      </x:c>
      <x:c r="M1427" s="11" t="n">
        <x:f>'管线假设'!H323</x:f>
        <x:v>0.14</x:v>
      </x:c>
      <x:c r="N1427" s="11" t="n">
        <x:f>IF(G1427,L1427*AN1427/(1+M1427)^F1427,0)</x:f>
        <x:v>0</x:v>
      </x:c>
      <x:c r="AJ1427" t="n">
        <x:v>0</x:v>
      </x:c>
      <x:c r="AK1427" t="n">
        <x:v>0</x:v>
      </x:c>
      <x:c r="AL1427" t="n">
        <x:v>0</x:v>
      </x:c>
      <x:c r="AM1427" t="n">
        <x:f>CHOOSE('假设'!$B$3,AJ1427,AK1427,AL1427)</x:f>
        <x:v>0</x:v>
      </x:c>
      <x:c r="AN1427" t="n">
        <x:v>1</x:v>
      </x:c>
    </x:row>
    <x:row r="1428" ht="23" customHeight="1">
      <x:c r="A1428" s="11" t="str">
        <x:v>688302.SH</x:v>
      </x:c>
      <x:c r="B1428" s="11" t="str">
        <x:v>2026年底</x:v>
      </x:c>
      <x:c r="C1428" s="11" t="str">
        <x:v>hp515_obesity_global</x:v>
      </x:c>
      <x:c r="D1428" s="11" t="str">
        <x:v>2032-12-31</x:v>
      </x:c>
      <x:c r="E1428" s="11" t="str">
        <x:v>USD</x:v>
      </x:c>
      <x:c r="F1428" s="11" t="n">
        <x:v>6.0013689253935665</x:v>
      </x:c>
      <x:c r="G1428" s="26" t="b">
        <x:v>1</x:v>
      </x:c>
      <x:c r="H1428" s="16" t="n">
        <x:v>0</x:v>
      </x:c>
      <x:c r="I1428" s="16" t="n">
        <x:v>0</x:v>
      </x:c>
      <x:c r="J1428" s="16" t="n">
        <x:v>0</x:v>
      </x:c>
      <x:c r="K1428" s="11" t="n">
        <x:f>CHOOSE('假设'!$B$3,H1428,I1428,J1428)</x:f>
        <x:v>0</x:v>
      </x:c>
      <x:c r="L1428" s="11" t="n">
        <x:f>K1428*'管线假设'!E323*'管线假设'!F323*'管线假设'!G323*IF(E1428="USD",'管线假设'!I323,1)-AM1428</x:f>
        <x:v>0</x:v>
      </x:c>
      <x:c r="M1428" s="11" t="n">
        <x:f>'管线假设'!H323</x:f>
        <x:v>0.14</x:v>
      </x:c>
      <x:c r="N1428" s="11" t="n">
        <x:f>IF(G1428,L1428*AN1428/(1+M1428)^F1428,0)</x:f>
        <x:v>0</x:v>
      </x:c>
      <x:c r="AJ1428" t="n">
        <x:v>0</x:v>
      </x:c>
      <x:c r="AK1428" t="n">
        <x:v>0</x:v>
      </x:c>
      <x:c r="AL1428" t="n">
        <x:v>0</x:v>
      </x:c>
      <x:c r="AM1428" t="n">
        <x:f>CHOOSE('假设'!$B$3,AJ1428,AK1428,AL1428)</x:f>
        <x:v>0</x:v>
      </x:c>
      <x:c r="AN1428" t="n">
        <x:v>1</x:v>
      </x:c>
    </x:row>
    <x:row r="1429" ht="23" customHeight="1">
      <x:c r="A1429" s="11" t="str">
        <x:v>688302.SH</x:v>
      </x:c>
      <x:c r="B1429" s="11" t="str">
        <x:v>2026年底</x:v>
      </x:c>
      <x:c r="C1429" s="11" t="str">
        <x:v>hp515_obesity_global</x:v>
      </x:c>
      <x:c r="D1429" s="11" t="str">
        <x:v>2033-12-31</x:v>
      </x:c>
      <x:c r="E1429" s="11" t="str">
        <x:v>USD</x:v>
      </x:c>
      <x:c r="F1429" s="11" t="n">
        <x:v>7.000684462696783</x:v>
      </x:c>
      <x:c r="G1429" s="26" t="b">
        <x:v>1</x:v>
      </x:c>
      <x:c r="H1429" s="16" t="n">
        <x:v>0</x:v>
      </x:c>
      <x:c r="I1429" s="16" t="n">
        <x:v>0</x:v>
      </x:c>
      <x:c r="J1429" s="16" t="n">
        <x:v>0.6666666666666666</x:v>
      </x:c>
      <x:c r="K1429" s="11" t="n">
        <x:f>CHOOSE('假设'!$B$3,H1429,I1429,J1429)</x:f>
        <x:v>0</x:v>
      </x:c>
      <x:c r="L1429" s="11" t="n">
        <x:f>K1429*'管线假设'!E323*'管线假设'!F323*'管线假设'!G323*IF(E1429="USD",'管线假设'!I323,1)-AM1429</x:f>
        <x:v>0</x:v>
      </x:c>
      <x:c r="M1429" s="11" t="n">
        <x:f>'管线假设'!H323</x:f>
        <x:v>0.14</x:v>
      </x:c>
      <x:c r="N1429" s="11" t="n">
        <x:f>IF(G1429,L1429*AN1429/(1+M1429)^F1429,0)</x:f>
        <x:v>0</x:v>
      </x:c>
      <x:c r="AJ1429" t="n">
        <x:v>0</x:v>
      </x:c>
      <x:c r="AK1429" t="n">
        <x:v>0</x:v>
      </x:c>
      <x:c r="AL1429" t="n">
        <x:v>0</x:v>
      </x:c>
      <x:c r="AM1429" t="n">
        <x:f>CHOOSE('假设'!$B$3,AJ1429,AK1429,AL1429)</x:f>
        <x:v>0</x:v>
      </x:c>
      <x:c r="AN1429" t="n">
        <x:v>1</x:v>
      </x:c>
    </x:row>
    <x:row r="1430" ht="23" customHeight="1">
      <x:c r="A1430" s="11" t="str">
        <x:v>688302.SH</x:v>
      </x:c>
      <x:c r="B1430" s="11" t="str">
        <x:v>2026年底</x:v>
      </x:c>
      <x:c r="C1430" s="11" t="str">
        <x:v>hp515_obesity_global</x:v>
      </x:c>
      <x:c r="D1430" s="11" t="str">
        <x:v>2034-12-31</x:v>
      </x:c>
      <x:c r="E1430" s="11" t="str">
        <x:v>USD</x:v>
      </x:c>
      <x:c r="F1430" s="11" t="n">
        <x:v>8</x:v>
      </x:c>
      <x:c r="G1430" s="26" t="b">
        <x:v>1</x:v>
      </x:c>
      <x:c r="H1430" s="16" t="n">
        <x:v>0</x:v>
      </x:c>
      <x:c r="I1430" s="16" t="n">
        <x:v>0</x:v>
      </x:c>
      <x:c r="J1430" s="16" t="n">
        <x:v>1.3333333333333333</x:v>
      </x:c>
      <x:c r="K1430" s="11" t="n">
        <x:f>CHOOSE('假设'!$B$3,H1430,I1430,J1430)</x:f>
        <x:v>0</x:v>
      </x:c>
      <x:c r="L1430" s="11" t="n">
        <x:f>K1430*'管线假设'!E323*'管线假设'!F323*'管线假设'!G323*IF(E1430="USD",'管线假设'!I323,1)-AM1430</x:f>
        <x:v>0</x:v>
      </x:c>
      <x:c r="M1430" s="11" t="n">
        <x:f>'管线假设'!H323</x:f>
        <x:v>0.14</x:v>
      </x:c>
      <x:c r="N1430" s="11" t="n">
        <x:f>IF(G1430,L1430*AN1430/(1+M1430)^F1430,0)</x:f>
        <x:v>0</x:v>
      </x:c>
      <x:c r="AJ1430" t="n">
        <x:v>0</x:v>
      </x:c>
      <x:c r="AK1430" t="n">
        <x:v>0</x:v>
      </x:c>
      <x:c r="AL1430" t="n">
        <x:v>0</x:v>
      </x:c>
      <x:c r="AM1430" t="n">
        <x:f>CHOOSE('假设'!$B$3,AJ1430,AK1430,AL1430)</x:f>
        <x:v>0</x:v>
      </x:c>
      <x:c r="AN1430" t="n">
        <x:v>1</x:v>
      </x:c>
    </x:row>
    <x:row r="1431" ht="23" customHeight="1">
      <x:c r="A1431" s="11" t="str">
        <x:v>688302.SH</x:v>
      </x:c>
      <x:c r="B1431" s="11" t="str">
        <x:v>2026年底</x:v>
      </x:c>
      <x:c r="C1431" s="11" t="str">
        <x:v>hp515_obesity_global</x:v>
      </x:c>
      <x:c r="D1431" s="11" t="str">
        <x:v>2035-12-31</x:v>
      </x:c>
      <x:c r="E1431" s="11" t="str">
        <x:v>USD</x:v>
      </x:c>
      <x:c r="F1431" s="11" t="n">
        <x:v>8.999315537303216</x:v>
      </x:c>
      <x:c r="G1431" s="26" t="b">
        <x:v>1</x:v>
      </x:c>
      <x:c r="H1431" s="16" t="n">
        <x:v>0</x:v>
      </x:c>
      <x:c r="I1431" s="16" t="n">
        <x:v>0.3333333333333333</x:v>
      </x:c>
      <x:c r="J1431" s="16" t="n">
        <x:v>2</x:v>
      </x:c>
      <x:c r="K1431" s="11" t="n">
        <x:f>CHOOSE('假设'!$B$3,H1431,I1431,J1431)</x:f>
        <x:v>0.3333333333333333</x:v>
      </x:c>
      <x:c r="L1431" s="11" t="n">
        <x:f>K1431*'管线假设'!E323*'管线假设'!F323*'管线假设'!G323*IF(E1431="USD",'管线假设'!I323,1)-AM1431</x:f>
        <x:v>0.01486933333333333</x:v>
      </x:c>
      <x:c r="M1431" s="11" t="n">
        <x:f>'管线假设'!H323</x:f>
        <x:v>0.14</x:v>
      </x:c>
      <x:c r="N1431" s="11" t="n">
        <x:f>IF(G1431,L1431*AN1431/(1+M1431)^F1431,0)</x:f>
        <x:v>0.004572848197642556</x:v>
      </x:c>
      <x:c r="AJ1431" t="n">
        <x:v>0</x:v>
      </x:c>
      <x:c r="AK1431" t="n">
        <x:v>0</x:v>
      </x:c>
      <x:c r="AL1431" t="n">
        <x:v>0</x:v>
      </x:c>
      <x:c r="AM1431" t="n">
        <x:f>CHOOSE('假设'!$B$3,AJ1431,AK1431,AL1431)</x:f>
        <x:v>0</x:v>
      </x:c>
      <x:c r="AN1431" t="n">
        <x:v>1</x:v>
      </x:c>
    </x:row>
    <x:row r="1432" ht="23" customHeight="1">
      <x:c r="A1432" s="11" t="str">
        <x:v>688302.SH</x:v>
      </x:c>
      <x:c r="B1432" s="11" t="str">
        <x:v>2026年底</x:v>
      </x:c>
      <x:c r="C1432" s="11" t="str">
        <x:v>hp515_obesity_global</x:v>
      </x:c>
      <x:c r="D1432" s="11" t="str">
        <x:v>2036-12-31</x:v>
      </x:c>
      <x:c r="E1432" s="11" t="str">
        <x:v>USD</x:v>
      </x:c>
      <x:c r="F1432" s="11" t="n">
        <x:v>10.001368925393566</x:v>
      </x:c>
      <x:c r="G1432" s="26" t="b">
        <x:v>1</x:v>
      </x:c>
      <x:c r="H1432" s="16" t="n">
        <x:v>0</x:v>
      </x:c>
      <x:c r="I1432" s="16" t="n">
        <x:v>0.6666666666666666</x:v>
      </x:c>
      <x:c r="J1432" s="16" t="n">
        <x:v>2.6666666666666665</x:v>
      </x:c>
      <x:c r="K1432" s="11" t="n">
        <x:f>CHOOSE('假设'!$B$3,H1432,I1432,J1432)</x:f>
        <x:v>0.6666666666666666</x:v>
      </x:c>
      <x:c r="L1432" s="11" t="n">
        <x:f>K1432*'管线假设'!E323*'管线假设'!F323*'管线假设'!G323*IF(E1432="USD",'管线假设'!I323,1)-AM1432</x:f>
        <x:v>0.02973866666666666</x:v>
      </x:c>
      <x:c r="M1432" s="11" t="n">
        <x:f>'管线假设'!H323</x:f>
        <x:v>0.14</x:v>
      </x:c>
      <x:c r="N1432" s="11" t="n">
        <x:f>IF(G1432,L1432*AN1432/(1+M1432)^F1432,0)</x:f>
        <x:v>0.00802038250835885</x:v>
      </x:c>
      <x:c r="AJ1432" t="n">
        <x:v>0</x:v>
      </x:c>
      <x:c r="AK1432" t="n">
        <x:v>0</x:v>
      </x:c>
      <x:c r="AL1432" t="n">
        <x:v>0</x:v>
      </x:c>
      <x:c r="AM1432" t="n">
        <x:f>CHOOSE('假设'!$B$3,AJ1432,AK1432,AL1432)</x:f>
        <x:v>0</x:v>
      </x:c>
      <x:c r="AN1432" t="n">
        <x:v>1</x:v>
      </x:c>
    </x:row>
    <x:row r="1433" ht="23" customHeight="1">
      <x:c r="A1433" s="11" t="str">
        <x:v>688302.SH</x:v>
      </x:c>
      <x:c r="B1433" s="11" t="str">
        <x:v>2026年底</x:v>
      </x:c>
      <x:c r="C1433" s="11" t="str">
        <x:v>hp515_obesity_global</x:v>
      </x:c>
      <x:c r="D1433" s="11" t="str">
        <x:v>2037-12-31</x:v>
      </x:c>
      <x:c r="E1433" s="11" t="str">
        <x:v>USD</x:v>
      </x:c>
      <x:c r="F1433" s="11" t="n">
        <x:v>11.000684462696784</x:v>
      </x:c>
      <x:c r="G1433" s="26" t="b">
        <x:v>1</x:v>
      </x:c>
      <x:c r="H1433" s="16" t="n">
        <x:v>0</x:v>
      </x:c>
      <x:c r="I1433" s="16" t="n">
        <x:v>1</x:v>
      </x:c>
      <x:c r="J1433" s="16" t="n">
        <x:v>3.3333333333333335</x:v>
      </x:c>
      <x:c r="K1433" s="11" t="n">
        <x:f>CHOOSE('假设'!$B$3,H1433,I1433,J1433)</x:f>
        <x:v>1</x:v>
      </x:c>
      <x:c r="L1433" s="11" t="n">
        <x:f>K1433*'管线假设'!E323*'管线假设'!F323*'管线假设'!G323*IF(E1433="USD",'管线假设'!I323,1)-AM1433</x:f>
        <x:v>0.044607999999999995</x:v>
      </x:c>
      <x:c r="M1433" s="11" t="n">
        <x:f>'管线假设'!H323</x:f>
        <x:v>0.14</x:v>
      </x:c>
      <x:c r="N1433" s="11" t="n">
        <x:f>IF(G1433,L1433*AN1433/(1+M1433)^F1433,0)</x:f>
        <x:v>0.01055408136876498</x:v>
      </x:c>
      <x:c r="AJ1433" t="n">
        <x:v>0</x:v>
      </x:c>
      <x:c r="AK1433" t="n">
        <x:v>0</x:v>
      </x:c>
      <x:c r="AL1433" t="n">
        <x:v>0</x:v>
      </x:c>
      <x:c r="AM1433" t="n">
        <x:f>CHOOSE('假设'!$B$3,AJ1433,AK1433,AL1433)</x:f>
        <x:v>0</x:v>
      </x:c>
      <x:c r="AN1433" t="n">
        <x:v>1</x:v>
      </x:c>
    </x:row>
    <x:row r="1434" ht="23" customHeight="1">
      <x:c r="A1434" s="11" t="str">
        <x:v>688302.SH</x:v>
      </x:c>
      <x:c r="B1434" s="11" t="str">
        <x:v>2026年底</x:v>
      </x:c>
      <x:c r="C1434" s="11" t="str">
        <x:v>hp515_obesity_global</x:v>
      </x:c>
      <x:c r="D1434" s="11" t="str">
        <x:v>2038-12-31</x:v>
      </x:c>
      <x:c r="E1434" s="11" t="str">
        <x:v>USD</x:v>
      </x:c>
      <x:c r="F1434" s="11" t="n">
        <x:v>12</x:v>
      </x:c>
      <x:c r="G1434" s="26" t="b">
        <x:v>1</x:v>
      </x:c>
      <x:c r="H1434" s="16" t="n">
        <x:v>0.1</x:v>
      </x:c>
      <x:c r="I1434" s="16" t="n">
        <x:v>1.3333333333333333</x:v>
      </x:c>
      <x:c r="J1434" s="16" t="n">
        <x:v>4</x:v>
      </x:c>
      <x:c r="K1434" s="11" t="n">
        <x:f>CHOOSE('假设'!$B$3,H1434,I1434,J1434)</x:f>
        <x:v>1.3333333333333333</x:v>
      </x:c>
      <x:c r="L1434" s="11" t="n">
        <x:f>K1434*'管线假设'!E323*'管线假设'!F323*'管线假设'!G323*IF(E1434="USD",'管线假设'!I323,1)-AM1434</x:f>
        <x:v>0.05947733333333332</x:v>
      </x:c>
      <x:c r="M1434" s="11" t="n">
        <x:f>'管线假设'!H323</x:f>
        <x:v>0.14</x:v>
      </x:c>
      <x:c r="N1434" s="11" t="n">
        <x:f>IF(G1434,L1434*AN1434/(1+M1434)^F1434,0)</x:f>
        <x:v>0.012345061921636417</x:v>
      </x:c>
      <x:c r="AJ1434" t="n">
        <x:v>0</x:v>
      </x:c>
      <x:c r="AK1434" t="n">
        <x:v>0</x:v>
      </x:c>
      <x:c r="AL1434" t="n">
        <x:v>0</x:v>
      </x:c>
      <x:c r="AM1434" t="n">
        <x:f>CHOOSE('假设'!$B$3,AJ1434,AK1434,AL1434)</x:f>
        <x:v>0</x:v>
      </x:c>
      <x:c r="AN1434" t="n">
        <x:v>1</x:v>
      </x:c>
    </x:row>
    <x:row r="1435" ht="23" customHeight="1">
      <x:c r="A1435" s="11" t="str">
        <x:v>688302.SH</x:v>
      </x:c>
      <x:c r="B1435" s="11" t="str">
        <x:v>2026年底</x:v>
      </x:c>
      <x:c r="C1435" s="11" t="str">
        <x:v>hp515_obesity_global</x:v>
      </x:c>
      <x:c r="D1435" s="11" t="str">
        <x:v>2039-12-31</x:v>
      </x:c>
      <x:c r="E1435" s="11" t="str">
        <x:v>USD</x:v>
      </x:c>
      <x:c r="F1435" s="11" t="n">
        <x:v>12.999315537303216</x:v>
      </x:c>
      <x:c r="G1435" s="26" t="b">
        <x:v>1</x:v>
      </x:c>
      <x:c r="H1435" s="16" t="n">
        <x:v>0.2</x:v>
      </x:c>
      <x:c r="I1435" s="16" t="n">
        <x:v>1.6666666666666667</x:v>
      </x:c>
      <x:c r="J1435" s="16" t="n">
        <x:v>3.48</x:v>
      </x:c>
      <x:c r="K1435" s="11" t="n">
        <x:f>CHOOSE('假设'!$B$3,H1435,I1435,J1435)</x:f>
        <x:v>1.6666666666666667</x:v>
      </x:c>
      <x:c r="L1435" s="11" t="n">
        <x:f>K1435*'管线假设'!E323*'管线假设'!F323*'管线假设'!G323*IF(E1435="USD",'管线假设'!I323,1)-AM1435</x:f>
        <x:v>0.07434666666666666</x:v>
      </x:c>
      <x:c r="M1435" s="11" t="n">
        <x:f>'管线假设'!H323</x:f>
        <x:v>0.14</x:v>
      </x:c>
      <x:c r="N1435" s="11" t="n">
        <x:f>IF(G1435,L1435*AN1435/(1+M1435)^F1435,0)</x:f>
        <x:v>0.013537466146159879</x:v>
      </x:c>
      <x:c r="AJ1435" t="n">
        <x:v>0</x:v>
      </x:c>
      <x:c r="AK1435" t="n">
        <x:v>0</x:v>
      </x:c>
      <x:c r="AL1435" t="n">
        <x:v>0</x:v>
      </x:c>
      <x:c r="AM1435" t="n">
        <x:f>CHOOSE('假设'!$B$3,AJ1435,AK1435,AL1435)</x:f>
        <x:v>0</x:v>
      </x:c>
      <x:c r="AN1435" t="n">
        <x:v>1</x:v>
      </x:c>
    </x:row>
    <x:row r="1436" ht="23" customHeight="1">
      <x:c r="A1436" s="11" t="str">
        <x:v>688302.SH</x:v>
      </x:c>
      <x:c r="B1436" s="11" t="str">
        <x:v>2026年底</x:v>
      </x:c>
      <x:c r="C1436" s="11" t="str">
        <x:v>hp515_obesity_global</x:v>
      </x:c>
      <x:c r="D1436" s="11" t="str">
        <x:v>2040-12-31</x:v>
      </x:c>
      <x:c r="E1436" s="11" t="str">
        <x:v>USD</x:v>
      </x:c>
      <x:c r="F1436" s="11" t="n">
        <x:v>14.001368925393566</x:v>
      </x:c>
      <x:c r="G1436" s="26" t="b">
        <x:v>1</x:v>
      </x:c>
      <x:c r="H1436" s="16" t="n">
        <x:v>0.3</x:v>
      </x:c>
      <x:c r="I1436" s="16" t="n">
        <x:v>2</x:v>
      </x:c>
      <x:c r="J1436" s="16" t="n">
        <x:v>2.96</x:v>
      </x:c>
      <x:c r="K1436" s="11" t="n">
        <x:f>CHOOSE('假设'!$B$3,H1436,I1436,J1436)</x:f>
        <x:v>2</x:v>
      </x:c>
      <x:c r="L1436" s="11" t="n">
        <x:f>K1436*'管线假设'!E323*'管线假设'!F323*'管线假设'!G323*IF(E1436="USD",'管线假设'!I323,1)-AM1436</x:f>
        <x:v>0.08921599999999999</x:v>
      </x:c>
      <x:c r="M1436" s="11" t="n">
        <x:f>'管线假设'!H323</x:f>
        <x:v>0.14</x:v>
      </x:c>
      <x:c r="N1436" s="11" t="n">
        <x:f>IF(G1436,L1436*AN1436/(1+M1436)^F1436,0)</x:f>
        <x:v>0.014246130900492373</x:v>
      </x:c>
      <x:c r="AJ1436" t="n">
        <x:v>0</x:v>
      </x:c>
      <x:c r="AK1436" t="n">
        <x:v>0</x:v>
      </x:c>
      <x:c r="AL1436" t="n">
        <x:v>0</x:v>
      </x:c>
      <x:c r="AM1436" t="n">
        <x:f>CHOOSE('假设'!$B$3,AJ1436,AK1436,AL1436)</x:f>
        <x:v>0</x:v>
      </x:c>
      <x:c r="AN1436" t="n">
        <x:v>1</x:v>
      </x:c>
    </x:row>
    <x:row r="1437" ht="23" customHeight="1">
      <x:c r="A1437" s="11" t="str">
        <x:v>688302.SH</x:v>
      </x:c>
      <x:c r="B1437" s="11" t="str">
        <x:v>2026年底</x:v>
      </x:c>
      <x:c r="C1437" s="11" t="str">
        <x:v>hp515_obesity_global</x:v>
      </x:c>
      <x:c r="D1437" s="11" t="str">
        <x:v>2041-12-31</x:v>
      </x:c>
      <x:c r="E1437" s="11" t="str">
        <x:v>USD</x:v>
      </x:c>
      <x:c r="F1437" s="11" t="n">
        <x:v>15.000684462696784</x:v>
      </x:c>
      <x:c r="G1437" s="26" t="b">
        <x:v>1</x:v>
      </x:c>
      <x:c r="H1437" s="16" t="n">
        <x:v>0.4</x:v>
      </x:c>
      <x:c r="I1437" s="16" t="n">
        <x:v>1.74</x:v>
      </x:c>
      <x:c r="J1437" s="16" t="n">
        <x:v>2.44</x:v>
      </x:c>
      <x:c r="K1437" s="11" t="n">
        <x:f>CHOOSE('假设'!$B$3,H1437,I1437,J1437)</x:f>
        <x:v>1.74</x:v>
      </x:c>
      <x:c r="L1437" s="11" t="n">
        <x:f>K1437*'管线假设'!E323*'管线假设'!F323*'管线假设'!G323*IF(E1437="USD",'管线假设'!I323,1)-AM1437</x:f>
        <x:v>0.07761791999999998</x:v>
      </x:c>
      <x:c r="M1437" s="11" t="n">
        <x:f>'管线假设'!H323</x:f>
        <x:v>0.14</x:v>
      </x:c>
      <x:c r="N1437" s="11" t="n">
        <x:f>IF(G1437,L1437*AN1437/(1+M1437)^F1437,0)</x:f>
        <x:v>0.010873022358118295</x:v>
      </x:c>
      <x:c r="AJ1437" t="n">
        <x:v>0</x:v>
      </x:c>
      <x:c r="AK1437" t="n">
        <x:v>0</x:v>
      </x:c>
      <x:c r="AL1437" t="n">
        <x:v>0</x:v>
      </x:c>
      <x:c r="AM1437" t="n">
        <x:f>CHOOSE('假设'!$B$3,AJ1437,AK1437,AL1437)</x:f>
        <x:v>0</x:v>
      </x:c>
      <x:c r="AN1437" t="n">
        <x:v>1</x:v>
      </x:c>
    </x:row>
    <x:row r="1438" ht="23" customHeight="1">
      <x:c r="A1438" s="11" t="str">
        <x:v>688302.SH</x:v>
      </x:c>
      <x:c r="B1438" s="11" t="str">
        <x:v>2026年底</x:v>
      </x:c>
      <x:c r="C1438" s="11" t="str">
        <x:v>hp515_obesity_global</x:v>
      </x:c>
      <x:c r="D1438" s="11" t="str">
        <x:v>2042-12-31</x:v>
      </x:c>
      <x:c r="E1438" s="11" t="str">
        <x:v>USD</x:v>
      </x:c>
      <x:c r="F1438" s="11" t="n">
        <x:v>16</x:v>
      </x:c>
      <x:c r="G1438" s="26" t="b">
        <x:v>1</x:v>
      </x:c>
      <x:c r="H1438" s="16" t="n">
        <x:v>0.5</x:v>
      </x:c>
      <x:c r="I1438" s="16" t="n">
        <x:v>1.48</x:v>
      </x:c>
      <x:c r="J1438" s="16" t="n">
        <x:v>1.92</x:v>
      </x:c>
      <x:c r="K1438" s="11" t="n">
        <x:f>CHOOSE('假设'!$B$3,H1438,I1438,J1438)</x:f>
        <x:v>1.48</x:v>
      </x:c>
      <x:c r="L1438" s="11" t="n">
        <x:f>K1438*'管线假设'!E323*'管线假设'!F323*'管线假设'!G323*IF(E1438="USD",'管线假设'!I323,1)-AM1438</x:f>
        <x:v>0.06601983999999998</x:v>
      </x:c>
      <x:c r="M1438" s="11" t="n">
        <x:f>'管线假设'!H323</x:f>
        <x:v>0.14</x:v>
      </x:c>
      <x:c r="N1438" s="11" t="n">
        <x:f>IF(G1438,L1438*AN1438/(1+M1438)^F1438,0)</x:f>
        <x:v>0.008113287132253266</x:v>
      </x:c>
      <x:c r="AJ1438" t="n">
        <x:v>0</x:v>
      </x:c>
      <x:c r="AK1438" t="n">
        <x:v>0</x:v>
      </x:c>
      <x:c r="AL1438" t="n">
        <x:v>0</x:v>
      </x:c>
      <x:c r="AM1438" t="n">
        <x:f>CHOOSE('假设'!$B$3,AJ1438,AK1438,AL1438)</x:f>
        <x:v>0</x:v>
      </x:c>
      <x:c r="AN1438" t="n">
        <x:v>1</x:v>
      </x:c>
    </x:row>
    <x:row r="1439" ht="23" customHeight="1">
      <x:c r="A1439" s="11" t="str">
        <x:v>688302.SH</x:v>
      </x:c>
      <x:c r="B1439" s="11" t="str">
        <x:v>2026年底</x:v>
      </x:c>
      <x:c r="C1439" s="11" t="str">
        <x:v>hp515_obesity_global</x:v>
      </x:c>
      <x:c r="D1439" s="11" t="str">
        <x:v>2043-12-31</x:v>
      </x:c>
      <x:c r="E1439" s="11" t="str">
        <x:v>USD</x:v>
      </x:c>
      <x:c r="F1439" s="11" t="n">
        <x:v>16.999315537303218</x:v>
      </x:c>
      <x:c r="G1439" s="26" t="b">
        <x:v>1</x:v>
      </x:c>
      <x:c r="H1439" s="16" t="n">
        <x:v>0.435</x:v>
      </x:c>
      <x:c r="I1439" s="16" t="n">
        <x:v>1.22</x:v>
      </x:c>
      <x:c r="J1439" s="16" t="n">
        <x:v>1.4</x:v>
      </x:c>
      <x:c r="K1439" s="11" t="n">
        <x:f>CHOOSE('假设'!$B$3,H1439,I1439,J1439)</x:f>
        <x:v>1.22</x:v>
      </x:c>
      <x:c r="L1439" s="11" t="n">
        <x:f>K1439*'管线假设'!E323*'管线假设'!F323*'管线假设'!G323*IF(E1439="USD",'管线假设'!I323,1)-AM1439</x:f>
        <x:v>0.054421759999999986</x:v>
      </x:c>
      <x:c r="M1439" s="11" t="n">
        <x:f>'管线假设'!H323</x:f>
        <x:v>0.14</x:v>
      </x:c>
      <x:c r="N1439" s="11" t="n">
        <x:f>IF(G1439,L1439*AN1439/(1+M1439)^F1439,0)</x:f>
        <x:v>0.0058671752322381745</x:v>
      </x:c>
      <x:c r="AJ1439" t="n">
        <x:v>0</x:v>
      </x:c>
      <x:c r="AK1439" t="n">
        <x:v>0</x:v>
      </x:c>
      <x:c r="AL1439" t="n">
        <x:v>0</x:v>
      </x:c>
      <x:c r="AM1439" t="n">
        <x:f>CHOOSE('假设'!$B$3,AJ1439,AK1439,AL1439)</x:f>
        <x:v>0</x:v>
      </x:c>
      <x:c r="AN1439" t="n">
        <x:v>1</x:v>
      </x:c>
    </x:row>
    <x:row r="1440" ht="23" customHeight="1">
      <x:c r="A1440" s="11" t="str">
        <x:v>688302.SH</x:v>
      </x:c>
      <x:c r="B1440" s="11" t="str">
        <x:v>2026年底</x:v>
      </x:c>
      <x:c r="C1440" s="11" t="str">
        <x:v>hp515_obesity_global</x:v>
      </x:c>
      <x:c r="D1440" s="11" t="str">
        <x:v>2044-12-31</x:v>
      </x:c>
      <x:c r="E1440" s="11" t="str">
        <x:v>USD</x:v>
      </x:c>
      <x:c r="F1440" s="11" t="n">
        <x:v>18.001368925393567</x:v>
      </x:c>
      <x:c r="G1440" s="26" t="b">
        <x:v>1</x:v>
      </x:c>
      <x:c r="H1440" s="16" t="n">
        <x:v>0.37</x:v>
      </x:c>
      <x:c r="I1440" s="16" t="n">
        <x:v>0.96</x:v>
      </x:c>
      <x:c r="J1440" s="16" t="n">
        <x:v>0.8799999999999999</x:v>
      </x:c>
      <x:c r="K1440" s="11" t="n">
        <x:f>CHOOSE('假设'!$B$3,H1440,I1440,J1440)</x:f>
        <x:v>0.96</x:v>
      </x:c>
      <x:c r="L1440" s="11" t="n">
        <x:f>K1440*'管线假设'!E323*'管线假设'!F323*'管线假设'!G323*IF(E1440="USD",'管线假设'!I323,1)-AM1440</x:f>
        <x:v>0.04282367999999999</x:v>
      </x:c>
      <x:c r="M1440" s="11" t="n">
        <x:f>'管线假设'!H323</x:f>
        <x:v>0.14</x:v>
      </x:c>
      <x:c r="N1440" s="11" t="n">
        <x:f>IF(G1440,L1440*AN1440/(1+M1440)^F1440,0)</x:f>
        <x:v>0.004048729504807463</x:v>
      </x:c>
      <x:c r="AJ1440" t="n">
        <x:v>0</x:v>
      </x:c>
      <x:c r="AK1440" t="n">
        <x:v>0</x:v>
      </x:c>
      <x:c r="AL1440" t="n">
        <x:v>0</x:v>
      </x:c>
      <x:c r="AM1440" t="n">
        <x:f>CHOOSE('假设'!$B$3,AJ1440,AK1440,AL1440)</x:f>
        <x:v>0</x:v>
      </x:c>
      <x:c r="AN1440" t="n">
        <x:v>1</x:v>
      </x:c>
    </x:row>
    <x:row r="1441" ht="23" customHeight="1">
      <x:c r="A1441" s="11" t="str">
        <x:v>688302.SH</x:v>
      </x:c>
      <x:c r="B1441" s="11" t="str">
        <x:v>2026年底</x:v>
      </x:c>
      <x:c r="C1441" s="11" t="str">
        <x:v>hp515_obesity_global</x:v>
      </x:c>
      <x:c r="D1441" s="11" t="str">
        <x:v>2045-12-31</x:v>
      </x:c>
      <x:c r="E1441" s="11" t="str">
        <x:v>USD</x:v>
      </x:c>
      <x:c r="F1441" s="11" t="n">
        <x:v>19.000684462696782</x:v>
      </x:c>
      <x:c r="G1441" s="26" t="b">
        <x:v>1</x:v>
      </x:c>
      <x:c r="H1441" s="16" t="n">
        <x:v>0.305</x:v>
      </x:c>
      <x:c r="I1441" s="16" t="n">
        <x:v>0.7</x:v>
      </x:c>
      <x:c r="J1441" s="16" t="n">
        <x:v>0.3599999999999999</x:v>
      </x:c>
      <x:c r="K1441" s="11" t="n">
        <x:f>CHOOSE('假设'!$B$3,H1441,I1441,J1441)</x:f>
        <x:v>0.7</x:v>
      </x:c>
      <x:c r="L1441" s="11" t="n">
        <x:f>K1441*'管线假设'!E323*'管线假设'!F323*'管线假设'!G323*IF(E1441="USD",'管线假设'!I323,1)-AM1441</x:f>
        <x:v>0.031225599999999992</x:v>
      </x:c>
      <x:c r="M1441" s="11" t="n">
        <x:f>'管线假设'!H323</x:f>
        <x:v>0.14</x:v>
      </x:c>
      <x:c r="N1441" s="11" t="n">
        <x:f>IF(G1441,L1441*AN1441/(1+M1441)^F1441,0)</x:f>
        <x:v>0.00258988015261659</x:v>
      </x:c>
      <x:c r="AJ1441" t="n">
        <x:v>0</x:v>
      </x:c>
      <x:c r="AK1441" t="n">
        <x:v>0</x:v>
      </x:c>
      <x:c r="AL1441" t="n">
        <x:v>0</x:v>
      </x:c>
      <x:c r="AM1441" t="n">
        <x:f>CHOOSE('假设'!$B$3,AJ1441,AK1441,AL1441)</x:f>
        <x:v>0</x:v>
      </x:c>
      <x:c r="AN1441" t="n">
        <x:v>1</x:v>
      </x:c>
    </x:row>
    <x:row r="1442" ht="23" customHeight="1">
      <x:c r="A1442" s="11" t="str">
        <x:v>688302.SH</x:v>
      </x:c>
      <x:c r="B1442" s="11" t="str">
        <x:v>2026年底</x:v>
      </x:c>
      <x:c r="C1442" s="11" t="str">
        <x:v>hp570_global</x:v>
      </x:c>
      <x:c r="D1442" s="11" t="str">
        <x:v>2027-12-31</x:v>
      </x:c>
      <x:c r="E1442" s="11" t="str">
        <x:v>USD</x:v>
      </x:c>
      <x:c r="F1442" s="11" t="n">
        <x:v>0.999315537303217</x:v>
      </x:c>
      <x:c r="G1442" s="26" t="b">
        <x:v>1</x:v>
      </x:c>
      <x:c r="H1442" s="16" t="n">
        <x:v>0</x:v>
      </x:c>
      <x:c r="I1442" s="16" t="n">
        <x:v>0</x:v>
      </x:c>
      <x:c r="J1442" s="16" t="n">
        <x:v>0</x:v>
      </x:c>
      <x:c r="K1442" s="11" t="n">
        <x:f>CHOOSE('假设'!$B$3,H1442,I1442,J1442)</x:f>
        <x:v>0</x:v>
      </x:c>
      <x:c r="L1442" s="11" t="n">
        <x:f>K1442*'管线假设'!E327*'管线假设'!F327*'管线假设'!G327*IF(E1442="USD",'管线假设'!I327,1)-AM1442</x:f>
        <x:v>0</x:v>
      </x:c>
      <x:c r="M1442" s="11" t="n">
        <x:f>'管线假设'!H327</x:f>
        <x:v>0.14</x:v>
      </x:c>
      <x:c r="N1442" s="11" t="n">
        <x:f>IF(G1442,L1442*AN1442/(1+M1442)^F1442,0)</x:f>
        <x:v>0</x:v>
      </x:c>
      <x:c r="AJ1442" t="n">
        <x:v>0</x:v>
      </x:c>
      <x:c r="AK1442" t="n">
        <x:v>0</x:v>
      </x:c>
      <x:c r="AL1442" t="n">
        <x:v>0</x:v>
      </x:c>
      <x:c r="AM1442" t="n">
        <x:f>CHOOSE('假设'!$B$3,AJ1442,AK1442,AL1442)</x:f>
        <x:v>0</x:v>
      </x:c>
      <x:c r="AN1442" t="n">
        <x:v>1</x:v>
      </x:c>
    </x:row>
    <x:row r="1443" ht="23" customHeight="1">
      <x:c r="A1443" s="11" t="str">
        <x:v>688302.SH</x:v>
      </x:c>
      <x:c r="B1443" s="11" t="str">
        <x:v>2026年底</x:v>
      </x:c>
      <x:c r="C1443" s="11" t="str">
        <x:v>hp570_global</x:v>
      </x:c>
      <x:c r="D1443" s="11" t="str">
        <x:v>2028-12-31</x:v>
      </x:c>
      <x:c r="E1443" s="11" t="str">
        <x:v>USD</x:v>
      </x:c>
      <x:c r="F1443" s="11" t="n">
        <x:v>2.001368925393566</x:v>
      </x:c>
      <x:c r="G1443" s="26" t="b">
        <x:v>1</x:v>
      </x:c>
      <x:c r="H1443" s="16" t="n">
        <x:v>0</x:v>
      </x:c>
      <x:c r="I1443" s="16" t="n">
        <x:v>0</x:v>
      </x:c>
      <x:c r="J1443" s="16" t="n">
        <x:v>0</x:v>
      </x:c>
      <x:c r="K1443" s="11" t="n">
        <x:f>CHOOSE('假设'!$B$3,H1443,I1443,J1443)</x:f>
        <x:v>0</x:v>
      </x:c>
      <x:c r="L1443" s="11" t="n">
        <x:f>K1443*'管线假设'!E327*'管线假设'!F327*'管线假设'!G327*IF(E1443="USD",'管线假设'!I327,1)-AM1443</x:f>
        <x:v>0</x:v>
      </x:c>
      <x:c r="M1443" s="11" t="n">
        <x:f>'管线假设'!H327</x:f>
        <x:v>0.14</x:v>
      </x:c>
      <x:c r="N1443" s="11" t="n">
        <x:f>IF(G1443,L1443*AN1443/(1+M1443)^F1443,0)</x:f>
        <x:v>0</x:v>
      </x:c>
      <x:c r="AJ1443" t="n">
        <x:v>0</x:v>
      </x:c>
      <x:c r="AK1443" t="n">
        <x:v>0</x:v>
      </x:c>
      <x:c r="AL1443" t="n">
        <x:v>0</x:v>
      </x:c>
      <x:c r="AM1443" t="n">
        <x:f>CHOOSE('假设'!$B$3,AJ1443,AK1443,AL1443)</x:f>
        <x:v>0</x:v>
      </x:c>
      <x:c r="AN1443" t="n">
        <x:v>1</x:v>
      </x:c>
    </x:row>
    <x:row r="1444" ht="23" customHeight="1">
      <x:c r="A1444" s="11" t="str">
        <x:v>688302.SH</x:v>
      </x:c>
      <x:c r="B1444" s="11" t="str">
        <x:v>2026年底</x:v>
      </x:c>
      <x:c r="C1444" s="11" t="str">
        <x:v>hp570_global</x:v>
      </x:c>
      <x:c r="D1444" s="11" t="str">
        <x:v>2029-12-31</x:v>
      </x:c>
      <x:c r="E1444" s="11" t="str">
        <x:v>USD</x:v>
      </x:c>
      <x:c r="F1444" s="11" t="n">
        <x:v>3.0006844626967832</x:v>
      </x:c>
      <x:c r="G1444" s="26" t="b">
        <x:v>1</x:v>
      </x:c>
      <x:c r="H1444" s="16" t="n">
        <x:v>0</x:v>
      </x:c>
      <x:c r="I1444" s="16" t="n">
        <x:v>0</x:v>
      </x:c>
      <x:c r="J1444" s="16" t="n">
        <x:v>0</x:v>
      </x:c>
      <x:c r="K1444" s="11" t="n">
        <x:f>CHOOSE('假设'!$B$3,H1444,I1444,J1444)</x:f>
        <x:v>0</x:v>
      </x:c>
      <x:c r="L1444" s="11" t="n">
        <x:f>K1444*'管线假设'!E327*'管线假设'!F327*'管线假设'!G327*IF(E1444="USD",'管线假设'!I327,1)-AM1444</x:f>
        <x:v>0</x:v>
      </x:c>
      <x:c r="M1444" s="11" t="n">
        <x:f>'管线假设'!H327</x:f>
        <x:v>0.14</x:v>
      </x:c>
      <x:c r="N1444" s="11" t="n">
        <x:f>IF(G1444,L1444*AN1444/(1+M1444)^F1444,0)</x:f>
        <x:v>0</x:v>
      </x:c>
      <x:c r="AJ1444" t="n">
        <x:v>0</x:v>
      </x:c>
      <x:c r="AK1444" t="n">
        <x:v>0</x:v>
      </x:c>
      <x:c r="AL1444" t="n">
        <x:v>0</x:v>
      </x:c>
      <x:c r="AM1444" t="n">
        <x:f>CHOOSE('假设'!$B$3,AJ1444,AK1444,AL1444)</x:f>
        <x:v>0</x:v>
      </x:c>
      <x:c r="AN1444" t="n">
        <x:v>1</x:v>
      </x:c>
    </x:row>
    <x:row r="1445" ht="23" customHeight="1">
      <x:c r="A1445" s="11" t="str">
        <x:v>688302.SH</x:v>
      </x:c>
      <x:c r="B1445" s="11" t="str">
        <x:v>2026年底</x:v>
      </x:c>
      <x:c r="C1445" s="11" t="str">
        <x:v>hp570_global</x:v>
      </x:c>
      <x:c r="D1445" s="11" t="str">
        <x:v>2030-12-31</x:v>
      </x:c>
      <x:c r="E1445" s="11" t="str">
        <x:v>USD</x:v>
      </x:c>
      <x:c r="F1445" s="11" t="n">
        <x:v>4</x:v>
      </x:c>
      <x:c r="G1445" s="26" t="b">
        <x:v>1</x:v>
      </x:c>
      <x:c r="H1445" s="16" t="n">
        <x:v>0</x:v>
      </x:c>
      <x:c r="I1445" s="16" t="n">
        <x:v>0</x:v>
      </x:c>
      <x:c r="J1445" s="16" t="n">
        <x:v>0</x:v>
      </x:c>
      <x:c r="K1445" s="11" t="n">
        <x:f>CHOOSE('假设'!$B$3,H1445,I1445,J1445)</x:f>
        <x:v>0</x:v>
      </x:c>
      <x:c r="L1445" s="11" t="n">
        <x:f>K1445*'管线假设'!E327*'管线假设'!F327*'管线假设'!G327*IF(E1445="USD",'管线假设'!I327,1)-AM1445</x:f>
        <x:v>0</x:v>
      </x:c>
      <x:c r="M1445" s="11" t="n">
        <x:f>'管线假设'!H327</x:f>
        <x:v>0.14</x:v>
      </x:c>
      <x:c r="N1445" s="11" t="n">
        <x:f>IF(G1445,L1445*AN1445/(1+M1445)^F1445,0)</x:f>
        <x:v>0</x:v>
      </x:c>
      <x:c r="AJ1445" t="n">
        <x:v>0</x:v>
      </x:c>
      <x:c r="AK1445" t="n">
        <x:v>0</x:v>
      </x:c>
      <x:c r="AL1445" t="n">
        <x:v>0</x:v>
      </x:c>
      <x:c r="AM1445" t="n">
        <x:f>CHOOSE('假设'!$B$3,AJ1445,AK1445,AL1445)</x:f>
        <x:v>0</x:v>
      </x:c>
      <x:c r="AN1445" t="n">
        <x:v>1</x:v>
      </x:c>
    </x:row>
    <x:row r="1446" ht="23" customHeight="1">
      <x:c r="A1446" s="11" t="str">
        <x:v>688302.SH</x:v>
      </x:c>
      <x:c r="B1446" s="11" t="str">
        <x:v>2026年底</x:v>
      </x:c>
      <x:c r="C1446" s="11" t="str">
        <x:v>hp570_global</x:v>
      </x:c>
      <x:c r="D1446" s="11" t="str">
        <x:v>2031-12-31</x:v>
      </x:c>
      <x:c r="E1446" s="11" t="str">
        <x:v>USD</x:v>
      </x:c>
      <x:c r="F1446" s="11" t="n">
        <x:v>4.999315537303217</x:v>
      </x:c>
      <x:c r="G1446" s="26" t="b">
        <x:v>1</x:v>
      </x:c>
      <x:c r="H1446" s="16" t="n">
        <x:v>0</x:v>
      </x:c>
      <x:c r="I1446" s="16" t="n">
        <x:v>0</x:v>
      </x:c>
      <x:c r="J1446" s="16" t="n">
        <x:v>0</x:v>
      </x:c>
      <x:c r="K1446" s="11" t="n">
        <x:f>CHOOSE('假设'!$B$3,H1446,I1446,J1446)</x:f>
        <x:v>0</x:v>
      </x:c>
      <x:c r="L1446" s="11" t="n">
        <x:f>K1446*'管线假设'!E327*'管线假设'!F327*'管线假设'!G327*IF(E1446="USD",'管线假设'!I327,1)-AM1446</x:f>
        <x:v>0</x:v>
      </x:c>
      <x:c r="M1446" s="11" t="n">
        <x:f>'管线假设'!H327</x:f>
        <x:v>0.14</x:v>
      </x:c>
      <x:c r="N1446" s="11" t="n">
        <x:f>IF(G1446,L1446*AN1446/(1+M1446)^F1446,0)</x:f>
        <x:v>0</x:v>
      </x:c>
      <x:c r="AJ1446" t="n">
        <x:v>0</x:v>
      </x:c>
      <x:c r="AK1446" t="n">
        <x:v>0</x:v>
      </x:c>
      <x:c r="AL1446" t="n">
        <x:v>0</x:v>
      </x:c>
      <x:c r="AM1446" t="n">
        <x:f>CHOOSE('假设'!$B$3,AJ1446,AK1446,AL1446)</x:f>
        <x:v>0</x:v>
      </x:c>
      <x:c r="AN1446" t="n">
        <x:v>1</x:v>
      </x:c>
    </x:row>
    <x:row r="1447" ht="23" customHeight="1">
      <x:c r="A1447" s="11" t="str">
        <x:v>688302.SH</x:v>
      </x:c>
      <x:c r="B1447" s="11" t="str">
        <x:v>2026年底</x:v>
      </x:c>
      <x:c r="C1447" s="11" t="str">
        <x:v>hp570_global</x:v>
      </x:c>
      <x:c r="D1447" s="11" t="str">
        <x:v>2032-12-31</x:v>
      </x:c>
      <x:c r="E1447" s="11" t="str">
        <x:v>USD</x:v>
      </x:c>
      <x:c r="F1447" s="11" t="n">
        <x:v>6.0013689253935665</x:v>
      </x:c>
      <x:c r="G1447" s="26" t="b">
        <x:v>1</x:v>
      </x:c>
      <x:c r="H1447" s="16" t="n">
        <x:v>0</x:v>
      </x:c>
      <x:c r="I1447" s="16" t="n">
        <x:v>0</x:v>
      </x:c>
      <x:c r="J1447" s="16" t="n">
        <x:v>0</x:v>
      </x:c>
      <x:c r="K1447" s="11" t="n">
        <x:f>CHOOSE('假设'!$B$3,H1447,I1447,J1447)</x:f>
        <x:v>0</x:v>
      </x:c>
      <x:c r="L1447" s="11" t="n">
        <x:f>K1447*'管线假设'!E327*'管线假设'!F327*'管线假设'!G327*IF(E1447="USD",'管线假设'!I327,1)-AM1447</x:f>
        <x:v>0</x:v>
      </x:c>
      <x:c r="M1447" s="11" t="n">
        <x:f>'管线假设'!H327</x:f>
        <x:v>0.14</x:v>
      </x:c>
      <x:c r="N1447" s="11" t="n">
        <x:f>IF(G1447,L1447*AN1447/(1+M1447)^F1447,0)</x:f>
        <x:v>0</x:v>
      </x:c>
      <x:c r="AJ1447" t="n">
        <x:v>0</x:v>
      </x:c>
      <x:c r="AK1447" t="n">
        <x:v>0</x:v>
      </x:c>
      <x:c r="AL1447" t="n">
        <x:v>0</x:v>
      </x:c>
      <x:c r="AM1447" t="n">
        <x:f>CHOOSE('假设'!$B$3,AJ1447,AK1447,AL1447)</x:f>
        <x:v>0</x:v>
      </x:c>
      <x:c r="AN1447" t="n">
        <x:v>1</x:v>
      </x:c>
    </x:row>
    <x:row r="1448" ht="23" customHeight="1">
      <x:c r="A1448" s="11" t="str">
        <x:v>688302.SH</x:v>
      </x:c>
      <x:c r="B1448" s="11" t="str">
        <x:v>2026年底</x:v>
      </x:c>
      <x:c r="C1448" s="11" t="str">
        <x:v>hp570_global</x:v>
      </x:c>
      <x:c r="D1448" s="11" t="str">
        <x:v>2033-12-31</x:v>
      </x:c>
      <x:c r="E1448" s="11" t="str">
        <x:v>USD</x:v>
      </x:c>
      <x:c r="F1448" s="11" t="n">
        <x:v>7.000684462696783</x:v>
      </x:c>
      <x:c r="G1448" s="26" t="b">
        <x:v>1</x:v>
      </x:c>
      <x:c r="H1448" s="16" t="n">
        <x:v>0</x:v>
      </x:c>
      <x:c r="I1448" s="16" t="n">
        <x:v>0</x:v>
      </x:c>
      <x:c r="J1448" s="16" t="n">
        <x:v>0</x:v>
      </x:c>
      <x:c r="K1448" s="11" t="n">
        <x:f>CHOOSE('假设'!$B$3,H1448,I1448,J1448)</x:f>
        <x:v>0</x:v>
      </x:c>
      <x:c r="L1448" s="11" t="n">
        <x:f>K1448*'管线假设'!E327*'管线假设'!F327*'管线假设'!G327*IF(E1448="USD",'管线假设'!I327,1)-AM1448</x:f>
        <x:v>0</x:v>
      </x:c>
      <x:c r="M1448" s="11" t="n">
        <x:f>'管线假设'!H327</x:f>
        <x:v>0.14</x:v>
      </x:c>
      <x:c r="N1448" s="11" t="n">
        <x:f>IF(G1448,L1448*AN1448/(1+M1448)^F1448,0)</x:f>
        <x:v>0</x:v>
      </x:c>
      <x:c r="AJ1448" t="n">
        <x:v>0</x:v>
      </x:c>
      <x:c r="AK1448" t="n">
        <x:v>0</x:v>
      </x:c>
      <x:c r="AL1448" t="n">
        <x:v>0</x:v>
      </x:c>
      <x:c r="AM1448" t="n">
        <x:f>CHOOSE('假设'!$B$3,AJ1448,AK1448,AL1448)</x:f>
        <x:v>0</x:v>
      </x:c>
      <x:c r="AN1448" t="n">
        <x:v>1</x:v>
      </x:c>
    </x:row>
    <x:row r="1449" ht="23" customHeight="1">
      <x:c r="A1449" s="11" t="str">
        <x:v>688302.SH</x:v>
      </x:c>
      <x:c r="B1449" s="11" t="str">
        <x:v>2026年底</x:v>
      </x:c>
      <x:c r="C1449" s="11" t="str">
        <x:v>hp570_global</x:v>
      </x:c>
      <x:c r="D1449" s="11" t="str">
        <x:v>2034-12-31</x:v>
      </x:c>
      <x:c r="E1449" s="11" t="str">
        <x:v>USD</x:v>
      </x:c>
      <x:c r="F1449" s="11" t="n">
        <x:v>8</x:v>
      </x:c>
      <x:c r="G1449" s="26" t="b">
        <x:v>1</x:v>
      </x:c>
      <x:c r="H1449" s="16" t="n">
        <x:v>0</x:v>
      </x:c>
      <x:c r="I1449" s="16" t="n">
        <x:v>0</x:v>
      </x:c>
      <x:c r="J1449" s="16" t="n">
        <x:v>0.6666666666666666</x:v>
      </x:c>
      <x:c r="K1449" s="11" t="n">
        <x:f>CHOOSE('假设'!$B$3,H1449,I1449,J1449)</x:f>
        <x:v>0</x:v>
      </x:c>
      <x:c r="L1449" s="11" t="n">
        <x:f>K1449*'管线假设'!E327*'管线假设'!F327*'管线假设'!G327*IF(E1449="USD",'管线假设'!I327,1)-AM1449</x:f>
        <x:v>0</x:v>
      </x:c>
      <x:c r="M1449" s="11" t="n">
        <x:f>'管线假设'!H327</x:f>
        <x:v>0.14</x:v>
      </x:c>
      <x:c r="N1449" s="11" t="n">
        <x:f>IF(G1449,L1449*AN1449/(1+M1449)^F1449,0)</x:f>
        <x:v>0</x:v>
      </x:c>
      <x:c r="AJ1449" t="n">
        <x:v>0</x:v>
      </x:c>
      <x:c r="AK1449" t="n">
        <x:v>0</x:v>
      </x:c>
      <x:c r="AL1449" t="n">
        <x:v>0</x:v>
      </x:c>
      <x:c r="AM1449" t="n">
        <x:f>CHOOSE('假设'!$B$3,AJ1449,AK1449,AL1449)</x:f>
        <x:v>0</x:v>
      </x:c>
      <x:c r="AN1449" t="n">
        <x:v>1</x:v>
      </x:c>
    </x:row>
    <x:row r="1450" ht="23" customHeight="1">
      <x:c r="A1450" s="11" t="str">
        <x:v>688302.SH</x:v>
      </x:c>
      <x:c r="B1450" s="11" t="str">
        <x:v>2026年底</x:v>
      </x:c>
      <x:c r="C1450" s="11" t="str">
        <x:v>hp570_global</x:v>
      </x:c>
      <x:c r="D1450" s="11" t="str">
        <x:v>2035-12-31</x:v>
      </x:c>
      <x:c r="E1450" s="11" t="str">
        <x:v>USD</x:v>
      </x:c>
      <x:c r="F1450" s="11" t="n">
        <x:v>8.999315537303216</x:v>
      </x:c>
      <x:c r="G1450" s="26" t="b">
        <x:v>1</x:v>
      </x:c>
      <x:c r="H1450" s="16" t="n">
        <x:v>0</x:v>
      </x:c>
      <x:c r="I1450" s="16" t="n">
        <x:v>0</x:v>
      </x:c>
      <x:c r="J1450" s="16" t="n">
        <x:v>1.3333333333333333</x:v>
      </x:c>
      <x:c r="K1450" s="11" t="n">
        <x:f>CHOOSE('假设'!$B$3,H1450,I1450,J1450)</x:f>
        <x:v>0</x:v>
      </x:c>
      <x:c r="L1450" s="11" t="n">
        <x:f>K1450*'管线假设'!E327*'管线假设'!F327*'管线假设'!G327*IF(E1450="USD",'管线假设'!I327,1)-AM1450</x:f>
        <x:v>0</x:v>
      </x:c>
      <x:c r="M1450" s="11" t="n">
        <x:f>'管线假设'!H327</x:f>
        <x:v>0.14</x:v>
      </x:c>
      <x:c r="N1450" s="11" t="n">
        <x:f>IF(G1450,L1450*AN1450/(1+M1450)^F1450,0)</x:f>
        <x:v>0</x:v>
      </x:c>
      <x:c r="AJ1450" t="n">
        <x:v>0</x:v>
      </x:c>
      <x:c r="AK1450" t="n">
        <x:v>0</x:v>
      </x:c>
      <x:c r="AL1450" t="n">
        <x:v>0</x:v>
      </x:c>
      <x:c r="AM1450" t="n">
        <x:f>CHOOSE('假设'!$B$3,AJ1450,AK1450,AL1450)</x:f>
        <x:v>0</x:v>
      </x:c>
      <x:c r="AN1450" t="n">
        <x:v>1</x:v>
      </x:c>
    </x:row>
    <x:row r="1451" ht="23" customHeight="1">
      <x:c r="A1451" s="11" t="str">
        <x:v>688302.SH</x:v>
      </x:c>
      <x:c r="B1451" s="11" t="str">
        <x:v>2026年底</x:v>
      </x:c>
      <x:c r="C1451" s="11" t="str">
        <x:v>hp570_global</x:v>
      </x:c>
      <x:c r="D1451" s="11" t="str">
        <x:v>2036-12-31</x:v>
      </x:c>
      <x:c r="E1451" s="11" t="str">
        <x:v>USD</x:v>
      </x:c>
      <x:c r="F1451" s="11" t="n">
        <x:v>10.001368925393566</x:v>
      </x:c>
      <x:c r="G1451" s="26" t="b">
        <x:v>1</x:v>
      </x:c>
      <x:c r="H1451" s="16" t="n">
        <x:v>0</x:v>
      </x:c>
      <x:c r="I1451" s="16" t="n">
        <x:v>0.3333333333333333</x:v>
      </x:c>
      <x:c r="J1451" s="16" t="n">
        <x:v>2</x:v>
      </x:c>
      <x:c r="K1451" s="11" t="n">
        <x:f>CHOOSE('假设'!$B$3,H1451,I1451,J1451)</x:f>
        <x:v>0.3333333333333333</x:v>
      </x:c>
      <x:c r="L1451" s="11" t="n">
        <x:f>K1451*'管线假设'!E327*'管线假设'!F327*'管线假设'!G327*IF(E1451="USD",'管线假设'!I327,1)-AM1451</x:f>
        <x:v>0.008921600000000009</x:v>
      </x:c>
      <x:c r="M1451" s="11" t="n">
        <x:f>'管线假设'!H327</x:f>
        <x:v>0.14</x:v>
      </x:c>
      <x:c r="N1451" s="11" t="n">
        <x:f>IF(G1451,L1451*AN1451/(1+M1451)^F1451,0)</x:f>
        <x:v>0.0024061147525076577</x:v>
      </x:c>
      <x:c r="AJ1451" t="n">
        <x:v>0</x:v>
      </x:c>
      <x:c r="AK1451" t="n">
        <x:v>0</x:v>
      </x:c>
      <x:c r="AL1451" t="n">
        <x:v>0</x:v>
      </x:c>
      <x:c r="AM1451" t="n">
        <x:f>CHOOSE('假设'!$B$3,AJ1451,AK1451,AL1451)</x:f>
        <x:v>0</x:v>
      </x:c>
      <x:c r="AN1451" t="n">
        <x:v>1</x:v>
      </x:c>
    </x:row>
    <x:row r="1452" ht="23" customHeight="1">
      <x:c r="A1452" s="11" t="str">
        <x:v>688302.SH</x:v>
      </x:c>
      <x:c r="B1452" s="11" t="str">
        <x:v>2026年底</x:v>
      </x:c>
      <x:c r="C1452" s="11" t="str">
        <x:v>hp570_global</x:v>
      </x:c>
      <x:c r="D1452" s="11" t="str">
        <x:v>2037-12-31</x:v>
      </x:c>
      <x:c r="E1452" s="11" t="str">
        <x:v>USD</x:v>
      </x:c>
      <x:c r="F1452" s="11" t="n">
        <x:v>11.000684462696784</x:v>
      </x:c>
      <x:c r="G1452" s="26" t="b">
        <x:v>1</x:v>
      </x:c>
      <x:c r="H1452" s="16" t="n">
        <x:v>0</x:v>
      </x:c>
      <x:c r="I1452" s="16" t="n">
        <x:v>0.6666666666666666</x:v>
      </x:c>
      <x:c r="J1452" s="16" t="n">
        <x:v>2.6666666666666665</x:v>
      </x:c>
      <x:c r="K1452" s="11" t="n">
        <x:f>CHOOSE('假设'!$B$3,H1452,I1452,J1452)</x:f>
        <x:v>0.6666666666666666</x:v>
      </x:c>
      <x:c r="L1452" s="11" t="n">
        <x:f>K1452*'管线假设'!E327*'管线假设'!F327*'管线假设'!G327*IF(E1452="USD",'管线假设'!I327,1)-AM1452</x:f>
        <x:v>0.017843200000000017</x:v>
      </x:c>
      <x:c r="M1452" s="11" t="n">
        <x:f>'管线假设'!H327</x:f>
        <x:v>0.14</x:v>
      </x:c>
      <x:c r="N1452" s="11" t="n">
        <x:f>IF(G1452,L1452*AN1452/(1+M1452)^F1452,0)</x:f>
        <x:v>0.004221632547505997</x:v>
      </x:c>
      <x:c r="AJ1452" t="n">
        <x:v>0</x:v>
      </x:c>
      <x:c r="AK1452" t="n">
        <x:v>0</x:v>
      </x:c>
      <x:c r="AL1452" t="n">
        <x:v>0</x:v>
      </x:c>
      <x:c r="AM1452" t="n">
        <x:f>CHOOSE('假设'!$B$3,AJ1452,AK1452,AL1452)</x:f>
        <x:v>0</x:v>
      </x:c>
      <x:c r="AN1452" t="n">
        <x:v>1</x:v>
      </x:c>
    </x:row>
    <x:row r="1453" ht="23" customHeight="1">
      <x:c r="A1453" s="11" t="str">
        <x:v>688302.SH</x:v>
      </x:c>
      <x:c r="B1453" s="11" t="str">
        <x:v>2026年底</x:v>
      </x:c>
      <x:c r="C1453" s="11" t="str">
        <x:v>hp570_global</x:v>
      </x:c>
      <x:c r="D1453" s="11" t="str">
        <x:v>2038-12-31</x:v>
      </x:c>
      <x:c r="E1453" s="11" t="str">
        <x:v>USD</x:v>
      </x:c>
      <x:c r="F1453" s="11" t="n">
        <x:v>12</x:v>
      </x:c>
      <x:c r="G1453" s="26" t="b">
        <x:v>1</x:v>
      </x:c>
      <x:c r="H1453" s="16" t="n">
        <x:v>0</x:v>
      </x:c>
      <x:c r="I1453" s="16" t="n">
        <x:v>1</x:v>
      </x:c>
      <x:c r="J1453" s="16" t="n">
        <x:v>3.3333333333333335</x:v>
      </x:c>
      <x:c r="K1453" s="11" t="n">
        <x:f>CHOOSE('假设'!$B$3,H1453,I1453,J1453)</x:f>
        <x:v>1</x:v>
      </x:c>
      <x:c r="L1453" s="11" t="n">
        <x:f>K1453*'管线假设'!E327*'管线假设'!F327*'管线假设'!G327*IF(E1453="USD",'管线假设'!I327,1)-AM1453</x:f>
        <x:v>0.026764800000000026</x:v>
      </x:c>
      <x:c r="M1453" s="11" t="n">
        <x:f>'管线假设'!H327</x:f>
        <x:v>0.14</x:v>
      </x:c>
      <x:c r="N1453" s="11" t="n">
        <x:f>IF(G1453,L1453*AN1453/(1+M1453)^F1453,0)</x:f>
        <x:v>0.005555277864736394</x:v>
      </x:c>
      <x:c r="AJ1453" t="n">
        <x:v>0</x:v>
      </x:c>
      <x:c r="AK1453" t="n">
        <x:v>0</x:v>
      </x:c>
      <x:c r="AL1453" t="n">
        <x:v>0</x:v>
      </x:c>
      <x:c r="AM1453" t="n">
        <x:f>CHOOSE('假设'!$B$3,AJ1453,AK1453,AL1453)</x:f>
        <x:v>0</x:v>
      </x:c>
      <x:c r="AN1453" t="n">
        <x:v>1</x:v>
      </x:c>
    </x:row>
    <x:row r="1454" ht="23" customHeight="1">
      <x:c r="A1454" s="11" t="str">
        <x:v>688302.SH</x:v>
      </x:c>
      <x:c r="B1454" s="11" t="str">
        <x:v>2026年底</x:v>
      </x:c>
      <x:c r="C1454" s="11" t="str">
        <x:v>hp570_global</x:v>
      </x:c>
      <x:c r="D1454" s="11" t="str">
        <x:v>2039-12-31</x:v>
      </x:c>
      <x:c r="E1454" s="11" t="str">
        <x:v>USD</x:v>
      </x:c>
      <x:c r="F1454" s="11" t="n">
        <x:v>12.999315537303216</x:v>
      </x:c>
      <x:c r="G1454" s="26" t="b">
        <x:v>1</x:v>
      </x:c>
      <x:c r="H1454" s="16" t="n">
        <x:v>0.1</x:v>
      </x:c>
      <x:c r="I1454" s="16" t="n">
        <x:v>1.3333333333333333</x:v>
      </x:c>
      <x:c r="J1454" s="16" t="n">
        <x:v>4</x:v>
      </x:c>
      <x:c r="K1454" s="11" t="n">
        <x:f>CHOOSE('假设'!$B$3,H1454,I1454,J1454)</x:f>
        <x:v>1.3333333333333333</x:v>
      </x:c>
      <x:c r="L1454" s="11" t="n">
        <x:f>K1454*'管线假设'!E327*'管线假设'!F327*'管线假设'!G327*IF(E1454="USD",'管线假设'!I327,1)-AM1454</x:f>
        <x:v>0.035686400000000035</x:v>
      </x:c>
      <x:c r="M1454" s="11" t="n">
        <x:f>'管线假设'!H327</x:f>
        <x:v>0.14</x:v>
      </x:c>
      <x:c r="N1454" s="11" t="n">
        <x:f>IF(G1454,L1454*AN1454/(1+M1454)^F1454,0)</x:f>
        <x:v>0.006497983750156749</x:v>
      </x:c>
      <x:c r="AJ1454" t="n">
        <x:v>0</x:v>
      </x:c>
      <x:c r="AK1454" t="n">
        <x:v>0</x:v>
      </x:c>
      <x:c r="AL1454" t="n">
        <x:v>0</x:v>
      </x:c>
      <x:c r="AM1454" t="n">
        <x:f>CHOOSE('假设'!$B$3,AJ1454,AK1454,AL1454)</x:f>
        <x:v>0</x:v>
      </x:c>
      <x:c r="AN1454" t="n">
        <x:v>1</x:v>
      </x:c>
    </x:row>
    <x:row r="1455" ht="23" customHeight="1">
      <x:c r="A1455" s="11" t="str">
        <x:v>688302.SH</x:v>
      </x:c>
      <x:c r="B1455" s="11" t="str">
        <x:v>2026年底</x:v>
      </x:c>
      <x:c r="C1455" s="11" t="str">
        <x:v>hp570_global</x:v>
      </x:c>
      <x:c r="D1455" s="11" t="str">
        <x:v>2040-12-31</x:v>
      </x:c>
      <x:c r="E1455" s="11" t="str">
        <x:v>USD</x:v>
      </x:c>
      <x:c r="F1455" s="11" t="n">
        <x:v>14.001368925393566</x:v>
      </x:c>
      <x:c r="G1455" s="26" t="b">
        <x:v>1</x:v>
      </x:c>
      <x:c r="H1455" s="16" t="n">
        <x:v>0.2</x:v>
      </x:c>
      <x:c r="I1455" s="16" t="n">
        <x:v>1.6666666666666667</x:v>
      </x:c>
      <x:c r="J1455" s="16" t="n">
        <x:v>3.48</x:v>
      </x:c>
      <x:c r="K1455" s="11" t="n">
        <x:f>CHOOSE('假设'!$B$3,H1455,I1455,J1455)</x:f>
        <x:v>1.6666666666666667</x:v>
      </x:c>
      <x:c r="L1455" s="11" t="n">
        <x:f>K1455*'管线假设'!E327*'管线假设'!F327*'管线假设'!G327*IF(E1455="USD",'管线假设'!I327,1)-AM1455</x:f>
        <x:v>0.04460800000000004</x:v>
      </x:c>
      <x:c r="M1455" s="11" t="n">
        <x:f>'管线假设'!H327</x:f>
        <x:v>0.14</x:v>
      </x:c>
      <x:c r="N1455" s="11" t="n">
        <x:f>IF(G1455,L1455*AN1455/(1+M1455)^F1455,0)</x:f>
        <x:v>0.007123065450246194</x:v>
      </x:c>
      <x:c r="AJ1455" t="n">
        <x:v>0</x:v>
      </x:c>
      <x:c r="AK1455" t="n">
        <x:v>0</x:v>
      </x:c>
      <x:c r="AL1455" t="n">
        <x:v>0</x:v>
      </x:c>
      <x:c r="AM1455" t="n">
        <x:f>CHOOSE('假设'!$B$3,AJ1455,AK1455,AL1455)</x:f>
        <x:v>0</x:v>
      </x:c>
      <x:c r="AN1455" t="n">
        <x:v>1</x:v>
      </x:c>
    </x:row>
    <x:row r="1456" ht="23" customHeight="1">
      <x:c r="A1456" s="11" t="str">
        <x:v>688302.SH</x:v>
      </x:c>
      <x:c r="B1456" s="11" t="str">
        <x:v>2026年底</x:v>
      </x:c>
      <x:c r="C1456" s="11" t="str">
        <x:v>hp570_global</x:v>
      </x:c>
      <x:c r="D1456" s="11" t="str">
        <x:v>2041-12-31</x:v>
      </x:c>
      <x:c r="E1456" s="11" t="str">
        <x:v>USD</x:v>
      </x:c>
      <x:c r="F1456" s="11" t="n">
        <x:v>15.000684462696784</x:v>
      </x:c>
      <x:c r="G1456" s="26" t="b">
        <x:v>1</x:v>
      </x:c>
      <x:c r="H1456" s="16" t="n">
        <x:v>0.3</x:v>
      </x:c>
      <x:c r="I1456" s="16" t="n">
        <x:v>2</x:v>
      </x:c>
      <x:c r="J1456" s="16" t="n">
        <x:v>2.96</x:v>
      </x:c>
      <x:c r="K1456" s="11" t="n">
        <x:f>CHOOSE('假设'!$B$3,H1456,I1456,J1456)</x:f>
        <x:v>2</x:v>
      </x:c>
      <x:c r="L1456" s="11" t="n">
        <x:f>K1456*'管线假设'!E327*'管线假设'!F327*'管线假设'!G327*IF(E1456="USD",'管线假设'!I327,1)-AM1456</x:f>
        <x:v>0.05352960000000005</x:v>
      </x:c>
      <x:c r="M1456" s="11" t="n">
        <x:f>'管线假设'!H327</x:f>
        <x:v>0.14</x:v>
      </x:c>
      <x:c r="N1456" s="11" t="n">
        <x:f>IF(G1456,L1456*AN1456/(1+M1456)^F1456,0)</x:f>
        <x:v>0.007498636109047109</x:v>
      </x:c>
      <x:c r="AJ1456" t="n">
        <x:v>0</x:v>
      </x:c>
      <x:c r="AK1456" t="n">
        <x:v>0</x:v>
      </x:c>
      <x:c r="AL1456" t="n">
        <x:v>0</x:v>
      </x:c>
      <x:c r="AM1456" t="n">
        <x:f>CHOOSE('假设'!$B$3,AJ1456,AK1456,AL1456)</x:f>
        <x:v>0</x:v>
      </x:c>
      <x:c r="AN1456" t="n">
        <x:v>1</x:v>
      </x:c>
    </x:row>
    <x:row r="1457" ht="23" customHeight="1">
      <x:c r="A1457" s="11" t="str">
        <x:v>688302.SH</x:v>
      </x:c>
      <x:c r="B1457" s="11" t="str">
        <x:v>2026年底</x:v>
      </x:c>
      <x:c r="C1457" s="11" t="str">
        <x:v>hp570_global</x:v>
      </x:c>
      <x:c r="D1457" s="11" t="str">
        <x:v>2042-12-31</x:v>
      </x:c>
      <x:c r="E1457" s="11" t="str">
        <x:v>USD</x:v>
      </x:c>
      <x:c r="F1457" s="11" t="n">
        <x:v>16</x:v>
      </x:c>
      <x:c r="G1457" s="26" t="b">
        <x:v>1</x:v>
      </x:c>
      <x:c r="H1457" s="16" t="n">
        <x:v>0.4</x:v>
      </x:c>
      <x:c r="I1457" s="16" t="n">
        <x:v>1.74</x:v>
      </x:c>
      <x:c r="J1457" s="16" t="n">
        <x:v>2.44</x:v>
      </x:c>
      <x:c r="K1457" s="11" t="n">
        <x:f>CHOOSE('假设'!$B$3,H1457,I1457,J1457)</x:f>
        <x:v>1.74</x:v>
      </x:c>
      <x:c r="L1457" s="11" t="n">
        <x:f>K1457*'管线假设'!E327*'管线假设'!F327*'管线假设'!G327*IF(E1457="USD",'管线假设'!I327,1)-AM1457</x:f>
        <x:v>0.04657075200000004</x:v>
      </x:c>
      <x:c r="M1457" s="11" t="n">
        <x:f>'管线假设'!H327</x:f>
        <x:v>0.14</x:v>
      </x:c>
      <x:c r="N1457" s="11" t="n">
        <x:f>IF(G1457,L1457*AN1457/(1+M1457)^F1457,0)</x:f>
        <x:v>0.005723156598697581</x:v>
      </x:c>
      <x:c r="AJ1457" t="n">
        <x:v>0</x:v>
      </x:c>
      <x:c r="AK1457" t="n">
        <x:v>0</x:v>
      </x:c>
      <x:c r="AL1457" t="n">
        <x:v>0</x:v>
      </x:c>
      <x:c r="AM1457" t="n">
        <x:f>CHOOSE('假设'!$B$3,AJ1457,AK1457,AL1457)</x:f>
        <x:v>0</x:v>
      </x:c>
      <x:c r="AN1457" t="n">
        <x:v>1</x:v>
      </x:c>
    </x:row>
    <x:row r="1458" ht="23" customHeight="1">
      <x:c r="A1458" s="11" t="str">
        <x:v>688302.SH</x:v>
      </x:c>
      <x:c r="B1458" s="11" t="str">
        <x:v>2026年底</x:v>
      </x:c>
      <x:c r="C1458" s="11" t="str">
        <x:v>hp570_global</x:v>
      </x:c>
      <x:c r="D1458" s="11" t="str">
        <x:v>2043-12-31</x:v>
      </x:c>
      <x:c r="E1458" s="11" t="str">
        <x:v>USD</x:v>
      </x:c>
      <x:c r="F1458" s="11" t="n">
        <x:v>16.999315537303218</x:v>
      </x:c>
      <x:c r="G1458" s="26" t="b">
        <x:v>1</x:v>
      </x:c>
      <x:c r="H1458" s="16" t="n">
        <x:v>0.5</x:v>
      </x:c>
      <x:c r="I1458" s="16" t="n">
        <x:v>1.48</x:v>
      </x:c>
      <x:c r="J1458" s="16" t="n">
        <x:v>1.92</x:v>
      </x:c>
      <x:c r="K1458" s="11" t="n">
        <x:f>CHOOSE('假设'!$B$3,H1458,I1458,J1458)</x:f>
        <x:v>1.48</x:v>
      </x:c>
      <x:c r="L1458" s="11" t="n">
        <x:f>K1458*'管线假设'!E327*'管线假设'!F327*'管线假设'!G327*IF(E1458="USD",'管线假设'!I327,1)-AM1458</x:f>
        <x:v>0.03961190400000004</x:v>
      </x:c>
      <x:c r="M1458" s="11" t="n">
        <x:f>'管线假设'!H327</x:f>
        <x:v>0.14</x:v>
      </x:c>
      <x:c r="N1458" s="11" t="n">
        <x:f>IF(G1458,L1458*AN1458/(1+M1458)^F1458,0)</x:f>
        <x:v>0.004270534103465168</x:v>
      </x:c>
      <x:c r="AJ1458" t="n">
        <x:v>0</x:v>
      </x:c>
      <x:c r="AK1458" t="n">
        <x:v>0</x:v>
      </x:c>
      <x:c r="AL1458" t="n">
        <x:v>0</x:v>
      </x:c>
      <x:c r="AM1458" t="n">
        <x:f>CHOOSE('假设'!$B$3,AJ1458,AK1458,AL1458)</x:f>
        <x:v>0</x:v>
      </x:c>
      <x:c r="AN1458" t="n">
        <x:v>1</x:v>
      </x:c>
    </x:row>
    <x:row r="1459" ht="23" customHeight="1">
      <x:c r="A1459" s="11" t="str">
        <x:v>688302.SH</x:v>
      </x:c>
      <x:c r="B1459" s="11" t="str">
        <x:v>2026年底</x:v>
      </x:c>
      <x:c r="C1459" s="11" t="str">
        <x:v>hp570_global</x:v>
      </x:c>
      <x:c r="D1459" s="11" t="str">
        <x:v>2044-12-31</x:v>
      </x:c>
      <x:c r="E1459" s="11" t="str">
        <x:v>USD</x:v>
      </x:c>
      <x:c r="F1459" s="11" t="n">
        <x:v>18.001368925393567</x:v>
      </x:c>
      <x:c r="G1459" s="26" t="b">
        <x:v>1</x:v>
      </x:c>
      <x:c r="H1459" s="16" t="n">
        <x:v>0.435</x:v>
      </x:c>
      <x:c r="I1459" s="16" t="n">
        <x:v>1.22</x:v>
      </x:c>
      <x:c r="J1459" s="16" t="n">
        <x:v>1.4</x:v>
      </x:c>
      <x:c r="K1459" s="11" t="n">
        <x:f>CHOOSE('假设'!$B$3,H1459,I1459,J1459)</x:f>
        <x:v>1.22</x:v>
      </x:c>
      <x:c r="L1459" s="11" t="n">
        <x:f>K1459*'管线假设'!E327*'管线假设'!F327*'管线假设'!G327*IF(E1459="USD",'管线假设'!I327,1)-AM1459</x:f>
        <x:v>0.03265305600000003</x:v>
      </x:c>
      <x:c r="M1459" s="11" t="n">
        <x:f>'管线假设'!H327</x:f>
        <x:v>0.14</x:v>
      </x:c>
      <x:c r="N1459" s="11" t="n">
        <x:f>IF(G1459,L1459*AN1459/(1+M1459)^F1459,0)</x:f>
        <x:v>0.003087156247415694</x:v>
      </x:c>
      <x:c r="AJ1459" t="n">
        <x:v>0</x:v>
      </x:c>
      <x:c r="AK1459" t="n">
        <x:v>0</x:v>
      </x:c>
      <x:c r="AL1459" t="n">
        <x:v>0</x:v>
      </x:c>
      <x:c r="AM1459" t="n">
        <x:f>CHOOSE('假设'!$B$3,AJ1459,AK1459,AL1459)</x:f>
        <x:v>0</x:v>
      </x:c>
      <x:c r="AN1459" t="n">
        <x:v>1</x:v>
      </x:c>
    </x:row>
    <x:row r="1460" ht="23" customHeight="1">
      <x:c r="A1460" s="11" t="str">
        <x:v>688302.SH</x:v>
      </x:c>
      <x:c r="B1460" s="11" t="str">
        <x:v>2026年底</x:v>
      </x:c>
      <x:c r="C1460" s="11" t="str">
        <x:v>hp570_global</x:v>
      </x:c>
      <x:c r="D1460" s="11" t="str">
        <x:v>2045-12-31</x:v>
      </x:c>
      <x:c r="E1460" s="11" t="str">
        <x:v>USD</x:v>
      </x:c>
      <x:c r="F1460" s="11" t="n">
        <x:v>19.000684462696782</x:v>
      </x:c>
      <x:c r="G1460" s="26" t="b">
        <x:v>1</x:v>
      </x:c>
      <x:c r="H1460" s="16" t="n">
        <x:v>0.37</x:v>
      </x:c>
      <x:c r="I1460" s="16" t="n">
        <x:v>0.96</x:v>
      </x:c>
      <x:c r="J1460" s="16" t="n">
        <x:v>0.8799999999999999</x:v>
      </x:c>
      <x:c r="K1460" s="11" t="n">
        <x:f>CHOOSE('假设'!$B$3,H1460,I1460,J1460)</x:f>
        <x:v>0.96</x:v>
      </x:c>
      <x:c r="L1460" s="11" t="n">
        <x:f>K1460*'管线假设'!E327*'管线假设'!F327*'管线假设'!G327*IF(E1460="USD",'管线假设'!I327,1)-AM1460</x:f>
        <x:v>0.02569420800000002</x:v>
      </x:c>
      <x:c r="M1460" s="11" t="n">
        <x:f>'管线假设'!H327</x:f>
        <x:v>0.14</x:v>
      </x:c>
      <x:c r="N1460" s="11" t="n">
        <x:f>IF(G1460,L1460*AN1460/(1+M1460)^F1460,0)</x:f>
        <x:v>0.0021311013827245108</x:v>
      </x:c>
      <x:c r="AJ1460" t="n">
        <x:v>0</x:v>
      </x:c>
      <x:c r="AK1460" t="n">
        <x:v>0</x:v>
      </x:c>
      <x:c r="AL1460" t="n">
        <x:v>0</x:v>
      </x:c>
      <x:c r="AM1460" t="n">
        <x:f>CHOOSE('假设'!$B$3,AJ1460,AK1460,AL1460)</x:f>
        <x:v>0</x:v>
      </x:c>
      <x:c r="AN1460" t="n">
        <x:v>1</x:v>
      </x:c>
    </x:row>
    <x:row r="1461" ht="23" customHeight="1">
      <x:c r="A1461" s="11" t="str">
        <x:v>688302.SH</x:v>
      </x:c>
      <x:c r="B1461" s="11" t="str">
        <x:v>半年</x:v>
      </x:c>
      <x:c r="C1461" s="11" t="str">
        <x:v>hc1119_later</x:v>
      </x:c>
      <x:c r="D1461" s="11" t="str">
        <x:v>2027-12-31</x:v>
      </x:c>
      <x:c r="E1461" s="11" t="str">
        <x:v>CNY</x:v>
      </x:c>
      <x:c r="F1461" s="11" t="n">
        <x:v>0.7282683093771389</x:v>
      </x:c>
      <x:c r="G1461" s="26" t="b">
        <x:v>1</x:v>
      </x:c>
      <x:c r="H1461" s="16" t="n">
        <x:v>0.09000000000000001</x:v>
      </x:c>
      <x:c r="I1461" s="16" t="n">
        <x:v>0.18000000000000002</x:v>
      </x:c>
      <x:c r="J1461" s="16" t="n">
        <x:v>0.375</x:v>
      </x:c>
      <x:c r="K1461" s="11" t="n">
        <x:f>CHOOSE('假设'!$B$3,H1461,I1461,J1461)</x:f>
        <x:v>0.18000000000000002</x:v>
      </x:c>
      <x:c r="L1461" s="11" t="n">
        <x:f>K1461*'管线假设'!E331*'管线假设'!F331*'管线假设'!G331*IF(E1461="USD",'管线假设'!I331,1)-AM1461</x:f>
        <x:v>0.045000000000000005</x:v>
      </x:c>
      <x:c r="M1461" s="11" t="n">
        <x:f>'管线假设'!H331</x:f>
        <x:v>0.14</x:v>
      </x:c>
      <x:c r="N1461" s="11" t="n">
        <x:f>IF(G1461,L1461*AN1461/(1+M1461)^F1461,0)</x:f>
        <x:v>0.04090444589076947</x:v>
      </x:c>
      <x:c r="AJ1461" t="n">
        <x:v>0</x:v>
      </x:c>
      <x:c r="AK1461" t="n">
        <x:v>0</x:v>
      </x:c>
      <x:c r="AL1461" t="n">
        <x:v>0</x:v>
      </x:c>
      <x:c r="AM1461" t="n">
        <x:f>CHOOSE('假设'!$B$3,AJ1461,AK1461,AL1461)</x:f>
        <x:v>0</x:v>
      </x:c>
      <x:c r="AN1461" t="n">
        <x:v>1</x:v>
      </x:c>
    </x:row>
    <x:row r="1462" ht="23" customHeight="1">
      <x:c r="A1462" s="11" t="str">
        <x:v>688302.SH</x:v>
      </x:c>
      <x:c r="B1462" s="11" t="str">
        <x:v>半年</x:v>
      </x:c>
      <x:c r="C1462" s="11" t="str">
        <x:v>hc1119_later</x:v>
      </x:c>
      <x:c r="D1462" s="11" t="str">
        <x:v>2028-12-31</x:v>
      </x:c>
      <x:c r="E1462" s="11" t="str">
        <x:v>CNY</x:v>
      </x:c>
      <x:c r="F1462" s="11" t="n">
        <x:v>1.730321697467488</x:v>
      </x:c>
      <x:c r="G1462" s="26" t="b">
        <x:v>1</x:v>
      </x:c>
      <x:c r="H1462" s="16" t="n">
        <x:v>0.18000000000000002</x:v>
      </x:c>
      <x:c r="I1462" s="16" t="n">
        <x:v>0.36000000000000004</x:v>
      </x:c>
      <x:c r="J1462" s="16" t="n">
        <x:v>0.75</x:v>
      </x:c>
      <x:c r="K1462" s="11" t="n">
        <x:f>CHOOSE('假设'!$B$3,H1462,I1462,J1462)</x:f>
        <x:v>0.36000000000000004</x:v>
      </x:c>
      <x:c r="L1462" s="11" t="n">
        <x:f>K1462*'管线假设'!E331*'管线假设'!F331*'管线假设'!G331*IF(E1462="USD",'管线假设'!I331,1)-AM1462</x:f>
        <x:v>0.09000000000000001</x:v>
      </x:c>
      <x:c r="M1462" s="11" t="n">
        <x:f>'管线假设'!H331</x:f>
        <x:v>0.14</x:v>
      </x:c>
      <x:c r="N1462" s="11" t="n">
        <x:f>IF(G1462,L1462*AN1462/(1+M1462)^F1462,0)</x:f>
        <x:v>0.07174288061990955</x:v>
      </x:c>
      <x:c r="AJ1462" t="n">
        <x:v>0</x:v>
      </x:c>
      <x:c r="AK1462" t="n">
        <x:v>0</x:v>
      </x:c>
      <x:c r="AL1462" t="n">
        <x:v>0</x:v>
      </x:c>
      <x:c r="AM1462" t="n">
        <x:f>CHOOSE('假设'!$B$3,AJ1462,AK1462,AL1462)</x:f>
        <x:v>0</x:v>
      </x:c>
      <x:c r="AN1462" t="n">
        <x:v>1</x:v>
      </x:c>
    </x:row>
    <x:row r="1463" ht="23" customHeight="1">
      <x:c r="A1463" s="11" t="str">
        <x:v>688302.SH</x:v>
      </x:c>
      <x:c r="B1463" s="11" t="str">
        <x:v>半年</x:v>
      </x:c>
      <x:c r="C1463" s="11" t="str">
        <x:v>hc1119_later</x:v>
      </x:c>
      <x:c r="D1463" s="11" t="str">
        <x:v>2029-12-31</x:v>
      </x:c>
      <x:c r="E1463" s="11" t="str">
        <x:v>CNY</x:v>
      </x:c>
      <x:c r="F1463" s="11" t="n">
        <x:v>2.729637234770705</x:v>
      </x:c>
      <x:c r="G1463" s="26" t="b">
        <x:v>1</x:v>
      </x:c>
      <x:c r="H1463" s="16" t="n">
        <x:v>0.27</x:v>
      </x:c>
      <x:c r="I1463" s="16" t="n">
        <x:v>0.54</x:v>
      </x:c>
      <x:c r="J1463" s="16" t="n">
        <x:v>1.125</x:v>
      </x:c>
      <x:c r="K1463" s="11" t="n">
        <x:f>CHOOSE('假设'!$B$3,H1463,I1463,J1463)</x:f>
        <x:v>0.54</x:v>
      </x:c>
      <x:c r="L1463" s="11" t="n">
        <x:f>K1463*'管线假设'!E331*'管线假设'!F331*'管线假设'!G331*IF(E1463="USD",'管线假设'!I331,1)-AM1463</x:f>
        <x:v>0.135</x:v>
      </x:c>
      <x:c r="M1463" s="11" t="n">
        <x:f>'管线假设'!H331</x:f>
        <x:v>0.14</x:v>
      </x:c>
      <x:c r="N1463" s="11" t="n">
        <x:f>IF(G1463,L1463*AN1463/(1+M1463)^F1463,0)</x:f>
        <x:v>0.09440699354463253</x:v>
      </x:c>
      <x:c r="AJ1463" t="n">
        <x:v>0</x:v>
      </x:c>
      <x:c r="AK1463" t="n">
        <x:v>0</x:v>
      </x:c>
      <x:c r="AL1463" t="n">
        <x:v>0</x:v>
      </x:c>
      <x:c r="AM1463" t="n">
        <x:f>CHOOSE('假设'!$B$3,AJ1463,AK1463,AL1463)</x:f>
        <x:v>0</x:v>
      </x:c>
      <x:c r="AN1463" t="n">
        <x:v>1</x:v>
      </x:c>
    </x:row>
    <x:row r="1464" ht="23" customHeight="1">
      <x:c r="A1464" s="11" t="str">
        <x:v>688302.SH</x:v>
      </x:c>
      <x:c r="B1464" s="11" t="str">
        <x:v>半年</x:v>
      </x:c>
      <x:c r="C1464" s="11" t="str">
        <x:v>hc1119_later</x:v>
      </x:c>
      <x:c r="D1464" s="11" t="str">
        <x:v>2030-12-31</x:v>
      </x:c>
      <x:c r="E1464" s="11" t="str">
        <x:v>CNY</x:v>
      </x:c>
      <x:c r="F1464" s="11" t="n">
        <x:v>3.728952772073922</x:v>
      </x:c>
      <x:c r="G1464" s="26" t="b">
        <x:v>1</x:v>
      </x:c>
      <x:c r="H1464" s="16" t="n">
        <x:v>0.36000000000000004</x:v>
      </x:c>
      <x:c r="I1464" s="16" t="n">
        <x:v>0.7200000000000001</x:v>
      </x:c>
      <x:c r="J1464" s="16" t="n">
        <x:v>1.5</x:v>
      </x:c>
      <x:c r="K1464" s="11" t="n">
        <x:f>CHOOSE('假设'!$B$3,H1464,I1464,J1464)</x:f>
        <x:v>0.7200000000000001</x:v>
      </x:c>
      <x:c r="L1464" s="11" t="n">
        <x:f>K1464*'管线假设'!E331*'管线假设'!F331*'管线假设'!G331*IF(E1464="USD",'管线假设'!I331,1)-AM1464</x:f>
        <x:v>0.18000000000000002</x:v>
      </x:c>
      <x:c r="M1464" s="11" t="n">
        <x:f>'管线假设'!H331</x:f>
        <x:v>0.14</x:v>
      </x:c>
      <x:c r="N1464" s="11" t="n">
        <x:f>IF(G1464,L1464*AN1464/(1+M1464)^F1464,0)</x:f>
        <x:v>0.11042743943525217</x:v>
      </x:c>
      <x:c r="AJ1464" t="n">
        <x:v>0</x:v>
      </x:c>
      <x:c r="AK1464" t="n">
        <x:v>0</x:v>
      </x:c>
      <x:c r="AL1464" t="n">
        <x:v>0</x:v>
      </x:c>
      <x:c r="AM1464" t="n">
        <x:f>CHOOSE('假设'!$B$3,AJ1464,AK1464,AL1464)</x:f>
        <x:v>0</x:v>
      </x:c>
      <x:c r="AN1464" t="n">
        <x:v>1</x:v>
      </x:c>
    </x:row>
    <x:row r="1465" ht="23" customHeight="1">
      <x:c r="A1465" s="11" t="str">
        <x:v>688302.SH</x:v>
      </x:c>
      <x:c r="B1465" s="11" t="str">
        <x:v>半年</x:v>
      </x:c>
      <x:c r="C1465" s="11" t="str">
        <x:v>hc1119_later</x:v>
      </x:c>
      <x:c r="D1465" s="11" t="str">
        <x:v>2031-12-31</x:v>
      </x:c>
      <x:c r="E1465" s="11" t="str">
        <x:v>CNY</x:v>
      </x:c>
      <x:c r="F1465" s="11" t="n">
        <x:v>4.728268309377139</x:v>
      </x:c>
      <x:c r="G1465" s="26" t="b">
        <x:v>1</x:v>
      </x:c>
      <x:c r="H1465" s="16" t="n">
        <x:v>0.45</x:v>
      </x:c>
      <x:c r="I1465" s="16" t="n">
        <x:v>0.9</x:v>
      </x:c>
      <x:c r="J1465" s="16" t="n">
        <x:v>1.305</x:v>
      </x:c>
      <x:c r="K1465" s="11" t="n">
        <x:f>CHOOSE('假设'!$B$3,H1465,I1465,J1465)</x:f>
        <x:v>0.9</x:v>
      </x:c>
      <x:c r="L1465" s="11" t="n">
        <x:f>K1465*'管线假设'!E331*'管线假设'!F331*'管线假设'!G331*IF(E1465="USD",'管线假设'!I331,1)-AM1465</x:f>
        <x:v>0.225</x:v>
      </x:c>
      <x:c r="M1465" s="11" t="n">
        <x:f>'管线假设'!H331</x:f>
        <x:v>0.14</x:v>
      </x:c>
      <x:c r="N1465" s="11" t="n">
        <x:f>IF(G1465,L1465*AN1465/(1+M1465)^F1465,0)</x:f>
        <x:v>0.12109357834340347</x:v>
      </x:c>
      <x:c r="AJ1465" t="n">
        <x:v>0</x:v>
      </x:c>
      <x:c r="AK1465" t="n">
        <x:v>0</x:v>
      </x:c>
      <x:c r="AL1465" t="n">
        <x:v>0</x:v>
      </x:c>
      <x:c r="AM1465" t="n">
        <x:f>CHOOSE('假设'!$B$3,AJ1465,AK1465,AL1465)</x:f>
        <x:v>0</x:v>
      </x:c>
      <x:c r="AN1465" t="n">
        <x:v>1</x:v>
      </x:c>
    </x:row>
    <x:row r="1466" ht="23" customHeight="1">
      <x:c r="A1466" s="11" t="str">
        <x:v>688302.SH</x:v>
      </x:c>
      <x:c r="B1466" s="11" t="str">
        <x:v>半年</x:v>
      </x:c>
      <x:c r="C1466" s="11" t="str">
        <x:v>hc1119_later</x:v>
      </x:c>
      <x:c r="D1466" s="11" t="str">
        <x:v>2032-12-31</x:v>
      </x:c>
      <x:c r="E1466" s="11" t="str">
        <x:v>CNY</x:v>
      </x:c>
      <x:c r="F1466" s="11" t="n">
        <x:v>5.730321697467488</x:v>
      </x:c>
      <x:c r="G1466" s="26" t="b">
        <x:v>1</x:v>
      </x:c>
      <x:c r="H1466" s="16" t="n">
        <x:v>0.3915</x:v>
      </x:c>
      <x:c r="I1466" s="16" t="n">
        <x:v>0.783</x:v>
      </x:c>
      <x:c r="J1466" s="16" t="n">
        <x:v>1.1099999999999999</x:v>
      </x:c>
      <x:c r="K1466" s="11" t="n">
        <x:f>CHOOSE('假设'!$B$3,H1466,I1466,J1466)</x:f>
        <x:v>0.783</x:v>
      </x:c>
      <x:c r="L1466" s="11" t="n">
        <x:f>K1466*'管线假设'!E331*'管线假设'!F331*'管线假设'!G331*IF(E1466="USD",'管线假设'!I331,1)-AM1466</x:f>
        <x:v>0.19575</x:v>
      </x:c>
      <x:c r="M1466" s="11" t="n">
        <x:f>'管线假设'!H331</x:f>
        <x:v>0.14</x:v>
      </x:c>
      <x:c r="N1466" s="11" t="n">
        <x:f>IF(G1466,L1466*AN1466/(1+M1466)^F1466,0)</x:f>
        <x:v>0.09238865962848004</x:v>
      </x:c>
      <x:c r="AJ1466" t="n">
        <x:v>0</x:v>
      </x:c>
      <x:c r="AK1466" t="n">
        <x:v>0</x:v>
      </x:c>
      <x:c r="AL1466" t="n">
        <x:v>0</x:v>
      </x:c>
      <x:c r="AM1466" t="n">
        <x:f>CHOOSE('假设'!$B$3,AJ1466,AK1466,AL1466)</x:f>
        <x:v>0</x:v>
      </x:c>
      <x:c r="AN1466" t="n">
        <x:v>1</x:v>
      </x:c>
    </x:row>
    <x:row r="1467" ht="23" customHeight="1">
      <x:c r="A1467" s="11" t="str">
        <x:v>688302.SH</x:v>
      </x:c>
      <x:c r="B1467" s="11" t="str">
        <x:v>半年</x:v>
      </x:c>
      <x:c r="C1467" s="11" t="str">
        <x:v>hc1119_later</x:v>
      </x:c>
      <x:c r="D1467" s="11" t="str">
        <x:v>2033-12-31</x:v>
      </x:c>
      <x:c r="E1467" s="11" t="str">
        <x:v>CNY</x:v>
      </x:c>
      <x:c r="F1467" s="11" t="n">
        <x:v>6.729637234770705</x:v>
      </x:c>
      <x:c r="G1467" s="26" t="b">
        <x:v>1</x:v>
      </x:c>
      <x:c r="H1467" s="16" t="n">
        <x:v>0.333</x:v>
      </x:c>
      <x:c r="I1467" s="16" t="n">
        <x:v>0.666</x:v>
      </x:c>
      <x:c r="J1467" s="16" t="n">
        <x:v>0.915</x:v>
      </x:c>
      <x:c r="K1467" s="11" t="n">
        <x:f>CHOOSE('假设'!$B$3,H1467,I1467,J1467)</x:f>
        <x:v>0.666</x:v>
      </x:c>
      <x:c r="L1467" s="11" t="n">
        <x:f>K1467*'管线假设'!E331*'管线假设'!F331*'管线假设'!G331*IF(E1467="USD",'管线假设'!I331,1)-AM1467</x:f>
        <x:v>0.1665</x:v>
      </x:c>
      <x:c r="M1467" s="11" t="n">
        <x:f>'管线假设'!H331</x:f>
        <x:v>0.14</x:v>
      </x:c>
      <x:c r="N1467" s="11" t="n">
        <x:f>IF(G1467,L1467*AN1467/(1+M1467)^F1467,0)</x:f>
        <x:v>0.0689390400057631</x:v>
      </x:c>
      <x:c r="AJ1467" t="n">
        <x:v>0</x:v>
      </x:c>
      <x:c r="AK1467" t="n">
        <x:v>0</x:v>
      </x:c>
      <x:c r="AL1467" t="n">
        <x:v>0</x:v>
      </x:c>
      <x:c r="AM1467" t="n">
        <x:f>CHOOSE('假设'!$B$3,AJ1467,AK1467,AL1467)</x:f>
        <x:v>0</x:v>
      </x:c>
      <x:c r="AN1467" t="n">
        <x:v>1</x:v>
      </x:c>
    </x:row>
    <x:row r="1468" ht="23" customHeight="1">
      <x:c r="A1468" s="11" t="str">
        <x:v>688302.SH</x:v>
      </x:c>
      <x:c r="B1468" s="11" t="str">
        <x:v>半年</x:v>
      </x:c>
      <x:c r="C1468" s="11" t="str">
        <x:v>hc1119_later</x:v>
      </x:c>
      <x:c r="D1468" s="11" t="str">
        <x:v>2034-12-31</x:v>
      </x:c>
      <x:c r="E1468" s="11" t="str">
        <x:v>CNY</x:v>
      </x:c>
      <x:c r="F1468" s="11" t="n">
        <x:v>7.728952772073922</x:v>
      </x:c>
      <x:c r="G1468" s="26" t="b">
        <x:v>1</x:v>
      </x:c>
      <x:c r="H1468" s="16" t="n">
        <x:v>0.2745</x:v>
      </x:c>
      <x:c r="I1468" s="16" t="n">
        <x:v>0.549</x:v>
      </x:c>
      <x:c r="J1468" s="16" t="n">
        <x:v>0.72</x:v>
      </x:c>
      <x:c r="K1468" s="11" t="n">
        <x:f>CHOOSE('假设'!$B$3,H1468,I1468,J1468)</x:f>
        <x:v>0.549</x:v>
      </x:c>
      <x:c r="L1468" s="11" t="n">
        <x:f>K1468*'管线假设'!E331*'管线假设'!F331*'管线假设'!G331*IF(E1468="USD",'管线假设'!I331,1)-AM1468</x:f>
        <x:v>0.13725</x:v>
      </x:c>
      <x:c r="M1468" s="11" t="n">
        <x:f>'管线假设'!H331</x:f>
        <x:v>0.14</x:v>
      </x:c>
      <x:c r="N1468" s="11" t="n">
        <x:f>IF(G1468,L1468*AN1468/(1+M1468)^F1468,0)</x:f>
        <x:v>0.04985370558970423</x:v>
      </x:c>
      <x:c r="AJ1468" t="n">
        <x:v>0</x:v>
      </x:c>
      <x:c r="AK1468" t="n">
        <x:v>0</x:v>
      </x:c>
      <x:c r="AL1468" t="n">
        <x:v>0</x:v>
      </x:c>
      <x:c r="AM1468" t="n">
        <x:f>CHOOSE('假设'!$B$3,AJ1468,AK1468,AL1468)</x:f>
        <x:v>0</x:v>
      </x:c>
      <x:c r="AN1468" t="n">
        <x:v>1</x:v>
      </x:c>
    </x:row>
    <x:row r="1469" ht="23" customHeight="1">
      <x:c r="A1469" s="11" t="str">
        <x:v>688302.SH</x:v>
      </x:c>
      <x:c r="B1469" s="11" t="str">
        <x:v>半年</x:v>
      </x:c>
      <x:c r="C1469" s="11" t="str">
        <x:v>hc1119_later</x:v>
      </x:c>
      <x:c r="D1469" s="11" t="str">
        <x:v>2035-12-31</x:v>
      </x:c>
      <x:c r="E1469" s="11" t="str">
        <x:v>CNY</x:v>
      </x:c>
      <x:c r="F1469" s="11" t="n">
        <x:v>8.728268309377139</x:v>
      </x:c>
      <x:c r="G1469" s="26" t="b">
        <x:v>1</x:v>
      </x:c>
      <x:c r="H1469" s="16" t="n">
        <x:v>0.216</x:v>
      </x:c>
      <x:c r="I1469" s="16" t="n">
        <x:v>0.432</x:v>
      </x:c>
      <x:c r="J1469" s="16" t="n">
        <x:v>0.5249999999999999</x:v>
      </x:c>
      <x:c r="K1469" s="11" t="n">
        <x:f>CHOOSE('假设'!$B$3,H1469,I1469,J1469)</x:f>
        <x:v>0.432</x:v>
      </x:c>
      <x:c r="L1469" s="11" t="n">
        <x:f>K1469*'管线假设'!E331*'管线假设'!F331*'管线假设'!G331*IF(E1469="USD",'管线假设'!I331,1)-AM1469</x:f>
        <x:v>0.108</x:v>
      </x:c>
      <x:c r="M1469" s="11" t="n">
        <x:f>'管线假设'!H331</x:f>
        <x:v>0.14</x:v>
      </x:c>
      <x:c r="N1469" s="11" t="n">
        <x:f>IF(G1469,L1469*AN1469/(1+M1469)^F1469,0)</x:f>
        <x:v>0.03441461733758932</x:v>
      </x:c>
      <x:c r="AJ1469" t="n">
        <x:v>0</x:v>
      </x:c>
      <x:c r="AK1469" t="n">
        <x:v>0</x:v>
      </x:c>
      <x:c r="AL1469" t="n">
        <x:v>0</x:v>
      </x:c>
      <x:c r="AM1469" t="n">
        <x:f>CHOOSE('假设'!$B$3,AJ1469,AK1469,AL1469)</x:f>
        <x:v>0</x:v>
      </x:c>
      <x:c r="AN1469" t="n">
        <x:v>1</x:v>
      </x:c>
    </x:row>
    <x:row r="1470" ht="23" customHeight="1">
      <x:c r="A1470" s="11" t="str">
        <x:v>688302.SH</x:v>
      </x:c>
      <x:c r="B1470" s="11" t="str">
        <x:v>半年</x:v>
      </x:c>
      <x:c r="C1470" s="11" t="str">
        <x:v>hc1119_later</x:v>
      </x:c>
      <x:c r="D1470" s="11" t="str">
        <x:v>2036-12-31</x:v>
      </x:c>
      <x:c r="E1470" s="11" t="str">
        <x:v>CNY</x:v>
      </x:c>
      <x:c r="F1470" s="11" t="n">
        <x:v>9.730321697467488</x:v>
      </x:c>
      <x:c r="G1470" s="26" t="b">
        <x:v>1</x:v>
      </x:c>
      <x:c r="H1470" s="16" t="n">
        <x:v>0.1575</x:v>
      </x:c>
      <x:c r="I1470" s="16" t="n">
        <x:v>0.315</x:v>
      </x:c>
      <x:c r="J1470" s="16" t="n">
        <x:v>0.32999999999999996</x:v>
      </x:c>
      <x:c r="K1470" s="11" t="n">
        <x:f>CHOOSE('假设'!$B$3,H1470,I1470,J1470)</x:f>
        <x:v>0.315</x:v>
      </x:c>
      <x:c r="L1470" s="11" t="n">
        <x:f>K1470*'管线假设'!E331*'管线假设'!F331*'管线假设'!G331*IF(E1470="USD",'管线假设'!I331,1)-AM1470</x:f>
        <x:v>0.07875</x:v>
      </x:c>
      <x:c r="M1470" s="11" t="n">
        <x:f>'管线假设'!H331</x:f>
        <x:v>0.14</x:v>
      </x:c>
      <x:c r="N1470" s="11" t="n">
        <x:f>IF(G1470,L1470*AN1470/(1+M1470)^F1470,0)</x:f>
        <x:v>0.022006351869588128</x:v>
      </x:c>
      <x:c r="AJ1470" t="n">
        <x:v>0</x:v>
      </x:c>
      <x:c r="AK1470" t="n">
        <x:v>0</x:v>
      </x:c>
      <x:c r="AL1470" t="n">
        <x:v>0</x:v>
      </x:c>
      <x:c r="AM1470" t="n">
        <x:f>CHOOSE('假设'!$B$3,AJ1470,AK1470,AL1470)</x:f>
        <x:v>0</x:v>
      </x:c>
      <x:c r="AN1470" t="n">
        <x:v>1</x:v>
      </x:c>
    </x:row>
    <x:row r="1471" ht="23" customHeight="1">
      <x:c r="A1471" s="11" t="str">
        <x:v>688302.SH</x:v>
      </x:c>
      <x:c r="B1471" s="11" t="str">
        <x:v>半年</x:v>
      </x:c>
      <x:c r="C1471" s="11" t="str">
        <x:v>hc1119_later</x:v>
      </x:c>
      <x:c r="D1471" s="11" t="str">
        <x:v>2037-12-31</x:v>
      </x:c>
      <x:c r="E1471" s="11" t="str">
        <x:v>CNY</x:v>
      </x:c>
      <x:c r="F1471" s="11" t="n">
        <x:v>10.729637234770705</x:v>
      </x:c>
      <x:c r="G1471" s="26" t="b">
        <x:v>1</x:v>
      </x:c>
      <x:c r="H1471" s="16" t="n">
        <x:v>0.09899999999999999</x:v>
      </x:c>
      <x:c r="I1471" s="16" t="n">
        <x:v>0.19799999999999998</x:v>
      </x:c>
      <x:c r="J1471" s="16" t="n">
        <x:v>0.13499999999999995</x:v>
      </x:c>
      <x:c r="K1471" s="11" t="n">
        <x:f>CHOOSE('假设'!$B$3,H1471,I1471,J1471)</x:f>
        <x:v>0.19799999999999998</x:v>
      </x:c>
      <x:c r="L1471" s="11" t="n">
        <x:f>K1471*'管线假设'!E331*'管线假设'!F331*'管线假设'!G331*IF(E1471="USD",'管线假设'!I331,1)-AM1471</x:f>
        <x:v>0.049499999999999995</x:v>
      </x:c>
      <x:c r="M1471" s="11" t="n">
        <x:f>'管线假设'!H331</x:f>
        <x:v>0.14</x:v>
      </x:c>
      <x:c r="N1471" s="11" t="n">
        <x:f>IF(G1471,L1471*AN1471/(1+M1471)^F1471,0)</x:f>
        <x:v>0.012134916357046346</x:v>
      </x:c>
      <x:c r="AJ1471" t="n">
        <x:v>0</x:v>
      </x:c>
      <x:c r="AK1471" t="n">
        <x:v>0</x:v>
      </x:c>
      <x:c r="AL1471" t="n">
        <x:v>0</x:v>
      </x:c>
      <x:c r="AM1471" t="n">
        <x:f>CHOOSE('假设'!$B$3,AJ1471,AK1471,AL1471)</x:f>
        <x:v>0</x:v>
      </x:c>
      <x:c r="AN1471" t="n">
        <x:v>1</x:v>
      </x:c>
    </x:row>
    <x:row r="1472" ht="23" customHeight="1">
      <x:c r="A1472" s="11" t="str">
        <x:v>688302.SH</x:v>
      </x:c>
      <x:c r="B1472" s="11" t="str">
        <x:v>半年</x:v>
      </x:c>
      <x:c r="C1472" s="11" t="str">
        <x:v>hc1119_later</x:v>
      </x:c>
      <x:c r="D1472" s="11" t="str">
        <x:v>2038-12-31</x:v>
      </x:c>
      <x:c r="E1472" s="11" t="str">
        <x:v>CNY</x:v>
      </x:c>
      <x:c r="F1472" s="11" t="n">
        <x:v>11.728952772073923</x:v>
      </x:c>
      <x:c r="G1472" s="26" t="b">
        <x:v>1</x:v>
      </x:c>
      <x:c r="H1472" s="16" t="n">
        <x:v>0.04049999999999999</x:v>
      </x:c>
      <x:c r="I1472" s="16" t="n">
        <x:v>0.08099999999999997</x:v>
      </x:c>
      <x:c r="J1472" s="16" t="n">
        <x:v>0</x:v>
      </x:c>
      <x:c r="K1472" s="11" t="n">
        <x:f>CHOOSE('假设'!$B$3,H1472,I1472,J1472)</x:f>
        <x:v>0.08099999999999997</x:v>
      </x:c>
      <x:c r="L1472" s="11" t="n">
        <x:f>K1472*'管线假设'!E331*'管线假设'!F331*'管线假设'!G331*IF(E1472="USD",'管线假设'!I331,1)-AM1472</x:f>
        <x:v>0.020249999999999994</x:v>
      </x:c>
      <x:c r="M1472" s="11" t="n">
        <x:f>'管线假设'!H331</x:f>
        <x:v>0.14</x:v>
      </x:c>
      <x:c r="N1472" s="11" t="n">
        <x:f>IF(G1472,L1472*AN1472/(1+M1472)^F1472,0)</x:f>
        <x:v>0.004355025614776303</x:v>
      </x:c>
      <x:c r="AJ1472" t="n">
        <x:v>0</x:v>
      </x:c>
      <x:c r="AK1472" t="n">
        <x:v>0</x:v>
      </x:c>
      <x:c r="AL1472" t="n">
        <x:v>0</x:v>
      </x:c>
      <x:c r="AM1472" t="n">
        <x:f>CHOOSE('假设'!$B$3,AJ1472,AK1472,AL1472)</x:f>
        <x:v>0</x:v>
      </x:c>
      <x:c r="AN1472" t="n">
        <x:v>1</x:v>
      </x:c>
    </x:row>
    <x:row r="1473" ht="23" customHeight="1">
      <x:c r="A1473" s="11" t="str">
        <x:v>688302.SH</x:v>
      </x:c>
      <x:c r="B1473" s="11" t="str">
        <x:v>半年</x:v>
      </x:c>
      <x:c r="C1473" s="11" t="str">
        <x:v>hc1119_later</x:v>
      </x:c>
      <x:c r="D1473" s="11" t="str">
        <x:v>2039-12-31</x:v>
      </x:c>
      <x:c r="E1473" s="11" t="str">
        <x:v>CNY</x:v>
      </x:c>
      <x:c r="F1473" s="11" t="n">
        <x:v>12.728268309377139</x:v>
      </x:c>
      <x:c r="G1473" s="26" t="b">
        <x:v>1</x:v>
      </x:c>
      <x:c r="H1473" s="16" t="n">
        <x:v>0</x:v>
      </x:c>
      <x:c r="I1473" s="16" t="n">
        <x:v>0</x:v>
      </x:c>
      <x:c r="J1473" s="16" t="n">
        <x:v>0</x:v>
      </x:c>
      <x:c r="K1473" s="11" t="n">
        <x:f>CHOOSE('假设'!$B$3,H1473,I1473,J1473)</x:f>
        <x:v>0</x:v>
      </x:c>
      <x:c r="L1473" s="11" t="n">
        <x:f>K1473*'管线假设'!E331*'管线假设'!F331*'管线假设'!G331*IF(E1473="USD",'管线假设'!I331,1)-AM1473</x:f>
        <x:v>0</x:v>
      </x:c>
      <x:c r="M1473" s="11" t="n">
        <x:f>'管线假设'!H331</x:f>
        <x:v>0.14</x:v>
      </x:c>
      <x:c r="N1473" s="11" t="n">
        <x:f>IF(G1473,L1473*AN1473/(1+M1473)^F1473,0)</x:f>
        <x:v>0</x:v>
      </x:c>
      <x:c r="AJ1473" t="n">
        <x:v>0</x:v>
      </x:c>
      <x:c r="AK1473" t="n">
        <x:v>0</x:v>
      </x:c>
      <x:c r="AL1473" t="n">
        <x:v>0</x:v>
      </x:c>
      <x:c r="AM1473" t="n">
        <x:f>CHOOSE('假设'!$B$3,AJ1473,AK1473,AL1473)</x:f>
        <x:v>0</x:v>
      </x:c>
      <x:c r="AN1473" t="n">
        <x:v>1</x:v>
      </x:c>
    </x:row>
    <x:row r="1474" ht="23" customHeight="1">
      <x:c r="A1474" s="11" t="str">
        <x:v>688302.SH</x:v>
      </x:c>
      <x:c r="B1474" s="11" t="str">
        <x:v>半年</x:v>
      </x:c>
      <x:c r="C1474" s="11" t="str">
        <x:v>hc1119_later</x:v>
      </x:c>
      <x:c r="D1474" s="11" t="str">
        <x:v>2040-12-31</x:v>
      </x:c>
      <x:c r="E1474" s="11" t="str">
        <x:v>CNY</x:v>
      </x:c>
      <x:c r="F1474" s="11" t="n">
        <x:v>13.730321697467488</x:v>
      </x:c>
      <x:c r="G1474" s="26" t="b">
        <x:v>1</x:v>
      </x:c>
      <x:c r="H1474" s="16" t="n">
        <x:v>0</x:v>
      </x:c>
      <x:c r="I1474" s="16" t="n">
        <x:v>0</x:v>
      </x:c>
      <x:c r="J1474" s="16" t="n">
        <x:v>0</x:v>
      </x:c>
      <x:c r="K1474" s="11" t="n">
        <x:f>CHOOSE('假设'!$B$3,H1474,I1474,J1474)</x:f>
        <x:v>0</x:v>
      </x:c>
      <x:c r="L1474" s="11" t="n">
        <x:f>K1474*'管线假设'!E331*'管线假设'!F331*'管线假设'!G331*IF(E1474="USD",'管线假设'!I331,1)-AM1474</x:f>
        <x:v>0</x:v>
      </x:c>
      <x:c r="M1474" s="11" t="n">
        <x:f>'管线假设'!H331</x:f>
        <x:v>0.14</x:v>
      </x:c>
      <x:c r="N1474" s="11" t="n">
        <x:f>IF(G1474,L1474*AN1474/(1+M1474)^F1474,0)</x:f>
        <x:v>0</x:v>
      </x:c>
      <x:c r="AJ1474" t="n">
        <x:v>0</x:v>
      </x:c>
      <x:c r="AK1474" t="n">
        <x:v>0</x:v>
      </x:c>
      <x:c r="AL1474" t="n">
        <x:v>0</x:v>
      </x:c>
      <x:c r="AM1474" t="n">
        <x:f>CHOOSE('假设'!$B$3,AJ1474,AK1474,AL1474)</x:f>
        <x:v>0</x:v>
      </x:c>
      <x:c r="AN1474" t="n">
        <x:v>1</x:v>
      </x:c>
    </x:row>
    <x:row r="1475" ht="23" customHeight="1">
      <x:c r="A1475" s="11" t="str">
        <x:v>688302.SH</x:v>
      </x:c>
      <x:c r="B1475" s="11" t="str">
        <x:v>半年</x:v>
      </x:c>
      <x:c r="C1475" s="11" t="str">
        <x:v>hc1119_later</x:v>
      </x:c>
      <x:c r="D1475" s="11" t="str">
        <x:v>2041-12-31</x:v>
      </x:c>
      <x:c r="E1475" s="11" t="str">
        <x:v>CNY</x:v>
      </x:c>
      <x:c r="F1475" s="11" t="n">
        <x:v>14.729637234770705</x:v>
      </x:c>
      <x:c r="G1475" s="26" t="b">
        <x:v>1</x:v>
      </x:c>
      <x:c r="H1475" s="16" t="n">
        <x:v>0</x:v>
      </x:c>
      <x:c r="I1475" s="16" t="n">
        <x:v>0</x:v>
      </x:c>
      <x:c r="J1475" s="16" t="n">
        <x:v>0</x:v>
      </x:c>
      <x:c r="K1475" s="11" t="n">
        <x:f>CHOOSE('假设'!$B$3,H1475,I1475,J1475)</x:f>
        <x:v>0</x:v>
      </x:c>
      <x:c r="L1475" s="11" t="n">
        <x:f>K1475*'管线假设'!E331*'管线假设'!F331*'管线假设'!G331*IF(E1475="USD",'管线假设'!I331,1)-AM1475</x:f>
        <x:v>0</x:v>
      </x:c>
      <x:c r="M1475" s="11" t="n">
        <x:f>'管线假设'!H331</x:f>
        <x:v>0.14</x:v>
      </x:c>
      <x:c r="N1475" s="11" t="n">
        <x:f>IF(G1475,L1475*AN1475/(1+M1475)^F1475,0)</x:f>
        <x:v>0</x:v>
      </x:c>
      <x:c r="AJ1475" t="n">
        <x:v>0</x:v>
      </x:c>
      <x:c r="AK1475" t="n">
        <x:v>0</x:v>
      </x:c>
      <x:c r="AL1475" t="n">
        <x:v>0</x:v>
      </x:c>
      <x:c r="AM1475" t="n">
        <x:f>CHOOSE('假设'!$B$3,AJ1475,AK1475,AL1475)</x:f>
        <x:v>0</x:v>
      </x:c>
      <x:c r="AN1475" t="n">
        <x:v>1</x:v>
      </x:c>
    </x:row>
    <x:row r="1476" ht="23" customHeight="1">
      <x:c r="A1476" s="11" t="str">
        <x:v>688302.SH</x:v>
      </x:c>
      <x:c r="B1476" s="11" t="str">
        <x:v>半年</x:v>
      </x:c>
      <x:c r="C1476" s="11" t="str">
        <x:v>hc1119_later</x:v>
      </x:c>
      <x:c r="D1476" s="11" t="str">
        <x:v>2042-12-31</x:v>
      </x:c>
      <x:c r="E1476" s="11" t="str">
        <x:v>CNY</x:v>
      </x:c>
      <x:c r="F1476" s="11" t="n">
        <x:v>15.728952772073923</x:v>
      </x:c>
      <x:c r="G1476" s="26" t="b">
        <x:v>1</x:v>
      </x:c>
      <x:c r="H1476" s="16" t="n">
        <x:v>0</x:v>
      </x:c>
      <x:c r="I1476" s="16" t="n">
        <x:v>0</x:v>
      </x:c>
      <x:c r="J1476" s="16" t="n">
        <x:v>0</x:v>
      </x:c>
      <x:c r="K1476" s="11" t="n">
        <x:f>CHOOSE('假设'!$B$3,H1476,I1476,J1476)</x:f>
        <x:v>0</x:v>
      </x:c>
      <x:c r="L1476" s="11" t="n">
        <x:f>K1476*'管线假设'!E331*'管线假设'!F331*'管线假设'!G331*IF(E1476="USD",'管线假设'!I331,1)-AM1476</x:f>
        <x:v>0</x:v>
      </x:c>
      <x:c r="M1476" s="11" t="n">
        <x:f>'管线假设'!H331</x:f>
        <x:v>0.14</x:v>
      </x:c>
      <x:c r="N1476" s="11" t="n">
        <x:f>IF(G1476,L1476*AN1476/(1+M1476)^F1476,0)</x:f>
        <x:v>0</x:v>
      </x:c>
      <x:c r="AJ1476" t="n">
        <x:v>0</x:v>
      </x:c>
      <x:c r="AK1476" t="n">
        <x:v>0</x:v>
      </x:c>
      <x:c r="AL1476" t="n">
        <x:v>0</x:v>
      </x:c>
      <x:c r="AM1476" t="n">
        <x:f>CHOOSE('假设'!$B$3,AJ1476,AK1476,AL1476)</x:f>
        <x:v>0</x:v>
      </x:c>
      <x:c r="AN1476" t="n">
        <x:v>1</x:v>
      </x:c>
    </x:row>
    <x:row r="1477" ht="23" customHeight="1">
      <x:c r="A1477" s="11" t="str">
        <x:v>688302.SH</x:v>
      </x:c>
      <x:c r="B1477" s="11" t="str">
        <x:v>半年</x:v>
      </x:c>
      <x:c r="C1477" s="11" t="str">
        <x:v>hc1119_later</x:v>
      </x:c>
      <x:c r="D1477" s="11" t="str">
        <x:v>2043-12-31</x:v>
      </x:c>
      <x:c r="E1477" s="11" t="str">
        <x:v>CNY</x:v>
      </x:c>
      <x:c r="F1477" s="11" t="n">
        <x:v>16.72826830937714</x:v>
      </x:c>
      <x:c r="G1477" s="26" t="b">
        <x:v>1</x:v>
      </x:c>
      <x:c r="H1477" s="16" t="n">
        <x:v>0</x:v>
      </x:c>
      <x:c r="I1477" s="16" t="n">
        <x:v>0</x:v>
      </x:c>
      <x:c r="J1477" s="16" t="n">
        <x:v>0</x:v>
      </x:c>
      <x:c r="K1477" s="11" t="n">
        <x:f>CHOOSE('假设'!$B$3,H1477,I1477,J1477)</x:f>
        <x:v>0</x:v>
      </x:c>
      <x:c r="L1477" s="11" t="n">
        <x:f>K1477*'管线假设'!E331*'管线假设'!F331*'管线假设'!G331*IF(E1477="USD",'管线假设'!I331,1)-AM1477</x:f>
        <x:v>0</x:v>
      </x:c>
      <x:c r="M1477" s="11" t="n">
        <x:f>'管线假设'!H331</x:f>
        <x:v>0.14</x:v>
      </x:c>
      <x:c r="N1477" s="11" t="n">
        <x:f>IF(G1477,L1477*AN1477/(1+M1477)^F1477,0)</x:f>
        <x:v>0</x:v>
      </x:c>
      <x:c r="AJ1477" t="n">
        <x:v>0</x:v>
      </x:c>
      <x:c r="AK1477" t="n">
        <x:v>0</x:v>
      </x:c>
      <x:c r="AL1477" t="n">
        <x:v>0</x:v>
      </x:c>
      <x:c r="AM1477" t="n">
        <x:f>CHOOSE('假设'!$B$3,AJ1477,AK1477,AL1477)</x:f>
        <x:v>0</x:v>
      </x:c>
      <x:c r="AN1477" t="n">
        <x:v>1</x:v>
      </x:c>
    </x:row>
    <x:row r="1478" ht="23" customHeight="1">
      <x:c r="A1478" s="11" t="str">
        <x:v>688302.SH</x:v>
      </x:c>
      <x:c r="B1478" s="11" t="str">
        <x:v>半年</x:v>
      </x:c>
      <x:c r="C1478" s="11" t="str">
        <x:v>hc1119_later</x:v>
      </x:c>
      <x:c r="D1478" s="11" t="str">
        <x:v>2044-12-31</x:v>
      </x:c>
      <x:c r="E1478" s="11" t="str">
        <x:v>CNY</x:v>
      </x:c>
      <x:c r="F1478" s="11" t="n">
        <x:v>17.730321697467488</x:v>
      </x:c>
      <x:c r="G1478" s="26" t="b">
        <x:v>1</x:v>
      </x:c>
      <x:c r="H1478" s="16" t="n">
        <x:v>0</x:v>
      </x:c>
      <x:c r="I1478" s="16" t="n">
        <x:v>0</x:v>
      </x:c>
      <x:c r="J1478" s="16" t="n">
        <x:v>0</x:v>
      </x:c>
      <x:c r="K1478" s="11" t="n">
        <x:f>CHOOSE('假设'!$B$3,H1478,I1478,J1478)</x:f>
        <x:v>0</x:v>
      </x:c>
      <x:c r="L1478" s="11" t="n">
        <x:f>K1478*'管线假设'!E331*'管线假设'!F331*'管线假设'!G331*IF(E1478="USD",'管线假设'!I331,1)-AM1478</x:f>
        <x:v>0</x:v>
      </x:c>
      <x:c r="M1478" s="11" t="n">
        <x:f>'管线假设'!H331</x:f>
        <x:v>0.14</x:v>
      </x:c>
      <x:c r="N1478" s="11" t="n">
        <x:f>IF(G1478,L1478*AN1478/(1+M1478)^F1478,0)</x:f>
        <x:v>0</x:v>
      </x:c>
      <x:c r="AJ1478" t="n">
        <x:v>0</x:v>
      </x:c>
      <x:c r="AK1478" t="n">
        <x:v>0</x:v>
      </x:c>
      <x:c r="AL1478" t="n">
        <x:v>0</x:v>
      </x:c>
      <x:c r="AM1478" t="n">
        <x:f>CHOOSE('假设'!$B$3,AJ1478,AK1478,AL1478)</x:f>
        <x:v>0</x:v>
      </x:c>
      <x:c r="AN1478" t="n">
        <x:v>1</x:v>
      </x:c>
    </x:row>
    <x:row r="1479" ht="23" customHeight="1">
      <x:c r="A1479" s="11" t="str">
        <x:v>688302.SH</x:v>
      </x:c>
      <x:c r="B1479" s="11" t="str">
        <x:v>半年</x:v>
      </x:c>
      <x:c r="C1479" s="11" t="str">
        <x:v>hc1119_later</x:v>
      </x:c>
      <x:c r="D1479" s="11" t="str">
        <x:v>2045-12-31</x:v>
      </x:c>
      <x:c r="E1479" s="11" t="str">
        <x:v>CNY</x:v>
      </x:c>
      <x:c r="F1479" s="11" t="n">
        <x:v>18.729637234770706</x:v>
      </x:c>
      <x:c r="G1479" s="26" t="b">
        <x:v>1</x:v>
      </x:c>
      <x:c r="H1479" s="16" t="n">
        <x:v>0</x:v>
      </x:c>
      <x:c r="I1479" s="16" t="n">
        <x:v>0</x:v>
      </x:c>
      <x:c r="J1479" s="16" t="n">
        <x:v>0</x:v>
      </x:c>
      <x:c r="K1479" s="11" t="n">
        <x:f>CHOOSE('假设'!$B$3,H1479,I1479,J1479)</x:f>
        <x:v>0</x:v>
      </x:c>
      <x:c r="L1479" s="11" t="n">
        <x:f>K1479*'管线假设'!E331*'管线假设'!F331*'管线假设'!G331*IF(E1479="USD",'管线假设'!I331,1)-AM1479</x:f>
        <x:v>0</x:v>
      </x:c>
      <x:c r="M1479" s="11" t="n">
        <x:f>'管线假设'!H331</x:f>
        <x:v>0.14</x:v>
      </x:c>
      <x:c r="N1479" s="11" t="n">
        <x:f>IF(G1479,L1479*AN1479/(1+M1479)^F1479,0)</x:f>
        <x:v>0</x:v>
      </x:c>
      <x:c r="AJ1479" t="n">
        <x:v>0</x:v>
      </x:c>
      <x:c r="AK1479" t="n">
        <x:v>0</x:v>
      </x:c>
      <x:c r="AL1479" t="n">
        <x:v>0</x:v>
      </x:c>
      <x:c r="AM1479" t="n">
        <x:f>CHOOSE('假设'!$B$3,AJ1479,AK1479,AL1479)</x:f>
        <x:v>0</x:v>
      </x:c>
      <x:c r="AN1479" t="n">
        <x:v>1</x:v>
      </x:c>
    </x:row>
    <x:row r="1480" ht="23" customHeight="1">
      <x:c r="A1480" s="11" t="str">
        <x:v>688302.SH</x:v>
      </x:c>
      <x:c r="B1480" s="11" t="str">
        <x:v>半年</x:v>
      </x:c>
      <x:c r="C1480" s="11" t="str">
        <x:v>hc1119_bcr</x:v>
      </x:c>
      <x:c r="D1480" s="11" t="str">
        <x:v>2027-12-31</x:v>
      </x:c>
      <x:c r="E1480" s="11" t="str">
        <x:v>CNY</x:v>
      </x:c>
      <x:c r="F1480" s="11" t="n">
        <x:v>0.7282683093771389</x:v>
      </x:c>
      <x:c r="G1480" s="26" t="b">
        <x:v>1</x:v>
      </x:c>
      <x:c r="H1480" s="16" t="n">
        <x:v>0</x:v>
      </x:c>
      <x:c r="I1480" s="16" t="n">
        <x:v>0</x:v>
      </x:c>
      <x:c r="J1480" s="16" t="n">
        <x:v>0</x:v>
      </x:c>
      <x:c r="K1480" s="11" t="n">
        <x:f>CHOOSE('假设'!$B$3,H1480,I1480,J1480)</x:f>
        <x:v>0</x:v>
      </x:c>
      <x:c r="L1480" s="11" t="n">
        <x:f>K1480*'管线假设'!E335*'管线假设'!F335*'管线假设'!G335*IF(E1480="USD",'管线假设'!I335,1)-AM1480</x:f>
        <x:v>0</x:v>
      </x:c>
      <x:c r="M1480" s="11" t="n">
        <x:f>'管线假设'!H335</x:f>
        <x:v>0.14</x:v>
      </x:c>
      <x:c r="N1480" s="11" t="n">
        <x:f>IF(G1480,L1480*AN1480/(1+M1480)^F1480,0)</x:f>
        <x:v>0</x:v>
      </x:c>
      <x:c r="AJ1480" t="n">
        <x:v>0</x:v>
      </x:c>
      <x:c r="AK1480" t="n">
        <x:v>0</x:v>
      </x:c>
      <x:c r="AL1480" t="n">
        <x:v>0</x:v>
      </x:c>
      <x:c r="AM1480" t="n">
        <x:f>CHOOSE('假设'!$B$3,AJ1480,AK1480,AL1480)</x:f>
        <x:v>0</x:v>
      </x:c>
      <x:c r="AN1480" t="n">
        <x:v>1</x:v>
      </x:c>
    </x:row>
    <x:row r="1481" ht="23" customHeight="1">
      <x:c r="A1481" s="11" t="str">
        <x:v>688302.SH</x:v>
      </x:c>
      <x:c r="B1481" s="11" t="str">
        <x:v>半年</x:v>
      </x:c>
      <x:c r="C1481" s="11" t="str">
        <x:v>hc1119_bcr</x:v>
      </x:c>
      <x:c r="D1481" s="11" t="str">
        <x:v>2028-12-31</x:v>
      </x:c>
      <x:c r="E1481" s="11" t="str">
        <x:v>CNY</x:v>
      </x:c>
      <x:c r="F1481" s="11" t="n">
        <x:v>1.730321697467488</x:v>
      </x:c>
      <x:c r="G1481" s="26" t="b">
        <x:v>1</x:v>
      </x:c>
      <x:c r="H1481" s="16" t="n">
        <x:v>0</x:v>
      </x:c>
      <x:c r="I1481" s="16" t="n">
        <x:v>0</x:v>
      </x:c>
      <x:c r="J1481" s="16" t="n">
        <x:v>0</x:v>
      </x:c>
      <x:c r="K1481" s="11" t="n">
        <x:f>CHOOSE('假设'!$B$3,H1481,I1481,J1481)</x:f>
        <x:v>0</x:v>
      </x:c>
      <x:c r="L1481" s="11" t="n">
        <x:f>K1481*'管线假设'!E335*'管线假设'!F335*'管线假设'!G335*IF(E1481="USD",'管线假设'!I335,1)-AM1481</x:f>
        <x:v>0</x:v>
      </x:c>
      <x:c r="M1481" s="11" t="n">
        <x:f>'管线假设'!H335</x:f>
        <x:v>0.14</x:v>
      </x:c>
      <x:c r="N1481" s="11" t="n">
        <x:f>IF(G1481,L1481*AN1481/(1+M1481)^F1481,0)</x:f>
        <x:v>0</x:v>
      </x:c>
      <x:c r="AJ1481" t="n">
        <x:v>0</x:v>
      </x:c>
      <x:c r="AK1481" t="n">
        <x:v>0</x:v>
      </x:c>
      <x:c r="AL1481" t="n">
        <x:v>0</x:v>
      </x:c>
      <x:c r="AM1481" t="n">
        <x:f>CHOOSE('假设'!$B$3,AJ1481,AK1481,AL1481)</x:f>
        <x:v>0</x:v>
      </x:c>
      <x:c r="AN1481" t="n">
        <x:v>1</x:v>
      </x:c>
    </x:row>
    <x:row r="1482" ht="23" customHeight="1">
      <x:c r="A1482" s="11" t="str">
        <x:v>688302.SH</x:v>
      </x:c>
      <x:c r="B1482" s="11" t="str">
        <x:v>半年</x:v>
      </x:c>
      <x:c r="C1482" s="11" t="str">
        <x:v>hc1119_bcr</x:v>
      </x:c>
      <x:c r="D1482" s="11" t="str">
        <x:v>2029-12-31</x:v>
      </x:c>
      <x:c r="E1482" s="11" t="str">
        <x:v>CNY</x:v>
      </x:c>
      <x:c r="F1482" s="11" t="n">
        <x:v>2.729637234770705</x:v>
      </x:c>
      <x:c r="G1482" s="26" t="b">
        <x:v>1</x:v>
      </x:c>
      <x:c r="H1482" s="16" t="n">
        <x:v>0</x:v>
      </x:c>
      <x:c r="I1482" s="16" t="n">
        <x:v>0</x:v>
      </x:c>
      <x:c r="J1482" s="16" t="n">
        <x:v>0.5</x:v>
      </x:c>
      <x:c r="K1482" s="11" t="n">
        <x:f>CHOOSE('假设'!$B$3,H1482,I1482,J1482)</x:f>
        <x:v>0</x:v>
      </x:c>
      <x:c r="L1482" s="11" t="n">
        <x:f>K1482*'管线假设'!E335*'管线假设'!F335*'管线假设'!G335*IF(E1482="USD",'管线假设'!I335,1)-AM1482</x:f>
        <x:v>0</x:v>
      </x:c>
      <x:c r="M1482" s="11" t="n">
        <x:f>'管线假设'!H335</x:f>
        <x:v>0.14</x:v>
      </x:c>
      <x:c r="N1482" s="11" t="n">
        <x:f>IF(G1482,L1482*AN1482/(1+M1482)^F1482,0)</x:f>
        <x:v>0</x:v>
      </x:c>
      <x:c r="AJ1482" t="n">
        <x:v>0</x:v>
      </x:c>
      <x:c r="AK1482" t="n">
        <x:v>0</x:v>
      </x:c>
      <x:c r="AL1482" t="n">
        <x:v>0</x:v>
      </x:c>
      <x:c r="AM1482" t="n">
        <x:f>CHOOSE('假设'!$B$3,AJ1482,AK1482,AL1482)</x:f>
        <x:v>0</x:v>
      </x:c>
      <x:c r="AN1482" t="n">
        <x:v>1</x:v>
      </x:c>
    </x:row>
    <x:row r="1483" ht="23" customHeight="1">
      <x:c r="A1483" s="11" t="str">
        <x:v>688302.SH</x:v>
      </x:c>
      <x:c r="B1483" s="11" t="str">
        <x:v>半年</x:v>
      </x:c>
      <x:c r="C1483" s="11" t="str">
        <x:v>hc1119_bcr</x:v>
      </x:c>
      <x:c r="D1483" s="11" t="str">
        <x:v>2030-12-31</x:v>
      </x:c>
      <x:c r="E1483" s="11" t="str">
        <x:v>CNY</x:v>
      </x:c>
      <x:c r="F1483" s="11" t="n">
        <x:v>3.728952772073922</x:v>
      </x:c>
      <x:c r="G1483" s="26" t="b">
        <x:v>1</x:v>
      </x:c>
      <x:c r="H1483" s="16" t="n">
        <x:v>0</x:v>
      </x:c>
      <x:c r="I1483" s="16" t="n">
        <x:v>0</x:v>
      </x:c>
      <x:c r="J1483" s="16" t="n">
        <x:v>1</x:v>
      </x:c>
      <x:c r="K1483" s="11" t="n">
        <x:f>CHOOSE('假设'!$B$3,H1483,I1483,J1483)</x:f>
        <x:v>0</x:v>
      </x:c>
      <x:c r="L1483" s="11" t="n">
        <x:f>K1483*'管线假设'!E335*'管线假设'!F335*'管线假设'!G335*IF(E1483="USD",'管线假设'!I335,1)-AM1483</x:f>
        <x:v>0</x:v>
      </x:c>
      <x:c r="M1483" s="11" t="n">
        <x:f>'管线假设'!H335</x:f>
        <x:v>0.14</x:v>
      </x:c>
      <x:c r="N1483" s="11" t="n">
        <x:f>IF(G1483,L1483*AN1483/(1+M1483)^F1483,0)</x:f>
        <x:v>0</x:v>
      </x:c>
      <x:c r="AJ1483" t="n">
        <x:v>0</x:v>
      </x:c>
      <x:c r="AK1483" t="n">
        <x:v>0</x:v>
      </x:c>
      <x:c r="AL1483" t="n">
        <x:v>0</x:v>
      </x:c>
      <x:c r="AM1483" t="n">
        <x:f>CHOOSE('假设'!$B$3,AJ1483,AK1483,AL1483)</x:f>
        <x:v>0</x:v>
      </x:c>
      <x:c r="AN1483" t="n">
        <x:v>1</x:v>
      </x:c>
    </x:row>
    <x:row r="1484" ht="23" customHeight="1">
      <x:c r="A1484" s="11" t="str">
        <x:v>688302.SH</x:v>
      </x:c>
      <x:c r="B1484" s="11" t="str">
        <x:v>半年</x:v>
      </x:c>
      <x:c r="C1484" s="11" t="str">
        <x:v>hc1119_bcr</x:v>
      </x:c>
      <x:c r="D1484" s="11" t="str">
        <x:v>2031-12-31</x:v>
      </x:c>
      <x:c r="E1484" s="11" t="str">
        <x:v>CNY</x:v>
      </x:c>
      <x:c r="F1484" s="11" t="n">
        <x:v>4.728268309377139</x:v>
      </x:c>
      <x:c r="G1484" s="26" t="b">
        <x:v>1</x:v>
      </x:c>
      <x:c r="H1484" s="16" t="n">
        <x:v>0</x:v>
      </x:c>
      <x:c r="I1484" s="16" t="n">
        <x:v>0.3</x:v>
      </x:c>
      <x:c r="J1484" s="16" t="n">
        <x:v>1.5</x:v>
      </x:c>
      <x:c r="K1484" s="11" t="n">
        <x:f>CHOOSE('假设'!$B$3,H1484,I1484,J1484)</x:f>
        <x:v>0.3</x:v>
      </x:c>
      <x:c r="L1484" s="11" t="n">
        <x:f>K1484*'管线假设'!E335*'管线假设'!F335*'管线假设'!G335*IF(E1484="USD",'管线假设'!I335,1)-AM1484</x:f>
        <x:v>0.0341625</x:v>
      </x:c>
      <x:c r="M1484" s="11" t="n">
        <x:f>'管线假设'!H335</x:f>
        <x:v>0.14</x:v>
      </x:c>
      <x:c r="N1484" s="11" t="n">
        <x:f>IF(G1484,L1484*AN1484/(1+M1484)^F1484,0)</x:f>
        <x:v>0.01838604164514009</x:v>
      </x:c>
      <x:c r="AJ1484" t="n">
        <x:v>0</x:v>
      </x:c>
      <x:c r="AK1484" t="n">
        <x:v>0</x:v>
      </x:c>
      <x:c r="AL1484" t="n">
        <x:v>0</x:v>
      </x:c>
      <x:c r="AM1484" t="n">
        <x:f>CHOOSE('假设'!$B$3,AJ1484,AK1484,AL1484)</x:f>
        <x:v>0</x:v>
      </x:c>
      <x:c r="AN1484" t="n">
        <x:v>1</x:v>
      </x:c>
    </x:row>
    <x:row r="1485" ht="23" customHeight="1">
      <x:c r="A1485" s="11" t="str">
        <x:v>688302.SH</x:v>
      </x:c>
      <x:c r="B1485" s="11" t="str">
        <x:v>半年</x:v>
      </x:c>
      <x:c r="C1485" s="11" t="str">
        <x:v>hc1119_bcr</x:v>
      </x:c>
      <x:c r="D1485" s="11" t="str">
        <x:v>2032-12-31</x:v>
      </x:c>
      <x:c r="E1485" s="11" t="str">
        <x:v>CNY</x:v>
      </x:c>
      <x:c r="F1485" s="11" t="n">
        <x:v>5.730321697467488</x:v>
      </x:c>
      <x:c r="G1485" s="26" t="b">
        <x:v>1</x:v>
      </x:c>
      <x:c r="H1485" s="16" t="n">
        <x:v>0</x:v>
      </x:c>
      <x:c r="I1485" s="16" t="n">
        <x:v>0.6</x:v>
      </x:c>
      <x:c r="J1485" s="16" t="n">
        <x:v>2</x:v>
      </x:c>
      <x:c r="K1485" s="11" t="n">
        <x:f>CHOOSE('假设'!$B$3,H1485,I1485,J1485)</x:f>
        <x:v>0.6</x:v>
      </x:c>
      <x:c r="L1485" s="11" t="n">
        <x:f>K1485*'管线假设'!E335*'管线假设'!F335*'管线假设'!G335*IF(E1485="USD",'管线假设'!I335,1)-AM1485</x:f>
        <x:v>0.068325</x:v>
      </x:c>
      <x:c r="M1485" s="11" t="n">
        <x:f>'管线假设'!H335</x:f>
        <x:v>0.14</x:v>
      </x:c>
      <x:c r="N1485" s="11" t="n">
        <x:f>IF(G1485,L1485*AN1485/(1+M1485)^F1485,0)</x:f>
        <x:v>0.032247535985266404</x:v>
      </x:c>
      <x:c r="AJ1485" t="n">
        <x:v>0</x:v>
      </x:c>
      <x:c r="AK1485" t="n">
        <x:v>0</x:v>
      </x:c>
      <x:c r="AL1485" t="n">
        <x:v>0</x:v>
      </x:c>
      <x:c r="AM1485" t="n">
        <x:f>CHOOSE('假设'!$B$3,AJ1485,AK1485,AL1485)</x:f>
        <x:v>0</x:v>
      </x:c>
      <x:c r="AN1485" t="n">
        <x:v>1</x:v>
      </x:c>
    </x:row>
    <x:row r="1486" ht="23" customHeight="1">
      <x:c r="A1486" s="11" t="str">
        <x:v>688302.SH</x:v>
      </x:c>
      <x:c r="B1486" s="11" t="str">
        <x:v>半年</x:v>
      </x:c>
      <x:c r="C1486" s="11" t="str">
        <x:v>hc1119_bcr</x:v>
      </x:c>
      <x:c r="D1486" s="11" t="str">
        <x:v>2033-12-31</x:v>
      </x:c>
      <x:c r="E1486" s="11" t="str">
        <x:v>CNY</x:v>
      </x:c>
      <x:c r="F1486" s="11" t="n">
        <x:v>6.729637234770705</x:v>
      </x:c>
      <x:c r="G1486" s="26" t="b">
        <x:v>1</x:v>
      </x:c>
      <x:c r="H1486" s="16" t="n">
        <x:v>0</x:v>
      </x:c>
      <x:c r="I1486" s="16" t="n">
        <x:v>0.9</x:v>
      </x:c>
      <x:c r="J1486" s="16" t="n">
        <x:v>2.5</x:v>
      </x:c>
      <x:c r="K1486" s="11" t="n">
        <x:f>CHOOSE('假设'!$B$3,H1486,I1486,J1486)</x:f>
        <x:v>0.9</x:v>
      </x:c>
      <x:c r="L1486" s="11" t="n">
        <x:f>K1486*'管线假设'!E335*'管线假设'!F335*'管线假设'!G335*IF(E1486="USD",'管线假设'!I335,1)-AM1486</x:f>
        <x:v>0.10248750000000001</x:v>
      </x:c>
      <x:c r="M1486" s="11" t="n">
        <x:f>'管线假设'!H335</x:f>
        <x:v>0.14</x:v>
      </x:c>
      <x:c r="N1486" s="11" t="n">
        <x:f>IF(G1486,L1486*AN1486/(1+M1486)^F1486,0)</x:f>
        <x:v>0.042434773949493375</x:v>
      </x:c>
      <x:c r="AJ1486" t="n">
        <x:v>0</x:v>
      </x:c>
      <x:c r="AK1486" t="n">
        <x:v>0</x:v>
      </x:c>
      <x:c r="AL1486" t="n">
        <x:v>0</x:v>
      </x:c>
      <x:c r="AM1486" t="n">
        <x:f>CHOOSE('假设'!$B$3,AJ1486,AK1486,AL1486)</x:f>
        <x:v>0</x:v>
      </x:c>
      <x:c r="AN1486" t="n">
        <x:v>1</x:v>
      </x:c>
    </x:row>
    <x:row r="1487" ht="23" customHeight="1">
      <x:c r="A1487" s="11" t="str">
        <x:v>688302.SH</x:v>
      </x:c>
      <x:c r="B1487" s="11" t="str">
        <x:v>半年</x:v>
      </x:c>
      <x:c r="C1487" s="11" t="str">
        <x:v>hc1119_bcr</x:v>
      </x:c>
      <x:c r="D1487" s="11" t="str">
        <x:v>2034-12-31</x:v>
      </x:c>
      <x:c r="E1487" s="11" t="str">
        <x:v>CNY</x:v>
      </x:c>
      <x:c r="F1487" s="11" t="n">
        <x:v>7.728952772073922</x:v>
      </x:c>
      <x:c r="G1487" s="26" t="b">
        <x:v>1</x:v>
      </x:c>
      <x:c r="H1487" s="16" t="n">
        <x:v>0.12</x:v>
      </x:c>
      <x:c r="I1487" s="16" t="n">
        <x:v>1.2</x:v>
      </x:c>
      <x:c r="J1487" s="16" t="n">
        <x:v>3</x:v>
      </x:c>
      <x:c r="K1487" s="11" t="n">
        <x:f>CHOOSE('假设'!$B$3,H1487,I1487,J1487)</x:f>
        <x:v>1.2</x:v>
      </x:c>
      <x:c r="L1487" s="11" t="n">
        <x:f>K1487*'管线假设'!E335*'管线假设'!F335*'管线假设'!G335*IF(E1487="USD",'管线假设'!I335,1)-AM1487</x:f>
        <x:v>0.13665</x:v>
      </x:c>
      <x:c r="M1487" s="11" t="n">
        <x:f>'管线假设'!H335</x:f>
        <x:v>0.14</x:v>
      </x:c>
      <x:c r="N1487" s="11" t="n">
        <x:f>IF(G1487,L1487*AN1487/(1+M1487)^F1487,0)</x:f>
        <x:v>0.04963576589313721</x:v>
      </x:c>
      <x:c r="AJ1487" t="n">
        <x:v>0</x:v>
      </x:c>
      <x:c r="AK1487" t="n">
        <x:v>0</x:v>
      </x:c>
      <x:c r="AL1487" t="n">
        <x:v>0</x:v>
      </x:c>
      <x:c r="AM1487" t="n">
        <x:f>CHOOSE('假设'!$B$3,AJ1487,AK1487,AL1487)</x:f>
        <x:v>0</x:v>
      </x:c>
      <x:c r="AN1487" t="n">
        <x:v>1</x:v>
      </x:c>
    </x:row>
    <x:row r="1488" ht="23" customHeight="1">
      <x:c r="A1488" s="11" t="str">
        <x:v>688302.SH</x:v>
      </x:c>
      <x:c r="B1488" s="11" t="str">
        <x:v>半年</x:v>
      </x:c>
      <x:c r="C1488" s="11" t="str">
        <x:v>hc1119_bcr</x:v>
      </x:c>
      <x:c r="D1488" s="11" t="str">
        <x:v>2035-12-31</x:v>
      </x:c>
      <x:c r="E1488" s="11" t="str">
        <x:v>CNY</x:v>
      </x:c>
      <x:c r="F1488" s="11" t="n">
        <x:v>8.728268309377139</x:v>
      </x:c>
      <x:c r="G1488" s="26" t="b">
        <x:v>1</x:v>
      </x:c>
      <x:c r="H1488" s="16" t="n">
        <x:v>0.24</x:v>
      </x:c>
      <x:c r="I1488" s="16" t="n">
        <x:v>1.5</x:v>
      </x:c>
      <x:c r="J1488" s="16" t="n">
        <x:v>2.61</x:v>
      </x:c>
      <x:c r="K1488" s="11" t="n">
        <x:f>CHOOSE('假设'!$B$3,H1488,I1488,J1488)</x:f>
        <x:v>1.5</x:v>
      </x:c>
      <x:c r="L1488" s="11" t="n">
        <x:f>K1488*'管线假设'!E335*'管线假设'!F335*'管线假设'!G335*IF(E1488="USD",'管线假设'!I335,1)-AM1488</x:f>
        <x:v>0.1708125</x:v>
      </x:c>
      <x:c r="M1488" s="11" t="n">
        <x:f>'管线假设'!H335</x:f>
        <x:v>0.14</x:v>
      </x:c>
      <x:c r="N1488" s="11" t="n">
        <x:f>IF(G1488,L1488*AN1488/(1+M1488)^F1488,0)</x:f>
        <x:v>0.054430063184972</x:v>
      </x:c>
      <x:c r="AJ1488" t="n">
        <x:v>0</x:v>
      </x:c>
      <x:c r="AK1488" t="n">
        <x:v>0</x:v>
      </x:c>
      <x:c r="AL1488" t="n">
        <x:v>0</x:v>
      </x:c>
      <x:c r="AM1488" t="n">
        <x:f>CHOOSE('假设'!$B$3,AJ1488,AK1488,AL1488)</x:f>
        <x:v>0</x:v>
      </x:c>
      <x:c r="AN1488" t="n">
        <x:v>1</x:v>
      </x:c>
    </x:row>
    <x:row r="1489" ht="23" customHeight="1">
      <x:c r="A1489" s="11" t="str">
        <x:v>688302.SH</x:v>
      </x:c>
      <x:c r="B1489" s="11" t="str">
        <x:v>半年</x:v>
      </x:c>
      <x:c r="C1489" s="11" t="str">
        <x:v>hc1119_bcr</x:v>
      </x:c>
      <x:c r="D1489" s="11" t="str">
        <x:v>2036-12-31</x:v>
      </x:c>
      <x:c r="E1489" s="11" t="str">
        <x:v>CNY</x:v>
      </x:c>
      <x:c r="F1489" s="11" t="n">
        <x:v>9.730321697467488</x:v>
      </x:c>
      <x:c r="G1489" s="26" t="b">
        <x:v>1</x:v>
      </x:c>
      <x:c r="H1489" s="16" t="n">
        <x:v>0.36</x:v>
      </x:c>
      <x:c r="I1489" s="16" t="n">
        <x:v>1.8</x:v>
      </x:c>
      <x:c r="J1489" s="16" t="n">
        <x:v>2.2199999999999998</x:v>
      </x:c>
      <x:c r="K1489" s="11" t="n">
        <x:f>CHOOSE('假设'!$B$3,H1489,I1489,J1489)</x:f>
        <x:v>1.8</x:v>
      </x:c>
      <x:c r="L1489" s="11" t="n">
        <x:f>K1489*'管线假设'!E335*'管线假设'!F335*'管线假设'!G335*IF(E1489="USD",'管线假设'!I335,1)-AM1489</x:f>
        <x:v>0.20497500000000002</x:v>
      </x:c>
      <x:c r="M1489" s="11" t="n">
        <x:f>'管线假设'!H335</x:f>
        <x:v>0.14</x:v>
      </x:c>
      <x:c r="N1489" s="11" t="n">
        <x:f>IF(G1489,L1489*AN1489/(1+M1489)^F1489,0)</x:f>
        <x:v>0.0572793901519851</x:v>
      </x:c>
      <x:c r="AJ1489" t="n">
        <x:v>0</x:v>
      </x:c>
      <x:c r="AK1489" t="n">
        <x:v>0</x:v>
      </x:c>
      <x:c r="AL1489" t="n">
        <x:v>0</x:v>
      </x:c>
      <x:c r="AM1489" t="n">
        <x:f>CHOOSE('假设'!$B$3,AJ1489,AK1489,AL1489)</x:f>
        <x:v>0</x:v>
      </x:c>
      <x:c r="AN1489" t="n">
        <x:v>1</x:v>
      </x:c>
    </x:row>
    <x:row r="1490" ht="23" customHeight="1">
      <x:c r="A1490" s="11" t="str">
        <x:v>688302.SH</x:v>
      </x:c>
      <x:c r="B1490" s="11" t="str">
        <x:v>半年</x:v>
      </x:c>
      <x:c r="C1490" s="11" t="str">
        <x:v>hc1119_bcr</x:v>
      </x:c>
      <x:c r="D1490" s="11" t="str">
        <x:v>2037-12-31</x:v>
      </x:c>
      <x:c r="E1490" s="11" t="str">
        <x:v>CNY</x:v>
      </x:c>
      <x:c r="F1490" s="11" t="n">
        <x:v>10.729637234770705</x:v>
      </x:c>
      <x:c r="G1490" s="26" t="b">
        <x:v>1</x:v>
      </x:c>
      <x:c r="H1490" s="16" t="n">
        <x:v>0.48</x:v>
      </x:c>
      <x:c r="I1490" s="16" t="n">
        <x:v>1.566</x:v>
      </x:c>
      <x:c r="J1490" s="16" t="n">
        <x:v>1.83</x:v>
      </x:c>
      <x:c r="K1490" s="11" t="n">
        <x:f>CHOOSE('假设'!$B$3,H1490,I1490,J1490)</x:f>
        <x:v>1.566</x:v>
      </x:c>
      <x:c r="L1490" s="11" t="n">
        <x:f>K1490*'管线假设'!E335*'管线假设'!F335*'管线假设'!G335*IF(E1490="USD",'管线假设'!I335,1)-AM1490</x:f>
        <x:v>0.17832825000000002</x:v>
      </x:c>
      <x:c r="M1490" s="11" t="n">
        <x:f>'管线假设'!H335</x:f>
        <x:v>0.14</x:v>
      </x:c>
      <x:c r="N1490" s="11" t="n">
        <x:f>IF(G1490,L1490*AN1490/(1+M1490)^F1490,0)</x:f>
        <x:v>0.04371713935047375</x:v>
      </x:c>
      <x:c r="AJ1490" t="n">
        <x:v>0</x:v>
      </x:c>
      <x:c r="AK1490" t="n">
        <x:v>0</x:v>
      </x:c>
      <x:c r="AL1490" t="n">
        <x:v>0</x:v>
      </x:c>
      <x:c r="AM1490" t="n">
        <x:f>CHOOSE('假设'!$B$3,AJ1490,AK1490,AL1490)</x:f>
        <x:v>0</x:v>
      </x:c>
      <x:c r="AN1490" t="n">
        <x:v>1</x:v>
      </x:c>
    </x:row>
    <x:row r="1491" ht="23" customHeight="1">
      <x:c r="A1491" s="11" t="str">
        <x:v>688302.SH</x:v>
      </x:c>
      <x:c r="B1491" s="11" t="str">
        <x:v>半年</x:v>
      </x:c>
      <x:c r="C1491" s="11" t="str">
        <x:v>hc1119_bcr</x:v>
      </x:c>
      <x:c r="D1491" s="11" t="str">
        <x:v>2038-12-31</x:v>
      </x:c>
      <x:c r="E1491" s="11" t="str">
        <x:v>CNY</x:v>
      </x:c>
      <x:c r="F1491" s="11" t="n">
        <x:v>11.728952772073923</x:v>
      </x:c>
      <x:c r="G1491" s="26" t="b">
        <x:v>1</x:v>
      </x:c>
      <x:c r="H1491" s="16" t="n">
        <x:v>0.6</x:v>
      </x:c>
      <x:c r="I1491" s="16" t="n">
        <x:v>1.332</x:v>
      </x:c>
      <x:c r="J1491" s="16" t="n">
        <x:v>1.44</x:v>
      </x:c>
      <x:c r="K1491" s="11" t="n">
        <x:f>CHOOSE('假设'!$B$3,H1491,I1491,J1491)</x:f>
        <x:v>1.332</x:v>
      </x:c>
      <x:c r="L1491" s="11" t="n">
        <x:f>K1491*'管线假设'!E335*'管线假设'!F335*'管线假设'!G335*IF(E1491="USD",'管线假设'!I335,1)-AM1491</x:f>
        <x:v>0.15168150000000002</x:v>
      </x:c>
      <x:c r="M1491" s="11" t="n">
        <x:f>'管线假设'!H335</x:f>
        <x:v>0.14</x:v>
      </x:c>
      <x:c r="N1491" s="11" t="n">
        <x:f>IF(G1491,L1491*AN1491/(1+M1491)^F1491,0)</x:f>
        <x:v>0.03262107742161442</x:v>
      </x:c>
      <x:c r="AJ1491" t="n">
        <x:v>0</x:v>
      </x:c>
      <x:c r="AK1491" t="n">
        <x:v>0</x:v>
      </x:c>
      <x:c r="AL1491" t="n">
        <x:v>0</x:v>
      </x:c>
      <x:c r="AM1491" t="n">
        <x:f>CHOOSE('假设'!$B$3,AJ1491,AK1491,AL1491)</x:f>
        <x:v>0</x:v>
      </x:c>
      <x:c r="AN1491" t="n">
        <x:v>1</x:v>
      </x:c>
    </x:row>
    <x:row r="1492" ht="23" customHeight="1">
      <x:c r="A1492" s="11" t="str">
        <x:v>688302.SH</x:v>
      </x:c>
      <x:c r="B1492" s="11" t="str">
        <x:v>半年</x:v>
      </x:c>
      <x:c r="C1492" s="11" t="str">
        <x:v>hc1119_bcr</x:v>
      </x:c>
      <x:c r="D1492" s="11" t="str">
        <x:v>2039-12-31</x:v>
      </x:c>
      <x:c r="E1492" s="11" t="str">
        <x:v>CNY</x:v>
      </x:c>
      <x:c r="F1492" s="11" t="n">
        <x:v>12.728268309377139</x:v>
      </x:c>
      <x:c r="G1492" s="26" t="b">
        <x:v>1</x:v>
      </x:c>
      <x:c r="H1492" s="16" t="n">
        <x:v>0.522</x:v>
      </x:c>
      <x:c r="I1492" s="16" t="n">
        <x:v>1.098</x:v>
      </x:c>
      <x:c r="J1492" s="16" t="n">
        <x:v>1.0499999999999998</x:v>
      </x:c>
      <x:c r="K1492" s="11" t="n">
        <x:f>CHOOSE('假设'!$B$3,H1492,I1492,J1492)</x:f>
        <x:v>1.098</x:v>
      </x:c>
      <x:c r="L1492" s="11" t="n">
        <x:f>K1492*'管线假设'!E335*'管线假设'!F335*'管线假设'!G335*IF(E1492="USD",'管线假设'!I335,1)-AM1492</x:f>
        <x:v>0.12503475000000003</x:v>
      </x:c>
      <x:c r="M1492" s="11" t="n">
        <x:f>'管线假设'!H335</x:f>
        <x:v>0.14</x:v>
      </x:c>
      <x:c r="N1492" s="11" t="n">
        <x:f>IF(G1492,L1492*AN1492/(1+M1492)^F1492,0)</x:f>
        <x:v>0.02359013977653534</x:v>
      </x:c>
      <x:c r="AJ1492" t="n">
        <x:v>0</x:v>
      </x:c>
      <x:c r="AK1492" t="n">
        <x:v>0</x:v>
      </x:c>
      <x:c r="AL1492" t="n">
        <x:v>0</x:v>
      </x:c>
      <x:c r="AM1492" t="n">
        <x:f>CHOOSE('假设'!$B$3,AJ1492,AK1492,AL1492)</x:f>
        <x:v>0</x:v>
      </x:c>
      <x:c r="AN1492" t="n">
        <x:v>1</x:v>
      </x:c>
    </x:row>
    <x:row r="1493" ht="23" customHeight="1">
      <x:c r="A1493" s="11" t="str">
        <x:v>688302.SH</x:v>
      </x:c>
      <x:c r="B1493" s="11" t="str">
        <x:v>半年</x:v>
      </x:c>
      <x:c r="C1493" s="11" t="str">
        <x:v>hc1119_bcr</x:v>
      </x:c>
      <x:c r="D1493" s="11" t="str">
        <x:v>2040-12-31</x:v>
      </x:c>
      <x:c r="E1493" s="11" t="str">
        <x:v>CNY</x:v>
      </x:c>
      <x:c r="F1493" s="11" t="n">
        <x:v>13.730321697467488</x:v>
      </x:c>
      <x:c r="G1493" s="26" t="b">
        <x:v>1</x:v>
      </x:c>
      <x:c r="H1493" s="16" t="n">
        <x:v>0.444</x:v>
      </x:c>
      <x:c r="I1493" s="16" t="n">
        <x:v>0.864</x:v>
      </x:c>
      <x:c r="J1493" s="16" t="n">
        <x:v>0.6599999999999999</x:v>
      </x:c>
      <x:c r="K1493" s="11" t="n">
        <x:f>CHOOSE('假设'!$B$3,H1493,I1493,J1493)</x:f>
        <x:v>0.864</x:v>
      </x:c>
      <x:c r="L1493" s="11" t="n">
        <x:f>K1493*'管线假设'!E335*'管线假设'!F335*'管线假设'!G335*IF(E1493="USD",'管线假设'!I335,1)-AM1493</x:f>
        <x:v>0.098388</x:v>
      </x:c>
      <x:c r="M1493" s="11" t="n">
        <x:f>'管线假设'!H335</x:f>
        <x:v>0.14</x:v>
      </x:c>
      <x:c r="N1493" s="11" t="n">
        <x:f>IF(G1493,L1493*AN1493/(1+M1493)^F1493,0)</x:f>
        <x:v>0.016278718660215664</x:v>
      </x:c>
      <x:c r="AJ1493" t="n">
        <x:v>0</x:v>
      </x:c>
      <x:c r="AK1493" t="n">
        <x:v>0</x:v>
      </x:c>
      <x:c r="AL1493" t="n">
        <x:v>0</x:v>
      </x:c>
      <x:c r="AM1493" t="n">
        <x:f>CHOOSE('假设'!$B$3,AJ1493,AK1493,AL1493)</x:f>
        <x:v>0</x:v>
      </x:c>
      <x:c r="AN1493" t="n">
        <x:v>1</x:v>
      </x:c>
    </x:row>
    <x:row r="1494" ht="23" customHeight="1">
      <x:c r="A1494" s="11" t="str">
        <x:v>688302.SH</x:v>
      </x:c>
      <x:c r="B1494" s="11" t="str">
        <x:v>半年</x:v>
      </x:c>
      <x:c r="C1494" s="11" t="str">
        <x:v>hc1119_bcr</x:v>
      </x:c>
      <x:c r="D1494" s="11" t="str">
        <x:v>2041-12-31</x:v>
      </x:c>
      <x:c r="E1494" s="11" t="str">
        <x:v>CNY</x:v>
      </x:c>
      <x:c r="F1494" s="11" t="n">
        <x:v>14.729637234770705</x:v>
      </x:c>
      <x:c r="G1494" s="26" t="b">
        <x:v>1</x:v>
      </x:c>
      <x:c r="H1494" s="16" t="n">
        <x:v>0.366</x:v>
      </x:c>
      <x:c r="I1494" s="16" t="n">
        <x:v>0.63</x:v>
      </x:c>
      <x:c r="J1494" s="16" t="n">
        <x:v>0.2699999999999999</x:v>
      </x:c>
      <x:c r="K1494" s="11" t="n">
        <x:f>CHOOSE('假设'!$B$3,H1494,I1494,J1494)</x:f>
        <x:v>0.63</x:v>
      </x:c>
      <x:c r="L1494" s="11" t="n">
        <x:f>K1494*'管线假设'!E335*'管线假设'!F335*'管线假设'!G335*IF(E1494="USD",'管线假设'!I335,1)-AM1494</x:f>
        <x:v>0.07174125</x:v>
      </x:c>
      <x:c r="M1494" s="11" t="n">
        <x:f>'管线假设'!H335</x:f>
        <x:v>0.14</x:v>
      </x:c>
      <x:c r="N1494" s="11" t="n">
        <x:f>IF(G1494,L1494*AN1494/(1+M1494)^F1494,0)</x:f>
        <x:v>0.01041312597397805</x:v>
      </x:c>
      <x:c r="AJ1494" t="n">
        <x:v>0</x:v>
      </x:c>
      <x:c r="AK1494" t="n">
        <x:v>0</x:v>
      </x:c>
      <x:c r="AL1494" t="n">
        <x:v>0</x:v>
      </x:c>
      <x:c r="AM1494" t="n">
        <x:f>CHOOSE('假设'!$B$3,AJ1494,AK1494,AL1494)</x:f>
        <x:v>0</x:v>
      </x:c>
      <x:c r="AN1494" t="n">
        <x:v>1</x:v>
      </x:c>
    </x:row>
    <x:row r="1495" ht="23" customHeight="1">
      <x:c r="A1495" s="11" t="str">
        <x:v>688302.SH</x:v>
      </x:c>
      <x:c r="B1495" s="11" t="str">
        <x:v>半年</x:v>
      </x:c>
      <x:c r="C1495" s="11" t="str">
        <x:v>hc1119_bcr</x:v>
      </x:c>
      <x:c r="D1495" s="11" t="str">
        <x:v>2042-12-31</x:v>
      </x:c>
      <x:c r="E1495" s="11" t="str">
        <x:v>CNY</x:v>
      </x:c>
      <x:c r="F1495" s="11" t="n">
        <x:v>15.728952772073923</x:v>
      </x:c>
      <x:c r="G1495" s="26" t="b">
        <x:v>1</x:v>
      </x:c>
      <x:c r="H1495" s="16" t="n">
        <x:v>0.288</x:v>
      </x:c>
      <x:c r="I1495" s="16" t="n">
        <x:v>0.39599999999999996</x:v>
      </x:c>
      <x:c r="J1495" s="16" t="n">
        <x:v>0</x:v>
      </x:c>
      <x:c r="K1495" s="11" t="n">
        <x:f>CHOOSE('假设'!$B$3,H1495,I1495,J1495)</x:f>
        <x:v>0.39599999999999996</x:v>
      </x:c>
      <x:c r="L1495" s="11" t="n">
        <x:f>K1495*'管线假设'!E335*'管线假设'!F335*'管线假设'!G335*IF(E1495="USD",'管线假设'!I335,1)-AM1495</x:f>
        <x:v>0.045094499999999996</x:v>
      </x:c>
      <x:c r="M1495" s="11" t="n">
        <x:f>'管线假设'!H335</x:f>
        <x:v>0.14</x:v>
      </x:c>
      <x:c r="N1495" s="11" t="n">
        <x:f>IF(G1495,L1495*AN1495/(1+M1495)^F1495,0)</x:f>
        <x:v>0.005742088168836291</x:v>
      </x:c>
      <x:c r="AJ1495" t="n">
        <x:v>0</x:v>
      </x:c>
      <x:c r="AK1495" t="n">
        <x:v>0</x:v>
      </x:c>
      <x:c r="AL1495" t="n">
        <x:v>0</x:v>
      </x:c>
      <x:c r="AM1495" t="n">
        <x:f>CHOOSE('假设'!$B$3,AJ1495,AK1495,AL1495)</x:f>
        <x:v>0</x:v>
      </x:c>
      <x:c r="AN1495" t="n">
        <x:v>1</x:v>
      </x:c>
    </x:row>
    <x:row r="1496" ht="23" customHeight="1">
      <x:c r="A1496" s="11" t="str">
        <x:v>688302.SH</x:v>
      </x:c>
      <x:c r="B1496" s="11" t="str">
        <x:v>半年</x:v>
      </x:c>
      <x:c r="C1496" s="11" t="str">
        <x:v>hc1119_bcr</x:v>
      </x:c>
      <x:c r="D1496" s="11" t="str">
        <x:v>2043-12-31</x:v>
      </x:c>
      <x:c r="E1496" s="11" t="str">
        <x:v>CNY</x:v>
      </x:c>
      <x:c r="F1496" s="11" t="n">
        <x:v>16.72826830937714</x:v>
      </x:c>
      <x:c r="G1496" s="26" t="b">
        <x:v>1</x:v>
      </x:c>
      <x:c r="H1496" s="16" t="n">
        <x:v>0.21</x:v>
      </x:c>
      <x:c r="I1496" s="16" t="n">
        <x:v>0.16199999999999995</x:v>
      </x:c>
      <x:c r="J1496" s="16" t="n">
        <x:v>0</x:v>
      </x:c>
      <x:c r="K1496" s="11" t="n">
        <x:f>CHOOSE('假设'!$B$3,H1496,I1496,J1496)</x:f>
        <x:v>0.16199999999999995</x:v>
      </x:c>
      <x:c r="L1496" s="11" t="n">
        <x:f>K1496*'管线假设'!E335*'管线假设'!F335*'管线假设'!G335*IF(E1496="USD",'管线假设'!I335,1)-AM1496</x:f>
        <x:v>0.018447749999999995</x:v>
      </x:c>
      <x:c r="M1496" s="11" t="n">
        <x:f>'管线假设'!H335</x:f>
        <x:v>0.14</x:v>
      </x:c>
      <x:c r="N1496" s="11" t="n">
        <x:f>IF(G1496,L1496*AN1496/(1+M1496)^F1496,0)</x:f>
        <x:v>0.002060742762603823</x:v>
      </x:c>
      <x:c r="AJ1496" t="n">
        <x:v>0</x:v>
      </x:c>
      <x:c r="AK1496" t="n">
        <x:v>0</x:v>
      </x:c>
      <x:c r="AL1496" t="n">
        <x:v>0</x:v>
      </x:c>
      <x:c r="AM1496" t="n">
        <x:f>CHOOSE('假设'!$B$3,AJ1496,AK1496,AL1496)</x:f>
        <x:v>0</x:v>
      </x:c>
      <x:c r="AN1496" t="n">
        <x:v>1</x:v>
      </x:c>
    </x:row>
    <x:row r="1497" ht="23" customHeight="1">
      <x:c r="A1497" s="11" t="str">
        <x:v>688302.SH</x:v>
      </x:c>
      <x:c r="B1497" s="11" t="str">
        <x:v>半年</x:v>
      </x:c>
      <x:c r="C1497" s="11" t="str">
        <x:v>hc1119_bcr</x:v>
      </x:c>
      <x:c r="D1497" s="11" t="str">
        <x:v>2044-12-31</x:v>
      </x:c>
      <x:c r="E1497" s="11" t="str">
        <x:v>CNY</x:v>
      </x:c>
      <x:c r="F1497" s="11" t="n">
        <x:v>17.730321697467488</x:v>
      </x:c>
      <x:c r="G1497" s="26" t="b">
        <x:v>1</x:v>
      </x:c>
      <x:c r="H1497" s="16" t="n">
        <x:v>0.13199999999999998</x:v>
      </x:c>
      <x:c r="I1497" s="16" t="n">
        <x:v>0</x:v>
      </x:c>
      <x:c r="J1497" s="16" t="n">
        <x:v>0</x:v>
      </x:c>
      <x:c r="K1497" s="11" t="n">
        <x:f>CHOOSE('假设'!$B$3,H1497,I1497,J1497)</x:f>
        <x:v>0</x:v>
      </x:c>
      <x:c r="L1497" s="11" t="n">
        <x:f>K1497*'管线假设'!E335*'管线假设'!F335*'管线假设'!G335*IF(E1497="USD",'管线假设'!I335,1)-AM1497</x:f>
        <x:v>0</x:v>
      </x:c>
      <x:c r="M1497" s="11" t="n">
        <x:f>'管线假设'!H335</x:f>
        <x:v>0.14</x:v>
      </x:c>
      <x:c r="N1497" s="11" t="n">
        <x:f>IF(G1497,L1497*AN1497/(1+M1497)^F1497,0)</x:f>
        <x:v>0</x:v>
      </x:c>
      <x:c r="AJ1497" t="n">
        <x:v>0</x:v>
      </x:c>
      <x:c r="AK1497" t="n">
        <x:v>0</x:v>
      </x:c>
      <x:c r="AL1497" t="n">
        <x:v>0</x:v>
      </x:c>
      <x:c r="AM1497" t="n">
        <x:f>CHOOSE('假设'!$B$3,AJ1497,AK1497,AL1497)</x:f>
        <x:v>0</x:v>
      </x:c>
      <x:c r="AN1497" t="n">
        <x:v>1</x:v>
      </x:c>
    </x:row>
    <x:row r="1498" ht="23" customHeight="1">
      <x:c r="A1498" s="11" t="str">
        <x:v>688302.SH</x:v>
      </x:c>
      <x:c r="B1498" s="11" t="str">
        <x:v>半年</x:v>
      </x:c>
      <x:c r="C1498" s="11" t="str">
        <x:v>hc1119_bcr</x:v>
      </x:c>
      <x:c r="D1498" s="11" t="str">
        <x:v>2045-12-31</x:v>
      </x:c>
      <x:c r="E1498" s="11" t="str">
        <x:v>CNY</x:v>
      </x:c>
      <x:c r="F1498" s="11" t="n">
        <x:v>18.729637234770706</x:v>
      </x:c>
      <x:c r="G1498" s="26" t="b">
        <x:v>1</x:v>
      </x:c>
      <x:c r="H1498" s="16" t="n">
        <x:v>0.05399999999999998</x:v>
      </x:c>
      <x:c r="I1498" s="16" t="n">
        <x:v>0</x:v>
      </x:c>
      <x:c r="J1498" s="16" t="n">
        <x:v>0</x:v>
      </x:c>
      <x:c r="K1498" s="11" t="n">
        <x:f>CHOOSE('假设'!$B$3,H1498,I1498,J1498)</x:f>
        <x:v>0</x:v>
      </x:c>
      <x:c r="L1498" s="11" t="n">
        <x:f>K1498*'管线假设'!E335*'管线假设'!F335*'管线假设'!G335*IF(E1498="USD",'管线假设'!I335,1)-AM1498</x:f>
        <x:v>0</x:v>
      </x:c>
      <x:c r="M1498" s="11" t="n">
        <x:f>'管线假设'!H335</x:f>
        <x:v>0.14</x:v>
      </x:c>
      <x:c r="N1498" s="11" t="n">
        <x:f>IF(G1498,L1498*AN1498/(1+M1498)^F1498,0)</x:f>
        <x:v>0</x:v>
      </x:c>
      <x:c r="AJ1498" t="n">
        <x:v>0</x:v>
      </x:c>
      <x:c r="AK1498" t="n">
        <x:v>0</x:v>
      </x:c>
      <x:c r="AL1498" t="n">
        <x:v>0</x:v>
      </x:c>
      <x:c r="AM1498" t="n">
        <x:f>CHOOSE('假设'!$B$3,AJ1498,AK1498,AL1498)</x:f>
        <x:v>0</x:v>
      </x:c>
      <x:c r="AN1498" t="n">
        <x:v>1</x:v>
      </x:c>
    </x:row>
    <x:row r="1499" ht="23" customHeight="1">
      <x:c r="A1499" s="11" t="str">
        <x:v>688302.SH</x:v>
      </x:c>
      <x:c r="B1499" s="11" t="str">
        <x:v>半年</x:v>
      </x:c>
      <x:c r="C1499" s="11" t="str">
        <x:v>hp518_combo_cn</x:v>
      </x:c>
      <x:c r="D1499" s="11" t="str">
        <x:v>2027-12-31</x:v>
      </x:c>
      <x:c r="E1499" s="11" t="str">
        <x:v>CNY</x:v>
      </x:c>
      <x:c r="F1499" s="11" t="n">
        <x:v>0.7282683093771389</x:v>
      </x:c>
      <x:c r="G1499" s="26" t="b">
        <x:v>1</x:v>
      </x:c>
      <x:c r="H1499" s="16" t="n">
        <x:v>0</x:v>
      </x:c>
      <x:c r="I1499" s="16" t="n">
        <x:v>0</x:v>
      </x:c>
      <x:c r="J1499" s="16" t="n">
        <x:v>0</x:v>
      </x:c>
      <x:c r="K1499" s="11" t="n">
        <x:f>CHOOSE('假设'!$B$3,H1499,I1499,J1499)</x:f>
        <x:v>0</x:v>
      </x:c>
      <x:c r="L1499" s="11" t="n">
        <x:f>K1499*'管线假设'!E339*'管线假设'!F339*'管线假设'!G339*IF(E1499="USD",'管线假设'!I339,1)-AM1499</x:f>
        <x:v>0</x:v>
      </x:c>
      <x:c r="M1499" s="11" t="n">
        <x:f>'管线假设'!H339</x:f>
        <x:v>0.14</x:v>
      </x:c>
      <x:c r="N1499" s="11" t="n">
        <x:f>IF(G1499,L1499*AN1499/(1+M1499)^F1499,0)</x:f>
        <x:v>0</x:v>
      </x:c>
      <x:c r="AJ1499" t="n">
        <x:v>0</x:v>
      </x:c>
      <x:c r="AK1499" t="n">
        <x:v>0</x:v>
      </x:c>
      <x:c r="AL1499" t="n">
        <x:v>0</x:v>
      </x:c>
      <x:c r="AM1499" t="n">
        <x:f>CHOOSE('假设'!$B$3,AJ1499,AK1499,AL1499)</x:f>
        <x:v>0</x:v>
      </x:c>
      <x:c r="AN1499" t="n">
        <x:v>1</x:v>
      </x:c>
    </x:row>
    <x:row r="1500" ht="23" customHeight="1">
      <x:c r="A1500" s="11" t="str">
        <x:v>688302.SH</x:v>
      </x:c>
      <x:c r="B1500" s="11" t="str">
        <x:v>半年</x:v>
      </x:c>
      <x:c r="C1500" s="11" t="str">
        <x:v>hp518_combo_cn</x:v>
      </x:c>
      <x:c r="D1500" s="11" t="str">
        <x:v>2028-12-31</x:v>
      </x:c>
      <x:c r="E1500" s="11" t="str">
        <x:v>CNY</x:v>
      </x:c>
      <x:c r="F1500" s="11" t="n">
        <x:v>1.730321697467488</x:v>
      </x:c>
      <x:c r="G1500" s="26" t="b">
        <x:v>1</x:v>
      </x:c>
      <x:c r="H1500" s="16" t="n">
        <x:v>0</x:v>
      </x:c>
      <x:c r="I1500" s="16" t="n">
        <x:v>0</x:v>
      </x:c>
      <x:c r="J1500" s="16" t="n">
        <x:v>0</x:v>
      </x:c>
      <x:c r="K1500" s="11" t="n">
        <x:f>CHOOSE('假设'!$B$3,H1500,I1500,J1500)</x:f>
        <x:v>0</x:v>
      </x:c>
      <x:c r="L1500" s="11" t="n">
        <x:f>K1500*'管线假设'!E339*'管线假设'!F339*'管线假设'!G339*IF(E1500="USD",'管线假设'!I339,1)-AM1500</x:f>
        <x:v>0</x:v>
      </x:c>
      <x:c r="M1500" s="11" t="n">
        <x:f>'管线假设'!H339</x:f>
        <x:v>0.14</x:v>
      </x:c>
      <x:c r="N1500" s="11" t="n">
        <x:f>IF(G1500,L1500*AN1500/(1+M1500)^F1500,0)</x:f>
        <x:v>0</x:v>
      </x:c>
      <x:c r="AJ1500" t="n">
        <x:v>0</x:v>
      </x:c>
      <x:c r="AK1500" t="n">
        <x:v>0</x:v>
      </x:c>
      <x:c r="AL1500" t="n">
        <x:v>0</x:v>
      </x:c>
      <x:c r="AM1500" t="n">
        <x:f>CHOOSE('假设'!$B$3,AJ1500,AK1500,AL1500)</x:f>
        <x:v>0</x:v>
      </x:c>
      <x:c r="AN1500" t="n">
        <x:v>1</x:v>
      </x:c>
    </x:row>
    <x:row r="1501" ht="23" customHeight="1">
      <x:c r="A1501" s="11" t="str">
        <x:v>688302.SH</x:v>
      </x:c>
      <x:c r="B1501" s="11" t="str">
        <x:v>半年</x:v>
      </x:c>
      <x:c r="C1501" s="11" t="str">
        <x:v>hp518_combo_cn</x:v>
      </x:c>
      <x:c r="D1501" s="11" t="str">
        <x:v>2029-12-31</x:v>
      </x:c>
      <x:c r="E1501" s="11" t="str">
        <x:v>CNY</x:v>
      </x:c>
      <x:c r="F1501" s="11" t="n">
        <x:v>2.729637234770705</x:v>
      </x:c>
      <x:c r="G1501" s="26" t="b">
        <x:v>1</x:v>
      </x:c>
      <x:c r="H1501" s="16" t="n">
        <x:v>0</x:v>
      </x:c>
      <x:c r="I1501" s="16" t="n">
        <x:v>0</x:v>
      </x:c>
      <x:c r="J1501" s="16" t="n">
        <x:v>0</x:v>
      </x:c>
      <x:c r="K1501" s="11" t="n">
        <x:f>CHOOSE('假设'!$B$3,H1501,I1501,J1501)</x:f>
        <x:v>0</x:v>
      </x:c>
      <x:c r="L1501" s="11" t="n">
        <x:f>K1501*'管线假设'!E339*'管线假设'!F339*'管线假设'!G339*IF(E1501="USD",'管线假设'!I339,1)-AM1501</x:f>
        <x:v>0</x:v>
      </x:c>
      <x:c r="M1501" s="11" t="n">
        <x:f>'管线假设'!H339</x:f>
        <x:v>0.14</x:v>
      </x:c>
      <x:c r="N1501" s="11" t="n">
        <x:f>IF(G1501,L1501*AN1501/(1+M1501)^F1501,0)</x:f>
        <x:v>0</x:v>
      </x:c>
      <x:c r="AJ1501" t="n">
        <x:v>0</x:v>
      </x:c>
      <x:c r="AK1501" t="n">
        <x:v>0</x:v>
      </x:c>
      <x:c r="AL1501" t="n">
        <x:v>0</x:v>
      </x:c>
      <x:c r="AM1501" t="n">
        <x:f>CHOOSE('假设'!$B$3,AJ1501,AK1501,AL1501)</x:f>
        <x:v>0</x:v>
      </x:c>
      <x:c r="AN1501" t="n">
        <x:v>1</x:v>
      </x:c>
    </x:row>
    <x:row r="1502" ht="23" customHeight="1">
      <x:c r="A1502" s="11" t="str">
        <x:v>688302.SH</x:v>
      </x:c>
      <x:c r="B1502" s="11" t="str">
        <x:v>半年</x:v>
      </x:c>
      <x:c r="C1502" s="11" t="str">
        <x:v>hp518_combo_cn</x:v>
      </x:c>
      <x:c r="D1502" s="11" t="str">
        <x:v>2030-12-31</x:v>
      </x:c>
      <x:c r="E1502" s="11" t="str">
        <x:v>CNY</x:v>
      </x:c>
      <x:c r="F1502" s="11" t="n">
        <x:v>3.728952772073922</x:v>
      </x:c>
      <x:c r="G1502" s="26" t="b">
        <x:v>1</x:v>
      </x:c>
      <x:c r="H1502" s="16" t="n">
        <x:v>0</x:v>
      </x:c>
      <x:c r="I1502" s="16" t="n">
        <x:v>0</x:v>
      </x:c>
      <x:c r="J1502" s="16" t="n">
        <x:v>0</x:v>
      </x:c>
      <x:c r="K1502" s="11" t="n">
        <x:f>CHOOSE('假设'!$B$3,H1502,I1502,J1502)</x:f>
        <x:v>0</x:v>
      </x:c>
      <x:c r="L1502" s="11" t="n">
        <x:f>K1502*'管线假设'!E339*'管线假设'!F339*'管线假设'!G339*IF(E1502="USD",'管线假设'!I339,1)-AM1502</x:f>
        <x:v>0</x:v>
      </x:c>
      <x:c r="M1502" s="11" t="n">
        <x:f>'管线假设'!H339</x:f>
        <x:v>0.14</x:v>
      </x:c>
      <x:c r="N1502" s="11" t="n">
        <x:f>IF(G1502,L1502*AN1502/(1+M1502)^F1502,0)</x:f>
        <x:v>0</x:v>
      </x:c>
      <x:c r="AJ1502" t="n">
        <x:v>0</x:v>
      </x:c>
      <x:c r="AK1502" t="n">
        <x:v>0</x:v>
      </x:c>
      <x:c r="AL1502" t="n">
        <x:v>0</x:v>
      </x:c>
      <x:c r="AM1502" t="n">
        <x:f>CHOOSE('假设'!$B$3,AJ1502,AK1502,AL1502)</x:f>
        <x:v>0</x:v>
      </x:c>
      <x:c r="AN1502" t="n">
        <x:v>1</x:v>
      </x:c>
    </x:row>
    <x:row r="1503" ht="23" customHeight="1">
      <x:c r="A1503" s="11" t="str">
        <x:v>688302.SH</x:v>
      </x:c>
      <x:c r="B1503" s="11" t="str">
        <x:v>半年</x:v>
      </x:c>
      <x:c r="C1503" s="11" t="str">
        <x:v>hp518_combo_cn</x:v>
      </x:c>
      <x:c r="D1503" s="11" t="str">
        <x:v>2031-12-31</x:v>
      </x:c>
      <x:c r="E1503" s="11" t="str">
        <x:v>CNY</x:v>
      </x:c>
      <x:c r="F1503" s="11" t="n">
        <x:v>4.728268309377139</x:v>
      </x:c>
      <x:c r="G1503" s="26" t="b">
        <x:v>1</x:v>
      </x:c>
      <x:c r="H1503" s="16" t="n">
        <x:v>0</x:v>
      </x:c>
      <x:c r="I1503" s="16" t="n">
        <x:v>0</x:v>
      </x:c>
      <x:c r="J1503" s="16" t="n">
        <x:v>0.41666666666666663</x:v>
      </x:c>
      <x:c r="K1503" s="11" t="n">
        <x:f>CHOOSE('假设'!$B$3,H1503,I1503,J1503)</x:f>
        <x:v>0</x:v>
      </x:c>
      <x:c r="L1503" s="11" t="n">
        <x:f>K1503*'管线假设'!E339*'管线假设'!F339*'管线假设'!G339*IF(E1503="USD",'管线假设'!I339,1)-AM1503</x:f>
        <x:v>0</x:v>
      </x:c>
      <x:c r="M1503" s="11" t="n">
        <x:f>'管线假设'!H339</x:f>
        <x:v>0.14</x:v>
      </x:c>
      <x:c r="N1503" s="11" t="n">
        <x:f>IF(G1503,L1503*AN1503/(1+M1503)^F1503,0)</x:f>
        <x:v>0</x:v>
      </x:c>
      <x:c r="AJ1503" t="n">
        <x:v>0</x:v>
      </x:c>
      <x:c r="AK1503" t="n">
        <x:v>0</x:v>
      </x:c>
      <x:c r="AL1503" t="n">
        <x:v>0</x:v>
      </x:c>
      <x:c r="AM1503" t="n">
        <x:f>CHOOSE('假设'!$B$3,AJ1503,AK1503,AL1503)</x:f>
        <x:v>0</x:v>
      </x:c>
      <x:c r="AN1503" t="n">
        <x:v>1</x:v>
      </x:c>
    </x:row>
    <x:row r="1504" ht="23" customHeight="1">
      <x:c r="A1504" s="11" t="str">
        <x:v>688302.SH</x:v>
      </x:c>
      <x:c r="B1504" s="11" t="str">
        <x:v>半年</x:v>
      </x:c>
      <x:c r="C1504" s="11" t="str">
        <x:v>hp518_combo_cn</x:v>
      </x:c>
      <x:c r="D1504" s="11" t="str">
        <x:v>2032-12-31</x:v>
      </x:c>
      <x:c r="E1504" s="11" t="str">
        <x:v>CNY</x:v>
      </x:c>
      <x:c r="F1504" s="11" t="n">
        <x:v>5.730321697467488</x:v>
      </x:c>
      <x:c r="G1504" s="26" t="b">
        <x:v>1</x:v>
      </x:c>
      <x:c r="H1504" s="16" t="n">
        <x:v>0</x:v>
      </x:c>
      <x:c r="I1504" s="16" t="n">
        <x:v>0</x:v>
      </x:c>
      <x:c r="J1504" s="16" t="n">
        <x:v>0.8333333333333333</x:v>
      </x:c>
      <x:c r="K1504" s="11" t="n">
        <x:f>CHOOSE('假设'!$B$3,H1504,I1504,J1504)</x:f>
        <x:v>0</x:v>
      </x:c>
      <x:c r="L1504" s="11" t="n">
        <x:f>K1504*'管线假设'!E339*'管线假设'!F339*'管线假设'!G339*IF(E1504="USD",'管线假设'!I339,1)-AM1504</x:f>
        <x:v>0</x:v>
      </x:c>
      <x:c r="M1504" s="11" t="n">
        <x:f>'管线假设'!H339</x:f>
        <x:v>0.14</x:v>
      </x:c>
      <x:c r="N1504" s="11" t="n">
        <x:f>IF(G1504,L1504*AN1504/(1+M1504)^F1504,0)</x:f>
        <x:v>0</x:v>
      </x:c>
      <x:c r="AJ1504" t="n">
        <x:v>0</x:v>
      </x:c>
      <x:c r="AK1504" t="n">
        <x:v>0</x:v>
      </x:c>
      <x:c r="AL1504" t="n">
        <x:v>0</x:v>
      </x:c>
      <x:c r="AM1504" t="n">
        <x:f>CHOOSE('假设'!$B$3,AJ1504,AK1504,AL1504)</x:f>
        <x:v>0</x:v>
      </x:c>
      <x:c r="AN1504" t="n">
        <x:v>1</x:v>
      </x:c>
    </x:row>
    <x:row r="1505" ht="23" customHeight="1">
      <x:c r="A1505" s="11" t="str">
        <x:v>688302.SH</x:v>
      </x:c>
      <x:c r="B1505" s="11" t="str">
        <x:v>半年</x:v>
      </x:c>
      <x:c r="C1505" s="11" t="str">
        <x:v>hp518_combo_cn</x:v>
      </x:c>
      <x:c r="D1505" s="11" t="str">
        <x:v>2033-12-31</x:v>
      </x:c>
      <x:c r="E1505" s="11" t="str">
        <x:v>CNY</x:v>
      </x:c>
      <x:c r="F1505" s="11" t="n">
        <x:v>6.729637234770705</x:v>
      </x:c>
      <x:c r="G1505" s="26" t="b">
        <x:v>1</x:v>
      </x:c>
      <x:c r="H1505" s="16" t="n">
        <x:v>0</x:v>
      </x:c>
      <x:c r="I1505" s="16" t="n">
        <x:v>0.21666666666666667</x:v>
      </x:c>
      <x:c r="J1505" s="16" t="n">
        <x:v>1.25</x:v>
      </x:c>
      <x:c r="K1505" s="11" t="n">
        <x:f>CHOOSE('假设'!$B$3,H1505,I1505,J1505)</x:f>
        <x:v>0.21666666666666667</x:v>
      </x:c>
      <x:c r="L1505" s="11" t="n">
        <x:f>K1505*'管线假设'!E339*'管线假设'!F339*'管线假设'!G339*IF(E1505="USD",'管线假设'!I339,1)-AM1505</x:f>
        <x:v>0.011352033333333334</x:v>
      </x:c>
      <x:c r="M1505" s="11" t="n">
        <x:f>'管线假设'!H339</x:f>
        <x:v>0.14</x:v>
      </x:c>
      <x:c r="N1505" s="11" t="n">
        <x:f>IF(G1505,L1505*AN1505/(1+M1505)^F1505,0)</x:f>
        <x:v>0.0047002899706511895</x:v>
      </x:c>
      <x:c r="AJ1505" t="n">
        <x:v>0</x:v>
      </x:c>
      <x:c r="AK1505" t="n">
        <x:v>0</x:v>
      </x:c>
      <x:c r="AL1505" t="n">
        <x:v>0</x:v>
      </x:c>
      <x:c r="AM1505" t="n">
        <x:f>CHOOSE('假设'!$B$3,AJ1505,AK1505,AL1505)</x:f>
        <x:v>0</x:v>
      </x:c>
      <x:c r="AN1505" t="n">
        <x:v>1</x:v>
      </x:c>
    </x:row>
    <x:row r="1506" ht="23" customHeight="1">
      <x:c r="A1506" s="11" t="str">
        <x:v>688302.SH</x:v>
      </x:c>
      <x:c r="B1506" s="11" t="str">
        <x:v>半年</x:v>
      </x:c>
      <x:c r="C1506" s="11" t="str">
        <x:v>hp518_combo_cn</x:v>
      </x:c>
      <x:c r="D1506" s="11" t="str">
        <x:v>2034-12-31</x:v>
      </x:c>
      <x:c r="E1506" s="11" t="str">
        <x:v>CNY</x:v>
      </x:c>
      <x:c r="F1506" s="11" t="n">
        <x:v>7.728952772073922</x:v>
      </x:c>
      <x:c r="G1506" s="26" t="b">
        <x:v>1</x:v>
      </x:c>
      <x:c r="H1506" s="16" t="n">
        <x:v>0</x:v>
      </x:c>
      <x:c r="I1506" s="16" t="n">
        <x:v>0.43333333333333335</x:v>
      </x:c>
      <x:c r="J1506" s="16" t="n">
        <x:v>1.6666666666666665</x:v>
      </x:c>
      <x:c r="K1506" s="11" t="n">
        <x:f>CHOOSE('假设'!$B$3,H1506,I1506,J1506)</x:f>
        <x:v>0.43333333333333335</x:v>
      </x:c>
      <x:c r="L1506" s="11" t="n">
        <x:f>K1506*'管线假设'!E339*'管线假设'!F339*'管线假设'!G339*IF(E1506="USD",'管线假设'!I339,1)-AM1506</x:f>
        <x:v>0.022704066666666668</x:v>
      </x:c>
      <x:c r="M1506" s="11" t="n">
        <x:f>'管线假设'!H339</x:f>
        <x:v>0.14</x:v>
      </x:c>
      <x:c r="N1506" s="11" t="n">
        <x:f>IF(G1506,L1506*AN1506/(1+M1506)^F1506,0)</x:f>
        <x:v>0.008246862333617613</x:v>
      </x:c>
      <x:c r="AJ1506" t="n">
        <x:v>0</x:v>
      </x:c>
      <x:c r="AK1506" t="n">
        <x:v>0</x:v>
      </x:c>
      <x:c r="AL1506" t="n">
        <x:v>0</x:v>
      </x:c>
      <x:c r="AM1506" t="n">
        <x:f>CHOOSE('假设'!$B$3,AJ1506,AK1506,AL1506)</x:f>
        <x:v>0</x:v>
      </x:c>
      <x:c r="AN1506" t="n">
        <x:v>1</x:v>
      </x:c>
    </x:row>
    <x:row r="1507" ht="23" customHeight="1">
      <x:c r="A1507" s="11" t="str">
        <x:v>688302.SH</x:v>
      </x:c>
      <x:c r="B1507" s="11" t="str">
        <x:v>半年</x:v>
      </x:c>
      <x:c r="C1507" s="11" t="str">
        <x:v>hp518_combo_cn</x:v>
      </x:c>
      <x:c r="D1507" s="11" t="str">
        <x:v>2035-12-31</x:v>
      </x:c>
      <x:c r="E1507" s="11" t="str">
        <x:v>CNY</x:v>
      </x:c>
      <x:c r="F1507" s="11" t="n">
        <x:v>8.728268309377139</x:v>
      </x:c>
      <x:c r="G1507" s="26" t="b">
        <x:v>1</x:v>
      </x:c>
      <x:c r="H1507" s="16" t="n">
        <x:v>0</x:v>
      </x:c>
      <x:c r="I1507" s="16" t="n">
        <x:v>0.65</x:v>
      </x:c>
      <x:c r="J1507" s="16" t="n">
        <x:v>2.0833333333333335</x:v>
      </x:c>
      <x:c r="K1507" s="11" t="n">
        <x:f>CHOOSE('假设'!$B$3,H1507,I1507,J1507)</x:f>
        <x:v>0.65</x:v>
      </x:c>
      <x:c r="L1507" s="11" t="n">
        <x:f>K1507*'管线假设'!E339*'管线假设'!F339*'管线假设'!G339*IF(E1507="USD",'管线假设'!I339,1)-AM1507</x:f>
        <x:v>0.034056100000000006</x:v>
      </x:c>
      <x:c r="M1507" s="11" t="n">
        <x:f>'管线假设'!H339</x:f>
        <x:v>0.14</x:v>
      </x:c>
      <x:c r="N1507" s="11" t="n">
        <x:f>IF(G1507,L1507*AN1507/(1+M1507)^F1507,0)</x:f>
        <x:v>0.01085210786583959</x:v>
      </x:c>
      <x:c r="AJ1507" t="n">
        <x:v>0</x:v>
      </x:c>
      <x:c r="AK1507" t="n">
        <x:v>0</x:v>
      </x:c>
      <x:c r="AL1507" t="n">
        <x:v>0</x:v>
      </x:c>
      <x:c r="AM1507" t="n">
        <x:f>CHOOSE('假设'!$B$3,AJ1507,AK1507,AL1507)</x:f>
        <x:v>0</x:v>
      </x:c>
      <x:c r="AN1507" t="n">
        <x:v>1</x:v>
      </x:c>
    </x:row>
    <x:row r="1508" ht="23" customHeight="1">
      <x:c r="A1508" s="11" t="str">
        <x:v>688302.SH</x:v>
      </x:c>
      <x:c r="B1508" s="11" t="str">
        <x:v>半年</x:v>
      </x:c>
      <x:c r="C1508" s="11" t="str">
        <x:v>hp518_combo_cn</x:v>
      </x:c>
      <x:c r="D1508" s="11" t="str">
        <x:v>2036-12-31</x:v>
      </x:c>
      <x:c r="E1508" s="11" t="str">
        <x:v>CNY</x:v>
      </x:c>
      <x:c r="F1508" s="11" t="n">
        <x:v>9.730321697467488</x:v>
      </x:c>
      <x:c r="G1508" s="26" t="b">
        <x:v>1</x:v>
      </x:c>
      <x:c r="H1508" s="16" t="n">
        <x:v>0.1</x:v>
      </x:c>
      <x:c r="I1508" s="16" t="n">
        <x:v>0.8666666666666667</x:v>
      </x:c>
      <x:c r="J1508" s="16" t="n">
        <x:v>2.5</x:v>
      </x:c>
      <x:c r="K1508" s="11" t="n">
        <x:f>CHOOSE('假设'!$B$3,H1508,I1508,J1508)</x:f>
        <x:v>0.8666666666666667</x:v>
      </x:c>
      <x:c r="L1508" s="11" t="n">
        <x:f>K1508*'管线假设'!E339*'管线假设'!F339*'管线假设'!G339*IF(E1508="USD",'管线假设'!I339,1)-AM1508</x:f>
        <x:v>0.045408133333333336</x:v>
      </x:c>
      <x:c r="M1508" s="11" t="n">
        <x:f>'管线假设'!H339</x:f>
        <x:v>0.14</x:v>
      </x:c>
      <x:c r="N1508" s="11" t="n">
        <x:f>IF(G1508,L1508*AN1508/(1+M1508)^F1508,0)</x:f>
        <x:v>0.012689109331739772</x:v>
      </x:c>
      <x:c r="AJ1508" t="n">
        <x:v>0</x:v>
      </x:c>
      <x:c r="AK1508" t="n">
        <x:v>0</x:v>
      </x:c>
      <x:c r="AL1508" t="n">
        <x:v>0</x:v>
      </x:c>
      <x:c r="AM1508" t="n">
        <x:f>CHOOSE('假设'!$B$3,AJ1508,AK1508,AL1508)</x:f>
        <x:v>0</x:v>
      </x:c>
      <x:c r="AN1508" t="n">
        <x:v>1</x:v>
      </x:c>
    </x:row>
    <x:row r="1509" ht="23" customHeight="1">
      <x:c r="A1509" s="11" t="str">
        <x:v>688302.SH</x:v>
      </x:c>
      <x:c r="B1509" s="11" t="str">
        <x:v>半年</x:v>
      </x:c>
      <x:c r="C1509" s="11" t="str">
        <x:v>hp518_combo_cn</x:v>
      </x:c>
      <x:c r="D1509" s="11" t="str">
        <x:v>2037-12-31</x:v>
      </x:c>
      <x:c r="E1509" s="11" t="str">
        <x:v>CNY</x:v>
      </x:c>
      <x:c r="F1509" s="11" t="n">
        <x:v>10.729637234770705</x:v>
      </x:c>
      <x:c r="G1509" s="26" t="b">
        <x:v>1</x:v>
      </x:c>
      <x:c r="H1509" s="16" t="n">
        <x:v>0.2</x:v>
      </x:c>
      <x:c r="I1509" s="16" t="n">
        <x:v>1.0833333333333335</x:v>
      </x:c>
      <x:c r="J1509" s="16" t="n">
        <x:v>2.175</x:v>
      </x:c>
      <x:c r="K1509" s="11" t="n">
        <x:f>CHOOSE('假设'!$B$3,H1509,I1509,J1509)</x:f>
        <x:v>1.0833333333333335</x:v>
      </x:c>
      <x:c r="L1509" s="11" t="n">
        <x:f>K1509*'管线假设'!E339*'管线假设'!F339*'管线假设'!G339*IF(E1509="USD",'管线假设'!I339,1)-AM1509</x:f>
        <x:v>0.05676016666666668</x:v>
      </x:c>
      <x:c r="M1509" s="11" t="n">
        <x:f>'管线假设'!H339</x:f>
        <x:v>0.14</x:v>
      </x:c>
      <x:c r="N1509" s="11" t="n">
        <x:f>IF(G1509,L1509*AN1509/(1+M1509)^F1509,0)</x:f>
        <x:v>0.01391474494771738</x:v>
      </x:c>
      <x:c r="AJ1509" t="n">
        <x:v>0</x:v>
      </x:c>
      <x:c r="AK1509" t="n">
        <x:v>0</x:v>
      </x:c>
      <x:c r="AL1509" t="n">
        <x:v>0</x:v>
      </x:c>
      <x:c r="AM1509" t="n">
        <x:f>CHOOSE('假设'!$B$3,AJ1509,AK1509,AL1509)</x:f>
        <x:v>0</x:v>
      </x:c>
      <x:c r="AN1509" t="n">
        <x:v>1</x:v>
      </x:c>
    </x:row>
    <x:row r="1510" ht="23" customHeight="1">
      <x:c r="A1510" s="11" t="str">
        <x:v>688302.SH</x:v>
      </x:c>
      <x:c r="B1510" s="11" t="str">
        <x:v>半年</x:v>
      </x:c>
      <x:c r="C1510" s="11" t="str">
        <x:v>hp518_combo_cn</x:v>
      </x:c>
      <x:c r="D1510" s="11" t="str">
        <x:v>2038-12-31</x:v>
      </x:c>
      <x:c r="E1510" s="11" t="str">
        <x:v>CNY</x:v>
      </x:c>
      <x:c r="F1510" s="11" t="n">
        <x:v>11.728952772073923</x:v>
      </x:c>
      <x:c r="G1510" s="26" t="b">
        <x:v>1</x:v>
      </x:c>
      <x:c r="H1510" s="16" t="n">
        <x:v>0.3</x:v>
      </x:c>
      <x:c r="I1510" s="16" t="n">
        <x:v>1.3</x:v>
      </x:c>
      <x:c r="J1510" s="16" t="n">
        <x:v>1.85</x:v>
      </x:c>
      <x:c r="K1510" s="11" t="n">
        <x:f>CHOOSE('假设'!$B$3,H1510,I1510,J1510)</x:f>
        <x:v>1.3</x:v>
      </x:c>
      <x:c r="L1510" s="11" t="n">
        <x:f>K1510*'管线假设'!E339*'管线假设'!F339*'管线假设'!G339*IF(E1510="USD",'管线假设'!I339,1)-AM1510</x:f>
        <x:v>0.06811220000000001</x:v>
      </x:c>
      <x:c r="M1510" s="11" t="n">
        <x:f>'管线假设'!H339</x:f>
        <x:v>0.14</x:v>
      </x:c>
      <x:c r="N1510" s="11" t="n">
        <x:f>IF(G1510,L1510*AN1510/(1+M1510)^F1510,0)</x:f>
        <x:v>0.014648413613766252</x:v>
      </x:c>
      <x:c r="AJ1510" t="n">
        <x:v>0</x:v>
      </x:c>
      <x:c r="AK1510" t="n">
        <x:v>0</x:v>
      </x:c>
      <x:c r="AL1510" t="n">
        <x:v>0</x:v>
      </x:c>
      <x:c r="AM1510" t="n">
        <x:f>CHOOSE('假设'!$B$3,AJ1510,AK1510,AL1510)</x:f>
        <x:v>0</x:v>
      </x:c>
      <x:c r="AN1510" t="n">
        <x:v>1</x:v>
      </x:c>
    </x:row>
    <x:row r="1511" ht="23" customHeight="1">
      <x:c r="A1511" s="11" t="str">
        <x:v>688302.SH</x:v>
      </x:c>
      <x:c r="B1511" s="11" t="str">
        <x:v>半年</x:v>
      </x:c>
      <x:c r="C1511" s="11" t="str">
        <x:v>hp518_combo_cn</x:v>
      </x:c>
      <x:c r="D1511" s="11" t="str">
        <x:v>2039-12-31</x:v>
      </x:c>
      <x:c r="E1511" s="11" t="str">
        <x:v>CNY</x:v>
      </x:c>
      <x:c r="F1511" s="11" t="n">
        <x:v>12.728268309377139</x:v>
      </x:c>
      <x:c r="G1511" s="26" t="b">
        <x:v>1</x:v>
      </x:c>
      <x:c r="H1511" s="16" t="n">
        <x:v>0.4</x:v>
      </x:c>
      <x:c r="I1511" s="16" t="n">
        <x:v>1.131</x:v>
      </x:c>
      <x:c r="J1511" s="16" t="n">
        <x:v>1.525</x:v>
      </x:c>
      <x:c r="K1511" s="11" t="n">
        <x:f>CHOOSE('假设'!$B$3,H1511,I1511,J1511)</x:f>
        <x:v>1.131</x:v>
      </x:c>
      <x:c r="L1511" s="11" t="n">
        <x:f>K1511*'管线假设'!E339*'管线假设'!F339*'管线假设'!G339*IF(E1511="USD",'管线假设'!I339,1)-AM1511</x:f>
        <x:v>0.059257614</x:v>
      </x:c>
      <x:c r="M1511" s="11" t="n">
        <x:f>'管线假设'!H339</x:f>
        <x:v>0.14</x:v>
      </x:c>
      <x:c r="N1511" s="11" t="n">
        <x:f>IF(G1511,L1511*AN1511/(1+M1511)^F1511,0)</x:f>
        <x:v>0.011180055121348082</x:v>
      </x:c>
      <x:c r="AJ1511" t="n">
        <x:v>0</x:v>
      </x:c>
      <x:c r="AK1511" t="n">
        <x:v>0</x:v>
      </x:c>
      <x:c r="AL1511" t="n">
        <x:v>0</x:v>
      </x:c>
      <x:c r="AM1511" t="n">
        <x:f>CHOOSE('假设'!$B$3,AJ1511,AK1511,AL1511)</x:f>
        <x:v>0</x:v>
      </x:c>
      <x:c r="AN1511" t="n">
        <x:v>1</x:v>
      </x:c>
    </x:row>
    <x:row r="1512" ht="23" customHeight="1">
      <x:c r="A1512" s="11" t="str">
        <x:v>688302.SH</x:v>
      </x:c>
      <x:c r="B1512" s="11" t="str">
        <x:v>半年</x:v>
      </x:c>
      <x:c r="C1512" s="11" t="str">
        <x:v>hp518_combo_cn</x:v>
      </x:c>
      <x:c r="D1512" s="11" t="str">
        <x:v>2040-12-31</x:v>
      </x:c>
      <x:c r="E1512" s="11" t="str">
        <x:v>CNY</x:v>
      </x:c>
      <x:c r="F1512" s="11" t="n">
        <x:v>13.730321697467488</x:v>
      </x:c>
      <x:c r="G1512" s="26" t="b">
        <x:v>1</x:v>
      </x:c>
      <x:c r="H1512" s="16" t="n">
        <x:v>0.5</x:v>
      </x:c>
      <x:c r="I1512" s="16" t="n">
        <x:v>0.962</x:v>
      </x:c>
      <x:c r="J1512" s="16" t="n">
        <x:v>1.2</x:v>
      </x:c>
      <x:c r="K1512" s="11" t="n">
        <x:f>CHOOSE('假设'!$B$3,H1512,I1512,J1512)</x:f>
        <x:v>0.962</x:v>
      </x:c>
      <x:c r="L1512" s="11" t="n">
        <x:f>K1512*'管线假设'!E339*'管线假设'!F339*'管线假设'!G339*IF(E1512="USD",'管线假设'!I339,1)-AM1512</x:f>
        <x:v>0.050403028</x:v>
      </x:c>
      <x:c r="M1512" s="11" t="n">
        <x:f>'管线假设'!H339</x:f>
        <x:v>0.14</x:v>
      </x:c>
      <x:c r="N1512" s="11" t="n">
        <x:f>IF(G1512,L1512*AN1512/(1+M1512)^F1512,0)</x:f>
        <x:v>0.00833939822371603</x:v>
      </x:c>
      <x:c r="AJ1512" t="n">
        <x:v>0</x:v>
      </x:c>
      <x:c r="AK1512" t="n">
        <x:v>0</x:v>
      </x:c>
      <x:c r="AL1512" t="n">
        <x:v>0</x:v>
      </x:c>
      <x:c r="AM1512" t="n">
        <x:f>CHOOSE('假设'!$B$3,AJ1512,AK1512,AL1512)</x:f>
        <x:v>0</x:v>
      </x:c>
      <x:c r="AN1512" t="n">
        <x:v>1</x:v>
      </x:c>
    </x:row>
    <x:row r="1513" ht="23" customHeight="1">
      <x:c r="A1513" s="11" t="str">
        <x:v>688302.SH</x:v>
      </x:c>
      <x:c r="B1513" s="11" t="str">
        <x:v>半年</x:v>
      </x:c>
      <x:c r="C1513" s="11" t="str">
        <x:v>hp518_combo_cn</x:v>
      </x:c>
      <x:c r="D1513" s="11" t="str">
        <x:v>2041-12-31</x:v>
      </x:c>
      <x:c r="E1513" s="11" t="str">
        <x:v>CNY</x:v>
      </x:c>
      <x:c r="F1513" s="11" t="n">
        <x:v>14.729637234770705</x:v>
      </x:c>
      <x:c r="G1513" s="26" t="b">
        <x:v>1</x:v>
      </x:c>
      <x:c r="H1513" s="16" t="n">
        <x:v>0.435</x:v>
      </x:c>
      <x:c r="I1513" s="16" t="n">
        <x:v>0.793</x:v>
      </x:c>
      <x:c r="J1513" s="16" t="n">
        <x:v>0.875</x:v>
      </x:c>
      <x:c r="K1513" s="11" t="n">
        <x:f>CHOOSE('假设'!$B$3,H1513,I1513,J1513)</x:f>
        <x:v>0.793</x:v>
      </x:c>
      <x:c r="L1513" s="11" t="n">
        <x:f>K1513*'管线假设'!E339*'管线假设'!F339*'管线假设'!G339*IF(E1513="USD",'管线假设'!I339,1)-AM1513</x:f>
        <x:v>0.041548442000000005</x:v>
      </x:c>
      <x:c r="M1513" s="11" t="n">
        <x:f>'管线假设'!H339</x:f>
        <x:v>0.14</x:v>
      </x:c>
      <x:c r="N1513" s="11" t="n">
        <x:f>IF(G1513,L1513*AN1513/(1+M1513)^F1513,0)</x:f>
        <x:v>0.006030688907267723</x:v>
      </x:c>
      <x:c r="AJ1513" t="n">
        <x:v>0</x:v>
      </x:c>
      <x:c r="AK1513" t="n">
        <x:v>0</x:v>
      </x:c>
      <x:c r="AL1513" t="n">
        <x:v>0</x:v>
      </x:c>
      <x:c r="AM1513" t="n">
        <x:f>CHOOSE('假设'!$B$3,AJ1513,AK1513,AL1513)</x:f>
        <x:v>0</x:v>
      </x:c>
      <x:c r="AN1513" t="n">
        <x:v>1</x:v>
      </x:c>
    </x:row>
    <x:row r="1514" ht="23" customHeight="1">
      <x:c r="A1514" s="11" t="str">
        <x:v>688302.SH</x:v>
      </x:c>
      <x:c r="B1514" s="11" t="str">
        <x:v>半年</x:v>
      </x:c>
      <x:c r="C1514" s="11" t="str">
        <x:v>hp518_combo_cn</x:v>
      </x:c>
      <x:c r="D1514" s="11" t="str">
        <x:v>2042-12-31</x:v>
      </x:c>
      <x:c r="E1514" s="11" t="str">
        <x:v>CNY</x:v>
      </x:c>
      <x:c r="F1514" s="11" t="n">
        <x:v>15.728952772073923</x:v>
      </x:c>
      <x:c r="G1514" s="26" t="b">
        <x:v>1</x:v>
      </x:c>
      <x:c r="H1514" s="16" t="n">
        <x:v>0.37</x:v>
      </x:c>
      <x:c r="I1514" s="16" t="n">
        <x:v>0.624</x:v>
      </x:c>
      <x:c r="J1514" s="16" t="n">
        <x:v>0.5499999999999999</x:v>
      </x:c>
      <x:c r="K1514" s="11" t="n">
        <x:f>CHOOSE('假设'!$B$3,H1514,I1514,J1514)</x:f>
        <x:v>0.624</x:v>
      </x:c>
      <x:c r="L1514" s="11" t="n">
        <x:f>K1514*'管线假设'!E339*'管线假设'!F339*'管线假设'!G339*IF(E1514="USD",'管线假设'!I339,1)-AM1514</x:f>
        <x:v>0.032693856</x:v>
      </x:c>
      <x:c r="M1514" s="11" t="n">
        <x:f>'管线假设'!H339</x:f>
        <x:v>0.14</x:v>
      </x:c>
      <x:c r="N1514" s="11" t="n">
        <x:f>IF(G1514,L1514*AN1514/(1+M1514)^F1514,0)</x:f>
        <x:v>0.0041630576618265505</x:v>
      </x:c>
      <x:c r="AJ1514" t="n">
        <x:v>0</x:v>
      </x:c>
      <x:c r="AK1514" t="n">
        <x:v>0</x:v>
      </x:c>
      <x:c r="AL1514" t="n">
        <x:v>0</x:v>
      </x:c>
      <x:c r="AM1514" t="n">
        <x:f>CHOOSE('假设'!$B$3,AJ1514,AK1514,AL1514)</x:f>
        <x:v>0</x:v>
      </x:c>
      <x:c r="AN1514" t="n">
        <x:v>1</x:v>
      </x:c>
    </x:row>
    <x:row r="1515" ht="23" customHeight="1">
      <x:c r="A1515" s="11" t="str">
        <x:v>688302.SH</x:v>
      </x:c>
      <x:c r="B1515" s="11" t="str">
        <x:v>半年</x:v>
      </x:c>
      <x:c r="C1515" s="11" t="str">
        <x:v>hp518_combo_cn</x:v>
      </x:c>
      <x:c r="D1515" s="11" t="str">
        <x:v>2043-12-31</x:v>
      </x:c>
      <x:c r="E1515" s="11" t="str">
        <x:v>CNY</x:v>
      </x:c>
      <x:c r="F1515" s="11" t="n">
        <x:v>16.72826830937714</x:v>
      </x:c>
      <x:c r="G1515" s="26" t="b">
        <x:v>1</x:v>
      </x:c>
      <x:c r="H1515" s="16" t="n">
        <x:v>0.305</x:v>
      </x:c>
      <x:c r="I1515" s="16" t="n">
        <x:v>0.45499999999999996</x:v>
      </x:c>
      <x:c r="J1515" s="16" t="n">
        <x:v>0.22499999999999992</x:v>
      </x:c>
      <x:c r="K1515" s="11" t="n">
        <x:f>CHOOSE('假设'!$B$3,H1515,I1515,J1515)</x:f>
        <x:v>0.45499999999999996</x:v>
      </x:c>
      <x:c r="L1515" s="11" t="n">
        <x:f>K1515*'管线假设'!E339*'管线假设'!F339*'管线假设'!G339*IF(E1515="USD",'管线假设'!I339,1)-AM1515</x:f>
        <x:v>0.02383927</x:v>
      </x:c>
      <x:c r="M1515" s="11" t="n">
        <x:f>'管线假设'!H339</x:f>
        <x:v>0.14</x:v>
      </x:c>
      <x:c r="N1515" s="11" t="n">
        <x:f>IF(G1515,L1515*AN1515/(1+M1515)^F1515,0)</x:f>
        <x:v>0.002663013273611061</x:v>
      </x:c>
      <x:c r="AJ1515" t="n">
        <x:v>0</x:v>
      </x:c>
      <x:c r="AK1515" t="n">
        <x:v>0</x:v>
      </x:c>
      <x:c r="AL1515" t="n">
        <x:v>0</x:v>
      </x:c>
      <x:c r="AM1515" t="n">
        <x:f>CHOOSE('假设'!$B$3,AJ1515,AK1515,AL1515)</x:f>
        <x:v>0</x:v>
      </x:c>
      <x:c r="AN1515" t="n">
        <x:v>1</x:v>
      </x:c>
    </x:row>
    <x:row r="1516" ht="23" customHeight="1">
      <x:c r="A1516" s="11" t="str">
        <x:v>688302.SH</x:v>
      </x:c>
      <x:c r="B1516" s="11" t="str">
        <x:v>半年</x:v>
      </x:c>
      <x:c r="C1516" s="11" t="str">
        <x:v>hp518_combo_cn</x:v>
      </x:c>
      <x:c r="D1516" s="11" t="str">
        <x:v>2044-12-31</x:v>
      </x:c>
      <x:c r="E1516" s="11" t="str">
        <x:v>CNY</x:v>
      </x:c>
      <x:c r="F1516" s="11" t="n">
        <x:v>17.730321697467488</x:v>
      </x:c>
      <x:c r="G1516" s="26" t="b">
        <x:v>1</x:v>
      </x:c>
      <x:c r="H1516" s="16" t="n">
        <x:v>0.24</x:v>
      </x:c>
      <x:c r="I1516" s="16" t="n">
        <x:v>0.286</x:v>
      </x:c>
      <x:c r="J1516" s="16" t="n">
        <x:v>0</x:v>
      </x:c>
      <x:c r="K1516" s="11" t="n">
        <x:f>CHOOSE('假设'!$B$3,H1516,I1516,J1516)</x:f>
        <x:v>0.286</x:v>
      </x:c>
      <x:c r="L1516" s="11" t="n">
        <x:f>K1516*'管线假设'!E339*'管线假设'!F339*'管线假设'!G339*IF(E1516="USD",'管线假设'!I339,1)-AM1516</x:f>
        <x:v>0.014984684</x:v>
      </x:c>
      <x:c r="M1516" s="11" t="n">
        <x:f>'管线假设'!H339</x:f>
        <x:v>0.14</x:v>
      </x:c>
      <x:c r="N1516" s="11" t="n">
        <x:f>IF(G1516,L1516*AN1516/(1+M1516)^F1516,0)</x:f>
        <x:v>0.0014679331174967773</x:v>
      </x:c>
      <x:c r="AJ1516" t="n">
        <x:v>0</x:v>
      </x:c>
      <x:c r="AK1516" t="n">
        <x:v>0</x:v>
      </x:c>
      <x:c r="AL1516" t="n">
        <x:v>0</x:v>
      </x:c>
      <x:c r="AM1516" t="n">
        <x:f>CHOOSE('假设'!$B$3,AJ1516,AK1516,AL1516)</x:f>
        <x:v>0</x:v>
      </x:c>
      <x:c r="AN1516" t="n">
        <x:v>1</x:v>
      </x:c>
    </x:row>
    <x:row r="1517" ht="23" customHeight="1">
      <x:c r="A1517" s="11" t="str">
        <x:v>688302.SH</x:v>
      </x:c>
      <x:c r="B1517" s="11" t="str">
        <x:v>半年</x:v>
      </x:c>
      <x:c r="C1517" s="11" t="str">
        <x:v>hp518_combo_cn</x:v>
      </x:c>
      <x:c r="D1517" s="11" t="str">
        <x:v>2045-12-31</x:v>
      </x:c>
      <x:c r="E1517" s="11" t="str">
        <x:v>CNY</x:v>
      </x:c>
      <x:c r="F1517" s="11" t="n">
        <x:v>18.729637234770706</x:v>
      </x:c>
      <x:c r="G1517" s="26" t="b">
        <x:v>1</x:v>
      </x:c>
      <x:c r="H1517" s="16" t="n">
        <x:v>0.175</x:v>
      </x:c>
      <x:c r="I1517" s="16" t="n">
        <x:v>0.11699999999999997</x:v>
      </x:c>
      <x:c r="J1517" s="16" t="n">
        <x:v>0</x:v>
      </x:c>
      <x:c r="K1517" s="11" t="n">
        <x:f>CHOOSE('假设'!$B$3,H1517,I1517,J1517)</x:f>
        <x:v>0.11699999999999997</x:v>
      </x:c>
      <x:c r="L1517" s="11" t="n">
        <x:f>K1517*'管线假设'!E339*'管线假设'!F339*'管线假设'!G339*IF(E1517="USD",'管线假设'!I339,1)-AM1517</x:f>
        <x:v>0.006130097999999999</x:v>
      </x:c>
      <x:c r="M1517" s="11" t="n">
        <x:f>'管线假设'!H339</x:f>
        <x:v>0.14</x:v>
      </x:c>
      <x:c r="N1517" s="11" t="n">
        <x:f>IF(G1517,L1517*AN1517/(1+M1517)^F1517,0)</x:f>
        <x:v>0.0005268175024350092</x:v>
      </x:c>
      <x:c r="AJ1517" t="n">
        <x:v>0</x:v>
      </x:c>
      <x:c r="AK1517" t="n">
        <x:v>0</x:v>
      </x:c>
      <x:c r="AL1517" t="n">
        <x:v>0</x:v>
      </x:c>
      <x:c r="AM1517" t="n">
        <x:f>CHOOSE('假设'!$B$3,AJ1517,AK1517,AL1517)</x:f>
        <x:v>0</x:v>
      </x:c>
      <x:c r="AN1517" t="n">
        <x:v>1</x:v>
      </x:c>
    </x:row>
    <x:row r="1518" ht="23" customHeight="1">
      <x:c r="A1518" s="11" t="str">
        <x:v>688302.SH</x:v>
      </x:c>
      <x:c r="B1518" s="11" t="str">
        <x:v>半年</x:v>
      </x:c>
      <x:c r="C1518" s="11" t="str">
        <x:v>hp518_combo_global</x:v>
      </x:c>
      <x:c r="D1518" s="11" t="str">
        <x:v>2027-12-31</x:v>
      </x:c>
      <x:c r="E1518" s="11" t="str">
        <x:v>USD</x:v>
      </x:c>
      <x:c r="F1518" s="11" t="n">
        <x:v>0.7282683093771389</x:v>
      </x:c>
      <x:c r="G1518" s="26" t="b">
        <x:v>1</x:v>
      </x:c>
      <x:c r="H1518" s="16" t="n">
        <x:v>0</x:v>
      </x:c>
      <x:c r="I1518" s="16" t="n">
        <x:v>0</x:v>
      </x:c>
      <x:c r="J1518" s="16" t="n">
        <x:v>0</x:v>
      </x:c>
      <x:c r="K1518" s="11" t="n">
        <x:f>CHOOSE('假设'!$B$3,H1518,I1518,J1518)</x:f>
        <x:v>0</x:v>
      </x:c>
      <x:c r="L1518" s="11" t="n">
        <x:f>K1518*'管线假设'!E343*'管线假设'!F343*'管线假设'!G343*IF(E1518="USD",'管线假设'!I343,1)-AM1518</x:f>
        <x:v>0</x:v>
      </x:c>
      <x:c r="M1518" s="11" t="n">
        <x:f>'管线假设'!H343</x:f>
        <x:v>0.14</x:v>
      </x:c>
      <x:c r="N1518" s="11" t="n">
        <x:f>IF(G1518,L1518*AN1518/(1+M1518)^F1518,0)</x:f>
        <x:v>0</x:v>
      </x:c>
      <x:c r="AJ1518" t="n">
        <x:v>0</x:v>
      </x:c>
      <x:c r="AK1518" t="n">
        <x:v>0</x:v>
      </x:c>
      <x:c r="AL1518" t="n">
        <x:v>0</x:v>
      </x:c>
      <x:c r="AM1518" t="n">
        <x:f>CHOOSE('假设'!$B$3,AJ1518,AK1518,AL1518)</x:f>
        <x:v>0</x:v>
      </x:c>
      <x:c r="AN1518" t="n">
        <x:v>1</x:v>
      </x:c>
    </x:row>
    <x:row r="1519" ht="23" customHeight="1">
      <x:c r="A1519" s="11" t="str">
        <x:v>688302.SH</x:v>
      </x:c>
      <x:c r="B1519" s="11" t="str">
        <x:v>半年</x:v>
      </x:c>
      <x:c r="C1519" s="11" t="str">
        <x:v>hp518_combo_global</x:v>
      </x:c>
      <x:c r="D1519" s="11" t="str">
        <x:v>2028-12-31</x:v>
      </x:c>
      <x:c r="E1519" s="11" t="str">
        <x:v>USD</x:v>
      </x:c>
      <x:c r="F1519" s="11" t="n">
        <x:v>1.730321697467488</x:v>
      </x:c>
      <x:c r="G1519" s="26" t="b">
        <x:v>1</x:v>
      </x:c>
      <x:c r="H1519" s="16" t="n">
        <x:v>0</x:v>
      </x:c>
      <x:c r="I1519" s="16" t="n">
        <x:v>0</x:v>
      </x:c>
      <x:c r="J1519" s="16" t="n">
        <x:v>0</x:v>
      </x:c>
      <x:c r="K1519" s="11" t="n">
        <x:f>CHOOSE('假设'!$B$3,H1519,I1519,J1519)</x:f>
        <x:v>0</x:v>
      </x:c>
      <x:c r="L1519" s="11" t="n">
        <x:f>K1519*'管线假设'!E343*'管线假设'!F343*'管线假设'!G343*IF(E1519="USD",'管线假设'!I343,1)-AM1519</x:f>
        <x:v>0</x:v>
      </x:c>
      <x:c r="M1519" s="11" t="n">
        <x:f>'管线假设'!H343</x:f>
        <x:v>0.14</x:v>
      </x:c>
      <x:c r="N1519" s="11" t="n">
        <x:f>IF(G1519,L1519*AN1519/(1+M1519)^F1519,0)</x:f>
        <x:v>0</x:v>
      </x:c>
      <x:c r="AJ1519" t="n">
        <x:v>0</x:v>
      </x:c>
      <x:c r="AK1519" t="n">
        <x:v>0</x:v>
      </x:c>
      <x:c r="AL1519" t="n">
        <x:v>0</x:v>
      </x:c>
      <x:c r="AM1519" t="n">
        <x:f>CHOOSE('假设'!$B$3,AJ1519,AK1519,AL1519)</x:f>
        <x:v>0</x:v>
      </x:c>
      <x:c r="AN1519" t="n">
        <x:v>1</x:v>
      </x:c>
    </x:row>
    <x:row r="1520" ht="23" customHeight="1">
      <x:c r="A1520" s="11" t="str">
        <x:v>688302.SH</x:v>
      </x:c>
      <x:c r="B1520" s="11" t="str">
        <x:v>半年</x:v>
      </x:c>
      <x:c r="C1520" s="11" t="str">
        <x:v>hp518_combo_global</x:v>
      </x:c>
      <x:c r="D1520" s="11" t="str">
        <x:v>2029-12-31</x:v>
      </x:c>
      <x:c r="E1520" s="11" t="str">
        <x:v>USD</x:v>
      </x:c>
      <x:c r="F1520" s="11" t="n">
        <x:v>2.729637234770705</x:v>
      </x:c>
      <x:c r="G1520" s="26" t="b">
        <x:v>1</x:v>
      </x:c>
      <x:c r="H1520" s="16" t="n">
        <x:v>0</x:v>
      </x:c>
      <x:c r="I1520" s="16" t="n">
        <x:v>0</x:v>
      </x:c>
      <x:c r="J1520" s="16" t="n">
        <x:v>0</x:v>
      </x:c>
      <x:c r="K1520" s="11" t="n">
        <x:f>CHOOSE('假设'!$B$3,H1520,I1520,J1520)</x:f>
        <x:v>0</x:v>
      </x:c>
      <x:c r="L1520" s="11" t="n">
        <x:f>K1520*'管线假设'!E343*'管线假设'!F343*'管线假设'!G343*IF(E1520="USD",'管线假设'!I343,1)-AM1520</x:f>
        <x:v>0</x:v>
      </x:c>
      <x:c r="M1520" s="11" t="n">
        <x:f>'管线假设'!H343</x:f>
        <x:v>0.14</x:v>
      </x:c>
      <x:c r="N1520" s="11" t="n">
        <x:f>IF(G1520,L1520*AN1520/(1+M1520)^F1520,0)</x:f>
        <x:v>0</x:v>
      </x:c>
      <x:c r="AJ1520" t="n">
        <x:v>0</x:v>
      </x:c>
      <x:c r="AK1520" t="n">
        <x:v>0</x:v>
      </x:c>
      <x:c r="AL1520" t="n">
        <x:v>0</x:v>
      </x:c>
      <x:c r="AM1520" t="n">
        <x:f>CHOOSE('假设'!$B$3,AJ1520,AK1520,AL1520)</x:f>
        <x:v>0</x:v>
      </x:c>
      <x:c r="AN1520" t="n">
        <x:v>1</x:v>
      </x:c>
    </x:row>
    <x:row r="1521" ht="23" customHeight="1">
      <x:c r="A1521" s="11" t="str">
        <x:v>688302.SH</x:v>
      </x:c>
      <x:c r="B1521" s="11" t="str">
        <x:v>半年</x:v>
      </x:c>
      <x:c r="C1521" s="11" t="str">
        <x:v>hp518_combo_global</x:v>
      </x:c>
      <x:c r="D1521" s="11" t="str">
        <x:v>2030-12-31</x:v>
      </x:c>
      <x:c r="E1521" s="11" t="str">
        <x:v>USD</x:v>
      </x:c>
      <x:c r="F1521" s="11" t="n">
        <x:v>3.728952772073922</x:v>
      </x:c>
      <x:c r="G1521" s="26" t="b">
        <x:v>1</x:v>
      </x:c>
      <x:c r="H1521" s="16" t="n">
        <x:v>0</x:v>
      </x:c>
      <x:c r="I1521" s="16" t="n">
        <x:v>0</x:v>
      </x:c>
      <x:c r="J1521" s="16" t="n">
        <x:v>0</x:v>
      </x:c>
      <x:c r="K1521" s="11" t="n">
        <x:f>CHOOSE('假设'!$B$3,H1521,I1521,J1521)</x:f>
        <x:v>0</x:v>
      </x:c>
      <x:c r="L1521" s="11" t="n">
        <x:f>K1521*'管线假设'!E343*'管线假设'!F343*'管线假设'!G343*IF(E1521="USD",'管线假设'!I343,1)-AM1521</x:f>
        <x:v>0</x:v>
      </x:c>
      <x:c r="M1521" s="11" t="n">
        <x:f>'管线假设'!H343</x:f>
        <x:v>0.14</x:v>
      </x:c>
      <x:c r="N1521" s="11" t="n">
        <x:f>IF(G1521,L1521*AN1521/(1+M1521)^F1521,0)</x:f>
        <x:v>0</x:v>
      </x:c>
      <x:c r="AJ1521" t="n">
        <x:v>0</x:v>
      </x:c>
      <x:c r="AK1521" t="n">
        <x:v>0</x:v>
      </x:c>
      <x:c r="AL1521" t="n">
        <x:v>0</x:v>
      </x:c>
      <x:c r="AM1521" t="n">
        <x:f>CHOOSE('假设'!$B$3,AJ1521,AK1521,AL1521)</x:f>
        <x:v>0</x:v>
      </x:c>
      <x:c r="AN1521" t="n">
        <x:v>1</x:v>
      </x:c>
    </x:row>
    <x:row r="1522" ht="23" customHeight="1">
      <x:c r="A1522" s="11" t="str">
        <x:v>688302.SH</x:v>
      </x:c>
      <x:c r="B1522" s="11" t="str">
        <x:v>半年</x:v>
      </x:c>
      <x:c r="C1522" s="11" t="str">
        <x:v>hp518_combo_global</x:v>
      </x:c>
      <x:c r="D1522" s="11" t="str">
        <x:v>2031-12-31</x:v>
      </x:c>
      <x:c r="E1522" s="11" t="str">
        <x:v>USD</x:v>
      </x:c>
      <x:c r="F1522" s="11" t="n">
        <x:v>4.728268309377139</x:v>
      </x:c>
      <x:c r="G1522" s="26" t="b">
        <x:v>1</x:v>
      </x:c>
      <x:c r="H1522" s="16" t="n">
        <x:v>0</x:v>
      </x:c>
      <x:c r="I1522" s="16" t="n">
        <x:v>0</x:v>
      </x:c>
      <x:c r="J1522" s="16" t="n">
        <x:v>0</x:v>
      </x:c>
      <x:c r="K1522" s="11" t="n">
        <x:f>CHOOSE('假设'!$B$3,H1522,I1522,J1522)</x:f>
        <x:v>0</x:v>
      </x:c>
      <x:c r="L1522" s="11" t="n">
        <x:f>K1522*'管线假设'!E343*'管线假设'!F343*'管线假设'!G343*IF(E1522="USD",'管线假设'!I343,1)-AM1522</x:f>
        <x:v>0</x:v>
      </x:c>
      <x:c r="M1522" s="11" t="n">
        <x:f>'管线假设'!H343</x:f>
        <x:v>0.14</x:v>
      </x:c>
      <x:c r="N1522" s="11" t="n">
        <x:f>IF(G1522,L1522*AN1522/(1+M1522)^F1522,0)</x:f>
        <x:v>0</x:v>
      </x:c>
      <x:c r="AJ1522" t="n">
        <x:v>0</x:v>
      </x:c>
      <x:c r="AK1522" t="n">
        <x:v>0</x:v>
      </x:c>
      <x:c r="AL1522" t="n">
        <x:v>0</x:v>
      </x:c>
      <x:c r="AM1522" t="n">
        <x:f>CHOOSE('假设'!$B$3,AJ1522,AK1522,AL1522)</x:f>
        <x:v>0</x:v>
      </x:c>
      <x:c r="AN1522" t="n">
        <x:v>1</x:v>
      </x:c>
    </x:row>
    <x:row r="1523" ht="23" customHeight="1">
      <x:c r="A1523" s="11" t="str">
        <x:v>688302.SH</x:v>
      </x:c>
      <x:c r="B1523" s="11" t="str">
        <x:v>半年</x:v>
      </x:c>
      <x:c r="C1523" s="11" t="str">
        <x:v>hp518_combo_global</x:v>
      </x:c>
      <x:c r="D1523" s="11" t="str">
        <x:v>2032-12-31</x:v>
      </x:c>
      <x:c r="E1523" s="11" t="str">
        <x:v>USD</x:v>
      </x:c>
      <x:c r="F1523" s="11" t="n">
        <x:v>5.730321697467488</x:v>
      </x:c>
      <x:c r="G1523" s="26" t="b">
        <x:v>1</x:v>
      </x:c>
      <x:c r="H1523" s="16" t="n">
        <x:v>0</x:v>
      </x:c>
      <x:c r="I1523" s="16" t="n">
        <x:v>0</x:v>
      </x:c>
      <x:c r="J1523" s="16" t="n">
        <x:v>0.5</x:v>
      </x:c>
      <x:c r="K1523" s="11" t="n">
        <x:f>CHOOSE('假设'!$B$3,H1523,I1523,J1523)</x:f>
        <x:v>0</x:v>
      </x:c>
      <x:c r="L1523" s="11" t="n">
        <x:f>K1523*'管线假设'!E343*'管线假设'!F343*'管线假设'!G343*IF(E1523="USD",'管线假设'!I343,1)-AM1523</x:f>
        <x:v>0</x:v>
      </x:c>
      <x:c r="M1523" s="11" t="n">
        <x:f>'管线假设'!H343</x:f>
        <x:v>0.14</x:v>
      </x:c>
      <x:c r="N1523" s="11" t="n">
        <x:f>IF(G1523,L1523*AN1523/(1+M1523)^F1523,0)</x:f>
        <x:v>0</x:v>
      </x:c>
      <x:c r="AJ1523" t="n">
        <x:v>0</x:v>
      </x:c>
      <x:c r="AK1523" t="n">
        <x:v>0</x:v>
      </x:c>
      <x:c r="AL1523" t="n">
        <x:v>0</x:v>
      </x:c>
      <x:c r="AM1523" t="n">
        <x:f>CHOOSE('假设'!$B$3,AJ1523,AK1523,AL1523)</x:f>
        <x:v>0</x:v>
      </x:c>
      <x:c r="AN1523" t="n">
        <x:v>1</x:v>
      </x:c>
    </x:row>
    <x:row r="1524" ht="23" customHeight="1">
      <x:c r="A1524" s="11" t="str">
        <x:v>688302.SH</x:v>
      </x:c>
      <x:c r="B1524" s="11" t="str">
        <x:v>半年</x:v>
      </x:c>
      <x:c r="C1524" s="11" t="str">
        <x:v>hp518_combo_global</x:v>
      </x:c>
      <x:c r="D1524" s="11" t="str">
        <x:v>2033-12-31</x:v>
      </x:c>
      <x:c r="E1524" s="11" t="str">
        <x:v>USD</x:v>
      </x:c>
      <x:c r="F1524" s="11" t="n">
        <x:v>6.729637234770705</x:v>
      </x:c>
      <x:c r="G1524" s="26" t="b">
        <x:v>1</x:v>
      </x:c>
      <x:c r="H1524" s="16" t="n">
        <x:v>0</x:v>
      </x:c>
      <x:c r="I1524" s="16" t="n">
        <x:v>0</x:v>
      </x:c>
      <x:c r="J1524" s="16" t="n">
        <x:v>1</x:v>
      </x:c>
      <x:c r="K1524" s="11" t="n">
        <x:f>CHOOSE('假设'!$B$3,H1524,I1524,J1524)</x:f>
        <x:v>0</x:v>
      </x:c>
      <x:c r="L1524" s="11" t="n">
        <x:f>K1524*'管线假设'!E343*'管线假设'!F343*'管线假设'!G343*IF(E1524="USD",'管线假设'!I343,1)-AM1524</x:f>
        <x:v>0</x:v>
      </x:c>
      <x:c r="M1524" s="11" t="n">
        <x:f>'管线假设'!H343</x:f>
        <x:v>0.14</x:v>
      </x:c>
      <x:c r="N1524" s="11" t="n">
        <x:f>IF(G1524,L1524*AN1524/(1+M1524)^F1524,0)</x:f>
        <x:v>0</x:v>
      </x:c>
      <x:c r="AJ1524" t="n">
        <x:v>0</x:v>
      </x:c>
      <x:c r="AK1524" t="n">
        <x:v>0</x:v>
      </x:c>
      <x:c r="AL1524" t="n">
        <x:v>0</x:v>
      </x:c>
      <x:c r="AM1524" t="n">
        <x:f>CHOOSE('假设'!$B$3,AJ1524,AK1524,AL1524)</x:f>
        <x:v>0</x:v>
      </x:c>
      <x:c r="AN1524" t="n">
        <x:v>1</x:v>
      </x:c>
    </x:row>
    <x:row r="1525" ht="23" customHeight="1">
      <x:c r="A1525" s="11" t="str">
        <x:v>688302.SH</x:v>
      </x:c>
      <x:c r="B1525" s="11" t="str">
        <x:v>半年</x:v>
      </x:c>
      <x:c r="C1525" s="11" t="str">
        <x:v>hp518_combo_global</x:v>
      </x:c>
      <x:c r="D1525" s="11" t="str">
        <x:v>2034-12-31</x:v>
      </x:c>
      <x:c r="E1525" s="11" t="str">
        <x:v>USD</x:v>
      </x:c>
      <x:c r="F1525" s="11" t="n">
        <x:v>7.728952772073922</x:v>
      </x:c>
      <x:c r="G1525" s="26" t="b">
        <x:v>1</x:v>
      </x:c>
      <x:c r="H1525" s="16" t="n">
        <x:v>0</x:v>
      </x:c>
      <x:c r="I1525" s="16" t="n">
        <x:v>0.26666666666666666</x:v>
      </x:c>
      <x:c r="J1525" s="16" t="n">
        <x:v>1.5</x:v>
      </x:c>
      <x:c r="K1525" s="11" t="n">
        <x:f>CHOOSE('假设'!$B$3,H1525,I1525,J1525)</x:f>
        <x:v>0.26666666666666666</x:v>
      </x:c>
      <x:c r="L1525" s="11" t="n">
        <x:f>K1525*'管线假设'!E343*'管线假设'!F343*'管线假设'!G343*IF(E1525="USD",'管线假设'!I343,1)-AM1525</x:f>
        <x:v>0.021211103999999998</x:v>
      </x:c>
      <x:c r="M1525" s="11" t="n">
        <x:f>'管线假设'!H343</x:f>
        <x:v>0.14</x:v>
      </x:c>
      <x:c r="N1525" s="11" t="n">
        <x:f>IF(G1525,L1525*AN1525/(1+M1525)^F1525,0)</x:f>
        <x:v>0.007704569282685592</x:v>
      </x:c>
      <x:c r="AJ1525" t="n">
        <x:v>0</x:v>
      </x:c>
      <x:c r="AK1525" t="n">
        <x:v>0</x:v>
      </x:c>
      <x:c r="AL1525" t="n">
        <x:v>0</x:v>
      </x:c>
      <x:c r="AM1525" t="n">
        <x:f>CHOOSE('假设'!$B$3,AJ1525,AK1525,AL1525)</x:f>
        <x:v>0</x:v>
      </x:c>
      <x:c r="AN1525" t="n">
        <x:v>1</x:v>
      </x:c>
    </x:row>
    <x:row r="1526" ht="23" customHeight="1">
      <x:c r="A1526" s="11" t="str">
        <x:v>688302.SH</x:v>
      </x:c>
      <x:c r="B1526" s="11" t="str">
        <x:v>半年</x:v>
      </x:c>
      <x:c r="C1526" s="11" t="str">
        <x:v>hp518_combo_global</x:v>
      </x:c>
      <x:c r="D1526" s="11" t="str">
        <x:v>2035-12-31</x:v>
      </x:c>
      <x:c r="E1526" s="11" t="str">
        <x:v>USD</x:v>
      </x:c>
      <x:c r="F1526" s="11" t="n">
        <x:v>8.728268309377139</x:v>
      </x:c>
      <x:c r="G1526" s="26" t="b">
        <x:v>1</x:v>
      </x:c>
      <x:c r="H1526" s="16" t="n">
        <x:v>0</x:v>
      </x:c>
      <x:c r="I1526" s="16" t="n">
        <x:v>0.5333333333333333</x:v>
      </x:c>
      <x:c r="J1526" s="16" t="n">
        <x:v>2</x:v>
      </x:c>
      <x:c r="K1526" s="11" t="n">
        <x:f>CHOOSE('假设'!$B$3,H1526,I1526,J1526)</x:f>
        <x:v>0.5333333333333333</x:v>
      </x:c>
      <x:c r="L1526" s="11" t="n">
        <x:f>K1526*'管线假设'!E343*'管线假设'!F343*'管线假设'!G343*IF(E1526="USD",'管线假设'!I343,1)-AM1526</x:f>
        <x:v>0.042422207999999996</x:v>
      </x:c>
      <x:c r="M1526" s="11" t="n">
        <x:f>'管线假设'!H343</x:f>
        <x:v>0.14</x:v>
      </x:c>
      <x:c r="N1526" s="11" t="n">
        <x:f>IF(G1526,L1526*AN1526/(1+M1526)^F1526,0)</x:f>
        <x:v>0.01351800050866315</x:v>
      </x:c>
      <x:c r="AJ1526" t="n">
        <x:v>0</x:v>
      </x:c>
      <x:c r="AK1526" t="n">
        <x:v>0</x:v>
      </x:c>
      <x:c r="AL1526" t="n">
        <x:v>0</x:v>
      </x:c>
      <x:c r="AM1526" t="n">
        <x:f>CHOOSE('假设'!$B$3,AJ1526,AK1526,AL1526)</x:f>
        <x:v>0</x:v>
      </x:c>
      <x:c r="AN1526" t="n">
        <x:v>1</x:v>
      </x:c>
    </x:row>
    <x:row r="1527" ht="23" customHeight="1">
      <x:c r="A1527" s="11" t="str">
        <x:v>688302.SH</x:v>
      </x:c>
      <x:c r="B1527" s="11" t="str">
        <x:v>半年</x:v>
      </x:c>
      <x:c r="C1527" s="11" t="str">
        <x:v>hp518_combo_global</x:v>
      </x:c>
      <x:c r="D1527" s="11" t="str">
        <x:v>2036-12-31</x:v>
      </x:c>
      <x:c r="E1527" s="11" t="str">
        <x:v>USD</x:v>
      </x:c>
      <x:c r="F1527" s="11" t="n">
        <x:v>9.730321697467488</x:v>
      </x:c>
      <x:c r="G1527" s="26" t="b">
        <x:v>1</x:v>
      </x:c>
      <x:c r="H1527" s="16" t="n">
        <x:v>0</x:v>
      </x:c>
      <x:c r="I1527" s="16" t="n">
        <x:v>0.8</x:v>
      </x:c>
      <x:c r="J1527" s="16" t="n">
        <x:v>2.5</x:v>
      </x:c>
      <x:c r="K1527" s="11" t="n">
        <x:f>CHOOSE('假设'!$B$3,H1527,I1527,J1527)</x:f>
        <x:v>0.8</x:v>
      </x:c>
      <x:c r="L1527" s="11" t="n">
        <x:f>K1527*'管线假设'!E343*'管线假设'!F343*'管线假设'!G343*IF(E1527="USD",'管线假设'!I343,1)-AM1527</x:f>
        <x:v>0.06363331200000001</x:v>
      </x:c>
      <x:c r="M1527" s="11" t="n">
        <x:f>'管线假设'!H343</x:f>
        <x:v>0.14</x:v>
      </x:c>
      <x:c r="N1527" s="11" t="n">
        <x:f>IF(G1527,L1527*AN1527/(1+M1527)^F1527,0)</x:f>
        <x:v>0.017782057834911554</x:v>
      </x:c>
      <x:c r="AJ1527" t="n">
        <x:v>0</x:v>
      </x:c>
      <x:c r="AK1527" t="n">
        <x:v>0</x:v>
      </x:c>
      <x:c r="AL1527" t="n">
        <x:v>0</x:v>
      </x:c>
      <x:c r="AM1527" t="n">
        <x:f>CHOOSE('假设'!$B$3,AJ1527,AK1527,AL1527)</x:f>
        <x:v>0</x:v>
      </x:c>
      <x:c r="AN1527" t="n">
        <x:v>1</x:v>
      </x:c>
    </x:row>
    <x:row r="1528" ht="23" customHeight="1">
      <x:c r="A1528" s="11" t="str">
        <x:v>688302.SH</x:v>
      </x:c>
      <x:c r="B1528" s="11" t="str">
        <x:v>半年</x:v>
      </x:c>
      <x:c r="C1528" s="11" t="str">
        <x:v>hp518_combo_global</x:v>
      </x:c>
      <x:c r="D1528" s="11" t="str">
        <x:v>2037-12-31</x:v>
      </x:c>
      <x:c r="E1528" s="11" t="str">
        <x:v>USD</x:v>
      </x:c>
      <x:c r="F1528" s="11" t="n">
        <x:v>10.729637234770705</x:v>
      </x:c>
      <x:c r="G1528" s="26" t="b">
        <x:v>1</x:v>
      </x:c>
      <x:c r="H1528" s="16" t="n">
        <x:v>0.1</x:v>
      </x:c>
      <x:c r="I1528" s="16" t="n">
        <x:v>1.0666666666666667</x:v>
      </x:c>
      <x:c r="J1528" s="16" t="n">
        <x:v>3</x:v>
      </x:c>
      <x:c r="K1528" s="11" t="n">
        <x:f>CHOOSE('假设'!$B$3,H1528,I1528,J1528)</x:f>
        <x:v>1.0666666666666667</x:v>
      </x:c>
      <x:c r="L1528" s="11" t="n">
        <x:f>K1528*'管线假设'!E343*'管线假设'!F343*'管线假设'!G343*IF(E1528="USD",'管线假设'!I343,1)-AM1528</x:f>
        <x:v>0.08484441599999999</x:v>
      </x:c>
      <x:c r="M1528" s="11" t="n">
        <x:f>'管线假设'!H343</x:f>
        <x:v>0.14</x:v>
      </x:c>
      <x:c r="N1528" s="11" t="n">
        <x:f>IF(G1528,L1528*AN1528/(1+M1528)^F1528,0)</x:f>
        <x:v>0.020799593768130197</x:v>
      </x:c>
      <x:c r="AJ1528" t="n">
        <x:v>0</x:v>
      </x:c>
      <x:c r="AK1528" t="n">
        <x:v>0</x:v>
      </x:c>
      <x:c r="AL1528" t="n">
        <x:v>0</x:v>
      </x:c>
      <x:c r="AM1528" t="n">
        <x:f>CHOOSE('假设'!$B$3,AJ1528,AK1528,AL1528)</x:f>
        <x:v>0</x:v>
      </x:c>
      <x:c r="AN1528" t="n">
        <x:v>1</x:v>
      </x:c>
    </x:row>
    <x:row r="1529" ht="23" customHeight="1">
      <x:c r="A1529" s="11" t="str">
        <x:v>688302.SH</x:v>
      </x:c>
      <x:c r="B1529" s="11" t="str">
        <x:v>半年</x:v>
      </x:c>
      <x:c r="C1529" s="11" t="str">
        <x:v>hp518_combo_global</x:v>
      </x:c>
      <x:c r="D1529" s="11" t="str">
        <x:v>2038-12-31</x:v>
      </x:c>
      <x:c r="E1529" s="11" t="str">
        <x:v>USD</x:v>
      </x:c>
      <x:c r="F1529" s="11" t="n">
        <x:v>11.728952772073923</x:v>
      </x:c>
      <x:c r="G1529" s="26" t="b">
        <x:v>1</x:v>
      </x:c>
      <x:c r="H1529" s="16" t="n">
        <x:v>0.2</x:v>
      </x:c>
      <x:c r="I1529" s="16" t="n">
        <x:v>1.3333333333333335</x:v>
      </x:c>
      <x:c r="J1529" s="16" t="n">
        <x:v>2.61</x:v>
      </x:c>
      <x:c r="K1529" s="11" t="n">
        <x:f>CHOOSE('假设'!$B$3,H1529,I1529,J1529)</x:f>
        <x:v>1.3333333333333335</x:v>
      </x:c>
      <x:c r="L1529" s="11" t="n">
        <x:f>K1529*'管线假设'!E343*'管线假设'!F343*'管线假设'!G343*IF(E1529="USD",'管线假设'!I343,1)-AM1529</x:f>
        <x:v>0.10605552</x:v>
      </x:c>
      <x:c r="M1529" s="11" t="n">
        <x:f>'管线假设'!H343</x:f>
        <x:v>0.14</x:v>
      </x:c>
      <x:c r="N1529" s="11" t="n">
        <x:f>IF(G1529,L1529*AN1529/(1+M1529)^F1529,0)</x:f>
        <x:v>0.022808617589551633</x:v>
      </x:c>
      <x:c r="AJ1529" t="n">
        <x:v>0</x:v>
      </x:c>
      <x:c r="AK1529" t="n">
        <x:v>0</x:v>
      </x:c>
      <x:c r="AL1529" t="n">
        <x:v>0</x:v>
      </x:c>
      <x:c r="AM1529" t="n">
        <x:f>CHOOSE('假设'!$B$3,AJ1529,AK1529,AL1529)</x:f>
        <x:v>0</x:v>
      </x:c>
      <x:c r="AN1529" t="n">
        <x:v>1</x:v>
      </x:c>
    </x:row>
    <x:row r="1530" ht="23" customHeight="1">
      <x:c r="A1530" s="11" t="str">
        <x:v>688302.SH</x:v>
      </x:c>
      <x:c r="B1530" s="11" t="str">
        <x:v>半年</x:v>
      </x:c>
      <x:c r="C1530" s="11" t="str">
        <x:v>hp518_combo_global</x:v>
      </x:c>
      <x:c r="D1530" s="11" t="str">
        <x:v>2039-12-31</x:v>
      </x:c>
      <x:c r="E1530" s="11" t="str">
        <x:v>USD</x:v>
      </x:c>
      <x:c r="F1530" s="11" t="n">
        <x:v>12.728268309377139</x:v>
      </x:c>
      <x:c r="G1530" s="26" t="b">
        <x:v>1</x:v>
      </x:c>
      <x:c r="H1530" s="16" t="n">
        <x:v>0.3</x:v>
      </x:c>
      <x:c r="I1530" s="16" t="n">
        <x:v>1.6</x:v>
      </x:c>
      <x:c r="J1530" s="16" t="n">
        <x:v>2.2199999999999998</x:v>
      </x:c>
      <x:c r="K1530" s="11" t="n">
        <x:f>CHOOSE('假设'!$B$3,H1530,I1530,J1530)</x:f>
        <x:v>1.6</x:v>
      </x:c>
      <x:c r="L1530" s="11" t="n">
        <x:f>K1530*'管线假设'!E343*'管线假设'!F343*'管线假设'!G343*IF(E1530="USD",'管线假设'!I343,1)-AM1530</x:f>
        <x:v>0.12726662400000002</x:v>
      </x:c>
      <x:c r="M1530" s="11" t="n">
        <x:f>'管线假设'!H343</x:f>
        <x:v>0.14</x:v>
      </x:c>
      <x:c r="N1530" s="11" t="n">
        <x:f>IF(G1530,L1530*AN1530/(1+M1530)^F1530,0)</x:f>
        <x:v>0.024011224471978926</x:v>
      </x:c>
      <x:c r="AJ1530" t="n">
        <x:v>0</x:v>
      </x:c>
      <x:c r="AK1530" t="n">
        <x:v>0</x:v>
      </x:c>
      <x:c r="AL1530" t="n">
        <x:v>0</x:v>
      </x:c>
      <x:c r="AM1530" t="n">
        <x:f>CHOOSE('假设'!$B$3,AJ1530,AK1530,AL1530)</x:f>
        <x:v>0</x:v>
      </x:c>
      <x:c r="AN1530" t="n">
        <x:v>1</x:v>
      </x:c>
    </x:row>
    <x:row r="1531" ht="23" customHeight="1">
      <x:c r="A1531" s="11" t="str">
        <x:v>688302.SH</x:v>
      </x:c>
      <x:c r="B1531" s="11" t="str">
        <x:v>半年</x:v>
      </x:c>
      <x:c r="C1531" s="11" t="str">
        <x:v>hp518_combo_global</x:v>
      </x:c>
      <x:c r="D1531" s="11" t="str">
        <x:v>2040-12-31</x:v>
      </x:c>
      <x:c r="E1531" s="11" t="str">
        <x:v>USD</x:v>
      </x:c>
      <x:c r="F1531" s="11" t="n">
        <x:v>13.730321697467488</x:v>
      </x:c>
      <x:c r="G1531" s="26" t="b">
        <x:v>1</x:v>
      </x:c>
      <x:c r="H1531" s="16" t="n">
        <x:v>0.4</x:v>
      </x:c>
      <x:c r="I1531" s="16" t="n">
        <x:v>1.3920000000000001</x:v>
      </x:c>
      <x:c r="J1531" s="16" t="n">
        <x:v>1.83</x:v>
      </x:c>
      <x:c r="K1531" s="11" t="n">
        <x:f>CHOOSE('假设'!$B$3,H1531,I1531,J1531)</x:f>
        <x:v>1.3920000000000001</x:v>
      </x:c>
      <x:c r="L1531" s="11" t="n">
        <x:f>K1531*'管线假设'!E343*'管线假设'!F343*'管线假设'!G343*IF(E1531="USD",'管线假设'!I343,1)-AM1531</x:f>
        <x:v>0.11072196288000001</x:v>
      </x:c>
      <x:c r="M1531" s="11" t="n">
        <x:f>'管线假设'!H343</x:f>
        <x:v>0.14</x:v>
      </x:c>
      <x:c r="N1531" s="11" t="n">
        <x:f>IF(G1531,L1531*AN1531/(1+M1531)^F1531,0)</x:f>
        <x:v>0.018319425979086496</x:v>
      </x:c>
      <x:c r="AJ1531" t="n">
        <x:v>0</x:v>
      </x:c>
      <x:c r="AK1531" t="n">
        <x:v>0</x:v>
      </x:c>
      <x:c r="AL1531" t="n">
        <x:v>0</x:v>
      </x:c>
      <x:c r="AM1531" t="n">
        <x:f>CHOOSE('假设'!$B$3,AJ1531,AK1531,AL1531)</x:f>
        <x:v>0</x:v>
      </x:c>
      <x:c r="AN1531" t="n">
        <x:v>1</x:v>
      </x:c>
    </x:row>
    <x:row r="1532" ht="23" customHeight="1">
      <x:c r="A1532" s="11" t="str">
        <x:v>688302.SH</x:v>
      </x:c>
      <x:c r="B1532" s="11" t="str">
        <x:v>半年</x:v>
      </x:c>
      <x:c r="C1532" s="11" t="str">
        <x:v>hp518_combo_global</x:v>
      </x:c>
      <x:c r="D1532" s="11" t="str">
        <x:v>2041-12-31</x:v>
      </x:c>
      <x:c r="E1532" s="11" t="str">
        <x:v>USD</x:v>
      </x:c>
      <x:c r="F1532" s="11" t="n">
        <x:v>14.729637234770705</x:v>
      </x:c>
      <x:c r="G1532" s="26" t="b">
        <x:v>1</x:v>
      </x:c>
      <x:c r="H1532" s="16" t="n">
        <x:v>0.5</x:v>
      </x:c>
      <x:c r="I1532" s="16" t="n">
        <x:v>1.184</x:v>
      </x:c>
      <x:c r="J1532" s="16" t="n">
        <x:v>1.44</x:v>
      </x:c>
      <x:c r="K1532" s="11" t="n">
        <x:f>CHOOSE('假设'!$B$3,H1532,I1532,J1532)</x:f>
        <x:v>1.184</x:v>
      </x:c>
      <x:c r="L1532" s="11" t="n">
        <x:f>K1532*'管线假设'!E343*'管线假设'!F343*'管线假设'!G343*IF(E1532="USD",'管线假设'!I343,1)-AM1532</x:f>
        <x:v>0.09417730176</x:v>
      </x:c>
      <x:c r="M1532" s="11" t="n">
        <x:f>'管线假设'!H343</x:f>
        <x:v>0.14</x:v>
      </x:c>
      <x:c r="N1532" s="11" t="n">
        <x:f>IF(G1532,L1532*AN1532/(1+M1532)^F1532,0)</x:f>
        <x:v>0.013669682464638191</x:v>
      </x:c>
      <x:c r="AJ1532" t="n">
        <x:v>0</x:v>
      </x:c>
      <x:c r="AK1532" t="n">
        <x:v>0</x:v>
      </x:c>
      <x:c r="AL1532" t="n">
        <x:v>0</x:v>
      </x:c>
      <x:c r="AM1532" t="n">
        <x:f>CHOOSE('假设'!$B$3,AJ1532,AK1532,AL1532)</x:f>
        <x:v>0</x:v>
      </x:c>
      <x:c r="AN1532" t="n">
        <x:v>1</x:v>
      </x:c>
    </x:row>
    <x:row r="1533" ht="23" customHeight="1">
      <x:c r="A1533" s="11" t="str">
        <x:v>688302.SH</x:v>
      </x:c>
      <x:c r="B1533" s="11" t="str">
        <x:v>半年</x:v>
      </x:c>
      <x:c r="C1533" s="11" t="str">
        <x:v>hp518_combo_global</x:v>
      </x:c>
      <x:c r="D1533" s="11" t="str">
        <x:v>2042-12-31</x:v>
      </x:c>
      <x:c r="E1533" s="11" t="str">
        <x:v>USD</x:v>
      </x:c>
      <x:c r="F1533" s="11" t="n">
        <x:v>15.728952772073923</x:v>
      </x:c>
      <x:c r="G1533" s="26" t="b">
        <x:v>1</x:v>
      </x:c>
      <x:c r="H1533" s="16" t="n">
        <x:v>0.435</x:v>
      </x:c>
      <x:c r="I1533" s="16" t="n">
        <x:v>0.976</x:v>
      </x:c>
      <x:c r="J1533" s="16" t="n">
        <x:v>1.0499999999999998</x:v>
      </x:c>
      <x:c r="K1533" s="11" t="n">
        <x:f>CHOOSE('假设'!$B$3,H1533,I1533,J1533)</x:f>
        <x:v>0.976</x:v>
      </x:c>
      <x:c r="L1533" s="11" t="n">
        <x:f>K1533*'管线假设'!E343*'管线假设'!F343*'管线假设'!G343*IF(E1533="USD",'管线假设'!I343,1)-AM1533</x:f>
        <x:v>0.07763264063999999</x:v>
      </x:c>
      <x:c r="M1533" s="11" t="n">
        <x:f>'管线假设'!H343</x:f>
        <x:v>0.14</x:v>
      </x:c>
      <x:c r="N1533" s="11" t="n">
        <x:f>IF(G1533,L1533*AN1533/(1+M1533)^F1533,0)</x:f>
        <x:v>0.009885317884319893</x:v>
      </x:c>
      <x:c r="AJ1533" t="n">
        <x:v>0</x:v>
      </x:c>
      <x:c r="AK1533" t="n">
        <x:v>0</x:v>
      </x:c>
      <x:c r="AL1533" t="n">
        <x:v>0</x:v>
      </x:c>
      <x:c r="AM1533" t="n">
        <x:f>CHOOSE('假设'!$B$3,AJ1533,AK1533,AL1533)</x:f>
        <x:v>0</x:v>
      </x:c>
      <x:c r="AN1533" t="n">
        <x:v>1</x:v>
      </x:c>
    </x:row>
    <x:row r="1534" ht="23" customHeight="1">
      <x:c r="A1534" s="11" t="str">
        <x:v>688302.SH</x:v>
      </x:c>
      <x:c r="B1534" s="11" t="str">
        <x:v>半年</x:v>
      </x:c>
      <x:c r="C1534" s="11" t="str">
        <x:v>hp518_combo_global</x:v>
      </x:c>
      <x:c r="D1534" s="11" t="str">
        <x:v>2043-12-31</x:v>
      </x:c>
      <x:c r="E1534" s="11" t="str">
        <x:v>USD</x:v>
      </x:c>
      <x:c r="F1534" s="11" t="n">
        <x:v>16.72826830937714</x:v>
      </x:c>
      <x:c r="G1534" s="26" t="b">
        <x:v>1</x:v>
      </x:c>
      <x:c r="H1534" s="16" t="n">
        <x:v>0.37</x:v>
      </x:c>
      <x:c r="I1534" s="16" t="n">
        <x:v>0.768</x:v>
      </x:c>
      <x:c r="J1534" s="16" t="n">
        <x:v>0.6599999999999999</x:v>
      </x:c>
      <x:c r="K1534" s="11" t="n">
        <x:f>CHOOSE('假设'!$B$3,H1534,I1534,J1534)</x:f>
        <x:v>0.768</x:v>
      </x:c>
      <x:c r="L1534" s="11" t="n">
        <x:f>K1534*'管线假设'!E343*'管线假设'!F343*'管线假设'!G343*IF(E1534="USD",'管线假设'!I343,1)-AM1534</x:f>
        <x:v>0.06108797952</x:v>
      </x:c>
      <x:c r="M1534" s="11" t="n">
        <x:f>'管线假设'!H343</x:f>
        <x:v>0.14</x:v>
      </x:c>
      <x:c r="N1534" s="11" t="n">
        <x:f>IF(G1534,L1534*AN1534/(1+M1534)^F1534,0)</x:f>
        <x:v>0.0068239547737762385</x:v>
      </x:c>
      <x:c r="AJ1534" t="n">
        <x:v>0</x:v>
      </x:c>
      <x:c r="AK1534" t="n">
        <x:v>0</x:v>
      </x:c>
      <x:c r="AL1534" t="n">
        <x:v>0</x:v>
      </x:c>
      <x:c r="AM1534" t="n">
        <x:f>CHOOSE('假设'!$B$3,AJ1534,AK1534,AL1534)</x:f>
        <x:v>0</x:v>
      </x:c>
      <x:c r="AN1534" t="n">
        <x:v>1</x:v>
      </x:c>
    </x:row>
    <x:row r="1535" ht="23" customHeight="1">
      <x:c r="A1535" s="11" t="str">
        <x:v>688302.SH</x:v>
      </x:c>
      <x:c r="B1535" s="11" t="str">
        <x:v>半年</x:v>
      </x:c>
      <x:c r="C1535" s="11" t="str">
        <x:v>hp518_combo_global</x:v>
      </x:c>
      <x:c r="D1535" s="11" t="str">
        <x:v>2044-12-31</x:v>
      </x:c>
      <x:c r="E1535" s="11" t="str">
        <x:v>USD</x:v>
      </x:c>
      <x:c r="F1535" s="11" t="n">
        <x:v>17.730321697467488</x:v>
      </x:c>
      <x:c r="G1535" s="26" t="b">
        <x:v>1</x:v>
      </x:c>
      <x:c r="H1535" s="16" t="n">
        <x:v>0.305</x:v>
      </x:c>
      <x:c r="I1535" s="16" t="n">
        <x:v>0.5599999999999999</x:v>
      </x:c>
      <x:c r="J1535" s="16" t="n">
        <x:v>0.2699999999999999</x:v>
      </x:c>
      <x:c r="K1535" s="11" t="n">
        <x:f>CHOOSE('假设'!$B$3,H1535,I1535,J1535)</x:f>
        <x:v>0.5599999999999999</x:v>
      </x:c>
      <x:c r="L1535" s="11" t="n">
        <x:f>K1535*'管线假设'!E343*'管线假设'!F343*'管线假设'!G343*IF(E1535="USD",'管线假设'!I343,1)-AM1535</x:f>
        <x:v>0.04454331839999999</x:v>
      </x:c>
      <x:c r="M1535" s="11" t="n">
        <x:f>'管线假设'!H343</x:f>
        <x:v>0.14</x:v>
      </x:c>
      <x:c r="N1535" s="11" t="n">
        <x:f>IF(G1535,L1535*AN1535/(1+M1535)^F1535,0)</x:f>
        <x:v>0.004363562971535706</x:v>
      </x:c>
      <x:c r="AJ1535" t="n">
        <x:v>0</x:v>
      </x:c>
      <x:c r="AK1535" t="n">
        <x:v>0</x:v>
      </x:c>
      <x:c r="AL1535" t="n">
        <x:v>0</x:v>
      </x:c>
      <x:c r="AM1535" t="n">
        <x:f>CHOOSE('假设'!$B$3,AJ1535,AK1535,AL1535)</x:f>
        <x:v>0</x:v>
      </x:c>
      <x:c r="AN1535" t="n">
        <x:v>1</x:v>
      </x:c>
    </x:row>
    <x:row r="1536" ht="23" customHeight="1">
      <x:c r="A1536" s="11" t="str">
        <x:v>688302.SH</x:v>
      </x:c>
      <x:c r="B1536" s="11" t="str">
        <x:v>半年</x:v>
      </x:c>
      <x:c r="C1536" s="11" t="str">
        <x:v>hp518_combo_global</x:v>
      </x:c>
      <x:c r="D1536" s="11" t="str">
        <x:v>2045-12-31</x:v>
      </x:c>
      <x:c r="E1536" s="11" t="str">
        <x:v>USD</x:v>
      </x:c>
      <x:c r="F1536" s="11" t="n">
        <x:v>18.729637234770706</x:v>
      </x:c>
      <x:c r="G1536" s="26" t="b">
        <x:v>1</x:v>
      </x:c>
      <x:c r="H1536" s="16" t="n">
        <x:v>0.24</x:v>
      </x:c>
      <x:c r="I1536" s="16" t="n">
        <x:v>0.352</x:v>
      </x:c>
      <x:c r="J1536" s="16" t="n">
        <x:v>0</x:v>
      </x:c>
      <x:c r="K1536" s="11" t="n">
        <x:f>CHOOSE('假设'!$B$3,H1536,I1536,J1536)</x:f>
        <x:v>0.352</x:v>
      </x:c>
      <x:c r="L1536" s="11" t="n">
        <x:f>K1536*'管线假设'!E343*'管线假设'!F343*'管线假设'!G343*IF(E1536="USD",'管线假设'!I343,1)-AM1536</x:f>
        <x:v>0.02799865727999999</x:v>
      </x:c>
      <x:c r="M1536" s="11" t="n">
        <x:f>'管线假设'!H343</x:f>
        <x:v>0.14</x:v>
      </x:c>
      <x:c r="N1536" s="11" t="n">
        <x:f>IF(G1536,L1536*AN1536/(1+M1536)^F1536,0)</x:f>
        <x:v>0.002406190357769711</x:v>
      </x:c>
      <x:c r="AJ1536" t="n">
        <x:v>0</x:v>
      </x:c>
      <x:c r="AK1536" t="n">
        <x:v>0</x:v>
      </x:c>
      <x:c r="AL1536" t="n">
        <x:v>0</x:v>
      </x:c>
      <x:c r="AM1536" t="n">
        <x:f>CHOOSE('假设'!$B$3,AJ1536,AK1536,AL1536)</x:f>
        <x:v>0</x:v>
      </x:c>
      <x:c r="AN1536" t="n">
        <x:v>1</x:v>
      </x:c>
    </x:row>
    <x:row r="1537" ht="23" customHeight="1">
      <x:c r="A1537" s="11" t="str">
        <x:v>688302.SH</x:v>
      </x:c>
      <x:c r="B1537" s="11" t="str">
        <x:v>半年</x:v>
      </x:c>
      <x:c r="C1537" s="11" t="str">
        <x:v>hp518_tnbc_cn</x:v>
      </x:c>
      <x:c r="D1537" s="11" t="str">
        <x:v>2027-12-31</x:v>
      </x:c>
      <x:c r="E1537" s="11" t="str">
        <x:v>CNY</x:v>
      </x:c>
      <x:c r="F1537" s="11" t="n">
        <x:v>0.7282683093771389</x:v>
      </x:c>
      <x:c r="G1537" s="26" t="b">
        <x:v>1</x:v>
      </x:c>
      <x:c r="H1537" s="16" t="n">
        <x:v>0</x:v>
      </x:c>
      <x:c r="I1537" s="16" t="n">
        <x:v>0</x:v>
      </x:c>
      <x:c r="J1537" s="16" t="n">
        <x:v>0</x:v>
      </x:c>
      <x:c r="K1537" s="11" t="n">
        <x:f>CHOOSE('假设'!$B$3,H1537,I1537,J1537)</x:f>
        <x:v>0</x:v>
      </x:c>
      <x:c r="L1537" s="11" t="n">
        <x:f>K1537*'管线假设'!E347*'管线假设'!F347*'管线假设'!G347*IF(E1537="USD",'管线假设'!I347,1)-AM1537</x:f>
        <x:v>0</x:v>
      </x:c>
      <x:c r="M1537" s="11" t="n">
        <x:f>'管线假设'!H347</x:f>
        <x:v>0.14</x:v>
      </x:c>
      <x:c r="N1537" s="11" t="n">
        <x:f>IF(G1537,L1537*AN1537/(1+M1537)^F1537,0)</x:f>
        <x:v>0</x:v>
      </x:c>
      <x:c r="AJ1537" t="n">
        <x:v>0</x:v>
      </x:c>
      <x:c r="AK1537" t="n">
        <x:v>0</x:v>
      </x:c>
      <x:c r="AL1537" t="n">
        <x:v>0</x:v>
      </x:c>
      <x:c r="AM1537" t="n">
        <x:f>CHOOSE('假设'!$B$3,AJ1537,AK1537,AL1537)</x:f>
        <x:v>0</x:v>
      </x:c>
      <x:c r="AN1537" t="n">
        <x:v>1</x:v>
      </x:c>
    </x:row>
    <x:row r="1538" ht="23" customHeight="1">
      <x:c r="A1538" s="11" t="str">
        <x:v>688302.SH</x:v>
      </x:c>
      <x:c r="B1538" s="11" t="str">
        <x:v>半年</x:v>
      </x:c>
      <x:c r="C1538" s="11" t="str">
        <x:v>hp518_tnbc_cn</x:v>
      </x:c>
      <x:c r="D1538" s="11" t="str">
        <x:v>2028-12-31</x:v>
      </x:c>
      <x:c r="E1538" s="11" t="str">
        <x:v>CNY</x:v>
      </x:c>
      <x:c r="F1538" s="11" t="n">
        <x:v>1.730321697467488</x:v>
      </x:c>
      <x:c r="G1538" s="26" t="b">
        <x:v>1</x:v>
      </x:c>
      <x:c r="H1538" s="16" t="n">
        <x:v>0</x:v>
      </x:c>
      <x:c r="I1538" s="16" t="n">
        <x:v>0</x:v>
      </x:c>
      <x:c r="J1538" s="16" t="n">
        <x:v>0</x:v>
      </x:c>
      <x:c r="K1538" s="11" t="n">
        <x:f>CHOOSE('假设'!$B$3,H1538,I1538,J1538)</x:f>
        <x:v>0</x:v>
      </x:c>
      <x:c r="L1538" s="11" t="n">
        <x:f>K1538*'管线假设'!E347*'管线假设'!F347*'管线假设'!G347*IF(E1538="USD",'管线假设'!I347,1)-AM1538</x:f>
        <x:v>0</x:v>
      </x:c>
      <x:c r="M1538" s="11" t="n">
        <x:f>'管线假设'!H347</x:f>
        <x:v>0.14</x:v>
      </x:c>
      <x:c r="N1538" s="11" t="n">
        <x:f>IF(G1538,L1538*AN1538/(1+M1538)^F1538,0)</x:f>
        <x:v>0</x:v>
      </x:c>
      <x:c r="AJ1538" t="n">
        <x:v>0</x:v>
      </x:c>
      <x:c r="AK1538" t="n">
        <x:v>0</x:v>
      </x:c>
      <x:c r="AL1538" t="n">
        <x:v>0</x:v>
      </x:c>
      <x:c r="AM1538" t="n">
        <x:f>CHOOSE('假设'!$B$3,AJ1538,AK1538,AL1538)</x:f>
        <x:v>0</x:v>
      </x:c>
      <x:c r="AN1538" t="n">
        <x:v>1</x:v>
      </x:c>
    </x:row>
    <x:row r="1539" ht="23" customHeight="1">
      <x:c r="A1539" s="11" t="str">
        <x:v>688302.SH</x:v>
      </x:c>
      <x:c r="B1539" s="11" t="str">
        <x:v>半年</x:v>
      </x:c>
      <x:c r="C1539" s="11" t="str">
        <x:v>hp518_tnbc_cn</x:v>
      </x:c>
      <x:c r="D1539" s="11" t="str">
        <x:v>2029-12-31</x:v>
      </x:c>
      <x:c r="E1539" s="11" t="str">
        <x:v>CNY</x:v>
      </x:c>
      <x:c r="F1539" s="11" t="n">
        <x:v>2.729637234770705</x:v>
      </x:c>
      <x:c r="G1539" s="26" t="b">
        <x:v>1</x:v>
      </x:c>
      <x:c r="H1539" s="16" t="n">
        <x:v>0</x:v>
      </x:c>
      <x:c r="I1539" s="16" t="n">
        <x:v>0</x:v>
      </x:c>
      <x:c r="J1539" s="16" t="n">
        <x:v>0</x:v>
      </x:c>
      <x:c r="K1539" s="11" t="n">
        <x:f>CHOOSE('假设'!$B$3,H1539,I1539,J1539)</x:f>
        <x:v>0</x:v>
      </x:c>
      <x:c r="L1539" s="11" t="n">
        <x:f>K1539*'管线假设'!E347*'管线假设'!F347*'管线假设'!G347*IF(E1539="USD",'管线假设'!I347,1)-AM1539</x:f>
        <x:v>0</x:v>
      </x:c>
      <x:c r="M1539" s="11" t="n">
        <x:f>'管线假设'!H347</x:f>
        <x:v>0.14</x:v>
      </x:c>
      <x:c r="N1539" s="11" t="n">
        <x:f>IF(G1539,L1539*AN1539/(1+M1539)^F1539,0)</x:f>
        <x:v>0</x:v>
      </x:c>
      <x:c r="AJ1539" t="n">
        <x:v>0</x:v>
      </x:c>
      <x:c r="AK1539" t="n">
        <x:v>0</x:v>
      </x:c>
      <x:c r="AL1539" t="n">
        <x:v>0</x:v>
      </x:c>
      <x:c r="AM1539" t="n">
        <x:f>CHOOSE('假设'!$B$3,AJ1539,AK1539,AL1539)</x:f>
        <x:v>0</x:v>
      </x:c>
      <x:c r="AN1539" t="n">
        <x:v>1</x:v>
      </x:c>
    </x:row>
    <x:row r="1540" ht="23" customHeight="1">
      <x:c r="A1540" s="11" t="str">
        <x:v>688302.SH</x:v>
      </x:c>
      <x:c r="B1540" s="11" t="str">
        <x:v>半年</x:v>
      </x:c>
      <x:c r="C1540" s="11" t="str">
        <x:v>hp518_tnbc_cn</x:v>
      </x:c>
      <x:c r="D1540" s="11" t="str">
        <x:v>2030-12-31</x:v>
      </x:c>
      <x:c r="E1540" s="11" t="str">
        <x:v>CNY</x:v>
      </x:c>
      <x:c r="F1540" s="11" t="n">
        <x:v>3.728952772073922</x:v>
      </x:c>
      <x:c r="G1540" s="26" t="b">
        <x:v>1</x:v>
      </x:c>
      <x:c r="H1540" s="16" t="n">
        <x:v>0</x:v>
      </x:c>
      <x:c r="I1540" s="16" t="n">
        <x:v>0</x:v>
      </x:c>
      <x:c r="J1540" s="16" t="n">
        <x:v>0</x:v>
      </x:c>
      <x:c r="K1540" s="11" t="n">
        <x:f>CHOOSE('假设'!$B$3,H1540,I1540,J1540)</x:f>
        <x:v>0</x:v>
      </x:c>
      <x:c r="L1540" s="11" t="n">
        <x:f>K1540*'管线假设'!E347*'管线假设'!F347*'管线假设'!G347*IF(E1540="USD",'管线假设'!I347,1)-AM1540</x:f>
        <x:v>0</x:v>
      </x:c>
      <x:c r="M1540" s="11" t="n">
        <x:f>'管线假设'!H347</x:f>
        <x:v>0.14</x:v>
      </x:c>
      <x:c r="N1540" s="11" t="n">
        <x:f>IF(G1540,L1540*AN1540/(1+M1540)^F1540,0)</x:f>
        <x:v>0</x:v>
      </x:c>
      <x:c r="AJ1540" t="n">
        <x:v>0</x:v>
      </x:c>
      <x:c r="AK1540" t="n">
        <x:v>0</x:v>
      </x:c>
      <x:c r="AL1540" t="n">
        <x:v>0</x:v>
      </x:c>
      <x:c r="AM1540" t="n">
        <x:f>CHOOSE('假设'!$B$3,AJ1540,AK1540,AL1540)</x:f>
        <x:v>0</x:v>
      </x:c>
      <x:c r="AN1540" t="n">
        <x:v>1</x:v>
      </x:c>
    </x:row>
    <x:row r="1541" ht="23" customHeight="1">
      <x:c r="A1541" s="11" t="str">
        <x:v>688302.SH</x:v>
      </x:c>
      <x:c r="B1541" s="11" t="str">
        <x:v>半年</x:v>
      </x:c>
      <x:c r="C1541" s="11" t="str">
        <x:v>hp518_tnbc_cn</x:v>
      </x:c>
      <x:c r="D1541" s="11" t="str">
        <x:v>2031-12-31</x:v>
      </x:c>
      <x:c r="E1541" s="11" t="str">
        <x:v>CNY</x:v>
      </x:c>
      <x:c r="F1541" s="11" t="n">
        <x:v>4.728268309377139</x:v>
      </x:c>
      <x:c r="G1541" s="26" t="b">
        <x:v>1</x:v>
      </x:c>
      <x:c r="H1541" s="16" t="n">
        <x:v>0</x:v>
      </x:c>
      <x:c r="I1541" s="16" t="n">
        <x:v>0</x:v>
      </x:c>
      <x:c r="J1541" s="16" t="n">
        <x:v>0</x:v>
      </x:c>
      <x:c r="K1541" s="11" t="n">
        <x:f>CHOOSE('假设'!$B$3,H1541,I1541,J1541)</x:f>
        <x:v>0</x:v>
      </x:c>
      <x:c r="L1541" s="11" t="n">
        <x:f>K1541*'管线假设'!E347*'管线假设'!F347*'管线假设'!G347*IF(E1541="USD",'管线假设'!I347,1)-AM1541</x:f>
        <x:v>0</x:v>
      </x:c>
      <x:c r="M1541" s="11" t="n">
        <x:f>'管线假设'!H347</x:f>
        <x:v>0.14</x:v>
      </x:c>
      <x:c r="N1541" s="11" t="n">
        <x:f>IF(G1541,L1541*AN1541/(1+M1541)^F1541,0)</x:f>
        <x:v>0</x:v>
      </x:c>
      <x:c r="AJ1541" t="n">
        <x:v>0</x:v>
      </x:c>
      <x:c r="AK1541" t="n">
        <x:v>0</x:v>
      </x:c>
      <x:c r="AL1541" t="n">
        <x:v>0</x:v>
      </x:c>
      <x:c r="AM1541" t="n">
        <x:f>CHOOSE('假设'!$B$3,AJ1541,AK1541,AL1541)</x:f>
        <x:v>0</x:v>
      </x:c>
      <x:c r="AN1541" t="n">
        <x:v>1</x:v>
      </x:c>
    </x:row>
    <x:row r="1542" ht="23" customHeight="1">
      <x:c r="A1542" s="11" t="str">
        <x:v>688302.SH</x:v>
      </x:c>
      <x:c r="B1542" s="11" t="str">
        <x:v>半年</x:v>
      </x:c>
      <x:c r="C1542" s="11" t="str">
        <x:v>hp518_tnbc_cn</x:v>
      </x:c>
      <x:c r="D1542" s="11" t="str">
        <x:v>2032-12-31</x:v>
      </x:c>
      <x:c r="E1542" s="11" t="str">
        <x:v>CNY</x:v>
      </x:c>
      <x:c r="F1542" s="11" t="n">
        <x:v>5.730321697467488</x:v>
      </x:c>
      <x:c r="G1542" s="26" t="b">
        <x:v>1</x:v>
      </x:c>
      <x:c r="H1542" s="16" t="n">
        <x:v>0</x:v>
      </x:c>
      <x:c r="I1542" s="16" t="n">
        <x:v>0</x:v>
      </x:c>
      <x:c r="J1542" s="16" t="n">
        <x:v>0.19999999999999998</x:v>
      </x:c>
      <x:c r="K1542" s="11" t="n">
        <x:f>CHOOSE('假设'!$B$3,H1542,I1542,J1542)</x:f>
        <x:v>0</x:v>
      </x:c>
      <x:c r="L1542" s="11" t="n">
        <x:f>K1542*'管线假设'!E347*'管线假设'!F347*'管线假设'!G347*IF(E1542="USD",'管线假设'!I347,1)-AM1542</x:f>
        <x:v>0</x:v>
      </x:c>
      <x:c r="M1542" s="11" t="n">
        <x:f>'管线假设'!H347</x:f>
        <x:v>0.14</x:v>
      </x:c>
      <x:c r="N1542" s="11" t="n">
        <x:f>IF(G1542,L1542*AN1542/(1+M1542)^F1542,0)</x:f>
        <x:v>0</x:v>
      </x:c>
      <x:c r="AJ1542" t="n">
        <x:v>0</x:v>
      </x:c>
      <x:c r="AK1542" t="n">
        <x:v>0</x:v>
      </x:c>
      <x:c r="AL1542" t="n">
        <x:v>0</x:v>
      </x:c>
      <x:c r="AM1542" t="n">
        <x:f>CHOOSE('假设'!$B$3,AJ1542,AK1542,AL1542)</x:f>
        <x:v>0</x:v>
      </x:c>
      <x:c r="AN1542" t="n">
        <x:v>1</x:v>
      </x:c>
    </x:row>
    <x:row r="1543" ht="23" customHeight="1">
      <x:c r="A1543" s="11" t="str">
        <x:v>688302.SH</x:v>
      </x:c>
      <x:c r="B1543" s="11" t="str">
        <x:v>半年</x:v>
      </x:c>
      <x:c r="C1543" s="11" t="str">
        <x:v>hp518_tnbc_cn</x:v>
      </x:c>
      <x:c r="D1543" s="11" t="str">
        <x:v>2033-12-31</x:v>
      </x:c>
      <x:c r="E1543" s="11" t="str">
        <x:v>CNY</x:v>
      </x:c>
      <x:c r="F1543" s="11" t="n">
        <x:v>6.729637234770705</x:v>
      </x:c>
      <x:c r="G1543" s="26" t="b">
        <x:v>1</x:v>
      </x:c>
      <x:c r="H1543" s="16" t="n">
        <x:v>0</x:v>
      </x:c>
      <x:c r="I1543" s="16" t="n">
        <x:v>0</x:v>
      </x:c>
      <x:c r="J1543" s="16" t="n">
        <x:v>0.39999999999999997</x:v>
      </x:c>
      <x:c r="K1543" s="11" t="n">
        <x:f>CHOOSE('假设'!$B$3,H1543,I1543,J1543)</x:f>
        <x:v>0</x:v>
      </x:c>
      <x:c r="L1543" s="11" t="n">
        <x:f>K1543*'管线假设'!E347*'管线假设'!F347*'管线假设'!G347*IF(E1543="USD",'管线假设'!I347,1)-AM1543</x:f>
        <x:v>0</x:v>
      </x:c>
      <x:c r="M1543" s="11" t="n">
        <x:f>'管线假设'!H347</x:f>
        <x:v>0.14</x:v>
      </x:c>
      <x:c r="N1543" s="11" t="n">
        <x:f>IF(G1543,L1543*AN1543/(1+M1543)^F1543,0)</x:f>
        <x:v>0</x:v>
      </x:c>
      <x:c r="AJ1543" t="n">
        <x:v>0</x:v>
      </x:c>
      <x:c r="AK1543" t="n">
        <x:v>0</x:v>
      </x:c>
      <x:c r="AL1543" t="n">
        <x:v>0</x:v>
      </x:c>
      <x:c r="AM1543" t="n">
        <x:f>CHOOSE('假设'!$B$3,AJ1543,AK1543,AL1543)</x:f>
        <x:v>0</x:v>
      </x:c>
      <x:c r="AN1543" t="n">
        <x:v>1</x:v>
      </x:c>
    </x:row>
    <x:row r="1544" ht="23" customHeight="1">
      <x:c r="A1544" s="11" t="str">
        <x:v>688302.SH</x:v>
      </x:c>
      <x:c r="B1544" s="11" t="str">
        <x:v>半年</x:v>
      </x:c>
      <x:c r="C1544" s="11" t="str">
        <x:v>hp518_tnbc_cn</x:v>
      </x:c>
      <x:c r="D1544" s="11" t="str">
        <x:v>2034-12-31</x:v>
      </x:c>
      <x:c r="E1544" s="11" t="str">
        <x:v>CNY</x:v>
      </x:c>
      <x:c r="F1544" s="11" t="n">
        <x:v>7.728952772073922</x:v>
      </x:c>
      <x:c r="G1544" s="26" t="b">
        <x:v>1</x:v>
      </x:c>
      <x:c r="H1544" s="16" t="n">
        <x:v>0</x:v>
      </x:c>
      <x:c r="I1544" s="16" t="n">
        <x:v>0.09999999999999999</x:v>
      </x:c>
      <x:c r="J1544" s="16" t="n">
        <x:v>0.6</x:v>
      </x:c>
      <x:c r="K1544" s="11" t="n">
        <x:f>CHOOSE('假设'!$B$3,H1544,I1544,J1544)</x:f>
        <x:v>0.09999999999999999</x:v>
      </x:c>
      <x:c r="L1544" s="11" t="n">
        <x:f>K1544*'管线假设'!E347*'管线假设'!F347*'管线假设'!G347*IF(E1544="USD",'管线假设'!I347,1)-AM1544</x:f>
        <x:v>0.0029624000000000004</x:v>
      </x:c>
      <x:c r="M1544" s="11" t="n">
        <x:f>'管线假设'!H347</x:f>
        <x:v>0.14</x:v>
      </x:c>
      <x:c r="N1544" s="11" t="n">
        <x:f>IF(G1544,L1544*AN1544/(1+M1544)^F1544,0)</x:f>
        <x:v>0.0010760409285168657</x:v>
      </x:c>
      <x:c r="AJ1544" t="n">
        <x:v>0</x:v>
      </x:c>
      <x:c r="AK1544" t="n">
        <x:v>0</x:v>
      </x:c>
      <x:c r="AL1544" t="n">
        <x:v>0</x:v>
      </x:c>
      <x:c r="AM1544" t="n">
        <x:f>CHOOSE('假设'!$B$3,AJ1544,AK1544,AL1544)</x:f>
        <x:v>0</x:v>
      </x:c>
      <x:c r="AN1544" t="n">
        <x:v>1</x:v>
      </x:c>
    </x:row>
    <x:row r="1545" ht="23" customHeight="1">
      <x:c r="A1545" s="11" t="str">
        <x:v>688302.SH</x:v>
      </x:c>
      <x:c r="B1545" s="11" t="str">
        <x:v>半年</x:v>
      </x:c>
      <x:c r="C1545" s="11" t="str">
        <x:v>hp518_tnbc_cn</x:v>
      </x:c>
      <x:c r="D1545" s="11" t="str">
        <x:v>2035-12-31</x:v>
      </x:c>
      <x:c r="E1545" s="11" t="str">
        <x:v>CNY</x:v>
      </x:c>
      <x:c r="F1545" s="11" t="n">
        <x:v>8.728268309377139</x:v>
      </x:c>
      <x:c r="G1545" s="26" t="b">
        <x:v>1</x:v>
      </x:c>
      <x:c r="H1545" s="16" t="n">
        <x:v>0</x:v>
      </x:c>
      <x:c r="I1545" s="16" t="n">
        <x:v>0.19999999999999998</x:v>
      </x:c>
      <x:c r="J1545" s="16" t="n">
        <x:v>0.7999999999999999</x:v>
      </x:c>
      <x:c r="K1545" s="11" t="n">
        <x:f>CHOOSE('假设'!$B$3,H1545,I1545,J1545)</x:f>
        <x:v>0.19999999999999998</x:v>
      </x:c>
      <x:c r="L1545" s="11" t="n">
        <x:f>K1545*'管线假设'!E347*'管线假设'!F347*'管线假设'!G347*IF(E1545="USD",'管线假设'!I347,1)-AM1545</x:f>
        <x:v>0.005924800000000001</x:v>
      </x:c>
      <x:c r="M1545" s="11" t="n">
        <x:f>'管线假设'!H347</x:f>
        <x:v>0.14</x:v>
      </x:c>
      <x:c r="N1545" s="11" t="n">
        <x:f>IF(G1545,L1545*AN1545/(1+M1545)^F1545,0)</x:f>
        <x:v>0.0018879604148310115</x:v>
      </x:c>
      <x:c r="AJ1545" t="n">
        <x:v>0</x:v>
      </x:c>
      <x:c r="AK1545" t="n">
        <x:v>0</x:v>
      </x:c>
      <x:c r="AL1545" t="n">
        <x:v>0</x:v>
      </x:c>
      <x:c r="AM1545" t="n">
        <x:f>CHOOSE('假设'!$B$3,AJ1545,AK1545,AL1545)</x:f>
        <x:v>0</x:v>
      </x:c>
      <x:c r="AN1545" t="n">
        <x:v>1</x:v>
      </x:c>
    </x:row>
    <x:row r="1546" ht="23" customHeight="1">
      <x:c r="A1546" s="11" t="str">
        <x:v>688302.SH</x:v>
      </x:c>
      <x:c r="B1546" s="11" t="str">
        <x:v>半年</x:v>
      </x:c>
      <x:c r="C1546" s="11" t="str">
        <x:v>hp518_tnbc_cn</x:v>
      </x:c>
      <x:c r="D1546" s="11" t="str">
        <x:v>2036-12-31</x:v>
      </x:c>
      <x:c r="E1546" s="11" t="str">
        <x:v>CNY</x:v>
      </x:c>
      <x:c r="F1546" s="11" t="n">
        <x:v>9.730321697467488</x:v>
      </x:c>
      <x:c r="G1546" s="26" t="b">
        <x:v>1</x:v>
      </x:c>
      <x:c r="H1546" s="16" t="n">
        <x:v>0.04000000000000001</x:v>
      </x:c>
      <x:c r="I1546" s="16" t="n">
        <x:v>0.3</x:v>
      </x:c>
      <x:c r="J1546" s="16" t="n">
        <x:v>1</x:v>
      </x:c>
      <x:c r="K1546" s="11" t="n">
        <x:f>CHOOSE('假设'!$B$3,H1546,I1546,J1546)</x:f>
        <x:v>0.3</x:v>
      </x:c>
      <x:c r="L1546" s="11" t="n">
        <x:f>K1546*'管线假设'!E347*'管线假设'!F347*'管线假设'!G347*IF(E1546="USD",'管线假设'!I347,1)-AM1546</x:f>
        <x:v>0.008887200000000001</x:v>
      </x:c>
      <x:c r="M1546" s="11" t="n">
        <x:f>'管线假设'!H347</x:f>
        <x:v>0.14</x:v>
      </x:c>
      <x:c r="N1546" s="11" t="n">
        <x:f>IF(G1546,L1546*AN1546/(1+M1546)^F1546,0)</x:f>
        <x:v>0.0024834901629892524</x:v>
      </x:c>
      <x:c r="AJ1546" t="n">
        <x:v>0</x:v>
      </x:c>
      <x:c r="AK1546" t="n">
        <x:v>0</x:v>
      </x:c>
      <x:c r="AL1546" t="n">
        <x:v>0</x:v>
      </x:c>
      <x:c r="AM1546" t="n">
        <x:f>CHOOSE('假设'!$B$3,AJ1546,AK1546,AL1546)</x:f>
        <x:v>0</x:v>
      </x:c>
      <x:c r="AN1546" t="n">
        <x:v>1</x:v>
      </x:c>
    </x:row>
    <x:row r="1547" ht="23" customHeight="1">
      <x:c r="A1547" s="11" t="str">
        <x:v>688302.SH</x:v>
      </x:c>
      <x:c r="B1547" s="11" t="str">
        <x:v>半年</x:v>
      </x:c>
      <x:c r="C1547" s="11" t="str">
        <x:v>hp518_tnbc_cn</x:v>
      </x:c>
      <x:c r="D1547" s="11" t="str">
        <x:v>2037-12-31</x:v>
      </x:c>
      <x:c r="E1547" s="11" t="str">
        <x:v>CNY</x:v>
      </x:c>
      <x:c r="F1547" s="11" t="n">
        <x:v>10.729637234770705</x:v>
      </x:c>
      <x:c r="G1547" s="26" t="b">
        <x:v>1</x:v>
      </x:c>
      <x:c r="H1547" s="16" t="n">
        <x:v>0.08000000000000002</x:v>
      </x:c>
      <x:c r="I1547" s="16" t="n">
        <x:v>0.39999999999999997</x:v>
      </x:c>
      <x:c r="J1547" s="16" t="n">
        <x:v>1.2</x:v>
      </x:c>
      <x:c r="K1547" s="11" t="n">
        <x:f>CHOOSE('假设'!$B$3,H1547,I1547,J1547)</x:f>
        <x:v>0.39999999999999997</x:v>
      </x:c>
      <x:c r="L1547" s="11" t="n">
        <x:f>K1547*'管线假设'!E347*'管线假设'!F347*'管线假设'!G347*IF(E1547="USD",'管线假设'!I347,1)-AM1547</x:f>
        <x:v>0.011849600000000002</x:v>
      </x:c>
      <x:c r="M1547" s="11" t="n">
        <x:f>'管线假设'!H347</x:f>
        <x:v>0.14</x:v>
      </x:c>
      <x:c r="N1547" s="11" t="n">
        <x:f>IF(G1547,L1547*AN1547/(1+M1547)^F1547,0)</x:f>
        <x:v>0.0029049273709991197</x:v>
      </x:c>
      <x:c r="AJ1547" t="n">
        <x:v>0</x:v>
      </x:c>
      <x:c r="AK1547" t="n">
        <x:v>0</x:v>
      </x:c>
      <x:c r="AL1547" t="n">
        <x:v>0</x:v>
      </x:c>
      <x:c r="AM1547" t="n">
        <x:f>CHOOSE('假设'!$B$3,AJ1547,AK1547,AL1547)</x:f>
        <x:v>0</x:v>
      </x:c>
      <x:c r="AN1547" t="n">
        <x:v>1</x:v>
      </x:c>
    </x:row>
    <x:row r="1548" ht="23" customHeight="1">
      <x:c r="A1548" s="11" t="str">
        <x:v>688302.SH</x:v>
      </x:c>
      <x:c r="B1548" s="11" t="str">
        <x:v>半年</x:v>
      </x:c>
      <x:c r="C1548" s="11" t="str">
        <x:v>hp518_tnbc_cn</x:v>
      </x:c>
      <x:c r="D1548" s="11" t="str">
        <x:v>2038-12-31</x:v>
      </x:c>
      <x:c r="E1548" s="11" t="str">
        <x:v>CNY</x:v>
      </x:c>
      <x:c r="F1548" s="11" t="n">
        <x:v>11.728952772073923</x:v>
      </x:c>
      <x:c r="G1548" s="26" t="b">
        <x:v>1</x:v>
      </x:c>
      <x:c r="H1548" s="16" t="n">
        <x:v>0.12</x:v>
      </x:c>
      <x:c r="I1548" s="16" t="n">
        <x:v>0.5</x:v>
      </x:c>
      <x:c r="J1548" s="16" t="n">
        <x:v>1.044</x:v>
      </x:c>
      <x:c r="K1548" s="11" t="n">
        <x:f>CHOOSE('假设'!$B$3,H1548,I1548,J1548)</x:f>
        <x:v>0.5</x:v>
      </x:c>
      <x:c r="L1548" s="11" t="n">
        <x:f>K1548*'管线假设'!E347*'管线假设'!F347*'管线假设'!G347*IF(E1548="USD",'管线假设'!I347,1)-AM1548</x:f>
        <x:v>0.014812000000000004</x:v>
      </x:c>
      <x:c r="M1548" s="11" t="n">
        <x:f>'管线假设'!H347</x:f>
        <x:v>0.14</x:v>
      </x:c>
      <x:c r="N1548" s="11" t="n">
        <x:f>IF(G1548,L1548*AN1548/(1+M1548)^F1548,0)</x:f>
        <x:v>0.00318551305708971</x:v>
      </x:c>
      <x:c r="AJ1548" t="n">
        <x:v>0</x:v>
      </x:c>
      <x:c r="AK1548" t="n">
        <x:v>0</x:v>
      </x:c>
      <x:c r="AL1548" t="n">
        <x:v>0</x:v>
      </x:c>
      <x:c r="AM1548" t="n">
        <x:f>CHOOSE('假设'!$B$3,AJ1548,AK1548,AL1548)</x:f>
        <x:v>0</x:v>
      </x:c>
      <x:c r="AN1548" t="n">
        <x:v>1</x:v>
      </x:c>
    </x:row>
    <x:row r="1549" ht="23" customHeight="1">
      <x:c r="A1549" s="11" t="str">
        <x:v>688302.SH</x:v>
      </x:c>
      <x:c r="B1549" s="11" t="str">
        <x:v>半年</x:v>
      </x:c>
      <x:c r="C1549" s="11" t="str">
        <x:v>hp518_tnbc_cn</x:v>
      </x:c>
      <x:c r="D1549" s="11" t="str">
        <x:v>2039-12-31</x:v>
      </x:c>
      <x:c r="E1549" s="11" t="str">
        <x:v>CNY</x:v>
      </x:c>
      <x:c r="F1549" s="11" t="n">
        <x:v>12.728268309377139</x:v>
      </x:c>
      <x:c r="G1549" s="26" t="b">
        <x:v>1</x:v>
      </x:c>
      <x:c r="H1549" s="16" t="n">
        <x:v>0.16000000000000003</x:v>
      </x:c>
      <x:c r="I1549" s="16" t="n">
        <x:v>0.6</x:v>
      </x:c>
      <x:c r="J1549" s="16" t="n">
        <x:v>0.888</x:v>
      </x:c>
      <x:c r="K1549" s="11" t="n">
        <x:f>CHOOSE('假设'!$B$3,H1549,I1549,J1549)</x:f>
        <x:v>0.6</x:v>
      </x:c>
      <x:c r="L1549" s="11" t="n">
        <x:f>K1549*'管线假设'!E347*'管线假设'!F347*'管线假设'!G347*IF(E1549="USD",'管线假设'!I347,1)-AM1549</x:f>
        <x:v>0.017774400000000003</x:v>
      </x:c>
      <x:c r="M1549" s="11" t="n">
        <x:f>'管线假设'!H347</x:f>
        <x:v>0.14</x:v>
      </x:c>
      <x:c r="N1549" s="11" t="n">
        <x:f>IF(G1549,L1549*AN1549/(1+M1549)^F1549,0)</x:f>
        <x:v>0.0033534723782312494</x:v>
      </x:c>
      <x:c r="AJ1549" t="n">
        <x:v>0</x:v>
      </x:c>
      <x:c r="AK1549" t="n">
        <x:v>0</x:v>
      </x:c>
      <x:c r="AL1549" t="n">
        <x:v>0</x:v>
      </x:c>
      <x:c r="AM1549" t="n">
        <x:f>CHOOSE('假设'!$B$3,AJ1549,AK1549,AL1549)</x:f>
        <x:v>0</x:v>
      </x:c>
      <x:c r="AN1549" t="n">
        <x:v>1</x:v>
      </x:c>
    </x:row>
    <x:row r="1550" ht="23" customHeight="1">
      <x:c r="A1550" s="11" t="str">
        <x:v>688302.SH</x:v>
      </x:c>
      <x:c r="B1550" s="11" t="str">
        <x:v>半年</x:v>
      </x:c>
      <x:c r="C1550" s="11" t="str">
        <x:v>hp518_tnbc_cn</x:v>
      </x:c>
      <x:c r="D1550" s="11" t="str">
        <x:v>2040-12-31</x:v>
      </x:c>
      <x:c r="E1550" s="11" t="str">
        <x:v>CNY</x:v>
      </x:c>
      <x:c r="F1550" s="11" t="n">
        <x:v>13.730321697467488</x:v>
      </x:c>
      <x:c r="G1550" s="26" t="b">
        <x:v>1</x:v>
      </x:c>
      <x:c r="H1550" s="16" t="n">
        <x:v>0.2</x:v>
      </x:c>
      <x:c r="I1550" s="16" t="n">
        <x:v>0.522</x:v>
      </x:c>
      <x:c r="J1550" s="16" t="n">
        <x:v>0.732</x:v>
      </x:c>
      <x:c r="K1550" s="11" t="n">
        <x:f>CHOOSE('假设'!$B$3,H1550,I1550,J1550)</x:f>
        <x:v>0.522</x:v>
      </x:c>
      <x:c r="L1550" s="11" t="n">
        <x:f>K1550*'管线假设'!E347*'管线假设'!F347*'管线假设'!G347*IF(E1550="USD",'管线假设'!I347,1)-AM1550</x:f>
        <x:v>0.015463728000000005</x:v>
      </x:c>
      <x:c r="M1550" s="11" t="n">
        <x:f>'管线假设'!H347</x:f>
        <x:v>0.14</x:v>
      </x:c>
      <x:c r="N1550" s="11" t="n">
        <x:f>IF(G1550,L1550*AN1550/(1+M1550)^F1550,0)</x:f>
        <x:v>0.0025585404475149363</x:v>
      </x:c>
      <x:c r="AJ1550" t="n">
        <x:v>0</x:v>
      </x:c>
      <x:c r="AK1550" t="n">
        <x:v>0</x:v>
      </x:c>
      <x:c r="AL1550" t="n">
        <x:v>0</x:v>
      </x:c>
      <x:c r="AM1550" t="n">
        <x:f>CHOOSE('假设'!$B$3,AJ1550,AK1550,AL1550)</x:f>
        <x:v>0</x:v>
      </x:c>
      <x:c r="AN1550" t="n">
        <x:v>1</x:v>
      </x:c>
    </x:row>
    <x:row r="1551" ht="23" customHeight="1">
      <x:c r="A1551" s="11" t="str">
        <x:v>688302.SH</x:v>
      </x:c>
      <x:c r="B1551" s="11" t="str">
        <x:v>半年</x:v>
      </x:c>
      <x:c r="C1551" s="11" t="str">
        <x:v>hp518_tnbc_cn</x:v>
      </x:c>
      <x:c r="D1551" s="11" t="str">
        <x:v>2041-12-31</x:v>
      </x:c>
      <x:c r="E1551" s="11" t="str">
        <x:v>CNY</x:v>
      </x:c>
      <x:c r="F1551" s="11" t="n">
        <x:v>14.729637234770705</x:v>
      </x:c>
      <x:c r="G1551" s="26" t="b">
        <x:v>1</x:v>
      </x:c>
      <x:c r="H1551" s="16" t="n">
        <x:v>0.17400000000000002</x:v>
      </x:c>
      <x:c r="I1551" s="16" t="n">
        <x:v>0.444</x:v>
      </x:c>
      <x:c r="J1551" s="16" t="n">
        <x:v>0.576</x:v>
      </x:c>
      <x:c r="K1551" s="11" t="n">
        <x:f>CHOOSE('假设'!$B$3,H1551,I1551,J1551)</x:f>
        <x:v>0.444</x:v>
      </x:c>
      <x:c r="L1551" s="11" t="n">
        <x:f>K1551*'管线假设'!E347*'管线假设'!F347*'管线假设'!G347*IF(E1551="USD",'管线假设'!I347,1)-AM1551</x:f>
        <x:v>0.013153056000000003</x:v>
      </x:c>
      <x:c r="M1551" s="11" t="n">
        <x:f>'管线假设'!H347</x:f>
        <x:v>0.14</x:v>
      </x:c>
      <x:c r="N1551" s="11" t="n">
        <x:f>IF(G1551,L1551*AN1551/(1+M1551)^F1551,0)</x:f>
        <x:v>0.00190914472595317</x:v>
      </x:c>
      <x:c r="AJ1551" t="n">
        <x:v>0</x:v>
      </x:c>
      <x:c r="AK1551" t="n">
        <x:v>0</x:v>
      </x:c>
      <x:c r="AL1551" t="n">
        <x:v>0</x:v>
      </x:c>
      <x:c r="AM1551" t="n">
        <x:f>CHOOSE('假设'!$B$3,AJ1551,AK1551,AL1551)</x:f>
        <x:v>0</x:v>
      </x:c>
      <x:c r="AN1551" t="n">
        <x:v>1</x:v>
      </x:c>
    </x:row>
    <x:row r="1552" ht="23" customHeight="1">
      <x:c r="A1552" s="11" t="str">
        <x:v>688302.SH</x:v>
      </x:c>
      <x:c r="B1552" s="11" t="str">
        <x:v>半年</x:v>
      </x:c>
      <x:c r="C1552" s="11" t="str">
        <x:v>hp518_tnbc_cn</x:v>
      </x:c>
      <x:c r="D1552" s="11" t="str">
        <x:v>2042-12-31</x:v>
      </x:c>
      <x:c r="E1552" s="11" t="str">
        <x:v>CNY</x:v>
      </x:c>
      <x:c r="F1552" s="11" t="n">
        <x:v>15.728952772073923</x:v>
      </x:c>
      <x:c r="G1552" s="26" t="b">
        <x:v>1</x:v>
      </x:c>
      <x:c r="H1552" s="16" t="n">
        <x:v>0.148</x:v>
      </x:c>
      <x:c r="I1552" s="16" t="n">
        <x:v>0.366</x:v>
      </x:c>
      <x:c r="J1552" s="16" t="n">
        <x:v>0.42</x:v>
      </x:c>
      <x:c r="K1552" s="11" t="n">
        <x:f>CHOOSE('假设'!$B$3,H1552,I1552,J1552)</x:f>
        <x:v>0.366</x:v>
      </x:c>
      <x:c r="L1552" s="11" t="n">
        <x:f>K1552*'管线假设'!E347*'管线假设'!F347*'管线假设'!G347*IF(E1552="USD",'管线假设'!I347,1)-AM1552</x:f>
        <x:v>0.010842384000000004</x:v>
      </x:c>
      <x:c r="M1552" s="11" t="n">
        <x:f>'管线假设'!H347</x:f>
        <x:v>0.14</x:v>
      </x:c>
      <x:c r="N1552" s="11" t="n">
        <x:f>IF(G1552,L1552*AN1552/(1+M1552)^F1552,0)</x:f>
        <x:v>0.0013806101606266823</x:v>
      </x:c>
      <x:c r="AJ1552" t="n">
        <x:v>0</x:v>
      </x:c>
      <x:c r="AK1552" t="n">
        <x:v>0</x:v>
      </x:c>
      <x:c r="AL1552" t="n">
        <x:v>0</x:v>
      </x:c>
      <x:c r="AM1552" t="n">
        <x:f>CHOOSE('假设'!$B$3,AJ1552,AK1552,AL1552)</x:f>
        <x:v>0</x:v>
      </x:c>
      <x:c r="AN1552" t="n">
        <x:v>1</x:v>
      </x:c>
    </x:row>
    <x:row r="1553" ht="23" customHeight="1">
      <x:c r="A1553" s="11" t="str">
        <x:v>688302.SH</x:v>
      </x:c>
      <x:c r="B1553" s="11" t="str">
        <x:v>半年</x:v>
      </x:c>
      <x:c r="C1553" s="11" t="str">
        <x:v>hp518_tnbc_cn</x:v>
      </x:c>
      <x:c r="D1553" s="11" t="str">
        <x:v>2043-12-31</x:v>
      </x:c>
      <x:c r="E1553" s="11" t="str">
        <x:v>CNY</x:v>
      </x:c>
      <x:c r="F1553" s="11" t="n">
        <x:v>16.72826830937714</x:v>
      </x:c>
      <x:c r="G1553" s="26" t="b">
        <x:v>1</x:v>
      </x:c>
      <x:c r="H1553" s="16" t="n">
        <x:v>0.122</x:v>
      </x:c>
      <x:c r="I1553" s="16" t="n">
        <x:v>0.288</x:v>
      </x:c>
      <x:c r="J1553" s="16" t="n">
        <x:v>0.26399999999999996</x:v>
      </x:c>
      <x:c r="K1553" s="11" t="n">
        <x:f>CHOOSE('假设'!$B$3,H1553,I1553,J1553)</x:f>
        <x:v>0.288</x:v>
      </x:c>
      <x:c r="L1553" s="11" t="n">
        <x:f>K1553*'管线假设'!E347*'管线假设'!F347*'管线假设'!G347*IF(E1553="USD",'管线假设'!I347,1)-AM1553</x:f>
        <x:v>0.008531712000000002</x:v>
      </x:c>
      <x:c r="M1553" s="11" t="n">
        <x:f>'管线假设'!H347</x:f>
        <x:v>0.14</x:v>
      </x:c>
      <x:c r="N1553" s="11" t="n">
        <x:f>IF(G1553,L1553*AN1553/(1+M1553)^F1553,0)</x:f>
        <x:v>0.0009530519308110852</x:v>
      </x:c>
      <x:c r="AJ1553" t="n">
        <x:v>0</x:v>
      </x:c>
      <x:c r="AK1553" t="n">
        <x:v>0</x:v>
      </x:c>
      <x:c r="AL1553" t="n">
        <x:v>0</x:v>
      </x:c>
      <x:c r="AM1553" t="n">
        <x:f>CHOOSE('假设'!$B$3,AJ1553,AK1553,AL1553)</x:f>
        <x:v>0</x:v>
      </x:c>
      <x:c r="AN1553" t="n">
        <x:v>1</x:v>
      </x:c>
    </x:row>
    <x:row r="1554" ht="23" customHeight="1">
      <x:c r="A1554" s="11" t="str">
        <x:v>688302.SH</x:v>
      </x:c>
      <x:c r="B1554" s="11" t="str">
        <x:v>半年</x:v>
      </x:c>
      <x:c r="C1554" s="11" t="str">
        <x:v>hp518_tnbc_cn</x:v>
      </x:c>
      <x:c r="D1554" s="11" t="str">
        <x:v>2044-12-31</x:v>
      </x:c>
      <x:c r="E1554" s="11" t="str">
        <x:v>CNY</x:v>
      </x:c>
      <x:c r="F1554" s="11" t="n">
        <x:v>17.730321697467488</x:v>
      </x:c>
      <x:c r="G1554" s="26" t="b">
        <x:v>1</x:v>
      </x:c>
      <x:c r="H1554" s="16" t="n">
        <x:v>0.096</x:v>
      </x:c>
      <x:c r="I1554" s="16" t="n">
        <x:v>0.21</x:v>
      </x:c>
      <x:c r="J1554" s="16" t="n">
        <x:v>0.10799999999999996</x:v>
      </x:c>
      <x:c r="K1554" s="11" t="n">
        <x:f>CHOOSE('假设'!$B$3,H1554,I1554,J1554)</x:f>
        <x:v>0.21</x:v>
      </x:c>
      <x:c r="L1554" s="11" t="n">
        <x:f>K1554*'管线假设'!E347*'管线假设'!F347*'管线假设'!G347*IF(E1554="USD",'管线假设'!I347,1)-AM1554</x:f>
        <x:v>0.0062210400000000015</x:v>
      </x:c>
      <x:c r="M1554" s="11" t="n">
        <x:f>'管线假设'!H347</x:f>
        <x:v>0.14</x:v>
      </x:c>
      <x:c r="N1554" s="11" t="n">
        <x:f>IF(G1554,L1554*AN1554/(1+M1554)^F1554,0)</x:f>
        <x:v>0.0006094269749880714</x:v>
      </x:c>
      <x:c r="AJ1554" t="n">
        <x:v>0</x:v>
      </x:c>
      <x:c r="AK1554" t="n">
        <x:v>0</x:v>
      </x:c>
      <x:c r="AL1554" t="n">
        <x:v>0</x:v>
      </x:c>
      <x:c r="AM1554" t="n">
        <x:f>CHOOSE('假设'!$B$3,AJ1554,AK1554,AL1554)</x:f>
        <x:v>0</x:v>
      </x:c>
      <x:c r="AN1554" t="n">
        <x:v>1</x:v>
      </x:c>
    </x:row>
    <x:row r="1555" ht="23" customHeight="1">
      <x:c r="A1555" s="11" t="str">
        <x:v>688302.SH</x:v>
      </x:c>
      <x:c r="B1555" s="11" t="str">
        <x:v>半年</x:v>
      </x:c>
      <x:c r="C1555" s="11" t="str">
        <x:v>hp518_tnbc_cn</x:v>
      </x:c>
      <x:c r="D1555" s="11" t="str">
        <x:v>2045-12-31</x:v>
      </x:c>
      <x:c r="E1555" s="11" t="str">
        <x:v>CNY</x:v>
      </x:c>
      <x:c r="F1555" s="11" t="n">
        <x:v>18.729637234770706</x:v>
      </x:c>
      <x:c r="G1555" s="26" t="b">
        <x:v>1</x:v>
      </x:c>
      <x:c r="H1555" s="16" t="n">
        <x:v>0.06999999999999999</x:v>
      </x:c>
      <x:c r="I1555" s="16" t="n">
        <x:v>0.13199999999999998</x:v>
      </x:c>
      <x:c r="J1555" s="16" t="n">
        <x:v>0</x:v>
      </x:c>
      <x:c r="K1555" s="11" t="n">
        <x:f>CHOOSE('假设'!$B$3,H1555,I1555,J1555)</x:f>
        <x:v>0.13199999999999998</x:v>
      </x:c>
      <x:c r="L1555" s="11" t="n">
        <x:f>K1555*'管线假设'!E347*'管线假设'!F347*'管线假设'!G347*IF(E1555="USD",'管线假设'!I347,1)-AM1555</x:f>
        <x:v>0.003910368000000001</x:v>
      </x:c>
      <x:c r="M1555" s="11" t="n">
        <x:f>'管线假设'!H347</x:f>
        <x:v>0.14</x:v>
      </x:c>
      <x:c r="N1555" s="11" t="n">
        <x:f>IF(G1555,L1555*AN1555/(1+M1555)^F1555,0)</x:f>
        <x:v>0.0003360550358838934</x:v>
      </x:c>
      <x:c r="AJ1555" t="n">
        <x:v>0</x:v>
      </x:c>
      <x:c r="AK1555" t="n">
        <x:v>0</x:v>
      </x:c>
      <x:c r="AL1555" t="n">
        <x:v>0</x:v>
      </x:c>
      <x:c r="AM1555" t="n">
        <x:f>CHOOSE('假设'!$B$3,AJ1555,AK1555,AL1555)</x:f>
        <x:v>0</x:v>
      </x:c>
      <x:c r="AN1555" t="n">
        <x:v>1</x:v>
      </x:c>
    </x:row>
    <x:row r="1556" ht="23" customHeight="1">
      <x:c r="A1556" s="11" t="str">
        <x:v>688302.SH</x:v>
      </x:c>
      <x:c r="B1556" s="11" t="str">
        <x:v>半年</x:v>
      </x:c>
      <x:c r="C1556" s="11" t="str">
        <x:v>hp518_tnbc_global</x:v>
      </x:c>
      <x:c r="D1556" s="11" t="str">
        <x:v>2027-12-31</x:v>
      </x:c>
      <x:c r="E1556" s="11" t="str">
        <x:v>USD</x:v>
      </x:c>
      <x:c r="F1556" s="11" t="n">
        <x:v>0.7282683093771389</x:v>
      </x:c>
      <x:c r="G1556" s="26" t="b">
        <x:v>1</x:v>
      </x:c>
      <x:c r="H1556" s="16" t="n">
        <x:v>0</x:v>
      </x:c>
      <x:c r="I1556" s="16" t="n">
        <x:v>0</x:v>
      </x:c>
      <x:c r="J1556" s="16" t="n">
        <x:v>0</x:v>
      </x:c>
      <x:c r="K1556" s="11" t="n">
        <x:f>CHOOSE('假设'!$B$3,H1556,I1556,J1556)</x:f>
        <x:v>0</x:v>
      </x:c>
      <x:c r="L1556" s="11" t="n">
        <x:f>K1556*'管线假设'!E351*'管线假设'!F351*'管线假设'!G351*IF(E1556="USD",'管线假设'!I351,1)-AM1556</x:f>
        <x:v>0</x:v>
      </x:c>
      <x:c r="M1556" s="11" t="n">
        <x:f>'管线假设'!H351</x:f>
        <x:v>0.14</x:v>
      </x:c>
      <x:c r="N1556" s="11" t="n">
        <x:f>IF(G1556,L1556*AN1556/(1+M1556)^F1556,0)</x:f>
        <x:v>0</x:v>
      </x:c>
      <x:c r="AJ1556" t="n">
        <x:v>0</x:v>
      </x:c>
      <x:c r="AK1556" t="n">
        <x:v>0</x:v>
      </x:c>
      <x:c r="AL1556" t="n">
        <x:v>0</x:v>
      </x:c>
      <x:c r="AM1556" t="n">
        <x:f>CHOOSE('假设'!$B$3,AJ1556,AK1556,AL1556)</x:f>
        <x:v>0</x:v>
      </x:c>
      <x:c r="AN1556" t="n">
        <x:v>1</x:v>
      </x:c>
    </x:row>
    <x:row r="1557" ht="23" customHeight="1">
      <x:c r="A1557" s="11" t="str">
        <x:v>688302.SH</x:v>
      </x:c>
      <x:c r="B1557" s="11" t="str">
        <x:v>半年</x:v>
      </x:c>
      <x:c r="C1557" s="11" t="str">
        <x:v>hp518_tnbc_global</x:v>
      </x:c>
      <x:c r="D1557" s="11" t="str">
        <x:v>2028-12-31</x:v>
      </x:c>
      <x:c r="E1557" s="11" t="str">
        <x:v>USD</x:v>
      </x:c>
      <x:c r="F1557" s="11" t="n">
        <x:v>1.730321697467488</x:v>
      </x:c>
      <x:c r="G1557" s="26" t="b">
        <x:v>1</x:v>
      </x:c>
      <x:c r="H1557" s="16" t="n">
        <x:v>0</x:v>
      </x:c>
      <x:c r="I1557" s="16" t="n">
        <x:v>0</x:v>
      </x:c>
      <x:c r="J1557" s="16" t="n">
        <x:v>0</x:v>
      </x:c>
      <x:c r="K1557" s="11" t="n">
        <x:f>CHOOSE('假设'!$B$3,H1557,I1557,J1557)</x:f>
        <x:v>0</x:v>
      </x:c>
      <x:c r="L1557" s="11" t="n">
        <x:f>K1557*'管线假设'!E351*'管线假设'!F351*'管线假设'!G351*IF(E1557="USD",'管线假设'!I351,1)-AM1557</x:f>
        <x:v>0</x:v>
      </x:c>
      <x:c r="M1557" s="11" t="n">
        <x:f>'管线假设'!H351</x:f>
        <x:v>0.14</x:v>
      </x:c>
      <x:c r="N1557" s="11" t="n">
        <x:f>IF(G1557,L1557*AN1557/(1+M1557)^F1557,0)</x:f>
        <x:v>0</x:v>
      </x:c>
      <x:c r="AJ1557" t="n">
        <x:v>0</x:v>
      </x:c>
      <x:c r="AK1557" t="n">
        <x:v>0</x:v>
      </x:c>
      <x:c r="AL1557" t="n">
        <x:v>0</x:v>
      </x:c>
      <x:c r="AM1557" t="n">
        <x:f>CHOOSE('假设'!$B$3,AJ1557,AK1557,AL1557)</x:f>
        <x:v>0</x:v>
      </x:c>
      <x:c r="AN1557" t="n">
        <x:v>1</x:v>
      </x:c>
    </x:row>
    <x:row r="1558" ht="23" customHeight="1">
      <x:c r="A1558" s="11" t="str">
        <x:v>688302.SH</x:v>
      </x:c>
      <x:c r="B1558" s="11" t="str">
        <x:v>半年</x:v>
      </x:c>
      <x:c r="C1558" s="11" t="str">
        <x:v>hp518_tnbc_global</x:v>
      </x:c>
      <x:c r="D1558" s="11" t="str">
        <x:v>2029-12-31</x:v>
      </x:c>
      <x:c r="E1558" s="11" t="str">
        <x:v>USD</x:v>
      </x:c>
      <x:c r="F1558" s="11" t="n">
        <x:v>2.729637234770705</x:v>
      </x:c>
      <x:c r="G1558" s="26" t="b">
        <x:v>1</x:v>
      </x:c>
      <x:c r="H1558" s="16" t="n">
        <x:v>0</x:v>
      </x:c>
      <x:c r="I1558" s="16" t="n">
        <x:v>0</x:v>
      </x:c>
      <x:c r="J1558" s="16" t="n">
        <x:v>0</x:v>
      </x:c>
      <x:c r="K1558" s="11" t="n">
        <x:f>CHOOSE('假设'!$B$3,H1558,I1558,J1558)</x:f>
        <x:v>0</x:v>
      </x:c>
      <x:c r="L1558" s="11" t="n">
        <x:f>K1558*'管线假设'!E351*'管线假设'!F351*'管线假设'!G351*IF(E1558="USD",'管线假设'!I351,1)-AM1558</x:f>
        <x:v>0</x:v>
      </x:c>
      <x:c r="M1558" s="11" t="n">
        <x:f>'管线假设'!H351</x:f>
        <x:v>0.14</x:v>
      </x:c>
      <x:c r="N1558" s="11" t="n">
        <x:f>IF(G1558,L1558*AN1558/(1+M1558)^F1558,0)</x:f>
        <x:v>0</x:v>
      </x:c>
      <x:c r="AJ1558" t="n">
        <x:v>0</x:v>
      </x:c>
      <x:c r="AK1558" t="n">
        <x:v>0</x:v>
      </x:c>
      <x:c r="AL1558" t="n">
        <x:v>0</x:v>
      </x:c>
      <x:c r="AM1558" t="n">
        <x:f>CHOOSE('假设'!$B$3,AJ1558,AK1558,AL1558)</x:f>
        <x:v>0</x:v>
      </x:c>
      <x:c r="AN1558" t="n">
        <x:v>1</x:v>
      </x:c>
    </x:row>
    <x:row r="1559" ht="23" customHeight="1">
      <x:c r="A1559" s="11" t="str">
        <x:v>688302.SH</x:v>
      </x:c>
      <x:c r="B1559" s="11" t="str">
        <x:v>半年</x:v>
      </x:c>
      <x:c r="C1559" s="11" t="str">
        <x:v>hp518_tnbc_global</x:v>
      </x:c>
      <x:c r="D1559" s="11" t="str">
        <x:v>2030-12-31</x:v>
      </x:c>
      <x:c r="E1559" s="11" t="str">
        <x:v>USD</x:v>
      </x:c>
      <x:c r="F1559" s="11" t="n">
        <x:v>3.728952772073922</x:v>
      </x:c>
      <x:c r="G1559" s="26" t="b">
        <x:v>1</x:v>
      </x:c>
      <x:c r="H1559" s="16" t="n">
        <x:v>0</x:v>
      </x:c>
      <x:c r="I1559" s="16" t="n">
        <x:v>0</x:v>
      </x:c>
      <x:c r="J1559" s="16" t="n">
        <x:v>0</x:v>
      </x:c>
      <x:c r="K1559" s="11" t="n">
        <x:f>CHOOSE('假设'!$B$3,H1559,I1559,J1559)</x:f>
        <x:v>0</x:v>
      </x:c>
      <x:c r="L1559" s="11" t="n">
        <x:f>K1559*'管线假设'!E351*'管线假设'!F351*'管线假设'!G351*IF(E1559="USD",'管线假设'!I351,1)-AM1559</x:f>
        <x:v>0</x:v>
      </x:c>
      <x:c r="M1559" s="11" t="n">
        <x:f>'管线假设'!H351</x:f>
        <x:v>0.14</x:v>
      </x:c>
      <x:c r="N1559" s="11" t="n">
        <x:f>IF(G1559,L1559*AN1559/(1+M1559)^F1559,0)</x:f>
        <x:v>0</x:v>
      </x:c>
      <x:c r="AJ1559" t="n">
        <x:v>0</x:v>
      </x:c>
      <x:c r="AK1559" t="n">
        <x:v>0</x:v>
      </x:c>
      <x:c r="AL1559" t="n">
        <x:v>0</x:v>
      </x:c>
      <x:c r="AM1559" t="n">
        <x:f>CHOOSE('假设'!$B$3,AJ1559,AK1559,AL1559)</x:f>
        <x:v>0</x:v>
      </x:c>
      <x:c r="AN1559" t="n">
        <x:v>1</x:v>
      </x:c>
    </x:row>
    <x:row r="1560" ht="23" customHeight="1">
      <x:c r="A1560" s="11" t="str">
        <x:v>688302.SH</x:v>
      </x:c>
      <x:c r="B1560" s="11" t="str">
        <x:v>半年</x:v>
      </x:c>
      <x:c r="C1560" s="11" t="str">
        <x:v>hp518_tnbc_global</x:v>
      </x:c>
      <x:c r="D1560" s="11" t="str">
        <x:v>2031-12-31</x:v>
      </x:c>
      <x:c r="E1560" s="11" t="str">
        <x:v>USD</x:v>
      </x:c>
      <x:c r="F1560" s="11" t="n">
        <x:v>4.728268309377139</x:v>
      </x:c>
      <x:c r="G1560" s="26" t="b">
        <x:v>1</x:v>
      </x:c>
      <x:c r="H1560" s="16" t="n">
        <x:v>0</x:v>
      </x:c>
      <x:c r="I1560" s="16" t="n">
        <x:v>0</x:v>
      </x:c>
      <x:c r="J1560" s="16" t="n">
        <x:v>0</x:v>
      </x:c>
      <x:c r="K1560" s="11" t="n">
        <x:f>CHOOSE('假设'!$B$3,H1560,I1560,J1560)</x:f>
        <x:v>0</x:v>
      </x:c>
      <x:c r="L1560" s="11" t="n">
        <x:f>K1560*'管线假设'!E351*'管线假设'!F351*'管线假设'!G351*IF(E1560="USD",'管线假设'!I351,1)-AM1560</x:f>
        <x:v>0</x:v>
      </x:c>
      <x:c r="M1560" s="11" t="n">
        <x:f>'管线假设'!H351</x:f>
        <x:v>0.14</x:v>
      </x:c>
      <x:c r="N1560" s="11" t="n">
        <x:f>IF(G1560,L1560*AN1560/(1+M1560)^F1560,0)</x:f>
        <x:v>0</x:v>
      </x:c>
      <x:c r="AJ1560" t="n">
        <x:v>0</x:v>
      </x:c>
      <x:c r="AK1560" t="n">
        <x:v>0</x:v>
      </x:c>
      <x:c r="AL1560" t="n">
        <x:v>0</x:v>
      </x:c>
      <x:c r="AM1560" t="n">
        <x:f>CHOOSE('假设'!$B$3,AJ1560,AK1560,AL1560)</x:f>
        <x:v>0</x:v>
      </x:c>
      <x:c r="AN1560" t="n">
        <x:v>1</x:v>
      </x:c>
    </x:row>
    <x:row r="1561" ht="23" customHeight="1">
      <x:c r="A1561" s="11" t="str">
        <x:v>688302.SH</x:v>
      </x:c>
      <x:c r="B1561" s="11" t="str">
        <x:v>半年</x:v>
      </x:c>
      <x:c r="C1561" s="11" t="str">
        <x:v>hp518_tnbc_global</x:v>
      </x:c>
      <x:c r="D1561" s="11" t="str">
        <x:v>2032-12-31</x:v>
      </x:c>
      <x:c r="E1561" s="11" t="str">
        <x:v>USD</x:v>
      </x:c>
      <x:c r="F1561" s="11" t="n">
        <x:v>5.730321697467488</x:v>
      </x:c>
      <x:c r="G1561" s="26" t="b">
        <x:v>1</x:v>
      </x:c>
      <x:c r="H1561" s="16" t="n">
        <x:v>0</x:v>
      </x:c>
      <x:c r="I1561" s="16" t="n">
        <x:v>0</x:v>
      </x:c>
      <x:c r="J1561" s="16" t="n">
        <x:v>0</x:v>
      </x:c>
      <x:c r="K1561" s="11" t="n">
        <x:f>CHOOSE('假设'!$B$3,H1561,I1561,J1561)</x:f>
        <x:v>0</x:v>
      </x:c>
      <x:c r="L1561" s="11" t="n">
        <x:f>K1561*'管线假设'!E351*'管线假设'!F351*'管线假设'!G351*IF(E1561="USD",'管线假设'!I351,1)-AM1561</x:f>
        <x:v>0</x:v>
      </x:c>
      <x:c r="M1561" s="11" t="n">
        <x:f>'管线假设'!H351</x:f>
        <x:v>0.14</x:v>
      </x:c>
      <x:c r="N1561" s="11" t="n">
        <x:f>IF(G1561,L1561*AN1561/(1+M1561)^F1561,0)</x:f>
        <x:v>0</x:v>
      </x:c>
      <x:c r="AJ1561" t="n">
        <x:v>0</x:v>
      </x:c>
      <x:c r="AK1561" t="n">
        <x:v>0</x:v>
      </x:c>
      <x:c r="AL1561" t="n">
        <x:v>0</x:v>
      </x:c>
      <x:c r="AM1561" t="n">
        <x:f>CHOOSE('假设'!$B$3,AJ1561,AK1561,AL1561)</x:f>
        <x:v>0</x:v>
      </x:c>
      <x:c r="AN1561" t="n">
        <x:v>1</x:v>
      </x:c>
    </x:row>
    <x:row r="1562" ht="23" customHeight="1">
      <x:c r="A1562" s="11" t="str">
        <x:v>688302.SH</x:v>
      </x:c>
      <x:c r="B1562" s="11" t="str">
        <x:v>半年</x:v>
      </x:c>
      <x:c r="C1562" s="11" t="str">
        <x:v>hp518_tnbc_global</x:v>
      </x:c>
      <x:c r="D1562" s="11" t="str">
        <x:v>2033-12-31</x:v>
      </x:c>
      <x:c r="E1562" s="11" t="str">
        <x:v>USD</x:v>
      </x:c>
      <x:c r="F1562" s="11" t="n">
        <x:v>6.729637234770705</x:v>
      </x:c>
      <x:c r="G1562" s="26" t="b">
        <x:v>1</x:v>
      </x:c>
      <x:c r="H1562" s="16" t="n">
        <x:v>0</x:v>
      </x:c>
      <x:c r="I1562" s="16" t="n">
        <x:v>0</x:v>
      </x:c>
      <x:c r="J1562" s="16" t="n">
        <x:v>0.3</x:v>
      </x:c>
      <x:c r="K1562" s="11" t="n">
        <x:f>CHOOSE('假设'!$B$3,H1562,I1562,J1562)</x:f>
        <x:v>0</x:v>
      </x:c>
      <x:c r="L1562" s="11" t="n">
        <x:f>K1562*'管线假设'!E351*'管线假设'!F351*'管线假设'!G351*IF(E1562="USD",'管线假设'!I351,1)-AM1562</x:f>
        <x:v>0</x:v>
      </x:c>
      <x:c r="M1562" s="11" t="n">
        <x:f>'管线假设'!H351</x:f>
        <x:v>0.14</x:v>
      </x:c>
      <x:c r="N1562" s="11" t="n">
        <x:f>IF(G1562,L1562*AN1562/(1+M1562)^F1562,0)</x:f>
        <x:v>0</x:v>
      </x:c>
      <x:c r="AJ1562" t="n">
        <x:v>0</x:v>
      </x:c>
      <x:c r="AK1562" t="n">
        <x:v>0</x:v>
      </x:c>
      <x:c r="AL1562" t="n">
        <x:v>0</x:v>
      </x:c>
      <x:c r="AM1562" t="n">
        <x:f>CHOOSE('假设'!$B$3,AJ1562,AK1562,AL1562)</x:f>
        <x:v>0</x:v>
      </x:c>
      <x:c r="AN1562" t="n">
        <x:v>1</x:v>
      </x:c>
    </x:row>
    <x:row r="1563" ht="23" customHeight="1">
      <x:c r="A1563" s="11" t="str">
        <x:v>688302.SH</x:v>
      </x:c>
      <x:c r="B1563" s="11" t="str">
        <x:v>半年</x:v>
      </x:c>
      <x:c r="C1563" s="11" t="str">
        <x:v>hp518_tnbc_global</x:v>
      </x:c>
      <x:c r="D1563" s="11" t="str">
        <x:v>2034-12-31</x:v>
      </x:c>
      <x:c r="E1563" s="11" t="str">
        <x:v>USD</x:v>
      </x:c>
      <x:c r="F1563" s="11" t="n">
        <x:v>7.728952772073922</x:v>
      </x:c>
      <x:c r="G1563" s="26" t="b">
        <x:v>1</x:v>
      </x:c>
      <x:c r="H1563" s="16" t="n">
        <x:v>0</x:v>
      </x:c>
      <x:c r="I1563" s="16" t="n">
        <x:v>0</x:v>
      </x:c>
      <x:c r="J1563" s="16" t="n">
        <x:v>0.6</x:v>
      </x:c>
      <x:c r="K1563" s="11" t="n">
        <x:f>CHOOSE('假设'!$B$3,H1563,I1563,J1563)</x:f>
        <x:v>0</x:v>
      </x:c>
      <x:c r="L1563" s="11" t="n">
        <x:f>K1563*'管线假设'!E351*'管线假设'!F351*'管线假设'!G351*IF(E1563="USD",'管线假设'!I351,1)-AM1563</x:f>
        <x:v>0</x:v>
      </x:c>
      <x:c r="M1563" s="11" t="n">
        <x:f>'管线假设'!H351</x:f>
        <x:v>0.14</x:v>
      </x:c>
      <x:c r="N1563" s="11" t="n">
        <x:f>IF(G1563,L1563*AN1563/(1+M1563)^F1563,0)</x:f>
        <x:v>0</x:v>
      </x:c>
      <x:c r="AJ1563" t="n">
        <x:v>0</x:v>
      </x:c>
      <x:c r="AK1563" t="n">
        <x:v>0</x:v>
      </x:c>
      <x:c r="AL1563" t="n">
        <x:v>0</x:v>
      </x:c>
      <x:c r="AM1563" t="n">
        <x:f>CHOOSE('假设'!$B$3,AJ1563,AK1563,AL1563)</x:f>
        <x:v>0</x:v>
      </x:c>
      <x:c r="AN1563" t="n">
        <x:v>1</x:v>
      </x:c>
    </x:row>
    <x:row r="1564" ht="23" customHeight="1">
      <x:c r="A1564" s="11" t="str">
        <x:v>688302.SH</x:v>
      </x:c>
      <x:c r="B1564" s="11" t="str">
        <x:v>半年</x:v>
      </x:c>
      <x:c r="C1564" s="11" t="str">
        <x:v>hp518_tnbc_global</x:v>
      </x:c>
      <x:c r="D1564" s="11" t="str">
        <x:v>2035-12-31</x:v>
      </x:c>
      <x:c r="E1564" s="11" t="str">
        <x:v>USD</x:v>
      </x:c>
      <x:c r="F1564" s="11" t="n">
        <x:v>8.728268309377139</x:v>
      </x:c>
      <x:c r="G1564" s="26" t="b">
        <x:v>1</x:v>
      </x:c>
      <x:c r="H1564" s="16" t="n">
        <x:v>0</x:v>
      </x:c>
      <x:c r="I1564" s="16" t="n">
        <x:v>0.15</x:v>
      </x:c>
      <x:c r="J1564" s="16" t="n">
        <x:v>0.9</x:v>
      </x:c>
      <x:c r="K1564" s="11" t="n">
        <x:f>CHOOSE('假设'!$B$3,H1564,I1564,J1564)</x:f>
        <x:v>0.15</x:v>
      </x:c>
      <x:c r="L1564" s="11" t="n">
        <x:f>K1564*'管线假设'!E351*'管线假设'!F351*'管线假设'!G351*IF(E1564="USD",'管线假设'!I351,1)-AM1564</x:f>
        <x:v>0.008205083999999998</x:v>
      </x:c>
      <x:c r="M1564" s="11" t="n">
        <x:f>'管线假设'!H351</x:f>
        <x:v>0.14</x:v>
      </x:c>
      <x:c r="N1564" s="11" t="n">
        <x:f>IF(G1564,L1564*AN1564/(1+M1564)^F1564,0)</x:f>
        <x:v>0.0026145817229886728</x:v>
      </x:c>
      <x:c r="AJ1564" t="n">
        <x:v>0</x:v>
      </x:c>
      <x:c r="AK1564" t="n">
        <x:v>0</x:v>
      </x:c>
      <x:c r="AL1564" t="n">
        <x:v>0</x:v>
      </x:c>
      <x:c r="AM1564" t="n">
        <x:f>CHOOSE('假设'!$B$3,AJ1564,AK1564,AL1564)</x:f>
        <x:v>0</x:v>
      </x:c>
      <x:c r="AN1564" t="n">
        <x:v>1</x:v>
      </x:c>
    </x:row>
    <x:row r="1565" ht="23" customHeight="1">
      <x:c r="A1565" s="11" t="str">
        <x:v>688302.SH</x:v>
      </x:c>
      <x:c r="B1565" s="11" t="str">
        <x:v>半年</x:v>
      </x:c>
      <x:c r="C1565" s="11" t="str">
        <x:v>hp518_tnbc_global</x:v>
      </x:c>
      <x:c r="D1565" s="11" t="str">
        <x:v>2036-12-31</x:v>
      </x:c>
      <x:c r="E1565" s="11" t="str">
        <x:v>USD</x:v>
      </x:c>
      <x:c r="F1565" s="11" t="n">
        <x:v>9.730321697467488</x:v>
      </x:c>
      <x:c r="G1565" s="26" t="b">
        <x:v>1</x:v>
      </x:c>
      <x:c r="H1565" s="16" t="n">
        <x:v>0</x:v>
      </x:c>
      <x:c r="I1565" s="16" t="n">
        <x:v>0.3</x:v>
      </x:c>
      <x:c r="J1565" s="16" t="n">
        <x:v>1.2</x:v>
      </x:c>
      <x:c r="K1565" s="11" t="n">
        <x:f>CHOOSE('假设'!$B$3,H1565,I1565,J1565)</x:f>
        <x:v>0.3</x:v>
      </x:c>
      <x:c r="L1565" s="11" t="n">
        <x:f>K1565*'管线假设'!E351*'管线假设'!F351*'管线假设'!G351*IF(E1565="USD",'管线假设'!I351,1)-AM1565</x:f>
        <x:v>0.016410167999999996</x:v>
      </x:c>
      <x:c r="M1565" s="11" t="n">
        <x:f>'管线假设'!H351</x:f>
        <x:v>0.14</x:v>
      </x:c>
      <x:c r="N1565" s="11" t="n">
        <x:f>IF(G1565,L1565*AN1565/(1+M1565)^F1565,0)</x:f>
        <x:v>0.004585751507899113</x:v>
      </x:c>
      <x:c r="AJ1565" t="n">
        <x:v>0</x:v>
      </x:c>
      <x:c r="AK1565" t="n">
        <x:v>0</x:v>
      </x:c>
      <x:c r="AL1565" t="n">
        <x:v>0</x:v>
      </x:c>
      <x:c r="AM1565" t="n">
        <x:f>CHOOSE('假设'!$B$3,AJ1565,AK1565,AL1565)</x:f>
        <x:v>0</x:v>
      </x:c>
      <x:c r="AN1565" t="n">
        <x:v>1</x:v>
      </x:c>
    </x:row>
    <x:row r="1566" ht="23" customHeight="1">
      <x:c r="A1566" s="11" t="str">
        <x:v>688302.SH</x:v>
      </x:c>
      <x:c r="B1566" s="11" t="str">
        <x:v>半年</x:v>
      </x:c>
      <x:c r="C1566" s="11" t="str">
        <x:v>hp518_tnbc_global</x:v>
      </x:c>
      <x:c r="D1566" s="11" t="str">
        <x:v>2037-12-31</x:v>
      </x:c>
      <x:c r="E1566" s="11" t="str">
        <x:v>USD</x:v>
      </x:c>
      <x:c r="F1566" s="11" t="n">
        <x:v>10.729637234770705</x:v>
      </x:c>
      <x:c r="G1566" s="26" t="b">
        <x:v>1</x:v>
      </x:c>
      <x:c r="H1566" s="16" t="n">
        <x:v>0.06</x:v>
      </x:c>
      <x:c r="I1566" s="16" t="n">
        <x:v>0.45</x:v>
      </x:c>
      <x:c r="J1566" s="16" t="n">
        <x:v>1.5</x:v>
      </x:c>
      <x:c r="K1566" s="11" t="n">
        <x:f>CHOOSE('假设'!$B$3,H1566,I1566,J1566)</x:f>
        <x:v>0.45</x:v>
      </x:c>
      <x:c r="L1566" s="11" t="n">
        <x:f>K1566*'管线假设'!E351*'管线假设'!F351*'管线假设'!G351*IF(E1566="USD",'管线假设'!I351,1)-AM1566</x:f>
        <x:v>0.024615251999999997</x:v>
      </x:c>
      <x:c r="M1566" s="11" t="n">
        <x:f>'管线假设'!H351</x:f>
        <x:v>0.14</x:v>
      </x:c>
      <x:c r="N1566" s="11" t="n">
        <x:f>IF(G1566,L1566*AN1566/(1+M1566)^F1566,0)</x:f>
        <x:v>0.006034424729850864</x:v>
      </x:c>
      <x:c r="AJ1566" t="n">
        <x:v>0</x:v>
      </x:c>
      <x:c r="AK1566" t="n">
        <x:v>0</x:v>
      </x:c>
      <x:c r="AL1566" t="n">
        <x:v>0</x:v>
      </x:c>
      <x:c r="AM1566" t="n">
        <x:f>CHOOSE('假设'!$B$3,AJ1566,AK1566,AL1566)</x:f>
        <x:v>0</x:v>
      </x:c>
      <x:c r="AN1566" t="n">
        <x:v>1</x:v>
      </x:c>
    </x:row>
    <x:row r="1567" ht="23" customHeight="1">
      <x:c r="A1567" s="11" t="str">
        <x:v>688302.SH</x:v>
      </x:c>
      <x:c r="B1567" s="11" t="str">
        <x:v>半年</x:v>
      </x:c>
      <x:c r="C1567" s="11" t="str">
        <x:v>hp518_tnbc_global</x:v>
      </x:c>
      <x:c r="D1567" s="11" t="str">
        <x:v>2038-12-31</x:v>
      </x:c>
      <x:c r="E1567" s="11" t="str">
        <x:v>USD</x:v>
      </x:c>
      <x:c r="F1567" s="11" t="n">
        <x:v>11.728952772073923</x:v>
      </x:c>
      <x:c r="G1567" s="26" t="b">
        <x:v>1</x:v>
      </x:c>
      <x:c r="H1567" s="16" t="n">
        <x:v>0.12</x:v>
      </x:c>
      <x:c r="I1567" s="16" t="n">
        <x:v>0.6</x:v>
      </x:c>
      <x:c r="J1567" s="16" t="n">
        <x:v>1.8</x:v>
      </x:c>
      <x:c r="K1567" s="11" t="n">
        <x:f>CHOOSE('假设'!$B$3,H1567,I1567,J1567)</x:f>
        <x:v>0.6</x:v>
      </x:c>
      <x:c r="L1567" s="11" t="n">
        <x:f>K1567*'管线假设'!E351*'管线假设'!F351*'管线假设'!G351*IF(E1567="USD",'管线假设'!I351,1)-AM1567</x:f>
        <x:v>0.03282033599999999</x:v>
      </x:c>
      <x:c r="M1567" s="11" t="n">
        <x:f>'管线假设'!H351</x:f>
        <x:v>0.14</x:v>
      </x:c>
      <x:c r="N1567" s="11" t="n">
        <x:f>IF(G1567,L1567*AN1567/(1+M1567)^F1567,0)</x:f>
        <x:v>0.007058439702003201</x:v>
      </x:c>
      <x:c r="AJ1567" t="n">
        <x:v>0</x:v>
      </x:c>
      <x:c r="AK1567" t="n">
        <x:v>0</x:v>
      </x:c>
      <x:c r="AL1567" t="n">
        <x:v>0</x:v>
      </x:c>
      <x:c r="AM1567" t="n">
        <x:f>CHOOSE('假设'!$B$3,AJ1567,AK1567,AL1567)</x:f>
        <x:v>0</x:v>
      </x:c>
      <x:c r="AN1567" t="n">
        <x:v>1</x:v>
      </x:c>
    </x:row>
    <x:row r="1568" ht="23" customHeight="1">
      <x:c r="A1568" s="11" t="str">
        <x:v>688302.SH</x:v>
      </x:c>
      <x:c r="B1568" s="11" t="str">
        <x:v>半年</x:v>
      </x:c>
      <x:c r="C1568" s="11" t="str">
        <x:v>hp518_tnbc_global</x:v>
      </x:c>
      <x:c r="D1568" s="11" t="str">
        <x:v>2039-12-31</x:v>
      </x:c>
      <x:c r="E1568" s="11" t="str">
        <x:v>USD</x:v>
      </x:c>
      <x:c r="F1568" s="11" t="n">
        <x:v>12.728268309377139</x:v>
      </x:c>
      <x:c r="G1568" s="26" t="b">
        <x:v>1</x:v>
      </x:c>
      <x:c r="H1568" s="16" t="n">
        <x:v>0.18</x:v>
      </x:c>
      <x:c r="I1568" s="16" t="n">
        <x:v>0.75</x:v>
      </x:c>
      <x:c r="J1568" s="16" t="n">
        <x:v>1.566</x:v>
      </x:c>
      <x:c r="K1568" s="11" t="n">
        <x:f>CHOOSE('假设'!$B$3,H1568,I1568,J1568)</x:f>
        <x:v>0.75</x:v>
      </x:c>
      <x:c r="L1568" s="11" t="n">
        <x:f>K1568*'管线假设'!E351*'管线假设'!F351*'管线假设'!G351*IF(E1568="USD",'管线假设'!I351,1)-AM1568</x:f>
        <x:v>0.04102541999999999</x:v>
      </x:c>
      <x:c r="M1568" s="11" t="n">
        <x:f>'管线假设'!H351</x:f>
        <x:v>0.14</x:v>
      </x:c>
      <x:c r="N1568" s="11" t="n">
        <x:f>IF(G1568,L1568*AN1568/(1+M1568)^F1568,0)</x:f>
        <x:v>0.007740211358770807</x:v>
      </x:c>
      <x:c r="AJ1568" t="n">
        <x:v>0</x:v>
      </x:c>
      <x:c r="AK1568" t="n">
        <x:v>0</x:v>
      </x:c>
      <x:c r="AL1568" t="n">
        <x:v>0</x:v>
      </x:c>
      <x:c r="AM1568" t="n">
        <x:f>CHOOSE('假设'!$B$3,AJ1568,AK1568,AL1568)</x:f>
        <x:v>0</x:v>
      </x:c>
      <x:c r="AN1568" t="n">
        <x:v>1</x:v>
      </x:c>
    </x:row>
    <x:row r="1569" ht="23" customHeight="1">
      <x:c r="A1569" s="11" t="str">
        <x:v>688302.SH</x:v>
      </x:c>
      <x:c r="B1569" s="11" t="str">
        <x:v>半年</x:v>
      </x:c>
      <x:c r="C1569" s="11" t="str">
        <x:v>hp518_tnbc_global</x:v>
      </x:c>
      <x:c r="D1569" s="11" t="str">
        <x:v>2040-12-31</x:v>
      </x:c>
      <x:c r="E1569" s="11" t="str">
        <x:v>USD</x:v>
      </x:c>
      <x:c r="F1569" s="11" t="n">
        <x:v>13.730321697467488</x:v>
      </x:c>
      <x:c r="G1569" s="26" t="b">
        <x:v>1</x:v>
      </x:c>
      <x:c r="H1569" s="16" t="n">
        <x:v>0.24</x:v>
      </x:c>
      <x:c r="I1569" s="16" t="n">
        <x:v>0.9</x:v>
      </x:c>
      <x:c r="J1569" s="16" t="n">
        <x:v>1.332</x:v>
      </x:c>
      <x:c r="K1569" s="11" t="n">
        <x:f>CHOOSE('假设'!$B$3,H1569,I1569,J1569)</x:f>
        <x:v>0.9</x:v>
      </x:c>
      <x:c r="L1569" s="11" t="n">
        <x:f>K1569*'管线假设'!E351*'管线假设'!F351*'管线假设'!G351*IF(E1569="USD",'管线假设'!I351,1)-AM1569</x:f>
        <x:v>0.049230503999999994</x:v>
      </x:c>
      <x:c r="M1569" s="11" t="n">
        <x:f>'管线假设'!H351</x:f>
        <x:v>0.14</x:v>
      </x:c>
      <x:c r="N1569" s="11" t="n">
        <x:f>IF(G1569,L1569*AN1569/(1+M1569)^F1569,0)</x:f>
        <x:v>0.008145399074243016</x:v>
      </x:c>
      <x:c r="AJ1569" t="n">
        <x:v>0</x:v>
      </x:c>
      <x:c r="AK1569" t="n">
        <x:v>0</x:v>
      </x:c>
      <x:c r="AL1569" t="n">
        <x:v>0</x:v>
      </x:c>
      <x:c r="AM1569" t="n">
        <x:f>CHOOSE('假设'!$B$3,AJ1569,AK1569,AL1569)</x:f>
        <x:v>0</x:v>
      </x:c>
      <x:c r="AN1569" t="n">
        <x:v>1</x:v>
      </x:c>
    </x:row>
    <x:row r="1570" ht="23" customHeight="1">
      <x:c r="A1570" s="11" t="str">
        <x:v>688302.SH</x:v>
      </x:c>
      <x:c r="B1570" s="11" t="str">
        <x:v>半年</x:v>
      </x:c>
      <x:c r="C1570" s="11" t="str">
        <x:v>hp518_tnbc_global</x:v>
      </x:c>
      <x:c r="D1570" s="11" t="str">
        <x:v>2041-12-31</x:v>
      </x:c>
      <x:c r="E1570" s="11" t="str">
        <x:v>USD</x:v>
      </x:c>
      <x:c r="F1570" s="11" t="n">
        <x:v>14.729637234770705</x:v>
      </x:c>
      <x:c r="G1570" s="26" t="b">
        <x:v>1</x:v>
      </x:c>
      <x:c r="H1570" s="16" t="n">
        <x:v>0.3</x:v>
      </x:c>
      <x:c r="I1570" s="16" t="n">
        <x:v>0.783</x:v>
      </x:c>
      <x:c r="J1570" s="16" t="n">
        <x:v>1.098</x:v>
      </x:c>
      <x:c r="K1570" s="11" t="n">
        <x:f>CHOOSE('假设'!$B$3,H1570,I1570,J1570)</x:f>
        <x:v>0.783</x:v>
      </x:c>
      <x:c r="L1570" s="11" t="n">
        <x:f>K1570*'管线假设'!E351*'管线假设'!F351*'管线假设'!G351*IF(E1570="USD",'管线假设'!I351,1)-AM1570</x:f>
        <x:v>0.04283053848</x:v>
      </x:c>
      <x:c r="M1570" s="11" t="n">
        <x:f>'管线假设'!H351</x:f>
        <x:v>0.14</x:v>
      </x:c>
      <x:c r="N1570" s="11" t="n">
        <x:f>IF(G1570,L1570*AN1570/(1+M1570)^F1570,0)</x:f>
        <x:v>0.006216783130006159</x:v>
      </x:c>
      <x:c r="AJ1570" t="n">
        <x:v>0</x:v>
      </x:c>
      <x:c r="AK1570" t="n">
        <x:v>0</x:v>
      </x:c>
      <x:c r="AL1570" t="n">
        <x:v>0</x:v>
      </x:c>
      <x:c r="AM1570" t="n">
        <x:f>CHOOSE('假设'!$B$3,AJ1570,AK1570,AL1570)</x:f>
        <x:v>0</x:v>
      </x:c>
      <x:c r="AN1570" t="n">
        <x:v>1</x:v>
      </x:c>
    </x:row>
    <x:row r="1571" ht="23" customHeight="1">
      <x:c r="A1571" s="11" t="str">
        <x:v>688302.SH</x:v>
      </x:c>
      <x:c r="B1571" s="11" t="str">
        <x:v>半年</x:v>
      </x:c>
      <x:c r="C1571" s="11" t="str">
        <x:v>hp518_tnbc_global</x:v>
      </x:c>
      <x:c r="D1571" s="11" t="str">
        <x:v>2042-12-31</x:v>
      </x:c>
      <x:c r="E1571" s="11" t="str">
        <x:v>USD</x:v>
      </x:c>
      <x:c r="F1571" s="11" t="n">
        <x:v>15.728952772073923</x:v>
      </x:c>
      <x:c r="G1571" s="26" t="b">
        <x:v>1</x:v>
      </x:c>
      <x:c r="H1571" s="16" t="n">
        <x:v>0.261</x:v>
      </x:c>
      <x:c r="I1571" s="16" t="n">
        <x:v>0.666</x:v>
      </x:c>
      <x:c r="J1571" s="16" t="n">
        <x:v>0.864</x:v>
      </x:c>
      <x:c r="K1571" s="11" t="n">
        <x:f>CHOOSE('假设'!$B$3,H1571,I1571,J1571)</x:f>
        <x:v>0.666</x:v>
      </x:c>
      <x:c r="L1571" s="11" t="n">
        <x:f>K1571*'管线假设'!E351*'管线假设'!F351*'管线假设'!G351*IF(E1571="USD",'管线假设'!I351,1)-AM1571</x:f>
        <x:v>0.03643057296</x:v>
      </x:c>
      <x:c r="M1571" s="11" t="n">
        <x:f>'管线假设'!H351</x:f>
        <x:v>0.14</x:v>
      </x:c>
      <x:c r="N1571" s="11" t="n">
        <x:f>IF(G1571,L1571*AN1571/(1+M1571)^F1571,0)</x:f>
        <x:v>0.004638870859584723</x:v>
      </x:c>
      <x:c r="AJ1571" t="n">
        <x:v>0</x:v>
      </x:c>
      <x:c r="AK1571" t="n">
        <x:v>0</x:v>
      </x:c>
      <x:c r="AL1571" t="n">
        <x:v>0</x:v>
      </x:c>
      <x:c r="AM1571" t="n">
        <x:f>CHOOSE('假设'!$B$3,AJ1571,AK1571,AL1571)</x:f>
        <x:v>0</x:v>
      </x:c>
      <x:c r="AN1571" t="n">
        <x:v>1</x:v>
      </x:c>
    </x:row>
    <x:row r="1572" ht="23" customHeight="1">
      <x:c r="A1572" s="11" t="str">
        <x:v>688302.SH</x:v>
      </x:c>
      <x:c r="B1572" s="11" t="str">
        <x:v>半年</x:v>
      </x:c>
      <x:c r="C1572" s="11" t="str">
        <x:v>hp518_tnbc_global</x:v>
      </x:c>
      <x:c r="D1572" s="11" t="str">
        <x:v>2043-12-31</x:v>
      </x:c>
      <x:c r="E1572" s="11" t="str">
        <x:v>USD</x:v>
      </x:c>
      <x:c r="F1572" s="11" t="n">
        <x:v>16.72826830937714</x:v>
      </x:c>
      <x:c r="G1572" s="26" t="b">
        <x:v>1</x:v>
      </x:c>
      <x:c r="H1572" s="16" t="n">
        <x:v>0.222</x:v>
      </x:c>
      <x:c r="I1572" s="16" t="n">
        <x:v>0.549</x:v>
      </x:c>
      <x:c r="J1572" s="16" t="n">
        <x:v>0.63</x:v>
      </x:c>
      <x:c r="K1572" s="11" t="n">
        <x:f>CHOOSE('假设'!$B$3,H1572,I1572,J1572)</x:f>
        <x:v>0.549</x:v>
      </x:c>
      <x:c r="L1572" s="11" t="n">
        <x:f>K1572*'管线假设'!E351*'管线假设'!F351*'管线假设'!G351*IF(E1572="USD",'管线假设'!I351,1)-AM1572</x:f>
        <x:v>0.03003060744</x:v>
      </x:c>
      <x:c r="M1572" s="11" t="n">
        <x:f>'管线假设'!H351</x:f>
        <x:v>0.14</x:v>
      </x:c>
      <x:c r="N1572" s="11" t="n">
        <x:f>IF(G1572,L1572*AN1572/(1+M1572)^F1572,0)</x:f>
        <x:v>0.003354628989365995</x:v>
      </x:c>
      <x:c r="AJ1572" t="n">
        <x:v>0</x:v>
      </x:c>
      <x:c r="AK1572" t="n">
        <x:v>0</x:v>
      </x:c>
      <x:c r="AL1572" t="n">
        <x:v>0</x:v>
      </x:c>
      <x:c r="AM1572" t="n">
        <x:f>CHOOSE('假设'!$B$3,AJ1572,AK1572,AL1572)</x:f>
        <x:v>0</x:v>
      </x:c>
      <x:c r="AN1572" t="n">
        <x:v>1</x:v>
      </x:c>
    </x:row>
    <x:row r="1573" ht="23" customHeight="1">
      <x:c r="A1573" s="11" t="str">
        <x:v>688302.SH</x:v>
      </x:c>
      <x:c r="B1573" s="11" t="str">
        <x:v>半年</x:v>
      </x:c>
      <x:c r="C1573" s="11" t="str">
        <x:v>hp518_tnbc_global</x:v>
      </x:c>
      <x:c r="D1573" s="11" t="str">
        <x:v>2044-12-31</x:v>
      </x:c>
      <x:c r="E1573" s="11" t="str">
        <x:v>USD</x:v>
      </x:c>
      <x:c r="F1573" s="11" t="n">
        <x:v>17.730321697467488</x:v>
      </x:c>
      <x:c r="G1573" s="26" t="b">
        <x:v>1</x:v>
      </x:c>
      <x:c r="H1573" s="16" t="n">
        <x:v>0.183</x:v>
      </x:c>
      <x:c r="I1573" s="16" t="n">
        <x:v>0.432</x:v>
      </x:c>
      <x:c r="J1573" s="16" t="n">
        <x:v>0.39599999999999996</x:v>
      </x:c>
      <x:c r="K1573" s="11" t="n">
        <x:f>CHOOSE('假设'!$B$3,H1573,I1573,J1573)</x:f>
        <x:v>0.432</x:v>
      </x:c>
      <x:c r="L1573" s="11" t="n">
        <x:f>K1573*'管线假设'!E351*'管线假设'!F351*'管线假设'!G351*IF(E1573="USD",'管线假设'!I351,1)-AM1573</x:f>
        <x:v>0.023630641919999997</x:v>
      </x:c>
      <x:c r="M1573" s="11" t="n">
        <x:f>'管线假设'!H351</x:f>
        <x:v>0.14</x:v>
      </x:c>
      <x:c r="N1573" s="11" t="n">
        <x:f>IF(G1573,L1573*AN1573/(1+M1573)^F1573,0)</x:f>
        <x:v>0.0023149104687209703</x:v>
      </x:c>
      <x:c r="AJ1573" t="n">
        <x:v>0</x:v>
      </x:c>
      <x:c r="AK1573" t="n">
        <x:v>0</x:v>
      </x:c>
      <x:c r="AL1573" t="n">
        <x:v>0</x:v>
      </x:c>
      <x:c r="AM1573" t="n">
        <x:f>CHOOSE('假设'!$B$3,AJ1573,AK1573,AL1573)</x:f>
        <x:v>0</x:v>
      </x:c>
      <x:c r="AN1573" t="n">
        <x:v>1</x:v>
      </x:c>
    </x:row>
    <x:row r="1574" ht="23" customHeight="1">
      <x:c r="A1574" s="11" t="str">
        <x:v>688302.SH</x:v>
      </x:c>
      <x:c r="B1574" s="11" t="str">
        <x:v>半年</x:v>
      </x:c>
      <x:c r="C1574" s="11" t="str">
        <x:v>hp518_tnbc_global</x:v>
      </x:c>
      <x:c r="D1574" s="11" t="str">
        <x:v>2045-12-31</x:v>
      </x:c>
      <x:c r="E1574" s="11" t="str">
        <x:v>USD</x:v>
      </x:c>
      <x:c r="F1574" s="11" t="n">
        <x:v>18.729637234770706</x:v>
      </x:c>
      <x:c r="G1574" s="26" t="b">
        <x:v>1</x:v>
      </x:c>
      <x:c r="H1574" s="16" t="n">
        <x:v>0.144</x:v>
      </x:c>
      <x:c r="I1574" s="16" t="n">
        <x:v>0.315</x:v>
      </x:c>
      <x:c r="J1574" s="16" t="n">
        <x:v>0.16199999999999995</x:v>
      </x:c>
      <x:c r="K1574" s="11" t="n">
        <x:f>CHOOSE('假设'!$B$3,H1574,I1574,J1574)</x:f>
        <x:v>0.315</x:v>
      </x:c>
      <x:c r="L1574" s="11" t="n">
        <x:f>K1574*'管线假设'!E351*'管线假设'!F351*'管线假设'!G351*IF(E1574="USD",'管线假设'!I351,1)-AM1574</x:f>
        <x:v>0.0172306764</x:v>
      </x:c>
      <x:c r="M1574" s="11" t="n">
        <x:f>'管线假设'!H351</x:f>
        <x:v>0.14</x:v>
      </x:c>
      <x:c r="N1574" s="11" t="n">
        <x:f>IF(G1574,L1574*AN1574/(1+M1574)^F1574,0)</x:f>
        <x:v>0.001480795560905202</x:v>
      </x:c>
      <x:c r="AJ1574" t="n">
        <x:v>0</x:v>
      </x:c>
      <x:c r="AK1574" t="n">
        <x:v>0</x:v>
      </x:c>
      <x:c r="AL1574" t="n">
        <x:v>0</x:v>
      </x:c>
      <x:c r="AM1574" t="n">
        <x:f>CHOOSE('假设'!$B$3,AJ1574,AK1574,AL1574)</x:f>
        <x:v>0</x:v>
      </x:c>
      <x:c r="AN1574" t="n">
        <x:v>1</x:v>
      </x:c>
    </x:row>
    <x:row r="1575" ht="23" customHeight="1">
      <x:c r="A1575" s="11" t="str">
        <x:v>688302.SH</x:v>
      </x:c>
      <x:c r="B1575" s="11" t="str">
        <x:v>半年</x:v>
      </x:c>
      <x:c r="C1575" s="11" t="str">
        <x:v>hp515_mash_cn</x:v>
      </x:c>
      <x:c r="D1575" s="11" t="str">
        <x:v>2027-12-31</x:v>
      </x:c>
      <x:c r="E1575" s="11" t="str">
        <x:v>CNY</x:v>
      </x:c>
      <x:c r="F1575" s="11" t="n">
        <x:v>0.7282683093771389</x:v>
      </x:c>
      <x:c r="G1575" s="26" t="b">
        <x:v>1</x:v>
      </x:c>
      <x:c r="H1575" s="16" t="n">
        <x:v>0</x:v>
      </x:c>
      <x:c r="I1575" s="16" t="n">
        <x:v>0</x:v>
      </x:c>
      <x:c r="J1575" s="16" t="n">
        <x:v>0</x:v>
      </x:c>
      <x:c r="K1575" s="11" t="n">
        <x:f>CHOOSE('假设'!$B$3,H1575,I1575,J1575)</x:f>
        <x:v>0</x:v>
      </x:c>
      <x:c r="L1575" s="11" t="n">
        <x:f>K1575*'管线假设'!E355*'管线假设'!F355*'管线假设'!G355*IF(E1575="USD",'管线假设'!I355,1)-AM1575</x:f>
        <x:v>0</x:v>
      </x:c>
      <x:c r="M1575" s="11" t="n">
        <x:f>'管线假设'!H355</x:f>
        <x:v>0.14</x:v>
      </x:c>
      <x:c r="N1575" s="11" t="n">
        <x:f>IF(G1575,L1575*AN1575/(1+M1575)^F1575,0)</x:f>
        <x:v>0</x:v>
      </x:c>
      <x:c r="AJ1575" t="n">
        <x:v>0</x:v>
      </x:c>
      <x:c r="AK1575" t="n">
        <x:v>0</x:v>
      </x:c>
      <x:c r="AL1575" t="n">
        <x:v>0</x:v>
      </x:c>
      <x:c r="AM1575" t="n">
        <x:f>CHOOSE('假设'!$B$3,AJ1575,AK1575,AL1575)</x:f>
        <x:v>0</x:v>
      </x:c>
      <x:c r="AN1575" t="n">
        <x:v>1</x:v>
      </x:c>
    </x:row>
    <x:row r="1576" ht="23" customHeight="1">
      <x:c r="A1576" s="11" t="str">
        <x:v>688302.SH</x:v>
      </x:c>
      <x:c r="B1576" s="11" t="str">
        <x:v>半年</x:v>
      </x:c>
      <x:c r="C1576" s="11" t="str">
        <x:v>hp515_mash_cn</x:v>
      </x:c>
      <x:c r="D1576" s="11" t="str">
        <x:v>2028-12-31</x:v>
      </x:c>
      <x:c r="E1576" s="11" t="str">
        <x:v>CNY</x:v>
      </x:c>
      <x:c r="F1576" s="11" t="n">
        <x:v>1.730321697467488</x:v>
      </x:c>
      <x:c r="G1576" s="26" t="b">
        <x:v>1</x:v>
      </x:c>
      <x:c r="H1576" s="16" t="n">
        <x:v>0</x:v>
      </x:c>
      <x:c r="I1576" s="16" t="n">
        <x:v>0</x:v>
      </x:c>
      <x:c r="J1576" s="16" t="n">
        <x:v>0</x:v>
      </x:c>
      <x:c r="K1576" s="11" t="n">
        <x:f>CHOOSE('假设'!$B$3,H1576,I1576,J1576)</x:f>
        <x:v>0</x:v>
      </x:c>
      <x:c r="L1576" s="11" t="n">
        <x:f>K1576*'管线假设'!E355*'管线假设'!F355*'管线假设'!G355*IF(E1576="USD",'管线假设'!I355,1)-AM1576</x:f>
        <x:v>0</x:v>
      </x:c>
      <x:c r="M1576" s="11" t="n">
        <x:f>'管线假设'!H355</x:f>
        <x:v>0.14</x:v>
      </x:c>
      <x:c r="N1576" s="11" t="n">
        <x:f>IF(G1576,L1576*AN1576/(1+M1576)^F1576,0)</x:f>
        <x:v>0</x:v>
      </x:c>
      <x:c r="AJ1576" t="n">
        <x:v>0</x:v>
      </x:c>
      <x:c r="AK1576" t="n">
        <x:v>0</x:v>
      </x:c>
      <x:c r="AL1576" t="n">
        <x:v>0</x:v>
      </x:c>
      <x:c r="AM1576" t="n">
        <x:f>CHOOSE('假设'!$B$3,AJ1576,AK1576,AL1576)</x:f>
        <x:v>0</x:v>
      </x:c>
      <x:c r="AN1576" t="n">
        <x:v>1</x:v>
      </x:c>
    </x:row>
    <x:row r="1577" ht="23" customHeight="1">
      <x:c r="A1577" s="11" t="str">
        <x:v>688302.SH</x:v>
      </x:c>
      <x:c r="B1577" s="11" t="str">
        <x:v>半年</x:v>
      </x:c>
      <x:c r="C1577" s="11" t="str">
        <x:v>hp515_mash_cn</x:v>
      </x:c>
      <x:c r="D1577" s="11" t="str">
        <x:v>2029-12-31</x:v>
      </x:c>
      <x:c r="E1577" s="11" t="str">
        <x:v>CNY</x:v>
      </x:c>
      <x:c r="F1577" s="11" t="n">
        <x:v>2.729637234770705</x:v>
      </x:c>
      <x:c r="G1577" s="26" t="b">
        <x:v>1</x:v>
      </x:c>
      <x:c r="H1577" s="16" t="n">
        <x:v>0</x:v>
      </x:c>
      <x:c r="I1577" s="16" t="n">
        <x:v>0</x:v>
      </x:c>
      <x:c r="J1577" s="16" t="n">
        <x:v>0</x:v>
      </x:c>
      <x:c r="K1577" s="11" t="n">
        <x:f>CHOOSE('假设'!$B$3,H1577,I1577,J1577)</x:f>
        <x:v>0</x:v>
      </x:c>
      <x:c r="L1577" s="11" t="n">
        <x:f>K1577*'管线假设'!E355*'管线假设'!F355*'管线假设'!G355*IF(E1577="USD",'管线假设'!I355,1)-AM1577</x:f>
        <x:v>0</x:v>
      </x:c>
      <x:c r="M1577" s="11" t="n">
        <x:f>'管线假设'!H355</x:f>
        <x:v>0.14</x:v>
      </x:c>
      <x:c r="N1577" s="11" t="n">
        <x:f>IF(G1577,L1577*AN1577/(1+M1577)^F1577,0)</x:f>
        <x:v>0</x:v>
      </x:c>
      <x:c r="AJ1577" t="n">
        <x:v>0</x:v>
      </x:c>
      <x:c r="AK1577" t="n">
        <x:v>0</x:v>
      </x:c>
      <x:c r="AL1577" t="n">
        <x:v>0</x:v>
      </x:c>
      <x:c r="AM1577" t="n">
        <x:f>CHOOSE('假设'!$B$3,AJ1577,AK1577,AL1577)</x:f>
        <x:v>0</x:v>
      </x:c>
      <x:c r="AN1577" t="n">
        <x:v>1</x:v>
      </x:c>
    </x:row>
    <x:row r="1578" ht="23" customHeight="1">
      <x:c r="A1578" s="11" t="str">
        <x:v>688302.SH</x:v>
      </x:c>
      <x:c r="B1578" s="11" t="str">
        <x:v>半年</x:v>
      </x:c>
      <x:c r="C1578" s="11" t="str">
        <x:v>hp515_mash_cn</x:v>
      </x:c>
      <x:c r="D1578" s="11" t="str">
        <x:v>2030-12-31</x:v>
      </x:c>
      <x:c r="E1578" s="11" t="str">
        <x:v>CNY</x:v>
      </x:c>
      <x:c r="F1578" s="11" t="n">
        <x:v>3.728952772073922</x:v>
      </x:c>
      <x:c r="G1578" s="26" t="b">
        <x:v>1</x:v>
      </x:c>
      <x:c r="H1578" s="16" t="n">
        <x:v>0</x:v>
      </x:c>
      <x:c r="I1578" s="16" t="n">
        <x:v>0</x:v>
      </x:c>
      <x:c r="J1578" s="16" t="n">
        <x:v>1</x:v>
      </x:c>
      <x:c r="K1578" s="11" t="n">
        <x:f>CHOOSE('假设'!$B$3,H1578,I1578,J1578)</x:f>
        <x:v>0</x:v>
      </x:c>
      <x:c r="L1578" s="11" t="n">
        <x:f>K1578*'管线假设'!E355*'管线假设'!F355*'管线假设'!G355*IF(E1578="USD",'管线假设'!I355,1)-AM1578</x:f>
        <x:v>0</x:v>
      </x:c>
      <x:c r="M1578" s="11" t="n">
        <x:f>'管线假设'!H355</x:f>
        <x:v>0.14</x:v>
      </x:c>
      <x:c r="N1578" s="11" t="n">
        <x:f>IF(G1578,L1578*AN1578/(1+M1578)^F1578,0)</x:f>
        <x:v>0</x:v>
      </x:c>
      <x:c r="AJ1578" t="n">
        <x:v>0</x:v>
      </x:c>
      <x:c r="AK1578" t="n">
        <x:v>0</x:v>
      </x:c>
      <x:c r="AL1578" t="n">
        <x:v>0</x:v>
      </x:c>
      <x:c r="AM1578" t="n">
        <x:f>CHOOSE('假设'!$B$3,AJ1578,AK1578,AL1578)</x:f>
        <x:v>0</x:v>
      </x:c>
      <x:c r="AN1578" t="n">
        <x:v>1</x:v>
      </x:c>
    </x:row>
    <x:row r="1579" ht="23" customHeight="1">
      <x:c r="A1579" s="11" t="str">
        <x:v>688302.SH</x:v>
      </x:c>
      <x:c r="B1579" s="11" t="str">
        <x:v>半年</x:v>
      </x:c>
      <x:c r="C1579" s="11" t="str">
        <x:v>hp515_mash_cn</x:v>
      </x:c>
      <x:c r="D1579" s="11" t="str">
        <x:v>2031-12-31</x:v>
      </x:c>
      <x:c r="E1579" s="11" t="str">
        <x:v>CNY</x:v>
      </x:c>
      <x:c r="F1579" s="11" t="n">
        <x:v>4.728268309377139</x:v>
      </x:c>
      <x:c r="G1579" s="26" t="b">
        <x:v>1</x:v>
      </x:c>
      <x:c r="H1579" s="16" t="n">
        <x:v>0</x:v>
      </x:c>
      <x:c r="I1579" s="16" t="n">
        <x:v>0</x:v>
      </x:c>
      <x:c r="J1579" s="16" t="n">
        <x:v>2</x:v>
      </x:c>
      <x:c r="K1579" s="11" t="n">
        <x:f>CHOOSE('假设'!$B$3,H1579,I1579,J1579)</x:f>
        <x:v>0</x:v>
      </x:c>
      <x:c r="L1579" s="11" t="n">
        <x:f>K1579*'管线假设'!E355*'管线假设'!F355*'管线假设'!G355*IF(E1579="USD",'管线假设'!I355,1)-AM1579</x:f>
        <x:v>0</x:v>
      </x:c>
      <x:c r="M1579" s="11" t="n">
        <x:f>'管线假设'!H355</x:f>
        <x:v>0.14</x:v>
      </x:c>
      <x:c r="N1579" s="11" t="n">
        <x:f>IF(G1579,L1579*AN1579/(1+M1579)^F1579,0)</x:f>
        <x:v>0</x:v>
      </x:c>
      <x:c r="AJ1579" t="n">
        <x:v>0</x:v>
      </x:c>
      <x:c r="AK1579" t="n">
        <x:v>0</x:v>
      </x:c>
      <x:c r="AL1579" t="n">
        <x:v>0</x:v>
      </x:c>
      <x:c r="AM1579" t="n">
        <x:f>CHOOSE('假设'!$B$3,AJ1579,AK1579,AL1579)</x:f>
        <x:v>0</x:v>
      </x:c>
      <x:c r="AN1579" t="n">
        <x:v>1</x:v>
      </x:c>
    </x:row>
    <x:row r="1580" ht="23" customHeight="1">
      <x:c r="A1580" s="11" t="str">
        <x:v>688302.SH</x:v>
      </x:c>
      <x:c r="B1580" s="11" t="str">
        <x:v>半年</x:v>
      </x:c>
      <x:c r="C1580" s="11" t="str">
        <x:v>hp515_mash_cn</x:v>
      </x:c>
      <x:c r="D1580" s="11" t="str">
        <x:v>2032-12-31</x:v>
      </x:c>
      <x:c r="E1580" s="11" t="str">
        <x:v>CNY</x:v>
      </x:c>
      <x:c r="F1580" s="11" t="n">
        <x:v>5.730321697467488</x:v>
      </x:c>
      <x:c r="G1580" s="26" t="b">
        <x:v>1</x:v>
      </x:c>
      <x:c r="H1580" s="16" t="n">
        <x:v>0</x:v>
      </x:c>
      <x:c r="I1580" s="16" t="n">
        <x:v>0.5</x:v>
      </x:c>
      <x:c r="J1580" s="16" t="n">
        <x:v>3</x:v>
      </x:c>
      <x:c r="K1580" s="11" t="n">
        <x:f>CHOOSE('假设'!$B$3,H1580,I1580,J1580)</x:f>
        <x:v>0.5</x:v>
      </x:c>
      <x:c r="L1580" s="11" t="n">
        <x:f>K1580*'管线假设'!E355*'管线假设'!F355*'管线假设'!G355*IF(E1580="USD",'管线假设'!I355,1)-AM1580</x:f>
        <x:v>0.048275</x:v>
      </x:c>
      <x:c r="M1580" s="11" t="n">
        <x:f>'管线假设'!H355</x:f>
        <x:v>0.14</x:v>
      </x:c>
      <x:c r="N1580" s="11" t="n">
        <x:f>IF(G1580,L1580*AN1580/(1+M1580)^F1580,0)</x:f>
        <x:v>0.022784482981174324</x:v>
      </x:c>
      <x:c r="AJ1580" t="n">
        <x:v>0</x:v>
      </x:c>
      <x:c r="AK1580" t="n">
        <x:v>0</x:v>
      </x:c>
      <x:c r="AL1580" t="n">
        <x:v>0</x:v>
      </x:c>
      <x:c r="AM1580" t="n">
        <x:f>CHOOSE('假设'!$B$3,AJ1580,AK1580,AL1580)</x:f>
        <x:v>0</x:v>
      </x:c>
      <x:c r="AN1580" t="n">
        <x:v>1</x:v>
      </x:c>
    </x:row>
    <x:row r="1581" ht="23" customHeight="1">
      <x:c r="A1581" s="11" t="str">
        <x:v>688302.SH</x:v>
      </x:c>
      <x:c r="B1581" s="11" t="str">
        <x:v>半年</x:v>
      </x:c>
      <x:c r="C1581" s="11" t="str">
        <x:v>hp515_mash_cn</x:v>
      </x:c>
      <x:c r="D1581" s="11" t="str">
        <x:v>2033-12-31</x:v>
      </x:c>
      <x:c r="E1581" s="11" t="str">
        <x:v>CNY</x:v>
      </x:c>
      <x:c r="F1581" s="11" t="n">
        <x:v>6.729637234770705</x:v>
      </x:c>
      <x:c r="G1581" s="26" t="b">
        <x:v>1</x:v>
      </x:c>
      <x:c r="H1581" s="16" t="n">
        <x:v>0</x:v>
      </x:c>
      <x:c r="I1581" s="16" t="n">
        <x:v>1</x:v>
      </x:c>
      <x:c r="J1581" s="16" t="n">
        <x:v>4</x:v>
      </x:c>
      <x:c r="K1581" s="11" t="n">
        <x:f>CHOOSE('假设'!$B$3,H1581,I1581,J1581)</x:f>
        <x:v>1</x:v>
      </x:c>
      <x:c r="L1581" s="11" t="n">
        <x:f>K1581*'管线假设'!E355*'管线假设'!F355*'管线假设'!G355*IF(E1581="USD",'管线假设'!I355,1)-AM1581</x:f>
        <x:v>0.09655</x:v>
      </x:c>
      <x:c r="M1581" s="11" t="n">
        <x:f>'管线假设'!H355</x:f>
        <x:v>0.14</x:v>
      </x:c>
      <x:c r="N1581" s="11" t="n">
        <x:f>IF(G1581,L1581*AN1581/(1+M1581)^F1581,0)</x:f>
        <x:v>0.03997636223757614</x:v>
      </x:c>
      <x:c r="AJ1581" t="n">
        <x:v>0</x:v>
      </x:c>
      <x:c r="AK1581" t="n">
        <x:v>0</x:v>
      </x:c>
      <x:c r="AL1581" t="n">
        <x:v>0</x:v>
      </x:c>
      <x:c r="AM1581" t="n">
        <x:f>CHOOSE('假设'!$B$3,AJ1581,AK1581,AL1581)</x:f>
        <x:v>0</x:v>
      </x:c>
      <x:c r="AN1581" t="n">
        <x:v>1</x:v>
      </x:c>
    </x:row>
    <x:row r="1582" ht="23" customHeight="1">
      <x:c r="A1582" s="11" t="str">
        <x:v>688302.SH</x:v>
      </x:c>
      <x:c r="B1582" s="11" t="str">
        <x:v>半年</x:v>
      </x:c>
      <x:c r="C1582" s="11" t="str">
        <x:v>hp515_mash_cn</x:v>
      </x:c>
      <x:c r="D1582" s="11" t="str">
        <x:v>2034-12-31</x:v>
      </x:c>
      <x:c r="E1582" s="11" t="str">
        <x:v>CNY</x:v>
      </x:c>
      <x:c r="F1582" s="11" t="n">
        <x:v>7.728952772073922</x:v>
      </x:c>
      <x:c r="G1582" s="26" t="b">
        <x:v>1</x:v>
      </x:c>
      <x:c r="H1582" s="16" t="n">
        <x:v>0</x:v>
      </x:c>
      <x:c r="I1582" s="16" t="n">
        <x:v>1.5</x:v>
      </x:c>
      <x:c r="J1582" s="16" t="n">
        <x:v>5</x:v>
      </x:c>
      <x:c r="K1582" s="11" t="n">
        <x:f>CHOOSE('假设'!$B$3,H1582,I1582,J1582)</x:f>
        <x:v>1.5</x:v>
      </x:c>
      <x:c r="L1582" s="11" t="n">
        <x:f>K1582*'管线假设'!E355*'管线假设'!F355*'管线假设'!G355*IF(E1582="USD",'管线假设'!I355,1)-AM1582</x:f>
        <x:v>0.14482499999999998</x:v>
      </x:c>
      <x:c r="M1582" s="11" t="n">
        <x:f>'管线假设'!H355</x:f>
        <x:v>0.14</x:v>
      </x:c>
      <x:c r="N1582" s="11" t="n">
        <x:f>IF(G1582,L1582*AN1582/(1+M1582)^F1582,0)</x:f>
        <x:v>0.05260519425886275</x:v>
      </x:c>
      <x:c r="AJ1582" t="n">
        <x:v>0</x:v>
      </x:c>
      <x:c r="AK1582" t="n">
        <x:v>0</x:v>
      </x:c>
      <x:c r="AL1582" t="n">
        <x:v>0</x:v>
      </x:c>
      <x:c r="AM1582" t="n">
        <x:f>CHOOSE('假设'!$B$3,AJ1582,AK1582,AL1582)</x:f>
        <x:v>0</x:v>
      </x:c>
      <x:c r="AN1582" t="n">
        <x:v>1</x:v>
      </x:c>
    </x:row>
    <x:row r="1583" ht="23" customHeight="1">
      <x:c r="A1583" s="11" t="str">
        <x:v>688302.SH</x:v>
      </x:c>
      <x:c r="B1583" s="11" t="str">
        <x:v>半年</x:v>
      </x:c>
      <x:c r="C1583" s="11" t="str">
        <x:v>hp515_mash_cn</x:v>
      </x:c>
      <x:c r="D1583" s="11" t="str">
        <x:v>2035-12-31</x:v>
      </x:c>
      <x:c r="E1583" s="11" t="str">
        <x:v>CNY</x:v>
      </x:c>
      <x:c r="F1583" s="11" t="n">
        <x:v>8.728268309377139</x:v>
      </x:c>
      <x:c r="G1583" s="26" t="b">
        <x:v>1</x:v>
      </x:c>
      <x:c r="H1583" s="16" t="n">
        <x:v>0.2</x:v>
      </x:c>
      <x:c r="I1583" s="16" t="n">
        <x:v>2</x:v>
      </x:c>
      <x:c r="J1583" s="16" t="n">
        <x:v>6</x:v>
      </x:c>
      <x:c r="K1583" s="11" t="n">
        <x:f>CHOOSE('假设'!$B$3,H1583,I1583,J1583)</x:f>
        <x:v>2</x:v>
      </x:c>
      <x:c r="L1583" s="11" t="n">
        <x:f>K1583*'管线假设'!E355*'管线假设'!F355*'管线假设'!G355*IF(E1583="USD",'管线假设'!I355,1)-AM1583</x:f>
        <x:v>0.1931</x:v>
      </x:c>
      <x:c r="M1583" s="11" t="n">
        <x:f>'管线假设'!H355</x:f>
        <x:v>0.14</x:v>
      </x:c>
      <x:c r="N1583" s="11" t="n">
        <x:f>IF(G1583,L1583*AN1583/(1+M1583)^F1583,0)</x:f>
        <x:v>0.061532061184152755</x:v>
      </x:c>
      <x:c r="AJ1583" t="n">
        <x:v>0</x:v>
      </x:c>
      <x:c r="AK1583" t="n">
        <x:v>0</x:v>
      </x:c>
      <x:c r="AL1583" t="n">
        <x:v>0</x:v>
      </x:c>
      <x:c r="AM1583" t="n">
        <x:f>CHOOSE('假设'!$B$3,AJ1583,AK1583,AL1583)</x:f>
        <x:v>0</x:v>
      </x:c>
      <x:c r="AN1583" t="n">
        <x:v>1</x:v>
      </x:c>
    </x:row>
    <x:row r="1584" ht="23" customHeight="1">
      <x:c r="A1584" s="11" t="str">
        <x:v>688302.SH</x:v>
      </x:c>
      <x:c r="B1584" s="11" t="str">
        <x:v>半年</x:v>
      </x:c>
      <x:c r="C1584" s="11" t="str">
        <x:v>hp515_mash_cn</x:v>
      </x:c>
      <x:c r="D1584" s="11" t="str">
        <x:v>2036-12-31</x:v>
      </x:c>
      <x:c r="E1584" s="11" t="str">
        <x:v>CNY</x:v>
      </x:c>
      <x:c r="F1584" s="11" t="n">
        <x:v>9.730321697467488</x:v>
      </x:c>
      <x:c r="G1584" s="26" t="b">
        <x:v>1</x:v>
      </x:c>
      <x:c r="H1584" s="16" t="n">
        <x:v>0.4</x:v>
      </x:c>
      <x:c r="I1584" s="16" t="n">
        <x:v>2.5</x:v>
      </x:c>
      <x:c r="J1584" s="16" t="n">
        <x:v>5.22</x:v>
      </x:c>
      <x:c r="K1584" s="11" t="n">
        <x:f>CHOOSE('假设'!$B$3,H1584,I1584,J1584)</x:f>
        <x:v>2.5</x:v>
      </x:c>
      <x:c r="L1584" s="11" t="n">
        <x:f>K1584*'管线假设'!E355*'管线假设'!F355*'管线假设'!G355*IF(E1584="USD",'管线假设'!I355,1)-AM1584</x:f>
        <x:v>0.241375</x:v>
      </x:c>
      <x:c r="M1584" s="11" t="n">
        <x:f>'管线假设'!H355</x:f>
        <x:v>0.14</x:v>
      </x:c>
      <x:c r="N1584" s="11" t="n">
        <x:f>IF(G1584,L1584*AN1584/(1+M1584)^F1584,0)</x:f>
        <x:v>0.06745121501615027</x:v>
      </x:c>
      <x:c r="AJ1584" t="n">
        <x:v>0</x:v>
      </x:c>
      <x:c r="AK1584" t="n">
        <x:v>0</x:v>
      </x:c>
      <x:c r="AL1584" t="n">
        <x:v>0</x:v>
      </x:c>
      <x:c r="AM1584" t="n">
        <x:f>CHOOSE('假设'!$B$3,AJ1584,AK1584,AL1584)</x:f>
        <x:v>0</x:v>
      </x:c>
      <x:c r="AN1584" t="n">
        <x:v>1</x:v>
      </x:c>
    </x:row>
    <x:row r="1585" ht="23" customHeight="1">
      <x:c r="A1585" s="11" t="str">
        <x:v>688302.SH</x:v>
      </x:c>
      <x:c r="B1585" s="11" t="str">
        <x:v>半年</x:v>
      </x:c>
      <x:c r="C1585" s="11" t="str">
        <x:v>hp515_mash_cn</x:v>
      </x:c>
      <x:c r="D1585" s="11" t="str">
        <x:v>2037-12-31</x:v>
      </x:c>
      <x:c r="E1585" s="11" t="str">
        <x:v>CNY</x:v>
      </x:c>
      <x:c r="F1585" s="11" t="n">
        <x:v>10.729637234770705</x:v>
      </x:c>
      <x:c r="G1585" s="26" t="b">
        <x:v>1</x:v>
      </x:c>
      <x:c r="H1585" s="16" t="n">
        <x:v>0.6</x:v>
      </x:c>
      <x:c r="I1585" s="16" t="n">
        <x:v>3</x:v>
      </x:c>
      <x:c r="J1585" s="16" t="n">
        <x:v>4.4399999999999995</x:v>
      </x:c>
      <x:c r="K1585" s="11" t="n">
        <x:f>CHOOSE('假设'!$B$3,H1585,I1585,J1585)</x:f>
        <x:v>3</x:v>
      </x:c>
      <x:c r="L1585" s="11" t="n">
        <x:f>K1585*'管线假设'!E355*'管线假设'!F355*'管线假设'!G355*IF(E1585="USD",'管线假设'!I355,1)-AM1585</x:f>
        <x:v>0.28964999999999996</x:v>
      </x:c>
      <x:c r="M1585" s="11" t="n">
        <x:f>'管线假设'!H355</x:f>
        <x:v>0.14</x:v>
      </x:c>
      <x:c r="N1585" s="11" t="n">
        <x:f>IF(G1585,L1585*AN1585/(1+M1585)^F1585,0)</x:f>
        <x:v>0.07100764692562574</x:v>
      </x:c>
      <x:c r="AJ1585" t="n">
        <x:v>0</x:v>
      </x:c>
      <x:c r="AK1585" t="n">
        <x:v>0</x:v>
      </x:c>
      <x:c r="AL1585" t="n">
        <x:v>0</x:v>
      </x:c>
      <x:c r="AM1585" t="n">
        <x:f>CHOOSE('假设'!$B$3,AJ1585,AK1585,AL1585)</x:f>
        <x:v>0</x:v>
      </x:c>
      <x:c r="AN1585" t="n">
        <x:v>1</x:v>
      </x:c>
    </x:row>
    <x:row r="1586" ht="23" customHeight="1">
      <x:c r="A1586" s="11" t="str">
        <x:v>688302.SH</x:v>
      </x:c>
      <x:c r="B1586" s="11" t="str">
        <x:v>半年</x:v>
      </x:c>
      <x:c r="C1586" s="11" t="str">
        <x:v>hp515_mash_cn</x:v>
      </x:c>
      <x:c r="D1586" s="11" t="str">
        <x:v>2038-12-31</x:v>
      </x:c>
      <x:c r="E1586" s="11" t="str">
        <x:v>CNY</x:v>
      </x:c>
      <x:c r="F1586" s="11" t="n">
        <x:v>11.728952772073923</x:v>
      </x:c>
      <x:c r="G1586" s="26" t="b">
        <x:v>1</x:v>
      </x:c>
      <x:c r="H1586" s="16" t="n">
        <x:v>0.8</x:v>
      </x:c>
      <x:c r="I1586" s="16" t="n">
        <x:v>2.61</x:v>
      </x:c>
      <x:c r="J1586" s="16" t="n">
        <x:v>3.66</x:v>
      </x:c>
      <x:c r="K1586" s="11" t="n">
        <x:f>CHOOSE('假设'!$B$3,H1586,I1586,J1586)</x:f>
        <x:v>2.61</x:v>
      </x:c>
      <x:c r="L1586" s="11" t="n">
        <x:f>K1586*'管线假设'!E355*'管线假设'!F355*'管线假设'!G355*IF(E1586="USD",'管线假设'!I355,1)-AM1586</x:f>
        <x:v>0.2519955</x:v>
      </x:c>
      <x:c r="M1586" s="11" t="n">
        <x:f>'管线假设'!H355</x:f>
        <x:v>0.14</x:v>
      </x:c>
      <x:c r="N1586" s="11" t="n">
        <x:f>IF(G1586,L1586*AN1586/(1+M1586)^F1586,0)</x:f>
        <x:v>0.05419490653374627</x:v>
      </x:c>
      <x:c r="AJ1586" t="n">
        <x:v>0</x:v>
      </x:c>
      <x:c r="AK1586" t="n">
        <x:v>0</x:v>
      </x:c>
      <x:c r="AL1586" t="n">
        <x:v>0</x:v>
      </x:c>
      <x:c r="AM1586" t="n">
        <x:f>CHOOSE('假设'!$B$3,AJ1586,AK1586,AL1586)</x:f>
        <x:v>0</x:v>
      </x:c>
      <x:c r="AN1586" t="n">
        <x:v>1</x:v>
      </x:c>
    </x:row>
    <x:row r="1587" ht="23" customHeight="1">
      <x:c r="A1587" s="11" t="str">
        <x:v>688302.SH</x:v>
      </x:c>
      <x:c r="B1587" s="11" t="str">
        <x:v>半年</x:v>
      </x:c>
      <x:c r="C1587" s="11" t="str">
        <x:v>hp515_mash_cn</x:v>
      </x:c>
      <x:c r="D1587" s="11" t="str">
        <x:v>2039-12-31</x:v>
      </x:c>
      <x:c r="E1587" s="11" t="str">
        <x:v>CNY</x:v>
      </x:c>
      <x:c r="F1587" s="11" t="n">
        <x:v>12.728268309377139</x:v>
      </x:c>
      <x:c r="G1587" s="26" t="b">
        <x:v>1</x:v>
      </x:c>
      <x:c r="H1587" s="16" t="n">
        <x:v>1</x:v>
      </x:c>
      <x:c r="I1587" s="16" t="n">
        <x:v>2.2199999999999998</x:v>
      </x:c>
      <x:c r="J1587" s="16" t="n">
        <x:v>2.88</x:v>
      </x:c>
      <x:c r="K1587" s="11" t="n">
        <x:f>CHOOSE('假设'!$B$3,H1587,I1587,J1587)</x:f>
        <x:v>2.2199999999999998</x:v>
      </x:c>
      <x:c r="L1587" s="11" t="n">
        <x:f>K1587*'管线假设'!E355*'管线假设'!F355*'管线假设'!G355*IF(E1587="USD",'管线假设'!I355,1)-AM1587</x:f>
        <x:v>0.21434099999999998</x:v>
      </x:c>
      <x:c r="M1587" s="11" t="n">
        <x:f>'管线假设'!H355</x:f>
        <x:v>0.14</x:v>
      </x:c>
      <x:c r="N1587" s="11" t="n">
        <x:f>IF(G1587,L1587*AN1587/(1+M1587)^F1587,0)</x:f>
        <x:v>0.04043943103691062</x:v>
      </x:c>
      <x:c r="AJ1587" t="n">
        <x:v>0</x:v>
      </x:c>
      <x:c r="AK1587" t="n">
        <x:v>0</x:v>
      </x:c>
      <x:c r="AL1587" t="n">
        <x:v>0</x:v>
      </x:c>
      <x:c r="AM1587" t="n">
        <x:f>CHOOSE('假设'!$B$3,AJ1587,AK1587,AL1587)</x:f>
        <x:v>0</x:v>
      </x:c>
      <x:c r="AN1587" t="n">
        <x:v>1</x:v>
      </x:c>
    </x:row>
    <x:row r="1588" ht="23" customHeight="1">
      <x:c r="A1588" s="11" t="str">
        <x:v>688302.SH</x:v>
      </x:c>
      <x:c r="B1588" s="11" t="str">
        <x:v>半年</x:v>
      </x:c>
      <x:c r="C1588" s="11" t="str">
        <x:v>hp515_mash_cn</x:v>
      </x:c>
      <x:c r="D1588" s="11" t="str">
        <x:v>2040-12-31</x:v>
      </x:c>
      <x:c r="E1588" s="11" t="str">
        <x:v>CNY</x:v>
      </x:c>
      <x:c r="F1588" s="11" t="n">
        <x:v>13.730321697467488</x:v>
      </x:c>
      <x:c r="G1588" s="26" t="b">
        <x:v>1</x:v>
      </x:c>
      <x:c r="H1588" s="16" t="n">
        <x:v>0.87</x:v>
      </x:c>
      <x:c r="I1588" s="16" t="n">
        <x:v>1.83</x:v>
      </x:c>
      <x:c r="J1588" s="16" t="n">
        <x:v>2.0999999999999996</x:v>
      </x:c>
      <x:c r="K1588" s="11" t="n">
        <x:f>CHOOSE('假设'!$B$3,H1588,I1588,J1588)</x:f>
        <x:v>1.83</x:v>
      </x:c>
      <x:c r="L1588" s="11" t="n">
        <x:f>K1588*'管线假设'!E355*'管线假设'!F355*'管线假设'!G355*IF(E1588="USD",'管线假设'!I355,1)-AM1588</x:f>
        <x:v>0.1766865</x:v>
      </x:c>
      <x:c r="M1588" s="11" t="n">
        <x:f>'管线假设'!H355</x:f>
        <x:v>0.14</x:v>
      </x:c>
      <x:c r="N1588" s="11" t="n">
        <x:f>IF(G1588,L1588*AN1588/(1+M1588)^F1588,0)</x:f>
        <x:v>0.02923354295806597</x:v>
      </x:c>
      <x:c r="AJ1588" t="n">
        <x:v>0</x:v>
      </x:c>
      <x:c r="AK1588" t="n">
        <x:v>0</x:v>
      </x:c>
      <x:c r="AL1588" t="n">
        <x:v>0</x:v>
      </x:c>
      <x:c r="AM1588" t="n">
        <x:f>CHOOSE('假设'!$B$3,AJ1588,AK1588,AL1588)</x:f>
        <x:v>0</x:v>
      </x:c>
      <x:c r="AN1588" t="n">
        <x:v>1</x:v>
      </x:c>
    </x:row>
    <x:row r="1589" ht="23" customHeight="1">
      <x:c r="A1589" s="11" t="str">
        <x:v>688302.SH</x:v>
      </x:c>
      <x:c r="B1589" s="11" t="str">
        <x:v>半年</x:v>
      </x:c>
      <x:c r="C1589" s="11" t="str">
        <x:v>hp515_mash_cn</x:v>
      </x:c>
      <x:c r="D1589" s="11" t="str">
        <x:v>2041-12-31</x:v>
      </x:c>
      <x:c r="E1589" s="11" t="str">
        <x:v>CNY</x:v>
      </x:c>
      <x:c r="F1589" s="11" t="n">
        <x:v>14.729637234770705</x:v>
      </x:c>
      <x:c r="G1589" s="26" t="b">
        <x:v>1</x:v>
      </x:c>
      <x:c r="H1589" s="16" t="n">
        <x:v>0.74</x:v>
      </x:c>
      <x:c r="I1589" s="16" t="n">
        <x:v>1.44</x:v>
      </x:c>
      <x:c r="J1589" s="16" t="n">
        <x:v>1.3199999999999998</x:v>
      </x:c>
      <x:c r="K1589" s="11" t="n">
        <x:f>CHOOSE('假设'!$B$3,H1589,I1589,J1589)</x:f>
        <x:v>1.44</x:v>
      </x:c>
      <x:c r="L1589" s="11" t="n">
        <x:f>K1589*'管线假设'!E355*'管线假设'!F355*'管线假设'!G355*IF(E1589="USD",'管线假设'!I355,1)-AM1589</x:f>
        <x:v>0.139032</x:v>
      </x:c>
      <x:c r="M1589" s="11" t="n">
        <x:f>'管线假设'!H355</x:f>
        <x:v>0.14</x:v>
      </x:c>
      <x:c r="N1589" s="11" t="n">
        <x:f>IF(G1589,L1589*AN1589/(1+M1589)^F1589,0)</x:f>
        <x:v>0.020180269097821908</x:v>
      </x:c>
      <x:c r="AJ1589" t="n">
        <x:v>0</x:v>
      </x:c>
      <x:c r="AK1589" t="n">
        <x:v>0</x:v>
      </x:c>
      <x:c r="AL1589" t="n">
        <x:v>0</x:v>
      </x:c>
      <x:c r="AM1589" t="n">
        <x:f>CHOOSE('假设'!$B$3,AJ1589,AK1589,AL1589)</x:f>
        <x:v>0</x:v>
      </x:c>
      <x:c r="AN1589" t="n">
        <x:v>1</x:v>
      </x:c>
    </x:row>
    <x:row r="1590" ht="23" customHeight="1">
      <x:c r="A1590" s="11" t="str">
        <x:v>688302.SH</x:v>
      </x:c>
      <x:c r="B1590" s="11" t="str">
        <x:v>半年</x:v>
      </x:c>
      <x:c r="C1590" s="11" t="str">
        <x:v>hp515_mash_cn</x:v>
      </x:c>
      <x:c r="D1590" s="11" t="str">
        <x:v>2042-12-31</x:v>
      </x:c>
      <x:c r="E1590" s="11" t="str">
        <x:v>CNY</x:v>
      </x:c>
      <x:c r="F1590" s="11" t="n">
        <x:v>15.728952772073923</x:v>
      </x:c>
      <x:c r="G1590" s="26" t="b">
        <x:v>1</x:v>
      </x:c>
      <x:c r="H1590" s="16" t="n">
        <x:v>0.61</x:v>
      </x:c>
      <x:c r="I1590" s="16" t="n">
        <x:v>1.0499999999999998</x:v>
      </x:c>
      <x:c r="J1590" s="16" t="n">
        <x:v>0.5399999999999998</x:v>
      </x:c>
      <x:c r="K1590" s="11" t="n">
        <x:f>CHOOSE('假设'!$B$3,H1590,I1590,J1590)</x:f>
        <x:v>1.0499999999999998</x:v>
      </x:c>
      <x:c r="L1590" s="11" t="n">
        <x:f>K1590*'管线假设'!E355*'管线假设'!F355*'管线假设'!G355*IF(E1590="USD",'管线假设'!I355,1)-AM1590</x:f>
        <x:v>0.10137749999999998</x:v>
      </x:c>
      <x:c r="M1590" s="11" t="n">
        <x:f>'管线假设'!H355</x:f>
        <x:v>0.14</x:v>
      </x:c>
      <x:c r="N1590" s="11" t="n">
        <x:f>IF(G1590,L1590*AN1590/(1+M1590)^F1590,0)</x:f>
        <x:v>0.012908859025739303</x:v>
      </x:c>
      <x:c r="AJ1590" t="n">
        <x:v>0</x:v>
      </x:c>
      <x:c r="AK1590" t="n">
        <x:v>0</x:v>
      </x:c>
      <x:c r="AL1590" t="n">
        <x:v>0</x:v>
      </x:c>
      <x:c r="AM1590" t="n">
        <x:f>CHOOSE('假设'!$B$3,AJ1590,AK1590,AL1590)</x:f>
        <x:v>0</x:v>
      </x:c>
      <x:c r="AN1590" t="n">
        <x:v>1</x:v>
      </x:c>
    </x:row>
    <x:row r="1591" ht="23" customHeight="1">
      <x:c r="A1591" s="11" t="str">
        <x:v>688302.SH</x:v>
      </x:c>
      <x:c r="B1591" s="11" t="str">
        <x:v>半年</x:v>
      </x:c>
      <x:c r="C1591" s="11" t="str">
        <x:v>hp515_mash_cn</x:v>
      </x:c>
      <x:c r="D1591" s="11" t="str">
        <x:v>2043-12-31</x:v>
      </x:c>
      <x:c r="E1591" s="11" t="str">
        <x:v>CNY</x:v>
      </x:c>
      <x:c r="F1591" s="11" t="n">
        <x:v>16.72826830937714</x:v>
      </x:c>
      <x:c r="G1591" s="26" t="b">
        <x:v>1</x:v>
      </x:c>
      <x:c r="H1591" s="16" t="n">
        <x:v>0.48</x:v>
      </x:c>
      <x:c r="I1591" s="16" t="n">
        <x:v>0.6599999999999999</x:v>
      </x:c>
      <x:c r="J1591" s="16" t="n">
        <x:v>0</x:v>
      </x:c>
      <x:c r="K1591" s="11" t="n">
        <x:f>CHOOSE('假设'!$B$3,H1591,I1591,J1591)</x:f>
        <x:v>0.6599999999999999</x:v>
      </x:c>
      <x:c r="L1591" s="11" t="n">
        <x:f>K1591*'管线假设'!E355*'管线假设'!F355*'管线假设'!G355*IF(E1591="USD",'管线假设'!I355,1)-AM1591</x:f>
        <x:v>0.06372299999999999</x:v>
      </x:c>
      <x:c r="M1591" s="11" t="n">
        <x:f>'管线假设'!H355</x:f>
        <x:v>0.14</x:v>
      </x:c>
      <x:c r="N1591" s="11" t="n">
        <x:f>IF(G1591,L1591*AN1591/(1+M1591)^F1591,0)</x:f>
        <x:v>0.007118304999872799</x:v>
      </x:c>
      <x:c r="AJ1591" t="n">
        <x:v>0</x:v>
      </x:c>
      <x:c r="AK1591" t="n">
        <x:v>0</x:v>
      </x:c>
      <x:c r="AL1591" t="n">
        <x:v>0</x:v>
      </x:c>
      <x:c r="AM1591" t="n">
        <x:f>CHOOSE('假设'!$B$3,AJ1591,AK1591,AL1591)</x:f>
        <x:v>0</x:v>
      </x:c>
      <x:c r="AN1591" t="n">
        <x:v>1</x:v>
      </x:c>
    </x:row>
    <x:row r="1592" ht="23" customHeight="1">
      <x:c r="A1592" s="11" t="str">
        <x:v>688302.SH</x:v>
      </x:c>
      <x:c r="B1592" s="11" t="str">
        <x:v>半年</x:v>
      </x:c>
      <x:c r="C1592" s="11" t="str">
        <x:v>hp515_mash_cn</x:v>
      </x:c>
      <x:c r="D1592" s="11" t="str">
        <x:v>2044-12-31</x:v>
      </x:c>
      <x:c r="E1592" s="11" t="str">
        <x:v>CNY</x:v>
      </x:c>
      <x:c r="F1592" s="11" t="n">
        <x:v>17.730321697467488</x:v>
      </x:c>
      <x:c r="G1592" s="26" t="b">
        <x:v>1</x:v>
      </x:c>
      <x:c r="H1592" s="16" t="n">
        <x:v>0.35</x:v>
      </x:c>
      <x:c r="I1592" s="16" t="n">
        <x:v>0.2699999999999999</x:v>
      </x:c>
      <x:c r="J1592" s="16" t="n">
        <x:v>0</x:v>
      </x:c>
      <x:c r="K1592" s="11" t="n">
        <x:f>CHOOSE('假设'!$B$3,H1592,I1592,J1592)</x:f>
        <x:v>0.2699999999999999</x:v>
      </x:c>
      <x:c r="L1592" s="11" t="n">
        <x:f>K1592*'管线假设'!E355*'管线假设'!F355*'管线假设'!G355*IF(E1592="USD",'管线假设'!I355,1)-AM1592</x:f>
        <x:v>0.02606849999999999</x:v>
      </x:c>
      <x:c r="M1592" s="11" t="n">
        <x:f>'管线假设'!H355</x:f>
        <x:v>0.14</x:v>
      </x:c>
      <x:c r="N1592" s="11" t="n">
        <x:f>IF(G1592,L1592*AN1592/(1+M1592)^F1592,0)</x:f>
        <x:v>0.002553728491936482</x:v>
      </x:c>
      <x:c r="AJ1592" t="n">
        <x:v>0</x:v>
      </x:c>
      <x:c r="AK1592" t="n">
        <x:v>0</x:v>
      </x:c>
      <x:c r="AL1592" t="n">
        <x:v>0</x:v>
      </x:c>
      <x:c r="AM1592" t="n">
        <x:f>CHOOSE('假设'!$B$3,AJ1592,AK1592,AL1592)</x:f>
        <x:v>0</x:v>
      </x:c>
      <x:c r="AN1592" t="n">
        <x:v>1</x:v>
      </x:c>
    </x:row>
    <x:row r="1593" ht="23" customHeight="1">
      <x:c r="A1593" s="11" t="str">
        <x:v>688302.SH</x:v>
      </x:c>
      <x:c r="B1593" s="11" t="str">
        <x:v>半年</x:v>
      </x:c>
      <x:c r="C1593" s="11" t="str">
        <x:v>hp515_mash_cn</x:v>
      </x:c>
      <x:c r="D1593" s="11" t="str">
        <x:v>2045-12-31</x:v>
      </x:c>
      <x:c r="E1593" s="11" t="str">
        <x:v>CNY</x:v>
      </x:c>
      <x:c r="F1593" s="11" t="n">
        <x:v>18.729637234770706</x:v>
      </x:c>
      <x:c r="G1593" s="26" t="b">
        <x:v>1</x:v>
      </x:c>
      <x:c r="H1593" s="16" t="n">
        <x:v>0.21999999999999997</x:v>
      </x:c>
      <x:c r="I1593" s="16" t="n">
        <x:v>0</x:v>
      </x:c>
      <x:c r="J1593" s="16" t="n">
        <x:v>0</x:v>
      </x:c>
      <x:c r="K1593" s="11" t="n">
        <x:f>CHOOSE('假设'!$B$3,H1593,I1593,J1593)</x:f>
        <x:v>0</x:v>
      </x:c>
      <x:c r="L1593" s="11" t="n">
        <x:f>K1593*'管线假设'!E355*'管线假设'!F355*'管线假设'!G355*IF(E1593="USD",'管线假设'!I355,1)-AM1593</x:f>
        <x:v>0</x:v>
      </x:c>
      <x:c r="M1593" s="11" t="n">
        <x:f>'管线假设'!H355</x:f>
        <x:v>0.14</x:v>
      </x:c>
      <x:c r="N1593" s="11" t="n">
        <x:f>IF(G1593,L1593*AN1593/(1+M1593)^F1593,0)</x:f>
        <x:v>0</x:v>
      </x:c>
      <x:c r="AJ1593" t="n">
        <x:v>0</x:v>
      </x:c>
      <x:c r="AK1593" t="n">
        <x:v>0</x:v>
      </x:c>
      <x:c r="AL1593" t="n">
        <x:v>0</x:v>
      </x:c>
      <x:c r="AM1593" t="n">
        <x:f>CHOOSE('假设'!$B$3,AJ1593,AK1593,AL1593)</x:f>
        <x:v>0</x:v>
      </x:c>
      <x:c r="AN1593" t="n">
        <x:v>1</x:v>
      </x:c>
    </x:row>
    <x:row r="1594" ht="23" customHeight="1">
      <x:c r="A1594" s="11" t="str">
        <x:v>688302.SH</x:v>
      </x:c>
      <x:c r="B1594" s="11" t="str">
        <x:v>半年</x:v>
      </x:c>
      <x:c r="C1594" s="11" t="str">
        <x:v>hp515_mash_global</x:v>
      </x:c>
      <x:c r="D1594" s="11" t="str">
        <x:v>2027-12-31</x:v>
      </x:c>
      <x:c r="E1594" s="11" t="str">
        <x:v>USD</x:v>
      </x:c>
      <x:c r="F1594" s="11" t="n">
        <x:v>0.7282683093771389</x:v>
      </x:c>
      <x:c r="G1594" s="26" t="b">
        <x:v>1</x:v>
      </x:c>
      <x:c r="H1594" s="16" t="n">
        <x:v>0</x:v>
      </x:c>
      <x:c r="I1594" s="16" t="n">
        <x:v>0</x:v>
      </x:c>
      <x:c r="J1594" s="16" t="n">
        <x:v>0</x:v>
      </x:c>
      <x:c r="K1594" s="11" t="n">
        <x:f>CHOOSE('假设'!$B$3,H1594,I1594,J1594)</x:f>
        <x:v>0</x:v>
      </x:c>
      <x:c r="L1594" s="11" t="n">
        <x:f>K1594*'管线假设'!E359*'管线假设'!F359*'管线假设'!G359*IF(E1594="USD",'管线假设'!I359,1)-AM1594</x:f>
        <x:v>0</x:v>
      </x:c>
      <x:c r="M1594" s="11" t="n">
        <x:f>'管线假设'!H359</x:f>
        <x:v>0.14</x:v>
      </x:c>
      <x:c r="N1594" s="11" t="n">
        <x:f>IF(G1594,L1594*AN1594/(1+M1594)^F1594,0)</x:f>
        <x:v>0</x:v>
      </x:c>
      <x:c r="AJ1594" t="n">
        <x:v>0</x:v>
      </x:c>
      <x:c r="AK1594" t="n">
        <x:v>0</x:v>
      </x:c>
      <x:c r="AL1594" t="n">
        <x:v>0</x:v>
      </x:c>
      <x:c r="AM1594" t="n">
        <x:f>CHOOSE('假设'!$B$3,AJ1594,AK1594,AL1594)</x:f>
        <x:v>0</x:v>
      </x:c>
      <x:c r="AN1594" t="n">
        <x:v>1</x:v>
      </x:c>
    </x:row>
    <x:row r="1595" ht="23" customHeight="1">
      <x:c r="A1595" s="11" t="str">
        <x:v>688302.SH</x:v>
      </x:c>
      <x:c r="B1595" s="11" t="str">
        <x:v>半年</x:v>
      </x:c>
      <x:c r="C1595" s="11" t="str">
        <x:v>hp515_mash_global</x:v>
      </x:c>
      <x:c r="D1595" s="11" t="str">
        <x:v>2028-12-31</x:v>
      </x:c>
      <x:c r="E1595" s="11" t="str">
        <x:v>USD</x:v>
      </x:c>
      <x:c r="F1595" s="11" t="n">
        <x:v>1.730321697467488</x:v>
      </x:c>
      <x:c r="G1595" s="26" t="b">
        <x:v>1</x:v>
      </x:c>
      <x:c r="H1595" s="16" t="n">
        <x:v>0</x:v>
      </x:c>
      <x:c r="I1595" s="16" t="n">
        <x:v>0</x:v>
      </x:c>
      <x:c r="J1595" s="16" t="n">
        <x:v>0</x:v>
      </x:c>
      <x:c r="K1595" s="11" t="n">
        <x:f>CHOOSE('假设'!$B$3,H1595,I1595,J1595)</x:f>
        <x:v>0</x:v>
      </x:c>
      <x:c r="L1595" s="11" t="n">
        <x:f>K1595*'管线假设'!E359*'管线假设'!F359*'管线假设'!G359*IF(E1595="USD",'管线假设'!I359,1)-AM1595</x:f>
        <x:v>0</x:v>
      </x:c>
      <x:c r="M1595" s="11" t="n">
        <x:f>'管线假设'!H359</x:f>
        <x:v>0.14</x:v>
      </x:c>
      <x:c r="N1595" s="11" t="n">
        <x:f>IF(G1595,L1595*AN1595/(1+M1595)^F1595,0)</x:f>
        <x:v>0</x:v>
      </x:c>
      <x:c r="AJ1595" t="n">
        <x:v>0</x:v>
      </x:c>
      <x:c r="AK1595" t="n">
        <x:v>0</x:v>
      </x:c>
      <x:c r="AL1595" t="n">
        <x:v>0</x:v>
      </x:c>
      <x:c r="AM1595" t="n">
        <x:f>CHOOSE('假设'!$B$3,AJ1595,AK1595,AL1595)</x:f>
        <x:v>0</x:v>
      </x:c>
      <x:c r="AN1595" t="n">
        <x:v>1</x:v>
      </x:c>
    </x:row>
    <x:row r="1596" ht="23" customHeight="1">
      <x:c r="A1596" s="11" t="str">
        <x:v>688302.SH</x:v>
      </x:c>
      <x:c r="B1596" s="11" t="str">
        <x:v>半年</x:v>
      </x:c>
      <x:c r="C1596" s="11" t="str">
        <x:v>hp515_mash_global</x:v>
      </x:c>
      <x:c r="D1596" s="11" t="str">
        <x:v>2029-12-31</x:v>
      </x:c>
      <x:c r="E1596" s="11" t="str">
        <x:v>USD</x:v>
      </x:c>
      <x:c r="F1596" s="11" t="n">
        <x:v>2.729637234770705</x:v>
      </x:c>
      <x:c r="G1596" s="26" t="b">
        <x:v>1</x:v>
      </x:c>
      <x:c r="H1596" s="16" t="n">
        <x:v>0</x:v>
      </x:c>
      <x:c r="I1596" s="16" t="n">
        <x:v>0</x:v>
      </x:c>
      <x:c r="J1596" s="16" t="n">
        <x:v>0</x:v>
      </x:c>
      <x:c r="K1596" s="11" t="n">
        <x:f>CHOOSE('假设'!$B$3,H1596,I1596,J1596)</x:f>
        <x:v>0</x:v>
      </x:c>
      <x:c r="L1596" s="11" t="n">
        <x:f>K1596*'管线假设'!E359*'管线假设'!F359*'管线假设'!G359*IF(E1596="USD",'管线假设'!I359,1)-AM1596</x:f>
        <x:v>0</x:v>
      </x:c>
      <x:c r="M1596" s="11" t="n">
        <x:f>'管线假设'!H359</x:f>
        <x:v>0.14</x:v>
      </x:c>
      <x:c r="N1596" s="11" t="n">
        <x:f>IF(G1596,L1596*AN1596/(1+M1596)^F1596,0)</x:f>
        <x:v>0</x:v>
      </x:c>
      <x:c r="AJ1596" t="n">
        <x:v>0</x:v>
      </x:c>
      <x:c r="AK1596" t="n">
        <x:v>0</x:v>
      </x:c>
      <x:c r="AL1596" t="n">
        <x:v>0</x:v>
      </x:c>
      <x:c r="AM1596" t="n">
        <x:f>CHOOSE('假设'!$B$3,AJ1596,AK1596,AL1596)</x:f>
        <x:v>0</x:v>
      </x:c>
      <x:c r="AN1596" t="n">
        <x:v>1</x:v>
      </x:c>
    </x:row>
    <x:row r="1597" ht="23" customHeight="1">
      <x:c r="A1597" s="11" t="str">
        <x:v>688302.SH</x:v>
      </x:c>
      <x:c r="B1597" s="11" t="str">
        <x:v>半年</x:v>
      </x:c>
      <x:c r="C1597" s="11" t="str">
        <x:v>hp515_mash_global</x:v>
      </x:c>
      <x:c r="D1597" s="11" t="str">
        <x:v>2030-12-31</x:v>
      </x:c>
      <x:c r="E1597" s="11" t="str">
        <x:v>USD</x:v>
      </x:c>
      <x:c r="F1597" s="11" t="n">
        <x:v>3.728952772073922</x:v>
      </x:c>
      <x:c r="G1597" s="26" t="b">
        <x:v>1</x:v>
      </x:c>
      <x:c r="H1597" s="16" t="n">
        <x:v>0</x:v>
      </x:c>
      <x:c r="I1597" s="16" t="n">
        <x:v>0</x:v>
      </x:c>
      <x:c r="J1597" s="16" t="n">
        <x:v>0</x:v>
      </x:c>
      <x:c r="K1597" s="11" t="n">
        <x:f>CHOOSE('假设'!$B$3,H1597,I1597,J1597)</x:f>
        <x:v>0</x:v>
      </x:c>
      <x:c r="L1597" s="11" t="n">
        <x:f>K1597*'管线假设'!E359*'管线假设'!F359*'管线假设'!G359*IF(E1597="USD",'管线假设'!I359,1)-AM1597</x:f>
        <x:v>0</x:v>
      </x:c>
      <x:c r="M1597" s="11" t="n">
        <x:f>'管线假设'!H359</x:f>
        <x:v>0.14</x:v>
      </x:c>
      <x:c r="N1597" s="11" t="n">
        <x:f>IF(G1597,L1597*AN1597/(1+M1597)^F1597,0)</x:f>
        <x:v>0</x:v>
      </x:c>
      <x:c r="AJ1597" t="n">
        <x:v>0</x:v>
      </x:c>
      <x:c r="AK1597" t="n">
        <x:v>0</x:v>
      </x:c>
      <x:c r="AL1597" t="n">
        <x:v>0</x:v>
      </x:c>
      <x:c r="AM1597" t="n">
        <x:f>CHOOSE('假设'!$B$3,AJ1597,AK1597,AL1597)</x:f>
        <x:v>0</x:v>
      </x:c>
      <x:c r="AN1597" t="n">
        <x:v>1</x:v>
      </x:c>
    </x:row>
    <x:row r="1598" ht="23" customHeight="1">
      <x:c r="A1598" s="11" t="str">
        <x:v>688302.SH</x:v>
      </x:c>
      <x:c r="B1598" s="11" t="str">
        <x:v>半年</x:v>
      </x:c>
      <x:c r="C1598" s="11" t="str">
        <x:v>hp515_mash_global</x:v>
      </x:c>
      <x:c r="D1598" s="11" t="str">
        <x:v>2031-12-31</x:v>
      </x:c>
      <x:c r="E1598" s="11" t="str">
        <x:v>USD</x:v>
      </x:c>
      <x:c r="F1598" s="11" t="n">
        <x:v>4.728268309377139</x:v>
      </x:c>
      <x:c r="G1598" s="26" t="b">
        <x:v>1</x:v>
      </x:c>
      <x:c r="H1598" s="16" t="n">
        <x:v>0</x:v>
      </x:c>
      <x:c r="I1598" s="16" t="n">
        <x:v>0</x:v>
      </x:c>
      <x:c r="J1598" s="16" t="n">
        <x:v>1.1666666666666665</x:v>
      </x:c>
      <x:c r="K1598" s="11" t="n">
        <x:f>CHOOSE('假设'!$B$3,H1598,I1598,J1598)</x:f>
        <x:v>0</x:v>
      </x:c>
      <x:c r="L1598" s="11" t="n">
        <x:f>K1598*'管线假设'!E359*'管线假设'!F359*'管线假设'!G359*IF(E1598="USD",'管线假设'!I359,1)-AM1598</x:f>
        <x:v>0</x:v>
      </x:c>
      <x:c r="M1598" s="11" t="n">
        <x:f>'管线假设'!H359</x:f>
        <x:v>0.14</x:v>
      </x:c>
      <x:c r="N1598" s="11" t="n">
        <x:f>IF(G1598,L1598*AN1598/(1+M1598)^F1598,0)</x:f>
        <x:v>0</x:v>
      </x:c>
      <x:c r="AJ1598" t="n">
        <x:v>0</x:v>
      </x:c>
      <x:c r="AK1598" t="n">
        <x:v>0</x:v>
      </x:c>
      <x:c r="AL1598" t="n">
        <x:v>0</x:v>
      </x:c>
      <x:c r="AM1598" t="n">
        <x:f>CHOOSE('假设'!$B$3,AJ1598,AK1598,AL1598)</x:f>
        <x:v>0</x:v>
      </x:c>
      <x:c r="AN1598" t="n">
        <x:v>1</x:v>
      </x:c>
    </x:row>
    <x:row r="1599" ht="23" customHeight="1">
      <x:c r="A1599" s="11" t="str">
        <x:v>688302.SH</x:v>
      </x:c>
      <x:c r="B1599" s="11" t="str">
        <x:v>半年</x:v>
      </x:c>
      <x:c r="C1599" s="11" t="str">
        <x:v>hp515_mash_global</x:v>
      </x:c>
      <x:c r="D1599" s="11" t="str">
        <x:v>2032-12-31</x:v>
      </x:c>
      <x:c r="E1599" s="11" t="str">
        <x:v>USD</x:v>
      </x:c>
      <x:c r="F1599" s="11" t="n">
        <x:v>5.730321697467488</x:v>
      </x:c>
      <x:c r="G1599" s="26" t="b">
        <x:v>1</x:v>
      </x:c>
      <x:c r="H1599" s="16" t="n">
        <x:v>0</x:v>
      </x:c>
      <x:c r="I1599" s="16" t="n">
        <x:v>0</x:v>
      </x:c>
      <x:c r="J1599" s="16" t="n">
        <x:v>2.333333333333333</x:v>
      </x:c>
      <x:c r="K1599" s="11" t="n">
        <x:f>CHOOSE('假设'!$B$3,H1599,I1599,J1599)</x:f>
        <x:v>0</x:v>
      </x:c>
      <x:c r="L1599" s="11" t="n">
        <x:f>K1599*'管线假设'!E359*'管线假设'!F359*'管线假设'!G359*IF(E1599="USD",'管线假设'!I359,1)-AM1599</x:f>
        <x:v>0</x:v>
      </x:c>
      <x:c r="M1599" s="11" t="n">
        <x:f>'管线假设'!H359</x:f>
        <x:v>0.14</x:v>
      </x:c>
      <x:c r="N1599" s="11" t="n">
        <x:f>IF(G1599,L1599*AN1599/(1+M1599)^F1599,0)</x:f>
        <x:v>0</x:v>
      </x:c>
      <x:c r="AJ1599" t="n">
        <x:v>0</x:v>
      </x:c>
      <x:c r="AK1599" t="n">
        <x:v>0</x:v>
      </x:c>
      <x:c r="AL1599" t="n">
        <x:v>0</x:v>
      </x:c>
      <x:c r="AM1599" t="n">
        <x:f>CHOOSE('假设'!$B$3,AJ1599,AK1599,AL1599)</x:f>
        <x:v>0</x:v>
      </x:c>
      <x:c r="AN1599" t="n">
        <x:v>1</x:v>
      </x:c>
    </x:row>
    <x:row r="1600" ht="23" customHeight="1">
      <x:c r="A1600" s="11" t="str">
        <x:v>688302.SH</x:v>
      </x:c>
      <x:c r="B1600" s="11" t="str">
        <x:v>半年</x:v>
      </x:c>
      <x:c r="C1600" s="11" t="str">
        <x:v>hp515_mash_global</x:v>
      </x:c>
      <x:c r="D1600" s="11" t="str">
        <x:v>2033-12-31</x:v>
      </x:c>
      <x:c r="E1600" s="11" t="str">
        <x:v>USD</x:v>
      </x:c>
      <x:c r="F1600" s="11" t="n">
        <x:v>6.729637234770705</x:v>
      </x:c>
      <x:c r="G1600" s="26" t="b">
        <x:v>1</x:v>
      </x:c>
      <x:c r="H1600" s="16" t="n">
        <x:v>0</x:v>
      </x:c>
      <x:c r="I1600" s="16" t="n">
        <x:v>0.5833333333333333</x:v>
      </x:c>
      <x:c r="J1600" s="16" t="n">
        <x:v>3.5</x:v>
      </x:c>
      <x:c r="K1600" s="11" t="n">
        <x:f>CHOOSE('假设'!$B$3,H1600,I1600,J1600)</x:f>
        <x:v>0.5833333333333333</x:v>
      </x:c>
      <x:c r="L1600" s="11" t="n">
        <x:f>K1600*'管线假设'!E359*'管线假设'!F359*'管线假设'!G359*IF(E1600="USD",'管线假设'!I359,1)-AM1600</x:f>
        <x:v>0.07538055000000002</x:v>
      </x:c>
      <x:c r="M1600" s="11" t="n">
        <x:f>'管线假设'!H359</x:f>
        <x:v>0.14</x:v>
      </x:c>
      <x:c r="N1600" s="11" t="n">
        <x:f>IF(G1600,L1600*AN1600/(1+M1600)^F1600,0)</x:f>
        <x:v>0.031211187700338903</x:v>
      </x:c>
      <x:c r="AJ1600" t="n">
        <x:v>0</x:v>
      </x:c>
      <x:c r="AK1600" t="n">
        <x:v>0</x:v>
      </x:c>
      <x:c r="AL1600" t="n">
        <x:v>0</x:v>
      </x:c>
      <x:c r="AM1600" t="n">
        <x:f>CHOOSE('假设'!$B$3,AJ1600,AK1600,AL1600)</x:f>
        <x:v>0</x:v>
      </x:c>
      <x:c r="AN1600" t="n">
        <x:v>1</x:v>
      </x:c>
    </x:row>
    <x:row r="1601" ht="23" customHeight="1">
      <x:c r="A1601" s="11" t="str">
        <x:v>688302.SH</x:v>
      </x:c>
      <x:c r="B1601" s="11" t="str">
        <x:v>半年</x:v>
      </x:c>
      <x:c r="C1601" s="11" t="str">
        <x:v>hp515_mash_global</x:v>
      </x:c>
      <x:c r="D1601" s="11" t="str">
        <x:v>2034-12-31</x:v>
      </x:c>
      <x:c r="E1601" s="11" t="str">
        <x:v>USD</x:v>
      </x:c>
      <x:c r="F1601" s="11" t="n">
        <x:v>7.728952772073922</x:v>
      </x:c>
      <x:c r="G1601" s="26" t="b">
        <x:v>1</x:v>
      </x:c>
      <x:c r="H1601" s="16" t="n">
        <x:v>0</x:v>
      </x:c>
      <x:c r="I1601" s="16" t="n">
        <x:v>1.1666666666666665</x:v>
      </x:c>
      <x:c r="J1601" s="16" t="n">
        <x:v>4.666666666666666</x:v>
      </x:c>
      <x:c r="K1601" s="11" t="n">
        <x:f>CHOOSE('假设'!$B$3,H1601,I1601,J1601)</x:f>
        <x:v>1.1666666666666665</x:v>
      </x:c>
      <x:c r="L1601" s="11" t="n">
        <x:f>K1601*'管线假设'!E359*'管线假设'!F359*'管线假设'!G359*IF(E1601="USD",'管线假设'!I359,1)-AM1601</x:f>
        <x:v>0.15076110000000004</x:v>
      </x:c>
      <x:c r="M1601" s="11" t="n">
        <x:f>'管线假设'!H359</x:f>
        <x:v>0.14</x:v>
      </x:c>
      <x:c r="N1601" s="11" t="n">
        <x:f>IF(G1601,L1601*AN1601/(1+M1601)^F1601,0)</x:f>
        <x:v>0.05476138064684852</x:v>
      </x:c>
      <x:c r="AJ1601" t="n">
        <x:v>0</x:v>
      </x:c>
      <x:c r="AK1601" t="n">
        <x:v>0</x:v>
      </x:c>
      <x:c r="AL1601" t="n">
        <x:v>0</x:v>
      </x:c>
      <x:c r="AM1601" t="n">
        <x:f>CHOOSE('假设'!$B$3,AJ1601,AK1601,AL1601)</x:f>
        <x:v>0</x:v>
      </x:c>
      <x:c r="AN1601" t="n">
        <x:v>1</x:v>
      </x:c>
    </x:row>
    <x:row r="1602" ht="23" customHeight="1">
      <x:c r="A1602" s="11" t="str">
        <x:v>688302.SH</x:v>
      </x:c>
      <x:c r="B1602" s="11" t="str">
        <x:v>半年</x:v>
      </x:c>
      <x:c r="C1602" s="11" t="str">
        <x:v>hp515_mash_global</x:v>
      </x:c>
      <x:c r="D1602" s="11" t="str">
        <x:v>2035-12-31</x:v>
      </x:c>
      <x:c r="E1602" s="11" t="str">
        <x:v>USD</x:v>
      </x:c>
      <x:c r="F1602" s="11" t="n">
        <x:v>8.728268309377139</x:v>
      </x:c>
      <x:c r="G1602" s="26" t="b">
        <x:v>1</x:v>
      </x:c>
      <x:c r="H1602" s="16" t="n">
        <x:v>0</x:v>
      </x:c>
      <x:c r="I1602" s="16" t="n">
        <x:v>1.75</x:v>
      </x:c>
      <x:c r="J1602" s="16" t="n">
        <x:v>5.833333333333334</x:v>
      </x:c>
      <x:c r="K1602" s="11" t="n">
        <x:f>CHOOSE('假设'!$B$3,H1602,I1602,J1602)</x:f>
        <x:v>1.75</x:v>
      </x:c>
      <x:c r="L1602" s="11" t="n">
        <x:f>K1602*'管线假设'!E359*'管线假设'!F359*'管线假设'!G359*IF(E1602="USD",'管线假设'!I359,1)-AM1602</x:f>
        <x:v>0.22614165000000008</x:v>
      </x:c>
      <x:c r="M1602" s="11" t="n">
        <x:f>'管线假设'!H359</x:f>
        <x:v>0.14</x:v>
      </x:c>
      <x:c r="N1602" s="11" t="n">
        <x:f>IF(G1602,L1602*AN1602/(1+M1602)^F1602,0)</x:f>
        <x:v>0.07206091063741721</x:v>
      </x:c>
      <x:c r="AJ1602" t="n">
        <x:v>0</x:v>
      </x:c>
      <x:c r="AK1602" t="n">
        <x:v>0</x:v>
      </x:c>
      <x:c r="AL1602" t="n">
        <x:v>0</x:v>
      </x:c>
      <x:c r="AM1602" t="n">
        <x:f>CHOOSE('假设'!$B$3,AJ1602,AK1602,AL1602)</x:f>
        <x:v>0</x:v>
      </x:c>
      <x:c r="AN1602" t="n">
        <x:v>1</x:v>
      </x:c>
    </x:row>
    <x:row r="1603" ht="23" customHeight="1">
      <x:c r="A1603" s="11" t="str">
        <x:v>688302.SH</x:v>
      </x:c>
      <x:c r="B1603" s="11" t="str">
        <x:v>半年</x:v>
      </x:c>
      <x:c r="C1603" s="11" t="str">
        <x:v>hp515_mash_global</x:v>
      </x:c>
      <x:c r="D1603" s="11" t="str">
        <x:v>2036-12-31</x:v>
      </x:c>
      <x:c r="E1603" s="11" t="str">
        <x:v>USD</x:v>
      </x:c>
      <x:c r="F1603" s="11" t="n">
        <x:v>9.730321697467488</x:v>
      </x:c>
      <x:c r="G1603" s="26" t="b">
        <x:v>1</x:v>
      </x:c>
      <x:c r="H1603" s="16" t="n">
        <x:v>0.2</x:v>
      </x:c>
      <x:c r="I1603" s="16" t="n">
        <x:v>2.333333333333333</x:v>
      </x:c>
      <x:c r="J1603" s="16" t="n">
        <x:v>7</x:v>
      </x:c>
      <x:c r="K1603" s="11" t="n">
        <x:f>CHOOSE('假设'!$B$3,H1603,I1603,J1603)</x:f>
        <x:v>2.333333333333333</x:v>
      </x:c>
      <x:c r="L1603" s="11" t="n">
        <x:f>K1603*'管线假设'!E359*'管线假设'!F359*'管线假设'!G359*IF(E1603="USD",'管线假设'!I359,1)-AM1603</x:f>
        <x:v>0.3015222000000001</x:v>
      </x:c>
      <x:c r="M1603" s="11" t="n">
        <x:f>'管线假设'!H359</x:f>
        <x:v>0.14</x:v>
      </x:c>
      <x:c r="N1603" s="11" t="n">
        <x:f>IF(G1603,L1603*AN1603/(1+M1603)^F1603,0)</x:f>
        <x:v>0.08425909371037875</x:v>
      </x:c>
      <x:c r="AJ1603" t="n">
        <x:v>0</x:v>
      </x:c>
      <x:c r="AK1603" t="n">
        <x:v>0</x:v>
      </x:c>
      <x:c r="AL1603" t="n">
        <x:v>0</x:v>
      </x:c>
      <x:c r="AM1603" t="n">
        <x:f>CHOOSE('假设'!$B$3,AJ1603,AK1603,AL1603)</x:f>
        <x:v>0</x:v>
      </x:c>
      <x:c r="AN1603" t="n">
        <x:v>1</x:v>
      </x:c>
    </x:row>
    <x:row r="1604" ht="23" customHeight="1">
      <x:c r="A1604" s="11" t="str">
        <x:v>688302.SH</x:v>
      </x:c>
      <x:c r="B1604" s="11" t="str">
        <x:v>半年</x:v>
      </x:c>
      <x:c r="C1604" s="11" t="str">
        <x:v>hp515_mash_global</x:v>
      </x:c>
      <x:c r="D1604" s="11" t="str">
        <x:v>2037-12-31</x:v>
      </x:c>
      <x:c r="E1604" s="11" t="str">
        <x:v>USD</x:v>
      </x:c>
      <x:c r="F1604" s="11" t="n">
        <x:v>10.729637234770705</x:v>
      </x:c>
      <x:c r="G1604" s="26" t="b">
        <x:v>1</x:v>
      </x:c>
      <x:c r="H1604" s="16" t="n">
        <x:v>0.4</x:v>
      </x:c>
      <x:c r="I1604" s="16" t="n">
        <x:v>2.916666666666667</x:v>
      </x:c>
      <x:c r="J1604" s="16" t="n">
        <x:v>6.09</x:v>
      </x:c>
      <x:c r="K1604" s="11" t="n">
        <x:f>CHOOSE('假设'!$B$3,H1604,I1604,J1604)</x:f>
        <x:v>2.916666666666667</x:v>
      </x:c>
      <x:c r="L1604" s="11" t="n">
        <x:f>K1604*'管线假设'!E359*'管线假设'!F359*'管线假设'!G359*IF(E1604="USD",'管线假设'!I359,1)-AM1604</x:f>
        <x:v>0.3769027500000001</x:v>
      </x:c>
      <x:c r="M1604" s="11" t="n">
        <x:f>'管线假设'!H359</x:f>
        <x:v>0.14</x:v>
      </x:c>
      <x:c r="N1604" s="11" t="n">
        <x:f>IF(G1604,L1604*AN1604/(1+M1604)^F1604,0)</x:f>
        <x:v>0.09239764335334852</x:v>
      </x:c>
      <x:c r="AJ1604" t="n">
        <x:v>0</x:v>
      </x:c>
      <x:c r="AK1604" t="n">
        <x:v>0</x:v>
      </x:c>
      <x:c r="AL1604" t="n">
        <x:v>0</x:v>
      </x:c>
      <x:c r="AM1604" t="n">
        <x:f>CHOOSE('假设'!$B$3,AJ1604,AK1604,AL1604)</x:f>
        <x:v>0</x:v>
      </x:c>
      <x:c r="AN1604" t="n">
        <x:v>1</x:v>
      </x:c>
    </x:row>
    <x:row r="1605" ht="23" customHeight="1">
      <x:c r="A1605" s="11" t="str">
        <x:v>688302.SH</x:v>
      </x:c>
      <x:c r="B1605" s="11" t="str">
        <x:v>半年</x:v>
      </x:c>
      <x:c r="C1605" s="11" t="str">
        <x:v>hp515_mash_global</x:v>
      </x:c>
      <x:c r="D1605" s="11" t="str">
        <x:v>2038-12-31</x:v>
      </x:c>
      <x:c r="E1605" s="11" t="str">
        <x:v>USD</x:v>
      </x:c>
      <x:c r="F1605" s="11" t="n">
        <x:v>11.728952772073923</x:v>
      </x:c>
      <x:c r="G1605" s="26" t="b">
        <x:v>1</x:v>
      </x:c>
      <x:c r="H1605" s="16" t="n">
        <x:v>0.6</x:v>
      </x:c>
      <x:c r="I1605" s="16" t="n">
        <x:v>3.5</x:v>
      </x:c>
      <x:c r="J1605" s="16" t="n">
        <x:v>5.18</x:v>
      </x:c>
      <x:c r="K1605" s="11" t="n">
        <x:f>CHOOSE('假设'!$B$3,H1605,I1605,J1605)</x:f>
        <x:v>3.5</x:v>
      </x:c>
      <x:c r="L1605" s="11" t="n">
        <x:f>K1605*'管线假设'!E359*'管线假设'!F359*'管线假设'!G359*IF(E1605="USD",'管线假设'!I359,1)-AM1605</x:f>
        <x:v>0.45228330000000017</x:v>
      </x:c>
      <x:c r="M1605" s="11" t="n">
        <x:f>'管线假设'!H359</x:f>
        <x:v>0.14</x:v>
      </x:c>
      <x:c r="N1605" s="11" t="n">
        <x:f>IF(G1605,L1605*AN1605/(1+M1605)^F1605,0)</x:f>
        <x:v>0.09726940032768179</x:v>
      </x:c>
      <x:c r="AJ1605" t="n">
        <x:v>0</x:v>
      </x:c>
      <x:c r="AK1605" t="n">
        <x:v>0</x:v>
      </x:c>
      <x:c r="AL1605" t="n">
        <x:v>0</x:v>
      </x:c>
      <x:c r="AM1605" t="n">
        <x:f>CHOOSE('假设'!$B$3,AJ1605,AK1605,AL1605)</x:f>
        <x:v>0</x:v>
      </x:c>
      <x:c r="AN1605" t="n">
        <x:v>1</x:v>
      </x:c>
    </x:row>
    <x:row r="1606" ht="23" customHeight="1">
      <x:c r="A1606" s="11" t="str">
        <x:v>688302.SH</x:v>
      </x:c>
      <x:c r="B1606" s="11" t="str">
        <x:v>半年</x:v>
      </x:c>
      <x:c r="C1606" s="11" t="str">
        <x:v>hp515_mash_global</x:v>
      </x:c>
      <x:c r="D1606" s="11" t="str">
        <x:v>2039-12-31</x:v>
      </x:c>
      <x:c r="E1606" s="11" t="str">
        <x:v>USD</x:v>
      </x:c>
      <x:c r="F1606" s="11" t="n">
        <x:v>12.728268309377139</x:v>
      </x:c>
      <x:c r="G1606" s="26" t="b">
        <x:v>1</x:v>
      </x:c>
      <x:c r="H1606" s="16" t="n">
        <x:v>0.8</x:v>
      </x:c>
      <x:c r="I1606" s="16" t="n">
        <x:v>3.045</x:v>
      </x:c>
      <x:c r="J1606" s="16" t="n">
        <x:v>4.27</x:v>
      </x:c>
      <x:c r="K1606" s="11" t="n">
        <x:f>CHOOSE('假设'!$B$3,H1606,I1606,J1606)</x:f>
        <x:v>3.045</x:v>
      </x:c>
      <x:c r="L1606" s="11" t="n">
        <x:f>K1606*'管线假设'!E359*'管线假设'!F359*'管线假设'!G359*IF(E1606="USD",'管线假设'!I359,1)-AM1606</x:f>
        <x:v>0.3934864710000001</x:v>
      </x:c>
      <x:c r="M1606" s="11" t="n">
        <x:f>'管线假设'!H359</x:f>
        <x:v>0.14</x:v>
      </x:c>
      <x:c r="N1606" s="11" t="n">
        <x:f>IF(G1606,L1606*AN1606/(1+M1606)^F1606,0)</x:f>
        <x:v>0.07423856848648572</x:v>
      </x:c>
      <x:c r="AJ1606" t="n">
        <x:v>0</x:v>
      </x:c>
      <x:c r="AK1606" t="n">
        <x:v>0</x:v>
      </x:c>
      <x:c r="AL1606" t="n">
        <x:v>0</x:v>
      </x:c>
      <x:c r="AM1606" t="n">
        <x:f>CHOOSE('假设'!$B$3,AJ1606,AK1606,AL1606)</x:f>
        <x:v>0</x:v>
      </x:c>
      <x:c r="AN1606" t="n">
        <x:v>1</x:v>
      </x:c>
    </x:row>
    <x:row r="1607" ht="23" customHeight="1">
      <x:c r="A1607" s="11" t="str">
        <x:v>688302.SH</x:v>
      </x:c>
      <x:c r="B1607" s="11" t="str">
        <x:v>半年</x:v>
      </x:c>
      <x:c r="C1607" s="11" t="str">
        <x:v>hp515_mash_global</x:v>
      </x:c>
      <x:c r="D1607" s="11" t="str">
        <x:v>2040-12-31</x:v>
      </x:c>
      <x:c r="E1607" s="11" t="str">
        <x:v>USD</x:v>
      </x:c>
      <x:c r="F1607" s="11" t="n">
        <x:v>13.730321697467488</x:v>
      </x:c>
      <x:c r="G1607" s="26" t="b">
        <x:v>1</x:v>
      </x:c>
      <x:c r="H1607" s="16" t="n">
        <x:v>1</x:v>
      </x:c>
      <x:c r="I1607" s="16" t="n">
        <x:v>2.59</x:v>
      </x:c>
      <x:c r="J1607" s="16" t="n">
        <x:v>3.36</x:v>
      </x:c>
      <x:c r="K1607" s="11" t="n">
        <x:f>CHOOSE('假设'!$B$3,H1607,I1607,J1607)</x:f>
        <x:v>2.59</x:v>
      </x:c>
      <x:c r="L1607" s="11" t="n">
        <x:f>K1607*'管线假设'!E359*'管线假设'!F359*'管线假设'!G359*IF(E1607="USD",'管线假设'!I359,1)-AM1607</x:f>
        <x:v>0.33468964200000006</x:v>
      </x:c>
      <x:c r="M1607" s="11" t="n">
        <x:f>'管线假设'!H359</x:f>
        <x:v>0.14</x:v>
      </x:c>
      <x:c r="N1607" s="11" t="n">
        <x:f>IF(G1607,L1607*AN1607/(1+M1607)^F1607,0)</x:f>
        <x:v>0.055375843808252036</x:v>
      </x:c>
      <x:c r="AJ1607" t="n">
        <x:v>0</x:v>
      </x:c>
      <x:c r="AK1607" t="n">
        <x:v>0</x:v>
      </x:c>
      <x:c r="AL1607" t="n">
        <x:v>0</x:v>
      </x:c>
      <x:c r="AM1607" t="n">
        <x:f>CHOOSE('假设'!$B$3,AJ1607,AK1607,AL1607)</x:f>
        <x:v>0</x:v>
      </x:c>
      <x:c r="AN1607" t="n">
        <x:v>1</x:v>
      </x:c>
    </x:row>
    <x:row r="1608" ht="23" customHeight="1">
      <x:c r="A1608" s="11" t="str">
        <x:v>688302.SH</x:v>
      </x:c>
      <x:c r="B1608" s="11" t="str">
        <x:v>半年</x:v>
      </x:c>
      <x:c r="C1608" s="11" t="str">
        <x:v>hp515_mash_global</x:v>
      </x:c>
      <x:c r="D1608" s="11" t="str">
        <x:v>2041-12-31</x:v>
      </x:c>
      <x:c r="E1608" s="11" t="str">
        <x:v>USD</x:v>
      </x:c>
      <x:c r="F1608" s="11" t="n">
        <x:v>14.729637234770705</x:v>
      </x:c>
      <x:c r="G1608" s="26" t="b">
        <x:v>1</x:v>
      </x:c>
      <x:c r="H1608" s="16" t="n">
        <x:v>0.87</x:v>
      </x:c>
      <x:c r="I1608" s="16" t="n">
        <x:v>2.135</x:v>
      </x:c>
      <x:c r="J1608" s="16" t="n">
        <x:v>2.4499999999999997</x:v>
      </x:c>
      <x:c r="K1608" s="11" t="n">
        <x:f>CHOOSE('假设'!$B$3,H1608,I1608,J1608)</x:f>
        <x:v>2.135</x:v>
      </x:c>
      <x:c r="L1608" s="11" t="n">
        <x:f>K1608*'管线假设'!E359*'管线假设'!F359*'管线假设'!G359*IF(E1608="USD",'管线假设'!I359,1)-AM1608</x:f>
        <x:v>0.275892813</x:v>
      </x:c>
      <x:c r="M1608" s="11" t="n">
        <x:f>'管线假设'!H359</x:f>
        <x:v>0.14</x:v>
      </x:c>
      <x:c r="N1608" s="11" t="n">
        <x:f>IF(G1608,L1608*AN1608/(1+M1608)^F1608,0)</x:f>
        <x:v>0.04004539392726177</x:v>
      </x:c>
      <x:c r="AJ1608" t="n">
        <x:v>0</x:v>
      </x:c>
      <x:c r="AK1608" t="n">
        <x:v>0</x:v>
      </x:c>
      <x:c r="AL1608" t="n">
        <x:v>0</x:v>
      </x:c>
      <x:c r="AM1608" t="n">
        <x:f>CHOOSE('假设'!$B$3,AJ1608,AK1608,AL1608)</x:f>
        <x:v>0</x:v>
      </x:c>
      <x:c r="AN1608" t="n">
        <x:v>1</x:v>
      </x:c>
    </x:row>
    <x:row r="1609" ht="23" customHeight="1">
      <x:c r="A1609" s="11" t="str">
        <x:v>688302.SH</x:v>
      </x:c>
      <x:c r="B1609" s="11" t="str">
        <x:v>半年</x:v>
      </x:c>
      <x:c r="C1609" s="11" t="str">
        <x:v>hp515_mash_global</x:v>
      </x:c>
      <x:c r="D1609" s="11" t="str">
        <x:v>2042-12-31</x:v>
      </x:c>
      <x:c r="E1609" s="11" t="str">
        <x:v>USD</x:v>
      </x:c>
      <x:c r="F1609" s="11" t="n">
        <x:v>15.728952772073923</x:v>
      </x:c>
      <x:c r="G1609" s="26" t="b">
        <x:v>1</x:v>
      </x:c>
      <x:c r="H1609" s="16" t="n">
        <x:v>0.74</x:v>
      </x:c>
      <x:c r="I1609" s="16" t="n">
        <x:v>1.68</x:v>
      </x:c>
      <x:c r="J1609" s="16" t="n">
        <x:v>1.5399999999999998</x:v>
      </x:c>
      <x:c r="K1609" s="11" t="n">
        <x:f>CHOOSE('假设'!$B$3,H1609,I1609,J1609)</x:f>
        <x:v>1.68</x:v>
      </x:c>
      <x:c r="L1609" s="11" t="n">
        <x:f>K1609*'管线假设'!E359*'管线假设'!F359*'管线假设'!G359*IF(E1609="USD",'管线假设'!I359,1)-AM1609</x:f>
        <x:v>0.21709598400000008</x:v>
      </x:c>
      <x:c r="M1609" s="11" t="n">
        <x:f>'管线假设'!H359</x:f>
        <x:v>0.14</x:v>
      </x:c>
      <x:c r="N1609" s="11" t="n">
        <x:f>IF(G1609,L1609*AN1609/(1+M1609)^F1609,0)</x:f>
        <x:v>0.02764382089231</x:v>
      </x:c>
      <x:c r="AJ1609" t="n">
        <x:v>0</x:v>
      </x:c>
      <x:c r="AK1609" t="n">
        <x:v>0</x:v>
      </x:c>
      <x:c r="AL1609" t="n">
        <x:v>0</x:v>
      </x:c>
      <x:c r="AM1609" t="n">
        <x:f>CHOOSE('假设'!$B$3,AJ1609,AK1609,AL1609)</x:f>
        <x:v>0</x:v>
      </x:c>
      <x:c r="AN1609" t="n">
        <x:v>1</x:v>
      </x:c>
    </x:row>
    <x:row r="1610" ht="23" customHeight="1">
      <x:c r="A1610" s="11" t="str">
        <x:v>688302.SH</x:v>
      </x:c>
      <x:c r="B1610" s="11" t="str">
        <x:v>半年</x:v>
      </x:c>
      <x:c r="C1610" s="11" t="str">
        <x:v>hp515_mash_global</x:v>
      </x:c>
      <x:c r="D1610" s="11" t="str">
        <x:v>2043-12-31</x:v>
      </x:c>
      <x:c r="E1610" s="11" t="str">
        <x:v>USD</x:v>
      </x:c>
      <x:c r="F1610" s="11" t="n">
        <x:v>16.72826830937714</x:v>
      </x:c>
      <x:c r="G1610" s="26" t="b">
        <x:v>1</x:v>
      </x:c>
      <x:c r="H1610" s="16" t="n">
        <x:v>0.61</x:v>
      </x:c>
      <x:c r="I1610" s="16" t="n">
        <x:v>1.2249999999999999</x:v>
      </x:c>
      <x:c r="J1610" s="16" t="n">
        <x:v>0.6299999999999998</x:v>
      </x:c>
      <x:c r="K1610" s="11" t="n">
        <x:f>CHOOSE('假设'!$B$3,H1610,I1610,J1610)</x:f>
        <x:v>1.2249999999999999</x:v>
      </x:c>
      <x:c r="L1610" s="11" t="n">
        <x:f>K1610*'管线假设'!E359*'管线假设'!F359*'管线假设'!G359*IF(E1610="USD",'管线假设'!I359,1)-AM1610</x:f>
        <x:v>0.15829915500000002</x:v>
      </x:c>
      <x:c r="M1610" s="11" t="n">
        <x:f>'管线假设'!H359</x:f>
        <x:v>0.14</x:v>
      </x:c>
      <x:c r="N1610" s="11" t="n">
        <x:f>IF(G1610,L1610*AN1610/(1+M1610)^F1610,0)</x:f>
        <x:v>0.01768312330731666</x:v>
      </x:c>
      <x:c r="AJ1610" t="n">
        <x:v>0</x:v>
      </x:c>
      <x:c r="AK1610" t="n">
        <x:v>0</x:v>
      </x:c>
      <x:c r="AL1610" t="n">
        <x:v>0</x:v>
      </x:c>
      <x:c r="AM1610" t="n">
        <x:f>CHOOSE('假设'!$B$3,AJ1610,AK1610,AL1610)</x:f>
        <x:v>0</x:v>
      </x:c>
      <x:c r="AN1610" t="n">
        <x:v>1</x:v>
      </x:c>
    </x:row>
    <x:row r="1611" ht="23" customHeight="1">
      <x:c r="A1611" s="11" t="str">
        <x:v>688302.SH</x:v>
      </x:c>
      <x:c r="B1611" s="11" t="str">
        <x:v>半年</x:v>
      </x:c>
      <x:c r="C1611" s="11" t="str">
        <x:v>hp515_mash_global</x:v>
      </x:c>
      <x:c r="D1611" s="11" t="str">
        <x:v>2044-12-31</x:v>
      </x:c>
      <x:c r="E1611" s="11" t="str">
        <x:v>USD</x:v>
      </x:c>
      <x:c r="F1611" s="11" t="n">
        <x:v>17.730321697467488</x:v>
      </x:c>
      <x:c r="G1611" s="26" t="b">
        <x:v>1</x:v>
      </x:c>
      <x:c r="H1611" s="16" t="n">
        <x:v>0.48</x:v>
      </x:c>
      <x:c r="I1611" s="16" t="n">
        <x:v>0.7699999999999999</x:v>
      </x:c>
      <x:c r="J1611" s="16" t="n">
        <x:v>0</x:v>
      </x:c>
      <x:c r="K1611" s="11" t="n">
        <x:f>CHOOSE('假设'!$B$3,H1611,I1611,J1611)</x:f>
        <x:v>0.7699999999999999</x:v>
      </x:c>
      <x:c r="L1611" s="11" t="n">
        <x:f>K1611*'管线假设'!E359*'管线假设'!F359*'管线假设'!G359*IF(E1611="USD",'管线假设'!I359,1)-AM1611</x:f>
        <x:v>0.09950232600000002</x:v>
      </x:c>
      <x:c r="M1611" s="11" t="n">
        <x:f>'管线假设'!H359</x:f>
        <x:v>0.14</x:v>
      </x:c>
      <x:c r="N1611" s="11" t="n">
        <x:f>IF(G1611,L1611*AN1611/(1+M1611)^F1611,0)</x:f>
        <x:v>0.009747470123718368</x:v>
      </x:c>
      <x:c r="AJ1611" t="n">
        <x:v>0</x:v>
      </x:c>
      <x:c r="AK1611" t="n">
        <x:v>0</x:v>
      </x:c>
      <x:c r="AL1611" t="n">
        <x:v>0</x:v>
      </x:c>
      <x:c r="AM1611" t="n">
        <x:f>CHOOSE('假设'!$B$3,AJ1611,AK1611,AL1611)</x:f>
        <x:v>0</x:v>
      </x:c>
      <x:c r="AN1611" t="n">
        <x:v>1</x:v>
      </x:c>
    </x:row>
    <x:row r="1612" ht="23" customHeight="1">
      <x:c r="A1612" s="11" t="str">
        <x:v>688302.SH</x:v>
      </x:c>
      <x:c r="B1612" s="11" t="str">
        <x:v>半年</x:v>
      </x:c>
      <x:c r="C1612" s="11" t="str">
        <x:v>hp515_mash_global</x:v>
      </x:c>
      <x:c r="D1612" s="11" t="str">
        <x:v>2045-12-31</x:v>
      </x:c>
      <x:c r="E1612" s="11" t="str">
        <x:v>USD</x:v>
      </x:c>
      <x:c r="F1612" s="11" t="n">
        <x:v>18.729637234770706</x:v>
      </x:c>
      <x:c r="G1612" s="26" t="b">
        <x:v>1</x:v>
      </x:c>
      <x:c r="H1612" s="16" t="n">
        <x:v>0.35</x:v>
      </x:c>
      <x:c r="I1612" s="16" t="n">
        <x:v>0.3149999999999999</x:v>
      </x:c>
      <x:c r="J1612" s="16" t="n">
        <x:v>0</x:v>
      </x:c>
      <x:c r="K1612" s="11" t="n">
        <x:f>CHOOSE('假设'!$B$3,H1612,I1612,J1612)</x:f>
        <x:v>0.3149999999999999</x:v>
      </x:c>
      <x:c r="L1612" s="11" t="n">
        <x:f>K1612*'管线假设'!E359*'管线假设'!F359*'管线假设'!G359*IF(E1612="USD",'管线假设'!I359,1)-AM1612</x:f>
        <x:v>0.040705497</x:v>
      </x:c>
      <x:c r="M1612" s="11" t="n">
        <x:f>'管线假设'!H359</x:f>
        <x:v>0.14</x:v>
      </x:c>
      <x:c r="N1612" s="11" t="n">
        <x:f>IF(G1612,L1612*AN1612/(1+M1612)^F1612,0)</x:f>
        <x:v>0.0034982096966338495</x:v>
      </x:c>
      <x:c r="AJ1612" t="n">
        <x:v>0</x:v>
      </x:c>
      <x:c r="AK1612" t="n">
        <x:v>0</x:v>
      </x:c>
      <x:c r="AL1612" t="n">
        <x:v>0</x:v>
      </x:c>
      <x:c r="AM1612" t="n">
        <x:f>CHOOSE('假设'!$B$3,AJ1612,AK1612,AL1612)</x:f>
        <x:v>0</x:v>
      </x:c>
      <x:c r="AN1612" t="n">
        <x:v>1</x:v>
      </x:c>
    </x:row>
    <x:row r="1613" ht="23" customHeight="1">
      <x:c r="A1613" s="11" t="str">
        <x:v>688302.SH</x:v>
      </x:c>
      <x:c r="B1613" s="11" t="str">
        <x:v>半年</x:v>
      </x:c>
      <x:c r="C1613" s="11" t="str">
        <x:v>hp515_obesity_cn</x:v>
      </x:c>
      <x:c r="D1613" s="11" t="str">
        <x:v>2027-12-31</x:v>
      </x:c>
      <x:c r="E1613" s="11" t="str">
        <x:v>CNY</x:v>
      </x:c>
      <x:c r="F1613" s="11" t="n">
        <x:v>0.7282683093771389</x:v>
      </x:c>
      <x:c r="G1613" s="26" t="b">
        <x:v>1</x:v>
      </x:c>
      <x:c r="H1613" s="16" t="n">
        <x:v>0</x:v>
      </x:c>
      <x:c r="I1613" s="16" t="n">
        <x:v>0</x:v>
      </x:c>
      <x:c r="J1613" s="16" t="n">
        <x:v>0</x:v>
      </x:c>
      <x:c r="K1613" s="11" t="n">
        <x:f>CHOOSE('假设'!$B$3,H1613,I1613,J1613)</x:f>
        <x:v>0</x:v>
      </x:c>
      <x:c r="L1613" s="11" t="n">
        <x:f>K1613*'管线假设'!E363*'管线假设'!F363*'管线假设'!G363*IF(E1613="USD",'管线假设'!I363,1)-AM1613</x:f>
        <x:v>0</x:v>
      </x:c>
      <x:c r="M1613" s="11" t="n">
        <x:f>'管线假设'!H363</x:f>
        <x:v>0.14</x:v>
      </x:c>
      <x:c r="N1613" s="11" t="n">
        <x:f>IF(G1613,L1613*AN1613/(1+M1613)^F1613,0)</x:f>
        <x:v>0</x:v>
      </x:c>
      <x:c r="AJ1613" t="n">
        <x:v>0</x:v>
      </x:c>
      <x:c r="AK1613" t="n">
        <x:v>0</x:v>
      </x:c>
      <x:c r="AL1613" t="n">
        <x:v>0</x:v>
      </x:c>
      <x:c r="AM1613" t="n">
        <x:f>CHOOSE('假设'!$B$3,AJ1613,AK1613,AL1613)</x:f>
        <x:v>0</x:v>
      </x:c>
      <x:c r="AN1613" t="n">
        <x:v>1</x:v>
      </x:c>
    </x:row>
    <x:row r="1614" ht="23" customHeight="1">
      <x:c r="A1614" s="11" t="str">
        <x:v>688302.SH</x:v>
      </x:c>
      <x:c r="B1614" s="11" t="str">
        <x:v>半年</x:v>
      </x:c>
      <x:c r="C1614" s="11" t="str">
        <x:v>hp515_obesity_cn</x:v>
      </x:c>
      <x:c r="D1614" s="11" t="str">
        <x:v>2028-12-31</x:v>
      </x:c>
      <x:c r="E1614" s="11" t="str">
        <x:v>CNY</x:v>
      </x:c>
      <x:c r="F1614" s="11" t="n">
        <x:v>1.730321697467488</x:v>
      </x:c>
      <x:c r="G1614" s="26" t="b">
        <x:v>1</x:v>
      </x:c>
      <x:c r="H1614" s="16" t="n">
        <x:v>0</x:v>
      </x:c>
      <x:c r="I1614" s="16" t="n">
        <x:v>0</x:v>
      </x:c>
      <x:c r="J1614" s="16" t="n">
        <x:v>0</x:v>
      </x:c>
      <x:c r="K1614" s="11" t="n">
        <x:f>CHOOSE('假设'!$B$3,H1614,I1614,J1614)</x:f>
        <x:v>0</x:v>
      </x:c>
      <x:c r="L1614" s="11" t="n">
        <x:f>K1614*'管线假设'!E363*'管线假设'!F363*'管线假设'!G363*IF(E1614="USD",'管线假设'!I363,1)-AM1614</x:f>
        <x:v>0</x:v>
      </x:c>
      <x:c r="M1614" s="11" t="n">
        <x:f>'管线假设'!H363</x:f>
        <x:v>0.14</x:v>
      </x:c>
      <x:c r="N1614" s="11" t="n">
        <x:f>IF(G1614,L1614*AN1614/(1+M1614)^F1614,0)</x:f>
        <x:v>0</x:v>
      </x:c>
      <x:c r="AJ1614" t="n">
        <x:v>0</x:v>
      </x:c>
      <x:c r="AK1614" t="n">
        <x:v>0</x:v>
      </x:c>
      <x:c r="AL1614" t="n">
        <x:v>0</x:v>
      </x:c>
      <x:c r="AM1614" t="n">
        <x:f>CHOOSE('假设'!$B$3,AJ1614,AK1614,AL1614)</x:f>
        <x:v>0</x:v>
      </x:c>
      <x:c r="AN1614" t="n">
        <x:v>1</x:v>
      </x:c>
    </x:row>
    <x:row r="1615" ht="23" customHeight="1">
      <x:c r="A1615" s="11" t="str">
        <x:v>688302.SH</x:v>
      </x:c>
      <x:c r="B1615" s="11" t="str">
        <x:v>半年</x:v>
      </x:c>
      <x:c r="C1615" s="11" t="str">
        <x:v>hp515_obesity_cn</x:v>
      </x:c>
      <x:c r="D1615" s="11" t="str">
        <x:v>2029-12-31</x:v>
      </x:c>
      <x:c r="E1615" s="11" t="str">
        <x:v>CNY</x:v>
      </x:c>
      <x:c r="F1615" s="11" t="n">
        <x:v>2.729637234770705</x:v>
      </x:c>
      <x:c r="G1615" s="26" t="b">
        <x:v>1</x:v>
      </x:c>
      <x:c r="H1615" s="16" t="n">
        <x:v>0</x:v>
      </x:c>
      <x:c r="I1615" s="16" t="n">
        <x:v>0</x:v>
      </x:c>
      <x:c r="J1615" s="16" t="n">
        <x:v>0</x:v>
      </x:c>
      <x:c r="K1615" s="11" t="n">
        <x:f>CHOOSE('假设'!$B$3,H1615,I1615,J1615)</x:f>
        <x:v>0</x:v>
      </x:c>
      <x:c r="L1615" s="11" t="n">
        <x:f>K1615*'管线假设'!E363*'管线假设'!F363*'管线假设'!G363*IF(E1615="USD",'管线假设'!I363,1)-AM1615</x:f>
        <x:v>0</x:v>
      </x:c>
      <x:c r="M1615" s="11" t="n">
        <x:f>'管线假设'!H363</x:f>
        <x:v>0.14</x:v>
      </x:c>
      <x:c r="N1615" s="11" t="n">
        <x:f>IF(G1615,L1615*AN1615/(1+M1615)^F1615,0)</x:f>
        <x:v>0</x:v>
      </x:c>
      <x:c r="AJ1615" t="n">
        <x:v>0</x:v>
      </x:c>
      <x:c r="AK1615" t="n">
        <x:v>0</x:v>
      </x:c>
      <x:c r="AL1615" t="n">
        <x:v>0</x:v>
      </x:c>
      <x:c r="AM1615" t="n">
        <x:f>CHOOSE('假设'!$B$3,AJ1615,AK1615,AL1615)</x:f>
        <x:v>0</x:v>
      </x:c>
      <x:c r="AN1615" t="n">
        <x:v>1</x:v>
      </x:c>
    </x:row>
    <x:row r="1616" ht="23" customHeight="1">
      <x:c r="A1616" s="11" t="str">
        <x:v>688302.SH</x:v>
      </x:c>
      <x:c r="B1616" s="11" t="str">
        <x:v>半年</x:v>
      </x:c>
      <x:c r="C1616" s="11" t="str">
        <x:v>hp515_obesity_cn</x:v>
      </x:c>
      <x:c r="D1616" s="11" t="str">
        <x:v>2030-12-31</x:v>
      </x:c>
      <x:c r="E1616" s="11" t="str">
        <x:v>CNY</x:v>
      </x:c>
      <x:c r="F1616" s="11" t="n">
        <x:v>3.728952772073922</x:v>
      </x:c>
      <x:c r="G1616" s="26" t="b">
        <x:v>1</x:v>
      </x:c>
      <x:c r="H1616" s="16" t="n">
        <x:v>0</x:v>
      </x:c>
      <x:c r="I1616" s="16" t="n">
        <x:v>0</x:v>
      </x:c>
      <x:c r="J1616" s="16" t="n">
        <x:v>0</x:v>
      </x:c>
      <x:c r="K1616" s="11" t="n">
        <x:f>CHOOSE('假设'!$B$3,H1616,I1616,J1616)</x:f>
        <x:v>0</x:v>
      </x:c>
      <x:c r="L1616" s="11" t="n">
        <x:f>K1616*'管线假设'!E363*'管线假设'!F363*'管线假设'!G363*IF(E1616="USD",'管线假设'!I363,1)-AM1616</x:f>
        <x:v>0</x:v>
      </x:c>
      <x:c r="M1616" s="11" t="n">
        <x:f>'管线假设'!H363</x:f>
        <x:v>0.14</x:v>
      </x:c>
      <x:c r="N1616" s="11" t="n">
        <x:f>IF(G1616,L1616*AN1616/(1+M1616)^F1616,0)</x:f>
        <x:v>0</x:v>
      </x:c>
      <x:c r="AJ1616" t="n">
        <x:v>0</x:v>
      </x:c>
      <x:c r="AK1616" t="n">
        <x:v>0</x:v>
      </x:c>
      <x:c r="AL1616" t="n">
        <x:v>0</x:v>
      </x:c>
      <x:c r="AM1616" t="n">
        <x:f>CHOOSE('假设'!$B$3,AJ1616,AK1616,AL1616)</x:f>
        <x:v>0</x:v>
      </x:c>
      <x:c r="AN1616" t="n">
        <x:v>1</x:v>
      </x:c>
    </x:row>
    <x:row r="1617" ht="23" customHeight="1">
      <x:c r="A1617" s="11" t="str">
        <x:v>688302.SH</x:v>
      </x:c>
      <x:c r="B1617" s="11" t="str">
        <x:v>半年</x:v>
      </x:c>
      <x:c r="C1617" s="11" t="str">
        <x:v>hp515_obesity_cn</x:v>
      </x:c>
      <x:c r="D1617" s="11" t="str">
        <x:v>2031-12-31</x:v>
      </x:c>
      <x:c r="E1617" s="11" t="str">
        <x:v>CNY</x:v>
      </x:c>
      <x:c r="F1617" s="11" t="n">
        <x:v>4.728268309377139</x:v>
      </x:c>
      <x:c r="G1617" s="26" t="b">
        <x:v>1</x:v>
      </x:c>
      <x:c r="H1617" s="16" t="n">
        <x:v>0</x:v>
      </x:c>
      <x:c r="I1617" s="16" t="n">
        <x:v>0</x:v>
      </x:c>
      <x:c r="J1617" s="16" t="n">
        <x:v>0</x:v>
      </x:c>
      <x:c r="K1617" s="11" t="n">
        <x:f>CHOOSE('假设'!$B$3,H1617,I1617,J1617)</x:f>
        <x:v>0</x:v>
      </x:c>
      <x:c r="L1617" s="11" t="n">
        <x:f>K1617*'管线假设'!E363*'管线假设'!F363*'管线假设'!G363*IF(E1617="USD",'管线假设'!I363,1)-AM1617</x:f>
        <x:v>0</x:v>
      </x:c>
      <x:c r="M1617" s="11" t="n">
        <x:f>'管线假设'!H363</x:f>
        <x:v>0.14</x:v>
      </x:c>
      <x:c r="N1617" s="11" t="n">
        <x:f>IF(G1617,L1617*AN1617/(1+M1617)^F1617,0)</x:f>
        <x:v>0</x:v>
      </x:c>
      <x:c r="AJ1617" t="n">
        <x:v>0</x:v>
      </x:c>
      <x:c r="AK1617" t="n">
        <x:v>0</x:v>
      </x:c>
      <x:c r="AL1617" t="n">
        <x:v>0</x:v>
      </x:c>
      <x:c r="AM1617" t="n">
        <x:f>CHOOSE('假设'!$B$3,AJ1617,AK1617,AL1617)</x:f>
        <x:v>0</x:v>
      </x:c>
      <x:c r="AN1617" t="n">
        <x:v>1</x:v>
      </x:c>
    </x:row>
    <x:row r="1618" ht="23" customHeight="1">
      <x:c r="A1618" s="11" t="str">
        <x:v>688302.SH</x:v>
      </x:c>
      <x:c r="B1618" s="11" t="str">
        <x:v>半年</x:v>
      </x:c>
      <x:c r="C1618" s="11" t="str">
        <x:v>hp515_obesity_cn</x:v>
      </x:c>
      <x:c r="D1618" s="11" t="str">
        <x:v>2032-12-31</x:v>
      </x:c>
      <x:c r="E1618" s="11" t="str">
        <x:v>CNY</x:v>
      </x:c>
      <x:c r="F1618" s="11" t="n">
        <x:v>5.730321697467488</x:v>
      </x:c>
      <x:c r="G1618" s="26" t="b">
        <x:v>1</x:v>
      </x:c>
      <x:c r="H1618" s="16" t="n">
        <x:v>0</x:v>
      </x:c>
      <x:c r="I1618" s="16" t="n">
        <x:v>0</x:v>
      </x:c>
      <x:c r="J1618" s="16" t="n">
        <x:v>0.41666666666666663</x:v>
      </x:c>
      <x:c r="K1618" s="11" t="n">
        <x:f>CHOOSE('假设'!$B$3,H1618,I1618,J1618)</x:f>
        <x:v>0</x:v>
      </x:c>
      <x:c r="L1618" s="11" t="n">
        <x:f>K1618*'管线假设'!E363*'管线假设'!F363*'管线假设'!G363*IF(E1618="USD",'管线假设'!I363,1)-AM1618</x:f>
        <x:v>0</x:v>
      </x:c>
      <x:c r="M1618" s="11" t="n">
        <x:f>'管线假设'!H363</x:f>
        <x:v>0.14</x:v>
      </x:c>
      <x:c r="N1618" s="11" t="n">
        <x:f>IF(G1618,L1618*AN1618/(1+M1618)^F1618,0)</x:f>
        <x:v>0</x:v>
      </x:c>
      <x:c r="AJ1618" t="n">
        <x:v>0</x:v>
      </x:c>
      <x:c r="AK1618" t="n">
        <x:v>0</x:v>
      </x:c>
      <x:c r="AL1618" t="n">
        <x:v>0</x:v>
      </x:c>
      <x:c r="AM1618" t="n">
        <x:f>CHOOSE('假设'!$B$3,AJ1618,AK1618,AL1618)</x:f>
        <x:v>0</x:v>
      </x:c>
      <x:c r="AN1618" t="n">
        <x:v>1</x:v>
      </x:c>
    </x:row>
    <x:row r="1619" ht="23" customHeight="1">
      <x:c r="A1619" s="11" t="str">
        <x:v>688302.SH</x:v>
      </x:c>
      <x:c r="B1619" s="11" t="str">
        <x:v>半年</x:v>
      </x:c>
      <x:c r="C1619" s="11" t="str">
        <x:v>hp515_obesity_cn</x:v>
      </x:c>
      <x:c r="D1619" s="11" t="str">
        <x:v>2033-12-31</x:v>
      </x:c>
      <x:c r="E1619" s="11" t="str">
        <x:v>CNY</x:v>
      </x:c>
      <x:c r="F1619" s="11" t="n">
        <x:v>6.729637234770705</x:v>
      </x:c>
      <x:c r="G1619" s="26" t="b">
        <x:v>1</x:v>
      </x:c>
      <x:c r="H1619" s="16" t="n">
        <x:v>0</x:v>
      </x:c>
      <x:c r="I1619" s="16" t="n">
        <x:v>0</x:v>
      </x:c>
      <x:c r="J1619" s="16" t="n">
        <x:v>0.8333333333333333</x:v>
      </x:c>
      <x:c r="K1619" s="11" t="n">
        <x:f>CHOOSE('假设'!$B$3,H1619,I1619,J1619)</x:f>
        <x:v>0</x:v>
      </x:c>
      <x:c r="L1619" s="11" t="n">
        <x:f>K1619*'管线假设'!E363*'管线假设'!F363*'管线假设'!G363*IF(E1619="USD",'管线假设'!I363,1)-AM1619</x:f>
        <x:v>0</x:v>
      </x:c>
      <x:c r="M1619" s="11" t="n">
        <x:f>'管线假设'!H363</x:f>
        <x:v>0.14</x:v>
      </x:c>
      <x:c r="N1619" s="11" t="n">
        <x:f>IF(G1619,L1619*AN1619/(1+M1619)^F1619,0)</x:f>
        <x:v>0</x:v>
      </x:c>
      <x:c r="AJ1619" t="n">
        <x:v>0</x:v>
      </x:c>
      <x:c r="AK1619" t="n">
        <x:v>0</x:v>
      </x:c>
      <x:c r="AL1619" t="n">
        <x:v>0</x:v>
      </x:c>
      <x:c r="AM1619" t="n">
        <x:f>CHOOSE('假设'!$B$3,AJ1619,AK1619,AL1619)</x:f>
        <x:v>0</x:v>
      </x:c>
      <x:c r="AN1619" t="n">
        <x:v>1</x:v>
      </x:c>
    </x:row>
    <x:row r="1620" ht="23" customHeight="1">
      <x:c r="A1620" s="11" t="str">
        <x:v>688302.SH</x:v>
      </x:c>
      <x:c r="B1620" s="11" t="str">
        <x:v>半年</x:v>
      </x:c>
      <x:c r="C1620" s="11" t="str">
        <x:v>hp515_obesity_cn</x:v>
      </x:c>
      <x:c r="D1620" s="11" t="str">
        <x:v>2034-12-31</x:v>
      </x:c>
      <x:c r="E1620" s="11" t="str">
        <x:v>CNY</x:v>
      </x:c>
      <x:c r="F1620" s="11" t="n">
        <x:v>7.728952772073922</x:v>
      </x:c>
      <x:c r="G1620" s="26" t="b">
        <x:v>1</x:v>
      </x:c>
      <x:c r="H1620" s="16" t="n">
        <x:v>0</x:v>
      </x:c>
      <x:c r="I1620" s="16" t="n">
        <x:v>0.18333333333333335</x:v>
      </x:c>
      <x:c r="J1620" s="16" t="n">
        <x:v>1.25</x:v>
      </x:c>
      <x:c r="K1620" s="11" t="n">
        <x:f>CHOOSE('假设'!$B$3,H1620,I1620,J1620)</x:f>
        <x:v>0.18333333333333335</x:v>
      </x:c>
      <x:c r="L1620" s="11" t="n">
        <x:f>K1620*'管线假设'!E363*'管线假设'!F363*'管线假设'!G363*IF(E1620="USD",'管线假设'!I363,1)-AM1620</x:f>
        <x:v>0.0052305</x:v>
      </x:c>
      <x:c r="M1620" s="11" t="n">
        <x:f>'管线假设'!H363</x:f>
        <x:v>0.14</x:v>
      </x:c>
      <x:c r="N1620" s="11" t="n">
        <x:f>IF(G1620,L1620*AN1620/(1+M1620)^F1620,0)</x:f>
        <x:v>0.0018998893048229356</x:v>
      </x:c>
      <x:c r="AJ1620" t="n">
        <x:v>0</x:v>
      </x:c>
      <x:c r="AK1620" t="n">
        <x:v>0</x:v>
      </x:c>
      <x:c r="AL1620" t="n">
        <x:v>0</x:v>
      </x:c>
      <x:c r="AM1620" t="n">
        <x:f>CHOOSE('假设'!$B$3,AJ1620,AK1620,AL1620)</x:f>
        <x:v>0</x:v>
      </x:c>
      <x:c r="AN1620" t="n">
        <x:v>1</x:v>
      </x:c>
    </x:row>
    <x:row r="1621" ht="23" customHeight="1">
      <x:c r="A1621" s="11" t="str">
        <x:v>688302.SH</x:v>
      </x:c>
      <x:c r="B1621" s="11" t="str">
        <x:v>半年</x:v>
      </x:c>
      <x:c r="C1621" s="11" t="str">
        <x:v>hp515_obesity_cn</x:v>
      </x:c>
      <x:c r="D1621" s="11" t="str">
        <x:v>2035-12-31</x:v>
      </x:c>
      <x:c r="E1621" s="11" t="str">
        <x:v>CNY</x:v>
      </x:c>
      <x:c r="F1621" s="11" t="n">
        <x:v>8.728268309377139</x:v>
      </x:c>
      <x:c r="G1621" s="26" t="b">
        <x:v>1</x:v>
      </x:c>
      <x:c r="H1621" s="16" t="n">
        <x:v>0</x:v>
      </x:c>
      <x:c r="I1621" s="16" t="n">
        <x:v>0.3666666666666667</x:v>
      </x:c>
      <x:c r="J1621" s="16" t="n">
        <x:v>1.6666666666666665</x:v>
      </x:c>
      <x:c r="K1621" s="11" t="n">
        <x:f>CHOOSE('假设'!$B$3,H1621,I1621,J1621)</x:f>
        <x:v>0.3666666666666667</x:v>
      </x:c>
      <x:c r="L1621" s="11" t="n">
        <x:f>K1621*'管线假设'!E363*'管线假设'!F363*'管线假设'!G363*IF(E1621="USD",'管线假设'!I363,1)-AM1621</x:f>
        <x:v>0.010461</x:v>
      </x:c>
      <x:c r="M1621" s="11" t="n">
        <x:f>'管线假设'!H363</x:f>
        <x:v>0.14</x:v>
      </x:c>
      <x:c r="N1621" s="11" t="n">
        <x:f>IF(G1621,L1621*AN1621/(1+M1621)^F1621,0)</x:f>
        <x:v>0.00333343807378261</x:v>
      </x:c>
      <x:c r="AJ1621" t="n">
        <x:v>0</x:v>
      </x:c>
      <x:c r="AK1621" t="n">
        <x:v>0</x:v>
      </x:c>
      <x:c r="AL1621" t="n">
        <x:v>0</x:v>
      </x:c>
      <x:c r="AM1621" t="n">
        <x:f>CHOOSE('假设'!$B$3,AJ1621,AK1621,AL1621)</x:f>
        <x:v>0</x:v>
      </x:c>
      <x:c r="AN1621" t="n">
        <x:v>1</x:v>
      </x:c>
    </x:row>
    <x:row r="1622" ht="23" customHeight="1">
      <x:c r="A1622" s="11" t="str">
        <x:v>688302.SH</x:v>
      </x:c>
      <x:c r="B1622" s="11" t="str">
        <x:v>半年</x:v>
      </x:c>
      <x:c r="C1622" s="11" t="str">
        <x:v>hp515_obesity_cn</x:v>
      </x:c>
      <x:c r="D1622" s="11" t="str">
        <x:v>2036-12-31</x:v>
      </x:c>
      <x:c r="E1622" s="11" t="str">
        <x:v>CNY</x:v>
      </x:c>
      <x:c r="F1622" s="11" t="n">
        <x:v>9.730321697467488</x:v>
      </x:c>
      <x:c r="G1622" s="26" t="b">
        <x:v>1</x:v>
      </x:c>
      <x:c r="H1622" s="16" t="n">
        <x:v>0</x:v>
      </x:c>
      <x:c r="I1622" s="16" t="n">
        <x:v>0.55</x:v>
      </x:c>
      <x:c r="J1622" s="16" t="n">
        <x:v>2.0833333333333335</x:v>
      </x:c>
      <x:c r="K1622" s="11" t="n">
        <x:f>CHOOSE('假设'!$B$3,H1622,I1622,J1622)</x:f>
        <x:v>0.55</x:v>
      </x:c>
      <x:c r="L1622" s="11" t="n">
        <x:f>K1622*'管线假设'!E363*'管线假设'!F363*'管线假设'!G363*IF(E1622="USD",'管线假设'!I363,1)-AM1622</x:f>
        <x:v>0.015691499999999997</x:v>
      </x:c>
      <x:c r="M1622" s="11" t="n">
        <x:f>'管线假设'!H363</x:f>
        <x:v>0.14</x:v>
      </x:c>
      <x:c r="N1622" s="11" t="n">
        <x:f>IF(G1622,L1622*AN1622/(1+M1622)^F1622,0)</x:f>
        <x:v>0.0043849227982430735</x:v>
      </x:c>
      <x:c r="AJ1622" t="n">
        <x:v>0</x:v>
      </x:c>
      <x:c r="AK1622" t="n">
        <x:v>0</x:v>
      </x:c>
      <x:c r="AL1622" t="n">
        <x:v>0</x:v>
      </x:c>
      <x:c r="AM1622" t="n">
        <x:f>CHOOSE('假设'!$B$3,AJ1622,AK1622,AL1622)</x:f>
        <x:v>0</x:v>
      </x:c>
      <x:c r="AN1622" t="n">
        <x:v>1</x:v>
      </x:c>
    </x:row>
    <x:row r="1623" ht="23" customHeight="1">
      <x:c r="A1623" s="11" t="str">
        <x:v>688302.SH</x:v>
      </x:c>
      <x:c r="B1623" s="11" t="str">
        <x:v>半年</x:v>
      </x:c>
      <x:c r="C1623" s="11" t="str">
        <x:v>hp515_obesity_cn</x:v>
      </x:c>
      <x:c r="D1623" s="11" t="str">
        <x:v>2037-12-31</x:v>
      </x:c>
      <x:c r="E1623" s="11" t="str">
        <x:v>CNY</x:v>
      </x:c>
      <x:c r="F1623" s="11" t="n">
        <x:v>10.729637234770705</x:v>
      </x:c>
      <x:c r="G1623" s="26" t="b">
        <x:v>1</x:v>
      </x:c>
      <x:c r="H1623" s="16" t="n">
        <x:v>0.08000000000000002</x:v>
      </x:c>
      <x:c r="I1623" s="16" t="n">
        <x:v>0.7333333333333334</x:v>
      </x:c>
      <x:c r="J1623" s="16" t="n">
        <x:v>2.5</x:v>
      </x:c>
      <x:c r="K1623" s="11" t="n">
        <x:f>CHOOSE('假设'!$B$3,H1623,I1623,J1623)</x:f>
        <x:v>0.7333333333333334</x:v>
      </x:c>
      <x:c r="L1623" s="11" t="n">
        <x:f>K1623*'管线假设'!E363*'管线假设'!F363*'管线假设'!G363*IF(E1623="USD",'管线假设'!I363,1)-AM1623</x:f>
        <x:v>0.020922</x:v>
      </x:c>
      <x:c r="M1623" s="11" t="n">
        <x:f>'管线假设'!H363</x:f>
        <x:v>0.14</x:v>
      </x:c>
      <x:c r="N1623" s="11" t="n">
        <x:f>IF(G1623,L1623*AN1623/(1+M1623)^F1623,0)</x:f>
        <x:v>0.00512902464691159</x:v>
      </x:c>
      <x:c r="AJ1623" t="n">
        <x:v>0</x:v>
      </x:c>
      <x:c r="AK1623" t="n">
        <x:v>0</x:v>
      </x:c>
      <x:c r="AL1623" t="n">
        <x:v>0</x:v>
      </x:c>
      <x:c r="AM1623" t="n">
        <x:f>CHOOSE('假设'!$B$3,AJ1623,AK1623,AL1623)</x:f>
        <x:v>0</x:v>
      </x:c>
      <x:c r="AN1623" t="n">
        <x:v>1</x:v>
      </x:c>
    </x:row>
    <x:row r="1624" ht="23" customHeight="1">
      <x:c r="A1624" s="11" t="str">
        <x:v>688302.SH</x:v>
      </x:c>
      <x:c r="B1624" s="11" t="str">
        <x:v>半年</x:v>
      </x:c>
      <x:c r="C1624" s="11" t="str">
        <x:v>hp515_obesity_cn</x:v>
      </x:c>
      <x:c r="D1624" s="11" t="str">
        <x:v>2038-12-31</x:v>
      </x:c>
      <x:c r="E1624" s="11" t="str">
        <x:v>CNY</x:v>
      </x:c>
      <x:c r="F1624" s="11" t="n">
        <x:v>11.728952772073923</x:v>
      </x:c>
      <x:c r="G1624" s="26" t="b">
        <x:v>1</x:v>
      </x:c>
      <x:c r="H1624" s="16" t="n">
        <x:v>0.16000000000000003</x:v>
      </x:c>
      <x:c r="I1624" s="16" t="n">
        <x:v>0.9166666666666667</x:v>
      </x:c>
      <x:c r="J1624" s="16" t="n">
        <x:v>2.175</x:v>
      </x:c>
      <x:c r="K1624" s="11" t="n">
        <x:f>CHOOSE('假设'!$B$3,H1624,I1624,J1624)</x:f>
        <x:v>0.9166666666666667</x:v>
      </x:c>
      <x:c r="L1624" s="11" t="n">
        <x:f>K1624*'管线假设'!E363*'管线假设'!F363*'管线假设'!G363*IF(E1624="USD",'管线假设'!I363,1)-AM1624</x:f>
        <x:v>0.026152499999999995</x:v>
      </x:c>
      <x:c r="M1624" s="11" t="n">
        <x:f>'管线假设'!H363</x:f>
        <x:v>0.14</x:v>
      </x:c>
      <x:c r="N1624" s="11" t="n">
        <x:f>IF(G1624,L1624*AN1624/(1+M1624)^F1624,0)</x:f>
        <x:v>0.005624434932861099</x:v>
      </x:c>
      <x:c r="AJ1624" t="n">
        <x:v>0</x:v>
      </x:c>
      <x:c r="AK1624" t="n">
        <x:v>0</x:v>
      </x:c>
      <x:c r="AL1624" t="n">
        <x:v>0</x:v>
      </x:c>
      <x:c r="AM1624" t="n">
        <x:f>CHOOSE('假设'!$B$3,AJ1624,AK1624,AL1624)</x:f>
        <x:v>0</x:v>
      </x:c>
      <x:c r="AN1624" t="n">
        <x:v>1</x:v>
      </x:c>
    </x:row>
    <x:row r="1625" ht="23" customHeight="1">
      <x:c r="A1625" s="11" t="str">
        <x:v>688302.SH</x:v>
      </x:c>
      <x:c r="B1625" s="11" t="str">
        <x:v>半年</x:v>
      </x:c>
      <x:c r="C1625" s="11" t="str">
        <x:v>hp515_obesity_cn</x:v>
      </x:c>
      <x:c r="D1625" s="11" t="str">
        <x:v>2039-12-31</x:v>
      </x:c>
      <x:c r="E1625" s="11" t="str">
        <x:v>CNY</x:v>
      </x:c>
      <x:c r="F1625" s="11" t="n">
        <x:v>12.728268309377139</x:v>
      </x:c>
      <x:c r="G1625" s="26" t="b">
        <x:v>1</x:v>
      </x:c>
      <x:c r="H1625" s="16" t="n">
        <x:v>0.24</x:v>
      </x:c>
      <x:c r="I1625" s="16" t="n">
        <x:v>1.1</x:v>
      </x:c>
      <x:c r="J1625" s="16" t="n">
        <x:v>1.85</x:v>
      </x:c>
      <x:c r="K1625" s="11" t="n">
        <x:f>CHOOSE('假设'!$B$3,H1625,I1625,J1625)</x:f>
        <x:v>1.1</x:v>
      </x:c>
      <x:c r="L1625" s="11" t="n">
        <x:f>K1625*'管线假设'!E363*'管线假设'!F363*'管线假设'!G363*IF(E1625="USD",'管线假设'!I363,1)-AM1625</x:f>
        <x:v>0.031382999999999994</x:v>
      </x:c>
      <x:c r="M1625" s="11" t="n">
        <x:f>'管线假设'!H363</x:f>
        <x:v>0.14</x:v>
      </x:c>
      <x:c r="N1625" s="11" t="n">
        <x:f>IF(G1625,L1625*AN1625/(1+M1625)^F1625,0)</x:f>
        <x:v>0.005920988817964672</x:v>
      </x:c>
      <x:c r="AJ1625" t="n">
        <x:v>0</x:v>
      </x:c>
      <x:c r="AK1625" t="n">
        <x:v>0</x:v>
      </x:c>
      <x:c r="AL1625" t="n">
        <x:v>0</x:v>
      </x:c>
      <x:c r="AM1625" t="n">
        <x:f>CHOOSE('假设'!$B$3,AJ1625,AK1625,AL1625)</x:f>
        <x:v>0</x:v>
      </x:c>
      <x:c r="AN1625" t="n">
        <x:v>1</x:v>
      </x:c>
    </x:row>
    <x:row r="1626" ht="23" customHeight="1">
      <x:c r="A1626" s="11" t="str">
        <x:v>688302.SH</x:v>
      </x:c>
      <x:c r="B1626" s="11" t="str">
        <x:v>半年</x:v>
      </x:c>
      <x:c r="C1626" s="11" t="str">
        <x:v>hp515_obesity_cn</x:v>
      </x:c>
      <x:c r="D1626" s="11" t="str">
        <x:v>2040-12-31</x:v>
      </x:c>
      <x:c r="E1626" s="11" t="str">
        <x:v>CNY</x:v>
      </x:c>
      <x:c r="F1626" s="11" t="n">
        <x:v>13.730321697467488</x:v>
      </x:c>
      <x:c r="G1626" s="26" t="b">
        <x:v>1</x:v>
      </x:c>
      <x:c r="H1626" s="16" t="n">
        <x:v>0.32000000000000006</x:v>
      </x:c>
      <x:c r="I1626" s="16" t="n">
        <x:v>0.9570000000000001</x:v>
      </x:c>
      <x:c r="J1626" s="16" t="n">
        <x:v>1.525</x:v>
      </x:c>
      <x:c r="K1626" s="11" t="n">
        <x:f>CHOOSE('假设'!$B$3,H1626,I1626,J1626)</x:f>
        <x:v>0.9570000000000001</x:v>
      </x:c>
      <x:c r="L1626" s="11" t="n">
        <x:f>K1626*'管线假设'!E363*'管线假设'!F363*'管线假设'!G363*IF(E1626="USD",'管线假设'!I363,1)-AM1626</x:f>
        <x:v>0.027303209999999998</x:v>
      </x:c>
      <x:c r="M1626" s="11" t="n">
        <x:f>'管线假设'!H363</x:f>
        <x:v>0.14</x:v>
      </x:c>
      <x:c r="N1626" s="11" t="n">
        <x:f>IF(G1626,L1626*AN1626/(1+M1626)^F1626,0)</x:f>
        <x:v>0.00451743377353729</x:v>
      </x:c>
      <x:c r="AJ1626" t="n">
        <x:v>0</x:v>
      </x:c>
      <x:c r="AK1626" t="n">
        <x:v>0</x:v>
      </x:c>
      <x:c r="AL1626" t="n">
        <x:v>0</x:v>
      </x:c>
      <x:c r="AM1626" t="n">
        <x:f>CHOOSE('假设'!$B$3,AJ1626,AK1626,AL1626)</x:f>
        <x:v>0</x:v>
      </x:c>
      <x:c r="AN1626" t="n">
        <x:v>1</x:v>
      </x:c>
    </x:row>
    <x:row r="1627" ht="23" customHeight="1">
      <x:c r="A1627" s="11" t="str">
        <x:v>688302.SH</x:v>
      </x:c>
      <x:c r="B1627" s="11" t="str">
        <x:v>半年</x:v>
      </x:c>
      <x:c r="C1627" s="11" t="str">
        <x:v>hp515_obesity_cn</x:v>
      </x:c>
      <x:c r="D1627" s="11" t="str">
        <x:v>2041-12-31</x:v>
      </x:c>
      <x:c r="E1627" s="11" t="str">
        <x:v>CNY</x:v>
      </x:c>
      <x:c r="F1627" s="11" t="n">
        <x:v>14.729637234770705</x:v>
      </x:c>
      <x:c r="G1627" s="26" t="b">
        <x:v>1</x:v>
      </x:c>
      <x:c r="H1627" s="16" t="n">
        <x:v>0.4</x:v>
      </x:c>
      <x:c r="I1627" s="16" t="n">
        <x:v>0.8140000000000001</x:v>
      </x:c>
      <x:c r="J1627" s="16" t="n">
        <x:v>1.2</x:v>
      </x:c>
      <x:c r="K1627" s="11" t="n">
        <x:f>CHOOSE('假设'!$B$3,H1627,I1627,J1627)</x:f>
        <x:v>0.8140000000000001</x:v>
      </x:c>
      <x:c r="L1627" s="11" t="n">
        <x:f>K1627*'管线假设'!E363*'管线假设'!F363*'管线假设'!G363*IF(E1627="USD",'管线假设'!I363,1)-AM1627</x:f>
        <x:v>0.023223419999999998</x:v>
      </x:c>
      <x:c r="M1627" s="11" t="n">
        <x:f>'管线假设'!H363</x:f>
        <x:v>0.14</x:v>
      </x:c>
      <x:c r="N1627" s="11" t="n">
        <x:f>IF(G1627,L1627*AN1627/(1+M1627)^F1627,0)</x:f>
        <x:v>0.003370841712495967</x:v>
      </x:c>
      <x:c r="AJ1627" t="n">
        <x:v>0</x:v>
      </x:c>
      <x:c r="AK1627" t="n">
        <x:v>0</x:v>
      </x:c>
      <x:c r="AL1627" t="n">
        <x:v>0</x:v>
      </x:c>
      <x:c r="AM1627" t="n">
        <x:f>CHOOSE('假设'!$B$3,AJ1627,AK1627,AL1627)</x:f>
        <x:v>0</x:v>
      </x:c>
      <x:c r="AN1627" t="n">
        <x:v>1</x:v>
      </x:c>
    </x:row>
    <x:row r="1628" ht="23" customHeight="1">
      <x:c r="A1628" s="11" t="str">
        <x:v>688302.SH</x:v>
      </x:c>
      <x:c r="B1628" s="11" t="str">
        <x:v>半年</x:v>
      </x:c>
      <x:c r="C1628" s="11" t="str">
        <x:v>hp515_obesity_cn</x:v>
      </x:c>
      <x:c r="D1628" s="11" t="str">
        <x:v>2042-12-31</x:v>
      </x:c>
      <x:c r="E1628" s="11" t="str">
        <x:v>CNY</x:v>
      </x:c>
      <x:c r="F1628" s="11" t="n">
        <x:v>15.728952772073923</x:v>
      </x:c>
      <x:c r="G1628" s="26" t="b">
        <x:v>1</x:v>
      </x:c>
      <x:c r="H1628" s="16" t="n">
        <x:v>0.34800000000000003</x:v>
      </x:c>
      <x:c r="I1628" s="16" t="n">
        <x:v>0.671</x:v>
      </x:c>
      <x:c r="J1628" s="16" t="n">
        <x:v>0.875</x:v>
      </x:c>
      <x:c r="K1628" s="11" t="n">
        <x:f>CHOOSE('假设'!$B$3,H1628,I1628,J1628)</x:f>
        <x:v>0.671</x:v>
      </x:c>
      <x:c r="L1628" s="11" t="n">
        <x:f>K1628*'管线假设'!E363*'管线假设'!F363*'管线假设'!G363*IF(E1628="USD",'管线假设'!I363,1)-AM1628</x:f>
        <x:v>0.01914363</x:v>
      </x:c>
      <x:c r="M1628" s="11" t="n">
        <x:f>'管线假设'!H363</x:f>
        <x:v>0.14</x:v>
      </x:c>
      <x:c r="N1628" s="11" t="n">
        <x:f>IF(G1628,L1628*AN1628/(1+M1628)^F1628,0)</x:f>
        <x:v>0.0024376456404124557</x:v>
      </x:c>
      <x:c r="AJ1628" t="n">
        <x:v>0</x:v>
      </x:c>
      <x:c r="AK1628" t="n">
        <x:v>0</x:v>
      </x:c>
      <x:c r="AL1628" t="n">
        <x:v>0</x:v>
      </x:c>
      <x:c r="AM1628" t="n">
        <x:f>CHOOSE('假设'!$B$3,AJ1628,AK1628,AL1628)</x:f>
        <x:v>0</x:v>
      </x:c>
      <x:c r="AN1628" t="n">
        <x:v>1</x:v>
      </x:c>
    </x:row>
    <x:row r="1629" ht="23" customHeight="1">
      <x:c r="A1629" s="11" t="str">
        <x:v>688302.SH</x:v>
      </x:c>
      <x:c r="B1629" s="11" t="str">
        <x:v>半年</x:v>
      </x:c>
      <x:c r="C1629" s="11" t="str">
        <x:v>hp515_obesity_cn</x:v>
      </x:c>
      <x:c r="D1629" s="11" t="str">
        <x:v>2043-12-31</x:v>
      </x:c>
      <x:c r="E1629" s="11" t="str">
        <x:v>CNY</x:v>
      </x:c>
      <x:c r="F1629" s="11" t="n">
        <x:v>16.72826830937714</x:v>
      </x:c>
      <x:c r="G1629" s="26" t="b">
        <x:v>1</x:v>
      </x:c>
      <x:c r="H1629" s="16" t="n">
        <x:v>0.296</x:v>
      </x:c>
      <x:c r="I1629" s="16" t="n">
        <x:v>0.528</x:v>
      </x:c>
      <x:c r="J1629" s="16" t="n">
        <x:v>0.5499999999999999</x:v>
      </x:c>
      <x:c r="K1629" s="11" t="n">
        <x:f>CHOOSE('假设'!$B$3,H1629,I1629,J1629)</x:f>
        <x:v>0.528</x:v>
      </x:c>
      <x:c r="L1629" s="11" t="n">
        <x:f>K1629*'管线假设'!E363*'管线假设'!F363*'管线假设'!G363*IF(E1629="USD",'管线假设'!I363,1)-AM1629</x:f>
        <x:v>0.015063839999999997</x:v>
      </x:c>
      <x:c r="M1629" s="11" t="n">
        <x:f>'管线假设'!H363</x:f>
        <x:v>0.14</x:v>
      </x:c>
      <x:c r="N1629" s="11" t="n">
        <x:f>IF(G1629,L1629*AN1629/(1+M1629)^F1629,0)</x:f>
        <x:v>0.0016827363367902305</x:v>
      </x:c>
      <x:c r="AJ1629" t="n">
        <x:v>0</x:v>
      </x:c>
      <x:c r="AK1629" t="n">
        <x:v>0</x:v>
      </x:c>
      <x:c r="AL1629" t="n">
        <x:v>0</x:v>
      </x:c>
      <x:c r="AM1629" t="n">
        <x:f>CHOOSE('假设'!$B$3,AJ1629,AK1629,AL1629)</x:f>
        <x:v>0</x:v>
      </x:c>
      <x:c r="AN1629" t="n">
        <x:v>1</x:v>
      </x:c>
    </x:row>
    <x:row r="1630" ht="23" customHeight="1">
      <x:c r="A1630" s="11" t="str">
        <x:v>688302.SH</x:v>
      </x:c>
      <x:c r="B1630" s="11" t="str">
        <x:v>半年</x:v>
      </x:c>
      <x:c r="C1630" s="11" t="str">
        <x:v>hp515_obesity_cn</x:v>
      </x:c>
      <x:c r="D1630" s="11" t="str">
        <x:v>2044-12-31</x:v>
      </x:c>
      <x:c r="E1630" s="11" t="str">
        <x:v>CNY</x:v>
      </x:c>
      <x:c r="F1630" s="11" t="n">
        <x:v>17.730321697467488</x:v>
      </x:c>
      <x:c r="G1630" s="26" t="b">
        <x:v>1</x:v>
      </x:c>
      <x:c r="H1630" s="16" t="n">
        <x:v>0.244</x:v>
      </x:c>
      <x:c r="I1630" s="16" t="n">
        <x:v>0.385</x:v>
      </x:c>
      <x:c r="J1630" s="16" t="n">
        <x:v>0.22499999999999992</x:v>
      </x:c>
      <x:c r="K1630" s="11" t="n">
        <x:f>CHOOSE('假设'!$B$3,H1630,I1630,J1630)</x:f>
        <x:v>0.385</x:v>
      </x:c>
      <x:c r="L1630" s="11" t="n">
        <x:f>K1630*'管线假设'!E363*'管线假设'!F363*'管线假设'!G363*IF(E1630="USD",'管线假设'!I363,1)-AM1630</x:f>
        <x:v>0.010984049999999999</x:v>
      </x:c>
      <x:c r="M1630" s="11" t="n">
        <x:f>'管线假设'!H363</x:f>
        <x:v>0.14</x:v>
      </x:c>
      <x:c r="N1630" s="11" t="n">
        <x:f>IF(G1630,L1630*AN1630/(1+M1630)^F1630,0)</x:f>
        <x:v>0.0010760220742219505</x:v>
      </x:c>
      <x:c r="AJ1630" t="n">
        <x:v>0</x:v>
      </x:c>
      <x:c r="AK1630" t="n">
        <x:v>0</x:v>
      </x:c>
      <x:c r="AL1630" t="n">
        <x:v>0</x:v>
      </x:c>
      <x:c r="AM1630" t="n">
        <x:f>CHOOSE('假设'!$B$3,AJ1630,AK1630,AL1630)</x:f>
        <x:v>0</x:v>
      </x:c>
      <x:c r="AN1630" t="n">
        <x:v>1</x:v>
      </x:c>
    </x:row>
    <x:row r="1631" ht="23" customHeight="1">
      <x:c r="A1631" s="11" t="str">
        <x:v>688302.SH</x:v>
      </x:c>
      <x:c r="B1631" s="11" t="str">
        <x:v>半年</x:v>
      </x:c>
      <x:c r="C1631" s="11" t="str">
        <x:v>hp515_obesity_cn</x:v>
      </x:c>
      <x:c r="D1631" s="11" t="str">
        <x:v>2045-12-31</x:v>
      </x:c>
      <x:c r="E1631" s="11" t="str">
        <x:v>CNY</x:v>
      </x:c>
      <x:c r="F1631" s="11" t="n">
        <x:v>18.729637234770706</x:v>
      </x:c>
      <x:c r="G1631" s="26" t="b">
        <x:v>1</x:v>
      </x:c>
      <x:c r="H1631" s="16" t="n">
        <x:v>0.192</x:v>
      </x:c>
      <x:c r="I1631" s="16" t="n">
        <x:v>0.242</x:v>
      </x:c>
      <x:c r="J1631" s="16" t="n">
        <x:v>0</x:v>
      </x:c>
      <x:c r="K1631" s="11" t="n">
        <x:f>CHOOSE('假设'!$B$3,H1631,I1631,J1631)</x:f>
        <x:v>0.242</x:v>
      </x:c>
      <x:c r="L1631" s="11" t="n">
        <x:f>K1631*'管线假设'!E363*'管线假设'!F363*'管线假设'!G363*IF(E1631="USD",'管线假设'!I363,1)-AM1631</x:f>
        <x:v>0.006904259999999999</x:v>
      </x:c>
      <x:c r="M1631" s="11" t="n">
        <x:f>'管线假设'!H363</x:f>
        <x:v>0.14</x:v>
      </x:c>
      <x:c r="N1631" s="11" t="n">
        <x:f>IF(G1631,L1631*AN1631/(1+M1631)^F1631,0)</x:f>
        <x:v>0.000593348590734102</x:v>
      </x:c>
      <x:c r="AJ1631" t="n">
        <x:v>0</x:v>
      </x:c>
      <x:c r="AK1631" t="n">
        <x:v>0</x:v>
      </x:c>
      <x:c r="AL1631" t="n">
        <x:v>0</x:v>
      </x:c>
      <x:c r="AM1631" t="n">
        <x:f>CHOOSE('假设'!$B$3,AJ1631,AK1631,AL1631)</x:f>
        <x:v>0</x:v>
      </x:c>
      <x:c r="AN1631" t="n">
        <x:v>1</x:v>
      </x:c>
    </x:row>
    <x:row r="1632" ht="23" customHeight="1">
      <x:c r="A1632" s="11" t="str">
        <x:v>688302.SH</x:v>
      </x:c>
      <x:c r="B1632" s="11" t="str">
        <x:v>半年</x:v>
      </x:c>
      <x:c r="C1632" s="11" t="str">
        <x:v>hp515_obesity_global</x:v>
      </x:c>
      <x:c r="D1632" s="11" t="str">
        <x:v>2027-12-31</x:v>
      </x:c>
      <x:c r="E1632" s="11" t="str">
        <x:v>USD</x:v>
      </x:c>
      <x:c r="F1632" s="11" t="n">
        <x:v>0.7282683093771389</x:v>
      </x:c>
      <x:c r="G1632" s="26" t="b">
        <x:v>1</x:v>
      </x:c>
      <x:c r="H1632" s="16" t="n">
        <x:v>0</x:v>
      </x:c>
      <x:c r="I1632" s="16" t="n">
        <x:v>0</x:v>
      </x:c>
      <x:c r="J1632" s="16" t="n">
        <x:v>0</x:v>
      </x:c>
      <x:c r="K1632" s="11" t="n">
        <x:f>CHOOSE('假设'!$B$3,H1632,I1632,J1632)</x:f>
        <x:v>0</x:v>
      </x:c>
      <x:c r="L1632" s="11" t="n">
        <x:f>K1632*'管线假设'!E367*'管线假设'!F367*'管线假设'!G367*IF(E1632="USD",'管线假设'!I367,1)-AM1632</x:f>
        <x:v>0</x:v>
      </x:c>
      <x:c r="M1632" s="11" t="n">
        <x:f>'管线假设'!H367</x:f>
        <x:v>0.14</x:v>
      </x:c>
      <x:c r="N1632" s="11" t="n">
        <x:f>IF(G1632,L1632*AN1632/(1+M1632)^F1632,0)</x:f>
        <x:v>0</x:v>
      </x:c>
      <x:c r="AJ1632" t="n">
        <x:v>0</x:v>
      </x:c>
      <x:c r="AK1632" t="n">
        <x:v>0</x:v>
      </x:c>
      <x:c r="AL1632" t="n">
        <x:v>0</x:v>
      </x:c>
      <x:c r="AM1632" t="n">
        <x:f>CHOOSE('假设'!$B$3,AJ1632,AK1632,AL1632)</x:f>
        <x:v>0</x:v>
      </x:c>
      <x:c r="AN1632" t="n">
        <x:v>1</x:v>
      </x:c>
    </x:row>
    <x:row r="1633" ht="23" customHeight="1">
      <x:c r="A1633" s="11" t="str">
        <x:v>688302.SH</x:v>
      </x:c>
      <x:c r="B1633" s="11" t="str">
        <x:v>半年</x:v>
      </x:c>
      <x:c r="C1633" s="11" t="str">
        <x:v>hp515_obesity_global</x:v>
      </x:c>
      <x:c r="D1633" s="11" t="str">
        <x:v>2028-12-31</x:v>
      </x:c>
      <x:c r="E1633" s="11" t="str">
        <x:v>USD</x:v>
      </x:c>
      <x:c r="F1633" s="11" t="n">
        <x:v>1.730321697467488</x:v>
      </x:c>
      <x:c r="G1633" s="26" t="b">
        <x:v>1</x:v>
      </x:c>
      <x:c r="H1633" s="16" t="n">
        <x:v>0</x:v>
      </x:c>
      <x:c r="I1633" s="16" t="n">
        <x:v>0</x:v>
      </x:c>
      <x:c r="J1633" s="16" t="n">
        <x:v>0</x:v>
      </x:c>
      <x:c r="K1633" s="11" t="n">
        <x:f>CHOOSE('假设'!$B$3,H1633,I1633,J1633)</x:f>
        <x:v>0</x:v>
      </x:c>
      <x:c r="L1633" s="11" t="n">
        <x:f>K1633*'管线假设'!E367*'管线假设'!F367*'管线假设'!G367*IF(E1633="USD",'管线假设'!I367,1)-AM1633</x:f>
        <x:v>0</x:v>
      </x:c>
      <x:c r="M1633" s="11" t="n">
        <x:f>'管线假设'!H367</x:f>
        <x:v>0.14</x:v>
      </x:c>
      <x:c r="N1633" s="11" t="n">
        <x:f>IF(G1633,L1633*AN1633/(1+M1633)^F1633,0)</x:f>
        <x:v>0</x:v>
      </x:c>
      <x:c r="AJ1633" t="n">
        <x:v>0</x:v>
      </x:c>
      <x:c r="AK1633" t="n">
        <x:v>0</x:v>
      </x:c>
      <x:c r="AL1633" t="n">
        <x:v>0</x:v>
      </x:c>
      <x:c r="AM1633" t="n">
        <x:f>CHOOSE('假设'!$B$3,AJ1633,AK1633,AL1633)</x:f>
        <x:v>0</x:v>
      </x:c>
      <x:c r="AN1633" t="n">
        <x:v>1</x:v>
      </x:c>
    </x:row>
    <x:row r="1634" ht="23" customHeight="1">
      <x:c r="A1634" s="11" t="str">
        <x:v>688302.SH</x:v>
      </x:c>
      <x:c r="B1634" s="11" t="str">
        <x:v>半年</x:v>
      </x:c>
      <x:c r="C1634" s="11" t="str">
        <x:v>hp515_obesity_global</x:v>
      </x:c>
      <x:c r="D1634" s="11" t="str">
        <x:v>2029-12-31</x:v>
      </x:c>
      <x:c r="E1634" s="11" t="str">
        <x:v>USD</x:v>
      </x:c>
      <x:c r="F1634" s="11" t="n">
        <x:v>2.729637234770705</x:v>
      </x:c>
      <x:c r="G1634" s="26" t="b">
        <x:v>1</x:v>
      </x:c>
      <x:c r="H1634" s="16" t="n">
        <x:v>0</x:v>
      </x:c>
      <x:c r="I1634" s="16" t="n">
        <x:v>0</x:v>
      </x:c>
      <x:c r="J1634" s="16" t="n">
        <x:v>0</x:v>
      </x:c>
      <x:c r="K1634" s="11" t="n">
        <x:f>CHOOSE('假设'!$B$3,H1634,I1634,J1634)</x:f>
        <x:v>0</x:v>
      </x:c>
      <x:c r="L1634" s="11" t="n">
        <x:f>K1634*'管线假设'!E367*'管线假设'!F367*'管线假设'!G367*IF(E1634="USD",'管线假设'!I367,1)-AM1634</x:f>
        <x:v>0</x:v>
      </x:c>
      <x:c r="M1634" s="11" t="n">
        <x:f>'管线假设'!H367</x:f>
        <x:v>0.14</x:v>
      </x:c>
      <x:c r="N1634" s="11" t="n">
        <x:f>IF(G1634,L1634*AN1634/(1+M1634)^F1634,0)</x:f>
        <x:v>0</x:v>
      </x:c>
      <x:c r="AJ1634" t="n">
        <x:v>0</x:v>
      </x:c>
      <x:c r="AK1634" t="n">
        <x:v>0</x:v>
      </x:c>
      <x:c r="AL1634" t="n">
        <x:v>0</x:v>
      </x:c>
      <x:c r="AM1634" t="n">
        <x:f>CHOOSE('假设'!$B$3,AJ1634,AK1634,AL1634)</x:f>
        <x:v>0</x:v>
      </x:c>
      <x:c r="AN1634" t="n">
        <x:v>1</x:v>
      </x:c>
    </x:row>
    <x:row r="1635" ht="23" customHeight="1">
      <x:c r="A1635" s="11" t="str">
        <x:v>688302.SH</x:v>
      </x:c>
      <x:c r="B1635" s="11" t="str">
        <x:v>半年</x:v>
      </x:c>
      <x:c r="C1635" s="11" t="str">
        <x:v>hp515_obesity_global</x:v>
      </x:c>
      <x:c r="D1635" s="11" t="str">
        <x:v>2030-12-31</x:v>
      </x:c>
      <x:c r="E1635" s="11" t="str">
        <x:v>USD</x:v>
      </x:c>
      <x:c r="F1635" s="11" t="n">
        <x:v>3.728952772073922</x:v>
      </x:c>
      <x:c r="G1635" s="26" t="b">
        <x:v>1</x:v>
      </x:c>
      <x:c r="H1635" s="16" t="n">
        <x:v>0</x:v>
      </x:c>
      <x:c r="I1635" s="16" t="n">
        <x:v>0</x:v>
      </x:c>
      <x:c r="J1635" s="16" t="n">
        <x:v>0</x:v>
      </x:c>
      <x:c r="K1635" s="11" t="n">
        <x:f>CHOOSE('假设'!$B$3,H1635,I1635,J1635)</x:f>
        <x:v>0</x:v>
      </x:c>
      <x:c r="L1635" s="11" t="n">
        <x:f>K1635*'管线假设'!E367*'管线假设'!F367*'管线假设'!G367*IF(E1635="USD",'管线假设'!I367,1)-AM1635</x:f>
        <x:v>0</x:v>
      </x:c>
      <x:c r="M1635" s="11" t="n">
        <x:f>'管线假设'!H367</x:f>
        <x:v>0.14</x:v>
      </x:c>
      <x:c r="N1635" s="11" t="n">
        <x:f>IF(G1635,L1635*AN1635/(1+M1635)^F1635,0)</x:f>
        <x:v>0</x:v>
      </x:c>
      <x:c r="AJ1635" t="n">
        <x:v>0</x:v>
      </x:c>
      <x:c r="AK1635" t="n">
        <x:v>0</x:v>
      </x:c>
      <x:c r="AL1635" t="n">
        <x:v>0</x:v>
      </x:c>
      <x:c r="AM1635" t="n">
        <x:f>CHOOSE('假设'!$B$3,AJ1635,AK1635,AL1635)</x:f>
        <x:v>0</x:v>
      </x:c>
      <x:c r="AN1635" t="n">
        <x:v>1</x:v>
      </x:c>
    </x:row>
    <x:row r="1636" ht="23" customHeight="1">
      <x:c r="A1636" s="11" t="str">
        <x:v>688302.SH</x:v>
      </x:c>
      <x:c r="B1636" s="11" t="str">
        <x:v>半年</x:v>
      </x:c>
      <x:c r="C1636" s="11" t="str">
        <x:v>hp515_obesity_global</x:v>
      </x:c>
      <x:c r="D1636" s="11" t="str">
        <x:v>2031-12-31</x:v>
      </x:c>
      <x:c r="E1636" s="11" t="str">
        <x:v>USD</x:v>
      </x:c>
      <x:c r="F1636" s="11" t="n">
        <x:v>4.728268309377139</x:v>
      </x:c>
      <x:c r="G1636" s="26" t="b">
        <x:v>1</x:v>
      </x:c>
      <x:c r="H1636" s="16" t="n">
        <x:v>0</x:v>
      </x:c>
      <x:c r="I1636" s="16" t="n">
        <x:v>0</x:v>
      </x:c>
      <x:c r="J1636" s="16" t="n">
        <x:v>0</x:v>
      </x:c>
      <x:c r="K1636" s="11" t="n">
        <x:f>CHOOSE('假设'!$B$3,H1636,I1636,J1636)</x:f>
        <x:v>0</x:v>
      </x:c>
      <x:c r="L1636" s="11" t="n">
        <x:f>K1636*'管线假设'!E367*'管线假设'!F367*'管线假设'!G367*IF(E1636="USD",'管线假设'!I367,1)-AM1636</x:f>
        <x:v>0</x:v>
      </x:c>
      <x:c r="M1636" s="11" t="n">
        <x:f>'管线假设'!H367</x:f>
        <x:v>0.14</x:v>
      </x:c>
      <x:c r="N1636" s="11" t="n">
        <x:f>IF(G1636,L1636*AN1636/(1+M1636)^F1636,0)</x:f>
        <x:v>0</x:v>
      </x:c>
      <x:c r="AJ1636" t="n">
        <x:v>0</x:v>
      </x:c>
      <x:c r="AK1636" t="n">
        <x:v>0</x:v>
      </x:c>
      <x:c r="AL1636" t="n">
        <x:v>0</x:v>
      </x:c>
      <x:c r="AM1636" t="n">
        <x:f>CHOOSE('假设'!$B$3,AJ1636,AK1636,AL1636)</x:f>
        <x:v>0</x:v>
      </x:c>
      <x:c r="AN1636" t="n">
        <x:v>1</x:v>
      </x:c>
    </x:row>
    <x:row r="1637" ht="23" customHeight="1">
      <x:c r="A1637" s="11" t="str">
        <x:v>688302.SH</x:v>
      </x:c>
      <x:c r="B1637" s="11" t="str">
        <x:v>半年</x:v>
      </x:c>
      <x:c r="C1637" s="11" t="str">
        <x:v>hp515_obesity_global</x:v>
      </x:c>
      <x:c r="D1637" s="11" t="str">
        <x:v>2032-12-31</x:v>
      </x:c>
      <x:c r="E1637" s="11" t="str">
        <x:v>USD</x:v>
      </x:c>
      <x:c r="F1637" s="11" t="n">
        <x:v>5.730321697467488</x:v>
      </x:c>
      <x:c r="G1637" s="26" t="b">
        <x:v>1</x:v>
      </x:c>
      <x:c r="H1637" s="16" t="n">
        <x:v>0</x:v>
      </x:c>
      <x:c r="I1637" s="16" t="n">
        <x:v>0</x:v>
      </x:c>
      <x:c r="J1637" s="16" t="n">
        <x:v>0</x:v>
      </x:c>
      <x:c r="K1637" s="11" t="n">
        <x:f>CHOOSE('假设'!$B$3,H1637,I1637,J1637)</x:f>
        <x:v>0</x:v>
      </x:c>
      <x:c r="L1637" s="11" t="n">
        <x:f>K1637*'管线假设'!E367*'管线假设'!F367*'管线假设'!G367*IF(E1637="USD",'管线假设'!I367,1)-AM1637</x:f>
        <x:v>0</x:v>
      </x:c>
      <x:c r="M1637" s="11" t="n">
        <x:f>'管线假设'!H367</x:f>
        <x:v>0.14</x:v>
      </x:c>
      <x:c r="N1637" s="11" t="n">
        <x:f>IF(G1637,L1637*AN1637/(1+M1637)^F1637,0)</x:f>
        <x:v>0</x:v>
      </x:c>
      <x:c r="AJ1637" t="n">
        <x:v>0</x:v>
      </x:c>
      <x:c r="AK1637" t="n">
        <x:v>0</x:v>
      </x:c>
      <x:c r="AL1637" t="n">
        <x:v>0</x:v>
      </x:c>
      <x:c r="AM1637" t="n">
        <x:f>CHOOSE('假设'!$B$3,AJ1637,AK1637,AL1637)</x:f>
        <x:v>0</x:v>
      </x:c>
      <x:c r="AN1637" t="n">
        <x:v>1</x:v>
      </x:c>
    </x:row>
    <x:row r="1638" ht="23" customHeight="1">
      <x:c r="A1638" s="11" t="str">
        <x:v>688302.SH</x:v>
      </x:c>
      <x:c r="B1638" s="11" t="str">
        <x:v>半年</x:v>
      </x:c>
      <x:c r="C1638" s="11" t="str">
        <x:v>hp515_obesity_global</x:v>
      </x:c>
      <x:c r="D1638" s="11" t="str">
        <x:v>2033-12-31</x:v>
      </x:c>
      <x:c r="E1638" s="11" t="str">
        <x:v>USD</x:v>
      </x:c>
      <x:c r="F1638" s="11" t="n">
        <x:v>6.729637234770705</x:v>
      </x:c>
      <x:c r="G1638" s="26" t="b">
        <x:v>1</x:v>
      </x:c>
      <x:c r="H1638" s="16" t="n">
        <x:v>0</x:v>
      </x:c>
      <x:c r="I1638" s="16" t="n">
        <x:v>0</x:v>
      </x:c>
      <x:c r="J1638" s="16" t="n">
        <x:v>0.6666666666666666</x:v>
      </x:c>
      <x:c r="K1638" s="11" t="n">
        <x:f>CHOOSE('假设'!$B$3,H1638,I1638,J1638)</x:f>
        <x:v>0</x:v>
      </x:c>
      <x:c r="L1638" s="11" t="n">
        <x:f>K1638*'管线假设'!E367*'管线假设'!F367*'管线假设'!G367*IF(E1638="USD",'管线假设'!I367,1)-AM1638</x:f>
        <x:v>0</x:v>
      </x:c>
      <x:c r="M1638" s="11" t="n">
        <x:f>'管线假设'!H367</x:f>
        <x:v>0.14</x:v>
      </x:c>
      <x:c r="N1638" s="11" t="n">
        <x:f>IF(G1638,L1638*AN1638/(1+M1638)^F1638,0)</x:f>
        <x:v>0</x:v>
      </x:c>
      <x:c r="AJ1638" t="n">
        <x:v>0</x:v>
      </x:c>
      <x:c r="AK1638" t="n">
        <x:v>0</x:v>
      </x:c>
      <x:c r="AL1638" t="n">
        <x:v>0</x:v>
      </x:c>
      <x:c r="AM1638" t="n">
        <x:f>CHOOSE('假设'!$B$3,AJ1638,AK1638,AL1638)</x:f>
        <x:v>0</x:v>
      </x:c>
      <x:c r="AN1638" t="n">
        <x:v>1</x:v>
      </x:c>
    </x:row>
    <x:row r="1639" ht="23" customHeight="1">
      <x:c r="A1639" s="11" t="str">
        <x:v>688302.SH</x:v>
      </x:c>
      <x:c r="B1639" s="11" t="str">
        <x:v>半年</x:v>
      </x:c>
      <x:c r="C1639" s="11" t="str">
        <x:v>hp515_obesity_global</x:v>
      </x:c>
      <x:c r="D1639" s="11" t="str">
        <x:v>2034-12-31</x:v>
      </x:c>
      <x:c r="E1639" s="11" t="str">
        <x:v>USD</x:v>
      </x:c>
      <x:c r="F1639" s="11" t="n">
        <x:v>7.728952772073922</x:v>
      </x:c>
      <x:c r="G1639" s="26" t="b">
        <x:v>1</x:v>
      </x:c>
      <x:c r="H1639" s="16" t="n">
        <x:v>0</x:v>
      </x:c>
      <x:c r="I1639" s="16" t="n">
        <x:v>0</x:v>
      </x:c>
      <x:c r="J1639" s="16" t="n">
        <x:v>1.3333333333333333</x:v>
      </x:c>
      <x:c r="K1639" s="11" t="n">
        <x:f>CHOOSE('假设'!$B$3,H1639,I1639,J1639)</x:f>
        <x:v>0</x:v>
      </x:c>
      <x:c r="L1639" s="11" t="n">
        <x:f>K1639*'管线假设'!E367*'管线假设'!F367*'管线假设'!G367*IF(E1639="USD",'管线假设'!I367,1)-AM1639</x:f>
        <x:v>0</x:v>
      </x:c>
      <x:c r="M1639" s="11" t="n">
        <x:f>'管线假设'!H367</x:f>
        <x:v>0.14</x:v>
      </x:c>
      <x:c r="N1639" s="11" t="n">
        <x:f>IF(G1639,L1639*AN1639/(1+M1639)^F1639,0)</x:f>
        <x:v>0</x:v>
      </x:c>
      <x:c r="AJ1639" t="n">
        <x:v>0</x:v>
      </x:c>
      <x:c r="AK1639" t="n">
        <x:v>0</x:v>
      </x:c>
      <x:c r="AL1639" t="n">
        <x:v>0</x:v>
      </x:c>
      <x:c r="AM1639" t="n">
        <x:f>CHOOSE('假设'!$B$3,AJ1639,AK1639,AL1639)</x:f>
        <x:v>0</x:v>
      </x:c>
      <x:c r="AN1639" t="n">
        <x:v>1</x:v>
      </x:c>
    </x:row>
    <x:row r="1640" ht="23" customHeight="1">
      <x:c r="A1640" s="11" t="str">
        <x:v>688302.SH</x:v>
      </x:c>
      <x:c r="B1640" s="11" t="str">
        <x:v>半年</x:v>
      </x:c>
      <x:c r="C1640" s="11" t="str">
        <x:v>hp515_obesity_global</x:v>
      </x:c>
      <x:c r="D1640" s="11" t="str">
        <x:v>2035-12-31</x:v>
      </x:c>
      <x:c r="E1640" s="11" t="str">
        <x:v>USD</x:v>
      </x:c>
      <x:c r="F1640" s="11" t="n">
        <x:v>8.728268309377139</x:v>
      </x:c>
      <x:c r="G1640" s="26" t="b">
        <x:v>1</x:v>
      </x:c>
      <x:c r="H1640" s="16" t="n">
        <x:v>0</x:v>
      </x:c>
      <x:c r="I1640" s="16" t="n">
        <x:v>0.3333333333333333</x:v>
      </x:c>
      <x:c r="J1640" s="16" t="n">
        <x:v>2</x:v>
      </x:c>
      <x:c r="K1640" s="11" t="n">
        <x:f>CHOOSE('假设'!$B$3,H1640,I1640,J1640)</x:f>
        <x:v>0.3333333333333333</x:v>
      </x:c>
      <x:c r="L1640" s="11" t="n">
        <x:f>K1640*'管线假设'!E367*'管线假设'!F367*'管线假设'!G367*IF(E1640="USD",'管线假设'!I367,1)-AM1640</x:f>
        <x:v>0.016207573333333333</x:v>
      </x:c>
      <x:c r="M1640" s="11" t="n">
        <x:f>'管线假设'!H367</x:f>
        <x:v>0.14</x:v>
      </x:c>
      <x:c r="N1640" s="11" t="n">
        <x:f>IF(G1640,L1640*AN1640/(1+M1640)^F1640,0)</x:f>
        <x:v>0.005164605872570219</x:v>
      </x:c>
      <x:c r="AJ1640" t="n">
        <x:v>0</x:v>
      </x:c>
      <x:c r="AK1640" t="n">
        <x:v>0</x:v>
      </x:c>
      <x:c r="AL1640" t="n">
        <x:v>0</x:v>
      </x:c>
      <x:c r="AM1640" t="n">
        <x:f>CHOOSE('假设'!$B$3,AJ1640,AK1640,AL1640)</x:f>
        <x:v>0</x:v>
      </x:c>
      <x:c r="AN1640" t="n">
        <x:v>1</x:v>
      </x:c>
    </x:row>
    <x:row r="1641" ht="23" customHeight="1">
      <x:c r="A1641" s="11" t="str">
        <x:v>688302.SH</x:v>
      </x:c>
      <x:c r="B1641" s="11" t="str">
        <x:v>半年</x:v>
      </x:c>
      <x:c r="C1641" s="11" t="str">
        <x:v>hp515_obesity_global</x:v>
      </x:c>
      <x:c r="D1641" s="11" t="str">
        <x:v>2036-12-31</x:v>
      </x:c>
      <x:c r="E1641" s="11" t="str">
        <x:v>USD</x:v>
      </x:c>
      <x:c r="F1641" s="11" t="n">
        <x:v>9.730321697467488</x:v>
      </x:c>
      <x:c r="G1641" s="26" t="b">
        <x:v>1</x:v>
      </x:c>
      <x:c r="H1641" s="16" t="n">
        <x:v>0</x:v>
      </x:c>
      <x:c r="I1641" s="16" t="n">
        <x:v>0.6666666666666666</x:v>
      </x:c>
      <x:c r="J1641" s="16" t="n">
        <x:v>2.6666666666666665</x:v>
      </x:c>
      <x:c r="K1641" s="11" t="n">
        <x:f>CHOOSE('假设'!$B$3,H1641,I1641,J1641)</x:f>
        <x:v>0.6666666666666666</x:v>
      </x:c>
      <x:c r="L1641" s="11" t="n">
        <x:f>K1641*'管线假设'!E367*'管线假设'!F367*'管线假设'!G367*IF(E1641="USD",'管线假设'!I367,1)-AM1641</x:f>
        <x:v>0.032415146666666665</x:v>
      </x:c>
      <x:c r="M1641" s="11" t="n">
        <x:f>'管线假设'!H367</x:f>
        <x:v>0.14</x:v>
      </x:c>
      <x:c r="N1641" s="11" t="n">
        <x:f>IF(G1641,L1641*AN1641/(1+M1641)^F1641,0)</x:f>
        <x:v>0.009058274583504423</x:v>
      </x:c>
      <x:c r="AJ1641" t="n">
        <x:v>0</x:v>
      </x:c>
      <x:c r="AK1641" t="n">
        <x:v>0</x:v>
      </x:c>
      <x:c r="AL1641" t="n">
        <x:v>0</x:v>
      </x:c>
      <x:c r="AM1641" t="n">
        <x:f>CHOOSE('假设'!$B$3,AJ1641,AK1641,AL1641)</x:f>
        <x:v>0</x:v>
      </x:c>
      <x:c r="AN1641" t="n">
        <x:v>1</x:v>
      </x:c>
    </x:row>
    <x:row r="1642" ht="23" customHeight="1">
      <x:c r="A1642" s="11" t="str">
        <x:v>688302.SH</x:v>
      </x:c>
      <x:c r="B1642" s="11" t="str">
        <x:v>半年</x:v>
      </x:c>
      <x:c r="C1642" s="11" t="str">
        <x:v>hp515_obesity_global</x:v>
      </x:c>
      <x:c r="D1642" s="11" t="str">
        <x:v>2037-12-31</x:v>
      </x:c>
      <x:c r="E1642" s="11" t="str">
        <x:v>USD</x:v>
      </x:c>
      <x:c r="F1642" s="11" t="n">
        <x:v>10.729637234770705</x:v>
      </x:c>
      <x:c r="G1642" s="26" t="b">
        <x:v>1</x:v>
      </x:c>
      <x:c r="H1642" s="16" t="n">
        <x:v>0</x:v>
      </x:c>
      <x:c r="I1642" s="16" t="n">
        <x:v>1</x:v>
      </x:c>
      <x:c r="J1642" s="16" t="n">
        <x:v>3.3333333333333335</x:v>
      </x:c>
      <x:c r="K1642" s="11" t="n">
        <x:f>CHOOSE('假设'!$B$3,H1642,I1642,J1642)</x:f>
        <x:v>1</x:v>
      </x:c>
      <x:c r="L1642" s="11" t="n">
        <x:f>K1642*'管线假设'!E367*'管线假设'!F367*'管线假设'!G367*IF(E1642="USD",'管线假设'!I367,1)-AM1642</x:f>
        <x:v>0.048622719999999994</x:v>
      </x:c>
      <x:c r="M1642" s="11" t="n">
        <x:f>'管线假设'!H367</x:f>
        <x:v>0.14</x:v>
      </x:c>
      <x:c r="N1642" s="11" t="n">
        <x:f>IF(G1642,L1642*AN1642/(1+M1642)^F1642,0)</x:f>
        <x:v>0.011919851318223929</x:v>
      </x:c>
      <x:c r="AJ1642" t="n">
        <x:v>0</x:v>
      </x:c>
      <x:c r="AK1642" t="n">
        <x:v>0</x:v>
      </x:c>
      <x:c r="AL1642" t="n">
        <x:v>0</x:v>
      </x:c>
      <x:c r="AM1642" t="n">
        <x:f>CHOOSE('假设'!$B$3,AJ1642,AK1642,AL1642)</x:f>
        <x:v>0</x:v>
      </x:c>
      <x:c r="AN1642" t="n">
        <x:v>1</x:v>
      </x:c>
    </x:row>
    <x:row r="1643" ht="23" customHeight="1">
      <x:c r="A1643" s="11" t="str">
        <x:v>688302.SH</x:v>
      </x:c>
      <x:c r="B1643" s="11" t="str">
        <x:v>半年</x:v>
      </x:c>
      <x:c r="C1643" s="11" t="str">
        <x:v>hp515_obesity_global</x:v>
      </x:c>
      <x:c r="D1643" s="11" t="str">
        <x:v>2038-12-31</x:v>
      </x:c>
      <x:c r="E1643" s="11" t="str">
        <x:v>USD</x:v>
      </x:c>
      <x:c r="F1643" s="11" t="n">
        <x:v>11.728952772073923</x:v>
      </x:c>
      <x:c r="G1643" s="26" t="b">
        <x:v>1</x:v>
      </x:c>
      <x:c r="H1643" s="16" t="n">
        <x:v>0.1</x:v>
      </x:c>
      <x:c r="I1643" s="16" t="n">
        <x:v>1.3333333333333333</x:v>
      </x:c>
      <x:c r="J1643" s="16" t="n">
        <x:v>4</x:v>
      </x:c>
      <x:c r="K1643" s="11" t="n">
        <x:f>CHOOSE('假设'!$B$3,H1643,I1643,J1643)</x:f>
        <x:v>1.3333333333333333</x:v>
      </x:c>
      <x:c r="L1643" s="11" t="n">
        <x:f>K1643*'管线假设'!E367*'管线假设'!F367*'管线假设'!G367*IF(E1643="USD",'管线假设'!I367,1)-AM1643</x:f>
        <x:v>0.06483029333333333</x:v>
      </x:c>
      <x:c r="M1643" s="11" t="n">
        <x:f>'管线假设'!H367</x:f>
        <x:v>0.14</x:v>
      </x:c>
      <x:c r="N1643" s="11" t="n">
        <x:f>IF(G1643,L1643*AN1643/(1+M1643)^F1643,0)</x:f>
        <x:v>0.013942596942228548</x:v>
      </x:c>
      <x:c r="AJ1643" t="n">
        <x:v>0</x:v>
      </x:c>
      <x:c r="AK1643" t="n">
        <x:v>0</x:v>
      </x:c>
      <x:c r="AL1643" t="n">
        <x:v>0</x:v>
      </x:c>
      <x:c r="AM1643" t="n">
        <x:f>CHOOSE('假设'!$B$3,AJ1643,AK1643,AL1643)</x:f>
        <x:v>0</x:v>
      </x:c>
      <x:c r="AN1643" t="n">
        <x:v>1</x:v>
      </x:c>
    </x:row>
    <x:row r="1644" ht="23" customHeight="1">
      <x:c r="A1644" s="11" t="str">
        <x:v>688302.SH</x:v>
      </x:c>
      <x:c r="B1644" s="11" t="str">
        <x:v>半年</x:v>
      </x:c>
      <x:c r="C1644" s="11" t="str">
        <x:v>hp515_obesity_global</x:v>
      </x:c>
      <x:c r="D1644" s="11" t="str">
        <x:v>2039-12-31</x:v>
      </x:c>
      <x:c r="E1644" s="11" t="str">
        <x:v>USD</x:v>
      </x:c>
      <x:c r="F1644" s="11" t="n">
        <x:v>12.728268309377139</x:v>
      </x:c>
      <x:c r="G1644" s="26" t="b">
        <x:v>1</x:v>
      </x:c>
      <x:c r="H1644" s="16" t="n">
        <x:v>0.2</x:v>
      </x:c>
      <x:c r="I1644" s="16" t="n">
        <x:v>1.6666666666666667</x:v>
      </x:c>
      <x:c r="J1644" s="16" t="n">
        <x:v>3.48</x:v>
      </x:c>
      <x:c r="K1644" s="11" t="n">
        <x:f>CHOOSE('假设'!$B$3,H1644,I1644,J1644)</x:f>
        <x:v>1.6666666666666667</x:v>
      </x:c>
      <x:c r="L1644" s="11" t="n">
        <x:f>K1644*'管线假设'!E367*'管线假设'!F367*'管线假设'!G367*IF(E1644="USD",'管线假设'!I367,1)-AM1644</x:f>
        <x:v>0.08103786666666667</x:v>
      </x:c>
      <x:c r="M1644" s="11" t="n">
        <x:f>'管线假设'!H367</x:f>
        <x:v>0.14</x:v>
      </x:c>
      <x:c r="N1644" s="11" t="n">
        <x:f>IF(G1644,L1644*AN1644/(1+M1644)^F1644,0)</x:f>
        <x:v>0.015289306387695423</x:v>
      </x:c>
      <x:c r="AJ1644" t="n">
        <x:v>0</x:v>
      </x:c>
      <x:c r="AK1644" t="n">
        <x:v>0</x:v>
      </x:c>
      <x:c r="AL1644" t="n">
        <x:v>0</x:v>
      </x:c>
      <x:c r="AM1644" t="n">
        <x:f>CHOOSE('假设'!$B$3,AJ1644,AK1644,AL1644)</x:f>
        <x:v>0</x:v>
      </x:c>
      <x:c r="AN1644" t="n">
        <x:v>1</x:v>
      </x:c>
    </x:row>
    <x:row r="1645" ht="23" customHeight="1">
      <x:c r="A1645" s="11" t="str">
        <x:v>688302.SH</x:v>
      </x:c>
      <x:c r="B1645" s="11" t="str">
        <x:v>半年</x:v>
      </x:c>
      <x:c r="C1645" s="11" t="str">
        <x:v>hp515_obesity_global</x:v>
      </x:c>
      <x:c r="D1645" s="11" t="str">
        <x:v>2040-12-31</x:v>
      </x:c>
      <x:c r="E1645" s="11" t="str">
        <x:v>USD</x:v>
      </x:c>
      <x:c r="F1645" s="11" t="n">
        <x:v>13.730321697467488</x:v>
      </x:c>
      <x:c r="G1645" s="26" t="b">
        <x:v>1</x:v>
      </x:c>
      <x:c r="H1645" s="16" t="n">
        <x:v>0.3</x:v>
      </x:c>
      <x:c r="I1645" s="16" t="n">
        <x:v>2</x:v>
      </x:c>
      <x:c r="J1645" s="16" t="n">
        <x:v>2.96</x:v>
      </x:c>
      <x:c r="K1645" s="11" t="n">
        <x:f>CHOOSE('假设'!$B$3,H1645,I1645,J1645)</x:f>
        <x:v>2</x:v>
      </x:c>
      <x:c r="L1645" s="11" t="n">
        <x:f>K1645*'管线假设'!E367*'管线假设'!F367*'管线假设'!G367*IF(E1645="USD",'管线假设'!I367,1)-AM1645</x:f>
        <x:v>0.09724543999999999</x:v>
      </x:c>
      <x:c r="M1645" s="11" t="n">
        <x:f>'管线假设'!H367</x:f>
        <x:v>0.14</x:v>
      </x:c>
      <x:c r="N1645" s="11" t="n">
        <x:f>IF(G1645,L1645*AN1645/(1+M1645)^F1645,0)</x:f>
        <x:v>0.016089677183689907</x:v>
      </x:c>
      <x:c r="AJ1645" t="n">
        <x:v>0</x:v>
      </x:c>
      <x:c r="AK1645" t="n">
        <x:v>0</x:v>
      </x:c>
      <x:c r="AL1645" t="n">
        <x:v>0</x:v>
      </x:c>
      <x:c r="AM1645" t="n">
        <x:f>CHOOSE('假设'!$B$3,AJ1645,AK1645,AL1645)</x:f>
        <x:v>0</x:v>
      </x:c>
      <x:c r="AN1645" t="n">
        <x:v>1</x:v>
      </x:c>
    </x:row>
    <x:row r="1646" ht="23" customHeight="1">
      <x:c r="A1646" s="11" t="str">
        <x:v>688302.SH</x:v>
      </x:c>
      <x:c r="B1646" s="11" t="str">
        <x:v>半年</x:v>
      </x:c>
      <x:c r="C1646" s="11" t="str">
        <x:v>hp515_obesity_global</x:v>
      </x:c>
      <x:c r="D1646" s="11" t="str">
        <x:v>2041-12-31</x:v>
      </x:c>
      <x:c r="E1646" s="11" t="str">
        <x:v>USD</x:v>
      </x:c>
      <x:c r="F1646" s="11" t="n">
        <x:v>14.729637234770705</x:v>
      </x:c>
      <x:c r="G1646" s="26" t="b">
        <x:v>1</x:v>
      </x:c>
      <x:c r="H1646" s="16" t="n">
        <x:v>0.4</x:v>
      </x:c>
      <x:c r="I1646" s="16" t="n">
        <x:v>1.74</x:v>
      </x:c>
      <x:c r="J1646" s="16" t="n">
        <x:v>2.44</x:v>
      </x:c>
      <x:c r="K1646" s="11" t="n">
        <x:f>CHOOSE('假设'!$B$3,H1646,I1646,J1646)</x:f>
        <x:v>1.74</x:v>
      </x:c>
      <x:c r="L1646" s="11" t="n">
        <x:f>K1646*'管线假设'!E367*'管线假设'!F367*'管线假设'!G367*IF(E1646="USD",'管线假设'!I367,1)-AM1646</x:f>
        <x:v>0.08460353279999999</x:v>
      </x:c>
      <x:c r="M1646" s="11" t="n">
        <x:f>'管线假设'!H367</x:f>
        <x:v>0.14</x:v>
      </x:c>
      <x:c r="N1646" s="11" t="n">
        <x:f>IF(G1646,L1646*AN1646/(1+M1646)^F1646,0)</x:f>
        <x:v>0.012280065441987472</x:v>
      </x:c>
      <x:c r="AJ1646" t="n">
        <x:v>0</x:v>
      </x:c>
      <x:c r="AK1646" t="n">
        <x:v>0</x:v>
      </x:c>
      <x:c r="AL1646" t="n">
        <x:v>0</x:v>
      </x:c>
      <x:c r="AM1646" t="n">
        <x:f>CHOOSE('假设'!$B$3,AJ1646,AK1646,AL1646)</x:f>
        <x:v>0</x:v>
      </x:c>
      <x:c r="AN1646" t="n">
        <x:v>1</x:v>
      </x:c>
    </x:row>
    <x:row r="1647" ht="23" customHeight="1">
      <x:c r="A1647" s="11" t="str">
        <x:v>688302.SH</x:v>
      </x:c>
      <x:c r="B1647" s="11" t="str">
        <x:v>半年</x:v>
      </x:c>
      <x:c r="C1647" s="11" t="str">
        <x:v>hp515_obesity_global</x:v>
      </x:c>
      <x:c r="D1647" s="11" t="str">
        <x:v>2042-12-31</x:v>
      </x:c>
      <x:c r="E1647" s="11" t="str">
        <x:v>USD</x:v>
      </x:c>
      <x:c r="F1647" s="11" t="n">
        <x:v>15.728952772073923</x:v>
      </x:c>
      <x:c r="G1647" s="26" t="b">
        <x:v>1</x:v>
      </x:c>
      <x:c r="H1647" s="16" t="n">
        <x:v>0.5</x:v>
      </x:c>
      <x:c r="I1647" s="16" t="n">
        <x:v>1.48</x:v>
      </x:c>
      <x:c r="J1647" s="16" t="n">
        <x:v>1.92</x:v>
      </x:c>
      <x:c r="K1647" s="11" t="n">
        <x:f>CHOOSE('假设'!$B$3,H1647,I1647,J1647)</x:f>
        <x:v>1.48</x:v>
      </x:c>
      <x:c r="L1647" s="11" t="n">
        <x:f>K1647*'管线假设'!E367*'管线假设'!F367*'管线假设'!G367*IF(E1647="USD",'管线假设'!I367,1)-AM1647</x:f>
        <x:v>0.07196162559999998</x:v>
      </x:c>
      <x:c r="M1647" s="11" t="n">
        <x:f>'管线假设'!H367</x:f>
        <x:v>0.14</x:v>
      </x:c>
      <x:c r="N1647" s="11" t="n">
        <x:f>IF(G1647,L1647*AN1647/(1+M1647)^F1647,0)</x:f>
        <x:v>0.00916320169794513</x:v>
      </x:c>
      <x:c r="AJ1647" t="n">
        <x:v>0</x:v>
      </x:c>
      <x:c r="AK1647" t="n">
        <x:v>0</x:v>
      </x:c>
      <x:c r="AL1647" t="n">
        <x:v>0</x:v>
      </x:c>
      <x:c r="AM1647" t="n">
        <x:f>CHOOSE('假设'!$B$3,AJ1647,AK1647,AL1647)</x:f>
        <x:v>0</x:v>
      </x:c>
      <x:c r="AN1647" t="n">
        <x:v>1</x:v>
      </x:c>
    </x:row>
    <x:row r="1648" ht="23" customHeight="1">
      <x:c r="A1648" s="11" t="str">
        <x:v>688302.SH</x:v>
      </x:c>
      <x:c r="B1648" s="11" t="str">
        <x:v>半年</x:v>
      </x:c>
      <x:c r="C1648" s="11" t="str">
        <x:v>hp515_obesity_global</x:v>
      </x:c>
      <x:c r="D1648" s="11" t="str">
        <x:v>2043-12-31</x:v>
      </x:c>
      <x:c r="E1648" s="11" t="str">
        <x:v>USD</x:v>
      </x:c>
      <x:c r="F1648" s="11" t="n">
        <x:v>16.72826830937714</x:v>
      </x:c>
      <x:c r="G1648" s="26" t="b">
        <x:v>1</x:v>
      </x:c>
      <x:c r="H1648" s="16" t="n">
        <x:v>0.435</x:v>
      </x:c>
      <x:c r="I1648" s="16" t="n">
        <x:v>1.22</x:v>
      </x:c>
      <x:c r="J1648" s="16" t="n">
        <x:v>1.4</x:v>
      </x:c>
      <x:c r="K1648" s="11" t="n">
        <x:f>CHOOSE('假设'!$B$3,H1648,I1648,J1648)</x:f>
        <x:v>1.22</x:v>
      </x:c>
      <x:c r="L1648" s="11" t="n">
        <x:f>K1648*'管线假设'!E367*'管线假设'!F367*'管线假设'!G367*IF(E1648="USD",'管线假设'!I367,1)-AM1648</x:f>
        <x:v>0.0593197184</x:v>
      </x:c>
      <x:c r="M1648" s="11" t="n">
        <x:f>'管线假设'!H367</x:f>
        <x:v>0.14</x:v>
      </x:c>
      <x:c r="N1648" s="11" t="n">
        <x:f>IF(G1648,L1648*AN1648/(1+M1648)^F1648,0)</x:f>
        <x:v>0.006626427633315546</x:v>
      </x:c>
      <x:c r="AJ1648" t="n">
        <x:v>0</x:v>
      </x:c>
      <x:c r="AK1648" t="n">
        <x:v>0</x:v>
      </x:c>
      <x:c r="AL1648" t="n">
        <x:v>0</x:v>
      </x:c>
      <x:c r="AM1648" t="n">
        <x:f>CHOOSE('假设'!$B$3,AJ1648,AK1648,AL1648)</x:f>
        <x:v>0</x:v>
      </x:c>
      <x:c r="AN1648" t="n">
        <x:v>1</x:v>
      </x:c>
    </x:row>
    <x:row r="1649" ht="23" customHeight="1">
      <x:c r="A1649" s="11" t="str">
        <x:v>688302.SH</x:v>
      </x:c>
      <x:c r="B1649" s="11" t="str">
        <x:v>半年</x:v>
      </x:c>
      <x:c r="C1649" s="11" t="str">
        <x:v>hp515_obesity_global</x:v>
      </x:c>
      <x:c r="D1649" s="11" t="str">
        <x:v>2044-12-31</x:v>
      </x:c>
      <x:c r="E1649" s="11" t="str">
        <x:v>USD</x:v>
      </x:c>
      <x:c r="F1649" s="11" t="n">
        <x:v>17.730321697467488</x:v>
      </x:c>
      <x:c r="G1649" s="26" t="b">
        <x:v>1</x:v>
      </x:c>
      <x:c r="H1649" s="16" t="n">
        <x:v>0.37</x:v>
      </x:c>
      <x:c r="I1649" s="16" t="n">
        <x:v>0.96</x:v>
      </x:c>
      <x:c r="J1649" s="16" t="n">
        <x:v>0.8799999999999999</x:v>
      </x:c>
      <x:c r="K1649" s="11" t="n">
        <x:f>CHOOSE('假设'!$B$3,H1649,I1649,J1649)</x:f>
        <x:v>0.96</x:v>
      </x:c>
      <x:c r="L1649" s="11" t="n">
        <x:f>K1649*'管线假设'!E367*'管线假设'!F367*'管线假设'!G367*IF(E1649="USD",'管线假设'!I367,1)-AM1649</x:f>
        <x:v>0.046677811199999995</x:v>
      </x:c>
      <x:c r="M1649" s="11" t="n">
        <x:f>'管线假设'!H367</x:f>
        <x:v>0.14</x:v>
      </x:c>
      <x:c r="N1649" s="11" t="n">
        <x:f>IF(G1649,L1649*AN1649/(1+M1649)^F1649,0)</x:f>
        <x:v>0.004572662654263646</x:v>
      </x:c>
      <x:c r="AJ1649" t="n">
        <x:v>0</x:v>
      </x:c>
      <x:c r="AK1649" t="n">
        <x:v>0</x:v>
      </x:c>
      <x:c r="AL1649" t="n">
        <x:v>0</x:v>
      </x:c>
      <x:c r="AM1649" t="n">
        <x:f>CHOOSE('假设'!$B$3,AJ1649,AK1649,AL1649)</x:f>
        <x:v>0</x:v>
      </x:c>
      <x:c r="AN1649" t="n">
        <x:v>1</x:v>
      </x:c>
    </x:row>
    <x:row r="1650" ht="23" customHeight="1">
      <x:c r="A1650" s="11" t="str">
        <x:v>688302.SH</x:v>
      </x:c>
      <x:c r="B1650" s="11" t="str">
        <x:v>半年</x:v>
      </x:c>
      <x:c r="C1650" s="11" t="str">
        <x:v>hp515_obesity_global</x:v>
      </x:c>
      <x:c r="D1650" s="11" t="str">
        <x:v>2045-12-31</x:v>
      </x:c>
      <x:c r="E1650" s="11" t="str">
        <x:v>USD</x:v>
      </x:c>
      <x:c r="F1650" s="11" t="n">
        <x:v>18.729637234770706</x:v>
      </x:c>
      <x:c r="G1650" s="26" t="b">
        <x:v>1</x:v>
      </x:c>
      <x:c r="H1650" s="16" t="n">
        <x:v>0.305</x:v>
      </x:c>
      <x:c r="I1650" s="16" t="n">
        <x:v>0.7</x:v>
      </x:c>
      <x:c r="J1650" s="16" t="n">
        <x:v>0.3599999999999999</x:v>
      </x:c>
      <x:c r="K1650" s="11" t="n">
        <x:f>CHOOSE('假设'!$B$3,H1650,I1650,J1650)</x:f>
        <x:v>0.7</x:v>
      </x:c>
      <x:c r="L1650" s="11" t="n">
        <x:f>K1650*'管线假设'!E367*'管线假设'!F367*'管线假设'!G367*IF(E1650="USD",'管线假设'!I367,1)-AM1650</x:f>
        <x:v>0.03403590399999999</x:v>
      </x:c>
      <x:c r="M1650" s="11" t="n">
        <x:f>'管线假设'!H367</x:f>
        <x:v>0.14</x:v>
      </x:c>
      <x:c r="N1650" s="11" t="n">
        <x:f>IF(G1650,L1650*AN1650/(1+M1650)^F1650,0)</x:f>
        <x:v>0.00292502826845472</x:v>
      </x:c>
      <x:c r="AJ1650" t="n">
        <x:v>0</x:v>
      </x:c>
      <x:c r="AK1650" t="n">
        <x:v>0</x:v>
      </x:c>
      <x:c r="AL1650" t="n">
        <x:v>0</x:v>
      </x:c>
      <x:c r="AM1650" t="n">
        <x:f>CHOOSE('假设'!$B$3,AJ1650,AK1650,AL1650)</x:f>
        <x:v>0</x:v>
      </x:c>
      <x:c r="AN1650" t="n">
        <x:v>1</x:v>
      </x:c>
    </x:row>
    <x:row r="1651" ht="23" customHeight="1">
      <x:c r="A1651" s="11" t="str">
        <x:v>688302.SH</x:v>
      </x:c>
      <x:c r="B1651" s="11" t="str">
        <x:v>半年</x:v>
      </x:c>
      <x:c r="C1651" s="11" t="str">
        <x:v>hp570_global</x:v>
      </x:c>
      <x:c r="D1651" s="11" t="str">
        <x:v>2027-12-31</x:v>
      </x:c>
      <x:c r="E1651" s="11" t="str">
        <x:v>USD</x:v>
      </x:c>
      <x:c r="F1651" s="11" t="n">
        <x:v>0.7282683093771389</x:v>
      </x:c>
      <x:c r="G1651" s="26" t="b">
        <x:v>1</x:v>
      </x:c>
      <x:c r="H1651" s="16" t="n">
        <x:v>0</x:v>
      </x:c>
      <x:c r="I1651" s="16" t="n">
        <x:v>0</x:v>
      </x:c>
      <x:c r="J1651" s="16" t="n">
        <x:v>0</x:v>
      </x:c>
      <x:c r="K1651" s="11" t="n">
        <x:f>CHOOSE('假设'!$B$3,H1651,I1651,J1651)</x:f>
        <x:v>0</x:v>
      </x:c>
      <x:c r="L1651" s="11" t="n">
        <x:f>K1651*'管线假设'!E371*'管线假设'!F371*'管线假设'!G371*IF(E1651="USD",'管线假设'!I371,1)-AM1651</x:f>
        <x:v>0</x:v>
      </x:c>
      <x:c r="M1651" s="11" t="n">
        <x:f>'管线假设'!H371</x:f>
        <x:v>0.14</x:v>
      </x:c>
      <x:c r="N1651" s="11" t="n">
        <x:f>IF(G1651,L1651*AN1651/(1+M1651)^F1651,0)</x:f>
        <x:v>0</x:v>
      </x:c>
      <x:c r="AJ1651" t="n">
        <x:v>0</x:v>
      </x:c>
      <x:c r="AK1651" t="n">
        <x:v>0</x:v>
      </x:c>
      <x:c r="AL1651" t="n">
        <x:v>0</x:v>
      </x:c>
      <x:c r="AM1651" t="n">
        <x:f>CHOOSE('假设'!$B$3,AJ1651,AK1651,AL1651)</x:f>
        <x:v>0</x:v>
      </x:c>
      <x:c r="AN1651" t="n">
        <x:v>1</x:v>
      </x:c>
    </x:row>
    <x:row r="1652" ht="23" customHeight="1">
      <x:c r="A1652" s="11" t="str">
        <x:v>688302.SH</x:v>
      </x:c>
      <x:c r="B1652" s="11" t="str">
        <x:v>半年</x:v>
      </x:c>
      <x:c r="C1652" s="11" t="str">
        <x:v>hp570_global</x:v>
      </x:c>
      <x:c r="D1652" s="11" t="str">
        <x:v>2028-12-31</x:v>
      </x:c>
      <x:c r="E1652" s="11" t="str">
        <x:v>USD</x:v>
      </x:c>
      <x:c r="F1652" s="11" t="n">
        <x:v>1.730321697467488</x:v>
      </x:c>
      <x:c r="G1652" s="26" t="b">
        <x:v>1</x:v>
      </x:c>
      <x:c r="H1652" s="16" t="n">
        <x:v>0</x:v>
      </x:c>
      <x:c r="I1652" s="16" t="n">
        <x:v>0</x:v>
      </x:c>
      <x:c r="J1652" s="16" t="n">
        <x:v>0</x:v>
      </x:c>
      <x:c r="K1652" s="11" t="n">
        <x:f>CHOOSE('假设'!$B$3,H1652,I1652,J1652)</x:f>
        <x:v>0</x:v>
      </x:c>
      <x:c r="L1652" s="11" t="n">
        <x:f>K1652*'管线假设'!E371*'管线假设'!F371*'管线假设'!G371*IF(E1652="USD",'管线假设'!I371,1)-AM1652</x:f>
        <x:v>0</x:v>
      </x:c>
      <x:c r="M1652" s="11" t="n">
        <x:f>'管线假设'!H371</x:f>
        <x:v>0.14</x:v>
      </x:c>
      <x:c r="N1652" s="11" t="n">
        <x:f>IF(G1652,L1652*AN1652/(1+M1652)^F1652,0)</x:f>
        <x:v>0</x:v>
      </x:c>
      <x:c r="AJ1652" t="n">
        <x:v>0</x:v>
      </x:c>
      <x:c r="AK1652" t="n">
        <x:v>0</x:v>
      </x:c>
      <x:c r="AL1652" t="n">
        <x:v>0</x:v>
      </x:c>
      <x:c r="AM1652" t="n">
        <x:f>CHOOSE('假设'!$B$3,AJ1652,AK1652,AL1652)</x:f>
        <x:v>0</x:v>
      </x:c>
      <x:c r="AN1652" t="n">
        <x:v>1</x:v>
      </x:c>
    </x:row>
    <x:row r="1653" ht="23" customHeight="1">
      <x:c r="A1653" s="11" t="str">
        <x:v>688302.SH</x:v>
      </x:c>
      <x:c r="B1653" s="11" t="str">
        <x:v>半年</x:v>
      </x:c>
      <x:c r="C1653" s="11" t="str">
        <x:v>hp570_global</x:v>
      </x:c>
      <x:c r="D1653" s="11" t="str">
        <x:v>2029-12-31</x:v>
      </x:c>
      <x:c r="E1653" s="11" t="str">
        <x:v>USD</x:v>
      </x:c>
      <x:c r="F1653" s="11" t="n">
        <x:v>2.729637234770705</x:v>
      </x:c>
      <x:c r="G1653" s="26" t="b">
        <x:v>1</x:v>
      </x:c>
      <x:c r="H1653" s="16" t="n">
        <x:v>0</x:v>
      </x:c>
      <x:c r="I1653" s="16" t="n">
        <x:v>0</x:v>
      </x:c>
      <x:c r="J1653" s="16" t="n">
        <x:v>0</x:v>
      </x:c>
      <x:c r="K1653" s="11" t="n">
        <x:f>CHOOSE('假设'!$B$3,H1653,I1653,J1653)</x:f>
        <x:v>0</x:v>
      </x:c>
      <x:c r="L1653" s="11" t="n">
        <x:f>K1653*'管线假设'!E371*'管线假设'!F371*'管线假设'!G371*IF(E1653="USD",'管线假设'!I371,1)-AM1653</x:f>
        <x:v>0</x:v>
      </x:c>
      <x:c r="M1653" s="11" t="n">
        <x:f>'管线假设'!H371</x:f>
        <x:v>0.14</x:v>
      </x:c>
      <x:c r="N1653" s="11" t="n">
        <x:f>IF(G1653,L1653*AN1653/(1+M1653)^F1653,0)</x:f>
        <x:v>0</x:v>
      </x:c>
      <x:c r="AJ1653" t="n">
        <x:v>0</x:v>
      </x:c>
      <x:c r="AK1653" t="n">
        <x:v>0</x:v>
      </x:c>
      <x:c r="AL1653" t="n">
        <x:v>0</x:v>
      </x:c>
      <x:c r="AM1653" t="n">
        <x:f>CHOOSE('假设'!$B$3,AJ1653,AK1653,AL1653)</x:f>
        <x:v>0</x:v>
      </x:c>
      <x:c r="AN1653" t="n">
        <x:v>1</x:v>
      </x:c>
    </x:row>
    <x:row r="1654" ht="23" customHeight="1">
      <x:c r="A1654" s="11" t="str">
        <x:v>688302.SH</x:v>
      </x:c>
      <x:c r="B1654" s="11" t="str">
        <x:v>半年</x:v>
      </x:c>
      <x:c r="C1654" s="11" t="str">
        <x:v>hp570_global</x:v>
      </x:c>
      <x:c r="D1654" s="11" t="str">
        <x:v>2030-12-31</x:v>
      </x:c>
      <x:c r="E1654" s="11" t="str">
        <x:v>USD</x:v>
      </x:c>
      <x:c r="F1654" s="11" t="n">
        <x:v>3.728952772073922</x:v>
      </x:c>
      <x:c r="G1654" s="26" t="b">
        <x:v>1</x:v>
      </x:c>
      <x:c r="H1654" s="16" t="n">
        <x:v>0</x:v>
      </x:c>
      <x:c r="I1654" s="16" t="n">
        <x:v>0</x:v>
      </x:c>
      <x:c r="J1654" s="16" t="n">
        <x:v>0</x:v>
      </x:c>
      <x:c r="K1654" s="11" t="n">
        <x:f>CHOOSE('假设'!$B$3,H1654,I1654,J1654)</x:f>
        <x:v>0</x:v>
      </x:c>
      <x:c r="L1654" s="11" t="n">
        <x:f>K1654*'管线假设'!E371*'管线假设'!F371*'管线假设'!G371*IF(E1654="USD",'管线假设'!I371,1)-AM1654</x:f>
        <x:v>0</x:v>
      </x:c>
      <x:c r="M1654" s="11" t="n">
        <x:f>'管线假设'!H371</x:f>
        <x:v>0.14</x:v>
      </x:c>
      <x:c r="N1654" s="11" t="n">
        <x:f>IF(G1654,L1654*AN1654/(1+M1654)^F1654,0)</x:f>
        <x:v>0</x:v>
      </x:c>
      <x:c r="AJ1654" t="n">
        <x:v>0</x:v>
      </x:c>
      <x:c r="AK1654" t="n">
        <x:v>0</x:v>
      </x:c>
      <x:c r="AL1654" t="n">
        <x:v>0</x:v>
      </x:c>
      <x:c r="AM1654" t="n">
        <x:f>CHOOSE('假设'!$B$3,AJ1654,AK1654,AL1654)</x:f>
        <x:v>0</x:v>
      </x:c>
      <x:c r="AN1654" t="n">
        <x:v>1</x:v>
      </x:c>
    </x:row>
    <x:row r="1655" ht="23" customHeight="1">
      <x:c r="A1655" s="11" t="str">
        <x:v>688302.SH</x:v>
      </x:c>
      <x:c r="B1655" s="11" t="str">
        <x:v>半年</x:v>
      </x:c>
      <x:c r="C1655" s="11" t="str">
        <x:v>hp570_global</x:v>
      </x:c>
      <x:c r="D1655" s="11" t="str">
        <x:v>2031-12-31</x:v>
      </x:c>
      <x:c r="E1655" s="11" t="str">
        <x:v>USD</x:v>
      </x:c>
      <x:c r="F1655" s="11" t="n">
        <x:v>4.728268309377139</x:v>
      </x:c>
      <x:c r="G1655" s="26" t="b">
        <x:v>1</x:v>
      </x:c>
      <x:c r="H1655" s="16" t="n">
        <x:v>0</x:v>
      </x:c>
      <x:c r="I1655" s="16" t="n">
        <x:v>0</x:v>
      </x:c>
      <x:c r="J1655" s="16" t="n">
        <x:v>0</x:v>
      </x:c>
      <x:c r="K1655" s="11" t="n">
        <x:f>CHOOSE('假设'!$B$3,H1655,I1655,J1655)</x:f>
        <x:v>0</x:v>
      </x:c>
      <x:c r="L1655" s="11" t="n">
        <x:f>K1655*'管线假设'!E371*'管线假设'!F371*'管线假设'!G371*IF(E1655="USD",'管线假设'!I371,1)-AM1655</x:f>
        <x:v>0</x:v>
      </x:c>
      <x:c r="M1655" s="11" t="n">
        <x:f>'管线假设'!H371</x:f>
        <x:v>0.14</x:v>
      </x:c>
      <x:c r="N1655" s="11" t="n">
        <x:f>IF(G1655,L1655*AN1655/(1+M1655)^F1655,0)</x:f>
        <x:v>0</x:v>
      </x:c>
      <x:c r="AJ1655" t="n">
        <x:v>0</x:v>
      </x:c>
      <x:c r="AK1655" t="n">
        <x:v>0</x:v>
      </x:c>
      <x:c r="AL1655" t="n">
        <x:v>0</x:v>
      </x:c>
      <x:c r="AM1655" t="n">
        <x:f>CHOOSE('假设'!$B$3,AJ1655,AK1655,AL1655)</x:f>
        <x:v>0</x:v>
      </x:c>
      <x:c r="AN1655" t="n">
        <x:v>1</x:v>
      </x:c>
    </x:row>
    <x:row r="1656" ht="23" customHeight="1">
      <x:c r="A1656" s="11" t="str">
        <x:v>688302.SH</x:v>
      </x:c>
      <x:c r="B1656" s="11" t="str">
        <x:v>半年</x:v>
      </x:c>
      <x:c r="C1656" s="11" t="str">
        <x:v>hp570_global</x:v>
      </x:c>
      <x:c r="D1656" s="11" t="str">
        <x:v>2032-12-31</x:v>
      </x:c>
      <x:c r="E1656" s="11" t="str">
        <x:v>USD</x:v>
      </x:c>
      <x:c r="F1656" s="11" t="n">
        <x:v>5.730321697467488</x:v>
      </x:c>
      <x:c r="G1656" s="26" t="b">
        <x:v>1</x:v>
      </x:c>
      <x:c r="H1656" s="16" t="n">
        <x:v>0</x:v>
      </x:c>
      <x:c r="I1656" s="16" t="n">
        <x:v>0</x:v>
      </x:c>
      <x:c r="J1656" s="16" t="n">
        <x:v>0</x:v>
      </x:c>
      <x:c r="K1656" s="11" t="n">
        <x:f>CHOOSE('假设'!$B$3,H1656,I1656,J1656)</x:f>
        <x:v>0</x:v>
      </x:c>
      <x:c r="L1656" s="11" t="n">
        <x:f>K1656*'管线假设'!E371*'管线假设'!F371*'管线假设'!G371*IF(E1656="USD",'管线假设'!I371,1)-AM1656</x:f>
        <x:v>0</x:v>
      </x:c>
      <x:c r="M1656" s="11" t="n">
        <x:f>'管线假设'!H371</x:f>
        <x:v>0.14</x:v>
      </x:c>
      <x:c r="N1656" s="11" t="n">
        <x:f>IF(G1656,L1656*AN1656/(1+M1656)^F1656,0)</x:f>
        <x:v>0</x:v>
      </x:c>
      <x:c r="AJ1656" t="n">
        <x:v>0</x:v>
      </x:c>
      <x:c r="AK1656" t="n">
        <x:v>0</x:v>
      </x:c>
      <x:c r="AL1656" t="n">
        <x:v>0</x:v>
      </x:c>
      <x:c r="AM1656" t="n">
        <x:f>CHOOSE('假设'!$B$3,AJ1656,AK1656,AL1656)</x:f>
        <x:v>0</x:v>
      </x:c>
      <x:c r="AN1656" t="n">
        <x:v>1</x:v>
      </x:c>
    </x:row>
    <x:row r="1657" ht="23" customHeight="1">
      <x:c r="A1657" s="11" t="str">
        <x:v>688302.SH</x:v>
      </x:c>
      <x:c r="B1657" s="11" t="str">
        <x:v>半年</x:v>
      </x:c>
      <x:c r="C1657" s="11" t="str">
        <x:v>hp570_global</x:v>
      </x:c>
      <x:c r="D1657" s="11" t="str">
        <x:v>2033-12-31</x:v>
      </x:c>
      <x:c r="E1657" s="11" t="str">
        <x:v>USD</x:v>
      </x:c>
      <x:c r="F1657" s="11" t="n">
        <x:v>6.729637234770705</x:v>
      </x:c>
      <x:c r="G1657" s="26" t="b">
        <x:v>1</x:v>
      </x:c>
      <x:c r="H1657" s="16" t="n">
        <x:v>0</x:v>
      </x:c>
      <x:c r="I1657" s="16" t="n">
        <x:v>0</x:v>
      </x:c>
      <x:c r="J1657" s="16" t="n">
        <x:v>0</x:v>
      </x:c>
      <x:c r="K1657" s="11" t="n">
        <x:f>CHOOSE('假设'!$B$3,H1657,I1657,J1657)</x:f>
        <x:v>0</x:v>
      </x:c>
      <x:c r="L1657" s="11" t="n">
        <x:f>K1657*'管线假设'!E371*'管线假设'!F371*'管线假设'!G371*IF(E1657="USD",'管线假设'!I371,1)-AM1657</x:f>
        <x:v>0</x:v>
      </x:c>
      <x:c r="M1657" s="11" t="n">
        <x:f>'管线假设'!H371</x:f>
        <x:v>0.14</x:v>
      </x:c>
      <x:c r="N1657" s="11" t="n">
        <x:f>IF(G1657,L1657*AN1657/(1+M1657)^F1657,0)</x:f>
        <x:v>0</x:v>
      </x:c>
      <x:c r="AJ1657" t="n">
        <x:v>0</x:v>
      </x:c>
      <x:c r="AK1657" t="n">
        <x:v>0</x:v>
      </x:c>
      <x:c r="AL1657" t="n">
        <x:v>0</x:v>
      </x:c>
      <x:c r="AM1657" t="n">
        <x:f>CHOOSE('假设'!$B$3,AJ1657,AK1657,AL1657)</x:f>
        <x:v>0</x:v>
      </x:c>
      <x:c r="AN1657" t="n">
        <x:v>1</x:v>
      </x:c>
    </x:row>
    <x:row r="1658" ht="23" customHeight="1">
      <x:c r="A1658" s="11" t="str">
        <x:v>688302.SH</x:v>
      </x:c>
      <x:c r="B1658" s="11" t="str">
        <x:v>半年</x:v>
      </x:c>
      <x:c r="C1658" s="11" t="str">
        <x:v>hp570_global</x:v>
      </x:c>
      <x:c r="D1658" s="11" t="str">
        <x:v>2034-12-31</x:v>
      </x:c>
      <x:c r="E1658" s="11" t="str">
        <x:v>USD</x:v>
      </x:c>
      <x:c r="F1658" s="11" t="n">
        <x:v>7.728952772073922</x:v>
      </x:c>
      <x:c r="G1658" s="26" t="b">
        <x:v>1</x:v>
      </x:c>
      <x:c r="H1658" s="16" t="n">
        <x:v>0</x:v>
      </x:c>
      <x:c r="I1658" s="16" t="n">
        <x:v>0</x:v>
      </x:c>
      <x:c r="J1658" s="16" t="n">
        <x:v>0.6666666666666666</x:v>
      </x:c>
      <x:c r="K1658" s="11" t="n">
        <x:f>CHOOSE('假设'!$B$3,H1658,I1658,J1658)</x:f>
        <x:v>0</x:v>
      </x:c>
      <x:c r="L1658" s="11" t="n">
        <x:f>K1658*'管线假设'!E371*'管线假设'!F371*'管线假设'!G371*IF(E1658="USD",'管线假设'!I371,1)-AM1658</x:f>
        <x:v>0</x:v>
      </x:c>
      <x:c r="M1658" s="11" t="n">
        <x:f>'管线假设'!H371</x:f>
        <x:v>0.14</x:v>
      </x:c>
      <x:c r="N1658" s="11" t="n">
        <x:f>IF(G1658,L1658*AN1658/(1+M1658)^F1658,0)</x:f>
        <x:v>0</x:v>
      </x:c>
      <x:c r="AJ1658" t="n">
        <x:v>0</x:v>
      </x:c>
      <x:c r="AK1658" t="n">
        <x:v>0</x:v>
      </x:c>
      <x:c r="AL1658" t="n">
        <x:v>0</x:v>
      </x:c>
      <x:c r="AM1658" t="n">
        <x:f>CHOOSE('假设'!$B$3,AJ1658,AK1658,AL1658)</x:f>
        <x:v>0</x:v>
      </x:c>
      <x:c r="AN1658" t="n">
        <x:v>1</x:v>
      </x:c>
    </x:row>
    <x:row r="1659" ht="23" customHeight="1">
      <x:c r="A1659" s="11" t="str">
        <x:v>688302.SH</x:v>
      </x:c>
      <x:c r="B1659" s="11" t="str">
        <x:v>半年</x:v>
      </x:c>
      <x:c r="C1659" s="11" t="str">
        <x:v>hp570_global</x:v>
      </x:c>
      <x:c r="D1659" s="11" t="str">
        <x:v>2035-12-31</x:v>
      </x:c>
      <x:c r="E1659" s="11" t="str">
        <x:v>USD</x:v>
      </x:c>
      <x:c r="F1659" s="11" t="n">
        <x:v>8.728268309377139</x:v>
      </x:c>
      <x:c r="G1659" s="26" t="b">
        <x:v>1</x:v>
      </x:c>
      <x:c r="H1659" s="16" t="n">
        <x:v>0</x:v>
      </x:c>
      <x:c r="I1659" s="16" t="n">
        <x:v>0</x:v>
      </x:c>
      <x:c r="J1659" s="16" t="n">
        <x:v>1.3333333333333333</x:v>
      </x:c>
      <x:c r="K1659" s="11" t="n">
        <x:f>CHOOSE('假设'!$B$3,H1659,I1659,J1659)</x:f>
        <x:v>0</x:v>
      </x:c>
      <x:c r="L1659" s="11" t="n">
        <x:f>K1659*'管线假设'!E371*'管线假设'!F371*'管线假设'!G371*IF(E1659="USD",'管线假设'!I371,1)-AM1659</x:f>
        <x:v>0</x:v>
      </x:c>
      <x:c r="M1659" s="11" t="n">
        <x:f>'管线假设'!H371</x:f>
        <x:v>0.14</x:v>
      </x:c>
      <x:c r="N1659" s="11" t="n">
        <x:f>IF(G1659,L1659*AN1659/(1+M1659)^F1659,0)</x:f>
        <x:v>0</x:v>
      </x:c>
      <x:c r="AJ1659" t="n">
        <x:v>0</x:v>
      </x:c>
      <x:c r="AK1659" t="n">
        <x:v>0</x:v>
      </x:c>
      <x:c r="AL1659" t="n">
        <x:v>0</x:v>
      </x:c>
      <x:c r="AM1659" t="n">
        <x:f>CHOOSE('假设'!$B$3,AJ1659,AK1659,AL1659)</x:f>
        <x:v>0</x:v>
      </x:c>
      <x:c r="AN1659" t="n">
        <x:v>1</x:v>
      </x:c>
    </x:row>
    <x:row r="1660" ht="23" customHeight="1">
      <x:c r="A1660" s="11" t="str">
        <x:v>688302.SH</x:v>
      </x:c>
      <x:c r="B1660" s="11" t="str">
        <x:v>半年</x:v>
      </x:c>
      <x:c r="C1660" s="11" t="str">
        <x:v>hp570_global</x:v>
      </x:c>
      <x:c r="D1660" s="11" t="str">
        <x:v>2036-12-31</x:v>
      </x:c>
      <x:c r="E1660" s="11" t="str">
        <x:v>USD</x:v>
      </x:c>
      <x:c r="F1660" s="11" t="n">
        <x:v>9.730321697467488</x:v>
      </x:c>
      <x:c r="G1660" s="26" t="b">
        <x:v>1</x:v>
      </x:c>
      <x:c r="H1660" s="16" t="n">
        <x:v>0</x:v>
      </x:c>
      <x:c r="I1660" s="16" t="n">
        <x:v>0.3333333333333333</x:v>
      </x:c>
      <x:c r="J1660" s="16" t="n">
        <x:v>2</x:v>
      </x:c>
      <x:c r="K1660" s="11" t="n">
        <x:f>CHOOSE('假设'!$B$3,H1660,I1660,J1660)</x:f>
        <x:v>0.3333333333333333</x:v>
      </x:c>
      <x:c r="L1660" s="11" t="n">
        <x:f>K1660*'管线假设'!E371*'管线假设'!F371*'管线假设'!G371*IF(E1660="USD",'管线假设'!I371,1)-AM1660</x:f>
        <x:v>0.010319317333333336</x:v>
      </x:c>
      <x:c r="M1660" s="11" t="n">
        <x:f>'管线假设'!H371</x:f>
        <x:v>0.14</x:v>
      </x:c>
      <x:c r="N1660" s="11" t="n">
        <x:f>IF(G1660,L1660*AN1660/(1+M1660)^F1660,0)</x:f>
        <x:v>0.002883689248143152</x:v>
      </x:c>
      <x:c r="AJ1660" t="n">
        <x:v>0</x:v>
      </x:c>
      <x:c r="AK1660" t="n">
        <x:v>0</x:v>
      </x:c>
      <x:c r="AL1660" t="n">
        <x:v>0</x:v>
      </x:c>
      <x:c r="AM1660" t="n">
        <x:f>CHOOSE('假设'!$B$3,AJ1660,AK1660,AL1660)</x:f>
        <x:v>0</x:v>
      </x:c>
      <x:c r="AN1660" t="n">
        <x:v>1</x:v>
      </x:c>
    </x:row>
    <x:row r="1661" ht="23" customHeight="1">
      <x:c r="A1661" s="11" t="str">
        <x:v>688302.SH</x:v>
      </x:c>
      <x:c r="B1661" s="11" t="str">
        <x:v>半年</x:v>
      </x:c>
      <x:c r="C1661" s="11" t="str">
        <x:v>hp570_global</x:v>
      </x:c>
      <x:c r="D1661" s="11" t="str">
        <x:v>2037-12-31</x:v>
      </x:c>
      <x:c r="E1661" s="11" t="str">
        <x:v>USD</x:v>
      </x:c>
      <x:c r="F1661" s="11" t="n">
        <x:v>10.729637234770705</x:v>
      </x:c>
      <x:c r="G1661" s="26" t="b">
        <x:v>1</x:v>
      </x:c>
      <x:c r="H1661" s="16" t="n">
        <x:v>0</x:v>
      </x:c>
      <x:c r="I1661" s="16" t="n">
        <x:v>0.6666666666666666</x:v>
      </x:c>
      <x:c r="J1661" s="16" t="n">
        <x:v>2.6666666666666665</x:v>
      </x:c>
      <x:c r="K1661" s="11" t="n">
        <x:f>CHOOSE('假设'!$B$3,H1661,I1661,J1661)</x:f>
        <x:v>0.6666666666666666</x:v>
      </x:c>
      <x:c r="L1661" s="11" t="n">
        <x:f>K1661*'管线假设'!E371*'管线假设'!F371*'管线假设'!G371*IF(E1661="USD",'管线假设'!I371,1)-AM1661</x:f>
        <x:v>0.020638634666666673</x:v>
      </x:c>
      <x:c r="M1661" s="11" t="n">
        <x:f>'管线假设'!H371</x:f>
        <x:v>0.14</x:v>
      </x:c>
      <x:c r="N1661" s="11" t="n">
        <x:f>IF(G1661,L1661*AN1661/(1+M1661)^F1661,0)</x:f>
        <x:v>0.005059557684921963</x:v>
      </x:c>
      <x:c r="AJ1661" t="n">
        <x:v>0</x:v>
      </x:c>
      <x:c r="AK1661" t="n">
        <x:v>0</x:v>
      </x:c>
      <x:c r="AL1661" t="n">
        <x:v>0</x:v>
      </x:c>
      <x:c r="AM1661" t="n">
        <x:f>CHOOSE('假设'!$B$3,AJ1661,AK1661,AL1661)</x:f>
        <x:v>0</x:v>
      </x:c>
      <x:c r="AN1661" t="n">
        <x:v>1</x:v>
      </x:c>
    </x:row>
    <x:row r="1662" ht="23" customHeight="1">
      <x:c r="A1662" s="11" t="str">
        <x:v>688302.SH</x:v>
      </x:c>
      <x:c r="B1662" s="11" t="str">
        <x:v>半年</x:v>
      </x:c>
      <x:c r="C1662" s="11" t="str">
        <x:v>hp570_global</x:v>
      </x:c>
      <x:c r="D1662" s="11" t="str">
        <x:v>2038-12-31</x:v>
      </x:c>
      <x:c r="E1662" s="11" t="str">
        <x:v>USD</x:v>
      </x:c>
      <x:c r="F1662" s="11" t="n">
        <x:v>11.728952772073923</x:v>
      </x:c>
      <x:c r="G1662" s="26" t="b">
        <x:v>1</x:v>
      </x:c>
      <x:c r="H1662" s="16" t="n">
        <x:v>0</x:v>
      </x:c>
      <x:c r="I1662" s="16" t="n">
        <x:v>1</x:v>
      </x:c>
      <x:c r="J1662" s="16" t="n">
        <x:v>3.3333333333333335</x:v>
      </x:c>
      <x:c r="K1662" s="11" t="n">
        <x:f>CHOOSE('假设'!$B$3,H1662,I1662,J1662)</x:f>
        <x:v>1</x:v>
      </x:c>
      <x:c r="L1662" s="11" t="n">
        <x:f>K1662*'管线假设'!E371*'管线假设'!F371*'管线假设'!G371*IF(E1662="USD",'管线假设'!I371,1)-AM1662</x:f>
        <x:v>0.03095795200000001</x:v>
      </x:c>
      <x:c r="M1662" s="11" t="n">
        <x:f>'管线假设'!H371</x:f>
        <x:v>0.14</x:v>
      </x:c>
      <x:c r="N1662" s="11" t="n">
        <x:f>IF(G1662,L1662*AN1662/(1+M1662)^F1662,0)</x:f>
        <x:v>0.006657909824247672</x:v>
      </x:c>
      <x:c r="AJ1662" t="n">
        <x:v>0</x:v>
      </x:c>
      <x:c r="AK1662" t="n">
        <x:v>0</x:v>
      </x:c>
      <x:c r="AL1662" t="n">
        <x:v>0</x:v>
      </x:c>
      <x:c r="AM1662" t="n">
        <x:f>CHOOSE('假设'!$B$3,AJ1662,AK1662,AL1662)</x:f>
        <x:v>0</x:v>
      </x:c>
      <x:c r="AN1662" t="n">
        <x:v>1</x:v>
      </x:c>
    </x:row>
    <x:row r="1663" ht="23" customHeight="1">
      <x:c r="A1663" s="11" t="str">
        <x:v>688302.SH</x:v>
      </x:c>
      <x:c r="B1663" s="11" t="str">
        <x:v>半年</x:v>
      </x:c>
      <x:c r="C1663" s="11" t="str">
        <x:v>hp570_global</x:v>
      </x:c>
      <x:c r="D1663" s="11" t="str">
        <x:v>2039-12-31</x:v>
      </x:c>
      <x:c r="E1663" s="11" t="str">
        <x:v>USD</x:v>
      </x:c>
      <x:c r="F1663" s="11" t="n">
        <x:v>12.728268309377139</x:v>
      </x:c>
      <x:c r="G1663" s="26" t="b">
        <x:v>1</x:v>
      </x:c>
      <x:c r="H1663" s="16" t="n">
        <x:v>0.1</x:v>
      </x:c>
      <x:c r="I1663" s="16" t="n">
        <x:v>1.3333333333333333</x:v>
      </x:c>
      <x:c r="J1663" s="16" t="n">
        <x:v>4</x:v>
      </x:c>
      <x:c r="K1663" s="11" t="n">
        <x:f>CHOOSE('假设'!$B$3,H1663,I1663,J1663)</x:f>
        <x:v>1.3333333333333333</x:v>
      </x:c>
      <x:c r="L1663" s="11" t="n">
        <x:f>K1663*'管线假设'!E371*'管线假设'!F371*'管线假设'!G371*IF(E1663="USD",'管线假设'!I371,1)-AM1663</x:f>
        <x:v>0.041277269333333345</x:v>
      </x:c>
      <x:c r="M1663" s="11" t="n">
        <x:f>'管线假设'!H371</x:f>
        <x:v>0.14</x:v>
      </x:c>
      <x:c r="N1663" s="11" t="n">
        <x:f>IF(G1663,L1663*AN1663/(1+M1663)^F1663,0)</x:f>
        <x:v>0.007787727437108717</x:v>
      </x:c>
      <x:c r="AJ1663" t="n">
        <x:v>0</x:v>
      </x:c>
      <x:c r="AK1663" t="n">
        <x:v>0</x:v>
      </x:c>
      <x:c r="AL1663" t="n">
        <x:v>0</x:v>
      </x:c>
      <x:c r="AM1663" t="n">
        <x:f>CHOOSE('假设'!$B$3,AJ1663,AK1663,AL1663)</x:f>
        <x:v>0</x:v>
      </x:c>
      <x:c r="AN1663" t="n">
        <x:v>1</x:v>
      </x:c>
    </x:row>
    <x:row r="1664" ht="23" customHeight="1">
      <x:c r="A1664" s="11" t="str">
        <x:v>688302.SH</x:v>
      </x:c>
      <x:c r="B1664" s="11" t="str">
        <x:v>半年</x:v>
      </x:c>
      <x:c r="C1664" s="11" t="str">
        <x:v>hp570_global</x:v>
      </x:c>
      <x:c r="D1664" s="11" t="str">
        <x:v>2040-12-31</x:v>
      </x:c>
      <x:c r="E1664" s="11" t="str">
        <x:v>USD</x:v>
      </x:c>
      <x:c r="F1664" s="11" t="n">
        <x:v>13.730321697467488</x:v>
      </x:c>
      <x:c r="G1664" s="26" t="b">
        <x:v>1</x:v>
      </x:c>
      <x:c r="H1664" s="16" t="n">
        <x:v>0.2</x:v>
      </x:c>
      <x:c r="I1664" s="16" t="n">
        <x:v>1.6666666666666667</x:v>
      </x:c>
      <x:c r="J1664" s="16" t="n">
        <x:v>3.48</x:v>
      </x:c>
      <x:c r="K1664" s="11" t="n">
        <x:f>CHOOSE('假设'!$B$3,H1664,I1664,J1664)</x:f>
        <x:v>1.6666666666666667</x:v>
      </x:c>
      <x:c r="L1664" s="11" t="n">
        <x:f>K1664*'管线假设'!E371*'管线假设'!F371*'管线假设'!G371*IF(E1664="USD",'管线假设'!I371,1)-AM1664</x:f>
        <x:v>0.05159658666666668</x:v>
      </x:c>
      <x:c r="M1664" s="11" t="n">
        <x:f>'管线假设'!H371</x:f>
        <x:v>0.14</x:v>
      </x:c>
      <x:c r="N1664" s="11" t="n">
        <x:f>IF(G1664,L1664*AN1664/(1+M1664)^F1664,0)</x:f>
        <x:v>0.008536877649450153</x:v>
      </x:c>
      <x:c r="AJ1664" t="n">
        <x:v>0</x:v>
      </x:c>
      <x:c r="AK1664" t="n">
        <x:v>0</x:v>
      </x:c>
      <x:c r="AL1664" t="n">
        <x:v>0</x:v>
      </x:c>
      <x:c r="AM1664" t="n">
        <x:f>CHOOSE('假设'!$B$3,AJ1664,AK1664,AL1664)</x:f>
        <x:v>0</x:v>
      </x:c>
      <x:c r="AN1664" t="n">
        <x:v>1</x:v>
      </x:c>
    </x:row>
    <x:row r="1665" ht="23" customHeight="1">
      <x:c r="A1665" s="11" t="str">
        <x:v>688302.SH</x:v>
      </x:c>
      <x:c r="B1665" s="11" t="str">
        <x:v>半年</x:v>
      </x:c>
      <x:c r="C1665" s="11" t="str">
        <x:v>hp570_global</x:v>
      </x:c>
      <x:c r="D1665" s="11" t="str">
        <x:v>2041-12-31</x:v>
      </x:c>
      <x:c r="E1665" s="11" t="str">
        <x:v>USD</x:v>
      </x:c>
      <x:c r="F1665" s="11" t="n">
        <x:v>14.729637234770705</x:v>
      </x:c>
      <x:c r="G1665" s="26" t="b">
        <x:v>1</x:v>
      </x:c>
      <x:c r="H1665" s="16" t="n">
        <x:v>0.3</x:v>
      </x:c>
      <x:c r="I1665" s="16" t="n">
        <x:v>2</x:v>
      </x:c>
      <x:c r="J1665" s="16" t="n">
        <x:v>2.96</x:v>
      </x:c>
      <x:c r="K1665" s="11" t="n">
        <x:f>CHOOSE('假设'!$B$3,H1665,I1665,J1665)</x:f>
        <x:v>2</x:v>
      </x:c>
      <x:c r="L1665" s="11" t="n">
        <x:f>K1665*'管线假设'!E371*'管线假设'!F371*'管线假设'!G371*IF(E1665="USD",'管线假设'!I371,1)-AM1665</x:f>
        <x:v>0.06191590400000002</x:v>
      </x:c>
      <x:c r="M1665" s="11" t="n">
        <x:f>'管线假设'!H371</x:f>
        <x:v>0.14</x:v>
      </x:c>
      <x:c r="N1665" s="11" t="n">
        <x:f>IF(G1665,L1665*AN1665/(1+M1665)^F1665,0)</x:f>
        <x:v>0.008986992952377211</x:v>
      </x:c>
      <x:c r="AJ1665" t="n">
        <x:v>0</x:v>
      </x:c>
      <x:c r="AK1665" t="n">
        <x:v>0</x:v>
      </x:c>
      <x:c r="AL1665" t="n">
        <x:v>0</x:v>
      </x:c>
      <x:c r="AM1665" t="n">
        <x:f>CHOOSE('假设'!$B$3,AJ1665,AK1665,AL1665)</x:f>
        <x:v>0</x:v>
      </x:c>
      <x:c r="AN1665" t="n">
        <x:v>1</x:v>
      </x:c>
    </x:row>
    <x:row r="1666" ht="23" customHeight="1">
      <x:c r="A1666" s="11" t="str">
        <x:v>688302.SH</x:v>
      </x:c>
      <x:c r="B1666" s="11" t="str">
        <x:v>半年</x:v>
      </x:c>
      <x:c r="C1666" s="11" t="str">
        <x:v>hp570_global</x:v>
      </x:c>
      <x:c r="D1666" s="11" t="str">
        <x:v>2042-12-31</x:v>
      </x:c>
      <x:c r="E1666" s="11" t="str">
        <x:v>USD</x:v>
      </x:c>
      <x:c r="F1666" s="11" t="n">
        <x:v>15.728952772073923</x:v>
      </x:c>
      <x:c r="G1666" s="26" t="b">
        <x:v>1</x:v>
      </x:c>
      <x:c r="H1666" s="16" t="n">
        <x:v>0.4</x:v>
      </x:c>
      <x:c r="I1666" s="16" t="n">
        <x:v>1.74</x:v>
      </x:c>
      <x:c r="J1666" s="16" t="n">
        <x:v>2.44</x:v>
      </x:c>
      <x:c r="K1666" s="11" t="n">
        <x:f>CHOOSE('假设'!$B$3,H1666,I1666,J1666)</x:f>
        <x:v>1.74</x:v>
      </x:c>
      <x:c r="L1666" s="11" t="n">
        <x:f>K1666*'管线假设'!E371*'管线假设'!F371*'管线假设'!G371*IF(E1666="USD",'管线假设'!I371,1)-AM1666</x:f>
        <x:v>0.05386683648000001</x:v>
      </x:c>
      <x:c r="M1666" s="11" t="n">
        <x:f>'管线假设'!H371</x:f>
        <x:v>0.14</x:v>
      </x:c>
      <x:c r="N1666" s="11" t="n">
        <x:f>IF(G1666,L1666*AN1666/(1+M1666)^F1666,0)</x:f>
        <x:v>0.006859109746076511</x:v>
      </x:c>
      <x:c r="AJ1666" t="n">
        <x:v>0</x:v>
      </x:c>
      <x:c r="AK1666" t="n">
        <x:v>0</x:v>
      </x:c>
      <x:c r="AL1666" t="n">
        <x:v>0</x:v>
      </x:c>
      <x:c r="AM1666" t="n">
        <x:f>CHOOSE('假设'!$B$3,AJ1666,AK1666,AL1666)</x:f>
        <x:v>0</x:v>
      </x:c>
      <x:c r="AN1666" t="n">
        <x:v>1</x:v>
      </x:c>
    </x:row>
    <x:row r="1667" ht="23" customHeight="1">
      <x:c r="A1667" s="11" t="str">
        <x:v>688302.SH</x:v>
      </x:c>
      <x:c r="B1667" s="11" t="str">
        <x:v>半年</x:v>
      </x:c>
      <x:c r="C1667" s="11" t="str">
        <x:v>hp570_global</x:v>
      </x:c>
      <x:c r="D1667" s="11" t="str">
        <x:v>2043-12-31</x:v>
      </x:c>
      <x:c r="E1667" s="11" t="str">
        <x:v>USD</x:v>
      </x:c>
      <x:c r="F1667" s="11" t="n">
        <x:v>16.72826830937714</x:v>
      </x:c>
      <x:c r="G1667" s="26" t="b">
        <x:v>1</x:v>
      </x:c>
      <x:c r="H1667" s="16" t="n">
        <x:v>0.5</x:v>
      </x:c>
      <x:c r="I1667" s="16" t="n">
        <x:v>1.48</x:v>
      </x:c>
      <x:c r="J1667" s="16" t="n">
        <x:v>1.92</x:v>
      </x:c>
      <x:c r="K1667" s="11" t="n">
        <x:f>CHOOSE('假设'!$B$3,H1667,I1667,J1667)</x:f>
        <x:v>1.48</x:v>
      </x:c>
      <x:c r="L1667" s="11" t="n">
        <x:f>K1667*'管线假设'!E371*'管线假设'!F371*'管线假设'!G371*IF(E1667="USD",'管线假设'!I371,1)-AM1667</x:f>
        <x:v>0.04581776896000001</x:v>
      </x:c>
      <x:c r="M1667" s="11" t="n">
        <x:f>'管线假设'!H371</x:f>
        <x:v>0.14</x:v>
      </x:c>
      <x:c r="N1667" s="11" t="n">
        <x:f>IF(G1667,L1667*AN1667/(1+M1667)^F1667,0)</x:f>
        <x:v>0.005118165401361908</x:v>
      </x:c>
      <x:c r="AJ1667" t="n">
        <x:v>0</x:v>
      </x:c>
      <x:c r="AK1667" t="n">
        <x:v>0</x:v>
      </x:c>
      <x:c r="AL1667" t="n">
        <x:v>0</x:v>
      </x:c>
      <x:c r="AM1667" t="n">
        <x:f>CHOOSE('假设'!$B$3,AJ1667,AK1667,AL1667)</x:f>
        <x:v>0</x:v>
      </x:c>
      <x:c r="AN1667" t="n">
        <x:v>1</x:v>
      </x:c>
    </x:row>
    <x:row r="1668" ht="23" customHeight="1">
      <x:c r="A1668" s="11" t="str">
        <x:v>688302.SH</x:v>
      </x:c>
      <x:c r="B1668" s="11" t="str">
        <x:v>半年</x:v>
      </x:c>
      <x:c r="C1668" s="11" t="str">
        <x:v>hp570_global</x:v>
      </x:c>
      <x:c r="D1668" s="11" t="str">
        <x:v>2044-12-31</x:v>
      </x:c>
      <x:c r="E1668" s="11" t="str">
        <x:v>USD</x:v>
      </x:c>
      <x:c r="F1668" s="11" t="n">
        <x:v>17.730321697467488</x:v>
      </x:c>
      <x:c r="G1668" s="26" t="b">
        <x:v>1</x:v>
      </x:c>
      <x:c r="H1668" s="16" t="n">
        <x:v>0.435</x:v>
      </x:c>
      <x:c r="I1668" s="16" t="n">
        <x:v>1.22</x:v>
      </x:c>
      <x:c r="J1668" s="16" t="n">
        <x:v>1.4</x:v>
      </x:c>
      <x:c r="K1668" s="11" t="n">
        <x:f>CHOOSE('假设'!$B$3,H1668,I1668,J1668)</x:f>
        <x:v>1.22</x:v>
      </x:c>
      <x:c r="L1668" s="11" t="n">
        <x:f>K1668*'管线假设'!E371*'管线假设'!F371*'管线假设'!G371*IF(E1668="USD",'管线假设'!I371,1)-AM1668</x:f>
        <x:v>0.03776870144000001</x:v>
      </x:c>
      <x:c r="M1668" s="11" t="n">
        <x:f>'管线假设'!H371</x:f>
        <x:v>0.14</x:v>
      </x:c>
      <x:c r="N1668" s="11" t="n">
        <x:f>IF(G1668,L1668*AN1668/(1+M1668)^F1668,0)</x:f>
        <x:v>0.00369990636096325</x:v>
      </x:c>
      <x:c r="AJ1668" t="n">
        <x:v>0</x:v>
      </x:c>
      <x:c r="AK1668" t="n">
        <x:v>0</x:v>
      </x:c>
      <x:c r="AL1668" t="n">
        <x:v>0</x:v>
      </x:c>
      <x:c r="AM1668" t="n">
        <x:f>CHOOSE('假设'!$B$3,AJ1668,AK1668,AL1668)</x:f>
        <x:v>0</x:v>
      </x:c>
      <x:c r="AN1668" t="n">
        <x:v>1</x:v>
      </x:c>
    </x:row>
    <x:row r="1669" ht="23" customHeight="1">
      <x:c r="A1669" s="11" t="str">
        <x:v>688302.SH</x:v>
      </x:c>
      <x:c r="B1669" s="11" t="str">
        <x:v>半年</x:v>
      </x:c>
      <x:c r="C1669" s="11" t="str">
        <x:v>hp570_global</x:v>
      </x:c>
      <x:c r="D1669" s="11" t="str">
        <x:v>2045-12-31</x:v>
      </x:c>
      <x:c r="E1669" s="11" t="str">
        <x:v>USD</x:v>
      </x:c>
      <x:c r="F1669" s="11" t="n">
        <x:v>18.729637234770706</x:v>
      </x:c>
      <x:c r="G1669" s="26" t="b">
        <x:v>1</x:v>
      </x:c>
      <x:c r="H1669" s="16" t="n">
        <x:v>0.37</x:v>
      </x:c>
      <x:c r="I1669" s="16" t="n">
        <x:v>0.96</x:v>
      </x:c>
      <x:c r="J1669" s="16" t="n">
        <x:v>0.8799999999999999</x:v>
      </x:c>
      <x:c r="K1669" s="11" t="n">
        <x:f>CHOOSE('假设'!$B$3,H1669,I1669,J1669)</x:f>
        <x:v>0.96</x:v>
      </x:c>
      <x:c r="L1669" s="11" t="n">
        <x:f>K1669*'管线假设'!E371*'管线假设'!F371*'管线假设'!G371*IF(E1669="USD",'管线假设'!I371,1)-AM1669</x:f>
        <x:v>0.02971963392000001</x:v>
      </x:c>
      <x:c r="M1669" s="11" t="n">
        <x:f>'管线假设'!H371</x:f>
        <x:v>0.14</x:v>
      </x:c>
      <x:c r="N1669" s="11" t="n">
        <x:f>IF(G1669,L1669*AN1669/(1+M1669)^F1669,0)</x:f>
        <x:v>0.002554090214384369</x:v>
      </x:c>
      <x:c r="AJ1669" t="n">
        <x:v>0</x:v>
      </x:c>
      <x:c r="AK1669" t="n">
        <x:v>0</x:v>
      </x:c>
      <x:c r="AL1669" t="n">
        <x:v>0</x:v>
      </x:c>
      <x:c r="AM1669" t="n">
        <x:f>CHOOSE('假设'!$B$3,AJ1669,AK1669,AL1669)</x:f>
        <x:v>0</x:v>
      </x:c>
      <x:c r="AN1669" t="n">
        <x:v>1</x:v>
      </x:c>
    </x:row>
    <x:row r="1670" ht="23" customHeight="1">
      <x:c r="A1670" s="11" t="str">
        <x:v>688302.SH</x:v>
      </x:c>
      <x:c r="B1670" s="11" t="str">
        <x:v>一年</x:v>
      </x:c>
      <x:c r="C1670" s="11" t="str">
        <x:v>hc1119_later</x:v>
      </x:c>
      <x:c r="D1670" s="11" t="str">
        <x:v>2027-12-31</x:v>
      </x:c>
      <x:c r="E1670" s="11" t="str">
        <x:v>CNY</x:v>
      </x:c>
      <x:c r="F1670" s="11" t="n">
        <x:v>0.2272416153319644</x:v>
      </x:c>
      <x:c r="G1670" s="26" t="b">
        <x:v>1</x:v>
      </x:c>
      <x:c r="H1670" s="16" t="n">
        <x:v>0.09000000000000001</x:v>
      </x:c>
      <x:c r="I1670" s="16" t="n">
        <x:v>0.18000000000000002</x:v>
      </x:c>
      <x:c r="J1670" s="16" t="n">
        <x:v>0.375</x:v>
      </x:c>
      <x:c r="K1670" s="11" t="n">
        <x:f>CHOOSE('假设'!$B$3,H1670,I1670,J1670)</x:f>
        <x:v>0.18000000000000002</x:v>
      </x:c>
      <x:c r="L1670" s="11" t="n">
        <x:f>K1670*'管线假设'!E375*'管线假设'!F375*'管线假设'!G375*IF(E1670="USD",'管线假设'!I375,1)-AM1670</x:f>
        <x:v>0.045000000000000005</x:v>
      </x:c>
      <x:c r="M1670" s="11" t="n">
        <x:f>'管线假设'!H375</x:f>
        <x:v>0.14</x:v>
      </x:c>
      <x:c r="N1670" s="11" t="n">
        <x:f>IF(G1670,L1670*AN1670/(1+M1670)^F1670,0)</x:f>
        <x:v>0.0436798726437331</x:v>
      </x:c>
      <x:c r="AJ1670" t="n">
        <x:v>0</x:v>
      </x:c>
      <x:c r="AK1670" t="n">
        <x:v>0</x:v>
      </x:c>
      <x:c r="AL1670" t="n">
        <x:v>0</x:v>
      </x:c>
      <x:c r="AM1670" t="n">
        <x:f>CHOOSE('假设'!$B$3,AJ1670,AK1670,AL1670)</x:f>
        <x:v>0</x:v>
      </x:c>
      <x:c r="AN1670" t="n">
        <x:v>1</x:v>
      </x:c>
    </x:row>
    <x:row r="1671" ht="23" customHeight="1">
      <x:c r="A1671" s="11" t="str">
        <x:v>688302.SH</x:v>
      </x:c>
      <x:c r="B1671" s="11" t="str">
        <x:v>一年</x:v>
      </x:c>
      <x:c r="C1671" s="11" t="str">
        <x:v>hc1119_later</x:v>
      </x:c>
      <x:c r="D1671" s="11" t="str">
        <x:v>2028-12-31</x:v>
      </x:c>
      <x:c r="E1671" s="11" t="str">
        <x:v>CNY</x:v>
      </x:c>
      <x:c r="F1671" s="11" t="n">
        <x:v>1.2292950034223136</x:v>
      </x:c>
      <x:c r="G1671" s="26" t="b">
        <x:v>1</x:v>
      </x:c>
      <x:c r="H1671" s="16" t="n">
        <x:v>0.18000000000000002</x:v>
      </x:c>
      <x:c r="I1671" s="16" t="n">
        <x:v>0.36000000000000004</x:v>
      </x:c>
      <x:c r="J1671" s="16" t="n">
        <x:v>0.75</x:v>
      </x:c>
      <x:c r="K1671" s="11" t="n">
        <x:f>CHOOSE('假设'!$B$3,H1671,I1671,J1671)</x:f>
        <x:v>0.36000000000000004</x:v>
      </x:c>
      <x:c r="L1671" s="11" t="n">
        <x:f>K1671*'管线假设'!E375*'管线假设'!F375*'管线假设'!G375*IF(E1671="USD",'管线假设'!I375,1)-AM1671</x:f>
        <x:v>0.09000000000000001</x:v>
      </x:c>
      <x:c r="M1671" s="11" t="n">
        <x:f>'管线假设'!H375</x:f>
        <x:v>0.14</x:v>
      </x:c>
      <x:c r="N1671" s="11" t="n">
        <x:f>IF(G1671,L1671*AN1671/(1+M1671)^F1671,0)</x:f>
        <x:v>0.07661074047893056</x:v>
      </x:c>
      <x:c r="AJ1671" t="n">
        <x:v>0</x:v>
      </x:c>
      <x:c r="AK1671" t="n">
        <x:v>0</x:v>
      </x:c>
      <x:c r="AL1671" t="n">
        <x:v>0</x:v>
      </x:c>
      <x:c r="AM1671" t="n">
        <x:f>CHOOSE('假设'!$B$3,AJ1671,AK1671,AL1671)</x:f>
        <x:v>0</x:v>
      </x:c>
      <x:c r="AN1671" t="n">
        <x:v>1</x:v>
      </x:c>
    </x:row>
    <x:row r="1672" ht="23" customHeight="1">
      <x:c r="A1672" s="11" t="str">
        <x:v>688302.SH</x:v>
      </x:c>
      <x:c r="B1672" s="11" t="str">
        <x:v>一年</x:v>
      </x:c>
      <x:c r="C1672" s="11" t="str">
        <x:v>hc1119_later</x:v>
      </x:c>
      <x:c r="D1672" s="11" t="str">
        <x:v>2029-12-31</x:v>
      </x:c>
      <x:c r="E1672" s="11" t="str">
        <x:v>CNY</x:v>
      </x:c>
      <x:c r="F1672" s="11" t="n">
        <x:v>2.2286105407255303</x:v>
      </x:c>
      <x:c r="G1672" s="26" t="b">
        <x:v>1</x:v>
      </x:c>
      <x:c r="H1672" s="16" t="n">
        <x:v>0.27</x:v>
      </x:c>
      <x:c r="I1672" s="16" t="n">
        <x:v>0.54</x:v>
      </x:c>
      <x:c r="J1672" s="16" t="n">
        <x:v>1.125</x:v>
      </x:c>
      <x:c r="K1672" s="11" t="n">
        <x:f>CHOOSE('假设'!$B$3,H1672,I1672,J1672)</x:f>
        <x:v>0.54</x:v>
      </x:c>
      <x:c r="L1672" s="11" t="n">
        <x:f>K1672*'管线假设'!E375*'管线假设'!F375*'管线假设'!G375*IF(E1672="USD",'管线假设'!I375,1)-AM1672</x:f>
        <x:v>0.135</x:v>
      </x:c>
      <x:c r="M1672" s="11" t="n">
        <x:f>'管线假设'!H375</x:f>
        <x:v>0.14</x:v>
      </x:c>
      <x:c r="N1672" s="11" t="n">
        <x:f>IF(G1672,L1672*AN1672/(1+M1672)^F1672,0)</x:f>
        <x:v>0.10081264676507538</x:v>
      </x:c>
      <x:c r="AJ1672" t="n">
        <x:v>0</x:v>
      </x:c>
      <x:c r="AK1672" t="n">
        <x:v>0</x:v>
      </x:c>
      <x:c r="AL1672" t="n">
        <x:v>0</x:v>
      </x:c>
      <x:c r="AM1672" t="n">
        <x:f>CHOOSE('假设'!$B$3,AJ1672,AK1672,AL1672)</x:f>
        <x:v>0</x:v>
      </x:c>
      <x:c r="AN1672" t="n">
        <x:v>1</x:v>
      </x:c>
    </x:row>
    <x:row r="1673" ht="23" customHeight="1">
      <x:c r="A1673" s="11" t="str">
        <x:v>688302.SH</x:v>
      </x:c>
      <x:c r="B1673" s="11" t="str">
        <x:v>一年</x:v>
      </x:c>
      <x:c r="C1673" s="11" t="str">
        <x:v>hc1119_later</x:v>
      </x:c>
      <x:c r="D1673" s="11" t="str">
        <x:v>2030-12-31</x:v>
      </x:c>
      <x:c r="E1673" s="11" t="str">
        <x:v>CNY</x:v>
      </x:c>
      <x:c r="F1673" s="11" t="n">
        <x:v>3.2279260780287475</x:v>
      </x:c>
      <x:c r="G1673" s="26" t="b">
        <x:v>1</x:v>
      </x:c>
      <x:c r="H1673" s="16" t="n">
        <x:v>0.36000000000000004</x:v>
      </x:c>
      <x:c r="I1673" s="16" t="n">
        <x:v>0.7200000000000001</x:v>
      </x:c>
      <x:c r="J1673" s="16" t="n">
        <x:v>1.5</x:v>
      </x:c>
      <x:c r="K1673" s="11" t="n">
        <x:f>CHOOSE('假设'!$B$3,H1673,I1673,J1673)</x:f>
        <x:v>0.7200000000000001</x:v>
      </x:c>
      <x:c r="L1673" s="11" t="n">
        <x:f>K1673*'管线假设'!E375*'管线假设'!F375*'管线假设'!G375*IF(E1673="USD",'管线假设'!I375,1)-AM1673</x:f>
        <x:v>0.18000000000000002</x:v>
      </x:c>
      <x:c r="M1673" s="11" t="n">
        <x:f>'管线假设'!H375</x:f>
        <x:v>0.14</x:v>
      </x:c>
      <x:c r="N1673" s="11" t="n">
        <x:f>IF(G1673,L1673*AN1673/(1+M1673)^F1673,0)</x:f>
        <x:v>0.11792010344757733</x:v>
      </x:c>
      <x:c r="AJ1673" t="n">
        <x:v>0</x:v>
      </x:c>
      <x:c r="AK1673" t="n">
        <x:v>0</x:v>
      </x:c>
      <x:c r="AL1673" t="n">
        <x:v>0</x:v>
      </x:c>
      <x:c r="AM1673" t="n">
        <x:f>CHOOSE('假设'!$B$3,AJ1673,AK1673,AL1673)</x:f>
        <x:v>0</x:v>
      </x:c>
      <x:c r="AN1673" t="n">
        <x:v>1</x:v>
      </x:c>
    </x:row>
    <x:row r="1674" ht="23" customHeight="1">
      <x:c r="A1674" s="11" t="str">
        <x:v>688302.SH</x:v>
      </x:c>
      <x:c r="B1674" s="11" t="str">
        <x:v>一年</x:v>
      </x:c>
      <x:c r="C1674" s="11" t="str">
        <x:v>hc1119_later</x:v>
      </x:c>
      <x:c r="D1674" s="11" t="str">
        <x:v>2031-12-31</x:v>
      </x:c>
      <x:c r="E1674" s="11" t="str">
        <x:v>CNY</x:v>
      </x:c>
      <x:c r="F1674" s="11" t="n">
        <x:v>4.227241615331964</x:v>
      </x:c>
      <x:c r="G1674" s="26" t="b">
        <x:v>1</x:v>
      </x:c>
      <x:c r="H1674" s="16" t="n">
        <x:v>0.45</x:v>
      </x:c>
      <x:c r="I1674" s="16" t="n">
        <x:v>0.9</x:v>
      </x:c>
      <x:c r="J1674" s="16" t="n">
        <x:v>1.305</x:v>
      </x:c>
      <x:c r="K1674" s="11" t="n">
        <x:f>CHOOSE('假设'!$B$3,H1674,I1674,J1674)</x:f>
        <x:v>0.9</x:v>
      </x:c>
      <x:c r="L1674" s="11" t="n">
        <x:f>K1674*'管线假设'!E375*'管线假设'!F375*'管线假设'!G375*IF(E1674="USD",'管线假设'!I375,1)-AM1674</x:f>
        <x:v>0.225</x:v>
      </x:c>
      <x:c r="M1674" s="11" t="n">
        <x:f>'管线假设'!H375</x:f>
        <x:v>0.14</x:v>
      </x:c>
      <x:c r="N1674" s="11" t="n">
        <x:f>IF(G1674,L1674*AN1674/(1+M1674)^F1674,0)</x:f>
        <x:v>0.12930995555198022</x:v>
      </x:c>
      <x:c r="AJ1674" t="n">
        <x:v>0</x:v>
      </x:c>
      <x:c r="AK1674" t="n">
        <x:v>0</x:v>
      </x:c>
      <x:c r="AL1674" t="n">
        <x:v>0</x:v>
      </x:c>
      <x:c r="AM1674" t="n">
        <x:f>CHOOSE('假设'!$B$3,AJ1674,AK1674,AL1674)</x:f>
        <x:v>0</x:v>
      </x:c>
      <x:c r="AN1674" t="n">
        <x:v>1</x:v>
      </x:c>
    </x:row>
    <x:row r="1675" ht="23" customHeight="1">
      <x:c r="A1675" s="11" t="str">
        <x:v>688302.SH</x:v>
      </x:c>
      <x:c r="B1675" s="11" t="str">
        <x:v>一年</x:v>
      </x:c>
      <x:c r="C1675" s="11" t="str">
        <x:v>hc1119_later</x:v>
      </x:c>
      <x:c r="D1675" s="11" t="str">
        <x:v>2032-12-31</x:v>
      </x:c>
      <x:c r="E1675" s="11" t="str">
        <x:v>CNY</x:v>
      </x:c>
      <x:c r="F1675" s="11" t="n">
        <x:v>5.229295003422314</x:v>
      </x:c>
      <x:c r="G1675" s="26" t="b">
        <x:v>1</x:v>
      </x:c>
      <x:c r="H1675" s="16" t="n">
        <x:v>0.3915</x:v>
      </x:c>
      <x:c r="I1675" s="16" t="n">
        <x:v>0.783</x:v>
      </x:c>
      <x:c r="J1675" s="16" t="n">
        <x:v>1.1099999999999999</x:v>
      </x:c>
      <x:c r="K1675" s="11" t="n">
        <x:f>CHOOSE('假设'!$B$3,H1675,I1675,J1675)</x:f>
        <x:v>0.783</x:v>
      </x:c>
      <x:c r="L1675" s="11" t="n">
        <x:f>K1675*'管线假设'!E375*'管线假设'!F375*'管线假设'!G375*IF(E1675="USD",'管线假设'!I375,1)-AM1675</x:f>
        <x:v>0.19575</x:v>
      </x:c>
      <x:c r="M1675" s="11" t="n">
        <x:f>'管线假设'!H375</x:f>
        <x:v>0.14</x:v>
      </x:c>
      <x:c r="N1675" s="11" t="n">
        <x:f>IF(G1675,L1675*AN1675/(1+M1675)^F1675,0)</x:f>
        <x:v>0.09865736592725423</x:v>
      </x:c>
      <x:c r="AJ1675" t="n">
        <x:v>0</x:v>
      </x:c>
      <x:c r="AK1675" t="n">
        <x:v>0</x:v>
      </x:c>
      <x:c r="AL1675" t="n">
        <x:v>0</x:v>
      </x:c>
      <x:c r="AM1675" t="n">
        <x:f>CHOOSE('假设'!$B$3,AJ1675,AK1675,AL1675)</x:f>
        <x:v>0</x:v>
      </x:c>
      <x:c r="AN1675" t="n">
        <x:v>1</x:v>
      </x:c>
    </x:row>
    <x:row r="1676" ht="23" customHeight="1">
      <x:c r="A1676" s="11" t="str">
        <x:v>688302.SH</x:v>
      </x:c>
      <x:c r="B1676" s="11" t="str">
        <x:v>一年</x:v>
      </x:c>
      <x:c r="C1676" s="11" t="str">
        <x:v>hc1119_later</x:v>
      </x:c>
      <x:c r="D1676" s="11" t="str">
        <x:v>2033-12-31</x:v>
      </x:c>
      <x:c r="E1676" s="11" t="str">
        <x:v>CNY</x:v>
      </x:c>
      <x:c r="F1676" s="11" t="n">
        <x:v>6.228610540725531</x:v>
      </x:c>
      <x:c r="G1676" s="26" t="b">
        <x:v>1</x:v>
      </x:c>
      <x:c r="H1676" s="16" t="n">
        <x:v>0.333</x:v>
      </x:c>
      <x:c r="I1676" s="16" t="n">
        <x:v>0.666</x:v>
      </x:c>
      <x:c r="J1676" s="16" t="n">
        <x:v>0.915</x:v>
      </x:c>
      <x:c r="K1676" s="11" t="n">
        <x:f>CHOOSE('假设'!$B$3,H1676,I1676,J1676)</x:f>
        <x:v>0.666</x:v>
      </x:c>
      <x:c r="L1676" s="11" t="n">
        <x:f>K1676*'管线假设'!E375*'管线假设'!F375*'管线假设'!G375*IF(E1676="USD",'管线假设'!I375,1)-AM1676</x:f>
        <x:v>0.1665</x:v>
      </x:c>
      <x:c r="M1676" s="11" t="n">
        <x:f>'管线假设'!H375</x:f>
        <x:v>0.14</x:v>
      </x:c>
      <x:c r="N1676" s="11" t="n">
        <x:f>IF(G1676,L1676*AN1676/(1+M1676)^F1676,0)</x:f>
        <x:v>0.07361665515954281</x:v>
      </x:c>
      <x:c r="AJ1676" t="n">
        <x:v>0</x:v>
      </x:c>
      <x:c r="AK1676" t="n">
        <x:v>0</x:v>
      </x:c>
      <x:c r="AL1676" t="n">
        <x:v>0</x:v>
      </x:c>
      <x:c r="AM1676" t="n">
        <x:f>CHOOSE('假设'!$B$3,AJ1676,AK1676,AL1676)</x:f>
        <x:v>0</x:v>
      </x:c>
      <x:c r="AN1676" t="n">
        <x:v>1</x:v>
      </x:c>
    </x:row>
    <x:row r="1677" ht="23" customHeight="1">
      <x:c r="A1677" s="11" t="str">
        <x:v>688302.SH</x:v>
      </x:c>
      <x:c r="B1677" s="11" t="str">
        <x:v>一年</x:v>
      </x:c>
      <x:c r="C1677" s="11" t="str">
        <x:v>hc1119_later</x:v>
      </x:c>
      <x:c r="D1677" s="11" t="str">
        <x:v>2034-12-31</x:v>
      </x:c>
      <x:c r="E1677" s="11" t="str">
        <x:v>CNY</x:v>
      </x:c>
      <x:c r="F1677" s="11" t="n">
        <x:v>7.227926078028747</x:v>
      </x:c>
      <x:c r="G1677" s="26" t="b">
        <x:v>1</x:v>
      </x:c>
      <x:c r="H1677" s="16" t="n">
        <x:v>0.2745</x:v>
      </x:c>
      <x:c r="I1677" s="16" t="n">
        <x:v>0.549</x:v>
      </x:c>
      <x:c r="J1677" s="16" t="n">
        <x:v>0.72</x:v>
      </x:c>
      <x:c r="K1677" s="11" t="n">
        <x:f>CHOOSE('假设'!$B$3,H1677,I1677,J1677)</x:f>
        <x:v>0.549</x:v>
      </x:c>
      <x:c r="L1677" s="11" t="n">
        <x:f>K1677*'管线假设'!E375*'管线假设'!F375*'管线假设'!G375*IF(E1677="USD",'管线假设'!I375,1)-AM1677</x:f>
        <x:v>0.13725</x:v>
      </x:c>
      <x:c r="M1677" s="11" t="n">
        <x:f>'管线假设'!H375</x:f>
        <x:v>0.14</x:v>
      </x:c>
      <x:c r="N1677" s="11" t="n">
        <x:f>IF(G1677,L1677*AN1677/(1+M1677)^F1677,0)</x:f>
        <x:v>0.0532363527620318</x:v>
      </x:c>
      <x:c r="AJ1677" t="n">
        <x:v>0</x:v>
      </x:c>
      <x:c r="AK1677" t="n">
        <x:v>0</x:v>
      </x:c>
      <x:c r="AL1677" t="n">
        <x:v>0</x:v>
      </x:c>
      <x:c r="AM1677" t="n">
        <x:f>CHOOSE('假设'!$B$3,AJ1677,AK1677,AL1677)</x:f>
        <x:v>0</x:v>
      </x:c>
      <x:c r="AN1677" t="n">
        <x:v>1</x:v>
      </x:c>
    </x:row>
    <x:row r="1678" ht="23" customHeight="1">
      <x:c r="A1678" s="11" t="str">
        <x:v>688302.SH</x:v>
      </x:c>
      <x:c r="B1678" s="11" t="str">
        <x:v>一年</x:v>
      </x:c>
      <x:c r="C1678" s="11" t="str">
        <x:v>hc1119_later</x:v>
      </x:c>
      <x:c r="D1678" s="11" t="str">
        <x:v>2035-12-31</x:v>
      </x:c>
      <x:c r="E1678" s="11" t="str">
        <x:v>CNY</x:v>
      </x:c>
      <x:c r="F1678" s="11" t="n">
        <x:v>8.227241615331964</x:v>
      </x:c>
      <x:c r="G1678" s="26" t="b">
        <x:v>1</x:v>
      </x:c>
      <x:c r="H1678" s="16" t="n">
        <x:v>0.216</x:v>
      </x:c>
      <x:c r="I1678" s="16" t="n">
        <x:v>0.432</x:v>
      </x:c>
      <x:c r="J1678" s="16" t="n">
        <x:v>0.5249999999999999</x:v>
      </x:c>
      <x:c r="K1678" s="11" t="n">
        <x:f>CHOOSE('假设'!$B$3,H1678,I1678,J1678)</x:f>
        <x:v>0.432</x:v>
      </x:c>
      <x:c r="L1678" s="11" t="n">
        <x:f>K1678*'管线假设'!E375*'管线假设'!F375*'管线假设'!G375*IF(E1678="USD",'管线假设'!I375,1)-AM1678</x:f>
        <x:v>0.108</x:v>
      </x:c>
      <x:c r="M1678" s="11" t="n">
        <x:f>'管线假设'!H375</x:f>
        <x:v>0.14</x:v>
      </x:c>
      <x:c r="N1678" s="11" t="n">
        <x:f>IF(G1678,L1678*AN1678/(1+M1678)^F1678,0)</x:f>
        <x:v>0.036749699687972794</x:v>
      </x:c>
      <x:c r="AJ1678" t="n">
        <x:v>0</x:v>
      </x:c>
      <x:c r="AK1678" t="n">
        <x:v>0</x:v>
      </x:c>
      <x:c r="AL1678" t="n">
        <x:v>0</x:v>
      </x:c>
      <x:c r="AM1678" t="n">
        <x:f>CHOOSE('假设'!$B$3,AJ1678,AK1678,AL1678)</x:f>
        <x:v>0</x:v>
      </x:c>
      <x:c r="AN1678" t="n">
        <x:v>1</x:v>
      </x:c>
    </x:row>
    <x:row r="1679" ht="23" customHeight="1">
      <x:c r="A1679" s="11" t="str">
        <x:v>688302.SH</x:v>
      </x:c>
      <x:c r="B1679" s="11" t="str">
        <x:v>一年</x:v>
      </x:c>
      <x:c r="C1679" s="11" t="str">
        <x:v>hc1119_later</x:v>
      </x:c>
      <x:c r="D1679" s="11" t="str">
        <x:v>2036-12-31</x:v>
      </x:c>
      <x:c r="E1679" s="11" t="str">
        <x:v>CNY</x:v>
      </x:c>
      <x:c r="F1679" s="11" t="n">
        <x:v>9.229295003422314</x:v>
      </x:c>
      <x:c r="G1679" s="26" t="b">
        <x:v>1</x:v>
      </x:c>
      <x:c r="H1679" s="16" t="n">
        <x:v>0.1575</x:v>
      </x:c>
      <x:c r="I1679" s="16" t="n">
        <x:v>0.315</x:v>
      </x:c>
      <x:c r="J1679" s="16" t="n">
        <x:v>0.32999999999999996</x:v>
      </x:c>
      <x:c r="K1679" s="11" t="n">
        <x:f>CHOOSE('假设'!$B$3,H1679,I1679,J1679)</x:f>
        <x:v>0.315</x:v>
      </x:c>
      <x:c r="L1679" s="11" t="n">
        <x:f>K1679*'管线假设'!E375*'管线假设'!F375*'管线假设'!G375*IF(E1679="USD",'管线假设'!I375,1)-AM1679</x:f>
        <x:v>0.07875</x:v>
      </x:c>
      <x:c r="M1679" s="11" t="n">
        <x:f>'管线假设'!H375</x:f>
        <x:v>0.14</x:v>
      </x:c>
      <x:c r="N1679" s="11" t="n">
        <x:f>IF(G1679,L1679*AN1679/(1+M1679)^F1679,0)</x:f>
        <x:v>0.023499515176996937</x:v>
      </x:c>
      <x:c r="AJ1679" t="n">
        <x:v>0</x:v>
      </x:c>
      <x:c r="AK1679" t="n">
        <x:v>0</x:v>
      </x:c>
      <x:c r="AL1679" t="n">
        <x:v>0</x:v>
      </x:c>
      <x:c r="AM1679" t="n">
        <x:f>CHOOSE('假设'!$B$3,AJ1679,AK1679,AL1679)</x:f>
        <x:v>0</x:v>
      </x:c>
      <x:c r="AN1679" t="n">
        <x:v>1</x:v>
      </x:c>
    </x:row>
    <x:row r="1680" ht="23" customHeight="1">
      <x:c r="A1680" s="11" t="str">
        <x:v>688302.SH</x:v>
      </x:c>
      <x:c r="B1680" s="11" t="str">
        <x:v>一年</x:v>
      </x:c>
      <x:c r="C1680" s="11" t="str">
        <x:v>hc1119_later</x:v>
      </x:c>
      <x:c r="D1680" s="11" t="str">
        <x:v>2037-12-31</x:v>
      </x:c>
      <x:c r="E1680" s="11" t="str">
        <x:v>CNY</x:v>
      </x:c>
      <x:c r="F1680" s="11" t="n">
        <x:v>10.22861054072553</x:v>
      </x:c>
      <x:c r="G1680" s="26" t="b">
        <x:v>1</x:v>
      </x:c>
      <x:c r="H1680" s="16" t="n">
        <x:v>0.09899999999999999</x:v>
      </x:c>
      <x:c r="I1680" s="16" t="n">
        <x:v>0.19799999999999998</x:v>
      </x:c>
      <x:c r="J1680" s="16" t="n">
        <x:v>0.13499999999999995</x:v>
      </x:c>
      <x:c r="K1680" s="11" t="n">
        <x:f>CHOOSE('假设'!$B$3,H1680,I1680,J1680)</x:f>
        <x:v>0.19799999999999998</x:v>
      </x:c>
      <x:c r="L1680" s="11" t="n">
        <x:f>K1680*'管线假设'!E375*'管线假设'!F375*'管线假设'!G375*IF(E1680="USD",'管线假设'!I375,1)-AM1680</x:f>
        <x:v>0.049499999999999995</x:v>
      </x:c>
      <x:c r="M1680" s="11" t="n">
        <x:f>'管线假设'!H375</x:f>
        <x:v>0.14</x:v>
      </x:c>
      <x:c r="N1680" s="11" t="n">
        <x:f>IF(G1680,L1680*AN1680/(1+M1680)^F1680,0)</x:f>
        <x:v>0.012958288261221746</x:v>
      </x:c>
      <x:c r="AJ1680" t="n">
        <x:v>0</x:v>
      </x:c>
      <x:c r="AK1680" t="n">
        <x:v>0</x:v>
      </x:c>
      <x:c r="AL1680" t="n">
        <x:v>0</x:v>
      </x:c>
      <x:c r="AM1680" t="n">
        <x:f>CHOOSE('假设'!$B$3,AJ1680,AK1680,AL1680)</x:f>
        <x:v>0</x:v>
      </x:c>
      <x:c r="AN1680" t="n">
        <x:v>1</x:v>
      </x:c>
    </x:row>
    <x:row r="1681" ht="23" customHeight="1">
      <x:c r="A1681" s="11" t="str">
        <x:v>688302.SH</x:v>
      </x:c>
      <x:c r="B1681" s="11" t="str">
        <x:v>一年</x:v>
      </x:c>
      <x:c r="C1681" s="11" t="str">
        <x:v>hc1119_later</x:v>
      </x:c>
      <x:c r="D1681" s="11" t="str">
        <x:v>2038-12-31</x:v>
      </x:c>
      <x:c r="E1681" s="11" t="str">
        <x:v>CNY</x:v>
      </x:c>
      <x:c r="F1681" s="11" t="n">
        <x:v>11.227926078028748</x:v>
      </x:c>
      <x:c r="G1681" s="26" t="b">
        <x:v>1</x:v>
      </x:c>
      <x:c r="H1681" s="16" t="n">
        <x:v>0.04049999999999999</x:v>
      </x:c>
      <x:c r="I1681" s="16" t="n">
        <x:v>0.08099999999999997</x:v>
      </x:c>
      <x:c r="J1681" s="16" t="n">
        <x:v>0</x:v>
      </x:c>
      <x:c r="K1681" s="11" t="n">
        <x:f>CHOOSE('假设'!$B$3,H1681,I1681,J1681)</x:f>
        <x:v>0.08099999999999997</x:v>
      </x:c>
      <x:c r="L1681" s="11" t="n">
        <x:f>K1681*'管线假设'!E375*'管线假设'!F375*'管线假设'!G375*IF(E1681="USD",'管线假设'!I375,1)-AM1681</x:f>
        <x:v>0.020249999999999994</x:v>
      </x:c>
      <x:c r="M1681" s="11" t="n">
        <x:f>'管线假设'!H375</x:f>
        <x:v>0.14</x:v>
      </x:c>
      <x:c r="N1681" s="11" t="n">
        <x:f>IF(G1681,L1681*AN1681/(1+M1681)^F1681,0)</x:f>
        <x:v>0.0046505205014047415</x:v>
      </x:c>
      <x:c r="AJ1681" t="n">
        <x:v>0</x:v>
      </x:c>
      <x:c r="AK1681" t="n">
        <x:v>0</x:v>
      </x:c>
      <x:c r="AL1681" t="n">
        <x:v>0</x:v>
      </x:c>
      <x:c r="AM1681" t="n">
        <x:f>CHOOSE('假设'!$B$3,AJ1681,AK1681,AL1681)</x:f>
        <x:v>0</x:v>
      </x:c>
      <x:c r="AN1681" t="n">
        <x:v>1</x:v>
      </x:c>
    </x:row>
    <x:row r="1682" ht="23" customHeight="1">
      <x:c r="A1682" s="11" t="str">
        <x:v>688302.SH</x:v>
      </x:c>
      <x:c r="B1682" s="11" t="str">
        <x:v>一年</x:v>
      </x:c>
      <x:c r="C1682" s="11" t="str">
        <x:v>hc1119_later</x:v>
      </x:c>
      <x:c r="D1682" s="11" t="str">
        <x:v>2039-12-31</x:v>
      </x:c>
      <x:c r="E1682" s="11" t="str">
        <x:v>CNY</x:v>
      </x:c>
      <x:c r="F1682" s="11" t="n">
        <x:v>12.227241615331964</x:v>
      </x:c>
      <x:c r="G1682" s="26" t="b">
        <x:v>1</x:v>
      </x:c>
      <x:c r="H1682" s="16" t="n">
        <x:v>0</x:v>
      </x:c>
      <x:c r="I1682" s="16" t="n">
        <x:v>0</x:v>
      </x:c>
      <x:c r="J1682" s="16" t="n">
        <x:v>0</x:v>
      </x:c>
      <x:c r="K1682" s="11" t="n">
        <x:f>CHOOSE('假设'!$B$3,H1682,I1682,J1682)</x:f>
        <x:v>0</x:v>
      </x:c>
      <x:c r="L1682" s="11" t="n">
        <x:f>K1682*'管线假设'!E375*'管线假设'!F375*'管线假设'!G375*IF(E1682="USD",'管线假设'!I375,1)-AM1682</x:f>
        <x:v>0</x:v>
      </x:c>
      <x:c r="M1682" s="11" t="n">
        <x:f>'管线假设'!H375</x:f>
        <x:v>0.14</x:v>
      </x:c>
      <x:c r="N1682" s="11" t="n">
        <x:f>IF(G1682,L1682*AN1682/(1+M1682)^F1682,0)</x:f>
        <x:v>0</x:v>
      </x:c>
      <x:c r="AJ1682" t="n">
        <x:v>0</x:v>
      </x:c>
      <x:c r="AK1682" t="n">
        <x:v>0</x:v>
      </x:c>
      <x:c r="AL1682" t="n">
        <x:v>0</x:v>
      </x:c>
      <x:c r="AM1682" t="n">
        <x:f>CHOOSE('假设'!$B$3,AJ1682,AK1682,AL1682)</x:f>
        <x:v>0</x:v>
      </x:c>
      <x:c r="AN1682" t="n">
        <x:v>1</x:v>
      </x:c>
    </x:row>
    <x:row r="1683" ht="23" customHeight="1">
      <x:c r="A1683" s="11" t="str">
        <x:v>688302.SH</x:v>
      </x:c>
      <x:c r="B1683" s="11" t="str">
        <x:v>一年</x:v>
      </x:c>
      <x:c r="C1683" s="11" t="str">
        <x:v>hc1119_later</x:v>
      </x:c>
      <x:c r="D1683" s="11" t="str">
        <x:v>2040-12-31</x:v>
      </x:c>
      <x:c r="E1683" s="11" t="str">
        <x:v>CNY</x:v>
      </x:c>
      <x:c r="F1683" s="11" t="n">
        <x:v>13.229295003422314</x:v>
      </x:c>
      <x:c r="G1683" s="26" t="b">
        <x:v>1</x:v>
      </x:c>
      <x:c r="H1683" s="16" t="n">
        <x:v>0</x:v>
      </x:c>
      <x:c r="I1683" s="16" t="n">
        <x:v>0</x:v>
      </x:c>
      <x:c r="J1683" s="16" t="n">
        <x:v>0</x:v>
      </x:c>
      <x:c r="K1683" s="11" t="n">
        <x:f>CHOOSE('假设'!$B$3,H1683,I1683,J1683)</x:f>
        <x:v>0</x:v>
      </x:c>
      <x:c r="L1683" s="11" t="n">
        <x:f>K1683*'管线假设'!E375*'管线假设'!F375*'管线假设'!G375*IF(E1683="USD",'管线假设'!I375,1)-AM1683</x:f>
        <x:v>0</x:v>
      </x:c>
      <x:c r="M1683" s="11" t="n">
        <x:f>'管线假设'!H375</x:f>
        <x:v>0.14</x:v>
      </x:c>
      <x:c r="N1683" s="11" t="n">
        <x:f>IF(G1683,L1683*AN1683/(1+M1683)^F1683,0)</x:f>
        <x:v>0</x:v>
      </x:c>
      <x:c r="AJ1683" t="n">
        <x:v>0</x:v>
      </x:c>
      <x:c r="AK1683" t="n">
        <x:v>0</x:v>
      </x:c>
      <x:c r="AL1683" t="n">
        <x:v>0</x:v>
      </x:c>
      <x:c r="AM1683" t="n">
        <x:f>CHOOSE('假设'!$B$3,AJ1683,AK1683,AL1683)</x:f>
        <x:v>0</x:v>
      </x:c>
      <x:c r="AN1683" t="n">
        <x:v>1</x:v>
      </x:c>
    </x:row>
    <x:row r="1684" ht="23" customHeight="1">
      <x:c r="A1684" s="11" t="str">
        <x:v>688302.SH</x:v>
      </x:c>
      <x:c r="B1684" s="11" t="str">
        <x:v>一年</x:v>
      </x:c>
      <x:c r="C1684" s="11" t="str">
        <x:v>hc1119_later</x:v>
      </x:c>
      <x:c r="D1684" s="11" t="str">
        <x:v>2041-12-31</x:v>
      </x:c>
      <x:c r="E1684" s="11" t="str">
        <x:v>CNY</x:v>
      </x:c>
      <x:c r="F1684" s="11" t="n">
        <x:v>14.22861054072553</x:v>
      </x:c>
      <x:c r="G1684" s="26" t="b">
        <x:v>1</x:v>
      </x:c>
      <x:c r="H1684" s="16" t="n">
        <x:v>0</x:v>
      </x:c>
      <x:c r="I1684" s="16" t="n">
        <x:v>0</x:v>
      </x:c>
      <x:c r="J1684" s="16" t="n">
        <x:v>0</x:v>
      </x:c>
      <x:c r="K1684" s="11" t="n">
        <x:f>CHOOSE('假设'!$B$3,H1684,I1684,J1684)</x:f>
        <x:v>0</x:v>
      </x:c>
      <x:c r="L1684" s="11" t="n">
        <x:f>K1684*'管线假设'!E375*'管线假设'!F375*'管线假设'!G375*IF(E1684="USD",'管线假设'!I375,1)-AM1684</x:f>
        <x:v>0</x:v>
      </x:c>
      <x:c r="M1684" s="11" t="n">
        <x:f>'管线假设'!H375</x:f>
        <x:v>0.14</x:v>
      </x:c>
      <x:c r="N1684" s="11" t="n">
        <x:f>IF(G1684,L1684*AN1684/(1+M1684)^F1684,0)</x:f>
        <x:v>0</x:v>
      </x:c>
      <x:c r="AJ1684" t="n">
        <x:v>0</x:v>
      </x:c>
      <x:c r="AK1684" t="n">
        <x:v>0</x:v>
      </x:c>
      <x:c r="AL1684" t="n">
        <x:v>0</x:v>
      </x:c>
      <x:c r="AM1684" t="n">
        <x:f>CHOOSE('假设'!$B$3,AJ1684,AK1684,AL1684)</x:f>
        <x:v>0</x:v>
      </x:c>
      <x:c r="AN1684" t="n">
        <x:v>1</x:v>
      </x:c>
    </x:row>
    <x:row r="1685" ht="23" customHeight="1">
      <x:c r="A1685" s="11" t="str">
        <x:v>688302.SH</x:v>
      </x:c>
      <x:c r="B1685" s="11" t="str">
        <x:v>一年</x:v>
      </x:c>
      <x:c r="C1685" s="11" t="str">
        <x:v>hc1119_later</x:v>
      </x:c>
      <x:c r="D1685" s="11" t="str">
        <x:v>2042-12-31</x:v>
      </x:c>
      <x:c r="E1685" s="11" t="str">
        <x:v>CNY</x:v>
      </x:c>
      <x:c r="F1685" s="11" t="n">
        <x:v>15.227926078028748</x:v>
      </x:c>
      <x:c r="G1685" s="26" t="b">
        <x:v>1</x:v>
      </x:c>
      <x:c r="H1685" s="16" t="n">
        <x:v>0</x:v>
      </x:c>
      <x:c r="I1685" s="16" t="n">
        <x:v>0</x:v>
      </x:c>
      <x:c r="J1685" s="16" t="n">
        <x:v>0</x:v>
      </x:c>
      <x:c r="K1685" s="11" t="n">
        <x:f>CHOOSE('假设'!$B$3,H1685,I1685,J1685)</x:f>
        <x:v>0</x:v>
      </x:c>
      <x:c r="L1685" s="11" t="n">
        <x:f>K1685*'管线假设'!E375*'管线假设'!F375*'管线假设'!G375*IF(E1685="USD",'管线假设'!I375,1)-AM1685</x:f>
        <x:v>0</x:v>
      </x:c>
      <x:c r="M1685" s="11" t="n">
        <x:f>'管线假设'!H375</x:f>
        <x:v>0.14</x:v>
      </x:c>
      <x:c r="N1685" s="11" t="n">
        <x:f>IF(G1685,L1685*AN1685/(1+M1685)^F1685,0)</x:f>
        <x:v>0</x:v>
      </x:c>
      <x:c r="AJ1685" t="n">
        <x:v>0</x:v>
      </x:c>
      <x:c r="AK1685" t="n">
        <x:v>0</x:v>
      </x:c>
      <x:c r="AL1685" t="n">
        <x:v>0</x:v>
      </x:c>
      <x:c r="AM1685" t="n">
        <x:f>CHOOSE('假设'!$B$3,AJ1685,AK1685,AL1685)</x:f>
        <x:v>0</x:v>
      </x:c>
      <x:c r="AN1685" t="n">
        <x:v>1</x:v>
      </x:c>
    </x:row>
    <x:row r="1686" ht="23" customHeight="1">
      <x:c r="A1686" s="11" t="str">
        <x:v>688302.SH</x:v>
      </x:c>
      <x:c r="B1686" s="11" t="str">
        <x:v>一年</x:v>
      </x:c>
      <x:c r="C1686" s="11" t="str">
        <x:v>hc1119_later</x:v>
      </x:c>
      <x:c r="D1686" s="11" t="str">
        <x:v>2043-12-31</x:v>
      </x:c>
      <x:c r="E1686" s="11" t="str">
        <x:v>CNY</x:v>
      </x:c>
      <x:c r="F1686" s="11" t="n">
        <x:v>16.227241615331966</x:v>
      </x:c>
      <x:c r="G1686" s="26" t="b">
        <x:v>1</x:v>
      </x:c>
      <x:c r="H1686" s="16" t="n">
        <x:v>0</x:v>
      </x:c>
      <x:c r="I1686" s="16" t="n">
        <x:v>0</x:v>
      </x:c>
      <x:c r="J1686" s="16" t="n">
        <x:v>0</x:v>
      </x:c>
      <x:c r="K1686" s="11" t="n">
        <x:f>CHOOSE('假设'!$B$3,H1686,I1686,J1686)</x:f>
        <x:v>0</x:v>
      </x:c>
      <x:c r="L1686" s="11" t="n">
        <x:f>K1686*'管线假设'!E375*'管线假设'!F375*'管线假设'!G375*IF(E1686="USD",'管线假设'!I375,1)-AM1686</x:f>
        <x:v>0</x:v>
      </x:c>
      <x:c r="M1686" s="11" t="n">
        <x:f>'管线假设'!H375</x:f>
        <x:v>0.14</x:v>
      </x:c>
      <x:c r="N1686" s="11" t="n">
        <x:f>IF(G1686,L1686*AN1686/(1+M1686)^F1686,0)</x:f>
        <x:v>0</x:v>
      </x:c>
      <x:c r="AJ1686" t="n">
        <x:v>0</x:v>
      </x:c>
      <x:c r="AK1686" t="n">
        <x:v>0</x:v>
      </x:c>
      <x:c r="AL1686" t="n">
        <x:v>0</x:v>
      </x:c>
      <x:c r="AM1686" t="n">
        <x:f>CHOOSE('假设'!$B$3,AJ1686,AK1686,AL1686)</x:f>
        <x:v>0</x:v>
      </x:c>
      <x:c r="AN1686" t="n">
        <x:v>1</x:v>
      </x:c>
    </x:row>
    <x:row r="1687" ht="23" customHeight="1">
      <x:c r="A1687" s="11" t="str">
        <x:v>688302.SH</x:v>
      </x:c>
      <x:c r="B1687" s="11" t="str">
        <x:v>一年</x:v>
      </x:c>
      <x:c r="C1687" s="11" t="str">
        <x:v>hc1119_later</x:v>
      </x:c>
      <x:c r="D1687" s="11" t="str">
        <x:v>2044-12-31</x:v>
      </x:c>
      <x:c r="E1687" s="11" t="str">
        <x:v>CNY</x:v>
      </x:c>
      <x:c r="F1687" s="11" t="n">
        <x:v>17.229295003422312</x:v>
      </x:c>
      <x:c r="G1687" s="26" t="b">
        <x:v>1</x:v>
      </x:c>
      <x:c r="H1687" s="16" t="n">
        <x:v>0</x:v>
      </x:c>
      <x:c r="I1687" s="16" t="n">
        <x:v>0</x:v>
      </x:c>
      <x:c r="J1687" s="16" t="n">
        <x:v>0</x:v>
      </x:c>
      <x:c r="K1687" s="11" t="n">
        <x:f>CHOOSE('假设'!$B$3,H1687,I1687,J1687)</x:f>
        <x:v>0</x:v>
      </x:c>
      <x:c r="L1687" s="11" t="n">
        <x:f>K1687*'管线假设'!E375*'管线假设'!F375*'管线假设'!G375*IF(E1687="USD",'管线假设'!I375,1)-AM1687</x:f>
        <x:v>0</x:v>
      </x:c>
      <x:c r="M1687" s="11" t="n">
        <x:f>'管线假设'!H375</x:f>
        <x:v>0.14</x:v>
      </x:c>
      <x:c r="N1687" s="11" t="n">
        <x:f>IF(G1687,L1687*AN1687/(1+M1687)^F1687,0)</x:f>
        <x:v>0</x:v>
      </x:c>
      <x:c r="AJ1687" t="n">
        <x:v>0</x:v>
      </x:c>
      <x:c r="AK1687" t="n">
        <x:v>0</x:v>
      </x:c>
      <x:c r="AL1687" t="n">
        <x:v>0</x:v>
      </x:c>
      <x:c r="AM1687" t="n">
        <x:f>CHOOSE('假设'!$B$3,AJ1687,AK1687,AL1687)</x:f>
        <x:v>0</x:v>
      </x:c>
      <x:c r="AN1687" t="n">
        <x:v>1</x:v>
      </x:c>
    </x:row>
    <x:row r="1688" ht="23" customHeight="1">
      <x:c r="A1688" s="11" t="str">
        <x:v>688302.SH</x:v>
      </x:c>
      <x:c r="B1688" s="11" t="str">
        <x:v>一年</x:v>
      </x:c>
      <x:c r="C1688" s="11" t="str">
        <x:v>hc1119_later</x:v>
      </x:c>
      <x:c r="D1688" s="11" t="str">
        <x:v>2045-12-31</x:v>
      </x:c>
      <x:c r="E1688" s="11" t="str">
        <x:v>CNY</x:v>
      </x:c>
      <x:c r="F1688" s="11" t="n">
        <x:v>18.22861054072553</x:v>
      </x:c>
      <x:c r="G1688" s="26" t="b">
        <x:v>1</x:v>
      </x:c>
      <x:c r="H1688" s="16" t="n">
        <x:v>0</x:v>
      </x:c>
      <x:c r="I1688" s="16" t="n">
        <x:v>0</x:v>
      </x:c>
      <x:c r="J1688" s="16" t="n">
        <x:v>0</x:v>
      </x:c>
      <x:c r="K1688" s="11" t="n">
        <x:f>CHOOSE('假设'!$B$3,H1688,I1688,J1688)</x:f>
        <x:v>0</x:v>
      </x:c>
      <x:c r="L1688" s="11" t="n">
        <x:f>K1688*'管线假设'!E375*'管线假设'!F375*'管线假设'!G375*IF(E1688="USD",'管线假设'!I375,1)-AM1688</x:f>
        <x:v>0</x:v>
      </x:c>
      <x:c r="M1688" s="11" t="n">
        <x:f>'管线假设'!H375</x:f>
        <x:v>0.14</x:v>
      </x:c>
      <x:c r="N1688" s="11" t="n">
        <x:f>IF(G1688,L1688*AN1688/(1+M1688)^F1688,0)</x:f>
        <x:v>0</x:v>
      </x:c>
      <x:c r="AJ1688" t="n">
        <x:v>0</x:v>
      </x:c>
      <x:c r="AK1688" t="n">
        <x:v>0</x:v>
      </x:c>
      <x:c r="AL1688" t="n">
        <x:v>0</x:v>
      </x:c>
      <x:c r="AM1688" t="n">
        <x:f>CHOOSE('假设'!$B$3,AJ1688,AK1688,AL1688)</x:f>
        <x:v>0</x:v>
      </x:c>
      <x:c r="AN1688" t="n">
        <x:v>1</x:v>
      </x:c>
    </x:row>
    <x:row r="1689" ht="23" customHeight="1">
      <x:c r="A1689" s="11" t="str">
        <x:v>688302.SH</x:v>
      </x:c>
      <x:c r="B1689" s="11" t="str">
        <x:v>一年</x:v>
      </x:c>
      <x:c r="C1689" s="11" t="str">
        <x:v>hc1119_bcr</x:v>
      </x:c>
      <x:c r="D1689" s="11" t="str">
        <x:v>2027-12-31</x:v>
      </x:c>
      <x:c r="E1689" s="11" t="str">
        <x:v>CNY</x:v>
      </x:c>
      <x:c r="F1689" s="11" t="n">
        <x:v>0.2272416153319644</x:v>
      </x:c>
      <x:c r="G1689" s="26" t="b">
        <x:v>1</x:v>
      </x:c>
      <x:c r="H1689" s="16" t="n">
        <x:v>0</x:v>
      </x:c>
      <x:c r="I1689" s="16" t="n">
        <x:v>0</x:v>
      </x:c>
      <x:c r="J1689" s="16" t="n">
        <x:v>0</x:v>
      </x:c>
      <x:c r="K1689" s="11" t="n">
        <x:f>CHOOSE('假设'!$B$3,H1689,I1689,J1689)</x:f>
        <x:v>0</x:v>
      </x:c>
      <x:c r="L1689" s="11" t="n">
        <x:f>K1689*'管线假设'!E379*'管线假设'!F379*'管线假设'!G379*IF(E1689="USD",'管线假设'!I379,1)-AM1689</x:f>
        <x:v>0</x:v>
      </x:c>
      <x:c r="M1689" s="11" t="n">
        <x:f>'管线假设'!H379</x:f>
        <x:v>0.14</x:v>
      </x:c>
      <x:c r="N1689" s="11" t="n">
        <x:f>IF(G1689,L1689*AN1689/(1+M1689)^F1689,0)</x:f>
        <x:v>0</x:v>
      </x:c>
      <x:c r="AJ1689" t="n">
        <x:v>0</x:v>
      </x:c>
      <x:c r="AK1689" t="n">
        <x:v>0</x:v>
      </x:c>
      <x:c r="AL1689" t="n">
        <x:v>0</x:v>
      </x:c>
      <x:c r="AM1689" t="n">
        <x:f>CHOOSE('假设'!$B$3,AJ1689,AK1689,AL1689)</x:f>
        <x:v>0</x:v>
      </x:c>
      <x:c r="AN1689" t="n">
        <x:v>1</x:v>
      </x:c>
    </x:row>
    <x:row r="1690" ht="23" customHeight="1">
      <x:c r="A1690" s="11" t="str">
        <x:v>688302.SH</x:v>
      </x:c>
      <x:c r="B1690" s="11" t="str">
        <x:v>一年</x:v>
      </x:c>
      <x:c r="C1690" s="11" t="str">
        <x:v>hc1119_bcr</x:v>
      </x:c>
      <x:c r="D1690" s="11" t="str">
        <x:v>2028-12-31</x:v>
      </x:c>
      <x:c r="E1690" s="11" t="str">
        <x:v>CNY</x:v>
      </x:c>
      <x:c r="F1690" s="11" t="n">
        <x:v>1.2292950034223136</x:v>
      </x:c>
      <x:c r="G1690" s="26" t="b">
        <x:v>1</x:v>
      </x:c>
      <x:c r="H1690" s="16" t="n">
        <x:v>0</x:v>
      </x:c>
      <x:c r="I1690" s="16" t="n">
        <x:v>0</x:v>
      </x:c>
      <x:c r="J1690" s="16" t="n">
        <x:v>0</x:v>
      </x:c>
      <x:c r="K1690" s="11" t="n">
        <x:f>CHOOSE('假设'!$B$3,H1690,I1690,J1690)</x:f>
        <x:v>0</x:v>
      </x:c>
      <x:c r="L1690" s="11" t="n">
        <x:f>K1690*'管线假设'!E379*'管线假设'!F379*'管线假设'!G379*IF(E1690="USD",'管线假设'!I379,1)-AM1690</x:f>
        <x:v>0</x:v>
      </x:c>
      <x:c r="M1690" s="11" t="n">
        <x:f>'管线假设'!H379</x:f>
        <x:v>0.14</x:v>
      </x:c>
      <x:c r="N1690" s="11" t="n">
        <x:f>IF(G1690,L1690*AN1690/(1+M1690)^F1690,0)</x:f>
        <x:v>0</x:v>
      </x:c>
      <x:c r="AJ1690" t="n">
        <x:v>0</x:v>
      </x:c>
      <x:c r="AK1690" t="n">
        <x:v>0</x:v>
      </x:c>
      <x:c r="AL1690" t="n">
        <x:v>0</x:v>
      </x:c>
      <x:c r="AM1690" t="n">
        <x:f>CHOOSE('假设'!$B$3,AJ1690,AK1690,AL1690)</x:f>
        <x:v>0</x:v>
      </x:c>
      <x:c r="AN1690" t="n">
        <x:v>1</x:v>
      </x:c>
    </x:row>
    <x:row r="1691" ht="23" customHeight="1">
      <x:c r="A1691" s="11" t="str">
        <x:v>688302.SH</x:v>
      </x:c>
      <x:c r="B1691" s="11" t="str">
        <x:v>一年</x:v>
      </x:c>
      <x:c r="C1691" s="11" t="str">
        <x:v>hc1119_bcr</x:v>
      </x:c>
      <x:c r="D1691" s="11" t="str">
        <x:v>2029-12-31</x:v>
      </x:c>
      <x:c r="E1691" s="11" t="str">
        <x:v>CNY</x:v>
      </x:c>
      <x:c r="F1691" s="11" t="n">
        <x:v>2.2286105407255303</x:v>
      </x:c>
      <x:c r="G1691" s="26" t="b">
        <x:v>1</x:v>
      </x:c>
      <x:c r="H1691" s="16" t="n">
        <x:v>0</x:v>
      </x:c>
      <x:c r="I1691" s="16" t="n">
        <x:v>0</x:v>
      </x:c>
      <x:c r="J1691" s="16" t="n">
        <x:v>0.5</x:v>
      </x:c>
      <x:c r="K1691" s="11" t="n">
        <x:f>CHOOSE('假设'!$B$3,H1691,I1691,J1691)</x:f>
        <x:v>0</x:v>
      </x:c>
      <x:c r="L1691" s="11" t="n">
        <x:f>K1691*'管线假设'!E379*'管线假设'!F379*'管线假设'!G379*IF(E1691="USD",'管线假设'!I379,1)-AM1691</x:f>
        <x:v>0</x:v>
      </x:c>
      <x:c r="M1691" s="11" t="n">
        <x:f>'管线假设'!H379</x:f>
        <x:v>0.14</x:v>
      </x:c>
      <x:c r="N1691" s="11" t="n">
        <x:f>IF(G1691,L1691*AN1691/(1+M1691)^F1691,0)</x:f>
        <x:v>0</x:v>
      </x:c>
      <x:c r="AJ1691" t="n">
        <x:v>0</x:v>
      </x:c>
      <x:c r="AK1691" t="n">
        <x:v>0</x:v>
      </x:c>
      <x:c r="AL1691" t="n">
        <x:v>0</x:v>
      </x:c>
      <x:c r="AM1691" t="n">
        <x:f>CHOOSE('假设'!$B$3,AJ1691,AK1691,AL1691)</x:f>
        <x:v>0</x:v>
      </x:c>
      <x:c r="AN1691" t="n">
        <x:v>1</x:v>
      </x:c>
    </x:row>
    <x:row r="1692" ht="23" customHeight="1">
      <x:c r="A1692" s="11" t="str">
        <x:v>688302.SH</x:v>
      </x:c>
      <x:c r="B1692" s="11" t="str">
        <x:v>一年</x:v>
      </x:c>
      <x:c r="C1692" s="11" t="str">
        <x:v>hc1119_bcr</x:v>
      </x:c>
      <x:c r="D1692" s="11" t="str">
        <x:v>2030-12-31</x:v>
      </x:c>
      <x:c r="E1692" s="11" t="str">
        <x:v>CNY</x:v>
      </x:c>
      <x:c r="F1692" s="11" t="n">
        <x:v>3.2279260780287475</x:v>
      </x:c>
      <x:c r="G1692" s="26" t="b">
        <x:v>1</x:v>
      </x:c>
      <x:c r="H1692" s="16" t="n">
        <x:v>0</x:v>
      </x:c>
      <x:c r="I1692" s="16" t="n">
        <x:v>0</x:v>
      </x:c>
      <x:c r="J1692" s="16" t="n">
        <x:v>1</x:v>
      </x:c>
      <x:c r="K1692" s="11" t="n">
        <x:f>CHOOSE('假设'!$B$3,H1692,I1692,J1692)</x:f>
        <x:v>0</x:v>
      </x:c>
      <x:c r="L1692" s="11" t="n">
        <x:f>K1692*'管线假设'!E379*'管线假设'!F379*'管线假设'!G379*IF(E1692="USD",'管线假设'!I379,1)-AM1692</x:f>
        <x:v>0</x:v>
      </x:c>
      <x:c r="M1692" s="11" t="n">
        <x:f>'管线假设'!H379</x:f>
        <x:v>0.14</x:v>
      </x:c>
      <x:c r="N1692" s="11" t="n">
        <x:f>IF(G1692,L1692*AN1692/(1+M1692)^F1692,0)</x:f>
        <x:v>0</x:v>
      </x:c>
      <x:c r="AJ1692" t="n">
        <x:v>0</x:v>
      </x:c>
      <x:c r="AK1692" t="n">
        <x:v>0</x:v>
      </x:c>
      <x:c r="AL1692" t="n">
        <x:v>0</x:v>
      </x:c>
      <x:c r="AM1692" t="n">
        <x:f>CHOOSE('假设'!$B$3,AJ1692,AK1692,AL1692)</x:f>
        <x:v>0</x:v>
      </x:c>
      <x:c r="AN1692" t="n">
        <x:v>1</x:v>
      </x:c>
    </x:row>
    <x:row r="1693" ht="23" customHeight="1">
      <x:c r="A1693" s="11" t="str">
        <x:v>688302.SH</x:v>
      </x:c>
      <x:c r="B1693" s="11" t="str">
        <x:v>一年</x:v>
      </x:c>
      <x:c r="C1693" s="11" t="str">
        <x:v>hc1119_bcr</x:v>
      </x:c>
      <x:c r="D1693" s="11" t="str">
        <x:v>2031-12-31</x:v>
      </x:c>
      <x:c r="E1693" s="11" t="str">
        <x:v>CNY</x:v>
      </x:c>
      <x:c r="F1693" s="11" t="n">
        <x:v>4.227241615331964</x:v>
      </x:c>
      <x:c r="G1693" s="26" t="b">
        <x:v>1</x:v>
      </x:c>
      <x:c r="H1693" s="16" t="n">
        <x:v>0</x:v>
      </x:c>
      <x:c r="I1693" s="16" t="n">
        <x:v>0.3</x:v>
      </x:c>
      <x:c r="J1693" s="16" t="n">
        <x:v>1.5</x:v>
      </x:c>
      <x:c r="K1693" s="11" t="n">
        <x:f>CHOOSE('假设'!$B$3,H1693,I1693,J1693)</x:f>
        <x:v>0.3</x:v>
      </x:c>
      <x:c r="L1693" s="11" t="n">
        <x:f>K1693*'管线假设'!E379*'管线假设'!F379*'管线假设'!G379*IF(E1693="USD",'管线假设'!I379,1)-AM1693</x:f>
        <x:v>0.035812500000000004</x:v>
      </x:c>
      <x:c r="M1693" s="11" t="n">
        <x:f>'管线假设'!H379</x:f>
        <x:v>0.14</x:v>
      </x:c>
      <x:c r="N1693" s="11" t="n">
        <x:f>IF(G1693,L1693*AN1693/(1+M1693)^F1693,0)</x:f>
        <x:v>0.02058183459202352</x:v>
      </x:c>
      <x:c r="AJ1693" t="n">
        <x:v>0</x:v>
      </x:c>
      <x:c r="AK1693" t="n">
        <x:v>0</x:v>
      </x:c>
      <x:c r="AL1693" t="n">
        <x:v>0</x:v>
      </x:c>
      <x:c r="AM1693" t="n">
        <x:f>CHOOSE('假设'!$B$3,AJ1693,AK1693,AL1693)</x:f>
        <x:v>0</x:v>
      </x:c>
      <x:c r="AN1693" t="n">
        <x:v>1</x:v>
      </x:c>
    </x:row>
    <x:row r="1694" ht="23" customHeight="1">
      <x:c r="A1694" s="11" t="str">
        <x:v>688302.SH</x:v>
      </x:c>
      <x:c r="B1694" s="11" t="str">
        <x:v>一年</x:v>
      </x:c>
      <x:c r="C1694" s="11" t="str">
        <x:v>hc1119_bcr</x:v>
      </x:c>
      <x:c r="D1694" s="11" t="str">
        <x:v>2032-12-31</x:v>
      </x:c>
      <x:c r="E1694" s="11" t="str">
        <x:v>CNY</x:v>
      </x:c>
      <x:c r="F1694" s="11" t="n">
        <x:v>5.229295003422314</x:v>
      </x:c>
      <x:c r="G1694" s="26" t="b">
        <x:v>1</x:v>
      </x:c>
      <x:c r="H1694" s="16" t="n">
        <x:v>0</x:v>
      </x:c>
      <x:c r="I1694" s="16" t="n">
        <x:v>0.6</x:v>
      </x:c>
      <x:c r="J1694" s="16" t="n">
        <x:v>2</x:v>
      </x:c>
      <x:c r="K1694" s="11" t="n">
        <x:f>CHOOSE('假设'!$B$3,H1694,I1694,J1694)</x:f>
        <x:v>0.6</x:v>
      </x:c>
      <x:c r="L1694" s="11" t="n">
        <x:f>K1694*'管线假设'!E379*'管线假设'!F379*'管线假设'!G379*IF(E1694="USD",'管线假设'!I379,1)-AM1694</x:f>
        <x:v>0.07162500000000001</x:v>
      </x:c>
      <x:c r="M1694" s="11" t="n">
        <x:f>'管线假设'!H379</x:f>
        <x:v>0.14</x:v>
      </x:c>
      <x:c r="N1694" s="11" t="n">
        <x:f>IF(G1694,L1694*AN1694/(1+M1694)^F1694,0)</x:f>
        <x:v>0.03609876799253939</x:v>
      </x:c>
      <x:c r="AJ1694" t="n">
        <x:v>0</x:v>
      </x:c>
      <x:c r="AK1694" t="n">
        <x:v>0</x:v>
      </x:c>
      <x:c r="AL1694" t="n">
        <x:v>0</x:v>
      </x:c>
      <x:c r="AM1694" t="n">
        <x:f>CHOOSE('假设'!$B$3,AJ1694,AK1694,AL1694)</x:f>
        <x:v>0</x:v>
      </x:c>
      <x:c r="AN1694" t="n">
        <x:v>1</x:v>
      </x:c>
    </x:row>
    <x:row r="1695" ht="23" customHeight="1">
      <x:c r="A1695" s="11" t="str">
        <x:v>688302.SH</x:v>
      </x:c>
      <x:c r="B1695" s="11" t="str">
        <x:v>一年</x:v>
      </x:c>
      <x:c r="C1695" s="11" t="str">
        <x:v>hc1119_bcr</x:v>
      </x:c>
      <x:c r="D1695" s="11" t="str">
        <x:v>2033-12-31</x:v>
      </x:c>
      <x:c r="E1695" s="11" t="str">
        <x:v>CNY</x:v>
      </x:c>
      <x:c r="F1695" s="11" t="n">
        <x:v>6.228610540725531</x:v>
      </x:c>
      <x:c r="G1695" s="26" t="b">
        <x:v>1</x:v>
      </x:c>
      <x:c r="H1695" s="16" t="n">
        <x:v>0</x:v>
      </x:c>
      <x:c r="I1695" s="16" t="n">
        <x:v>0.9</x:v>
      </x:c>
      <x:c r="J1695" s="16" t="n">
        <x:v>2.5</x:v>
      </x:c>
      <x:c r="K1695" s="11" t="n">
        <x:f>CHOOSE('假设'!$B$3,H1695,I1695,J1695)</x:f>
        <x:v>0.9</x:v>
      </x:c>
      <x:c r="L1695" s="11" t="n">
        <x:f>K1695*'管线假设'!E379*'管线假设'!F379*'管线假设'!G379*IF(E1695="USD",'管线假设'!I379,1)-AM1695</x:f>
        <x:v>0.1074375</x:v>
      </x:c>
      <x:c r="M1695" s="11" t="n">
        <x:f>'管线假设'!H379</x:f>
        <x:v>0.14</x:v>
      </x:c>
      <x:c r="N1695" s="11" t="n">
        <x:f>IF(G1695,L1695*AN1695/(1+M1695)^F1695,0)</x:f>
        <x:v>0.047502638971191474</x:v>
      </x:c>
      <x:c r="AJ1695" t="n">
        <x:v>0</x:v>
      </x:c>
      <x:c r="AK1695" t="n">
        <x:v>0</x:v>
      </x:c>
      <x:c r="AL1695" t="n">
        <x:v>0</x:v>
      </x:c>
      <x:c r="AM1695" t="n">
        <x:f>CHOOSE('假设'!$B$3,AJ1695,AK1695,AL1695)</x:f>
        <x:v>0</x:v>
      </x:c>
      <x:c r="AN1695" t="n">
        <x:v>1</x:v>
      </x:c>
    </x:row>
    <x:row r="1696" ht="23" customHeight="1">
      <x:c r="A1696" s="11" t="str">
        <x:v>688302.SH</x:v>
      </x:c>
      <x:c r="B1696" s="11" t="str">
        <x:v>一年</x:v>
      </x:c>
      <x:c r="C1696" s="11" t="str">
        <x:v>hc1119_bcr</x:v>
      </x:c>
      <x:c r="D1696" s="11" t="str">
        <x:v>2034-12-31</x:v>
      </x:c>
      <x:c r="E1696" s="11" t="str">
        <x:v>CNY</x:v>
      </x:c>
      <x:c r="F1696" s="11" t="n">
        <x:v>7.227926078028747</x:v>
      </x:c>
      <x:c r="G1696" s="26" t="b">
        <x:v>1</x:v>
      </x:c>
      <x:c r="H1696" s="16" t="n">
        <x:v>0.12</x:v>
      </x:c>
      <x:c r="I1696" s="16" t="n">
        <x:v>1.2</x:v>
      </x:c>
      <x:c r="J1696" s="16" t="n">
        <x:v>3</x:v>
      </x:c>
      <x:c r="K1696" s="11" t="n">
        <x:f>CHOOSE('假设'!$B$3,H1696,I1696,J1696)</x:f>
        <x:v>1.2</x:v>
      </x:c>
      <x:c r="L1696" s="11" t="n">
        <x:f>K1696*'管线假设'!E379*'管线假设'!F379*'管线假设'!G379*IF(E1696="USD",'管线假设'!I379,1)-AM1696</x:f>
        <x:v>0.14325000000000002</x:v>
      </x:c>
      <x:c r="M1696" s="11" t="n">
        <x:f>'管线假设'!H379</x:f>
        <x:v>0.14</x:v>
      </x:c>
      <x:c r="N1696" s="11" t="n">
        <x:f>IF(G1696,L1696*AN1696/(1+M1696)^F1696,0)</x:f>
        <x:v>0.0555636250139239</x:v>
      </x:c>
      <x:c r="AJ1696" t="n">
        <x:v>0</x:v>
      </x:c>
      <x:c r="AK1696" t="n">
        <x:v>0</x:v>
      </x:c>
      <x:c r="AL1696" t="n">
        <x:v>0</x:v>
      </x:c>
      <x:c r="AM1696" t="n">
        <x:f>CHOOSE('假设'!$B$3,AJ1696,AK1696,AL1696)</x:f>
        <x:v>0</x:v>
      </x:c>
      <x:c r="AN1696" t="n">
        <x:v>1</x:v>
      </x:c>
    </x:row>
    <x:row r="1697" ht="23" customHeight="1">
      <x:c r="A1697" s="11" t="str">
        <x:v>688302.SH</x:v>
      </x:c>
      <x:c r="B1697" s="11" t="str">
        <x:v>一年</x:v>
      </x:c>
      <x:c r="C1697" s="11" t="str">
        <x:v>hc1119_bcr</x:v>
      </x:c>
      <x:c r="D1697" s="11" t="str">
        <x:v>2035-12-31</x:v>
      </x:c>
      <x:c r="E1697" s="11" t="str">
        <x:v>CNY</x:v>
      </x:c>
      <x:c r="F1697" s="11" t="n">
        <x:v>8.227241615331964</x:v>
      </x:c>
      <x:c r="G1697" s="26" t="b">
        <x:v>1</x:v>
      </x:c>
      <x:c r="H1697" s="16" t="n">
        <x:v>0.24</x:v>
      </x:c>
      <x:c r="I1697" s="16" t="n">
        <x:v>1.5</x:v>
      </x:c>
      <x:c r="J1697" s="16" t="n">
        <x:v>2.61</x:v>
      </x:c>
      <x:c r="K1697" s="11" t="n">
        <x:f>CHOOSE('假设'!$B$3,H1697,I1697,J1697)</x:f>
        <x:v>1.5</x:v>
      </x:c>
      <x:c r="L1697" s="11" t="n">
        <x:f>K1697*'管线假设'!E379*'管线假设'!F379*'管线假设'!G379*IF(E1697="USD",'管线假设'!I379,1)-AM1697</x:f>
        <x:v>0.1790625</x:v>
      </x:c>
      <x:c r="M1697" s="11" t="n">
        <x:f>'管线假设'!H379</x:f>
        <x:v>0.14</x:v>
      </x:c>
      <x:c r="N1697" s="11" t="n">
        <x:f>IF(G1697,L1697*AN1697/(1+M1697)^F1697,0)</x:f>
        <x:v>0.06093049167016323</x:v>
      </x:c>
      <x:c r="AJ1697" t="n">
        <x:v>0</x:v>
      </x:c>
      <x:c r="AK1697" t="n">
        <x:v>0</x:v>
      </x:c>
      <x:c r="AL1697" t="n">
        <x:v>0</x:v>
      </x:c>
      <x:c r="AM1697" t="n">
        <x:f>CHOOSE('假设'!$B$3,AJ1697,AK1697,AL1697)</x:f>
        <x:v>0</x:v>
      </x:c>
      <x:c r="AN1697" t="n">
        <x:v>1</x:v>
      </x:c>
    </x:row>
    <x:row r="1698" ht="23" customHeight="1">
      <x:c r="A1698" s="11" t="str">
        <x:v>688302.SH</x:v>
      </x:c>
      <x:c r="B1698" s="11" t="str">
        <x:v>一年</x:v>
      </x:c>
      <x:c r="C1698" s="11" t="str">
        <x:v>hc1119_bcr</x:v>
      </x:c>
      <x:c r="D1698" s="11" t="str">
        <x:v>2036-12-31</x:v>
      </x:c>
      <x:c r="E1698" s="11" t="str">
        <x:v>CNY</x:v>
      </x:c>
      <x:c r="F1698" s="11" t="n">
        <x:v>9.229295003422314</x:v>
      </x:c>
      <x:c r="G1698" s="26" t="b">
        <x:v>1</x:v>
      </x:c>
      <x:c r="H1698" s="16" t="n">
        <x:v>0.36</x:v>
      </x:c>
      <x:c r="I1698" s="16" t="n">
        <x:v>1.8</x:v>
      </x:c>
      <x:c r="J1698" s="16" t="n">
        <x:v>2.2199999999999998</x:v>
      </x:c>
      <x:c r="K1698" s="11" t="n">
        <x:f>CHOOSE('假设'!$B$3,H1698,I1698,J1698)</x:f>
        <x:v>1.8</x:v>
      </x:c>
      <x:c r="L1698" s="11" t="n">
        <x:f>K1698*'管线假设'!E379*'管线假设'!F379*'管线假设'!G379*IF(E1698="USD",'管线假设'!I379,1)-AM1698</x:f>
        <x:v>0.214875</x:v>
      </x:c>
      <x:c r="M1698" s="11" t="n">
        <x:f>'管线假设'!H379</x:f>
        <x:v>0.14</x:v>
      </x:c>
      <x:c r="N1698" s="11" t="n">
        <x:f>IF(G1698,L1698*AN1698/(1+M1698)^F1698,0)</x:f>
        <x:v>0.0641201056972345</x:v>
      </x:c>
      <x:c r="AJ1698" t="n">
        <x:v>0</x:v>
      </x:c>
      <x:c r="AK1698" t="n">
        <x:v>0</x:v>
      </x:c>
      <x:c r="AL1698" t="n">
        <x:v>0</x:v>
      </x:c>
      <x:c r="AM1698" t="n">
        <x:f>CHOOSE('假设'!$B$3,AJ1698,AK1698,AL1698)</x:f>
        <x:v>0</x:v>
      </x:c>
      <x:c r="AN1698" t="n">
        <x:v>1</x:v>
      </x:c>
    </x:row>
    <x:row r="1699" ht="23" customHeight="1">
      <x:c r="A1699" s="11" t="str">
        <x:v>688302.SH</x:v>
      </x:c>
      <x:c r="B1699" s="11" t="str">
        <x:v>一年</x:v>
      </x:c>
      <x:c r="C1699" s="11" t="str">
        <x:v>hc1119_bcr</x:v>
      </x:c>
      <x:c r="D1699" s="11" t="str">
        <x:v>2037-12-31</x:v>
      </x:c>
      <x:c r="E1699" s="11" t="str">
        <x:v>CNY</x:v>
      </x:c>
      <x:c r="F1699" s="11" t="n">
        <x:v>10.22861054072553</x:v>
      </x:c>
      <x:c r="G1699" s="26" t="b">
        <x:v>1</x:v>
      </x:c>
      <x:c r="H1699" s="16" t="n">
        <x:v>0.48</x:v>
      </x:c>
      <x:c r="I1699" s="16" t="n">
        <x:v>1.566</x:v>
      </x:c>
      <x:c r="J1699" s="16" t="n">
        <x:v>1.83</x:v>
      </x:c>
      <x:c r="K1699" s="11" t="n">
        <x:f>CHOOSE('假设'!$B$3,H1699,I1699,J1699)</x:f>
        <x:v>1.566</x:v>
      </x:c>
      <x:c r="L1699" s="11" t="n">
        <x:f>K1699*'管线假设'!E379*'管线假设'!F379*'管线假设'!G379*IF(E1699="USD",'管线假设'!I379,1)-AM1699</x:f>
        <x:v>0.18694125000000003</x:v>
      </x:c>
      <x:c r="M1699" s="11" t="n">
        <x:f>'管线假设'!H379</x:f>
        <x:v>0.14</x:v>
      </x:c>
      <x:c r="N1699" s="11" t="n">
        <x:f>IF(G1699,L1699*AN1699/(1+M1699)^F1699,0)</x:f>
        <x:v>0.0489381536447095</x:v>
      </x:c>
      <x:c r="AJ1699" t="n">
        <x:v>0</x:v>
      </x:c>
      <x:c r="AK1699" t="n">
        <x:v>0</x:v>
      </x:c>
      <x:c r="AL1699" t="n">
        <x:v>0</x:v>
      </x:c>
      <x:c r="AM1699" t="n">
        <x:f>CHOOSE('假设'!$B$3,AJ1699,AK1699,AL1699)</x:f>
        <x:v>0</x:v>
      </x:c>
      <x:c r="AN1699" t="n">
        <x:v>1</x:v>
      </x:c>
    </x:row>
    <x:row r="1700" ht="23" customHeight="1">
      <x:c r="A1700" s="11" t="str">
        <x:v>688302.SH</x:v>
      </x:c>
      <x:c r="B1700" s="11" t="str">
        <x:v>一年</x:v>
      </x:c>
      <x:c r="C1700" s="11" t="str">
        <x:v>hc1119_bcr</x:v>
      </x:c>
      <x:c r="D1700" s="11" t="str">
        <x:v>2038-12-31</x:v>
      </x:c>
      <x:c r="E1700" s="11" t="str">
        <x:v>CNY</x:v>
      </x:c>
      <x:c r="F1700" s="11" t="n">
        <x:v>11.227926078028748</x:v>
      </x:c>
      <x:c r="G1700" s="26" t="b">
        <x:v>1</x:v>
      </x:c>
      <x:c r="H1700" s="16" t="n">
        <x:v>0.6</x:v>
      </x:c>
      <x:c r="I1700" s="16" t="n">
        <x:v>1.332</x:v>
      </x:c>
      <x:c r="J1700" s="16" t="n">
        <x:v>1.44</x:v>
      </x:c>
      <x:c r="K1700" s="11" t="n">
        <x:f>CHOOSE('假设'!$B$3,H1700,I1700,J1700)</x:f>
        <x:v>1.332</x:v>
      </x:c>
      <x:c r="L1700" s="11" t="n">
        <x:f>K1700*'管线假设'!E379*'管线假设'!F379*'管线假设'!G379*IF(E1700="USD",'管线假设'!I379,1)-AM1700</x:f>
        <x:v>0.15900750000000002</x:v>
      </x:c>
      <x:c r="M1700" s="11" t="n">
        <x:f>'管线假设'!H379</x:f>
        <x:v>0.14</x:v>
      </x:c>
      <x:c r="N1700" s="11" t="n">
        <x:f>IF(G1700,L1700*AN1700/(1+M1700)^F1700,0)</x:f>
        <x:v>0.03651692042603036</x:v>
      </x:c>
      <x:c r="AJ1700" t="n">
        <x:v>0</x:v>
      </x:c>
      <x:c r="AK1700" t="n">
        <x:v>0</x:v>
      </x:c>
      <x:c r="AL1700" t="n">
        <x:v>0</x:v>
      </x:c>
      <x:c r="AM1700" t="n">
        <x:f>CHOOSE('假设'!$B$3,AJ1700,AK1700,AL1700)</x:f>
        <x:v>0</x:v>
      </x:c>
      <x:c r="AN1700" t="n">
        <x:v>1</x:v>
      </x:c>
    </x:row>
    <x:row r="1701" ht="23" customHeight="1">
      <x:c r="A1701" s="11" t="str">
        <x:v>688302.SH</x:v>
      </x:c>
      <x:c r="B1701" s="11" t="str">
        <x:v>一年</x:v>
      </x:c>
      <x:c r="C1701" s="11" t="str">
        <x:v>hc1119_bcr</x:v>
      </x:c>
      <x:c r="D1701" s="11" t="str">
        <x:v>2039-12-31</x:v>
      </x:c>
      <x:c r="E1701" s="11" t="str">
        <x:v>CNY</x:v>
      </x:c>
      <x:c r="F1701" s="11" t="n">
        <x:v>12.227241615331964</x:v>
      </x:c>
      <x:c r="G1701" s="26" t="b">
        <x:v>1</x:v>
      </x:c>
      <x:c r="H1701" s="16" t="n">
        <x:v>0.522</x:v>
      </x:c>
      <x:c r="I1701" s="16" t="n">
        <x:v>1.098</x:v>
      </x:c>
      <x:c r="J1701" s="16" t="n">
        <x:v>1.0499999999999998</x:v>
      </x:c>
      <x:c r="K1701" s="11" t="n">
        <x:f>CHOOSE('假设'!$B$3,H1701,I1701,J1701)</x:f>
        <x:v>1.098</x:v>
      </x:c>
      <x:c r="L1701" s="11" t="n">
        <x:f>K1701*'管线假设'!E379*'管线假设'!F379*'管线假设'!G379*IF(E1701="USD",'管线假设'!I379,1)-AM1701</x:f>
        <x:v>0.13107375000000002</x:v>
      </x:c>
      <x:c r="M1701" s="11" t="n">
        <x:f>'管线假设'!H379</x:f>
        <x:v>0.14</x:v>
      </x:c>
      <x:c r="N1701" s="11" t="n">
        <x:f>IF(G1701,L1701*AN1701/(1+M1701)^F1701,0)</x:f>
        <x:v>0.0264074434429285</x:v>
      </x:c>
      <x:c r="AJ1701" t="n">
        <x:v>0</x:v>
      </x:c>
      <x:c r="AK1701" t="n">
        <x:v>0</x:v>
      </x:c>
      <x:c r="AL1701" t="n">
        <x:v>0</x:v>
      </x:c>
      <x:c r="AM1701" t="n">
        <x:f>CHOOSE('假设'!$B$3,AJ1701,AK1701,AL1701)</x:f>
        <x:v>0</x:v>
      </x:c>
      <x:c r="AN1701" t="n">
        <x:v>1</x:v>
      </x:c>
    </x:row>
    <x:row r="1702" ht="23" customHeight="1">
      <x:c r="A1702" s="11" t="str">
        <x:v>688302.SH</x:v>
      </x:c>
      <x:c r="B1702" s="11" t="str">
        <x:v>一年</x:v>
      </x:c>
      <x:c r="C1702" s="11" t="str">
        <x:v>hc1119_bcr</x:v>
      </x:c>
      <x:c r="D1702" s="11" t="str">
        <x:v>2040-12-31</x:v>
      </x:c>
      <x:c r="E1702" s="11" t="str">
        <x:v>CNY</x:v>
      </x:c>
      <x:c r="F1702" s="11" t="n">
        <x:v>13.229295003422314</x:v>
      </x:c>
      <x:c r="G1702" s="26" t="b">
        <x:v>1</x:v>
      </x:c>
      <x:c r="H1702" s="16" t="n">
        <x:v>0.444</x:v>
      </x:c>
      <x:c r="I1702" s="16" t="n">
        <x:v>0.864</x:v>
      </x:c>
      <x:c r="J1702" s="16" t="n">
        <x:v>0.6599999999999999</x:v>
      </x:c>
      <x:c r="K1702" s="11" t="n">
        <x:f>CHOOSE('假设'!$B$3,H1702,I1702,J1702)</x:f>
        <x:v>0.864</x:v>
      </x:c>
      <x:c r="L1702" s="11" t="n">
        <x:f>K1702*'管线假设'!E379*'管线假设'!F379*'管线假设'!G379*IF(E1702="USD",'管线假设'!I379,1)-AM1702</x:f>
        <x:v>0.10314000000000001</x:v>
      </x:c>
      <x:c r="M1702" s="11" t="n">
        <x:f>'管线假设'!H379</x:f>
        <x:v>0.14</x:v>
      </x:c>
      <x:c r="N1702" s="11" t="n">
        <x:f>IF(G1702,L1702*AN1702/(1+M1702)^F1702,0)</x:f>
        <x:v>0.01822283998378775</x:v>
      </x:c>
      <x:c r="AJ1702" t="n">
        <x:v>0</x:v>
      </x:c>
      <x:c r="AK1702" t="n">
        <x:v>0</x:v>
      </x:c>
      <x:c r="AL1702" t="n">
        <x:v>0</x:v>
      </x:c>
      <x:c r="AM1702" t="n">
        <x:f>CHOOSE('假设'!$B$3,AJ1702,AK1702,AL1702)</x:f>
        <x:v>0</x:v>
      </x:c>
      <x:c r="AN1702" t="n">
        <x:v>1</x:v>
      </x:c>
    </x:row>
    <x:row r="1703" ht="23" customHeight="1">
      <x:c r="A1703" s="11" t="str">
        <x:v>688302.SH</x:v>
      </x:c>
      <x:c r="B1703" s="11" t="str">
        <x:v>一年</x:v>
      </x:c>
      <x:c r="C1703" s="11" t="str">
        <x:v>hc1119_bcr</x:v>
      </x:c>
      <x:c r="D1703" s="11" t="str">
        <x:v>2041-12-31</x:v>
      </x:c>
      <x:c r="E1703" s="11" t="str">
        <x:v>CNY</x:v>
      </x:c>
      <x:c r="F1703" s="11" t="n">
        <x:v>14.22861054072553</x:v>
      </x:c>
      <x:c r="G1703" s="26" t="b">
        <x:v>1</x:v>
      </x:c>
      <x:c r="H1703" s="16" t="n">
        <x:v>0.366</x:v>
      </x:c>
      <x:c r="I1703" s="16" t="n">
        <x:v>0.63</x:v>
      </x:c>
      <x:c r="J1703" s="16" t="n">
        <x:v>0.2699999999999999</x:v>
      </x:c>
      <x:c r="K1703" s="11" t="n">
        <x:f>CHOOSE('假设'!$B$3,H1703,I1703,J1703)</x:f>
        <x:v>0.63</x:v>
      </x:c>
      <x:c r="L1703" s="11" t="n">
        <x:f>K1703*'管线假设'!E379*'管线假设'!F379*'管线假设'!G379*IF(E1703="USD",'管线假设'!I379,1)-AM1703</x:f>
        <x:v>0.07520625</x:v>
      </x:c>
      <x:c r="M1703" s="11" t="n">
        <x:f>'管线假设'!H379</x:f>
        <x:v>0.14</x:v>
      </x:c>
      <x:c r="N1703" s="11" t="n">
        <x:f>IF(G1703,L1703*AN1703/(1+M1703)^F1703,0)</x:f>
        <x:v>0.011656736154460449</x:v>
      </x:c>
      <x:c r="AJ1703" t="n">
        <x:v>0</x:v>
      </x:c>
      <x:c r="AK1703" t="n">
        <x:v>0</x:v>
      </x:c>
      <x:c r="AL1703" t="n">
        <x:v>0</x:v>
      </x:c>
      <x:c r="AM1703" t="n">
        <x:f>CHOOSE('假设'!$B$3,AJ1703,AK1703,AL1703)</x:f>
        <x:v>0</x:v>
      </x:c>
      <x:c r="AN1703" t="n">
        <x:v>1</x:v>
      </x:c>
    </x:row>
    <x:row r="1704" ht="23" customHeight="1">
      <x:c r="A1704" s="11" t="str">
        <x:v>688302.SH</x:v>
      </x:c>
      <x:c r="B1704" s="11" t="str">
        <x:v>一年</x:v>
      </x:c>
      <x:c r="C1704" s="11" t="str">
        <x:v>hc1119_bcr</x:v>
      </x:c>
      <x:c r="D1704" s="11" t="str">
        <x:v>2042-12-31</x:v>
      </x:c>
      <x:c r="E1704" s="11" t="str">
        <x:v>CNY</x:v>
      </x:c>
      <x:c r="F1704" s="11" t="n">
        <x:v>15.227926078028748</x:v>
      </x:c>
      <x:c r="G1704" s="26" t="b">
        <x:v>1</x:v>
      </x:c>
      <x:c r="H1704" s="16" t="n">
        <x:v>0.288</x:v>
      </x:c>
      <x:c r="I1704" s="16" t="n">
        <x:v>0.39599999999999996</x:v>
      </x:c>
      <x:c r="J1704" s="16" t="n">
        <x:v>0</x:v>
      </x:c>
      <x:c r="K1704" s="11" t="n">
        <x:f>CHOOSE('假设'!$B$3,H1704,I1704,J1704)</x:f>
        <x:v>0.39599999999999996</x:v>
      </x:c>
      <x:c r="L1704" s="11" t="n">
        <x:f>K1704*'管线假设'!E379*'管线假设'!F379*'管线假设'!G379*IF(E1704="USD",'管线假设'!I379,1)-AM1704</x:f>
        <x:v>0.0472725</x:v>
      </x:c>
      <x:c r="M1704" s="11" t="n">
        <x:f>'管线假设'!H379</x:f>
        <x:v>0.14</x:v>
      </x:c>
      <x:c r="N1704" s="11" t="n">
        <x:f>IF(G1704,L1704*AN1704/(1+M1704)^F1704,0)</x:f>
        <x:v>0.006427849516757868</x:v>
      </x:c>
      <x:c r="AJ1704" t="n">
        <x:v>0</x:v>
      </x:c>
      <x:c r="AK1704" t="n">
        <x:v>0</x:v>
      </x:c>
      <x:c r="AL1704" t="n">
        <x:v>0</x:v>
      </x:c>
      <x:c r="AM1704" t="n">
        <x:f>CHOOSE('假设'!$B$3,AJ1704,AK1704,AL1704)</x:f>
        <x:v>0</x:v>
      </x:c>
      <x:c r="AN1704" t="n">
        <x:v>1</x:v>
      </x:c>
    </x:row>
    <x:row r="1705" ht="23" customHeight="1">
      <x:c r="A1705" s="11" t="str">
        <x:v>688302.SH</x:v>
      </x:c>
      <x:c r="B1705" s="11" t="str">
        <x:v>一年</x:v>
      </x:c>
      <x:c r="C1705" s="11" t="str">
        <x:v>hc1119_bcr</x:v>
      </x:c>
      <x:c r="D1705" s="11" t="str">
        <x:v>2043-12-31</x:v>
      </x:c>
      <x:c r="E1705" s="11" t="str">
        <x:v>CNY</x:v>
      </x:c>
      <x:c r="F1705" s="11" t="n">
        <x:v>16.227241615331966</x:v>
      </x:c>
      <x:c r="G1705" s="26" t="b">
        <x:v>1</x:v>
      </x:c>
      <x:c r="H1705" s="16" t="n">
        <x:v>0.21</x:v>
      </x:c>
      <x:c r="I1705" s="16" t="n">
        <x:v>0.16199999999999995</x:v>
      </x:c>
      <x:c r="J1705" s="16" t="n">
        <x:v>0</x:v>
      </x:c>
      <x:c r="K1705" s="11" t="n">
        <x:f>CHOOSE('假设'!$B$3,H1705,I1705,J1705)</x:f>
        <x:v>0.16199999999999995</x:v>
      </x:c>
      <x:c r="L1705" s="11" t="n">
        <x:f>K1705*'管线假设'!E379*'管线假设'!F379*'管线假设'!G379*IF(E1705="USD",'管线假设'!I379,1)-AM1705</x:f>
        <x:v>0.019338749999999995</x:v>
      </x:c>
      <x:c r="M1705" s="11" t="n">
        <x:f>'管线假设'!H379</x:f>
        <x:v>0.14</x:v>
      </x:c>
      <x:c r="N1705" s="11" t="n">
        <x:f>IF(G1705,L1705*AN1705/(1+M1705)^F1705,0)</x:f>
        <x:v>0.002306851441720331</x:v>
      </x:c>
      <x:c r="AJ1705" t="n">
        <x:v>0</x:v>
      </x:c>
      <x:c r="AK1705" t="n">
        <x:v>0</x:v>
      </x:c>
      <x:c r="AL1705" t="n">
        <x:v>0</x:v>
      </x:c>
      <x:c r="AM1705" t="n">
        <x:f>CHOOSE('假设'!$B$3,AJ1705,AK1705,AL1705)</x:f>
        <x:v>0</x:v>
      </x:c>
      <x:c r="AN1705" t="n">
        <x:v>1</x:v>
      </x:c>
    </x:row>
    <x:row r="1706" ht="23" customHeight="1">
      <x:c r="A1706" s="11" t="str">
        <x:v>688302.SH</x:v>
      </x:c>
      <x:c r="B1706" s="11" t="str">
        <x:v>一年</x:v>
      </x:c>
      <x:c r="C1706" s="11" t="str">
        <x:v>hc1119_bcr</x:v>
      </x:c>
      <x:c r="D1706" s="11" t="str">
        <x:v>2044-12-31</x:v>
      </x:c>
      <x:c r="E1706" s="11" t="str">
        <x:v>CNY</x:v>
      </x:c>
      <x:c r="F1706" s="11" t="n">
        <x:v>17.229295003422312</x:v>
      </x:c>
      <x:c r="G1706" s="26" t="b">
        <x:v>1</x:v>
      </x:c>
      <x:c r="H1706" s="16" t="n">
        <x:v>0.13199999999999998</x:v>
      </x:c>
      <x:c r="I1706" s="16" t="n">
        <x:v>0</x:v>
      </x:c>
      <x:c r="J1706" s="16" t="n">
        <x:v>0</x:v>
      </x:c>
      <x:c r="K1706" s="11" t="n">
        <x:f>CHOOSE('假设'!$B$3,H1706,I1706,J1706)</x:f>
        <x:v>0</x:v>
      </x:c>
      <x:c r="L1706" s="11" t="n">
        <x:f>K1706*'管线假设'!E379*'管线假设'!F379*'管线假设'!G379*IF(E1706="USD",'管线假设'!I379,1)-AM1706</x:f>
        <x:v>0</x:v>
      </x:c>
      <x:c r="M1706" s="11" t="n">
        <x:f>'管线假设'!H379</x:f>
        <x:v>0.14</x:v>
      </x:c>
      <x:c r="N1706" s="11" t="n">
        <x:f>IF(G1706,L1706*AN1706/(1+M1706)^F1706,0)</x:f>
        <x:v>0</x:v>
      </x:c>
      <x:c r="AJ1706" t="n">
        <x:v>0</x:v>
      </x:c>
      <x:c r="AK1706" t="n">
        <x:v>0</x:v>
      </x:c>
      <x:c r="AL1706" t="n">
        <x:v>0</x:v>
      </x:c>
      <x:c r="AM1706" t="n">
        <x:f>CHOOSE('假设'!$B$3,AJ1706,AK1706,AL1706)</x:f>
        <x:v>0</x:v>
      </x:c>
      <x:c r="AN1706" t="n">
        <x:v>1</x:v>
      </x:c>
    </x:row>
    <x:row r="1707" ht="23" customHeight="1">
      <x:c r="A1707" s="11" t="str">
        <x:v>688302.SH</x:v>
      </x:c>
      <x:c r="B1707" s="11" t="str">
        <x:v>一年</x:v>
      </x:c>
      <x:c r="C1707" s="11" t="str">
        <x:v>hc1119_bcr</x:v>
      </x:c>
      <x:c r="D1707" s="11" t="str">
        <x:v>2045-12-31</x:v>
      </x:c>
      <x:c r="E1707" s="11" t="str">
        <x:v>CNY</x:v>
      </x:c>
      <x:c r="F1707" s="11" t="n">
        <x:v>18.22861054072553</x:v>
      </x:c>
      <x:c r="G1707" s="26" t="b">
        <x:v>1</x:v>
      </x:c>
      <x:c r="H1707" s="16" t="n">
        <x:v>0.05399999999999998</x:v>
      </x:c>
      <x:c r="I1707" s="16" t="n">
        <x:v>0</x:v>
      </x:c>
      <x:c r="J1707" s="16" t="n">
        <x:v>0</x:v>
      </x:c>
      <x:c r="K1707" s="11" t="n">
        <x:f>CHOOSE('假设'!$B$3,H1707,I1707,J1707)</x:f>
        <x:v>0</x:v>
      </x:c>
      <x:c r="L1707" s="11" t="n">
        <x:f>K1707*'管线假设'!E379*'管线假设'!F379*'管线假设'!G379*IF(E1707="USD",'管线假设'!I379,1)-AM1707</x:f>
        <x:v>0</x:v>
      </x:c>
      <x:c r="M1707" s="11" t="n">
        <x:f>'管线假设'!H379</x:f>
        <x:v>0.14</x:v>
      </x:c>
      <x:c r="N1707" s="11" t="n">
        <x:f>IF(G1707,L1707*AN1707/(1+M1707)^F1707,0)</x:f>
        <x:v>0</x:v>
      </x:c>
      <x:c r="AJ1707" t="n">
        <x:v>0</x:v>
      </x:c>
      <x:c r="AK1707" t="n">
        <x:v>0</x:v>
      </x:c>
      <x:c r="AL1707" t="n">
        <x:v>0</x:v>
      </x:c>
      <x:c r="AM1707" t="n">
        <x:f>CHOOSE('假设'!$B$3,AJ1707,AK1707,AL1707)</x:f>
        <x:v>0</x:v>
      </x:c>
      <x:c r="AN1707" t="n">
        <x:v>1</x:v>
      </x:c>
    </x:row>
    <x:row r="1708" ht="23" customHeight="1">
      <x:c r="A1708" s="11" t="str">
        <x:v>688302.SH</x:v>
      </x:c>
      <x:c r="B1708" s="11" t="str">
        <x:v>一年</x:v>
      </x:c>
      <x:c r="C1708" s="11" t="str">
        <x:v>hp518_combo_cn</x:v>
      </x:c>
      <x:c r="D1708" s="11" t="str">
        <x:v>2027-12-31</x:v>
      </x:c>
      <x:c r="E1708" s="11" t="str">
        <x:v>CNY</x:v>
      </x:c>
      <x:c r="F1708" s="11" t="n">
        <x:v>0.2272416153319644</x:v>
      </x:c>
      <x:c r="G1708" s="26" t="b">
        <x:v>1</x:v>
      </x:c>
      <x:c r="H1708" s="16" t="n">
        <x:v>0</x:v>
      </x:c>
      <x:c r="I1708" s="16" t="n">
        <x:v>0</x:v>
      </x:c>
      <x:c r="J1708" s="16" t="n">
        <x:v>0</x:v>
      </x:c>
      <x:c r="K1708" s="11" t="n">
        <x:f>CHOOSE('假设'!$B$3,H1708,I1708,J1708)</x:f>
        <x:v>0</x:v>
      </x:c>
      <x:c r="L1708" s="11" t="n">
        <x:f>K1708*'管线假设'!E383*'管线假设'!F383*'管线假设'!G383*IF(E1708="USD",'管线假设'!I383,1)-AM1708</x:f>
        <x:v>0</x:v>
      </x:c>
      <x:c r="M1708" s="11" t="n">
        <x:f>'管线假设'!H383</x:f>
        <x:v>0.14</x:v>
      </x:c>
      <x:c r="N1708" s="11" t="n">
        <x:f>IF(G1708,L1708*AN1708/(1+M1708)^F1708,0)</x:f>
        <x:v>0</x:v>
      </x:c>
      <x:c r="AJ1708" t="n">
        <x:v>0</x:v>
      </x:c>
      <x:c r="AK1708" t="n">
        <x:v>0</x:v>
      </x:c>
      <x:c r="AL1708" t="n">
        <x:v>0</x:v>
      </x:c>
      <x:c r="AM1708" t="n">
        <x:f>CHOOSE('假设'!$B$3,AJ1708,AK1708,AL1708)</x:f>
        <x:v>0</x:v>
      </x:c>
      <x:c r="AN1708" t="n">
        <x:v>1</x:v>
      </x:c>
    </x:row>
    <x:row r="1709" ht="23" customHeight="1">
      <x:c r="A1709" s="11" t="str">
        <x:v>688302.SH</x:v>
      </x:c>
      <x:c r="B1709" s="11" t="str">
        <x:v>一年</x:v>
      </x:c>
      <x:c r="C1709" s="11" t="str">
        <x:v>hp518_combo_cn</x:v>
      </x:c>
      <x:c r="D1709" s="11" t="str">
        <x:v>2028-12-31</x:v>
      </x:c>
      <x:c r="E1709" s="11" t="str">
        <x:v>CNY</x:v>
      </x:c>
      <x:c r="F1709" s="11" t="n">
        <x:v>1.2292950034223136</x:v>
      </x:c>
      <x:c r="G1709" s="26" t="b">
        <x:v>1</x:v>
      </x:c>
      <x:c r="H1709" s="16" t="n">
        <x:v>0</x:v>
      </x:c>
      <x:c r="I1709" s="16" t="n">
        <x:v>0</x:v>
      </x:c>
      <x:c r="J1709" s="16" t="n">
        <x:v>0</x:v>
      </x:c>
      <x:c r="K1709" s="11" t="n">
        <x:f>CHOOSE('假设'!$B$3,H1709,I1709,J1709)</x:f>
        <x:v>0</x:v>
      </x:c>
      <x:c r="L1709" s="11" t="n">
        <x:f>K1709*'管线假设'!E383*'管线假设'!F383*'管线假设'!G383*IF(E1709="USD",'管线假设'!I383,1)-AM1709</x:f>
        <x:v>0</x:v>
      </x:c>
      <x:c r="M1709" s="11" t="n">
        <x:f>'管线假设'!H383</x:f>
        <x:v>0.14</x:v>
      </x:c>
      <x:c r="N1709" s="11" t="n">
        <x:f>IF(G1709,L1709*AN1709/(1+M1709)^F1709,0)</x:f>
        <x:v>0</x:v>
      </x:c>
      <x:c r="AJ1709" t="n">
        <x:v>0</x:v>
      </x:c>
      <x:c r="AK1709" t="n">
        <x:v>0</x:v>
      </x:c>
      <x:c r="AL1709" t="n">
        <x:v>0</x:v>
      </x:c>
      <x:c r="AM1709" t="n">
        <x:f>CHOOSE('假设'!$B$3,AJ1709,AK1709,AL1709)</x:f>
        <x:v>0</x:v>
      </x:c>
      <x:c r="AN1709" t="n">
        <x:v>1</x:v>
      </x:c>
    </x:row>
    <x:row r="1710" ht="23" customHeight="1">
      <x:c r="A1710" s="11" t="str">
        <x:v>688302.SH</x:v>
      </x:c>
      <x:c r="B1710" s="11" t="str">
        <x:v>一年</x:v>
      </x:c>
      <x:c r="C1710" s="11" t="str">
        <x:v>hp518_combo_cn</x:v>
      </x:c>
      <x:c r="D1710" s="11" t="str">
        <x:v>2029-12-31</x:v>
      </x:c>
      <x:c r="E1710" s="11" t="str">
        <x:v>CNY</x:v>
      </x:c>
      <x:c r="F1710" s="11" t="n">
        <x:v>2.2286105407255303</x:v>
      </x:c>
      <x:c r="G1710" s="26" t="b">
        <x:v>1</x:v>
      </x:c>
      <x:c r="H1710" s="16" t="n">
        <x:v>0</x:v>
      </x:c>
      <x:c r="I1710" s="16" t="n">
        <x:v>0</x:v>
      </x:c>
      <x:c r="J1710" s="16" t="n">
        <x:v>0</x:v>
      </x:c>
      <x:c r="K1710" s="11" t="n">
        <x:f>CHOOSE('假设'!$B$3,H1710,I1710,J1710)</x:f>
        <x:v>0</x:v>
      </x:c>
      <x:c r="L1710" s="11" t="n">
        <x:f>K1710*'管线假设'!E383*'管线假设'!F383*'管线假设'!G383*IF(E1710="USD",'管线假设'!I383,1)-AM1710</x:f>
        <x:v>0</x:v>
      </x:c>
      <x:c r="M1710" s="11" t="n">
        <x:f>'管线假设'!H383</x:f>
        <x:v>0.14</x:v>
      </x:c>
      <x:c r="N1710" s="11" t="n">
        <x:f>IF(G1710,L1710*AN1710/(1+M1710)^F1710,0)</x:f>
        <x:v>0</x:v>
      </x:c>
      <x:c r="AJ1710" t="n">
        <x:v>0</x:v>
      </x:c>
      <x:c r="AK1710" t="n">
        <x:v>0</x:v>
      </x:c>
      <x:c r="AL1710" t="n">
        <x:v>0</x:v>
      </x:c>
      <x:c r="AM1710" t="n">
        <x:f>CHOOSE('假设'!$B$3,AJ1710,AK1710,AL1710)</x:f>
        <x:v>0</x:v>
      </x:c>
      <x:c r="AN1710" t="n">
        <x:v>1</x:v>
      </x:c>
    </x:row>
    <x:row r="1711" ht="23" customHeight="1">
      <x:c r="A1711" s="11" t="str">
        <x:v>688302.SH</x:v>
      </x:c>
      <x:c r="B1711" s="11" t="str">
        <x:v>一年</x:v>
      </x:c>
      <x:c r="C1711" s="11" t="str">
        <x:v>hp518_combo_cn</x:v>
      </x:c>
      <x:c r="D1711" s="11" t="str">
        <x:v>2030-12-31</x:v>
      </x:c>
      <x:c r="E1711" s="11" t="str">
        <x:v>CNY</x:v>
      </x:c>
      <x:c r="F1711" s="11" t="n">
        <x:v>3.2279260780287475</x:v>
      </x:c>
      <x:c r="G1711" s="26" t="b">
        <x:v>1</x:v>
      </x:c>
      <x:c r="H1711" s="16" t="n">
        <x:v>0</x:v>
      </x:c>
      <x:c r="I1711" s="16" t="n">
        <x:v>0</x:v>
      </x:c>
      <x:c r="J1711" s="16" t="n">
        <x:v>0</x:v>
      </x:c>
      <x:c r="K1711" s="11" t="n">
        <x:f>CHOOSE('假设'!$B$3,H1711,I1711,J1711)</x:f>
        <x:v>0</x:v>
      </x:c>
      <x:c r="L1711" s="11" t="n">
        <x:f>K1711*'管线假设'!E383*'管线假设'!F383*'管线假设'!G383*IF(E1711="USD",'管线假设'!I383,1)-AM1711</x:f>
        <x:v>0</x:v>
      </x:c>
      <x:c r="M1711" s="11" t="n">
        <x:f>'管线假设'!H383</x:f>
        <x:v>0.14</x:v>
      </x:c>
      <x:c r="N1711" s="11" t="n">
        <x:f>IF(G1711,L1711*AN1711/(1+M1711)^F1711,0)</x:f>
        <x:v>0</x:v>
      </x:c>
      <x:c r="AJ1711" t="n">
        <x:v>0</x:v>
      </x:c>
      <x:c r="AK1711" t="n">
        <x:v>0</x:v>
      </x:c>
      <x:c r="AL1711" t="n">
        <x:v>0</x:v>
      </x:c>
      <x:c r="AM1711" t="n">
        <x:f>CHOOSE('假设'!$B$3,AJ1711,AK1711,AL1711)</x:f>
        <x:v>0</x:v>
      </x:c>
      <x:c r="AN1711" t="n">
        <x:v>1</x:v>
      </x:c>
    </x:row>
    <x:row r="1712" ht="23" customHeight="1">
      <x:c r="A1712" s="11" t="str">
        <x:v>688302.SH</x:v>
      </x:c>
      <x:c r="B1712" s="11" t="str">
        <x:v>一年</x:v>
      </x:c>
      <x:c r="C1712" s="11" t="str">
        <x:v>hp518_combo_cn</x:v>
      </x:c>
      <x:c r="D1712" s="11" t="str">
        <x:v>2031-12-31</x:v>
      </x:c>
      <x:c r="E1712" s="11" t="str">
        <x:v>CNY</x:v>
      </x:c>
      <x:c r="F1712" s="11" t="n">
        <x:v>4.227241615331964</x:v>
      </x:c>
      <x:c r="G1712" s="26" t="b">
        <x:v>1</x:v>
      </x:c>
      <x:c r="H1712" s="16" t="n">
        <x:v>0</x:v>
      </x:c>
      <x:c r="I1712" s="16" t="n">
        <x:v>0</x:v>
      </x:c>
      <x:c r="J1712" s="16" t="n">
        <x:v>0.41666666666666663</x:v>
      </x:c>
      <x:c r="K1712" s="11" t="n">
        <x:f>CHOOSE('假设'!$B$3,H1712,I1712,J1712)</x:f>
        <x:v>0</x:v>
      </x:c>
      <x:c r="L1712" s="11" t="n">
        <x:f>K1712*'管线假设'!E383*'管线假设'!F383*'管线假设'!G383*IF(E1712="USD",'管线假设'!I383,1)-AM1712</x:f>
        <x:v>0</x:v>
      </x:c>
      <x:c r="M1712" s="11" t="n">
        <x:f>'管线假设'!H383</x:f>
        <x:v>0.14</x:v>
      </x:c>
      <x:c r="N1712" s="11" t="n">
        <x:f>IF(G1712,L1712*AN1712/(1+M1712)^F1712,0)</x:f>
        <x:v>0</x:v>
      </x:c>
      <x:c r="AJ1712" t="n">
        <x:v>0</x:v>
      </x:c>
      <x:c r="AK1712" t="n">
        <x:v>0</x:v>
      </x:c>
      <x:c r="AL1712" t="n">
        <x:v>0</x:v>
      </x:c>
      <x:c r="AM1712" t="n">
        <x:f>CHOOSE('假设'!$B$3,AJ1712,AK1712,AL1712)</x:f>
        <x:v>0</x:v>
      </x:c>
      <x:c r="AN1712" t="n">
        <x:v>1</x:v>
      </x:c>
    </x:row>
    <x:row r="1713" ht="23" customHeight="1">
      <x:c r="A1713" s="11" t="str">
        <x:v>688302.SH</x:v>
      </x:c>
      <x:c r="B1713" s="11" t="str">
        <x:v>一年</x:v>
      </x:c>
      <x:c r="C1713" s="11" t="str">
        <x:v>hp518_combo_cn</x:v>
      </x:c>
      <x:c r="D1713" s="11" t="str">
        <x:v>2032-12-31</x:v>
      </x:c>
      <x:c r="E1713" s="11" t="str">
        <x:v>CNY</x:v>
      </x:c>
      <x:c r="F1713" s="11" t="n">
        <x:v>5.229295003422314</x:v>
      </x:c>
      <x:c r="G1713" s="26" t="b">
        <x:v>1</x:v>
      </x:c>
      <x:c r="H1713" s="16" t="n">
        <x:v>0</x:v>
      </x:c>
      <x:c r="I1713" s="16" t="n">
        <x:v>0</x:v>
      </x:c>
      <x:c r="J1713" s="16" t="n">
        <x:v>0.8333333333333333</x:v>
      </x:c>
      <x:c r="K1713" s="11" t="n">
        <x:f>CHOOSE('假设'!$B$3,H1713,I1713,J1713)</x:f>
        <x:v>0</x:v>
      </x:c>
      <x:c r="L1713" s="11" t="n">
        <x:f>K1713*'管线假设'!E383*'管线假设'!F383*'管线假设'!G383*IF(E1713="USD",'管线假设'!I383,1)-AM1713</x:f>
        <x:v>0</x:v>
      </x:c>
      <x:c r="M1713" s="11" t="n">
        <x:f>'管线假设'!H383</x:f>
        <x:v>0.14</x:v>
      </x:c>
      <x:c r="N1713" s="11" t="n">
        <x:f>IF(G1713,L1713*AN1713/(1+M1713)^F1713,0)</x:f>
        <x:v>0</x:v>
      </x:c>
      <x:c r="AJ1713" t="n">
        <x:v>0</x:v>
      </x:c>
      <x:c r="AK1713" t="n">
        <x:v>0</x:v>
      </x:c>
      <x:c r="AL1713" t="n">
        <x:v>0</x:v>
      </x:c>
      <x:c r="AM1713" t="n">
        <x:f>CHOOSE('假设'!$B$3,AJ1713,AK1713,AL1713)</x:f>
        <x:v>0</x:v>
      </x:c>
      <x:c r="AN1713" t="n">
        <x:v>1</x:v>
      </x:c>
    </x:row>
    <x:row r="1714" ht="23" customHeight="1">
      <x:c r="A1714" s="11" t="str">
        <x:v>688302.SH</x:v>
      </x:c>
      <x:c r="B1714" s="11" t="str">
        <x:v>一年</x:v>
      </x:c>
      <x:c r="C1714" s="11" t="str">
        <x:v>hp518_combo_cn</x:v>
      </x:c>
      <x:c r="D1714" s="11" t="str">
        <x:v>2033-12-31</x:v>
      </x:c>
      <x:c r="E1714" s="11" t="str">
        <x:v>CNY</x:v>
      </x:c>
      <x:c r="F1714" s="11" t="n">
        <x:v>6.228610540725531</x:v>
      </x:c>
      <x:c r="G1714" s="26" t="b">
        <x:v>1</x:v>
      </x:c>
      <x:c r="H1714" s="16" t="n">
        <x:v>0</x:v>
      </x:c>
      <x:c r="I1714" s="16" t="n">
        <x:v>0.21666666666666667</x:v>
      </x:c>
      <x:c r="J1714" s="16" t="n">
        <x:v>1.25</x:v>
      </x:c>
      <x:c r="K1714" s="11" t="n">
        <x:f>CHOOSE('假设'!$B$3,H1714,I1714,J1714)</x:f>
        <x:v>0.21666666666666667</x:v>
      </x:c>
      <x:c r="L1714" s="11" t="n">
        <x:f>K1714*'管线假设'!E383*'管线假设'!F383*'管线假设'!G383*IF(E1714="USD",'管线假设'!I383,1)-AM1714</x:f>
        <x:v>0.012906833333333334</x:v>
      </x:c>
      <x:c r="M1714" s="11" t="n">
        <x:f>'管线假设'!H383</x:f>
        <x:v>0.14</x:v>
      </x:c>
      <x:c r="N1714" s="11" t="n">
        <x:f>IF(G1714,L1714*AN1714/(1+M1714)^F1714,0)</x:f>
        <x:v>0.005706654046256411</x:v>
      </x:c>
      <x:c r="AJ1714" t="n">
        <x:v>0</x:v>
      </x:c>
      <x:c r="AK1714" t="n">
        <x:v>0</x:v>
      </x:c>
      <x:c r="AL1714" t="n">
        <x:v>0</x:v>
      </x:c>
      <x:c r="AM1714" t="n">
        <x:f>CHOOSE('假设'!$B$3,AJ1714,AK1714,AL1714)</x:f>
        <x:v>0</x:v>
      </x:c>
      <x:c r="AN1714" t="n">
        <x:v>1</x:v>
      </x:c>
    </x:row>
    <x:row r="1715" ht="23" customHeight="1">
      <x:c r="A1715" s="11" t="str">
        <x:v>688302.SH</x:v>
      </x:c>
      <x:c r="B1715" s="11" t="str">
        <x:v>一年</x:v>
      </x:c>
      <x:c r="C1715" s="11" t="str">
        <x:v>hp518_combo_cn</x:v>
      </x:c>
      <x:c r="D1715" s="11" t="str">
        <x:v>2034-12-31</x:v>
      </x:c>
      <x:c r="E1715" s="11" t="str">
        <x:v>CNY</x:v>
      </x:c>
      <x:c r="F1715" s="11" t="n">
        <x:v>7.227926078028747</x:v>
      </x:c>
      <x:c r="G1715" s="26" t="b">
        <x:v>1</x:v>
      </x:c>
      <x:c r="H1715" s="16" t="n">
        <x:v>0</x:v>
      </x:c>
      <x:c r="I1715" s="16" t="n">
        <x:v>0.43333333333333335</x:v>
      </x:c>
      <x:c r="J1715" s="16" t="n">
        <x:v>1.6666666666666665</x:v>
      </x:c>
      <x:c r="K1715" s="11" t="n">
        <x:f>CHOOSE('假设'!$B$3,H1715,I1715,J1715)</x:f>
        <x:v>0.43333333333333335</x:v>
      </x:c>
      <x:c r="L1715" s="11" t="n">
        <x:f>K1715*'管线假设'!E383*'管线假设'!F383*'管线假设'!G383*IF(E1715="USD",'管线假设'!I383,1)-AM1715</x:f>
        <x:v>0.02581366666666667</x:v>
      </x:c>
      <x:c r="M1715" s="11" t="n">
        <x:f>'管线假设'!H383</x:f>
        <x:v>0.14</x:v>
      </x:c>
      <x:c r="N1715" s="11" t="n">
        <x:f>IF(G1715,L1715*AN1715/(1+M1715)^F1715,0)</x:f>
        <x:v>0.010012571692154231</x:v>
      </x:c>
      <x:c r="AJ1715" t="n">
        <x:v>0</x:v>
      </x:c>
      <x:c r="AK1715" t="n">
        <x:v>0</x:v>
      </x:c>
      <x:c r="AL1715" t="n">
        <x:v>0</x:v>
      </x:c>
      <x:c r="AM1715" t="n">
        <x:f>CHOOSE('假设'!$B$3,AJ1715,AK1715,AL1715)</x:f>
        <x:v>0</x:v>
      </x:c>
      <x:c r="AN1715" t="n">
        <x:v>1</x:v>
      </x:c>
    </x:row>
    <x:row r="1716" ht="23" customHeight="1">
      <x:c r="A1716" s="11" t="str">
        <x:v>688302.SH</x:v>
      </x:c>
      <x:c r="B1716" s="11" t="str">
        <x:v>一年</x:v>
      </x:c>
      <x:c r="C1716" s="11" t="str">
        <x:v>hp518_combo_cn</x:v>
      </x:c>
      <x:c r="D1716" s="11" t="str">
        <x:v>2035-12-31</x:v>
      </x:c>
      <x:c r="E1716" s="11" t="str">
        <x:v>CNY</x:v>
      </x:c>
      <x:c r="F1716" s="11" t="n">
        <x:v>8.227241615331964</x:v>
      </x:c>
      <x:c r="G1716" s="26" t="b">
        <x:v>1</x:v>
      </x:c>
      <x:c r="H1716" s="16" t="n">
        <x:v>0</x:v>
      </x:c>
      <x:c r="I1716" s="16" t="n">
        <x:v>0.65</x:v>
      </x:c>
      <x:c r="J1716" s="16" t="n">
        <x:v>2.0833333333333335</x:v>
      </x:c>
      <x:c r="K1716" s="11" t="n">
        <x:f>CHOOSE('假设'!$B$3,H1716,I1716,J1716)</x:f>
        <x:v>0.65</x:v>
      </x:c>
      <x:c r="L1716" s="11" t="n">
        <x:f>K1716*'管线假设'!E383*'管线假设'!F383*'管线假设'!G383*IF(E1716="USD",'管线假设'!I383,1)-AM1716</x:f>
        <x:v>0.038720500000000005</x:v>
      </x:c>
      <x:c r="M1716" s="11" t="n">
        <x:f>'管线假设'!H383</x:f>
        <x:v>0.14</x:v>
      </x:c>
      <x:c r="N1716" s="11" t="n">
        <x:f>IF(G1716,L1716*AN1716/(1+M1716)^F1716,0)</x:f>
        <x:v>0.013175618025631025</x:v>
      </x:c>
      <x:c r="AJ1716" t="n">
        <x:v>0</x:v>
      </x:c>
      <x:c r="AK1716" t="n">
        <x:v>0</x:v>
      </x:c>
      <x:c r="AL1716" t="n">
        <x:v>0</x:v>
      </x:c>
      <x:c r="AM1716" t="n">
        <x:f>CHOOSE('假设'!$B$3,AJ1716,AK1716,AL1716)</x:f>
        <x:v>0</x:v>
      </x:c>
      <x:c r="AN1716" t="n">
        <x:v>1</x:v>
      </x:c>
    </x:row>
    <x:row r="1717" ht="23" customHeight="1">
      <x:c r="A1717" s="11" t="str">
        <x:v>688302.SH</x:v>
      </x:c>
      <x:c r="B1717" s="11" t="str">
        <x:v>一年</x:v>
      </x:c>
      <x:c r="C1717" s="11" t="str">
        <x:v>hp518_combo_cn</x:v>
      </x:c>
      <x:c r="D1717" s="11" t="str">
        <x:v>2036-12-31</x:v>
      </x:c>
      <x:c r="E1717" s="11" t="str">
        <x:v>CNY</x:v>
      </x:c>
      <x:c r="F1717" s="11" t="n">
        <x:v>9.229295003422314</x:v>
      </x:c>
      <x:c r="G1717" s="26" t="b">
        <x:v>1</x:v>
      </x:c>
      <x:c r="H1717" s="16" t="n">
        <x:v>0.1</x:v>
      </x:c>
      <x:c r="I1717" s="16" t="n">
        <x:v>0.8666666666666667</x:v>
      </x:c>
      <x:c r="J1717" s="16" t="n">
        <x:v>2.5</x:v>
      </x:c>
      <x:c r="K1717" s="11" t="n">
        <x:f>CHOOSE('假设'!$B$3,H1717,I1717,J1717)</x:f>
        <x:v>0.8666666666666667</x:v>
      </x:c>
      <x:c r="L1717" s="11" t="n">
        <x:f>K1717*'管线假设'!E383*'管线假设'!F383*'管线假设'!G383*IF(E1717="USD",'管线假设'!I383,1)-AM1717</x:f>
        <x:v>0.05162733333333334</x:v>
      </x:c>
      <x:c r="M1717" s="11" t="n">
        <x:f>'管线假设'!H383</x:f>
        <x:v>0.14</x:v>
      </x:c>
      <x:c r="N1717" s="11" t="n">
        <x:f>IF(G1717,L1717*AN1717/(1+M1717)^F1717,0)</x:f>
        <x:v>0.015405934009073608</x:v>
      </x:c>
      <x:c r="AJ1717" t="n">
        <x:v>0</x:v>
      </x:c>
      <x:c r="AK1717" t="n">
        <x:v>0</x:v>
      </x:c>
      <x:c r="AL1717" t="n">
        <x:v>0</x:v>
      </x:c>
      <x:c r="AM1717" t="n">
        <x:f>CHOOSE('假设'!$B$3,AJ1717,AK1717,AL1717)</x:f>
        <x:v>0</x:v>
      </x:c>
      <x:c r="AN1717" t="n">
        <x:v>1</x:v>
      </x:c>
    </x:row>
    <x:row r="1718" ht="23" customHeight="1">
      <x:c r="A1718" s="11" t="str">
        <x:v>688302.SH</x:v>
      </x:c>
      <x:c r="B1718" s="11" t="str">
        <x:v>一年</x:v>
      </x:c>
      <x:c r="C1718" s="11" t="str">
        <x:v>hp518_combo_cn</x:v>
      </x:c>
      <x:c r="D1718" s="11" t="str">
        <x:v>2037-12-31</x:v>
      </x:c>
      <x:c r="E1718" s="11" t="str">
        <x:v>CNY</x:v>
      </x:c>
      <x:c r="F1718" s="11" t="n">
        <x:v>10.22861054072553</x:v>
      </x:c>
      <x:c r="G1718" s="26" t="b">
        <x:v>1</x:v>
      </x:c>
      <x:c r="H1718" s="16" t="n">
        <x:v>0.2</x:v>
      </x:c>
      <x:c r="I1718" s="16" t="n">
        <x:v>1.0833333333333335</x:v>
      </x:c>
      <x:c r="J1718" s="16" t="n">
        <x:v>2.175</x:v>
      </x:c>
      <x:c r="K1718" s="11" t="n">
        <x:f>CHOOSE('假设'!$B$3,H1718,I1718,J1718)</x:f>
        <x:v>1.0833333333333335</x:v>
      </x:c>
      <x:c r="L1718" s="11" t="n">
        <x:f>K1718*'管线假设'!E383*'管线假设'!F383*'管线假设'!G383*IF(E1718="USD",'管线假设'!I383,1)-AM1718</x:f>
        <x:v>0.06453416666666668</x:v>
      </x:c>
      <x:c r="M1718" s="11" t="n">
        <x:f>'管线假设'!H383</x:f>
        <x:v>0.14</x:v>
      </x:c>
      <x:c r="N1718" s="11" t="n">
        <x:f>IF(G1718,L1718*AN1718/(1+M1718)^F1718,0)</x:f>
        <x:v>0.016893986552816053</x:v>
      </x:c>
      <x:c r="AJ1718" t="n">
        <x:v>0</x:v>
      </x:c>
      <x:c r="AK1718" t="n">
        <x:v>0</x:v>
      </x:c>
      <x:c r="AL1718" t="n">
        <x:v>0</x:v>
      </x:c>
      <x:c r="AM1718" t="n">
        <x:f>CHOOSE('假设'!$B$3,AJ1718,AK1718,AL1718)</x:f>
        <x:v>0</x:v>
      </x:c>
      <x:c r="AN1718" t="n">
        <x:v>1</x:v>
      </x:c>
    </x:row>
    <x:row r="1719" ht="23" customHeight="1">
      <x:c r="A1719" s="11" t="str">
        <x:v>688302.SH</x:v>
      </x:c>
      <x:c r="B1719" s="11" t="str">
        <x:v>一年</x:v>
      </x:c>
      <x:c r="C1719" s="11" t="str">
        <x:v>hp518_combo_cn</x:v>
      </x:c>
      <x:c r="D1719" s="11" t="str">
        <x:v>2038-12-31</x:v>
      </x:c>
      <x:c r="E1719" s="11" t="str">
        <x:v>CNY</x:v>
      </x:c>
      <x:c r="F1719" s="11" t="n">
        <x:v>11.227926078028748</x:v>
      </x:c>
      <x:c r="G1719" s="26" t="b">
        <x:v>1</x:v>
      </x:c>
      <x:c r="H1719" s="16" t="n">
        <x:v>0.3</x:v>
      </x:c>
      <x:c r="I1719" s="16" t="n">
        <x:v>1.3</x:v>
      </x:c>
      <x:c r="J1719" s="16" t="n">
        <x:v>1.85</x:v>
      </x:c>
      <x:c r="K1719" s="11" t="n">
        <x:f>CHOOSE('假设'!$B$3,H1719,I1719,J1719)</x:f>
        <x:v>1.3</x:v>
      </x:c>
      <x:c r="L1719" s="11" t="n">
        <x:f>K1719*'管线假设'!E383*'管线假设'!F383*'管线假设'!G383*IF(E1719="USD",'管线假设'!I383,1)-AM1719</x:f>
        <x:v>0.07744100000000001</x:v>
      </x:c>
      <x:c r="M1719" s="11" t="n">
        <x:f>'管线假设'!H383</x:f>
        <x:v>0.14</x:v>
      </x:c>
      <x:c r="N1719" s="11" t="n">
        <x:f>IF(G1719,L1719*AN1719/(1+M1719)^F1719,0)</x:f>
        <x:v>0.017784738674038753</x:v>
      </x:c>
      <x:c r="AJ1719" t="n">
        <x:v>0</x:v>
      </x:c>
      <x:c r="AK1719" t="n">
        <x:v>0</x:v>
      </x:c>
      <x:c r="AL1719" t="n">
        <x:v>0</x:v>
      </x:c>
      <x:c r="AM1719" t="n">
        <x:f>CHOOSE('假设'!$B$3,AJ1719,AK1719,AL1719)</x:f>
        <x:v>0</x:v>
      </x:c>
      <x:c r="AN1719" t="n">
        <x:v>1</x:v>
      </x:c>
    </x:row>
    <x:row r="1720" ht="23" customHeight="1">
      <x:c r="A1720" s="11" t="str">
        <x:v>688302.SH</x:v>
      </x:c>
      <x:c r="B1720" s="11" t="str">
        <x:v>一年</x:v>
      </x:c>
      <x:c r="C1720" s="11" t="str">
        <x:v>hp518_combo_cn</x:v>
      </x:c>
      <x:c r="D1720" s="11" t="str">
        <x:v>2039-12-31</x:v>
      </x:c>
      <x:c r="E1720" s="11" t="str">
        <x:v>CNY</x:v>
      </x:c>
      <x:c r="F1720" s="11" t="n">
        <x:v>12.227241615331964</x:v>
      </x:c>
      <x:c r="G1720" s="26" t="b">
        <x:v>1</x:v>
      </x:c>
      <x:c r="H1720" s="16" t="n">
        <x:v>0.4</x:v>
      </x:c>
      <x:c r="I1720" s="16" t="n">
        <x:v>1.131</x:v>
      </x:c>
      <x:c r="J1720" s="16" t="n">
        <x:v>1.525</x:v>
      </x:c>
      <x:c r="K1720" s="11" t="n">
        <x:f>CHOOSE('假设'!$B$3,H1720,I1720,J1720)</x:f>
        <x:v>1.131</x:v>
      </x:c>
      <x:c r="L1720" s="11" t="n">
        <x:f>K1720*'管线假设'!E383*'管线假设'!F383*'管线假设'!G383*IF(E1720="USD",'管线假设'!I383,1)-AM1720</x:f>
        <x:v>0.06737367</x:v>
      </x:c>
      <x:c r="M1720" s="11" t="n">
        <x:f>'管线假设'!H383</x:f>
        <x:v>0.14</x:v>
      </x:c>
      <x:c r="N1720" s="11" t="n">
        <x:f>IF(G1720,L1720*AN1720/(1+M1720)^F1720,0)</x:f>
        <x:v>0.013573781020742354</x:v>
      </x:c>
      <x:c r="AJ1720" t="n">
        <x:v>0</x:v>
      </x:c>
      <x:c r="AK1720" t="n">
        <x:v>0</x:v>
      </x:c>
      <x:c r="AL1720" t="n">
        <x:v>0</x:v>
      </x:c>
      <x:c r="AM1720" t="n">
        <x:f>CHOOSE('假设'!$B$3,AJ1720,AK1720,AL1720)</x:f>
        <x:v>0</x:v>
      </x:c>
      <x:c r="AN1720" t="n">
        <x:v>1</x:v>
      </x:c>
    </x:row>
    <x:row r="1721" ht="23" customHeight="1">
      <x:c r="A1721" s="11" t="str">
        <x:v>688302.SH</x:v>
      </x:c>
      <x:c r="B1721" s="11" t="str">
        <x:v>一年</x:v>
      </x:c>
      <x:c r="C1721" s="11" t="str">
        <x:v>hp518_combo_cn</x:v>
      </x:c>
      <x:c r="D1721" s="11" t="str">
        <x:v>2040-12-31</x:v>
      </x:c>
      <x:c r="E1721" s="11" t="str">
        <x:v>CNY</x:v>
      </x:c>
      <x:c r="F1721" s="11" t="n">
        <x:v>13.229295003422314</x:v>
      </x:c>
      <x:c r="G1721" s="26" t="b">
        <x:v>1</x:v>
      </x:c>
      <x:c r="H1721" s="16" t="n">
        <x:v>0.5</x:v>
      </x:c>
      <x:c r="I1721" s="16" t="n">
        <x:v>0.962</x:v>
      </x:c>
      <x:c r="J1721" s="16" t="n">
        <x:v>1.2</x:v>
      </x:c>
      <x:c r="K1721" s="11" t="n">
        <x:f>CHOOSE('假设'!$B$3,H1721,I1721,J1721)</x:f>
        <x:v>0.962</x:v>
      </x:c>
      <x:c r="L1721" s="11" t="n">
        <x:f>K1721*'管线假设'!E383*'管线假设'!F383*'管线假设'!G383*IF(E1721="USD",'管线假设'!I383,1)-AM1721</x:f>
        <x:v>0.05730634</x:v>
      </x:c>
      <x:c r="M1721" s="11" t="n">
        <x:f>'管线假设'!H383</x:f>
        <x:v>0.14</x:v>
      </x:c>
      <x:c r="N1721" s="11" t="n">
        <x:f>IF(G1721,L1721*AN1721/(1+M1721)^F1721,0)</x:f>
        <x:v>0.010124920146175442</x:v>
      </x:c>
      <x:c r="AJ1721" t="n">
        <x:v>0</x:v>
      </x:c>
      <x:c r="AK1721" t="n">
        <x:v>0</x:v>
      </x:c>
      <x:c r="AL1721" t="n">
        <x:v>0</x:v>
      </x:c>
      <x:c r="AM1721" t="n">
        <x:f>CHOOSE('假设'!$B$3,AJ1721,AK1721,AL1721)</x:f>
        <x:v>0</x:v>
      </x:c>
      <x:c r="AN1721" t="n">
        <x:v>1</x:v>
      </x:c>
    </x:row>
    <x:row r="1722" ht="23" customHeight="1">
      <x:c r="A1722" s="11" t="str">
        <x:v>688302.SH</x:v>
      </x:c>
      <x:c r="B1722" s="11" t="str">
        <x:v>一年</x:v>
      </x:c>
      <x:c r="C1722" s="11" t="str">
        <x:v>hp518_combo_cn</x:v>
      </x:c>
      <x:c r="D1722" s="11" t="str">
        <x:v>2041-12-31</x:v>
      </x:c>
      <x:c r="E1722" s="11" t="str">
        <x:v>CNY</x:v>
      </x:c>
      <x:c r="F1722" s="11" t="n">
        <x:v>14.22861054072553</x:v>
      </x:c>
      <x:c r="G1722" s="26" t="b">
        <x:v>1</x:v>
      </x:c>
      <x:c r="H1722" s="16" t="n">
        <x:v>0.435</x:v>
      </x:c>
      <x:c r="I1722" s="16" t="n">
        <x:v>0.793</x:v>
      </x:c>
      <x:c r="J1722" s="16" t="n">
        <x:v>0.875</x:v>
      </x:c>
      <x:c r="K1722" s="11" t="n">
        <x:f>CHOOSE('假设'!$B$3,H1722,I1722,J1722)</x:f>
        <x:v>0.793</x:v>
      </x:c>
      <x:c r="L1722" s="11" t="n">
        <x:f>K1722*'管线假设'!E383*'管线假设'!F383*'管线假设'!G383*IF(E1722="USD",'管线假设'!I383,1)-AM1722</x:f>
        <x:v>0.047239010000000005</x:v>
      </x:c>
      <x:c r="M1722" s="11" t="n">
        <x:f>'管线假设'!H383</x:f>
        <x:v>0.14</x:v>
      </x:c>
      <x:c r="N1722" s="11" t="n">
        <x:f>IF(G1722,L1722*AN1722/(1+M1722)^F1722,0)</x:f>
        <x:v>0.007321900450666251</x:v>
      </x:c>
      <x:c r="AJ1722" t="n">
        <x:v>0</x:v>
      </x:c>
      <x:c r="AK1722" t="n">
        <x:v>0</x:v>
      </x:c>
      <x:c r="AL1722" t="n">
        <x:v>0</x:v>
      </x:c>
      <x:c r="AM1722" t="n">
        <x:f>CHOOSE('假设'!$B$3,AJ1722,AK1722,AL1722)</x:f>
        <x:v>0</x:v>
      </x:c>
      <x:c r="AN1722" t="n">
        <x:v>1</x:v>
      </x:c>
    </x:row>
    <x:row r="1723" ht="23" customHeight="1">
      <x:c r="A1723" s="11" t="str">
        <x:v>688302.SH</x:v>
      </x:c>
      <x:c r="B1723" s="11" t="str">
        <x:v>一年</x:v>
      </x:c>
      <x:c r="C1723" s="11" t="str">
        <x:v>hp518_combo_cn</x:v>
      </x:c>
      <x:c r="D1723" s="11" t="str">
        <x:v>2042-12-31</x:v>
      </x:c>
      <x:c r="E1723" s="11" t="str">
        <x:v>CNY</x:v>
      </x:c>
      <x:c r="F1723" s="11" t="n">
        <x:v>15.227926078028748</x:v>
      </x:c>
      <x:c r="G1723" s="26" t="b">
        <x:v>1</x:v>
      </x:c>
      <x:c r="H1723" s="16" t="n">
        <x:v>0.37</x:v>
      </x:c>
      <x:c r="I1723" s="16" t="n">
        <x:v>0.624</x:v>
      </x:c>
      <x:c r="J1723" s="16" t="n">
        <x:v>0.5499999999999999</x:v>
      </x:c>
      <x:c r="K1723" s="11" t="n">
        <x:f>CHOOSE('假设'!$B$3,H1723,I1723,J1723)</x:f>
        <x:v>0.624</x:v>
      </x:c>
      <x:c r="L1723" s="11" t="n">
        <x:f>K1723*'管线假设'!E383*'管线假设'!F383*'管线假设'!G383*IF(E1723="USD",'管线假设'!I383,1)-AM1723</x:f>
        <x:v>0.037171680000000006</x:v>
      </x:c>
      <x:c r="M1723" s="11" t="n">
        <x:f>'管线假设'!H383</x:f>
        <x:v>0.14</x:v>
      </x:c>
      <x:c r="N1723" s="11" t="n">
        <x:f>IF(G1723,L1723*AN1723/(1+M1723)^F1723,0)</x:f>
        <x:v>0.0050543966433989765</x:v>
      </x:c>
      <x:c r="AJ1723" t="n">
        <x:v>0</x:v>
      </x:c>
      <x:c r="AK1723" t="n">
        <x:v>0</x:v>
      </x:c>
      <x:c r="AL1723" t="n">
        <x:v>0</x:v>
      </x:c>
      <x:c r="AM1723" t="n">
        <x:f>CHOOSE('假设'!$B$3,AJ1723,AK1723,AL1723)</x:f>
        <x:v>0</x:v>
      </x:c>
      <x:c r="AN1723" t="n">
        <x:v>1</x:v>
      </x:c>
    </x:row>
    <x:row r="1724" ht="23" customHeight="1">
      <x:c r="A1724" s="11" t="str">
        <x:v>688302.SH</x:v>
      </x:c>
      <x:c r="B1724" s="11" t="str">
        <x:v>一年</x:v>
      </x:c>
      <x:c r="C1724" s="11" t="str">
        <x:v>hp518_combo_cn</x:v>
      </x:c>
      <x:c r="D1724" s="11" t="str">
        <x:v>2043-12-31</x:v>
      </x:c>
      <x:c r="E1724" s="11" t="str">
        <x:v>CNY</x:v>
      </x:c>
      <x:c r="F1724" s="11" t="n">
        <x:v>16.227241615331966</x:v>
      </x:c>
      <x:c r="G1724" s="26" t="b">
        <x:v>1</x:v>
      </x:c>
      <x:c r="H1724" s="16" t="n">
        <x:v>0.305</x:v>
      </x:c>
      <x:c r="I1724" s="16" t="n">
        <x:v>0.45499999999999996</x:v>
      </x:c>
      <x:c r="J1724" s="16" t="n">
        <x:v>0.22499999999999992</x:v>
      </x:c>
      <x:c r="K1724" s="11" t="n">
        <x:f>CHOOSE('假设'!$B$3,H1724,I1724,J1724)</x:f>
        <x:v>0.45499999999999996</x:v>
      </x:c>
      <x:c r="L1724" s="11" t="n">
        <x:f>K1724*'管线假设'!E383*'管线假设'!F383*'管线假设'!G383*IF(E1724="USD",'管线假设'!I383,1)-AM1724</x:f>
        <x:v>0.02710435</x:v>
      </x:c>
      <x:c r="M1724" s="11" t="n">
        <x:f>'管线假设'!H383</x:f>
        <x:v>0.14</x:v>
      </x:c>
      <x:c r="N1724" s="11" t="n">
        <x:f>IF(G1724,L1724*AN1724/(1+M1724)^F1724,0)</x:f>
        <x:v>0.0032331825414978975</x:v>
      </x:c>
      <x:c r="AJ1724" t="n">
        <x:v>0</x:v>
      </x:c>
      <x:c r="AK1724" t="n">
        <x:v>0</x:v>
      </x:c>
      <x:c r="AL1724" t="n">
        <x:v>0</x:v>
      </x:c>
      <x:c r="AM1724" t="n">
        <x:f>CHOOSE('假设'!$B$3,AJ1724,AK1724,AL1724)</x:f>
        <x:v>0</x:v>
      </x:c>
      <x:c r="AN1724" t="n">
        <x:v>1</x:v>
      </x:c>
    </x:row>
    <x:row r="1725" ht="23" customHeight="1">
      <x:c r="A1725" s="11" t="str">
        <x:v>688302.SH</x:v>
      </x:c>
      <x:c r="B1725" s="11" t="str">
        <x:v>一年</x:v>
      </x:c>
      <x:c r="C1725" s="11" t="str">
        <x:v>hp518_combo_cn</x:v>
      </x:c>
      <x:c r="D1725" s="11" t="str">
        <x:v>2044-12-31</x:v>
      </x:c>
      <x:c r="E1725" s="11" t="str">
        <x:v>CNY</x:v>
      </x:c>
      <x:c r="F1725" s="11" t="n">
        <x:v>17.229295003422312</x:v>
      </x:c>
      <x:c r="G1725" s="26" t="b">
        <x:v>1</x:v>
      </x:c>
      <x:c r="H1725" s="16" t="n">
        <x:v>0.24</x:v>
      </x:c>
      <x:c r="I1725" s="16" t="n">
        <x:v>0.286</x:v>
      </x:c>
      <x:c r="J1725" s="16" t="n">
        <x:v>0</x:v>
      </x:c>
      <x:c r="K1725" s="11" t="n">
        <x:f>CHOOSE('假设'!$B$3,H1725,I1725,J1725)</x:f>
        <x:v>0.286</x:v>
      </x:c>
      <x:c r="L1725" s="11" t="n">
        <x:f>K1725*'管线假设'!E383*'管线假设'!F383*'管线假设'!G383*IF(E1725="USD",'管线假设'!I383,1)-AM1725</x:f>
        <x:v>0.01703702</x:v>
      </x:c>
      <x:c r="M1725" s="11" t="n">
        <x:f>'管线假设'!H383</x:f>
        <x:v>0.14</x:v>
      </x:c>
      <x:c r="N1725" s="11" t="n">
        <x:f>IF(G1725,L1725*AN1725/(1+M1725)^F1725,0)</x:f>
        <x:v>0.0017822275895536307</x:v>
      </x:c>
      <x:c r="AJ1725" t="n">
        <x:v>0</x:v>
      </x:c>
      <x:c r="AK1725" t="n">
        <x:v>0</x:v>
      </x:c>
      <x:c r="AL1725" t="n">
        <x:v>0</x:v>
      </x:c>
      <x:c r="AM1725" t="n">
        <x:f>CHOOSE('假设'!$B$3,AJ1725,AK1725,AL1725)</x:f>
        <x:v>0</x:v>
      </x:c>
      <x:c r="AN1725" t="n">
        <x:v>1</x:v>
      </x:c>
    </x:row>
    <x:row r="1726" ht="23" customHeight="1">
      <x:c r="A1726" s="11" t="str">
        <x:v>688302.SH</x:v>
      </x:c>
      <x:c r="B1726" s="11" t="str">
        <x:v>一年</x:v>
      </x:c>
      <x:c r="C1726" s="11" t="str">
        <x:v>hp518_combo_cn</x:v>
      </x:c>
      <x:c r="D1726" s="11" t="str">
        <x:v>2045-12-31</x:v>
      </x:c>
      <x:c r="E1726" s="11" t="str">
        <x:v>CNY</x:v>
      </x:c>
      <x:c r="F1726" s="11" t="n">
        <x:v>18.22861054072553</x:v>
      </x:c>
      <x:c r="G1726" s="26" t="b">
        <x:v>1</x:v>
      </x:c>
      <x:c r="H1726" s="16" t="n">
        <x:v>0.175</x:v>
      </x:c>
      <x:c r="I1726" s="16" t="n">
        <x:v>0.11699999999999997</x:v>
      </x:c>
      <x:c r="J1726" s="16" t="n">
        <x:v>0</x:v>
      </x:c>
      <x:c r="K1726" s="11" t="n">
        <x:f>CHOOSE('假设'!$B$3,H1726,I1726,J1726)</x:f>
        <x:v>0.11699999999999997</x:v>
      </x:c>
      <x:c r="L1726" s="11" t="n">
        <x:f>K1726*'管线假设'!E383*'管线假设'!F383*'管线假设'!G383*IF(E1726="USD",'管线假设'!I383,1)-AM1726</x:f>
        <x:v>0.006969689999999999</x:v>
      </x:c>
      <x:c r="M1726" s="11" t="n">
        <x:f>'管线假设'!H383</x:f>
        <x:v>0.14</x:v>
      </x:c>
      <x:c r="N1726" s="11" t="n">
        <x:f>IF(G1726,L1726*AN1726/(1+M1726)^F1726,0)</x:f>
        <x:v>0.0006396127155305982</x:v>
      </x:c>
      <x:c r="AJ1726" t="n">
        <x:v>0</x:v>
      </x:c>
      <x:c r="AK1726" t="n">
        <x:v>0</x:v>
      </x:c>
      <x:c r="AL1726" t="n">
        <x:v>0</x:v>
      </x:c>
      <x:c r="AM1726" t="n">
        <x:f>CHOOSE('假设'!$B$3,AJ1726,AK1726,AL1726)</x:f>
        <x:v>0</x:v>
      </x:c>
      <x:c r="AN1726" t="n">
        <x:v>1</x:v>
      </x:c>
    </x:row>
    <x:row r="1727" ht="23" customHeight="1">
      <x:c r="A1727" s="11" t="str">
        <x:v>688302.SH</x:v>
      </x:c>
      <x:c r="B1727" s="11" t="str">
        <x:v>一年</x:v>
      </x:c>
      <x:c r="C1727" s="11" t="str">
        <x:v>hp518_combo_global</x:v>
      </x:c>
      <x:c r="D1727" s="11" t="str">
        <x:v>2027-12-31</x:v>
      </x:c>
      <x:c r="E1727" s="11" t="str">
        <x:v>USD</x:v>
      </x:c>
      <x:c r="F1727" s="11" t="n">
        <x:v>0.2272416153319644</x:v>
      </x:c>
      <x:c r="G1727" s="26" t="b">
        <x:v>1</x:v>
      </x:c>
      <x:c r="H1727" s="16" t="n">
        <x:v>0</x:v>
      </x:c>
      <x:c r="I1727" s="16" t="n">
        <x:v>0</x:v>
      </x:c>
      <x:c r="J1727" s="16" t="n">
        <x:v>0</x:v>
      </x:c>
      <x:c r="K1727" s="11" t="n">
        <x:f>CHOOSE('假设'!$B$3,H1727,I1727,J1727)</x:f>
        <x:v>0</x:v>
      </x:c>
      <x:c r="L1727" s="11" t="n">
        <x:f>K1727*'管线假设'!E387*'管线假设'!F387*'管线假设'!G387*IF(E1727="USD",'管线假设'!I387,1)-AM1727</x:f>
        <x:v>0</x:v>
      </x:c>
      <x:c r="M1727" s="11" t="n">
        <x:f>'管线假设'!H387</x:f>
        <x:v>0.14</x:v>
      </x:c>
      <x:c r="N1727" s="11" t="n">
        <x:f>IF(G1727,L1727*AN1727/(1+M1727)^F1727,0)</x:f>
        <x:v>0</x:v>
      </x:c>
      <x:c r="AJ1727" t="n">
        <x:v>0</x:v>
      </x:c>
      <x:c r="AK1727" t="n">
        <x:v>0</x:v>
      </x:c>
      <x:c r="AL1727" t="n">
        <x:v>0</x:v>
      </x:c>
      <x:c r="AM1727" t="n">
        <x:f>CHOOSE('假设'!$B$3,AJ1727,AK1727,AL1727)</x:f>
        <x:v>0</x:v>
      </x:c>
      <x:c r="AN1727" t="n">
        <x:v>1</x:v>
      </x:c>
    </x:row>
    <x:row r="1728" ht="23" customHeight="1">
      <x:c r="A1728" s="11" t="str">
        <x:v>688302.SH</x:v>
      </x:c>
      <x:c r="B1728" s="11" t="str">
        <x:v>一年</x:v>
      </x:c>
      <x:c r="C1728" s="11" t="str">
        <x:v>hp518_combo_global</x:v>
      </x:c>
      <x:c r="D1728" s="11" t="str">
        <x:v>2028-12-31</x:v>
      </x:c>
      <x:c r="E1728" s="11" t="str">
        <x:v>USD</x:v>
      </x:c>
      <x:c r="F1728" s="11" t="n">
        <x:v>1.2292950034223136</x:v>
      </x:c>
      <x:c r="G1728" s="26" t="b">
        <x:v>1</x:v>
      </x:c>
      <x:c r="H1728" s="16" t="n">
        <x:v>0</x:v>
      </x:c>
      <x:c r="I1728" s="16" t="n">
        <x:v>0</x:v>
      </x:c>
      <x:c r="J1728" s="16" t="n">
        <x:v>0</x:v>
      </x:c>
      <x:c r="K1728" s="11" t="n">
        <x:f>CHOOSE('假设'!$B$3,H1728,I1728,J1728)</x:f>
        <x:v>0</x:v>
      </x:c>
      <x:c r="L1728" s="11" t="n">
        <x:f>K1728*'管线假设'!E387*'管线假设'!F387*'管线假设'!G387*IF(E1728="USD",'管线假设'!I387,1)-AM1728</x:f>
        <x:v>0</x:v>
      </x:c>
      <x:c r="M1728" s="11" t="n">
        <x:f>'管线假设'!H387</x:f>
        <x:v>0.14</x:v>
      </x:c>
      <x:c r="N1728" s="11" t="n">
        <x:f>IF(G1728,L1728*AN1728/(1+M1728)^F1728,0)</x:f>
        <x:v>0</x:v>
      </x:c>
      <x:c r="AJ1728" t="n">
        <x:v>0</x:v>
      </x:c>
      <x:c r="AK1728" t="n">
        <x:v>0</x:v>
      </x:c>
      <x:c r="AL1728" t="n">
        <x:v>0</x:v>
      </x:c>
      <x:c r="AM1728" t="n">
        <x:f>CHOOSE('假设'!$B$3,AJ1728,AK1728,AL1728)</x:f>
        <x:v>0</x:v>
      </x:c>
      <x:c r="AN1728" t="n">
        <x:v>1</x:v>
      </x:c>
    </x:row>
    <x:row r="1729" ht="23" customHeight="1">
      <x:c r="A1729" s="11" t="str">
        <x:v>688302.SH</x:v>
      </x:c>
      <x:c r="B1729" s="11" t="str">
        <x:v>一年</x:v>
      </x:c>
      <x:c r="C1729" s="11" t="str">
        <x:v>hp518_combo_global</x:v>
      </x:c>
      <x:c r="D1729" s="11" t="str">
        <x:v>2029-12-31</x:v>
      </x:c>
      <x:c r="E1729" s="11" t="str">
        <x:v>USD</x:v>
      </x:c>
      <x:c r="F1729" s="11" t="n">
        <x:v>2.2286105407255303</x:v>
      </x:c>
      <x:c r="G1729" s="26" t="b">
        <x:v>1</x:v>
      </x:c>
      <x:c r="H1729" s="16" t="n">
        <x:v>0</x:v>
      </x:c>
      <x:c r="I1729" s="16" t="n">
        <x:v>0</x:v>
      </x:c>
      <x:c r="J1729" s="16" t="n">
        <x:v>0</x:v>
      </x:c>
      <x:c r="K1729" s="11" t="n">
        <x:f>CHOOSE('假设'!$B$3,H1729,I1729,J1729)</x:f>
        <x:v>0</x:v>
      </x:c>
      <x:c r="L1729" s="11" t="n">
        <x:f>K1729*'管线假设'!E387*'管线假设'!F387*'管线假设'!G387*IF(E1729="USD",'管线假设'!I387,1)-AM1729</x:f>
        <x:v>0</x:v>
      </x:c>
      <x:c r="M1729" s="11" t="n">
        <x:f>'管线假设'!H387</x:f>
        <x:v>0.14</x:v>
      </x:c>
      <x:c r="N1729" s="11" t="n">
        <x:f>IF(G1729,L1729*AN1729/(1+M1729)^F1729,0)</x:f>
        <x:v>0</x:v>
      </x:c>
      <x:c r="AJ1729" t="n">
        <x:v>0</x:v>
      </x:c>
      <x:c r="AK1729" t="n">
        <x:v>0</x:v>
      </x:c>
      <x:c r="AL1729" t="n">
        <x:v>0</x:v>
      </x:c>
      <x:c r="AM1729" t="n">
        <x:f>CHOOSE('假设'!$B$3,AJ1729,AK1729,AL1729)</x:f>
        <x:v>0</x:v>
      </x:c>
      <x:c r="AN1729" t="n">
        <x:v>1</x:v>
      </x:c>
    </x:row>
    <x:row r="1730" ht="23" customHeight="1">
      <x:c r="A1730" s="11" t="str">
        <x:v>688302.SH</x:v>
      </x:c>
      <x:c r="B1730" s="11" t="str">
        <x:v>一年</x:v>
      </x:c>
      <x:c r="C1730" s="11" t="str">
        <x:v>hp518_combo_global</x:v>
      </x:c>
      <x:c r="D1730" s="11" t="str">
        <x:v>2030-12-31</x:v>
      </x:c>
      <x:c r="E1730" s="11" t="str">
        <x:v>USD</x:v>
      </x:c>
      <x:c r="F1730" s="11" t="n">
        <x:v>3.2279260780287475</x:v>
      </x:c>
      <x:c r="G1730" s="26" t="b">
        <x:v>1</x:v>
      </x:c>
      <x:c r="H1730" s="16" t="n">
        <x:v>0</x:v>
      </x:c>
      <x:c r="I1730" s="16" t="n">
        <x:v>0</x:v>
      </x:c>
      <x:c r="J1730" s="16" t="n">
        <x:v>0</x:v>
      </x:c>
      <x:c r="K1730" s="11" t="n">
        <x:f>CHOOSE('假设'!$B$3,H1730,I1730,J1730)</x:f>
        <x:v>0</x:v>
      </x:c>
      <x:c r="L1730" s="11" t="n">
        <x:f>K1730*'管线假设'!E387*'管线假设'!F387*'管线假设'!G387*IF(E1730="USD",'管线假设'!I387,1)-AM1730</x:f>
        <x:v>0</x:v>
      </x:c>
      <x:c r="M1730" s="11" t="n">
        <x:f>'管线假设'!H387</x:f>
        <x:v>0.14</x:v>
      </x:c>
      <x:c r="N1730" s="11" t="n">
        <x:f>IF(G1730,L1730*AN1730/(1+M1730)^F1730,0)</x:f>
        <x:v>0</x:v>
      </x:c>
      <x:c r="AJ1730" t="n">
        <x:v>0</x:v>
      </x:c>
      <x:c r="AK1730" t="n">
        <x:v>0</x:v>
      </x:c>
      <x:c r="AL1730" t="n">
        <x:v>0</x:v>
      </x:c>
      <x:c r="AM1730" t="n">
        <x:f>CHOOSE('假设'!$B$3,AJ1730,AK1730,AL1730)</x:f>
        <x:v>0</x:v>
      </x:c>
      <x:c r="AN1730" t="n">
        <x:v>1</x:v>
      </x:c>
    </x:row>
    <x:row r="1731" ht="23" customHeight="1">
      <x:c r="A1731" s="11" t="str">
        <x:v>688302.SH</x:v>
      </x:c>
      <x:c r="B1731" s="11" t="str">
        <x:v>一年</x:v>
      </x:c>
      <x:c r="C1731" s="11" t="str">
        <x:v>hp518_combo_global</x:v>
      </x:c>
      <x:c r="D1731" s="11" t="str">
        <x:v>2031-12-31</x:v>
      </x:c>
      <x:c r="E1731" s="11" t="str">
        <x:v>USD</x:v>
      </x:c>
      <x:c r="F1731" s="11" t="n">
        <x:v>4.227241615331964</x:v>
      </x:c>
      <x:c r="G1731" s="26" t="b">
        <x:v>1</x:v>
      </x:c>
      <x:c r="H1731" s="16" t="n">
        <x:v>0</x:v>
      </x:c>
      <x:c r="I1731" s="16" t="n">
        <x:v>0</x:v>
      </x:c>
      <x:c r="J1731" s="16" t="n">
        <x:v>0</x:v>
      </x:c>
      <x:c r="K1731" s="11" t="n">
        <x:f>CHOOSE('假设'!$B$3,H1731,I1731,J1731)</x:f>
        <x:v>0</x:v>
      </x:c>
      <x:c r="L1731" s="11" t="n">
        <x:f>K1731*'管线假设'!E387*'管线假设'!F387*'管线假设'!G387*IF(E1731="USD",'管线假设'!I387,1)-AM1731</x:f>
        <x:v>0</x:v>
      </x:c>
      <x:c r="M1731" s="11" t="n">
        <x:f>'管线假设'!H387</x:f>
        <x:v>0.14</x:v>
      </x:c>
      <x:c r="N1731" s="11" t="n">
        <x:f>IF(G1731,L1731*AN1731/(1+M1731)^F1731,0)</x:f>
        <x:v>0</x:v>
      </x:c>
      <x:c r="AJ1731" t="n">
        <x:v>0</x:v>
      </x:c>
      <x:c r="AK1731" t="n">
        <x:v>0</x:v>
      </x:c>
      <x:c r="AL1731" t="n">
        <x:v>0</x:v>
      </x:c>
      <x:c r="AM1731" t="n">
        <x:f>CHOOSE('假设'!$B$3,AJ1731,AK1731,AL1731)</x:f>
        <x:v>0</x:v>
      </x:c>
      <x:c r="AN1731" t="n">
        <x:v>1</x:v>
      </x:c>
    </x:row>
    <x:row r="1732" ht="23" customHeight="1">
      <x:c r="A1732" s="11" t="str">
        <x:v>688302.SH</x:v>
      </x:c>
      <x:c r="B1732" s="11" t="str">
        <x:v>一年</x:v>
      </x:c>
      <x:c r="C1732" s="11" t="str">
        <x:v>hp518_combo_global</x:v>
      </x:c>
      <x:c r="D1732" s="11" t="str">
        <x:v>2032-12-31</x:v>
      </x:c>
      <x:c r="E1732" s="11" t="str">
        <x:v>USD</x:v>
      </x:c>
      <x:c r="F1732" s="11" t="n">
        <x:v>5.229295003422314</x:v>
      </x:c>
      <x:c r="G1732" s="26" t="b">
        <x:v>1</x:v>
      </x:c>
      <x:c r="H1732" s="16" t="n">
        <x:v>0</x:v>
      </x:c>
      <x:c r="I1732" s="16" t="n">
        <x:v>0</x:v>
      </x:c>
      <x:c r="J1732" s="16" t="n">
        <x:v>0.5</x:v>
      </x:c>
      <x:c r="K1732" s="11" t="n">
        <x:f>CHOOSE('假设'!$B$3,H1732,I1732,J1732)</x:f>
        <x:v>0</x:v>
      </x:c>
      <x:c r="L1732" s="11" t="n">
        <x:f>K1732*'管线假设'!E387*'管线假设'!F387*'管线假设'!G387*IF(E1732="USD",'管线假设'!I387,1)-AM1732</x:f>
        <x:v>0</x:v>
      </x:c>
      <x:c r="M1732" s="11" t="n">
        <x:f>'管线假设'!H387</x:f>
        <x:v>0.14</x:v>
      </x:c>
      <x:c r="N1732" s="11" t="n">
        <x:f>IF(G1732,L1732*AN1732/(1+M1732)^F1732,0)</x:f>
        <x:v>0</x:v>
      </x:c>
      <x:c r="AJ1732" t="n">
        <x:v>0</x:v>
      </x:c>
      <x:c r="AK1732" t="n">
        <x:v>0</x:v>
      </x:c>
      <x:c r="AL1732" t="n">
        <x:v>0</x:v>
      </x:c>
      <x:c r="AM1732" t="n">
        <x:f>CHOOSE('假设'!$B$3,AJ1732,AK1732,AL1732)</x:f>
        <x:v>0</x:v>
      </x:c>
      <x:c r="AN1732" t="n">
        <x:v>1</x:v>
      </x:c>
    </x:row>
    <x:row r="1733" ht="23" customHeight="1">
      <x:c r="A1733" s="11" t="str">
        <x:v>688302.SH</x:v>
      </x:c>
      <x:c r="B1733" s="11" t="str">
        <x:v>一年</x:v>
      </x:c>
      <x:c r="C1733" s="11" t="str">
        <x:v>hp518_combo_global</x:v>
      </x:c>
      <x:c r="D1733" s="11" t="str">
        <x:v>2033-12-31</x:v>
      </x:c>
      <x:c r="E1733" s="11" t="str">
        <x:v>USD</x:v>
      </x:c>
      <x:c r="F1733" s="11" t="n">
        <x:v>6.228610540725531</x:v>
      </x:c>
      <x:c r="G1733" s="26" t="b">
        <x:v>1</x:v>
      </x:c>
      <x:c r="H1733" s="16" t="n">
        <x:v>0</x:v>
      </x:c>
      <x:c r="I1733" s="16" t="n">
        <x:v>0</x:v>
      </x:c>
      <x:c r="J1733" s="16" t="n">
        <x:v>1</x:v>
      </x:c>
      <x:c r="K1733" s="11" t="n">
        <x:f>CHOOSE('假设'!$B$3,H1733,I1733,J1733)</x:f>
        <x:v>0</x:v>
      </x:c>
      <x:c r="L1733" s="11" t="n">
        <x:f>K1733*'管线假设'!E387*'管线假设'!F387*'管线假设'!G387*IF(E1733="USD",'管线假设'!I387,1)-AM1733</x:f>
        <x:v>0</x:v>
      </x:c>
      <x:c r="M1733" s="11" t="n">
        <x:f>'管线假设'!H387</x:f>
        <x:v>0.14</x:v>
      </x:c>
      <x:c r="N1733" s="11" t="n">
        <x:f>IF(G1733,L1733*AN1733/(1+M1733)^F1733,0)</x:f>
        <x:v>0</x:v>
      </x:c>
      <x:c r="AJ1733" t="n">
        <x:v>0</x:v>
      </x:c>
      <x:c r="AK1733" t="n">
        <x:v>0</x:v>
      </x:c>
      <x:c r="AL1733" t="n">
        <x:v>0</x:v>
      </x:c>
      <x:c r="AM1733" t="n">
        <x:f>CHOOSE('假设'!$B$3,AJ1733,AK1733,AL1733)</x:f>
        <x:v>0</x:v>
      </x:c>
      <x:c r="AN1733" t="n">
        <x:v>1</x:v>
      </x:c>
    </x:row>
    <x:row r="1734" ht="23" customHeight="1">
      <x:c r="A1734" s="11" t="str">
        <x:v>688302.SH</x:v>
      </x:c>
      <x:c r="B1734" s="11" t="str">
        <x:v>一年</x:v>
      </x:c>
      <x:c r="C1734" s="11" t="str">
        <x:v>hp518_combo_global</x:v>
      </x:c>
      <x:c r="D1734" s="11" t="str">
        <x:v>2034-12-31</x:v>
      </x:c>
      <x:c r="E1734" s="11" t="str">
        <x:v>USD</x:v>
      </x:c>
      <x:c r="F1734" s="11" t="n">
        <x:v>7.227926078028747</x:v>
      </x:c>
      <x:c r="G1734" s="26" t="b">
        <x:v>1</x:v>
      </x:c>
      <x:c r="H1734" s="16" t="n">
        <x:v>0</x:v>
      </x:c>
      <x:c r="I1734" s="16" t="n">
        <x:v>0.26666666666666666</x:v>
      </x:c>
      <x:c r="J1734" s="16" t="n">
        <x:v>1.5</x:v>
      </x:c>
      <x:c r="K1734" s="11" t="n">
        <x:f>CHOOSE('假设'!$B$3,H1734,I1734,J1734)</x:f>
        <x:v>0.26666666666666666</x:v>
      </x:c>
      <x:c r="L1734" s="11" t="n">
        <x:f>K1734*'管线假设'!E387*'管线假设'!F387*'管线假设'!G387*IF(E1734="USD",'管线假设'!I387,1)-AM1734</x:f>
        <x:v>0.025761120000000002</x:v>
      </x:c>
      <x:c r="M1734" s="11" t="n">
        <x:f>'管线假设'!H387</x:f>
        <x:v>0.14</x:v>
      </x:c>
      <x:c r="N1734" s="11" t="n">
        <x:f>IF(G1734,L1734*AN1734/(1+M1734)^F1734,0)</x:f>
        <x:v>0.009992189958943772</x:v>
      </x:c>
      <x:c r="AJ1734" t="n">
        <x:v>0</x:v>
      </x:c>
      <x:c r="AK1734" t="n">
        <x:v>0</x:v>
      </x:c>
      <x:c r="AL1734" t="n">
        <x:v>0</x:v>
      </x:c>
      <x:c r="AM1734" t="n">
        <x:f>CHOOSE('假设'!$B$3,AJ1734,AK1734,AL1734)</x:f>
        <x:v>0</x:v>
      </x:c>
      <x:c r="AN1734" t="n">
        <x:v>1</x:v>
      </x:c>
    </x:row>
    <x:row r="1735" ht="23" customHeight="1">
      <x:c r="A1735" s="11" t="str">
        <x:v>688302.SH</x:v>
      </x:c>
      <x:c r="B1735" s="11" t="str">
        <x:v>一年</x:v>
      </x:c>
      <x:c r="C1735" s="11" t="str">
        <x:v>hp518_combo_global</x:v>
      </x:c>
      <x:c r="D1735" s="11" t="str">
        <x:v>2035-12-31</x:v>
      </x:c>
      <x:c r="E1735" s="11" t="str">
        <x:v>USD</x:v>
      </x:c>
      <x:c r="F1735" s="11" t="n">
        <x:v>8.227241615331964</x:v>
      </x:c>
      <x:c r="G1735" s="26" t="b">
        <x:v>1</x:v>
      </x:c>
      <x:c r="H1735" s="16" t="n">
        <x:v>0</x:v>
      </x:c>
      <x:c r="I1735" s="16" t="n">
        <x:v>0.5333333333333333</x:v>
      </x:c>
      <x:c r="J1735" s="16" t="n">
        <x:v>2</x:v>
      </x:c>
      <x:c r="K1735" s="11" t="n">
        <x:f>CHOOSE('假设'!$B$3,H1735,I1735,J1735)</x:f>
        <x:v>0.5333333333333333</x:v>
      </x:c>
      <x:c r="L1735" s="11" t="n">
        <x:f>K1735*'管线假设'!E387*'管线假设'!F387*'管线假设'!G387*IF(E1735="USD",'管线假设'!I387,1)-AM1735</x:f>
        <x:v>0.051522240000000004</x:v>
      </x:c>
      <x:c r="M1735" s="11" t="n">
        <x:f>'管线假设'!H387</x:f>
        <x:v>0.14</x:v>
      </x:c>
      <x:c r="N1735" s="11" t="n">
        <x:f>IF(G1735,L1735*AN1735/(1+M1735)^F1735,0)</x:f>
        <x:v>0.017531730067144993</x:v>
      </x:c>
      <x:c r="AJ1735" t="n">
        <x:v>0</x:v>
      </x:c>
      <x:c r="AK1735" t="n">
        <x:v>0</x:v>
      </x:c>
      <x:c r="AL1735" t="n">
        <x:v>0</x:v>
      </x:c>
      <x:c r="AM1735" t="n">
        <x:f>CHOOSE('假设'!$B$3,AJ1735,AK1735,AL1735)</x:f>
        <x:v>0</x:v>
      </x:c>
      <x:c r="AN1735" t="n">
        <x:v>1</x:v>
      </x:c>
    </x:row>
    <x:row r="1736" ht="23" customHeight="1">
      <x:c r="A1736" s="11" t="str">
        <x:v>688302.SH</x:v>
      </x:c>
      <x:c r="B1736" s="11" t="str">
        <x:v>一年</x:v>
      </x:c>
      <x:c r="C1736" s="11" t="str">
        <x:v>hp518_combo_global</x:v>
      </x:c>
      <x:c r="D1736" s="11" t="str">
        <x:v>2036-12-31</x:v>
      </x:c>
      <x:c r="E1736" s="11" t="str">
        <x:v>USD</x:v>
      </x:c>
      <x:c r="F1736" s="11" t="n">
        <x:v>9.229295003422314</x:v>
      </x:c>
      <x:c r="G1736" s="26" t="b">
        <x:v>1</x:v>
      </x:c>
      <x:c r="H1736" s="16" t="n">
        <x:v>0</x:v>
      </x:c>
      <x:c r="I1736" s="16" t="n">
        <x:v>0.8</x:v>
      </x:c>
      <x:c r="J1736" s="16" t="n">
        <x:v>2.5</x:v>
      </x:c>
      <x:c r="K1736" s="11" t="n">
        <x:f>CHOOSE('假设'!$B$3,H1736,I1736,J1736)</x:f>
        <x:v>0.8</x:v>
      </x:c>
      <x:c r="L1736" s="11" t="n">
        <x:f>K1736*'管线假设'!E387*'管线假设'!F387*'管线假设'!G387*IF(E1736="USD",'管线假设'!I387,1)-AM1736</x:f>
        <x:v>0.07728336000000001</x:v>
      </x:c>
      <x:c r="M1736" s="11" t="n">
        <x:f>'管线假设'!H387</x:f>
        <x:v>0.14</x:v>
      </x:c>
      <x:c r="N1736" s="11" t="n">
        <x:f>IF(G1736,L1736*AN1736/(1+M1736)^F1736,0)</x:f>
        <x:v>0.02306186020634055</x:v>
      </x:c>
      <x:c r="AJ1736" t="n">
        <x:v>0</x:v>
      </x:c>
      <x:c r="AK1736" t="n">
        <x:v>0</x:v>
      </x:c>
      <x:c r="AL1736" t="n">
        <x:v>0</x:v>
      </x:c>
      <x:c r="AM1736" t="n">
        <x:f>CHOOSE('假设'!$B$3,AJ1736,AK1736,AL1736)</x:f>
        <x:v>0</x:v>
      </x:c>
      <x:c r="AN1736" t="n">
        <x:v>1</x:v>
      </x:c>
    </x:row>
    <x:row r="1737" ht="23" customHeight="1">
      <x:c r="A1737" s="11" t="str">
        <x:v>688302.SH</x:v>
      </x:c>
      <x:c r="B1737" s="11" t="str">
        <x:v>一年</x:v>
      </x:c>
      <x:c r="C1737" s="11" t="str">
        <x:v>hp518_combo_global</x:v>
      </x:c>
      <x:c r="D1737" s="11" t="str">
        <x:v>2037-12-31</x:v>
      </x:c>
      <x:c r="E1737" s="11" t="str">
        <x:v>USD</x:v>
      </x:c>
      <x:c r="F1737" s="11" t="n">
        <x:v>10.22861054072553</x:v>
      </x:c>
      <x:c r="G1737" s="26" t="b">
        <x:v>1</x:v>
      </x:c>
      <x:c r="H1737" s="16" t="n">
        <x:v>0.1</x:v>
      </x:c>
      <x:c r="I1737" s="16" t="n">
        <x:v>1.0666666666666667</x:v>
      </x:c>
      <x:c r="J1737" s="16" t="n">
        <x:v>3</x:v>
      </x:c>
      <x:c r="K1737" s="11" t="n">
        <x:f>CHOOSE('假设'!$B$3,H1737,I1737,J1737)</x:f>
        <x:v>1.0666666666666667</x:v>
      </x:c>
      <x:c r="L1737" s="11" t="n">
        <x:f>K1737*'管线假设'!E387*'管线假设'!F387*'管线假设'!G387*IF(E1737="USD",'管线假设'!I387,1)-AM1737</x:f>
        <x:v>0.10304448000000001</x:v>
      </x:c>
      <x:c r="M1737" s="11" t="n">
        <x:f>'管线假设'!H387</x:f>
        <x:v>0.14</x:v>
      </x:c>
      <x:c r="N1737" s="11" t="n">
        <x:f>IF(G1737,L1737*AN1737/(1+M1737)^F1737,0)</x:f>
        <x:v>0.02697535506197372</x:v>
      </x:c>
      <x:c r="AJ1737" t="n">
        <x:v>0</x:v>
      </x:c>
      <x:c r="AK1737" t="n">
        <x:v>0</x:v>
      </x:c>
      <x:c r="AL1737" t="n">
        <x:v>0</x:v>
      </x:c>
      <x:c r="AM1737" t="n">
        <x:f>CHOOSE('假设'!$B$3,AJ1737,AK1737,AL1737)</x:f>
        <x:v>0</x:v>
      </x:c>
      <x:c r="AN1737" t="n">
        <x:v>1</x:v>
      </x:c>
    </x:row>
    <x:row r="1738" ht="23" customHeight="1">
      <x:c r="A1738" s="11" t="str">
        <x:v>688302.SH</x:v>
      </x:c>
      <x:c r="B1738" s="11" t="str">
        <x:v>一年</x:v>
      </x:c>
      <x:c r="C1738" s="11" t="str">
        <x:v>hp518_combo_global</x:v>
      </x:c>
      <x:c r="D1738" s="11" t="str">
        <x:v>2038-12-31</x:v>
      </x:c>
      <x:c r="E1738" s="11" t="str">
        <x:v>USD</x:v>
      </x:c>
      <x:c r="F1738" s="11" t="n">
        <x:v>11.227926078028748</x:v>
      </x:c>
      <x:c r="G1738" s="26" t="b">
        <x:v>1</x:v>
      </x:c>
      <x:c r="H1738" s="16" t="n">
        <x:v>0.2</x:v>
      </x:c>
      <x:c r="I1738" s="16" t="n">
        <x:v>1.3333333333333335</x:v>
      </x:c>
      <x:c r="J1738" s="16" t="n">
        <x:v>2.61</x:v>
      </x:c>
      <x:c r="K1738" s="11" t="n">
        <x:f>CHOOSE('假设'!$B$3,H1738,I1738,J1738)</x:f>
        <x:v>1.3333333333333335</x:v>
      </x:c>
      <x:c r="L1738" s="11" t="n">
        <x:f>K1738*'管线假设'!E387*'管线假设'!F387*'管线假设'!G387*IF(E1738="USD",'管线假设'!I387,1)-AM1738</x:f>
        <x:v>0.12880560000000002</x:v>
      </x:c>
      <x:c r="M1738" s="11" t="n">
        <x:f>'管线假设'!H387</x:f>
        <x:v>0.14</x:v>
      </x:c>
      <x:c r="N1738" s="11" t="n">
        <x:f>IF(G1738,L1738*AN1738/(1+M1738)^F1738,0)</x:f>
        <x:v>0.02958089301213525</x:v>
      </x:c>
      <x:c r="AJ1738" t="n">
        <x:v>0</x:v>
      </x:c>
      <x:c r="AK1738" t="n">
        <x:v>0</x:v>
      </x:c>
      <x:c r="AL1738" t="n">
        <x:v>0</x:v>
      </x:c>
      <x:c r="AM1738" t="n">
        <x:f>CHOOSE('假设'!$B$3,AJ1738,AK1738,AL1738)</x:f>
        <x:v>0</x:v>
      </x:c>
      <x:c r="AN1738" t="n">
        <x:v>1</x:v>
      </x:c>
    </x:row>
    <x:row r="1739" ht="23" customHeight="1">
      <x:c r="A1739" s="11" t="str">
        <x:v>688302.SH</x:v>
      </x:c>
      <x:c r="B1739" s="11" t="str">
        <x:v>一年</x:v>
      </x:c>
      <x:c r="C1739" s="11" t="str">
        <x:v>hp518_combo_global</x:v>
      </x:c>
      <x:c r="D1739" s="11" t="str">
        <x:v>2039-12-31</x:v>
      </x:c>
      <x:c r="E1739" s="11" t="str">
        <x:v>USD</x:v>
      </x:c>
      <x:c r="F1739" s="11" t="n">
        <x:v>12.227241615331964</x:v>
      </x:c>
      <x:c r="G1739" s="26" t="b">
        <x:v>1</x:v>
      </x:c>
      <x:c r="H1739" s="16" t="n">
        <x:v>0.3</x:v>
      </x:c>
      <x:c r="I1739" s="16" t="n">
        <x:v>1.6</x:v>
      </x:c>
      <x:c r="J1739" s="16" t="n">
        <x:v>2.2199999999999998</x:v>
      </x:c>
      <x:c r="K1739" s="11" t="n">
        <x:f>CHOOSE('假设'!$B$3,H1739,I1739,J1739)</x:f>
        <x:v>1.6</x:v>
      </x:c>
      <x:c r="L1739" s="11" t="n">
        <x:f>K1739*'管线假设'!E387*'管线假设'!F387*'管线假设'!G387*IF(E1739="USD",'管线假设'!I387,1)-AM1739</x:f>
        <x:v>0.15456672000000002</x:v>
      </x:c>
      <x:c r="M1739" s="11" t="n">
        <x:f>'管线假设'!H387</x:f>
        <x:v>0.14</x:v>
      </x:c>
      <x:c r="N1739" s="11" t="n">
        <x:f>IF(G1739,L1739*AN1739/(1+M1739)^F1739,0)</x:f>
        <x:v>0.031140574802803498</x:v>
      </x:c>
      <x:c r="AJ1739" t="n">
        <x:v>0</x:v>
      </x:c>
      <x:c r="AK1739" t="n">
        <x:v>0</x:v>
      </x:c>
      <x:c r="AL1739" t="n">
        <x:v>0</x:v>
      </x:c>
      <x:c r="AM1739" t="n">
        <x:f>CHOOSE('假设'!$B$3,AJ1739,AK1739,AL1739)</x:f>
        <x:v>0</x:v>
      </x:c>
      <x:c r="AN1739" t="n">
        <x:v>1</x:v>
      </x:c>
    </x:row>
    <x:row r="1740" ht="23" customHeight="1">
      <x:c r="A1740" s="11" t="str">
        <x:v>688302.SH</x:v>
      </x:c>
      <x:c r="B1740" s="11" t="str">
        <x:v>一年</x:v>
      </x:c>
      <x:c r="C1740" s="11" t="str">
        <x:v>hp518_combo_global</x:v>
      </x:c>
      <x:c r="D1740" s="11" t="str">
        <x:v>2040-12-31</x:v>
      </x:c>
      <x:c r="E1740" s="11" t="str">
        <x:v>USD</x:v>
      </x:c>
      <x:c r="F1740" s="11" t="n">
        <x:v>13.229295003422314</x:v>
      </x:c>
      <x:c r="G1740" s="26" t="b">
        <x:v>1</x:v>
      </x:c>
      <x:c r="H1740" s="16" t="n">
        <x:v>0.4</x:v>
      </x:c>
      <x:c r="I1740" s="16" t="n">
        <x:v>1.3920000000000001</x:v>
      </x:c>
      <x:c r="J1740" s="16" t="n">
        <x:v>1.83</x:v>
      </x:c>
      <x:c r="K1740" s="11" t="n">
        <x:f>CHOOSE('假设'!$B$3,H1740,I1740,J1740)</x:f>
        <x:v>1.3920000000000001</x:v>
      </x:c>
      <x:c r="L1740" s="11" t="n">
        <x:f>K1740*'管线假设'!E387*'管线假设'!F387*'管线假设'!G387*IF(E1740="USD",'管线假设'!I387,1)-AM1740</x:f>
        <x:v>0.13447304640000002</x:v>
      </x:c>
      <x:c r="M1740" s="11" t="n">
        <x:f>'管线假设'!H387</x:f>
        <x:v>0.14</x:v>
      </x:c>
      <x:c r="N1740" s="11" t="n">
        <x:f>IF(G1740,L1740*AN1740/(1+M1740)^F1740,0)</x:f>
        <x:v>0.02375878230249821</x:v>
      </x:c>
      <x:c r="AJ1740" t="n">
        <x:v>0</x:v>
      </x:c>
      <x:c r="AK1740" t="n">
        <x:v>0</x:v>
      </x:c>
      <x:c r="AL1740" t="n">
        <x:v>0</x:v>
      </x:c>
      <x:c r="AM1740" t="n">
        <x:f>CHOOSE('假设'!$B$3,AJ1740,AK1740,AL1740)</x:f>
        <x:v>0</x:v>
      </x:c>
      <x:c r="AN1740" t="n">
        <x:v>1</x:v>
      </x:c>
    </x:row>
    <x:row r="1741" ht="23" customHeight="1">
      <x:c r="A1741" s="11" t="str">
        <x:v>688302.SH</x:v>
      </x:c>
      <x:c r="B1741" s="11" t="str">
        <x:v>一年</x:v>
      </x:c>
      <x:c r="C1741" s="11" t="str">
        <x:v>hp518_combo_global</x:v>
      </x:c>
      <x:c r="D1741" s="11" t="str">
        <x:v>2041-12-31</x:v>
      </x:c>
      <x:c r="E1741" s="11" t="str">
        <x:v>USD</x:v>
      </x:c>
      <x:c r="F1741" s="11" t="n">
        <x:v>14.22861054072553</x:v>
      </x:c>
      <x:c r="G1741" s="26" t="b">
        <x:v>1</x:v>
      </x:c>
      <x:c r="H1741" s="16" t="n">
        <x:v>0.5</x:v>
      </x:c>
      <x:c r="I1741" s="16" t="n">
        <x:v>1.184</x:v>
      </x:c>
      <x:c r="J1741" s="16" t="n">
        <x:v>1.44</x:v>
      </x:c>
      <x:c r="K1741" s="11" t="n">
        <x:f>CHOOSE('假设'!$B$3,H1741,I1741,J1741)</x:f>
        <x:v>1.184</x:v>
      </x:c>
      <x:c r="L1741" s="11" t="n">
        <x:f>K1741*'管线假设'!E387*'管线假设'!F387*'管线假设'!G387*IF(E1741="USD",'管线假设'!I387,1)-AM1741</x:f>
        <x:v>0.1143793728</x:v>
      </x:c>
      <x:c r="M1741" s="11" t="n">
        <x:f>'管线假设'!H387</x:f>
        <x:v>0.14</x:v>
      </x:c>
      <x:c r="N1741" s="11" t="n">
        <x:f>IF(G1741,L1741*AN1741/(1+M1741)^F1741,0)</x:f>
        <x:v>0.017728449035050546</x:v>
      </x:c>
      <x:c r="AJ1741" t="n">
        <x:v>0</x:v>
      </x:c>
      <x:c r="AK1741" t="n">
        <x:v>0</x:v>
      </x:c>
      <x:c r="AL1741" t="n">
        <x:v>0</x:v>
      </x:c>
      <x:c r="AM1741" t="n">
        <x:f>CHOOSE('假设'!$B$3,AJ1741,AK1741,AL1741)</x:f>
        <x:v>0</x:v>
      </x:c>
      <x:c r="AN1741" t="n">
        <x:v>1</x:v>
      </x:c>
    </x:row>
    <x:row r="1742" ht="23" customHeight="1">
      <x:c r="A1742" s="11" t="str">
        <x:v>688302.SH</x:v>
      </x:c>
      <x:c r="B1742" s="11" t="str">
        <x:v>一年</x:v>
      </x:c>
      <x:c r="C1742" s="11" t="str">
        <x:v>hp518_combo_global</x:v>
      </x:c>
      <x:c r="D1742" s="11" t="str">
        <x:v>2042-12-31</x:v>
      </x:c>
      <x:c r="E1742" s="11" t="str">
        <x:v>USD</x:v>
      </x:c>
      <x:c r="F1742" s="11" t="n">
        <x:v>15.227926078028748</x:v>
      </x:c>
      <x:c r="G1742" s="26" t="b">
        <x:v>1</x:v>
      </x:c>
      <x:c r="H1742" s="16" t="n">
        <x:v>0.435</x:v>
      </x:c>
      <x:c r="I1742" s="16" t="n">
        <x:v>0.976</x:v>
      </x:c>
      <x:c r="J1742" s="16" t="n">
        <x:v>1.0499999999999998</x:v>
      </x:c>
      <x:c r="K1742" s="11" t="n">
        <x:f>CHOOSE('假设'!$B$3,H1742,I1742,J1742)</x:f>
        <x:v>0.976</x:v>
      </x:c>
      <x:c r="L1742" s="11" t="n">
        <x:f>K1742*'管线假设'!E387*'管线假设'!F387*'管线假设'!G387*IF(E1742="USD",'管线假设'!I387,1)-AM1742</x:f>
        <x:v>0.0942856992</x:v>
      </x:c>
      <x:c r="M1742" s="11" t="n">
        <x:f>'管线假设'!H387</x:f>
        <x:v>0.14</x:v>
      </x:c>
      <x:c r="N1742" s="11" t="n">
        <x:f>IF(G1742,L1742*AN1742/(1+M1742)^F1742,0)</x:f>
        <x:v>0.01282044076450151</x:v>
      </x:c>
      <x:c r="AJ1742" t="n">
        <x:v>0</x:v>
      </x:c>
      <x:c r="AK1742" t="n">
        <x:v>0</x:v>
      </x:c>
      <x:c r="AL1742" t="n">
        <x:v>0</x:v>
      </x:c>
      <x:c r="AM1742" t="n">
        <x:f>CHOOSE('假设'!$B$3,AJ1742,AK1742,AL1742)</x:f>
        <x:v>0</x:v>
      </x:c>
      <x:c r="AN1742" t="n">
        <x:v>1</x:v>
      </x:c>
    </x:row>
    <x:row r="1743" ht="23" customHeight="1">
      <x:c r="A1743" s="11" t="str">
        <x:v>688302.SH</x:v>
      </x:c>
      <x:c r="B1743" s="11" t="str">
        <x:v>一年</x:v>
      </x:c>
      <x:c r="C1743" s="11" t="str">
        <x:v>hp518_combo_global</x:v>
      </x:c>
      <x:c r="D1743" s="11" t="str">
        <x:v>2043-12-31</x:v>
      </x:c>
      <x:c r="E1743" s="11" t="str">
        <x:v>USD</x:v>
      </x:c>
      <x:c r="F1743" s="11" t="n">
        <x:v>16.227241615331966</x:v>
      </x:c>
      <x:c r="G1743" s="26" t="b">
        <x:v>1</x:v>
      </x:c>
      <x:c r="H1743" s="16" t="n">
        <x:v>0.37</x:v>
      </x:c>
      <x:c r="I1743" s="16" t="n">
        <x:v>0.768</x:v>
      </x:c>
      <x:c r="J1743" s="16" t="n">
        <x:v>0.6599999999999999</x:v>
      </x:c>
      <x:c r="K1743" s="11" t="n">
        <x:f>CHOOSE('假设'!$B$3,H1743,I1743,J1743)</x:f>
        <x:v>0.768</x:v>
      </x:c>
      <x:c r="L1743" s="11" t="n">
        <x:f>K1743*'管线假设'!E387*'管线假设'!F387*'管线假设'!G387*IF(E1743="USD",'管线假设'!I387,1)-AM1743</x:f>
        <x:v>0.0741920256</x:v>
      </x:c>
      <x:c r="M1743" s="11" t="n">
        <x:f>'管线假设'!H387</x:f>
        <x:v>0.14</x:v>
      </x:c>
      <x:c r="N1743" s="11" t="n">
        <x:f>IF(G1743,L1743*AN1743/(1+M1743)^F1743,0)</x:f>
        <x:v>0.008850105680021291</x:v>
      </x:c>
      <x:c r="AJ1743" t="n">
        <x:v>0</x:v>
      </x:c>
      <x:c r="AK1743" t="n">
        <x:v>0</x:v>
      </x:c>
      <x:c r="AL1743" t="n">
        <x:v>0</x:v>
      </x:c>
      <x:c r="AM1743" t="n">
        <x:f>CHOOSE('假设'!$B$3,AJ1743,AK1743,AL1743)</x:f>
        <x:v>0</x:v>
      </x:c>
      <x:c r="AN1743" t="n">
        <x:v>1</x:v>
      </x:c>
    </x:row>
    <x:row r="1744" ht="23" customHeight="1">
      <x:c r="A1744" s="11" t="str">
        <x:v>688302.SH</x:v>
      </x:c>
      <x:c r="B1744" s="11" t="str">
        <x:v>一年</x:v>
      </x:c>
      <x:c r="C1744" s="11" t="str">
        <x:v>hp518_combo_global</x:v>
      </x:c>
      <x:c r="D1744" s="11" t="str">
        <x:v>2044-12-31</x:v>
      </x:c>
      <x:c r="E1744" s="11" t="str">
        <x:v>USD</x:v>
      </x:c>
      <x:c r="F1744" s="11" t="n">
        <x:v>17.229295003422312</x:v>
      </x:c>
      <x:c r="G1744" s="26" t="b">
        <x:v>1</x:v>
      </x:c>
      <x:c r="H1744" s="16" t="n">
        <x:v>0.305</x:v>
      </x:c>
      <x:c r="I1744" s="16" t="n">
        <x:v>0.5599999999999999</x:v>
      </x:c>
      <x:c r="J1744" s="16" t="n">
        <x:v>0.2699999999999999</x:v>
      </x:c>
      <x:c r="K1744" s="11" t="n">
        <x:f>CHOOSE('假设'!$B$3,H1744,I1744,J1744)</x:f>
        <x:v>0.5599999999999999</x:v>
      </x:c>
      <x:c r="L1744" s="11" t="n">
        <x:f>K1744*'管线假设'!E387*'管线假设'!F387*'管线假设'!G387*IF(E1744="USD",'管线假设'!I387,1)-AM1744</x:f>
        <x:v>0.054098351999999995</x:v>
      </x:c>
      <x:c r="M1744" s="11" t="n">
        <x:f>'管线假设'!H387</x:f>
        <x:v>0.14</x:v>
      </x:c>
      <x:c r="N1744" s="11" t="n">
        <x:f>IF(G1744,L1744*AN1744/(1+M1744)^F1744,0)</x:f>
        <x:v>0.005659180741924575</x:v>
      </x:c>
      <x:c r="AJ1744" t="n">
        <x:v>0</x:v>
      </x:c>
      <x:c r="AK1744" t="n">
        <x:v>0</x:v>
      </x:c>
      <x:c r="AL1744" t="n">
        <x:v>0</x:v>
      </x:c>
      <x:c r="AM1744" t="n">
        <x:f>CHOOSE('假设'!$B$3,AJ1744,AK1744,AL1744)</x:f>
        <x:v>0</x:v>
      </x:c>
      <x:c r="AN1744" t="n">
        <x:v>1</x:v>
      </x:c>
    </x:row>
    <x:row r="1745" ht="23" customHeight="1">
      <x:c r="A1745" s="11" t="str">
        <x:v>688302.SH</x:v>
      </x:c>
      <x:c r="B1745" s="11" t="str">
        <x:v>一年</x:v>
      </x:c>
      <x:c r="C1745" s="11" t="str">
        <x:v>hp518_combo_global</x:v>
      </x:c>
      <x:c r="D1745" s="11" t="str">
        <x:v>2045-12-31</x:v>
      </x:c>
      <x:c r="E1745" s="11" t="str">
        <x:v>USD</x:v>
      </x:c>
      <x:c r="F1745" s="11" t="n">
        <x:v>18.22861054072553</x:v>
      </x:c>
      <x:c r="G1745" s="26" t="b">
        <x:v>1</x:v>
      </x:c>
      <x:c r="H1745" s="16" t="n">
        <x:v>0.24</x:v>
      </x:c>
      <x:c r="I1745" s="16" t="n">
        <x:v>0.352</x:v>
      </x:c>
      <x:c r="J1745" s="16" t="n">
        <x:v>0</x:v>
      </x:c>
      <x:c r="K1745" s="11" t="n">
        <x:f>CHOOSE('假设'!$B$3,H1745,I1745,J1745)</x:f>
        <x:v>0.352</x:v>
      </x:c>
      <x:c r="L1745" s="11" t="n">
        <x:f>K1745*'管线假设'!E387*'管线假设'!F387*'管线假设'!G387*IF(E1745="USD",'管线假设'!I387,1)-AM1745</x:f>
        <x:v>0.0340046784</x:v>
      </x:c>
      <x:c r="M1745" s="11" t="n">
        <x:f>'管线假设'!H387</x:f>
        <x:v>0.14</x:v>
      </x:c>
      <x:c r="N1745" s="11" t="n">
        <x:f>IF(G1745,L1745*AN1745/(1+M1745)^F1745,0)</x:f>
        <x:v>0.003120630141680431</x:v>
      </x:c>
      <x:c r="AJ1745" t="n">
        <x:v>0</x:v>
      </x:c>
      <x:c r="AK1745" t="n">
        <x:v>0</x:v>
      </x:c>
      <x:c r="AL1745" t="n">
        <x:v>0</x:v>
      </x:c>
      <x:c r="AM1745" t="n">
        <x:f>CHOOSE('假设'!$B$3,AJ1745,AK1745,AL1745)</x:f>
        <x:v>0</x:v>
      </x:c>
      <x:c r="AN1745" t="n">
        <x:v>1</x:v>
      </x:c>
    </x:row>
    <x:row r="1746" ht="23" customHeight="1">
      <x:c r="A1746" s="11" t="str">
        <x:v>688302.SH</x:v>
      </x:c>
      <x:c r="B1746" s="11" t="str">
        <x:v>一年</x:v>
      </x:c>
      <x:c r="C1746" s="11" t="str">
        <x:v>hp518_tnbc_cn</x:v>
      </x:c>
      <x:c r="D1746" s="11" t="str">
        <x:v>2027-12-31</x:v>
      </x:c>
      <x:c r="E1746" s="11" t="str">
        <x:v>CNY</x:v>
      </x:c>
      <x:c r="F1746" s="11" t="n">
        <x:v>0.2272416153319644</x:v>
      </x:c>
      <x:c r="G1746" s="26" t="b">
        <x:v>1</x:v>
      </x:c>
      <x:c r="H1746" s="16" t="n">
        <x:v>0</x:v>
      </x:c>
      <x:c r="I1746" s="16" t="n">
        <x:v>0</x:v>
      </x:c>
      <x:c r="J1746" s="16" t="n">
        <x:v>0</x:v>
      </x:c>
      <x:c r="K1746" s="11" t="n">
        <x:f>CHOOSE('假设'!$B$3,H1746,I1746,J1746)</x:f>
        <x:v>0</x:v>
      </x:c>
      <x:c r="L1746" s="11" t="n">
        <x:f>K1746*'管线假设'!E391*'管线假设'!F391*'管线假设'!G391*IF(E1746="USD",'管线假设'!I391,1)-AM1746</x:f>
        <x:v>0</x:v>
      </x:c>
      <x:c r="M1746" s="11" t="n">
        <x:f>'管线假设'!H391</x:f>
        <x:v>0.14</x:v>
      </x:c>
      <x:c r="N1746" s="11" t="n">
        <x:f>IF(G1746,L1746*AN1746/(1+M1746)^F1746,0)</x:f>
        <x:v>0</x:v>
      </x:c>
      <x:c r="AJ1746" t="n">
        <x:v>0</x:v>
      </x:c>
      <x:c r="AK1746" t="n">
        <x:v>0</x:v>
      </x:c>
      <x:c r="AL1746" t="n">
        <x:v>0</x:v>
      </x:c>
      <x:c r="AM1746" t="n">
        <x:f>CHOOSE('假设'!$B$3,AJ1746,AK1746,AL1746)</x:f>
        <x:v>0</x:v>
      </x:c>
      <x:c r="AN1746" t="n">
        <x:v>1</x:v>
      </x:c>
    </x:row>
    <x:row r="1747" ht="23" customHeight="1">
      <x:c r="A1747" s="11" t="str">
        <x:v>688302.SH</x:v>
      </x:c>
      <x:c r="B1747" s="11" t="str">
        <x:v>一年</x:v>
      </x:c>
      <x:c r="C1747" s="11" t="str">
        <x:v>hp518_tnbc_cn</x:v>
      </x:c>
      <x:c r="D1747" s="11" t="str">
        <x:v>2028-12-31</x:v>
      </x:c>
      <x:c r="E1747" s="11" t="str">
        <x:v>CNY</x:v>
      </x:c>
      <x:c r="F1747" s="11" t="n">
        <x:v>1.2292950034223136</x:v>
      </x:c>
      <x:c r="G1747" s="26" t="b">
        <x:v>1</x:v>
      </x:c>
      <x:c r="H1747" s="16" t="n">
        <x:v>0</x:v>
      </x:c>
      <x:c r="I1747" s="16" t="n">
        <x:v>0</x:v>
      </x:c>
      <x:c r="J1747" s="16" t="n">
        <x:v>0</x:v>
      </x:c>
      <x:c r="K1747" s="11" t="n">
        <x:f>CHOOSE('假设'!$B$3,H1747,I1747,J1747)</x:f>
        <x:v>0</x:v>
      </x:c>
      <x:c r="L1747" s="11" t="n">
        <x:f>K1747*'管线假设'!E391*'管线假设'!F391*'管线假设'!G391*IF(E1747="USD",'管线假设'!I391,1)-AM1747</x:f>
        <x:v>0</x:v>
      </x:c>
      <x:c r="M1747" s="11" t="n">
        <x:f>'管线假设'!H391</x:f>
        <x:v>0.14</x:v>
      </x:c>
      <x:c r="N1747" s="11" t="n">
        <x:f>IF(G1747,L1747*AN1747/(1+M1747)^F1747,0)</x:f>
        <x:v>0</x:v>
      </x:c>
      <x:c r="AJ1747" t="n">
        <x:v>0</x:v>
      </x:c>
      <x:c r="AK1747" t="n">
        <x:v>0</x:v>
      </x:c>
      <x:c r="AL1747" t="n">
        <x:v>0</x:v>
      </x:c>
      <x:c r="AM1747" t="n">
        <x:f>CHOOSE('假设'!$B$3,AJ1747,AK1747,AL1747)</x:f>
        <x:v>0</x:v>
      </x:c>
      <x:c r="AN1747" t="n">
        <x:v>1</x:v>
      </x:c>
    </x:row>
    <x:row r="1748" ht="23" customHeight="1">
      <x:c r="A1748" s="11" t="str">
        <x:v>688302.SH</x:v>
      </x:c>
      <x:c r="B1748" s="11" t="str">
        <x:v>一年</x:v>
      </x:c>
      <x:c r="C1748" s="11" t="str">
        <x:v>hp518_tnbc_cn</x:v>
      </x:c>
      <x:c r="D1748" s="11" t="str">
        <x:v>2029-12-31</x:v>
      </x:c>
      <x:c r="E1748" s="11" t="str">
        <x:v>CNY</x:v>
      </x:c>
      <x:c r="F1748" s="11" t="n">
        <x:v>2.2286105407255303</x:v>
      </x:c>
      <x:c r="G1748" s="26" t="b">
        <x:v>1</x:v>
      </x:c>
      <x:c r="H1748" s="16" t="n">
        <x:v>0</x:v>
      </x:c>
      <x:c r="I1748" s="16" t="n">
        <x:v>0</x:v>
      </x:c>
      <x:c r="J1748" s="16" t="n">
        <x:v>0</x:v>
      </x:c>
      <x:c r="K1748" s="11" t="n">
        <x:f>CHOOSE('假设'!$B$3,H1748,I1748,J1748)</x:f>
        <x:v>0</x:v>
      </x:c>
      <x:c r="L1748" s="11" t="n">
        <x:f>K1748*'管线假设'!E391*'管线假设'!F391*'管线假设'!G391*IF(E1748="USD",'管线假设'!I391,1)-AM1748</x:f>
        <x:v>0</x:v>
      </x:c>
      <x:c r="M1748" s="11" t="n">
        <x:f>'管线假设'!H391</x:f>
        <x:v>0.14</x:v>
      </x:c>
      <x:c r="N1748" s="11" t="n">
        <x:f>IF(G1748,L1748*AN1748/(1+M1748)^F1748,0)</x:f>
        <x:v>0</x:v>
      </x:c>
      <x:c r="AJ1748" t="n">
        <x:v>0</x:v>
      </x:c>
      <x:c r="AK1748" t="n">
        <x:v>0</x:v>
      </x:c>
      <x:c r="AL1748" t="n">
        <x:v>0</x:v>
      </x:c>
      <x:c r="AM1748" t="n">
        <x:f>CHOOSE('假设'!$B$3,AJ1748,AK1748,AL1748)</x:f>
        <x:v>0</x:v>
      </x:c>
      <x:c r="AN1748" t="n">
        <x:v>1</x:v>
      </x:c>
    </x:row>
    <x:row r="1749" ht="23" customHeight="1">
      <x:c r="A1749" s="11" t="str">
        <x:v>688302.SH</x:v>
      </x:c>
      <x:c r="B1749" s="11" t="str">
        <x:v>一年</x:v>
      </x:c>
      <x:c r="C1749" s="11" t="str">
        <x:v>hp518_tnbc_cn</x:v>
      </x:c>
      <x:c r="D1749" s="11" t="str">
        <x:v>2030-12-31</x:v>
      </x:c>
      <x:c r="E1749" s="11" t="str">
        <x:v>CNY</x:v>
      </x:c>
      <x:c r="F1749" s="11" t="n">
        <x:v>3.2279260780287475</x:v>
      </x:c>
      <x:c r="G1749" s="26" t="b">
        <x:v>1</x:v>
      </x:c>
      <x:c r="H1749" s="16" t="n">
        <x:v>0</x:v>
      </x:c>
      <x:c r="I1749" s="16" t="n">
        <x:v>0</x:v>
      </x:c>
      <x:c r="J1749" s="16" t="n">
        <x:v>0</x:v>
      </x:c>
      <x:c r="K1749" s="11" t="n">
        <x:f>CHOOSE('假设'!$B$3,H1749,I1749,J1749)</x:f>
        <x:v>0</x:v>
      </x:c>
      <x:c r="L1749" s="11" t="n">
        <x:f>K1749*'管线假设'!E391*'管线假设'!F391*'管线假设'!G391*IF(E1749="USD",'管线假设'!I391,1)-AM1749</x:f>
        <x:v>0</x:v>
      </x:c>
      <x:c r="M1749" s="11" t="n">
        <x:f>'管线假设'!H391</x:f>
        <x:v>0.14</x:v>
      </x:c>
      <x:c r="N1749" s="11" t="n">
        <x:f>IF(G1749,L1749*AN1749/(1+M1749)^F1749,0)</x:f>
        <x:v>0</x:v>
      </x:c>
      <x:c r="AJ1749" t="n">
        <x:v>0</x:v>
      </x:c>
      <x:c r="AK1749" t="n">
        <x:v>0</x:v>
      </x:c>
      <x:c r="AL1749" t="n">
        <x:v>0</x:v>
      </x:c>
      <x:c r="AM1749" t="n">
        <x:f>CHOOSE('假设'!$B$3,AJ1749,AK1749,AL1749)</x:f>
        <x:v>0</x:v>
      </x:c>
      <x:c r="AN1749" t="n">
        <x:v>1</x:v>
      </x:c>
    </x:row>
    <x:row r="1750" ht="23" customHeight="1">
      <x:c r="A1750" s="11" t="str">
        <x:v>688302.SH</x:v>
      </x:c>
      <x:c r="B1750" s="11" t="str">
        <x:v>一年</x:v>
      </x:c>
      <x:c r="C1750" s="11" t="str">
        <x:v>hp518_tnbc_cn</x:v>
      </x:c>
      <x:c r="D1750" s="11" t="str">
        <x:v>2031-12-31</x:v>
      </x:c>
      <x:c r="E1750" s="11" t="str">
        <x:v>CNY</x:v>
      </x:c>
      <x:c r="F1750" s="11" t="n">
        <x:v>4.227241615331964</x:v>
      </x:c>
      <x:c r="G1750" s="26" t="b">
        <x:v>1</x:v>
      </x:c>
      <x:c r="H1750" s="16" t="n">
        <x:v>0</x:v>
      </x:c>
      <x:c r="I1750" s="16" t="n">
        <x:v>0</x:v>
      </x:c>
      <x:c r="J1750" s="16" t="n">
        <x:v>0</x:v>
      </x:c>
      <x:c r="K1750" s="11" t="n">
        <x:f>CHOOSE('假设'!$B$3,H1750,I1750,J1750)</x:f>
        <x:v>0</x:v>
      </x:c>
      <x:c r="L1750" s="11" t="n">
        <x:f>K1750*'管线假设'!E391*'管线假设'!F391*'管线假设'!G391*IF(E1750="USD",'管线假设'!I391,1)-AM1750</x:f>
        <x:v>0</x:v>
      </x:c>
      <x:c r="M1750" s="11" t="n">
        <x:f>'管线假设'!H391</x:f>
        <x:v>0.14</x:v>
      </x:c>
      <x:c r="N1750" s="11" t="n">
        <x:f>IF(G1750,L1750*AN1750/(1+M1750)^F1750,0)</x:f>
        <x:v>0</x:v>
      </x:c>
      <x:c r="AJ1750" t="n">
        <x:v>0</x:v>
      </x:c>
      <x:c r="AK1750" t="n">
        <x:v>0</x:v>
      </x:c>
      <x:c r="AL1750" t="n">
        <x:v>0</x:v>
      </x:c>
      <x:c r="AM1750" t="n">
        <x:f>CHOOSE('假设'!$B$3,AJ1750,AK1750,AL1750)</x:f>
        <x:v>0</x:v>
      </x:c>
      <x:c r="AN1750" t="n">
        <x:v>1</x:v>
      </x:c>
    </x:row>
    <x:row r="1751" ht="23" customHeight="1">
      <x:c r="A1751" s="11" t="str">
        <x:v>688302.SH</x:v>
      </x:c>
      <x:c r="B1751" s="11" t="str">
        <x:v>一年</x:v>
      </x:c>
      <x:c r="C1751" s="11" t="str">
        <x:v>hp518_tnbc_cn</x:v>
      </x:c>
      <x:c r="D1751" s="11" t="str">
        <x:v>2032-12-31</x:v>
      </x:c>
      <x:c r="E1751" s="11" t="str">
        <x:v>CNY</x:v>
      </x:c>
      <x:c r="F1751" s="11" t="n">
        <x:v>5.229295003422314</x:v>
      </x:c>
      <x:c r="G1751" s="26" t="b">
        <x:v>1</x:v>
      </x:c>
      <x:c r="H1751" s="16" t="n">
        <x:v>0</x:v>
      </x:c>
      <x:c r="I1751" s="16" t="n">
        <x:v>0</x:v>
      </x:c>
      <x:c r="J1751" s="16" t="n">
        <x:v>0.19999999999999998</x:v>
      </x:c>
      <x:c r="K1751" s="11" t="n">
        <x:f>CHOOSE('假设'!$B$3,H1751,I1751,J1751)</x:f>
        <x:v>0</x:v>
      </x:c>
      <x:c r="L1751" s="11" t="n">
        <x:f>K1751*'管线假设'!E391*'管线假设'!F391*'管线假设'!G391*IF(E1751="USD",'管线假设'!I391,1)-AM1751</x:f>
        <x:v>0</x:v>
      </x:c>
      <x:c r="M1751" s="11" t="n">
        <x:f>'管线假设'!H391</x:f>
        <x:v>0.14</x:v>
      </x:c>
      <x:c r="N1751" s="11" t="n">
        <x:f>IF(G1751,L1751*AN1751/(1+M1751)^F1751,0)</x:f>
        <x:v>0</x:v>
      </x:c>
      <x:c r="AJ1751" t="n">
        <x:v>0</x:v>
      </x:c>
      <x:c r="AK1751" t="n">
        <x:v>0</x:v>
      </x:c>
      <x:c r="AL1751" t="n">
        <x:v>0</x:v>
      </x:c>
      <x:c r="AM1751" t="n">
        <x:f>CHOOSE('假设'!$B$3,AJ1751,AK1751,AL1751)</x:f>
        <x:v>0</x:v>
      </x:c>
      <x:c r="AN1751" t="n">
        <x:v>1</x:v>
      </x:c>
    </x:row>
    <x:row r="1752" ht="23" customHeight="1">
      <x:c r="A1752" s="11" t="str">
        <x:v>688302.SH</x:v>
      </x:c>
      <x:c r="B1752" s="11" t="str">
        <x:v>一年</x:v>
      </x:c>
      <x:c r="C1752" s="11" t="str">
        <x:v>hp518_tnbc_cn</x:v>
      </x:c>
      <x:c r="D1752" s="11" t="str">
        <x:v>2033-12-31</x:v>
      </x:c>
      <x:c r="E1752" s="11" t="str">
        <x:v>CNY</x:v>
      </x:c>
      <x:c r="F1752" s="11" t="n">
        <x:v>6.228610540725531</x:v>
      </x:c>
      <x:c r="G1752" s="26" t="b">
        <x:v>1</x:v>
      </x:c>
      <x:c r="H1752" s="16" t="n">
        <x:v>0</x:v>
      </x:c>
      <x:c r="I1752" s="16" t="n">
        <x:v>0</x:v>
      </x:c>
      <x:c r="J1752" s="16" t="n">
        <x:v>0.39999999999999997</x:v>
      </x:c>
      <x:c r="K1752" s="11" t="n">
        <x:f>CHOOSE('假设'!$B$3,H1752,I1752,J1752)</x:f>
        <x:v>0</x:v>
      </x:c>
      <x:c r="L1752" s="11" t="n">
        <x:f>K1752*'管线假设'!E391*'管线假设'!F391*'管线假设'!G391*IF(E1752="USD",'管线假设'!I391,1)-AM1752</x:f>
        <x:v>0</x:v>
      </x:c>
      <x:c r="M1752" s="11" t="n">
        <x:f>'管线假设'!H391</x:f>
        <x:v>0.14</x:v>
      </x:c>
      <x:c r="N1752" s="11" t="n">
        <x:f>IF(G1752,L1752*AN1752/(1+M1752)^F1752,0)</x:f>
        <x:v>0</x:v>
      </x:c>
      <x:c r="AJ1752" t="n">
        <x:v>0</x:v>
      </x:c>
      <x:c r="AK1752" t="n">
        <x:v>0</x:v>
      </x:c>
      <x:c r="AL1752" t="n">
        <x:v>0</x:v>
      </x:c>
      <x:c r="AM1752" t="n">
        <x:f>CHOOSE('假设'!$B$3,AJ1752,AK1752,AL1752)</x:f>
        <x:v>0</x:v>
      </x:c>
      <x:c r="AN1752" t="n">
        <x:v>1</x:v>
      </x:c>
    </x:row>
    <x:row r="1753" ht="23" customHeight="1">
      <x:c r="A1753" s="11" t="str">
        <x:v>688302.SH</x:v>
      </x:c>
      <x:c r="B1753" s="11" t="str">
        <x:v>一年</x:v>
      </x:c>
      <x:c r="C1753" s="11" t="str">
        <x:v>hp518_tnbc_cn</x:v>
      </x:c>
      <x:c r="D1753" s="11" t="str">
        <x:v>2034-12-31</x:v>
      </x:c>
      <x:c r="E1753" s="11" t="str">
        <x:v>CNY</x:v>
      </x:c>
      <x:c r="F1753" s="11" t="n">
        <x:v>7.227926078028747</x:v>
      </x:c>
      <x:c r="G1753" s="26" t="b">
        <x:v>1</x:v>
      </x:c>
      <x:c r="H1753" s="16" t="n">
        <x:v>0</x:v>
      </x:c>
      <x:c r="I1753" s="16" t="n">
        <x:v>0.09999999999999999</x:v>
      </x:c>
      <x:c r="J1753" s="16" t="n">
        <x:v>0.6</x:v>
      </x:c>
      <x:c r="K1753" s="11" t="n">
        <x:f>CHOOSE('假设'!$B$3,H1753,I1753,J1753)</x:f>
        <x:v>0.09999999999999999</x:v>
      </x:c>
      <x:c r="L1753" s="11" t="n">
        <x:f>K1753*'管线假设'!E391*'管线假设'!F391*'管线假设'!G391*IF(E1753="USD",'管线假设'!I391,1)-AM1753</x:f>
        <x:v>0.0037720000000000006</x:v>
      </x:c>
      <x:c r="M1753" s="11" t="n">
        <x:f>'管线假设'!H391</x:f>
        <x:v>0.14</x:v>
      </x:c>
      <x:c r="N1753" s="11" t="n">
        <x:f>IF(G1753,L1753*AN1753/(1+M1753)^F1753,0)</x:f>
        <x:v>0.001463078489022834</x:v>
      </x:c>
      <x:c r="AJ1753" t="n">
        <x:v>0</x:v>
      </x:c>
      <x:c r="AK1753" t="n">
        <x:v>0</x:v>
      </x:c>
      <x:c r="AL1753" t="n">
        <x:v>0</x:v>
      </x:c>
      <x:c r="AM1753" t="n">
        <x:f>CHOOSE('假设'!$B$3,AJ1753,AK1753,AL1753)</x:f>
        <x:v>0</x:v>
      </x:c>
      <x:c r="AN1753" t="n">
        <x:v>1</x:v>
      </x:c>
    </x:row>
    <x:row r="1754" ht="23" customHeight="1">
      <x:c r="A1754" s="11" t="str">
        <x:v>688302.SH</x:v>
      </x:c>
      <x:c r="B1754" s="11" t="str">
        <x:v>一年</x:v>
      </x:c>
      <x:c r="C1754" s="11" t="str">
        <x:v>hp518_tnbc_cn</x:v>
      </x:c>
      <x:c r="D1754" s="11" t="str">
        <x:v>2035-12-31</x:v>
      </x:c>
      <x:c r="E1754" s="11" t="str">
        <x:v>CNY</x:v>
      </x:c>
      <x:c r="F1754" s="11" t="n">
        <x:v>8.227241615331964</x:v>
      </x:c>
      <x:c r="G1754" s="26" t="b">
        <x:v>1</x:v>
      </x:c>
      <x:c r="H1754" s="16" t="n">
        <x:v>0</x:v>
      </x:c>
      <x:c r="I1754" s="16" t="n">
        <x:v>0.19999999999999998</x:v>
      </x:c>
      <x:c r="J1754" s="16" t="n">
        <x:v>0.7999999999999999</x:v>
      </x:c>
      <x:c r="K1754" s="11" t="n">
        <x:f>CHOOSE('假设'!$B$3,H1754,I1754,J1754)</x:f>
        <x:v>0.19999999999999998</x:v>
      </x:c>
      <x:c r="L1754" s="11" t="n">
        <x:f>K1754*'管线假设'!E391*'管线假设'!F391*'管线假设'!G391*IF(E1754="USD",'管线假设'!I391,1)-AM1754</x:f>
        <x:v>0.007544000000000001</x:v>
      </x:c>
      <x:c r="M1754" s="11" t="n">
        <x:f>'管线假设'!H391</x:f>
        <x:v>0.14</x:v>
      </x:c>
      <x:c r="N1754" s="11" t="n">
        <x:f>IF(G1754,L1754*AN1754/(1+M1754)^F1754,0)</x:f>
        <x:v>0.0025670345782043223</x:v>
      </x:c>
      <x:c r="AJ1754" t="n">
        <x:v>0</x:v>
      </x:c>
      <x:c r="AK1754" t="n">
        <x:v>0</x:v>
      </x:c>
      <x:c r="AL1754" t="n">
        <x:v>0</x:v>
      </x:c>
      <x:c r="AM1754" t="n">
        <x:f>CHOOSE('假设'!$B$3,AJ1754,AK1754,AL1754)</x:f>
        <x:v>0</x:v>
      </x:c>
      <x:c r="AN1754" t="n">
        <x:v>1</x:v>
      </x:c>
    </x:row>
    <x:row r="1755" ht="23" customHeight="1">
      <x:c r="A1755" s="11" t="str">
        <x:v>688302.SH</x:v>
      </x:c>
      <x:c r="B1755" s="11" t="str">
        <x:v>一年</x:v>
      </x:c>
      <x:c r="C1755" s="11" t="str">
        <x:v>hp518_tnbc_cn</x:v>
      </x:c>
      <x:c r="D1755" s="11" t="str">
        <x:v>2036-12-31</x:v>
      </x:c>
      <x:c r="E1755" s="11" t="str">
        <x:v>CNY</x:v>
      </x:c>
      <x:c r="F1755" s="11" t="n">
        <x:v>9.229295003422314</x:v>
      </x:c>
      <x:c r="G1755" s="26" t="b">
        <x:v>1</x:v>
      </x:c>
      <x:c r="H1755" s="16" t="n">
        <x:v>0.04000000000000001</x:v>
      </x:c>
      <x:c r="I1755" s="16" t="n">
        <x:v>0.3</x:v>
      </x:c>
      <x:c r="J1755" s="16" t="n">
        <x:v>1</x:v>
      </x:c>
      <x:c r="K1755" s="11" t="n">
        <x:f>CHOOSE('假设'!$B$3,H1755,I1755,J1755)</x:f>
        <x:v>0.3</x:v>
      </x:c>
      <x:c r="L1755" s="11" t="n">
        <x:f>K1755*'管线假设'!E391*'管线假设'!F391*'管线假设'!G391*IF(E1755="USD",'管线假设'!I391,1)-AM1755</x:f>
        <x:v>0.011316000000000001</x:v>
      </x:c>
      <x:c r="M1755" s="11" t="n">
        <x:f>'管线假设'!H391</x:f>
        <x:v>0.14</x:v>
      </x:c>
      <x:c r="N1755" s="11" t="n">
        <x:f>IF(G1755,L1755*AN1755/(1+M1755)^F1755,0)</x:f>
        <x:v>0.0033767684284812366</x:v>
      </x:c>
      <x:c r="AJ1755" t="n">
        <x:v>0</x:v>
      </x:c>
      <x:c r="AK1755" t="n">
        <x:v>0</x:v>
      </x:c>
      <x:c r="AL1755" t="n">
        <x:v>0</x:v>
      </x:c>
      <x:c r="AM1755" t="n">
        <x:f>CHOOSE('假设'!$B$3,AJ1755,AK1755,AL1755)</x:f>
        <x:v>0</x:v>
      </x:c>
      <x:c r="AN1755" t="n">
        <x:v>1</x:v>
      </x:c>
    </x:row>
    <x:row r="1756" ht="23" customHeight="1">
      <x:c r="A1756" s="11" t="str">
        <x:v>688302.SH</x:v>
      </x:c>
      <x:c r="B1756" s="11" t="str">
        <x:v>一年</x:v>
      </x:c>
      <x:c r="C1756" s="11" t="str">
        <x:v>hp518_tnbc_cn</x:v>
      </x:c>
      <x:c r="D1756" s="11" t="str">
        <x:v>2037-12-31</x:v>
      </x:c>
      <x:c r="E1756" s="11" t="str">
        <x:v>CNY</x:v>
      </x:c>
      <x:c r="F1756" s="11" t="n">
        <x:v>10.22861054072553</x:v>
      </x:c>
      <x:c r="G1756" s="26" t="b">
        <x:v>1</x:v>
      </x:c>
      <x:c r="H1756" s="16" t="n">
        <x:v>0.08000000000000002</x:v>
      </x:c>
      <x:c r="I1756" s="16" t="n">
        <x:v>0.39999999999999997</x:v>
      </x:c>
      <x:c r="J1756" s="16" t="n">
        <x:v>1.2</x:v>
      </x:c>
      <x:c r="K1756" s="11" t="n">
        <x:f>CHOOSE('假设'!$B$3,H1756,I1756,J1756)</x:f>
        <x:v>0.39999999999999997</x:v>
      </x:c>
      <x:c r="L1756" s="11" t="n">
        <x:f>K1756*'管线假设'!E391*'管线假设'!F391*'管线假设'!G391*IF(E1756="USD",'管线假设'!I391,1)-AM1756</x:f>
        <x:v>0.015088000000000002</x:v>
      </x:c>
      <x:c r="M1756" s="11" t="n">
        <x:f>'管线假设'!H391</x:f>
        <x:v>0.14</x:v>
      </x:c>
      <x:c r="N1756" s="11" t="n">
        <x:f>IF(G1756,L1756*AN1756/(1+M1756)^F1756,0)</x:f>
        <x:v>0.003949790975460884</x:v>
      </x:c>
      <x:c r="AJ1756" t="n">
        <x:v>0</x:v>
      </x:c>
      <x:c r="AK1756" t="n">
        <x:v>0</x:v>
      </x:c>
      <x:c r="AL1756" t="n">
        <x:v>0</x:v>
      </x:c>
      <x:c r="AM1756" t="n">
        <x:f>CHOOSE('假设'!$B$3,AJ1756,AK1756,AL1756)</x:f>
        <x:v>0</x:v>
      </x:c>
      <x:c r="AN1756" t="n">
        <x:v>1</x:v>
      </x:c>
    </x:row>
    <x:row r="1757" ht="23" customHeight="1">
      <x:c r="A1757" s="11" t="str">
        <x:v>688302.SH</x:v>
      </x:c>
      <x:c r="B1757" s="11" t="str">
        <x:v>一年</x:v>
      </x:c>
      <x:c r="C1757" s="11" t="str">
        <x:v>hp518_tnbc_cn</x:v>
      </x:c>
      <x:c r="D1757" s="11" t="str">
        <x:v>2038-12-31</x:v>
      </x:c>
      <x:c r="E1757" s="11" t="str">
        <x:v>CNY</x:v>
      </x:c>
      <x:c r="F1757" s="11" t="n">
        <x:v>11.227926078028748</x:v>
      </x:c>
      <x:c r="G1757" s="26" t="b">
        <x:v>1</x:v>
      </x:c>
      <x:c r="H1757" s="16" t="n">
        <x:v>0.12</x:v>
      </x:c>
      <x:c r="I1757" s="16" t="n">
        <x:v>0.5</x:v>
      </x:c>
      <x:c r="J1757" s="16" t="n">
        <x:v>1.044</x:v>
      </x:c>
      <x:c r="K1757" s="11" t="n">
        <x:f>CHOOSE('假设'!$B$3,H1757,I1757,J1757)</x:f>
        <x:v>0.5</x:v>
      </x:c>
      <x:c r="L1757" s="11" t="n">
        <x:f>K1757*'管线假设'!E391*'管线假设'!F391*'管线假设'!G391*IF(E1757="USD",'管线假设'!I391,1)-AM1757</x:f>
        <x:v>0.018860000000000005</x:v>
      </x:c>
      <x:c r="M1757" s="11" t="n">
        <x:f>'管线假设'!H391</x:f>
        <x:v>0.14</x:v>
      </x:c>
      <x:c r="N1757" s="11" t="n">
        <x:f>IF(G1757,L1757*AN1757/(1+M1757)^F1757,0)</x:f>
        <x:v>0.004331299587974987</x:v>
      </x:c>
      <x:c r="AJ1757" t="n">
        <x:v>0</x:v>
      </x:c>
      <x:c r="AK1757" t="n">
        <x:v>0</x:v>
      </x:c>
      <x:c r="AL1757" t="n">
        <x:v>0</x:v>
      </x:c>
      <x:c r="AM1757" t="n">
        <x:f>CHOOSE('假设'!$B$3,AJ1757,AK1757,AL1757)</x:f>
        <x:v>0</x:v>
      </x:c>
      <x:c r="AN1757" t="n">
        <x:v>1</x:v>
      </x:c>
    </x:row>
    <x:row r="1758" ht="23" customHeight="1">
      <x:c r="A1758" s="11" t="str">
        <x:v>688302.SH</x:v>
      </x:c>
      <x:c r="B1758" s="11" t="str">
        <x:v>一年</x:v>
      </x:c>
      <x:c r="C1758" s="11" t="str">
        <x:v>hp518_tnbc_cn</x:v>
      </x:c>
      <x:c r="D1758" s="11" t="str">
        <x:v>2039-12-31</x:v>
      </x:c>
      <x:c r="E1758" s="11" t="str">
        <x:v>CNY</x:v>
      </x:c>
      <x:c r="F1758" s="11" t="n">
        <x:v>12.227241615331964</x:v>
      </x:c>
      <x:c r="G1758" s="26" t="b">
        <x:v>1</x:v>
      </x:c>
      <x:c r="H1758" s="16" t="n">
        <x:v>0.16000000000000003</x:v>
      </x:c>
      <x:c r="I1758" s="16" t="n">
        <x:v>0.6</x:v>
      </x:c>
      <x:c r="J1758" s="16" t="n">
        <x:v>0.888</x:v>
      </x:c>
      <x:c r="K1758" s="11" t="n">
        <x:f>CHOOSE('假设'!$B$3,H1758,I1758,J1758)</x:f>
        <x:v>0.6</x:v>
      </x:c>
      <x:c r="L1758" s="11" t="n">
        <x:f>K1758*'管线假设'!E391*'管线假设'!F391*'管线假设'!G391*IF(E1758="USD",'管线假设'!I391,1)-AM1758</x:f>
        <x:v>0.022632000000000003</x:v>
      </x:c>
      <x:c r="M1758" s="11" t="n">
        <x:f>'管线假设'!H391</x:f>
        <x:v>0.14</x:v>
      </x:c>
      <x:c r="N1758" s="11" t="n">
        <x:f>IF(G1758,L1758*AN1758/(1+M1758)^F1758,0)</x:f>
        <x:v>0.004559671635246247</x:v>
      </x:c>
      <x:c r="AJ1758" t="n">
        <x:v>0</x:v>
      </x:c>
      <x:c r="AK1758" t="n">
        <x:v>0</x:v>
      </x:c>
      <x:c r="AL1758" t="n">
        <x:v>0</x:v>
      </x:c>
      <x:c r="AM1758" t="n">
        <x:f>CHOOSE('假设'!$B$3,AJ1758,AK1758,AL1758)</x:f>
        <x:v>0</x:v>
      </x:c>
      <x:c r="AN1758" t="n">
        <x:v>1</x:v>
      </x:c>
    </x:row>
    <x:row r="1759" ht="23" customHeight="1">
      <x:c r="A1759" s="11" t="str">
        <x:v>688302.SH</x:v>
      </x:c>
      <x:c r="B1759" s="11" t="str">
        <x:v>一年</x:v>
      </x:c>
      <x:c r="C1759" s="11" t="str">
        <x:v>hp518_tnbc_cn</x:v>
      </x:c>
      <x:c r="D1759" s="11" t="str">
        <x:v>2040-12-31</x:v>
      </x:c>
      <x:c r="E1759" s="11" t="str">
        <x:v>CNY</x:v>
      </x:c>
      <x:c r="F1759" s="11" t="n">
        <x:v>13.229295003422314</x:v>
      </x:c>
      <x:c r="G1759" s="26" t="b">
        <x:v>1</x:v>
      </x:c>
      <x:c r="H1759" s="16" t="n">
        <x:v>0.2</x:v>
      </x:c>
      <x:c r="I1759" s="16" t="n">
        <x:v>0.522</x:v>
      </x:c>
      <x:c r="J1759" s="16" t="n">
        <x:v>0.732</x:v>
      </x:c>
      <x:c r="K1759" s="11" t="n">
        <x:f>CHOOSE('假设'!$B$3,H1759,I1759,J1759)</x:f>
        <x:v>0.522</x:v>
      </x:c>
      <x:c r="L1759" s="11" t="n">
        <x:f>K1759*'管线假设'!E391*'管线假设'!F391*'管线假设'!G391*IF(E1759="USD",'管线假设'!I391,1)-AM1759</x:f>
        <x:v>0.019689840000000004</x:v>
      </x:c>
      <x:c r="M1759" s="11" t="n">
        <x:f>'管线假设'!H391</x:f>
        <x:v>0.14</x:v>
      </x:c>
      <x:c r="N1759" s="11" t="n">
        <x:f>IF(G1759,L1759*AN1759/(1+M1759)^F1759,0)</x:f>
        <x:v>0.003478813298685121</x:v>
      </x:c>
      <x:c r="AJ1759" t="n">
        <x:v>0</x:v>
      </x:c>
      <x:c r="AK1759" t="n">
        <x:v>0</x:v>
      </x:c>
      <x:c r="AL1759" t="n">
        <x:v>0</x:v>
      </x:c>
      <x:c r="AM1759" t="n">
        <x:f>CHOOSE('假设'!$B$3,AJ1759,AK1759,AL1759)</x:f>
        <x:v>0</x:v>
      </x:c>
      <x:c r="AN1759" t="n">
        <x:v>1</x:v>
      </x:c>
    </x:row>
    <x:row r="1760" ht="23" customHeight="1">
      <x:c r="A1760" s="11" t="str">
        <x:v>688302.SH</x:v>
      </x:c>
      <x:c r="B1760" s="11" t="str">
        <x:v>一年</x:v>
      </x:c>
      <x:c r="C1760" s="11" t="str">
        <x:v>hp518_tnbc_cn</x:v>
      </x:c>
      <x:c r="D1760" s="11" t="str">
        <x:v>2041-12-31</x:v>
      </x:c>
      <x:c r="E1760" s="11" t="str">
        <x:v>CNY</x:v>
      </x:c>
      <x:c r="F1760" s="11" t="n">
        <x:v>14.22861054072553</x:v>
      </x:c>
      <x:c r="G1760" s="26" t="b">
        <x:v>1</x:v>
      </x:c>
      <x:c r="H1760" s="16" t="n">
        <x:v>0.17400000000000002</x:v>
      </x:c>
      <x:c r="I1760" s="16" t="n">
        <x:v>0.444</x:v>
      </x:c>
      <x:c r="J1760" s="16" t="n">
        <x:v>0.576</x:v>
      </x:c>
      <x:c r="K1760" s="11" t="n">
        <x:f>CHOOSE('假设'!$B$3,H1760,I1760,J1760)</x:f>
        <x:v>0.444</x:v>
      </x:c>
      <x:c r="L1760" s="11" t="n">
        <x:f>K1760*'管线假设'!E391*'管线假设'!F391*'管线假设'!G391*IF(E1760="USD",'管线假设'!I391,1)-AM1760</x:f>
        <x:v>0.016747680000000004</x:v>
      </x:c>
      <x:c r="M1760" s="11" t="n">
        <x:f>'管线假设'!H391</x:f>
        <x:v>0.14</x:v>
      </x:c>
      <x:c r="N1760" s="11" t="n">
        <x:f>IF(G1760,L1760*AN1760/(1+M1760)^F1760,0)</x:f>
        <x:v>0.002595838603298718</x:v>
      </x:c>
      <x:c r="AJ1760" t="n">
        <x:v>0</x:v>
      </x:c>
      <x:c r="AK1760" t="n">
        <x:v>0</x:v>
      </x:c>
      <x:c r="AL1760" t="n">
        <x:v>0</x:v>
      </x:c>
      <x:c r="AM1760" t="n">
        <x:f>CHOOSE('假设'!$B$3,AJ1760,AK1760,AL1760)</x:f>
        <x:v>0</x:v>
      </x:c>
      <x:c r="AN1760" t="n">
        <x:v>1</x:v>
      </x:c>
    </x:row>
    <x:row r="1761" ht="23" customHeight="1">
      <x:c r="A1761" s="11" t="str">
        <x:v>688302.SH</x:v>
      </x:c>
      <x:c r="B1761" s="11" t="str">
        <x:v>一年</x:v>
      </x:c>
      <x:c r="C1761" s="11" t="str">
        <x:v>hp518_tnbc_cn</x:v>
      </x:c>
      <x:c r="D1761" s="11" t="str">
        <x:v>2042-12-31</x:v>
      </x:c>
      <x:c r="E1761" s="11" t="str">
        <x:v>CNY</x:v>
      </x:c>
      <x:c r="F1761" s="11" t="n">
        <x:v>15.227926078028748</x:v>
      </x:c>
      <x:c r="G1761" s="26" t="b">
        <x:v>1</x:v>
      </x:c>
      <x:c r="H1761" s="16" t="n">
        <x:v>0.148</x:v>
      </x:c>
      <x:c r="I1761" s="16" t="n">
        <x:v>0.366</x:v>
      </x:c>
      <x:c r="J1761" s="16" t="n">
        <x:v>0.42</x:v>
      </x:c>
      <x:c r="K1761" s="11" t="n">
        <x:f>CHOOSE('假设'!$B$3,H1761,I1761,J1761)</x:f>
        <x:v>0.366</x:v>
      </x:c>
      <x:c r="L1761" s="11" t="n">
        <x:f>K1761*'管线假设'!E391*'管线假设'!F391*'管线假设'!G391*IF(E1761="USD",'管线假设'!I391,1)-AM1761</x:f>
        <x:v>0.013805520000000002</x:v>
      </x:c>
      <x:c r="M1761" s="11" t="n">
        <x:f>'管线假设'!H391</x:f>
        <x:v>0.14</x:v>
      </x:c>
      <x:c r="N1761" s="11" t="n">
        <x:f>IF(G1761,L1761*AN1761/(1+M1761)^F1761,0)</x:f>
        <x:v>0.0018771972089606237</x:v>
      </x:c>
      <x:c r="AJ1761" t="n">
        <x:v>0</x:v>
      </x:c>
      <x:c r="AK1761" t="n">
        <x:v>0</x:v>
      </x:c>
      <x:c r="AL1761" t="n">
        <x:v>0</x:v>
      </x:c>
      <x:c r="AM1761" t="n">
        <x:f>CHOOSE('假设'!$B$3,AJ1761,AK1761,AL1761)</x:f>
        <x:v>0</x:v>
      </x:c>
      <x:c r="AN1761" t="n">
        <x:v>1</x:v>
      </x:c>
    </x:row>
    <x:row r="1762" ht="23" customHeight="1">
      <x:c r="A1762" s="11" t="str">
        <x:v>688302.SH</x:v>
      </x:c>
      <x:c r="B1762" s="11" t="str">
        <x:v>一年</x:v>
      </x:c>
      <x:c r="C1762" s="11" t="str">
        <x:v>hp518_tnbc_cn</x:v>
      </x:c>
      <x:c r="D1762" s="11" t="str">
        <x:v>2043-12-31</x:v>
      </x:c>
      <x:c r="E1762" s="11" t="str">
        <x:v>CNY</x:v>
      </x:c>
      <x:c r="F1762" s="11" t="n">
        <x:v>16.227241615331966</x:v>
      </x:c>
      <x:c r="G1762" s="26" t="b">
        <x:v>1</x:v>
      </x:c>
      <x:c r="H1762" s="16" t="n">
        <x:v>0.122</x:v>
      </x:c>
      <x:c r="I1762" s="16" t="n">
        <x:v>0.288</x:v>
      </x:c>
      <x:c r="J1762" s="16" t="n">
        <x:v>0.26399999999999996</x:v>
      </x:c>
      <x:c r="K1762" s="11" t="n">
        <x:f>CHOOSE('假设'!$B$3,H1762,I1762,J1762)</x:f>
        <x:v>0.288</x:v>
      </x:c>
      <x:c r="L1762" s="11" t="n">
        <x:f>K1762*'管线假设'!E391*'管线假设'!F391*'管线假设'!G391*IF(E1762="USD",'管线假设'!I391,1)-AM1762</x:f>
        <x:v>0.01086336</x:v>
      </x:c>
      <x:c r="M1762" s="11" t="n">
        <x:f>'管线假设'!H391</x:f>
        <x:v>0.14</x:v>
      </x:c>
      <x:c r="N1762" s="11" t="n">
        <x:f>IF(G1762,L1762*AN1762/(1+M1762)^F1762,0)</x:f>
        <x:v>0.0012958519903265196</x:v>
      </x:c>
      <x:c r="AJ1762" t="n">
        <x:v>0</x:v>
      </x:c>
      <x:c r="AK1762" t="n">
        <x:v>0</x:v>
      </x:c>
      <x:c r="AL1762" t="n">
        <x:v>0</x:v>
      </x:c>
      <x:c r="AM1762" t="n">
        <x:f>CHOOSE('假设'!$B$3,AJ1762,AK1762,AL1762)</x:f>
        <x:v>0</x:v>
      </x:c>
      <x:c r="AN1762" t="n">
        <x:v>1</x:v>
      </x:c>
    </x:row>
    <x:row r="1763" ht="23" customHeight="1">
      <x:c r="A1763" s="11" t="str">
        <x:v>688302.SH</x:v>
      </x:c>
      <x:c r="B1763" s="11" t="str">
        <x:v>一年</x:v>
      </x:c>
      <x:c r="C1763" s="11" t="str">
        <x:v>hp518_tnbc_cn</x:v>
      </x:c>
      <x:c r="D1763" s="11" t="str">
        <x:v>2044-12-31</x:v>
      </x:c>
      <x:c r="E1763" s="11" t="str">
        <x:v>CNY</x:v>
      </x:c>
      <x:c r="F1763" s="11" t="n">
        <x:v>17.229295003422312</x:v>
      </x:c>
      <x:c r="G1763" s="26" t="b">
        <x:v>1</x:v>
      </x:c>
      <x:c r="H1763" s="16" t="n">
        <x:v>0.096</x:v>
      </x:c>
      <x:c r="I1763" s="16" t="n">
        <x:v>0.21</x:v>
      </x:c>
      <x:c r="J1763" s="16" t="n">
        <x:v>0.10799999999999996</x:v>
      </x:c>
      <x:c r="K1763" s="11" t="n">
        <x:f>CHOOSE('假设'!$B$3,H1763,I1763,J1763)</x:f>
        <x:v>0.21</x:v>
      </x:c>
      <x:c r="L1763" s="11" t="n">
        <x:f>K1763*'管线假设'!E391*'管线假设'!F391*'管线假设'!G391*IF(E1763="USD",'管线假设'!I391,1)-AM1763</x:f>
        <x:v>0.007921200000000002</x:v>
      </x:c>
      <x:c r="M1763" s="11" t="n">
        <x:f>'管线假设'!H391</x:f>
        <x:v>0.14</x:v>
      </x:c>
      <x:c r="N1763" s="11" t="n">
        <x:f>IF(G1763,L1763*AN1763/(1+M1763)^F1763,0)</x:f>
        <x:v>0.0008286297241167893</x:v>
      </x:c>
      <x:c r="AJ1763" t="n">
        <x:v>0</x:v>
      </x:c>
      <x:c r="AK1763" t="n">
        <x:v>0</x:v>
      </x:c>
      <x:c r="AL1763" t="n">
        <x:v>0</x:v>
      </x:c>
      <x:c r="AM1763" t="n">
        <x:f>CHOOSE('假设'!$B$3,AJ1763,AK1763,AL1763)</x:f>
        <x:v>0</x:v>
      </x:c>
      <x:c r="AN1763" t="n">
        <x:v>1</x:v>
      </x:c>
    </x:row>
    <x:row r="1764" ht="23" customHeight="1">
      <x:c r="A1764" s="11" t="str">
        <x:v>688302.SH</x:v>
      </x:c>
      <x:c r="B1764" s="11" t="str">
        <x:v>一年</x:v>
      </x:c>
      <x:c r="C1764" s="11" t="str">
        <x:v>hp518_tnbc_cn</x:v>
      </x:c>
      <x:c r="D1764" s="11" t="str">
        <x:v>2045-12-31</x:v>
      </x:c>
      <x:c r="E1764" s="11" t="str">
        <x:v>CNY</x:v>
      </x:c>
      <x:c r="F1764" s="11" t="n">
        <x:v>18.22861054072553</x:v>
      </x:c>
      <x:c r="G1764" s="26" t="b">
        <x:v>1</x:v>
      </x:c>
      <x:c r="H1764" s="16" t="n">
        <x:v>0.06999999999999999</x:v>
      </x:c>
      <x:c r="I1764" s="16" t="n">
        <x:v>0.13199999999999998</x:v>
      </x:c>
      <x:c r="J1764" s="16" t="n">
        <x:v>0</x:v>
      </x:c>
      <x:c r="K1764" s="11" t="n">
        <x:f>CHOOSE('假设'!$B$3,H1764,I1764,J1764)</x:f>
        <x:v>0.13199999999999998</x:v>
      </x:c>
      <x:c r="L1764" s="11" t="n">
        <x:f>K1764*'管线假设'!E391*'管线假设'!F391*'管线假设'!G391*IF(E1764="USD",'管线假设'!I391,1)-AM1764</x:f>
        <x:v>0.0049790400000000005</x:v>
      </x:c>
      <x:c r="M1764" s="11" t="n">
        <x:f>'管线假设'!H391</x:f>
        <x:v>0.14</x:v>
      </x:c>
      <x:c r="N1764" s="11" t="n">
        <x:f>IF(G1764,L1764*AN1764/(1+M1764)^F1764,0)</x:f>
        <x:v>0.0004569295471011581</x:v>
      </x:c>
      <x:c r="AJ1764" t="n">
        <x:v>0</x:v>
      </x:c>
      <x:c r="AK1764" t="n">
        <x:v>0</x:v>
      </x:c>
      <x:c r="AL1764" t="n">
        <x:v>0</x:v>
      </x:c>
      <x:c r="AM1764" t="n">
        <x:f>CHOOSE('假设'!$B$3,AJ1764,AK1764,AL1764)</x:f>
        <x:v>0</x:v>
      </x:c>
      <x:c r="AN1764" t="n">
        <x:v>1</x:v>
      </x:c>
    </x:row>
    <x:row r="1765" ht="23" customHeight="1">
      <x:c r="A1765" s="11" t="str">
        <x:v>688302.SH</x:v>
      </x:c>
      <x:c r="B1765" s="11" t="str">
        <x:v>一年</x:v>
      </x:c>
      <x:c r="C1765" s="11" t="str">
        <x:v>hp518_tnbc_global</x:v>
      </x:c>
      <x:c r="D1765" s="11" t="str">
        <x:v>2027-12-31</x:v>
      </x:c>
      <x:c r="E1765" s="11" t="str">
        <x:v>USD</x:v>
      </x:c>
      <x:c r="F1765" s="11" t="n">
        <x:v>0.2272416153319644</x:v>
      </x:c>
      <x:c r="G1765" s="26" t="b">
        <x:v>1</x:v>
      </x:c>
      <x:c r="H1765" s="16" t="n">
        <x:v>0</x:v>
      </x:c>
      <x:c r="I1765" s="16" t="n">
        <x:v>0</x:v>
      </x:c>
      <x:c r="J1765" s="16" t="n">
        <x:v>0</x:v>
      </x:c>
      <x:c r="K1765" s="11" t="n">
        <x:f>CHOOSE('假设'!$B$3,H1765,I1765,J1765)</x:f>
        <x:v>0</x:v>
      </x:c>
      <x:c r="L1765" s="11" t="n">
        <x:f>K1765*'管线假设'!E395*'管线假设'!F395*'管线假设'!G395*IF(E1765="USD",'管线假设'!I395,1)-AM1765</x:f>
        <x:v>0</x:v>
      </x:c>
      <x:c r="M1765" s="11" t="n">
        <x:f>'管线假设'!H395</x:f>
        <x:v>0.14</x:v>
      </x:c>
      <x:c r="N1765" s="11" t="n">
        <x:f>IF(G1765,L1765*AN1765/(1+M1765)^F1765,0)</x:f>
        <x:v>0</x:v>
      </x:c>
      <x:c r="AJ1765" t="n">
        <x:v>0</x:v>
      </x:c>
      <x:c r="AK1765" t="n">
        <x:v>0</x:v>
      </x:c>
      <x:c r="AL1765" t="n">
        <x:v>0</x:v>
      </x:c>
      <x:c r="AM1765" t="n">
        <x:f>CHOOSE('假设'!$B$3,AJ1765,AK1765,AL1765)</x:f>
        <x:v>0</x:v>
      </x:c>
      <x:c r="AN1765" t="n">
        <x:v>1</x:v>
      </x:c>
    </x:row>
    <x:row r="1766" ht="23" customHeight="1">
      <x:c r="A1766" s="11" t="str">
        <x:v>688302.SH</x:v>
      </x:c>
      <x:c r="B1766" s="11" t="str">
        <x:v>一年</x:v>
      </x:c>
      <x:c r="C1766" s="11" t="str">
        <x:v>hp518_tnbc_global</x:v>
      </x:c>
      <x:c r="D1766" s="11" t="str">
        <x:v>2028-12-31</x:v>
      </x:c>
      <x:c r="E1766" s="11" t="str">
        <x:v>USD</x:v>
      </x:c>
      <x:c r="F1766" s="11" t="n">
        <x:v>1.2292950034223136</x:v>
      </x:c>
      <x:c r="G1766" s="26" t="b">
        <x:v>1</x:v>
      </x:c>
      <x:c r="H1766" s="16" t="n">
        <x:v>0</x:v>
      </x:c>
      <x:c r="I1766" s="16" t="n">
        <x:v>0</x:v>
      </x:c>
      <x:c r="J1766" s="16" t="n">
        <x:v>0</x:v>
      </x:c>
      <x:c r="K1766" s="11" t="n">
        <x:f>CHOOSE('假设'!$B$3,H1766,I1766,J1766)</x:f>
        <x:v>0</x:v>
      </x:c>
      <x:c r="L1766" s="11" t="n">
        <x:f>K1766*'管线假设'!E395*'管线假设'!F395*'管线假设'!G395*IF(E1766="USD",'管线假设'!I395,1)-AM1766</x:f>
        <x:v>0</x:v>
      </x:c>
      <x:c r="M1766" s="11" t="n">
        <x:f>'管线假设'!H395</x:f>
        <x:v>0.14</x:v>
      </x:c>
      <x:c r="N1766" s="11" t="n">
        <x:f>IF(G1766,L1766*AN1766/(1+M1766)^F1766,0)</x:f>
        <x:v>0</x:v>
      </x:c>
      <x:c r="AJ1766" t="n">
        <x:v>0</x:v>
      </x:c>
      <x:c r="AK1766" t="n">
        <x:v>0</x:v>
      </x:c>
      <x:c r="AL1766" t="n">
        <x:v>0</x:v>
      </x:c>
      <x:c r="AM1766" t="n">
        <x:f>CHOOSE('假设'!$B$3,AJ1766,AK1766,AL1766)</x:f>
        <x:v>0</x:v>
      </x:c>
      <x:c r="AN1766" t="n">
        <x:v>1</x:v>
      </x:c>
    </x:row>
    <x:row r="1767" ht="23" customHeight="1">
      <x:c r="A1767" s="11" t="str">
        <x:v>688302.SH</x:v>
      </x:c>
      <x:c r="B1767" s="11" t="str">
        <x:v>一年</x:v>
      </x:c>
      <x:c r="C1767" s="11" t="str">
        <x:v>hp518_tnbc_global</x:v>
      </x:c>
      <x:c r="D1767" s="11" t="str">
        <x:v>2029-12-31</x:v>
      </x:c>
      <x:c r="E1767" s="11" t="str">
        <x:v>USD</x:v>
      </x:c>
      <x:c r="F1767" s="11" t="n">
        <x:v>2.2286105407255303</x:v>
      </x:c>
      <x:c r="G1767" s="26" t="b">
        <x:v>1</x:v>
      </x:c>
      <x:c r="H1767" s="16" t="n">
        <x:v>0</x:v>
      </x:c>
      <x:c r="I1767" s="16" t="n">
        <x:v>0</x:v>
      </x:c>
      <x:c r="J1767" s="16" t="n">
        <x:v>0</x:v>
      </x:c>
      <x:c r="K1767" s="11" t="n">
        <x:f>CHOOSE('假设'!$B$3,H1767,I1767,J1767)</x:f>
        <x:v>0</x:v>
      </x:c>
      <x:c r="L1767" s="11" t="n">
        <x:f>K1767*'管线假设'!E395*'管线假设'!F395*'管线假设'!G395*IF(E1767="USD",'管线假设'!I395,1)-AM1767</x:f>
        <x:v>0</x:v>
      </x:c>
      <x:c r="M1767" s="11" t="n">
        <x:f>'管线假设'!H395</x:f>
        <x:v>0.14</x:v>
      </x:c>
      <x:c r="N1767" s="11" t="n">
        <x:f>IF(G1767,L1767*AN1767/(1+M1767)^F1767,0)</x:f>
        <x:v>0</x:v>
      </x:c>
      <x:c r="AJ1767" t="n">
        <x:v>0</x:v>
      </x:c>
      <x:c r="AK1767" t="n">
        <x:v>0</x:v>
      </x:c>
      <x:c r="AL1767" t="n">
        <x:v>0</x:v>
      </x:c>
      <x:c r="AM1767" t="n">
        <x:f>CHOOSE('假设'!$B$3,AJ1767,AK1767,AL1767)</x:f>
        <x:v>0</x:v>
      </x:c>
      <x:c r="AN1767" t="n">
        <x:v>1</x:v>
      </x:c>
    </x:row>
    <x:row r="1768" ht="23" customHeight="1">
      <x:c r="A1768" s="11" t="str">
        <x:v>688302.SH</x:v>
      </x:c>
      <x:c r="B1768" s="11" t="str">
        <x:v>一年</x:v>
      </x:c>
      <x:c r="C1768" s="11" t="str">
        <x:v>hp518_tnbc_global</x:v>
      </x:c>
      <x:c r="D1768" s="11" t="str">
        <x:v>2030-12-31</x:v>
      </x:c>
      <x:c r="E1768" s="11" t="str">
        <x:v>USD</x:v>
      </x:c>
      <x:c r="F1768" s="11" t="n">
        <x:v>3.2279260780287475</x:v>
      </x:c>
      <x:c r="G1768" s="26" t="b">
        <x:v>1</x:v>
      </x:c>
      <x:c r="H1768" s="16" t="n">
        <x:v>0</x:v>
      </x:c>
      <x:c r="I1768" s="16" t="n">
        <x:v>0</x:v>
      </x:c>
      <x:c r="J1768" s="16" t="n">
        <x:v>0</x:v>
      </x:c>
      <x:c r="K1768" s="11" t="n">
        <x:f>CHOOSE('假设'!$B$3,H1768,I1768,J1768)</x:f>
        <x:v>0</x:v>
      </x:c>
      <x:c r="L1768" s="11" t="n">
        <x:f>K1768*'管线假设'!E395*'管线假设'!F395*'管线假设'!G395*IF(E1768="USD",'管线假设'!I395,1)-AM1768</x:f>
        <x:v>0</x:v>
      </x:c>
      <x:c r="M1768" s="11" t="n">
        <x:f>'管线假设'!H395</x:f>
        <x:v>0.14</x:v>
      </x:c>
      <x:c r="N1768" s="11" t="n">
        <x:f>IF(G1768,L1768*AN1768/(1+M1768)^F1768,0)</x:f>
        <x:v>0</x:v>
      </x:c>
      <x:c r="AJ1768" t="n">
        <x:v>0</x:v>
      </x:c>
      <x:c r="AK1768" t="n">
        <x:v>0</x:v>
      </x:c>
      <x:c r="AL1768" t="n">
        <x:v>0</x:v>
      </x:c>
      <x:c r="AM1768" t="n">
        <x:f>CHOOSE('假设'!$B$3,AJ1768,AK1768,AL1768)</x:f>
        <x:v>0</x:v>
      </x:c>
      <x:c r="AN1768" t="n">
        <x:v>1</x:v>
      </x:c>
    </x:row>
    <x:row r="1769" ht="23" customHeight="1">
      <x:c r="A1769" s="11" t="str">
        <x:v>688302.SH</x:v>
      </x:c>
      <x:c r="B1769" s="11" t="str">
        <x:v>一年</x:v>
      </x:c>
      <x:c r="C1769" s="11" t="str">
        <x:v>hp518_tnbc_global</x:v>
      </x:c>
      <x:c r="D1769" s="11" t="str">
        <x:v>2031-12-31</x:v>
      </x:c>
      <x:c r="E1769" s="11" t="str">
        <x:v>USD</x:v>
      </x:c>
      <x:c r="F1769" s="11" t="n">
        <x:v>4.227241615331964</x:v>
      </x:c>
      <x:c r="G1769" s="26" t="b">
        <x:v>1</x:v>
      </x:c>
      <x:c r="H1769" s="16" t="n">
        <x:v>0</x:v>
      </x:c>
      <x:c r="I1769" s="16" t="n">
        <x:v>0</x:v>
      </x:c>
      <x:c r="J1769" s="16" t="n">
        <x:v>0</x:v>
      </x:c>
      <x:c r="K1769" s="11" t="n">
        <x:f>CHOOSE('假设'!$B$3,H1769,I1769,J1769)</x:f>
        <x:v>0</x:v>
      </x:c>
      <x:c r="L1769" s="11" t="n">
        <x:f>K1769*'管线假设'!E395*'管线假设'!F395*'管线假设'!G395*IF(E1769="USD",'管线假设'!I395,1)-AM1769</x:f>
        <x:v>0</x:v>
      </x:c>
      <x:c r="M1769" s="11" t="n">
        <x:f>'管线假设'!H395</x:f>
        <x:v>0.14</x:v>
      </x:c>
      <x:c r="N1769" s="11" t="n">
        <x:f>IF(G1769,L1769*AN1769/(1+M1769)^F1769,0)</x:f>
        <x:v>0</x:v>
      </x:c>
      <x:c r="AJ1769" t="n">
        <x:v>0</x:v>
      </x:c>
      <x:c r="AK1769" t="n">
        <x:v>0</x:v>
      </x:c>
      <x:c r="AL1769" t="n">
        <x:v>0</x:v>
      </x:c>
      <x:c r="AM1769" t="n">
        <x:f>CHOOSE('假设'!$B$3,AJ1769,AK1769,AL1769)</x:f>
        <x:v>0</x:v>
      </x:c>
      <x:c r="AN1769" t="n">
        <x:v>1</x:v>
      </x:c>
    </x:row>
    <x:row r="1770" ht="23" customHeight="1">
      <x:c r="A1770" s="11" t="str">
        <x:v>688302.SH</x:v>
      </x:c>
      <x:c r="B1770" s="11" t="str">
        <x:v>一年</x:v>
      </x:c>
      <x:c r="C1770" s="11" t="str">
        <x:v>hp518_tnbc_global</x:v>
      </x:c>
      <x:c r="D1770" s="11" t="str">
        <x:v>2032-12-31</x:v>
      </x:c>
      <x:c r="E1770" s="11" t="str">
        <x:v>USD</x:v>
      </x:c>
      <x:c r="F1770" s="11" t="n">
        <x:v>5.229295003422314</x:v>
      </x:c>
      <x:c r="G1770" s="26" t="b">
        <x:v>1</x:v>
      </x:c>
      <x:c r="H1770" s="16" t="n">
        <x:v>0</x:v>
      </x:c>
      <x:c r="I1770" s="16" t="n">
        <x:v>0</x:v>
      </x:c>
      <x:c r="J1770" s="16" t="n">
        <x:v>0</x:v>
      </x:c>
      <x:c r="K1770" s="11" t="n">
        <x:f>CHOOSE('假设'!$B$3,H1770,I1770,J1770)</x:f>
        <x:v>0</x:v>
      </x:c>
      <x:c r="L1770" s="11" t="n">
        <x:f>K1770*'管线假设'!E395*'管线假设'!F395*'管线假设'!G395*IF(E1770="USD",'管线假设'!I395,1)-AM1770</x:f>
        <x:v>0</x:v>
      </x:c>
      <x:c r="M1770" s="11" t="n">
        <x:f>'管线假设'!H395</x:f>
        <x:v>0.14</x:v>
      </x:c>
      <x:c r="N1770" s="11" t="n">
        <x:f>IF(G1770,L1770*AN1770/(1+M1770)^F1770,0)</x:f>
        <x:v>0</x:v>
      </x:c>
      <x:c r="AJ1770" t="n">
        <x:v>0</x:v>
      </x:c>
      <x:c r="AK1770" t="n">
        <x:v>0</x:v>
      </x:c>
      <x:c r="AL1770" t="n">
        <x:v>0</x:v>
      </x:c>
      <x:c r="AM1770" t="n">
        <x:f>CHOOSE('假设'!$B$3,AJ1770,AK1770,AL1770)</x:f>
        <x:v>0</x:v>
      </x:c>
      <x:c r="AN1770" t="n">
        <x:v>1</x:v>
      </x:c>
    </x:row>
    <x:row r="1771" ht="23" customHeight="1">
      <x:c r="A1771" s="11" t="str">
        <x:v>688302.SH</x:v>
      </x:c>
      <x:c r="B1771" s="11" t="str">
        <x:v>一年</x:v>
      </x:c>
      <x:c r="C1771" s="11" t="str">
        <x:v>hp518_tnbc_global</x:v>
      </x:c>
      <x:c r="D1771" s="11" t="str">
        <x:v>2033-12-31</x:v>
      </x:c>
      <x:c r="E1771" s="11" t="str">
        <x:v>USD</x:v>
      </x:c>
      <x:c r="F1771" s="11" t="n">
        <x:v>6.228610540725531</x:v>
      </x:c>
      <x:c r="G1771" s="26" t="b">
        <x:v>1</x:v>
      </x:c>
      <x:c r="H1771" s="16" t="n">
        <x:v>0</x:v>
      </x:c>
      <x:c r="I1771" s="16" t="n">
        <x:v>0</x:v>
      </x:c>
      <x:c r="J1771" s="16" t="n">
        <x:v>0.3</x:v>
      </x:c>
      <x:c r="K1771" s="11" t="n">
        <x:f>CHOOSE('假设'!$B$3,H1771,I1771,J1771)</x:f>
        <x:v>0</x:v>
      </x:c>
      <x:c r="L1771" s="11" t="n">
        <x:f>K1771*'管线假设'!E395*'管线假设'!F395*'管线假设'!G395*IF(E1771="USD",'管线假设'!I395,1)-AM1771</x:f>
        <x:v>0</x:v>
      </x:c>
      <x:c r="M1771" s="11" t="n">
        <x:f>'管线假设'!H395</x:f>
        <x:v>0.14</x:v>
      </x:c>
      <x:c r="N1771" s="11" t="n">
        <x:f>IF(G1771,L1771*AN1771/(1+M1771)^F1771,0)</x:f>
        <x:v>0</x:v>
      </x:c>
      <x:c r="AJ1771" t="n">
        <x:v>0</x:v>
      </x:c>
      <x:c r="AK1771" t="n">
        <x:v>0</x:v>
      </x:c>
      <x:c r="AL1771" t="n">
        <x:v>0</x:v>
      </x:c>
      <x:c r="AM1771" t="n">
        <x:f>CHOOSE('假设'!$B$3,AJ1771,AK1771,AL1771)</x:f>
        <x:v>0</x:v>
      </x:c>
      <x:c r="AN1771" t="n">
        <x:v>1</x:v>
      </x:c>
    </x:row>
    <x:row r="1772" ht="23" customHeight="1">
      <x:c r="A1772" s="11" t="str">
        <x:v>688302.SH</x:v>
      </x:c>
      <x:c r="B1772" s="11" t="str">
        <x:v>一年</x:v>
      </x:c>
      <x:c r="C1772" s="11" t="str">
        <x:v>hp518_tnbc_global</x:v>
      </x:c>
      <x:c r="D1772" s="11" t="str">
        <x:v>2034-12-31</x:v>
      </x:c>
      <x:c r="E1772" s="11" t="str">
        <x:v>USD</x:v>
      </x:c>
      <x:c r="F1772" s="11" t="n">
        <x:v>7.227926078028747</x:v>
      </x:c>
      <x:c r="G1772" s="26" t="b">
        <x:v>1</x:v>
      </x:c>
      <x:c r="H1772" s="16" t="n">
        <x:v>0</x:v>
      </x:c>
      <x:c r="I1772" s="16" t="n">
        <x:v>0</x:v>
      </x:c>
      <x:c r="J1772" s="16" t="n">
        <x:v>0.6</x:v>
      </x:c>
      <x:c r="K1772" s="11" t="n">
        <x:f>CHOOSE('假设'!$B$3,H1772,I1772,J1772)</x:f>
        <x:v>0</x:v>
      </x:c>
      <x:c r="L1772" s="11" t="n">
        <x:f>K1772*'管线假设'!E395*'管线假设'!F395*'管线假设'!G395*IF(E1772="USD",'管线假设'!I395,1)-AM1772</x:f>
        <x:v>0</x:v>
      </x:c>
      <x:c r="M1772" s="11" t="n">
        <x:f>'管线假设'!H395</x:f>
        <x:v>0.14</x:v>
      </x:c>
      <x:c r="N1772" s="11" t="n">
        <x:f>IF(G1772,L1772*AN1772/(1+M1772)^F1772,0)</x:f>
        <x:v>0</x:v>
      </x:c>
      <x:c r="AJ1772" t="n">
        <x:v>0</x:v>
      </x:c>
      <x:c r="AK1772" t="n">
        <x:v>0</x:v>
      </x:c>
      <x:c r="AL1772" t="n">
        <x:v>0</x:v>
      </x:c>
      <x:c r="AM1772" t="n">
        <x:f>CHOOSE('假设'!$B$3,AJ1772,AK1772,AL1772)</x:f>
        <x:v>0</x:v>
      </x:c>
      <x:c r="AN1772" t="n">
        <x:v>1</x:v>
      </x:c>
    </x:row>
    <x:row r="1773" ht="23" customHeight="1">
      <x:c r="A1773" s="11" t="str">
        <x:v>688302.SH</x:v>
      </x:c>
      <x:c r="B1773" s="11" t="str">
        <x:v>一年</x:v>
      </x:c>
      <x:c r="C1773" s="11" t="str">
        <x:v>hp518_tnbc_global</x:v>
      </x:c>
      <x:c r="D1773" s="11" t="str">
        <x:v>2035-12-31</x:v>
      </x:c>
      <x:c r="E1773" s="11" t="str">
        <x:v>USD</x:v>
      </x:c>
      <x:c r="F1773" s="11" t="n">
        <x:v>8.227241615331964</x:v>
      </x:c>
      <x:c r="G1773" s="26" t="b">
        <x:v>1</x:v>
      </x:c>
      <x:c r="H1773" s="16" t="n">
        <x:v>0</x:v>
      </x:c>
      <x:c r="I1773" s="16" t="n">
        <x:v>0.15</x:v>
      </x:c>
      <x:c r="J1773" s="16" t="n">
        <x:v>0.9</x:v>
      </x:c>
      <x:c r="K1773" s="11" t="n">
        <x:f>CHOOSE('假设'!$B$3,H1773,I1773,J1773)</x:f>
        <x:v>0.15</x:v>
      </x:c>
      <x:c r="L1773" s="11" t="n">
        <x:f>K1773*'管线假设'!E395*'管线假设'!F395*'管线假设'!G395*IF(E1773="USD",'管线假设'!I395,1)-AM1773</x:f>
        <x:v>0.010915020000000001</x:v>
      </x:c>
      <x:c r="M1773" s="11" t="n">
        <x:f>'管线假设'!H395</x:f>
        <x:v>0.14</x:v>
      </x:c>
      <x:c r="N1773" s="11" t="n">
        <x:f>IF(G1773,L1773*AN1773/(1+M1773)^F1773,0)</x:f>
        <x:v>0.0037141083989649707</x:v>
      </x:c>
      <x:c r="AJ1773" t="n">
        <x:v>0</x:v>
      </x:c>
      <x:c r="AK1773" t="n">
        <x:v>0</x:v>
      </x:c>
      <x:c r="AL1773" t="n">
        <x:v>0</x:v>
      </x:c>
      <x:c r="AM1773" t="n">
        <x:f>CHOOSE('假设'!$B$3,AJ1773,AK1773,AL1773)</x:f>
        <x:v>0</x:v>
      </x:c>
      <x:c r="AN1773" t="n">
        <x:v>1</x:v>
      </x:c>
    </x:row>
    <x:row r="1774" ht="23" customHeight="1">
      <x:c r="A1774" s="11" t="str">
        <x:v>688302.SH</x:v>
      </x:c>
      <x:c r="B1774" s="11" t="str">
        <x:v>一年</x:v>
      </x:c>
      <x:c r="C1774" s="11" t="str">
        <x:v>hp518_tnbc_global</x:v>
      </x:c>
      <x:c r="D1774" s="11" t="str">
        <x:v>2036-12-31</x:v>
      </x:c>
      <x:c r="E1774" s="11" t="str">
        <x:v>USD</x:v>
      </x:c>
      <x:c r="F1774" s="11" t="n">
        <x:v>9.229295003422314</x:v>
      </x:c>
      <x:c r="G1774" s="26" t="b">
        <x:v>1</x:v>
      </x:c>
      <x:c r="H1774" s="16" t="n">
        <x:v>0</x:v>
      </x:c>
      <x:c r="I1774" s="16" t="n">
        <x:v>0.3</x:v>
      </x:c>
      <x:c r="J1774" s="16" t="n">
        <x:v>1.2</x:v>
      </x:c>
      <x:c r="K1774" s="11" t="n">
        <x:f>CHOOSE('假设'!$B$3,H1774,I1774,J1774)</x:f>
        <x:v>0.3</x:v>
      </x:c>
      <x:c r="L1774" s="11" t="n">
        <x:f>K1774*'管线假设'!E395*'管线假设'!F395*'管线假设'!G395*IF(E1774="USD",'管线假设'!I395,1)-AM1774</x:f>
        <x:v>0.021830040000000002</x:v>
      </x:c>
      <x:c r="M1774" s="11" t="n">
        <x:f>'管线假设'!H395</x:f>
        <x:v>0.14</x:v>
      </x:c>
      <x:c r="N1774" s="11" t="n">
        <x:f>IF(G1774,L1774*AN1774/(1+M1774)^F1774,0)</x:f>
        <x:v>0.006514226746596194</x:v>
      </x:c>
      <x:c r="AJ1774" t="n">
        <x:v>0</x:v>
      </x:c>
      <x:c r="AK1774" t="n">
        <x:v>0</x:v>
      </x:c>
      <x:c r="AL1774" t="n">
        <x:v>0</x:v>
      </x:c>
      <x:c r="AM1774" t="n">
        <x:f>CHOOSE('假设'!$B$3,AJ1774,AK1774,AL1774)</x:f>
        <x:v>0</x:v>
      </x:c>
      <x:c r="AN1774" t="n">
        <x:v>1</x:v>
      </x:c>
    </x:row>
    <x:row r="1775" ht="23" customHeight="1">
      <x:c r="A1775" s="11" t="str">
        <x:v>688302.SH</x:v>
      </x:c>
      <x:c r="B1775" s="11" t="str">
        <x:v>一年</x:v>
      </x:c>
      <x:c r="C1775" s="11" t="str">
        <x:v>hp518_tnbc_global</x:v>
      </x:c>
      <x:c r="D1775" s="11" t="str">
        <x:v>2037-12-31</x:v>
      </x:c>
      <x:c r="E1775" s="11" t="str">
        <x:v>USD</x:v>
      </x:c>
      <x:c r="F1775" s="11" t="n">
        <x:v>10.22861054072553</x:v>
      </x:c>
      <x:c r="G1775" s="26" t="b">
        <x:v>1</x:v>
      </x:c>
      <x:c r="H1775" s="16" t="n">
        <x:v>0.06</x:v>
      </x:c>
      <x:c r="I1775" s="16" t="n">
        <x:v>0.45</x:v>
      </x:c>
      <x:c r="J1775" s="16" t="n">
        <x:v>1.5</x:v>
      </x:c>
      <x:c r="K1775" s="11" t="n">
        <x:f>CHOOSE('假设'!$B$3,H1775,I1775,J1775)</x:f>
        <x:v>0.45</x:v>
      </x:c>
      <x:c r="L1775" s="11" t="n">
        <x:f>K1775*'管线假设'!E395*'管线假设'!F395*'管线假设'!G395*IF(E1775="USD",'管线假设'!I395,1)-AM1775</x:f>
        <x:v>0.032745060000000006</x:v>
      </x:c>
      <x:c r="M1775" s="11" t="n">
        <x:f>'管线假设'!H395</x:f>
        <x:v>0.14</x:v>
      </x:c>
      <x:c r="N1775" s="11" t="n">
        <x:f>IF(G1775,L1775*AN1775/(1+M1775)^F1775,0)</x:f>
        <x:v>0.00857211972951519</x:v>
      </x:c>
      <x:c r="AJ1775" t="n">
        <x:v>0</x:v>
      </x:c>
      <x:c r="AK1775" t="n">
        <x:v>0</x:v>
      </x:c>
      <x:c r="AL1775" t="n">
        <x:v>0</x:v>
      </x:c>
      <x:c r="AM1775" t="n">
        <x:f>CHOOSE('假设'!$B$3,AJ1775,AK1775,AL1775)</x:f>
        <x:v>0</x:v>
      </x:c>
      <x:c r="AN1775" t="n">
        <x:v>1</x:v>
      </x:c>
    </x:row>
    <x:row r="1776" ht="23" customHeight="1">
      <x:c r="A1776" s="11" t="str">
        <x:v>688302.SH</x:v>
      </x:c>
      <x:c r="B1776" s="11" t="str">
        <x:v>一年</x:v>
      </x:c>
      <x:c r="C1776" s="11" t="str">
        <x:v>hp518_tnbc_global</x:v>
      </x:c>
      <x:c r="D1776" s="11" t="str">
        <x:v>2038-12-31</x:v>
      </x:c>
      <x:c r="E1776" s="11" t="str">
        <x:v>USD</x:v>
      </x:c>
      <x:c r="F1776" s="11" t="n">
        <x:v>11.227926078028748</x:v>
      </x:c>
      <x:c r="G1776" s="26" t="b">
        <x:v>1</x:v>
      </x:c>
      <x:c r="H1776" s="16" t="n">
        <x:v>0.12</x:v>
      </x:c>
      <x:c r="I1776" s="16" t="n">
        <x:v>0.6</x:v>
      </x:c>
      <x:c r="J1776" s="16" t="n">
        <x:v>1.8</x:v>
      </x:c>
      <x:c r="K1776" s="11" t="n">
        <x:f>CHOOSE('假设'!$B$3,H1776,I1776,J1776)</x:f>
        <x:v>0.6</x:v>
      </x:c>
      <x:c r="L1776" s="11" t="n">
        <x:f>K1776*'管线假设'!E395*'管线假设'!F395*'管线假设'!G395*IF(E1776="USD",'管线假设'!I395,1)-AM1776</x:f>
        <x:v>0.043660080000000004</x:v>
      </x:c>
      <x:c r="M1776" s="11" t="n">
        <x:f>'管线假设'!H395</x:f>
        <x:v>0.14</x:v>
      </x:c>
      <x:c r="N1776" s="11" t="n">
        <x:f>IF(G1776,L1776*AN1776/(1+M1776)^F1776,0)</x:f>
        <x:v>0.0100267702287887</x:v>
      </x:c>
      <x:c r="AJ1776" t="n">
        <x:v>0</x:v>
      </x:c>
      <x:c r="AK1776" t="n">
        <x:v>0</x:v>
      </x:c>
      <x:c r="AL1776" t="n">
        <x:v>0</x:v>
      </x:c>
      <x:c r="AM1776" t="n">
        <x:f>CHOOSE('假设'!$B$3,AJ1776,AK1776,AL1776)</x:f>
        <x:v>0</x:v>
      </x:c>
      <x:c r="AN1776" t="n">
        <x:v>1</x:v>
      </x:c>
    </x:row>
    <x:row r="1777" ht="23" customHeight="1">
      <x:c r="A1777" s="11" t="str">
        <x:v>688302.SH</x:v>
      </x:c>
      <x:c r="B1777" s="11" t="str">
        <x:v>一年</x:v>
      </x:c>
      <x:c r="C1777" s="11" t="str">
        <x:v>hp518_tnbc_global</x:v>
      </x:c>
      <x:c r="D1777" s="11" t="str">
        <x:v>2039-12-31</x:v>
      </x:c>
      <x:c r="E1777" s="11" t="str">
        <x:v>USD</x:v>
      </x:c>
      <x:c r="F1777" s="11" t="n">
        <x:v>12.227241615331964</x:v>
      </x:c>
      <x:c r="G1777" s="26" t="b">
        <x:v>1</x:v>
      </x:c>
      <x:c r="H1777" s="16" t="n">
        <x:v>0.18</x:v>
      </x:c>
      <x:c r="I1777" s="16" t="n">
        <x:v>0.75</x:v>
      </x:c>
      <x:c r="J1777" s="16" t="n">
        <x:v>1.566</x:v>
      </x:c>
      <x:c r="K1777" s="11" t="n">
        <x:f>CHOOSE('假设'!$B$3,H1777,I1777,J1777)</x:f>
        <x:v>0.75</x:v>
      </x:c>
      <x:c r="L1777" s="11" t="n">
        <x:f>K1777*'管线假设'!E395*'管线假设'!F395*'管线假设'!G395*IF(E1777="USD",'管线假设'!I395,1)-AM1777</x:f>
        <x:v>0.05457510000000001</x:v>
      </x:c>
      <x:c r="M1777" s="11" t="n">
        <x:f>'管线假设'!H395</x:f>
        <x:v>0.14</x:v>
      </x:c>
      <x:c r="N1777" s="11" t="n">
        <x:f>IF(G1777,L1777*AN1777/(1+M1777)^F1777,0)</x:f>
        <x:v>0.01099525165521065</x:v>
      </x:c>
      <x:c r="AJ1777" t="n">
        <x:v>0</x:v>
      </x:c>
      <x:c r="AK1777" t="n">
        <x:v>0</x:v>
      </x:c>
      <x:c r="AL1777" t="n">
        <x:v>0</x:v>
      </x:c>
      <x:c r="AM1777" t="n">
        <x:f>CHOOSE('假设'!$B$3,AJ1777,AK1777,AL1777)</x:f>
        <x:v>0</x:v>
      </x:c>
      <x:c r="AN1777" t="n">
        <x:v>1</x:v>
      </x:c>
    </x:row>
    <x:row r="1778" ht="23" customHeight="1">
      <x:c r="A1778" s="11" t="str">
        <x:v>688302.SH</x:v>
      </x:c>
      <x:c r="B1778" s="11" t="str">
        <x:v>一年</x:v>
      </x:c>
      <x:c r="C1778" s="11" t="str">
        <x:v>hp518_tnbc_global</x:v>
      </x:c>
      <x:c r="D1778" s="11" t="str">
        <x:v>2040-12-31</x:v>
      </x:c>
      <x:c r="E1778" s="11" t="str">
        <x:v>USD</x:v>
      </x:c>
      <x:c r="F1778" s="11" t="n">
        <x:v>13.229295003422314</x:v>
      </x:c>
      <x:c r="G1778" s="26" t="b">
        <x:v>1</x:v>
      </x:c>
      <x:c r="H1778" s="16" t="n">
        <x:v>0.24</x:v>
      </x:c>
      <x:c r="I1778" s="16" t="n">
        <x:v>0.9</x:v>
      </x:c>
      <x:c r="J1778" s="16" t="n">
        <x:v>1.332</x:v>
      </x:c>
      <x:c r="K1778" s="11" t="n">
        <x:f>CHOOSE('假设'!$B$3,H1778,I1778,J1778)</x:f>
        <x:v>0.9</x:v>
      </x:c>
      <x:c r="L1778" s="11" t="n">
        <x:f>K1778*'管线假设'!E395*'管线假设'!F395*'管线假设'!G395*IF(E1778="USD",'管线假设'!I395,1)-AM1778</x:f>
        <x:v>0.06549012000000001</x:v>
      </x:c>
      <x:c r="M1778" s="11" t="n">
        <x:f>'管线假设'!H395</x:f>
        <x:v>0.14</x:v>
      </x:c>
      <x:c r="N1778" s="11" t="n">
        <x:f>IF(G1778,L1778*AN1778/(1+M1778)^F1778,0)</x:f>
        <x:v>0.011570835536930947</x:v>
      </x:c>
      <x:c r="AJ1778" t="n">
        <x:v>0</x:v>
      </x:c>
      <x:c r="AK1778" t="n">
        <x:v>0</x:v>
      </x:c>
      <x:c r="AL1778" t="n">
        <x:v>0</x:v>
      </x:c>
      <x:c r="AM1778" t="n">
        <x:f>CHOOSE('假设'!$B$3,AJ1778,AK1778,AL1778)</x:f>
        <x:v>0</x:v>
      </x:c>
      <x:c r="AN1778" t="n">
        <x:v>1</x:v>
      </x:c>
    </x:row>
    <x:row r="1779" ht="23" customHeight="1">
      <x:c r="A1779" s="11" t="str">
        <x:v>688302.SH</x:v>
      </x:c>
      <x:c r="B1779" s="11" t="str">
        <x:v>一年</x:v>
      </x:c>
      <x:c r="C1779" s="11" t="str">
        <x:v>hp518_tnbc_global</x:v>
      </x:c>
      <x:c r="D1779" s="11" t="str">
        <x:v>2041-12-31</x:v>
      </x:c>
      <x:c r="E1779" s="11" t="str">
        <x:v>USD</x:v>
      </x:c>
      <x:c r="F1779" s="11" t="n">
        <x:v>14.22861054072553</x:v>
      </x:c>
      <x:c r="G1779" s="26" t="b">
        <x:v>1</x:v>
      </x:c>
      <x:c r="H1779" s="16" t="n">
        <x:v>0.3</x:v>
      </x:c>
      <x:c r="I1779" s="16" t="n">
        <x:v>0.783</x:v>
      </x:c>
      <x:c r="J1779" s="16" t="n">
        <x:v>1.098</x:v>
      </x:c>
      <x:c r="K1779" s="11" t="n">
        <x:f>CHOOSE('假设'!$B$3,H1779,I1779,J1779)</x:f>
        <x:v>0.783</x:v>
      </x:c>
      <x:c r="L1779" s="11" t="n">
        <x:f>K1779*'管线假设'!E395*'管线假设'!F395*'管线假设'!G395*IF(E1779="USD",'管线假设'!I395,1)-AM1779</x:f>
        <x:v>0.056976404400000014</x:v>
      </x:c>
      <x:c r="M1779" s="11" t="n">
        <x:f>'管线假设'!H395</x:f>
        <x:v>0.14</x:v>
      </x:c>
      <x:c r="N1779" s="11" t="n">
        <x:f>IF(G1779,L1779*AN1779/(1+M1779)^F1779,0)</x:f>
        <x:v>0.008831166467157179</x:v>
      </x:c>
      <x:c r="AJ1779" t="n">
        <x:v>0</x:v>
      </x:c>
      <x:c r="AK1779" t="n">
        <x:v>0</x:v>
      </x:c>
      <x:c r="AL1779" t="n">
        <x:v>0</x:v>
      </x:c>
      <x:c r="AM1779" t="n">
        <x:f>CHOOSE('假设'!$B$3,AJ1779,AK1779,AL1779)</x:f>
        <x:v>0</x:v>
      </x:c>
      <x:c r="AN1779" t="n">
        <x:v>1</x:v>
      </x:c>
    </x:row>
    <x:row r="1780" ht="23" customHeight="1">
      <x:c r="A1780" s="11" t="str">
        <x:v>688302.SH</x:v>
      </x:c>
      <x:c r="B1780" s="11" t="str">
        <x:v>一年</x:v>
      </x:c>
      <x:c r="C1780" s="11" t="str">
        <x:v>hp518_tnbc_global</x:v>
      </x:c>
      <x:c r="D1780" s="11" t="str">
        <x:v>2042-12-31</x:v>
      </x:c>
      <x:c r="E1780" s="11" t="str">
        <x:v>USD</x:v>
      </x:c>
      <x:c r="F1780" s="11" t="n">
        <x:v>15.227926078028748</x:v>
      </x:c>
      <x:c r="G1780" s="26" t="b">
        <x:v>1</x:v>
      </x:c>
      <x:c r="H1780" s="16" t="n">
        <x:v>0.261</x:v>
      </x:c>
      <x:c r="I1780" s="16" t="n">
        <x:v>0.666</x:v>
      </x:c>
      <x:c r="J1780" s="16" t="n">
        <x:v>0.864</x:v>
      </x:c>
      <x:c r="K1780" s="11" t="n">
        <x:f>CHOOSE('假设'!$B$3,H1780,I1780,J1780)</x:f>
        <x:v>0.666</x:v>
      </x:c>
      <x:c r="L1780" s="11" t="n">
        <x:f>K1780*'管线假设'!E395*'管线假设'!F395*'管线假设'!G395*IF(E1780="USD",'管线假设'!I395,1)-AM1780</x:f>
        <x:v>0.04846268880000001</x:v>
      </x:c>
      <x:c r="M1780" s="11" t="n">
        <x:f>'管线假设'!H395</x:f>
        <x:v>0.14</x:v>
      </x:c>
      <x:c r="N1780" s="11" t="n">
        <x:f>IF(G1780,L1780*AN1780/(1+M1780)^F1780,0)</x:f>
        <x:v>0.006589684716989094</x:v>
      </x:c>
      <x:c r="AJ1780" t="n">
        <x:v>0</x:v>
      </x:c>
      <x:c r="AK1780" t="n">
        <x:v>0</x:v>
      </x:c>
      <x:c r="AL1780" t="n">
        <x:v>0</x:v>
      </x:c>
      <x:c r="AM1780" t="n">
        <x:f>CHOOSE('假设'!$B$3,AJ1780,AK1780,AL1780)</x:f>
        <x:v>0</x:v>
      </x:c>
      <x:c r="AN1780" t="n">
        <x:v>1</x:v>
      </x:c>
    </x:row>
    <x:row r="1781" ht="23" customHeight="1">
      <x:c r="A1781" s="11" t="str">
        <x:v>688302.SH</x:v>
      </x:c>
      <x:c r="B1781" s="11" t="str">
        <x:v>一年</x:v>
      </x:c>
      <x:c r="C1781" s="11" t="str">
        <x:v>hp518_tnbc_global</x:v>
      </x:c>
      <x:c r="D1781" s="11" t="str">
        <x:v>2043-12-31</x:v>
      </x:c>
      <x:c r="E1781" s="11" t="str">
        <x:v>USD</x:v>
      </x:c>
      <x:c r="F1781" s="11" t="n">
        <x:v>16.227241615331966</x:v>
      </x:c>
      <x:c r="G1781" s="26" t="b">
        <x:v>1</x:v>
      </x:c>
      <x:c r="H1781" s="16" t="n">
        <x:v>0.222</x:v>
      </x:c>
      <x:c r="I1781" s="16" t="n">
        <x:v>0.549</x:v>
      </x:c>
      <x:c r="J1781" s="16" t="n">
        <x:v>0.63</x:v>
      </x:c>
      <x:c r="K1781" s="11" t="n">
        <x:f>CHOOSE('假设'!$B$3,H1781,I1781,J1781)</x:f>
        <x:v>0.549</x:v>
      </x:c>
      <x:c r="L1781" s="11" t="n">
        <x:f>K1781*'管线假设'!E395*'管线假设'!F395*'管线假设'!G395*IF(E1781="USD",'管线假设'!I395,1)-AM1781</x:f>
        <x:v>0.039948973200000015</x:v>
      </x:c>
      <x:c r="M1781" s="11" t="n">
        <x:f>'管线假设'!H395</x:f>
        <x:v>0.14</x:v>
      </x:c>
      <x:c r="N1781" s="11" t="n">
        <x:f>IF(G1781,L1781*AN1781/(1+M1781)^F1781,0)</x:f>
        <x:v>0.004765372447633219</x:v>
      </x:c>
      <x:c r="AJ1781" t="n">
        <x:v>0</x:v>
      </x:c>
      <x:c r="AK1781" t="n">
        <x:v>0</x:v>
      </x:c>
      <x:c r="AL1781" t="n">
        <x:v>0</x:v>
      </x:c>
      <x:c r="AM1781" t="n">
        <x:f>CHOOSE('假设'!$B$3,AJ1781,AK1781,AL1781)</x:f>
        <x:v>0</x:v>
      </x:c>
      <x:c r="AN1781" t="n">
        <x:v>1</x:v>
      </x:c>
    </x:row>
    <x:row r="1782" ht="23" customHeight="1">
      <x:c r="A1782" s="11" t="str">
        <x:v>688302.SH</x:v>
      </x:c>
      <x:c r="B1782" s="11" t="str">
        <x:v>一年</x:v>
      </x:c>
      <x:c r="C1782" s="11" t="str">
        <x:v>hp518_tnbc_global</x:v>
      </x:c>
      <x:c r="D1782" s="11" t="str">
        <x:v>2044-12-31</x:v>
      </x:c>
      <x:c r="E1782" s="11" t="str">
        <x:v>USD</x:v>
      </x:c>
      <x:c r="F1782" s="11" t="n">
        <x:v>17.229295003422312</x:v>
      </x:c>
      <x:c r="G1782" s="26" t="b">
        <x:v>1</x:v>
      </x:c>
      <x:c r="H1782" s="16" t="n">
        <x:v>0.183</x:v>
      </x:c>
      <x:c r="I1782" s="16" t="n">
        <x:v>0.432</x:v>
      </x:c>
      <x:c r="J1782" s="16" t="n">
        <x:v>0.39599999999999996</x:v>
      </x:c>
      <x:c r="K1782" s="11" t="n">
        <x:f>CHOOSE('假设'!$B$3,H1782,I1782,J1782)</x:f>
        <x:v>0.432</x:v>
      </x:c>
      <x:c r="L1782" s="11" t="n">
        <x:f>K1782*'管线假设'!E395*'管线假设'!F395*'管线假设'!G395*IF(E1782="USD",'管线假设'!I395,1)-AM1782</x:f>
        <x:v>0.0314352576</x:v>
      </x:c>
      <x:c r="M1782" s="11" t="n">
        <x:f>'管线假设'!H395</x:f>
        <x:v>0.14</x:v>
      </x:c>
      <x:c r="N1782" s="11" t="n">
        <x:f>IF(G1782,L1782*AN1782/(1+M1782)^F1782,0)</x:f>
        <x:v>0.003288414486773242</x:v>
      </x:c>
      <x:c r="AJ1782" t="n">
        <x:v>0</x:v>
      </x:c>
      <x:c r="AK1782" t="n">
        <x:v>0</x:v>
      </x:c>
      <x:c r="AL1782" t="n">
        <x:v>0</x:v>
      </x:c>
      <x:c r="AM1782" t="n">
        <x:f>CHOOSE('假设'!$B$3,AJ1782,AK1782,AL1782)</x:f>
        <x:v>0</x:v>
      </x:c>
      <x:c r="AN1782" t="n">
        <x:v>1</x:v>
      </x:c>
    </x:row>
    <x:row r="1783" ht="23" customHeight="1">
      <x:c r="A1783" s="11" t="str">
        <x:v>688302.SH</x:v>
      </x:c>
      <x:c r="B1783" s="11" t="str">
        <x:v>一年</x:v>
      </x:c>
      <x:c r="C1783" s="11" t="str">
        <x:v>hp518_tnbc_global</x:v>
      </x:c>
      <x:c r="D1783" s="11" t="str">
        <x:v>2045-12-31</x:v>
      </x:c>
      <x:c r="E1783" s="11" t="str">
        <x:v>USD</x:v>
      </x:c>
      <x:c r="F1783" s="11" t="n">
        <x:v>18.22861054072553</x:v>
      </x:c>
      <x:c r="G1783" s="26" t="b">
        <x:v>1</x:v>
      </x:c>
      <x:c r="H1783" s="16" t="n">
        <x:v>0.144</x:v>
      </x:c>
      <x:c r="I1783" s="16" t="n">
        <x:v>0.315</x:v>
      </x:c>
      <x:c r="J1783" s="16" t="n">
        <x:v>0.16199999999999995</x:v>
      </x:c>
      <x:c r="K1783" s="11" t="n">
        <x:f>CHOOSE('假设'!$B$3,H1783,I1783,J1783)</x:f>
        <x:v>0.315</x:v>
      </x:c>
      <x:c r="L1783" s="11" t="n">
        <x:f>K1783*'管线假设'!E395*'管线假设'!F395*'管线假设'!G395*IF(E1783="USD",'管线假设'!I395,1)-AM1783</x:f>
        <x:v>0.022921542000000003</x:v>
      </x:c>
      <x:c r="M1783" s="11" t="n">
        <x:f>'管线假设'!H395</x:f>
        <x:v>0.14</x:v>
      </x:c>
      <x:c r="N1783" s="11" t="n">
        <x:f>IF(G1783,L1783*AN1783/(1+M1783)^F1783,0)</x:f>
        <x:v>0.0021035239333124806</x:v>
      </x:c>
      <x:c r="AJ1783" t="n">
        <x:v>0</x:v>
      </x:c>
      <x:c r="AK1783" t="n">
        <x:v>0</x:v>
      </x:c>
      <x:c r="AL1783" t="n">
        <x:v>0</x:v>
      </x:c>
      <x:c r="AM1783" t="n">
        <x:f>CHOOSE('假设'!$B$3,AJ1783,AK1783,AL1783)</x:f>
        <x:v>0</x:v>
      </x:c>
      <x:c r="AN1783" t="n">
        <x:v>1</x:v>
      </x:c>
    </x:row>
    <x:row r="1784" ht="23" customHeight="1">
      <x:c r="A1784" s="11" t="str">
        <x:v>688302.SH</x:v>
      </x:c>
      <x:c r="B1784" s="11" t="str">
        <x:v>一年</x:v>
      </x:c>
      <x:c r="C1784" s="11" t="str">
        <x:v>hp515_mash_cn</x:v>
      </x:c>
      <x:c r="D1784" s="11" t="str">
        <x:v>2027-12-31</x:v>
      </x:c>
      <x:c r="E1784" s="11" t="str">
        <x:v>CNY</x:v>
      </x:c>
      <x:c r="F1784" s="11" t="n">
        <x:v>0.2272416153319644</x:v>
      </x:c>
      <x:c r="G1784" s="26" t="b">
        <x:v>1</x:v>
      </x:c>
      <x:c r="H1784" s="16" t="n">
        <x:v>0</x:v>
      </x:c>
      <x:c r="I1784" s="16" t="n">
        <x:v>0</x:v>
      </x:c>
      <x:c r="J1784" s="16" t="n">
        <x:v>0</x:v>
      </x:c>
      <x:c r="K1784" s="11" t="n">
        <x:f>CHOOSE('假设'!$B$3,H1784,I1784,J1784)</x:f>
        <x:v>0</x:v>
      </x:c>
      <x:c r="L1784" s="11" t="n">
        <x:f>K1784*'管线假设'!E399*'管线假设'!F399*'管线假设'!G399*IF(E1784="USD",'管线假设'!I399,1)-AM1784</x:f>
        <x:v>0</x:v>
      </x:c>
      <x:c r="M1784" s="11" t="n">
        <x:f>'管线假设'!H399</x:f>
        <x:v>0.14</x:v>
      </x:c>
      <x:c r="N1784" s="11" t="n">
        <x:f>IF(G1784,L1784*AN1784/(1+M1784)^F1784,0)</x:f>
        <x:v>0</x:v>
      </x:c>
      <x:c r="AJ1784" t="n">
        <x:v>0</x:v>
      </x:c>
      <x:c r="AK1784" t="n">
        <x:v>0</x:v>
      </x:c>
      <x:c r="AL1784" t="n">
        <x:v>0</x:v>
      </x:c>
      <x:c r="AM1784" t="n">
        <x:f>CHOOSE('假设'!$B$3,AJ1784,AK1784,AL1784)</x:f>
        <x:v>0</x:v>
      </x:c>
      <x:c r="AN1784" t="n">
        <x:v>1</x:v>
      </x:c>
    </x:row>
    <x:row r="1785" ht="23" customHeight="1">
      <x:c r="A1785" s="11" t="str">
        <x:v>688302.SH</x:v>
      </x:c>
      <x:c r="B1785" s="11" t="str">
        <x:v>一年</x:v>
      </x:c>
      <x:c r="C1785" s="11" t="str">
        <x:v>hp515_mash_cn</x:v>
      </x:c>
      <x:c r="D1785" s="11" t="str">
        <x:v>2028-12-31</x:v>
      </x:c>
      <x:c r="E1785" s="11" t="str">
        <x:v>CNY</x:v>
      </x:c>
      <x:c r="F1785" s="11" t="n">
        <x:v>1.2292950034223136</x:v>
      </x:c>
      <x:c r="G1785" s="26" t="b">
        <x:v>1</x:v>
      </x:c>
      <x:c r="H1785" s="16" t="n">
        <x:v>0</x:v>
      </x:c>
      <x:c r="I1785" s="16" t="n">
        <x:v>0</x:v>
      </x:c>
      <x:c r="J1785" s="16" t="n">
        <x:v>0</x:v>
      </x:c>
      <x:c r="K1785" s="11" t="n">
        <x:f>CHOOSE('假设'!$B$3,H1785,I1785,J1785)</x:f>
        <x:v>0</x:v>
      </x:c>
      <x:c r="L1785" s="11" t="n">
        <x:f>K1785*'管线假设'!E399*'管线假设'!F399*'管线假设'!G399*IF(E1785="USD",'管线假设'!I399,1)-AM1785</x:f>
        <x:v>0</x:v>
      </x:c>
      <x:c r="M1785" s="11" t="n">
        <x:f>'管线假设'!H399</x:f>
        <x:v>0.14</x:v>
      </x:c>
      <x:c r="N1785" s="11" t="n">
        <x:f>IF(G1785,L1785*AN1785/(1+M1785)^F1785,0)</x:f>
        <x:v>0</x:v>
      </x:c>
      <x:c r="AJ1785" t="n">
        <x:v>0</x:v>
      </x:c>
      <x:c r="AK1785" t="n">
        <x:v>0</x:v>
      </x:c>
      <x:c r="AL1785" t="n">
        <x:v>0</x:v>
      </x:c>
      <x:c r="AM1785" t="n">
        <x:f>CHOOSE('假设'!$B$3,AJ1785,AK1785,AL1785)</x:f>
        <x:v>0</x:v>
      </x:c>
      <x:c r="AN1785" t="n">
        <x:v>1</x:v>
      </x:c>
    </x:row>
    <x:row r="1786" ht="23" customHeight="1">
      <x:c r="A1786" s="11" t="str">
        <x:v>688302.SH</x:v>
      </x:c>
      <x:c r="B1786" s="11" t="str">
        <x:v>一年</x:v>
      </x:c>
      <x:c r="C1786" s="11" t="str">
        <x:v>hp515_mash_cn</x:v>
      </x:c>
      <x:c r="D1786" s="11" t="str">
        <x:v>2029-12-31</x:v>
      </x:c>
      <x:c r="E1786" s="11" t="str">
        <x:v>CNY</x:v>
      </x:c>
      <x:c r="F1786" s="11" t="n">
        <x:v>2.2286105407255303</x:v>
      </x:c>
      <x:c r="G1786" s="26" t="b">
        <x:v>1</x:v>
      </x:c>
      <x:c r="H1786" s="16" t="n">
        <x:v>0</x:v>
      </x:c>
      <x:c r="I1786" s="16" t="n">
        <x:v>0</x:v>
      </x:c>
      <x:c r="J1786" s="16" t="n">
        <x:v>0</x:v>
      </x:c>
      <x:c r="K1786" s="11" t="n">
        <x:f>CHOOSE('假设'!$B$3,H1786,I1786,J1786)</x:f>
        <x:v>0</x:v>
      </x:c>
      <x:c r="L1786" s="11" t="n">
        <x:f>K1786*'管线假设'!E399*'管线假设'!F399*'管线假设'!G399*IF(E1786="USD",'管线假设'!I399,1)-AM1786</x:f>
        <x:v>0</x:v>
      </x:c>
      <x:c r="M1786" s="11" t="n">
        <x:f>'管线假设'!H399</x:f>
        <x:v>0.14</x:v>
      </x:c>
      <x:c r="N1786" s="11" t="n">
        <x:f>IF(G1786,L1786*AN1786/(1+M1786)^F1786,0)</x:f>
        <x:v>0</x:v>
      </x:c>
      <x:c r="AJ1786" t="n">
        <x:v>0</x:v>
      </x:c>
      <x:c r="AK1786" t="n">
        <x:v>0</x:v>
      </x:c>
      <x:c r="AL1786" t="n">
        <x:v>0</x:v>
      </x:c>
      <x:c r="AM1786" t="n">
        <x:f>CHOOSE('假设'!$B$3,AJ1786,AK1786,AL1786)</x:f>
        <x:v>0</x:v>
      </x:c>
      <x:c r="AN1786" t="n">
        <x:v>1</x:v>
      </x:c>
    </x:row>
    <x:row r="1787" ht="23" customHeight="1">
      <x:c r="A1787" s="11" t="str">
        <x:v>688302.SH</x:v>
      </x:c>
      <x:c r="B1787" s="11" t="str">
        <x:v>一年</x:v>
      </x:c>
      <x:c r="C1787" s="11" t="str">
        <x:v>hp515_mash_cn</x:v>
      </x:c>
      <x:c r="D1787" s="11" t="str">
        <x:v>2030-12-31</x:v>
      </x:c>
      <x:c r="E1787" s="11" t="str">
        <x:v>CNY</x:v>
      </x:c>
      <x:c r="F1787" s="11" t="n">
        <x:v>3.2279260780287475</x:v>
      </x:c>
      <x:c r="G1787" s="26" t="b">
        <x:v>1</x:v>
      </x:c>
      <x:c r="H1787" s="16" t="n">
        <x:v>0</x:v>
      </x:c>
      <x:c r="I1787" s="16" t="n">
        <x:v>0</x:v>
      </x:c>
      <x:c r="J1787" s="16" t="n">
        <x:v>1</x:v>
      </x:c>
      <x:c r="K1787" s="11" t="n">
        <x:f>CHOOSE('假设'!$B$3,H1787,I1787,J1787)</x:f>
        <x:v>0</x:v>
      </x:c>
      <x:c r="L1787" s="11" t="n">
        <x:f>K1787*'管线假设'!E399*'管线假设'!F399*'管线假设'!G399*IF(E1787="USD",'管线假设'!I399,1)-AM1787</x:f>
        <x:v>0</x:v>
      </x:c>
      <x:c r="M1787" s="11" t="n">
        <x:f>'管线假设'!H399</x:f>
        <x:v>0.14</x:v>
      </x:c>
      <x:c r="N1787" s="11" t="n">
        <x:f>IF(G1787,L1787*AN1787/(1+M1787)^F1787,0)</x:f>
        <x:v>0</x:v>
      </x:c>
      <x:c r="AJ1787" t="n">
        <x:v>0</x:v>
      </x:c>
      <x:c r="AK1787" t="n">
        <x:v>0</x:v>
      </x:c>
      <x:c r="AL1787" t="n">
        <x:v>0</x:v>
      </x:c>
      <x:c r="AM1787" t="n">
        <x:f>CHOOSE('假设'!$B$3,AJ1787,AK1787,AL1787)</x:f>
        <x:v>0</x:v>
      </x:c>
      <x:c r="AN1787" t="n">
        <x:v>1</x:v>
      </x:c>
    </x:row>
    <x:row r="1788" ht="23" customHeight="1">
      <x:c r="A1788" s="11" t="str">
        <x:v>688302.SH</x:v>
      </x:c>
      <x:c r="B1788" s="11" t="str">
        <x:v>一年</x:v>
      </x:c>
      <x:c r="C1788" s="11" t="str">
        <x:v>hp515_mash_cn</x:v>
      </x:c>
      <x:c r="D1788" s="11" t="str">
        <x:v>2031-12-31</x:v>
      </x:c>
      <x:c r="E1788" s="11" t="str">
        <x:v>CNY</x:v>
      </x:c>
      <x:c r="F1788" s="11" t="n">
        <x:v>4.227241615331964</x:v>
      </x:c>
      <x:c r="G1788" s="26" t="b">
        <x:v>1</x:v>
      </x:c>
      <x:c r="H1788" s="16" t="n">
        <x:v>0</x:v>
      </x:c>
      <x:c r="I1788" s="16" t="n">
        <x:v>0</x:v>
      </x:c>
      <x:c r="J1788" s="16" t="n">
        <x:v>2</x:v>
      </x:c>
      <x:c r="K1788" s="11" t="n">
        <x:f>CHOOSE('假设'!$B$3,H1788,I1788,J1788)</x:f>
        <x:v>0</x:v>
      </x:c>
      <x:c r="L1788" s="11" t="n">
        <x:f>K1788*'管线假设'!E399*'管线假设'!F399*'管线假设'!G399*IF(E1788="USD",'管线假设'!I399,1)-AM1788</x:f>
        <x:v>0</x:v>
      </x:c>
      <x:c r="M1788" s="11" t="n">
        <x:f>'管线假设'!H399</x:f>
        <x:v>0.14</x:v>
      </x:c>
      <x:c r="N1788" s="11" t="n">
        <x:f>IF(G1788,L1788*AN1788/(1+M1788)^F1788,0)</x:f>
        <x:v>0</x:v>
      </x:c>
      <x:c r="AJ1788" t="n">
        <x:v>0</x:v>
      </x:c>
      <x:c r="AK1788" t="n">
        <x:v>0</x:v>
      </x:c>
      <x:c r="AL1788" t="n">
        <x:v>0</x:v>
      </x:c>
      <x:c r="AM1788" t="n">
        <x:f>CHOOSE('假设'!$B$3,AJ1788,AK1788,AL1788)</x:f>
        <x:v>0</x:v>
      </x:c>
      <x:c r="AN1788" t="n">
        <x:v>1</x:v>
      </x:c>
    </x:row>
    <x:row r="1789" ht="23" customHeight="1">
      <x:c r="A1789" s="11" t="str">
        <x:v>688302.SH</x:v>
      </x:c>
      <x:c r="B1789" s="11" t="str">
        <x:v>一年</x:v>
      </x:c>
      <x:c r="C1789" s="11" t="str">
        <x:v>hp515_mash_cn</x:v>
      </x:c>
      <x:c r="D1789" s="11" t="str">
        <x:v>2032-12-31</x:v>
      </x:c>
      <x:c r="E1789" s="11" t="str">
        <x:v>CNY</x:v>
      </x:c>
      <x:c r="F1789" s="11" t="n">
        <x:v>5.229295003422314</x:v>
      </x:c>
      <x:c r="G1789" s="26" t="b">
        <x:v>1</x:v>
      </x:c>
      <x:c r="H1789" s="16" t="n">
        <x:v>0</x:v>
      </x:c>
      <x:c r="I1789" s="16" t="n">
        <x:v>0.5</x:v>
      </x:c>
      <x:c r="J1789" s="16" t="n">
        <x:v>3</x:v>
      </x:c>
      <x:c r="K1789" s="11" t="n">
        <x:f>CHOOSE('假设'!$B$3,H1789,I1789,J1789)</x:f>
        <x:v>0.5</x:v>
      </x:c>
      <x:c r="L1789" s="11" t="n">
        <x:f>K1789*'管线假设'!E399*'管线假设'!F399*'管线假设'!G399*IF(E1789="USD",'管线假设'!I399,1)-AM1789</x:f>
        <x:v>0.051375000000000004</x:v>
      </x:c>
      <x:c r="M1789" s="11" t="n">
        <x:f>'管线假设'!H399</x:f>
        <x:v>0.14</x:v>
      </x:c>
      <x:c r="N1789" s="11" t="n">
        <x:f>IF(G1789,L1789*AN1789/(1+M1789)^F1789,0)</x:f>
        <x:v>0.025892833586271705</x:v>
      </x:c>
      <x:c r="AJ1789" t="n">
        <x:v>0</x:v>
      </x:c>
      <x:c r="AK1789" t="n">
        <x:v>0</x:v>
      </x:c>
      <x:c r="AL1789" t="n">
        <x:v>0</x:v>
      </x:c>
      <x:c r="AM1789" t="n">
        <x:f>CHOOSE('假设'!$B$3,AJ1789,AK1789,AL1789)</x:f>
        <x:v>0</x:v>
      </x:c>
      <x:c r="AN1789" t="n">
        <x:v>1</x:v>
      </x:c>
    </x:row>
    <x:row r="1790" ht="23" customHeight="1">
      <x:c r="A1790" s="11" t="str">
        <x:v>688302.SH</x:v>
      </x:c>
      <x:c r="B1790" s="11" t="str">
        <x:v>一年</x:v>
      </x:c>
      <x:c r="C1790" s="11" t="str">
        <x:v>hp515_mash_cn</x:v>
      </x:c>
      <x:c r="D1790" s="11" t="str">
        <x:v>2033-12-31</x:v>
      </x:c>
      <x:c r="E1790" s="11" t="str">
        <x:v>CNY</x:v>
      </x:c>
      <x:c r="F1790" s="11" t="n">
        <x:v>6.228610540725531</x:v>
      </x:c>
      <x:c r="G1790" s="26" t="b">
        <x:v>1</x:v>
      </x:c>
      <x:c r="H1790" s="16" t="n">
        <x:v>0</x:v>
      </x:c>
      <x:c r="I1790" s="16" t="n">
        <x:v>1</x:v>
      </x:c>
      <x:c r="J1790" s="16" t="n">
        <x:v>4</x:v>
      </x:c>
      <x:c r="K1790" s="11" t="n">
        <x:f>CHOOSE('假设'!$B$3,H1790,I1790,J1790)</x:f>
        <x:v>1</x:v>
      </x:c>
      <x:c r="L1790" s="11" t="n">
        <x:f>K1790*'管线假设'!E399*'管线假设'!F399*'管线假设'!G399*IF(E1790="USD",'管线假设'!I399,1)-AM1790</x:f>
        <x:v>0.10275000000000001</x:v>
      </x:c>
      <x:c r="M1790" s="11" t="n">
        <x:f>'管线假设'!H399</x:f>
        <x:v>0.14</x:v>
      </x:c>
      <x:c r="N1790" s="11" t="n">
        <x:f>IF(G1790,L1790*AN1790/(1+M1790)^F1790,0)</x:f>
        <x:v>0.045430098003862</x:v>
      </x:c>
      <x:c r="AJ1790" t="n">
        <x:v>0</x:v>
      </x:c>
      <x:c r="AK1790" t="n">
        <x:v>0</x:v>
      </x:c>
      <x:c r="AL1790" t="n">
        <x:v>0</x:v>
      </x:c>
      <x:c r="AM1790" t="n">
        <x:f>CHOOSE('假设'!$B$3,AJ1790,AK1790,AL1790)</x:f>
        <x:v>0</x:v>
      </x:c>
      <x:c r="AN1790" t="n">
        <x:v>1</x:v>
      </x:c>
    </x:row>
    <x:row r="1791" ht="23" customHeight="1">
      <x:c r="A1791" s="11" t="str">
        <x:v>688302.SH</x:v>
      </x:c>
      <x:c r="B1791" s="11" t="str">
        <x:v>一年</x:v>
      </x:c>
      <x:c r="C1791" s="11" t="str">
        <x:v>hp515_mash_cn</x:v>
      </x:c>
      <x:c r="D1791" s="11" t="str">
        <x:v>2034-12-31</x:v>
      </x:c>
      <x:c r="E1791" s="11" t="str">
        <x:v>CNY</x:v>
      </x:c>
      <x:c r="F1791" s="11" t="n">
        <x:v>7.227926078028747</x:v>
      </x:c>
      <x:c r="G1791" s="26" t="b">
        <x:v>1</x:v>
      </x:c>
      <x:c r="H1791" s="16" t="n">
        <x:v>0</x:v>
      </x:c>
      <x:c r="I1791" s="16" t="n">
        <x:v>1.5</x:v>
      </x:c>
      <x:c r="J1791" s="16" t="n">
        <x:v>5</x:v>
      </x:c>
      <x:c r="K1791" s="11" t="n">
        <x:f>CHOOSE('假设'!$B$3,H1791,I1791,J1791)</x:f>
        <x:v>1.5</x:v>
      </x:c>
      <x:c r="L1791" s="11" t="n">
        <x:f>K1791*'管线假设'!E399*'管线假设'!F399*'管线假设'!G399*IF(E1791="USD",'管线假设'!I399,1)-AM1791</x:f>
        <x:v>0.154125</x:v>
      </x:c>
      <x:c r="M1791" s="11" t="n">
        <x:f>'管线假设'!H399</x:f>
        <x:v>0.14</x:v>
      </x:c>
      <x:c r="N1791" s="11" t="n">
        <x:f>IF(G1791,L1791*AN1791/(1+M1791)^F1791,0)</x:f>
        <x:v>0.05978180597047834</x:v>
      </x:c>
      <x:c r="AJ1791" t="n">
        <x:v>0</x:v>
      </x:c>
      <x:c r="AK1791" t="n">
        <x:v>0</x:v>
      </x:c>
      <x:c r="AL1791" t="n">
        <x:v>0</x:v>
      </x:c>
      <x:c r="AM1791" t="n">
        <x:f>CHOOSE('假设'!$B$3,AJ1791,AK1791,AL1791)</x:f>
        <x:v>0</x:v>
      </x:c>
      <x:c r="AN1791" t="n">
        <x:v>1</x:v>
      </x:c>
    </x:row>
    <x:row r="1792" ht="23" customHeight="1">
      <x:c r="A1792" s="11" t="str">
        <x:v>688302.SH</x:v>
      </x:c>
      <x:c r="B1792" s="11" t="str">
        <x:v>一年</x:v>
      </x:c>
      <x:c r="C1792" s="11" t="str">
        <x:v>hp515_mash_cn</x:v>
      </x:c>
      <x:c r="D1792" s="11" t="str">
        <x:v>2035-12-31</x:v>
      </x:c>
      <x:c r="E1792" s="11" t="str">
        <x:v>CNY</x:v>
      </x:c>
      <x:c r="F1792" s="11" t="n">
        <x:v>8.227241615331964</x:v>
      </x:c>
      <x:c r="G1792" s="26" t="b">
        <x:v>1</x:v>
      </x:c>
      <x:c r="H1792" s="16" t="n">
        <x:v>0.2</x:v>
      </x:c>
      <x:c r="I1792" s="16" t="n">
        <x:v>2</x:v>
      </x:c>
      <x:c r="J1792" s="16" t="n">
        <x:v>6</x:v>
      </x:c>
      <x:c r="K1792" s="11" t="n">
        <x:f>CHOOSE('假设'!$B$3,H1792,I1792,J1792)</x:f>
        <x:v>2</x:v>
      </x:c>
      <x:c r="L1792" s="11" t="n">
        <x:f>K1792*'管线假设'!E399*'管线假设'!F399*'管线假设'!G399*IF(E1792="USD",'管线假设'!I399,1)-AM1792</x:f>
        <x:v>0.20550000000000002</x:v>
      </x:c>
      <x:c r="M1792" s="11" t="n">
        <x:f>'管线假设'!H399</x:f>
        <x:v>0.14</x:v>
      </x:c>
      <x:c r="N1792" s="11" t="n">
        <x:f>IF(G1792,L1792*AN1792/(1+M1792)^F1792,0)</x:f>
        <x:v>0.06992651190628156</x:v>
      </x:c>
      <x:c r="AJ1792" t="n">
        <x:v>0</x:v>
      </x:c>
      <x:c r="AK1792" t="n">
        <x:v>0</x:v>
      </x:c>
      <x:c r="AL1792" t="n">
        <x:v>0</x:v>
      </x:c>
      <x:c r="AM1792" t="n">
        <x:f>CHOOSE('假设'!$B$3,AJ1792,AK1792,AL1792)</x:f>
        <x:v>0</x:v>
      </x:c>
      <x:c r="AN1792" t="n">
        <x:v>1</x:v>
      </x:c>
    </x:row>
    <x:row r="1793" ht="23" customHeight="1">
      <x:c r="A1793" s="11" t="str">
        <x:v>688302.SH</x:v>
      </x:c>
      <x:c r="B1793" s="11" t="str">
        <x:v>一年</x:v>
      </x:c>
      <x:c r="C1793" s="11" t="str">
        <x:v>hp515_mash_cn</x:v>
      </x:c>
      <x:c r="D1793" s="11" t="str">
        <x:v>2036-12-31</x:v>
      </x:c>
      <x:c r="E1793" s="11" t="str">
        <x:v>CNY</x:v>
      </x:c>
      <x:c r="F1793" s="11" t="n">
        <x:v>9.229295003422314</x:v>
      </x:c>
      <x:c r="G1793" s="26" t="b">
        <x:v>1</x:v>
      </x:c>
      <x:c r="H1793" s="16" t="n">
        <x:v>0.4</x:v>
      </x:c>
      <x:c r="I1793" s="16" t="n">
        <x:v>2.5</x:v>
      </x:c>
      <x:c r="J1793" s="16" t="n">
        <x:v>5.22</x:v>
      </x:c>
      <x:c r="K1793" s="11" t="n">
        <x:f>CHOOSE('假设'!$B$3,H1793,I1793,J1793)</x:f>
        <x:v>2.5</x:v>
      </x:c>
      <x:c r="L1793" s="11" t="n">
        <x:f>K1793*'管线假设'!E399*'管线假设'!F399*'管线假设'!G399*IF(E1793="USD",'管线假设'!I399,1)-AM1793</x:f>
        <x:v>0.256875</x:v>
      </x:c>
      <x:c r="M1793" s="11" t="n">
        <x:f>'管线假设'!H399</x:f>
        <x:v>0.14</x:v>
      </x:c>
      <x:c r="N1793" s="11" t="n">
        <x:f>IF(G1793,L1793*AN1793/(1+M1793)^F1793,0)</x:f>
        <x:v>0.07665318045829954</x:v>
      </x:c>
      <x:c r="AJ1793" t="n">
        <x:v>0</x:v>
      </x:c>
      <x:c r="AK1793" t="n">
        <x:v>0</x:v>
      </x:c>
      <x:c r="AL1793" t="n">
        <x:v>0</x:v>
      </x:c>
      <x:c r="AM1793" t="n">
        <x:f>CHOOSE('假设'!$B$3,AJ1793,AK1793,AL1793)</x:f>
        <x:v>0</x:v>
      </x:c>
      <x:c r="AN1793" t="n">
        <x:v>1</x:v>
      </x:c>
    </x:row>
    <x:row r="1794" ht="23" customHeight="1">
      <x:c r="A1794" s="11" t="str">
        <x:v>688302.SH</x:v>
      </x:c>
      <x:c r="B1794" s="11" t="str">
        <x:v>一年</x:v>
      </x:c>
      <x:c r="C1794" s="11" t="str">
        <x:v>hp515_mash_cn</x:v>
      </x:c>
      <x:c r="D1794" s="11" t="str">
        <x:v>2037-12-31</x:v>
      </x:c>
      <x:c r="E1794" s="11" t="str">
        <x:v>CNY</x:v>
      </x:c>
      <x:c r="F1794" s="11" t="n">
        <x:v>10.22861054072553</x:v>
      </x:c>
      <x:c r="G1794" s="26" t="b">
        <x:v>1</x:v>
      </x:c>
      <x:c r="H1794" s="16" t="n">
        <x:v>0.6</x:v>
      </x:c>
      <x:c r="I1794" s="16" t="n">
        <x:v>3</x:v>
      </x:c>
      <x:c r="J1794" s="16" t="n">
        <x:v>4.4399999999999995</x:v>
      </x:c>
      <x:c r="K1794" s="11" t="n">
        <x:f>CHOOSE('假设'!$B$3,H1794,I1794,J1794)</x:f>
        <x:v>3</x:v>
      </x:c>
      <x:c r="L1794" s="11" t="n">
        <x:f>K1794*'管线假设'!E399*'管线假设'!F399*'管线假设'!G399*IF(E1794="USD",'管线假设'!I399,1)-AM1794</x:f>
        <x:v>0.30825</x:v>
      </x:c>
      <x:c r="M1794" s="11" t="n">
        <x:f>'管线假设'!H399</x:f>
        <x:v>0.14</x:v>
      </x:c>
      <x:c r="N1794" s="11" t="n">
        <x:f>IF(G1794,L1794*AN1794/(1+M1794)^F1794,0)</x:f>
        <x:v>0.08069479508124452</x:v>
      </x:c>
      <x:c r="AJ1794" t="n">
        <x:v>0</x:v>
      </x:c>
      <x:c r="AK1794" t="n">
        <x:v>0</x:v>
      </x:c>
      <x:c r="AL1794" t="n">
        <x:v>0</x:v>
      </x:c>
      <x:c r="AM1794" t="n">
        <x:f>CHOOSE('假设'!$B$3,AJ1794,AK1794,AL1794)</x:f>
        <x:v>0</x:v>
      </x:c>
      <x:c r="AN1794" t="n">
        <x:v>1</x:v>
      </x:c>
    </x:row>
    <x:row r="1795" ht="23" customHeight="1">
      <x:c r="A1795" s="11" t="str">
        <x:v>688302.SH</x:v>
      </x:c>
      <x:c r="B1795" s="11" t="str">
        <x:v>一年</x:v>
      </x:c>
      <x:c r="C1795" s="11" t="str">
        <x:v>hp515_mash_cn</x:v>
      </x:c>
      <x:c r="D1795" s="11" t="str">
        <x:v>2038-12-31</x:v>
      </x:c>
      <x:c r="E1795" s="11" t="str">
        <x:v>CNY</x:v>
      </x:c>
      <x:c r="F1795" s="11" t="n">
        <x:v>11.227926078028748</x:v>
      </x:c>
      <x:c r="G1795" s="26" t="b">
        <x:v>1</x:v>
      </x:c>
      <x:c r="H1795" s="16" t="n">
        <x:v>0.8</x:v>
      </x:c>
      <x:c r="I1795" s="16" t="n">
        <x:v>2.61</x:v>
      </x:c>
      <x:c r="J1795" s="16" t="n">
        <x:v>3.66</x:v>
      </x:c>
      <x:c r="K1795" s="11" t="n">
        <x:f>CHOOSE('假设'!$B$3,H1795,I1795,J1795)</x:f>
        <x:v>2.61</x:v>
      </x:c>
      <x:c r="L1795" s="11" t="n">
        <x:f>K1795*'管线假设'!E399*'管线假设'!F399*'管线假设'!G399*IF(E1795="USD",'管线假设'!I399,1)-AM1795</x:f>
        <x:v>0.2681775</x:v>
      </x:c>
      <x:c r="M1795" s="11" t="n">
        <x:f>'管线假设'!H399</x:f>
        <x:v>0.14</x:v>
      </x:c>
      <x:c r="N1795" s="11" t="n">
        <x:f>IF(G1795,L1795*AN1795/(1+M1795)^F1795,0)</x:f>
        <x:v>0.06158839317360348</x:v>
      </x:c>
      <x:c r="AJ1795" t="n">
        <x:v>0</x:v>
      </x:c>
      <x:c r="AK1795" t="n">
        <x:v>0</x:v>
      </x:c>
      <x:c r="AL1795" t="n">
        <x:v>0</x:v>
      </x:c>
      <x:c r="AM1795" t="n">
        <x:f>CHOOSE('假设'!$B$3,AJ1795,AK1795,AL1795)</x:f>
        <x:v>0</x:v>
      </x:c>
      <x:c r="AN1795" t="n">
        <x:v>1</x:v>
      </x:c>
    </x:row>
    <x:row r="1796" ht="23" customHeight="1">
      <x:c r="A1796" s="11" t="str">
        <x:v>688302.SH</x:v>
      </x:c>
      <x:c r="B1796" s="11" t="str">
        <x:v>一年</x:v>
      </x:c>
      <x:c r="C1796" s="11" t="str">
        <x:v>hp515_mash_cn</x:v>
      </x:c>
      <x:c r="D1796" s="11" t="str">
        <x:v>2039-12-31</x:v>
      </x:c>
      <x:c r="E1796" s="11" t="str">
        <x:v>CNY</x:v>
      </x:c>
      <x:c r="F1796" s="11" t="n">
        <x:v>12.227241615331964</x:v>
      </x:c>
      <x:c r="G1796" s="26" t="b">
        <x:v>1</x:v>
      </x:c>
      <x:c r="H1796" s="16" t="n">
        <x:v>1</x:v>
      </x:c>
      <x:c r="I1796" s="16" t="n">
        <x:v>2.2199999999999998</x:v>
      </x:c>
      <x:c r="J1796" s="16" t="n">
        <x:v>2.88</x:v>
      </x:c>
      <x:c r="K1796" s="11" t="n">
        <x:f>CHOOSE('假设'!$B$3,H1796,I1796,J1796)</x:f>
        <x:v>2.2199999999999998</x:v>
      </x:c>
      <x:c r="L1796" s="11" t="n">
        <x:f>K1796*'管线假设'!E399*'管线假设'!F399*'管线假设'!G399*IF(E1796="USD",'管线假设'!I399,1)-AM1796</x:f>
        <x:v>0.228105</x:v>
      </x:c>
      <x:c r="M1796" s="11" t="n">
        <x:f>'管线假设'!H399</x:f>
        <x:v>0.14</x:v>
      </x:c>
      <x:c r="N1796" s="11" t="n">
        <x:f>IF(G1796,L1796*AN1796/(1+M1796)^F1796,0)</x:f>
        <x:v>0.04595634050715116</x:v>
      </x:c>
      <x:c r="AJ1796" t="n">
        <x:v>0</x:v>
      </x:c>
      <x:c r="AK1796" t="n">
        <x:v>0</x:v>
      </x:c>
      <x:c r="AL1796" t="n">
        <x:v>0</x:v>
      </x:c>
      <x:c r="AM1796" t="n">
        <x:f>CHOOSE('假设'!$B$3,AJ1796,AK1796,AL1796)</x:f>
        <x:v>0</x:v>
      </x:c>
      <x:c r="AN1796" t="n">
        <x:v>1</x:v>
      </x:c>
    </x:row>
    <x:row r="1797" ht="23" customHeight="1">
      <x:c r="A1797" s="11" t="str">
        <x:v>688302.SH</x:v>
      </x:c>
      <x:c r="B1797" s="11" t="str">
        <x:v>一年</x:v>
      </x:c>
      <x:c r="C1797" s="11" t="str">
        <x:v>hp515_mash_cn</x:v>
      </x:c>
      <x:c r="D1797" s="11" t="str">
        <x:v>2040-12-31</x:v>
      </x:c>
      <x:c r="E1797" s="11" t="str">
        <x:v>CNY</x:v>
      </x:c>
      <x:c r="F1797" s="11" t="n">
        <x:v>13.229295003422314</x:v>
      </x:c>
      <x:c r="G1797" s="26" t="b">
        <x:v>1</x:v>
      </x:c>
      <x:c r="H1797" s="16" t="n">
        <x:v>0.87</x:v>
      </x:c>
      <x:c r="I1797" s="16" t="n">
        <x:v>1.83</x:v>
      </x:c>
      <x:c r="J1797" s="16" t="n">
        <x:v>2.0999999999999996</x:v>
      </x:c>
      <x:c r="K1797" s="11" t="n">
        <x:f>CHOOSE('假设'!$B$3,H1797,I1797,J1797)</x:f>
        <x:v>1.83</x:v>
      </x:c>
      <x:c r="L1797" s="11" t="n">
        <x:f>K1797*'管线假设'!E399*'管线假设'!F399*'管线假设'!G399*IF(E1797="USD",'管线假设'!I399,1)-AM1797</x:f>
        <x:v>0.18803250000000002</x:v>
      </x:c>
      <x:c r="M1797" s="11" t="n">
        <x:f>'管线假设'!H399</x:f>
        <x:v>0.14</x:v>
      </x:c>
      <x:c r="N1797" s="11" t="n">
        <x:f>IF(G1797,L1797*AN1797/(1+M1797)^F1797,0)</x:f>
        <x:v>0.03322170020604586</x:v>
      </x:c>
      <x:c r="AJ1797" t="n">
        <x:v>0</x:v>
      </x:c>
      <x:c r="AK1797" t="n">
        <x:v>0</x:v>
      </x:c>
      <x:c r="AL1797" t="n">
        <x:v>0</x:v>
      </x:c>
      <x:c r="AM1797" t="n">
        <x:f>CHOOSE('假设'!$B$3,AJ1797,AK1797,AL1797)</x:f>
        <x:v>0</x:v>
      </x:c>
      <x:c r="AN1797" t="n">
        <x:v>1</x:v>
      </x:c>
    </x:row>
    <x:row r="1798" ht="23" customHeight="1">
      <x:c r="A1798" s="11" t="str">
        <x:v>688302.SH</x:v>
      </x:c>
      <x:c r="B1798" s="11" t="str">
        <x:v>一年</x:v>
      </x:c>
      <x:c r="C1798" s="11" t="str">
        <x:v>hp515_mash_cn</x:v>
      </x:c>
      <x:c r="D1798" s="11" t="str">
        <x:v>2041-12-31</x:v>
      </x:c>
      <x:c r="E1798" s="11" t="str">
        <x:v>CNY</x:v>
      </x:c>
      <x:c r="F1798" s="11" t="n">
        <x:v>14.22861054072553</x:v>
      </x:c>
      <x:c r="G1798" s="26" t="b">
        <x:v>1</x:v>
      </x:c>
      <x:c r="H1798" s="16" t="n">
        <x:v>0.74</x:v>
      </x:c>
      <x:c r="I1798" s="16" t="n">
        <x:v>1.44</x:v>
      </x:c>
      <x:c r="J1798" s="16" t="n">
        <x:v>1.3199999999999998</x:v>
      </x:c>
      <x:c r="K1798" s="11" t="n">
        <x:f>CHOOSE('假设'!$B$3,H1798,I1798,J1798)</x:f>
        <x:v>1.44</x:v>
      </x:c>
      <x:c r="L1798" s="11" t="n">
        <x:f>K1798*'管线假设'!E399*'管线假设'!F399*'管线假设'!G399*IF(E1798="USD",'管线假设'!I399,1)-AM1798</x:f>
        <x:v>0.14796</x:v>
      </x:c>
      <x:c r="M1798" s="11" t="n">
        <x:f>'管线假设'!H399</x:f>
        <x:v>0.14</x:v>
      </x:c>
      <x:c r="N1798" s="11" t="n">
        <x:f>IF(G1798,L1798*AN1798/(1+M1798)^F1798,0)</x:f>
        <x:v>0.02293334239393625</x:v>
      </x:c>
      <x:c r="AJ1798" t="n">
        <x:v>0</x:v>
      </x:c>
      <x:c r="AK1798" t="n">
        <x:v>0</x:v>
      </x:c>
      <x:c r="AL1798" t="n">
        <x:v>0</x:v>
      </x:c>
      <x:c r="AM1798" t="n">
        <x:f>CHOOSE('假设'!$B$3,AJ1798,AK1798,AL1798)</x:f>
        <x:v>0</x:v>
      </x:c>
      <x:c r="AN1798" t="n">
        <x:v>1</x:v>
      </x:c>
    </x:row>
    <x:row r="1799" ht="23" customHeight="1">
      <x:c r="A1799" s="11" t="str">
        <x:v>688302.SH</x:v>
      </x:c>
      <x:c r="B1799" s="11" t="str">
        <x:v>一年</x:v>
      </x:c>
      <x:c r="C1799" s="11" t="str">
        <x:v>hp515_mash_cn</x:v>
      </x:c>
      <x:c r="D1799" s="11" t="str">
        <x:v>2042-12-31</x:v>
      </x:c>
      <x:c r="E1799" s="11" t="str">
        <x:v>CNY</x:v>
      </x:c>
      <x:c r="F1799" s="11" t="n">
        <x:v>15.227926078028748</x:v>
      </x:c>
      <x:c r="G1799" s="26" t="b">
        <x:v>1</x:v>
      </x:c>
      <x:c r="H1799" s="16" t="n">
        <x:v>0.61</x:v>
      </x:c>
      <x:c r="I1799" s="16" t="n">
        <x:v>1.0499999999999998</x:v>
      </x:c>
      <x:c r="J1799" s="16" t="n">
        <x:v>0.5399999999999998</x:v>
      </x:c>
      <x:c r="K1799" s="11" t="n">
        <x:f>CHOOSE('假设'!$B$3,H1799,I1799,J1799)</x:f>
        <x:v>1.0499999999999998</x:v>
      </x:c>
      <x:c r="L1799" s="11" t="n">
        <x:f>K1799*'管线假设'!E399*'管线假设'!F399*'管线假设'!G399*IF(E1799="USD",'管线假设'!I399,1)-AM1799</x:f>
        <x:v>0.10788749999999998</x:v>
      </x:c>
      <x:c r="M1799" s="11" t="n">
        <x:f>'管线假设'!H399</x:f>
        <x:v>0.14</x:v>
      </x:c>
      <x:c r="N1799" s="11" t="n">
        <x:f>IF(G1799,L1799*AN1799/(1+M1799)^F1799,0)</x:f>
        <x:v>0.0146699373787977</x:v>
      </x:c>
      <x:c r="AJ1799" t="n">
        <x:v>0</x:v>
      </x:c>
      <x:c r="AK1799" t="n">
        <x:v>0</x:v>
      </x:c>
      <x:c r="AL1799" t="n">
        <x:v>0</x:v>
      </x:c>
      <x:c r="AM1799" t="n">
        <x:f>CHOOSE('假设'!$B$3,AJ1799,AK1799,AL1799)</x:f>
        <x:v>0</x:v>
      </x:c>
      <x:c r="AN1799" t="n">
        <x:v>1</x:v>
      </x:c>
    </x:row>
    <x:row r="1800" ht="23" customHeight="1">
      <x:c r="A1800" s="11" t="str">
        <x:v>688302.SH</x:v>
      </x:c>
      <x:c r="B1800" s="11" t="str">
        <x:v>一年</x:v>
      </x:c>
      <x:c r="C1800" s="11" t="str">
        <x:v>hp515_mash_cn</x:v>
      </x:c>
      <x:c r="D1800" s="11" t="str">
        <x:v>2043-12-31</x:v>
      </x:c>
      <x:c r="E1800" s="11" t="str">
        <x:v>CNY</x:v>
      </x:c>
      <x:c r="F1800" s="11" t="n">
        <x:v>16.227241615331966</x:v>
      </x:c>
      <x:c r="G1800" s="26" t="b">
        <x:v>1</x:v>
      </x:c>
      <x:c r="H1800" s="16" t="n">
        <x:v>0.48</x:v>
      </x:c>
      <x:c r="I1800" s="16" t="n">
        <x:v>0.6599999999999999</x:v>
      </x:c>
      <x:c r="J1800" s="16" t="n">
        <x:v>0</x:v>
      </x:c>
      <x:c r="K1800" s="11" t="n">
        <x:f>CHOOSE('假设'!$B$3,H1800,I1800,J1800)</x:f>
        <x:v>0.6599999999999999</x:v>
      </x:c>
      <x:c r="L1800" s="11" t="n">
        <x:f>K1800*'管线假设'!E399*'管线假设'!F399*'管线假设'!G399*IF(E1800="USD",'管线假设'!I399,1)-AM1800</x:f>
        <x:v>0.067815</x:v>
      </x:c>
      <x:c r="M1800" s="11" t="n">
        <x:f>'管线假设'!H399</x:f>
        <x:v>0.14</x:v>
      </x:c>
      <x:c r="N1800" s="11" t="n">
        <x:f>IF(G1800,L1800*AN1800/(1+M1800)^F1800,0)</x:f>
        <x:v>0.008089412734549249</x:v>
      </x:c>
      <x:c r="AJ1800" t="n">
        <x:v>0</x:v>
      </x:c>
      <x:c r="AK1800" t="n">
        <x:v>0</x:v>
      </x:c>
      <x:c r="AL1800" t="n">
        <x:v>0</x:v>
      </x:c>
      <x:c r="AM1800" t="n">
        <x:f>CHOOSE('假设'!$B$3,AJ1800,AK1800,AL1800)</x:f>
        <x:v>0</x:v>
      </x:c>
      <x:c r="AN1800" t="n">
        <x:v>1</x:v>
      </x:c>
    </x:row>
    <x:row r="1801" ht="23" customHeight="1">
      <x:c r="A1801" s="11" t="str">
        <x:v>688302.SH</x:v>
      </x:c>
      <x:c r="B1801" s="11" t="str">
        <x:v>一年</x:v>
      </x:c>
      <x:c r="C1801" s="11" t="str">
        <x:v>hp515_mash_cn</x:v>
      </x:c>
      <x:c r="D1801" s="11" t="str">
        <x:v>2044-12-31</x:v>
      </x:c>
      <x:c r="E1801" s="11" t="str">
        <x:v>CNY</x:v>
      </x:c>
      <x:c r="F1801" s="11" t="n">
        <x:v>17.229295003422312</x:v>
      </x:c>
      <x:c r="G1801" s="26" t="b">
        <x:v>1</x:v>
      </x:c>
      <x:c r="H1801" s="16" t="n">
        <x:v>0.35</x:v>
      </x:c>
      <x:c r="I1801" s="16" t="n">
        <x:v>0.2699999999999999</x:v>
      </x:c>
      <x:c r="J1801" s="16" t="n">
        <x:v>0</x:v>
      </x:c>
      <x:c r="K1801" s="11" t="n">
        <x:f>CHOOSE('假设'!$B$3,H1801,I1801,J1801)</x:f>
        <x:v>0.2699999999999999</x:v>
      </x:c>
      <x:c r="L1801" s="11" t="n">
        <x:f>K1801*'管线假设'!E399*'管线假设'!F399*'管线假设'!G399*IF(E1801="USD",'管线假设'!I399,1)-AM1801</x:f>
        <x:v>0.027742499999999993</x:v>
      </x:c>
      <x:c r="M1801" s="11" t="n">
        <x:f>'管线假设'!H399</x:f>
        <x:v>0.14</x:v>
      </x:c>
      <x:c r="N1801" s="11" t="n">
        <x:f>IF(G1801,L1801*AN1801/(1+M1801)^F1801,0)</x:f>
        <x:v>0.002902118381218757</x:v>
      </x:c>
      <x:c r="AJ1801" t="n">
        <x:v>0</x:v>
      </x:c>
      <x:c r="AK1801" t="n">
        <x:v>0</x:v>
      </x:c>
      <x:c r="AL1801" t="n">
        <x:v>0</x:v>
      </x:c>
      <x:c r="AM1801" t="n">
        <x:f>CHOOSE('假设'!$B$3,AJ1801,AK1801,AL1801)</x:f>
        <x:v>0</x:v>
      </x:c>
      <x:c r="AN1801" t="n">
        <x:v>1</x:v>
      </x:c>
    </x:row>
    <x:row r="1802" ht="23" customHeight="1">
      <x:c r="A1802" s="11" t="str">
        <x:v>688302.SH</x:v>
      </x:c>
      <x:c r="B1802" s="11" t="str">
        <x:v>一年</x:v>
      </x:c>
      <x:c r="C1802" s="11" t="str">
        <x:v>hp515_mash_cn</x:v>
      </x:c>
      <x:c r="D1802" s="11" t="str">
        <x:v>2045-12-31</x:v>
      </x:c>
      <x:c r="E1802" s="11" t="str">
        <x:v>CNY</x:v>
      </x:c>
      <x:c r="F1802" s="11" t="n">
        <x:v>18.22861054072553</x:v>
      </x:c>
      <x:c r="G1802" s="26" t="b">
        <x:v>1</x:v>
      </x:c>
      <x:c r="H1802" s="16" t="n">
        <x:v>0.21999999999999997</x:v>
      </x:c>
      <x:c r="I1802" s="16" t="n">
        <x:v>0</x:v>
      </x:c>
      <x:c r="J1802" s="16" t="n">
        <x:v>0</x:v>
      </x:c>
      <x:c r="K1802" s="11" t="n">
        <x:f>CHOOSE('假设'!$B$3,H1802,I1802,J1802)</x:f>
        <x:v>0</x:v>
      </x:c>
      <x:c r="L1802" s="11" t="n">
        <x:f>K1802*'管线假设'!E399*'管线假设'!F399*'管线假设'!G399*IF(E1802="USD",'管线假设'!I399,1)-AM1802</x:f>
        <x:v>0</x:v>
      </x:c>
      <x:c r="M1802" s="11" t="n">
        <x:f>'管线假设'!H399</x:f>
        <x:v>0.14</x:v>
      </x:c>
      <x:c r="N1802" s="11" t="n">
        <x:f>IF(G1802,L1802*AN1802/(1+M1802)^F1802,0)</x:f>
        <x:v>0</x:v>
      </x:c>
      <x:c r="AJ1802" t="n">
        <x:v>0</x:v>
      </x:c>
      <x:c r="AK1802" t="n">
        <x:v>0</x:v>
      </x:c>
      <x:c r="AL1802" t="n">
        <x:v>0</x:v>
      </x:c>
      <x:c r="AM1802" t="n">
        <x:f>CHOOSE('假设'!$B$3,AJ1802,AK1802,AL1802)</x:f>
        <x:v>0</x:v>
      </x:c>
      <x:c r="AN1802" t="n">
        <x:v>1</x:v>
      </x:c>
    </x:row>
    <x:row r="1803" ht="23" customHeight="1">
      <x:c r="A1803" s="11" t="str">
        <x:v>688302.SH</x:v>
      </x:c>
      <x:c r="B1803" s="11" t="str">
        <x:v>一年</x:v>
      </x:c>
      <x:c r="C1803" s="11" t="str">
        <x:v>hp515_mash_global</x:v>
      </x:c>
      <x:c r="D1803" s="11" t="str">
        <x:v>2027-12-31</x:v>
      </x:c>
      <x:c r="E1803" s="11" t="str">
        <x:v>USD</x:v>
      </x:c>
      <x:c r="F1803" s="11" t="n">
        <x:v>0.2272416153319644</x:v>
      </x:c>
      <x:c r="G1803" s="26" t="b">
        <x:v>1</x:v>
      </x:c>
      <x:c r="H1803" s="16" t="n">
        <x:v>0</x:v>
      </x:c>
      <x:c r="I1803" s="16" t="n">
        <x:v>0</x:v>
      </x:c>
      <x:c r="J1803" s="16" t="n">
        <x:v>0</x:v>
      </x:c>
      <x:c r="K1803" s="11" t="n">
        <x:f>CHOOSE('假设'!$B$3,H1803,I1803,J1803)</x:f>
        <x:v>0</x:v>
      </x:c>
      <x:c r="L1803" s="11" t="n">
        <x:f>K1803*'管线假设'!E403*'管线假设'!F403*'管线假设'!G403*IF(E1803="USD",'管线假设'!I403,1)-AM1803</x:f>
        <x:v>0</x:v>
      </x:c>
      <x:c r="M1803" s="11" t="n">
        <x:f>'管线假设'!H403</x:f>
        <x:v>0.14</x:v>
      </x:c>
      <x:c r="N1803" s="11" t="n">
        <x:f>IF(G1803,L1803*AN1803/(1+M1803)^F1803,0)</x:f>
        <x:v>0</x:v>
      </x:c>
      <x:c r="AJ1803" t="n">
        <x:v>0</x:v>
      </x:c>
      <x:c r="AK1803" t="n">
        <x:v>0</x:v>
      </x:c>
      <x:c r="AL1803" t="n">
        <x:v>0</x:v>
      </x:c>
      <x:c r="AM1803" t="n">
        <x:f>CHOOSE('假设'!$B$3,AJ1803,AK1803,AL1803)</x:f>
        <x:v>0</x:v>
      </x:c>
      <x:c r="AN1803" t="n">
        <x:v>1</x:v>
      </x:c>
    </x:row>
    <x:row r="1804" ht="23" customHeight="1">
      <x:c r="A1804" s="11" t="str">
        <x:v>688302.SH</x:v>
      </x:c>
      <x:c r="B1804" s="11" t="str">
        <x:v>一年</x:v>
      </x:c>
      <x:c r="C1804" s="11" t="str">
        <x:v>hp515_mash_global</x:v>
      </x:c>
      <x:c r="D1804" s="11" t="str">
        <x:v>2028-12-31</x:v>
      </x:c>
      <x:c r="E1804" s="11" t="str">
        <x:v>USD</x:v>
      </x:c>
      <x:c r="F1804" s="11" t="n">
        <x:v>1.2292950034223136</x:v>
      </x:c>
      <x:c r="G1804" s="26" t="b">
        <x:v>1</x:v>
      </x:c>
      <x:c r="H1804" s="16" t="n">
        <x:v>0</x:v>
      </x:c>
      <x:c r="I1804" s="16" t="n">
        <x:v>0</x:v>
      </x:c>
      <x:c r="J1804" s="16" t="n">
        <x:v>0</x:v>
      </x:c>
      <x:c r="K1804" s="11" t="n">
        <x:f>CHOOSE('假设'!$B$3,H1804,I1804,J1804)</x:f>
        <x:v>0</x:v>
      </x:c>
      <x:c r="L1804" s="11" t="n">
        <x:f>K1804*'管线假设'!E403*'管线假设'!F403*'管线假设'!G403*IF(E1804="USD",'管线假设'!I403,1)-AM1804</x:f>
        <x:v>0</x:v>
      </x:c>
      <x:c r="M1804" s="11" t="n">
        <x:f>'管线假设'!H403</x:f>
        <x:v>0.14</x:v>
      </x:c>
      <x:c r="N1804" s="11" t="n">
        <x:f>IF(G1804,L1804*AN1804/(1+M1804)^F1804,0)</x:f>
        <x:v>0</x:v>
      </x:c>
      <x:c r="AJ1804" t="n">
        <x:v>0</x:v>
      </x:c>
      <x:c r="AK1804" t="n">
        <x:v>0</x:v>
      </x:c>
      <x:c r="AL1804" t="n">
        <x:v>0</x:v>
      </x:c>
      <x:c r="AM1804" t="n">
        <x:f>CHOOSE('假设'!$B$3,AJ1804,AK1804,AL1804)</x:f>
        <x:v>0</x:v>
      </x:c>
      <x:c r="AN1804" t="n">
        <x:v>1</x:v>
      </x:c>
    </x:row>
    <x:row r="1805" ht="23" customHeight="1">
      <x:c r="A1805" s="11" t="str">
        <x:v>688302.SH</x:v>
      </x:c>
      <x:c r="B1805" s="11" t="str">
        <x:v>一年</x:v>
      </x:c>
      <x:c r="C1805" s="11" t="str">
        <x:v>hp515_mash_global</x:v>
      </x:c>
      <x:c r="D1805" s="11" t="str">
        <x:v>2029-12-31</x:v>
      </x:c>
      <x:c r="E1805" s="11" t="str">
        <x:v>USD</x:v>
      </x:c>
      <x:c r="F1805" s="11" t="n">
        <x:v>2.2286105407255303</x:v>
      </x:c>
      <x:c r="G1805" s="26" t="b">
        <x:v>1</x:v>
      </x:c>
      <x:c r="H1805" s="16" t="n">
        <x:v>0</x:v>
      </x:c>
      <x:c r="I1805" s="16" t="n">
        <x:v>0</x:v>
      </x:c>
      <x:c r="J1805" s="16" t="n">
        <x:v>0</x:v>
      </x:c>
      <x:c r="K1805" s="11" t="n">
        <x:f>CHOOSE('假设'!$B$3,H1805,I1805,J1805)</x:f>
        <x:v>0</x:v>
      </x:c>
      <x:c r="L1805" s="11" t="n">
        <x:f>K1805*'管线假设'!E403*'管线假设'!F403*'管线假设'!G403*IF(E1805="USD",'管线假设'!I403,1)-AM1805</x:f>
        <x:v>0</x:v>
      </x:c>
      <x:c r="M1805" s="11" t="n">
        <x:f>'管线假设'!H403</x:f>
        <x:v>0.14</x:v>
      </x:c>
      <x:c r="N1805" s="11" t="n">
        <x:f>IF(G1805,L1805*AN1805/(1+M1805)^F1805,0)</x:f>
        <x:v>0</x:v>
      </x:c>
      <x:c r="AJ1805" t="n">
        <x:v>0</x:v>
      </x:c>
      <x:c r="AK1805" t="n">
        <x:v>0</x:v>
      </x:c>
      <x:c r="AL1805" t="n">
        <x:v>0</x:v>
      </x:c>
      <x:c r="AM1805" t="n">
        <x:f>CHOOSE('假设'!$B$3,AJ1805,AK1805,AL1805)</x:f>
        <x:v>0</x:v>
      </x:c>
      <x:c r="AN1805" t="n">
        <x:v>1</x:v>
      </x:c>
    </x:row>
    <x:row r="1806" ht="23" customHeight="1">
      <x:c r="A1806" s="11" t="str">
        <x:v>688302.SH</x:v>
      </x:c>
      <x:c r="B1806" s="11" t="str">
        <x:v>一年</x:v>
      </x:c>
      <x:c r="C1806" s="11" t="str">
        <x:v>hp515_mash_global</x:v>
      </x:c>
      <x:c r="D1806" s="11" t="str">
        <x:v>2030-12-31</x:v>
      </x:c>
      <x:c r="E1806" s="11" t="str">
        <x:v>USD</x:v>
      </x:c>
      <x:c r="F1806" s="11" t="n">
        <x:v>3.2279260780287475</x:v>
      </x:c>
      <x:c r="G1806" s="26" t="b">
        <x:v>1</x:v>
      </x:c>
      <x:c r="H1806" s="16" t="n">
        <x:v>0</x:v>
      </x:c>
      <x:c r="I1806" s="16" t="n">
        <x:v>0</x:v>
      </x:c>
      <x:c r="J1806" s="16" t="n">
        <x:v>0</x:v>
      </x:c>
      <x:c r="K1806" s="11" t="n">
        <x:f>CHOOSE('假设'!$B$3,H1806,I1806,J1806)</x:f>
        <x:v>0</x:v>
      </x:c>
      <x:c r="L1806" s="11" t="n">
        <x:f>K1806*'管线假设'!E403*'管线假设'!F403*'管线假设'!G403*IF(E1806="USD",'管线假设'!I403,1)-AM1806</x:f>
        <x:v>0</x:v>
      </x:c>
      <x:c r="M1806" s="11" t="n">
        <x:f>'管线假设'!H403</x:f>
        <x:v>0.14</x:v>
      </x:c>
      <x:c r="N1806" s="11" t="n">
        <x:f>IF(G1806,L1806*AN1806/(1+M1806)^F1806,0)</x:f>
        <x:v>0</x:v>
      </x:c>
      <x:c r="AJ1806" t="n">
        <x:v>0</x:v>
      </x:c>
      <x:c r="AK1806" t="n">
        <x:v>0</x:v>
      </x:c>
      <x:c r="AL1806" t="n">
        <x:v>0</x:v>
      </x:c>
      <x:c r="AM1806" t="n">
        <x:f>CHOOSE('假设'!$B$3,AJ1806,AK1806,AL1806)</x:f>
        <x:v>0</x:v>
      </x:c>
      <x:c r="AN1806" t="n">
        <x:v>1</x:v>
      </x:c>
    </x:row>
    <x:row r="1807" ht="23" customHeight="1">
      <x:c r="A1807" s="11" t="str">
        <x:v>688302.SH</x:v>
      </x:c>
      <x:c r="B1807" s="11" t="str">
        <x:v>一年</x:v>
      </x:c>
      <x:c r="C1807" s="11" t="str">
        <x:v>hp515_mash_global</x:v>
      </x:c>
      <x:c r="D1807" s="11" t="str">
        <x:v>2031-12-31</x:v>
      </x:c>
      <x:c r="E1807" s="11" t="str">
        <x:v>USD</x:v>
      </x:c>
      <x:c r="F1807" s="11" t="n">
        <x:v>4.227241615331964</x:v>
      </x:c>
      <x:c r="G1807" s="26" t="b">
        <x:v>1</x:v>
      </x:c>
      <x:c r="H1807" s="16" t="n">
        <x:v>0</x:v>
      </x:c>
      <x:c r="I1807" s="16" t="n">
        <x:v>0</x:v>
      </x:c>
      <x:c r="J1807" s="16" t="n">
        <x:v>1.1666666666666665</x:v>
      </x:c>
      <x:c r="K1807" s="11" t="n">
        <x:f>CHOOSE('假设'!$B$3,H1807,I1807,J1807)</x:f>
        <x:v>0</x:v>
      </x:c>
      <x:c r="L1807" s="11" t="n">
        <x:f>K1807*'管线假设'!E403*'管线假设'!F403*'管线假设'!G403*IF(E1807="USD",'管线假设'!I403,1)-AM1807</x:f>
        <x:v>0</x:v>
      </x:c>
      <x:c r="M1807" s="11" t="n">
        <x:f>'管线假设'!H403</x:f>
        <x:v>0.14</x:v>
      </x:c>
      <x:c r="N1807" s="11" t="n">
        <x:f>IF(G1807,L1807*AN1807/(1+M1807)^F1807,0)</x:f>
        <x:v>0</x:v>
      </x:c>
      <x:c r="AJ1807" t="n">
        <x:v>0</x:v>
      </x:c>
      <x:c r="AK1807" t="n">
        <x:v>0</x:v>
      </x:c>
      <x:c r="AL1807" t="n">
        <x:v>0</x:v>
      </x:c>
      <x:c r="AM1807" t="n">
        <x:f>CHOOSE('假设'!$B$3,AJ1807,AK1807,AL1807)</x:f>
        <x:v>0</x:v>
      </x:c>
      <x:c r="AN1807" t="n">
        <x:v>1</x:v>
      </x:c>
    </x:row>
    <x:row r="1808" ht="23" customHeight="1">
      <x:c r="A1808" s="11" t="str">
        <x:v>688302.SH</x:v>
      </x:c>
      <x:c r="B1808" s="11" t="str">
        <x:v>一年</x:v>
      </x:c>
      <x:c r="C1808" s="11" t="str">
        <x:v>hp515_mash_global</x:v>
      </x:c>
      <x:c r="D1808" s="11" t="str">
        <x:v>2032-12-31</x:v>
      </x:c>
      <x:c r="E1808" s="11" t="str">
        <x:v>USD</x:v>
      </x:c>
      <x:c r="F1808" s="11" t="n">
        <x:v>5.229295003422314</x:v>
      </x:c>
      <x:c r="G1808" s="26" t="b">
        <x:v>1</x:v>
      </x:c>
      <x:c r="H1808" s="16" t="n">
        <x:v>0</x:v>
      </x:c>
      <x:c r="I1808" s="16" t="n">
        <x:v>0</x:v>
      </x:c>
      <x:c r="J1808" s="16" t="n">
        <x:v>2.333333333333333</x:v>
      </x:c>
      <x:c r="K1808" s="11" t="n">
        <x:f>CHOOSE('假设'!$B$3,H1808,I1808,J1808)</x:f>
        <x:v>0</x:v>
      </x:c>
      <x:c r="L1808" s="11" t="n">
        <x:f>K1808*'管线假设'!E403*'管线假设'!F403*'管线假设'!G403*IF(E1808="USD",'管线假设'!I403,1)-AM1808</x:f>
        <x:v>0</x:v>
      </x:c>
      <x:c r="M1808" s="11" t="n">
        <x:f>'管线假设'!H403</x:f>
        <x:v>0.14</x:v>
      </x:c>
      <x:c r="N1808" s="11" t="n">
        <x:f>IF(G1808,L1808*AN1808/(1+M1808)^F1808,0)</x:f>
        <x:v>0</x:v>
      </x:c>
      <x:c r="AJ1808" t="n">
        <x:v>0</x:v>
      </x:c>
      <x:c r="AK1808" t="n">
        <x:v>0</x:v>
      </x:c>
      <x:c r="AL1808" t="n">
        <x:v>0</x:v>
      </x:c>
      <x:c r="AM1808" t="n">
        <x:f>CHOOSE('假设'!$B$3,AJ1808,AK1808,AL1808)</x:f>
        <x:v>0</x:v>
      </x:c>
      <x:c r="AN1808" t="n">
        <x:v>1</x:v>
      </x:c>
    </x:row>
    <x:row r="1809" ht="23" customHeight="1">
      <x:c r="A1809" s="11" t="str">
        <x:v>688302.SH</x:v>
      </x:c>
      <x:c r="B1809" s="11" t="str">
        <x:v>一年</x:v>
      </x:c>
      <x:c r="C1809" s="11" t="str">
        <x:v>hp515_mash_global</x:v>
      </x:c>
      <x:c r="D1809" s="11" t="str">
        <x:v>2033-12-31</x:v>
      </x:c>
      <x:c r="E1809" s="11" t="str">
        <x:v>USD</x:v>
      </x:c>
      <x:c r="F1809" s="11" t="n">
        <x:v>6.228610540725531</x:v>
      </x:c>
      <x:c r="G1809" s="26" t="b">
        <x:v>1</x:v>
      </x:c>
      <x:c r="H1809" s="16" t="n">
        <x:v>0</x:v>
      </x:c>
      <x:c r="I1809" s="16" t="n">
        <x:v>0.5833333333333333</x:v>
      </x:c>
      <x:c r="J1809" s="16" t="n">
        <x:v>3.5</x:v>
      </x:c>
      <x:c r="K1809" s="11" t="n">
        <x:f>CHOOSE('假设'!$B$3,H1809,I1809,J1809)</x:f>
        <x:v>0.5833333333333333</x:v>
      </x:c>
      <x:c r="L1809" s="11" t="n">
        <x:f>K1809*'管线假设'!E403*'管线假设'!F403*'管线假设'!G403*IF(E1809="USD",'管线假设'!I403,1)-AM1809</x:f>
        <x:v>0.08416275000000002</x:v>
      </x:c>
      <x:c r="M1809" s="11" t="n">
        <x:f>'管线假设'!H403</x:f>
        <x:v>0.14</x:v>
      </x:c>
      <x:c r="N1809" s="11" t="n">
        <x:f>IF(G1809,L1809*AN1809/(1+M1809)^F1809,0)</x:f>
        <x:v>0.03721189275692981</x:v>
      </x:c>
      <x:c r="AJ1809" t="n">
        <x:v>0</x:v>
      </x:c>
      <x:c r="AK1809" t="n">
        <x:v>0</x:v>
      </x:c>
      <x:c r="AL1809" t="n">
        <x:v>0</x:v>
      </x:c>
      <x:c r="AM1809" t="n">
        <x:f>CHOOSE('假设'!$B$3,AJ1809,AK1809,AL1809)</x:f>
        <x:v>0</x:v>
      </x:c>
      <x:c r="AN1809" t="n">
        <x:v>1</x:v>
      </x:c>
    </x:row>
    <x:row r="1810" ht="23" customHeight="1">
      <x:c r="A1810" s="11" t="str">
        <x:v>688302.SH</x:v>
      </x:c>
      <x:c r="B1810" s="11" t="str">
        <x:v>一年</x:v>
      </x:c>
      <x:c r="C1810" s="11" t="str">
        <x:v>hp515_mash_global</x:v>
      </x:c>
      <x:c r="D1810" s="11" t="str">
        <x:v>2034-12-31</x:v>
      </x:c>
      <x:c r="E1810" s="11" t="str">
        <x:v>USD</x:v>
      </x:c>
      <x:c r="F1810" s="11" t="n">
        <x:v>7.227926078028747</x:v>
      </x:c>
      <x:c r="G1810" s="26" t="b">
        <x:v>1</x:v>
      </x:c>
      <x:c r="H1810" s="16" t="n">
        <x:v>0</x:v>
      </x:c>
      <x:c r="I1810" s="16" t="n">
        <x:v>1.1666666666666665</x:v>
      </x:c>
      <x:c r="J1810" s="16" t="n">
        <x:v>4.666666666666666</x:v>
      </x:c>
      <x:c r="K1810" s="11" t="n">
        <x:f>CHOOSE('假设'!$B$3,H1810,I1810,J1810)</x:f>
        <x:v>1.1666666666666665</x:v>
      </x:c>
      <x:c r="L1810" s="11" t="n">
        <x:f>K1810*'管线假设'!E403*'管线假设'!F403*'管线假设'!G403*IF(E1810="USD",'管线假设'!I403,1)-AM1810</x:f>
        <x:v>0.16832550000000004</x:v>
      </x:c>
      <x:c r="M1810" s="11" t="n">
        <x:f>'管线假设'!H403</x:f>
        <x:v>0.14</x:v>
      </x:c>
      <x:c r="N1810" s="11" t="n">
        <x:f>IF(G1810,L1810*AN1810/(1+M1810)^F1810,0)</x:f>
        <x:v>0.06528987757264397</x:v>
      </x:c>
      <x:c r="AJ1810" t="n">
        <x:v>0</x:v>
      </x:c>
      <x:c r="AK1810" t="n">
        <x:v>0</x:v>
      </x:c>
      <x:c r="AL1810" t="n">
        <x:v>0</x:v>
      </x:c>
      <x:c r="AM1810" t="n">
        <x:f>CHOOSE('假设'!$B$3,AJ1810,AK1810,AL1810)</x:f>
        <x:v>0</x:v>
      </x:c>
      <x:c r="AN1810" t="n">
        <x:v>1</x:v>
      </x:c>
    </x:row>
    <x:row r="1811" ht="23" customHeight="1">
      <x:c r="A1811" s="11" t="str">
        <x:v>688302.SH</x:v>
      </x:c>
      <x:c r="B1811" s="11" t="str">
        <x:v>一年</x:v>
      </x:c>
      <x:c r="C1811" s="11" t="str">
        <x:v>hp515_mash_global</x:v>
      </x:c>
      <x:c r="D1811" s="11" t="str">
        <x:v>2035-12-31</x:v>
      </x:c>
      <x:c r="E1811" s="11" t="str">
        <x:v>USD</x:v>
      </x:c>
      <x:c r="F1811" s="11" t="n">
        <x:v>8.227241615331964</x:v>
      </x:c>
      <x:c r="G1811" s="26" t="b">
        <x:v>1</x:v>
      </x:c>
      <x:c r="H1811" s="16" t="n">
        <x:v>0</x:v>
      </x:c>
      <x:c r="I1811" s="16" t="n">
        <x:v>1.75</x:v>
      </x:c>
      <x:c r="J1811" s="16" t="n">
        <x:v>5.833333333333334</x:v>
      </x:c>
      <x:c r="K1811" s="11" t="n">
        <x:f>CHOOSE('假设'!$B$3,H1811,I1811,J1811)</x:f>
        <x:v>1.75</x:v>
      </x:c>
      <x:c r="L1811" s="11" t="n">
        <x:f>K1811*'管线假设'!E403*'管线假设'!F403*'管线假设'!G403*IF(E1811="USD",'管线假设'!I403,1)-AM1811</x:f>
        <x:v>0.2524882500000001</x:v>
      </x:c>
      <x:c r="M1811" s="11" t="n">
        <x:f>'管线假设'!H403</x:f>
        <x:v>0.14</x:v>
      </x:c>
      <x:c r="N1811" s="11" t="n">
        <x:f>IF(G1811,L1811*AN1811/(1+M1811)^F1811,0)</x:f>
        <x:v>0.08591543853927591</x:v>
      </x:c>
      <x:c r="AJ1811" t="n">
        <x:v>0</x:v>
      </x:c>
      <x:c r="AK1811" t="n">
        <x:v>0</x:v>
      </x:c>
      <x:c r="AL1811" t="n">
        <x:v>0</x:v>
      </x:c>
      <x:c r="AM1811" t="n">
        <x:f>CHOOSE('假设'!$B$3,AJ1811,AK1811,AL1811)</x:f>
        <x:v>0</x:v>
      </x:c>
      <x:c r="AN1811" t="n">
        <x:v>1</x:v>
      </x:c>
    </x:row>
    <x:row r="1812" ht="23" customHeight="1">
      <x:c r="A1812" s="11" t="str">
        <x:v>688302.SH</x:v>
      </x:c>
      <x:c r="B1812" s="11" t="str">
        <x:v>一年</x:v>
      </x:c>
      <x:c r="C1812" s="11" t="str">
        <x:v>hp515_mash_global</x:v>
      </x:c>
      <x:c r="D1812" s="11" t="str">
        <x:v>2036-12-31</x:v>
      </x:c>
      <x:c r="E1812" s="11" t="str">
        <x:v>USD</x:v>
      </x:c>
      <x:c r="F1812" s="11" t="n">
        <x:v>9.229295003422314</x:v>
      </x:c>
      <x:c r="G1812" s="26" t="b">
        <x:v>1</x:v>
      </x:c>
      <x:c r="H1812" s="16" t="n">
        <x:v>0.2</x:v>
      </x:c>
      <x:c r="I1812" s="16" t="n">
        <x:v>2.333333333333333</x:v>
      </x:c>
      <x:c r="J1812" s="16" t="n">
        <x:v>7</x:v>
      </x:c>
      <x:c r="K1812" s="11" t="n">
        <x:f>CHOOSE('假设'!$B$3,H1812,I1812,J1812)</x:f>
        <x:v>2.333333333333333</x:v>
      </x:c>
      <x:c r="L1812" s="11" t="n">
        <x:f>K1812*'管线假设'!E403*'管线假设'!F403*'管线假设'!G403*IF(E1812="USD",'管线假设'!I403,1)-AM1812</x:f>
        <x:v>0.3366510000000001</x:v>
      </x:c>
      <x:c r="M1812" s="11" t="n">
        <x:f>'管线假设'!H403</x:f>
        <x:v>0.14</x:v>
      </x:c>
      <x:c r="N1812" s="11" t="n">
        <x:f>IF(G1812,L1812*AN1812/(1+M1812)^F1812,0)</x:f>
        <x:v>0.1004588607473168</x:v>
      </x:c>
      <x:c r="AJ1812" t="n">
        <x:v>0</x:v>
      </x:c>
      <x:c r="AK1812" t="n">
        <x:v>0</x:v>
      </x:c>
      <x:c r="AL1812" t="n">
        <x:v>0</x:v>
      </x:c>
      <x:c r="AM1812" t="n">
        <x:f>CHOOSE('假设'!$B$3,AJ1812,AK1812,AL1812)</x:f>
        <x:v>0</x:v>
      </x:c>
      <x:c r="AN1812" t="n">
        <x:v>1</x:v>
      </x:c>
    </x:row>
    <x:row r="1813" ht="23" customHeight="1">
      <x:c r="A1813" s="11" t="str">
        <x:v>688302.SH</x:v>
      </x:c>
      <x:c r="B1813" s="11" t="str">
        <x:v>一年</x:v>
      </x:c>
      <x:c r="C1813" s="11" t="str">
        <x:v>hp515_mash_global</x:v>
      </x:c>
      <x:c r="D1813" s="11" t="str">
        <x:v>2037-12-31</x:v>
      </x:c>
      <x:c r="E1813" s="11" t="str">
        <x:v>USD</x:v>
      </x:c>
      <x:c r="F1813" s="11" t="n">
        <x:v>10.22861054072553</x:v>
      </x:c>
      <x:c r="G1813" s="26" t="b">
        <x:v>1</x:v>
      </x:c>
      <x:c r="H1813" s="16" t="n">
        <x:v>0.4</x:v>
      </x:c>
      <x:c r="I1813" s="16" t="n">
        <x:v>2.916666666666667</x:v>
      </x:c>
      <x:c r="J1813" s="16" t="n">
        <x:v>6.09</x:v>
      </x:c>
      <x:c r="K1813" s="11" t="n">
        <x:f>CHOOSE('假设'!$B$3,H1813,I1813,J1813)</x:f>
        <x:v>2.916666666666667</x:v>
      </x:c>
      <x:c r="L1813" s="11" t="n">
        <x:f>K1813*'管线假设'!E403*'管线假设'!F403*'管线假设'!G403*IF(E1813="USD",'管线假设'!I403,1)-AM1813</x:f>
        <x:v>0.42081375000000015</x:v>
      </x:c>
      <x:c r="M1813" s="11" t="n">
        <x:f>'管线假设'!H403</x:f>
        <x:v>0.14</x:v>
      </x:c>
      <x:c r="N1813" s="11" t="n">
        <x:f>IF(G1813,L1813*AN1813/(1+M1813)^F1813,0)</x:f>
        <x:v>0.11016213892496374</x:v>
      </x:c>
      <x:c r="AJ1813" t="n">
        <x:v>0</x:v>
      </x:c>
      <x:c r="AK1813" t="n">
        <x:v>0</x:v>
      </x:c>
      <x:c r="AL1813" t="n">
        <x:v>0</x:v>
      </x:c>
      <x:c r="AM1813" t="n">
        <x:f>CHOOSE('假设'!$B$3,AJ1813,AK1813,AL1813)</x:f>
        <x:v>0</x:v>
      </x:c>
      <x:c r="AN1813" t="n">
        <x:v>1</x:v>
      </x:c>
    </x:row>
    <x:row r="1814" ht="23" customHeight="1">
      <x:c r="A1814" s="11" t="str">
        <x:v>688302.SH</x:v>
      </x:c>
      <x:c r="B1814" s="11" t="str">
        <x:v>一年</x:v>
      </x:c>
      <x:c r="C1814" s="11" t="str">
        <x:v>hp515_mash_global</x:v>
      </x:c>
      <x:c r="D1814" s="11" t="str">
        <x:v>2038-12-31</x:v>
      </x:c>
      <x:c r="E1814" s="11" t="str">
        <x:v>USD</x:v>
      </x:c>
      <x:c r="F1814" s="11" t="n">
        <x:v>11.227926078028748</x:v>
      </x:c>
      <x:c r="G1814" s="26" t="b">
        <x:v>1</x:v>
      </x:c>
      <x:c r="H1814" s="16" t="n">
        <x:v>0.6</x:v>
      </x:c>
      <x:c r="I1814" s="16" t="n">
        <x:v>3.5</x:v>
      </x:c>
      <x:c r="J1814" s="16" t="n">
        <x:v>5.18</x:v>
      </x:c>
      <x:c r="K1814" s="11" t="n">
        <x:f>CHOOSE('假设'!$B$3,H1814,I1814,J1814)</x:f>
        <x:v>3.5</x:v>
      </x:c>
      <x:c r="L1814" s="11" t="n">
        <x:f>K1814*'管线假设'!E403*'管线假设'!F403*'管线假设'!G403*IF(E1814="USD",'管线假设'!I403,1)-AM1814</x:f>
        <x:v>0.5049765000000002</x:v>
      </x:c>
      <x:c r="M1814" s="11" t="n">
        <x:f>'管线假设'!H403</x:f>
        <x:v>0.14</x:v>
      </x:c>
      <x:c r="N1814" s="11" t="n">
        <x:f>IF(G1814,L1814*AN1814/(1+M1814)^F1814,0)</x:f>
        <x:v>0.11597054646803026</x:v>
      </x:c>
      <x:c r="AJ1814" t="n">
        <x:v>0</x:v>
      </x:c>
      <x:c r="AK1814" t="n">
        <x:v>0</x:v>
      </x:c>
      <x:c r="AL1814" t="n">
        <x:v>0</x:v>
      </x:c>
      <x:c r="AM1814" t="n">
        <x:f>CHOOSE('假设'!$B$3,AJ1814,AK1814,AL1814)</x:f>
        <x:v>0</x:v>
      </x:c>
      <x:c r="AN1814" t="n">
        <x:v>1</x:v>
      </x:c>
    </x:row>
    <x:row r="1815" ht="23" customHeight="1">
      <x:c r="A1815" s="11" t="str">
        <x:v>688302.SH</x:v>
      </x:c>
      <x:c r="B1815" s="11" t="str">
        <x:v>一年</x:v>
      </x:c>
      <x:c r="C1815" s="11" t="str">
        <x:v>hp515_mash_global</x:v>
      </x:c>
      <x:c r="D1815" s="11" t="str">
        <x:v>2039-12-31</x:v>
      </x:c>
      <x:c r="E1815" s="11" t="str">
        <x:v>USD</x:v>
      </x:c>
      <x:c r="F1815" s="11" t="n">
        <x:v>12.227241615331964</x:v>
      </x:c>
      <x:c r="G1815" s="26" t="b">
        <x:v>1</x:v>
      </x:c>
      <x:c r="H1815" s="16" t="n">
        <x:v>0.8</x:v>
      </x:c>
      <x:c r="I1815" s="16" t="n">
        <x:v>3.045</x:v>
      </x:c>
      <x:c r="J1815" s="16" t="n">
        <x:v>4.27</x:v>
      </x:c>
      <x:c r="K1815" s="11" t="n">
        <x:f>CHOOSE('假设'!$B$3,H1815,I1815,J1815)</x:f>
        <x:v>3.045</x:v>
      </x:c>
      <x:c r="L1815" s="11" t="n">
        <x:f>K1815*'管线假设'!E403*'管线假设'!F403*'管线假设'!G403*IF(E1815="USD",'管线假设'!I403,1)-AM1815</x:f>
        <x:v>0.4393295550000001</x:v>
      </x:c>
      <x:c r="M1815" s="11" t="n">
        <x:f>'管线假设'!H403</x:f>
        <x:v>0.14</x:v>
      </x:c>
      <x:c r="N1815" s="11" t="n">
        <x:f>IF(G1815,L1815*AN1815/(1+M1815)^F1815,0)</x:f>
        <x:v>0.08851177582444575</x:v>
      </x:c>
      <x:c r="AJ1815" t="n">
        <x:v>0</x:v>
      </x:c>
      <x:c r="AK1815" t="n">
        <x:v>0</x:v>
      </x:c>
      <x:c r="AL1815" t="n">
        <x:v>0</x:v>
      </x:c>
      <x:c r="AM1815" t="n">
        <x:f>CHOOSE('假设'!$B$3,AJ1815,AK1815,AL1815)</x:f>
        <x:v>0</x:v>
      </x:c>
      <x:c r="AN1815" t="n">
        <x:v>1</x:v>
      </x:c>
    </x:row>
    <x:row r="1816" ht="23" customHeight="1">
      <x:c r="A1816" s="11" t="str">
        <x:v>688302.SH</x:v>
      </x:c>
      <x:c r="B1816" s="11" t="str">
        <x:v>一年</x:v>
      </x:c>
      <x:c r="C1816" s="11" t="str">
        <x:v>hp515_mash_global</x:v>
      </x:c>
      <x:c r="D1816" s="11" t="str">
        <x:v>2040-12-31</x:v>
      </x:c>
      <x:c r="E1816" s="11" t="str">
        <x:v>USD</x:v>
      </x:c>
      <x:c r="F1816" s="11" t="n">
        <x:v>13.229295003422314</x:v>
      </x:c>
      <x:c r="G1816" s="26" t="b">
        <x:v>1</x:v>
      </x:c>
      <x:c r="H1816" s="16" t="n">
        <x:v>1</x:v>
      </x:c>
      <x:c r="I1816" s="16" t="n">
        <x:v>2.59</x:v>
      </x:c>
      <x:c r="J1816" s="16" t="n">
        <x:v>3.36</x:v>
      </x:c>
      <x:c r="K1816" s="11" t="n">
        <x:f>CHOOSE('假设'!$B$3,H1816,I1816,J1816)</x:f>
        <x:v>2.59</x:v>
      </x:c>
      <x:c r="L1816" s="11" t="n">
        <x:f>K1816*'管线假设'!E403*'管线假设'!F403*'管线假设'!G403*IF(E1816="USD",'管线假设'!I403,1)-AM1816</x:f>
        <x:v>0.37368261000000014</x:v>
      </x:c>
      <x:c r="M1816" s="11" t="n">
        <x:f>'管线假设'!H403</x:f>
        <x:v>0.14</x:v>
      </x:c>
      <x:c r="N1816" s="11" t="n">
        <x:f>IF(G1816,L1816*AN1816/(1+M1816)^F1816,0)</x:f>
        <x:v>0.06602247825047669</x:v>
      </x:c>
      <x:c r="AJ1816" t="n">
        <x:v>0</x:v>
      </x:c>
      <x:c r="AK1816" t="n">
        <x:v>0</x:v>
      </x:c>
      <x:c r="AL1816" t="n">
        <x:v>0</x:v>
      </x:c>
      <x:c r="AM1816" t="n">
        <x:f>CHOOSE('假设'!$B$3,AJ1816,AK1816,AL1816)</x:f>
        <x:v>0</x:v>
      </x:c>
      <x:c r="AN1816" t="n">
        <x:v>1</x:v>
      </x:c>
    </x:row>
    <x:row r="1817" ht="23" customHeight="1">
      <x:c r="A1817" s="11" t="str">
        <x:v>688302.SH</x:v>
      </x:c>
      <x:c r="B1817" s="11" t="str">
        <x:v>一年</x:v>
      </x:c>
      <x:c r="C1817" s="11" t="str">
        <x:v>hp515_mash_global</x:v>
      </x:c>
      <x:c r="D1817" s="11" t="str">
        <x:v>2041-12-31</x:v>
      </x:c>
      <x:c r="E1817" s="11" t="str">
        <x:v>USD</x:v>
      </x:c>
      <x:c r="F1817" s="11" t="n">
        <x:v>14.22861054072553</x:v>
      </x:c>
      <x:c r="G1817" s="26" t="b">
        <x:v>1</x:v>
      </x:c>
      <x:c r="H1817" s="16" t="n">
        <x:v>0.87</x:v>
      </x:c>
      <x:c r="I1817" s="16" t="n">
        <x:v>2.135</x:v>
      </x:c>
      <x:c r="J1817" s="16" t="n">
        <x:v>2.4499999999999997</x:v>
      </x:c>
      <x:c r="K1817" s="11" t="n">
        <x:f>CHOOSE('假设'!$B$3,H1817,I1817,J1817)</x:f>
        <x:v>2.135</x:v>
      </x:c>
      <x:c r="L1817" s="11" t="n">
        <x:f>K1817*'管线假设'!E403*'管线假设'!F403*'管线假设'!G403*IF(E1817="USD",'管线假设'!I403,1)-AM1817</x:f>
        <x:v>0.30803566500000007</x:v>
      </x:c>
      <x:c r="M1817" s="11" t="n">
        <x:f>'管线假设'!H403</x:f>
        <x:v>0.14</x:v>
      </x:c>
      <x:c r="N1817" s="11" t="n">
        <x:f>IF(G1817,L1817*AN1817/(1+M1817)^F1817,0)</x:f>
        <x:v>0.04774457539192245</x:v>
      </x:c>
      <x:c r="AJ1817" t="n">
        <x:v>0</x:v>
      </x:c>
      <x:c r="AK1817" t="n">
        <x:v>0</x:v>
      </x:c>
      <x:c r="AL1817" t="n">
        <x:v>0</x:v>
      </x:c>
      <x:c r="AM1817" t="n">
        <x:f>CHOOSE('假设'!$B$3,AJ1817,AK1817,AL1817)</x:f>
        <x:v>0</x:v>
      </x:c>
      <x:c r="AN1817" t="n">
        <x:v>1</x:v>
      </x:c>
    </x:row>
    <x:row r="1818" ht="23" customHeight="1">
      <x:c r="A1818" s="11" t="str">
        <x:v>688302.SH</x:v>
      </x:c>
      <x:c r="B1818" s="11" t="str">
        <x:v>一年</x:v>
      </x:c>
      <x:c r="C1818" s="11" t="str">
        <x:v>hp515_mash_global</x:v>
      </x:c>
      <x:c r="D1818" s="11" t="str">
        <x:v>2042-12-31</x:v>
      </x:c>
      <x:c r="E1818" s="11" t="str">
        <x:v>USD</x:v>
      </x:c>
      <x:c r="F1818" s="11" t="n">
        <x:v>15.227926078028748</x:v>
      </x:c>
      <x:c r="G1818" s="26" t="b">
        <x:v>1</x:v>
      </x:c>
      <x:c r="H1818" s="16" t="n">
        <x:v>0.74</x:v>
      </x:c>
      <x:c r="I1818" s="16" t="n">
        <x:v>1.68</x:v>
      </x:c>
      <x:c r="J1818" s="16" t="n">
        <x:v>1.5399999999999998</x:v>
      </x:c>
      <x:c r="K1818" s="11" t="n">
        <x:f>CHOOSE('假设'!$B$3,H1818,I1818,J1818)</x:f>
        <x:v>1.68</x:v>
      </x:c>
      <x:c r="L1818" s="11" t="n">
        <x:f>K1818*'管线假设'!E403*'管线假设'!F403*'管线假设'!G403*IF(E1818="USD",'管线假设'!I403,1)-AM1818</x:f>
        <x:v>0.24238872000000009</x:v>
      </x:c>
      <x:c r="M1818" s="11" t="n">
        <x:f>'管线假设'!H403</x:f>
        <x:v>0.14</x:v>
      </x:c>
      <x:c r="N1818" s="11" t="n">
        <x:f>IF(G1818,L1818*AN1818/(1+M1818)^F1818,0)</x:f>
        <x:v>0.03295865919339063</x:v>
      </x:c>
      <x:c r="AJ1818" t="n">
        <x:v>0</x:v>
      </x:c>
      <x:c r="AK1818" t="n">
        <x:v>0</x:v>
      </x:c>
      <x:c r="AL1818" t="n">
        <x:v>0</x:v>
      </x:c>
      <x:c r="AM1818" t="n">
        <x:f>CHOOSE('假设'!$B$3,AJ1818,AK1818,AL1818)</x:f>
        <x:v>0</x:v>
      </x:c>
      <x:c r="AN1818" t="n">
        <x:v>1</x:v>
      </x:c>
    </x:row>
    <x:row r="1819" ht="23" customHeight="1">
      <x:c r="A1819" s="11" t="str">
        <x:v>688302.SH</x:v>
      </x:c>
      <x:c r="B1819" s="11" t="str">
        <x:v>一年</x:v>
      </x:c>
      <x:c r="C1819" s="11" t="str">
        <x:v>hp515_mash_global</x:v>
      </x:c>
      <x:c r="D1819" s="11" t="str">
        <x:v>2043-12-31</x:v>
      </x:c>
      <x:c r="E1819" s="11" t="str">
        <x:v>USD</x:v>
      </x:c>
      <x:c r="F1819" s="11" t="n">
        <x:v>16.227241615331966</x:v>
      </x:c>
      <x:c r="G1819" s="26" t="b">
        <x:v>1</x:v>
      </x:c>
      <x:c r="H1819" s="16" t="n">
        <x:v>0.61</x:v>
      </x:c>
      <x:c r="I1819" s="16" t="n">
        <x:v>1.2249999999999999</x:v>
      </x:c>
      <x:c r="J1819" s="16" t="n">
        <x:v>0.6299999999999998</x:v>
      </x:c>
      <x:c r="K1819" s="11" t="n">
        <x:f>CHOOSE('假设'!$B$3,H1819,I1819,J1819)</x:f>
        <x:v>1.2249999999999999</x:v>
      </x:c>
      <x:c r="L1819" s="11" t="n">
        <x:f>K1819*'管线假设'!E403*'管线假设'!F403*'管线假设'!G403*IF(E1819="USD",'管线假设'!I403,1)-AM1819</x:f>
        <x:v>0.17674177500000005</x:v>
      </x:c>
      <x:c r="M1819" s="11" t="n">
        <x:f>'管线假设'!H403</x:f>
        <x:v>0.14</x:v>
      </x:c>
      <x:c r="N1819" s="11" t="n">
        <x:f>IF(G1819,L1819*AN1819/(1+M1819)^F1819,0)</x:f>
        <x:v>0.021082904451992013</x:v>
      </x:c>
      <x:c r="AJ1819" t="n">
        <x:v>0</x:v>
      </x:c>
      <x:c r="AK1819" t="n">
        <x:v>0</x:v>
      </x:c>
      <x:c r="AL1819" t="n">
        <x:v>0</x:v>
      </x:c>
      <x:c r="AM1819" t="n">
        <x:f>CHOOSE('假设'!$B$3,AJ1819,AK1819,AL1819)</x:f>
        <x:v>0</x:v>
      </x:c>
      <x:c r="AN1819" t="n">
        <x:v>1</x:v>
      </x:c>
    </x:row>
    <x:row r="1820" ht="23" customHeight="1">
      <x:c r="A1820" s="11" t="str">
        <x:v>688302.SH</x:v>
      </x:c>
      <x:c r="B1820" s="11" t="str">
        <x:v>一年</x:v>
      </x:c>
      <x:c r="C1820" s="11" t="str">
        <x:v>hp515_mash_global</x:v>
      </x:c>
      <x:c r="D1820" s="11" t="str">
        <x:v>2044-12-31</x:v>
      </x:c>
      <x:c r="E1820" s="11" t="str">
        <x:v>USD</x:v>
      </x:c>
      <x:c r="F1820" s="11" t="n">
        <x:v>17.229295003422312</x:v>
      </x:c>
      <x:c r="G1820" s="26" t="b">
        <x:v>1</x:v>
      </x:c>
      <x:c r="H1820" s="16" t="n">
        <x:v>0.48</x:v>
      </x:c>
      <x:c r="I1820" s="16" t="n">
        <x:v>0.7699999999999999</x:v>
      </x:c>
      <x:c r="J1820" s="16" t="n">
        <x:v>0</x:v>
      </x:c>
      <x:c r="K1820" s="11" t="n">
        <x:f>CHOOSE('假设'!$B$3,H1820,I1820,J1820)</x:f>
        <x:v>0.7699999999999999</x:v>
      </x:c>
      <x:c r="L1820" s="11" t="n">
        <x:f>K1820*'管线假设'!E403*'管线假设'!F403*'管线假设'!G403*IF(E1820="USD",'管线假设'!I403,1)-AM1820</x:f>
        <x:v>0.11109483000000002</x:v>
      </x:c>
      <x:c r="M1820" s="11" t="n">
        <x:f>'管线假设'!H403</x:f>
        <x:v>0.14</x:v>
      </x:c>
      <x:c r="N1820" s="11" t="n">
        <x:f>IF(G1820,L1820*AN1820/(1+M1820)^F1820,0)</x:f>
        <x:v>0.01162153188073797</x:v>
      </x:c>
      <x:c r="AJ1820" t="n">
        <x:v>0</x:v>
      </x:c>
      <x:c r="AK1820" t="n">
        <x:v>0</x:v>
      </x:c>
      <x:c r="AL1820" t="n">
        <x:v>0</x:v>
      </x:c>
      <x:c r="AM1820" t="n">
        <x:f>CHOOSE('假设'!$B$3,AJ1820,AK1820,AL1820)</x:f>
        <x:v>0</x:v>
      </x:c>
      <x:c r="AN1820" t="n">
        <x:v>1</x:v>
      </x:c>
    </x:row>
    <x:row r="1821" ht="23" customHeight="1">
      <x:c r="A1821" s="11" t="str">
        <x:v>688302.SH</x:v>
      </x:c>
      <x:c r="B1821" s="11" t="str">
        <x:v>一年</x:v>
      </x:c>
      <x:c r="C1821" s="11" t="str">
        <x:v>hp515_mash_global</x:v>
      </x:c>
      <x:c r="D1821" s="11" t="str">
        <x:v>2045-12-31</x:v>
      </x:c>
      <x:c r="E1821" s="11" t="str">
        <x:v>USD</x:v>
      </x:c>
      <x:c r="F1821" s="11" t="n">
        <x:v>18.22861054072553</x:v>
      </x:c>
      <x:c r="G1821" s="26" t="b">
        <x:v>1</x:v>
      </x:c>
      <x:c r="H1821" s="16" t="n">
        <x:v>0.35</x:v>
      </x:c>
      <x:c r="I1821" s="16" t="n">
        <x:v>0.3149999999999999</x:v>
      </x:c>
      <x:c r="J1821" s="16" t="n">
        <x:v>0</x:v>
      </x:c>
      <x:c r="K1821" s="11" t="n">
        <x:f>CHOOSE('假设'!$B$3,H1821,I1821,J1821)</x:f>
        <x:v>0.3149999999999999</x:v>
      </x:c>
      <x:c r="L1821" s="11" t="n">
        <x:f>K1821*'管线假设'!E403*'管线假设'!F403*'管线假设'!G403*IF(E1821="USD",'管线假设'!I403,1)-AM1821</x:f>
        <x:v>0.04544788499999999</x:v>
      </x:c>
      <x:c r="M1821" s="11" t="n">
        <x:f>'管线假设'!H403</x:f>
        <x:v>0.14</x:v>
      </x:c>
      <x:c r="N1821" s="11" t="n">
        <x:f>IF(G1821,L1821*AN1821/(1+M1821)^F1821,0)</x:f>
        <x:v>0.004170780212602331</x:v>
      </x:c>
      <x:c r="AJ1821" t="n">
        <x:v>0</x:v>
      </x:c>
      <x:c r="AK1821" t="n">
        <x:v>0</x:v>
      </x:c>
      <x:c r="AL1821" t="n">
        <x:v>0</x:v>
      </x:c>
      <x:c r="AM1821" t="n">
        <x:f>CHOOSE('假设'!$B$3,AJ1821,AK1821,AL1821)</x:f>
        <x:v>0</x:v>
      </x:c>
      <x:c r="AN1821" t="n">
        <x:v>1</x:v>
      </x:c>
    </x:row>
    <x:row r="1822" ht="23" customHeight="1">
      <x:c r="A1822" s="11" t="str">
        <x:v>688302.SH</x:v>
      </x:c>
      <x:c r="B1822" s="11" t="str">
        <x:v>一年</x:v>
      </x:c>
      <x:c r="C1822" s="11" t="str">
        <x:v>hp515_obesity_cn</x:v>
      </x:c>
      <x:c r="D1822" s="11" t="str">
        <x:v>2027-12-31</x:v>
      </x:c>
      <x:c r="E1822" s="11" t="str">
        <x:v>CNY</x:v>
      </x:c>
      <x:c r="F1822" s="11" t="n">
        <x:v>0.2272416153319644</x:v>
      </x:c>
      <x:c r="G1822" s="26" t="b">
        <x:v>1</x:v>
      </x:c>
      <x:c r="H1822" s="16" t="n">
        <x:v>0</x:v>
      </x:c>
      <x:c r="I1822" s="16" t="n">
        <x:v>0</x:v>
      </x:c>
      <x:c r="J1822" s="16" t="n">
        <x:v>0</x:v>
      </x:c>
      <x:c r="K1822" s="11" t="n">
        <x:f>CHOOSE('假设'!$B$3,H1822,I1822,J1822)</x:f>
        <x:v>0</x:v>
      </x:c>
      <x:c r="L1822" s="11" t="n">
        <x:f>K1822*'管线假设'!E407*'管线假设'!F407*'管线假设'!G407*IF(E1822="USD",'管线假设'!I407,1)-AM1822</x:f>
        <x:v>0</x:v>
      </x:c>
      <x:c r="M1822" s="11" t="n">
        <x:f>'管线假设'!H407</x:f>
        <x:v>0.14</x:v>
      </x:c>
      <x:c r="N1822" s="11" t="n">
        <x:f>IF(G1822,L1822*AN1822/(1+M1822)^F1822,0)</x:f>
        <x:v>0</x:v>
      </x:c>
      <x:c r="AJ1822" t="n">
        <x:v>0</x:v>
      </x:c>
      <x:c r="AK1822" t="n">
        <x:v>0</x:v>
      </x:c>
      <x:c r="AL1822" t="n">
        <x:v>0</x:v>
      </x:c>
      <x:c r="AM1822" t="n">
        <x:f>CHOOSE('假设'!$B$3,AJ1822,AK1822,AL1822)</x:f>
        <x:v>0</x:v>
      </x:c>
      <x:c r="AN1822" t="n">
        <x:v>1</x:v>
      </x:c>
    </x:row>
    <x:row r="1823" ht="23" customHeight="1">
      <x:c r="A1823" s="11" t="str">
        <x:v>688302.SH</x:v>
      </x:c>
      <x:c r="B1823" s="11" t="str">
        <x:v>一年</x:v>
      </x:c>
      <x:c r="C1823" s="11" t="str">
        <x:v>hp515_obesity_cn</x:v>
      </x:c>
      <x:c r="D1823" s="11" t="str">
        <x:v>2028-12-31</x:v>
      </x:c>
      <x:c r="E1823" s="11" t="str">
        <x:v>CNY</x:v>
      </x:c>
      <x:c r="F1823" s="11" t="n">
        <x:v>1.2292950034223136</x:v>
      </x:c>
      <x:c r="G1823" s="26" t="b">
        <x:v>1</x:v>
      </x:c>
      <x:c r="H1823" s="16" t="n">
        <x:v>0</x:v>
      </x:c>
      <x:c r="I1823" s="16" t="n">
        <x:v>0</x:v>
      </x:c>
      <x:c r="J1823" s="16" t="n">
        <x:v>0</x:v>
      </x:c>
      <x:c r="K1823" s="11" t="n">
        <x:f>CHOOSE('假设'!$B$3,H1823,I1823,J1823)</x:f>
        <x:v>0</x:v>
      </x:c>
      <x:c r="L1823" s="11" t="n">
        <x:f>K1823*'管线假设'!E407*'管线假设'!F407*'管线假设'!G407*IF(E1823="USD",'管线假设'!I407,1)-AM1823</x:f>
        <x:v>0</x:v>
      </x:c>
      <x:c r="M1823" s="11" t="n">
        <x:f>'管线假设'!H407</x:f>
        <x:v>0.14</x:v>
      </x:c>
      <x:c r="N1823" s="11" t="n">
        <x:f>IF(G1823,L1823*AN1823/(1+M1823)^F1823,0)</x:f>
        <x:v>0</x:v>
      </x:c>
      <x:c r="AJ1823" t="n">
        <x:v>0</x:v>
      </x:c>
      <x:c r="AK1823" t="n">
        <x:v>0</x:v>
      </x:c>
      <x:c r="AL1823" t="n">
        <x:v>0</x:v>
      </x:c>
      <x:c r="AM1823" t="n">
        <x:f>CHOOSE('假设'!$B$3,AJ1823,AK1823,AL1823)</x:f>
        <x:v>0</x:v>
      </x:c>
      <x:c r="AN1823" t="n">
        <x:v>1</x:v>
      </x:c>
    </x:row>
    <x:row r="1824" ht="23" customHeight="1">
      <x:c r="A1824" s="11" t="str">
        <x:v>688302.SH</x:v>
      </x:c>
      <x:c r="B1824" s="11" t="str">
        <x:v>一年</x:v>
      </x:c>
      <x:c r="C1824" s="11" t="str">
        <x:v>hp515_obesity_cn</x:v>
      </x:c>
      <x:c r="D1824" s="11" t="str">
        <x:v>2029-12-31</x:v>
      </x:c>
      <x:c r="E1824" s="11" t="str">
        <x:v>CNY</x:v>
      </x:c>
      <x:c r="F1824" s="11" t="n">
        <x:v>2.2286105407255303</x:v>
      </x:c>
      <x:c r="G1824" s="26" t="b">
        <x:v>1</x:v>
      </x:c>
      <x:c r="H1824" s="16" t="n">
        <x:v>0</x:v>
      </x:c>
      <x:c r="I1824" s="16" t="n">
        <x:v>0</x:v>
      </x:c>
      <x:c r="J1824" s="16" t="n">
        <x:v>0</x:v>
      </x:c>
      <x:c r="K1824" s="11" t="n">
        <x:f>CHOOSE('假设'!$B$3,H1824,I1824,J1824)</x:f>
        <x:v>0</x:v>
      </x:c>
      <x:c r="L1824" s="11" t="n">
        <x:f>K1824*'管线假设'!E407*'管线假设'!F407*'管线假设'!G407*IF(E1824="USD",'管线假设'!I407,1)-AM1824</x:f>
        <x:v>0</x:v>
      </x:c>
      <x:c r="M1824" s="11" t="n">
        <x:f>'管线假设'!H407</x:f>
        <x:v>0.14</x:v>
      </x:c>
      <x:c r="N1824" s="11" t="n">
        <x:f>IF(G1824,L1824*AN1824/(1+M1824)^F1824,0)</x:f>
        <x:v>0</x:v>
      </x:c>
      <x:c r="AJ1824" t="n">
        <x:v>0</x:v>
      </x:c>
      <x:c r="AK1824" t="n">
        <x:v>0</x:v>
      </x:c>
      <x:c r="AL1824" t="n">
        <x:v>0</x:v>
      </x:c>
      <x:c r="AM1824" t="n">
        <x:f>CHOOSE('假设'!$B$3,AJ1824,AK1824,AL1824)</x:f>
        <x:v>0</x:v>
      </x:c>
      <x:c r="AN1824" t="n">
        <x:v>1</x:v>
      </x:c>
    </x:row>
    <x:row r="1825" ht="23" customHeight="1">
      <x:c r="A1825" s="11" t="str">
        <x:v>688302.SH</x:v>
      </x:c>
      <x:c r="B1825" s="11" t="str">
        <x:v>一年</x:v>
      </x:c>
      <x:c r="C1825" s="11" t="str">
        <x:v>hp515_obesity_cn</x:v>
      </x:c>
      <x:c r="D1825" s="11" t="str">
        <x:v>2030-12-31</x:v>
      </x:c>
      <x:c r="E1825" s="11" t="str">
        <x:v>CNY</x:v>
      </x:c>
      <x:c r="F1825" s="11" t="n">
        <x:v>3.2279260780287475</x:v>
      </x:c>
      <x:c r="G1825" s="26" t="b">
        <x:v>1</x:v>
      </x:c>
      <x:c r="H1825" s="16" t="n">
        <x:v>0</x:v>
      </x:c>
      <x:c r="I1825" s="16" t="n">
        <x:v>0</x:v>
      </x:c>
      <x:c r="J1825" s="16" t="n">
        <x:v>0</x:v>
      </x:c>
      <x:c r="K1825" s="11" t="n">
        <x:f>CHOOSE('假设'!$B$3,H1825,I1825,J1825)</x:f>
        <x:v>0</x:v>
      </x:c>
      <x:c r="L1825" s="11" t="n">
        <x:f>K1825*'管线假设'!E407*'管线假设'!F407*'管线假设'!G407*IF(E1825="USD",'管线假设'!I407,1)-AM1825</x:f>
        <x:v>0</x:v>
      </x:c>
      <x:c r="M1825" s="11" t="n">
        <x:f>'管线假设'!H407</x:f>
        <x:v>0.14</x:v>
      </x:c>
      <x:c r="N1825" s="11" t="n">
        <x:f>IF(G1825,L1825*AN1825/(1+M1825)^F1825,0)</x:f>
        <x:v>0</x:v>
      </x:c>
      <x:c r="AJ1825" t="n">
        <x:v>0</x:v>
      </x:c>
      <x:c r="AK1825" t="n">
        <x:v>0</x:v>
      </x:c>
      <x:c r="AL1825" t="n">
        <x:v>0</x:v>
      </x:c>
      <x:c r="AM1825" t="n">
        <x:f>CHOOSE('假设'!$B$3,AJ1825,AK1825,AL1825)</x:f>
        <x:v>0</x:v>
      </x:c>
      <x:c r="AN1825" t="n">
        <x:v>1</x:v>
      </x:c>
    </x:row>
    <x:row r="1826" ht="23" customHeight="1">
      <x:c r="A1826" s="11" t="str">
        <x:v>688302.SH</x:v>
      </x:c>
      <x:c r="B1826" s="11" t="str">
        <x:v>一年</x:v>
      </x:c>
      <x:c r="C1826" s="11" t="str">
        <x:v>hp515_obesity_cn</x:v>
      </x:c>
      <x:c r="D1826" s="11" t="str">
        <x:v>2031-12-31</x:v>
      </x:c>
      <x:c r="E1826" s="11" t="str">
        <x:v>CNY</x:v>
      </x:c>
      <x:c r="F1826" s="11" t="n">
        <x:v>4.227241615331964</x:v>
      </x:c>
      <x:c r="G1826" s="26" t="b">
        <x:v>1</x:v>
      </x:c>
      <x:c r="H1826" s="16" t="n">
        <x:v>0</x:v>
      </x:c>
      <x:c r="I1826" s="16" t="n">
        <x:v>0</x:v>
      </x:c>
      <x:c r="J1826" s="16" t="n">
        <x:v>0</x:v>
      </x:c>
      <x:c r="K1826" s="11" t="n">
        <x:f>CHOOSE('假设'!$B$3,H1826,I1826,J1826)</x:f>
        <x:v>0</x:v>
      </x:c>
      <x:c r="L1826" s="11" t="n">
        <x:f>K1826*'管线假设'!E407*'管线假设'!F407*'管线假设'!G407*IF(E1826="USD",'管线假设'!I407,1)-AM1826</x:f>
        <x:v>0</x:v>
      </x:c>
      <x:c r="M1826" s="11" t="n">
        <x:f>'管线假设'!H407</x:f>
        <x:v>0.14</x:v>
      </x:c>
      <x:c r="N1826" s="11" t="n">
        <x:f>IF(G1826,L1826*AN1826/(1+M1826)^F1826,0)</x:f>
        <x:v>0</x:v>
      </x:c>
      <x:c r="AJ1826" t="n">
        <x:v>0</x:v>
      </x:c>
      <x:c r="AK1826" t="n">
        <x:v>0</x:v>
      </x:c>
      <x:c r="AL1826" t="n">
        <x:v>0</x:v>
      </x:c>
      <x:c r="AM1826" t="n">
        <x:f>CHOOSE('假设'!$B$3,AJ1826,AK1826,AL1826)</x:f>
        <x:v>0</x:v>
      </x:c>
      <x:c r="AN1826" t="n">
        <x:v>1</x:v>
      </x:c>
    </x:row>
    <x:row r="1827" ht="23" customHeight="1">
      <x:c r="A1827" s="11" t="str">
        <x:v>688302.SH</x:v>
      </x:c>
      <x:c r="B1827" s="11" t="str">
        <x:v>一年</x:v>
      </x:c>
      <x:c r="C1827" s="11" t="str">
        <x:v>hp515_obesity_cn</x:v>
      </x:c>
      <x:c r="D1827" s="11" t="str">
        <x:v>2032-12-31</x:v>
      </x:c>
      <x:c r="E1827" s="11" t="str">
        <x:v>CNY</x:v>
      </x:c>
      <x:c r="F1827" s="11" t="n">
        <x:v>5.229295003422314</x:v>
      </x:c>
      <x:c r="G1827" s="26" t="b">
        <x:v>1</x:v>
      </x:c>
      <x:c r="H1827" s="16" t="n">
        <x:v>0</x:v>
      </x:c>
      <x:c r="I1827" s="16" t="n">
        <x:v>0</x:v>
      </x:c>
      <x:c r="J1827" s="16" t="n">
        <x:v>0.41666666666666663</x:v>
      </x:c>
      <x:c r="K1827" s="11" t="n">
        <x:f>CHOOSE('假设'!$B$3,H1827,I1827,J1827)</x:f>
        <x:v>0</x:v>
      </x:c>
      <x:c r="L1827" s="11" t="n">
        <x:f>K1827*'管线假设'!E407*'管线假设'!F407*'管线假设'!G407*IF(E1827="USD",'管线假设'!I407,1)-AM1827</x:f>
        <x:v>0</x:v>
      </x:c>
      <x:c r="M1827" s="11" t="n">
        <x:f>'管线假设'!H407</x:f>
        <x:v>0.14</x:v>
      </x:c>
      <x:c r="N1827" s="11" t="n">
        <x:f>IF(G1827,L1827*AN1827/(1+M1827)^F1827,0)</x:f>
        <x:v>0</x:v>
      </x:c>
      <x:c r="AJ1827" t="n">
        <x:v>0</x:v>
      </x:c>
      <x:c r="AK1827" t="n">
        <x:v>0</x:v>
      </x:c>
      <x:c r="AL1827" t="n">
        <x:v>0</x:v>
      </x:c>
      <x:c r="AM1827" t="n">
        <x:f>CHOOSE('假设'!$B$3,AJ1827,AK1827,AL1827)</x:f>
        <x:v>0</x:v>
      </x:c>
      <x:c r="AN1827" t="n">
        <x:v>1</x:v>
      </x:c>
    </x:row>
    <x:row r="1828" ht="23" customHeight="1">
      <x:c r="A1828" s="11" t="str">
        <x:v>688302.SH</x:v>
      </x:c>
      <x:c r="B1828" s="11" t="str">
        <x:v>一年</x:v>
      </x:c>
      <x:c r="C1828" s="11" t="str">
        <x:v>hp515_obesity_cn</x:v>
      </x:c>
      <x:c r="D1828" s="11" t="str">
        <x:v>2033-12-31</x:v>
      </x:c>
      <x:c r="E1828" s="11" t="str">
        <x:v>CNY</x:v>
      </x:c>
      <x:c r="F1828" s="11" t="n">
        <x:v>6.228610540725531</x:v>
      </x:c>
      <x:c r="G1828" s="26" t="b">
        <x:v>1</x:v>
      </x:c>
      <x:c r="H1828" s="16" t="n">
        <x:v>0</x:v>
      </x:c>
      <x:c r="I1828" s="16" t="n">
        <x:v>0</x:v>
      </x:c>
      <x:c r="J1828" s="16" t="n">
        <x:v>0.8333333333333333</x:v>
      </x:c>
      <x:c r="K1828" s="11" t="n">
        <x:f>CHOOSE('假设'!$B$3,H1828,I1828,J1828)</x:f>
        <x:v>0</x:v>
      </x:c>
      <x:c r="L1828" s="11" t="n">
        <x:f>K1828*'管线假设'!E407*'管线假设'!F407*'管线假设'!G407*IF(E1828="USD",'管线假设'!I407,1)-AM1828</x:f>
        <x:v>0</x:v>
      </x:c>
      <x:c r="M1828" s="11" t="n">
        <x:f>'管线假设'!H407</x:f>
        <x:v>0.14</x:v>
      </x:c>
      <x:c r="N1828" s="11" t="n">
        <x:f>IF(G1828,L1828*AN1828/(1+M1828)^F1828,0)</x:f>
        <x:v>0</x:v>
      </x:c>
      <x:c r="AJ1828" t="n">
        <x:v>0</x:v>
      </x:c>
      <x:c r="AK1828" t="n">
        <x:v>0</x:v>
      </x:c>
      <x:c r="AL1828" t="n">
        <x:v>0</x:v>
      </x:c>
      <x:c r="AM1828" t="n">
        <x:f>CHOOSE('假设'!$B$3,AJ1828,AK1828,AL1828)</x:f>
        <x:v>0</x:v>
      </x:c>
      <x:c r="AN1828" t="n">
        <x:v>1</x:v>
      </x:c>
    </x:row>
    <x:row r="1829" ht="23" customHeight="1">
      <x:c r="A1829" s="11" t="str">
        <x:v>688302.SH</x:v>
      </x:c>
      <x:c r="B1829" s="11" t="str">
        <x:v>一年</x:v>
      </x:c>
      <x:c r="C1829" s="11" t="str">
        <x:v>hp515_obesity_cn</x:v>
      </x:c>
      <x:c r="D1829" s="11" t="str">
        <x:v>2034-12-31</x:v>
      </x:c>
      <x:c r="E1829" s="11" t="str">
        <x:v>CNY</x:v>
      </x:c>
      <x:c r="F1829" s="11" t="n">
        <x:v>7.227926078028747</x:v>
      </x:c>
      <x:c r="G1829" s="26" t="b">
        <x:v>1</x:v>
      </x:c>
      <x:c r="H1829" s="16" t="n">
        <x:v>0</x:v>
      </x:c>
      <x:c r="I1829" s="16" t="n">
        <x:v>0.18333333333333335</x:v>
      </x:c>
      <x:c r="J1829" s="16" t="n">
        <x:v>1.25</x:v>
      </x:c>
      <x:c r="K1829" s="11" t="n">
        <x:f>CHOOSE('假设'!$B$3,H1829,I1829,J1829)</x:f>
        <x:v>0.18333333333333335</x:v>
      </x:c>
      <x:c r="L1829" s="11" t="n">
        <x:f>K1829*'管线假设'!E407*'管线假设'!F407*'管线假设'!G407*IF(E1829="USD",'管线假设'!I407,1)-AM1829</x:f>
        <x:v>0.0063525000000000005</x:v>
      </x:c>
      <x:c r="M1829" s="11" t="n">
        <x:f>'管线假设'!H407</x:f>
        <x:v>0.14</x:v>
      </x:c>
      <x:c r="N1829" s="11" t="n">
        <x:f>IF(G1829,L1829*AN1829/(1+M1829)^F1829,0)</x:f>
        <x:v>0.0024639994966907616</x:v>
      </x:c>
      <x:c r="AJ1829" t="n">
        <x:v>0</x:v>
      </x:c>
      <x:c r="AK1829" t="n">
        <x:v>0</x:v>
      </x:c>
      <x:c r="AL1829" t="n">
        <x:v>0</x:v>
      </x:c>
      <x:c r="AM1829" t="n">
        <x:f>CHOOSE('假设'!$B$3,AJ1829,AK1829,AL1829)</x:f>
        <x:v>0</x:v>
      </x:c>
      <x:c r="AN1829" t="n">
        <x:v>1</x:v>
      </x:c>
    </x:row>
    <x:row r="1830" ht="23" customHeight="1">
      <x:c r="A1830" s="11" t="str">
        <x:v>688302.SH</x:v>
      </x:c>
      <x:c r="B1830" s="11" t="str">
        <x:v>一年</x:v>
      </x:c>
      <x:c r="C1830" s="11" t="str">
        <x:v>hp515_obesity_cn</x:v>
      </x:c>
      <x:c r="D1830" s="11" t="str">
        <x:v>2035-12-31</x:v>
      </x:c>
      <x:c r="E1830" s="11" t="str">
        <x:v>CNY</x:v>
      </x:c>
      <x:c r="F1830" s="11" t="n">
        <x:v>8.227241615331964</x:v>
      </x:c>
      <x:c r="G1830" s="26" t="b">
        <x:v>1</x:v>
      </x:c>
      <x:c r="H1830" s="16" t="n">
        <x:v>0</x:v>
      </x:c>
      <x:c r="I1830" s="16" t="n">
        <x:v>0.3666666666666667</x:v>
      </x:c>
      <x:c r="J1830" s="16" t="n">
        <x:v>1.6666666666666665</x:v>
      </x:c>
      <x:c r="K1830" s="11" t="n">
        <x:f>CHOOSE('假设'!$B$3,H1830,I1830,J1830)</x:f>
        <x:v>0.3666666666666667</x:v>
      </x:c>
      <x:c r="L1830" s="11" t="n">
        <x:f>K1830*'管线假设'!E407*'管线假设'!F407*'管线假设'!G407*IF(E1830="USD",'管线假设'!I407,1)-AM1830</x:f>
        <x:v>0.012705000000000001</x:v>
      </x:c>
      <x:c r="M1830" s="11" t="n">
        <x:f>'管线假设'!H407</x:f>
        <x:v>0.14</x:v>
      </x:c>
      <x:c r="N1830" s="11" t="n">
        <x:f>IF(G1830,L1830*AN1830/(1+M1830)^F1830,0)</x:f>
        <x:v>0.004323193838293466</x:v>
      </x:c>
      <x:c r="AJ1830" t="n">
        <x:v>0</x:v>
      </x:c>
      <x:c r="AK1830" t="n">
        <x:v>0</x:v>
      </x:c>
      <x:c r="AL1830" t="n">
        <x:v>0</x:v>
      </x:c>
      <x:c r="AM1830" t="n">
        <x:f>CHOOSE('假设'!$B$3,AJ1830,AK1830,AL1830)</x:f>
        <x:v>0</x:v>
      </x:c>
      <x:c r="AN1830" t="n">
        <x:v>1</x:v>
      </x:c>
    </x:row>
    <x:row r="1831" ht="23" customHeight="1">
      <x:c r="A1831" s="11" t="str">
        <x:v>688302.SH</x:v>
      </x:c>
      <x:c r="B1831" s="11" t="str">
        <x:v>一年</x:v>
      </x:c>
      <x:c r="C1831" s="11" t="str">
        <x:v>hp515_obesity_cn</x:v>
      </x:c>
      <x:c r="D1831" s="11" t="str">
        <x:v>2036-12-31</x:v>
      </x:c>
      <x:c r="E1831" s="11" t="str">
        <x:v>CNY</x:v>
      </x:c>
      <x:c r="F1831" s="11" t="n">
        <x:v>9.229295003422314</x:v>
      </x:c>
      <x:c r="G1831" s="26" t="b">
        <x:v>1</x:v>
      </x:c>
      <x:c r="H1831" s="16" t="n">
        <x:v>0</x:v>
      </x:c>
      <x:c r="I1831" s="16" t="n">
        <x:v>0.55</x:v>
      </x:c>
      <x:c r="J1831" s="16" t="n">
        <x:v>2.0833333333333335</x:v>
      </x:c>
      <x:c r="K1831" s="11" t="n">
        <x:f>CHOOSE('假设'!$B$3,H1831,I1831,J1831)</x:f>
        <x:v>0.55</x:v>
      </x:c>
      <x:c r="L1831" s="11" t="n">
        <x:f>K1831*'管线假设'!E407*'管线假设'!F407*'管线假设'!G407*IF(E1831="USD",'管线假设'!I407,1)-AM1831</x:f>
        <x:v>0.0190575</x:v>
      </x:c>
      <x:c r="M1831" s="11" t="n">
        <x:f>'管线假设'!H407</x:f>
        <x:v>0.14</x:v>
      </x:c>
      <x:c r="N1831" s="11" t="n">
        <x:f>IF(G1831,L1831*AN1831/(1+M1831)^F1831,0)</x:f>
        <x:v>0.0056868826728332595</x:v>
      </x:c>
      <x:c r="AJ1831" t="n">
        <x:v>0</x:v>
      </x:c>
      <x:c r="AK1831" t="n">
        <x:v>0</x:v>
      </x:c>
      <x:c r="AL1831" t="n">
        <x:v>0</x:v>
      </x:c>
      <x:c r="AM1831" t="n">
        <x:f>CHOOSE('假设'!$B$3,AJ1831,AK1831,AL1831)</x:f>
        <x:v>0</x:v>
      </x:c>
      <x:c r="AN1831" t="n">
        <x:v>1</x:v>
      </x:c>
    </x:row>
    <x:row r="1832" ht="23" customHeight="1">
      <x:c r="A1832" s="11" t="str">
        <x:v>688302.SH</x:v>
      </x:c>
      <x:c r="B1832" s="11" t="str">
        <x:v>一年</x:v>
      </x:c>
      <x:c r="C1832" s="11" t="str">
        <x:v>hp515_obesity_cn</x:v>
      </x:c>
      <x:c r="D1832" s="11" t="str">
        <x:v>2037-12-31</x:v>
      </x:c>
      <x:c r="E1832" s="11" t="str">
        <x:v>CNY</x:v>
      </x:c>
      <x:c r="F1832" s="11" t="n">
        <x:v>10.22861054072553</x:v>
      </x:c>
      <x:c r="G1832" s="26" t="b">
        <x:v>1</x:v>
      </x:c>
      <x:c r="H1832" s="16" t="n">
        <x:v>0.08000000000000002</x:v>
      </x:c>
      <x:c r="I1832" s="16" t="n">
        <x:v>0.7333333333333334</x:v>
      </x:c>
      <x:c r="J1832" s="16" t="n">
        <x:v>2.5</x:v>
      </x:c>
      <x:c r="K1832" s="11" t="n">
        <x:f>CHOOSE('假设'!$B$3,H1832,I1832,J1832)</x:f>
        <x:v>0.7333333333333334</x:v>
      </x:c>
      <x:c r="L1832" s="11" t="n">
        <x:f>K1832*'管线假设'!E407*'管线假设'!F407*'管线假设'!G407*IF(E1832="USD",'管线假设'!I407,1)-AM1832</x:f>
        <x:v>0.025410000000000002</x:v>
      </x:c>
      <x:c r="M1832" s="11" t="n">
        <x:f>'管线假设'!H407</x:f>
        <x:v>0.14</x:v>
      </x:c>
      <x:c r="N1832" s="11" t="n">
        <x:f>IF(G1832,L1832*AN1832/(1+M1832)^F1832,0)</x:f>
        <x:v>0.006651921307427164</x:v>
      </x:c>
      <x:c r="AJ1832" t="n">
        <x:v>0</x:v>
      </x:c>
      <x:c r="AK1832" t="n">
        <x:v>0</x:v>
      </x:c>
      <x:c r="AL1832" t="n">
        <x:v>0</x:v>
      </x:c>
      <x:c r="AM1832" t="n">
        <x:f>CHOOSE('假设'!$B$3,AJ1832,AK1832,AL1832)</x:f>
        <x:v>0</x:v>
      </x:c>
      <x:c r="AN1832" t="n">
        <x:v>1</x:v>
      </x:c>
    </x:row>
    <x:row r="1833" ht="23" customHeight="1">
      <x:c r="A1833" s="11" t="str">
        <x:v>688302.SH</x:v>
      </x:c>
      <x:c r="B1833" s="11" t="str">
        <x:v>一年</x:v>
      </x:c>
      <x:c r="C1833" s="11" t="str">
        <x:v>hp515_obesity_cn</x:v>
      </x:c>
      <x:c r="D1833" s="11" t="str">
        <x:v>2038-12-31</x:v>
      </x:c>
      <x:c r="E1833" s="11" t="str">
        <x:v>CNY</x:v>
      </x:c>
      <x:c r="F1833" s="11" t="n">
        <x:v>11.227926078028748</x:v>
      </x:c>
      <x:c r="G1833" s="26" t="b">
        <x:v>1</x:v>
      </x:c>
      <x:c r="H1833" s="16" t="n">
        <x:v>0.16000000000000003</x:v>
      </x:c>
      <x:c r="I1833" s="16" t="n">
        <x:v>0.9166666666666667</x:v>
      </x:c>
      <x:c r="J1833" s="16" t="n">
        <x:v>2.175</x:v>
      </x:c>
      <x:c r="K1833" s="11" t="n">
        <x:f>CHOOSE('假设'!$B$3,H1833,I1833,J1833)</x:f>
        <x:v>0.9166666666666667</x:v>
      </x:c>
      <x:c r="L1833" s="11" t="n">
        <x:f>K1833*'管线假设'!E407*'管线假设'!F407*'管线假设'!G407*IF(E1833="USD",'管线假设'!I407,1)-AM1833</x:f>
        <x:v>0.031762500000000006</x:v>
      </x:c>
      <x:c r="M1833" s="11" t="n">
        <x:f>'管线假设'!H407</x:f>
        <x:v>0.14</x:v>
      </x:c>
      <x:c r="N1833" s="11" t="n">
        <x:f>IF(G1833,L1833*AN1833/(1+M1833)^F1833,0)</x:f>
        <x:v>0.007294427527203366</x:v>
      </x:c>
      <x:c r="AJ1833" t="n">
        <x:v>0</x:v>
      </x:c>
      <x:c r="AK1833" t="n">
        <x:v>0</x:v>
      </x:c>
      <x:c r="AL1833" t="n">
        <x:v>0</x:v>
      </x:c>
      <x:c r="AM1833" t="n">
        <x:f>CHOOSE('假设'!$B$3,AJ1833,AK1833,AL1833)</x:f>
        <x:v>0</x:v>
      </x:c>
      <x:c r="AN1833" t="n">
        <x:v>1</x:v>
      </x:c>
    </x:row>
    <x:row r="1834" ht="23" customHeight="1">
      <x:c r="A1834" s="11" t="str">
        <x:v>688302.SH</x:v>
      </x:c>
      <x:c r="B1834" s="11" t="str">
        <x:v>一年</x:v>
      </x:c>
      <x:c r="C1834" s="11" t="str">
        <x:v>hp515_obesity_cn</x:v>
      </x:c>
      <x:c r="D1834" s="11" t="str">
        <x:v>2039-12-31</x:v>
      </x:c>
      <x:c r="E1834" s="11" t="str">
        <x:v>CNY</x:v>
      </x:c>
      <x:c r="F1834" s="11" t="n">
        <x:v>12.227241615331964</x:v>
      </x:c>
      <x:c r="G1834" s="26" t="b">
        <x:v>1</x:v>
      </x:c>
      <x:c r="H1834" s="16" t="n">
        <x:v>0.24</x:v>
      </x:c>
      <x:c r="I1834" s="16" t="n">
        <x:v>1.1</x:v>
      </x:c>
      <x:c r="J1834" s="16" t="n">
        <x:v>1.85</x:v>
      </x:c>
      <x:c r="K1834" s="11" t="n">
        <x:f>CHOOSE('假设'!$B$3,H1834,I1834,J1834)</x:f>
        <x:v>1.1</x:v>
      </x:c>
      <x:c r="L1834" s="11" t="n">
        <x:f>K1834*'管线假设'!E407*'管线假设'!F407*'管线假设'!G407*IF(E1834="USD",'管线假设'!I407,1)-AM1834</x:f>
        <x:v>0.038115</x:v>
      </x:c>
      <x:c r="M1834" s="11" t="n">
        <x:f>'管线假设'!H407</x:f>
        <x:v>0.14</x:v>
      </x:c>
      <x:c r="N1834" s="11" t="n">
        <x:f>IF(G1834,L1834*AN1834/(1+M1834)^F1834,0)</x:f>
        <x:v>0.007679033420705668</x:v>
      </x:c>
      <x:c r="AJ1834" t="n">
        <x:v>0</x:v>
      </x:c>
      <x:c r="AK1834" t="n">
        <x:v>0</x:v>
      </x:c>
      <x:c r="AL1834" t="n">
        <x:v>0</x:v>
      </x:c>
      <x:c r="AM1834" t="n">
        <x:f>CHOOSE('假设'!$B$3,AJ1834,AK1834,AL1834)</x:f>
        <x:v>0</x:v>
      </x:c>
      <x:c r="AN1834" t="n">
        <x:v>1</x:v>
      </x:c>
    </x:row>
    <x:row r="1835" ht="23" customHeight="1">
      <x:c r="A1835" s="11" t="str">
        <x:v>688302.SH</x:v>
      </x:c>
      <x:c r="B1835" s="11" t="str">
        <x:v>一年</x:v>
      </x:c>
      <x:c r="C1835" s="11" t="str">
        <x:v>hp515_obesity_cn</x:v>
      </x:c>
      <x:c r="D1835" s="11" t="str">
        <x:v>2040-12-31</x:v>
      </x:c>
      <x:c r="E1835" s="11" t="str">
        <x:v>CNY</x:v>
      </x:c>
      <x:c r="F1835" s="11" t="n">
        <x:v>13.229295003422314</x:v>
      </x:c>
      <x:c r="G1835" s="26" t="b">
        <x:v>1</x:v>
      </x:c>
      <x:c r="H1835" s="16" t="n">
        <x:v>0.32000000000000006</x:v>
      </x:c>
      <x:c r="I1835" s="16" t="n">
        <x:v>0.9570000000000001</x:v>
      </x:c>
      <x:c r="J1835" s="16" t="n">
        <x:v>1.525</x:v>
      </x:c>
      <x:c r="K1835" s="11" t="n">
        <x:f>CHOOSE('假设'!$B$3,H1835,I1835,J1835)</x:f>
        <x:v>0.9570000000000001</x:v>
      </x:c>
      <x:c r="L1835" s="11" t="n">
        <x:f>K1835*'管线假设'!E407*'管线假设'!F407*'管线假设'!G407*IF(E1835="USD",'管线假设'!I407,1)-AM1835</x:f>
        <x:v>0.03316005</x:v>
      </x:c>
      <x:c r="M1835" s="11" t="n">
        <x:f>'管线假设'!H407</x:f>
        <x:v>0.14</x:v>
      </x:c>
      <x:c r="N1835" s="11" t="n">
        <x:f>IF(G1835,L1835*AN1835/(1+M1835)^F1835,0)</x:f>
        <x:v>0.005858738462326944</x:v>
      </x:c>
      <x:c r="AJ1835" t="n">
        <x:v>0</x:v>
      </x:c>
      <x:c r="AK1835" t="n">
        <x:v>0</x:v>
      </x:c>
      <x:c r="AL1835" t="n">
        <x:v>0</x:v>
      </x:c>
      <x:c r="AM1835" t="n">
        <x:f>CHOOSE('假设'!$B$3,AJ1835,AK1835,AL1835)</x:f>
        <x:v>0</x:v>
      </x:c>
      <x:c r="AN1835" t="n">
        <x:v>1</x:v>
      </x:c>
    </x:row>
    <x:row r="1836" ht="23" customHeight="1">
      <x:c r="A1836" s="11" t="str">
        <x:v>688302.SH</x:v>
      </x:c>
      <x:c r="B1836" s="11" t="str">
        <x:v>一年</x:v>
      </x:c>
      <x:c r="C1836" s="11" t="str">
        <x:v>hp515_obesity_cn</x:v>
      </x:c>
      <x:c r="D1836" s="11" t="str">
        <x:v>2041-12-31</x:v>
      </x:c>
      <x:c r="E1836" s="11" t="str">
        <x:v>CNY</x:v>
      </x:c>
      <x:c r="F1836" s="11" t="n">
        <x:v>14.22861054072553</x:v>
      </x:c>
      <x:c r="G1836" s="26" t="b">
        <x:v>1</x:v>
      </x:c>
      <x:c r="H1836" s="16" t="n">
        <x:v>0.4</x:v>
      </x:c>
      <x:c r="I1836" s="16" t="n">
        <x:v>0.8140000000000001</x:v>
      </x:c>
      <x:c r="J1836" s="16" t="n">
        <x:v>1.2</x:v>
      </x:c>
      <x:c r="K1836" s="11" t="n">
        <x:f>CHOOSE('假设'!$B$3,H1836,I1836,J1836)</x:f>
        <x:v>0.8140000000000001</x:v>
      </x:c>
      <x:c r="L1836" s="11" t="n">
        <x:f>K1836*'管线假设'!E407*'管线假设'!F407*'管线假设'!G407*IF(E1836="USD",'管线假设'!I407,1)-AM1836</x:f>
        <x:v>0.0282051</x:v>
      </x:c>
      <x:c r="M1836" s="11" t="n">
        <x:f>'管线假设'!H407</x:f>
        <x:v>0.14</x:v>
      </x:c>
      <x:c r="N1836" s="11" t="n">
        <x:f>IF(G1836,L1836*AN1836/(1+M1836)^F1836,0)</x:f>
        <x:v>0.004371703268148224</x:v>
      </x:c>
      <x:c r="AJ1836" t="n">
        <x:v>0</x:v>
      </x:c>
      <x:c r="AK1836" t="n">
        <x:v>0</x:v>
      </x:c>
      <x:c r="AL1836" t="n">
        <x:v>0</x:v>
      </x:c>
      <x:c r="AM1836" t="n">
        <x:f>CHOOSE('假设'!$B$3,AJ1836,AK1836,AL1836)</x:f>
        <x:v>0</x:v>
      </x:c>
      <x:c r="AN1836" t="n">
        <x:v>1</x:v>
      </x:c>
    </x:row>
    <x:row r="1837" ht="23" customHeight="1">
      <x:c r="A1837" s="11" t="str">
        <x:v>688302.SH</x:v>
      </x:c>
      <x:c r="B1837" s="11" t="str">
        <x:v>一年</x:v>
      </x:c>
      <x:c r="C1837" s="11" t="str">
        <x:v>hp515_obesity_cn</x:v>
      </x:c>
      <x:c r="D1837" s="11" t="str">
        <x:v>2042-12-31</x:v>
      </x:c>
      <x:c r="E1837" s="11" t="str">
        <x:v>CNY</x:v>
      </x:c>
      <x:c r="F1837" s="11" t="n">
        <x:v>15.227926078028748</x:v>
      </x:c>
      <x:c r="G1837" s="26" t="b">
        <x:v>1</x:v>
      </x:c>
      <x:c r="H1837" s="16" t="n">
        <x:v>0.34800000000000003</x:v>
      </x:c>
      <x:c r="I1837" s="16" t="n">
        <x:v>0.671</x:v>
      </x:c>
      <x:c r="J1837" s="16" t="n">
        <x:v>0.875</x:v>
      </x:c>
      <x:c r="K1837" s="11" t="n">
        <x:f>CHOOSE('假设'!$B$3,H1837,I1837,J1837)</x:f>
        <x:v>0.671</x:v>
      </x:c>
      <x:c r="L1837" s="11" t="n">
        <x:f>K1837*'管线假设'!E407*'管线假设'!F407*'管线假设'!G407*IF(E1837="USD",'管线假设'!I407,1)-AM1837</x:f>
        <x:v>0.023250150000000004</x:v>
      </x:c>
      <x:c r="M1837" s="11" t="n">
        <x:f>'管线假设'!H407</x:f>
        <x:v>0.14</x:v>
      </x:c>
      <x:c r="N1837" s="11" t="n">
        <x:f>IF(G1837,L1837*AN1837/(1+M1837)^F1837,0)</x:f>
        <x:v>0.0031614250450483464</x:v>
      </x:c>
      <x:c r="AJ1837" t="n">
        <x:v>0</x:v>
      </x:c>
      <x:c r="AK1837" t="n">
        <x:v>0</x:v>
      </x:c>
      <x:c r="AL1837" t="n">
        <x:v>0</x:v>
      </x:c>
      <x:c r="AM1837" t="n">
        <x:f>CHOOSE('假设'!$B$3,AJ1837,AK1837,AL1837)</x:f>
        <x:v>0</x:v>
      </x:c>
      <x:c r="AN1837" t="n">
        <x:v>1</x:v>
      </x:c>
    </x:row>
    <x:row r="1838" ht="23" customHeight="1">
      <x:c r="A1838" s="11" t="str">
        <x:v>688302.SH</x:v>
      </x:c>
      <x:c r="B1838" s="11" t="str">
        <x:v>一年</x:v>
      </x:c>
      <x:c r="C1838" s="11" t="str">
        <x:v>hp515_obesity_cn</x:v>
      </x:c>
      <x:c r="D1838" s="11" t="str">
        <x:v>2043-12-31</x:v>
      </x:c>
      <x:c r="E1838" s="11" t="str">
        <x:v>CNY</x:v>
      </x:c>
      <x:c r="F1838" s="11" t="n">
        <x:v>16.227241615331966</x:v>
      </x:c>
      <x:c r="G1838" s="26" t="b">
        <x:v>1</x:v>
      </x:c>
      <x:c r="H1838" s="16" t="n">
        <x:v>0.296</x:v>
      </x:c>
      <x:c r="I1838" s="16" t="n">
        <x:v>0.528</x:v>
      </x:c>
      <x:c r="J1838" s="16" t="n">
        <x:v>0.5499999999999999</x:v>
      </x:c>
      <x:c r="K1838" s="11" t="n">
        <x:f>CHOOSE('假设'!$B$3,H1838,I1838,J1838)</x:f>
        <x:v>0.528</x:v>
      </x:c>
      <x:c r="L1838" s="11" t="n">
        <x:f>K1838*'管线假设'!E407*'管线假设'!F407*'管线假设'!G407*IF(E1838="USD",'管线假设'!I407,1)-AM1838</x:f>
        <x:v>0.0182952</x:v>
      </x:c>
      <x:c r="M1838" s="11" t="n">
        <x:f>'管线假设'!H407</x:f>
        <x:v>0.14</x:v>
      </x:c>
      <x:c r="N1838" s="11" t="n">
        <x:f>IF(G1838,L1838*AN1838/(1+M1838)^F1838,0)</x:f>
        <x:v>0.0021823700340798556</x:v>
      </x:c>
      <x:c r="AJ1838" t="n">
        <x:v>0</x:v>
      </x:c>
      <x:c r="AK1838" t="n">
        <x:v>0</x:v>
      </x:c>
      <x:c r="AL1838" t="n">
        <x:v>0</x:v>
      </x:c>
      <x:c r="AM1838" t="n">
        <x:f>CHOOSE('假设'!$B$3,AJ1838,AK1838,AL1838)</x:f>
        <x:v>0</x:v>
      </x:c>
      <x:c r="AN1838" t="n">
        <x:v>1</x:v>
      </x:c>
    </x:row>
    <x:row r="1839" ht="23" customHeight="1">
      <x:c r="A1839" s="11" t="str">
        <x:v>688302.SH</x:v>
      </x:c>
      <x:c r="B1839" s="11" t="str">
        <x:v>一年</x:v>
      </x:c>
      <x:c r="C1839" s="11" t="str">
        <x:v>hp515_obesity_cn</x:v>
      </x:c>
      <x:c r="D1839" s="11" t="str">
        <x:v>2044-12-31</x:v>
      </x:c>
      <x:c r="E1839" s="11" t="str">
        <x:v>CNY</x:v>
      </x:c>
      <x:c r="F1839" s="11" t="n">
        <x:v>17.229295003422312</x:v>
      </x:c>
      <x:c r="G1839" s="26" t="b">
        <x:v>1</x:v>
      </x:c>
      <x:c r="H1839" s="16" t="n">
        <x:v>0.244</x:v>
      </x:c>
      <x:c r="I1839" s="16" t="n">
        <x:v>0.385</x:v>
      </x:c>
      <x:c r="J1839" s="16" t="n">
        <x:v>0.22499999999999992</x:v>
      </x:c>
      <x:c r="K1839" s="11" t="n">
        <x:f>CHOOSE('假设'!$B$3,H1839,I1839,J1839)</x:f>
        <x:v>0.385</x:v>
      </x:c>
      <x:c r="L1839" s="11" t="n">
        <x:f>K1839*'管线假设'!E407*'管线假设'!F407*'管线假设'!G407*IF(E1839="USD",'管线假设'!I407,1)-AM1839</x:f>
        <x:v>0.01334025</x:v>
      </x:c>
      <x:c r="M1839" s="11" t="n">
        <x:f>'管线假设'!H407</x:f>
        <x:v>0.14</x:v>
      </x:c>
      <x:c r="N1839" s="11" t="n">
        <x:f>IF(G1839,L1839*AN1839/(1+M1839)^F1839,0)</x:f>
        <x:v>0.001395511750384916</x:v>
      </x:c>
      <x:c r="AJ1839" t="n">
        <x:v>0</x:v>
      </x:c>
      <x:c r="AK1839" t="n">
        <x:v>0</x:v>
      </x:c>
      <x:c r="AL1839" t="n">
        <x:v>0</x:v>
      </x:c>
      <x:c r="AM1839" t="n">
        <x:f>CHOOSE('假设'!$B$3,AJ1839,AK1839,AL1839)</x:f>
        <x:v>0</x:v>
      </x:c>
      <x:c r="AN1839" t="n">
        <x:v>1</x:v>
      </x:c>
    </x:row>
    <x:row r="1840" ht="23" customHeight="1">
      <x:c r="A1840" s="11" t="str">
        <x:v>688302.SH</x:v>
      </x:c>
      <x:c r="B1840" s="11" t="str">
        <x:v>一年</x:v>
      </x:c>
      <x:c r="C1840" s="11" t="str">
        <x:v>hp515_obesity_cn</x:v>
      </x:c>
      <x:c r="D1840" s="11" t="str">
        <x:v>2045-12-31</x:v>
      </x:c>
      <x:c r="E1840" s="11" t="str">
        <x:v>CNY</x:v>
      </x:c>
      <x:c r="F1840" s="11" t="n">
        <x:v>18.22861054072553</x:v>
      </x:c>
      <x:c r="G1840" s="26" t="b">
        <x:v>1</x:v>
      </x:c>
      <x:c r="H1840" s="16" t="n">
        <x:v>0.192</x:v>
      </x:c>
      <x:c r="I1840" s="16" t="n">
        <x:v>0.242</x:v>
      </x:c>
      <x:c r="J1840" s="16" t="n">
        <x:v>0</x:v>
      </x:c>
      <x:c r="K1840" s="11" t="n">
        <x:f>CHOOSE('假设'!$B$3,H1840,I1840,J1840)</x:f>
        <x:v>0.242</x:v>
      </x:c>
      <x:c r="L1840" s="11" t="n">
        <x:f>K1840*'管线假设'!E407*'管线假设'!F407*'管线假设'!G407*IF(E1840="USD",'管线假设'!I407,1)-AM1840</x:f>
        <x:v>0.0083853</x:v>
      </x:c>
      <x:c r="M1840" s="11" t="n">
        <x:f>'管线假设'!H407</x:f>
        <x:v>0.14</x:v>
      </x:c>
      <x:c r="N1840" s="11" t="n">
        <x:f>IF(G1840,L1840*AN1840/(1+M1840)^F1840,0)</x:f>
        <x:v>0.0007695241113361895</x:v>
      </x:c>
      <x:c r="AJ1840" t="n">
        <x:v>0</x:v>
      </x:c>
      <x:c r="AK1840" t="n">
        <x:v>0</x:v>
      </x:c>
      <x:c r="AL1840" t="n">
        <x:v>0</x:v>
      </x:c>
      <x:c r="AM1840" t="n">
        <x:f>CHOOSE('假设'!$B$3,AJ1840,AK1840,AL1840)</x:f>
        <x:v>0</x:v>
      </x:c>
      <x:c r="AN1840" t="n">
        <x:v>1</x:v>
      </x:c>
    </x:row>
    <x:row r="1841" ht="23" customHeight="1">
      <x:c r="A1841" s="11" t="str">
        <x:v>688302.SH</x:v>
      </x:c>
      <x:c r="B1841" s="11" t="str">
        <x:v>一年</x:v>
      </x:c>
      <x:c r="C1841" s="11" t="str">
        <x:v>hp515_obesity_global</x:v>
      </x:c>
      <x:c r="D1841" s="11" t="str">
        <x:v>2027-12-31</x:v>
      </x:c>
      <x:c r="E1841" s="11" t="str">
        <x:v>USD</x:v>
      </x:c>
      <x:c r="F1841" s="11" t="n">
        <x:v>0.2272416153319644</x:v>
      </x:c>
      <x:c r="G1841" s="26" t="b">
        <x:v>1</x:v>
      </x:c>
      <x:c r="H1841" s="16" t="n">
        <x:v>0</x:v>
      </x:c>
      <x:c r="I1841" s="16" t="n">
        <x:v>0</x:v>
      </x:c>
      <x:c r="J1841" s="16" t="n">
        <x:v>0</x:v>
      </x:c>
      <x:c r="K1841" s="11" t="n">
        <x:f>CHOOSE('假设'!$B$3,H1841,I1841,J1841)</x:f>
        <x:v>0</x:v>
      </x:c>
      <x:c r="L1841" s="11" t="n">
        <x:f>K1841*'管线假设'!E411*'管线假设'!F411*'管线假设'!G411*IF(E1841="USD",'管线假设'!I411,1)-AM1841</x:f>
        <x:v>0</x:v>
      </x:c>
      <x:c r="M1841" s="11" t="n">
        <x:f>'管线假设'!H411</x:f>
        <x:v>0.14</x:v>
      </x:c>
      <x:c r="N1841" s="11" t="n">
        <x:f>IF(G1841,L1841*AN1841/(1+M1841)^F1841,0)</x:f>
        <x:v>0</x:v>
      </x:c>
      <x:c r="AJ1841" t="n">
        <x:v>0</x:v>
      </x:c>
      <x:c r="AK1841" t="n">
        <x:v>0</x:v>
      </x:c>
      <x:c r="AL1841" t="n">
        <x:v>0</x:v>
      </x:c>
      <x:c r="AM1841" t="n">
        <x:f>CHOOSE('假设'!$B$3,AJ1841,AK1841,AL1841)</x:f>
        <x:v>0</x:v>
      </x:c>
      <x:c r="AN1841" t="n">
        <x:v>1</x:v>
      </x:c>
    </x:row>
    <x:row r="1842" ht="23" customHeight="1">
      <x:c r="A1842" s="11" t="str">
        <x:v>688302.SH</x:v>
      </x:c>
      <x:c r="B1842" s="11" t="str">
        <x:v>一年</x:v>
      </x:c>
      <x:c r="C1842" s="11" t="str">
        <x:v>hp515_obesity_global</x:v>
      </x:c>
      <x:c r="D1842" s="11" t="str">
        <x:v>2028-12-31</x:v>
      </x:c>
      <x:c r="E1842" s="11" t="str">
        <x:v>USD</x:v>
      </x:c>
      <x:c r="F1842" s="11" t="n">
        <x:v>1.2292950034223136</x:v>
      </x:c>
      <x:c r="G1842" s="26" t="b">
        <x:v>1</x:v>
      </x:c>
      <x:c r="H1842" s="16" t="n">
        <x:v>0</x:v>
      </x:c>
      <x:c r="I1842" s="16" t="n">
        <x:v>0</x:v>
      </x:c>
      <x:c r="J1842" s="16" t="n">
        <x:v>0</x:v>
      </x:c>
      <x:c r="K1842" s="11" t="n">
        <x:f>CHOOSE('假设'!$B$3,H1842,I1842,J1842)</x:f>
        <x:v>0</x:v>
      </x:c>
      <x:c r="L1842" s="11" t="n">
        <x:f>K1842*'管线假设'!E411*'管线假设'!F411*'管线假设'!G411*IF(E1842="USD",'管线假设'!I411,1)-AM1842</x:f>
        <x:v>0</x:v>
      </x:c>
      <x:c r="M1842" s="11" t="n">
        <x:f>'管线假设'!H411</x:f>
        <x:v>0.14</x:v>
      </x:c>
      <x:c r="N1842" s="11" t="n">
        <x:f>IF(G1842,L1842*AN1842/(1+M1842)^F1842,0)</x:f>
        <x:v>0</x:v>
      </x:c>
      <x:c r="AJ1842" t="n">
        <x:v>0</x:v>
      </x:c>
      <x:c r="AK1842" t="n">
        <x:v>0</x:v>
      </x:c>
      <x:c r="AL1842" t="n">
        <x:v>0</x:v>
      </x:c>
      <x:c r="AM1842" t="n">
        <x:f>CHOOSE('假设'!$B$3,AJ1842,AK1842,AL1842)</x:f>
        <x:v>0</x:v>
      </x:c>
      <x:c r="AN1842" t="n">
        <x:v>1</x:v>
      </x:c>
    </x:row>
    <x:row r="1843" ht="23" customHeight="1">
      <x:c r="A1843" s="11" t="str">
        <x:v>688302.SH</x:v>
      </x:c>
      <x:c r="B1843" s="11" t="str">
        <x:v>一年</x:v>
      </x:c>
      <x:c r="C1843" s="11" t="str">
        <x:v>hp515_obesity_global</x:v>
      </x:c>
      <x:c r="D1843" s="11" t="str">
        <x:v>2029-12-31</x:v>
      </x:c>
      <x:c r="E1843" s="11" t="str">
        <x:v>USD</x:v>
      </x:c>
      <x:c r="F1843" s="11" t="n">
        <x:v>2.2286105407255303</x:v>
      </x:c>
      <x:c r="G1843" s="26" t="b">
        <x:v>1</x:v>
      </x:c>
      <x:c r="H1843" s="16" t="n">
        <x:v>0</x:v>
      </x:c>
      <x:c r="I1843" s="16" t="n">
        <x:v>0</x:v>
      </x:c>
      <x:c r="J1843" s="16" t="n">
        <x:v>0</x:v>
      </x:c>
      <x:c r="K1843" s="11" t="n">
        <x:f>CHOOSE('假设'!$B$3,H1843,I1843,J1843)</x:f>
        <x:v>0</x:v>
      </x:c>
      <x:c r="L1843" s="11" t="n">
        <x:f>K1843*'管线假设'!E411*'管线假设'!F411*'管线假设'!G411*IF(E1843="USD",'管线假设'!I411,1)-AM1843</x:f>
        <x:v>0</x:v>
      </x:c>
      <x:c r="M1843" s="11" t="n">
        <x:f>'管线假设'!H411</x:f>
        <x:v>0.14</x:v>
      </x:c>
      <x:c r="N1843" s="11" t="n">
        <x:f>IF(G1843,L1843*AN1843/(1+M1843)^F1843,0)</x:f>
        <x:v>0</x:v>
      </x:c>
      <x:c r="AJ1843" t="n">
        <x:v>0</x:v>
      </x:c>
      <x:c r="AK1843" t="n">
        <x:v>0</x:v>
      </x:c>
      <x:c r="AL1843" t="n">
        <x:v>0</x:v>
      </x:c>
      <x:c r="AM1843" t="n">
        <x:f>CHOOSE('假设'!$B$3,AJ1843,AK1843,AL1843)</x:f>
        <x:v>0</x:v>
      </x:c>
      <x:c r="AN1843" t="n">
        <x:v>1</x:v>
      </x:c>
    </x:row>
    <x:row r="1844" ht="23" customHeight="1">
      <x:c r="A1844" s="11" t="str">
        <x:v>688302.SH</x:v>
      </x:c>
      <x:c r="B1844" s="11" t="str">
        <x:v>一年</x:v>
      </x:c>
      <x:c r="C1844" s="11" t="str">
        <x:v>hp515_obesity_global</x:v>
      </x:c>
      <x:c r="D1844" s="11" t="str">
        <x:v>2030-12-31</x:v>
      </x:c>
      <x:c r="E1844" s="11" t="str">
        <x:v>USD</x:v>
      </x:c>
      <x:c r="F1844" s="11" t="n">
        <x:v>3.2279260780287475</x:v>
      </x:c>
      <x:c r="G1844" s="26" t="b">
        <x:v>1</x:v>
      </x:c>
      <x:c r="H1844" s="16" t="n">
        <x:v>0</x:v>
      </x:c>
      <x:c r="I1844" s="16" t="n">
        <x:v>0</x:v>
      </x:c>
      <x:c r="J1844" s="16" t="n">
        <x:v>0</x:v>
      </x:c>
      <x:c r="K1844" s="11" t="n">
        <x:f>CHOOSE('假设'!$B$3,H1844,I1844,J1844)</x:f>
        <x:v>0</x:v>
      </x:c>
      <x:c r="L1844" s="11" t="n">
        <x:f>K1844*'管线假设'!E411*'管线假设'!F411*'管线假设'!G411*IF(E1844="USD",'管线假设'!I411,1)-AM1844</x:f>
        <x:v>0</x:v>
      </x:c>
      <x:c r="M1844" s="11" t="n">
        <x:f>'管线假设'!H411</x:f>
        <x:v>0.14</x:v>
      </x:c>
      <x:c r="N1844" s="11" t="n">
        <x:f>IF(G1844,L1844*AN1844/(1+M1844)^F1844,0)</x:f>
        <x:v>0</x:v>
      </x:c>
      <x:c r="AJ1844" t="n">
        <x:v>0</x:v>
      </x:c>
      <x:c r="AK1844" t="n">
        <x:v>0</x:v>
      </x:c>
      <x:c r="AL1844" t="n">
        <x:v>0</x:v>
      </x:c>
      <x:c r="AM1844" t="n">
        <x:f>CHOOSE('假设'!$B$3,AJ1844,AK1844,AL1844)</x:f>
        <x:v>0</x:v>
      </x:c>
      <x:c r="AN1844" t="n">
        <x:v>1</x:v>
      </x:c>
    </x:row>
    <x:row r="1845" ht="23" customHeight="1">
      <x:c r="A1845" s="11" t="str">
        <x:v>688302.SH</x:v>
      </x:c>
      <x:c r="B1845" s="11" t="str">
        <x:v>一年</x:v>
      </x:c>
      <x:c r="C1845" s="11" t="str">
        <x:v>hp515_obesity_global</x:v>
      </x:c>
      <x:c r="D1845" s="11" t="str">
        <x:v>2031-12-31</x:v>
      </x:c>
      <x:c r="E1845" s="11" t="str">
        <x:v>USD</x:v>
      </x:c>
      <x:c r="F1845" s="11" t="n">
        <x:v>4.227241615331964</x:v>
      </x:c>
      <x:c r="G1845" s="26" t="b">
        <x:v>1</x:v>
      </x:c>
      <x:c r="H1845" s="16" t="n">
        <x:v>0</x:v>
      </x:c>
      <x:c r="I1845" s="16" t="n">
        <x:v>0</x:v>
      </x:c>
      <x:c r="J1845" s="16" t="n">
        <x:v>0</x:v>
      </x:c>
      <x:c r="K1845" s="11" t="n">
        <x:f>CHOOSE('假设'!$B$3,H1845,I1845,J1845)</x:f>
        <x:v>0</x:v>
      </x:c>
      <x:c r="L1845" s="11" t="n">
        <x:f>K1845*'管线假设'!E411*'管线假设'!F411*'管线假设'!G411*IF(E1845="USD",'管线假设'!I411,1)-AM1845</x:f>
        <x:v>0</x:v>
      </x:c>
      <x:c r="M1845" s="11" t="n">
        <x:f>'管线假设'!H411</x:f>
        <x:v>0.14</x:v>
      </x:c>
      <x:c r="N1845" s="11" t="n">
        <x:f>IF(G1845,L1845*AN1845/(1+M1845)^F1845,0)</x:f>
        <x:v>0</x:v>
      </x:c>
      <x:c r="AJ1845" t="n">
        <x:v>0</x:v>
      </x:c>
      <x:c r="AK1845" t="n">
        <x:v>0</x:v>
      </x:c>
      <x:c r="AL1845" t="n">
        <x:v>0</x:v>
      </x:c>
      <x:c r="AM1845" t="n">
        <x:f>CHOOSE('假设'!$B$3,AJ1845,AK1845,AL1845)</x:f>
        <x:v>0</x:v>
      </x:c>
      <x:c r="AN1845" t="n">
        <x:v>1</x:v>
      </x:c>
    </x:row>
    <x:row r="1846" ht="23" customHeight="1">
      <x:c r="A1846" s="11" t="str">
        <x:v>688302.SH</x:v>
      </x:c>
      <x:c r="B1846" s="11" t="str">
        <x:v>一年</x:v>
      </x:c>
      <x:c r="C1846" s="11" t="str">
        <x:v>hp515_obesity_global</x:v>
      </x:c>
      <x:c r="D1846" s="11" t="str">
        <x:v>2032-12-31</x:v>
      </x:c>
      <x:c r="E1846" s="11" t="str">
        <x:v>USD</x:v>
      </x:c>
      <x:c r="F1846" s="11" t="n">
        <x:v>5.229295003422314</x:v>
      </x:c>
      <x:c r="G1846" s="26" t="b">
        <x:v>1</x:v>
      </x:c>
      <x:c r="H1846" s="16" t="n">
        <x:v>0</x:v>
      </x:c>
      <x:c r="I1846" s="16" t="n">
        <x:v>0</x:v>
      </x:c>
      <x:c r="J1846" s="16" t="n">
        <x:v>0</x:v>
      </x:c>
      <x:c r="K1846" s="11" t="n">
        <x:f>CHOOSE('假设'!$B$3,H1846,I1846,J1846)</x:f>
        <x:v>0</x:v>
      </x:c>
      <x:c r="L1846" s="11" t="n">
        <x:f>K1846*'管线假设'!E411*'管线假设'!F411*'管线假设'!G411*IF(E1846="USD",'管线假设'!I411,1)-AM1846</x:f>
        <x:v>0</x:v>
      </x:c>
      <x:c r="M1846" s="11" t="n">
        <x:f>'管线假设'!H411</x:f>
        <x:v>0.14</x:v>
      </x:c>
      <x:c r="N1846" s="11" t="n">
        <x:f>IF(G1846,L1846*AN1846/(1+M1846)^F1846,0)</x:f>
        <x:v>0</x:v>
      </x:c>
      <x:c r="AJ1846" t="n">
        <x:v>0</x:v>
      </x:c>
      <x:c r="AK1846" t="n">
        <x:v>0</x:v>
      </x:c>
      <x:c r="AL1846" t="n">
        <x:v>0</x:v>
      </x:c>
      <x:c r="AM1846" t="n">
        <x:f>CHOOSE('假设'!$B$3,AJ1846,AK1846,AL1846)</x:f>
        <x:v>0</x:v>
      </x:c>
      <x:c r="AN1846" t="n">
        <x:v>1</x:v>
      </x:c>
    </x:row>
    <x:row r="1847" ht="23" customHeight="1">
      <x:c r="A1847" s="11" t="str">
        <x:v>688302.SH</x:v>
      </x:c>
      <x:c r="B1847" s="11" t="str">
        <x:v>一年</x:v>
      </x:c>
      <x:c r="C1847" s="11" t="str">
        <x:v>hp515_obesity_global</x:v>
      </x:c>
      <x:c r="D1847" s="11" t="str">
        <x:v>2033-12-31</x:v>
      </x:c>
      <x:c r="E1847" s="11" t="str">
        <x:v>USD</x:v>
      </x:c>
      <x:c r="F1847" s="11" t="n">
        <x:v>6.228610540725531</x:v>
      </x:c>
      <x:c r="G1847" s="26" t="b">
        <x:v>1</x:v>
      </x:c>
      <x:c r="H1847" s="16" t="n">
        <x:v>0</x:v>
      </x:c>
      <x:c r="I1847" s="16" t="n">
        <x:v>0</x:v>
      </x:c>
      <x:c r="J1847" s="16" t="n">
        <x:v>0.6666666666666666</x:v>
      </x:c>
      <x:c r="K1847" s="11" t="n">
        <x:f>CHOOSE('假设'!$B$3,H1847,I1847,J1847)</x:f>
        <x:v>0</x:v>
      </x:c>
      <x:c r="L1847" s="11" t="n">
        <x:f>K1847*'管线假设'!E411*'管线假设'!F411*'管线假设'!G411*IF(E1847="USD",'管线假设'!I411,1)-AM1847</x:f>
        <x:v>0</x:v>
      </x:c>
      <x:c r="M1847" s="11" t="n">
        <x:f>'管线假设'!H411</x:f>
        <x:v>0.14</x:v>
      </x:c>
      <x:c r="N1847" s="11" t="n">
        <x:f>IF(G1847,L1847*AN1847/(1+M1847)^F1847,0)</x:f>
        <x:v>0</x:v>
      </x:c>
      <x:c r="AJ1847" t="n">
        <x:v>0</x:v>
      </x:c>
      <x:c r="AK1847" t="n">
        <x:v>0</x:v>
      </x:c>
      <x:c r="AL1847" t="n">
        <x:v>0</x:v>
      </x:c>
      <x:c r="AM1847" t="n">
        <x:f>CHOOSE('假设'!$B$3,AJ1847,AK1847,AL1847)</x:f>
        <x:v>0</x:v>
      </x:c>
      <x:c r="AN1847" t="n">
        <x:v>1</x:v>
      </x:c>
    </x:row>
    <x:row r="1848" ht="23" customHeight="1">
      <x:c r="A1848" s="11" t="str">
        <x:v>688302.SH</x:v>
      </x:c>
      <x:c r="B1848" s="11" t="str">
        <x:v>一年</x:v>
      </x:c>
      <x:c r="C1848" s="11" t="str">
        <x:v>hp515_obesity_global</x:v>
      </x:c>
      <x:c r="D1848" s="11" t="str">
        <x:v>2034-12-31</x:v>
      </x:c>
      <x:c r="E1848" s="11" t="str">
        <x:v>USD</x:v>
      </x:c>
      <x:c r="F1848" s="11" t="n">
        <x:v>7.227926078028747</x:v>
      </x:c>
      <x:c r="G1848" s="26" t="b">
        <x:v>1</x:v>
      </x:c>
      <x:c r="H1848" s="16" t="n">
        <x:v>0</x:v>
      </x:c>
      <x:c r="I1848" s="16" t="n">
        <x:v>0</x:v>
      </x:c>
      <x:c r="J1848" s="16" t="n">
        <x:v>1.3333333333333333</x:v>
      </x:c>
      <x:c r="K1848" s="11" t="n">
        <x:f>CHOOSE('假设'!$B$3,H1848,I1848,J1848)</x:f>
        <x:v>0</x:v>
      </x:c>
      <x:c r="L1848" s="11" t="n">
        <x:f>K1848*'管线假设'!E411*'管线假设'!F411*'管线假设'!G411*IF(E1848="USD",'管线假设'!I411,1)-AM1848</x:f>
        <x:v>0</x:v>
      </x:c>
      <x:c r="M1848" s="11" t="n">
        <x:f>'管线假设'!H411</x:f>
        <x:v>0.14</x:v>
      </x:c>
      <x:c r="N1848" s="11" t="n">
        <x:f>IF(G1848,L1848*AN1848/(1+M1848)^F1848,0)</x:f>
        <x:v>0</x:v>
      </x:c>
      <x:c r="AJ1848" t="n">
        <x:v>0</x:v>
      </x:c>
      <x:c r="AK1848" t="n">
        <x:v>0</x:v>
      </x:c>
      <x:c r="AL1848" t="n">
        <x:v>0</x:v>
      </x:c>
      <x:c r="AM1848" t="n">
        <x:f>CHOOSE('假设'!$B$3,AJ1848,AK1848,AL1848)</x:f>
        <x:v>0</x:v>
      </x:c>
      <x:c r="AN1848" t="n">
        <x:v>1</x:v>
      </x:c>
    </x:row>
    <x:row r="1849" ht="23" customHeight="1">
      <x:c r="A1849" s="11" t="str">
        <x:v>688302.SH</x:v>
      </x:c>
      <x:c r="B1849" s="11" t="str">
        <x:v>一年</x:v>
      </x:c>
      <x:c r="C1849" s="11" t="str">
        <x:v>hp515_obesity_global</x:v>
      </x:c>
      <x:c r="D1849" s="11" t="str">
        <x:v>2035-12-31</x:v>
      </x:c>
      <x:c r="E1849" s="11" t="str">
        <x:v>USD</x:v>
      </x:c>
      <x:c r="F1849" s="11" t="n">
        <x:v>8.227241615331964</x:v>
      </x:c>
      <x:c r="G1849" s="26" t="b">
        <x:v>1</x:v>
      </x:c>
      <x:c r="H1849" s="16" t="n">
        <x:v>0</x:v>
      </x:c>
      <x:c r="I1849" s="16" t="n">
        <x:v>0.3333333333333333</x:v>
      </x:c>
      <x:c r="J1849" s="16" t="n">
        <x:v>2</x:v>
      </x:c>
      <x:c r="K1849" s="11" t="n">
        <x:f>CHOOSE('假设'!$B$3,H1849,I1849,J1849)</x:f>
        <x:v>0.3333333333333333</x:v>
      </x:c>
      <x:c r="L1849" s="11" t="n">
        <x:f>K1849*'管线假设'!E411*'管线假设'!F411*'管线假设'!G411*IF(E1849="USD",'管线假设'!I411,1)-AM1849</x:f>
        <x:v>0.021560533333333336</x:v>
      </x:c>
      <x:c r="M1849" s="11" t="n">
        <x:f>'管线假设'!H411</x:f>
        <x:v>0.14</x:v>
      </x:c>
      <x:c r="N1849" s="11" t="n">
        <x:f>IF(G1849,L1849*AN1849/(1+M1849)^F1849,0)</x:f>
        <x:v>0.007336510417708584</x:v>
      </x:c>
      <x:c r="AJ1849" t="n">
        <x:v>0</x:v>
      </x:c>
      <x:c r="AK1849" t="n">
        <x:v>0</x:v>
      </x:c>
      <x:c r="AL1849" t="n">
        <x:v>0</x:v>
      </x:c>
      <x:c r="AM1849" t="n">
        <x:f>CHOOSE('假设'!$B$3,AJ1849,AK1849,AL1849)</x:f>
        <x:v>0</x:v>
      </x:c>
      <x:c r="AN1849" t="n">
        <x:v>1</x:v>
      </x:c>
    </x:row>
    <x:row r="1850" ht="23" customHeight="1">
      <x:c r="A1850" s="11" t="str">
        <x:v>688302.SH</x:v>
      </x:c>
      <x:c r="B1850" s="11" t="str">
        <x:v>一年</x:v>
      </x:c>
      <x:c r="C1850" s="11" t="str">
        <x:v>hp515_obesity_global</x:v>
      </x:c>
      <x:c r="D1850" s="11" t="str">
        <x:v>2036-12-31</x:v>
      </x:c>
      <x:c r="E1850" s="11" t="str">
        <x:v>USD</x:v>
      </x:c>
      <x:c r="F1850" s="11" t="n">
        <x:v>9.229295003422314</x:v>
      </x:c>
      <x:c r="G1850" s="26" t="b">
        <x:v>1</x:v>
      </x:c>
      <x:c r="H1850" s="16" t="n">
        <x:v>0</x:v>
      </x:c>
      <x:c r="I1850" s="16" t="n">
        <x:v>0.6666666666666666</x:v>
      </x:c>
      <x:c r="J1850" s="16" t="n">
        <x:v>2.6666666666666665</x:v>
      </x:c>
      <x:c r="K1850" s="11" t="n">
        <x:f>CHOOSE('假设'!$B$3,H1850,I1850,J1850)</x:f>
        <x:v>0.6666666666666666</x:v>
      </x:c>
      <x:c r="L1850" s="11" t="n">
        <x:f>K1850*'管线假设'!E411*'管线假设'!F411*'管线假设'!G411*IF(E1850="USD",'管线假设'!I411,1)-AM1850</x:f>
        <x:v>0.04312106666666667</x:v>
      </x:c>
      <x:c r="M1850" s="11" t="n">
        <x:f>'管线假设'!H411</x:f>
        <x:v>0.14</x:v>
      </x:c>
      <x:c r="N1850" s="11" t="n">
        <x:f>IF(G1850,L1850*AN1850/(1+M1850)^F1850,0)</x:f>
        <x:v>0.012867608388338161</x:v>
      </x:c>
      <x:c r="AJ1850" t="n">
        <x:v>0</x:v>
      </x:c>
      <x:c r="AK1850" t="n">
        <x:v>0</x:v>
      </x:c>
      <x:c r="AL1850" t="n">
        <x:v>0</x:v>
      </x:c>
      <x:c r="AM1850" t="n">
        <x:f>CHOOSE('假设'!$B$3,AJ1850,AK1850,AL1850)</x:f>
        <x:v>0</x:v>
      </x:c>
      <x:c r="AN1850" t="n">
        <x:v>1</x:v>
      </x:c>
    </x:row>
    <x:row r="1851" ht="23" customHeight="1">
      <x:c r="A1851" s="11" t="str">
        <x:v>688302.SH</x:v>
      </x:c>
      <x:c r="B1851" s="11" t="str">
        <x:v>一年</x:v>
      </x:c>
      <x:c r="C1851" s="11" t="str">
        <x:v>hp515_obesity_global</x:v>
      </x:c>
      <x:c r="D1851" s="11" t="str">
        <x:v>2037-12-31</x:v>
      </x:c>
      <x:c r="E1851" s="11" t="str">
        <x:v>USD</x:v>
      </x:c>
      <x:c r="F1851" s="11" t="n">
        <x:v>10.22861054072553</x:v>
      </x:c>
      <x:c r="G1851" s="26" t="b">
        <x:v>1</x:v>
      </x:c>
      <x:c r="H1851" s="16" t="n">
        <x:v>0</x:v>
      </x:c>
      <x:c r="I1851" s="16" t="n">
        <x:v>1</x:v>
      </x:c>
      <x:c r="J1851" s="16" t="n">
        <x:v>3.3333333333333335</x:v>
      </x:c>
      <x:c r="K1851" s="11" t="n">
        <x:f>CHOOSE('假设'!$B$3,H1851,I1851,J1851)</x:f>
        <x:v>1</x:v>
      </x:c>
      <x:c r="L1851" s="11" t="n">
        <x:f>K1851*'管线假设'!E411*'管线假设'!F411*'管线假设'!G411*IF(E1851="USD",'管线假设'!I411,1)-AM1851</x:f>
        <x:v>0.0646816</x:v>
      </x:c>
      <x:c r="M1851" s="11" t="n">
        <x:f>'管线假设'!H411</x:f>
        <x:v>0.14</x:v>
      </x:c>
      <x:c r="N1851" s="11" t="n">
        <x:f>IF(G1851,L1851*AN1851/(1+M1851)^F1851,0)</x:f>
        <x:v>0.016932582181758398</x:v>
      </x:c>
      <x:c r="AJ1851" t="n">
        <x:v>0</x:v>
      </x:c>
      <x:c r="AK1851" t="n">
        <x:v>0</x:v>
      </x:c>
      <x:c r="AL1851" t="n">
        <x:v>0</x:v>
      </x:c>
      <x:c r="AM1851" t="n">
        <x:f>CHOOSE('假设'!$B$3,AJ1851,AK1851,AL1851)</x:f>
        <x:v>0</x:v>
      </x:c>
      <x:c r="AN1851" t="n">
        <x:v>1</x:v>
      </x:c>
    </x:row>
    <x:row r="1852" ht="23" customHeight="1">
      <x:c r="A1852" s="11" t="str">
        <x:v>688302.SH</x:v>
      </x:c>
      <x:c r="B1852" s="11" t="str">
        <x:v>一年</x:v>
      </x:c>
      <x:c r="C1852" s="11" t="str">
        <x:v>hp515_obesity_global</x:v>
      </x:c>
      <x:c r="D1852" s="11" t="str">
        <x:v>2038-12-31</x:v>
      </x:c>
      <x:c r="E1852" s="11" t="str">
        <x:v>USD</x:v>
      </x:c>
      <x:c r="F1852" s="11" t="n">
        <x:v>11.227926078028748</x:v>
      </x:c>
      <x:c r="G1852" s="26" t="b">
        <x:v>1</x:v>
      </x:c>
      <x:c r="H1852" s="16" t="n">
        <x:v>0.1</x:v>
      </x:c>
      <x:c r="I1852" s="16" t="n">
        <x:v>1.3333333333333333</x:v>
      </x:c>
      <x:c r="J1852" s="16" t="n">
        <x:v>4</x:v>
      </x:c>
      <x:c r="K1852" s="11" t="n">
        <x:f>CHOOSE('假设'!$B$3,H1852,I1852,J1852)</x:f>
        <x:v>1.3333333333333333</x:v>
      </x:c>
      <x:c r="L1852" s="11" t="n">
        <x:f>K1852*'管线假设'!E411*'管线假设'!F411*'管线假设'!G411*IF(E1852="USD",'管线假设'!I411,1)-AM1852</x:f>
        <x:v>0.08624213333333335</x:v>
      </x:c>
      <x:c r="M1852" s="11" t="n">
        <x:f>'管线假设'!H411</x:f>
        <x:v>0.14</x:v>
      </x:c>
      <x:c r="N1852" s="11" t="n">
        <x:f>IF(G1852,L1852*AN1852/(1+M1852)^F1852,0)</x:f>
        <x:v>0.019805965884027065</x:v>
      </x:c>
      <x:c r="AJ1852" t="n">
        <x:v>0</x:v>
      </x:c>
      <x:c r="AK1852" t="n">
        <x:v>0</x:v>
      </x:c>
      <x:c r="AL1852" t="n">
        <x:v>0</x:v>
      </x:c>
      <x:c r="AM1852" t="n">
        <x:f>CHOOSE('假设'!$B$3,AJ1852,AK1852,AL1852)</x:f>
        <x:v>0</x:v>
      </x:c>
      <x:c r="AN1852" t="n">
        <x:v>1</x:v>
      </x:c>
    </x:row>
    <x:row r="1853" ht="23" customHeight="1">
      <x:c r="A1853" s="11" t="str">
        <x:v>688302.SH</x:v>
      </x:c>
      <x:c r="B1853" s="11" t="str">
        <x:v>一年</x:v>
      </x:c>
      <x:c r="C1853" s="11" t="str">
        <x:v>hp515_obesity_global</x:v>
      </x:c>
      <x:c r="D1853" s="11" t="str">
        <x:v>2039-12-31</x:v>
      </x:c>
      <x:c r="E1853" s="11" t="str">
        <x:v>USD</x:v>
      </x:c>
      <x:c r="F1853" s="11" t="n">
        <x:v>12.227241615331964</x:v>
      </x:c>
      <x:c r="G1853" s="26" t="b">
        <x:v>1</x:v>
      </x:c>
      <x:c r="H1853" s="16" t="n">
        <x:v>0.2</x:v>
      </x:c>
      <x:c r="I1853" s="16" t="n">
        <x:v>1.6666666666666667</x:v>
      </x:c>
      <x:c r="J1853" s="16" t="n">
        <x:v>3.48</x:v>
      </x:c>
      <x:c r="K1853" s="11" t="n">
        <x:f>CHOOSE('假设'!$B$3,H1853,I1853,J1853)</x:f>
        <x:v>1.6666666666666667</x:v>
      </x:c>
      <x:c r="L1853" s="11" t="n">
        <x:f>K1853*'管线假设'!E411*'管线假设'!F411*'管线假设'!G411*IF(E1853="USD",'管线假设'!I411,1)-AM1853</x:f>
        <x:v>0.10780266666666669</x:v>
      </x:c>
      <x:c r="M1853" s="11" t="n">
        <x:f>'管线假设'!H411</x:f>
        <x:v>0.14</x:v>
      </x:c>
      <x:c r="N1853" s="11" t="n">
        <x:f>IF(G1853,L1853*AN1853/(1+M1853)^F1853,0)</x:f>
        <x:v>0.021719015615230916</x:v>
      </x:c>
      <x:c r="AJ1853" t="n">
        <x:v>0</x:v>
      </x:c>
      <x:c r="AK1853" t="n">
        <x:v>0</x:v>
      </x:c>
      <x:c r="AL1853" t="n">
        <x:v>0</x:v>
      </x:c>
      <x:c r="AM1853" t="n">
        <x:f>CHOOSE('假设'!$B$3,AJ1853,AK1853,AL1853)</x:f>
        <x:v>0</x:v>
      </x:c>
      <x:c r="AN1853" t="n">
        <x:v>1</x:v>
      </x:c>
    </x:row>
    <x:row r="1854" ht="23" customHeight="1">
      <x:c r="A1854" s="11" t="str">
        <x:v>688302.SH</x:v>
      </x:c>
      <x:c r="B1854" s="11" t="str">
        <x:v>一年</x:v>
      </x:c>
      <x:c r="C1854" s="11" t="str">
        <x:v>hp515_obesity_global</x:v>
      </x:c>
      <x:c r="D1854" s="11" t="str">
        <x:v>2040-12-31</x:v>
      </x:c>
      <x:c r="E1854" s="11" t="str">
        <x:v>USD</x:v>
      </x:c>
      <x:c r="F1854" s="11" t="n">
        <x:v>13.229295003422314</x:v>
      </x:c>
      <x:c r="G1854" s="26" t="b">
        <x:v>1</x:v>
      </x:c>
      <x:c r="H1854" s="16" t="n">
        <x:v>0.3</x:v>
      </x:c>
      <x:c r="I1854" s="16" t="n">
        <x:v>2</x:v>
      </x:c>
      <x:c r="J1854" s="16" t="n">
        <x:v>2.96</x:v>
      </x:c>
      <x:c r="K1854" s="11" t="n">
        <x:f>CHOOSE('假设'!$B$3,H1854,I1854,J1854)</x:f>
        <x:v>2</x:v>
      </x:c>
      <x:c r="L1854" s="11" t="n">
        <x:f>K1854*'管线假设'!E411*'管线假设'!F411*'管线假设'!G411*IF(E1854="USD",'管线假设'!I411,1)-AM1854</x:f>
        <x:v>0.1293632</x:v>
      </x:c>
      <x:c r="M1854" s="11" t="n">
        <x:f>'管线假设'!H411</x:f>
        <x:v>0.14</x:v>
      </x:c>
      <x:c r="N1854" s="11" t="n">
        <x:f>IF(G1854,L1854*AN1854/(1+M1854)^F1854,0)</x:f>
        <x:v>0.022855971430974707</x:v>
      </x:c>
      <x:c r="AJ1854" t="n">
        <x:v>0</x:v>
      </x:c>
      <x:c r="AK1854" t="n">
        <x:v>0</x:v>
      </x:c>
      <x:c r="AL1854" t="n">
        <x:v>0</x:v>
      </x:c>
      <x:c r="AM1854" t="n">
        <x:f>CHOOSE('假设'!$B$3,AJ1854,AK1854,AL1854)</x:f>
        <x:v>0</x:v>
      </x:c>
      <x:c r="AN1854" t="n">
        <x:v>1</x:v>
      </x:c>
    </x:row>
    <x:row r="1855" ht="23" customHeight="1">
      <x:c r="A1855" s="11" t="str">
        <x:v>688302.SH</x:v>
      </x:c>
      <x:c r="B1855" s="11" t="str">
        <x:v>一年</x:v>
      </x:c>
      <x:c r="C1855" s="11" t="str">
        <x:v>hp515_obesity_global</x:v>
      </x:c>
      <x:c r="D1855" s="11" t="str">
        <x:v>2041-12-31</x:v>
      </x:c>
      <x:c r="E1855" s="11" t="str">
        <x:v>USD</x:v>
      </x:c>
      <x:c r="F1855" s="11" t="n">
        <x:v>14.22861054072553</x:v>
      </x:c>
      <x:c r="G1855" s="26" t="b">
        <x:v>1</x:v>
      </x:c>
      <x:c r="H1855" s="16" t="n">
        <x:v>0.4</x:v>
      </x:c>
      <x:c r="I1855" s="16" t="n">
        <x:v>1.74</x:v>
      </x:c>
      <x:c r="J1855" s="16" t="n">
        <x:v>2.44</x:v>
      </x:c>
      <x:c r="K1855" s="11" t="n">
        <x:f>CHOOSE('假设'!$B$3,H1855,I1855,J1855)</x:f>
        <x:v>1.74</x:v>
      </x:c>
      <x:c r="L1855" s="11" t="n">
        <x:f>K1855*'管线假设'!E411*'管线假设'!F411*'管线假设'!G411*IF(E1855="USD",'管线假设'!I411,1)-AM1855</x:f>
        <x:v>0.11254598400000003</x:v>
      </x:c>
      <x:c r="M1855" s="11" t="n">
        <x:f>'管线假设'!H411</x:f>
        <x:v>0.14</x:v>
      </x:c>
      <x:c r="N1855" s="11" t="n">
        <x:f>IF(G1855,L1855*AN1855/(1+M1855)^F1855,0)</x:f>
        <x:v>0.01744427944129813</x:v>
      </x:c>
      <x:c r="AJ1855" t="n">
        <x:v>0</x:v>
      </x:c>
      <x:c r="AK1855" t="n">
        <x:v>0</x:v>
      </x:c>
      <x:c r="AL1855" t="n">
        <x:v>0</x:v>
      </x:c>
      <x:c r="AM1855" t="n">
        <x:f>CHOOSE('假设'!$B$3,AJ1855,AK1855,AL1855)</x:f>
        <x:v>0</x:v>
      </x:c>
      <x:c r="AN1855" t="n">
        <x:v>1</x:v>
      </x:c>
    </x:row>
    <x:row r="1856" ht="23" customHeight="1">
      <x:c r="A1856" s="11" t="str">
        <x:v>688302.SH</x:v>
      </x:c>
      <x:c r="B1856" s="11" t="str">
        <x:v>一年</x:v>
      </x:c>
      <x:c r="C1856" s="11" t="str">
        <x:v>hp515_obesity_global</x:v>
      </x:c>
      <x:c r="D1856" s="11" t="str">
        <x:v>2042-12-31</x:v>
      </x:c>
      <x:c r="E1856" s="11" t="str">
        <x:v>USD</x:v>
      </x:c>
      <x:c r="F1856" s="11" t="n">
        <x:v>15.227926078028748</x:v>
      </x:c>
      <x:c r="G1856" s="26" t="b">
        <x:v>1</x:v>
      </x:c>
      <x:c r="H1856" s="16" t="n">
        <x:v>0.5</x:v>
      </x:c>
      <x:c r="I1856" s="16" t="n">
        <x:v>1.48</x:v>
      </x:c>
      <x:c r="J1856" s="16" t="n">
        <x:v>1.92</x:v>
      </x:c>
      <x:c r="K1856" s="11" t="n">
        <x:f>CHOOSE('假设'!$B$3,H1856,I1856,J1856)</x:f>
        <x:v>1.48</x:v>
      </x:c>
      <x:c r="L1856" s="11" t="n">
        <x:f>K1856*'管线假设'!E411*'管线假设'!F411*'管线假设'!G411*IF(E1856="USD",'管线假设'!I411,1)-AM1856</x:f>
        <x:v>0.095728768</x:v>
      </x:c>
      <x:c r="M1856" s="11" t="n">
        <x:f>'管线假设'!H411</x:f>
        <x:v>0.14</x:v>
      </x:c>
      <x:c r="N1856" s="11" t="n">
        <x:f>IF(G1856,L1856*AN1856/(1+M1856)^F1856,0)</x:f>
        <x:v>0.013016661169361171</x:v>
      </x:c>
      <x:c r="AJ1856" t="n">
        <x:v>0</x:v>
      </x:c>
      <x:c r="AK1856" t="n">
        <x:v>0</x:v>
      </x:c>
      <x:c r="AL1856" t="n">
        <x:v>0</x:v>
      </x:c>
      <x:c r="AM1856" t="n">
        <x:f>CHOOSE('假设'!$B$3,AJ1856,AK1856,AL1856)</x:f>
        <x:v>0</x:v>
      </x:c>
      <x:c r="AN1856" t="n">
        <x:v>1</x:v>
      </x:c>
    </x:row>
    <x:row r="1857" ht="23" customHeight="1">
      <x:c r="A1857" s="11" t="str">
        <x:v>688302.SH</x:v>
      </x:c>
      <x:c r="B1857" s="11" t="str">
        <x:v>一年</x:v>
      </x:c>
      <x:c r="C1857" s="11" t="str">
        <x:v>hp515_obesity_global</x:v>
      </x:c>
      <x:c r="D1857" s="11" t="str">
        <x:v>2043-12-31</x:v>
      </x:c>
      <x:c r="E1857" s="11" t="str">
        <x:v>USD</x:v>
      </x:c>
      <x:c r="F1857" s="11" t="n">
        <x:v>16.227241615331966</x:v>
      </x:c>
      <x:c r="G1857" s="26" t="b">
        <x:v>1</x:v>
      </x:c>
      <x:c r="H1857" s="16" t="n">
        <x:v>0.435</x:v>
      </x:c>
      <x:c r="I1857" s="16" t="n">
        <x:v>1.22</x:v>
      </x:c>
      <x:c r="J1857" s="16" t="n">
        <x:v>1.4</x:v>
      </x:c>
      <x:c r="K1857" s="11" t="n">
        <x:f>CHOOSE('假设'!$B$3,H1857,I1857,J1857)</x:f>
        <x:v>1.22</x:v>
      </x:c>
      <x:c r="L1857" s="11" t="n">
        <x:f>K1857*'管线假设'!E411*'管线假设'!F411*'管线假设'!G411*IF(E1857="USD",'管线假设'!I411,1)-AM1857</x:f>
        <x:v>0.07891155200000002</x:v>
      </x:c>
      <x:c r="M1857" s="11" t="n">
        <x:f>'管线假设'!H411</x:f>
        <x:v>0.14</x:v>
      </x:c>
      <x:c r="N1857" s="11" t="n">
        <x:f>IF(G1857,L1857*AN1857/(1+M1857)^F1857,0)</x:f>
        <x:v>0.009413081378040925</x:v>
      </x:c>
      <x:c r="AJ1857" t="n">
        <x:v>0</x:v>
      </x:c>
      <x:c r="AK1857" t="n">
        <x:v>0</x:v>
      </x:c>
      <x:c r="AL1857" t="n">
        <x:v>0</x:v>
      </x:c>
      <x:c r="AM1857" t="n">
        <x:f>CHOOSE('假设'!$B$3,AJ1857,AK1857,AL1857)</x:f>
        <x:v>0</x:v>
      </x:c>
      <x:c r="AN1857" t="n">
        <x:v>1</x:v>
      </x:c>
    </x:row>
    <x:row r="1858" ht="23" customHeight="1">
      <x:c r="A1858" s="11" t="str">
        <x:v>688302.SH</x:v>
      </x:c>
      <x:c r="B1858" s="11" t="str">
        <x:v>一年</x:v>
      </x:c>
      <x:c r="C1858" s="11" t="str">
        <x:v>hp515_obesity_global</x:v>
      </x:c>
      <x:c r="D1858" s="11" t="str">
        <x:v>2044-12-31</x:v>
      </x:c>
      <x:c r="E1858" s="11" t="str">
        <x:v>USD</x:v>
      </x:c>
      <x:c r="F1858" s="11" t="n">
        <x:v>17.229295003422312</x:v>
      </x:c>
      <x:c r="G1858" s="26" t="b">
        <x:v>1</x:v>
      </x:c>
      <x:c r="H1858" s="16" t="n">
        <x:v>0.37</x:v>
      </x:c>
      <x:c r="I1858" s="16" t="n">
        <x:v>0.96</x:v>
      </x:c>
      <x:c r="J1858" s="16" t="n">
        <x:v>0.8799999999999999</x:v>
      </x:c>
      <x:c r="K1858" s="11" t="n">
        <x:f>CHOOSE('假设'!$B$3,H1858,I1858,J1858)</x:f>
        <x:v>0.96</x:v>
      </x:c>
      <x:c r="L1858" s="11" t="n">
        <x:f>K1858*'管线假设'!E411*'管线假设'!F411*'管线假设'!G411*IF(E1858="USD",'管线假设'!I411,1)-AM1858</x:f>
        <x:v>0.062094336000000014</x:v>
      </x:c>
      <x:c r="M1858" s="11" t="n">
        <x:f>'管线假设'!H411</x:f>
        <x:v>0.14</x:v>
      </x:c>
      <x:c r="N1858" s="11" t="n">
        <x:f>IF(G1858,L1858*AN1858/(1+M1858)^F1858,0)</x:f>
        <x:v>0.006495633554119985</x:v>
      </x:c>
      <x:c r="AJ1858" t="n">
        <x:v>0</x:v>
      </x:c>
      <x:c r="AK1858" t="n">
        <x:v>0</x:v>
      </x:c>
      <x:c r="AL1858" t="n">
        <x:v>0</x:v>
      </x:c>
      <x:c r="AM1858" t="n">
        <x:f>CHOOSE('假设'!$B$3,AJ1858,AK1858,AL1858)</x:f>
        <x:v>0</x:v>
      </x:c>
      <x:c r="AN1858" t="n">
        <x:v>1</x:v>
      </x:c>
    </x:row>
    <x:row r="1859" ht="23" customHeight="1">
      <x:c r="A1859" s="11" t="str">
        <x:v>688302.SH</x:v>
      </x:c>
      <x:c r="B1859" s="11" t="str">
        <x:v>一年</x:v>
      </x:c>
      <x:c r="C1859" s="11" t="str">
        <x:v>hp515_obesity_global</x:v>
      </x:c>
      <x:c r="D1859" s="11" t="str">
        <x:v>2045-12-31</x:v>
      </x:c>
      <x:c r="E1859" s="11" t="str">
        <x:v>USD</x:v>
      </x:c>
      <x:c r="F1859" s="11" t="n">
        <x:v>18.22861054072553</x:v>
      </x:c>
      <x:c r="G1859" s="26" t="b">
        <x:v>1</x:v>
      </x:c>
      <x:c r="H1859" s="16" t="n">
        <x:v>0.305</x:v>
      </x:c>
      <x:c r="I1859" s="16" t="n">
        <x:v>0.7</x:v>
      </x:c>
      <x:c r="J1859" s="16" t="n">
        <x:v>0.3599999999999999</x:v>
      </x:c>
      <x:c r="K1859" s="11" t="n">
        <x:f>CHOOSE('假设'!$B$3,H1859,I1859,J1859)</x:f>
        <x:v>0.7</x:v>
      </x:c>
      <x:c r="L1859" s="11" t="n">
        <x:f>K1859*'管线假设'!E411*'管线假设'!F411*'管线假设'!G411*IF(E1859="USD",'管线假设'!I411,1)-AM1859</x:f>
        <x:v>0.045277120000000004</x:v>
      </x:c>
      <x:c r="M1859" s="11" t="n">
        <x:f>'管线假设'!H411</x:f>
        <x:v>0.14</x:v>
      </x:c>
      <x:c r="N1859" s="11" t="n">
        <x:f>IF(G1859,L1859*AN1859/(1+M1859)^F1859,0)</x:f>
        <x:v>0.004155109004074036</x:v>
      </x:c>
      <x:c r="AJ1859" t="n">
        <x:v>0</x:v>
      </x:c>
      <x:c r="AK1859" t="n">
        <x:v>0</x:v>
      </x:c>
      <x:c r="AL1859" t="n">
        <x:v>0</x:v>
      </x:c>
      <x:c r="AM1859" t="n">
        <x:f>CHOOSE('假设'!$B$3,AJ1859,AK1859,AL1859)</x:f>
        <x:v>0</x:v>
      </x:c>
      <x:c r="AN1859" t="n">
        <x:v>1</x:v>
      </x:c>
    </x:row>
    <x:row r="1860" ht="23" customHeight="1">
      <x:c r="A1860" s="11" t="str">
        <x:v>688302.SH</x:v>
      </x:c>
      <x:c r="B1860" s="11" t="str">
        <x:v>一年</x:v>
      </x:c>
      <x:c r="C1860" s="11" t="str">
        <x:v>hp570_global</x:v>
      </x:c>
      <x:c r="D1860" s="11" t="str">
        <x:v>2027-12-31</x:v>
      </x:c>
      <x:c r="E1860" s="11" t="str">
        <x:v>USD</x:v>
      </x:c>
      <x:c r="F1860" s="11" t="n">
        <x:v>0.2272416153319644</x:v>
      </x:c>
      <x:c r="G1860" s="26" t="b">
        <x:v>1</x:v>
      </x:c>
      <x:c r="H1860" s="16" t="n">
        <x:v>0</x:v>
      </x:c>
      <x:c r="I1860" s="16" t="n">
        <x:v>0</x:v>
      </x:c>
      <x:c r="J1860" s="16" t="n">
        <x:v>0</x:v>
      </x:c>
      <x:c r="K1860" s="11" t="n">
        <x:f>CHOOSE('假设'!$B$3,H1860,I1860,J1860)</x:f>
        <x:v>0</x:v>
      </x:c>
      <x:c r="L1860" s="11" t="n">
        <x:f>K1860*'管线假设'!E415*'管线假设'!F415*'管线假设'!G415*IF(E1860="USD",'管线假设'!I415,1)-AM1860</x:f>
        <x:v>0</x:v>
      </x:c>
      <x:c r="M1860" s="11" t="n">
        <x:f>'管线假设'!H415</x:f>
        <x:v>0.14</x:v>
      </x:c>
      <x:c r="N1860" s="11" t="n">
        <x:f>IF(G1860,L1860*AN1860/(1+M1860)^F1860,0)</x:f>
        <x:v>0</x:v>
      </x:c>
      <x:c r="AJ1860" t="n">
        <x:v>0</x:v>
      </x:c>
      <x:c r="AK1860" t="n">
        <x:v>0</x:v>
      </x:c>
      <x:c r="AL1860" t="n">
        <x:v>0</x:v>
      </x:c>
      <x:c r="AM1860" t="n">
        <x:f>CHOOSE('假设'!$B$3,AJ1860,AK1860,AL1860)</x:f>
        <x:v>0</x:v>
      </x:c>
      <x:c r="AN1860" t="n">
        <x:v>1</x:v>
      </x:c>
    </x:row>
    <x:row r="1861" ht="23" customHeight="1">
      <x:c r="A1861" s="11" t="str">
        <x:v>688302.SH</x:v>
      </x:c>
      <x:c r="B1861" s="11" t="str">
        <x:v>一年</x:v>
      </x:c>
      <x:c r="C1861" s="11" t="str">
        <x:v>hp570_global</x:v>
      </x:c>
      <x:c r="D1861" s="11" t="str">
        <x:v>2028-12-31</x:v>
      </x:c>
      <x:c r="E1861" s="11" t="str">
        <x:v>USD</x:v>
      </x:c>
      <x:c r="F1861" s="11" t="n">
        <x:v>1.2292950034223136</x:v>
      </x:c>
      <x:c r="G1861" s="26" t="b">
        <x:v>1</x:v>
      </x:c>
      <x:c r="H1861" s="16" t="n">
        <x:v>0</x:v>
      </x:c>
      <x:c r="I1861" s="16" t="n">
        <x:v>0</x:v>
      </x:c>
      <x:c r="J1861" s="16" t="n">
        <x:v>0</x:v>
      </x:c>
      <x:c r="K1861" s="11" t="n">
        <x:f>CHOOSE('假设'!$B$3,H1861,I1861,J1861)</x:f>
        <x:v>0</x:v>
      </x:c>
      <x:c r="L1861" s="11" t="n">
        <x:f>K1861*'管线假设'!E415*'管线假设'!F415*'管线假设'!G415*IF(E1861="USD",'管线假设'!I415,1)-AM1861</x:f>
        <x:v>0</x:v>
      </x:c>
      <x:c r="M1861" s="11" t="n">
        <x:f>'管线假设'!H415</x:f>
        <x:v>0.14</x:v>
      </x:c>
      <x:c r="N1861" s="11" t="n">
        <x:f>IF(G1861,L1861*AN1861/(1+M1861)^F1861,0)</x:f>
        <x:v>0</x:v>
      </x:c>
      <x:c r="AJ1861" t="n">
        <x:v>0</x:v>
      </x:c>
      <x:c r="AK1861" t="n">
        <x:v>0</x:v>
      </x:c>
      <x:c r="AL1861" t="n">
        <x:v>0</x:v>
      </x:c>
      <x:c r="AM1861" t="n">
        <x:f>CHOOSE('假设'!$B$3,AJ1861,AK1861,AL1861)</x:f>
        <x:v>0</x:v>
      </x:c>
      <x:c r="AN1861" t="n">
        <x:v>1</x:v>
      </x:c>
    </x:row>
    <x:row r="1862" ht="23" customHeight="1">
      <x:c r="A1862" s="11" t="str">
        <x:v>688302.SH</x:v>
      </x:c>
      <x:c r="B1862" s="11" t="str">
        <x:v>一年</x:v>
      </x:c>
      <x:c r="C1862" s="11" t="str">
        <x:v>hp570_global</x:v>
      </x:c>
      <x:c r="D1862" s="11" t="str">
        <x:v>2029-12-31</x:v>
      </x:c>
      <x:c r="E1862" s="11" t="str">
        <x:v>USD</x:v>
      </x:c>
      <x:c r="F1862" s="11" t="n">
        <x:v>2.2286105407255303</x:v>
      </x:c>
      <x:c r="G1862" s="26" t="b">
        <x:v>1</x:v>
      </x:c>
      <x:c r="H1862" s="16" t="n">
        <x:v>0</x:v>
      </x:c>
      <x:c r="I1862" s="16" t="n">
        <x:v>0</x:v>
      </x:c>
      <x:c r="J1862" s="16" t="n">
        <x:v>0</x:v>
      </x:c>
      <x:c r="K1862" s="11" t="n">
        <x:f>CHOOSE('假设'!$B$3,H1862,I1862,J1862)</x:f>
        <x:v>0</x:v>
      </x:c>
      <x:c r="L1862" s="11" t="n">
        <x:f>K1862*'管线假设'!E415*'管线假设'!F415*'管线假设'!G415*IF(E1862="USD",'管线假设'!I415,1)-AM1862</x:f>
        <x:v>0</x:v>
      </x:c>
      <x:c r="M1862" s="11" t="n">
        <x:f>'管线假设'!H415</x:f>
        <x:v>0.14</x:v>
      </x:c>
      <x:c r="N1862" s="11" t="n">
        <x:f>IF(G1862,L1862*AN1862/(1+M1862)^F1862,0)</x:f>
        <x:v>0</x:v>
      </x:c>
      <x:c r="AJ1862" t="n">
        <x:v>0</x:v>
      </x:c>
      <x:c r="AK1862" t="n">
        <x:v>0</x:v>
      </x:c>
      <x:c r="AL1862" t="n">
        <x:v>0</x:v>
      </x:c>
      <x:c r="AM1862" t="n">
        <x:f>CHOOSE('假设'!$B$3,AJ1862,AK1862,AL1862)</x:f>
        <x:v>0</x:v>
      </x:c>
      <x:c r="AN1862" t="n">
        <x:v>1</x:v>
      </x:c>
    </x:row>
    <x:row r="1863" ht="23" customHeight="1">
      <x:c r="A1863" s="11" t="str">
        <x:v>688302.SH</x:v>
      </x:c>
      <x:c r="B1863" s="11" t="str">
        <x:v>一年</x:v>
      </x:c>
      <x:c r="C1863" s="11" t="str">
        <x:v>hp570_global</x:v>
      </x:c>
      <x:c r="D1863" s="11" t="str">
        <x:v>2030-12-31</x:v>
      </x:c>
      <x:c r="E1863" s="11" t="str">
        <x:v>USD</x:v>
      </x:c>
      <x:c r="F1863" s="11" t="n">
        <x:v>3.2279260780287475</x:v>
      </x:c>
      <x:c r="G1863" s="26" t="b">
        <x:v>1</x:v>
      </x:c>
      <x:c r="H1863" s="16" t="n">
        <x:v>0</x:v>
      </x:c>
      <x:c r="I1863" s="16" t="n">
        <x:v>0</x:v>
      </x:c>
      <x:c r="J1863" s="16" t="n">
        <x:v>0</x:v>
      </x:c>
      <x:c r="K1863" s="11" t="n">
        <x:f>CHOOSE('假设'!$B$3,H1863,I1863,J1863)</x:f>
        <x:v>0</x:v>
      </x:c>
      <x:c r="L1863" s="11" t="n">
        <x:f>K1863*'管线假设'!E415*'管线假设'!F415*'管线假设'!G415*IF(E1863="USD",'管线假设'!I415,1)-AM1863</x:f>
        <x:v>0</x:v>
      </x:c>
      <x:c r="M1863" s="11" t="n">
        <x:f>'管线假设'!H415</x:f>
        <x:v>0.14</x:v>
      </x:c>
      <x:c r="N1863" s="11" t="n">
        <x:f>IF(G1863,L1863*AN1863/(1+M1863)^F1863,0)</x:f>
        <x:v>0</x:v>
      </x:c>
      <x:c r="AJ1863" t="n">
        <x:v>0</x:v>
      </x:c>
      <x:c r="AK1863" t="n">
        <x:v>0</x:v>
      </x:c>
      <x:c r="AL1863" t="n">
        <x:v>0</x:v>
      </x:c>
      <x:c r="AM1863" t="n">
        <x:f>CHOOSE('假设'!$B$3,AJ1863,AK1863,AL1863)</x:f>
        <x:v>0</x:v>
      </x:c>
      <x:c r="AN1863" t="n">
        <x:v>1</x:v>
      </x:c>
    </x:row>
    <x:row r="1864" ht="23" customHeight="1">
      <x:c r="A1864" s="11" t="str">
        <x:v>688302.SH</x:v>
      </x:c>
      <x:c r="B1864" s="11" t="str">
        <x:v>一年</x:v>
      </x:c>
      <x:c r="C1864" s="11" t="str">
        <x:v>hp570_global</x:v>
      </x:c>
      <x:c r="D1864" s="11" t="str">
        <x:v>2031-12-31</x:v>
      </x:c>
      <x:c r="E1864" s="11" t="str">
        <x:v>USD</x:v>
      </x:c>
      <x:c r="F1864" s="11" t="n">
        <x:v>4.227241615331964</x:v>
      </x:c>
      <x:c r="G1864" s="26" t="b">
        <x:v>1</x:v>
      </x:c>
      <x:c r="H1864" s="16" t="n">
        <x:v>0</x:v>
      </x:c>
      <x:c r="I1864" s="16" t="n">
        <x:v>0</x:v>
      </x:c>
      <x:c r="J1864" s="16" t="n">
        <x:v>0</x:v>
      </x:c>
      <x:c r="K1864" s="11" t="n">
        <x:f>CHOOSE('假设'!$B$3,H1864,I1864,J1864)</x:f>
        <x:v>0</x:v>
      </x:c>
      <x:c r="L1864" s="11" t="n">
        <x:f>K1864*'管线假设'!E415*'管线假设'!F415*'管线假设'!G415*IF(E1864="USD",'管线假设'!I415,1)-AM1864</x:f>
        <x:v>0</x:v>
      </x:c>
      <x:c r="M1864" s="11" t="n">
        <x:f>'管线假设'!H415</x:f>
        <x:v>0.14</x:v>
      </x:c>
      <x:c r="N1864" s="11" t="n">
        <x:f>IF(G1864,L1864*AN1864/(1+M1864)^F1864,0)</x:f>
        <x:v>0</x:v>
      </x:c>
      <x:c r="AJ1864" t="n">
        <x:v>0</x:v>
      </x:c>
      <x:c r="AK1864" t="n">
        <x:v>0</x:v>
      </x:c>
      <x:c r="AL1864" t="n">
        <x:v>0</x:v>
      </x:c>
      <x:c r="AM1864" t="n">
        <x:f>CHOOSE('假设'!$B$3,AJ1864,AK1864,AL1864)</x:f>
        <x:v>0</x:v>
      </x:c>
      <x:c r="AN1864" t="n">
        <x:v>1</x:v>
      </x:c>
    </x:row>
    <x:row r="1865" ht="23" customHeight="1">
      <x:c r="A1865" s="11" t="str">
        <x:v>688302.SH</x:v>
      </x:c>
      <x:c r="B1865" s="11" t="str">
        <x:v>一年</x:v>
      </x:c>
      <x:c r="C1865" s="11" t="str">
        <x:v>hp570_global</x:v>
      </x:c>
      <x:c r="D1865" s="11" t="str">
        <x:v>2032-12-31</x:v>
      </x:c>
      <x:c r="E1865" s="11" t="str">
        <x:v>USD</x:v>
      </x:c>
      <x:c r="F1865" s="11" t="n">
        <x:v>5.229295003422314</x:v>
      </x:c>
      <x:c r="G1865" s="26" t="b">
        <x:v>1</x:v>
      </x:c>
      <x:c r="H1865" s="16" t="n">
        <x:v>0</x:v>
      </x:c>
      <x:c r="I1865" s="16" t="n">
        <x:v>0</x:v>
      </x:c>
      <x:c r="J1865" s="16" t="n">
        <x:v>0</x:v>
      </x:c>
      <x:c r="K1865" s="11" t="n">
        <x:f>CHOOSE('假设'!$B$3,H1865,I1865,J1865)</x:f>
        <x:v>0</x:v>
      </x:c>
      <x:c r="L1865" s="11" t="n">
        <x:f>K1865*'管线假设'!E415*'管线假设'!F415*'管线假设'!G415*IF(E1865="USD",'管线假设'!I415,1)-AM1865</x:f>
        <x:v>0</x:v>
      </x:c>
      <x:c r="M1865" s="11" t="n">
        <x:f>'管线假设'!H415</x:f>
        <x:v>0.14</x:v>
      </x:c>
      <x:c r="N1865" s="11" t="n">
        <x:f>IF(G1865,L1865*AN1865/(1+M1865)^F1865,0)</x:f>
        <x:v>0</x:v>
      </x:c>
      <x:c r="AJ1865" t="n">
        <x:v>0</x:v>
      </x:c>
      <x:c r="AK1865" t="n">
        <x:v>0</x:v>
      </x:c>
      <x:c r="AL1865" t="n">
        <x:v>0</x:v>
      </x:c>
      <x:c r="AM1865" t="n">
        <x:f>CHOOSE('假设'!$B$3,AJ1865,AK1865,AL1865)</x:f>
        <x:v>0</x:v>
      </x:c>
      <x:c r="AN1865" t="n">
        <x:v>1</x:v>
      </x:c>
    </x:row>
    <x:row r="1866" ht="23" customHeight="1">
      <x:c r="A1866" s="11" t="str">
        <x:v>688302.SH</x:v>
      </x:c>
      <x:c r="B1866" s="11" t="str">
        <x:v>一年</x:v>
      </x:c>
      <x:c r="C1866" s="11" t="str">
        <x:v>hp570_global</x:v>
      </x:c>
      <x:c r="D1866" s="11" t="str">
        <x:v>2033-12-31</x:v>
      </x:c>
      <x:c r="E1866" s="11" t="str">
        <x:v>USD</x:v>
      </x:c>
      <x:c r="F1866" s="11" t="n">
        <x:v>6.228610540725531</x:v>
      </x:c>
      <x:c r="G1866" s="26" t="b">
        <x:v>1</x:v>
      </x:c>
      <x:c r="H1866" s="16" t="n">
        <x:v>0</x:v>
      </x:c>
      <x:c r="I1866" s="16" t="n">
        <x:v>0</x:v>
      </x:c>
      <x:c r="J1866" s="16" t="n">
        <x:v>0</x:v>
      </x:c>
      <x:c r="K1866" s="11" t="n">
        <x:f>CHOOSE('假设'!$B$3,H1866,I1866,J1866)</x:f>
        <x:v>0</x:v>
      </x:c>
      <x:c r="L1866" s="11" t="n">
        <x:f>K1866*'管线假设'!E415*'管线假设'!F415*'管线假设'!G415*IF(E1866="USD",'管线假设'!I415,1)-AM1866</x:f>
        <x:v>0</x:v>
      </x:c>
      <x:c r="M1866" s="11" t="n">
        <x:f>'管线假设'!H415</x:f>
        <x:v>0.14</x:v>
      </x:c>
      <x:c r="N1866" s="11" t="n">
        <x:f>IF(G1866,L1866*AN1866/(1+M1866)^F1866,0)</x:f>
        <x:v>0</x:v>
      </x:c>
      <x:c r="AJ1866" t="n">
        <x:v>0</x:v>
      </x:c>
      <x:c r="AK1866" t="n">
        <x:v>0</x:v>
      </x:c>
      <x:c r="AL1866" t="n">
        <x:v>0</x:v>
      </x:c>
      <x:c r="AM1866" t="n">
        <x:f>CHOOSE('假设'!$B$3,AJ1866,AK1866,AL1866)</x:f>
        <x:v>0</x:v>
      </x:c>
      <x:c r="AN1866" t="n">
        <x:v>1</x:v>
      </x:c>
    </x:row>
    <x:row r="1867" ht="23" customHeight="1">
      <x:c r="A1867" s="11" t="str">
        <x:v>688302.SH</x:v>
      </x:c>
      <x:c r="B1867" s="11" t="str">
        <x:v>一年</x:v>
      </x:c>
      <x:c r="C1867" s="11" t="str">
        <x:v>hp570_global</x:v>
      </x:c>
      <x:c r="D1867" s="11" t="str">
        <x:v>2034-12-31</x:v>
      </x:c>
      <x:c r="E1867" s="11" t="str">
        <x:v>USD</x:v>
      </x:c>
      <x:c r="F1867" s="11" t="n">
        <x:v>7.227926078028747</x:v>
      </x:c>
      <x:c r="G1867" s="26" t="b">
        <x:v>1</x:v>
      </x:c>
      <x:c r="H1867" s="16" t="n">
        <x:v>0</x:v>
      </x:c>
      <x:c r="I1867" s="16" t="n">
        <x:v>0</x:v>
      </x:c>
      <x:c r="J1867" s="16" t="n">
        <x:v>0.6666666666666666</x:v>
      </x:c>
      <x:c r="K1867" s="11" t="n">
        <x:f>CHOOSE('假设'!$B$3,H1867,I1867,J1867)</x:f>
        <x:v>0</x:v>
      </x:c>
      <x:c r="L1867" s="11" t="n">
        <x:f>K1867*'管线假设'!E415*'管线假设'!F415*'管线假设'!G415*IF(E1867="USD",'管线假设'!I415,1)-AM1867</x:f>
        <x:v>0</x:v>
      </x:c>
      <x:c r="M1867" s="11" t="n">
        <x:f>'管线假设'!H415</x:f>
        <x:v>0.14</x:v>
      </x:c>
      <x:c r="N1867" s="11" t="n">
        <x:f>IF(G1867,L1867*AN1867/(1+M1867)^F1867,0)</x:f>
        <x:v>0</x:v>
      </x:c>
      <x:c r="AJ1867" t="n">
        <x:v>0</x:v>
      </x:c>
      <x:c r="AK1867" t="n">
        <x:v>0</x:v>
      </x:c>
      <x:c r="AL1867" t="n">
        <x:v>0</x:v>
      </x:c>
      <x:c r="AM1867" t="n">
        <x:f>CHOOSE('假设'!$B$3,AJ1867,AK1867,AL1867)</x:f>
        <x:v>0</x:v>
      </x:c>
      <x:c r="AN1867" t="n">
        <x:v>1</x:v>
      </x:c>
    </x:row>
    <x:row r="1868" ht="23" customHeight="1">
      <x:c r="A1868" s="11" t="str">
        <x:v>688302.SH</x:v>
      </x:c>
      <x:c r="B1868" s="11" t="str">
        <x:v>一年</x:v>
      </x:c>
      <x:c r="C1868" s="11" t="str">
        <x:v>hp570_global</x:v>
      </x:c>
      <x:c r="D1868" s="11" t="str">
        <x:v>2035-12-31</x:v>
      </x:c>
      <x:c r="E1868" s="11" t="str">
        <x:v>USD</x:v>
      </x:c>
      <x:c r="F1868" s="11" t="n">
        <x:v>8.227241615331964</x:v>
      </x:c>
      <x:c r="G1868" s="26" t="b">
        <x:v>1</x:v>
      </x:c>
      <x:c r="H1868" s="16" t="n">
        <x:v>0</x:v>
      </x:c>
      <x:c r="I1868" s="16" t="n">
        <x:v>0</x:v>
      </x:c>
      <x:c r="J1868" s="16" t="n">
        <x:v>1.3333333333333333</x:v>
      </x:c>
      <x:c r="K1868" s="11" t="n">
        <x:f>CHOOSE('假设'!$B$3,H1868,I1868,J1868)</x:f>
        <x:v>0</x:v>
      </x:c>
      <x:c r="L1868" s="11" t="n">
        <x:f>K1868*'管线假设'!E415*'管线假设'!F415*'管线假设'!G415*IF(E1868="USD",'管线假设'!I415,1)-AM1868</x:f>
        <x:v>0</x:v>
      </x:c>
      <x:c r="M1868" s="11" t="n">
        <x:f>'管线假设'!H415</x:f>
        <x:v>0.14</x:v>
      </x:c>
      <x:c r="N1868" s="11" t="n">
        <x:f>IF(G1868,L1868*AN1868/(1+M1868)^F1868,0)</x:f>
        <x:v>0</x:v>
      </x:c>
      <x:c r="AJ1868" t="n">
        <x:v>0</x:v>
      </x:c>
      <x:c r="AK1868" t="n">
        <x:v>0</x:v>
      </x:c>
      <x:c r="AL1868" t="n">
        <x:v>0</x:v>
      </x:c>
      <x:c r="AM1868" t="n">
        <x:f>CHOOSE('假设'!$B$3,AJ1868,AK1868,AL1868)</x:f>
        <x:v>0</x:v>
      </x:c>
      <x:c r="AN1868" t="n">
        <x:v>1</x:v>
      </x:c>
    </x:row>
    <x:row r="1869" ht="23" customHeight="1">
      <x:c r="A1869" s="11" t="str">
        <x:v>688302.SH</x:v>
      </x:c>
      <x:c r="B1869" s="11" t="str">
        <x:v>一年</x:v>
      </x:c>
      <x:c r="C1869" s="11" t="str">
        <x:v>hp570_global</x:v>
      </x:c>
      <x:c r="D1869" s="11" t="str">
        <x:v>2036-12-31</x:v>
      </x:c>
      <x:c r="E1869" s="11" t="str">
        <x:v>USD</x:v>
      </x:c>
      <x:c r="F1869" s="11" t="n">
        <x:v>9.229295003422314</x:v>
      </x:c>
      <x:c r="G1869" s="26" t="b">
        <x:v>1</x:v>
      </x:c>
      <x:c r="H1869" s="16" t="n">
        <x:v>0</x:v>
      </x:c>
      <x:c r="I1869" s="16" t="n">
        <x:v>0.3333333333333333</x:v>
      </x:c>
      <x:c r="J1869" s="16" t="n">
        <x:v>2</x:v>
      </x:c>
      <x:c r="K1869" s="11" t="n">
        <x:f>CHOOSE('假设'!$B$3,H1869,I1869,J1869)</x:f>
        <x:v>0.3333333333333333</x:v>
      </x:c>
      <x:c r="L1869" s="11" t="n">
        <x:f>K1869*'管线假设'!E415*'管线假设'!F415*'管线假设'!G415*IF(E1869="USD",'管线假设'!I415,1)-AM1869</x:f>
        <x:v>0.01591018666666668</x:v>
      </x:c>
      <x:c r="M1869" s="11" t="n">
        <x:f>'管线假设'!H415</x:f>
        <x:v>0.14</x:v>
      </x:c>
      <x:c r="N1869" s="11" t="n">
        <x:f>IF(G1869,L1869*AN1869/(1+M1869)^F1869,0)</x:f>
        <x:v>0.004747703784662704</x:v>
      </x:c>
      <x:c r="AJ1869" t="n">
        <x:v>0</x:v>
      </x:c>
      <x:c r="AK1869" t="n">
        <x:v>0</x:v>
      </x:c>
      <x:c r="AL1869" t="n">
        <x:v>0</x:v>
      </x:c>
      <x:c r="AM1869" t="n">
        <x:f>CHOOSE('假设'!$B$3,AJ1869,AK1869,AL1869)</x:f>
        <x:v>0</x:v>
      </x:c>
      <x:c r="AN1869" t="n">
        <x:v>1</x:v>
      </x:c>
    </x:row>
    <x:row r="1870" ht="23" customHeight="1">
      <x:c r="A1870" s="11" t="str">
        <x:v>688302.SH</x:v>
      </x:c>
      <x:c r="B1870" s="11" t="str">
        <x:v>一年</x:v>
      </x:c>
      <x:c r="C1870" s="11" t="str">
        <x:v>hp570_global</x:v>
      </x:c>
      <x:c r="D1870" s="11" t="str">
        <x:v>2037-12-31</x:v>
      </x:c>
      <x:c r="E1870" s="11" t="str">
        <x:v>USD</x:v>
      </x:c>
      <x:c r="F1870" s="11" t="n">
        <x:v>10.22861054072553</x:v>
      </x:c>
      <x:c r="G1870" s="26" t="b">
        <x:v>1</x:v>
      </x:c>
      <x:c r="H1870" s="16" t="n">
        <x:v>0</x:v>
      </x:c>
      <x:c r="I1870" s="16" t="n">
        <x:v>0.6666666666666666</x:v>
      </x:c>
      <x:c r="J1870" s="16" t="n">
        <x:v>2.6666666666666665</x:v>
      </x:c>
      <x:c r="K1870" s="11" t="n">
        <x:f>CHOOSE('假设'!$B$3,H1870,I1870,J1870)</x:f>
        <x:v>0.6666666666666666</x:v>
      </x:c>
      <x:c r="L1870" s="11" t="n">
        <x:f>K1870*'管线假设'!E415*'管线假设'!F415*'管线假设'!G415*IF(E1870="USD",'管线假设'!I415,1)-AM1870</x:f>
        <x:v>0.03182037333333336</x:v>
      </x:c>
      <x:c r="M1870" s="11" t="n">
        <x:f>'管线假设'!H415</x:f>
        <x:v>0.14</x:v>
      </x:c>
      <x:c r="N1870" s="11" t="n">
        <x:f>IF(G1870,L1870*AN1870/(1+M1870)^F1870,0)</x:f>
        <x:v>0.00833005192389954</x:v>
      </x:c>
      <x:c r="AJ1870" t="n">
        <x:v>0</x:v>
      </x:c>
      <x:c r="AK1870" t="n">
        <x:v>0</x:v>
      </x:c>
      <x:c r="AL1870" t="n">
        <x:v>0</x:v>
      </x:c>
      <x:c r="AM1870" t="n">
        <x:f>CHOOSE('假设'!$B$3,AJ1870,AK1870,AL1870)</x:f>
        <x:v>0</x:v>
      </x:c>
      <x:c r="AN1870" t="n">
        <x:v>1</x:v>
      </x:c>
    </x:row>
    <x:row r="1871" ht="23" customHeight="1">
      <x:c r="A1871" s="11" t="str">
        <x:v>688302.SH</x:v>
      </x:c>
      <x:c r="B1871" s="11" t="str">
        <x:v>一年</x:v>
      </x:c>
      <x:c r="C1871" s="11" t="str">
        <x:v>hp570_global</x:v>
      </x:c>
      <x:c r="D1871" s="11" t="str">
        <x:v>2038-12-31</x:v>
      </x:c>
      <x:c r="E1871" s="11" t="str">
        <x:v>USD</x:v>
      </x:c>
      <x:c r="F1871" s="11" t="n">
        <x:v>11.227926078028748</x:v>
      </x:c>
      <x:c r="G1871" s="26" t="b">
        <x:v>1</x:v>
      </x:c>
      <x:c r="H1871" s="16" t="n">
        <x:v>0</x:v>
      </x:c>
      <x:c r="I1871" s="16" t="n">
        <x:v>1</x:v>
      </x:c>
      <x:c r="J1871" s="16" t="n">
        <x:v>3.3333333333333335</x:v>
      </x:c>
      <x:c r="K1871" s="11" t="n">
        <x:f>CHOOSE('假设'!$B$3,H1871,I1871,J1871)</x:f>
        <x:v>1</x:v>
      </x:c>
      <x:c r="L1871" s="11" t="n">
        <x:f>K1871*'管线假设'!E415*'管线假设'!F415*'管线假设'!G415*IF(E1871="USD",'管线假设'!I415,1)-AM1871</x:f>
        <x:v>0.04773056000000005</x:v>
      </x:c>
      <x:c r="M1871" s="11" t="n">
        <x:f>'管线假设'!H415</x:f>
        <x:v>0.14</x:v>
      </x:c>
      <x:c r="N1871" s="11" t="n">
        <x:f>IF(G1871,L1871*AN1871/(1+M1871)^F1871,0)</x:f>
        <x:v>0.010961577670297746</x:v>
      </x:c>
      <x:c r="AJ1871" t="n">
        <x:v>0</x:v>
      </x:c>
      <x:c r="AK1871" t="n">
        <x:v>0</x:v>
      </x:c>
      <x:c r="AL1871" t="n">
        <x:v>0</x:v>
      </x:c>
      <x:c r="AM1871" t="n">
        <x:f>CHOOSE('假设'!$B$3,AJ1871,AK1871,AL1871)</x:f>
        <x:v>0</x:v>
      </x:c>
      <x:c r="AN1871" t="n">
        <x:v>1</x:v>
      </x:c>
    </x:row>
    <x:row r="1872" ht="23" customHeight="1">
      <x:c r="A1872" s="11" t="str">
        <x:v>688302.SH</x:v>
      </x:c>
      <x:c r="B1872" s="11" t="str">
        <x:v>一年</x:v>
      </x:c>
      <x:c r="C1872" s="11" t="str">
        <x:v>hp570_global</x:v>
      </x:c>
      <x:c r="D1872" s="11" t="str">
        <x:v>2039-12-31</x:v>
      </x:c>
      <x:c r="E1872" s="11" t="str">
        <x:v>USD</x:v>
      </x:c>
      <x:c r="F1872" s="11" t="n">
        <x:v>12.227241615331964</x:v>
      </x:c>
      <x:c r="G1872" s="26" t="b">
        <x:v>1</x:v>
      </x:c>
      <x:c r="H1872" s="16" t="n">
        <x:v>0.1</x:v>
      </x:c>
      <x:c r="I1872" s="16" t="n">
        <x:v>1.3333333333333333</x:v>
      </x:c>
      <x:c r="J1872" s="16" t="n">
        <x:v>4</x:v>
      </x:c>
      <x:c r="K1872" s="11" t="n">
        <x:f>CHOOSE('假设'!$B$3,H1872,I1872,J1872)</x:f>
        <x:v>1.3333333333333333</x:v>
      </x:c>
      <x:c r="L1872" s="11" t="n">
        <x:f>K1872*'管线假设'!E415*'管线假设'!F415*'管线假设'!G415*IF(E1872="USD",'管线假设'!I415,1)-AM1872</x:f>
        <x:v>0.06364074666666672</x:v>
      </x:c>
      <x:c r="M1872" s="11" t="n">
        <x:f>'管线假设'!H415</x:f>
        <x:v>0.14</x:v>
      </x:c>
      <x:c r="N1872" s="11" t="n">
        <x:f>IF(G1872,L1872*AN1872/(1+M1872)^F1872,0)</x:f>
        <x:v>0.012821708528715638</x:v>
      </x:c>
      <x:c r="AJ1872" t="n">
        <x:v>0</x:v>
      </x:c>
      <x:c r="AK1872" t="n">
        <x:v>0</x:v>
      </x:c>
      <x:c r="AL1872" t="n">
        <x:v>0</x:v>
      </x:c>
      <x:c r="AM1872" t="n">
        <x:f>CHOOSE('假设'!$B$3,AJ1872,AK1872,AL1872)</x:f>
        <x:v>0</x:v>
      </x:c>
      <x:c r="AN1872" t="n">
        <x:v>1</x:v>
      </x:c>
    </x:row>
    <x:row r="1873" ht="23" customHeight="1">
      <x:c r="A1873" s="11" t="str">
        <x:v>688302.SH</x:v>
      </x:c>
      <x:c r="B1873" s="11" t="str">
        <x:v>一年</x:v>
      </x:c>
      <x:c r="C1873" s="11" t="str">
        <x:v>hp570_global</x:v>
      </x:c>
      <x:c r="D1873" s="11" t="str">
        <x:v>2040-12-31</x:v>
      </x:c>
      <x:c r="E1873" s="11" t="str">
        <x:v>USD</x:v>
      </x:c>
      <x:c r="F1873" s="11" t="n">
        <x:v>13.229295003422314</x:v>
      </x:c>
      <x:c r="G1873" s="26" t="b">
        <x:v>1</x:v>
      </x:c>
      <x:c r="H1873" s="16" t="n">
        <x:v>0.2</x:v>
      </x:c>
      <x:c r="I1873" s="16" t="n">
        <x:v>1.6666666666666667</x:v>
      </x:c>
      <x:c r="J1873" s="16" t="n">
        <x:v>3.48</x:v>
      </x:c>
      <x:c r="K1873" s="11" t="n">
        <x:f>CHOOSE('假设'!$B$3,H1873,I1873,J1873)</x:f>
        <x:v>1.6666666666666667</x:v>
      </x:c>
      <x:c r="L1873" s="11" t="n">
        <x:f>K1873*'管线假设'!E415*'管线假设'!F415*'管线假设'!G415*IF(E1873="USD",'管线假设'!I415,1)-AM1873</x:f>
        <x:v>0.07955093333333342</x:v>
      </x:c>
      <x:c r="M1873" s="11" t="n">
        <x:f>'管线假设'!H415</x:f>
        <x:v>0.14</x:v>
      </x:c>
      <x:c r="N1873" s="11" t="n">
        <x:f>IF(G1873,L1873*AN1873/(1+M1873)^F1873,0)</x:f>
        <x:v>0.014055108868472966</x:v>
      </x:c>
      <x:c r="AJ1873" t="n">
        <x:v>0</x:v>
      </x:c>
      <x:c r="AK1873" t="n">
        <x:v>0</x:v>
      </x:c>
      <x:c r="AL1873" t="n">
        <x:v>0</x:v>
      </x:c>
      <x:c r="AM1873" t="n">
        <x:f>CHOOSE('假设'!$B$3,AJ1873,AK1873,AL1873)</x:f>
        <x:v>0</x:v>
      </x:c>
      <x:c r="AN1873" t="n">
        <x:v>1</x:v>
      </x:c>
    </x:row>
    <x:row r="1874" ht="23" customHeight="1">
      <x:c r="A1874" s="11" t="str">
        <x:v>688302.SH</x:v>
      </x:c>
      <x:c r="B1874" s="11" t="str">
        <x:v>一年</x:v>
      </x:c>
      <x:c r="C1874" s="11" t="str">
        <x:v>hp570_global</x:v>
      </x:c>
      <x:c r="D1874" s="11" t="str">
        <x:v>2041-12-31</x:v>
      </x:c>
      <x:c r="E1874" s="11" t="str">
        <x:v>USD</x:v>
      </x:c>
      <x:c r="F1874" s="11" t="n">
        <x:v>14.22861054072553</x:v>
      </x:c>
      <x:c r="G1874" s="26" t="b">
        <x:v>1</x:v>
      </x:c>
      <x:c r="H1874" s="16" t="n">
        <x:v>0.3</x:v>
      </x:c>
      <x:c r="I1874" s="16" t="n">
        <x:v>2</x:v>
      </x:c>
      <x:c r="J1874" s="16" t="n">
        <x:v>2.96</x:v>
      </x:c>
      <x:c r="K1874" s="11" t="n">
        <x:f>CHOOSE('假设'!$B$3,H1874,I1874,J1874)</x:f>
        <x:v>2</x:v>
      </x:c>
      <x:c r="L1874" s="11" t="n">
        <x:f>K1874*'管线假设'!E415*'管线假设'!F415*'管线假设'!G415*IF(E1874="USD",'管线假设'!I415,1)-AM1874</x:f>
        <x:v>0.0954611200000001</x:v>
      </x:c>
      <x:c r="M1874" s="11" t="n">
        <x:f>'管线假设'!H415</x:f>
        <x:v>0.14</x:v>
      </x:c>
      <x:c r="N1874" s="11" t="n">
        <x:f>IF(G1874,L1874*AN1874/(1+M1874)^F1874,0)</x:f>
        <x:v>0.014796178360831561</x:v>
      </x:c>
      <x:c r="AJ1874" t="n">
        <x:v>0</x:v>
      </x:c>
      <x:c r="AK1874" t="n">
        <x:v>0</x:v>
      </x:c>
      <x:c r="AL1874" t="n">
        <x:v>0</x:v>
      </x:c>
      <x:c r="AM1874" t="n">
        <x:f>CHOOSE('假设'!$B$3,AJ1874,AK1874,AL1874)</x:f>
        <x:v>0</x:v>
      </x:c>
      <x:c r="AN1874" t="n">
        <x:v>1</x:v>
      </x:c>
    </x:row>
    <x:row r="1875" ht="23" customHeight="1">
      <x:c r="A1875" s="11" t="str">
        <x:v>688302.SH</x:v>
      </x:c>
      <x:c r="B1875" s="11" t="str">
        <x:v>一年</x:v>
      </x:c>
      <x:c r="C1875" s="11" t="str">
        <x:v>hp570_global</x:v>
      </x:c>
      <x:c r="D1875" s="11" t="str">
        <x:v>2042-12-31</x:v>
      </x:c>
      <x:c r="E1875" s="11" t="str">
        <x:v>USD</x:v>
      </x:c>
      <x:c r="F1875" s="11" t="n">
        <x:v>15.227926078028748</x:v>
      </x:c>
      <x:c r="G1875" s="26" t="b">
        <x:v>1</x:v>
      </x:c>
      <x:c r="H1875" s="16" t="n">
        <x:v>0.4</x:v>
      </x:c>
      <x:c r="I1875" s="16" t="n">
        <x:v>1.74</x:v>
      </x:c>
      <x:c r="J1875" s="16" t="n">
        <x:v>2.44</x:v>
      </x:c>
      <x:c r="K1875" s="11" t="n">
        <x:f>CHOOSE('假设'!$B$3,H1875,I1875,J1875)</x:f>
        <x:v>1.74</x:v>
      </x:c>
      <x:c r="L1875" s="11" t="n">
        <x:f>K1875*'管线假设'!E415*'管线假设'!F415*'管线假设'!G415*IF(E1875="USD",'管线假设'!I415,1)-AM1875</x:f>
        <x:v>0.08305117440000007</x:v>
      </x:c>
      <x:c r="M1875" s="11" t="n">
        <x:f>'管线假设'!H415</x:f>
        <x:v>0.14</x:v>
      </x:c>
      <x:c r="N1875" s="11" t="n">
        <x:f>IF(G1875,L1875*AN1875/(1+M1875)^F1875,0)</x:f>
        <x:v>0.01129283306855389</x:v>
      </x:c>
      <x:c r="AJ1875" t="n">
        <x:v>0</x:v>
      </x:c>
      <x:c r="AK1875" t="n">
        <x:v>0</x:v>
      </x:c>
      <x:c r="AL1875" t="n">
        <x:v>0</x:v>
      </x:c>
      <x:c r="AM1875" t="n">
        <x:f>CHOOSE('假设'!$B$3,AJ1875,AK1875,AL1875)</x:f>
        <x:v>0</x:v>
      </x:c>
      <x:c r="AN1875" t="n">
        <x:v>1</x:v>
      </x:c>
    </x:row>
    <x:row r="1876" ht="23" customHeight="1">
      <x:c r="A1876" s="11" t="str">
        <x:v>688302.SH</x:v>
      </x:c>
      <x:c r="B1876" s="11" t="str">
        <x:v>一年</x:v>
      </x:c>
      <x:c r="C1876" s="11" t="str">
        <x:v>hp570_global</x:v>
      </x:c>
      <x:c r="D1876" s="11" t="str">
        <x:v>2043-12-31</x:v>
      </x:c>
      <x:c r="E1876" s="11" t="str">
        <x:v>USD</x:v>
      </x:c>
      <x:c r="F1876" s="11" t="n">
        <x:v>16.227241615331966</x:v>
      </x:c>
      <x:c r="G1876" s="26" t="b">
        <x:v>1</x:v>
      </x:c>
      <x:c r="H1876" s="16" t="n">
        <x:v>0.5</x:v>
      </x:c>
      <x:c r="I1876" s="16" t="n">
        <x:v>1.48</x:v>
      </x:c>
      <x:c r="J1876" s="16" t="n">
        <x:v>1.92</x:v>
      </x:c>
      <x:c r="K1876" s="11" t="n">
        <x:f>CHOOSE('假设'!$B$3,H1876,I1876,J1876)</x:f>
        <x:v>1.48</x:v>
      </x:c>
      <x:c r="L1876" s="11" t="n">
        <x:f>K1876*'管线假设'!E415*'管线假设'!F415*'管线假设'!G415*IF(E1876="USD",'管线假设'!I415,1)-AM1876</x:f>
        <x:v>0.07064122880000007</x:v>
      </x:c>
      <x:c r="M1876" s="11" t="n">
        <x:f>'管线假设'!H415</x:f>
        <x:v>0.14</x:v>
      </x:c>
      <x:c r="N1876" s="11" t="n">
        <x:f>IF(G1876,L1876*AN1876/(1+M1876)^F1876,0)</x:f>
        <x:v>0.008426543623666263</x:v>
      </x:c>
      <x:c r="AJ1876" t="n">
        <x:v>0</x:v>
      </x:c>
      <x:c r="AK1876" t="n">
        <x:v>0</x:v>
      </x:c>
      <x:c r="AL1876" t="n">
        <x:v>0</x:v>
      </x:c>
      <x:c r="AM1876" t="n">
        <x:f>CHOOSE('假设'!$B$3,AJ1876,AK1876,AL1876)</x:f>
        <x:v>0</x:v>
      </x:c>
      <x:c r="AN1876" t="n">
        <x:v>1</x:v>
      </x:c>
    </x:row>
    <x:row r="1877" ht="23" customHeight="1">
      <x:c r="A1877" s="11" t="str">
        <x:v>688302.SH</x:v>
      </x:c>
      <x:c r="B1877" s="11" t="str">
        <x:v>一年</x:v>
      </x:c>
      <x:c r="C1877" s="11" t="str">
        <x:v>hp570_global</x:v>
      </x:c>
      <x:c r="D1877" s="11" t="str">
        <x:v>2044-12-31</x:v>
      </x:c>
      <x:c r="E1877" s="11" t="str">
        <x:v>USD</x:v>
      </x:c>
      <x:c r="F1877" s="11" t="n">
        <x:v>17.229295003422312</x:v>
      </x:c>
      <x:c r="G1877" s="26" t="b">
        <x:v>1</x:v>
      </x:c>
      <x:c r="H1877" s="16" t="n">
        <x:v>0.435</x:v>
      </x:c>
      <x:c r="I1877" s="16" t="n">
        <x:v>1.22</x:v>
      </x:c>
      <x:c r="J1877" s="16" t="n">
        <x:v>1.4</x:v>
      </x:c>
      <x:c r="K1877" s="11" t="n">
        <x:f>CHOOSE('假设'!$B$3,H1877,I1877,J1877)</x:f>
        <x:v>1.22</x:v>
      </x:c>
      <x:c r="L1877" s="11" t="n">
        <x:f>K1877*'管线假设'!E415*'管线假设'!F415*'管线假设'!G415*IF(E1877="USD",'管线假设'!I415,1)-AM1877</x:f>
        <x:v>0.058231283200000046</x:v>
      </x:c>
      <x:c r="M1877" s="11" t="n">
        <x:f>'管线假设'!H415</x:f>
        <x:v>0.14</x:v>
      </x:c>
      <x:c r="N1877" s="11" t="n">
        <x:f>IF(G1877,L1877*AN1877/(1+M1877)^F1877,0)</x:f>
        <x:v>0.006091523018353615</x:v>
      </x:c>
      <x:c r="AJ1877" t="n">
        <x:v>0</x:v>
      </x:c>
      <x:c r="AK1877" t="n">
        <x:v>0</x:v>
      </x:c>
      <x:c r="AL1877" t="n">
        <x:v>0</x:v>
      </x:c>
      <x:c r="AM1877" t="n">
        <x:f>CHOOSE('假设'!$B$3,AJ1877,AK1877,AL1877)</x:f>
        <x:v>0</x:v>
      </x:c>
      <x:c r="AN1877" t="n">
        <x:v>1</x:v>
      </x:c>
    </x:row>
    <x:row r="1878" ht="23" customHeight="1">
      <x:c r="A1878" s="11" t="str">
        <x:v>688302.SH</x:v>
      </x:c>
      <x:c r="B1878" s="11" t="str">
        <x:v>一年</x:v>
      </x:c>
      <x:c r="C1878" s="11" t="str">
        <x:v>hp570_global</x:v>
      </x:c>
      <x:c r="D1878" s="11" t="str">
        <x:v>2045-12-31</x:v>
      </x:c>
      <x:c r="E1878" s="11" t="str">
        <x:v>USD</x:v>
      </x:c>
      <x:c r="F1878" s="11" t="n">
        <x:v>18.22861054072553</x:v>
      </x:c>
      <x:c r="G1878" s="26" t="b">
        <x:v>1</x:v>
      </x:c>
      <x:c r="H1878" s="16" t="n">
        <x:v>0.37</x:v>
      </x:c>
      <x:c r="I1878" s="16" t="n">
        <x:v>0.96</x:v>
      </x:c>
      <x:c r="J1878" s="16" t="n">
        <x:v>0.8799999999999999</x:v>
      </x:c>
      <x:c r="K1878" s="11" t="n">
        <x:f>CHOOSE('假设'!$B$3,H1878,I1878,J1878)</x:f>
        <x:v>0.96</x:v>
      </x:c>
      <x:c r="L1878" s="11" t="n">
        <x:f>K1878*'管线假设'!E415*'管线假设'!F415*'管线假设'!G415*IF(E1878="USD",'管线假设'!I415,1)-AM1878</x:f>
        <x:v>0.04582133760000004</x:v>
      </x:c>
      <x:c r="M1878" s="11" t="n">
        <x:f>'管线假设'!H415</x:f>
        <x:v>0.14</x:v>
      </x:c>
      <x:c r="N1878" s="11" t="n">
        <x:f>IF(G1878,L1878*AN1878/(1+M1878)^F1878,0)</x:f>
        <x:v>0.004205052186191973</x:v>
      </x:c>
      <x:c r="AJ1878" t="n">
        <x:v>0</x:v>
      </x:c>
      <x:c r="AK1878" t="n">
        <x:v>0</x:v>
      </x:c>
      <x:c r="AL1878" t="n">
        <x:v>0</x:v>
      </x:c>
      <x:c r="AM1878" t="n">
        <x:f>CHOOSE('假设'!$B$3,AJ1878,AK1878,AL1878)</x:f>
        <x:v>0</x:v>
      </x:c>
      <x:c r="AN1878" t="n">
        <x:v>1</x:v>
      </x:c>
    </x:row>
    <x:row r="1879" ht="23" customHeight="1">
      <x:c r="A1879" s="11" t="str">
        <x:v>688302.SH</x:v>
      </x:c>
      <x:c r="B1879" s="11" t="str">
        <x:v>三年</x:v>
      </x:c>
      <x:c r="C1879" s="11" t="str">
        <x:v>hc1119_later</x:v>
      </x:c>
      <x:c r="D1879" s="11" t="str">
        <x:v>2027-12-31</x:v>
      </x:c>
      <x:c r="E1879" s="11" t="str">
        <x:v>CNY</x:v>
      </x:c>
      <x:c r="F1879" s="11" t="n">
        <x:v>-1.7741273100616017</x:v>
      </x:c>
      <x:c r="G1879" s="26" t="b">
        <x:v>0</x:v>
      </x:c>
      <x:c r="H1879" s="16" t="n">
        <x:v>0.09000000000000001</x:v>
      </x:c>
      <x:c r="I1879" s="16" t="n">
        <x:v>0.18000000000000002</x:v>
      </x:c>
      <x:c r="J1879" s="16" t="n">
        <x:v>0.375</x:v>
      </x:c>
      <x:c r="K1879" s="11" t="n">
        <x:f>CHOOSE('假设'!$B$3,H1879,I1879,J1879)</x:f>
        <x:v>0.18000000000000002</x:v>
      </x:c>
      <x:c r="L1879" s="11" t="n">
        <x:f>K1879*'管线假设'!E419*'管线假设'!F419*'管线假设'!G419*IF(E1879="USD",'管线假设'!I419,1)-AM1879</x:f>
        <x:v>0.045000000000000005</x:v>
      </x:c>
      <x:c r="M1879" s="11" t="n">
        <x:f>'管线假设'!H419</x:f>
        <x:v>0.14</x:v>
      </x:c>
      <x:c r="N1879" s="11" t="n">
        <x:f>IF(G1879,L1879*AN1879/(1+M1879)^F1879,0)</x:f>
        <x:v>0</x:v>
      </x:c>
      <x:c r="AJ1879" t="n">
        <x:v>0</x:v>
      </x:c>
      <x:c r="AK1879" t="n">
        <x:v>0</x:v>
      </x:c>
      <x:c r="AL1879" t="n">
        <x:v>0</x:v>
      </x:c>
      <x:c r="AM1879" t="n">
        <x:f>CHOOSE('假设'!$B$3,AJ1879,AK1879,AL1879)</x:f>
        <x:v>0</x:v>
      </x:c>
      <x:c r="AN1879" t="n">
        <x:v>1</x:v>
      </x:c>
    </x:row>
    <x:row r="1880" ht="23" customHeight="1">
      <x:c r="A1880" s="11" t="str">
        <x:v>688302.SH</x:v>
      </x:c>
      <x:c r="B1880" s="11" t="str">
        <x:v>三年</x:v>
      </x:c>
      <x:c r="C1880" s="11" t="str">
        <x:v>hc1119_later</x:v>
      </x:c>
      <x:c r="D1880" s="11" t="str">
        <x:v>2028-12-31</x:v>
      </x:c>
      <x:c r="E1880" s="11" t="str">
        <x:v>CNY</x:v>
      </x:c>
      <x:c r="F1880" s="11" t="n">
        <x:v>-0.7720739219712526</x:v>
      </x:c>
      <x:c r="G1880" s="26" t="b">
        <x:v>0</x:v>
      </x:c>
      <x:c r="H1880" s="16" t="n">
        <x:v>0.18000000000000002</x:v>
      </x:c>
      <x:c r="I1880" s="16" t="n">
        <x:v>0.36000000000000004</x:v>
      </x:c>
      <x:c r="J1880" s="16" t="n">
        <x:v>0.75</x:v>
      </x:c>
      <x:c r="K1880" s="11" t="n">
        <x:f>CHOOSE('假设'!$B$3,H1880,I1880,J1880)</x:f>
        <x:v>0.36000000000000004</x:v>
      </x:c>
      <x:c r="L1880" s="11" t="n">
        <x:f>K1880*'管线假设'!E419*'管线假设'!F419*'管线假设'!G419*IF(E1880="USD",'管线假设'!I419,1)-AM1880</x:f>
        <x:v>0.09000000000000001</x:v>
      </x:c>
      <x:c r="M1880" s="11" t="n">
        <x:f>'管线假设'!H419</x:f>
        <x:v>0.14</x:v>
      </x:c>
      <x:c r="N1880" s="11" t="n">
        <x:f>IF(G1880,L1880*AN1880/(1+M1880)^F1880,0)</x:f>
        <x:v>0</x:v>
      </x:c>
      <x:c r="AJ1880" t="n">
        <x:v>0</x:v>
      </x:c>
      <x:c r="AK1880" t="n">
        <x:v>0</x:v>
      </x:c>
      <x:c r="AL1880" t="n">
        <x:v>0</x:v>
      </x:c>
      <x:c r="AM1880" t="n">
        <x:f>CHOOSE('假设'!$B$3,AJ1880,AK1880,AL1880)</x:f>
        <x:v>0</x:v>
      </x:c>
      <x:c r="AN1880" t="n">
        <x:v>1</x:v>
      </x:c>
    </x:row>
    <x:row r="1881" ht="23" customHeight="1">
      <x:c r="A1881" s="11" t="str">
        <x:v>688302.SH</x:v>
      </x:c>
      <x:c r="B1881" s="11" t="str">
        <x:v>三年</x:v>
      </x:c>
      <x:c r="C1881" s="11" t="str">
        <x:v>hc1119_later</x:v>
      </x:c>
      <x:c r="D1881" s="11" t="str">
        <x:v>2029-12-31</x:v>
      </x:c>
      <x:c r="E1881" s="11" t="str">
        <x:v>CNY</x:v>
      </x:c>
      <x:c r="F1881" s="11" t="n">
        <x:v>0.2272416153319644</x:v>
      </x:c>
      <x:c r="G1881" s="26" t="b">
        <x:v>1</x:v>
      </x:c>
      <x:c r="H1881" s="16" t="n">
        <x:v>0.27</x:v>
      </x:c>
      <x:c r="I1881" s="16" t="n">
        <x:v>0.54</x:v>
      </x:c>
      <x:c r="J1881" s="16" t="n">
        <x:v>1.125</x:v>
      </x:c>
      <x:c r="K1881" s="11" t="n">
        <x:f>CHOOSE('假设'!$B$3,H1881,I1881,J1881)</x:f>
        <x:v>0.54</x:v>
      </x:c>
      <x:c r="L1881" s="11" t="n">
        <x:f>K1881*'管线假设'!E419*'管线假设'!F419*'管线假设'!G419*IF(E1881="USD",'管线假设'!I419,1)-AM1881</x:f>
        <x:v>0.135</x:v>
      </x:c>
      <x:c r="M1881" s="11" t="n">
        <x:f>'管线假设'!H419</x:f>
        <x:v>0.14</x:v>
      </x:c>
      <x:c r="N1881" s="11" t="n">
        <x:f>IF(G1881,L1881*AN1881/(1+M1881)^F1881,0)</x:f>
        <x:v>0.1310396179311993</x:v>
      </x:c>
      <x:c r="AJ1881" t="n">
        <x:v>0</x:v>
      </x:c>
      <x:c r="AK1881" t="n">
        <x:v>0</x:v>
      </x:c>
      <x:c r="AL1881" t="n">
        <x:v>0</x:v>
      </x:c>
      <x:c r="AM1881" t="n">
        <x:f>CHOOSE('假设'!$B$3,AJ1881,AK1881,AL1881)</x:f>
        <x:v>0</x:v>
      </x:c>
      <x:c r="AN1881" t="n">
        <x:v>1</x:v>
      </x:c>
    </x:row>
    <x:row r="1882" ht="23" customHeight="1">
      <x:c r="A1882" s="11" t="str">
        <x:v>688302.SH</x:v>
      </x:c>
      <x:c r="B1882" s="11" t="str">
        <x:v>三年</x:v>
      </x:c>
      <x:c r="C1882" s="11" t="str">
        <x:v>hc1119_later</x:v>
      </x:c>
      <x:c r="D1882" s="11" t="str">
        <x:v>2030-12-31</x:v>
      </x:c>
      <x:c r="E1882" s="11" t="str">
        <x:v>CNY</x:v>
      </x:c>
      <x:c r="F1882" s="11" t="n">
        <x:v>1.2265571526351813</x:v>
      </x:c>
      <x:c r="G1882" s="26" t="b">
        <x:v>1</x:v>
      </x:c>
      <x:c r="H1882" s="16" t="n">
        <x:v>0.36000000000000004</x:v>
      </x:c>
      <x:c r="I1882" s="16" t="n">
        <x:v>0.7200000000000001</x:v>
      </x:c>
      <x:c r="J1882" s="16" t="n">
        <x:v>1.5</x:v>
      </x:c>
      <x:c r="K1882" s="11" t="n">
        <x:f>CHOOSE('假设'!$B$3,H1882,I1882,J1882)</x:f>
        <x:v>0.7200000000000001</x:v>
      </x:c>
      <x:c r="L1882" s="11" t="n">
        <x:f>K1882*'管线假设'!E419*'管线假设'!F419*'管线假设'!G419*IF(E1882="USD",'管线假设'!I419,1)-AM1882</x:f>
        <x:v>0.18000000000000002</x:v>
      </x:c>
      <x:c r="M1882" s="11" t="n">
        <x:f>'管线假设'!H419</x:f>
        <x:v>0.14</x:v>
      </x:c>
      <x:c r="N1882" s="11" t="n">
        <x:f>IF(G1882,L1882*AN1882/(1+M1882)^F1882,0)</x:f>
        <x:v>0.15327645685353788</x:v>
      </x:c>
      <x:c r="AJ1882" t="n">
        <x:v>0</x:v>
      </x:c>
      <x:c r="AK1882" t="n">
        <x:v>0</x:v>
      </x:c>
      <x:c r="AL1882" t="n">
        <x:v>0</x:v>
      </x:c>
      <x:c r="AM1882" t="n">
        <x:f>CHOOSE('假设'!$B$3,AJ1882,AK1882,AL1882)</x:f>
        <x:v>0</x:v>
      </x:c>
      <x:c r="AN1882" t="n">
        <x:v>1</x:v>
      </x:c>
    </x:row>
    <x:row r="1883" ht="23" customHeight="1">
      <x:c r="A1883" s="11" t="str">
        <x:v>688302.SH</x:v>
      </x:c>
      <x:c r="B1883" s="11" t="str">
        <x:v>三年</x:v>
      </x:c>
      <x:c r="C1883" s="11" t="str">
        <x:v>hc1119_later</x:v>
      </x:c>
      <x:c r="D1883" s="11" t="str">
        <x:v>2031-12-31</x:v>
      </x:c>
      <x:c r="E1883" s="11" t="str">
        <x:v>CNY</x:v>
      </x:c>
      <x:c r="F1883" s="11" t="n">
        <x:v>2.2258726899383983</x:v>
      </x:c>
      <x:c r="G1883" s="26" t="b">
        <x:v>1</x:v>
      </x:c>
      <x:c r="H1883" s="16" t="n">
        <x:v>0.45</x:v>
      </x:c>
      <x:c r="I1883" s="16" t="n">
        <x:v>0.9</x:v>
      </x:c>
      <x:c r="J1883" s="16" t="n">
        <x:v>1.305</x:v>
      </x:c>
      <x:c r="K1883" s="11" t="n">
        <x:f>CHOOSE('假设'!$B$3,H1883,I1883,J1883)</x:f>
        <x:v>0.9</x:v>
      </x:c>
      <x:c r="L1883" s="11" t="n">
        <x:f>K1883*'管线假设'!E419*'管线假设'!F419*'管线假设'!G419*IF(E1883="USD",'管线假设'!I419,1)-AM1883</x:f>
        <x:v>0.225</x:v>
      </x:c>
      <x:c r="M1883" s="11" t="n">
        <x:f>'管线假设'!H419</x:f>
        <x:v>0.14</x:v>
      </x:c>
      <x:c r="N1883" s="11" t="n">
        <x:f>IF(G1883,L1883*AN1883/(1+M1883)^F1883,0)</x:f>
        <x:v>0.16808136393560127</x:v>
      </x:c>
      <x:c r="AJ1883" t="n">
        <x:v>0</x:v>
      </x:c>
      <x:c r="AK1883" t="n">
        <x:v>0</x:v>
      </x:c>
      <x:c r="AL1883" t="n">
        <x:v>0</x:v>
      </x:c>
      <x:c r="AM1883" t="n">
        <x:f>CHOOSE('假设'!$B$3,AJ1883,AK1883,AL1883)</x:f>
        <x:v>0</x:v>
      </x:c>
      <x:c r="AN1883" t="n">
        <x:v>1</x:v>
      </x:c>
    </x:row>
    <x:row r="1884" ht="23" customHeight="1">
      <x:c r="A1884" s="11" t="str">
        <x:v>688302.SH</x:v>
      </x:c>
      <x:c r="B1884" s="11" t="str">
        <x:v>三年</x:v>
      </x:c>
      <x:c r="C1884" s="11" t="str">
        <x:v>hc1119_later</x:v>
      </x:c>
      <x:c r="D1884" s="11" t="str">
        <x:v>2032-12-31</x:v>
      </x:c>
      <x:c r="E1884" s="11" t="str">
        <x:v>CNY</x:v>
      </x:c>
      <x:c r="F1884" s="11" t="n">
        <x:v>3.2279260780287475</x:v>
      </x:c>
      <x:c r="G1884" s="26" t="b">
        <x:v>1</x:v>
      </x:c>
      <x:c r="H1884" s="16" t="n">
        <x:v>0.3915</x:v>
      </x:c>
      <x:c r="I1884" s="16" t="n">
        <x:v>0.783</x:v>
      </x:c>
      <x:c r="J1884" s="16" t="n">
        <x:v>1.1099999999999999</x:v>
      </x:c>
      <x:c r="K1884" s="11" t="n">
        <x:f>CHOOSE('假设'!$B$3,H1884,I1884,J1884)</x:f>
        <x:v>0.783</x:v>
      </x:c>
      <x:c r="L1884" s="11" t="n">
        <x:f>K1884*'管线假设'!E419*'管线假设'!F419*'管线假设'!G419*IF(E1884="USD",'管线假设'!I419,1)-AM1884</x:f>
        <x:v>0.19575</x:v>
      </x:c>
      <x:c r="M1884" s="11" t="n">
        <x:f>'管线假设'!H419</x:f>
        <x:v>0.14</x:v>
      </x:c>
      <x:c r="N1884" s="11" t="n">
        <x:f>IF(G1884,L1884*AN1884/(1+M1884)^F1884,0)</x:f>
        <x:v>0.12823811249924033</x:v>
      </x:c>
      <x:c r="AJ1884" t="n">
        <x:v>0</x:v>
      </x:c>
      <x:c r="AK1884" t="n">
        <x:v>0</x:v>
      </x:c>
      <x:c r="AL1884" t="n">
        <x:v>0</x:v>
      </x:c>
      <x:c r="AM1884" t="n">
        <x:f>CHOOSE('假设'!$B$3,AJ1884,AK1884,AL1884)</x:f>
        <x:v>0</x:v>
      </x:c>
      <x:c r="AN1884" t="n">
        <x:v>1</x:v>
      </x:c>
    </x:row>
    <x:row r="1885" ht="23" customHeight="1">
      <x:c r="A1885" s="11" t="str">
        <x:v>688302.SH</x:v>
      </x:c>
      <x:c r="B1885" s="11" t="str">
        <x:v>三年</x:v>
      </x:c>
      <x:c r="C1885" s="11" t="str">
        <x:v>hc1119_later</x:v>
      </x:c>
      <x:c r="D1885" s="11" t="str">
        <x:v>2033-12-31</x:v>
      </x:c>
      <x:c r="E1885" s="11" t="str">
        <x:v>CNY</x:v>
      </x:c>
      <x:c r="F1885" s="11" t="n">
        <x:v>4.227241615331964</x:v>
      </x:c>
      <x:c r="G1885" s="26" t="b">
        <x:v>1</x:v>
      </x:c>
      <x:c r="H1885" s="16" t="n">
        <x:v>0.333</x:v>
      </x:c>
      <x:c r="I1885" s="16" t="n">
        <x:v>0.666</x:v>
      </x:c>
      <x:c r="J1885" s="16" t="n">
        <x:v>0.915</x:v>
      </x:c>
      <x:c r="K1885" s="11" t="n">
        <x:f>CHOOSE('假设'!$B$3,H1885,I1885,J1885)</x:f>
        <x:v>0.666</x:v>
      </x:c>
      <x:c r="L1885" s="11" t="n">
        <x:f>K1885*'管线假设'!E419*'管线假设'!F419*'管线假设'!G419*IF(E1885="USD",'管线假设'!I419,1)-AM1885</x:f>
        <x:v>0.1665</x:v>
      </x:c>
      <x:c r="M1885" s="11" t="n">
        <x:f>'管线假设'!H419</x:f>
        <x:v>0.14</x:v>
      </x:c>
      <x:c r="N1885" s="11" t="n">
        <x:f>IF(G1885,L1885*AN1885/(1+M1885)^F1885,0)</x:f>
        <x:v>0.09568936710846536</x:v>
      </x:c>
      <x:c r="AJ1885" t="n">
        <x:v>0</x:v>
      </x:c>
      <x:c r="AK1885" t="n">
        <x:v>0</x:v>
      </x:c>
      <x:c r="AL1885" t="n">
        <x:v>0</x:v>
      </x:c>
      <x:c r="AM1885" t="n">
        <x:f>CHOOSE('假设'!$B$3,AJ1885,AK1885,AL1885)</x:f>
        <x:v>0</x:v>
      </x:c>
      <x:c r="AN1885" t="n">
        <x:v>1</x:v>
      </x:c>
    </x:row>
    <x:row r="1886" ht="23" customHeight="1">
      <x:c r="A1886" s="11" t="str">
        <x:v>688302.SH</x:v>
      </x:c>
      <x:c r="B1886" s="11" t="str">
        <x:v>三年</x:v>
      </x:c>
      <x:c r="C1886" s="11" t="str">
        <x:v>hc1119_later</x:v>
      </x:c>
      <x:c r="D1886" s="11" t="str">
        <x:v>2034-12-31</x:v>
      </x:c>
      <x:c r="E1886" s="11" t="str">
        <x:v>CNY</x:v>
      </x:c>
      <x:c r="F1886" s="11" t="n">
        <x:v>5.2265571526351815</x:v>
      </x:c>
      <x:c r="G1886" s="26" t="b">
        <x:v>1</x:v>
      </x:c>
      <x:c r="H1886" s="16" t="n">
        <x:v>0.2745</x:v>
      </x:c>
      <x:c r="I1886" s="16" t="n">
        <x:v>0.549</x:v>
      </x:c>
      <x:c r="J1886" s="16" t="n">
        <x:v>0.72</x:v>
      </x:c>
      <x:c r="K1886" s="11" t="n">
        <x:f>CHOOSE('假设'!$B$3,H1886,I1886,J1886)</x:f>
        <x:v>0.549</x:v>
      </x:c>
      <x:c r="L1886" s="11" t="n">
        <x:f>K1886*'管线假设'!E419*'管线假设'!F419*'管线假设'!G419*IF(E1886="USD",'管线假设'!I419,1)-AM1886</x:f>
        <x:v>0.13725</x:v>
      </x:c>
      <x:c r="M1886" s="11" t="n">
        <x:f>'管线假设'!H419</x:f>
        <x:v>0.14</x:v>
      </x:c>
      <x:c r="N1886" s="11" t="n">
        <x:f>IF(G1886,L1886*AN1886/(1+M1886)^F1886,0)</x:f>
        <x:v>0.06919837490472397</x:v>
      </x:c>
      <x:c r="AJ1886" t="n">
        <x:v>0</x:v>
      </x:c>
      <x:c r="AK1886" t="n">
        <x:v>0</x:v>
      </x:c>
      <x:c r="AL1886" t="n">
        <x:v>0</x:v>
      </x:c>
      <x:c r="AM1886" t="n">
        <x:f>CHOOSE('假设'!$B$3,AJ1886,AK1886,AL1886)</x:f>
        <x:v>0</x:v>
      </x:c>
      <x:c r="AN1886" t="n">
        <x:v>1</x:v>
      </x:c>
    </x:row>
    <x:row r="1887" ht="23" customHeight="1">
      <x:c r="A1887" s="11" t="str">
        <x:v>688302.SH</x:v>
      </x:c>
      <x:c r="B1887" s="11" t="str">
        <x:v>三年</x:v>
      </x:c>
      <x:c r="C1887" s="11" t="str">
        <x:v>hc1119_later</x:v>
      </x:c>
      <x:c r="D1887" s="11" t="str">
        <x:v>2035-12-31</x:v>
      </x:c>
      <x:c r="E1887" s="11" t="str">
        <x:v>CNY</x:v>
      </x:c>
      <x:c r="F1887" s="11" t="n">
        <x:v>6.225872689938399</x:v>
      </x:c>
      <x:c r="G1887" s="26" t="b">
        <x:v>1</x:v>
      </x:c>
      <x:c r="H1887" s="16" t="n">
        <x:v>0.216</x:v>
      </x:c>
      <x:c r="I1887" s="16" t="n">
        <x:v>0.432</x:v>
      </x:c>
      <x:c r="J1887" s="16" t="n">
        <x:v>0.5249999999999999</x:v>
      </x:c>
      <x:c r="K1887" s="11" t="n">
        <x:f>CHOOSE('假设'!$B$3,H1887,I1887,J1887)</x:f>
        <x:v>0.432</x:v>
      </x:c>
      <x:c r="L1887" s="11" t="n">
        <x:f>K1887*'管线假设'!E419*'管线假设'!F419*'管线假设'!G419*IF(E1887="USD",'管线假设'!I419,1)-AM1887</x:f>
        <x:v>0.108</x:v>
      </x:c>
      <x:c r="M1887" s="11" t="n">
        <x:f>'管线假设'!H419</x:f>
        <x:v>0.14</x:v>
      </x:c>
      <x:c r="N1887" s="11" t="n">
        <x:f>IF(G1887,L1887*AN1887/(1+M1887)^F1887,0)</x:f>
        <x:v>0.04776847707828026</x:v>
      </x:c>
      <x:c r="AJ1887" t="n">
        <x:v>0</x:v>
      </x:c>
      <x:c r="AK1887" t="n">
        <x:v>0</x:v>
      </x:c>
      <x:c r="AL1887" t="n">
        <x:v>0</x:v>
      </x:c>
      <x:c r="AM1887" t="n">
        <x:f>CHOOSE('假设'!$B$3,AJ1887,AK1887,AL1887)</x:f>
        <x:v>0</x:v>
      </x:c>
      <x:c r="AN1887" t="n">
        <x:v>1</x:v>
      </x:c>
    </x:row>
    <x:row r="1888" ht="23" customHeight="1">
      <x:c r="A1888" s="11" t="str">
        <x:v>688302.SH</x:v>
      </x:c>
      <x:c r="B1888" s="11" t="str">
        <x:v>三年</x:v>
      </x:c>
      <x:c r="C1888" s="11" t="str">
        <x:v>hc1119_later</x:v>
      </x:c>
      <x:c r="D1888" s="11" t="str">
        <x:v>2036-12-31</x:v>
      </x:c>
      <x:c r="E1888" s="11" t="str">
        <x:v>CNY</x:v>
      </x:c>
      <x:c r="F1888" s="11" t="n">
        <x:v>7.227926078028747</x:v>
      </x:c>
      <x:c r="G1888" s="26" t="b">
        <x:v>1</x:v>
      </x:c>
      <x:c r="H1888" s="16" t="n">
        <x:v>0.1575</x:v>
      </x:c>
      <x:c r="I1888" s="16" t="n">
        <x:v>0.315</x:v>
      </x:c>
      <x:c r="J1888" s="16" t="n">
        <x:v>0.32999999999999996</x:v>
      </x:c>
      <x:c r="K1888" s="11" t="n">
        <x:f>CHOOSE('假设'!$B$3,H1888,I1888,J1888)</x:f>
        <x:v>0.315</x:v>
      </x:c>
      <x:c r="L1888" s="11" t="n">
        <x:f>K1888*'管线假设'!E419*'管线假设'!F419*'管线假设'!G419*IF(E1888="USD",'管线假设'!I419,1)-AM1888</x:f>
        <x:v>0.07875</x:v>
      </x:c>
      <x:c r="M1888" s="11" t="n">
        <x:f>'管线假设'!H419</x:f>
        <x:v>0.14</x:v>
      </x:c>
      <x:c r="N1888" s="11" t="n">
        <x:f>IF(G1888,L1888*AN1888/(1+M1888)^F1888,0)</x:f>
        <x:v>0.030545448306083817</x:v>
      </x:c>
      <x:c r="AJ1888" t="n">
        <x:v>0</x:v>
      </x:c>
      <x:c r="AK1888" t="n">
        <x:v>0</x:v>
      </x:c>
      <x:c r="AL1888" t="n">
        <x:v>0</x:v>
      </x:c>
      <x:c r="AM1888" t="n">
        <x:f>CHOOSE('假设'!$B$3,AJ1888,AK1888,AL1888)</x:f>
        <x:v>0</x:v>
      </x:c>
      <x:c r="AN1888" t="n">
        <x:v>1</x:v>
      </x:c>
    </x:row>
    <x:row r="1889" ht="23" customHeight="1">
      <x:c r="A1889" s="11" t="str">
        <x:v>688302.SH</x:v>
      </x:c>
      <x:c r="B1889" s="11" t="str">
        <x:v>三年</x:v>
      </x:c>
      <x:c r="C1889" s="11" t="str">
        <x:v>hc1119_later</x:v>
      </x:c>
      <x:c r="D1889" s="11" t="str">
        <x:v>2037-12-31</x:v>
      </x:c>
      <x:c r="E1889" s="11" t="str">
        <x:v>CNY</x:v>
      </x:c>
      <x:c r="F1889" s="11" t="n">
        <x:v>8.227241615331964</x:v>
      </x:c>
      <x:c r="G1889" s="26" t="b">
        <x:v>1</x:v>
      </x:c>
      <x:c r="H1889" s="16" t="n">
        <x:v>0.09899999999999999</x:v>
      </x:c>
      <x:c r="I1889" s="16" t="n">
        <x:v>0.19799999999999998</x:v>
      </x:c>
      <x:c r="J1889" s="16" t="n">
        <x:v>0.13499999999999995</x:v>
      </x:c>
      <x:c r="K1889" s="11" t="n">
        <x:f>CHOOSE('假设'!$B$3,H1889,I1889,J1889)</x:f>
        <x:v>0.19799999999999998</x:v>
      </x:c>
      <x:c r="L1889" s="11" t="n">
        <x:f>K1889*'管线假设'!E419*'管线假设'!F419*'管线假设'!G419*IF(E1889="USD",'管线假设'!I419,1)-AM1889</x:f>
        <x:v>0.049499999999999995</x:v>
      </x:c>
      <x:c r="M1889" s="11" t="n">
        <x:f>'管线假设'!H419</x:f>
        <x:v>0.14</x:v>
      </x:c>
      <x:c r="N1889" s="11" t="n">
        <x:f>IF(G1889,L1889*AN1889/(1+M1889)^F1889,0)</x:f>
        <x:v>0.016843612356987527</x:v>
      </x:c>
      <x:c r="AJ1889" t="n">
        <x:v>0</x:v>
      </x:c>
      <x:c r="AK1889" t="n">
        <x:v>0</x:v>
      </x:c>
      <x:c r="AL1889" t="n">
        <x:v>0</x:v>
      </x:c>
      <x:c r="AM1889" t="n">
        <x:f>CHOOSE('假设'!$B$3,AJ1889,AK1889,AL1889)</x:f>
        <x:v>0</x:v>
      </x:c>
      <x:c r="AN1889" t="n">
        <x:v>1</x:v>
      </x:c>
    </x:row>
    <x:row r="1890" ht="23" customHeight="1">
      <x:c r="A1890" s="11" t="str">
        <x:v>688302.SH</x:v>
      </x:c>
      <x:c r="B1890" s="11" t="str">
        <x:v>三年</x:v>
      </x:c>
      <x:c r="C1890" s="11" t="str">
        <x:v>hc1119_later</x:v>
      </x:c>
      <x:c r="D1890" s="11" t="str">
        <x:v>2038-12-31</x:v>
      </x:c>
      <x:c r="E1890" s="11" t="str">
        <x:v>CNY</x:v>
      </x:c>
      <x:c r="F1890" s="11" t="n">
        <x:v>9.22655715263518</x:v>
      </x:c>
      <x:c r="G1890" s="26" t="b">
        <x:v>1</x:v>
      </x:c>
      <x:c r="H1890" s="16" t="n">
        <x:v>0.04049999999999999</x:v>
      </x:c>
      <x:c r="I1890" s="16" t="n">
        <x:v>0.08099999999999997</x:v>
      </x:c>
      <x:c r="J1890" s="16" t="n">
        <x:v>0</x:v>
      </x:c>
      <x:c r="K1890" s="11" t="n">
        <x:f>CHOOSE('假设'!$B$3,H1890,I1890,J1890)</x:f>
        <x:v>0.08099999999999997</x:v>
      </x:c>
      <x:c r="L1890" s="11" t="n">
        <x:f>K1890*'管线假设'!E419*'管线假设'!F419*'管线假设'!G419*IF(E1890="USD",'管线假设'!I419,1)-AM1890</x:f>
        <x:v>0.020249999999999994</x:v>
      </x:c>
      <x:c r="M1890" s="11" t="n">
        <x:f>'管线假设'!H419</x:f>
        <x:v>0.14</x:v>
      </x:c>
      <x:c r="N1890" s="11" t="n">
        <x:f>IF(G1890,L1890*AN1890/(1+M1890)^F1890,0)</x:f>
        <x:v>0.0060449006076130785</x:v>
      </x:c>
      <x:c r="AJ1890" t="n">
        <x:v>0</x:v>
      </x:c>
      <x:c r="AK1890" t="n">
        <x:v>0</x:v>
      </x:c>
      <x:c r="AL1890" t="n">
        <x:v>0</x:v>
      </x:c>
      <x:c r="AM1890" t="n">
        <x:f>CHOOSE('假设'!$B$3,AJ1890,AK1890,AL1890)</x:f>
        <x:v>0</x:v>
      </x:c>
      <x:c r="AN1890" t="n">
        <x:v>1</x:v>
      </x:c>
    </x:row>
    <x:row r="1891" ht="23" customHeight="1">
      <x:c r="A1891" s="11" t="str">
        <x:v>688302.SH</x:v>
      </x:c>
      <x:c r="B1891" s="11" t="str">
        <x:v>三年</x:v>
      </x:c>
      <x:c r="C1891" s="11" t="str">
        <x:v>hc1119_later</x:v>
      </x:c>
      <x:c r="D1891" s="11" t="str">
        <x:v>2039-12-31</x:v>
      </x:c>
      <x:c r="E1891" s="11" t="str">
        <x:v>CNY</x:v>
      </x:c>
      <x:c r="F1891" s="11" t="n">
        <x:v>10.225872689938399</x:v>
      </x:c>
      <x:c r="G1891" s="26" t="b">
        <x:v>1</x:v>
      </x:c>
      <x:c r="H1891" s="16" t="n">
        <x:v>0</x:v>
      </x:c>
      <x:c r="I1891" s="16" t="n">
        <x:v>0</x:v>
      </x:c>
      <x:c r="J1891" s="16" t="n">
        <x:v>0</x:v>
      </x:c>
      <x:c r="K1891" s="11" t="n">
        <x:f>CHOOSE('假设'!$B$3,H1891,I1891,J1891)</x:f>
        <x:v>0</x:v>
      </x:c>
      <x:c r="L1891" s="11" t="n">
        <x:f>K1891*'管线假设'!E419*'管线假设'!F419*'管线假设'!G419*IF(E1891="USD",'管线假设'!I419,1)-AM1891</x:f>
        <x:v>0</x:v>
      </x:c>
      <x:c r="M1891" s="11" t="n">
        <x:f>'管线假设'!H419</x:f>
        <x:v>0.14</x:v>
      </x:c>
      <x:c r="N1891" s="11" t="n">
        <x:f>IF(G1891,L1891*AN1891/(1+M1891)^F1891,0)</x:f>
        <x:v>0</x:v>
      </x:c>
      <x:c r="AJ1891" t="n">
        <x:v>0</x:v>
      </x:c>
      <x:c r="AK1891" t="n">
        <x:v>0</x:v>
      </x:c>
      <x:c r="AL1891" t="n">
        <x:v>0</x:v>
      </x:c>
      <x:c r="AM1891" t="n">
        <x:f>CHOOSE('假设'!$B$3,AJ1891,AK1891,AL1891)</x:f>
        <x:v>0</x:v>
      </x:c>
      <x:c r="AN1891" t="n">
        <x:v>1</x:v>
      </x:c>
    </x:row>
    <x:row r="1892" ht="23" customHeight="1">
      <x:c r="A1892" s="11" t="str">
        <x:v>688302.SH</x:v>
      </x:c>
      <x:c r="B1892" s="11" t="str">
        <x:v>三年</x:v>
      </x:c>
      <x:c r="C1892" s="11" t="str">
        <x:v>hc1119_later</x:v>
      </x:c>
      <x:c r="D1892" s="11" t="str">
        <x:v>2040-12-31</x:v>
      </x:c>
      <x:c r="E1892" s="11" t="str">
        <x:v>CNY</x:v>
      </x:c>
      <x:c r="F1892" s="11" t="n">
        <x:v>11.227926078028748</x:v>
      </x:c>
      <x:c r="G1892" s="26" t="b">
        <x:v>1</x:v>
      </x:c>
      <x:c r="H1892" s="16" t="n">
        <x:v>0</x:v>
      </x:c>
      <x:c r="I1892" s="16" t="n">
        <x:v>0</x:v>
      </x:c>
      <x:c r="J1892" s="16" t="n">
        <x:v>0</x:v>
      </x:c>
      <x:c r="K1892" s="11" t="n">
        <x:f>CHOOSE('假设'!$B$3,H1892,I1892,J1892)</x:f>
        <x:v>0</x:v>
      </x:c>
      <x:c r="L1892" s="11" t="n">
        <x:f>K1892*'管线假设'!E419*'管线假设'!F419*'管线假设'!G419*IF(E1892="USD",'管线假设'!I419,1)-AM1892</x:f>
        <x:v>0</x:v>
      </x:c>
      <x:c r="M1892" s="11" t="n">
        <x:f>'管线假设'!H419</x:f>
        <x:v>0.14</x:v>
      </x:c>
      <x:c r="N1892" s="11" t="n">
        <x:f>IF(G1892,L1892*AN1892/(1+M1892)^F1892,0)</x:f>
        <x:v>0</x:v>
      </x:c>
      <x:c r="AJ1892" t="n">
        <x:v>0</x:v>
      </x:c>
      <x:c r="AK1892" t="n">
        <x:v>0</x:v>
      </x:c>
      <x:c r="AL1892" t="n">
        <x:v>0</x:v>
      </x:c>
      <x:c r="AM1892" t="n">
        <x:f>CHOOSE('假设'!$B$3,AJ1892,AK1892,AL1892)</x:f>
        <x:v>0</x:v>
      </x:c>
      <x:c r="AN1892" t="n">
        <x:v>1</x:v>
      </x:c>
    </x:row>
    <x:row r="1893" ht="23" customHeight="1">
      <x:c r="A1893" s="11" t="str">
        <x:v>688302.SH</x:v>
      </x:c>
      <x:c r="B1893" s="11" t="str">
        <x:v>三年</x:v>
      </x:c>
      <x:c r="C1893" s="11" t="str">
        <x:v>hc1119_later</x:v>
      </x:c>
      <x:c r="D1893" s="11" t="str">
        <x:v>2041-12-31</x:v>
      </x:c>
      <x:c r="E1893" s="11" t="str">
        <x:v>CNY</x:v>
      </x:c>
      <x:c r="F1893" s="11" t="n">
        <x:v>12.227241615331964</x:v>
      </x:c>
      <x:c r="G1893" s="26" t="b">
        <x:v>1</x:v>
      </x:c>
      <x:c r="H1893" s="16" t="n">
        <x:v>0</x:v>
      </x:c>
      <x:c r="I1893" s="16" t="n">
        <x:v>0</x:v>
      </x:c>
      <x:c r="J1893" s="16" t="n">
        <x:v>0</x:v>
      </x:c>
      <x:c r="K1893" s="11" t="n">
        <x:f>CHOOSE('假设'!$B$3,H1893,I1893,J1893)</x:f>
        <x:v>0</x:v>
      </x:c>
      <x:c r="L1893" s="11" t="n">
        <x:f>K1893*'管线假设'!E419*'管线假设'!F419*'管线假设'!G419*IF(E1893="USD",'管线假设'!I419,1)-AM1893</x:f>
        <x:v>0</x:v>
      </x:c>
      <x:c r="M1893" s="11" t="n">
        <x:f>'管线假设'!H419</x:f>
        <x:v>0.14</x:v>
      </x:c>
      <x:c r="N1893" s="11" t="n">
        <x:f>IF(G1893,L1893*AN1893/(1+M1893)^F1893,0)</x:f>
        <x:v>0</x:v>
      </x:c>
      <x:c r="AJ1893" t="n">
        <x:v>0</x:v>
      </x:c>
      <x:c r="AK1893" t="n">
        <x:v>0</x:v>
      </x:c>
      <x:c r="AL1893" t="n">
        <x:v>0</x:v>
      </x:c>
      <x:c r="AM1893" t="n">
        <x:f>CHOOSE('假设'!$B$3,AJ1893,AK1893,AL1893)</x:f>
        <x:v>0</x:v>
      </x:c>
      <x:c r="AN1893" t="n">
        <x:v>1</x:v>
      </x:c>
    </x:row>
    <x:row r="1894" ht="23" customHeight="1">
      <x:c r="A1894" s="11" t="str">
        <x:v>688302.SH</x:v>
      </x:c>
      <x:c r="B1894" s="11" t="str">
        <x:v>三年</x:v>
      </x:c>
      <x:c r="C1894" s="11" t="str">
        <x:v>hc1119_later</x:v>
      </x:c>
      <x:c r="D1894" s="11" t="str">
        <x:v>2042-12-31</x:v>
      </x:c>
      <x:c r="E1894" s="11" t="str">
        <x:v>CNY</x:v>
      </x:c>
      <x:c r="F1894" s="11" t="n">
        <x:v>13.22655715263518</x:v>
      </x:c>
      <x:c r="G1894" s="26" t="b">
        <x:v>1</x:v>
      </x:c>
      <x:c r="H1894" s="16" t="n">
        <x:v>0</x:v>
      </x:c>
      <x:c r="I1894" s="16" t="n">
        <x:v>0</x:v>
      </x:c>
      <x:c r="J1894" s="16" t="n">
        <x:v>0</x:v>
      </x:c>
      <x:c r="K1894" s="11" t="n">
        <x:f>CHOOSE('假设'!$B$3,H1894,I1894,J1894)</x:f>
        <x:v>0</x:v>
      </x:c>
      <x:c r="L1894" s="11" t="n">
        <x:f>K1894*'管线假设'!E419*'管线假设'!F419*'管线假设'!G419*IF(E1894="USD",'管线假设'!I419,1)-AM1894</x:f>
        <x:v>0</x:v>
      </x:c>
      <x:c r="M1894" s="11" t="n">
        <x:f>'管线假设'!H419</x:f>
        <x:v>0.14</x:v>
      </x:c>
      <x:c r="N1894" s="11" t="n">
        <x:f>IF(G1894,L1894*AN1894/(1+M1894)^F1894,0)</x:f>
        <x:v>0</x:v>
      </x:c>
      <x:c r="AJ1894" t="n">
        <x:v>0</x:v>
      </x:c>
      <x:c r="AK1894" t="n">
        <x:v>0</x:v>
      </x:c>
      <x:c r="AL1894" t="n">
        <x:v>0</x:v>
      </x:c>
      <x:c r="AM1894" t="n">
        <x:f>CHOOSE('假设'!$B$3,AJ1894,AK1894,AL1894)</x:f>
        <x:v>0</x:v>
      </x:c>
      <x:c r="AN1894" t="n">
        <x:v>1</x:v>
      </x:c>
    </x:row>
    <x:row r="1895" ht="23" customHeight="1">
      <x:c r="A1895" s="11" t="str">
        <x:v>688302.SH</x:v>
      </x:c>
      <x:c r="B1895" s="11" t="str">
        <x:v>三年</x:v>
      </x:c>
      <x:c r="C1895" s="11" t="str">
        <x:v>hc1119_later</x:v>
      </x:c>
      <x:c r="D1895" s="11" t="str">
        <x:v>2043-12-31</x:v>
      </x:c>
      <x:c r="E1895" s="11" t="str">
        <x:v>CNY</x:v>
      </x:c>
      <x:c r="F1895" s="11" t="n">
        <x:v>14.225872689938399</x:v>
      </x:c>
      <x:c r="G1895" s="26" t="b">
        <x:v>1</x:v>
      </x:c>
      <x:c r="H1895" s="16" t="n">
        <x:v>0</x:v>
      </x:c>
      <x:c r="I1895" s="16" t="n">
        <x:v>0</x:v>
      </x:c>
      <x:c r="J1895" s="16" t="n">
        <x:v>0</x:v>
      </x:c>
      <x:c r="K1895" s="11" t="n">
        <x:f>CHOOSE('假设'!$B$3,H1895,I1895,J1895)</x:f>
        <x:v>0</x:v>
      </x:c>
      <x:c r="L1895" s="11" t="n">
        <x:f>K1895*'管线假设'!E419*'管线假设'!F419*'管线假设'!G419*IF(E1895="USD",'管线假设'!I419,1)-AM1895</x:f>
        <x:v>0</x:v>
      </x:c>
      <x:c r="M1895" s="11" t="n">
        <x:f>'管线假设'!H419</x:f>
        <x:v>0.14</x:v>
      </x:c>
      <x:c r="N1895" s="11" t="n">
        <x:f>IF(G1895,L1895*AN1895/(1+M1895)^F1895,0)</x:f>
        <x:v>0</x:v>
      </x:c>
      <x:c r="AJ1895" t="n">
        <x:v>0</x:v>
      </x:c>
      <x:c r="AK1895" t="n">
        <x:v>0</x:v>
      </x:c>
      <x:c r="AL1895" t="n">
        <x:v>0</x:v>
      </x:c>
      <x:c r="AM1895" t="n">
        <x:f>CHOOSE('假设'!$B$3,AJ1895,AK1895,AL1895)</x:f>
        <x:v>0</x:v>
      </x:c>
      <x:c r="AN1895" t="n">
        <x:v>1</x:v>
      </x:c>
    </x:row>
    <x:row r="1896" ht="23" customHeight="1">
      <x:c r="A1896" s="11" t="str">
        <x:v>688302.SH</x:v>
      </x:c>
      <x:c r="B1896" s="11" t="str">
        <x:v>三年</x:v>
      </x:c>
      <x:c r="C1896" s="11" t="str">
        <x:v>hc1119_later</x:v>
      </x:c>
      <x:c r="D1896" s="11" t="str">
        <x:v>2044-12-31</x:v>
      </x:c>
      <x:c r="E1896" s="11" t="str">
        <x:v>CNY</x:v>
      </x:c>
      <x:c r="F1896" s="11" t="n">
        <x:v>15.227926078028748</x:v>
      </x:c>
      <x:c r="G1896" s="26" t="b">
        <x:v>1</x:v>
      </x:c>
      <x:c r="H1896" s="16" t="n">
        <x:v>0</x:v>
      </x:c>
      <x:c r="I1896" s="16" t="n">
        <x:v>0</x:v>
      </x:c>
      <x:c r="J1896" s="16" t="n">
        <x:v>0</x:v>
      </x:c>
      <x:c r="K1896" s="11" t="n">
        <x:f>CHOOSE('假设'!$B$3,H1896,I1896,J1896)</x:f>
        <x:v>0</x:v>
      </x:c>
      <x:c r="L1896" s="11" t="n">
        <x:f>K1896*'管线假设'!E419*'管线假设'!F419*'管线假设'!G419*IF(E1896="USD",'管线假设'!I419,1)-AM1896</x:f>
        <x:v>0</x:v>
      </x:c>
      <x:c r="M1896" s="11" t="n">
        <x:f>'管线假设'!H419</x:f>
        <x:v>0.14</x:v>
      </x:c>
      <x:c r="N1896" s="11" t="n">
        <x:f>IF(G1896,L1896*AN1896/(1+M1896)^F1896,0)</x:f>
        <x:v>0</x:v>
      </x:c>
      <x:c r="AJ1896" t="n">
        <x:v>0</x:v>
      </x:c>
      <x:c r="AK1896" t="n">
        <x:v>0</x:v>
      </x:c>
      <x:c r="AL1896" t="n">
        <x:v>0</x:v>
      </x:c>
      <x:c r="AM1896" t="n">
        <x:f>CHOOSE('假设'!$B$3,AJ1896,AK1896,AL1896)</x:f>
        <x:v>0</x:v>
      </x:c>
      <x:c r="AN1896" t="n">
        <x:v>1</x:v>
      </x:c>
    </x:row>
    <x:row r="1897" ht="23" customHeight="1">
      <x:c r="A1897" s="11" t="str">
        <x:v>688302.SH</x:v>
      </x:c>
      <x:c r="B1897" s="11" t="str">
        <x:v>三年</x:v>
      </x:c>
      <x:c r="C1897" s="11" t="str">
        <x:v>hc1119_later</x:v>
      </x:c>
      <x:c r="D1897" s="11" t="str">
        <x:v>2045-12-31</x:v>
      </x:c>
      <x:c r="E1897" s="11" t="str">
        <x:v>CNY</x:v>
      </x:c>
      <x:c r="F1897" s="11" t="n">
        <x:v>16.227241615331966</x:v>
      </x:c>
      <x:c r="G1897" s="26" t="b">
        <x:v>1</x:v>
      </x:c>
      <x:c r="H1897" s="16" t="n">
        <x:v>0</x:v>
      </x:c>
      <x:c r="I1897" s="16" t="n">
        <x:v>0</x:v>
      </x:c>
      <x:c r="J1897" s="16" t="n">
        <x:v>0</x:v>
      </x:c>
      <x:c r="K1897" s="11" t="n">
        <x:f>CHOOSE('假设'!$B$3,H1897,I1897,J1897)</x:f>
        <x:v>0</x:v>
      </x:c>
      <x:c r="L1897" s="11" t="n">
        <x:f>K1897*'管线假设'!E419*'管线假设'!F419*'管线假设'!G419*IF(E1897="USD",'管线假设'!I419,1)-AM1897</x:f>
        <x:v>0</x:v>
      </x:c>
      <x:c r="M1897" s="11" t="n">
        <x:f>'管线假设'!H419</x:f>
        <x:v>0.14</x:v>
      </x:c>
      <x:c r="N1897" s="11" t="n">
        <x:f>IF(G1897,L1897*AN1897/(1+M1897)^F1897,0)</x:f>
        <x:v>0</x:v>
      </x:c>
      <x:c r="AJ1897" t="n">
        <x:v>0</x:v>
      </x:c>
      <x:c r="AK1897" t="n">
        <x:v>0</x:v>
      </x:c>
      <x:c r="AL1897" t="n">
        <x:v>0</x:v>
      </x:c>
      <x:c r="AM1897" t="n">
        <x:f>CHOOSE('假设'!$B$3,AJ1897,AK1897,AL1897)</x:f>
        <x:v>0</x:v>
      </x:c>
      <x:c r="AN1897" t="n">
        <x:v>1</x:v>
      </x:c>
    </x:row>
    <x:row r="1898" ht="23" customHeight="1">
      <x:c r="A1898" s="11" t="str">
        <x:v>688302.SH</x:v>
      </x:c>
      <x:c r="B1898" s="11" t="str">
        <x:v>三年</x:v>
      </x:c>
      <x:c r="C1898" s="11" t="str">
        <x:v>hc1119_bcr</x:v>
      </x:c>
      <x:c r="D1898" s="11" t="str">
        <x:v>2027-12-31</x:v>
      </x:c>
      <x:c r="E1898" s="11" t="str">
        <x:v>CNY</x:v>
      </x:c>
      <x:c r="F1898" s="11" t="n">
        <x:v>-1.7741273100616017</x:v>
      </x:c>
      <x:c r="G1898" s="26" t="b">
        <x:v>0</x:v>
      </x:c>
      <x:c r="H1898" s="16" t="n">
        <x:v>0</x:v>
      </x:c>
      <x:c r="I1898" s="16" t="n">
        <x:v>0</x:v>
      </x:c>
      <x:c r="J1898" s="16" t="n">
        <x:v>0</x:v>
      </x:c>
      <x:c r="K1898" s="11" t="n">
        <x:f>CHOOSE('假设'!$B$3,H1898,I1898,J1898)</x:f>
        <x:v>0</x:v>
      </x:c>
      <x:c r="L1898" s="11" t="n">
        <x:f>K1898*'管线假设'!E423*'管线假设'!F423*'管线假设'!G423*IF(E1898="USD",'管线假设'!I423,1)-AM1898</x:f>
        <x:v>0</x:v>
      </x:c>
      <x:c r="M1898" s="11" t="n">
        <x:f>'管线假设'!H423</x:f>
        <x:v>0.14</x:v>
      </x:c>
      <x:c r="N1898" s="11" t="n">
        <x:f>IF(G1898,L1898*AN1898/(1+M1898)^F1898,0)</x:f>
        <x:v>0</x:v>
      </x:c>
      <x:c r="AJ1898" t="n">
        <x:v>0</x:v>
      </x:c>
      <x:c r="AK1898" t="n">
        <x:v>0</x:v>
      </x:c>
      <x:c r="AL1898" t="n">
        <x:v>0</x:v>
      </x:c>
      <x:c r="AM1898" t="n">
        <x:f>CHOOSE('假设'!$B$3,AJ1898,AK1898,AL1898)</x:f>
        <x:v>0</x:v>
      </x:c>
      <x:c r="AN1898" t="n">
        <x:v>1</x:v>
      </x:c>
    </x:row>
    <x:row r="1899" ht="23" customHeight="1">
      <x:c r="A1899" s="11" t="str">
        <x:v>688302.SH</x:v>
      </x:c>
      <x:c r="B1899" s="11" t="str">
        <x:v>三年</x:v>
      </x:c>
      <x:c r="C1899" s="11" t="str">
        <x:v>hc1119_bcr</x:v>
      </x:c>
      <x:c r="D1899" s="11" t="str">
        <x:v>2028-12-31</x:v>
      </x:c>
      <x:c r="E1899" s="11" t="str">
        <x:v>CNY</x:v>
      </x:c>
      <x:c r="F1899" s="11" t="n">
        <x:v>-0.7720739219712526</x:v>
      </x:c>
      <x:c r="G1899" s="26" t="b">
        <x:v>0</x:v>
      </x:c>
      <x:c r="H1899" s="16" t="n">
        <x:v>0</x:v>
      </x:c>
      <x:c r="I1899" s="16" t="n">
        <x:v>0</x:v>
      </x:c>
      <x:c r="J1899" s="16" t="n">
        <x:v>0</x:v>
      </x:c>
      <x:c r="K1899" s="11" t="n">
        <x:f>CHOOSE('假设'!$B$3,H1899,I1899,J1899)</x:f>
        <x:v>0</x:v>
      </x:c>
      <x:c r="L1899" s="11" t="n">
        <x:f>K1899*'管线假设'!E423*'管线假设'!F423*'管线假设'!G423*IF(E1899="USD",'管线假设'!I423,1)-AM1899</x:f>
        <x:v>0</x:v>
      </x:c>
      <x:c r="M1899" s="11" t="n">
        <x:f>'管线假设'!H423</x:f>
        <x:v>0.14</x:v>
      </x:c>
      <x:c r="N1899" s="11" t="n">
        <x:f>IF(G1899,L1899*AN1899/(1+M1899)^F1899,0)</x:f>
        <x:v>0</x:v>
      </x:c>
      <x:c r="AJ1899" t="n">
        <x:v>0</x:v>
      </x:c>
      <x:c r="AK1899" t="n">
        <x:v>0</x:v>
      </x:c>
      <x:c r="AL1899" t="n">
        <x:v>0</x:v>
      </x:c>
      <x:c r="AM1899" t="n">
        <x:f>CHOOSE('假设'!$B$3,AJ1899,AK1899,AL1899)</x:f>
        <x:v>0</x:v>
      </x:c>
      <x:c r="AN1899" t="n">
        <x:v>1</x:v>
      </x:c>
    </x:row>
    <x:row r="1900" ht="23" customHeight="1">
      <x:c r="A1900" s="11" t="str">
        <x:v>688302.SH</x:v>
      </x:c>
      <x:c r="B1900" s="11" t="str">
        <x:v>三年</x:v>
      </x:c>
      <x:c r="C1900" s="11" t="str">
        <x:v>hc1119_bcr</x:v>
      </x:c>
      <x:c r="D1900" s="11" t="str">
        <x:v>2029-12-31</x:v>
      </x:c>
      <x:c r="E1900" s="11" t="str">
        <x:v>CNY</x:v>
      </x:c>
      <x:c r="F1900" s="11" t="n">
        <x:v>0.2272416153319644</x:v>
      </x:c>
      <x:c r="G1900" s="26" t="b">
        <x:v>1</x:v>
      </x:c>
      <x:c r="H1900" s="16" t="n">
        <x:v>0</x:v>
      </x:c>
      <x:c r="I1900" s="16" t="n">
        <x:v>0</x:v>
      </x:c>
      <x:c r="J1900" s="16" t="n">
        <x:v>0.5</x:v>
      </x:c>
      <x:c r="K1900" s="11" t="n">
        <x:f>CHOOSE('假设'!$B$3,H1900,I1900,J1900)</x:f>
        <x:v>0</x:v>
      </x:c>
      <x:c r="L1900" s="11" t="n">
        <x:f>K1900*'管线假设'!E423*'管线假设'!F423*'管线假设'!G423*IF(E1900="USD",'管线假设'!I423,1)-AM1900</x:f>
        <x:v>0</x:v>
      </x:c>
      <x:c r="M1900" s="11" t="n">
        <x:f>'管线假设'!H423</x:f>
        <x:v>0.14</x:v>
      </x:c>
      <x:c r="N1900" s="11" t="n">
        <x:f>IF(G1900,L1900*AN1900/(1+M1900)^F1900,0)</x:f>
        <x:v>0</x:v>
      </x:c>
      <x:c r="AJ1900" t="n">
        <x:v>0</x:v>
      </x:c>
      <x:c r="AK1900" t="n">
        <x:v>0</x:v>
      </x:c>
      <x:c r="AL1900" t="n">
        <x:v>0</x:v>
      </x:c>
      <x:c r="AM1900" t="n">
        <x:f>CHOOSE('假设'!$B$3,AJ1900,AK1900,AL1900)</x:f>
        <x:v>0</x:v>
      </x:c>
      <x:c r="AN1900" t="n">
        <x:v>1</x:v>
      </x:c>
    </x:row>
    <x:row r="1901" ht="23" customHeight="1">
      <x:c r="A1901" s="11" t="str">
        <x:v>688302.SH</x:v>
      </x:c>
      <x:c r="B1901" s="11" t="str">
        <x:v>三年</x:v>
      </x:c>
      <x:c r="C1901" s="11" t="str">
        <x:v>hc1119_bcr</x:v>
      </x:c>
      <x:c r="D1901" s="11" t="str">
        <x:v>2030-12-31</x:v>
      </x:c>
      <x:c r="E1901" s="11" t="str">
        <x:v>CNY</x:v>
      </x:c>
      <x:c r="F1901" s="11" t="n">
        <x:v>1.2265571526351813</x:v>
      </x:c>
      <x:c r="G1901" s="26" t="b">
        <x:v>1</x:v>
      </x:c>
      <x:c r="H1901" s="16" t="n">
        <x:v>0</x:v>
      </x:c>
      <x:c r="I1901" s="16" t="n">
        <x:v>0</x:v>
      </x:c>
      <x:c r="J1901" s="16" t="n">
        <x:v>1</x:v>
      </x:c>
      <x:c r="K1901" s="11" t="n">
        <x:f>CHOOSE('假设'!$B$3,H1901,I1901,J1901)</x:f>
        <x:v>0</x:v>
      </x:c>
      <x:c r="L1901" s="11" t="n">
        <x:f>K1901*'管线假设'!E423*'管线假设'!F423*'管线假设'!G423*IF(E1901="USD",'管线假设'!I423,1)-AM1901</x:f>
        <x:v>0</x:v>
      </x:c>
      <x:c r="M1901" s="11" t="n">
        <x:f>'管线假设'!H423</x:f>
        <x:v>0.14</x:v>
      </x:c>
      <x:c r="N1901" s="11" t="n">
        <x:f>IF(G1901,L1901*AN1901/(1+M1901)^F1901,0)</x:f>
        <x:v>0</x:v>
      </x:c>
      <x:c r="AJ1901" t="n">
        <x:v>0</x:v>
      </x:c>
      <x:c r="AK1901" t="n">
        <x:v>0</x:v>
      </x:c>
      <x:c r="AL1901" t="n">
        <x:v>0</x:v>
      </x:c>
      <x:c r="AM1901" t="n">
        <x:f>CHOOSE('假设'!$B$3,AJ1901,AK1901,AL1901)</x:f>
        <x:v>0</x:v>
      </x:c>
      <x:c r="AN1901" t="n">
        <x:v>1</x:v>
      </x:c>
    </x:row>
    <x:row r="1902" ht="23" customHeight="1">
      <x:c r="A1902" s="11" t="str">
        <x:v>688302.SH</x:v>
      </x:c>
      <x:c r="B1902" s="11" t="str">
        <x:v>三年</x:v>
      </x:c>
      <x:c r="C1902" s="11" t="str">
        <x:v>hc1119_bcr</x:v>
      </x:c>
      <x:c r="D1902" s="11" t="str">
        <x:v>2031-12-31</x:v>
      </x:c>
      <x:c r="E1902" s="11" t="str">
        <x:v>CNY</x:v>
      </x:c>
      <x:c r="F1902" s="11" t="n">
        <x:v>2.2258726899383983</x:v>
      </x:c>
      <x:c r="G1902" s="26" t="b">
        <x:v>1</x:v>
      </x:c>
      <x:c r="H1902" s="16" t="n">
        <x:v>0</x:v>
      </x:c>
      <x:c r="I1902" s="16" t="n">
        <x:v>0.3</x:v>
      </x:c>
      <x:c r="J1902" s="16" t="n">
        <x:v>1.5</x:v>
      </x:c>
      <x:c r="K1902" s="11" t="n">
        <x:f>CHOOSE('假设'!$B$3,H1902,I1902,J1902)</x:f>
        <x:v>0.3</x:v>
      </x:c>
      <x:c r="L1902" s="11" t="n">
        <x:f>K1902*'管线假设'!E423*'管线假设'!F423*'管线假设'!G423*IF(E1902="USD",'管线假设'!I423,1)-AM1902</x:f>
        <x:v>0.041999999999999996</x:v>
      </x:c>
      <x:c r="M1902" s="11" t="n">
        <x:f>'管线假设'!H423</x:f>
        <x:v>0.14</x:v>
      </x:c>
      <x:c r="N1902" s="11" t="n">
        <x:f>IF(G1902,L1902*AN1902/(1+M1902)^F1902,0)</x:f>
        <x:v>0.03137518793464557</x:v>
      </x:c>
      <x:c r="AJ1902" t="n">
        <x:v>0</x:v>
      </x:c>
      <x:c r="AK1902" t="n">
        <x:v>0</x:v>
      </x:c>
      <x:c r="AL1902" t="n">
        <x:v>0</x:v>
      </x:c>
      <x:c r="AM1902" t="n">
        <x:f>CHOOSE('假设'!$B$3,AJ1902,AK1902,AL1902)</x:f>
        <x:v>0</x:v>
      </x:c>
      <x:c r="AN1902" t="n">
        <x:v>1</x:v>
      </x:c>
    </x:row>
    <x:row r="1903" ht="23" customHeight="1">
      <x:c r="A1903" s="11" t="str">
        <x:v>688302.SH</x:v>
      </x:c>
      <x:c r="B1903" s="11" t="str">
        <x:v>三年</x:v>
      </x:c>
      <x:c r="C1903" s="11" t="str">
        <x:v>hc1119_bcr</x:v>
      </x:c>
      <x:c r="D1903" s="11" t="str">
        <x:v>2032-12-31</x:v>
      </x:c>
      <x:c r="E1903" s="11" t="str">
        <x:v>CNY</x:v>
      </x:c>
      <x:c r="F1903" s="11" t="n">
        <x:v>3.2279260780287475</x:v>
      </x:c>
      <x:c r="G1903" s="26" t="b">
        <x:v>1</x:v>
      </x:c>
      <x:c r="H1903" s="16" t="n">
        <x:v>0</x:v>
      </x:c>
      <x:c r="I1903" s="16" t="n">
        <x:v>0.6</x:v>
      </x:c>
      <x:c r="J1903" s="16" t="n">
        <x:v>2</x:v>
      </x:c>
      <x:c r="K1903" s="11" t="n">
        <x:f>CHOOSE('假设'!$B$3,H1903,I1903,J1903)</x:f>
        <x:v>0.6</x:v>
      </x:c>
      <x:c r="L1903" s="11" t="n">
        <x:f>K1903*'管线假设'!E423*'管线假设'!F423*'管线假设'!G423*IF(E1903="USD",'管线假设'!I423,1)-AM1903</x:f>
        <x:v>0.08399999999999999</x:v>
      </x:c>
      <x:c r="M1903" s="11" t="n">
        <x:f>'管线假设'!H423</x:f>
        <x:v>0.14</x:v>
      </x:c>
      <x:c r="N1903" s="11" t="n">
        <x:f>IF(G1903,L1903*AN1903/(1+M1903)^F1903,0)</x:f>
        <x:v>0.05502938160886941</x:v>
      </x:c>
      <x:c r="AJ1903" t="n">
        <x:v>0</x:v>
      </x:c>
      <x:c r="AK1903" t="n">
        <x:v>0</x:v>
      </x:c>
      <x:c r="AL1903" t="n">
        <x:v>0</x:v>
      </x:c>
      <x:c r="AM1903" t="n">
        <x:f>CHOOSE('假设'!$B$3,AJ1903,AK1903,AL1903)</x:f>
        <x:v>0</x:v>
      </x:c>
      <x:c r="AN1903" t="n">
        <x:v>1</x:v>
      </x:c>
    </x:row>
    <x:row r="1904" ht="23" customHeight="1">
      <x:c r="A1904" s="11" t="str">
        <x:v>688302.SH</x:v>
      </x:c>
      <x:c r="B1904" s="11" t="str">
        <x:v>三年</x:v>
      </x:c>
      <x:c r="C1904" s="11" t="str">
        <x:v>hc1119_bcr</x:v>
      </x:c>
      <x:c r="D1904" s="11" t="str">
        <x:v>2033-12-31</x:v>
      </x:c>
      <x:c r="E1904" s="11" t="str">
        <x:v>CNY</x:v>
      </x:c>
      <x:c r="F1904" s="11" t="n">
        <x:v>4.227241615331964</x:v>
      </x:c>
      <x:c r="G1904" s="26" t="b">
        <x:v>1</x:v>
      </x:c>
      <x:c r="H1904" s="16" t="n">
        <x:v>0</x:v>
      </x:c>
      <x:c r="I1904" s="16" t="n">
        <x:v>0.9</x:v>
      </x:c>
      <x:c r="J1904" s="16" t="n">
        <x:v>2.5</x:v>
      </x:c>
      <x:c r="K1904" s="11" t="n">
        <x:f>CHOOSE('假设'!$B$3,H1904,I1904,J1904)</x:f>
        <x:v>0.9</x:v>
      </x:c>
      <x:c r="L1904" s="11" t="n">
        <x:f>K1904*'管线假设'!E423*'管线假设'!F423*'管线假设'!G423*IF(E1904="USD",'管线假设'!I423,1)-AM1904</x:f>
        <x:v>0.126</x:v>
      </x:c>
      <x:c r="M1904" s="11" t="n">
        <x:f>'管线假设'!H423</x:f>
        <x:v>0.14</x:v>
      </x:c>
      <x:c r="N1904" s="11" t="n">
        <x:f>IF(G1904,L1904*AN1904/(1+M1904)^F1904,0)</x:f>
        <x:v>0.07241357510910892</x:v>
      </x:c>
      <x:c r="AJ1904" t="n">
        <x:v>0</x:v>
      </x:c>
      <x:c r="AK1904" t="n">
        <x:v>0</x:v>
      </x:c>
      <x:c r="AL1904" t="n">
        <x:v>0</x:v>
      </x:c>
      <x:c r="AM1904" t="n">
        <x:f>CHOOSE('假设'!$B$3,AJ1904,AK1904,AL1904)</x:f>
        <x:v>0</x:v>
      </x:c>
      <x:c r="AN1904" t="n">
        <x:v>1</x:v>
      </x:c>
    </x:row>
    <x:row r="1905" ht="23" customHeight="1">
      <x:c r="A1905" s="11" t="str">
        <x:v>688302.SH</x:v>
      </x:c>
      <x:c r="B1905" s="11" t="str">
        <x:v>三年</x:v>
      </x:c>
      <x:c r="C1905" s="11" t="str">
        <x:v>hc1119_bcr</x:v>
      </x:c>
      <x:c r="D1905" s="11" t="str">
        <x:v>2034-12-31</x:v>
      </x:c>
      <x:c r="E1905" s="11" t="str">
        <x:v>CNY</x:v>
      </x:c>
      <x:c r="F1905" s="11" t="n">
        <x:v>5.2265571526351815</x:v>
      </x:c>
      <x:c r="G1905" s="26" t="b">
        <x:v>1</x:v>
      </x:c>
      <x:c r="H1905" s="16" t="n">
        <x:v>0.12</x:v>
      </x:c>
      <x:c r="I1905" s="16" t="n">
        <x:v>1.2</x:v>
      </x:c>
      <x:c r="J1905" s="16" t="n">
        <x:v>3</x:v>
      </x:c>
      <x:c r="K1905" s="11" t="n">
        <x:f>CHOOSE('假设'!$B$3,H1905,I1905,J1905)</x:f>
        <x:v>1.2</x:v>
      </x:c>
      <x:c r="L1905" s="11" t="n">
        <x:f>K1905*'管线假设'!E423*'管线假设'!F423*'管线假设'!G423*IF(E1905="USD",'管线假设'!I423,1)-AM1905</x:f>
        <x:v>0.16799999999999998</x:v>
      </x:c>
      <x:c r="M1905" s="11" t="n">
        <x:f>'管线假设'!H423</x:f>
        <x:v>0.14</x:v>
      </x:c>
      <x:c r="N1905" s="11" t="n">
        <x:f>IF(G1905,L1905*AN1905/(1+M1905)^F1905,0)</x:f>
        <x:v>0.08470183594895173</x:v>
      </x:c>
      <x:c r="AJ1905" t="n">
        <x:v>0</x:v>
      </x:c>
      <x:c r="AK1905" t="n">
        <x:v>0</x:v>
      </x:c>
      <x:c r="AL1905" t="n">
        <x:v>0</x:v>
      </x:c>
      <x:c r="AM1905" t="n">
        <x:f>CHOOSE('假设'!$B$3,AJ1905,AK1905,AL1905)</x:f>
        <x:v>0</x:v>
      </x:c>
      <x:c r="AN1905" t="n">
        <x:v>1</x:v>
      </x:c>
    </x:row>
    <x:row r="1906" ht="23" customHeight="1">
      <x:c r="A1906" s="11" t="str">
        <x:v>688302.SH</x:v>
      </x:c>
      <x:c r="B1906" s="11" t="str">
        <x:v>三年</x:v>
      </x:c>
      <x:c r="C1906" s="11" t="str">
        <x:v>hc1119_bcr</x:v>
      </x:c>
      <x:c r="D1906" s="11" t="str">
        <x:v>2035-12-31</x:v>
      </x:c>
      <x:c r="E1906" s="11" t="str">
        <x:v>CNY</x:v>
      </x:c>
      <x:c r="F1906" s="11" t="n">
        <x:v>6.225872689938399</x:v>
      </x:c>
      <x:c r="G1906" s="26" t="b">
        <x:v>1</x:v>
      </x:c>
      <x:c r="H1906" s="16" t="n">
        <x:v>0.24</x:v>
      </x:c>
      <x:c r="I1906" s="16" t="n">
        <x:v>1.5</x:v>
      </x:c>
      <x:c r="J1906" s="16" t="n">
        <x:v>2.61</x:v>
      </x:c>
      <x:c r="K1906" s="11" t="n">
        <x:f>CHOOSE('假设'!$B$3,H1906,I1906,J1906)</x:f>
        <x:v>1.5</x:v>
      </x:c>
      <x:c r="L1906" s="11" t="n">
        <x:f>K1906*'管线假设'!E423*'管线假设'!F423*'管线假设'!G423*IF(E1906="USD",'管线假设'!I423,1)-AM1906</x:f>
        <x:v>0.20999999999999996</x:v>
      </x:c>
      <x:c r="M1906" s="11" t="n">
        <x:f>'管线假设'!H423</x:f>
        <x:v>0.14</x:v>
      </x:c>
      <x:c r="N1906" s="11" t="n">
        <x:f>IF(G1906,L1906*AN1906/(1+M1906)^F1906,0)</x:f>
        <x:v>0.09288314987443383</x:v>
      </x:c>
      <x:c r="AJ1906" t="n">
        <x:v>0</x:v>
      </x:c>
      <x:c r="AK1906" t="n">
        <x:v>0</x:v>
      </x:c>
      <x:c r="AL1906" t="n">
        <x:v>0</x:v>
      </x:c>
      <x:c r="AM1906" t="n">
        <x:f>CHOOSE('假设'!$B$3,AJ1906,AK1906,AL1906)</x:f>
        <x:v>0</x:v>
      </x:c>
      <x:c r="AN1906" t="n">
        <x:v>1</x:v>
      </x:c>
    </x:row>
    <x:row r="1907" ht="23" customHeight="1">
      <x:c r="A1907" s="11" t="str">
        <x:v>688302.SH</x:v>
      </x:c>
      <x:c r="B1907" s="11" t="str">
        <x:v>三年</x:v>
      </x:c>
      <x:c r="C1907" s="11" t="str">
        <x:v>hc1119_bcr</x:v>
      </x:c>
      <x:c r="D1907" s="11" t="str">
        <x:v>2036-12-31</x:v>
      </x:c>
      <x:c r="E1907" s="11" t="str">
        <x:v>CNY</x:v>
      </x:c>
      <x:c r="F1907" s="11" t="n">
        <x:v>7.227926078028747</x:v>
      </x:c>
      <x:c r="G1907" s="26" t="b">
        <x:v>1</x:v>
      </x:c>
      <x:c r="H1907" s="16" t="n">
        <x:v>0.36</x:v>
      </x:c>
      <x:c r="I1907" s="16" t="n">
        <x:v>1.8</x:v>
      </x:c>
      <x:c r="J1907" s="16" t="n">
        <x:v>2.2199999999999998</x:v>
      </x:c>
      <x:c r="K1907" s="11" t="n">
        <x:f>CHOOSE('假设'!$B$3,H1907,I1907,J1907)</x:f>
        <x:v>1.8</x:v>
      </x:c>
      <x:c r="L1907" s="11" t="n">
        <x:f>K1907*'管线假设'!E423*'管线假设'!F423*'管线假设'!G423*IF(E1907="USD",'管线假设'!I423,1)-AM1907</x:f>
        <x:v>0.252</x:v>
      </x:c>
      <x:c r="M1907" s="11" t="n">
        <x:f>'管线假设'!H423</x:f>
        <x:v>0.14</x:v>
      </x:c>
      <x:c r="N1907" s="11" t="n">
        <x:f>IF(G1907,L1907*AN1907/(1+M1907)^F1907,0)</x:f>
        <x:v>0.09774543457946822</x:v>
      </x:c>
      <x:c r="AJ1907" t="n">
        <x:v>0</x:v>
      </x:c>
      <x:c r="AK1907" t="n">
        <x:v>0</x:v>
      </x:c>
      <x:c r="AL1907" t="n">
        <x:v>0</x:v>
      </x:c>
      <x:c r="AM1907" t="n">
        <x:f>CHOOSE('假设'!$B$3,AJ1907,AK1907,AL1907)</x:f>
        <x:v>0</x:v>
      </x:c>
      <x:c r="AN1907" t="n">
        <x:v>1</x:v>
      </x:c>
    </x:row>
    <x:row r="1908" ht="23" customHeight="1">
      <x:c r="A1908" s="11" t="str">
        <x:v>688302.SH</x:v>
      </x:c>
      <x:c r="B1908" s="11" t="str">
        <x:v>三年</x:v>
      </x:c>
      <x:c r="C1908" s="11" t="str">
        <x:v>hc1119_bcr</x:v>
      </x:c>
      <x:c r="D1908" s="11" t="str">
        <x:v>2037-12-31</x:v>
      </x:c>
      <x:c r="E1908" s="11" t="str">
        <x:v>CNY</x:v>
      </x:c>
      <x:c r="F1908" s="11" t="n">
        <x:v>8.227241615331964</x:v>
      </x:c>
      <x:c r="G1908" s="26" t="b">
        <x:v>1</x:v>
      </x:c>
      <x:c r="H1908" s="16" t="n">
        <x:v>0.48</x:v>
      </x:c>
      <x:c r="I1908" s="16" t="n">
        <x:v>1.566</x:v>
      </x:c>
      <x:c r="J1908" s="16" t="n">
        <x:v>1.83</x:v>
      </x:c>
      <x:c r="K1908" s="11" t="n">
        <x:f>CHOOSE('假设'!$B$3,H1908,I1908,J1908)</x:f>
        <x:v>1.566</x:v>
      </x:c>
      <x:c r="L1908" s="11" t="n">
        <x:f>K1908*'管线假设'!E423*'管线假设'!F423*'管线假设'!G423*IF(E1908="USD",'管线假设'!I423,1)-AM1908</x:f>
        <x:v>0.21924</x:v>
      </x:c>
      <x:c r="M1908" s="11" t="n">
        <x:f>'管线假设'!H423</x:f>
        <x:v>0.14</x:v>
      </x:c>
      <x:c r="N1908" s="11" t="n">
        <x:f>IF(G1908,L1908*AN1908/(1+M1908)^F1908,0)</x:f>
        <x:v>0.07460189036658477</x:v>
      </x:c>
      <x:c r="AJ1908" t="n">
        <x:v>0</x:v>
      </x:c>
      <x:c r="AK1908" t="n">
        <x:v>0</x:v>
      </x:c>
      <x:c r="AL1908" t="n">
        <x:v>0</x:v>
      </x:c>
      <x:c r="AM1908" t="n">
        <x:f>CHOOSE('假设'!$B$3,AJ1908,AK1908,AL1908)</x:f>
        <x:v>0</x:v>
      </x:c>
      <x:c r="AN1908" t="n">
        <x:v>1</x:v>
      </x:c>
    </x:row>
    <x:row r="1909" ht="23" customHeight="1">
      <x:c r="A1909" s="11" t="str">
        <x:v>688302.SH</x:v>
      </x:c>
      <x:c r="B1909" s="11" t="str">
        <x:v>三年</x:v>
      </x:c>
      <x:c r="C1909" s="11" t="str">
        <x:v>hc1119_bcr</x:v>
      </x:c>
      <x:c r="D1909" s="11" t="str">
        <x:v>2038-12-31</x:v>
      </x:c>
      <x:c r="E1909" s="11" t="str">
        <x:v>CNY</x:v>
      </x:c>
      <x:c r="F1909" s="11" t="n">
        <x:v>9.22655715263518</x:v>
      </x:c>
      <x:c r="G1909" s="26" t="b">
        <x:v>1</x:v>
      </x:c>
      <x:c r="H1909" s="16" t="n">
        <x:v>0.6</x:v>
      </x:c>
      <x:c r="I1909" s="16" t="n">
        <x:v>1.332</x:v>
      </x:c>
      <x:c r="J1909" s="16" t="n">
        <x:v>1.44</x:v>
      </x:c>
      <x:c r="K1909" s="11" t="n">
        <x:f>CHOOSE('假设'!$B$3,H1909,I1909,J1909)</x:f>
        <x:v>1.332</x:v>
      </x:c>
      <x:c r="L1909" s="11" t="n">
        <x:f>K1909*'管线假设'!E423*'管线假设'!F423*'管线假设'!G423*IF(E1909="USD",'管线假设'!I423,1)-AM1909</x:f>
        <x:v>0.18647999999999998</x:v>
      </x:c>
      <x:c r="M1909" s="11" t="n">
        <x:f>'管线假设'!H423</x:f>
        <x:v>0.14</x:v>
      </x:c>
      <x:c r="N1909" s="11" t="n">
        <x:f>IF(G1909,L1909*AN1909/(1+M1909)^F1909,0)</x:f>
        <x:v>0.05566681803988578</x:v>
      </x:c>
      <x:c r="AJ1909" t="n">
        <x:v>0</x:v>
      </x:c>
      <x:c r="AK1909" t="n">
        <x:v>0</x:v>
      </x:c>
      <x:c r="AL1909" t="n">
        <x:v>0</x:v>
      </x:c>
      <x:c r="AM1909" t="n">
        <x:f>CHOOSE('假设'!$B$3,AJ1909,AK1909,AL1909)</x:f>
        <x:v>0</x:v>
      </x:c>
      <x:c r="AN1909" t="n">
        <x:v>1</x:v>
      </x:c>
    </x:row>
    <x:row r="1910" ht="23" customHeight="1">
      <x:c r="A1910" s="11" t="str">
        <x:v>688302.SH</x:v>
      </x:c>
      <x:c r="B1910" s="11" t="str">
        <x:v>三年</x:v>
      </x:c>
      <x:c r="C1910" s="11" t="str">
        <x:v>hc1119_bcr</x:v>
      </x:c>
      <x:c r="D1910" s="11" t="str">
        <x:v>2039-12-31</x:v>
      </x:c>
      <x:c r="E1910" s="11" t="str">
        <x:v>CNY</x:v>
      </x:c>
      <x:c r="F1910" s="11" t="n">
        <x:v>10.225872689938399</x:v>
      </x:c>
      <x:c r="G1910" s="26" t="b">
        <x:v>1</x:v>
      </x:c>
      <x:c r="H1910" s="16" t="n">
        <x:v>0.522</x:v>
      </x:c>
      <x:c r="I1910" s="16" t="n">
        <x:v>1.098</x:v>
      </x:c>
      <x:c r="J1910" s="16" t="n">
        <x:v>1.0499999999999998</x:v>
      </x:c>
      <x:c r="K1910" s="11" t="n">
        <x:f>CHOOSE('假设'!$B$3,H1910,I1910,J1910)</x:f>
        <x:v>1.098</x:v>
      </x:c>
      <x:c r="L1910" s="11" t="n">
        <x:f>K1910*'管线假设'!E423*'管线假设'!F423*'管线假设'!G423*IF(E1910="USD",'管线假设'!I423,1)-AM1910</x:f>
        <x:v>0.15372</x:v>
      </x:c>
      <x:c r="M1910" s="11" t="n">
        <x:f>'管线假设'!H423</x:f>
        <x:v>0.14</x:v>
      </x:c>
      <x:c r="N1910" s="11" t="n">
        <x:f>IF(G1910,L1910*AN1910/(1+M1910)^F1910,0)</x:f>
        <x:v>0.040255813794971666</x:v>
      </x:c>
      <x:c r="AJ1910" t="n">
        <x:v>0</x:v>
      </x:c>
      <x:c r="AK1910" t="n">
        <x:v>0</x:v>
      </x:c>
      <x:c r="AL1910" t="n">
        <x:v>0</x:v>
      </x:c>
      <x:c r="AM1910" t="n">
        <x:f>CHOOSE('假设'!$B$3,AJ1910,AK1910,AL1910)</x:f>
        <x:v>0</x:v>
      </x:c>
      <x:c r="AN1910" t="n">
        <x:v>1</x:v>
      </x:c>
    </x:row>
    <x:row r="1911" ht="23" customHeight="1">
      <x:c r="A1911" s="11" t="str">
        <x:v>688302.SH</x:v>
      </x:c>
      <x:c r="B1911" s="11" t="str">
        <x:v>三年</x:v>
      </x:c>
      <x:c r="C1911" s="11" t="str">
        <x:v>hc1119_bcr</x:v>
      </x:c>
      <x:c r="D1911" s="11" t="str">
        <x:v>2040-12-31</x:v>
      </x:c>
      <x:c r="E1911" s="11" t="str">
        <x:v>CNY</x:v>
      </x:c>
      <x:c r="F1911" s="11" t="n">
        <x:v>11.227926078028748</x:v>
      </x:c>
      <x:c r="G1911" s="26" t="b">
        <x:v>1</x:v>
      </x:c>
      <x:c r="H1911" s="16" t="n">
        <x:v>0.444</x:v>
      </x:c>
      <x:c r="I1911" s="16" t="n">
        <x:v>0.864</x:v>
      </x:c>
      <x:c r="J1911" s="16" t="n">
        <x:v>0.6599999999999999</x:v>
      </x:c>
      <x:c r="K1911" s="11" t="n">
        <x:f>CHOOSE('假设'!$B$3,H1911,I1911,J1911)</x:f>
        <x:v>0.864</x:v>
      </x:c>
      <x:c r="L1911" s="11" t="n">
        <x:f>K1911*'管线假设'!E423*'管线假设'!F423*'管线假设'!G423*IF(E1911="USD",'管线假设'!I423,1)-AM1911</x:f>
        <x:v>0.12095999999999998</x:v>
      </x:c>
      <x:c r="M1911" s="11" t="n">
        <x:f>'管线假设'!H423</x:f>
        <x:v>0.14</x:v>
      </x:c>
      <x:c r="N1911" s="11" t="n">
        <x:f>IF(G1911,L1911*AN1911/(1+M1911)^F1911,0)</x:f>
        <x:v>0.027779109128390992</x:v>
      </x:c>
      <x:c r="AJ1911" t="n">
        <x:v>0</x:v>
      </x:c>
      <x:c r="AK1911" t="n">
        <x:v>0</x:v>
      </x:c>
      <x:c r="AL1911" t="n">
        <x:v>0</x:v>
      </x:c>
      <x:c r="AM1911" t="n">
        <x:f>CHOOSE('假设'!$B$3,AJ1911,AK1911,AL1911)</x:f>
        <x:v>0</x:v>
      </x:c>
      <x:c r="AN1911" t="n">
        <x:v>1</x:v>
      </x:c>
    </x:row>
    <x:row r="1912" ht="23" customHeight="1">
      <x:c r="A1912" s="11" t="str">
        <x:v>688302.SH</x:v>
      </x:c>
      <x:c r="B1912" s="11" t="str">
        <x:v>三年</x:v>
      </x:c>
      <x:c r="C1912" s="11" t="str">
        <x:v>hc1119_bcr</x:v>
      </x:c>
      <x:c r="D1912" s="11" t="str">
        <x:v>2041-12-31</x:v>
      </x:c>
      <x:c r="E1912" s="11" t="str">
        <x:v>CNY</x:v>
      </x:c>
      <x:c r="F1912" s="11" t="n">
        <x:v>12.227241615331964</x:v>
      </x:c>
      <x:c r="G1912" s="26" t="b">
        <x:v>1</x:v>
      </x:c>
      <x:c r="H1912" s="16" t="n">
        <x:v>0.366</x:v>
      </x:c>
      <x:c r="I1912" s="16" t="n">
        <x:v>0.63</x:v>
      </x:c>
      <x:c r="J1912" s="16" t="n">
        <x:v>0.2699999999999999</x:v>
      </x:c>
      <x:c r="K1912" s="11" t="n">
        <x:f>CHOOSE('假设'!$B$3,H1912,I1912,J1912)</x:f>
        <x:v>0.63</x:v>
      </x:c>
      <x:c r="L1912" s="11" t="n">
        <x:f>K1912*'管线假设'!E423*'管线假设'!F423*'管线假设'!G423*IF(E1912="USD",'管线假设'!I423,1)-AM1912</x:f>
        <x:v>0.08819999999999999</x:v>
      </x:c>
      <x:c r="M1912" s="11" t="n">
        <x:f>'管线假设'!H423</x:f>
        <x:v>0.14</x:v>
      </x:c>
      <x:c r="N1912" s="11" t="n">
        <x:f>IF(G1912,L1912*AN1912/(1+M1912)^F1912,0)</x:f>
        <x:v>0.01776966411402964</x:v>
      </x:c>
      <x:c r="AJ1912" t="n">
        <x:v>0</x:v>
      </x:c>
      <x:c r="AK1912" t="n">
        <x:v>0</x:v>
      </x:c>
      <x:c r="AL1912" t="n">
        <x:v>0</x:v>
      </x:c>
      <x:c r="AM1912" t="n">
        <x:f>CHOOSE('假设'!$B$3,AJ1912,AK1912,AL1912)</x:f>
        <x:v>0</x:v>
      </x:c>
      <x:c r="AN1912" t="n">
        <x:v>1</x:v>
      </x:c>
    </x:row>
    <x:row r="1913" ht="23" customHeight="1">
      <x:c r="A1913" s="11" t="str">
        <x:v>688302.SH</x:v>
      </x:c>
      <x:c r="B1913" s="11" t="str">
        <x:v>三年</x:v>
      </x:c>
      <x:c r="C1913" s="11" t="str">
        <x:v>hc1119_bcr</x:v>
      </x:c>
      <x:c r="D1913" s="11" t="str">
        <x:v>2042-12-31</x:v>
      </x:c>
      <x:c r="E1913" s="11" t="str">
        <x:v>CNY</x:v>
      </x:c>
      <x:c r="F1913" s="11" t="n">
        <x:v>13.22655715263518</x:v>
      </x:c>
      <x:c r="G1913" s="26" t="b">
        <x:v>1</x:v>
      </x:c>
      <x:c r="H1913" s="16" t="n">
        <x:v>0.288</x:v>
      </x:c>
      <x:c r="I1913" s="16" t="n">
        <x:v>0.39599999999999996</x:v>
      </x:c>
      <x:c r="J1913" s="16" t="n">
        <x:v>0</x:v>
      </x:c>
      <x:c r="K1913" s="11" t="n">
        <x:f>CHOOSE('假设'!$B$3,H1913,I1913,J1913)</x:f>
        <x:v>0.39599999999999996</x:v>
      </x:c>
      <x:c r="L1913" s="11" t="n">
        <x:f>K1913*'管线假设'!E423*'管线假设'!F423*'管线假设'!G423*IF(E1913="USD",'管线假设'!I423,1)-AM1913</x:f>
        <x:v>0.05543999999999999</x:v>
      </x:c>
      <x:c r="M1913" s="11" t="n">
        <x:f>'管线假设'!H423</x:f>
        <x:v>0.14</x:v>
      </x:c>
      <x:c r="N1913" s="11" t="n">
        <x:f>IF(G1913,L1913*AN1913/(1+M1913)^F1913,0)</x:f>
        <x:v>0.009798688532948267</x:v>
      </x:c>
      <x:c r="AJ1913" t="n">
        <x:v>0</x:v>
      </x:c>
      <x:c r="AK1913" t="n">
        <x:v>0</x:v>
      </x:c>
      <x:c r="AL1913" t="n">
        <x:v>0</x:v>
      </x:c>
      <x:c r="AM1913" t="n">
        <x:f>CHOOSE('假设'!$B$3,AJ1913,AK1913,AL1913)</x:f>
        <x:v>0</x:v>
      </x:c>
      <x:c r="AN1913" t="n">
        <x:v>1</x:v>
      </x:c>
    </x:row>
    <x:row r="1914" ht="23" customHeight="1">
      <x:c r="A1914" s="11" t="str">
        <x:v>688302.SH</x:v>
      </x:c>
      <x:c r="B1914" s="11" t="str">
        <x:v>三年</x:v>
      </x:c>
      <x:c r="C1914" s="11" t="str">
        <x:v>hc1119_bcr</x:v>
      </x:c>
      <x:c r="D1914" s="11" t="str">
        <x:v>2043-12-31</x:v>
      </x:c>
      <x:c r="E1914" s="11" t="str">
        <x:v>CNY</x:v>
      </x:c>
      <x:c r="F1914" s="11" t="n">
        <x:v>14.225872689938399</x:v>
      </x:c>
      <x:c r="G1914" s="26" t="b">
        <x:v>1</x:v>
      </x:c>
      <x:c r="H1914" s="16" t="n">
        <x:v>0.21</x:v>
      </x:c>
      <x:c r="I1914" s="16" t="n">
        <x:v>0.16199999999999995</x:v>
      </x:c>
      <x:c r="J1914" s="16" t="n">
        <x:v>0</x:v>
      </x:c>
      <x:c r="K1914" s="11" t="n">
        <x:f>CHOOSE('假设'!$B$3,H1914,I1914,J1914)</x:f>
        <x:v>0.16199999999999995</x:v>
      </x:c>
      <x:c r="L1914" s="11" t="n">
        <x:f>K1914*'管线假设'!E423*'管线假设'!F423*'管线假设'!G423*IF(E1914="USD",'管线假设'!I423,1)-AM1914</x:f>
        <x:v>0.022679999999999992</x:v>
      </x:c>
      <x:c r="M1914" s="11" t="n">
        <x:f>'管线假设'!H423</x:f>
        <x:v>0.14</x:v>
      </x:c>
      <x:c r="N1914" s="11" t="n">
        <x:f>IF(G1914,L1914*AN1914/(1+M1914)^F1914,0)</x:f>
        <x:v>0.0035165911570066493</x:v>
      </x:c>
      <x:c r="AJ1914" t="n">
        <x:v>0</x:v>
      </x:c>
      <x:c r="AK1914" t="n">
        <x:v>0</x:v>
      </x:c>
      <x:c r="AL1914" t="n">
        <x:v>0</x:v>
      </x:c>
      <x:c r="AM1914" t="n">
        <x:f>CHOOSE('假设'!$B$3,AJ1914,AK1914,AL1914)</x:f>
        <x:v>0</x:v>
      </x:c>
      <x:c r="AN1914" t="n">
        <x:v>1</x:v>
      </x:c>
    </x:row>
    <x:row r="1915" ht="23" customHeight="1">
      <x:c r="A1915" s="11" t="str">
        <x:v>688302.SH</x:v>
      </x:c>
      <x:c r="B1915" s="11" t="str">
        <x:v>三年</x:v>
      </x:c>
      <x:c r="C1915" s="11" t="str">
        <x:v>hc1119_bcr</x:v>
      </x:c>
      <x:c r="D1915" s="11" t="str">
        <x:v>2044-12-31</x:v>
      </x:c>
      <x:c r="E1915" s="11" t="str">
        <x:v>CNY</x:v>
      </x:c>
      <x:c r="F1915" s="11" t="n">
        <x:v>15.227926078028748</x:v>
      </x:c>
      <x:c r="G1915" s="26" t="b">
        <x:v>1</x:v>
      </x:c>
      <x:c r="H1915" s="16" t="n">
        <x:v>0.13199999999999998</x:v>
      </x:c>
      <x:c r="I1915" s="16" t="n">
        <x:v>0</x:v>
      </x:c>
      <x:c r="J1915" s="16" t="n">
        <x:v>0</x:v>
      </x:c>
      <x:c r="K1915" s="11" t="n">
        <x:f>CHOOSE('假设'!$B$3,H1915,I1915,J1915)</x:f>
        <x:v>0</x:v>
      </x:c>
      <x:c r="L1915" s="11" t="n">
        <x:f>K1915*'管线假设'!E423*'管线假设'!F423*'管线假设'!G423*IF(E1915="USD",'管线假设'!I423,1)-AM1915</x:f>
        <x:v>0</x:v>
      </x:c>
      <x:c r="M1915" s="11" t="n">
        <x:f>'管线假设'!H423</x:f>
        <x:v>0.14</x:v>
      </x:c>
      <x:c r="N1915" s="11" t="n">
        <x:f>IF(G1915,L1915*AN1915/(1+M1915)^F1915,0)</x:f>
        <x:v>0</x:v>
      </x:c>
      <x:c r="AJ1915" t="n">
        <x:v>0</x:v>
      </x:c>
      <x:c r="AK1915" t="n">
        <x:v>0</x:v>
      </x:c>
      <x:c r="AL1915" t="n">
        <x:v>0</x:v>
      </x:c>
      <x:c r="AM1915" t="n">
        <x:f>CHOOSE('假设'!$B$3,AJ1915,AK1915,AL1915)</x:f>
        <x:v>0</x:v>
      </x:c>
      <x:c r="AN1915" t="n">
        <x:v>1</x:v>
      </x:c>
    </x:row>
    <x:row r="1916" ht="23" customHeight="1">
      <x:c r="A1916" s="11" t="str">
        <x:v>688302.SH</x:v>
      </x:c>
      <x:c r="B1916" s="11" t="str">
        <x:v>三年</x:v>
      </x:c>
      <x:c r="C1916" s="11" t="str">
        <x:v>hc1119_bcr</x:v>
      </x:c>
      <x:c r="D1916" s="11" t="str">
        <x:v>2045-12-31</x:v>
      </x:c>
      <x:c r="E1916" s="11" t="str">
        <x:v>CNY</x:v>
      </x:c>
      <x:c r="F1916" s="11" t="n">
        <x:v>16.227241615331966</x:v>
      </x:c>
      <x:c r="G1916" s="26" t="b">
        <x:v>1</x:v>
      </x:c>
      <x:c r="H1916" s="16" t="n">
        <x:v>0.05399999999999998</x:v>
      </x:c>
      <x:c r="I1916" s="16" t="n">
        <x:v>0</x:v>
      </x:c>
      <x:c r="J1916" s="16" t="n">
        <x:v>0</x:v>
      </x:c>
      <x:c r="K1916" s="11" t="n">
        <x:f>CHOOSE('假设'!$B$3,H1916,I1916,J1916)</x:f>
        <x:v>0</x:v>
      </x:c>
      <x:c r="L1916" s="11" t="n">
        <x:f>K1916*'管线假设'!E423*'管线假设'!F423*'管线假设'!G423*IF(E1916="USD",'管线假设'!I423,1)-AM1916</x:f>
        <x:v>0</x:v>
      </x:c>
      <x:c r="M1916" s="11" t="n">
        <x:f>'管线假设'!H423</x:f>
        <x:v>0.14</x:v>
      </x:c>
      <x:c r="N1916" s="11" t="n">
        <x:f>IF(G1916,L1916*AN1916/(1+M1916)^F1916,0)</x:f>
        <x:v>0</x:v>
      </x:c>
      <x:c r="AJ1916" t="n">
        <x:v>0</x:v>
      </x:c>
      <x:c r="AK1916" t="n">
        <x:v>0</x:v>
      </x:c>
      <x:c r="AL1916" t="n">
        <x:v>0</x:v>
      </x:c>
      <x:c r="AM1916" t="n">
        <x:f>CHOOSE('假设'!$B$3,AJ1916,AK1916,AL1916)</x:f>
        <x:v>0</x:v>
      </x:c>
      <x:c r="AN1916" t="n">
        <x:v>1</x:v>
      </x:c>
    </x:row>
    <x:row r="1917" ht="23" customHeight="1">
      <x:c r="A1917" s="11" t="str">
        <x:v>688302.SH</x:v>
      </x:c>
      <x:c r="B1917" s="11" t="str">
        <x:v>三年</x:v>
      </x:c>
      <x:c r="C1917" s="11" t="str">
        <x:v>hp518_combo_cn</x:v>
      </x:c>
      <x:c r="D1917" s="11" t="str">
        <x:v>2027-12-31</x:v>
      </x:c>
      <x:c r="E1917" s="11" t="str">
        <x:v>CNY</x:v>
      </x:c>
      <x:c r="F1917" s="11" t="n">
        <x:v>-1.7741273100616017</x:v>
      </x:c>
      <x:c r="G1917" s="26" t="b">
        <x:v>0</x:v>
      </x:c>
      <x:c r="H1917" s="16" t="n">
        <x:v>0</x:v>
      </x:c>
      <x:c r="I1917" s="16" t="n">
        <x:v>0</x:v>
      </x:c>
      <x:c r="J1917" s="16" t="n">
        <x:v>0</x:v>
      </x:c>
      <x:c r="K1917" s="11" t="n">
        <x:f>CHOOSE('假设'!$B$3,H1917,I1917,J1917)</x:f>
        <x:v>0</x:v>
      </x:c>
      <x:c r="L1917" s="11" t="n">
        <x:f>K1917*'管线假设'!E427*'管线假设'!F427*'管线假设'!G427*IF(E1917="USD",'管线假设'!I427,1)-AM1917</x:f>
        <x:v>0</x:v>
      </x:c>
      <x:c r="M1917" s="11" t="n">
        <x:f>'管线假设'!H427</x:f>
        <x:v>0.14</x:v>
      </x:c>
      <x:c r="N1917" s="11" t="n">
        <x:f>IF(G1917,L1917*AN1917/(1+M1917)^F1917,0)</x:f>
        <x:v>0</x:v>
      </x:c>
      <x:c r="AJ1917" t="n">
        <x:v>0</x:v>
      </x:c>
      <x:c r="AK1917" t="n">
        <x:v>0</x:v>
      </x:c>
      <x:c r="AL1917" t="n">
        <x:v>0</x:v>
      </x:c>
      <x:c r="AM1917" t="n">
        <x:f>CHOOSE('假设'!$B$3,AJ1917,AK1917,AL1917)</x:f>
        <x:v>0</x:v>
      </x:c>
      <x:c r="AN1917" t="n">
        <x:v>1</x:v>
      </x:c>
    </x:row>
    <x:row r="1918" ht="23" customHeight="1">
      <x:c r="A1918" s="11" t="str">
        <x:v>688302.SH</x:v>
      </x:c>
      <x:c r="B1918" s="11" t="str">
        <x:v>三年</x:v>
      </x:c>
      <x:c r="C1918" s="11" t="str">
        <x:v>hp518_combo_cn</x:v>
      </x:c>
      <x:c r="D1918" s="11" t="str">
        <x:v>2028-12-31</x:v>
      </x:c>
      <x:c r="E1918" s="11" t="str">
        <x:v>CNY</x:v>
      </x:c>
      <x:c r="F1918" s="11" t="n">
        <x:v>-0.7720739219712526</x:v>
      </x:c>
      <x:c r="G1918" s="26" t="b">
        <x:v>0</x:v>
      </x:c>
      <x:c r="H1918" s="16" t="n">
        <x:v>0</x:v>
      </x:c>
      <x:c r="I1918" s="16" t="n">
        <x:v>0</x:v>
      </x:c>
      <x:c r="J1918" s="16" t="n">
        <x:v>0</x:v>
      </x:c>
      <x:c r="K1918" s="11" t="n">
        <x:f>CHOOSE('假设'!$B$3,H1918,I1918,J1918)</x:f>
        <x:v>0</x:v>
      </x:c>
      <x:c r="L1918" s="11" t="n">
        <x:f>K1918*'管线假设'!E427*'管线假设'!F427*'管线假设'!G427*IF(E1918="USD",'管线假设'!I427,1)-AM1918</x:f>
        <x:v>0</x:v>
      </x:c>
      <x:c r="M1918" s="11" t="n">
        <x:f>'管线假设'!H427</x:f>
        <x:v>0.14</x:v>
      </x:c>
      <x:c r="N1918" s="11" t="n">
        <x:f>IF(G1918,L1918*AN1918/(1+M1918)^F1918,0)</x:f>
        <x:v>0</x:v>
      </x:c>
      <x:c r="AJ1918" t="n">
        <x:v>0</x:v>
      </x:c>
      <x:c r="AK1918" t="n">
        <x:v>0</x:v>
      </x:c>
      <x:c r="AL1918" t="n">
        <x:v>0</x:v>
      </x:c>
      <x:c r="AM1918" t="n">
        <x:f>CHOOSE('假设'!$B$3,AJ1918,AK1918,AL1918)</x:f>
        <x:v>0</x:v>
      </x:c>
      <x:c r="AN1918" t="n">
        <x:v>1</x:v>
      </x:c>
    </x:row>
    <x:row r="1919" ht="23" customHeight="1">
      <x:c r="A1919" s="11" t="str">
        <x:v>688302.SH</x:v>
      </x:c>
      <x:c r="B1919" s="11" t="str">
        <x:v>三年</x:v>
      </x:c>
      <x:c r="C1919" s="11" t="str">
        <x:v>hp518_combo_cn</x:v>
      </x:c>
      <x:c r="D1919" s="11" t="str">
        <x:v>2029-12-31</x:v>
      </x:c>
      <x:c r="E1919" s="11" t="str">
        <x:v>CNY</x:v>
      </x:c>
      <x:c r="F1919" s="11" t="n">
        <x:v>0.2272416153319644</x:v>
      </x:c>
      <x:c r="G1919" s="26" t="b">
        <x:v>1</x:v>
      </x:c>
      <x:c r="H1919" s="16" t="n">
        <x:v>0</x:v>
      </x:c>
      <x:c r="I1919" s="16" t="n">
        <x:v>0</x:v>
      </x:c>
      <x:c r="J1919" s="16" t="n">
        <x:v>0</x:v>
      </x:c>
      <x:c r="K1919" s="11" t="n">
        <x:f>CHOOSE('假设'!$B$3,H1919,I1919,J1919)</x:f>
        <x:v>0</x:v>
      </x:c>
      <x:c r="L1919" s="11" t="n">
        <x:f>K1919*'管线假设'!E427*'管线假设'!F427*'管线假设'!G427*IF(E1919="USD",'管线假设'!I427,1)-AM1919</x:f>
        <x:v>0</x:v>
      </x:c>
      <x:c r="M1919" s="11" t="n">
        <x:f>'管线假设'!H427</x:f>
        <x:v>0.14</x:v>
      </x:c>
      <x:c r="N1919" s="11" t="n">
        <x:f>IF(G1919,L1919*AN1919/(1+M1919)^F1919,0)</x:f>
        <x:v>0</x:v>
      </x:c>
      <x:c r="AJ1919" t="n">
        <x:v>0</x:v>
      </x:c>
      <x:c r="AK1919" t="n">
        <x:v>0</x:v>
      </x:c>
      <x:c r="AL1919" t="n">
        <x:v>0</x:v>
      </x:c>
      <x:c r="AM1919" t="n">
        <x:f>CHOOSE('假设'!$B$3,AJ1919,AK1919,AL1919)</x:f>
        <x:v>0</x:v>
      </x:c>
      <x:c r="AN1919" t="n">
        <x:v>1</x:v>
      </x:c>
    </x:row>
    <x:row r="1920" ht="23" customHeight="1">
      <x:c r="A1920" s="11" t="str">
        <x:v>688302.SH</x:v>
      </x:c>
      <x:c r="B1920" s="11" t="str">
        <x:v>三年</x:v>
      </x:c>
      <x:c r="C1920" s="11" t="str">
        <x:v>hp518_combo_cn</x:v>
      </x:c>
      <x:c r="D1920" s="11" t="str">
        <x:v>2030-12-31</x:v>
      </x:c>
      <x:c r="E1920" s="11" t="str">
        <x:v>CNY</x:v>
      </x:c>
      <x:c r="F1920" s="11" t="n">
        <x:v>1.2265571526351813</x:v>
      </x:c>
      <x:c r="G1920" s="26" t="b">
        <x:v>1</x:v>
      </x:c>
      <x:c r="H1920" s="16" t="n">
        <x:v>0</x:v>
      </x:c>
      <x:c r="I1920" s="16" t="n">
        <x:v>0</x:v>
      </x:c>
      <x:c r="J1920" s="16" t="n">
        <x:v>0</x:v>
      </x:c>
      <x:c r="K1920" s="11" t="n">
        <x:f>CHOOSE('假设'!$B$3,H1920,I1920,J1920)</x:f>
        <x:v>0</x:v>
      </x:c>
      <x:c r="L1920" s="11" t="n">
        <x:f>K1920*'管线假设'!E427*'管线假设'!F427*'管线假设'!G427*IF(E1920="USD",'管线假设'!I427,1)-AM1920</x:f>
        <x:v>0</x:v>
      </x:c>
      <x:c r="M1920" s="11" t="n">
        <x:f>'管线假设'!H427</x:f>
        <x:v>0.14</x:v>
      </x:c>
      <x:c r="N1920" s="11" t="n">
        <x:f>IF(G1920,L1920*AN1920/(1+M1920)^F1920,0)</x:f>
        <x:v>0</x:v>
      </x:c>
      <x:c r="AJ1920" t="n">
        <x:v>0</x:v>
      </x:c>
      <x:c r="AK1920" t="n">
        <x:v>0</x:v>
      </x:c>
      <x:c r="AL1920" t="n">
        <x:v>0</x:v>
      </x:c>
      <x:c r="AM1920" t="n">
        <x:f>CHOOSE('假设'!$B$3,AJ1920,AK1920,AL1920)</x:f>
        <x:v>0</x:v>
      </x:c>
      <x:c r="AN1920" t="n">
        <x:v>1</x:v>
      </x:c>
    </x:row>
    <x:row r="1921" ht="23" customHeight="1">
      <x:c r="A1921" s="11" t="str">
        <x:v>688302.SH</x:v>
      </x:c>
      <x:c r="B1921" s="11" t="str">
        <x:v>三年</x:v>
      </x:c>
      <x:c r="C1921" s="11" t="str">
        <x:v>hp518_combo_cn</x:v>
      </x:c>
      <x:c r="D1921" s="11" t="str">
        <x:v>2031-12-31</x:v>
      </x:c>
      <x:c r="E1921" s="11" t="str">
        <x:v>CNY</x:v>
      </x:c>
      <x:c r="F1921" s="11" t="n">
        <x:v>2.2258726899383983</x:v>
      </x:c>
      <x:c r="G1921" s="26" t="b">
        <x:v>1</x:v>
      </x:c>
      <x:c r="H1921" s="16" t="n">
        <x:v>0</x:v>
      </x:c>
      <x:c r="I1921" s="16" t="n">
        <x:v>0</x:v>
      </x:c>
      <x:c r="J1921" s="16" t="n">
        <x:v>0.41666666666666663</x:v>
      </x:c>
      <x:c r="K1921" s="11" t="n">
        <x:f>CHOOSE('假设'!$B$3,H1921,I1921,J1921)</x:f>
        <x:v>0</x:v>
      </x:c>
      <x:c r="L1921" s="11" t="n">
        <x:f>K1921*'管线假设'!E427*'管线假设'!F427*'管线假设'!G427*IF(E1921="USD",'管线假设'!I427,1)-AM1921</x:f>
        <x:v>0</x:v>
      </x:c>
      <x:c r="M1921" s="11" t="n">
        <x:f>'管线假设'!H427</x:f>
        <x:v>0.14</x:v>
      </x:c>
      <x:c r="N1921" s="11" t="n">
        <x:f>IF(G1921,L1921*AN1921/(1+M1921)^F1921,0)</x:f>
        <x:v>0</x:v>
      </x:c>
      <x:c r="AJ1921" t="n">
        <x:v>0</x:v>
      </x:c>
      <x:c r="AK1921" t="n">
        <x:v>0</x:v>
      </x:c>
      <x:c r="AL1921" t="n">
        <x:v>0</x:v>
      </x:c>
      <x:c r="AM1921" t="n">
        <x:f>CHOOSE('假设'!$B$3,AJ1921,AK1921,AL1921)</x:f>
        <x:v>0</x:v>
      </x:c>
      <x:c r="AN1921" t="n">
        <x:v>1</x:v>
      </x:c>
    </x:row>
    <x:row r="1922" ht="23" customHeight="1">
      <x:c r="A1922" s="11" t="str">
        <x:v>688302.SH</x:v>
      </x:c>
      <x:c r="B1922" s="11" t="str">
        <x:v>三年</x:v>
      </x:c>
      <x:c r="C1922" s="11" t="str">
        <x:v>hp518_combo_cn</x:v>
      </x:c>
      <x:c r="D1922" s="11" t="str">
        <x:v>2032-12-31</x:v>
      </x:c>
      <x:c r="E1922" s="11" t="str">
        <x:v>CNY</x:v>
      </x:c>
      <x:c r="F1922" s="11" t="n">
        <x:v>3.2279260780287475</x:v>
      </x:c>
      <x:c r="G1922" s="26" t="b">
        <x:v>1</x:v>
      </x:c>
      <x:c r="H1922" s="16" t="n">
        <x:v>0</x:v>
      </x:c>
      <x:c r="I1922" s="16" t="n">
        <x:v>0</x:v>
      </x:c>
      <x:c r="J1922" s="16" t="n">
        <x:v>0.8333333333333333</x:v>
      </x:c>
      <x:c r="K1922" s="11" t="n">
        <x:f>CHOOSE('假设'!$B$3,H1922,I1922,J1922)</x:f>
        <x:v>0</x:v>
      </x:c>
      <x:c r="L1922" s="11" t="n">
        <x:f>K1922*'管线假设'!E427*'管线假设'!F427*'管线假设'!G427*IF(E1922="USD",'管线假设'!I427,1)-AM1922</x:f>
        <x:v>0</x:v>
      </x:c>
      <x:c r="M1922" s="11" t="n">
        <x:f>'管线假设'!H427</x:f>
        <x:v>0.14</x:v>
      </x:c>
      <x:c r="N1922" s="11" t="n">
        <x:f>IF(G1922,L1922*AN1922/(1+M1922)^F1922,0)</x:f>
        <x:v>0</x:v>
      </x:c>
      <x:c r="AJ1922" t="n">
        <x:v>0</x:v>
      </x:c>
      <x:c r="AK1922" t="n">
        <x:v>0</x:v>
      </x:c>
      <x:c r="AL1922" t="n">
        <x:v>0</x:v>
      </x:c>
      <x:c r="AM1922" t="n">
        <x:f>CHOOSE('假设'!$B$3,AJ1922,AK1922,AL1922)</x:f>
        <x:v>0</x:v>
      </x:c>
      <x:c r="AN1922" t="n">
        <x:v>1</x:v>
      </x:c>
    </x:row>
    <x:row r="1923" ht="23" customHeight="1">
      <x:c r="A1923" s="11" t="str">
        <x:v>688302.SH</x:v>
      </x:c>
      <x:c r="B1923" s="11" t="str">
        <x:v>三年</x:v>
      </x:c>
      <x:c r="C1923" s="11" t="str">
        <x:v>hp518_combo_cn</x:v>
      </x:c>
      <x:c r="D1923" s="11" t="str">
        <x:v>2033-12-31</x:v>
      </x:c>
      <x:c r="E1923" s="11" t="str">
        <x:v>CNY</x:v>
      </x:c>
      <x:c r="F1923" s="11" t="n">
        <x:v>4.227241615331964</x:v>
      </x:c>
      <x:c r="G1923" s="26" t="b">
        <x:v>1</x:v>
      </x:c>
      <x:c r="H1923" s="16" t="n">
        <x:v>0</x:v>
      </x:c>
      <x:c r="I1923" s="16" t="n">
        <x:v>0.21666666666666667</x:v>
      </x:c>
      <x:c r="J1923" s="16" t="n">
        <x:v>1.25</x:v>
      </x:c>
      <x:c r="K1923" s="11" t="n">
        <x:f>CHOOSE('假设'!$B$3,H1923,I1923,J1923)</x:f>
        <x:v>0.21666666666666667</x:v>
      </x:c>
      <x:c r="L1923" s="11" t="n">
        <x:f>K1923*'管线假设'!E427*'管线假设'!F427*'管线假设'!G427*IF(E1923="USD",'管线假设'!I427,1)-AM1923</x:f>
        <x:v>0.018737333333333328</x:v>
      </x:c>
      <x:c r="M1923" s="11" t="n">
        <x:f>'管线假设'!H427</x:f>
        <x:v>0.14</x:v>
      </x:c>
      <x:c r="N1923" s="11" t="n">
        <x:f>IF(G1923,L1923*AN1923/(1+M1923)^F1923,0)</x:f>
        <x:v>0.010768549957759867</x:v>
      </x:c>
      <x:c r="AJ1923" t="n">
        <x:v>0</x:v>
      </x:c>
      <x:c r="AK1923" t="n">
        <x:v>0</x:v>
      </x:c>
      <x:c r="AL1923" t="n">
        <x:v>0</x:v>
      </x:c>
      <x:c r="AM1923" t="n">
        <x:f>CHOOSE('假设'!$B$3,AJ1923,AK1923,AL1923)</x:f>
        <x:v>0</x:v>
      </x:c>
      <x:c r="AN1923" t="n">
        <x:v>1</x:v>
      </x:c>
    </x:row>
    <x:row r="1924" ht="23" customHeight="1">
      <x:c r="A1924" s="11" t="str">
        <x:v>688302.SH</x:v>
      </x:c>
      <x:c r="B1924" s="11" t="str">
        <x:v>三年</x:v>
      </x:c>
      <x:c r="C1924" s="11" t="str">
        <x:v>hp518_combo_cn</x:v>
      </x:c>
      <x:c r="D1924" s="11" t="str">
        <x:v>2034-12-31</x:v>
      </x:c>
      <x:c r="E1924" s="11" t="str">
        <x:v>CNY</x:v>
      </x:c>
      <x:c r="F1924" s="11" t="n">
        <x:v>5.2265571526351815</x:v>
      </x:c>
      <x:c r="G1924" s="26" t="b">
        <x:v>1</x:v>
      </x:c>
      <x:c r="H1924" s="16" t="n">
        <x:v>0</x:v>
      </x:c>
      <x:c r="I1924" s="16" t="n">
        <x:v>0.43333333333333335</x:v>
      </x:c>
      <x:c r="J1924" s="16" t="n">
        <x:v>1.6666666666666665</x:v>
      </x:c>
      <x:c r="K1924" s="11" t="n">
        <x:f>CHOOSE('假设'!$B$3,H1924,I1924,J1924)</x:f>
        <x:v>0.43333333333333335</x:v>
      </x:c>
      <x:c r="L1924" s="11" t="n">
        <x:f>K1924*'管线假设'!E427*'管线假设'!F427*'管线假设'!G427*IF(E1924="USD",'管线假设'!I427,1)-AM1924</x:f>
        <x:v>0.037474666666666656</x:v>
      </x:c>
      <x:c r="M1924" s="11" t="n">
        <x:f>'管线假设'!H427</x:f>
        <x:v>0.14</x:v>
      </x:c>
      <x:c r="N1924" s="11" t="n">
        <x:f>IF(G1924,L1924*AN1924/(1+M1924)^F1924,0)</x:f>
        <x:v>0.0188938873109622</x:v>
      </x:c>
      <x:c r="AJ1924" t="n">
        <x:v>0</x:v>
      </x:c>
      <x:c r="AK1924" t="n">
        <x:v>0</x:v>
      </x:c>
      <x:c r="AL1924" t="n">
        <x:v>0</x:v>
      </x:c>
      <x:c r="AM1924" t="n">
        <x:f>CHOOSE('假设'!$B$3,AJ1924,AK1924,AL1924)</x:f>
        <x:v>0</x:v>
      </x:c>
      <x:c r="AN1924" t="n">
        <x:v>1</x:v>
      </x:c>
    </x:row>
    <x:row r="1925" ht="23" customHeight="1">
      <x:c r="A1925" s="11" t="str">
        <x:v>688302.SH</x:v>
      </x:c>
      <x:c r="B1925" s="11" t="str">
        <x:v>三年</x:v>
      </x:c>
      <x:c r="C1925" s="11" t="str">
        <x:v>hp518_combo_cn</x:v>
      </x:c>
      <x:c r="D1925" s="11" t="str">
        <x:v>2035-12-31</x:v>
      </x:c>
      <x:c r="E1925" s="11" t="str">
        <x:v>CNY</x:v>
      </x:c>
      <x:c r="F1925" s="11" t="n">
        <x:v>6.225872689938399</x:v>
      </x:c>
      <x:c r="G1925" s="26" t="b">
        <x:v>1</x:v>
      </x:c>
      <x:c r="H1925" s="16" t="n">
        <x:v>0</x:v>
      </x:c>
      <x:c r="I1925" s="16" t="n">
        <x:v>0.65</x:v>
      </x:c>
      <x:c r="J1925" s="16" t="n">
        <x:v>2.0833333333333335</x:v>
      </x:c>
      <x:c r="K1925" s="11" t="n">
        <x:f>CHOOSE('假设'!$B$3,H1925,I1925,J1925)</x:f>
        <x:v>0.65</x:v>
      </x:c>
      <x:c r="L1925" s="11" t="n">
        <x:f>K1925*'管线假设'!E427*'管线假设'!F427*'管线假设'!G427*IF(E1925="USD",'管线假设'!I427,1)-AM1925</x:f>
        <x:v>0.05621199999999999</x:v>
      </x:c>
      <x:c r="M1925" s="11" t="n">
        <x:f>'管线假设'!H427</x:f>
        <x:v>0.14</x:v>
      </x:c>
      <x:c r="N1925" s="11" t="n">
        <x:f>IF(G1925,L1925*AN1925/(1+M1925)^F1925,0)</x:f>
        <x:v>0.024862607717817498</x:v>
      </x:c>
      <x:c r="AJ1925" t="n">
        <x:v>0</x:v>
      </x:c>
      <x:c r="AK1925" t="n">
        <x:v>0</x:v>
      </x:c>
      <x:c r="AL1925" t="n">
        <x:v>0</x:v>
      </x:c>
      <x:c r="AM1925" t="n">
        <x:f>CHOOSE('假设'!$B$3,AJ1925,AK1925,AL1925)</x:f>
        <x:v>0</x:v>
      </x:c>
      <x:c r="AN1925" t="n">
        <x:v>1</x:v>
      </x:c>
    </x:row>
    <x:row r="1926" ht="23" customHeight="1">
      <x:c r="A1926" s="11" t="str">
        <x:v>688302.SH</x:v>
      </x:c>
      <x:c r="B1926" s="11" t="str">
        <x:v>三年</x:v>
      </x:c>
      <x:c r="C1926" s="11" t="str">
        <x:v>hp518_combo_cn</x:v>
      </x:c>
      <x:c r="D1926" s="11" t="str">
        <x:v>2036-12-31</x:v>
      </x:c>
      <x:c r="E1926" s="11" t="str">
        <x:v>CNY</x:v>
      </x:c>
      <x:c r="F1926" s="11" t="n">
        <x:v>7.227926078028747</x:v>
      </x:c>
      <x:c r="G1926" s="26" t="b">
        <x:v>1</x:v>
      </x:c>
      <x:c r="H1926" s="16" t="n">
        <x:v>0.1</x:v>
      </x:c>
      <x:c r="I1926" s="16" t="n">
        <x:v>0.8666666666666667</x:v>
      </x:c>
      <x:c r="J1926" s="16" t="n">
        <x:v>2.5</x:v>
      </x:c>
      <x:c r="K1926" s="11" t="n">
        <x:f>CHOOSE('假设'!$B$3,H1926,I1926,J1926)</x:f>
        <x:v>0.8666666666666667</x:v>
      </x:c>
      <x:c r="L1926" s="11" t="n">
        <x:f>K1926*'管线假设'!E427*'管线假设'!F427*'管线假设'!G427*IF(E1926="USD",'管线假设'!I427,1)-AM1926</x:f>
        <x:v>0.07494933333333331</x:v>
      </x:c>
      <x:c r="M1926" s="11" t="n">
        <x:f>'管线假设'!H427</x:f>
        <x:v>0.14</x:v>
      </x:c>
      <x:c r="N1926" s="11" t="n">
        <x:f>IF(G1926,L1926*AN1926/(1+M1926)^F1926,0)</x:f>
        <x:v>0.02907125062741305</x:v>
      </x:c>
      <x:c r="AJ1926" t="n">
        <x:v>0</x:v>
      </x:c>
      <x:c r="AK1926" t="n">
        <x:v>0</x:v>
      </x:c>
      <x:c r="AL1926" t="n">
        <x:v>0</x:v>
      </x:c>
      <x:c r="AM1926" t="n">
        <x:f>CHOOSE('假设'!$B$3,AJ1926,AK1926,AL1926)</x:f>
        <x:v>0</x:v>
      </x:c>
      <x:c r="AN1926" t="n">
        <x:v>1</x:v>
      </x:c>
    </x:row>
    <x:row r="1927" ht="23" customHeight="1">
      <x:c r="A1927" s="11" t="str">
        <x:v>688302.SH</x:v>
      </x:c>
      <x:c r="B1927" s="11" t="str">
        <x:v>三年</x:v>
      </x:c>
      <x:c r="C1927" s="11" t="str">
        <x:v>hp518_combo_cn</x:v>
      </x:c>
      <x:c r="D1927" s="11" t="str">
        <x:v>2037-12-31</x:v>
      </x:c>
      <x:c r="E1927" s="11" t="str">
        <x:v>CNY</x:v>
      </x:c>
      <x:c r="F1927" s="11" t="n">
        <x:v>8.227241615331964</x:v>
      </x:c>
      <x:c r="G1927" s="26" t="b">
        <x:v>1</x:v>
      </x:c>
      <x:c r="H1927" s="16" t="n">
        <x:v>0.2</x:v>
      </x:c>
      <x:c r="I1927" s="16" t="n">
        <x:v>1.0833333333333335</x:v>
      </x:c>
      <x:c r="J1927" s="16" t="n">
        <x:v>2.175</x:v>
      </x:c>
      <x:c r="K1927" s="11" t="n">
        <x:f>CHOOSE('假设'!$B$3,H1927,I1927,J1927)</x:f>
        <x:v>1.0833333333333335</x:v>
      </x:c>
      <x:c r="L1927" s="11" t="n">
        <x:f>K1927*'管线假设'!E427*'管线假设'!F427*'管线假设'!G427*IF(E1927="USD",'管线假设'!I427,1)-AM1927</x:f>
        <x:v>0.09368666666666665</x:v>
      </x:c>
      <x:c r="M1927" s="11" t="n">
        <x:f>'管线假设'!H427</x:f>
        <x:v>0.14</x:v>
      </x:c>
      <x:c r="N1927" s="11" t="n">
        <x:f>IF(G1927,L1927*AN1927/(1+M1927)^F1927,0)</x:f>
        <x:v>0.031879230229326025</x:v>
      </x:c>
      <x:c r="AJ1927" t="n">
        <x:v>0</x:v>
      </x:c>
      <x:c r="AK1927" t="n">
        <x:v>0</x:v>
      </x:c>
      <x:c r="AL1927" t="n">
        <x:v>0</x:v>
      </x:c>
      <x:c r="AM1927" t="n">
        <x:f>CHOOSE('假设'!$B$3,AJ1927,AK1927,AL1927)</x:f>
        <x:v>0</x:v>
      </x:c>
      <x:c r="AN1927" t="n">
        <x:v>1</x:v>
      </x:c>
    </x:row>
    <x:row r="1928" ht="23" customHeight="1">
      <x:c r="A1928" s="11" t="str">
        <x:v>688302.SH</x:v>
      </x:c>
      <x:c r="B1928" s="11" t="str">
        <x:v>三年</x:v>
      </x:c>
      <x:c r="C1928" s="11" t="str">
        <x:v>hp518_combo_cn</x:v>
      </x:c>
      <x:c r="D1928" s="11" t="str">
        <x:v>2038-12-31</x:v>
      </x:c>
      <x:c r="E1928" s="11" t="str">
        <x:v>CNY</x:v>
      </x:c>
      <x:c r="F1928" s="11" t="n">
        <x:v>9.22655715263518</x:v>
      </x:c>
      <x:c r="G1928" s="26" t="b">
        <x:v>1</x:v>
      </x:c>
      <x:c r="H1928" s="16" t="n">
        <x:v>0.3</x:v>
      </x:c>
      <x:c r="I1928" s="16" t="n">
        <x:v>1.3</x:v>
      </x:c>
      <x:c r="J1928" s="16" t="n">
        <x:v>1.85</x:v>
      </x:c>
      <x:c r="K1928" s="11" t="n">
        <x:f>CHOOSE('假设'!$B$3,H1928,I1928,J1928)</x:f>
        <x:v>1.3</x:v>
      </x:c>
      <x:c r="L1928" s="11" t="n">
        <x:f>K1928*'管线假设'!E427*'管线假设'!F427*'管线假设'!G427*IF(E1928="USD",'管线假设'!I427,1)-AM1928</x:f>
        <x:v>0.11242399999999998</x:v>
      </x:c>
      <x:c r="M1928" s="11" t="n">
        <x:f>'管线假设'!H427</x:f>
        <x:v>0.14</x:v>
      </x:c>
      <x:c r="N1928" s="11" t="n">
        <x:f>IF(G1928,L1928*AN1928/(1+M1928)^F1928,0)</x:f>
        <x:v>0.03356009411902681</x:v>
      </x:c>
      <x:c r="AJ1928" t="n">
        <x:v>0</x:v>
      </x:c>
      <x:c r="AK1928" t="n">
        <x:v>0</x:v>
      </x:c>
      <x:c r="AL1928" t="n">
        <x:v>0</x:v>
      </x:c>
      <x:c r="AM1928" t="n">
        <x:f>CHOOSE('假设'!$B$3,AJ1928,AK1928,AL1928)</x:f>
        <x:v>0</x:v>
      </x:c>
      <x:c r="AN1928" t="n">
        <x:v>1</x:v>
      </x:c>
    </x:row>
    <x:row r="1929" ht="23" customHeight="1">
      <x:c r="A1929" s="11" t="str">
        <x:v>688302.SH</x:v>
      </x:c>
      <x:c r="B1929" s="11" t="str">
        <x:v>三年</x:v>
      </x:c>
      <x:c r="C1929" s="11" t="str">
        <x:v>hp518_combo_cn</x:v>
      </x:c>
      <x:c r="D1929" s="11" t="str">
        <x:v>2039-12-31</x:v>
      </x:c>
      <x:c r="E1929" s="11" t="str">
        <x:v>CNY</x:v>
      </x:c>
      <x:c r="F1929" s="11" t="n">
        <x:v>10.225872689938399</x:v>
      </x:c>
      <x:c r="G1929" s="26" t="b">
        <x:v>1</x:v>
      </x:c>
      <x:c r="H1929" s="16" t="n">
        <x:v>0.4</x:v>
      </x:c>
      <x:c r="I1929" s="16" t="n">
        <x:v>1.131</x:v>
      </x:c>
      <x:c r="J1929" s="16" t="n">
        <x:v>1.525</x:v>
      </x:c>
      <x:c r="K1929" s="11" t="n">
        <x:f>CHOOSE('假设'!$B$3,H1929,I1929,J1929)</x:f>
        <x:v>1.131</x:v>
      </x:c>
      <x:c r="L1929" s="11" t="n">
        <x:f>K1929*'管线假设'!E427*'管线假设'!F427*'管线假设'!G427*IF(E1929="USD",'管线假设'!I427,1)-AM1929</x:f>
        <x:v>0.09780887999999997</x:v>
      </x:c>
      <x:c r="M1929" s="11" t="n">
        <x:f>'管线假设'!H427</x:f>
        <x:v>0.14</x:v>
      </x:c>
      <x:c r="N1929" s="11" t="n">
        <x:f>IF(G1929,L1929*AN1929/(1+M1929)^F1929,0)</x:f>
        <x:v>0.025613947832258177</x:v>
      </x:c>
      <x:c r="AJ1929" t="n">
        <x:v>0</x:v>
      </x:c>
      <x:c r="AK1929" t="n">
        <x:v>0</x:v>
      </x:c>
      <x:c r="AL1929" t="n">
        <x:v>0</x:v>
      </x:c>
      <x:c r="AM1929" t="n">
        <x:f>CHOOSE('假设'!$B$3,AJ1929,AK1929,AL1929)</x:f>
        <x:v>0</x:v>
      </x:c>
      <x:c r="AN1929" t="n">
        <x:v>1</x:v>
      </x:c>
    </x:row>
    <x:row r="1930" ht="23" customHeight="1">
      <x:c r="A1930" s="11" t="str">
        <x:v>688302.SH</x:v>
      </x:c>
      <x:c r="B1930" s="11" t="str">
        <x:v>三年</x:v>
      </x:c>
      <x:c r="C1930" s="11" t="str">
        <x:v>hp518_combo_cn</x:v>
      </x:c>
      <x:c r="D1930" s="11" t="str">
        <x:v>2040-12-31</x:v>
      </x:c>
      <x:c r="E1930" s="11" t="str">
        <x:v>CNY</x:v>
      </x:c>
      <x:c r="F1930" s="11" t="n">
        <x:v>11.227926078028748</x:v>
      </x:c>
      <x:c r="G1930" s="26" t="b">
        <x:v>1</x:v>
      </x:c>
      <x:c r="H1930" s="16" t="n">
        <x:v>0.5</x:v>
      </x:c>
      <x:c r="I1930" s="16" t="n">
        <x:v>0.962</x:v>
      </x:c>
      <x:c r="J1930" s="16" t="n">
        <x:v>1.2</x:v>
      </x:c>
      <x:c r="K1930" s="11" t="n">
        <x:f>CHOOSE('假设'!$B$3,H1930,I1930,J1930)</x:f>
        <x:v>0.962</x:v>
      </x:c>
      <x:c r="L1930" s="11" t="n">
        <x:f>K1930*'管线假设'!E427*'管线假设'!F427*'管线假设'!G427*IF(E1930="USD",'管线假设'!I427,1)-AM1930</x:f>
        <x:v>0.08319375999999998</x:v>
      </x:c>
      <x:c r="M1930" s="11" t="n">
        <x:f>'管线假设'!H427</x:f>
        <x:v>0.14</x:v>
      </x:c>
      <x:c r="N1930" s="11" t="n">
        <x:f>IF(G1930,L1930*AN1930/(1+M1930)^F1930,0)</x:f>
        <x:v>0.01910589068982448</x:v>
      </x:c>
      <x:c r="AJ1930" t="n">
        <x:v>0</x:v>
      </x:c>
      <x:c r="AK1930" t="n">
        <x:v>0</x:v>
      </x:c>
      <x:c r="AL1930" t="n">
        <x:v>0</x:v>
      </x:c>
      <x:c r="AM1930" t="n">
        <x:f>CHOOSE('假设'!$B$3,AJ1930,AK1930,AL1930)</x:f>
        <x:v>0</x:v>
      </x:c>
      <x:c r="AN1930" t="n">
        <x:v>1</x:v>
      </x:c>
    </x:row>
    <x:row r="1931" ht="23" customHeight="1">
      <x:c r="A1931" s="11" t="str">
        <x:v>688302.SH</x:v>
      </x:c>
      <x:c r="B1931" s="11" t="str">
        <x:v>三年</x:v>
      </x:c>
      <x:c r="C1931" s="11" t="str">
        <x:v>hp518_combo_cn</x:v>
      </x:c>
      <x:c r="D1931" s="11" t="str">
        <x:v>2041-12-31</x:v>
      </x:c>
      <x:c r="E1931" s="11" t="str">
        <x:v>CNY</x:v>
      </x:c>
      <x:c r="F1931" s="11" t="n">
        <x:v>12.227241615331964</x:v>
      </x:c>
      <x:c r="G1931" s="26" t="b">
        <x:v>1</x:v>
      </x:c>
      <x:c r="H1931" s="16" t="n">
        <x:v>0.435</x:v>
      </x:c>
      <x:c r="I1931" s="16" t="n">
        <x:v>0.793</x:v>
      </x:c>
      <x:c r="J1931" s="16" t="n">
        <x:v>0.875</x:v>
      </x:c>
      <x:c r="K1931" s="11" t="n">
        <x:f>CHOOSE('假设'!$B$3,H1931,I1931,J1931)</x:f>
        <x:v>0.793</x:v>
      </x:c>
      <x:c r="L1931" s="11" t="n">
        <x:f>K1931*'管线假设'!E427*'管线假设'!F427*'管线假设'!G427*IF(E1931="USD",'管线假设'!I427,1)-AM1931</x:f>
        <x:v>0.06857863999999998</x:v>
      </x:c>
      <x:c r="M1931" s="11" t="n">
        <x:f>'管线假设'!H427</x:f>
        <x:v>0.14</x:v>
      </x:c>
      <x:c r="N1931" s="11" t="n">
        <x:f>IF(G1931,L1931*AN1931/(1+M1931)^F1931,0)</x:f>
        <x:v>0.013816546464818114</x:v>
      </x:c>
      <x:c r="AJ1931" t="n">
        <x:v>0</x:v>
      </x:c>
      <x:c r="AK1931" t="n">
        <x:v>0</x:v>
      </x:c>
      <x:c r="AL1931" t="n">
        <x:v>0</x:v>
      </x:c>
      <x:c r="AM1931" t="n">
        <x:f>CHOOSE('假设'!$B$3,AJ1931,AK1931,AL1931)</x:f>
        <x:v>0</x:v>
      </x:c>
      <x:c r="AN1931" t="n">
        <x:v>1</x:v>
      </x:c>
    </x:row>
    <x:row r="1932" ht="23" customHeight="1">
      <x:c r="A1932" s="11" t="str">
        <x:v>688302.SH</x:v>
      </x:c>
      <x:c r="B1932" s="11" t="str">
        <x:v>三年</x:v>
      </x:c>
      <x:c r="C1932" s="11" t="str">
        <x:v>hp518_combo_cn</x:v>
      </x:c>
      <x:c r="D1932" s="11" t="str">
        <x:v>2042-12-31</x:v>
      </x:c>
      <x:c r="E1932" s="11" t="str">
        <x:v>CNY</x:v>
      </x:c>
      <x:c r="F1932" s="11" t="n">
        <x:v>13.22655715263518</x:v>
      </x:c>
      <x:c r="G1932" s="26" t="b">
        <x:v>1</x:v>
      </x:c>
      <x:c r="H1932" s="16" t="n">
        <x:v>0.37</x:v>
      </x:c>
      <x:c r="I1932" s="16" t="n">
        <x:v>0.624</x:v>
      </x:c>
      <x:c r="J1932" s="16" t="n">
        <x:v>0.5499999999999999</x:v>
      </x:c>
      <x:c r="K1932" s="11" t="n">
        <x:f>CHOOSE('假设'!$B$3,H1932,I1932,J1932)</x:f>
        <x:v>0.624</x:v>
      </x:c>
      <x:c r="L1932" s="11" t="n">
        <x:f>K1932*'管线假设'!E427*'管线假设'!F427*'管线假设'!G427*IF(E1932="USD",'管线假设'!I427,1)-AM1932</x:f>
        <x:v>0.05396351999999999</x:v>
      </x:c>
      <x:c r="M1932" s="11" t="n">
        <x:f>'管线假设'!H427</x:f>
        <x:v>0.14</x:v>
      </x:c>
      <x:c r="N1932" s="11" t="n">
        <x:f>IF(G1932,L1932*AN1932/(1+M1932)^F1932,0)</x:f>
        <x:v>0.009537729520590267</x:v>
      </x:c>
      <x:c r="AJ1932" t="n">
        <x:v>0</x:v>
      </x:c>
      <x:c r="AK1932" t="n">
        <x:v>0</x:v>
      </x:c>
      <x:c r="AL1932" t="n">
        <x:v>0</x:v>
      </x:c>
      <x:c r="AM1932" t="n">
        <x:f>CHOOSE('假设'!$B$3,AJ1932,AK1932,AL1932)</x:f>
        <x:v>0</x:v>
      </x:c>
      <x:c r="AN1932" t="n">
        <x:v>1</x:v>
      </x:c>
    </x:row>
    <x:row r="1933" ht="23" customHeight="1">
      <x:c r="A1933" s="11" t="str">
        <x:v>688302.SH</x:v>
      </x:c>
      <x:c r="B1933" s="11" t="str">
        <x:v>三年</x:v>
      </x:c>
      <x:c r="C1933" s="11" t="str">
        <x:v>hp518_combo_cn</x:v>
      </x:c>
      <x:c r="D1933" s="11" t="str">
        <x:v>2043-12-31</x:v>
      </x:c>
      <x:c r="E1933" s="11" t="str">
        <x:v>CNY</x:v>
      </x:c>
      <x:c r="F1933" s="11" t="n">
        <x:v>14.225872689938399</x:v>
      </x:c>
      <x:c r="G1933" s="26" t="b">
        <x:v>1</x:v>
      </x:c>
      <x:c r="H1933" s="16" t="n">
        <x:v>0.305</x:v>
      </x:c>
      <x:c r="I1933" s="16" t="n">
        <x:v>0.45499999999999996</x:v>
      </x:c>
      <x:c r="J1933" s="16" t="n">
        <x:v>0.22499999999999992</x:v>
      </x:c>
      <x:c r="K1933" s="11" t="n">
        <x:f>CHOOSE('假设'!$B$3,H1933,I1933,J1933)</x:f>
        <x:v>0.45499999999999996</x:v>
      </x:c>
      <x:c r="L1933" s="11" t="n">
        <x:f>K1933*'管线假设'!E427*'管线假设'!F427*'管线假设'!G427*IF(E1933="USD",'管线假设'!I427,1)-AM1933</x:f>
        <x:v>0.039348399999999985</x:v>
      </x:c>
      <x:c r="M1933" s="11" t="n">
        <x:f>'管线假设'!H427</x:f>
        <x:v>0.14</x:v>
      </x:c>
      <x:c r="N1933" s="11" t="n">
        <x:f>IF(G1933,L1933*AN1933/(1+M1933)^F1933,0)</x:f>
        <x:v>0.006101068583878326</x:v>
      </x:c>
      <x:c r="AJ1933" t="n">
        <x:v>0</x:v>
      </x:c>
      <x:c r="AK1933" t="n">
        <x:v>0</x:v>
      </x:c>
      <x:c r="AL1933" t="n">
        <x:v>0</x:v>
      </x:c>
      <x:c r="AM1933" t="n">
        <x:f>CHOOSE('假设'!$B$3,AJ1933,AK1933,AL1933)</x:f>
        <x:v>0</x:v>
      </x:c>
      <x:c r="AN1933" t="n">
        <x:v>1</x:v>
      </x:c>
    </x:row>
    <x:row r="1934" ht="23" customHeight="1">
      <x:c r="A1934" s="11" t="str">
        <x:v>688302.SH</x:v>
      </x:c>
      <x:c r="B1934" s="11" t="str">
        <x:v>三年</x:v>
      </x:c>
      <x:c r="C1934" s="11" t="str">
        <x:v>hp518_combo_cn</x:v>
      </x:c>
      <x:c r="D1934" s="11" t="str">
        <x:v>2044-12-31</x:v>
      </x:c>
      <x:c r="E1934" s="11" t="str">
        <x:v>CNY</x:v>
      </x:c>
      <x:c r="F1934" s="11" t="n">
        <x:v>15.227926078028748</x:v>
      </x:c>
      <x:c r="G1934" s="26" t="b">
        <x:v>1</x:v>
      </x:c>
      <x:c r="H1934" s="16" t="n">
        <x:v>0.24</x:v>
      </x:c>
      <x:c r="I1934" s="16" t="n">
        <x:v>0.286</x:v>
      </x:c>
      <x:c r="J1934" s="16" t="n">
        <x:v>0</x:v>
      </x:c>
      <x:c r="K1934" s="11" t="n">
        <x:f>CHOOSE('假设'!$B$3,H1934,I1934,J1934)</x:f>
        <x:v>0.286</x:v>
      </x:c>
      <x:c r="L1934" s="11" t="n">
        <x:f>K1934*'管线假设'!E427*'管线假设'!F427*'管线假设'!G427*IF(E1934="USD",'管线假设'!I427,1)-AM1934</x:f>
        <x:v>0.024733279999999993</x:v>
      </x:c>
      <x:c r="M1934" s="11" t="n">
        <x:f>'管线假设'!H427</x:f>
        <x:v>0.14</x:v>
      </x:c>
      <x:c r="N1934" s="11" t="n">
        <x:f>IF(G1934,L1934*AN1934/(1+M1934)^F1934,0)</x:f>
        <x:v>0.003363092747280913</x:v>
      </x:c>
      <x:c r="AJ1934" t="n">
        <x:v>0</x:v>
      </x:c>
      <x:c r="AK1934" t="n">
        <x:v>0</x:v>
      </x:c>
      <x:c r="AL1934" t="n">
        <x:v>0</x:v>
      </x:c>
      <x:c r="AM1934" t="n">
        <x:f>CHOOSE('假设'!$B$3,AJ1934,AK1934,AL1934)</x:f>
        <x:v>0</x:v>
      </x:c>
      <x:c r="AN1934" t="n">
        <x:v>1</x:v>
      </x:c>
    </x:row>
    <x:row r="1935" ht="23" customHeight="1">
      <x:c r="A1935" s="11" t="str">
        <x:v>688302.SH</x:v>
      </x:c>
      <x:c r="B1935" s="11" t="str">
        <x:v>三年</x:v>
      </x:c>
      <x:c r="C1935" s="11" t="str">
        <x:v>hp518_combo_cn</x:v>
      </x:c>
      <x:c r="D1935" s="11" t="str">
        <x:v>2045-12-31</x:v>
      </x:c>
      <x:c r="E1935" s="11" t="str">
        <x:v>CNY</x:v>
      </x:c>
      <x:c r="F1935" s="11" t="n">
        <x:v>16.227241615331966</x:v>
      </x:c>
      <x:c r="G1935" s="26" t="b">
        <x:v>1</x:v>
      </x:c>
      <x:c r="H1935" s="16" t="n">
        <x:v>0.175</x:v>
      </x:c>
      <x:c r="I1935" s="16" t="n">
        <x:v>0.11699999999999997</x:v>
      </x:c>
      <x:c r="J1935" s="16" t="n">
        <x:v>0</x:v>
      </x:c>
      <x:c r="K1935" s="11" t="n">
        <x:f>CHOOSE('假设'!$B$3,H1935,I1935,J1935)</x:f>
        <x:v>0.11699999999999997</x:v>
      </x:c>
      <x:c r="L1935" s="11" t="n">
        <x:f>K1935*'管线假设'!E427*'管线假设'!F427*'管线假设'!G427*IF(E1935="USD",'管线假设'!I427,1)-AM1935</x:f>
        <x:v>0.010118159999999994</x:v>
      </x:c>
      <x:c r="M1935" s="11" t="n">
        <x:f>'管线假设'!H427</x:f>
        <x:v>0.14</x:v>
      </x:c>
      <x:c r="N1935" s="11" t="n">
        <x:f>IF(G1935,L1935*AN1935/(1+M1935)^F1935,0)</x:f>
        <x:v>0.0012069597044047301</x:v>
      </x:c>
      <x:c r="AJ1935" t="n">
        <x:v>0</x:v>
      </x:c>
      <x:c r="AK1935" t="n">
        <x:v>0</x:v>
      </x:c>
      <x:c r="AL1935" t="n">
        <x:v>0</x:v>
      </x:c>
      <x:c r="AM1935" t="n">
        <x:f>CHOOSE('假设'!$B$3,AJ1935,AK1935,AL1935)</x:f>
        <x:v>0</x:v>
      </x:c>
      <x:c r="AN1935" t="n">
        <x:v>1</x:v>
      </x:c>
    </x:row>
    <x:row r="1936" ht="23" customHeight="1">
      <x:c r="A1936" s="11" t="str">
        <x:v>688302.SH</x:v>
      </x:c>
      <x:c r="B1936" s="11" t="str">
        <x:v>三年</x:v>
      </x:c>
      <x:c r="C1936" s="11" t="str">
        <x:v>hp518_combo_global</x:v>
      </x:c>
      <x:c r="D1936" s="11" t="str">
        <x:v>2027-12-31</x:v>
      </x:c>
      <x:c r="E1936" s="11" t="str">
        <x:v>USD</x:v>
      </x:c>
      <x:c r="F1936" s="11" t="n">
        <x:v>-1.7741273100616017</x:v>
      </x:c>
      <x:c r="G1936" s="26" t="b">
        <x:v>0</x:v>
      </x:c>
      <x:c r="H1936" s="16" t="n">
        <x:v>0</x:v>
      </x:c>
      <x:c r="I1936" s="16" t="n">
        <x:v>0</x:v>
      </x:c>
      <x:c r="J1936" s="16" t="n">
        <x:v>0</x:v>
      </x:c>
      <x:c r="K1936" s="11" t="n">
        <x:f>CHOOSE('假设'!$B$3,H1936,I1936,J1936)</x:f>
        <x:v>0</x:v>
      </x:c>
      <x:c r="L1936" s="11" t="n">
        <x:f>K1936*'管线假设'!E431*'管线假设'!F431*'管线假设'!G431*IF(E1936="USD",'管线假设'!I431,1)-AM1936</x:f>
        <x:v>0</x:v>
      </x:c>
      <x:c r="M1936" s="11" t="n">
        <x:f>'管线假设'!H431</x:f>
        <x:v>0.14</x:v>
      </x:c>
      <x:c r="N1936" s="11" t="n">
        <x:f>IF(G1936,L1936*AN1936/(1+M1936)^F1936,0)</x:f>
        <x:v>0</x:v>
      </x:c>
      <x:c r="AJ1936" t="n">
        <x:v>0</x:v>
      </x:c>
      <x:c r="AK1936" t="n">
        <x:v>0</x:v>
      </x:c>
      <x:c r="AL1936" t="n">
        <x:v>0</x:v>
      </x:c>
      <x:c r="AM1936" t="n">
        <x:f>CHOOSE('假设'!$B$3,AJ1936,AK1936,AL1936)</x:f>
        <x:v>0</x:v>
      </x:c>
      <x:c r="AN1936" t="n">
        <x:v>1</x:v>
      </x:c>
    </x:row>
    <x:row r="1937" ht="23" customHeight="1">
      <x:c r="A1937" s="11" t="str">
        <x:v>688302.SH</x:v>
      </x:c>
      <x:c r="B1937" s="11" t="str">
        <x:v>三年</x:v>
      </x:c>
      <x:c r="C1937" s="11" t="str">
        <x:v>hp518_combo_global</x:v>
      </x:c>
      <x:c r="D1937" s="11" t="str">
        <x:v>2028-12-31</x:v>
      </x:c>
      <x:c r="E1937" s="11" t="str">
        <x:v>USD</x:v>
      </x:c>
      <x:c r="F1937" s="11" t="n">
        <x:v>-0.7720739219712526</x:v>
      </x:c>
      <x:c r="G1937" s="26" t="b">
        <x:v>0</x:v>
      </x:c>
      <x:c r="H1937" s="16" t="n">
        <x:v>0</x:v>
      </x:c>
      <x:c r="I1937" s="16" t="n">
        <x:v>0</x:v>
      </x:c>
      <x:c r="J1937" s="16" t="n">
        <x:v>0</x:v>
      </x:c>
      <x:c r="K1937" s="11" t="n">
        <x:f>CHOOSE('假设'!$B$3,H1937,I1937,J1937)</x:f>
        <x:v>0</x:v>
      </x:c>
      <x:c r="L1937" s="11" t="n">
        <x:f>K1937*'管线假设'!E431*'管线假设'!F431*'管线假设'!G431*IF(E1937="USD",'管线假设'!I431,1)-AM1937</x:f>
        <x:v>0</x:v>
      </x:c>
      <x:c r="M1937" s="11" t="n">
        <x:f>'管线假设'!H431</x:f>
        <x:v>0.14</x:v>
      </x:c>
      <x:c r="N1937" s="11" t="n">
        <x:f>IF(G1937,L1937*AN1937/(1+M1937)^F1937,0)</x:f>
        <x:v>0</x:v>
      </x:c>
      <x:c r="AJ1937" t="n">
        <x:v>0</x:v>
      </x:c>
      <x:c r="AK1937" t="n">
        <x:v>0</x:v>
      </x:c>
      <x:c r="AL1937" t="n">
        <x:v>0</x:v>
      </x:c>
      <x:c r="AM1937" t="n">
        <x:f>CHOOSE('假设'!$B$3,AJ1937,AK1937,AL1937)</x:f>
        <x:v>0</x:v>
      </x:c>
      <x:c r="AN1937" t="n">
        <x:v>1</x:v>
      </x:c>
    </x:row>
    <x:row r="1938" ht="23" customHeight="1">
      <x:c r="A1938" s="11" t="str">
        <x:v>688302.SH</x:v>
      </x:c>
      <x:c r="B1938" s="11" t="str">
        <x:v>三年</x:v>
      </x:c>
      <x:c r="C1938" s="11" t="str">
        <x:v>hp518_combo_global</x:v>
      </x:c>
      <x:c r="D1938" s="11" t="str">
        <x:v>2029-12-31</x:v>
      </x:c>
      <x:c r="E1938" s="11" t="str">
        <x:v>USD</x:v>
      </x:c>
      <x:c r="F1938" s="11" t="n">
        <x:v>0.2272416153319644</x:v>
      </x:c>
      <x:c r="G1938" s="26" t="b">
        <x:v>1</x:v>
      </x:c>
      <x:c r="H1938" s="16" t="n">
        <x:v>0</x:v>
      </x:c>
      <x:c r="I1938" s="16" t="n">
        <x:v>0</x:v>
      </x:c>
      <x:c r="J1938" s="16" t="n">
        <x:v>0</x:v>
      </x:c>
      <x:c r="K1938" s="11" t="n">
        <x:f>CHOOSE('假设'!$B$3,H1938,I1938,J1938)</x:f>
        <x:v>0</x:v>
      </x:c>
      <x:c r="L1938" s="11" t="n">
        <x:f>K1938*'管线假设'!E431*'管线假设'!F431*'管线假设'!G431*IF(E1938="USD",'管线假设'!I431,1)-AM1938</x:f>
        <x:v>0</x:v>
      </x:c>
      <x:c r="M1938" s="11" t="n">
        <x:f>'管线假设'!H431</x:f>
        <x:v>0.14</x:v>
      </x:c>
      <x:c r="N1938" s="11" t="n">
        <x:f>IF(G1938,L1938*AN1938/(1+M1938)^F1938,0)</x:f>
        <x:v>0</x:v>
      </x:c>
      <x:c r="AJ1938" t="n">
        <x:v>0</x:v>
      </x:c>
      <x:c r="AK1938" t="n">
        <x:v>0</x:v>
      </x:c>
      <x:c r="AL1938" t="n">
        <x:v>0</x:v>
      </x:c>
      <x:c r="AM1938" t="n">
        <x:f>CHOOSE('假设'!$B$3,AJ1938,AK1938,AL1938)</x:f>
        <x:v>0</x:v>
      </x:c>
      <x:c r="AN1938" t="n">
        <x:v>1</x:v>
      </x:c>
    </x:row>
    <x:row r="1939" ht="23" customHeight="1">
      <x:c r="A1939" s="11" t="str">
        <x:v>688302.SH</x:v>
      </x:c>
      <x:c r="B1939" s="11" t="str">
        <x:v>三年</x:v>
      </x:c>
      <x:c r="C1939" s="11" t="str">
        <x:v>hp518_combo_global</x:v>
      </x:c>
      <x:c r="D1939" s="11" t="str">
        <x:v>2030-12-31</x:v>
      </x:c>
      <x:c r="E1939" s="11" t="str">
        <x:v>USD</x:v>
      </x:c>
      <x:c r="F1939" s="11" t="n">
        <x:v>1.2265571526351813</x:v>
      </x:c>
      <x:c r="G1939" s="26" t="b">
        <x:v>1</x:v>
      </x:c>
      <x:c r="H1939" s="16" t="n">
        <x:v>0</x:v>
      </x:c>
      <x:c r="I1939" s="16" t="n">
        <x:v>0</x:v>
      </x:c>
      <x:c r="J1939" s="16" t="n">
        <x:v>0</x:v>
      </x:c>
      <x:c r="K1939" s="11" t="n">
        <x:f>CHOOSE('假设'!$B$3,H1939,I1939,J1939)</x:f>
        <x:v>0</x:v>
      </x:c>
      <x:c r="L1939" s="11" t="n">
        <x:f>K1939*'管线假设'!E431*'管线假设'!F431*'管线假设'!G431*IF(E1939="USD",'管线假设'!I431,1)-AM1939</x:f>
        <x:v>0</x:v>
      </x:c>
      <x:c r="M1939" s="11" t="n">
        <x:f>'管线假设'!H431</x:f>
        <x:v>0.14</x:v>
      </x:c>
      <x:c r="N1939" s="11" t="n">
        <x:f>IF(G1939,L1939*AN1939/(1+M1939)^F1939,0)</x:f>
        <x:v>0</x:v>
      </x:c>
      <x:c r="AJ1939" t="n">
        <x:v>0</x:v>
      </x:c>
      <x:c r="AK1939" t="n">
        <x:v>0</x:v>
      </x:c>
      <x:c r="AL1939" t="n">
        <x:v>0</x:v>
      </x:c>
      <x:c r="AM1939" t="n">
        <x:f>CHOOSE('假设'!$B$3,AJ1939,AK1939,AL1939)</x:f>
        <x:v>0</x:v>
      </x:c>
      <x:c r="AN1939" t="n">
        <x:v>1</x:v>
      </x:c>
    </x:row>
    <x:row r="1940" ht="23" customHeight="1">
      <x:c r="A1940" s="11" t="str">
        <x:v>688302.SH</x:v>
      </x:c>
      <x:c r="B1940" s="11" t="str">
        <x:v>三年</x:v>
      </x:c>
      <x:c r="C1940" s="11" t="str">
        <x:v>hp518_combo_global</x:v>
      </x:c>
      <x:c r="D1940" s="11" t="str">
        <x:v>2031-12-31</x:v>
      </x:c>
      <x:c r="E1940" s="11" t="str">
        <x:v>USD</x:v>
      </x:c>
      <x:c r="F1940" s="11" t="n">
        <x:v>2.2258726899383983</x:v>
      </x:c>
      <x:c r="G1940" s="26" t="b">
        <x:v>1</x:v>
      </x:c>
      <x:c r="H1940" s="16" t="n">
        <x:v>0</x:v>
      </x:c>
      <x:c r="I1940" s="16" t="n">
        <x:v>0</x:v>
      </x:c>
      <x:c r="J1940" s="16" t="n">
        <x:v>0</x:v>
      </x:c>
      <x:c r="K1940" s="11" t="n">
        <x:f>CHOOSE('假设'!$B$3,H1940,I1940,J1940)</x:f>
        <x:v>0</x:v>
      </x:c>
      <x:c r="L1940" s="11" t="n">
        <x:f>K1940*'管线假设'!E431*'管线假设'!F431*'管线假设'!G431*IF(E1940="USD",'管线假设'!I431,1)-AM1940</x:f>
        <x:v>0</x:v>
      </x:c>
      <x:c r="M1940" s="11" t="n">
        <x:f>'管线假设'!H431</x:f>
        <x:v>0.14</x:v>
      </x:c>
      <x:c r="N1940" s="11" t="n">
        <x:f>IF(G1940,L1940*AN1940/(1+M1940)^F1940,0)</x:f>
        <x:v>0</x:v>
      </x:c>
      <x:c r="AJ1940" t="n">
        <x:v>0</x:v>
      </x:c>
      <x:c r="AK1940" t="n">
        <x:v>0</x:v>
      </x:c>
      <x:c r="AL1940" t="n">
        <x:v>0</x:v>
      </x:c>
      <x:c r="AM1940" t="n">
        <x:f>CHOOSE('假设'!$B$3,AJ1940,AK1940,AL1940)</x:f>
        <x:v>0</x:v>
      </x:c>
      <x:c r="AN1940" t="n">
        <x:v>1</x:v>
      </x:c>
    </x:row>
    <x:row r="1941" ht="23" customHeight="1">
      <x:c r="A1941" s="11" t="str">
        <x:v>688302.SH</x:v>
      </x:c>
      <x:c r="B1941" s="11" t="str">
        <x:v>三年</x:v>
      </x:c>
      <x:c r="C1941" s="11" t="str">
        <x:v>hp518_combo_global</x:v>
      </x:c>
      <x:c r="D1941" s="11" t="str">
        <x:v>2032-12-31</x:v>
      </x:c>
      <x:c r="E1941" s="11" t="str">
        <x:v>USD</x:v>
      </x:c>
      <x:c r="F1941" s="11" t="n">
        <x:v>3.2279260780287475</x:v>
      </x:c>
      <x:c r="G1941" s="26" t="b">
        <x:v>1</x:v>
      </x:c>
      <x:c r="H1941" s="16" t="n">
        <x:v>0</x:v>
      </x:c>
      <x:c r="I1941" s="16" t="n">
        <x:v>0</x:v>
      </x:c>
      <x:c r="J1941" s="16" t="n">
        <x:v>0.5</x:v>
      </x:c>
      <x:c r="K1941" s="11" t="n">
        <x:f>CHOOSE('假设'!$B$3,H1941,I1941,J1941)</x:f>
        <x:v>0</x:v>
      </x:c>
      <x:c r="L1941" s="11" t="n">
        <x:f>K1941*'管线假设'!E431*'管线假设'!F431*'管线假设'!G431*IF(E1941="USD",'管线假设'!I431,1)-AM1941</x:f>
        <x:v>0</x:v>
      </x:c>
      <x:c r="M1941" s="11" t="n">
        <x:f>'管线假设'!H431</x:f>
        <x:v>0.14</x:v>
      </x:c>
      <x:c r="N1941" s="11" t="n">
        <x:f>IF(G1941,L1941*AN1941/(1+M1941)^F1941,0)</x:f>
        <x:v>0</x:v>
      </x:c>
      <x:c r="AJ1941" t="n">
        <x:v>0</x:v>
      </x:c>
      <x:c r="AK1941" t="n">
        <x:v>0</x:v>
      </x:c>
      <x:c r="AL1941" t="n">
        <x:v>0</x:v>
      </x:c>
      <x:c r="AM1941" t="n">
        <x:f>CHOOSE('假设'!$B$3,AJ1941,AK1941,AL1941)</x:f>
        <x:v>0</x:v>
      </x:c>
      <x:c r="AN1941" t="n">
        <x:v>1</x:v>
      </x:c>
    </x:row>
    <x:row r="1942" ht="23" customHeight="1">
      <x:c r="A1942" s="11" t="str">
        <x:v>688302.SH</x:v>
      </x:c>
      <x:c r="B1942" s="11" t="str">
        <x:v>三年</x:v>
      </x:c>
      <x:c r="C1942" s="11" t="str">
        <x:v>hp518_combo_global</x:v>
      </x:c>
      <x:c r="D1942" s="11" t="str">
        <x:v>2033-12-31</x:v>
      </x:c>
      <x:c r="E1942" s="11" t="str">
        <x:v>USD</x:v>
      </x:c>
      <x:c r="F1942" s="11" t="n">
        <x:v>4.227241615331964</x:v>
      </x:c>
      <x:c r="G1942" s="26" t="b">
        <x:v>1</x:v>
      </x:c>
      <x:c r="H1942" s="16" t="n">
        <x:v>0</x:v>
      </x:c>
      <x:c r="I1942" s="16" t="n">
        <x:v>0</x:v>
      </x:c>
      <x:c r="J1942" s="16" t="n">
        <x:v>1</x:v>
      </x:c>
      <x:c r="K1942" s="11" t="n">
        <x:f>CHOOSE('假设'!$B$3,H1942,I1942,J1942)</x:f>
        <x:v>0</x:v>
      </x:c>
      <x:c r="L1942" s="11" t="n">
        <x:f>K1942*'管线假设'!E431*'管线假设'!F431*'管线假设'!G431*IF(E1942="USD",'管线假设'!I431,1)-AM1942</x:f>
        <x:v>0</x:v>
      </x:c>
      <x:c r="M1942" s="11" t="n">
        <x:f>'管线假设'!H431</x:f>
        <x:v>0.14</x:v>
      </x:c>
      <x:c r="N1942" s="11" t="n">
        <x:f>IF(G1942,L1942*AN1942/(1+M1942)^F1942,0)</x:f>
        <x:v>0</x:v>
      </x:c>
      <x:c r="AJ1942" t="n">
        <x:v>0</x:v>
      </x:c>
      <x:c r="AK1942" t="n">
        <x:v>0</x:v>
      </x:c>
      <x:c r="AL1942" t="n">
        <x:v>0</x:v>
      </x:c>
      <x:c r="AM1942" t="n">
        <x:f>CHOOSE('假设'!$B$3,AJ1942,AK1942,AL1942)</x:f>
        <x:v>0</x:v>
      </x:c>
      <x:c r="AN1942" t="n">
        <x:v>1</x:v>
      </x:c>
    </x:row>
    <x:row r="1943" ht="23" customHeight="1">
      <x:c r="A1943" s="11" t="str">
        <x:v>688302.SH</x:v>
      </x:c>
      <x:c r="B1943" s="11" t="str">
        <x:v>三年</x:v>
      </x:c>
      <x:c r="C1943" s="11" t="str">
        <x:v>hp518_combo_global</x:v>
      </x:c>
      <x:c r="D1943" s="11" t="str">
        <x:v>2034-12-31</x:v>
      </x:c>
      <x:c r="E1943" s="11" t="str">
        <x:v>USD</x:v>
      </x:c>
      <x:c r="F1943" s="11" t="n">
        <x:v>5.2265571526351815</x:v>
      </x:c>
      <x:c r="G1943" s="26" t="b">
        <x:v>1</x:v>
      </x:c>
      <x:c r="H1943" s="16" t="n">
        <x:v>0</x:v>
      </x:c>
      <x:c r="I1943" s="16" t="n">
        <x:v>0.26666666666666666</x:v>
      </x:c>
      <x:c r="J1943" s="16" t="n">
        <x:v>1.5</x:v>
      </x:c>
      <x:c r="K1943" s="11" t="n">
        <x:f>CHOOSE('假设'!$B$3,H1943,I1943,J1943)</x:f>
        <x:v>0.26666666666666666</x:v>
      </x:c>
      <x:c r="L1943" s="11" t="n">
        <x:f>K1943*'管线假设'!E431*'管线假设'!F431*'管线假设'!G431*IF(E1943="USD",'管线假设'!I431,1)-AM1943</x:f>
        <x:v>0.042823679999999996</x:v>
      </x:c>
      <x:c r="M1943" s="11" t="n">
        <x:f>'管线假设'!H431</x:f>
        <x:v>0.14</x:v>
      </x:c>
      <x:c r="N1943" s="11" t="n">
        <x:f>IF(G1943,L1943*AN1943/(1+M1943)^F1943,0)</x:f>
        <x:v>0.021590739988633364</x:v>
      </x:c>
      <x:c r="AJ1943" t="n">
        <x:v>0</x:v>
      </x:c>
      <x:c r="AK1943" t="n">
        <x:v>0</x:v>
      </x:c>
      <x:c r="AL1943" t="n">
        <x:v>0</x:v>
      </x:c>
      <x:c r="AM1943" t="n">
        <x:f>CHOOSE('假设'!$B$3,AJ1943,AK1943,AL1943)</x:f>
        <x:v>0</x:v>
      </x:c>
      <x:c r="AN1943" t="n">
        <x:v>1</x:v>
      </x:c>
    </x:row>
    <x:row r="1944" ht="23" customHeight="1">
      <x:c r="A1944" s="11" t="str">
        <x:v>688302.SH</x:v>
      </x:c>
      <x:c r="B1944" s="11" t="str">
        <x:v>三年</x:v>
      </x:c>
      <x:c r="C1944" s="11" t="str">
        <x:v>hp518_combo_global</x:v>
      </x:c>
      <x:c r="D1944" s="11" t="str">
        <x:v>2035-12-31</x:v>
      </x:c>
      <x:c r="E1944" s="11" t="str">
        <x:v>USD</x:v>
      </x:c>
      <x:c r="F1944" s="11" t="n">
        <x:v>6.225872689938399</x:v>
      </x:c>
      <x:c r="G1944" s="26" t="b">
        <x:v>1</x:v>
      </x:c>
      <x:c r="H1944" s="16" t="n">
        <x:v>0</x:v>
      </x:c>
      <x:c r="I1944" s="16" t="n">
        <x:v>0.5333333333333333</x:v>
      </x:c>
      <x:c r="J1944" s="16" t="n">
        <x:v>2</x:v>
      </x:c>
      <x:c r="K1944" s="11" t="n">
        <x:f>CHOOSE('假设'!$B$3,H1944,I1944,J1944)</x:f>
        <x:v>0.5333333333333333</x:v>
      </x:c>
      <x:c r="L1944" s="11" t="n">
        <x:f>K1944*'管线假设'!E431*'管线假设'!F431*'管线假设'!G431*IF(E1944="USD",'管线假设'!I431,1)-AM1944</x:f>
        <x:v>0.08564735999999999</x:v>
      </x:c>
      <x:c r="M1944" s="11" t="n">
        <x:f>'管线假设'!H431</x:f>
        <x:v>0.14</x:v>
      </x:c>
      <x:c r="N1944" s="11" t="n">
        <x:f>IF(G1944,L1944*AN1944/(1+M1944)^F1944,0)</x:f>
        <x:v>0.03788188845347423</x:v>
      </x:c>
      <x:c r="AJ1944" t="n">
        <x:v>0</x:v>
      </x:c>
      <x:c r="AK1944" t="n">
        <x:v>0</x:v>
      </x:c>
      <x:c r="AL1944" t="n">
        <x:v>0</x:v>
      </x:c>
      <x:c r="AM1944" t="n">
        <x:f>CHOOSE('假设'!$B$3,AJ1944,AK1944,AL1944)</x:f>
        <x:v>0</x:v>
      </x:c>
      <x:c r="AN1944" t="n">
        <x:v>1</x:v>
      </x:c>
    </x:row>
    <x:row r="1945" ht="23" customHeight="1">
      <x:c r="A1945" s="11" t="str">
        <x:v>688302.SH</x:v>
      </x:c>
      <x:c r="B1945" s="11" t="str">
        <x:v>三年</x:v>
      </x:c>
      <x:c r="C1945" s="11" t="str">
        <x:v>hp518_combo_global</x:v>
      </x:c>
      <x:c r="D1945" s="11" t="str">
        <x:v>2036-12-31</x:v>
      </x:c>
      <x:c r="E1945" s="11" t="str">
        <x:v>USD</x:v>
      </x:c>
      <x:c r="F1945" s="11" t="n">
        <x:v>7.227926078028747</x:v>
      </x:c>
      <x:c r="G1945" s="26" t="b">
        <x:v>1</x:v>
      </x:c>
      <x:c r="H1945" s="16" t="n">
        <x:v>0</x:v>
      </x:c>
      <x:c r="I1945" s="16" t="n">
        <x:v>0.8</x:v>
      </x:c>
      <x:c r="J1945" s="16" t="n">
        <x:v>2.5</x:v>
      </x:c>
      <x:c r="K1945" s="11" t="n">
        <x:f>CHOOSE('假设'!$B$3,H1945,I1945,J1945)</x:f>
        <x:v>0.8</x:v>
      </x:c>
      <x:c r="L1945" s="11" t="n">
        <x:f>K1945*'管线假设'!E431*'管线假设'!F431*'管线假设'!G431*IF(E1945="USD",'管线假设'!I431,1)-AM1945</x:f>
        <x:v>0.12847103999999998</x:v>
      </x:c>
      <x:c r="M1945" s="11" t="n">
        <x:f>'管线假设'!H431</x:f>
        <x:v>0.14</x:v>
      </x:c>
      <x:c r="N1945" s="11" t="n">
        <x:f>IF(G1945,L1945*AN1945/(1+M1945)^F1945,0)</x:f>
        <x:v>0.04983118109395335</x:v>
      </x:c>
      <x:c r="AJ1945" t="n">
        <x:v>0</x:v>
      </x:c>
      <x:c r="AK1945" t="n">
        <x:v>0</x:v>
      </x:c>
      <x:c r="AL1945" t="n">
        <x:v>0</x:v>
      </x:c>
      <x:c r="AM1945" t="n">
        <x:f>CHOOSE('假设'!$B$3,AJ1945,AK1945,AL1945)</x:f>
        <x:v>0</x:v>
      </x:c>
      <x:c r="AN1945" t="n">
        <x:v>1</x:v>
      </x:c>
    </x:row>
    <x:row r="1946" ht="23" customHeight="1">
      <x:c r="A1946" s="11" t="str">
        <x:v>688302.SH</x:v>
      </x:c>
      <x:c r="B1946" s="11" t="str">
        <x:v>三年</x:v>
      </x:c>
      <x:c r="C1946" s="11" t="str">
        <x:v>hp518_combo_global</x:v>
      </x:c>
      <x:c r="D1946" s="11" t="str">
        <x:v>2037-12-31</x:v>
      </x:c>
      <x:c r="E1946" s="11" t="str">
        <x:v>USD</x:v>
      </x:c>
      <x:c r="F1946" s="11" t="n">
        <x:v>8.227241615331964</x:v>
      </x:c>
      <x:c r="G1946" s="26" t="b">
        <x:v>1</x:v>
      </x:c>
      <x:c r="H1946" s="16" t="n">
        <x:v>0.1</x:v>
      </x:c>
      <x:c r="I1946" s="16" t="n">
        <x:v>1.0666666666666667</x:v>
      </x:c>
      <x:c r="J1946" s="16" t="n">
        <x:v>3</x:v>
      </x:c>
      <x:c r="K1946" s="11" t="n">
        <x:f>CHOOSE('假设'!$B$3,H1946,I1946,J1946)</x:f>
        <x:v>1.0666666666666667</x:v>
      </x:c>
      <x:c r="L1946" s="11" t="n">
        <x:f>K1946*'管线假设'!E431*'管线假设'!F431*'管线假设'!G431*IF(E1946="USD",'管线假设'!I431,1)-AM1946</x:f>
        <x:v>0.17129471999999998</x:v>
      </x:c>
      <x:c r="M1946" s="11" t="n">
        <x:f>'管线假设'!H431</x:f>
        <x:v>0.14</x:v>
      </x:c>
      <x:c r="N1946" s="11" t="n">
        <x:f>IF(G1946,L1946*AN1946/(1+M1946)^F1946,0)</x:f>
        <x:v>0.05828731035310543</x:v>
      </x:c>
      <x:c r="AJ1946" t="n">
        <x:v>0</x:v>
      </x:c>
      <x:c r="AK1946" t="n">
        <x:v>0</x:v>
      </x:c>
      <x:c r="AL1946" t="n">
        <x:v>0</x:v>
      </x:c>
      <x:c r="AM1946" t="n">
        <x:f>CHOOSE('假设'!$B$3,AJ1946,AK1946,AL1946)</x:f>
        <x:v>0</x:v>
      </x:c>
      <x:c r="AN1946" t="n">
        <x:v>1</x:v>
      </x:c>
    </x:row>
    <x:row r="1947" ht="23" customHeight="1">
      <x:c r="A1947" s="11" t="str">
        <x:v>688302.SH</x:v>
      </x:c>
      <x:c r="B1947" s="11" t="str">
        <x:v>三年</x:v>
      </x:c>
      <x:c r="C1947" s="11" t="str">
        <x:v>hp518_combo_global</x:v>
      </x:c>
      <x:c r="D1947" s="11" t="str">
        <x:v>2038-12-31</x:v>
      </x:c>
      <x:c r="E1947" s="11" t="str">
        <x:v>USD</x:v>
      </x:c>
      <x:c r="F1947" s="11" t="n">
        <x:v>9.22655715263518</x:v>
      </x:c>
      <x:c r="G1947" s="26" t="b">
        <x:v>1</x:v>
      </x:c>
      <x:c r="H1947" s="16" t="n">
        <x:v>0.2</x:v>
      </x:c>
      <x:c r="I1947" s="16" t="n">
        <x:v>1.3333333333333335</x:v>
      </x:c>
      <x:c r="J1947" s="16" t="n">
        <x:v>2.61</x:v>
      </x:c>
      <x:c r="K1947" s="11" t="n">
        <x:f>CHOOSE('假设'!$B$3,H1947,I1947,J1947)</x:f>
        <x:v>1.3333333333333335</x:v>
      </x:c>
      <x:c r="L1947" s="11" t="n">
        <x:f>K1947*'管线假设'!E431*'管线假设'!F431*'管线假设'!G431*IF(E1947="USD",'管线假设'!I431,1)-AM1947</x:f>
        <x:v>0.21411840000000001</x:v>
      </x:c>
      <x:c r="M1947" s="11" t="n">
        <x:f>'管线假设'!H431</x:f>
        <x:v>0.14</x:v>
      </x:c>
      <x:c r="N1947" s="11" t="n">
        <x:f>IF(G1947,L1947*AN1947/(1+M1947)^F1947,0)</x:f>
        <x:v>0.06391725660548843</x:v>
      </x:c>
      <x:c r="AJ1947" t="n">
        <x:v>0</x:v>
      </x:c>
      <x:c r="AK1947" t="n">
        <x:v>0</x:v>
      </x:c>
      <x:c r="AL1947" t="n">
        <x:v>0</x:v>
      </x:c>
      <x:c r="AM1947" t="n">
        <x:f>CHOOSE('假设'!$B$3,AJ1947,AK1947,AL1947)</x:f>
        <x:v>0</x:v>
      </x:c>
      <x:c r="AN1947" t="n">
        <x:v>1</x:v>
      </x:c>
    </x:row>
    <x:row r="1948" ht="23" customHeight="1">
      <x:c r="A1948" s="11" t="str">
        <x:v>688302.SH</x:v>
      </x:c>
      <x:c r="B1948" s="11" t="str">
        <x:v>三年</x:v>
      </x:c>
      <x:c r="C1948" s="11" t="str">
        <x:v>hp518_combo_global</x:v>
      </x:c>
      <x:c r="D1948" s="11" t="str">
        <x:v>2039-12-31</x:v>
      </x:c>
      <x:c r="E1948" s="11" t="str">
        <x:v>USD</x:v>
      </x:c>
      <x:c r="F1948" s="11" t="n">
        <x:v>10.225872689938399</x:v>
      </x:c>
      <x:c r="G1948" s="26" t="b">
        <x:v>1</x:v>
      </x:c>
      <x:c r="H1948" s="16" t="n">
        <x:v>0.3</x:v>
      </x:c>
      <x:c r="I1948" s="16" t="n">
        <x:v>1.6</x:v>
      </x:c>
      <x:c r="J1948" s="16" t="n">
        <x:v>2.2199999999999998</x:v>
      </x:c>
      <x:c r="K1948" s="11" t="n">
        <x:f>CHOOSE('假设'!$B$3,H1948,I1948,J1948)</x:f>
        <x:v>1.6</x:v>
      </x:c>
      <x:c r="L1948" s="11" t="n">
        <x:f>K1948*'管线假设'!E431*'管线假设'!F431*'管线假设'!G431*IF(E1948="USD",'管线假设'!I431,1)-AM1948</x:f>
        <x:v>0.25694207999999996</x:v>
      </x:c>
      <x:c r="M1948" s="11" t="n">
        <x:f>'管线假设'!H431</x:f>
        <x:v>0.14</x:v>
      </x:c>
      <x:c r="N1948" s="11" t="n">
        <x:f>IF(G1948,L1948*AN1948/(1+M1948)^F1948,0)</x:f>
        <x:v>0.06728735706851881</x:v>
      </x:c>
      <x:c r="AJ1948" t="n">
        <x:v>0</x:v>
      </x:c>
      <x:c r="AK1948" t="n">
        <x:v>0</x:v>
      </x:c>
      <x:c r="AL1948" t="n">
        <x:v>0</x:v>
      </x:c>
      <x:c r="AM1948" t="n">
        <x:f>CHOOSE('假设'!$B$3,AJ1948,AK1948,AL1948)</x:f>
        <x:v>0</x:v>
      </x:c>
      <x:c r="AN1948" t="n">
        <x:v>1</x:v>
      </x:c>
    </x:row>
    <x:row r="1949" ht="23" customHeight="1">
      <x:c r="A1949" s="11" t="str">
        <x:v>688302.SH</x:v>
      </x:c>
      <x:c r="B1949" s="11" t="str">
        <x:v>三年</x:v>
      </x:c>
      <x:c r="C1949" s="11" t="str">
        <x:v>hp518_combo_global</x:v>
      </x:c>
      <x:c r="D1949" s="11" t="str">
        <x:v>2040-12-31</x:v>
      </x:c>
      <x:c r="E1949" s="11" t="str">
        <x:v>USD</x:v>
      </x:c>
      <x:c r="F1949" s="11" t="n">
        <x:v>11.227926078028748</x:v>
      </x:c>
      <x:c r="G1949" s="26" t="b">
        <x:v>1</x:v>
      </x:c>
      <x:c r="H1949" s="16" t="n">
        <x:v>0.4</x:v>
      </x:c>
      <x:c r="I1949" s="16" t="n">
        <x:v>1.3920000000000001</x:v>
      </x:c>
      <x:c r="J1949" s="16" t="n">
        <x:v>1.83</x:v>
      </x:c>
      <x:c r="K1949" s="11" t="n">
        <x:f>CHOOSE('假设'!$B$3,H1949,I1949,J1949)</x:f>
        <x:v>1.3920000000000001</x:v>
      </x:c>
      <x:c r="L1949" s="11" t="n">
        <x:f>K1949*'管线假设'!E431*'管线假设'!F431*'管线假设'!G431*IF(E1949="USD",'管线假设'!I431,1)-AM1949</x:f>
        <x:v>0.2235396096</x:v>
      </x:c>
      <x:c r="M1949" s="11" t="n">
        <x:f>'管线假设'!H431</x:f>
        <x:v>0.14</x:v>
      </x:c>
      <x:c r="N1949" s="11" t="n">
        <x:f>IF(G1949,L1949*AN1949/(1+M1949)^F1949,0)</x:f>
        <x:v>0.051337063571398146</x:v>
      </x:c>
      <x:c r="AJ1949" t="n">
        <x:v>0</x:v>
      </x:c>
      <x:c r="AK1949" t="n">
        <x:v>0</x:v>
      </x:c>
      <x:c r="AL1949" t="n">
        <x:v>0</x:v>
      </x:c>
      <x:c r="AM1949" t="n">
        <x:f>CHOOSE('假设'!$B$3,AJ1949,AK1949,AL1949)</x:f>
        <x:v>0</x:v>
      </x:c>
      <x:c r="AN1949" t="n">
        <x:v>1</x:v>
      </x:c>
    </x:row>
    <x:row r="1950" ht="23" customHeight="1">
      <x:c r="A1950" s="11" t="str">
        <x:v>688302.SH</x:v>
      </x:c>
      <x:c r="B1950" s="11" t="str">
        <x:v>三年</x:v>
      </x:c>
      <x:c r="C1950" s="11" t="str">
        <x:v>hp518_combo_global</x:v>
      </x:c>
      <x:c r="D1950" s="11" t="str">
        <x:v>2041-12-31</x:v>
      </x:c>
      <x:c r="E1950" s="11" t="str">
        <x:v>USD</x:v>
      </x:c>
      <x:c r="F1950" s="11" t="n">
        <x:v>12.227241615331964</x:v>
      </x:c>
      <x:c r="G1950" s="26" t="b">
        <x:v>1</x:v>
      </x:c>
      <x:c r="H1950" s="16" t="n">
        <x:v>0.5</x:v>
      </x:c>
      <x:c r="I1950" s="16" t="n">
        <x:v>1.184</x:v>
      </x:c>
      <x:c r="J1950" s="16" t="n">
        <x:v>1.44</x:v>
      </x:c>
      <x:c r="K1950" s="11" t="n">
        <x:f>CHOOSE('假设'!$B$3,H1950,I1950,J1950)</x:f>
        <x:v>1.184</x:v>
      </x:c>
      <x:c r="L1950" s="11" t="n">
        <x:f>K1950*'管线假设'!E431*'管线假设'!F431*'管线假设'!G431*IF(E1950="USD",'管线假设'!I431,1)-AM1950</x:f>
        <x:v>0.19013713919999997</x:v>
      </x:c>
      <x:c r="M1950" s="11" t="n">
        <x:f>'管线假设'!H431</x:f>
        <x:v>0.14</x:v>
      </x:c>
      <x:c r="N1950" s="11" t="n">
        <x:f>IF(G1950,L1950*AN1950/(1+M1950)^F1950,0)</x:f>
        <x:v>0.038306951237942165</x:v>
      </x:c>
      <x:c r="AJ1950" t="n">
        <x:v>0</x:v>
      </x:c>
      <x:c r="AK1950" t="n">
        <x:v>0</x:v>
      </x:c>
      <x:c r="AL1950" t="n">
        <x:v>0</x:v>
      </x:c>
      <x:c r="AM1950" t="n">
        <x:f>CHOOSE('假设'!$B$3,AJ1950,AK1950,AL1950)</x:f>
        <x:v>0</x:v>
      </x:c>
      <x:c r="AN1950" t="n">
        <x:v>1</x:v>
      </x:c>
    </x:row>
    <x:row r="1951" ht="23" customHeight="1">
      <x:c r="A1951" s="11" t="str">
        <x:v>688302.SH</x:v>
      </x:c>
      <x:c r="B1951" s="11" t="str">
        <x:v>三年</x:v>
      </x:c>
      <x:c r="C1951" s="11" t="str">
        <x:v>hp518_combo_global</x:v>
      </x:c>
      <x:c r="D1951" s="11" t="str">
        <x:v>2042-12-31</x:v>
      </x:c>
      <x:c r="E1951" s="11" t="str">
        <x:v>USD</x:v>
      </x:c>
      <x:c r="F1951" s="11" t="n">
        <x:v>13.22655715263518</x:v>
      </x:c>
      <x:c r="G1951" s="26" t="b">
        <x:v>1</x:v>
      </x:c>
      <x:c r="H1951" s="16" t="n">
        <x:v>0.435</x:v>
      </x:c>
      <x:c r="I1951" s="16" t="n">
        <x:v>0.976</x:v>
      </x:c>
      <x:c r="J1951" s="16" t="n">
        <x:v>1.0499999999999998</x:v>
      </x:c>
      <x:c r="K1951" s="11" t="n">
        <x:f>CHOOSE('假设'!$B$3,H1951,I1951,J1951)</x:f>
        <x:v>0.976</x:v>
      </x:c>
      <x:c r="L1951" s="11" t="n">
        <x:f>K1951*'管线假设'!E431*'管线假设'!F431*'管线假设'!G431*IF(E1951="USD",'管线假设'!I431,1)-AM1951</x:f>
        <x:v>0.15673466879999998</x:v>
      </x:c>
      <x:c r="M1951" s="11" t="n">
        <x:f>'管线假设'!H431</x:f>
        <x:v>0.14</x:v>
      </x:c>
      <x:c r="N1951" s="11" t="n">
        <x:f>IF(G1951,L1951*AN1951/(1+M1951)^F1951,0)</x:f>
        <x:v>0.027701915618434422</x:v>
      </x:c>
      <x:c r="AJ1951" t="n">
        <x:v>0</x:v>
      </x:c>
      <x:c r="AK1951" t="n">
        <x:v>0</x:v>
      </x:c>
      <x:c r="AL1951" t="n">
        <x:v>0</x:v>
      </x:c>
      <x:c r="AM1951" t="n">
        <x:f>CHOOSE('假设'!$B$3,AJ1951,AK1951,AL1951)</x:f>
        <x:v>0</x:v>
      </x:c>
      <x:c r="AN1951" t="n">
        <x:v>1</x:v>
      </x:c>
    </x:row>
    <x:row r="1952" ht="23" customHeight="1">
      <x:c r="A1952" s="11" t="str">
        <x:v>688302.SH</x:v>
      </x:c>
      <x:c r="B1952" s="11" t="str">
        <x:v>三年</x:v>
      </x:c>
      <x:c r="C1952" s="11" t="str">
        <x:v>hp518_combo_global</x:v>
      </x:c>
      <x:c r="D1952" s="11" t="str">
        <x:v>2043-12-31</x:v>
      </x:c>
      <x:c r="E1952" s="11" t="str">
        <x:v>USD</x:v>
      </x:c>
      <x:c r="F1952" s="11" t="n">
        <x:v>14.225872689938399</x:v>
      </x:c>
      <x:c r="G1952" s="26" t="b">
        <x:v>1</x:v>
      </x:c>
      <x:c r="H1952" s="16" t="n">
        <x:v>0.37</x:v>
      </x:c>
      <x:c r="I1952" s="16" t="n">
        <x:v>0.768</x:v>
      </x:c>
      <x:c r="J1952" s="16" t="n">
        <x:v>0.6599999999999999</x:v>
      </x:c>
      <x:c r="K1952" s="11" t="n">
        <x:f>CHOOSE('假设'!$B$3,H1952,I1952,J1952)</x:f>
        <x:v>0.768</x:v>
      </x:c>
      <x:c r="L1952" s="11" t="n">
        <x:f>K1952*'管线假设'!E431*'管线假设'!F431*'管线假设'!G431*IF(E1952="USD",'管线假设'!I431,1)-AM1952</x:f>
        <x:v>0.1233321984</x:v>
      </x:c>
      <x:c r="M1952" s="11" t="n">
        <x:f>'管线假设'!H431</x:f>
        <x:v>0.14</x:v>
      </x:c>
      <x:c r="N1952" s="11" t="n">
        <x:f>IF(G1952,L1952*AN1952/(1+M1952)^F1952,0)</x:f>
        <x:v>0.019122968177585086</x:v>
      </x:c>
      <x:c r="AJ1952" t="n">
        <x:v>0</x:v>
      </x:c>
      <x:c r="AK1952" t="n">
        <x:v>0</x:v>
      </x:c>
      <x:c r="AL1952" t="n">
        <x:v>0</x:v>
      </x:c>
      <x:c r="AM1952" t="n">
        <x:f>CHOOSE('假设'!$B$3,AJ1952,AK1952,AL1952)</x:f>
        <x:v>0</x:v>
      </x:c>
      <x:c r="AN1952" t="n">
        <x:v>1</x:v>
      </x:c>
    </x:row>
    <x:row r="1953" ht="23" customHeight="1">
      <x:c r="A1953" s="11" t="str">
        <x:v>688302.SH</x:v>
      </x:c>
      <x:c r="B1953" s="11" t="str">
        <x:v>三年</x:v>
      </x:c>
      <x:c r="C1953" s="11" t="str">
        <x:v>hp518_combo_global</x:v>
      </x:c>
      <x:c r="D1953" s="11" t="str">
        <x:v>2044-12-31</x:v>
      </x:c>
      <x:c r="E1953" s="11" t="str">
        <x:v>USD</x:v>
      </x:c>
      <x:c r="F1953" s="11" t="n">
        <x:v>15.227926078028748</x:v>
      </x:c>
      <x:c r="G1953" s="26" t="b">
        <x:v>1</x:v>
      </x:c>
      <x:c r="H1953" s="16" t="n">
        <x:v>0.305</x:v>
      </x:c>
      <x:c r="I1953" s="16" t="n">
        <x:v>0.5599999999999999</x:v>
      </x:c>
      <x:c r="J1953" s="16" t="n">
        <x:v>0.2699999999999999</x:v>
      </x:c>
      <x:c r="K1953" s="11" t="n">
        <x:f>CHOOSE('假设'!$B$3,H1953,I1953,J1953)</x:f>
        <x:v>0.5599999999999999</x:v>
      </x:c>
      <x:c r="L1953" s="11" t="n">
        <x:f>K1953*'管线假设'!E431*'管线假设'!F431*'管线假设'!G431*IF(E1953="USD",'管线假设'!I431,1)-AM1953</x:f>
        <x:v>0.08992972799999999</x:v>
      </x:c>
      <x:c r="M1953" s="11" t="n">
        <x:f>'管线假设'!H431</x:f>
        <x:v>0.14</x:v>
      </x:c>
      <x:c r="N1953" s="11" t="n">
        <x:f>IF(G1953,L1953*AN1953/(1+M1953)^F1953,0)</x:f>
        <x:v>0.012228140222475358</x:v>
      </x:c>
      <x:c r="AJ1953" t="n">
        <x:v>0</x:v>
      </x:c>
      <x:c r="AK1953" t="n">
        <x:v>0</x:v>
      </x:c>
      <x:c r="AL1953" t="n">
        <x:v>0</x:v>
      </x:c>
      <x:c r="AM1953" t="n">
        <x:f>CHOOSE('假设'!$B$3,AJ1953,AK1953,AL1953)</x:f>
        <x:v>0</x:v>
      </x:c>
      <x:c r="AN1953" t="n">
        <x:v>1</x:v>
      </x:c>
    </x:row>
    <x:row r="1954" ht="23" customHeight="1">
      <x:c r="A1954" s="11" t="str">
        <x:v>688302.SH</x:v>
      </x:c>
      <x:c r="B1954" s="11" t="str">
        <x:v>三年</x:v>
      </x:c>
      <x:c r="C1954" s="11" t="str">
        <x:v>hp518_combo_global</x:v>
      </x:c>
      <x:c r="D1954" s="11" t="str">
        <x:v>2045-12-31</x:v>
      </x:c>
      <x:c r="E1954" s="11" t="str">
        <x:v>USD</x:v>
      </x:c>
      <x:c r="F1954" s="11" t="n">
        <x:v>16.227241615331966</x:v>
      </x:c>
      <x:c r="G1954" s="26" t="b">
        <x:v>1</x:v>
      </x:c>
      <x:c r="H1954" s="16" t="n">
        <x:v>0.24</x:v>
      </x:c>
      <x:c r="I1954" s="16" t="n">
        <x:v>0.352</x:v>
      </x:c>
      <x:c r="J1954" s="16" t="n">
        <x:v>0</x:v>
      </x:c>
      <x:c r="K1954" s="11" t="n">
        <x:f>CHOOSE('假设'!$B$3,H1954,I1954,J1954)</x:f>
        <x:v>0.352</x:v>
      </x:c>
      <x:c r="L1954" s="11" t="n">
        <x:f>K1954*'管线假设'!E431*'管线假设'!F431*'管线假设'!G431*IF(E1954="USD",'管线假设'!I431,1)-AM1954</x:f>
        <x:v>0.05652725759999999</x:v>
      </x:c>
      <x:c r="M1954" s="11" t="n">
        <x:f>'管线假设'!H431</x:f>
        <x:v>0.14</x:v>
      </x:c>
      <x:c r="N1954" s="11" t="n">
        <x:f>IF(G1954,L1954*AN1954/(1+M1954)^F1954,0)</x:f>
        <x:v>0.006742937660968601</x:v>
      </x:c>
      <x:c r="AJ1954" t="n">
        <x:v>0</x:v>
      </x:c>
      <x:c r="AK1954" t="n">
        <x:v>0</x:v>
      </x:c>
      <x:c r="AL1954" t="n">
        <x:v>0</x:v>
      </x:c>
      <x:c r="AM1954" t="n">
        <x:f>CHOOSE('假设'!$B$3,AJ1954,AK1954,AL1954)</x:f>
        <x:v>0</x:v>
      </x:c>
      <x:c r="AN1954" t="n">
        <x:v>1</x:v>
      </x:c>
    </x:row>
    <x:row r="1955" ht="23" customHeight="1">
      <x:c r="A1955" s="11" t="str">
        <x:v>688302.SH</x:v>
      </x:c>
      <x:c r="B1955" s="11" t="str">
        <x:v>三年</x:v>
      </x:c>
      <x:c r="C1955" s="11" t="str">
        <x:v>hp518_tnbc_cn</x:v>
      </x:c>
      <x:c r="D1955" s="11" t="str">
        <x:v>2027-12-31</x:v>
      </x:c>
      <x:c r="E1955" s="11" t="str">
        <x:v>CNY</x:v>
      </x:c>
      <x:c r="F1955" s="11" t="n">
        <x:v>-1.7741273100616017</x:v>
      </x:c>
      <x:c r="G1955" s="26" t="b">
        <x:v>0</x:v>
      </x:c>
      <x:c r="H1955" s="16" t="n">
        <x:v>0</x:v>
      </x:c>
      <x:c r="I1955" s="16" t="n">
        <x:v>0</x:v>
      </x:c>
      <x:c r="J1955" s="16" t="n">
        <x:v>0</x:v>
      </x:c>
      <x:c r="K1955" s="11" t="n">
        <x:f>CHOOSE('假设'!$B$3,H1955,I1955,J1955)</x:f>
        <x:v>0</x:v>
      </x:c>
      <x:c r="L1955" s="11" t="n">
        <x:f>K1955*'管线假设'!E435*'管线假设'!F435*'管线假设'!G435*IF(E1955="USD",'管线假设'!I435,1)-AM1955</x:f>
        <x:v>0</x:v>
      </x:c>
      <x:c r="M1955" s="11" t="n">
        <x:f>'管线假设'!H435</x:f>
        <x:v>0.14</x:v>
      </x:c>
      <x:c r="N1955" s="11" t="n">
        <x:f>IF(G1955,L1955*AN1955/(1+M1955)^F1955,0)</x:f>
        <x:v>0</x:v>
      </x:c>
      <x:c r="AJ1955" t="n">
        <x:v>0</x:v>
      </x:c>
      <x:c r="AK1955" t="n">
        <x:v>0</x:v>
      </x:c>
      <x:c r="AL1955" t="n">
        <x:v>0</x:v>
      </x:c>
      <x:c r="AM1955" t="n">
        <x:f>CHOOSE('假设'!$B$3,AJ1955,AK1955,AL1955)</x:f>
        <x:v>0</x:v>
      </x:c>
      <x:c r="AN1955" t="n">
        <x:v>1</x:v>
      </x:c>
    </x:row>
    <x:row r="1956" ht="23" customHeight="1">
      <x:c r="A1956" s="11" t="str">
        <x:v>688302.SH</x:v>
      </x:c>
      <x:c r="B1956" s="11" t="str">
        <x:v>三年</x:v>
      </x:c>
      <x:c r="C1956" s="11" t="str">
        <x:v>hp518_tnbc_cn</x:v>
      </x:c>
      <x:c r="D1956" s="11" t="str">
        <x:v>2028-12-31</x:v>
      </x:c>
      <x:c r="E1956" s="11" t="str">
        <x:v>CNY</x:v>
      </x:c>
      <x:c r="F1956" s="11" t="n">
        <x:v>-0.7720739219712526</x:v>
      </x:c>
      <x:c r="G1956" s="26" t="b">
        <x:v>0</x:v>
      </x:c>
      <x:c r="H1956" s="16" t="n">
        <x:v>0</x:v>
      </x:c>
      <x:c r="I1956" s="16" t="n">
        <x:v>0</x:v>
      </x:c>
      <x:c r="J1956" s="16" t="n">
        <x:v>0</x:v>
      </x:c>
      <x:c r="K1956" s="11" t="n">
        <x:f>CHOOSE('假设'!$B$3,H1956,I1956,J1956)</x:f>
        <x:v>0</x:v>
      </x:c>
      <x:c r="L1956" s="11" t="n">
        <x:f>K1956*'管线假设'!E435*'管线假设'!F435*'管线假设'!G435*IF(E1956="USD",'管线假设'!I435,1)-AM1956</x:f>
        <x:v>0</x:v>
      </x:c>
      <x:c r="M1956" s="11" t="n">
        <x:f>'管线假设'!H435</x:f>
        <x:v>0.14</x:v>
      </x:c>
      <x:c r="N1956" s="11" t="n">
        <x:f>IF(G1956,L1956*AN1956/(1+M1956)^F1956,0)</x:f>
        <x:v>0</x:v>
      </x:c>
      <x:c r="AJ1956" t="n">
        <x:v>0</x:v>
      </x:c>
      <x:c r="AK1956" t="n">
        <x:v>0</x:v>
      </x:c>
      <x:c r="AL1956" t="n">
        <x:v>0</x:v>
      </x:c>
      <x:c r="AM1956" t="n">
        <x:f>CHOOSE('假设'!$B$3,AJ1956,AK1956,AL1956)</x:f>
        <x:v>0</x:v>
      </x:c>
      <x:c r="AN1956" t="n">
        <x:v>1</x:v>
      </x:c>
    </x:row>
    <x:row r="1957" ht="23" customHeight="1">
      <x:c r="A1957" s="11" t="str">
        <x:v>688302.SH</x:v>
      </x:c>
      <x:c r="B1957" s="11" t="str">
        <x:v>三年</x:v>
      </x:c>
      <x:c r="C1957" s="11" t="str">
        <x:v>hp518_tnbc_cn</x:v>
      </x:c>
      <x:c r="D1957" s="11" t="str">
        <x:v>2029-12-31</x:v>
      </x:c>
      <x:c r="E1957" s="11" t="str">
        <x:v>CNY</x:v>
      </x:c>
      <x:c r="F1957" s="11" t="n">
        <x:v>0.2272416153319644</x:v>
      </x:c>
      <x:c r="G1957" s="26" t="b">
        <x:v>1</x:v>
      </x:c>
      <x:c r="H1957" s="16" t="n">
        <x:v>0</x:v>
      </x:c>
      <x:c r="I1957" s="16" t="n">
        <x:v>0</x:v>
      </x:c>
      <x:c r="J1957" s="16" t="n">
        <x:v>0</x:v>
      </x:c>
      <x:c r="K1957" s="11" t="n">
        <x:f>CHOOSE('假设'!$B$3,H1957,I1957,J1957)</x:f>
        <x:v>0</x:v>
      </x:c>
      <x:c r="L1957" s="11" t="n">
        <x:f>K1957*'管线假设'!E435*'管线假设'!F435*'管线假设'!G435*IF(E1957="USD",'管线假设'!I435,1)-AM1957</x:f>
        <x:v>0</x:v>
      </x:c>
      <x:c r="M1957" s="11" t="n">
        <x:f>'管线假设'!H435</x:f>
        <x:v>0.14</x:v>
      </x:c>
      <x:c r="N1957" s="11" t="n">
        <x:f>IF(G1957,L1957*AN1957/(1+M1957)^F1957,0)</x:f>
        <x:v>0</x:v>
      </x:c>
      <x:c r="AJ1957" t="n">
        <x:v>0</x:v>
      </x:c>
      <x:c r="AK1957" t="n">
        <x:v>0</x:v>
      </x:c>
      <x:c r="AL1957" t="n">
        <x:v>0</x:v>
      </x:c>
      <x:c r="AM1957" t="n">
        <x:f>CHOOSE('假设'!$B$3,AJ1957,AK1957,AL1957)</x:f>
        <x:v>0</x:v>
      </x:c>
      <x:c r="AN1957" t="n">
        <x:v>1</x:v>
      </x:c>
    </x:row>
    <x:row r="1958" ht="23" customHeight="1">
      <x:c r="A1958" s="11" t="str">
        <x:v>688302.SH</x:v>
      </x:c>
      <x:c r="B1958" s="11" t="str">
        <x:v>三年</x:v>
      </x:c>
      <x:c r="C1958" s="11" t="str">
        <x:v>hp518_tnbc_cn</x:v>
      </x:c>
      <x:c r="D1958" s="11" t="str">
        <x:v>2030-12-31</x:v>
      </x:c>
      <x:c r="E1958" s="11" t="str">
        <x:v>CNY</x:v>
      </x:c>
      <x:c r="F1958" s="11" t="n">
        <x:v>1.2265571526351813</x:v>
      </x:c>
      <x:c r="G1958" s="26" t="b">
        <x:v>1</x:v>
      </x:c>
      <x:c r="H1958" s="16" t="n">
        <x:v>0</x:v>
      </x:c>
      <x:c r="I1958" s="16" t="n">
        <x:v>0</x:v>
      </x:c>
      <x:c r="J1958" s="16" t="n">
        <x:v>0</x:v>
      </x:c>
      <x:c r="K1958" s="11" t="n">
        <x:f>CHOOSE('假设'!$B$3,H1958,I1958,J1958)</x:f>
        <x:v>0</x:v>
      </x:c>
      <x:c r="L1958" s="11" t="n">
        <x:f>K1958*'管线假设'!E435*'管线假设'!F435*'管线假设'!G435*IF(E1958="USD",'管线假设'!I435,1)-AM1958</x:f>
        <x:v>0</x:v>
      </x:c>
      <x:c r="M1958" s="11" t="n">
        <x:f>'管线假设'!H435</x:f>
        <x:v>0.14</x:v>
      </x:c>
      <x:c r="N1958" s="11" t="n">
        <x:f>IF(G1958,L1958*AN1958/(1+M1958)^F1958,0)</x:f>
        <x:v>0</x:v>
      </x:c>
      <x:c r="AJ1958" t="n">
        <x:v>0</x:v>
      </x:c>
      <x:c r="AK1958" t="n">
        <x:v>0</x:v>
      </x:c>
      <x:c r="AL1958" t="n">
        <x:v>0</x:v>
      </x:c>
      <x:c r="AM1958" t="n">
        <x:f>CHOOSE('假设'!$B$3,AJ1958,AK1958,AL1958)</x:f>
        <x:v>0</x:v>
      </x:c>
      <x:c r="AN1958" t="n">
        <x:v>1</x:v>
      </x:c>
    </x:row>
    <x:row r="1959" ht="23" customHeight="1">
      <x:c r="A1959" s="11" t="str">
        <x:v>688302.SH</x:v>
      </x:c>
      <x:c r="B1959" s="11" t="str">
        <x:v>三年</x:v>
      </x:c>
      <x:c r="C1959" s="11" t="str">
        <x:v>hp518_tnbc_cn</x:v>
      </x:c>
      <x:c r="D1959" s="11" t="str">
        <x:v>2031-12-31</x:v>
      </x:c>
      <x:c r="E1959" s="11" t="str">
        <x:v>CNY</x:v>
      </x:c>
      <x:c r="F1959" s="11" t="n">
        <x:v>2.2258726899383983</x:v>
      </x:c>
      <x:c r="G1959" s="26" t="b">
        <x:v>1</x:v>
      </x:c>
      <x:c r="H1959" s="16" t="n">
        <x:v>0</x:v>
      </x:c>
      <x:c r="I1959" s="16" t="n">
        <x:v>0</x:v>
      </x:c>
      <x:c r="J1959" s="16" t="n">
        <x:v>0</x:v>
      </x:c>
      <x:c r="K1959" s="11" t="n">
        <x:f>CHOOSE('假设'!$B$3,H1959,I1959,J1959)</x:f>
        <x:v>0</x:v>
      </x:c>
      <x:c r="L1959" s="11" t="n">
        <x:f>K1959*'管线假设'!E435*'管线假设'!F435*'管线假设'!G435*IF(E1959="USD",'管线假设'!I435,1)-AM1959</x:f>
        <x:v>0</x:v>
      </x:c>
      <x:c r="M1959" s="11" t="n">
        <x:f>'管线假设'!H435</x:f>
        <x:v>0.14</x:v>
      </x:c>
      <x:c r="N1959" s="11" t="n">
        <x:f>IF(G1959,L1959*AN1959/(1+M1959)^F1959,0)</x:f>
        <x:v>0</x:v>
      </x:c>
      <x:c r="AJ1959" t="n">
        <x:v>0</x:v>
      </x:c>
      <x:c r="AK1959" t="n">
        <x:v>0</x:v>
      </x:c>
      <x:c r="AL1959" t="n">
        <x:v>0</x:v>
      </x:c>
      <x:c r="AM1959" t="n">
        <x:f>CHOOSE('假设'!$B$3,AJ1959,AK1959,AL1959)</x:f>
        <x:v>0</x:v>
      </x:c>
      <x:c r="AN1959" t="n">
        <x:v>1</x:v>
      </x:c>
    </x:row>
    <x:row r="1960" ht="23" customHeight="1">
      <x:c r="A1960" s="11" t="str">
        <x:v>688302.SH</x:v>
      </x:c>
      <x:c r="B1960" s="11" t="str">
        <x:v>三年</x:v>
      </x:c>
      <x:c r="C1960" s="11" t="str">
        <x:v>hp518_tnbc_cn</x:v>
      </x:c>
      <x:c r="D1960" s="11" t="str">
        <x:v>2032-12-31</x:v>
      </x:c>
      <x:c r="E1960" s="11" t="str">
        <x:v>CNY</x:v>
      </x:c>
      <x:c r="F1960" s="11" t="n">
        <x:v>3.2279260780287475</x:v>
      </x:c>
      <x:c r="G1960" s="26" t="b">
        <x:v>1</x:v>
      </x:c>
      <x:c r="H1960" s="16" t="n">
        <x:v>0</x:v>
      </x:c>
      <x:c r="I1960" s="16" t="n">
        <x:v>0</x:v>
      </x:c>
      <x:c r="J1960" s="16" t="n">
        <x:v>0.19999999999999998</x:v>
      </x:c>
      <x:c r="K1960" s="11" t="n">
        <x:f>CHOOSE('假设'!$B$3,H1960,I1960,J1960)</x:f>
        <x:v>0</x:v>
      </x:c>
      <x:c r="L1960" s="11" t="n">
        <x:f>K1960*'管线假设'!E435*'管线假设'!F435*'管线假设'!G435*IF(E1960="USD",'管线假设'!I435,1)-AM1960</x:f>
        <x:v>0</x:v>
      </x:c>
      <x:c r="M1960" s="11" t="n">
        <x:f>'管线假设'!H435</x:f>
        <x:v>0.14</x:v>
      </x:c>
      <x:c r="N1960" s="11" t="n">
        <x:f>IF(G1960,L1960*AN1960/(1+M1960)^F1960,0)</x:f>
        <x:v>0</x:v>
      </x:c>
      <x:c r="AJ1960" t="n">
        <x:v>0</x:v>
      </x:c>
      <x:c r="AK1960" t="n">
        <x:v>0</x:v>
      </x:c>
      <x:c r="AL1960" t="n">
        <x:v>0</x:v>
      </x:c>
      <x:c r="AM1960" t="n">
        <x:f>CHOOSE('假设'!$B$3,AJ1960,AK1960,AL1960)</x:f>
        <x:v>0</x:v>
      </x:c>
      <x:c r="AN1960" t="n">
        <x:v>1</x:v>
      </x:c>
    </x:row>
    <x:row r="1961" ht="23" customHeight="1">
      <x:c r="A1961" s="11" t="str">
        <x:v>688302.SH</x:v>
      </x:c>
      <x:c r="B1961" s="11" t="str">
        <x:v>三年</x:v>
      </x:c>
      <x:c r="C1961" s="11" t="str">
        <x:v>hp518_tnbc_cn</x:v>
      </x:c>
      <x:c r="D1961" s="11" t="str">
        <x:v>2033-12-31</x:v>
      </x:c>
      <x:c r="E1961" s="11" t="str">
        <x:v>CNY</x:v>
      </x:c>
      <x:c r="F1961" s="11" t="n">
        <x:v>4.227241615331964</x:v>
      </x:c>
      <x:c r="G1961" s="26" t="b">
        <x:v>1</x:v>
      </x:c>
      <x:c r="H1961" s="16" t="n">
        <x:v>0</x:v>
      </x:c>
      <x:c r="I1961" s="16" t="n">
        <x:v>0</x:v>
      </x:c>
      <x:c r="J1961" s="16" t="n">
        <x:v>0.39999999999999997</x:v>
      </x:c>
      <x:c r="K1961" s="11" t="n">
        <x:f>CHOOSE('假设'!$B$3,H1961,I1961,J1961)</x:f>
        <x:v>0</x:v>
      </x:c>
      <x:c r="L1961" s="11" t="n">
        <x:f>K1961*'管线假设'!E435*'管线假设'!F435*'管线假设'!G435*IF(E1961="USD",'管线假设'!I435,1)-AM1961</x:f>
        <x:v>0</x:v>
      </x:c>
      <x:c r="M1961" s="11" t="n">
        <x:f>'管线假设'!H435</x:f>
        <x:v>0.14</x:v>
      </x:c>
      <x:c r="N1961" s="11" t="n">
        <x:f>IF(G1961,L1961*AN1961/(1+M1961)^F1961,0)</x:f>
        <x:v>0</x:v>
      </x:c>
      <x:c r="AJ1961" t="n">
        <x:v>0</x:v>
      </x:c>
      <x:c r="AK1961" t="n">
        <x:v>0</x:v>
      </x:c>
      <x:c r="AL1961" t="n">
        <x:v>0</x:v>
      </x:c>
      <x:c r="AM1961" t="n">
        <x:f>CHOOSE('假设'!$B$3,AJ1961,AK1961,AL1961)</x:f>
        <x:v>0</x:v>
      </x:c>
      <x:c r="AN1961" t="n">
        <x:v>1</x:v>
      </x:c>
    </x:row>
    <x:row r="1962" ht="23" customHeight="1">
      <x:c r="A1962" s="11" t="str">
        <x:v>688302.SH</x:v>
      </x:c>
      <x:c r="B1962" s="11" t="str">
        <x:v>三年</x:v>
      </x:c>
      <x:c r="C1962" s="11" t="str">
        <x:v>hp518_tnbc_cn</x:v>
      </x:c>
      <x:c r="D1962" s="11" t="str">
        <x:v>2034-12-31</x:v>
      </x:c>
      <x:c r="E1962" s="11" t="str">
        <x:v>CNY</x:v>
      </x:c>
      <x:c r="F1962" s="11" t="n">
        <x:v>5.2265571526351815</x:v>
      </x:c>
      <x:c r="G1962" s="26" t="b">
        <x:v>1</x:v>
      </x:c>
      <x:c r="H1962" s="16" t="n">
        <x:v>0</x:v>
      </x:c>
      <x:c r="I1962" s="16" t="n">
        <x:v>0.09999999999999999</x:v>
      </x:c>
      <x:c r="J1962" s="16" t="n">
        <x:v>0.6</x:v>
      </x:c>
      <x:c r="K1962" s="11" t="n">
        <x:f>CHOOSE('假设'!$B$3,H1962,I1962,J1962)</x:f>
        <x:v>0.09999999999999999</x:v>
      </x:c>
      <x:c r="L1962" s="11" t="n">
        <x:f>K1962*'管线假设'!E435*'管线假设'!F435*'管线假设'!G435*IF(E1962="USD",'管线假设'!I435,1)-AM1962</x:f>
        <x:v>0.006807999999999998</x:v>
      </x:c>
      <x:c r="M1962" s="11" t="n">
        <x:f>'管线假设'!H435</x:f>
        <x:v>0.14</x:v>
      </x:c>
      <x:c r="N1962" s="11" t="n">
        <x:f>IF(G1962,L1962*AN1962/(1+M1962)^F1962,0)</x:f>
        <x:v>0.0034324410663122812</x:v>
      </x:c>
      <x:c r="AJ1962" t="n">
        <x:v>0</x:v>
      </x:c>
      <x:c r="AK1962" t="n">
        <x:v>0</x:v>
      </x:c>
      <x:c r="AL1962" t="n">
        <x:v>0</x:v>
      </x:c>
      <x:c r="AM1962" t="n">
        <x:f>CHOOSE('假设'!$B$3,AJ1962,AK1962,AL1962)</x:f>
        <x:v>0</x:v>
      </x:c>
      <x:c r="AN1962" t="n">
        <x:v>1</x:v>
      </x:c>
    </x:row>
    <x:row r="1963" ht="23" customHeight="1">
      <x:c r="A1963" s="11" t="str">
        <x:v>688302.SH</x:v>
      </x:c>
      <x:c r="B1963" s="11" t="str">
        <x:v>三年</x:v>
      </x:c>
      <x:c r="C1963" s="11" t="str">
        <x:v>hp518_tnbc_cn</x:v>
      </x:c>
      <x:c r="D1963" s="11" t="str">
        <x:v>2035-12-31</x:v>
      </x:c>
      <x:c r="E1963" s="11" t="str">
        <x:v>CNY</x:v>
      </x:c>
      <x:c r="F1963" s="11" t="n">
        <x:v>6.225872689938399</x:v>
      </x:c>
      <x:c r="G1963" s="26" t="b">
        <x:v>1</x:v>
      </x:c>
      <x:c r="H1963" s="16" t="n">
        <x:v>0</x:v>
      </x:c>
      <x:c r="I1963" s="16" t="n">
        <x:v>0.19999999999999998</x:v>
      </x:c>
      <x:c r="J1963" s="16" t="n">
        <x:v>0.7999999999999999</x:v>
      </x:c>
      <x:c r="K1963" s="11" t="n">
        <x:f>CHOOSE('假设'!$B$3,H1963,I1963,J1963)</x:f>
        <x:v>0.19999999999999998</x:v>
      </x:c>
      <x:c r="L1963" s="11" t="n">
        <x:f>K1963*'管线假设'!E435*'管线假设'!F435*'管线假设'!G435*IF(E1963="USD",'管线假设'!I435,1)-AM1963</x:f>
        <x:v>0.013615999999999996</x:v>
      </x:c>
      <x:c r="M1963" s="11" t="n">
        <x:f>'管线假设'!H435</x:f>
        <x:v>0.14</x:v>
      </x:c>
      <x:c r="N1963" s="11" t="n">
        <x:f>IF(G1963,L1963*AN1963/(1+M1963)^F1963,0)</x:f>
        <x:v>0.006022366517572814</x:v>
      </x:c>
      <x:c r="AJ1963" t="n">
        <x:v>0</x:v>
      </x:c>
      <x:c r="AK1963" t="n">
        <x:v>0</x:v>
      </x:c>
      <x:c r="AL1963" t="n">
        <x:v>0</x:v>
      </x:c>
      <x:c r="AM1963" t="n">
        <x:f>CHOOSE('假设'!$B$3,AJ1963,AK1963,AL1963)</x:f>
        <x:v>0</x:v>
      </x:c>
      <x:c r="AN1963" t="n">
        <x:v>1</x:v>
      </x:c>
    </x:row>
    <x:row r="1964" ht="23" customHeight="1">
      <x:c r="A1964" s="11" t="str">
        <x:v>688302.SH</x:v>
      </x:c>
      <x:c r="B1964" s="11" t="str">
        <x:v>三年</x:v>
      </x:c>
      <x:c r="C1964" s="11" t="str">
        <x:v>hp518_tnbc_cn</x:v>
      </x:c>
      <x:c r="D1964" s="11" t="str">
        <x:v>2036-12-31</x:v>
      </x:c>
      <x:c r="E1964" s="11" t="str">
        <x:v>CNY</x:v>
      </x:c>
      <x:c r="F1964" s="11" t="n">
        <x:v>7.227926078028747</x:v>
      </x:c>
      <x:c r="G1964" s="26" t="b">
        <x:v>1</x:v>
      </x:c>
      <x:c r="H1964" s="16" t="n">
        <x:v>0.04000000000000001</x:v>
      </x:c>
      <x:c r="I1964" s="16" t="n">
        <x:v>0.3</x:v>
      </x:c>
      <x:c r="J1964" s="16" t="n">
        <x:v>1</x:v>
      </x:c>
      <x:c r="K1964" s="11" t="n">
        <x:f>CHOOSE('假设'!$B$3,H1964,I1964,J1964)</x:f>
        <x:v>0.3</x:v>
      </x:c>
      <x:c r="L1964" s="11" t="n">
        <x:f>K1964*'管线假设'!E435*'管线假设'!F435*'管线假设'!G435*IF(E1964="USD",'管线假设'!I435,1)-AM1964</x:f>
        <x:v>0.020423999999999994</x:v>
      </x:c>
      <x:c r="M1964" s="11" t="n">
        <x:f>'管线假设'!H435</x:f>
        <x:v>0.14</x:v>
      </x:c>
      <x:c r="N1964" s="11" t="n">
        <x:f>IF(G1964,L1964*AN1964/(1+M1964)^F1964,0)</x:f>
        <x:v>0.007922034745440707</x:v>
      </x:c>
      <x:c r="AJ1964" t="n">
        <x:v>0</x:v>
      </x:c>
      <x:c r="AK1964" t="n">
        <x:v>0</x:v>
      </x:c>
      <x:c r="AL1964" t="n">
        <x:v>0</x:v>
      </x:c>
      <x:c r="AM1964" t="n">
        <x:f>CHOOSE('假设'!$B$3,AJ1964,AK1964,AL1964)</x:f>
        <x:v>0</x:v>
      </x:c>
      <x:c r="AN1964" t="n">
        <x:v>1</x:v>
      </x:c>
    </x:row>
    <x:row r="1965" ht="23" customHeight="1">
      <x:c r="A1965" s="11" t="str">
        <x:v>688302.SH</x:v>
      </x:c>
      <x:c r="B1965" s="11" t="str">
        <x:v>三年</x:v>
      </x:c>
      <x:c r="C1965" s="11" t="str">
        <x:v>hp518_tnbc_cn</x:v>
      </x:c>
      <x:c r="D1965" s="11" t="str">
        <x:v>2037-12-31</x:v>
      </x:c>
      <x:c r="E1965" s="11" t="str">
        <x:v>CNY</x:v>
      </x:c>
      <x:c r="F1965" s="11" t="n">
        <x:v>8.227241615331964</x:v>
      </x:c>
      <x:c r="G1965" s="26" t="b">
        <x:v>1</x:v>
      </x:c>
      <x:c r="H1965" s="16" t="n">
        <x:v>0.08000000000000002</x:v>
      </x:c>
      <x:c r="I1965" s="16" t="n">
        <x:v>0.39999999999999997</x:v>
      </x:c>
      <x:c r="J1965" s="16" t="n">
        <x:v>1.2</x:v>
      </x:c>
      <x:c r="K1965" s="11" t="n">
        <x:f>CHOOSE('假设'!$B$3,H1965,I1965,J1965)</x:f>
        <x:v>0.39999999999999997</x:v>
      </x:c>
      <x:c r="L1965" s="11" t="n">
        <x:f>K1965*'管线假设'!E435*'管线假设'!F435*'管线假设'!G435*IF(E1965="USD",'管线假设'!I435,1)-AM1965</x:f>
        <x:v>0.027231999999999992</x:v>
      </x:c>
      <x:c r="M1965" s="11" t="n">
        <x:f>'管线假设'!H435</x:f>
        <x:v>0.14</x:v>
      </x:c>
      <x:c r="N1965" s="11" t="n">
        <x:f>IF(G1965,L1965*AN1965/(1+M1965)^F1965,0)</x:f>
        <x:v>0.009266368721322915</x:v>
      </x:c>
      <x:c r="AJ1965" t="n">
        <x:v>0</x:v>
      </x:c>
      <x:c r="AK1965" t="n">
        <x:v>0</x:v>
      </x:c>
      <x:c r="AL1965" t="n">
        <x:v>0</x:v>
      </x:c>
      <x:c r="AM1965" t="n">
        <x:f>CHOOSE('假设'!$B$3,AJ1965,AK1965,AL1965)</x:f>
        <x:v>0</x:v>
      </x:c>
      <x:c r="AN1965" t="n">
        <x:v>1</x:v>
      </x:c>
    </x:row>
    <x:row r="1966" ht="23" customHeight="1">
      <x:c r="A1966" s="11" t="str">
        <x:v>688302.SH</x:v>
      </x:c>
      <x:c r="B1966" s="11" t="str">
        <x:v>三年</x:v>
      </x:c>
      <x:c r="C1966" s="11" t="str">
        <x:v>hp518_tnbc_cn</x:v>
      </x:c>
      <x:c r="D1966" s="11" t="str">
        <x:v>2038-12-31</x:v>
      </x:c>
      <x:c r="E1966" s="11" t="str">
        <x:v>CNY</x:v>
      </x:c>
      <x:c r="F1966" s="11" t="n">
        <x:v>9.22655715263518</x:v>
      </x:c>
      <x:c r="G1966" s="26" t="b">
        <x:v>1</x:v>
      </x:c>
      <x:c r="H1966" s="16" t="n">
        <x:v>0.12</x:v>
      </x:c>
      <x:c r="I1966" s="16" t="n">
        <x:v>0.5</x:v>
      </x:c>
      <x:c r="J1966" s="16" t="n">
        <x:v>1.044</x:v>
      </x:c>
      <x:c r="K1966" s="11" t="n">
        <x:f>CHOOSE('假设'!$B$3,H1966,I1966,J1966)</x:f>
        <x:v>0.5</x:v>
      </x:c>
      <x:c r="L1966" s="11" t="n">
        <x:f>K1966*'管线假设'!E435*'管线假设'!F435*'管线假设'!G435*IF(E1966="USD",'管线假设'!I435,1)-AM1966</x:f>
        <x:v>0.034039999999999994</x:v>
      </x:c>
      <x:c r="M1966" s="11" t="n">
        <x:f>'管线假设'!H435</x:f>
        <x:v>0.14</x:v>
      </x:c>
      <x:c r="N1966" s="11" t="n">
        <x:f>IF(G1966,L1966*AN1966/(1+M1966)^F1966,0)</x:f>
        <x:v>0.010161403292995023</x:v>
      </x:c>
      <x:c r="AJ1966" t="n">
        <x:v>0</x:v>
      </x:c>
      <x:c r="AK1966" t="n">
        <x:v>0</x:v>
      </x:c>
      <x:c r="AL1966" t="n">
        <x:v>0</x:v>
      </x:c>
      <x:c r="AM1966" t="n">
        <x:f>CHOOSE('假设'!$B$3,AJ1966,AK1966,AL1966)</x:f>
        <x:v>0</x:v>
      </x:c>
      <x:c r="AN1966" t="n">
        <x:v>1</x:v>
      </x:c>
    </x:row>
    <x:row r="1967" ht="23" customHeight="1">
      <x:c r="A1967" s="11" t="str">
        <x:v>688302.SH</x:v>
      </x:c>
      <x:c r="B1967" s="11" t="str">
        <x:v>三年</x:v>
      </x:c>
      <x:c r="C1967" s="11" t="str">
        <x:v>hp518_tnbc_cn</x:v>
      </x:c>
      <x:c r="D1967" s="11" t="str">
        <x:v>2039-12-31</x:v>
      </x:c>
      <x:c r="E1967" s="11" t="str">
        <x:v>CNY</x:v>
      </x:c>
      <x:c r="F1967" s="11" t="n">
        <x:v>10.225872689938399</x:v>
      </x:c>
      <x:c r="G1967" s="26" t="b">
        <x:v>1</x:v>
      </x:c>
      <x:c r="H1967" s="16" t="n">
        <x:v>0.16000000000000003</x:v>
      </x:c>
      <x:c r="I1967" s="16" t="n">
        <x:v>0.6</x:v>
      </x:c>
      <x:c r="J1967" s="16" t="n">
        <x:v>0.888</x:v>
      </x:c>
      <x:c r="K1967" s="11" t="n">
        <x:f>CHOOSE('假设'!$B$3,H1967,I1967,J1967)</x:f>
        <x:v>0.6</x:v>
      </x:c>
      <x:c r="L1967" s="11" t="n">
        <x:f>K1967*'管线假设'!E435*'管线假设'!F435*'管线假设'!G435*IF(E1967="USD",'管线假设'!I435,1)-AM1967</x:f>
        <x:v>0.04084799999999999</x:v>
      </x:c>
      <x:c r="M1967" s="11" t="n">
        <x:f>'管线假设'!H435</x:f>
        <x:v>0.14</x:v>
      </x:c>
      <x:c r="N1967" s="11" t="n">
        <x:f>IF(G1967,L1967*AN1967/(1+M1967)^F1967,0)</x:f>
        <x:v>0.010697173314448362</x:v>
      </x:c>
      <x:c r="AJ1967" t="n">
        <x:v>0</x:v>
      </x:c>
      <x:c r="AK1967" t="n">
        <x:v>0</x:v>
      </x:c>
      <x:c r="AL1967" t="n">
        <x:v>0</x:v>
      </x:c>
      <x:c r="AM1967" t="n">
        <x:f>CHOOSE('假设'!$B$3,AJ1967,AK1967,AL1967)</x:f>
        <x:v>0</x:v>
      </x:c>
      <x:c r="AN1967" t="n">
        <x:v>1</x:v>
      </x:c>
    </x:row>
    <x:row r="1968" ht="23" customHeight="1">
      <x:c r="A1968" s="11" t="str">
        <x:v>688302.SH</x:v>
      </x:c>
      <x:c r="B1968" s="11" t="str">
        <x:v>三年</x:v>
      </x:c>
      <x:c r="C1968" s="11" t="str">
        <x:v>hp518_tnbc_cn</x:v>
      </x:c>
      <x:c r="D1968" s="11" t="str">
        <x:v>2040-12-31</x:v>
      </x:c>
      <x:c r="E1968" s="11" t="str">
        <x:v>CNY</x:v>
      </x:c>
      <x:c r="F1968" s="11" t="n">
        <x:v>11.227926078028748</x:v>
      </x:c>
      <x:c r="G1968" s="26" t="b">
        <x:v>1</x:v>
      </x:c>
      <x:c r="H1968" s="16" t="n">
        <x:v>0.2</x:v>
      </x:c>
      <x:c r="I1968" s="16" t="n">
        <x:v>0.522</x:v>
      </x:c>
      <x:c r="J1968" s="16" t="n">
        <x:v>0.732</x:v>
      </x:c>
      <x:c r="K1968" s="11" t="n">
        <x:f>CHOOSE('假设'!$B$3,H1968,I1968,J1968)</x:f>
        <x:v>0.522</x:v>
      </x:c>
      <x:c r="L1968" s="11" t="n">
        <x:f>K1968*'管线假设'!E435*'管线假设'!F435*'管线假设'!G435*IF(E1968="USD",'管线假设'!I435,1)-AM1968</x:f>
        <x:v>0.035537759999999995</x:v>
      </x:c>
      <x:c r="M1968" s="11" t="n">
        <x:f>'管线假设'!H435</x:f>
        <x:v>0.14</x:v>
      </x:c>
      <x:c r="N1968" s="11" t="n">
        <x:f>IF(G1968,L1968*AN1968/(1+M1968)^F1968,0)</x:f>
        <x:v>0.008161436121185254</x:v>
      </x:c>
      <x:c r="AJ1968" t="n">
        <x:v>0</x:v>
      </x:c>
      <x:c r="AK1968" t="n">
        <x:v>0</x:v>
      </x:c>
      <x:c r="AL1968" t="n">
        <x:v>0</x:v>
      </x:c>
      <x:c r="AM1968" t="n">
        <x:f>CHOOSE('假设'!$B$3,AJ1968,AK1968,AL1968)</x:f>
        <x:v>0</x:v>
      </x:c>
      <x:c r="AN1968" t="n">
        <x:v>1</x:v>
      </x:c>
    </x:row>
    <x:row r="1969" ht="23" customHeight="1">
      <x:c r="A1969" s="11" t="str">
        <x:v>688302.SH</x:v>
      </x:c>
      <x:c r="B1969" s="11" t="str">
        <x:v>三年</x:v>
      </x:c>
      <x:c r="C1969" s="11" t="str">
        <x:v>hp518_tnbc_cn</x:v>
      </x:c>
      <x:c r="D1969" s="11" t="str">
        <x:v>2041-12-31</x:v>
      </x:c>
      <x:c r="E1969" s="11" t="str">
        <x:v>CNY</x:v>
      </x:c>
      <x:c r="F1969" s="11" t="n">
        <x:v>12.227241615331964</x:v>
      </x:c>
      <x:c r="G1969" s="26" t="b">
        <x:v>1</x:v>
      </x:c>
      <x:c r="H1969" s="16" t="n">
        <x:v>0.17400000000000002</x:v>
      </x:c>
      <x:c r="I1969" s="16" t="n">
        <x:v>0.444</x:v>
      </x:c>
      <x:c r="J1969" s="16" t="n">
        <x:v>0.576</x:v>
      </x:c>
      <x:c r="K1969" s="11" t="n">
        <x:f>CHOOSE('假设'!$B$3,H1969,I1969,J1969)</x:f>
        <x:v>0.444</x:v>
      </x:c>
      <x:c r="L1969" s="11" t="n">
        <x:f>K1969*'管线假设'!E435*'管线假设'!F435*'管线假设'!G435*IF(E1969="USD",'管线假设'!I435,1)-AM1969</x:f>
        <x:v>0.03022751999999999</x:v>
      </x:c>
      <x:c r="M1969" s="11" t="n">
        <x:f>'管线假设'!H435</x:f>
        <x:v>0.14</x:v>
      </x:c>
      <x:c r="N1969" s="11" t="n">
        <x:f>IF(G1969,L1969*AN1969/(1+M1969)^F1969,0)</x:f>
        <x:v>0.006089941920636204</x:v>
      </x:c>
      <x:c r="AJ1969" t="n">
        <x:v>0</x:v>
      </x:c>
      <x:c r="AK1969" t="n">
        <x:v>0</x:v>
      </x:c>
      <x:c r="AL1969" t="n">
        <x:v>0</x:v>
      </x:c>
      <x:c r="AM1969" t="n">
        <x:f>CHOOSE('假设'!$B$3,AJ1969,AK1969,AL1969)</x:f>
        <x:v>0</x:v>
      </x:c>
      <x:c r="AN1969" t="n">
        <x:v>1</x:v>
      </x:c>
    </x:row>
    <x:row r="1970" ht="23" customHeight="1">
      <x:c r="A1970" s="11" t="str">
        <x:v>688302.SH</x:v>
      </x:c>
      <x:c r="B1970" s="11" t="str">
        <x:v>三年</x:v>
      </x:c>
      <x:c r="C1970" s="11" t="str">
        <x:v>hp518_tnbc_cn</x:v>
      </x:c>
      <x:c r="D1970" s="11" t="str">
        <x:v>2042-12-31</x:v>
      </x:c>
      <x:c r="E1970" s="11" t="str">
        <x:v>CNY</x:v>
      </x:c>
      <x:c r="F1970" s="11" t="n">
        <x:v>13.22655715263518</x:v>
      </x:c>
      <x:c r="G1970" s="26" t="b">
        <x:v>1</x:v>
      </x:c>
      <x:c r="H1970" s="16" t="n">
        <x:v>0.148</x:v>
      </x:c>
      <x:c r="I1970" s="16" t="n">
        <x:v>0.366</x:v>
      </x:c>
      <x:c r="J1970" s="16" t="n">
        <x:v>0.42</x:v>
      </x:c>
      <x:c r="K1970" s="11" t="n">
        <x:f>CHOOSE('假设'!$B$3,H1970,I1970,J1970)</x:f>
        <x:v>0.366</x:v>
      </x:c>
      <x:c r="L1970" s="11" t="n">
        <x:f>K1970*'管线假设'!E435*'管线假设'!F435*'管线假设'!G435*IF(E1970="USD",'管线假设'!I435,1)-AM1970</x:f>
        <x:v>0.024917279999999997</x:v>
      </x:c>
      <x:c r="M1970" s="11" t="n">
        <x:f>'管线假设'!H435</x:f>
        <x:v>0.14</x:v>
      </x:c>
      <x:c r="N1970" s="11" t="n">
        <x:f>IF(G1970,L1970*AN1970/(1+M1970)^F1970,0)</x:f>
        <x:v>0.004403980263496775</x:v>
      </x:c>
      <x:c r="AJ1970" t="n">
        <x:v>0</x:v>
      </x:c>
      <x:c r="AK1970" t="n">
        <x:v>0</x:v>
      </x:c>
      <x:c r="AL1970" t="n">
        <x:v>0</x:v>
      </x:c>
      <x:c r="AM1970" t="n">
        <x:f>CHOOSE('假设'!$B$3,AJ1970,AK1970,AL1970)</x:f>
        <x:v>0</x:v>
      </x:c>
      <x:c r="AN1970" t="n">
        <x:v>1</x:v>
      </x:c>
    </x:row>
    <x:row r="1971" ht="23" customHeight="1">
      <x:c r="A1971" s="11" t="str">
        <x:v>688302.SH</x:v>
      </x:c>
      <x:c r="B1971" s="11" t="str">
        <x:v>三年</x:v>
      </x:c>
      <x:c r="C1971" s="11" t="str">
        <x:v>hp518_tnbc_cn</x:v>
      </x:c>
      <x:c r="D1971" s="11" t="str">
        <x:v>2043-12-31</x:v>
      </x:c>
      <x:c r="E1971" s="11" t="str">
        <x:v>CNY</x:v>
      </x:c>
      <x:c r="F1971" s="11" t="n">
        <x:v>14.225872689938399</x:v>
      </x:c>
      <x:c r="G1971" s="26" t="b">
        <x:v>1</x:v>
      </x:c>
      <x:c r="H1971" s="16" t="n">
        <x:v>0.122</x:v>
      </x:c>
      <x:c r="I1971" s="16" t="n">
        <x:v>0.288</x:v>
      </x:c>
      <x:c r="J1971" s="16" t="n">
        <x:v>0.26399999999999996</x:v>
      </x:c>
      <x:c r="K1971" s="11" t="n">
        <x:f>CHOOSE('假设'!$B$3,H1971,I1971,J1971)</x:f>
        <x:v>0.288</x:v>
      </x:c>
      <x:c r="L1971" s="11" t="n">
        <x:f>K1971*'管线假设'!E435*'管线假设'!F435*'管线假设'!G435*IF(E1971="USD",'管线假设'!I435,1)-AM1971</x:f>
        <x:v>0.019607039999999996</x:v>
      </x:c>
      <x:c r="M1971" s="11" t="n">
        <x:f>'管线假设'!H435</x:f>
        <x:v>0.14</x:v>
      </x:c>
      <x:c r="N1971" s="11" t="n">
        <x:f>IF(G1971,L1971*AN1971/(1+M1971)^F1971,0)</x:f>
        <x:v>0.0030401209646858758</x:v>
      </x:c>
      <x:c r="AJ1971" t="n">
        <x:v>0</x:v>
      </x:c>
      <x:c r="AK1971" t="n">
        <x:v>0</x:v>
      </x:c>
      <x:c r="AL1971" t="n">
        <x:v>0</x:v>
      </x:c>
      <x:c r="AM1971" t="n">
        <x:f>CHOOSE('假设'!$B$3,AJ1971,AK1971,AL1971)</x:f>
        <x:v>0</x:v>
      </x:c>
      <x:c r="AN1971" t="n">
        <x:v>1</x:v>
      </x:c>
    </x:row>
    <x:row r="1972" ht="23" customHeight="1">
      <x:c r="A1972" s="11" t="str">
        <x:v>688302.SH</x:v>
      </x:c>
      <x:c r="B1972" s="11" t="str">
        <x:v>三年</x:v>
      </x:c>
      <x:c r="C1972" s="11" t="str">
        <x:v>hp518_tnbc_cn</x:v>
      </x:c>
      <x:c r="D1972" s="11" t="str">
        <x:v>2044-12-31</x:v>
      </x:c>
      <x:c r="E1972" s="11" t="str">
        <x:v>CNY</x:v>
      </x:c>
      <x:c r="F1972" s="11" t="n">
        <x:v>15.227926078028748</x:v>
      </x:c>
      <x:c r="G1972" s="26" t="b">
        <x:v>1</x:v>
      </x:c>
      <x:c r="H1972" s="16" t="n">
        <x:v>0.096</x:v>
      </x:c>
      <x:c r="I1972" s="16" t="n">
        <x:v>0.21</x:v>
      </x:c>
      <x:c r="J1972" s="16" t="n">
        <x:v>0.10799999999999996</x:v>
      </x:c>
      <x:c r="K1972" s="11" t="n">
        <x:f>CHOOSE('假设'!$B$3,H1972,I1972,J1972)</x:f>
        <x:v>0.21</x:v>
      </x:c>
      <x:c r="L1972" s="11" t="n">
        <x:f>K1972*'管线假设'!E435*'管线假设'!F435*'管线假设'!G435*IF(E1972="USD",'管线假设'!I435,1)-AM1972</x:f>
        <x:v>0.014296799999999997</x:v>
      </x:c>
      <x:c r="M1972" s="11" t="n">
        <x:f>'管线假设'!H435</x:f>
        <x:v>0.14</x:v>
      </x:c>
      <x:c r="N1972" s="11" t="n">
        <x:f>IF(G1972,L1972*AN1972/(1+M1972)^F1972,0)</x:f>
        <x:v>0.0019439987089996055</x:v>
      </x:c>
      <x:c r="AJ1972" t="n">
        <x:v>0</x:v>
      </x:c>
      <x:c r="AK1972" t="n">
        <x:v>0</x:v>
      </x:c>
      <x:c r="AL1972" t="n">
        <x:v>0</x:v>
      </x:c>
      <x:c r="AM1972" t="n">
        <x:f>CHOOSE('假设'!$B$3,AJ1972,AK1972,AL1972)</x:f>
        <x:v>0</x:v>
      </x:c>
      <x:c r="AN1972" t="n">
        <x:v>1</x:v>
      </x:c>
    </x:row>
    <x:row r="1973" ht="23" customHeight="1">
      <x:c r="A1973" s="11" t="str">
        <x:v>688302.SH</x:v>
      </x:c>
      <x:c r="B1973" s="11" t="str">
        <x:v>三年</x:v>
      </x:c>
      <x:c r="C1973" s="11" t="str">
        <x:v>hp518_tnbc_cn</x:v>
      </x:c>
      <x:c r="D1973" s="11" t="str">
        <x:v>2045-12-31</x:v>
      </x:c>
      <x:c r="E1973" s="11" t="str">
        <x:v>CNY</x:v>
      </x:c>
      <x:c r="F1973" s="11" t="n">
        <x:v>16.227241615331966</x:v>
      </x:c>
      <x:c r="G1973" s="26" t="b">
        <x:v>1</x:v>
      </x:c>
      <x:c r="H1973" s="16" t="n">
        <x:v>0.06999999999999999</x:v>
      </x:c>
      <x:c r="I1973" s="16" t="n">
        <x:v>0.13199999999999998</x:v>
      </x:c>
      <x:c r="J1973" s="16" t="n">
        <x:v>0</x:v>
      </x:c>
      <x:c r="K1973" s="11" t="n">
        <x:f>CHOOSE('假设'!$B$3,H1973,I1973,J1973)</x:f>
        <x:v>0.13199999999999998</x:v>
      </x:c>
      <x:c r="L1973" s="11" t="n">
        <x:f>K1973*'管线假设'!E435*'管线假设'!F435*'管线假设'!G435*IF(E1973="USD",'管线假设'!I435,1)-AM1973</x:f>
        <x:v>0.008986559999999996</x:v>
      </x:c>
      <x:c r="M1973" s="11" t="n">
        <x:f>'管线假设'!H435</x:f>
        <x:v>0.14</x:v>
      </x:c>
      <x:c r="N1973" s="11" t="n">
        <x:f>IF(G1973,L1973*AN1973/(1+M1973)^F1973,0)</x:f>
        <x:v>0.0010719751220790513</x:v>
      </x:c>
      <x:c r="AJ1973" t="n">
        <x:v>0</x:v>
      </x:c>
      <x:c r="AK1973" t="n">
        <x:v>0</x:v>
      </x:c>
      <x:c r="AL1973" t="n">
        <x:v>0</x:v>
      </x:c>
      <x:c r="AM1973" t="n">
        <x:f>CHOOSE('假设'!$B$3,AJ1973,AK1973,AL1973)</x:f>
        <x:v>0</x:v>
      </x:c>
      <x:c r="AN1973" t="n">
        <x:v>1</x:v>
      </x:c>
    </x:row>
    <x:row r="1974" ht="23" customHeight="1">
      <x:c r="A1974" s="11" t="str">
        <x:v>688302.SH</x:v>
      </x:c>
      <x:c r="B1974" s="11" t="str">
        <x:v>三年</x:v>
      </x:c>
      <x:c r="C1974" s="11" t="str">
        <x:v>hp518_tnbc_global</x:v>
      </x:c>
      <x:c r="D1974" s="11" t="str">
        <x:v>2027-12-31</x:v>
      </x:c>
      <x:c r="E1974" s="11" t="str">
        <x:v>USD</x:v>
      </x:c>
      <x:c r="F1974" s="11" t="n">
        <x:v>-1.7741273100616017</x:v>
      </x:c>
      <x:c r="G1974" s="26" t="b">
        <x:v>0</x:v>
      </x:c>
      <x:c r="H1974" s="16" t="n">
        <x:v>0</x:v>
      </x:c>
      <x:c r="I1974" s="16" t="n">
        <x:v>0</x:v>
      </x:c>
      <x:c r="J1974" s="16" t="n">
        <x:v>0</x:v>
      </x:c>
      <x:c r="K1974" s="11" t="n">
        <x:f>CHOOSE('假设'!$B$3,H1974,I1974,J1974)</x:f>
        <x:v>0</x:v>
      </x:c>
      <x:c r="L1974" s="11" t="n">
        <x:f>K1974*'管线假设'!E439*'管线假设'!F439*'管线假设'!G439*IF(E1974="USD",'管线假设'!I439,1)-AM1974</x:f>
        <x:v>0</x:v>
      </x:c>
      <x:c r="M1974" s="11" t="n">
        <x:f>'管线假设'!H439</x:f>
        <x:v>0.14</x:v>
      </x:c>
      <x:c r="N1974" s="11" t="n">
        <x:f>IF(G1974,L1974*AN1974/(1+M1974)^F1974,0)</x:f>
        <x:v>0</x:v>
      </x:c>
      <x:c r="AJ1974" t="n">
        <x:v>0</x:v>
      </x:c>
      <x:c r="AK1974" t="n">
        <x:v>0</x:v>
      </x:c>
      <x:c r="AL1974" t="n">
        <x:v>0</x:v>
      </x:c>
      <x:c r="AM1974" t="n">
        <x:f>CHOOSE('假设'!$B$3,AJ1974,AK1974,AL1974)</x:f>
        <x:v>0</x:v>
      </x:c>
      <x:c r="AN1974" t="n">
        <x:v>1</x:v>
      </x:c>
    </x:row>
    <x:row r="1975" ht="23" customHeight="1">
      <x:c r="A1975" s="11" t="str">
        <x:v>688302.SH</x:v>
      </x:c>
      <x:c r="B1975" s="11" t="str">
        <x:v>三年</x:v>
      </x:c>
      <x:c r="C1975" s="11" t="str">
        <x:v>hp518_tnbc_global</x:v>
      </x:c>
      <x:c r="D1975" s="11" t="str">
        <x:v>2028-12-31</x:v>
      </x:c>
      <x:c r="E1975" s="11" t="str">
        <x:v>USD</x:v>
      </x:c>
      <x:c r="F1975" s="11" t="n">
        <x:v>-0.7720739219712526</x:v>
      </x:c>
      <x:c r="G1975" s="26" t="b">
        <x:v>0</x:v>
      </x:c>
      <x:c r="H1975" s="16" t="n">
        <x:v>0</x:v>
      </x:c>
      <x:c r="I1975" s="16" t="n">
        <x:v>0</x:v>
      </x:c>
      <x:c r="J1975" s="16" t="n">
        <x:v>0</x:v>
      </x:c>
      <x:c r="K1975" s="11" t="n">
        <x:f>CHOOSE('假设'!$B$3,H1975,I1975,J1975)</x:f>
        <x:v>0</x:v>
      </x:c>
      <x:c r="L1975" s="11" t="n">
        <x:f>K1975*'管线假设'!E439*'管线假设'!F439*'管线假设'!G439*IF(E1975="USD",'管线假设'!I439,1)-AM1975</x:f>
        <x:v>0</x:v>
      </x:c>
      <x:c r="M1975" s="11" t="n">
        <x:f>'管线假设'!H439</x:f>
        <x:v>0.14</x:v>
      </x:c>
      <x:c r="N1975" s="11" t="n">
        <x:f>IF(G1975,L1975*AN1975/(1+M1975)^F1975,0)</x:f>
        <x:v>0</x:v>
      </x:c>
      <x:c r="AJ1975" t="n">
        <x:v>0</x:v>
      </x:c>
      <x:c r="AK1975" t="n">
        <x:v>0</x:v>
      </x:c>
      <x:c r="AL1975" t="n">
        <x:v>0</x:v>
      </x:c>
      <x:c r="AM1975" t="n">
        <x:f>CHOOSE('假设'!$B$3,AJ1975,AK1975,AL1975)</x:f>
        <x:v>0</x:v>
      </x:c>
      <x:c r="AN1975" t="n">
        <x:v>1</x:v>
      </x:c>
    </x:row>
    <x:row r="1976" ht="23" customHeight="1">
      <x:c r="A1976" s="11" t="str">
        <x:v>688302.SH</x:v>
      </x:c>
      <x:c r="B1976" s="11" t="str">
        <x:v>三年</x:v>
      </x:c>
      <x:c r="C1976" s="11" t="str">
        <x:v>hp518_tnbc_global</x:v>
      </x:c>
      <x:c r="D1976" s="11" t="str">
        <x:v>2029-12-31</x:v>
      </x:c>
      <x:c r="E1976" s="11" t="str">
        <x:v>USD</x:v>
      </x:c>
      <x:c r="F1976" s="11" t="n">
        <x:v>0.2272416153319644</x:v>
      </x:c>
      <x:c r="G1976" s="26" t="b">
        <x:v>1</x:v>
      </x:c>
      <x:c r="H1976" s="16" t="n">
        <x:v>0</x:v>
      </x:c>
      <x:c r="I1976" s="16" t="n">
        <x:v>0</x:v>
      </x:c>
      <x:c r="J1976" s="16" t="n">
        <x:v>0</x:v>
      </x:c>
      <x:c r="K1976" s="11" t="n">
        <x:f>CHOOSE('假设'!$B$3,H1976,I1976,J1976)</x:f>
        <x:v>0</x:v>
      </x:c>
      <x:c r="L1976" s="11" t="n">
        <x:f>K1976*'管线假设'!E439*'管线假设'!F439*'管线假设'!G439*IF(E1976="USD",'管线假设'!I439,1)-AM1976</x:f>
        <x:v>0</x:v>
      </x:c>
      <x:c r="M1976" s="11" t="n">
        <x:f>'管线假设'!H439</x:f>
        <x:v>0.14</x:v>
      </x:c>
      <x:c r="N1976" s="11" t="n">
        <x:f>IF(G1976,L1976*AN1976/(1+M1976)^F1976,0)</x:f>
        <x:v>0</x:v>
      </x:c>
      <x:c r="AJ1976" t="n">
        <x:v>0</x:v>
      </x:c>
      <x:c r="AK1976" t="n">
        <x:v>0</x:v>
      </x:c>
      <x:c r="AL1976" t="n">
        <x:v>0</x:v>
      </x:c>
      <x:c r="AM1976" t="n">
        <x:f>CHOOSE('假设'!$B$3,AJ1976,AK1976,AL1976)</x:f>
        <x:v>0</x:v>
      </x:c>
      <x:c r="AN1976" t="n">
        <x:v>1</x:v>
      </x:c>
    </x:row>
    <x:row r="1977" ht="23" customHeight="1">
      <x:c r="A1977" s="11" t="str">
        <x:v>688302.SH</x:v>
      </x:c>
      <x:c r="B1977" s="11" t="str">
        <x:v>三年</x:v>
      </x:c>
      <x:c r="C1977" s="11" t="str">
        <x:v>hp518_tnbc_global</x:v>
      </x:c>
      <x:c r="D1977" s="11" t="str">
        <x:v>2030-12-31</x:v>
      </x:c>
      <x:c r="E1977" s="11" t="str">
        <x:v>USD</x:v>
      </x:c>
      <x:c r="F1977" s="11" t="n">
        <x:v>1.2265571526351813</x:v>
      </x:c>
      <x:c r="G1977" s="26" t="b">
        <x:v>1</x:v>
      </x:c>
      <x:c r="H1977" s="16" t="n">
        <x:v>0</x:v>
      </x:c>
      <x:c r="I1977" s="16" t="n">
        <x:v>0</x:v>
      </x:c>
      <x:c r="J1977" s="16" t="n">
        <x:v>0</x:v>
      </x:c>
      <x:c r="K1977" s="11" t="n">
        <x:f>CHOOSE('假设'!$B$3,H1977,I1977,J1977)</x:f>
        <x:v>0</x:v>
      </x:c>
      <x:c r="L1977" s="11" t="n">
        <x:f>K1977*'管线假设'!E439*'管线假设'!F439*'管线假设'!G439*IF(E1977="USD",'管线假设'!I439,1)-AM1977</x:f>
        <x:v>0</x:v>
      </x:c>
      <x:c r="M1977" s="11" t="n">
        <x:f>'管线假设'!H439</x:f>
        <x:v>0.14</x:v>
      </x:c>
      <x:c r="N1977" s="11" t="n">
        <x:f>IF(G1977,L1977*AN1977/(1+M1977)^F1977,0)</x:f>
        <x:v>0</x:v>
      </x:c>
      <x:c r="AJ1977" t="n">
        <x:v>0</x:v>
      </x:c>
      <x:c r="AK1977" t="n">
        <x:v>0</x:v>
      </x:c>
      <x:c r="AL1977" t="n">
        <x:v>0</x:v>
      </x:c>
      <x:c r="AM1977" t="n">
        <x:f>CHOOSE('假设'!$B$3,AJ1977,AK1977,AL1977)</x:f>
        <x:v>0</x:v>
      </x:c>
      <x:c r="AN1977" t="n">
        <x:v>1</x:v>
      </x:c>
    </x:row>
    <x:row r="1978" ht="23" customHeight="1">
      <x:c r="A1978" s="11" t="str">
        <x:v>688302.SH</x:v>
      </x:c>
      <x:c r="B1978" s="11" t="str">
        <x:v>三年</x:v>
      </x:c>
      <x:c r="C1978" s="11" t="str">
        <x:v>hp518_tnbc_global</x:v>
      </x:c>
      <x:c r="D1978" s="11" t="str">
        <x:v>2031-12-31</x:v>
      </x:c>
      <x:c r="E1978" s="11" t="str">
        <x:v>USD</x:v>
      </x:c>
      <x:c r="F1978" s="11" t="n">
        <x:v>2.2258726899383983</x:v>
      </x:c>
      <x:c r="G1978" s="26" t="b">
        <x:v>1</x:v>
      </x:c>
      <x:c r="H1978" s="16" t="n">
        <x:v>0</x:v>
      </x:c>
      <x:c r="I1978" s="16" t="n">
        <x:v>0</x:v>
      </x:c>
      <x:c r="J1978" s="16" t="n">
        <x:v>0</x:v>
      </x:c>
      <x:c r="K1978" s="11" t="n">
        <x:f>CHOOSE('假设'!$B$3,H1978,I1978,J1978)</x:f>
        <x:v>0</x:v>
      </x:c>
      <x:c r="L1978" s="11" t="n">
        <x:f>K1978*'管线假设'!E439*'管线假设'!F439*'管线假设'!G439*IF(E1978="USD",'管线假设'!I439,1)-AM1978</x:f>
        <x:v>0</x:v>
      </x:c>
      <x:c r="M1978" s="11" t="n">
        <x:f>'管线假设'!H439</x:f>
        <x:v>0.14</x:v>
      </x:c>
      <x:c r="N1978" s="11" t="n">
        <x:f>IF(G1978,L1978*AN1978/(1+M1978)^F1978,0)</x:f>
        <x:v>0</x:v>
      </x:c>
      <x:c r="AJ1978" t="n">
        <x:v>0</x:v>
      </x:c>
      <x:c r="AK1978" t="n">
        <x:v>0</x:v>
      </x:c>
      <x:c r="AL1978" t="n">
        <x:v>0</x:v>
      </x:c>
      <x:c r="AM1978" t="n">
        <x:f>CHOOSE('假设'!$B$3,AJ1978,AK1978,AL1978)</x:f>
        <x:v>0</x:v>
      </x:c>
      <x:c r="AN1978" t="n">
        <x:v>1</x:v>
      </x:c>
    </x:row>
    <x:row r="1979" ht="23" customHeight="1">
      <x:c r="A1979" s="11" t="str">
        <x:v>688302.SH</x:v>
      </x:c>
      <x:c r="B1979" s="11" t="str">
        <x:v>三年</x:v>
      </x:c>
      <x:c r="C1979" s="11" t="str">
        <x:v>hp518_tnbc_global</x:v>
      </x:c>
      <x:c r="D1979" s="11" t="str">
        <x:v>2032-12-31</x:v>
      </x:c>
      <x:c r="E1979" s="11" t="str">
        <x:v>USD</x:v>
      </x:c>
      <x:c r="F1979" s="11" t="n">
        <x:v>3.2279260780287475</x:v>
      </x:c>
      <x:c r="G1979" s="26" t="b">
        <x:v>1</x:v>
      </x:c>
      <x:c r="H1979" s="16" t="n">
        <x:v>0</x:v>
      </x:c>
      <x:c r="I1979" s="16" t="n">
        <x:v>0</x:v>
      </x:c>
      <x:c r="J1979" s="16" t="n">
        <x:v>0</x:v>
      </x:c>
      <x:c r="K1979" s="11" t="n">
        <x:f>CHOOSE('假设'!$B$3,H1979,I1979,J1979)</x:f>
        <x:v>0</x:v>
      </x:c>
      <x:c r="L1979" s="11" t="n">
        <x:f>K1979*'管线假设'!E439*'管线假设'!F439*'管线假设'!G439*IF(E1979="USD",'管线假设'!I439,1)-AM1979</x:f>
        <x:v>0</x:v>
      </x:c>
      <x:c r="M1979" s="11" t="n">
        <x:f>'管线假设'!H439</x:f>
        <x:v>0.14</x:v>
      </x:c>
      <x:c r="N1979" s="11" t="n">
        <x:f>IF(G1979,L1979*AN1979/(1+M1979)^F1979,0)</x:f>
        <x:v>0</x:v>
      </x:c>
      <x:c r="AJ1979" t="n">
        <x:v>0</x:v>
      </x:c>
      <x:c r="AK1979" t="n">
        <x:v>0</x:v>
      </x:c>
      <x:c r="AL1979" t="n">
        <x:v>0</x:v>
      </x:c>
      <x:c r="AM1979" t="n">
        <x:f>CHOOSE('假设'!$B$3,AJ1979,AK1979,AL1979)</x:f>
        <x:v>0</x:v>
      </x:c>
      <x:c r="AN1979" t="n">
        <x:v>1</x:v>
      </x:c>
    </x:row>
    <x:row r="1980" ht="23" customHeight="1">
      <x:c r="A1980" s="11" t="str">
        <x:v>688302.SH</x:v>
      </x:c>
      <x:c r="B1980" s="11" t="str">
        <x:v>三年</x:v>
      </x:c>
      <x:c r="C1980" s="11" t="str">
        <x:v>hp518_tnbc_global</x:v>
      </x:c>
      <x:c r="D1980" s="11" t="str">
        <x:v>2033-12-31</x:v>
      </x:c>
      <x:c r="E1980" s="11" t="str">
        <x:v>USD</x:v>
      </x:c>
      <x:c r="F1980" s="11" t="n">
        <x:v>4.227241615331964</x:v>
      </x:c>
      <x:c r="G1980" s="26" t="b">
        <x:v>1</x:v>
      </x:c>
      <x:c r="H1980" s="16" t="n">
        <x:v>0</x:v>
      </x:c>
      <x:c r="I1980" s="16" t="n">
        <x:v>0</x:v>
      </x:c>
      <x:c r="J1980" s="16" t="n">
        <x:v>0.3</x:v>
      </x:c>
      <x:c r="K1980" s="11" t="n">
        <x:f>CHOOSE('假设'!$B$3,H1980,I1980,J1980)</x:f>
        <x:v>0</x:v>
      </x:c>
      <x:c r="L1980" s="11" t="n">
        <x:f>K1980*'管线假设'!E439*'管线假设'!F439*'管线假设'!G439*IF(E1980="USD",'管线假设'!I439,1)-AM1980</x:f>
        <x:v>0</x:v>
      </x:c>
      <x:c r="M1980" s="11" t="n">
        <x:f>'管线假设'!H439</x:f>
        <x:v>0.14</x:v>
      </x:c>
      <x:c r="N1980" s="11" t="n">
        <x:f>IF(G1980,L1980*AN1980/(1+M1980)^F1980,0)</x:f>
        <x:v>0</x:v>
      </x:c>
      <x:c r="AJ1980" t="n">
        <x:v>0</x:v>
      </x:c>
      <x:c r="AK1980" t="n">
        <x:v>0</x:v>
      </x:c>
      <x:c r="AL1980" t="n">
        <x:v>0</x:v>
      </x:c>
      <x:c r="AM1980" t="n">
        <x:f>CHOOSE('假设'!$B$3,AJ1980,AK1980,AL1980)</x:f>
        <x:v>0</x:v>
      </x:c>
      <x:c r="AN1980" t="n">
        <x:v>1</x:v>
      </x:c>
    </x:row>
    <x:row r="1981" ht="23" customHeight="1">
      <x:c r="A1981" s="11" t="str">
        <x:v>688302.SH</x:v>
      </x:c>
      <x:c r="B1981" s="11" t="str">
        <x:v>三年</x:v>
      </x:c>
      <x:c r="C1981" s="11" t="str">
        <x:v>hp518_tnbc_global</x:v>
      </x:c>
      <x:c r="D1981" s="11" t="str">
        <x:v>2034-12-31</x:v>
      </x:c>
      <x:c r="E1981" s="11" t="str">
        <x:v>USD</x:v>
      </x:c>
      <x:c r="F1981" s="11" t="n">
        <x:v>5.2265571526351815</x:v>
      </x:c>
      <x:c r="G1981" s="26" t="b">
        <x:v>1</x:v>
      </x:c>
      <x:c r="H1981" s="16" t="n">
        <x:v>0</x:v>
      </x:c>
      <x:c r="I1981" s="16" t="n">
        <x:v>0</x:v>
      </x:c>
      <x:c r="J1981" s="16" t="n">
        <x:v>0.6</x:v>
      </x:c>
      <x:c r="K1981" s="11" t="n">
        <x:f>CHOOSE('假设'!$B$3,H1981,I1981,J1981)</x:f>
        <x:v>0</x:v>
      </x:c>
      <x:c r="L1981" s="11" t="n">
        <x:f>K1981*'管线假设'!E439*'管线假设'!F439*'管线假设'!G439*IF(E1981="USD",'管线假设'!I439,1)-AM1981</x:f>
        <x:v>0</x:v>
      </x:c>
      <x:c r="M1981" s="11" t="n">
        <x:f>'管线假设'!H439</x:f>
        <x:v>0.14</x:v>
      </x:c>
      <x:c r="N1981" s="11" t="n">
        <x:f>IF(G1981,L1981*AN1981/(1+M1981)^F1981,0)</x:f>
        <x:v>0</x:v>
      </x:c>
      <x:c r="AJ1981" t="n">
        <x:v>0</x:v>
      </x:c>
      <x:c r="AK1981" t="n">
        <x:v>0</x:v>
      </x:c>
      <x:c r="AL1981" t="n">
        <x:v>0</x:v>
      </x:c>
      <x:c r="AM1981" t="n">
        <x:f>CHOOSE('假设'!$B$3,AJ1981,AK1981,AL1981)</x:f>
        <x:v>0</x:v>
      </x:c>
      <x:c r="AN1981" t="n">
        <x:v>1</x:v>
      </x:c>
    </x:row>
    <x:row r="1982" ht="23" customHeight="1">
      <x:c r="A1982" s="11" t="str">
        <x:v>688302.SH</x:v>
      </x:c>
      <x:c r="B1982" s="11" t="str">
        <x:v>三年</x:v>
      </x:c>
      <x:c r="C1982" s="11" t="str">
        <x:v>hp518_tnbc_global</x:v>
      </x:c>
      <x:c r="D1982" s="11" t="str">
        <x:v>2035-12-31</x:v>
      </x:c>
      <x:c r="E1982" s="11" t="str">
        <x:v>USD</x:v>
      </x:c>
      <x:c r="F1982" s="11" t="n">
        <x:v>6.225872689938399</x:v>
      </x:c>
      <x:c r="G1982" s="26" t="b">
        <x:v>1</x:v>
      </x:c>
      <x:c r="H1982" s="16" t="n">
        <x:v>0</x:v>
      </x:c>
      <x:c r="I1982" s="16" t="n">
        <x:v>0.15</x:v>
      </x:c>
      <x:c r="J1982" s="16" t="n">
        <x:v>0.9</x:v>
      </x:c>
      <x:c r="K1982" s="11" t="n">
        <x:f>CHOOSE('假设'!$B$3,H1982,I1982,J1982)</x:f>
        <x:v>0.15</x:v>
      </x:c>
      <x:c r="L1982" s="11" t="n">
        <x:f>K1982*'管线假设'!E439*'管线假设'!F439*'管线假设'!G439*IF(E1982="USD",'管线假设'!I439,1)-AM1982</x:f>
        <x:v>0.021077279999999993</x:v>
      </x:c>
      <x:c r="M1982" s="11" t="n">
        <x:f>'管线假设'!H439</x:f>
        <x:v>0.14</x:v>
      </x:c>
      <x:c r="N1982" s="11" t="n">
        <x:f>IF(G1982,L1982*AN1982/(1+M1982)^F1982,0)</x:f>
        <x:v>0.009322495986597174</x:v>
      </x:c>
      <x:c r="AJ1982" t="n">
        <x:v>0</x:v>
      </x:c>
      <x:c r="AK1982" t="n">
        <x:v>0</x:v>
      </x:c>
      <x:c r="AL1982" t="n">
        <x:v>0</x:v>
      </x:c>
      <x:c r="AM1982" t="n">
        <x:f>CHOOSE('假设'!$B$3,AJ1982,AK1982,AL1982)</x:f>
        <x:v>0</x:v>
      </x:c>
      <x:c r="AN1982" t="n">
        <x:v>1</x:v>
      </x:c>
    </x:row>
    <x:row r="1983" ht="23" customHeight="1">
      <x:c r="A1983" s="11" t="str">
        <x:v>688302.SH</x:v>
      </x:c>
      <x:c r="B1983" s="11" t="str">
        <x:v>三年</x:v>
      </x:c>
      <x:c r="C1983" s="11" t="str">
        <x:v>hp518_tnbc_global</x:v>
      </x:c>
      <x:c r="D1983" s="11" t="str">
        <x:v>2036-12-31</x:v>
      </x:c>
      <x:c r="E1983" s="11" t="str">
        <x:v>USD</x:v>
      </x:c>
      <x:c r="F1983" s="11" t="n">
        <x:v>7.227926078028747</x:v>
      </x:c>
      <x:c r="G1983" s="26" t="b">
        <x:v>1</x:v>
      </x:c>
      <x:c r="H1983" s="16" t="n">
        <x:v>0</x:v>
      </x:c>
      <x:c r="I1983" s="16" t="n">
        <x:v>0.3</x:v>
      </x:c>
      <x:c r="J1983" s="16" t="n">
        <x:v>1.2</x:v>
      </x:c>
      <x:c r="K1983" s="11" t="n">
        <x:f>CHOOSE('假设'!$B$3,H1983,I1983,J1983)</x:f>
        <x:v>0.3</x:v>
      </x:c>
      <x:c r="L1983" s="11" t="n">
        <x:f>K1983*'管线假设'!E439*'管线假设'!F439*'管线假设'!G439*IF(E1983="USD",'管线假设'!I439,1)-AM1983</x:f>
        <x:v>0.04215455999999999</x:v>
      </x:c>
      <x:c r="M1983" s="11" t="n">
        <x:f>'管线假设'!H439</x:f>
        <x:v>0.14</x:v>
      </x:c>
      <x:c r="N1983" s="11" t="n">
        <x:f>IF(G1983,L1983*AN1983/(1+M1983)^F1983,0)</x:f>
        <x:v>0.01635085629645344</x:v>
      </x:c>
      <x:c r="AJ1983" t="n">
        <x:v>0</x:v>
      </x:c>
      <x:c r="AK1983" t="n">
        <x:v>0</x:v>
      </x:c>
      <x:c r="AL1983" t="n">
        <x:v>0</x:v>
      </x:c>
      <x:c r="AM1983" t="n">
        <x:f>CHOOSE('假设'!$B$3,AJ1983,AK1983,AL1983)</x:f>
        <x:v>0</x:v>
      </x:c>
      <x:c r="AN1983" t="n">
        <x:v>1</x:v>
      </x:c>
    </x:row>
    <x:row r="1984" ht="23" customHeight="1">
      <x:c r="A1984" s="11" t="str">
        <x:v>688302.SH</x:v>
      </x:c>
      <x:c r="B1984" s="11" t="str">
        <x:v>三年</x:v>
      </x:c>
      <x:c r="C1984" s="11" t="str">
        <x:v>hp518_tnbc_global</x:v>
      </x:c>
      <x:c r="D1984" s="11" t="str">
        <x:v>2037-12-31</x:v>
      </x:c>
      <x:c r="E1984" s="11" t="str">
        <x:v>USD</x:v>
      </x:c>
      <x:c r="F1984" s="11" t="n">
        <x:v>8.227241615331964</x:v>
      </x:c>
      <x:c r="G1984" s="26" t="b">
        <x:v>1</x:v>
      </x:c>
      <x:c r="H1984" s="16" t="n">
        <x:v>0.06</x:v>
      </x:c>
      <x:c r="I1984" s="16" t="n">
        <x:v>0.45</x:v>
      </x:c>
      <x:c r="J1984" s="16" t="n">
        <x:v>1.5</x:v>
      </x:c>
      <x:c r="K1984" s="11" t="n">
        <x:f>CHOOSE('假设'!$B$3,H1984,I1984,J1984)</x:f>
        <x:v>0.45</x:v>
      </x:c>
      <x:c r="L1984" s="11" t="n">
        <x:f>K1984*'管线假设'!E439*'管线假设'!F439*'管线假设'!G439*IF(E1984="USD",'管线假设'!I439,1)-AM1984</x:f>
        <x:v>0.06323184</x:v>
      </x:c>
      <x:c r="M1984" s="11" t="n">
        <x:f>'管线假设'!H439</x:f>
        <x:v>0.14</x:v>
      </x:c>
      <x:c r="N1984" s="11" t="n">
        <x:f>IF(G1984,L1984*AN1984/(1+M1984)^F1984,0)</x:f>
        <x:v>0.02151621417331431</x:v>
      </x:c>
      <x:c r="AJ1984" t="n">
        <x:v>0</x:v>
      </x:c>
      <x:c r="AK1984" t="n">
        <x:v>0</x:v>
      </x:c>
      <x:c r="AL1984" t="n">
        <x:v>0</x:v>
      </x:c>
      <x:c r="AM1984" t="n">
        <x:f>CHOOSE('假设'!$B$3,AJ1984,AK1984,AL1984)</x:f>
        <x:v>0</x:v>
      </x:c>
      <x:c r="AN1984" t="n">
        <x:v>1</x:v>
      </x:c>
    </x:row>
    <x:row r="1985" ht="23" customHeight="1">
      <x:c r="A1985" s="11" t="str">
        <x:v>688302.SH</x:v>
      </x:c>
      <x:c r="B1985" s="11" t="str">
        <x:v>三年</x:v>
      </x:c>
      <x:c r="C1985" s="11" t="str">
        <x:v>hp518_tnbc_global</x:v>
      </x:c>
      <x:c r="D1985" s="11" t="str">
        <x:v>2038-12-31</x:v>
      </x:c>
      <x:c r="E1985" s="11" t="str">
        <x:v>USD</x:v>
      </x:c>
      <x:c r="F1985" s="11" t="n">
        <x:v>9.22655715263518</x:v>
      </x:c>
      <x:c r="G1985" s="26" t="b">
        <x:v>1</x:v>
      </x:c>
      <x:c r="H1985" s="16" t="n">
        <x:v>0.12</x:v>
      </x:c>
      <x:c r="I1985" s="16" t="n">
        <x:v>0.6</x:v>
      </x:c>
      <x:c r="J1985" s="16" t="n">
        <x:v>1.8</x:v>
      </x:c>
      <x:c r="K1985" s="11" t="n">
        <x:f>CHOOSE('假设'!$B$3,H1985,I1985,J1985)</x:f>
        <x:v>0.6</x:v>
      </x:c>
      <x:c r="L1985" s="11" t="n">
        <x:f>K1985*'管线假设'!E439*'管线假设'!F439*'管线假设'!G439*IF(E1985="USD",'管线假设'!I439,1)-AM1985</x:f>
        <x:v>0.08430911999999997</x:v>
      </x:c>
      <x:c r="M1985" s="11" t="n">
        <x:f>'管线假设'!H439</x:f>
        <x:v>0.14</x:v>
      </x:c>
      <x:c r="N1985" s="11" t="n">
        <x:f>IF(G1985,L1985*AN1985/(1+M1985)^F1985,0)</x:f>
        <x:v>0.02516741978841106</x:v>
      </x:c>
      <x:c r="AJ1985" t="n">
        <x:v>0</x:v>
      </x:c>
      <x:c r="AK1985" t="n">
        <x:v>0</x:v>
      </x:c>
      <x:c r="AL1985" t="n">
        <x:v>0</x:v>
      </x:c>
      <x:c r="AM1985" t="n">
        <x:f>CHOOSE('假设'!$B$3,AJ1985,AK1985,AL1985)</x:f>
        <x:v>0</x:v>
      </x:c>
      <x:c r="AN1985" t="n">
        <x:v>1</x:v>
      </x:c>
    </x:row>
    <x:row r="1986" ht="23" customHeight="1">
      <x:c r="A1986" s="11" t="str">
        <x:v>688302.SH</x:v>
      </x:c>
      <x:c r="B1986" s="11" t="str">
        <x:v>三年</x:v>
      </x:c>
      <x:c r="C1986" s="11" t="str">
        <x:v>hp518_tnbc_global</x:v>
      </x:c>
      <x:c r="D1986" s="11" t="str">
        <x:v>2039-12-31</x:v>
      </x:c>
      <x:c r="E1986" s="11" t="str">
        <x:v>USD</x:v>
      </x:c>
      <x:c r="F1986" s="11" t="n">
        <x:v>10.225872689938399</x:v>
      </x:c>
      <x:c r="G1986" s="26" t="b">
        <x:v>1</x:v>
      </x:c>
      <x:c r="H1986" s="16" t="n">
        <x:v>0.18</x:v>
      </x:c>
      <x:c r="I1986" s="16" t="n">
        <x:v>0.75</x:v>
      </x:c>
      <x:c r="J1986" s="16" t="n">
        <x:v>1.566</x:v>
      </x:c>
      <x:c r="K1986" s="11" t="n">
        <x:f>CHOOSE('假设'!$B$3,H1986,I1986,J1986)</x:f>
        <x:v>0.75</x:v>
      </x:c>
      <x:c r="L1986" s="11" t="n">
        <x:f>K1986*'管线假设'!E439*'管线假设'!F439*'管线假设'!G439*IF(E1986="USD",'管线假设'!I439,1)-AM1986</x:f>
        <x:v>0.10538639999999998</x:v>
      </x:c>
      <x:c r="M1986" s="11" t="n">
        <x:f>'管线假设'!H439</x:f>
        <x:v>0.14</x:v>
      </x:c>
      <x:c r="N1986" s="11" t="n">
        <x:f>IF(G1986,L1986*AN1986/(1+M1986)^F1986,0)</x:f>
        <x:v>0.027598330047634668</x:v>
      </x:c>
      <x:c r="AJ1986" t="n">
        <x:v>0</x:v>
      </x:c>
      <x:c r="AK1986" t="n">
        <x:v>0</x:v>
      </x:c>
      <x:c r="AL1986" t="n">
        <x:v>0</x:v>
      </x:c>
      <x:c r="AM1986" t="n">
        <x:f>CHOOSE('假设'!$B$3,AJ1986,AK1986,AL1986)</x:f>
        <x:v>0</x:v>
      </x:c>
      <x:c r="AN1986" t="n">
        <x:v>1</x:v>
      </x:c>
    </x:row>
    <x:row r="1987" ht="23" customHeight="1">
      <x:c r="A1987" s="11" t="str">
        <x:v>688302.SH</x:v>
      </x:c>
      <x:c r="B1987" s="11" t="str">
        <x:v>三年</x:v>
      </x:c>
      <x:c r="C1987" s="11" t="str">
        <x:v>hp518_tnbc_global</x:v>
      </x:c>
      <x:c r="D1987" s="11" t="str">
        <x:v>2040-12-31</x:v>
      </x:c>
      <x:c r="E1987" s="11" t="str">
        <x:v>USD</x:v>
      </x:c>
      <x:c r="F1987" s="11" t="n">
        <x:v>11.227926078028748</x:v>
      </x:c>
      <x:c r="G1987" s="26" t="b">
        <x:v>1</x:v>
      </x:c>
      <x:c r="H1987" s="16" t="n">
        <x:v>0.24</x:v>
      </x:c>
      <x:c r="I1987" s="16" t="n">
        <x:v>0.9</x:v>
      </x:c>
      <x:c r="J1987" s="16" t="n">
        <x:v>1.332</x:v>
      </x:c>
      <x:c r="K1987" s="11" t="n">
        <x:f>CHOOSE('假设'!$B$3,H1987,I1987,J1987)</x:f>
        <x:v>0.9</x:v>
      </x:c>
      <x:c r="L1987" s="11" t="n">
        <x:f>K1987*'管线假设'!E439*'管线假设'!F439*'管线假设'!G439*IF(E1987="USD",'管线假设'!I439,1)-AM1987</x:f>
        <x:v>0.12646368</x:v>
      </x:c>
      <x:c r="M1987" s="11" t="n">
        <x:f>'管线假设'!H439</x:f>
        <x:v>0.14</x:v>
      </x:c>
      <x:c r="N1987" s="11" t="n">
        <x:f>IF(G1987,L1987*AN1987/(1+M1987)^F1987,0)</x:f>
        <x:v>0.029043058593732785</x:v>
      </x:c>
      <x:c r="AJ1987" t="n">
        <x:v>0</x:v>
      </x:c>
      <x:c r="AK1987" t="n">
        <x:v>0</x:v>
      </x:c>
      <x:c r="AL1987" t="n">
        <x:v>0</x:v>
      </x:c>
      <x:c r="AM1987" t="n">
        <x:f>CHOOSE('假设'!$B$3,AJ1987,AK1987,AL1987)</x:f>
        <x:v>0</x:v>
      </x:c>
      <x:c r="AN1987" t="n">
        <x:v>1</x:v>
      </x:c>
    </x:row>
    <x:row r="1988" ht="23" customHeight="1">
      <x:c r="A1988" s="11" t="str">
        <x:v>688302.SH</x:v>
      </x:c>
      <x:c r="B1988" s="11" t="str">
        <x:v>三年</x:v>
      </x:c>
      <x:c r="C1988" s="11" t="str">
        <x:v>hp518_tnbc_global</x:v>
      </x:c>
      <x:c r="D1988" s="11" t="str">
        <x:v>2041-12-31</x:v>
      </x:c>
      <x:c r="E1988" s="11" t="str">
        <x:v>USD</x:v>
      </x:c>
      <x:c r="F1988" s="11" t="n">
        <x:v>12.227241615331964</x:v>
      </x:c>
      <x:c r="G1988" s="26" t="b">
        <x:v>1</x:v>
      </x:c>
      <x:c r="H1988" s="16" t="n">
        <x:v>0.3</x:v>
      </x:c>
      <x:c r="I1988" s="16" t="n">
        <x:v>0.783</x:v>
      </x:c>
      <x:c r="J1988" s="16" t="n">
        <x:v>1.098</x:v>
      </x:c>
      <x:c r="K1988" s="11" t="n">
        <x:f>CHOOSE('假设'!$B$3,H1988,I1988,J1988)</x:f>
        <x:v>0.783</x:v>
      </x:c>
      <x:c r="L1988" s="11" t="n">
        <x:f>K1988*'管线假设'!E439*'管线假设'!F439*'管线假设'!G439*IF(E1988="USD",'管线假设'!I439,1)-AM1988</x:f>
        <x:v>0.11002340159999999</x:v>
      </x:c>
      <x:c r="M1988" s="11" t="n">
        <x:f>'管线假设'!H439</x:f>
        <x:v>0.14</x:v>
      </x:c>
      <x:c r="N1988" s="11" t="n">
        <x:f>IF(G1988,L1988*AN1988/(1+M1988)^F1988,0)</x:f>
        <x:v>0.022166427336904666</x:v>
      </x:c>
      <x:c r="AJ1988" t="n">
        <x:v>0</x:v>
      </x:c>
      <x:c r="AK1988" t="n">
        <x:v>0</x:v>
      </x:c>
      <x:c r="AL1988" t="n">
        <x:v>0</x:v>
      </x:c>
      <x:c r="AM1988" t="n">
        <x:f>CHOOSE('假设'!$B$3,AJ1988,AK1988,AL1988)</x:f>
        <x:v>0</x:v>
      </x:c>
      <x:c r="AN1988" t="n">
        <x:v>1</x:v>
      </x:c>
    </x:row>
    <x:row r="1989" ht="23" customHeight="1">
      <x:c r="A1989" s="11" t="str">
        <x:v>688302.SH</x:v>
      </x:c>
      <x:c r="B1989" s="11" t="str">
        <x:v>三年</x:v>
      </x:c>
      <x:c r="C1989" s="11" t="str">
        <x:v>hp518_tnbc_global</x:v>
      </x:c>
      <x:c r="D1989" s="11" t="str">
        <x:v>2042-12-31</x:v>
      </x:c>
      <x:c r="E1989" s="11" t="str">
        <x:v>USD</x:v>
      </x:c>
      <x:c r="F1989" s="11" t="n">
        <x:v>13.22655715263518</x:v>
      </x:c>
      <x:c r="G1989" s="26" t="b">
        <x:v>1</x:v>
      </x:c>
      <x:c r="H1989" s="16" t="n">
        <x:v>0.261</x:v>
      </x:c>
      <x:c r="I1989" s="16" t="n">
        <x:v>0.666</x:v>
      </x:c>
      <x:c r="J1989" s="16" t="n">
        <x:v>0.864</x:v>
      </x:c>
      <x:c r="K1989" s="11" t="n">
        <x:f>CHOOSE('假设'!$B$3,H1989,I1989,J1989)</x:f>
        <x:v>0.666</x:v>
      </x:c>
      <x:c r="L1989" s="11" t="n">
        <x:f>K1989*'管线假设'!E439*'管线假设'!F439*'管线假设'!G439*IF(E1989="USD",'管线假设'!I439,1)-AM1989</x:f>
        <x:v>0.09358312319999998</x:v>
      </x:c>
      <x:c r="M1989" s="11" t="n">
        <x:f>'管线假设'!H439</x:f>
        <x:v>0.14</x:v>
      </x:c>
      <x:c r="N1989" s="11" t="n">
        <x:f>IF(G1989,L1989*AN1989/(1+M1989)^F1989,0)</x:f>
        <x:v>0.016540257506806003</x:v>
      </x:c>
      <x:c r="AJ1989" t="n">
        <x:v>0</x:v>
      </x:c>
      <x:c r="AK1989" t="n">
        <x:v>0</x:v>
      </x:c>
      <x:c r="AL1989" t="n">
        <x:v>0</x:v>
      </x:c>
      <x:c r="AM1989" t="n">
        <x:f>CHOOSE('假设'!$B$3,AJ1989,AK1989,AL1989)</x:f>
        <x:v>0</x:v>
      </x:c>
      <x:c r="AN1989" t="n">
        <x:v>1</x:v>
      </x:c>
    </x:row>
    <x:row r="1990" ht="23" customHeight="1">
      <x:c r="A1990" s="11" t="str">
        <x:v>688302.SH</x:v>
      </x:c>
      <x:c r="B1990" s="11" t="str">
        <x:v>三年</x:v>
      </x:c>
      <x:c r="C1990" s="11" t="str">
        <x:v>hp518_tnbc_global</x:v>
      </x:c>
      <x:c r="D1990" s="11" t="str">
        <x:v>2043-12-31</x:v>
      </x:c>
      <x:c r="E1990" s="11" t="str">
        <x:v>USD</x:v>
      </x:c>
      <x:c r="F1990" s="11" t="n">
        <x:v>14.225872689938399</x:v>
      </x:c>
      <x:c r="G1990" s="26" t="b">
        <x:v>1</x:v>
      </x:c>
      <x:c r="H1990" s="16" t="n">
        <x:v>0.222</x:v>
      </x:c>
      <x:c r="I1990" s="16" t="n">
        <x:v>0.549</x:v>
      </x:c>
      <x:c r="J1990" s="16" t="n">
        <x:v>0.63</x:v>
      </x:c>
      <x:c r="K1990" s="11" t="n">
        <x:f>CHOOSE('假设'!$B$3,H1990,I1990,J1990)</x:f>
        <x:v>0.549</x:v>
      </x:c>
      <x:c r="L1990" s="11" t="n">
        <x:f>K1990*'管线假设'!E439*'管线假设'!F439*'管线假设'!G439*IF(E1990="USD",'管线假设'!I439,1)-AM1990</x:f>
        <x:v>0.07714284479999999</x:v>
      </x:c>
      <x:c r="M1990" s="11" t="n">
        <x:f>'管线假设'!H439</x:f>
        <x:v>0.14</x:v>
      </x:c>
      <x:c r="N1990" s="11" t="n">
        <x:f>IF(G1990,L1990*AN1990/(1+M1990)^F1990,0)</x:f>
        <x:v>0.011961192497796138</x:v>
      </x:c>
      <x:c r="AJ1990" t="n">
        <x:v>0</x:v>
      </x:c>
      <x:c r="AK1990" t="n">
        <x:v>0</x:v>
      </x:c>
      <x:c r="AL1990" t="n">
        <x:v>0</x:v>
      </x:c>
      <x:c r="AM1990" t="n">
        <x:f>CHOOSE('假设'!$B$3,AJ1990,AK1990,AL1990)</x:f>
        <x:v>0</x:v>
      </x:c>
      <x:c r="AN1990" t="n">
        <x:v>1</x:v>
      </x:c>
    </x:row>
    <x:row r="1991" ht="23" customHeight="1">
      <x:c r="A1991" s="11" t="str">
        <x:v>688302.SH</x:v>
      </x:c>
      <x:c r="B1991" s="11" t="str">
        <x:v>三年</x:v>
      </x:c>
      <x:c r="C1991" s="11" t="str">
        <x:v>hp518_tnbc_global</x:v>
      </x:c>
      <x:c r="D1991" s="11" t="str">
        <x:v>2044-12-31</x:v>
      </x:c>
      <x:c r="E1991" s="11" t="str">
        <x:v>USD</x:v>
      </x:c>
      <x:c r="F1991" s="11" t="n">
        <x:v>15.227926078028748</x:v>
      </x:c>
      <x:c r="G1991" s="26" t="b">
        <x:v>1</x:v>
      </x:c>
      <x:c r="H1991" s="16" t="n">
        <x:v>0.183</x:v>
      </x:c>
      <x:c r="I1991" s="16" t="n">
        <x:v>0.432</x:v>
      </x:c>
      <x:c r="J1991" s="16" t="n">
        <x:v>0.39599999999999996</x:v>
      </x:c>
      <x:c r="K1991" s="11" t="n">
        <x:f>CHOOSE('假设'!$B$3,H1991,I1991,J1991)</x:f>
        <x:v>0.432</x:v>
      </x:c>
      <x:c r="L1991" s="11" t="n">
        <x:f>K1991*'管线假设'!E439*'管线假设'!F439*'管线假设'!G439*IF(E1991="USD",'管线假设'!I439,1)-AM1991</x:f>
        <x:v>0.060702566399999984</x:v>
      </x:c>
      <x:c r="M1991" s="11" t="n">
        <x:f>'管线假设'!H439</x:f>
        <x:v>0.14</x:v>
      </x:c>
      <x:c r="N1991" s="11" t="n">
        <x:f>IF(G1991,L1991*AN1991/(1+M1991)^F1991,0)</x:f>
        <x:v>0.008253994650170866</x:v>
      </x:c>
      <x:c r="AJ1991" t="n">
        <x:v>0</x:v>
      </x:c>
      <x:c r="AK1991" t="n">
        <x:v>0</x:v>
      </x:c>
      <x:c r="AL1991" t="n">
        <x:v>0</x:v>
      </x:c>
      <x:c r="AM1991" t="n">
        <x:f>CHOOSE('假设'!$B$3,AJ1991,AK1991,AL1991)</x:f>
        <x:v>0</x:v>
      </x:c>
      <x:c r="AN1991" t="n">
        <x:v>1</x:v>
      </x:c>
    </x:row>
    <x:row r="1992" ht="23" customHeight="1">
      <x:c r="A1992" s="11" t="str">
        <x:v>688302.SH</x:v>
      </x:c>
      <x:c r="B1992" s="11" t="str">
        <x:v>三年</x:v>
      </x:c>
      <x:c r="C1992" s="11" t="str">
        <x:v>hp518_tnbc_global</x:v>
      </x:c>
      <x:c r="D1992" s="11" t="str">
        <x:v>2045-12-31</x:v>
      </x:c>
      <x:c r="E1992" s="11" t="str">
        <x:v>USD</x:v>
      </x:c>
      <x:c r="F1992" s="11" t="n">
        <x:v>16.227241615331966</x:v>
      </x:c>
      <x:c r="G1992" s="26" t="b">
        <x:v>1</x:v>
      </x:c>
      <x:c r="H1992" s="16" t="n">
        <x:v>0.144</x:v>
      </x:c>
      <x:c r="I1992" s="16" t="n">
        <x:v>0.315</x:v>
      </x:c>
      <x:c r="J1992" s="16" t="n">
        <x:v>0.16199999999999995</x:v>
      </x:c>
      <x:c r="K1992" s="11" t="n">
        <x:f>CHOOSE('假设'!$B$3,H1992,I1992,J1992)</x:f>
        <x:v>0.315</x:v>
      </x:c>
      <x:c r="L1992" s="11" t="n">
        <x:f>K1992*'管线假设'!E439*'管线假设'!F439*'管线假设'!G439*IF(E1992="USD",'管线假设'!I439,1)-AM1992</x:f>
        <x:v>0.04426228799999999</x:v>
      </x:c>
      <x:c r="M1992" s="11" t="n">
        <x:f>'管线假设'!H439</x:f>
        <x:v>0.14</x:v>
      </x:c>
      <x:c r="N1992" s="11" t="n">
        <x:f>IF(G1992,L1992*AN1992/(1+M1992)^F1992,0)</x:f>
        <x:v>0.005279892593194519</x:v>
      </x:c>
      <x:c r="AJ1992" t="n">
        <x:v>0</x:v>
      </x:c>
      <x:c r="AK1992" t="n">
        <x:v>0</x:v>
      </x:c>
      <x:c r="AL1992" t="n">
        <x:v>0</x:v>
      </x:c>
      <x:c r="AM1992" t="n">
        <x:f>CHOOSE('假设'!$B$3,AJ1992,AK1992,AL1992)</x:f>
        <x:v>0</x:v>
      </x:c>
      <x:c r="AN1992" t="n">
        <x:v>1</x:v>
      </x:c>
    </x:row>
    <x:row r="1993" ht="23" customHeight="1">
      <x:c r="A1993" s="11" t="str">
        <x:v>688302.SH</x:v>
      </x:c>
      <x:c r="B1993" s="11" t="str">
        <x:v>三年</x:v>
      </x:c>
      <x:c r="C1993" s="11" t="str">
        <x:v>hp515_mash_cn</x:v>
      </x:c>
      <x:c r="D1993" s="11" t="str">
        <x:v>2027-12-31</x:v>
      </x:c>
      <x:c r="E1993" s="11" t="str">
        <x:v>CNY</x:v>
      </x:c>
      <x:c r="F1993" s="11" t="n">
        <x:v>-1.7741273100616017</x:v>
      </x:c>
      <x:c r="G1993" s="26" t="b">
        <x:v>0</x:v>
      </x:c>
      <x:c r="H1993" s="16" t="n">
        <x:v>0</x:v>
      </x:c>
      <x:c r="I1993" s="16" t="n">
        <x:v>0</x:v>
      </x:c>
      <x:c r="J1993" s="16" t="n">
        <x:v>0</x:v>
      </x:c>
      <x:c r="K1993" s="11" t="n">
        <x:f>CHOOSE('假设'!$B$3,H1993,I1993,J1993)</x:f>
        <x:v>0</x:v>
      </x:c>
      <x:c r="L1993" s="11" t="n">
        <x:f>K1993*'管线假设'!E443*'管线假设'!F443*'管线假设'!G443*IF(E1993="USD",'管线假设'!I443,1)-AM1993</x:f>
        <x:v>0</x:v>
      </x:c>
      <x:c r="M1993" s="11" t="n">
        <x:f>'管线假设'!H443</x:f>
        <x:v>0.14</x:v>
      </x:c>
      <x:c r="N1993" s="11" t="n">
        <x:f>IF(G1993,L1993*AN1993/(1+M1993)^F1993,0)</x:f>
        <x:v>0</x:v>
      </x:c>
      <x:c r="AJ1993" t="n">
        <x:v>0</x:v>
      </x:c>
      <x:c r="AK1993" t="n">
        <x:v>0</x:v>
      </x:c>
      <x:c r="AL1993" t="n">
        <x:v>0</x:v>
      </x:c>
      <x:c r="AM1993" t="n">
        <x:f>CHOOSE('假设'!$B$3,AJ1993,AK1993,AL1993)</x:f>
        <x:v>0</x:v>
      </x:c>
      <x:c r="AN1993" t="n">
        <x:v>1</x:v>
      </x:c>
    </x:row>
    <x:row r="1994" ht="23" customHeight="1">
      <x:c r="A1994" s="11" t="str">
        <x:v>688302.SH</x:v>
      </x:c>
      <x:c r="B1994" s="11" t="str">
        <x:v>三年</x:v>
      </x:c>
      <x:c r="C1994" s="11" t="str">
        <x:v>hp515_mash_cn</x:v>
      </x:c>
      <x:c r="D1994" s="11" t="str">
        <x:v>2028-12-31</x:v>
      </x:c>
      <x:c r="E1994" s="11" t="str">
        <x:v>CNY</x:v>
      </x:c>
      <x:c r="F1994" s="11" t="n">
        <x:v>-0.7720739219712526</x:v>
      </x:c>
      <x:c r="G1994" s="26" t="b">
        <x:v>0</x:v>
      </x:c>
      <x:c r="H1994" s="16" t="n">
        <x:v>0</x:v>
      </x:c>
      <x:c r="I1994" s="16" t="n">
        <x:v>0</x:v>
      </x:c>
      <x:c r="J1994" s="16" t="n">
        <x:v>0</x:v>
      </x:c>
      <x:c r="K1994" s="11" t="n">
        <x:f>CHOOSE('假设'!$B$3,H1994,I1994,J1994)</x:f>
        <x:v>0</x:v>
      </x:c>
      <x:c r="L1994" s="11" t="n">
        <x:f>K1994*'管线假设'!E443*'管线假设'!F443*'管线假设'!G443*IF(E1994="USD",'管线假设'!I443,1)-AM1994</x:f>
        <x:v>0</x:v>
      </x:c>
      <x:c r="M1994" s="11" t="n">
        <x:f>'管线假设'!H443</x:f>
        <x:v>0.14</x:v>
      </x:c>
      <x:c r="N1994" s="11" t="n">
        <x:f>IF(G1994,L1994*AN1994/(1+M1994)^F1994,0)</x:f>
        <x:v>0</x:v>
      </x:c>
      <x:c r="AJ1994" t="n">
        <x:v>0</x:v>
      </x:c>
      <x:c r="AK1994" t="n">
        <x:v>0</x:v>
      </x:c>
      <x:c r="AL1994" t="n">
        <x:v>0</x:v>
      </x:c>
      <x:c r="AM1994" t="n">
        <x:f>CHOOSE('假设'!$B$3,AJ1994,AK1994,AL1994)</x:f>
        <x:v>0</x:v>
      </x:c>
      <x:c r="AN1994" t="n">
        <x:v>1</x:v>
      </x:c>
    </x:row>
    <x:row r="1995" ht="23" customHeight="1">
      <x:c r="A1995" s="11" t="str">
        <x:v>688302.SH</x:v>
      </x:c>
      <x:c r="B1995" s="11" t="str">
        <x:v>三年</x:v>
      </x:c>
      <x:c r="C1995" s="11" t="str">
        <x:v>hp515_mash_cn</x:v>
      </x:c>
      <x:c r="D1995" s="11" t="str">
        <x:v>2029-12-31</x:v>
      </x:c>
      <x:c r="E1995" s="11" t="str">
        <x:v>CNY</x:v>
      </x:c>
      <x:c r="F1995" s="11" t="n">
        <x:v>0.2272416153319644</x:v>
      </x:c>
      <x:c r="G1995" s="26" t="b">
        <x:v>1</x:v>
      </x:c>
      <x:c r="H1995" s="16" t="n">
        <x:v>0</x:v>
      </x:c>
      <x:c r="I1995" s="16" t="n">
        <x:v>0</x:v>
      </x:c>
      <x:c r="J1995" s="16" t="n">
        <x:v>0</x:v>
      </x:c>
      <x:c r="K1995" s="11" t="n">
        <x:f>CHOOSE('假设'!$B$3,H1995,I1995,J1995)</x:f>
        <x:v>0</x:v>
      </x:c>
      <x:c r="L1995" s="11" t="n">
        <x:f>K1995*'管线假设'!E443*'管线假设'!F443*'管线假设'!G443*IF(E1995="USD",'管线假设'!I443,1)-AM1995</x:f>
        <x:v>0</x:v>
      </x:c>
      <x:c r="M1995" s="11" t="n">
        <x:f>'管线假设'!H443</x:f>
        <x:v>0.14</x:v>
      </x:c>
      <x:c r="N1995" s="11" t="n">
        <x:f>IF(G1995,L1995*AN1995/(1+M1995)^F1995,0)</x:f>
        <x:v>0</x:v>
      </x:c>
      <x:c r="AJ1995" t="n">
        <x:v>0</x:v>
      </x:c>
      <x:c r="AK1995" t="n">
        <x:v>0</x:v>
      </x:c>
      <x:c r="AL1995" t="n">
        <x:v>0</x:v>
      </x:c>
      <x:c r="AM1995" t="n">
        <x:f>CHOOSE('假设'!$B$3,AJ1995,AK1995,AL1995)</x:f>
        <x:v>0</x:v>
      </x:c>
      <x:c r="AN1995" t="n">
        <x:v>1</x:v>
      </x:c>
    </x:row>
    <x:row r="1996" ht="23" customHeight="1">
      <x:c r="A1996" s="11" t="str">
        <x:v>688302.SH</x:v>
      </x:c>
      <x:c r="B1996" s="11" t="str">
        <x:v>三年</x:v>
      </x:c>
      <x:c r="C1996" s="11" t="str">
        <x:v>hp515_mash_cn</x:v>
      </x:c>
      <x:c r="D1996" s="11" t="str">
        <x:v>2030-12-31</x:v>
      </x:c>
      <x:c r="E1996" s="11" t="str">
        <x:v>CNY</x:v>
      </x:c>
      <x:c r="F1996" s="11" t="n">
        <x:v>1.2265571526351813</x:v>
      </x:c>
      <x:c r="G1996" s="26" t="b">
        <x:v>1</x:v>
      </x:c>
      <x:c r="H1996" s="16" t="n">
        <x:v>0</x:v>
      </x:c>
      <x:c r="I1996" s="16" t="n">
        <x:v>0</x:v>
      </x:c>
      <x:c r="J1996" s="16" t="n">
        <x:v>1</x:v>
      </x:c>
      <x:c r="K1996" s="11" t="n">
        <x:f>CHOOSE('假设'!$B$3,H1996,I1996,J1996)</x:f>
        <x:v>0</x:v>
      </x:c>
      <x:c r="L1996" s="11" t="n">
        <x:f>K1996*'管线假设'!E443*'管线假设'!F443*'管线假设'!G443*IF(E1996="USD",'管线假设'!I443,1)-AM1996</x:f>
        <x:v>0</x:v>
      </x:c>
      <x:c r="M1996" s="11" t="n">
        <x:f>'管线假设'!H443</x:f>
        <x:v>0.14</x:v>
      </x:c>
      <x:c r="N1996" s="11" t="n">
        <x:f>IF(G1996,L1996*AN1996/(1+M1996)^F1996,0)</x:f>
        <x:v>0</x:v>
      </x:c>
      <x:c r="AJ1996" t="n">
        <x:v>0</x:v>
      </x:c>
      <x:c r="AK1996" t="n">
        <x:v>0</x:v>
      </x:c>
      <x:c r="AL1996" t="n">
        <x:v>0</x:v>
      </x:c>
      <x:c r="AM1996" t="n">
        <x:f>CHOOSE('假设'!$B$3,AJ1996,AK1996,AL1996)</x:f>
        <x:v>0</x:v>
      </x:c>
      <x:c r="AN1996" t="n">
        <x:v>1</x:v>
      </x:c>
    </x:row>
    <x:row r="1997" ht="23" customHeight="1">
      <x:c r="A1997" s="11" t="str">
        <x:v>688302.SH</x:v>
      </x:c>
      <x:c r="B1997" s="11" t="str">
        <x:v>三年</x:v>
      </x:c>
      <x:c r="C1997" s="11" t="str">
        <x:v>hp515_mash_cn</x:v>
      </x:c>
      <x:c r="D1997" s="11" t="str">
        <x:v>2031-12-31</x:v>
      </x:c>
      <x:c r="E1997" s="11" t="str">
        <x:v>CNY</x:v>
      </x:c>
      <x:c r="F1997" s="11" t="n">
        <x:v>2.2258726899383983</x:v>
      </x:c>
      <x:c r="G1997" s="26" t="b">
        <x:v>1</x:v>
      </x:c>
      <x:c r="H1997" s="16" t="n">
        <x:v>0</x:v>
      </x:c>
      <x:c r="I1997" s="16" t="n">
        <x:v>0</x:v>
      </x:c>
      <x:c r="J1997" s="16" t="n">
        <x:v>2</x:v>
      </x:c>
      <x:c r="K1997" s="11" t="n">
        <x:f>CHOOSE('假设'!$B$3,H1997,I1997,J1997)</x:f>
        <x:v>0</x:v>
      </x:c>
      <x:c r="L1997" s="11" t="n">
        <x:f>K1997*'管线假设'!E443*'管线假设'!F443*'管线假设'!G443*IF(E1997="USD",'管线假设'!I443,1)-AM1997</x:f>
        <x:v>0</x:v>
      </x:c>
      <x:c r="M1997" s="11" t="n">
        <x:f>'管线假设'!H443</x:f>
        <x:v>0.14</x:v>
      </x:c>
      <x:c r="N1997" s="11" t="n">
        <x:f>IF(G1997,L1997*AN1997/(1+M1997)^F1997,0)</x:f>
        <x:v>0</x:v>
      </x:c>
      <x:c r="AJ1997" t="n">
        <x:v>0</x:v>
      </x:c>
      <x:c r="AK1997" t="n">
        <x:v>0</x:v>
      </x:c>
      <x:c r="AL1997" t="n">
        <x:v>0</x:v>
      </x:c>
      <x:c r="AM1997" t="n">
        <x:f>CHOOSE('假设'!$B$3,AJ1997,AK1997,AL1997)</x:f>
        <x:v>0</x:v>
      </x:c>
      <x:c r="AN1997" t="n">
        <x:v>1</x:v>
      </x:c>
    </x:row>
    <x:row r="1998" ht="23" customHeight="1">
      <x:c r="A1998" s="11" t="str">
        <x:v>688302.SH</x:v>
      </x:c>
      <x:c r="B1998" s="11" t="str">
        <x:v>三年</x:v>
      </x:c>
      <x:c r="C1998" s="11" t="str">
        <x:v>hp515_mash_cn</x:v>
      </x:c>
      <x:c r="D1998" s="11" t="str">
        <x:v>2032-12-31</x:v>
      </x:c>
      <x:c r="E1998" s="11" t="str">
        <x:v>CNY</x:v>
      </x:c>
      <x:c r="F1998" s="11" t="n">
        <x:v>3.2279260780287475</x:v>
      </x:c>
      <x:c r="G1998" s="26" t="b">
        <x:v>1</x:v>
      </x:c>
      <x:c r="H1998" s="16" t="n">
        <x:v>0</x:v>
      </x:c>
      <x:c r="I1998" s="16" t="n">
        <x:v>0.5</x:v>
      </x:c>
      <x:c r="J1998" s="16" t="n">
        <x:v>3</x:v>
      </x:c>
      <x:c r="K1998" s="11" t="n">
        <x:f>CHOOSE('假设'!$B$3,H1998,I1998,J1998)</x:f>
        <x:v>0.5</x:v>
      </x:c>
      <x:c r="L1998" s="11" t="n">
        <x:f>K1998*'管线假设'!E443*'管线假设'!F443*'管线假设'!G443*IF(E1998="USD",'管线假设'!I443,1)-AM1998</x:f>
        <x:v>0.063</x:v>
      </x:c>
      <x:c r="M1998" s="11" t="n">
        <x:f>'管线假设'!H443</x:f>
        <x:v>0.14</x:v>
      </x:c>
      <x:c r="N1998" s="11" t="n">
        <x:f>IF(G1998,L1998*AN1998/(1+M1998)^F1998,0)</x:f>
        <x:v>0.04127203620665206</x:v>
      </x:c>
      <x:c r="AJ1998" t="n">
        <x:v>0</x:v>
      </x:c>
      <x:c r="AK1998" t="n">
        <x:v>0</x:v>
      </x:c>
      <x:c r="AL1998" t="n">
        <x:v>0</x:v>
      </x:c>
      <x:c r="AM1998" t="n">
        <x:f>CHOOSE('假设'!$B$3,AJ1998,AK1998,AL1998)</x:f>
        <x:v>0</x:v>
      </x:c>
      <x:c r="AN1998" t="n">
        <x:v>1</x:v>
      </x:c>
    </x:row>
    <x:row r="1999" ht="23" customHeight="1">
      <x:c r="A1999" s="11" t="str">
        <x:v>688302.SH</x:v>
      </x:c>
      <x:c r="B1999" s="11" t="str">
        <x:v>三年</x:v>
      </x:c>
      <x:c r="C1999" s="11" t="str">
        <x:v>hp515_mash_cn</x:v>
      </x:c>
      <x:c r="D1999" s="11" t="str">
        <x:v>2033-12-31</x:v>
      </x:c>
      <x:c r="E1999" s="11" t="str">
        <x:v>CNY</x:v>
      </x:c>
      <x:c r="F1999" s="11" t="n">
        <x:v>4.227241615331964</x:v>
      </x:c>
      <x:c r="G1999" s="26" t="b">
        <x:v>1</x:v>
      </x:c>
      <x:c r="H1999" s="16" t="n">
        <x:v>0</x:v>
      </x:c>
      <x:c r="I1999" s="16" t="n">
        <x:v>1</x:v>
      </x:c>
      <x:c r="J1999" s="16" t="n">
        <x:v>4</x:v>
      </x:c>
      <x:c r="K1999" s="11" t="n">
        <x:f>CHOOSE('假设'!$B$3,H1999,I1999,J1999)</x:f>
        <x:v>1</x:v>
      </x:c>
      <x:c r="L1999" s="11" t="n">
        <x:f>K1999*'管线假设'!E443*'管线假设'!F443*'管线假设'!G443*IF(E1999="USD",'管线假设'!I443,1)-AM1999</x:f>
        <x:v>0.126</x:v>
      </x:c>
      <x:c r="M1999" s="11" t="n">
        <x:f>'管线假设'!H443</x:f>
        <x:v>0.14</x:v>
      </x:c>
      <x:c r="N1999" s="11" t="n">
        <x:f>IF(G1999,L1999*AN1999/(1+M1999)^F1999,0)</x:f>
        <x:v>0.07241357510910892</x:v>
      </x:c>
      <x:c r="AJ1999" t="n">
        <x:v>0</x:v>
      </x:c>
      <x:c r="AK1999" t="n">
        <x:v>0</x:v>
      </x:c>
      <x:c r="AL1999" t="n">
        <x:v>0</x:v>
      </x:c>
      <x:c r="AM1999" t="n">
        <x:f>CHOOSE('假设'!$B$3,AJ1999,AK1999,AL1999)</x:f>
        <x:v>0</x:v>
      </x:c>
      <x:c r="AN1999" t="n">
        <x:v>1</x:v>
      </x:c>
    </x:row>
    <x:row r="2000" ht="23" customHeight="1">
      <x:c r="A2000" s="11" t="str">
        <x:v>688302.SH</x:v>
      </x:c>
      <x:c r="B2000" s="11" t="str">
        <x:v>三年</x:v>
      </x:c>
      <x:c r="C2000" s="11" t="str">
        <x:v>hp515_mash_cn</x:v>
      </x:c>
      <x:c r="D2000" s="11" t="str">
        <x:v>2034-12-31</x:v>
      </x:c>
      <x:c r="E2000" s="11" t="str">
        <x:v>CNY</x:v>
      </x:c>
      <x:c r="F2000" s="11" t="n">
        <x:v>5.2265571526351815</x:v>
      </x:c>
      <x:c r="G2000" s="26" t="b">
        <x:v>1</x:v>
      </x:c>
      <x:c r="H2000" s="16" t="n">
        <x:v>0</x:v>
      </x:c>
      <x:c r="I2000" s="16" t="n">
        <x:v>1.5</x:v>
      </x:c>
      <x:c r="J2000" s="16" t="n">
        <x:v>5</x:v>
      </x:c>
      <x:c r="K2000" s="11" t="n">
        <x:f>CHOOSE('假设'!$B$3,H2000,I2000,J2000)</x:f>
        <x:v>1.5</x:v>
      </x:c>
      <x:c r="L2000" s="11" t="n">
        <x:f>K2000*'管线假设'!E443*'管线假设'!F443*'管线假设'!G443*IF(E2000="USD",'管线假设'!I443,1)-AM2000</x:f>
        <x:v>0.189</x:v>
      </x:c>
      <x:c r="M2000" s="11" t="n">
        <x:f>'管线假设'!H443</x:f>
        <x:v>0.14</x:v>
      </x:c>
      <x:c r="N2000" s="11" t="n">
        <x:f>IF(G2000,L2000*AN2000/(1+M2000)^F2000,0)</x:f>
        <x:v>0.09528956544257071</x:v>
      </x:c>
      <x:c r="AJ2000" t="n">
        <x:v>0</x:v>
      </x:c>
      <x:c r="AK2000" t="n">
        <x:v>0</x:v>
      </x:c>
      <x:c r="AL2000" t="n">
        <x:v>0</x:v>
      </x:c>
      <x:c r="AM2000" t="n">
        <x:f>CHOOSE('假设'!$B$3,AJ2000,AK2000,AL2000)</x:f>
        <x:v>0</x:v>
      </x:c>
      <x:c r="AN2000" t="n">
        <x:v>1</x:v>
      </x:c>
    </x:row>
    <x:row r="2001" ht="23" customHeight="1">
      <x:c r="A2001" s="11" t="str">
        <x:v>688302.SH</x:v>
      </x:c>
      <x:c r="B2001" s="11" t="str">
        <x:v>三年</x:v>
      </x:c>
      <x:c r="C2001" s="11" t="str">
        <x:v>hp515_mash_cn</x:v>
      </x:c>
      <x:c r="D2001" s="11" t="str">
        <x:v>2035-12-31</x:v>
      </x:c>
      <x:c r="E2001" s="11" t="str">
        <x:v>CNY</x:v>
      </x:c>
      <x:c r="F2001" s="11" t="n">
        <x:v>6.225872689938399</x:v>
      </x:c>
      <x:c r="G2001" s="26" t="b">
        <x:v>1</x:v>
      </x:c>
      <x:c r="H2001" s="16" t="n">
        <x:v>0.2</x:v>
      </x:c>
      <x:c r="I2001" s="16" t="n">
        <x:v>2</x:v>
      </x:c>
      <x:c r="J2001" s="16" t="n">
        <x:v>6</x:v>
      </x:c>
      <x:c r="K2001" s="11" t="n">
        <x:f>CHOOSE('假设'!$B$3,H2001,I2001,J2001)</x:f>
        <x:v>2</x:v>
      </x:c>
      <x:c r="L2001" s="11" t="n">
        <x:f>K2001*'管线假设'!E443*'管线假设'!F443*'管线假设'!G443*IF(E2001="USD",'管线假设'!I443,1)-AM2001</x:f>
        <x:v>0.252</x:v>
      </x:c>
      <x:c r="M2001" s="11" t="n">
        <x:f>'管线假设'!H443</x:f>
        <x:v>0.14</x:v>
      </x:c>
      <x:c r="N2001" s="11" t="n">
        <x:f>IF(G2001,L2001*AN2001/(1+M2001)^F2001,0)</x:f>
        <x:v>0.11145977984932061</x:v>
      </x:c>
      <x:c r="AJ2001" t="n">
        <x:v>0</x:v>
      </x:c>
      <x:c r="AK2001" t="n">
        <x:v>0</x:v>
      </x:c>
      <x:c r="AL2001" t="n">
        <x:v>0</x:v>
      </x:c>
      <x:c r="AM2001" t="n">
        <x:f>CHOOSE('假设'!$B$3,AJ2001,AK2001,AL2001)</x:f>
        <x:v>0</x:v>
      </x:c>
      <x:c r="AN2001" t="n">
        <x:v>1</x:v>
      </x:c>
    </x:row>
    <x:row r="2002" ht="23" customHeight="1">
      <x:c r="A2002" s="11" t="str">
        <x:v>688302.SH</x:v>
      </x:c>
      <x:c r="B2002" s="11" t="str">
        <x:v>三年</x:v>
      </x:c>
      <x:c r="C2002" s="11" t="str">
        <x:v>hp515_mash_cn</x:v>
      </x:c>
      <x:c r="D2002" s="11" t="str">
        <x:v>2036-12-31</x:v>
      </x:c>
      <x:c r="E2002" s="11" t="str">
        <x:v>CNY</x:v>
      </x:c>
      <x:c r="F2002" s="11" t="n">
        <x:v>7.227926078028747</x:v>
      </x:c>
      <x:c r="G2002" s="26" t="b">
        <x:v>1</x:v>
      </x:c>
      <x:c r="H2002" s="16" t="n">
        <x:v>0.4</x:v>
      </x:c>
      <x:c r="I2002" s="16" t="n">
        <x:v>2.5</x:v>
      </x:c>
      <x:c r="J2002" s="16" t="n">
        <x:v>5.22</x:v>
      </x:c>
      <x:c r="K2002" s="11" t="n">
        <x:f>CHOOSE('假设'!$B$3,H2002,I2002,J2002)</x:f>
        <x:v>2.5</x:v>
      </x:c>
      <x:c r="L2002" s="11" t="n">
        <x:f>K2002*'管线假设'!E443*'管线假设'!F443*'管线假设'!G443*IF(E2002="USD",'管线假设'!I443,1)-AM2002</x:f>
        <x:v>0.315</x:v>
      </x:c>
      <x:c r="M2002" s="11" t="n">
        <x:f>'管线假设'!H443</x:f>
        <x:v>0.14</x:v>
      </x:c>
      <x:c r="N2002" s="11" t="n">
        <x:f>IF(G2002,L2002*AN2002/(1+M2002)^F2002,0)</x:f>
        <x:v>0.12218179322433527</x:v>
      </x:c>
      <x:c r="AJ2002" t="n">
        <x:v>0</x:v>
      </x:c>
      <x:c r="AK2002" t="n">
        <x:v>0</x:v>
      </x:c>
      <x:c r="AL2002" t="n">
        <x:v>0</x:v>
      </x:c>
      <x:c r="AM2002" t="n">
        <x:f>CHOOSE('假设'!$B$3,AJ2002,AK2002,AL2002)</x:f>
        <x:v>0</x:v>
      </x:c>
      <x:c r="AN2002" t="n">
        <x:v>1</x:v>
      </x:c>
    </x:row>
    <x:row r="2003" ht="23" customHeight="1">
      <x:c r="A2003" s="11" t="str">
        <x:v>688302.SH</x:v>
      </x:c>
      <x:c r="B2003" s="11" t="str">
        <x:v>三年</x:v>
      </x:c>
      <x:c r="C2003" s="11" t="str">
        <x:v>hp515_mash_cn</x:v>
      </x:c>
      <x:c r="D2003" s="11" t="str">
        <x:v>2037-12-31</x:v>
      </x:c>
      <x:c r="E2003" s="11" t="str">
        <x:v>CNY</x:v>
      </x:c>
      <x:c r="F2003" s="11" t="n">
        <x:v>8.227241615331964</x:v>
      </x:c>
      <x:c r="G2003" s="26" t="b">
        <x:v>1</x:v>
      </x:c>
      <x:c r="H2003" s="16" t="n">
        <x:v>0.6</x:v>
      </x:c>
      <x:c r="I2003" s="16" t="n">
        <x:v>3</x:v>
      </x:c>
      <x:c r="J2003" s="16" t="n">
        <x:v>4.4399999999999995</x:v>
      </x:c>
      <x:c r="K2003" s="11" t="n">
        <x:f>CHOOSE('假设'!$B$3,H2003,I2003,J2003)</x:f>
        <x:v>3</x:v>
      </x:c>
      <x:c r="L2003" s="11" t="n">
        <x:f>K2003*'管线假设'!E443*'管线假设'!F443*'管线假设'!G443*IF(E2003="USD",'管线假设'!I443,1)-AM2003</x:f>
        <x:v>0.378</x:v>
      </x:c>
      <x:c r="M2003" s="11" t="n">
        <x:f>'管线假设'!H443</x:f>
        <x:v>0.14</x:v>
      </x:c>
      <x:c r="N2003" s="11" t="n">
        <x:f>IF(G2003,L2003*AN2003/(1+M2003)^F2003,0)</x:f>
        <x:v>0.12862394890790477</x:v>
      </x:c>
      <x:c r="AJ2003" t="n">
        <x:v>0</x:v>
      </x:c>
      <x:c r="AK2003" t="n">
        <x:v>0</x:v>
      </x:c>
      <x:c r="AL2003" t="n">
        <x:v>0</x:v>
      </x:c>
      <x:c r="AM2003" t="n">
        <x:f>CHOOSE('假设'!$B$3,AJ2003,AK2003,AL2003)</x:f>
        <x:v>0</x:v>
      </x:c>
      <x:c r="AN2003" t="n">
        <x:v>1</x:v>
      </x:c>
    </x:row>
    <x:row r="2004" ht="23" customHeight="1">
      <x:c r="A2004" s="11" t="str">
        <x:v>688302.SH</x:v>
      </x:c>
      <x:c r="B2004" s="11" t="str">
        <x:v>三年</x:v>
      </x:c>
      <x:c r="C2004" s="11" t="str">
        <x:v>hp515_mash_cn</x:v>
      </x:c>
      <x:c r="D2004" s="11" t="str">
        <x:v>2038-12-31</x:v>
      </x:c>
      <x:c r="E2004" s="11" t="str">
        <x:v>CNY</x:v>
      </x:c>
      <x:c r="F2004" s="11" t="n">
        <x:v>9.22655715263518</x:v>
      </x:c>
      <x:c r="G2004" s="26" t="b">
        <x:v>1</x:v>
      </x:c>
      <x:c r="H2004" s="16" t="n">
        <x:v>0.8</x:v>
      </x:c>
      <x:c r="I2004" s="16" t="n">
        <x:v>2.61</x:v>
      </x:c>
      <x:c r="J2004" s="16" t="n">
        <x:v>3.66</x:v>
      </x:c>
      <x:c r="K2004" s="11" t="n">
        <x:f>CHOOSE('假设'!$B$3,H2004,I2004,J2004)</x:f>
        <x:v>2.61</x:v>
      </x:c>
      <x:c r="L2004" s="11" t="n">
        <x:f>K2004*'管线假设'!E443*'管线假设'!F443*'管线假设'!G443*IF(E2004="USD",'管线假设'!I443,1)-AM2004</x:f>
        <x:v>0.32886</x:v>
      </x:c>
      <x:c r="M2004" s="11" t="n">
        <x:f>'管线假设'!H443</x:f>
        <x:v>0.14</x:v>
      </x:c>
      <x:c r="N2004" s="11" t="n">
        <x:f>IF(G2004,L2004*AN2004/(1+M2004)^F2004,0)</x:f>
        <x:v>0.09816918586763643</x:v>
      </x:c>
      <x:c r="AJ2004" t="n">
        <x:v>0</x:v>
      </x:c>
      <x:c r="AK2004" t="n">
        <x:v>0</x:v>
      </x:c>
      <x:c r="AL2004" t="n">
        <x:v>0</x:v>
      </x:c>
      <x:c r="AM2004" t="n">
        <x:f>CHOOSE('假设'!$B$3,AJ2004,AK2004,AL2004)</x:f>
        <x:v>0</x:v>
      </x:c>
      <x:c r="AN2004" t="n">
        <x:v>1</x:v>
      </x:c>
    </x:row>
    <x:row r="2005" ht="23" customHeight="1">
      <x:c r="A2005" s="11" t="str">
        <x:v>688302.SH</x:v>
      </x:c>
      <x:c r="B2005" s="11" t="str">
        <x:v>三年</x:v>
      </x:c>
      <x:c r="C2005" s="11" t="str">
        <x:v>hp515_mash_cn</x:v>
      </x:c>
      <x:c r="D2005" s="11" t="str">
        <x:v>2039-12-31</x:v>
      </x:c>
      <x:c r="E2005" s="11" t="str">
        <x:v>CNY</x:v>
      </x:c>
      <x:c r="F2005" s="11" t="n">
        <x:v>10.225872689938399</x:v>
      </x:c>
      <x:c r="G2005" s="26" t="b">
        <x:v>1</x:v>
      </x:c>
      <x:c r="H2005" s="16" t="n">
        <x:v>1</x:v>
      </x:c>
      <x:c r="I2005" s="16" t="n">
        <x:v>2.2199999999999998</x:v>
      </x:c>
      <x:c r="J2005" s="16" t="n">
        <x:v>2.88</x:v>
      </x:c>
      <x:c r="K2005" s="11" t="n">
        <x:f>CHOOSE('假设'!$B$3,H2005,I2005,J2005)</x:f>
        <x:v>2.2199999999999998</x:v>
      </x:c>
      <x:c r="L2005" s="11" t="n">
        <x:f>K2005*'管线假设'!E443*'管线假设'!F443*'管线假设'!G443*IF(E2005="USD",'管线假设'!I443,1)-AM2005</x:f>
        <x:v>0.27971999999999997</x:v>
      </x:c>
      <x:c r="M2005" s="11" t="n">
        <x:f>'管线假设'!H443</x:f>
        <x:v>0.14</x:v>
      </x:c>
      <x:c r="N2005" s="11" t="n">
        <x:f>IF(G2005,L2005*AN2005/(1+M2005)^F2005,0)</x:f>
        <x:v>0.07325238247937466</x:v>
      </x:c>
      <x:c r="AJ2005" t="n">
        <x:v>0</x:v>
      </x:c>
      <x:c r="AK2005" t="n">
        <x:v>0</x:v>
      </x:c>
      <x:c r="AL2005" t="n">
        <x:v>0</x:v>
      </x:c>
      <x:c r="AM2005" t="n">
        <x:f>CHOOSE('假设'!$B$3,AJ2005,AK2005,AL2005)</x:f>
        <x:v>0</x:v>
      </x:c>
      <x:c r="AN2005" t="n">
        <x:v>1</x:v>
      </x:c>
    </x:row>
    <x:row r="2006" ht="23" customHeight="1">
      <x:c r="A2006" s="11" t="str">
        <x:v>688302.SH</x:v>
      </x:c>
      <x:c r="B2006" s="11" t="str">
        <x:v>三年</x:v>
      </x:c>
      <x:c r="C2006" s="11" t="str">
        <x:v>hp515_mash_cn</x:v>
      </x:c>
      <x:c r="D2006" s="11" t="str">
        <x:v>2040-12-31</x:v>
      </x:c>
      <x:c r="E2006" s="11" t="str">
        <x:v>CNY</x:v>
      </x:c>
      <x:c r="F2006" s="11" t="n">
        <x:v>11.227926078028748</x:v>
      </x:c>
      <x:c r="G2006" s="26" t="b">
        <x:v>1</x:v>
      </x:c>
      <x:c r="H2006" s="16" t="n">
        <x:v>0.87</x:v>
      </x:c>
      <x:c r="I2006" s="16" t="n">
        <x:v>1.83</x:v>
      </x:c>
      <x:c r="J2006" s="16" t="n">
        <x:v>2.0999999999999996</x:v>
      </x:c>
      <x:c r="K2006" s="11" t="n">
        <x:f>CHOOSE('假设'!$B$3,H2006,I2006,J2006)</x:f>
        <x:v>1.83</x:v>
      </x:c>
      <x:c r="L2006" s="11" t="n">
        <x:f>K2006*'管线假设'!E443*'管线假设'!F443*'管线假设'!G443*IF(E2006="USD",'管线假设'!I443,1)-AM2006</x:f>
        <x:v>0.23058</x:v>
      </x:c>
      <x:c r="M2006" s="11" t="n">
        <x:f>'管线假设'!H443</x:f>
        <x:v>0.14</x:v>
      </x:c>
      <x:c r="N2006" s="11" t="n">
        <x:f>IF(G2006,L2006*AN2006/(1+M2006)^F2006,0)</x:f>
        <x:v>0.052953926775995336</x:v>
      </x:c>
      <x:c r="AJ2006" t="n">
        <x:v>0</x:v>
      </x:c>
      <x:c r="AK2006" t="n">
        <x:v>0</x:v>
      </x:c>
      <x:c r="AL2006" t="n">
        <x:v>0</x:v>
      </x:c>
      <x:c r="AM2006" t="n">
        <x:f>CHOOSE('假设'!$B$3,AJ2006,AK2006,AL2006)</x:f>
        <x:v>0</x:v>
      </x:c>
      <x:c r="AN2006" t="n">
        <x:v>1</x:v>
      </x:c>
    </x:row>
    <x:row r="2007" ht="23" customHeight="1">
      <x:c r="A2007" s="11" t="str">
        <x:v>688302.SH</x:v>
      </x:c>
      <x:c r="B2007" s="11" t="str">
        <x:v>三年</x:v>
      </x:c>
      <x:c r="C2007" s="11" t="str">
        <x:v>hp515_mash_cn</x:v>
      </x:c>
      <x:c r="D2007" s="11" t="str">
        <x:v>2041-12-31</x:v>
      </x:c>
      <x:c r="E2007" s="11" t="str">
        <x:v>CNY</x:v>
      </x:c>
      <x:c r="F2007" s="11" t="n">
        <x:v>12.227241615331964</x:v>
      </x:c>
      <x:c r="G2007" s="26" t="b">
        <x:v>1</x:v>
      </x:c>
      <x:c r="H2007" s="16" t="n">
        <x:v>0.74</x:v>
      </x:c>
      <x:c r="I2007" s="16" t="n">
        <x:v>1.44</x:v>
      </x:c>
      <x:c r="J2007" s="16" t="n">
        <x:v>1.3199999999999998</x:v>
      </x:c>
      <x:c r="K2007" s="11" t="n">
        <x:f>CHOOSE('假设'!$B$3,H2007,I2007,J2007)</x:f>
        <x:v>1.44</x:v>
      </x:c>
      <x:c r="L2007" s="11" t="n">
        <x:f>K2007*'管线假设'!E443*'管线假设'!F443*'管线假设'!G443*IF(E2007="USD",'管线假设'!I443,1)-AM2007</x:f>
        <x:v>0.18144</x:v>
      </x:c>
      <x:c r="M2007" s="11" t="n">
        <x:f>'管线假设'!H443</x:f>
        <x:v>0.14</x:v>
      </x:c>
      <x:c r="N2007" s="11" t="n">
        <x:f>IF(G2007,L2007*AN2007/(1+M2007)^F2007,0)</x:f>
        <x:v>0.03655473760600384</x:v>
      </x:c>
      <x:c r="AJ2007" t="n">
        <x:v>0</x:v>
      </x:c>
      <x:c r="AK2007" t="n">
        <x:v>0</x:v>
      </x:c>
      <x:c r="AL2007" t="n">
        <x:v>0</x:v>
      </x:c>
      <x:c r="AM2007" t="n">
        <x:f>CHOOSE('假设'!$B$3,AJ2007,AK2007,AL2007)</x:f>
        <x:v>0</x:v>
      </x:c>
      <x:c r="AN2007" t="n">
        <x:v>1</x:v>
      </x:c>
    </x:row>
    <x:row r="2008" ht="23" customHeight="1">
      <x:c r="A2008" s="11" t="str">
        <x:v>688302.SH</x:v>
      </x:c>
      <x:c r="B2008" s="11" t="str">
        <x:v>三年</x:v>
      </x:c>
      <x:c r="C2008" s="11" t="str">
        <x:v>hp515_mash_cn</x:v>
      </x:c>
      <x:c r="D2008" s="11" t="str">
        <x:v>2042-12-31</x:v>
      </x:c>
      <x:c r="E2008" s="11" t="str">
        <x:v>CNY</x:v>
      </x:c>
      <x:c r="F2008" s="11" t="n">
        <x:v>13.22655715263518</x:v>
      </x:c>
      <x:c r="G2008" s="26" t="b">
        <x:v>1</x:v>
      </x:c>
      <x:c r="H2008" s="16" t="n">
        <x:v>0.61</x:v>
      </x:c>
      <x:c r="I2008" s="16" t="n">
        <x:v>1.0499999999999998</x:v>
      </x:c>
      <x:c r="J2008" s="16" t="n">
        <x:v>0.5399999999999998</x:v>
      </x:c>
      <x:c r="K2008" s="11" t="n">
        <x:f>CHOOSE('假设'!$B$3,H2008,I2008,J2008)</x:f>
        <x:v>1.0499999999999998</x:v>
      </x:c>
      <x:c r="L2008" s="11" t="n">
        <x:f>K2008*'管线假设'!E443*'管线假设'!F443*'管线假设'!G443*IF(E2008="USD",'管线假设'!I443,1)-AM2008</x:f>
        <x:v>0.13229999999999997</x:v>
      </x:c>
      <x:c r="M2008" s="11" t="n">
        <x:f>'管线假设'!H443</x:f>
        <x:v>0.14</x:v>
      </x:c>
      <x:c r="N2008" s="11" t="n">
        <x:f>IF(G2008,L2008*AN2008/(1+M2008)^F2008,0)</x:f>
        <x:v>0.02338323399908109</x:v>
      </x:c>
      <x:c r="AJ2008" t="n">
        <x:v>0</x:v>
      </x:c>
      <x:c r="AK2008" t="n">
        <x:v>0</x:v>
      </x:c>
      <x:c r="AL2008" t="n">
        <x:v>0</x:v>
      </x:c>
      <x:c r="AM2008" t="n">
        <x:f>CHOOSE('假设'!$B$3,AJ2008,AK2008,AL2008)</x:f>
        <x:v>0</x:v>
      </x:c>
      <x:c r="AN2008" t="n">
        <x:v>1</x:v>
      </x:c>
    </x:row>
    <x:row r="2009" ht="23" customHeight="1">
      <x:c r="A2009" s="11" t="str">
        <x:v>688302.SH</x:v>
      </x:c>
      <x:c r="B2009" s="11" t="str">
        <x:v>三年</x:v>
      </x:c>
      <x:c r="C2009" s="11" t="str">
        <x:v>hp515_mash_cn</x:v>
      </x:c>
      <x:c r="D2009" s="11" t="str">
        <x:v>2043-12-31</x:v>
      </x:c>
      <x:c r="E2009" s="11" t="str">
        <x:v>CNY</x:v>
      </x:c>
      <x:c r="F2009" s="11" t="n">
        <x:v>14.225872689938399</x:v>
      </x:c>
      <x:c r="G2009" s="26" t="b">
        <x:v>1</x:v>
      </x:c>
      <x:c r="H2009" s="16" t="n">
        <x:v>0.48</x:v>
      </x:c>
      <x:c r="I2009" s="16" t="n">
        <x:v>0.6599999999999999</x:v>
      </x:c>
      <x:c r="J2009" s="16" t="n">
        <x:v>0</x:v>
      </x:c>
      <x:c r="K2009" s="11" t="n">
        <x:f>CHOOSE('假设'!$B$3,H2009,I2009,J2009)</x:f>
        <x:v>0.6599999999999999</x:v>
      </x:c>
      <x:c r="L2009" s="11" t="n">
        <x:f>K2009*'管线假设'!E443*'管线假设'!F443*'管线假设'!G443*IF(E2009="USD",'管线假设'!I443,1)-AM2009</x:f>
        <x:v>0.08315999999999998</x:v>
      </x:c>
      <x:c r="M2009" s="11" t="n">
        <x:f>'管线假设'!H443</x:f>
        <x:v>0.14</x:v>
      </x:c>
      <x:c r="N2009" s="11" t="n">
        <x:f>IF(G2009,L2009*AN2009/(1+M2009)^F2009,0)</x:f>
        <x:v>0.01289416757569105</x:v>
      </x:c>
      <x:c r="AJ2009" t="n">
        <x:v>0</x:v>
      </x:c>
      <x:c r="AK2009" t="n">
        <x:v>0</x:v>
      </x:c>
      <x:c r="AL2009" t="n">
        <x:v>0</x:v>
      </x:c>
      <x:c r="AM2009" t="n">
        <x:f>CHOOSE('假设'!$B$3,AJ2009,AK2009,AL2009)</x:f>
        <x:v>0</x:v>
      </x:c>
      <x:c r="AN2009" t="n">
        <x:v>1</x:v>
      </x:c>
    </x:row>
    <x:row r="2010" ht="23" customHeight="1">
      <x:c r="A2010" s="11" t="str">
        <x:v>688302.SH</x:v>
      </x:c>
      <x:c r="B2010" s="11" t="str">
        <x:v>三年</x:v>
      </x:c>
      <x:c r="C2010" s="11" t="str">
        <x:v>hp515_mash_cn</x:v>
      </x:c>
      <x:c r="D2010" s="11" t="str">
        <x:v>2044-12-31</x:v>
      </x:c>
      <x:c r="E2010" s="11" t="str">
        <x:v>CNY</x:v>
      </x:c>
      <x:c r="F2010" s="11" t="n">
        <x:v>15.227926078028748</x:v>
      </x:c>
      <x:c r="G2010" s="26" t="b">
        <x:v>1</x:v>
      </x:c>
      <x:c r="H2010" s="16" t="n">
        <x:v>0.35</x:v>
      </x:c>
      <x:c r="I2010" s="16" t="n">
        <x:v>0.2699999999999999</x:v>
      </x:c>
      <x:c r="J2010" s="16" t="n">
        <x:v>0</x:v>
      </x:c>
      <x:c r="K2010" s="11" t="n">
        <x:f>CHOOSE('假设'!$B$3,H2010,I2010,J2010)</x:f>
        <x:v>0.2699999999999999</x:v>
      </x:c>
      <x:c r="L2010" s="11" t="n">
        <x:f>K2010*'管线假设'!E443*'管线假设'!F443*'管线假设'!G443*IF(E2010="USD",'管线假设'!I443,1)-AM2010</x:f>
        <x:v>0.03401999999999999</x:v>
      </x:c>
      <x:c r="M2010" s="11" t="n">
        <x:f>'管线假设'!H443</x:f>
        <x:v>0.14</x:v>
      </x:c>
      <x:c r="N2010" s="11" t="n">
        <x:f>IF(G2010,L2010*AN2010/(1+M2010)^F2010,0)</x:f>
        <x:v>0.004625848866890952</x:v>
      </x:c>
      <x:c r="AJ2010" t="n">
        <x:v>0</x:v>
      </x:c>
      <x:c r="AK2010" t="n">
        <x:v>0</x:v>
      </x:c>
      <x:c r="AL2010" t="n">
        <x:v>0</x:v>
      </x:c>
      <x:c r="AM2010" t="n">
        <x:f>CHOOSE('假设'!$B$3,AJ2010,AK2010,AL2010)</x:f>
        <x:v>0</x:v>
      </x:c>
      <x:c r="AN2010" t="n">
        <x:v>1</x:v>
      </x:c>
    </x:row>
    <x:row r="2011" ht="23" customHeight="1">
      <x:c r="A2011" s="11" t="str">
        <x:v>688302.SH</x:v>
      </x:c>
      <x:c r="B2011" s="11" t="str">
        <x:v>三年</x:v>
      </x:c>
      <x:c r="C2011" s="11" t="str">
        <x:v>hp515_mash_cn</x:v>
      </x:c>
      <x:c r="D2011" s="11" t="str">
        <x:v>2045-12-31</x:v>
      </x:c>
      <x:c r="E2011" s="11" t="str">
        <x:v>CNY</x:v>
      </x:c>
      <x:c r="F2011" s="11" t="n">
        <x:v>16.227241615331966</x:v>
      </x:c>
      <x:c r="G2011" s="26" t="b">
        <x:v>1</x:v>
      </x:c>
      <x:c r="H2011" s="16" t="n">
        <x:v>0.21999999999999997</x:v>
      </x:c>
      <x:c r="I2011" s="16" t="n">
        <x:v>0</x:v>
      </x:c>
      <x:c r="J2011" s="16" t="n">
        <x:v>0</x:v>
      </x:c>
      <x:c r="K2011" s="11" t="n">
        <x:f>CHOOSE('假设'!$B$3,H2011,I2011,J2011)</x:f>
        <x:v>0</x:v>
      </x:c>
      <x:c r="L2011" s="11" t="n">
        <x:f>K2011*'管线假设'!E443*'管线假设'!F443*'管线假设'!G443*IF(E2011="USD",'管线假设'!I443,1)-AM2011</x:f>
        <x:v>0</x:v>
      </x:c>
      <x:c r="M2011" s="11" t="n">
        <x:f>'管线假设'!H443</x:f>
        <x:v>0.14</x:v>
      </x:c>
      <x:c r="N2011" s="11" t="n">
        <x:f>IF(G2011,L2011*AN2011/(1+M2011)^F2011,0)</x:f>
        <x:v>0</x:v>
      </x:c>
      <x:c r="AJ2011" t="n">
        <x:v>0</x:v>
      </x:c>
      <x:c r="AK2011" t="n">
        <x:v>0</x:v>
      </x:c>
      <x:c r="AL2011" t="n">
        <x:v>0</x:v>
      </x:c>
      <x:c r="AM2011" t="n">
        <x:f>CHOOSE('假设'!$B$3,AJ2011,AK2011,AL2011)</x:f>
        <x:v>0</x:v>
      </x:c>
      <x:c r="AN2011" t="n">
        <x:v>1</x:v>
      </x:c>
    </x:row>
    <x:row r="2012" ht="23" customHeight="1">
      <x:c r="A2012" s="11" t="str">
        <x:v>688302.SH</x:v>
      </x:c>
      <x:c r="B2012" s="11" t="str">
        <x:v>三年</x:v>
      </x:c>
      <x:c r="C2012" s="11" t="str">
        <x:v>hp515_mash_global</x:v>
      </x:c>
      <x:c r="D2012" s="11" t="str">
        <x:v>2027-12-31</x:v>
      </x:c>
      <x:c r="E2012" s="11" t="str">
        <x:v>USD</x:v>
      </x:c>
      <x:c r="F2012" s="11" t="n">
        <x:v>-1.7741273100616017</x:v>
      </x:c>
      <x:c r="G2012" s="26" t="b">
        <x:v>0</x:v>
      </x:c>
      <x:c r="H2012" s="16" t="n">
        <x:v>0</x:v>
      </x:c>
      <x:c r="I2012" s="16" t="n">
        <x:v>0</x:v>
      </x:c>
      <x:c r="J2012" s="16" t="n">
        <x:v>0</x:v>
      </x:c>
      <x:c r="K2012" s="11" t="n">
        <x:f>CHOOSE('假设'!$B$3,H2012,I2012,J2012)</x:f>
        <x:v>0</x:v>
      </x:c>
      <x:c r="L2012" s="11" t="n">
        <x:f>K2012*'管线假设'!E447*'管线假设'!F447*'管线假设'!G447*IF(E2012="USD",'管线假设'!I447,1)-AM2012</x:f>
        <x:v>0</x:v>
      </x:c>
      <x:c r="M2012" s="11" t="n">
        <x:f>'管线假设'!H447</x:f>
        <x:v>0.14</x:v>
      </x:c>
      <x:c r="N2012" s="11" t="n">
        <x:f>IF(G2012,L2012*AN2012/(1+M2012)^F2012,0)</x:f>
        <x:v>0</x:v>
      </x:c>
      <x:c r="AJ2012" t="n">
        <x:v>0</x:v>
      </x:c>
      <x:c r="AK2012" t="n">
        <x:v>0</x:v>
      </x:c>
      <x:c r="AL2012" t="n">
        <x:v>0</x:v>
      </x:c>
      <x:c r="AM2012" t="n">
        <x:f>CHOOSE('假设'!$B$3,AJ2012,AK2012,AL2012)</x:f>
        <x:v>0</x:v>
      </x:c>
      <x:c r="AN2012" t="n">
        <x:v>1</x:v>
      </x:c>
    </x:row>
    <x:row r="2013" ht="23" customHeight="1">
      <x:c r="A2013" s="11" t="str">
        <x:v>688302.SH</x:v>
      </x:c>
      <x:c r="B2013" s="11" t="str">
        <x:v>三年</x:v>
      </x:c>
      <x:c r="C2013" s="11" t="str">
        <x:v>hp515_mash_global</x:v>
      </x:c>
      <x:c r="D2013" s="11" t="str">
        <x:v>2028-12-31</x:v>
      </x:c>
      <x:c r="E2013" s="11" t="str">
        <x:v>USD</x:v>
      </x:c>
      <x:c r="F2013" s="11" t="n">
        <x:v>-0.7720739219712526</x:v>
      </x:c>
      <x:c r="G2013" s="26" t="b">
        <x:v>0</x:v>
      </x:c>
      <x:c r="H2013" s="16" t="n">
        <x:v>0</x:v>
      </x:c>
      <x:c r="I2013" s="16" t="n">
        <x:v>0</x:v>
      </x:c>
      <x:c r="J2013" s="16" t="n">
        <x:v>0</x:v>
      </x:c>
      <x:c r="K2013" s="11" t="n">
        <x:f>CHOOSE('假设'!$B$3,H2013,I2013,J2013)</x:f>
        <x:v>0</x:v>
      </x:c>
      <x:c r="L2013" s="11" t="n">
        <x:f>K2013*'管线假设'!E447*'管线假设'!F447*'管线假设'!G447*IF(E2013="USD",'管线假设'!I447,1)-AM2013</x:f>
        <x:v>0</x:v>
      </x:c>
      <x:c r="M2013" s="11" t="n">
        <x:f>'管线假设'!H447</x:f>
        <x:v>0.14</x:v>
      </x:c>
      <x:c r="N2013" s="11" t="n">
        <x:f>IF(G2013,L2013*AN2013/(1+M2013)^F2013,0)</x:f>
        <x:v>0</x:v>
      </x:c>
      <x:c r="AJ2013" t="n">
        <x:v>0</x:v>
      </x:c>
      <x:c r="AK2013" t="n">
        <x:v>0</x:v>
      </x:c>
      <x:c r="AL2013" t="n">
        <x:v>0</x:v>
      </x:c>
      <x:c r="AM2013" t="n">
        <x:f>CHOOSE('假设'!$B$3,AJ2013,AK2013,AL2013)</x:f>
        <x:v>0</x:v>
      </x:c>
      <x:c r="AN2013" t="n">
        <x:v>1</x:v>
      </x:c>
    </x:row>
    <x:row r="2014" ht="23" customHeight="1">
      <x:c r="A2014" s="11" t="str">
        <x:v>688302.SH</x:v>
      </x:c>
      <x:c r="B2014" s="11" t="str">
        <x:v>三年</x:v>
      </x:c>
      <x:c r="C2014" s="11" t="str">
        <x:v>hp515_mash_global</x:v>
      </x:c>
      <x:c r="D2014" s="11" t="str">
        <x:v>2029-12-31</x:v>
      </x:c>
      <x:c r="E2014" s="11" t="str">
        <x:v>USD</x:v>
      </x:c>
      <x:c r="F2014" s="11" t="n">
        <x:v>0.2272416153319644</x:v>
      </x:c>
      <x:c r="G2014" s="26" t="b">
        <x:v>1</x:v>
      </x:c>
      <x:c r="H2014" s="16" t="n">
        <x:v>0</x:v>
      </x:c>
      <x:c r="I2014" s="16" t="n">
        <x:v>0</x:v>
      </x:c>
      <x:c r="J2014" s="16" t="n">
        <x:v>0</x:v>
      </x:c>
      <x:c r="K2014" s="11" t="n">
        <x:f>CHOOSE('假设'!$B$3,H2014,I2014,J2014)</x:f>
        <x:v>0</x:v>
      </x:c>
      <x:c r="L2014" s="11" t="n">
        <x:f>K2014*'管线假设'!E447*'管线假设'!F447*'管线假设'!G447*IF(E2014="USD",'管线假设'!I447,1)-AM2014</x:f>
        <x:v>0</x:v>
      </x:c>
      <x:c r="M2014" s="11" t="n">
        <x:f>'管线假设'!H447</x:f>
        <x:v>0.14</x:v>
      </x:c>
      <x:c r="N2014" s="11" t="n">
        <x:f>IF(G2014,L2014*AN2014/(1+M2014)^F2014,0)</x:f>
        <x:v>0</x:v>
      </x:c>
      <x:c r="AJ2014" t="n">
        <x:v>0</x:v>
      </x:c>
      <x:c r="AK2014" t="n">
        <x:v>0</x:v>
      </x:c>
      <x:c r="AL2014" t="n">
        <x:v>0</x:v>
      </x:c>
      <x:c r="AM2014" t="n">
        <x:f>CHOOSE('假设'!$B$3,AJ2014,AK2014,AL2014)</x:f>
        <x:v>0</x:v>
      </x:c>
      <x:c r="AN2014" t="n">
        <x:v>1</x:v>
      </x:c>
    </x:row>
    <x:row r="2015" ht="23" customHeight="1">
      <x:c r="A2015" s="11" t="str">
        <x:v>688302.SH</x:v>
      </x:c>
      <x:c r="B2015" s="11" t="str">
        <x:v>三年</x:v>
      </x:c>
      <x:c r="C2015" s="11" t="str">
        <x:v>hp515_mash_global</x:v>
      </x:c>
      <x:c r="D2015" s="11" t="str">
        <x:v>2030-12-31</x:v>
      </x:c>
      <x:c r="E2015" s="11" t="str">
        <x:v>USD</x:v>
      </x:c>
      <x:c r="F2015" s="11" t="n">
        <x:v>1.2265571526351813</x:v>
      </x:c>
      <x:c r="G2015" s="26" t="b">
        <x:v>1</x:v>
      </x:c>
      <x:c r="H2015" s="16" t="n">
        <x:v>0</x:v>
      </x:c>
      <x:c r="I2015" s="16" t="n">
        <x:v>0</x:v>
      </x:c>
      <x:c r="J2015" s="16" t="n">
        <x:v>0</x:v>
      </x:c>
      <x:c r="K2015" s="11" t="n">
        <x:f>CHOOSE('假设'!$B$3,H2015,I2015,J2015)</x:f>
        <x:v>0</x:v>
      </x:c>
      <x:c r="L2015" s="11" t="n">
        <x:f>K2015*'管线假设'!E447*'管线假设'!F447*'管线假设'!G447*IF(E2015="USD",'管线假设'!I447,1)-AM2015</x:f>
        <x:v>0</x:v>
      </x:c>
      <x:c r="M2015" s="11" t="n">
        <x:f>'管线假设'!H447</x:f>
        <x:v>0.14</x:v>
      </x:c>
      <x:c r="N2015" s="11" t="n">
        <x:f>IF(G2015,L2015*AN2015/(1+M2015)^F2015,0)</x:f>
        <x:v>0</x:v>
      </x:c>
      <x:c r="AJ2015" t="n">
        <x:v>0</x:v>
      </x:c>
      <x:c r="AK2015" t="n">
        <x:v>0</x:v>
      </x:c>
      <x:c r="AL2015" t="n">
        <x:v>0</x:v>
      </x:c>
      <x:c r="AM2015" t="n">
        <x:f>CHOOSE('假设'!$B$3,AJ2015,AK2015,AL2015)</x:f>
        <x:v>0</x:v>
      </x:c>
      <x:c r="AN2015" t="n">
        <x:v>1</x:v>
      </x:c>
    </x:row>
    <x:row r="2016" ht="23" customHeight="1">
      <x:c r="A2016" s="11" t="str">
        <x:v>688302.SH</x:v>
      </x:c>
      <x:c r="B2016" s="11" t="str">
        <x:v>三年</x:v>
      </x:c>
      <x:c r="C2016" s="11" t="str">
        <x:v>hp515_mash_global</x:v>
      </x:c>
      <x:c r="D2016" s="11" t="str">
        <x:v>2031-12-31</x:v>
      </x:c>
      <x:c r="E2016" s="11" t="str">
        <x:v>USD</x:v>
      </x:c>
      <x:c r="F2016" s="11" t="n">
        <x:v>2.2258726899383983</x:v>
      </x:c>
      <x:c r="G2016" s="26" t="b">
        <x:v>1</x:v>
      </x:c>
      <x:c r="H2016" s="16" t="n">
        <x:v>0</x:v>
      </x:c>
      <x:c r="I2016" s="16" t="n">
        <x:v>0</x:v>
      </x:c>
      <x:c r="J2016" s="16" t="n">
        <x:v>1.1666666666666665</x:v>
      </x:c>
      <x:c r="K2016" s="11" t="n">
        <x:f>CHOOSE('假设'!$B$3,H2016,I2016,J2016)</x:f>
        <x:v>0</x:v>
      </x:c>
      <x:c r="L2016" s="11" t="n">
        <x:f>K2016*'管线假设'!E447*'管线假设'!F447*'管线假设'!G447*IF(E2016="USD",'管线假设'!I447,1)-AM2016</x:f>
        <x:v>0</x:v>
      </x:c>
      <x:c r="M2016" s="11" t="n">
        <x:f>'管线假设'!H447</x:f>
        <x:v>0.14</x:v>
      </x:c>
      <x:c r="N2016" s="11" t="n">
        <x:f>IF(G2016,L2016*AN2016/(1+M2016)^F2016,0)</x:f>
        <x:v>0</x:v>
      </x:c>
      <x:c r="AJ2016" t="n">
        <x:v>0</x:v>
      </x:c>
      <x:c r="AK2016" t="n">
        <x:v>0</x:v>
      </x:c>
      <x:c r="AL2016" t="n">
        <x:v>0</x:v>
      </x:c>
      <x:c r="AM2016" t="n">
        <x:f>CHOOSE('假设'!$B$3,AJ2016,AK2016,AL2016)</x:f>
        <x:v>0</x:v>
      </x:c>
      <x:c r="AN2016" t="n">
        <x:v>1</x:v>
      </x:c>
    </x:row>
    <x:row r="2017" ht="23" customHeight="1">
      <x:c r="A2017" s="11" t="str">
        <x:v>688302.SH</x:v>
      </x:c>
      <x:c r="B2017" s="11" t="str">
        <x:v>三年</x:v>
      </x:c>
      <x:c r="C2017" s="11" t="str">
        <x:v>hp515_mash_global</x:v>
      </x:c>
      <x:c r="D2017" s="11" t="str">
        <x:v>2032-12-31</x:v>
      </x:c>
      <x:c r="E2017" s="11" t="str">
        <x:v>USD</x:v>
      </x:c>
      <x:c r="F2017" s="11" t="n">
        <x:v>3.2279260780287475</x:v>
      </x:c>
      <x:c r="G2017" s="26" t="b">
        <x:v>1</x:v>
      </x:c>
      <x:c r="H2017" s="16" t="n">
        <x:v>0</x:v>
      </x:c>
      <x:c r="I2017" s="16" t="n">
        <x:v>0</x:v>
      </x:c>
      <x:c r="J2017" s="16" t="n">
        <x:v>2.333333333333333</x:v>
      </x:c>
      <x:c r="K2017" s="11" t="n">
        <x:f>CHOOSE('假设'!$B$3,H2017,I2017,J2017)</x:f>
        <x:v>0</x:v>
      </x:c>
      <x:c r="L2017" s="11" t="n">
        <x:f>K2017*'管线假设'!E447*'管线假设'!F447*'管线假设'!G447*IF(E2017="USD",'管线假设'!I447,1)-AM2017</x:f>
        <x:v>0</x:v>
      </x:c>
      <x:c r="M2017" s="11" t="n">
        <x:f>'管线假设'!H447</x:f>
        <x:v>0.14</x:v>
      </x:c>
      <x:c r="N2017" s="11" t="n">
        <x:f>IF(G2017,L2017*AN2017/(1+M2017)^F2017,0)</x:f>
        <x:v>0</x:v>
      </x:c>
      <x:c r="AJ2017" t="n">
        <x:v>0</x:v>
      </x:c>
      <x:c r="AK2017" t="n">
        <x:v>0</x:v>
      </x:c>
      <x:c r="AL2017" t="n">
        <x:v>0</x:v>
      </x:c>
      <x:c r="AM2017" t="n">
        <x:f>CHOOSE('假设'!$B$3,AJ2017,AK2017,AL2017)</x:f>
        <x:v>0</x:v>
      </x:c>
      <x:c r="AN2017" t="n">
        <x:v>1</x:v>
      </x:c>
    </x:row>
    <x:row r="2018" ht="23" customHeight="1">
      <x:c r="A2018" s="11" t="str">
        <x:v>688302.SH</x:v>
      </x:c>
      <x:c r="B2018" s="11" t="str">
        <x:v>三年</x:v>
      </x:c>
      <x:c r="C2018" s="11" t="str">
        <x:v>hp515_mash_global</x:v>
      </x:c>
      <x:c r="D2018" s="11" t="str">
        <x:v>2033-12-31</x:v>
      </x:c>
      <x:c r="E2018" s="11" t="str">
        <x:v>USD</x:v>
      </x:c>
      <x:c r="F2018" s="11" t="n">
        <x:v>4.227241615331964</x:v>
      </x:c>
      <x:c r="G2018" s="26" t="b">
        <x:v>1</x:v>
      </x:c>
      <x:c r="H2018" s="16" t="n">
        <x:v>0</x:v>
      </x:c>
      <x:c r="I2018" s="16" t="n">
        <x:v>0.5833333333333333</x:v>
      </x:c>
      <x:c r="J2018" s="16" t="n">
        <x:v>3.5</x:v>
      </x:c>
      <x:c r="K2018" s="11" t="n">
        <x:f>CHOOSE('假设'!$B$3,H2018,I2018,J2018)</x:f>
        <x:v>0.5833333333333333</x:v>
      </x:c>
      <x:c r="L2018" s="11" t="n">
        <x:f>K2018*'管线假设'!E447*'管线假设'!F447*'管线假设'!G447*IF(E2018="USD",'管线假设'!I447,1)-AM2018</x:f>
        <x:v>0.11709599999999996</x:v>
      </x:c>
      <x:c r="M2018" s="11" t="n">
        <x:f>'管线假设'!H447</x:f>
        <x:v>0.14</x:v>
      </x:c>
      <x:c r="N2018" s="11" t="n">
        <x:f>IF(G2018,L2018*AN2018/(1+M2018)^F2018,0)</x:f>
        <x:v>0.06729634913473187</x:v>
      </x:c>
      <x:c r="AJ2018" t="n">
        <x:v>0</x:v>
      </x:c>
      <x:c r="AK2018" t="n">
        <x:v>0</x:v>
      </x:c>
      <x:c r="AL2018" t="n">
        <x:v>0</x:v>
      </x:c>
      <x:c r="AM2018" t="n">
        <x:f>CHOOSE('假设'!$B$3,AJ2018,AK2018,AL2018)</x:f>
        <x:v>0</x:v>
      </x:c>
      <x:c r="AN2018" t="n">
        <x:v>1</x:v>
      </x:c>
    </x:row>
    <x:row r="2019" ht="23" customHeight="1">
      <x:c r="A2019" s="11" t="str">
        <x:v>688302.SH</x:v>
      </x:c>
      <x:c r="B2019" s="11" t="str">
        <x:v>三年</x:v>
      </x:c>
      <x:c r="C2019" s="11" t="str">
        <x:v>hp515_mash_global</x:v>
      </x:c>
      <x:c r="D2019" s="11" t="str">
        <x:v>2034-12-31</x:v>
      </x:c>
      <x:c r="E2019" s="11" t="str">
        <x:v>USD</x:v>
      </x:c>
      <x:c r="F2019" s="11" t="n">
        <x:v>5.2265571526351815</x:v>
      </x:c>
      <x:c r="G2019" s="26" t="b">
        <x:v>1</x:v>
      </x:c>
      <x:c r="H2019" s="16" t="n">
        <x:v>0</x:v>
      </x:c>
      <x:c r="I2019" s="16" t="n">
        <x:v>1.1666666666666665</x:v>
      </x:c>
      <x:c r="J2019" s="16" t="n">
        <x:v>4.666666666666666</x:v>
      </x:c>
      <x:c r="K2019" s="11" t="n">
        <x:f>CHOOSE('假设'!$B$3,H2019,I2019,J2019)</x:f>
        <x:v>1.1666666666666665</x:v>
      </x:c>
      <x:c r="L2019" s="11" t="n">
        <x:f>K2019*'管线假设'!E447*'管线假设'!F447*'管线假设'!G447*IF(E2019="USD",'管线假设'!I447,1)-AM2019</x:f>
        <x:v>0.23419199999999993</x:v>
      </x:c>
      <x:c r="M2019" s="11" t="n">
        <x:f>'管线假设'!H447</x:f>
        <x:v>0.14</x:v>
      </x:c>
      <x:c r="N2019" s="11" t="n">
        <x:f>IF(G2019,L2019*AN2019/(1+M2019)^F2019,0)</x:f>
        <x:v>0.11807435931283869</x:v>
      </x:c>
      <x:c r="AJ2019" t="n">
        <x:v>0</x:v>
      </x:c>
      <x:c r="AK2019" t="n">
        <x:v>0</x:v>
      </x:c>
      <x:c r="AL2019" t="n">
        <x:v>0</x:v>
      </x:c>
      <x:c r="AM2019" t="n">
        <x:f>CHOOSE('假设'!$B$3,AJ2019,AK2019,AL2019)</x:f>
        <x:v>0</x:v>
      </x:c>
      <x:c r="AN2019" t="n">
        <x:v>1</x:v>
      </x:c>
    </x:row>
    <x:row r="2020" ht="23" customHeight="1">
      <x:c r="A2020" s="11" t="str">
        <x:v>688302.SH</x:v>
      </x:c>
      <x:c r="B2020" s="11" t="str">
        <x:v>三年</x:v>
      </x:c>
      <x:c r="C2020" s="11" t="str">
        <x:v>hp515_mash_global</x:v>
      </x:c>
      <x:c r="D2020" s="11" t="str">
        <x:v>2035-12-31</x:v>
      </x:c>
      <x:c r="E2020" s="11" t="str">
        <x:v>USD</x:v>
      </x:c>
      <x:c r="F2020" s="11" t="n">
        <x:v>6.225872689938399</x:v>
      </x:c>
      <x:c r="G2020" s="26" t="b">
        <x:v>1</x:v>
      </x:c>
      <x:c r="H2020" s="16" t="n">
        <x:v>0</x:v>
      </x:c>
      <x:c r="I2020" s="16" t="n">
        <x:v>1.75</x:v>
      </x:c>
      <x:c r="J2020" s="16" t="n">
        <x:v>5.833333333333334</x:v>
      </x:c>
      <x:c r="K2020" s="11" t="n">
        <x:f>CHOOSE('假设'!$B$3,H2020,I2020,J2020)</x:f>
        <x:v>1.75</x:v>
      </x:c>
      <x:c r="L2020" s="11" t="n">
        <x:f>K2020*'管线假设'!E447*'管线假设'!F447*'管线假设'!G447*IF(E2020="USD",'管线假设'!I447,1)-AM2020</x:f>
        <x:v>0.35128799999999993</x:v>
      </x:c>
      <x:c r="M2020" s="11" t="n">
        <x:f>'管线假设'!H447</x:f>
        <x:v>0.14</x:v>
      </x:c>
      <x:c r="N2020" s="11" t="n">
        <x:f>IF(G2020,L2020*AN2020/(1+M2020)^F2020,0)</x:f>
        <x:v>0.1553749331099529</x:v>
      </x:c>
      <x:c r="AJ2020" t="n">
        <x:v>0</x:v>
      </x:c>
      <x:c r="AK2020" t="n">
        <x:v>0</x:v>
      </x:c>
      <x:c r="AL2020" t="n">
        <x:v>0</x:v>
      </x:c>
      <x:c r="AM2020" t="n">
        <x:f>CHOOSE('假设'!$B$3,AJ2020,AK2020,AL2020)</x:f>
        <x:v>0</x:v>
      </x:c>
      <x:c r="AN2020" t="n">
        <x:v>1</x:v>
      </x:c>
    </x:row>
    <x:row r="2021" ht="23" customHeight="1">
      <x:c r="A2021" s="11" t="str">
        <x:v>688302.SH</x:v>
      </x:c>
      <x:c r="B2021" s="11" t="str">
        <x:v>三年</x:v>
      </x:c>
      <x:c r="C2021" s="11" t="str">
        <x:v>hp515_mash_global</x:v>
      </x:c>
      <x:c r="D2021" s="11" t="str">
        <x:v>2036-12-31</x:v>
      </x:c>
      <x:c r="E2021" s="11" t="str">
        <x:v>USD</x:v>
      </x:c>
      <x:c r="F2021" s="11" t="n">
        <x:v>7.227926078028747</x:v>
      </x:c>
      <x:c r="G2021" s="26" t="b">
        <x:v>1</x:v>
      </x:c>
      <x:c r="H2021" s="16" t="n">
        <x:v>0.2</x:v>
      </x:c>
      <x:c r="I2021" s="16" t="n">
        <x:v>2.333333333333333</x:v>
      </x:c>
      <x:c r="J2021" s="16" t="n">
        <x:v>7</x:v>
      </x:c>
      <x:c r="K2021" s="11" t="n">
        <x:f>CHOOSE('假设'!$B$3,H2021,I2021,J2021)</x:f>
        <x:v>2.333333333333333</x:v>
      </x:c>
      <x:c r="L2021" s="11" t="n">
        <x:f>K2021*'管线假设'!E447*'管线假设'!F447*'管线假设'!G447*IF(E2021="USD",'管线假设'!I447,1)-AM2021</x:f>
        <x:v>0.46838399999999986</x:v>
      </x:c>
      <x:c r="M2021" s="11" t="n">
        <x:f>'管线假设'!H447</x:f>
        <x:v>0.14</x:v>
      </x:c>
      <x:c r="N2021" s="11" t="n">
        <x:f>IF(G2021,L2021*AN2021/(1+M2021)^F2021,0)</x:f>
        <x:v>0.18167618107170488</x:v>
      </x:c>
      <x:c r="AJ2021" t="n">
        <x:v>0</x:v>
      </x:c>
      <x:c r="AK2021" t="n">
        <x:v>0</x:v>
      </x:c>
      <x:c r="AL2021" t="n">
        <x:v>0</x:v>
      </x:c>
      <x:c r="AM2021" t="n">
        <x:f>CHOOSE('假设'!$B$3,AJ2021,AK2021,AL2021)</x:f>
        <x:v>0</x:v>
      </x:c>
      <x:c r="AN2021" t="n">
        <x:v>1</x:v>
      </x:c>
    </x:row>
    <x:row r="2022" ht="23" customHeight="1">
      <x:c r="A2022" s="11" t="str">
        <x:v>688302.SH</x:v>
      </x:c>
      <x:c r="B2022" s="11" t="str">
        <x:v>三年</x:v>
      </x:c>
      <x:c r="C2022" s="11" t="str">
        <x:v>hp515_mash_global</x:v>
      </x:c>
      <x:c r="D2022" s="11" t="str">
        <x:v>2037-12-31</x:v>
      </x:c>
      <x:c r="E2022" s="11" t="str">
        <x:v>USD</x:v>
      </x:c>
      <x:c r="F2022" s="11" t="n">
        <x:v>8.227241615331964</x:v>
      </x:c>
      <x:c r="G2022" s="26" t="b">
        <x:v>1</x:v>
      </x:c>
      <x:c r="H2022" s="16" t="n">
        <x:v>0.4</x:v>
      </x:c>
      <x:c r="I2022" s="16" t="n">
        <x:v>2.916666666666667</x:v>
      </x:c>
      <x:c r="J2022" s="16" t="n">
        <x:v>6.09</x:v>
      </x:c>
      <x:c r="K2022" s="11" t="n">
        <x:f>CHOOSE('假设'!$B$3,H2022,I2022,J2022)</x:f>
        <x:v>2.916666666666667</x:v>
      </x:c>
      <x:c r="L2022" s="11" t="n">
        <x:f>K2022*'管线假设'!E447*'管线假设'!F447*'管线假设'!G447*IF(E2022="USD",'管线假设'!I447,1)-AM2022</x:f>
        <x:v>0.58548</x:v>
      </x:c>
      <x:c r="M2022" s="11" t="n">
        <x:f>'管线假设'!H447</x:f>
        <x:v>0.14</x:v>
      </x:c>
      <x:c r="N2022" s="11" t="n">
        <x:f>IF(G2022,L2022*AN2022/(1+M2022)^F2022,0)</x:f>
        <x:v>0.19922420530846582</x:v>
      </x:c>
      <x:c r="AJ2022" t="n">
        <x:v>0</x:v>
      </x:c>
      <x:c r="AK2022" t="n">
        <x:v>0</x:v>
      </x:c>
      <x:c r="AL2022" t="n">
        <x:v>0</x:v>
      </x:c>
      <x:c r="AM2022" t="n">
        <x:f>CHOOSE('假设'!$B$3,AJ2022,AK2022,AL2022)</x:f>
        <x:v>0</x:v>
      </x:c>
      <x:c r="AN2022" t="n">
        <x:v>1</x:v>
      </x:c>
    </x:row>
    <x:row r="2023" ht="23" customHeight="1">
      <x:c r="A2023" s="11" t="str">
        <x:v>688302.SH</x:v>
      </x:c>
      <x:c r="B2023" s="11" t="str">
        <x:v>三年</x:v>
      </x:c>
      <x:c r="C2023" s="11" t="str">
        <x:v>hp515_mash_global</x:v>
      </x:c>
      <x:c r="D2023" s="11" t="str">
        <x:v>2038-12-31</x:v>
      </x:c>
      <x:c r="E2023" s="11" t="str">
        <x:v>USD</x:v>
      </x:c>
      <x:c r="F2023" s="11" t="n">
        <x:v>9.22655715263518</x:v>
      </x:c>
      <x:c r="G2023" s="26" t="b">
        <x:v>1</x:v>
      </x:c>
      <x:c r="H2023" s="16" t="n">
        <x:v>0.6</x:v>
      </x:c>
      <x:c r="I2023" s="16" t="n">
        <x:v>3.5</x:v>
      </x:c>
      <x:c r="J2023" s="16" t="n">
        <x:v>5.18</x:v>
      </x:c>
      <x:c r="K2023" s="11" t="n">
        <x:f>CHOOSE('假设'!$B$3,H2023,I2023,J2023)</x:f>
        <x:v>3.5</x:v>
      </x:c>
      <x:c r="L2023" s="11" t="n">
        <x:f>K2023*'管线假设'!E447*'管线假设'!F447*'管线假设'!G447*IF(E2023="USD",'管线假设'!I447,1)-AM2023</x:f>
        <x:v>0.7025759999999999</x:v>
      </x:c>
      <x:c r="M2023" s="11" t="n">
        <x:f>'管线假设'!H447</x:f>
        <x:v>0.14</x:v>
      </x:c>
      <x:c r="N2023" s="11" t="n">
        <x:f>IF(G2023,L2023*AN2023/(1+M2023)^F2023,0)</x:f>
        <x:v>0.20972849823675885</x:v>
      </x:c>
      <x:c r="AJ2023" t="n">
        <x:v>0</x:v>
      </x:c>
      <x:c r="AK2023" t="n">
        <x:v>0</x:v>
      </x:c>
      <x:c r="AL2023" t="n">
        <x:v>0</x:v>
      </x:c>
      <x:c r="AM2023" t="n">
        <x:f>CHOOSE('假设'!$B$3,AJ2023,AK2023,AL2023)</x:f>
        <x:v>0</x:v>
      </x:c>
      <x:c r="AN2023" t="n">
        <x:v>1</x:v>
      </x:c>
    </x:row>
    <x:row r="2024" ht="23" customHeight="1">
      <x:c r="A2024" s="11" t="str">
        <x:v>688302.SH</x:v>
      </x:c>
      <x:c r="B2024" s="11" t="str">
        <x:v>三年</x:v>
      </x:c>
      <x:c r="C2024" s="11" t="str">
        <x:v>hp515_mash_global</x:v>
      </x:c>
      <x:c r="D2024" s="11" t="str">
        <x:v>2039-12-31</x:v>
      </x:c>
      <x:c r="E2024" s="11" t="str">
        <x:v>USD</x:v>
      </x:c>
      <x:c r="F2024" s="11" t="n">
        <x:v>10.225872689938399</x:v>
      </x:c>
      <x:c r="G2024" s="26" t="b">
        <x:v>1</x:v>
      </x:c>
      <x:c r="H2024" s="16" t="n">
        <x:v>0.8</x:v>
      </x:c>
      <x:c r="I2024" s="16" t="n">
        <x:v>3.045</x:v>
      </x:c>
      <x:c r="J2024" s="16" t="n">
        <x:v>4.27</x:v>
      </x:c>
      <x:c r="K2024" s="11" t="n">
        <x:f>CHOOSE('假设'!$B$3,H2024,I2024,J2024)</x:f>
        <x:v>3.045</x:v>
      </x:c>
      <x:c r="L2024" s="11" t="n">
        <x:f>K2024*'管线假设'!E447*'管线假设'!F447*'管线假设'!G447*IF(E2024="USD",'管线假设'!I447,1)-AM2024</x:f>
        <x:v>0.61124112</x:v>
      </x:c>
      <x:c r="M2024" s="11" t="n">
        <x:f>'管线假设'!H447</x:f>
        <x:v>0.14</x:v>
      </x:c>
      <x:c r="N2024" s="11" t="n">
        <x:f>IF(G2024,L2024*AN2024/(1+M2024)^F2024,0)</x:f>
        <x:v>0.1600703142762811</x:v>
      </x:c>
      <x:c r="AJ2024" t="n">
        <x:v>0</x:v>
      </x:c>
      <x:c r="AK2024" t="n">
        <x:v>0</x:v>
      </x:c>
      <x:c r="AL2024" t="n">
        <x:v>0</x:v>
      </x:c>
      <x:c r="AM2024" t="n">
        <x:f>CHOOSE('假设'!$B$3,AJ2024,AK2024,AL2024)</x:f>
        <x:v>0</x:v>
      </x:c>
      <x:c r="AN2024" t="n">
        <x:v>1</x:v>
      </x:c>
    </x:row>
    <x:row r="2025" ht="23" customHeight="1">
      <x:c r="A2025" s="11" t="str">
        <x:v>688302.SH</x:v>
      </x:c>
      <x:c r="B2025" s="11" t="str">
        <x:v>三年</x:v>
      </x:c>
      <x:c r="C2025" s="11" t="str">
        <x:v>hp515_mash_global</x:v>
      </x:c>
      <x:c r="D2025" s="11" t="str">
        <x:v>2040-12-31</x:v>
      </x:c>
      <x:c r="E2025" s="11" t="str">
        <x:v>USD</x:v>
      </x:c>
      <x:c r="F2025" s="11" t="n">
        <x:v>11.227926078028748</x:v>
      </x:c>
      <x:c r="G2025" s="26" t="b">
        <x:v>1</x:v>
      </x:c>
      <x:c r="H2025" s="16" t="n">
        <x:v>1</x:v>
      </x:c>
      <x:c r="I2025" s="16" t="n">
        <x:v>2.59</x:v>
      </x:c>
      <x:c r="J2025" s="16" t="n">
        <x:v>3.36</x:v>
      </x:c>
      <x:c r="K2025" s="11" t="n">
        <x:f>CHOOSE('假设'!$B$3,H2025,I2025,J2025)</x:f>
        <x:v>2.59</x:v>
      </x:c>
      <x:c r="L2025" s="11" t="n">
        <x:f>K2025*'管线假设'!E447*'管线假设'!F447*'管线假设'!G447*IF(E2025="USD",'管线假设'!I447,1)-AM2025</x:f>
        <x:v>0.51990624</x:v>
      </x:c>
      <x:c r="M2025" s="11" t="n">
        <x:f>'管线假设'!H447</x:f>
        <x:v>0.14</x:v>
      </x:c>
      <x:c r="N2025" s="11" t="n">
        <x:f>IF(G2025,L2025*AN2025/(1+M2025)^F2025,0)</x:f>
        <x:v>0.1193992408853459</x:v>
      </x:c>
      <x:c r="AJ2025" t="n">
        <x:v>0</x:v>
      </x:c>
      <x:c r="AK2025" t="n">
        <x:v>0</x:v>
      </x:c>
      <x:c r="AL2025" t="n">
        <x:v>0</x:v>
      </x:c>
      <x:c r="AM2025" t="n">
        <x:f>CHOOSE('假设'!$B$3,AJ2025,AK2025,AL2025)</x:f>
        <x:v>0</x:v>
      </x:c>
      <x:c r="AN2025" t="n">
        <x:v>1</x:v>
      </x:c>
    </x:row>
    <x:row r="2026" ht="23" customHeight="1">
      <x:c r="A2026" s="11" t="str">
        <x:v>688302.SH</x:v>
      </x:c>
      <x:c r="B2026" s="11" t="str">
        <x:v>三年</x:v>
      </x:c>
      <x:c r="C2026" s="11" t="str">
        <x:v>hp515_mash_global</x:v>
      </x:c>
      <x:c r="D2026" s="11" t="str">
        <x:v>2041-12-31</x:v>
      </x:c>
      <x:c r="E2026" s="11" t="str">
        <x:v>USD</x:v>
      </x:c>
      <x:c r="F2026" s="11" t="n">
        <x:v>12.227241615331964</x:v>
      </x:c>
      <x:c r="G2026" s="26" t="b">
        <x:v>1</x:v>
      </x:c>
      <x:c r="H2026" s="16" t="n">
        <x:v>0.87</x:v>
      </x:c>
      <x:c r="I2026" s="16" t="n">
        <x:v>2.135</x:v>
      </x:c>
      <x:c r="J2026" s="16" t="n">
        <x:v>2.4499999999999997</x:v>
      </x:c>
      <x:c r="K2026" s="11" t="n">
        <x:f>CHOOSE('假设'!$B$3,H2026,I2026,J2026)</x:f>
        <x:v>2.135</x:v>
      </x:c>
      <x:c r="L2026" s="11" t="n">
        <x:f>K2026*'管线假设'!E447*'管线假设'!F447*'管线假设'!G447*IF(E2026="USD",'管线假设'!I447,1)-AM2026</x:f>
        <x:v>0.4285713599999999</x:v>
      </x:c>
      <x:c r="M2026" s="11" t="n">
        <x:f>'管线假设'!H447</x:f>
        <x:v>0.14</x:v>
      </x:c>
      <x:c r="N2026" s="11" t="n">
        <x:f>IF(G2026,L2026*AN2026/(1+M2026)^F2026,0)</x:f>
        <x:v>0.08634432104413695</x:v>
      </x:c>
      <x:c r="AJ2026" t="n">
        <x:v>0</x:v>
      </x:c>
      <x:c r="AK2026" t="n">
        <x:v>0</x:v>
      </x:c>
      <x:c r="AL2026" t="n">
        <x:v>0</x:v>
      </x:c>
      <x:c r="AM2026" t="n">
        <x:f>CHOOSE('假设'!$B$3,AJ2026,AK2026,AL2026)</x:f>
        <x:v>0</x:v>
      </x:c>
      <x:c r="AN2026" t="n">
        <x:v>1</x:v>
      </x:c>
    </x:row>
    <x:row r="2027" ht="23" customHeight="1">
      <x:c r="A2027" s="11" t="str">
        <x:v>688302.SH</x:v>
      </x:c>
      <x:c r="B2027" s="11" t="str">
        <x:v>三年</x:v>
      </x:c>
      <x:c r="C2027" s="11" t="str">
        <x:v>hp515_mash_global</x:v>
      </x:c>
      <x:c r="D2027" s="11" t="str">
        <x:v>2042-12-31</x:v>
      </x:c>
      <x:c r="E2027" s="11" t="str">
        <x:v>USD</x:v>
      </x:c>
      <x:c r="F2027" s="11" t="n">
        <x:v>13.22655715263518</x:v>
      </x:c>
      <x:c r="G2027" s="26" t="b">
        <x:v>1</x:v>
      </x:c>
      <x:c r="H2027" s="16" t="n">
        <x:v>0.74</x:v>
      </x:c>
      <x:c r="I2027" s="16" t="n">
        <x:v>1.68</x:v>
      </x:c>
      <x:c r="J2027" s="16" t="n">
        <x:v>1.5399999999999998</x:v>
      </x:c>
      <x:c r="K2027" s="11" t="n">
        <x:f>CHOOSE('假设'!$B$3,H2027,I2027,J2027)</x:f>
        <x:v>1.68</x:v>
      </x:c>
      <x:c r="L2027" s="11" t="n">
        <x:f>K2027*'管线假设'!E447*'管线假设'!F447*'管线假设'!G447*IF(E2027="USD",'管线假设'!I447,1)-AM2027</x:f>
        <x:v>0.3372364799999999</x:v>
      </x:c>
      <x:c r="M2027" s="11" t="n">
        <x:f>'管线假设'!H447</x:f>
        <x:v>0.14</x:v>
      </x:c>
      <x:c r="N2027" s="11" t="n">
        <x:f>IF(G2027,L2027*AN2027/(1+M2027)^F2027,0)</x:f>
        <x:v>0.05960453155605767</x:v>
      </x:c>
      <x:c r="AJ2027" t="n">
        <x:v>0</x:v>
      </x:c>
      <x:c r="AK2027" t="n">
        <x:v>0</x:v>
      </x:c>
      <x:c r="AL2027" t="n">
        <x:v>0</x:v>
      </x:c>
      <x:c r="AM2027" t="n">
        <x:f>CHOOSE('假设'!$B$3,AJ2027,AK2027,AL2027)</x:f>
        <x:v>0</x:v>
      </x:c>
      <x:c r="AN2027" t="n">
        <x:v>1</x:v>
      </x:c>
    </x:row>
    <x:row r="2028" ht="23" customHeight="1">
      <x:c r="A2028" s="11" t="str">
        <x:v>688302.SH</x:v>
      </x:c>
      <x:c r="B2028" s="11" t="str">
        <x:v>三年</x:v>
      </x:c>
      <x:c r="C2028" s="11" t="str">
        <x:v>hp515_mash_global</x:v>
      </x:c>
      <x:c r="D2028" s="11" t="str">
        <x:v>2043-12-31</x:v>
      </x:c>
      <x:c r="E2028" s="11" t="str">
        <x:v>USD</x:v>
      </x:c>
      <x:c r="F2028" s="11" t="n">
        <x:v>14.225872689938399</x:v>
      </x:c>
      <x:c r="G2028" s="26" t="b">
        <x:v>1</x:v>
      </x:c>
      <x:c r="H2028" s="16" t="n">
        <x:v>0.61</x:v>
      </x:c>
      <x:c r="I2028" s="16" t="n">
        <x:v>1.2249999999999999</x:v>
      </x:c>
      <x:c r="J2028" s="16" t="n">
        <x:v>0.6299999999999998</x:v>
      </x:c>
      <x:c r="K2028" s="11" t="n">
        <x:f>CHOOSE('假设'!$B$3,H2028,I2028,J2028)</x:f>
        <x:v>1.2249999999999999</x:v>
      </x:c>
      <x:c r="L2028" s="11" t="n">
        <x:f>K2028*'管线假设'!E447*'管线假设'!F447*'管线假设'!G447*IF(E2028="USD",'管线假设'!I447,1)-AM2028</x:f>
        <x:v>0.2459015999999999</x:v>
      </x:c>
      <x:c r="M2028" s="11" t="n">
        <x:f>'管线假设'!H447</x:f>
        <x:v>0.14</x:v>
      </x:c>
      <x:c r="N2028" s="11" t="n">
        <x:f>IF(G2028,L2028*AN2028/(1+M2028)^F2028,0)</x:f>
        <x:v>0.03812766278896765</x:v>
      </x:c>
      <x:c r="AJ2028" t="n">
        <x:v>0</x:v>
      </x:c>
      <x:c r="AK2028" t="n">
        <x:v>0</x:v>
      </x:c>
      <x:c r="AL2028" t="n">
        <x:v>0</x:v>
      </x:c>
      <x:c r="AM2028" t="n">
        <x:f>CHOOSE('假设'!$B$3,AJ2028,AK2028,AL2028)</x:f>
        <x:v>0</x:v>
      </x:c>
      <x:c r="AN2028" t="n">
        <x:v>1</x:v>
      </x:c>
    </x:row>
    <x:row r="2029" ht="23" customHeight="1">
      <x:c r="A2029" s="11" t="str">
        <x:v>688302.SH</x:v>
      </x:c>
      <x:c r="B2029" s="11" t="str">
        <x:v>三年</x:v>
      </x:c>
      <x:c r="C2029" s="11" t="str">
        <x:v>hp515_mash_global</x:v>
      </x:c>
      <x:c r="D2029" s="11" t="str">
        <x:v>2044-12-31</x:v>
      </x:c>
      <x:c r="E2029" s="11" t="str">
        <x:v>USD</x:v>
      </x:c>
      <x:c r="F2029" s="11" t="n">
        <x:v>15.227926078028748</x:v>
      </x:c>
      <x:c r="G2029" s="26" t="b">
        <x:v>1</x:v>
      </x:c>
      <x:c r="H2029" s="16" t="n">
        <x:v>0.48</x:v>
      </x:c>
      <x:c r="I2029" s="16" t="n">
        <x:v>0.7699999999999999</x:v>
      </x:c>
      <x:c r="J2029" s="16" t="n">
        <x:v>0</x:v>
      </x:c>
      <x:c r="K2029" s="11" t="n">
        <x:f>CHOOSE('假设'!$B$3,H2029,I2029,J2029)</x:f>
        <x:v>0.7699999999999999</x:v>
      </x:c>
      <x:c r="L2029" s="11" t="n">
        <x:f>K2029*'管线假设'!E447*'管线假设'!F447*'管线假设'!G447*IF(E2029="USD",'管线假设'!I447,1)-AM2029</x:f>
        <x:v>0.15456671999999996</x:v>
      </x:c>
      <x:c r="M2029" s="11" t="n">
        <x:f>'管线假设'!H447</x:f>
        <x:v>0.14</x:v>
      </x:c>
      <x:c r="N2029" s="11" t="n">
        <x:f>IF(G2029,L2029*AN2029/(1+M2029)^F2029,0)</x:f>
        <x:v>0.02101711600737952</x:v>
      </x:c>
      <x:c r="AJ2029" t="n">
        <x:v>0</x:v>
      </x:c>
      <x:c r="AK2029" t="n">
        <x:v>0</x:v>
      </x:c>
      <x:c r="AL2029" t="n">
        <x:v>0</x:v>
      </x:c>
      <x:c r="AM2029" t="n">
        <x:f>CHOOSE('假设'!$B$3,AJ2029,AK2029,AL2029)</x:f>
        <x:v>0</x:v>
      </x:c>
      <x:c r="AN2029" t="n">
        <x:v>1</x:v>
      </x:c>
    </x:row>
    <x:row r="2030" ht="23" customHeight="1">
      <x:c r="A2030" s="11" t="str">
        <x:v>688302.SH</x:v>
      </x:c>
      <x:c r="B2030" s="11" t="str">
        <x:v>三年</x:v>
      </x:c>
      <x:c r="C2030" s="11" t="str">
        <x:v>hp515_mash_global</x:v>
      </x:c>
      <x:c r="D2030" s="11" t="str">
        <x:v>2045-12-31</x:v>
      </x:c>
      <x:c r="E2030" s="11" t="str">
        <x:v>USD</x:v>
      </x:c>
      <x:c r="F2030" s="11" t="n">
        <x:v>16.227241615331966</x:v>
      </x:c>
      <x:c r="G2030" s="26" t="b">
        <x:v>1</x:v>
      </x:c>
      <x:c r="H2030" s="16" t="n">
        <x:v>0.35</x:v>
      </x:c>
      <x:c r="I2030" s="16" t="n">
        <x:v>0.3149999999999999</x:v>
      </x:c>
      <x:c r="J2030" s="16" t="n">
        <x:v>0</x:v>
      </x:c>
      <x:c r="K2030" s="11" t="n">
        <x:f>CHOOSE('假设'!$B$3,H2030,I2030,J2030)</x:f>
        <x:v>0.3149999999999999</x:v>
      </x:c>
      <x:c r="L2030" s="11" t="n">
        <x:f>K2030*'管线假设'!E447*'管线假设'!F447*'管线假设'!G447*IF(E2030="USD",'管线假设'!I447,1)-AM2030</x:f>
        <x:v>0.06323183999999996</x:v>
      </x:c>
      <x:c r="M2030" s="11" t="n">
        <x:f>'管线假设'!H447</x:f>
        <x:v>0.14</x:v>
      </x:c>
      <x:c r="N2030" s="11" t="n">
        <x:f>IF(G2030,L2030*AN2030/(1+M2030)^F2030,0)</x:f>
        <x:v>0.0075427037045635945</x:v>
      </x:c>
      <x:c r="AJ2030" t="n">
        <x:v>0</x:v>
      </x:c>
      <x:c r="AK2030" t="n">
        <x:v>0</x:v>
      </x:c>
      <x:c r="AL2030" t="n">
        <x:v>0</x:v>
      </x:c>
      <x:c r="AM2030" t="n">
        <x:f>CHOOSE('假设'!$B$3,AJ2030,AK2030,AL2030)</x:f>
        <x:v>0</x:v>
      </x:c>
      <x:c r="AN2030" t="n">
        <x:v>1</x:v>
      </x:c>
    </x:row>
    <x:row r="2031" ht="23" customHeight="1">
      <x:c r="A2031" s="11" t="str">
        <x:v>688302.SH</x:v>
      </x:c>
      <x:c r="B2031" s="11" t="str">
        <x:v>三年</x:v>
      </x:c>
      <x:c r="C2031" s="11" t="str">
        <x:v>hp515_obesity_cn</x:v>
      </x:c>
      <x:c r="D2031" s="11" t="str">
        <x:v>2027-12-31</x:v>
      </x:c>
      <x:c r="E2031" s="11" t="str">
        <x:v>CNY</x:v>
      </x:c>
      <x:c r="F2031" s="11" t="n">
        <x:v>-1.7741273100616017</x:v>
      </x:c>
      <x:c r="G2031" s="26" t="b">
        <x:v>0</x:v>
      </x:c>
      <x:c r="H2031" s="16" t="n">
        <x:v>0</x:v>
      </x:c>
      <x:c r="I2031" s="16" t="n">
        <x:v>0</x:v>
      </x:c>
      <x:c r="J2031" s="16" t="n">
        <x:v>0</x:v>
      </x:c>
      <x:c r="K2031" s="11" t="n">
        <x:f>CHOOSE('假设'!$B$3,H2031,I2031,J2031)</x:f>
        <x:v>0</x:v>
      </x:c>
      <x:c r="L2031" s="11" t="n">
        <x:f>K2031*'管线假设'!E451*'管线假设'!F451*'管线假设'!G451*IF(E2031="USD",'管线假设'!I451,1)-AM2031</x:f>
        <x:v>0</x:v>
      </x:c>
      <x:c r="M2031" s="11" t="n">
        <x:f>'管线假设'!H451</x:f>
        <x:v>0.14</x:v>
      </x:c>
      <x:c r="N2031" s="11" t="n">
        <x:f>IF(G2031,L2031*AN2031/(1+M2031)^F2031,0)</x:f>
        <x:v>0</x:v>
      </x:c>
      <x:c r="AJ2031" t="n">
        <x:v>0</x:v>
      </x:c>
      <x:c r="AK2031" t="n">
        <x:v>0</x:v>
      </x:c>
      <x:c r="AL2031" t="n">
        <x:v>0</x:v>
      </x:c>
      <x:c r="AM2031" t="n">
        <x:f>CHOOSE('假设'!$B$3,AJ2031,AK2031,AL2031)</x:f>
        <x:v>0</x:v>
      </x:c>
      <x:c r="AN2031" t="n">
        <x:v>1</x:v>
      </x:c>
    </x:row>
    <x:row r="2032" ht="23" customHeight="1">
      <x:c r="A2032" s="11" t="str">
        <x:v>688302.SH</x:v>
      </x:c>
      <x:c r="B2032" s="11" t="str">
        <x:v>三年</x:v>
      </x:c>
      <x:c r="C2032" s="11" t="str">
        <x:v>hp515_obesity_cn</x:v>
      </x:c>
      <x:c r="D2032" s="11" t="str">
        <x:v>2028-12-31</x:v>
      </x:c>
      <x:c r="E2032" s="11" t="str">
        <x:v>CNY</x:v>
      </x:c>
      <x:c r="F2032" s="11" t="n">
        <x:v>-0.7720739219712526</x:v>
      </x:c>
      <x:c r="G2032" s="26" t="b">
        <x:v>0</x:v>
      </x:c>
      <x:c r="H2032" s="16" t="n">
        <x:v>0</x:v>
      </x:c>
      <x:c r="I2032" s="16" t="n">
        <x:v>0</x:v>
      </x:c>
      <x:c r="J2032" s="16" t="n">
        <x:v>0</x:v>
      </x:c>
      <x:c r="K2032" s="11" t="n">
        <x:f>CHOOSE('假设'!$B$3,H2032,I2032,J2032)</x:f>
        <x:v>0</x:v>
      </x:c>
      <x:c r="L2032" s="11" t="n">
        <x:f>K2032*'管线假设'!E451*'管线假设'!F451*'管线假设'!G451*IF(E2032="USD",'管线假设'!I451,1)-AM2032</x:f>
        <x:v>0</x:v>
      </x:c>
      <x:c r="M2032" s="11" t="n">
        <x:f>'管线假设'!H451</x:f>
        <x:v>0.14</x:v>
      </x:c>
      <x:c r="N2032" s="11" t="n">
        <x:f>IF(G2032,L2032*AN2032/(1+M2032)^F2032,0)</x:f>
        <x:v>0</x:v>
      </x:c>
      <x:c r="AJ2032" t="n">
        <x:v>0</x:v>
      </x:c>
      <x:c r="AK2032" t="n">
        <x:v>0</x:v>
      </x:c>
      <x:c r="AL2032" t="n">
        <x:v>0</x:v>
      </x:c>
      <x:c r="AM2032" t="n">
        <x:f>CHOOSE('假设'!$B$3,AJ2032,AK2032,AL2032)</x:f>
        <x:v>0</x:v>
      </x:c>
      <x:c r="AN2032" t="n">
        <x:v>1</x:v>
      </x:c>
    </x:row>
    <x:row r="2033" ht="23" customHeight="1">
      <x:c r="A2033" s="11" t="str">
        <x:v>688302.SH</x:v>
      </x:c>
      <x:c r="B2033" s="11" t="str">
        <x:v>三年</x:v>
      </x:c>
      <x:c r="C2033" s="11" t="str">
        <x:v>hp515_obesity_cn</x:v>
      </x:c>
      <x:c r="D2033" s="11" t="str">
        <x:v>2029-12-31</x:v>
      </x:c>
      <x:c r="E2033" s="11" t="str">
        <x:v>CNY</x:v>
      </x:c>
      <x:c r="F2033" s="11" t="n">
        <x:v>0.2272416153319644</x:v>
      </x:c>
      <x:c r="G2033" s="26" t="b">
        <x:v>1</x:v>
      </x:c>
      <x:c r="H2033" s="16" t="n">
        <x:v>0</x:v>
      </x:c>
      <x:c r="I2033" s="16" t="n">
        <x:v>0</x:v>
      </x:c>
      <x:c r="J2033" s="16" t="n">
        <x:v>0</x:v>
      </x:c>
      <x:c r="K2033" s="11" t="n">
        <x:f>CHOOSE('假设'!$B$3,H2033,I2033,J2033)</x:f>
        <x:v>0</x:v>
      </x:c>
      <x:c r="L2033" s="11" t="n">
        <x:f>K2033*'管线假设'!E451*'管线假设'!F451*'管线假设'!G451*IF(E2033="USD",'管线假设'!I451,1)-AM2033</x:f>
        <x:v>0</x:v>
      </x:c>
      <x:c r="M2033" s="11" t="n">
        <x:f>'管线假设'!H451</x:f>
        <x:v>0.14</x:v>
      </x:c>
      <x:c r="N2033" s="11" t="n">
        <x:f>IF(G2033,L2033*AN2033/(1+M2033)^F2033,0)</x:f>
        <x:v>0</x:v>
      </x:c>
      <x:c r="AJ2033" t="n">
        <x:v>0</x:v>
      </x:c>
      <x:c r="AK2033" t="n">
        <x:v>0</x:v>
      </x:c>
      <x:c r="AL2033" t="n">
        <x:v>0</x:v>
      </x:c>
      <x:c r="AM2033" t="n">
        <x:f>CHOOSE('假设'!$B$3,AJ2033,AK2033,AL2033)</x:f>
        <x:v>0</x:v>
      </x:c>
      <x:c r="AN2033" t="n">
        <x:v>1</x:v>
      </x:c>
    </x:row>
    <x:row r="2034" ht="23" customHeight="1">
      <x:c r="A2034" s="11" t="str">
        <x:v>688302.SH</x:v>
      </x:c>
      <x:c r="B2034" s="11" t="str">
        <x:v>三年</x:v>
      </x:c>
      <x:c r="C2034" s="11" t="str">
        <x:v>hp515_obesity_cn</x:v>
      </x:c>
      <x:c r="D2034" s="11" t="str">
        <x:v>2030-12-31</x:v>
      </x:c>
      <x:c r="E2034" s="11" t="str">
        <x:v>CNY</x:v>
      </x:c>
      <x:c r="F2034" s="11" t="n">
        <x:v>1.2265571526351813</x:v>
      </x:c>
      <x:c r="G2034" s="26" t="b">
        <x:v>1</x:v>
      </x:c>
      <x:c r="H2034" s="16" t="n">
        <x:v>0</x:v>
      </x:c>
      <x:c r="I2034" s="16" t="n">
        <x:v>0</x:v>
      </x:c>
      <x:c r="J2034" s="16" t="n">
        <x:v>0</x:v>
      </x:c>
      <x:c r="K2034" s="11" t="n">
        <x:f>CHOOSE('假设'!$B$3,H2034,I2034,J2034)</x:f>
        <x:v>0</x:v>
      </x:c>
      <x:c r="L2034" s="11" t="n">
        <x:f>K2034*'管线假设'!E451*'管线假设'!F451*'管线假设'!G451*IF(E2034="USD",'管线假设'!I451,1)-AM2034</x:f>
        <x:v>0</x:v>
      </x:c>
      <x:c r="M2034" s="11" t="n">
        <x:f>'管线假设'!H451</x:f>
        <x:v>0.14</x:v>
      </x:c>
      <x:c r="N2034" s="11" t="n">
        <x:f>IF(G2034,L2034*AN2034/(1+M2034)^F2034,0)</x:f>
        <x:v>0</x:v>
      </x:c>
      <x:c r="AJ2034" t="n">
        <x:v>0</x:v>
      </x:c>
      <x:c r="AK2034" t="n">
        <x:v>0</x:v>
      </x:c>
      <x:c r="AL2034" t="n">
        <x:v>0</x:v>
      </x:c>
      <x:c r="AM2034" t="n">
        <x:f>CHOOSE('假设'!$B$3,AJ2034,AK2034,AL2034)</x:f>
        <x:v>0</x:v>
      </x:c>
      <x:c r="AN2034" t="n">
        <x:v>1</x:v>
      </x:c>
    </x:row>
    <x:row r="2035" ht="23" customHeight="1">
      <x:c r="A2035" s="11" t="str">
        <x:v>688302.SH</x:v>
      </x:c>
      <x:c r="B2035" s="11" t="str">
        <x:v>三年</x:v>
      </x:c>
      <x:c r="C2035" s="11" t="str">
        <x:v>hp515_obesity_cn</x:v>
      </x:c>
      <x:c r="D2035" s="11" t="str">
        <x:v>2031-12-31</x:v>
      </x:c>
      <x:c r="E2035" s="11" t="str">
        <x:v>CNY</x:v>
      </x:c>
      <x:c r="F2035" s="11" t="n">
        <x:v>2.2258726899383983</x:v>
      </x:c>
      <x:c r="G2035" s="26" t="b">
        <x:v>1</x:v>
      </x:c>
      <x:c r="H2035" s="16" t="n">
        <x:v>0</x:v>
      </x:c>
      <x:c r="I2035" s="16" t="n">
        <x:v>0</x:v>
      </x:c>
      <x:c r="J2035" s="16" t="n">
        <x:v>0</x:v>
      </x:c>
      <x:c r="K2035" s="11" t="n">
        <x:f>CHOOSE('假设'!$B$3,H2035,I2035,J2035)</x:f>
        <x:v>0</x:v>
      </x:c>
      <x:c r="L2035" s="11" t="n">
        <x:f>K2035*'管线假设'!E451*'管线假设'!F451*'管线假设'!G451*IF(E2035="USD",'管线假设'!I451,1)-AM2035</x:f>
        <x:v>0</x:v>
      </x:c>
      <x:c r="M2035" s="11" t="n">
        <x:f>'管线假设'!H451</x:f>
        <x:v>0.14</x:v>
      </x:c>
      <x:c r="N2035" s="11" t="n">
        <x:f>IF(G2035,L2035*AN2035/(1+M2035)^F2035,0)</x:f>
        <x:v>0</x:v>
      </x:c>
      <x:c r="AJ2035" t="n">
        <x:v>0</x:v>
      </x:c>
      <x:c r="AK2035" t="n">
        <x:v>0</x:v>
      </x:c>
      <x:c r="AL2035" t="n">
        <x:v>0</x:v>
      </x:c>
      <x:c r="AM2035" t="n">
        <x:f>CHOOSE('假设'!$B$3,AJ2035,AK2035,AL2035)</x:f>
        <x:v>0</x:v>
      </x:c>
      <x:c r="AN2035" t="n">
        <x:v>1</x:v>
      </x:c>
    </x:row>
    <x:row r="2036" ht="23" customHeight="1">
      <x:c r="A2036" s="11" t="str">
        <x:v>688302.SH</x:v>
      </x:c>
      <x:c r="B2036" s="11" t="str">
        <x:v>三年</x:v>
      </x:c>
      <x:c r="C2036" s="11" t="str">
        <x:v>hp515_obesity_cn</x:v>
      </x:c>
      <x:c r="D2036" s="11" t="str">
        <x:v>2032-12-31</x:v>
      </x:c>
      <x:c r="E2036" s="11" t="str">
        <x:v>CNY</x:v>
      </x:c>
      <x:c r="F2036" s="11" t="n">
        <x:v>3.2279260780287475</x:v>
      </x:c>
      <x:c r="G2036" s="26" t="b">
        <x:v>1</x:v>
      </x:c>
      <x:c r="H2036" s="16" t="n">
        <x:v>0</x:v>
      </x:c>
      <x:c r="I2036" s="16" t="n">
        <x:v>0</x:v>
      </x:c>
      <x:c r="J2036" s="16" t="n">
        <x:v>0.41666666666666663</x:v>
      </x:c>
      <x:c r="K2036" s="11" t="n">
        <x:f>CHOOSE('假设'!$B$3,H2036,I2036,J2036)</x:f>
        <x:v>0</x:v>
      </x:c>
      <x:c r="L2036" s="11" t="n">
        <x:f>K2036*'管线假设'!E451*'管线假设'!F451*'管线假设'!G451*IF(E2036="USD",'管线假设'!I451,1)-AM2036</x:f>
        <x:v>0</x:v>
      </x:c>
      <x:c r="M2036" s="11" t="n">
        <x:f>'管线假设'!H451</x:f>
        <x:v>0.14</x:v>
      </x:c>
      <x:c r="N2036" s="11" t="n">
        <x:f>IF(G2036,L2036*AN2036/(1+M2036)^F2036,0)</x:f>
        <x:v>0</x:v>
      </x:c>
      <x:c r="AJ2036" t="n">
        <x:v>0</x:v>
      </x:c>
      <x:c r="AK2036" t="n">
        <x:v>0</x:v>
      </x:c>
      <x:c r="AL2036" t="n">
        <x:v>0</x:v>
      </x:c>
      <x:c r="AM2036" t="n">
        <x:f>CHOOSE('假设'!$B$3,AJ2036,AK2036,AL2036)</x:f>
        <x:v>0</x:v>
      </x:c>
      <x:c r="AN2036" t="n">
        <x:v>1</x:v>
      </x:c>
    </x:row>
    <x:row r="2037" ht="23" customHeight="1">
      <x:c r="A2037" s="11" t="str">
        <x:v>688302.SH</x:v>
      </x:c>
      <x:c r="B2037" s="11" t="str">
        <x:v>三年</x:v>
      </x:c>
      <x:c r="C2037" s="11" t="str">
        <x:v>hp515_obesity_cn</x:v>
      </x:c>
      <x:c r="D2037" s="11" t="str">
        <x:v>2033-12-31</x:v>
      </x:c>
      <x:c r="E2037" s="11" t="str">
        <x:v>CNY</x:v>
      </x:c>
      <x:c r="F2037" s="11" t="n">
        <x:v>4.227241615331964</x:v>
      </x:c>
      <x:c r="G2037" s="26" t="b">
        <x:v>1</x:v>
      </x:c>
      <x:c r="H2037" s="16" t="n">
        <x:v>0</x:v>
      </x:c>
      <x:c r="I2037" s="16" t="n">
        <x:v>0</x:v>
      </x:c>
      <x:c r="J2037" s="16" t="n">
        <x:v>0.8333333333333333</x:v>
      </x:c>
      <x:c r="K2037" s="11" t="n">
        <x:f>CHOOSE('假设'!$B$3,H2037,I2037,J2037)</x:f>
        <x:v>0</x:v>
      </x:c>
      <x:c r="L2037" s="11" t="n">
        <x:f>K2037*'管线假设'!E451*'管线假设'!F451*'管线假设'!G451*IF(E2037="USD",'管线假设'!I451,1)-AM2037</x:f>
        <x:v>0</x:v>
      </x:c>
      <x:c r="M2037" s="11" t="n">
        <x:f>'管线假设'!H451</x:f>
        <x:v>0.14</x:v>
      </x:c>
      <x:c r="N2037" s="11" t="n">
        <x:f>IF(G2037,L2037*AN2037/(1+M2037)^F2037,0)</x:f>
        <x:v>0</x:v>
      </x:c>
      <x:c r="AJ2037" t="n">
        <x:v>0</x:v>
      </x:c>
      <x:c r="AK2037" t="n">
        <x:v>0</x:v>
      </x:c>
      <x:c r="AL2037" t="n">
        <x:v>0</x:v>
      </x:c>
      <x:c r="AM2037" t="n">
        <x:f>CHOOSE('假设'!$B$3,AJ2037,AK2037,AL2037)</x:f>
        <x:v>0</x:v>
      </x:c>
      <x:c r="AN2037" t="n">
        <x:v>1</x:v>
      </x:c>
    </x:row>
    <x:row r="2038" ht="23" customHeight="1">
      <x:c r="A2038" s="11" t="str">
        <x:v>688302.SH</x:v>
      </x:c>
      <x:c r="B2038" s="11" t="str">
        <x:v>三年</x:v>
      </x:c>
      <x:c r="C2038" s="11" t="str">
        <x:v>hp515_obesity_cn</x:v>
      </x:c>
      <x:c r="D2038" s="11" t="str">
        <x:v>2034-12-31</x:v>
      </x:c>
      <x:c r="E2038" s="11" t="str">
        <x:v>CNY</x:v>
      </x:c>
      <x:c r="F2038" s="11" t="n">
        <x:v>5.2265571526351815</x:v>
      </x:c>
      <x:c r="G2038" s="26" t="b">
        <x:v>1</x:v>
      </x:c>
      <x:c r="H2038" s="16" t="n">
        <x:v>0</x:v>
      </x:c>
      <x:c r="I2038" s="16" t="n">
        <x:v>0.18333333333333335</x:v>
      </x:c>
      <x:c r="J2038" s="16" t="n">
        <x:v>1.25</x:v>
      </x:c>
      <x:c r="K2038" s="11" t="n">
        <x:f>CHOOSE('假设'!$B$3,H2038,I2038,J2038)</x:f>
        <x:v>0.18333333333333335</x:v>
      </x:c>
      <x:c r="L2038" s="11" t="n">
        <x:f>K2038*'管线假设'!E451*'管线假设'!F451*'管线假设'!G451*IF(E2038="USD",'管线假设'!I451,1)-AM2038</x:f>
        <x:v>0.01056</x:v>
      </x:c>
      <x:c r="M2038" s="11" t="n">
        <x:f>'管线假设'!H451</x:f>
        <x:v>0.14</x:v>
      </x:c>
      <x:c r="N2038" s="11" t="n">
        <x:f>IF(G2038,L2038*AN2038/(1+M2038)^F2038,0)</x:f>
        <x:v>0.0053241154025055375</x:v>
      </x:c>
      <x:c r="AJ2038" t="n">
        <x:v>0</x:v>
      </x:c>
      <x:c r="AK2038" t="n">
        <x:v>0</x:v>
      </x:c>
      <x:c r="AL2038" t="n">
        <x:v>0</x:v>
      </x:c>
      <x:c r="AM2038" t="n">
        <x:f>CHOOSE('假设'!$B$3,AJ2038,AK2038,AL2038)</x:f>
        <x:v>0</x:v>
      </x:c>
      <x:c r="AN2038" t="n">
        <x:v>1</x:v>
      </x:c>
    </x:row>
    <x:row r="2039" ht="23" customHeight="1">
      <x:c r="A2039" s="11" t="str">
        <x:v>688302.SH</x:v>
      </x:c>
      <x:c r="B2039" s="11" t="str">
        <x:v>三年</x:v>
      </x:c>
      <x:c r="C2039" s="11" t="str">
        <x:v>hp515_obesity_cn</x:v>
      </x:c>
      <x:c r="D2039" s="11" t="str">
        <x:v>2035-12-31</x:v>
      </x:c>
      <x:c r="E2039" s="11" t="str">
        <x:v>CNY</x:v>
      </x:c>
      <x:c r="F2039" s="11" t="n">
        <x:v>6.225872689938399</x:v>
      </x:c>
      <x:c r="G2039" s="26" t="b">
        <x:v>1</x:v>
      </x:c>
      <x:c r="H2039" s="16" t="n">
        <x:v>0</x:v>
      </x:c>
      <x:c r="I2039" s="16" t="n">
        <x:v>0.3666666666666667</x:v>
      </x:c>
      <x:c r="J2039" s="16" t="n">
        <x:v>1.6666666666666665</x:v>
      </x:c>
      <x:c r="K2039" s="11" t="n">
        <x:f>CHOOSE('假设'!$B$3,H2039,I2039,J2039)</x:f>
        <x:v>0.3666666666666667</x:v>
      </x:c>
      <x:c r="L2039" s="11" t="n">
        <x:f>K2039*'管线假设'!E451*'管线假设'!F451*'管线假设'!G451*IF(E2039="USD",'管线假设'!I451,1)-AM2039</x:f>
        <x:v>0.02112</x:v>
      </x:c>
      <x:c r="M2039" s="11" t="n">
        <x:f>'管线假设'!H451</x:f>
        <x:v>0.14</x:v>
      </x:c>
      <x:c r="N2039" s="11" t="n">
        <x:f>IF(G2039,L2039*AN2039/(1+M2039)^F2039,0)</x:f>
        <x:v>0.009341391073085918</x:v>
      </x:c>
      <x:c r="AJ2039" t="n">
        <x:v>0</x:v>
      </x:c>
      <x:c r="AK2039" t="n">
        <x:v>0</x:v>
      </x:c>
      <x:c r="AL2039" t="n">
        <x:v>0</x:v>
      </x:c>
      <x:c r="AM2039" t="n">
        <x:f>CHOOSE('假设'!$B$3,AJ2039,AK2039,AL2039)</x:f>
        <x:v>0</x:v>
      </x:c>
      <x:c r="AN2039" t="n">
        <x:v>1</x:v>
      </x:c>
    </x:row>
    <x:row r="2040" ht="23" customHeight="1">
      <x:c r="A2040" s="11" t="str">
        <x:v>688302.SH</x:v>
      </x:c>
      <x:c r="B2040" s="11" t="str">
        <x:v>三年</x:v>
      </x:c>
      <x:c r="C2040" s="11" t="str">
        <x:v>hp515_obesity_cn</x:v>
      </x:c>
      <x:c r="D2040" s="11" t="str">
        <x:v>2036-12-31</x:v>
      </x:c>
      <x:c r="E2040" s="11" t="str">
        <x:v>CNY</x:v>
      </x:c>
      <x:c r="F2040" s="11" t="n">
        <x:v>7.227926078028747</x:v>
      </x:c>
      <x:c r="G2040" s="26" t="b">
        <x:v>1</x:v>
      </x:c>
      <x:c r="H2040" s="16" t="n">
        <x:v>0</x:v>
      </x:c>
      <x:c r="I2040" s="16" t="n">
        <x:v>0.55</x:v>
      </x:c>
      <x:c r="J2040" s="16" t="n">
        <x:v>2.0833333333333335</x:v>
      </x:c>
      <x:c r="K2040" s="11" t="n">
        <x:f>CHOOSE('假设'!$B$3,H2040,I2040,J2040)</x:f>
        <x:v>0.55</x:v>
      </x:c>
      <x:c r="L2040" s="11" t="n">
        <x:f>K2040*'管线假设'!E451*'管线假设'!F451*'管线假设'!G451*IF(E2040="USD",'管线假设'!I451,1)-AM2040</x:f>
        <x:v>0.03168</x:v>
      </x:c>
      <x:c r="M2040" s="11" t="n">
        <x:f>'管线假设'!H451</x:f>
        <x:v>0.14</x:v>
      </x:c>
      <x:c r="N2040" s="11" t="n">
        <x:f>IF(G2040,L2040*AN2040/(1+M2040)^F2040,0)</x:f>
        <x:v>0.01228799748999029</x:v>
      </x:c>
      <x:c r="AJ2040" t="n">
        <x:v>0</x:v>
      </x:c>
      <x:c r="AK2040" t="n">
        <x:v>0</x:v>
      </x:c>
      <x:c r="AL2040" t="n">
        <x:v>0</x:v>
      </x:c>
      <x:c r="AM2040" t="n">
        <x:f>CHOOSE('假设'!$B$3,AJ2040,AK2040,AL2040)</x:f>
        <x:v>0</x:v>
      </x:c>
      <x:c r="AN2040" t="n">
        <x:v>1</x:v>
      </x:c>
    </x:row>
    <x:row r="2041" ht="23" customHeight="1">
      <x:c r="A2041" s="11" t="str">
        <x:v>688302.SH</x:v>
      </x:c>
      <x:c r="B2041" s="11" t="str">
        <x:v>三年</x:v>
      </x:c>
      <x:c r="C2041" s="11" t="str">
        <x:v>hp515_obesity_cn</x:v>
      </x:c>
      <x:c r="D2041" s="11" t="str">
        <x:v>2037-12-31</x:v>
      </x:c>
      <x:c r="E2041" s="11" t="str">
        <x:v>CNY</x:v>
      </x:c>
      <x:c r="F2041" s="11" t="n">
        <x:v>8.227241615331964</x:v>
      </x:c>
      <x:c r="G2041" s="26" t="b">
        <x:v>1</x:v>
      </x:c>
      <x:c r="H2041" s="16" t="n">
        <x:v>0.08000000000000002</x:v>
      </x:c>
      <x:c r="I2041" s="16" t="n">
        <x:v>0.7333333333333334</x:v>
      </x:c>
      <x:c r="J2041" s="16" t="n">
        <x:v>2.5</x:v>
      </x:c>
      <x:c r="K2041" s="11" t="n">
        <x:f>CHOOSE('假设'!$B$3,H2041,I2041,J2041)</x:f>
        <x:v>0.7333333333333334</x:v>
      </x:c>
      <x:c r="L2041" s="11" t="n">
        <x:f>K2041*'管线假设'!E451*'管线假设'!F451*'管线假设'!G451*IF(E2041="USD",'管线假设'!I451,1)-AM2041</x:f>
        <x:v>0.04224</x:v>
      </x:c>
      <x:c r="M2041" s="11" t="n">
        <x:f>'管线假设'!H451</x:f>
        <x:v>0.14</x:v>
      </x:c>
      <x:c r="N2041" s="11" t="n">
        <x:f>IF(G2041,L2041*AN2041/(1+M2041)^F2041,0)</x:f>
        <x:v>0.014373215877962692</x:v>
      </x:c>
      <x:c r="AJ2041" t="n">
        <x:v>0</x:v>
      </x:c>
      <x:c r="AK2041" t="n">
        <x:v>0</x:v>
      </x:c>
      <x:c r="AL2041" t="n">
        <x:v>0</x:v>
      </x:c>
      <x:c r="AM2041" t="n">
        <x:f>CHOOSE('假设'!$B$3,AJ2041,AK2041,AL2041)</x:f>
        <x:v>0</x:v>
      </x:c>
      <x:c r="AN2041" t="n">
        <x:v>1</x:v>
      </x:c>
    </x:row>
    <x:row r="2042" ht="23" customHeight="1">
      <x:c r="A2042" s="11" t="str">
        <x:v>688302.SH</x:v>
      </x:c>
      <x:c r="B2042" s="11" t="str">
        <x:v>三年</x:v>
      </x:c>
      <x:c r="C2042" s="11" t="str">
        <x:v>hp515_obesity_cn</x:v>
      </x:c>
      <x:c r="D2042" s="11" t="str">
        <x:v>2038-12-31</x:v>
      </x:c>
      <x:c r="E2042" s="11" t="str">
        <x:v>CNY</x:v>
      </x:c>
      <x:c r="F2042" s="11" t="n">
        <x:v>9.22655715263518</x:v>
      </x:c>
      <x:c r="G2042" s="26" t="b">
        <x:v>1</x:v>
      </x:c>
      <x:c r="H2042" s="16" t="n">
        <x:v>0.16000000000000003</x:v>
      </x:c>
      <x:c r="I2042" s="16" t="n">
        <x:v>0.9166666666666667</x:v>
      </x:c>
      <x:c r="J2042" s="16" t="n">
        <x:v>2.175</x:v>
      </x:c>
      <x:c r="K2042" s="11" t="n">
        <x:f>CHOOSE('假设'!$B$3,H2042,I2042,J2042)</x:f>
        <x:v>0.9166666666666667</x:v>
      </x:c>
      <x:c r="L2042" s="11" t="n">
        <x:f>K2042*'管线假设'!E451*'管线假设'!F451*'管线假设'!G451*IF(E2042="USD",'管线假设'!I451,1)-AM2042</x:f>
        <x:v>0.0528</x:v>
      </x:c>
      <x:c r="M2042" s="11" t="n">
        <x:f>'管线假设'!H451</x:f>
        <x:v>0.14</x:v>
      </x:c>
      <x:c r="N2042" s="11" t="n">
        <x:f>IF(G2042,L2042*AN2042/(1+M2042)^F2042,0)</x:f>
        <x:v>0.015761518621331884</x:v>
      </x:c>
      <x:c r="AJ2042" t="n">
        <x:v>0</x:v>
      </x:c>
      <x:c r="AK2042" t="n">
        <x:v>0</x:v>
      </x:c>
      <x:c r="AL2042" t="n">
        <x:v>0</x:v>
      </x:c>
      <x:c r="AM2042" t="n">
        <x:f>CHOOSE('假设'!$B$3,AJ2042,AK2042,AL2042)</x:f>
        <x:v>0</x:v>
      </x:c>
      <x:c r="AN2042" t="n">
        <x:v>1</x:v>
      </x:c>
    </x:row>
    <x:row r="2043" ht="23" customHeight="1">
      <x:c r="A2043" s="11" t="str">
        <x:v>688302.SH</x:v>
      </x:c>
      <x:c r="B2043" s="11" t="str">
        <x:v>三年</x:v>
      </x:c>
      <x:c r="C2043" s="11" t="str">
        <x:v>hp515_obesity_cn</x:v>
      </x:c>
      <x:c r="D2043" s="11" t="str">
        <x:v>2039-12-31</x:v>
      </x:c>
      <x:c r="E2043" s="11" t="str">
        <x:v>CNY</x:v>
      </x:c>
      <x:c r="F2043" s="11" t="n">
        <x:v>10.225872689938399</x:v>
      </x:c>
      <x:c r="G2043" s="26" t="b">
        <x:v>1</x:v>
      </x:c>
      <x:c r="H2043" s="16" t="n">
        <x:v>0.24</x:v>
      </x:c>
      <x:c r="I2043" s="16" t="n">
        <x:v>1.1</x:v>
      </x:c>
      <x:c r="J2043" s="16" t="n">
        <x:v>1.85</x:v>
      </x:c>
      <x:c r="K2043" s="11" t="n">
        <x:f>CHOOSE('假设'!$B$3,H2043,I2043,J2043)</x:f>
        <x:v>1.1</x:v>
      </x:c>
      <x:c r="L2043" s="11" t="n">
        <x:f>K2043*'管线假设'!E451*'管线假设'!F451*'管线假设'!G451*IF(E2043="USD",'管线假设'!I451,1)-AM2043</x:f>
        <x:v>0.06336</x:v>
      </x:c>
      <x:c r="M2043" s="11" t="n">
        <x:f>'管线假设'!H451</x:f>
        <x:v>0.14</x:v>
      </x:c>
      <x:c r="N2043" s="11" t="n">
        <x:f>IF(G2043,L2043*AN2043/(1+M2043)^F2043,0)</x:f>
        <x:v>0.01659256025272837</x:v>
      </x:c>
      <x:c r="AJ2043" t="n">
        <x:v>0</x:v>
      </x:c>
      <x:c r="AK2043" t="n">
        <x:v>0</x:v>
      </x:c>
      <x:c r="AL2043" t="n">
        <x:v>0</x:v>
      </x:c>
      <x:c r="AM2043" t="n">
        <x:f>CHOOSE('假设'!$B$3,AJ2043,AK2043,AL2043)</x:f>
        <x:v>0</x:v>
      </x:c>
      <x:c r="AN2043" t="n">
        <x:v>1</x:v>
      </x:c>
    </x:row>
    <x:row r="2044" ht="23" customHeight="1">
      <x:c r="A2044" s="11" t="str">
        <x:v>688302.SH</x:v>
      </x:c>
      <x:c r="B2044" s="11" t="str">
        <x:v>三年</x:v>
      </x:c>
      <x:c r="C2044" s="11" t="str">
        <x:v>hp515_obesity_cn</x:v>
      </x:c>
      <x:c r="D2044" s="11" t="str">
        <x:v>2040-12-31</x:v>
      </x:c>
      <x:c r="E2044" s="11" t="str">
        <x:v>CNY</x:v>
      </x:c>
      <x:c r="F2044" s="11" t="n">
        <x:v>11.227926078028748</x:v>
      </x:c>
      <x:c r="G2044" s="26" t="b">
        <x:v>1</x:v>
      </x:c>
      <x:c r="H2044" s="16" t="n">
        <x:v>0.32000000000000006</x:v>
      </x:c>
      <x:c r="I2044" s="16" t="n">
        <x:v>0.9570000000000001</x:v>
      </x:c>
      <x:c r="J2044" s="16" t="n">
        <x:v>1.525</x:v>
      </x:c>
      <x:c r="K2044" s="11" t="n">
        <x:f>CHOOSE('假设'!$B$3,H2044,I2044,J2044)</x:f>
        <x:v>0.9570000000000001</x:v>
      </x:c>
      <x:c r="L2044" s="11" t="n">
        <x:f>K2044*'管线假设'!E451*'管线假设'!F451*'管线假设'!G451*IF(E2044="USD",'管线假设'!I451,1)-AM2044</x:f>
        <x:v>0.05512319999999999</x:v>
      </x:c>
      <x:c r="M2044" s="11" t="n">
        <x:f>'管线假设'!H451</x:f>
        <x:v>0.14</x:v>
      </x:c>
      <x:c r="N2044" s="11" t="n">
        <x:f>IF(G2044,L2044*AN2044/(1+M2044)^F2044,0)</x:f>
        <x:v>0.012659336874223895</x:v>
      </x:c>
      <x:c r="AJ2044" t="n">
        <x:v>0</x:v>
      </x:c>
      <x:c r="AK2044" t="n">
        <x:v>0</x:v>
      </x:c>
      <x:c r="AL2044" t="n">
        <x:v>0</x:v>
      </x:c>
      <x:c r="AM2044" t="n">
        <x:f>CHOOSE('假设'!$B$3,AJ2044,AK2044,AL2044)</x:f>
        <x:v>0</x:v>
      </x:c>
      <x:c r="AN2044" t="n">
        <x:v>1</x:v>
      </x:c>
    </x:row>
    <x:row r="2045" ht="23" customHeight="1">
      <x:c r="A2045" s="11" t="str">
        <x:v>688302.SH</x:v>
      </x:c>
      <x:c r="B2045" s="11" t="str">
        <x:v>三年</x:v>
      </x:c>
      <x:c r="C2045" s="11" t="str">
        <x:v>hp515_obesity_cn</x:v>
      </x:c>
      <x:c r="D2045" s="11" t="str">
        <x:v>2041-12-31</x:v>
      </x:c>
      <x:c r="E2045" s="11" t="str">
        <x:v>CNY</x:v>
      </x:c>
      <x:c r="F2045" s="11" t="n">
        <x:v>12.227241615331964</x:v>
      </x:c>
      <x:c r="G2045" s="26" t="b">
        <x:v>1</x:v>
      </x:c>
      <x:c r="H2045" s="16" t="n">
        <x:v>0.4</x:v>
      </x:c>
      <x:c r="I2045" s="16" t="n">
        <x:v>0.8140000000000001</x:v>
      </x:c>
      <x:c r="J2045" s="16" t="n">
        <x:v>1.2</x:v>
      </x:c>
      <x:c r="K2045" s="11" t="n">
        <x:f>CHOOSE('假设'!$B$3,H2045,I2045,J2045)</x:f>
        <x:v>0.8140000000000001</x:v>
      </x:c>
      <x:c r="L2045" s="11" t="n">
        <x:f>K2045*'管线假设'!E451*'管线假设'!F451*'管线假设'!G451*IF(E2045="USD",'管线假设'!I451,1)-AM2045</x:f>
        <x:v>0.046886399999999995</x:v>
      </x:c>
      <x:c r="M2045" s="11" t="n">
        <x:f>'管线假设'!H451</x:f>
        <x:v>0.14</x:v>
      </x:c>
      <x:c r="N2045" s="11" t="n">
        <x:f>IF(G2045,L2045*AN2045/(1+M2045)^F2045,0)</x:f>
        <x:v>0.009446208384535595</x:v>
      </x:c>
      <x:c r="AJ2045" t="n">
        <x:v>0</x:v>
      </x:c>
      <x:c r="AK2045" t="n">
        <x:v>0</x:v>
      </x:c>
      <x:c r="AL2045" t="n">
        <x:v>0</x:v>
      </x:c>
      <x:c r="AM2045" t="n">
        <x:f>CHOOSE('假设'!$B$3,AJ2045,AK2045,AL2045)</x:f>
        <x:v>0</x:v>
      </x:c>
      <x:c r="AN2045" t="n">
        <x:v>1</x:v>
      </x:c>
    </x:row>
    <x:row r="2046" ht="23" customHeight="1">
      <x:c r="A2046" s="11" t="str">
        <x:v>688302.SH</x:v>
      </x:c>
      <x:c r="B2046" s="11" t="str">
        <x:v>三年</x:v>
      </x:c>
      <x:c r="C2046" s="11" t="str">
        <x:v>hp515_obesity_cn</x:v>
      </x:c>
      <x:c r="D2046" s="11" t="str">
        <x:v>2042-12-31</x:v>
      </x:c>
      <x:c r="E2046" s="11" t="str">
        <x:v>CNY</x:v>
      </x:c>
      <x:c r="F2046" s="11" t="n">
        <x:v>13.22655715263518</x:v>
      </x:c>
      <x:c r="G2046" s="26" t="b">
        <x:v>1</x:v>
      </x:c>
      <x:c r="H2046" s="16" t="n">
        <x:v>0.34800000000000003</x:v>
      </x:c>
      <x:c r="I2046" s="16" t="n">
        <x:v>0.671</x:v>
      </x:c>
      <x:c r="J2046" s="16" t="n">
        <x:v>0.875</x:v>
      </x:c>
      <x:c r="K2046" s="11" t="n">
        <x:f>CHOOSE('假设'!$B$3,H2046,I2046,J2046)</x:f>
        <x:v>0.671</x:v>
      </x:c>
      <x:c r="L2046" s="11" t="n">
        <x:f>K2046*'管线假设'!E451*'管线假设'!F451*'管线假设'!G451*IF(E2046="USD",'管线假设'!I451,1)-AM2046</x:f>
        <x:v>0.03864959999999999</x:v>
      </x:c>
      <x:c r="M2046" s="11" t="n">
        <x:f>'管线假设'!H451</x:f>
        <x:v>0.14</x:v>
      </x:c>
      <x:c r="N2046" s="11" t="n">
        <x:f>IF(G2046,L2046*AN2046/(1+M2046)^F2046,0)</x:f>
        <x:v>0.006831085720112506</x:v>
      </x:c>
      <x:c r="AJ2046" t="n">
        <x:v>0</x:v>
      </x:c>
      <x:c r="AK2046" t="n">
        <x:v>0</x:v>
      </x:c>
      <x:c r="AL2046" t="n">
        <x:v>0</x:v>
      </x:c>
      <x:c r="AM2046" t="n">
        <x:f>CHOOSE('假设'!$B$3,AJ2046,AK2046,AL2046)</x:f>
        <x:v>0</x:v>
      </x:c>
      <x:c r="AN2046" t="n">
        <x:v>1</x:v>
      </x:c>
    </x:row>
    <x:row r="2047" ht="23" customHeight="1">
      <x:c r="A2047" s="11" t="str">
        <x:v>688302.SH</x:v>
      </x:c>
      <x:c r="B2047" s="11" t="str">
        <x:v>三年</x:v>
      </x:c>
      <x:c r="C2047" s="11" t="str">
        <x:v>hp515_obesity_cn</x:v>
      </x:c>
      <x:c r="D2047" s="11" t="str">
        <x:v>2043-12-31</x:v>
      </x:c>
      <x:c r="E2047" s="11" t="str">
        <x:v>CNY</x:v>
      </x:c>
      <x:c r="F2047" s="11" t="n">
        <x:v>14.225872689938399</x:v>
      </x:c>
      <x:c r="G2047" s="26" t="b">
        <x:v>1</x:v>
      </x:c>
      <x:c r="H2047" s="16" t="n">
        <x:v>0.296</x:v>
      </x:c>
      <x:c r="I2047" s="16" t="n">
        <x:v>0.528</x:v>
      </x:c>
      <x:c r="J2047" s="16" t="n">
        <x:v>0.5499999999999999</x:v>
      </x:c>
      <x:c r="K2047" s="11" t="n">
        <x:f>CHOOSE('假设'!$B$3,H2047,I2047,J2047)</x:f>
        <x:v>0.528</x:v>
      </x:c>
      <x:c r="L2047" s="11" t="n">
        <x:f>K2047*'管线假设'!E451*'管线假设'!F451*'管线假设'!G451*IF(E2047="USD",'管线假设'!I451,1)-AM2047</x:f>
        <x:v>0.030412799999999993</x:v>
      </x:c>
      <x:c r="M2047" s="11" t="n">
        <x:f>'管线假设'!H451</x:f>
        <x:v>0.14</x:v>
      </x:c>
      <x:c r="N2047" s="11" t="n">
        <x:f>IF(G2047,L2047*AN2047/(1+M2047)^F2047,0)</x:f>
        <x:v>0.0047155812848241555</x:v>
      </x:c>
      <x:c r="AJ2047" t="n">
        <x:v>0</x:v>
      </x:c>
      <x:c r="AK2047" t="n">
        <x:v>0</x:v>
      </x:c>
      <x:c r="AL2047" t="n">
        <x:v>0</x:v>
      </x:c>
      <x:c r="AM2047" t="n">
        <x:f>CHOOSE('假设'!$B$3,AJ2047,AK2047,AL2047)</x:f>
        <x:v>0</x:v>
      </x:c>
      <x:c r="AN2047" t="n">
        <x:v>1</x:v>
      </x:c>
    </x:row>
    <x:row r="2048" ht="23" customHeight="1">
      <x:c r="A2048" s="11" t="str">
        <x:v>688302.SH</x:v>
      </x:c>
      <x:c r="B2048" s="11" t="str">
        <x:v>三年</x:v>
      </x:c>
      <x:c r="C2048" s="11" t="str">
        <x:v>hp515_obesity_cn</x:v>
      </x:c>
      <x:c r="D2048" s="11" t="str">
        <x:v>2044-12-31</x:v>
      </x:c>
      <x:c r="E2048" s="11" t="str">
        <x:v>CNY</x:v>
      </x:c>
      <x:c r="F2048" s="11" t="n">
        <x:v>15.227926078028748</x:v>
      </x:c>
      <x:c r="G2048" s="26" t="b">
        <x:v>1</x:v>
      </x:c>
      <x:c r="H2048" s="16" t="n">
        <x:v>0.244</x:v>
      </x:c>
      <x:c r="I2048" s="16" t="n">
        <x:v>0.385</x:v>
      </x:c>
      <x:c r="J2048" s="16" t="n">
        <x:v>0.22499999999999992</x:v>
      </x:c>
      <x:c r="K2048" s="11" t="n">
        <x:f>CHOOSE('假设'!$B$3,H2048,I2048,J2048)</x:f>
        <x:v>0.385</x:v>
      </x:c>
      <x:c r="L2048" s="11" t="n">
        <x:f>K2048*'管线假设'!E451*'管线假设'!F451*'管线假设'!G451*IF(E2048="USD",'管线假设'!I451,1)-AM2048</x:f>
        <x:v>0.022175999999999998</x:v>
      </x:c>
      <x:c r="M2048" s="11" t="n">
        <x:f>'管线假设'!H451</x:f>
        <x:v>0.14</x:v>
      </x:c>
      <x:c r="N2048" s="11" t="n">
        <x:f>IF(G2048,L2048*AN2048/(1+M2048)^F2048,0)</x:f>
        <x:v>0.0030153681502696587</x:v>
      </x:c>
      <x:c r="AJ2048" t="n">
        <x:v>0</x:v>
      </x:c>
      <x:c r="AK2048" t="n">
        <x:v>0</x:v>
      </x:c>
      <x:c r="AL2048" t="n">
        <x:v>0</x:v>
      </x:c>
      <x:c r="AM2048" t="n">
        <x:f>CHOOSE('假设'!$B$3,AJ2048,AK2048,AL2048)</x:f>
        <x:v>0</x:v>
      </x:c>
      <x:c r="AN2048" t="n">
        <x:v>1</x:v>
      </x:c>
    </x:row>
    <x:row r="2049" ht="23" customHeight="1">
      <x:c r="A2049" s="11" t="str">
        <x:v>688302.SH</x:v>
      </x:c>
      <x:c r="B2049" s="11" t="str">
        <x:v>三年</x:v>
      </x:c>
      <x:c r="C2049" s="11" t="str">
        <x:v>hp515_obesity_cn</x:v>
      </x:c>
      <x:c r="D2049" s="11" t="str">
        <x:v>2045-12-31</x:v>
      </x:c>
      <x:c r="E2049" s="11" t="str">
        <x:v>CNY</x:v>
      </x:c>
      <x:c r="F2049" s="11" t="n">
        <x:v>16.227241615331966</x:v>
      </x:c>
      <x:c r="G2049" s="26" t="b">
        <x:v>1</x:v>
      </x:c>
      <x:c r="H2049" s="16" t="n">
        <x:v>0.192</x:v>
      </x:c>
      <x:c r="I2049" s="16" t="n">
        <x:v>0.242</x:v>
      </x:c>
      <x:c r="J2049" s="16" t="n">
        <x:v>0</x:v>
      </x:c>
      <x:c r="K2049" s="11" t="n">
        <x:f>CHOOSE('假设'!$B$3,H2049,I2049,J2049)</x:f>
        <x:v>0.242</x:v>
      </x:c>
      <x:c r="L2049" s="11" t="n">
        <x:f>K2049*'管线假设'!E451*'管线假设'!F451*'管线假设'!G451*IF(E2049="USD",'管线假设'!I451,1)-AM2049</x:f>
        <x:v>0.013939199999999995</x:v>
      </x:c>
      <x:c r="M2049" s="11" t="n">
        <x:f>'管线假设'!H451</x:f>
        <x:v>0.14</x:v>
      </x:c>
      <x:c r="N2049" s="11" t="n">
        <x:f>IF(G2049,L2049*AN2049/(1+M2049)^F2049,0)</x:f>
        <x:v>0.0016627581212036988</x:v>
      </x:c>
      <x:c r="AJ2049" t="n">
        <x:v>0</x:v>
      </x:c>
      <x:c r="AK2049" t="n">
        <x:v>0</x:v>
      </x:c>
      <x:c r="AL2049" t="n">
        <x:v>0</x:v>
      </x:c>
      <x:c r="AM2049" t="n">
        <x:f>CHOOSE('假设'!$B$3,AJ2049,AK2049,AL2049)</x:f>
        <x:v>0</x:v>
      </x:c>
      <x:c r="AN2049" t="n">
        <x:v>1</x:v>
      </x:c>
    </x:row>
    <x:row r="2050" ht="23" customHeight="1">
      <x:c r="A2050" s="11" t="str">
        <x:v>688302.SH</x:v>
      </x:c>
      <x:c r="B2050" s="11" t="str">
        <x:v>三年</x:v>
      </x:c>
      <x:c r="C2050" s="11" t="str">
        <x:v>hp515_obesity_global</x:v>
      </x:c>
      <x:c r="D2050" s="11" t="str">
        <x:v>2027-12-31</x:v>
      </x:c>
      <x:c r="E2050" s="11" t="str">
        <x:v>USD</x:v>
      </x:c>
      <x:c r="F2050" s="11" t="n">
        <x:v>-1.7741273100616017</x:v>
      </x:c>
      <x:c r="G2050" s="26" t="b">
        <x:v>0</x:v>
      </x:c>
      <x:c r="H2050" s="16" t="n">
        <x:v>0</x:v>
      </x:c>
      <x:c r="I2050" s="16" t="n">
        <x:v>0</x:v>
      </x:c>
      <x:c r="J2050" s="16" t="n">
        <x:v>0</x:v>
      </x:c>
      <x:c r="K2050" s="11" t="n">
        <x:f>CHOOSE('假设'!$B$3,H2050,I2050,J2050)</x:f>
        <x:v>0</x:v>
      </x:c>
      <x:c r="L2050" s="11" t="n">
        <x:f>K2050*'管线假设'!E455*'管线假设'!F455*'管线假设'!G455*IF(E2050="USD",'管线假设'!I455,1)-AM2050</x:f>
        <x:v>0</x:v>
      </x:c>
      <x:c r="M2050" s="11" t="n">
        <x:f>'管线假设'!H455</x:f>
        <x:v>0.14</x:v>
      </x:c>
      <x:c r="N2050" s="11" t="n">
        <x:f>IF(G2050,L2050*AN2050/(1+M2050)^F2050,0)</x:f>
        <x:v>0</x:v>
      </x:c>
      <x:c r="AJ2050" t="n">
        <x:v>0</x:v>
      </x:c>
      <x:c r="AK2050" t="n">
        <x:v>0</x:v>
      </x:c>
      <x:c r="AL2050" t="n">
        <x:v>0</x:v>
      </x:c>
      <x:c r="AM2050" t="n">
        <x:f>CHOOSE('假设'!$B$3,AJ2050,AK2050,AL2050)</x:f>
        <x:v>0</x:v>
      </x:c>
      <x:c r="AN2050" t="n">
        <x:v>1</x:v>
      </x:c>
    </x:row>
    <x:row r="2051" ht="23" customHeight="1">
      <x:c r="A2051" s="11" t="str">
        <x:v>688302.SH</x:v>
      </x:c>
      <x:c r="B2051" s="11" t="str">
        <x:v>三年</x:v>
      </x:c>
      <x:c r="C2051" s="11" t="str">
        <x:v>hp515_obesity_global</x:v>
      </x:c>
      <x:c r="D2051" s="11" t="str">
        <x:v>2028-12-31</x:v>
      </x:c>
      <x:c r="E2051" s="11" t="str">
        <x:v>USD</x:v>
      </x:c>
      <x:c r="F2051" s="11" t="n">
        <x:v>-0.7720739219712526</x:v>
      </x:c>
      <x:c r="G2051" s="26" t="b">
        <x:v>0</x:v>
      </x:c>
      <x:c r="H2051" s="16" t="n">
        <x:v>0</x:v>
      </x:c>
      <x:c r="I2051" s="16" t="n">
        <x:v>0</x:v>
      </x:c>
      <x:c r="J2051" s="16" t="n">
        <x:v>0</x:v>
      </x:c>
      <x:c r="K2051" s="11" t="n">
        <x:f>CHOOSE('假设'!$B$3,H2051,I2051,J2051)</x:f>
        <x:v>0</x:v>
      </x:c>
      <x:c r="L2051" s="11" t="n">
        <x:f>K2051*'管线假设'!E455*'管线假设'!F455*'管线假设'!G455*IF(E2051="USD",'管线假设'!I455,1)-AM2051</x:f>
        <x:v>0</x:v>
      </x:c>
      <x:c r="M2051" s="11" t="n">
        <x:f>'管线假设'!H455</x:f>
        <x:v>0.14</x:v>
      </x:c>
      <x:c r="N2051" s="11" t="n">
        <x:f>IF(G2051,L2051*AN2051/(1+M2051)^F2051,0)</x:f>
        <x:v>0</x:v>
      </x:c>
      <x:c r="AJ2051" t="n">
        <x:v>0</x:v>
      </x:c>
      <x:c r="AK2051" t="n">
        <x:v>0</x:v>
      </x:c>
      <x:c r="AL2051" t="n">
        <x:v>0</x:v>
      </x:c>
      <x:c r="AM2051" t="n">
        <x:f>CHOOSE('假设'!$B$3,AJ2051,AK2051,AL2051)</x:f>
        <x:v>0</x:v>
      </x:c>
      <x:c r="AN2051" t="n">
        <x:v>1</x:v>
      </x:c>
    </x:row>
    <x:row r="2052" ht="23" customHeight="1">
      <x:c r="A2052" s="11" t="str">
        <x:v>688302.SH</x:v>
      </x:c>
      <x:c r="B2052" s="11" t="str">
        <x:v>三年</x:v>
      </x:c>
      <x:c r="C2052" s="11" t="str">
        <x:v>hp515_obesity_global</x:v>
      </x:c>
      <x:c r="D2052" s="11" t="str">
        <x:v>2029-12-31</x:v>
      </x:c>
      <x:c r="E2052" s="11" t="str">
        <x:v>USD</x:v>
      </x:c>
      <x:c r="F2052" s="11" t="n">
        <x:v>0.2272416153319644</x:v>
      </x:c>
      <x:c r="G2052" s="26" t="b">
        <x:v>1</x:v>
      </x:c>
      <x:c r="H2052" s="16" t="n">
        <x:v>0</x:v>
      </x:c>
      <x:c r="I2052" s="16" t="n">
        <x:v>0</x:v>
      </x:c>
      <x:c r="J2052" s="16" t="n">
        <x:v>0</x:v>
      </x:c>
      <x:c r="K2052" s="11" t="n">
        <x:f>CHOOSE('假设'!$B$3,H2052,I2052,J2052)</x:f>
        <x:v>0</x:v>
      </x:c>
      <x:c r="L2052" s="11" t="n">
        <x:f>K2052*'管线假设'!E455*'管线假设'!F455*'管线假设'!G455*IF(E2052="USD",'管线假设'!I455,1)-AM2052</x:f>
        <x:v>0</x:v>
      </x:c>
      <x:c r="M2052" s="11" t="n">
        <x:f>'管线假设'!H455</x:f>
        <x:v>0.14</x:v>
      </x:c>
      <x:c r="N2052" s="11" t="n">
        <x:f>IF(G2052,L2052*AN2052/(1+M2052)^F2052,0)</x:f>
        <x:v>0</x:v>
      </x:c>
      <x:c r="AJ2052" t="n">
        <x:v>0</x:v>
      </x:c>
      <x:c r="AK2052" t="n">
        <x:v>0</x:v>
      </x:c>
      <x:c r="AL2052" t="n">
        <x:v>0</x:v>
      </x:c>
      <x:c r="AM2052" t="n">
        <x:f>CHOOSE('假设'!$B$3,AJ2052,AK2052,AL2052)</x:f>
        <x:v>0</x:v>
      </x:c>
      <x:c r="AN2052" t="n">
        <x:v>1</x:v>
      </x:c>
    </x:row>
    <x:row r="2053" ht="23" customHeight="1">
      <x:c r="A2053" s="11" t="str">
        <x:v>688302.SH</x:v>
      </x:c>
      <x:c r="B2053" s="11" t="str">
        <x:v>三年</x:v>
      </x:c>
      <x:c r="C2053" s="11" t="str">
        <x:v>hp515_obesity_global</x:v>
      </x:c>
      <x:c r="D2053" s="11" t="str">
        <x:v>2030-12-31</x:v>
      </x:c>
      <x:c r="E2053" s="11" t="str">
        <x:v>USD</x:v>
      </x:c>
      <x:c r="F2053" s="11" t="n">
        <x:v>1.2265571526351813</x:v>
      </x:c>
      <x:c r="G2053" s="26" t="b">
        <x:v>1</x:v>
      </x:c>
      <x:c r="H2053" s="16" t="n">
        <x:v>0</x:v>
      </x:c>
      <x:c r="I2053" s="16" t="n">
        <x:v>0</x:v>
      </x:c>
      <x:c r="J2053" s="16" t="n">
        <x:v>0</x:v>
      </x:c>
      <x:c r="K2053" s="11" t="n">
        <x:f>CHOOSE('假设'!$B$3,H2053,I2053,J2053)</x:f>
        <x:v>0</x:v>
      </x:c>
      <x:c r="L2053" s="11" t="n">
        <x:f>K2053*'管线假设'!E455*'管线假设'!F455*'管线假设'!G455*IF(E2053="USD",'管线假设'!I455,1)-AM2053</x:f>
        <x:v>0</x:v>
      </x:c>
      <x:c r="M2053" s="11" t="n">
        <x:f>'管线假设'!H455</x:f>
        <x:v>0.14</x:v>
      </x:c>
      <x:c r="N2053" s="11" t="n">
        <x:f>IF(G2053,L2053*AN2053/(1+M2053)^F2053,0)</x:f>
        <x:v>0</x:v>
      </x:c>
      <x:c r="AJ2053" t="n">
        <x:v>0</x:v>
      </x:c>
      <x:c r="AK2053" t="n">
        <x:v>0</x:v>
      </x:c>
      <x:c r="AL2053" t="n">
        <x:v>0</x:v>
      </x:c>
      <x:c r="AM2053" t="n">
        <x:f>CHOOSE('假设'!$B$3,AJ2053,AK2053,AL2053)</x:f>
        <x:v>0</x:v>
      </x:c>
      <x:c r="AN2053" t="n">
        <x:v>1</x:v>
      </x:c>
    </x:row>
    <x:row r="2054" ht="23" customHeight="1">
      <x:c r="A2054" s="11" t="str">
        <x:v>688302.SH</x:v>
      </x:c>
      <x:c r="B2054" s="11" t="str">
        <x:v>三年</x:v>
      </x:c>
      <x:c r="C2054" s="11" t="str">
        <x:v>hp515_obesity_global</x:v>
      </x:c>
      <x:c r="D2054" s="11" t="str">
        <x:v>2031-12-31</x:v>
      </x:c>
      <x:c r="E2054" s="11" t="str">
        <x:v>USD</x:v>
      </x:c>
      <x:c r="F2054" s="11" t="n">
        <x:v>2.2258726899383983</x:v>
      </x:c>
      <x:c r="G2054" s="26" t="b">
        <x:v>1</x:v>
      </x:c>
      <x:c r="H2054" s="16" t="n">
        <x:v>0</x:v>
      </x:c>
      <x:c r="I2054" s="16" t="n">
        <x:v>0</x:v>
      </x:c>
      <x:c r="J2054" s="16" t="n">
        <x:v>0</x:v>
      </x:c>
      <x:c r="K2054" s="11" t="n">
        <x:f>CHOOSE('假设'!$B$3,H2054,I2054,J2054)</x:f>
        <x:v>0</x:v>
      </x:c>
      <x:c r="L2054" s="11" t="n">
        <x:f>K2054*'管线假设'!E455*'管线假设'!F455*'管线假设'!G455*IF(E2054="USD",'管线假设'!I455,1)-AM2054</x:f>
        <x:v>0</x:v>
      </x:c>
      <x:c r="M2054" s="11" t="n">
        <x:f>'管线假设'!H455</x:f>
        <x:v>0.14</x:v>
      </x:c>
      <x:c r="N2054" s="11" t="n">
        <x:f>IF(G2054,L2054*AN2054/(1+M2054)^F2054,0)</x:f>
        <x:v>0</x:v>
      </x:c>
      <x:c r="AJ2054" t="n">
        <x:v>0</x:v>
      </x:c>
      <x:c r="AK2054" t="n">
        <x:v>0</x:v>
      </x:c>
      <x:c r="AL2054" t="n">
        <x:v>0</x:v>
      </x:c>
      <x:c r="AM2054" t="n">
        <x:f>CHOOSE('假设'!$B$3,AJ2054,AK2054,AL2054)</x:f>
        <x:v>0</x:v>
      </x:c>
      <x:c r="AN2054" t="n">
        <x:v>1</x:v>
      </x:c>
    </x:row>
    <x:row r="2055" ht="23" customHeight="1">
      <x:c r="A2055" s="11" t="str">
        <x:v>688302.SH</x:v>
      </x:c>
      <x:c r="B2055" s="11" t="str">
        <x:v>三年</x:v>
      </x:c>
      <x:c r="C2055" s="11" t="str">
        <x:v>hp515_obesity_global</x:v>
      </x:c>
      <x:c r="D2055" s="11" t="str">
        <x:v>2032-12-31</x:v>
      </x:c>
      <x:c r="E2055" s="11" t="str">
        <x:v>USD</x:v>
      </x:c>
      <x:c r="F2055" s="11" t="n">
        <x:v>3.2279260780287475</x:v>
      </x:c>
      <x:c r="G2055" s="26" t="b">
        <x:v>1</x:v>
      </x:c>
      <x:c r="H2055" s="16" t="n">
        <x:v>0</x:v>
      </x:c>
      <x:c r="I2055" s="16" t="n">
        <x:v>0</x:v>
      </x:c>
      <x:c r="J2055" s="16" t="n">
        <x:v>0</x:v>
      </x:c>
      <x:c r="K2055" s="11" t="n">
        <x:f>CHOOSE('假设'!$B$3,H2055,I2055,J2055)</x:f>
        <x:v>0</x:v>
      </x:c>
      <x:c r="L2055" s="11" t="n">
        <x:f>K2055*'管线假设'!E455*'管线假设'!F455*'管线假设'!G455*IF(E2055="USD",'管线假设'!I455,1)-AM2055</x:f>
        <x:v>0</x:v>
      </x:c>
      <x:c r="M2055" s="11" t="n">
        <x:f>'管线假设'!H455</x:f>
        <x:v>0.14</x:v>
      </x:c>
      <x:c r="N2055" s="11" t="n">
        <x:f>IF(G2055,L2055*AN2055/(1+M2055)^F2055,0)</x:f>
        <x:v>0</x:v>
      </x:c>
      <x:c r="AJ2055" t="n">
        <x:v>0</x:v>
      </x:c>
      <x:c r="AK2055" t="n">
        <x:v>0</x:v>
      </x:c>
      <x:c r="AL2055" t="n">
        <x:v>0</x:v>
      </x:c>
      <x:c r="AM2055" t="n">
        <x:f>CHOOSE('假设'!$B$3,AJ2055,AK2055,AL2055)</x:f>
        <x:v>0</x:v>
      </x:c>
      <x:c r="AN2055" t="n">
        <x:v>1</x:v>
      </x:c>
    </x:row>
    <x:row r="2056" ht="23" customHeight="1">
      <x:c r="A2056" s="11" t="str">
        <x:v>688302.SH</x:v>
      </x:c>
      <x:c r="B2056" s="11" t="str">
        <x:v>三年</x:v>
      </x:c>
      <x:c r="C2056" s="11" t="str">
        <x:v>hp515_obesity_global</x:v>
      </x:c>
      <x:c r="D2056" s="11" t="str">
        <x:v>2033-12-31</x:v>
      </x:c>
      <x:c r="E2056" s="11" t="str">
        <x:v>USD</x:v>
      </x:c>
      <x:c r="F2056" s="11" t="n">
        <x:v>4.227241615331964</x:v>
      </x:c>
      <x:c r="G2056" s="26" t="b">
        <x:v>1</x:v>
      </x:c>
      <x:c r="H2056" s="16" t="n">
        <x:v>0</x:v>
      </x:c>
      <x:c r="I2056" s="16" t="n">
        <x:v>0</x:v>
      </x:c>
      <x:c r="J2056" s="16" t="n">
        <x:v>0.6666666666666666</x:v>
      </x:c>
      <x:c r="K2056" s="11" t="n">
        <x:f>CHOOSE('假设'!$B$3,H2056,I2056,J2056)</x:f>
        <x:v>0</x:v>
      </x:c>
      <x:c r="L2056" s="11" t="n">
        <x:f>K2056*'管线假设'!E455*'管线假设'!F455*'管线假设'!G455*IF(E2056="USD",'管线假设'!I455,1)-AM2056</x:f>
        <x:v>0</x:v>
      </x:c>
      <x:c r="M2056" s="11" t="n">
        <x:f>'管线假设'!H455</x:f>
        <x:v>0.14</x:v>
      </x:c>
      <x:c r="N2056" s="11" t="n">
        <x:f>IF(G2056,L2056*AN2056/(1+M2056)^F2056,0)</x:f>
        <x:v>0</x:v>
      </x:c>
      <x:c r="AJ2056" t="n">
        <x:v>0</x:v>
      </x:c>
      <x:c r="AK2056" t="n">
        <x:v>0</x:v>
      </x:c>
      <x:c r="AL2056" t="n">
        <x:v>0</x:v>
      </x:c>
      <x:c r="AM2056" t="n">
        <x:f>CHOOSE('假设'!$B$3,AJ2056,AK2056,AL2056)</x:f>
        <x:v>0</x:v>
      </x:c>
      <x:c r="AN2056" t="n">
        <x:v>1</x:v>
      </x:c>
    </x:row>
    <x:row r="2057" ht="23" customHeight="1">
      <x:c r="A2057" s="11" t="str">
        <x:v>688302.SH</x:v>
      </x:c>
      <x:c r="B2057" s="11" t="str">
        <x:v>三年</x:v>
      </x:c>
      <x:c r="C2057" s="11" t="str">
        <x:v>hp515_obesity_global</x:v>
      </x:c>
      <x:c r="D2057" s="11" t="str">
        <x:v>2034-12-31</x:v>
      </x:c>
      <x:c r="E2057" s="11" t="str">
        <x:v>USD</x:v>
      </x:c>
      <x:c r="F2057" s="11" t="n">
        <x:v>5.2265571526351815</x:v>
      </x:c>
      <x:c r="G2057" s="26" t="b">
        <x:v>1</x:v>
      </x:c>
      <x:c r="H2057" s="16" t="n">
        <x:v>0</x:v>
      </x:c>
      <x:c r="I2057" s="16" t="n">
        <x:v>0</x:v>
      </x:c>
      <x:c r="J2057" s="16" t="n">
        <x:v>1.3333333333333333</x:v>
      </x:c>
      <x:c r="K2057" s="11" t="n">
        <x:f>CHOOSE('假设'!$B$3,H2057,I2057,J2057)</x:f>
        <x:v>0</x:v>
      </x:c>
      <x:c r="L2057" s="11" t="n">
        <x:f>K2057*'管线假设'!E455*'管线假设'!F455*'管线假设'!G455*IF(E2057="USD",'管线假设'!I455,1)-AM2057</x:f>
        <x:v>0</x:v>
      </x:c>
      <x:c r="M2057" s="11" t="n">
        <x:f>'管线假设'!H455</x:f>
        <x:v>0.14</x:v>
      </x:c>
      <x:c r="N2057" s="11" t="n">
        <x:f>IF(G2057,L2057*AN2057/(1+M2057)^F2057,0)</x:f>
        <x:v>0</x:v>
      </x:c>
      <x:c r="AJ2057" t="n">
        <x:v>0</x:v>
      </x:c>
      <x:c r="AK2057" t="n">
        <x:v>0</x:v>
      </x:c>
      <x:c r="AL2057" t="n">
        <x:v>0</x:v>
      </x:c>
      <x:c r="AM2057" t="n">
        <x:f>CHOOSE('假设'!$B$3,AJ2057,AK2057,AL2057)</x:f>
        <x:v>0</x:v>
      </x:c>
      <x:c r="AN2057" t="n">
        <x:v>1</x:v>
      </x:c>
    </x:row>
    <x:row r="2058" ht="23" customHeight="1">
      <x:c r="A2058" s="11" t="str">
        <x:v>688302.SH</x:v>
      </x:c>
      <x:c r="B2058" s="11" t="str">
        <x:v>三年</x:v>
      </x:c>
      <x:c r="C2058" s="11" t="str">
        <x:v>hp515_obesity_global</x:v>
      </x:c>
      <x:c r="D2058" s="11" t="str">
        <x:v>2035-12-31</x:v>
      </x:c>
      <x:c r="E2058" s="11" t="str">
        <x:v>USD</x:v>
      </x:c>
      <x:c r="F2058" s="11" t="n">
        <x:v>6.225872689938399</x:v>
      </x:c>
      <x:c r="G2058" s="26" t="b">
        <x:v>1</x:v>
      </x:c>
      <x:c r="H2058" s="16" t="n">
        <x:v>0</x:v>
      </x:c>
      <x:c r="I2058" s="16" t="n">
        <x:v>0.3333333333333333</x:v>
      </x:c>
      <x:c r="J2058" s="16" t="n">
        <x:v>2</x:v>
      </x:c>
      <x:c r="K2058" s="11" t="n">
        <x:f>CHOOSE('假设'!$B$3,H2058,I2058,J2058)</x:f>
        <x:v>0.3333333333333333</x:v>
      </x:c>
      <x:c r="L2058" s="11" t="n">
        <x:f>K2058*'管线假设'!E455*'管线假设'!F455*'管线假设'!G455*IF(E2058="USD",'管线假设'!I455,1)-AM2058</x:f>
        <x:v>0.04163413333333332</x:v>
      </x:c>
      <x:c r="M2058" s="11" t="n">
        <x:f>'管线假设'!H455</x:f>
        <x:v>0.14</x:v>
      </x:c>
      <x:c r="N2058" s="11" t="n">
        <x:f>IF(G2058,L2058*AN2058/(1+M2058)^F2058,0)</x:f>
        <x:v>0.01841480688710553</x:v>
      </x:c>
      <x:c r="AJ2058" t="n">
        <x:v>0</x:v>
      </x:c>
      <x:c r="AK2058" t="n">
        <x:v>0</x:v>
      </x:c>
      <x:c r="AL2058" t="n">
        <x:v>0</x:v>
      </x:c>
      <x:c r="AM2058" t="n">
        <x:f>CHOOSE('假设'!$B$3,AJ2058,AK2058,AL2058)</x:f>
        <x:v>0</x:v>
      </x:c>
      <x:c r="AN2058" t="n">
        <x:v>1</x:v>
      </x:c>
    </x:row>
    <x:row r="2059" ht="23" customHeight="1">
      <x:c r="A2059" s="11" t="str">
        <x:v>688302.SH</x:v>
      </x:c>
      <x:c r="B2059" s="11" t="str">
        <x:v>三年</x:v>
      </x:c>
      <x:c r="C2059" s="11" t="str">
        <x:v>hp515_obesity_global</x:v>
      </x:c>
      <x:c r="D2059" s="11" t="str">
        <x:v>2036-12-31</x:v>
      </x:c>
      <x:c r="E2059" s="11" t="str">
        <x:v>USD</x:v>
      </x:c>
      <x:c r="F2059" s="11" t="n">
        <x:v>7.227926078028747</x:v>
      </x:c>
      <x:c r="G2059" s="26" t="b">
        <x:v>1</x:v>
      </x:c>
      <x:c r="H2059" s="16" t="n">
        <x:v>0</x:v>
      </x:c>
      <x:c r="I2059" s="16" t="n">
        <x:v>0.6666666666666666</x:v>
      </x:c>
      <x:c r="J2059" s="16" t="n">
        <x:v>2.6666666666666665</x:v>
      </x:c>
      <x:c r="K2059" s="11" t="n">
        <x:f>CHOOSE('假设'!$B$3,H2059,I2059,J2059)</x:f>
        <x:v>0.6666666666666666</x:v>
      </x:c>
      <x:c r="L2059" s="11" t="n">
        <x:f>K2059*'管线假设'!E455*'管线假设'!F455*'管线假设'!G455*IF(E2059="USD",'管线假设'!I455,1)-AM2059</x:f>
        <x:v>0.08326826666666665</x:v>
      </x:c>
      <x:c r="M2059" s="11" t="n">
        <x:f>'管线假设'!H455</x:f>
        <x:v>0.14</x:v>
      </x:c>
      <x:c r="N2059" s="11" t="n">
        <x:f>IF(G2059,L2059*AN2059/(1+M2059)^F2059,0)</x:f>
        <x:v>0.03229798774608087</x:v>
      </x:c>
      <x:c r="AJ2059" t="n">
        <x:v>0</x:v>
      </x:c>
      <x:c r="AK2059" t="n">
        <x:v>0</x:v>
      </x:c>
      <x:c r="AL2059" t="n">
        <x:v>0</x:v>
      </x:c>
      <x:c r="AM2059" t="n">
        <x:f>CHOOSE('假设'!$B$3,AJ2059,AK2059,AL2059)</x:f>
        <x:v>0</x:v>
      </x:c>
      <x:c r="AN2059" t="n">
        <x:v>1</x:v>
      </x:c>
    </x:row>
    <x:row r="2060" ht="23" customHeight="1">
      <x:c r="A2060" s="11" t="str">
        <x:v>688302.SH</x:v>
      </x:c>
      <x:c r="B2060" s="11" t="str">
        <x:v>三年</x:v>
      </x:c>
      <x:c r="C2060" s="11" t="str">
        <x:v>hp515_obesity_global</x:v>
      </x:c>
      <x:c r="D2060" s="11" t="str">
        <x:v>2037-12-31</x:v>
      </x:c>
      <x:c r="E2060" s="11" t="str">
        <x:v>USD</x:v>
      </x:c>
      <x:c r="F2060" s="11" t="n">
        <x:v>8.227241615331964</x:v>
      </x:c>
      <x:c r="G2060" s="26" t="b">
        <x:v>1</x:v>
      </x:c>
      <x:c r="H2060" s="16" t="n">
        <x:v>0</x:v>
      </x:c>
      <x:c r="I2060" s="16" t="n">
        <x:v>1</x:v>
      </x:c>
      <x:c r="J2060" s="16" t="n">
        <x:v>3.3333333333333335</x:v>
      </x:c>
      <x:c r="K2060" s="11" t="n">
        <x:f>CHOOSE('假设'!$B$3,H2060,I2060,J2060)</x:f>
        <x:v>1</x:v>
      </x:c>
      <x:c r="L2060" s="11" t="n">
        <x:f>K2060*'管线假设'!E455*'管线假设'!F455*'管线假设'!G455*IF(E2060="USD",'管线假设'!I455,1)-AM2060</x:f>
        <x:v>0.12490239999999997</x:v>
      </x:c>
      <x:c r="M2060" s="11" t="n">
        <x:f>'管线假设'!H455</x:f>
        <x:v>0.14</x:v>
      </x:c>
      <x:c r="N2060" s="11" t="n">
        <x:f>IF(G2060,L2060*AN2060/(1+M2060)^F2060,0)</x:f>
        <x:v>0.04250116379913937</x:v>
      </x:c>
      <x:c r="AJ2060" t="n">
        <x:v>0</x:v>
      </x:c>
      <x:c r="AK2060" t="n">
        <x:v>0</x:v>
      </x:c>
      <x:c r="AL2060" t="n">
        <x:v>0</x:v>
      </x:c>
      <x:c r="AM2060" t="n">
        <x:f>CHOOSE('假设'!$B$3,AJ2060,AK2060,AL2060)</x:f>
        <x:v>0</x:v>
      </x:c>
      <x:c r="AN2060" t="n">
        <x:v>1</x:v>
      </x:c>
    </x:row>
    <x:row r="2061" ht="23" customHeight="1">
      <x:c r="A2061" s="11" t="str">
        <x:v>688302.SH</x:v>
      </x:c>
      <x:c r="B2061" s="11" t="str">
        <x:v>三年</x:v>
      </x:c>
      <x:c r="C2061" s="11" t="str">
        <x:v>hp515_obesity_global</x:v>
      </x:c>
      <x:c r="D2061" s="11" t="str">
        <x:v>2038-12-31</x:v>
      </x:c>
      <x:c r="E2061" s="11" t="str">
        <x:v>USD</x:v>
      </x:c>
      <x:c r="F2061" s="11" t="n">
        <x:v>9.22655715263518</x:v>
      </x:c>
      <x:c r="G2061" s="26" t="b">
        <x:v>1</x:v>
      </x:c>
      <x:c r="H2061" s="16" t="n">
        <x:v>0.1</x:v>
      </x:c>
      <x:c r="I2061" s="16" t="n">
        <x:v>1.3333333333333333</x:v>
      </x:c>
      <x:c r="J2061" s="16" t="n">
        <x:v>4</x:v>
      </x:c>
      <x:c r="K2061" s="11" t="n">
        <x:f>CHOOSE('假设'!$B$3,H2061,I2061,J2061)</x:f>
        <x:v>1.3333333333333333</x:v>
      </x:c>
      <x:c r="L2061" s="11" t="n">
        <x:f>K2061*'管线假设'!E455*'管线假设'!F455*'管线假设'!G455*IF(E2061="USD",'管线假设'!I455,1)-AM2061</x:f>
        <x:v>0.1665365333333333</x:v>
      </x:c>
      <x:c r="M2061" s="11" t="n">
        <x:f>'管线假设'!H455</x:f>
        <x:v>0.14</x:v>
      </x:c>
      <x:c r="N2061" s="11" t="n">
        <x:f>IF(G2061,L2061*AN2061/(1+M2061)^F2061,0)</x:f>
        <x:v>0.04971342180426876</x:v>
      </x:c>
      <x:c r="AJ2061" t="n">
        <x:v>0</x:v>
      </x:c>
      <x:c r="AK2061" t="n">
        <x:v>0</x:v>
      </x:c>
      <x:c r="AL2061" t="n">
        <x:v>0</x:v>
      </x:c>
      <x:c r="AM2061" t="n">
        <x:f>CHOOSE('假设'!$B$3,AJ2061,AK2061,AL2061)</x:f>
        <x:v>0</x:v>
      </x:c>
      <x:c r="AN2061" t="n">
        <x:v>1</x:v>
      </x:c>
    </x:row>
    <x:row r="2062" ht="23" customHeight="1">
      <x:c r="A2062" s="11" t="str">
        <x:v>688302.SH</x:v>
      </x:c>
      <x:c r="B2062" s="11" t="str">
        <x:v>三年</x:v>
      </x:c>
      <x:c r="C2062" s="11" t="str">
        <x:v>hp515_obesity_global</x:v>
      </x:c>
      <x:c r="D2062" s="11" t="str">
        <x:v>2039-12-31</x:v>
      </x:c>
      <x:c r="E2062" s="11" t="str">
        <x:v>USD</x:v>
      </x:c>
      <x:c r="F2062" s="11" t="n">
        <x:v>10.225872689938399</x:v>
      </x:c>
      <x:c r="G2062" s="26" t="b">
        <x:v>1</x:v>
      </x:c>
      <x:c r="H2062" s="16" t="n">
        <x:v>0.2</x:v>
      </x:c>
      <x:c r="I2062" s="16" t="n">
        <x:v>1.6666666666666667</x:v>
      </x:c>
      <x:c r="J2062" s="16" t="n">
        <x:v>3.48</x:v>
      </x:c>
      <x:c r="K2062" s="11" t="n">
        <x:f>CHOOSE('假设'!$B$3,H2062,I2062,J2062)</x:f>
        <x:v>1.6666666666666667</x:v>
      </x:c>
      <x:c r="L2062" s="11" t="n">
        <x:f>K2062*'管线假设'!E455*'管线假设'!F455*'管线假设'!G455*IF(E2062="USD",'管线假设'!I455,1)-AM2062</x:f>
        <x:v>0.20817066666666664</x:v>
      </x:c>
      <x:c r="M2062" s="11" t="n">
        <x:f>'管线假设'!H455</x:f>
        <x:v>0.14</x:v>
      </x:c>
      <x:c r="N2062" s="11" t="n">
        <x:f>IF(G2062,L2062*AN2062/(1+M2062)^F2062,0)</x:f>
        <x:v>0.054515219847179594</x:v>
      </x:c>
      <x:c r="AJ2062" t="n">
        <x:v>0</x:v>
      </x:c>
      <x:c r="AK2062" t="n">
        <x:v>0</x:v>
      </x:c>
      <x:c r="AL2062" t="n">
        <x:v>0</x:v>
      </x:c>
      <x:c r="AM2062" t="n">
        <x:f>CHOOSE('假设'!$B$3,AJ2062,AK2062,AL2062)</x:f>
        <x:v>0</x:v>
      </x:c>
      <x:c r="AN2062" t="n">
        <x:v>1</x:v>
      </x:c>
    </x:row>
    <x:row r="2063" ht="23" customHeight="1">
      <x:c r="A2063" s="11" t="str">
        <x:v>688302.SH</x:v>
      </x:c>
      <x:c r="B2063" s="11" t="str">
        <x:v>三年</x:v>
      </x:c>
      <x:c r="C2063" s="11" t="str">
        <x:v>hp515_obesity_global</x:v>
      </x:c>
      <x:c r="D2063" s="11" t="str">
        <x:v>2040-12-31</x:v>
      </x:c>
      <x:c r="E2063" s="11" t="str">
        <x:v>USD</x:v>
      </x:c>
      <x:c r="F2063" s="11" t="n">
        <x:v>11.227926078028748</x:v>
      </x:c>
      <x:c r="G2063" s="26" t="b">
        <x:v>1</x:v>
      </x:c>
      <x:c r="H2063" s="16" t="n">
        <x:v>0.3</x:v>
      </x:c>
      <x:c r="I2063" s="16" t="n">
        <x:v>2</x:v>
      </x:c>
      <x:c r="J2063" s="16" t="n">
        <x:v>2.96</x:v>
      </x:c>
      <x:c r="K2063" s="11" t="n">
        <x:f>CHOOSE('假设'!$B$3,H2063,I2063,J2063)</x:f>
        <x:v>2</x:v>
      </x:c>
      <x:c r="L2063" s="11" t="n">
        <x:f>K2063*'管线假设'!E455*'管线假设'!F455*'管线假设'!G455*IF(E2063="USD",'管线假设'!I455,1)-AM2063</x:f>
        <x:v>0.24980479999999994</x:v>
      </x:c>
      <x:c r="M2063" s="11" t="n">
        <x:f>'管线假设'!H455</x:f>
        <x:v>0.14</x:v>
      </x:c>
      <x:c r="N2063" s="11" t="n">
        <x:f>IF(G2063,L2063*AN2063/(1+M2063)^F2063,0)</x:f>
        <x:v>0.05736900462959561</x:v>
      </x:c>
      <x:c r="AJ2063" t="n">
        <x:v>0</x:v>
      </x:c>
      <x:c r="AK2063" t="n">
        <x:v>0</x:v>
      </x:c>
      <x:c r="AL2063" t="n">
        <x:v>0</x:v>
      </x:c>
      <x:c r="AM2063" t="n">
        <x:f>CHOOSE('假设'!$B$3,AJ2063,AK2063,AL2063)</x:f>
        <x:v>0</x:v>
      </x:c>
      <x:c r="AN2063" t="n">
        <x:v>1</x:v>
      </x:c>
    </x:row>
    <x:row r="2064" ht="23" customHeight="1">
      <x:c r="A2064" s="11" t="str">
        <x:v>688302.SH</x:v>
      </x:c>
      <x:c r="B2064" s="11" t="str">
        <x:v>三年</x:v>
      </x:c>
      <x:c r="C2064" s="11" t="str">
        <x:v>hp515_obesity_global</x:v>
      </x:c>
      <x:c r="D2064" s="11" t="str">
        <x:v>2041-12-31</x:v>
      </x:c>
      <x:c r="E2064" s="11" t="str">
        <x:v>USD</x:v>
      </x:c>
      <x:c r="F2064" s="11" t="n">
        <x:v>12.227241615331964</x:v>
      </x:c>
      <x:c r="G2064" s="26" t="b">
        <x:v>1</x:v>
      </x:c>
      <x:c r="H2064" s="16" t="n">
        <x:v>0.4</x:v>
      </x:c>
      <x:c r="I2064" s="16" t="n">
        <x:v>1.74</x:v>
      </x:c>
      <x:c r="J2064" s="16" t="n">
        <x:v>2.44</x:v>
      </x:c>
      <x:c r="K2064" s="11" t="n">
        <x:f>CHOOSE('假设'!$B$3,H2064,I2064,J2064)</x:f>
        <x:v>1.74</x:v>
      </x:c>
      <x:c r="L2064" s="11" t="n">
        <x:f>K2064*'管线假设'!E455*'管线假设'!F455*'管线假设'!G455*IF(E2064="USD",'管线假设'!I455,1)-AM2064</x:f>
        <x:v>0.21733017599999996</x:v>
      </x:c>
      <x:c r="M2064" s="11" t="n">
        <x:f>'管线假设'!H455</x:f>
        <x:v>0.14</x:v>
      </x:c>
      <x:c r="N2064" s="11" t="n">
        <x:f>IF(G2064,L2064*AN2064/(1+M2064)^F2064,0)</x:f>
        <x:v>0.04378553548030551</x:v>
      </x:c>
      <x:c r="AJ2064" t="n">
        <x:v>0</x:v>
      </x:c>
      <x:c r="AK2064" t="n">
        <x:v>0</x:v>
      </x:c>
      <x:c r="AL2064" t="n">
        <x:v>0</x:v>
      </x:c>
      <x:c r="AM2064" t="n">
        <x:f>CHOOSE('假设'!$B$3,AJ2064,AK2064,AL2064)</x:f>
        <x:v>0</x:v>
      </x:c>
      <x:c r="AN2064" t="n">
        <x:v>1</x:v>
      </x:c>
    </x:row>
    <x:row r="2065" ht="23" customHeight="1">
      <x:c r="A2065" s="11" t="str">
        <x:v>688302.SH</x:v>
      </x:c>
      <x:c r="B2065" s="11" t="str">
        <x:v>三年</x:v>
      </x:c>
      <x:c r="C2065" s="11" t="str">
        <x:v>hp515_obesity_global</x:v>
      </x:c>
      <x:c r="D2065" s="11" t="str">
        <x:v>2042-12-31</x:v>
      </x:c>
      <x:c r="E2065" s="11" t="str">
        <x:v>USD</x:v>
      </x:c>
      <x:c r="F2065" s="11" t="n">
        <x:v>13.22655715263518</x:v>
      </x:c>
      <x:c r="G2065" s="26" t="b">
        <x:v>1</x:v>
      </x:c>
      <x:c r="H2065" s="16" t="n">
        <x:v>0.5</x:v>
      </x:c>
      <x:c r="I2065" s="16" t="n">
        <x:v>1.48</x:v>
      </x:c>
      <x:c r="J2065" s="16" t="n">
        <x:v>1.92</x:v>
      </x:c>
      <x:c r="K2065" s="11" t="n">
        <x:f>CHOOSE('假设'!$B$3,H2065,I2065,J2065)</x:f>
        <x:v>1.48</x:v>
      </x:c>
      <x:c r="L2065" s="11" t="n">
        <x:f>K2065*'管线假设'!E455*'管线假设'!F455*'管线假设'!G455*IF(E2065="USD",'管线假设'!I455,1)-AM2065</x:f>
        <x:v>0.18485555199999998</x:v>
      </x:c>
      <x:c r="M2065" s="11" t="n">
        <x:f>'管线假设'!H455</x:f>
        <x:v>0.14</x:v>
      </x:c>
      <x:c r="N2065" s="11" t="n">
        <x:f>IF(G2065,L2065*AN2065/(1+M2065)^F2065,0)</x:f>
        <x:v>0.03267211359369088</x:v>
      </x:c>
      <x:c r="AJ2065" t="n">
        <x:v>0</x:v>
      </x:c>
      <x:c r="AK2065" t="n">
        <x:v>0</x:v>
      </x:c>
      <x:c r="AL2065" t="n">
        <x:v>0</x:v>
      </x:c>
      <x:c r="AM2065" t="n">
        <x:f>CHOOSE('假设'!$B$3,AJ2065,AK2065,AL2065)</x:f>
        <x:v>0</x:v>
      </x:c>
      <x:c r="AN2065" t="n">
        <x:v>1</x:v>
      </x:c>
    </x:row>
    <x:row r="2066" ht="23" customHeight="1">
      <x:c r="A2066" s="11" t="str">
        <x:v>688302.SH</x:v>
      </x:c>
      <x:c r="B2066" s="11" t="str">
        <x:v>三年</x:v>
      </x:c>
      <x:c r="C2066" s="11" t="str">
        <x:v>hp515_obesity_global</x:v>
      </x:c>
      <x:c r="D2066" s="11" t="str">
        <x:v>2043-12-31</x:v>
      </x:c>
      <x:c r="E2066" s="11" t="str">
        <x:v>USD</x:v>
      </x:c>
      <x:c r="F2066" s="11" t="n">
        <x:v>14.225872689938399</x:v>
      </x:c>
      <x:c r="G2066" s="26" t="b">
        <x:v>1</x:v>
      </x:c>
      <x:c r="H2066" s="16" t="n">
        <x:v>0.435</x:v>
      </x:c>
      <x:c r="I2066" s="16" t="n">
        <x:v>1.22</x:v>
      </x:c>
      <x:c r="J2066" s="16" t="n">
        <x:v>1.4</x:v>
      </x:c>
      <x:c r="K2066" s="11" t="n">
        <x:f>CHOOSE('假设'!$B$3,H2066,I2066,J2066)</x:f>
        <x:v>1.22</x:v>
      </x:c>
      <x:c r="L2066" s="11" t="n">
        <x:f>K2066*'管线假设'!E455*'管线假设'!F455*'管线假设'!G455*IF(E2066="USD",'管线假设'!I455,1)-AM2066</x:f>
        <x:v>0.15238092799999997</x:v>
      </x:c>
      <x:c r="M2066" s="11" t="n">
        <x:f>'管线假设'!H455</x:f>
        <x:v>0.14</x:v>
      </x:c>
      <x:c r="N2066" s="11" t="n">
        <x:f>IF(G2066,L2066*AN2066/(1+M2066)^F2066,0)</x:f>
        <x:v>0.023627046909226943</x:v>
      </x:c>
      <x:c r="AJ2066" t="n">
        <x:v>0</x:v>
      </x:c>
      <x:c r="AK2066" t="n">
        <x:v>0</x:v>
      </x:c>
      <x:c r="AL2066" t="n">
        <x:v>0</x:v>
      </x:c>
      <x:c r="AM2066" t="n">
        <x:f>CHOOSE('假设'!$B$3,AJ2066,AK2066,AL2066)</x:f>
        <x:v>0</x:v>
      </x:c>
      <x:c r="AN2066" t="n">
        <x:v>1</x:v>
      </x:c>
    </x:row>
    <x:row r="2067" ht="23" customHeight="1">
      <x:c r="A2067" s="11" t="str">
        <x:v>688302.SH</x:v>
      </x:c>
      <x:c r="B2067" s="11" t="str">
        <x:v>三年</x:v>
      </x:c>
      <x:c r="C2067" s="11" t="str">
        <x:v>hp515_obesity_global</x:v>
      </x:c>
      <x:c r="D2067" s="11" t="str">
        <x:v>2044-12-31</x:v>
      </x:c>
      <x:c r="E2067" s="11" t="str">
        <x:v>USD</x:v>
      </x:c>
      <x:c r="F2067" s="11" t="n">
        <x:v>15.227926078028748</x:v>
      </x:c>
      <x:c r="G2067" s="26" t="b">
        <x:v>1</x:v>
      </x:c>
      <x:c r="H2067" s="16" t="n">
        <x:v>0.37</x:v>
      </x:c>
      <x:c r="I2067" s="16" t="n">
        <x:v>0.96</x:v>
      </x:c>
      <x:c r="J2067" s="16" t="n">
        <x:v>0.8799999999999999</x:v>
      </x:c>
      <x:c r="K2067" s="11" t="n">
        <x:f>CHOOSE('假设'!$B$3,H2067,I2067,J2067)</x:f>
        <x:v>0.96</x:v>
      </x:c>
      <x:c r="L2067" s="11" t="n">
        <x:f>K2067*'管线假设'!E455*'管线假设'!F455*'管线假设'!G455*IF(E2067="USD",'管线假设'!I455,1)-AM2067</x:f>
        <x:v>0.11990630399999998</x:v>
      </x:c>
      <x:c r="M2067" s="11" t="n">
        <x:f>'管线假设'!H455</x:f>
        <x:v>0.14</x:v>
      </x:c>
      <x:c r="N2067" s="11" t="n">
        <x:f>IF(G2067,L2067*AN2067/(1+M2067)^F2067,0)</x:f>
        <x:v>0.016304186963300476</x:v>
      </x:c>
      <x:c r="AJ2067" t="n">
        <x:v>0</x:v>
      </x:c>
      <x:c r="AK2067" t="n">
        <x:v>0</x:v>
      </x:c>
      <x:c r="AL2067" t="n">
        <x:v>0</x:v>
      </x:c>
      <x:c r="AM2067" t="n">
        <x:f>CHOOSE('假设'!$B$3,AJ2067,AK2067,AL2067)</x:f>
        <x:v>0</x:v>
      </x:c>
      <x:c r="AN2067" t="n">
        <x:v>1</x:v>
      </x:c>
    </x:row>
    <x:row r="2068" ht="23" customHeight="1">
      <x:c r="A2068" s="11" t="str">
        <x:v>688302.SH</x:v>
      </x:c>
      <x:c r="B2068" s="11" t="str">
        <x:v>三年</x:v>
      </x:c>
      <x:c r="C2068" s="11" t="str">
        <x:v>hp515_obesity_global</x:v>
      </x:c>
      <x:c r="D2068" s="11" t="str">
        <x:v>2045-12-31</x:v>
      </x:c>
      <x:c r="E2068" s="11" t="str">
        <x:v>USD</x:v>
      </x:c>
      <x:c r="F2068" s="11" t="n">
        <x:v>16.227241615331966</x:v>
      </x:c>
      <x:c r="G2068" s="26" t="b">
        <x:v>1</x:v>
      </x:c>
      <x:c r="H2068" s="16" t="n">
        <x:v>0.305</x:v>
      </x:c>
      <x:c r="I2068" s="16" t="n">
        <x:v>0.7</x:v>
      </x:c>
      <x:c r="J2068" s="16" t="n">
        <x:v>0.3599999999999999</x:v>
      </x:c>
      <x:c r="K2068" s="11" t="n">
        <x:f>CHOOSE('假设'!$B$3,H2068,I2068,J2068)</x:f>
        <x:v>0.7</x:v>
      </x:c>
      <x:c r="L2068" s="11" t="n">
        <x:f>K2068*'管线假设'!E455*'管线假设'!F455*'管线假设'!G455*IF(E2068="USD",'管线假设'!I455,1)-AM2068</x:f>
        <x:v>0.08743167999999997</x:v>
      </x:c>
      <x:c r="M2068" s="11" t="n">
        <x:f>'管线假设'!H455</x:f>
        <x:v>0.14</x:v>
      </x:c>
      <x:c r="N2068" s="11" t="n">
        <x:f>IF(G2068,L2068*AN2068/(1+M2068)^F2068,0)</x:f>
        <x:v>0.010429417468038554</x:v>
      </x:c>
      <x:c r="AJ2068" t="n">
        <x:v>0</x:v>
      </x:c>
      <x:c r="AK2068" t="n">
        <x:v>0</x:v>
      </x:c>
      <x:c r="AL2068" t="n">
        <x:v>0</x:v>
      </x:c>
      <x:c r="AM2068" t="n">
        <x:f>CHOOSE('假设'!$B$3,AJ2068,AK2068,AL2068)</x:f>
        <x:v>0</x:v>
      </x:c>
      <x:c r="AN2068" t="n">
        <x:v>1</x:v>
      </x:c>
    </x:row>
    <x:row r="2069" ht="23" customHeight="1">
      <x:c r="A2069" s="11" t="str">
        <x:v>688302.SH</x:v>
      </x:c>
      <x:c r="B2069" s="11" t="str">
        <x:v>三年</x:v>
      </x:c>
      <x:c r="C2069" s="11" t="str">
        <x:v>hp570_global</x:v>
      </x:c>
      <x:c r="D2069" s="11" t="str">
        <x:v>2027-12-31</x:v>
      </x:c>
      <x:c r="E2069" s="11" t="str">
        <x:v>USD</x:v>
      </x:c>
      <x:c r="F2069" s="11" t="n">
        <x:v>-1.7741273100616017</x:v>
      </x:c>
      <x:c r="G2069" s="26" t="b">
        <x:v>0</x:v>
      </x:c>
      <x:c r="H2069" s="16" t="n">
        <x:v>0</x:v>
      </x:c>
      <x:c r="I2069" s="16" t="n">
        <x:v>0</x:v>
      </x:c>
      <x:c r="J2069" s="16" t="n">
        <x:v>0</x:v>
      </x:c>
      <x:c r="K2069" s="11" t="n">
        <x:f>CHOOSE('假设'!$B$3,H2069,I2069,J2069)</x:f>
        <x:v>0</x:v>
      </x:c>
      <x:c r="L2069" s="11" t="n">
        <x:f>K2069*'管线假设'!E459*'管线假设'!F459*'管线假设'!G459*IF(E2069="USD",'管线假设'!I459,1)-AM2069</x:f>
        <x:v>0</x:v>
      </x:c>
      <x:c r="M2069" s="11" t="n">
        <x:f>'管线假设'!H459</x:f>
        <x:v>0.14</x:v>
      </x:c>
      <x:c r="N2069" s="11" t="n">
        <x:f>IF(G2069,L2069*AN2069/(1+M2069)^F2069,0)</x:f>
        <x:v>0</x:v>
      </x:c>
      <x:c r="AJ2069" t="n">
        <x:v>0</x:v>
      </x:c>
      <x:c r="AK2069" t="n">
        <x:v>0</x:v>
      </x:c>
      <x:c r="AL2069" t="n">
        <x:v>0</x:v>
      </x:c>
      <x:c r="AM2069" t="n">
        <x:f>CHOOSE('假设'!$B$3,AJ2069,AK2069,AL2069)</x:f>
        <x:v>0</x:v>
      </x:c>
      <x:c r="AN2069" t="n">
        <x:v>1</x:v>
      </x:c>
    </x:row>
    <x:row r="2070" ht="23" customHeight="1">
      <x:c r="A2070" s="11" t="str">
        <x:v>688302.SH</x:v>
      </x:c>
      <x:c r="B2070" s="11" t="str">
        <x:v>三年</x:v>
      </x:c>
      <x:c r="C2070" s="11" t="str">
        <x:v>hp570_global</x:v>
      </x:c>
      <x:c r="D2070" s="11" t="str">
        <x:v>2028-12-31</x:v>
      </x:c>
      <x:c r="E2070" s="11" t="str">
        <x:v>USD</x:v>
      </x:c>
      <x:c r="F2070" s="11" t="n">
        <x:v>-0.7720739219712526</x:v>
      </x:c>
      <x:c r="G2070" s="26" t="b">
        <x:v>0</x:v>
      </x:c>
      <x:c r="H2070" s="16" t="n">
        <x:v>0</x:v>
      </x:c>
      <x:c r="I2070" s="16" t="n">
        <x:v>0</x:v>
      </x:c>
      <x:c r="J2070" s="16" t="n">
        <x:v>0</x:v>
      </x:c>
      <x:c r="K2070" s="11" t="n">
        <x:f>CHOOSE('假设'!$B$3,H2070,I2070,J2070)</x:f>
        <x:v>0</x:v>
      </x:c>
      <x:c r="L2070" s="11" t="n">
        <x:f>K2070*'管线假设'!E459*'管线假设'!F459*'管线假设'!G459*IF(E2070="USD",'管线假设'!I459,1)-AM2070</x:f>
        <x:v>0</x:v>
      </x:c>
      <x:c r="M2070" s="11" t="n">
        <x:f>'管线假设'!H459</x:f>
        <x:v>0.14</x:v>
      </x:c>
      <x:c r="N2070" s="11" t="n">
        <x:f>IF(G2070,L2070*AN2070/(1+M2070)^F2070,0)</x:f>
        <x:v>0</x:v>
      </x:c>
      <x:c r="AJ2070" t="n">
        <x:v>0</x:v>
      </x:c>
      <x:c r="AK2070" t="n">
        <x:v>0</x:v>
      </x:c>
      <x:c r="AL2070" t="n">
        <x:v>0</x:v>
      </x:c>
      <x:c r="AM2070" t="n">
        <x:f>CHOOSE('假设'!$B$3,AJ2070,AK2070,AL2070)</x:f>
        <x:v>0</x:v>
      </x:c>
      <x:c r="AN2070" t="n">
        <x:v>1</x:v>
      </x:c>
    </x:row>
    <x:row r="2071" ht="23" customHeight="1">
      <x:c r="A2071" s="11" t="str">
        <x:v>688302.SH</x:v>
      </x:c>
      <x:c r="B2071" s="11" t="str">
        <x:v>三年</x:v>
      </x:c>
      <x:c r="C2071" s="11" t="str">
        <x:v>hp570_global</x:v>
      </x:c>
      <x:c r="D2071" s="11" t="str">
        <x:v>2029-12-31</x:v>
      </x:c>
      <x:c r="E2071" s="11" t="str">
        <x:v>USD</x:v>
      </x:c>
      <x:c r="F2071" s="11" t="n">
        <x:v>0.2272416153319644</x:v>
      </x:c>
      <x:c r="G2071" s="26" t="b">
        <x:v>1</x:v>
      </x:c>
      <x:c r="H2071" s="16" t="n">
        <x:v>0</x:v>
      </x:c>
      <x:c r="I2071" s="16" t="n">
        <x:v>0</x:v>
      </x:c>
      <x:c r="J2071" s="16" t="n">
        <x:v>0</x:v>
      </x:c>
      <x:c r="K2071" s="11" t="n">
        <x:f>CHOOSE('假设'!$B$3,H2071,I2071,J2071)</x:f>
        <x:v>0</x:v>
      </x:c>
      <x:c r="L2071" s="11" t="n">
        <x:f>K2071*'管线假设'!E459*'管线假设'!F459*'管线假设'!G459*IF(E2071="USD",'管线假设'!I459,1)-AM2071</x:f>
        <x:v>0</x:v>
      </x:c>
      <x:c r="M2071" s="11" t="n">
        <x:f>'管线假设'!H459</x:f>
        <x:v>0.14</x:v>
      </x:c>
      <x:c r="N2071" s="11" t="n">
        <x:f>IF(G2071,L2071*AN2071/(1+M2071)^F2071,0)</x:f>
        <x:v>0</x:v>
      </x:c>
      <x:c r="AJ2071" t="n">
        <x:v>0</x:v>
      </x:c>
      <x:c r="AK2071" t="n">
        <x:v>0</x:v>
      </x:c>
      <x:c r="AL2071" t="n">
        <x:v>0</x:v>
      </x:c>
      <x:c r="AM2071" t="n">
        <x:f>CHOOSE('假设'!$B$3,AJ2071,AK2071,AL2071)</x:f>
        <x:v>0</x:v>
      </x:c>
      <x:c r="AN2071" t="n">
        <x:v>1</x:v>
      </x:c>
    </x:row>
    <x:row r="2072" ht="23" customHeight="1">
      <x:c r="A2072" s="11" t="str">
        <x:v>688302.SH</x:v>
      </x:c>
      <x:c r="B2072" s="11" t="str">
        <x:v>三年</x:v>
      </x:c>
      <x:c r="C2072" s="11" t="str">
        <x:v>hp570_global</x:v>
      </x:c>
      <x:c r="D2072" s="11" t="str">
        <x:v>2030-12-31</x:v>
      </x:c>
      <x:c r="E2072" s="11" t="str">
        <x:v>USD</x:v>
      </x:c>
      <x:c r="F2072" s="11" t="n">
        <x:v>1.2265571526351813</x:v>
      </x:c>
      <x:c r="G2072" s="26" t="b">
        <x:v>1</x:v>
      </x:c>
      <x:c r="H2072" s="16" t="n">
        <x:v>0</x:v>
      </x:c>
      <x:c r="I2072" s="16" t="n">
        <x:v>0</x:v>
      </x:c>
      <x:c r="J2072" s="16" t="n">
        <x:v>0</x:v>
      </x:c>
      <x:c r="K2072" s="11" t="n">
        <x:f>CHOOSE('假设'!$B$3,H2072,I2072,J2072)</x:f>
        <x:v>0</x:v>
      </x:c>
      <x:c r="L2072" s="11" t="n">
        <x:f>K2072*'管线假设'!E459*'管线假设'!F459*'管线假设'!G459*IF(E2072="USD",'管线假设'!I459,1)-AM2072</x:f>
        <x:v>0</x:v>
      </x:c>
      <x:c r="M2072" s="11" t="n">
        <x:f>'管线假设'!H459</x:f>
        <x:v>0.14</x:v>
      </x:c>
      <x:c r="N2072" s="11" t="n">
        <x:f>IF(G2072,L2072*AN2072/(1+M2072)^F2072,0)</x:f>
        <x:v>0</x:v>
      </x:c>
      <x:c r="AJ2072" t="n">
        <x:v>0</x:v>
      </x:c>
      <x:c r="AK2072" t="n">
        <x:v>0</x:v>
      </x:c>
      <x:c r="AL2072" t="n">
        <x:v>0</x:v>
      </x:c>
      <x:c r="AM2072" t="n">
        <x:f>CHOOSE('假设'!$B$3,AJ2072,AK2072,AL2072)</x:f>
        <x:v>0</x:v>
      </x:c>
      <x:c r="AN2072" t="n">
        <x:v>1</x:v>
      </x:c>
    </x:row>
    <x:row r="2073" ht="23" customHeight="1">
      <x:c r="A2073" s="11" t="str">
        <x:v>688302.SH</x:v>
      </x:c>
      <x:c r="B2073" s="11" t="str">
        <x:v>三年</x:v>
      </x:c>
      <x:c r="C2073" s="11" t="str">
        <x:v>hp570_global</x:v>
      </x:c>
      <x:c r="D2073" s="11" t="str">
        <x:v>2031-12-31</x:v>
      </x:c>
      <x:c r="E2073" s="11" t="str">
        <x:v>USD</x:v>
      </x:c>
      <x:c r="F2073" s="11" t="n">
        <x:v>2.2258726899383983</x:v>
      </x:c>
      <x:c r="G2073" s="26" t="b">
        <x:v>1</x:v>
      </x:c>
      <x:c r="H2073" s="16" t="n">
        <x:v>0</x:v>
      </x:c>
      <x:c r="I2073" s="16" t="n">
        <x:v>0</x:v>
      </x:c>
      <x:c r="J2073" s="16" t="n">
        <x:v>0</x:v>
      </x:c>
      <x:c r="K2073" s="11" t="n">
        <x:f>CHOOSE('假设'!$B$3,H2073,I2073,J2073)</x:f>
        <x:v>0</x:v>
      </x:c>
      <x:c r="L2073" s="11" t="n">
        <x:f>K2073*'管线假设'!E459*'管线假设'!F459*'管线假设'!G459*IF(E2073="USD",'管线假设'!I459,1)-AM2073</x:f>
        <x:v>0</x:v>
      </x:c>
      <x:c r="M2073" s="11" t="n">
        <x:f>'管线假设'!H459</x:f>
        <x:v>0.14</x:v>
      </x:c>
      <x:c r="N2073" s="11" t="n">
        <x:f>IF(G2073,L2073*AN2073/(1+M2073)^F2073,0)</x:f>
        <x:v>0</x:v>
      </x:c>
      <x:c r="AJ2073" t="n">
        <x:v>0</x:v>
      </x:c>
      <x:c r="AK2073" t="n">
        <x:v>0</x:v>
      </x:c>
      <x:c r="AL2073" t="n">
        <x:v>0</x:v>
      </x:c>
      <x:c r="AM2073" t="n">
        <x:f>CHOOSE('假设'!$B$3,AJ2073,AK2073,AL2073)</x:f>
        <x:v>0</x:v>
      </x:c>
      <x:c r="AN2073" t="n">
        <x:v>1</x:v>
      </x:c>
    </x:row>
    <x:row r="2074" ht="23" customHeight="1">
      <x:c r="A2074" s="11" t="str">
        <x:v>688302.SH</x:v>
      </x:c>
      <x:c r="B2074" s="11" t="str">
        <x:v>三年</x:v>
      </x:c>
      <x:c r="C2074" s="11" t="str">
        <x:v>hp570_global</x:v>
      </x:c>
      <x:c r="D2074" s="11" t="str">
        <x:v>2032-12-31</x:v>
      </x:c>
      <x:c r="E2074" s="11" t="str">
        <x:v>USD</x:v>
      </x:c>
      <x:c r="F2074" s="11" t="n">
        <x:v>3.2279260780287475</x:v>
      </x:c>
      <x:c r="G2074" s="26" t="b">
        <x:v>1</x:v>
      </x:c>
      <x:c r="H2074" s="16" t="n">
        <x:v>0</x:v>
      </x:c>
      <x:c r="I2074" s="16" t="n">
        <x:v>0</x:v>
      </x:c>
      <x:c r="J2074" s="16" t="n">
        <x:v>0</x:v>
      </x:c>
      <x:c r="K2074" s="11" t="n">
        <x:f>CHOOSE('假设'!$B$3,H2074,I2074,J2074)</x:f>
        <x:v>0</x:v>
      </x:c>
      <x:c r="L2074" s="11" t="n">
        <x:f>K2074*'管线假设'!E459*'管线假设'!F459*'管线假设'!G459*IF(E2074="USD",'管线假设'!I459,1)-AM2074</x:f>
        <x:v>0</x:v>
      </x:c>
      <x:c r="M2074" s="11" t="n">
        <x:f>'管线假设'!H459</x:f>
        <x:v>0.14</x:v>
      </x:c>
      <x:c r="N2074" s="11" t="n">
        <x:f>IF(G2074,L2074*AN2074/(1+M2074)^F2074,0)</x:f>
        <x:v>0</x:v>
      </x:c>
      <x:c r="AJ2074" t="n">
        <x:v>0</x:v>
      </x:c>
      <x:c r="AK2074" t="n">
        <x:v>0</x:v>
      </x:c>
      <x:c r="AL2074" t="n">
        <x:v>0</x:v>
      </x:c>
      <x:c r="AM2074" t="n">
        <x:f>CHOOSE('假设'!$B$3,AJ2074,AK2074,AL2074)</x:f>
        <x:v>0</x:v>
      </x:c>
      <x:c r="AN2074" t="n">
        <x:v>1</x:v>
      </x:c>
    </x:row>
    <x:row r="2075" ht="23" customHeight="1">
      <x:c r="A2075" s="11" t="str">
        <x:v>688302.SH</x:v>
      </x:c>
      <x:c r="B2075" s="11" t="str">
        <x:v>三年</x:v>
      </x:c>
      <x:c r="C2075" s="11" t="str">
        <x:v>hp570_global</x:v>
      </x:c>
      <x:c r="D2075" s="11" t="str">
        <x:v>2033-12-31</x:v>
      </x:c>
      <x:c r="E2075" s="11" t="str">
        <x:v>USD</x:v>
      </x:c>
      <x:c r="F2075" s="11" t="n">
        <x:v>4.227241615331964</x:v>
      </x:c>
      <x:c r="G2075" s="26" t="b">
        <x:v>1</x:v>
      </x:c>
      <x:c r="H2075" s="16" t="n">
        <x:v>0</x:v>
      </x:c>
      <x:c r="I2075" s="16" t="n">
        <x:v>0</x:v>
      </x:c>
      <x:c r="J2075" s="16" t="n">
        <x:v>0</x:v>
      </x:c>
      <x:c r="K2075" s="11" t="n">
        <x:f>CHOOSE('假设'!$B$3,H2075,I2075,J2075)</x:f>
        <x:v>0</x:v>
      </x:c>
      <x:c r="L2075" s="11" t="n">
        <x:f>K2075*'管线假设'!E459*'管线假设'!F459*'管线假设'!G459*IF(E2075="USD",'管线假设'!I459,1)-AM2075</x:f>
        <x:v>0</x:v>
      </x:c>
      <x:c r="M2075" s="11" t="n">
        <x:f>'管线假设'!H459</x:f>
        <x:v>0.14</x:v>
      </x:c>
      <x:c r="N2075" s="11" t="n">
        <x:f>IF(G2075,L2075*AN2075/(1+M2075)^F2075,0)</x:f>
        <x:v>0</x:v>
      </x:c>
      <x:c r="AJ2075" t="n">
        <x:v>0</x:v>
      </x:c>
      <x:c r="AK2075" t="n">
        <x:v>0</x:v>
      </x:c>
      <x:c r="AL2075" t="n">
        <x:v>0</x:v>
      </x:c>
      <x:c r="AM2075" t="n">
        <x:f>CHOOSE('假设'!$B$3,AJ2075,AK2075,AL2075)</x:f>
        <x:v>0</x:v>
      </x:c>
      <x:c r="AN2075" t="n">
        <x:v>1</x:v>
      </x:c>
    </x:row>
    <x:row r="2076" ht="23" customHeight="1">
      <x:c r="A2076" s="11" t="str">
        <x:v>688302.SH</x:v>
      </x:c>
      <x:c r="B2076" s="11" t="str">
        <x:v>三年</x:v>
      </x:c>
      <x:c r="C2076" s="11" t="str">
        <x:v>hp570_global</x:v>
      </x:c>
      <x:c r="D2076" s="11" t="str">
        <x:v>2034-12-31</x:v>
      </x:c>
      <x:c r="E2076" s="11" t="str">
        <x:v>USD</x:v>
      </x:c>
      <x:c r="F2076" s="11" t="n">
        <x:v>5.2265571526351815</x:v>
      </x:c>
      <x:c r="G2076" s="26" t="b">
        <x:v>1</x:v>
      </x:c>
      <x:c r="H2076" s="16" t="n">
        <x:v>0</x:v>
      </x:c>
      <x:c r="I2076" s="16" t="n">
        <x:v>0</x:v>
      </x:c>
      <x:c r="J2076" s="16" t="n">
        <x:v>0.6666666666666666</x:v>
      </x:c>
      <x:c r="K2076" s="11" t="n">
        <x:f>CHOOSE('假设'!$B$3,H2076,I2076,J2076)</x:f>
        <x:v>0</x:v>
      </x:c>
      <x:c r="L2076" s="11" t="n">
        <x:f>K2076*'管线假设'!E459*'管线假设'!F459*'管线假设'!G459*IF(E2076="USD",'管线假设'!I459,1)-AM2076</x:f>
        <x:v>0</x:v>
      </x:c>
      <x:c r="M2076" s="11" t="n">
        <x:f>'管线假设'!H459</x:f>
        <x:v>0.14</x:v>
      </x:c>
      <x:c r="N2076" s="11" t="n">
        <x:f>IF(G2076,L2076*AN2076/(1+M2076)^F2076,0)</x:f>
        <x:v>0</x:v>
      </x:c>
      <x:c r="AJ2076" t="n">
        <x:v>0</x:v>
      </x:c>
      <x:c r="AK2076" t="n">
        <x:v>0</x:v>
      </x:c>
      <x:c r="AL2076" t="n">
        <x:v>0</x:v>
      </x:c>
      <x:c r="AM2076" t="n">
        <x:f>CHOOSE('假设'!$B$3,AJ2076,AK2076,AL2076)</x:f>
        <x:v>0</x:v>
      </x:c>
      <x:c r="AN2076" t="n">
        <x:v>1</x:v>
      </x:c>
    </x:row>
    <x:row r="2077" ht="23" customHeight="1">
      <x:c r="A2077" s="11" t="str">
        <x:v>688302.SH</x:v>
      </x:c>
      <x:c r="B2077" s="11" t="str">
        <x:v>三年</x:v>
      </x:c>
      <x:c r="C2077" s="11" t="str">
        <x:v>hp570_global</x:v>
      </x:c>
      <x:c r="D2077" s="11" t="str">
        <x:v>2035-12-31</x:v>
      </x:c>
      <x:c r="E2077" s="11" t="str">
        <x:v>USD</x:v>
      </x:c>
      <x:c r="F2077" s="11" t="n">
        <x:v>6.225872689938399</x:v>
      </x:c>
      <x:c r="G2077" s="26" t="b">
        <x:v>1</x:v>
      </x:c>
      <x:c r="H2077" s="16" t="n">
        <x:v>0</x:v>
      </x:c>
      <x:c r="I2077" s="16" t="n">
        <x:v>0</x:v>
      </x:c>
      <x:c r="J2077" s="16" t="n">
        <x:v>1.3333333333333333</x:v>
      </x:c>
      <x:c r="K2077" s="11" t="n">
        <x:f>CHOOSE('假设'!$B$3,H2077,I2077,J2077)</x:f>
        <x:v>0</x:v>
      </x:c>
      <x:c r="L2077" s="11" t="n">
        <x:f>K2077*'管线假设'!E459*'管线假设'!F459*'管线假设'!G459*IF(E2077="USD",'管线假设'!I459,1)-AM2077</x:f>
        <x:v>0</x:v>
      </x:c>
      <x:c r="M2077" s="11" t="n">
        <x:f>'管线假设'!H459</x:f>
        <x:v>0.14</x:v>
      </x:c>
      <x:c r="N2077" s="11" t="n">
        <x:f>IF(G2077,L2077*AN2077/(1+M2077)^F2077,0)</x:f>
        <x:v>0</x:v>
      </x:c>
      <x:c r="AJ2077" t="n">
        <x:v>0</x:v>
      </x:c>
      <x:c r="AK2077" t="n">
        <x:v>0</x:v>
      </x:c>
      <x:c r="AL2077" t="n">
        <x:v>0</x:v>
      </x:c>
      <x:c r="AM2077" t="n">
        <x:f>CHOOSE('假设'!$B$3,AJ2077,AK2077,AL2077)</x:f>
        <x:v>0</x:v>
      </x:c>
      <x:c r="AN2077" t="n">
        <x:v>1</x:v>
      </x:c>
    </x:row>
    <x:row r="2078" ht="23" customHeight="1">
      <x:c r="A2078" s="11" t="str">
        <x:v>688302.SH</x:v>
      </x:c>
      <x:c r="B2078" s="11" t="str">
        <x:v>三年</x:v>
      </x:c>
      <x:c r="C2078" s="11" t="str">
        <x:v>hp570_global</x:v>
      </x:c>
      <x:c r="D2078" s="11" t="str">
        <x:v>2036-12-31</x:v>
      </x:c>
      <x:c r="E2078" s="11" t="str">
        <x:v>USD</x:v>
      </x:c>
      <x:c r="F2078" s="11" t="n">
        <x:v>7.227926078028747</x:v>
      </x:c>
      <x:c r="G2078" s="26" t="b">
        <x:v>1</x:v>
      </x:c>
      <x:c r="H2078" s="16" t="n">
        <x:v>0</x:v>
      </x:c>
      <x:c r="I2078" s="16" t="n">
        <x:v>0.3333333333333333</x:v>
      </x:c>
      <x:c r="J2078" s="16" t="n">
        <x:v>2</x:v>
      </x:c>
      <x:c r="K2078" s="11" t="n">
        <x:f>CHOOSE('假设'!$B$3,H2078,I2078,J2078)</x:f>
        <x:v>0.3333333333333333</x:v>
      </x:c>
      <x:c r="L2078" s="11" t="n">
        <x:f>K2078*'管线假设'!E459*'管线假设'!F459*'管线假设'!G459*IF(E2078="USD",'管线假设'!I459,1)-AM2078</x:f>
        <x:v>0.036875946666666666</x:v>
      </x:c>
      <x:c r="M2078" s="11" t="n">
        <x:f>'管线假设'!H459</x:f>
        <x:v>0.14</x:v>
      </x:c>
      <x:c r="N2078" s="11" t="n">
        <x:f>IF(G2078,L2078*AN2078/(1+M2078)^F2078,0)</x:f>
        <x:v>0.014303394573264388</x:v>
      </x:c>
      <x:c r="AJ2078" t="n">
        <x:v>0</x:v>
      </x:c>
      <x:c r="AK2078" t="n">
        <x:v>0</x:v>
      </x:c>
      <x:c r="AL2078" t="n">
        <x:v>0</x:v>
      </x:c>
      <x:c r="AM2078" t="n">
        <x:f>CHOOSE('假设'!$B$3,AJ2078,AK2078,AL2078)</x:f>
        <x:v>0</x:v>
      </x:c>
      <x:c r="AN2078" t="n">
        <x:v>1</x:v>
      </x:c>
    </x:row>
    <x:row r="2079" ht="23" customHeight="1">
      <x:c r="A2079" s="11" t="str">
        <x:v>688302.SH</x:v>
      </x:c>
      <x:c r="B2079" s="11" t="str">
        <x:v>三年</x:v>
      </x:c>
      <x:c r="C2079" s="11" t="str">
        <x:v>hp570_global</x:v>
      </x:c>
      <x:c r="D2079" s="11" t="str">
        <x:v>2037-12-31</x:v>
      </x:c>
      <x:c r="E2079" s="11" t="str">
        <x:v>USD</x:v>
      </x:c>
      <x:c r="F2079" s="11" t="n">
        <x:v>8.227241615331964</x:v>
      </x:c>
      <x:c r="G2079" s="26" t="b">
        <x:v>1</x:v>
      </x:c>
      <x:c r="H2079" s="16" t="n">
        <x:v>0</x:v>
      </x:c>
      <x:c r="I2079" s="16" t="n">
        <x:v>0.6666666666666666</x:v>
      </x:c>
      <x:c r="J2079" s="16" t="n">
        <x:v>2.6666666666666665</x:v>
      </x:c>
      <x:c r="K2079" s="11" t="n">
        <x:f>CHOOSE('假设'!$B$3,H2079,I2079,J2079)</x:f>
        <x:v>0.6666666666666666</x:v>
      </x:c>
      <x:c r="L2079" s="11" t="n">
        <x:f>K2079*'管线假设'!E459*'管线假设'!F459*'管线假设'!G459*IF(E2079="USD",'管线假设'!I459,1)-AM2079</x:f>
        <x:v>0.07375189333333333</x:v>
      </x:c>
      <x:c r="M2079" s="11" t="n">
        <x:f>'管线假设'!H459</x:f>
        <x:v>0.14</x:v>
      </x:c>
      <x:c r="N2079" s="11" t="n">
        <x:f>IF(G2079,L2079*AN2079/(1+M2079)^F2079,0)</x:f>
        <x:v>0.025095925290920394</x:v>
      </x:c>
      <x:c r="AJ2079" t="n">
        <x:v>0</x:v>
      </x:c>
      <x:c r="AK2079" t="n">
        <x:v>0</x:v>
      </x:c>
      <x:c r="AL2079" t="n">
        <x:v>0</x:v>
      </x:c>
      <x:c r="AM2079" t="n">
        <x:f>CHOOSE('假设'!$B$3,AJ2079,AK2079,AL2079)</x:f>
        <x:v>0</x:v>
      </x:c>
      <x:c r="AN2079" t="n">
        <x:v>1</x:v>
      </x:c>
    </x:row>
    <x:row r="2080" ht="23" customHeight="1">
      <x:c r="A2080" s="11" t="str">
        <x:v>688302.SH</x:v>
      </x:c>
      <x:c r="B2080" s="11" t="str">
        <x:v>三年</x:v>
      </x:c>
      <x:c r="C2080" s="11" t="str">
        <x:v>hp570_global</x:v>
      </x:c>
      <x:c r="D2080" s="11" t="str">
        <x:v>2038-12-31</x:v>
      </x:c>
      <x:c r="E2080" s="11" t="str">
        <x:v>USD</x:v>
      </x:c>
      <x:c r="F2080" s="11" t="n">
        <x:v>9.22655715263518</x:v>
      </x:c>
      <x:c r="G2080" s="26" t="b">
        <x:v>1</x:v>
      </x:c>
      <x:c r="H2080" s="16" t="n">
        <x:v>0</x:v>
      </x:c>
      <x:c r="I2080" s="16" t="n">
        <x:v>1</x:v>
      </x:c>
      <x:c r="J2080" s="16" t="n">
        <x:v>3.3333333333333335</x:v>
      </x:c>
      <x:c r="K2080" s="11" t="n">
        <x:f>CHOOSE('假设'!$B$3,H2080,I2080,J2080)</x:f>
        <x:v>1</x:v>
      </x:c>
      <x:c r="L2080" s="11" t="n">
        <x:f>K2080*'管线假设'!E459*'管线假设'!F459*'管线假设'!G459*IF(E2080="USD",'管线假设'!I459,1)-AM2080</x:f>
        <x:v>0.11062783999999999</x:v>
      </x:c>
      <x:c r="M2080" s="11" t="n">
        <x:f>'管线假设'!H459</x:f>
        <x:v>0.14</x:v>
      </x:c>
      <x:c r="N2080" s="11" t="n">
        <x:f>IF(G2080,L2080*AN2080/(1+M2080)^F2080,0)</x:f>
        <x:v>0.03302391591283568</x:v>
      </x:c>
      <x:c r="AJ2080" t="n">
        <x:v>0</x:v>
      </x:c>
      <x:c r="AK2080" t="n">
        <x:v>0</x:v>
      </x:c>
      <x:c r="AL2080" t="n">
        <x:v>0</x:v>
      </x:c>
      <x:c r="AM2080" t="n">
        <x:f>CHOOSE('假设'!$B$3,AJ2080,AK2080,AL2080)</x:f>
        <x:v>0</x:v>
      </x:c>
      <x:c r="AN2080" t="n">
        <x:v>1</x:v>
      </x:c>
    </x:row>
    <x:row r="2081" ht="23" customHeight="1">
      <x:c r="A2081" s="11" t="str">
        <x:v>688302.SH</x:v>
      </x:c>
      <x:c r="B2081" s="11" t="str">
        <x:v>三年</x:v>
      </x:c>
      <x:c r="C2081" s="11" t="str">
        <x:v>hp570_global</x:v>
      </x:c>
      <x:c r="D2081" s="11" t="str">
        <x:v>2039-12-31</x:v>
      </x:c>
      <x:c r="E2081" s="11" t="str">
        <x:v>USD</x:v>
      </x:c>
      <x:c r="F2081" s="11" t="n">
        <x:v>10.225872689938399</x:v>
      </x:c>
      <x:c r="G2081" s="26" t="b">
        <x:v>1</x:v>
      </x:c>
      <x:c r="H2081" s="16" t="n">
        <x:v>0.1</x:v>
      </x:c>
      <x:c r="I2081" s="16" t="n">
        <x:v>1.3333333333333333</x:v>
      </x:c>
      <x:c r="J2081" s="16" t="n">
        <x:v>4</x:v>
      </x:c>
      <x:c r="K2081" s="11" t="n">
        <x:f>CHOOSE('假设'!$B$3,H2081,I2081,J2081)</x:f>
        <x:v>1.3333333333333333</x:v>
      </x:c>
      <x:c r="L2081" s="11" t="n">
        <x:f>K2081*'管线假设'!E459*'管线假设'!F459*'管线假设'!G459*IF(E2081="USD",'管线假设'!I459,1)-AM2081</x:f>
        <x:v>0.14750378666666666</x:v>
      </x:c>
      <x:c r="M2081" s="11" t="n">
        <x:f>'管线假设'!H459</x:f>
        <x:v>0.14</x:v>
      </x:c>
      <x:c r="N2081" s="11" t="n">
        <x:f>IF(G2081,L2081*AN2081/(1+M2081)^F2081,0)</x:f>
        <x:v>0.03862792720600154</x:v>
      </x:c>
      <x:c r="AJ2081" t="n">
        <x:v>0</x:v>
      </x:c>
      <x:c r="AK2081" t="n">
        <x:v>0</x:v>
      </x:c>
      <x:c r="AL2081" t="n">
        <x:v>0</x:v>
      </x:c>
      <x:c r="AM2081" t="n">
        <x:f>CHOOSE('假设'!$B$3,AJ2081,AK2081,AL2081)</x:f>
        <x:v>0</x:v>
      </x:c>
      <x:c r="AN2081" t="n">
        <x:v>1</x:v>
      </x:c>
    </x:row>
    <x:row r="2082" ht="23" customHeight="1">
      <x:c r="A2082" s="11" t="str">
        <x:v>688302.SH</x:v>
      </x:c>
      <x:c r="B2082" s="11" t="str">
        <x:v>三年</x:v>
      </x:c>
      <x:c r="C2082" s="11" t="str">
        <x:v>hp570_global</x:v>
      </x:c>
      <x:c r="D2082" s="11" t="str">
        <x:v>2040-12-31</x:v>
      </x:c>
      <x:c r="E2082" s="11" t="str">
        <x:v>USD</x:v>
      </x:c>
      <x:c r="F2082" s="11" t="n">
        <x:v>11.227926078028748</x:v>
      </x:c>
      <x:c r="G2082" s="26" t="b">
        <x:v>1</x:v>
      </x:c>
      <x:c r="H2082" s="16" t="n">
        <x:v>0.2</x:v>
      </x:c>
      <x:c r="I2082" s="16" t="n">
        <x:v>1.6666666666666667</x:v>
      </x:c>
      <x:c r="J2082" s="16" t="n">
        <x:v>3.48</x:v>
      </x:c>
      <x:c r="K2082" s="11" t="n">
        <x:f>CHOOSE('假设'!$B$3,H2082,I2082,J2082)</x:f>
        <x:v>1.6666666666666667</x:v>
      </x:c>
      <x:c r="L2082" s="11" t="n">
        <x:f>K2082*'管线假设'!E459*'管线假设'!F459*'管线假设'!G459*IF(E2082="USD",'管线假设'!I459,1)-AM2082</x:f>
        <x:v>0.18437973333333335</x:v>
      </x:c>
      <x:c r="M2082" s="11" t="n">
        <x:f>'管线假设'!H459</x:f>
        <x:v>0.14</x:v>
      </x:c>
      <x:c r="N2082" s="11" t="n">
        <x:f>IF(G2082,L2082*AN2082/(1+M2082)^F2082,0)</x:f>
        <x:v>0.04234378913136821</x:v>
      </x:c>
      <x:c r="AJ2082" t="n">
        <x:v>0</x:v>
      </x:c>
      <x:c r="AK2082" t="n">
        <x:v>0</x:v>
      </x:c>
      <x:c r="AL2082" t="n">
        <x:v>0</x:v>
      </x:c>
      <x:c r="AM2082" t="n">
        <x:f>CHOOSE('假设'!$B$3,AJ2082,AK2082,AL2082)</x:f>
        <x:v>0</x:v>
      </x:c>
      <x:c r="AN2082" t="n">
        <x:v>1</x:v>
      </x:c>
    </x:row>
    <x:row r="2083" ht="23" customHeight="1">
      <x:c r="A2083" s="11" t="str">
        <x:v>688302.SH</x:v>
      </x:c>
      <x:c r="B2083" s="11" t="str">
        <x:v>三年</x:v>
      </x:c>
      <x:c r="C2083" s="11" t="str">
        <x:v>hp570_global</x:v>
      </x:c>
      <x:c r="D2083" s="11" t="str">
        <x:v>2041-12-31</x:v>
      </x:c>
      <x:c r="E2083" s="11" t="str">
        <x:v>USD</x:v>
      </x:c>
      <x:c r="F2083" s="11" t="n">
        <x:v>12.227241615331964</x:v>
      </x:c>
      <x:c r="G2083" s="26" t="b">
        <x:v>1</x:v>
      </x:c>
      <x:c r="H2083" s="16" t="n">
        <x:v>0.3</x:v>
      </x:c>
      <x:c r="I2083" s="16" t="n">
        <x:v>2</x:v>
      </x:c>
      <x:c r="J2083" s="16" t="n">
        <x:v>2.96</x:v>
      </x:c>
      <x:c r="K2083" s="11" t="n">
        <x:f>CHOOSE('假设'!$B$3,H2083,I2083,J2083)</x:f>
        <x:v>2</x:v>
      </x:c>
      <x:c r="L2083" s="11" t="n">
        <x:f>K2083*'管线假设'!E459*'管线假设'!F459*'管线假设'!G459*IF(E2083="USD",'管线假设'!I459,1)-AM2083</x:f>
        <x:v>0.22125567999999998</x:v>
      </x:c>
      <x:c r="M2083" s="11" t="n">
        <x:f>'管线假设'!H459</x:f>
        <x:v>0.14</x:v>
      </x:c>
      <x:c r="N2083" s="11" t="n">
        <x:f>IF(G2083,L2083*AN2083/(1+M2083)^F2083,0)</x:f>
        <x:v>0.0445764072213291</x:v>
      </x:c>
      <x:c r="AJ2083" t="n">
        <x:v>0</x:v>
      </x:c>
      <x:c r="AK2083" t="n">
        <x:v>0</x:v>
      </x:c>
      <x:c r="AL2083" t="n">
        <x:v>0</x:v>
      </x:c>
      <x:c r="AM2083" t="n">
        <x:f>CHOOSE('假设'!$B$3,AJ2083,AK2083,AL2083)</x:f>
        <x:v>0</x:v>
      </x:c>
      <x:c r="AN2083" t="n">
        <x:v>1</x:v>
      </x:c>
    </x:row>
    <x:row r="2084" ht="23" customHeight="1">
      <x:c r="A2084" s="11" t="str">
        <x:v>688302.SH</x:v>
      </x:c>
      <x:c r="B2084" s="11" t="str">
        <x:v>三年</x:v>
      </x:c>
      <x:c r="C2084" s="11" t="str">
        <x:v>hp570_global</x:v>
      </x:c>
      <x:c r="D2084" s="11" t="str">
        <x:v>2042-12-31</x:v>
      </x:c>
      <x:c r="E2084" s="11" t="str">
        <x:v>USD</x:v>
      </x:c>
      <x:c r="F2084" s="11" t="n">
        <x:v>13.22655715263518</x:v>
      </x:c>
      <x:c r="G2084" s="26" t="b">
        <x:v>1</x:v>
      </x:c>
      <x:c r="H2084" s="16" t="n">
        <x:v>0.4</x:v>
      </x:c>
      <x:c r="I2084" s="16" t="n">
        <x:v>1.74</x:v>
      </x:c>
      <x:c r="J2084" s="16" t="n">
        <x:v>2.44</x:v>
      </x:c>
      <x:c r="K2084" s="11" t="n">
        <x:f>CHOOSE('假设'!$B$3,H2084,I2084,J2084)</x:f>
        <x:v>1.74</x:v>
      </x:c>
      <x:c r="L2084" s="11" t="n">
        <x:f>K2084*'管线假设'!E459*'管线假设'!F459*'管线假设'!G459*IF(E2084="USD",'管线假设'!I459,1)-AM2084</x:f>
        <x:v>0.1924924416</x:v>
      </x:c>
      <x:c r="M2084" s="11" t="n">
        <x:f>'管线假设'!H459</x:f>
        <x:v>0.14</x:v>
      </x:c>
      <x:c r="N2084" s="11" t="n">
        <x:f>IF(G2084,L2084*AN2084/(1+M2084)^F2084,0)</x:f>
        <x:v>0.03402188817072753</x:v>
      </x:c>
      <x:c r="AJ2084" t="n">
        <x:v>0</x:v>
      </x:c>
      <x:c r="AK2084" t="n">
        <x:v>0</x:v>
      </x:c>
      <x:c r="AL2084" t="n">
        <x:v>0</x:v>
      </x:c>
      <x:c r="AM2084" t="n">
        <x:f>CHOOSE('假设'!$B$3,AJ2084,AK2084,AL2084)</x:f>
        <x:v>0</x:v>
      </x:c>
      <x:c r="AN2084" t="n">
        <x:v>1</x:v>
      </x:c>
    </x:row>
    <x:row r="2085" ht="23" customHeight="1">
      <x:c r="A2085" s="11" t="str">
        <x:v>688302.SH</x:v>
      </x:c>
      <x:c r="B2085" s="11" t="str">
        <x:v>三年</x:v>
      </x:c>
      <x:c r="C2085" s="11" t="str">
        <x:v>hp570_global</x:v>
      </x:c>
      <x:c r="D2085" s="11" t="str">
        <x:v>2043-12-31</x:v>
      </x:c>
      <x:c r="E2085" s="11" t="str">
        <x:v>USD</x:v>
      </x:c>
      <x:c r="F2085" s="11" t="n">
        <x:v>14.225872689938399</x:v>
      </x:c>
      <x:c r="G2085" s="26" t="b">
        <x:v>1</x:v>
      </x:c>
      <x:c r="H2085" s="16" t="n">
        <x:v>0.5</x:v>
      </x:c>
      <x:c r="I2085" s="16" t="n">
        <x:v>1.48</x:v>
      </x:c>
      <x:c r="J2085" s="16" t="n">
        <x:v>1.92</x:v>
      </x:c>
      <x:c r="K2085" s="11" t="n">
        <x:f>CHOOSE('假设'!$B$3,H2085,I2085,J2085)</x:f>
        <x:v>1.48</x:v>
      </x:c>
      <x:c r="L2085" s="11" t="n">
        <x:f>K2085*'管线假设'!E459*'管线假设'!F459*'管线假设'!G459*IF(E2085="USD",'管线假设'!I459,1)-AM2085</x:f>
        <x:v>0.1637292032</x:v>
      </x:c>
      <x:c r="M2085" s="11" t="n">
        <x:f>'管线假设'!H459</x:f>
        <x:v>0.14</x:v>
      </x:c>
      <x:c r="N2085" s="11" t="n">
        <x:f>IF(G2085,L2085*AN2085/(1+M2085)^F2085,0)</x:f>
        <x:v>0.02538662557834502</x:v>
      </x:c>
      <x:c r="AJ2085" t="n">
        <x:v>0</x:v>
      </x:c>
      <x:c r="AK2085" t="n">
        <x:v>0</x:v>
      </x:c>
      <x:c r="AL2085" t="n">
        <x:v>0</x:v>
      </x:c>
      <x:c r="AM2085" t="n">
        <x:f>CHOOSE('假设'!$B$3,AJ2085,AK2085,AL2085)</x:f>
        <x:v>0</x:v>
      </x:c>
      <x:c r="AN2085" t="n">
        <x:v>1</x:v>
      </x:c>
    </x:row>
    <x:row r="2086" ht="23" customHeight="1">
      <x:c r="A2086" s="11" t="str">
        <x:v>688302.SH</x:v>
      </x:c>
      <x:c r="B2086" s="11" t="str">
        <x:v>三年</x:v>
      </x:c>
      <x:c r="C2086" s="11" t="str">
        <x:v>hp570_global</x:v>
      </x:c>
      <x:c r="D2086" s="11" t="str">
        <x:v>2044-12-31</x:v>
      </x:c>
      <x:c r="E2086" s="11" t="str">
        <x:v>USD</x:v>
      </x:c>
      <x:c r="F2086" s="11" t="n">
        <x:v>15.227926078028748</x:v>
      </x:c>
      <x:c r="G2086" s="26" t="b">
        <x:v>1</x:v>
      </x:c>
      <x:c r="H2086" s="16" t="n">
        <x:v>0.435</x:v>
      </x:c>
      <x:c r="I2086" s="16" t="n">
        <x:v>1.22</x:v>
      </x:c>
      <x:c r="J2086" s="16" t="n">
        <x:v>1.4</x:v>
      </x:c>
      <x:c r="K2086" s="11" t="n">
        <x:f>CHOOSE('假设'!$B$3,H2086,I2086,J2086)</x:f>
        <x:v>1.22</x:v>
      </x:c>
      <x:c r="L2086" s="11" t="n">
        <x:f>K2086*'管线假设'!E459*'管线假设'!F459*'管线假设'!G459*IF(E2086="USD",'管线假设'!I459,1)-AM2086</x:f>
        <x:v>0.1349659648</x:v>
      </x:c>
      <x:c r="M2086" s="11" t="n">
        <x:f>'管线假设'!H459</x:f>
        <x:v>0.14</x:v>
      </x:c>
      <x:c r="N2086" s="11" t="n">
        <x:f>IF(G2086,L2086*AN2086/(1+M2086)^F2086,0)</x:f>
        <x:v>0.018351915206905482</x:v>
      </x:c>
      <x:c r="AJ2086" t="n">
        <x:v>0</x:v>
      </x:c>
      <x:c r="AK2086" t="n">
        <x:v>0</x:v>
      </x:c>
      <x:c r="AL2086" t="n">
        <x:v>0</x:v>
      </x:c>
      <x:c r="AM2086" t="n">
        <x:f>CHOOSE('假设'!$B$3,AJ2086,AK2086,AL2086)</x:f>
        <x:v>0</x:v>
      </x:c>
      <x:c r="AN2086" t="n">
        <x:v>1</x:v>
      </x:c>
    </x:row>
    <x:row r="2087" ht="23" customHeight="1">
      <x:c r="A2087" s="11" t="str">
        <x:v>688302.SH</x:v>
      </x:c>
      <x:c r="B2087" s="11" t="str">
        <x:v>三年</x:v>
      </x:c>
      <x:c r="C2087" s="11" t="str">
        <x:v>hp570_global</x:v>
      </x:c>
      <x:c r="D2087" s="11" t="str">
        <x:v>2045-12-31</x:v>
      </x:c>
      <x:c r="E2087" s="11" t="str">
        <x:v>USD</x:v>
      </x:c>
      <x:c r="F2087" s="11" t="n">
        <x:v>16.227241615331966</x:v>
      </x:c>
      <x:c r="G2087" s="26" t="b">
        <x:v>1</x:v>
      </x:c>
      <x:c r="H2087" s="16" t="n">
        <x:v>0.37</x:v>
      </x:c>
      <x:c r="I2087" s="16" t="n">
        <x:v>0.96</x:v>
      </x:c>
      <x:c r="J2087" s="16" t="n">
        <x:v>0.8799999999999999</x:v>
      </x:c>
      <x:c r="K2087" s="11" t="n">
        <x:f>CHOOSE('假设'!$B$3,H2087,I2087,J2087)</x:f>
        <x:v>0.96</x:v>
      </x:c>
      <x:c r="L2087" s="11" t="n">
        <x:f>K2087*'管线假设'!E459*'管线假设'!F459*'管线假设'!G459*IF(E2087="USD",'管线假设'!I459,1)-AM2087</x:f>
        <x:v>0.1062027264</x:v>
      </x:c>
      <x:c r="M2087" s="11" t="n">
        <x:f>'管线假设'!H459</x:f>
        <x:v>0.14</x:v>
      </x:c>
      <x:c r="N2087" s="11" t="n">
        <x:f>IF(G2087,L2087*AN2087/(1+M2087)^F2087,0)</x:f>
        <x:v>0.012668549544850102</x:v>
      </x:c>
      <x:c r="AJ2087" t="n">
        <x:v>0</x:v>
      </x:c>
      <x:c r="AK2087" t="n">
        <x:v>0</x:v>
      </x:c>
      <x:c r="AL2087" t="n">
        <x:v>0</x:v>
      </x:c>
      <x:c r="AM2087" t="n">
        <x:f>CHOOSE('假设'!$B$3,AJ2087,AK2087,AL2087)</x:f>
        <x:v>0</x:v>
      </x:c>
      <x:c r="AN2087" t="n">
        <x:v>1</x:v>
      </x:c>
    </x:row>
    <x:row r="2088" ht="23" customHeight="1">
      <x:c r="A2088" s="11" t="str">
        <x:v>688302.SH</x:v>
      </x:c>
      <x:c r="B2088" s="11" t="str">
        <x:v>五年</x:v>
      </x:c>
      <x:c r="C2088" s="11" t="str">
        <x:v>hc1119_later</x:v>
      </x:c>
      <x:c r="D2088" s="11" t="str">
        <x:v>2027-12-31</x:v>
      </x:c>
      <x:c r="E2088" s="11" t="str">
        <x:v>CNY</x:v>
      </x:c>
      <x:c r="F2088" s="11" t="n">
        <x:v>-3.7727583846680357</x:v>
      </x:c>
      <x:c r="G2088" s="26" t="b">
        <x:v>0</x:v>
      </x:c>
      <x:c r="H2088" s="16" t="n">
        <x:v>0.09000000000000001</x:v>
      </x:c>
      <x:c r="I2088" s="16" t="n">
        <x:v>0.18000000000000002</x:v>
      </x:c>
      <x:c r="J2088" s="16" t="n">
        <x:v>0.375</x:v>
      </x:c>
      <x:c r="K2088" s="11" t="n">
        <x:f>CHOOSE('假设'!$B$3,H2088,I2088,J2088)</x:f>
        <x:v>0.18000000000000002</x:v>
      </x:c>
      <x:c r="L2088" s="11" t="n">
        <x:f>K2088*'管线假设'!E463*'管线假设'!F463*'管线假设'!G463*IF(E2088="USD",'管线假设'!I463,1)-AM2088</x:f>
        <x:v>0.045000000000000005</x:v>
      </x:c>
      <x:c r="M2088" s="11" t="n">
        <x:f>'管线假设'!H463</x:f>
        <x:v>0.14</x:v>
      </x:c>
      <x:c r="N2088" s="11" t="n">
        <x:f>IF(G2088,L2088*AN2088/(1+M2088)^F2088,0)</x:f>
        <x:v>0</x:v>
      </x:c>
      <x:c r="AJ2088" t="n">
        <x:v>0</x:v>
      </x:c>
      <x:c r="AK2088" t="n">
        <x:v>0</x:v>
      </x:c>
      <x:c r="AL2088" t="n">
        <x:v>0</x:v>
      </x:c>
      <x:c r="AM2088" t="n">
        <x:f>CHOOSE('假设'!$B$3,AJ2088,AK2088,AL2088)</x:f>
        <x:v>0</x:v>
      </x:c>
      <x:c r="AN2088" t="n">
        <x:v>1</x:v>
      </x:c>
    </x:row>
    <x:row r="2089" ht="23" customHeight="1">
      <x:c r="A2089" s="11" t="str">
        <x:v>688302.SH</x:v>
      </x:c>
      <x:c r="B2089" s="11" t="str">
        <x:v>五年</x:v>
      </x:c>
      <x:c r="C2089" s="11" t="str">
        <x:v>hc1119_later</x:v>
      </x:c>
      <x:c r="D2089" s="11" t="str">
        <x:v>2028-12-31</x:v>
      </x:c>
      <x:c r="E2089" s="11" t="str">
        <x:v>CNY</x:v>
      </x:c>
      <x:c r="F2089" s="11" t="n">
        <x:v>-2.7707049965776864</x:v>
      </x:c>
      <x:c r="G2089" s="26" t="b">
        <x:v>0</x:v>
      </x:c>
      <x:c r="H2089" s="16" t="n">
        <x:v>0.18000000000000002</x:v>
      </x:c>
      <x:c r="I2089" s="16" t="n">
        <x:v>0.36000000000000004</x:v>
      </x:c>
      <x:c r="J2089" s="16" t="n">
        <x:v>0.75</x:v>
      </x:c>
      <x:c r="K2089" s="11" t="n">
        <x:f>CHOOSE('假设'!$B$3,H2089,I2089,J2089)</x:f>
        <x:v>0.36000000000000004</x:v>
      </x:c>
      <x:c r="L2089" s="11" t="n">
        <x:f>K2089*'管线假设'!E463*'管线假设'!F463*'管线假设'!G463*IF(E2089="USD",'管线假设'!I463,1)-AM2089</x:f>
        <x:v>0.09000000000000001</x:v>
      </x:c>
      <x:c r="M2089" s="11" t="n">
        <x:f>'管线假设'!H463</x:f>
        <x:v>0.14</x:v>
      </x:c>
      <x:c r="N2089" s="11" t="n">
        <x:f>IF(G2089,L2089*AN2089/(1+M2089)^F2089,0)</x:f>
        <x:v>0</x:v>
      </x:c>
      <x:c r="AJ2089" t="n">
        <x:v>0</x:v>
      </x:c>
      <x:c r="AK2089" t="n">
        <x:v>0</x:v>
      </x:c>
      <x:c r="AL2089" t="n">
        <x:v>0</x:v>
      </x:c>
      <x:c r="AM2089" t="n">
        <x:f>CHOOSE('假设'!$B$3,AJ2089,AK2089,AL2089)</x:f>
        <x:v>0</x:v>
      </x:c>
      <x:c r="AN2089" t="n">
        <x:v>1</x:v>
      </x:c>
    </x:row>
    <x:row r="2090" ht="23" customHeight="1">
      <x:c r="A2090" s="11" t="str">
        <x:v>688302.SH</x:v>
      </x:c>
      <x:c r="B2090" s="11" t="str">
        <x:v>五年</x:v>
      </x:c>
      <x:c r="C2090" s="11" t="str">
        <x:v>hc1119_later</x:v>
      </x:c>
      <x:c r="D2090" s="11" t="str">
        <x:v>2029-12-31</x:v>
      </x:c>
      <x:c r="E2090" s="11" t="str">
        <x:v>CNY</x:v>
      </x:c>
      <x:c r="F2090" s="11" t="n">
        <x:v>-1.7713894592744694</x:v>
      </x:c>
      <x:c r="G2090" s="26" t="b">
        <x:v>0</x:v>
      </x:c>
      <x:c r="H2090" s="16" t="n">
        <x:v>0.27</x:v>
      </x:c>
      <x:c r="I2090" s="16" t="n">
        <x:v>0.54</x:v>
      </x:c>
      <x:c r="J2090" s="16" t="n">
        <x:v>1.125</x:v>
      </x:c>
      <x:c r="K2090" s="11" t="n">
        <x:f>CHOOSE('假设'!$B$3,H2090,I2090,J2090)</x:f>
        <x:v>0.54</x:v>
      </x:c>
      <x:c r="L2090" s="11" t="n">
        <x:f>K2090*'管线假设'!E463*'管线假设'!F463*'管线假设'!G463*IF(E2090="USD",'管线假设'!I463,1)-AM2090</x:f>
        <x:v>0.135</x:v>
      </x:c>
      <x:c r="M2090" s="11" t="n">
        <x:f>'管线假设'!H463</x:f>
        <x:v>0.14</x:v>
      </x:c>
      <x:c r="N2090" s="11" t="n">
        <x:f>IF(G2090,L2090*AN2090/(1+M2090)^F2090,0)</x:f>
        <x:v>0</x:v>
      </x:c>
      <x:c r="AJ2090" t="n">
        <x:v>0</x:v>
      </x:c>
      <x:c r="AK2090" t="n">
        <x:v>0</x:v>
      </x:c>
      <x:c r="AL2090" t="n">
        <x:v>0</x:v>
      </x:c>
      <x:c r="AM2090" t="n">
        <x:f>CHOOSE('假设'!$B$3,AJ2090,AK2090,AL2090)</x:f>
        <x:v>0</x:v>
      </x:c>
      <x:c r="AN2090" t="n">
        <x:v>1</x:v>
      </x:c>
    </x:row>
    <x:row r="2091" ht="23" customHeight="1">
      <x:c r="A2091" s="11" t="str">
        <x:v>688302.SH</x:v>
      </x:c>
      <x:c r="B2091" s="11" t="str">
        <x:v>五年</x:v>
      </x:c>
      <x:c r="C2091" s="11" t="str">
        <x:v>hc1119_later</x:v>
      </x:c>
      <x:c r="D2091" s="11" t="str">
        <x:v>2030-12-31</x:v>
      </x:c>
      <x:c r="E2091" s="11" t="str">
        <x:v>CNY</x:v>
      </x:c>
      <x:c r="F2091" s="11" t="n">
        <x:v>-0.7720739219712526</x:v>
      </x:c>
      <x:c r="G2091" s="26" t="b">
        <x:v>0</x:v>
      </x:c>
      <x:c r="H2091" s="16" t="n">
        <x:v>0.36000000000000004</x:v>
      </x:c>
      <x:c r="I2091" s="16" t="n">
        <x:v>0.7200000000000001</x:v>
      </x:c>
      <x:c r="J2091" s="16" t="n">
        <x:v>1.5</x:v>
      </x:c>
      <x:c r="K2091" s="11" t="n">
        <x:f>CHOOSE('假设'!$B$3,H2091,I2091,J2091)</x:f>
        <x:v>0.7200000000000001</x:v>
      </x:c>
      <x:c r="L2091" s="11" t="n">
        <x:f>K2091*'管线假设'!E463*'管线假设'!F463*'管线假设'!G463*IF(E2091="USD",'管线假设'!I463,1)-AM2091</x:f>
        <x:v>0.18000000000000002</x:v>
      </x:c>
      <x:c r="M2091" s="11" t="n">
        <x:f>'管线假设'!H463</x:f>
        <x:v>0.14</x:v>
      </x:c>
      <x:c r="N2091" s="11" t="n">
        <x:f>IF(G2091,L2091*AN2091/(1+M2091)^F2091,0)</x:f>
        <x:v>0</x:v>
      </x:c>
      <x:c r="AJ2091" t="n">
        <x:v>0</x:v>
      </x:c>
      <x:c r="AK2091" t="n">
        <x:v>0</x:v>
      </x:c>
      <x:c r="AL2091" t="n">
        <x:v>0</x:v>
      </x:c>
      <x:c r="AM2091" t="n">
        <x:f>CHOOSE('假设'!$B$3,AJ2091,AK2091,AL2091)</x:f>
        <x:v>0</x:v>
      </x:c>
      <x:c r="AN2091" t="n">
        <x:v>1</x:v>
      </x:c>
    </x:row>
    <x:row r="2092" ht="23" customHeight="1">
      <x:c r="A2092" s="11" t="str">
        <x:v>688302.SH</x:v>
      </x:c>
      <x:c r="B2092" s="11" t="str">
        <x:v>五年</x:v>
      </x:c>
      <x:c r="C2092" s="11" t="str">
        <x:v>hc1119_later</x:v>
      </x:c>
      <x:c r="D2092" s="11" t="str">
        <x:v>2031-12-31</x:v>
      </x:c>
      <x:c r="E2092" s="11" t="str">
        <x:v>CNY</x:v>
      </x:c>
      <x:c r="F2092" s="11" t="n">
        <x:v>0.2272416153319644</x:v>
      </x:c>
      <x:c r="G2092" s="26" t="b">
        <x:v>1</x:v>
      </x:c>
      <x:c r="H2092" s="16" t="n">
        <x:v>0.45</x:v>
      </x:c>
      <x:c r="I2092" s="16" t="n">
        <x:v>0.9</x:v>
      </x:c>
      <x:c r="J2092" s="16" t="n">
        <x:v>1.305</x:v>
      </x:c>
      <x:c r="K2092" s="11" t="n">
        <x:f>CHOOSE('假设'!$B$3,H2092,I2092,J2092)</x:f>
        <x:v>0.9</x:v>
      </x:c>
      <x:c r="L2092" s="11" t="n">
        <x:f>K2092*'管线假设'!E463*'管线假设'!F463*'管线假设'!G463*IF(E2092="USD",'管线假设'!I463,1)-AM2092</x:f>
        <x:v>0.225</x:v>
      </x:c>
      <x:c r="M2092" s="11" t="n">
        <x:f>'管线假设'!H463</x:f>
        <x:v>0.14</x:v>
      </x:c>
      <x:c r="N2092" s="11" t="n">
        <x:f>IF(G2092,L2092*AN2092/(1+M2092)^F2092,0)</x:f>
        <x:v>0.2183993632186655</x:v>
      </x:c>
      <x:c r="AJ2092" t="n">
        <x:v>0</x:v>
      </x:c>
      <x:c r="AK2092" t="n">
        <x:v>0</x:v>
      </x:c>
      <x:c r="AL2092" t="n">
        <x:v>0</x:v>
      </x:c>
      <x:c r="AM2092" t="n">
        <x:f>CHOOSE('假设'!$B$3,AJ2092,AK2092,AL2092)</x:f>
        <x:v>0</x:v>
      </x:c>
      <x:c r="AN2092" t="n">
        <x:v>1</x:v>
      </x:c>
    </x:row>
    <x:row r="2093" ht="23" customHeight="1">
      <x:c r="A2093" s="11" t="str">
        <x:v>688302.SH</x:v>
      </x:c>
      <x:c r="B2093" s="11" t="str">
        <x:v>五年</x:v>
      </x:c>
      <x:c r="C2093" s="11" t="str">
        <x:v>hc1119_later</x:v>
      </x:c>
      <x:c r="D2093" s="11" t="str">
        <x:v>2032-12-31</x:v>
      </x:c>
      <x:c r="E2093" s="11" t="str">
        <x:v>CNY</x:v>
      </x:c>
      <x:c r="F2093" s="11" t="n">
        <x:v>1.2292950034223136</x:v>
      </x:c>
      <x:c r="G2093" s="26" t="b">
        <x:v>1</x:v>
      </x:c>
      <x:c r="H2093" s="16" t="n">
        <x:v>0.3915</x:v>
      </x:c>
      <x:c r="I2093" s="16" t="n">
        <x:v>0.783</x:v>
      </x:c>
      <x:c r="J2093" s="16" t="n">
        <x:v>1.1099999999999999</x:v>
      </x:c>
      <x:c r="K2093" s="11" t="n">
        <x:f>CHOOSE('假设'!$B$3,H2093,I2093,J2093)</x:f>
        <x:v>0.783</x:v>
      </x:c>
      <x:c r="L2093" s="11" t="n">
        <x:f>K2093*'管线假设'!E463*'管线假设'!F463*'管线假设'!G463*IF(E2093="USD",'管线假设'!I463,1)-AM2093</x:f>
        <x:v>0.19575</x:v>
      </x:c>
      <x:c r="M2093" s="11" t="n">
        <x:f>'管线假设'!H463</x:f>
        <x:v>0.14</x:v>
      </x:c>
      <x:c r="N2093" s="11" t="n">
        <x:f>IF(G2093,L2093*AN2093/(1+M2093)^F2093,0)</x:f>
        <x:v>0.16662836054167393</x:v>
      </x:c>
      <x:c r="AJ2093" t="n">
        <x:v>0</x:v>
      </x:c>
      <x:c r="AK2093" t="n">
        <x:v>0</x:v>
      </x:c>
      <x:c r="AL2093" t="n">
        <x:v>0</x:v>
      </x:c>
      <x:c r="AM2093" t="n">
        <x:f>CHOOSE('假设'!$B$3,AJ2093,AK2093,AL2093)</x:f>
        <x:v>0</x:v>
      </x:c>
      <x:c r="AN2093" t="n">
        <x:v>1</x:v>
      </x:c>
    </x:row>
    <x:row r="2094" ht="23" customHeight="1">
      <x:c r="A2094" s="11" t="str">
        <x:v>688302.SH</x:v>
      </x:c>
      <x:c r="B2094" s="11" t="str">
        <x:v>五年</x:v>
      </x:c>
      <x:c r="C2094" s="11" t="str">
        <x:v>hc1119_later</x:v>
      </x:c>
      <x:c r="D2094" s="11" t="str">
        <x:v>2033-12-31</x:v>
      </x:c>
      <x:c r="E2094" s="11" t="str">
        <x:v>CNY</x:v>
      </x:c>
      <x:c r="F2094" s="11" t="n">
        <x:v>2.2286105407255303</x:v>
      </x:c>
      <x:c r="G2094" s="26" t="b">
        <x:v>1</x:v>
      </x:c>
      <x:c r="H2094" s="16" t="n">
        <x:v>0.333</x:v>
      </x:c>
      <x:c r="I2094" s="16" t="n">
        <x:v>0.666</x:v>
      </x:c>
      <x:c r="J2094" s="16" t="n">
        <x:v>0.915</x:v>
      </x:c>
      <x:c r="K2094" s="11" t="n">
        <x:f>CHOOSE('假设'!$B$3,H2094,I2094,J2094)</x:f>
        <x:v>0.666</x:v>
      </x:c>
      <x:c r="L2094" s="11" t="n">
        <x:f>K2094*'管线假设'!E463*'管线假设'!F463*'管线假设'!G463*IF(E2094="USD",'管线假设'!I463,1)-AM2094</x:f>
        <x:v>0.1665</x:v>
      </x:c>
      <x:c r="M2094" s="11" t="n">
        <x:f>'管线假设'!H463</x:f>
        <x:v>0.14</x:v>
      </x:c>
      <x:c r="N2094" s="11" t="n">
        <x:f>IF(G2094,L2094*AN2094/(1+M2094)^F2094,0)</x:f>
        <x:v>0.12433559767692631</x:v>
      </x:c>
      <x:c r="AJ2094" t="n">
        <x:v>0</x:v>
      </x:c>
      <x:c r="AK2094" t="n">
        <x:v>0</x:v>
      </x:c>
      <x:c r="AL2094" t="n">
        <x:v>0</x:v>
      </x:c>
      <x:c r="AM2094" t="n">
        <x:f>CHOOSE('假设'!$B$3,AJ2094,AK2094,AL2094)</x:f>
        <x:v>0</x:v>
      </x:c>
      <x:c r="AN2094" t="n">
        <x:v>1</x:v>
      </x:c>
    </x:row>
    <x:row r="2095" ht="23" customHeight="1">
      <x:c r="A2095" s="11" t="str">
        <x:v>688302.SH</x:v>
      </x:c>
      <x:c r="B2095" s="11" t="str">
        <x:v>五年</x:v>
      </x:c>
      <x:c r="C2095" s="11" t="str">
        <x:v>hc1119_later</x:v>
      </x:c>
      <x:c r="D2095" s="11" t="str">
        <x:v>2034-12-31</x:v>
      </x:c>
      <x:c r="E2095" s="11" t="str">
        <x:v>CNY</x:v>
      </x:c>
      <x:c r="F2095" s="11" t="n">
        <x:v>3.2279260780287475</x:v>
      </x:c>
      <x:c r="G2095" s="26" t="b">
        <x:v>1</x:v>
      </x:c>
      <x:c r="H2095" s="16" t="n">
        <x:v>0.2745</x:v>
      </x:c>
      <x:c r="I2095" s="16" t="n">
        <x:v>0.549</x:v>
      </x:c>
      <x:c r="J2095" s="16" t="n">
        <x:v>0.72</x:v>
      </x:c>
      <x:c r="K2095" s="11" t="n">
        <x:f>CHOOSE('假设'!$B$3,H2095,I2095,J2095)</x:f>
        <x:v>0.549</x:v>
      </x:c>
      <x:c r="L2095" s="11" t="n">
        <x:f>K2095*'管线假设'!E463*'管线假设'!F463*'管线假设'!G463*IF(E2095="USD",'管线假设'!I463,1)-AM2095</x:f>
        <x:v>0.13725</x:v>
      </x:c>
      <x:c r="M2095" s="11" t="n">
        <x:f>'管线假设'!H463</x:f>
        <x:v>0.14</x:v>
      </x:c>
      <x:c r="N2095" s="11" t="n">
        <x:f>IF(G2095,L2095*AN2095/(1+M2095)^F2095,0)</x:f>
        <x:v>0.08991407887877771</x:v>
      </x:c>
      <x:c r="AJ2095" t="n">
        <x:v>0</x:v>
      </x:c>
      <x:c r="AK2095" t="n">
        <x:v>0</x:v>
      </x:c>
      <x:c r="AL2095" t="n">
        <x:v>0</x:v>
      </x:c>
      <x:c r="AM2095" t="n">
        <x:f>CHOOSE('假设'!$B$3,AJ2095,AK2095,AL2095)</x:f>
        <x:v>0</x:v>
      </x:c>
      <x:c r="AN2095" t="n">
        <x:v>1</x:v>
      </x:c>
    </x:row>
    <x:row r="2096" ht="23" customHeight="1">
      <x:c r="A2096" s="11" t="str">
        <x:v>688302.SH</x:v>
      </x:c>
      <x:c r="B2096" s="11" t="str">
        <x:v>五年</x:v>
      </x:c>
      <x:c r="C2096" s="11" t="str">
        <x:v>hc1119_later</x:v>
      </x:c>
      <x:c r="D2096" s="11" t="str">
        <x:v>2035-12-31</x:v>
      </x:c>
      <x:c r="E2096" s="11" t="str">
        <x:v>CNY</x:v>
      </x:c>
      <x:c r="F2096" s="11" t="n">
        <x:v>4.227241615331964</x:v>
      </x:c>
      <x:c r="G2096" s="26" t="b">
        <x:v>1</x:v>
      </x:c>
      <x:c r="H2096" s="16" t="n">
        <x:v>0.216</x:v>
      </x:c>
      <x:c r="I2096" s="16" t="n">
        <x:v>0.432</x:v>
      </x:c>
      <x:c r="J2096" s="16" t="n">
        <x:v>0.5249999999999999</x:v>
      </x:c>
      <x:c r="K2096" s="11" t="n">
        <x:f>CHOOSE('假设'!$B$3,H2096,I2096,J2096)</x:f>
        <x:v>0.432</x:v>
      </x:c>
      <x:c r="L2096" s="11" t="n">
        <x:f>K2096*'管线假设'!E463*'管线假设'!F463*'管线假设'!G463*IF(E2096="USD",'管线假设'!I463,1)-AM2096</x:f>
        <x:v>0.108</x:v>
      </x:c>
      <x:c r="M2096" s="11" t="n">
        <x:f>'管线假设'!H463</x:f>
        <x:v>0.14</x:v>
      </x:c>
      <x:c r="N2096" s="11" t="n">
        <x:f>IF(G2096,L2096*AN2096/(1+M2096)^F2096,0)</x:f>
        <x:v>0.0620687786649505</x:v>
      </x:c>
      <x:c r="AJ2096" t="n">
        <x:v>0</x:v>
      </x:c>
      <x:c r="AK2096" t="n">
        <x:v>0</x:v>
      </x:c>
      <x:c r="AL2096" t="n">
        <x:v>0</x:v>
      </x:c>
      <x:c r="AM2096" t="n">
        <x:f>CHOOSE('假设'!$B$3,AJ2096,AK2096,AL2096)</x:f>
        <x:v>0</x:v>
      </x:c>
      <x:c r="AN2096" t="n">
        <x:v>1</x:v>
      </x:c>
    </x:row>
    <x:row r="2097" ht="23" customHeight="1">
      <x:c r="A2097" s="11" t="str">
        <x:v>688302.SH</x:v>
      </x:c>
      <x:c r="B2097" s="11" t="str">
        <x:v>五年</x:v>
      </x:c>
      <x:c r="C2097" s="11" t="str">
        <x:v>hc1119_later</x:v>
      </x:c>
      <x:c r="D2097" s="11" t="str">
        <x:v>2036-12-31</x:v>
      </x:c>
      <x:c r="E2097" s="11" t="str">
        <x:v>CNY</x:v>
      </x:c>
      <x:c r="F2097" s="11" t="n">
        <x:v>5.229295003422314</x:v>
      </x:c>
      <x:c r="G2097" s="26" t="b">
        <x:v>1</x:v>
      </x:c>
      <x:c r="H2097" s="16" t="n">
        <x:v>0.1575</x:v>
      </x:c>
      <x:c r="I2097" s="16" t="n">
        <x:v>0.315</x:v>
      </x:c>
      <x:c r="J2097" s="16" t="n">
        <x:v>0.32999999999999996</x:v>
      </x:c>
      <x:c r="K2097" s="11" t="n">
        <x:f>CHOOSE('假设'!$B$3,H2097,I2097,J2097)</x:f>
        <x:v>0.315</x:v>
      </x:c>
      <x:c r="L2097" s="11" t="n">
        <x:f>K2097*'管线假设'!E463*'管线假设'!F463*'管线假设'!G463*IF(E2097="USD",'管线假设'!I463,1)-AM2097</x:f>
        <x:v>0.07875</x:v>
      </x:c>
      <x:c r="M2097" s="11" t="n">
        <x:f>'管线假设'!H463</x:f>
        <x:v>0.14</x:v>
      </x:c>
      <x:c r="N2097" s="11" t="n">
        <x:f>IF(G2097,L2097*AN2097/(1+M2097)^F2097,0)</x:f>
        <x:v>0.03968974491326319</x:v>
      </x:c>
      <x:c r="AJ2097" t="n">
        <x:v>0</x:v>
      </x:c>
      <x:c r="AK2097" t="n">
        <x:v>0</x:v>
      </x:c>
      <x:c r="AL2097" t="n">
        <x:v>0</x:v>
      </x:c>
      <x:c r="AM2097" t="n">
        <x:f>CHOOSE('假设'!$B$3,AJ2097,AK2097,AL2097)</x:f>
        <x:v>0</x:v>
      </x:c>
      <x:c r="AN2097" t="n">
        <x:v>1</x:v>
      </x:c>
    </x:row>
    <x:row r="2098" ht="23" customHeight="1">
      <x:c r="A2098" s="11" t="str">
        <x:v>688302.SH</x:v>
      </x:c>
      <x:c r="B2098" s="11" t="str">
        <x:v>五年</x:v>
      </x:c>
      <x:c r="C2098" s="11" t="str">
        <x:v>hc1119_later</x:v>
      </x:c>
      <x:c r="D2098" s="11" t="str">
        <x:v>2037-12-31</x:v>
      </x:c>
      <x:c r="E2098" s="11" t="str">
        <x:v>CNY</x:v>
      </x:c>
      <x:c r="F2098" s="11" t="n">
        <x:v>6.228610540725531</x:v>
      </x:c>
      <x:c r="G2098" s="26" t="b">
        <x:v>1</x:v>
      </x:c>
      <x:c r="H2098" s="16" t="n">
        <x:v>0.09899999999999999</x:v>
      </x:c>
      <x:c r="I2098" s="16" t="n">
        <x:v>0.19799999999999998</x:v>
      </x:c>
      <x:c r="J2098" s="16" t="n">
        <x:v>0.13499999999999995</x:v>
      </x:c>
      <x:c r="K2098" s="11" t="n">
        <x:f>CHOOSE('假设'!$B$3,H2098,I2098,J2098)</x:f>
        <x:v>0.19799999999999998</x:v>
      </x:c>
      <x:c r="L2098" s="11" t="n">
        <x:f>K2098*'管线假设'!E463*'管线假设'!F463*'管线假设'!G463*IF(E2098="USD",'管线假设'!I463,1)-AM2098</x:f>
        <x:v>0.049499999999999995</x:v>
      </x:c>
      <x:c r="M2098" s="11" t="n">
        <x:f>'管线假设'!H463</x:f>
        <x:v>0.14</x:v>
      </x:c>
      <x:c r="N2098" s="11" t="n">
        <x:f>IF(G2098,L2098*AN2098/(1+M2098)^F2098,0)</x:f>
        <x:v>0.02188603261499921</x:v>
      </x:c>
      <x:c r="AJ2098" t="n">
        <x:v>0</x:v>
      </x:c>
      <x:c r="AK2098" t="n">
        <x:v>0</x:v>
      </x:c>
      <x:c r="AL2098" t="n">
        <x:v>0</x:v>
      </x:c>
      <x:c r="AM2098" t="n">
        <x:f>CHOOSE('假设'!$B$3,AJ2098,AK2098,AL2098)</x:f>
        <x:v>0</x:v>
      </x:c>
      <x:c r="AN2098" t="n">
        <x:v>1</x:v>
      </x:c>
    </x:row>
    <x:row r="2099" ht="23" customHeight="1">
      <x:c r="A2099" s="11" t="str">
        <x:v>688302.SH</x:v>
      </x:c>
      <x:c r="B2099" s="11" t="str">
        <x:v>五年</x:v>
      </x:c>
      <x:c r="C2099" s="11" t="str">
        <x:v>hc1119_later</x:v>
      </x:c>
      <x:c r="D2099" s="11" t="str">
        <x:v>2038-12-31</x:v>
      </x:c>
      <x:c r="E2099" s="11" t="str">
        <x:v>CNY</x:v>
      </x:c>
      <x:c r="F2099" s="11" t="n">
        <x:v>7.227926078028747</x:v>
      </x:c>
      <x:c r="G2099" s="26" t="b">
        <x:v>1</x:v>
      </x:c>
      <x:c r="H2099" s="16" t="n">
        <x:v>0.04049999999999999</x:v>
      </x:c>
      <x:c r="I2099" s="16" t="n">
        <x:v>0.08099999999999997</x:v>
      </x:c>
      <x:c r="J2099" s="16" t="n">
        <x:v>0</x:v>
      </x:c>
      <x:c r="K2099" s="11" t="n">
        <x:f>CHOOSE('假设'!$B$3,H2099,I2099,J2099)</x:f>
        <x:v>0.08099999999999997</x:v>
      </x:c>
      <x:c r="L2099" s="11" t="n">
        <x:f>K2099*'管线假设'!E463*'管线假设'!F463*'管线假设'!G463*IF(E2099="USD",'管线假设'!I463,1)-AM2099</x:f>
        <x:v>0.020249999999999994</x:v>
      </x:c>
      <x:c r="M2099" s="11" t="n">
        <x:f>'管线假设'!H463</x:f>
        <x:v>0.14</x:v>
      </x:c>
      <x:c r="N2099" s="11" t="n">
        <x:f>IF(G2099,L2099*AN2099/(1+M2099)^F2099,0)</x:f>
        <x:v>0.007854543850135837</x:v>
      </x:c>
      <x:c r="AJ2099" t="n">
        <x:v>0</x:v>
      </x:c>
      <x:c r="AK2099" t="n">
        <x:v>0</x:v>
      </x:c>
      <x:c r="AL2099" t="n">
        <x:v>0</x:v>
      </x:c>
      <x:c r="AM2099" t="n">
        <x:f>CHOOSE('假设'!$B$3,AJ2099,AK2099,AL2099)</x:f>
        <x:v>0</x:v>
      </x:c>
      <x:c r="AN2099" t="n">
        <x:v>1</x:v>
      </x:c>
    </x:row>
    <x:row r="2100" ht="23" customHeight="1">
      <x:c r="A2100" s="11" t="str">
        <x:v>688302.SH</x:v>
      </x:c>
      <x:c r="B2100" s="11" t="str">
        <x:v>五年</x:v>
      </x:c>
      <x:c r="C2100" s="11" t="str">
        <x:v>hc1119_later</x:v>
      </x:c>
      <x:c r="D2100" s="11" t="str">
        <x:v>2039-12-31</x:v>
      </x:c>
      <x:c r="E2100" s="11" t="str">
        <x:v>CNY</x:v>
      </x:c>
      <x:c r="F2100" s="11" t="n">
        <x:v>8.227241615331964</x:v>
      </x:c>
      <x:c r="G2100" s="26" t="b">
        <x:v>1</x:v>
      </x:c>
      <x:c r="H2100" s="16" t="n">
        <x:v>0</x:v>
      </x:c>
      <x:c r="I2100" s="16" t="n">
        <x:v>0</x:v>
      </x:c>
      <x:c r="J2100" s="16" t="n">
        <x:v>0</x:v>
      </x:c>
      <x:c r="K2100" s="11" t="n">
        <x:f>CHOOSE('假设'!$B$3,H2100,I2100,J2100)</x:f>
        <x:v>0</x:v>
      </x:c>
      <x:c r="L2100" s="11" t="n">
        <x:f>K2100*'管线假设'!E463*'管线假设'!F463*'管线假设'!G463*IF(E2100="USD",'管线假设'!I463,1)-AM2100</x:f>
        <x:v>0</x:v>
      </x:c>
      <x:c r="M2100" s="11" t="n">
        <x:f>'管线假设'!H463</x:f>
        <x:v>0.14</x:v>
      </x:c>
      <x:c r="N2100" s="11" t="n">
        <x:f>IF(G2100,L2100*AN2100/(1+M2100)^F2100,0)</x:f>
        <x:v>0</x:v>
      </x:c>
      <x:c r="AJ2100" t="n">
        <x:v>0</x:v>
      </x:c>
      <x:c r="AK2100" t="n">
        <x:v>0</x:v>
      </x:c>
      <x:c r="AL2100" t="n">
        <x:v>0</x:v>
      </x:c>
      <x:c r="AM2100" t="n">
        <x:f>CHOOSE('假设'!$B$3,AJ2100,AK2100,AL2100)</x:f>
        <x:v>0</x:v>
      </x:c>
      <x:c r="AN2100" t="n">
        <x:v>1</x:v>
      </x:c>
    </x:row>
    <x:row r="2101" ht="23" customHeight="1">
      <x:c r="A2101" s="11" t="str">
        <x:v>688302.SH</x:v>
      </x:c>
      <x:c r="B2101" s="11" t="str">
        <x:v>五年</x:v>
      </x:c>
      <x:c r="C2101" s="11" t="str">
        <x:v>hc1119_later</x:v>
      </x:c>
      <x:c r="D2101" s="11" t="str">
        <x:v>2040-12-31</x:v>
      </x:c>
      <x:c r="E2101" s="11" t="str">
        <x:v>CNY</x:v>
      </x:c>
      <x:c r="F2101" s="11" t="n">
        <x:v>9.229295003422314</x:v>
      </x:c>
      <x:c r="G2101" s="26" t="b">
        <x:v>1</x:v>
      </x:c>
      <x:c r="H2101" s="16" t="n">
        <x:v>0</x:v>
      </x:c>
      <x:c r="I2101" s="16" t="n">
        <x:v>0</x:v>
      </x:c>
      <x:c r="J2101" s="16" t="n">
        <x:v>0</x:v>
      </x:c>
      <x:c r="K2101" s="11" t="n">
        <x:f>CHOOSE('假设'!$B$3,H2101,I2101,J2101)</x:f>
        <x:v>0</x:v>
      </x:c>
      <x:c r="L2101" s="11" t="n">
        <x:f>K2101*'管线假设'!E463*'管线假设'!F463*'管线假设'!G463*IF(E2101="USD",'管线假设'!I463,1)-AM2101</x:f>
        <x:v>0</x:v>
      </x:c>
      <x:c r="M2101" s="11" t="n">
        <x:f>'管线假设'!H463</x:f>
        <x:v>0.14</x:v>
      </x:c>
      <x:c r="N2101" s="11" t="n">
        <x:f>IF(G2101,L2101*AN2101/(1+M2101)^F2101,0)</x:f>
        <x:v>0</x:v>
      </x:c>
      <x:c r="AJ2101" t="n">
        <x:v>0</x:v>
      </x:c>
      <x:c r="AK2101" t="n">
        <x:v>0</x:v>
      </x:c>
      <x:c r="AL2101" t="n">
        <x:v>0</x:v>
      </x:c>
      <x:c r="AM2101" t="n">
        <x:f>CHOOSE('假设'!$B$3,AJ2101,AK2101,AL2101)</x:f>
        <x:v>0</x:v>
      </x:c>
      <x:c r="AN2101" t="n">
        <x:v>1</x:v>
      </x:c>
    </x:row>
    <x:row r="2102" ht="23" customHeight="1">
      <x:c r="A2102" s="11" t="str">
        <x:v>688302.SH</x:v>
      </x:c>
      <x:c r="B2102" s="11" t="str">
        <x:v>五年</x:v>
      </x:c>
      <x:c r="C2102" s="11" t="str">
        <x:v>hc1119_later</x:v>
      </x:c>
      <x:c r="D2102" s="11" t="str">
        <x:v>2041-12-31</x:v>
      </x:c>
      <x:c r="E2102" s="11" t="str">
        <x:v>CNY</x:v>
      </x:c>
      <x:c r="F2102" s="11" t="n">
        <x:v>10.22861054072553</x:v>
      </x:c>
      <x:c r="G2102" s="26" t="b">
        <x:v>1</x:v>
      </x:c>
      <x:c r="H2102" s="16" t="n">
        <x:v>0</x:v>
      </x:c>
      <x:c r="I2102" s="16" t="n">
        <x:v>0</x:v>
      </x:c>
      <x:c r="J2102" s="16" t="n">
        <x:v>0</x:v>
      </x:c>
      <x:c r="K2102" s="11" t="n">
        <x:f>CHOOSE('假设'!$B$3,H2102,I2102,J2102)</x:f>
        <x:v>0</x:v>
      </x:c>
      <x:c r="L2102" s="11" t="n">
        <x:f>K2102*'管线假设'!E463*'管线假设'!F463*'管线假设'!G463*IF(E2102="USD",'管线假设'!I463,1)-AM2102</x:f>
        <x:v>0</x:v>
      </x:c>
      <x:c r="M2102" s="11" t="n">
        <x:f>'管线假设'!H463</x:f>
        <x:v>0.14</x:v>
      </x:c>
      <x:c r="N2102" s="11" t="n">
        <x:f>IF(G2102,L2102*AN2102/(1+M2102)^F2102,0)</x:f>
        <x:v>0</x:v>
      </x:c>
      <x:c r="AJ2102" t="n">
        <x:v>0</x:v>
      </x:c>
      <x:c r="AK2102" t="n">
        <x:v>0</x:v>
      </x:c>
      <x:c r="AL2102" t="n">
        <x:v>0</x:v>
      </x:c>
      <x:c r="AM2102" t="n">
        <x:f>CHOOSE('假设'!$B$3,AJ2102,AK2102,AL2102)</x:f>
        <x:v>0</x:v>
      </x:c>
      <x:c r="AN2102" t="n">
        <x:v>1</x:v>
      </x:c>
    </x:row>
    <x:row r="2103" ht="23" customHeight="1">
      <x:c r="A2103" s="11" t="str">
        <x:v>688302.SH</x:v>
      </x:c>
      <x:c r="B2103" s="11" t="str">
        <x:v>五年</x:v>
      </x:c>
      <x:c r="C2103" s="11" t="str">
        <x:v>hc1119_later</x:v>
      </x:c>
      <x:c r="D2103" s="11" t="str">
        <x:v>2042-12-31</x:v>
      </x:c>
      <x:c r="E2103" s="11" t="str">
        <x:v>CNY</x:v>
      </x:c>
      <x:c r="F2103" s="11" t="n">
        <x:v>11.227926078028748</x:v>
      </x:c>
      <x:c r="G2103" s="26" t="b">
        <x:v>1</x:v>
      </x:c>
      <x:c r="H2103" s="16" t="n">
        <x:v>0</x:v>
      </x:c>
      <x:c r="I2103" s="16" t="n">
        <x:v>0</x:v>
      </x:c>
      <x:c r="J2103" s="16" t="n">
        <x:v>0</x:v>
      </x:c>
      <x:c r="K2103" s="11" t="n">
        <x:f>CHOOSE('假设'!$B$3,H2103,I2103,J2103)</x:f>
        <x:v>0</x:v>
      </x:c>
      <x:c r="L2103" s="11" t="n">
        <x:f>K2103*'管线假设'!E463*'管线假设'!F463*'管线假设'!G463*IF(E2103="USD",'管线假设'!I463,1)-AM2103</x:f>
        <x:v>0</x:v>
      </x:c>
      <x:c r="M2103" s="11" t="n">
        <x:f>'管线假设'!H463</x:f>
        <x:v>0.14</x:v>
      </x:c>
      <x:c r="N2103" s="11" t="n">
        <x:f>IF(G2103,L2103*AN2103/(1+M2103)^F2103,0)</x:f>
        <x:v>0</x:v>
      </x:c>
      <x:c r="AJ2103" t="n">
        <x:v>0</x:v>
      </x:c>
      <x:c r="AK2103" t="n">
        <x:v>0</x:v>
      </x:c>
      <x:c r="AL2103" t="n">
        <x:v>0</x:v>
      </x:c>
      <x:c r="AM2103" t="n">
        <x:f>CHOOSE('假设'!$B$3,AJ2103,AK2103,AL2103)</x:f>
        <x:v>0</x:v>
      </x:c>
      <x:c r="AN2103" t="n">
        <x:v>1</x:v>
      </x:c>
    </x:row>
    <x:row r="2104" ht="23" customHeight="1">
      <x:c r="A2104" s="11" t="str">
        <x:v>688302.SH</x:v>
      </x:c>
      <x:c r="B2104" s="11" t="str">
        <x:v>五年</x:v>
      </x:c>
      <x:c r="C2104" s="11" t="str">
        <x:v>hc1119_later</x:v>
      </x:c>
      <x:c r="D2104" s="11" t="str">
        <x:v>2043-12-31</x:v>
      </x:c>
      <x:c r="E2104" s="11" t="str">
        <x:v>CNY</x:v>
      </x:c>
      <x:c r="F2104" s="11" t="n">
        <x:v>12.227241615331964</x:v>
      </x:c>
      <x:c r="G2104" s="26" t="b">
        <x:v>1</x:v>
      </x:c>
      <x:c r="H2104" s="16" t="n">
        <x:v>0</x:v>
      </x:c>
      <x:c r="I2104" s="16" t="n">
        <x:v>0</x:v>
      </x:c>
      <x:c r="J2104" s="16" t="n">
        <x:v>0</x:v>
      </x:c>
      <x:c r="K2104" s="11" t="n">
        <x:f>CHOOSE('假设'!$B$3,H2104,I2104,J2104)</x:f>
        <x:v>0</x:v>
      </x:c>
      <x:c r="L2104" s="11" t="n">
        <x:f>K2104*'管线假设'!E463*'管线假设'!F463*'管线假设'!G463*IF(E2104="USD",'管线假设'!I463,1)-AM2104</x:f>
        <x:v>0</x:v>
      </x:c>
      <x:c r="M2104" s="11" t="n">
        <x:f>'管线假设'!H463</x:f>
        <x:v>0.14</x:v>
      </x:c>
      <x:c r="N2104" s="11" t="n">
        <x:f>IF(G2104,L2104*AN2104/(1+M2104)^F2104,0)</x:f>
        <x:v>0</x:v>
      </x:c>
      <x:c r="AJ2104" t="n">
        <x:v>0</x:v>
      </x:c>
      <x:c r="AK2104" t="n">
        <x:v>0</x:v>
      </x:c>
      <x:c r="AL2104" t="n">
        <x:v>0</x:v>
      </x:c>
      <x:c r="AM2104" t="n">
        <x:f>CHOOSE('假设'!$B$3,AJ2104,AK2104,AL2104)</x:f>
        <x:v>0</x:v>
      </x:c>
      <x:c r="AN2104" t="n">
        <x:v>1</x:v>
      </x:c>
    </x:row>
    <x:row r="2105" ht="23" customHeight="1">
      <x:c r="A2105" s="11" t="str">
        <x:v>688302.SH</x:v>
      </x:c>
      <x:c r="B2105" s="11" t="str">
        <x:v>五年</x:v>
      </x:c>
      <x:c r="C2105" s="11" t="str">
        <x:v>hc1119_later</x:v>
      </x:c>
      <x:c r="D2105" s="11" t="str">
        <x:v>2044-12-31</x:v>
      </x:c>
      <x:c r="E2105" s="11" t="str">
        <x:v>CNY</x:v>
      </x:c>
      <x:c r="F2105" s="11" t="n">
        <x:v>13.229295003422314</x:v>
      </x:c>
      <x:c r="G2105" s="26" t="b">
        <x:v>1</x:v>
      </x:c>
      <x:c r="H2105" s="16" t="n">
        <x:v>0</x:v>
      </x:c>
      <x:c r="I2105" s="16" t="n">
        <x:v>0</x:v>
      </x:c>
      <x:c r="J2105" s="16" t="n">
        <x:v>0</x:v>
      </x:c>
      <x:c r="K2105" s="11" t="n">
        <x:f>CHOOSE('假设'!$B$3,H2105,I2105,J2105)</x:f>
        <x:v>0</x:v>
      </x:c>
      <x:c r="L2105" s="11" t="n">
        <x:f>K2105*'管线假设'!E463*'管线假设'!F463*'管线假设'!G463*IF(E2105="USD",'管线假设'!I463,1)-AM2105</x:f>
        <x:v>0</x:v>
      </x:c>
      <x:c r="M2105" s="11" t="n">
        <x:f>'管线假设'!H463</x:f>
        <x:v>0.14</x:v>
      </x:c>
      <x:c r="N2105" s="11" t="n">
        <x:f>IF(G2105,L2105*AN2105/(1+M2105)^F2105,0)</x:f>
        <x:v>0</x:v>
      </x:c>
      <x:c r="AJ2105" t="n">
        <x:v>0</x:v>
      </x:c>
      <x:c r="AK2105" t="n">
        <x:v>0</x:v>
      </x:c>
      <x:c r="AL2105" t="n">
        <x:v>0</x:v>
      </x:c>
      <x:c r="AM2105" t="n">
        <x:f>CHOOSE('假设'!$B$3,AJ2105,AK2105,AL2105)</x:f>
        <x:v>0</x:v>
      </x:c>
      <x:c r="AN2105" t="n">
        <x:v>1</x:v>
      </x:c>
    </x:row>
    <x:row r="2106" ht="23" customHeight="1">
      <x:c r="A2106" s="11" t="str">
        <x:v>688302.SH</x:v>
      </x:c>
      <x:c r="B2106" s="11" t="str">
        <x:v>五年</x:v>
      </x:c>
      <x:c r="C2106" s="11" t="str">
        <x:v>hc1119_later</x:v>
      </x:c>
      <x:c r="D2106" s="11" t="str">
        <x:v>2045-12-31</x:v>
      </x:c>
      <x:c r="E2106" s="11" t="str">
        <x:v>CNY</x:v>
      </x:c>
      <x:c r="F2106" s="11" t="n">
        <x:v>14.22861054072553</x:v>
      </x:c>
      <x:c r="G2106" s="26" t="b">
        <x:v>1</x:v>
      </x:c>
      <x:c r="H2106" s="16" t="n">
        <x:v>0</x:v>
      </x:c>
      <x:c r="I2106" s="16" t="n">
        <x:v>0</x:v>
      </x:c>
      <x:c r="J2106" s="16" t="n">
        <x:v>0</x:v>
      </x:c>
      <x:c r="K2106" s="11" t="n">
        <x:f>CHOOSE('假设'!$B$3,H2106,I2106,J2106)</x:f>
        <x:v>0</x:v>
      </x:c>
      <x:c r="L2106" s="11" t="n">
        <x:f>K2106*'管线假设'!E463*'管线假设'!F463*'管线假设'!G463*IF(E2106="USD",'管线假设'!I463,1)-AM2106</x:f>
        <x:v>0</x:v>
      </x:c>
      <x:c r="M2106" s="11" t="n">
        <x:f>'管线假设'!H463</x:f>
        <x:v>0.14</x:v>
      </x:c>
      <x:c r="N2106" s="11" t="n">
        <x:f>IF(G2106,L2106*AN2106/(1+M2106)^F2106,0)</x:f>
        <x:v>0</x:v>
      </x:c>
      <x:c r="AJ2106" t="n">
        <x:v>0</x:v>
      </x:c>
      <x:c r="AK2106" t="n">
        <x:v>0</x:v>
      </x:c>
      <x:c r="AL2106" t="n">
        <x:v>0</x:v>
      </x:c>
      <x:c r="AM2106" t="n">
        <x:f>CHOOSE('假设'!$B$3,AJ2106,AK2106,AL2106)</x:f>
        <x:v>0</x:v>
      </x:c>
      <x:c r="AN2106" t="n">
        <x:v>1</x:v>
      </x:c>
    </x:row>
    <x:row r="2107" ht="23" customHeight="1">
      <x:c r="A2107" s="11" t="str">
        <x:v>688302.SH</x:v>
      </x:c>
      <x:c r="B2107" s="11" t="str">
        <x:v>五年</x:v>
      </x:c>
      <x:c r="C2107" s="11" t="str">
        <x:v>hc1119_bcr</x:v>
      </x:c>
      <x:c r="D2107" s="11" t="str">
        <x:v>2027-12-31</x:v>
      </x:c>
      <x:c r="E2107" s="11" t="str">
        <x:v>CNY</x:v>
      </x:c>
      <x:c r="F2107" s="11" t="n">
        <x:v>-3.7727583846680357</x:v>
      </x:c>
      <x:c r="G2107" s="26" t="b">
        <x:v>0</x:v>
      </x:c>
      <x:c r="H2107" s="16" t="n">
        <x:v>0</x:v>
      </x:c>
      <x:c r="I2107" s="16" t="n">
        <x:v>0</x:v>
      </x:c>
      <x:c r="J2107" s="16" t="n">
        <x:v>0</x:v>
      </x:c>
      <x:c r="K2107" s="11" t="n">
        <x:f>CHOOSE('假设'!$B$3,H2107,I2107,J2107)</x:f>
        <x:v>0</x:v>
      </x:c>
      <x:c r="L2107" s="11" t="n">
        <x:f>K2107*'管线假设'!E467*'管线假设'!F467*'管线假设'!G467*IF(E2107="USD",'管线假设'!I467,1)-AM2107</x:f>
        <x:v>0</x:v>
      </x:c>
      <x:c r="M2107" s="11" t="n">
        <x:f>'管线假设'!H467</x:f>
        <x:v>0.14</x:v>
      </x:c>
      <x:c r="N2107" s="11" t="n">
        <x:f>IF(G2107,L2107*AN2107/(1+M2107)^F2107,0)</x:f>
        <x:v>0</x:v>
      </x:c>
      <x:c r="AJ2107" t="n">
        <x:v>0</x:v>
      </x:c>
      <x:c r="AK2107" t="n">
        <x:v>0</x:v>
      </x:c>
      <x:c r="AL2107" t="n">
        <x:v>0</x:v>
      </x:c>
      <x:c r="AM2107" t="n">
        <x:f>CHOOSE('假设'!$B$3,AJ2107,AK2107,AL2107)</x:f>
        <x:v>0</x:v>
      </x:c>
      <x:c r="AN2107" t="n">
        <x:v>1</x:v>
      </x:c>
    </x:row>
    <x:row r="2108" ht="23" customHeight="1">
      <x:c r="A2108" s="11" t="str">
        <x:v>688302.SH</x:v>
      </x:c>
      <x:c r="B2108" s="11" t="str">
        <x:v>五年</x:v>
      </x:c>
      <x:c r="C2108" s="11" t="str">
        <x:v>hc1119_bcr</x:v>
      </x:c>
      <x:c r="D2108" s="11" t="str">
        <x:v>2028-12-31</x:v>
      </x:c>
      <x:c r="E2108" s="11" t="str">
        <x:v>CNY</x:v>
      </x:c>
      <x:c r="F2108" s="11" t="n">
        <x:v>-2.7707049965776864</x:v>
      </x:c>
      <x:c r="G2108" s="26" t="b">
        <x:v>0</x:v>
      </x:c>
      <x:c r="H2108" s="16" t="n">
        <x:v>0</x:v>
      </x:c>
      <x:c r="I2108" s="16" t="n">
        <x:v>0</x:v>
      </x:c>
      <x:c r="J2108" s="16" t="n">
        <x:v>0</x:v>
      </x:c>
      <x:c r="K2108" s="11" t="n">
        <x:f>CHOOSE('假设'!$B$3,H2108,I2108,J2108)</x:f>
        <x:v>0</x:v>
      </x:c>
      <x:c r="L2108" s="11" t="n">
        <x:f>K2108*'管线假设'!E467*'管线假设'!F467*'管线假设'!G467*IF(E2108="USD",'管线假设'!I467,1)-AM2108</x:f>
        <x:v>0</x:v>
      </x:c>
      <x:c r="M2108" s="11" t="n">
        <x:f>'管线假设'!H467</x:f>
        <x:v>0.14</x:v>
      </x:c>
      <x:c r="N2108" s="11" t="n">
        <x:f>IF(G2108,L2108*AN2108/(1+M2108)^F2108,0)</x:f>
        <x:v>0</x:v>
      </x:c>
      <x:c r="AJ2108" t="n">
        <x:v>0</x:v>
      </x:c>
      <x:c r="AK2108" t="n">
        <x:v>0</x:v>
      </x:c>
      <x:c r="AL2108" t="n">
        <x:v>0</x:v>
      </x:c>
      <x:c r="AM2108" t="n">
        <x:f>CHOOSE('假设'!$B$3,AJ2108,AK2108,AL2108)</x:f>
        <x:v>0</x:v>
      </x:c>
      <x:c r="AN2108" t="n">
        <x:v>1</x:v>
      </x:c>
    </x:row>
    <x:row r="2109" ht="23" customHeight="1">
      <x:c r="A2109" s="11" t="str">
        <x:v>688302.SH</x:v>
      </x:c>
      <x:c r="B2109" s="11" t="str">
        <x:v>五年</x:v>
      </x:c>
      <x:c r="C2109" s="11" t="str">
        <x:v>hc1119_bcr</x:v>
      </x:c>
      <x:c r="D2109" s="11" t="str">
        <x:v>2029-12-31</x:v>
      </x:c>
      <x:c r="E2109" s="11" t="str">
        <x:v>CNY</x:v>
      </x:c>
      <x:c r="F2109" s="11" t="n">
        <x:v>-1.7713894592744694</x:v>
      </x:c>
      <x:c r="G2109" s="26" t="b">
        <x:v>0</x:v>
      </x:c>
      <x:c r="H2109" s="16" t="n">
        <x:v>0</x:v>
      </x:c>
      <x:c r="I2109" s="16" t="n">
        <x:v>0</x:v>
      </x:c>
      <x:c r="J2109" s="16" t="n">
        <x:v>0.5</x:v>
      </x:c>
      <x:c r="K2109" s="11" t="n">
        <x:f>CHOOSE('假设'!$B$3,H2109,I2109,J2109)</x:f>
        <x:v>0</x:v>
      </x:c>
      <x:c r="L2109" s="11" t="n">
        <x:f>K2109*'管线假设'!E467*'管线假设'!F467*'管线假设'!G467*IF(E2109="USD",'管线假设'!I467,1)-AM2109</x:f>
        <x:v>0</x:v>
      </x:c>
      <x:c r="M2109" s="11" t="n">
        <x:f>'管线假设'!H467</x:f>
        <x:v>0.14</x:v>
      </x:c>
      <x:c r="N2109" s="11" t="n">
        <x:f>IF(G2109,L2109*AN2109/(1+M2109)^F2109,0)</x:f>
        <x:v>0</x:v>
      </x:c>
      <x:c r="AJ2109" t="n">
        <x:v>0</x:v>
      </x:c>
      <x:c r="AK2109" t="n">
        <x:v>0</x:v>
      </x:c>
      <x:c r="AL2109" t="n">
        <x:v>0</x:v>
      </x:c>
      <x:c r="AM2109" t="n">
        <x:f>CHOOSE('假设'!$B$3,AJ2109,AK2109,AL2109)</x:f>
        <x:v>0</x:v>
      </x:c>
      <x:c r="AN2109" t="n">
        <x:v>1</x:v>
      </x:c>
    </x:row>
    <x:row r="2110" ht="23" customHeight="1">
      <x:c r="A2110" s="11" t="str">
        <x:v>688302.SH</x:v>
      </x:c>
      <x:c r="B2110" s="11" t="str">
        <x:v>五年</x:v>
      </x:c>
      <x:c r="C2110" s="11" t="str">
        <x:v>hc1119_bcr</x:v>
      </x:c>
      <x:c r="D2110" s="11" t="str">
        <x:v>2030-12-31</x:v>
      </x:c>
      <x:c r="E2110" s="11" t="str">
        <x:v>CNY</x:v>
      </x:c>
      <x:c r="F2110" s="11" t="n">
        <x:v>-0.7720739219712526</x:v>
      </x:c>
      <x:c r="G2110" s="26" t="b">
        <x:v>0</x:v>
      </x:c>
      <x:c r="H2110" s="16" t="n">
        <x:v>0</x:v>
      </x:c>
      <x:c r="I2110" s="16" t="n">
        <x:v>0</x:v>
      </x:c>
      <x:c r="J2110" s="16" t="n">
        <x:v>1</x:v>
      </x:c>
      <x:c r="K2110" s="11" t="n">
        <x:f>CHOOSE('假设'!$B$3,H2110,I2110,J2110)</x:f>
        <x:v>0</x:v>
      </x:c>
      <x:c r="L2110" s="11" t="n">
        <x:f>K2110*'管线假设'!E467*'管线假设'!F467*'管线假设'!G467*IF(E2110="USD",'管线假设'!I467,1)-AM2110</x:f>
        <x:v>0</x:v>
      </x:c>
      <x:c r="M2110" s="11" t="n">
        <x:f>'管线假设'!H467</x:f>
        <x:v>0.14</x:v>
      </x:c>
      <x:c r="N2110" s="11" t="n">
        <x:f>IF(G2110,L2110*AN2110/(1+M2110)^F2110,0)</x:f>
        <x:v>0</x:v>
      </x:c>
      <x:c r="AJ2110" t="n">
        <x:v>0</x:v>
      </x:c>
      <x:c r="AK2110" t="n">
        <x:v>0</x:v>
      </x:c>
      <x:c r="AL2110" t="n">
        <x:v>0</x:v>
      </x:c>
      <x:c r="AM2110" t="n">
        <x:f>CHOOSE('假设'!$B$3,AJ2110,AK2110,AL2110)</x:f>
        <x:v>0</x:v>
      </x:c>
      <x:c r="AN2110" t="n">
        <x:v>1</x:v>
      </x:c>
    </x:row>
    <x:row r="2111" ht="23" customHeight="1">
      <x:c r="A2111" s="11" t="str">
        <x:v>688302.SH</x:v>
      </x:c>
      <x:c r="B2111" s="11" t="str">
        <x:v>五年</x:v>
      </x:c>
      <x:c r="C2111" s="11" t="str">
        <x:v>hc1119_bcr</x:v>
      </x:c>
      <x:c r="D2111" s="11" t="str">
        <x:v>2031-12-31</x:v>
      </x:c>
      <x:c r="E2111" s="11" t="str">
        <x:v>CNY</x:v>
      </x:c>
      <x:c r="F2111" s="11" t="n">
        <x:v>0.2272416153319644</x:v>
      </x:c>
      <x:c r="G2111" s="26" t="b">
        <x:v>1</x:v>
      </x:c>
      <x:c r="H2111" s="16" t="n">
        <x:v>0</x:v>
      </x:c>
      <x:c r="I2111" s="16" t="n">
        <x:v>0.3</x:v>
      </x:c>
      <x:c r="J2111" s="16" t="n">
        <x:v>1.5</x:v>
      </x:c>
      <x:c r="K2111" s="11" t="n">
        <x:f>CHOOSE('假设'!$B$3,H2111,I2111,J2111)</x:f>
        <x:v>0.3</x:v>
      </x:c>
      <x:c r="L2111" s="11" t="n">
        <x:f>K2111*'管线假设'!E467*'管线假设'!F467*'管线假设'!G467*IF(E2111="USD",'管线假设'!I467,1)-AM2111</x:f>
        <x:v>0.04694999999999999</x:v>
      </x:c>
      <x:c r="M2111" s="11" t="n">
        <x:f>'管线假设'!H467</x:f>
        <x:v>0.14</x:v>
      </x:c>
      <x:c r="N2111" s="11" t="n">
        <x:f>IF(G2111,L2111*AN2111/(1+M2111)^F2111,0)</x:f>
        <x:v>0.045572667124961524</x:v>
      </x:c>
      <x:c r="AJ2111" t="n">
        <x:v>0</x:v>
      </x:c>
      <x:c r="AK2111" t="n">
        <x:v>0</x:v>
      </x:c>
      <x:c r="AL2111" t="n">
        <x:v>0</x:v>
      </x:c>
      <x:c r="AM2111" t="n">
        <x:f>CHOOSE('假设'!$B$3,AJ2111,AK2111,AL2111)</x:f>
        <x:v>0</x:v>
      </x:c>
      <x:c r="AN2111" t="n">
        <x:v>1</x:v>
      </x:c>
    </x:row>
    <x:row r="2112" ht="23" customHeight="1">
      <x:c r="A2112" s="11" t="str">
        <x:v>688302.SH</x:v>
      </x:c>
      <x:c r="B2112" s="11" t="str">
        <x:v>五年</x:v>
      </x:c>
      <x:c r="C2112" s="11" t="str">
        <x:v>hc1119_bcr</x:v>
      </x:c>
      <x:c r="D2112" s="11" t="str">
        <x:v>2032-12-31</x:v>
      </x:c>
      <x:c r="E2112" s="11" t="str">
        <x:v>CNY</x:v>
      </x:c>
      <x:c r="F2112" s="11" t="n">
        <x:v>1.2292950034223136</x:v>
      </x:c>
      <x:c r="G2112" s="26" t="b">
        <x:v>1</x:v>
      </x:c>
      <x:c r="H2112" s="16" t="n">
        <x:v>0</x:v>
      </x:c>
      <x:c r="I2112" s="16" t="n">
        <x:v>0.6</x:v>
      </x:c>
      <x:c r="J2112" s="16" t="n">
        <x:v>2</x:v>
      </x:c>
      <x:c r="K2112" s="11" t="n">
        <x:f>CHOOSE('假设'!$B$3,H2112,I2112,J2112)</x:f>
        <x:v>0.6</x:v>
      </x:c>
      <x:c r="L2112" s="11" t="n">
        <x:f>K2112*'管线假设'!E467*'管线假设'!F467*'管线假设'!G467*IF(E2112="USD",'管线假设'!I467,1)-AM2112</x:f>
        <x:v>0.09389999999999998</x:v>
      </x:c>
      <x:c r="M2112" s="11" t="n">
        <x:f>'管线假设'!H467</x:f>
        <x:v>0.14</x:v>
      </x:c>
      <x:c r="N2112" s="11" t="n">
        <x:f>IF(G2112,L2112*AN2112/(1+M2112)^F2112,0)</x:f>
        <x:v>0.07993053923301752</x:v>
      </x:c>
      <x:c r="AJ2112" t="n">
        <x:v>0</x:v>
      </x:c>
      <x:c r="AK2112" t="n">
        <x:v>0</x:v>
      </x:c>
      <x:c r="AL2112" t="n">
        <x:v>0</x:v>
      </x:c>
      <x:c r="AM2112" t="n">
        <x:f>CHOOSE('假设'!$B$3,AJ2112,AK2112,AL2112)</x:f>
        <x:v>0</x:v>
      </x:c>
      <x:c r="AN2112" t="n">
        <x:v>1</x:v>
      </x:c>
    </x:row>
    <x:row r="2113" ht="23" customHeight="1">
      <x:c r="A2113" s="11" t="str">
        <x:v>688302.SH</x:v>
      </x:c>
      <x:c r="B2113" s="11" t="str">
        <x:v>五年</x:v>
      </x:c>
      <x:c r="C2113" s="11" t="str">
        <x:v>hc1119_bcr</x:v>
      </x:c>
      <x:c r="D2113" s="11" t="str">
        <x:v>2033-12-31</x:v>
      </x:c>
      <x:c r="E2113" s="11" t="str">
        <x:v>CNY</x:v>
      </x:c>
      <x:c r="F2113" s="11" t="n">
        <x:v>2.2286105407255303</x:v>
      </x:c>
      <x:c r="G2113" s="26" t="b">
        <x:v>1</x:v>
      </x:c>
      <x:c r="H2113" s="16" t="n">
        <x:v>0</x:v>
      </x:c>
      <x:c r="I2113" s="16" t="n">
        <x:v>0.9</x:v>
      </x:c>
      <x:c r="J2113" s="16" t="n">
        <x:v>2.5</x:v>
      </x:c>
      <x:c r="K2113" s="11" t="n">
        <x:f>CHOOSE('假设'!$B$3,H2113,I2113,J2113)</x:f>
        <x:v>0.9</x:v>
      </x:c>
      <x:c r="L2113" s="11" t="n">
        <x:f>K2113*'管线假设'!E467*'管线假设'!F467*'管线假设'!G467*IF(E2113="USD",'管线假设'!I467,1)-AM2113</x:f>
        <x:v>0.14084999999999998</x:v>
      </x:c>
      <x:c r="M2113" s="11" t="n">
        <x:f>'管线假设'!H467</x:f>
        <x:v>0.14</x:v>
      </x:c>
      <x:c r="N2113" s="11" t="n">
        <x:f>IF(G2113,L2113*AN2113/(1+M2113)^F2113,0)</x:f>
        <x:v>0.10518119479156196</x:v>
      </x:c>
      <x:c r="AJ2113" t="n">
        <x:v>0</x:v>
      </x:c>
      <x:c r="AK2113" t="n">
        <x:v>0</x:v>
      </x:c>
      <x:c r="AL2113" t="n">
        <x:v>0</x:v>
      </x:c>
      <x:c r="AM2113" t="n">
        <x:f>CHOOSE('假设'!$B$3,AJ2113,AK2113,AL2113)</x:f>
        <x:v>0</x:v>
      </x:c>
      <x:c r="AN2113" t="n">
        <x:v>1</x:v>
      </x:c>
    </x:row>
    <x:row r="2114" ht="23" customHeight="1">
      <x:c r="A2114" s="11" t="str">
        <x:v>688302.SH</x:v>
      </x:c>
      <x:c r="B2114" s="11" t="str">
        <x:v>五年</x:v>
      </x:c>
      <x:c r="C2114" s="11" t="str">
        <x:v>hc1119_bcr</x:v>
      </x:c>
      <x:c r="D2114" s="11" t="str">
        <x:v>2034-12-31</x:v>
      </x:c>
      <x:c r="E2114" s="11" t="str">
        <x:v>CNY</x:v>
      </x:c>
      <x:c r="F2114" s="11" t="n">
        <x:v>3.2279260780287475</x:v>
      </x:c>
      <x:c r="G2114" s="26" t="b">
        <x:v>1</x:v>
      </x:c>
      <x:c r="H2114" s="16" t="n">
        <x:v>0.12</x:v>
      </x:c>
      <x:c r="I2114" s="16" t="n">
        <x:v>1.2</x:v>
      </x:c>
      <x:c r="J2114" s="16" t="n">
        <x:v>3</x:v>
      </x:c>
      <x:c r="K2114" s="11" t="n">
        <x:f>CHOOSE('假设'!$B$3,H2114,I2114,J2114)</x:f>
        <x:v>1.2</x:v>
      </x:c>
      <x:c r="L2114" s="11" t="n">
        <x:f>K2114*'管线假设'!E467*'管线假设'!F467*'管线假设'!G467*IF(E2114="USD",'管线假设'!I467,1)-AM2114</x:f>
        <x:v>0.18779999999999997</x:v>
      </x:c>
      <x:c r="M2114" s="11" t="n">
        <x:f>'管线假设'!H467</x:f>
        <x:v>0.14</x:v>
      </x:c>
      <x:c r="N2114" s="11" t="n">
        <x:f>IF(G2114,L2114*AN2114/(1+M2114)^F2114,0)</x:f>
        <x:v>0.12302997459697232</x:v>
      </x:c>
      <x:c r="AJ2114" t="n">
        <x:v>0</x:v>
      </x:c>
      <x:c r="AK2114" t="n">
        <x:v>0</x:v>
      </x:c>
      <x:c r="AL2114" t="n">
        <x:v>0</x:v>
      </x:c>
      <x:c r="AM2114" t="n">
        <x:f>CHOOSE('假设'!$B$3,AJ2114,AK2114,AL2114)</x:f>
        <x:v>0</x:v>
      </x:c>
      <x:c r="AN2114" t="n">
        <x:v>1</x:v>
      </x:c>
    </x:row>
    <x:row r="2115" ht="23" customHeight="1">
      <x:c r="A2115" s="11" t="str">
        <x:v>688302.SH</x:v>
      </x:c>
      <x:c r="B2115" s="11" t="str">
        <x:v>五年</x:v>
      </x:c>
      <x:c r="C2115" s="11" t="str">
        <x:v>hc1119_bcr</x:v>
      </x:c>
      <x:c r="D2115" s="11" t="str">
        <x:v>2035-12-31</x:v>
      </x:c>
      <x:c r="E2115" s="11" t="str">
        <x:v>CNY</x:v>
      </x:c>
      <x:c r="F2115" s="11" t="n">
        <x:v>4.227241615331964</x:v>
      </x:c>
      <x:c r="G2115" s="26" t="b">
        <x:v>1</x:v>
      </x:c>
      <x:c r="H2115" s="16" t="n">
        <x:v>0.24</x:v>
      </x:c>
      <x:c r="I2115" s="16" t="n">
        <x:v>1.5</x:v>
      </x:c>
      <x:c r="J2115" s="16" t="n">
        <x:v>2.61</x:v>
      </x:c>
      <x:c r="K2115" s="11" t="n">
        <x:f>CHOOSE('假设'!$B$3,H2115,I2115,J2115)</x:f>
        <x:v>1.5</x:v>
      </x:c>
      <x:c r="L2115" s="11" t="n">
        <x:f>K2115*'管线假设'!E467*'管线假设'!F467*'管线假设'!G467*IF(E2115="USD",'管线假设'!I467,1)-AM2115</x:f>
        <x:v>0.23474999999999996</x:v>
      </x:c>
      <x:c r="M2115" s="11" t="n">
        <x:f>'管线假设'!H467</x:f>
        <x:v>0.14</x:v>
      </x:c>
      <x:c r="N2115" s="11" t="n">
        <x:f>IF(G2115,L2115*AN2115/(1+M2115)^F2115,0)</x:f>
        <x:v>0.13491338695923266</x:v>
      </x:c>
      <x:c r="AJ2115" t="n">
        <x:v>0</x:v>
      </x:c>
      <x:c r="AK2115" t="n">
        <x:v>0</x:v>
      </x:c>
      <x:c r="AL2115" t="n">
        <x:v>0</x:v>
      </x:c>
      <x:c r="AM2115" t="n">
        <x:f>CHOOSE('假设'!$B$3,AJ2115,AK2115,AL2115)</x:f>
        <x:v>0</x:v>
      </x:c>
      <x:c r="AN2115" t="n">
        <x:v>1</x:v>
      </x:c>
    </x:row>
    <x:row r="2116" ht="23" customHeight="1">
      <x:c r="A2116" s="11" t="str">
        <x:v>688302.SH</x:v>
      </x:c>
      <x:c r="B2116" s="11" t="str">
        <x:v>五年</x:v>
      </x:c>
      <x:c r="C2116" s="11" t="str">
        <x:v>hc1119_bcr</x:v>
      </x:c>
      <x:c r="D2116" s="11" t="str">
        <x:v>2036-12-31</x:v>
      </x:c>
      <x:c r="E2116" s="11" t="str">
        <x:v>CNY</x:v>
      </x:c>
      <x:c r="F2116" s="11" t="n">
        <x:v>5.229295003422314</x:v>
      </x:c>
      <x:c r="G2116" s="26" t="b">
        <x:v>1</x:v>
      </x:c>
      <x:c r="H2116" s="16" t="n">
        <x:v>0.36</x:v>
      </x:c>
      <x:c r="I2116" s="16" t="n">
        <x:v>1.8</x:v>
      </x:c>
      <x:c r="J2116" s="16" t="n">
        <x:v>2.2199999999999998</x:v>
      </x:c>
      <x:c r="K2116" s="11" t="n">
        <x:f>CHOOSE('假设'!$B$3,H2116,I2116,J2116)</x:f>
        <x:v>1.8</x:v>
      </x:c>
      <x:c r="L2116" s="11" t="n">
        <x:f>K2116*'管线假设'!E467*'管线假设'!F467*'管线假设'!G467*IF(E2116="USD",'管线假设'!I467,1)-AM2116</x:f>
        <x:v>0.28169999999999995</x:v>
      </x:c>
      <x:c r="M2116" s="11" t="n">
        <x:f>'管线假设'!H467</x:f>
        <x:v>0.14</x:v>
      </x:c>
      <x:c r="N2116" s="11" t="n">
        <x:f>IF(G2116,L2116*AN2116/(1+M2116)^F2116,0)</x:f>
        <x:v>0.14197588751830145</x:v>
      </x:c>
      <x:c r="AJ2116" t="n">
        <x:v>0</x:v>
      </x:c>
      <x:c r="AK2116" t="n">
        <x:v>0</x:v>
      </x:c>
      <x:c r="AL2116" t="n">
        <x:v>0</x:v>
      </x:c>
      <x:c r="AM2116" t="n">
        <x:f>CHOOSE('假设'!$B$3,AJ2116,AK2116,AL2116)</x:f>
        <x:v>0</x:v>
      </x:c>
      <x:c r="AN2116" t="n">
        <x:v>1</x:v>
      </x:c>
    </x:row>
    <x:row r="2117" ht="23" customHeight="1">
      <x:c r="A2117" s="11" t="str">
        <x:v>688302.SH</x:v>
      </x:c>
      <x:c r="B2117" s="11" t="str">
        <x:v>五年</x:v>
      </x:c>
      <x:c r="C2117" s="11" t="str">
        <x:v>hc1119_bcr</x:v>
      </x:c>
      <x:c r="D2117" s="11" t="str">
        <x:v>2037-12-31</x:v>
      </x:c>
      <x:c r="E2117" s="11" t="str">
        <x:v>CNY</x:v>
      </x:c>
      <x:c r="F2117" s="11" t="n">
        <x:v>6.228610540725531</x:v>
      </x:c>
      <x:c r="G2117" s="26" t="b">
        <x:v>1</x:v>
      </x:c>
      <x:c r="H2117" s="16" t="n">
        <x:v>0.48</x:v>
      </x:c>
      <x:c r="I2117" s="16" t="n">
        <x:v>1.566</x:v>
      </x:c>
      <x:c r="J2117" s="16" t="n">
        <x:v>1.83</x:v>
      </x:c>
      <x:c r="K2117" s="11" t="n">
        <x:f>CHOOSE('假设'!$B$3,H2117,I2117,J2117)</x:f>
        <x:v>1.566</x:v>
      </x:c>
      <x:c r="L2117" s="11" t="n">
        <x:f>K2117*'管线假设'!E467*'管线假设'!F467*'管线假设'!G467*IF(E2117="USD",'管线假设'!I467,1)-AM2117</x:f>
        <x:v>0.24507899999999996</x:v>
      </x:c>
      <x:c r="M2117" s="11" t="n">
        <x:f>'管线假设'!H467</x:f>
        <x:v>0.14</x:v>
      </x:c>
      <x:c r="N2117" s="11" t="n">
        <x:f>IF(G2117,L2117*AN2117/(1+M2117)^F2117,0)</x:f>
        <x:v>0.10835973711618972</x:v>
      </x:c>
      <x:c r="AJ2117" t="n">
        <x:v>0</x:v>
      </x:c>
      <x:c r="AK2117" t="n">
        <x:v>0</x:v>
      </x:c>
      <x:c r="AL2117" t="n">
        <x:v>0</x:v>
      </x:c>
      <x:c r="AM2117" t="n">
        <x:f>CHOOSE('假设'!$B$3,AJ2117,AK2117,AL2117)</x:f>
        <x:v>0</x:v>
      </x:c>
      <x:c r="AN2117" t="n">
        <x:v>1</x:v>
      </x:c>
    </x:row>
    <x:row r="2118" ht="23" customHeight="1">
      <x:c r="A2118" s="11" t="str">
        <x:v>688302.SH</x:v>
      </x:c>
      <x:c r="B2118" s="11" t="str">
        <x:v>五年</x:v>
      </x:c>
      <x:c r="C2118" s="11" t="str">
        <x:v>hc1119_bcr</x:v>
      </x:c>
      <x:c r="D2118" s="11" t="str">
        <x:v>2038-12-31</x:v>
      </x:c>
      <x:c r="E2118" s="11" t="str">
        <x:v>CNY</x:v>
      </x:c>
      <x:c r="F2118" s="11" t="n">
        <x:v>7.227926078028747</x:v>
      </x:c>
      <x:c r="G2118" s="26" t="b">
        <x:v>1</x:v>
      </x:c>
      <x:c r="H2118" s="16" t="n">
        <x:v>0.6</x:v>
      </x:c>
      <x:c r="I2118" s="16" t="n">
        <x:v>1.332</x:v>
      </x:c>
      <x:c r="J2118" s="16" t="n">
        <x:v>1.44</x:v>
      </x:c>
      <x:c r="K2118" s="11" t="n">
        <x:f>CHOOSE('假设'!$B$3,H2118,I2118,J2118)</x:f>
        <x:v>1.332</x:v>
      </x:c>
      <x:c r="L2118" s="11" t="n">
        <x:f>K2118*'管线假设'!E467*'管线假设'!F467*'管线假设'!G467*IF(E2118="USD",'管线假设'!I467,1)-AM2118</x:f>
        <x:v>0.20845799999999998</x:v>
      </x:c>
      <x:c r="M2118" s="11" t="n">
        <x:f>'管线假设'!H467</x:f>
        <x:v>0.14</x:v>
      </x:c>
      <x:c r="N2118" s="11" t="n">
        <x:f>IF(G2118,L2118*AN2118/(1+M2118)^F2118,0)</x:f>
        <x:v>0.08085641984748723</x:v>
      </x:c>
      <x:c r="AJ2118" t="n">
        <x:v>0</x:v>
      </x:c>
      <x:c r="AK2118" t="n">
        <x:v>0</x:v>
      </x:c>
      <x:c r="AL2118" t="n">
        <x:v>0</x:v>
      </x:c>
      <x:c r="AM2118" t="n">
        <x:f>CHOOSE('假设'!$B$3,AJ2118,AK2118,AL2118)</x:f>
        <x:v>0</x:v>
      </x:c>
      <x:c r="AN2118" t="n">
        <x:v>1</x:v>
      </x:c>
    </x:row>
    <x:row r="2119" ht="23" customHeight="1">
      <x:c r="A2119" s="11" t="str">
        <x:v>688302.SH</x:v>
      </x:c>
      <x:c r="B2119" s="11" t="str">
        <x:v>五年</x:v>
      </x:c>
      <x:c r="C2119" s="11" t="str">
        <x:v>hc1119_bcr</x:v>
      </x:c>
      <x:c r="D2119" s="11" t="str">
        <x:v>2039-12-31</x:v>
      </x:c>
      <x:c r="E2119" s="11" t="str">
        <x:v>CNY</x:v>
      </x:c>
      <x:c r="F2119" s="11" t="n">
        <x:v>8.227241615331964</x:v>
      </x:c>
      <x:c r="G2119" s="26" t="b">
        <x:v>1</x:v>
      </x:c>
      <x:c r="H2119" s="16" t="n">
        <x:v>0.522</x:v>
      </x:c>
      <x:c r="I2119" s="16" t="n">
        <x:v>1.098</x:v>
      </x:c>
      <x:c r="J2119" s="16" t="n">
        <x:v>1.0499999999999998</x:v>
      </x:c>
      <x:c r="K2119" s="11" t="n">
        <x:f>CHOOSE('假设'!$B$3,H2119,I2119,J2119)</x:f>
        <x:v>1.098</x:v>
      </x:c>
      <x:c r="L2119" s="11" t="n">
        <x:f>K2119*'管线假设'!E467*'管线假设'!F467*'管线假设'!G467*IF(E2119="USD",'管线假设'!I467,1)-AM2119</x:f>
        <x:v>0.171837</x:v>
      </x:c>
      <x:c r="M2119" s="11" t="n">
        <x:f>'管线假设'!H467</x:f>
        <x:v>0.14</x:v>
      </x:c>
      <x:c r="N2119" s="11" t="n">
        <x:f>IF(G2119,L2119*AN2119/(1+M2119)^F2119,0)</x:f>
        <x:v>0.058471834678538705</x:v>
      </x:c>
      <x:c r="AJ2119" t="n">
        <x:v>0</x:v>
      </x:c>
      <x:c r="AK2119" t="n">
        <x:v>0</x:v>
      </x:c>
      <x:c r="AL2119" t="n">
        <x:v>0</x:v>
      </x:c>
      <x:c r="AM2119" t="n">
        <x:f>CHOOSE('假设'!$B$3,AJ2119,AK2119,AL2119)</x:f>
        <x:v>0</x:v>
      </x:c>
      <x:c r="AN2119" t="n">
        <x:v>1</x:v>
      </x:c>
    </x:row>
    <x:row r="2120" ht="23" customHeight="1">
      <x:c r="A2120" s="11" t="str">
        <x:v>688302.SH</x:v>
      </x:c>
      <x:c r="B2120" s="11" t="str">
        <x:v>五年</x:v>
      </x:c>
      <x:c r="C2120" s="11" t="str">
        <x:v>hc1119_bcr</x:v>
      </x:c>
      <x:c r="D2120" s="11" t="str">
        <x:v>2040-12-31</x:v>
      </x:c>
      <x:c r="E2120" s="11" t="str">
        <x:v>CNY</x:v>
      </x:c>
      <x:c r="F2120" s="11" t="n">
        <x:v>9.229295003422314</x:v>
      </x:c>
      <x:c r="G2120" s="26" t="b">
        <x:v>1</x:v>
      </x:c>
      <x:c r="H2120" s="16" t="n">
        <x:v>0.444</x:v>
      </x:c>
      <x:c r="I2120" s="16" t="n">
        <x:v>0.864</x:v>
      </x:c>
      <x:c r="J2120" s="16" t="n">
        <x:v>0.6599999999999999</x:v>
      </x:c>
      <x:c r="K2120" s="11" t="n">
        <x:f>CHOOSE('假设'!$B$3,H2120,I2120,J2120)</x:f>
        <x:v>0.864</x:v>
      </x:c>
      <x:c r="L2120" s="11" t="n">
        <x:f>K2120*'管线假设'!E467*'管线假设'!F467*'管线假设'!G467*IF(E2120="USD",'管线假设'!I467,1)-AM2120</x:f>
        <x:v>0.13521599999999998</x:v>
      </x:c>
      <x:c r="M2120" s="11" t="n">
        <x:f>'管线假设'!H467</x:f>
        <x:v>0.14</x:v>
      </x:c>
      <x:c r="N2120" s="11" t="n">
        <x:f>IF(G2120,L2120*AN2120/(1+M2120)^F2120,0)</x:f>
        <x:v>0.040349338973623076</x:v>
      </x:c>
      <x:c r="AJ2120" t="n">
        <x:v>0</x:v>
      </x:c>
      <x:c r="AK2120" t="n">
        <x:v>0</x:v>
      </x:c>
      <x:c r="AL2120" t="n">
        <x:v>0</x:v>
      </x:c>
      <x:c r="AM2120" t="n">
        <x:f>CHOOSE('假设'!$B$3,AJ2120,AK2120,AL2120)</x:f>
        <x:v>0</x:v>
      </x:c>
      <x:c r="AN2120" t="n">
        <x:v>1</x:v>
      </x:c>
    </x:row>
    <x:row r="2121" ht="23" customHeight="1">
      <x:c r="A2121" s="11" t="str">
        <x:v>688302.SH</x:v>
      </x:c>
      <x:c r="B2121" s="11" t="str">
        <x:v>五年</x:v>
      </x:c>
      <x:c r="C2121" s="11" t="str">
        <x:v>hc1119_bcr</x:v>
      </x:c>
      <x:c r="D2121" s="11" t="str">
        <x:v>2041-12-31</x:v>
      </x:c>
      <x:c r="E2121" s="11" t="str">
        <x:v>CNY</x:v>
      </x:c>
      <x:c r="F2121" s="11" t="n">
        <x:v>10.22861054072553</x:v>
      </x:c>
      <x:c r="G2121" s="26" t="b">
        <x:v>1</x:v>
      </x:c>
      <x:c r="H2121" s="16" t="n">
        <x:v>0.366</x:v>
      </x:c>
      <x:c r="I2121" s="16" t="n">
        <x:v>0.63</x:v>
      </x:c>
      <x:c r="J2121" s="16" t="n">
        <x:v>0.2699999999999999</x:v>
      </x:c>
      <x:c r="K2121" s="11" t="n">
        <x:f>CHOOSE('假设'!$B$3,H2121,I2121,J2121)</x:f>
        <x:v>0.63</x:v>
      </x:c>
      <x:c r="L2121" s="11" t="n">
        <x:f>K2121*'管线假设'!E467*'管线假设'!F467*'管线假设'!G467*IF(E2121="USD",'管线假设'!I467,1)-AM2121</x:f>
        <x:v>0.09859499999999999</x:v>
      </x:c>
      <x:c r="M2121" s="11" t="n">
        <x:f>'管线假设'!H467</x:f>
        <x:v>0.14</x:v>
      </x:c>
      <x:c r="N2121" s="11" t="n">
        <x:f>IF(G2121,L2121*AN2121/(1+M2121)^F2121,0)</x:f>
        <x:v>0.025810554163942585</x:v>
      </x:c>
      <x:c r="AJ2121" t="n">
        <x:v>0</x:v>
      </x:c>
      <x:c r="AK2121" t="n">
        <x:v>0</x:v>
      </x:c>
      <x:c r="AL2121" t="n">
        <x:v>0</x:v>
      </x:c>
      <x:c r="AM2121" t="n">
        <x:f>CHOOSE('假设'!$B$3,AJ2121,AK2121,AL2121)</x:f>
        <x:v>0</x:v>
      </x:c>
      <x:c r="AN2121" t="n">
        <x:v>1</x:v>
      </x:c>
    </x:row>
    <x:row r="2122" ht="23" customHeight="1">
      <x:c r="A2122" s="11" t="str">
        <x:v>688302.SH</x:v>
      </x:c>
      <x:c r="B2122" s="11" t="str">
        <x:v>五年</x:v>
      </x:c>
      <x:c r="C2122" s="11" t="str">
        <x:v>hc1119_bcr</x:v>
      </x:c>
      <x:c r="D2122" s="11" t="str">
        <x:v>2042-12-31</x:v>
      </x:c>
      <x:c r="E2122" s="11" t="str">
        <x:v>CNY</x:v>
      </x:c>
      <x:c r="F2122" s="11" t="n">
        <x:v>11.227926078028748</x:v>
      </x:c>
      <x:c r="G2122" s="26" t="b">
        <x:v>1</x:v>
      </x:c>
      <x:c r="H2122" s="16" t="n">
        <x:v>0.288</x:v>
      </x:c>
      <x:c r="I2122" s="16" t="n">
        <x:v>0.39599999999999996</x:v>
      </x:c>
      <x:c r="J2122" s="16" t="n">
        <x:v>0</x:v>
      </x:c>
      <x:c r="K2122" s="11" t="n">
        <x:f>CHOOSE('假设'!$B$3,H2122,I2122,J2122)</x:f>
        <x:v>0.39599999999999996</x:v>
      </x:c>
      <x:c r="L2122" s="11" t="n">
        <x:f>K2122*'管线假设'!E467*'管线假设'!F467*'管线假设'!G467*IF(E2122="USD",'管线假设'!I467,1)-AM2122</x:f>
        <x:v>0.06197399999999998</x:v>
      </x:c>
      <x:c r="M2122" s="11" t="n">
        <x:f>'管线假设'!H467</x:f>
        <x:v>0.14</x:v>
      </x:c>
      <x:c r="N2122" s="11" t="n">
        <x:f>IF(G2122,L2122*AN2122/(1+M2122)^F2122,0)</x:f>
        <x:v>0.014232659632299133</x:v>
      </x:c>
      <x:c r="AJ2122" t="n">
        <x:v>0</x:v>
      </x:c>
      <x:c r="AK2122" t="n">
        <x:v>0</x:v>
      </x:c>
      <x:c r="AL2122" t="n">
        <x:v>0</x:v>
      </x:c>
      <x:c r="AM2122" t="n">
        <x:f>CHOOSE('假设'!$B$3,AJ2122,AK2122,AL2122)</x:f>
        <x:v>0</x:v>
      </x:c>
      <x:c r="AN2122" t="n">
        <x:v>1</x:v>
      </x:c>
    </x:row>
    <x:row r="2123" ht="23" customHeight="1">
      <x:c r="A2123" s="11" t="str">
        <x:v>688302.SH</x:v>
      </x:c>
      <x:c r="B2123" s="11" t="str">
        <x:v>五年</x:v>
      </x:c>
      <x:c r="C2123" s="11" t="str">
        <x:v>hc1119_bcr</x:v>
      </x:c>
      <x:c r="D2123" s="11" t="str">
        <x:v>2043-12-31</x:v>
      </x:c>
      <x:c r="E2123" s="11" t="str">
        <x:v>CNY</x:v>
      </x:c>
      <x:c r="F2123" s="11" t="n">
        <x:v>12.227241615331964</x:v>
      </x:c>
      <x:c r="G2123" s="26" t="b">
        <x:v>1</x:v>
      </x:c>
      <x:c r="H2123" s="16" t="n">
        <x:v>0.21</x:v>
      </x:c>
      <x:c r="I2123" s="16" t="n">
        <x:v>0.16199999999999995</x:v>
      </x:c>
      <x:c r="J2123" s="16" t="n">
        <x:v>0</x:v>
      </x:c>
      <x:c r="K2123" s="11" t="n">
        <x:f>CHOOSE('假设'!$B$3,H2123,I2123,J2123)</x:f>
        <x:v>0.16199999999999995</x:v>
      </x:c>
      <x:c r="L2123" s="11" t="n">
        <x:f>K2123*'管线假设'!E467*'管线假设'!F467*'管线假设'!G467*IF(E2123="USD",'管线假设'!I467,1)-AM2123</x:f>
        <x:v>0.025352999999999987</x:v>
      </x:c>
      <x:c r="M2123" s="11" t="n">
        <x:f>'管线假设'!H467</x:f>
        <x:v>0.14</x:v>
      </x:c>
      <x:c r="N2123" s="11" t="n">
        <x:f>IF(G2123,L2123*AN2123/(1+M2123)^F2123,0)</x:f>
        <x:v>0.005107871817267498</x:v>
      </x:c>
      <x:c r="AJ2123" t="n">
        <x:v>0</x:v>
      </x:c>
      <x:c r="AK2123" t="n">
        <x:v>0</x:v>
      </x:c>
      <x:c r="AL2123" t="n">
        <x:v>0</x:v>
      </x:c>
      <x:c r="AM2123" t="n">
        <x:f>CHOOSE('假设'!$B$3,AJ2123,AK2123,AL2123)</x:f>
        <x:v>0</x:v>
      </x:c>
      <x:c r="AN2123" t="n">
        <x:v>1</x:v>
      </x:c>
    </x:row>
    <x:row r="2124" ht="23" customHeight="1">
      <x:c r="A2124" s="11" t="str">
        <x:v>688302.SH</x:v>
      </x:c>
      <x:c r="B2124" s="11" t="str">
        <x:v>五年</x:v>
      </x:c>
      <x:c r="C2124" s="11" t="str">
        <x:v>hc1119_bcr</x:v>
      </x:c>
      <x:c r="D2124" s="11" t="str">
        <x:v>2044-12-31</x:v>
      </x:c>
      <x:c r="E2124" s="11" t="str">
        <x:v>CNY</x:v>
      </x:c>
      <x:c r="F2124" s="11" t="n">
        <x:v>13.229295003422314</x:v>
      </x:c>
      <x:c r="G2124" s="26" t="b">
        <x:v>1</x:v>
      </x:c>
      <x:c r="H2124" s="16" t="n">
        <x:v>0.13199999999999998</x:v>
      </x:c>
      <x:c r="I2124" s="16" t="n">
        <x:v>0</x:v>
      </x:c>
      <x:c r="J2124" s="16" t="n">
        <x:v>0</x:v>
      </x:c>
      <x:c r="K2124" s="11" t="n">
        <x:f>CHOOSE('假设'!$B$3,H2124,I2124,J2124)</x:f>
        <x:v>0</x:v>
      </x:c>
      <x:c r="L2124" s="11" t="n">
        <x:f>K2124*'管线假设'!E467*'管线假设'!F467*'管线假设'!G467*IF(E2124="USD",'管线假设'!I467,1)-AM2124</x:f>
        <x:v>0</x:v>
      </x:c>
      <x:c r="M2124" s="11" t="n">
        <x:f>'管线假设'!H467</x:f>
        <x:v>0.14</x:v>
      </x:c>
      <x:c r="N2124" s="11" t="n">
        <x:f>IF(G2124,L2124*AN2124/(1+M2124)^F2124,0)</x:f>
        <x:v>0</x:v>
      </x:c>
      <x:c r="AJ2124" t="n">
        <x:v>0</x:v>
      </x:c>
      <x:c r="AK2124" t="n">
        <x:v>0</x:v>
      </x:c>
      <x:c r="AL2124" t="n">
        <x:v>0</x:v>
      </x:c>
      <x:c r="AM2124" t="n">
        <x:f>CHOOSE('假设'!$B$3,AJ2124,AK2124,AL2124)</x:f>
        <x:v>0</x:v>
      </x:c>
      <x:c r="AN2124" t="n">
        <x:v>1</x:v>
      </x:c>
    </x:row>
    <x:row r="2125" ht="23" customHeight="1">
      <x:c r="A2125" s="11" t="str">
        <x:v>688302.SH</x:v>
      </x:c>
      <x:c r="B2125" s="11" t="str">
        <x:v>五年</x:v>
      </x:c>
      <x:c r="C2125" s="11" t="str">
        <x:v>hc1119_bcr</x:v>
      </x:c>
      <x:c r="D2125" s="11" t="str">
        <x:v>2045-12-31</x:v>
      </x:c>
      <x:c r="E2125" s="11" t="str">
        <x:v>CNY</x:v>
      </x:c>
      <x:c r="F2125" s="11" t="n">
        <x:v>14.22861054072553</x:v>
      </x:c>
      <x:c r="G2125" s="26" t="b">
        <x:v>1</x:v>
      </x:c>
      <x:c r="H2125" s="16" t="n">
        <x:v>0.05399999999999998</x:v>
      </x:c>
      <x:c r="I2125" s="16" t="n">
        <x:v>0</x:v>
      </x:c>
      <x:c r="J2125" s="16" t="n">
        <x:v>0</x:v>
      </x:c>
      <x:c r="K2125" s="11" t="n">
        <x:f>CHOOSE('假设'!$B$3,H2125,I2125,J2125)</x:f>
        <x:v>0</x:v>
      </x:c>
      <x:c r="L2125" s="11" t="n">
        <x:f>K2125*'管线假设'!E467*'管线假设'!F467*'管线假设'!G467*IF(E2125="USD",'管线假设'!I467,1)-AM2125</x:f>
        <x:v>0</x:v>
      </x:c>
      <x:c r="M2125" s="11" t="n">
        <x:f>'管线假设'!H467</x:f>
        <x:v>0.14</x:v>
      </x:c>
      <x:c r="N2125" s="11" t="n">
        <x:f>IF(G2125,L2125*AN2125/(1+M2125)^F2125,0)</x:f>
        <x:v>0</x:v>
      </x:c>
      <x:c r="AJ2125" t="n">
        <x:v>0</x:v>
      </x:c>
      <x:c r="AK2125" t="n">
        <x:v>0</x:v>
      </x:c>
      <x:c r="AL2125" t="n">
        <x:v>0</x:v>
      </x:c>
      <x:c r="AM2125" t="n">
        <x:f>CHOOSE('假设'!$B$3,AJ2125,AK2125,AL2125)</x:f>
        <x:v>0</x:v>
      </x:c>
      <x:c r="AN2125" t="n">
        <x:v>1</x:v>
      </x:c>
    </x:row>
    <x:row r="2126" ht="23" customHeight="1">
      <x:c r="A2126" s="11" t="str">
        <x:v>688302.SH</x:v>
      </x:c>
      <x:c r="B2126" s="11" t="str">
        <x:v>五年</x:v>
      </x:c>
      <x:c r="C2126" s="11" t="str">
        <x:v>hp518_combo_cn</x:v>
      </x:c>
      <x:c r="D2126" s="11" t="str">
        <x:v>2027-12-31</x:v>
      </x:c>
      <x:c r="E2126" s="11" t="str">
        <x:v>CNY</x:v>
      </x:c>
      <x:c r="F2126" s="11" t="n">
        <x:v>-3.7727583846680357</x:v>
      </x:c>
      <x:c r="G2126" s="26" t="b">
        <x:v>0</x:v>
      </x:c>
      <x:c r="H2126" s="16" t="n">
        <x:v>0</x:v>
      </x:c>
      <x:c r="I2126" s="16" t="n">
        <x:v>0</x:v>
      </x:c>
      <x:c r="J2126" s="16" t="n">
        <x:v>0</x:v>
      </x:c>
      <x:c r="K2126" s="11" t="n">
        <x:f>CHOOSE('假设'!$B$3,H2126,I2126,J2126)</x:f>
        <x:v>0</x:v>
      </x:c>
      <x:c r="L2126" s="11" t="n">
        <x:f>K2126*'管线假设'!E471*'管线假设'!F471*'管线假设'!G471*IF(E2126="USD",'管线假设'!I471,1)-AM2126</x:f>
        <x:v>0</x:v>
      </x:c>
      <x:c r="M2126" s="11" t="n">
        <x:f>'管线假设'!H471</x:f>
        <x:v>0.14</x:v>
      </x:c>
      <x:c r="N2126" s="11" t="n">
        <x:f>IF(G2126,L2126*AN2126/(1+M2126)^F2126,0)</x:f>
        <x:v>0</x:v>
      </x:c>
      <x:c r="AJ2126" t="n">
        <x:v>0</x:v>
      </x:c>
      <x:c r="AK2126" t="n">
        <x:v>0</x:v>
      </x:c>
      <x:c r="AL2126" t="n">
        <x:v>0</x:v>
      </x:c>
      <x:c r="AM2126" t="n">
        <x:f>CHOOSE('假设'!$B$3,AJ2126,AK2126,AL2126)</x:f>
        <x:v>0</x:v>
      </x:c>
      <x:c r="AN2126" t="n">
        <x:v>1</x:v>
      </x:c>
    </x:row>
    <x:row r="2127" ht="23" customHeight="1">
      <x:c r="A2127" s="11" t="str">
        <x:v>688302.SH</x:v>
      </x:c>
      <x:c r="B2127" s="11" t="str">
        <x:v>五年</x:v>
      </x:c>
      <x:c r="C2127" s="11" t="str">
        <x:v>hp518_combo_cn</x:v>
      </x:c>
      <x:c r="D2127" s="11" t="str">
        <x:v>2028-12-31</x:v>
      </x:c>
      <x:c r="E2127" s="11" t="str">
        <x:v>CNY</x:v>
      </x:c>
      <x:c r="F2127" s="11" t="n">
        <x:v>-2.7707049965776864</x:v>
      </x:c>
      <x:c r="G2127" s="26" t="b">
        <x:v>0</x:v>
      </x:c>
      <x:c r="H2127" s="16" t="n">
        <x:v>0</x:v>
      </x:c>
      <x:c r="I2127" s="16" t="n">
        <x:v>0</x:v>
      </x:c>
      <x:c r="J2127" s="16" t="n">
        <x:v>0</x:v>
      </x:c>
      <x:c r="K2127" s="11" t="n">
        <x:f>CHOOSE('假设'!$B$3,H2127,I2127,J2127)</x:f>
        <x:v>0</x:v>
      </x:c>
      <x:c r="L2127" s="11" t="n">
        <x:f>K2127*'管线假设'!E471*'管线假设'!F471*'管线假设'!G471*IF(E2127="USD",'管线假设'!I471,1)-AM2127</x:f>
        <x:v>0</x:v>
      </x:c>
      <x:c r="M2127" s="11" t="n">
        <x:f>'管线假设'!H471</x:f>
        <x:v>0.14</x:v>
      </x:c>
      <x:c r="N2127" s="11" t="n">
        <x:f>IF(G2127,L2127*AN2127/(1+M2127)^F2127,0)</x:f>
        <x:v>0</x:v>
      </x:c>
      <x:c r="AJ2127" t="n">
        <x:v>0</x:v>
      </x:c>
      <x:c r="AK2127" t="n">
        <x:v>0</x:v>
      </x:c>
      <x:c r="AL2127" t="n">
        <x:v>0</x:v>
      </x:c>
      <x:c r="AM2127" t="n">
        <x:f>CHOOSE('假设'!$B$3,AJ2127,AK2127,AL2127)</x:f>
        <x:v>0</x:v>
      </x:c>
      <x:c r="AN2127" t="n">
        <x:v>1</x:v>
      </x:c>
    </x:row>
    <x:row r="2128" ht="23" customHeight="1">
      <x:c r="A2128" s="11" t="str">
        <x:v>688302.SH</x:v>
      </x:c>
      <x:c r="B2128" s="11" t="str">
        <x:v>五年</x:v>
      </x:c>
      <x:c r="C2128" s="11" t="str">
        <x:v>hp518_combo_cn</x:v>
      </x:c>
      <x:c r="D2128" s="11" t="str">
        <x:v>2029-12-31</x:v>
      </x:c>
      <x:c r="E2128" s="11" t="str">
        <x:v>CNY</x:v>
      </x:c>
      <x:c r="F2128" s="11" t="n">
        <x:v>-1.7713894592744694</x:v>
      </x:c>
      <x:c r="G2128" s="26" t="b">
        <x:v>0</x:v>
      </x:c>
      <x:c r="H2128" s="16" t="n">
        <x:v>0</x:v>
      </x:c>
      <x:c r="I2128" s="16" t="n">
        <x:v>0</x:v>
      </x:c>
      <x:c r="J2128" s="16" t="n">
        <x:v>0</x:v>
      </x:c>
      <x:c r="K2128" s="11" t="n">
        <x:f>CHOOSE('假设'!$B$3,H2128,I2128,J2128)</x:f>
        <x:v>0</x:v>
      </x:c>
      <x:c r="L2128" s="11" t="n">
        <x:f>K2128*'管线假设'!E471*'管线假设'!F471*'管线假设'!G471*IF(E2128="USD",'管线假设'!I471,1)-AM2128</x:f>
        <x:v>0</x:v>
      </x:c>
      <x:c r="M2128" s="11" t="n">
        <x:f>'管线假设'!H471</x:f>
        <x:v>0.14</x:v>
      </x:c>
      <x:c r="N2128" s="11" t="n">
        <x:f>IF(G2128,L2128*AN2128/(1+M2128)^F2128,0)</x:f>
        <x:v>0</x:v>
      </x:c>
      <x:c r="AJ2128" t="n">
        <x:v>0</x:v>
      </x:c>
      <x:c r="AK2128" t="n">
        <x:v>0</x:v>
      </x:c>
      <x:c r="AL2128" t="n">
        <x:v>0</x:v>
      </x:c>
      <x:c r="AM2128" t="n">
        <x:f>CHOOSE('假设'!$B$3,AJ2128,AK2128,AL2128)</x:f>
        <x:v>0</x:v>
      </x:c>
      <x:c r="AN2128" t="n">
        <x:v>1</x:v>
      </x:c>
    </x:row>
    <x:row r="2129" ht="23" customHeight="1">
      <x:c r="A2129" s="11" t="str">
        <x:v>688302.SH</x:v>
      </x:c>
      <x:c r="B2129" s="11" t="str">
        <x:v>五年</x:v>
      </x:c>
      <x:c r="C2129" s="11" t="str">
        <x:v>hp518_combo_cn</x:v>
      </x:c>
      <x:c r="D2129" s="11" t="str">
        <x:v>2030-12-31</x:v>
      </x:c>
      <x:c r="E2129" s="11" t="str">
        <x:v>CNY</x:v>
      </x:c>
      <x:c r="F2129" s="11" t="n">
        <x:v>-0.7720739219712526</x:v>
      </x:c>
      <x:c r="G2129" s="26" t="b">
        <x:v>0</x:v>
      </x:c>
      <x:c r="H2129" s="16" t="n">
        <x:v>0</x:v>
      </x:c>
      <x:c r="I2129" s="16" t="n">
        <x:v>0</x:v>
      </x:c>
      <x:c r="J2129" s="16" t="n">
        <x:v>0</x:v>
      </x:c>
      <x:c r="K2129" s="11" t="n">
        <x:f>CHOOSE('假设'!$B$3,H2129,I2129,J2129)</x:f>
        <x:v>0</x:v>
      </x:c>
      <x:c r="L2129" s="11" t="n">
        <x:f>K2129*'管线假设'!E471*'管线假设'!F471*'管线假设'!G471*IF(E2129="USD",'管线假设'!I471,1)-AM2129</x:f>
        <x:v>0</x:v>
      </x:c>
      <x:c r="M2129" s="11" t="n">
        <x:f>'管线假设'!H471</x:f>
        <x:v>0.14</x:v>
      </x:c>
      <x:c r="N2129" s="11" t="n">
        <x:f>IF(G2129,L2129*AN2129/(1+M2129)^F2129,0)</x:f>
        <x:v>0</x:v>
      </x:c>
      <x:c r="AJ2129" t="n">
        <x:v>0</x:v>
      </x:c>
      <x:c r="AK2129" t="n">
        <x:v>0</x:v>
      </x:c>
      <x:c r="AL2129" t="n">
        <x:v>0</x:v>
      </x:c>
      <x:c r="AM2129" t="n">
        <x:f>CHOOSE('假设'!$B$3,AJ2129,AK2129,AL2129)</x:f>
        <x:v>0</x:v>
      </x:c>
      <x:c r="AN2129" t="n">
        <x:v>1</x:v>
      </x:c>
    </x:row>
    <x:row r="2130" ht="23" customHeight="1">
      <x:c r="A2130" s="11" t="str">
        <x:v>688302.SH</x:v>
      </x:c>
      <x:c r="B2130" s="11" t="str">
        <x:v>五年</x:v>
      </x:c>
      <x:c r="C2130" s="11" t="str">
        <x:v>hp518_combo_cn</x:v>
      </x:c>
      <x:c r="D2130" s="11" t="str">
        <x:v>2031-12-31</x:v>
      </x:c>
      <x:c r="E2130" s="11" t="str">
        <x:v>CNY</x:v>
      </x:c>
      <x:c r="F2130" s="11" t="n">
        <x:v>0.2272416153319644</x:v>
      </x:c>
      <x:c r="G2130" s="26" t="b">
        <x:v>1</x:v>
      </x:c>
      <x:c r="H2130" s="16" t="n">
        <x:v>0</x:v>
      </x:c>
      <x:c r="I2130" s="16" t="n">
        <x:v>0</x:v>
      </x:c>
      <x:c r="J2130" s="16" t="n">
        <x:v>0.41666666666666663</x:v>
      </x:c>
      <x:c r="K2130" s="11" t="n">
        <x:f>CHOOSE('假设'!$B$3,H2130,I2130,J2130)</x:f>
        <x:v>0</x:v>
      </x:c>
      <x:c r="L2130" s="11" t="n">
        <x:f>K2130*'管线假设'!E471*'管线假设'!F471*'管线假设'!G471*IF(E2130="USD",'管线假设'!I471,1)-AM2130</x:f>
        <x:v>0</x:v>
      </x:c>
      <x:c r="M2130" s="11" t="n">
        <x:f>'管线假设'!H471</x:f>
        <x:v>0.14</x:v>
      </x:c>
      <x:c r="N2130" s="11" t="n">
        <x:f>IF(G2130,L2130*AN2130/(1+M2130)^F2130,0)</x:f>
        <x:v>0</x:v>
      </x:c>
      <x:c r="AJ2130" t="n">
        <x:v>0</x:v>
      </x:c>
      <x:c r="AK2130" t="n">
        <x:v>0</x:v>
      </x:c>
      <x:c r="AL2130" t="n">
        <x:v>0</x:v>
      </x:c>
      <x:c r="AM2130" t="n">
        <x:f>CHOOSE('假设'!$B$3,AJ2130,AK2130,AL2130)</x:f>
        <x:v>0</x:v>
      </x:c>
      <x:c r="AN2130" t="n">
        <x:v>1</x:v>
      </x:c>
    </x:row>
    <x:row r="2131" ht="23" customHeight="1">
      <x:c r="A2131" s="11" t="str">
        <x:v>688302.SH</x:v>
      </x:c>
      <x:c r="B2131" s="11" t="str">
        <x:v>五年</x:v>
      </x:c>
      <x:c r="C2131" s="11" t="str">
        <x:v>hp518_combo_cn</x:v>
      </x:c>
      <x:c r="D2131" s="11" t="str">
        <x:v>2032-12-31</x:v>
      </x:c>
      <x:c r="E2131" s="11" t="str">
        <x:v>CNY</x:v>
      </x:c>
      <x:c r="F2131" s="11" t="n">
        <x:v>1.2292950034223136</x:v>
      </x:c>
      <x:c r="G2131" s="26" t="b">
        <x:v>1</x:v>
      </x:c>
      <x:c r="H2131" s="16" t="n">
        <x:v>0</x:v>
      </x:c>
      <x:c r="I2131" s="16" t="n">
        <x:v>0</x:v>
      </x:c>
      <x:c r="J2131" s="16" t="n">
        <x:v>0.8333333333333333</x:v>
      </x:c>
      <x:c r="K2131" s="11" t="n">
        <x:f>CHOOSE('假设'!$B$3,H2131,I2131,J2131)</x:f>
        <x:v>0</x:v>
      </x:c>
      <x:c r="L2131" s="11" t="n">
        <x:f>K2131*'管线假设'!E471*'管线假设'!F471*'管线假设'!G471*IF(E2131="USD",'管线假设'!I471,1)-AM2131</x:f>
        <x:v>0</x:v>
      </x:c>
      <x:c r="M2131" s="11" t="n">
        <x:f>'管线假设'!H471</x:f>
        <x:v>0.14</x:v>
      </x:c>
      <x:c r="N2131" s="11" t="n">
        <x:f>IF(G2131,L2131*AN2131/(1+M2131)^F2131,0)</x:f>
        <x:v>0</x:v>
      </x:c>
      <x:c r="AJ2131" t="n">
        <x:v>0</x:v>
      </x:c>
      <x:c r="AK2131" t="n">
        <x:v>0</x:v>
      </x:c>
      <x:c r="AL2131" t="n">
        <x:v>0</x:v>
      </x:c>
      <x:c r="AM2131" t="n">
        <x:f>CHOOSE('假设'!$B$3,AJ2131,AK2131,AL2131)</x:f>
        <x:v>0</x:v>
      </x:c>
      <x:c r="AN2131" t="n">
        <x:v>1</x:v>
      </x:c>
    </x:row>
    <x:row r="2132" ht="23" customHeight="1">
      <x:c r="A2132" s="11" t="str">
        <x:v>688302.SH</x:v>
      </x:c>
      <x:c r="B2132" s="11" t="str">
        <x:v>五年</x:v>
      </x:c>
      <x:c r="C2132" s="11" t="str">
        <x:v>hp518_combo_cn</x:v>
      </x:c>
      <x:c r="D2132" s="11" t="str">
        <x:v>2033-12-31</x:v>
      </x:c>
      <x:c r="E2132" s="11" t="str">
        <x:v>CNY</x:v>
      </x:c>
      <x:c r="F2132" s="11" t="n">
        <x:v>2.2286105407255303</x:v>
      </x:c>
      <x:c r="G2132" s="26" t="b">
        <x:v>1</x:v>
      </x:c>
      <x:c r="H2132" s="16" t="n">
        <x:v>0</x:v>
      </x:c>
      <x:c r="I2132" s="16" t="n">
        <x:v>0.21666666666666667</x:v>
      </x:c>
      <x:c r="J2132" s="16" t="n">
        <x:v>1.25</x:v>
      </x:c>
      <x:c r="K2132" s="11" t="n">
        <x:f>CHOOSE('假设'!$B$3,H2132,I2132,J2132)</x:f>
        <x:v>0.21666666666666667</x:v>
      </x:c>
      <x:c r="L2132" s="11" t="n">
        <x:f>K2132*'管线假设'!E471*'管线假设'!F471*'管线假设'!G471*IF(E2132="USD",'管线假设'!I471,1)-AM2132</x:f>
        <x:v>0.02340173333333333</x:v>
      </x:c>
      <x:c r="M2132" s="11" t="n">
        <x:f>'管线假设'!H471</x:f>
        <x:v>0.14</x:v>
      </x:c>
      <x:c r="N2132" s="11" t="n">
        <x:f>IF(G2132,L2132*AN2132/(1+M2132)^F2132,0)</x:f>
        <x:v>0.017475486490546838</x:v>
      </x:c>
      <x:c r="AJ2132" t="n">
        <x:v>0</x:v>
      </x:c>
      <x:c r="AK2132" t="n">
        <x:v>0</x:v>
      </x:c>
      <x:c r="AL2132" t="n">
        <x:v>0</x:v>
      </x:c>
      <x:c r="AM2132" t="n">
        <x:f>CHOOSE('假设'!$B$3,AJ2132,AK2132,AL2132)</x:f>
        <x:v>0</x:v>
      </x:c>
      <x:c r="AN2132" t="n">
        <x:v>1</x:v>
      </x:c>
    </x:row>
    <x:row r="2133" ht="23" customHeight="1">
      <x:c r="A2133" s="11" t="str">
        <x:v>688302.SH</x:v>
      </x:c>
      <x:c r="B2133" s="11" t="str">
        <x:v>五年</x:v>
      </x:c>
      <x:c r="C2133" s="11" t="str">
        <x:v>hp518_combo_cn</x:v>
      </x:c>
      <x:c r="D2133" s="11" t="str">
        <x:v>2034-12-31</x:v>
      </x:c>
      <x:c r="E2133" s="11" t="str">
        <x:v>CNY</x:v>
      </x:c>
      <x:c r="F2133" s="11" t="n">
        <x:v>3.2279260780287475</x:v>
      </x:c>
      <x:c r="G2133" s="26" t="b">
        <x:v>1</x:v>
      </x:c>
      <x:c r="H2133" s="16" t="n">
        <x:v>0</x:v>
      </x:c>
      <x:c r="I2133" s="16" t="n">
        <x:v>0.43333333333333335</x:v>
      </x:c>
      <x:c r="J2133" s="16" t="n">
        <x:v>1.6666666666666665</x:v>
      </x:c>
      <x:c r="K2133" s="11" t="n">
        <x:f>CHOOSE('假设'!$B$3,H2133,I2133,J2133)</x:f>
        <x:v>0.43333333333333335</x:v>
      </x:c>
      <x:c r="L2133" s="11" t="n">
        <x:f>K2133*'管线假设'!E471*'管线假设'!F471*'管线假设'!G471*IF(E2133="USD",'管线假设'!I471,1)-AM2133</x:f>
        <x:v>0.04680346666666666</x:v>
      </x:c>
      <x:c r="M2133" s="11" t="n">
        <x:f>'管线假设'!H471</x:f>
        <x:v>0.14</x:v>
      </x:c>
      <x:c r="N2133" s="11" t="n">
        <x:f>IF(G2133,L2133*AN2133/(1+M2133)^F2133,0)</x:f>
        <x:v>0.030661497950214275</x:v>
      </x:c>
      <x:c r="AJ2133" t="n">
        <x:v>0</x:v>
      </x:c>
      <x:c r="AK2133" t="n">
        <x:v>0</x:v>
      </x:c>
      <x:c r="AL2133" t="n">
        <x:v>0</x:v>
      </x:c>
      <x:c r="AM2133" t="n">
        <x:f>CHOOSE('假设'!$B$3,AJ2133,AK2133,AL2133)</x:f>
        <x:v>0</x:v>
      </x:c>
      <x:c r="AN2133" t="n">
        <x:v>1</x:v>
      </x:c>
    </x:row>
    <x:row r="2134" ht="23" customHeight="1">
      <x:c r="A2134" s="11" t="str">
        <x:v>688302.SH</x:v>
      </x:c>
      <x:c r="B2134" s="11" t="str">
        <x:v>五年</x:v>
      </x:c>
      <x:c r="C2134" s="11" t="str">
        <x:v>hp518_combo_cn</x:v>
      </x:c>
      <x:c r="D2134" s="11" t="str">
        <x:v>2035-12-31</x:v>
      </x:c>
      <x:c r="E2134" s="11" t="str">
        <x:v>CNY</x:v>
      </x:c>
      <x:c r="F2134" s="11" t="n">
        <x:v>4.227241615331964</x:v>
      </x:c>
      <x:c r="G2134" s="26" t="b">
        <x:v>1</x:v>
      </x:c>
      <x:c r="H2134" s="16" t="n">
        <x:v>0</x:v>
      </x:c>
      <x:c r="I2134" s="16" t="n">
        <x:v>0.65</x:v>
      </x:c>
      <x:c r="J2134" s="16" t="n">
        <x:v>2.0833333333333335</x:v>
      </x:c>
      <x:c r="K2134" s="11" t="n">
        <x:f>CHOOSE('假设'!$B$3,H2134,I2134,J2134)</x:f>
        <x:v>0.65</x:v>
      </x:c>
      <x:c r="L2134" s="11" t="n">
        <x:f>K2134*'管线假设'!E471*'管线假设'!F471*'管线假设'!G471*IF(E2134="USD",'管线假设'!I471,1)-AM2134</x:f>
        <x:v>0.0702052</x:v>
      </x:c>
      <x:c r="M2134" s="11" t="n">
        <x:f>'管线假设'!H471</x:f>
        <x:v>0.14</x:v>
      </x:c>
      <x:c r="N2134" s="11" t="n">
        <x:f>IF(G2134,L2134*AN2134/(1+M2134)^F2134,0)</x:f>
        <x:v>0.04034769462896836</x:v>
      </x:c>
      <x:c r="AJ2134" t="n">
        <x:v>0</x:v>
      </x:c>
      <x:c r="AK2134" t="n">
        <x:v>0</x:v>
      </x:c>
      <x:c r="AL2134" t="n">
        <x:v>0</x:v>
      </x:c>
      <x:c r="AM2134" t="n">
        <x:f>CHOOSE('假设'!$B$3,AJ2134,AK2134,AL2134)</x:f>
        <x:v>0</x:v>
      </x:c>
      <x:c r="AN2134" t="n">
        <x:v>1</x:v>
      </x:c>
    </x:row>
    <x:row r="2135" ht="23" customHeight="1">
      <x:c r="A2135" s="11" t="str">
        <x:v>688302.SH</x:v>
      </x:c>
      <x:c r="B2135" s="11" t="str">
        <x:v>五年</x:v>
      </x:c>
      <x:c r="C2135" s="11" t="str">
        <x:v>hp518_combo_cn</x:v>
      </x:c>
      <x:c r="D2135" s="11" t="str">
        <x:v>2036-12-31</x:v>
      </x:c>
      <x:c r="E2135" s="11" t="str">
        <x:v>CNY</x:v>
      </x:c>
      <x:c r="F2135" s="11" t="n">
        <x:v>5.229295003422314</x:v>
      </x:c>
      <x:c r="G2135" s="26" t="b">
        <x:v>1</x:v>
      </x:c>
      <x:c r="H2135" s="16" t="n">
        <x:v>0.1</x:v>
      </x:c>
      <x:c r="I2135" s="16" t="n">
        <x:v>0.8666666666666667</x:v>
      </x:c>
      <x:c r="J2135" s="16" t="n">
        <x:v>2.5</x:v>
      </x:c>
      <x:c r="K2135" s="11" t="n">
        <x:f>CHOOSE('假设'!$B$3,H2135,I2135,J2135)</x:f>
        <x:v>0.8666666666666667</x:v>
      </x:c>
      <x:c r="L2135" s="11" t="n">
        <x:f>K2135*'管线假设'!E471*'管线假设'!F471*'管线假设'!G471*IF(E2135="USD",'管线假设'!I471,1)-AM2135</x:f>
        <x:v>0.09360693333333332</x:v>
      </x:c>
      <x:c r="M2135" s="11" t="n">
        <x:f>'管线假设'!H471</x:f>
        <x:v>0.14</x:v>
      </x:c>
      <x:c r="N2135" s="11" t="n">
        <x:f>IF(G2135,L2135*AN2135/(1+M2135)^F2135,0)</x:f>
        <x:v>0.04717759118873439</x:v>
      </x:c>
      <x:c r="AJ2135" t="n">
        <x:v>0</x:v>
      </x:c>
      <x:c r="AK2135" t="n">
        <x:v>0</x:v>
      </x:c>
      <x:c r="AL2135" t="n">
        <x:v>0</x:v>
      </x:c>
      <x:c r="AM2135" t="n">
        <x:f>CHOOSE('假设'!$B$3,AJ2135,AK2135,AL2135)</x:f>
        <x:v>0</x:v>
      </x:c>
      <x:c r="AN2135" t="n">
        <x:v>1</x:v>
      </x:c>
    </x:row>
    <x:row r="2136" ht="23" customHeight="1">
      <x:c r="A2136" s="11" t="str">
        <x:v>688302.SH</x:v>
      </x:c>
      <x:c r="B2136" s="11" t="str">
        <x:v>五年</x:v>
      </x:c>
      <x:c r="C2136" s="11" t="str">
        <x:v>hp518_combo_cn</x:v>
      </x:c>
      <x:c r="D2136" s="11" t="str">
        <x:v>2037-12-31</x:v>
      </x:c>
      <x:c r="E2136" s="11" t="str">
        <x:v>CNY</x:v>
      </x:c>
      <x:c r="F2136" s="11" t="n">
        <x:v>6.228610540725531</x:v>
      </x:c>
      <x:c r="G2136" s="26" t="b">
        <x:v>1</x:v>
      </x:c>
      <x:c r="H2136" s="16" t="n">
        <x:v>0.2</x:v>
      </x:c>
      <x:c r="I2136" s="16" t="n">
        <x:v>1.0833333333333335</x:v>
      </x:c>
      <x:c r="J2136" s="16" t="n">
        <x:v>2.175</x:v>
      </x:c>
      <x:c r="K2136" s="11" t="n">
        <x:f>CHOOSE('假设'!$B$3,H2136,I2136,J2136)</x:f>
        <x:v>1.0833333333333335</x:v>
      </x:c>
      <x:c r="L2136" s="11" t="n">
        <x:f>K2136*'管线假设'!E471*'管线假设'!F471*'管线假设'!G471*IF(E2136="USD",'管线假设'!I471,1)-AM2136</x:f>
        <x:v>0.11700866666666665</x:v>
      </x:c>
      <x:c r="M2136" s="11" t="n">
        <x:f>'管线假设'!H471</x:f>
        <x:v>0.14</x:v>
      </x:c>
      <x:c r="N2136" s="11" t="n">
        <x:f>IF(G2136,L2136*AN2136/(1+M2136)^F2136,0)</x:f>
        <x:v>0.05173445444250985</x:v>
      </x:c>
      <x:c r="AJ2136" t="n">
        <x:v>0</x:v>
      </x:c>
      <x:c r="AK2136" t="n">
        <x:v>0</x:v>
      </x:c>
      <x:c r="AL2136" t="n">
        <x:v>0</x:v>
      </x:c>
      <x:c r="AM2136" t="n">
        <x:f>CHOOSE('假设'!$B$3,AJ2136,AK2136,AL2136)</x:f>
        <x:v>0</x:v>
      </x:c>
      <x:c r="AN2136" t="n">
        <x:v>1</x:v>
      </x:c>
    </x:row>
    <x:row r="2137" ht="23" customHeight="1">
      <x:c r="A2137" s="11" t="str">
        <x:v>688302.SH</x:v>
      </x:c>
      <x:c r="B2137" s="11" t="str">
        <x:v>五年</x:v>
      </x:c>
      <x:c r="C2137" s="11" t="str">
        <x:v>hp518_combo_cn</x:v>
      </x:c>
      <x:c r="D2137" s="11" t="str">
        <x:v>2038-12-31</x:v>
      </x:c>
      <x:c r="E2137" s="11" t="str">
        <x:v>CNY</x:v>
      </x:c>
      <x:c r="F2137" s="11" t="n">
        <x:v>7.227926078028747</x:v>
      </x:c>
      <x:c r="G2137" s="26" t="b">
        <x:v>1</x:v>
      </x:c>
      <x:c r="H2137" s="16" t="n">
        <x:v>0.3</x:v>
      </x:c>
      <x:c r="I2137" s="16" t="n">
        <x:v>1.3</x:v>
      </x:c>
      <x:c r="J2137" s="16" t="n">
        <x:v>1.85</x:v>
      </x:c>
      <x:c r="K2137" s="11" t="n">
        <x:f>CHOOSE('假设'!$B$3,H2137,I2137,J2137)</x:f>
        <x:v>1.3</x:v>
      </x:c>
      <x:c r="L2137" s="11" t="n">
        <x:f>K2137*'管线假设'!E471*'管线假设'!F471*'管线假设'!G471*IF(E2137="USD",'管线假设'!I471,1)-AM2137</x:f>
        <x:v>0.1404104</x:v>
      </x:c>
      <x:c r="M2137" s="11" t="n">
        <x:f>'管线假设'!H471</x:f>
        <x:v>0.14</x:v>
      </x:c>
      <x:c r="N2137" s="11" t="n">
        <x:f>IF(G2137,L2137*AN2137/(1+M2137)^F2137,0)</x:f>
        <x:v>0.054462204632845096</x:v>
      </x:c>
      <x:c r="AJ2137" t="n">
        <x:v>0</x:v>
      </x:c>
      <x:c r="AK2137" t="n">
        <x:v>0</x:v>
      </x:c>
      <x:c r="AL2137" t="n">
        <x:v>0</x:v>
      </x:c>
      <x:c r="AM2137" t="n">
        <x:f>CHOOSE('假设'!$B$3,AJ2137,AK2137,AL2137)</x:f>
        <x:v>0</x:v>
      </x:c>
      <x:c r="AN2137" t="n">
        <x:v>1</x:v>
      </x:c>
    </x:row>
    <x:row r="2138" ht="23" customHeight="1">
      <x:c r="A2138" s="11" t="str">
        <x:v>688302.SH</x:v>
      </x:c>
      <x:c r="B2138" s="11" t="str">
        <x:v>五年</x:v>
      </x:c>
      <x:c r="C2138" s="11" t="str">
        <x:v>hp518_combo_cn</x:v>
      </x:c>
      <x:c r="D2138" s="11" t="str">
        <x:v>2039-12-31</x:v>
      </x:c>
      <x:c r="E2138" s="11" t="str">
        <x:v>CNY</x:v>
      </x:c>
      <x:c r="F2138" s="11" t="n">
        <x:v>8.227241615331964</x:v>
      </x:c>
      <x:c r="G2138" s="26" t="b">
        <x:v>1</x:v>
      </x:c>
      <x:c r="H2138" s="16" t="n">
        <x:v>0.4</x:v>
      </x:c>
      <x:c r="I2138" s="16" t="n">
        <x:v>1.131</x:v>
      </x:c>
      <x:c r="J2138" s="16" t="n">
        <x:v>1.525</x:v>
      </x:c>
      <x:c r="K2138" s="11" t="n">
        <x:f>CHOOSE('假设'!$B$3,H2138,I2138,J2138)</x:f>
        <x:v>1.131</x:v>
      </x:c>
      <x:c r="L2138" s="11" t="n">
        <x:f>K2138*'管线假设'!E471*'管线假设'!F471*'管线假设'!G471*IF(E2138="USD",'管线假设'!I471,1)-AM2138</x:f>
        <x:v>0.12215704799999998</x:v>
      </x:c>
      <x:c r="M2138" s="11" t="n">
        <x:f>'管线假设'!H471</x:f>
        <x:v>0.14</x:v>
      </x:c>
      <x:c r="N2138" s="11" t="n">
        <x:f>IF(G2138,L2138*AN2138/(1+M2138)^F2138,0)</x:f>
        <x:v>0.04156698915527108</x:v>
      </x:c>
      <x:c r="AJ2138" t="n">
        <x:v>0</x:v>
      </x:c>
      <x:c r="AK2138" t="n">
        <x:v>0</x:v>
      </x:c>
      <x:c r="AL2138" t="n">
        <x:v>0</x:v>
      </x:c>
      <x:c r="AM2138" t="n">
        <x:f>CHOOSE('假设'!$B$3,AJ2138,AK2138,AL2138)</x:f>
        <x:v>0</x:v>
      </x:c>
      <x:c r="AN2138" t="n">
        <x:v>1</x:v>
      </x:c>
    </x:row>
    <x:row r="2139" ht="23" customHeight="1">
      <x:c r="A2139" s="11" t="str">
        <x:v>688302.SH</x:v>
      </x:c>
      <x:c r="B2139" s="11" t="str">
        <x:v>五年</x:v>
      </x:c>
      <x:c r="C2139" s="11" t="str">
        <x:v>hp518_combo_cn</x:v>
      </x:c>
      <x:c r="D2139" s="11" t="str">
        <x:v>2040-12-31</x:v>
      </x:c>
      <x:c r="E2139" s="11" t="str">
        <x:v>CNY</x:v>
      </x:c>
      <x:c r="F2139" s="11" t="n">
        <x:v>9.229295003422314</x:v>
      </x:c>
      <x:c r="G2139" s="26" t="b">
        <x:v>1</x:v>
      </x:c>
      <x:c r="H2139" s="16" t="n">
        <x:v>0.5</x:v>
      </x:c>
      <x:c r="I2139" s="16" t="n">
        <x:v>0.962</x:v>
      </x:c>
      <x:c r="J2139" s="16" t="n">
        <x:v>1.2</x:v>
      </x:c>
      <x:c r="K2139" s="11" t="n">
        <x:f>CHOOSE('假设'!$B$3,H2139,I2139,J2139)</x:f>
        <x:v>0.962</x:v>
      </x:c>
      <x:c r="L2139" s="11" t="n">
        <x:f>K2139*'管线假设'!E471*'管线假设'!F471*'管线假设'!G471*IF(E2139="USD",'管线假设'!I471,1)-AM2139</x:f>
        <x:v>0.10390369599999999</x:v>
      </x:c>
      <x:c r="M2139" s="11" t="n">
        <x:f>'管线假设'!H471</x:f>
        <x:v>0.14</x:v>
      </x:c>
      <x:c r="N2139" s="11" t="n">
        <x:f>IF(G2139,L2139*AN2139/(1+M2139)^F2139,0)</x:f>
        <x:v>0.031005542617118423</x:v>
      </x:c>
      <x:c r="AJ2139" t="n">
        <x:v>0</x:v>
      </x:c>
      <x:c r="AK2139" t="n">
        <x:v>0</x:v>
      </x:c>
      <x:c r="AL2139" t="n">
        <x:v>0</x:v>
      </x:c>
      <x:c r="AM2139" t="n">
        <x:f>CHOOSE('假设'!$B$3,AJ2139,AK2139,AL2139)</x:f>
        <x:v>0</x:v>
      </x:c>
      <x:c r="AN2139" t="n">
        <x:v>1</x:v>
      </x:c>
    </x:row>
    <x:row r="2140" ht="23" customHeight="1">
      <x:c r="A2140" s="11" t="str">
        <x:v>688302.SH</x:v>
      </x:c>
      <x:c r="B2140" s="11" t="str">
        <x:v>五年</x:v>
      </x:c>
      <x:c r="C2140" s="11" t="str">
        <x:v>hp518_combo_cn</x:v>
      </x:c>
      <x:c r="D2140" s="11" t="str">
        <x:v>2041-12-31</x:v>
      </x:c>
      <x:c r="E2140" s="11" t="str">
        <x:v>CNY</x:v>
      </x:c>
      <x:c r="F2140" s="11" t="n">
        <x:v>10.22861054072553</x:v>
      </x:c>
      <x:c r="G2140" s="26" t="b">
        <x:v>1</x:v>
      </x:c>
      <x:c r="H2140" s="16" t="n">
        <x:v>0.435</x:v>
      </x:c>
      <x:c r="I2140" s="16" t="n">
        <x:v>0.793</x:v>
      </x:c>
      <x:c r="J2140" s="16" t="n">
        <x:v>0.875</x:v>
      </x:c>
      <x:c r="K2140" s="11" t="n">
        <x:f>CHOOSE('假设'!$B$3,H2140,I2140,J2140)</x:f>
        <x:v>0.793</x:v>
      </x:c>
      <x:c r="L2140" s="11" t="n">
        <x:f>K2140*'管线假设'!E471*'管线假设'!F471*'管线假设'!G471*IF(E2140="USD",'管线假设'!I471,1)-AM2140</x:f>
        <x:v>0.085650344</x:v>
      </x:c>
      <x:c r="M2140" s="11" t="n">
        <x:f>'管线假设'!H471</x:f>
        <x:v>0.14</x:v>
      </x:c>
      <x:c r="N2140" s="11" t="n">
        <x:f>IF(G2140,L2140*AN2140/(1+M2140)^F2140,0)</x:f>
        <x:v>0.022421855499491</x:v>
      </x:c>
      <x:c r="AJ2140" t="n">
        <x:v>0</x:v>
      </x:c>
      <x:c r="AK2140" t="n">
        <x:v>0</x:v>
      </x:c>
      <x:c r="AL2140" t="n">
        <x:v>0</x:v>
      </x:c>
      <x:c r="AM2140" t="n">
        <x:f>CHOOSE('假设'!$B$3,AJ2140,AK2140,AL2140)</x:f>
        <x:v>0</x:v>
      </x:c>
      <x:c r="AN2140" t="n">
        <x:v>1</x:v>
      </x:c>
    </x:row>
    <x:row r="2141" ht="23" customHeight="1">
      <x:c r="A2141" s="11" t="str">
        <x:v>688302.SH</x:v>
      </x:c>
      <x:c r="B2141" s="11" t="str">
        <x:v>五年</x:v>
      </x:c>
      <x:c r="C2141" s="11" t="str">
        <x:v>hp518_combo_cn</x:v>
      </x:c>
      <x:c r="D2141" s="11" t="str">
        <x:v>2042-12-31</x:v>
      </x:c>
      <x:c r="E2141" s="11" t="str">
        <x:v>CNY</x:v>
      </x:c>
      <x:c r="F2141" s="11" t="n">
        <x:v>11.227926078028748</x:v>
      </x:c>
      <x:c r="G2141" s="26" t="b">
        <x:v>1</x:v>
      </x:c>
      <x:c r="H2141" s="16" t="n">
        <x:v>0.37</x:v>
      </x:c>
      <x:c r="I2141" s="16" t="n">
        <x:v>0.624</x:v>
      </x:c>
      <x:c r="J2141" s="16" t="n">
        <x:v>0.5499999999999999</x:v>
      </x:c>
      <x:c r="K2141" s="11" t="n">
        <x:f>CHOOSE('假设'!$B$3,H2141,I2141,J2141)</x:f>
        <x:v>0.624</x:v>
      </x:c>
      <x:c r="L2141" s="11" t="n">
        <x:f>K2141*'管线假设'!E471*'管线假设'!F471*'管线假设'!G471*IF(E2141="USD",'管线假设'!I471,1)-AM2141</x:f>
        <x:v>0.06739699199999999</x:v>
      </x:c>
      <x:c r="M2141" s="11" t="n">
        <x:f>'管线假设'!H471</x:f>
        <x:v>0.14</x:v>
      </x:c>
      <x:c r="N2141" s="11" t="n">
        <x:f>IF(G2141,L2141*AN2141/(1+M2141)^F2141,0)</x:f>
        <x:v>0.015478078668099327</x:v>
      </x:c>
      <x:c r="AJ2141" t="n">
        <x:v>0</x:v>
      </x:c>
      <x:c r="AK2141" t="n">
        <x:v>0</x:v>
      </x:c>
      <x:c r="AL2141" t="n">
        <x:v>0</x:v>
      </x:c>
      <x:c r="AM2141" t="n">
        <x:f>CHOOSE('假设'!$B$3,AJ2141,AK2141,AL2141)</x:f>
        <x:v>0</x:v>
      </x:c>
      <x:c r="AN2141" t="n">
        <x:v>1</x:v>
      </x:c>
    </x:row>
    <x:row r="2142" ht="23" customHeight="1">
      <x:c r="A2142" s="11" t="str">
        <x:v>688302.SH</x:v>
      </x:c>
      <x:c r="B2142" s="11" t="str">
        <x:v>五年</x:v>
      </x:c>
      <x:c r="C2142" s="11" t="str">
        <x:v>hp518_combo_cn</x:v>
      </x:c>
      <x:c r="D2142" s="11" t="str">
        <x:v>2043-12-31</x:v>
      </x:c>
      <x:c r="E2142" s="11" t="str">
        <x:v>CNY</x:v>
      </x:c>
      <x:c r="F2142" s="11" t="n">
        <x:v>12.227241615331964</x:v>
      </x:c>
      <x:c r="G2142" s="26" t="b">
        <x:v>1</x:v>
      </x:c>
      <x:c r="H2142" s="16" t="n">
        <x:v>0.305</x:v>
      </x:c>
      <x:c r="I2142" s="16" t="n">
        <x:v>0.45499999999999996</x:v>
      </x:c>
      <x:c r="J2142" s="16" t="n">
        <x:v>0.22499999999999992</x:v>
      </x:c>
      <x:c r="K2142" s="11" t="n">
        <x:f>CHOOSE('假设'!$B$3,H2142,I2142,J2142)</x:f>
        <x:v>0.45499999999999996</x:v>
      </x:c>
      <x:c r="L2142" s="11" t="n">
        <x:f>K2142*'管线假设'!E471*'管线假设'!F471*'管线假设'!G471*IF(E2142="USD",'管线假设'!I471,1)-AM2142</x:f>
        <x:v>0.04914363999999999</x:v>
      </x:c>
      <x:c r="M2142" s="11" t="n">
        <x:f>'管线假设'!H471</x:f>
        <x:v>0.14</x:v>
      </x:c>
      <x:c r="N2142" s="11" t="n">
        <x:f>IF(G2142,L2142*AN2142/(1+M2142)^F2142,0)</x:f>
        <x:v>0.009900974786176776</x:v>
      </x:c>
      <x:c r="AJ2142" t="n">
        <x:v>0</x:v>
      </x:c>
      <x:c r="AK2142" t="n">
        <x:v>0</x:v>
      </x:c>
      <x:c r="AL2142" t="n">
        <x:v>0</x:v>
      </x:c>
      <x:c r="AM2142" t="n">
        <x:f>CHOOSE('假设'!$B$3,AJ2142,AK2142,AL2142)</x:f>
        <x:v>0</x:v>
      </x:c>
      <x:c r="AN2142" t="n">
        <x:v>1</x:v>
      </x:c>
    </x:row>
    <x:row r="2143" ht="23" customHeight="1">
      <x:c r="A2143" s="11" t="str">
        <x:v>688302.SH</x:v>
      </x:c>
      <x:c r="B2143" s="11" t="str">
        <x:v>五年</x:v>
      </x:c>
      <x:c r="C2143" s="11" t="str">
        <x:v>hp518_combo_cn</x:v>
      </x:c>
      <x:c r="D2143" s="11" t="str">
        <x:v>2044-12-31</x:v>
      </x:c>
      <x:c r="E2143" s="11" t="str">
        <x:v>CNY</x:v>
      </x:c>
      <x:c r="F2143" s="11" t="n">
        <x:v>13.229295003422314</x:v>
      </x:c>
      <x:c r="G2143" s="26" t="b">
        <x:v>1</x:v>
      </x:c>
      <x:c r="H2143" s="16" t="n">
        <x:v>0.24</x:v>
      </x:c>
      <x:c r="I2143" s="16" t="n">
        <x:v>0.286</x:v>
      </x:c>
      <x:c r="J2143" s="16" t="n">
        <x:v>0</x:v>
      </x:c>
      <x:c r="K2143" s="11" t="n">
        <x:f>CHOOSE('假设'!$B$3,H2143,I2143,J2143)</x:f>
        <x:v>0.286</x:v>
      </x:c>
      <x:c r="L2143" s="11" t="n">
        <x:f>K2143*'管线假设'!E471*'管线假设'!F471*'管线假设'!G471*IF(E2143="USD",'管线假设'!I471,1)-AM2143</x:f>
        <x:v>0.030890287999999995</x:v>
      </x:c>
      <x:c r="M2143" s="11" t="n">
        <x:f>'管线假设'!H471</x:f>
        <x:v>0.14</x:v>
      </x:c>
      <x:c r="N2143" s="11" t="n">
        <x:f>IF(G2143,L2143*AN2143/(1+M2143)^F2143,0)</x:f>
        <x:v>0.005457715486495237</x:v>
      </x:c>
      <x:c r="AJ2143" t="n">
        <x:v>0</x:v>
      </x:c>
      <x:c r="AK2143" t="n">
        <x:v>0</x:v>
      </x:c>
      <x:c r="AL2143" t="n">
        <x:v>0</x:v>
      </x:c>
      <x:c r="AM2143" t="n">
        <x:f>CHOOSE('假设'!$B$3,AJ2143,AK2143,AL2143)</x:f>
        <x:v>0</x:v>
      </x:c>
      <x:c r="AN2143" t="n">
        <x:v>1</x:v>
      </x:c>
    </x:row>
    <x:row r="2144" ht="23" customHeight="1">
      <x:c r="A2144" s="11" t="str">
        <x:v>688302.SH</x:v>
      </x:c>
      <x:c r="B2144" s="11" t="str">
        <x:v>五年</x:v>
      </x:c>
      <x:c r="C2144" s="11" t="str">
        <x:v>hp518_combo_cn</x:v>
      </x:c>
      <x:c r="D2144" s="11" t="str">
        <x:v>2045-12-31</x:v>
      </x:c>
      <x:c r="E2144" s="11" t="str">
        <x:v>CNY</x:v>
      </x:c>
      <x:c r="F2144" s="11" t="n">
        <x:v>14.22861054072553</x:v>
      </x:c>
      <x:c r="G2144" s="26" t="b">
        <x:v>1</x:v>
      </x:c>
      <x:c r="H2144" s="16" t="n">
        <x:v>0.175</x:v>
      </x:c>
      <x:c r="I2144" s="16" t="n">
        <x:v>0.11699999999999997</x:v>
      </x:c>
      <x:c r="J2144" s="16" t="n">
        <x:v>0</x:v>
      </x:c>
      <x:c r="K2144" s="11" t="n">
        <x:f>CHOOSE('假设'!$B$3,H2144,I2144,J2144)</x:f>
        <x:v>0.11699999999999997</x:v>
      </x:c>
      <x:c r="L2144" s="11" t="n">
        <x:f>K2144*'管线假设'!E471*'管线假设'!F471*'管线假设'!G471*IF(E2144="USD",'管线假设'!I471,1)-AM2144</x:f>
        <x:v>0.012636935999999994</x:v>
      </x:c>
      <x:c r="M2144" s="11" t="n">
        <x:f>'管线假设'!H471</x:f>
        <x:v>0.14</x:v>
      </x:c>
      <x:c r="N2144" s="11" t="n">
        <x:f>IF(G2144,L2144*AN2144/(1+M2144)^F2144,0)</x:f>
        <x:v>0.0019586859968792852</x:v>
      </x:c>
      <x:c r="AJ2144" t="n">
        <x:v>0</x:v>
      </x:c>
      <x:c r="AK2144" t="n">
        <x:v>0</x:v>
      </x:c>
      <x:c r="AL2144" t="n">
        <x:v>0</x:v>
      </x:c>
      <x:c r="AM2144" t="n">
        <x:f>CHOOSE('假设'!$B$3,AJ2144,AK2144,AL2144)</x:f>
        <x:v>0</x:v>
      </x:c>
      <x:c r="AN2144" t="n">
        <x:v>1</x:v>
      </x:c>
    </x:row>
    <x:row r="2145" ht="23" customHeight="1">
      <x:c r="A2145" s="11" t="str">
        <x:v>688302.SH</x:v>
      </x:c>
      <x:c r="B2145" s="11" t="str">
        <x:v>五年</x:v>
      </x:c>
      <x:c r="C2145" s="11" t="str">
        <x:v>hp518_combo_global</x:v>
      </x:c>
      <x:c r="D2145" s="11" t="str">
        <x:v>2027-12-31</x:v>
      </x:c>
      <x:c r="E2145" s="11" t="str">
        <x:v>USD</x:v>
      </x:c>
      <x:c r="F2145" s="11" t="n">
        <x:v>-3.7727583846680357</x:v>
      </x:c>
      <x:c r="G2145" s="26" t="b">
        <x:v>0</x:v>
      </x:c>
      <x:c r="H2145" s="16" t="n">
        <x:v>0</x:v>
      </x:c>
      <x:c r="I2145" s="16" t="n">
        <x:v>0</x:v>
      </x:c>
      <x:c r="J2145" s="16" t="n">
        <x:v>0</x:v>
      </x:c>
      <x:c r="K2145" s="11" t="n">
        <x:f>CHOOSE('假设'!$B$3,H2145,I2145,J2145)</x:f>
        <x:v>0</x:v>
      </x:c>
      <x:c r="L2145" s="11" t="n">
        <x:f>K2145*'管线假设'!E475*'管线假设'!F475*'管线假设'!G475*IF(E2145="USD",'管线假设'!I475,1)-AM2145</x:f>
        <x:v>0</x:v>
      </x:c>
      <x:c r="M2145" s="11" t="n">
        <x:f>'管线假设'!H475</x:f>
        <x:v>0.14</x:v>
      </x:c>
      <x:c r="N2145" s="11" t="n">
        <x:f>IF(G2145,L2145*AN2145/(1+M2145)^F2145,0)</x:f>
        <x:v>0</x:v>
      </x:c>
      <x:c r="AJ2145" t="n">
        <x:v>0</x:v>
      </x:c>
      <x:c r="AK2145" t="n">
        <x:v>0</x:v>
      </x:c>
      <x:c r="AL2145" t="n">
        <x:v>0</x:v>
      </x:c>
      <x:c r="AM2145" t="n">
        <x:f>CHOOSE('假设'!$B$3,AJ2145,AK2145,AL2145)</x:f>
        <x:v>0</x:v>
      </x:c>
      <x:c r="AN2145" t="n">
        <x:v>1</x:v>
      </x:c>
    </x:row>
    <x:row r="2146" ht="23" customHeight="1">
      <x:c r="A2146" s="11" t="str">
        <x:v>688302.SH</x:v>
      </x:c>
      <x:c r="B2146" s="11" t="str">
        <x:v>五年</x:v>
      </x:c>
      <x:c r="C2146" s="11" t="str">
        <x:v>hp518_combo_global</x:v>
      </x:c>
      <x:c r="D2146" s="11" t="str">
        <x:v>2028-12-31</x:v>
      </x:c>
      <x:c r="E2146" s="11" t="str">
        <x:v>USD</x:v>
      </x:c>
      <x:c r="F2146" s="11" t="n">
        <x:v>-2.7707049965776864</x:v>
      </x:c>
      <x:c r="G2146" s="26" t="b">
        <x:v>0</x:v>
      </x:c>
      <x:c r="H2146" s="16" t="n">
        <x:v>0</x:v>
      </x:c>
      <x:c r="I2146" s="16" t="n">
        <x:v>0</x:v>
      </x:c>
      <x:c r="J2146" s="16" t="n">
        <x:v>0</x:v>
      </x:c>
      <x:c r="K2146" s="11" t="n">
        <x:f>CHOOSE('假设'!$B$3,H2146,I2146,J2146)</x:f>
        <x:v>0</x:v>
      </x:c>
      <x:c r="L2146" s="11" t="n">
        <x:f>K2146*'管线假设'!E475*'管线假设'!F475*'管线假设'!G475*IF(E2146="USD",'管线假设'!I475,1)-AM2146</x:f>
        <x:v>0</x:v>
      </x:c>
      <x:c r="M2146" s="11" t="n">
        <x:f>'管线假设'!H475</x:f>
        <x:v>0.14</x:v>
      </x:c>
      <x:c r="N2146" s="11" t="n">
        <x:f>IF(G2146,L2146*AN2146/(1+M2146)^F2146,0)</x:f>
        <x:v>0</x:v>
      </x:c>
      <x:c r="AJ2146" t="n">
        <x:v>0</x:v>
      </x:c>
      <x:c r="AK2146" t="n">
        <x:v>0</x:v>
      </x:c>
      <x:c r="AL2146" t="n">
        <x:v>0</x:v>
      </x:c>
      <x:c r="AM2146" t="n">
        <x:f>CHOOSE('假设'!$B$3,AJ2146,AK2146,AL2146)</x:f>
        <x:v>0</x:v>
      </x:c>
      <x:c r="AN2146" t="n">
        <x:v>1</x:v>
      </x:c>
    </x:row>
    <x:row r="2147" ht="23" customHeight="1">
      <x:c r="A2147" s="11" t="str">
        <x:v>688302.SH</x:v>
      </x:c>
      <x:c r="B2147" s="11" t="str">
        <x:v>五年</x:v>
      </x:c>
      <x:c r="C2147" s="11" t="str">
        <x:v>hp518_combo_global</x:v>
      </x:c>
      <x:c r="D2147" s="11" t="str">
        <x:v>2029-12-31</x:v>
      </x:c>
      <x:c r="E2147" s="11" t="str">
        <x:v>USD</x:v>
      </x:c>
      <x:c r="F2147" s="11" t="n">
        <x:v>-1.7713894592744694</x:v>
      </x:c>
      <x:c r="G2147" s="26" t="b">
        <x:v>0</x:v>
      </x:c>
      <x:c r="H2147" s="16" t="n">
        <x:v>0</x:v>
      </x:c>
      <x:c r="I2147" s="16" t="n">
        <x:v>0</x:v>
      </x:c>
      <x:c r="J2147" s="16" t="n">
        <x:v>0</x:v>
      </x:c>
      <x:c r="K2147" s="11" t="n">
        <x:f>CHOOSE('假设'!$B$3,H2147,I2147,J2147)</x:f>
        <x:v>0</x:v>
      </x:c>
      <x:c r="L2147" s="11" t="n">
        <x:f>K2147*'管线假设'!E475*'管线假设'!F475*'管线假设'!G475*IF(E2147="USD",'管线假设'!I475,1)-AM2147</x:f>
        <x:v>0</x:v>
      </x:c>
      <x:c r="M2147" s="11" t="n">
        <x:f>'管线假设'!H475</x:f>
        <x:v>0.14</x:v>
      </x:c>
      <x:c r="N2147" s="11" t="n">
        <x:f>IF(G2147,L2147*AN2147/(1+M2147)^F2147,0)</x:f>
        <x:v>0</x:v>
      </x:c>
      <x:c r="AJ2147" t="n">
        <x:v>0</x:v>
      </x:c>
      <x:c r="AK2147" t="n">
        <x:v>0</x:v>
      </x:c>
      <x:c r="AL2147" t="n">
        <x:v>0</x:v>
      </x:c>
      <x:c r="AM2147" t="n">
        <x:f>CHOOSE('假设'!$B$3,AJ2147,AK2147,AL2147)</x:f>
        <x:v>0</x:v>
      </x:c>
      <x:c r="AN2147" t="n">
        <x:v>1</x:v>
      </x:c>
    </x:row>
    <x:row r="2148" ht="23" customHeight="1">
      <x:c r="A2148" s="11" t="str">
        <x:v>688302.SH</x:v>
      </x:c>
      <x:c r="B2148" s="11" t="str">
        <x:v>五年</x:v>
      </x:c>
      <x:c r="C2148" s="11" t="str">
        <x:v>hp518_combo_global</x:v>
      </x:c>
      <x:c r="D2148" s="11" t="str">
        <x:v>2030-12-31</x:v>
      </x:c>
      <x:c r="E2148" s="11" t="str">
        <x:v>USD</x:v>
      </x:c>
      <x:c r="F2148" s="11" t="n">
        <x:v>-0.7720739219712526</x:v>
      </x:c>
      <x:c r="G2148" s="26" t="b">
        <x:v>0</x:v>
      </x:c>
      <x:c r="H2148" s="16" t="n">
        <x:v>0</x:v>
      </x:c>
      <x:c r="I2148" s="16" t="n">
        <x:v>0</x:v>
      </x:c>
      <x:c r="J2148" s="16" t="n">
        <x:v>0</x:v>
      </x:c>
      <x:c r="K2148" s="11" t="n">
        <x:f>CHOOSE('假设'!$B$3,H2148,I2148,J2148)</x:f>
        <x:v>0</x:v>
      </x:c>
      <x:c r="L2148" s="11" t="n">
        <x:f>K2148*'管线假设'!E475*'管线假设'!F475*'管线假设'!G475*IF(E2148="USD",'管线假设'!I475,1)-AM2148</x:f>
        <x:v>0</x:v>
      </x:c>
      <x:c r="M2148" s="11" t="n">
        <x:f>'管线假设'!H475</x:f>
        <x:v>0.14</x:v>
      </x:c>
      <x:c r="N2148" s="11" t="n">
        <x:f>IF(G2148,L2148*AN2148/(1+M2148)^F2148,0)</x:f>
        <x:v>0</x:v>
      </x:c>
      <x:c r="AJ2148" t="n">
        <x:v>0</x:v>
      </x:c>
      <x:c r="AK2148" t="n">
        <x:v>0</x:v>
      </x:c>
      <x:c r="AL2148" t="n">
        <x:v>0</x:v>
      </x:c>
      <x:c r="AM2148" t="n">
        <x:f>CHOOSE('假设'!$B$3,AJ2148,AK2148,AL2148)</x:f>
        <x:v>0</x:v>
      </x:c>
      <x:c r="AN2148" t="n">
        <x:v>1</x:v>
      </x:c>
    </x:row>
    <x:row r="2149" ht="23" customHeight="1">
      <x:c r="A2149" s="11" t="str">
        <x:v>688302.SH</x:v>
      </x:c>
      <x:c r="B2149" s="11" t="str">
        <x:v>五年</x:v>
      </x:c>
      <x:c r="C2149" s="11" t="str">
        <x:v>hp518_combo_global</x:v>
      </x:c>
      <x:c r="D2149" s="11" t="str">
        <x:v>2031-12-31</x:v>
      </x:c>
      <x:c r="E2149" s="11" t="str">
        <x:v>USD</x:v>
      </x:c>
      <x:c r="F2149" s="11" t="n">
        <x:v>0.2272416153319644</x:v>
      </x:c>
      <x:c r="G2149" s="26" t="b">
        <x:v>1</x:v>
      </x:c>
      <x:c r="H2149" s="16" t="n">
        <x:v>0</x:v>
      </x:c>
      <x:c r="I2149" s="16" t="n">
        <x:v>0</x:v>
      </x:c>
      <x:c r="J2149" s="16" t="n">
        <x:v>0</x:v>
      </x:c>
      <x:c r="K2149" s="11" t="n">
        <x:f>CHOOSE('假设'!$B$3,H2149,I2149,J2149)</x:f>
        <x:v>0</x:v>
      </x:c>
      <x:c r="L2149" s="11" t="n">
        <x:f>K2149*'管线假设'!E475*'管线假设'!F475*'管线假设'!G475*IF(E2149="USD",'管线假设'!I475,1)-AM2149</x:f>
        <x:v>0</x:v>
      </x:c>
      <x:c r="M2149" s="11" t="n">
        <x:f>'管线假设'!H475</x:f>
        <x:v>0.14</x:v>
      </x:c>
      <x:c r="N2149" s="11" t="n">
        <x:f>IF(G2149,L2149*AN2149/(1+M2149)^F2149,0)</x:f>
        <x:v>0</x:v>
      </x:c>
      <x:c r="AJ2149" t="n">
        <x:v>0</x:v>
      </x:c>
      <x:c r="AK2149" t="n">
        <x:v>0</x:v>
      </x:c>
      <x:c r="AL2149" t="n">
        <x:v>0</x:v>
      </x:c>
      <x:c r="AM2149" t="n">
        <x:f>CHOOSE('假设'!$B$3,AJ2149,AK2149,AL2149)</x:f>
        <x:v>0</x:v>
      </x:c>
      <x:c r="AN2149" t="n">
        <x:v>1</x:v>
      </x:c>
    </x:row>
    <x:row r="2150" ht="23" customHeight="1">
      <x:c r="A2150" s="11" t="str">
        <x:v>688302.SH</x:v>
      </x:c>
      <x:c r="B2150" s="11" t="str">
        <x:v>五年</x:v>
      </x:c>
      <x:c r="C2150" s="11" t="str">
        <x:v>hp518_combo_global</x:v>
      </x:c>
      <x:c r="D2150" s="11" t="str">
        <x:v>2032-12-31</x:v>
      </x:c>
      <x:c r="E2150" s="11" t="str">
        <x:v>USD</x:v>
      </x:c>
      <x:c r="F2150" s="11" t="n">
        <x:v>1.2292950034223136</x:v>
      </x:c>
      <x:c r="G2150" s="26" t="b">
        <x:v>1</x:v>
      </x:c>
      <x:c r="H2150" s="16" t="n">
        <x:v>0</x:v>
      </x:c>
      <x:c r="I2150" s="16" t="n">
        <x:v>0</x:v>
      </x:c>
      <x:c r="J2150" s="16" t="n">
        <x:v>0.5</x:v>
      </x:c>
      <x:c r="K2150" s="11" t="n">
        <x:f>CHOOSE('假设'!$B$3,H2150,I2150,J2150)</x:f>
        <x:v>0</x:v>
      </x:c>
      <x:c r="L2150" s="11" t="n">
        <x:f>K2150*'管线假设'!E475*'管线假设'!F475*'管线假设'!G475*IF(E2150="USD",'管线假设'!I475,1)-AM2150</x:f>
        <x:v>0</x:v>
      </x:c>
      <x:c r="M2150" s="11" t="n">
        <x:f>'管线假设'!H475</x:f>
        <x:v>0.14</x:v>
      </x:c>
      <x:c r="N2150" s="11" t="n">
        <x:f>IF(G2150,L2150*AN2150/(1+M2150)^F2150,0)</x:f>
        <x:v>0</x:v>
      </x:c>
      <x:c r="AJ2150" t="n">
        <x:v>0</x:v>
      </x:c>
      <x:c r="AK2150" t="n">
        <x:v>0</x:v>
      </x:c>
      <x:c r="AL2150" t="n">
        <x:v>0</x:v>
      </x:c>
      <x:c r="AM2150" t="n">
        <x:f>CHOOSE('假设'!$B$3,AJ2150,AK2150,AL2150)</x:f>
        <x:v>0</x:v>
      </x:c>
      <x:c r="AN2150" t="n">
        <x:v>1</x:v>
      </x:c>
    </x:row>
    <x:row r="2151" ht="23" customHeight="1">
      <x:c r="A2151" s="11" t="str">
        <x:v>688302.SH</x:v>
      </x:c>
      <x:c r="B2151" s="11" t="str">
        <x:v>五年</x:v>
      </x:c>
      <x:c r="C2151" s="11" t="str">
        <x:v>hp518_combo_global</x:v>
      </x:c>
      <x:c r="D2151" s="11" t="str">
        <x:v>2033-12-31</x:v>
      </x:c>
      <x:c r="E2151" s="11" t="str">
        <x:v>USD</x:v>
      </x:c>
      <x:c r="F2151" s="11" t="n">
        <x:v>2.2286105407255303</x:v>
      </x:c>
      <x:c r="G2151" s="26" t="b">
        <x:v>1</x:v>
      </x:c>
      <x:c r="H2151" s="16" t="n">
        <x:v>0</x:v>
      </x:c>
      <x:c r="I2151" s="16" t="n">
        <x:v>0</x:v>
      </x:c>
      <x:c r="J2151" s="16" t="n">
        <x:v>1</x:v>
      </x:c>
      <x:c r="K2151" s="11" t="n">
        <x:f>CHOOSE('假设'!$B$3,H2151,I2151,J2151)</x:f>
        <x:v>0</x:v>
      </x:c>
      <x:c r="L2151" s="11" t="n">
        <x:f>K2151*'管线假设'!E475*'管线假设'!F475*'管线假设'!G475*IF(E2151="USD",'管线假设'!I475,1)-AM2151</x:f>
        <x:v>0</x:v>
      </x:c>
      <x:c r="M2151" s="11" t="n">
        <x:f>'管线假设'!H475</x:f>
        <x:v>0.14</x:v>
      </x:c>
      <x:c r="N2151" s="11" t="n">
        <x:f>IF(G2151,L2151*AN2151/(1+M2151)^F2151,0)</x:f>
        <x:v>0</x:v>
      </x:c>
      <x:c r="AJ2151" t="n">
        <x:v>0</x:v>
      </x:c>
      <x:c r="AK2151" t="n">
        <x:v>0</x:v>
      </x:c>
      <x:c r="AL2151" t="n">
        <x:v>0</x:v>
      </x:c>
      <x:c r="AM2151" t="n">
        <x:f>CHOOSE('假设'!$B$3,AJ2151,AK2151,AL2151)</x:f>
        <x:v>0</x:v>
      </x:c>
      <x:c r="AN2151" t="n">
        <x:v>1</x:v>
      </x:c>
    </x:row>
    <x:row r="2152" ht="23" customHeight="1">
      <x:c r="A2152" s="11" t="str">
        <x:v>688302.SH</x:v>
      </x:c>
      <x:c r="B2152" s="11" t="str">
        <x:v>五年</x:v>
      </x:c>
      <x:c r="C2152" s="11" t="str">
        <x:v>hp518_combo_global</x:v>
      </x:c>
      <x:c r="D2152" s="11" t="str">
        <x:v>2034-12-31</x:v>
      </x:c>
      <x:c r="E2152" s="11" t="str">
        <x:v>USD</x:v>
      </x:c>
      <x:c r="F2152" s="11" t="n">
        <x:v>3.2279260780287475</x:v>
      </x:c>
      <x:c r="G2152" s="26" t="b">
        <x:v>1</x:v>
      </x:c>
      <x:c r="H2152" s="16" t="n">
        <x:v>0</x:v>
      </x:c>
      <x:c r="I2152" s="16" t="n">
        <x:v>0.26666666666666666</x:v>
      </x:c>
      <x:c r="J2152" s="16" t="n">
        <x:v>1.5</x:v>
      </x:c>
      <x:c r="K2152" s="11" t="n">
        <x:f>CHOOSE('假设'!$B$3,H2152,I2152,J2152)</x:f>
        <x:v>0.26666666666666666</x:v>
      </x:c>
      <x:c r="L2152" s="11" t="n">
        <x:f>K2152*'管线假设'!E475*'管线假设'!F475*'管线假设'!G475*IF(E2152="USD",'管线假设'!I475,1)-AM2152</x:f>
        <x:v>0.056473728</x:v>
      </x:c>
      <x:c r="M2152" s="11" t="n">
        <x:f>'管线假设'!H475</x:f>
        <x:v>0.14</x:v>
      </x:c>
      <x:c r="N2152" s="11" t="n">
        <x:f>IF(G2152,L2152*AN2152/(1+M2152)^F2152,0)</x:f>
        <x:v>0.03699659915461302</x:v>
      </x:c>
      <x:c r="AJ2152" t="n">
        <x:v>0</x:v>
      </x:c>
      <x:c r="AK2152" t="n">
        <x:v>0</x:v>
      </x:c>
      <x:c r="AL2152" t="n">
        <x:v>0</x:v>
      </x:c>
      <x:c r="AM2152" t="n">
        <x:f>CHOOSE('假设'!$B$3,AJ2152,AK2152,AL2152)</x:f>
        <x:v>0</x:v>
      </x:c>
      <x:c r="AN2152" t="n">
        <x:v>1</x:v>
      </x:c>
    </x:row>
    <x:row r="2153" ht="23" customHeight="1">
      <x:c r="A2153" s="11" t="str">
        <x:v>688302.SH</x:v>
      </x:c>
      <x:c r="B2153" s="11" t="str">
        <x:v>五年</x:v>
      </x:c>
      <x:c r="C2153" s="11" t="str">
        <x:v>hp518_combo_global</x:v>
      </x:c>
      <x:c r="D2153" s="11" t="str">
        <x:v>2035-12-31</x:v>
      </x:c>
      <x:c r="E2153" s="11" t="str">
        <x:v>USD</x:v>
      </x:c>
      <x:c r="F2153" s="11" t="n">
        <x:v>4.227241615331964</x:v>
      </x:c>
      <x:c r="G2153" s="26" t="b">
        <x:v>1</x:v>
      </x:c>
      <x:c r="H2153" s="16" t="n">
        <x:v>0</x:v>
      </x:c>
      <x:c r="I2153" s="16" t="n">
        <x:v>0.5333333333333333</x:v>
      </x:c>
      <x:c r="J2153" s="16" t="n">
        <x:v>2</x:v>
      </x:c>
      <x:c r="K2153" s="11" t="n">
        <x:f>CHOOSE('假设'!$B$3,H2153,I2153,J2153)</x:f>
        <x:v>0.5333333333333333</x:v>
      </x:c>
      <x:c r="L2153" s="11" t="n">
        <x:f>K2153*'管线假设'!E475*'管线假设'!F475*'管线假设'!G475*IF(E2153="USD",'管线假设'!I475,1)-AM2153</x:f>
        <x:v>0.112947456</x:v>
      </x:c>
      <x:c r="M2153" s="11" t="n">
        <x:f>'管线假设'!H475</x:f>
        <x:v>0.14</x:v>
      </x:c>
      <x:c r="N2153" s="11" t="n">
        <x:f>IF(G2153,L2153*AN2153/(1+M2153)^F2153,0)</x:f>
        <x:v>0.06491213562252995</x:v>
      </x:c>
      <x:c r="AJ2153" t="n">
        <x:v>0</x:v>
      </x:c>
      <x:c r="AK2153" t="n">
        <x:v>0</x:v>
      </x:c>
      <x:c r="AL2153" t="n">
        <x:v>0</x:v>
      </x:c>
      <x:c r="AM2153" t="n">
        <x:f>CHOOSE('假设'!$B$3,AJ2153,AK2153,AL2153)</x:f>
        <x:v>0</x:v>
      </x:c>
      <x:c r="AN2153" t="n">
        <x:v>1</x:v>
      </x:c>
    </x:row>
    <x:row r="2154" ht="23" customHeight="1">
      <x:c r="A2154" s="11" t="str">
        <x:v>688302.SH</x:v>
      </x:c>
      <x:c r="B2154" s="11" t="str">
        <x:v>五年</x:v>
      </x:c>
      <x:c r="C2154" s="11" t="str">
        <x:v>hp518_combo_global</x:v>
      </x:c>
      <x:c r="D2154" s="11" t="str">
        <x:v>2036-12-31</x:v>
      </x:c>
      <x:c r="E2154" s="11" t="str">
        <x:v>USD</x:v>
      </x:c>
      <x:c r="F2154" s="11" t="n">
        <x:v>5.229295003422314</x:v>
      </x:c>
      <x:c r="G2154" s="26" t="b">
        <x:v>1</x:v>
      </x:c>
      <x:c r="H2154" s="16" t="n">
        <x:v>0</x:v>
      </x:c>
      <x:c r="I2154" s="16" t="n">
        <x:v>0.8</x:v>
      </x:c>
      <x:c r="J2154" s="16" t="n">
        <x:v>2.5</x:v>
      </x:c>
      <x:c r="K2154" s="11" t="n">
        <x:f>CHOOSE('假设'!$B$3,H2154,I2154,J2154)</x:f>
        <x:v>0.8</x:v>
      </x:c>
      <x:c r="L2154" s="11" t="n">
        <x:f>K2154*'管线假设'!E475*'管线假设'!F475*'管线假设'!G475*IF(E2154="USD",'管线假设'!I475,1)-AM2154</x:f>
        <x:v>0.16942118399999997</x:v>
      </x:c>
      <x:c r="M2154" s="11" t="n">
        <x:f>'管线假设'!H475</x:f>
        <x:v>0.14</x:v>
      </x:c>
      <x:c r="N2154" s="11" t="n">
        <x:f>IF(G2154,L2154*AN2154/(1+M2154)^F2154,0)</x:f>
        <x:v>0.085387727947467</x:v>
      </x:c>
      <x:c r="AJ2154" t="n">
        <x:v>0</x:v>
      </x:c>
      <x:c r="AK2154" t="n">
        <x:v>0</x:v>
      </x:c>
      <x:c r="AL2154" t="n">
        <x:v>0</x:v>
      </x:c>
      <x:c r="AM2154" t="n">
        <x:f>CHOOSE('假设'!$B$3,AJ2154,AK2154,AL2154)</x:f>
        <x:v>0</x:v>
      </x:c>
      <x:c r="AN2154" t="n">
        <x:v>1</x:v>
      </x:c>
    </x:row>
    <x:row r="2155" ht="23" customHeight="1">
      <x:c r="A2155" s="11" t="str">
        <x:v>688302.SH</x:v>
      </x:c>
      <x:c r="B2155" s="11" t="str">
        <x:v>五年</x:v>
      </x:c>
      <x:c r="C2155" s="11" t="str">
        <x:v>hp518_combo_global</x:v>
      </x:c>
      <x:c r="D2155" s="11" t="str">
        <x:v>2037-12-31</x:v>
      </x:c>
      <x:c r="E2155" s="11" t="str">
        <x:v>USD</x:v>
      </x:c>
      <x:c r="F2155" s="11" t="n">
        <x:v>6.228610540725531</x:v>
      </x:c>
      <x:c r="G2155" s="26" t="b">
        <x:v>1</x:v>
      </x:c>
      <x:c r="H2155" s="16" t="n">
        <x:v>0.1</x:v>
      </x:c>
      <x:c r="I2155" s="16" t="n">
        <x:v>1.0666666666666667</x:v>
      </x:c>
      <x:c r="J2155" s="16" t="n">
        <x:v>3</x:v>
      </x:c>
      <x:c r="K2155" s="11" t="n">
        <x:f>CHOOSE('假设'!$B$3,H2155,I2155,J2155)</x:f>
        <x:v>1.0666666666666667</x:v>
      </x:c>
      <x:c r="L2155" s="11" t="n">
        <x:f>K2155*'管线假设'!E475*'管线假设'!F475*'管线假设'!G475*IF(E2155="USD",'管线假设'!I475,1)-AM2155</x:f>
        <x:v>0.225894912</x:v>
      </x:c>
      <x:c r="M2155" s="11" t="n">
        <x:f>'管线假设'!H475</x:f>
        <x:v>0.14</x:v>
      </x:c>
      <x:c r="N2155" s="11" t="n">
        <x:f>IF(G2155,L2155*AN2155/(1+M2155)^F2155,0)</x:f>
        <x:v>0.09987764467867428</x:v>
      </x:c>
      <x:c r="AJ2155" t="n">
        <x:v>0</x:v>
      </x:c>
      <x:c r="AK2155" t="n">
        <x:v>0</x:v>
      </x:c>
      <x:c r="AL2155" t="n">
        <x:v>0</x:v>
      </x:c>
      <x:c r="AM2155" t="n">
        <x:f>CHOOSE('假设'!$B$3,AJ2155,AK2155,AL2155)</x:f>
        <x:v>0</x:v>
      </x:c>
      <x:c r="AN2155" t="n">
        <x:v>1</x:v>
      </x:c>
    </x:row>
    <x:row r="2156" ht="23" customHeight="1">
      <x:c r="A2156" s="11" t="str">
        <x:v>688302.SH</x:v>
      </x:c>
      <x:c r="B2156" s="11" t="str">
        <x:v>五年</x:v>
      </x:c>
      <x:c r="C2156" s="11" t="str">
        <x:v>hp518_combo_global</x:v>
      </x:c>
      <x:c r="D2156" s="11" t="str">
        <x:v>2038-12-31</x:v>
      </x:c>
      <x:c r="E2156" s="11" t="str">
        <x:v>USD</x:v>
      </x:c>
      <x:c r="F2156" s="11" t="n">
        <x:v>7.227926078028747</x:v>
      </x:c>
      <x:c r="G2156" s="26" t="b">
        <x:v>1</x:v>
      </x:c>
      <x:c r="H2156" s="16" t="n">
        <x:v>0.2</x:v>
      </x:c>
      <x:c r="I2156" s="16" t="n">
        <x:v>1.3333333333333335</x:v>
      </x:c>
      <x:c r="J2156" s="16" t="n">
        <x:v>2.61</x:v>
      </x:c>
      <x:c r="K2156" s="11" t="n">
        <x:f>CHOOSE('假设'!$B$3,H2156,I2156,J2156)</x:f>
        <x:v>1.3333333333333335</x:v>
      </x:c>
      <x:c r="L2156" s="11" t="n">
        <x:f>K2156*'管线假设'!E475*'管线假设'!F475*'管线假设'!G475*IF(E2156="USD",'管线假设'!I475,1)-AM2156</x:f>
        <x:v>0.28236864</x:v>
      </x:c>
      <x:c r="M2156" s="11" t="n">
        <x:f>'管线假设'!H475</x:f>
        <x:v>0.14</x:v>
      </x:c>
      <x:c r="N2156" s="11" t="n">
        <x:f>IF(G2156,L2156*AN2156/(1+M2156)^F2156,0)</x:f>
        <x:v>0.10952478344608498</x:v>
      </x:c>
      <x:c r="AJ2156" t="n">
        <x:v>0</x:v>
      </x:c>
      <x:c r="AK2156" t="n">
        <x:v>0</x:v>
      </x:c>
      <x:c r="AL2156" t="n">
        <x:v>0</x:v>
      </x:c>
      <x:c r="AM2156" t="n">
        <x:f>CHOOSE('假设'!$B$3,AJ2156,AK2156,AL2156)</x:f>
        <x:v>0</x:v>
      </x:c>
      <x:c r="AN2156" t="n">
        <x:v>1</x:v>
      </x:c>
    </x:row>
    <x:row r="2157" ht="23" customHeight="1">
      <x:c r="A2157" s="11" t="str">
        <x:v>688302.SH</x:v>
      </x:c>
      <x:c r="B2157" s="11" t="str">
        <x:v>五年</x:v>
      </x:c>
      <x:c r="C2157" s="11" t="str">
        <x:v>hp518_combo_global</x:v>
      </x:c>
      <x:c r="D2157" s="11" t="str">
        <x:v>2039-12-31</x:v>
      </x:c>
      <x:c r="E2157" s="11" t="str">
        <x:v>USD</x:v>
      </x:c>
      <x:c r="F2157" s="11" t="n">
        <x:v>8.227241615331964</x:v>
      </x:c>
      <x:c r="G2157" s="26" t="b">
        <x:v>1</x:v>
      </x:c>
      <x:c r="H2157" s="16" t="n">
        <x:v>0.3</x:v>
      </x:c>
      <x:c r="I2157" s="16" t="n">
        <x:v>1.6</x:v>
      </x:c>
      <x:c r="J2157" s="16" t="n">
        <x:v>2.2199999999999998</x:v>
      </x:c>
      <x:c r="K2157" s="11" t="n">
        <x:f>CHOOSE('假设'!$B$3,H2157,I2157,J2157)</x:f>
        <x:v>1.6</x:v>
      </x:c>
      <x:c r="L2157" s="11" t="n">
        <x:f>K2157*'管线假设'!E475*'管线假设'!F475*'管线假设'!G475*IF(E2157="USD",'管线假设'!I475,1)-AM2157</x:f>
        <x:v>0.33884236799999995</x:v>
      </x:c>
      <x:c r="M2157" s="11" t="n">
        <x:f>'管线假设'!H475</x:f>
        <x:v>0.14</x:v>
      </x:c>
      <x:c r="N2157" s="11" t="n">
        <x:f>IF(G2157,L2157*AN2157/(1+M2157)^F2157,0)</x:f>
        <x:v>0.11529958579223666</x:v>
      </x:c>
      <x:c r="AJ2157" t="n">
        <x:v>0</x:v>
      </x:c>
      <x:c r="AK2157" t="n">
        <x:v>0</x:v>
      </x:c>
      <x:c r="AL2157" t="n">
        <x:v>0</x:v>
      </x:c>
      <x:c r="AM2157" t="n">
        <x:f>CHOOSE('假设'!$B$3,AJ2157,AK2157,AL2157)</x:f>
        <x:v>0</x:v>
      </x:c>
      <x:c r="AN2157" t="n">
        <x:v>1</x:v>
      </x:c>
    </x:row>
    <x:row r="2158" ht="23" customHeight="1">
      <x:c r="A2158" s="11" t="str">
        <x:v>688302.SH</x:v>
      </x:c>
      <x:c r="B2158" s="11" t="str">
        <x:v>五年</x:v>
      </x:c>
      <x:c r="C2158" s="11" t="str">
        <x:v>hp518_combo_global</x:v>
      </x:c>
      <x:c r="D2158" s="11" t="str">
        <x:v>2040-12-31</x:v>
      </x:c>
      <x:c r="E2158" s="11" t="str">
        <x:v>USD</x:v>
      </x:c>
      <x:c r="F2158" s="11" t="n">
        <x:v>9.229295003422314</x:v>
      </x:c>
      <x:c r="G2158" s="26" t="b">
        <x:v>1</x:v>
      </x:c>
      <x:c r="H2158" s="16" t="n">
        <x:v>0.4</x:v>
      </x:c>
      <x:c r="I2158" s="16" t="n">
        <x:v>1.3920000000000001</x:v>
      </x:c>
      <x:c r="J2158" s="16" t="n">
        <x:v>1.83</x:v>
      </x:c>
      <x:c r="K2158" s="11" t="n">
        <x:f>CHOOSE('假设'!$B$3,H2158,I2158,J2158)</x:f>
        <x:v>1.3920000000000001</x:v>
      </x:c>
      <x:c r="L2158" s="11" t="n">
        <x:f>K2158*'管线假设'!E475*'管线假设'!F475*'管线假设'!G475*IF(E2158="USD",'管线假设'!I475,1)-AM2158</x:f>
        <x:v>0.29479286016</x:v>
      </x:c>
      <x:c r="M2158" s="11" t="n">
        <x:f>'管线假设'!H475</x:f>
        <x:v>0.14</x:v>
      </x:c>
      <x:c r="N2158" s="11" t="n">
        <x:f>IF(G2158,L2158*AN2158/(1+M2158)^F2158,0)</x:f>
        <x:v>0.087968117986035</x:v>
      </x:c>
      <x:c r="AJ2158" t="n">
        <x:v>0</x:v>
      </x:c>
      <x:c r="AK2158" t="n">
        <x:v>0</x:v>
      </x:c>
      <x:c r="AL2158" t="n">
        <x:v>0</x:v>
      </x:c>
      <x:c r="AM2158" t="n">
        <x:f>CHOOSE('假设'!$B$3,AJ2158,AK2158,AL2158)</x:f>
        <x:v>0</x:v>
      </x:c>
      <x:c r="AN2158" t="n">
        <x:v>1</x:v>
      </x:c>
    </x:row>
    <x:row r="2159" ht="23" customHeight="1">
      <x:c r="A2159" s="11" t="str">
        <x:v>688302.SH</x:v>
      </x:c>
      <x:c r="B2159" s="11" t="str">
        <x:v>五年</x:v>
      </x:c>
      <x:c r="C2159" s="11" t="str">
        <x:v>hp518_combo_global</x:v>
      </x:c>
      <x:c r="D2159" s="11" t="str">
        <x:v>2041-12-31</x:v>
      </x:c>
      <x:c r="E2159" s="11" t="str">
        <x:v>USD</x:v>
      </x:c>
      <x:c r="F2159" s="11" t="n">
        <x:v>10.22861054072553</x:v>
      </x:c>
      <x:c r="G2159" s="26" t="b">
        <x:v>1</x:v>
      </x:c>
      <x:c r="H2159" s="16" t="n">
        <x:v>0.5</x:v>
      </x:c>
      <x:c r="I2159" s="16" t="n">
        <x:v>1.184</x:v>
      </x:c>
      <x:c r="J2159" s="16" t="n">
        <x:v>1.44</x:v>
      </x:c>
      <x:c r="K2159" s="11" t="n">
        <x:f>CHOOSE('假设'!$B$3,H2159,I2159,J2159)</x:f>
        <x:v>1.184</x:v>
      </x:c>
      <x:c r="L2159" s="11" t="n">
        <x:f>K2159*'管线假设'!E475*'管线假设'!F475*'管线假设'!G475*IF(E2159="USD",'管线假设'!I475,1)-AM2159</x:f>
        <x:v>0.25074335231999995</x:v>
      </x:c>
      <x:c r="M2159" s="11" t="n">
        <x:f>'管线假设'!H475</x:f>
        <x:v>0.14</x:v>
      </x:c>
      <x:c r="N2159" s="11" t="n">
        <x:f>IF(G2159,L2159*AN2159/(1+M2159)^F2159,0)</x:f>
        <x:v>0.06564049775651806</x:v>
      </x:c>
      <x:c r="AJ2159" t="n">
        <x:v>0</x:v>
      </x:c>
      <x:c r="AK2159" t="n">
        <x:v>0</x:v>
      </x:c>
      <x:c r="AL2159" t="n">
        <x:v>0</x:v>
      </x:c>
      <x:c r="AM2159" t="n">
        <x:f>CHOOSE('假设'!$B$3,AJ2159,AK2159,AL2159)</x:f>
        <x:v>0</x:v>
      </x:c>
      <x:c r="AN2159" t="n">
        <x:v>1</x:v>
      </x:c>
    </x:row>
    <x:row r="2160" ht="23" customHeight="1">
      <x:c r="A2160" s="11" t="str">
        <x:v>688302.SH</x:v>
      </x:c>
      <x:c r="B2160" s="11" t="str">
        <x:v>五年</x:v>
      </x:c>
      <x:c r="C2160" s="11" t="str">
        <x:v>hp518_combo_global</x:v>
      </x:c>
      <x:c r="D2160" s="11" t="str">
        <x:v>2042-12-31</x:v>
      </x:c>
      <x:c r="E2160" s="11" t="str">
        <x:v>USD</x:v>
      </x:c>
      <x:c r="F2160" s="11" t="n">
        <x:v>11.227926078028748</x:v>
      </x:c>
      <x:c r="G2160" s="26" t="b">
        <x:v>1</x:v>
      </x:c>
      <x:c r="H2160" s="16" t="n">
        <x:v>0.435</x:v>
      </x:c>
      <x:c r="I2160" s="16" t="n">
        <x:v>0.976</x:v>
      </x:c>
      <x:c r="J2160" s="16" t="n">
        <x:v>1.0499999999999998</x:v>
      </x:c>
      <x:c r="K2160" s="11" t="n">
        <x:f>CHOOSE('假设'!$B$3,H2160,I2160,J2160)</x:f>
        <x:v>0.976</x:v>
      </x:c>
      <x:c r="L2160" s="11" t="n">
        <x:f>K2160*'管线假设'!E475*'管线假设'!F475*'管线假设'!G475*IF(E2160="USD",'管线假设'!I475,1)-AM2160</x:f>
        <x:v>0.20669384447999997</x:v>
      </x:c>
      <x:c r="M2160" s="11" t="n">
        <x:f>'管线假设'!H475</x:f>
        <x:v>0.14</x:v>
      </x:c>
      <x:c r="N2160" s="11" t="n">
        <x:f>IF(G2160,L2160*AN2160/(1+M2160)^F2160,0)</x:f>
        <x:v>0.04746834376634091</x:v>
      </x:c>
      <x:c r="AJ2160" t="n">
        <x:v>0</x:v>
      </x:c>
      <x:c r="AK2160" t="n">
        <x:v>0</x:v>
      </x:c>
      <x:c r="AL2160" t="n">
        <x:v>0</x:v>
      </x:c>
      <x:c r="AM2160" t="n">
        <x:f>CHOOSE('假设'!$B$3,AJ2160,AK2160,AL2160)</x:f>
        <x:v>0</x:v>
      </x:c>
      <x:c r="AN2160" t="n">
        <x:v>1</x:v>
      </x:c>
    </x:row>
    <x:row r="2161" ht="23" customHeight="1">
      <x:c r="A2161" s="11" t="str">
        <x:v>688302.SH</x:v>
      </x:c>
      <x:c r="B2161" s="11" t="str">
        <x:v>五年</x:v>
      </x:c>
      <x:c r="C2161" s="11" t="str">
        <x:v>hp518_combo_global</x:v>
      </x:c>
      <x:c r="D2161" s="11" t="str">
        <x:v>2043-12-31</x:v>
      </x:c>
      <x:c r="E2161" s="11" t="str">
        <x:v>USD</x:v>
      </x:c>
      <x:c r="F2161" s="11" t="n">
        <x:v>12.227241615331964</x:v>
      </x:c>
      <x:c r="G2161" s="26" t="b">
        <x:v>1</x:v>
      </x:c>
      <x:c r="H2161" s="16" t="n">
        <x:v>0.37</x:v>
      </x:c>
      <x:c r="I2161" s="16" t="n">
        <x:v>0.768</x:v>
      </x:c>
      <x:c r="J2161" s="16" t="n">
        <x:v>0.6599999999999999</x:v>
      </x:c>
      <x:c r="K2161" s="11" t="n">
        <x:f>CHOOSE('假设'!$B$3,H2161,I2161,J2161)</x:f>
        <x:v>0.768</x:v>
      </x:c>
      <x:c r="L2161" s="11" t="n">
        <x:f>K2161*'管线假设'!E475*'管线假设'!F475*'管线假设'!G475*IF(E2161="USD",'管线假设'!I475,1)-AM2161</x:f>
        <x:v>0.16264433663999997</x:v>
      </x:c>
      <x:c r="M2161" s="11" t="n">
        <x:f>'管线假设'!H475</x:f>
        <x:v>0.14</x:v>
      </x:c>
      <x:c r="N2161" s="11" t="n">
        <x:f>IF(G2161,L2161*AN2161/(1+M2161)^F2161,0)</x:f>
        <x:v>0.03276797315353701</x:v>
      </x:c>
      <x:c r="AJ2161" t="n">
        <x:v>0</x:v>
      </x:c>
      <x:c r="AK2161" t="n">
        <x:v>0</x:v>
      </x:c>
      <x:c r="AL2161" t="n">
        <x:v>0</x:v>
      </x:c>
      <x:c r="AM2161" t="n">
        <x:f>CHOOSE('假设'!$B$3,AJ2161,AK2161,AL2161)</x:f>
        <x:v>0</x:v>
      </x:c>
      <x:c r="AN2161" t="n">
        <x:v>1</x:v>
      </x:c>
    </x:row>
    <x:row r="2162" ht="23" customHeight="1">
      <x:c r="A2162" s="11" t="str">
        <x:v>688302.SH</x:v>
      </x:c>
      <x:c r="B2162" s="11" t="str">
        <x:v>五年</x:v>
      </x:c>
      <x:c r="C2162" s="11" t="str">
        <x:v>hp518_combo_global</x:v>
      </x:c>
      <x:c r="D2162" s="11" t="str">
        <x:v>2044-12-31</x:v>
      </x:c>
      <x:c r="E2162" s="11" t="str">
        <x:v>USD</x:v>
      </x:c>
      <x:c r="F2162" s="11" t="n">
        <x:v>13.229295003422314</x:v>
      </x:c>
      <x:c r="G2162" s="26" t="b">
        <x:v>1</x:v>
      </x:c>
      <x:c r="H2162" s="16" t="n">
        <x:v>0.305</x:v>
      </x:c>
      <x:c r="I2162" s="16" t="n">
        <x:v>0.5599999999999999</x:v>
      </x:c>
      <x:c r="J2162" s="16" t="n">
        <x:v>0.2699999999999999</x:v>
      </x:c>
      <x:c r="K2162" s="11" t="n">
        <x:f>CHOOSE('假设'!$B$3,H2162,I2162,J2162)</x:f>
        <x:v>0.5599999999999999</x:v>
      </x:c>
      <x:c r="L2162" s="11" t="n">
        <x:f>K2162*'管线假设'!E475*'管线假设'!F475*'管线假设'!G475*IF(E2162="USD",'管线假设'!I475,1)-AM2162</x:f>
        <x:v>0.11859482879999997</x:v>
      </x:c>
      <x:c r="M2162" s="11" t="n">
        <x:f>'管线假设'!H475</x:f>
        <x:v>0.14</x:v>
      </x:c>
      <x:c r="N2162" s="11" t="n">
        <x:f>IF(G2162,L2162*AN2162/(1+M2162)^F2162,0)</x:f>
        <x:v>0.02095340884358253</x:v>
      </x:c>
      <x:c r="AJ2162" t="n">
        <x:v>0</x:v>
      </x:c>
      <x:c r="AK2162" t="n">
        <x:v>0</x:v>
      </x:c>
      <x:c r="AL2162" t="n">
        <x:v>0</x:v>
      </x:c>
      <x:c r="AM2162" t="n">
        <x:f>CHOOSE('假设'!$B$3,AJ2162,AK2162,AL2162)</x:f>
        <x:v>0</x:v>
      </x:c>
      <x:c r="AN2162" t="n">
        <x:v>1</x:v>
      </x:c>
    </x:row>
    <x:row r="2163" ht="23" customHeight="1">
      <x:c r="A2163" s="11" t="str">
        <x:v>688302.SH</x:v>
      </x:c>
      <x:c r="B2163" s="11" t="str">
        <x:v>五年</x:v>
      </x:c>
      <x:c r="C2163" s="11" t="str">
        <x:v>hp518_combo_global</x:v>
      </x:c>
      <x:c r="D2163" s="11" t="str">
        <x:v>2045-12-31</x:v>
      </x:c>
      <x:c r="E2163" s="11" t="str">
        <x:v>USD</x:v>
      </x:c>
      <x:c r="F2163" s="11" t="n">
        <x:v>14.22861054072553</x:v>
      </x:c>
      <x:c r="G2163" s="26" t="b">
        <x:v>1</x:v>
      </x:c>
      <x:c r="H2163" s="16" t="n">
        <x:v>0.24</x:v>
      </x:c>
      <x:c r="I2163" s="16" t="n">
        <x:v>0.352</x:v>
      </x:c>
      <x:c r="J2163" s="16" t="n">
        <x:v>0</x:v>
      </x:c>
      <x:c r="K2163" s="11" t="n">
        <x:f>CHOOSE('假设'!$B$3,H2163,I2163,J2163)</x:f>
        <x:v>0.352</x:v>
      </x:c>
      <x:c r="L2163" s="11" t="n">
        <x:f>K2163*'管线假设'!E475*'管线假设'!F475*'管线假设'!G475*IF(E2163="USD",'管线假设'!I475,1)-AM2163</x:f>
        <x:v>0.07454532095999998</x:v>
      </x:c>
      <x:c r="M2163" s="11" t="n">
        <x:f>'管线假设'!H475</x:f>
        <x:v>0.14</x:v>
      </x:c>
      <x:c r="N2163" s="11" t="n">
        <x:f>IF(G2163,L2163*AN2163/(1+M2163)^F2163,0)</x:f>
        <x:v>0.011554294197361124</x:v>
      </x:c>
      <x:c r="AJ2163" t="n">
        <x:v>0</x:v>
      </x:c>
      <x:c r="AK2163" t="n">
        <x:v>0</x:v>
      </x:c>
      <x:c r="AL2163" t="n">
        <x:v>0</x:v>
      </x:c>
      <x:c r="AM2163" t="n">
        <x:f>CHOOSE('假设'!$B$3,AJ2163,AK2163,AL2163)</x:f>
        <x:v>0</x:v>
      </x:c>
      <x:c r="AN2163" t="n">
        <x:v>1</x:v>
      </x:c>
    </x:row>
    <x:row r="2164" ht="23" customHeight="1">
      <x:c r="A2164" s="11" t="str">
        <x:v>688302.SH</x:v>
      </x:c>
      <x:c r="B2164" s="11" t="str">
        <x:v>五年</x:v>
      </x:c>
      <x:c r="C2164" s="11" t="str">
        <x:v>hp518_tnbc_cn</x:v>
      </x:c>
      <x:c r="D2164" s="11" t="str">
        <x:v>2027-12-31</x:v>
      </x:c>
      <x:c r="E2164" s="11" t="str">
        <x:v>CNY</x:v>
      </x:c>
      <x:c r="F2164" s="11" t="n">
        <x:v>-3.7727583846680357</x:v>
      </x:c>
      <x:c r="G2164" s="26" t="b">
        <x:v>0</x:v>
      </x:c>
      <x:c r="H2164" s="16" t="n">
        <x:v>0</x:v>
      </x:c>
      <x:c r="I2164" s="16" t="n">
        <x:v>0</x:v>
      </x:c>
      <x:c r="J2164" s="16" t="n">
        <x:v>0</x:v>
      </x:c>
      <x:c r="K2164" s="11" t="n">
        <x:f>CHOOSE('假设'!$B$3,H2164,I2164,J2164)</x:f>
        <x:v>0</x:v>
      </x:c>
      <x:c r="L2164" s="11" t="n">
        <x:f>K2164*'管线假设'!E479*'管线假设'!F479*'管线假设'!G479*IF(E2164="USD",'管线假设'!I479,1)-AM2164</x:f>
        <x:v>0</x:v>
      </x:c>
      <x:c r="M2164" s="11" t="n">
        <x:f>'管线假设'!H479</x:f>
        <x:v>0.14</x:v>
      </x:c>
      <x:c r="N2164" s="11" t="n">
        <x:f>IF(G2164,L2164*AN2164/(1+M2164)^F2164,0)</x:f>
        <x:v>0</x:v>
      </x:c>
      <x:c r="AJ2164" t="n">
        <x:v>0</x:v>
      </x:c>
      <x:c r="AK2164" t="n">
        <x:v>0</x:v>
      </x:c>
      <x:c r="AL2164" t="n">
        <x:v>0</x:v>
      </x:c>
      <x:c r="AM2164" t="n">
        <x:f>CHOOSE('假设'!$B$3,AJ2164,AK2164,AL2164)</x:f>
        <x:v>0</x:v>
      </x:c>
      <x:c r="AN2164" t="n">
        <x:v>1</x:v>
      </x:c>
    </x:row>
    <x:row r="2165" ht="23" customHeight="1">
      <x:c r="A2165" s="11" t="str">
        <x:v>688302.SH</x:v>
      </x:c>
      <x:c r="B2165" s="11" t="str">
        <x:v>五年</x:v>
      </x:c>
      <x:c r="C2165" s="11" t="str">
        <x:v>hp518_tnbc_cn</x:v>
      </x:c>
      <x:c r="D2165" s="11" t="str">
        <x:v>2028-12-31</x:v>
      </x:c>
      <x:c r="E2165" s="11" t="str">
        <x:v>CNY</x:v>
      </x:c>
      <x:c r="F2165" s="11" t="n">
        <x:v>-2.7707049965776864</x:v>
      </x:c>
      <x:c r="G2165" s="26" t="b">
        <x:v>0</x:v>
      </x:c>
      <x:c r="H2165" s="16" t="n">
        <x:v>0</x:v>
      </x:c>
      <x:c r="I2165" s="16" t="n">
        <x:v>0</x:v>
      </x:c>
      <x:c r="J2165" s="16" t="n">
        <x:v>0</x:v>
      </x:c>
      <x:c r="K2165" s="11" t="n">
        <x:f>CHOOSE('假设'!$B$3,H2165,I2165,J2165)</x:f>
        <x:v>0</x:v>
      </x:c>
      <x:c r="L2165" s="11" t="n">
        <x:f>K2165*'管线假设'!E479*'管线假设'!F479*'管线假设'!G479*IF(E2165="USD",'管线假设'!I479,1)-AM2165</x:f>
        <x:v>0</x:v>
      </x:c>
      <x:c r="M2165" s="11" t="n">
        <x:f>'管线假设'!H479</x:f>
        <x:v>0.14</x:v>
      </x:c>
      <x:c r="N2165" s="11" t="n">
        <x:f>IF(G2165,L2165*AN2165/(1+M2165)^F2165,0)</x:f>
        <x:v>0</x:v>
      </x:c>
      <x:c r="AJ2165" t="n">
        <x:v>0</x:v>
      </x:c>
      <x:c r="AK2165" t="n">
        <x:v>0</x:v>
      </x:c>
      <x:c r="AL2165" t="n">
        <x:v>0</x:v>
      </x:c>
      <x:c r="AM2165" t="n">
        <x:f>CHOOSE('假设'!$B$3,AJ2165,AK2165,AL2165)</x:f>
        <x:v>0</x:v>
      </x:c>
      <x:c r="AN2165" t="n">
        <x:v>1</x:v>
      </x:c>
    </x:row>
    <x:row r="2166" ht="23" customHeight="1">
      <x:c r="A2166" s="11" t="str">
        <x:v>688302.SH</x:v>
      </x:c>
      <x:c r="B2166" s="11" t="str">
        <x:v>五年</x:v>
      </x:c>
      <x:c r="C2166" s="11" t="str">
        <x:v>hp518_tnbc_cn</x:v>
      </x:c>
      <x:c r="D2166" s="11" t="str">
        <x:v>2029-12-31</x:v>
      </x:c>
      <x:c r="E2166" s="11" t="str">
        <x:v>CNY</x:v>
      </x:c>
      <x:c r="F2166" s="11" t="n">
        <x:v>-1.7713894592744694</x:v>
      </x:c>
      <x:c r="G2166" s="26" t="b">
        <x:v>0</x:v>
      </x:c>
      <x:c r="H2166" s="16" t="n">
        <x:v>0</x:v>
      </x:c>
      <x:c r="I2166" s="16" t="n">
        <x:v>0</x:v>
      </x:c>
      <x:c r="J2166" s="16" t="n">
        <x:v>0</x:v>
      </x:c>
      <x:c r="K2166" s="11" t="n">
        <x:f>CHOOSE('假设'!$B$3,H2166,I2166,J2166)</x:f>
        <x:v>0</x:v>
      </x:c>
      <x:c r="L2166" s="11" t="n">
        <x:f>K2166*'管线假设'!E479*'管线假设'!F479*'管线假设'!G479*IF(E2166="USD",'管线假设'!I479,1)-AM2166</x:f>
        <x:v>0</x:v>
      </x:c>
      <x:c r="M2166" s="11" t="n">
        <x:f>'管线假设'!H479</x:f>
        <x:v>0.14</x:v>
      </x:c>
      <x:c r="N2166" s="11" t="n">
        <x:f>IF(G2166,L2166*AN2166/(1+M2166)^F2166,0)</x:f>
        <x:v>0</x:v>
      </x:c>
      <x:c r="AJ2166" t="n">
        <x:v>0</x:v>
      </x:c>
      <x:c r="AK2166" t="n">
        <x:v>0</x:v>
      </x:c>
      <x:c r="AL2166" t="n">
        <x:v>0</x:v>
      </x:c>
      <x:c r="AM2166" t="n">
        <x:f>CHOOSE('假设'!$B$3,AJ2166,AK2166,AL2166)</x:f>
        <x:v>0</x:v>
      </x:c>
      <x:c r="AN2166" t="n">
        <x:v>1</x:v>
      </x:c>
    </x:row>
    <x:row r="2167" ht="23" customHeight="1">
      <x:c r="A2167" s="11" t="str">
        <x:v>688302.SH</x:v>
      </x:c>
      <x:c r="B2167" s="11" t="str">
        <x:v>五年</x:v>
      </x:c>
      <x:c r="C2167" s="11" t="str">
        <x:v>hp518_tnbc_cn</x:v>
      </x:c>
      <x:c r="D2167" s="11" t="str">
        <x:v>2030-12-31</x:v>
      </x:c>
      <x:c r="E2167" s="11" t="str">
        <x:v>CNY</x:v>
      </x:c>
      <x:c r="F2167" s="11" t="n">
        <x:v>-0.7720739219712526</x:v>
      </x:c>
      <x:c r="G2167" s="26" t="b">
        <x:v>0</x:v>
      </x:c>
      <x:c r="H2167" s="16" t="n">
        <x:v>0</x:v>
      </x:c>
      <x:c r="I2167" s="16" t="n">
        <x:v>0</x:v>
      </x:c>
      <x:c r="J2167" s="16" t="n">
        <x:v>0</x:v>
      </x:c>
      <x:c r="K2167" s="11" t="n">
        <x:f>CHOOSE('假设'!$B$3,H2167,I2167,J2167)</x:f>
        <x:v>0</x:v>
      </x:c>
      <x:c r="L2167" s="11" t="n">
        <x:f>K2167*'管线假设'!E479*'管线假设'!F479*'管线假设'!G479*IF(E2167="USD",'管线假设'!I479,1)-AM2167</x:f>
        <x:v>0</x:v>
      </x:c>
      <x:c r="M2167" s="11" t="n">
        <x:f>'管线假设'!H479</x:f>
        <x:v>0.14</x:v>
      </x:c>
      <x:c r="N2167" s="11" t="n">
        <x:f>IF(G2167,L2167*AN2167/(1+M2167)^F2167,0)</x:f>
        <x:v>0</x:v>
      </x:c>
      <x:c r="AJ2167" t="n">
        <x:v>0</x:v>
      </x:c>
      <x:c r="AK2167" t="n">
        <x:v>0</x:v>
      </x:c>
      <x:c r="AL2167" t="n">
        <x:v>0</x:v>
      </x:c>
      <x:c r="AM2167" t="n">
        <x:f>CHOOSE('假设'!$B$3,AJ2167,AK2167,AL2167)</x:f>
        <x:v>0</x:v>
      </x:c>
      <x:c r="AN2167" t="n">
        <x:v>1</x:v>
      </x:c>
    </x:row>
    <x:row r="2168" ht="23" customHeight="1">
      <x:c r="A2168" s="11" t="str">
        <x:v>688302.SH</x:v>
      </x:c>
      <x:c r="B2168" s="11" t="str">
        <x:v>五年</x:v>
      </x:c>
      <x:c r="C2168" s="11" t="str">
        <x:v>hp518_tnbc_cn</x:v>
      </x:c>
      <x:c r="D2168" s="11" t="str">
        <x:v>2031-12-31</x:v>
      </x:c>
      <x:c r="E2168" s="11" t="str">
        <x:v>CNY</x:v>
      </x:c>
      <x:c r="F2168" s="11" t="n">
        <x:v>0.2272416153319644</x:v>
      </x:c>
      <x:c r="G2168" s="26" t="b">
        <x:v>1</x:v>
      </x:c>
      <x:c r="H2168" s="16" t="n">
        <x:v>0</x:v>
      </x:c>
      <x:c r="I2168" s="16" t="n">
        <x:v>0</x:v>
      </x:c>
      <x:c r="J2168" s="16" t="n">
        <x:v>0</x:v>
      </x:c>
      <x:c r="K2168" s="11" t="n">
        <x:f>CHOOSE('假设'!$B$3,H2168,I2168,J2168)</x:f>
        <x:v>0</x:v>
      </x:c>
      <x:c r="L2168" s="11" t="n">
        <x:f>K2168*'管线假设'!E479*'管线假设'!F479*'管线假设'!G479*IF(E2168="USD",'管线假设'!I479,1)-AM2168</x:f>
        <x:v>0</x:v>
      </x:c>
      <x:c r="M2168" s="11" t="n">
        <x:f>'管线假设'!H479</x:f>
        <x:v>0.14</x:v>
      </x:c>
      <x:c r="N2168" s="11" t="n">
        <x:f>IF(G2168,L2168*AN2168/(1+M2168)^F2168,0)</x:f>
        <x:v>0</x:v>
      </x:c>
      <x:c r="AJ2168" t="n">
        <x:v>0</x:v>
      </x:c>
      <x:c r="AK2168" t="n">
        <x:v>0</x:v>
      </x:c>
      <x:c r="AL2168" t="n">
        <x:v>0</x:v>
      </x:c>
      <x:c r="AM2168" t="n">
        <x:f>CHOOSE('假设'!$B$3,AJ2168,AK2168,AL2168)</x:f>
        <x:v>0</x:v>
      </x:c>
      <x:c r="AN2168" t="n">
        <x:v>1</x:v>
      </x:c>
    </x:row>
    <x:row r="2169" ht="23" customHeight="1">
      <x:c r="A2169" s="11" t="str">
        <x:v>688302.SH</x:v>
      </x:c>
      <x:c r="B2169" s="11" t="str">
        <x:v>五年</x:v>
      </x:c>
      <x:c r="C2169" s="11" t="str">
        <x:v>hp518_tnbc_cn</x:v>
      </x:c>
      <x:c r="D2169" s="11" t="str">
        <x:v>2032-12-31</x:v>
      </x:c>
      <x:c r="E2169" s="11" t="str">
        <x:v>CNY</x:v>
      </x:c>
      <x:c r="F2169" s="11" t="n">
        <x:v>1.2292950034223136</x:v>
      </x:c>
      <x:c r="G2169" s="26" t="b">
        <x:v>1</x:v>
      </x:c>
      <x:c r="H2169" s="16" t="n">
        <x:v>0</x:v>
      </x:c>
      <x:c r="I2169" s="16" t="n">
        <x:v>0</x:v>
      </x:c>
      <x:c r="J2169" s="16" t="n">
        <x:v>0.19999999999999998</x:v>
      </x:c>
      <x:c r="K2169" s="11" t="n">
        <x:f>CHOOSE('假设'!$B$3,H2169,I2169,J2169)</x:f>
        <x:v>0</x:v>
      </x:c>
      <x:c r="L2169" s="11" t="n">
        <x:f>K2169*'管线假设'!E479*'管线假设'!F479*'管线假设'!G479*IF(E2169="USD",'管线假设'!I479,1)-AM2169</x:f>
        <x:v>0</x:v>
      </x:c>
      <x:c r="M2169" s="11" t="n">
        <x:f>'管线假设'!H479</x:f>
        <x:v>0.14</x:v>
      </x:c>
      <x:c r="N2169" s="11" t="n">
        <x:f>IF(G2169,L2169*AN2169/(1+M2169)^F2169,0)</x:f>
        <x:v>0</x:v>
      </x:c>
      <x:c r="AJ2169" t="n">
        <x:v>0</x:v>
      </x:c>
      <x:c r="AK2169" t="n">
        <x:v>0</x:v>
      </x:c>
      <x:c r="AL2169" t="n">
        <x:v>0</x:v>
      </x:c>
      <x:c r="AM2169" t="n">
        <x:f>CHOOSE('假设'!$B$3,AJ2169,AK2169,AL2169)</x:f>
        <x:v>0</x:v>
      </x:c>
      <x:c r="AN2169" t="n">
        <x:v>1</x:v>
      </x:c>
    </x:row>
    <x:row r="2170" ht="23" customHeight="1">
      <x:c r="A2170" s="11" t="str">
        <x:v>688302.SH</x:v>
      </x:c>
      <x:c r="B2170" s="11" t="str">
        <x:v>五年</x:v>
      </x:c>
      <x:c r="C2170" s="11" t="str">
        <x:v>hp518_tnbc_cn</x:v>
      </x:c>
      <x:c r="D2170" s="11" t="str">
        <x:v>2033-12-31</x:v>
      </x:c>
      <x:c r="E2170" s="11" t="str">
        <x:v>CNY</x:v>
      </x:c>
      <x:c r="F2170" s="11" t="n">
        <x:v>2.2286105407255303</x:v>
      </x:c>
      <x:c r="G2170" s="26" t="b">
        <x:v>1</x:v>
      </x:c>
      <x:c r="H2170" s="16" t="n">
        <x:v>0</x:v>
      </x:c>
      <x:c r="I2170" s="16" t="n">
        <x:v>0</x:v>
      </x:c>
      <x:c r="J2170" s="16" t="n">
        <x:v>0.39999999999999997</x:v>
      </x:c>
      <x:c r="K2170" s="11" t="n">
        <x:f>CHOOSE('假设'!$B$3,H2170,I2170,J2170)</x:f>
        <x:v>0</x:v>
      </x:c>
      <x:c r="L2170" s="11" t="n">
        <x:f>K2170*'管线假设'!E479*'管线假设'!F479*'管线假设'!G479*IF(E2170="USD",'管线假设'!I479,1)-AM2170</x:f>
        <x:v>0</x:v>
      </x:c>
      <x:c r="M2170" s="11" t="n">
        <x:f>'管线假设'!H479</x:f>
        <x:v>0.14</x:v>
      </x:c>
      <x:c r="N2170" s="11" t="n">
        <x:f>IF(G2170,L2170*AN2170/(1+M2170)^F2170,0)</x:f>
        <x:v>0</x:v>
      </x:c>
      <x:c r="AJ2170" t="n">
        <x:v>0</x:v>
      </x:c>
      <x:c r="AK2170" t="n">
        <x:v>0</x:v>
      </x:c>
      <x:c r="AL2170" t="n">
        <x:v>0</x:v>
      </x:c>
      <x:c r="AM2170" t="n">
        <x:f>CHOOSE('假设'!$B$3,AJ2170,AK2170,AL2170)</x:f>
        <x:v>0</x:v>
      </x:c>
      <x:c r="AN2170" t="n">
        <x:v>1</x:v>
      </x:c>
    </x:row>
    <x:row r="2171" ht="23" customHeight="1">
      <x:c r="A2171" s="11" t="str">
        <x:v>688302.SH</x:v>
      </x:c>
      <x:c r="B2171" s="11" t="str">
        <x:v>五年</x:v>
      </x:c>
      <x:c r="C2171" s="11" t="str">
        <x:v>hp518_tnbc_cn</x:v>
      </x:c>
      <x:c r="D2171" s="11" t="str">
        <x:v>2034-12-31</x:v>
      </x:c>
      <x:c r="E2171" s="11" t="str">
        <x:v>CNY</x:v>
      </x:c>
      <x:c r="F2171" s="11" t="n">
        <x:v>3.2279260780287475</x:v>
      </x:c>
      <x:c r="G2171" s="26" t="b">
        <x:v>1</x:v>
      </x:c>
      <x:c r="H2171" s="16" t="n">
        <x:v>0</x:v>
      </x:c>
      <x:c r="I2171" s="16" t="n">
        <x:v>0.09999999999999999</x:v>
      </x:c>
      <x:c r="J2171" s="16" t="n">
        <x:v>0.6</x:v>
      </x:c>
      <x:c r="K2171" s="11" t="n">
        <x:f>CHOOSE('假设'!$B$3,H2171,I2171,J2171)</x:f>
        <x:v>0.09999999999999999</x:v>
      </x:c>
      <x:c r="L2171" s="11" t="n">
        <x:f>K2171*'管线假设'!E479*'管线假设'!F479*'管线假设'!G479*IF(E2171="USD",'管线假设'!I479,1)-AM2171</x:f>
        <x:v>0.0092368</x:v>
      </x:c>
      <x:c r="M2171" s="11" t="n">
        <x:f>'管线假设'!H479</x:f>
        <x:v>0.14</x:v>
      </x:c>
      <x:c r="N2171" s="11" t="n">
        <x:f>IF(G2171,L2171*AN2171/(1+M2171)^F2171,0)</x:f>
        <x:v>0.006051135619581012</x:v>
      </x:c>
      <x:c r="AJ2171" t="n">
        <x:v>0</x:v>
      </x:c>
      <x:c r="AK2171" t="n">
        <x:v>0</x:v>
      </x:c>
      <x:c r="AL2171" t="n">
        <x:v>0</x:v>
      </x:c>
      <x:c r="AM2171" t="n">
        <x:f>CHOOSE('假设'!$B$3,AJ2171,AK2171,AL2171)</x:f>
        <x:v>0</x:v>
      </x:c>
      <x:c r="AN2171" t="n">
        <x:v>1</x:v>
      </x:c>
    </x:row>
    <x:row r="2172" ht="23" customHeight="1">
      <x:c r="A2172" s="11" t="str">
        <x:v>688302.SH</x:v>
      </x:c>
      <x:c r="B2172" s="11" t="str">
        <x:v>五年</x:v>
      </x:c>
      <x:c r="C2172" s="11" t="str">
        <x:v>hp518_tnbc_cn</x:v>
      </x:c>
      <x:c r="D2172" s="11" t="str">
        <x:v>2035-12-31</x:v>
      </x:c>
      <x:c r="E2172" s="11" t="str">
        <x:v>CNY</x:v>
      </x:c>
      <x:c r="F2172" s="11" t="n">
        <x:v>4.227241615331964</x:v>
      </x:c>
      <x:c r="G2172" s="26" t="b">
        <x:v>1</x:v>
      </x:c>
      <x:c r="H2172" s="16" t="n">
        <x:v>0</x:v>
      </x:c>
      <x:c r="I2172" s="16" t="n">
        <x:v>0.19999999999999998</x:v>
      </x:c>
      <x:c r="J2172" s="16" t="n">
        <x:v>0.7999999999999999</x:v>
      </x:c>
      <x:c r="K2172" s="11" t="n">
        <x:f>CHOOSE('假设'!$B$3,H2172,I2172,J2172)</x:f>
        <x:v>0.19999999999999998</x:v>
      </x:c>
      <x:c r="L2172" s="11" t="n">
        <x:f>K2172*'管线假设'!E479*'管线假设'!F479*'管线假设'!G479*IF(E2172="USD",'管线假设'!I479,1)-AM2172</x:f>
        <x:v>0.0184736</x:v>
      </x:c>
      <x:c r="M2172" s="11" t="n">
        <x:f>'管线假设'!H479</x:f>
        <x:v>0.14</x:v>
      </x:c>
      <x:c r="N2172" s="11" t="n">
        <x:f>IF(G2172,L2172*AN2172/(1+M2172)^F2172,0)</x:f>
        <x:v>0.010616979532822497</x:v>
      </x:c>
      <x:c r="AJ2172" t="n">
        <x:v>0</x:v>
      </x:c>
      <x:c r="AK2172" t="n">
        <x:v>0</x:v>
      </x:c>
      <x:c r="AL2172" t="n">
        <x:v>0</x:v>
      </x:c>
      <x:c r="AM2172" t="n">
        <x:f>CHOOSE('假设'!$B$3,AJ2172,AK2172,AL2172)</x:f>
        <x:v>0</x:v>
      </x:c>
      <x:c r="AN2172" t="n">
        <x:v>1</x:v>
      </x:c>
    </x:row>
    <x:row r="2173" ht="23" customHeight="1">
      <x:c r="A2173" s="11" t="str">
        <x:v>688302.SH</x:v>
      </x:c>
      <x:c r="B2173" s="11" t="str">
        <x:v>五年</x:v>
      </x:c>
      <x:c r="C2173" s="11" t="str">
        <x:v>hp518_tnbc_cn</x:v>
      </x:c>
      <x:c r="D2173" s="11" t="str">
        <x:v>2036-12-31</x:v>
      </x:c>
      <x:c r="E2173" s="11" t="str">
        <x:v>CNY</x:v>
      </x:c>
      <x:c r="F2173" s="11" t="n">
        <x:v>5.229295003422314</x:v>
      </x:c>
      <x:c r="G2173" s="26" t="b">
        <x:v>1</x:v>
      </x:c>
      <x:c r="H2173" s="16" t="n">
        <x:v>0.04000000000000001</x:v>
      </x:c>
      <x:c r="I2173" s="16" t="n">
        <x:v>0.3</x:v>
      </x:c>
      <x:c r="J2173" s="16" t="n">
        <x:v>1</x:v>
      </x:c>
      <x:c r="K2173" s="11" t="n">
        <x:f>CHOOSE('假设'!$B$3,H2173,I2173,J2173)</x:f>
        <x:v>0.3</x:v>
      </x:c>
      <x:c r="L2173" s="11" t="n">
        <x:f>K2173*'管线假设'!E479*'管线假设'!F479*'管线假设'!G479*IF(E2173="USD",'管线假设'!I479,1)-AM2173</x:f>
        <x:v>0.027710399999999996</x:v>
      </x:c>
      <x:c r="M2173" s="11" t="n">
        <x:f>'管线假设'!H479</x:f>
        <x:v>0.14</x:v>
      </x:c>
      <x:c r="N2173" s="11" t="n">
        <x:f>IF(G2173,L2173*AN2173/(1+M2173)^F2173,0)</x:f>
        <x:v>0.013965951840564931</x:v>
      </x:c>
      <x:c r="AJ2173" t="n">
        <x:v>0</x:v>
      </x:c>
      <x:c r="AK2173" t="n">
        <x:v>0</x:v>
      </x:c>
      <x:c r="AL2173" t="n">
        <x:v>0</x:v>
      </x:c>
      <x:c r="AM2173" t="n">
        <x:f>CHOOSE('假设'!$B$3,AJ2173,AK2173,AL2173)</x:f>
        <x:v>0</x:v>
      </x:c>
      <x:c r="AN2173" t="n">
        <x:v>1</x:v>
      </x:c>
    </x:row>
    <x:row r="2174" ht="23" customHeight="1">
      <x:c r="A2174" s="11" t="str">
        <x:v>688302.SH</x:v>
      </x:c>
      <x:c r="B2174" s="11" t="str">
        <x:v>五年</x:v>
      </x:c>
      <x:c r="C2174" s="11" t="str">
        <x:v>hp518_tnbc_cn</x:v>
      </x:c>
      <x:c r="D2174" s="11" t="str">
        <x:v>2037-12-31</x:v>
      </x:c>
      <x:c r="E2174" s="11" t="str">
        <x:v>CNY</x:v>
      </x:c>
      <x:c r="F2174" s="11" t="n">
        <x:v>6.228610540725531</x:v>
      </x:c>
      <x:c r="G2174" s="26" t="b">
        <x:v>1</x:v>
      </x:c>
      <x:c r="H2174" s="16" t="n">
        <x:v>0.08000000000000002</x:v>
      </x:c>
      <x:c r="I2174" s="16" t="n">
        <x:v>0.39999999999999997</x:v>
      </x:c>
      <x:c r="J2174" s="16" t="n">
        <x:v>1.2</x:v>
      </x:c>
      <x:c r="K2174" s="11" t="n">
        <x:f>CHOOSE('假设'!$B$3,H2174,I2174,J2174)</x:f>
        <x:v>0.39999999999999997</x:v>
      </x:c>
      <x:c r="L2174" s="11" t="n">
        <x:f>K2174*'管线假设'!E479*'管线假设'!F479*'管线假设'!G479*IF(E2174="USD",'管线假设'!I479,1)-AM2174</x:f>
        <x:v>0.0369472</x:v>
      </x:c>
      <x:c r="M2174" s="11" t="n">
        <x:f>'管线假设'!H479</x:f>
        <x:v>0.14</x:v>
      </x:c>
      <x:c r="N2174" s="11" t="n">
        <x:f>IF(G2174,L2174*AN2174/(1+M2174)^F2174,0)</x:f>
        <x:v>0.016335911600664624</x:v>
      </x:c>
      <x:c r="AJ2174" t="n">
        <x:v>0</x:v>
      </x:c>
      <x:c r="AK2174" t="n">
        <x:v>0</x:v>
      </x:c>
      <x:c r="AL2174" t="n">
        <x:v>0</x:v>
      </x:c>
      <x:c r="AM2174" t="n">
        <x:f>CHOOSE('假设'!$B$3,AJ2174,AK2174,AL2174)</x:f>
        <x:v>0</x:v>
      </x:c>
      <x:c r="AN2174" t="n">
        <x:v>1</x:v>
      </x:c>
    </x:row>
    <x:row r="2175" ht="23" customHeight="1">
      <x:c r="A2175" s="11" t="str">
        <x:v>688302.SH</x:v>
      </x:c>
      <x:c r="B2175" s="11" t="str">
        <x:v>五年</x:v>
      </x:c>
      <x:c r="C2175" s="11" t="str">
        <x:v>hp518_tnbc_cn</x:v>
      </x:c>
      <x:c r="D2175" s="11" t="str">
        <x:v>2038-12-31</x:v>
      </x:c>
      <x:c r="E2175" s="11" t="str">
        <x:v>CNY</x:v>
      </x:c>
      <x:c r="F2175" s="11" t="n">
        <x:v>7.227926078028747</x:v>
      </x:c>
      <x:c r="G2175" s="26" t="b">
        <x:v>1</x:v>
      </x:c>
      <x:c r="H2175" s="16" t="n">
        <x:v>0.12</x:v>
      </x:c>
      <x:c r="I2175" s="16" t="n">
        <x:v>0.5</x:v>
      </x:c>
      <x:c r="J2175" s="16" t="n">
        <x:v>1.044</x:v>
      </x:c>
      <x:c r="K2175" s="11" t="n">
        <x:f>CHOOSE('假设'!$B$3,H2175,I2175,J2175)</x:f>
        <x:v>0.5</x:v>
      </x:c>
      <x:c r="L2175" s="11" t="n">
        <x:f>K2175*'管线假设'!E479*'管线假设'!F479*'管线假设'!G479*IF(E2175="USD",'管线假设'!I479,1)-AM2175</x:f>
        <x:v>0.046183999999999996</x:v>
      </x:c>
      <x:c r="M2175" s="11" t="n">
        <x:f>'管线假设'!H479</x:f>
        <x:v>0.14</x:v>
      </x:c>
      <x:c r="N2175" s="11" t="n">
        <x:f>IF(G2175,L2175*AN2175/(1+M2175)^F2175,0)</x:f>
        <x:v>0.017913790280230792</x:v>
      </x:c>
      <x:c r="AJ2175" t="n">
        <x:v>0</x:v>
      </x:c>
      <x:c r="AK2175" t="n">
        <x:v>0</x:v>
      </x:c>
      <x:c r="AL2175" t="n">
        <x:v>0</x:v>
      </x:c>
      <x:c r="AM2175" t="n">
        <x:f>CHOOSE('假设'!$B$3,AJ2175,AK2175,AL2175)</x:f>
        <x:v>0</x:v>
      </x:c>
      <x:c r="AN2175" t="n">
        <x:v>1</x:v>
      </x:c>
    </x:row>
    <x:row r="2176" ht="23" customHeight="1">
      <x:c r="A2176" s="11" t="str">
        <x:v>688302.SH</x:v>
      </x:c>
      <x:c r="B2176" s="11" t="str">
        <x:v>五年</x:v>
      </x:c>
      <x:c r="C2176" s="11" t="str">
        <x:v>hp518_tnbc_cn</x:v>
      </x:c>
      <x:c r="D2176" s="11" t="str">
        <x:v>2039-12-31</x:v>
      </x:c>
      <x:c r="E2176" s="11" t="str">
        <x:v>CNY</x:v>
      </x:c>
      <x:c r="F2176" s="11" t="n">
        <x:v>8.227241615331964</x:v>
      </x:c>
      <x:c r="G2176" s="26" t="b">
        <x:v>1</x:v>
      </x:c>
      <x:c r="H2176" s="16" t="n">
        <x:v>0.16000000000000003</x:v>
      </x:c>
      <x:c r="I2176" s="16" t="n">
        <x:v>0.6</x:v>
      </x:c>
      <x:c r="J2176" s="16" t="n">
        <x:v>0.888</x:v>
      </x:c>
      <x:c r="K2176" s="11" t="n">
        <x:f>CHOOSE('假设'!$B$3,H2176,I2176,J2176)</x:f>
        <x:v>0.6</x:v>
      </x:c>
      <x:c r="L2176" s="11" t="n">
        <x:f>K2176*'管线假设'!E479*'管线假设'!F479*'管线假设'!G479*IF(E2176="USD",'管线假设'!I479,1)-AM2176</x:f>
        <x:v>0.05542079999999999</x:v>
      </x:c>
      <x:c r="M2176" s="11" t="n">
        <x:f>'管线假设'!H479</x:f>
        <x:v>0.14</x:v>
      </x:c>
      <x:c r="N2176" s="11" t="n">
        <x:f>IF(G2176,L2176*AN2176/(1+M2176)^F2176,0)</x:f>
        <x:v>0.0188583125598815</x:v>
      </x:c>
      <x:c r="AJ2176" t="n">
        <x:v>0</x:v>
      </x:c>
      <x:c r="AK2176" t="n">
        <x:v>0</x:v>
      </x:c>
      <x:c r="AL2176" t="n">
        <x:v>0</x:v>
      </x:c>
      <x:c r="AM2176" t="n">
        <x:f>CHOOSE('假设'!$B$3,AJ2176,AK2176,AL2176)</x:f>
        <x:v>0</x:v>
      </x:c>
      <x:c r="AN2176" t="n">
        <x:v>1</x:v>
      </x:c>
    </x:row>
    <x:row r="2177" ht="23" customHeight="1">
      <x:c r="A2177" s="11" t="str">
        <x:v>688302.SH</x:v>
      </x:c>
      <x:c r="B2177" s="11" t="str">
        <x:v>五年</x:v>
      </x:c>
      <x:c r="C2177" s="11" t="str">
        <x:v>hp518_tnbc_cn</x:v>
      </x:c>
      <x:c r="D2177" s="11" t="str">
        <x:v>2040-12-31</x:v>
      </x:c>
      <x:c r="E2177" s="11" t="str">
        <x:v>CNY</x:v>
      </x:c>
      <x:c r="F2177" s="11" t="n">
        <x:v>9.229295003422314</x:v>
      </x:c>
      <x:c r="G2177" s="26" t="b">
        <x:v>1</x:v>
      </x:c>
      <x:c r="H2177" s="16" t="n">
        <x:v>0.2</x:v>
      </x:c>
      <x:c r="I2177" s="16" t="n">
        <x:v>0.522</x:v>
      </x:c>
      <x:c r="J2177" s="16" t="n">
        <x:v>0.732</x:v>
      </x:c>
      <x:c r="K2177" s="11" t="n">
        <x:f>CHOOSE('假设'!$B$3,H2177,I2177,J2177)</x:f>
        <x:v>0.522</x:v>
      </x:c>
      <x:c r="L2177" s="11" t="n">
        <x:f>K2177*'管线假设'!E479*'管线假设'!F479*'管线假设'!G479*IF(E2177="USD",'管线假设'!I479,1)-AM2177</x:f>
        <x:v>0.048216096</x:v>
      </x:c>
      <x:c r="M2177" s="11" t="n">
        <x:f>'管线假设'!H479</x:f>
        <x:v>0.14</x:v>
      </x:c>
      <x:c r="N2177" s="11" t="n">
        <x:f>IF(G2177,L2177*AN2177/(1+M2177)^F2177,0)</x:f>
        <x:v>0.014387998472730684</x:v>
      </x:c>
      <x:c r="AJ2177" t="n">
        <x:v>0</x:v>
      </x:c>
      <x:c r="AK2177" t="n">
        <x:v>0</x:v>
      </x:c>
      <x:c r="AL2177" t="n">
        <x:v>0</x:v>
      </x:c>
      <x:c r="AM2177" t="n">
        <x:f>CHOOSE('假设'!$B$3,AJ2177,AK2177,AL2177)</x:f>
        <x:v>0</x:v>
      </x:c>
      <x:c r="AN2177" t="n">
        <x:v>1</x:v>
      </x:c>
    </x:row>
    <x:row r="2178" ht="23" customHeight="1">
      <x:c r="A2178" s="11" t="str">
        <x:v>688302.SH</x:v>
      </x:c>
      <x:c r="B2178" s="11" t="str">
        <x:v>五年</x:v>
      </x:c>
      <x:c r="C2178" s="11" t="str">
        <x:v>hp518_tnbc_cn</x:v>
      </x:c>
      <x:c r="D2178" s="11" t="str">
        <x:v>2041-12-31</x:v>
      </x:c>
      <x:c r="E2178" s="11" t="str">
        <x:v>CNY</x:v>
      </x:c>
      <x:c r="F2178" s="11" t="n">
        <x:v>10.22861054072553</x:v>
      </x:c>
      <x:c r="G2178" s="26" t="b">
        <x:v>1</x:v>
      </x:c>
      <x:c r="H2178" s="16" t="n">
        <x:v>0.17400000000000002</x:v>
      </x:c>
      <x:c r="I2178" s="16" t="n">
        <x:v>0.444</x:v>
      </x:c>
      <x:c r="J2178" s="16" t="n">
        <x:v>0.576</x:v>
      </x:c>
      <x:c r="K2178" s="11" t="n">
        <x:f>CHOOSE('假设'!$B$3,H2178,I2178,J2178)</x:f>
        <x:v>0.444</x:v>
      </x:c>
      <x:c r="L2178" s="11" t="n">
        <x:f>K2178*'管线假设'!E479*'管线假设'!F479*'管线假设'!G479*IF(E2178="USD",'管线假设'!I479,1)-AM2178</x:f>
        <x:v>0.041011391999999994</x:v>
      </x:c>
      <x:c r="M2178" s="11" t="n">
        <x:f>'管线假设'!H479</x:f>
        <x:v>0.14</x:v>
      </x:c>
      <x:c r="N2178" s="11" t="n">
        <x:f>IF(G2178,L2178*AN2178/(1+M2178)^F2178,0)</x:f>
        <x:v>0.01073610988949421</x:v>
      </x:c>
      <x:c r="AJ2178" t="n">
        <x:v>0</x:v>
      </x:c>
      <x:c r="AK2178" t="n">
        <x:v>0</x:v>
      </x:c>
      <x:c r="AL2178" t="n">
        <x:v>0</x:v>
      </x:c>
      <x:c r="AM2178" t="n">
        <x:f>CHOOSE('假设'!$B$3,AJ2178,AK2178,AL2178)</x:f>
        <x:v>0</x:v>
      </x:c>
      <x:c r="AN2178" t="n">
        <x:v>1</x:v>
      </x:c>
    </x:row>
    <x:row r="2179" ht="23" customHeight="1">
      <x:c r="A2179" s="11" t="str">
        <x:v>688302.SH</x:v>
      </x:c>
      <x:c r="B2179" s="11" t="str">
        <x:v>五年</x:v>
      </x:c>
      <x:c r="C2179" s="11" t="str">
        <x:v>hp518_tnbc_cn</x:v>
      </x:c>
      <x:c r="D2179" s="11" t="str">
        <x:v>2042-12-31</x:v>
      </x:c>
      <x:c r="E2179" s="11" t="str">
        <x:v>CNY</x:v>
      </x:c>
      <x:c r="F2179" s="11" t="n">
        <x:v>11.227926078028748</x:v>
      </x:c>
      <x:c r="G2179" s="26" t="b">
        <x:v>1</x:v>
      </x:c>
      <x:c r="H2179" s="16" t="n">
        <x:v>0.148</x:v>
      </x:c>
      <x:c r="I2179" s="16" t="n">
        <x:v>0.366</x:v>
      </x:c>
      <x:c r="J2179" s="16" t="n">
        <x:v>0.42</x:v>
      </x:c>
      <x:c r="K2179" s="11" t="n">
        <x:f>CHOOSE('假设'!$B$3,H2179,I2179,J2179)</x:f>
        <x:v>0.366</x:v>
      </x:c>
      <x:c r="L2179" s="11" t="n">
        <x:f>K2179*'管线假设'!E479*'管线假设'!F479*'管线假设'!G479*IF(E2179="USD",'管线假设'!I479,1)-AM2179</x:f>
        <x:v>0.033806688</x:v>
      </x:c>
      <x:c r="M2179" s="11" t="n">
        <x:f>'管线假设'!H479</x:f>
        <x:v>0.14</x:v>
      </x:c>
      <x:c r="N2179" s="11" t="n">
        <x:f>IF(G2179,L2179*AN2179/(1+M2179)^F2179,0)</x:f>
        <x:v>0.007763886203881171</x:v>
      </x:c>
      <x:c r="AJ2179" t="n">
        <x:v>0</x:v>
      </x:c>
      <x:c r="AK2179" t="n">
        <x:v>0</x:v>
      </x:c>
      <x:c r="AL2179" t="n">
        <x:v>0</x:v>
      </x:c>
      <x:c r="AM2179" t="n">
        <x:f>CHOOSE('假设'!$B$3,AJ2179,AK2179,AL2179)</x:f>
        <x:v>0</x:v>
      </x:c>
      <x:c r="AN2179" t="n">
        <x:v>1</x:v>
      </x:c>
    </x:row>
    <x:row r="2180" ht="23" customHeight="1">
      <x:c r="A2180" s="11" t="str">
        <x:v>688302.SH</x:v>
      </x:c>
      <x:c r="B2180" s="11" t="str">
        <x:v>五年</x:v>
      </x:c>
      <x:c r="C2180" s="11" t="str">
        <x:v>hp518_tnbc_cn</x:v>
      </x:c>
      <x:c r="D2180" s="11" t="str">
        <x:v>2043-12-31</x:v>
      </x:c>
      <x:c r="E2180" s="11" t="str">
        <x:v>CNY</x:v>
      </x:c>
      <x:c r="F2180" s="11" t="n">
        <x:v>12.227241615331964</x:v>
      </x:c>
      <x:c r="G2180" s="26" t="b">
        <x:v>1</x:v>
      </x:c>
      <x:c r="H2180" s="16" t="n">
        <x:v>0.122</x:v>
      </x:c>
      <x:c r="I2180" s="16" t="n">
        <x:v>0.288</x:v>
      </x:c>
      <x:c r="J2180" s="16" t="n">
        <x:v>0.26399999999999996</x:v>
      </x:c>
      <x:c r="K2180" s="11" t="n">
        <x:f>CHOOSE('假设'!$B$3,H2180,I2180,J2180)</x:f>
        <x:v>0.288</x:v>
      </x:c>
      <x:c r="L2180" s="11" t="n">
        <x:f>K2180*'管线假设'!E479*'管线假设'!F479*'管线假设'!G479*IF(E2180="USD",'管线假设'!I479,1)-AM2180</x:f>
        <x:v>0.026601983999999995</x:v>
      </x:c>
      <x:c r="M2180" s="11" t="n">
        <x:f>'管线假设'!H479</x:f>
        <x:v>0.14</x:v>
      </x:c>
      <x:c r="N2180" s="11" t="n">
        <x:f>IF(G2180,L2180*AN2180/(1+M2180)^F2180,0)</x:f>
        <x:v>0.005359504766970416</x:v>
      </x:c>
      <x:c r="AJ2180" t="n">
        <x:v>0</x:v>
      </x:c>
      <x:c r="AK2180" t="n">
        <x:v>0</x:v>
      </x:c>
      <x:c r="AL2180" t="n">
        <x:v>0</x:v>
      </x:c>
      <x:c r="AM2180" t="n">
        <x:f>CHOOSE('假设'!$B$3,AJ2180,AK2180,AL2180)</x:f>
        <x:v>0</x:v>
      </x:c>
      <x:c r="AN2180" t="n">
        <x:v>1</x:v>
      </x:c>
    </x:row>
    <x:row r="2181" ht="23" customHeight="1">
      <x:c r="A2181" s="11" t="str">
        <x:v>688302.SH</x:v>
      </x:c>
      <x:c r="B2181" s="11" t="str">
        <x:v>五年</x:v>
      </x:c>
      <x:c r="C2181" s="11" t="str">
        <x:v>hp518_tnbc_cn</x:v>
      </x:c>
      <x:c r="D2181" s="11" t="str">
        <x:v>2044-12-31</x:v>
      </x:c>
      <x:c r="E2181" s="11" t="str">
        <x:v>CNY</x:v>
      </x:c>
      <x:c r="F2181" s="11" t="n">
        <x:v>13.229295003422314</x:v>
      </x:c>
      <x:c r="G2181" s="26" t="b">
        <x:v>1</x:v>
      </x:c>
      <x:c r="H2181" s="16" t="n">
        <x:v>0.096</x:v>
      </x:c>
      <x:c r="I2181" s="16" t="n">
        <x:v>0.21</x:v>
      </x:c>
      <x:c r="J2181" s="16" t="n">
        <x:v>0.10799999999999996</x:v>
      </x:c>
      <x:c r="K2181" s="11" t="n">
        <x:f>CHOOSE('假设'!$B$3,H2181,I2181,J2181)</x:f>
        <x:v>0.21</x:v>
      </x:c>
      <x:c r="L2181" s="11" t="n">
        <x:f>K2181*'管线假设'!E479*'管线假设'!F479*'管线假设'!G479*IF(E2181="USD",'管线假设'!I479,1)-AM2181</x:f>
        <x:v>0.01939728</x:v>
      </x:c>
      <x:c r="M2181" s="11" t="n">
        <x:f>'管线假设'!H479</x:f>
        <x:v>0.14</x:v>
      </x:c>
      <x:c r="N2181" s="11" t="n">
        <x:f>IF(G2181,L2181*AN2181/(1+M2181)^F2181,0)</x:f>
        <x:v>0.0034271236141237772</x:v>
      </x:c>
      <x:c r="AJ2181" t="n">
        <x:v>0</x:v>
      </x:c>
      <x:c r="AK2181" t="n">
        <x:v>0</x:v>
      </x:c>
      <x:c r="AL2181" t="n">
        <x:v>0</x:v>
      </x:c>
      <x:c r="AM2181" t="n">
        <x:f>CHOOSE('假设'!$B$3,AJ2181,AK2181,AL2181)</x:f>
        <x:v>0</x:v>
      </x:c>
      <x:c r="AN2181" t="n">
        <x:v>1</x:v>
      </x:c>
    </x:row>
    <x:row r="2182" ht="23" customHeight="1">
      <x:c r="A2182" s="11" t="str">
        <x:v>688302.SH</x:v>
      </x:c>
      <x:c r="B2182" s="11" t="str">
        <x:v>五年</x:v>
      </x:c>
      <x:c r="C2182" s="11" t="str">
        <x:v>hp518_tnbc_cn</x:v>
      </x:c>
      <x:c r="D2182" s="11" t="str">
        <x:v>2045-12-31</x:v>
      </x:c>
      <x:c r="E2182" s="11" t="str">
        <x:v>CNY</x:v>
      </x:c>
      <x:c r="F2182" s="11" t="n">
        <x:v>14.22861054072553</x:v>
      </x:c>
      <x:c r="G2182" s="26" t="b">
        <x:v>1</x:v>
      </x:c>
      <x:c r="H2182" s="16" t="n">
        <x:v>0.06999999999999999</x:v>
      </x:c>
      <x:c r="I2182" s="16" t="n">
        <x:v>0.13199999999999998</x:v>
      </x:c>
      <x:c r="J2182" s="16" t="n">
        <x:v>0</x:v>
      </x:c>
      <x:c r="K2182" s="11" t="n">
        <x:f>CHOOSE('假设'!$B$3,H2182,I2182,J2182)</x:f>
        <x:v>0.13199999999999998</x:v>
      </x:c>
      <x:c r="L2182" s="11" t="n">
        <x:f>K2182*'管线假设'!E479*'管线假设'!F479*'管线假设'!G479*IF(E2182="USD",'管线假设'!I479,1)-AM2182</x:f>
        <x:v>0.012192575999999998</x:v>
      </x:c>
      <x:c r="M2182" s="11" t="n">
        <x:f>'管线假设'!H479</x:f>
        <x:v>0.14</x:v>
      </x:c>
      <x:c r="N2182" s="11" t="n">
        <x:f>IF(G2182,L2182*AN2182/(1+M2182)^F2182,0)</x:f>
        <x:v>0.0018898115711820061</x:v>
      </x:c>
      <x:c r="AJ2182" t="n">
        <x:v>0</x:v>
      </x:c>
      <x:c r="AK2182" t="n">
        <x:v>0</x:v>
      </x:c>
      <x:c r="AL2182" t="n">
        <x:v>0</x:v>
      </x:c>
      <x:c r="AM2182" t="n">
        <x:f>CHOOSE('假设'!$B$3,AJ2182,AK2182,AL2182)</x:f>
        <x:v>0</x:v>
      </x:c>
      <x:c r="AN2182" t="n">
        <x:v>1</x:v>
      </x:c>
    </x:row>
    <x:row r="2183" ht="23" customHeight="1">
      <x:c r="A2183" s="11" t="str">
        <x:v>688302.SH</x:v>
      </x:c>
      <x:c r="B2183" s="11" t="str">
        <x:v>五年</x:v>
      </x:c>
      <x:c r="C2183" s="11" t="str">
        <x:v>hp518_tnbc_global</x:v>
      </x:c>
      <x:c r="D2183" s="11" t="str">
        <x:v>2027-12-31</x:v>
      </x:c>
      <x:c r="E2183" s="11" t="str">
        <x:v>USD</x:v>
      </x:c>
      <x:c r="F2183" s="11" t="n">
        <x:v>-3.7727583846680357</x:v>
      </x:c>
      <x:c r="G2183" s="26" t="b">
        <x:v>0</x:v>
      </x:c>
      <x:c r="H2183" s="16" t="n">
        <x:v>0</x:v>
      </x:c>
      <x:c r="I2183" s="16" t="n">
        <x:v>0</x:v>
      </x:c>
      <x:c r="J2183" s="16" t="n">
        <x:v>0</x:v>
      </x:c>
      <x:c r="K2183" s="11" t="n">
        <x:f>CHOOSE('假设'!$B$3,H2183,I2183,J2183)</x:f>
        <x:v>0</x:v>
      </x:c>
      <x:c r="L2183" s="11" t="n">
        <x:f>K2183*'管线假设'!E483*'管线假设'!F483*'管线假设'!G483*IF(E2183="USD",'管线假设'!I483,1)-AM2183</x:f>
        <x:v>0</x:v>
      </x:c>
      <x:c r="M2183" s="11" t="n">
        <x:f>'管线假设'!H483</x:f>
        <x:v>0.14</x:v>
      </x:c>
      <x:c r="N2183" s="11" t="n">
        <x:f>IF(G2183,L2183*AN2183/(1+M2183)^F2183,0)</x:f>
        <x:v>0</x:v>
      </x:c>
      <x:c r="AJ2183" t="n">
        <x:v>0</x:v>
      </x:c>
      <x:c r="AK2183" t="n">
        <x:v>0</x:v>
      </x:c>
      <x:c r="AL2183" t="n">
        <x:v>0</x:v>
      </x:c>
      <x:c r="AM2183" t="n">
        <x:f>CHOOSE('假设'!$B$3,AJ2183,AK2183,AL2183)</x:f>
        <x:v>0</x:v>
      </x:c>
      <x:c r="AN2183" t="n">
        <x:v>1</x:v>
      </x:c>
    </x:row>
    <x:row r="2184" ht="23" customHeight="1">
      <x:c r="A2184" s="11" t="str">
        <x:v>688302.SH</x:v>
      </x:c>
      <x:c r="B2184" s="11" t="str">
        <x:v>五年</x:v>
      </x:c>
      <x:c r="C2184" s="11" t="str">
        <x:v>hp518_tnbc_global</x:v>
      </x:c>
      <x:c r="D2184" s="11" t="str">
        <x:v>2028-12-31</x:v>
      </x:c>
      <x:c r="E2184" s="11" t="str">
        <x:v>USD</x:v>
      </x:c>
      <x:c r="F2184" s="11" t="n">
        <x:v>-2.7707049965776864</x:v>
      </x:c>
      <x:c r="G2184" s="26" t="b">
        <x:v>0</x:v>
      </x:c>
      <x:c r="H2184" s="16" t="n">
        <x:v>0</x:v>
      </x:c>
      <x:c r="I2184" s="16" t="n">
        <x:v>0</x:v>
      </x:c>
      <x:c r="J2184" s="16" t="n">
        <x:v>0</x:v>
      </x:c>
      <x:c r="K2184" s="11" t="n">
        <x:f>CHOOSE('假设'!$B$3,H2184,I2184,J2184)</x:f>
        <x:v>0</x:v>
      </x:c>
      <x:c r="L2184" s="11" t="n">
        <x:f>K2184*'管线假设'!E483*'管线假设'!F483*'管线假设'!G483*IF(E2184="USD",'管线假设'!I483,1)-AM2184</x:f>
        <x:v>0</x:v>
      </x:c>
      <x:c r="M2184" s="11" t="n">
        <x:f>'管线假设'!H483</x:f>
        <x:v>0.14</x:v>
      </x:c>
      <x:c r="N2184" s="11" t="n">
        <x:f>IF(G2184,L2184*AN2184/(1+M2184)^F2184,0)</x:f>
        <x:v>0</x:v>
      </x:c>
      <x:c r="AJ2184" t="n">
        <x:v>0</x:v>
      </x:c>
      <x:c r="AK2184" t="n">
        <x:v>0</x:v>
      </x:c>
      <x:c r="AL2184" t="n">
        <x:v>0</x:v>
      </x:c>
      <x:c r="AM2184" t="n">
        <x:f>CHOOSE('假设'!$B$3,AJ2184,AK2184,AL2184)</x:f>
        <x:v>0</x:v>
      </x:c>
      <x:c r="AN2184" t="n">
        <x:v>1</x:v>
      </x:c>
    </x:row>
    <x:row r="2185" ht="23" customHeight="1">
      <x:c r="A2185" s="11" t="str">
        <x:v>688302.SH</x:v>
      </x:c>
      <x:c r="B2185" s="11" t="str">
        <x:v>五年</x:v>
      </x:c>
      <x:c r="C2185" s="11" t="str">
        <x:v>hp518_tnbc_global</x:v>
      </x:c>
      <x:c r="D2185" s="11" t="str">
        <x:v>2029-12-31</x:v>
      </x:c>
      <x:c r="E2185" s="11" t="str">
        <x:v>USD</x:v>
      </x:c>
      <x:c r="F2185" s="11" t="n">
        <x:v>-1.7713894592744694</x:v>
      </x:c>
      <x:c r="G2185" s="26" t="b">
        <x:v>0</x:v>
      </x:c>
      <x:c r="H2185" s="16" t="n">
        <x:v>0</x:v>
      </x:c>
      <x:c r="I2185" s="16" t="n">
        <x:v>0</x:v>
      </x:c>
      <x:c r="J2185" s="16" t="n">
        <x:v>0</x:v>
      </x:c>
      <x:c r="K2185" s="11" t="n">
        <x:f>CHOOSE('假设'!$B$3,H2185,I2185,J2185)</x:f>
        <x:v>0</x:v>
      </x:c>
      <x:c r="L2185" s="11" t="n">
        <x:f>K2185*'管线假设'!E483*'管线假设'!F483*'管线假设'!G483*IF(E2185="USD",'管线假设'!I483,1)-AM2185</x:f>
        <x:v>0</x:v>
      </x:c>
      <x:c r="M2185" s="11" t="n">
        <x:f>'管线假设'!H483</x:f>
        <x:v>0.14</x:v>
      </x:c>
      <x:c r="N2185" s="11" t="n">
        <x:f>IF(G2185,L2185*AN2185/(1+M2185)^F2185,0)</x:f>
        <x:v>0</x:v>
      </x:c>
      <x:c r="AJ2185" t="n">
        <x:v>0</x:v>
      </x:c>
      <x:c r="AK2185" t="n">
        <x:v>0</x:v>
      </x:c>
      <x:c r="AL2185" t="n">
        <x:v>0</x:v>
      </x:c>
      <x:c r="AM2185" t="n">
        <x:f>CHOOSE('假设'!$B$3,AJ2185,AK2185,AL2185)</x:f>
        <x:v>0</x:v>
      </x:c>
      <x:c r="AN2185" t="n">
        <x:v>1</x:v>
      </x:c>
    </x:row>
    <x:row r="2186" ht="23" customHeight="1">
      <x:c r="A2186" s="11" t="str">
        <x:v>688302.SH</x:v>
      </x:c>
      <x:c r="B2186" s="11" t="str">
        <x:v>五年</x:v>
      </x:c>
      <x:c r="C2186" s="11" t="str">
        <x:v>hp518_tnbc_global</x:v>
      </x:c>
      <x:c r="D2186" s="11" t="str">
        <x:v>2030-12-31</x:v>
      </x:c>
      <x:c r="E2186" s="11" t="str">
        <x:v>USD</x:v>
      </x:c>
      <x:c r="F2186" s="11" t="n">
        <x:v>-0.7720739219712526</x:v>
      </x:c>
      <x:c r="G2186" s="26" t="b">
        <x:v>0</x:v>
      </x:c>
      <x:c r="H2186" s="16" t="n">
        <x:v>0</x:v>
      </x:c>
      <x:c r="I2186" s="16" t="n">
        <x:v>0</x:v>
      </x:c>
      <x:c r="J2186" s="16" t="n">
        <x:v>0</x:v>
      </x:c>
      <x:c r="K2186" s="11" t="n">
        <x:f>CHOOSE('假设'!$B$3,H2186,I2186,J2186)</x:f>
        <x:v>0</x:v>
      </x:c>
      <x:c r="L2186" s="11" t="n">
        <x:f>K2186*'管线假设'!E483*'管线假设'!F483*'管线假设'!G483*IF(E2186="USD",'管线假设'!I483,1)-AM2186</x:f>
        <x:v>0</x:v>
      </x:c>
      <x:c r="M2186" s="11" t="n">
        <x:f>'管线假设'!H483</x:f>
        <x:v>0.14</x:v>
      </x:c>
      <x:c r="N2186" s="11" t="n">
        <x:f>IF(G2186,L2186*AN2186/(1+M2186)^F2186,0)</x:f>
        <x:v>0</x:v>
      </x:c>
      <x:c r="AJ2186" t="n">
        <x:v>0</x:v>
      </x:c>
      <x:c r="AK2186" t="n">
        <x:v>0</x:v>
      </x:c>
      <x:c r="AL2186" t="n">
        <x:v>0</x:v>
      </x:c>
      <x:c r="AM2186" t="n">
        <x:f>CHOOSE('假设'!$B$3,AJ2186,AK2186,AL2186)</x:f>
        <x:v>0</x:v>
      </x:c>
      <x:c r="AN2186" t="n">
        <x:v>1</x:v>
      </x:c>
    </x:row>
    <x:row r="2187" ht="23" customHeight="1">
      <x:c r="A2187" s="11" t="str">
        <x:v>688302.SH</x:v>
      </x:c>
      <x:c r="B2187" s="11" t="str">
        <x:v>五年</x:v>
      </x:c>
      <x:c r="C2187" s="11" t="str">
        <x:v>hp518_tnbc_global</x:v>
      </x:c>
      <x:c r="D2187" s="11" t="str">
        <x:v>2031-12-31</x:v>
      </x:c>
      <x:c r="E2187" s="11" t="str">
        <x:v>USD</x:v>
      </x:c>
      <x:c r="F2187" s="11" t="n">
        <x:v>0.2272416153319644</x:v>
      </x:c>
      <x:c r="G2187" s="26" t="b">
        <x:v>1</x:v>
      </x:c>
      <x:c r="H2187" s="16" t="n">
        <x:v>0</x:v>
      </x:c>
      <x:c r="I2187" s="16" t="n">
        <x:v>0</x:v>
      </x:c>
      <x:c r="J2187" s="16" t="n">
        <x:v>0</x:v>
      </x:c>
      <x:c r="K2187" s="11" t="n">
        <x:f>CHOOSE('假设'!$B$3,H2187,I2187,J2187)</x:f>
        <x:v>0</x:v>
      </x:c>
      <x:c r="L2187" s="11" t="n">
        <x:f>K2187*'管线假设'!E483*'管线假设'!F483*'管线假设'!G483*IF(E2187="USD",'管线假设'!I483,1)-AM2187</x:f>
        <x:v>0</x:v>
      </x:c>
      <x:c r="M2187" s="11" t="n">
        <x:f>'管线假设'!H483</x:f>
        <x:v>0.14</x:v>
      </x:c>
      <x:c r="N2187" s="11" t="n">
        <x:f>IF(G2187,L2187*AN2187/(1+M2187)^F2187,0)</x:f>
        <x:v>0</x:v>
      </x:c>
      <x:c r="AJ2187" t="n">
        <x:v>0</x:v>
      </x:c>
      <x:c r="AK2187" t="n">
        <x:v>0</x:v>
      </x:c>
      <x:c r="AL2187" t="n">
        <x:v>0</x:v>
      </x:c>
      <x:c r="AM2187" t="n">
        <x:f>CHOOSE('假设'!$B$3,AJ2187,AK2187,AL2187)</x:f>
        <x:v>0</x:v>
      </x:c>
      <x:c r="AN2187" t="n">
        <x:v>1</x:v>
      </x:c>
    </x:row>
    <x:row r="2188" ht="23" customHeight="1">
      <x:c r="A2188" s="11" t="str">
        <x:v>688302.SH</x:v>
      </x:c>
      <x:c r="B2188" s="11" t="str">
        <x:v>五年</x:v>
      </x:c>
      <x:c r="C2188" s="11" t="str">
        <x:v>hp518_tnbc_global</x:v>
      </x:c>
      <x:c r="D2188" s="11" t="str">
        <x:v>2032-12-31</x:v>
      </x:c>
      <x:c r="E2188" s="11" t="str">
        <x:v>USD</x:v>
      </x:c>
      <x:c r="F2188" s="11" t="n">
        <x:v>1.2292950034223136</x:v>
      </x:c>
      <x:c r="G2188" s="26" t="b">
        <x:v>1</x:v>
      </x:c>
      <x:c r="H2188" s="16" t="n">
        <x:v>0</x:v>
      </x:c>
      <x:c r="I2188" s="16" t="n">
        <x:v>0</x:v>
      </x:c>
      <x:c r="J2188" s="16" t="n">
        <x:v>0</x:v>
      </x:c>
      <x:c r="K2188" s="11" t="n">
        <x:f>CHOOSE('假设'!$B$3,H2188,I2188,J2188)</x:f>
        <x:v>0</x:v>
      </x:c>
      <x:c r="L2188" s="11" t="n">
        <x:f>K2188*'管线假设'!E483*'管线假设'!F483*'管线假设'!G483*IF(E2188="USD",'管线假设'!I483,1)-AM2188</x:f>
        <x:v>0</x:v>
      </x:c>
      <x:c r="M2188" s="11" t="n">
        <x:f>'管线假设'!H483</x:f>
        <x:v>0.14</x:v>
      </x:c>
      <x:c r="N2188" s="11" t="n">
        <x:f>IF(G2188,L2188*AN2188/(1+M2188)^F2188,0)</x:f>
        <x:v>0</x:v>
      </x:c>
      <x:c r="AJ2188" t="n">
        <x:v>0</x:v>
      </x:c>
      <x:c r="AK2188" t="n">
        <x:v>0</x:v>
      </x:c>
      <x:c r="AL2188" t="n">
        <x:v>0</x:v>
      </x:c>
      <x:c r="AM2188" t="n">
        <x:f>CHOOSE('假设'!$B$3,AJ2188,AK2188,AL2188)</x:f>
        <x:v>0</x:v>
      </x:c>
      <x:c r="AN2188" t="n">
        <x:v>1</x:v>
      </x:c>
    </x:row>
    <x:row r="2189" ht="23" customHeight="1">
      <x:c r="A2189" s="11" t="str">
        <x:v>688302.SH</x:v>
      </x:c>
      <x:c r="B2189" s="11" t="str">
        <x:v>五年</x:v>
      </x:c>
      <x:c r="C2189" s="11" t="str">
        <x:v>hp518_tnbc_global</x:v>
      </x:c>
      <x:c r="D2189" s="11" t="str">
        <x:v>2033-12-31</x:v>
      </x:c>
      <x:c r="E2189" s="11" t="str">
        <x:v>USD</x:v>
      </x:c>
      <x:c r="F2189" s="11" t="n">
        <x:v>2.2286105407255303</x:v>
      </x:c>
      <x:c r="G2189" s="26" t="b">
        <x:v>1</x:v>
      </x:c>
      <x:c r="H2189" s="16" t="n">
        <x:v>0</x:v>
      </x:c>
      <x:c r="I2189" s="16" t="n">
        <x:v>0</x:v>
      </x:c>
      <x:c r="J2189" s="16" t="n">
        <x:v>0.3</x:v>
      </x:c>
      <x:c r="K2189" s="11" t="n">
        <x:f>CHOOSE('假设'!$B$3,H2189,I2189,J2189)</x:f>
        <x:v>0</x:v>
      </x:c>
      <x:c r="L2189" s="11" t="n">
        <x:f>K2189*'管线假设'!E483*'管线假设'!F483*'管线假设'!G483*IF(E2189="USD",'管线假设'!I483,1)-AM2189</x:f>
        <x:v>0</x:v>
      </x:c>
      <x:c r="M2189" s="11" t="n">
        <x:f>'管线假设'!H483</x:f>
        <x:v>0.14</x:v>
      </x:c>
      <x:c r="N2189" s="11" t="n">
        <x:f>IF(G2189,L2189*AN2189/(1+M2189)^F2189,0)</x:f>
        <x:v>0</x:v>
      </x:c>
      <x:c r="AJ2189" t="n">
        <x:v>0</x:v>
      </x:c>
      <x:c r="AK2189" t="n">
        <x:v>0</x:v>
      </x:c>
      <x:c r="AL2189" t="n">
        <x:v>0</x:v>
      </x:c>
      <x:c r="AM2189" t="n">
        <x:f>CHOOSE('假设'!$B$3,AJ2189,AK2189,AL2189)</x:f>
        <x:v>0</x:v>
      </x:c>
      <x:c r="AN2189" t="n">
        <x:v>1</x:v>
      </x:c>
    </x:row>
    <x:row r="2190" ht="23" customHeight="1">
      <x:c r="A2190" s="11" t="str">
        <x:v>688302.SH</x:v>
      </x:c>
      <x:c r="B2190" s="11" t="str">
        <x:v>五年</x:v>
      </x:c>
      <x:c r="C2190" s="11" t="str">
        <x:v>hp518_tnbc_global</x:v>
      </x:c>
      <x:c r="D2190" s="11" t="str">
        <x:v>2034-12-31</x:v>
      </x:c>
      <x:c r="E2190" s="11" t="str">
        <x:v>USD</x:v>
      </x:c>
      <x:c r="F2190" s="11" t="n">
        <x:v>3.2279260780287475</x:v>
      </x:c>
      <x:c r="G2190" s="26" t="b">
        <x:v>1</x:v>
      </x:c>
      <x:c r="H2190" s="16" t="n">
        <x:v>0</x:v>
      </x:c>
      <x:c r="I2190" s="16" t="n">
        <x:v>0</x:v>
      </x:c>
      <x:c r="J2190" s="16" t="n">
        <x:v>0.6</x:v>
      </x:c>
      <x:c r="K2190" s="11" t="n">
        <x:f>CHOOSE('假设'!$B$3,H2190,I2190,J2190)</x:f>
        <x:v>0</x:v>
      </x:c>
      <x:c r="L2190" s="11" t="n">
        <x:f>K2190*'管线假设'!E483*'管线假设'!F483*'管线假设'!G483*IF(E2190="USD",'管线假设'!I483,1)-AM2190</x:f>
        <x:v>0</x:v>
      </x:c>
      <x:c r="M2190" s="11" t="n">
        <x:f>'管线假设'!H483</x:f>
        <x:v>0.14</x:v>
      </x:c>
      <x:c r="N2190" s="11" t="n">
        <x:f>IF(G2190,L2190*AN2190/(1+M2190)^F2190,0)</x:f>
        <x:v>0</x:v>
      </x:c>
      <x:c r="AJ2190" t="n">
        <x:v>0</x:v>
      </x:c>
      <x:c r="AK2190" t="n">
        <x:v>0</x:v>
      </x:c>
      <x:c r="AL2190" t="n">
        <x:v>0</x:v>
      </x:c>
      <x:c r="AM2190" t="n">
        <x:f>CHOOSE('假设'!$B$3,AJ2190,AK2190,AL2190)</x:f>
        <x:v>0</x:v>
      </x:c>
      <x:c r="AN2190" t="n">
        <x:v>1</x:v>
      </x:c>
    </x:row>
    <x:row r="2191" ht="23" customHeight="1">
      <x:c r="A2191" s="11" t="str">
        <x:v>688302.SH</x:v>
      </x:c>
      <x:c r="B2191" s="11" t="str">
        <x:v>五年</x:v>
      </x:c>
      <x:c r="C2191" s="11" t="str">
        <x:v>hp518_tnbc_global</x:v>
      </x:c>
      <x:c r="D2191" s="11" t="str">
        <x:v>2035-12-31</x:v>
      </x:c>
      <x:c r="E2191" s="11" t="str">
        <x:v>USD</x:v>
      </x:c>
      <x:c r="F2191" s="11" t="n">
        <x:v>4.227241615331964</x:v>
      </x:c>
      <x:c r="G2191" s="26" t="b">
        <x:v>1</x:v>
      </x:c>
      <x:c r="H2191" s="16" t="n">
        <x:v>0</x:v>
      </x:c>
      <x:c r="I2191" s="16" t="n">
        <x:v>0.15</x:v>
      </x:c>
      <x:c r="J2191" s="16" t="n">
        <x:v>0.9</x:v>
      </x:c>
      <x:c r="K2191" s="11" t="n">
        <x:f>CHOOSE('假设'!$B$3,H2191,I2191,J2191)</x:f>
        <x:v>0.15</x:v>
      </x:c>
      <x:c r="L2191" s="11" t="n">
        <x:f>K2191*'管线假设'!E483*'管线假设'!F483*'管线假设'!G483*IF(E2191="USD",'管线假设'!I483,1)-AM2191</x:f>
        <x:v>0.029207087999999996</x:v>
      </x:c>
      <x:c r="M2191" s="11" t="n">
        <x:f>'管线假设'!H483</x:f>
        <x:v>0.14</x:v>
      </x:c>
      <x:c r="N2191" s="11" t="n">
        <x:f>IF(G2191,L2191*AN2191/(1+M2191)^F2191,0)</x:f>
        <x:v>0.016785632227034553</x:v>
      </x:c>
      <x:c r="AJ2191" t="n">
        <x:v>0</x:v>
      </x:c>
      <x:c r="AK2191" t="n">
        <x:v>0</x:v>
      </x:c>
      <x:c r="AL2191" t="n">
        <x:v>0</x:v>
      </x:c>
      <x:c r="AM2191" t="n">
        <x:f>CHOOSE('假设'!$B$3,AJ2191,AK2191,AL2191)</x:f>
        <x:v>0</x:v>
      </x:c>
      <x:c r="AN2191" t="n">
        <x:v>1</x:v>
      </x:c>
    </x:row>
    <x:row r="2192" ht="23" customHeight="1">
      <x:c r="A2192" s="11" t="str">
        <x:v>688302.SH</x:v>
      </x:c>
      <x:c r="B2192" s="11" t="str">
        <x:v>五年</x:v>
      </x:c>
      <x:c r="C2192" s="11" t="str">
        <x:v>hp518_tnbc_global</x:v>
      </x:c>
      <x:c r="D2192" s="11" t="str">
        <x:v>2036-12-31</x:v>
      </x:c>
      <x:c r="E2192" s="11" t="str">
        <x:v>USD</x:v>
      </x:c>
      <x:c r="F2192" s="11" t="n">
        <x:v>5.229295003422314</x:v>
      </x:c>
      <x:c r="G2192" s="26" t="b">
        <x:v>1</x:v>
      </x:c>
      <x:c r="H2192" s="16" t="n">
        <x:v>0</x:v>
      </x:c>
      <x:c r="I2192" s="16" t="n">
        <x:v>0.3</x:v>
      </x:c>
      <x:c r="J2192" s="16" t="n">
        <x:v>1.2</x:v>
      </x:c>
      <x:c r="K2192" s="11" t="n">
        <x:f>CHOOSE('假设'!$B$3,H2192,I2192,J2192)</x:f>
        <x:v>0.3</x:v>
      </x:c>
      <x:c r="L2192" s="11" t="n">
        <x:f>K2192*'管线假设'!E483*'管线假设'!F483*'管线假设'!G483*IF(E2192="USD",'管线假设'!I483,1)-AM2192</x:f>
        <x:v>0.05841417599999999</x:v>
      </x:c>
      <x:c r="M2192" s="11" t="n">
        <x:f>'管线假设'!H483</x:f>
        <x:v>0.14</x:v>
      </x:c>
      <x:c r="N2192" s="11" t="n">
        <x:f>IF(G2192,L2192*AN2192/(1+M2192)^F2192,0)</x:f>
        <x:v>0.029440555488996326</x:v>
      </x:c>
      <x:c r="AJ2192" t="n">
        <x:v>0</x:v>
      </x:c>
      <x:c r="AK2192" t="n">
        <x:v>0</x:v>
      </x:c>
      <x:c r="AL2192" t="n">
        <x:v>0</x:v>
      </x:c>
      <x:c r="AM2192" t="n">
        <x:f>CHOOSE('假设'!$B$3,AJ2192,AK2192,AL2192)</x:f>
        <x:v>0</x:v>
      </x:c>
      <x:c r="AN2192" t="n">
        <x:v>1</x:v>
      </x:c>
    </x:row>
    <x:row r="2193" ht="23" customHeight="1">
      <x:c r="A2193" s="11" t="str">
        <x:v>688302.SH</x:v>
      </x:c>
      <x:c r="B2193" s="11" t="str">
        <x:v>五年</x:v>
      </x:c>
      <x:c r="C2193" s="11" t="str">
        <x:v>hp518_tnbc_global</x:v>
      </x:c>
      <x:c r="D2193" s="11" t="str">
        <x:v>2037-12-31</x:v>
      </x:c>
      <x:c r="E2193" s="11" t="str">
        <x:v>USD</x:v>
      </x:c>
      <x:c r="F2193" s="11" t="n">
        <x:v>6.228610540725531</x:v>
      </x:c>
      <x:c r="G2193" s="26" t="b">
        <x:v>1</x:v>
      </x:c>
      <x:c r="H2193" s="16" t="n">
        <x:v>0.06</x:v>
      </x:c>
      <x:c r="I2193" s="16" t="n">
        <x:v>0.45</x:v>
      </x:c>
      <x:c r="J2193" s="16" t="n">
        <x:v>1.5</x:v>
      </x:c>
      <x:c r="K2193" s="11" t="n">
        <x:f>CHOOSE('假设'!$B$3,H2193,I2193,J2193)</x:f>
        <x:v>0.45</x:v>
      </x:c>
      <x:c r="L2193" s="11" t="n">
        <x:f>K2193*'管线假设'!E483*'管线假设'!F483*'管线假设'!G483*IF(E2193="USD",'管线假设'!I483,1)-AM2193</x:f>
        <x:v>0.08762126399999998</x:v>
      </x:c>
      <x:c r="M2193" s="11" t="n">
        <x:f>'管线假设'!H483</x:f>
        <x:v>0.14</x:v>
      </x:c>
      <x:c r="N2193" s="11" t="n">
        <x:f>IF(G2193,L2193*AN2193/(1+M2193)^F2193,0)</x:f>
        <x:v>0.03874104730649405</x:v>
      </x:c>
      <x:c r="AJ2193" t="n">
        <x:v>0</x:v>
      </x:c>
      <x:c r="AK2193" t="n">
        <x:v>0</x:v>
      </x:c>
      <x:c r="AL2193" t="n">
        <x:v>0</x:v>
      </x:c>
      <x:c r="AM2193" t="n">
        <x:f>CHOOSE('假设'!$B$3,AJ2193,AK2193,AL2193)</x:f>
        <x:v>0</x:v>
      </x:c>
      <x:c r="AN2193" t="n">
        <x:v>1</x:v>
      </x:c>
    </x:row>
    <x:row r="2194" ht="23" customHeight="1">
      <x:c r="A2194" s="11" t="str">
        <x:v>688302.SH</x:v>
      </x:c>
      <x:c r="B2194" s="11" t="str">
        <x:v>五年</x:v>
      </x:c>
      <x:c r="C2194" s="11" t="str">
        <x:v>hp518_tnbc_global</x:v>
      </x:c>
      <x:c r="D2194" s="11" t="str">
        <x:v>2038-12-31</x:v>
      </x:c>
      <x:c r="E2194" s="11" t="str">
        <x:v>USD</x:v>
      </x:c>
      <x:c r="F2194" s="11" t="n">
        <x:v>7.227926078028747</x:v>
      </x:c>
      <x:c r="G2194" s="26" t="b">
        <x:v>1</x:v>
      </x:c>
      <x:c r="H2194" s="16" t="n">
        <x:v>0.12</x:v>
      </x:c>
      <x:c r="I2194" s="16" t="n">
        <x:v>0.6</x:v>
      </x:c>
      <x:c r="J2194" s="16" t="n">
        <x:v>1.8</x:v>
      </x:c>
      <x:c r="K2194" s="11" t="n">
        <x:f>CHOOSE('假设'!$B$3,H2194,I2194,J2194)</x:f>
        <x:v>0.6</x:v>
      </x:c>
      <x:c r="L2194" s="11" t="n">
        <x:f>K2194*'管线假设'!E483*'管线假设'!F483*'管线假设'!G483*IF(E2194="USD",'管线假设'!I483,1)-AM2194</x:f>
        <x:v>0.11682835199999998</x:v>
      </x:c>
      <x:c r="M2194" s="11" t="n">
        <x:f>'管线假设'!H483</x:f>
        <x:v>0.14</x:v>
      </x:c>
      <x:c r="N2194" s="11" t="n">
        <x:f>IF(G2194,L2194*AN2194/(1+M2194)^F2194,0)</x:f>
        <x:v>0.045315230307313825</x:v>
      </x:c>
      <x:c r="AJ2194" t="n">
        <x:v>0</x:v>
      </x:c>
      <x:c r="AK2194" t="n">
        <x:v>0</x:v>
      </x:c>
      <x:c r="AL2194" t="n">
        <x:v>0</x:v>
      </x:c>
      <x:c r="AM2194" t="n">
        <x:f>CHOOSE('假设'!$B$3,AJ2194,AK2194,AL2194)</x:f>
        <x:v>0</x:v>
      </x:c>
      <x:c r="AN2194" t="n">
        <x:v>1</x:v>
      </x:c>
    </x:row>
    <x:row r="2195" ht="23" customHeight="1">
      <x:c r="A2195" s="11" t="str">
        <x:v>688302.SH</x:v>
      </x:c>
      <x:c r="B2195" s="11" t="str">
        <x:v>五年</x:v>
      </x:c>
      <x:c r="C2195" s="11" t="str">
        <x:v>hp518_tnbc_global</x:v>
      </x:c>
      <x:c r="D2195" s="11" t="str">
        <x:v>2039-12-31</x:v>
      </x:c>
      <x:c r="E2195" s="11" t="str">
        <x:v>USD</x:v>
      </x:c>
      <x:c r="F2195" s="11" t="n">
        <x:v>8.227241615331964</x:v>
      </x:c>
      <x:c r="G2195" s="26" t="b">
        <x:v>1</x:v>
      </x:c>
      <x:c r="H2195" s="16" t="n">
        <x:v>0.18</x:v>
      </x:c>
      <x:c r="I2195" s="16" t="n">
        <x:v>0.75</x:v>
      </x:c>
      <x:c r="J2195" s="16" t="n">
        <x:v>1.566</x:v>
      </x:c>
      <x:c r="K2195" s="11" t="n">
        <x:f>CHOOSE('假设'!$B$3,H2195,I2195,J2195)</x:f>
        <x:v>0.75</x:v>
      </x:c>
      <x:c r="L2195" s="11" t="n">
        <x:f>K2195*'管线假设'!E483*'管线假设'!F483*'管线假设'!G483*IF(E2195="USD",'管线假设'!I483,1)-AM2195</x:f>
        <x:v>0.14603543999999996</x:v>
      </x:c>
      <x:c r="M2195" s="11" t="n">
        <x:f>'管线假设'!H483</x:f>
        <x:v>0.14</x:v>
      </x:c>
      <x:c r="N2195" s="11" t="n">
        <x:f>IF(G2195,L2195*AN2195/(1+M2195)^F2195,0)</x:f>
        <x:v>0.049692208924083034</x:v>
      </x:c>
      <x:c r="AJ2195" t="n">
        <x:v>0</x:v>
      </x:c>
      <x:c r="AK2195" t="n">
        <x:v>0</x:v>
      </x:c>
      <x:c r="AL2195" t="n">
        <x:v>0</x:v>
      </x:c>
      <x:c r="AM2195" t="n">
        <x:f>CHOOSE('假设'!$B$3,AJ2195,AK2195,AL2195)</x:f>
        <x:v>0</x:v>
      </x:c>
      <x:c r="AN2195" t="n">
        <x:v>1</x:v>
      </x:c>
    </x:row>
    <x:row r="2196" ht="23" customHeight="1">
      <x:c r="A2196" s="11" t="str">
        <x:v>688302.SH</x:v>
      </x:c>
      <x:c r="B2196" s="11" t="str">
        <x:v>五年</x:v>
      </x:c>
      <x:c r="C2196" s="11" t="str">
        <x:v>hp518_tnbc_global</x:v>
      </x:c>
      <x:c r="D2196" s="11" t="str">
        <x:v>2040-12-31</x:v>
      </x:c>
      <x:c r="E2196" s="11" t="str">
        <x:v>USD</x:v>
      </x:c>
      <x:c r="F2196" s="11" t="n">
        <x:v>9.229295003422314</x:v>
      </x:c>
      <x:c r="G2196" s="26" t="b">
        <x:v>1</x:v>
      </x:c>
      <x:c r="H2196" s="16" t="n">
        <x:v>0.24</x:v>
      </x:c>
      <x:c r="I2196" s="16" t="n">
        <x:v>0.9</x:v>
      </x:c>
      <x:c r="J2196" s="16" t="n">
        <x:v>1.332</x:v>
      </x:c>
      <x:c r="K2196" s="11" t="n">
        <x:f>CHOOSE('假设'!$B$3,H2196,I2196,J2196)</x:f>
        <x:v>0.9</x:v>
      </x:c>
      <x:c r="L2196" s="11" t="n">
        <x:f>K2196*'管线假设'!E483*'管线假设'!F483*'管线假设'!G483*IF(E2196="USD",'管线假设'!I483,1)-AM2196</x:f>
        <x:v>0.17524252799999995</x:v>
      </x:c>
      <x:c r="M2196" s="11" t="n">
        <x:f>'管线假设'!H483</x:f>
        <x:v>0.14</x:v>
      </x:c>
      <x:c r="N2196" s="11" t="n">
        <x:f>IF(G2196,L2196*AN2196/(1+M2196)^F2196,0)</x:f>
        <x:v>0.05229351677957219</x:v>
      </x:c>
      <x:c r="AJ2196" t="n">
        <x:v>0</x:v>
      </x:c>
      <x:c r="AK2196" t="n">
        <x:v>0</x:v>
      </x:c>
      <x:c r="AL2196" t="n">
        <x:v>0</x:v>
      </x:c>
      <x:c r="AM2196" t="n">
        <x:f>CHOOSE('假设'!$B$3,AJ2196,AK2196,AL2196)</x:f>
        <x:v>0</x:v>
      </x:c>
      <x:c r="AN2196" t="n">
        <x:v>1</x:v>
      </x:c>
    </x:row>
    <x:row r="2197" ht="23" customHeight="1">
      <x:c r="A2197" s="11" t="str">
        <x:v>688302.SH</x:v>
      </x:c>
      <x:c r="B2197" s="11" t="str">
        <x:v>五年</x:v>
      </x:c>
      <x:c r="C2197" s="11" t="str">
        <x:v>hp518_tnbc_global</x:v>
      </x:c>
      <x:c r="D2197" s="11" t="str">
        <x:v>2041-12-31</x:v>
      </x:c>
      <x:c r="E2197" s="11" t="str">
        <x:v>USD</x:v>
      </x:c>
      <x:c r="F2197" s="11" t="n">
        <x:v>10.22861054072553</x:v>
      </x:c>
      <x:c r="G2197" s="26" t="b">
        <x:v>1</x:v>
      </x:c>
      <x:c r="H2197" s="16" t="n">
        <x:v>0.3</x:v>
      </x:c>
      <x:c r="I2197" s="16" t="n">
        <x:v>0.783</x:v>
      </x:c>
      <x:c r="J2197" s="16" t="n">
        <x:v>1.098</x:v>
      </x:c>
      <x:c r="K2197" s="11" t="n">
        <x:f>CHOOSE('假设'!$B$3,H2197,I2197,J2197)</x:f>
        <x:v>0.783</x:v>
      </x:c>
      <x:c r="L2197" s="11" t="n">
        <x:f>K2197*'管线假设'!E483*'管线假设'!F483*'管线假设'!G483*IF(E2197="USD",'管线假设'!I483,1)-AM2197</x:f>
        <x:v>0.15246099935999996</x:v>
      </x:c>
      <x:c r="M2197" s="11" t="n">
        <x:f>'管线假设'!H483</x:f>
        <x:v>0.14</x:v>
      </x:c>
      <x:c r="N2197" s="11" t="n">
        <x:f>IF(G2197,L2197*AN2197/(1+M2197)^F2197,0)</x:f>
        <x:v>0.0399117894606227</x:v>
      </x:c>
      <x:c r="AJ2197" t="n">
        <x:v>0</x:v>
      </x:c>
      <x:c r="AK2197" t="n">
        <x:v>0</x:v>
      </x:c>
      <x:c r="AL2197" t="n">
        <x:v>0</x:v>
      </x:c>
      <x:c r="AM2197" t="n">
        <x:f>CHOOSE('假设'!$B$3,AJ2197,AK2197,AL2197)</x:f>
        <x:v>0</x:v>
      </x:c>
      <x:c r="AN2197" t="n">
        <x:v>1</x:v>
      </x:c>
    </x:row>
    <x:row r="2198" ht="23" customHeight="1">
      <x:c r="A2198" s="11" t="str">
        <x:v>688302.SH</x:v>
      </x:c>
      <x:c r="B2198" s="11" t="str">
        <x:v>五年</x:v>
      </x:c>
      <x:c r="C2198" s="11" t="str">
        <x:v>hp518_tnbc_global</x:v>
      </x:c>
      <x:c r="D2198" s="11" t="str">
        <x:v>2042-12-31</x:v>
      </x:c>
      <x:c r="E2198" s="11" t="str">
        <x:v>USD</x:v>
      </x:c>
      <x:c r="F2198" s="11" t="n">
        <x:v>11.227926078028748</x:v>
      </x:c>
      <x:c r="G2198" s="26" t="b">
        <x:v>1</x:v>
      </x:c>
      <x:c r="H2198" s="16" t="n">
        <x:v>0.261</x:v>
      </x:c>
      <x:c r="I2198" s="16" t="n">
        <x:v>0.666</x:v>
      </x:c>
      <x:c r="J2198" s="16" t="n">
        <x:v>0.864</x:v>
      </x:c>
      <x:c r="K2198" s="11" t="n">
        <x:f>CHOOSE('假设'!$B$3,H2198,I2198,J2198)</x:f>
        <x:v>0.666</x:v>
      </x:c>
      <x:c r="L2198" s="11" t="n">
        <x:f>K2198*'管线假设'!E483*'管线假设'!F483*'管线假设'!G483*IF(E2198="USD",'管线假设'!I483,1)-AM2198</x:f>
        <x:v>0.12967947072</x:v>
      </x:c>
      <x:c r="M2198" s="11" t="n">
        <x:f>'管线假设'!H483</x:f>
        <x:v>0.14</x:v>
      </x:c>
      <x:c r="N2198" s="11" t="n">
        <x:f>IF(G2198,L2198*AN2198/(1+M2198)^F2198,0)</x:f>
        <x:v>0.029781582083687703</x:v>
      </x:c>
      <x:c r="AJ2198" t="n">
        <x:v>0</x:v>
      </x:c>
      <x:c r="AK2198" t="n">
        <x:v>0</x:v>
      </x:c>
      <x:c r="AL2198" t="n">
        <x:v>0</x:v>
      </x:c>
      <x:c r="AM2198" t="n">
        <x:f>CHOOSE('假设'!$B$3,AJ2198,AK2198,AL2198)</x:f>
        <x:v>0</x:v>
      </x:c>
      <x:c r="AN2198" t="n">
        <x:v>1</x:v>
      </x:c>
    </x:row>
    <x:row r="2199" ht="23" customHeight="1">
      <x:c r="A2199" s="11" t="str">
        <x:v>688302.SH</x:v>
      </x:c>
      <x:c r="B2199" s="11" t="str">
        <x:v>五年</x:v>
      </x:c>
      <x:c r="C2199" s="11" t="str">
        <x:v>hp518_tnbc_global</x:v>
      </x:c>
      <x:c r="D2199" s="11" t="str">
        <x:v>2043-12-31</x:v>
      </x:c>
      <x:c r="E2199" s="11" t="str">
        <x:v>USD</x:v>
      </x:c>
      <x:c r="F2199" s="11" t="n">
        <x:v>12.227241615331964</x:v>
      </x:c>
      <x:c r="G2199" s="26" t="b">
        <x:v>1</x:v>
      </x:c>
      <x:c r="H2199" s="16" t="n">
        <x:v>0.222</x:v>
      </x:c>
      <x:c r="I2199" s="16" t="n">
        <x:v>0.549</x:v>
      </x:c>
      <x:c r="J2199" s="16" t="n">
        <x:v>0.63</x:v>
      </x:c>
      <x:c r="K2199" s="11" t="n">
        <x:f>CHOOSE('假设'!$B$3,H2199,I2199,J2199)</x:f>
        <x:v>0.549</x:v>
      </x:c>
      <x:c r="L2199" s="11" t="n">
        <x:f>K2199*'管线假设'!E483*'管线假设'!F483*'管线假设'!G483*IF(E2199="USD",'管线假设'!I483,1)-AM2199</x:f>
        <x:v>0.10689794207999999</x:v>
      </x:c>
      <x:c r="M2199" s="11" t="n">
        <x:f>'管线假设'!H483</x:f>
        <x:v>0.14</x:v>
      </x:c>
      <x:c r="N2199" s="11" t="n">
        <x:f>IF(G2199,L2199*AN2199/(1+M2199)^F2199,0)</x:f>
        <x:v>0.02153674064900902</x:v>
      </x:c>
      <x:c r="AJ2199" t="n">
        <x:v>0</x:v>
      </x:c>
      <x:c r="AK2199" t="n">
        <x:v>0</x:v>
      </x:c>
      <x:c r="AL2199" t="n">
        <x:v>0</x:v>
      </x:c>
      <x:c r="AM2199" t="n">
        <x:f>CHOOSE('假设'!$B$3,AJ2199,AK2199,AL2199)</x:f>
        <x:v>0</x:v>
      </x:c>
      <x:c r="AN2199" t="n">
        <x:v>1</x:v>
      </x:c>
    </x:row>
    <x:row r="2200" ht="23" customHeight="1">
      <x:c r="A2200" s="11" t="str">
        <x:v>688302.SH</x:v>
      </x:c>
      <x:c r="B2200" s="11" t="str">
        <x:v>五年</x:v>
      </x:c>
      <x:c r="C2200" s="11" t="str">
        <x:v>hp518_tnbc_global</x:v>
      </x:c>
      <x:c r="D2200" s="11" t="str">
        <x:v>2044-12-31</x:v>
      </x:c>
      <x:c r="E2200" s="11" t="str">
        <x:v>USD</x:v>
      </x:c>
      <x:c r="F2200" s="11" t="n">
        <x:v>13.229295003422314</x:v>
      </x:c>
      <x:c r="G2200" s="26" t="b">
        <x:v>1</x:v>
      </x:c>
      <x:c r="H2200" s="16" t="n">
        <x:v>0.183</x:v>
      </x:c>
      <x:c r="I2200" s="16" t="n">
        <x:v>0.432</x:v>
      </x:c>
      <x:c r="J2200" s="16" t="n">
        <x:v>0.39599999999999996</x:v>
      </x:c>
      <x:c r="K2200" s="11" t="n">
        <x:f>CHOOSE('假设'!$B$3,H2200,I2200,J2200)</x:f>
        <x:v>0.432</x:v>
      </x:c>
      <x:c r="L2200" s="11" t="n">
        <x:f>K2200*'管线假设'!E483*'管线假设'!F483*'管线假设'!G483*IF(E2200="USD",'管线假设'!I483,1)-AM2200</x:f>
        <x:v>0.08411641343999998</x:v>
      </x:c>
      <x:c r="M2200" s="11" t="n">
        <x:f>'管线假设'!H483</x:f>
        <x:v>0.14</x:v>
      </x:c>
      <x:c r="N2200" s="11" t="n">
        <x:f>IF(G2200,L2200*AN2200/(1+M2200)^F2200,0)</x:f>
        <x:v>0.014861740761365646</x:v>
      </x:c>
      <x:c r="AJ2200" t="n">
        <x:v>0</x:v>
      </x:c>
      <x:c r="AK2200" t="n">
        <x:v>0</x:v>
      </x:c>
      <x:c r="AL2200" t="n">
        <x:v>0</x:v>
      </x:c>
      <x:c r="AM2200" t="n">
        <x:f>CHOOSE('假设'!$B$3,AJ2200,AK2200,AL2200)</x:f>
        <x:v>0</x:v>
      </x:c>
      <x:c r="AN2200" t="n">
        <x:v>1</x:v>
      </x:c>
    </x:row>
    <x:row r="2201" ht="23" customHeight="1">
      <x:c r="A2201" s="11" t="str">
        <x:v>688302.SH</x:v>
      </x:c>
      <x:c r="B2201" s="11" t="str">
        <x:v>五年</x:v>
      </x:c>
      <x:c r="C2201" s="11" t="str">
        <x:v>hp518_tnbc_global</x:v>
      </x:c>
      <x:c r="D2201" s="11" t="str">
        <x:v>2045-12-31</x:v>
      </x:c>
      <x:c r="E2201" s="11" t="str">
        <x:v>USD</x:v>
      </x:c>
      <x:c r="F2201" s="11" t="n">
        <x:v>14.22861054072553</x:v>
      </x:c>
      <x:c r="G2201" s="26" t="b">
        <x:v>1</x:v>
      </x:c>
      <x:c r="H2201" s="16" t="n">
        <x:v>0.144</x:v>
      </x:c>
      <x:c r="I2201" s="16" t="n">
        <x:v>0.315</x:v>
      </x:c>
      <x:c r="J2201" s="16" t="n">
        <x:v>0.16199999999999995</x:v>
      </x:c>
      <x:c r="K2201" s="11" t="n">
        <x:f>CHOOSE('假设'!$B$3,H2201,I2201,J2201)</x:f>
        <x:v>0.315</x:v>
      </x:c>
      <x:c r="L2201" s="11" t="n">
        <x:f>K2201*'管线假设'!E483*'管线假设'!F483*'管线假设'!G483*IF(E2201="USD",'管线假设'!I483,1)-AM2201</x:f>
        <x:v>0.06133488479999998</x:v>
      </x:c>
      <x:c r="M2201" s="11" t="n">
        <x:f>'管线假设'!H483</x:f>
        <x:v>0.14</x:v>
      </x:c>
      <x:c r="N2201" s="11" t="n">
        <x:f>IF(G2201,L2201*AN2201/(1+M2201)^F2201,0)</x:f>
        <x:v>0.00950671744938521</x:v>
      </x:c>
      <x:c r="AJ2201" t="n">
        <x:v>0</x:v>
      </x:c>
      <x:c r="AK2201" t="n">
        <x:v>0</x:v>
      </x:c>
      <x:c r="AL2201" t="n">
        <x:v>0</x:v>
      </x:c>
      <x:c r="AM2201" t="n">
        <x:f>CHOOSE('假设'!$B$3,AJ2201,AK2201,AL2201)</x:f>
        <x:v>0</x:v>
      </x:c>
      <x:c r="AN2201" t="n">
        <x:v>1</x:v>
      </x:c>
    </x:row>
    <x:row r="2202" ht="23" customHeight="1">
      <x:c r="A2202" s="11" t="str">
        <x:v>688302.SH</x:v>
      </x:c>
      <x:c r="B2202" s="11" t="str">
        <x:v>五年</x:v>
      </x:c>
      <x:c r="C2202" s="11" t="str">
        <x:v>hp515_mash_cn</x:v>
      </x:c>
      <x:c r="D2202" s="11" t="str">
        <x:v>2027-12-31</x:v>
      </x:c>
      <x:c r="E2202" s="11" t="str">
        <x:v>CNY</x:v>
      </x:c>
      <x:c r="F2202" s="11" t="n">
        <x:v>-3.7727583846680357</x:v>
      </x:c>
      <x:c r="G2202" s="26" t="b">
        <x:v>0</x:v>
      </x:c>
      <x:c r="H2202" s="16" t="n">
        <x:v>0</x:v>
      </x:c>
      <x:c r="I2202" s="16" t="n">
        <x:v>0</x:v>
      </x:c>
      <x:c r="J2202" s="16" t="n">
        <x:v>0</x:v>
      </x:c>
      <x:c r="K2202" s="11" t="n">
        <x:f>CHOOSE('假设'!$B$3,H2202,I2202,J2202)</x:f>
        <x:v>0</x:v>
      </x:c>
      <x:c r="L2202" s="11" t="n">
        <x:f>K2202*'管线假设'!E487*'管线假设'!F487*'管线假设'!G487*IF(E2202="USD",'管线假设'!I487,1)-AM2202</x:f>
        <x:v>0</x:v>
      </x:c>
      <x:c r="M2202" s="11" t="n">
        <x:f>'管线假设'!H487</x:f>
        <x:v>0.14</x:v>
      </x:c>
      <x:c r="N2202" s="11" t="n">
        <x:f>IF(G2202,L2202*AN2202/(1+M2202)^F2202,0)</x:f>
        <x:v>0</x:v>
      </x:c>
      <x:c r="AJ2202" t="n">
        <x:v>0</x:v>
      </x:c>
      <x:c r="AK2202" t="n">
        <x:v>0</x:v>
      </x:c>
      <x:c r="AL2202" t="n">
        <x:v>0</x:v>
      </x:c>
      <x:c r="AM2202" t="n">
        <x:f>CHOOSE('假设'!$B$3,AJ2202,AK2202,AL2202)</x:f>
        <x:v>0</x:v>
      </x:c>
      <x:c r="AN2202" t="n">
        <x:v>1</x:v>
      </x:c>
    </x:row>
    <x:row r="2203" ht="23" customHeight="1">
      <x:c r="A2203" s="11" t="str">
        <x:v>688302.SH</x:v>
      </x:c>
      <x:c r="B2203" s="11" t="str">
        <x:v>五年</x:v>
      </x:c>
      <x:c r="C2203" s="11" t="str">
        <x:v>hp515_mash_cn</x:v>
      </x:c>
      <x:c r="D2203" s="11" t="str">
        <x:v>2028-12-31</x:v>
      </x:c>
      <x:c r="E2203" s="11" t="str">
        <x:v>CNY</x:v>
      </x:c>
      <x:c r="F2203" s="11" t="n">
        <x:v>-2.7707049965776864</x:v>
      </x:c>
      <x:c r="G2203" s="26" t="b">
        <x:v>0</x:v>
      </x:c>
      <x:c r="H2203" s="16" t="n">
        <x:v>0</x:v>
      </x:c>
      <x:c r="I2203" s="16" t="n">
        <x:v>0</x:v>
      </x:c>
      <x:c r="J2203" s="16" t="n">
        <x:v>0</x:v>
      </x:c>
      <x:c r="K2203" s="11" t="n">
        <x:f>CHOOSE('假设'!$B$3,H2203,I2203,J2203)</x:f>
        <x:v>0</x:v>
      </x:c>
      <x:c r="L2203" s="11" t="n">
        <x:f>K2203*'管线假设'!E487*'管线假设'!F487*'管线假设'!G487*IF(E2203="USD",'管线假设'!I487,1)-AM2203</x:f>
        <x:v>0</x:v>
      </x:c>
      <x:c r="M2203" s="11" t="n">
        <x:f>'管线假设'!H487</x:f>
        <x:v>0.14</x:v>
      </x:c>
      <x:c r="N2203" s="11" t="n">
        <x:f>IF(G2203,L2203*AN2203/(1+M2203)^F2203,0)</x:f>
        <x:v>0</x:v>
      </x:c>
      <x:c r="AJ2203" t="n">
        <x:v>0</x:v>
      </x:c>
      <x:c r="AK2203" t="n">
        <x:v>0</x:v>
      </x:c>
      <x:c r="AL2203" t="n">
        <x:v>0</x:v>
      </x:c>
      <x:c r="AM2203" t="n">
        <x:f>CHOOSE('假设'!$B$3,AJ2203,AK2203,AL2203)</x:f>
        <x:v>0</x:v>
      </x:c>
      <x:c r="AN2203" t="n">
        <x:v>1</x:v>
      </x:c>
    </x:row>
    <x:row r="2204" ht="23" customHeight="1">
      <x:c r="A2204" s="11" t="str">
        <x:v>688302.SH</x:v>
      </x:c>
      <x:c r="B2204" s="11" t="str">
        <x:v>五年</x:v>
      </x:c>
      <x:c r="C2204" s="11" t="str">
        <x:v>hp515_mash_cn</x:v>
      </x:c>
      <x:c r="D2204" s="11" t="str">
        <x:v>2029-12-31</x:v>
      </x:c>
      <x:c r="E2204" s="11" t="str">
        <x:v>CNY</x:v>
      </x:c>
      <x:c r="F2204" s="11" t="n">
        <x:v>-1.7713894592744694</x:v>
      </x:c>
      <x:c r="G2204" s="26" t="b">
        <x:v>0</x:v>
      </x:c>
      <x:c r="H2204" s="16" t="n">
        <x:v>0</x:v>
      </x:c>
      <x:c r="I2204" s="16" t="n">
        <x:v>0</x:v>
      </x:c>
      <x:c r="J2204" s="16" t="n">
        <x:v>0</x:v>
      </x:c>
      <x:c r="K2204" s="11" t="n">
        <x:f>CHOOSE('假设'!$B$3,H2204,I2204,J2204)</x:f>
        <x:v>0</x:v>
      </x:c>
      <x:c r="L2204" s="11" t="n">
        <x:f>K2204*'管线假设'!E487*'管线假设'!F487*'管线假设'!G487*IF(E2204="USD",'管线假设'!I487,1)-AM2204</x:f>
        <x:v>0</x:v>
      </x:c>
      <x:c r="M2204" s="11" t="n">
        <x:f>'管线假设'!H487</x:f>
        <x:v>0.14</x:v>
      </x:c>
      <x:c r="N2204" s="11" t="n">
        <x:f>IF(G2204,L2204*AN2204/(1+M2204)^F2204,0)</x:f>
        <x:v>0</x:v>
      </x:c>
      <x:c r="AJ2204" t="n">
        <x:v>0</x:v>
      </x:c>
      <x:c r="AK2204" t="n">
        <x:v>0</x:v>
      </x:c>
      <x:c r="AL2204" t="n">
        <x:v>0</x:v>
      </x:c>
      <x:c r="AM2204" t="n">
        <x:f>CHOOSE('假设'!$B$3,AJ2204,AK2204,AL2204)</x:f>
        <x:v>0</x:v>
      </x:c>
      <x:c r="AN2204" t="n">
        <x:v>1</x:v>
      </x:c>
    </x:row>
    <x:row r="2205" ht="23" customHeight="1">
      <x:c r="A2205" s="11" t="str">
        <x:v>688302.SH</x:v>
      </x:c>
      <x:c r="B2205" s="11" t="str">
        <x:v>五年</x:v>
      </x:c>
      <x:c r="C2205" s="11" t="str">
        <x:v>hp515_mash_cn</x:v>
      </x:c>
      <x:c r="D2205" s="11" t="str">
        <x:v>2030-12-31</x:v>
      </x:c>
      <x:c r="E2205" s="11" t="str">
        <x:v>CNY</x:v>
      </x:c>
      <x:c r="F2205" s="11" t="n">
        <x:v>-0.7720739219712526</x:v>
      </x:c>
      <x:c r="G2205" s="26" t="b">
        <x:v>0</x:v>
      </x:c>
      <x:c r="H2205" s="16" t="n">
        <x:v>0</x:v>
      </x:c>
      <x:c r="I2205" s="16" t="n">
        <x:v>0</x:v>
      </x:c>
      <x:c r="J2205" s="16" t="n">
        <x:v>1</x:v>
      </x:c>
      <x:c r="K2205" s="11" t="n">
        <x:f>CHOOSE('假设'!$B$3,H2205,I2205,J2205)</x:f>
        <x:v>0</x:v>
      </x:c>
      <x:c r="L2205" s="11" t="n">
        <x:f>K2205*'管线假设'!E487*'管线假设'!F487*'管线假设'!G487*IF(E2205="USD",'管线假设'!I487,1)-AM2205</x:f>
        <x:v>0</x:v>
      </x:c>
      <x:c r="M2205" s="11" t="n">
        <x:f>'管线假设'!H487</x:f>
        <x:v>0.14</x:v>
      </x:c>
      <x:c r="N2205" s="11" t="n">
        <x:f>IF(G2205,L2205*AN2205/(1+M2205)^F2205,0)</x:f>
        <x:v>0</x:v>
      </x:c>
      <x:c r="AJ2205" t="n">
        <x:v>0</x:v>
      </x:c>
      <x:c r="AK2205" t="n">
        <x:v>0</x:v>
      </x:c>
      <x:c r="AL2205" t="n">
        <x:v>0</x:v>
      </x:c>
      <x:c r="AM2205" t="n">
        <x:f>CHOOSE('假设'!$B$3,AJ2205,AK2205,AL2205)</x:f>
        <x:v>0</x:v>
      </x:c>
      <x:c r="AN2205" t="n">
        <x:v>1</x:v>
      </x:c>
    </x:row>
    <x:row r="2206" ht="23" customHeight="1">
      <x:c r="A2206" s="11" t="str">
        <x:v>688302.SH</x:v>
      </x:c>
      <x:c r="B2206" s="11" t="str">
        <x:v>五年</x:v>
      </x:c>
      <x:c r="C2206" s="11" t="str">
        <x:v>hp515_mash_cn</x:v>
      </x:c>
      <x:c r="D2206" s="11" t="str">
        <x:v>2031-12-31</x:v>
      </x:c>
      <x:c r="E2206" s="11" t="str">
        <x:v>CNY</x:v>
      </x:c>
      <x:c r="F2206" s="11" t="n">
        <x:v>0.2272416153319644</x:v>
      </x:c>
      <x:c r="G2206" s="26" t="b">
        <x:v>1</x:v>
      </x:c>
      <x:c r="H2206" s="16" t="n">
        <x:v>0</x:v>
      </x:c>
      <x:c r="I2206" s="16" t="n">
        <x:v>0</x:v>
      </x:c>
      <x:c r="J2206" s="16" t="n">
        <x:v>2</x:v>
      </x:c>
      <x:c r="K2206" s="11" t="n">
        <x:f>CHOOSE('假设'!$B$3,H2206,I2206,J2206)</x:f>
        <x:v>0</x:v>
      </x:c>
      <x:c r="L2206" s="11" t="n">
        <x:f>K2206*'管线假设'!E487*'管线假设'!F487*'管线假设'!G487*IF(E2206="USD",'管线假设'!I487,1)-AM2206</x:f>
        <x:v>0</x:v>
      </x:c>
      <x:c r="M2206" s="11" t="n">
        <x:f>'管线假设'!H487</x:f>
        <x:v>0.14</x:v>
      </x:c>
      <x:c r="N2206" s="11" t="n">
        <x:f>IF(G2206,L2206*AN2206/(1+M2206)^F2206,0)</x:f>
        <x:v>0</x:v>
      </x:c>
      <x:c r="AJ2206" t="n">
        <x:v>0</x:v>
      </x:c>
      <x:c r="AK2206" t="n">
        <x:v>0</x:v>
      </x:c>
      <x:c r="AL2206" t="n">
        <x:v>0</x:v>
      </x:c>
      <x:c r="AM2206" t="n">
        <x:f>CHOOSE('假设'!$B$3,AJ2206,AK2206,AL2206)</x:f>
        <x:v>0</x:v>
      </x:c>
      <x:c r="AN2206" t="n">
        <x:v>1</x:v>
      </x:c>
    </x:row>
    <x:row r="2207" ht="23" customHeight="1">
      <x:c r="A2207" s="11" t="str">
        <x:v>688302.SH</x:v>
      </x:c>
      <x:c r="B2207" s="11" t="str">
        <x:v>五年</x:v>
      </x:c>
      <x:c r="C2207" s="11" t="str">
        <x:v>hp515_mash_cn</x:v>
      </x:c>
      <x:c r="D2207" s="11" t="str">
        <x:v>2032-12-31</x:v>
      </x:c>
      <x:c r="E2207" s="11" t="str">
        <x:v>CNY</x:v>
      </x:c>
      <x:c r="F2207" s="11" t="n">
        <x:v>1.2292950034223136</x:v>
      </x:c>
      <x:c r="G2207" s="26" t="b">
        <x:v>1</x:v>
      </x:c>
      <x:c r="H2207" s="16" t="n">
        <x:v>0</x:v>
      </x:c>
      <x:c r="I2207" s="16" t="n">
        <x:v>0.5</x:v>
      </x:c>
      <x:c r="J2207" s="16" t="n">
        <x:v>3</x:v>
      </x:c>
      <x:c r="K2207" s="11" t="n">
        <x:f>CHOOSE('假设'!$B$3,H2207,I2207,J2207)</x:f>
        <x:v>0.5</x:v>
      </x:c>
      <x:c r="L2207" s="11" t="n">
        <x:f>K2207*'管线假设'!E487*'管线假设'!F487*'管线假设'!G487*IF(E2207="USD",'管线假设'!I487,1)-AM2207</x:f>
        <x:v>0.0723</x:v>
      </x:c>
      <x:c r="M2207" s="11" t="n">
        <x:f>'管线假设'!H487</x:f>
        <x:v>0.14</x:v>
      </x:c>
      <x:c r="N2207" s="11" t="n">
        <x:f>IF(G2207,L2207*AN2207/(1+M2207)^F2207,0)</x:f>
        <x:v>0.06154396151807421</x:v>
      </x:c>
      <x:c r="AJ2207" t="n">
        <x:v>0</x:v>
      </x:c>
      <x:c r="AK2207" t="n">
        <x:v>0</x:v>
      </x:c>
      <x:c r="AL2207" t="n">
        <x:v>0</x:v>
      </x:c>
      <x:c r="AM2207" t="n">
        <x:f>CHOOSE('假设'!$B$3,AJ2207,AK2207,AL2207)</x:f>
        <x:v>0</x:v>
      </x:c>
      <x:c r="AN2207" t="n">
        <x:v>1</x:v>
      </x:c>
    </x:row>
    <x:row r="2208" ht="23" customHeight="1">
      <x:c r="A2208" s="11" t="str">
        <x:v>688302.SH</x:v>
      </x:c>
      <x:c r="B2208" s="11" t="str">
        <x:v>五年</x:v>
      </x:c>
      <x:c r="C2208" s="11" t="str">
        <x:v>hp515_mash_cn</x:v>
      </x:c>
      <x:c r="D2208" s="11" t="str">
        <x:v>2033-12-31</x:v>
      </x:c>
      <x:c r="E2208" s="11" t="str">
        <x:v>CNY</x:v>
      </x:c>
      <x:c r="F2208" s="11" t="n">
        <x:v>2.2286105407255303</x:v>
      </x:c>
      <x:c r="G2208" s="26" t="b">
        <x:v>1</x:v>
      </x:c>
      <x:c r="H2208" s="16" t="n">
        <x:v>0</x:v>
      </x:c>
      <x:c r="I2208" s="16" t="n">
        <x:v>1</x:v>
      </x:c>
      <x:c r="J2208" s="16" t="n">
        <x:v>4</x:v>
      </x:c>
      <x:c r="K2208" s="11" t="n">
        <x:f>CHOOSE('假设'!$B$3,H2208,I2208,J2208)</x:f>
        <x:v>1</x:v>
      </x:c>
      <x:c r="L2208" s="11" t="n">
        <x:f>K2208*'管线假设'!E487*'管线假设'!F487*'管线假设'!G487*IF(E2208="USD",'管线假设'!I487,1)-AM2208</x:f>
        <x:v>0.1446</x:v>
      </x:c>
      <x:c r="M2208" s="11" t="n">
        <x:f>'管线假设'!H487</x:f>
        <x:v>0.14</x:v>
      </x:c>
      <x:c r="N2208" s="11" t="n">
        <x:f>IF(G2208,L2208*AN2208/(1+M2208)^F2208,0)</x:f>
        <x:v>0.10798154609059185</x:v>
      </x:c>
      <x:c r="AJ2208" t="n">
        <x:v>0</x:v>
      </x:c>
      <x:c r="AK2208" t="n">
        <x:v>0</x:v>
      </x:c>
      <x:c r="AL2208" t="n">
        <x:v>0</x:v>
      </x:c>
      <x:c r="AM2208" t="n">
        <x:f>CHOOSE('假设'!$B$3,AJ2208,AK2208,AL2208)</x:f>
        <x:v>0</x:v>
      </x:c>
      <x:c r="AN2208" t="n">
        <x:v>1</x:v>
      </x:c>
    </x:row>
    <x:row r="2209" ht="23" customHeight="1">
      <x:c r="A2209" s="11" t="str">
        <x:v>688302.SH</x:v>
      </x:c>
      <x:c r="B2209" s="11" t="str">
        <x:v>五年</x:v>
      </x:c>
      <x:c r="C2209" s="11" t="str">
        <x:v>hp515_mash_cn</x:v>
      </x:c>
      <x:c r="D2209" s="11" t="str">
        <x:v>2034-12-31</x:v>
      </x:c>
      <x:c r="E2209" s="11" t="str">
        <x:v>CNY</x:v>
      </x:c>
      <x:c r="F2209" s="11" t="n">
        <x:v>3.2279260780287475</x:v>
      </x:c>
      <x:c r="G2209" s="26" t="b">
        <x:v>1</x:v>
      </x:c>
      <x:c r="H2209" s="16" t="n">
        <x:v>0</x:v>
      </x:c>
      <x:c r="I2209" s="16" t="n">
        <x:v>1.5</x:v>
      </x:c>
      <x:c r="J2209" s="16" t="n">
        <x:v>5</x:v>
      </x:c>
      <x:c r="K2209" s="11" t="n">
        <x:f>CHOOSE('假设'!$B$3,H2209,I2209,J2209)</x:f>
        <x:v>1.5</x:v>
      </x:c>
      <x:c r="L2209" s="11" t="n">
        <x:f>K2209*'管线假设'!E487*'管线假设'!F487*'管线假设'!G487*IF(E2209="USD",'管线假设'!I487,1)-AM2209</x:f>
        <x:v>0.2169</x:v>
      </x:c>
      <x:c r="M2209" s="11" t="n">
        <x:f>'管线假设'!H487</x:f>
        <x:v>0.14</x:v>
      </x:c>
      <x:c r="N2209" s="11" t="n">
        <x:f>IF(G2209,L2209*AN2209/(1+M2209)^F2209,0)</x:f>
        <x:v>0.14209372465433068</x:v>
      </x:c>
      <x:c r="AJ2209" t="n">
        <x:v>0</x:v>
      </x:c>
      <x:c r="AK2209" t="n">
        <x:v>0</x:v>
      </x:c>
      <x:c r="AL2209" t="n">
        <x:v>0</x:v>
      </x:c>
      <x:c r="AM2209" t="n">
        <x:f>CHOOSE('假设'!$B$3,AJ2209,AK2209,AL2209)</x:f>
        <x:v>0</x:v>
      </x:c>
      <x:c r="AN2209" t="n">
        <x:v>1</x:v>
      </x:c>
    </x:row>
    <x:row r="2210" ht="23" customHeight="1">
      <x:c r="A2210" s="11" t="str">
        <x:v>688302.SH</x:v>
      </x:c>
      <x:c r="B2210" s="11" t="str">
        <x:v>五年</x:v>
      </x:c>
      <x:c r="C2210" s="11" t="str">
        <x:v>hp515_mash_cn</x:v>
      </x:c>
      <x:c r="D2210" s="11" t="str">
        <x:v>2035-12-31</x:v>
      </x:c>
      <x:c r="E2210" s="11" t="str">
        <x:v>CNY</x:v>
      </x:c>
      <x:c r="F2210" s="11" t="n">
        <x:v>4.227241615331964</x:v>
      </x:c>
      <x:c r="G2210" s="26" t="b">
        <x:v>1</x:v>
      </x:c>
      <x:c r="H2210" s="16" t="n">
        <x:v>0.2</x:v>
      </x:c>
      <x:c r="I2210" s="16" t="n">
        <x:v>2</x:v>
      </x:c>
      <x:c r="J2210" s="16" t="n">
        <x:v>6</x:v>
      </x:c>
      <x:c r="K2210" s="11" t="n">
        <x:f>CHOOSE('假设'!$B$3,H2210,I2210,J2210)</x:f>
        <x:v>2</x:v>
      </x:c>
      <x:c r="L2210" s="11" t="n">
        <x:f>K2210*'管线假设'!E487*'管线假设'!F487*'管线假设'!G487*IF(E2210="USD",'管线假设'!I487,1)-AM2210</x:f>
        <x:v>0.2892</x:v>
      </x:c>
      <x:c r="M2210" s="11" t="n">
        <x:f>'管线假设'!H487</x:f>
        <x:v>0.14</x:v>
      </x:c>
      <x:c r="N2210" s="11" t="n">
        <x:f>IF(G2210,L2210*AN2210/(1+M2210)^F2210,0)</x:f>
        <x:v>0.1662063962028119</x:v>
      </x:c>
      <x:c r="AJ2210" t="n">
        <x:v>0</x:v>
      </x:c>
      <x:c r="AK2210" t="n">
        <x:v>0</x:v>
      </x:c>
      <x:c r="AL2210" t="n">
        <x:v>0</x:v>
      </x:c>
      <x:c r="AM2210" t="n">
        <x:f>CHOOSE('假设'!$B$3,AJ2210,AK2210,AL2210)</x:f>
        <x:v>0</x:v>
      </x:c>
      <x:c r="AN2210" t="n">
        <x:v>1</x:v>
      </x:c>
    </x:row>
    <x:row r="2211" ht="23" customHeight="1">
      <x:c r="A2211" s="11" t="str">
        <x:v>688302.SH</x:v>
      </x:c>
      <x:c r="B2211" s="11" t="str">
        <x:v>五年</x:v>
      </x:c>
      <x:c r="C2211" s="11" t="str">
        <x:v>hp515_mash_cn</x:v>
      </x:c>
      <x:c r="D2211" s="11" t="str">
        <x:v>2036-12-31</x:v>
      </x:c>
      <x:c r="E2211" s="11" t="str">
        <x:v>CNY</x:v>
      </x:c>
      <x:c r="F2211" s="11" t="n">
        <x:v>5.229295003422314</x:v>
      </x:c>
      <x:c r="G2211" s="26" t="b">
        <x:v>1</x:v>
      </x:c>
      <x:c r="H2211" s="16" t="n">
        <x:v>0.4</x:v>
      </x:c>
      <x:c r="I2211" s="16" t="n">
        <x:v>2.5</x:v>
      </x:c>
      <x:c r="J2211" s="16" t="n">
        <x:v>5.22</x:v>
      </x:c>
      <x:c r="K2211" s="11" t="n">
        <x:f>CHOOSE('假设'!$B$3,H2211,I2211,J2211)</x:f>
        <x:v>2.5</x:v>
      </x:c>
      <x:c r="L2211" s="11" t="n">
        <x:f>K2211*'管线假设'!E487*'管线假设'!F487*'管线假设'!G487*IF(E2211="USD",'管线假设'!I487,1)-AM2211</x:f>
        <x:v>0.36150000000000004</x:v>
      </x:c>
      <x:c r="M2211" s="11" t="n">
        <x:f>'管线假设'!H487</x:f>
        <x:v>0.14</x:v>
      </x:c>
      <x:c r="N2211" s="11" t="n">
        <x:f>IF(G2211,L2211*AN2211/(1+M2211)^F2211,0)</x:f>
        <x:v>0.1821948290304082</x:v>
      </x:c>
      <x:c r="AJ2211" t="n">
        <x:v>0</x:v>
      </x:c>
      <x:c r="AK2211" t="n">
        <x:v>0</x:v>
      </x:c>
      <x:c r="AL2211" t="n">
        <x:v>0</x:v>
      </x:c>
      <x:c r="AM2211" t="n">
        <x:f>CHOOSE('假设'!$B$3,AJ2211,AK2211,AL2211)</x:f>
        <x:v>0</x:v>
      </x:c>
      <x:c r="AN2211" t="n">
        <x:v>1</x:v>
      </x:c>
    </x:row>
    <x:row r="2212" ht="23" customHeight="1">
      <x:c r="A2212" s="11" t="str">
        <x:v>688302.SH</x:v>
      </x:c>
      <x:c r="B2212" s="11" t="str">
        <x:v>五年</x:v>
      </x:c>
      <x:c r="C2212" s="11" t="str">
        <x:v>hp515_mash_cn</x:v>
      </x:c>
      <x:c r="D2212" s="11" t="str">
        <x:v>2037-12-31</x:v>
      </x:c>
      <x:c r="E2212" s="11" t="str">
        <x:v>CNY</x:v>
      </x:c>
      <x:c r="F2212" s="11" t="n">
        <x:v>6.228610540725531</x:v>
      </x:c>
      <x:c r="G2212" s="26" t="b">
        <x:v>1</x:v>
      </x:c>
      <x:c r="H2212" s="16" t="n">
        <x:v>0.6</x:v>
      </x:c>
      <x:c r="I2212" s="16" t="n">
        <x:v>3</x:v>
      </x:c>
      <x:c r="J2212" s="16" t="n">
        <x:v>4.4399999999999995</x:v>
      </x:c>
      <x:c r="K2212" s="11" t="n">
        <x:f>CHOOSE('假设'!$B$3,H2212,I2212,J2212)</x:f>
        <x:v>3</x:v>
      </x:c>
      <x:c r="L2212" s="11" t="n">
        <x:f>K2212*'管线假设'!E487*'管线假设'!F487*'管线假设'!G487*IF(E2212="USD",'管线假设'!I487,1)-AM2212</x:f>
        <x:v>0.4338</x:v>
      </x:c>
      <x:c r="M2212" s="11" t="n">
        <x:f>'管线假设'!H487</x:f>
        <x:v>0.14</x:v>
      </x:c>
      <x:c r="N2212" s="11" t="n">
        <x:f>IF(G2212,L2212*AN2212/(1+M2212)^F2212,0)</x:f>
        <x:v>0.19180123128053855</x:v>
      </x:c>
      <x:c r="AJ2212" t="n">
        <x:v>0</x:v>
      </x:c>
      <x:c r="AK2212" t="n">
        <x:v>0</x:v>
      </x:c>
      <x:c r="AL2212" t="n">
        <x:v>0</x:v>
      </x:c>
      <x:c r="AM2212" t="n">
        <x:f>CHOOSE('假设'!$B$3,AJ2212,AK2212,AL2212)</x:f>
        <x:v>0</x:v>
      </x:c>
      <x:c r="AN2212" t="n">
        <x:v>1</x:v>
      </x:c>
    </x:row>
    <x:row r="2213" ht="23" customHeight="1">
      <x:c r="A2213" s="11" t="str">
        <x:v>688302.SH</x:v>
      </x:c>
      <x:c r="B2213" s="11" t="str">
        <x:v>五年</x:v>
      </x:c>
      <x:c r="C2213" s="11" t="str">
        <x:v>hp515_mash_cn</x:v>
      </x:c>
      <x:c r="D2213" s="11" t="str">
        <x:v>2038-12-31</x:v>
      </x:c>
      <x:c r="E2213" s="11" t="str">
        <x:v>CNY</x:v>
      </x:c>
      <x:c r="F2213" s="11" t="n">
        <x:v>7.227926078028747</x:v>
      </x:c>
      <x:c r="G2213" s="26" t="b">
        <x:v>1</x:v>
      </x:c>
      <x:c r="H2213" s="16" t="n">
        <x:v>0.8</x:v>
      </x:c>
      <x:c r="I2213" s="16" t="n">
        <x:v>2.61</x:v>
      </x:c>
      <x:c r="J2213" s="16" t="n">
        <x:v>3.66</x:v>
      </x:c>
      <x:c r="K2213" s="11" t="n">
        <x:f>CHOOSE('假设'!$B$3,H2213,I2213,J2213)</x:f>
        <x:v>2.61</x:v>
      </x:c>
      <x:c r="L2213" s="11" t="n">
        <x:f>K2213*'管线假设'!E487*'管线假设'!F487*'管线假设'!G487*IF(E2213="USD",'管线假设'!I487,1)-AM2213</x:f>
        <x:v>0.377406</x:v>
      </x:c>
      <x:c r="M2213" s="11" t="n">
        <x:f>'管线假设'!H487</x:f>
        <x:v>0.14</x:v>
      </x:c>
      <x:c r="N2213" s="11" t="n">
        <x:f>IF(G2213,L2213*AN2213/(1+M2213)^F2213,0)</x:f>
        <x:v>0.14638775191626502</x:v>
      </x:c>
      <x:c r="AJ2213" t="n">
        <x:v>0</x:v>
      </x:c>
      <x:c r="AK2213" t="n">
        <x:v>0</x:v>
      </x:c>
      <x:c r="AL2213" t="n">
        <x:v>0</x:v>
      </x:c>
      <x:c r="AM2213" t="n">
        <x:f>CHOOSE('假设'!$B$3,AJ2213,AK2213,AL2213)</x:f>
        <x:v>0</x:v>
      </x:c>
      <x:c r="AN2213" t="n">
        <x:v>1</x:v>
      </x:c>
    </x:row>
    <x:row r="2214" ht="23" customHeight="1">
      <x:c r="A2214" s="11" t="str">
        <x:v>688302.SH</x:v>
      </x:c>
      <x:c r="B2214" s="11" t="str">
        <x:v>五年</x:v>
      </x:c>
      <x:c r="C2214" s="11" t="str">
        <x:v>hp515_mash_cn</x:v>
      </x:c>
      <x:c r="D2214" s="11" t="str">
        <x:v>2039-12-31</x:v>
      </x:c>
      <x:c r="E2214" s="11" t="str">
        <x:v>CNY</x:v>
      </x:c>
      <x:c r="F2214" s="11" t="n">
        <x:v>8.227241615331964</x:v>
      </x:c>
      <x:c r="G2214" s="26" t="b">
        <x:v>1</x:v>
      </x:c>
      <x:c r="H2214" s="16" t="n">
        <x:v>1</x:v>
      </x:c>
      <x:c r="I2214" s="16" t="n">
        <x:v>2.2199999999999998</x:v>
      </x:c>
      <x:c r="J2214" s="16" t="n">
        <x:v>2.88</x:v>
      </x:c>
      <x:c r="K2214" s="11" t="n">
        <x:f>CHOOSE('假设'!$B$3,H2214,I2214,J2214)</x:f>
        <x:v>2.2199999999999998</x:v>
      </x:c>
      <x:c r="L2214" s="11" t="n">
        <x:f>K2214*'管线假设'!E487*'管线假设'!F487*'管线假设'!G487*IF(E2214="USD",'管线假设'!I487,1)-AM2214</x:f>
        <x:v>0.32101199999999996</x:v>
      </x:c>
      <x:c r="M2214" s="11" t="n">
        <x:f>'管线假设'!H487</x:f>
        <x:v>0.14</x:v>
      </x:c>
      <x:c r="N2214" s="11" t="n">
        <x:f>IF(G2214,L2214*AN2214/(1+M2214)^F2214,0)</x:f>
        <x:v>0.10923235737255112</x:v>
      </x:c>
      <x:c r="AJ2214" t="n">
        <x:v>0</x:v>
      </x:c>
      <x:c r="AK2214" t="n">
        <x:v>0</x:v>
      </x:c>
      <x:c r="AL2214" t="n">
        <x:v>0</x:v>
      </x:c>
      <x:c r="AM2214" t="n">
        <x:f>CHOOSE('假设'!$B$3,AJ2214,AK2214,AL2214)</x:f>
        <x:v>0</x:v>
      </x:c>
      <x:c r="AN2214" t="n">
        <x:v>1</x:v>
      </x:c>
    </x:row>
    <x:row r="2215" ht="23" customHeight="1">
      <x:c r="A2215" s="11" t="str">
        <x:v>688302.SH</x:v>
      </x:c>
      <x:c r="B2215" s="11" t="str">
        <x:v>五年</x:v>
      </x:c>
      <x:c r="C2215" s="11" t="str">
        <x:v>hp515_mash_cn</x:v>
      </x:c>
      <x:c r="D2215" s="11" t="str">
        <x:v>2040-12-31</x:v>
      </x:c>
      <x:c r="E2215" s="11" t="str">
        <x:v>CNY</x:v>
      </x:c>
      <x:c r="F2215" s="11" t="n">
        <x:v>9.229295003422314</x:v>
      </x:c>
      <x:c r="G2215" s="26" t="b">
        <x:v>1</x:v>
      </x:c>
      <x:c r="H2215" s="16" t="n">
        <x:v>0.87</x:v>
      </x:c>
      <x:c r="I2215" s="16" t="n">
        <x:v>1.83</x:v>
      </x:c>
      <x:c r="J2215" s="16" t="n">
        <x:v>2.0999999999999996</x:v>
      </x:c>
      <x:c r="K2215" s="11" t="n">
        <x:f>CHOOSE('假设'!$B$3,H2215,I2215,J2215)</x:f>
        <x:v>1.83</x:v>
      </x:c>
      <x:c r="L2215" s="11" t="n">
        <x:f>K2215*'管线假设'!E487*'管线假设'!F487*'管线假设'!G487*IF(E2215="USD",'管线假设'!I487,1)-AM2215</x:f>
        <x:v>0.264618</x:v>
      </x:c>
      <x:c r="M2215" s="11" t="n">
        <x:f>'管线假设'!H487</x:f>
        <x:v>0.14</x:v>
      </x:c>
      <x:c r="N2215" s="11" t="n">
        <x:f>IF(G2215,L2215*AN2215/(1+M2215)^F2215,0)</x:f>
        <x:v>0.07896374231246446</x:v>
      </x:c>
      <x:c r="AJ2215" t="n">
        <x:v>0</x:v>
      </x:c>
      <x:c r="AK2215" t="n">
        <x:v>0</x:v>
      </x:c>
      <x:c r="AL2215" t="n">
        <x:v>0</x:v>
      </x:c>
      <x:c r="AM2215" t="n">
        <x:f>CHOOSE('假设'!$B$3,AJ2215,AK2215,AL2215)</x:f>
        <x:v>0</x:v>
      </x:c>
      <x:c r="AN2215" t="n">
        <x:v>1</x:v>
      </x:c>
    </x:row>
    <x:row r="2216" ht="23" customHeight="1">
      <x:c r="A2216" s="11" t="str">
        <x:v>688302.SH</x:v>
      </x:c>
      <x:c r="B2216" s="11" t="str">
        <x:v>五年</x:v>
      </x:c>
      <x:c r="C2216" s="11" t="str">
        <x:v>hp515_mash_cn</x:v>
      </x:c>
      <x:c r="D2216" s="11" t="str">
        <x:v>2041-12-31</x:v>
      </x:c>
      <x:c r="E2216" s="11" t="str">
        <x:v>CNY</x:v>
      </x:c>
      <x:c r="F2216" s="11" t="n">
        <x:v>10.22861054072553</x:v>
      </x:c>
      <x:c r="G2216" s="26" t="b">
        <x:v>1</x:v>
      </x:c>
      <x:c r="H2216" s="16" t="n">
        <x:v>0.74</x:v>
      </x:c>
      <x:c r="I2216" s="16" t="n">
        <x:v>1.44</x:v>
      </x:c>
      <x:c r="J2216" s="16" t="n">
        <x:v>1.3199999999999998</x:v>
      </x:c>
      <x:c r="K2216" s="11" t="n">
        <x:f>CHOOSE('假设'!$B$3,H2216,I2216,J2216)</x:f>
        <x:v>1.44</x:v>
      </x:c>
      <x:c r="L2216" s="11" t="n">
        <x:f>K2216*'管线假设'!E487*'管线假设'!F487*'管线假设'!G487*IF(E2216="USD",'管线假设'!I487,1)-AM2216</x:f>
        <x:v>0.208224</x:v>
      </x:c>
      <x:c r="M2216" s="11" t="n">
        <x:f>'管线假设'!H487</x:f>
        <x:v>0.14</x:v>
      </x:c>
      <x:c r="N2216" s="11" t="n">
        <x:f>IF(G2216,L2216*AN2216/(1+M2216)^F2216,0)</x:f>
        <x:v>0.05450962858393206</x:v>
      </x:c>
      <x:c r="AJ2216" t="n">
        <x:v>0</x:v>
      </x:c>
      <x:c r="AK2216" t="n">
        <x:v>0</x:v>
      </x:c>
      <x:c r="AL2216" t="n">
        <x:v>0</x:v>
      </x:c>
      <x:c r="AM2216" t="n">
        <x:f>CHOOSE('假设'!$B$3,AJ2216,AK2216,AL2216)</x:f>
        <x:v>0</x:v>
      </x:c>
      <x:c r="AN2216" t="n">
        <x:v>1</x:v>
      </x:c>
    </x:row>
    <x:row r="2217" ht="23" customHeight="1">
      <x:c r="A2217" s="11" t="str">
        <x:v>688302.SH</x:v>
      </x:c>
      <x:c r="B2217" s="11" t="str">
        <x:v>五年</x:v>
      </x:c>
      <x:c r="C2217" s="11" t="str">
        <x:v>hp515_mash_cn</x:v>
      </x:c>
      <x:c r="D2217" s="11" t="str">
        <x:v>2042-12-31</x:v>
      </x:c>
      <x:c r="E2217" s="11" t="str">
        <x:v>CNY</x:v>
      </x:c>
      <x:c r="F2217" s="11" t="n">
        <x:v>11.227926078028748</x:v>
      </x:c>
      <x:c r="G2217" s="26" t="b">
        <x:v>1</x:v>
      </x:c>
      <x:c r="H2217" s="16" t="n">
        <x:v>0.61</x:v>
      </x:c>
      <x:c r="I2217" s="16" t="n">
        <x:v>1.0499999999999998</x:v>
      </x:c>
      <x:c r="J2217" s="16" t="n">
        <x:v>0.5399999999999998</x:v>
      </x:c>
      <x:c r="K2217" s="11" t="n">
        <x:f>CHOOSE('假设'!$B$3,H2217,I2217,J2217)</x:f>
        <x:v>1.0499999999999998</x:v>
      </x:c>
      <x:c r="L2217" s="11" t="n">
        <x:f>K2217*'管线假设'!E487*'管线假设'!F487*'管线假设'!G487*IF(E2217="USD",'管线假设'!I487,1)-AM2217</x:f>
        <x:v>0.15183</x:v>
      </x:c>
      <x:c r="M2217" s="11" t="n">
        <x:f>'管线假设'!H487</x:f>
        <x:v>0.14</x:v>
      </x:c>
      <x:c r="N2217" s="11" t="n">
        <x:f>IF(G2217,L2217*AN2217/(1+M2217)^F2217,0)</x:f>
        <x:v>0.034868569270532446</x:v>
      </x:c>
      <x:c r="AJ2217" t="n">
        <x:v>0</x:v>
      </x:c>
      <x:c r="AK2217" t="n">
        <x:v>0</x:v>
      </x:c>
      <x:c r="AL2217" t="n">
        <x:v>0</x:v>
      </x:c>
      <x:c r="AM2217" t="n">
        <x:f>CHOOSE('假设'!$B$3,AJ2217,AK2217,AL2217)</x:f>
        <x:v>0</x:v>
      </x:c>
      <x:c r="AN2217" t="n">
        <x:v>1</x:v>
      </x:c>
    </x:row>
    <x:row r="2218" ht="23" customHeight="1">
      <x:c r="A2218" s="11" t="str">
        <x:v>688302.SH</x:v>
      </x:c>
      <x:c r="B2218" s="11" t="str">
        <x:v>五年</x:v>
      </x:c>
      <x:c r="C2218" s="11" t="str">
        <x:v>hp515_mash_cn</x:v>
      </x:c>
      <x:c r="D2218" s="11" t="str">
        <x:v>2043-12-31</x:v>
      </x:c>
      <x:c r="E2218" s="11" t="str">
        <x:v>CNY</x:v>
      </x:c>
      <x:c r="F2218" s="11" t="n">
        <x:v>12.227241615331964</x:v>
      </x:c>
      <x:c r="G2218" s="26" t="b">
        <x:v>1</x:v>
      </x:c>
      <x:c r="H2218" s="16" t="n">
        <x:v>0.48</x:v>
      </x:c>
      <x:c r="I2218" s="16" t="n">
        <x:v>0.6599999999999999</x:v>
      </x:c>
      <x:c r="J2218" s="16" t="n">
        <x:v>0</x:v>
      </x:c>
      <x:c r="K2218" s="11" t="n">
        <x:f>CHOOSE('假设'!$B$3,H2218,I2218,J2218)</x:f>
        <x:v>0.6599999999999999</x:v>
      </x:c>
      <x:c r="L2218" s="11" t="n">
        <x:f>K2218*'管线假设'!E487*'管线假设'!F487*'管线假设'!G487*IF(E2218="USD",'管线假设'!I487,1)-AM2218</x:f>
        <x:v>0.09543599999999999</x:v>
      </x:c>
      <x:c r="M2218" s="11" t="n">
        <x:f>'管线假设'!H487</x:f>
        <x:v>0.14</x:v>
      </x:c>
      <x:c r="N2218" s="11" t="n">
        <x:f>IF(G2218,L2218*AN2218/(1+M2218)^F2218,0)</x:f>
        <x:v>0.019227501863792892</x:v>
      </x:c>
      <x:c r="AJ2218" t="n">
        <x:v>0</x:v>
      </x:c>
      <x:c r="AK2218" t="n">
        <x:v>0</x:v>
      </x:c>
      <x:c r="AL2218" t="n">
        <x:v>0</x:v>
      </x:c>
      <x:c r="AM2218" t="n">
        <x:f>CHOOSE('假设'!$B$3,AJ2218,AK2218,AL2218)</x:f>
        <x:v>0</x:v>
      </x:c>
      <x:c r="AN2218" t="n">
        <x:v>1</x:v>
      </x:c>
    </x:row>
    <x:row r="2219" ht="23" customHeight="1">
      <x:c r="A2219" s="11" t="str">
        <x:v>688302.SH</x:v>
      </x:c>
      <x:c r="B2219" s="11" t="str">
        <x:v>五年</x:v>
      </x:c>
      <x:c r="C2219" s="11" t="str">
        <x:v>hp515_mash_cn</x:v>
      </x:c>
      <x:c r="D2219" s="11" t="str">
        <x:v>2044-12-31</x:v>
      </x:c>
      <x:c r="E2219" s="11" t="str">
        <x:v>CNY</x:v>
      </x:c>
      <x:c r="F2219" s="11" t="n">
        <x:v>13.229295003422314</x:v>
      </x:c>
      <x:c r="G2219" s="26" t="b">
        <x:v>1</x:v>
      </x:c>
      <x:c r="H2219" s="16" t="n">
        <x:v>0.35</x:v>
      </x:c>
      <x:c r="I2219" s="16" t="n">
        <x:v>0.2699999999999999</x:v>
      </x:c>
      <x:c r="J2219" s="16" t="n">
        <x:v>0</x:v>
      </x:c>
      <x:c r="K2219" s="11" t="n">
        <x:f>CHOOSE('假设'!$B$3,H2219,I2219,J2219)</x:f>
        <x:v>0.2699999999999999</x:v>
      </x:c>
      <x:c r="L2219" s="11" t="n">
        <x:f>K2219*'管线假设'!E487*'管线假设'!F487*'管线假设'!G487*IF(E2219="USD",'管线假设'!I487,1)-AM2219</x:f>
        <x:v>0.039041999999999986</x:v>
      </x:c>
      <x:c r="M2219" s="11" t="n">
        <x:f>'管线假设'!H487</x:f>
        <x:v>0.14</x:v>
      </x:c>
      <x:c r="N2219" s="11" t="n">
        <x:f>IF(G2219,L2219*AN2219/(1+M2219)^F2219,0)</x:f>
        <x:v>0.006897965082868344</x:v>
      </x:c>
      <x:c r="AJ2219" t="n">
        <x:v>0</x:v>
      </x:c>
      <x:c r="AK2219" t="n">
        <x:v>0</x:v>
      </x:c>
      <x:c r="AL2219" t="n">
        <x:v>0</x:v>
      </x:c>
      <x:c r="AM2219" t="n">
        <x:f>CHOOSE('假设'!$B$3,AJ2219,AK2219,AL2219)</x:f>
        <x:v>0</x:v>
      </x:c>
      <x:c r="AN2219" t="n">
        <x:v>1</x:v>
      </x:c>
    </x:row>
    <x:row r="2220" ht="23" customHeight="1">
      <x:c r="A2220" s="11" t="str">
        <x:v>688302.SH</x:v>
      </x:c>
      <x:c r="B2220" s="11" t="str">
        <x:v>五年</x:v>
      </x:c>
      <x:c r="C2220" s="11" t="str">
        <x:v>hp515_mash_cn</x:v>
      </x:c>
      <x:c r="D2220" s="11" t="str">
        <x:v>2045-12-31</x:v>
      </x:c>
      <x:c r="E2220" s="11" t="str">
        <x:v>CNY</x:v>
      </x:c>
      <x:c r="F2220" s="11" t="n">
        <x:v>14.22861054072553</x:v>
      </x:c>
      <x:c r="G2220" s="26" t="b">
        <x:v>1</x:v>
      </x:c>
      <x:c r="H2220" s="16" t="n">
        <x:v>0.21999999999999997</x:v>
      </x:c>
      <x:c r="I2220" s="16" t="n">
        <x:v>0</x:v>
      </x:c>
      <x:c r="J2220" s="16" t="n">
        <x:v>0</x:v>
      </x:c>
      <x:c r="K2220" s="11" t="n">
        <x:f>CHOOSE('假设'!$B$3,H2220,I2220,J2220)</x:f>
        <x:v>0</x:v>
      </x:c>
      <x:c r="L2220" s="11" t="n">
        <x:f>K2220*'管线假设'!E487*'管线假设'!F487*'管线假设'!G487*IF(E2220="USD",'管线假设'!I487,1)-AM2220</x:f>
        <x:v>0</x:v>
      </x:c>
      <x:c r="M2220" s="11" t="n">
        <x:f>'管线假设'!H487</x:f>
        <x:v>0.14</x:v>
      </x:c>
      <x:c r="N2220" s="11" t="n">
        <x:f>IF(G2220,L2220*AN2220/(1+M2220)^F2220,0)</x:f>
        <x:v>0</x:v>
      </x:c>
      <x:c r="AJ2220" t="n">
        <x:v>0</x:v>
      </x:c>
      <x:c r="AK2220" t="n">
        <x:v>0</x:v>
      </x:c>
      <x:c r="AL2220" t="n">
        <x:v>0</x:v>
      </x:c>
      <x:c r="AM2220" t="n">
        <x:f>CHOOSE('假设'!$B$3,AJ2220,AK2220,AL2220)</x:f>
        <x:v>0</x:v>
      </x:c>
      <x:c r="AN2220" t="n">
        <x:v>1</x:v>
      </x:c>
    </x:row>
    <x:row r="2221" ht="23" customHeight="1">
      <x:c r="A2221" s="11" t="str">
        <x:v>688302.SH</x:v>
      </x:c>
      <x:c r="B2221" s="11" t="str">
        <x:v>五年</x:v>
      </x:c>
      <x:c r="C2221" s="11" t="str">
        <x:v>hp515_mash_global</x:v>
      </x:c>
      <x:c r="D2221" s="11" t="str">
        <x:v>2027-12-31</x:v>
      </x:c>
      <x:c r="E2221" s="11" t="str">
        <x:v>USD</x:v>
      </x:c>
      <x:c r="F2221" s="11" t="n">
        <x:v>-3.7727583846680357</x:v>
      </x:c>
      <x:c r="G2221" s="26" t="b">
        <x:v>0</x:v>
      </x:c>
      <x:c r="H2221" s="16" t="n">
        <x:v>0</x:v>
      </x:c>
      <x:c r="I2221" s="16" t="n">
        <x:v>0</x:v>
      </x:c>
      <x:c r="J2221" s="16" t="n">
        <x:v>0</x:v>
      </x:c>
      <x:c r="K2221" s="11" t="n">
        <x:f>CHOOSE('假设'!$B$3,H2221,I2221,J2221)</x:f>
        <x:v>0</x:v>
      </x:c>
      <x:c r="L2221" s="11" t="n">
        <x:f>K2221*'管线假设'!E491*'管线假设'!F491*'管线假设'!G491*IF(E2221="USD",'管线假设'!I491,1)-AM2221</x:f>
        <x:v>0</x:v>
      </x:c>
      <x:c r="M2221" s="11" t="n">
        <x:f>'管线假设'!H491</x:f>
        <x:v>0.14</x:v>
      </x:c>
      <x:c r="N2221" s="11" t="n">
        <x:f>IF(G2221,L2221*AN2221/(1+M2221)^F2221,0)</x:f>
        <x:v>0</x:v>
      </x:c>
      <x:c r="AJ2221" t="n">
        <x:v>0</x:v>
      </x:c>
      <x:c r="AK2221" t="n">
        <x:v>0</x:v>
      </x:c>
      <x:c r="AL2221" t="n">
        <x:v>0</x:v>
      </x:c>
      <x:c r="AM2221" t="n">
        <x:f>CHOOSE('假设'!$B$3,AJ2221,AK2221,AL2221)</x:f>
        <x:v>0</x:v>
      </x:c>
      <x:c r="AN2221" t="n">
        <x:v>1</x:v>
      </x:c>
    </x:row>
    <x:row r="2222" ht="23" customHeight="1">
      <x:c r="A2222" s="11" t="str">
        <x:v>688302.SH</x:v>
      </x:c>
      <x:c r="B2222" s="11" t="str">
        <x:v>五年</x:v>
      </x:c>
      <x:c r="C2222" s="11" t="str">
        <x:v>hp515_mash_global</x:v>
      </x:c>
      <x:c r="D2222" s="11" t="str">
        <x:v>2028-12-31</x:v>
      </x:c>
      <x:c r="E2222" s="11" t="str">
        <x:v>USD</x:v>
      </x:c>
      <x:c r="F2222" s="11" t="n">
        <x:v>-2.7707049965776864</x:v>
      </x:c>
      <x:c r="G2222" s="26" t="b">
        <x:v>0</x:v>
      </x:c>
      <x:c r="H2222" s="16" t="n">
        <x:v>0</x:v>
      </x:c>
      <x:c r="I2222" s="16" t="n">
        <x:v>0</x:v>
      </x:c>
      <x:c r="J2222" s="16" t="n">
        <x:v>0</x:v>
      </x:c>
      <x:c r="K2222" s="11" t="n">
        <x:f>CHOOSE('假设'!$B$3,H2222,I2222,J2222)</x:f>
        <x:v>0</x:v>
      </x:c>
      <x:c r="L2222" s="11" t="n">
        <x:f>K2222*'管线假设'!E491*'管线假设'!F491*'管线假设'!G491*IF(E2222="USD",'管线假设'!I491,1)-AM2222</x:f>
        <x:v>0</x:v>
      </x:c>
      <x:c r="M2222" s="11" t="n">
        <x:f>'管线假设'!H491</x:f>
        <x:v>0.14</x:v>
      </x:c>
      <x:c r="N2222" s="11" t="n">
        <x:f>IF(G2222,L2222*AN2222/(1+M2222)^F2222,0)</x:f>
        <x:v>0</x:v>
      </x:c>
      <x:c r="AJ2222" t="n">
        <x:v>0</x:v>
      </x:c>
      <x:c r="AK2222" t="n">
        <x:v>0</x:v>
      </x:c>
      <x:c r="AL2222" t="n">
        <x:v>0</x:v>
      </x:c>
      <x:c r="AM2222" t="n">
        <x:f>CHOOSE('假设'!$B$3,AJ2222,AK2222,AL2222)</x:f>
        <x:v>0</x:v>
      </x:c>
      <x:c r="AN2222" t="n">
        <x:v>1</x:v>
      </x:c>
    </x:row>
    <x:row r="2223" ht="23" customHeight="1">
      <x:c r="A2223" s="11" t="str">
        <x:v>688302.SH</x:v>
      </x:c>
      <x:c r="B2223" s="11" t="str">
        <x:v>五年</x:v>
      </x:c>
      <x:c r="C2223" s="11" t="str">
        <x:v>hp515_mash_global</x:v>
      </x:c>
      <x:c r="D2223" s="11" t="str">
        <x:v>2029-12-31</x:v>
      </x:c>
      <x:c r="E2223" s="11" t="str">
        <x:v>USD</x:v>
      </x:c>
      <x:c r="F2223" s="11" t="n">
        <x:v>-1.7713894592744694</x:v>
      </x:c>
      <x:c r="G2223" s="26" t="b">
        <x:v>0</x:v>
      </x:c>
      <x:c r="H2223" s="16" t="n">
        <x:v>0</x:v>
      </x:c>
      <x:c r="I2223" s="16" t="n">
        <x:v>0</x:v>
      </x:c>
      <x:c r="J2223" s="16" t="n">
        <x:v>0</x:v>
      </x:c>
      <x:c r="K2223" s="11" t="n">
        <x:f>CHOOSE('假设'!$B$3,H2223,I2223,J2223)</x:f>
        <x:v>0</x:v>
      </x:c>
      <x:c r="L2223" s="11" t="n">
        <x:f>K2223*'管线假设'!E491*'管线假设'!F491*'管线假设'!G491*IF(E2223="USD",'管线假设'!I491,1)-AM2223</x:f>
        <x:v>0</x:v>
      </x:c>
      <x:c r="M2223" s="11" t="n">
        <x:f>'管线假设'!H491</x:f>
        <x:v>0.14</x:v>
      </x:c>
      <x:c r="N2223" s="11" t="n">
        <x:f>IF(G2223,L2223*AN2223/(1+M2223)^F2223,0)</x:f>
        <x:v>0</x:v>
      </x:c>
      <x:c r="AJ2223" t="n">
        <x:v>0</x:v>
      </x:c>
      <x:c r="AK2223" t="n">
        <x:v>0</x:v>
      </x:c>
      <x:c r="AL2223" t="n">
        <x:v>0</x:v>
      </x:c>
      <x:c r="AM2223" t="n">
        <x:f>CHOOSE('假设'!$B$3,AJ2223,AK2223,AL2223)</x:f>
        <x:v>0</x:v>
      </x:c>
      <x:c r="AN2223" t="n">
        <x:v>1</x:v>
      </x:c>
    </x:row>
    <x:row r="2224" ht="23" customHeight="1">
      <x:c r="A2224" s="11" t="str">
        <x:v>688302.SH</x:v>
      </x:c>
      <x:c r="B2224" s="11" t="str">
        <x:v>五年</x:v>
      </x:c>
      <x:c r="C2224" s="11" t="str">
        <x:v>hp515_mash_global</x:v>
      </x:c>
      <x:c r="D2224" s="11" t="str">
        <x:v>2030-12-31</x:v>
      </x:c>
      <x:c r="E2224" s="11" t="str">
        <x:v>USD</x:v>
      </x:c>
      <x:c r="F2224" s="11" t="n">
        <x:v>-0.7720739219712526</x:v>
      </x:c>
      <x:c r="G2224" s="26" t="b">
        <x:v>0</x:v>
      </x:c>
      <x:c r="H2224" s="16" t="n">
        <x:v>0</x:v>
      </x:c>
      <x:c r="I2224" s="16" t="n">
        <x:v>0</x:v>
      </x:c>
      <x:c r="J2224" s="16" t="n">
        <x:v>0</x:v>
      </x:c>
      <x:c r="K2224" s="11" t="n">
        <x:f>CHOOSE('假设'!$B$3,H2224,I2224,J2224)</x:f>
        <x:v>0</x:v>
      </x:c>
      <x:c r="L2224" s="11" t="n">
        <x:f>K2224*'管线假设'!E491*'管线假设'!F491*'管线假设'!G491*IF(E2224="USD",'管线假设'!I491,1)-AM2224</x:f>
        <x:v>0</x:v>
      </x:c>
      <x:c r="M2224" s="11" t="n">
        <x:f>'管线假设'!H491</x:f>
        <x:v>0.14</x:v>
      </x:c>
      <x:c r="N2224" s="11" t="n">
        <x:f>IF(G2224,L2224*AN2224/(1+M2224)^F2224,0)</x:f>
        <x:v>0</x:v>
      </x:c>
      <x:c r="AJ2224" t="n">
        <x:v>0</x:v>
      </x:c>
      <x:c r="AK2224" t="n">
        <x:v>0</x:v>
      </x:c>
      <x:c r="AL2224" t="n">
        <x:v>0</x:v>
      </x:c>
      <x:c r="AM2224" t="n">
        <x:f>CHOOSE('假设'!$B$3,AJ2224,AK2224,AL2224)</x:f>
        <x:v>0</x:v>
      </x:c>
      <x:c r="AN2224" t="n">
        <x:v>1</x:v>
      </x:c>
    </x:row>
    <x:row r="2225" ht="23" customHeight="1">
      <x:c r="A2225" s="11" t="str">
        <x:v>688302.SH</x:v>
      </x:c>
      <x:c r="B2225" s="11" t="str">
        <x:v>五年</x:v>
      </x:c>
      <x:c r="C2225" s="11" t="str">
        <x:v>hp515_mash_global</x:v>
      </x:c>
      <x:c r="D2225" s="11" t="str">
        <x:v>2031-12-31</x:v>
      </x:c>
      <x:c r="E2225" s="11" t="str">
        <x:v>USD</x:v>
      </x:c>
      <x:c r="F2225" s="11" t="n">
        <x:v>0.2272416153319644</x:v>
      </x:c>
      <x:c r="G2225" s="26" t="b">
        <x:v>1</x:v>
      </x:c>
      <x:c r="H2225" s="16" t="n">
        <x:v>0</x:v>
      </x:c>
      <x:c r="I2225" s="16" t="n">
        <x:v>0</x:v>
      </x:c>
      <x:c r="J2225" s="16" t="n">
        <x:v>1.1666666666666665</x:v>
      </x:c>
      <x:c r="K2225" s="11" t="n">
        <x:f>CHOOSE('假设'!$B$3,H2225,I2225,J2225)</x:f>
        <x:v>0</x:v>
      </x:c>
      <x:c r="L2225" s="11" t="n">
        <x:f>K2225*'管线假设'!E491*'管线假设'!F491*'管线假设'!G491*IF(E2225="USD",'管线假设'!I491,1)-AM2225</x:f>
        <x:v>0</x:v>
      </x:c>
      <x:c r="M2225" s="11" t="n">
        <x:f>'管线假设'!H491</x:f>
        <x:v>0.14</x:v>
      </x:c>
      <x:c r="N2225" s="11" t="n">
        <x:f>IF(G2225,L2225*AN2225/(1+M2225)^F2225,0)</x:f>
        <x:v>0</x:v>
      </x:c>
      <x:c r="AJ2225" t="n">
        <x:v>0</x:v>
      </x:c>
      <x:c r="AK2225" t="n">
        <x:v>0</x:v>
      </x:c>
      <x:c r="AL2225" t="n">
        <x:v>0</x:v>
      </x:c>
      <x:c r="AM2225" t="n">
        <x:f>CHOOSE('假设'!$B$3,AJ2225,AK2225,AL2225)</x:f>
        <x:v>0</x:v>
      </x:c>
      <x:c r="AN2225" t="n">
        <x:v>1</x:v>
      </x:c>
    </x:row>
    <x:row r="2226" ht="23" customHeight="1">
      <x:c r="A2226" s="11" t="str">
        <x:v>688302.SH</x:v>
      </x:c>
      <x:c r="B2226" s="11" t="str">
        <x:v>五年</x:v>
      </x:c>
      <x:c r="C2226" s="11" t="str">
        <x:v>hp515_mash_global</x:v>
      </x:c>
      <x:c r="D2226" s="11" t="str">
        <x:v>2032-12-31</x:v>
      </x:c>
      <x:c r="E2226" s="11" t="str">
        <x:v>USD</x:v>
      </x:c>
      <x:c r="F2226" s="11" t="n">
        <x:v>1.2292950034223136</x:v>
      </x:c>
      <x:c r="G2226" s="26" t="b">
        <x:v>1</x:v>
      </x:c>
      <x:c r="H2226" s="16" t="n">
        <x:v>0</x:v>
      </x:c>
      <x:c r="I2226" s="16" t="n">
        <x:v>0</x:v>
      </x:c>
      <x:c r="J2226" s="16" t="n">
        <x:v>2.333333333333333</x:v>
      </x:c>
      <x:c r="K2226" s="11" t="n">
        <x:f>CHOOSE('假设'!$B$3,H2226,I2226,J2226)</x:f>
        <x:v>0</x:v>
      </x:c>
      <x:c r="L2226" s="11" t="n">
        <x:f>K2226*'管线假设'!E491*'管线假设'!F491*'管线假设'!G491*IF(E2226="USD",'管线假设'!I491,1)-AM2226</x:f>
        <x:v>0</x:v>
      </x:c>
      <x:c r="M2226" s="11" t="n">
        <x:f>'管线假设'!H491</x:f>
        <x:v>0.14</x:v>
      </x:c>
      <x:c r="N2226" s="11" t="n">
        <x:f>IF(G2226,L2226*AN2226/(1+M2226)^F2226,0)</x:f>
        <x:v>0</x:v>
      </x:c>
      <x:c r="AJ2226" t="n">
        <x:v>0</x:v>
      </x:c>
      <x:c r="AK2226" t="n">
        <x:v>0</x:v>
      </x:c>
      <x:c r="AL2226" t="n">
        <x:v>0</x:v>
      </x:c>
      <x:c r="AM2226" t="n">
        <x:f>CHOOSE('假设'!$B$3,AJ2226,AK2226,AL2226)</x:f>
        <x:v>0</x:v>
      </x:c>
      <x:c r="AN2226" t="n">
        <x:v>1</x:v>
      </x:c>
    </x:row>
    <x:row r="2227" ht="23" customHeight="1">
      <x:c r="A2227" s="11" t="str">
        <x:v>688302.SH</x:v>
      </x:c>
      <x:c r="B2227" s="11" t="str">
        <x:v>五年</x:v>
      </x:c>
      <x:c r="C2227" s="11" t="str">
        <x:v>hp515_mash_global</x:v>
      </x:c>
      <x:c r="D2227" s="11" t="str">
        <x:v>2033-12-31</x:v>
      </x:c>
      <x:c r="E2227" s="11" t="str">
        <x:v>USD</x:v>
      </x:c>
      <x:c r="F2227" s="11" t="n">
        <x:v>2.2286105407255303</x:v>
      </x:c>
      <x:c r="G2227" s="26" t="b">
        <x:v>1</x:v>
      </x:c>
      <x:c r="H2227" s="16" t="n">
        <x:v>0</x:v>
      </x:c>
      <x:c r="I2227" s="16" t="n">
        <x:v>0.5833333333333333</x:v>
      </x:c>
      <x:c r="J2227" s="16" t="n">
        <x:v>3.5</x:v>
      </x:c>
      <x:c r="K2227" s="11" t="n">
        <x:f>CHOOSE('假设'!$B$3,H2227,I2227,J2227)</x:f>
        <x:v>0.5833333333333333</x:v>
      </x:c>
      <x:c r="L2227" s="11" t="n">
        <x:f>K2227*'管线假设'!E491*'管线假设'!F491*'管线假设'!G491*IF(E2227="USD",'管线假设'!I491,1)-AM2227</x:f>
        <x:v>0.14344259999999998</x:v>
      </x:c>
      <x:c r="M2227" s="11" t="n">
        <x:f>'管线假设'!H491</x:f>
        <x:v>0.14</x:v>
      </x:c>
      <x:c r="N2227" s="11" t="n">
        <x:f>IF(G2227,L2227*AN2227/(1+M2227)^F2227,0)</x:f>
        <x:v>0.10711724566565925</x:v>
      </x:c>
      <x:c r="AJ2227" t="n">
        <x:v>0</x:v>
      </x:c>
      <x:c r="AK2227" t="n">
        <x:v>0</x:v>
      </x:c>
      <x:c r="AL2227" t="n">
        <x:v>0</x:v>
      </x:c>
      <x:c r="AM2227" t="n">
        <x:f>CHOOSE('假设'!$B$3,AJ2227,AK2227,AL2227)</x:f>
        <x:v>0</x:v>
      </x:c>
      <x:c r="AN2227" t="n">
        <x:v>1</x:v>
      </x:c>
    </x:row>
    <x:row r="2228" ht="23" customHeight="1">
      <x:c r="A2228" s="11" t="str">
        <x:v>688302.SH</x:v>
      </x:c>
      <x:c r="B2228" s="11" t="str">
        <x:v>五年</x:v>
      </x:c>
      <x:c r="C2228" s="11" t="str">
        <x:v>hp515_mash_global</x:v>
      </x:c>
      <x:c r="D2228" s="11" t="str">
        <x:v>2034-12-31</x:v>
      </x:c>
      <x:c r="E2228" s="11" t="str">
        <x:v>USD</x:v>
      </x:c>
      <x:c r="F2228" s="11" t="n">
        <x:v>3.2279260780287475</x:v>
      </x:c>
      <x:c r="G2228" s="26" t="b">
        <x:v>1</x:v>
      </x:c>
      <x:c r="H2228" s="16" t="n">
        <x:v>0</x:v>
      </x:c>
      <x:c r="I2228" s="16" t="n">
        <x:v>1.1666666666666665</x:v>
      </x:c>
      <x:c r="J2228" s="16" t="n">
        <x:v>4.666666666666666</x:v>
      </x:c>
      <x:c r="K2228" s="11" t="n">
        <x:f>CHOOSE('假设'!$B$3,H2228,I2228,J2228)</x:f>
        <x:v>1.1666666666666665</x:v>
      </x:c>
      <x:c r="L2228" s="11" t="n">
        <x:f>K2228*'管线假设'!E491*'管线假设'!F491*'管线假设'!G491*IF(E2228="USD",'管线假设'!I491,1)-AM2228</x:f>
        <x:v>0.28688519999999995</x:v>
      </x:c>
      <x:c r="M2228" s="11" t="n">
        <x:f>'管线假设'!H491</x:f>
        <x:v>0.14</x:v>
      </x:c>
      <x:c r="N2228" s="11" t="n">
        <x:f>IF(G2228,L2228*AN2228/(1+M2228)^F2228,0)</x:f>
        <x:v>0.1879418470087717</x:v>
      </x:c>
      <x:c r="AJ2228" t="n">
        <x:v>0</x:v>
      </x:c>
      <x:c r="AK2228" t="n">
        <x:v>0</x:v>
      </x:c>
      <x:c r="AL2228" t="n">
        <x:v>0</x:v>
      </x:c>
      <x:c r="AM2228" t="n">
        <x:f>CHOOSE('假设'!$B$3,AJ2228,AK2228,AL2228)</x:f>
        <x:v>0</x:v>
      </x:c>
      <x:c r="AN2228" t="n">
        <x:v>1</x:v>
      </x:c>
    </x:row>
    <x:row r="2229" ht="23" customHeight="1">
      <x:c r="A2229" s="11" t="str">
        <x:v>688302.SH</x:v>
      </x:c>
      <x:c r="B2229" s="11" t="str">
        <x:v>五年</x:v>
      </x:c>
      <x:c r="C2229" s="11" t="str">
        <x:v>hp515_mash_global</x:v>
      </x:c>
      <x:c r="D2229" s="11" t="str">
        <x:v>2035-12-31</x:v>
      </x:c>
      <x:c r="E2229" s="11" t="str">
        <x:v>USD</x:v>
      </x:c>
      <x:c r="F2229" s="11" t="n">
        <x:v>4.227241615331964</x:v>
      </x:c>
      <x:c r="G2229" s="26" t="b">
        <x:v>1</x:v>
      </x:c>
      <x:c r="H2229" s="16" t="n">
        <x:v>0</x:v>
      </x:c>
      <x:c r="I2229" s="16" t="n">
        <x:v>1.75</x:v>
      </x:c>
      <x:c r="J2229" s="16" t="n">
        <x:v>5.833333333333334</x:v>
      </x:c>
      <x:c r="K2229" s="11" t="n">
        <x:f>CHOOSE('假设'!$B$3,H2229,I2229,J2229)</x:f>
        <x:v>1.75</x:v>
      </x:c>
      <x:c r="L2229" s="11" t="n">
        <x:f>K2229*'管线假设'!E491*'管线假设'!F491*'管线假设'!G491*IF(E2229="USD",'管线假设'!I491,1)-AM2229</x:f>
        <x:v>0.4303277999999999</x:v>
      </x:c>
      <x:c r="M2229" s="11" t="n">
        <x:f>'管线假设'!H491</x:f>
        <x:v>0.14</x:v>
      </x:c>
      <x:c r="N2229" s="11" t="n">
        <x:f>IF(G2229,L2229*AN2229/(1+M2229)^F2229,0)</x:f>
        <x:v>0.24731408307013963</x:v>
      </x:c>
      <x:c r="AJ2229" t="n">
        <x:v>0</x:v>
      </x:c>
      <x:c r="AK2229" t="n">
        <x:v>0</x:v>
      </x:c>
      <x:c r="AL2229" t="n">
        <x:v>0</x:v>
      </x:c>
      <x:c r="AM2229" t="n">
        <x:f>CHOOSE('假设'!$B$3,AJ2229,AK2229,AL2229)</x:f>
        <x:v>0</x:v>
      </x:c>
      <x:c r="AN2229" t="n">
        <x:v>1</x:v>
      </x:c>
    </x:row>
    <x:row r="2230" ht="23" customHeight="1">
      <x:c r="A2230" s="11" t="str">
        <x:v>688302.SH</x:v>
      </x:c>
      <x:c r="B2230" s="11" t="str">
        <x:v>五年</x:v>
      </x:c>
      <x:c r="C2230" s="11" t="str">
        <x:v>hp515_mash_global</x:v>
      </x:c>
      <x:c r="D2230" s="11" t="str">
        <x:v>2036-12-31</x:v>
      </x:c>
      <x:c r="E2230" s="11" t="str">
        <x:v>USD</x:v>
      </x:c>
      <x:c r="F2230" s="11" t="n">
        <x:v>5.229295003422314</x:v>
      </x:c>
      <x:c r="G2230" s="26" t="b">
        <x:v>1</x:v>
      </x:c>
      <x:c r="H2230" s="16" t="n">
        <x:v>0.2</x:v>
      </x:c>
      <x:c r="I2230" s="16" t="n">
        <x:v>2.333333333333333</x:v>
      </x:c>
      <x:c r="J2230" s="16" t="n">
        <x:v>7</x:v>
      </x:c>
      <x:c r="K2230" s="11" t="n">
        <x:f>CHOOSE('假设'!$B$3,H2230,I2230,J2230)</x:f>
        <x:v>2.333333333333333</x:v>
      </x:c>
      <x:c r="L2230" s="11" t="n">
        <x:f>K2230*'管线假设'!E491*'管线假设'!F491*'管线假设'!G491*IF(E2230="USD",'管线假设'!I491,1)-AM2230</x:f>
        <x:v>0.5737703999999999</x:v>
      </x:c>
      <x:c r="M2230" s="11" t="n">
        <x:f>'管线假设'!H491</x:f>
        <x:v>0.14</x:v>
      </x:c>
      <x:c r="N2230" s="11" t="n">
        <x:f>IF(G2230,L2230*AN2230/(1+M2230)^F2230,0)</x:f>
        <x:v>0.2891784230448379</x:v>
      </x:c>
      <x:c r="AJ2230" t="n">
        <x:v>0</x:v>
      </x:c>
      <x:c r="AK2230" t="n">
        <x:v>0</x:v>
      </x:c>
      <x:c r="AL2230" t="n">
        <x:v>0</x:v>
      </x:c>
      <x:c r="AM2230" t="n">
        <x:f>CHOOSE('假设'!$B$3,AJ2230,AK2230,AL2230)</x:f>
        <x:v>0</x:v>
      </x:c>
      <x:c r="AN2230" t="n">
        <x:v>1</x:v>
      </x:c>
    </x:row>
    <x:row r="2231" ht="23" customHeight="1">
      <x:c r="A2231" s="11" t="str">
        <x:v>688302.SH</x:v>
      </x:c>
      <x:c r="B2231" s="11" t="str">
        <x:v>五年</x:v>
      </x:c>
      <x:c r="C2231" s="11" t="str">
        <x:v>hp515_mash_global</x:v>
      </x:c>
      <x:c r="D2231" s="11" t="str">
        <x:v>2037-12-31</x:v>
      </x:c>
      <x:c r="E2231" s="11" t="str">
        <x:v>USD</x:v>
      </x:c>
      <x:c r="F2231" s="11" t="n">
        <x:v>6.228610540725531</x:v>
      </x:c>
      <x:c r="G2231" s="26" t="b">
        <x:v>1</x:v>
      </x:c>
      <x:c r="H2231" s="16" t="n">
        <x:v>0.4</x:v>
      </x:c>
      <x:c r="I2231" s="16" t="n">
        <x:v>2.916666666666667</x:v>
      </x:c>
      <x:c r="J2231" s="16" t="n">
        <x:v>6.09</x:v>
      </x:c>
      <x:c r="K2231" s="11" t="n">
        <x:f>CHOOSE('假设'!$B$3,H2231,I2231,J2231)</x:f>
        <x:v>2.916666666666667</x:v>
      </x:c>
      <x:c r="L2231" s="11" t="n">
        <x:f>K2231*'管线假设'!E491*'管线假设'!F491*'管线假设'!G491*IF(E2231="USD",'管线假设'!I491,1)-AM2231</x:f>
        <x:v>0.7172130000000001</x:v>
      </x:c>
      <x:c r="M2231" s="11" t="n">
        <x:f>'管线假设'!H491</x:f>
        <x:v>0.14</x:v>
      </x:c>
      <x:c r="N2231" s="11" t="n">
        <x:f>IF(G2231,L2231*AN2231/(1+M2231)^F2231,0)</x:f>
        <x:v>0.31711004262427134</x:v>
      </x:c>
      <x:c r="AJ2231" t="n">
        <x:v>0</x:v>
      </x:c>
      <x:c r="AK2231" t="n">
        <x:v>0</x:v>
      </x:c>
      <x:c r="AL2231" t="n">
        <x:v>0</x:v>
      </x:c>
      <x:c r="AM2231" t="n">
        <x:f>CHOOSE('假设'!$B$3,AJ2231,AK2231,AL2231)</x:f>
        <x:v>0</x:v>
      </x:c>
      <x:c r="AN2231" t="n">
        <x:v>1</x:v>
      </x:c>
    </x:row>
    <x:row r="2232" ht="23" customHeight="1">
      <x:c r="A2232" s="11" t="str">
        <x:v>688302.SH</x:v>
      </x:c>
      <x:c r="B2232" s="11" t="str">
        <x:v>五年</x:v>
      </x:c>
      <x:c r="C2232" s="11" t="str">
        <x:v>hp515_mash_global</x:v>
      </x:c>
      <x:c r="D2232" s="11" t="str">
        <x:v>2038-12-31</x:v>
      </x:c>
      <x:c r="E2232" s="11" t="str">
        <x:v>USD</x:v>
      </x:c>
      <x:c r="F2232" s="11" t="n">
        <x:v>7.227926078028747</x:v>
      </x:c>
      <x:c r="G2232" s="26" t="b">
        <x:v>1</x:v>
      </x:c>
      <x:c r="H2232" s="16" t="n">
        <x:v>0.6</x:v>
      </x:c>
      <x:c r="I2232" s="16" t="n">
        <x:v>3.5</x:v>
      </x:c>
      <x:c r="J2232" s="16" t="n">
        <x:v>5.18</x:v>
      </x:c>
      <x:c r="K2232" s="11" t="n">
        <x:f>CHOOSE('假设'!$B$3,H2232,I2232,J2232)</x:f>
        <x:v>3.5</x:v>
      </x:c>
      <x:c r="L2232" s="11" t="n">
        <x:f>K2232*'管线假设'!E491*'管线假设'!F491*'管线假设'!G491*IF(E2232="USD",'管线假设'!I491,1)-AM2232</x:f>
        <x:v>0.8606555999999999</x:v>
      </x:c>
      <x:c r="M2232" s="11" t="n">
        <x:f>'管线假设'!H491</x:f>
        <x:v>0.14</x:v>
      </x:c>
      <x:c r="N2232" s="11" t="n">
        <x:f>IF(G2232,L2232*AN2232/(1+M2232)^F2232,0)</x:f>
        <x:v>0.33382998271925773</x:v>
      </x:c>
      <x:c r="AJ2232" t="n">
        <x:v>0</x:v>
      </x:c>
      <x:c r="AK2232" t="n">
        <x:v>0</x:v>
      </x:c>
      <x:c r="AL2232" t="n">
        <x:v>0</x:v>
      </x:c>
      <x:c r="AM2232" t="n">
        <x:f>CHOOSE('假设'!$B$3,AJ2232,AK2232,AL2232)</x:f>
        <x:v>0</x:v>
      </x:c>
      <x:c r="AN2232" t="n">
        <x:v>1</x:v>
      </x:c>
    </x:row>
    <x:row r="2233" ht="23" customHeight="1">
      <x:c r="A2233" s="11" t="str">
        <x:v>688302.SH</x:v>
      </x:c>
      <x:c r="B2233" s="11" t="str">
        <x:v>五年</x:v>
      </x:c>
      <x:c r="C2233" s="11" t="str">
        <x:v>hp515_mash_global</x:v>
      </x:c>
      <x:c r="D2233" s="11" t="str">
        <x:v>2039-12-31</x:v>
      </x:c>
      <x:c r="E2233" s="11" t="str">
        <x:v>USD</x:v>
      </x:c>
      <x:c r="F2233" s="11" t="n">
        <x:v>8.227241615331964</x:v>
      </x:c>
      <x:c r="G2233" s="26" t="b">
        <x:v>1</x:v>
      </x:c>
      <x:c r="H2233" s="16" t="n">
        <x:v>0.8</x:v>
      </x:c>
      <x:c r="I2233" s="16" t="n">
        <x:v>3.045</x:v>
      </x:c>
      <x:c r="J2233" s="16" t="n">
        <x:v>4.27</x:v>
      </x:c>
      <x:c r="K2233" s="11" t="n">
        <x:f>CHOOSE('假设'!$B$3,H2233,I2233,J2233)</x:f>
        <x:v>3.045</x:v>
      </x:c>
      <x:c r="L2233" s="11" t="n">
        <x:f>K2233*'管线假设'!E491*'管线假设'!F491*'管线假设'!G491*IF(E2233="USD",'管线假设'!I491,1)-AM2233</x:f>
        <x:v>0.748770372</x:v>
      </x:c>
      <x:c r="M2233" s="11" t="n">
        <x:f>'管线假设'!H491</x:f>
        <x:v>0.14</x:v>
      </x:c>
      <x:c r="N2233" s="11" t="n">
        <x:f>IF(G2233,L2233*AN2233/(1+M2233)^F2233,0)</x:f>
        <x:v>0.2547878361689969</x:v>
      </x:c>
      <x:c r="AJ2233" t="n">
        <x:v>0</x:v>
      </x:c>
      <x:c r="AK2233" t="n">
        <x:v>0</x:v>
      </x:c>
      <x:c r="AL2233" t="n">
        <x:v>0</x:v>
      </x:c>
      <x:c r="AM2233" t="n">
        <x:f>CHOOSE('假设'!$B$3,AJ2233,AK2233,AL2233)</x:f>
        <x:v>0</x:v>
      </x:c>
      <x:c r="AN2233" t="n">
        <x:v>1</x:v>
      </x:c>
    </x:row>
    <x:row r="2234" ht="23" customHeight="1">
      <x:c r="A2234" s="11" t="str">
        <x:v>688302.SH</x:v>
      </x:c>
      <x:c r="B2234" s="11" t="str">
        <x:v>五年</x:v>
      </x:c>
      <x:c r="C2234" s="11" t="str">
        <x:v>hp515_mash_global</x:v>
      </x:c>
      <x:c r="D2234" s="11" t="str">
        <x:v>2040-12-31</x:v>
      </x:c>
      <x:c r="E2234" s="11" t="str">
        <x:v>USD</x:v>
      </x:c>
      <x:c r="F2234" s="11" t="n">
        <x:v>9.229295003422314</x:v>
      </x:c>
      <x:c r="G2234" s="26" t="b">
        <x:v>1</x:v>
      </x:c>
      <x:c r="H2234" s="16" t="n">
        <x:v>1</x:v>
      </x:c>
      <x:c r="I2234" s="16" t="n">
        <x:v>2.59</x:v>
      </x:c>
      <x:c r="J2234" s="16" t="n">
        <x:v>3.36</x:v>
      </x:c>
      <x:c r="K2234" s="11" t="n">
        <x:f>CHOOSE('假设'!$B$3,H2234,I2234,J2234)</x:f>
        <x:v>2.59</x:v>
      </x:c>
      <x:c r="L2234" s="11" t="n">
        <x:f>K2234*'管线假设'!E491*'管线假设'!F491*'管线假设'!G491*IF(E2234="USD",'管线假设'!I491,1)-AM2234</x:f>
        <x:v>0.636885144</x:v>
      </x:c>
      <x:c r="M2234" s="11" t="n">
        <x:f>'管线假设'!H491</x:f>
        <x:v>0.14</x:v>
      </x:c>
      <x:c r="N2234" s="11" t="n">
        <x:f>IF(G2234,L2234*AN2234/(1+M2234)^F2234,0)</x:f>
        <x:v>0.1900506934277064</x:v>
      </x:c>
      <x:c r="AJ2234" t="n">
        <x:v>0</x:v>
      </x:c>
      <x:c r="AK2234" t="n">
        <x:v>0</x:v>
      </x:c>
      <x:c r="AL2234" t="n">
        <x:v>0</x:v>
      </x:c>
      <x:c r="AM2234" t="n">
        <x:f>CHOOSE('假设'!$B$3,AJ2234,AK2234,AL2234)</x:f>
        <x:v>0</x:v>
      </x:c>
      <x:c r="AN2234" t="n">
        <x:v>1</x:v>
      </x:c>
    </x:row>
    <x:row r="2235" ht="23" customHeight="1">
      <x:c r="A2235" s="11" t="str">
        <x:v>688302.SH</x:v>
      </x:c>
      <x:c r="B2235" s="11" t="str">
        <x:v>五年</x:v>
      </x:c>
      <x:c r="C2235" s="11" t="str">
        <x:v>hp515_mash_global</x:v>
      </x:c>
      <x:c r="D2235" s="11" t="str">
        <x:v>2041-12-31</x:v>
      </x:c>
      <x:c r="E2235" s="11" t="str">
        <x:v>USD</x:v>
      </x:c>
      <x:c r="F2235" s="11" t="n">
        <x:v>10.22861054072553</x:v>
      </x:c>
      <x:c r="G2235" s="26" t="b">
        <x:v>1</x:v>
      </x:c>
      <x:c r="H2235" s="16" t="n">
        <x:v>0.87</x:v>
      </x:c>
      <x:c r="I2235" s="16" t="n">
        <x:v>2.135</x:v>
      </x:c>
      <x:c r="J2235" s="16" t="n">
        <x:v>2.4499999999999997</x:v>
      </x:c>
      <x:c r="K2235" s="11" t="n">
        <x:f>CHOOSE('假设'!$B$3,H2235,I2235,J2235)</x:f>
        <x:v>2.135</x:v>
      </x:c>
      <x:c r="L2235" s="11" t="n">
        <x:f>K2235*'管线假设'!E491*'管线假设'!F491*'管线假设'!G491*IF(E2235="USD",'管线假设'!I491,1)-AM2235</x:f>
        <x:v>0.524999916</x:v>
      </x:c>
      <x:c r="M2235" s="11" t="n">
        <x:f>'管线假设'!H491</x:f>
        <x:v>0.14</x:v>
      </x:c>
      <x:c r="N2235" s="11" t="n">
        <x:f>IF(G2235,L2235*AN2235/(1+M2235)^F2235,0)</x:f>
        <x:v>0.13743636865949904</x:v>
      </x:c>
      <x:c r="AJ2235" t="n">
        <x:v>0</x:v>
      </x:c>
      <x:c r="AK2235" t="n">
        <x:v>0</x:v>
      </x:c>
      <x:c r="AL2235" t="n">
        <x:v>0</x:v>
      </x:c>
      <x:c r="AM2235" t="n">
        <x:f>CHOOSE('假设'!$B$3,AJ2235,AK2235,AL2235)</x:f>
        <x:v>0</x:v>
      </x:c>
      <x:c r="AN2235" t="n">
        <x:v>1</x:v>
      </x:c>
    </x:row>
    <x:row r="2236" ht="23" customHeight="1">
      <x:c r="A2236" s="11" t="str">
        <x:v>688302.SH</x:v>
      </x:c>
      <x:c r="B2236" s="11" t="str">
        <x:v>五年</x:v>
      </x:c>
      <x:c r="C2236" s="11" t="str">
        <x:v>hp515_mash_global</x:v>
      </x:c>
      <x:c r="D2236" s="11" t="str">
        <x:v>2042-12-31</x:v>
      </x:c>
      <x:c r="E2236" s="11" t="str">
        <x:v>USD</x:v>
      </x:c>
      <x:c r="F2236" s="11" t="n">
        <x:v>11.227926078028748</x:v>
      </x:c>
      <x:c r="G2236" s="26" t="b">
        <x:v>1</x:v>
      </x:c>
      <x:c r="H2236" s="16" t="n">
        <x:v>0.74</x:v>
      </x:c>
      <x:c r="I2236" s="16" t="n">
        <x:v>1.68</x:v>
      </x:c>
      <x:c r="J2236" s="16" t="n">
        <x:v>1.5399999999999998</x:v>
      </x:c>
      <x:c r="K2236" s="11" t="n">
        <x:f>CHOOSE('假设'!$B$3,H2236,I2236,J2236)</x:f>
        <x:v>1.68</x:v>
      </x:c>
      <x:c r="L2236" s="11" t="n">
        <x:f>K2236*'管线假设'!E491*'管线假设'!F491*'管线假设'!G491*IF(E2236="USD",'管线假设'!I491,1)-AM2236</x:f>
        <x:v>0.413114688</x:v>
      </x:c>
      <x:c r="M2236" s="11" t="n">
        <x:f>'管线假设'!H491</x:f>
        <x:v>0.14</x:v>
      </x:c>
      <x:c r="N2236" s="11" t="n">
        <x:f>IF(G2236,L2236*AN2236/(1+M2236)^F2236,0)</x:f>
        <x:v>0.09487399140619378</x:v>
      </x:c>
      <x:c r="AJ2236" t="n">
        <x:v>0</x:v>
      </x:c>
      <x:c r="AK2236" t="n">
        <x:v>0</x:v>
      </x:c>
      <x:c r="AL2236" t="n">
        <x:v>0</x:v>
      </x:c>
      <x:c r="AM2236" t="n">
        <x:f>CHOOSE('假设'!$B$3,AJ2236,AK2236,AL2236)</x:f>
        <x:v>0</x:v>
      </x:c>
      <x:c r="AN2236" t="n">
        <x:v>1</x:v>
      </x:c>
    </x:row>
    <x:row r="2237" ht="23" customHeight="1">
      <x:c r="A2237" s="11" t="str">
        <x:v>688302.SH</x:v>
      </x:c>
      <x:c r="B2237" s="11" t="str">
        <x:v>五年</x:v>
      </x:c>
      <x:c r="C2237" s="11" t="str">
        <x:v>hp515_mash_global</x:v>
      </x:c>
      <x:c r="D2237" s="11" t="str">
        <x:v>2043-12-31</x:v>
      </x:c>
      <x:c r="E2237" s="11" t="str">
        <x:v>USD</x:v>
      </x:c>
      <x:c r="F2237" s="11" t="n">
        <x:v>12.227241615331964</x:v>
      </x:c>
      <x:c r="G2237" s="26" t="b">
        <x:v>1</x:v>
      </x:c>
      <x:c r="H2237" s="16" t="n">
        <x:v>0.61</x:v>
      </x:c>
      <x:c r="I2237" s="16" t="n">
        <x:v>1.2249999999999999</x:v>
      </x:c>
      <x:c r="J2237" s="16" t="n">
        <x:v>0.6299999999999998</x:v>
      </x:c>
      <x:c r="K2237" s="11" t="n">
        <x:f>CHOOSE('假设'!$B$3,H2237,I2237,J2237)</x:f>
        <x:v>1.2249999999999999</x:v>
      </x:c>
      <x:c r="L2237" s="11" t="n">
        <x:f>K2237*'管线假设'!E491*'管线假设'!F491*'管线假设'!G491*IF(E2237="USD",'管线假设'!I491,1)-AM2237</x:f>
        <x:v>0.30122945999999995</x:v>
      </x:c>
      <x:c r="M2237" s="11" t="n">
        <x:f>'管线假设'!H491</x:f>
        <x:v>0.14</x:v>
      </x:c>
      <x:c r="N2237" s="11" t="n">
        <x:f>IF(G2237,L2237*AN2237/(1+M2237)^F2237,0)</x:f>
        <x:v>0.06068873384864543</x:v>
      </x:c>
      <x:c r="AJ2237" t="n">
        <x:v>0</x:v>
      </x:c>
      <x:c r="AK2237" t="n">
        <x:v>0</x:v>
      </x:c>
      <x:c r="AL2237" t="n">
        <x:v>0</x:v>
      </x:c>
      <x:c r="AM2237" t="n">
        <x:f>CHOOSE('假设'!$B$3,AJ2237,AK2237,AL2237)</x:f>
        <x:v>0</x:v>
      </x:c>
      <x:c r="AN2237" t="n">
        <x:v>1</x:v>
      </x:c>
    </x:row>
    <x:row r="2238" ht="23" customHeight="1">
      <x:c r="A2238" s="11" t="str">
        <x:v>688302.SH</x:v>
      </x:c>
      <x:c r="B2238" s="11" t="str">
        <x:v>五年</x:v>
      </x:c>
      <x:c r="C2238" s="11" t="str">
        <x:v>hp515_mash_global</x:v>
      </x:c>
      <x:c r="D2238" s="11" t="str">
        <x:v>2044-12-31</x:v>
      </x:c>
      <x:c r="E2238" s="11" t="str">
        <x:v>USD</x:v>
      </x:c>
      <x:c r="F2238" s="11" t="n">
        <x:v>13.229295003422314</x:v>
      </x:c>
      <x:c r="G2238" s="26" t="b">
        <x:v>1</x:v>
      </x:c>
      <x:c r="H2238" s="16" t="n">
        <x:v>0.48</x:v>
      </x:c>
      <x:c r="I2238" s="16" t="n">
        <x:v>0.7699999999999999</x:v>
      </x:c>
      <x:c r="J2238" s="16" t="n">
        <x:v>0</x:v>
      </x:c>
      <x:c r="K2238" s="11" t="n">
        <x:f>CHOOSE('假设'!$B$3,H2238,I2238,J2238)</x:f>
        <x:v>0.7699999999999999</x:v>
      </x:c>
      <x:c r="L2238" s="11" t="n">
        <x:f>K2238*'管线假设'!E491*'管线假设'!F491*'管线假设'!G491*IF(E2238="USD",'管线假设'!I491,1)-AM2238</x:f>
        <x:v>0.189344232</x:v>
      </x:c>
      <x:c r="M2238" s="11" t="n">
        <x:f>'管线假设'!H491</x:f>
        <x:v>0.14</x:v>
      </x:c>
      <x:c r="N2238" s="11" t="n">
        <x:f>IF(G2238,L2238*AN2238/(1+M2238)^F2238,0)</x:f>
        <x:v>0.03345345783972448</x:v>
      </x:c>
      <x:c r="AJ2238" t="n">
        <x:v>0</x:v>
      </x:c>
      <x:c r="AK2238" t="n">
        <x:v>0</x:v>
      </x:c>
      <x:c r="AL2238" t="n">
        <x:v>0</x:v>
      </x:c>
      <x:c r="AM2238" t="n">
        <x:f>CHOOSE('假设'!$B$3,AJ2238,AK2238,AL2238)</x:f>
        <x:v>0</x:v>
      </x:c>
      <x:c r="AN2238" t="n">
        <x:v>1</x:v>
      </x:c>
    </x:row>
    <x:row r="2239" ht="23" customHeight="1">
      <x:c r="A2239" s="11" t="str">
        <x:v>688302.SH</x:v>
      </x:c>
      <x:c r="B2239" s="11" t="str">
        <x:v>五年</x:v>
      </x:c>
      <x:c r="C2239" s="11" t="str">
        <x:v>hp515_mash_global</x:v>
      </x:c>
      <x:c r="D2239" s="11" t="str">
        <x:v>2045-12-31</x:v>
      </x:c>
      <x:c r="E2239" s="11" t="str">
        <x:v>USD</x:v>
      </x:c>
      <x:c r="F2239" s="11" t="n">
        <x:v>14.22861054072553</x:v>
      </x:c>
      <x:c r="G2239" s="26" t="b">
        <x:v>1</x:v>
      </x:c>
      <x:c r="H2239" s="16" t="n">
        <x:v>0.35</x:v>
      </x:c>
      <x:c r="I2239" s="16" t="n">
        <x:v>0.3149999999999999</x:v>
      </x:c>
      <x:c r="J2239" s="16" t="n">
        <x:v>0</x:v>
      </x:c>
      <x:c r="K2239" s="11" t="n">
        <x:f>CHOOSE('假设'!$B$3,H2239,I2239,J2239)</x:f>
        <x:v>0.3149999999999999</x:v>
      </x:c>
      <x:c r="L2239" s="11" t="n">
        <x:f>K2239*'管线假设'!E491*'管线假设'!F491*'管线假设'!G491*IF(E2239="USD",'管线假设'!I491,1)-AM2239</x:f>
        <x:v>0.07745900399999997</x:v>
      </x:c>
      <x:c r="M2239" s="11" t="n">
        <x:f>'管线假设'!H491</x:f>
        <x:v>0.14</x:v>
      </x:c>
      <x:c r="N2239" s="11" t="n">
        <x:f>IF(G2239,L2239*AN2239/(1+M2239)^F2239,0)</x:f>
        <x:v>0.01200590605721328</x:v>
      </x:c>
      <x:c r="AJ2239" t="n">
        <x:v>0</x:v>
      </x:c>
      <x:c r="AK2239" t="n">
        <x:v>0</x:v>
      </x:c>
      <x:c r="AL2239" t="n">
        <x:v>0</x:v>
      </x:c>
      <x:c r="AM2239" t="n">
        <x:f>CHOOSE('假设'!$B$3,AJ2239,AK2239,AL2239)</x:f>
        <x:v>0</x:v>
      </x:c>
      <x:c r="AN2239" t="n">
        <x:v>1</x:v>
      </x:c>
    </x:row>
    <x:row r="2240" ht="23" customHeight="1">
      <x:c r="A2240" s="11" t="str">
        <x:v>688302.SH</x:v>
      </x:c>
      <x:c r="B2240" s="11" t="str">
        <x:v>五年</x:v>
      </x:c>
      <x:c r="C2240" s="11" t="str">
        <x:v>hp515_obesity_cn</x:v>
      </x:c>
      <x:c r="D2240" s="11" t="str">
        <x:v>2027-12-31</x:v>
      </x:c>
      <x:c r="E2240" s="11" t="str">
        <x:v>CNY</x:v>
      </x:c>
      <x:c r="F2240" s="11" t="n">
        <x:v>-3.7727583846680357</x:v>
      </x:c>
      <x:c r="G2240" s="26" t="b">
        <x:v>0</x:v>
      </x:c>
      <x:c r="H2240" s="16" t="n">
        <x:v>0</x:v>
      </x:c>
      <x:c r="I2240" s="16" t="n">
        <x:v>0</x:v>
      </x:c>
      <x:c r="J2240" s="16" t="n">
        <x:v>0</x:v>
      </x:c>
      <x:c r="K2240" s="11" t="n">
        <x:f>CHOOSE('假设'!$B$3,H2240,I2240,J2240)</x:f>
        <x:v>0</x:v>
      </x:c>
      <x:c r="L2240" s="11" t="n">
        <x:f>K2240*'管线假设'!E495*'管线假设'!F495*'管线假设'!G495*IF(E2240="USD",'管线假设'!I495,1)-AM2240</x:f>
        <x:v>0</x:v>
      </x:c>
      <x:c r="M2240" s="11" t="n">
        <x:f>'管线假设'!H495</x:f>
        <x:v>0.14</x:v>
      </x:c>
      <x:c r="N2240" s="11" t="n">
        <x:f>IF(G2240,L2240*AN2240/(1+M2240)^F2240,0)</x:f>
        <x:v>0</x:v>
      </x:c>
      <x:c r="AJ2240" t="n">
        <x:v>0</x:v>
      </x:c>
      <x:c r="AK2240" t="n">
        <x:v>0</x:v>
      </x:c>
      <x:c r="AL2240" t="n">
        <x:v>0</x:v>
      </x:c>
      <x:c r="AM2240" t="n">
        <x:f>CHOOSE('假设'!$B$3,AJ2240,AK2240,AL2240)</x:f>
        <x:v>0</x:v>
      </x:c>
      <x:c r="AN2240" t="n">
        <x:v>1</x:v>
      </x:c>
    </x:row>
    <x:row r="2241" ht="23" customHeight="1">
      <x:c r="A2241" s="11" t="str">
        <x:v>688302.SH</x:v>
      </x:c>
      <x:c r="B2241" s="11" t="str">
        <x:v>五年</x:v>
      </x:c>
      <x:c r="C2241" s="11" t="str">
        <x:v>hp515_obesity_cn</x:v>
      </x:c>
      <x:c r="D2241" s="11" t="str">
        <x:v>2028-12-31</x:v>
      </x:c>
      <x:c r="E2241" s="11" t="str">
        <x:v>CNY</x:v>
      </x:c>
      <x:c r="F2241" s="11" t="n">
        <x:v>-2.7707049965776864</x:v>
      </x:c>
      <x:c r="G2241" s="26" t="b">
        <x:v>0</x:v>
      </x:c>
      <x:c r="H2241" s="16" t="n">
        <x:v>0</x:v>
      </x:c>
      <x:c r="I2241" s="16" t="n">
        <x:v>0</x:v>
      </x:c>
      <x:c r="J2241" s="16" t="n">
        <x:v>0</x:v>
      </x:c>
      <x:c r="K2241" s="11" t="n">
        <x:f>CHOOSE('假设'!$B$3,H2241,I2241,J2241)</x:f>
        <x:v>0</x:v>
      </x:c>
      <x:c r="L2241" s="11" t="n">
        <x:f>K2241*'管线假设'!E495*'管线假设'!F495*'管线假设'!G495*IF(E2241="USD",'管线假设'!I495,1)-AM2241</x:f>
        <x:v>0</x:v>
      </x:c>
      <x:c r="M2241" s="11" t="n">
        <x:f>'管线假设'!H495</x:f>
        <x:v>0.14</x:v>
      </x:c>
      <x:c r="N2241" s="11" t="n">
        <x:f>IF(G2241,L2241*AN2241/(1+M2241)^F2241,0)</x:f>
        <x:v>0</x:v>
      </x:c>
      <x:c r="AJ2241" t="n">
        <x:v>0</x:v>
      </x:c>
      <x:c r="AK2241" t="n">
        <x:v>0</x:v>
      </x:c>
      <x:c r="AL2241" t="n">
        <x:v>0</x:v>
      </x:c>
      <x:c r="AM2241" t="n">
        <x:f>CHOOSE('假设'!$B$3,AJ2241,AK2241,AL2241)</x:f>
        <x:v>0</x:v>
      </x:c>
      <x:c r="AN2241" t="n">
        <x:v>1</x:v>
      </x:c>
    </x:row>
    <x:row r="2242" ht="23" customHeight="1">
      <x:c r="A2242" s="11" t="str">
        <x:v>688302.SH</x:v>
      </x:c>
      <x:c r="B2242" s="11" t="str">
        <x:v>五年</x:v>
      </x:c>
      <x:c r="C2242" s="11" t="str">
        <x:v>hp515_obesity_cn</x:v>
      </x:c>
      <x:c r="D2242" s="11" t="str">
        <x:v>2029-12-31</x:v>
      </x:c>
      <x:c r="E2242" s="11" t="str">
        <x:v>CNY</x:v>
      </x:c>
      <x:c r="F2242" s="11" t="n">
        <x:v>-1.7713894592744694</x:v>
      </x:c>
      <x:c r="G2242" s="26" t="b">
        <x:v>0</x:v>
      </x:c>
      <x:c r="H2242" s="16" t="n">
        <x:v>0</x:v>
      </x:c>
      <x:c r="I2242" s="16" t="n">
        <x:v>0</x:v>
      </x:c>
      <x:c r="J2242" s="16" t="n">
        <x:v>0</x:v>
      </x:c>
      <x:c r="K2242" s="11" t="n">
        <x:f>CHOOSE('假设'!$B$3,H2242,I2242,J2242)</x:f>
        <x:v>0</x:v>
      </x:c>
      <x:c r="L2242" s="11" t="n">
        <x:f>K2242*'管线假设'!E495*'管线假设'!F495*'管线假设'!G495*IF(E2242="USD",'管线假设'!I495,1)-AM2242</x:f>
        <x:v>0</x:v>
      </x:c>
      <x:c r="M2242" s="11" t="n">
        <x:f>'管线假设'!H495</x:f>
        <x:v>0.14</x:v>
      </x:c>
      <x:c r="N2242" s="11" t="n">
        <x:f>IF(G2242,L2242*AN2242/(1+M2242)^F2242,0)</x:f>
        <x:v>0</x:v>
      </x:c>
      <x:c r="AJ2242" t="n">
        <x:v>0</x:v>
      </x:c>
      <x:c r="AK2242" t="n">
        <x:v>0</x:v>
      </x:c>
      <x:c r="AL2242" t="n">
        <x:v>0</x:v>
      </x:c>
      <x:c r="AM2242" t="n">
        <x:f>CHOOSE('假设'!$B$3,AJ2242,AK2242,AL2242)</x:f>
        <x:v>0</x:v>
      </x:c>
      <x:c r="AN2242" t="n">
        <x:v>1</x:v>
      </x:c>
    </x:row>
    <x:row r="2243" ht="23" customHeight="1">
      <x:c r="A2243" s="11" t="str">
        <x:v>688302.SH</x:v>
      </x:c>
      <x:c r="B2243" s="11" t="str">
        <x:v>五年</x:v>
      </x:c>
      <x:c r="C2243" s="11" t="str">
        <x:v>hp515_obesity_cn</x:v>
      </x:c>
      <x:c r="D2243" s="11" t="str">
        <x:v>2030-12-31</x:v>
      </x:c>
      <x:c r="E2243" s="11" t="str">
        <x:v>CNY</x:v>
      </x:c>
      <x:c r="F2243" s="11" t="n">
        <x:v>-0.7720739219712526</x:v>
      </x:c>
      <x:c r="G2243" s="26" t="b">
        <x:v>0</x:v>
      </x:c>
      <x:c r="H2243" s="16" t="n">
        <x:v>0</x:v>
      </x:c>
      <x:c r="I2243" s="16" t="n">
        <x:v>0</x:v>
      </x:c>
      <x:c r="J2243" s="16" t="n">
        <x:v>0</x:v>
      </x:c>
      <x:c r="K2243" s="11" t="n">
        <x:f>CHOOSE('假设'!$B$3,H2243,I2243,J2243)</x:f>
        <x:v>0</x:v>
      </x:c>
      <x:c r="L2243" s="11" t="n">
        <x:f>K2243*'管线假设'!E495*'管线假设'!F495*'管线假设'!G495*IF(E2243="USD",'管线假设'!I495,1)-AM2243</x:f>
        <x:v>0</x:v>
      </x:c>
      <x:c r="M2243" s="11" t="n">
        <x:f>'管线假设'!H495</x:f>
        <x:v>0.14</x:v>
      </x:c>
      <x:c r="N2243" s="11" t="n">
        <x:f>IF(G2243,L2243*AN2243/(1+M2243)^F2243,0)</x:f>
        <x:v>0</x:v>
      </x:c>
      <x:c r="AJ2243" t="n">
        <x:v>0</x:v>
      </x:c>
      <x:c r="AK2243" t="n">
        <x:v>0</x:v>
      </x:c>
      <x:c r="AL2243" t="n">
        <x:v>0</x:v>
      </x:c>
      <x:c r="AM2243" t="n">
        <x:f>CHOOSE('假设'!$B$3,AJ2243,AK2243,AL2243)</x:f>
        <x:v>0</x:v>
      </x:c>
      <x:c r="AN2243" t="n">
        <x:v>1</x:v>
      </x:c>
    </x:row>
    <x:row r="2244" ht="23" customHeight="1">
      <x:c r="A2244" s="11" t="str">
        <x:v>688302.SH</x:v>
      </x:c>
      <x:c r="B2244" s="11" t="str">
        <x:v>五年</x:v>
      </x:c>
      <x:c r="C2244" s="11" t="str">
        <x:v>hp515_obesity_cn</x:v>
      </x:c>
      <x:c r="D2244" s="11" t="str">
        <x:v>2031-12-31</x:v>
      </x:c>
      <x:c r="E2244" s="11" t="str">
        <x:v>CNY</x:v>
      </x:c>
      <x:c r="F2244" s="11" t="n">
        <x:v>0.2272416153319644</x:v>
      </x:c>
      <x:c r="G2244" s="26" t="b">
        <x:v>1</x:v>
      </x:c>
      <x:c r="H2244" s="16" t="n">
        <x:v>0</x:v>
      </x:c>
      <x:c r="I2244" s="16" t="n">
        <x:v>0</x:v>
      </x:c>
      <x:c r="J2244" s="16" t="n">
        <x:v>0</x:v>
      </x:c>
      <x:c r="K2244" s="11" t="n">
        <x:f>CHOOSE('假设'!$B$3,H2244,I2244,J2244)</x:f>
        <x:v>0</x:v>
      </x:c>
      <x:c r="L2244" s="11" t="n">
        <x:f>K2244*'管线假设'!E495*'管线假设'!F495*'管线假设'!G495*IF(E2244="USD",'管线假设'!I495,1)-AM2244</x:f>
        <x:v>0</x:v>
      </x:c>
      <x:c r="M2244" s="11" t="n">
        <x:f>'管线假设'!H495</x:f>
        <x:v>0.14</x:v>
      </x:c>
      <x:c r="N2244" s="11" t="n">
        <x:f>IF(G2244,L2244*AN2244/(1+M2244)^F2244,0)</x:f>
        <x:v>0</x:v>
      </x:c>
      <x:c r="AJ2244" t="n">
        <x:v>0</x:v>
      </x:c>
      <x:c r="AK2244" t="n">
        <x:v>0</x:v>
      </x:c>
      <x:c r="AL2244" t="n">
        <x:v>0</x:v>
      </x:c>
      <x:c r="AM2244" t="n">
        <x:f>CHOOSE('假设'!$B$3,AJ2244,AK2244,AL2244)</x:f>
        <x:v>0</x:v>
      </x:c>
      <x:c r="AN2244" t="n">
        <x:v>1</x:v>
      </x:c>
    </x:row>
    <x:row r="2245" ht="23" customHeight="1">
      <x:c r="A2245" s="11" t="str">
        <x:v>688302.SH</x:v>
      </x:c>
      <x:c r="B2245" s="11" t="str">
        <x:v>五年</x:v>
      </x:c>
      <x:c r="C2245" s="11" t="str">
        <x:v>hp515_obesity_cn</x:v>
      </x:c>
      <x:c r="D2245" s="11" t="str">
        <x:v>2032-12-31</x:v>
      </x:c>
      <x:c r="E2245" s="11" t="str">
        <x:v>CNY</x:v>
      </x:c>
      <x:c r="F2245" s="11" t="n">
        <x:v>1.2292950034223136</x:v>
      </x:c>
      <x:c r="G2245" s="26" t="b">
        <x:v>1</x:v>
      </x:c>
      <x:c r="H2245" s="16" t="n">
        <x:v>0</x:v>
      </x:c>
      <x:c r="I2245" s="16" t="n">
        <x:v>0</x:v>
      </x:c>
      <x:c r="J2245" s="16" t="n">
        <x:v>0.41666666666666663</x:v>
      </x:c>
      <x:c r="K2245" s="11" t="n">
        <x:f>CHOOSE('假设'!$B$3,H2245,I2245,J2245)</x:f>
        <x:v>0</x:v>
      </x:c>
      <x:c r="L2245" s="11" t="n">
        <x:f>K2245*'管线假设'!E495*'管线假设'!F495*'管线假设'!G495*IF(E2245="USD",'管线假设'!I495,1)-AM2245</x:f>
        <x:v>0</x:v>
      </x:c>
      <x:c r="M2245" s="11" t="n">
        <x:f>'管线假设'!H495</x:f>
        <x:v>0.14</x:v>
      </x:c>
      <x:c r="N2245" s="11" t="n">
        <x:f>IF(G2245,L2245*AN2245/(1+M2245)^F2245,0)</x:f>
        <x:v>0</x:v>
      </x:c>
      <x:c r="AJ2245" t="n">
        <x:v>0</x:v>
      </x:c>
      <x:c r="AK2245" t="n">
        <x:v>0</x:v>
      </x:c>
      <x:c r="AL2245" t="n">
        <x:v>0</x:v>
      </x:c>
      <x:c r="AM2245" t="n">
        <x:f>CHOOSE('假设'!$B$3,AJ2245,AK2245,AL2245)</x:f>
        <x:v>0</x:v>
      </x:c>
      <x:c r="AN2245" t="n">
        <x:v>1</x:v>
      </x:c>
    </x:row>
    <x:row r="2246" ht="23" customHeight="1">
      <x:c r="A2246" s="11" t="str">
        <x:v>688302.SH</x:v>
      </x:c>
      <x:c r="B2246" s="11" t="str">
        <x:v>五年</x:v>
      </x:c>
      <x:c r="C2246" s="11" t="str">
        <x:v>hp515_obesity_cn</x:v>
      </x:c>
      <x:c r="D2246" s="11" t="str">
        <x:v>2033-12-31</x:v>
      </x:c>
      <x:c r="E2246" s="11" t="str">
        <x:v>CNY</x:v>
      </x:c>
      <x:c r="F2246" s="11" t="n">
        <x:v>2.2286105407255303</x:v>
      </x:c>
      <x:c r="G2246" s="26" t="b">
        <x:v>1</x:v>
      </x:c>
      <x:c r="H2246" s="16" t="n">
        <x:v>0</x:v>
      </x:c>
      <x:c r="I2246" s="16" t="n">
        <x:v>0</x:v>
      </x:c>
      <x:c r="J2246" s="16" t="n">
        <x:v>0.8333333333333333</x:v>
      </x:c>
      <x:c r="K2246" s="11" t="n">
        <x:f>CHOOSE('假设'!$B$3,H2246,I2246,J2246)</x:f>
        <x:v>0</x:v>
      </x:c>
      <x:c r="L2246" s="11" t="n">
        <x:f>K2246*'管线假设'!E495*'管线假设'!F495*'管线假设'!G495*IF(E2246="USD",'管线假设'!I495,1)-AM2246</x:f>
        <x:v>0</x:v>
      </x:c>
      <x:c r="M2246" s="11" t="n">
        <x:f>'管线假设'!H495</x:f>
        <x:v>0.14</x:v>
      </x:c>
      <x:c r="N2246" s="11" t="n">
        <x:f>IF(G2246,L2246*AN2246/(1+M2246)^F2246,0)</x:f>
        <x:v>0</x:v>
      </x:c>
      <x:c r="AJ2246" t="n">
        <x:v>0</x:v>
      </x:c>
      <x:c r="AK2246" t="n">
        <x:v>0</x:v>
      </x:c>
      <x:c r="AL2246" t="n">
        <x:v>0</x:v>
      </x:c>
      <x:c r="AM2246" t="n">
        <x:f>CHOOSE('假设'!$B$3,AJ2246,AK2246,AL2246)</x:f>
        <x:v>0</x:v>
      </x:c>
      <x:c r="AN2246" t="n">
        <x:v>1</x:v>
      </x:c>
    </x:row>
    <x:row r="2247" ht="23" customHeight="1">
      <x:c r="A2247" s="11" t="str">
        <x:v>688302.SH</x:v>
      </x:c>
      <x:c r="B2247" s="11" t="str">
        <x:v>五年</x:v>
      </x:c>
      <x:c r="C2247" s="11" t="str">
        <x:v>hp515_obesity_cn</x:v>
      </x:c>
      <x:c r="D2247" s="11" t="str">
        <x:v>2034-12-31</x:v>
      </x:c>
      <x:c r="E2247" s="11" t="str">
        <x:v>CNY</x:v>
      </x:c>
      <x:c r="F2247" s="11" t="n">
        <x:v>3.2279260780287475</x:v>
      </x:c>
      <x:c r="G2247" s="26" t="b">
        <x:v>1</x:v>
      </x:c>
      <x:c r="H2247" s="16" t="n">
        <x:v>0</x:v>
      </x:c>
      <x:c r="I2247" s="16" t="n">
        <x:v>0.18333333333333335</x:v>
      </x:c>
      <x:c r="J2247" s="16" t="n">
        <x:v>1.25</x:v>
      </x:c>
      <x:c r="K2247" s="11" t="n">
        <x:f>CHOOSE('假设'!$B$3,H2247,I2247,J2247)</x:f>
        <x:v>0.18333333333333335</x:v>
      </x:c>
      <x:c r="L2247" s="11" t="n">
        <x:f>K2247*'管线假设'!E495*'管线假设'!F495*'管线假设'!G495*IF(E2247="USD",'管线假设'!I495,1)-AM2247</x:f>
        <x:v>0.013926</x:v>
      </x:c>
      <x:c r="M2247" s="11" t="n">
        <x:f>'管线假设'!H495</x:f>
        <x:v>0.14</x:v>
      </x:c>
      <x:c r="N2247" s="11" t="n">
        <x:f>IF(G2247,L2247*AN2247/(1+M2247)^F2247,0)</x:f>
        <x:v>0.009123085336727565</x:v>
      </x:c>
      <x:c r="AJ2247" t="n">
        <x:v>0</x:v>
      </x:c>
      <x:c r="AK2247" t="n">
        <x:v>0</x:v>
      </x:c>
      <x:c r="AL2247" t="n">
        <x:v>0</x:v>
      </x:c>
      <x:c r="AM2247" t="n">
        <x:f>CHOOSE('假设'!$B$3,AJ2247,AK2247,AL2247)</x:f>
        <x:v>0</x:v>
      </x:c>
      <x:c r="AN2247" t="n">
        <x:v>1</x:v>
      </x:c>
    </x:row>
    <x:row r="2248" ht="23" customHeight="1">
      <x:c r="A2248" s="11" t="str">
        <x:v>688302.SH</x:v>
      </x:c>
      <x:c r="B2248" s="11" t="str">
        <x:v>五年</x:v>
      </x:c>
      <x:c r="C2248" s="11" t="str">
        <x:v>hp515_obesity_cn</x:v>
      </x:c>
      <x:c r="D2248" s="11" t="str">
        <x:v>2035-12-31</x:v>
      </x:c>
      <x:c r="E2248" s="11" t="str">
        <x:v>CNY</x:v>
      </x:c>
      <x:c r="F2248" s="11" t="n">
        <x:v>4.227241615331964</x:v>
      </x:c>
      <x:c r="G2248" s="26" t="b">
        <x:v>1</x:v>
      </x:c>
      <x:c r="H2248" s="16" t="n">
        <x:v>0</x:v>
      </x:c>
      <x:c r="I2248" s="16" t="n">
        <x:v>0.3666666666666667</x:v>
      </x:c>
      <x:c r="J2248" s="16" t="n">
        <x:v>1.6666666666666665</x:v>
      </x:c>
      <x:c r="K2248" s="11" t="n">
        <x:f>CHOOSE('假设'!$B$3,H2248,I2248,J2248)</x:f>
        <x:v>0.3666666666666667</x:v>
      </x:c>
      <x:c r="L2248" s="11" t="n">
        <x:f>K2248*'管线假设'!E495*'管线假设'!F495*'管线假设'!G495*IF(E2248="USD",'管线假设'!I495,1)-AM2248</x:f>
        <x:v>0.027852</x:v>
      </x:c>
      <x:c r="M2248" s="11" t="n">
        <x:f>'管线假设'!H495</x:f>
        <x:v>0.14</x:v>
      </x:c>
      <x:c r="N2248" s="11" t="n">
        <x:f>IF(G2248,L2248*AN2248/(1+M2248)^F2248,0)</x:f>
        <x:v>0.016006848364594456</x:v>
      </x:c>
      <x:c r="AJ2248" t="n">
        <x:v>0</x:v>
      </x:c>
      <x:c r="AK2248" t="n">
        <x:v>0</x:v>
      </x:c>
      <x:c r="AL2248" t="n">
        <x:v>0</x:v>
      </x:c>
      <x:c r="AM2248" t="n">
        <x:f>CHOOSE('假设'!$B$3,AJ2248,AK2248,AL2248)</x:f>
        <x:v>0</x:v>
      </x:c>
      <x:c r="AN2248" t="n">
        <x:v>1</x:v>
      </x:c>
    </x:row>
    <x:row r="2249" ht="23" customHeight="1">
      <x:c r="A2249" s="11" t="str">
        <x:v>688302.SH</x:v>
      </x:c>
      <x:c r="B2249" s="11" t="str">
        <x:v>五年</x:v>
      </x:c>
      <x:c r="C2249" s="11" t="str">
        <x:v>hp515_obesity_cn</x:v>
      </x:c>
      <x:c r="D2249" s="11" t="str">
        <x:v>2036-12-31</x:v>
      </x:c>
      <x:c r="E2249" s="11" t="str">
        <x:v>CNY</x:v>
      </x:c>
      <x:c r="F2249" s="11" t="n">
        <x:v>5.229295003422314</x:v>
      </x:c>
      <x:c r="G2249" s="26" t="b">
        <x:v>1</x:v>
      </x:c>
      <x:c r="H2249" s="16" t="n">
        <x:v>0</x:v>
      </x:c>
      <x:c r="I2249" s="16" t="n">
        <x:v>0.55</x:v>
      </x:c>
      <x:c r="J2249" s="16" t="n">
        <x:v>2.0833333333333335</x:v>
      </x:c>
      <x:c r="K2249" s="11" t="n">
        <x:f>CHOOSE('假设'!$B$3,H2249,I2249,J2249)</x:f>
        <x:v>0.55</x:v>
      </x:c>
      <x:c r="L2249" s="11" t="n">
        <x:f>K2249*'管线假设'!E495*'管线假设'!F495*'管线假设'!G495*IF(E2249="USD",'管线假设'!I495,1)-AM2249</x:f>
        <x:v>0.041777999999999996</x:v>
      </x:c>
      <x:c r="M2249" s="11" t="n">
        <x:f>'管线假设'!H495</x:f>
        <x:v>0.14</x:v>
      </x:c>
      <x:c r="N2249" s="11" t="n">
        <x:f>IF(G2249,L2249*AN2249/(1+M2249)^F2249,0)</x:f>
        <x:v>0.021055976672842026</x:v>
      </x:c>
      <x:c r="AJ2249" t="n">
        <x:v>0</x:v>
      </x:c>
      <x:c r="AK2249" t="n">
        <x:v>0</x:v>
      </x:c>
      <x:c r="AL2249" t="n">
        <x:v>0</x:v>
      </x:c>
      <x:c r="AM2249" t="n">
        <x:f>CHOOSE('假设'!$B$3,AJ2249,AK2249,AL2249)</x:f>
        <x:v>0</x:v>
      </x:c>
      <x:c r="AN2249" t="n">
        <x:v>1</x:v>
      </x:c>
    </x:row>
    <x:row r="2250" ht="23" customHeight="1">
      <x:c r="A2250" s="11" t="str">
        <x:v>688302.SH</x:v>
      </x:c>
      <x:c r="B2250" s="11" t="str">
        <x:v>五年</x:v>
      </x:c>
      <x:c r="C2250" s="11" t="str">
        <x:v>hp515_obesity_cn</x:v>
      </x:c>
      <x:c r="D2250" s="11" t="str">
        <x:v>2037-12-31</x:v>
      </x:c>
      <x:c r="E2250" s="11" t="str">
        <x:v>CNY</x:v>
      </x:c>
      <x:c r="F2250" s="11" t="n">
        <x:v>6.228610540725531</x:v>
      </x:c>
      <x:c r="G2250" s="26" t="b">
        <x:v>1</x:v>
      </x:c>
      <x:c r="H2250" s="16" t="n">
        <x:v>0.08000000000000002</x:v>
      </x:c>
      <x:c r="I2250" s="16" t="n">
        <x:v>0.7333333333333334</x:v>
      </x:c>
      <x:c r="J2250" s="16" t="n">
        <x:v>2.5</x:v>
      </x:c>
      <x:c r="K2250" s="11" t="n">
        <x:f>CHOOSE('假设'!$B$3,H2250,I2250,J2250)</x:f>
        <x:v>0.7333333333333334</x:v>
      </x:c>
      <x:c r="L2250" s="11" t="n">
        <x:f>K2250*'管线假设'!E495*'管线假设'!F495*'管线假设'!G495*IF(E2250="USD",'管线假设'!I495,1)-AM2250</x:f>
        <x:v>0.055704</x:v>
      </x:c>
      <x:c r="M2250" s="11" t="n">
        <x:f>'管线假设'!H495</x:f>
        <x:v>0.14</x:v>
      </x:c>
      <x:c r="N2250" s="11" t="n">
        <x:f>IF(G2250,L2250*AN2250/(1+M2250)^F2250,0)</x:f>
        <x:v>0.024629082036079112</x:v>
      </x:c>
      <x:c r="AJ2250" t="n">
        <x:v>0</x:v>
      </x:c>
      <x:c r="AK2250" t="n">
        <x:v>0</x:v>
      </x:c>
      <x:c r="AL2250" t="n">
        <x:v>0</x:v>
      </x:c>
      <x:c r="AM2250" t="n">
        <x:f>CHOOSE('假设'!$B$3,AJ2250,AK2250,AL2250)</x:f>
        <x:v>0</x:v>
      </x:c>
      <x:c r="AN2250" t="n">
        <x:v>1</x:v>
      </x:c>
    </x:row>
    <x:row r="2251" ht="23" customHeight="1">
      <x:c r="A2251" s="11" t="str">
        <x:v>688302.SH</x:v>
      </x:c>
      <x:c r="B2251" s="11" t="str">
        <x:v>五年</x:v>
      </x:c>
      <x:c r="C2251" s="11" t="str">
        <x:v>hp515_obesity_cn</x:v>
      </x:c>
      <x:c r="D2251" s="11" t="str">
        <x:v>2038-12-31</x:v>
      </x:c>
      <x:c r="E2251" s="11" t="str">
        <x:v>CNY</x:v>
      </x:c>
      <x:c r="F2251" s="11" t="n">
        <x:v>7.227926078028747</x:v>
      </x:c>
      <x:c r="G2251" s="26" t="b">
        <x:v>1</x:v>
      </x:c>
      <x:c r="H2251" s="16" t="n">
        <x:v>0.16000000000000003</x:v>
      </x:c>
      <x:c r="I2251" s="16" t="n">
        <x:v>0.9166666666666667</x:v>
      </x:c>
      <x:c r="J2251" s="16" t="n">
        <x:v>2.175</x:v>
      </x:c>
      <x:c r="K2251" s="11" t="n">
        <x:f>CHOOSE('假设'!$B$3,H2251,I2251,J2251)</x:f>
        <x:v>0.9166666666666667</x:v>
      </x:c>
      <x:c r="L2251" s="11" t="n">
        <x:f>K2251*'管线假设'!E495*'管线假设'!F495*'管线假设'!G495*IF(E2251="USD",'管线假设'!I495,1)-AM2251</x:f>
        <x:v>0.06963</x:v>
      </x:c>
      <x:c r="M2251" s="11" t="n">
        <x:f>'管线假设'!H495</x:f>
        <x:v>0.14</x:v>
      </x:c>
      <x:c r="N2251" s="11" t="n">
        <x:f>IF(G2251,L2251*AN2251/(1+M2251)^F2251,0)</x:f>
        <x:v>0.027007994483207825</x:v>
      </x:c>
      <x:c r="AJ2251" t="n">
        <x:v>0</x:v>
      </x:c>
      <x:c r="AK2251" t="n">
        <x:v>0</x:v>
      </x:c>
      <x:c r="AL2251" t="n">
        <x:v>0</x:v>
      </x:c>
      <x:c r="AM2251" t="n">
        <x:f>CHOOSE('假设'!$B$3,AJ2251,AK2251,AL2251)</x:f>
        <x:v>0</x:v>
      </x:c>
      <x:c r="AN2251" t="n">
        <x:v>1</x:v>
      </x:c>
    </x:row>
    <x:row r="2252" ht="23" customHeight="1">
      <x:c r="A2252" s="11" t="str">
        <x:v>688302.SH</x:v>
      </x:c>
      <x:c r="B2252" s="11" t="str">
        <x:v>五年</x:v>
      </x:c>
      <x:c r="C2252" s="11" t="str">
        <x:v>hp515_obesity_cn</x:v>
      </x:c>
      <x:c r="D2252" s="11" t="str">
        <x:v>2039-12-31</x:v>
      </x:c>
      <x:c r="E2252" s="11" t="str">
        <x:v>CNY</x:v>
      </x:c>
      <x:c r="F2252" s="11" t="n">
        <x:v>8.227241615331964</x:v>
      </x:c>
      <x:c r="G2252" s="26" t="b">
        <x:v>1</x:v>
      </x:c>
      <x:c r="H2252" s="16" t="n">
        <x:v>0.24</x:v>
      </x:c>
      <x:c r="I2252" s="16" t="n">
        <x:v>1.1</x:v>
      </x:c>
      <x:c r="J2252" s="16" t="n">
        <x:v>1.85</x:v>
      </x:c>
      <x:c r="K2252" s="11" t="n">
        <x:f>CHOOSE('假设'!$B$3,H2252,I2252,J2252)</x:f>
        <x:v>1.1</x:v>
      </x:c>
      <x:c r="L2252" s="11" t="n">
        <x:f>K2252*'管线假设'!E495*'管线假设'!F495*'管线假设'!G495*IF(E2252="USD",'管线假设'!I495,1)-AM2252</x:f>
        <x:v>0.08355599999999999</x:v>
      </x:c>
      <x:c r="M2252" s="11" t="n">
        <x:f>'管线假设'!H495</x:f>
        <x:v>0.14</x:v>
      </x:c>
      <x:c r="N2252" s="11" t="n">
        <x:f>IF(G2252,L2252*AN2252/(1+M2252)^F2252,0)</x:f>
        <x:v>0.028432017658594946</x:v>
      </x:c>
      <x:c r="AJ2252" t="n">
        <x:v>0</x:v>
      </x:c>
      <x:c r="AK2252" t="n">
        <x:v>0</x:v>
      </x:c>
      <x:c r="AL2252" t="n">
        <x:v>0</x:v>
      </x:c>
      <x:c r="AM2252" t="n">
        <x:f>CHOOSE('假设'!$B$3,AJ2252,AK2252,AL2252)</x:f>
        <x:v>0</x:v>
      </x:c>
      <x:c r="AN2252" t="n">
        <x:v>1</x:v>
      </x:c>
    </x:row>
    <x:row r="2253" ht="23" customHeight="1">
      <x:c r="A2253" s="11" t="str">
        <x:v>688302.SH</x:v>
      </x:c>
      <x:c r="B2253" s="11" t="str">
        <x:v>五年</x:v>
      </x:c>
      <x:c r="C2253" s="11" t="str">
        <x:v>hp515_obesity_cn</x:v>
      </x:c>
      <x:c r="D2253" s="11" t="str">
        <x:v>2040-12-31</x:v>
      </x:c>
      <x:c r="E2253" s="11" t="str">
        <x:v>CNY</x:v>
      </x:c>
      <x:c r="F2253" s="11" t="n">
        <x:v>9.229295003422314</x:v>
      </x:c>
      <x:c r="G2253" s="26" t="b">
        <x:v>1</x:v>
      </x:c>
      <x:c r="H2253" s="16" t="n">
        <x:v>0.32000000000000006</x:v>
      </x:c>
      <x:c r="I2253" s="16" t="n">
        <x:v>0.9570000000000001</x:v>
      </x:c>
      <x:c r="J2253" s="16" t="n">
        <x:v>1.525</x:v>
      </x:c>
      <x:c r="K2253" s="11" t="n">
        <x:f>CHOOSE('假设'!$B$3,H2253,I2253,J2253)</x:f>
        <x:v>0.9570000000000001</x:v>
      </x:c>
      <x:c r="L2253" s="11" t="n">
        <x:f>K2253*'管线假设'!E495*'管线假设'!F495*'管线假设'!G495*IF(E2253="USD",'管线假设'!I495,1)-AM2253</x:f>
        <x:v>0.07269371999999999</x:v>
      </x:c>
      <x:c r="M2253" s="11" t="n">
        <x:f>'管线假设'!H495</x:f>
        <x:v>0.14</x:v>
      </x:c>
      <x:c r="N2253" s="11" t="n">
        <x:f>IF(G2253,L2253*AN2253/(1+M2253)^F2253,0)</x:f>
        <x:v>0.02169228160523639</x:v>
      </x:c>
      <x:c r="AJ2253" t="n">
        <x:v>0</x:v>
      </x:c>
      <x:c r="AK2253" t="n">
        <x:v>0</x:v>
      </x:c>
      <x:c r="AL2253" t="n">
        <x:v>0</x:v>
      </x:c>
      <x:c r="AM2253" t="n">
        <x:f>CHOOSE('假设'!$B$3,AJ2253,AK2253,AL2253)</x:f>
        <x:v>0</x:v>
      </x:c>
      <x:c r="AN2253" t="n">
        <x:v>1</x:v>
      </x:c>
    </x:row>
    <x:row r="2254" ht="23" customHeight="1">
      <x:c r="A2254" s="11" t="str">
        <x:v>688302.SH</x:v>
      </x:c>
      <x:c r="B2254" s="11" t="str">
        <x:v>五年</x:v>
      </x:c>
      <x:c r="C2254" s="11" t="str">
        <x:v>hp515_obesity_cn</x:v>
      </x:c>
      <x:c r="D2254" s="11" t="str">
        <x:v>2041-12-31</x:v>
      </x:c>
      <x:c r="E2254" s="11" t="str">
        <x:v>CNY</x:v>
      </x:c>
      <x:c r="F2254" s="11" t="n">
        <x:v>10.22861054072553</x:v>
      </x:c>
      <x:c r="G2254" s="26" t="b">
        <x:v>1</x:v>
      </x:c>
      <x:c r="H2254" s="16" t="n">
        <x:v>0.4</x:v>
      </x:c>
      <x:c r="I2254" s="16" t="n">
        <x:v>0.8140000000000001</x:v>
      </x:c>
      <x:c r="J2254" s="16" t="n">
        <x:v>1.2</x:v>
      </x:c>
      <x:c r="K2254" s="11" t="n">
        <x:f>CHOOSE('假设'!$B$3,H2254,I2254,J2254)</x:f>
        <x:v>0.8140000000000001</x:v>
      </x:c>
      <x:c r="L2254" s="11" t="n">
        <x:f>K2254*'管线假设'!E495*'管线假设'!F495*'管线假设'!G495*IF(E2254="USD",'管线假设'!I495,1)-AM2254</x:f>
        <x:v>0.061831439999999994</x:v>
      </x:c>
      <x:c r="M2254" s="11" t="n">
        <x:f>'管线假设'!H495</x:f>
        <x:v>0.14</x:v>
      </x:c>
      <x:c r="N2254" s="11" t="n">
        <x:f>IF(G2254,L2254*AN2254/(1+M2254)^F2254,0)</x:f>
        <x:v>0.01618645703285731</x:v>
      </x:c>
      <x:c r="AJ2254" t="n">
        <x:v>0</x:v>
      </x:c>
      <x:c r="AK2254" t="n">
        <x:v>0</x:v>
      </x:c>
      <x:c r="AL2254" t="n">
        <x:v>0</x:v>
      </x:c>
      <x:c r="AM2254" t="n">
        <x:f>CHOOSE('假设'!$B$3,AJ2254,AK2254,AL2254)</x:f>
        <x:v>0</x:v>
      </x:c>
      <x:c r="AN2254" t="n">
        <x:v>1</x:v>
      </x:c>
    </x:row>
    <x:row r="2255" ht="23" customHeight="1">
      <x:c r="A2255" s="11" t="str">
        <x:v>688302.SH</x:v>
      </x:c>
      <x:c r="B2255" s="11" t="str">
        <x:v>五年</x:v>
      </x:c>
      <x:c r="C2255" s="11" t="str">
        <x:v>hp515_obesity_cn</x:v>
      </x:c>
      <x:c r="D2255" s="11" t="str">
        <x:v>2042-12-31</x:v>
      </x:c>
      <x:c r="E2255" s="11" t="str">
        <x:v>CNY</x:v>
      </x:c>
      <x:c r="F2255" s="11" t="n">
        <x:v>11.227926078028748</x:v>
      </x:c>
      <x:c r="G2255" s="26" t="b">
        <x:v>1</x:v>
      </x:c>
      <x:c r="H2255" s="16" t="n">
        <x:v>0.34800000000000003</x:v>
      </x:c>
      <x:c r="I2255" s="16" t="n">
        <x:v>0.671</x:v>
      </x:c>
      <x:c r="J2255" s="16" t="n">
        <x:v>0.875</x:v>
      </x:c>
      <x:c r="K2255" s="11" t="n">
        <x:f>CHOOSE('假设'!$B$3,H2255,I2255,J2255)</x:f>
        <x:v>0.671</x:v>
      </x:c>
      <x:c r="L2255" s="11" t="n">
        <x:f>K2255*'管线假设'!E495*'管线假设'!F495*'管线假设'!G495*IF(E2255="USD",'管线假设'!I495,1)-AM2255</x:f>
        <x:v>0.05096915999999999</x:v>
      </x:c>
      <x:c r="M2255" s="11" t="n">
        <x:f>'管线假设'!H495</x:f>
        <x:v>0.14</x:v>
      </x:c>
      <x:c r="N2255" s="11" t="n">
        <x:f>IF(G2255,L2255*AN2255/(1+M2255)^F2255,0)</x:f>
        <x:v>0.011705339433055729</x:v>
      </x:c>
      <x:c r="AJ2255" t="n">
        <x:v>0</x:v>
      </x:c>
      <x:c r="AK2255" t="n">
        <x:v>0</x:v>
      </x:c>
      <x:c r="AL2255" t="n">
        <x:v>0</x:v>
      </x:c>
      <x:c r="AM2255" t="n">
        <x:f>CHOOSE('假设'!$B$3,AJ2255,AK2255,AL2255)</x:f>
        <x:v>0</x:v>
      </x:c>
      <x:c r="AN2255" t="n">
        <x:v>1</x:v>
      </x:c>
    </x:row>
    <x:row r="2256" ht="23" customHeight="1">
      <x:c r="A2256" s="11" t="str">
        <x:v>688302.SH</x:v>
      </x:c>
      <x:c r="B2256" s="11" t="str">
        <x:v>五年</x:v>
      </x:c>
      <x:c r="C2256" s="11" t="str">
        <x:v>hp515_obesity_cn</x:v>
      </x:c>
      <x:c r="D2256" s="11" t="str">
        <x:v>2043-12-31</x:v>
      </x:c>
      <x:c r="E2256" s="11" t="str">
        <x:v>CNY</x:v>
      </x:c>
      <x:c r="F2256" s="11" t="n">
        <x:v>12.227241615331964</x:v>
      </x:c>
      <x:c r="G2256" s="26" t="b">
        <x:v>1</x:v>
      </x:c>
      <x:c r="H2256" s="16" t="n">
        <x:v>0.296</x:v>
      </x:c>
      <x:c r="I2256" s="16" t="n">
        <x:v>0.528</x:v>
      </x:c>
      <x:c r="J2256" s="16" t="n">
        <x:v>0.5499999999999999</x:v>
      </x:c>
      <x:c r="K2256" s="11" t="n">
        <x:f>CHOOSE('假设'!$B$3,H2256,I2256,J2256)</x:f>
        <x:v>0.528</x:v>
      </x:c>
      <x:c r="L2256" s="11" t="n">
        <x:f>K2256*'管线假设'!E495*'管线假设'!F495*'管线假设'!G495*IF(E2256="USD",'管线假设'!I495,1)-AM2256</x:f>
        <x:v>0.04010688</x:v>
      </x:c>
      <x:c r="M2256" s="11" t="n">
        <x:f>'管线假设'!H495</x:f>
        <x:v>0.14</x:v>
      </x:c>
      <x:c r="N2256" s="11" t="n">
        <x:f>IF(G2256,L2256*AN2256/(1+M2256)^F2256,0)</x:f>
        <x:v>0.00808033771271761</x:v>
      </x:c>
      <x:c r="AJ2256" t="n">
        <x:v>0</x:v>
      </x:c>
      <x:c r="AK2256" t="n">
        <x:v>0</x:v>
      </x:c>
      <x:c r="AL2256" t="n">
        <x:v>0</x:v>
      </x:c>
      <x:c r="AM2256" t="n">
        <x:f>CHOOSE('假设'!$B$3,AJ2256,AK2256,AL2256)</x:f>
        <x:v>0</x:v>
      </x:c>
      <x:c r="AN2256" t="n">
        <x:v>1</x:v>
      </x:c>
    </x:row>
    <x:row r="2257" ht="23" customHeight="1">
      <x:c r="A2257" s="11" t="str">
        <x:v>688302.SH</x:v>
      </x:c>
      <x:c r="B2257" s="11" t="str">
        <x:v>五年</x:v>
      </x:c>
      <x:c r="C2257" s="11" t="str">
        <x:v>hp515_obesity_cn</x:v>
      </x:c>
      <x:c r="D2257" s="11" t="str">
        <x:v>2044-12-31</x:v>
      </x:c>
      <x:c r="E2257" s="11" t="str">
        <x:v>CNY</x:v>
      </x:c>
      <x:c r="F2257" s="11" t="n">
        <x:v>13.229295003422314</x:v>
      </x:c>
      <x:c r="G2257" s="26" t="b">
        <x:v>1</x:v>
      </x:c>
      <x:c r="H2257" s="16" t="n">
        <x:v>0.244</x:v>
      </x:c>
      <x:c r="I2257" s="16" t="n">
        <x:v>0.385</x:v>
      </x:c>
      <x:c r="J2257" s="16" t="n">
        <x:v>0.22499999999999992</x:v>
      </x:c>
      <x:c r="K2257" s="11" t="n">
        <x:f>CHOOSE('假设'!$B$3,H2257,I2257,J2257)</x:f>
        <x:v>0.385</x:v>
      </x:c>
      <x:c r="L2257" s="11" t="n">
        <x:f>K2257*'管线假设'!E495*'管线假设'!F495*'管线假设'!G495*IF(E2257="USD",'管线假设'!I495,1)-AM2257</x:f>
        <x:v>0.029244599999999996</x:v>
      </x:c>
      <x:c r="M2257" s="11" t="n">
        <x:f>'管线假设'!H495</x:f>
        <x:v>0.14</x:v>
      </x:c>
      <x:c r="N2257" s="11" t="n">
        <x:f>IF(G2257,L2257*AN2257/(1+M2257)^F2257,0)</x:f>
        <x:v>0.005166954296973813</x:v>
      </x:c>
      <x:c r="AJ2257" t="n">
        <x:v>0</x:v>
      </x:c>
      <x:c r="AK2257" t="n">
        <x:v>0</x:v>
      </x:c>
      <x:c r="AL2257" t="n">
        <x:v>0</x:v>
      </x:c>
      <x:c r="AM2257" t="n">
        <x:f>CHOOSE('假设'!$B$3,AJ2257,AK2257,AL2257)</x:f>
        <x:v>0</x:v>
      </x:c>
      <x:c r="AN2257" t="n">
        <x:v>1</x:v>
      </x:c>
    </x:row>
    <x:row r="2258" ht="23" customHeight="1">
      <x:c r="A2258" s="11" t="str">
        <x:v>688302.SH</x:v>
      </x:c>
      <x:c r="B2258" s="11" t="str">
        <x:v>五年</x:v>
      </x:c>
      <x:c r="C2258" s="11" t="str">
        <x:v>hp515_obesity_cn</x:v>
      </x:c>
      <x:c r="D2258" s="11" t="str">
        <x:v>2045-12-31</x:v>
      </x:c>
      <x:c r="E2258" s="11" t="str">
        <x:v>CNY</x:v>
      </x:c>
      <x:c r="F2258" s="11" t="n">
        <x:v>14.22861054072553</x:v>
      </x:c>
      <x:c r="G2258" s="26" t="b">
        <x:v>1</x:v>
      </x:c>
      <x:c r="H2258" s="16" t="n">
        <x:v>0.192</x:v>
      </x:c>
      <x:c r="I2258" s="16" t="n">
        <x:v>0.242</x:v>
      </x:c>
      <x:c r="J2258" s="16" t="n">
        <x:v>0</x:v>
      </x:c>
      <x:c r="K2258" s="11" t="n">
        <x:f>CHOOSE('假设'!$B$3,H2258,I2258,J2258)</x:f>
        <x:v>0.242</x:v>
      </x:c>
      <x:c r="L2258" s="11" t="n">
        <x:f>K2258*'管线假设'!E495*'管线假设'!F495*'管线假设'!G495*IF(E2258="USD",'管线假设'!I495,1)-AM2258</x:f>
        <x:v>0.018382319999999997</x:v>
      </x:c>
      <x:c r="M2258" s="11" t="n">
        <x:f>'管线假设'!H495</x:f>
        <x:v>0.14</x:v>
      </x:c>
      <x:c r="N2258" s="11" t="n">
        <x:f>IF(G2258,L2258*AN2258/(1+M2258)^F2258,0)</x:f>
        <x:v>0.002849202747735213</x:v>
      </x:c>
      <x:c r="AJ2258" t="n">
        <x:v>0</x:v>
      </x:c>
      <x:c r="AK2258" t="n">
        <x:v>0</x:v>
      </x:c>
      <x:c r="AL2258" t="n">
        <x:v>0</x:v>
      </x:c>
      <x:c r="AM2258" t="n">
        <x:f>CHOOSE('假设'!$B$3,AJ2258,AK2258,AL2258)</x:f>
        <x:v>0</x:v>
      </x:c>
      <x:c r="AN2258" t="n">
        <x:v>1</x:v>
      </x:c>
    </x:row>
    <x:row r="2259" ht="23" customHeight="1">
      <x:c r="A2259" s="11" t="str">
        <x:v>688302.SH</x:v>
      </x:c>
      <x:c r="B2259" s="11" t="str">
        <x:v>五年</x:v>
      </x:c>
      <x:c r="C2259" s="11" t="str">
        <x:v>hp515_obesity_global</x:v>
      </x:c>
      <x:c r="D2259" s="11" t="str">
        <x:v>2027-12-31</x:v>
      </x:c>
      <x:c r="E2259" s="11" t="str">
        <x:v>USD</x:v>
      </x:c>
      <x:c r="F2259" s="11" t="n">
        <x:v>-3.7727583846680357</x:v>
      </x:c>
      <x:c r="G2259" s="26" t="b">
        <x:v>0</x:v>
      </x:c>
      <x:c r="H2259" s="16" t="n">
        <x:v>0</x:v>
      </x:c>
      <x:c r="I2259" s="16" t="n">
        <x:v>0</x:v>
      </x:c>
      <x:c r="J2259" s="16" t="n">
        <x:v>0</x:v>
      </x:c>
      <x:c r="K2259" s="11" t="n">
        <x:f>CHOOSE('假设'!$B$3,H2259,I2259,J2259)</x:f>
        <x:v>0</x:v>
      </x:c>
      <x:c r="L2259" s="11" t="n">
        <x:f>K2259*'管线假设'!E499*'管线假设'!F499*'管线假设'!G499*IF(E2259="USD",'管线假设'!I499,1)-AM2259</x:f>
        <x:v>0</x:v>
      </x:c>
      <x:c r="M2259" s="11" t="n">
        <x:f>'管线假设'!H499</x:f>
        <x:v>0.14</x:v>
      </x:c>
      <x:c r="N2259" s="11" t="n">
        <x:f>IF(G2259,L2259*AN2259/(1+M2259)^F2259,0)</x:f>
        <x:v>0</x:v>
      </x:c>
      <x:c r="AJ2259" t="n">
        <x:v>0</x:v>
      </x:c>
      <x:c r="AK2259" t="n">
        <x:v>0</x:v>
      </x:c>
      <x:c r="AL2259" t="n">
        <x:v>0</x:v>
      </x:c>
      <x:c r="AM2259" t="n">
        <x:f>CHOOSE('假设'!$B$3,AJ2259,AK2259,AL2259)</x:f>
        <x:v>0</x:v>
      </x:c>
      <x:c r="AN2259" t="n">
        <x:v>1</x:v>
      </x:c>
    </x:row>
    <x:row r="2260" ht="23" customHeight="1">
      <x:c r="A2260" s="11" t="str">
        <x:v>688302.SH</x:v>
      </x:c>
      <x:c r="B2260" s="11" t="str">
        <x:v>五年</x:v>
      </x:c>
      <x:c r="C2260" s="11" t="str">
        <x:v>hp515_obesity_global</x:v>
      </x:c>
      <x:c r="D2260" s="11" t="str">
        <x:v>2028-12-31</x:v>
      </x:c>
      <x:c r="E2260" s="11" t="str">
        <x:v>USD</x:v>
      </x:c>
      <x:c r="F2260" s="11" t="n">
        <x:v>-2.7707049965776864</x:v>
      </x:c>
      <x:c r="G2260" s="26" t="b">
        <x:v>0</x:v>
      </x:c>
      <x:c r="H2260" s="16" t="n">
        <x:v>0</x:v>
      </x:c>
      <x:c r="I2260" s="16" t="n">
        <x:v>0</x:v>
      </x:c>
      <x:c r="J2260" s="16" t="n">
        <x:v>0</x:v>
      </x:c>
      <x:c r="K2260" s="11" t="n">
        <x:f>CHOOSE('假设'!$B$3,H2260,I2260,J2260)</x:f>
        <x:v>0</x:v>
      </x:c>
      <x:c r="L2260" s="11" t="n">
        <x:f>K2260*'管线假设'!E499*'管线假设'!F499*'管线假设'!G499*IF(E2260="USD",'管线假设'!I499,1)-AM2260</x:f>
        <x:v>0</x:v>
      </x:c>
      <x:c r="M2260" s="11" t="n">
        <x:f>'管线假设'!H499</x:f>
        <x:v>0.14</x:v>
      </x:c>
      <x:c r="N2260" s="11" t="n">
        <x:f>IF(G2260,L2260*AN2260/(1+M2260)^F2260,0)</x:f>
        <x:v>0</x:v>
      </x:c>
      <x:c r="AJ2260" t="n">
        <x:v>0</x:v>
      </x:c>
      <x:c r="AK2260" t="n">
        <x:v>0</x:v>
      </x:c>
      <x:c r="AL2260" t="n">
        <x:v>0</x:v>
      </x:c>
      <x:c r="AM2260" t="n">
        <x:f>CHOOSE('假设'!$B$3,AJ2260,AK2260,AL2260)</x:f>
        <x:v>0</x:v>
      </x:c>
      <x:c r="AN2260" t="n">
        <x:v>1</x:v>
      </x:c>
    </x:row>
    <x:row r="2261" ht="23" customHeight="1">
      <x:c r="A2261" s="11" t="str">
        <x:v>688302.SH</x:v>
      </x:c>
      <x:c r="B2261" s="11" t="str">
        <x:v>五年</x:v>
      </x:c>
      <x:c r="C2261" s="11" t="str">
        <x:v>hp515_obesity_global</x:v>
      </x:c>
      <x:c r="D2261" s="11" t="str">
        <x:v>2029-12-31</x:v>
      </x:c>
      <x:c r="E2261" s="11" t="str">
        <x:v>USD</x:v>
      </x:c>
      <x:c r="F2261" s="11" t="n">
        <x:v>-1.7713894592744694</x:v>
      </x:c>
      <x:c r="G2261" s="26" t="b">
        <x:v>0</x:v>
      </x:c>
      <x:c r="H2261" s="16" t="n">
        <x:v>0</x:v>
      </x:c>
      <x:c r="I2261" s="16" t="n">
        <x:v>0</x:v>
      </x:c>
      <x:c r="J2261" s="16" t="n">
        <x:v>0</x:v>
      </x:c>
      <x:c r="K2261" s="11" t="n">
        <x:f>CHOOSE('假设'!$B$3,H2261,I2261,J2261)</x:f>
        <x:v>0</x:v>
      </x:c>
      <x:c r="L2261" s="11" t="n">
        <x:f>K2261*'管线假设'!E499*'管线假设'!F499*'管线假设'!G499*IF(E2261="USD",'管线假设'!I499,1)-AM2261</x:f>
        <x:v>0</x:v>
      </x:c>
      <x:c r="M2261" s="11" t="n">
        <x:f>'管线假设'!H499</x:f>
        <x:v>0.14</x:v>
      </x:c>
      <x:c r="N2261" s="11" t="n">
        <x:f>IF(G2261,L2261*AN2261/(1+M2261)^F2261,0)</x:f>
        <x:v>0</x:v>
      </x:c>
      <x:c r="AJ2261" t="n">
        <x:v>0</x:v>
      </x:c>
      <x:c r="AK2261" t="n">
        <x:v>0</x:v>
      </x:c>
      <x:c r="AL2261" t="n">
        <x:v>0</x:v>
      </x:c>
      <x:c r="AM2261" t="n">
        <x:f>CHOOSE('假设'!$B$3,AJ2261,AK2261,AL2261)</x:f>
        <x:v>0</x:v>
      </x:c>
      <x:c r="AN2261" t="n">
        <x:v>1</x:v>
      </x:c>
    </x:row>
    <x:row r="2262" ht="23" customHeight="1">
      <x:c r="A2262" s="11" t="str">
        <x:v>688302.SH</x:v>
      </x:c>
      <x:c r="B2262" s="11" t="str">
        <x:v>五年</x:v>
      </x:c>
      <x:c r="C2262" s="11" t="str">
        <x:v>hp515_obesity_global</x:v>
      </x:c>
      <x:c r="D2262" s="11" t="str">
        <x:v>2030-12-31</x:v>
      </x:c>
      <x:c r="E2262" s="11" t="str">
        <x:v>USD</x:v>
      </x:c>
      <x:c r="F2262" s="11" t="n">
        <x:v>-0.7720739219712526</x:v>
      </x:c>
      <x:c r="G2262" s="26" t="b">
        <x:v>0</x:v>
      </x:c>
      <x:c r="H2262" s="16" t="n">
        <x:v>0</x:v>
      </x:c>
      <x:c r="I2262" s="16" t="n">
        <x:v>0</x:v>
      </x:c>
      <x:c r="J2262" s="16" t="n">
        <x:v>0</x:v>
      </x:c>
      <x:c r="K2262" s="11" t="n">
        <x:f>CHOOSE('假设'!$B$3,H2262,I2262,J2262)</x:f>
        <x:v>0</x:v>
      </x:c>
      <x:c r="L2262" s="11" t="n">
        <x:f>K2262*'管线假设'!E499*'管线假设'!F499*'管线假设'!G499*IF(E2262="USD",'管线假设'!I499,1)-AM2262</x:f>
        <x:v>0</x:v>
      </x:c>
      <x:c r="M2262" s="11" t="n">
        <x:f>'管线假设'!H499</x:f>
        <x:v>0.14</x:v>
      </x:c>
      <x:c r="N2262" s="11" t="n">
        <x:f>IF(G2262,L2262*AN2262/(1+M2262)^F2262,0)</x:f>
        <x:v>0</x:v>
      </x:c>
      <x:c r="AJ2262" t="n">
        <x:v>0</x:v>
      </x:c>
      <x:c r="AK2262" t="n">
        <x:v>0</x:v>
      </x:c>
      <x:c r="AL2262" t="n">
        <x:v>0</x:v>
      </x:c>
      <x:c r="AM2262" t="n">
        <x:f>CHOOSE('假设'!$B$3,AJ2262,AK2262,AL2262)</x:f>
        <x:v>0</x:v>
      </x:c>
      <x:c r="AN2262" t="n">
        <x:v>1</x:v>
      </x:c>
    </x:row>
    <x:row r="2263" ht="23" customHeight="1">
      <x:c r="A2263" s="11" t="str">
        <x:v>688302.SH</x:v>
      </x:c>
      <x:c r="B2263" s="11" t="str">
        <x:v>五年</x:v>
      </x:c>
      <x:c r="C2263" s="11" t="str">
        <x:v>hp515_obesity_global</x:v>
      </x:c>
      <x:c r="D2263" s="11" t="str">
        <x:v>2031-12-31</x:v>
      </x:c>
      <x:c r="E2263" s="11" t="str">
        <x:v>USD</x:v>
      </x:c>
      <x:c r="F2263" s="11" t="n">
        <x:v>0.2272416153319644</x:v>
      </x:c>
      <x:c r="G2263" s="26" t="b">
        <x:v>1</x:v>
      </x:c>
      <x:c r="H2263" s="16" t="n">
        <x:v>0</x:v>
      </x:c>
      <x:c r="I2263" s="16" t="n">
        <x:v>0</x:v>
      </x:c>
      <x:c r="J2263" s="16" t="n">
        <x:v>0</x:v>
      </x:c>
      <x:c r="K2263" s="11" t="n">
        <x:f>CHOOSE('假设'!$B$3,H2263,I2263,J2263)</x:f>
        <x:v>0</x:v>
      </x:c>
      <x:c r="L2263" s="11" t="n">
        <x:f>K2263*'管线假设'!E499*'管线假设'!F499*'管线假设'!G499*IF(E2263="USD",'管线假设'!I499,1)-AM2263</x:f>
        <x:v>0</x:v>
      </x:c>
      <x:c r="M2263" s="11" t="n">
        <x:f>'管线假设'!H499</x:f>
        <x:v>0.14</x:v>
      </x:c>
      <x:c r="N2263" s="11" t="n">
        <x:f>IF(G2263,L2263*AN2263/(1+M2263)^F2263,0)</x:f>
        <x:v>0</x:v>
      </x:c>
      <x:c r="AJ2263" t="n">
        <x:v>0</x:v>
      </x:c>
      <x:c r="AK2263" t="n">
        <x:v>0</x:v>
      </x:c>
      <x:c r="AL2263" t="n">
        <x:v>0</x:v>
      </x:c>
      <x:c r="AM2263" t="n">
        <x:f>CHOOSE('假设'!$B$3,AJ2263,AK2263,AL2263)</x:f>
        <x:v>0</x:v>
      </x:c>
      <x:c r="AN2263" t="n">
        <x:v>1</x:v>
      </x:c>
    </x:row>
    <x:row r="2264" ht="23" customHeight="1">
      <x:c r="A2264" s="11" t="str">
        <x:v>688302.SH</x:v>
      </x:c>
      <x:c r="B2264" s="11" t="str">
        <x:v>五年</x:v>
      </x:c>
      <x:c r="C2264" s="11" t="str">
        <x:v>hp515_obesity_global</x:v>
      </x:c>
      <x:c r="D2264" s="11" t="str">
        <x:v>2032-12-31</x:v>
      </x:c>
      <x:c r="E2264" s="11" t="str">
        <x:v>USD</x:v>
      </x:c>
      <x:c r="F2264" s="11" t="n">
        <x:v>1.2292950034223136</x:v>
      </x:c>
      <x:c r="G2264" s="26" t="b">
        <x:v>1</x:v>
      </x:c>
      <x:c r="H2264" s="16" t="n">
        <x:v>0</x:v>
      </x:c>
      <x:c r="I2264" s="16" t="n">
        <x:v>0</x:v>
      </x:c>
      <x:c r="J2264" s="16" t="n">
        <x:v>0</x:v>
      </x:c>
      <x:c r="K2264" s="11" t="n">
        <x:f>CHOOSE('假设'!$B$3,H2264,I2264,J2264)</x:f>
        <x:v>0</x:v>
      </x:c>
      <x:c r="L2264" s="11" t="n">
        <x:f>K2264*'管线假设'!E499*'管线假设'!F499*'管线假设'!G499*IF(E2264="USD",'管线假设'!I499,1)-AM2264</x:f>
        <x:v>0</x:v>
      </x:c>
      <x:c r="M2264" s="11" t="n">
        <x:f>'管线假设'!H499</x:f>
        <x:v>0.14</x:v>
      </x:c>
      <x:c r="N2264" s="11" t="n">
        <x:f>IF(G2264,L2264*AN2264/(1+M2264)^F2264,0)</x:f>
        <x:v>0</x:v>
      </x:c>
      <x:c r="AJ2264" t="n">
        <x:v>0</x:v>
      </x:c>
      <x:c r="AK2264" t="n">
        <x:v>0</x:v>
      </x:c>
      <x:c r="AL2264" t="n">
        <x:v>0</x:v>
      </x:c>
      <x:c r="AM2264" t="n">
        <x:f>CHOOSE('假设'!$B$3,AJ2264,AK2264,AL2264)</x:f>
        <x:v>0</x:v>
      </x:c>
      <x:c r="AN2264" t="n">
        <x:v>1</x:v>
      </x:c>
    </x:row>
    <x:row r="2265" ht="23" customHeight="1">
      <x:c r="A2265" s="11" t="str">
        <x:v>688302.SH</x:v>
      </x:c>
      <x:c r="B2265" s="11" t="str">
        <x:v>五年</x:v>
      </x:c>
      <x:c r="C2265" s="11" t="str">
        <x:v>hp515_obesity_global</x:v>
      </x:c>
      <x:c r="D2265" s="11" t="str">
        <x:v>2033-12-31</x:v>
      </x:c>
      <x:c r="E2265" s="11" t="str">
        <x:v>USD</x:v>
      </x:c>
      <x:c r="F2265" s="11" t="n">
        <x:v>2.2286105407255303</x:v>
      </x:c>
      <x:c r="G2265" s="26" t="b">
        <x:v>1</x:v>
      </x:c>
      <x:c r="H2265" s="16" t="n">
        <x:v>0</x:v>
      </x:c>
      <x:c r="I2265" s="16" t="n">
        <x:v>0</x:v>
      </x:c>
      <x:c r="J2265" s="16" t="n">
        <x:v>0.6666666666666666</x:v>
      </x:c>
      <x:c r="K2265" s="11" t="n">
        <x:f>CHOOSE('假设'!$B$3,H2265,I2265,J2265)</x:f>
        <x:v>0</x:v>
      </x:c>
      <x:c r="L2265" s="11" t="n">
        <x:f>K2265*'管线假设'!E499*'管线假设'!F499*'管线假设'!G499*IF(E2265="USD",'管线假设'!I499,1)-AM2265</x:f>
        <x:v>0</x:v>
      </x:c>
      <x:c r="M2265" s="11" t="n">
        <x:f>'管线假设'!H499</x:f>
        <x:v>0.14</x:v>
      </x:c>
      <x:c r="N2265" s="11" t="n">
        <x:f>IF(G2265,L2265*AN2265/(1+M2265)^F2265,0)</x:f>
        <x:v>0</x:v>
      </x:c>
      <x:c r="AJ2265" t="n">
        <x:v>0</x:v>
      </x:c>
      <x:c r="AK2265" t="n">
        <x:v>0</x:v>
      </x:c>
      <x:c r="AL2265" t="n">
        <x:v>0</x:v>
      </x:c>
      <x:c r="AM2265" t="n">
        <x:f>CHOOSE('假设'!$B$3,AJ2265,AK2265,AL2265)</x:f>
        <x:v>0</x:v>
      </x:c>
      <x:c r="AN2265" t="n">
        <x:v>1</x:v>
      </x:c>
    </x:row>
    <x:row r="2266" ht="23" customHeight="1">
      <x:c r="A2266" s="11" t="str">
        <x:v>688302.SH</x:v>
      </x:c>
      <x:c r="B2266" s="11" t="str">
        <x:v>五年</x:v>
      </x:c>
      <x:c r="C2266" s="11" t="str">
        <x:v>hp515_obesity_global</x:v>
      </x:c>
      <x:c r="D2266" s="11" t="str">
        <x:v>2034-12-31</x:v>
      </x:c>
      <x:c r="E2266" s="11" t="str">
        <x:v>USD</x:v>
      </x:c>
      <x:c r="F2266" s="11" t="n">
        <x:v>3.2279260780287475</x:v>
      </x:c>
      <x:c r="G2266" s="26" t="b">
        <x:v>1</x:v>
      </x:c>
      <x:c r="H2266" s="16" t="n">
        <x:v>0</x:v>
      </x:c>
      <x:c r="I2266" s="16" t="n">
        <x:v>0</x:v>
      </x:c>
      <x:c r="J2266" s="16" t="n">
        <x:v>1.3333333333333333</x:v>
      </x:c>
      <x:c r="K2266" s="11" t="n">
        <x:f>CHOOSE('假设'!$B$3,H2266,I2266,J2266)</x:f>
        <x:v>0</x:v>
      </x:c>
      <x:c r="L2266" s="11" t="n">
        <x:f>K2266*'管线假设'!E499*'管线假设'!F499*'管线假设'!G499*IF(E2266="USD",'管线假设'!I499,1)-AM2266</x:f>
        <x:v>0</x:v>
      </x:c>
      <x:c r="M2266" s="11" t="n">
        <x:f>'管线假设'!H499</x:f>
        <x:v>0.14</x:v>
      </x:c>
      <x:c r="N2266" s="11" t="n">
        <x:f>IF(G2266,L2266*AN2266/(1+M2266)^F2266,0)</x:f>
        <x:v>0</x:v>
      </x:c>
      <x:c r="AJ2266" t="n">
        <x:v>0</x:v>
      </x:c>
      <x:c r="AK2266" t="n">
        <x:v>0</x:v>
      </x:c>
      <x:c r="AL2266" t="n">
        <x:v>0</x:v>
      </x:c>
      <x:c r="AM2266" t="n">
        <x:f>CHOOSE('假设'!$B$3,AJ2266,AK2266,AL2266)</x:f>
        <x:v>0</x:v>
      </x:c>
      <x:c r="AN2266" t="n">
        <x:v>1</x:v>
      </x:c>
    </x:row>
    <x:row r="2267" ht="23" customHeight="1">
      <x:c r="A2267" s="11" t="str">
        <x:v>688302.SH</x:v>
      </x:c>
      <x:c r="B2267" s="11" t="str">
        <x:v>五年</x:v>
      </x:c>
      <x:c r="C2267" s="11" t="str">
        <x:v>hp515_obesity_global</x:v>
      </x:c>
      <x:c r="D2267" s="11" t="str">
        <x:v>2035-12-31</x:v>
      </x:c>
      <x:c r="E2267" s="11" t="str">
        <x:v>USD</x:v>
      </x:c>
      <x:c r="F2267" s="11" t="n">
        <x:v>4.227241615331964</x:v>
      </x:c>
      <x:c r="G2267" s="26" t="b">
        <x:v>1</x:v>
      </x:c>
      <x:c r="H2267" s="16" t="n">
        <x:v>0</x:v>
      </x:c>
      <x:c r="I2267" s="16" t="n">
        <x:v>0.3333333333333333</x:v>
      </x:c>
      <x:c r="J2267" s="16" t="n">
        <x:v>2</x:v>
      </x:c>
      <x:c r="K2267" s="11" t="n">
        <x:f>CHOOSE('假设'!$B$3,H2267,I2267,J2267)</x:f>
        <x:v>0.3333333333333333</x:v>
      </x:c>
      <x:c r="L2267" s="11" t="n">
        <x:f>K2267*'管线假设'!E499*'管线假设'!F499*'管线假设'!G499*IF(E2267="USD",'管线假设'!I499,1)-AM2267</x:f>
        <x:v>0.05769301333333332</x:v>
      </x:c>
      <x:c r="M2267" s="11" t="n">
        <x:f>'管线假设'!H499</x:f>
        <x:v>0.14</x:v>
      </x:c>
      <x:c r="N2267" s="11" t="n">
        <x:f>IF(G2267,L2267*AN2267/(1+M2267)^F2267,0)</x:f>
        <x:v>0.03315680439908059</x:v>
      </x:c>
      <x:c r="AJ2267" t="n">
        <x:v>0</x:v>
      </x:c>
      <x:c r="AK2267" t="n">
        <x:v>0</x:v>
      </x:c>
      <x:c r="AL2267" t="n">
        <x:v>0</x:v>
      </x:c>
      <x:c r="AM2267" t="n">
        <x:f>CHOOSE('假设'!$B$3,AJ2267,AK2267,AL2267)</x:f>
        <x:v>0</x:v>
      </x:c>
      <x:c r="AN2267" t="n">
        <x:v>1</x:v>
      </x:c>
    </x:row>
    <x:row r="2268" ht="23" customHeight="1">
      <x:c r="A2268" s="11" t="str">
        <x:v>688302.SH</x:v>
      </x:c>
      <x:c r="B2268" s="11" t="str">
        <x:v>五年</x:v>
      </x:c>
      <x:c r="C2268" s="11" t="str">
        <x:v>hp515_obesity_global</x:v>
      </x:c>
      <x:c r="D2268" s="11" t="str">
        <x:v>2036-12-31</x:v>
      </x:c>
      <x:c r="E2268" s="11" t="str">
        <x:v>USD</x:v>
      </x:c>
      <x:c r="F2268" s="11" t="n">
        <x:v>5.229295003422314</x:v>
      </x:c>
      <x:c r="G2268" s="26" t="b">
        <x:v>1</x:v>
      </x:c>
      <x:c r="H2268" s="16" t="n">
        <x:v>0</x:v>
      </x:c>
      <x:c r="I2268" s="16" t="n">
        <x:v>0.6666666666666666</x:v>
      </x:c>
      <x:c r="J2268" s="16" t="n">
        <x:v>2.6666666666666665</x:v>
      </x:c>
      <x:c r="K2268" s="11" t="n">
        <x:f>CHOOSE('假设'!$B$3,H2268,I2268,J2268)</x:f>
        <x:v>0.6666666666666666</x:v>
      </x:c>
      <x:c r="L2268" s="11" t="n">
        <x:f>K2268*'管线假设'!E499*'管线假设'!F499*'管线假设'!G499*IF(E2268="USD",'管线假设'!I499,1)-AM2268</x:f>
        <x:v>0.11538602666666664</x:v>
      </x:c>
      <x:c r="M2268" s="11" t="n">
        <x:f>'管线假设'!H499</x:f>
        <x:v>0.14</x:v>
      </x:c>
      <x:c r="N2268" s="11" t="n">
        <x:f>IF(G2268,L2268*AN2268/(1+M2268)^F2268,0)</x:f>
        <x:v>0.05815418368196804</x:v>
      </x:c>
      <x:c r="AJ2268" t="n">
        <x:v>0</x:v>
      </x:c>
      <x:c r="AK2268" t="n">
        <x:v>0</x:v>
      </x:c>
      <x:c r="AL2268" t="n">
        <x:v>0</x:v>
      </x:c>
      <x:c r="AM2268" t="n">
        <x:f>CHOOSE('假设'!$B$3,AJ2268,AK2268,AL2268)</x:f>
        <x:v>0</x:v>
      </x:c>
      <x:c r="AN2268" t="n">
        <x:v>1</x:v>
      </x:c>
    </x:row>
    <x:row r="2269" ht="23" customHeight="1">
      <x:c r="A2269" s="11" t="str">
        <x:v>688302.SH</x:v>
      </x:c>
      <x:c r="B2269" s="11" t="str">
        <x:v>五年</x:v>
      </x:c>
      <x:c r="C2269" s="11" t="str">
        <x:v>hp515_obesity_global</x:v>
      </x:c>
      <x:c r="D2269" s="11" t="str">
        <x:v>2037-12-31</x:v>
      </x:c>
      <x:c r="E2269" s="11" t="str">
        <x:v>USD</x:v>
      </x:c>
      <x:c r="F2269" s="11" t="n">
        <x:v>6.228610540725531</x:v>
      </x:c>
      <x:c r="G2269" s="26" t="b">
        <x:v>1</x:v>
      </x:c>
      <x:c r="H2269" s="16" t="n">
        <x:v>0</x:v>
      </x:c>
      <x:c r="I2269" s="16" t="n">
        <x:v>1</x:v>
      </x:c>
      <x:c r="J2269" s="16" t="n">
        <x:v>3.3333333333333335</x:v>
      </x:c>
      <x:c r="K2269" s="11" t="n">
        <x:f>CHOOSE('假设'!$B$3,H2269,I2269,J2269)</x:f>
        <x:v>1</x:v>
      </x:c>
      <x:c r="L2269" s="11" t="n">
        <x:f>K2269*'管线假设'!E499*'管线假设'!F499*'管线假设'!G499*IF(E2269="USD",'管线假设'!I499,1)-AM2269</x:f>
        <x:v>0.17307903999999996</x:v>
      </x:c>
      <x:c r="M2269" s="11" t="n">
        <x:f>'管线假设'!H499</x:f>
        <x:v>0.14</x:v>
      </x:c>
      <x:c r="N2269" s="11" t="n">
        <x:f>IF(G2269,L2269*AN2269/(1+M2269)^F2269,0)</x:f>
        <x:v>0.07652552554369196</x:v>
      </x:c>
      <x:c r="AJ2269" t="n">
        <x:v>0</x:v>
      </x:c>
      <x:c r="AK2269" t="n">
        <x:v>0</x:v>
      </x:c>
      <x:c r="AL2269" t="n">
        <x:v>0</x:v>
      </x:c>
      <x:c r="AM2269" t="n">
        <x:f>CHOOSE('假设'!$B$3,AJ2269,AK2269,AL2269)</x:f>
        <x:v>0</x:v>
      </x:c>
      <x:c r="AN2269" t="n">
        <x:v>1</x:v>
      </x:c>
    </x:row>
    <x:row r="2270" ht="23" customHeight="1">
      <x:c r="A2270" s="11" t="str">
        <x:v>688302.SH</x:v>
      </x:c>
      <x:c r="B2270" s="11" t="str">
        <x:v>五年</x:v>
      </x:c>
      <x:c r="C2270" s="11" t="str">
        <x:v>hp515_obesity_global</x:v>
      </x:c>
      <x:c r="D2270" s="11" t="str">
        <x:v>2038-12-31</x:v>
      </x:c>
      <x:c r="E2270" s="11" t="str">
        <x:v>USD</x:v>
      </x:c>
      <x:c r="F2270" s="11" t="n">
        <x:v>7.227926078028747</x:v>
      </x:c>
      <x:c r="G2270" s="26" t="b">
        <x:v>1</x:v>
      </x:c>
      <x:c r="H2270" s="16" t="n">
        <x:v>0.1</x:v>
      </x:c>
      <x:c r="I2270" s="16" t="n">
        <x:v>1.3333333333333333</x:v>
      </x:c>
      <x:c r="J2270" s="16" t="n">
        <x:v>4</x:v>
      </x:c>
      <x:c r="K2270" s="11" t="n">
        <x:f>CHOOSE('假设'!$B$3,H2270,I2270,J2270)</x:f>
        <x:v>1.3333333333333333</x:v>
      </x:c>
      <x:c r="L2270" s="11" t="n">
        <x:f>K2270*'管线假设'!E499*'管线假设'!F499*'管线假设'!G499*IF(E2270="USD",'管线假设'!I499,1)-AM2270</x:f>
        <x:v>0.23077205333333328</x:v>
      </x:c>
      <x:c r="M2270" s="11" t="n">
        <x:f>'管线假设'!H499</x:f>
        <x:v>0.14</x:v>
      </x:c>
      <x:c r="N2270" s="11" t="n">
        <x:f>IF(G2270,L2270*AN2270/(1+M2270)^F2270,0)</x:f>
        <x:v>0.0895115660391384</x:v>
      </x:c>
      <x:c r="AJ2270" t="n">
        <x:v>0</x:v>
      </x:c>
      <x:c r="AK2270" t="n">
        <x:v>0</x:v>
      </x:c>
      <x:c r="AL2270" t="n">
        <x:v>0</x:v>
      </x:c>
      <x:c r="AM2270" t="n">
        <x:f>CHOOSE('假设'!$B$3,AJ2270,AK2270,AL2270)</x:f>
        <x:v>0</x:v>
      </x:c>
      <x:c r="AN2270" t="n">
        <x:v>1</x:v>
      </x:c>
    </x:row>
    <x:row r="2271" ht="23" customHeight="1">
      <x:c r="A2271" s="11" t="str">
        <x:v>688302.SH</x:v>
      </x:c>
      <x:c r="B2271" s="11" t="str">
        <x:v>五年</x:v>
      </x:c>
      <x:c r="C2271" s="11" t="str">
        <x:v>hp515_obesity_global</x:v>
      </x:c>
      <x:c r="D2271" s="11" t="str">
        <x:v>2039-12-31</x:v>
      </x:c>
      <x:c r="E2271" s="11" t="str">
        <x:v>USD</x:v>
      </x:c>
      <x:c r="F2271" s="11" t="n">
        <x:v>8.227241615331964</x:v>
      </x:c>
      <x:c r="G2271" s="26" t="b">
        <x:v>1</x:v>
      </x:c>
      <x:c r="H2271" s="16" t="n">
        <x:v>0.2</x:v>
      </x:c>
      <x:c r="I2271" s="16" t="n">
        <x:v>1.6666666666666667</x:v>
      </x:c>
      <x:c r="J2271" s="16" t="n">
        <x:v>3.48</x:v>
      </x:c>
      <x:c r="K2271" s="11" t="n">
        <x:f>CHOOSE('假设'!$B$3,H2271,I2271,J2271)</x:f>
        <x:v>1.6666666666666667</x:v>
      </x:c>
      <x:c r="L2271" s="11" t="n">
        <x:f>K2271*'管线假设'!E499*'管线假设'!F499*'管线假设'!G499*IF(E2271="USD",'管线假设'!I499,1)-AM2271</x:f>
        <x:v>0.2884650666666666</x:v>
      </x:c>
      <x:c r="M2271" s="11" t="n">
        <x:f>'管线假设'!H499</x:f>
        <x:v>0.14</x:v>
      </x:c>
      <x:c r="N2271" s="11" t="n">
        <x:f>IF(G2271,L2271*AN2271/(1+M2271)^F2271,0)</x:f>
        <x:v>0.09815744972658377</x:v>
      </x:c>
      <x:c r="AJ2271" t="n">
        <x:v>0</x:v>
      </x:c>
      <x:c r="AK2271" t="n">
        <x:v>0</x:v>
      </x:c>
      <x:c r="AL2271" t="n">
        <x:v>0</x:v>
      </x:c>
      <x:c r="AM2271" t="n">
        <x:f>CHOOSE('假设'!$B$3,AJ2271,AK2271,AL2271)</x:f>
        <x:v>0</x:v>
      </x:c>
      <x:c r="AN2271" t="n">
        <x:v>1</x:v>
      </x:c>
    </x:row>
    <x:row r="2272" ht="23" customHeight="1">
      <x:c r="A2272" s="11" t="str">
        <x:v>688302.SH</x:v>
      </x:c>
      <x:c r="B2272" s="11" t="str">
        <x:v>五年</x:v>
      </x:c>
      <x:c r="C2272" s="11" t="str">
        <x:v>hp515_obesity_global</x:v>
      </x:c>
      <x:c r="D2272" s="11" t="str">
        <x:v>2040-12-31</x:v>
      </x:c>
      <x:c r="E2272" s="11" t="str">
        <x:v>USD</x:v>
      </x:c>
      <x:c r="F2272" s="11" t="n">
        <x:v>9.229295003422314</x:v>
      </x:c>
      <x:c r="G2272" s="26" t="b">
        <x:v>1</x:v>
      </x:c>
      <x:c r="H2272" s="16" t="n">
        <x:v>0.3</x:v>
      </x:c>
      <x:c r="I2272" s="16" t="n">
        <x:v>2</x:v>
      </x:c>
      <x:c r="J2272" s="16" t="n">
        <x:v>2.96</x:v>
      </x:c>
      <x:c r="K2272" s="11" t="n">
        <x:f>CHOOSE('假设'!$B$3,H2272,I2272,J2272)</x:f>
        <x:v>2</x:v>
      </x:c>
      <x:c r="L2272" s="11" t="n">
        <x:f>K2272*'管线假设'!E499*'管线假设'!F499*'管线假设'!G499*IF(E2272="USD",'管线假设'!I499,1)-AM2272</x:f>
        <x:v>0.3461580799999999</x:v>
      </x:c>
      <x:c r="M2272" s="11" t="n">
        <x:f>'管线假设'!H499</x:f>
        <x:v>0.14</x:v>
      </x:c>
      <x:c r="N2272" s="11" t="n">
        <x:f>IF(G2272,L2272*AN2272/(1+M2272)^F2272,0)</x:f>
        <x:v>0.10329583561396975</x:v>
      </x:c>
      <x:c r="AJ2272" t="n">
        <x:v>0</x:v>
      </x:c>
      <x:c r="AK2272" t="n">
        <x:v>0</x:v>
      </x:c>
      <x:c r="AL2272" t="n">
        <x:v>0</x:v>
      </x:c>
      <x:c r="AM2272" t="n">
        <x:f>CHOOSE('假设'!$B$3,AJ2272,AK2272,AL2272)</x:f>
        <x:v>0</x:v>
      </x:c>
      <x:c r="AN2272" t="n">
        <x:v>1</x:v>
      </x:c>
    </x:row>
    <x:row r="2273" ht="23" customHeight="1">
      <x:c r="A2273" s="11" t="str">
        <x:v>688302.SH</x:v>
      </x:c>
      <x:c r="B2273" s="11" t="str">
        <x:v>五年</x:v>
      </x:c>
      <x:c r="C2273" s="11" t="str">
        <x:v>hp515_obesity_global</x:v>
      </x:c>
      <x:c r="D2273" s="11" t="str">
        <x:v>2041-12-31</x:v>
      </x:c>
      <x:c r="E2273" s="11" t="str">
        <x:v>USD</x:v>
      </x:c>
      <x:c r="F2273" s="11" t="n">
        <x:v>10.22861054072553</x:v>
      </x:c>
      <x:c r="G2273" s="26" t="b">
        <x:v>1</x:v>
      </x:c>
      <x:c r="H2273" s="16" t="n">
        <x:v>0.4</x:v>
      </x:c>
      <x:c r="I2273" s="16" t="n">
        <x:v>1.74</x:v>
      </x:c>
      <x:c r="J2273" s="16" t="n">
        <x:v>2.44</x:v>
      </x:c>
      <x:c r="K2273" s="11" t="n">
        <x:f>CHOOSE('假设'!$B$3,H2273,I2273,J2273)</x:f>
        <x:v>1.74</x:v>
      </x:c>
      <x:c r="L2273" s="11" t="n">
        <x:f>K2273*'管线假设'!E499*'管线假设'!F499*'管线假设'!G499*IF(E2273="USD",'管线假设'!I499,1)-AM2273</x:f>
        <x:v>0.3011575295999999</x:v>
      </x:c>
      <x:c r="M2273" s="11" t="n">
        <x:f>'管线假设'!H499</x:f>
        <x:v>0.14</x:v>
      </x:c>
      <x:c r="N2273" s="11" t="n">
        <x:f>IF(G2273,L2273*AN2273/(1+M2273)^F2273,0)</x:f>
        <x:v>0.07883810263826707</x:v>
      </x:c>
      <x:c r="AJ2273" t="n">
        <x:v>0</x:v>
      </x:c>
      <x:c r="AK2273" t="n">
        <x:v>0</x:v>
      </x:c>
      <x:c r="AL2273" t="n">
        <x:v>0</x:v>
      </x:c>
      <x:c r="AM2273" t="n">
        <x:f>CHOOSE('假设'!$B$3,AJ2273,AK2273,AL2273)</x:f>
        <x:v>0</x:v>
      </x:c>
      <x:c r="AN2273" t="n">
        <x:v>1</x:v>
      </x:c>
    </x:row>
    <x:row r="2274" ht="23" customHeight="1">
      <x:c r="A2274" s="11" t="str">
        <x:v>688302.SH</x:v>
      </x:c>
      <x:c r="B2274" s="11" t="str">
        <x:v>五年</x:v>
      </x:c>
      <x:c r="C2274" s="11" t="str">
        <x:v>hp515_obesity_global</x:v>
      </x:c>
      <x:c r="D2274" s="11" t="str">
        <x:v>2042-12-31</x:v>
      </x:c>
      <x:c r="E2274" s="11" t="str">
        <x:v>USD</x:v>
      </x:c>
      <x:c r="F2274" s="11" t="n">
        <x:v>11.227926078028748</x:v>
      </x:c>
      <x:c r="G2274" s="26" t="b">
        <x:v>1</x:v>
      </x:c>
      <x:c r="H2274" s="16" t="n">
        <x:v>0.5</x:v>
      </x:c>
      <x:c r="I2274" s="16" t="n">
        <x:v>1.48</x:v>
      </x:c>
      <x:c r="J2274" s="16" t="n">
        <x:v>1.92</x:v>
      </x:c>
      <x:c r="K2274" s="11" t="n">
        <x:f>CHOOSE('假设'!$B$3,H2274,I2274,J2274)</x:f>
        <x:v>1.48</x:v>
      </x:c>
      <x:c r="L2274" s="11" t="n">
        <x:f>K2274*'管线假设'!E499*'管线假设'!F499*'管线假设'!G499*IF(E2274="USD",'管线假设'!I499,1)-AM2274</x:f>
        <x:v>0.25615697919999997</x:v>
      </x:c>
      <x:c r="M2274" s="11" t="n">
        <x:f>'管线假设'!H499</x:f>
        <x:v>0.14</x:v>
      </x:c>
      <x:c r="N2274" s="11" t="n">
        <x:f>IF(G2274,L2274*AN2274/(1+M2274)^F2274,0)</x:f>
        <x:v>0.058827816461605335</x:v>
      </x:c>
      <x:c r="AJ2274" t="n">
        <x:v>0</x:v>
      </x:c>
      <x:c r="AK2274" t="n">
        <x:v>0</x:v>
      </x:c>
      <x:c r="AL2274" t="n">
        <x:v>0</x:v>
      </x:c>
      <x:c r="AM2274" t="n">
        <x:f>CHOOSE('假设'!$B$3,AJ2274,AK2274,AL2274)</x:f>
        <x:v>0</x:v>
      </x:c>
      <x:c r="AN2274" t="n">
        <x:v>1</x:v>
      </x:c>
    </x:row>
    <x:row r="2275" ht="23" customHeight="1">
      <x:c r="A2275" s="11" t="str">
        <x:v>688302.SH</x:v>
      </x:c>
      <x:c r="B2275" s="11" t="str">
        <x:v>五年</x:v>
      </x:c>
      <x:c r="C2275" s="11" t="str">
        <x:v>hp515_obesity_global</x:v>
      </x:c>
      <x:c r="D2275" s="11" t="str">
        <x:v>2043-12-31</x:v>
      </x:c>
      <x:c r="E2275" s="11" t="str">
        <x:v>USD</x:v>
      </x:c>
      <x:c r="F2275" s="11" t="n">
        <x:v>12.227241615331964</x:v>
      </x:c>
      <x:c r="G2275" s="26" t="b">
        <x:v>1</x:v>
      </x:c>
      <x:c r="H2275" s="16" t="n">
        <x:v>0.435</x:v>
      </x:c>
      <x:c r="I2275" s="16" t="n">
        <x:v>1.22</x:v>
      </x:c>
      <x:c r="J2275" s="16" t="n">
        <x:v>1.4</x:v>
      </x:c>
      <x:c r="K2275" s="11" t="n">
        <x:f>CHOOSE('假设'!$B$3,H2275,I2275,J2275)</x:f>
        <x:v>1.22</x:v>
      </x:c>
      <x:c r="L2275" s="11" t="n">
        <x:f>K2275*'管线假设'!E499*'管线假设'!F499*'管线假设'!G499*IF(E2275="USD",'管线假设'!I499,1)-AM2275</x:f>
        <x:v>0.21115642879999996</x:v>
      </x:c>
      <x:c r="M2275" s="11" t="n">
        <x:f>'管线假设'!H499</x:f>
        <x:v>0.14</x:v>
      </x:c>
      <x:c r="N2275" s="11" t="n">
        <x:f>IF(G2275,L2275*AN2275/(1+M2275)^F2275,0)</x:f>
        <x:v>0.04254170992396843</x:v>
      </x:c>
      <x:c r="AJ2275" t="n">
        <x:v>0</x:v>
      </x:c>
      <x:c r="AK2275" t="n">
        <x:v>0</x:v>
      </x:c>
      <x:c r="AL2275" t="n">
        <x:v>0</x:v>
      </x:c>
      <x:c r="AM2275" t="n">
        <x:f>CHOOSE('假设'!$B$3,AJ2275,AK2275,AL2275)</x:f>
        <x:v>0</x:v>
      </x:c>
      <x:c r="AN2275" t="n">
        <x:v>1</x:v>
      </x:c>
    </x:row>
    <x:row r="2276" ht="23" customHeight="1">
      <x:c r="A2276" s="11" t="str">
        <x:v>688302.SH</x:v>
      </x:c>
      <x:c r="B2276" s="11" t="str">
        <x:v>五年</x:v>
      </x:c>
      <x:c r="C2276" s="11" t="str">
        <x:v>hp515_obesity_global</x:v>
      </x:c>
      <x:c r="D2276" s="11" t="str">
        <x:v>2044-12-31</x:v>
      </x:c>
      <x:c r="E2276" s="11" t="str">
        <x:v>USD</x:v>
      </x:c>
      <x:c r="F2276" s="11" t="n">
        <x:v>13.229295003422314</x:v>
      </x:c>
      <x:c r="G2276" s="26" t="b">
        <x:v>1</x:v>
      </x:c>
      <x:c r="H2276" s="16" t="n">
        <x:v>0.37</x:v>
      </x:c>
      <x:c r="I2276" s="16" t="n">
        <x:v>0.96</x:v>
      </x:c>
      <x:c r="J2276" s="16" t="n">
        <x:v>0.8799999999999999</x:v>
      </x:c>
      <x:c r="K2276" s="11" t="n">
        <x:f>CHOOSE('假设'!$B$3,H2276,I2276,J2276)</x:f>
        <x:v>0.96</x:v>
      </x:c>
      <x:c r="L2276" s="11" t="n">
        <x:f>K2276*'管线假设'!E499*'管线假设'!F499*'管线假设'!G499*IF(E2276="USD",'管线假设'!I499,1)-AM2276</x:f>
        <x:v>0.16615587839999996</x:v>
      </x:c>
      <x:c r="M2276" s="11" t="n">
        <x:f>'管线假设'!H499</x:f>
        <x:v>0.14</x:v>
      </x:c>
      <x:c r="N2276" s="11" t="n">
        <x:f>IF(G2276,L2276*AN2276/(1+M2276)^F2276,0)</x:f>
        <x:v>0.02935652496072226</x:v>
      </x:c>
      <x:c r="AJ2276" t="n">
        <x:v>0</x:v>
      </x:c>
      <x:c r="AK2276" t="n">
        <x:v>0</x:v>
      </x:c>
      <x:c r="AL2276" t="n">
        <x:v>0</x:v>
      </x:c>
      <x:c r="AM2276" t="n">
        <x:f>CHOOSE('假设'!$B$3,AJ2276,AK2276,AL2276)</x:f>
        <x:v>0</x:v>
      </x:c>
      <x:c r="AN2276" t="n">
        <x:v>1</x:v>
      </x:c>
    </x:row>
    <x:row r="2277" ht="23" customHeight="1">
      <x:c r="A2277" s="11" t="str">
        <x:v>688302.SH</x:v>
      </x:c>
      <x:c r="B2277" s="11" t="str">
        <x:v>五年</x:v>
      </x:c>
      <x:c r="C2277" s="11" t="str">
        <x:v>hp515_obesity_global</x:v>
      </x:c>
      <x:c r="D2277" s="11" t="str">
        <x:v>2045-12-31</x:v>
      </x:c>
      <x:c r="E2277" s="11" t="str">
        <x:v>USD</x:v>
      </x:c>
      <x:c r="F2277" s="11" t="n">
        <x:v>14.22861054072553</x:v>
      </x:c>
      <x:c r="G2277" s="26" t="b">
        <x:v>1</x:v>
      </x:c>
      <x:c r="H2277" s="16" t="n">
        <x:v>0.305</x:v>
      </x:c>
      <x:c r="I2277" s="16" t="n">
        <x:v>0.7</x:v>
      </x:c>
      <x:c r="J2277" s="16" t="n">
        <x:v>0.3599999999999999</x:v>
      </x:c>
      <x:c r="K2277" s="11" t="n">
        <x:f>CHOOSE('假设'!$B$3,H2277,I2277,J2277)</x:f>
        <x:v>0.7</x:v>
      </x:c>
      <x:c r="L2277" s="11" t="n">
        <x:f>K2277*'管线假设'!E499*'管线假设'!F499*'管线假设'!G499*IF(E2277="USD",'管线假设'!I499,1)-AM2277</x:f>
        <x:v>0.12115532799999996</x:v>
      </x:c>
      <x:c r="M2277" s="11" t="n">
        <x:f>'管线假设'!H499</x:f>
        <x:v>0.14</x:v>
      </x:c>
      <x:c r="N2277" s="11" t="n">
        <x:f>IF(G2277,L2277*AN2277/(1+M2277)^F2277,0)</x:f>
        <x:v>0.018778701134588068</x:v>
      </x:c>
      <x:c r="AJ2277" t="n">
        <x:v>0</x:v>
      </x:c>
      <x:c r="AK2277" t="n">
        <x:v>0</x:v>
      </x:c>
      <x:c r="AL2277" t="n">
        <x:v>0</x:v>
      </x:c>
      <x:c r="AM2277" t="n">
        <x:f>CHOOSE('假设'!$B$3,AJ2277,AK2277,AL2277)</x:f>
        <x:v>0</x:v>
      </x:c>
      <x:c r="AN2277" t="n">
        <x:v>1</x:v>
      </x:c>
    </x:row>
    <x:row r="2278" ht="23" customHeight="1">
      <x:c r="A2278" s="11" t="str">
        <x:v>688302.SH</x:v>
      </x:c>
      <x:c r="B2278" s="11" t="str">
        <x:v>五年</x:v>
      </x:c>
      <x:c r="C2278" s="11" t="str">
        <x:v>hp570_global</x:v>
      </x:c>
      <x:c r="D2278" s="11" t="str">
        <x:v>2027-12-31</x:v>
      </x:c>
      <x:c r="E2278" s="11" t="str">
        <x:v>USD</x:v>
      </x:c>
      <x:c r="F2278" s="11" t="n">
        <x:v>-3.7727583846680357</x:v>
      </x:c>
      <x:c r="G2278" s="26" t="b">
        <x:v>0</x:v>
      </x:c>
      <x:c r="H2278" s="16" t="n">
        <x:v>0</x:v>
      </x:c>
      <x:c r="I2278" s="16" t="n">
        <x:v>0</x:v>
      </x:c>
      <x:c r="J2278" s="16" t="n">
        <x:v>0</x:v>
      </x:c>
      <x:c r="K2278" s="11" t="n">
        <x:f>CHOOSE('假设'!$B$3,H2278,I2278,J2278)</x:f>
        <x:v>0</x:v>
      </x:c>
      <x:c r="L2278" s="11" t="n">
        <x:f>K2278*'管线假设'!E503*'管线假设'!F503*'管线假设'!G503*IF(E2278="USD",'管线假设'!I503,1)-AM2278</x:f>
        <x:v>0</x:v>
      </x:c>
      <x:c r="M2278" s="11" t="n">
        <x:f>'管线假设'!H503</x:f>
        <x:v>0.14</x:v>
      </x:c>
      <x:c r="N2278" s="11" t="n">
        <x:f>IF(G2278,L2278*AN2278/(1+M2278)^F2278,0)</x:f>
        <x:v>0</x:v>
      </x:c>
      <x:c r="AJ2278" t="n">
        <x:v>0</x:v>
      </x:c>
      <x:c r="AK2278" t="n">
        <x:v>0</x:v>
      </x:c>
      <x:c r="AL2278" t="n">
        <x:v>0</x:v>
      </x:c>
      <x:c r="AM2278" t="n">
        <x:f>CHOOSE('假设'!$B$3,AJ2278,AK2278,AL2278)</x:f>
        <x:v>0</x:v>
      </x:c>
      <x:c r="AN2278" t="n">
        <x:v>1</x:v>
      </x:c>
    </x:row>
    <x:row r="2279" ht="23" customHeight="1">
      <x:c r="A2279" s="11" t="str">
        <x:v>688302.SH</x:v>
      </x:c>
      <x:c r="B2279" s="11" t="str">
        <x:v>五年</x:v>
      </x:c>
      <x:c r="C2279" s="11" t="str">
        <x:v>hp570_global</x:v>
      </x:c>
      <x:c r="D2279" s="11" t="str">
        <x:v>2028-12-31</x:v>
      </x:c>
      <x:c r="E2279" s="11" t="str">
        <x:v>USD</x:v>
      </x:c>
      <x:c r="F2279" s="11" t="n">
        <x:v>-2.7707049965776864</x:v>
      </x:c>
      <x:c r="G2279" s="26" t="b">
        <x:v>0</x:v>
      </x:c>
      <x:c r="H2279" s="16" t="n">
        <x:v>0</x:v>
      </x:c>
      <x:c r="I2279" s="16" t="n">
        <x:v>0</x:v>
      </x:c>
      <x:c r="J2279" s="16" t="n">
        <x:v>0</x:v>
      </x:c>
      <x:c r="K2279" s="11" t="n">
        <x:f>CHOOSE('假设'!$B$3,H2279,I2279,J2279)</x:f>
        <x:v>0</x:v>
      </x:c>
      <x:c r="L2279" s="11" t="n">
        <x:f>K2279*'管线假设'!E503*'管线假设'!F503*'管线假设'!G503*IF(E2279="USD",'管线假设'!I503,1)-AM2279</x:f>
        <x:v>0</x:v>
      </x:c>
      <x:c r="M2279" s="11" t="n">
        <x:f>'管线假设'!H503</x:f>
        <x:v>0.14</x:v>
      </x:c>
      <x:c r="N2279" s="11" t="n">
        <x:f>IF(G2279,L2279*AN2279/(1+M2279)^F2279,0)</x:f>
        <x:v>0</x:v>
      </x:c>
      <x:c r="AJ2279" t="n">
        <x:v>0</x:v>
      </x:c>
      <x:c r="AK2279" t="n">
        <x:v>0</x:v>
      </x:c>
      <x:c r="AL2279" t="n">
        <x:v>0</x:v>
      </x:c>
      <x:c r="AM2279" t="n">
        <x:f>CHOOSE('假设'!$B$3,AJ2279,AK2279,AL2279)</x:f>
        <x:v>0</x:v>
      </x:c>
      <x:c r="AN2279" t="n">
        <x:v>1</x:v>
      </x:c>
    </x:row>
    <x:row r="2280" ht="23" customHeight="1">
      <x:c r="A2280" s="11" t="str">
        <x:v>688302.SH</x:v>
      </x:c>
      <x:c r="B2280" s="11" t="str">
        <x:v>五年</x:v>
      </x:c>
      <x:c r="C2280" s="11" t="str">
        <x:v>hp570_global</x:v>
      </x:c>
      <x:c r="D2280" s="11" t="str">
        <x:v>2029-12-31</x:v>
      </x:c>
      <x:c r="E2280" s="11" t="str">
        <x:v>USD</x:v>
      </x:c>
      <x:c r="F2280" s="11" t="n">
        <x:v>-1.7713894592744694</x:v>
      </x:c>
      <x:c r="G2280" s="26" t="b">
        <x:v>0</x:v>
      </x:c>
      <x:c r="H2280" s="16" t="n">
        <x:v>0</x:v>
      </x:c>
      <x:c r="I2280" s="16" t="n">
        <x:v>0</x:v>
      </x:c>
      <x:c r="J2280" s="16" t="n">
        <x:v>0</x:v>
      </x:c>
      <x:c r="K2280" s="11" t="n">
        <x:f>CHOOSE('假设'!$B$3,H2280,I2280,J2280)</x:f>
        <x:v>0</x:v>
      </x:c>
      <x:c r="L2280" s="11" t="n">
        <x:f>K2280*'管线假设'!E503*'管线假设'!F503*'管线假设'!G503*IF(E2280="USD",'管线假设'!I503,1)-AM2280</x:f>
        <x:v>0</x:v>
      </x:c>
      <x:c r="M2280" s="11" t="n">
        <x:f>'管线假设'!H503</x:f>
        <x:v>0.14</x:v>
      </x:c>
      <x:c r="N2280" s="11" t="n">
        <x:f>IF(G2280,L2280*AN2280/(1+M2280)^F2280,0)</x:f>
        <x:v>0</x:v>
      </x:c>
      <x:c r="AJ2280" t="n">
        <x:v>0</x:v>
      </x:c>
      <x:c r="AK2280" t="n">
        <x:v>0</x:v>
      </x:c>
      <x:c r="AL2280" t="n">
        <x:v>0</x:v>
      </x:c>
      <x:c r="AM2280" t="n">
        <x:f>CHOOSE('假设'!$B$3,AJ2280,AK2280,AL2280)</x:f>
        <x:v>0</x:v>
      </x:c>
      <x:c r="AN2280" t="n">
        <x:v>1</x:v>
      </x:c>
    </x:row>
    <x:row r="2281" ht="23" customHeight="1">
      <x:c r="A2281" s="11" t="str">
        <x:v>688302.SH</x:v>
      </x:c>
      <x:c r="B2281" s="11" t="str">
        <x:v>五年</x:v>
      </x:c>
      <x:c r="C2281" s="11" t="str">
        <x:v>hp570_global</x:v>
      </x:c>
      <x:c r="D2281" s="11" t="str">
        <x:v>2030-12-31</x:v>
      </x:c>
      <x:c r="E2281" s="11" t="str">
        <x:v>USD</x:v>
      </x:c>
      <x:c r="F2281" s="11" t="n">
        <x:v>-0.7720739219712526</x:v>
      </x:c>
      <x:c r="G2281" s="26" t="b">
        <x:v>0</x:v>
      </x:c>
      <x:c r="H2281" s="16" t="n">
        <x:v>0</x:v>
      </x:c>
      <x:c r="I2281" s="16" t="n">
        <x:v>0</x:v>
      </x:c>
      <x:c r="J2281" s="16" t="n">
        <x:v>0</x:v>
      </x:c>
      <x:c r="K2281" s="11" t="n">
        <x:f>CHOOSE('假设'!$B$3,H2281,I2281,J2281)</x:f>
        <x:v>0</x:v>
      </x:c>
      <x:c r="L2281" s="11" t="n">
        <x:f>K2281*'管线假设'!E503*'管线假设'!F503*'管线假设'!G503*IF(E2281="USD",'管线假设'!I503,1)-AM2281</x:f>
        <x:v>0</x:v>
      </x:c>
      <x:c r="M2281" s="11" t="n">
        <x:f>'管线假设'!H503</x:f>
        <x:v>0.14</x:v>
      </x:c>
      <x:c r="N2281" s="11" t="n">
        <x:f>IF(G2281,L2281*AN2281/(1+M2281)^F2281,0)</x:f>
        <x:v>0</x:v>
      </x:c>
      <x:c r="AJ2281" t="n">
        <x:v>0</x:v>
      </x:c>
      <x:c r="AK2281" t="n">
        <x:v>0</x:v>
      </x:c>
      <x:c r="AL2281" t="n">
        <x:v>0</x:v>
      </x:c>
      <x:c r="AM2281" t="n">
        <x:f>CHOOSE('假设'!$B$3,AJ2281,AK2281,AL2281)</x:f>
        <x:v>0</x:v>
      </x:c>
      <x:c r="AN2281" t="n">
        <x:v>1</x:v>
      </x:c>
    </x:row>
    <x:row r="2282" ht="23" customHeight="1">
      <x:c r="A2282" s="11" t="str">
        <x:v>688302.SH</x:v>
      </x:c>
      <x:c r="B2282" s="11" t="str">
        <x:v>五年</x:v>
      </x:c>
      <x:c r="C2282" s="11" t="str">
        <x:v>hp570_global</x:v>
      </x:c>
      <x:c r="D2282" s="11" t="str">
        <x:v>2031-12-31</x:v>
      </x:c>
      <x:c r="E2282" s="11" t="str">
        <x:v>USD</x:v>
      </x:c>
      <x:c r="F2282" s="11" t="n">
        <x:v>0.2272416153319644</x:v>
      </x:c>
      <x:c r="G2282" s="26" t="b">
        <x:v>1</x:v>
      </x:c>
      <x:c r="H2282" s="16" t="n">
        <x:v>0</x:v>
      </x:c>
      <x:c r="I2282" s="16" t="n">
        <x:v>0</x:v>
      </x:c>
      <x:c r="J2282" s="16" t="n">
        <x:v>0</x:v>
      </x:c>
      <x:c r="K2282" s="11" t="n">
        <x:f>CHOOSE('假设'!$B$3,H2282,I2282,J2282)</x:f>
        <x:v>0</x:v>
      </x:c>
      <x:c r="L2282" s="11" t="n">
        <x:f>K2282*'管线假设'!E503*'管线假设'!F503*'管线假设'!G503*IF(E2282="USD",'管线假设'!I503,1)-AM2282</x:f>
        <x:v>0</x:v>
      </x:c>
      <x:c r="M2282" s="11" t="n">
        <x:f>'管线假设'!H503</x:f>
        <x:v>0.14</x:v>
      </x:c>
      <x:c r="N2282" s="11" t="n">
        <x:f>IF(G2282,L2282*AN2282/(1+M2282)^F2282,0)</x:f>
        <x:v>0</x:v>
      </x:c>
      <x:c r="AJ2282" t="n">
        <x:v>0</x:v>
      </x:c>
      <x:c r="AK2282" t="n">
        <x:v>0</x:v>
      </x:c>
      <x:c r="AL2282" t="n">
        <x:v>0</x:v>
      </x:c>
      <x:c r="AM2282" t="n">
        <x:f>CHOOSE('假设'!$B$3,AJ2282,AK2282,AL2282)</x:f>
        <x:v>0</x:v>
      </x:c>
      <x:c r="AN2282" t="n">
        <x:v>1</x:v>
      </x:c>
    </x:row>
    <x:row r="2283" ht="23" customHeight="1">
      <x:c r="A2283" s="11" t="str">
        <x:v>688302.SH</x:v>
      </x:c>
      <x:c r="B2283" s="11" t="str">
        <x:v>五年</x:v>
      </x:c>
      <x:c r="C2283" s="11" t="str">
        <x:v>hp570_global</x:v>
      </x:c>
      <x:c r="D2283" s="11" t="str">
        <x:v>2032-12-31</x:v>
      </x:c>
      <x:c r="E2283" s="11" t="str">
        <x:v>USD</x:v>
      </x:c>
      <x:c r="F2283" s="11" t="n">
        <x:v>1.2292950034223136</x:v>
      </x:c>
      <x:c r="G2283" s="26" t="b">
        <x:v>1</x:v>
      </x:c>
      <x:c r="H2283" s="16" t="n">
        <x:v>0</x:v>
      </x:c>
      <x:c r="I2283" s="16" t="n">
        <x:v>0</x:v>
      </x:c>
      <x:c r="J2283" s="16" t="n">
        <x:v>0</x:v>
      </x:c>
      <x:c r="K2283" s="11" t="n">
        <x:f>CHOOSE('假设'!$B$3,H2283,I2283,J2283)</x:f>
        <x:v>0</x:v>
      </x:c>
      <x:c r="L2283" s="11" t="n">
        <x:f>K2283*'管线假设'!E503*'管线假设'!F503*'管线假设'!G503*IF(E2283="USD",'管线假设'!I503,1)-AM2283</x:f>
        <x:v>0</x:v>
      </x:c>
      <x:c r="M2283" s="11" t="n">
        <x:f>'管线假设'!H503</x:f>
        <x:v>0.14</x:v>
      </x:c>
      <x:c r="N2283" s="11" t="n">
        <x:f>IF(G2283,L2283*AN2283/(1+M2283)^F2283,0)</x:f>
        <x:v>0</x:v>
      </x:c>
      <x:c r="AJ2283" t="n">
        <x:v>0</x:v>
      </x:c>
      <x:c r="AK2283" t="n">
        <x:v>0</x:v>
      </x:c>
      <x:c r="AL2283" t="n">
        <x:v>0</x:v>
      </x:c>
      <x:c r="AM2283" t="n">
        <x:f>CHOOSE('假设'!$B$3,AJ2283,AK2283,AL2283)</x:f>
        <x:v>0</x:v>
      </x:c>
      <x:c r="AN2283" t="n">
        <x:v>1</x:v>
      </x:c>
    </x:row>
    <x:row r="2284" ht="23" customHeight="1">
      <x:c r="A2284" s="11" t="str">
        <x:v>688302.SH</x:v>
      </x:c>
      <x:c r="B2284" s="11" t="str">
        <x:v>五年</x:v>
      </x:c>
      <x:c r="C2284" s="11" t="str">
        <x:v>hp570_global</x:v>
      </x:c>
      <x:c r="D2284" s="11" t="str">
        <x:v>2033-12-31</x:v>
      </x:c>
      <x:c r="E2284" s="11" t="str">
        <x:v>USD</x:v>
      </x:c>
      <x:c r="F2284" s="11" t="n">
        <x:v>2.2286105407255303</x:v>
      </x:c>
      <x:c r="G2284" s="26" t="b">
        <x:v>1</x:v>
      </x:c>
      <x:c r="H2284" s="16" t="n">
        <x:v>0</x:v>
      </x:c>
      <x:c r="I2284" s="16" t="n">
        <x:v>0</x:v>
      </x:c>
      <x:c r="J2284" s="16" t="n">
        <x:v>0</x:v>
      </x:c>
      <x:c r="K2284" s="11" t="n">
        <x:f>CHOOSE('假设'!$B$3,H2284,I2284,J2284)</x:f>
        <x:v>0</x:v>
      </x:c>
      <x:c r="L2284" s="11" t="n">
        <x:f>K2284*'管线假设'!E503*'管线假设'!F503*'管线假设'!G503*IF(E2284="USD",'管线假设'!I503,1)-AM2284</x:f>
        <x:v>0</x:v>
      </x:c>
      <x:c r="M2284" s="11" t="n">
        <x:f>'管线假设'!H503</x:f>
        <x:v>0.14</x:v>
      </x:c>
      <x:c r="N2284" s="11" t="n">
        <x:f>IF(G2284,L2284*AN2284/(1+M2284)^F2284,0)</x:f>
        <x:v>0</x:v>
      </x:c>
      <x:c r="AJ2284" t="n">
        <x:v>0</x:v>
      </x:c>
      <x:c r="AK2284" t="n">
        <x:v>0</x:v>
      </x:c>
      <x:c r="AL2284" t="n">
        <x:v>0</x:v>
      </x:c>
      <x:c r="AM2284" t="n">
        <x:f>CHOOSE('假设'!$B$3,AJ2284,AK2284,AL2284)</x:f>
        <x:v>0</x:v>
      </x:c>
      <x:c r="AN2284" t="n">
        <x:v>1</x:v>
      </x:c>
    </x:row>
    <x:row r="2285" ht="23" customHeight="1">
      <x:c r="A2285" s="11" t="str">
        <x:v>688302.SH</x:v>
      </x:c>
      <x:c r="B2285" s="11" t="str">
        <x:v>五年</x:v>
      </x:c>
      <x:c r="C2285" s="11" t="str">
        <x:v>hp570_global</x:v>
      </x:c>
      <x:c r="D2285" s="11" t="str">
        <x:v>2034-12-31</x:v>
      </x:c>
      <x:c r="E2285" s="11" t="str">
        <x:v>USD</x:v>
      </x:c>
      <x:c r="F2285" s="11" t="n">
        <x:v>3.2279260780287475</x:v>
      </x:c>
      <x:c r="G2285" s="26" t="b">
        <x:v>1</x:v>
      </x:c>
      <x:c r="H2285" s="16" t="n">
        <x:v>0</x:v>
      </x:c>
      <x:c r="I2285" s="16" t="n">
        <x:v>0</x:v>
      </x:c>
      <x:c r="J2285" s="16" t="n">
        <x:v>0.6666666666666666</x:v>
      </x:c>
      <x:c r="K2285" s="11" t="n">
        <x:f>CHOOSE('假设'!$B$3,H2285,I2285,J2285)</x:f>
        <x:v>0</x:v>
      </x:c>
      <x:c r="L2285" s="11" t="n">
        <x:f>K2285*'管线假设'!E503*'管线假设'!F503*'管线假设'!G503*IF(E2285="USD",'管线假设'!I503,1)-AM2285</x:f>
        <x:v>0</x:v>
      </x:c>
      <x:c r="M2285" s="11" t="n">
        <x:f>'管线假设'!H503</x:f>
        <x:v>0.14</x:v>
      </x:c>
      <x:c r="N2285" s="11" t="n">
        <x:f>IF(G2285,L2285*AN2285/(1+M2285)^F2285,0)</x:f>
        <x:v>0</x:v>
      </x:c>
      <x:c r="AJ2285" t="n">
        <x:v>0</x:v>
      </x:c>
      <x:c r="AK2285" t="n">
        <x:v>0</x:v>
      </x:c>
      <x:c r="AL2285" t="n">
        <x:v>0</x:v>
      </x:c>
      <x:c r="AM2285" t="n">
        <x:f>CHOOSE('假设'!$B$3,AJ2285,AK2285,AL2285)</x:f>
        <x:v>0</x:v>
      </x:c>
      <x:c r="AN2285" t="n">
        <x:v>1</x:v>
      </x:c>
    </x:row>
    <x:row r="2286" ht="23" customHeight="1">
      <x:c r="A2286" s="11" t="str">
        <x:v>688302.SH</x:v>
      </x:c>
      <x:c r="B2286" s="11" t="str">
        <x:v>五年</x:v>
      </x:c>
      <x:c r="C2286" s="11" t="str">
        <x:v>hp570_global</x:v>
      </x:c>
      <x:c r="D2286" s="11" t="str">
        <x:v>2035-12-31</x:v>
      </x:c>
      <x:c r="E2286" s="11" t="str">
        <x:v>USD</x:v>
      </x:c>
      <x:c r="F2286" s="11" t="n">
        <x:v>4.227241615331964</x:v>
      </x:c>
      <x:c r="G2286" s="26" t="b">
        <x:v>1</x:v>
      </x:c>
      <x:c r="H2286" s="16" t="n">
        <x:v>0</x:v>
      </x:c>
      <x:c r="I2286" s="16" t="n">
        <x:v>0</x:v>
      </x:c>
      <x:c r="J2286" s="16" t="n">
        <x:v>1.3333333333333333</x:v>
      </x:c>
      <x:c r="K2286" s="11" t="n">
        <x:f>CHOOSE('假设'!$B$3,H2286,I2286,J2286)</x:f>
        <x:v>0</x:v>
      </x:c>
      <x:c r="L2286" s="11" t="n">
        <x:f>K2286*'管线假设'!E503*'管线假设'!F503*'管线假设'!G503*IF(E2286="USD",'管线假设'!I503,1)-AM2286</x:f>
        <x:v>0</x:v>
      </x:c>
      <x:c r="M2286" s="11" t="n">
        <x:f>'管线假设'!H503</x:f>
        <x:v>0.14</x:v>
      </x:c>
      <x:c r="N2286" s="11" t="n">
        <x:f>IF(G2286,L2286*AN2286/(1+M2286)^F2286,0)</x:f>
        <x:v>0</x:v>
      </x:c>
      <x:c r="AJ2286" t="n">
        <x:v>0</x:v>
      </x:c>
      <x:c r="AK2286" t="n">
        <x:v>0</x:v>
      </x:c>
      <x:c r="AL2286" t="n">
        <x:v>0</x:v>
      </x:c>
      <x:c r="AM2286" t="n">
        <x:f>CHOOSE('假设'!$B$3,AJ2286,AK2286,AL2286)</x:f>
        <x:v>0</x:v>
      </x:c>
      <x:c r="AN2286" t="n">
        <x:v>1</x:v>
      </x:c>
    </x:row>
    <x:row r="2287" ht="23" customHeight="1">
      <x:c r="A2287" s="11" t="str">
        <x:v>688302.SH</x:v>
      </x:c>
      <x:c r="B2287" s="11" t="str">
        <x:v>五年</x:v>
      </x:c>
      <x:c r="C2287" s="11" t="str">
        <x:v>hp570_global</x:v>
      </x:c>
      <x:c r="D2287" s="11" t="str">
        <x:v>2036-12-31</x:v>
      </x:c>
      <x:c r="E2287" s="11" t="str">
        <x:v>USD</x:v>
      </x:c>
      <x:c r="F2287" s="11" t="n">
        <x:v>5.229295003422314</x:v>
      </x:c>
      <x:c r="G2287" s="26" t="b">
        <x:v>1</x:v>
      </x:c>
      <x:c r="H2287" s="16" t="n">
        <x:v>0</x:v>
      </x:c>
      <x:c r="I2287" s="16" t="n">
        <x:v>0.3333333333333333</x:v>
      </x:c>
      <x:c r="J2287" s="16" t="n">
        <x:v>2</x:v>
      </x:c>
      <x:c r="K2287" s="11" t="n">
        <x:f>CHOOSE('假设'!$B$3,H2287,I2287,J2287)</x:f>
        <x:v>0.3333333333333333</x:v>
      </x:c>
      <x:c r="L2287" s="11" t="n">
        <x:f>K2287*'管线假设'!E503*'管线假设'!F503*'管线假设'!G503*IF(E2287="USD",'管线假设'!I503,1)-AM2287</x:f>
        <x:v>0.05364855466666667</x:v>
      </x:c>
      <x:c r="M2287" s="11" t="n">
        <x:f>'管线假设'!H503</x:f>
        <x:v>0.14</x:v>
      </x:c>
      <x:c r="N2287" s="11" t="n">
        <x:f>IF(G2287,L2287*AN2287/(1+M2287)^F2287,0)</x:f>
        <x:v>0.027038697773781026</x:v>
      </x:c>
      <x:c r="AJ2287" t="n">
        <x:v>0</x:v>
      </x:c>
      <x:c r="AK2287" t="n">
        <x:v>0</x:v>
      </x:c>
      <x:c r="AL2287" t="n">
        <x:v>0</x:v>
      </x:c>
      <x:c r="AM2287" t="n">
        <x:f>CHOOSE('假设'!$B$3,AJ2287,AK2287,AL2287)</x:f>
        <x:v>0</x:v>
      </x:c>
      <x:c r="AN2287" t="n">
        <x:v>1</x:v>
      </x:c>
    </x:row>
    <x:row r="2288" ht="23" customHeight="1">
      <x:c r="A2288" s="11" t="str">
        <x:v>688302.SH</x:v>
      </x:c>
      <x:c r="B2288" s="11" t="str">
        <x:v>五年</x:v>
      </x:c>
      <x:c r="C2288" s="11" t="str">
        <x:v>hp570_global</x:v>
      </x:c>
      <x:c r="D2288" s="11" t="str">
        <x:v>2037-12-31</x:v>
      </x:c>
      <x:c r="E2288" s="11" t="str">
        <x:v>USD</x:v>
      </x:c>
      <x:c r="F2288" s="11" t="n">
        <x:v>6.228610540725531</x:v>
      </x:c>
      <x:c r="G2288" s="26" t="b">
        <x:v>1</x:v>
      </x:c>
      <x:c r="H2288" s="16" t="n">
        <x:v>0</x:v>
      </x:c>
      <x:c r="I2288" s="16" t="n">
        <x:v>0.6666666666666666</x:v>
      </x:c>
      <x:c r="J2288" s="16" t="n">
        <x:v>2.6666666666666665</x:v>
      </x:c>
      <x:c r="K2288" s="11" t="n">
        <x:f>CHOOSE('假设'!$B$3,H2288,I2288,J2288)</x:f>
        <x:v>0.6666666666666666</x:v>
      </x:c>
      <x:c r="L2288" s="11" t="n">
        <x:f>K2288*'管线假设'!E503*'管线假设'!F503*'管线假设'!G503*IF(E2288="USD",'管线假设'!I503,1)-AM2288</x:f>
        <x:v>0.10729710933333333</x:v>
      </x:c>
      <x:c r="M2288" s="11" t="n">
        <x:f>'管线假设'!H503</x:f>
        <x:v>0.14</x:v>
      </x:c>
      <x:c r="N2288" s="11" t="n">
        <x:f>IF(G2288,L2288*AN2288/(1+M2288)^F2288,0)</x:f>
        <x:v>0.04744056635079737</x:v>
      </x:c>
      <x:c r="AJ2288" t="n">
        <x:v>0</x:v>
      </x:c>
      <x:c r="AK2288" t="n">
        <x:v>0</x:v>
      </x:c>
      <x:c r="AL2288" t="n">
        <x:v>0</x:v>
      </x:c>
      <x:c r="AM2288" t="n">
        <x:f>CHOOSE('假设'!$B$3,AJ2288,AK2288,AL2288)</x:f>
        <x:v>0</x:v>
      </x:c>
      <x:c r="AN2288" t="n">
        <x:v>1</x:v>
      </x:c>
    </x:row>
    <x:row r="2289" ht="23" customHeight="1">
      <x:c r="A2289" s="11" t="str">
        <x:v>688302.SH</x:v>
      </x:c>
      <x:c r="B2289" s="11" t="str">
        <x:v>五年</x:v>
      </x:c>
      <x:c r="C2289" s="11" t="str">
        <x:v>hp570_global</x:v>
      </x:c>
      <x:c r="D2289" s="11" t="str">
        <x:v>2038-12-31</x:v>
      </x:c>
      <x:c r="E2289" s="11" t="str">
        <x:v>USD</x:v>
      </x:c>
      <x:c r="F2289" s="11" t="n">
        <x:v>7.227926078028747</x:v>
      </x:c>
      <x:c r="G2289" s="26" t="b">
        <x:v>1</x:v>
      </x:c>
      <x:c r="H2289" s="16" t="n">
        <x:v>0</x:v>
      </x:c>
      <x:c r="I2289" s="16" t="n">
        <x:v>1</x:v>
      </x:c>
      <x:c r="J2289" s="16" t="n">
        <x:v>3.3333333333333335</x:v>
      </x:c>
      <x:c r="K2289" s="11" t="n">
        <x:f>CHOOSE('假设'!$B$3,H2289,I2289,J2289)</x:f>
        <x:v>1</x:v>
      </x:c>
      <x:c r="L2289" s="11" t="n">
        <x:f>K2289*'管线假设'!E503*'管线假设'!F503*'管线假设'!G503*IF(E2289="USD",'管线假设'!I503,1)-AM2289</x:f>
        <x:v>0.16094566400000002</x:v>
      </x:c>
      <x:c r="M2289" s="11" t="n">
        <x:f>'管线假设'!H503</x:f>
        <x:v>0.14</x:v>
      </x:c>
      <x:c r="N2289" s="11" t="n">
        <x:f>IF(G2289,L2289*AN2289/(1+M2289)^F2289,0)</x:f>
        <x:v>0.0624273963149249</x:v>
      </x:c>
      <x:c r="AJ2289" t="n">
        <x:v>0</x:v>
      </x:c>
      <x:c r="AK2289" t="n">
        <x:v>0</x:v>
      </x:c>
      <x:c r="AL2289" t="n">
        <x:v>0</x:v>
      </x:c>
      <x:c r="AM2289" t="n">
        <x:f>CHOOSE('假设'!$B$3,AJ2289,AK2289,AL2289)</x:f>
        <x:v>0</x:v>
      </x:c>
      <x:c r="AN2289" t="n">
        <x:v>1</x:v>
      </x:c>
    </x:row>
    <x:row r="2290" ht="23" customHeight="1">
      <x:c r="A2290" s="11" t="str">
        <x:v>688302.SH</x:v>
      </x:c>
      <x:c r="B2290" s="11" t="str">
        <x:v>五年</x:v>
      </x:c>
      <x:c r="C2290" s="11" t="str">
        <x:v>hp570_global</x:v>
      </x:c>
      <x:c r="D2290" s="11" t="str">
        <x:v>2039-12-31</x:v>
      </x:c>
      <x:c r="E2290" s="11" t="str">
        <x:v>USD</x:v>
      </x:c>
      <x:c r="F2290" s="11" t="n">
        <x:v>8.227241615331964</x:v>
      </x:c>
      <x:c r="G2290" s="26" t="b">
        <x:v>1</x:v>
      </x:c>
      <x:c r="H2290" s="16" t="n">
        <x:v>0.1</x:v>
      </x:c>
      <x:c r="I2290" s="16" t="n">
        <x:v>1.3333333333333333</x:v>
      </x:c>
      <x:c r="J2290" s="16" t="n">
        <x:v>4</x:v>
      </x:c>
      <x:c r="K2290" s="11" t="n">
        <x:f>CHOOSE('假设'!$B$3,H2290,I2290,J2290)</x:f>
        <x:v>1.3333333333333333</x:v>
      </x:c>
      <x:c r="L2290" s="11" t="n">
        <x:f>K2290*'管线假设'!E503*'管线假设'!F503*'管线假设'!G503*IF(E2290="USD",'管线假设'!I503,1)-AM2290</x:f>
        <x:v>0.21459421866666667</x:v>
      </x:c>
      <x:c r="M2290" s="11" t="n">
        <x:f>'管线假设'!H503</x:f>
        <x:v>0.14</x:v>
      </x:c>
      <x:c r="N2290" s="11" t="n">
        <x:f>IF(G2290,L2290*AN2290/(1+M2290)^F2290,0)</x:f>
        <x:v>0.07302104713680709</x:v>
      </x:c>
      <x:c r="AJ2290" t="n">
        <x:v>0</x:v>
      </x:c>
      <x:c r="AK2290" t="n">
        <x:v>0</x:v>
      </x:c>
      <x:c r="AL2290" t="n">
        <x:v>0</x:v>
      </x:c>
      <x:c r="AM2290" t="n">
        <x:f>CHOOSE('假设'!$B$3,AJ2290,AK2290,AL2290)</x:f>
        <x:v>0</x:v>
      </x:c>
      <x:c r="AN2290" t="n">
        <x:v>1</x:v>
      </x:c>
    </x:row>
    <x:row r="2291" ht="23" customHeight="1">
      <x:c r="A2291" s="11" t="str">
        <x:v>688302.SH</x:v>
      </x:c>
      <x:c r="B2291" s="11" t="str">
        <x:v>五年</x:v>
      </x:c>
      <x:c r="C2291" s="11" t="str">
        <x:v>hp570_global</x:v>
      </x:c>
      <x:c r="D2291" s="11" t="str">
        <x:v>2040-12-31</x:v>
      </x:c>
      <x:c r="E2291" s="11" t="str">
        <x:v>USD</x:v>
      </x:c>
      <x:c r="F2291" s="11" t="n">
        <x:v>9.229295003422314</x:v>
      </x:c>
      <x:c r="G2291" s="26" t="b">
        <x:v>1</x:v>
      </x:c>
      <x:c r="H2291" s="16" t="n">
        <x:v>0.2</x:v>
      </x:c>
      <x:c r="I2291" s="16" t="n">
        <x:v>1.6666666666666667</x:v>
      </x:c>
      <x:c r="J2291" s="16" t="n">
        <x:v>3.48</x:v>
      </x:c>
      <x:c r="K2291" s="11" t="n">
        <x:f>CHOOSE('假设'!$B$3,H2291,I2291,J2291)</x:f>
        <x:v>1.6666666666666667</x:v>
      </x:c>
      <x:c r="L2291" s="11" t="n">
        <x:f>K2291*'管线假设'!E503*'管线假设'!F503*'管线假设'!G503*IF(E2291="USD",'管线假设'!I503,1)-AM2291</x:f>
        <x:v>0.26824277333333335</x:v>
      </x:c>
      <x:c r="M2291" s="11" t="n">
        <x:f>'管线假设'!H503</x:f>
        <x:v>0.14</x:v>
      </x:c>
      <x:c r="N2291" s="11" t="n">
        <x:f>IF(G2291,L2291*AN2291/(1+M2291)^F2291,0)</x:f>
        <x:v>0.08004539838814498</x:v>
      </x:c>
      <x:c r="AJ2291" t="n">
        <x:v>0</x:v>
      </x:c>
      <x:c r="AK2291" t="n">
        <x:v>0</x:v>
      </x:c>
      <x:c r="AL2291" t="n">
        <x:v>0</x:v>
      </x:c>
      <x:c r="AM2291" t="n">
        <x:f>CHOOSE('假设'!$B$3,AJ2291,AK2291,AL2291)</x:f>
        <x:v>0</x:v>
      </x:c>
      <x:c r="AN2291" t="n">
        <x:v>1</x:v>
      </x:c>
    </x:row>
    <x:row r="2292" ht="23" customHeight="1">
      <x:c r="A2292" s="11" t="str">
        <x:v>688302.SH</x:v>
      </x:c>
      <x:c r="B2292" s="11" t="str">
        <x:v>五年</x:v>
      </x:c>
      <x:c r="C2292" s="11" t="str">
        <x:v>hp570_global</x:v>
      </x:c>
      <x:c r="D2292" s="11" t="str">
        <x:v>2041-12-31</x:v>
      </x:c>
      <x:c r="E2292" s="11" t="str">
        <x:v>USD</x:v>
      </x:c>
      <x:c r="F2292" s="11" t="n">
        <x:v>10.22861054072553</x:v>
      </x:c>
      <x:c r="G2292" s="26" t="b">
        <x:v>1</x:v>
      </x:c>
      <x:c r="H2292" s="16" t="n">
        <x:v>0.3</x:v>
      </x:c>
      <x:c r="I2292" s="16" t="n">
        <x:v>2</x:v>
      </x:c>
      <x:c r="J2292" s="16" t="n">
        <x:v>2.96</x:v>
      </x:c>
      <x:c r="K2292" s="11" t="n">
        <x:f>CHOOSE('假设'!$B$3,H2292,I2292,J2292)</x:f>
        <x:v>2</x:v>
      </x:c>
      <x:c r="L2292" s="11" t="n">
        <x:f>K2292*'管线假设'!E503*'管线假设'!F503*'管线假设'!G503*IF(E2292="USD",'管线假设'!I503,1)-AM2292</x:f>
        <x:v>0.32189132800000003</x:v>
      </x:c>
      <x:c r="M2292" s="11" t="n">
        <x:f>'管线假设'!H503</x:f>
        <x:v>0.14</x:v>
      </x:c>
      <x:c r="N2292" s="11" t="n">
        <x:f>IF(G2292,L2292*AN2292/(1+M2292)^F2292,0)</x:f>
        <x:v>0.08426587105073696</x:v>
      </x:c>
      <x:c r="AJ2292" t="n">
        <x:v>0</x:v>
      </x:c>
      <x:c r="AK2292" t="n">
        <x:v>0</x:v>
      </x:c>
      <x:c r="AL2292" t="n">
        <x:v>0</x:v>
      </x:c>
      <x:c r="AM2292" t="n">
        <x:f>CHOOSE('假设'!$B$3,AJ2292,AK2292,AL2292)</x:f>
        <x:v>0</x:v>
      </x:c>
      <x:c r="AN2292" t="n">
        <x:v>1</x:v>
      </x:c>
    </x:row>
    <x:row r="2293" ht="23" customHeight="1">
      <x:c r="A2293" s="11" t="str">
        <x:v>688302.SH</x:v>
      </x:c>
      <x:c r="B2293" s="11" t="str">
        <x:v>五年</x:v>
      </x:c>
      <x:c r="C2293" s="11" t="str">
        <x:v>hp570_global</x:v>
      </x:c>
      <x:c r="D2293" s="11" t="str">
        <x:v>2042-12-31</x:v>
      </x:c>
      <x:c r="E2293" s="11" t="str">
        <x:v>USD</x:v>
      </x:c>
      <x:c r="F2293" s="11" t="n">
        <x:v>11.227926078028748</x:v>
      </x:c>
      <x:c r="G2293" s="26" t="b">
        <x:v>1</x:v>
      </x:c>
      <x:c r="H2293" s="16" t="n">
        <x:v>0.4</x:v>
      </x:c>
      <x:c r="I2293" s="16" t="n">
        <x:v>1.74</x:v>
      </x:c>
      <x:c r="J2293" s="16" t="n">
        <x:v>2.44</x:v>
      </x:c>
      <x:c r="K2293" s="11" t="n">
        <x:f>CHOOSE('假设'!$B$3,H2293,I2293,J2293)</x:f>
        <x:v>1.74</x:v>
      </x:c>
      <x:c r="L2293" s="11" t="n">
        <x:f>K2293*'管线假设'!E503*'管线假设'!F503*'管线假设'!G503*IF(E2293="USD",'管线假设'!I503,1)-AM2293</x:f>
        <x:v>0.28004545536000003</x:v>
      </x:c>
      <x:c r="M2293" s="11" t="n">
        <x:f>'管线假设'!H503</x:f>
        <x:v>0.14</x:v>
      </x:c>
      <x:c r="N2293" s="11" t="n">
        <x:f>IF(G2293,L2293*AN2293/(1+M2293)^F2293,0)</x:f>
        <x:v>0.06431393241861268</x:v>
      </x:c>
      <x:c r="AJ2293" t="n">
        <x:v>0</x:v>
      </x:c>
      <x:c r="AK2293" t="n">
        <x:v>0</x:v>
      </x:c>
      <x:c r="AL2293" t="n">
        <x:v>0</x:v>
      </x:c>
      <x:c r="AM2293" t="n">
        <x:f>CHOOSE('假设'!$B$3,AJ2293,AK2293,AL2293)</x:f>
        <x:v>0</x:v>
      </x:c>
      <x:c r="AN2293" t="n">
        <x:v>1</x:v>
      </x:c>
    </x:row>
    <x:row r="2294" ht="23" customHeight="1">
      <x:c r="A2294" s="11" t="str">
        <x:v>688302.SH</x:v>
      </x:c>
      <x:c r="B2294" s="11" t="str">
        <x:v>五年</x:v>
      </x:c>
      <x:c r="C2294" s="11" t="str">
        <x:v>hp570_global</x:v>
      </x:c>
      <x:c r="D2294" s="11" t="str">
        <x:v>2043-12-31</x:v>
      </x:c>
      <x:c r="E2294" s="11" t="str">
        <x:v>USD</x:v>
      </x:c>
      <x:c r="F2294" s="11" t="n">
        <x:v>12.227241615331964</x:v>
      </x:c>
      <x:c r="G2294" s="26" t="b">
        <x:v>1</x:v>
      </x:c>
      <x:c r="H2294" s="16" t="n">
        <x:v>0.5</x:v>
      </x:c>
      <x:c r="I2294" s="16" t="n">
        <x:v>1.48</x:v>
      </x:c>
      <x:c r="J2294" s="16" t="n">
        <x:v>1.92</x:v>
      </x:c>
      <x:c r="K2294" s="11" t="n">
        <x:f>CHOOSE('假设'!$B$3,H2294,I2294,J2294)</x:f>
        <x:v>1.48</x:v>
      </x:c>
      <x:c r="L2294" s="11" t="n">
        <x:f>K2294*'管线假设'!E503*'管线假设'!F503*'管线假设'!G503*IF(E2294="USD",'管线假设'!I503,1)-AM2294</x:f>
        <x:v>0.23819958272000002</x:v>
      </x:c>
      <x:c r="M2294" s="11" t="n">
        <x:f>'管线假设'!H503</x:f>
        <x:v>0.14</x:v>
      </x:c>
      <x:c r="N2294" s="11" t="n">
        <x:f>IF(G2294,L2294*AN2294/(1+M2294)^F2294,0)</x:f>
        <x:v>0.04799009724531089</x:v>
      </x:c>
      <x:c r="AJ2294" t="n">
        <x:v>0</x:v>
      </x:c>
      <x:c r="AK2294" t="n">
        <x:v>0</x:v>
      </x:c>
      <x:c r="AL2294" t="n">
        <x:v>0</x:v>
      </x:c>
      <x:c r="AM2294" t="n">
        <x:f>CHOOSE('假设'!$B$3,AJ2294,AK2294,AL2294)</x:f>
        <x:v>0</x:v>
      </x:c>
      <x:c r="AN2294" t="n">
        <x:v>1</x:v>
      </x:c>
    </x:row>
    <x:row r="2295" ht="23" customHeight="1">
      <x:c r="A2295" s="11" t="str">
        <x:v>688302.SH</x:v>
      </x:c>
      <x:c r="B2295" s="11" t="str">
        <x:v>五年</x:v>
      </x:c>
      <x:c r="C2295" s="11" t="str">
        <x:v>hp570_global</x:v>
      </x:c>
      <x:c r="D2295" s="11" t="str">
        <x:v>2044-12-31</x:v>
      </x:c>
      <x:c r="E2295" s="11" t="str">
        <x:v>USD</x:v>
      </x:c>
      <x:c r="F2295" s="11" t="n">
        <x:v>13.229295003422314</x:v>
      </x:c>
      <x:c r="G2295" s="26" t="b">
        <x:v>1</x:v>
      </x:c>
      <x:c r="H2295" s="16" t="n">
        <x:v>0.435</x:v>
      </x:c>
      <x:c r="I2295" s="16" t="n">
        <x:v>1.22</x:v>
      </x:c>
      <x:c r="J2295" s="16" t="n">
        <x:v>1.4</x:v>
      </x:c>
      <x:c r="K2295" s="11" t="n">
        <x:f>CHOOSE('假设'!$B$3,H2295,I2295,J2295)</x:f>
        <x:v>1.22</x:v>
      </x:c>
      <x:c r="L2295" s="11" t="n">
        <x:f>K2295*'管线假设'!E503*'管线假设'!F503*'管线假设'!G503*IF(E2295="USD",'管线假设'!I503,1)-AM2295</x:f>
        <x:v>0.19635371008000002</x:v>
      </x:c>
      <x:c r="M2295" s="11" t="n">
        <x:f>'管线假设'!H503</x:f>
        <x:v>0.14</x:v>
      </x:c>
      <x:c r="N2295" s="11" t="n">
        <x:f>IF(G2295,L2295*AN2295/(1+M2295)^F2295,0)</x:f>
        <x:v>0.03469189682965766</x:v>
      </x:c>
      <x:c r="AJ2295" t="n">
        <x:v>0</x:v>
      </x:c>
      <x:c r="AK2295" t="n">
        <x:v>0</x:v>
      </x:c>
      <x:c r="AL2295" t="n">
        <x:v>0</x:v>
      </x:c>
      <x:c r="AM2295" t="n">
        <x:f>CHOOSE('假设'!$B$3,AJ2295,AK2295,AL2295)</x:f>
        <x:v>0</x:v>
      </x:c>
      <x:c r="AN2295" t="n">
        <x:v>1</x:v>
      </x:c>
    </x:row>
    <x:row r="2296" ht="23" customHeight="1">
      <x:c r="A2296" s="11" t="str">
        <x:v>688302.SH</x:v>
      </x:c>
      <x:c r="B2296" s="11" t="str">
        <x:v>五年</x:v>
      </x:c>
      <x:c r="C2296" s="11" t="str">
        <x:v>hp570_global</x:v>
      </x:c>
      <x:c r="D2296" s="11" t="str">
        <x:v>2045-12-31</x:v>
      </x:c>
      <x:c r="E2296" s="11" t="str">
        <x:v>USD</x:v>
      </x:c>
      <x:c r="F2296" s="11" t="n">
        <x:v>14.22861054072553</x:v>
      </x:c>
      <x:c r="G2296" s="26" t="b">
        <x:v>1</x:v>
      </x:c>
      <x:c r="H2296" s="16" t="n">
        <x:v>0.37</x:v>
      </x:c>
      <x:c r="I2296" s="16" t="n">
        <x:v>0.96</x:v>
      </x:c>
      <x:c r="J2296" s="16" t="n">
        <x:v>0.8799999999999999</x:v>
      </x:c>
      <x:c r="K2296" s="11" t="n">
        <x:f>CHOOSE('假设'!$B$3,H2296,I2296,J2296)</x:f>
        <x:v>0.96</x:v>
      </x:c>
      <x:c r="L2296" s="11" t="n">
        <x:f>K2296*'管线假设'!E503*'管线假设'!F503*'管线假设'!G503*IF(E2296="USD",'管线假设'!I503,1)-AM2296</x:f>
        <x:v>0.15450783744</x:v>
      </x:c>
      <x:c r="M2296" s="11" t="n">
        <x:f>'管线假设'!H503</x:f>
        <x:v>0.14</x:v>
      </x:c>
      <x:c r="N2296" s="11" t="n">
        <x:f>IF(G2296,L2296*AN2296/(1+M2296)^F2296,0)</x:f>
        <x:v>0.023948236946189253</x:v>
      </x:c>
      <x:c r="AJ2296" t="n">
        <x:v>0</x:v>
      </x:c>
      <x:c r="AK2296" t="n">
        <x:v>0</x:v>
      </x:c>
      <x:c r="AL2296" t="n">
        <x:v>0</x:v>
      </x:c>
      <x:c r="AM2296" t="n">
        <x:f>CHOOSE('假设'!$B$3,AJ2296,AK2296,AL2296)</x:f>
        <x:v>0</x:v>
      </x:c>
      <x:c r="AN2296" t="n">
        <x:v>1</x:v>
      </x:c>
    </x:row>
    <x:row r="2297" ht="23" customHeight="1">
      <x:c r="A2297" s="11" t="str">
        <x:v>688382.SH</x:v>
      </x:c>
      <x:c r="B2297" s="11" t="str">
        <x:v>2026年底</x:v>
      </x:c>
      <x:c r="C2297" s="11" t="str">
        <x:v>befu</x:v>
      </x:c>
      <x:c r="D2297" s="11" t="str">
        <x:v>2027-12-31</x:v>
      </x:c>
      <x:c r="E2297" s="11" t="str">
        <x:v>CNY</x:v>
      </x:c>
      <x:c r="F2297" s="11" t="n">
        <x:v>0.999315537303217</x:v>
      </x:c>
      <x:c r="G2297" s="26" t="b">
        <x:v>1</x:v>
      </x:c>
      <x:c r="H2297" s="16" t="n">
        <x:v>0.21666666666666667</x:v>
      </x:c>
      <x:c r="I2297" s="16" t="n">
        <x:v>0.3</x:v>
      </x:c>
      <x:c r="J2297" s="16" t="n">
        <x:v>0.45</x:v>
      </x:c>
      <x:c r="K2297" s="11" t="n">
        <x:f>CHOOSE('假设'!$B$3,H2297,I2297,J2297)</x:f>
        <x:v>0.3</x:v>
      </x:c>
      <x:c r="L2297" s="11" t="n">
        <x:f>K2297*'管线假设'!E507*'管线假设'!F507*'管线假设'!G507*IF(E2297="USD",'管线假设'!I507,1)-AM2297</x:f>
        <x:v>0.01968</x:v>
      </x:c>
      <x:c r="M2297" s="11" t="n">
        <x:f>'管线假设'!H507</x:f>
        <x:v>0.135</x:v>
      </x:c>
      <x:c r="N2297" s="11" t="n">
        <x:f>IF(G2297,L2297*AN2297/(1+M2297)^F2297,0)</x:f>
        <x:v>0.01734070999501072</x:v>
      </x:c>
      <x:c r="AJ2297" t="n">
        <x:v>0</x:v>
      </x:c>
      <x:c r="AK2297" t="n">
        <x:v>0</x:v>
      </x:c>
      <x:c r="AL2297" t="n">
        <x:v>0</x:v>
      </x:c>
      <x:c r="AM2297" t="n">
        <x:f>CHOOSE('假设'!$B$3,AJ2297,AK2297,AL2297)</x:f>
        <x:v>0</x:v>
      </x:c>
      <x:c r="AN2297" t="n">
        <x:v>1</x:v>
      </x:c>
    </x:row>
    <x:row r="2298" ht="23" customHeight="1">
      <x:c r="A2298" s="11" t="str">
        <x:v>688382.SH</x:v>
      </x:c>
      <x:c r="B2298" s="11" t="str">
        <x:v>2026年底</x:v>
      </x:c>
      <x:c r="C2298" s="11" t="str">
        <x:v>befu</x:v>
      </x:c>
      <x:c r="D2298" s="11" t="str">
        <x:v>2028-12-31</x:v>
      </x:c>
      <x:c r="E2298" s="11" t="str">
        <x:v>CNY</x:v>
      </x:c>
      <x:c r="F2298" s="11" t="n">
        <x:v>2.001368925393566</x:v>
      </x:c>
      <x:c r="G2298" s="26" t="b">
        <x:v>1</x:v>
      </x:c>
      <x:c r="H2298" s="16" t="n">
        <x:v>0.43333333333333335</x:v>
      </x:c>
      <x:c r="I2298" s="16" t="n">
        <x:v>0.6</x:v>
      </x:c>
      <x:c r="J2298" s="16" t="n">
        <x:v>0.9</x:v>
      </x:c>
      <x:c r="K2298" s="11" t="n">
        <x:f>CHOOSE('假设'!$B$3,H2298,I2298,J2298)</x:f>
        <x:v>0.6</x:v>
      </x:c>
      <x:c r="L2298" s="11" t="n">
        <x:f>K2298*'管线假设'!E507*'管线假设'!F507*'管线假设'!G507*IF(E2298="USD",'管线假设'!I507,1)-AM2298</x:f>
        <x:v>0.03936</x:v>
      </x:c>
      <x:c r="M2298" s="11" t="n">
        <x:f>'管线假设'!H507</x:f>
        <x:v>0.135</x:v>
      </x:c>
      <x:c r="N2298" s="11" t="n">
        <x:f>IF(G2298,L2298*AN2298/(1+M2298)^F2298,0)</x:f>
        <x:v>0.030548372768510884</x:v>
      </x:c>
      <x:c r="AJ2298" t="n">
        <x:v>0</x:v>
      </x:c>
      <x:c r="AK2298" t="n">
        <x:v>0</x:v>
      </x:c>
      <x:c r="AL2298" t="n">
        <x:v>0</x:v>
      </x:c>
      <x:c r="AM2298" t="n">
        <x:f>CHOOSE('假设'!$B$3,AJ2298,AK2298,AL2298)</x:f>
        <x:v>0</x:v>
      </x:c>
      <x:c r="AN2298" t="n">
        <x:v>1</x:v>
      </x:c>
    </x:row>
    <x:row r="2299" ht="23" customHeight="1">
      <x:c r="A2299" s="11" t="str">
        <x:v>688382.SH</x:v>
      </x:c>
      <x:c r="B2299" s="11" t="str">
        <x:v>2026年底</x:v>
      </x:c>
      <x:c r="C2299" s="11" t="str">
        <x:v>befu</x:v>
      </x:c>
      <x:c r="D2299" s="11" t="str">
        <x:v>2029-12-31</x:v>
      </x:c>
      <x:c r="E2299" s="11" t="str">
        <x:v>CNY</x:v>
      </x:c>
      <x:c r="F2299" s="11" t="n">
        <x:v>3.0006844626967832</x:v>
      </x:c>
      <x:c r="G2299" s="26" t="b">
        <x:v>1</x:v>
      </x:c>
      <x:c r="H2299" s="16" t="n">
        <x:v>0.65</x:v>
      </x:c>
      <x:c r="I2299" s="16" t="n">
        <x:v>0.8999999999999999</x:v>
      </x:c>
      <x:c r="J2299" s="16" t="n">
        <x:v>1.35</x:v>
      </x:c>
      <x:c r="K2299" s="11" t="n">
        <x:f>CHOOSE('假设'!$B$3,H2299,I2299,J2299)</x:f>
        <x:v>0.8999999999999999</x:v>
      </x:c>
      <x:c r="L2299" s="11" t="n">
        <x:f>K2299*'管线假设'!E507*'管线假设'!F507*'管线假设'!G507*IF(E2299="USD",'管线假设'!I507,1)-AM2299</x:f>
        <x:v>0.05904</x:v>
      </x:c>
      <x:c r="M2299" s="11" t="n">
        <x:f>'管线假设'!H507</x:f>
        <x:v>0.135</x:v>
      </x:c>
      <x:c r="N2299" s="11" t="n">
        <x:f>IF(G2299,L2299*AN2299/(1+M2299)^F2299,0)</x:f>
        <x:v>0.040375798246816315</x:v>
      </x:c>
      <x:c r="AJ2299" t="n">
        <x:v>0</x:v>
      </x:c>
      <x:c r="AK2299" t="n">
        <x:v>0</x:v>
      </x:c>
      <x:c r="AL2299" t="n">
        <x:v>0</x:v>
      </x:c>
      <x:c r="AM2299" t="n">
        <x:f>CHOOSE('假设'!$B$3,AJ2299,AK2299,AL2299)</x:f>
        <x:v>0</x:v>
      </x:c>
      <x:c r="AN2299" t="n">
        <x:v>1</x:v>
      </x:c>
    </x:row>
    <x:row r="2300" ht="23" customHeight="1">
      <x:c r="A2300" s="11" t="str">
        <x:v>688382.SH</x:v>
      </x:c>
      <x:c r="B2300" s="11" t="str">
        <x:v>2026年底</x:v>
      </x:c>
      <x:c r="C2300" s="11" t="str">
        <x:v>befu</x:v>
      </x:c>
      <x:c r="D2300" s="11" t="str">
        <x:v>2030-12-31</x:v>
      </x:c>
      <x:c r="E2300" s="11" t="str">
        <x:v>CNY</x:v>
      </x:c>
      <x:c r="F2300" s="11" t="n">
        <x:v>4</x:v>
      </x:c>
      <x:c r="G2300" s="26" t="b">
        <x:v>1</x:v>
      </x:c>
      <x:c r="H2300" s="16" t="n">
        <x:v>0.5655</x:v>
      </x:c>
      <x:c r="I2300" s="16" t="n">
        <x:v>1.2</x:v>
      </x:c>
      <x:c r="J2300" s="16" t="n">
        <x:v>1.8</x:v>
      </x:c>
      <x:c r="K2300" s="11" t="n">
        <x:f>CHOOSE('假设'!$B$3,H2300,I2300,J2300)</x:f>
        <x:v>1.2</x:v>
      </x:c>
      <x:c r="L2300" s="11" t="n">
        <x:f>K2300*'管线假设'!E507*'管线假设'!F507*'管线假设'!G507*IF(E2300="USD",'管线假设'!I507,1)-AM2300</x:f>
        <x:v>0.07872</x:v>
      </x:c>
      <x:c r="M2300" s="11" t="n">
        <x:f>'管线假设'!H507</x:f>
        <x:v>0.135</x:v>
      </x:c>
      <x:c r="N2300" s="11" t="n">
        <x:f>IF(G2300,L2300*AN2300/(1+M2300)^F2300,0)</x:f>
        <x:v>0.047435298659559894</x:v>
      </x:c>
      <x:c r="AJ2300" t="n">
        <x:v>0</x:v>
      </x:c>
      <x:c r="AK2300" t="n">
        <x:v>0</x:v>
      </x:c>
      <x:c r="AL2300" t="n">
        <x:v>0</x:v>
      </x:c>
      <x:c r="AM2300" t="n">
        <x:f>CHOOSE('假设'!$B$3,AJ2300,AK2300,AL2300)</x:f>
        <x:v>0</x:v>
      </x:c>
      <x:c r="AN2300" t="n">
        <x:v>1</x:v>
      </x:c>
    </x:row>
    <x:row r="2301" ht="23" customHeight="1">
      <x:c r="A2301" s="11" t="str">
        <x:v>688382.SH</x:v>
      </x:c>
      <x:c r="B2301" s="11" t="str">
        <x:v>2026年底</x:v>
      </x:c>
      <x:c r="C2301" s="11" t="str">
        <x:v>befu</x:v>
      </x:c>
      <x:c r="D2301" s="11" t="str">
        <x:v>2031-12-31</x:v>
      </x:c>
      <x:c r="E2301" s="11" t="str">
        <x:v>CNY</x:v>
      </x:c>
      <x:c r="F2301" s="11" t="n">
        <x:v>4.999315537303217</x:v>
      </x:c>
      <x:c r="G2301" s="26" t="b">
        <x:v>1</x:v>
      </x:c>
      <x:c r="H2301" s="16" t="n">
        <x:v>0.481</x:v>
      </x:c>
      <x:c r="I2301" s="16" t="n">
        <x:v>1.044</x:v>
      </x:c>
      <x:c r="J2301" s="16" t="n">
        <x:v>1.566</x:v>
      </x:c>
      <x:c r="K2301" s="11" t="n">
        <x:f>CHOOSE('假设'!$B$3,H2301,I2301,J2301)</x:f>
        <x:v>1.044</x:v>
      </x:c>
      <x:c r="L2301" s="11" t="n">
        <x:f>K2301*'管线假设'!E507*'管线假设'!F507*'管线假设'!G507*IF(E2301="USD",'管线假设'!I507,1)-AM2301</x:f>
        <x:v>0.0684864</x:v>
      </x:c>
      <x:c r="M2301" s="11" t="n">
        <x:f>'管线假设'!H507</x:f>
        <x:v>0.135</x:v>
      </x:c>
      <x:c r="N2301" s="11" t="n">
        <x:f>IF(G2301,L2301*AN2301/(1+M2301)^F2301,0)</x:f>
        <x:v>0.03636324842969865</x:v>
      </x:c>
      <x:c r="AJ2301" t="n">
        <x:v>0</x:v>
      </x:c>
      <x:c r="AK2301" t="n">
        <x:v>0</x:v>
      </x:c>
      <x:c r="AL2301" t="n">
        <x:v>0</x:v>
      </x:c>
      <x:c r="AM2301" t="n">
        <x:f>CHOOSE('假设'!$B$3,AJ2301,AK2301,AL2301)</x:f>
        <x:v>0</x:v>
      </x:c>
      <x:c r="AN2301" t="n">
        <x:v>1</x:v>
      </x:c>
    </x:row>
    <x:row r="2302" ht="23" customHeight="1">
      <x:c r="A2302" s="11" t="str">
        <x:v>688382.SH</x:v>
      </x:c>
      <x:c r="B2302" s="11" t="str">
        <x:v>2026年底</x:v>
      </x:c>
      <x:c r="C2302" s="11" t="str">
        <x:v>befu</x:v>
      </x:c>
      <x:c r="D2302" s="11" t="str">
        <x:v>2032-12-31</x:v>
      </x:c>
      <x:c r="E2302" s="11" t="str">
        <x:v>CNY</x:v>
      </x:c>
      <x:c r="F2302" s="11" t="n">
        <x:v>6.0013689253935665</x:v>
      </x:c>
      <x:c r="G2302" s="26" t="b">
        <x:v>1</x:v>
      </x:c>
      <x:c r="H2302" s="16" t="n">
        <x:v>0.3965</x:v>
      </x:c>
      <x:c r="I2302" s="16" t="n">
        <x:v>0.888</x:v>
      </x:c>
      <x:c r="J2302" s="16" t="n">
        <x:v>1.332</x:v>
      </x:c>
      <x:c r="K2302" s="11" t="n">
        <x:f>CHOOSE('假设'!$B$3,H2302,I2302,J2302)</x:f>
        <x:v>0.888</x:v>
      </x:c>
      <x:c r="L2302" s="11" t="n">
        <x:f>K2302*'管线假设'!E507*'管线假设'!F507*'管线假设'!G507*IF(E2302="USD",'管线假设'!I507,1)-AM2302</x:f>
        <x:v>0.05825280000000001</x:v>
      </x:c>
      <x:c r="M2302" s="11" t="n">
        <x:f>'管线假设'!H507</x:f>
        <x:v>0.135</x:v>
      </x:c>
      <x:c r="N2302" s="11" t="n">
        <x:f>IF(G2302,L2302*AN2302/(1+M2302)^F2302,0)</x:f>
        <x:v>0.027243716400407302</x:v>
      </x:c>
      <x:c r="AJ2302" t="n">
        <x:v>0</x:v>
      </x:c>
      <x:c r="AK2302" t="n">
        <x:v>0</x:v>
      </x:c>
      <x:c r="AL2302" t="n">
        <x:v>0</x:v>
      </x:c>
      <x:c r="AM2302" t="n">
        <x:f>CHOOSE('假设'!$B$3,AJ2302,AK2302,AL2302)</x:f>
        <x:v>0</x:v>
      </x:c>
      <x:c r="AN2302" t="n">
        <x:v>1</x:v>
      </x:c>
    </x:row>
    <x:row r="2303" ht="23" customHeight="1">
      <x:c r="A2303" s="11" t="str">
        <x:v>688382.SH</x:v>
      </x:c>
      <x:c r="B2303" s="11" t="str">
        <x:v>2026年底</x:v>
      </x:c>
      <x:c r="C2303" s="11" t="str">
        <x:v>befu</x:v>
      </x:c>
      <x:c r="D2303" s="11" t="str">
        <x:v>2033-12-31</x:v>
      </x:c>
      <x:c r="E2303" s="11" t="str">
        <x:v>CNY</x:v>
      </x:c>
      <x:c r="F2303" s="11" t="n">
        <x:v>7.000684462696783</x:v>
      </x:c>
      <x:c r="G2303" s="26" t="b">
        <x:v>1</x:v>
      </x:c>
      <x:c r="H2303" s="16" t="n">
        <x:v>0.312</x:v>
      </x:c>
      <x:c r="I2303" s="16" t="n">
        <x:v>0.732</x:v>
      </x:c>
      <x:c r="J2303" s="16" t="n">
        <x:v>1.098</x:v>
      </x:c>
      <x:c r="K2303" s="11" t="n">
        <x:f>CHOOSE('假设'!$B$3,H2303,I2303,J2303)</x:f>
        <x:v>0.732</x:v>
      </x:c>
      <x:c r="L2303" s="11" t="n">
        <x:f>K2303*'管线假设'!E507*'管线假设'!F507*'管线假设'!G507*IF(E2303="USD",'管线假设'!I507,1)-AM2303</x:f>
        <x:v>0.048019200000000005</x:v>
      </x:c>
      <x:c r="M2303" s="11" t="n">
        <x:f>'管线假设'!H507</x:f>
        <x:v>0.135</x:v>
      </x:c>
      <x:c r="N2303" s="11" t="n">
        <x:f>IF(G2303,L2303*AN2303/(1+M2303)^F2303,0)</x:f>
        <x:v>0.019788197993869897</x:v>
      </x:c>
      <x:c r="AJ2303" t="n">
        <x:v>0</x:v>
      </x:c>
      <x:c r="AK2303" t="n">
        <x:v>0</x:v>
      </x:c>
      <x:c r="AL2303" t="n">
        <x:v>0</x:v>
      </x:c>
      <x:c r="AM2303" t="n">
        <x:f>CHOOSE('假设'!$B$3,AJ2303,AK2303,AL2303)</x:f>
        <x:v>0</x:v>
      </x:c>
      <x:c r="AN2303" t="n">
        <x:v>1</x:v>
      </x:c>
    </x:row>
    <x:row r="2304" ht="23" customHeight="1">
      <x:c r="A2304" s="11" t="str">
        <x:v>688382.SH</x:v>
      </x:c>
      <x:c r="B2304" s="11" t="str">
        <x:v>2026年底</x:v>
      </x:c>
      <x:c r="C2304" s="11" t="str">
        <x:v>befu</x:v>
      </x:c>
      <x:c r="D2304" s="11" t="str">
        <x:v>2034-12-31</x:v>
      </x:c>
      <x:c r="E2304" s="11" t="str">
        <x:v>CNY</x:v>
      </x:c>
      <x:c r="F2304" s="11" t="n">
        <x:v>8</x:v>
      </x:c>
      <x:c r="G2304" s="26" t="b">
        <x:v>1</x:v>
      </x:c>
      <x:c r="H2304" s="16" t="n">
        <x:v>0.22749999999999998</x:v>
      </x:c>
      <x:c r="I2304" s="16" t="n">
        <x:v>0.576</x:v>
      </x:c>
      <x:c r="J2304" s="16" t="n">
        <x:v>0.864</x:v>
      </x:c>
      <x:c r="K2304" s="11" t="n">
        <x:f>CHOOSE('假设'!$B$3,H2304,I2304,J2304)</x:f>
        <x:v>0.576</x:v>
      </x:c>
      <x:c r="L2304" s="11" t="n">
        <x:f>K2304*'管线假设'!E507*'管线假设'!F507*'管线假设'!G507*IF(E2304="USD",'管线假设'!I507,1)-AM2304</x:f>
        <x:v>0.0377856</x:v>
      </x:c>
      <x:c r="M2304" s="11" t="n">
        <x:f>'管线假设'!H507</x:f>
        <x:v>0.135</x:v>
      </x:c>
      <x:c r="N2304" s="11" t="n">
        <x:f>IF(G2304,L2304*AN2304/(1+M2304)^F2304,0)</x:f>
        <x:v>0.013720168042205149</x:v>
      </x:c>
      <x:c r="AJ2304" t="n">
        <x:v>0</x:v>
      </x:c>
      <x:c r="AK2304" t="n">
        <x:v>0</x:v>
      </x:c>
      <x:c r="AL2304" t="n">
        <x:v>0</x:v>
      </x:c>
      <x:c r="AM2304" t="n">
        <x:f>CHOOSE('假设'!$B$3,AJ2304,AK2304,AL2304)</x:f>
        <x:v>0</x:v>
      </x:c>
      <x:c r="AN2304" t="n">
        <x:v>1</x:v>
      </x:c>
    </x:row>
    <x:row r="2305" ht="23" customHeight="1">
      <x:c r="A2305" s="11" t="str">
        <x:v>688382.SH</x:v>
      </x:c>
      <x:c r="B2305" s="11" t="str">
        <x:v>2026年底</x:v>
      </x:c>
      <x:c r="C2305" s="11" t="str">
        <x:v>befu</x:v>
      </x:c>
      <x:c r="D2305" s="11" t="str">
        <x:v>2035-12-31</x:v>
      </x:c>
      <x:c r="E2305" s="11" t="str">
        <x:v>CNY</x:v>
      </x:c>
      <x:c r="F2305" s="11" t="n">
        <x:v>8.999315537303216</x:v>
      </x:c>
      <x:c r="G2305" s="26" t="b">
        <x:v>1</x:v>
      </x:c>
      <x:c r="H2305" s="16" t="n">
        <x:v>0.143</x:v>
      </x:c>
      <x:c r="I2305" s="16" t="n">
        <x:v>0.42</x:v>
      </x:c>
      <x:c r="J2305" s="16" t="n">
        <x:v>0.63</x:v>
      </x:c>
      <x:c r="K2305" s="11" t="n">
        <x:f>CHOOSE('假设'!$B$3,H2305,I2305,J2305)</x:f>
        <x:v>0.42</x:v>
      </x:c>
      <x:c r="L2305" s="11" t="n">
        <x:f>K2305*'管线假设'!E507*'管线假设'!F507*'管线假设'!G507*IF(E2305="USD",'管线假设'!I507,1)-AM2305</x:f>
        <x:v>0.027552</x:v>
      </x:c>
      <x:c r="M2305" s="11" t="n">
        <x:f>'管线假设'!H507</x:f>
        <x:v>0.135</x:v>
      </x:c>
      <x:c r="N2305" s="11" t="n">
        <x:f>IF(G2305,L2305*AN2305/(1+M2305)^F2305,0)</x:f>
        <x:v>0.00881511573572395</x:v>
      </x:c>
      <x:c r="AJ2305" t="n">
        <x:v>0</x:v>
      </x:c>
      <x:c r="AK2305" t="n">
        <x:v>0</x:v>
      </x:c>
      <x:c r="AL2305" t="n">
        <x:v>0</x:v>
      </x:c>
      <x:c r="AM2305" t="n">
        <x:f>CHOOSE('假设'!$B$3,AJ2305,AK2305,AL2305)</x:f>
        <x:v>0</x:v>
      </x:c>
      <x:c r="AN2305" t="n">
        <x:v>1</x:v>
      </x:c>
    </x:row>
    <x:row r="2306" ht="23" customHeight="1">
      <x:c r="A2306" s="11" t="str">
        <x:v>688382.SH</x:v>
      </x:c>
      <x:c r="B2306" s="11" t="str">
        <x:v>2026年底</x:v>
      </x:c>
      <x:c r="C2306" s="11" t="str">
        <x:v>befu</x:v>
      </x:c>
      <x:c r="D2306" s="11" t="str">
        <x:v>2036-12-31</x:v>
      </x:c>
      <x:c r="E2306" s="11" t="str">
        <x:v>CNY</x:v>
      </x:c>
      <x:c r="F2306" s="11" t="n">
        <x:v>10.001368925393566</x:v>
      </x:c>
      <x:c r="G2306" s="26" t="b">
        <x:v>1</x:v>
      </x:c>
      <x:c r="H2306" s="16" t="n">
        <x:v>0.05849999999999998</x:v>
      </x:c>
      <x:c r="I2306" s="16" t="n">
        <x:v>0.26399999999999996</x:v>
      </x:c>
      <x:c r="J2306" s="16" t="n">
        <x:v>0.39599999999999996</x:v>
      </x:c>
      <x:c r="K2306" s="11" t="n">
        <x:f>CHOOSE('假设'!$B$3,H2306,I2306,J2306)</x:f>
        <x:v>0.26399999999999996</x:v>
      </x:c>
      <x:c r="L2306" s="11" t="n">
        <x:f>K2306*'管线假设'!E507*'管线假设'!F507*'管线假设'!G507*IF(E2306="USD",'管线假设'!I507,1)-AM2306</x:f>
        <x:v>0.017318399999999998</x:v>
      </x:c>
      <x:c r="M2306" s="11" t="n">
        <x:f>'管线假设'!H507</x:f>
        <x:v>0.135</x:v>
      </x:c>
      <x:c r="N2306" s="11" t="n">
        <x:f>IF(G2306,L2306*AN2306/(1+M2306)^F2306,0)</x:f>
        <x:v>0.00488060730627416</x:v>
      </x:c>
      <x:c r="AJ2306" t="n">
        <x:v>0</x:v>
      </x:c>
      <x:c r="AK2306" t="n">
        <x:v>0</x:v>
      </x:c>
      <x:c r="AL2306" t="n">
        <x:v>0</x:v>
      </x:c>
      <x:c r="AM2306" t="n">
        <x:f>CHOOSE('假设'!$B$3,AJ2306,AK2306,AL2306)</x:f>
        <x:v>0</x:v>
      </x:c>
      <x:c r="AN2306" t="n">
        <x:v>1</x:v>
      </x:c>
    </x:row>
    <x:row r="2307" ht="23" customHeight="1">
      <x:c r="A2307" s="11" t="str">
        <x:v>688382.SH</x:v>
      </x:c>
      <x:c r="B2307" s="11" t="str">
        <x:v>2026年底</x:v>
      </x:c>
      <x:c r="C2307" s="11" t="str">
        <x:v>befu</x:v>
      </x:c>
      <x:c r="D2307" s="11" t="str">
        <x:v>2037-12-31</x:v>
      </x:c>
      <x:c r="E2307" s="11" t="str">
        <x:v>CNY</x:v>
      </x:c>
      <x:c r="F2307" s="11" t="n">
        <x:v>11.000684462696784</x:v>
      </x:c>
      <x:c r="G2307" s="26" t="b">
        <x:v>1</x:v>
      </x:c>
      <x:c r="H2307" s="16" t="n">
        <x:v>0</x:v>
      </x:c>
      <x:c r="I2307" s="16" t="n">
        <x:v>0.10799999999999996</x:v>
      </x:c>
      <x:c r="J2307" s="16" t="n">
        <x:v>0.16199999999999995</x:v>
      </x:c>
      <x:c r="K2307" s="11" t="n">
        <x:f>CHOOSE('假设'!$B$3,H2307,I2307,J2307)</x:f>
        <x:v>0.10799999999999996</x:v>
      </x:c>
      <x:c r="L2307" s="11" t="n">
        <x:f>K2307*'管线假设'!E507*'管线假设'!F507*'管线假设'!G507*IF(E2307="USD",'管线假设'!I507,1)-AM2307</x:f>
        <x:v>0.007084799999999998</x:v>
      </x:c>
      <x:c r="M2307" s="11" t="n">
        <x:f>'管线假设'!H507</x:f>
        <x:v>0.135</x:v>
      </x:c>
      <x:c r="N2307" s="11" t="n">
        <x:f>IF(G2307,L2307*AN2307/(1+M2307)^F2307,0)</x:f>
        <x:v>0.0017592820654995286</x:v>
      </x:c>
      <x:c r="AJ2307" t="n">
        <x:v>0</x:v>
      </x:c>
      <x:c r="AK2307" t="n">
        <x:v>0</x:v>
      </x:c>
      <x:c r="AL2307" t="n">
        <x:v>0</x:v>
      </x:c>
      <x:c r="AM2307" t="n">
        <x:f>CHOOSE('假设'!$B$3,AJ2307,AK2307,AL2307)</x:f>
        <x:v>0</x:v>
      </x:c>
      <x:c r="AN2307" t="n">
        <x:v>1</x:v>
      </x:c>
    </x:row>
    <x:row r="2308" ht="23" customHeight="1">
      <x:c r="A2308" s="11" t="str">
        <x:v>688382.SH</x:v>
      </x:c>
      <x:c r="B2308" s="11" t="str">
        <x:v>2026年底</x:v>
      </x:c>
      <x:c r="C2308" s="11" t="str">
        <x:v>befu</x:v>
      </x:c>
      <x:c r="D2308" s="11" t="str">
        <x:v>2038-12-31</x:v>
      </x:c>
      <x:c r="E2308" s="11" t="str">
        <x:v>CNY</x:v>
      </x:c>
      <x:c r="F2308" s="11" t="n">
        <x:v>12</x:v>
      </x:c>
      <x:c r="G2308" s="26" t="b">
        <x:v>1</x:v>
      </x:c>
      <x:c r="H2308" s="16" t="n">
        <x:v>0</x:v>
      </x:c>
      <x:c r="I2308" s="16" t="n">
        <x:v>0</x:v>
      </x:c>
      <x:c r="J2308" s="16" t="n">
        <x:v>0</x:v>
      </x:c>
      <x:c r="K2308" s="11" t="n">
        <x:f>CHOOSE('假设'!$B$3,H2308,I2308,J2308)</x:f>
        <x:v>0</x:v>
      </x:c>
      <x:c r="L2308" s="11" t="n">
        <x:f>K2308*'管线假设'!E507*'管线假设'!F507*'管线假设'!G507*IF(E2308="USD",'管线假设'!I507,1)-AM2308</x:f>
        <x:v>0</x:v>
      </x:c>
      <x:c r="M2308" s="11" t="n">
        <x:f>'管线假设'!H507</x:f>
        <x:v>0.135</x:v>
      </x:c>
      <x:c r="N2308" s="11" t="n">
        <x:f>IF(G2308,L2308*AN2308/(1+M2308)^F2308,0)</x:f>
        <x:v>0</x:v>
      </x:c>
      <x:c r="AJ2308" t="n">
        <x:v>0</x:v>
      </x:c>
      <x:c r="AK2308" t="n">
        <x:v>0</x:v>
      </x:c>
      <x:c r="AL2308" t="n">
        <x:v>0</x:v>
      </x:c>
      <x:c r="AM2308" t="n">
        <x:f>CHOOSE('假设'!$B$3,AJ2308,AK2308,AL2308)</x:f>
        <x:v>0</x:v>
      </x:c>
      <x:c r="AN2308" t="n">
        <x:v>1</x:v>
      </x:c>
    </x:row>
    <x:row r="2309" ht="23" customHeight="1">
      <x:c r="A2309" s="11" t="str">
        <x:v>688382.SH</x:v>
      </x:c>
      <x:c r="B2309" s="11" t="str">
        <x:v>2026年底</x:v>
      </x:c>
      <x:c r="C2309" s="11" t="str">
        <x:v>befu</x:v>
      </x:c>
      <x:c r="D2309" s="11" t="str">
        <x:v>2039-12-31</x:v>
      </x:c>
      <x:c r="E2309" s="11" t="str">
        <x:v>CNY</x:v>
      </x:c>
      <x:c r="F2309" s="11" t="n">
        <x:v>12.999315537303216</x:v>
      </x:c>
      <x:c r="G2309" s="26" t="b">
        <x:v>1</x:v>
      </x:c>
      <x:c r="H2309" s="16" t="n">
        <x:v>0</x:v>
      </x:c>
      <x:c r="I2309" s="16" t="n">
        <x:v>0</x:v>
      </x:c>
      <x:c r="J2309" s="16" t="n">
        <x:v>0</x:v>
      </x:c>
      <x:c r="K2309" s="11" t="n">
        <x:f>CHOOSE('假设'!$B$3,H2309,I2309,J2309)</x:f>
        <x:v>0</x:v>
      </x:c>
      <x:c r="L2309" s="11" t="n">
        <x:f>K2309*'管线假设'!E507*'管线假设'!F507*'管线假设'!G507*IF(E2309="USD",'管线假设'!I507,1)-AM2309</x:f>
        <x:v>0</x:v>
      </x:c>
      <x:c r="M2309" s="11" t="n">
        <x:f>'管线假设'!H507</x:f>
        <x:v>0.135</x:v>
      </x:c>
      <x:c r="N2309" s="11" t="n">
        <x:f>IF(G2309,L2309*AN2309/(1+M2309)^F2309,0)</x:f>
        <x:v>0</x:v>
      </x:c>
      <x:c r="AJ2309" t="n">
        <x:v>0</x:v>
      </x:c>
      <x:c r="AK2309" t="n">
        <x:v>0</x:v>
      </x:c>
      <x:c r="AL2309" t="n">
        <x:v>0</x:v>
      </x:c>
      <x:c r="AM2309" t="n">
        <x:f>CHOOSE('假设'!$B$3,AJ2309,AK2309,AL2309)</x:f>
        <x:v>0</x:v>
      </x:c>
      <x:c r="AN2309" t="n">
        <x:v>1</x:v>
      </x:c>
    </x:row>
    <x:row r="2310" ht="23" customHeight="1">
      <x:c r="A2310" s="11" t="str">
        <x:v>688382.SH</x:v>
      </x:c>
      <x:c r="B2310" s="11" t="str">
        <x:v>2026年底</x:v>
      </x:c>
      <x:c r="C2310" s="11" t="str">
        <x:v>befu</x:v>
      </x:c>
      <x:c r="D2310" s="11" t="str">
        <x:v>2040-12-31</x:v>
      </x:c>
      <x:c r="E2310" s="11" t="str">
        <x:v>CNY</x:v>
      </x:c>
      <x:c r="F2310" s="11" t="n">
        <x:v>14.001368925393566</x:v>
      </x:c>
      <x:c r="G2310" s="26" t="b">
        <x:v>1</x:v>
      </x:c>
      <x:c r="H2310" s="16" t="n">
        <x:v>0</x:v>
      </x:c>
      <x:c r="I2310" s="16" t="n">
        <x:v>0</x:v>
      </x:c>
      <x:c r="J2310" s="16" t="n">
        <x:v>0</x:v>
      </x:c>
      <x:c r="K2310" s="11" t="n">
        <x:f>CHOOSE('假设'!$B$3,H2310,I2310,J2310)</x:f>
        <x:v>0</x:v>
      </x:c>
      <x:c r="L2310" s="11" t="n">
        <x:f>K2310*'管线假设'!E507*'管线假设'!F507*'管线假设'!G507*IF(E2310="USD",'管线假设'!I507,1)-AM2310</x:f>
        <x:v>0</x:v>
      </x:c>
      <x:c r="M2310" s="11" t="n">
        <x:f>'管线假设'!H507</x:f>
        <x:v>0.135</x:v>
      </x:c>
      <x:c r="N2310" s="11" t="n">
        <x:f>IF(G2310,L2310*AN2310/(1+M2310)^F2310,0)</x:f>
        <x:v>0</x:v>
      </x:c>
      <x:c r="AJ2310" t="n">
        <x:v>0</x:v>
      </x:c>
      <x:c r="AK2310" t="n">
        <x:v>0</x:v>
      </x:c>
      <x:c r="AL2310" t="n">
        <x:v>0</x:v>
      </x:c>
      <x:c r="AM2310" t="n">
        <x:f>CHOOSE('假设'!$B$3,AJ2310,AK2310,AL2310)</x:f>
        <x:v>0</x:v>
      </x:c>
      <x:c r="AN2310" t="n">
        <x:v>1</x:v>
      </x:c>
    </x:row>
    <x:row r="2311" ht="23" customHeight="1">
      <x:c r="A2311" s="11" t="str">
        <x:v>688382.SH</x:v>
      </x:c>
      <x:c r="B2311" s="11" t="str">
        <x:v>2026年底</x:v>
      </x:c>
      <x:c r="C2311" s="11" t="str">
        <x:v>befu</x:v>
      </x:c>
      <x:c r="D2311" s="11" t="str">
        <x:v>2041-12-31</x:v>
      </x:c>
      <x:c r="E2311" s="11" t="str">
        <x:v>CNY</x:v>
      </x:c>
      <x:c r="F2311" s="11" t="n">
        <x:v>15.000684462696784</x:v>
      </x:c>
      <x:c r="G2311" s="26" t="b">
        <x:v>1</x:v>
      </x:c>
      <x:c r="H2311" s="16" t="n">
        <x:v>0</x:v>
      </x:c>
      <x:c r="I2311" s="16" t="n">
        <x:v>0</x:v>
      </x:c>
      <x:c r="J2311" s="16" t="n">
        <x:v>0</x:v>
      </x:c>
      <x:c r="K2311" s="11" t="n">
        <x:f>CHOOSE('假设'!$B$3,H2311,I2311,J2311)</x:f>
        <x:v>0</x:v>
      </x:c>
      <x:c r="L2311" s="11" t="n">
        <x:f>K2311*'管线假设'!E507*'管线假设'!F507*'管线假设'!G507*IF(E2311="USD",'管线假设'!I507,1)-AM2311</x:f>
        <x:v>0</x:v>
      </x:c>
      <x:c r="M2311" s="11" t="n">
        <x:f>'管线假设'!H507</x:f>
        <x:v>0.135</x:v>
      </x:c>
      <x:c r="N2311" s="11" t="n">
        <x:f>IF(G2311,L2311*AN2311/(1+M2311)^F2311,0)</x:f>
        <x:v>0</x:v>
      </x:c>
      <x:c r="AJ2311" t="n">
        <x:v>0</x:v>
      </x:c>
      <x:c r="AK2311" t="n">
        <x:v>0</x:v>
      </x:c>
      <x:c r="AL2311" t="n">
        <x:v>0</x:v>
      </x:c>
      <x:c r="AM2311" t="n">
        <x:f>CHOOSE('假设'!$B$3,AJ2311,AK2311,AL2311)</x:f>
        <x:v>0</x:v>
      </x:c>
      <x:c r="AN2311" t="n">
        <x:v>1</x:v>
      </x:c>
    </x:row>
    <x:row r="2312" ht="23" customHeight="1">
      <x:c r="A2312" s="11" t="str">
        <x:v>688382.SH</x:v>
      </x:c>
      <x:c r="B2312" s="11" t="str">
        <x:v>2026年底</x:v>
      </x:c>
      <x:c r="C2312" s="11" t="str">
        <x:v>befu</x:v>
      </x:c>
      <x:c r="D2312" s="11" t="str">
        <x:v>2042-12-31</x:v>
      </x:c>
      <x:c r="E2312" s="11" t="str">
        <x:v>CNY</x:v>
      </x:c>
      <x:c r="F2312" s="11" t="n">
        <x:v>16</x:v>
      </x:c>
      <x:c r="G2312" s="26" t="b">
        <x:v>1</x:v>
      </x:c>
      <x:c r="H2312" s="16" t="n">
        <x:v>0</x:v>
      </x:c>
      <x:c r="I2312" s="16" t="n">
        <x:v>0</x:v>
      </x:c>
      <x:c r="J2312" s="16" t="n">
        <x:v>0</x:v>
      </x:c>
      <x:c r="K2312" s="11" t="n">
        <x:f>CHOOSE('假设'!$B$3,H2312,I2312,J2312)</x:f>
        <x:v>0</x:v>
      </x:c>
      <x:c r="L2312" s="11" t="n">
        <x:f>K2312*'管线假设'!E507*'管线假设'!F507*'管线假设'!G507*IF(E2312="USD",'管线假设'!I507,1)-AM2312</x:f>
        <x:v>0</x:v>
      </x:c>
      <x:c r="M2312" s="11" t="n">
        <x:f>'管线假设'!H507</x:f>
        <x:v>0.135</x:v>
      </x:c>
      <x:c r="N2312" s="11" t="n">
        <x:f>IF(G2312,L2312*AN2312/(1+M2312)^F2312,0)</x:f>
        <x:v>0</x:v>
      </x:c>
      <x:c r="AJ2312" t="n">
        <x:v>0</x:v>
      </x:c>
      <x:c r="AK2312" t="n">
        <x:v>0</x:v>
      </x:c>
      <x:c r="AL2312" t="n">
        <x:v>0</x:v>
      </x:c>
      <x:c r="AM2312" t="n">
        <x:f>CHOOSE('假设'!$B$3,AJ2312,AK2312,AL2312)</x:f>
        <x:v>0</x:v>
      </x:c>
      <x:c r="AN2312" t="n">
        <x:v>1</x:v>
      </x:c>
    </x:row>
    <x:row r="2313" ht="23" customHeight="1">
      <x:c r="A2313" s="11" t="str">
        <x:v>688382.SH</x:v>
      </x:c>
      <x:c r="B2313" s="11" t="str">
        <x:v>2026年底</x:v>
      </x:c>
      <x:c r="C2313" s="11" t="str">
        <x:v>befu</x:v>
      </x:c>
      <x:c r="D2313" s="11" t="str">
        <x:v>2043-12-31</x:v>
      </x:c>
      <x:c r="E2313" s="11" t="str">
        <x:v>CNY</x:v>
      </x:c>
      <x:c r="F2313" s="11" t="n">
        <x:v>16.999315537303218</x:v>
      </x:c>
      <x:c r="G2313" s="26" t="b">
        <x:v>1</x:v>
      </x:c>
      <x:c r="H2313" s="16" t="n">
        <x:v>0</x:v>
      </x:c>
      <x:c r="I2313" s="16" t="n">
        <x:v>0</x:v>
      </x:c>
      <x:c r="J2313" s="16" t="n">
        <x:v>0</x:v>
      </x:c>
      <x:c r="K2313" s="11" t="n">
        <x:f>CHOOSE('假设'!$B$3,H2313,I2313,J2313)</x:f>
        <x:v>0</x:v>
      </x:c>
      <x:c r="L2313" s="11" t="n">
        <x:f>K2313*'管线假设'!E507*'管线假设'!F507*'管线假设'!G507*IF(E2313="USD",'管线假设'!I507,1)-AM2313</x:f>
        <x:v>0</x:v>
      </x:c>
      <x:c r="M2313" s="11" t="n">
        <x:f>'管线假设'!H507</x:f>
        <x:v>0.135</x:v>
      </x:c>
      <x:c r="N2313" s="11" t="n">
        <x:f>IF(G2313,L2313*AN2313/(1+M2313)^F2313,0)</x:f>
        <x:v>0</x:v>
      </x:c>
      <x:c r="AJ2313" t="n">
        <x:v>0</x:v>
      </x:c>
      <x:c r="AK2313" t="n">
        <x:v>0</x:v>
      </x:c>
      <x:c r="AL2313" t="n">
        <x:v>0</x:v>
      </x:c>
      <x:c r="AM2313" t="n">
        <x:f>CHOOSE('假设'!$B$3,AJ2313,AK2313,AL2313)</x:f>
        <x:v>0</x:v>
      </x:c>
      <x:c r="AN2313" t="n">
        <x:v>1</x:v>
      </x:c>
    </x:row>
    <x:row r="2314" ht="23" customHeight="1">
      <x:c r="A2314" s="11" t="str">
        <x:v>688382.SH</x:v>
      </x:c>
      <x:c r="B2314" s="11" t="str">
        <x:v>2026年底</x:v>
      </x:c>
      <x:c r="C2314" s="11" t="str">
        <x:v>befu</x:v>
      </x:c>
      <x:c r="D2314" s="11" t="str">
        <x:v>2044-12-31</x:v>
      </x:c>
      <x:c r="E2314" s="11" t="str">
        <x:v>CNY</x:v>
      </x:c>
      <x:c r="F2314" s="11" t="n">
        <x:v>18.001368925393567</x:v>
      </x:c>
      <x:c r="G2314" s="26" t="b">
        <x:v>1</x:v>
      </x:c>
      <x:c r="H2314" s="16" t="n">
        <x:v>0</x:v>
      </x:c>
      <x:c r="I2314" s="16" t="n">
        <x:v>0</x:v>
      </x:c>
      <x:c r="J2314" s="16" t="n">
        <x:v>0</x:v>
      </x:c>
      <x:c r="K2314" s="11" t="n">
        <x:f>CHOOSE('假设'!$B$3,H2314,I2314,J2314)</x:f>
        <x:v>0</x:v>
      </x:c>
      <x:c r="L2314" s="11" t="n">
        <x:f>K2314*'管线假设'!E507*'管线假设'!F507*'管线假设'!G507*IF(E2314="USD",'管线假设'!I507,1)-AM2314</x:f>
        <x:v>0</x:v>
      </x:c>
      <x:c r="M2314" s="11" t="n">
        <x:f>'管线假设'!H507</x:f>
        <x:v>0.135</x:v>
      </x:c>
      <x:c r="N2314" s="11" t="n">
        <x:f>IF(G2314,L2314*AN2314/(1+M2314)^F2314,0)</x:f>
        <x:v>0</x:v>
      </x:c>
      <x:c r="AJ2314" t="n">
        <x:v>0</x:v>
      </x:c>
      <x:c r="AK2314" t="n">
        <x:v>0</x:v>
      </x:c>
      <x:c r="AL2314" t="n">
        <x:v>0</x:v>
      </x:c>
      <x:c r="AM2314" t="n">
        <x:f>CHOOSE('假设'!$B$3,AJ2314,AK2314,AL2314)</x:f>
        <x:v>0</x:v>
      </x:c>
      <x:c r="AN2314" t="n">
        <x:v>1</x:v>
      </x:c>
    </x:row>
    <x:row r="2315" ht="23" customHeight="1">
      <x:c r="A2315" s="11" t="str">
        <x:v>688382.SH</x:v>
      </x:c>
      <x:c r="B2315" s="11" t="str">
        <x:v>2026年底</x:v>
      </x:c>
      <x:c r="C2315" s="11" t="str">
        <x:v>befu</x:v>
      </x:c>
      <x:c r="D2315" s="11" t="str">
        <x:v>2045-12-31</x:v>
      </x:c>
      <x:c r="E2315" s="11" t="str">
        <x:v>CNY</x:v>
      </x:c>
      <x:c r="F2315" s="11" t="n">
        <x:v>19.000684462696782</x:v>
      </x:c>
      <x:c r="G2315" s="26" t="b">
        <x:v>1</x:v>
      </x:c>
      <x:c r="H2315" s="16" t="n">
        <x:v>0</x:v>
      </x:c>
      <x:c r="I2315" s="16" t="n">
        <x:v>0</x:v>
      </x:c>
      <x:c r="J2315" s="16" t="n">
        <x:v>0</x:v>
      </x:c>
      <x:c r="K2315" s="11" t="n">
        <x:f>CHOOSE('假设'!$B$3,H2315,I2315,J2315)</x:f>
        <x:v>0</x:v>
      </x:c>
      <x:c r="L2315" s="11" t="n">
        <x:f>K2315*'管线假设'!E507*'管线假设'!F507*'管线假设'!G507*IF(E2315="USD",'管线假设'!I507,1)-AM2315</x:f>
        <x:v>0</x:v>
      </x:c>
      <x:c r="M2315" s="11" t="n">
        <x:f>'管线假设'!H507</x:f>
        <x:v>0.135</x:v>
      </x:c>
      <x:c r="N2315" s="11" t="n">
        <x:f>IF(G2315,L2315*AN2315/(1+M2315)^F2315,0)</x:f>
        <x:v>0</x:v>
      </x:c>
      <x:c r="AJ2315" t="n">
        <x:v>0</x:v>
      </x:c>
      <x:c r="AK2315" t="n">
        <x:v>0</x:v>
      </x:c>
      <x:c r="AL2315" t="n">
        <x:v>0</x:v>
      </x:c>
      <x:c r="AM2315" t="n">
        <x:f>CHOOSE('假设'!$B$3,AJ2315,AK2315,AL2315)</x:f>
        <x:v>0</x:v>
      </x:c>
      <x:c r="AN2315" t="n">
        <x:v>1</x:v>
      </x:c>
    </x:row>
    <x:row r="2316" ht="23" customHeight="1">
      <x:c r="A2316" s="11" t="str">
        <x:v>688382.SH</x:v>
      </x:c>
      <x:c r="B2316" s="11" t="str">
        <x:v>2026年底</x:v>
      </x:c>
      <x:c r="C2316" s="11" t="str">
        <x:v>g12c_later_cn</x:v>
      </x:c>
      <x:c r="D2316" s="11" t="str">
        <x:v>2027-12-31</x:v>
      </x:c>
      <x:c r="E2316" s="11" t="str">
        <x:v>CNY</x:v>
      </x:c>
      <x:c r="F2316" s="11" t="n">
        <x:v>0.999315537303217</x:v>
      </x:c>
      <x:c r="G2316" s="26" t="b">
        <x:v>1</x:v>
      </x:c>
      <x:c r="H2316" s="16" t="n">
        <x:v>0.1</x:v>
      </x:c>
      <x:c r="I2316" s="16" t="n">
        <x:v>0.22000000000000003</x:v>
      </x:c>
      <x:c r="J2316" s="16" t="n">
        <x:v>0.425</x:v>
      </x:c>
      <x:c r="K2316" s="11" t="n">
        <x:f>CHOOSE('假设'!$B$3,H2316,I2316,J2316)</x:f>
        <x:v>0.22000000000000003</x:v>
      </x:c>
      <x:c r="L2316" s="11" t="n">
        <x:f>K2316*'管线假设'!E511*'管线假设'!F511*'管线假设'!G511*IF(E2316="USD",'管线假设'!I511,1)-AM2316</x:f>
        <x:v>0.018040000000000007</x:v>
      </x:c>
      <x:c r="M2316" s="11" t="n">
        <x:f>'管线假设'!H511</x:f>
        <x:v>0.135</x:v>
      </x:c>
      <x:c r="N2316" s="11" t="n">
        <x:f>IF(G2316,L2316*AN2316/(1+M2316)^F2316,0)</x:f>
        <x:v>0.015895650828759832</x:v>
      </x:c>
      <x:c r="AJ2316" t="n">
        <x:v>0</x:v>
      </x:c>
      <x:c r="AK2316" t="n">
        <x:v>0</x:v>
      </x:c>
      <x:c r="AL2316" t="n">
        <x:v>0</x:v>
      </x:c>
      <x:c r="AM2316" t="n">
        <x:f>CHOOSE('假设'!$B$3,AJ2316,AK2316,AL2316)</x:f>
        <x:v>0</x:v>
      </x:c>
      <x:c r="AN2316" t="n">
        <x:v>1</x:v>
      </x:c>
    </x:row>
    <x:row r="2317" ht="23" customHeight="1">
      <x:c r="A2317" s="11" t="str">
        <x:v>688382.SH</x:v>
      </x:c>
      <x:c r="B2317" s="11" t="str">
        <x:v>2026年底</x:v>
      </x:c>
      <x:c r="C2317" s="11" t="str">
        <x:v>g12c_later_cn</x:v>
      </x:c>
      <x:c r="D2317" s="11" t="str">
        <x:v>2028-12-31</x:v>
      </x:c>
      <x:c r="E2317" s="11" t="str">
        <x:v>CNY</x:v>
      </x:c>
      <x:c r="F2317" s="11" t="n">
        <x:v>2.001368925393566</x:v>
      </x:c>
      <x:c r="G2317" s="26" t="b">
        <x:v>1</x:v>
      </x:c>
      <x:c r="H2317" s="16" t="n">
        <x:v>0.2</x:v>
      </x:c>
      <x:c r="I2317" s="16" t="n">
        <x:v>0.44000000000000006</x:v>
      </x:c>
      <x:c r="J2317" s="16" t="n">
        <x:v>0.85</x:v>
      </x:c>
      <x:c r="K2317" s="11" t="n">
        <x:f>CHOOSE('假设'!$B$3,H2317,I2317,J2317)</x:f>
        <x:v>0.44000000000000006</x:v>
      </x:c>
      <x:c r="L2317" s="11" t="n">
        <x:f>K2317*'管线假设'!E511*'管线假设'!F511*'管线假设'!G511*IF(E2317="USD",'管线假设'!I511,1)-AM2317</x:f>
        <x:v>0.036080000000000015</x:v>
      </x:c>
      <x:c r="M2317" s="11" t="n">
        <x:f>'管线假设'!H511</x:f>
        <x:v>0.135</x:v>
      </x:c>
      <x:c r="N2317" s="11" t="n">
        <x:f>IF(G2317,L2317*AN2317/(1+M2317)^F2317,0)</x:f>
        <x:v>0.028002675037801655</x:v>
      </x:c>
      <x:c r="AJ2317" t="n">
        <x:v>0</x:v>
      </x:c>
      <x:c r="AK2317" t="n">
        <x:v>0</x:v>
      </x:c>
      <x:c r="AL2317" t="n">
        <x:v>0</x:v>
      </x:c>
      <x:c r="AM2317" t="n">
        <x:f>CHOOSE('假设'!$B$3,AJ2317,AK2317,AL2317)</x:f>
        <x:v>0</x:v>
      </x:c>
      <x:c r="AN2317" t="n">
        <x:v>1</x:v>
      </x:c>
    </x:row>
    <x:row r="2318" ht="23" customHeight="1">
      <x:c r="A2318" s="11" t="str">
        <x:v>688382.SH</x:v>
      </x:c>
      <x:c r="B2318" s="11" t="str">
        <x:v>2026年底</x:v>
      </x:c>
      <x:c r="C2318" s="11" t="str">
        <x:v>g12c_later_cn</x:v>
      </x:c>
      <x:c r="D2318" s="11" t="str">
        <x:v>2029-12-31</x:v>
      </x:c>
      <x:c r="E2318" s="11" t="str">
        <x:v>CNY</x:v>
      </x:c>
      <x:c r="F2318" s="11" t="n">
        <x:v>3.0006844626967832</x:v>
      </x:c>
      <x:c r="G2318" s="26" t="b">
        <x:v>1</x:v>
      </x:c>
      <x:c r="H2318" s="16" t="n">
        <x:v>0.3</x:v>
      </x:c>
      <x:c r="I2318" s="16" t="n">
        <x:v>0.66</x:v>
      </x:c>
      <x:c r="J2318" s="16" t="n">
        <x:v>1.275</x:v>
      </x:c>
      <x:c r="K2318" s="11" t="n">
        <x:f>CHOOSE('假设'!$B$3,H2318,I2318,J2318)</x:f>
        <x:v>0.66</x:v>
      </x:c>
      <x:c r="L2318" s="11" t="n">
        <x:f>K2318*'管线假设'!E511*'管线假设'!F511*'管线假设'!G511*IF(E2318="USD",'管线假设'!I511,1)-AM2318</x:f>
        <x:v>0.054120000000000015</x:v>
      </x:c>
      <x:c r="M2318" s="11" t="n">
        <x:f>'管线假设'!H511</x:f>
        <x:v>0.135</x:v>
      </x:c>
      <x:c r="N2318" s="11" t="n">
        <x:f>IF(G2318,L2318*AN2318/(1+M2318)^F2318,0)</x:f>
        <x:v>0.037011148392914965</x:v>
      </x:c>
      <x:c r="AJ2318" t="n">
        <x:v>0</x:v>
      </x:c>
      <x:c r="AK2318" t="n">
        <x:v>0</x:v>
      </x:c>
      <x:c r="AL2318" t="n">
        <x:v>0</x:v>
      </x:c>
      <x:c r="AM2318" t="n">
        <x:f>CHOOSE('假设'!$B$3,AJ2318,AK2318,AL2318)</x:f>
        <x:v>0</x:v>
      </x:c>
      <x:c r="AN2318" t="n">
        <x:v>1</x:v>
      </x:c>
    </x:row>
    <x:row r="2319" ht="23" customHeight="1">
      <x:c r="A2319" s="11" t="str">
        <x:v>688382.SH</x:v>
      </x:c>
      <x:c r="B2319" s="11" t="str">
        <x:v>2026年底</x:v>
      </x:c>
      <x:c r="C2319" s="11" t="str">
        <x:v>g12c_later_cn</x:v>
      </x:c>
      <x:c r="D2319" s="11" t="str">
        <x:v>2030-12-31</x:v>
      </x:c>
      <x:c r="E2319" s="11" t="str">
        <x:v>CNY</x:v>
      </x:c>
      <x:c r="F2319" s="11" t="n">
        <x:v>4</x:v>
      </x:c>
      <x:c r="G2319" s="26" t="b">
        <x:v>1</x:v>
      </x:c>
      <x:c r="H2319" s="16" t="n">
        <x:v>0.4</x:v>
      </x:c>
      <x:c r="I2319" s="16" t="n">
        <x:v>0.8800000000000001</x:v>
      </x:c>
      <x:c r="J2319" s="16" t="n">
        <x:v>1.7</x:v>
      </x:c>
      <x:c r="K2319" s="11" t="n">
        <x:f>CHOOSE('假设'!$B$3,H2319,I2319,J2319)</x:f>
        <x:v>0.8800000000000001</x:v>
      </x:c>
      <x:c r="L2319" s="11" t="n">
        <x:f>K2319*'管线假设'!E511*'管线假设'!F511*'管线假设'!G511*IF(E2319="USD",'管线假设'!I511,1)-AM2319</x:f>
        <x:v>0.07216000000000003</x:v>
      </x:c>
      <x:c r="M2319" s="11" t="n">
        <x:f>'管线假设'!H511</x:f>
        <x:v>0.135</x:v>
      </x:c>
      <x:c r="N2319" s="11" t="n">
        <x:f>IF(G2319,L2319*AN2319/(1+M2319)^F2319,0)</x:f>
        <x:v>0.04348235710459659</x:v>
      </x:c>
      <x:c r="AJ2319" t="n">
        <x:v>0</x:v>
      </x:c>
      <x:c r="AK2319" t="n">
        <x:v>0</x:v>
      </x:c>
      <x:c r="AL2319" t="n">
        <x:v>0</x:v>
      </x:c>
      <x:c r="AM2319" t="n">
        <x:f>CHOOSE('假设'!$B$3,AJ2319,AK2319,AL2319)</x:f>
        <x:v>0</x:v>
      </x:c>
      <x:c r="AN2319" t="n">
        <x:v>1</x:v>
      </x:c>
    </x:row>
    <x:row r="2320" ht="23" customHeight="1">
      <x:c r="A2320" s="11" t="str">
        <x:v>688382.SH</x:v>
      </x:c>
      <x:c r="B2320" s="11" t="str">
        <x:v>2026年底</x:v>
      </x:c>
      <x:c r="C2320" s="11" t="str">
        <x:v>g12c_later_cn</x:v>
      </x:c>
      <x:c r="D2320" s="11" t="str">
        <x:v>2031-12-31</x:v>
      </x:c>
      <x:c r="E2320" s="11" t="str">
        <x:v>CNY</x:v>
      </x:c>
      <x:c r="F2320" s="11" t="n">
        <x:v>4.999315537303217</x:v>
      </x:c>
      <x:c r="G2320" s="26" t="b">
        <x:v>1</x:v>
      </x:c>
      <x:c r="H2320" s="16" t="n">
        <x:v>0.5</x:v>
      </x:c>
      <x:c r="I2320" s="16" t="n">
        <x:v>1.1</x:v>
      </x:c>
      <x:c r="J2320" s="16" t="n">
        <x:v>1.4789999999999999</x:v>
      </x:c>
      <x:c r="K2320" s="11" t="n">
        <x:f>CHOOSE('假设'!$B$3,H2320,I2320,J2320)</x:f>
        <x:v>1.1</x:v>
      </x:c>
      <x:c r="L2320" s="11" t="n">
        <x:f>K2320*'管线假设'!E511*'管线假设'!F511*'管线假设'!G511*IF(E2320="USD",'管线假设'!I511,1)-AM2320</x:f>
        <x:v>0.09020000000000003</x:v>
      </x:c>
      <x:c r="M2320" s="11" t="n">
        <x:f>'管线假设'!H511</x:f>
        <x:v>0.135</x:v>
      </x:c>
      <x:c r="N2320" s="11" t="n">
        <x:f>IF(G2320,L2320*AN2320/(1+M2320)^F2320,0)</x:f>
        <x:v>0.047892209378195084</x:v>
      </x:c>
      <x:c r="AJ2320" t="n">
        <x:v>0</x:v>
      </x:c>
      <x:c r="AK2320" t="n">
        <x:v>0</x:v>
      </x:c>
      <x:c r="AL2320" t="n">
        <x:v>0</x:v>
      </x:c>
      <x:c r="AM2320" t="n">
        <x:f>CHOOSE('假设'!$B$3,AJ2320,AK2320,AL2320)</x:f>
        <x:v>0</x:v>
      </x:c>
      <x:c r="AN2320" t="n">
        <x:v>1</x:v>
      </x:c>
    </x:row>
    <x:row r="2321" ht="23" customHeight="1">
      <x:c r="A2321" s="11" t="str">
        <x:v>688382.SH</x:v>
      </x:c>
      <x:c r="B2321" s="11" t="str">
        <x:v>2026年底</x:v>
      </x:c>
      <x:c r="C2321" s="11" t="str">
        <x:v>g12c_later_cn</x:v>
      </x:c>
      <x:c r="D2321" s="11" t="str">
        <x:v>2032-12-31</x:v>
      </x:c>
      <x:c r="E2321" s="11" t="str">
        <x:v>CNY</x:v>
      </x:c>
      <x:c r="F2321" s="11" t="n">
        <x:v>6.0013689253935665</x:v>
      </x:c>
      <x:c r="G2321" s="26" t="b">
        <x:v>1</x:v>
      </x:c>
      <x:c r="H2321" s="16" t="n">
        <x:v>0.435</x:v>
      </x:c>
      <x:c r="I2321" s="16" t="n">
        <x:v>0.9570000000000001</x:v>
      </x:c>
      <x:c r="J2321" s="16" t="n">
        <x:v>1.258</x:v>
      </x:c>
      <x:c r="K2321" s="11" t="n">
        <x:f>CHOOSE('假设'!$B$3,H2321,I2321,J2321)</x:f>
        <x:v>0.9570000000000001</x:v>
      </x:c>
      <x:c r="L2321" s="11" t="n">
        <x:f>K2321*'管线假设'!E511*'管线假设'!F511*'管线假设'!G511*IF(E2321="USD",'管线假设'!I511,1)-AM2321</x:f>
        <x:v>0.07847400000000002</x:v>
      </x:c>
      <x:c r="M2321" s="11" t="n">
        <x:f>'管线假设'!H511</x:f>
        <x:v>0.135</x:v>
      </x:c>
      <x:c r="N2321" s="11" t="n">
        <x:f>IF(G2321,L2321*AN2321/(1+M2321)^F2321,0)</x:f>
        <x:v>0.03670078349548113</x:v>
      </x:c>
      <x:c r="AJ2321" t="n">
        <x:v>0</x:v>
      </x:c>
      <x:c r="AK2321" t="n">
        <x:v>0</x:v>
      </x:c>
      <x:c r="AL2321" t="n">
        <x:v>0</x:v>
      </x:c>
      <x:c r="AM2321" t="n">
        <x:f>CHOOSE('假设'!$B$3,AJ2321,AK2321,AL2321)</x:f>
        <x:v>0</x:v>
      </x:c>
      <x:c r="AN2321" t="n">
        <x:v>1</x:v>
      </x:c>
    </x:row>
    <x:row r="2322" ht="23" customHeight="1">
      <x:c r="A2322" s="11" t="str">
        <x:v>688382.SH</x:v>
      </x:c>
      <x:c r="B2322" s="11" t="str">
        <x:v>2026年底</x:v>
      </x:c>
      <x:c r="C2322" s="11" t="str">
        <x:v>g12c_later_cn</x:v>
      </x:c>
      <x:c r="D2322" s="11" t="str">
        <x:v>2033-12-31</x:v>
      </x:c>
      <x:c r="E2322" s="11" t="str">
        <x:v>CNY</x:v>
      </x:c>
      <x:c r="F2322" s="11" t="n">
        <x:v>7.000684462696783</x:v>
      </x:c>
      <x:c r="G2322" s="26" t="b">
        <x:v>1</x:v>
      </x:c>
      <x:c r="H2322" s="16" t="n">
        <x:v>0.37</x:v>
      </x:c>
      <x:c r="I2322" s="16" t="n">
        <x:v>0.8140000000000001</x:v>
      </x:c>
      <x:c r="J2322" s="16" t="n">
        <x:v>1.037</x:v>
      </x:c>
      <x:c r="K2322" s="11" t="n">
        <x:f>CHOOSE('假设'!$B$3,H2322,I2322,J2322)</x:f>
        <x:v>0.8140000000000001</x:v>
      </x:c>
      <x:c r="L2322" s="11" t="n">
        <x:f>K2322*'管线假设'!E511*'管线假设'!F511*'管线假设'!G511*IF(E2322="USD",'管线假设'!I511,1)-AM2322</x:f>
        <x:v>0.06674800000000002</x:v>
      </x:c>
      <x:c r="M2322" s="11" t="n">
        <x:f>'管线假设'!H511</x:f>
        <x:v>0.135</x:v>
      </x:c>
      <x:c r="N2322" s="11" t="n">
        <x:f>IF(G2322,L2322*AN2322/(1+M2322)^F2322,0)</x:f>
        <x:v>0.027506135872626535</x:v>
      </x:c>
      <x:c r="AJ2322" t="n">
        <x:v>0</x:v>
      </x:c>
      <x:c r="AK2322" t="n">
        <x:v>0</x:v>
      </x:c>
      <x:c r="AL2322" t="n">
        <x:v>0</x:v>
      </x:c>
      <x:c r="AM2322" t="n">
        <x:f>CHOOSE('假设'!$B$3,AJ2322,AK2322,AL2322)</x:f>
        <x:v>0</x:v>
      </x:c>
      <x:c r="AN2322" t="n">
        <x:v>1</x:v>
      </x:c>
    </x:row>
    <x:row r="2323" ht="23" customHeight="1">
      <x:c r="A2323" s="11" t="str">
        <x:v>688382.SH</x:v>
      </x:c>
      <x:c r="B2323" s="11" t="str">
        <x:v>2026年底</x:v>
      </x:c>
      <x:c r="C2323" s="11" t="str">
        <x:v>g12c_later_cn</x:v>
      </x:c>
      <x:c r="D2323" s="11" t="str">
        <x:v>2034-12-31</x:v>
      </x:c>
      <x:c r="E2323" s="11" t="str">
        <x:v>CNY</x:v>
      </x:c>
      <x:c r="F2323" s="11" t="n">
        <x:v>8</x:v>
      </x:c>
      <x:c r="G2323" s="26" t="b">
        <x:v>1</x:v>
      </x:c>
      <x:c r="H2323" s="16" t="n">
        <x:v>0.305</x:v>
      </x:c>
      <x:c r="I2323" s="16" t="n">
        <x:v>0.671</x:v>
      </x:c>
      <x:c r="J2323" s="16" t="n">
        <x:v>0.816</x:v>
      </x:c>
      <x:c r="K2323" s="11" t="n">
        <x:f>CHOOSE('假设'!$B$3,H2323,I2323,J2323)</x:f>
        <x:v>0.671</x:v>
      </x:c>
      <x:c r="L2323" s="11" t="n">
        <x:f>K2323*'管线假设'!E511*'管线假设'!F511*'管线假设'!G511*IF(E2323="USD",'管线假设'!I511,1)-AM2323</x:f>
        <x:v>0.055022000000000015</x:v>
      </x:c>
      <x:c r="M2323" s="11" t="n">
        <x:f>'管线假设'!H511</x:f>
        <x:v>0.135</x:v>
      </x:c>
      <x:c r="N2323" s="11" t="n">
        <x:f>IF(G2323,L2323*AN2323/(1+M2323)^F2323,0)</x:f>
        <x:v>0.019978803724652033</x:v>
      </x:c>
      <x:c r="AJ2323" t="n">
        <x:v>0</x:v>
      </x:c>
      <x:c r="AK2323" t="n">
        <x:v>0</x:v>
      </x:c>
      <x:c r="AL2323" t="n">
        <x:v>0</x:v>
      </x:c>
      <x:c r="AM2323" t="n">
        <x:f>CHOOSE('假设'!$B$3,AJ2323,AK2323,AL2323)</x:f>
        <x:v>0</x:v>
      </x:c>
      <x:c r="AN2323" t="n">
        <x:v>1</x:v>
      </x:c>
    </x:row>
    <x:row r="2324" ht="23" customHeight="1">
      <x:c r="A2324" s="11" t="str">
        <x:v>688382.SH</x:v>
      </x:c>
      <x:c r="B2324" s="11" t="str">
        <x:v>2026年底</x:v>
      </x:c>
      <x:c r="C2324" s="11" t="str">
        <x:v>g12c_later_cn</x:v>
      </x:c>
      <x:c r="D2324" s="11" t="str">
        <x:v>2035-12-31</x:v>
      </x:c>
      <x:c r="E2324" s="11" t="str">
        <x:v>CNY</x:v>
      </x:c>
      <x:c r="F2324" s="11" t="n">
        <x:v>8.999315537303216</x:v>
      </x:c>
      <x:c r="G2324" s="26" t="b">
        <x:v>1</x:v>
      </x:c>
      <x:c r="H2324" s="16" t="n">
        <x:v>0.24</x:v>
      </x:c>
      <x:c r="I2324" s="16" t="n">
        <x:v>0.528</x:v>
      </x:c>
      <x:c r="J2324" s="16" t="n">
        <x:v>0.595</x:v>
      </x:c>
      <x:c r="K2324" s="11" t="n">
        <x:f>CHOOSE('假设'!$B$3,H2324,I2324,J2324)</x:f>
        <x:v>0.528</x:v>
      </x:c>
      <x:c r="L2324" s="11" t="n">
        <x:f>K2324*'管线假设'!E511*'管线假设'!F511*'管线假设'!G511*IF(E2324="USD",'管线假设'!I511,1)-AM2324</x:f>
        <x:v>0.04329600000000001</x:v>
      </x:c>
      <x:c r="M2324" s="11" t="n">
        <x:f>'管线假设'!H511</x:f>
        <x:v>0.135</x:v>
      </x:c>
      <x:c r="N2324" s="11" t="n">
        <x:f>IF(G2324,L2324*AN2324/(1+M2324)^F2324,0)</x:f>
        <x:v>0.013852324727566211</x:v>
      </x:c>
      <x:c r="AJ2324" t="n">
        <x:v>0</x:v>
      </x:c>
      <x:c r="AK2324" t="n">
        <x:v>0</x:v>
      </x:c>
      <x:c r="AL2324" t="n">
        <x:v>0</x:v>
      </x:c>
      <x:c r="AM2324" t="n">
        <x:f>CHOOSE('假设'!$B$3,AJ2324,AK2324,AL2324)</x:f>
        <x:v>0</x:v>
      </x:c>
      <x:c r="AN2324" t="n">
        <x:v>1</x:v>
      </x:c>
    </x:row>
    <x:row r="2325" ht="23" customHeight="1">
      <x:c r="A2325" s="11" t="str">
        <x:v>688382.SH</x:v>
      </x:c>
      <x:c r="B2325" s="11" t="str">
        <x:v>2026年底</x:v>
      </x:c>
      <x:c r="C2325" s="11" t="str">
        <x:v>g12c_later_cn</x:v>
      </x:c>
      <x:c r="D2325" s="11" t="str">
        <x:v>2036-12-31</x:v>
      </x:c>
      <x:c r="E2325" s="11" t="str">
        <x:v>CNY</x:v>
      </x:c>
      <x:c r="F2325" s="11" t="n">
        <x:v>10.001368925393566</x:v>
      </x:c>
      <x:c r="G2325" s="26" t="b">
        <x:v>1</x:v>
      </x:c>
      <x:c r="H2325" s="16" t="n">
        <x:v>0.175</x:v>
      </x:c>
      <x:c r="I2325" s="16" t="n">
        <x:v>0.385</x:v>
      </x:c>
      <x:c r="J2325" s="16" t="n">
        <x:v>0.37399999999999994</x:v>
      </x:c>
      <x:c r="K2325" s="11" t="n">
        <x:f>CHOOSE('假设'!$B$3,H2325,I2325,J2325)</x:f>
        <x:v>0.385</x:v>
      </x:c>
      <x:c r="L2325" s="11" t="n">
        <x:f>K2325*'管线假设'!E511*'管线假设'!F511*'管线假设'!G511*IF(E2325="USD",'管线假设'!I511,1)-AM2325</x:f>
        <x:v>0.03157000000000001</x:v>
      </x:c>
      <x:c r="M2325" s="11" t="n">
        <x:f>'管线假设'!H511</x:f>
        <x:v>0.135</x:v>
      </x:c>
      <x:c r="N2325" s="11" t="n">
        <x:f>IF(G2325,L2325*AN2325/(1+M2325)^F2325,0)</x:f>
        <x:v>0.008896940402062275</x:v>
      </x:c>
      <x:c r="AJ2325" t="n">
        <x:v>0</x:v>
      </x:c>
      <x:c r="AK2325" t="n">
        <x:v>0</x:v>
      </x:c>
      <x:c r="AL2325" t="n">
        <x:v>0</x:v>
      </x:c>
      <x:c r="AM2325" t="n">
        <x:f>CHOOSE('假设'!$B$3,AJ2325,AK2325,AL2325)</x:f>
        <x:v>0</x:v>
      </x:c>
      <x:c r="AN2325" t="n">
        <x:v>1</x:v>
      </x:c>
    </x:row>
    <x:row r="2326" ht="23" customHeight="1">
      <x:c r="A2326" s="11" t="str">
        <x:v>688382.SH</x:v>
      </x:c>
      <x:c r="B2326" s="11" t="str">
        <x:v>2026年底</x:v>
      </x:c>
      <x:c r="C2326" s="11" t="str">
        <x:v>g12c_later_cn</x:v>
      </x:c>
      <x:c r="D2326" s="11" t="str">
        <x:v>2037-12-31</x:v>
      </x:c>
      <x:c r="E2326" s="11" t="str">
        <x:v>CNY</x:v>
      </x:c>
      <x:c r="F2326" s="11" t="n">
        <x:v>11.000684462696784</x:v>
      </x:c>
      <x:c r="G2326" s="26" t="b">
        <x:v>1</x:v>
      </x:c>
      <x:c r="H2326" s="16" t="n">
        <x:v>0.10999999999999999</x:v>
      </x:c>
      <x:c r="I2326" s="16" t="n">
        <x:v>0.242</x:v>
      </x:c>
      <x:c r="J2326" s="16" t="n">
        <x:v>0.15299999999999994</x:v>
      </x:c>
      <x:c r="K2326" s="11" t="n">
        <x:f>CHOOSE('假设'!$B$3,H2326,I2326,J2326)</x:f>
        <x:v>0.242</x:v>
      </x:c>
      <x:c r="L2326" s="11" t="n">
        <x:f>K2326*'管线假设'!E511*'管线假设'!F511*'管线假设'!G511*IF(E2326="USD",'管线假设'!I511,1)-AM2326</x:f>
        <x:v>0.019844000000000004</x:v>
      </x:c>
      <x:c r="M2326" s="11" t="n">
        <x:f>'管线假设'!H511</x:f>
        <x:v>0.135</x:v>
      </x:c>
      <x:c r="N2326" s="11" t="n">
        <x:f>IF(G2326,L2326*AN2326/(1+M2326)^F2326,0)</x:f>
        <x:v>0.004927618748274146</x:v>
      </x:c>
      <x:c r="AJ2326" t="n">
        <x:v>0</x:v>
      </x:c>
      <x:c r="AK2326" t="n">
        <x:v>0</x:v>
      </x:c>
      <x:c r="AL2326" t="n">
        <x:v>0</x:v>
      </x:c>
      <x:c r="AM2326" t="n">
        <x:f>CHOOSE('假设'!$B$3,AJ2326,AK2326,AL2326)</x:f>
        <x:v>0</x:v>
      </x:c>
      <x:c r="AN2326" t="n">
        <x:v>1</x:v>
      </x:c>
    </x:row>
    <x:row r="2327" ht="23" customHeight="1">
      <x:c r="A2327" s="11" t="str">
        <x:v>688382.SH</x:v>
      </x:c>
      <x:c r="B2327" s="11" t="str">
        <x:v>2026年底</x:v>
      </x:c>
      <x:c r="C2327" s="11" t="str">
        <x:v>g12c_later_cn</x:v>
      </x:c>
      <x:c r="D2327" s="11" t="str">
        <x:v>2038-12-31</x:v>
      </x:c>
      <x:c r="E2327" s="11" t="str">
        <x:v>CNY</x:v>
      </x:c>
      <x:c r="F2327" s="11" t="n">
        <x:v>12</x:v>
      </x:c>
      <x:c r="G2327" s="26" t="b">
        <x:v>1</x:v>
      </x:c>
      <x:c r="H2327" s="16" t="n">
        <x:v>0.044999999999999984</x:v>
      </x:c>
      <x:c r="I2327" s="16" t="n">
        <x:v>0.09899999999999998</x:v>
      </x:c>
      <x:c r="J2327" s="16" t="n">
        <x:v>0</x:v>
      </x:c>
      <x:c r="K2327" s="11" t="n">
        <x:f>CHOOSE('假设'!$B$3,H2327,I2327,J2327)</x:f>
        <x:v>0.09899999999999998</x:v>
      </x:c>
      <x:c r="L2327" s="11" t="n">
        <x:f>K2327*'管线假设'!E511*'管线假设'!F511*'管线假设'!G511*IF(E2327="USD",'管线假设'!I511,1)-AM2327</x:f>
        <x:v>0.008118</x:v>
      </x:c>
      <x:c r="M2327" s="11" t="n">
        <x:f>'管线假设'!H511</x:f>
        <x:v>0.135</x:v>
      </x:c>
      <x:c r="N2327" s="11" t="n">
        <x:f>IF(G2327,L2327*AN2327/(1+M2327)^F2327,0)</x:f>
        <x:v>0.0017762279866920666</x:v>
      </x:c>
      <x:c r="AJ2327" t="n">
        <x:v>0</x:v>
      </x:c>
      <x:c r="AK2327" t="n">
        <x:v>0</x:v>
      </x:c>
      <x:c r="AL2327" t="n">
        <x:v>0</x:v>
      </x:c>
      <x:c r="AM2327" t="n">
        <x:f>CHOOSE('假设'!$B$3,AJ2327,AK2327,AL2327)</x:f>
        <x:v>0</x:v>
      </x:c>
      <x:c r="AN2327" t="n">
        <x:v>1</x:v>
      </x:c>
    </x:row>
    <x:row r="2328" ht="23" customHeight="1">
      <x:c r="A2328" s="11" t="str">
        <x:v>688382.SH</x:v>
      </x:c>
      <x:c r="B2328" s="11" t="str">
        <x:v>2026年底</x:v>
      </x:c>
      <x:c r="C2328" s="11" t="str">
        <x:v>g12c_later_cn</x:v>
      </x:c>
      <x:c r="D2328" s="11" t="str">
        <x:v>2039-12-31</x:v>
      </x:c>
      <x:c r="E2328" s="11" t="str">
        <x:v>CNY</x:v>
      </x:c>
      <x:c r="F2328" s="11" t="n">
        <x:v>12.999315537303216</x:v>
      </x:c>
      <x:c r="G2328" s="26" t="b">
        <x:v>1</x:v>
      </x:c>
      <x:c r="H2328" s="16" t="n">
        <x:v>0</x:v>
      </x:c>
      <x:c r="I2328" s="16" t="n">
        <x:v>0</x:v>
      </x:c>
      <x:c r="J2328" s="16" t="n">
        <x:v>0</x:v>
      </x:c>
      <x:c r="K2328" s="11" t="n">
        <x:f>CHOOSE('假设'!$B$3,H2328,I2328,J2328)</x:f>
        <x:v>0</x:v>
      </x:c>
      <x:c r="L2328" s="11" t="n">
        <x:f>K2328*'管线假设'!E511*'管线假设'!F511*'管线假设'!G511*IF(E2328="USD",'管线假设'!I511,1)-AM2328</x:f>
        <x:v>0</x:v>
      </x:c>
      <x:c r="M2328" s="11" t="n">
        <x:f>'管线假设'!H511</x:f>
        <x:v>0.135</x:v>
      </x:c>
      <x:c r="N2328" s="11" t="n">
        <x:f>IF(G2328,L2328*AN2328/(1+M2328)^F2328,0)</x:f>
        <x:v>0</x:v>
      </x:c>
      <x:c r="AJ2328" t="n">
        <x:v>0</x:v>
      </x:c>
      <x:c r="AK2328" t="n">
        <x:v>0</x:v>
      </x:c>
      <x:c r="AL2328" t="n">
        <x:v>0</x:v>
      </x:c>
      <x:c r="AM2328" t="n">
        <x:f>CHOOSE('假设'!$B$3,AJ2328,AK2328,AL2328)</x:f>
        <x:v>0</x:v>
      </x:c>
      <x:c r="AN2328" t="n">
        <x:v>1</x:v>
      </x:c>
    </x:row>
    <x:row r="2329" ht="23" customHeight="1">
      <x:c r="A2329" s="11" t="str">
        <x:v>688382.SH</x:v>
      </x:c>
      <x:c r="B2329" s="11" t="str">
        <x:v>2026年底</x:v>
      </x:c>
      <x:c r="C2329" s="11" t="str">
        <x:v>g12c_later_cn</x:v>
      </x:c>
      <x:c r="D2329" s="11" t="str">
        <x:v>2040-12-31</x:v>
      </x:c>
      <x:c r="E2329" s="11" t="str">
        <x:v>CNY</x:v>
      </x:c>
      <x:c r="F2329" s="11" t="n">
        <x:v>14.001368925393566</x:v>
      </x:c>
      <x:c r="G2329" s="26" t="b">
        <x:v>1</x:v>
      </x:c>
      <x:c r="H2329" s="16" t="n">
        <x:v>0</x:v>
      </x:c>
      <x:c r="I2329" s="16" t="n">
        <x:v>0</x:v>
      </x:c>
      <x:c r="J2329" s="16" t="n">
        <x:v>0</x:v>
      </x:c>
      <x:c r="K2329" s="11" t="n">
        <x:f>CHOOSE('假设'!$B$3,H2329,I2329,J2329)</x:f>
        <x:v>0</x:v>
      </x:c>
      <x:c r="L2329" s="11" t="n">
        <x:f>K2329*'管线假设'!E511*'管线假设'!F511*'管线假设'!G511*IF(E2329="USD",'管线假设'!I511,1)-AM2329</x:f>
        <x:v>0</x:v>
      </x:c>
      <x:c r="M2329" s="11" t="n">
        <x:f>'管线假设'!H511</x:f>
        <x:v>0.135</x:v>
      </x:c>
      <x:c r="N2329" s="11" t="n">
        <x:f>IF(G2329,L2329*AN2329/(1+M2329)^F2329,0)</x:f>
        <x:v>0</x:v>
      </x:c>
      <x:c r="AJ2329" t="n">
        <x:v>0</x:v>
      </x:c>
      <x:c r="AK2329" t="n">
        <x:v>0</x:v>
      </x:c>
      <x:c r="AL2329" t="n">
        <x:v>0</x:v>
      </x:c>
      <x:c r="AM2329" t="n">
        <x:f>CHOOSE('假设'!$B$3,AJ2329,AK2329,AL2329)</x:f>
        <x:v>0</x:v>
      </x:c>
      <x:c r="AN2329" t="n">
        <x:v>1</x:v>
      </x:c>
    </x:row>
    <x:row r="2330" ht="23" customHeight="1">
      <x:c r="A2330" s="11" t="str">
        <x:v>688382.SH</x:v>
      </x:c>
      <x:c r="B2330" s="11" t="str">
        <x:v>2026年底</x:v>
      </x:c>
      <x:c r="C2330" s="11" t="str">
        <x:v>g12c_later_cn</x:v>
      </x:c>
      <x:c r="D2330" s="11" t="str">
        <x:v>2041-12-31</x:v>
      </x:c>
      <x:c r="E2330" s="11" t="str">
        <x:v>CNY</x:v>
      </x:c>
      <x:c r="F2330" s="11" t="n">
        <x:v>15.000684462696784</x:v>
      </x:c>
      <x:c r="G2330" s="26" t="b">
        <x:v>1</x:v>
      </x:c>
      <x:c r="H2330" s="16" t="n">
        <x:v>0</x:v>
      </x:c>
      <x:c r="I2330" s="16" t="n">
        <x:v>0</x:v>
      </x:c>
      <x:c r="J2330" s="16" t="n">
        <x:v>0</x:v>
      </x:c>
      <x:c r="K2330" s="11" t="n">
        <x:f>CHOOSE('假设'!$B$3,H2330,I2330,J2330)</x:f>
        <x:v>0</x:v>
      </x:c>
      <x:c r="L2330" s="11" t="n">
        <x:f>K2330*'管线假设'!E511*'管线假设'!F511*'管线假设'!G511*IF(E2330="USD",'管线假设'!I511,1)-AM2330</x:f>
        <x:v>0</x:v>
      </x:c>
      <x:c r="M2330" s="11" t="n">
        <x:f>'管线假设'!H511</x:f>
        <x:v>0.135</x:v>
      </x:c>
      <x:c r="N2330" s="11" t="n">
        <x:f>IF(G2330,L2330*AN2330/(1+M2330)^F2330,0)</x:f>
        <x:v>0</x:v>
      </x:c>
      <x:c r="AJ2330" t="n">
        <x:v>0</x:v>
      </x:c>
      <x:c r="AK2330" t="n">
        <x:v>0</x:v>
      </x:c>
      <x:c r="AL2330" t="n">
        <x:v>0</x:v>
      </x:c>
      <x:c r="AM2330" t="n">
        <x:f>CHOOSE('假设'!$B$3,AJ2330,AK2330,AL2330)</x:f>
        <x:v>0</x:v>
      </x:c>
      <x:c r="AN2330" t="n">
        <x:v>1</x:v>
      </x:c>
    </x:row>
    <x:row r="2331" ht="23" customHeight="1">
      <x:c r="A2331" s="11" t="str">
        <x:v>688382.SH</x:v>
      </x:c>
      <x:c r="B2331" s="11" t="str">
        <x:v>2026年底</x:v>
      </x:c>
      <x:c r="C2331" s="11" t="str">
        <x:v>g12c_later_cn</x:v>
      </x:c>
      <x:c r="D2331" s="11" t="str">
        <x:v>2042-12-31</x:v>
      </x:c>
      <x:c r="E2331" s="11" t="str">
        <x:v>CNY</x:v>
      </x:c>
      <x:c r="F2331" s="11" t="n">
        <x:v>16</x:v>
      </x:c>
      <x:c r="G2331" s="26" t="b">
        <x:v>1</x:v>
      </x:c>
      <x:c r="H2331" s="16" t="n">
        <x:v>0</x:v>
      </x:c>
      <x:c r="I2331" s="16" t="n">
        <x:v>0</x:v>
      </x:c>
      <x:c r="J2331" s="16" t="n">
        <x:v>0</x:v>
      </x:c>
      <x:c r="K2331" s="11" t="n">
        <x:f>CHOOSE('假设'!$B$3,H2331,I2331,J2331)</x:f>
        <x:v>0</x:v>
      </x:c>
      <x:c r="L2331" s="11" t="n">
        <x:f>K2331*'管线假设'!E511*'管线假设'!F511*'管线假设'!G511*IF(E2331="USD",'管线假设'!I511,1)-AM2331</x:f>
        <x:v>0</x:v>
      </x:c>
      <x:c r="M2331" s="11" t="n">
        <x:f>'管线假设'!H511</x:f>
        <x:v>0.135</x:v>
      </x:c>
      <x:c r="N2331" s="11" t="n">
        <x:f>IF(G2331,L2331*AN2331/(1+M2331)^F2331,0)</x:f>
        <x:v>0</x:v>
      </x:c>
      <x:c r="AJ2331" t="n">
        <x:v>0</x:v>
      </x:c>
      <x:c r="AK2331" t="n">
        <x:v>0</x:v>
      </x:c>
      <x:c r="AL2331" t="n">
        <x:v>0</x:v>
      </x:c>
      <x:c r="AM2331" t="n">
        <x:f>CHOOSE('假设'!$B$3,AJ2331,AK2331,AL2331)</x:f>
        <x:v>0</x:v>
      </x:c>
      <x:c r="AN2331" t="n">
        <x:v>1</x:v>
      </x:c>
    </x:row>
    <x:row r="2332" ht="23" customHeight="1">
      <x:c r="A2332" s="11" t="str">
        <x:v>688382.SH</x:v>
      </x:c>
      <x:c r="B2332" s="11" t="str">
        <x:v>2026年底</x:v>
      </x:c>
      <x:c r="C2332" s="11" t="str">
        <x:v>g12c_later_cn</x:v>
      </x:c>
      <x:c r="D2332" s="11" t="str">
        <x:v>2043-12-31</x:v>
      </x:c>
      <x:c r="E2332" s="11" t="str">
        <x:v>CNY</x:v>
      </x:c>
      <x:c r="F2332" s="11" t="n">
        <x:v>16.999315537303218</x:v>
      </x:c>
      <x:c r="G2332" s="26" t="b">
        <x:v>1</x:v>
      </x:c>
      <x:c r="H2332" s="16" t="n">
        <x:v>0</x:v>
      </x:c>
      <x:c r="I2332" s="16" t="n">
        <x:v>0</x:v>
      </x:c>
      <x:c r="J2332" s="16" t="n">
        <x:v>0</x:v>
      </x:c>
      <x:c r="K2332" s="11" t="n">
        <x:f>CHOOSE('假设'!$B$3,H2332,I2332,J2332)</x:f>
        <x:v>0</x:v>
      </x:c>
      <x:c r="L2332" s="11" t="n">
        <x:f>K2332*'管线假设'!E511*'管线假设'!F511*'管线假设'!G511*IF(E2332="USD",'管线假设'!I511,1)-AM2332</x:f>
        <x:v>0</x:v>
      </x:c>
      <x:c r="M2332" s="11" t="n">
        <x:f>'管线假设'!H511</x:f>
        <x:v>0.135</x:v>
      </x:c>
      <x:c r="N2332" s="11" t="n">
        <x:f>IF(G2332,L2332*AN2332/(1+M2332)^F2332,0)</x:f>
        <x:v>0</x:v>
      </x:c>
      <x:c r="AJ2332" t="n">
        <x:v>0</x:v>
      </x:c>
      <x:c r="AK2332" t="n">
        <x:v>0</x:v>
      </x:c>
      <x:c r="AL2332" t="n">
        <x:v>0</x:v>
      </x:c>
      <x:c r="AM2332" t="n">
        <x:f>CHOOSE('假设'!$B$3,AJ2332,AK2332,AL2332)</x:f>
        <x:v>0</x:v>
      </x:c>
      <x:c r="AN2332" t="n">
        <x:v>1</x:v>
      </x:c>
    </x:row>
    <x:row r="2333" ht="23" customHeight="1">
      <x:c r="A2333" s="11" t="str">
        <x:v>688382.SH</x:v>
      </x:c>
      <x:c r="B2333" s="11" t="str">
        <x:v>2026年底</x:v>
      </x:c>
      <x:c r="C2333" s="11" t="str">
        <x:v>g12c_later_cn</x:v>
      </x:c>
      <x:c r="D2333" s="11" t="str">
        <x:v>2044-12-31</x:v>
      </x:c>
      <x:c r="E2333" s="11" t="str">
        <x:v>CNY</x:v>
      </x:c>
      <x:c r="F2333" s="11" t="n">
        <x:v>18.001368925393567</x:v>
      </x:c>
      <x:c r="G2333" s="26" t="b">
        <x:v>1</x:v>
      </x:c>
      <x:c r="H2333" s="16" t="n">
        <x:v>0</x:v>
      </x:c>
      <x:c r="I2333" s="16" t="n">
        <x:v>0</x:v>
      </x:c>
      <x:c r="J2333" s="16" t="n">
        <x:v>0</x:v>
      </x:c>
      <x:c r="K2333" s="11" t="n">
        <x:f>CHOOSE('假设'!$B$3,H2333,I2333,J2333)</x:f>
        <x:v>0</x:v>
      </x:c>
      <x:c r="L2333" s="11" t="n">
        <x:f>K2333*'管线假设'!E511*'管线假设'!F511*'管线假设'!G511*IF(E2333="USD",'管线假设'!I511,1)-AM2333</x:f>
        <x:v>0</x:v>
      </x:c>
      <x:c r="M2333" s="11" t="n">
        <x:f>'管线假设'!H511</x:f>
        <x:v>0.135</x:v>
      </x:c>
      <x:c r="N2333" s="11" t="n">
        <x:f>IF(G2333,L2333*AN2333/(1+M2333)^F2333,0)</x:f>
        <x:v>0</x:v>
      </x:c>
      <x:c r="AJ2333" t="n">
        <x:v>0</x:v>
      </x:c>
      <x:c r="AK2333" t="n">
        <x:v>0</x:v>
      </x:c>
      <x:c r="AL2333" t="n">
        <x:v>0</x:v>
      </x:c>
      <x:c r="AM2333" t="n">
        <x:f>CHOOSE('假设'!$B$3,AJ2333,AK2333,AL2333)</x:f>
        <x:v>0</x:v>
      </x:c>
      <x:c r="AN2333" t="n">
        <x:v>1</x:v>
      </x:c>
    </x:row>
    <x:row r="2334" ht="23" customHeight="1">
      <x:c r="A2334" s="11" t="str">
        <x:v>688382.SH</x:v>
      </x:c>
      <x:c r="B2334" s="11" t="str">
        <x:v>2026年底</x:v>
      </x:c>
      <x:c r="C2334" s="11" t="str">
        <x:v>g12c_later_cn</x:v>
      </x:c>
      <x:c r="D2334" s="11" t="str">
        <x:v>2045-12-31</x:v>
      </x:c>
      <x:c r="E2334" s="11" t="str">
        <x:v>CNY</x:v>
      </x:c>
      <x:c r="F2334" s="11" t="n">
        <x:v>19.000684462696782</x:v>
      </x:c>
      <x:c r="G2334" s="26" t="b">
        <x:v>1</x:v>
      </x:c>
      <x:c r="H2334" s="16" t="n">
        <x:v>0</x:v>
      </x:c>
      <x:c r="I2334" s="16" t="n">
        <x:v>0</x:v>
      </x:c>
      <x:c r="J2334" s="16" t="n">
        <x:v>0</x:v>
      </x:c>
      <x:c r="K2334" s="11" t="n">
        <x:f>CHOOSE('假设'!$B$3,H2334,I2334,J2334)</x:f>
        <x:v>0</x:v>
      </x:c>
      <x:c r="L2334" s="11" t="n">
        <x:f>K2334*'管线假设'!E511*'管线假设'!F511*'管线假设'!G511*IF(E2334="USD",'管线假设'!I511,1)-AM2334</x:f>
        <x:v>0</x:v>
      </x:c>
      <x:c r="M2334" s="11" t="n">
        <x:f>'管线假设'!H511</x:f>
        <x:v>0.135</x:v>
      </x:c>
      <x:c r="N2334" s="11" t="n">
        <x:f>IF(G2334,L2334*AN2334/(1+M2334)^F2334,0)</x:f>
        <x:v>0</x:v>
      </x:c>
      <x:c r="AJ2334" t="n">
        <x:v>0</x:v>
      </x:c>
      <x:c r="AK2334" t="n">
        <x:v>0</x:v>
      </x:c>
      <x:c r="AL2334" t="n">
        <x:v>0</x:v>
      </x:c>
      <x:c r="AM2334" t="n">
        <x:f>CHOOSE('假设'!$B$3,AJ2334,AK2334,AL2334)</x:f>
        <x:v>0</x:v>
      </x:c>
      <x:c r="AN2334" t="n">
        <x:v>1</x:v>
      </x:c>
    </x:row>
    <x:row r="2335" ht="23" customHeight="1">
      <x:c r="A2335" s="11" t="str">
        <x:v>688382.SH</x:v>
      </x:c>
      <x:c r="B2335" s="11" t="str">
        <x:v>2026年底</x:v>
      </x:c>
      <x:c r="C2335" s="11" t="str">
        <x:v>g12c_first_cn</x:v>
      </x:c>
      <x:c r="D2335" s="11" t="str">
        <x:v>2027-12-31</x:v>
      </x:c>
      <x:c r="E2335" s="11" t="str">
        <x:v>CNY</x:v>
      </x:c>
      <x:c r="F2335" s="11" t="n">
        <x:v>0.999315537303217</x:v>
      </x:c>
      <x:c r="G2335" s="26" t="b">
        <x:v>1</x:v>
      </x:c>
      <x:c r="H2335" s="16" t="n">
        <x:v>0</x:v>
      </x:c>
      <x:c r="I2335" s="16" t="n">
        <x:v>0</x:v>
      </x:c>
      <x:c r="J2335" s="16" t="n">
        <x:v>0</x:v>
      </x:c>
      <x:c r="K2335" s="11" t="n">
        <x:f>CHOOSE('假设'!$B$3,H2335,I2335,J2335)</x:f>
        <x:v>0</x:v>
      </x:c>
      <x:c r="L2335" s="11" t="n">
        <x:f>K2335*'管线假设'!E515*'管线假设'!F515*'管线假设'!G515*IF(E2335="USD",'管线假设'!I515,1)-AM2335</x:f>
        <x:v>0</x:v>
      </x:c>
      <x:c r="M2335" s="11" t="n">
        <x:f>'管线假设'!H515</x:f>
        <x:v>0.135</x:v>
      </x:c>
      <x:c r="N2335" s="11" t="n">
        <x:f>IF(G2335,L2335*AN2335/(1+M2335)^F2335,0)</x:f>
        <x:v>0</x:v>
      </x:c>
      <x:c r="AJ2335" t="n">
        <x:v>0</x:v>
      </x:c>
      <x:c r="AK2335" t="n">
        <x:v>0</x:v>
      </x:c>
      <x:c r="AL2335" t="n">
        <x:v>0</x:v>
      </x:c>
      <x:c r="AM2335" t="n">
        <x:f>CHOOSE('假设'!$B$3,AJ2335,AK2335,AL2335)</x:f>
        <x:v>0</x:v>
      </x:c>
      <x:c r="AN2335" t="n">
        <x:v>1</x:v>
      </x:c>
    </x:row>
    <x:row r="2336" ht="23" customHeight="1">
      <x:c r="A2336" s="11" t="str">
        <x:v>688382.SH</x:v>
      </x:c>
      <x:c r="B2336" s="11" t="str">
        <x:v>2026年底</x:v>
      </x:c>
      <x:c r="C2336" s="11" t="str">
        <x:v>g12c_first_cn</x:v>
      </x:c>
      <x:c r="D2336" s="11" t="str">
        <x:v>2028-12-31</x:v>
      </x:c>
      <x:c r="E2336" s="11" t="str">
        <x:v>CNY</x:v>
      </x:c>
      <x:c r="F2336" s="11" t="n">
        <x:v>2.001368925393566</x:v>
      </x:c>
      <x:c r="G2336" s="26" t="b">
        <x:v>1</x:v>
      </x:c>
      <x:c r="H2336" s="16" t="n">
        <x:v>0</x:v>
      </x:c>
      <x:c r="I2336" s="16" t="n">
        <x:v>0</x:v>
      </x:c>
      <x:c r="J2336" s="16" t="n">
        <x:v>0.52</x:v>
      </x:c>
      <x:c r="K2336" s="11" t="n">
        <x:f>CHOOSE('假设'!$B$3,H2336,I2336,J2336)</x:f>
        <x:v>0</x:v>
      </x:c>
      <x:c r="L2336" s="11" t="n">
        <x:f>K2336*'管线假设'!E515*'管线假设'!F515*'管线假设'!G515*IF(E2336="USD",'管线假设'!I515,1)-AM2336</x:f>
        <x:v>0</x:v>
      </x:c>
      <x:c r="M2336" s="11" t="n">
        <x:f>'管线假设'!H515</x:f>
        <x:v>0.135</x:v>
      </x:c>
      <x:c r="N2336" s="11" t="n">
        <x:f>IF(G2336,L2336*AN2336/(1+M2336)^F2336,0)</x:f>
        <x:v>0</x:v>
      </x:c>
      <x:c r="AJ2336" t="n">
        <x:v>0</x:v>
      </x:c>
      <x:c r="AK2336" t="n">
        <x:v>0</x:v>
      </x:c>
      <x:c r="AL2336" t="n">
        <x:v>0</x:v>
      </x:c>
      <x:c r="AM2336" t="n">
        <x:f>CHOOSE('假设'!$B$3,AJ2336,AK2336,AL2336)</x:f>
        <x:v>0</x:v>
      </x:c>
      <x:c r="AN2336" t="n">
        <x:v>1</x:v>
      </x:c>
    </x:row>
    <x:row r="2337" ht="23" customHeight="1">
      <x:c r="A2337" s="11" t="str">
        <x:v>688382.SH</x:v>
      </x:c>
      <x:c r="B2337" s="11" t="str">
        <x:v>2026年底</x:v>
      </x:c>
      <x:c r="C2337" s="11" t="str">
        <x:v>g12c_first_cn</x:v>
      </x:c>
      <x:c r="D2337" s="11" t="str">
        <x:v>2029-12-31</x:v>
      </x:c>
      <x:c r="E2337" s="11" t="str">
        <x:v>CNY</x:v>
      </x:c>
      <x:c r="F2337" s="11" t="n">
        <x:v>3.0006844626967832</x:v>
      </x:c>
      <x:c r="G2337" s="26" t="b">
        <x:v>1</x:v>
      </x:c>
      <x:c r="H2337" s="16" t="n">
        <x:v>0</x:v>
      </x:c>
      <x:c r="I2337" s="16" t="n">
        <x:v>0.26666666666666666</x:v>
      </x:c>
      <x:c r="J2337" s="16" t="n">
        <x:v>1.04</x:v>
      </x:c>
      <x:c r="K2337" s="11" t="n">
        <x:f>CHOOSE('假设'!$B$3,H2337,I2337,J2337)</x:f>
        <x:v>0.26666666666666666</x:v>
      </x:c>
      <x:c r="L2337" s="11" t="n">
        <x:f>K2337*'管线假设'!E515*'管线假设'!F515*'管线假设'!G515*IF(E2337="USD",'管线假设'!I515,1)-AM2337</x:f>
        <x:v>0.010496000000000002</x:v>
      </x:c>
      <x:c r="M2337" s="11" t="n">
        <x:f>'管线假设'!H515</x:f>
        <x:v>0.135</x:v>
      </x:c>
      <x:c r="N2337" s="11" t="n">
        <x:f>IF(G2337,L2337*AN2337/(1+M2337)^F2337,0)</x:f>
        <x:v>0.007177919688322901</x:v>
      </x:c>
      <x:c r="AJ2337" t="n">
        <x:v>0</x:v>
      </x:c>
      <x:c r="AK2337" t="n">
        <x:v>0</x:v>
      </x:c>
      <x:c r="AL2337" t="n">
        <x:v>0</x:v>
      </x:c>
      <x:c r="AM2337" t="n">
        <x:f>CHOOSE('假设'!$B$3,AJ2337,AK2337,AL2337)</x:f>
        <x:v>0</x:v>
      </x:c>
      <x:c r="AN2337" t="n">
        <x:v>1</x:v>
      </x:c>
    </x:row>
    <x:row r="2338" ht="23" customHeight="1">
      <x:c r="A2338" s="11" t="str">
        <x:v>688382.SH</x:v>
      </x:c>
      <x:c r="B2338" s="11" t="str">
        <x:v>2026年底</x:v>
      </x:c>
      <x:c r="C2338" s="11" t="str">
        <x:v>g12c_first_cn</x:v>
      </x:c>
      <x:c r="D2338" s="11" t="str">
        <x:v>2030-12-31</x:v>
      </x:c>
      <x:c r="E2338" s="11" t="str">
        <x:v>CNY</x:v>
      </x:c>
      <x:c r="F2338" s="11" t="n">
        <x:v>4</x:v>
      </x:c>
      <x:c r="G2338" s="26" t="b">
        <x:v>1</x:v>
      </x:c>
      <x:c r="H2338" s="16" t="n">
        <x:v>0</x:v>
      </x:c>
      <x:c r="I2338" s="16" t="n">
        <x:v>0.5333333333333333</x:v>
      </x:c>
      <x:c r="J2338" s="16" t="n">
        <x:v>1.56</x:v>
      </x:c>
      <x:c r="K2338" s="11" t="n">
        <x:f>CHOOSE('假设'!$B$3,H2338,I2338,J2338)</x:f>
        <x:v>0.5333333333333333</x:v>
      </x:c>
      <x:c r="L2338" s="11" t="n">
        <x:f>K2338*'管线假设'!E515*'管线假设'!F515*'管线假设'!G515*IF(E2338="USD",'管线假设'!I515,1)-AM2338</x:f>
        <x:v>0.020992000000000004</x:v>
      </x:c>
      <x:c r="M2338" s="11" t="n">
        <x:f>'管线假设'!H515</x:f>
        <x:v>0.135</x:v>
      </x:c>
      <x:c r="N2338" s="11" t="n">
        <x:f>IF(G2338,L2338*AN2338/(1+M2338)^F2338,0)</x:f>
        <x:v>0.01264941297588264</x:v>
      </x:c>
      <x:c r="AJ2338" t="n">
        <x:v>0</x:v>
      </x:c>
      <x:c r="AK2338" t="n">
        <x:v>0</x:v>
      </x:c>
      <x:c r="AL2338" t="n">
        <x:v>0</x:v>
      </x:c>
      <x:c r="AM2338" t="n">
        <x:f>CHOOSE('假设'!$B$3,AJ2338,AK2338,AL2338)</x:f>
        <x:v>0</x:v>
      </x:c>
      <x:c r="AN2338" t="n">
        <x:v>1</x:v>
      </x:c>
    </x:row>
    <x:row r="2339" ht="23" customHeight="1">
      <x:c r="A2339" s="11" t="str">
        <x:v>688382.SH</x:v>
      </x:c>
      <x:c r="B2339" s="11" t="str">
        <x:v>2026年底</x:v>
      </x:c>
      <x:c r="C2339" s="11" t="str">
        <x:v>g12c_first_cn</x:v>
      </x:c>
      <x:c r="D2339" s="11" t="str">
        <x:v>2031-12-31</x:v>
      </x:c>
      <x:c r="E2339" s="11" t="str">
        <x:v>CNY</x:v>
      </x:c>
      <x:c r="F2339" s="11" t="n">
        <x:v>4.999315537303217</x:v>
      </x:c>
      <x:c r="G2339" s="26" t="b">
        <x:v>1</x:v>
      </x:c>
      <x:c r="H2339" s="16" t="n">
        <x:v>0</x:v>
      </x:c>
      <x:c r="I2339" s="16" t="n">
        <x:v>0.8</x:v>
      </x:c>
      <x:c r="J2339" s="16" t="n">
        <x:v>2.08</x:v>
      </x:c>
      <x:c r="K2339" s="11" t="n">
        <x:f>CHOOSE('假设'!$B$3,H2339,I2339,J2339)</x:f>
        <x:v>0.8</x:v>
      </x:c>
      <x:c r="L2339" s="11" t="n">
        <x:f>K2339*'管线假设'!E515*'管线假设'!F515*'管线假设'!G515*IF(E2339="USD",'管线假设'!I515,1)-AM2339</x:f>
        <x:v>0.03148800000000001</x:v>
      </x:c>
      <x:c r="M2339" s="11" t="n">
        <x:f>'管线假设'!H515</x:f>
        <x:v>0.135</x:v>
      </x:c>
      <x:c r="N2339" s="11" t="n">
        <x:f>IF(G2339,L2339*AN2339/(1+M2339)^F2339,0)</x:f>
        <x:v>0.01671873491020628</x:v>
      </x:c>
      <x:c r="AJ2339" t="n">
        <x:v>0</x:v>
      </x:c>
      <x:c r="AK2339" t="n">
        <x:v>0</x:v>
      </x:c>
      <x:c r="AL2339" t="n">
        <x:v>0</x:v>
      </x:c>
      <x:c r="AM2339" t="n">
        <x:f>CHOOSE('假设'!$B$3,AJ2339,AK2339,AL2339)</x:f>
        <x:v>0</x:v>
      </x:c>
      <x:c r="AN2339" t="n">
        <x:v>1</x:v>
      </x:c>
    </x:row>
    <x:row r="2340" ht="23" customHeight="1">
      <x:c r="A2340" s="11" t="str">
        <x:v>688382.SH</x:v>
      </x:c>
      <x:c r="B2340" s="11" t="str">
        <x:v>2026年底</x:v>
      </x:c>
      <x:c r="C2340" s="11" t="str">
        <x:v>g12c_first_cn</x:v>
      </x:c>
      <x:c r="D2340" s="11" t="str">
        <x:v>2032-12-31</x:v>
      </x:c>
      <x:c r="E2340" s="11" t="str">
        <x:v>CNY</x:v>
      </x:c>
      <x:c r="F2340" s="11" t="n">
        <x:v>6.0013689253935665</x:v>
      </x:c>
      <x:c r="G2340" s="26" t="b">
        <x:v>1</x:v>
      </x:c>
      <x:c r="H2340" s="16" t="n">
        <x:v>0.13999999999999999</x:v>
      </x:c>
      <x:c r="I2340" s="16" t="n">
        <x:v>1.0666666666666667</x:v>
      </x:c>
      <x:c r="J2340" s="16" t="n">
        <x:v>2.6</x:v>
      </x:c>
      <x:c r="K2340" s="11" t="n">
        <x:f>CHOOSE('假设'!$B$3,H2340,I2340,J2340)</x:f>
        <x:v>1.0666666666666667</x:v>
      </x:c>
      <x:c r="L2340" s="11" t="n">
        <x:f>K2340*'管线假设'!E515*'管线假设'!F515*'管线假设'!G515*IF(E2340="USD",'管线假设'!I515,1)-AM2340</x:f>
        <x:v>0.04198400000000001</x:v>
      </x:c>
      <x:c r="M2340" s="11" t="n">
        <x:f>'管线假设'!H515</x:f>
        <x:v>0.135</x:v>
      </x:c>
      <x:c r="N2340" s="11" t="n">
        <x:f>IF(G2340,L2340*AN2340/(1+M2340)^F2340,0)</x:f>
        <x:v>0.01963511091921247</x:v>
      </x:c>
      <x:c r="AJ2340" t="n">
        <x:v>0</x:v>
      </x:c>
      <x:c r="AK2340" t="n">
        <x:v>0</x:v>
      </x:c>
      <x:c r="AL2340" t="n">
        <x:v>0</x:v>
      </x:c>
      <x:c r="AM2340" t="n">
        <x:f>CHOOSE('假设'!$B$3,AJ2340,AK2340,AL2340)</x:f>
        <x:v>0</x:v>
      </x:c>
      <x:c r="AN2340" t="n">
        <x:v>1</x:v>
      </x:c>
    </x:row>
    <x:row r="2341" ht="23" customHeight="1">
      <x:c r="A2341" s="11" t="str">
        <x:v>688382.SH</x:v>
      </x:c>
      <x:c r="B2341" s="11" t="str">
        <x:v>2026年底</x:v>
      </x:c>
      <x:c r="C2341" s="11" t="str">
        <x:v>g12c_first_cn</x:v>
      </x:c>
      <x:c r="D2341" s="11" t="str">
        <x:v>2033-12-31</x:v>
      </x:c>
      <x:c r="E2341" s="11" t="str">
        <x:v>CNY</x:v>
      </x:c>
      <x:c r="F2341" s="11" t="n">
        <x:v>7.000684462696783</x:v>
      </x:c>
      <x:c r="G2341" s="26" t="b">
        <x:v>1</x:v>
      </x:c>
      <x:c r="H2341" s="16" t="n">
        <x:v>0.27999999999999997</x:v>
      </x:c>
      <x:c r="I2341" s="16" t="n">
        <x:v>1.3333333333333335</x:v>
      </x:c>
      <x:c r="J2341" s="16" t="n">
        <x:v>2.262</x:v>
      </x:c>
      <x:c r="K2341" s="11" t="n">
        <x:f>CHOOSE('假设'!$B$3,H2341,I2341,J2341)</x:f>
        <x:v>1.3333333333333335</x:v>
      </x:c>
      <x:c r="L2341" s="11" t="n">
        <x:f>K2341*'管线假设'!E515*'管线假设'!F515*'管线假设'!G515*IF(E2341="USD",'管线假设'!I515,1)-AM2341</x:f>
        <x:v>0.05248000000000001</x:v>
      </x:c>
      <x:c r="M2341" s="11" t="n">
        <x:f>'管线假设'!H515</x:f>
        <x:v>0.135</x:v>
      </x:c>
      <x:c r="N2341" s="11" t="n">
        <x:f>IF(G2341,L2341*AN2341/(1+M2341)^F2341,0)</x:f>
        <x:v>0.02162644589493978</x:v>
      </x:c>
      <x:c r="AJ2341" t="n">
        <x:v>0</x:v>
      </x:c>
      <x:c r="AK2341" t="n">
        <x:v>0</x:v>
      </x:c>
      <x:c r="AL2341" t="n">
        <x:v>0</x:v>
      </x:c>
      <x:c r="AM2341" t="n">
        <x:f>CHOOSE('假设'!$B$3,AJ2341,AK2341,AL2341)</x:f>
        <x:v>0</x:v>
      </x:c>
      <x:c r="AN2341" t="n">
        <x:v>1</x:v>
      </x:c>
    </x:row>
    <x:row r="2342" ht="23" customHeight="1">
      <x:c r="A2342" s="11" t="str">
        <x:v>688382.SH</x:v>
      </x:c>
      <x:c r="B2342" s="11" t="str">
        <x:v>2026年底</x:v>
      </x:c>
      <x:c r="C2342" s="11" t="str">
        <x:v>g12c_first_cn</x:v>
      </x:c>
      <x:c r="D2342" s="11" t="str">
        <x:v>2034-12-31</x:v>
      </x:c>
      <x:c r="E2342" s="11" t="str">
        <x:v>CNY</x:v>
      </x:c>
      <x:c r="F2342" s="11" t="n">
        <x:v>8</x:v>
      </x:c>
      <x:c r="G2342" s="26" t="b">
        <x:v>1</x:v>
      </x:c>
      <x:c r="H2342" s="16" t="n">
        <x:v>0.42</x:v>
      </x:c>
      <x:c r="I2342" s="16" t="n">
        <x:v>1.6</x:v>
      </x:c>
      <x:c r="J2342" s="16" t="n">
        <x:v>1.924</x:v>
      </x:c>
      <x:c r="K2342" s="11" t="n">
        <x:f>CHOOSE('假设'!$B$3,H2342,I2342,J2342)</x:f>
        <x:v>1.6</x:v>
      </x:c>
      <x:c r="L2342" s="11" t="n">
        <x:f>K2342*'管线假设'!E515*'管线假设'!F515*'管线假设'!G515*IF(E2342="USD",'管线假设'!I515,1)-AM2342</x:f>
        <x:v>0.06297600000000002</x:v>
      </x:c>
      <x:c r="M2342" s="11" t="n">
        <x:f>'管线假设'!H515</x:f>
        <x:v>0.135</x:v>
      </x:c>
      <x:c r="N2342" s="11" t="n">
        <x:f>IF(G2342,L2342*AN2342/(1+M2342)^F2342,0)</x:f>
        <x:v>0.02286694673700859</x:v>
      </x:c>
      <x:c r="AJ2342" t="n">
        <x:v>0</x:v>
      </x:c>
      <x:c r="AK2342" t="n">
        <x:v>0</x:v>
      </x:c>
      <x:c r="AL2342" t="n">
        <x:v>0</x:v>
      </x:c>
      <x:c r="AM2342" t="n">
        <x:f>CHOOSE('假设'!$B$3,AJ2342,AK2342,AL2342)</x:f>
        <x:v>0</x:v>
      </x:c>
      <x:c r="AN2342" t="n">
        <x:v>1</x:v>
      </x:c>
    </x:row>
    <x:row r="2343" ht="23" customHeight="1">
      <x:c r="A2343" s="11" t="str">
        <x:v>688382.SH</x:v>
      </x:c>
      <x:c r="B2343" s="11" t="str">
        <x:v>2026年底</x:v>
      </x:c>
      <x:c r="C2343" s="11" t="str">
        <x:v>g12c_first_cn</x:v>
      </x:c>
      <x:c r="D2343" s="11" t="str">
        <x:v>2035-12-31</x:v>
      </x:c>
      <x:c r="E2343" s="11" t="str">
        <x:v>CNY</x:v>
      </x:c>
      <x:c r="F2343" s="11" t="n">
        <x:v>8.999315537303216</x:v>
      </x:c>
      <x:c r="G2343" s="26" t="b">
        <x:v>1</x:v>
      </x:c>
      <x:c r="H2343" s="16" t="n">
        <x:v>0.5599999999999999</x:v>
      </x:c>
      <x:c r="I2343" s="16" t="n">
        <x:v>1.3920000000000001</x:v>
      </x:c>
      <x:c r="J2343" s="16" t="n">
        <x:v>1.586</x:v>
      </x:c>
      <x:c r="K2343" s="11" t="n">
        <x:f>CHOOSE('假设'!$B$3,H2343,I2343,J2343)</x:f>
        <x:v>1.3920000000000001</x:v>
      </x:c>
      <x:c r="L2343" s="11" t="n">
        <x:f>K2343*'管线假设'!E515*'管线假设'!F515*'管线假设'!G515*IF(E2343="USD",'管线假设'!I515,1)-AM2343</x:f>
        <x:v>0.05478912000000002</x:v>
      </x:c>
      <x:c r="M2343" s="11" t="n">
        <x:f>'管线假设'!H515</x:f>
        <x:v>0.135</x:v>
      </x:c>
      <x:c r="N2343" s="11" t="n">
        <x:f>IF(G2343,L2343*AN2343/(1+M2343)^F2343,0)</x:f>
        <x:v>0.01752948729161106</x:v>
      </x:c>
      <x:c r="AJ2343" t="n">
        <x:v>0</x:v>
      </x:c>
      <x:c r="AK2343" t="n">
        <x:v>0</x:v>
      </x:c>
      <x:c r="AL2343" t="n">
        <x:v>0</x:v>
      </x:c>
      <x:c r="AM2343" t="n">
        <x:f>CHOOSE('假设'!$B$3,AJ2343,AK2343,AL2343)</x:f>
        <x:v>0</x:v>
      </x:c>
      <x:c r="AN2343" t="n">
        <x:v>1</x:v>
      </x:c>
    </x:row>
    <x:row r="2344" ht="23" customHeight="1">
      <x:c r="A2344" s="11" t="str">
        <x:v>688382.SH</x:v>
      </x:c>
      <x:c r="B2344" s="11" t="str">
        <x:v>2026年底</x:v>
      </x:c>
      <x:c r="C2344" s="11" t="str">
        <x:v>g12c_first_cn</x:v>
      </x:c>
      <x:c r="D2344" s="11" t="str">
        <x:v>2036-12-31</x:v>
      </x:c>
      <x:c r="E2344" s="11" t="str">
        <x:v>CNY</x:v>
      </x:c>
      <x:c r="F2344" s="11" t="n">
        <x:v>10.001368925393566</x:v>
      </x:c>
      <x:c r="G2344" s="26" t="b">
        <x:v>1</x:v>
      </x:c>
      <x:c r="H2344" s="16" t="n">
        <x:v>0.7</x:v>
      </x:c>
      <x:c r="I2344" s="16" t="n">
        <x:v>1.184</x:v>
      </x:c>
      <x:c r="J2344" s="16" t="n">
        <x:v>1.248</x:v>
      </x:c>
      <x:c r="K2344" s="11" t="n">
        <x:f>CHOOSE('假设'!$B$3,H2344,I2344,J2344)</x:f>
        <x:v>1.184</x:v>
      </x:c>
      <x:c r="L2344" s="11" t="n">
        <x:f>K2344*'管线假设'!E515*'管线假设'!F515*'管线假设'!G515*IF(E2344="USD",'管线假设'!I515,1)-AM2344</x:f>
        <x:v>0.04660224</x:v>
      </x:c>
      <x:c r="M2344" s="11" t="n">
        <x:f>'管线假设'!H515</x:f>
        <x:v>0.135</x:v>
      </x:c>
      <x:c r="N2344" s="11" t="n">
        <x:f>IF(G2344,L2344*AN2344/(1+M2344)^F2344,0)</x:f>
        <x:v>0.01313327056961047</x:v>
      </x:c>
      <x:c r="AJ2344" t="n">
        <x:v>0</x:v>
      </x:c>
      <x:c r="AK2344" t="n">
        <x:v>0</x:v>
      </x:c>
      <x:c r="AL2344" t="n">
        <x:v>0</x:v>
      </x:c>
      <x:c r="AM2344" t="n">
        <x:f>CHOOSE('假设'!$B$3,AJ2344,AK2344,AL2344)</x:f>
        <x:v>0</x:v>
      </x:c>
      <x:c r="AN2344" t="n">
        <x:v>1</x:v>
      </x:c>
    </x:row>
    <x:row r="2345" ht="23" customHeight="1">
      <x:c r="A2345" s="11" t="str">
        <x:v>688382.SH</x:v>
      </x:c>
      <x:c r="B2345" s="11" t="str">
        <x:v>2026年底</x:v>
      </x:c>
      <x:c r="C2345" s="11" t="str">
        <x:v>g12c_first_cn</x:v>
      </x:c>
      <x:c r="D2345" s="11" t="str">
        <x:v>2037-12-31</x:v>
      </x:c>
      <x:c r="E2345" s="11" t="str">
        <x:v>CNY</x:v>
      </x:c>
      <x:c r="F2345" s="11" t="n">
        <x:v>11.000684462696784</x:v>
      </x:c>
      <x:c r="G2345" s="26" t="b">
        <x:v>1</x:v>
      </x:c>
      <x:c r="H2345" s="16" t="n">
        <x:v>0.609</x:v>
      </x:c>
      <x:c r="I2345" s="16" t="n">
        <x:v>0.976</x:v>
      </x:c>
      <x:c r="J2345" s="16" t="n">
        <x:v>0.9099999999999999</x:v>
      </x:c>
      <x:c r="K2345" s="11" t="n">
        <x:f>CHOOSE('假设'!$B$3,H2345,I2345,J2345)</x:f>
        <x:v>0.976</x:v>
      </x:c>
      <x:c r="L2345" s="11" t="n">
        <x:f>K2345*'管线假设'!E515*'管线假设'!F515*'管线假设'!G515*IF(E2345="USD",'管线假设'!I515,1)-AM2345</x:f>
        <x:v>0.03841536</x:v>
      </x:c>
      <x:c r="M2345" s="11" t="n">
        <x:f>'管线假设'!H515</x:f>
        <x:v>0.135</x:v>
      </x:c>
      <x:c r="N2345" s="11" t="n">
        <x:f>IF(G2345,L2345*AN2345/(1+M2345)^F2345,0)</x:f>
        <x:v>0.009539218310708558</x:v>
      </x:c>
      <x:c r="AJ2345" t="n">
        <x:v>0</x:v>
      </x:c>
      <x:c r="AK2345" t="n">
        <x:v>0</x:v>
      </x:c>
      <x:c r="AL2345" t="n">
        <x:v>0</x:v>
      </x:c>
      <x:c r="AM2345" t="n">
        <x:f>CHOOSE('假设'!$B$3,AJ2345,AK2345,AL2345)</x:f>
        <x:v>0</x:v>
      </x:c>
      <x:c r="AN2345" t="n">
        <x:v>1</x:v>
      </x:c>
    </x:row>
    <x:row r="2346" ht="23" customHeight="1">
      <x:c r="A2346" s="11" t="str">
        <x:v>688382.SH</x:v>
      </x:c>
      <x:c r="B2346" s="11" t="str">
        <x:v>2026年底</x:v>
      </x:c>
      <x:c r="C2346" s="11" t="str">
        <x:v>g12c_first_cn</x:v>
      </x:c>
      <x:c r="D2346" s="11" t="str">
        <x:v>2038-12-31</x:v>
      </x:c>
      <x:c r="E2346" s="11" t="str">
        <x:v>CNY</x:v>
      </x:c>
      <x:c r="F2346" s="11" t="n">
        <x:v>12</x:v>
      </x:c>
      <x:c r="G2346" s="26" t="b">
        <x:v>1</x:v>
      </x:c>
      <x:c r="H2346" s="16" t="n">
        <x:v>0.518</x:v>
      </x:c>
      <x:c r="I2346" s="16" t="n">
        <x:v>0.768</x:v>
      </x:c>
      <x:c r="J2346" s="16" t="n">
        <x:v>0.572</x:v>
      </x:c>
      <x:c r="K2346" s="11" t="n">
        <x:f>CHOOSE('假设'!$B$3,H2346,I2346,J2346)</x:f>
        <x:v>0.768</x:v>
      </x:c>
      <x:c r="L2346" s="11" t="n">
        <x:f>K2346*'管线假设'!E515*'管线假设'!F515*'管线假设'!G515*IF(E2346="USD",'管线假设'!I515,1)-AM2346</x:f>
        <x:v>0.030228480000000002</x:v>
      </x:c>
      <x:c r="M2346" s="11" t="n">
        <x:f>'管线假设'!H515</x:f>
        <x:v>0.135</x:v>
      </x:c>
      <x:c r="N2346" s="11" t="n">
        <x:f>IF(G2346,L2346*AN2346/(1+M2346)^F2346,0)</x:f>
        <x:v>0.006614027121355186</x:v>
      </x:c>
      <x:c r="AJ2346" t="n">
        <x:v>0</x:v>
      </x:c>
      <x:c r="AK2346" t="n">
        <x:v>0</x:v>
      </x:c>
      <x:c r="AL2346" t="n">
        <x:v>0</x:v>
      </x:c>
      <x:c r="AM2346" t="n">
        <x:f>CHOOSE('假设'!$B$3,AJ2346,AK2346,AL2346)</x:f>
        <x:v>0</x:v>
      </x:c>
      <x:c r="AN2346" t="n">
        <x:v>1</x:v>
      </x:c>
    </x:row>
    <x:row r="2347" ht="23" customHeight="1">
      <x:c r="A2347" s="11" t="str">
        <x:v>688382.SH</x:v>
      </x:c>
      <x:c r="B2347" s="11" t="str">
        <x:v>2026年底</x:v>
      </x:c>
      <x:c r="C2347" s="11" t="str">
        <x:v>g12c_first_cn</x:v>
      </x:c>
      <x:c r="D2347" s="11" t="str">
        <x:v>2039-12-31</x:v>
      </x:c>
      <x:c r="E2347" s="11" t="str">
        <x:v>CNY</x:v>
      </x:c>
      <x:c r="F2347" s="11" t="n">
        <x:v>12.999315537303216</x:v>
      </x:c>
      <x:c r="G2347" s="26" t="b">
        <x:v>1</x:v>
      </x:c>
      <x:c r="H2347" s="16" t="n">
        <x:v>0.427</x:v>
      </x:c>
      <x:c r="I2347" s="16" t="n">
        <x:v>0.5599999999999999</x:v>
      </x:c>
      <x:c r="J2347" s="16" t="n">
        <x:v>0.23399999999999993</x:v>
      </x:c>
      <x:c r="K2347" s="11" t="n">
        <x:f>CHOOSE('假设'!$B$3,H2347,I2347,J2347)</x:f>
        <x:v>0.5599999999999999</x:v>
      </x:c>
      <x:c r="L2347" s="11" t="n">
        <x:f>K2347*'管线假设'!E515*'管线假设'!F515*'管线假设'!G515*IF(E2347="USD",'管线假设'!I515,1)-AM2347</x:f>
        <x:v>0.022041600000000005</x:v>
      </x:c>
      <x:c r="M2347" s="11" t="n">
        <x:f>'管线假设'!H515</x:f>
        <x:v>0.135</x:v>
      </x:c>
      <x:c r="N2347" s="11" t="n">
        <x:f>IF(G2347,L2347*AN2347/(1+M2347)^F2347,0)</x:f>
        <x:v>0.004249467963848086</x:v>
      </x:c>
      <x:c r="AJ2347" t="n">
        <x:v>0</x:v>
      </x:c>
      <x:c r="AK2347" t="n">
        <x:v>0</x:v>
      </x:c>
      <x:c r="AL2347" t="n">
        <x:v>0</x:v>
      </x:c>
      <x:c r="AM2347" t="n">
        <x:f>CHOOSE('假设'!$B$3,AJ2347,AK2347,AL2347)</x:f>
        <x:v>0</x:v>
      </x:c>
      <x:c r="AN2347" t="n">
        <x:v>1</x:v>
      </x:c>
    </x:row>
    <x:row r="2348" ht="23" customHeight="1">
      <x:c r="A2348" s="11" t="str">
        <x:v>688382.SH</x:v>
      </x:c>
      <x:c r="B2348" s="11" t="str">
        <x:v>2026年底</x:v>
      </x:c>
      <x:c r="C2348" s="11" t="str">
        <x:v>g12c_first_cn</x:v>
      </x:c>
      <x:c r="D2348" s="11" t="str">
        <x:v>2040-12-31</x:v>
      </x:c>
      <x:c r="E2348" s="11" t="str">
        <x:v>CNY</x:v>
      </x:c>
      <x:c r="F2348" s="11" t="n">
        <x:v>14.001368925393566</x:v>
      </x:c>
      <x:c r="G2348" s="26" t="b">
        <x:v>1</x:v>
      </x:c>
      <x:c r="H2348" s="16" t="n">
        <x:v>0.33599999999999997</x:v>
      </x:c>
      <x:c r="I2348" s="16" t="n">
        <x:v>0.352</x:v>
      </x:c>
      <x:c r="J2348" s="16" t="n">
        <x:v>0</x:v>
      </x:c>
      <x:c r="K2348" s="11" t="n">
        <x:f>CHOOSE('假设'!$B$3,H2348,I2348,J2348)</x:f>
        <x:v>0.352</x:v>
      </x:c>
      <x:c r="L2348" s="11" t="n">
        <x:f>K2348*'管线假设'!E515*'管线假设'!F515*'管线假设'!G515*IF(E2348="USD",'管线假设'!I515,1)-AM2348</x:f>
        <x:v>0.013854720000000001</x:v>
      </x:c>
      <x:c r="M2348" s="11" t="n">
        <x:f>'管线假设'!H515</x:f>
        <x:v>0.135</x:v>
      </x:c>
      <x:c r="N2348" s="11" t="n">
        <x:f>IF(G2348,L2348*AN2348/(1+M2348)^F2348,0)</x:f>
        <x:v>0.002352775052979115</x:v>
      </x:c>
      <x:c r="AJ2348" t="n">
        <x:v>0</x:v>
      </x:c>
      <x:c r="AK2348" t="n">
        <x:v>0</x:v>
      </x:c>
      <x:c r="AL2348" t="n">
        <x:v>0</x:v>
      </x:c>
      <x:c r="AM2348" t="n">
        <x:f>CHOOSE('假设'!$B$3,AJ2348,AK2348,AL2348)</x:f>
        <x:v>0</x:v>
      </x:c>
      <x:c r="AN2348" t="n">
        <x:v>1</x:v>
      </x:c>
    </x:row>
    <x:row r="2349" ht="23" customHeight="1">
      <x:c r="A2349" s="11" t="str">
        <x:v>688382.SH</x:v>
      </x:c>
      <x:c r="B2349" s="11" t="str">
        <x:v>2026年底</x:v>
      </x:c>
      <x:c r="C2349" s="11" t="str">
        <x:v>g12c_first_cn</x:v>
      </x:c>
      <x:c r="D2349" s="11" t="str">
        <x:v>2041-12-31</x:v>
      </x:c>
      <x:c r="E2349" s="11" t="str">
        <x:v>CNY</x:v>
      </x:c>
      <x:c r="F2349" s="11" t="n">
        <x:v>15.000684462696784</x:v>
      </x:c>
      <x:c r="G2349" s="26" t="b">
        <x:v>1</x:v>
      </x:c>
      <x:c r="H2349" s="16" t="n">
        <x:v>0.24499999999999997</x:v>
      </x:c>
      <x:c r="I2349" s="16" t="n">
        <x:v>0.14399999999999996</x:v>
      </x:c>
      <x:c r="J2349" s="16" t="n">
        <x:v>0</x:v>
      </x:c>
      <x:c r="K2349" s="11" t="n">
        <x:f>CHOOSE('假设'!$B$3,H2349,I2349,J2349)</x:f>
        <x:v>0.14399999999999996</x:v>
      </x:c>
      <x:c r="L2349" s="11" t="n">
        <x:f>K2349*'管线假设'!E515*'管线假设'!F515*'管线假设'!G515*IF(E2349="USD",'管线假设'!I515,1)-AM2349</x:f>
        <x:v>0.005667839999999999</x:v>
      </x:c>
      <x:c r="M2349" s="11" t="n">
        <x:f>'管线假设'!H515</x:f>
        <x:v>0.135</x:v>
      </x:c>
      <x:c r="N2349" s="11" t="n">
        <x:f>IF(G2349,L2349*AN2349/(1+M2349)^F2349,0)</x:f>
        <x:v>0.0008480901443432678</x:v>
      </x:c>
      <x:c r="AJ2349" t="n">
        <x:v>0</x:v>
      </x:c>
      <x:c r="AK2349" t="n">
        <x:v>0</x:v>
      </x:c>
      <x:c r="AL2349" t="n">
        <x:v>0</x:v>
      </x:c>
      <x:c r="AM2349" t="n">
        <x:f>CHOOSE('假设'!$B$3,AJ2349,AK2349,AL2349)</x:f>
        <x:v>0</x:v>
      </x:c>
      <x:c r="AN2349" t="n">
        <x:v>1</x:v>
      </x:c>
    </x:row>
    <x:row r="2350" ht="23" customHeight="1">
      <x:c r="A2350" s="11" t="str">
        <x:v>688382.SH</x:v>
      </x:c>
      <x:c r="B2350" s="11" t="str">
        <x:v>2026年底</x:v>
      </x:c>
      <x:c r="C2350" s="11" t="str">
        <x:v>g12c_first_cn</x:v>
      </x:c>
      <x:c r="D2350" s="11" t="str">
        <x:v>2042-12-31</x:v>
      </x:c>
      <x:c r="E2350" s="11" t="str">
        <x:v>CNY</x:v>
      </x:c>
      <x:c r="F2350" s="11" t="n">
        <x:v>16</x:v>
      </x:c>
      <x:c r="G2350" s="26" t="b">
        <x:v>1</x:v>
      </x:c>
      <x:c r="H2350" s="16" t="n">
        <x:v>0.15399999999999997</x:v>
      </x:c>
      <x:c r="I2350" s="16" t="n">
        <x:v>0</x:v>
      </x:c>
      <x:c r="J2350" s="16" t="n">
        <x:v>0</x:v>
      </x:c>
      <x:c r="K2350" s="11" t="n">
        <x:f>CHOOSE('假设'!$B$3,H2350,I2350,J2350)</x:f>
        <x:v>0</x:v>
      </x:c>
      <x:c r="L2350" s="11" t="n">
        <x:f>K2350*'管线假设'!E515*'管线假设'!F515*'管线假设'!G515*IF(E2350="USD",'管线假设'!I515,1)-AM2350</x:f>
        <x:v>0</x:v>
      </x:c>
      <x:c r="M2350" s="11" t="n">
        <x:f>'管线假设'!H515</x:f>
        <x:v>0.135</x:v>
      </x:c>
      <x:c r="N2350" s="11" t="n">
        <x:f>IF(G2350,L2350*AN2350/(1+M2350)^F2350,0)</x:f>
        <x:v>0</x:v>
      </x:c>
      <x:c r="AJ2350" t="n">
        <x:v>0</x:v>
      </x:c>
      <x:c r="AK2350" t="n">
        <x:v>0</x:v>
      </x:c>
      <x:c r="AL2350" t="n">
        <x:v>0</x:v>
      </x:c>
      <x:c r="AM2350" t="n">
        <x:f>CHOOSE('假设'!$B$3,AJ2350,AK2350,AL2350)</x:f>
        <x:v>0</x:v>
      </x:c>
      <x:c r="AN2350" t="n">
        <x:v>1</x:v>
      </x:c>
    </x:row>
    <x:row r="2351" ht="23" customHeight="1">
      <x:c r="A2351" s="11" t="str">
        <x:v>688382.SH</x:v>
      </x:c>
      <x:c r="B2351" s="11" t="str">
        <x:v>2026年底</x:v>
      </x:c>
      <x:c r="C2351" s="11" t="str">
        <x:v>g12c_first_cn</x:v>
      </x:c>
      <x:c r="D2351" s="11" t="str">
        <x:v>2043-12-31</x:v>
      </x:c>
      <x:c r="E2351" s="11" t="str">
        <x:v>CNY</x:v>
      </x:c>
      <x:c r="F2351" s="11" t="n">
        <x:v>16.999315537303218</x:v>
      </x:c>
      <x:c r="G2351" s="26" t="b">
        <x:v>1</x:v>
      </x:c>
      <x:c r="H2351" s="16" t="n">
        <x:v>0.06299999999999997</x:v>
      </x:c>
      <x:c r="I2351" s="16" t="n">
        <x:v>0</x:v>
      </x:c>
      <x:c r="J2351" s="16" t="n">
        <x:v>0</x:v>
      </x:c>
      <x:c r="K2351" s="11" t="n">
        <x:f>CHOOSE('假设'!$B$3,H2351,I2351,J2351)</x:f>
        <x:v>0</x:v>
      </x:c>
      <x:c r="L2351" s="11" t="n">
        <x:f>K2351*'管线假设'!E515*'管线假设'!F515*'管线假设'!G515*IF(E2351="USD",'管线假设'!I515,1)-AM2351</x:f>
        <x:v>0</x:v>
      </x:c>
      <x:c r="M2351" s="11" t="n">
        <x:f>'管线假设'!H515</x:f>
        <x:v>0.135</x:v>
      </x:c>
      <x:c r="N2351" s="11" t="n">
        <x:f>IF(G2351,L2351*AN2351/(1+M2351)^F2351,0)</x:f>
        <x:v>0</x:v>
      </x:c>
      <x:c r="AJ2351" t="n">
        <x:v>0</x:v>
      </x:c>
      <x:c r="AK2351" t="n">
        <x:v>0</x:v>
      </x:c>
      <x:c r="AL2351" t="n">
        <x:v>0</x:v>
      </x:c>
      <x:c r="AM2351" t="n">
        <x:f>CHOOSE('假设'!$B$3,AJ2351,AK2351,AL2351)</x:f>
        <x:v>0</x:v>
      </x:c>
      <x:c r="AN2351" t="n">
        <x:v>1</x:v>
      </x:c>
    </x:row>
    <x:row r="2352" ht="23" customHeight="1">
      <x:c r="A2352" s="11" t="str">
        <x:v>688382.SH</x:v>
      </x:c>
      <x:c r="B2352" s="11" t="str">
        <x:v>2026年底</x:v>
      </x:c>
      <x:c r="C2352" s="11" t="str">
        <x:v>g12c_first_cn</x:v>
      </x:c>
      <x:c r="D2352" s="11" t="str">
        <x:v>2044-12-31</x:v>
      </x:c>
      <x:c r="E2352" s="11" t="str">
        <x:v>CNY</x:v>
      </x:c>
      <x:c r="F2352" s="11" t="n">
        <x:v>18.001368925393567</x:v>
      </x:c>
      <x:c r="G2352" s="26" t="b">
        <x:v>1</x:v>
      </x:c>
      <x:c r="H2352" s="16" t="n">
        <x:v>0</x:v>
      </x:c>
      <x:c r="I2352" s="16" t="n">
        <x:v>0</x:v>
      </x:c>
      <x:c r="J2352" s="16" t="n">
        <x:v>0</x:v>
      </x:c>
      <x:c r="K2352" s="11" t="n">
        <x:f>CHOOSE('假设'!$B$3,H2352,I2352,J2352)</x:f>
        <x:v>0</x:v>
      </x:c>
      <x:c r="L2352" s="11" t="n">
        <x:f>K2352*'管线假设'!E515*'管线假设'!F515*'管线假设'!G515*IF(E2352="USD",'管线假设'!I515,1)-AM2352</x:f>
        <x:v>0</x:v>
      </x:c>
      <x:c r="M2352" s="11" t="n">
        <x:f>'管线假设'!H515</x:f>
        <x:v>0.135</x:v>
      </x:c>
      <x:c r="N2352" s="11" t="n">
        <x:f>IF(G2352,L2352*AN2352/(1+M2352)^F2352,0)</x:f>
        <x:v>0</x:v>
      </x:c>
      <x:c r="AJ2352" t="n">
        <x:v>0</x:v>
      </x:c>
      <x:c r="AK2352" t="n">
        <x:v>0</x:v>
      </x:c>
      <x:c r="AL2352" t="n">
        <x:v>0</x:v>
      </x:c>
      <x:c r="AM2352" t="n">
        <x:f>CHOOSE('假设'!$B$3,AJ2352,AK2352,AL2352)</x:f>
        <x:v>0</x:v>
      </x:c>
      <x:c r="AN2352" t="n">
        <x:v>1</x:v>
      </x:c>
    </x:row>
    <x:row r="2353" ht="23" customHeight="1">
      <x:c r="A2353" s="11" t="str">
        <x:v>688382.SH</x:v>
      </x:c>
      <x:c r="B2353" s="11" t="str">
        <x:v>2026年底</x:v>
      </x:c>
      <x:c r="C2353" s="11" t="str">
        <x:v>g12c_first_cn</x:v>
      </x:c>
      <x:c r="D2353" s="11" t="str">
        <x:v>2045-12-31</x:v>
      </x:c>
      <x:c r="E2353" s="11" t="str">
        <x:v>CNY</x:v>
      </x:c>
      <x:c r="F2353" s="11" t="n">
        <x:v>19.000684462696782</x:v>
      </x:c>
      <x:c r="G2353" s="26" t="b">
        <x:v>1</x:v>
      </x:c>
      <x:c r="H2353" s="16" t="n">
        <x:v>0</x:v>
      </x:c>
      <x:c r="I2353" s="16" t="n">
        <x:v>0</x:v>
      </x:c>
      <x:c r="J2353" s="16" t="n">
        <x:v>0</x:v>
      </x:c>
      <x:c r="K2353" s="11" t="n">
        <x:f>CHOOSE('假设'!$B$3,H2353,I2353,J2353)</x:f>
        <x:v>0</x:v>
      </x:c>
      <x:c r="L2353" s="11" t="n">
        <x:f>K2353*'管线假设'!E515*'管线假设'!F515*'管线假设'!G515*IF(E2353="USD",'管线假设'!I515,1)-AM2353</x:f>
        <x:v>0</x:v>
      </x:c>
      <x:c r="M2353" s="11" t="n">
        <x:f>'管线假设'!H515</x:f>
        <x:v>0.135</x:v>
      </x:c>
      <x:c r="N2353" s="11" t="n">
        <x:f>IF(G2353,L2353*AN2353/(1+M2353)^F2353,0)</x:f>
        <x:v>0</x:v>
      </x:c>
      <x:c r="AJ2353" t="n">
        <x:v>0</x:v>
      </x:c>
      <x:c r="AK2353" t="n">
        <x:v>0</x:v>
      </x:c>
      <x:c r="AL2353" t="n">
        <x:v>0</x:v>
      </x:c>
      <x:c r="AM2353" t="n">
        <x:f>CHOOSE('假设'!$B$3,AJ2353,AK2353,AL2353)</x:f>
        <x:v>0</x:v>
      </x:c>
      <x:c r="AN2353" t="n">
        <x:v>1</x:v>
      </x:c>
    </x:row>
    <x:row r="2354" ht="23" customHeight="1">
      <x:c r="A2354" s="11" t="str">
        <x:v>688382.SH</x:v>
      </x:c>
      <x:c r="B2354" s="11" t="str">
        <x:v>2026年底</x:v>
      </x:c>
      <x:c r="C2354" s="11" t="str">
        <x:v>g12c_crc_cn</x:v>
      </x:c>
      <x:c r="D2354" s="11" t="str">
        <x:v>2027-12-31</x:v>
      </x:c>
      <x:c r="E2354" s="11" t="str">
        <x:v>CNY</x:v>
      </x:c>
      <x:c r="F2354" s="11" t="n">
        <x:v>0.999315537303217</x:v>
      </x:c>
      <x:c r="G2354" s="26" t="b">
        <x:v>1</x:v>
      </x:c>
      <x:c r="H2354" s="16" t="n">
        <x:v>0</x:v>
      </x:c>
      <x:c r="I2354" s="16" t="n">
        <x:v>0</x:v>
      </x:c>
      <x:c r="J2354" s="16" t="n">
        <x:v>0</x:v>
      </x:c>
      <x:c r="K2354" s="11" t="n">
        <x:f>CHOOSE('假设'!$B$3,H2354,I2354,J2354)</x:f>
        <x:v>0</x:v>
      </x:c>
      <x:c r="L2354" s="11" t="n">
        <x:f>K2354*'管线假设'!E519*'管线假设'!F519*'管线假设'!G519*IF(E2354="USD",'管线假设'!I519,1)-AM2354</x:f>
        <x:v>0</x:v>
      </x:c>
      <x:c r="M2354" s="11" t="n">
        <x:f>'管线假设'!H519</x:f>
        <x:v>0.135</x:v>
      </x:c>
      <x:c r="N2354" s="11" t="n">
        <x:f>IF(G2354,L2354*AN2354/(1+M2354)^F2354,0)</x:f>
        <x:v>0</x:v>
      </x:c>
      <x:c r="AJ2354" t="n">
        <x:v>0</x:v>
      </x:c>
      <x:c r="AK2354" t="n">
        <x:v>0</x:v>
      </x:c>
      <x:c r="AL2354" t="n">
        <x:v>0</x:v>
      </x:c>
      <x:c r="AM2354" t="n">
        <x:f>CHOOSE('假设'!$B$3,AJ2354,AK2354,AL2354)</x:f>
        <x:v>0</x:v>
      </x:c>
      <x:c r="AN2354" t="n">
        <x:v>1</x:v>
      </x:c>
    </x:row>
    <x:row r="2355" ht="23" customHeight="1">
      <x:c r="A2355" s="11" t="str">
        <x:v>688382.SH</x:v>
      </x:c>
      <x:c r="B2355" s="11" t="str">
        <x:v>2026年底</x:v>
      </x:c>
      <x:c r="C2355" s="11" t="str">
        <x:v>g12c_crc_cn</x:v>
      </x:c>
      <x:c r="D2355" s="11" t="str">
        <x:v>2028-12-31</x:v>
      </x:c>
      <x:c r="E2355" s="11" t="str">
        <x:v>CNY</x:v>
      </x:c>
      <x:c r="F2355" s="11" t="n">
        <x:v>2.001368925393566</x:v>
      </x:c>
      <x:c r="G2355" s="26" t="b">
        <x:v>1</x:v>
      </x:c>
      <x:c r="H2355" s="16" t="n">
        <x:v>0</x:v>
      </x:c>
      <x:c r="I2355" s="16" t="n">
        <x:v>0</x:v>
      </x:c>
      <x:c r="J2355" s="16" t="n">
        <x:v>0</x:v>
      </x:c>
      <x:c r="K2355" s="11" t="n">
        <x:f>CHOOSE('假设'!$B$3,H2355,I2355,J2355)</x:f>
        <x:v>0</x:v>
      </x:c>
      <x:c r="L2355" s="11" t="n">
        <x:f>K2355*'管线假设'!E519*'管线假设'!F519*'管线假设'!G519*IF(E2355="USD",'管线假设'!I519,1)-AM2355</x:f>
        <x:v>0</x:v>
      </x:c>
      <x:c r="M2355" s="11" t="n">
        <x:f>'管线假设'!H519</x:f>
        <x:v>0.135</x:v>
      </x:c>
      <x:c r="N2355" s="11" t="n">
        <x:f>IF(G2355,L2355*AN2355/(1+M2355)^F2355,0)</x:f>
        <x:v>0</x:v>
      </x:c>
      <x:c r="AJ2355" t="n">
        <x:v>0</x:v>
      </x:c>
      <x:c r="AK2355" t="n">
        <x:v>0</x:v>
      </x:c>
      <x:c r="AL2355" t="n">
        <x:v>0</x:v>
      </x:c>
      <x:c r="AM2355" t="n">
        <x:f>CHOOSE('假设'!$B$3,AJ2355,AK2355,AL2355)</x:f>
        <x:v>0</x:v>
      </x:c>
      <x:c r="AN2355" t="n">
        <x:v>1</x:v>
      </x:c>
    </x:row>
    <x:row r="2356" ht="23" customHeight="1">
      <x:c r="A2356" s="11" t="str">
        <x:v>688382.SH</x:v>
      </x:c>
      <x:c r="B2356" s="11" t="str">
        <x:v>2026年底</x:v>
      </x:c>
      <x:c r="C2356" s="11" t="str">
        <x:v>g12c_crc_cn</x:v>
      </x:c>
      <x:c r="D2356" s="11" t="str">
        <x:v>2029-12-31</x:v>
      </x:c>
      <x:c r="E2356" s="11" t="str">
        <x:v>CNY</x:v>
      </x:c>
      <x:c r="F2356" s="11" t="n">
        <x:v>3.0006844626967832</x:v>
      </x:c>
      <x:c r="G2356" s="26" t="b">
        <x:v>1</x:v>
      </x:c>
      <x:c r="H2356" s="16" t="n">
        <x:v>0</x:v>
      </x:c>
      <x:c r="I2356" s="16" t="n">
        <x:v>0</x:v>
      </x:c>
      <x:c r="J2356" s="16" t="n">
        <x:v>0.19999999999999998</x:v>
      </x:c>
      <x:c r="K2356" s="11" t="n">
        <x:f>CHOOSE('假设'!$B$3,H2356,I2356,J2356)</x:f>
        <x:v>0</x:v>
      </x:c>
      <x:c r="L2356" s="11" t="n">
        <x:f>K2356*'管线假设'!E519*'管线假设'!F519*'管线假设'!G519*IF(E2356="USD",'管线假设'!I519,1)-AM2356</x:f>
        <x:v>0</x:v>
      </x:c>
      <x:c r="M2356" s="11" t="n">
        <x:f>'管线假设'!H519</x:f>
        <x:v>0.135</x:v>
      </x:c>
      <x:c r="N2356" s="11" t="n">
        <x:f>IF(G2356,L2356*AN2356/(1+M2356)^F2356,0)</x:f>
        <x:v>0</x:v>
      </x:c>
      <x:c r="AJ2356" t="n">
        <x:v>0</x:v>
      </x:c>
      <x:c r="AK2356" t="n">
        <x:v>0</x:v>
      </x:c>
      <x:c r="AL2356" t="n">
        <x:v>0</x:v>
      </x:c>
      <x:c r="AM2356" t="n">
        <x:f>CHOOSE('假设'!$B$3,AJ2356,AK2356,AL2356)</x:f>
        <x:v>0</x:v>
      </x:c>
      <x:c r="AN2356" t="n">
        <x:v>1</x:v>
      </x:c>
    </x:row>
    <x:row r="2357" ht="23" customHeight="1">
      <x:c r="A2357" s="11" t="str">
        <x:v>688382.SH</x:v>
      </x:c>
      <x:c r="B2357" s="11" t="str">
        <x:v>2026年底</x:v>
      </x:c>
      <x:c r="C2357" s="11" t="str">
        <x:v>g12c_crc_cn</x:v>
      </x:c>
      <x:c r="D2357" s="11" t="str">
        <x:v>2030-12-31</x:v>
      </x:c>
      <x:c r="E2357" s="11" t="str">
        <x:v>CNY</x:v>
      </x:c>
      <x:c r="F2357" s="11" t="n">
        <x:v>4</x:v>
      </x:c>
      <x:c r="G2357" s="26" t="b">
        <x:v>1</x:v>
      </x:c>
      <x:c r="H2357" s="16" t="n">
        <x:v>0</x:v>
      </x:c>
      <x:c r="I2357" s="16" t="n">
        <x:v>0</x:v>
      </x:c>
      <x:c r="J2357" s="16" t="n">
        <x:v>0.39999999999999997</x:v>
      </x:c>
      <x:c r="K2357" s="11" t="n">
        <x:f>CHOOSE('假设'!$B$3,H2357,I2357,J2357)</x:f>
        <x:v>0</x:v>
      </x:c>
      <x:c r="L2357" s="11" t="n">
        <x:f>K2357*'管线假设'!E519*'管线假设'!F519*'管线假设'!G519*IF(E2357="USD",'管线假设'!I519,1)-AM2357</x:f>
        <x:v>0</x:v>
      </x:c>
      <x:c r="M2357" s="11" t="n">
        <x:f>'管线假设'!H519</x:f>
        <x:v>0.135</x:v>
      </x:c>
      <x:c r="N2357" s="11" t="n">
        <x:f>IF(G2357,L2357*AN2357/(1+M2357)^F2357,0)</x:f>
        <x:v>0</x:v>
      </x:c>
      <x:c r="AJ2357" t="n">
        <x:v>0</x:v>
      </x:c>
      <x:c r="AK2357" t="n">
        <x:v>0</x:v>
      </x:c>
      <x:c r="AL2357" t="n">
        <x:v>0</x:v>
      </x:c>
      <x:c r="AM2357" t="n">
        <x:f>CHOOSE('假设'!$B$3,AJ2357,AK2357,AL2357)</x:f>
        <x:v>0</x:v>
      </x:c>
      <x:c r="AN2357" t="n">
        <x:v>1</x:v>
      </x:c>
    </x:row>
    <x:row r="2358" ht="23" customHeight="1">
      <x:c r="A2358" s="11" t="str">
        <x:v>688382.SH</x:v>
      </x:c>
      <x:c r="B2358" s="11" t="str">
        <x:v>2026年底</x:v>
      </x:c>
      <x:c r="C2358" s="11" t="str">
        <x:v>g12c_crc_cn</x:v>
      </x:c>
      <x:c r="D2358" s="11" t="str">
        <x:v>2031-12-31</x:v>
      </x:c>
      <x:c r="E2358" s="11" t="str">
        <x:v>CNY</x:v>
      </x:c>
      <x:c r="F2358" s="11" t="n">
        <x:v>4.999315537303217</x:v>
      </x:c>
      <x:c r="G2358" s="26" t="b">
        <x:v>1</x:v>
      </x:c>
      <x:c r="H2358" s="16" t="n">
        <x:v>0</x:v>
      </x:c>
      <x:c r="I2358" s="16" t="n">
        <x:v>0.11666666666666665</x:v>
      </x:c>
      <x:c r="J2358" s="16" t="n">
        <x:v>0.6</x:v>
      </x:c>
      <x:c r="K2358" s="11" t="n">
        <x:f>CHOOSE('假设'!$B$3,H2358,I2358,J2358)</x:f>
        <x:v>0.11666666666666665</x:v>
      </x:c>
      <x:c r="L2358" s="11" t="n">
        <x:f>K2358*'管线假设'!E519*'管线假设'!F519*'管线假设'!G519*IF(E2358="USD",'管线假设'!I519,1)-AM2358</x:f>
        <x:v>0.0025830000000000007</x:v>
      </x:c>
      <x:c r="M2358" s="11" t="n">
        <x:f>'管线假设'!H519</x:f>
        <x:v>0.135</x:v>
      </x:c>
      <x:c r="N2358" s="11" t="n">
        <x:f>IF(G2358,L2358*AN2358/(1+M2358)^F2358,0)</x:f>
        <x:v>0.0013714587231028592</x:v>
      </x:c>
      <x:c r="AJ2358" t="n">
        <x:v>0</x:v>
      </x:c>
      <x:c r="AK2358" t="n">
        <x:v>0</x:v>
      </x:c>
      <x:c r="AL2358" t="n">
        <x:v>0</x:v>
      </x:c>
      <x:c r="AM2358" t="n">
        <x:f>CHOOSE('假设'!$B$3,AJ2358,AK2358,AL2358)</x:f>
        <x:v>0</x:v>
      </x:c>
      <x:c r="AN2358" t="n">
        <x:v>1</x:v>
      </x:c>
    </x:row>
    <x:row r="2359" ht="23" customHeight="1">
      <x:c r="A2359" s="11" t="str">
        <x:v>688382.SH</x:v>
      </x:c>
      <x:c r="B2359" s="11" t="str">
        <x:v>2026年底</x:v>
      </x:c>
      <x:c r="C2359" s="11" t="str">
        <x:v>g12c_crc_cn</x:v>
      </x:c>
      <x:c r="D2359" s="11" t="str">
        <x:v>2032-12-31</x:v>
      </x:c>
      <x:c r="E2359" s="11" t="str">
        <x:v>CNY</x:v>
      </x:c>
      <x:c r="F2359" s="11" t="n">
        <x:v>6.0013689253935665</x:v>
      </x:c>
      <x:c r="G2359" s="26" t="b">
        <x:v>1</x:v>
      </x:c>
      <x:c r="H2359" s="16" t="n">
        <x:v>0</x:v>
      </x:c>
      <x:c r="I2359" s="16" t="n">
        <x:v>0.2333333333333333</x:v>
      </x:c>
      <x:c r="J2359" s="16" t="n">
        <x:v>0.7999999999999999</x:v>
      </x:c>
      <x:c r="K2359" s="11" t="n">
        <x:f>CHOOSE('假设'!$B$3,H2359,I2359,J2359)</x:f>
        <x:v>0.2333333333333333</x:v>
      </x:c>
      <x:c r="L2359" s="11" t="n">
        <x:f>K2359*'管线假设'!E519*'管线假设'!F519*'管线假设'!G519*IF(E2359="USD",'管线假设'!I519,1)-AM2359</x:f>
        <x:v>0.005166000000000001</x:v>
      </x:c>
      <x:c r="M2359" s="11" t="n">
        <x:f>'管线假设'!H519</x:f>
        <x:v>0.135</x:v>
      </x:c>
      <x:c r="N2359" s="11" t="n">
        <x:f>IF(G2359,L2359*AN2359/(1+M2359)^F2359,0)</x:f>
        <x:v>0.0024160390388874723</x:v>
      </x:c>
      <x:c r="AJ2359" t="n">
        <x:v>0</x:v>
      </x:c>
      <x:c r="AK2359" t="n">
        <x:v>0</x:v>
      </x:c>
      <x:c r="AL2359" t="n">
        <x:v>0</x:v>
      </x:c>
      <x:c r="AM2359" t="n">
        <x:f>CHOOSE('假设'!$B$3,AJ2359,AK2359,AL2359)</x:f>
        <x:v>0</x:v>
      </x:c>
      <x:c r="AN2359" t="n">
        <x:v>1</x:v>
      </x:c>
    </x:row>
    <x:row r="2360" ht="23" customHeight="1">
      <x:c r="A2360" s="11" t="str">
        <x:v>688382.SH</x:v>
      </x:c>
      <x:c r="B2360" s="11" t="str">
        <x:v>2026年底</x:v>
      </x:c>
      <x:c r="C2360" s="11" t="str">
        <x:v>g12c_crc_cn</x:v>
      </x:c>
      <x:c r="D2360" s="11" t="str">
        <x:v>2033-12-31</x:v>
      </x:c>
      <x:c r="E2360" s="11" t="str">
        <x:v>CNY</x:v>
      </x:c>
      <x:c r="F2360" s="11" t="n">
        <x:v>7.000684462696783</x:v>
      </x:c>
      <x:c r="G2360" s="26" t="b">
        <x:v>1</x:v>
      </x:c>
      <x:c r="H2360" s="16" t="n">
        <x:v>0</x:v>
      </x:c>
      <x:c r="I2360" s="16" t="n">
        <x:v>0.35</x:v>
      </x:c>
      <x:c r="J2360" s="16" t="n">
        <x:v>1</x:v>
      </x:c>
      <x:c r="K2360" s="11" t="n">
        <x:f>CHOOSE('假设'!$B$3,H2360,I2360,J2360)</x:f>
        <x:v>0.35</x:v>
      </x:c>
      <x:c r="L2360" s="11" t="n">
        <x:f>K2360*'管线假设'!E519*'管线假设'!F519*'管线假设'!G519*IF(E2360="USD",'管线假设'!I519,1)-AM2360</x:f>
        <x:v>0.0077490000000000015</x:v>
      </x:c>
      <x:c r="M2360" s="11" t="n">
        <x:f>'管线假设'!H519</x:f>
        <x:v>0.135</x:v>
      </x:c>
      <x:c r="N2360" s="11" t="n">
        <x:f>IF(G2360,L2360*AN2360/(1+M2360)^F2360,0)</x:f>
        <x:v>0.0031932799016747017</x:v>
      </x:c>
      <x:c r="AJ2360" t="n">
        <x:v>0</x:v>
      </x:c>
      <x:c r="AK2360" t="n">
        <x:v>0</x:v>
      </x:c>
      <x:c r="AL2360" t="n">
        <x:v>0</x:v>
      </x:c>
      <x:c r="AM2360" t="n">
        <x:f>CHOOSE('假设'!$B$3,AJ2360,AK2360,AL2360)</x:f>
        <x:v>0</x:v>
      </x:c>
      <x:c r="AN2360" t="n">
        <x:v>1</x:v>
      </x:c>
    </x:row>
    <x:row r="2361" ht="23" customHeight="1">
      <x:c r="A2361" s="11" t="str">
        <x:v>688382.SH</x:v>
      </x:c>
      <x:c r="B2361" s="11" t="str">
        <x:v>2026年底</x:v>
      </x:c>
      <x:c r="C2361" s="11" t="str">
        <x:v>g12c_crc_cn</x:v>
      </x:c>
      <x:c r="D2361" s="11" t="str">
        <x:v>2034-12-31</x:v>
      </x:c>
      <x:c r="E2361" s="11" t="str">
        <x:v>CNY</x:v>
      </x:c>
      <x:c r="F2361" s="11" t="n">
        <x:v>8</x:v>
      </x:c>
      <x:c r="G2361" s="26" t="b">
        <x:v>1</x:v>
      </x:c>
      <x:c r="H2361" s="16" t="n">
        <x:v>0.06</x:v>
      </x:c>
      <x:c r="I2361" s="16" t="n">
        <x:v>0.4666666666666666</x:v>
      </x:c>
      <x:c r="J2361" s="16" t="n">
        <x:v>1.2</x:v>
      </x:c>
      <x:c r="K2361" s="11" t="n">
        <x:f>CHOOSE('假设'!$B$3,H2361,I2361,J2361)</x:f>
        <x:v>0.4666666666666666</x:v>
      </x:c>
      <x:c r="L2361" s="11" t="n">
        <x:f>K2361*'管线假设'!E519*'管线假设'!F519*'管线假设'!G519*IF(E2361="USD",'管线假设'!I519,1)-AM2361</x:f>
        <x:v>0.010332000000000003</x:v>
      </x:c>
      <x:c r="M2361" s="11" t="n">
        <x:f>'管线假设'!H519</x:f>
        <x:v>0.135</x:v>
      </x:c>
      <x:c r="N2361" s="11" t="n">
        <x:f>IF(G2361,L2361*AN2361/(1+M2361)^F2361,0)</x:f>
        <x:v>0.003751608449040471</x:v>
      </x:c>
      <x:c r="AJ2361" t="n">
        <x:v>0</x:v>
      </x:c>
      <x:c r="AK2361" t="n">
        <x:v>0</x:v>
      </x:c>
      <x:c r="AL2361" t="n">
        <x:v>0</x:v>
      </x:c>
      <x:c r="AM2361" t="n">
        <x:f>CHOOSE('假设'!$B$3,AJ2361,AK2361,AL2361)</x:f>
        <x:v>0</x:v>
      </x:c>
      <x:c r="AN2361" t="n">
        <x:v>1</x:v>
      </x:c>
    </x:row>
    <x:row r="2362" ht="23" customHeight="1">
      <x:c r="A2362" s="11" t="str">
        <x:v>688382.SH</x:v>
      </x:c>
      <x:c r="B2362" s="11" t="str">
        <x:v>2026年底</x:v>
      </x:c>
      <x:c r="C2362" s="11" t="str">
        <x:v>g12c_crc_cn</x:v>
      </x:c>
      <x:c r="D2362" s="11" t="str">
        <x:v>2035-12-31</x:v>
      </x:c>
      <x:c r="E2362" s="11" t="str">
        <x:v>CNY</x:v>
      </x:c>
      <x:c r="F2362" s="11" t="n">
        <x:v>8.999315537303216</x:v>
      </x:c>
      <x:c r="G2362" s="26" t="b">
        <x:v>1</x:v>
      </x:c>
      <x:c r="H2362" s="16" t="n">
        <x:v>0.12</x:v>
      </x:c>
      <x:c r="I2362" s="16" t="n">
        <x:v>0.5833333333333334</x:v>
      </x:c>
      <x:c r="J2362" s="16" t="n">
        <x:v>1.044</x:v>
      </x:c>
      <x:c r="K2362" s="11" t="n">
        <x:f>CHOOSE('假设'!$B$3,H2362,I2362,J2362)</x:f>
        <x:v>0.5833333333333334</x:v>
      </x:c>
      <x:c r="L2362" s="11" t="n">
        <x:f>K2362*'管线假设'!E519*'管线假设'!F519*'管线假设'!G519*IF(E2362="USD",'管线假设'!I519,1)-AM2362</x:f>
        <x:v>0.012915000000000005</x:v>
      </x:c>
      <x:c r="M2362" s="11" t="n">
        <x:f>'管线假设'!H519</x:f>
        <x:v>0.135</x:v>
      </x:c>
      <x:c r="N2362" s="11" t="n">
        <x:f>IF(G2362,L2362*AN2362/(1+M2362)^F2362,0)</x:f>
        <x:v>0.004132085501120603</x:v>
      </x:c>
      <x:c r="AJ2362" t="n">
        <x:v>0</x:v>
      </x:c>
      <x:c r="AK2362" t="n">
        <x:v>0</x:v>
      </x:c>
      <x:c r="AL2362" t="n">
        <x:v>0</x:v>
      </x:c>
      <x:c r="AM2362" t="n">
        <x:f>CHOOSE('假设'!$B$3,AJ2362,AK2362,AL2362)</x:f>
        <x:v>0</x:v>
      </x:c>
      <x:c r="AN2362" t="n">
        <x:v>1</x:v>
      </x:c>
    </x:row>
    <x:row r="2363" ht="23" customHeight="1">
      <x:c r="A2363" s="11" t="str">
        <x:v>688382.SH</x:v>
      </x:c>
      <x:c r="B2363" s="11" t="str">
        <x:v>2026年底</x:v>
      </x:c>
      <x:c r="C2363" s="11" t="str">
        <x:v>g12c_crc_cn</x:v>
      </x:c>
      <x:c r="D2363" s="11" t="str">
        <x:v>2036-12-31</x:v>
      </x:c>
      <x:c r="E2363" s="11" t="str">
        <x:v>CNY</x:v>
      </x:c>
      <x:c r="F2363" s="11" t="n">
        <x:v>10.001368925393566</x:v>
      </x:c>
      <x:c r="G2363" s="26" t="b">
        <x:v>1</x:v>
      </x:c>
      <x:c r="H2363" s="16" t="n">
        <x:v>0.18</x:v>
      </x:c>
      <x:c r="I2363" s="16" t="n">
        <x:v>0.7</x:v>
      </x:c>
      <x:c r="J2363" s="16" t="n">
        <x:v>0.888</x:v>
      </x:c>
      <x:c r="K2363" s="11" t="n">
        <x:f>CHOOSE('假设'!$B$3,H2363,I2363,J2363)</x:f>
        <x:v>0.7</x:v>
      </x:c>
      <x:c r="L2363" s="11" t="n">
        <x:f>K2363*'管线假设'!E519*'管线假设'!F519*'管线假设'!G519*IF(E2363="USD",'管线假设'!I519,1)-AM2363</x:f>
        <x:v>0.015498000000000003</x:v>
      </x:c>
      <x:c r="M2363" s="11" t="n">
        <x:f>'管线假设'!H519</x:f>
        <x:v>0.135</x:v>
      </x:c>
      <x:c r="N2363" s="11" t="n">
        <x:f>IF(G2363,L2363*AN2363/(1+M2363)^F2363,0)</x:f>
        <x:v>0.004367588924648753</x:v>
      </x:c>
      <x:c r="AJ2363" t="n">
        <x:v>0</x:v>
      </x:c>
      <x:c r="AK2363" t="n">
        <x:v>0</x:v>
      </x:c>
      <x:c r="AL2363" t="n">
        <x:v>0</x:v>
      </x:c>
      <x:c r="AM2363" t="n">
        <x:f>CHOOSE('假设'!$B$3,AJ2363,AK2363,AL2363)</x:f>
        <x:v>0</x:v>
      </x:c>
      <x:c r="AN2363" t="n">
        <x:v>1</x:v>
      </x:c>
    </x:row>
    <x:row r="2364" ht="23" customHeight="1">
      <x:c r="A2364" s="11" t="str">
        <x:v>688382.SH</x:v>
      </x:c>
      <x:c r="B2364" s="11" t="str">
        <x:v>2026年底</x:v>
      </x:c>
      <x:c r="C2364" s="11" t="str">
        <x:v>g12c_crc_cn</x:v>
      </x:c>
      <x:c r="D2364" s="11" t="str">
        <x:v>2037-12-31</x:v>
      </x:c>
      <x:c r="E2364" s="11" t="str">
        <x:v>CNY</x:v>
      </x:c>
      <x:c r="F2364" s="11" t="n">
        <x:v>11.000684462696784</x:v>
      </x:c>
      <x:c r="G2364" s="26" t="b">
        <x:v>1</x:v>
      </x:c>
      <x:c r="H2364" s="16" t="n">
        <x:v>0.24</x:v>
      </x:c>
      <x:c r="I2364" s="16" t="n">
        <x:v>0.609</x:v>
      </x:c>
      <x:c r="J2364" s="16" t="n">
        <x:v>0.732</x:v>
      </x:c>
      <x:c r="K2364" s="11" t="n">
        <x:f>CHOOSE('假设'!$B$3,H2364,I2364,J2364)</x:f>
        <x:v>0.609</x:v>
      </x:c>
      <x:c r="L2364" s="11" t="n">
        <x:f>K2364*'管线假设'!E519*'管线假设'!F519*'管线假设'!G519*IF(E2364="USD",'管线假设'!I519,1)-AM2364</x:f>
        <x:v>0.013483260000000004</x:v>
      </x:c>
      <x:c r="M2364" s="11" t="n">
        <x:f>'管线假设'!H519</x:f>
        <x:v>0.135</x:v>
      </x:c>
      <x:c r="N2364" s="11" t="n">
        <x:f>IF(G2364,L2364*AN2364/(1+M2364)^F2364,0)</x:f>
        <x:v>0.0033481336809037926</x:v>
      </x:c>
      <x:c r="AJ2364" t="n">
        <x:v>0</x:v>
      </x:c>
      <x:c r="AK2364" t="n">
        <x:v>0</x:v>
      </x:c>
      <x:c r="AL2364" t="n">
        <x:v>0</x:v>
      </x:c>
      <x:c r="AM2364" t="n">
        <x:f>CHOOSE('假设'!$B$3,AJ2364,AK2364,AL2364)</x:f>
        <x:v>0</x:v>
      </x:c>
      <x:c r="AN2364" t="n">
        <x:v>1</x:v>
      </x:c>
    </x:row>
    <x:row r="2365" ht="23" customHeight="1">
      <x:c r="A2365" s="11" t="str">
        <x:v>688382.SH</x:v>
      </x:c>
      <x:c r="B2365" s="11" t="str">
        <x:v>2026年底</x:v>
      </x:c>
      <x:c r="C2365" s="11" t="str">
        <x:v>g12c_crc_cn</x:v>
      </x:c>
      <x:c r="D2365" s="11" t="str">
        <x:v>2038-12-31</x:v>
      </x:c>
      <x:c r="E2365" s="11" t="str">
        <x:v>CNY</x:v>
      </x:c>
      <x:c r="F2365" s="11" t="n">
        <x:v>12</x:v>
      </x:c>
      <x:c r="G2365" s="26" t="b">
        <x:v>1</x:v>
      </x:c>
      <x:c r="H2365" s="16" t="n">
        <x:v>0.3</x:v>
      </x:c>
      <x:c r="I2365" s="16" t="n">
        <x:v>0.518</x:v>
      </x:c>
      <x:c r="J2365" s="16" t="n">
        <x:v>0.576</x:v>
      </x:c>
      <x:c r="K2365" s="11" t="n">
        <x:f>CHOOSE('假设'!$B$3,H2365,I2365,J2365)</x:f>
        <x:v>0.518</x:v>
      </x:c>
      <x:c r="L2365" s="11" t="n">
        <x:f>K2365*'管线假设'!E519*'管线假设'!F519*'管线假设'!G519*IF(E2365="USD",'管线假设'!I519,1)-AM2365</x:f>
        <x:v>0.011468520000000003</x:v>
      </x:c>
      <x:c r="M2365" s="11" t="n">
        <x:f>'管线假设'!H519</x:f>
        <x:v>0.135</x:v>
      </x:c>
      <x:c r="N2365" s="11" t="n">
        <x:f>IF(G2365,L2365*AN2365/(1+M2365)^F2365,0)</x:f>
        <x:v>0.002509325719381338</x:v>
      </x:c>
      <x:c r="AJ2365" t="n">
        <x:v>0</x:v>
      </x:c>
      <x:c r="AK2365" t="n">
        <x:v>0</x:v>
      </x:c>
      <x:c r="AL2365" t="n">
        <x:v>0</x:v>
      </x:c>
      <x:c r="AM2365" t="n">
        <x:f>CHOOSE('假设'!$B$3,AJ2365,AK2365,AL2365)</x:f>
        <x:v>0</x:v>
      </x:c>
      <x:c r="AN2365" t="n">
        <x:v>1</x:v>
      </x:c>
    </x:row>
    <x:row r="2366" ht="23" customHeight="1">
      <x:c r="A2366" s="11" t="str">
        <x:v>688382.SH</x:v>
      </x:c>
      <x:c r="B2366" s="11" t="str">
        <x:v>2026年底</x:v>
      </x:c>
      <x:c r="C2366" s="11" t="str">
        <x:v>g12c_crc_cn</x:v>
      </x:c>
      <x:c r="D2366" s="11" t="str">
        <x:v>2039-12-31</x:v>
      </x:c>
      <x:c r="E2366" s="11" t="str">
        <x:v>CNY</x:v>
      </x:c>
      <x:c r="F2366" s="11" t="n">
        <x:v>12.999315537303216</x:v>
      </x:c>
      <x:c r="G2366" s="26" t="b">
        <x:v>1</x:v>
      </x:c>
      <x:c r="H2366" s="16" t="n">
        <x:v>0.261</x:v>
      </x:c>
      <x:c r="I2366" s="16" t="n">
        <x:v>0.427</x:v>
      </x:c>
      <x:c r="J2366" s="16" t="n">
        <x:v>0.42</x:v>
      </x:c>
      <x:c r="K2366" s="11" t="n">
        <x:f>CHOOSE('假设'!$B$3,H2366,I2366,J2366)</x:f>
        <x:v>0.427</x:v>
      </x:c>
      <x:c r="L2366" s="11" t="n">
        <x:f>K2366*'管线假设'!E519*'管线假设'!F519*'管线假设'!G519*IF(E2366="USD",'管线假设'!I519,1)-AM2366</x:f>
        <x:v>0.009453780000000002</x:v>
      </x:c>
      <x:c r="M2366" s="11" t="n">
        <x:f>'管线假设'!H519</x:f>
        <x:v>0.135</x:v>
      </x:c>
      <x:c r="N2366" s="11" t="n">
        <x:f>IF(G2366,L2366*AN2366/(1+M2366)^F2366,0)</x:f>
        <x:v>0.0018226233688692182</x:v>
      </x:c>
      <x:c r="AJ2366" t="n">
        <x:v>0</x:v>
      </x:c>
      <x:c r="AK2366" t="n">
        <x:v>0</x:v>
      </x:c>
      <x:c r="AL2366" t="n">
        <x:v>0</x:v>
      </x:c>
      <x:c r="AM2366" t="n">
        <x:f>CHOOSE('假设'!$B$3,AJ2366,AK2366,AL2366)</x:f>
        <x:v>0</x:v>
      </x:c>
      <x:c r="AN2366" t="n">
        <x:v>1</x:v>
      </x:c>
    </x:row>
    <x:row r="2367" ht="23" customHeight="1">
      <x:c r="A2367" s="11" t="str">
        <x:v>688382.SH</x:v>
      </x:c>
      <x:c r="B2367" s="11" t="str">
        <x:v>2026年底</x:v>
      </x:c>
      <x:c r="C2367" s="11" t="str">
        <x:v>g12c_crc_cn</x:v>
      </x:c>
      <x:c r="D2367" s="11" t="str">
        <x:v>2040-12-31</x:v>
      </x:c>
      <x:c r="E2367" s="11" t="str">
        <x:v>CNY</x:v>
      </x:c>
      <x:c r="F2367" s="11" t="n">
        <x:v>14.001368925393566</x:v>
      </x:c>
      <x:c r="G2367" s="26" t="b">
        <x:v>1</x:v>
      </x:c>
      <x:c r="H2367" s="16" t="n">
        <x:v>0.222</x:v>
      </x:c>
      <x:c r="I2367" s="16" t="n">
        <x:v>0.33599999999999997</x:v>
      </x:c>
      <x:c r="J2367" s="16" t="n">
        <x:v>0.26399999999999996</x:v>
      </x:c>
      <x:c r="K2367" s="11" t="n">
        <x:f>CHOOSE('假设'!$B$3,H2367,I2367,J2367)</x:f>
        <x:v>0.33599999999999997</x:v>
      </x:c>
      <x:c r="L2367" s="11" t="n">
        <x:f>K2367*'管线假设'!E519*'管线假设'!F519*'管线假设'!G519*IF(E2367="USD",'管线假设'!I519,1)-AM2367</x:f>
        <x:v>0.007439040000000001</x:v>
      </x:c>
      <x:c r="M2367" s="11" t="n">
        <x:f>'管线假设'!H519</x:f>
        <x:v>0.135</x:v>
      </x:c>
      <x:c r="N2367" s="11" t="n">
        <x:f>IF(G2367,L2367*AN2367/(1+M2367)^F2367,0)</x:f>
        <x:v>0.0012632797869689</x:v>
      </x:c>
      <x:c r="AJ2367" t="n">
        <x:v>0</x:v>
      </x:c>
      <x:c r="AK2367" t="n">
        <x:v>0</x:v>
      </x:c>
      <x:c r="AL2367" t="n">
        <x:v>0</x:v>
      </x:c>
      <x:c r="AM2367" t="n">
        <x:f>CHOOSE('假设'!$B$3,AJ2367,AK2367,AL2367)</x:f>
        <x:v>0</x:v>
      </x:c>
      <x:c r="AN2367" t="n">
        <x:v>1</x:v>
      </x:c>
    </x:row>
    <x:row r="2368" ht="23" customHeight="1">
      <x:c r="A2368" s="11" t="str">
        <x:v>688382.SH</x:v>
      </x:c>
      <x:c r="B2368" s="11" t="str">
        <x:v>2026年底</x:v>
      </x:c>
      <x:c r="C2368" s="11" t="str">
        <x:v>g12c_crc_cn</x:v>
      </x:c>
      <x:c r="D2368" s="11" t="str">
        <x:v>2041-12-31</x:v>
      </x:c>
      <x:c r="E2368" s="11" t="str">
        <x:v>CNY</x:v>
      </x:c>
      <x:c r="F2368" s="11" t="n">
        <x:v>15.000684462696784</x:v>
      </x:c>
      <x:c r="G2368" s="26" t="b">
        <x:v>1</x:v>
      </x:c>
      <x:c r="H2368" s="16" t="n">
        <x:v>0.183</x:v>
      </x:c>
      <x:c r="I2368" s="16" t="n">
        <x:v>0.24499999999999997</x:v>
      </x:c>
      <x:c r="J2368" s="16" t="n">
        <x:v>0.10799999999999996</x:v>
      </x:c>
      <x:c r="K2368" s="11" t="n">
        <x:f>CHOOSE('假设'!$B$3,H2368,I2368,J2368)</x:f>
        <x:v>0.24499999999999997</x:v>
      </x:c>
      <x:c r="L2368" s="11" t="n">
        <x:f>K2368*'管线假设'!E519*'管线假设'!F519*'管线假设'!G519*IF(E2368="USD",'管线假设'!I519,1)-AM2368</x:f>
        <x:v>0.005424300000000001</x:v>
      </x:c>
      <x:c r="M2368" s="11" t="n">
        <x:f>'管线假设'!H519</x:f>
        <x:v>0.135</x:v>
      </x:c>
      <x:c r="N2368" s="11" t="n">
        <x:f>IF(G2368,L2368*AN2368/(1+M2368)^F2368,0)</x:f>
        <x:v>0.0008116487709535184</x:v>
      </x:c>
      <x:c r="AJ2368" t="n">
        <x:v>0</x:v>
      </x:c>
      <x:c r="AK2368" t="n">
        <x:v>0</x:v>
      </x:c>
      <x:c r="AL2368" t="n">
        <x:v>0</x:v>
      </x:c>
      <x:c r="AM2368" t="n">
        <x:f>CHOOSE('假设'!$B$3,AJ2368,AK2368,AL2368)</x:f>
        <x:v>0</x:v>
      </x:c>
      <x:c r="AN2368" t="n">
        <x:v>1</x:v>
      </x:c>
    </x:row>
    <x:row r="2369" ht="23" customHeight="1">
      <x:c r="A2369" s="11" t="str">
        <x:v>688382.SH</x:v>
      </x:c>
      <x:c r="B2369" s="11" t="str">
        <x:v>2026年底</x:v>
      </x:c>
      <x:c r="C2369" s="11" t="str">
        <x:v>g12c_crc_cn</x:v>
      </x:c>
      <x:c r="D2369" s="11" t="str">
        <x:v>2042-12-31</x:v>
      </x:c>
      <x:c r="E2369" s="11" t="str">
        <x:v>CNY</x:v>
      </x:c>
      <x:c r="F2369" s="11" t="n">
        <x:v>16</x:v>
      </x:c>
      <x:c r="G2369" s="26" t="b">
        <x:v>1</x:v>
      </x:c>
      <x:c r="H2369" s="16" t="n">
        <x:v>0.144</x:v>
      </x:c>
      <x:c r="I2369" s="16" t="n">
        <x:v>0.15399999999999997</x:v>
      </x:c>
      <x:c r="J2369" s="16" t="n">
        <x:v>0</x:v>
      </x:c>
      <x:c r="K2369" s="11" t="n">
        <x:f>CHOOSE('假设'!$B$3,H2369,I2369,J2369)</x:f>
        <x:v>0.15399999999999997</x:v>
      </x:c>
      <x:c r="L2369" s="11" t="n">
        <x:f>K2369*'管线假设'!E519*'管线假设'!F519*'管线假设'!G519*IF(E2369="USD",'管线假设'!I519,1)-AM2369</x:f>
        <x:v>0.00340956</x:v>
      </x:c>
      <x:c r="M2369" s="11" t="n">
        <x:f>'管线假设'!H519</x:f>
        <x:v>0.135</x:v>
      </x:c>
      <x:c r="N2369" s="11" t="n">
        <x:f>IF(G2369,L2369*AN2369/(1+M2369)^F2369,0)</x:f>
        <x:v>0.00044953607869927485</x:v>
      </x:c>
      <x:c r="AJ2369" t="n">
        <x:v>0</x:v>
      </x:c>
      <x:c r="AK2369" t="n">
        <x:v>0</x:v>
      </x:c>
      <x:c r="AL2369" t="n">
        <x:v>0</x:v>
      </x:c>
      <x:c r="AM2369" t="n">
        <x:f>CHOOSE('假设'!$B$3,AJ2369,AK2369,AL2369)</x:f>
        <x:v>0</x:v>
      </x:c>
      <x:c r="AN2369" t="n">
        <x:v>1</x:v>
      </x:c>
    </x:row>
    <x:row r="2370" ht="23" customHeight="1">
      <x:c r="A2370" s="11" t="str">
        <x:v>688382.SH</x:v>
      </x:c>
      <x:c r="B2370" s="11" t="str">
        <x:v>2026年底</x:v>
      </x:c>
      <x:c r="C2370" s="11" t="str">
        <x:v>g12c_crc_cn</x:v>
      </x:c>
      <x:c r="D2370" s="11" t="str">
        <x:v>2043-12-31</x:v>
      </x:c>
      <x:c r="E2370" s="11" t="str">
        <x:v>CNY</x:v>
      </x:c>
      <x:c r="F2370" s="11" t="n">
        <x:v>16.999315537303218</x:v>
      </x:c>
      <x:c r="G2370" s="26" t="b">
        <x:v>1</x:v>
      </x:c>
      <x:c r="H2370" s="16" t="n">
        <x:v>0.105</x:v>
      </x:c>
      <x:c r="I2370" s="16" t="n">
        <x:v>0.06299999999999997</x:v>
      </x:c>
      <x:c r="J2370" s="16" t="n">
        <x:v>0</x:v>
      </x:c>
      <x:c r="K2370" s="11" t="n">
        <x:f>CHOOSE('假设'!$B$3,H2370,I2370,J2370)</x:f>
        <x:v>0.06299999999999997</x:v>
      </x:c>
      <x:c r="L2370" s="11" t="n">
        <x:f>K2370*'管线假设'!E519*'管线假设'!F519*'管线假设'!G519*IF(E2370="USD",'管线假设'!I519,1)-AM2370</x:f>
        <x:v>0.0013948199999999997</x:v>
      </x:c>
      <x:c r="M2370" s="11" t="n">
        <x:f>'管线假设'!H519</x:f>
        <x:v>0.135</x:v>
      </x:c>
      <x:c r="N2370" s="11" t="n">
        <x:f>IF(G2370,L2370*AN2370/(1+M2370)^F2370,0)</x:f>
        <x:v>0.0001620414656253833</x:v>
      </x:c>
      <x:c r="AJ2370" t="n">
        <x:v>0</x:v>
      </x:c>
      <x:c r="AK2370" t="n">
        <x:v>0</x:v>
      </x:c>
      <x:c r="AL2370" t="n">
        <x:v>0</x:v>
      </x:c>
      <x:c r="AM2370" t="n">
        <x:f>CHOOSE('假设'!$B$3,AJ2370,AK2370,AL2370)</x:f>
        <x:v>0</x:v>
      </x:c>
      <x:c r="AN2370" t="n">
        <x:v>1</x:v>
      </x:c>
    </x:row>
    <x:row r="2371" ht="23" customHeight="1">
      <x:c r="A2371" s="11" t="str">
        <x:v>688382.SH</x:v>
      </x:c>
      <x:c r="B2371" s="11" t="str">
        <x:v>2026年底</x:v>
      </x:c>
      <x:c r="C2371" s="11" t="str">
        <x:v>g12c_crc_cn</x:v>
      </x:c>
      <x:c r="D2371" s="11" t="str">
        <x:v>2044-12-31</x:v>
      </x:c>
      <x:c r="E2371" s="11" t="str">
        <x:v>CNY</x:v>
      </x:c>
      <x:c r="F2371" s="11" t="n">
        <x:v>18.001368925393567</x:v>
      </x:c>
      <x:c r="G2371" s="26" t="b">
        <x:v>1</x:v>
      </x:c>
      <x:c r="H2371" s="16" t="n">
        <x:v>0.06599999999999999</x:v>
      </x:c>
      <x:c r="I2371" s="16" t="n">
        <x:v>0</x:v>
      </x:c>
      <x:c r="J2371" s="16" t="n">
        <x:v>0</x:v>
      </x:c>
      <x:c r="K2371" s="11" t="n">
        <x:f>CHOOSE('假设'!$B$3,H2371,I2371,J2371)</x:f>
        <x:v>0</x:v>
      </x:c>
      <x:c r="L2371" s="11" t="n">
        <x:f>K2371*'管线假设'!E519*'管线假设'!F519*'管线假设'!G519*IF(E2371="USD",'管线假设'!I519,1)-AM2371</x:f>
        <x:v>0</x:v>
      </x:c>
      <x:c r="M2371" s="11" t="n">
        <x:f>'管线假设'!H519</x:f>
        <x:v>0.135</x:v>
      </x:c>
      <x:c r="N2371" s="11" t="n">
        <x:f>IF(G2371,L2371*AN2371/(1+M2371)^F2371,0)</x:f>
        <x:v>0</x:v>
      </x:c>
      <x:c r="AJ2371" t="n">
        <x:v>0</x:v>
      </x:c>
      <x:c r="AK2371" t="n">
        <x:v>0</x:v>
      </x:c>
      <x:c r="AL2371" t="n">
        <x:v>0</x:v>
      </x:c>
      <x:c r="AM2371" t="n">
        <x:f>CHOOSE('假设'!$B$3,AJ2371,AK2371,AL2371)</x:f>
        <x:v>0</x:v>
      </x:c>
      <x:c r="AN2371" t="n">
        <x:v>1</x:v>
      </x:c>
    </x:row>
    <x:row r="2372" ht="23" customHeight="1">
      <x:c r="A2372" s="11" t="str">
        <x:v>688382.SH</x:v>
      </x:c>
      <x:c r="B2372" s="11" t="str">
        <x:v>2026年底</x:v>
      </x:c>
      <x:c r="C2372" s="11" t="str">
        <x:v>g12c_crc_cn</x:v>
      </x:c>
      <x:c r="D2372" s="11" t="str">
        <x:v>2045-12-31</x:v>
      </x:c>
      <x:c r="E2372" s="11" t="str">
        <x:v>CNY</x:v>
      </x:c>
      <x:c r="F2372" s="11" t="n">
        <x:v>19.000684462696782</x:v>
      </x:c>
      <x:c r="G2372" s="26" t="b">
        <x:v>1</x:v>
      </x:c>
      <x:c r="H2372" s="16" t="n">
        <x:v>0.02699999999999999</x:v>
      </x:c>
      <x:c r="I2372" s="16" t="n">
        <x:v>0</x:v>
      </x:c>
      <x:c r="J2372" s="16" t="n">
        <x:v>0</x:v>
      </x:c>
      <x:c r="K2372" s="11" t="n">
        <x:f>CHOOSE('假设'!$B$3,H2372,I2372,J2372)</x:f>
        <x:v>0</x:v>
      </x:c>
      <x:c r="L2372" s="11" t="n">
        <x:f>K2372*'管线假设'!E519*'管线假设'!F519*'管线假设'!G519*IF(E2372="USD",'管线假设'!I519,1)-AM2372</x:f>
        <x:v>0</x:v>
      </x:c>
      <x:c r="M2372" s="11" t="n">
        <x:f>'管线假设'!H519</x:f>
        <x:v>0.135</x:v>
      </x:c>
      <x:c r="N2372" s="11" t="n">
        <x:f>IF(G2372,L2372*AN2372/(1+M2372)^F2372,0)</x:f>
        <x:v>0</x:v>
      </x:c>
      <x:c r="AJ2372" t="n">
        <x:v>0</x:v>
      </x:c>
      <x:c r="AK2372" t="n">
        <x:v>0</x:v>
      </x:c>
      <x:c r="AL2372" t="n">
        <x:v>0</x:v>
      </x:c>
      <x:c r="AM2372" t="n">
        <x:f>CHOOSE('假设'!$B$3,AJ2372,AK2372,AL2372)</x:f>
        <x:v>0</x:v>
      </x:c>
      <x:c r="AN2372" t="n">
        <x:v>1</x:v>
      </x:c>
    </x:row>
    <x:row r="2373" ht="23" customHeight="1">
      <x:c r="A2373" s="11" t="str">
        <x:v>688382.SH</x:v>
      </x:c>
      <x:c r="B2373" s="11" t="str">
        <x:v>2026年底</x:v>
      </x:c>
      <x:c r="C2373" s="11" t="str">
        <x:v>g12c_global</x:v>
      </x:c>
      <x:c r="D2373" s="11" t="str">
        <x:v>2027-12-31</x:v>
      </x:c>
      <x:c r="E2373" s="11" t="str">
        <x:v>USD</x:v>
      </x:c>
      <x:c r="F2373" s="11" t="n">
        <x:v>0.999315537303217</x:v>
      </x:c>
      <x:c r="G2373" s="26" t="b">
        <x:v>1</x:v>
      </x:c>
      <x:c r="H2373" s="16" t="n">
        <x:v>0</x:v>
      </x:c>
      <x:c r="I2373" s="16" t="n">
        <x:v>0</x:v>
      </x:c>
      <x:c r="J2373" s="16" t="n">
        <x:v>0</x:v>
      </x:c>
      <x:c r="K2373" s="11" t="n">
        <x:f>CHOOSE('假设'!$B$3,H2373,I2373,J2373)</x:f>
        <x:v>0</x:v>
      </x:c>
      <x:c r="L2373" s="11" t="n">
        <x:f>K2373*'管线假设'!E523*'管线假设'!F523*'管线假设'!G523*IF(E2373="USD",'管线假设'!I523,1)-AM2373</x:f>
        <x:v>0</x:v>
      </x:c>
      <x:c r="M2373" s="11" t="n">
        <x:f>'管线假设'!H523</x:f>
        <x:v>0.135</x:v>
      </x:c>
      <x:c r="N2373" s="11" t="n">
        <x:f>IF(G2373,L2373*AN2373/(1+M2373)^F2373,0)</x:f>
        <x:v>0</x:v>
      </x:c>
      <x:c r="AJ2373" t="n">
        <x:v>0</x:v>
      </x:c>
      <x:c r="AK2373" t="n">
        <x:v>0</x:v>
      </x:c>
      <x:c r="AL2373" t="n">
        <x:v>0</x:v>
      </x:c>
      <x:c r="AM2373" t="n">
        <x:f>CHOOSE('假设'!$B$3,AJ2373,AK2373,AL2373)</x:f>
        <x:v>0</x:v>
      </x:c>
      <x:c r="AN2373" t="n">
        <x:v>1</x:v>
      </x:c>
    </x:row>
    <x:row r="2374" ht="23" customHeight="1">
      <x:c r="A2374" s="11" t="str">
        <x:v>688382.SH</x:v>
      </x:c>
      <x:c r="B2374" s="11" t="str">
        <x:v>2026年底</x:v>
      </x:c>
      <x:c r="C2374" s="11" t="str">
        <x:v>g12c_global</x:v>
      </x:c>
      <x:c r="D2374" s="11" t="str">
        <x:v>2028-12-31</x:v>
      </x:c>
      <x:c r="E2374" s="11" t="str">
        <x:v>USD</x:v>
      </x:c>
      <x:c r="F2374" s="11" t="n">
        <x:v>2.001368925393566</x:v>
      </x:c>
      <x:c r="G2374" s="26" t="b">
        <x:v>1</x:v>
      </x:c>
      <x:c r="H2374" s="16" t="n">
        <x:v>0</x:v>
      </x:c>
      <x:c r="I2374" s="16" t="n">
        <x:v>0</x:v>
      </x:c>
      <x:c r="J2374" s="16" t="n">
        <x:v>0</x:v>
      </x:c>
      <x:c r="K2374" s="11" t="n">
        <x:f>CHOOSE('假设'!$B$3,H2374,I2374,J2374)</x:f>
        <x:v>0</x:v>
      </x:c>
      <x:c r="L2374" s="11" t="n">
        <x:f>K2374*'管线假设'!E523*'管线假设'!F523*'管线假设'!G523*IF(E2374="USD",'管线假设'!I523,1)-AM2374</x:f>
        <x:v>0</x:v>
      </x:c>
      <x:c r="M2374" s="11" t="n">
        <x:f>'管线假设'!H523</x:f>
        <x:v>0.135</x:v>
      </x:c>
      <x:c r="N2374" s="11" t="n">
        <x:f>IF(G2374,L2374*AN2374/(1+M2374)^F2374,0)</x:f>
        <x:v>0</x:v>
      </x:c>
      <x:c r="AJ2374" t="n">
        <x:v>0</x:v>
      </x:c>
      <x:c r="AK2374" t="n">
        <x:v>0</x:v>
      </x:c>
      <x:c r="AL2374" t="n">
        <x:v>0</x:v>
      </x:c>
      <x:c r="AM2374" t="n">
        <x:f>CHOOSE('假设'!$B$3,AJ2374,AK2374,AL2374)</x:f>
        <x:v>0</x:v>
      </x:c>
      <x:c r="AN2374" t="n">
        <x:v>1</x:v>
      </x:c>
    </x:row>
    <x:row r="2375" ht="23" customHeight="1">
      <x:c r="A2375" s="11" t="str">
        <x:v>688382.SH</x:v>
      </x:c>
      <x:c r="B2375" s="11" t="str">
        <x:v>2026年底</x:v>
      </x:c>
      <x:c r="C2375" s="11" t="str">
        <x:v>g12c_global</x:v>
      </x:c>
      <x:c r="D2375" s="11" t="str">
        <x:v>2029-12-31</x:v>
      </x:c>
      <x:c r="E2375" s="11" t="str">
        <x:v>USD</x:v>
      </x:c>
      <x:c r="F2375" s="11" t="n">
        <x:v>3.0006844626967832</x:v>
      </x:c>
      <x:c r="G2375" s="26" t="b">
        <x:v>1</x:v>
      </x:c>
      <x:c r="H2375" s="16" t="n">
        <x:v>0</x:v>
      </x:c>
      <x:c r="I2375" s="16" t="n">
        <x:v>0</x:v>
      </x:c>
      <x:c r="J2375" s="16" t="n">
        <x:v>0</x:v>
      </x:c>
      <x:c r="K2375" s="11" t="n">
        <x:f>CHOOSE('假设'!$B$3,H2375,I2375,J2375)</x:f>
        <x:v>0</x:v>
      </x:c>
      <x:c r="L2375" s="11" t="n">
        <x:f>K2375*'管线假设'!E523*'管线假设'!F523*'管线假设'!G523*IF(E2375="USD",'管线假设'!I523,1)-AM2375</x:f>
        <x:v>0</x:v>
      </x:c>
      <x:c r="M2375" s="11" t="n">
        <x:f>'管线假设'!H523</x:f>
        <x:v>0.135</x:v>
      </x:c>
      <x:c r="N2375" s="11" t="n">
        <x:f>IF(G2375,L2375*AN2375/(1+M2375)^F2375,0)</x:f>
        <x:v>0</x:v>
      </x:c>
      <x:c r="AJ2375" t="n">
        <x:v>0</x:v>
      </x:c>
      <x:c r="AK2375" t="n">
        <x:v>0</x:v>
      </x:c>
      <x:c r="AL2375" t="n">
        <x:v>0</x:v>
      </x:c>
      <x:c r="AM2375" t="n">
        <x:f>CHOOSE('假设'!$B$3,AJ2375,AK2375,AL2375)</x:f>
        <x:v>0</x:v>
      </x:c>
      <x:c r="AN2375" t="n">
        <x:v>1</x:v>
      </x:c>
    </x:row>
    <x:row r="2376" ht="23" customHeight="1">
      <x:c r="A2376" s="11" t="str">
        <x:v>688382.SH</x:v>
      </x:c>
      <x:c r="B2376" s="11" t="str">
        <x:v>2026年底</x:v>
      </x:c>
      <x:c r="C2376" s="11" t="str">
        <x:v>g12c_global</x:v>
      </x:c>
      <x:c r="D2376" s="11" t="str">
        <x:v>2030-12-31</x:v>
      </x:c>
      <x:c r="E2376" s="11" t="str">
        <x:v>USD</x:v>
      </x:c>
      <x:c r="F2376" s="11" t="n">
        <x:v>4</x:v>
      </x:c>
      <x:c r="G2376" s="26" t="b">
        <x:v>1</x:v>
      </x:c>
      <x:c r="H2376" s="16" t="n">
        <x:v>0</x:v>
      </x:c>
      <x:c r="I2376" s="16" t="n">
        <x:v>0</x:v>
      </x:c>
      <x:c r="J2376" s="16" t="n">
        <x:v>0.41666666666666663</x:v>
      </x:c>
      <x:c r="K2376" s="11" t="n">
        <x:f>CHOOSE('假设'!$B$3,H2376,I2376,J2376)</x:f>
        <x:v>0</x:v>
      </x:c>
      <x:c r="L2376" s="11" t="n">
        <x:f>K2376*'管线假设'!E523*'管线假设'!F523*'管线假设'!G523*IF(E2376="USD",'管线假设'!I523,1)-AM2376</x:f>
        <x:v>0</x:v>
      </x:c>
      <x:c r="M2376" s="11" t="n">
        <x:f>'管线假设'!H523</x:f>
        <x:v>0.135</x:v>
      </x:c>
      <x:c r="N2376" s="11" t="n">
        <x:f>IF(G2376,L2376*AN2376/(1+M2376)^F2376,0)</x:f>
        <x:v>0</x:v>
      </x:c>
      <x:c r="AJ2376" t="n">
        <x:v>0</x:v>
      </x:c>
      <x:c r="AK2376" t="n">
        <x:v>0</x:v>
      </x:c>
      <x:c r="AL2376" t="n">
        <x:v>0</x:v>
      </x:c>
      <x:c r="AM2376" t="n">
        <x:f>CHOOSE('假设'!$B$3,AJ2376,AK2376,AL2376)</x:f>
        <x:v>0</x:v>
      </x:c>
      <x:c r="AN2376" t="n">
        <x:v>1</x:v>
      </x:c>
    </x:row>
    <x:row r="2377" ht="23" customHeight="1">
      <x:c r="A2377" s="11" t="str">
        <x:v>688382.SH</x:v>
      </x:c>
      <x:c r="B2377" s="11" t="str">
        <x:v>2026年底</x:v>
      </x:c>
      <x:c r="C2377" s="11" t="str">
        <x:v>g12c_global</x:v>
      </x:c>
      <x:c r="D2377" s="11" t="str">
        <x:v>2031-12-31</x:v>
      </x:c>
      <x:c r="E2377" s="11" t="str">
        <x:v>USD</x:v>
      </x:c>
      <x:c r="F2377" s="11" t="n">
        <x:v>4.999315537303217</x:v>
      </x:c>
      <x:c r="G2377" s="26" t="b">
        <x:v>1</x:v>
      </x:c>
      <x:c r="H2377" s="16" t="n">
        <x:v>0</x:v>
      </x:c>
      <x:c r="I2377" s="16" t="n">
        <x:v>0</x:v>
      </x:c>
      <x:c r="J2377" s="16" t="n">
        <x:v>0.8333333333333333</x:v>
      </x:c>
      <x:c r="K2377" s="11" t="n">
        <x:f>CHOOSE('假设'!$B$3,H2377,I2377,J2377)</x:f>
        <x:v>0</x:v>
      </x:c>
      <x:c r="L2377" s="11" t="n">
        <x:f>K2377*'管线假设'!E523*'管线假设'!F523*'管线假设'!G523*IF(E2377="USD",'管线假设'!I523,1)-AM2377</x:f>
        <x:v>0</x:v>
      </x:c>
      <x:c r="M2377" s="11" t="n">
        <x:f>'管线假设'!H523</x:f>
        <x:v>0.135</x:v>
      </x:c>
      <x:c r="N2377" s="11" t="n">
        <x:f>IF(G2377,L2377*AN2377/(1+M2377)^F2377,0)</x:f>
        <x:v>0</x:v>
      </x:c>
      <x:c r="AJ2377" t="n">
        <x:v>0</x:v>
      </x:c>
      <x:c r="AK2377" t="n">
        <x:v>0</x:v>
      </x:c>
      <x:c r="AL2377" t="n">
        <x:v>0</x:v>
      </x:c>
      <x:c r="AM2377" t="n">
        <x:f>CHOOSE('假设'!$B$3,AJ2377,AK2377,AL2377)</x:f>
        <x:v>0</x:v>
      </x:c>
      <x:c r="AN2377" t="n">
        <x:v>1</x:v>
      </x:c>
    </x:row>
    <x:row r="2378" ht="23" customHeight="1">
      <x:c r="A2378" s="11" t="str">
        <x:v>688382.SH</x:v>
      </x:c>
      <x:c r="B2378" s="11" t="str">
        <x:v>2026年底</x:v>
      </x:c>
      <x:c r="C2378" s="11" t="str">
        <x:v>g12c_global</x:v>
      </x:c>
      <x:c r="D2378" s="11" t="str">
        <x:v>2032-12-31</x:v>
      </x:c>
      <x:c r="E2378" s="11" t="str">
        <x:v>USD</x:v>
      </x:c>
      <x:c r="F2378" s="11" t="n">
        <x:v>6.0013689253935665</x:v>
      </x:c>
      <x:c r="G2378" s="26" t="b">
        <x:v>1</x:v>
      </x:c>
      <x:c r="H2378" s="16" t="n">
        <x:v>0</x:v>
      </x:c>
      <x:c r="I2378" s="16" t="n">
        <x:v>0.21666666666666667</x:v>
      </x:c>
      <x:c r="J2378" s="16" t="n">
        <x:v>1.25</x:v>
      </x:c>
      <x:c r="K2378" s="11" t="n">
        <x:f>CHOOSE('假设'!$B$3,H2378,I2378,J2378)</x:f>
        <x:v>0.21666666666666667</x:v>
      </x:c>
      <x:c r="L2378" s="11" t="n">
        <x:f>K2378*'管线假设'!E523*'管线假设'!F523*'管线假设'!G523*IF(E2378="USD",'管线假设'!I523,1)-AM2378</x:f>
        <x:v>0.027787066666666672</x:v>
      </x:c>
      <x:c r="M2378" s="11" t="n">
        <x:f>'管线假设'!H523</x:f>
        <x:v>0.135</x:v>
      </x:c>
      <x:c r="N2378" s="11" t="n">
        <x:f>IF(G2378,L2378*AN2378/(1+M2378)^F2378,0)</x:f>
        <x:v>0.012995477708640235</x:v>
      </x:c>
      <x:c r="AJ2378" t="n">
        <x:v>0</x:v>
      </x:c>
      <x:c r="AK2378" t="n">
        <x:v>0</x:v>
      </x:c>
      <x:c r="AL2378" t="n">
        <x:v>0</x:v>
      </x:c>
      <x:c r="AM2378" t="n">
        <x:f>CHOOSE('假设'!$B$3,AJ2378,AK2378,AL2378)</x:f>
        <x:v>0</x:v>
      </x:c>
      <x:c r="AN2378" t="n">
        <x:v>1</x:v>
      </x:c>
    </x:row>
    <x:row r="2379" ht="23" customHeight="1">
      <x:c r="A2379" s="11" t="str">
        <x:v>688382.SH</x:v>
      </x:c>
      <x:c r="B2379" s="11" t="str">
        <x:v>2026年底</x:v>
      </x:c>
      <x:c r="C2379" s="11" t="str">
        <x:v>g12c_global</x:v>
      </x:c>
      <x:c r="D2379" s="11" t="str">
        <x:v>2033-12-31</x:v>
      </x:c>
      <x:c r="E2379" s="11" t="str">
        <x:v>USD</x:v>
      </x:c>
      <x:c r="F2379" s="11" t="n">
        <x:v>7.000684462696783</x:v>
      </x:c>
      <x:c r="G2379" s="26" t="b">
        <x:v>1</x:v>
      </x:c>
      <x:c r="H2379" s="16" t="n">
        <x:v>0</x:v>
      </x:c>
      <x:c r="I2379" s="16" t="n">
        <x:v>0.43333333333333335</x:v>
      </x:c>
      <x:c r="J2379" s="16" t="n">
        <x:v>1.6666666666666665</x:v>
      </x:c>
      <x:c r="K2379" s="11" t="n">
        <x:f>CHOOSE('假设'!$B$3,H2379,I2379,J2379)</x:f>
        <x:v>0.43333333333333335</x:v>
      </x:c>
      <x:c r="L2379" s="11" t="n">
        <x:f>K2379*'管线假设'!E523*'管线假设'!F523*'管线假设'!G523*IF(E2379="USD",'管线假设'!I523,1)-AM2379</x:f>
        <x:v>0.055574133333333345</x:v>
      </x:c>
      <x:c r="M2379" s="11" t="n">
        <x:f>'管线假设'!H523</x:f>
        <x:v>0.135</x:v>
      </x:c>
      <x:c r="N2379" s="11" t="n">
        <x:f>IF(G2379,L2379*AN2379/(1+M2379)^F2379,0)</x:f>
        <x:v>0.022901505100828938</x:v>
      </x:c>
      <x:c r="AJ2379" t="n">
        <x:v>0</x:v>
      </x:c>
      <x:c r="AK2379" t="n">
        <x:v>0</x:v>
      </x:c>
      <x:c r="AL2379" t="n">
        <x:v>0</x:v>
      </x:c>
      <x:c r="AM2379" t="n">
        <x:f>CHOOSE('假设'!$B$3,AJ2379,AK2379,AL2379)</x:f>
        <x:v>0</x:v>
      </x:c>
      <x:c r="AN2379" t="n">
        <x:v>1</x:v>
      </x:c>
    </x:row>
    <x:row r="2380" ht="23" customHeight="1">
      <x:c r="A2380" s="11" t="str">
        <x:v>688382.SH</x:v>
      </x:c>
      <x:c r="B2380" s="11" t="str">
        <x:v>2026年底</x:v>
      </x:c>
      <x:c r="C2380" s="11" t="str">
        <x:v>g12c_global</x:v>
      </x:c>
      <x:c r="D2380" s="11" t="str">
        <x:v>2034-12-31</x:v>
      </x:c>
      <x:c r="E2380" s="11" t="str">
        <x:v>USD</x:v>
      </x:c>
      <x:c r="F2380" s="11" t="n">
        <x:v>8</x:v>
      </x:c>
      <x:c r="G2380" s="26" t="b">
        <x:v>1</x:v>
      </x:c>
      <x:c r="H2380" s="16" t="n">
        <x:v>0</x:v>
      </x:c>
      <x:c r="I2380" s="16" t="n">
        <x:v>0.65</x:v>
      </x:c>
      <x:c r="J2380" s="16" t="n">
        <x:v>2.0833333333333335</x:v>
      </x:c>
      <x:c r="K2380" s="11" t="n">
        <x:f>CHOOSE('假设'!$B$3,H2380,I2380,J2380)</x:f>
        <x:v>0.65</x:v>
      </x:c>
      <x:c r="L2380" s="11" t="n">
        <x:f>K2380*'管线假设'!E523*'管线假设'!F523*'管线假设'!G523*IF(E2380="USD",'管线假设'!I523,1)-AM2380</x:f>
        <x:v>0.08336120000000001</x:v>
      </x:c>
      <x:c r="M2380" s="11" t="n">
        <x:f>'管线假设'!H523</x:f>
        <x:v>0.135</x:v>
      </x:c>
      <x:c r="N2380" s="11" t="n">
        <x:f>IF(G2380,L2380*AN2380/(1+M2380)^F2380,0)</x:f>
        <x:v>0.030268929756305893</x:v>
      </x:c>
      <x:c r="AJ2380" t="n">
        <x:v>0</x:v>
      </x:c>
      <x:c r="AK2380" t="n">
        <x:v>0</x:v>
      </x:c>
      <x:c r="AL2380" t="n">
        <x:v>0</x:v>
      </x:c>
      <x:c r="AM2380" t="n">
        <x:f>CHOOSE('假设'!$B$3,AJ2380,AK2380,AL2380)</x:f>
        <x:v>0</x:v>
      </x:c>
      <x:c r="AN2380" t="n">
        <x:v>1</x:v>
      </x:c>
    </x:row>
    <x:row r="2381" ht="23" customHeight="1">
      <x:c r="A2381" s="11" t="str">
        <x:v>688382.SH</x:v>
      </x:c>
      <x:c r="B2381" s="11" t="str">
        <x:v>2026年底</x:v>
      </x:c>
      <x:c r="C2381" s="11" t="str">
        <x:v>g12c_global</x:v>
      </x:c>
      <x:c r="D2381" s="11" t="str">
        <x:v>2035-12-31</x:v>
      </x:c>
      <x:c r="E2381" s="11" t="str">
        <x:v>USD</x:v>
      </x:c>
      <x:c r="F2381" s="11" t="n">
        <x:v>8.999315537303216</x:v>
      </x:c>
      <x:c r="G2381" s="26" t="b">
        <x:v>1</x:v>
      </x:c>
      <x:c r="H2381" s="16" t="n">
        <x:v>0.1</x:v>
      </x:c>
      <x:c r="I2381" s="16" t="n">
        <x:v>0.8666666666666667</x:v>
      </x:c>
      <x:c r="J2381" s="16" t="n">
        <x:v>2.5</x:v>
      </x:c>
      <x:c r="K2381" s="11" t="n">
        <x:f>CHOOSE('假设'!$B$3,H2381,I2381,J2381)</x:f>
        <x:v>0.8666666666666667</x:v>
      </x:c>
      <x:c r="L2381" s="11" t="n">
        <x:f>K2381*'管线假设'!E523*'管线假设'!F523*'管线假设'!G523*IF(E2381="USD",'管线假设'!I523,1)-AM2381</x:f>
        <x:v>0.11114826666666669</x:v>
      </x:c>
      <x:c r="M2381" s="11" t="n">
        <x:f>'管线假设'!H523</x:f>
        <x:v>0.135</x:v>
      </x:c>
      <x:c r="N2381" s="11" t="n">
        <x:f>IF(G2381,L2381*AN2381/(1+M2381)^F2381,0)</x:f>
        <x:v>0.03556129625768639</x:v>
      </x:c>
      <x:c r="AJ2381" t="n">
        <x:v>0</x:v>
      </x:c>
      <x:c r="AK2381" t="n">
        <x:v>0</x:v>
      </x:c>
      <x:c r="AL2381" t="n">
        <x:v>0</x:v>
      </x:c>
      <x:c r="AM2381" t="n">
        <x:f>CHOOSE('假设'!$B$3,AJ2381,AK2381,AL2381)</x:f>
        <x:v>0</x:v>
      </x:c>
      <x:c r="AN2381" t="n">
        <x:v>1</x:v>
      </x:c>
    </x:row>
    <x:row r="2382" ht="23" customHeight="1">
      <x:c r="A2382" s="11" t="str">
        <x:v>688382.SH</x:v>
      </x:c>
      <x:c r="B2382" s="11" t="str">
        <x:v>2026年底</x:v>
      </x:c>
      <x:c r="C2382" s="11" t="str">
        <x:v>g12c_global</x:v>
      </x:c>
      <x:c r="D2382" s="11" t="str">
        <x:v>2036-12-31</x:v>
      </x:c>
      <x:c r="E2382" s="11" t="str">
        <x:v>USD</x:v>
      </x:c>
      <x:c r="F2382" s="11" t="n">
        <x:v>10.001368925393566</x:v>
      </x:c>
      <x:c r="G2382" s="26" t="b">
        <x:v>1</x:v>
      </x:c>
      <x:c r="H2382" s="16" t="n">
        <x:v>0.2</x:v>
      </x:c>
      <x:c r="I2382" s="16" t="n">
        <x:v>1.0833333333333335</x:v>
      </x:c>
      <x:c r="J2382" s="16" t="n">
        <x:v>2.175</x:v>
      </x:c>
      <x:c r="K2382" s="11" t="n">
        <x:f>CHOOSE('假设'!$B$3,H2382,I2382,J2382)</x:f>
        <x:v>1.0833333333333335</x:v>
      </x:c>
      <x:c r="L2382" s="11" t="n">
        <x:f>K2382*'管线假设'!E523*'管线假设'!F523*'管线假设'!G523*IF(E2382="USD",'管线假设'!I523,1)-AM2382</x:f>
        <x:v>0.13893533333333336</x:v>
      </x:c>
      <x:c r="M2382" s="11" t="n">
        <x:f>'管线假设'!H523</x:f>
        <x:v>0.135</x:v>
      </x:c>
      <x:c r="N2382" s="11" t="n">
        <x:f>IF(G2382,L2382*AN2382/(1+M2382)^F2382,0)</x:f>
        <x:v>0.03915424074777709</x:v>
      </x:c>
      <x:c r="AJ2382" t="n">
        <x:v>0</x:v>
      </x:c>
      <x:c r="AK2382" t="n">
        <x:v>0</x:v>
      </x:c>
      <x:c r="AL2382" t="n">
        <x:v>0</x:v>
      </x:c>
      <x:c r="AM2382" t="n">
        <x:f>CHOOSE('假设'!$B$3,AJ2382,AK2382,AL2382)</x:f>
        <x:v>0</x:v>
      </x:c>
      <x:c r="AN2382" t="n">
        <x:v>1</x:v>
      </x:c>
    </x:row>
    <x:row r="2383" ht="23" customHeight="1">
      <x:c r="A2383" s="11" t="str">
        <x:v>688382.SH</x:v>
      </x:c>
      <x:c r="B2383" s="11" t="str">
        <x:v>2026年底</x:v>
      </x:c>
      <x:c r="C2383" s="11" t="str">
        <x:v>g12c_global</x:v>
      </x:c>
      <x:c r="D2383" s="11" t="str">
        <x:v>2037-12-31</x:v>
      </x:c>
      <x:c r="E2383" s="11" t="str">
        <x:v>USD</x:v>
      </x:c>
      <x:c r="F2383" s="11" t="n">
        <x:v>11.000684462696784</x:v>
      </x:c>
      <x:c r="G2383" s="26" t="b">
        <x:v>1</x:v>
      </x:c>
      <x:c r="H2383" s="16" t="n">
        <x:v>0.3</x:v>
      </x:c>
      <x:c r="I2383" s="16" t="n">
        <x:v>1.3</x:v>
      </x:c>
      <x:c r="J2383" s="16" t="n">
        <x:v>1.85</x:v>
      </x:c>
      <x:c r="K2383" s="11" t="n">
        <x:f>CHOOSE('假设'!$B$3,H2383,I2383,J2383)</x:f>
        <x:v>1.3</x:v>
      </x:c>
      <x:c r="L2383" s="11" t="n">
        <x:f>K2383*'管线假设'!E523*'管线假设'!F523*'管线假设'!G523*IF(E2383="USD",'管线假设'!I523,1)-AM2383</x:f>
        <x:v>0.16672240000000002</x:v>
      </x:c>
      <x:c r="M2383" s="11" t="n">
        <x:f>'管线假设'!H523</x:f>
        <x:v>0.135</x:v>
      </x:c>
      <x:c r="N2383" s="11" t="n">
        <x:f>IF(G2383,L2383*AN2383/(1+M2383)^F2383,0)</x:f>
        <x:v>0.04140014230988013</x:v>
      </x:c>
      <x:c r="AJ2383" t="n">
        <x:v>0</x:v>
      </x:c>
      <x:c r="AK2383" t="n">
        <x:v>0</x:v>
      </x:c>
      <x:c r="AL2383" t="n">
        <x:v>0</x:v>
      </x:c>
      <x:c r="AM2383" t="n">
        <x:f>CHOOSE('假设'!$B$3,AJ2383,AK2383,AL2383)</x:f>
        <x:v>0</x:v>
      </x:c>
      <x:c r="AN2383" t="n">
        <x:v>1</x:v>
      </x:c>
    </x:row>
    <x:row r="2384" ht="23" customHeight="1">
      <x:c r="A2384" s="11" t="str">
        <x:v>688382.SH</x:v>
      </x:c>
      <x:c r="B2384" s="11" t="str">
        <x:v>2026年底</x:v>
      </x:c>
      <x:c r="C2384" s="11" t="str">
        <x:v>g12c_global</x:v>
      </x:c>
      <x:c r="D2384" s="11" t="str">
        <x:v>2038-12-31</x:v>
      </x:c>
      <x:c r="E2384" s="11" t="str">
        <x:v>USD</x:v>
      </x:c>
      <x:c r="F2384" s="11" t="n">
        <x:v>12</x:v>
      </x:c>
      <x:c r="G2384" s="26" t="b">
        <x:v>1</x:v>
      </x:c>
      <x:c r="H2384" s="16" t="n">
        <x:v>0.4</x:v>
      </x:c>
      <x:c r="I2384" s="16" t="n">
        <x:v>1.131</x:v>
      </x:c>
      <x:c r="J2384" s="16" t="n">
        <x:v>1.525</x:v>
      </x:c>
      <x:c r="K2384" s="11" t="n">
        <x:f>CHOOSE('假设'!$B$3,H2384,I2384,J2384)</x:f>
        <x:v>1.131</x:v>
      </x:c>
      <x:c r="L2384" s="11" t="n">
        <x:f>K2384*'管线假设'!E523*'管线假设'!F523*'管线假设'!G523*IF(E2384="USD",'管线假设'!I523,1)-AM2384</x:f>
        <x:v>0.145048488</x:v>
      </x:c>
      <x:c r="M2384" s="11" t="n">
        <x:f>'管线假设'!H523</x:f>
        <x:v>0.135</x:v>
      </x:c>
      <x:c r="N2384" s="11" t="n">
        <x:f>IF(G2384,L2384*AN2384/(1+M2384)^F2384,0)</x:f>
        <x:v>0.03173678046476575</x:v>
      </x:c>
      <x:c r="AJ2384" t="n">
        <x:v>0</x:v>
      </x:c>
      <x:c r="AK2384" t="n">
        <x:v>0</x:v>
      </x:c>
      <x:c r="AL2384" t="n">
        <x:v>0</x:v>
      </x:c>
      <x:c r="AM2384" t="n">
        <x:f>CHOOSE('假设'!$B$3,AJ2384,AK2384,AL2384)</x:f>
        <x:v>0</x:v>
      </x:c>
      <x:c r="AN2384" t="n">
        <x:v>1</x:v>
      </x:c>
    </x:row>
    <x:row r="2385" ht="23" customHeight="1">
      <x:c r="A2385" s="11" t="str">
        <x:v>688382.SH</x:v>
      </x:c>
      <x:c r="B2385" s="11" t="str">
        <x:v>2026年底</x:v>
      </x:c>
      <x:c r="C2385" s="11" t="str">
        <x:v>g12c_global</x:v>
      </x:c>
      <x:c r="D2385" s="11" t="str">
        <x:v>2039-12-31</x:v>
      </x:c>
      <x:c r="E2385" s="11" t="str">
        <x:v>USD</x:v>
      </x:c>
      <x:c r="F2385" s="11" t="n">
        <x:v>12.999315537303216</x:v>
      </x:c>
      <x:c r="G2385" s="26" t="b">
        <x:v>1</x:v>
      </x:c>
      <x:c r="H2385" s="16" t="n">
        <x:v>0.5</x:v>
      </x:c>
      <x:c r="I2385" s="16" t="n">
        <x:v>0.962</x:v>
      </x:c>
      <x:c r="J2385" s="16" t="n">
        <x:v>1.2</x:v>
      </x:c>
      <x:c r="K2385" s="11" t="n">
        <x:f>CHOOSE('假设'!$B$3,H2385,I2385,J2385)</x:f>
        <x:v>0.962</x:v>
      </x:c>
      <x:c r="L2385" s="11" t="n">
        <x:f>K2385*'管线假设'!E523*'管线假设'!F523*'管线假设'!G523*IF(E2385="USD",'管线假设'!I523,1)-AM2385</x:f>
        <x:v>0.123374576</x:v>
      </x:c>
      <x:c r="M2385" s="11" t="n">
        <x:f>'管线假设'!H523</x:f>
        <x:v>0.135</x:v>
      </x:c>
      <x:c r="N2385" s="11" t="n">
        <x:f>IF(G2385,L2385*AN2385/(1+M2385)^F2385,0)</x:f>
        <x:v>0.023785764566335514</x:v>
      </x:c>
      <x:c r="AJ2385" t="n">
        <x:v>0</x:v>
      </x:c>
      <x:c r="AK2385" t="n">
        <x:v>0</x:v>
      </x:c>
      <x:c r="AL2385" t="n">
        <x:v>0</x:v>
      </x:c>
      <x:c r="AM2385" t="n">
        <x:f>CHOOSE('假设'!$B$3,AJ2385,AK2385,AL2385)</x:f>
        <x:v>0</x:v>
      </x:c>
      <x:c r="AN2385" t="n">
        <x:v>1</x:v>
      </x:c>
    </x:row>
    <x:row r="2386" ht="23" customHeight="1">
      <x:c r="A2386" s="11" t="str">
        <x:v>688382.SH</x:v>
      </x:c>
      <x:c r="B2386" s="11" t="str">
        <x:v>2026年底</x:v>
      </x:c>
      <x:c r="C2386" s="11" t="str">
        <x:v>g12c_global</x:v>
      </x:c>
      <x:c r="D2386" s="11" t="str">
        <x:v>2040-12-31</x:v>
      </x:c>
      <x:c r="E2386" s="11" t="str">
        <x:v>USD</x:v>
      </x:c>
      <x:c r="F2386" s="11" t="n">
        <x:v>14.001368925393566</x:v>
      </x:c>
      <x:c r="G2386" s="26" t="b">
        <x:v>1</x:v>
      </x:c>
      <x:c r="H2386" s="16" t="n">
        <x:v>0.435</x:v>
      </x:c>
      <x:c r="I2386" s="16" t="n">
        <x:v>0.793</x:v>
      </x:c>
      <x:c r="J2386" s="16" t="n">
        <x:v>0.875</x:v>
      </x:c>
      <x:c r="K2386" s="11" t="n">
        <x:f>CHOOSE('假设'!$B$3,H2386,I2386,J2386)</x:f>
        <x:v>0.793</x:v>
      </x:c>
      <x:c r="L2386" s="11" t="n">
        <x:f>K2386*'管线假设'!E523*'管线假设'!F523*'管线假设'!G523*IF(E2386="USD",'管线假设'!I523,1)-AM2386</x:f>
        <x:v>0.10170066400000001</x:v>
      </x:c>
      <x:c r="M2386" s="11" t="n">
        <x:f>'管线假设'!H523</x:f>
        <x:v>0.135</x:v>
      </x:c>
      <x:c r="N2386" s="11" t="n">
        <x:f>IF(G2386,L2386*AN2386/(1+M2386)^F2386,0)</x:f>
        <x:v>0.017270560872439947</x:v>
      </x:c>
      <x:c r="AJ2386" t="n">
        <x:v>0</x:v>
      </x:c>
      <x:c r="AK2386" t="n">
        <x:v>0</x:v>
      </x:c>
      <x:c r="AL2386" t="n">
        <x:v>0</x:v>
      </x:c>
      <x:c r="AM2386" t="n">
        <x:f>CHOOSE('假设'!$B$3,AJ2386,AK2386,AL2386)</x:f>
        <x:v>0</x:v>
      </x:c>
      <x:c r="AN2386" t="n">
        <x:v>1</x:v>
      </x:c>
    </x:row>
    <x:row r="2387" ht="23" customHeight="1">
      <x:c r="A2387" s="11" t="str">
        <x:v>688382.SH</x:v>
      </x:c>
      <x:c r="B2387" s="11" t="str">
        <x:v>2026年底</x:v>
      </x:c>
      <x:c r="C2387" s="11" t="str">
        <x:v>g12c_global</x:v>
      </x:c>
      <x:c r="D2387" s="11" t="str">
        <x:v>2041-12-31</x:v>
      </x:c>
      <x:c r="E2387" s="11" t="str">
        <x:v>USD</x:v>
      </x:c>
      <x:c r="F2387" s="11" t="n">
        <x:v>15.000684462696784</x:v>
      </x:c>
      <x:c r="G2387" s="26" t="b">
        <x:v>1</x:v>
      </x:c>
      <x:c r="H2387" s="16" t="n">
        <x:v>0.37</x:v>
      </x:c>
      <x:c r="I2387" s="16" t="n">
        <x:v>0.624</x:v>
      </x:c>
      <x:c r="J2387" s="16" t="n">
        <x:v>0.5499999999999999</x:v>
      </x:c>
      <x:c r="K2387" s="11" t="n">
        <x:f>CHOOSE('假设'!$B$3,H2387,I2387,J2387)</x:f>
        <x:v>0.624</x:v>
      </x:c>
      <x:c r="L2387" s="11" t="n">
        <x:f>K2387*'管线假设'!E523*'管线假设'!F523*'管线假设'!G523*IF(E2387="USD",'管线假设'!I523,1)-AM2387</x:f>
        <x:v>0.080026752</x:v>
      </x:c>
      <x:c r="M2387" s="11" t="n">
        <x:f>'管线假设'!H523</x:f>
        <x:v>0.135</x:v>
      </x:c>
      <x:c r="N2387" s="11" t="n">
        <x:f>IF(G2387,L2387*AN2387/(1+M2387)^F2387,0)</x:f>
        <x:v>0.011974561676935643</x:v>
      </x:c>
      <x:c r="AJ2387" t="n">
        <x:v>0</x:v>
      </x:c>
      <x:c r="AK2387" t="n">
        <x:v>0</x:v>
      </x:c>
      <x:c r="AL2387" t="n">
        <x:v>0</x:v>
      </x:c>
      <x:c r="AM2387" t="n">
        <x:f>CHOOSE('假设'!$B$3,AJ2387,AK2387,AL2387)</x:f>
        <x:v>0</x:v>
      </x:c>
      <x:c r="AN2387" t="n">
        <x:v>1</x:v>
      </x:c>
    </x:row>
    <x:row r="2388" ht="23" customHeight="1">
      <x:c r="A2388" s="11" t="str">
        <x:v>688382.SH</x:v>
      </x:c>
      <x:c r="B2388" s="11" t="str">
        <x:v>2026年底</x:v>
      </x:c>
      <x:c r="C2388" s="11" t="str">
        <x:v>g12c_global</x:v>
      </x:c>
      <x:c r="D2388" s="11" t="str">
        <x:v>2042-12-31</x:v>
      </x:c>
      <x:c r="E2388" s="11" t="str">
        <x:v>USD</x:v>
      </x:c>
      <x:c r="F2388" s="11" t="n">
        <x:v>16</x:v>
      </x:c>
      <x:c r="G2388" s="26" t="b">
        <x:v>1</x:v>
      </x:c>
      <x:c r="H2388" s="16" t="n">
        <x:v>0.305</x:v>
      </x:c>
      <x:c r="I2388" s="16" t="n">
        <x:v>0.45499999999999996</x:v>
      </x:c>
      <x:c r="J2388" s="16" t="n">
        <x:v>0.22499999999999992</x:v>
      </x:c>
      <x:c r="K2388" s="11" t="n">
        <x:f>CHOOSE('假设'!$B$3,H2388,I2388,J2388)</x:f>
        <x:v>0.45499999999999996</x:v>
      </x:c>
      <x:c r="L2388" s="11" t="n">
        <x:f>K2388*'管线假设'!E523*'管线假设'!F523*'管线假设'!G523*IF(E2388="USD",'管线假设'!I523,1)-AM2388</x:f>
        <x:v>0.058352839999999996</x:v>
      </x:c>
      <x:c r="M2388" s="11" t="n">
        <x:f>'管线假设'!H523</x:f>
        <x:v>0.135</x:v>
      </x:c>
      <x:c r="N2388" s="11" t="n">
        <x:f>IF(G2388,L2388*AN2388/(1+M2388)^F2388,0)</x:f>
        <x:v>0.00769357538056705</x:v>
      </x:c>
      <x:c r="AJ2388" t="n">
        <x:v>0</x:v>
      </x:c>
      <x:c r="AK2388" t="n">
        <x:v>0</x:v>
      </x:c>
      <x:c r="AL2388" t="n">
        <x:v>0</x:v>
      </x:c>
      <x:c r="AM2388" t="n">
        <x:f>CHOOSE('假设'!$B$3,AJ2388,AK2388,AL2388)</x:f>
        <x:v>0</x:v>
      </x:c>
      <x:c r="AN2388" t="n">
        <x:v>1</x:v>
      </x:c>
    </x:row>
    <x:row r="2389" ht="23" customHeight="1">
      <x:c r="A2389" s="11" t="str">
        <x:v>688382.SH</x:v>
      </x:c>
      <x:c r="B2389" s="11" t="str">
        <x:v>2026年底</x:v>
      </x:c>
      <x:c r="C2389" s="11" t="str">
        <x:v>g12c_global</x:v>
      </x:c>
      <x:c r="D2389" s="11" t="str">
        <x:v>2043-12-31</x:v>
      </x:c>
      <x:c r="E2389" s="11" t="str">
        <x:v>USD</x:v>
      </x:c>
      <x:c r="F2389" s="11" t="n">
        <x:v>16.999315537303218</x:v>
      </x:c>
      <x:c r="G2389" s="26" t="b">
        <x:v>1</x:v>
      </x:c>
      <x:c r="H2389" s="16" t="n">
        <x:v>0.24</x:v>
      </x:c>
      <x:c r="I2389" s="16" t="n">
        <x:v>0.286</x:v>
      </x:c>
      <x:c r="J2389" s="16" t="n">
        <x:v>0</x:v>
      </x:c>
      <x:c r="K2389" s="11" t="n">
        <x:f>CHOOSE('假设'!$B$3,H2389,I2389,J2389)</x:f>
        <x:v>0.286</x:v>
      </x:c>
      <x:c r="L2389" s="11" t="n">
        <x:f>K2389*'管线假设'!E523*'管线假设'!F523*'管线假设'!G523*IF(E2389="USD",'管线假设'!I523,1)-AM2389</x:f>
        <x:v>0.036678928000000006</x:v>
      </x:c>
      <x:c r="M2389" s="11" t="n">
        <x:f>'管线假设'!H523</x:f>
        <x:v>0.135</x:v>
      </x:c>
      <x:c r="N2389" s="11" t="n">
        <x:f>IF(G2389,L2389*AN2389/(1+M2389)^F2389,0)</x:f>
        <x:v>0.004261128497360169</x:v>
      </x:c>
      <x:c r="AJ2389" t="n">
        <x:v>0</x:v>
      </x:c>
      <x:c r="AK2389" t="n">
        <x:v>0</x:v>
      </x:c>
      <x:c r="AL2389" t="n">
        <x:v>0</x:v>
      </x:c>
      <x:c r="AM2389" t="n">
        <x:f>CHOOSE('假设'!$B$3,AJ2389,AK2389,AL2389)</x:f>
        <x:v>0</x:v>
      </x:c>
      <x:c r="AN2389" t="n">
        <x:v>1</x:v>
      </x:c>
    </x:row>
    <x:row r="2390" ht="23" customHeight="1">
      <x:c r="A2390" s="11" t="str">
        <x:v>688382.SH</x:v>
      </x:c>
      <x:c r="B2390" s="11" t="str">
        <x:v>2026年底</x:v>
      </x:c>
      <x:c r="C2390" s="11" t="str">
        <x:v>g12c_global</x:v>
      </x:c>
      <x:c r="D2390" s="11" t="str">
        <x:v>2044-12-31</x:v>
      </x:c>
      <x:c r="E2390" s="11" t="str">
        <x:v>USD</x:v>
      </x:c>
      <x:c r="F2390" s="11" t="n">
        <x:v>18.001368925393567</x:v>
      </x:c>
      <x:c r="G2390" s="26" t="b">
        <x:v>1</x:v>
      </x:c>
      <x:c r="H2390" s="16" t="n">
        <x:v>0.175</x:v>
      </x:c>
      <x:c r="I2390" s="16" t="n">
        <x:v>0.11699999999999997</x:v>
      </x:c>
      <x:c r="J2390" s="16" t="n">
        <x:v>0</x:v>
      </x:c>
      <x:c r="K2390" s="11" t="n">
        <x:f>CHOOSE('假设'!$B$3,H2390,I2390,J2390)</x:f>
        <x:v>0.11699999999999997</x:v>
      </x:c>
      <x:c r="L2390" s="11" t="n">
        <x:f>K2390*'管线假设'!E523*'管线假设'!F523*'管线假设'!G523*IF(E2390="USD",'管线假设'!I523,1)-AM2390</x:f>
        <x:v>0.015005015999999996</x:v>
      </x:c>
      <x:c r="M2390" s="11" t="n">
        <x:f>'管线假设'!H523</x:f>
        <x:v>0.135</x:v>
      </x:c>
      <x:c r="N2390" s="11" t="n">
        <x:f>IF(G2390,L2390*AN2390/(1+M2390)^F2390,0)</x:f>
        <x:v>0.0015354499693915516</x:v>
      </x:c>
      <x:c r="AJ2390" t="n">
        <x:v>0</x:v>
      </x:c>
      <x:c r="AK2390" t="n">
        <x:v>0</x:v>
      </x:c>
      <x:c r="AL2390" t="n">
        <x:v>0</x:v>
      </x:c>
      <x:c r="AM2390" t="n">
        <x:f>CHOOSE('假设'!$B$3,AJ2390,AK2390,AL2390)</x:f>
        <x:v>0</x:v>
      </x:c>
      <x:c r="AN2390" t="n">
        <x:v>1</x:v>
      </x:c>
    </x:row>
    <x:row r="2391" ht="23" customHeight="1">
      <x:c r="A2391" s="11" t="str">
        <x:v>688382.SH</x:v>
      </x:c>
      <x:c r="B2391" s="11" t="str">
        <x:v>2026年底</x:v>
      </x:c>
      <x:c r="C2391" s="11" t="str">
        <x:v>g12c_global</x:v>
      </x:c>
      <x:c r="D2391" s="11" t="str">
        <x:v>2045-12-31</x:v>
      </x:c>
      <x:c r="E2391" s="11" t="str">
        <x:v>USD</x:v>
      </x:c>
      <x:c r="F2391" s="11" t="n">
        <x:v>19.000684462696782</x:v>
      </x:c>
      <x:c r="G2391" s="26" t="b">
        <x:v>1</x:v>
      </x:c>
      <x:c r="H2391" s="16" t="n">
        <x:v>0.10999999999999999</x:v>
      </x:c>
      <x:c r="I2391" s="16" t="n">
        <x:v>0</x:v>
      </x:c>
      <x:c r="J2391" s="16" t="n">
        <x:v>0</x:v>
      </x:c>
      <x:c r="K2391" s="11" t="n">
        <x:f>CHOOSE('假设'!$B$3,H2391,I2391,J2391)</x:f>
        <x:v>0</x:v>
      </x:c>
      <x:c r="L2391" s="11" t="n">
        <x:f>K2391*'管线假设'!E523*'管线假设'!F523*'管线假设'!G523*IF(E2391="USD",'管线假设'!I523,1)-AM2391</x:f>
        <x:v>0</x:v>
      </x:c>
      <x:c r="M2391" s="11" t="n">
        <x:f>'管线假设'!H523</x:f>
        <x:v>0.135</x:v>
      </x:c>
      <x:c r="N2391" s="11" t="n">
        <x:f>IF(G2391,L2391*AN2391/(1+M2391)^F2391,0)</x:f>
        <x:v>0</x:v>
      </x:c>
      <x:c r="AJ2391" t="n">
        <x:v>0</x:v>
      </x:c>
      <x:c r="AK2391" t="n">
        <x:v>0</x:v>
      </x:c>
      <x:c r="AL2391" t="n">
        <x:v>0</x:v>
      </x:c>
      <x:c r="AM2391" t="n">
        <x:f>CHOOSE('假设'!$B$3,AJ2391,AK2391,AL2391)</x:f>
        <x:v>0</x:v>
      </x:c>
      <x:c r="AN2391" t="n">
        <x:v>1</x:v>
      </x:c>
    </x:row>
    <x:row r="2392" ht="23" customHeight="1">
      <x:c r="A2392" s="11" t="str">
        <x:v>688382.SH</x:v>
      </x:c>
      <x:c r="B2392" s="11" t="str">
        <x:v>2026年底</x:v>
      </x:c>
      <x:c r="C2392" s="11" t="str">
        <x:v>tyk_ps_cn</x:v>
      </x:c>
      <x:c r="D2392" s="11" t="str">
        <x:v>2027-12-31</x:v>
      </x:c>
      <x:c r="E2392" s="11" t="str">
        <x:v>CNY</x:v>
      </x:c>
      <x:c r="F2392" s="11" t="n">
        <x:v>0.999315537303217</x:v>
      </x:c>
      <x:c r="G2392" s="26" t="b">
        <x:v>1</x:v>
      </x:c>
      <x:c r="H2392" s="16" t="n">
        <x:v>0</x:v>
      </x:c>
      <x:c r="I2392" s="16" t="n">
        <x:v>0</x:v>
      </x:c>
      <x:c r="J2392" s="16" t="n">
        <x:v>0</x:v>
      </x:c>
      <x:c r="K2392" s="11" t="n">
        <x:f>CHOOSE('假设'!$B$3,H2392,I2392,J2392)</x:f>
        <x:v>0</x:v>
      </x:c>
      <x:c r="L2392" s="11" t="n">
        <x:f>K2392*'管线假设'!E527*'管线假设'!F527*'管线假设'!G527*IF(E2392="USD",'管线假设'!I527,1)-AM2392</x:f>
        <x:v>0</x:v>
      </x:c>
      <x:c r="M2392" s="11" t="n">
        <x:f>'管线假设'!H527</x:f>
        <x:v>0.135</x:v>
      </x:c>
      <x:c r="N2392" s="11" t="n">
        <x:f>IF(G2392,L2392*AN2392/(1+M2392)^F2392,0)</x:f>
        <x:v>0</x:v>
      </x:c>
      <x:c r="AJ2392" t="n">
        <x:v>0</x:v>
      </x:c>
      <x:c r="AK2392" t="n">
        <x:v>0</x:v>
      </x:c>
      <x:c r="AL2392" t="n">
        <x:v>0</x:v>
      </x:c>
      <x:c r="AM2392" t="n">
        <x:f>CHOOSE('假设'!$B$3,AJ2392,AK2392,AL2392)</x:f>
        <x:v>0</x:v>
      </x:c>
      <x:c r="AN2392" t="n">
        <x:v>1</x:v>
      </x:c>
    </x:row>
    <x:row r="2393" ht="23" customHeight="1">
      <x:c r="A2393" s="11" t="str">
        <x:v>688382.SH</x:v>
      </x:c>
      <x:c r="B2393" s="11" t="str">
        <x:v>2026年底</x:v>
      </x:c>
      <x:c r="C2393" s="11" t="str">
        <x:v>tyk_ps_cn</x:v>
      </x:c>
      <x:c r="D2393" s="11" t="str">
        <x:v>2028-12-31</x:v>
      </x:c>
      <x:c r="E2393" s="11" t="str">
        <x:v>CNY</x:v>
      </x:c>
      <x:c r="F2393" s="11" t="n">
        <x:v>2.001368925393566</x:v>
      </x:c>
      <x:c r="G2393" s="26" t="b">
        <x:v>1</x:v>
      </x:c>
      <x:c r="H2393" s="16" t="n">
        <x:v>0</x:v>
      </x:c>
      <x:c r="I2393" s="16" t="n">
        <x:v>0.41666666666666663</x:v>
      </x:c>
      <x:c r="J2393" s="16" t="n">
        <x:v>0.8</x:v>
      </x:c>
      <x:c r="K2393" s="11" t="n">
        <x:f>CHOOSE('假设'!$B$3,H2393,I2393,J2393)</x:f>
        <x:v>0.41666666666666663</x:v>
      </x:c>
      <x:c r="L2393" s="11" t="n">
        <x:f>K2393*'管线假设'!E527*'管线假设'!F527*'管线假设'!G527*IF(E2393="USD",'管线假设'!I527,1)-AM2393</x:f>
        <x:v>0.07233333333333333</x:v>
      </x:c>
      <x:c r="M2393" s="11" t="n">
        <x:f>'管线假设'!H527</x:f>
        <x:v>0.135</x:v>
      </x:c>
      <x:c r="N2393" s="11" t="n">
        <x:f>IF(G2393,L2393*AN2393/(1+M2393)^F2393,0)</x:f>
        <x:v>0.05613987881747003</x:v>
      </x:c>
      <x:c r="AJ2393" t="n">
        <x:v>0</x:v>
      </x:c>
      <x:c r="AK2393" t="n">
        <x:v>0</x:v>
      </x:c>
      <x:c r="AL2393" t="n">
        <x:v>0</x:v>
      </x:c>
      <x:c r="AM2393" t="n">
        <x:f>CHOOSE('假设'!$B$3,AJ2393,AK2393,AL2393)</x:f>
        <x:v>0</x:v>
      </x:c>
      <x:c r="AN2393" t="n">
        <x:v>1</x:v>
      </x:c>
    </x:row>
    <x:row r="2394" ht="23" customHeight="1">
      <x:c r="A2394" s="11" t="str">
        <x:v>688382.SH</x:v>
      </x:c>
      <x:c r="B2394" s="11" t="str">
        <x:v>2026年底</x:v>
      </x:c>
      <x:c r="C2394" s="11" t="str">
        <x:v>tyk_ps_cn</x:v>
      </x:c>
      <x:c r="D2394" s="11" t="str">
        <x:v>2029-12-31</x:v>
      </x:c>
      <x:c r="E2394" s="11" t="str">
        <x:v>CNY</x:v>
      </x:c>
      <x:c r="F2394" s="11" t="n">
        <x:v>3.0006844626967832</x:v>
      </x:c>
      <x:c r="G2394" s="26" t="b">
        <x:v>1</x:v>
      </x:c>
      <x:c r="H2394" s="16" t="n">
        <x:v>0</x:v>
      </x:c>
      <x:c r="I2394" s="16" t="n">
        <x:v>0.8333333333333333</x:v>
      </x:c>
      <x:c r="J2394" s="16" t="n">
        <x:v>1.6</x:v>
      </x:c>
      <x:c r="K2394" s="11" t="n">
        <x:f>CHOOSE('假设'!$B$3,H2394,I2394,J2394)</x:f>
        <x:v>0.8333333333333333</x:v>
      </x:c>
      <x:c r="L2394" s="11" t="n">
        <x:f>K2394*'管线假设'!E527*'管线假设'!F527*'管线假设'!G527*IF(E2394="USD",'管线假设'!I527,1)-AM2394</x:f>
        <x:v>0.14466666666666667</x:v>
      </x:c>
      <x:c r="M2394" s="11" t="n">
        <x:f>'管线假设'!H527</x:f>
        <x:v>0.135</x:v>
      </x:c>
      <x:c r="N2394" s="11" t="n">
        <x:f>IF(G2394,L2394*AN2394/(1+M2394)^F2394,0)</x:f>
        <x:v>0.09893347131390176</x:v>
      </x:c>
      <x:c r="AJ2394" t="n">
        <x:v>0</x:v>
      </x:c>
      <x:c r="AK2394" t="n">
        <x:v>0</x:v>
      </x:c>
      <x:c r="AL2394" t="n">
        <x:v>0</x:v>
      </x:c>
      <x:c r="AM2394" t="n">
        <x:f>CHOOSE('假设'!$B$3,AJ2394,AK2394,AL2394)</x:f>
        <x:v>0</x:v>
      </x:c>
      <x:c r="AN2394" t="n">
        <x:v>1</x:v>
      </x:c>
    </x:row>
    <x:row r="2395" ht="23" customHeight="1">
      <x:c r="A2395" s="11" t="str">
        <x:v>688382.SH</x:v>
      </x:c>
      <x:c r="B2395" s="11" t="str">
        <x:v>2026年底</x:v>
      </x:c>
      <x:c r="C2395" s="11" t="str">
        <x:v>tyk_ps_cn</x:v>
      </x:c>
      <x:c r="D2395" s="11" t="str">
        <x:v>2030-12-31</x:v>
      </x:c>
      <x:c r="E2395" s="11" t="str">
        <x:v>CNY</x:v>
      </x:c>
      <x:c r="F2395" s="11" t="n">
        <x:v>4</x:v>
      </x:c>
      <x:c r="G2395" s="26" t="b">
        <x:v>1</x:v>
      </x:c>
      <x:c r="H2395" s="16" t="n">
        <x:v>0</x:v>
      </x:c>
      <x:c r="I2395" s="16" t="n">
        <x:v>1.25</x:v>
      </x:c>
      <x:c r="J2395" s="16" t="n">
        <x:v>2.4</x:v>
      </x:c>
      <x:c r="K2395" s="11" t="n">
        <x:f>CHOOSE('假设'!$B$3,H2395,I2395,J2395)</x:f>
        <x:v>1.25</x:v>
      </x:c>
      <x:c r="L2395" s="11" t="n">
        <x:f>K2395*'管线假设'!E527*'管线假设'!F527*'管线假设'!G527*IF(E2395="USD",'管线假设'!I527,1)-AM2395</x:f>
        <x:v>0.21700000000000003</x:v>
      </x:c>
      <x:c r="M2395" s="11" t="n">
        <x:f>'管线假设'!H527</x:f>
        <x:v>0.135</x:v>
      </x:c>
      <x:c r="N2395" s="11" t="n">
        <x:f>IF(G2395,L2395*AN2395/(1+M2395)^F2395,0)</x:f>
        <x:v>0.13076041424192705</x:v>
      </x:c>
      <x:c r="AJ2395" t="n">
        <x:v>0</x:v>
      </x:c>
      <x:c r="AK2395" t="n">
        <x:v>0</x:v>
      </x:c>
      <x:c r="AL2395" t="n">
        <x:v>0</x:v>
      </x:c>
      <x:c r="AM2395" t="n">
        <x:f>CHOOSE('假设'!$B$3,AJ2395,AK2395,AL2395)</x:f>
        <x:v>0</x:v>
      </x:c>
      <x:c r="AN2395" t="n">
        <x:v>1</x:v>
      </x:c>
    </x:row>
    <x:row r="2396" ht="23" customHeight="1">
      <x:c r="A2396" s="11" t="str">
        <x:v>688382.SH</x:v>
      </x:c>
      <x:c r="B2396" s="11" t="str">
        <x:v>2026年底</x:v>
      </x:c>
      <x:c r="C2396" s="11" t="str">
        <x:v>tyk_ps_cn</x:v>
      </x:c>
      <x:c r="D2396" s="11" t="str">
        <x:v>2031-12-31</x:v>
      </x:c>
      <x:c r="E2396" s="11" t="str">
        <x:v>CNY</x:v>
      </x:c>
      <x:c r="F2396" s="11" t="n">
        <x:v>4.999315537303217</x:v>
      </x:c>
      <x:c r="G2396" s="26" t="b">
        <x:v>1</x:v>
      </x:c>
      <x:c r="H2396" s="16" t="n">
        <x:v>0.2</x:v>
      </x:c>
      <x:c r="I2396" s="16" t="n">
        <x:v>1.6666666666666665</x:v>
      </x:c>
      <x:c r="J2396" s="16" t="n">
        <x:v>3.2</x:v>
      </x:c>
      <x:c r="K2396" s="11" t="n">
        <x:f>CHOOSE('假设'!$B$3,H2396,I2396,J2396)</x:f>
        <x:v>1.6666666666666665</x:v>
      </x:c>
      <x:c r="L2396" s="11" t="n">
        <x:f>K2396*'管线假设'!E527*'管线假设'!F527*'管线假设'!G527*IF(E2396="USD",'管线假设'!I527,1)-AM2396</x:f>
        <x:v>0.28933333333333333</x:v>
      </x:c>
      <x:c r="M2396" s="11" t="n">
        <x:f>'管线假设'!H527</x:f>
        <x:v>0.135</x:v>
      </x:c>
      <x:c r="N2396" s="11" t="n">
        <x:f>IF(G2396,L2396*AN2396/(1+M2396)^F2396,0)</x:f>
        <x:v>0.15362319933582158</x:v>
      </x:c>
      <x:c r="AJ2396" t="n">
        <x:v>0</x:v>
      </x:c>
      <x:c r="AK2396" t="n">
        <x:v>0</x:v>
      </x:c>
      <x:c r="AL2396" t="n">
        <x:v>0</x:v>
      </x:c>
      <x:c r="AM2396" t="n">
        <x:f>CHOOSE('假设'!$B$3,AJ2396,AK2396,AL2396)</x:f>
        <x:v>0</x:v>
      </x:c>
      <x:c r="AN2396" t="n">
        <x:v>1</x:v>
      </x:c>
    </x:row>
    <x:row r="2397" ht="23" customHeight="1">
      <x:c r="A2397" s="11" t="str">
        <x:v>688382.SH</x:v>
      </x:c>
      <x:c r="B2397" s="11" t="str">
        <x:v>2026年底</x:v>
      </x:c>
      <x:c r="C2397" s="11" t="str">
        <x:v>tyk_ps_cn</x:v>
      </x:c>
      <x:c r="D2397" s="11" t="str">
        <x:v>2032-12-31</x:v>
      </x:c>
      <x:c r="E2397" s="11" t="str">
        <x:v>CNY</x:v>
      </x:c>
      <x:c r="F2397" s="11" t="n">
        <x:v>6.0013689253935665</x:v>
      </x:c>
      <x:c r="G2397" s="26" t="b">
        <x:v>1</x:v>
      </x:c>
      <x:c r="H2397" s="16" t="n">
        <x:v>0.4</x:v>
      </x:c>
      <x:c r="I2397" s="16" t="n">
        <x:v>2.0833333333333335</x:v>
      </x:c>
      <x:c r="J2397" s="16" t="n">
        <x:v>4</x:v>
      </x:c>
      <x:c r="K2397" s="11" t="n">
        <x:f>CHOOSE('假设'!$B$3,H2397,I2397,J2397)</x:f>
        <x:v>2.0833333333333335</x:v>
      </x:c>
      <x:c r="L2397" s="11" t="n">
        <x:f>K2397*'管线假设'!E527*'管线假设'!F527*'管线假设'!G527*IF(E2397="USD",'管线假设'!I527,1)-AM2397</x:f>
        <x:v>0.36166666666666675</x:v>
      </x:c>
      <x:c r="M2397" s="11" t="n">
        <x:f>'管线假设'!H527</x:f>
        <x:v>0.135</x:v>
      </x:c>
      <x:c r="N2397" s="11" t="n">
        <x:f>IF(G2397,L2397*AN2397/(1+M2397)^F2397,0)</x:f>
        <x:v>0.16914455782635873</x:v>
      </x:c>
      <x:c r="AJ2397" t="n">
        <x:v>0</x:v>
      </x:c>
      <x:c r="AK2397" t="n">
        <x:v>0</x:v>
      </x:c>
      <x:c r="AL2397" t="n">
        <x:v>0</x:v>
      </x:c>
      <x:c r="AM2397" t="n">
        <x:f>CHOOSE('假设'!$B$3,AJ2397,AK2397,AL2397)</x:f>
        <x:v>0</x:v>
      </x:c>
      <x:c r="AN2397" t="n">
        <x:v>1</x:v>
      </x:c>
    </x:row>
    <x:row r="2398" ht="23" customHeight="1">
      <x:c r="A2398" s="11" t="str">
        <x:v>688382.SH</x:v>
      </x:c>
      <x:c r="B2398" s="11" t="str">
        <x:v>2026年底</x:v>
      </x:c>
      <x:c r="C2398" s="11" t="str">
        <x:v>tyk_ps_cn</x:v>
      </x:c>
      <x:c r="D2398" s="11" t="str">
        <x:v>2033-12-31</x:v>
      </x:c>
      <x:c r="E2398" s="11" t="str">
        <x:v>CNY</x:v>
      </x:c>
      <x:c r="F2398" s="11" t="n">
        <x:v>7.000684462696783</x:v>
      </x:c>
      <x:c r="G2398" s="26" t="b">
        <x:v>1</x:v>
      </x:c>
      <x:c r="H2398" s="16" t="n">
        <x:v>0.6</x:v>
      </x:c>
      <x:c r="I2398" s="16" t="n">
        <x:v>2.5</x:v>
      </x:c>
      <x:c r="J2398" s="16" t="n">
        <x:v>3.48</x:v>
      </x:c>
      <x:c r="K2398" s="11" t="n">
        <x:f>CHOOSE('假设'!$B$3,H2398,I2398,J2398)</x:f>
        <x:v>2.5</x:v>
      </x:c>
      <x:c r="L2398" s="11" t="n">
        <x:f>K2398*'管线假设'!E527*'管线假设'!F527*'管线假设'!G527*IF(E2398="USD",'管线假设'!I527,1)-AM2398</x:f>
        <x:v>0.43400000000000005</x:v>
      </x:c>
      <x:c r="M2398" s="11" t="n">
        <x:f>'管线假设'!H527</x:f>
        <x:v>0.135</x:v>
      </x:c>
      <x:c r="N2398" s="11" t="n">
        <x:f>IF(G2398,L2398*AN2398/(1+M2398)^F2398,0)</x:f>
        <x:v>0.17884675149397605</x:v>
      </x:c>
      <x:c r="AJ2398" t="n">
        <x:v>0</x:v>
      </x:c>
      <x:c r="AK2398" t="n">
        <x:v>0</x:v>
      </x:c>
      <x:c r="AL2398" t="n">
        <x:v>0</x:v>
      </x:c>
      <x:c r="AM2398" t="n">
        <x:f>CHOOSE('假设'!$B$3,AJ2398,AK2398,AL2398)</x:f>
        <x:v>0</x:v>
      </x:c>
      <x:c r="AN2398" t="n">
        <x:v>1</x:v>
      </x:c>
    </x:row>
    <x:row r="2399" ht="23" customHeight="1">
      <x:c r="A2399" s="11" t="str">
        <x:v>688382.SH</x:v>
      </x:c>
      <x:c r="B2399" s="11" t="str">
        <x:v>2026年底</x:v>
      </x:c>
      <x:c r="C2399" s="11" t="str">
        <x:v>tyk_ps_cn</x:v>
      </x:c>
      <x:c r="D2399" s="11" t="str">
        <x:v>2034-12-31</x:v>
      </x:c>
      <x:c r="E2399" s="11" t="str">
        <x:v>CNY</x:v>
      </x:c>
      <x:c r="F2399" s="11" t="n">
        <x:v>8</x:v>
      </x:c>
      <x:c r="G2399" s="26" t="b">
        <x:v>1</x:v>
      </x:c>
      <x:c r="H2399" s="16" t="n">
        <x:v>0.8</x:v>
      </x:c>
      <x:c r="I2399" s="16" t="n">
        <x:v>2.175</x:v>
      </x:c>
      <x:c r="J2399" s="16" t="n">
        <x:v>2.96</x:v>
      </x:c>
      <x:c r="K2399" s="11" t="n">
        <x:f>CHOOSE('假设'!$B$3,H2399,I2399,J2399)</x:f>
        <x:v>2.175</x:v>
      </x:c>
      <x:c r="L2399" s="11" t="n">
        <x:f>K2399*'管线假设'!E527*'管线假设'!F527*'管线假设'!G527*IF(E2399="USD",'管线假设'!I527,1)-AM2399</x:f>
        <x:v>0.37757999999999997</x:v>
      </x:c>
      <x:c r="M2399" s="11" t="n">
        <x:f>'管线假设'!H527</x:f>
        <x:v>0.135</x:v>
      </x:c>
      <x:c r="N2399" s="11" t="n">
        <x:f>IF(G2399,L2399*AN2399/(1+M2399)^F2399,0)</x:f>
        <x:v>0.13710146323932448</x:v>
      </x:c>
      <x:c r="AJ2399" t="n">
        <x:v>0</x:v>
      </x:c>
      <x:c r="AK2399" t="n">
        <x:v>0</x:v>
      </x:c>
      <x:c r="AL2399" t="n">
        <x:v>0</x:v>
      </x:c>
      <x:c r="AM2399" t="n">
        <x:f>CHOOSE('假设'!$B$3,AJ2399,AK2399,AL2399)</x:f>
        <x:v>0</x:v>
      </x:c>
      <x:c r="AN2399" t="n">
        <x:v>1</x:v>
      </x:c>
    </x:row>
    <x:row r="2400" ht="23" customHeight="1">
      <x:c r="A2400" s="11" t="str">
        <x:v>688382.SH</x:v>
      </x:c>
      <x:c r="B2400" s="11" t="str">
        <x:v>2026年底</x:v>
      </x:c>
      <x:c r="C2400" s="11" t="str">
        <x:v>tyk_ps_cn</x:v>
      </x:c>
      <x:c r="D2400" s="11" t="str">
        <x:v>2035-12-31</x:v>
      </x:c>
      <x:c r="E2400" s="11" t="str">
        <x:v>CNY</x:v>
      </x:c>
      <x:c r="F2400" s="11" t="n">
        <x:v>8.999315537303216</x:v>
      </x:c>
      <x:c r="G2400" s="26" t="b">
        <x:v>1</x:v>
      </x:c>
      <x:c r="H2400" s="16" t="n">
        <x:v>1</x:v>
      </x:c>
      <x:c r="I2400" s="16" t="n">
        <x:v>1.85</x:v>
      </x:c>
      <x:c r="J2400" s="16" t="n">
        <x:v>2.44</x:v>
      </x:c>
      <x:c r="K2400" s="11" t="n">
        <x:f>CHOOSE('假设'!$B$3,H2400,I2400,J2400)</x:f>
        <x:v>1.85</x:v>
      </x:c>
      <x:c r="L2400" s="11" t="n">
        <x:f>K2400*'管线假设'!E527*'管线假设'!F527*'管线假设'!G527*IF(E2400="USD",'管线假设'!I527,1)-AM2400</x:f>
        <x:v>0.32116000000000006</x:v>
      </x:c>
      <x:c r="M2400" s="11" t="n">
        <x:f>'管线假设'!H527</x:f>
        <x:v>0.135</x:v>
      </x:c>
      <x:c r="N2400" s="11" t="n">
        <x:f>IF(G2400,L2400*AN2400/(1+M2400)^F2400,0)</x:f>
        <x:v>0.10275343240727006</x:v>
      </x:c>
      <x:c r="AJ2400" t="n">
        <x:v>0</x:v>
      </x:c>
      <x:c r="AK2400" t="n">
        <x:v>0</x:v>
      </x:c>
      <x:c r="AL2400" t="n">
        <x:v>0</x:v>
      </x:c>
      <x:c r="AM2400" t="n">
        <x:f>CHOOSE('假设'!$B$3,AJ2400,AK2400,AL2400)</x:f>
        <x:v>0</x:v>
      </x:c>
      <x:c r="AN2400" t="n">
        <x:v>1</x:v>
      </x:c>
    </x:row>
    <x:row r="2401" ht="23" customHeight="1">
      <x:c r="A2401" s="11" t="str">
        <x:v>688382.SH</x:v>
      </x:c>
      <x:c r="B2401" s="11" t="str">
        <x:v>2026年底</x:v>
      </x:c>
      <x:c r="C2401" s="11" t="str">
        <x:v>tyk_ps_cn</x:v>
      </x:c>
      <x:c r="D2401" s="11" t="str">
        <x:v>2036-12-31</x:v>
      </x:c>
      <x:c r="E2401" s="11" t="str">
        <x:v>CNY</x:v>
      </x:c>
      <x:c r="F2401" s="11" t="n">
        <x:v>10.001368925393566</x:v>
      </x:c>
      <x:c r="G2401" s="26" t="b">
        <x:v>1</x:v>
      </x:c>
      <x:c r="H2401" s="16" t="n">
        <x:v>0.87</x:v>
      </x:c>
      <x:c r="I2401" s="16" t="n">
        <x:v>1.525</x:v>
      </x:c>
      <x:c r="J2401" s="16" t="n">
        <x:v>1.92</x:v>
      </x:c>
      <x:c r="K2401" s="11" t="n">
        <x:f>CHOOSE('假设'!$B$3,H2401,I2401,J2401)</x:f>
        <x:v>1.525</x:v>
      </x:c>
      <x:c r="L2401" s="11" t="n">
        <x:f>K2401*'管线假设'!E527*'管线假设'!F527*'管线假设'!G527*IF(E2401="USD",'管线假设'!I527,1)-AM2401</x:f>
        <x:v>0.26474</x:v>
      </x:c>
      <x:c r="M2401" s="11" t="n">
        <x:f>'管线假设'!H527</x:f>
        <x:v>0.135</x:v>
      </x:c>
      <x:c r="N2401" s="11" t="n">
        <x:f>IF(G2401,L2401*AN2401/(1+M2401)^F2401,0)</x:f>
        <x:v>0.07460804567760423</x:v>
      </x:c>
      <x:c r="AJ2401" t="n">
        <x:v>0</x:v>
      </x:c>
      <x:c r="AK2401" t="n">
        <x:v>0</x:v>
      </x:c>
      <x:c r="AL2401" t="n">
        <x:v>0</x:v>
      </x:c>
      <x:c r="AM2401" t="n">
        <x:f>CHOOSE('假设'!$B$3,AJ2401,AK2401,AL2401)</x:f>
        <x:v>0</x:v>
      </x:c>
      <x:c r="AN2401" t="n">
        <x:v>1</x:v>
      </x:c>
    </x:row>
    <x:row r="2402" ht="23" customHeight="1">
      <x:c r="A2402" s="11" t="str">
        <x:v>688382.SH</x:v>
      </x:c>
      <x:c r="B2402" s="11" t="str">
        <x:v>2026年底</x:v>
      </x:c>
      <x:c r="C2402" s="11" t="str">
        <x:v>tyk_ps_cn</x:v>
      </x:c>
      <x:c r="D2402" s="11" t="str">
        <x:v>2037-12-31</x:v>
      </x:c>
      <x:c r="E2402" s="11" t="str">
        <x:v>CNY</x:v>
      </x:c>
      <x:c r="F2402" s="11" t="n">
        <x:v>11.000684462696784</x:v>
      </x:c>
      <x:c r="G2402" s="26" t="b">
        <x:v>1</x:v>
      </x:c>
      <x:c r="H2402" s="16" t="n">
        <x:v>0.74</x:v>
      </x:c>
      <x:c r="I2402" s="16" t="n">
        <x:v>1.2</x:v>
      </x:c>
      <x:c r="J2402" s="16" t="n">
        <x:v>1.4</x:v>
      </x:c>
      <x:c r="K2402" s="11" t="n">
        <x:f>CHOOSE('假设'!$B$3,H2402,I2402,J2402)</x:f>
        <x:v>1.2</x:v>
      </x:c>
      <x:c r="L2402" s="11" t="n">
        <x:f>K2402*'管线假设'!E527*'管线假设'!F527*'管线假设'!G527*IF(E2402="USD",'管线假设'!I527,1)-AM2402</x:f>
        <x:v>0.20832</x:v>
      </x:c>
      <x:c r="M2402" s="11" t="n">
        <x:f>'管线假设'!H527</x:f>
        <x:v>0.135</x:v>
      </x:c>
      <x:c r="N2402" s="11" t="n">
        <x:f>IF(G2402,L2402*AN2402/(1+M2402)^F2402,0)</x:f>
        <x:v>0.05172956750859049</x:v>
      </x:c>
      <x:c r="AJ2402" t="n">
        <x:v>0</x:v>
      </x:c>
      <x:c r="AK2402" t="n">
        <x:v>0</x:v>
      </x:c>
      <x:c r="AL2402" t="n">
        <x:v>0</x:v>
      </x:c>
      <x:c r="AM2402" t="n">
        <x:f>CHOOSE('假设'!$B$3,AJ2402,AK2402,AL2402)</x:f>
        <x:v>0</x:v>
      </x:c>
      <x:c r="AN2402" t="n">
        <x:v>1</x:v>
      </x:c>
    </x:row>
    <x:row r="2403" ht="23" customHeight="1">
      <x:c r="A2403" s="11" t="str">
        <x:v>688382.SH</x:v>
      </x:c>
      <x:c r="B2403" s="11" t="str">
        <x:v>2026年底</x:v>
      </x:c>
      <x:c r="C2403" s="11" t="str">
        <x:v>tyk_ps_cn</x:v>
      </x:c>
      <x:c r="D2403" s="11" t="str">
        <x:v>2038-12-31</x:v>
      </x:c>
      <x:c r="E2403" s="11" t="str">
        <x:v>CNY</x:v>
      </x:c>
      <x:c r="F2403" s="11" t="n">
        <x:v>12</x:v>
      </x:c>
      <x:c r="G2403" s="26" t="b">
        <x:v>1</x:v>
      </x:c>
      <x:c r="H2403" s="16" t="n">
        <x:v>0.61</x:v>
      </x:c>
      <x:c r="I2403" s="16" t="n">
        <x:v>0.875</x:v>
      </x:c>
      <x:c r="J2403" s="16" t="n">
        <x:v>0.8799999999999999</x:v>
      </x:c>
      <x:c r="K2403" s="11" t="n">
        <x:f>CHOOSE('假设'!$B$3,H2403,I2403,J2403)</x:f>
        <x:v>0.875</x:v>
      </x:c>
      <x:c r="L2403" s="11" t="n">
        <x:f>K2403*'管线假设'!E527*'管线假设'!F527*'管线假设'!G527*IF(E2403="USD",'管线假设'!I527,1)-AM2403</x:f>
        <x:v>0.1519</x:v>
      </x:c>
      <x:c r="M2403" s="11" t="n">
        <x:f>'管线假设'!H527</x:f>
        <x:v>0.135</x:v>
      </x:c>
      <x:c r="N2403" s="11" t="n">
        <x:f>IF(G2403,L2403*AN2403/(1+M2403)^F2403,0)</x:f>
        <x:v>0.033235899381439386</x:v>
      </x:c>
      <x:c r="AJ2403" t="n">
        <x:v>0</x:v>
      </x:c>
      <x:c r="AK2403" t="n">
        <x:v>0</x:v>
      </x:c>
      <x:c r="AL2403" t="n">
        <x:v>0</x:v>
      </x:c>
      <x:c r="AM2403" t="n">
        <x:f>CHOOSE('假设'!$B$3,AJ2403,AK2403,AL2403)</x:f>
        <x:v>0</x:v>
      </x:c>
      <x:c r="AN2403" t="n">
        <x:v>1</x:v>
      </x:c>
    </x:row>
    <x:row r="2404" ht="23" customHeight="1">
      <x:c r="A2404" s="11" t="str">
        <x:v>688382.SH</x:v>
      </x:c>
      <x:c r="B2404" s="11" t="str">
        <x:v>2026年底</x:v>
      </x:c>
      <x:c r="C2404" s="11" t="str">
        <x:v>tyk_ps_cn</x:v>
      </x:c>
      <x:c r="D2404" s="11" t="str">
        <x:v>2039-12-31</x:v>
      </x:c>
      <x:c r="E2404" s="11" t="str">
        <x:v>CNY</x:v>
      </x:c>
      <x:c r="F2404" s="11" t="n">
        <x:v>12.999315537303216</x:v>
      </x:c>
      <x:c r="G2404" s="26" t="b">
        <x:v>1</x:v>
      </x:c>
      <x:c r="H2404" s="16" t="n">
        <x:v>0.48</x:v>
      </x:c>
      <x:c r="I2404" s="16" t="n">
        <x:v>0.5499999999999999</x:v>
      </x:c>
      <x:c r="J2404" s="16" t="n">
        <x:v>0.3599999999999999</x:v>
      </x:c>
      <x:c r="K2404" s="11" t="n">
        <x:f>CHOOSE('假设'!$B$3,H2404,I2404,J2404)</x:f>
        <x:v>0.5499999999999999</x:v>
      </x:c>
      <x:c r="L2404" s="11" t="n">
        <x:f>K2404*'管线假设'!E527*'管线假设'!F527*'管线假设'!G527*IF(E2404="USD",'管线假设'!I527,1)-AM2404</x:f>
        <x:v>0.09548</x:v>
      </x:c>
      <x:c r="M2404" s="11" t="n">
        <x:f>'管线假设'!H527</x:f>
        <x:v>0.135</x:v>
      </x:c>
      <x:c r="N2404" s="11" t="n">
        <x:f>IF(G2404,L2404*AN2404/(1+M2404)^F2404,0)</x:f>
        <x:v>0.01840788332916917</x:v>
      </x:c>
      <x:c r="AJ2404" t="n">
        <x:v>0</x:v>
      </x:c>
      <x:c r="AK2404" t="n">
        <x:v>0</x:v>
      </x:c>
      <x:c r="AL2404" t="n">
        <x:v>0</x:v>
      </x:c>
      <x:c r="AM2404" t="n">
        <x:f>CHOOSE('假设'!$B$3,AJ2404,AK2404,AL2404)</x:f>
        <x:v>0</x:v>
      </x:c>
      <x:c r="AN2404" t="n">
        <x:v>1</x:v>
      </x:c>
    </x:row>
    <x:row r="2405" ht="23" customHeight="1">
      <x:c r="A2405" s="11" t="str">
        <x:v>688382.SH</x:v>
      </x:c>
      <x:c r="B2405" s="11" t="str">
        <x:v>2026年底</x:v>
      </x:c>
      <x:c r="C2405" s="11" t="str">
        <x:v>tyk_ps_cn</x:v>
      </x:c>
      <x:c r="D2405" s="11" t="str">
        <x:v>2040-12-31</x:v>
      </x:c>
      <x:c r="E2405" s="11" t="str">
        <x:v>CNY</x:v>
      </x:c>
      <x:c r="F2405" s="11" t="n">
        <x:v>14.001368925393566</x:v>
      </x:c>
      <x:c r="G2405" s="26" t="b">
        <x:v>1</x:v>
      </x:c>
      <x:c r="H2405" s="16" t="n">
        <x:v>0.35</x:v>
      </x:c>
      <x:c r="I2405" s="16" t="n">
        <x:v>0.22499999999999992</x:v>
      </x:c>
      <x:c r="J2405" s="16" t="n">
        <x:v>0</x:v>
      </x:c>
      <x:c r="K2405" s="11" t="n">
        <x:f>CHOOSE('假设'!$B$3,H2405,I2405,J2405)</x:f>
        <x:v>0.22499999999999992</x:v>
      </x:c>
      <x:c r="L2405" s="11" t="n">
        <x:f>K2405*'管线假设'!E527*'管线假设'!F527*'管线假设'!G527*IF(E2405="USD",'管线假设'!I527,1)-AM2405</x:f>
        <x:v>0.03905999999999999</x:v>
      </x:c>
      <x:c r="M2405" s="11" t="n">
        <x:f>'管线假设'!H527</x:f>
        <x:v>0.135</x:v>
      </x:c>
      <x:c r="N2405" s="11" t="n">
        <x:f>IF(G2405,L2405*AN2405/(1+M2405)^F2405,0)</x:f>
        <x:v>0.006633074762201201</x:v>
      </x:c>
      <x:c r="AJ2405" t="n">
        <x:v>0</x:v>
      </x:c>
      <x:c r="AK2405" t="n">
        <x:v>0</x:v>
      </x:c>
      <x:c r="AL2405" t="n">
        <x:v>0</x:v>
      </x:c>
      <x:c r="AM2405" t="n">
        <x:f>CHOOSE('假设'!$B$3,AJ2405,AK2405,AL2405)</x:f>
        <x:v>0</x:v>
      </x:c>
      <x:c r="AN2405" t="n">
        <x:v>1</x:v>
      </x:c>
    </x:row>
    <x:row r="2406" ht="23" customHeight="1">
      <x:c r="A2406" s="11" t="str">
        <x:v>688382.SH</x:v>
      </x:c>
      <x:c r="B2406" s="11" t="str">
        <x:v>2026年底</x:v>
      </x:c>
      <x:c r="C2406" s="11" t="str">
        <x:v>tyk_ps_cn</x:v>
      </x:c>
      <x:c r="D2406" s="11" t="str">
        <x:v>2041-12-31</x:v>
      </x:c>
      <x:c r="E2406" s="11" t="str">
        <x:v>CNY</x:v>
      </x:c>
      <x:c r="F2406" s="11" t="n">
        <x:v>15.000684462696784</x:v>
      </x:c>
      <x:c r="G2406" s="26" t="b">
        <x:v>1</x:v>
      </x:c>
      <x:c r="H2406" s="16" t="n">
        <x:v>0.21999999999999997</x:v>
      </x:c>
      <x:c r="I2406" s="16" t="n">
        <x:v>0</x:v>
      </x:c>
      <x:c r="J2406" s="16" t="n">
        <x:v>0</x:v>
      </x:c>
      <x:c r="K2406" s="11" t="n">
        <x:f>CHOOSE('假设'!$B$3,H2406,I2406,J2406)</x:f>
        <x:v>0</x:v>
      </x:c>
      <x:c r="L2406" s="11" t="n">
        <x:f>K2406*'管线假设'!E527*'管线假设'!F527*'管线假设'!G527*IF(E2406="USD",'管线假设'!I527,1)-AM2406</x:f>
        <x:v>0</x:v>
      </x:c>
      <x:c r="M2406" s="11" t="n">
        <x:f>'管线假设'!H527</x:f>
        <x:v>0.135</x:v>
      </x:c>
      <x:c r="N2406" s="11" t="n">
        <x:f>IF(G2406,L2406*AN2406/(1+M2406)^F2406,0)</x:f>
        <x:v>0</x:v>
      </x:c>
      <x:c r="AJ2406" t="n">
        <x:v>0</x:v>
      </x:c>
      <x:c r="AK2406" t="n">
        <x:v>0</x:v>
      </x:c>
      <x:c r="AL2406" t="n">
        <x:v>0</x:v>
      </x:c>
      <x:c r="AM2406" t="n">
        <x:f>CHOOSE('假设'!$B$3,AJ2406,AK2406,AL2406)</x:f>
        <x:v>0</x:v>
      </x:c>
      <x:c r="AN2406" t="n">
        <x:v>1</x:v>
      </x:c>
    </x:row>
    <x:row r="2407" ht="23" customHeight="1">
      <x:c r="A2407" s="11" t="str">
        <x:v>688382.SH</x:v>
      </x:c>
      <x:c r="B2407" s="11" t="str">
        <x:v>2026年底</x:v>
      </x:c>
      <x:c r="C2407" s="11" t="str">
        <x:v>tyk_ps_cn</x:v>
      </x:c>
      <x:c r="D2407" s="11" t="str">
        <x:v>2042-12-31</x:v>
      </x:c>
      <x:c r="E2407" s="11" t="str">
        <x:v>CNY</x:v>
      </x:c>
      <x:c r="F2407" s="11" t="n">
        <x:v>16</x:v>
      </x:c>
      <x:c r="G2407" s="26" t="b">
        <x:v>1</x:v>
      </x:c>
      <x:c r="H2407" s="16" t="n">
        <x:v>0.08999999999999997</x:v>
      </x:c>
      <x:c r="I2407" s="16" t="n">
        <x:v>0</x:v>
      </x:c>
      <x:c r="J2407" s="16" t="n">
        <x:v>0</x:v>
      </x:c>
      <x:c r="K2407" s="11" t="n">
        <x:f>CHOOSE('假设'!$B$3,H2407,I2407,J2407)</x:f>
        <x:v>0</x:v>
      </x:c>
      <x:c r="L2407" s="11" t="n">
        <x:f>K2407*'管线假设'!E527*'管线假设'!F527*'管线假设'!G527*IF(E2407="USD",'管线假设'!I527,1)-AM2407</x:f>
        <x:v>0</x:v>
      </x:c>
      <x:c r="M2407" s="11" t="n">
        <x:f>'管线假设'!H527</x:f>
        <x:v>0.135</x:v>
      </x:c>
      <x:c r="N2407" s="11" t="n">
        <x:f>IF(G2407,L2407*AN2407/(1+M2407)^F2407,0)</x:f>
        <x:v>0</x:v>
      </x:c>
      <x:c r="AJ2407" t="n">
        <x:v>0</x:v>
      </x:c>
      <x:c r="AK2407" t="n">
        <x:v>0</x:v>
      </x:c>
      <x:c r="AL2407" t="n">
        <x:v>0</x:v>
      </x:c>
      <x:c r="AM2407" t="n">
        <x:f>CHOOSE('假设'!$B$3,AJ2407,AK2407,AL2407)</x:f>
        <x:v>0</x:v>
      </x:c>
      <x:c r="AN2407" t="n">
        <x:v>1</x:v>
      </x:c>
    </x:row>
    <x:row r="2408" ht="23" customHeight="1">
      <x:c r="A2408" s="11" t="str">
        <x:v>688382.SH</x:v>
      </x:c>
      <x:c r="B2408" s="11" t="str">
        <x:v>2026年底</x:v>
      </x:c>
      <x:c r="C2408" s="11" t="str">
        <x:v>tyk_ps_cn</x:v>
      </x:c>
      <x:c r="D2408" s="11" t="str">
        <x:v>2043-12-31</x:v>
      </x:c>
      <x:c r="E2408" s="11" t="str">
        <x:v>CNY</x:v>
      </x:c>
      <x:c r="F2408" s="11" t="n">
        <x:v>16.999315537303218</x:v>
      </x:c>
      <x:c r="G2408" s="26" t="b">
        <x:v>1</x:v>
      </x:c>
      <x:c r="H2408" s="16" t="n">
        <x:v>0</x:v>
      </x:c>
      <x:c r="I2408" s="16" t="n">
        <x:v>0</x:v>
      </x:c>
      <x:c r="J2408" s="16" t="n">
        <x:v>0</x:v>
      </x:c>
      <x:c r="K2408" s="11" t="n">
        <x:f>CHOOSE('假设'!$B$3,H2408,I2408,J2408)</x:f>
        <x:v>0</x:v>
      </x:c>
      <x:c r="L2408" s="11" t="n">
        <x:f>K2408*'管线假设'!E527*'管线假设'!F527*'管线假设'!G527*IF(E2408="USD",'管线假设'!I527,1)-AM2408</x:f>
        <x:v>0</x:v>
      </x:c>
      <x:c r="M2408" s="11" t="n">
        <x:f>'管线假设'!H527</x:f>
        <x:v>0.135</x:v>
      </x:c>
      <x:c r="N2408" s="11" t="n">
        <x:f>IF(G2408,L2408*AN2408/(1+M2408)^F2408,0)</x:f>
        <x:v>0</x:v>
      </x:c>
      <x:c r="AJ2408" t="n">
        <x:v>0</x:v>
      </x:c>
      <x:c r="AK2408" t="n">
        <x:v>0</x:v>
      </x:c>
      <x:c r="AL2408" t="n">
        <x:v>0</x:v>
      </x:c>
      <x:c r="AM2408" t="n">
        <x:f>CHOOSE('假设'!$B$3,AJ2408,AK2408,AL2408)</x:f>
        <x:v>0</x:v>
      </x:c>
      <x:c r="AN2408" t="n">
        <x:v>1</x:v>
      </x:c>
    </x:row>
    <x:row r="2409" ht="23" customHeight="1">
      <x:c r="A2409" s="11" t="str">
        <x:v>688382.SH</x:v>
      </x:c>
      <x:c r="B2409" s="11" t="str">
        <x:v>2026年底</x:v>
      </x:c>
      <x:c r="C2409" s="11" t="str">
        <x:v>tyk_ps_cn</x:v>
      </x:c>
      <x:c r="D2409" s="11" t="str">
        <x:v>2044-12-31</x:v>
      </x:c>
      <x:c r="E2409" s="11" t="str">
        <x:v>CNY</x:v>
      </x:c>
      <x:c r="F2409" s="11" t="n">
        <x:v>18.001368925393567</x:v>
      </x:c>
      <x:c r="G2409" s="26" t="b">
        <x:v>1</x:v>
      </x:c>
      <x:c r="H2409" s="16" t="n">
        <x:v>0</x:v>
      </x:c>
      <x:c r="I2409" s="16" t="n">
        <x:v>0</x:v>
      </x:c>
      <x:c r="J2409" s="16" t="n">
        <x:v>0</x:v>
      </x:c>
      <x:c r="K2409" s="11" t="n">
        <x:f>CHOOSE('假设'!$B$3,H2409,I2409,J2409)</x:f>
        <x:v>0</x:v>
      </x:c>
      <x:c r="L2409" s="11" t="n">
        <x:f>K2409*'管线假设'!E527*'管线假设'!F527*'管线假设'!G527*IF(E2409="USD",'管线假设'!I527,1)-AM2409</x:f>
        <x:v>0</x:v>
      </x:c>
      <x:c r="M2409" s="11" t="n">
        <x:f>'管线假设'!H527</x:f>
        <x:v>0.135</x:v>
      </x:c>
      <x:c r="N2409" s="11" t="n">
        <x:f>IF(G2409,L2409*AN2409/(1+M2409)^F2409,0)</x:f>
        <x:v>0</x:v>
      </x:c>
      <x:c r="AJ2409" t="n">
        <x:v>0</x:v>
      </x:c>
      <x:c r="AK2409" t="n">
        <x:v>0</x:v>
      </x:c>
      <x:c r="AL2409" t="n">
        <x:v>0</x:v>
      </x:c>
      <x:c r="AM2409" t="n">
        <x:f>CHOOSE('假设'!$B$3,AJ2409,AK2409,AL2409)</x:f>
        <x:v>0</x:v>
      </x:c>
      <x:c r="AN2409" t="n">
        <x:v>1</x:v>
      </x:c>
    </x:row>
    <x:row r="2410" ht="23" customHeight="1">
      <x:c r="A2410" s="11" t="str">
        <x:v>688382.SH</x:v>
      </x:c>
      <x:c r="B2410" s="11" t="str">
        <x:v>2026年底</x:v>
      </x:c>
      <x:c r="C2410" s="11" t="str">
        <x:v>tyk_ps_cn</x:v>
      </x:c>
      <x:c r="D2410" s="11" t="str">
        <x:v>2045-12-31</x:v>
      </x:c>
      <x:c r="E2410" s="11" t="str">
        <x:v>CNY</x:v>
      </x:c>
      <x:c r="F2410" s="11" t="n">
        <x:v>19.000684462696782</x:v>
      </x:c>
      <x:c r="G2410" s="26" t="b">
        <x:v>1</x:v>
      </x:c>
      <x:c r="H2410" s="16" t="n">
        <x:v>0</x:v>
      </x:c>
      <x:c r="I2410" s="16" t="n">
        <x:v>0</x:v>
      </x:c>
      <x:c r="J2410" s="16" t="n">
        <x:v>0</x:v>
      </x:c>
      <x:c r="K2410" s="11" t="n">
        <x:f>CHOOSE('假设'!$B$3,H2410,I2410,J2410)</x:f>
        <x:v>0</x:v>
      </x:c>
      <x:c r="L2410" s="11" t="n">
        <x:f>K2410*'管线假设'!E527*'管线假设'!F527*'管线假设'!G527*IF(E2410="USD",'管线假设'!I527,1)-AM2410</x:f>
        <x:v>0</x:v>
      </x:c>
      <x:c r="M2410" s="11" t="n">
        <x:f>'管线假设'!H527</x:f>
        <x:v>0.135</x:v>
      </x:c>
      <x:c r="N2410" s="11" t="n">
        <x:f>IF(G2410,L2410*AN2410/(1+M2410)^F2410,0)</x:f>
        <x:v>0</x:v>
      </x:c>
      <x:c r="AJ2410" t="n">
        <x:v>0</x:v>
      </x:c>
      <x:c r="AK2410" t="n">
        <x:v>0</x:v>
      </x:c>
      <x:c r="AL2410" t="n">
        <x:v>0</x:v>
      </x:c>
      <x:c r="AM2410" t="n">
        <x:f>CHOOSE('假设'!$B$3,AJ2410,AK2410,AL2410)</x:f>
        <x:v>0</x:v>
      </x:c>
      <x:c r="AN2410" t="n">
        <x:v>1</x:v>
      </x:c>
    </x:row>
    <x:row r="2411" ht="23" customHeight="1">
      <x:c r="A2411" s="11" t="str">
        <x:v>688382.SH</x:v>
      </x:c>
      <x:c r="B2411" s="11" t="str">
        <x:v>2026年底</x:v>
      </x:c>
      <x:c r="C2411" s="11" t="str">
        <x:v>tyk_uc_cn</x:v>
      </x:c>
      <x:c r="D2411" s="11" t="str">
        <x:v>2027-12-31</x:v>
      </x:c>
      <x:c r="E2411" s="11" t="str">
        <x:v>CNY</x:v>
      </x:c>
      <x:c r="F2411" s="11" t="n">
        <x:v>0.999315537303217</x:v>
      </x:c>
      <x:c r="G2411" s="26" t="b">
        <x:v>1</x:v>
      </x:c>
      <x:c r="H2411" s="16" t="n">
        <x:v>0</x:v>
      </x:c>
      <x:c r="I2411" s="16" t="n">
        <x:v>0</x:v>
      </x:c>
      <x:c r="J2411" s="16" t="n">
        <x:v>0</x:v>
      </x:c>
      <x:c r="K2411" s="11" t="n">
        <x:f>CHOOSE('假设'!$B$3,H2411,I2411,J2411)</x:f>
        <x:v>0</x:v>
      </x:c>
      <x:c r="L2411" s="11" t="n">
        <x:f>K2411*'管线假设'!E531*'管线假设'!F531*'管线假设'!G531*IF(E2411="USD",'管线假设'!I531,1)-AM2411</x:f>
        <x:v>0</x:v>
      </x:c>
      <x:c r="M2411" s="11" t="n">
        <x:f>'管线假设'!H531</x:f>
        <x:v>0.135</x:v>
      </x:c>
      <x:c r="N2411" s="11" t="n">
        <x:f>IF(G2411,L2411*AN2411/(1+M2411)^F2411,0)</x:f>
        <x:v>0</x:v>
      </x:c>
      <x:c r="AJ2411" t="n">
        <x:v>0</x:v>
      </x:c>
      <x:c r="AK2411" t="n">
        <x:v>0</x:v>
      </x:c>
      <x:c r="AL2411" t="n">
        <x:v>0</x:v>
      </x:c>
      <x:c r="AM2411" t="n">
        <x:f>CHOOSE('假设'!$B$3,AJ2411,AK2411,AL2411)</x:f>
        <x:v>0</x:v>
      </x:c>
      <x:c r="AN2411" t="n">
        <x:v>1</x:v>
      </x:c>
    </x:row>
    <x:row r="2412" ht="23" customHeight="1">
      <x:c r="A2412" s="11" t="str">
        <x:v>688382.SH</x:v>
      </x:c>
      <x:c r="B2412" s="11" t="str">
        <x:v>2026年底</x:v>
      </x:c>
      <x:c r="C2412" s="11" t="str">
        <x:v>tyk_uc_cn</x:v>
      </x:c>
      <x:c r="D2412" s="11" t="str">
        <x:v>2028-12-31</x:v>
      </x:c>
      <x:c r="E2412" s="11" t="str">
        <x:v>CNY</x:v>
      </x:c>
      <x:c r="F2412" s="11" t="n">
        <x:v>2.001368925393566</x:v>
      </x:c>
      <x:c r="G2412" s="26" t="b">
        <x:v>1</x:v>
      </x:c>
      <x:c r="H2412" s="16" t="n">
        <x:v>0</x:v>
      </x:c>
      <x:c r="I2412" s="16" t="n">
        <x:v>0</x:v>
      </x:c>
      <x:c r="J2412" s="16" t="n">
        <x:v>0</x:v>
      </x:c>
      <x:c r="K2412" s="11" t="n">
        <x:f>CHOOSE('假设'!$B$3,H2412,I2412,J2412)</x:f>
        <x:v>0</x:v>
      </x:c>
      <x:c r="L2412" s="11" t="n">
        <x:f>K2412*'管线假设'!E531*'管线假设'!F531*'管线假设'!G531*IF(E2412="USD",'管线假设'!I531,1)-AM2412</x:f>
        <x:v>0</x:v>
      </x:c>
      <x:c r="M2412" s="11" t="n">
        <x:f>'管线假设'!H531</x:f>
        <x:v>0.135</x:v>
      </x:c>
      <x:c r="N2412" s="11" t="n">
        <x:f>IF(G2412,L2412*AN2412/(1+M2412)^F2412,0)</x:f>
        <x:v>0</x:v>
      </x:c>
      <x:c r="AJ2412" t="n">
        <x:v>0</x:v>
      </x:c>
      <x:c r="AK2412" t="n">
        <x:v>0</x:v>
      </x:c>
      <x:c r="AL2412" t="n">
        <x:v>0</x:v>
      </x:c>
      <x:c r="AM2412" t="n">
        <x:f>CHOOSE('假设'!$B$3,AJ2412,AK2412,AL2412)</x:f>
        <x:v>0</x:v>
      </x:c>
      <x:c r="AN2412" t="n">
        <x:v>1</x:v>
      </x:c>
    </x:row>
    <x:row r="2413" ht="23" customHeight="1">
      <x:c r="A2413" s="11" t="str">
        <x:v>688382.SH</x:v>
      </x:c>
      <x:c r="B2413" s="11" t="str">
        <x:v>2026年底</x:v>
      </x:c>
      <x:c r="C2413" s="11" t="str">
        <x:v>tyk_uc_cn</x:v>
      </x:c>
      <x:c r="D2413" s="11" t="str">
        <x:v>2029-12-31</x:v>
      </x:c>
      <x:c r="E2413" s="11" t="str">
        <x:v>CNY</x:v>
      </x:c>
      <x:c r="F2413" s="11" t="n">
        <x:v>3.0006844626967832</x:v>
      </x:c>
      <x:c r="G2413" s="26" t="b">
        <x:v>1</x:v>
      </x:c>
      <x:c r="H2413" s="16" t="n">
        <x:v>0</x:v>
      </x:c>
      <x:c r="I2413" s="16" t="n">
        <x:v>0</x:v>
      </x:c>
      <x:c r="J2413" s="16" t="n">
        <x:v>0.5</x:v>
      </x:c>
      <x:c r="K2413" s="11" t="n">
        <x:f>CHOOSE('假设'!$B$3,H2413,I2413,J2413)</x:f>
        <x:v>0</x:v>
      </x:c>
      <x:c r="L2413" s="11" t="n">
        <x:f>K2413*'管线假设'!E531*'管线假设'!F531*'管线假设'!G531*IF(E2413="USD",'管线假设'!I531,1)-AM2413</x:f>
        <x:v>0</x:v>
      </x:c>
      <x:c r="M2413" s="11" t="n">
        <x:f>'管线假设'!H531</x:f>
        <x:v>0.135</x:v>
      </x:c>
      <x:c r="N2413" s="11" t="n">
        <x:f>IF(G2413,L2413*AN2413/(1+M2413)^F2413,0)</x:f>
        <x:v>0</x:v>
      </x:c>
      <x:c r="AJ2413" t="n">
        <x:v>0</x:v>
      </x:c>
      <x:c r="AK2413" t="n">
        <x:v>0</x:v>
      </x:c>
      <x:c r="AL2413" t="n">
        <x:v>0</x:v>
      </x:c>
      <x:c r="AM2413" t="n">
        <x:f>CHOOSE('假设'!$B$3,AJ2413,AK2413,AL2413)</x:f>
        <x:v>0</x:v>
      </x:c>
      <x:c r="AN2413" t="n">
        <x:v>1</x:v>
      </x:c>
    </x:row>
    <x:row r="2414" ht="23" customHeight="1">
      <x:c r="A2414" s="11" t="str">
        <x:v>688382.SH</x:v>
      </x:c>
      <x:c r="B2414" s="11" t="str">
        <x:v>2026年底</x:v>
      </x:c>
      <x:c r="C2414" s="11" t="str">
        <x:v>tyk_uc_cn</x:v>
      </x:c>
      <x:c r="D2414" s="11" t="str">
        <x:v>2030-12-31</x:v>
      </x:c>
      <x:c r="E2414" s="11" t="str">
        <x:v>CNY</x:v>
      </x:c>
      <x:c r="F2414" s="11" t="n">
        <x:v>4</x:v>
      </x:c>
      <x:c r="G2414" s="26" t="b">
        <x:v>1</x:v>
      </x:c>
      <x:c r="H2414" s="16" t="n">
        <x:v>0</x:v>
      </x:c>
      <x:c r="I2414" s="16" t="n">
        <x:v>0</x:v>
      </x:c>
      <x:c r="J2414" s="16" t="n">
        <x:v>1</x:v>
      </x:c>
      <x:c r="K2414" s="11" t="n">
        <x:f>CHOOSE('假设'!$B$3,H2414,I2414,J2414)</x:f>
        <x:v>0</x:v>
      </x:c>
      <x:c r="L2414" s="11" t="n">
        <x:f>K2414*'管线假设'!E531*'管线假设'!F531*'管线假设'!G531*IF(E2414="USD",'管线假设'!I531,1)-AM2414</x:f>
        <x:v>0</x:v>
      </x:c>
      <x:c r="M2414" s="11" t="n">
        <x:f>'管线假设'!H531</x:f>
        <x:v>0.135</x:v>
      </x:c>
      <x:c r="N2414" s="11" t="n">
        <x:f>IF(G2414,L2414*AN2414/(1+M2414)^F2414,0)</x:f>
        <x:v>0</x:v>
      </x:c>
      <x:c r="AJ2414" t="n">
        <x:v>0</x:v>
      </x:c>
      <x:c r="AK2414" t="n">
        <x:v>0</x:v>
      </x:c>
      <x:c r="AL2414" t="n">
        <x:v>0</x:v>
      </x:c>
      <x:c r="AM2414" t="n">
        <x:f>CHOOSE('假设'!$B$3,AJ2414,AK2414,AL2414)</x:f>
        <x:v>0</x:v>
      </x:c>
      <x:c r="AN2414" t="n">
        <x:v>1</x:v>
      </x:c>
    </x:row>
    <x:row r="2415" ht="23" customHeight="1">
      <x:c r="A2415" s="11" t="str">
        <x:v>688382.SH</x:v>
      </x:c>
      <x:c r="B2415" s="11" t="str">
        <x:v>2026年底</x:v>
      </x:c>
      <x:c r="C2415" s="11" t="str">
        <x:v>tyk_uc_cn</x:v>
      </x:c>
      <x:c r="D2415" s="11" t="str">
        <x:v>2031-12-31</x:v>
      </x:c>
      <x:c r="E2415" s="11" t="str">
        <x:v>CNY</x:v>
      </x:c>
      <x:c r="F2415" s="11" t="n">
        <x:v>4.999315537303217</x:v>
      </x:c>
      <x:c r="G2415" s="26" t="b">
        <x:v>1</x:v>
      </x:c>
      <x:c r="H2415" s="16" t="n">
        <x:v>0</x:v>
      </x:c>
      <x:c r="I2415" s="16" t="n">
        <x:v>0.2833333333333333</x:v>
      </x:c>
      <x:c r="J2415" s="16" t="n">
        <x:v>1.5</x:v>
      </x:c>
      <x:c r="K2415" s="11" t="n">
        <x:f>CHOOSE('假设'!$B$3,H2415,I2415,J2415)</x:f>
        <x:v>0.2833333333333333</x:v>
      </x:c>
      <x:c r="L2415" s="11" t="n">
        <x:f>K2415*'管线假设'!E531*'管线假设'!F531*'管线假设'!G531*IF(E2415="USD",'管线假设'!I531,1)-AM2415</x:f>
        <x:v>0.02221333333333334</x:v>
      </x:c>
      <x:c r="M2415" s="11" t="n">
        <x:f>'管线假设'!H531</x:f>
        <x:v>0.135</x:v>
      </x:c>
      <x:c r="N2415" s="11" t="n">
        <x:f>IF(G2415,L2415*AN2415/(1+M2415)^F2415,0)</x:f>
        <x:v>0.01179429723933082</x:v>
      </x:c>
      <x:c r="AJ2415" t="n">
        <x:v>0</x:v>
      </x:c>
      <x:c r="AK2415" t="n">
        <x:v>0</x:v>
      </x:c>
      <x:c r="AL2415" t="n">
        <x:v>0</x:v>
      </x:c>
      <x:c r="AM2415" t="n">
        <x:f>CHOOSE('假设'!$B$3,AJ2415,AK2415,AL2415)</x:f>
        <x:v>0</x:v>
      </x:c>
      <x:c r="AN2415" t="n">
        <x:v>1</x:v>
      </x:c>
    </x:row>
    <x:row r="2416" ht="23" customHeight="1">
      <x:c r="A2416" s="11" t="str">
        <x:v>688382.SH</x:v>
      </x:c>
      <x:c r="B2416" s="11" t="str">
        <x:v>2026年底</x:v>
      </x:c>
      <x:c r="C2416" s="11" t="str">
        <x:v>tyk_uc_cn</x:v>
      </x:c>
      <x:c r="D2416" s="11" t="str">
        <x:v>2032-12-31</x:v>
      </x:c>
      <x:c r="E2416" s="11" t="str">
        <x:v>CNY</x:v>
      </x:c>
      <x:c r="F2416" s="11" t="n">
        <x:v>6.0013689253935665</x:v>
      </x:c>
      <x:c r="G2416" s="26" t="b">
        <x:v>1</x:v>
      </x:c>
      <x:c r="H2416" s="16" t="n">
        <x:v>0</x:v>
      </x:c>
      <x:c r="I2416" s="16" t="n">
        <x:v>0.5666666666666667</x:v>
      </x:c>
      <x:c r="J2416" s="16" t="n">
        <x:v>2</x:v>
      </x:c>
      <x:c r="K2416" s="11" t="n">
        <x:f>CHOOSE('假设'!$B$3,H2416,I2416,J2416)</x:f>
        <x:v>0.5666666666666667</x:v>
      </x:c>
      <x:c r="L2416" s="11" t="n">
        <x:f>K2416*'管线假设'!E531*'管线假设'!F531*'管线假设'!G531*IF(E2416="USD",'管线假设'!I531,1)-AM2416</x:f>
        <x:v>0.04442666666666668</x:v>
      </x:c>
      <x:c r="M2416" s="11" t="n">
        <x:f>'管线假设'!H531</x:f>
        <x:v>0.135</x:v>
      </x:c>
      <x:c r="N2416" s="11" t="n">
        <x:f>IF(G2416,L2416*AN2416/(1+M2416)^F2416,0)</x:f>
        <x:v>0.02077749923234755</x:v>
      </x:c>
      <x:c r="AJ2416" t="n">
        <x:v>0</x:v>
      </x:c>
      <x:c r="AK2416" t="n">
        <x:v>0</x:v>
      </x:c>
      <x:c r="AL2416" t="n">
        <x:v>0</x:v>
      </x:c>
      <x:c r="AM2416" t="n">
        <x:f>CHOOSE('假设'!$B$3,AJ2416,AK2416,AL2416)</x:f>
        <x:v>0</x:v>
      </x:c>
      <x:c r="AN2416" t="n">
        <x:v>1</x:v>
      </x:c>
    </x:row>
    <x:row r="2417" ht="23" customHeight="1">
      <x:c r="A2417" s="11" t="str">
        <x:v>688382.SH</x:v>
      </x:c>
      <x:c r="B2417" s="11" t="str">
        <x:v>2026年底</x:v>
      </x:c>
      <x:c r="C2417" s="11" t="str">
        <x:v>tyk_uc_cn</x:v>
      </x:c>
      <x:c r="D2417" s="11" t="str">
        <x:v>2033-12-31</x:v>
      </x:c>
      <x:c r="E2417" s="11" t="str">
        <x:v>CNY</x:v>
      </x:c>
      <x:c r="F2417" s="11" t="n">
        <x:v>7.000684462696783</x:v>
      </x:c>
      <x:c r="G2417" s="26" t="b">
        <x:v>1</x:v>
      </x:c>
      <x:c r="H2417" s="16" t="n">
        <x:v>0</x:v>
      </x:c>
      <x:c r="I2417" s="16" t="n">
        <x:v>0.85</x:v>
      </x:c>
      <x:c r="J2417" s="16" t="n">
        <x:v>2.5</x:v>
      </x:c>
      <x:c r="K2417" s="11" t="n">
        <x:f>CHOOSE('假设'!$B$3,H2417,I2417,J2417)</x:f>
        <x:v>0.85</x:v>
      </x:c>
      <x:c r="L2417" s="11" t="n">
        <x:f>K2417*'管线假设'!E531*'管线假设'!F531*'管线假设'!G531*IF(E2417="USD",'管线假设'!I531,1)-AM2417</x:f>
        <x:v>0.06664</x:v>
      </x:c>
      <x:c r="M2417" s="11" t="n">
        <x:f>'管线假设'!H531</x:f>
        <x:v>0.135</x:v>
      </x:c>
      <x:c r="N2417" s="11" t="n">
        <x:f>IF(G2417,L2417*AN2417/(1+M2417)^F2417,0)</x:f>
        <x:v>0.027461630229397613</x:v>
      </x:c>
      <x:c r="AJ2417" t="n">
        <x:v>0</x:v>
      </x:c>
      <x:c r="AK2417" t="n">
        <x:v>0</x:v>
      </x:c>
      <x:c r="AL2417" t="n">
        <x:v>0</x:v>
      </x:c>
      <x:c r="AM2417" t="n">
        <x:f>CHOOSE('假设'!$B$3,AJ2417,AK2417,AL2417)</x:f>
        <x:v>0</x:v>
      </x:c>
      <x:c r="AN2417" t="n">
        <x:v>1</x:v>
      </x:c>
    </x:row>
    <x:row r="2418" ht="23" customHeight="1">
      <x:c r="A2418" s="11" t="str">
        <x:v>688382.SH</x:v>
      </x:c>
      <x:c r="B2418" s="11" t="str">
        <x:v>2026年底</x:v>
      </x:c>
      <x:c r="C2418" s="11" t="str">
        <x:v>tyk_uc_cn</x:v>
      </x:c>
      <x:c r="D2418" s="11" t="str">
        <x:v>2034-12-31</x:v>
      </x:c>
      <x:c r="E2418" s="11" t="str">
        <x:v>CNY</x:v>
      </x:c>
      <x:c r="F2418" s="11" t="n">
        <x:v>8</x:v>
      </x:c>
      <x:c r="G2418" s="26" t="b">
        <x:v>1</x:v>
      </x:c>
      <x:c r="H2418" s="16" t="n">
        <x:v>0.13999999999999999</x:v>
      </x:c>
      <x:c r="I2418" s="16" t="n">
        <x:v>1.1333333333333333</x:v>
      </x:c>
      <x:c r="J2418" s="16" t="n">
        <x:v>3</x:v>
      </x:c>
      <x:c r="K2418" s="11" t="n">
        <x:f>CHOOSE('假设'!$B$3,H2418,I2418,J2418)</x:f>
        <x:v>1.1333333333333333</x:v>
      </x:c>
      <x:c r="L2418" s="11" t="n">
        <x:f>K2418*'管线假设'!E531*'管线假设'!F531*'管线假设'!G531*IF(E2418="USD",'管线假设'!I531,1)-AM2418</x:f>
        <x:v>0.08885333333333335</x:v>
      </x:c>
      <x:c r="M2418" s="11" t="n">
        <x:f>'管线假设'!H531</x:f>
        <x:v>0.135</x:v>
      </x:c>
      <x:c r="N2418" s="11" t="n">
        <x:f>IF(G2418,L2418*AN2418/(1+M2418)^F2418,0)</x:f>
        <x:v>0.032263154864376954</x:v>
      </x:c>
      <x:c r="AJ2418" t="n">
        <x:v>0</x:v>
      </x:c>
      <x:c r="AK2418" t="n">
        <x:v>0</x:v>
      </x:c>
      <x:c r="AL2418" t="n">
        <x:v>0</x:v>
      </x:c>
      <x:c r="AM2418" t="n">
        <x:f>CHOOSE('假设'!$B$3,AJ2418,AK2418,AL2418)</x:f>
        <x:v>0</x:v>
      </x:c>
      <x:c r="AN2418" t="n">
        <x:v>1</x:v>
      </x:c>
    </x:row>
    <x:row r="2419" ht="23" customHeight="1">
      <x:c r="A2419" s="11" t="str">
        <x:v>688382.SH</x:v>
      </x:c>
      <x:c r="B2419" s="11" t="str">
        <x:v>2026年底</x:v>
      </x:c>
      <x:c r="C2419" s="11" t="str">
        <x:v>tyk_uc_cn</x:v>
      </x:c>
      <x:c r="D2419" s="11" t="str">
        <x:v>2035-12-31</x:v>
      </x:c>
      <x:c r="E2419" s="11" t="str">
        <x:v>CNY</x:v>
      </x:c>
      <x:c r="F2419" s="11" t="n">
        <x:v>8.999315537303216</x:v>
      </x:c>
      <x:c r="G2419" s="26" t="b">
        <x:v>1</x:v>
      </x:c>
      <x:c r="H2419" s="16" t="n">
        <x:v>0.27999999999999997</x:v>
      </x:c>
      <x:c r="I2419" s="16" t="n">
        <x:v>1.4166666666666667</x:v>
      </x:c>
      <x:c r="J2419" s="16" t="n">
        <x:v>2.61</x:v>
      </x:c>
      <x:c r="K2419" s="11" t="n">
        <x:f>CHOOSE('假设'!$B$3,H2419,I2419,J2419)</x:f>
        <x:v>1.4166666666666667</x:v>
      </x:c>
      <x:c r="L2419" s="11" t="n">
        <x:f>K2419*'管线假设'!E531*'管线假设'!F531*'管线假设'!G531*IF(E2419="USD",'管线假设'!I531,1)-AM2419</x:f>
        <x:v>0.11106666666666669</x:v>
      </x:c>
      <x:c r="M2419" s="11" t="n">
        <x:f>'管线假设'!H531</x:f>
        <x:v>0.135</x:v>
      </x:c>
      <x:c r="N2419" s="11" t="n">
        <x:f>IF(G2419,L2419*AN2419/(1+M2419)^F2419,0)</x:f>
        <x:v>0.03553518877205794</x:v>
      </x:c>
      <x:c r="AJ2419" t="n">
        <x:v>0</x:v>
      </x:c>
      <x:c r="AK2419" t="n">
        <x:v>0</x:v>
      </x:c>
      <x:c r="AL2419" t="n">
        <x:v>0</x:v>
      </x:c>
      <x:c r="AM2419" t="n">
        <x:f>CHOOSE('假设'!$B$3,AJ2419,AK2419,AL2419)</x:f>
        <x:v>0</x:v>
      </x:c>
      <x:c r="AN2419" t="n">
        <x:v>1</x:v>
      </x:c>
    </x:row>
    <x:row r="2420" ht="23" customHeight="1">
      <x:c r="A2420" s="11" t="str">
        <x:v>688382.SH</x:v>
      </x:c>
      <x:c r="B2420" s="11" t="str">
        <x:v>2026年底</x:v>
      </x:c>
      <x:c r="C2420" s="11" t="str">
        <x:v>tyk_uc_cn</x:v>
      </x:c>
      <x:c r="D2420" s="11" t="str">
        <x:v>2036-12-31</x:v>
      </x:c>
      <x:c r="E2420" s="11" t="str">
        <x:v>CNY</x:v>
      </x:c>
      <x:c r="F2420" s="11" t="n">
        <x:v>10.001368925393566</x:v>
      </x:c>
      <x:c r="G2420" s="26" t="b">
        <x:v>1</x:v>
      </x:c>
      <x:c r="H2420" s="16" t="n">
        <x:v>0.42</x:v>
      </x:c>
      <x:c r="I2420" s="16" t="n">
        <x:v>1.7</x:v>
      </x:c>
      <x:c r="J2420" s="16" t="n">
        <x:v>2.2199999999999998</x:v>
      </x:c>
      <x:c r="K2420" s="11" t="n">
        <x:f>CHOOSE('假设'!$B$3,H2420,I2420,J2420)</x:f>
        <x:v>1.7</x:v>
      </x:c>
      <x:c r="L2420" s="11" t="n">
        <x:f>K2420*'管线假设'!E531*'管线假设'!F531*'管线假设'!G531*IF(E2420="USD",'管线假设'!I531,1)-AM2420</x:f>
        <x:v>0.13328</x:v>
      </x:c>
      <x:c r="M2420" s="11" t="n">
        <x:f>'管线假设'!H531</x:f>
        <x:v>0.135</x:v>
      </x:c>
      <x:c r="N2420" s="11" t="n">
        <x:f>IF(G2420,L2420*AN2420/(1+M2420)^F2420,0)</x:f>
        <x:v>0.03756047566635603</x:v>
      </x:c>
      <x:c r="AJ2420" t="n">
        <x:v>0</x:v>
      </x:c>
      <x:c r="AK2420" t="n">
        <x:v>0</x:v>
      </x:c>
      <x:c r="AL2420" t="n">
        <x:v>0</x:v>
      </x:c>
      <x:c r="AM2420" t="n">
        <x:f>CHOOSE('假设'!$B$3,AJ2420,AK2420,AL2420)</x:f>
        <x:v>0</x:v>
      </x:c>
      <x:c r="AN2420" t="n">
        <x:v>1</x:v>
      </x:c>
    </x:row>
    <x:row r="2421" ht="23" customHeight="1">
      <x:c r="A2421" s="11" t="str">
        <x:v>688382.SH</x:v>
      </x:c>
      <x:c r="B2421" s="11" t="str">
        <x:v>2026年底</x:v>
      </x:c>
      <x:c r="C2421" s="11" t="str">
        <x:v>tyk_uc_cn</x:v>
      </x:c>
      <x:c r="D2421" s="11" t="str">
        <x:v>2037-12-31</x:v>
      </x:c>
      <x:c r="E2421" s="11" t="str">
        <x:v>CNY</x:v>
      </x:c>
      <x:c r="F2421" s="11" t="n">
        <x:v>11.000684462696784</x:v>
      </x:c>
      <x:c r="G2421" s="26" t="b">
        <x:v>1</x:v>
      </x:c>
      <x:c r="H2421" s="16" t="n">
        <x:v>0.5599999999999999</x:v>
      </x:c>
      <x:c r="I2421" s="16" t="n">
        <x:v>1.4789999999999999</x:v>
      </x:c>
      <x:c r="J2421" s="16" t="n">
        <x:v>1.83</x:v>
      </x:c>
      <x:c r="K2421" s="11" t="n">
        <x:f>CHOOSE('假设'!$B$3,H2421,I2421,J2421)</x:f>
        <x:v>1.4789999999999999</x:v>
      </x:c>
      <x:c r="L2421" s="11" t="n">
        <x:f>K2421*'管线假设'!E531*'管线假设'!F531*'管线假设'!G531*IF(E2421="USD",'管线假设'!I531,1)-AM2421</x:f>
        <x:v>0.1159536</x:v>
      </x:c>
      <x:c r="M2421" s="11" t="n">
        <x:f>'管线假设'!H531</x:f>
        <x:v>0.135</x:v>
      </x:c>
      <x:c r="N2421" s="11" t="n">
        <x:f>IF(G2421,L2421*AN2421/(1+M2421)^F2421,0)</x:f>
        <x:v>0.0287933447535719</x:v>
      </x:c>
      <x:c r="AJ2421" t="n">
        <x:v>0</x:v>
      </x:c>
      <x:c r="AK2421" t="n">
        <x:v>0</x:v>
      </x:c>
      <x:c r="AL2421" t="n">
        <x:v>0</x:v>
      </x:c>
      <x:c r="AM2421" t="n">
        <x:f>CHOOSE('假设'!$B$3,AJ2421,AK2421,AL2421)</x:f>
        <x:v>0</x:v>
      </x:c>
      <x:c r="AN2421" t="n">
        <x:v>1</x:v>
      </x:c>
    </x:row>
    <x:row r="2422" ht="23" customHeight="1">
      <x:c r="A2422" s="11" t="str">
        <x:v>688382.SH</x:v>
      </x:c>
      <x:c r="B2422" s="11" t="str">
        <x:v>2026年底</x:v>
      </x:c>
      <x:c r="C2422" s="11" t="str">
        <x:v>tyk_uc_cn</x:v>
      </x:c>
      <x:c r="D2422" s="11" t="str">
        <x:v>2038-12-31</x:v>
      </x:c>
      <x:c r="E2422" s="11" t="str">
        <x:v>CNY</x:v>
      </x:c>
      <x:c r="F2422" s="11" t="n">
        <x:v>12</x:v>
      </x:c>
      <x:c r="G2422" s="26" t="b">
        <x:v>1</x:v>
      </x:c>
      <x:c r="H2422" s="16" t="n">
        <x:v>0.7</x:v>
      </x:c>
      <x:c r="I2422" s="16" t="n">
        <x:v>1.258</x:v>
      </x:c>
      <x:c r="J2422" s="16" t="n">
        <x:v>1.44</x:v>
      </x:c>
      <x:c r="K2422" s="11" t="n">
        <x:f>CHOOSE('假设'!$B$3,H2422,I2422,J2422)</x:f>
        <x:v>1.258</x:v>
      </x:c>
      <x:c r="L2422" s="11" t="n">
        <x:f>K2422*'管线假设'!E531*'管线假设'!F531*'管线假设'!G531*IF(E2422="USD",'管线假设'!I531,1)-AM2422</x:f>
        <x:v>0.09862720000000003</x:v>
      </x:c>
      <x:c r="M2422" s="11" t="n">
        <x:f>'管线假设'!H531</x:f>
        <x:v>0.135</x:v>
      </x:c>
      <x:c r="N2422" s="11" t="n">
        <x:f>IF(G2422,L2422*AN2422/(1+M2422)^F2422,0)</x:f>
        <x:v>0.021579747830632646</x:v>
      </x:c>
      <x:c r="AJ2422" t="n">
        <x:v>0</x:v>
      </x:c>
      <x:c r="AK2422" t="n">
        <x:v>0</x:v>
      </x:c>
      <x:c r="AL2422" t="n">
        <x:v>0</x:v>
      </x:c>
      <x:c r="AM2422" t="n">
        <x:f>CHOOSE('假设'!$B$3,AJ2422,AK2422,AL2422)</x:f>
        <x:v>0</x:v>
      </x:c>
      <x:c r="AN2422" t="n">
        <x:v>1</x:v>
      </x:c>
    </x:row>
    <x:row r="2423" ht="23" customHeight="1">
      <x:c r="A2423" s="11" t="str">
        <x:v>688382.SH</x:v>
      </x:c>
      <x:c r="B2423" s="11" t="str">
        <x:v>2026年底</x:v>
      </x:c>
      <x:c r="C2423" s="11" t="str">
        <x:v>tyk_uc_cn</x:v>
      </x:c>
      <x:c r="D2423" s="11" t="str">
        <x:v>2039-12-31</x:v>
      </x:c>
      <x:c r="E2423" s="11" t="str">
        <x:v>CNY</x:v>
      </x:c>
      <x:c r="F2423" s="11" t="n">
        <x:v>12.999315537303216</x:v>
      </x:c>
      <x:c r="G2423" s="26" t="b">
        <x:v>1</x:v>
      </x:c>
      <x:c r="H2423" s="16" t="n">
        <x:v>0.609</x:v>
      </x:c>
      <x:c r="I2423" s="16" t="n">
        <x:v>1.037</x:v>
      </x:c>
      <x:c r="J2423" s="16" t="n">
        <x:v>1.0499999999999998</x:v>
      </x:c>
      <x:c r="K2423" s="11" t="n">
        <x:f>CHOOSE('假设'!$B$3,H2423,I2423,J2423)</x:f>
        <x:v>1.037</x:v>
      </x:c>
      <x:c r="L2423" s="11" t="n">
        <x:f>K2423*'管线假设'!E531*'管线假设'!F531*'管线假设'!G531*IF(E2423="USD",'管线假设'!I531,1)-AM2423</x:f>
        <x:v>0.0813008</x:v>
      </x:c>
      <x:c r="M2423" s="11" t="n">
        <x:f>'管线假设'!H531</x:f>
        <x:v>0.135</x:v>
      </x:c>
      <x:c r="N2423" s="11" t="n">
        <x:f>IF(G2423,L2423*AN2423/(1+M2423)^F2423,0)</x:f>
        <x:v>0.015674231681693726</x:v>
      </x:c>
      <x:c r="AJ2423" t="n">
        <x:v>0</x:v>
      </x:c>
      <x:c r="AK2423" t="n">
        <x:v>0</x:v>
      </x:c>
      <x:c r="AL2423" t="n">
        <x:v>0</x:v>
      </x:c>
      <x:c r="AM2423" t="n">
        <x:f>CHOOSE('假设'!$B$3,AJ2423,AK2423,AL2423)</x:f>
        <x:v>0</x:v>
      </x:c>
      <x:c r="AN2423" t="n">
        <x:v>1</x:v>
      </x:c>
    </x:row>
    <x:row r="2424" ht="23" customHeight="1">
      <x:c r="A2424" s="11" t="str">
        <x:v>688382.SH</x:v>
      </x:c>
      <x:c r="B2424" s="11" t="str">
        <x:v>2026年底</x:v>
      </x:c>
      <x:c r="C2424" s="11" t="str">
        <x:v>tyk_uc_cn</x:v>
      </x:c>
      <x:c r="D2424" s="11" t="str">
        <x:v>2040-12-31</x:v>
      </x:c>
      <x:c r="E2424" s="11" t="str">
        <x:v>CNY</x:v>
      </x:c>
      <x:c r="F2424" s="11" t="n">
        <x:v>14.001368925393566</x:v>
      </x:c>
      <x:c r="G2424" s="26" t="b">
        <x:v>1</x:v>
      </x:c>
      <x:c r="H2424" s="16" t="n">
        <x:v>0.518</x:v>
      </x:c>
      <x:c r="I2424" s="16" t="n">
        <x:v>0.816</x:v>
      </x:c>
      <x:c r="J2424" s="16" t="n">
        <x:v>0.6599999999999999</x:v>
      </x:c>
      <x:c r="K2424" s="11" t="n">
        <x:f>CHOOSE('假设'!$B$3,H2424,I2424,J2424)</x:f>
        <x:v>0.816</x:v>
      </x:c>
      <x:c r="L2424" s="11" t="n">
        <x:f>K2424*'管线假设'!E531*'管线假设'!F531*'管线假设'!G531*IF(E2424="USD",'管线假设'!I531,1)-AM2424</x:f>
        <x:v>0.06397440000000001</x:v>
      </x:c>
      <x:c r="M2424" s="11" t="n">
        <x:f>'管线假设'!H531</x:f>
        <x:v>0.135</x:v>
      </x:c>
      <x:c r="N2424" s="11" t="n">
        <x:f>IF(G2424,L2424*AN2424/(1+M2424)^F2424,0)</x:f>
        <x:v>0.010863977933102014</x:v>
      </x:c>
      <x:c r="AJ2424" t="n">
        <x:v>0</x:v>
      </x:c>
      <x:c r="AK2424" t="n">
        <x:v>0</x:v>
      </x:c>
      <x:c r="AL2424" t="n">
        <x:v>0</x:v>
      </x:c>
      <x:c r="AM2424" t="n">
        <x:f>CHOOSE('假设'!$B$3,AJ2424,AK2424,AL2424)</x:f>
        <x:v>0</x:v>
      </x:c>
      <x:c r="AN2424" t="n">
        <x:v>1</x:v>
      </x:c>
    </x:row>
    <x:row r="2425" ht="23" customHeight="1">
      <x:c r="A2425" s="11" t="str">
        <x:v>688382.SH</x:v>
      </x:c>
      <x:c r="B2425" s="11" t="str">
        <x:v>2026年底</x:v>
      </x:c>
      <x:c r="C2425" s="11" t="str">
        <x:v>tyk_uc_cn</x:v>
      </x:c>
      <x:c r="D2425" s="11" t="str">
        <x:v>2041-12-31</x:v>
      </x:c>
      <x:c r="E2425" s="11" t="str">
        <x:v>CNY</x:v>
      </x:c>
      <x:c r="F2425" s="11" t="n">
        <x:v>15.000684462696784</x:v>
      </x:c>
      <x:c r="G2425" s="26" t="b">
        <x:v>1</x:v>
      </x:c>
      <x:c r="H2425" s="16" t="n">
        <x:v>0.427</x:v>
      </x:c>
      <x:c r="I2425" s="16" t="n">
        <x:v>0.595</x:v>
      </x:c>
      <x:c r="J2425" s="16" t="n">
        <x:v>0.2699999999999999</x:v>
      </x:c>
      <x:c r="K2425" s="11" t="n">
        <x:f>CHOOSE('假设'!$B$3,H2425,I2425,J2425)</x:f>
        <x:v>0.595</x:v>
      </x:c>
      <x:c r="L2425" s="11" t="n">
        <x:f>K2425*'管线假设'!E531*'管线假设'!F531*'管线假设'!G531*IF(E2425="USD",'管线假设'!I531,1)-AM2425</x:f>
        <x:v>0.046648</x:v>
      </x:c>
      <x:c r="M2425" s="11" t="n">
        <x:f>'管线假设'!H531</x:f>
        <x:v>0.135</x:v>
      </x:c>
      <x:c r="N2425" s="11" t="n">
        <x:f>IF(G2425,L2425*AN2425/(1+M2425)^F2425,0)</x:f>
        <x:v>0.006980032790855911</x:v>
      </x:c>
      <x:c r="AJ2425" t="n">
        <x:v>0</x:v>
      </x:c>
      <x:c r="AK2425" t="n">
        <x:v>0</x:v>
      </x:c>
      <x:c r="AL2425" t="n">
        <x:v>0</x:v>
      </x:c>
      <x:c r="AM2425" t="n">
        <x:f>CHOOSE('假设'!$B$3,AJ2425,AK2425,AL2425)</x:f>
        <x:v>0</x:v>
      </x:c>
      <x:c r="AN2425" t="n">
        <x:v>1</x:v>
      </x:c>
    </x:row>
    <x:row r="2426" ht="23" customHeight="1">
      <x:c r="A2426" s="11" t="str">
        <x:v>688382.SH</x:v>
      </x:c>
      <x:c r="B2426" s="11" t="str">
        <x:v>2026年底</x:v>
      </x:c>
      <x:c r="C2426" s="11" t="str">
        <x:v>tyk_uc_cn</x:v>
      </x:c>
      <x:c r="D2426" s="11" t="str">
        <x:v>2042-12-31</x:v>
      </x:c>
      <x:c r="E2426" s="11" t="str">
        <x:v>CNY</x:v>
      </x:c>
      <x:c r="F2426" s="11" t="n">
        <x:v>16</x:v>
      </x:c>
      <x:c r="G2426" s="26" t="b">
        <x:v>1</x:v>
      </x:c>
      <x:c r="H2426" s="16" t="n">
        <x:v>0.33599999999999997</x:v>
      </x:c>
      <x:c r="I2426" s="16" t="n">
        <x:v>0.37399999999999994</x:v>
      </x:c>
      <x:c r="J2426" s="16" t="n">
        <x:v>0</x:v>
      </x:c>
      <x:c r="K2426" s="11" t="n">
        <x:f>CHOOSE('假设'!$B$3,H2426,I2426,J2426)</x:f>
        <x:v>0.37399999999999994</x:v>
      </x:c>
      <x:c r="L2426" s="11" t="n">
        <x:f>K2426*'管线假设'!E531*'管线假设'!F531*'管线假设'!G531*IF(E2426="USD",'管线假设'!I531,1)-AM2426</x:f>
        <x:v>0.0293216</x:v>
      </x:c>
      <x:c r="M2426" s="11" t="n">
        <x:f>'管线假设'!H531</x:f>
        <x:v>0.135</x:v>
      </x:c>
      <x:c r="N2426" s="11" t="n">
        <x:f>IF(G2426,L2426*AN2426/(1+M2426)^F2426,0)</x:f>
        <x:v>0.003865929059816709</x:v>
      </x:c>
      <x:c r="AJ2426" t="n">
        <x:v>0</x:v>
      </x:c>
      <x:c r="AK2426" t="n">
        <x:v>0</x:v>
      </x:c>
      <x:c r="AL2426" t="n">
        <x:v>0</x:v>
      </x:c>
      <x:c r="AM2426" t="n">
        <x:f>CHOOSE('假设'!$B$3,AJ2426,AK2426,AL2426)</x:f>
        <x:v>0</x:v>
      </x:c>
      <x:c r="AN2426" t="n">
        <x:v>1</x:v>
      </x:c>
    </x:row>
    <x:row r="2427" ht="23" customHeight="1">
      <x:c r="A2427" s="11" t="str">
        <x:v>688382.SH</x:v>
      </x:c>
      <x:c r="B2427" s="11" t="str">
        <x:v>2026年底</x:v>
      </x:c>
      <x:c r="C2427" s="11" t="str">
        <x:v>tyk_uc_cn</x:v>
      </x:c>
      <x:c r="D2427" s="11" t="str">
        <x:v>2043-12-31</x:v>
      </x:c>
      <x:c r="E2427" s="11" t="str">
        <x:v>CNY</x:v>
      </x:c>
      <x:c r="F2427" s="11" t="n">
        <x:v>16.999315537303218</x:v>
      </x:c>
      <x:c r="G2427" s="26" t="b">
        <x:v>1</x:v>
      </x:c>
      <x:c r="H2427" s="16" t="n">
        <x:v>0.24499999999999997</x:v>
      </x:c>
      <x:c r="I2427" s="16" t="n">
        <x:v>0.15299999999999994</x:v>
      </x:c>
      <x:c r="J2427" s="16" t="n">
        <x:v>0</x:v>
      </x:c>
      <x:c r="K2427" s="11" t="n">
        <x:f>CHOOSE('假设'!$B$3,H2427,I2427,J2427)</x:f>
        <x:v>0.15299999999999994</x:v>
      </x:c>
      <x:c r="L2427" s="11" t="n">
        <x:f>K2427*'管线假设'!E531*'管线假设'!F531*'管线假设'!G531*IF(E2427="USD",'管线假设'!I531,1)-AM2427</x:f>
        <x:v>0.011995199999999998</x:v>
      </x:c>
      <x:c r="M2427" s="11" t="n">
        <x:f>'管线假设'!H531</x:f>
        <x:v>0.135</x:v>
      </x:c>
      <x:c r="N2427" s="11" t="n">
        <x:f>IF(G2427,L2427*AN2427/(1+M2427)^F2427,0)</x:f>
        <x:v>0.0013935273285940822</x:v>
      </x:c>
      <x:c r="AJ2427" t="n">
        <x:v>0</x:v>
      </x:c>
      <x:c r="AK2427" t="n">
        <x:v>0</x:v>
      </x:c>
      <x:c r="AL2427" t="n">
        <x:v>0</x:v>
      </x:c>
      <x:c r="AM2427" t="n">
        <x:f>CHOOSE('假设'!$B$3,AJ2427,AK2427,AL2427)</x:f>
        <x:v>0</x:v>
      </x:c>
      <x:c r="AN2427" t="n">
        <x:v>1</x:v>
      </x:c>
    </x:row>
    <x:row r="2428" ht="23" customHeight="1">
      <x:c r="A2428" s="11" t="str">
        <x:v>688382.SH</x:v>
      </x:c>
      <x:c r="B2428" s="11" t="str">
        <x:v>2026年底</x:v>
      </x:c>
      <x:c r="C2428" s="11" t="str">
        <x:v>tyk_uc_cn</x:v>
      </x:c>
      <x:c r="D2428" s="11" t="str">
        <x:v>2044-12-31</x:v>
      </x:c>
      <x:c r="E2428" s="11" t="str">
        <x:v>CNY</x:v>
      </x:c>
      <x:c r="F2428" s="11" t="n">
        <x:v>18.001368925393567</x:v>
      </x:c>
      <x:c r="G2428" s="26" t="b">
        <x:v>1</x:v>
      </x:c>
      <x:c r="H2428" s="16" t="n">
        <x:v>0.15399999999999997</x:v>
      </x:c>
      <x:c r="I2428" s="16" t="n">
        <x:v>0</x:v>
      </x:c>
      <x:c r="J2428" s="16" t="n">
        <x:v>0</x:v>
      </x:c>
      <x:c r="K2428" s="11" t="n">
        <x:f>CHOOSE('假设'!$B$3,H2428,I2428,J2428)</x:f>
        <x:v>0</x:v>
      </x:c>
      <x:c r="L2428" s="11" t="n">
        <x:f>K2428*'管线假设'!E531*'管线假设'!F531*'管线假设'!G531*IF(E2428="USD",'管线假设'!I531,1)-AM2428</x:f>
        <x:v>0</x:v>
      </x:c>
      <x:c r="M2428" s="11" t="n">
        <x:f>'管线假设'!H531</x:f>
        <x:v>0.135</x:v>
      </x:c>
      <x:c r="N2428" s="11" t="n">
        <x:f>IF(G2428,L2428*AN2428/(1+M2428)^F2428,0)</x:f>
        <x:v>0</x:v>
      </x:c>
      <x:c r="AJ2428" t="n">
        <x:v>0</x:v>
      </x:c>
      <x:c r="AK2428" t="n">
        <x:v>0</x:v>
      </x:c>
      <x:c r="AL2428" t="n">
        <x:v>0</x:v>
      </x:c>
      <x:c r="AM2428" t="n">
        <x:f>CHOOSE('假设'!$B$3,AJ2428,AK2428,AL2428)</x:f>
        <x:v>0</x:v>
      </x:c>
      <x:c r="AN2428" t="n">
        <x:v>1</x:v>
      </x:c>
    </x:row>
    <x:row r="2429" ht="23" customHeight="1">
      <x:c r="A2429" s="11" t="str">
        <x:v>688382.SH</x:v>
      </x:c>
      <x:c r="B2429" s="11" t="str">
        <x:v>2026年底</x:v>
      </x:c>
      <x:c r="C2429" s="11" t="str">
        <x:v>tyk_uc_cn</x:v>
      </x:c>
      <x:c r="D2429" s="11" t="str">
        <x:v>2045-12-31</x:v>
      </x:c>
      <x:c r="E2429" s="11" t="str">
        <x:v>CNY</x:v>
      </x:c>
      <x:c r="F2429" s="11" t="n">
        <x:v>19.000684462696782</x:v>
      </x:c>
      <x:c r="G2429" s="26" t="b">
        <x:v>1</x:v>
      </x:c>
      <x:c r="H2429" s="16" t="n">
        <x:v>0.06299999999999997</x:v>
      </x:c>
      <x:c r="I2429" s="16" t="n">
        <x:v>0</x:v>
      </x:c>
      <x:c r="J2429" s="16" t="n">
        <x:v>0</x:v>
      </x:c>
      <x:c r="K2429" s="11" t="n">
        <x:f>CHOOSE('假设'!$B$3,H2429,I2429,J2429)</x:f>
        <x:v>0</x:v>
      </x:c>
      <x:c r="L2429" s="11" t="n">
        <x:f>K2429*'管线假设'!E531*'管线假设'!F531*'管线假设'!G531*IF(E2429="USD",'管线假设'!I531,1)-AM2429</x:f>
        <x:v>0</x:v>
      </x:c>
      <x:c r="M2429" s="11" t="n">
        <x:f>'管线假设'!H531</x:f>
        <x:v>0.135</x:v>
      </x:c>
      <x:c r="N2429" s="11" t="n">
        <x:f>IF(G2429,L2429*AN2429/(1+M2429)^F2429,0)</x:f>
        <x:v>0</x:v>
      </x:c>
      <x:c r="AJ2429" t="n">
        <x:v>0</x:v>
      </x:c>
      <x:c r="AK2429" t="n">
        <x:v>0</x:v>
      </x:c>
      <x:c r="AL2429" t="n">
        <x:v>0</x:v>
      </x:c>
      <x:c r="AM2429" t="n">
        <x:f>CHOOSE('假设'!$B$3,AJ2429,AK2429,AL2429)</x:f>
        <x:v>0</x:v>
      </x:c>
      <x:c r="AN2429" t="n">
        <x:v>1</x:v>
      </x:c>
    </x:row>
    <x:row r="2430" ht="23" customHeight="1">
      <x:c r="A2430" s="11" t="str">
        <x:v>688382.SH</x:v>
      </x:c>
      <x:c r="B2430" s="11" t="str">
        <x:v>2026年底</x:v>
      </x:c>
      <x:c r="C2430" s="11" t="str">
        <x:v>tyk_sle_cn</x:v>
      </x:c>
      <x:c r="D2430" s="11" t="str">
        <x:v>2027-12-31</x:v>
      </x:c>
      <x:c r="E2430" s="11" t="str">
        <x:v>CNY</x:v>
      </x:c>
      <x:c r="F2430" s="11" t="n">
        <x:v>0.999315537303217</x:v>
      </x:c>
      <x:c r="G2430" s="26" t="b">
        <x:v>1</x:v>
      </x:c>
      <x:c r="H2430" s="16" t="n">
        <x:v>0</x:v>
      </x:c>
      <x:c r="I2430" s="16" t="n">
        <x:v>0</x:v>
      </x:c>
      <x:c r="J2430" s="16" t="n">
        <x:v>0</x:v>
      </x:c>
      <x:c r="K2430" s="11" t="n">
        <x:f>CHOOSE('假设'!$B$3,H2430,I2430,J2430)</x:f>
        <x:v>0</x:v>
      </x:c>
      <x:c r="L2430" s="11" t="n">
        <x:f>K2430*'管线假设'!E535*'管线假设'!F535*'管线假设'!G535*IF(E2430="USD",'管线假设'!I535,1)-AM2430</x:f>
        <x:v>0</x:v>
      </x:c>
      <x:c r="M2430" s="11" t="n">
        <x:f>'管线假设'!H535</x:f>
        <x:v>0.135</x:v>
      </x:c>
      <x:c r="N2430" s="11" t="n">
        <x:f>IF(G2430,L2430*AN2430/(1+M2430)^F2430,0)</x:f>
        <x:v>0</x:v>
      </x:c>
      <x:c r="AJ2430" t="n">
        <x:v>0</x:v>
      </x:c>
      <x:c r="AK2430" t="n">
        <x:v>0</x:v>
      </x:c>
      <x:c r="AL2430" t="n">
        <x:v>0</x:v>
      </x:c>
      <x:c r="AM2430" t="n">
        <x:f>CHOOSE('假设'!$B$3,AJ2430,AK2430,AL2430)</x:f>
        <x:v>0</x:v>
      </x:c>
      <x:c r="AN2430" t="n">
        <x:v>1</x:v>
      </x:c>
    </x:row>
    <x:row r="2431" ht="23" customHeight="1">
      <x:c r="A2431" s="11" t="str">
        <x:v>688382.SH</x:v>
      </x:c>
      <x:c r="B2431" s="11" t="str">
        <x:v>2026年底</x:v>
      </x:c>
      <x:c r="C2431" s="11" t="str">
        <x:v>tyk_sle_cn</x:v>
      </x:c>
      <x:c r="D2431" s="11" t="str">
        <x:v>2028-12-31</x:v>
      </x:c>
      <x:c r="E2431" s="11" t="str">
        <x:v>CNY</x:v>
      </x:c>
      <x:c r="F2431" s="11" t="n">
        <x:v>2.001368925393566</x:v>
      </x:c>
      <x:c r="G2431" s="26" t="b">
        <x:v>1</x:v>
      </x:c>
      <x:c r="H2431" s="16" t="n">
        <x:v>0</x:v>
      </x:c>
      <x:c r="I2431" s="16" t="n">
        <x:v>0</x:v>
      </x:c>
      <x:c r="J2431" s="16" t="n">
        <x:v>0</x:v>
      </x:c>
      <x:c r="K2431" s="11" t="n">
        <x:f>CHOOSE('假设'!$B$3,H2431,I2431,J2431)</x:f>
        <x:v>0</x:v>
      </x:c>
      <x:c r="L2431" s="11" t="n">
        <x:f>K2431*'管线假设'!E535*'管线假设'!F535*'管线假设'!G535*IF(E2431="USD",'管线假设'!I535,1)-AM2431</x:f>
        <x:v>0</x:v>
      </x:c>
      <x:c r="M2431" s="11" t="n">
        <x:f>'管线假设'!H535</x:f>
        <x:v>0.135</x:v>
      </x:c>
      <x:c r="N2431" s="11" t="n">
        <x:f>IF(G2431,L2431*AN2431/(1+M2431)^F2431,0)</x:f>
        <x:v>0</x:v>
      </x:c>
      <x:c r="AJ2431" t="n">
        <x:v>0</x:v>
      </x:c>
      <x:c r="AK2431" t="n">
        <x:v>0</x:v>
      </x:c>
      <x:c r="AL2431" t="n">
        <x:v>0</x:v>
      </x:c>
      <x:c r="AM2431" t="n">
        <x:f>CHOOSE('假设'!$B$3,AJ2431,AK2431,AL2431)</x:f>
        <x:v>0</x:v>
      </x:c>
      <x:c r="AN2431" t="n">
        <x:v>1</x:v>
      </x:c>
    </x:row>
    <x:row r="2432" ht="23" customHeight="1">
      <x:c r="A2432" s="11" t="str">
        <x:v>688382.SH</x:v>
      </x:c>
      <x:c r="B2432" s="11" t="str">
        <x:v>2026年底</x:v>
      </x:c>
      <x:c r="C2432" s="11" t="str">
        <x:v>tyk_sle_cn</x:v>
      </x:c>
      <x:c r="D2432" s="11" t="str">
        <x:v>2029-12-31</x:v>
      </x:c>
      <x:c r="E2432" s="11" t="str">
        <x:v>CNY</x:v>
      </x:c>
      <x:c r="F2432" s="11" t="n">
        <x:v>3.0006844626967832</x:v>
      </x:c>
      <x:c r="G2432" s="26" t="b">
        <x:v>1</x:v>
      </x:c>
      <x:c r="H2432" s="16" t="n">
        <x:v>0</x:v>
      </x:c>
      <x:c r="I2432" s="16" t="n">
        <x:v>0</x:v>
      </x:c>
      <x:c r="J2432" s="16" t="n">
        <x:v>0</x:v>
      </x:c>
      <x:c r="K2432" s="11" t="n">
        <x:f>CHOOSE('假设'!$B$3,H2432,I2432,J2432)</x:f>
        <x:v>0</x:v>
      </x:c>
      <x:c r="L2432" s="11" t="n">
        <x:f>K2432*'管线假设'!E535*'管线假设'!F535*'管线假设'!G535*IF(E2432="USD",'管线假设'!I535,1)-AM2432</x:f>
        <x:v>0</x:v>
      </x:c>
      <x:c r="M2432" s="11" t="n">
        <x:f>'管线假设'!H535</x:f>
        <x:v>0.135</x:v>
      </x:c>
      <x:c r="N2432" s="11" t="n">
        <x:f>IF(G2432,L2432*AN2432/(1+M2432)^F2432,0)</x:f>
        <x:v>0</x:v>
      </x:c>
      <x:c r="AJ2432" t="n">
        <x:v>0</x:v>
      </x:c>
      <x:c r="AK2432" t="n">
        <x:v>0</x:v>
      </x:c>
      <x:c r="AL2432" t="n">
        <x:v>0</x:v>
      </x:c>
      <x:c r="AM2432" t="n">
        <x:f>CHOOSE('假设'!$B$3,AJ2432,AK2432,AL2432)</x:f>
        <x:v>0</x:v>
      </x:c>
      <x:c r="AN2432" t="n">
        <x:v>1</x:v>
      </x:c>
    </x:row>
    <x:row r="2433" ht="23" customHeight="1">
      <x:c r="A2433" s="11" t="str">
        <x:v>688382.SH</x:v>
      </x:c>
      <x:c r="B2433" s="11" t="str">
        <x:v>2026年底</x:v>
      </x:c>
      <x:c r="C2433" s="11" t="str">
        <x:v>tyk_sle_cn</x:v>
      </x:c>
      <x:c r="D2433" s="11" t="str">
        <x:v>2030-12-31</x:v>
      </x:c>
      <x:c r="E2433" s="11" t="str">
        <x:v>CNY</x:v>
      </x:c>
      <x:c r="F2433" s="11" t="n">
        <x:v>4</x:v>
      </x:c>
      <x:c r="G2433" s="26" t="b">
        <x:v>1</x:v>
      </x:c>
      <x:c r="H2433" s="16" t="n">
        <x:v>0</x:v>
      </x:c>
      <x:c r="I2433" s="16" t="n">
        <x:v>0</x:v>
      </x:c>
      <x:c r="J2433" s="16" t="n">
        <x:v>0.3833333333333333</x:v>
      </x:c>
      <x:c r="K2433" s="11" t="n">
        <x:f>CHOOSE('假设'!$B$3,H2433,I2433,J2433)</x:f>
        <x:v>0</x:v>
      </x:c>
      <x:c r="L2433" s="11" t="n">
        <x:f>K2433*'管线假设'!E535*'管线假设'!F535*'管线假设'!G535*IF(E2433="USD",'管线假设'!I535,1)-AM2433</x:f>
        <x:v>0</x:v>
      </x:c>
      <x:c r="M2433" s="11" t="n">
        <x:f>'管线假设'!H535</x:f>
        <x:v>0.135</x:v>
      </x:c>
      <x:c r="N2433" s="11" t="n">
        <x:f>IF(G2433,L2433*AN2433/(1+M2433)^F2433,0)</x:f>
        <x:v>0</x:v>
      </x:c>
      <x:c r="AJ2433" t="n">
        <x:v>0</x:v>
      </x:c>
      <x:c r="AK2433" t="n">
        <x:v>0</x:v>
      </x:c>
      <x:c r="AL2433" t="n">
        <x:v>0</x:v>
      </x:c>
      <x:c r="AM2433" t="n">
        <x:f>CHOOSE('假设'!$B$3,AJ2433,AK2433,AL2433)</x:f>
        <x:v>0</x:v>
      </x:c>
      <x:c r="AN2433" t="n">
        <x:v>1</x:v>
      </x:c>
    </x:row>
    <x:row r="2434" ht="23" customHeight="1">
      <x:c r="A2434" s="11" t="str">
        <x:v>688382.SH</x:v>
      </x:c>
      <x:c r="B2434" s="11" t="str">
        <x:v>2026年底</x:v>
      </x:c>
      <x:c r="C2434" s="11" t="str">
        <x:v>tyk_sle_cn</x:v>
      </x:c>
      <x:c r="D2434" s="11" t="str">
        <x:v>2031-12-31</x:v>
      </x:c>
      <x:c r="E2434" s="11" t="str">
        <x:v>CNY</x:v>
      </x:c>
      <x:c r="F2434" s="11" t="n">
        <x:v>4.999315537303217</x:v>
      </x:c>
      <x:c r="G2434" s="26" t="b">
        <x:v>1</x:v>
      </x:c>
      <x:c r="H2434" s="16" t="n">
        <x:v>0</x:v>
      </x:c>
      <x:c r="I2434" s="16" t="n">
        <x:v>0</x:v>
      </x:c>
      <x:c r="J2434" s="16" t="n">
        <x:v>0.7666666666666666</x:v>
      </x:c>
      <x:c r="K2434" s="11" t="n">
        <x:f>CHOOSE('假设'!$B$3,H2434,I2434,J2434)</x:f>
        <x:v>0</x:v>
      </x:c>
      <x:c r="L2434" s="11" t="n">
        <x:f>K2434*'管线假设'!E535*'管线假设'!F535*'管线假设'!G535*IF(E2434="USD",'管线假设'!I535,1)-AM2434</x:f>
        <x:v>0</x:v>
      </x:c>
      <x:c r="M2434" s="11" t="n">
        <x:f>'管线假设'!H535</x:f>
        <x:v>0.135</x:v>
      </x:c>
      <x:c r="N2434" s="11" t="n">
        <x:f>IF(G2434,L2434*AN2434/(1+M2434)^F2434,0)</x:f>
        <x:v>0</x:v>
      </x:c>
      <x:c r="AJ2434" t="n">
        <x:v>0</x:v>
      </x:c>
      <x:c r="AK2434" t="n">
        <x:v>0</x:v>
      </x:c>
      <x:c r="AL2434" t="n">
        <x:v>0</x:v>
      </x:c>
      <x:c r="AM2434" t="n">
        <x:f>CHOOSE('假设'!$B$3,AJ2434,AK2434,AL2434)</x:f>
        <x:v>0</x:v>
      </x:c>
      <x:c r="AN2434" t="n">
        <x:v>1</x:v>
      </x:c>
    </x:row>
    <x:row r="2435" ht="23" customHeight="1">
      <x:c r="A2435" s="11" t="str">
        <x:v>688382.SH</x:v>
      </x:c>
      <x:c r="B2435" s="11" t="str">
        <x:v>2026年底</x:v>
      </x:c>
      <x:c r="C2435" s="11" t="str">
        <x:v>tyk_sle_cn</x:v>
      </x:c>
      <x:c r="D2435" s="11" t="str">
        <x:v>2032-12-31</x:v>
      </x:c>
      <x:c r="E2435" s="11" t="str">
        <x:v>CNY</x:v>
      </x:c>
      <x:c r="F2435" s="11" t="n">
        <x:v>6.0013689253935665</x:v>
      </x:c>
      <x:c r="G2435" s="26" t="b">
        <x:v>1</x:v>
      </x:c>
      <x:c r="H2435" s="16" t="n">
        <x:v>0</x:v>
      </x:c>
      <x:c r="I2435" s="16" t="n">
        <x:v>0.21666666666666667</x:v>
      </x:c>
      <x:c r="J2435" s="16" t="n">
        <x:v>1.15</x:v>
      </x:c>
      <x:c r="K2435" s="11" t="n">
        <x:f>CHOOSE('假设'!$B$3,H2435,I2435,J2435)</x:f>
        <x:v>0.21666666666666667</x:v>
      </x:c>
      <x:c r="L2435" s="11" t="n">
        <x:f>K2435*'管线假设'!E535*'管线假设'!F535*'管线假设'!G535*IF(E2435="USD",'管线假设'!I535,1)-AM2435</x:f>
        <x:v>0.010919999999999997</x:v>
      </x:c>
      <x:c r="M2435" s="11" t="n">
        <x:f>'管线假设'!H535</x:f>
        <x:v>0.135</x:v>
      </x:c>
      <x:c r="N2435" s="11" t="n">
        <x:f>IF(G2435,L2435*AN2435/(1+M2435)^F2435,0)</x:f>
        <x:v>0.005107074391144248</x:v>
      </x:c>
      <x:c r="AJ2435" t="n">
        <x:v>0</x:v>
      </x:c>
      <x:c r="AK2435" t="n">
        <x:v>0</x:v>
      </x:c>
      <x:c r="AL2435" t="n">
        <x:v>0</x:v>
      </x:c>
      <x:c r="AM2435" t="n">
        <x:f>CHOOSE('假设'!$B$3,AJ2435,AK2435,AL2435)</x:f>
        <x:v>0</x:v>
      </x:c>
      <x:c r="AN2435" t="n">
        <x:v>1</x:v>
      </x:c>
    </x:row>
    <x:row r="2436" ht="23" customHeight="1">
      <x:c r="A2436" s="11" t="str">
        <x:v>688382.SH</x:v>
      </x:c>
      <x:c r="B2436" s="11" t="str">
        <x:v>2026年底</x:v>
      </x:c>
      <x:c r="C2436" s="11" t="str">
        <x:v>tyk_sle_cn</x:v>
      </x:c>
      <x:c r="D2436" s="11" t="str">
        <x:v>2033-12-31</x:v>
      </x:c>
      <x:c r="E2436" s="11" t="str">
        <x:v>CNY</x:v>
      </x:c>
      <x:c r="F2436" s="11" t="n">
        <x:v>7.000684462696783</x:v>
      </x:c>
      <x:c r="G2436" s="26" t="b">
        <x:v>1</x:v>
      </x:c>
      <x:c r="H2436" s="16" t="n">
        <x:v>0</x:v>
      </x:c>
      <x:c r="I2436" s="16" t="n">
        <x:v>0.43333333333333335</x:v>
      </x:c>
      <x:c r="J2436" s="16" t="n">
        <x:v>1.5333333333333332</x:v>
      </x:c>
      <x:c r="K2436" s="11" t="n">
        <x:f>CHOOSE('假设'!$B$3,H2436,I2436,J2436)</x:f>
        <x:v>0.43333333333333335</x:v>
      </x:c>
      <x:c r="L2436" s="11" t="n">
        <x:f>K2436*'管线假设'!E535*'管线假设'!F535*'管线假设'!G535*IF(E2436="USD",'管线假设'!I535,1)-AM2436</x:f>
        <x:v>0.021839999999999995</x:v>
      </x:c>
      <x:c r="M2436" s="11" t="n">
        <x:f>'管线假设'!H535</x:f>
        <x:v>0.135</x:v>
      </x:c>
      <x:c r="N2436" s="11" t="n">
        <x:f>IF(G2436,L2436*AN2436/(1+M2436)^F2436,0)</x:f>
        <x:v>0.009000030075180727</x:v>
      </x:c>
      <x:c r="AJ2436" t="n">
        <x:v>0</x:v>
      </x:c>
      <x:c r="AK2436" t="n">
        <x:v>0</x:v>
      </x:c>
      <x:c r="AL2436" t="n">
        <x:v>0</x:v>
      </x:c>
      <x:c r="AM2436" t="n">
        <x:f>CHOOSE('假设'!$B$3,AJ2436,AK2436,AL2436)</x:f>
        <x:v>0</x:v>
      </x:c>
      <x:c r="AN2436" t="n">
        <x:v>1</x:v>
      </x:c>
    </x:row>
    <x:row r="2437" ht="23" customHeight="1">
      <x:c r="A2437" s="11" t="str">
        <x:v>688382.SH</x:v>
      </x:c>
      <x:c r="B2437" s="11" t="str">
        <x:v>2026年底</x:v>
      </x:c>
      <x:c r="C2437" s="11" t="str">
        <x:v>tyk_sle_cn</x:v>
      </x:c>
      <x:c r="D2437" s="11" t="str">
        <x:v>2034-12-31</x:v>
      </x:c>
      <x:c r="E2437" s="11" t="str">
        <x:v>CNY</x:v>
      </x:c>
      <x:c r="F2437" s="11" t="n">
        <x:v>8</x:v>
      </x:c>
      <x:c r="G2437" s="26" t="b">
        <x:v>1</x:v>
      </x:c>
      <x:c r="H2437" s="16" t="n">
        <x:v>0</x:v>
      </x:c>
      <x:c r="I2437" s="16" t="n">
        <x:v>0.65</x:v>
      </x:c>
      <x:c r="J2437" s="16" t="n">
        <x:v>1.9166666666666665</x:v>
      </x:c>
      <x:c r="K2437" s="11" t="n">
        <x:f>CHOOSE('假设'!$B$3,H2437,I2437,J2437)</x:f>
        <x:v>0.65</x:v>
      </x:c>
      <x:c r="L2437" s="11" t="n">
        <x:f>K2437*'管线假设'!E535*'管线假设'!F535*'管线假设'!G535*IF(E2437="USD",'管线假设'!I535,1)-AM2437</x:f>
        <x:v>0.03275999999999999</x:v>
      </x:c>
      <x:c r="M2437" s="11" t="n">
        <x:f>'管线假设'!H535</x:f>
        <x:v>0.135</x:v>
      </x:c>
      <x:c r="N2437" s="11" t="n">
        <x:f>IF(G2437,L2437*AN2437/(1+M2437)^F2437,0)</x:f>
        <x:v>0.011895343862811244</x:v>
      </x:c>
      <x:c r="AJ2437" t="n">
        <x:v>0</x:v>
      </x:c>
      <x:c r="AK2437" t="n">
        <x:v>0</x:v>
      </x:c>
      <x:c r="AL2437" t="n">
        <x:v>0</x:v>
      </x:c>
      <x:c r="AM2437" t="n">
        <x:f>CHOOSE('假设'!$B$3,AJ2437,AK2437,AL2437)</x:f>
        <x:v>0</x:v>
      </x:c>
      <x:c r="AN2437" t="n">
        <x:v>1</x:v>
      </x:c>
    </x:row>
    <x:row r="2438" ht="23" customHeight="1">
      <x:c r="A2438" s="11" t="str">
        <x:v>688382.SH</x:v>
      </x:c>
      <x:c r="B2438" s="11" t="str">
        <x:v>2026年底</x:v>
      </x:c>
      <x:c r="C2438" s="11" t="str">
        <x:v>tyk_sle_cn</x:v>
      </x:c>
      <x:c r="D2438" s="11" t="str">
        <x:v>2035-12-31</x:v>
      </x:c>
      <x:c r="E2438" s="11" t="str">
        <x:v>CNY</x:v>
      </x:c>
      <x:c r="F2438" s="11" t="n">
        <x:v>8.999315537303216</x:v>
      </x:c>
      <x:c r="G2438" s="26" t="b">
        <x:v>1</x:v>
      </x:c>
      <x:c r="H2438" s="16" t="n">
        <x:v>0.1</x:v>
      </x:c>
      <x:c r="I2438" s="16" t="n">
        <x:v>0.8666666666666667</x:v>
      </x:c>
      <x:c r="J2438" s="16" t="n">
        <x:v>2.3</x:v>
      </x:c>
      <x:c r="K2438" s="11" t="n">
        <x:f>CHOOSE('假设'!$B$3,H2438,I2438,J2438)</x:f>
        <x:v>0.8666666666666667</x:v>
      </x:c>
      <x:c r="L2438" s="11" t="n">
        <x:f>K2438*'管线假设'!E535*'管线假设'!F535*'管线假设'!G535*IF(E2438="USD",'管线假设'!I535,1)-AM2438</x:f>
        <x:v>0.04367999999999999</x:v>
      </x:c>
      <x:c r="M2438" s="11" t="n">
        <x:f>'管线假设'!H535</x:f>
        <x:v>0.135</x:v>
      </x:c>
      <x:c r="N2438" s="11" t="n">
        <x:f>IF(G2438,L2438*AN2438/(1+M2438)^F2438,0)</x:f>
        <x:v>0.013975183483464796</x:v>
      </x:c>
      <x:c r="AJ2438" t="n">
        <x:v>0</x:v>
      </x:c>
      <x:c r="AK2438" t="n">
        <x:v>0</x:v>
      </x:c>
      <x:c r="AL2438" t="n">
        <x:v>0</x:v>
      </x:c>
      <x:c r="AM2438" t="n">
        <x:f>CHOOSE('假设'!$B$3,AJ2438,AK2438,AL2438)</x:f>
        <x:v>0</x:v>
      </x:c>
      <x:c r="AN2438" t="n">
        <x:v>1</x:v>
      </x:c>
    </x:row>
    <x:row r="2439" ht="23" customHeight="1">
      <x:c r="A2439" s="11" t="str">
        <x:v>688382.SH</x:v>
      </x:c>
      <x:c r="B2439" s="11" t="str">
        <x:v>2026年底</x:v>
      </x:c>
      <x:c r="C2439" s="11" t="str">
        <x:v>tyk_sle_cn</x:v>
      </x:c>
      <x:c r="D2439" s="11" t="str">
        <x:v>2036-12-31</x:v>
      </x:c>
      <x:c r="E2439" s="11" t="str">
        <x:v>CNY</x:v>
      </x:c>
      <x:c r="F2439" s="11" t="n">
        <x:v>10.001368925393566</x:v>
      </x:c>
      <x:c r="G2439" s="26" t="b">
        <x:v>1</x:v>
      </x:c>
      <x:c r="H2439" s="16" t="n">
        <x:v>0.2</x:v>
      </x:c>
      <x:c r="I2439" s="16" t="n">
        <x:v>1.0833333333333335</x:v>
      </x:c>
      <x:c r="J2439" s="16" t="n">
        <x:v>2.001</x:v>
      </x:c>
      <x:c r="K2439" s="11" t="n">
        <x:f>CHOOSE('假设'!$B$3,H2439,I2439,J2439)</x:f>
        <x:v>1.0833333333333335</x:v>
      </x:c>
      <x:c r="L2439" s="11" t="n">
        <x:f>K2439*'管线假设'!E535*'管线假设'!F535*'管线假设'!G535*IF(E2439="USD",'管线假设'!I535,1)-AM2439</x:f>
        <x:v>0.05459999999999999</x:v>
      </x:c>
      <x:c r="M2439" s="11" t="n">
        <x:f>'管线假设'!H535</x:f>
        <x:v>0.135</x:v>
      </x:c>
      <x:c r="N2439" s="11" t="n">
        <x:f>IF(G2439,L2439*AN2439/(1+M2439)^F2439,0)</x:f>
        <x:v>0.015387169653234082</x:v>
      </x:c>
      <x:c r="AJ2439" t="n">
        <x:v>0</x:v>
      </x:c>
      <x:c r="AK2439" t="n">
        <x:v>0</x:v>
      </x:c>
      <x:c r="AL2439" t="n">
        <x:v>0</x:v>
      </x:c>
      <x:c r="AM2439" t="n">
        <x:f>CHOOSE('假设'!$B$3,AJ2439,AK2439,AL2439)</x:f>
        <x:v>0</x:v>
      </x:c>
      <x:c r="AN2439" t="n">
        <x:v>1</x:v>
      </x:c>
    </x:row>
    <x:row r="2440" ht="23" customHeight="1">
      <x:c r="A2440" s="11" t="str">
        <x:v>688382.SH</x:v>
      </x:c>
      <x:c r="B2440" s="11" t="str">
        <x:v>2026年底</x:v>
      </x:c>
      <x:c r="C2440" s="11" t="str">
        <x:v>tyk_sle_cn</x:v>
      </x:c>
      <x:c r="D2440" s="11" t="str">
        <x:v>2037-12-31</x:v>
      </x:c>
      <x:c r="E2440" s="11" t="str">
        <x:v>CNY</x:v>
      </x:c>
      <x:c r="F2440" s="11" t="n">
        <x:v>11.000684462696784</x:v>
      </x:c>
      <x:c r="G2440" s="26" t="b">
        <x:v>1</x:v>
      </x:c>
      <x:c r="H2440" s="16" t="n">
        <x:v>0.3</x:v>
      </x:c>
      <x:c r="I2440" s="16" t="n">
        <x:v>1.3</x:v>
      </x:c>
      <x:c r="J2440" s="16" t="n">
        <x:v>1.702</x:v>
      </x:c>
      <x:c r="K2440" s="11" t="n">
        <x:f>CHOOSE('假设'!$B$3,H2440,I2440,J2440)</x:f>
        <x:v>1.3</x:v>
      </x:c>
      <x:c r="L2440" s="11" t="n">
        <x:f>K2440*'管线假设'!E535*'管线假设'!F535*'管线假设'!G535*IF(E2440="USD",'管线假设'!I535,1)-AM2440</x:f>
        <x:v>0.06551999999999998</x:v>
      </x:c>
      <x:c r="M2440" s="11" t="n">
        <x:f>'管线假设'!H535</x:f>
        <x:v>0.135</x:v>
      </x:c>
      <x:c r="N2440" s="11" t="n">
        <x:f>IF(G2440,L2440*AN2440/(1+M2440)^F2440,0)</x:f>
        <x:v>0.01626978332931475</x:v>
      </x:c>
      <x:c r="AJ2440" t="n">
        <x:v>0</x:v>
      </x:c>
      <x:c r="AK2440" t="n">
        <x:v>0</x:v>
      </x:c>
      <x:c r="AL2440" t="n">
        <x:v>0</x:v>
      </x:c>
      <x:c r="AM2440" t="n">
        <x:f>CHOOSE('假设'!$B$3,AJ2440,AK2440,AL2440)</x:f>
        <x:v>0</x:v>
      </x:c>
      <x:c r="AN2440" t="n">
        <x:v>1</x:v>
      </x:c>
    </x:row>
    <x:row r="2441" ht="23" customHeight="1">
      <x:c r="A2441" s="11" t="str">
        <x:v>688382.SH</x:v>
      </x:c>
      <x:c r="B2441" s="11" t="str">
        <x:v>2026年底</x:v>
      </x:c>
      <x:c r="C2441" s="11" t="str">
        <x:v>tyk_sle_cn</x:v>
      </x:c>
      <x:c r="D2441" s="11" t="str">
        <x:v>2038-12-31</x:v>
      </x:c>
      <x:c r="E2441" s="11" t="str">
        <x:v>CNY</x:v>
      </x:c>
      <x:c r="F2441" s="11" t="n">
        <x:v>12</x:v>
      </x:c>
      <x:c r="G2441" s="26" t="b">
        <x:v>1</x:v>
      </x:c>
      <x:c r="H2441" s="16" t="n">
        <x:v>0.4</x:v>
      </x:c>
      <x:c r="I2441" s="16" t="n">
        <x:v>1.131</x:v>
      </x:c>
      <x:c r="J2441" s="16" t="n">
        <x:v>1.4029999999999998</x:v>
      </x:c>
      <x:c r="K2441" s="11" t="n">
        <x:f>CHOOSE('假设'!$B$3,H2441,I2441,J2441)</x:f>
        <x:v>1.131</x:v>
      </x:c>
      <x:c r="L2441" s="11" t="n">
        <x:f>K2441*'管线假设'!E535*'管线假设'!F535*'管线假设'!G535*IF(E2441="USD",'管线假设'!I535,1)-AM2441</x:f>
        <x:v>0.05700239999999999</x:v>
      </x:c>
      <x:c r="M2441" s="11" t="n">
        <x:f>'管线假设'!H535</x:f>
        <x:v>0.135</x:v>
      </x:c>
      <x:c r="N2441" s="11" t="n">
        <x:f>IF(G2441,L2441*AN2441/(1+M2441)^F2441,0)</x:f>
        <x:v>0.012472192435158392</x:v>
      </x:c>
      <x:c r="AJ2441" t="n">
        <x:v>0</x:v>
      </x:c>
      <x:c r="AK2441" t="n">
        <x:v>0</x:v>
      </x:c>
      <x:c r="AL2441" t="n">
        <x:v>0</x:v>
      </x:c>
      <x:c r="AM2441" t="n">
        <x:f>CHOOSE('假设'!$B$3,AJ2441,AK2441,AL2441)</x:f>
        <x:v>0</x:v>
      </x:c>
      <x:c r="AN2441" t="n">
        <x:v>1</x:v>
      </x:c>
    </x:row>
    <x:row r="2442" ht="23" customHeight="1">
      <x:c r="A2442" s="11" t="str">
        <x:v>688382.SH</x:v>
      </x:c>
      <x:c r="B2442" s="11" t="str">
        <x:v>2026年底</x:v>
      </x:c>
      <x:c r="C2442" s="11" t="str">
        <x:v>tyk_sle_cn</x:v>
      </x:c>
      <x:c r="D2442" s="11" t="str">
        <x:v>2039-12-31</x:v>
      </x:c>
      <x:c r="E2442" s="11" t="str">
        <x:v>CNY</x:v>
      </x:c>
      <x:c r="F2442" s="11" t="n">
        <x:v>12.999315537303216</x:v>
      </x:c>
      <x:c r="G2442" s="26" t="b">
        <x:v>1</x:v>
      </x:c>
      <x:c r="H2442" s="16" t="n">
        <x:v>0.5</x:v>
      </x:c>
      <x:c r="I2442" s="16" t="n">
        <x:v>0.962</x:v>
      </x:c>
      <x:c r="J2442" s="16" t="n">
        <x:v>1.1039999999999999</x:v>
      </x:c>
      <x:c r="K2442" s="11" t="n">
        <x:f>CHOOSE('假设'!$B$3,H2442,I2442,J2442)</x:f>
        <x:v>0.962</x:v>
      </x:c>
      <x:c r="L2442" s="11" t="n">
        <x:f>K2442*'管线假设'!E535*'管线假设'!F535*'管线假设'!G535*IF(E2442="USD",'管线假设'!I535,1)-AM2442</x:f>
        <x:v>0.04848479999999998</x:v>
      </x:c>
      <x:c r="M2442" s="11" t="n">
        <x:f>'管线假设'!H535</x:f>
        <x:v>0.135</x:v>
      </x:c>
      <x:c r="N2442" s="11" t="n">
        <x:f>IF(G2442,L2442*AN2442/(1+M2442)^F2442,0)</x:f>
        <x:v>0.00934753395096461</x:v>
      </x:c>
      <x:c r="AJ2442" t="n">
        <x:v>0</x:v>
      </x:c>
      <x:c r="AK2442" t="n">
        <x:v>0</x:v>
      </x:c>
      <x:c r="AL2442" t="n">
        <x:v>0</x:v>
      </x:c>
      <x:c r="AM2442" t="n">
        <x:f>CHOOSE('假设'!$B$3,AJ2442,AK2442,AL2442)</x:f>
        <x:v>0</x:v>
      </x:c>
      <x:c r="AN2442" t="n">
        <x:v>1</x:v>
      </x:c>
    </x:row>
    <x:row r="2443" ht="23" customHeight="1">
      <x:c r="A2443" s="11" t="str">
        <x:v>688382.SH</x:v>
      </x:c>
      <x:c r="B2443" s="11" t="str">
        <x:v>2026年底</x:v>
      </x:c>
      <x:c r="C2443" s="11" t="str">
        <x:v>tyk_sle_cn</x:v>
      </x:c>
      <x:c r="D2443" s="11" t="str">
        <x:v>2040-12-31</x:v>
      </x:c>
      <x:c r="E2443" s="11" t="str">
        <x:v>CNY</x:v>
      </x:c>
      <x:c r="F2443" s="11" t="n">
        <x:v>14.001368925393566</x:v>
      </x:c>
      <x:c r="G2443" s="26" t="b">
        <x:v>1</x:v>
      </x:c>
      <x:c r="H2443" s="16" t="n">
        <x:v>0.435</x:v>
      </x:c>
      <x:c r="I2443" s="16" t="n">
        <x:v>0.793</x:v>
      </x:c>
      <x:c r="J2443" s="16" t="n">
        <x:v>0.8049999999999999</x:v>
      </x:c>
      <x:c r="K2443" s="11" t="n">
        <x:f>CHOOSE('假设'!$B$3,H2443,I2443,J2443)</x:f>
        <x:v>0.793</x:v>
      </x:c>
      <x:c r="L2443" s="11" t="n">
        <x:f>K2443*'管线假设'!E535*'管线假设'!F535*'管线假设'!G535*IF(E2443="USD",'管线假设'!I535,1)-AM2443</x:f>
        <x:v>0.03996719999999999</x:v>
      </x:c>
      <x:c r="M2443" s="11" t="n">
        <x:f>'管线假设'!H535</x:f>
        <x:v>0.135</x:v>
      </x:c>
      <x:c r="N2443" s="11" t="n">
        <x:f>IF(G2443,L2443*AN2443/(1+M2443)^F2443,0)</x:f>
        <x:v>0.006787133272807163</x:v>
      </x:c>
      <x:c r="AJ2443" t="n">
        <x:v>0</x:v>
      </x:c>
      <x:c r="AK2443" t="n">
        <x:v>0</x:v>
      </x:c>
      <x:c r="AL2443" t="n">
        <x:v>0</x:v>
      </x:c>
      <x:c r="AM2443" t="n">
        <x:f>CHOOSE('假设'!$B$3,AJ2443,AK2443,AL2443)</x:f>
        <x:v>0</x:v>
      </x:c>
      <x:c r="AN2443" t="n">
        <x:v>1</x:v>
      </x:c>
    </x:row>
    <x:row r="2444" ht="23" customHeight="1">
      <x:c r="A2444" s="11" t="str">
        <x:v>688382.SH</x:v>
      </x:c>
      <x:c r="B2444" s="11" t="str">
        <x:v>2026年底</x:v>
      </x:c>
      <x:c r="C2444" s="11" t="str">
        <x:v>tyk_sle_cn</x:v>
      </x:c>
      <x:c r="D2444" s="11" t="str">
        <x:v>2041-12-31</x:v>
      </x:c>
      <x:c r="E2444" s="11" t="str">
        <x:v>CNY</x:v>
      </x:c>
      <x:c r="F2444" s="11" t="n">
        <x:v>15.000684462696784</x:v>
      </x:c>
      <x:c r="G2444" s="26" t="b">
        <x:v>1</x:v>
      </x:c>
      <x:c r="H2444" s="16" t="n">
        <x:v>0.37</x:v>
      </x:c>
      <x:c r="I2444" s="16" t="n">
        <x:v>0.624</x:v>
      </x:c>
      <x:c r="J2444" s="16" t="n">
        <x:v>0.5059999999999999</x:v>
      </x:c>
      <x:c r="K2444" s="11" t="n">
        <x:f>CHOOSE('假设'!$B$3,H2444,I2444,J2444)</x:f>
        <x:v>0.624</x:v>
      </x:c>
      <x:c r="L2444" s="11" t="n">
        <x:f>K2444*'管线假设'!E535*'管线假设'!F535*'管线假设'!G535*IF(E2444="USD",'管线假设'!I535,1)-AM2444</x:f>
        <x:v>0.031449599999999994</x:v>
      </x:c>
      <x:c r="M2444" s="11" t="n">
        <x:f>'管线假设'!H535</x:f>
        <x:v>0.135</x:v>
      </x:c>
      <x:c r="N2444" s="11" t="n">
        <x:f>IF(G2444,L2444*AN2444/(1+M2444)^F2444,0)</x:f>
        <x:v>0.004705866044831547</x:v>
      </x:c>
      <x:c r="AJ2444" t="n">
        <x:v>0</x:v>
      </x:c>
      <x:c r="AK2444" t="n">
        <x:v>0</x:v>
      </x:c>
      <x:c r="AL2444" t="n">
        <x:v>0</x:v>
      </x:c>
      <x:c r="AM2444" t="n">
        <x:f>CHOOSE('假设'!$B$3,AJ2444,AK2444,AL2444)</x:f>
        <x:v>0</x:v>
      </x:c>
      <x:c r="AN2444" t="n">
        <x:v>1</x:v>
      </x:c>
    </x:row>
    <x:row r="2445" ht="23" customHeight="1">
      <x:c r="A2445" s="11" t="str">
        <x:v>688382.SH</x:v>
      </x:c>
      <x:c r="B2445" s="11" t="str">
        <x:v>2026年底</x:v>
      </x:c>
      <x:c r="C2445" s="11" t="str">
        <x:v>tyk_sle_cn</x:v>
      </x:c>
      <x:c r="D2445" s="11" t="str">
        <x:v>2042-12-31</x:v>
      </x:c>
      <x:c r="E2445" s="11" t="str">
        <x:v>CNY</x:v>
      </x:c>
      <x:c r="F2445" s="11" t="n">
        <x:v>16</x:v>
      </x:c>
      <x:c r="G2445" s="26" t="b">
        <x:v>1</x:v>
      </x:c>
      <x:c r="H2445" s="16" t="n">
        <x:v>0.305</x:v>
      </x:c>
      <x:c r="I2445" s="16" t="n">
        <x:v>0.45499999999999996</x:v>
      </x:c>
      <x:c r="J2445" s="16" t="n">
        <x:v>0.2069999999999999</x:v>
      </x:c>
      <x:c r="K2445" s="11" t="n">
        <x:f>CHOOSE('假设'!$B$3,H2445,I2445,J2445)</x:f>
        <x:v>0.45499999999999996</x:v>
      </x:c>
      <x:c r="L2445" s="11" t="n">
        <x:f>K2445*'管线假设'!E535*'管线假设'!F535*'管线假设'!G535*IF(E2445="USD",'管线假设'!I535,1)-AM2445</x:f>
        <x:v>0.02293199999999999</x:v>
      </x:c>
      <x:c r="M2445" s="11" t="n">
        <x:f>'管线假设'!H535</x:f>
        <x:v>0.135</x:v>
      </x:c>
      <x:c r="N2445" s="11" t="n">
        <x:f>IF(G2445,L2445*AN2445/(1+M2445)^F2445,0)</x:f>
        <x:v>0.00302348729945558</x:v>
      </x:c>
      <x:c r="AJ2445" t="n">
        <x:v>0</x:v>
      </x:c>
      <x:c r="AK2445" t="n">
        <x:v>0</x:v>
      </x:c>
      <x:c r="AL2445" t="n">
        <x:v>0</x:v>
      </x:c>
      <x:c r="AM2445" t="n">
        <x:f>CHOOSE('假设'!$B$3,AJ2445,AK2445,AL2445)</x:f>
        <x:v>0</x:v>
      </x:c>
      <x:c r="AN2445" t="n">
        <x:v>1</x:v>
      </x:c>
    </x:row>
    <x:row r="2446" ht="23" customHeight="1">
      <x:c r="A2446" s="11" t="str">
        <x:v>688382.SH</x:v>
      </x:c>
      <x:c r="B2446" s="11" t="str">
        <x:v>2026年底</x:v>
      </x:c>
      <x:c r="C2446" s="11" t="str">
        <x:v>tyk_sle_cn</x:v>
      </x:c>
      <x:c r="D2446" s="11" t="str">
        <x:v>2043-12-31</x:v>
      </x:c>
      <x:c r="E2446" s="11" t="str">
        <x:v>CNY</x:v>
      </x:c>
      <x:c r="F2446" s="11" t="n">
        <x:v>16.999315537303218</x:v>
      </x:c>
      <x:c r="G2446" s="26" t="b">
        <x:v>1</x:v>
      </x:c>
      <x:c r="H2446" s="16" t="n">
        <x:v>0.24</x:v>
      </x:c>
      <x:c r="I2446" s="16" t="n">
        <x:v>0.286</x:v>
      </x:c>
      <x:c r="J2446" s="16" t="n">
        <x:v>0</x:v>
      </x:c>
      <x:c r="K2446" s="11" t="n">
        <x:f>CHOOSE('假设'!$B$3,H2446,I2446,J2446)</x:f>
        <x:v>0.286</x:v>
      </x:c>
      <x:c r="L2446" s="11" t="n">
        <x:f>K2446*'管线假设'!E535*'管线假设'!F535*'管线假设'!G535*IF(E2446="USD",'管线假设'!I535,1)-AM2446</x:f>
        <x:v>0.014414399999999996</x:v>
      </x:c>
      <x:c r="M2446" s="11" t="n">
        <x:f>'管线假设'!H535</x:f>
        <x:v>0.135</x:v>
      </x:c>
      <x:c r="N2446" s="11" t="n">
        <x:f>IF(G2446,L2446*AN2446/(1+M2446)^F2446,0)</x:f>
        <x:v>0.0016745748570500313</x:v>
      </x:c>
      <x:c r="AJ2446" t="n">
        <x:v>0</x:v>
      </x:c>
      <x:c r="AK2446" t="n">
        <x:v>0</x:v>
      </x:c>
      <x:c r="AL2446" t="n">
        <x:v>0</x:v>
      </x:c>
      <x:c r="AM2446" t="n">
        <x:f>CHOOSE('假设'!$B$3,AJ2446,AK2446,AL2446)</x:f>
        <x:v>0</x:v>
      </x:c>
      <x:c r="AN2446" t="n">
        <x:v>1</x:v>
      </x:c>
    </x:row>
    <x:row r="2447" ht="23" customHeight="1">
      <x:c r="A2447" s="11" t="str">
        <x:v>688382.SH</x:v>
      </x:c>
      <x:c r="B2447" s="11" t="str">
        <x:v>2026年底</x:v>
      </x:c>
      <x:c r="C2447" s="11" t="str">
        <x:v>tyk_sle_cn</x:v>
      </x:c>
      <x:c r="D2447" s="11" t="str">
        <x:v>2044-12-31</x:v>
      </x:c>
      <x:c r="E2447" s="11" t="str">
        <x:v>CNY</x:v>
      </x:c>
      <x:c r="F2447" s="11" t="n">
        <x:v>18.001368925393567</x:v>
      </x:c>
      <x:c r="G2447" s="26" t="b">
        <x:v>1</x:v>
      </x:c>
      <x:c r="H2447" s="16" t="n">
        <x:v>0.175</x:v>
      </x:c>
      <x:c r="I2447" s="16" t="n">
        <x:v>0.11699999999999997</x:v>
      </x:c>
      <x:c r="J2447" s="16" t="n">
        <x:v>0</x:v>
      </x:c>
      <x:c r="K2447" s="11" t="n">
        <x:f>CHOOSE('假设'!$B$3,H2447,I2447,J2447)</x:f>
        <x:v>0.11699999999999997</x:v>
      </x:c>
      <x:c r="L2447" s="11" t="n">
        <x:f>K2447*'管线假设'!E535*'管线假设'!F535*'管线假设'!G535*IF(E2447="USD",'管线假设'!I535,1)-AM2447</x:f>
        <x:v>0.005896799999999996</x:v>
      </x:c>
      <x:c r="M2447" s="11" t="n">
        <x:f>'管线假设'!H535</x:f>
        <x:v>0.135</x:v>
      </x:c>
      <x:c r="N2447" s="11" t="n">
        <x:f>IF(G2447,L2447*AN2447/(1+M2447)^F2447,0)</x:f>
        <x:v>0.0006034143102218683</x:v>
      </x:c>
      <x:c r="AJ2447" t="n">
        <x:v>0</x:v>
      </x:c>
      <x:c r="AK2447" t="n">
        <x:v>0</x:v>
      </x:c>
      <x:c r="AL2447" t="n">
        <x:v>0</x:v>
      </x:c>
      <x:c r="AM2447" t="n">
        <x:f>CHOOSE('假设'!$B$3,AJ2447,AK2447,AL2447)</x:f>
        <x:v>0</x:v>
      </x:c>
      <x:c r="AN2447" t="n">
        <x:v>1</x:v>
      </x:c>
    </x:row>
    <x:row r="2448" ht="23" customHeight="1">
      <x:c r="A2448" s="11" t="str">
        <x:v>688382.SH</x:v>
      </x:c>
      <x:c r="B2448" s="11" t="str">
        <x:v>2026年底</x:v>
      </x:c>
      <x:c r="C2448" s="11" t="str">
        <x:v>tyk_sle_cn</x:v>
      </x:c>
      <x:c r="D2448" s="11" t="str">
        <x:v>2045-12-31</x:v>
      </x:c>
      <x:c r="E2448" s="11" t="str">
        <x:v>CNY</x:v>
      </x:c>
      <x:c r="F2448" s="11" t="n">
        <x:v>19.000684462696782</x:v>
      </x:c>
      <x:c r="G2448" s="26" t="b">
        <x:v>1</x:v>
      </x:c>
      <x:c r="H2448" s="16" t="n">
        <x:v>0.10999999999999999</x:v>
      </x:c>
      <x:c r="I2448" s="16" t="n">
        <x:v>0</x:v>
      </x:c>
      <x:c r="J2448" s="16" t="n">
        <x:v>0</x:v>
      </x:c>
      <x:c r="K2448" s="11" t="n">
        <x:f>CHOOSE('假设'!$B$3,H2448,I2448,J2448)</x:f>
        <x:v>0</x:v>
      </x:c>
      <x:c r="L2448" s="11" t="n">
        <x:f>K2448*'管线假设'!E535*'管线假设'!F535*'管线假设'!G535*IF(E2448="USD",'管线假设'!I535,1)-AM2448</x:f>
        <x:v>0</x:v>
      </x:c>
      <x:c r="M2448" s="11" t="n">
        <x:f>'管线假设'!H535</x:f>
        <x:v>0.135</x:v>
      </x:c>
      <x:c r="N2448" s="11" t="n">
        <x:f>IF(G2448,L2448*AN2448/(1+M2448)^F2448,0)</x:f>
        <x:v>0</x:v>
      </x:c>
      <x:c r="AJ2448" t="n">
        <x:v>0</x:v>
      </x:c>
      <x:c r="AK2448" t="n">
        <x:v>0</x:v>
      </x:c>
      <x:c r="AL2448" t="n">
        <x:v>0</x:v>
      </x:c>
      <x:c r="AM2448" t="n">
        <x:f>CHOOSE('假设'!$B$3,AJ2448,AK2448,AL2448)</x:f>
        <x:v>0</x:v>
      </x:c>
      <x:c r="AN2448" t="n">
        <x:v>1</x:v>
      </x:c>
    </x:row>
    <x:row r="2449" ht="23" customHeight="1">
      <x:c r="A2449" s="11" t="str">
        <x:v>688382.SH</x:v>
      </x:c>
      <x:c r="B2449" s="11" t="str">
        <x:v>2026年底</x:v>
      </x:c>
      <x:c r="C2449" s="11" t="str">
        <x:v>tyk_psa_cn</x:v>
      </x:c>
      <x:c r="D2449" s="11" t="str">
        <x:v>2027-12-31</x:v>
      </x:c>
      <x:c r="E2449" s="11" t="str">
        <x:v>CNY</x:v>
      </x:c>
      <x:c r="F2449" s="11" t="n">
        <x:v>0.999315537303217</x:v>
      </x:c>
      <x:c r="G2449" s="26" t="b">
        <x:v>1</x:v>
      </x:c>
      <x:c r="H2449" s="16" t="n">
        <x:v>0</x:v>
      </x:c>
      <x:c r="I2449" s="16" t="n">
        <x:v>0</x:v>
      </x:c>
      <x:c r="J2449" s="16" t="n">
        <x:v>0</x:v>
      </x:c>
      <x:c r="K2449" s="11" t="n">
        <x:f>CHOOSE('假设'!$B$3,H2449,I2449,J2449)</x:f>
        <x:v>0</x:v>
      </x:c>
      <x:c r="L2449" s="11" t="n">
        <x:f>K2449*'管线假设'!E539*'管线假设'!F539*'管线假设'!G539*IF(E2449="USD",'管线假设'!I539,1)-AM2449</x:f>
        <x:v>0</x:v>
      </x:c>
      <x:c r="M2449" s="11" t="n">
        <x:f>'管线假设'!H539</x:f>
        <x:v>0.135</x:v>
      </x:c>
      <x:c r="N2449" s="11" t="n">
        <x:f>IF(G2449,L2449*AN2449/(1+M2449)^F2449,0)</x:f>
        <x:v>0</x:v>
      </x:c>
      <x:c r="AJ2449" t="n">
        <x:v>0</x:v>
      </x:c>
      <x:c r="AK2449" t="n">
        <x:v>0</x:v>
      </x:c>
      <x:c r="AL2449" t="n">
        <x:v>0</x:v>
      </x:c>
      <x:c r="AM2449" t="n">
        <x:f>CHOOSE('假设'!$B$3,AJ2449,AK2449,AL2449)</x:f>
        <x:v>0</x:v>
      </x:c>
      <x:c r="AN2449" t="n">
        <x:v>1</x:v>
      </x:c>
    </x:row>
    <x:row r="2450" ht="23" customHeight="1">
      <x:c r="A2450" s="11" t="str">
        <x:v>688382.SH</x:v>
      </x:c>
      <x:c r="B2450" s="11" t="str">
        <x:v>2026年底</x:v>
      </x:c>
      <x:c r="C2450" s="11" t="str">
        <x:v>tyk_psa_cn</x:v>
      </x:c>
      <x:c r="D2450" s="11" t="str">
        <x:v>2028-12-31</x:v>
      </x:c>
      <x:c r="E2450" s="11" t="str">
        <x:v>CNY</x:v>
      </x:c>
      <x:c r="F2450" s="11" t="n">
        <x:v>2.001368925393566</x:v>
      </x:c>
      <x:c r="G2450" s="26" t="b">
        <x:v>1</x:v>
      </x:c>
      <x:c r="H2450" s="16" t="n">
        <x:v>0</x:v>
      </x:c>
      <x:c r="I2450" s="16" t="n">
        <x:v>0</x:v>
      </x:c>
      <x:c r="J2450" s="16" t="n">
        <x:v>0</x:v>
      </x:c>
      <x:c r="K2450" s="11" t="n">
        <x:f>CHOOSE('假设'!$B$3,H2450,I2450,J2450)</x:f>
        <x:v>0</x:v>
      </x:c>
      <x:c r="L2450" s="11" t="n">
        <x:f>K2450*'管线假设'!E539*'管线假设'!F539*'管线假设'!G539*IF(E2450="USD",'管线假设'!I539,1)-AM2450</x:f>
        <x:v>0</x:v>
      </x:c>
      <x:c r="M2450" s="11" t="n">
        <x:f>'管线假设'!H539</x:f>
        <x:v>0.135</x:v>
      </x:c>
      <x:c r="N2450" s="11" t="n">
        <x:f>IF(G2450,L2450*AN2450/(1+M2450)^F2450,0)</x:f>
        <x:v>0</x:v>
      </x:c>
      <x:c r="AJ2450" t="n">
        <x:v>0</x:v>
      </x:c>
      <x:c r="AK2450" t="n">
        <x:v>0</x:v>
      </x:c>
      <x:c r="AL2450" t="n">
        <x:v>0</x:v>
      </x:c>
      <x:c r="AM2450" t="n">
        <x:f>CHOOSE('假设'!$B$3,AJ2450,AK2450,AL2450)</x:f>
        <x:v>0</x:v>
      </x:c>
      <x:c r="AN2450" t="n">
        <x:v>1</x:v>
      </x:c>
    </x:row>
    <x:row r="2451" ht="23" customHeight="1">
      <x:c r="A2451" s="11" t="str">
        <x:v>688382.SH</x:v>
      </x:c>
      <x:c r="B2451" s="11" t="str">
        <x:v>2026年底</x:v>
      </x:c>
      <x:c r="C2451" s="11" t="str">
        <x:v>tyk_psa_cn</x:v>
      </x:c>
      <x:c r="D2451" s="11" t="str">
        <x:v>2029-12-31</x:v>
      </x:c>
      <x:c r="E2451" s="11" t="str">
        <x:v>CNY</x:v>
      </x:c>
      <x:c r="F2451" s="11" t="n">
        <x:v>3.0006844626967832</x:v>
      </x:c>
      <x:c r="G2451" s="26" t="b">
        <x:v>1</x:v>
      </x:c>
      <x:c r="H2451" s="16" t="n">
        <x:v>0</x:v>
      </x:c>
      <x:c r="I2451" s="16" t="n">
        <x:v>0</x:v>
      </x:c>
      <x:c r="J2451" s="16" t="n">
        <x:v>0.2333333333333333</x:v>
      </x:c>
      <x:c r="K2451" s="11" t="n">
        <x:f>CHOOSE('假设'!$B$3,H2451,I2451,J2451)</x:f>
        <x:v>0</x:v>
      </x:c>
      <x:c r="L2451" s="11" t="n">
        <x:f>K2451*'管线假设'!E539*'管线假设'!F539*'管线假设'!G539*IF(E2451="USD",'管线假设'!I539,1)-AM2451</x:f>
        <x:v>0</x:v>
      </x:c>
      <x:c r="M2451" s="11" t="n">
        <x:f>'管线假设'!H539</x:f>
        <x:v>0.135</x:v>
      </x:c>
      <x:c r="N2451" s="11" t="n">
        <x:f>IF(G2451,L2451*AN2451/(1+M2451)^F2451,0)</x:f>
        <x:v>0</x:v>
      </x:c>
      <x:c r="AJ2451" t="n">
        <x:v>0</x:v>
      </x:c>
      <x:c r="AK2451" t="n">
        <x:v>0</x:v>
      </x:c>
      <x:c r="AL2451" t="n">
        <x:v>0</x:v>
      </x:c>
      <x:c r="AM2451" t="n">
        <x:f>CHOOSE('假设'!$B$3,AJ2451,AK2451,AL2451)</x:f>
        <x:v>0</x:v>
      </x:c>
      <x:c r="AN2451" t="n">
        <x:v>1</x:v>
      </x:c>
    </x:row>
    <x:row r="2452" ht="23" customHeight="1">
      <x:c r="A2452" s="11" t="str">
        <x:v>688382.SH</x:v>
      </x:c>
      <x:c r="B2452" s="11" t="str">
        <x:v>2026年底</x:v>
      </x:c>
      <x:c r="C2452" s="11" t="str">
        <x:v>tyk_psa_cn</x:v>
      </x:c>
      <x:c r="D2452" s="11" t="str">
        <x:v>2030-12-31</x:v>
      </x:c>
      <x:c r="E2452" s="11" t="str">
        <x:v>CNY</x:v>
      </x:c>
      <x:c r="F2452" s="11" t="n">
        <x:v>4</x:v>
      </x:c>
      <x:c r="G2452" s="26" t="b">
        <x:v>1</x:v>
      </x:c>
      <x:c r="H2452" s="16" t="n">
        <x:v>0</x:v>
      </x:c>
      <x:c r="I2452" s="16" t="n">
        <x:v>0</x:v>
      </x:c>
      <x:c r="J2452" s="16" t="n">
        <x:v>0.4666666666666666</x:v>
      </x:c>
      <x:c r="K2452" s="11" t="n">
        <x:f>CHOOSE('假设'!$B$3,H2452,I2452,J2452)</x:f>
        <x:v>0</x:v>
      </x:c>
      <x:c r="L2452" s="11" t="n">
        <x:f>K2452*'管线假设'!E539*'管线假设'!F539*'管线假设'!G539*IF(E2452="USD",'管线假设'!I539,1)-AM2452</x:f>
        <x:v>0</x:v>
      </x:c>
      <x:c r="M2452" s="11" t="n">
        <x:f>'管线假设'!H539</x:f>
        <x:v>0.135</x:v>
      </x:c>
      <x:c r="N2452" s="11" t="n">
        <x:f>IF(G2452,L2452*AN2452/(1+M2452)^F2452,0)</x:f>
        <x:v>0</x:v>
      </x:c>
      <x:c r="AJ2452" t="n">
        <x:v>0</x:v>
      </x:c>
      <x:c r="AK2452" t="n">
        <x:v>0</x:v>
      </x:c>
      <x:c r="AL2452" t="n">
        <x:v>0</x:v>
      </x:c>
      <x:c r="AM2452" t="n">
        <x:f>CHOOSE('假设'!$B$3,AJ2452,AK2452,AL2452)</x:f>
        <x:v>0</x:v>
      </x:c>
      <x:c r="AN2452" t="n">
        <x:v>1</x:v>
      </x:c>
    </x:row>
    <x:row r="2453" ht="23" customHeight="1">
      <x:c r="A2453" s="11" t="str">
        <x:v>688382.SH</x:v>
      </x:c>
      <x:c r="B2453" s="11" t="str">
        <x:v>2026年底</x:v>
      </x:c>
      <x:c r="C2453" s="11" t="str">
        <x:v>tyk_psa_cn</x:v>
      </x:c>
      <x:c r="D2453" s="11" t="str">
        <x:v>2031-12-31</x:v>
      </x:c>
      <x:c r="E2453" s="11" t="str">
        <x:v>CNY</x:v>
      </x:c>
      <x:c r="F2453" s="11" t="n">
        <x:v>4.999315537303217</x:v>
      </x:c>
      <x:c r="G2453" s="26" t="b">
        <x:v>1</x:v>
      </x:c>
      <x:c r="H2453" s="16" t="n">
        <x:v>0</x:v>
      </x:c>
      <x:c r="I2453" s="16" t="n">
        <x:v>0.13333333333333333</x:v>
      </x:c>
      <x:c r="J2453" s="16" t="n">
        <x:v>0.7</x:v>
      </x:c>
      <x:c r="K2453" s="11" t="n">
        <x:f>CHOOSE('假设'!$B$3,H2453,I2453,J2453)</x:f>
        <x:v>0.13333333333333333</x:v>
      </x:c>
      <x:c r="L2453" s="11" t="n">
        <x:f>K2453*'管线假设'!E539*'管线假设'!F539*'管线假设'!G539*IF(E2453="USD",'管线假设'!I539,1)-AM2453</x:f>
        <x:v>0.011200000000000003</x:v>
      </x:c>
      <x:c r="M2453" s="11" t="n">
        <x:f>'管线假设'!H539</x:f>
        <x:v>0.135</x:v>
      </x:c>
      <x:c r="N2453" s="11" t="n">
        <x:f>IF(G2453,L2453*AN2453/(1+M2453)^F2453,0)</x:f>
        <x:v>0.005946704490418901</x:v>
      </x:c>
      <x:c r="AJ2453" t="n">
        <x:v>0</x:v>
      </x:c>
      <x:c r="AK2453" t="n">
        <x:v>0</x:v>
      </x:c>
      <x:c r="AL2453" t="n">
        <x:v>0</x:v>
      </x:c>
      <x:c r="AM2453" t="n">
        <x:f>CHOOSE('假设'!$B$3,AJ2453,AK2453,AL2453)</x:f>
        <x:v>0</x:v>
      </x:c>
      <x:c r="AN2453" t="n">
        <x:v>1</x:v>
      </x:c>
    </x:row>
    <x:row r="2454" ht="23" customHeight="1">
      <x:c r="A2454" s="11" t="str">
        <x:v>688382.SH</x:v>
      </x:c>
      <x:c r="B2454" s="11" t="str">
        <x:v>2026年底</x:v>
      </x:c>
      <x:c r="C2454" s="11" t="str">
        <x:v>tyk_psa_cn</x:v>
      </x:c>
      <x:c r="D2454" s="11" t="str">
        <x:v>2032-12-31</x:v>
      </x:c>
      <x:c r="E2454" s="11" t="str">
        <x:v>CNY</x:v>
      </x:c>
      <x:c r="F2454" s="11" t="n">
        <x:v>6.0013689253935665</x:v>
      </x:c>
      <x:c r="G2454" s="26" t="b">
        <x:v>1</x:v>
      </x:c>
      <x:c r="H2454" s="16" t="n">
        <x:v>0</x:v>
      </x:c>
      <x:c r="I2454" s="16" t="n">
        <x:v>0.26666666666666666</x:v>
      </x:c>
      <x:c r="J2454" s="16" t="n">
        <x:v>0.9333333333333332</x:v>
      </x:c>
      <x:c r="K2454" s="11" t="n">
        <x:f>CHOOSE('假设'!$B$3,H2454,I2454,J2454)</x:f>
        <x:v>0.26666666666666666</x:v>
      </x:c>
      <x:c r="L2454" s="11" t="n">
        <x:f>K2454*'管线假设'!E539*'管线假设'!F539*'管线假设'!G539*IF(E2454="USD",'管线假设'!I539,1)-AM2454</x:f>
        <x:v>0.022400000000000007</x:v>
      </x:c>
      <x:c r="M2454" s="11" t="n">
        <x:f>'管线假设'!H539</x:f>
        <x:v>0.135</x:v>
      </x:c>
      <x:c r="N2454" s="11" t="n">
        <x:f>IF(G2454,L2454*AN2454/(1+M2454)^F2454,0)</x:f>
        <x:v>0.010476050033116411</x:v>
      </x:c>
      <x:c r="AJ2454" t="n">
        <x:v>0</x:v>
      </x:c>
      <x:c r="AK2454" t="n">
        <x:v>0</x:v>
      </x:c>
      <x:c r="AL2454" t="n">
        <x:v>0</x:v>
      </x:c>
      <x:c r="AM2454" t="n">
        <x:f>CHOOSE('假设'!$B$3,AJ2454,AK2454,AL2454)</x:f>
        <x:v>0</x:v>
      </x:c>
      <x:c r="AN2454" t="n">
        <x:v>1</x:v>
      </x:c>
    </x:row>
    <x:row r="2455" ht="23" customHeight="1">
      <x:c r="A2455" s="11" t="str">
        <x:v>688382.SH</x:v>
      </x:c>
      <x:c r="B2455" s="11" t="str">
        <x:v>2026年底</x:v>
      </x:c>
      <x:c r="C2455" s="11" t="str">
        <x:v>tyk_psa_cn</x:v>
      </x:c>
      <x:c r="D2455" s="11" t="str">
        <x:v>2033-12-31</x:v>
      </x:c>
      <x:c r="E2455" s="11" t="str">
        <x:v>CNY</x:v>
      </x:c>
      <x:c r="F2455" s="11" t="n">
        <x:v>7.000684462696783</x:v>
      </x:c>
      <x:c r="G2455" s="26" t="b">
        <x:v>1</x:v>
      </x:c>
      <x:c r="H2455" s="16" t="n">
        <x:v>0</x:v>
      </x:c>
      <x:c r="I2455" s="16" t="n">
        <x:v>0.4</x:v>
      </x:c>
      <x:c r="J2455" s="16" t="n">
        <x:v>1.1666666666666667</x:v>
      </x:c>
      <x:c r="K2455" s="11" t="n">
        <x:f>CHOOSE('假设'!$B$3,H2455,I2455,J2455)</x:f>
        <x:v>0.4</x:v>
      </x:c>
      <x:c r="L2455" s="11" t="n">
        <x:f>K2455*'管线假设'!E539*'管线假设'!F539*'管线假设'!G539*IF(E2455="USD",'管线假设'!I539,1)-AM2455</x:f>
        <x:v>0.03360000000000001</x:v>
      </x:c>
      <x:c r="M2455" s="11" t="n">
        <x:f>'管线假设'!H539</x:f>
        <x:v>0.135</x:v>
      </x:c>
      <x:c r="N2455" s="11" t="n">
        <x:f>IF(G2455,L2455*AN2455/(1+M2455)^F2455,0)</x:f>
        <x:v>0.013846200115662666</x:v>
      </x:c>
      <x:c r="AJ2455" t="n">
        <x:v>0</x:v>
      </x:c>
      <x:c r="AK2455" t="n">
        <x:v>0</x:v>
      </x:c>
      <x:c r="AL2455" t="n">
        <x:v>0</x:v>
      </x:c>
      <x:c r="AM2455" t="n">
        <x:f>CHOOSE('假设'!$B$3,AJ2455,AK2455,AL2455)</x:f>
        <x:v>0</x:v>
      </x:c>
      <x:c r="AN2455" t="n">
        <x:v>1</x:v>
      </x:c>
    </x:row>
    <x:row r="2456" ht="23" customHeight="1">
      <x:c r="A2456" s="11" t="str">
        <x:v>688382.SH</x:v>
      </x:c>
      <x:c r="B2456" s="11" t="str">
        <x:v>2026年底</x:v>
      </x:c>
      <x:c r="C2456" s="11" t="str">
        <x:v>tyk_psa_cn</x:v>
      </x:c>
      <x:c r="D2456" s="11" t="str">
        <x:v>2034-12-31</x:v>
      </x:c>
      <x:c r="E2456" s="11" t="str">
        <x:v>CNY</x:v>
      </x:c>
      <x:c r="F2456" s="11" t="n">
        <x:v>8</x:v>
      </x:c>
      <x:c r="G2456" s="26" t="b">
        <x:v>1</x:v>
      </x:c>
      <x:c r="H2456" s="16" t="n">
        <x:v>0.06</x:v>
      </x:c>
      <x:c r="I2456" s="16" t="n">
        <x:v>0.5333333333333333</x:v>
      </x:c>
      <x:c r="J2456" s="16" t="n">
        <x:v>1.4</x:v>
      </x:c>
      <x:c r="K2456" s="11" t="n">
        <x:f>CHOOSE('假设'!$B$3,H2456,I2456,J2456)</x:f>
        <x:v>0.5333333333333333</x:v>
      </x:c>
      <x:c r="L2456" s="11" t="n">
        <x:f>K2456*'管线假设'!E539*'管线假设'!F539*'管线假设'!G539*IF(E2456="USD",'管线假设'!I539,1)-AM2456</x:f>
        <x:v>0.04480000000000001</x:v>
      </x:c>
      <x:c r="M2456" s="11" t="n">
        <x:f>'管线假设'!H539</x:f>
        <x:v>0.135</x:v>
      </x:c>
      <x:c r="N2456" s="11" t="n">
        <x:f>IF(G2456,L2456*AN2456/(1+M2456)^F2456,0)</x:f>
        <x:v>0.016267136906408547</x:v>
      </x:c>
      <x:c r="AJ2456" t="n">
        <x:v>0</x:v>
      </x:c>
      <x:c r="AK2456" t="n">
        <x:v>0</x:v>
      </x:c>
      <x:c r="AL2456" t="n">
        <x:v>0</x:v>
      </x:c>
      <x:c r="AM2456" t="n">
        <x:f>CHOOSE('假设'!$B$3,AJ2456,AK2456,AL2456)</x:f>
        <x:v>0</x:v>
      </x:c>
      <x:c r="AN2456" t="n">
        <x:v>1</x:v>
      </x:c>
    </x:row>
    <x:row r="2457" ht="23" customHeight="1">
      <x:c r="A2457" s="11" t="str">
        <x:v>688382.SH</x:v>
      </x:c>
      <x:c r="B2457" s="11" t="str">
        <x:v>2026年底</x:v>
      </x:c>
      <x:c r="C2457" s="11" t="str">
        <x:v>tyk_psa_cn</x:v>
      </x:c>
      <x:c r="D2457" s="11" t="str">
        <x:v>2035-12-31</x:v>
      </x:c>
      <x:c r="E2457" s="11" t="str">
        <x:v>CNY</x:v>
      </x:c>
      <x:c r="F2457" s="11" t="n">
        <x:v>8.999315537303216</x:v>
      </x:c>
      <x:c r="G2457" s="26" t="b">
        <x:v>1</x:v>
      </x:c>
      <x:c r="H2457" s="16" t="n">
        <x:v>0.12</x:v>
      </x:c>
      <x:c r="I2457" s="16" t="n">
        <x:v>0.6666666666666667</x:v>
      </x:c>
      <x:c r="J2457" s="16" t="n">
        <x:v>1.218</x:v>
      </x:c>
      <x:c r="K2457" s="11" t="n">
        <x:f>CHOOSE('假设'!$B$3,H2457,I2457,J2457)</x:f>
        <x:v>0.6666666666666667</x:v>
      </x:c>
      <x:c r="L2457" s="11" t="n">
        <x:f>K2457*'管线假设'!E539*'管线假设'!F539*'管线假设'!G539*IF(E2457="USD",'管线假设'!I539,1)-AM2457</x:f>
        <x:v>0.056000000000000015</x:v>
      </x:c>
      <x:c r="M2457" s="11" t="n">
        <x:f>'管线假设'!H539</x:f>
        <x:v>0.135</x:v>
      </x:c>
      <x:c r="N2457" s="11" t="n">
        <x:f>IF(G2457,L2457*AN2457/(1+M2457)^F2457,0)</x:f>
        <x:v>0.017916901901877953</x:v>
      </x:c>
      <x:c r="AJ2457" t="n">
        <x:v>0</x:v>
      </x:c>
      <x:c r="AK2457" t="n">
        <x:v>0</x:v>
      </x:c>
      <x:c r="AL2457" t="n">
        <x:v>0</x:v>
      </x:c>
      <x:c r="AM2457" t="n">
        <x:f>CHOOSE('假设'!$B$3,AJ2457,AK2457,AL2457)</x:f>
        <x:v>0</x:v>
      </x:c>
      <x:c r="AN2457" t="n">
        <x:v>1</x:v>
      </x:c>
    </x:row>
    <x:row r="2458" ht="23" customHeight="1">
      <x:c r="A2458" s="11" t="str">
        <x:v>688382.SH</x:v>
      </x:c>
      <x:c r="B2458" s="11" t="str">
        <x:v>2026年底</x:v>
      </x:c>
      <x:c r="C2458" s="11" t="str">
        <x:v>tyk_psa_cn</x:v>
      </x:c>
      <x:c r="D2458" s="11" t="str">
        <x:v>2036-12-31</x:v>
      </x:c>
      <x:c r="E2458" s="11" t="str">
        <x:v>CNY</x:v>
      </x:c>
      <x:c r="F2458" s="11" t="n">
        <x:v>10.001368925393566</x:v>
      </x:c>
      <x:c r="G2458" s="26" t="b">
        <x:v>1</x:v>
      </x:c>
      <x:c r="H2458" s="16" t="n">
        <x:v>0.18</x:v>
      </x:c>
      <x:c r="I2458" s="16" t="n">
        <x:v>0.8</x:v>
      </x:c>
      <x:c r="J2458" s="16" t="n">
        <x:v>1.036</x:v>
      </x:c>
      <x:c r="K2458" s="11" t="n">
        <x:f>CHOOSE('假设'!$B$3,H2458,I2458,J2458)</x:f>
        <x:v>0.8</x:v>
      </x:c>
      <x:c r="L2458" s="11" t="n">
        <x:f>K2458*'管线假设'!E539*'管线假设'!F539*'管线假设'!G539*IF(E2458="USD",'管线假设'!I539,1)-AM2458</x:f>
        <x:v>0.06720000000000002</x:v>
      </x:c>
      <x:c r="M2458" s="11" t="n">
        <x:f>'管线假设'!H539</x:f>
        <x:v>0.135</x:v>
      </x:c>
      <x:c r="N2458" s="11" t="n">
        <x:f>IF(G2458,L2458*AN2458/(1+M2458)^F2458,0)</x:f>
        <x:v>0.018938054957826574</x:v>
      </x:c>
      <x:c r="AJ2458" t="n">
        <x:v>0</x:v>
      </x:c>
      <x:c r="AK2458" t="n">
        <x:v>0</x:v>
      </x:c>
      <x:c r="AL2458" t="n">
        <x:v>0</x:v>
      </x:c>
      <x:c r="AM2458" t="n">
        <x:f>CHOOSE('假设'!$B$3,AJ2458,AK2458,AL2458)</x:f>
        <x:v>0</x:v>
      </x:c>
      <x:c r="AN2458" t="n">
        <x:v>1</x:v>
      </x:c>
    </x:row>
    <x:row r="2459" ht="23" customHeight="1">
      <x:c r="A2459" s="11" t="str">
        <x:v>688382.SH</x:v>
      </x:c>
      <x:c r="B2459" s="11" t="str">
        <x:v>2026年底</x:v>
      </x:c>
      <x:c r="C2459" s="11" t="str">
        <x:v>tyk_psa_cn</x:v>
      </x:c>
      <x:c r="D2459" s="11" t="str">
        <x:v>2037-12-31</x:v>
      </x:c>
      <x:c r="E2459" s="11" t="str">
        <x:v>CNY</x:v>
      </x:c>
      <x:c r="F2459" s="11" t="n">
        <x:v>11.000684462696784</x:v>
      </x:c>
      <x:c r="G2459" s="26" t="b">
        <x:v>1</x:v>
      </x:c>
      <x:c r="H2459" s="16" t="n">
        <x:v>0.24</x:v>
      </x:c>
      <x:c r="I2459" s="16" t="n">
        <x:v>0.6960000000000001</x:v>
      </x:c>
      <x:c r="J2459" s="16" t="n">
        <x:v>0.854</x:v>
      </x:c>
      <x:c r="K2459" s="11" t="n">
        <x:f>CHOOSE('假设'!$B$3,H2459,I2459,J2459)</x:f>
        <x:v>0.6960000000000001</x:v>
      </x:c>
      <x:c r="L2459" s="11" t="n">
        <x:f>K2459*'管线假设'!E539*'管线假设'!F539*'管线假设'!G539*IF(E2459="USD",'管线假设'!I539,1)-AM2459</x:f>
        <x:v>0.058464000000000016</x:v>
      </x:c>
      <x:c r="M2459" s="11" t="n">
        <x:f>'管线假设'!H539</x:f>
        <x:v>0.135</x:v>
      </x:c>
      <x:c r="N2459" s="11" t="n">
        <x:f>IF(G2459,L2459*AN2459/(1+M2459)^F2459,0)</x:f>
        <x:v>0.014517652816927013</x:v>
      </x:c>
      <x:c r="AJ2459" t="n">
        <x:v>0</x:v>
      </x:c>
      <x:c r="AK2459" t="n">
        <x:v>0</x:v>
      </x:c>
      <x:c r="AL2459" t="n">
        <x:v>0</x:v>
      </x:c>
      <x:c r="AM2459" t="n">
        <x:f>CHOOSE('假设'!$B$3,AJ2459,AK2459,AL2459)</x:f>
        <x:v>0</x:v>
      </x:c>
      <x:c r="AN2459" t="n">
        <x:v>1</x:v>
      </x:c>
    </x:row>
    <x:row r="2460" ht="23" customHeight="1">
      <x:c r="A2460" s="11" t="str">
        <x:v>688382.SH</x:v>
      </x:c>
      <x:c r="B2460" s="11" t="str">
        <x:v>2026年底</x:v>
      </x:c>
      <x:c r="C2460" s="11" t="str">
        <x:v>tyk_psa_cn</x:v>
      </x:c>
      <x:c r="D2460" s="11" t="str">
        <x:v>2038-12-31</x:v>
      </x:c>
      <x:c r="E2460" s="11" t="str">
        <x:v>CNY</x:v>
      </x:c>
      <x:c r="F2460" s="11" t="n">
        <x:v>12</x:v>
      </x:c>
      <x:c r="G2460" s="26" t="b">
        <x:v>1</x:v>
      </x:c>
      <x:c r="H2460" s="16" t="n">
        <x:v>0.3</x:v>
      </x:c>
      <x:c r="I2460" s="16" t="n">
        <x:v>0.592</x:v>
      </x:c>
      <x:c r="J2460" s="16" t="n">
        <x:v>0.6719999999999999</x:v>
      </x:c>
      <x:c r="K2460" s="11" t="n">
        <x:f>CHOOSE('假设'!$B$3,H2460,I2460,J2460)</x:f>
        <x:v>0.592</x:v>
      </x:c>
      <x:c r="L2460" s="11" t="n">
        <x:f>K2460*'管线假设'!E539*'管线假设'!F539*'管线假设'!G539*IF(E2460="USD",'管线假设'!I539,1)-AM2460</x:f>
        <x:v>0.04972800000000001</x:v>
      </x:c>
      <x:c r="M2460" s="11" t="n">
        <x:f>'管线假设'!H539</x:f>
        <x:v>0.135</x:v>
      </x:c>
      <x:c r="N2460" s="11" t="n">
        <x:f>IF(G2460,L2460*AN2460/(1+M2460)^F2460,0)</x:f>
        <x:v>0.010880545124688728</x:v>
      </x:c>
      <x:c r="AJ2460" t="n">
        <x:v>0</x:v>
      </x:c>
      <x:c r="AK2460" t="n">
        <x:v>0</x:v>
      </x:c>
      <x:c r="AL2460" t="n">
        <x:v>0</x:v>
      </x:c>
      <x:c r="AM2460" t="n">
        <x:f>CHOOSE('假设'!$B$3,AJ2460,AK2460,AL2460)</x:f>
        <x:v>0</x:v>
      </x:c>
      <x:c r="AN2460" t="n">
        <x:v>1</x:v>
      </x:c>
    </x:row>
    <x:row r="2461" ht="23" customHeight="1">
      <x:c r="A2461" s="11" t="str">
        <x:v>688382.SH</x:v>
      </x:c>
      <x:c r="B2461" s="11" t="str">
        <x:v>2026年底</x:v>
      </x:c>
      <x:c r="C2461" s="11" t="str">
        <x:v>tyk_psa_cn</x:v>
      </x:c>
      <x:c r="D2461" s="11" t="str">
        <x:v>2039-12-31</x:v>
      </x:c>
      <x:c r="E2461" s="11" t="str">
        <x:v>CNY</x:v>
      </x:c>
      <x:c r="F2461" s="11" t="n">
        <x:v>12.999315537303216</x:v>
      </x:c>
      <x:c r="G2461" s="26" t="b">
        <x:v>1</x:v>
      </x:c>
      <x:c r="H2461" s="16" t="n">
        <x:v>0.261</x:v>
      </x:c>
      <x:c r="I2461" s="16" t="n">
        <x:v>0.488</x:v>
      </x:c>
      <x:c r="J2461" s="16" t="n">
        <x:v>0.48999999999999994</x:v>
      </x:c>
      <x:c r="K2461" s="11" t="n">
        <x:f>CHOOSE('假设'!$B$3,H2461,I2461,J2461)</x:f>
        <x:v>0.488</x:v>
      </x:c>
      <x:c r="L2461" s="11" t="n">
        <x:f>K2461*'管线假设'!E539*'管线假设'!F539*'管线假设'!G539*IF(E2461="USD",'管线假设'!I539,1)-AM2461</x:f>
        <x:v>0.040992000000000015</x:v>
      </x:c>
      <x:c r="M2461" s="11" t="n">
        <x:f>'管线假设'!H539</x:f>
        <x:v>0.135</x:v>
      </x:c>
      <x:c r="N2461" s="11" t="n">
        <x:f>IF(G2461,L2461*AN2461/(1+M2461)^F2461,0)</x:f>
        <x:v>0.007902973957156502</x:v>
      </x:c>
      <x:c r="AJ2461" t="n">
        <x:v>0</x:v>
      </x:c>
      <x:c r="AK2461" t="n">
        <x:v>0</x:v>
      </x:c>
      <x:c r="AL2461" t="n">
        <x:v>0</x:v>
      </x:c>
      <x:c r="AM2461" t="n">
        <x:f>CHOOSE('假设'!$B$3,AJ2461,AK2461,AL2461)</x:f>
        <x:v>0</x:v>
      </x:c>
      <x:c r="AN2461" t="n">
        <x:v>1</x:v>
      </x:c>
    </x:row>
    <x:row r="2462" ht="23" customHeight="1">
      <x:c r="A2462" s="11" t="str">
        <x:v>688382.SH</x:v>
      </x:c>
      <x:c r="B2462" s="11" t="str">
        <x:v>2026年底</x:v>
      </x:c>
      <x:c r="C2462" s="11" t="str">
        <x:v>tyk_psa_cn</x:v>
      </x:c>
      <x:c r="D2462" s="11" t="str">
        <x:v>2040-12-31</x:v>
      </x:c>
      <x:c r="E2462" s="11" t="str">
        <x:v>CNY</x:v>
      </x:c>
      <x:c r="F2462" s="11" t="n">
        <x:v>14.001368925393566</x:v>
      </x:c>
      <x:c r="G2462" s="26" t="b">
        <x:v>1</x:v>
      </x:c>
      <x:c r="H2462" s="16" t="n">
        <x:v>0.222</x:v>
      </x:c>
      <x:c r="I2462" s="16" t="n">
        <x:v>0.384</x:v>
      </x:c>
      <x:c r="J2462" s="16" t="n">
        <x:v>0.30799999999999994</x:v>
      </x:c>
      <x:c r="K2462" s="11" t="n">
        <x:f>CHOOSE('假设'!$B$3,H2462,I2462,J2462)</x:f>
        <x:v>0.384</x:v>
      </x:c>
      <x:c r="L2462" s="11" t="n">
        <x:f>K2462*'管线假设'!E539*'管线假设'!F539*'管线假设'!G539*IF(E2462="USD",'管线假设'!I539,1)-AM2462</x:f>
        <x:v>0.03225600000000001</x:v>
      </x:c>
      <x:c r="M2462" s="11" t="n">
        <x:f>'管线假设'!H539</x:f>
        <x:v>0.135</x:v>
      </x:c>
      <x:c r="N2462" s="11" t="n">
        <x:f>IF(G2462,L2462*AN2462/(1+M2462)^F2462,0)</x:f>
        <x:v>0.005477635932656478</x:v>
      </x:c>
      <x:c r="AJ2462" t="n">
        <x:v>0</x:v>
      </x:c>
      <x:c r="AK2462" t="n">
        <x:v>0</x:v>
      </x:c>
      <x:c r="AL2462" t="n">
        <x:v>0</x:v>
      </x:c>
      <x:c r="AM2462" t="n">
        <x:f>CHOOSE('假设'!$B$3,AJ2462,AK2462,AL2462)</x:f>
        <x:v>0</x:v>
      </x:c>
      <x:c r="AN2462" t="n">
        <x:v>1</x:v>
      </x:c>
    </x:row>
    <x:row r="2463" ht="23" customHeight="1">
      <x:c r="A2463" s="11" t="str">
        <x:v>688382.SH</x:v>
      </x:c>
      <x:c r="B2463" s="11" t="str">
        <x:v>2026年底</x:v>
      </x:c>
      <x:c r="C2463" s="11" t="str">
        <x:v>tyk_psa_cn</x:v>
      </x:c>
      <x:c r="D2463" s="11" t="str">
        <x:v>2041-12-31</x:v>
      </x:c>
      <x:c r="E2463" s="11" t="str">
        <x:v>CNY</x:v>
      </x:c>
      <x:c r="F2463" s="11" t="n">
        <x:v>15.000684462696784</x:v>
      </x:c>
      <x:c r="G2463" s="26" t="b">
        <x:v>1</x:v>
      </x:c>
      <x:c r="H2463" s="16" t="n">
        <x:v>0.183</x:v>
      </x:c>
      <x:c r="I2463" s="16" t="n">
        <x:v>0.27999999999999997</x:v>
      </x:c>
      <x:c r="J2463" s="16" t="n">
        <x:v>0.12599999999999995</x:v>
      </x:c>
      <x:c r="K2463" s="11" t="n">
        <x:f>CHOOSE('假设'!$B$3,H2463,I2463,J2463)</x:f>
        <x:v>0.27999999999999997</x:v>
      </x:c>
      <x:c r="L2463" s="11" t="n">
        <x:f>K2463*'管线假设'!E539*'管线假设'!F539*'管线假设'!G539*IF(E2463="USD",'管线假设'!I539,1)-AM2463</x:f>
        <x:v>0.023520000000000003</x:v>
      </x:c>
      <x:c r="M2463" s="11" t="n">
        <x:f>'管线假设'!H539</x:f>
        <x:v>0.135</x:v>
      </x:c>
      <x:c r="N2463" s="11" t="n">
        <x:f>IF(G2463,L2463*AN2463/(1+M2463)^F2463,0)</x:f>
        <x:v>0.0035193442642970983</x:v>
      </x:c>
      <x:c r="AJ2463" t="n">
        <x:v>0</x:v>
      </x:c>
      <x:c r="AK2463" t="n">
        <x:v>0</x:v>
      </x:c>
      <x:c r="AL2463" t="n">
        <x:v>0</x:v>
      </x:c>
      <x:c r="AM2463" t="n">
        <x:f>CHOOSE('假设'!$B$3,AJ2463,AK2463,AL2463)</x:f>
        <x:v>0</x:v>
      </x:c>
      <x:c r="AN2463" t="n">
        <x:v>1</x:v>
      </x:c>
    </x:row>
    <x:row r="2464" ht="23" customHeight="1">
      <x:c r="A2464" s="11" t="str">
        <x:v>688382.SH</x:v>
      </x:c>
      <x:c r="B2464" s="11" t="str">
        <x:v>2026年底</x:v>
      </x:c>
      <x:c r="C2464" s="11" t="str">
        <x:v>tyk_psa_cn</x:v>
      </x:c>
      <x:c r="D2464" s="11" t="str">
        <x:v>2042-12-31</x:v>
      </x:c>
      <x:c r="E2464" s="11" t="str">
        <x:v>CNY</x:v>
      </x:c>
      <x:c r="F2464" s="11" t="n">
        <x:v>16</x:v>
      </x:c>
      <x:c r="G2464" s="26" t="b">
        <x:v>1</x:v>
      </x:c>
      <x:c r="H2464" s="16" t="n">
        <x:v>0.144</x:v>
      </x:c>
      <x:c r="I2464" s="16" t="n">
        <x:v>0.176</x:v>
      </x:c>
      <x:c r="J2464" s="16" t="n">
        <x:v>0</x:v>
      </x:c>
      <x:c r="K2464" s="11" t="n">
        <x:f>CHOOSE('假设'!$B$3,H2464,I2464,J2464)</x:f>
        <x:v>0.176</x:v>
      </x:c>
      <x:c r="L2464" s="11" t="n">
        <x:f>K2464*'管线假设'!E539*'管线假设'!F539*'管线假设'!G539*IF(E2464="USD",'管线假设'!I539,1)-AM2464</x:f>
        <x:v>0.014784000000000004</x:v>
      </x:c>
      <x:c r="M2464" s="11" t="n">
        <x:f>'管线假设'!H539</x:f>
        <x:v>0.135</x:v>
      </x:c>
      <x:c r="N2464" s="11" t="n">
        <x:f>IF(G2464,L2464*AN2464/(1+M2464)^F2464,0)</x:f>
        <x:v>0.0019492079293193497</x:v>
      </x:c>
      <x:c r="AJ2464" t="n">
        <x:v>0</x:v>
      </x:c>
      <x:c r="AK2464" t="n">
        <x:v>0</x:v>
      </x:c>
      <x:c r="AL2464" t="n">
        <x:v>0</x:v>
      </x:c>
      <x:c r="AM2464" t="n">
        <x:f>CHOOSE('假设'!$B$3,AJ2464,AK2464,AL2464)</x:f>
        <x:v>0</x:v>
      </x:c>
      <x:c r="AN2464" t="n">
        <x:v>1</x:v>
      </x:c>
    </x:row>
    <x:row r="2465" ht="23" customHeight="1">
      <x:c r="A2465" s="11" t="str">
        <x:v>688382.SH</x:v>
      </x:c>
      <x:c r="B2465" s="11" t="str">
        <x:v>2026年底</x:v>
      </x:c>
      <x:c r="C2465" s="11" t="str">
        <x:v>tyk_psa_cn</x:v>
      </x:c>
      <x:c r="D2465" s="11" t="str">
        <x:v>2043-12-31</x:v>
      </x:c>
      <x:c r="E2465" s="11" t="str">
        <x:v>CNY</x:v>
      </x:c>
      <x:c r="F2465" s="11" t="n">
        <x:v>16.999315537303218</x:v>
      </x:c>
      <x:c r="G2465" s="26" t="b">
        <x:v>1</x:v>
      </x:c>
      <x:c r="H2465" s="16" t="n">
        <x:v>0.105</x:v>
      </x:c>
      <x:c r="I2465" s="16" t="n">
        <x:v>0.07199999999999998</x:v>
      </x:c>
      <x:c r="J2465" s="16" t="n">
        <x:v>0</x:v>
      </x:c>
      <x:c r="K2465" s="11" t="n">
        <x:f>CHOOSE('假设'!$B$3,H2465,I2465,J2465)</x:f>
        <x:v>0.07199999999999998</x:v>
      </x:c>
      <x:c r="L2465" s="11" t="n">
        <x:f>K2465*'管线假设'!E539*'管线假设'!F539*'管线假设'!G539*IF(E2465="USD",'管线假设'!I539,1)-AM2465</x:f>
        <x:v>0.0060479999999999996</x:v>
      </x:c>
      <x:c r="M2465" s="11" t="n">
        <x:f>'管线假设'!H539</x:f>
        <x:v>0.135</x:v>
      </x:c>
      <x:c r="N2465" s="11" t="n">
        <x:f>IF(G2465,L2465*AN2465/(1+M2465)^F2465,0)</x:f>
        <x:v>0.0007026188211398735</x:v>
      </x:c>
      <x:c r="AJ2465" t="n">
        <x:v>0</x:v>
      </x:c>
      <x:c r="AK2465" t="n">
        <x:v>0</x:v>
      </x:c>
      <x:c r="AL2465" t="n">
        <x:v>0</x:v>
      </x:c>
      <x:c r="AM2465" t="n">
        <x:f>CHOOSE('假设'!$B$3,AJ2465,AK2465,AL2465)</x:f>
        <x:v>0</x:v>
      </x:c>
      <x:c r="AN2465" t="n">
        <x:v>1</x:v>
      </x:c>
    </x:row>
    <x:row r="2466" ht="23" customHeight="1">
      <x:c r="A2466" s="11" t="str">
        <x:v>688382.SH</x:v>
      </x:c>
      <x:c r="B2466" s="11" t="str">
        <x:v>2026年底</x:v>
      </x:c>
      <x:c r="C2466" s="11" t="str">
        <x:v>tyk_psa_cn</x:v>
      </x:c>
      <x:c r="D2466" s="11" t="str">
        <x:v>2044-12-31</x:v>
      </x:c>
      <x:c r="E2466" s="11" t="str">
        <x:v>CNY</x:v>
      </x:c>
      <x:c r="F2466" s="11" t="n">
        <x:v>18.001368925393567</x:v>
      </x:c>
      <x:c r="G2466" s="26" t="b">
        <x:v>1</x:v>
      </x:c>
      <x:c r="H2466" s="16" t="n">
        <x:v>0.06599999999999999</x:v>
      </x:c>
      <x:c r="I2466" s="16" t="n">
        <x:v>0</x:v>
      </x:c>
      <x:c r="J2466" s="16" t="n">
        <x:v>0</x:v>
      </x:c>
      <x:c r="K2466" s="11" t="n">
        <x:f>CHOOSE('假设'!$B$3,H2466,I2466,J2466)</x:f>
        <x:v>0</x:v>
      </x:c>
      <x:c r="L2466" s="11" t="n">
        <x:f>K2466*'管线假设'!E539*'管线假设'!F539*'管线假设'!G539*IF(E2466="USD",'管线假设'!I539,1)-AM2466</x:f>
        <x:v>0</x:v>
      </x:c>
      <x:c r="M2466" s="11" t="n">
        <x:f>'管线假设'!H539</x:f>
        <x:v>0.135</x:v>
      </x:c>
      <x:c r="N2466" s="11" t="n">
        <x:f>IF(G2466,L2466*AN2466/(1+M2466)^F2466,0)</x:f>
        <x:v>0</x:v>
      </x:c>
      <x:c r="AJ2466" t="n">
        <x:v>0</x:v>
      </x:c>
      <x:c r="AK2466" t="n">
        <x:v>0</x:v>
      </x:c>
      <x:c r="AL2466" t="n">
        <x:v>0</x:v>
      </x:c>
      <x:c r="AM2466" t="n">
        <x:f>CHOOSE('假设'!$B$3,AJ2466,AK2466,AL2466)</x:f>
        <x:v>0</x:v>
      </x:c>
      <x:c r="AN2466" t="n">
        <x:v>1</x:v>
      </x:c>
    </x:row>
    <x:row r="2467" ht="23" customHeight="1">
      <x:c r="A2467" s="11" t="str">
        <x:v>688382.SH</x:v>
      </x:c>
      <x:c r="B2467" s="11" t="str">
        <x:v>2026年底</x:v>
      </x:c>
      <x:c r="C2467" s="11" t="str">
        <x:v>tyk_psa_cn</x:v>
      </x:c>
      <x:c r="D2467" s="11" t="str">
        <x:v>2045-12-31</x:v>
      </x:c>
      <x:c r="E2467" s="11" t="str">
        <x:v>CNY</x:v>
      </x:c>
      <x:c r="F2467" s="11" t="n">
        <x:v>19.000684462696782</x:v>
      </x:c>
      <x:c r="G2467" s="26" t="b">
        <x:v>1</x:v>
      </x:c>
      <x:c r="H2467" s="16" t="n">
        <x:v>0.02699999999999999</x:v>
      </x:c>
      <x:c r="I2467" s="16" t="n">
        <x:v>0</x:v>
      </x:c>
      <x:c r="J2467" s="16" t="n">
        <x:v>0</x:v>
      </x:c>
      <x:c r="K2467" s="11" t="n">
        <x:f>CHOOSE('假设'!$B$3,H2467,I2467,J2467)</x:f>
        <x:v>0</x:v>
      </x:c>
      <x:c r="L2467" s="11" t="n">
        <x:f>K2467*'管线假设'!E539*'管线假设'!F539*'管线假设'!G539*IF(E2467="USD",'管线假设'!I539,1)-AM2467</x:f>
        <x:v>0</x:v>
      </x:c>
      <x:c r="M2467" s="11" t="n">
        <x:f>'管线假设'!H539</x:f>
        <x:v>0.135</x:v>
      </x:c>
      <x:c r="N2467" s="11" t="n">
        <x:f>IF(G2467,L2467*AN2467/(1+M2467)^F2467,0)</x:f>
        <x:v>0</x:v>
      </x:c>
      <x:c r="AJ2467" t="n">
        <x:v>0</x:v>
      </x:c>
      <x:c r="AK2467" t="n">
        <x:v>0</x:v>
      </x:c>
      <x:c r="AL2467" t="n">
        <x:v>0</x:v>
      </x:c>
      <x:c r="AM2467" t="n">
        <x:f>CHOOSE('假设'!$B$3,AJ2467,AK2467,AL2467)</x:f>
        <x:v>0</x:v>
      </x:c>
      <x:c r="AN2467" t="n">
        <x:v>1</x:v>
      </x:c>
    </x:row>
    <x:row r="2468" ht="23" customHeight="1">
      <x:c r="A2468" s="11" t="str">
        <x:v>688382.SH</x:v>
      </x:c>
      <x:c r="B2468" s="11" t="str">
        <x:v>2026年底</x:v>
      </x:c>
      <x:c r="C2468" s="11" t="str">
        <x:v>tyk_viti_cn</x:v>
      </x:c>
      <x:c r="D2468" s="11" t="str">
        <x:v>2027-12-31</x:v>
      </x:c>
      <x:c r="E2468" s="11" t="str">
        <x:v>CNY</x:v>
      </x:c>
      <x:c r="F2468" s="11" t="n">
        <x:v>0.999315537303217</x:v>
      </x:c>
      <x:c r="G2468" s="26" t="b">
        <x:v>1</x:v>
      </x:c>
      <x:c r="H2468" s="16" t="n">
        <x:v>0</x:v>
      </x:c>
      <x:c r="I2468" s="16" t="n">
        <x:v>0</x:v>
      </x:c>
      <x:c r="J2468" s="16" t="n">
        <x:v>0</x:v>
      </x:c>
      <x:c r="K2468" s="11" t="n">
        <x:f>CHOOSE('假设'!$B$3,H2468,I2468,J2468)</x:f>
        <x:v>0</x:v>
      </x:c>
      <x:c r="L2468" s="11" t="n">
        <x:f>K2468*'管线假设'!E543*'管线假设'!F543*'管线假设'!G543*IF(E2468="USD",'管线假设'!I543,1)-AM2468</x:f>
        <x:v>0</x:v>
      </x:c>
      <x:c r="M2468" s="11" t="n">
        <x:f>'管线假设'!H543</x:f>
        <x:v>0.135</x:v>
      </x:c>
      <x:c r="N2468" s="11" t="n">
        <x:f>IF(G2468,L2468*AN2468/(1+M2468)^F2468,0)</x:f>
        <x:v>0</x:v>
      </x:c>
      <x:c r="AJ2468" t="n">
        <x:v>0</x:v>
      </x:c>
      <x:c r="AK2468" t="n">
        <x:v>0</x:v>
      </x:c>
      <x:c r="AL2468" t="n">
        <x:v>0</x:v>
      </x:c>
      <x:c r="AM2468" t="n">
        <x:f>CHOOSE('假设'!$B$3,AJ2468,AK2468,AL2468)</x:f>
        <x:v>0</x:v>
      </x:c>
      <x:c r="AN2468" t="n">
        <x:v>1</x:v>
      </x:c>
    </x:row>
    <x:row r="2469" ht="23" customHeight="1">
      <x:c r="A2469" s="11" t="str">
        <x:v>688382.SH</x:v>
      </x:c>
      <x:c r="B2469" s="11" t="str">
        <x:v>2026年底</x:v>
      </x:c>
      <x:c r="C2469" s="11" t="str">
        <x:v>tyk_viti_cn</x:v>
      </x:c>
      <x:c r="D2469" s="11" t="str">
        <x:v>2028-12-31</x:v>
      </x:c>
      <x:c r="E2469" s="11" t="str">
        <x:v>CNY</x:v>
      </x:c>
      <x:c r="F2469" s="11" t="n">
        <x:v>2.001368925393566</x:v>
      </x:c>
      <x:c r="G2469" s="26" t="b">
        <x:v>1</x:v>
      </x:c>
      <x:c r="H2469" s="16" t="n">
        <x:v>0</x:v>
      </x:c>
      <x:c r="I2469" s="16" t="n">
        <x:v>0</x:v>
      </x:c>
      <x:c r="J2469" s="16" t="n">
        <x:v>0</x:v>
      </x:c>
      <x:c r="K2469" s="11" t="n">
        <x:f>CHOOSE('假设'!$B$3,H2469,I2469,J2469)</x:f>
        <x:v>0</x:v>
      </x:c>
      <x:c r="L2469" s="11" t="n">
        <x:f>K2469*'管线假设'!E543*'管线假设'!F543*'管线假设'!G543*IF(E2469="USD",'管线假设'!I543,1)-AM2469</x:f>
        <x:v>0</x:v>
      </x:c>
      <x:c r="M2469" s="11" t="n">
        <x:f>'管线假设'!H543</x:f>
        <x:v>0.135</x:v>
      </x:c>
      <x:c r="N2469" s="11" t="n">
        <x:f>IF(G2469,L2469*AN2469/(1+M2469)^F2469,0)</x:f>
        <x:v>0</x:v>
      </x:c>
      <x:c r="AJ2469" t="n">
        <x:v>0</x:v>
      </x:c>
      <x:c r="AK2469" t="n">
        <x:v>0</x:v>
      </x:c>
      <x:c r="AL2469" t="n">
        <x:v>0</x:v>
      </x:c>
      <x:c r="AM2469" t="n">
        <x:f>CHOOSE('假设'!$B$3,AJ2469,AK2469,AL2469)</x:f>
        <x:v>0</x:v>
      </x:c>
      <x:c r="AN2469" t="n">
        <x:v>1</x:v>
      </x:c>
    </x:row>
    <x:row r="2470" ht="23" customHeight="1">
      <x:c r="A2470" s="11" t="str">
        <x:v>688382.SH</x:v>
      </x:c>
      <x:c r="B2470" s="11" t="str">
        <x:v>2026年底</x:v>
      </x:c>
      <x:c r="C2470" s="11" t="str">
        <x:v>tyk_viti_cn</x:v>
      </x:c>
      <x:c r="D2470" s="11" t="str">
        <x:v>2029-12-31</x:v>
      </x:c>
      <x:c r="E2470" s="11" t="str">
        <x:v>CNY</x:v>
      </x:c>
      <x:c r="F2470" s="11" t="n">
        <x:v>3.0006844626967832</x:v>
      </x:c>
      <x:c r="G2470" s="26" t="b">
        <x:v>1</x:v>
      </x:c>
      <x:c r="H2470" s="16" t="n">
        <x:v>0</x:v>
      </x:c>
      <x:c r="I2470" s="16" t="n">
        <x:v>0</x:v>
      </x:c>
      <x:c r="J2470" s="16" t="n">
        <x:v>0</x:v>
      </x:c>
      <x:c r="K2470" s="11" t="n">
        <x:f>CHOOSE('假设'!$B$3,H2470,I2470,J2470)</x:f>
        <x:v>0</x:v>
      </x:c>
      <x:c r="L2470" s="11" t="n">
        <x:f>K2470*'管线假设'!E543*'管线假设'!F543*'管线假设'!G543*IF(E2470="USD",'管线假设'!I543,1)-AM2470</x:f>
        <x:v>0</x:v>
      </x:c>
      <x:c r="M2470" s="11" t="n">
        <x:f>'管线假设'!H543</x:f>
        <x:v>0.135</x:v>
      </x:c>
      <x:c r="N2470" s="11" t="n">
        <x:f>IF(G2470,L2470*AN2470/(1+M2470)^F2470,0)</x:f>
        <x:v>0</x:v>
      </x:c>
      <x:c r="AJ2470" t="n">
        <x:v>0</x:v>
      </x:c>
      <x:c r="AK2470" t="n">
        <x:v>0</x:v>
      </x:c>
      <x:c r="AL2470" t="n">
        <x:v>0</x:v>
      </x:c>
      <x:c r="AM2470" t="n">
        <x:f>CHOOSE('假设'!$B$3,AJ2470,AK2470,AL2470)</x:f>
        <x:v>0</x:v>
      </x:c>
      <x:c r="AN2470" t="n">
        <x:v>1</x:v>
      </x:c>
    </x:row>
    <x:row r="2471" ht="23" customHeight="1">
      <x:c r="A2471" s="11" t="str">
        <x:v>688382.SH</x:v>
      </x:c>
      <x:c r="B2471" s="11" t="str">
        <x:v>2026年底</x:v>
      </x:c>
      <x:c r="C2471" s="11" t="str">
        <x:v>tyk_viti_cn</x:v>
      </x:c>
      <x:c r="D2471" s="11" t="str">
        <x:v>2030-12-31</x:v>
      </x:c>
      <x:c r="E2471" s="11" t="str">
        <x:v>CNY</x:v>
      </x:c>
      <x:c r="F2471" s="11" t="n">
        <x:v>4</x:v>
      </x:c>
      <x:c r="G2471" s="26" t="b">
        <x:v>1</x:v>
      </x:c>
      <x:c r="H2471" s="16" t="n">
        <x:v>0</x:v>
      </x:c>
      <x:c r="I2471" s="16" t="n">
        <x:v>0</x:v>
      </x:c>
      <x:c r="J2471" s="16" t="n">
        <x:v>0.3333333333333333</x:v>
      </x:c>
      <x:c r="K2471" s="11" t="n">
        <x:f>CHOOSE('假设'!$B$3,H2471,I2471,J2471)</x:f>
        <x:v>0</x:v>
      </x:c>
      <x:c r="L2471" s="11" t="n">
        <x:f>K2471*'管线假设'!E543*'管线假设'!F543*'管线假设'!G543*IF(E2471="USD",'管线假设'!I543,1)-AM2471</x:f>
        <x:v>0</x:v>
      </x:c>
      <x:c r="M2471" s="11" t="n">
        <x:f>'管线假设'!H543</x:f>
        <x:v>0.135</x:v>
      </x:c>
      <x:c r="N2471" s="11" t="n">
        <x:f>IF(G2471,L2471*AN2471/(1+M2471)^F2471,0)</x:f>
        <x:v>0</x:v>
      </x:c>
      <x:c r="AJ2471" t="n">
        <x:v>0</x:v>
      </x:c>
      <x:c r="AK2471" t="n">
        <x:v>0</x:v>
      </x:c>
      <x:c r="AL2471" t="n">
        <x:v>0</x:v>
      </x:c>
      <x:c r="AM2471" t="n">
        <x:f>CHOOSE('假设'!$B$3,AJ2471,AK2471,AL2471)</x:f>
        <x:v>0</x:v>
      </x:c>
      <x:c r="AN2471" t="n">
        <x:v>1</x:v>
      </x:c>
    </x:row>
    <x:row r="2472" ht="23" customHeight="1">
      <x:c r="A2472" s="11" t="str">
        <x:v>688382.SH</x:v>
      </x:c>
      <x:c r="B2472" s="11" t="str">
        <x:v>2026年底</x:v>
      </x:c>
      <x:c r="C2472" s="11" t="str">
        <x:v>tyk_viti_cn</x:v>
      </x:c>
      <x:c r="D2472" s="11" t="str">
        <x:v>2031-12-31</x:v>
      </x:c>
      <x:c r="E2472" s="11" t="str">
        <x:v>CNY</x:v>
      </x:c>
      <x:c r="F2472" s="11" t="n">
        <x:v>4.999315537303217</x:v>
      </x:c>
      <x:c r="G2472" s="26" t="b">
        <x:v>1</x:v>
      </x:c>
      <x:c r="H2472" s="16" t="n">
        <x:v>0</x:v>
      </x:c>
      <x:c r="I2472" s="16" t="n">
        <x:v>0</x:v>
      </x:c>
      <x:c r="J2472" s="16" t="n">
        <x:v>0.6666666666666666</x:v>
      </x:c>
      <x:c r="K2472" s="11" t="n">
        <x:f>CHOOSE('假设'!$B$3,H2472,I2472,J2472)</x:f>
        <x:v>0</x:v>
      </x:c>
      <x:c r="L2472" s="11" t="n">
        <x:f>K2472*'管线假设'!E543*'管线假设'!F543*'管线假设'!G543*IF(E2472="USD",'管线假设'!I543,1)-AM2472</x:f>
        <x:v>0</x:v>
      </x:c>
      <x:c r="M2472" s="11" t="n">
        <x:f>'管线假设'!H543</x:f>
        <x:v>0.135</x:v>
      </x:c>
      <x:c r="N2472" s="11" t="n">
        <x:f>IF(G2472,L2472*AN2472/(1+M2472)^F2472,0)</x:f>
        <x:v>0</x:v>
      </x:c>
      <x:c r="AJ2472" t="n">
        <x:v>0</x:v>
      </x:c>
      <x:c r="AK2472" t="n">
        <x:v>0</x:v>
      </x:c>
      <x:c r="AL2472" t="n">
        <x:v>0</x:v>
      </x:c>
      <x:c r="AM2472" t="n">
        <x:f>CHOOSE('假设'!$B$3,AJ2472,AK2472,AL2472)</x:f>
        <x:v>0</x:v>
      </x:c>
      <x:c r="AN2472" t="n">
        <x:v>1</x:v>
      </x:c>
    </x:row>
    <x:row r="2473" ht="23" customHeight="1">
      <x:c r="A2473" s="11" t="str">
        <x:v>688382.SH</x:v>
      </x:c>
      <x:c r="B2473" s="11" t="str">
        <x:v>2026年底</x:v>
      </x:c>
      <x:c r="C2473" s="11" t="str">
        <x:v>tyk_viti_cn</x:v>
      </x:c>
      <x:c r="D2473" s="11" t="str">
        <x:v>2032-12-31</x:v>
      </x:c>
      <x:c r="E2473" s="11" t="str">
        <x:v>CNY</x:v>
      </x:c>
      <x:c r="F2473" s="11" t="n">
        <x:v>6.0013689253935665</x:v>
      </x:c>
      <x:c r="G2473" s="26" t="b">
        <x:v>1</x:v>
      </x:c>
      <x:c r="H2473" s="16" t="n">
        <x:v>0</x:v>
      </x:c>
      <x:c r="I2473" s="16" t="n">
        <x:v>0.16666666666666666</x:v>
      </x:c>
      <x:c r="J2473" s="16" t="n">
        <x:v>1</x:v>
      </x:c>
      <x:c r="K2473" s="11" t="n">
        <x:f>CHOOSE('假设'!$B$3,H2473,I2473,J2473)</x:f>
        <x:v>0.16666666666666666</x:v>
      </x:c>
      <x:c r="L2473" s="11" t="n">
        <x:f>K2473*'管线假设'!E543*'管线假设'!F543*'管线假设'!G543*IF(E2473="USD",'管线假设'!I543,1)-AM2473</x:f>
        <x:v>0.007000000000000001</x:v>
      </x:c>
      <x:c r="M2473" s="11" t="n">
        <x:f>'管线假设'!H543</x:f>
        <x:v>0.135</x:v>
      </x:c>
      <x:c r="N2473" s="11" t="n">
        <x:f>IF(G2473,L2473*AN2473/(1+M2473)^F2473,0)</x:f>
        <x:v>0.003273765635348878</x:v>
      </x:c>
      <x:c r="AJ2473" t="n">
        <x:v>0</x:v>
      </x:c>
      <x:c r="AK2473" t="n">
        <x:v>0</x:v>
      </x:c>
      <x:c r="AL2473" t="n">
        <x:v>0</x:v>
      </x:c>
      <x:c r="AM2473" t="n">
        <x:f>CHOOSE('假设'!$B$3,AJ2473,AK2473,AL2473)</x:f>
        <x:v>0</x:v>
      </x:c>
      <x:c r="AN2473" t="n">
        <x:v>1</x:v>
      </x:c>
    </x:row>
    <x:row r="2474" ht="23" customHeight="1">
      <x:c r="A2474" s="11" t="str">
        <x:v>688382.SH</x:v>
      </x:c>
      <x:c r="B2474" s="11" t="str">
        <x:v>2026年底</x:v>
      </x:c>
      <x:c r="C2474" s="11" t="str">
        <x:v>tyk_viti_cn</x:v>
      </x:c>
      <x:c r="D2474" s="11" t="str">
        <x:v>2033-12-31</x:v>
      </x:c>
      <x:c r="E2474" s="11" t="str">
        <x:v>CNY</x:v>
      </x:c>
      <x:c r="F2474" s="11" t="n">
        <x:v>7.000684462696783</x:v>
      </x:c>
      <x:c r="G2474" s="26" t="b">
        <x:v>1</x:v>
      </x:c>
      <x:c r="H2474" s="16" t="n">
        <x:v>0</x:v>
      </x:c>
      <x:c r="I2474" s="16" t="n">
        <x:v>0.3333333333333333</x:v>
      </x:c>
      <x:c r="J2474" s="16" t="n">
        <x:v>1.3333333333333333</x:v>
      </x:c>
      <x:c r="K2474" s="11" t="n">
        <x:f>CHOOSE('假设'!$B$3,H2474,I2474,J2474)</x:f>
        <x:v>0.3333333333333333</x:v>
      </x:c>
      <x:c r="L2474" s="11" t="n">
        <x:f>K2474*'管线假设'!E543*'管线假设'!F543*'管线假设'!G543*IF(E2474="USD",'管线假设'!I543,1)-AM2474</x:f>
        <x:v>0.014000000000000002</x:v>
      </x:c>
      <x:c r="M2474" s="11" t="n">
        <x:f>'管线假设'!H543</x:f>
        <x:v>0.135</x:v>
      </x:c>
      <x:c r="N2474" s="11" t="n">
        <x:f>IF(G2474,L2474*AN2474/(1+M2474)^F2474,0)</x:f>
        <x:v>0.005769250048192776</x:v>
      </x:c>
      <x:c r="AJ2474" t="n">
        <x:v>0</x:v>
      </x:c>
      <x:c r="AK2474" t="n">
        <x:v>0</x:v>
      </x:c>
      <x:c r="AL2474" t="n">
        <x:v>0</x:v>
      </x:c>
      <x:c r="AM2474" t="n">
        <x:f>CHOOSE('假设'!$B$3,AJ2474,AK2474,AL2474)</x:f>
        <x:v>0</x:v>
      </x:c>
      <x:c r="AN2474" t="n">
        <x:v>1</x:v>
      </x:c>
    </x:row>
    <x:row r="2475" ht="23" customHeight="1">
      <x:c r="A2475" s="11" t="str">
        <x:v>688382.SH</x:v>
      </x:c>
      <x:c r="B2475" s="11" t="str">
        <x:v>2026年底</x:v>
      </x:c>
      <x:c r="C2475" s="11" t="str">
        <x:v>tyk_viti_cn</x:v>
      </x:c>
      <x:c r="D2475" s="11" t="str">
        <x:v>2034-12-31</x:v>
      </x:c>
      <x:c r="E2475" s="11" t="str">
        <x:v>CNY</x:v>
      </x:c>
      <x:c r="F2475" s="11" t="n">
        <x:v>8</x:v>
      </x:c>
      <x:c r="G2475" s="26" t="b">
        <x:v>1</x:v>
      </x:c>
      <x:c r="H2475" s="16" t="n">
        <x:v>0</x:v>
      </x:c>
      <x:c r="I2475" s="16" t="n">
        <x:v>0.5</x:v>
      </x:c>
      <x:c r="J2475" s="16" t="n">
        <x:v>1.6666666666666667</x:v>
      </x:c>
      <x:c r="K2475" s="11" t="n">
        <x:f>CHOOSE('假设'!$B$3,H2475,I2475,J2475)</x:f>
        <x:v>0.5</x:v>
      </x:c>
      <x:c r="L2475" s="11" t="n">
        <x:f>K2475*'管线假设'!E543*'管线假设'!F543*'管线假设'!G543*IF(E2475="USD",'管线假设'!I543,1)-AM2475</x:f>
        <x:v>0.021000000000000005</x:v>
      </x:c>
      <x:c r="M2475" s="11" t="n">
        <x:f>'管线假设'!H543</x:f>
        <x:v>0.135</x:v>
      </x:c>
      <x:c r="N2475" s="11" t="n">
        <x:f>IF(G2475,L2475*AN2475/(1+M2475)^F2475,0)</x:f>
        <x:v>0.007625220424879006</x:v>
      </x:c>
      <x:c r="AJ2475" t="n">
        <x:v>0</x:v>
      </x:c>
      <x:c r="AK2475" t="n">
        <x:v>0</x:v>
      </x:c>
      <x:c r="AL2475" t="n">
        <x:v>0</x:v>
      </x:c>
      <x:c r="AM2475" t="n">
        <x:f>CHOOSE('假设'!$B$3,AJ2475,AK2475,AL2475)</x:f>
        <x:v>0</x:v>
      </x:c>
      <x:c r="AN2475" t="n">
        <x:v>1</x:v>
      </x:c>
    </x:row>
    <x:row r="2476" ht="23" customHeight="1">
      <x:c r="A2476" s="11" t="str">
        <x:v>688382.SH</x:v>
      </x:c>
      <x:c r="B2476" s="11" t="str">
        <x:v>2026年底</x:v>
      </x:c>
      <x:c r="C2476" s="11" t="str">
        <x:v>tyk_viti_cn</x:v>
      </x:c>
      <x:c r="D2476" s="11" t="str">
        <x:v>2035-12-31</x:v>
      </x:c>
      <x:c r="E2476" s="11" t="str">
        <x:v>CNY</x:v>
      </x:c>
      <x:c r="F2476" s="11" t="n">
        <x:v>8.999315537303216</x:v>
      </x:c>
      <x:c r="G2476" s="26" t="b">
        <x:v>1</x:v>
      </x:c>
      <x:c r="H2476" s="16" t="n">
        <x:v>0.08000000000000002</x:v>
      </x:c>
      <x:c r="I2476" s="16" t="n">
        <x:v>0.6666666666666666</x:v>
      </x:c>
      <x:c r="J2476" s="16" t="n">
        <x:v>2</x:v>
      </x:c>
      <x:c r="K2476" s="11" t="n">
        <x:f>CHOOSE('假设'!$B$3,H2476,I2476,J2476)</x:f>
        <x:v>0.6666666666666666</x:v>
      </x:c>
      <x:c r="L2476" s="11" t="n">
        <x:f>K2476*'管线假设'!E543*'管线假设'!F543*'管线假设'!G543*IF(E2476="USD",'管线假设'!I543,1)-AM2476</x:f>
        <x:v>0.028000000000000004</x:v>
      </x:c>
      <x:c r="M2476" s="11" t="n">
        <x:f>'管线假设'!H543</x:f>
        <x:v>0.135</x:v>
      </x:c>
      <x:c r="N2476" s="11" t="n">
        <x:f>IF(G2476,L2476*AN2476/(1+M2476)^F2476,0)</x:f>
        <x:v>0.008958450950938977</x:v>
      </x:c>
      <x:c r="AJ2476" t="n">
        <x:v>0</x:v>
      </x:c>
      <x:c r="AK2476" t="n">
        <x:v>0</x:v>
      </x:c>
      <x:c r="AL2476" t="n">
        <x:v>0</x:v>
      </x:c>
      <x:c r="AM2476" t="n">
        <x:f>CHOOSE('假设'!$B$3,AJ2476,AK2476,AL2476)</x:f>
        <x:v>0</x:v>
      </x:c>
      <x:c r="AN2476" t="n">
        <x:v>1</x:v>
      </x:c>
    </x:row>
    <x:row r="2477" ht="23" customHeight="1">
      <x:c r="A2477" s="11" t="str">
        <x:v>688382.SH</x:v>
      </x:c>
      <x:c r="B2477" s="11" t="str">
        <x:v>2026年底</x:v>
      </x:c>
      <x:c r="C2477" s="11" t="str">
        <x:v>tyk_viti_cn</x:v>
      </x:c>
      <x:c r="D2477" s="11" t="str">
        <x:v>2036-12-31</x:v>
      </x:c>
      <x:c r="E2477" s="11" t="str">
        <x:v>CNY</x:v>
      </x:c>
      <x:c r="F2477" s="11" t="n">
        <x:v>10.001368925393566</x:v>
      </x:c>
      <x:c r="G2477" s="26" t="b">
        <x:v>1</x:v>
      </x:c>
      <x:c r="H2477" s="16" t="n">
        <x:v>0.16000000000000003</x:v>
      </x:c>
      <x:c r="I2477" s="16" t="n">
        <x:v>0.8333333333333334</x:v>
      </x:c>
      <x:c r="J2477" s="16" t="n">
        <x:v>1.74</x:v>
      </x:c>
      <x:c r="K2477" s="11" t="n">
        <x:f>CHOOSE('假设'!$B$3,H2477,I2477,J2477)</x:f>
        <x:v>0.8333333333333334</x:v>
      </x:c>
      <x:c r="L2477" s="11" t="n">
        <x:f>K2477*'管线假设'!E543*'管线假设'!F543*'管线假设'!G543*IF(E2477="USD",'管线假设'!I543,1)-AM2477</x:f>
        <x:v>0.03500000000000001</x:v>
      </x:c>
      <x:c r="M2477" s="11" t="n">
        <x:f>'管线假设'!H543</x:f>
        <x:v>0.135</x:v>
      </x:c>
      <x:c r="N2477" s="11" t="n">
        <x:f>IF(G2477,L2477*AN2477/(1+M2477)^F2477,0)</x:f>
        <x:v>0.009863570290534673</x:v>
      </x:c>
      <x:c r="AJ2477" t="n">
        <x:v>0</x:v>
      </x:c>
      <x:c r="AK2477" t="n">
        <x:v>0</x:v>
      </x:c>
      <x:c r="AL2477" t="n">
        <x:v>0</x:v>
      </x:c>
      <x:c r="AM2477" t="n">
        <x:f>CHOOSE('假设'!$B$3,AJ2477,AK2477,AL2477)</x:f>
        <x:v>0</x:v>
      </x:c>
      <x:c r="AN2477" t="n">
        <x:v>1</x:v>
      </x:c>
    </x:row>
    <x:row r="2478" ht="23" customHeight="1">
      <x:c r="A2478" s="11" t="str">
        <x:v>688382.SH</x:v>
      </x:c>
      <x:c r="B2478" s="11" t="str">
        <x:v>2026年底</x:v>
      </x:c>
      <x:c r="C2478" s="11" t="str">
        <x:v>tyk_viti_cn</x:v>
      </x:c>
      <x:c r="D2478" s="11" t="str">
        <x:v>2037-12-31</x:v>
      </x:c>
      <x:c r="E2478" s="11" t="str">
        <x:v>CNY</x:v>
      </x:c>
      <x:c r="F2478" s="11" t="n">
        <x:v>11.000684462696784</x:v>
      </x:c>
      <x:c r="G2478" s="26" t="b">
        <x:v>1</x:v>
      </x:c>
      <x:c r="H2478" s="16" t="n">
        <x:v>0.24</x:v>
      </x:c>
      <x:c r="I2478" s="16" t="n">
        <x:v>1</x:v>
      </x:c>
      <x:c r="J2478" s="16" t="n">
        <x:v>1.48</x:v>
      </x:c>
      <x:c r="K2478" s="11" t="n">
        <x:f>CHOOSE('假设'!$B$3,H2478,I2478,J2478)</x:f>
        <x:v>1</x:v>
      </x:c>
      <x:c r="L2478" s="11" t="n">
        <x:f>K2478*'管线假设'!E543*'管线假设'!F543*'管线假设'!G543*IF(E2478="USD",'管线假设'!I543,1)-AM2478</x:f>
        <x:v>0.04200000000000001</x:v>
      </x:c>
      <x:c r="M2478" s="11" t="n">
        <x:f>'管线假设'!H543</x:f>
        <x:v>0.135</x:v>
      </x:c>
      <x:c r="N2478" s="11" t="n">
        <x:f>IF(G2478,L2478*AN2478/(1+M2478)^F2478,0)</x:f>
        <x:v>0.01042934828802228</x:v>
      </x:c>
      <x:c r="AJ2478" t="n">
        <x:v>0</x:v>
      </x:c>
      <x:c r="AK2478" t="n">
        <x:v>0</x:v>
      </x:c>
      <x:c r="AL2478" t="n">
        <x:v>0</x:v>
      </x:c>
      <x:c r="AM2478" t="n">
        <x:f>CHOOSE('假设'!$B$3,AJ2478,AK2478,AL2478)</x:f>
        <x:v>0</x:v>
      </x:c>
      <x:c r="AN2478" t="n">
        <x:v>1</x:v>
      </x:c>
    </x:row>
    <x:row r="2479" ht="23" customHeight="1">
      <x:c r="A2479" s="11" t="str">
        <x:v>688382.SH</x:v>
      </x:c>
      <x:c r="B2479" s="11" t="str">
        <x:v>2026年底</x:v>
      </x:c>
      <x:c r="C2479" s="11" t="str">
        <x:v>tyk_viti_cn</x:v>
      </x:c>
      <x:c r="D2479" s="11" t="str">
        <x:v>2038-12-31</x:v>
      </x:c>
      <x:c r="E2479" s="11" t="str">
        <x:v>CNY</x:v>
      </x:c>
      <x:c r="F2479" s="11" t="n">
        <x:v>12</x:v>
      </x:c>
      <x:c r="G2479" s="26" t="b">
        <x:v>1</x:v>
      </x:c>
      <x:c r="H2479" s="16" t="n">
        <x:v>0.32000000000000006</x:v>
      </x:c>
      <x:c r="I2479" s="16" t="n">
        <x:v>0.87</x:v>
      </x:c>
      <x:c r="J2479" s="16" t="n">
        <x:v>1.22</x:v>
      </x:c>
      <x:c r="K2479" s="11" t="n">
        <x:f>CHOOSE('假设'!$B$3,H2479,I2479,J2479)</x:f>
        <x:v>0.87</x:v>
      </x:c>
      <x:c r="L2479" s="11" t="n">
        <x:f>K2479*'管线假设'!E543*'管线假设'!F543*'管线假设'!G543*IF(E2479="USD",'管线假设'!I543,1)-AM2479</x:f>
        <x:v>0.03654</x:v>
      </x:c>
      <x:c r="M2479" s="11" t="n">
        <x:f>'管线假设'!H543</x:f>
        <x:v>0.135</x:v>
      </x:c>
      <x:c r="N2479" s="11" t="n">
        <x:f>IF(G2479,L2479*AN2479/(1+M2479)^F2479,0)</x:f>
        <x:v>0.007994995150742562</x:v>
      </x:c>
      <x:c r="AJ2479" t="n">
        <x:v>0</x:v>
      </x:c>
      <x:c r="AK2479" t="n">
        <x:v>0</x:v>
      </x:c>
      <x:c r="AL2479" t="n">
        <x:v>0</x:v>
      </x:c>
      <x:c r="AM2479" t="n">
        <x:f>CHOOSE('假设'!$B$3,AJ2479,AK2479,AL2479)</x:f>
        <x:v>0</x:v>
      </x:c>
      <x:c r="AN2479" t="n">
        <x:v>1</x:v>
      </x:c>
    </x:row>
    <x:row r="2480" ht="23" customHeight="1">
      <x:c r="A2480" s="11" t="str">
        <x:v>688382.SH</x:v>
      </x:c>
      <x:c r="B2480" s="11" t="str">
        <x:v>2026年底</x:v>
      </x:c>
      <x:c r="C2480" s="11" t="str">
        <x:v>tyk_viti_cn</x:v>
      </x:c>
      <x:c r="D2480" s="11" t="str">
        <x:v>2039-12-31</x:v>
      </x:c>
      <x:c r="E2480" s="11" t="str">
        <x:v>CNY</x:v>
      </x:c>
      <x:c r="F2480" s="11" t="n">
        <x:v>12.999315537303216</x:v>
      </x:c>
      <x:c r="G2480" s="26" t="b">
        <x:v>1</x:v>
      </x:c>
      <x:c r="H2480" s="16" t="n">
        <x:v>0.4</x:v>
      </x:c>
      <x:c r="I2480" s="16" t="n">
        <x:v>0.74</x:v>
      </x:c>
      <x:c r="J2480" s="16" t="n">
        <x:v>0.96</x:v>
      </x:c>
      <x:c r="K2480" s="11" t="n">
        <x:f>CHOOSE('假设'!$B$3,H2480,I2480,J2480)</x:f>
        <x:v>0.74</x:v>
      </x:c>
      <x:c r="L2480" s="11" t="n">
        <x:f>K2480*'管线假设'!E543*'管线假设'!F543*'管线假设'!G543*IF(E2480="USD",'管线假设'!I543,1)-AM2480</x:f>
        <x:v>0.031080000000000007</x:v>
      </x:c>
      <x:c r="M2480" s="11" t="n">
        <x:f>'管线假设'!H543</x:f>
        <x:v>0.135</x:v>
      </x:c>
      <x:c r="N2480" s="11" t="n">
        <x:f>IF(G2480,L2480*AN2480/(1+M2480)^F2480,0)</x:f>
        <x:v>0.005992008942926036</x:v>
      </x:c>
      <x:c r="AJ2480" t="n">
        <x:v>0</x:v>
      </x:c>
      <x:c r="AK2480" t="n">
        <x:v>0</x:v>
      </x:c>
      <x:c r="AL2480" t="n">
        <x:v>0</x:v>
      </x:c>
      <x:c r="AM2480" t="n">
        <x:f>CHOOSE('假设'!$B$3,AJ2480,AK2480,AL2480)</x:f>
        <x:v>0</x:v>
      </x:c>
      <x:c r="AN2480" t="n">
        <x:v>1</x:v>
      </x:c>
    </x:row>
    <x:row r="2481" ht="23" customHeight="1">
      <x:c r="A2481" s="11" t="str">
        <x:v>688382.SH</x:v>
      </x:c>
      <x:c r="B2481" s="11" t="str">
        <x:v>2026年底</x:v>
      </x:c>
      <x:c r="C2481" s="11" t="str">
        <x:v>tyk_viti_cn</x:v>
      </x:c>
      <x:c r="D2481" s="11" t="str">
        <x:v>2040-12-31</x:v>
      </x:c>
      <x:c r="E2481" s="11" t="str">
        <x:v>CNY</x:v>
      </x:c>
      <x:c r="F2481" s="11" t="n">
        <x:v>14.001368925393566</x:v>
      </x:c>
      <x:c r="G2481" s="26" t="b">
        <x:v>1</x:v>
      </x:c>
      <x:c r="H2481" s="16" t="n">
        <x:v>0.34800000000000003</x:v>
      </x:c>
      <x:c r="I2481" s="16" t="n">
        <x:v>0.61</x:v>
      </x:c>
      <x:c r="J2481" s="16" t="n">
        <x:v>0.7</x:v>
      </x:c>
      <x:c r="K2481" s="11" t="n">
        <x:f>CHOOSE('假设'!$B$3,H2481,I2481,J2481)</x:f>
        <x:v>0.61</x:v>
      </x:c>
      <x:c r="L2481" s="11" t="n">
        <x:f>K2481*'管线假设'!E543*'管线假设'!F543*'管线假设'!G543*IF(E2481="USD",'管线假设'!I543,1)-AM2481</x:f>
        <x:v>0.025620000000000007</x:v>
      </x:c>
      <x:c r="M2481" s="11" t="n">
        <x:f>'管线假设'!H543</x:f>
        <x:v>0.135</x:v>
      </x:c>
      <x:c r="N2481" s="11" t="n">
        <x:f>IF(G2481,L2481*AN2481/(1+M2481)^F2481,0)</x:f>
        <x:v>0.004350726456927671</x:v>
      </x:c>
      <x:c r="AJ2481" t="n">
        <x:v>0</x:v>
      </x:c>
      <x:c r="AK2481" t="n">
        <x:v>0</x:v>
      </x:c>
      <x:c r="AL2481" t="n">
        <x:v>0</x:v>
      </x:c>
      <x:c r="AM2481" t="n">
        <x:f>CHOOSE('假设'!$B$3,AJ2481,AK2481,AL2481)</x:f>
        <x:v>0</x:v>
      </x:c>
      <x:c r="AN2481" t="n">
        <x:v>1</x:v>
      </x:c>
    </x:row>
    <x:row r="2482" ht="23" customHeight="1">
      <x:c r="A2482" s="11" t="str">
        <x:v>688382.SH</x:v>
      </x:c>
      <x:c r="B2482" s="11" t="str">
        <x:v>2026年底</x:v>
      </x:c>
      <x:c r="C2482" s="11" t="str">
        <x:v>tyk_viti_cn</x:v>
      </x:c>
      <x:c r="D2482" s="11" t="str">
        <x:v>2041-12-31</x:v>
      </x:c>
      <x:c r="E2482" s="11" t="str">
        <x:v>CNY</x:v>
      </x:c>
      <x:c r="F2482" s="11" t="n">
        <x:v>15.000684462696784</x:v>
      </x:c>
      <x:c r="G2482" s="26" t="b">
        <x:v>1</x:v>
      </x:c>
      <x:c r="H2482" s="16" t="n">
        <x:v>0.296</x:v>
      </x:c>
      <x:c r="I2482" s="16" t="n">
        <x:v>0.48</x:v>
      </x:c>
      <x:c r="J2482" s="16" t="n">
        <x:v>0.43999999999999995</x:v>
      </x:c>
      <x:c r="K2482" s="11" t="n">
        <x:f>CHOOSE('假设'!$B$3,H2482,I2482,J2482)</x:f>
        <x:v>0.48</x:v>
      </x:c>
      <x:c r="L2482" s="11" t="n">
        <x:f>K2482*'管线假设'!E543*'管线假设'!F543*'管线假设'!G543*IF(E2482="USD",'管线假设'!I543,1)-AM2482</x:f>
        <x:v>0.020160000000000004</x:v>
      </x:c>
      <x:c r="M2482" s="11" t="n">
        <x:f>'管线假设'!H543</x:f>
        <x:v>0.135</x:v>
      </x:c>
      <x:c r="N2482" s="11" t="n">
        <x:f>IF(G2482,L2482*AN2482/(1+M2482)^F2482,0)</x:f>
        <x:v>0.003016580797968942</x:v>
      </x:c>
      <x:c r="AJ2482" t="n">
        <x:v>0</x:v>
      </x:c>
      <x:c r="AK2482" t="n">
        <x:v>0</x:v>
      </x:c>
      <x:c r="AL2482" t="n">
        <x:v>0</x:v>
      </x:c>
      <x:c r="AM2482" t="n">
        <x:f>CHOOSE('假设'!$B$3,AJ2482,AK2482,AL2482)</x:f>
        <x:v>0</x:v>
      </x:c>
      <x:c r="AN2482" t="n">
        <x:v>1</x:v>
      </x:c>
    </x:row>
    <x:row r="2483" ht="23" customHeight="1">
      <x:c r="A2483" s="11" t="str">
        <x:v>688382.SH</x:v>
      </x:c>
      <x:c r="B2483" s="11" t="str">
        <x:v>2026年底</x:v>
      </x:c>
      <x:c r="C2483" s="11" t="str">
        <x:v>tyk_viti_cn</x:v>
      </x:c>
      <x:c r="D2483" s="11" t="str">
        <x:v>2042-12-31</x:v>
      </x:c>
      <x:c r="E2483" s="11" t="str">
        <x:v>CNY</x:v>
      </x:c>
      <x:c r="F2483" s="11" t="n">
        <x:v>16</x:v>
      </x:c>
      <x:c r="G2483" s="26" t="b">
        <x:v>1</x:v>
      </x:c>
      <x:c r="H2483" s="16" t="n">
        <x:v>0.244</x:v>
      </x:c>
      <x:c r="I2483" s="16" t="n">
        <x:v>0.35</x:v>
      </x:c>
      <x:c r="J2483" s="16" t="n">
        <x:v>0.17999999999999994</x:v>
      </x:c>
      <x:c r="K2483" s="11" t="n">
        <x:f>CHOOSE('假设'!$B$3,H2483,I2483,J2483)</x:f>
        <x:v>0.35</x:v>
      </x:c>
      <x:c r="L2483" s="11" t="n">
        <x:f>K2483*'管线假设'!E543*'管线假设'!F543*'管线假设'!G543*IF(E2483="USD",'管线假设'!I543,1)-AM2483</x:f>
        <x:v>0.014700000000000003</x:v>
      </x:c>
      <x:c r="M2483" s="11" t="n">
        <x:f>'管线假设'!H543</x:f>
        <x:v>0.135</x:v>
      </x:c>
      <x:c r="N2483" s="11" t="n">
        <x:f>IF(G2483,L2483*AN2483/(1+M2483)^F2483,0)</x:f>
        <x:v>0.0019381328842663986</x:v>
      </x:c>
      <x:c r="AJ2483" t="n">
        <x:v>0</x:v>
      </x:c>
      <x:c r="AK2483" t="n">
        <x:v>0</x:v>
      </x:c>
      <x:c r="AL2483" t="n">
        <x:v>0</x:v>
      </x:c>
      <x:c r="AM2483" t="n">
        <x:f>CHOOSE('假设'!$B$3,AJ2483,AK2483,AL2483)</x:f>
        <x:v>0</x:v>
      </x:c>
      <x:c r="AN2483" t="n">
        <x:v>1</x:v>
      </x:c>
    </x:row>
    <x:row r="2484" ht="23" customHeight="1">
      <x:c r="A2484" s="11" t="str">
        <x:v>688382.SH</x:v>
      </x:c>
      <x:c r="B2484" s="11" t="str">
        <x:v>2026年底</x:v>
      </x:c>
      <x:c r="C2484" s="11" t="str">
        <x:v>tyk_viti_cn</x:v>
      </x:c>
      <x:c r="D2484" s="11" t="str">
        <x:v>2043-12-31</x:v>
      </x:c>
      <x:c r="E2484" s="11" t="str">
        <x:v>CNY</x:v>
      </x:c>
      <x:c r="F2484" s="11" t="n">
        <x:v>16.999315537303218</x:v>
      </x:c>
      <x:c r="G2484" s="26" t="b">
        <x:v>1</x:v>
      </x:c>
      <x:c r="H2484" s="16" t="n">
        <x:v>0.192</x:v>
      </x:c>
      <x:c r="I2484" s="16" t="n">
        <x:v>0.21999999999999997</x:v>
      </x:c>
      <x:c r="J2484" s="16" t="n">
        <x:v>0</x:v>
      </x:c>
      <x:c r="K2484" s="11" t="n">
        <x:f>CHOOSE('假设'!$B$3,H2484,I2484,J2484)</x:f>
        <x:v>0.21999999999999997</x:v>
      </x:c>
      <x:c r="L2484" s="11" t="n">
        <x:f>K2484*'管线假设'!E543*'管线假设'!F543*'管线假设'!G543*IF(E2484="USD",'管线假设'!I543,1)-AM2484</x:f>
        <x:v>0.009240000000000002</x:v>
      </x:c>
      <x:c r="M2484" s="11" t="n">
        <x:f>'管线假设'!H543</x:f>
        <x:v>0.135</x:v>
      </x:c>
      <x:c r="N2484" s="11" t="n">
        <x:f>IF(G2484,L2484*AN2484/(1+M2484)^F2484,0)</x:f>
        <x:v>0.001073445421185918</x:v>
      </x:c>
      <x:c r="AJ2484" t="n">
        <x:v>0</x:v>
      </x:c>
      <x:c r="AK2484" t="n">
        <x:v>0</x:v>
      </x:c>
      <x:c r="AL2484" t="n">
        <x:v>0</x:v>
      </x:c>
      <x:c r="AM2484" t="n">
        <x:f>CHOOSE('假设'!$B$3,AJ2484,AK2484,AL2484)</x:f>
        <x:v>0</x:v>
      </x:c>
      <x:c r="AN2484" t="n">
        <x:v>1</x:v>
      </x:c>
    </x:row>
    <x:row r="2485" ht="23" customHeight="1">
      <x:c r="A2485" s="11" t="str">
        <x:v>688382.SH</x:v>
      </x:c>
      <x:c r="B2485" s="11" t="str">
        <x:v>2026年底</x:v>
      </x:c>
      <x:c r="C2485" s="11" t="str">
        <x:v>tyk_viti_cn</x:v>
      </x:c>
      <x:c r="D2485" s="11" t="str">
        <x:v>2044-12-31</x:v>
      </x:c>
      <x:c r="E2485" s="11" t="str">
        <x:v>CNY</x:v>
      </x:c>
      <x:c r="F2485" s="11" t="n">
        <x:v>18.001368925393567</x:v>
      </x:c>
      <x:c r="G2485" s="26" t="b">
        <x:v>1</x:v>
      </x:c>
      <x:c r="H2485" s="16" t="n">
        <x:v>0.13999999999999999</x:v>
      </x:c>
      <x:c r="I2485" s="16" t="n">
        <x:v>0.08999999999999997</x:v>
      </x:c>
      <x:c r="J2485" s="16" t="n">
        <x:v>0</x:v>
      </x:c>
      <x:c r="K2485" s="11" t="n">
        <x:f>CHOOSE('假设'!$B$3,H2485,I2485,J2485)</x:f>
        <x:v>0.08999999999999997</x:v>
      </x:c>
      <x:c r="L2485" s="11" t="n">
        <x:f>K2485*'管线假设'!E543*'管线假设'!F543*'管线假设'!G543*IF(E2485="USD",'管线假设'!I543,1)-AM2485</x:f>
        <x:v>0.00378</x:v>
      </x:c>
      <x:c r="M2485" s="11" t="n">
        <x:f>'管线假设'!H543</x:f>
        <x:v>0.135</x:v>
      </x:c>
      <x:c r="N2485" s="11" t="n">
        <x:f>IF(G2485,L2485*AN2485/(1+M2485)^F2485,0)</x:f>
        <x:v>0.00038680404501401837</x:v>
      </x:c>
      <x:c r="AJ2485" t="n">
        <x:v>0</x:v>
      </x:c>
      <x:c r="AK2485" t="n">
        <x:v>0</x:v>
      </x:c>
      <x:c r="AL2485" t="n">
        <x:v>0</x:v>
      </x:c>
      <x:c r="AM2485" t="n">
        <x:f>CHOOSE('假设'!$B$3,AJ2485,AK2485,AL2485)</x:f>
        <x:v>0</x:v>
      </x:c>
      <x:c r="AN2485" t="n">
        <x:v>1</x:v>
      </x:c>
    </x:row>
    <x:row r="2486" ht="23" customHeight="1">
      <x:c r="A2486" s="11" t="str">
        <x:v>688382.SH</x:v>
      </x:c>
      <x:c r="B2486" s="11" t="str">
        <x:v>2026年底</x:v>
      </x:c>
      <x:c r="C2486" s="11" t="str">
        <x:v>tyk_viti_cn</x:v>
      </x:c>
      <x:c r="D2486" s="11" t="str">
        <x:v>2045-12-31</x:v>
      </x:c>
      <x:c r="E2486" s="11" t="str">
        <x:v>CNY</x:v>
      </x:c>
      <x:c r="F2486" s="11" t="n">
        <x:v>19.000684462696782</x:v>
      </x:c>
      <x:c r="G2486" s="26" t="b">
        <x:v>1</x:v>
      </x:c>
      <x:c r="H2486" s="16" t="n">
        <x:v>0.088</x:v>
      </x:c>
      <x:c r="I2486" s="16" t="n">
        <x:v>0</x:v>
      </x:c>
      <x:c r="J2486" s="16" t="n">
        <x:v>0</x:v>
      </x:c>
      <x:c r="K2486" s="11" t="n">
        <x:f>CHOOSE('假设'!$B$3,H2486,I2486,J2486)</x:f>
        <x:v>0</x:v>
      </x:c>
      <x:c r="L2486" s="11" t="n">
        <x:f>K2486*'管线假设'!E543*'管线假设'!F543*'管线假设'!G543*IF(E2486="USD",'管线假设'!I543,1)-AM2486</x:f>
        <x:v>0</x:v>
      </x:c>
      <x:c r="M2486" s="11" t="n">
        <x:f>'管线假设'!H543</x:f>
        <x:v>0.135</x:v>
      </x:c>
      <x:c r="N2486" s="11" t="n">
        <x:f>IF(G2486,L2486*AN2486/(1+M2486)^F2486,0)</x:f>
        <x:v>0</x:v>
      </x:c>
      <x:c r="AJ2486" t="n">
        <x:v>0</x:v>
      </x:c>
      <x:c r="AK2486" t="n">
        <x:v>0</x:v>
      </x:c>
      <x:c r="AL2486" t="n">
        <x:v>0</x:v>
      </x:c>
      <x:c r="AM2486" t="n">
        <x:f>CHOOSE('假设'!$B$3,AJ2486,AK2486,AL2486)</x:f>
        <x:v>0</x:v>
      </x:c>
      <x:c r="AN2486" t="n">
        <x:v>1</x:v>
      </x:c>
    </x:row>
    <x:row r="2487" ht="23" customHeight="1">
      <x:c r="A2487" s="11" t="str">
        <x:v>688382.SH</x:v>
      </x:c>
      <x:c r="B2487" s="11" t="str">
        <x:v>2026年底</x:v>
      </x:c>
      <x:c r="C2487" s="11" t="str">
        <x:v>tyk_global</x:v>
      </x:c>
      <x:c r="D2487" s="11" t="str">
        <x:v>2027-12-31</x:v>
      </x:c>
      <x:c r="E2487" s="11" t="str">
        <x:v>USD</x:v>
      </x:c>
      <x:c r="F2487" s="11" t="n">
        <x:v>0.999315537303217</x:v>
      </x:c>
      <x:c r="G2487" s="26" t="b">
        <x:v>1</x:v>
      </x:c>
      <x:c r="H2487" s="16" t="n">
        <x:v>0</x:v>
      </x:c>
      <x:c r="I2487" s="16" t="n">
        <x:v>0</x:v>
      </x:c>
      <x:c r="J2487" s="16" t="n">
        <x:v>0</x:v>
      </x:c>
      <x:c r="K2487" s="11" t="n">
        <x:f>CHOOSE('假设'!$B$3,H2487,I2487,J2487)</x:f>
        <x:v>0</x:v>
      </x:c>
      <x:c r="L2487" s="11" t="n">
        <x:f>K2487*'管线假设'!E547*'管线假设'!F547*'管线假设'!G547*IF(E2487="USD",'管线假设'!I547,1)-AM2487</x:f>
        <x:v>0</x:v>
      </x:c>
      <x:c r="M2487" s="11" t="n">
        <x:f>'管线假设'!H547</x:f>
        <x:v>0.135</x:v>
      </x:c>
      <x:c r="N2487" s="11" t="n">
        <x:f>IF(G2487,L2487*AN2487/(1+M2487)^F2487,0)</x:f>
        <x:v>0</x:v>
      </x:c>
      <x:c r="AJ2487" t="n">
        <x:v>0</x:v>
      </x:c>
      <x:c r="AK2487" t="n">
        <x:v>0</x:v>
      </x:c>
      <x:c r="AL2487" t="n">
        <x:v>0</x:v>
      </x:c>
      <x:c r="AM2487" t="n">
        <x:f>CHOOSE('假设'!$B$3,AJ2487,AK2487,AL2487)</x:f>
        <x:v>0</x:v>
      </x:c>
      <x:c r="AN2487" t="n">
        <x:v>1</x:v>
      </x:c>
    </x:row>
    <x:row r="2488" ht="23" customHeight="1">
      <x:c r="A2488" s="11" t="str">
        <x:v>688382.SH</x:v>
      </x:c>
      <x:c r="B2488" s="11" t="str">
        <x:v>2026年底</x:v>
      </x:c>
      <x:c r="C2488" s="11" t="str">
        <x:v>tyk_global</x:v>
      </x:c>
      <x:c r="D2488" s="11" t="str">
        <x:v>2028-12-31</x:v>
      </x:c>
      <x:c r="E2488" s="11" t="str">
        <x:v>USD</x:v>
      </x:c>
      <x:c r="F2488" s="11" t="n">
        <x:v>2.001368925393566</x:v>
      </x:c>
      <x:c r="G2488" s="26" t="b">
        <x:v>1</x:v>
      </x:c>
      <x:c r="H2488" s="16" t="n">
        <x:v>0</x:v>
      </x:c>
      <x:c r="I2488" s="16" t="n">
        <x:v>0</x:v>
      </x:c>
      <x:c r="J2488" s="16" t="n">
        <x:v>0</x:v>
      </x:c>
      <x:c r="K2488" s="11" t="n">
        <x:f>CHOOSE('假设'!$B$3,H2488,I2488,J2488)</x:f>
        <x:v>0</x:v>
      </x:c>
      <x:c r="L2488" s="11" t="n">
        <x:f>K2488*'管线假设'!E547*'管线假设'!F547*'管线假设'!G547*IF(E2488="USD",'管线假设'!I547,1)-AM2488</x:f>
        <x:v>0</x:v>
      </x:c>
      <x:c r="M2488" s="11" t="n">
        <x:f>'管线假设'!H547</x:f>
        <x:v>0.135</x:v>
      </x:c>
      <x:c r="N2488" s="11" t="n">
        <x:f>IF(G2488,L2488*AN2488/(1+M2488)^F2488,0)</x:f>
        <x:v>0</x:v>
      </x:c>
      <x:c r="AJ2488" t="n">
        <x:v>0</x:v>
      </x:c>
      <x:c r="AK2488" t="n">
        <x:v>0</x:v>
      </x:c>
      <x:c r="AL2488" t="n">
        <x:v>0</x:v>
      </x:c>
      <x:c r="AM2488" t="n">
        <x:f>CHOOSE('假设'!$B$3,AJ2488,AK2488,AL2488)</x:f>
        <x:v>0</x:v>
      </x:c>
      <x:c r="AN2488" t="n">
        <x:v>1</x:v>
      </x:c>
    </x:row>
    <x:row r="2489" ht="23" customHeight="1">
      <x:c r="A2489" s="11" t="str">
        <x:v>688382.SH</x:v>
      </x:c>
      <x:c r="B2489" s="11" t="str">
        <x:v>2026年底</x:v>
      </x:c>
      <x:c r="C2489" s="11" t="str">
        <x:v>tyk_global</x:v>
      </x:c>
      <x:c r="D2489" s="11" t="str">
        <x:v>2029-12-31</x:v>
      </x:c>
      <x:c r="E2489" s="11" t="str">
        <x:v>USD</x:v>
      </x:c>
      <x:c r="F2489" s="11" t="n">
        <x:v>3.0006844626967832</x:v>
      </x:c>
      <x:c r="G2489" s="26" t="b">
        <x:v>1</x:v>
      </x:c>
      <x:c r="H2489" s="16" t="n">
        <x:v>0</x:v>
      </x:c>
      <x:c r="I2489" s="16" t="n">
        <x:v>0</x:v>
      </x:c>
      <x:c r="J2489" s="16" t="n">
        <x:v>0</x:v>
      </x:c>
      <x:c r="K2489" s="11" t="n">
        <x:f>CHOOSE('假设'!$B$3,H2489,I2489,J2489)</x:f>
        <x:v>0</x:v>
      </x:c>
      <x:c r="L2489" s="11" t="n">
        <x:f>K2489*'管线假设'!E547*'管线假设'!F547*'管线假设'!G547*IF(E2489="USD",'管线假设'!I547,1)-AM2489</x:f>
        <x:v>0</x:v>
      </x:c>
      <x:c r="M2489" s="11" t="n">
        <x:f>'管线假设'!H547</x:f>
        <x:v>0.135</x:v>
      </x:c>
      <x:c r="N2489" s="11" t="n">
        <x:f>IF(G2489,L2489*AN2489/(1+M2489)^F2489,0)</x:f>
        <x:v>0</x:v>
      </x:c>
      <x:c r="AJ2489" t="n">
        <x:v>0</x:v>
      </x:c>
      <x:c r="AK2489" t="n">
        <x:v>0</x:v>
      </x:c>
      <x:c r="AL2489" t="n">
        <x:v>0</x:v>
      </x:c>
      <x:c r="AM2489" t="n">
        <x:f>CHOOSE('假设'!$B$3,AJ2489,AK2489,AL2489)</x:f>
        <x:v>0</x:v>
      </x:c>
      <x:c r="AN2489" t="n">
        <x:v>1</x:v>
      </x:c>
    </x:row>
    <x:row r="2490" ht="23" customHeight="1">
      <x:c r="A2490" s="11" t="str">
        <x:v>688382.SH</x:v>
      </x:c>
      <x:c r="B2490" s="11" t="str">
        <x:v>2026年底</x:v>
      </x:c>
      <x:c r="C2490" s="11" t="str">
        <x:v>tyk_global</x:v>
      </x:c>
      <x:c r="D2490" s="11" t="str">
        <x:v>2030-12-31</x:v>
      </x:c>
      <x:c r="E2490" s="11" t="str">
        <x:v>USD</x:v>
      </x:c>
      <x:c r="F2490" s="11" t="n">
        <x:v>4</x:v>
      </x:c>
      <x:c r="G2490" s="26" t="b">
        <x:v>1</x:v>
      </x:c>
      <x:c r="H2490" s="16" t="n">
        <x:v>0</x:v>
      </x:c>
      <x:c r="I2490" s="16" t="n">
        <x:v>0</x:v>
      </x:c>
      <x:c r="J2490" s="16" t="n">
        <x:v>0.6666666666666666</x:v>
      </x:c>
      <x:c r="K2490" s="11" t="n">
        <x:f>CHOOSE('假设'!$B$3,H2490,I2490,J2490)</x:f>
        <x:v>0</x:v>
      </x:c>
      <x:c r="L2490" s="11" t="n">
        <x:f>K2490*'管线假设'!E547*'管线假设'!F547*'管线假设'!G547*IF(E2490="USD",'管线假设'!I547,1)-AM2490</x:f>
        <x:v>0</x:v>
      </x:c>
      <x:c r="M2490" s="11" t="n">
        <x:f>'管线假设'!H547</x:f>
        <x:v>0.135</x:v>
      </x:c>
      <x:c r="N2490" s="11" t="n">
        <x:f>IF(G2490,L2490*AN2490/(1+M2490)^F2490,0)</x:f>
        <x:v>0</x:v>
      </x:c>
      <x:c r="AJ2490" t="n">
        <x:v>0</x:v>
      </x:c>
      <x:c r="AK2490" t="n">
        <x:v>0</x:v>
      </x:c>
      <x:c r="AL2490" t="n">
        <x:v>0</x:v>
      </x:c>
      <x:c r="AM2490" t="n">
        <x:f>CHOOSE('假设'!$B$3,AJ2490,AK2490,AL2490)</x:f>
        <x:v>0</x:v>
      </x:c>
      <x:c r="AN2490" t="n">
        <x:v>1</x:v>
      </x:c>
    </x:row>
    <x:row r="2491" ht="23" customHeight="1">
      <x:c r="A2491" s="11" t="str">
        <x:v>688382.SH</x:v>
      </x:c>
      <x:c r="B2491" s="11" t="str">
        <x:v>2026年底</x:v>
      </x:c>
      <x:c r="C2491" s="11" t="str">
        <x:v>tyk_global</x:v>
      </x:c>
      <x:c r="D2491" s="11" t="str">
        <x:v>2031-12-31</x:v>
      </x:c>
      <x:c r="E2491" s="11" t="str">
        <x:v>USD</x:v>
      </x:c>
      <x:c r="F2491" s="11" t="n">
        <x:v>4.999315537303217</x:v>
      </x:c>
      <x:c r="G2491" s="26" t="b">
        <x:v>1</x:v>
      </x:c>
      <x:c r="H2491" s="16" t="n">
        <x:v>0</x:v>
      </x:c>
      <x:c r="I2491" s="16" t="n">
        <x:v>0</x:v>
      </x:c>
      <x:c r="J2491" s="16" t="n">
        <x:v>1.3333333333333333</x:v>
      </x:c>
      <x:c r="K2491" s="11" t="n">
        <x:f>CHOOSE('假设'!$B$3,H2491,I2491,J2491)</x:f>
        <x:v>0</x:v>
      </x:c>
      <x:c r="L2491" s="11" t="n">
        <x:f>K2491*'管线假设'!E547*'管线假设'!F547*'管线假设'!G547*IF(E2491="USD",'管线假设'!I547,1)-AM2491</x:f>
        <x:v>0</x:v>
      </x:c>
      <x:c r="M2491" s="11" t="n">
        <x:f>'管线假设'!H547</x:f>
        <x:v>0.135</x:v>
      </x:c>
      <x:c r="N2491" s="11" t="n">
        <x:f>IF(G2491,L2491*AN2491/(1+M2491)^F2491,0)</x:f>
        <x:v>0</x:v>
      </x:c>
      <x:c r="AJ2491" t="n">
        <x:v>0</x:v>
      </x:c>
      <x:c r="AK2491" t="n">
        <x:v>0</x:v>
      </x:c>
      <x:c r="AL2491" t="n">
        <x:v>0</x:v>
      </x:c>
      <x:c r="AM2491" t="n">
        <x:f>CHOOSE('假设'!$B$3,AJ2491,AK2491,AL2491)</x:f>
        <x:v>0</x:v>
      </x:c>
      <x:c r="AN2491" t="n">
        <x:v>1</x:v>
      </x:c>
    </x:row>
    <x:row r="2492" ht="23" customHeight="1">
      <x:c r="A2492" s="11" t="str">
        <x:v>688382.SH</x:v>
      </x:c>
      <x:c r="B2492" s="11" t="str">
        <x:v>2026年底</x:v>
      </x:c>
      <x:c r="C2492" s="11" t="str">
        <x:v>tyk_global</x:v>
      </x:c>
      <x:c r="D2492" s="11" t="str">
        <x:v>2032-12-31</x:v>
      </x:c>
      <x:c r="E2492" s="11" t="str">
        <x:v>USD</x:v>
      </x:c>
      <x:c r="F2492" s="11" t="n">
        <x:v>6.0013689253935665</x:v>
      </x:c>
      <x:c r="G2492" s="26" t="b">
        <x:v>1</x:v>
      </x:c>
      <x:c r="H2492" s="16" t="n">
        <x:v>0</x:v>
      </x:c>
      <x:c r="I2492" s="16" t="n">
        <x:v>0.3333333333333333</x:v>
      </x:c>
      <x:c r="J2492" s="16" t="n">
        <x:v>2</x:v>
      </x:c>
      <x:c r="K2492" s="11" t="n">
        <x:f>CHOOSE('假设'!$B$3,H2492,I2492,J2492)</x:f>
        <x:v>0.3333333333333333</x:v>
      </x:c>
      <x:c r="L2492" s="11" t="n">
        <x:f>K2492*'管线假设'!E547*'管线假设'!F547*'管线假设'!G547*IF(E2492="USD",'管线假设'!I547,1)-AM2492</x:f>
        <x:v>0.06505333333333334</x:v>
      </x:c>
      <x:c r="M2492" s="11" t="n">
        <x:f>'管线假设'!H547</x:f>
        <x:v>0.135</x:v>
      </x:c>
      <x:c r="N2492" s="11" t="n">
        <x:f>IF(G2492,L2492*AN2492/(1+M2492)^F2492,0)</x:f>
        <x:v>0.030424195304508905</x:v>
      </x:c>
      <x:c r="AJ2492" t="n">
        <x:v>0</x:v>
      </x:c>
      <x:c r="AK2492" t="n">
        <x:v>0</x:v>
      </x:c>
      <x:c r="AL2492" t="n">
        <x:v>0</x:v>
      </x:c>
      <x:c r="AM2492" t="n">
        <x:f>CHOOSE('假设'!$B$3,AJ2492,AK2492,AL2492)</x:f>
        <x:v>0</x:v>
      </x:c>
      <x:c r="AN2492" t="n">
        <x:v>1</x:v>
      </x:c>
    </x:row>
    <x:row r="2493" ht="23" customHeight="1">
      <x:c r="A2493" s="11" t="str">
        <x:v>688382.SH</x:v>
      </x:c>
      <x:c r="B2493" s="11" t="str">
        <x:v>2026年底</x:v>
      </x:c>
      <x:c r="C2493" s="11" t="str">
        <x:v>tyk_global</x:v>
      </x:c>
      <x:c r="D2493" s="11" t="str">
        <x:v>2033-12-31</x:v>
      </x:c>
      <x:c r="E2493" s="11" t="str">
        <x:v>USD</x:v>
      </x:c>
      <x:c r="F2493" s="11" t="n">
        <x:v>7.000684462696783</x:v>
      </x:c>
      <x:c r="G2493" s="26" t="b">
        <x:v>1</x:v>
      </x:c>
      <x:c r="H2493" s="16" t="n">
        <x:v>0</x:v>
      </x:c>
      <x:c r="I2493" s="16" t="n">
        <x:v>0.6666666666666666</x:v>
      </x:c>
      <x:c r="J2493" s="16" t="n">
        <x:v>2.6666666666666665</x:v>
      </x:c>
      <x:c r="K2493" s="11" t="n">
        <x:f>CHOOSE('假设'!$B$3,H2493,I2493,J2493)</x:f>
        <x:v>0.6666666666666666</x:v>
      </x:c>
      <x:c r="L2493" s="11" t="n">
        <x:f>K2493*'管线假设'!E547*'管线假设'!F547*'管线假设'!G547*IF(E2493="USD",'管线假设'!I547,1)-AM2493</x:f>
        <x:v>0.13010666666666668</x:v>
      </x:c>
      <x:c r="M2493" s="11" t="n">
        <x:f>'管线假设'!H547</x:f>
        <x:v>0.135</x:v>
      </x:c>
      <x:c r="N2493" s="11" t="n">
        <x:f>IF(G2493,L2493*AN2493/(1+M2493)^F2493,0)</x:f>
        <x:v>0.05361556378120486</x:v>
      </x:c>
      <x:c r="AJ2493" t="n">
        <x:v>0</x:v>
      </x:c>
      <x:c r="AK2493" t="n">
        <x:v>0</x:v>
      </x:c>
      <x:c r="AL2493" t="n">
        <x:v>0</x:v>
      </x:c>
      <x:c r="AM2493" t="n">
        <x:f>CHOOSE('假设'!$B$3,AJ2493,AK2493,AL2493)</x:f>
        <x:v>0</x:v>
      </x:c>
      <x:c r="AN2493" t="n">
        <x:v>1</x:v>
      </x:c>
    </x:row>
    <x:row r="2494" ht="23" customHeight="1">
      <x:c r="A2494" s="11" t="str">
        <x:v>688382.SH</x:v>
      </x:c>
      <x:c r="B2494" s="11" t="str">
        <x:v>2026年底</x:v>
      </x:c>
      <x:c r="C2494" s="11" t="str">
        <x:v>tyk_global</x:v>
      </x:c>
      <x:c r="D2494" s="11" t="str">
        <x:v>2034-12-31</x:v>
      </x:c>
      <x:c r="E2494" s="11" t="str">
        <x:v>USD</x:v>
      </x:c>
      <x:c r="F2494" s="11" t="n">
        <x:v>8</x:v>
      </x:c>
      <x:c r="G2494" s="26" t="b">
        <x:v>1</x:v>
      </x:c>
      <x:c r="H2494" s="16" t="n">
        <x:v>0</x:v>
      </x:c>
      <x:c r="I2494" s="16" t="n">
        <x:v>1</x:v>
      </x:c>
      <x:c r="J2494" s="16" t="n">
        <x:v>3.3333333333333335</x:v>
      </x:c>
      <x:c r="K2494" s="11" t="n">
        <x:f>CHOOSE('假设'!$B$3,H2494,I2494,J2494)</x:f>
        <x:v>1</x:v>
      </x:c>
      <x:c r="L2494" s="11" t="n">
        <x:f>K2494*'管线假设'!E547*'管线假设'!F547*'管线假设'!G547*IF(E2494="USD",'管线假设'!I547,1)-AM2494</x:f>
        <x:v>0.19516000000000003</x:v>
      </x:c>
      <x:c r="M2494" s="11" t="n">
        <x:f>'管线假设'!H547</x:f>
        <x:v>0.135</x:v>
      </x:c>
      <x:c r="N2494" s="11" t="n">
        <x:f>IF(G2494,L2494*AN2494/(1+M2494)^F2494,0)</x:f>
        <x:v>0.07086371514854223</x:v>
      </x:c>
      <x:c r="AJ2494" t="n">
        <x:v>0</x:v>
      </x:c>
      <x:c r="AK2494" t="n">
        <x:v>0</x:v>
      </x:c>
      <x:c r="AL2494" t="n">
        <x:v>0</x:v>
      </x:c>
      <x:c r="AM2494" t="n">
        <x:f>CHOOSE('假设'!$B$3,AJ2494,AK2494,AL2494)</x:f>
        <x:v>0</x:v>
      </x:c>
      <x:c r="AN2494" t="n">
        <x:v>1</x:v>
      </x:c>
    </x:row>
    <x:row r="2495" ht="23" customHeight="1">
      <x:c r="A2495" s="11" t="str">
        <x:v>688382.SH</x:v>
      </x:c>
      <x:c r="B2495" s="11" t="str">
        <x:v>2026年底</x:v>
      </x:c>
      <x:c r="C2495" s="11" t="str">
        <x:v>tyk_global</x:v>
      </x:c>
      <x:c r="D2495" s="11" t="str">
        <x:v>2035-12-31</x:v>
      </x:c>
      <x:c r="E2495" s="11" t="str">
        <x:v>USD</x:v>
      </x:c>
      <x:c r="F2495" s="11" t="n">
        <x:v>8.999315537303216</x:v>
      </x:c>
      <x:c r="G2495" s="26" t="b">
        <x:v>1</x:v>
      </x:c>
      <x:c r="H2495" s="16" t="n">
        <x:v>0.13999999999999999</x:v>
      </x:c>
      <x:c r="I2495" s="16" t="n">
        <x:v>1.3333333333333333</x:v>
      </x:c>
      <x:c r="J2495" s="16" t="n">
        <x:v>4</x:v>
      </x:c>
      <x:c r="K2495" s="11" t="n">
        <x:f>CHOOSE('假设'!$B$3,H2495,I2495,J2495)</x:f>
        <x:v>1.3333333333333333</x:v>
      </x:c>
      <x:c r="L2495" s="11" t="n">
        <x:f>K2495*'管线假设'!E547*'管线假设'!F547*'管线假设'!G547*IF(E2495="USD",'管线假设'!I547,1)-AM2495</x:f>
        <x:v>0.26021333333333335</x:v>
      </x:c>
      <x:c r="M2495" s="11" t="n">
        <x:f>'管线假设'!H547</x:f>
        <x:v>0.135</x:v>
      </x:c>
      <x:c r="N2495" s="11" t="n">
        <x:f>IF(G2495,L2495*AN2495/(1+M2495)^F2495,0)</x:f>
        <x:v>0.08325387083739287</x:v>
      </x:c>
      <x:c r="AJ2495" t="n">
        <x:v>0</x:v>
      </x:c>
      <x:c r="AK2495" t="n">
        <x:v>0</x:v>
      </x:c>
      <x:c r="AL2495" t="n">
        <x:v>0</x:v>
      </x:c>
      <x:c r="AM2495" t="n">
        <x:f>CHOOSE('假设'!$B$3,AJ2495,AK2495,AL2495)</x:f>
        <x:v>0</x:v>
      </x:c>
      <x:c r="AN2495" t="n">
        <x:v>1</x:v>
      </x:c>
    </x:row>
    <x:row r="2496" ht="23" customHeight="1">
      <x:c r="A2496" s="11" t="str">
        <x:v>688382.SH</x:v>
      </x:c>
      <x:c r="B2496" s="11" t="str">
        <x:v>2026年底</x:v>
      </x:c>
      <x:c r="C2496" s="11" t="str">
        <x:v>tyk_global</x:v>
      </x:c>
      <x:c r="D2496" s="11" t="str">
        <x:v>2036-12-31</x:v>
      </x:c>
      <x:c r="E2496" s="11" t="str">
        <x:v>USD</x:v>
      </x:c>
      <x:c r="F2496" s="11" t="n">
        <x:v>10.001368925393566</x:v>
      </x:c>
      <x:c r="G2496" s="26" t="b">
        <x:v>1</x:v>
      </x:c>
      <x:c r="H2496" s="16" t="n">
        <x:v>0.27999999999999997</x:v>
      </x:c>
      <x:c r="I2496" s="16" t="n">
        <x:v>1.6666666666666667</x:v>
      </x:c>
      <x:c r="J2496" s="16" t="n">
        <x:v>3.48</x:v>
      </x:c>
      <x:c r="K2496" s="11" t="n">
        <x:f>CHOOSE('假设'!$B$3,H2496,I2496,J2496)</x:f>
        <x:v>1.6666666666666667</x:v>
      </x:c>
      <x:c r="L2496" s="11" t="n">
        <x:f>K2496*'管线假设'!E547*'管线假设'!F547*'管线假设'!G547*IF(E2496="USD",'管线假设'!I547,1)-AM2496</x:f>
        <x:v>0.32526666666666676</x:v>
      </x:c>
      <x:c r="M2496" s="11" t="n">
        <x:f>'管线假设'!H547</x:f>
        <x:v>0.135</x:v>
      </x:c>
      <x:c r="N2496" s="11" t="n">
        <x:f>IF(G2496,L2496*AN2496/(1+M2496)^F2496,0)</x:f>
        <x:v>0.09166544656670222</x:v>
      </x:c>
      <x:c r="AJ2496" t="n">
        <x:v>0</x:v>
      </x:c>
      <x:c r="AK2496" t="n">
        <x:v>0</x:v>
      </x:c>
      <x:c r="AL2496" t="n">
        <x:v>0</x:v>
      </x:c>
      <x:c r="AM2496" t="n">
        <x:f>CHOOSE('假设'!$B$3,AJ2496,AK2496,AL2496)</x:f>
        <x:v>0</x:v>
      </x:c>
      <x:c r="AN2496" t="n">
        <x:v>1</x:v>
      </x:c>
    </x:row>
    <x:row r="2497" ht="23" customHeight="1">
      <x:c r="A2497" s="11" t="str">
        <x:v>688382.SH</x:v>
      </x:c>
      <x:c r="B2497" s="11" t="str">
        <x:v>2026年底</x:v>
      </x:c>
      <x:c r="C2497" s="11" t="str">
        <x:v>tyk_global</x:v>
      </x:c>
      <x:c r="D2497" s="11" t="str">
        <x:v>2037-12-31</x:v>
      </x:c>
      <x:c r="E2497" s="11" t="str">
        <x:v>USD</x:v>
      </x:c>
      <x:c r="F2497" s="11" t="n">
        <x:v>11.000684462696784</x:v>
      </x:c>
      <x:c r="G2497" s="26" t="b">
        <x:v>1</x:v>
      </x:c>
      <x:c r="H2497" s="16" t="n">
        <x:v>0.42</x:v>
      </x:c>
      <x:c r="I2497" s="16" t="n">
        <x:v>2</x:v>
      </x:c>
      <x:c r="J2497" s="16" t="n">
        <x:v>2.96</x:v>
      </x:c>
      <x:c r="K2497" s="11" t="n">
        <x:f>CHOOSE('假设'!$B$3,H2497,I2497,J2497)</x:f>
        <x:v>2</x:v>
      </x:c>
      <x:c r="L2497" s="11" t="n">
        <x:f>K2497*'管线假设'!E547*'管线假设'!F547*'管线假设'!G547*IF(E2497="USD",'管线假设'!I547,1)-AM2497</x:f>
        <x:v>0.39032000000000006</x:v>
      </x:c>
      <x:c r="M2497" s="11" t="n">
        <x:f>'管线假设'!H547</x:f>
        <x:v>0.135</x:v>
      </x:c>
      <x:c r="N2497" s="11" t="n">
        <x:f>IF(G2497,L2497*AN2497/(1+M2497)^F2497,0)</x:f>
        <x:v>0.09692341009002037</x:v>
      </x:c>
      <x:c r="AJ2497" t="n">
        <x:v>0</x:v>
      </x:c>
      <x:c r="AK2497" t="n">
        <x:v>0</x:v>
      </x:c>
      <x:c r="AL2497" t="n">
        <x:v>0</x:v>
      </x:c>
      <x:c r="AM2497" t="n">
        <x:f>CHOOSE('假设'!$B$3,AJ2497,AK2497,AL2497)</x:f>
        <x:v>0</x:v>
      </x:c>
      <x:c r="AN2497" t="n">
        <x:v>1</x:v>
      </x:c>
    </x:row>
    <x:row r="2498" ht="23" customHeight="1">
      <x:c r="A2498" s="11" t="str">
        <x:v>688382.SH</x:v>
      </x:c>
      <x:c r="B2498" s="11" t="str">
        <x:v>2026年底</x:v>
      </x:c>
      <x:c r="C2498" s="11" t="str">
        <x:v>tyk_global</x:v>
      </x:c>
      <x:c r="D2498" s="11" t="str">
        <x:v>2038-12-31</x:v>
      </x:c>
      <x:c r="E2498" s="11" t="str">
        <x:v>USD</x:v>
      </x:c>
      <x:c r="F2498" s="11" t="n">
        <x:v>12</x:v>
      </x:c>
      <x:c r="G2498" s="26" t="b">
        <x:v>1</x:v>
      </x:c>
      <x:c r="H2498" s="16" t="n">
        <x:v>0.5599999999999999</x:v>
      </x:c>
      <x:c r="I2498" s="16" t="n">
        <x:v>1.74</x:v>
      </x:c>
      <x:c r="J2498" s="16" t="n">
        <x:v>2.44</x:v>
      </x:c>
      <x:c r="K2498" s="11" t="n">
        <x:f>CHOOSE('假设'!$B$3,H2498,I2498,J2498)</x:f>
        <x:v>1.74</x:v>
      </x:c>
      <x:c r="L2498" s="11" t="n">
        <x:f>K2498*'管线假设'!E547*'管线假设'!F547*'管线假设'!G547*IF(E2498="USD",'管线假设'!I547,1)-AM2498</x:f>
        <x:v>0.33957840000000006</x:v>
      </x:c>
      <x:c r="M2498" s="11" t="n">
        <x:f>'管线假设'!H547</x:f>
        <x:v>0.135</x:v>
      </x:c>
      <x:c r="N2498" s="11" t="n">
        <x:f>IF(G2498,L2498*AN2498/(1+M2498)^F2498,0)</x:f>
        <x:v>0.07430015493423421</x:v>
      </x:c>
      <x:c r="AJ2498" t="n">
        <x:v>0</x:v>
      </x:c>
      <x:c r="AK2498" t="n">
        <x:v>0</x:v>
      </x:c>
      <x:c r="AL2498" t="n">
        <x:v>0</x:v>
      </x:c>
      <x:c r="AM2498" t="n">
        <x:f>CHOOSE('假设'!$B$3,AJ2498,AK2498,AL2498)</x:f>
        <x:v>0</x:v>
      </x:c>
      <x:c r="AN2498" t="n">
        <x:v>1</x:v>
      </x:c>
    </x:row>
    <x:row r="2499" ht="23" customHeight="1">
      <x:c r="A2499" s="11" t="str">
        <x:v>688382.SH</x:v>
      </x:c>
      <x:c r="B2499" s="11" t="str">
        <x:v>2026年底</x:v>
      </x:c>
      <x:c r="C2499" s="11" t="str">
        <x:v>tyk_global</x:v>
      </x:c>
      <x:c r="D2499" s="11" t="str">
        <x:v>2039-12-31</x:v>
      </x:c>
      <x:c r="E2499" s="11" t="str">
        <x:v>USD</x:v>
      </x:c>
      <x:c r="F2499" s="11" t="n">
        <x:v>12.999315537303216</x:v>
      </x:c>
      <x:c r="G2499" s="26" t="b">
        <x:v>1</x:v>
      </x:c>
      <x:c r="H2499" s="16" t="n">
        <x:v>0.7</x:v>
      </x:c>
      <x:c r="I2499" s="16" t="n">
        <x:v>1.48</x:v>
      </x:c>
      <x:c r="J2499" s="16" t="n">
        <x:v>1.92</x:v>
      </x:c>
      <x:c r="K2499" s="11" t="n">
        <x:f>CHOOSE('假设'!$B$3,H2499,I2499,J2499)</x:f>
        <x:v>1.48</x:v>
      </x:c>
      <x:c r="L2499" s="11" t="n">
        <x:f>K2499*'管线假设'!E547*'管线假设'!F547*'管线假设'!G547*IF(E2499="USD",'管线假设'!I547,1)-AM2499</x:f>
        <x:v>0.28883680000000006</x:v>
      </x:c>
      <x:c r="M2499" s="11" t="n">
        <x:f>'管线假设'!H547</x:f>
        <x:v>0.135</x:v>
      </x:c>
      <x:c r="N2499" s="11" t="n">
        <x:f>IF(G2499,L2499*AN2499/(1+M2499)^F2499,0)</x:f>
        <x:v>0.05568573644292596</x:v>
      </x:c>
      <x:c r="AJ2499" t="n">
        <x:v>0</x:v>
      </x:c>
      <x:c r="AK2499" t="n">
        <x:v>0</x:v>
      </x:c>
      <x:c r="AL2499" t="n">
        <x:v>0</x:v>
      </x:c>
      <x:c r="AM2499" t="n">
        <x:f>CHOOSE('假设'!$B$3,AJ2499,AK2499,AL2499)</x:f>
        <x:v>0</x:v>
      </x:c>
      <x:c r="AN2499" t="n">
        <x:v>1</x:v>
      </x:c>
    </x:row>
    <x:row r="2500" ht="23" customHeight="1">
      <x:c r="A2500" s="11" t="str">
        <x:v>688382.SH</x:v>
      </x:c>
      <x:c r="B2500" s="11" t="str">
        <x:v>2026年底</x:v>
      </x:c>
      <x:c r="C2500" s="11" t="str">
        <x:v>tyk_global</x:v>
      </x:c>
      <x:c r="D2500" s="11" t="str">
        <x:v>2040-12-31</x:v>
      </x:c>
      <x:c r="E2500" s="11" t="str">
        <x:v>USD</x:v>
      </x:c>
      <x:c r="F2500" s="11" t="n">
        <x:v>14.001368925393566</x:v>
      </x:c>
      <x:c r="G2500" s="26" t="b">
        <x:v>1</x:v>
      </x:c>
      <x:c r="H2500" s="16" t="n">
        <x:v>0.609</x:v>
      </x:c>
      <x:c r="I2500" s="16" t="n">
        <x:v>1.22</x:v>
      </x:c>
      <x:c r="J2500" s="16" t="n">
        <x:v>1.4</x:v>
      </x:c>
      <x:c r="K2500" s="11" t="n">
        <x:f>CHOOSE('假设'!$B$3,H2500,I2500,J2500)</x:f>
        <x:v>1.22</x:v>
      </x:c>
      <x:c r="L2500" s="11" t="n">
        <x:f>K2500*'管线假设'!E547*'管线假设'!F547*'管线假设'!G547*IF(E2500="USD",'管线假设'!I547,1)-AM2500</x:f>
        <x:v>0.2380952</x:v>
      </x:c>
      <x:c r="M2500" s="11" t="n">
        <x:f>'管线假设'!H547</x:f>
        <x:v>0.135</x:v>
      </x:c>
      <x:c r="N2500" s="11" t="n">
        <x:f>IF(G2500,L2500*AN2500/(1+M2500)^F2500,0)</x:f>
        <x:v>0.04043275120638115</x:v>
      </x:c>
      <x:c r="AJ2500" t="n">
        <x:v>0</x:v>
      </x:c>
      <x:c r="AK2500" t="n">
        <x:v>0</x:v>
      </x:c>
      <x:c r="AL2500" t="n">
        <x:v>0</x:v>
      </x:c>
      <x:c r="AM2500" t="n">
        <x:f>CHOOSE('假设'!$B$3,AJ2500,AK2500,AL2500)</x:f>
        <x:v>0</x:v>
      </x:c>
      <x:c r="AN2500" t="n">
        <x:v>1</x:v>
      </x:c>
    </x:row>
    <x:row r="2501" ht="23" customHeight="1">
      <x:c r="A2501" s="11" t="str">
        <x:v>688382.SH</x:v>
      </x:c>
      <x:c r="B2501" s="11" t="str">
        <x:v>2026年底</x:v>
      </x:c>
      <x:c r="C2501" s="11" t="str">
        <x:v>tyk_global</x:v>
      </x:c>
      <x:c r="D2501" s="11" t="str">
        <x:v>2041-12-31</x:v>
      </x:c>
      <x:c r="E2501" s="11" t="str">
        <x:v>USD</x:v>
      </x:c>
      <x:c r="F2501" s="11" t="n">
        <x:v>15.000684462696784</x:v>
      </x:c>
      <x:c r="G2501" s="26" t="b">
        <x:v>1</x:v>
      </x:c>
      <x:c r="H2501" s="16" t="n">
        <x:v>0.518</x:v>
      </x:c>
      <x:c r="I2501" s="16" t="n">
        <x:v>0.96</x:v>
      </x:c>
      <x:c r="J2501" s="16" t="n">
        <x:v>0.8799999999999999</x:v>
      </x:c>
      <x:c r="K2501" s="11" t="n">
        <x:f>CHOOSE('假设'!$B$3,H2501,I2501,J2501)</x:f>
        <x:v>0.96</x:v>
      </x:c>
      <x:c r="L2501" s="11" t="n">
        <x:f>K2501*'管线假设'!E547*'管线假设'!F547*'管线假设'!G547*IF(E2501="USD",'管线假设'!I547,1)-AM2501</x:f>
        <x:v>0.1873536</x:v>
      </x:c>
      <x:c r="M2501" s="11" t="n">
        <x:f>'管线假设'!H547</x:f>
        <x:v>0.135</x:v>
      </x:c>
      <x:c r="N2501" s="11" t="n">
        <x:f>IF(G2501,L2501*AN2501/(1+M2501)^F2501,0)</x:f>
        <x:v>0.028034090882458028</x:v>
      </x:c>
      <x:c r="AJ2501" t="n">
        <x:v>0</x:v>
      </x:c>
      <x:c r="AK2501" t="n">
        <x:v>0</x:v>
      </x:c>
      <x:c r="AL2501" t="n">
        <x:v>0</x:v>
      </x:c>
      <x:c r="AM2501" t="n">
        <x:f>CHOOSE('假设'!$B$3,AJ2501,AK2501,AL2501)</x:f>
        <x:v>0</x:v>
      </x:c>
      <x:c r="AN2501" t="n">
        <x:v>1</x:v>
      </x:c>
    </x:row>
    <x:row r="2502" ht="23" customHeight="1">
      <x:c r="A2502" s="11" t="str">
        <x:v>688382.SH</x:v>
      </x:c>
      <x:c r="B2502" s="11" t="str">
        <x:v>2026年底</x:v>
      </x:c>
      <x:c r="C2502" s="11" t="str">
        <x:v>tyk_global</x:v>
      </x:c>
      <x:c r="D2502" s="11" t="str">
        <x:v>2042-12-31</x:v>
      </x:c>
      <x:c r="E2502" s="11" t="str">
        <x:v>USD</x:v>
      </x:c>
      <x:c r="F2502" s="11" t="n">
        <x:v>16</x:v>
      </x:c>
      <x:c r="G2502" s="26" t="b">
        <x:v>1</x:v>
      </x:c>
      <x:c r="H2502" s="16" t="n">
        <x:v>0.427</x:v>
      </x:c>
      <x:c r="I2502" s="16" t="n">
        <x:v>0.7</x:v>
      </x:c>
      <x:c r="J2502" s="16" t="n">
        <x:v>0.3599999999999999</x:v>
      </x:c>
      <x:c r="K2502" s="11" t="n">
        <x:f>CHOOSE('假设'!$B$3,H2502,I2502,J2502)</x:f>
        <x:v>0.7</x:v>
      </x:c>
      <x:c r="L2502" s="11" t="n">
        <x:f>K2502*'管线假设'!E547*'管线假设'!F547*'管线假设'!G547*IF(E2502="USD",'管线假设'!I547,1)-AM2502</x:f>
        <x:v>0.136612</x:v>
      </x:c>
      <x:c r="M2502" s="11" t="n">
        <x:f>'管线假设'!H547</x:f>
        <x:v>0.135</x:v>
      </x:c>
      <x:c r="N2502" s="11" t="n">
        <x:f>IF(G2502,L2502*AN2502/(1+M2502)^F2502,0)</x:f>
        <x:v>0.018011714937782395</x:v>
      </x:c>
      <x:c r="AJ2502" t="n">
        <x:v>0</x:v>
      </x:c>
      <x:c r="AK2502" t="n">
        <x:v>0</x:v>
      </x:c>
      <x:c r="AL2502" t="n">
        <x:v>0</x:v>
      </x:c>
      <x:c r="AM2502" t="n">
        <x:f>CHOOSE('假设'!$B$3,AJ2502,AK2502,AL2502)</x:f>
        <x:v>0</x:v>
      </x:c>
      <x:c r="AN2502" t="n">
        <x:v>1</x:v>
      </x:c>
    </x:row>
    <x:row r="2503" ht="23" customHeight="1">
      <x:c r="A2503" s="11" t="str">
        <x:v>688382.SH</x:v>
      </x:c>
      <x:c r="B2503" s="11" t="str">
        <x:v>2026年底</x:v>
      </x:c>
      <x:c r="C2503" s="11" t="str">
        <x:v>tyk_global</x:v>
      </x:c>
      <x:c r="D2503" s="11" t="str">
        <x:v>2043-12-31</x:v>
      </x:c>
      <x:c r="E2503" s="11" t="str">
        <x:v>USD</x:v>
      </x:c>
      <x:c r="F2503" s="11" t="n">
        <x:v>16.999315537303218</x:v>
      </x:c>
      <x:c r="G2503" s="26" t="b">
        <x:v>1</x:v>
      </x:c>
      <x:c r="H2503" s="16" t="n">
        <x:v>0.33599999999999997</x:v>
      </x:c>
      <x:c r="I2503" s="16" t="n">
        <x:v>0.43999999999999995</x:v>
      </x:c>
      <x:c r="J2503" s="16" t="n">
        <x:v>0</x:v>
      </x:c>
      <x:c r="K2503" s="11" t="n">
        <x:f>CHOOSE('假设'!$B$3,H2503,I2503,J2503)</x:f>
        <x:v>0.43999999999999995</x:v>
      </x:c>
      <x:c r="L2503" s="11" t="n">
        <x:f>K2503*'管线假设'!E547*'管线假设'!F547*'管线假设'!G547*IF(E2503="USD",'管线假设'!I547,1)-AM2503</x:f>
        <x:v>0.0858704</x:v>
      </x:c>
      <x:c r="M2503" s="11" t="n">
        <x:f>'管线假设'!H547</x:f>
        <x:v>0.135</x:v>
      </x:c>
      <x:c r="N2503" s="11" t="n">
        <x:f>IF(G2503,L2503*AN2503/(1+M2503)^F2503,0)</x:f>
        <x:v>0.00997588611422113</x:v>
      </x:c>
      <x:c r="AJ2503" t="n">
        <x:v>0</x:v>
      </x:c>
      <x:c r="AK2503" t="n">
        <x:v>0</x:v>
      </x:c>
      <x:c r="AL2503" t="n">
        <x:v>0</x:v>
      </x:c>
      <x:c r="AM2503" t="n">
        <x:f>CHOOSE('假设'!$B$3,AJ2503,AK2503,AL2503)</x:f>
        <x:v>0</x:v>
      </x:c>
      <x:c r="AN2503" t="n">
        <x:v>1</x:v>
      </x:c>
    </x:row>
    <x:row r="2504" ht="23" customHeight="1">
      <x:c r="A2504" s="11" t="str">
        <x:v>688382.SH</x:v>
      </x:c>
      <x:c r="B2504" s="11" t="str">
        <x:v>2026年底</x:v>
      </x:c>
      <x:c r="C2504" s="11" t="str">
        <x:v>tyk_global</x:v>
      </x:c>
      <x:c r="D2504" s="11" t="str">
        <x:v>2044-12-31</x:v>
      </x:c>
      <x:c r="E2504" s="11" t="str">
        <x:v>USD</x:v>
      </x:c>
      <x:c r="F2504" s="11" t="n">
        <x:v>18.001368925393567</x:v>
      </x:c>
      <x:c r="G2504" s="26" t="b">
        <x:v>1</x:v>
      </x:c>
      <x:c r="H2504" s="16" t="n">
        <x:v>0.24499999999999997</x:v>
      </x:c>
      <x:c r="I2504" s="16" t="n">
        <x:v>0.17999999999999994</x:v>
      </x:c>
      <x:c r="J2504" s="16" t="n">
        <x:v>0</x:v>
      </x:c>
      <x:c r="K2504" s="11" t="n">
        <x:f>CHOOSE('假设'!$B$3,H2504,I2504,J2504)</x:f>
        <x:v>0.17999999999999994</x:v>
      </x:c>
      <x:c r="L2504" s="11" t="n">
        <x:f>K2504*'管线假设'!E547*'管线假设'!F547*'管线假设'!G547*IF(E2504="USD",'管线假设'!I547,1)-AM2504</x:f>
        <x:v>0.03512879999999999</x:v>
      </x:c>
      <x:c r="M2504" s="11" t="n">
        <x:f>'管线假设'!H547</x:f>
        <x:v>0.135</x:v>
      </x:c>
      <x:c r="N2504" s="11" t="n">
        <x:f>IF(G2504,L2504*AN2504/(1+M2504)^F2504,0)</x:f>
        <x:v>0.003594698924996943</x:v>
      </x:c>
      <x:c r="AJ2504" t="n">
        <x:v>0</x:v>
      </x:c>
      <x:c r="AK2504" t="n">
        <x:v>0</x:v>
      </x:c>
      <x:c r="AL2504" t="n">
        <x:v>0</x:v>
      </x:c>
      <x:c r="AM2504" t="n">
        <x:f>CHOOSE('假设'!$B$3,AJ2504,AK2504,AL2504)</x:f>
        <x:v>0</x:v>
      </x:c>
      <x:c r="AN2504" t="n">
        <x:v>1</x:v>
      </x:c>
    </x:row>
    <x:row r="2505" ht="23" customHeight="1">
      <x:c r="A2505" s="11" t="str">
        <x:v>688382.SH</x:v>
      </x:c>
      <x:c r="B2505" s="11" t="str">
        <x:v>2026年底</x:v>
      </x:c>
      <x:c r="C2505" s="11" t="str">
        <x:v>tyk_global</x:v>
      </x:c>
      <x:c r="D2505" s="11" t="str">
        <x:v>2045-12-31</x:v>
      </x:c>
      <x:c r="E2505" s="11" t="str">
        <x:v>USD</x:v>
      </x:c>
      <x:c r="F2505" s="11" t="n">
        <x:v>19.000684462696782</x:v>
      </x:c>
      <x:c r="G2505" s="26" t="b">
        <x:v>1</x:v>
      </x:c>
      <x:c r="H2505" s="16" t="n">
        <x:v>0.15399999999999997</x:v>
      </x:c>
      <x:c r="I2505" s="16" t="n">
        <x:v>0</x:v>
      </x:c>
      <x:c r="J2505" s="16" t="n">
        <x:v>0</x:v>
      </x:c>
      <x:c r="K2505" s="11" t="n">
        <x:f>CHOOSE('假设'!$B$3,H2505,I2505,J2505)</x:f>
        <x:v>0</x:v>
      </x:c>
      <x:c r="L2505" s="11" t="n">
        <x:f>K2505*'管线假设'!E547*'管线假设'!F547*'管线假设'!G547*IF(E2505="USD",'管线假设'!I547,1)-AM2505</x:f>
        <x:v>0</x:v>
      </x:c>
      <x:c r="M2505" s="11" t="n">
        <x:f>'管线假设'!H547</x:f>
        <x:v>0.135</x:v>
      </x:c>
      <x:c r="N2505" s="11" t="n">
        <x:f>IF(G2505,L2505*AN2505/(1+M2505)^F2505,0)</x:f>
        <x:v>0</x:v>
      </x:c>
      <x:c r="AJ2505" t="n">
        <x:v>0</x:v>
      </x:c>
      <x:c r="AK2505" t="n">
        <x:v>0</x:v>
      </x:c>
      <x:c r="AL2505" t="n">
        <x:v>0</x:v>
      </x:c>
      <x:c r="AM2505" t="n">
        <x:f>CHOOSE('假设'!$B$3,AJ2505,AK2505,AL2505)</x:f>
        <x:v>0</x:v>
      </x:c>
      <x:c r="AN2505" t="n">
        <x:v>1</x:v>
      </x:c>
    </x:row>
    <x:row r="2506" ht="23" customHeight="1">
      <x:c r="A2506" s="11" t="str">
        <x:v>688382.SH</x:v>
      </x:c>
      <x:c r="B2506" s="11" t="str">
        <x:v>2026年底</x:v>
      </x:c>
      <x:c r="C2506" s="11" t="str">
        <x:v>serd_cn</x:v>
      </x:c>
      <x:c r="D2506" s="11" t="str">
        <x:v>2027-12-31</x:v>
      </x:c>
      <x:c r="E2506" s="11" t="str">
        <x:v>CNY</x:v>
      </x:c>
      <x:c r="F2506" s="11" t="n">
        <x:v>0.999315537303217</x:v>
      </x:c>
      <x:c r="G2506" s="26" t="b">
        <x:v>1</x:v>
      </x:c>
      <x:c r="H2506" s="16" t="n">
        <x:v>0</x:v>
      </x:c>
      <x:c r="I2506" s="16" t="n">
        <x:v>0</x:v>
      </x:c>
      <x:c r="J2506" s="16" t="n">
        <x:v>0</x:v>
      </x:c>
      <x:c r="K2506" s="11" t="n">
        <x:f>CHOOSE('假设'!$B$3,H2506,I2506,J2506)</x:f>
        <x:v>0</x:v>
      </x:c>
      <x:c r="L2506" s="11" t="n">
        <x:f>K2506*'管线假设'!E551*'管线假设'!F551*'管线假设'!G551*IF(E2506="USD",'管线假设'!I551,1)-AM2506</x:f>
        <x:v>0</x:v>
      </x:c>
      <x:c r="M2506" s="11" t="n">
        <x:f>'管线假设'!H551</x:f>
        <x:v>0.135</x:v>
      </x:c>
      <x:c r="N2506" s="11" t="n">
        <x:f>IF(G2506,L2506*AN2506/(1+M2506)^F2506,0)</x:f>
        <x:v>0</x:v>
      </x:c>
      <x:c r="AJ2506" t="n">
        <x:v>0</x:v>
      </x:c>
      <x:c r="AK2506" t="n">
        <x:v>0</x:v>
      </x:c>
      <x:c r="AL2506" t="n">
        <x:v>0</x:v>
      </x:c>
      <x:c r="AM2506" t="n">
        <x:f>CHOOSE('假设'!$B$3,AJ2506,AK2506,AL2506)</x:f>
        <x:v>0</x:v>
      </x:c>
      <x:c r="AN2506" t="n">
        <x:v>1</x:v>
      </x:c>
    </x:row>
    <x:row r="2507" ht="23" customHeight="1">
      <x:c r="A2507" s="11" t="str">
        <x:v>688382.SH</x:v>
      </x:c>
      <x:c r="B2507" s="11" t="str">
        <x:v>2026年底</x:v>
      </x:c>
      <x:c r="C2507" s="11" t="str">
        <x:v>serd_cn</x:v>
      </x:c>
      <x:c r="D2507" s="11" t="str">
        <x:v>2028-12-31</x:v>
      </x:c>
      <x:c r="E2507" s="11" t="str">
        <x:v>CNY</x:v>
      </x:c>
      <x:c r="F2507" s="11" t="n">
        <x:v>2.001368925393566</x:v>
      </x:c>
      <x:c r="G2507" s="26" t="b">
        <x:v>1</x:v>
      </x:c>
      <x:c r="H2507" s="16" t="n">
        <x:v>0</x:v>
      </x:c>
      <x:c r="I2507" s="16" t="n">
        <x:v>0</x:v>
      </x:c>
      <x:c r="J2507" s="16" t="n">
        <x:v>0.4666666666666666</x:v>
      </x:c>
      <x:c r="K2507" s="11" t="n">
        <x:f>CHOOSE('假设'!$B$3,H2507,I2507,J2507)</x:f>
        <x:v>0</x:v>
      </x:c>
      <x:c r="L2507" s="11" t="n">
        <x:f>K2507*'管线假设'!E551*'管线假设'!F551*'管线假设'!G551*IF(E2507="USD",'管线假设'!I551,1)-AM2507</x:f>
        <x:v>0</x:v>
      </x:c>
      <x:c r="M2507" s="11" t="n">
        <x:f>'管线假设'!H551</x:f>
        <x:v>0.135</x:v>
      </x:c>
      <x:c r="N2507" s="11" t="n">
        <x:f>IF(G2507,L2507*AN2507/(1+M2507)^F2507,0)</x:f>
        <x:v>0</x:v>
      </x:c>
      <x:c r="AJ2507" t="n">
        <x:v>0</x:v>
      </x:c>
      <x:c r="AK2507" t="n">
        <x:v>0</x:v>
      </x:c>
      <x:c r="AL2507" t="n">
        <x:v>0</x:v>
      </x:c>
      <x:c r="AM2507" t="n">
        <x:f>CHOOSE('假设'!$B$3,AJ2507,AK2507,AL2507)</x:f>
        <x:v>0</x:v>
      </x:c>
      <x:c r="AN2507" t="n">
        <x:v>1</x:v>
      </x:c>
    </x:row>
    <x:row r="2508" ht="23" customHeight="1">
      <x:c r="A2508" s="11" t="str">
        <x:v>688382.SH</x:v>
      </x:c>
      <x:c r="B2508" s="11" t="str">
        <x:v>2026年底</x:v>
      </x:c>
      <x:c r="C2508" s="11" t="str">
        <x:v>serd_cn</x:v>
      </x:c>
      <x:c r="D2508" s="11" t="str">
        <x:v>2029-12-31</x:v>
      </x:c>
      <x:c r="E2508" s="11" t="str">
        <x:v>CNY</x:v>
      </x:c>
      <x:c r="F2508" s="11" t="n">
        <x:v>3.0006844626967832</x:v>
      </x:c>
      <x:c r="G2508" s="26" t="b">
        <x:v>1</x:v>
      </x:c>
      <x:c r="H2508" s="16" t="n">
        <x:v>0</x:v>
      </x:c>
      <x:c r="I2508" s="16" t="n">
        <x:v>0.25</x:v>
      </x:c>
      <x:c r="J2508" s="16" t="n">
        <x:v>0.9333333333333332</x:v>
      </x:c>
      <x:c r="K2508" s="11" t="n">
        <x:f>CHOOSE('假设'!$B$3,H2508,I2508,J2508)</x:f>
        <x:v>0.25</x:v>
      </x:c>
      <x:c r="L2508" s="11" t="n">
        <x:f>K2508*'管线假设'!E551*'管线假设'!F551*'管线假设'!G551*IF(E2508="USD",'管线假设'!I551,1)-AM2508</x:f>
        <x:v>0.035</x:v>
      </x:c>
      <x:c r="M2508" s="11" t="n">
        <x:f>'管线假设'!H551</x:f>
        <x:v>0.135</x:v>
      </x:c>
      <x:c r="N2508" s="11" t="n">
        <x:f>IF(G2508,L2508*AN2508/(1+M2508)^F2508,0)</x:f>
        <x:v>0.02393551725336333</x:v>
      </x:c>
      <x:c r="AJ2508" t="n">
        <x:v>0</x:v>
      </x:c>
      <x:c r="AK2508" t="n">
        <x:v>0</x:v>
      </x:c>
      <x:c r="AL2508" t="n">
        <x:v>0</x:v>
      </x:c>
      <x:c r="AM2508" t="n">
        <x:f>CHOOSE('假设'!$B$3,AJ2508,AK2508,AL2508)</x:f>
        <x:v>0</x:v>
      </x:c>
      <x:c r="AN2508" t="n">
        <x:v>1</x:v>
      </x:c>
    </x:row>
    <x:row r="2509" ht="23" customHeight="1">
      <x:c r="A2509" s="11" t="str">
        <x:v>688382.SH</x:v>
      </x:c>
      <x:c r="B2509" s="11" t="str">
        <x:v>2026年底</x:v>
      </x:c>
      <x:c r="C2509" s="11" t="str">
        <x:v>serd_cn</x:v>
      </x:c>
      <x:c r="D2509" s="11" t="str">
        <x:v>2030-12-31</x:v>
      </x:c>
      <x:c r="E2509" s="11" t="str">
        <x:v>CNY</x:v>
      </x:c>
      <x:c r="F2509" s="11" t="n">
        <x:v>4</x:v>
      </x:c>
      <x:c r="G2509" s="26" t="b">
        <x:v>1</x:v>
      </x:c>
      <x:c r="H2509" s="16" t="n">
        <x:v>0</x:v>
      </x:c>
      <x:c r="I2509" s="16" t="n">
        <x:v>0.5</x:v>
      </x:c>
      <x:c r="J2509" s="16" t="n">
        <x:v>1.4</x:v>
      </x:c>
      <x:c r="K2509" s="11" t="n">
        <x:f>CHOOSE('假设'!$B$3,H2509,I2509,J2509)</x:f>
        <x:v>0.5</x:v>
      </x:c>
      <x:c r="L2509" s="11" t="n">
        <x:f>K2509*'管线假设'!E551*'管线假设'!F551*'管线假设'!G551*IF(E2509="USD",'管线假设'!I551,1)-AM2509</x:f>
        <x:v>0.07</x:v>
      </x:c>
      <x:c r="M2509" s="11" t="n">
        <x:f>'管线假设'!H551</x:f>
        <x:v>0.135</x:v>
      </x:c>
      <x:c r="N2509" s="11" t="n">
        <x:f>IF(G2509,L2509*AN2509/(1+M2509)^F2509,0)</x:f>
        <x:v>0.042180778787718406</x:v>
      </x:c>
      <x:c r="AJ2509" t="n">
        <x:v>0</x:v>
      </x:c>
      <x:c r="AK2509" t="n">
        <x:v>0</x:v>
      </x:c>
      <x:c r="AL2509" t="n">
        <x:v>0</x:v>
      </x:c>
      <x:c r="AM2509" t="n">
        <x:f>CHOOSE('假设'!$B$3,AJ2509,AK2509,AL2509)</x:f>
        <x:v>0</x:v>
      </x:c>
      <x:c r="AN2509" t="n">
        <x:v>1</x:v>
      </x:c>
    </x:row>
    <x:row r="2510" ht="23" customHeight="1">
      <x:c r="A2510" s="11" t="str">
        <x:v>688382.SH</x:v>
      </x:c>
      <x:c r="B2510" s="11" t="str">
        <x:v>2026年底</x:v>
      </x:c>
      <x:c r="C2510" s="11" t="str">
        <x:v>serd_cn</x:v>
      </x:c>
      <x:c r="D2510" s="11" t="str">
        <x:v>2031-12-31</x:v>
      </x:c>
      <x:c r="E2510" s="11" t="str">
        <x:v>CNY</x:v>
      </x:c>
      <x:c r="F2510" s="11" t="n">
        <x:v>4.999315537303217</x:v>
      </x:c>
      <x:c r="G2510" s="26" t="b">
        <x:v>1</x:v>
      </x:c>
      <x:c r="H2510" s="16" t="n">
        <x:v>0.12</x:v>
      </x:c>
      <x:c r="I2510" s="16" t="n">
        <x:v>0.75</x:v>
      </x:c>
      <x:c r="J2510" s="16" t="n">
        <x:v>1.8666666666666665</x:v>
      </x:c>
      <x:c r="K2510" s="11" t="n">
        <x:f>CHOOSE('假设'!$B$3,H2510,I2510,J2510)</x:f>
        <x:v>0.75</x:v>
      </x:c>
      <x:c r="L2510" s="11" t="n">
        <x:f>K2510*'管线假设'!E551*'管线假设'!F551*'管线假设'!G551*IF(E2510="USD",'管线假设'!I551,1)-AM2510</x:f>
        <x:v>0.10500000000000001</x:v>
      </x:c>
      <x:c r="M2510" s="11" t="n">
        <x:f>'管线假设'!H551</x:f>
        <x:v>0.135</x:v>
      </x:c>
      <x:c r="N2510" s="11" t="n">
        <x:f>IF(G2510,L2510*AN2510/(1+M2510)^F2510,0)</x:f>
        <x:v>0.05575035459767719</x:v>
      </x:c>
      <x:c r="AJ2510" t="n">
        <x:v>0</x:v>
      </x:c>
      <x:c r="AK2510" t="n">
        <x:v>0</x:v>
      </x:c>
      <x:c r="AL2510" t="n">
        <x:v>0</x:v>
      </x:c>
      <x:c r="AM2510" t="n">
        <x:f>CHOOSE('假设'!$B$3,AJ2510,AK2510,AL2510)</x:f>
        <x:v>0</x:v>
      </x:c>
      <x:c r="AN2510" t="n">
        <x:v>1</x:v>
      </x:c>
    </x:row>
    <x:row r="2511" ht="23" customHeight="1">
      <x:c r="A2511" s="11" t="str">
        <x:v>688382.SH</x:v>
      </x:c>
      <x:c r="B2511" s="11" t="str">
        <x:v>2026年底</x:v>
      </x:c>
      <x:c r="C2511" s="11" t="str">
        <x:v>serd_cn</x:v>
      </x:c>
      <x:c r="D2511" s="11" t="str">
        <x:v>2032-12-31</x:v>
      </x:c>
      <x:c r="E2511" s="11" t="str">
        <x:v>CNY</x:v>
      </x:c>
      <x:c r="F2511" s="11" t="n">
        <x:v>6.0013689253935665</x:v>
      </x:c>
      <x:c r="G2511" s="26" t="b">
        <x:v>1</x:v>
      </x:c>
      <x:c r="H2511" s="16" t="n">
        <x:v>0.24</x:v>
      </x:c>
      <x:c r="I2511" s="16" t="n">
        <x:v>1</x:v>
      </x:c>
      <x:c r="J2511" s="16" t="n">
        <x:v>2.3333333333333335</x:v>
      </x:c>
      <x:c r="K2511" s="11" t="n">
        <x:f>CHOOSE('假设'!$B$3,H2511,I2511,J2511)</x:f>
        <x:v>1</x:v>
      </x:c>
      <x:c r="L2511" s="11" t="n">
        <x:f>K2511*'管线假设'!E551*'管线假设'!F551*'管线假设'!G551*IF(E2511="USD",'管线假设'!I551,1)-AM2511</x:f>
        <x:v>0.14</x:v>
      </x:c>
      <x:c r="M2511" s="11" t="n">
        <x:f>'管线假设'!H551</x:f>
        <x:v>0.135</x:v>
      </x:c>
      <x:c r="N2511" s="11" t="n">
        <x:f>IF(G2511,L2511*AN2511/(1+M2511)^F2511,0)</x:f>
        <x:v>0.06547531270697755</x:v>
      </x:c>
      <x:c r="AJ2511" t="n">
        <x:v>0</x:v>
      </x:c>
      <x:c r="AK2511" t="n">
        <x:v>0</x:v>
      </x:c>
      <x:c r="AL2511" t="n">
        <x:v>0</x:v>
      </x:c>
      <x:c r="AM2511" t="n">
        <x:f>CHOOSE('假设'!$B$3,AJ2511,AK2511,AL2511)</x:f>
        <x:v>0</x:v>
      </x:c>
      <x:c r="AN2511" t="n">
        <x:v>1</x:v>
      </x:c>
    </x:row>
    <x:row r="2512" ht="23" customHeight="1">
      <x:c r="A2512" s="11" t="str">
        <x:v>688382.SH</x:v>
      </x:c>
      <x:c r="B2512" s="11" t="str">
        <x:v>2026年底</x:v>
      </x:c>
      <x:c r="C2512" s="11" t="str">
        <x:v>serd_cn</x:v>
      </x:c>
      <x:c r="D2512" s="11" t="str">
        <x:v>2033-12-31</x:v>
      </x:c>
      <x:c r="E2512" s="11" t="str">
        <x:v>CNY</x:v>
      </x:c>
      <x:c r="F2512" s="11" t="n">
        <x:v>7.000684462696783</x:v>
      </x:c>
      <x:c r="G2512" s="26" t="b">
        <x:v>1</x:v>
      </x:c>
      <x:c r="H2512" s="16" t="n">
        <x:v>0.36</x:v>
      </x:c>
      <x:c r="I2512" s="16" t="n">
        <x:v>1.25</x:v>
      </x:c>
      <x:c r="J2512" s="16" t="n">
        <x:v>2.8</x:v>
      </x:c>
      <x:c r="K2512" s="11" t="n">
        <x:f>CHOOSE('假设'!$B$3,H2512,I2512,J2512)</x:f>
        <x:v>1.25</x:v>
      </x:c>
      <x:c r="L2512" s="11" t="n">
        <x:f>K2512*'管线假设'!E551*'管线假设'!F551*'管线假设'!G551*IF(E2512="USD",'管线假设'!I551,1)-AM2512</x:f>
        <x:v>0.17500000000000002</x:v>
      </x:c>
      <x:c r="M2512" s="11" t="n">
        <x:f>'管线假设'!H551</x:f>
        <x:v>0.135</x:v>
      </x:c>
      <x:c r="N2512" s="11" t="n">
        <x:f>IF(G2512,L2512*AN2512/(1+M2512)^F2512,0)</x:f>
        <x:v>0.0721156256024097</x:v>
      </x:c>
      <x:c r="AJ2512" t="n">
        <x:v>0</x:v>
      </x:c>
      <x:c r="AK2512" t="n">
        <x:v>0</x:v>
      </x:c>
      <x:c r="AL2512" t="n">
        <x:v>0</x:v>
      </x:c>
      <x:c r="AM2512" t="n">
        <x:f>CHOOSE('假设'!$B$3,AJ2512,AK2512,AL2512)</x:f>
        <x:v>0</x:v>
      </x:c>
      <x:c r="AN2512" t="n">
        <x:v>1</x:v>
      </x:c>
    </x:row>
    <x:row r="2513" ht="23" customHeight="1">
      <x:c r="A2513" s="11" t="str">
        <x:v>688382.SH</x:v>
      </x:c>
      <x:c r="B2513" s="11" t="str">
        <x:v>2026年底</x:v>
      </x:c>
      <x:c r="C2513" s="11" t="str">
        <x:v>serd_cn</x:v>
      </x:c>
      <x:c r="D2513" s="11" t="str">
        <x:v>2034-12-31</x:v>
      </x:c>
      <x:c r="E2513" s="11" t="str">
        <x:v>CNY</x:v>
      </x:c>
      <x:c r="F2513" s="11" t="n">
        <x:v>8</x:v>
      </x:c>
      <x:c r="G2513" s="26" t="b">
        <x:v>1</x:v>
      </x:c>
      <x:c r="H2513" s="16" t="n">
        <x:v>0.48</x:v>
      </x:c>
      <x:c r="I2513" s="16" t="n">
        <x:v>1.5</x:v>
      </x:c>
      <x:c r="J2513" s="16" t="n">
        <x:v>2.436</x:v>
      </x:c>
      <x:c r="K2513" s="11" t="n">
        <x:f>CHOOSE('假设'!$B$3,H2513,I2513,J2513)</x:f>
        <x:v>1.5</x:v>
      </x:c>
      <x:c r="L2513" s="11" t="n">
        <x:f>K2513*'管线假设'!E551*'管线假设'!F551*'管线假设'!G551*IF(E2513="USD",'管线假设'!I551,1)-AM2513</x:f>
        <x:v>0.21000000000000002</x:v>
      </x:c>
      <x:c r="M2513" s="11" t="n">
        <x:f>'管线假设'!H551</x:f>
        <x:v>0.135</x:v>
      </x:c>
      <x:c r="N2513" s="11" t="n">
        <x:f>IF(G2513,L2513*AN2513/(1+M2513)^F2513,0)</x:f>
        <x:v>0.07625220424879005</x:v>
      </x:c>
      <x:c r="AJ2513" t="n">
        <x:v>0</x:v>
      </x:c>
      <x:c r="AK2513" t="n">
        <x:v>0</x:v>
      </x:c>
      <x:c r="AL2513" t="n">
        <x:v>0</x:v>
      </x:c>
      <x:c r="AM2513" t="n">
        <x:f>CHOOSE('假设'!$B$3,AJ2513,AK2513,AL2513)</x:f>
        <x:v>0</x:v>
      </x:c>
      <x:c r="AN2513" t="n">
        <x:v>1</x:v>
      </x:c>
    </x:row>
    <x:row r="2514" ht="23" customHeight="1">
      <x:c r="A2514" s="11" t="str">
        <x:v>688382.SH</x:v>
      </x:c>
      <x:c r="B2514" s="11" t="str">
        <x:v>2026年底</x:v>
      </x:c>
      <x:c r="C2514" s="11" t="str">
        <x:v>serd_cn</x:v>
      </x:c>
      <x:c r="D2514" s="11" t="str">
        <x:v>2035-12-31</x:v>
      </x:c>
      <x:c r="E2514" s="11" t="str">
        <x:v>CNY</x:v>
      </x:c>
      <x:c r="F2514" s="11" t="n">
        <x:v>8.999315537303216</x:v>
      </x:c>
      <x:c r="G2514" s="26" t="b">
        <x:v>1</x:v>
      </x:c>
      <x:c r="H2514" s="16" t="n">
        <x:v>0.6</x:v>
      </x:c>
      <x:c r="I2514" s="16" t="n">
        <x:v>1.305</x:v>
      </x:c>
      <x:c r="J2514" s="16" t="n">
        <x:v>2.072</x:v>
      </x:c>
      <x:c r="K2514" s="11" t="n">
        <x:f>CHOOSE('假设'!$B$3,H2514,I2514,J2514)</x:f>
        <x:v>1.305</x:v>
      </x:c>
      <x:c r="L2514" s="11" t="n">
        <x:f>K2514*'管线假设'!E551*'管线假设'!F551*'管线假设'!G551*IF(E2514="USD",'管线假设'!I551,1)-AM2514</x:f>
        <x:v>0.1827</x:v>
      </x:c>
      <x:c r="M2514" s="11" t="n">
        <x:f>'管线假设'!H551</x:f>
        <x:v>0.135</x:v>
      </x:c>
      <x:c r="N2514" s="11" t="n">
        <x:f>IF(G2514,L2514*AN2514/(1+M2514)^F2514,0)</x:f>
        <x:v>0.05845389245487681</x:v>
      </x:c>
      <x:c r="AJ2514" t="n">
        <x:v>0</x:v>
      </x:c>
      <x:c r="AK2514" t="n">
        <x:v>0</x:v>
      </x:c>
      <x:c r="AL2514" t="n">
        <x:v>0</x:v>
      </x:c>
      <x:c r="AM2514" t="n">
        <x:f>CHOOSE('假设'!$B$3,AJ2514,AK2514,AL2514)</x:f>
        <x:v>0</x:v>
      </x:c>
      <x:c r="AN2514" t="n">
        <x:v>1</x:v>
      </x:c>
    </x:row>
    <x:row r="2515" ht="23" customHeight="1">
      <x:c r="A2515" s="11" t="str">
        <x:v>688382.SH</x:v>
      </x:c>
      <x:c r="B2515" s="11" t="str">
        <x:v>2026年底</x:v>
      </x:c>
      <x:c r="C2515" s="11" t="str">
        <x:v>serd_cn</x:v>
      </x:c>
      <x:c r="D2515" s="11" t="str">
        <x:v>2036-12-31</x:v>
      </x:c>
      <x:c r="E2515" s="11" t="str">
        <x:v>CNY</x:v>
      </x:c>
      <x:c r="F2515" s="11" t="n">
        <x:v>10.001368925393566</x:v>
      </x:c>
      <x:c r="G2515" s="26" t="b">
        <x:v>1</x:v>
      </x:c>
      <x:c r="H2515" s="16" t="n">
        <x:v>0.522</x:v>
      </x:c>
      <x:c r="I2515" s="16" t="n">
        <x:v>1.1099999999999999</x:v>
      </x:c>
      <x:c r="J2515" s="16" t="n">
        <x:v>1.708</x:v>
      </x:c>
      <x:c r="K2515" s="11" t="n">
        <x:f>CHOOSE('假设'!$B$3,H2515,I2515,J2515)</x:f>
        <x:v>1.1099999999999999</x:v>
      </x:c>
      <x:c r="L2515" s="11" t="n">
        <x:f>K2515*'管线假设'!E551*'管线假设'!F551*'管线假设'!G551*IF(E2515="USD",'管线假设'!I551,1)-AM2515</x:f>
        <x:v>0.1554</x:v>
      </x:c>
      <x:c r="M2515" s="11" t="n">
        <x:f>'管线假设'!H551</x:f>
        <x:v>0.135</x:v>
      </x:c>
      <x:c r="N2515" s="11" t="n">
        <x:f>IF(G2515,L2515*AN2515/(1+M2515)^F2515,0)</x:f>
        <x:v>0.04379425208997394</x:v>
      </x:c>
      <x:c r="AJ2515" t="n">
        <x:v>0</x:v>
      </x:c>
      <x:c r="AK2515" t="n">
        <x:v>0</x:v>
      </x:c>
      <x:c r="AL2515" t="n">
        <x:v>0</x:v>
      </x:c>
      <x:c r="AM2515" t="n">
        <x:f>CHOOSE('假设'!$B$3,AJ2515,AK2515,AL2515)</x:f>
        <x:v>0</x:v>
      </x:c>
      <x:c r="AN2515" t="n">
        <x:v>1</x:v>
      </x:c>
    </x:row>
    <x:row r="2516" ht="23" customHeight="1">
      <x:c r="A2516" s="11" t="str">
        <x:v>688382.SH</x:v>
      </x:c>
      <x:c r="B2516" s="11" t="str">
        <x:v>2026年底</x:v>
      </x:c>
      <x:c r="C2516" s="11" t="str">
        <x:v>serd_cn</x:v>
      </x:c>
      <x:c r="D2516" s="11" t="str">
        <x:v>2037-12-31</x:v>
      </x:c>
      <x:c r="E2516" s="11" t="str">
        <x:v>CNY</x:v>
      </x:c>
      <x:c r="F2516" s="11" t="n">
        <x:v>11.000684462696784</x:v>
      </x:c>
      <x:c r="G2516" s="26" t="b">
        <x:v>1</x:v>
      </x:c>
      <x:c r="H2516" s="16" t="n">
        <x:v>0.444</x:v>
      </x:c>
      <x:c r="I2516" s="16" t="n">
        <x:v>0.915</x:v>
      </x:c>
      <x:c r="J2516" s="16" t="n">
        <x:v>1.3439999999999999</x:v>
      </x:c>
      <x:c r="K2516" s="11" t="n">
        <x:f>CHOOSE('假设'!$B$3,H2516,I2516,J2516)</x:f>
        <x:v>0.915</x:v>
      </x:c>
      <x:c r="L2516" s="11" t="n">
        <x:f>K2516*'管线假设'!E551*'管线假设'!F551*'管线假设'!G551*IF(E2516="USD",'管线假设'!I551,1)-AM2516</x:f>
        <x:v>0.12810000000000002</x:v>
      </x:c>
      <x:c r="M2516" s="11" t="n">
        <x:f>'管线假设'!H551</x:f>
        <x:v>0.135</x:v>
      </x:c>
      <x:c r="N2516" s="11" t="n">
        <x:f>IF(G2516,L2516*AN2516/(1+M2516)^F2516,0)</x:f>
        <x:v>0.03180951227846795</x:v>
      </x:c>
      <x:c r="AJ2516" t="n">
        <x:v>0</x:v>
      </x:c>
      <x:c r="AK2516" t="n">
        <x:v>0</x:v>
      </x:c>
      <x:c r="AL2516" t="n">
        <x:v>0</x:v>
      </x:c>
      <x:c r="AM2516" t="n">
        <x:f>CHOOSE('假设'!$B$3,AJ2516,AK2516,AL2516)</x:f>
        <x:v>0</x:v>
      </x:c>
      <x:c r="AN2516" t="n">
        <x:v>1</x:v>
      </x:c>
    </x:row>
    <x:row r="2517" ht="23" customHeight="1">
      <x:c r="A2517" s="11" t="str">
        <x:v>688382.SH</x:v>
      </x:c>
      <x:c r="B2517" s="11" t="str">
        <x:v>2026年底</x:v>
      </x:c>
      <x:c r="C2517" s="11" t="str">
        <x:v>serd_cn</x:v>
      </x:c>
      <x:c r="D2517" s="11" t="str">
        <x:v>2038-12-31</x:v>
      </x:c>
      <x:c r="E2517" s="11" t="str">
        <x:v>CNY</x:v>
      </x:c>
      <x:c r="F2517" s="11" t="n">
        <x:v>12</x:v>
      </x:c>
      <x:c r="G2517" s="26" t="b">
        <x:v>1</x:v>
      </x:c>
      <x:c r="H2517" s="16" t="n">
        <x:v>0.366</x:v>
      </x:c>
      <x:c r="I2517" s="16" t="n">
        <x:v>0.72</x:v>
      </x:c>
      <x:c r="J2517" s="16" t="n">
        <x:v>0.9799999999999999</x:v>
      </x:c>
      <x:c r="K2517" s="11" t="n">
        <x:f>CHOOSE('假设'!$B$3,H2517,I2517,J2517)</x:f>
        <x:v>0.72</x:v>
      </x:c>
      <x:c r="L2517" s="11" t="n">
        <x:f>K2517*'管线假设'!E551*'管线假设'!F551*'管线假设'!G551*IF(E2517="USD",'管线假设'!I551,1)-AM2517</x:f>
        <x:v>0.1008</x:v>
      </x:c>
      <x:c r="M2517" s="11" t="n">
        <x:f>'管线假设'!H551</x:f>
        <x:v>0.135</x:v>
      </x:c>
      <x:c r="N2517" s="11" t="n">
        <x:f>IF(G2517,L2517*AN2517/(1+M2517)^F2517,0)</x:f>
        <x:v>0.022055159036531203</x:v>
      </x:c>
      <x:c r="AJ2517" t="n">
        <x:v>0</x:v>
      </x:c>
      <x:c r="AK2517" t="n">
        <x:v>0</x:v>
      </x:c>
      <x:c r="AL2517" t="n">
        <x:v>0</x:v>
      </x:c>
      <x:c r="AM2517" t="n">
        <x:f>CHOOSE('假设'!$B$3,AJ2517,AK2517,AL2517)</x:f>
        <x:v>0</x:v>
      </x:c>
      <x:c r="AN2517" t="n">
        <x:v>1</x:v>
      </x:c>
    </x:row>
    <x:row r="2518" ht="23" customHeight="1">
      <x:c r="A2518" s="11" t="str">
        <x:v>688382.SH</x:v>
      </x:c>
      <x:c r="B2518" s="11" t="str">
        <x:v>2026年底</x:v>
      </x:c>
      <x:c r="C2518" s="11" t="str">
        <x:v>serd_cn</x:v>
      </x:c>
      <x:c r="D2518" s="11" t="str">
        <x:v>2039-12-31</x:v>
      </x:c>
      <x:c r="E2518" s="11" t="str">
        <x:v>CNY</x:v>
      </x:c>
      <x:c r="F2518" s="11" t="n">
        <x:v>12.999315537303216</x:v>
      </x:c>
      <x:c r="G2518" s="26" t="b">
        <x:v>1</x:v>
      </x:c>
      <x:c r="H2518" s="16" t="n">
        <x:v>0.288</x:v>
      </x:c>
      <x:c r="I2518" s="16" t="n">
        <x:v>0.5249999999999999</x:v>
      </x:c>
      <x:c r="J2518" s="16" t="n">
        <x:v>0.6159999999999999</x:v>
      </x:c>
      <x:c r="K2518" s="11" t="n">
        <x:f>CHOOSE('假设'!$B$3,H2518,I2518,J2518)</x:f>
        <x:v>0.5249999999999999</x:v>
      </x:c>
      <x:c r="L2518" s="11" t="n">
        <x:f>K2518*'管线假设'!E551*'管线假设'!F551*'管线假设'!G551*IF(E2518="USD",'管线假设'!I551,1)-AM2518</x:f>
        <x:v>0.0735</x:v>
      </x:c>
      <x:c r="M2518" s="11" t="n">
        <x:f>'管线假设'!H551</x:f>
        <x:v>0.135</x:v>
      </x:c>
      <x:c r="N2518" s="11" t="n">
        <x:f>IF(G2518,L2518*AN2518/(1+M2518)^F2518,0)</x:f>
        <x:v>0.014170291419081838</x:v>
      </x:c>
      <x:c r="AJ2518" t="n">
        <x:v>0</x:v>
      </x:c>
      <x:c r="AK2518" t="n">
        <x:v>0</x:v>
      </x:c>
      <x:c r="AL2518" t="n">
        <x:v>0</x:v>
      </x:c>
      <x:c r="AM2518" t="n">
        <x:f>CHOOSE('假设'!$B$3,AJ2518,AK2518,AL2518)</x:f>
        <x:v>0</x:v>
      </x:c>
      <x:c r="AN2518" t="n">
        <x:v>1</x:v>
      </x:c>
    </x:row>
    <x:row r="2519" ht="23" customHeight="1">
      <x:c r="A2519" s="11" t="str">
        <x:v>688382.SH</x:v>
      </x:c>
      <x:c r="B2519" s="11" t="str">
        <x:v>2026年底</x:v>
      </x:c>
      <x:c r="C2519" s="11" t="str">
        <x:v>serd_cn</x:v>
      </x:c>
      <x:c r="D2519" s="11" t="str">
        <x:v>2040-12-31</x:v>
      </x:c>
      <x:c r="E2519" s="11" t="str">
        <x:v>CNY</x:v>
      </x:c>
      <x:c r="F2519" s="11" t="n">
        <x:v>14.001368925393566</x:v>
      </x:c>
      <x:c r="G2519" s="26" t="b">
        <x:v>1</x:v>
      </x:c>
      <x:c r="H2519" s="16" t="n">
        <x:v>0.21</x:v>
      </x:c>
      <x:c r="I2519" s="16" t="n">
        <x:v>0.32999999999999996</x:v>
      </x:c>
      <x:c r="J2519" s="16" t="n">
        <x:v>0.2519999999999999</x:v>
      </x:c>
      <x:c r="K2519" s="11" t="n">
        <x:f>CHOOSE('假设'!$B$3,H2519,I2519,J2519)</x:f>
        <x:v>0.32999999999999996</x:v>
      </x:c>
      <x:c r="L2519" s="11" t="n">
        <x:f>K2519*'管线假设'!E551*'管线假设'!F551*'管线假设'!G551*IF(E2519="USD",'管线假设'!I551,1)-AM2519</x:f>
        <x:v>0.0462</x:v>
      </x:c>
      <x:c r="M2519" s="11" t="n">
        <x:f>'管线假设'!H551</x:f>
        <x:v>0.135</x:v>
      </x:c>
      <x:c r="N2519" s="11" t="n">
        <x:f>IF(G2519,L2519*AN2519/(1+M2519)^F2519,0)</x:f>
        <x:v>0.007845572299377766</x:v>
      </x:c>
      <x:c r="AJ2519" t="n">
        <x:v>0</x:v>
      </x:c>
      <x:c r="AK2519" t="n">
        <x:v>0</x:v>
      </x:c>
      <x:c r="AL2519" t="n">
        <x:v>0</x:v>
      </x:c>
      <x:c r="AM2519" t="n">
        <x:f>CHOOSE('假设'!$B$3,AJ2519,AK2519,AL2519)</x:f>
        <x:v>0</x:v>
      </x:c>
      <x:c r="AN2519" t="n">
        <x:v>1</x:v>
      </x:c>
    </x:row>
    <x:row r="2520" ht="23" customHeight="1">
      <x:c r="A2520" s="11" t="str">
        <x:v>688382.SH</x:v>
      </x:c>
      <x:c r="B2520" s="11" t="str">
        <x:v>2026年底</x:v>
      </x:c>
      <x:c r="C2520" s="11" t="str">
        <x:v>serd_cn</x:v>
      </x:c>
      <x:c r="D2520" s="11" t="str">
        <x:v>2041-12-31</x:v>
      </x:c>
      <x:c r="E2520" s="11" t="str">
        <x:v>CNY</x:v>
      </x:c>
      <x:c r="F2520" s="11" t="n">
        <x:v>15.000684462696784</x:v>
      </x:c>
      <x:c r="G2520" s="26" t="b">
        <x:v>1</x:v>
      </x:c>
      <x:c r="H2520" s="16" t="n">
        <x:v>0.13199999999999998</x:v>
      </x:c>
      <x:c r="I2520" s="16" t="n">
        <x:v>0.13499999999999995</x:v>
      </x:c>
      <x:c r="J2520" s="16" t="n">
        <x:v>0</x:v>
      </x:c>
      <x:c r="K2520" s="11" t="n">
        <x:f>CHOOSE('假设'!$B$3,H2520,I2520,J2520)</x:f>
        <x:v>0.13499999999999995</x:v>
      </x:c>
      <x:c r="L2520" s="11" t="n">
        <x:f>K2520*'管线假设'!E551*'管线假设'!F551*'管线假设'!G551*IF(E2520="USD",'管线假设'!I551,1)-AM2520</x:f>
        <x:v>0.018899999999999997</x:v>
      </x:c>
      <x:c r="M2520" s="11" t="n">
        <x:f>'管线假设'!H551</x:f>
        <x:v>0.135</x:v>
      </x:c>
      <x:c r="N2520" s="11" t="n">
        <x:f>IF(G2520,L2520*AN2520/(1+M2520)^F2520,0)</x:f>
        <x:v>0.002828044498095882</x:v>
      </x:c>
      <x:c r="AJ2520" t="n">
        <x:v>0</x:v>
      </x:c>
      <x:c r="AK2520" t="n">
        <x:v>0</x:v>
      </x:c>
      <x:c r="AL2520" t="n">
        <x:v>0</x:v>
      </x:c>
      <x:c r="AM2520" t="n">
        <x:f>CHOOSE('假设'!$B$3,AJ2520,AK2520,AL2520)</x:f>
        <x:v>0</x:v>
      </x:c>
      <x:c r="AN2520" t="n">
        <x:v>1</x:v>
      </x:c>
    </x:row>
    <x:row r="2521" ht="23" customHeight="1">
      <x:c r="A2521" s="11" t="str">
        <x:v>688382.SH</x:v>
      </x:c>
      <x:c r="B2521" s="11" t="str">
        <x:v>2026年底</x:v>
      </x:c>
      <x:c r="C2521" s="11" t="str">
        <x:v>serd_cn</x:v>
      </x:c>
      <x:c r="D2521" s="11" t="str">
        <x:v>2042-12-31</x:v>
      </x:c>
      <x:c r="E2521" s="11" t="str">
        <x:v>CNY</x:v>
      </x:c>
      <x:c r="F2521" s="11" t="n">
        <x:v>16</x:v>
      </x:c>
      <x:c r="G2521" s="26" t="b">
        <x:v>1</x:v>
      </x:c>
      <x:c r="H2521" s="16" t="n">
        <x:v>0.05399999999999998</x:v>
      </x:c>
      <x:c r="I2521" s="16" t="n">
        <x:v>0</x:v>
      </x:c>
      <x:c r="J2521" s="16" t="n">
        <x:v>0</x:v>
      </x:c>
      <x:c r="K2521" s="11" t="n">
        <x:f>CHOOSE('假设'!$B$3,H2521,I2521,J2521)</x:f>
        <x:v>0</x:v>
      </x:c>
      <x:c r="L2521" s="11" t="n">
        <x:f>K2521*'管线假设'!E551*'管线假设'!F551*'管线假设'!G551*IF(E2521="USD",'管线假设'!I551,1)-AM2521</x:f>
        <x:v>0</x:v>
      </x:c>
      <x:c r="M2521" s="11" t="n">
        <x:f>'管线假设'!H551</x:f>
        <x:v>0.135</x:v>
      </x:c>
      <x:c r="N2521" s="11" t="n">
        <x:f>IF(G2521,L2521*AN2521/(1+M2521)^F2521,0)</x:f>
        <x:v>0</x:v>
      </x:c>
      <x:c r="AJ2521" t="n">
        <x:v>0</x:v>
      </x:c>
      <x:c r="AK2521" t="n">
        <x:v>0</x:v>
      </x:c>
      <x:c r="AL2521" t="n">
        <x:v>0</x:v>
      </x:c>
      <x:c r="AM2521" t="n">
        <x:f>CHOOSE('假设'!$B$3,AJ2521,AK2521,AL2521)</x:f>
        <x:v>0</x:v>
      </x:c>
      <x:c r="AN2521" t="n">
        <x:v>1</x:v>
      </x:c>
    </x:row>
    <x:row r="2522" ht="23" customHeight="1">
      <x:c r="A2522" s="11" t="str">
        <x:v>688382.SH</x:v>
      </x:c>
      <x:c r="B2522" s="11" t="str">
        <x:v>2026年底</x:v>
      </x:c>
      <x:c r="C2522" s="11" t="str">
        <x:v>serd_cn</x:v>
      </x:c>
      <x:c r="D2522" s="11" t="str">
        <x:v>2043-12-31</x:v>
      </x:c>
      <x:c r="E2522" s="11" t="str">
        <x:v>CNY</x:v>
      </x:c>
      <x:c r="F2522" s="11" t="n">
        <x:v>16.999315537303218</x:v>
      </x:c>
      <x:c r="G2522" s="26" t="b">
        <x:v>1</x:v>
      </x:c>
      <x:c r="H2522" s="16" t="n">
        <x:v>0</x:v>
      </x:c>
      <x:c r="I2522" s="16" t="n">
        <x:v>0</x:v>
      </x:c>
      <x:c r="J2522" s="16" t="n">
        <x:v>0</x:v>
      </x:c>
      <x:c r="K2522" s="11" t="n">
        <x:f>CHOOSE('假设'!$B$3,H2522,I2522,J2522)</x:f>
        <x:v>0</x:v>
      </x:c>
      <x:c r="L2522" s="11" t="n">
        <x:f>K2522*'管线假设'!E551*'管线假设'!F551*'管线假设'!G551*IF(E2522="USD",'管线假设'!I551,1)-AM2522</x:f>
        <x:v>0</x:v>
      </x:c>
      <x:c r="M2522" s="11" t="n">
        <x:f>'管线假设'!H551</x:f>
        <x:v>0.135</x:v>
      </x:c>
      <x:c r="N2522" s="11" t="n">
        <x:f>IF(G2522,L2522*AN2522/(1+M2522)^F2522,0)</x:f>
        <x:v>0</x:v>
      </x:c>
      <x:c r="AJ2522" t="n">
        <x:v>0</x:v>
      </x:c>
      <x:c r="AK2522" t="n">
        <x:v>0</x:v>
      </x:c>
      <x:c r="AL2522" t="n">
        <x:v>0</x:v>
      </x:c>
      <x:c r="AM2522" t="n">
        <x:f>CHOOSE('假设'!$B$3,AJ2522,AK2522,AL2522)</x:f>
        <x:v>0</x:v>
      </x:c>
      <x:c r="AN2522" t="n">
        <x:v>1</x:v>
      </x:c>
    </x:row>
    <x:row r="2523" ht="23" customHeight="1">
      <x:c r="A2523" s="11" t="str">
        <x:v>688382.SH</x:v>
      </x:c>
      <x:c r="B2523" s="11" t="str">
        <x:v>2026年底</x:v>
      </x:c>
      <x:c r="C2523" s="11" t="str">
        <x:v>serd_cn</x:v>
      </x:c>
      <x:c r="D2523" s="11" t="str">
        <x:v>2044-12-31</x:v>
      </x:c>
      <x:c r="E2523" s="11" t="str">
        <x:v>CNY</x:v>
      </x:c>
      <x:c r="F2523" s="11" t="n">
        <x:v>18.001368925393567</x:v>
      </x:c>
      <x:c r="G2523" s="26" t="b">
        <x:v>1</x:v>
      </x:c>
      <x:c r="H2523" s="16" t="n">
        <x:v>0</x:v>
      </x:c>
      <x:c r="I2523" s="16" t="n">
        <x:v>0</x:v>
      </x:c>
      <x:c r="J2523" s="16" t="n">
        <x:v>0</x:v>
      </x:c>
      <x:c r="K2523" s="11" t="n">
        <x:f>CHOOSE('假设'!$B$3,H2523,I2523,J2523)</x:f>
        <x:v>0</x:v>
      </x:c>
      <x:c r="L2523" s="11" t="n">
        <x:f>K2523*'管线假设'!E551*'管线假设'!F551*'管线假设'!G551*IF(E2523="USD",'管线假设'!I551,1)-AM2523</x:f>
        <x:v>0</x:v>
      </x:c>
      <x:c r="M2523" s="11" t="n">
        <x:f>'管线假设'!H551</x:f>
        <x:v>0.135</x:v>
      </x:c>
      <x:c r="N2523" s="11" t="n">
        <x:f>IF(G2523,L2523*AN2523/(1+M2523)^F2523,0)</x:f>
        <x:v>0</x:v>
      </x:c>
      <x:c r="AJ2523" t="n">
        <x:v>0</x:v>
      </x:c>
      <x:c r="AK2523" t="n">
        <x:v>0</x:v>
      </x:c>
      <x:c r="AL2523" t="n">
        <x:v>0</x:v>
      </x:c>
      <x:c r="AM2523" t="n">
        <x:f>CHOOSE('假设'!$B$3,AJ2523,AK2523,AL2523)</x:f>
        <x:v>0</x:v>
      </x:c>
      <x:c r="AN2523" t="n">
        <x:v>1</x:v>
      </x:c>
    </x:row>
    <x:row r="2524" ht="23" customHeight="1">
      <x:c r="A2524" s="11" t="str">
        <x:v>688382.SH</x:v>
      </x:c>
      <x:c r="B2524" s="11" t="str">
        <x:v>2026年底</x:v>
      </x:c>
      <x:c r="C2524" s="11" t="str">
        <x:v>serd_cn</x:v>
      </x:c>
      <x:c r="D2524" s="11" t="str">
        <x:v>2045-12-31</x:v>
      </x:c>
      <x:c r="E2524" s="11" t="str">
        <x:v>CNY</x:v>
      </x:c>
      <x:c r="F2524" s="11" t="n">
        <x:v>19.000684462696782</x:v>
      </x:c>
      <x:c r="G2524" s="26" t="b">
        <x:v>1</x:v>
      </x:c>
      <x:c r="H2524" s="16" t="n">
        <x:v>0</x:v>
      </x:c>
      <x:c r="I2524" s="16" t="n">
        <x:v>0</x:v>
      </x:c>
      <x:c r="J2524" s="16" t="n">
        <x:v>0</x:v>
      </x:c>
      <x:c r="K2524" s="11" t="n">
        <x:f>CHOOSE('假设'!$B$3,H2524,I2524,J2524)</x:f>
        <x:v>0</x:v>
      </x:c>
      <x:c r="L2524" s="11" t="n">
        <x:f>K2524*'管线假设'!E551*'管线假设'!F551*'管线假设'!G551*IF(E2524="USD",'管线假设'!I551,1)-AM2524</x:f>
        <x:v>0</x:v>
      </x:c>
      <x:c r="M2524" s="11" t="n">
        <x:f>'管线假设'!H551</x:f>
        <x:v>0.135</x:v>
      </x:c>
      <x:c r="N2524" s="11" t="n">
        <x:f>IF(G2524,L2524*AN2524/(1+M2524)^F2524,0)</x:f>
        <x:v>0</x:v>
      </x:c>
      <x:c r="AJ2524" t="n">
        <x:v>0</x:v>
      </x:c>
      <x:c r="AK2524" t="n">
        <x:v>0</x:v>
      </x:c>
      <x:c r="AL2524" t="n">
        <x:v>0</x:v>
      </x:c>
      <x:c r="AM2524" t="n">
        <x:f>CHOOSE('假设'!$B$3,AJ2524,AK2524,AL2524)</x:f>
        <x:v>0</x:v>
      </x:c>
      <x:c r="AN2524" t="n">
        <x:v>1</x:v>
      </x:c>
    </x:row>
    <x:row r="2525" ht="23" customHeight="1">
      <x:c r="A2525" s="11" t="str">
        <x:v>688382.SH</x:v>
      </x:c>
      <x:c r="B2525" s="11" t="str">
        <x:v>2026年底</x:v>
      </x:c>
      <x:c r="C2525" s="11" t="str">
        <x:v>serd_adc</x:v>
      </x:c>
      <x:c r="D2525" s="11" t="str">
        <x:v>2027-12-31</x:v>
      </x:c>
      <x:c r="E2525" s="11" t="str">
        <x:v>CNY</x:v>
      </x:c>
      <x:c r="F2525" s="11" t="n">
        <x:v>0.999315537303217</x:v>
      </x:c>
      <x:c r="G2525" s="26" t="b">
        <x:v>1</x:v>
      </x:c>
      <x:c r="H2525" s="16" t="n">
        <x:v>0</x:v>
      </x:c>
      <x:c r="I2525" s="16" t="n">
        <x:v>0</x:v>
      </x:c>
      <x:c r="J2525" s="16" t="n">
        <x:v>0</x:v>
      </x:c>
      <x:c r="K2525" s="11" t="n">
        <x:f>CHOOSE('假设'!$B$3,H2525,I2525,J2525)</x:f>
        <x:v>0</x:v>
      </x:c>
      <x:c r="L2525" s="11" t="n">
        <x:f>K2525*'管线假设'!E555*'管线假设'!F555*'管线假设'!G555*IF(E2525="USD",'管线假设'!I555,1)-AM2525</x:f>
        <x:v>0</x:v>
      </x:c>
      <x:c r="M2525" s="11" t="n">
        <x:f>'管线假设'!H555</x:f>
        <x:v>0.135</x:v>
      </x:c>
      <x:c r="N2525" s="11" t="n">
        <x:f>IF(G2525,L2525*AN2525/(1+M2525)^F2525,0)</x:f>
        <x:v>0</x:v>
      </x:c>
      <x:c r="AJ2525" t="n">
        <x:v>0</x:v>
      </x:c>
      <x:c r="AK2525" t="n">
        <x:v>0</x:v>
      </x:c>
      <x:c r="AL2525" t="n">
        <x:v>0</x:v>
      </x:c>
      <x:c r="AM2525" t="n">
        <x:f>CHOOSE('假设'!$B$3,AJ2525,AK2525,AL2525)</x:f>
        <x:v>0</x:v>
      </x:c>
      <x:c r="AN2525" t="n">
        <x:v>1</x:v>
      </x:c>
    </x:row>
    <x:row r="2526" ht="23" customHeight="1">
      <x:c r="A2526" s="11" t="str">
        <x:v>688382.SH</x:v>
      </x:c>
      <x:c r="B2526" s="11" t="str">
        <x:v>2026年底</x:v>
      </x:c>
      <x:c r="C2526" s="11" t="str">
        <x:v>serd_adc</x:v>
      </x:c>
      <x:c r="D2526" s="11" t="str">
        <x:v>2028-12-31</x:v>
      </x:c>
      <x:c r="E2526" s="11" t="str">
        <x:v>CNY</x:v>
      </x:c>
      <x:c r="F2526" s="11" t="n">
        <x:v>2.001368925393566</x:v>
      </x:c>
      <x:c r="G2526" s="26" t="b">
        <x:v>1</x:v>
      </x:c>
      <x:c r="H2526" s="16" t="n">
        <x:v>0</x:v>
      </x:c>
      <x:c r="I2526" s="16" t="n">
        <x:v>0</x:v>
      </x:c>
      <x:c r="J2526" s="16" t="n">
        <x:v>0</x:v>
      </x:c>
      <x:c r="K2526" s="11" t="n">
        <x:f>CHOOSE('假设'!$B$3,H2526,I2526,J2526)</x:f>
        <x:v>0</x:v>
      </x:c>
      <x:c r="L2526" s="11" t="n">
        <x:f>K2526*'管线假设'!E555*'管线假设'!F555*'管线假设'!G555*IF(E2526="USD",'管线假设'!I555,1)-AM2526</x:f>
        <x:v>0</x:v>
      </x:c>
      <x:c r="M2526" s="11" t="n">
        <x:f>'管线假设'!H555</x:f>
        <x:v>0.135</x:v>
      </x:c>
      <x:c r="N2526" s="11" t="n">
        <x:f>IF(G2526,L2526*AN2526/(1+M2526)^F2526,0)</x:f>
        <x:v>0</x:v>
      </x:c>
      <x:c r="AJ2526" t="n">
        <x:v>0</x:v>
      </x:c>
      <x:c r="AK2526" t="n">
        <x:v>0</x:v>
      </x:c>
      <x:c r="AL2526" t="n">
        <x:v>0</x:v>
      </x:c>
      <x:c r="AM2526" t="n">
        <x:f>CHOOSE('假设'!$B$3,AJ2526,AK2526,AL2526)</x:f>
        <x:v>0</x:v>
      </x:c>
      <x:c r="AN2526" t="n">
        <x:v>1</x:v>
      </x:c>
    </x:row>
    <x:row r="2527" ht="23" customHeight="1">
      <x:c r="A2527" s="11" t="str">
        <x:v>688382.SH</x:v>
      </x:c>
      <x:c r="B2527" s="11" t="str">
        <x:v>2026年底</x:v>
      </x:c>
      <x:c r="C2527" s="11" t="str">
        <x:v>serd_adc</x:v>
      </x:c>
      <x:c r="D2527" s="11" t="str">
        <x:v>2029-12-31</x:v>
      </x:c>
      <x:c r="E2527" s="11" t="str">
        <x:v>CNY</x:v>
      </x:c>
      <x:c r="F2527" s="11" t="n">
        <x:v>3.0006844626967832</x:v>
      </x:c>
      <x:c r="G2527" s="26" t="b">
        <x:v>1</x:v>
      </x:c>
      <x:c r="H2527" s="16" t="n">
        <x:v>0</x:v>
      </x:c>
      <x:c r="I2527" s="16" t="n">
        <x:v>0</x:v>
      </x:c>
      <x:c r="J2527" s="16" t="n">
        <x:v>0</x:v>
      </x:c>
      <x:c r="K2527" s="11" t="n">
        <x:f>CHOOSE('假设'!$B$3,H2527,I2527,J2527)</x:f>
        <x:v>0</x:v>
      </x:c>
      <x:c r="L2527" s="11" t="n">
        <x:f>K2527*'管线假设'!E555*'管线假设'!F555*'管线假设'!G555*IF(E2527="USD",'管线假设'!I555,1)-AM2527</x:f>
        <x:v>0</x:v>
      </x:c>
      <x:c r="M2527" s="11" t="n">
        <x:f>'管线假设'!H555</x:f>
        <x:v>0.135</x:v>
      </x:c>
      <x:c r="N2527" s="11" t="n">
        <x:f>IF(G2527,L2527*AN2527/(1+M2527)^F2527,0)</x:f>
        <x:v>0</x:v>
      </x:c>
      <x:c r="AJ2527" t="n">
        <x:v>0</x:v>
      </x:c>
      <x:c r="AK2527" t="n">
        <x:v>0</x:v>
      </x:c>
      <x:c r="AL2527" t="n">
        <x:v>0</x:v>
      </x:c>
      <x:c r="AM2527" t="n">
        <x:f>CHOOSE('假设'!$B$3,AJ2527,AK2527,AL2527)</x:f>
        <x:v>0</x:v>
      </x:c>
      <x:c r="AN2527" t="n">
        <x:v>1</x:v>
      </x:c>
    </x:row>
    <x:row r="2528" ht="23" customHeight="1">
      <x:c r="A2528" s="11" t="str">
        <x:v>688382.SH</x:v>
      </x:c>
      <x:c r="B2528" s="11" t="str">
        <x:v>2026年底</x:v>
      </x:c>
      <x:c r="C2528" s="11" t="str">
        <x:v>serd_adc</x:v>
      </x:c>
      <x:c r="D2528" s="11" t="str">
        <x:v>2030-12-31</x:v>
      </x:c>
      <x:c r="E2528" s="11" t="str">
        <x:v>CNY</x:v>
      </x:c>
      <x:c r="F2528" s="11" t="n">
        <x:v>4</x:v>
      </x:c>
      <x:c r="G2528" s="26" t="b">
        <x:v>1</x:v>
      </x:c>
      <x:c r="H2528" s="16" t="n">
        <x:v>0</x:v>
      </x:c>
      <x:c r="I2528" s="16" t="n">
        <x:v>0</x:v>
      </x:c>
      <x:c r="J2528" s="16" t="n">
        <x:v>0.26666666666666666</x:v>
      </x:c>
      <x:c r="K2528" s="11" t="n">
        <x:f>CHOOSE('假设'!$B$3,H2528,I2528,J2528)</x:f>
        <x:v>0</x:v>
      </x:c>
      <x:c r="L2528" s="11" t="n">
        <x:f>K2528*'管线假设'!E555*'管线假设'!F555*'管线假设'!G555*IF(E2528="USD",'管线假设'!I555,1)-AM2528</x:f>
        <x:v>0</x:v>
      </x:c>
      <x:c r="M2528" s="11" t="n">
        <x:f>'管线假设'!H555</x:f>
        <x:v>0.135</x:v>
      </x:c>
      <x:c r="N2528" s="11" t="n">
        <x:f>IF(G2528,L2528*AN2528/(1+M2528)^F2528,0)</x:f>
        <x:v>0</x:v>
      </x:c>
      <x:c r="AJ2528" t="n">
        <x:v>0</x:v>
      </x:c>
      <x:c r="AK2528" t="n">
        <x:v>0</x:v>
      </x:c>
      <x:c r="AL2528" t="n">
        <x:v>0</x:v>
      </x:c>
      <x:c r="AM2528" t="n">
        <x:f>CHOOSE('假设'!$B$3,AJ2528,AK2528,AL2528)</x:f>
        <x:v>0</x:v>
      </x:c>
      <x:c r="AN2528" t="n">
        <x:v>1</x:v>
      </x:c>
    </x:row>
    <x:row r="2529" ht="23" customHeight="1">
      <x:c r="A2529" s="11" t="str">
        <x:v>688382.SH</x:v>
      </x:c>
      <x:c r="B2529" s="11" t="str">
        <x:v>2026年底</x:v>
      </x:c>
      <x:c r="C2529" s="11" t="str">
        <x:v>serd_adc</x:v>
      </x:c>
      <x:c r="D2529" s="11" t="str">
        <x:v>2031-12-31</x:v>
      </x:c>
      <x:c r="E2529" s="11" t="str">
        <x:v>CNY</x:v>
      </x:c>
      <x:c r="F2529" s="11" t="n">
        <x:v>4.999315537303217</x:v>
      </x:c>
      <x:c r="G2529" s="26" t="b">
        <x:v>1</x:v>
      </x:c>
      <x:c r="H2529" s="16" t="n">
        <x:v>0</x:v>
      </x:c>
      <x:c r="I2529" s="16" t="n">
        <x:v>0</x:v>
      </x:c>
      <x:c r="J2529" s="16" t="n">
        <x:v>0.5333333333333333</x:v>
      </x:c>
      <x:c r="K2529" s="11" t="n">
        <x:f>CHOOSE('假设'!$B$3,H2529,I2529,J2529)</x:f>
        <x:v>0</x:v>
      </x:c>
      <x:c r="L2529" s="11" t="n">
        <x:f>K2529*'管线假设'!E555*'管线假设'!F555*'管线假设'!G555*IF(E2529="USD",'管线假设'!I555,1)-AM2529</x:f>
        <x:v>0</x:v>
      </x:c>
      <x:c r="M2529" s="11" t="n">
        <x:f>'管线假设'!H555</x:f>
        <x:v>0.135</x:v>
      </x:c>
      <x:c r="N2529" s="11" t="n">
        <x:f>IF(G2529,L2529*AN2529/(1+M2529)^F2529,0)</x:f>
        <x:v>0</x:v>
      </x:c>
      <x:c r="AJ2529" t="n">
        <x:v>0</x:v>
      </x:c>
      <x:c r="AK2529" t="n">
        <x:v>0</x:v>
      </x:c>
      <x:c r="AL2529" t="n">
        <x:v>0</x:v>
      </x:c>
      <x:c r="AM2529" t="n">
        <x:f>CHOOSE('假设'!$B$3,AJ2529,AK2529,AL2529)</x:f>
        <x:v>0</x:v>
      </x:c>
      <x:c r="AN2529" t="n">
        <x:v>1</x:v>
      </x:c>
    </x:row>
    <x:row r="2530" ht="23" customHeight="1">
      <x:c r="A2530" s="11" t="str">
        <x:v>688382.SH</x:v>
      </x:c>
      <x:c r="B2530" s="11" t="str">
        <x:v>2026年底</x:v>
      </x:c>
      <x:c r="C2530" s="11" t="str">
        <x:v>serd_adc</x:v>
      </x:c>
      <x:c r="D2530" s="11" t="str">
        <x:v>2032-12-31</x:v>
      </x:c>
      <x:c r="E2530" s="11" t="str">
        <x:v>CNY</x:v>
      </x:c>
      <x:c r="F2530" s="11" t="n">
        <x:v>6.0013689253935665</x:v>
      </x:c>
      <x:c r="G2530" s="26" t="b">
        <x:v>1</x:v>
      </x:c>
      <x:c r="H2530" s="16" t="n">
        <x:v>0</x:v>
      </x:c>
      <x:c r="I2530" s="16" t="n">
        <x:v>0.13333333333333333</x:v>
      </x:c>
      <x:c r="J2530" s="16" t="n">
        <x:v>0.8</x:v>
      </x:c>
      <x:c r="K2530" s="11" t="n">
        <x:f>CHOOSE('假设'!$B$3,H2530,I2530,J2530)</x:f>
        <x:v>0.13333333333333333</x:v>
      </x:c>
      <x:c r="L2530" s="11" t="n">
        <x:f>K2530*'管线假设'!E555*'管线假设'!F555*'管线假设'!G555*IF(E2530="USD",'管线假设'!I555,1)-AM2530</x:f>
        <x:v>0.004799999999999999</x:v>
      </x:c>
      <x:c r="M2530" s="11" t="n">
        <x:f>'管线假设'!H555</x:f>
        <x:v>0.135</x:v>
      </x:c>
      <x:c r="N2530" s="11" t="n">
        <x:f>IF(G2530,L2530*AN2530/(1+M2530)^F2530,0)</x:f>
        <x:v>0.00224486786423923</x:v>
      </x:c>
      <x:c r="AJ2530" t="n">
        <x:v>0</x:v>
      </x:c>
      <x:c r="AK2530" t="n">
        <x:v>0</x:v>
      </x:c>
      <x:c r="AL2530" t="n">
        <x:v>0</x:v>
      </x:c>
      <x:c r="AM2530" t="n">
        <x:f>CHOOSE('假设'!$B$3,AJ2530,AK2530,AL2530)</x:f>
        <x:v>0</x:v>
      </x:c>
      <x:c r="AN2530" t="n">
        <x:v>1</x:v>
      </x:c>
    </x:row>
    <x:row r="2531" ht="23" customHeight="1">
      <x:c r="A2531" s="11" t="str">
        <x:v>688382.SH</x:v>
      </x:c>
      <x:c r="B2531" s="11" t="str">
        <x:v>2026年底</x:v>
      </x:c>
      <x:c r="C2531" s="11" t="str">
        <x:v>serd_adc</x:v>
      </x:c>
      <x:c r="D2531" s="11" t="str">
        <x:v>2033-12-31</x:v>
      </x:c>
      <x:c r="E2531" s="11" t="str">
        <x:v>CNY</x:v>
      </x:c>
      <x:c r="F2531" s="11" t="n">
        <x:v>7.000684462696783</x:v>
      </x:c>
      <x:c r="G2531" s="26" t="b">
        <x:v>1</x:v>
      </x:c>
      <x:c r="H2531" s="16" t="n">
        <x:v>0</x:v>
      </x:c>
      <x:c r="I2531" s="16" t="n">
        <x:v>0.26666666666666666</x:v>
      </x:c>
      <x:c r="J2531" s="16" t="n">
        <x:v>1.0666666666666667</x:v>
      </x:c>
      <x:c r="K2531" s="11" t="n">
        <x:f>CHOOSE('假设'!$B$3,H2531,I2531,J2531)</x:f>
        <x:v>0.26666666666666666</x:v>
      </x:c>
      <x:c r="L2531" s="11" t="n">
        <x:f>K2531*'管线假设'!E555*'管线假设'!F555*'管线假设'!G555*IF(E2531="USD",'管线假设'!I555,1)-AM2531</x:f>
        <x:v>0.009599999999999997</x:v>
      </x:c>
      <x:c r="M2531" s="11" t="n">
        <x:f>'管线假设'!H555</x:f>
        <x:v>0.135</x:v>
      </x:c>
      <x:c r="N2531" s="11" t="n">
        <x:f>IF(G2531,L2531*AN2531/(1+M2531)^F2531,0)</x:f>
        <x:v>0.003956057175903616</x:v>
      </x:c>
      <x:c r="AJ2531" t="n">
        <x:v>0</x:v>
      </x:c>
      <x:c r="AK2531" t="n">
        <x:v>0</x:v>
      </x:c>
      <x:c r="AL2531" t="n">
        <x:v>0</x:v>
      </x:c>
      <x:c r="AM2531" t="n">
        <x:f>CHOOSE('假设'!$B$3,AJ2531,AK2531,AL2531)</x:f>
        <x:v>0</x:v>
      </x:c>
      <x:c r="AN2531" t="n">
        <x:v>1</x:v>
      </x:c>
    </x:row>
    <x:row r="2532" ht="23" customHeight="1">
      <x:c r="A2532" s="11" t="str">
        <x:v>688382.SH</x:v>
      </x:c>
      <x:c r="B2532" s="11" t="str">
        <x:v>2026年底</x:v>
      </x:c>
      <x:c r="C2532" s="11" t="str">
        <x:v>serd_adc</x:v>
      </x:c>
      <x:c r="D2532" s="11" t="str">
        <x:v>2034-12-31</x:v>
      </x:c>
      <x:c r="E2532" s="11" t="str">
        <x:v>CNY</x:v>
      </x:c>
      <x:c r="F2532" s="11" t="n">
        <x:v>8</x:v>
      </x:c>
      <x:c r="G2532" s="26" t="b">
        <x:v>1</x:v>
      </x:c>
      <x:c r="H2532" s="16" t="n">
        <x:v>0</x:v>
      </x:c>
      <x:c r="I2532" s="16" t="n">
        <x:v>0.4</x:v>
      </x:c>
      <x:c r="J2532" s="16" t="n">
        <x:v>1.3333333333333335</x:v>
      </x:c>
      <x:c r="K2532" s="11" t="n">
        <x:f>CHOOSE('假设'!$B$3,H2532,I2532,J2532)</x:f>
        <x:v>0.4</x:v>
      </x:c>
      <x:c r="L2532" s="11" t="n">
        <x:f>K2532*'管线假设'!E555*'管线假设'!F555*'管线假设'!G555*IF(E2532="USD",'管线假设'!I555,1)-AM2532</x:f>
        <x:v>0.014399999999999996</x:v>
      </x:c>
      <x:c r="M2532" s="11" t="n">
        <x:f>'管线假设'!H555</x:f>
        <x:v>0.135</x:v>
      </x:c>
      <x:c r="N2532" s="11" t="n">
        <x:f>IF(G2532,L2532*AN2532/(1+M2532)^F2532,0)</x:f>
        <x:v>0.005228722577059888</x:v>
      </x:c>
      <x:c r="AJ2532" t="n">
        <x:v>0</x:v>
      </x:c>
      <x:c r="AK2532" t="n">
        <x:v>0</x:v>
      </x:c>
      <x:c r="AL2532" t="n">
        <x:v>0</x:v>
      </x:c>
      <x:c r="AM2532" t="n">
        <x:f>CHOOSE('假设'!$B$3,AJ2532,AK2532,AL2532)</x:f>
        <x:v>0</x:v>
      </x:c>
      <x:c r="AN2532" t="n">
        <x:v>1</x:v>
      </x:c>
    </x:row>
    <x:row r="2533" ht="23" customHeight="1">
      <x:c r="A2533" s="11" t="str">
        <x:v>688382.SH</x:v>
      </x:c>
      <x:c r="B2533" s="11" t="str">
        <x:v>2026年底</x:v>
      </x:c>
      <x:c r="C2533" s="11" t="str">
        <x:v>serd_adc</x:v>
      </x:c>
      <x:c r="D2533" s="11" t="str">
        <x:v>2035-12-31</x:v>
      </x:c>
      <x:c r="E2533" s="11" t="str">
        <x:v>CNY</x:v>
      </x:c>
      <x:c r="F2533" s="11" t="n">
        <x:v>8.999315537303216</x:v>
      </x:c>
      <x:c r="G2533" s="26" t="b">
        <x:v>1</x:v>
      </x:c>
      <x:c r="H2533" s="16" t="n">
        <x:v>0.06</x:v>
      </x:c>
      <x:c r="I2533" s="16" t="n">
        <x:v>0.5333333333333333</x:v>
      </x:c>
      <x:c r="J2533" s="16" t="n">
        <x:v>1.6</x:v>
      </x:c>
      <x:c r="K2533" s="11" t="n">
        <x:f>CHOOSE('假设'!$B$3,H2533,I2533,J2533)</x:f>
        <x:v>0.5333333333333333</x:v>
      </x:c>
      <x:c r="L2533" s="11" t="n">
        <x:f>K2533*'管线假设'!E555*'管线假设'!F555*'管线假设'!G555*IF(E2533="USD",'管线假设'!I555,1)-AM2533</x:f>
        <x:v>0.019199999999999995</x:v>
      </x:c>
      <x:c r="M2533" s="11" t="n">
        <x:f>'管线假设'!H555</x:f>
        <x:v>0.135</x:v>
      </x:c>
      <x:c r="N2533" s="11" t="n">
        <x:f>IF(G2533,L2533*AN2533/(1+M2533)^F2533,0)</x:f>
        <x:v>0.006142937794929581</x:v>
      </x:c>
      <x:c r="AJ2533" t="n">
        <x:v>0</x:v>
      </x:c>
      <x:c r="AK2533" t="n">
        <x:v>0</x:v>
      </x:c>
      <x:c r="AL2533" t="n">
        <x:v>0</x:v>
      </x:c>
      <x:c r="AM2533" t="n">
        <x:f>CHOOSE('假设'!$B$3,AJ2533,AK2533,AL2533)</x:f>
        <x:v>0</x:v>
      </x:c>
      <x:c r="AN2533" t="n">
        <x:v>1</x:v>
      </x:c>
    </x:row>
    <x:row r="2534" ht="23" customHeight="1">
      <x:c r="A2534" s="11" t="str">
        <x:v>688382.SH</x:v>
      </x:c>
      <x:c r="B2534" s="11" t="str">
        <x:v>2026年底</x:v>
      </x:c>
      <x:c r="C2534" s="11" t="str">
        <x:v>serd_adc</x:v>
      </x:c>
      <x:c r="D2534" s="11" t="str">
        <x:v>2036-12-31</x:v>
      </x:c>
      <x:c r="E2534" s="11" t="str">
        <x:v>CNY</x:v>
      </x:c>
      <x:c r="F2534" s="11" t="n">
        <x:v>10.001368925393566</x:v>
      </x:c>
      <x:c r="G2534" s="26" t="b">
        <x:v>1</x:v>
      </x:c>
      <x:c r="H2534" s="16" t="n">
        <x:v>0.12</x:v>
      </x:c>
      <x:c r="I2534" s="16" t="n">
        <x:v>0.6666666666666667</x:v>
      </x:c>
      <x:c r="J2534" s="16" t="n">
        <x:v>1.3920000000000001</x:v>
      </x:c>
      <x:c r="K2534" s="11" t="n">
        <x:f>CHOOSE('假设'!$B$3,H2534,I2534,J2534)</x:f>
        <x:v>0.6666666666666667</x:v>
      </x:c>
      <x:c r="L2534" s="11" t="n">
        <x:f>K2534*'管线假设'!E555*'管线假设'!F555*'管线假设'!G555*IF(E2534="USD",'管线假设'!I555,1)-AM2534</x:f>
        <x:v>0.023999999999999994</x:v>
      </x:c>
      <x:c r="M2534" s="11" t="n">
        <x:f>'管线假设'!H555</x:f>
        <x:v>0.135</x:v>
      </x:c>
      <x:c r="N2534" s="11" t="n">
        <x:f>IF(G2534,L2534*AN2534/(1+M2534)^F2534,0)</x:f>
        <x:v>0.0067635910563666295</x:v>
      </x:c>
      <x:c r="AJ2534" t="n">
        <x:v>0</x:v>
      </x:c>
      <x:c r="AK2534" t="n">
        <x:v>0</x:v>
      </x:c>
      <x:c r="AL2534" t="n">
        <x:v>0</x:v>
      </x:c>
      <x:c r="AM2534" t="n">
        <x:f>CHOOSE('假设'!$B$3,AJ2534,AK2534,AL2534)</x:f>
        <x:v>0</x:v>
      </x:c>
      <x:c r="AN2534" t="n">
        <x:v>1</x:v>
      </x:c>
    </x:row>
    <x:row r="2535" ht="23" customHeight="1">
      <x:c r="A2535" s="11" t="str">
        <x:v>688382.SH</x:v>
      </x:c>
      <x:c r="B2535" s="11" t="str">
        <x:v>2026年底</x:v>
      </x:c>
      <x:c r="C2535" s="11" t="str">
        <x:v>serd_adc</x:v>
      </x:c>
      <x:c r="D2535" s="11" t="str">
        <x:v>2037-12-31</x:v>
      </x:c>
      <x:c r="E2535" s="11" t="str">
        <x:v>CNY</x:v>
      </x:c>
      <x:c r="F2535" s="11" t="n">
        <x:v>11.000684462696784</x:v>
      </x:c>
      <x:c r="G2535" s="26" t="b">
        <x:v>1</x:v>
      </x:c>
      <x:c r="H2535" s="16" t="n">
        <x:v>0.18</x:v>
      </x:c>
      <x:c r="I2535" s="16" t="n">
        <x:v>0.8</x:v>
      </x:c>
      <x:c r="J2535" s="16" t="n">
        <x:v>1.184</x:v>
      </x:c>
      <x:c r="K2535" s="11" t="n">
        <x:f>CHOOSE('假设'!$B$3,H2535,I2535,J2535)</x:f>
        <x:v>0.8</x:v>
      </x:c>
      <x:c r="L2535" s="11" t="n">
        <x:f>K2535*'管线假设'!E555*'管线假设'!F555*'管线假设'!G555*IF(E2535="USD",'管线假设'!I555,1)-AM2535</x:f>
        <x:v>0.028799999999999992</x:v>
      </x:c>
      <x:c r="M2535" s="11" t="n">
        <x:f>'管线假设'!H555</x:f>
        <x:v>0.135</x:v>
      </x:c>
      <x:c r="N2535" s="11" t="n">
        <x:f>IF(G2535,L2535*AN2535/(1+M2535)^F2535,0)</x:f>
        <x:v>0.007151553111786702</x:v>
      </x:c>
      <x:c r="AJ2535" t="n">
        <x:v>0</x:v>
      </x:c>
      <x:c r="AK2535" t="n">
        <x:v>0</x:v>
      </x:c>
      <x:c r="AL2535" t="n">
        <x:v>0</x:v>
      </x:c>
      <x:c r="AM2535" t="n">
        <x:f>CHOOSE('假设'!$B$3,AJ2535,AK2535,AL2535)</x:f>
        <x:v>0</x:v>
      </x:c>
      <x:c r="AN2535" t="n">
        <x:v>1</x:v>
      </x:c>
    </x:row>
    <x:row r="2536" ht="23" customHeight="1">
      <x:c r="A2536" s="11" t="str">
        <x:v>688382.SH</x:v>
      </x:c>
      <x:c r="B2536" s="11" t="str">
        <x:v>2026年底</x:v>
      </x:c>
      <x:c r="C2536" s="11" t="str">
        <x:v>serd_adc</x:v>
      </x:c>
      <x:c r="D2536" s="11" t="str">
        <x:v>2038-12-31</x:v>
      </x:c>
      <x:c r="E2536" s="11" t="str">
        <x:v>CNY</x:v>
      </x:c>
      <x:c r="F2536" s="11" t="n">
        <x:v>12</x:v>
      </x:c>
      <x:c r="G2536" s="26" t="b">
        <x:v>1</x:v>
      </x:c>
      <x:c r="H2536" s="16" t="n">
        <x:v>0.24</x:v>
      </x:c>
      <x:c r="I2536" s="16" t="n">
        <x:v>0.6960000000000001</x:v>
      </x:c>
      <x:c r="J2536" s="16" t="n">
        <x:v>0.976</x:v>
      </x:c>
      <x:c r="K2536" s="11" t="n">
        <x:f>CHOOSE('假设'!$B$3,H2536,I2536,J2536)</x:f>
        <x:v>0.6960000000000001</x:v>
      </x:c>
      <x:c r="L2536" s="11" t="n">
        <x:f>K2536*'管线假设'!E555*'管线假设'!F555*'管线假设'!G555*IF(E2536="USD",'管线假设'!I555,1)-AM2536</x:f>
        <x:v>0.025055999999999995</x:v>
      </x:c>
      <x:c r="M2536" s="11" t="n">
        <x:f>'管线假设'!H555</x:f>
        <x:v>0.135</x:v>
      </x:c>
      <x:c r="N2536" s="11" t="n">
        <x:f>IF(G2536,L2536*AN2536/(1+M2536)^F2536,0)</x:f>
        <x:v>0.005482282389080612</x:v>
      </x:c>
      <x:c r="AJ2536" t="n">
        <x:v>0</x:v>
      </x:c>
      <x:c r="AK2536" t="n">
        <x:v>0</x:v>
      </x:c>
      <x:c r="AL2536" t="n">
        <x:v>0</x:v>
      </x:c>
      <x:c r="AM2536" t="n">
        <x:f>CHOOSE('假设'!$B$3,AJ2536,AK2536,AL2536)</x:f>
        <x:v>0</x:v>
      </x:c>
      <x:c r="AN2536" t="n">
        <x:v>1</x:v>
      </x:c>
    </x:row>
    <x:row r="2537" ht="23" customHeight="1">
      <x:c r="A2537" s="11" t="str">
        <x:v>688382.SH</x:v>
      </x:c>
      <x:c r="B2537" s="11" t="str">
        <x:v>2026年底</x:v>
      </x:c>
      <x:c r="C2537" s="11" t="str">
        <x:v>serd_adc</x:v>
      </x:c>
      <x:c r="D2537" s="11" t="str">
        <x:v>2039-12-31</x:v>
      </x:c>
      <x:c r="E2537" s="11" t="str">
        <x:v>CNY</x:v>
      </x:c>
      <x:c r="F2537" s="11" t="n">
        <x:v>12.999315537303216</x:v>
      </x:c>
      <x:c r="G2537" s="26" t="b">
        <x:v>1</x:v>
      </x:c>
      <x:c r="H2537" s="16" t="n">
        <x:v>0.3</x:v>
      </x:c>
      <x:c r="I2537" s="16" t="n">
        <x:v>0.592</x:v>
      </x:c>
      <x:c r="J2537" s="16" t="n">
        <x:v>0.768</x:v>
      </x:c>
      <x:c r="K2537" s="11" t="n">
        <x:f>CHOOSE('假设'!$B$3,H2537,I2537,J2537)</x:f>
        <x:v>0.592</x:v>
      </x:c>
      <x:c r="L2537" s="11" t="n">
        <x:f>K2537*'管线假设'!E555*'管线假设'!F555*'管线假设'!G555*IF(E2537="USD",'管线假设'!I555,1)-AM2537</x:f>
        <x:v>0.021311999999999994</x:v>
      </x:c>
      <x:c r="M2537" s="11" t="n">
        <x:f>'管线假设'!H555</x:f>
        <x:v>0.135</x:v>
      </x:c>
      <x:c r="N2537" s="11" t="n">
        <x:f>IF(G2537,L2537*AN2537/(1+M2537)^F2537,0)</x:f>
        <x:v>0.004108806132292137</x:v>
      </x:c>
      <x:c r="AJ2537" t="n">
        <x:v>0</x:v>
      </x:c>
      <x:c r="AK2537" t="n">
        <x:v>0</x:v>
      </x:c>
      <x:c r="AL2537" t="n">
        <x:v>0</x:v>
      </x:c>
      <x:c r="AM2537" t="n">
        <x:f>CHOOSE('假设'!$B$3,AJ2537,AK2537,AL2537)</x:f>
        <x:v>0</x:v>
      </x:c>
      <x:c r="AN2537" t="n">
        <x:v>1</x:v>
      </x:c>
    </x:row>
    <x:row r="2538" ht="23" customHeight="1">
      <x:c r="A2538" s="11" t="str">
        <x:v>688382.SH</x:v>
      </x:c>
      <x:c r="B2538" s="11" t="str">
        <x:v>2026年底</x:v>
      </x:c>
      <x:c r="C2538" s="11" t="str">
        <x:v>serd_adc</x:v>
      </x:c>
      <x:c r="D2538" s="11" t="str">
        <x:v>2040-12-31</x:v>
      </x:c>
      <x:c r="E2538" s="11" t="str">
        <x:v>CNY</x:v>
      </x:c>
      <x:c r="F2538" s="11" t="n">
        <x:v>14.001368925393566</x:v>
      </x:c>
      <x:c r="G2538" s="26" t="b">
        <x:v>1</x:v>
      </x:c>
      <x:c r="H2538" s="16" t="n">
        <x:v>0.261</x:v>
      </x:c>
      <x:c r="I2538" s="16" t="n">
        <x:v>0.488</x:v>
      </x:c>
      <x:c r="J2538" s="16" t="n">
        <x:v>0.5599999999999999</x:v>
      </x:c>
      <x:c r="K2538" s="11" t="n">
        <x:f>CHOOSE('假设'!$B$3,H2538,I2538,J2538)</x:f>
        <x:v>0.488</x:v>
      </x:c>
      <x:c r="L2538" s="11" t="n">
        <x:f>K2538*'管线假设'!E555*'管线假设'!F555*'管线假设'!G555*IF(E2538="USD",'管线假设'!I555,1)-AM2538</x:f>
        <x:v>0.017567999999999997</x:v>
      </x:c>
      <x:c r="M2538" s="11" t="n">
        <x:f>'管线假设'!H555</x:f>
        <x:v>0.135</x:v>
      </x:c>
      <x:c r="N2538" s="11" t="n">
        <x:f>IF(G2538,L2538*AN2538/(1+M2538)^F2538,0)</x:f>
        <x:v>0.0029833552847504017</x:v>
      </x:c>
      <x:c r="AJ2538" t="n">
        <x:v>0</x:v>
      </x:c>
      <x:c r="AK2538" t="n">
        <x:v>0</x:v>
      </x:c>
      <x:c r="AL2538" t="n">
        <x:v>0</x:v>
      </x:c>
      <x:c r="AM2538" t="n">
        <x:f>CHOOSE('假设'!$B$3,AJ2538,AK2538,AL2538)</x:f>
        <x:v>0</x:v>
      </x:c>
      <x:c r="AN2538" t="n">
        <x:v>1</x:v>
      </x:c>
    </x:row>
    <x:row r="2539" ht="23" customHeight="1">
      <x:c r="A2539" s="11" t="str">
        <x:v>688382.SH</x:v>
      </x:c>
      <x:c r="B2539" s="11" t="str">
        <x:v>2026年底</x:v>
      </x:c>
      <x:c r="C2539" s="11" t="str">
        <x:v>serd_adc</x:v>
      </x:c>
      <x:c r="D2539" s="11" t="str">
        <x:v>2041-12-31</x:v>
      </x:c>
      <x:c r="E2539" s="11" t="str">
        <x:v>CNY</x:v>
      </x:c>
      <x:c r="F2539" s="11" t="n">
        <x:v>15.000684462696784</x:v>
      </x:c>
      <x:c r="G2539" s="26" t="b">
        <x:v>1</x:v>
      </x:c>
      <x:c r="H2539" s="16" t="n">
        <x:v>0.222</x:v>
      </x:c>
      <x:c r="I2539" s="16" t="n">
        <x:v>0.384</x:v>
      </x:c>
      <x:c r="J2539" s="16" t="n">
        <x:v>0.352</x:v>
      </x:c>
      <x:c r="K2539" s="11" t="n">
        <x:f>CHOOSE('假设'!$B$3,H2539,I2539,J2539)</x:f>
        <x:v>0.384</x:v>
      </x:c>
      <x:c r="L2539" s="11" t="n">
        <x:f>K2539*'管线假设'!E555*'管线假设'!F555*'管线假设'!G555*IF(E2539="USD",'管线假设'!I555,1)-AM2539</x:f>
        <x:v>0.013823999999999996</x:v>
      </x:c>
      <x:c r="M2539" s="11" t="n">
        <x:f>'管线假设'!H555</x:f>
        <x:v>0.135</x:v>
      </x:c>
      <x:c r="N2539" s="11" t="n">
        <x:f>IF(G2539,L2539*AN2539/(1+M2539)^F2539,0)</x:f>
        <x:v>0.002068512547178702</x:v>
      </x:c>
      <x:c r="AJ2539" t="n">
        <x:v>0</x:v>
      </x:c>
      <x:c r="AK2539" t="n">
        <x:v>0</x:v>
      </x:c>
      <x:c r="AL2539" t="n">
        <x:v>0</x:v>
      </x:c>
      <x:c r="AM2539" t="n">
        <x:f>CHOOSE('假设'!$B$3,AJ2539,AK2539,AL2539)</x:f>
        <x:v>0</x:v>
      </x:c>
      <x:c r="AN2539" t="n">
        <x:v>1</x:v>
      </x:c>
    </x:row>
    <x:row r="2540" ht="23" customHeight="1">
      <x:c r="A2540" s="11" t="str">
        <x:v>688382.SH</x:v>
      </x:c>
      <x:c r="B2540" s="11" t="str">
        <x:v>2026年底</x:v>
      </x:c>
      <x:c r="C2540" s="11" t="str">
        <x:v>serd_adc</x:v>
      </x:c>
      <x:c r="D2540" s="11" t="str">
        <x:v>2042-12-31</x:v>
      </x:c>
      <x:c r="E2540" s="11" t="str">
        <x:v>CNY</x:v>
      </x:c>
      <x:c r="F2540" s="11" t="n">
        <x:v>16</x:v>
      </x:c>
      <x:c r="G2540" s="26" t="b">
        <x:v>1</x:v>
      </x:c>
      <x:c r="H2540" s="16" t="n">
        <x:v>0.183</x:v>
      </x:c>
      <x:c r="I2540" s="16" t="n">
        <x:v>0.27999999999999997</x:v>
      </x:c>
      <x:c r="J2540" s="16" t="n">
        <x:v>0.14399999999999996</x:v>
      </x:c>
      <x:c r="K2540" s="11" t="n">
        <x:f>CHOOSE('假设'!$B$3,H2540,I2540,J2540)</x:f>
        <x:v>0.27999999999999997</x:v>
      </x:c>
      <x:c r="L2540" s="11" t="n">
        <x:f>K2540*'管线假设'!E555*'管线假设'!F555*'管线假设'!G555*IF(E2540="USD",'管线假设'!I555,1)-AM2540</x:f>
        <x:v>0.010079999999999997</x:v>
      </x:c>
      <x:c r="M2540" s="11" t="n">
        <x:f>'管线假设'!H555</x:f>
        <x:v>0.135</x:v>
      </x:c>
      <x:c r="N2540" s="11" t="n">
        <x:f>IF(G2540,L2540*AN2540/(1+M2540)^F2540,0)</x:f>
        <x:v>0.0013290054063541013</x:v>
      </x:c>
      <x:c r="AJ2540" t="n">
        <x:v>0</x:v>
      </x:c>
      <x:c r="AK2540" t="n">
        <x:v>0</x:v>
      </x:c>
      <x:c r="AL2540" t="n">
        <x:v>0</x:v>
      </x:c>
      <x:c r="AM2540" t="n">
        <x:f>CHOOSE('假设'!$B$3,AJ2540,AK2540,AL2540)</x:f>
        <x:v>0</x:v>
      </x:c>
      <x:c r="AN2540" t="n">
        <x:v>1</x:v>
      </x:c>
    </x:row>
    <x:row r="2541" ht="23" customHeight="1">
      <x:c r="A2541" s="11" t="str">
        <x:v>688382.SH</x:v>
      </x:c>
      <x:c r="B2541" s="11" t="str">
        <x:v>2026年底</x:v>
      </x:c>
      <x:c r="C2541" s="11" t="str">
        <x:v>serd_adc</x:v>
      </x:c>
      <x:c r="D2541" s="11" t="str">
        <x:v>2043-12-31</x:v>
      </x:c>
      <x:c r="E2541" s="11" t="str">
        <x:v>CNY</x:v>
      </x:c>
      <x:c r="F2541" s="11" t="n">
        <x:v>16.999315537303218</x:v>
      </x:c>
      <x:c r="G2541" s="26" t="b">
        <x:v>1</x:v>
      </x:c>
      <x:c r="H2541" s="16" t="n">
        <x:v>0.144</x:v>
      </x:c>
      <x:c r="I2541" s="16" t="n">
        <x:v>0.176</x:v>
      </x:c>
      <x:c r="J2541" s="16" t="n">
        <x:v>0</x:v>
      </x:c>
      <x:c r="K2541" s="11" t="n">
        <x:f>CHOOSE('假设'!$B$3,H2541,I2541,J2541)</x:f>
        <x:v>0.176</x:v>
      </x:c>
      <x:c r="L2541" s="11" t="n">
        <x:f>K2541*'管线假设'!E555*'管线假设'!F555*'管线假设'!G555*IF(E2541="USD",'管线假设'!I555,1)-AM2541</x:f>
        <x:v>0.006335999999999998</x:v>
      </x:c>
      <x:c r="M2541" s="11" t="n">
        <x:f>'管线假设'!H555</x:f>
        <x:v>0.135</x:v>
      </x:c>
      <x:c r="N2541" s="11" t="n">
        <x:f>IF(G2541,L2541*AN2541/(1+M2541)^F2541,0)</x:f>
        <x:v>0.000736076860241772</x:v>
      </x:c>
      <x:c r="AJ2541" t="n">
        <x:v>0</x:v>
      </x:c>
      <x:c r="AK2541" t="n">
        <x:v>0</x:v>
      </x:c>
      <x:c r="AL2541" t="n">
        <x:v>0</x:v>
      </x:c>
      <x:c r="AM2541" t="n">
        <x:f>CHOOSE('假设'!$B$3,AJ2541,AK2541,AL2541)</x:f>
        <x:v>0</x:v>
      </x:c>
      <x:c r="AN2541" t="n">
        <x:v>1</x:v>
      </x:c>
    </x:row>
    <x:row r="2542" ht="23" customHeight="1">
      <x:c r="A2542" s="11" t="str">
        <x:v>688382.SH</x:v>
      </x:c>
      <x:c r="B2542" s="11" t="str">
        <x:v>2026年底</x:v>
      </x:c>
      <x:c r="C2542" s="11" t="str">
        <x:v>serd_adc</x:v>
      </x:c>
      <x:c r="D2542" s="11" t="str">
        <x:v>2044-12-31</x:v>
      </x:c>
      <x:c r="E2542" s="11" t="str">
        <x:v>CNY</x:v>
      </x:c>
      <x:c r="F2542" s="11" t="n">
        <x:v>18.001368925393567</x:v>
      </x:c>
      <x:c r="G2542" s="26" t="b">
        <x:v>1</x:v>
      </x:c>
      <x:c r="H2542" s="16" t="n">
        <x:v>0.105</x:v>
      </x:c>
      <x:c r="I2542" s="16" t="n">
        <x:v>0.07199999999999998</x:v>
      </x:c>
      <x:c r="J2542" s="16" t="n">
        <x:v>0</x:v>
      </x:c>
      <x:c r="K2542" s="11" t="n">
        <x:f>CHOOSE('假设'!$B$3,H2542,I2542,J2542)</x:f>
        <x:v>0.07199999999999998</x:v>
      </x:c>
      <x:c r="L2542" s="11" t="n">
        <x:f>K2542*'管线假设'!E555*'管线假设'!F555*'管线假设'!G555*IF(E2542="USD",'管线假设'!I555,1)-AM2542</x:f>
        <x:v>0.002591999999999999</x:v>
      </x:c>
      <x:c r="M2542" s="11" t="n">
        <x:f>'管线假设'!H555</x:f>
        <x:v>0.135</x:v>
      </x:c>
      <x:c r="N2542" s="11" t="n">
        <x:f>IF(G2542,L2542*AN2542/(1+M2542)^F2542,0)</x:f>
        <x:v>0.0002652370594381839</x:v>
      </x:c>
      <x:c r="AJ2542" t="n">
        <x:v>0</x:v>
      </x:c>
      <x:c r="AK2542" t="n">
        <x:v>0</x:v>
      </x:c>
      <x:c r="AL2542" t="n">
        <x:v>0</x:v>
      </x:c>
      <x:c r="AM2542" t="n">
        <x:f>CHOOSE('假设'!$B$3,AJ2542,AK2542,AL2542)</x:f>
        <x:v>0</x:v>
      </x:c>
      <x:c r="AN2542" t="n">
        <x:v>1</x:v>
      </x:c>
    </x:row>
    <x:row r="2543" ht="23" customHeight="1">
      <x:c r="A2543" s="11" t="str">
        <x:v>688382.SH</x:v>
      </x:c>
      <x:c r="B2543" s="11" t="str">
        <x:v>2026年底</x:v>
      </x:c>
      <x:c r="C2543" s="11" t="str">
        <x:v>serd_adc</x:v>
      </x:c>
      <x:c r="D2543" s="11" t="str">
        <x:v>2045-12-31</x:v>
      </x:c>
      <x:c r="E2543" s="11" t="str">
        <x:v>CNY</x:v>
      </x:c>
      <x:c r="F2543" s="11" t="n">
        <x:v>19.000684462696782</x:v>
      </x:c>
      <x:c r="G2543" s="26" t="b">
        <x:v>1</x:v>
      </x:c>
      <x:c r="H2543" s="16" t="n">
        <x:v>0.06599999999999999</x:v>
      </x:c>
      <x:c r="I2543" s="16" t="n">
        <x:v>0</x:v>
      </x:c>
      <x:c r="J2543" s="16" t="n">
        <x:v>0</x:v>
      </x:c>
      <x:c r="K2543" s="11" t="n">
        <x:f>CHOOSE('假设'!$B$3,H2543,I2543,J2543)</x:f>
        <x:v>0</x:v>
      </x:c>
      <x:c r="L2543" s="11" t="n">
        <x:f>K2543*'管线假设'!E555*'管线假设'!F555*'管线假设'!G555*IF(E2543="USD",'管线假设'!I555,1)-AM2543</x:f>
        <x:v>0</x:v>
      </x:c>
      <x:c r="M2543" s="11" t="n">
        <x:f>'管线假设'!H555</x:f>
        <x:v>0.135</x:v>
      </x:c>
      <x:c r="N2543" s="11" t="n">
        <x:f>IF(G2543,L2543*AN2543/(1+M2543)^F2543,0)</x:f>
        <x:v>0</x:v>
      </x:c>
      <x:c r="AJ2543" t="n">
        <x:v>0</x:v>
      </x:c>
      <x:c r="AK2543" t="n">
        <x:v>0</x:v>
      </x:c>
      <x:c r="AL2543" t="n">
        <x:v>0</x:v>
      </x:c>
      <x:c r="AM2543" t="n">
        <x:f>CHOOSE('假设'!$B$3,AJ2543,AK2543,AL2543)</x:f>
        <x:v>0</x:v>
      </x:c>
      <x:c r="AN2543" t="n">
        <x:v>1</x:v>
      </x:c>
    </x:row>
    <x:row r="2544" ht="23" customHeight="1">
      <x:c r="A2544" s="11" t="str">
        <x:v>688382.SH</x:v>
      </x:c>
      <x:c r="B2544" s="11" t="str">
        <x:v>2026年底</x:v>
      </x:c>
      <x:c r="C2544" s="11" t="str">
        <x:v>urat_cn</x:v>
      </x:c>
      <x:c r="D2544" s="11" t="str">
        <x:v>2027-12-31</x:v>
      </x:c>
      <x:c r="E2544" s="11" t="str">
        <x:v>CNY</x:v>
      </x:c>
      <x:c r="F2544" s="11" t="n">
        <x:v>0.999315537303217</x:v>
      </x:c>
      <x:c r="G2544" s="26" t="b">
        <x:v>1</x:v>
      </x:c>
      <x:c r="H2544" s="16" t="n">
        <x:v>0</x:v>
      </x:c>
      <x:c r="I2544" s="16" t="n">
        <x:v>0</x:v>
      </x:c>
      <x:c r="J2544" s="16" t="n">
        <x:v>0</x:v>
      </x:c>
      <x:c r="K2544" s="11" t="n">
        <x:f>CHOOSE('假设'!$B$3,H2544,I2544,J2544)</x:f>
        <x:v>0</x:v>
      </x:c>
      <x:c r="L2544" s="11" t="n">
        <x:f>K2544*'管线假设'!E559*'管线假设'!F559*'管线假设'!G559*IF(E2544="USD",'管线假设'!I559,1)-AM2544</x:f>
        <x:v>0</x:v>
      </x:c>
      <x:c r="M2544" s="11" t="n">
        <x:f>'管线假设'!H559</x:f>
        <x:v>0.135</x:v>
      </x:c>
      <x:c r="N2544" s="11" t="n">
        <x:f>IF(G2544,L2544*AN2544/(1+M2544)^F2544,0)</x:f>
        <x:v>0</x:v>
      </x:c>
      <x:c r="AJ2544" t="n">
        <x:v>0</x:v>
      </x:c>
      <x:c r="AK2544" t="n">
        <x:v>0</x:v>
      </x:c>
      <x:c r="AL2544" t="n">
        <x:v>0</x:v>
      </x:c>
      <x:c r="AM2544" t="n">
        <x:f>CHOOSE('假设'!$B$3,AJ2544,AK2544,AL2544)</x:f>
        <x:v>0</x:v>
      </x:c>
      <x:c r="AN2544" t="n">
        <x:v>1</x:v>
      </x:c>
    </x:row>
    <x:row r="2545" ht="23" customHeight="1">
      <x:c r="A2545" s="11" t="str">
        <x:v>688382.SH</x:v>
      </x:c>
      <x:c r="B2545" s="11" t="str">
        <x:v>2026年底</x:v>
      </x:c>
      <x:c r="C2545" s="11" t="str">
        <x:v>urat_cn</x:v>
      </x:c>
      <x:c r="D2545" s="11" t="str">
        <x:v>2028-12-31</x:v>
      </x:c>
      <x:c r="E2545" s="11" t="str">
        <x:v>CNY</x:v>
      </x:c>
      <x:c r="F2545" s="11" t="n">
        <x:v>2.001368925393566</x:v>
      </x:c>
      <x:c r="G2545" s="26" t="b">
        <x:v>1</x:v>
      </x:c>
      <x:c r="H2545" s="16" t="n">
        <x:v>0</x:v>
      </x:c>
      <x:c r="I2545" s="16" t="n">
        <x:v>0</x:v>
      </x:c>
      <x:c r="J2545" s="16" t="n">
        <x:v>0</x:v>
      </x:c>
      <x:c r="K2545" s="11" t="n">
        <x:f>CHOOSE('假设'!$B$3,H2545,I2545,J2545)</x:f>
        <x:v>0</x:v>
      </x:c>
      <x:c r="L2545" s="11" t="n">
        <x:f>K2545*'管线假设'!E559*'管线假设'!F559*'管线假设'!G559*IF(E2545="USD",'管线假设'!I559,1)-AM2545</x:f>
        <x:v>0</x:v>
      </x:c>
      <x:c r="M2545" s="11" t="n">
        <x:f>'管线假设'!H559</x:f>
        <x:v>0.135</x:v>
      </x:c>
      <x:c r="N2545" s="11" t="n">
        <x:f>IF(G2545,L2545*AN2545/(1+M2545)^F2545,0)</x:f>
        <x:v>0</x:v>
      </x:c>
      <x:c r="AJ2545" t="n">
        <x:v>0</x:v>
      </x:c>
      <x:c r="AK2545" t="n">
        <x:v>0</x:v>
      </x:c>
      <x:c r="AL2545" t="n">
        <x:v>0</x:v>
      </x:c>
      <x:c r="AM2545" t="n">
        <x:f>CHOOSE('假设'!$B$3,AJ2545,AK2545,AL2545)</x:f>
        <x:v>0</x:v>
      </x:c>
      <x:c r="AN2545" t="n">
        <x:v>1</x:v>
      </x:c>
    </x:row>
    <x:row r="2546" ht="23" customHeight="1">
      <x:c r="A2546" s="11" t="str">
        <x:v>688382.SH</x:v>
      </x:c>
      <x:c r="B2546" s="11" t="str">
        <x:v>2026年底</x:v>
      </x:c>
      <x:c r="C2546" s="11" t="str">
        <x:v>urat_cn</x:v>
      </x:c>
      <x:c r="D2546" s="11" t="str">
        <x:v>2029-12-31</x:v>
      </x:c>
      <x:c r="E2546" s="11" t="str">
        <x:v>CNY</x:v>
      </x:c>
      <x:c r="F2546" s="11" t="n">
        <x:v>3.0006844626967832</x:v>
      </x:c>
      <x:c r="G2546" s="26" t="b">
        <x:v>1</x:v>
      </x:c>
      <x:c r="H2546" s="16" t="n">
        <x:v>0</x:v>
      </x:c>
      <x:c r="I2546" s="16" t="n">
        <x:v>0</x:v>
      </x:c>
      <x:c r="J2546" s="16" t="n">
        <x:v>0.43333333333333335</x:v>
      </x:c>
      <x:c r="K2546" s="11" t="n">
        <x:f>CHOOSE('假设'!$B$3,H2546,I2546,J2546)</x:f>
        <x:v>0</x:v>
      </x:c>
      <x:c r="L2546" s="11" t="n">
        <x:f>K2546*'管线假设'!E559*'管线假设'!F559*'管线假设'!G559*IF(E2546="USD",'管线假设'!I559,1)-AM2546</x:f>
        <x:v>0</x:v>
      </x:c>
      <x:c r="M2546" s="11" t="n">
        <x:f>'管线假设'!H559</x:f>
        <x:v>0.135</x:v>
      </x:c>
      <x:c r="N2546" s="11" t="n">
        <x:f>IF(G2546,L2546*AN2546/(1+M2546)^F2546,0)</x:f>
        <x:v>0</x:v>
      </x:c>
      <x:c r="AJ2546" t="n">
        <x:v>0</x:v>
      </x:c>
      <x:c r="AK2546" t="n">
        <x:v>0</x:v>
      </x:c>
      <x:c r="AL2546" t="n">
        <x:v>0</x:v>
      </x:c>
      <x:c r="AM2546" t="n">
        <x:f>CHOOSE('假设'!$B$3,AJ2546,AK2546,AL2546)</x:f>
        <x:v>0</x:v>
      </x:c>
      <x:c r="AN2546" t="n">
        <x:v>1</x:v>
      </x:c>
    </x:row>
    <x:row r="2547" ht="23" customHeight="1">
      <x:c r="A2547" s="11" t="str">
        <x:v>688382.SH</x:v>
      </x:c>
      <x:c r="B2547" s="11" t="str">
        <x:v>2026年底</x:v>
      </x:c>
      <x:c r="C2547" s="11" t="str">
        <x:v>urat_cn</x:v>
      </x:c>
      <x:c r="D2547" s="11" t="str">
        <x:v>2030-12-31</x:v>
      </x:c>
      <x:c r="E2547" s="11" t="str">
        <x:v>CNY</x:v>
      </x:c>
      <x:c r="F2547" s="11" t="n">
        <x:v>4</x:v>
      </x:c>
      <x:c r="G2547" s="26" t="b">
        <x:v>1</x:v>
      </x:c>
      <x:c r="H2547" s="16" t="n">
        <x:v>0</x:v>
      </x:c>
      <x:c r="I2547" s="16" t="n">
        <x:v>0</x:v>
      </x:c>
      <x:c r="J2547" s="16" t="n">
        <x:v>0.8666666666666667</x:v>
      </x:c>
      <x:c r="K2547" s="11" t="n">
        <x:f>CHOOSE('假设'!$B$3,H2547,I2547,J2547)</x:f>
        <x:v>0</x:v>
      </x:c>
      <x:c r="L2547" s="11" t="n">
        <x:f>K2547*'管线假设'!E559*'管线假设'!F559*'管线假设'!G559*IF(E2547="USD",'管线假设'!I559,1)-AM2547</x:f>
        <x:v>0</x:v>
      </x:c>
      <x:c r="M2547" s="11" t="n">
        <x:f>'管线假设'!H559</x:f>
        <x:v>0.135</x:v>
      </x:c>
      <x:c r="N2547" s="11" t="n">
        <x:f>IF(G2547,L2547*AN2547/(1+M2547)^F2547,0)</x:f>
        <x:v>0</x:v>
      </x:c>
      <x:c r="AJ2547" t="n">
        <x:v>0</x:v>
      </x:c>
      <x:c r="AK2547" t="n">
        <x:v>0</x:v>
      </x:c>
      <x:c r="AL2547" t="n">
        <x:v>0</x:v>
      </x:c>
      <x:c r="AM2547" t="n">
        <x:f>CHOOSE('假设'!$B$3,AJ2547,AK2547,AL2547)</x:f>
        <x:v>0</x:v>
      </x:c>
      <x:c r="AN2547" t="n">
        <x:v>1</x:v>
      </x:c>
    </x:row>
    <x:row r="2548" ht="23" customHeight="1">
      <x:c r="A2548" s="11" t="str">
        <x:v>688382.SH</x:v>
      </x:c>
      <x:c r="B2548" s="11" t="str">
        <x:v>2026年底</x:v>
      </x:c>
      <x:c r="C2548" s="11" t="str">
        <x:v>urat_cn</x:v>
      </x:c>
      <x:c r="D2548" s="11" t="str">
        <x:v>2031-12-31</x:v>
      </x:c>
      <x:c r="E2548" s="11" t="str">
        <x:v>CNY</x:v>
      </x:c>
      <x:c r="F2548" s="11" t="n">
        <x:v>4.999315537303217</x:v>
      </x:c>
      <x:c r="G2548" s="26" t="b">
        <x:v>1</x:v>
      </x:c>
      <x:c r="H2548" s="16" t="n">
        <x:v>0</x:v>
      </x:c>
      <x:c r="I2548" s="16" t="n">
        <x:v>0.2333333333333333</x:v>
      </x:c>
      <x:c r="J2548" s="16" t="n">
        <x:v>1.3</x:v>
      </x:c>
      <x:c r="K2548" s="11" t="n">
        <x:f>CHOOSE('假设'!$B$3,H2548,I2548,J2548)</x:f>
        <x:v>0.2333333333333333</x:v>
      </x:c>
      <x:c r="L2548" s="11" t="n">
        <x:f>K2548*'管线假设'!E559*'管线假设'!F559*'管线假设'!G559*IF(E2548="USD",'管线假设'!I559,1)-AM2548</x:f>
        <x:v>0.024826666666666667</x:v>
      </x:c>
      <x:c r="M2548" s="11" t="n">
        <x:f>'管线假设'!H559</x:f>
        <x:v>0.135</x:v>
      </x:c>
      <x:c r="N2548" s="11" t="n">
        <x:f>IF(G2548,L2548*AN2548/(1+M2548)^F2548,0)</x:f>
        <x:v>0.01318186162042856</x:v>
      </x:c>
      <x:c r="AJ2548" t="n">
        <x:v>0</x:v>
      </x:c>
      <x:c r="AK2548" t="n">
        <x:v>0</x:v>
      </x:c>
      <x:c r="AL2548" t="n">
        <x:v>0</x:v>
      </x:c>
      <x:c r="AM2548" t="n">
        <x:f>CHOOSE('假设'!$B$3,AJ2548,AK2548,AL2548)</x:f>
        <x:v>0</x:v>
      </x:c>
      <x:c r="AN2548" t="n">
        <x:v>1</x:v>
      </x:c>
    </x:row>
    <x:row r="2549" ht="23" customHeight="1">
      <x:c r="A2549" s="11" t="str">
        <x:v>688382.SH</x:v>
      </x:c>
      <x:c r="B2549" s="11" t="str">
        <x:v>2026年底</x:v>
      </x:c>
      <x:c r="C2549" s="11" t="str">
        <x:v>urat_cn</x:v>
      </x:c>
      <x:c r="D2549" s="11" t="str">
        <x:v>2032-12-31</x:v>
      </x:c>
      <x:c r="E2549" s="11" t="str">
        <x:v>CNY</x:v>
      </x:c>
      <x:c r="F2549" s="11" t="n">
        <x:v>6.0013689253935665</x:v>
      </x:c>
      <x:c r="G2549" s="26" t="b">
        <x:v>1</x:v>
      </x:c>
      <x:c r="H2549" s="16" t="n">
        <x:v>0</x:v>
      </x:c>
      <x:c r="I2549" s="16" t="n">
        <x:v>0.4666666666666666</x:v>
      </x:c>
      <x:c r="J2549" s="16" t="n">
        <x:v>1.7333333333333334</x:v>
      </x:c>
      <x:c r="K2549" s="11" t="n">
        <x:f>CHOOSE('假设'!$B$3,H2549,I2549,J2549)</x:f>
        <x:v>0.4666666666666666</x:v>
      </x:c>
      <x:c r="L2549" s="11" t="n">
        <x:f>K2549*'管线假设'!E559*'管线假设'!F559*'管线假设'!G559*IF(E2549="USD",'管线假设'!I559,1)-AM2549</x:f>
        <x:v>0.049653333333333334</x:v>
      </x:c>
      <x:c r="M2549" s="11" t="n">
        <x:f>'管线假设'!H559</x:f>
        <x:v>0.135</x:v>
      </x:c>
      <x:c r="N2549" s="11" t="n">
        <x:f>IF(G2549,L2549*AN2549/(1+M2549)^F2549,0)</x:f>
        <x:v>0.02322191090674137</x:v>
      </x:c>
      <x:c r="AJ2549" t="n">
        <x:v>0</x:v>
      </x:c>
      <x:c r="AK2549" t="n">
        <x:v>0</x:v>
      </x:c>
      <x:c r="AL2549" t="n">
        <x:v>0</x:v>
      </x:c>
      <x:c r="AM2549" t="n">
        <x:f>CHOOSE('假设'!$B$3,AJ2549,AK2549,AL2549)</x:f>
        <x:v>0</x:v>
      </x:c>
      <x:c r="AN2549" t="n">
        <x:v>1</x:v>
      </x:c>
    </x:row>
    <x:row r="2550" ht="23" customHeight="1">
      <x:c r="A2550" s="11" t="str">
        <x:v>688382.SH</x:v>
      </x:c>
      <x:c r="B2550" s="11" t="str">
        <x:v>2026年底</x:v>
      </x:c>
      <x:c r="C2550" s="11" t="str">
        <x:v>urat_cn</x:v>
      </x:c>
      <x:c r="D2550" s="11" t="str">
        <x:v>2033-12-31</x:v>
      </x:c>
      <x:c r="E2550" s="11" t="str">
        <x:v>CNY</x:v>
      </x:c>
      <x:c r="F2550" s="11" t="n">
        <x:v>7.000684462696783</x:v>
      </x:c>
      <x:c r="G2550" s="26" t="b">
        <x:v>1</x:v>
      </x:c>
      <x:c r="H2550" s="16" t="n">
        <x:v>0</x:v>
      </x:c>
      <x:c r="I2550" s="16" t="n">
        <x:v>0.7</x:v>
      </x:c>
      <x:c r="J2550" s="16" t="n">
        <x:v>2.166666666666667</x:v>
      </x:c>
      <x:c r="K2550" s="11" t="n">
        <x:f>CHOOSE('假设'!$B$3,H2550,I2550,J2550)</x:f>
        <x:v>0.7</x:v>
      </x:c>
      <x:c r="L2550" s="11" t="n">
        <x:f>K2550*'管线假设'!E559*'管线假设'!F559*'管线假设'!G559*IF(E2550="USD",'管线假设'!I559,1)-AM2550</x:f>
        <x:v>0.07447999999999999</x:v>
      </x:c>
      <x:c r="M2550" s="11" t="n">
        <x:f>'管线假设'!H559</x:f>
        <x:v>0.135</x:v>
      </x:c>
      <x:c r="N2550" s="11" t="n">
        <x:f>IF(G2550,L2550*AN2550/(1+M2550)^F2550,0)</x:f>
        <x:v>0.030692410256385562</x:v>
      </x:c>
      <x:c r="AJ2550" t="n">
        <x:v>0</x:v>
      </x:c>
      <x:c r="AK2550" t="n">
        <x:v>0</x:v>
      </x:c>
      <x:c r="AL2550" t="n">
        <x:v>0</x:v>
      </x:c>
      <x:c r="AM2550" t="n">
        <x:f>CHOOSE('假设'!$B$3,AJ2550,AK2550,AL2550)</x:f>
        <x:v>0</x:v>
      </x:c>
      <x:c r="AN2550" t="n">
        <x:v>1</x:v>
      </x:c>
    </x:row>
    <x:row r="2551" ht="23" customHeight="1">
      <x:c r="A2551" s="11" t="str">
        <x:v>688382.SH</x:v>
      </x:c>
      <x:c r="B2551" s="11" t="str">
        <x:v>2026年底</x:v>
      </x:c>
      <x:c r="C2551" s="11" t="str">
        <x:v>urat_cn</x:v>
      </x:c>
      <x:c r="D2551" s="11" t="str">
        <x:v>2034-12-31</x:v>
      </x:c>
      <x:c r="E2551" s="11" t="str">
        <x:v>CNY</x:v>
      </x:c>
      <x:c r="F2551" s="11" t="n">
        <x:v>8</x:v>
      </x:c>
      <x:c r="G2551" s="26" t="b">
        <x:v>1</x:v>
      </x:c>
      <x:c r="H2551" s="16" t="n">
        <x:v>0.12</x:v>
      </x:c>
      <x:c r="I2551" s="16" t="n">
        <x:v>0.9333333333333332</x:v>
      </x:c>
      <x:c r="J2551" s="16" t="n">
        <x:v>2.6</x:v>
      </x:c>
      <x:c r="K2551" s="11" t="n">
        <x:f>CHOOSE('假设'!$B$3,H2551,I2551,J2551)</x:f>
        <x:v>0.9333333333333332</x:v>
      </x:c>
      <x:c r="L2551" s="11" t="n">
        <x:f>K2551*'管线假设'!E559*'管线假设'!F559*'管线假设'!G559*IF(E2551="USD",'管线假设'!I559,1)-AM2551</x:f>
        <x:v>0.09930666666666667</x:v>
      </x:c>
      <x:c r="M2551" s="11" t="n">
        <x:f>'管线假设'!H559</x:f>
        <x:v>0.135</x:v>
      </x:c>
      <x:c r="N2551" s="11" t="n">
        <x:f>IF(G2551,L2551*AN2551/(1+M2551)^F2551,0)</x:f>
        <x:v>0.03605882014253894</x:v>
      </x:c>
      <x:c r="AJ2551" t="n">
        <x:v>0</x:v>
      </x:c>
      <x:c r="AK2551" t="n">
        <x:v>0</x:v>
      </x:c>
      <x:c r="AL2551" t="n">
        <x:v>0</x:v>
      </x:c>
      <x:c r="AM2551" t="n">
        <x:f>CHOOSE('假设'!$B$3,AJ2551,AK2551,AL2551)</x:f>
        <x:v>0</x:v>
      </x:c>
      <x:c r="AN2551" t="n">
        <x:v>1</x:v>
      </x:c>
    </x:row>
    <x:row r="2552" ht="23" customHeight="1">
      <x:c r="A2552" s="11" t="str">
        <x:v>688382.SH</x:v>
      </x:c>
      <x:c r="B2552" s="11" t="str">
        <x:v>2026年底</x:v>
      </x:c>
      <x:c r="C2552" s="11" t="str">
        <x:v>urat_cn</x:v>
      </x:c>
      <x:c r="D2552" s="11" t="str">
        <x:v>2035-12-31</x:v>
      </x:c>
      <x:c r="E2552" s="11" t="str">
        <x:v>CNY</x:v>
      </x:c>
      <x:c r="F2552" s="11" t="n">
        <x:v>8.999315537303216</x:v>
      </x:c>
      <x:c r="G2552" s="26" t="b">
        <x:v>1</x:v>
      </x:c>
      <x:c r="H2552" s="16" t="n">
        <x:v>0.24</x:v>
      </x:c>
      <x:c r="I2552" s="16" t="n">
        <x:v>1.1666666666666667</x:v>
      </x:c>
      <x:c r="J2552" s="16" t="n">
        <x:v>2.262</x:v>
      </x:c>
      <x:c r="K2552" s="11" t="n">
        <x:f>CHOOSE('假设'!$B$3,H2552,I2552,J2552)</x:f>
        <x:v>1.1666666666666667</x:v>
      </x:c>
      <x:c r="L2552" s="11" t="n">
        <x:f>K2552*'管线假设'!E559*'管线假设'!F559*'管线假设'!G559*IF(E2552="USD",'管线假设'!I559,1)-AM2552</x:f>
        <x:v>0.12413333333333335</x:v>
      </x:c>
      <x:c r="M2552" s="11" t="n">
        <x:f>'管线假设'!H559</x:f>
        <x:v>0.135</x:v>
      </x:c>
      <x:c r="N2552" s="11" t="n">
        <x:f>IF(G2552,L2552*AN2552/(1+M2552)^F2552,0)</x:f>
        <x:v>0.03971579921582946</x:v>
      </x:c>
      <x:c r="AJ2552" t="n">
        <x:v>0</x:v>
      </x:c>
      <x:c r="AK2552" t="n">
        <x:v>0</x:v>
      </x:c>
      <x:c r="AL2552" t="n">
        <x:v>0</x:v>
      </x:c>
      <x:c r="AM2552" t="n">
        <x:f>CHOOSE('假设'!$B$3,AJ2552,AK2552,AL2552)</x:f>
        <x:v>0</x:v>
      </x:c>
      <x:c r="AN2552" t="n">
        <x:v>1</x:v>
      </x:c>
    </x:row>
    <x:row r="2553" ht="23" customHeight="1">
      <x:c r="A2553" s="11" t="str">
        <x:v>688382.SH</x:v>
      </x:c>
      <x:c r="B2553" s="11" t="str">
        <x:v>2026年底</x:v>
      </x:c>
      <x:c r="C2553" s="11" t="str">
        <x:v>urat_cn</x:v>
      </x:c>
      <x:c r="D2553" s="11" t="str">
        <x:v>2036-12-31</x:v>
      </x:c>
      <x:c r="E2553" s="11" t="str">
        <x:v>CNY</x:v>
      </x:c>
      <x:c r="F2553" s="11" t="n">
        <x:v>10.001368925393566</x:v>
      </x:c>
      <x:c r="G2553" s="26" t="b">
        <x:v>1</x:v>
      </x:c>
      <x:c r="H2553" s="16" t="n">
        <x:v>0.36</x:v>
      </x:c>
      <x:c r="I2553" s="16" t="n">
        <x:v>1.4</x:v>
      </x:c>
      <x:c r="J2553" s="16" t="n">
        <x:v>1.924</x:v>
      </x:c>
      <x:c r="K2553" s="11" t="n">
        <x:f>CHOOSE('假设'!$B$3,H2553,I2553,J2553)</x:f>
        <x:v>1.4</x:v>
      </x:c>
      <x:c r="L2553" s="11" t="n">
        <x:f>K2553*'管线假设'!E559*'管线假设'!F559*'管线假设'!G559*IF(E2553="USD",'管线假设'!I559,1)-AM2553</x:f>
        <x:v>0.14895999999999998</x:v>
      </x:c>
      <x:c r="M2553" s="11" t="n">
        <x:f>'管线假设'!H559</x:f>
        <x:v>0.135</x:v>
      </x:c>
      <x:c r="N2553" s="11" t="n">
        <x:f>IF(G2553,L2553*AN2553/(1+M2553)^F2553,0)</x:f>
        <x:v>0.04197935515651555</x:v>
      </x:c>
      <x:c r="AJ2553" t="n">
        <x:v>0</x:v>
      </x:c>
      <x:c r="AK2553" t="n">
        <x:v>0</x:v>
      </x:c>
      <x:c r="AL2553" t="n">
        <x:v>0</x:v>
      </x:c>
      <x:c r="AM2553" t="n">
        <x:f>CHOOSE('假设'!$B$3,AJ2553,AK2553,AL2553)</x:f>
        <x:v>0</x:v>
      </x:c>
      <x:c r="AN2553" t="n">
        <x:v>1</x:v>
      </x:c>
    </x:row>
    <x:row r="2554" ht="23" customHeight="1">
      <x:c r="A2554" s="11" t="str">
        <x:v>688382.SH</x:v>
      </x:c>
      <x:c r="B2554" s="11" t="str">
        <x:v>2026年底</x:v>
      </x:c>
      <x:c r="C2554" s="11" t="str">
        <x:v>urat_cn</x:v>
      </x:c>
      <x:c r="D2554" s="11" t="str">
        <x:v>2037-12-31</x:v>
      </x:c>
      <x:c r="E2554" s="11" t="str">
        <x:v>CNY</x:v>
      </x:c>
      <x:c r="F2554" s="11" t="n">
        <x:v>11.000684462696784</x:v>
      </x:c>
      <x:c r="G2554" s="26" t="b">
        <x:v>1</x:v>
      </x:c>
      <x:c r="H2554" s="16" t="n">
        <x:v>0.48</x:v>
      </x:c>
      <x:c r="I2554" s="16" t="n">
        <x:v>1.218</x:v>
      </x:c>
      <x:c r="J2554" s="16" t="n">
        <x:v>1.586</x:v>
      </x:c>
      <x:c r="K2554" s="11" t="n">
        <x:f>CHOOSE('假设'!$B$3,H2554,I2554,J2554)</x:f>
        <x:v>1.218</x:v>
      </x:c>
      <x:c r="L2554" s="11" t="n">
        <x:f>K2554*'管线假设'!E559*'管线假设'!F559*'管线假设'!G559*IF(E2554="USD",'管线假设'!I559,1)-AM2554</x:f>
        <x:v>0.1295952</x:v>
      </x:c>
      <x:c r="M2554" s="11" t="n">
        <x:f>'管线假设'!H559</x:f>
        <x:v>0.135</x:v>
      </x:c>
      <x:c r="N2554" s="11" t="n">
        <x:f>IF(G2554,L2554*AN2554/(1+M2554)^F2554,0)</x:f>
        <x:v>0.032180797077521535</x:v>
      </x:c>
      <x:c r="AJ2554" t="n">
        <x:v>0</x:v>
      </x:c>
      <x:c r="AK2554" t="n">
        <x:v>0</x:v>
      </x:c>
      <x:c r="AL2554" t="n">
        <x:v>0</x:v>
      </x:c>
      <x:c r="AM2554" t="n">
        <x:f>CHOOSE('假设'!$B$3,AJ2554,AK2554,AL2554)</x:f>
        <x:v>0</x:v>
      </x:c>
      <x:c r="AN2554" t="n">
        <x:v>1</x:v>
      </x:c>
    </x:row>
    <x:row r="2555" ht="23" customHeight="1">
      <x:c r="A2555" s="11" t="str">
        <x:v>688382.SH</x:v>
      </x:c>
      <x:c r="B2555" s="11" t="str">
        <x:v>2026年底</x:v>
      </x:c>
      <x:c r="C2555" s="11" t="str">
        <x:v>urat_cn</x:v>
      </x:c>
      <x:c r="D2555" s="11" t="str">
        <x:v>2038-12-31</x:v>
      </x:c>
      <x:c r="E2555" s="11" t="str">
        <x:v>CNY</x:v>
      </x:c>
      <x:c r="F2555" s="11" t="n">
        <x:v>12</x:v>
      </x:c>
      <x:c r="G2555" s="26" t="b">
        <x:v>1</x:v>
      </x:c>
      <x:c r="H2555" s="16" t="n">
        <x:v>0.6</x:v>
      </x:c>
      <x:c r="I2555" s="16" t="n">
        <x:v>1.036</x:v>
      </x:c>
      <x:c r="J2555" s="16" t="n">
        <x:v>1.248</x:v>
      </x:c>
      <x:c r="K2555" s="11" t="n">
        <x:f>CHOOSE('假设'!$B$3,H2555,I2555,J2555)</x:f>
        <x:v>1.036</x:v>
      </x:c>
      <x:c r="L2555" s="11" t="n">
        <x:f>K2555*'管线假设'!E559*'管线假设'!F559*'管线假设'!G559*IF(E2555="USD",'管线假设'!I559,1)-AM2555</x:f>
        <x:v>0.11023040000000002</x:v>
      </x:c>
      <x:c r="M2555" s="11" t="n">
        <x:f>'管线假设'!H559</x:f>
        <x:v>0.135</x:v>
      </x:c>
      <x:c r="N2555" s="11" t="n">
        <x:f>IF(G2555,L2555*AN2555/(1+M2555)^F2555,0)</x:f>
        <x:v>0.024118541693060016</x:v>
      </x:c>
      <x:c r="AJ2555" t="n">
        <x:v>0</x:v>
      </x:c>
      <x:c r="AK2555" t="n">
        <x:v>0</x:v>
      </x:c>
      <x:c r="AL2555" t="n">
        <x:v>0</x:v>
      </x:c>
      <x:c r="AM2555" t="n">
        <x:f>CHOOSE('假设'!$B$3,AJ2555,AK2555,AL2555)</x:f>
        <x:v>0</x:v>
      </x:c>
      <x:c r="AN2555" t="n">
        <x:v>1</x:v>
      </x:c>
    </x:row>
    <x:row r="2556" ht="23" customHeight="1">
      <x:c r="A2556" s="11" t="str">
        <x:v>688382.SH</x:v>
      </x:c>
      <x:c r="B2556" s="11" t="str">
        <x:v>2026年底</x:v>
      </x:c>
      <x:c r="C2556" s="11" t="str">
        <x:v>urat_cn</x:v>
      </x:c>
      <x:c r="D2556" s="11" t="str">
        <x:v>2039-12-31</x:v>
      </x:c>
      <x:c r="E2556" s="11" t="str">
        <x:v>CNY</x:v>
      </x:c>
      <x:c r="F2556" s="11" t="n">
        <x:v>12.999315537303216</x:v>
      </x:c>
      <x:c r="G2556" s="26" t="b">
        <x:v>1</x:v>
      </x:c>
      <x:c r="H2556" s="16" t="n">
        <x:v>0.522</x:v>
      </x:c>
      <x:c r="I2556" s="16" t="n">
        <x:v>0.854</x:v>
      </x:c>
      <x:c r="J2556" s="16" t="n">
        <x:v>0.9099999999999999</x:v>
      </x:c>
      <x:c r="K2556" s="11" t="n">
        <x:f>CHOOSE('假设'!$B$3,H2556,I2556,J2556)</x:f>
        <x:v>0.854</x:v>
      </x:c>
      <x:c r="L2556" s="11" t="n">
        <x:f>K2556*'管线假设'!E559*'管线假设'!F559*'管线假设'!G559*IF(E2556="USD",'管线假设'!I559,1)-AM2556</x:f>
        <x:v>0.0908656</x:v>
      </x:c>
      <x:c r="M2556" s="11" t="n">
        <x:f>'管线假设'!H559</x:f>
        <x:v>0.135</x:v>
      </x:c>
      <x:c r="N2556" s="11" t="n">
        <x:f>IF(G2556,L2556*AN2556/(1+M2556)^F2556,0)</x:f>
        <x:v>0.017518258938363576</x:v>
      </x:c>
      <x:c r="AJ2556" t="n">
        <x:v>0</x:v>
      </x:c>
      <x:c r="AK2556" t="n">
        <x:v>0</x:v>
      </x:c>
      <x:c r="AL2556" t="n">
        <x:v>0</x:v>
      </x:c>
      <x:c r="AM2556" t="n">
        <x:f>CHOOSE('假设'!$B$3,AJ2556,AK2556,AL2556)</x:f>
        <x:v>0</x:v>
      </x:c>
      <x:c r="AN2556" t="n">
        <x:v>1</x:v>
      </x:c>
    </x:row>
    <x:row r="2557" ht="23" customHeight="1">
      <x:c r="A2557" s="11" t="str">
        <x:v>688382.SH</x:v>
      </x:c>
      <x:c r="B2557" s="11" t="str">
        <x:v>2026年底</x:v>
      </x:c>
      <x:c r="C2557" s="11" t="str">
        <x:v>urat_cn</x:v>
      </x:c>
      <x:c r="D2557" s="11" t="str">
        <x:v>2040-12-31</x:v>
      </x:c>
      <x:c r="E2557" s="11" t="str">
        <x:v>CNY</x:v>
      </x:c>
      <x:c r="F2557" s="11" t="n">
        <x:v>14.001368925393566</x:v>
      </x:c>
      <x:c r="G2557" s="26" t="b">
        <x:v>1</x:v>
      </x:c>
      <x:c r="H2557" s="16" t="n">
        <x:v>0.444</x:v>
      </x:c>
      <x:c r="I2557" s="16" t="n">
        <x:v>0.6719999999999999</x:v>
      </x:c>
      <x:c r="J2557" s="16" t="n">
        <x:v>0.572</x:v>
      </x:c>
      <x:c r="K2557" s="11" t="n">
        <x:f>CHOOSE('假设'!$B$3,H2557,I2557,J2557)</x:f>
        <x:v>0.6719999999999999</x:v>
      </x:c>
      <x:c r="L2557" s="11" t="n">
        <x:f>K2557*'管线假设'!E559*'管线假设'!F559*'管线假设'!G559*IF(E2557="USD",'管线假设'!I559,1)-AM2557</x:f>
        <x:v>0.0715008</x:v>
      </x:c>
      <x:c r="M2557" s="11" t="n">
        <x:f>'管线假设'!H559</x:f>
        <x:v>0.135</x:v>
      </x:c>
      <x:c r="N2557" s="11" t="n">
        <x:f>IF(G2557,L2557*AN2557/(1+M2557)^F2557,0)</x:f>
        <x:v>0.01214209298405519</x:v>
      </x:c>
      <x:c r="AJ2557" t="n">
        <x:v>0</x:v>
      </x:c>
      <x:c r="AK2557" t="n">
        <x:v>0</x:v>
      </x:c>
      <x:c r="AL2557" t="n">
        <x:v>0</x:v>
      </x:c>
      <x:c r="AM2557" t="n">
        <x:f>CHOOSE('假设'!$B$3,AJ2557,AK2557,AL2557)</x:f>
        <x:v>0</x:v>
      </x:c>
      <x:c r="AN2557" t="n">
        <x:v>1</x:v>
      </x:c>
    </x:row>
    <x:row r="2558" ht="23" customHeight="1">
      <x:c r="A2558" s="11" t="str">
        <x:v>688382.SH</x:v>
      </x:c>
      <x:c r="B2558" s="11" t="str">
        <x:v>2026年底</x:v>
      </x:c>
      <x:c r="C2558" s="11" t="str">
        <x:v>urat_cn</x:v>
      </x:c>
      <x:c r="D2558" s="11" t="str">
        <x:v>2041-12-31</x:v>
      </x:c>
      <x:c r="E2558" s="11" t="str">
        <x:v>CNY</x:v>
      </x:c>
      <x:c r="F2558" s="11" t="n">
        <x:v>15.000684462696784</x:v>
      </x:c>
      <x:c r="G2558" s="26" t="b">
        <x:v>1</x:v>
      </x:c>
      <x:c r="H2558" s="16" t="n">
        <x:v>0.366</x:v>
      </x:c>
      <x:c r="I2558" s="16" t="n">
        <x:v>0.48999999999999994</x:v>
      </x:c>
      <x:c r="J2558" s="16" t="n">
        <x:v>0.23399999999999993</x:v>
      </x:c>
      <x:c r="K2558" s="11" t="n">
        <x:f>CHOOSE('假设'!$B$3,H2558,I2558,J2558)</x:f>
        <x:v>0.48999999999999994</x:v>
      </x:c>
      <x:c r="L2558" s="11" t="n">
        <x:f>K2558*'管线假设'!E559*'管线假设'!F559*'管线假设'!G559*IF(E2558="USD",'管线假设'!I559,1)-AM2558</x:f>
        <x:v>0.052136</x:v>
      </x:c>
      <x:c r="M2558" s="11" t="n">
        <x:f>'管线假设'!H559</x:f>
        <x:v>0.135</x:v>
      </x:c>
      <x:c r="N2558" s="11" t="n">
        <x:f>IF(G2558,L2558*AN2558/(1+M2558)^F2558,0)</x:f>
        <x:v>0.007801213119191901</x:v>
      </x:c>
      <x:c r="AJ2558" t="n">
        <x:v>0</x:v>
      </x:c>
      <x:c r="AK2558" t="n">
        <x:v>0</x:v>
      </x:c>
      <x:c r="AL2558" t="n">
        <x:v>0</x:v>
      </x:c>
      <x:c r="AM2558" t="n">
        <x:f>CHOOSE('假设'!$B$3,AJ2558,AK2558,AL2558)</x:f>
        <x:v>0</x:v>
      </x:c>
      <x:c r="AN2558" t="n">
        <x:v>1</x:v>
      </x:c>
    </x:row>
    <x:row r="2559" ht="23" customHeight="1">
      <x:c r="A2559" s="11" t="str">
        <x:v>688382.SH</x:v>
      </x:c>
      <x:c r="B2559" s="11" t="str">
        <x:v>2026年底</x:v>
      </x:c>
      <x:c r="C2559" s="11" t="str">
        <x:v>urat_cn</x:v>
      </x:c>
      <x:c r="D2559" s="11" t="str">
        <x:v>2042-12-31</x:v>
      </x:c>
      <x:c r="E2559" s="11" t="str">
        <x:v>CNY</x:v>
      </x:c>
      <x:c r="F2559" s="11" t="n">
        <x:v>16</x:v>
      </x:c>
      <x:c r="G2559" s="26" t="b">
        <x:v>1</x:v>
      </x:c>
      <x:c r="H2559" s="16" t="n">
        <x:v>0.288</x:v>
      </x:c>
      <x:c r="I2559" s="16" t="n">
        <x:v>0.30799999999999994</x:v>
      </x:c>
      <x:c r="J2559" s="16" t="n">
        <x:v>0</x:v>
      </x:c>
      <x:c r="K2559" s="11" t="n">
        <x:f>CHOOSE('假设'!$B$3,H2559,I2559,J2559)</x:f>
        <x:v>0.30799999999999994</x:v>
      </x:c>
      <x:c r="L2559" s="11" t="n">
        <x:f>K2559*'管线假设'!E559*'管线假设'!F559*'管线假设'!G559*IF(E2559="USD",'管线假设'!I559,1)-AM2559</x:f>
        <x:v>0.03277119999999999</x:v>
      </x:c>
      <x:c r="M2559" s="11" t="n">
        <x:f>'管线假设'!H559</x:f>
        <x:v>0.135</x:v>
      </x:c>
      <x:c r="N2559" s="11" t="n">
        <x:f>IF(G2559,L2559*AN2559/(1+M2559)^F2559,0)</x:f>
        <x:v>0.004320744243324556</x:v>
      </x:c>
      <x:c r="AJ2559" t="n">
        <x:v>0</x:v>
      </x:c>
      <x:c r="AK2559" t="n">
        <x:v>0</x:v>
      </x:c>
      <x:c r="AL2559" t="n">
        <x:v>0</x:v>
      </x:c>
      <x:c r="AM2559" t="n">
        <x:f>CHOOSE('假设'!$B$3,AJ2559,AK2559,AL2559)</x:f>
        <x:v>0</x:v>
      </x:c>
      <x:c r="AN2559" t="n">
        <x:v>1</x:v>
      </x:c>
    </x:row>
    <x:row r="2560" ht="23" customHeight="1">
      <x:c r="A2560" s="11" t="str">
        <x:v>688382.SH</x:v>
      </x:c>
      <x:c r="B2560" s="11" t="str">
        <x:v>2026年底</x:v>
      </x:c>
      <x:c r="C2560" s="11" t="str">
        <x:v>urat_cn</x:v>
      </x:c>
      <x:c r="D2560" s="11" t="str">
        <x:v>2043-12-31</x:v>
      </x:c>
      <x:c r="E2560" s="11" t="str">
        <x:v>CNY</x:v>
      </x:c>
      <x:c r="F2560" s="11" t="n">
        <x:v>16.999315537303218</x:v>
      </x:c>
      <x:c r="G2560" s="26" t="b">
        <x:v>1</x:v>
      </x:c>
      <x:c r="H2560" s="16" t="n">
        <x:v>0.21</x:v>
      </x:c>
      <x:c r="I2560" s="16" t="n">
        <x:v>0.12599999999999995</x:v>
      </x:c>
      <x:c r="J2560" s="16" t="n">
        <x:v>0</x:v>
      </x:c>
      <x:c r="K2560" s="11" t="n">
        <x:f>CHOOSE('假设'!$B$3,H2560,I2560,J2560)</x:f>
        <x:v>0.12599999999999995</x:v>
      </x:c>
      <x:c r="L2560" s="11" t="n">
        <x:f>K2560*'管线假设'!E559*'管线假设'!F559*'管线假设'!G559*IF(E2560="USD",'管线假设'!I559,1)-AM2560</x:f>
        <x:v>0.013406399999999995</x:v>
      </x:c>
      <x:c r="M2560" s="11" t="n">
        <x:f>'管线假设'!H559</x:f>
        <x:v>0.135</x:v>
      </x:c>
      <x:c r="N2560" s="11" t="n">
        <x:f>IF(G2560,L2560*AN2560/(1+M2560)^F2560,0)</x:f>
        <x:v>0.0015574717201933858</x:v>
      </x:c>
      <x:c r="AJ2560" t="n">
        <x:v>0</x:v>
      </x:c>
      <x:c r="AK2560" t="n">
        <x:v>0</x:v>
      </x:c>
      <x:c r="AL2560" t="n">
        <x:v>0</x:v>
      </x:c>
      <x:c r="AM2560" t="n">
        <x:f>CHOOSE('假设'!$B$3,AJ2560,AK2560,AL2560)</x:f>
        <x:v>0</x:v>
      </x:c>
      <x:c r="AN2560" t="n">
        <x:v>1</x:v>
      </x:c>
    </x:row>
    <x:row r="2561" ht="23" customHeight="1">
      <x:c r="A2561" s="11" t="str">
        <x:v>688382.SH</x:v>
      </x:c>
      <x:c r="B2561" s="11" t="str">
        <x:v>2026年底</x:v>
      </x:c>
      <x:c r="C2561" s="11" t="str">
        <x:v>urat_cn</x:v>
      </x:c>
      <x:c r="D2561" s="11" t="str">
        <x:v>2044-12-31</x:v>
      </x:c>
      <x:c r="E2561" s="11" t="str">
        <x:v>CNY</x:v>
      </x:c>
      <x:c r="F2561" s="11" t="n">
        <x:v>18.001368925393567</x:v>
      </x:c>
      <x:c r="G2561" s="26" t="b">
        <x:v>1</x:v>
      </x:c>
      <x:c r="H2561" s="16" t="n">
        <x:v>0.13199999999999998</x:v>
      </x:c>
      <x:c r="I2561" s="16" t="n">
        <x:v>0</x:v>
      </x:c>
      <x:c r="J2561" s="16" t="n">
        <x:v>0</x:v>
      </x:c>
      <x:c r="K2561" s="11" t="n">
        <x:f>CHOOSE('假设'!$B$3,H2561,I2561,J2561)</x:f>
        <x:v>0</x:v>
      </x:c>
      <x:c r="L2561" s="11" t="n">
        <x:f>K2561*'管线假设'!E559*'管线假设'!F559*'管线假设'!G559*IF(E2561="USD",'管线假设'!I559,1)-AM2561</x:f>
        <x:v>0</x:v>
      </x:c>
      <x:c r="M2561" s="11" t="n">
        <x:f>'管线假设'!H559</x:f>
        <x:v>0.135</x:v>
      </x:c>
      <x:c r="N2561" s="11" t="n">
        <x:f>IF(G2561,L2561*AN2561/(1+M2561)^F2561,0)</x:f>
        <x:v>0</x:v>
      </x:c>
      <x:c r="AJ2561" t="n">
        <x:v>0</x:v>
      </x:c>
      <x:c r="AK2561" t="n">
        <x:v>0</x:v>
      </x:c>
      <x:c r="AL2561" t="n">
        <x:v>0</x:v>
      </x:c>
      <x:c r="AM2561" t="n">
        <x:f>CHOOSE('假设'!$B$3,AJ2561,AK2561,AL2561)</x:f>
        <x:v>0</x:v>
      </x:c>
      <x:c r="AN2561" t="n">
        <x:v>1</x:v>
      </x:c>
    </x:row>
    <x:row r="2562" ht="23" customHeight="1">
      <x:c r="A2562" s="11" t="str">
        <x:v>688382.SH</x:v>
      </x:c>
      <x:c r="B2562" s="11" t="str">
        <x:v>2026年底</x:v>
      </x:c>
      <x:c r="C2562" s="11" t="str">
        <x:v>urat_cn</x:v>
      </x:c>
      <x:c r="D2562" s="11" t="str">
        <x:v>2045-12-31</x:v>
      </x:c>
      <x:c r="E2562" s="11" t="str">
        <x:v>CNY</x:v>
      </x:c>
      <x:c r="F2562" s="11" t="n">
        <x:v>19.000684462696782</x:v>
      </x:c>
      <x:c r="G2562" s="26" t="b">
        <x:v>1</x:v>
      </x:c>
      <x:c r="H2562" s="16" t="n">
        <x:v>0.05399999999999998</x:v>
      </x:c>
      <x:c r="I2562" s="16" t="n">
        <x:v>0</x:v>
      </x:c>
      <x:c r="J2562" s="16" t="n">
        <x:v>0</x:v>
      </x:c>
      <x:c r="K2562" s="11" t="n">
        <x:f>CHOOSE('假设'!$B$3,H2562,I2562,J2562)</x:f>
        <x:v>0</x:v>
      </x:c>
      <x:c r="L2562" s="11" t="n">
        <x:f>K2562*'管线假设'!E559*'管线假设'!F559*'管线假设'!G559*IF(E2562="USD",'管线假设'!I559,1)-AM2562</x:f>
        <x:v>0</x:v>
      </x:c>
      <x:c r="M2562" s="11" t="n">
        <x:f>'管线假设'!H559</x:f>
        <x:v>0.135</x:v>
      </x:c>
      <x:c r="N2562" s="11" t="n">
        <x:f>IF(G2562,L2562*AN2562/(1+M2562)^F2562,0)</x:f>
        <x:v>0</x:v>
      </x:c>
      <x:c r="AJ2562" t="n">
        <x:v>0</x:v>
      </x:c>
      <x:c r="AK2562" t="n">
        <x:v>0</x:v>
      </x:c>
      <x:c r="AL2562" t="n">
        <x:v>0</x:v>
      </x:c>
      <x:c r="AM2562" t="n">
        <x:f>CHOOSE('假设'!$B$3,AJ2562,AK2562,AL2562)</x:f>
        <x:v>0</x:v>
      </x:c>
      <x:c r="AN2562" t="n">
        <x:v>1</x:v>
      </x:c>
    </x:row>
    <x:row r="2563" ht="23" customHeight="1">
      <x:c r="A2563" s="11" t="str">
        <x:v>688382.SH</x:v>
      </x:c>
      <x:c r="B2563" s="11" t="str">
        <x:v>2026年底</x:v>
      </x:c>
      <x:c r="C2563" s="11" t="str">
        <x:v>urat_global</x:v>
      </x:c>
      <x:c r="D2563" s="11" t="str">
        <x:v>2027-12-31</x:v>
      </x:c>
      <x:c r="E2563" s="11" t="str">
        <x:v>USD</x:v>
      </x:c>
      <x:c r="F2563" s="11" t="n">
        <x:v>0.999315537303217</x:v>
      </x:c>
      <x:c r="G2563" s="26" t="b">
        <x:v>1</x:v>
      </x:c>
      <x:c r="H2563" s="16" t="n">
        <x:v>0</x:v>
      </x:c>
      <x:c r="I2563" s="16" t="n">
        <x:v>0</x:v>
      </x:c>
      <x:c r="J2563" s="16" t="n">
        <x:v>0</x:v>
      </x:c>
      <x:c r="K2563" s="11" t="n">
        <x:f>CHOOSE('假设'!$B$3,H2563,I2563,J2563)</x:f>
        <x:v>0</x:v>
      </x:c>
      <x:c r="L2563" s="11" t="n">
        <x:f>K2563*'管线假设'!E563*'管线假设'!F563*'管线假设'!G563*IF(E2563="USD",'管线假设'!I563,1)-AM2563</x:f>
        <x:v>0</x:v>
      </x:c>
      <x:c r="M2563" s="11" t="n">
        <x:f>'管线假设'!H563</x:f>
        <x:v>0.135</x:v>
      </x:c>
      <x:c r="N2563" s="11" t="n">
        <x:f>IF(G2563,L2563*AN2563/(1+M2563)^F2563,0)</x:f>
        <x:v>0</x:v>
      </x:c>
      <x:c r="AJ2563" t="n">
        <x:v>0</x:v>
      </x:c>
      <x:c r="AK2563" t="n">
        <x:v>0</x:v>
      </x:c>
      <x:c r="AL2563" t="n">
        <x:v>0</x:v>
      </x:c>
      <x:c r="AM2563" t="n">
        <x:f>CHOOSE('假设'!$B$3,AJ2563,AK2563,AL2563)</x:f>
        <x:v>0</x:v>
      </x:c>
      <x:c r="AN2563" t="n">
        <x:v>1</x:v>
      </x:c>
    </x:row>
    <x:row r="2564" ht="23" customHeight="1">
      <x:c r="A2564" s="11" t="str">
        <x:v>688382.SH</x:v>
      </x:c>
      <x:c r="B2564" s="11" t="str">
        <x:v>2026年底</x:v>
      </x:c>
      <x:c r="C2564" s="11" t="str">
        <x:v>urat_global</x:v>
      </x:c>
      <x:c r="D2564" s="11" t="str">
        <x:v>2028-12-31</x:v>
      </x:c>
      <x:c r="E2564" s="11" t="str">
        <x:v>USD</x:v>
      </x:c>
      <x:c r="F2564" s="11" t="n">
        <x:v>2.001368925393566</x:v>
      </x:c>
      <x:c r="G2564" s="26" t="b">
        <x:v>1</x:v>
      </x:c>
      <x:c r="H2564" s="16" t="n">
        <x:v>0</x:v>
      </x:c>
      <x:c r="I2564" s="16" t="n">
        <x:v>0</x:v>
      </x:c>
      <x:c r="J2564" s="16" t="n">
        <x:v>0</x:v>
      </x:c>
      <x:c r="K2564" s="11" t="n">
        <x:f>CHOOSE('假设'!$B$3,H2564,I2564,J2564)</x:f>
        <x:v>0</x:v>
      </x:c>
      <x:c r="L2564" s="11" t="n">
        <x:f>K2564*'管线假设'!E563*'管线假设'!F563*'管线假设'!G563*IF(E2564="USD",'管线假设'!I563,1)-AM2564</x:f>
        <x:v>0</x:v>
      </x:c>
      <x:c r="M2564" s="11" t="n">
        <x:f>'管线假设'!H563</x:f>
        <x:v>0.135</x:v>
      </x:c>
      <x:c r="N2564" s="11" t="n">
        <x:f>IF(G2564,L2564*AN2564/(1+M2564)^F2564,0)</x:f>
        <x:v>0</x:v>
      </x:c>
      <x:c r="AJ2564" t="n">
        <x:v>0</x:v>
      </x:c>
      <x:c r="AK2564" t="n">
        <x:v>0</x:v>
      </x:c>
      <x:c r="AL2564" t="n">
        <x:v>0</x:v>
      </x:c>
      <x:c r="AM2564" t="n">
        <x:f>CHOOSE('假设'!$B$3,AJ2564,AK2564,AL2564)</x:f>
        <x:v>0</x:v>
      </x:c>
      <x:c r="AN2564" t="n">
        <x:v>1</x:v>
      </x:c>
    </x:row>
    <x:row r="2565" ht="23" customHeight="1">
      <x:c r="A2565" s="11" t="str">
        <x:v>688382.SH</x:v>
      </x:c>
      <x:c r="B2565" s="11" t="str">
        <x:v>2026年底</x:v>
      </x:c>
      <x:c r="C2565" s="11" t="str">
        <x:v>urat_global</x:v>
      </x:c>
      <x:c r="D2565" s="11" t="str">
        <x:v>2029-12-31</x:v>
      </x:c>
      <x:c r="E2565" s="11" t="str">
        <x:v>USD</x:v>
      </x:c>
      <x:c r="F2565" s="11" t="n">
        <x:v>3.0006844626967832</x:v>
      </x:c>
      <x:c r="G2565" s="26" t="b">
        <x:v>1</x:v>
      </x:c>
      <x:c r="H2565" s="16" t="n">
        <x:v>0</x:v>
      </x:c>
      <x:c r="I2565" s="16" t="n">
        <x:v>0</x:v>
      </x:c>
      <x:c r="J2565" s="16" t="n">
        <x:v>0</x:v>
      </x:c>
      <x:c r="K2565" s="11" t="n">
        <x:f>CHOOSE('假设'!$B$3,H2565,I2565,J2565)</x:f>
        <x:v>0</x:v>
      </x:c>
      <x:c r="L2565" s="11" t="n">
        <x:f>K2565*'管线假设'!E563*'管线假设'!F563*'管线假设'!G563*IF(E2565="USD",'管线假设'!I563,1)-AM2565</x:f>
        <x:v>0</x:v>
      </x:c>
      <x:c r="M2565" s="11" t="n">
        <x:f>'管线假设'!H563</x:f>
        <x:v>0.135</x:v>
      </x:c>
      <x:c r="N2565" s="11" t="n">
        <x:f>IF(G2565,L2565*AN2565/(1+M2565)^F2565,0)</x:f>
        <x:v>0</x:v>
      </x:c>
      <x:c r="AJ2565" t="n">
        <x:v>0</x:v>
      </x:c>
      <x:c r="AK2565" t="n">
        <x:v>0</x:v>
      </x:c>
      <x:c r="AL2565" t="n">
        <x:v>0</x:v>
      </x:c>
      <x:c r="AM2565" t="n">
        <x:f>CHOOSE('假设'!$B$3,AJ2565,AK2565,AL2565)</x:f>
        <x:v>0</x:v>
      </x:c>
      <x:c r="AN2565" t="n">
        <x:v>1</x:v>
      </x:c>
    </x:row>
    <x:row r="2566" ht="23" customHeight="1">
      <x:c r="A2566" s="11" t="str">
        <x:v>688382.SH</x:v>
      </x:c>
      <x:c r="B2566" s="11" t="str">
        <x:v>2026年底</x:v>
      </x:c>
      <x:c r="C2566" s="11" t="str">
        <x:v>urat_global</x:v>
      </x:c>
      <x:c r="D2566" s="11" t="str">
        <x:v>2030-12-31</x:v>
      </x:c>
      <x:c r="E2566" s="11" t="str">
        <x:v>USD</x:v>
      </x:c>
      <x:c r="F2566" s="11" t="n">
        <x:v>4</x:v>
      </x:c>
      <x:c r="G2566" s="26" t="b">
        <x:v>1</x:v>
      </x:c>
      <x:c r="H2566" s="16" t="n">
        <x:v>0</x:v>
      </x:c>
      <x:c r="I2566" s="16" t="n">
        <x:v>0</x:v>
      </x:c>
      <x:c r="J2566" s="16" t="n">
        <x:v>0</x:v>
      </x:c>
      <x:c r="K2566" s="11" t="n">
        <x:f>CHOOSE('假设'!$B$3,H2566,I2566,J2566)</x:f>
        <x:v>0</x:v>
      </x:c>
      <x:c r="L2566" s="11" t="n">
        <x:f>K2566*'管线假设'!E563*'管线假设'!F563*'管线假设'!G563*IF(E2566="USD",'管线假设'!I563,1)-AM2566</x:f>
        <x:v>0</x:v>
      </x:c>
      <x:c r="M2566" s="11" t="n">
        <x:f>'管线假设'!H563</x:f>
        <x:v>0.135</x:v>
      </x:c>
      <x:c r="N2566" s="11" t="n">
        <x:f>IF(G2566,L2566*AN2566/(1+M2566)^F2566,0)</x:f>
        <x:v>0</x:v>
      </x:c>
      <x:c r="AJ2566" t="n">
        <x:v>0</x:v>
      </x:c>
      <x:c r="AK2566" t="n">
        <x:v>0</x:v>
      </x:c>
      <x:c r="AL2566" t="n">
        <x:v>0</x:v>
      </x:c>
      <x:c r="AM2566" t="n">
        <x:f>CHOOSE('假设'!$B$3,AJ2566,AK2566,AL2566)</x:f>
        <x:v>0</x:v>
      </x:c>
      <x:c r="AN2566" t="n">
        <x:v>1</x:v>
      </x:c>
    </x:row>
    <x:row r="2567" ht="23" customHeight="1">
      <x:c r="A2567" s="11" t="str">
        <x:v>688382.SH</x:v>
      </x:c>
      <x:c r="B2567" s="11" t="str">
        <x:v>2026年底</x:v>
      </x:c>
      <x:c r="C2567" s="11" t="str">
        <x:v>urat_global</x:v>
      </x:c>
      <x:c r="D2567" s="11" t="str">
        <x:v>2031-12-31</x:v>
      </x:c>
      <x:c r="E2567" s="11" t="str">
        <x:v>USD</x:v>
      </x:c>
      <x:c r="F2567" s="11" t="n">
        <x:v>4.999315537303217</x:v>
      </x:c>
      <x:c r="G2567" s="26" t="b">
        <x:v>1</x:v>
      </x:c>
      <x:c r="H2567" s="16" t="n">
        <x:v>0</x:v>
      </x:c>
      <x:c r="I2567" s="16" t="n">
        <x:v>0</x:v>
      </x:c>
      <x:c r="J2567" s="16" t="n">
        <x:v>0.3666666666666667</x:v>
      </x:c>
      <x:c r="K2567" s="11" t="n">
        <x:f>CHOOSE('假设'!$B$3,H2567,I2567,J2567)</x:f>
        <x:v>0</x:v>
      </x:c>
      <x:c r="L2567" s="11" t="n">
        <x:f>K2567*'管线假设'!E563*'管线假设'!F563*'管线假设'!G563*IF(E2567="USD",'管线假设'!I563,1)-AM2567</x:f>
        <x:v>0</x:v>
      </x:c>
      <x:c r="M2567" s="11" t="n">
        <x:f>'管线假设'!H563</x:f>
        <x:v>0.135</x:v>
      </x:c>
      <x:c r="N2567" s="11" t="n">
        <x:f>IF(G2567,L2567*AN2567/(1+M2567)^F2567,0)</x:f>
        <x:v>0</x:v>
      </x:c>
      <x:c r="AJ2567" t="n">
        <x:v>0</x:v>
      </x:c>
      <x:c r="AK2567" t="n">
        <x:v>0</x:v>
      </x:c>
      <x:c r="AL2567" t="n">
        <x:v>0</x:v>
      </x:c>
      <x:c r="AM2567" t="n">
        <x:f>CHOOSE('假设'!$B$3,AJ2567,AK2567,AL2567)</x:f>
        <x:v>0</x:v>
      </x:c>
      <x:c r="AN2567" t="n">
        <x:v>1</x:v>
      </x:c>
    </x:row>
    <x:row r="2568" ht="23" customHeight="1">
      <x:c r="A2568" s="11" t="str">
        <x:v>688382.SH</x:v>
      </x:c>
      <x:c r="B2568" s="11" t="str">
        <x:v>2026年底</x:v>
      </x:c>
      <x:c r="C2568" s="11" t="str">
        <x:v>urat_global</x:v>
      </x:c>
      <x:c r="D2568" s="11" t="str">
        <x:v>2032-12-31</x:v>
      </x:c>
      <x:c r="E2568" s="11" t="str">
        <x:v>USD</x:v>
      </x:c>
      <x:c r="F2568" s="11" t="n">
        <x:v>6.0013689253935665</x:v>
      </x:c>
      <x:c r="G2568" s="26" t="b">
        <x:v>1</x:v>
      </x:c>
      <x:c r="H2568" s="16" t="n">
        <x:v>0</x:v>
      </x:c>
      <x:c r="I2568" s="16" t="n">
        <x:v>0</x:v>
      </x:c>
      <x:c r="J2568" s="16" t="n">
        <x:v>0.7333333333333334</x:v>
      </x:c>
      <x:c r="K2568" s="11" t="n">
        <x:f>CHOOSE('假设'!$B$3,H2568,I2568,J2568)</x:f>
        <x:v>0</x:v>
      </x:c>
      <x:c r="L2568" s="11" t="n">
        <x:f>K2568*'管线假设'!E563*'管线假设'!F563*'管线假设'!G563*IF(E2568="USD",'管线假设'!I563,1)-AM2568</x:f>
        <x:v>0</x:v>
      </x:c>
      <x:c r="M2568" s="11" t="n">
        <x:f>'管线假设'!H563</x:f>
        <x:v>0.135</x:v>
      </x:c>
      <x:c r="N2568" s="11" t="n">
        <x:f>IF(G2568,L2568*AN2568/(1+M2568)^F2568,0)</x:f>
        <x:v>0</x:v>
      </x:c>
      <x:c r="AJ2568" t="n">
        <x:v>0</x:v>
      </x:c>
      <x:c r="AK2568" t="n">
        <x:v>0</x:v>
      </x:c>
      <x:c r="AL2568" t="n">
        <x:v>0</x:v>
      </x:c>
      <x:c r="AM2568" t="n">
        <x:f>CHOOSE('假设'!$B$3,AJ2568,AK2568,AL2568)</x:f>
        <x:v>0</x:v>
      </x:c>
      <x:c r="AN2568" t="n">
        <x:v>1</x:v>
      </x:c>
    </x:row>
    <x:row r="2569" ht="23" customHeight="1">
      <x:c r="A2569" s="11" t="str">
        <x:v>688382.SH</x:v>
      </x:c>
      <x:c r="B2569" s="11" t="str">
        <x:v>2026年底</x:v>
      </x:c>
      <x:c r="C2569" s="11" t="str">
        <x:v>urat_global</x:v>
      </x:c>
      <x:c r="D2569" s="11" t="str">
        <x:v>2033-12-31</x:v>
      </x:c>
      <x:c r="E2569" s="11" t="str">
        <x:v>USD</x:v>
      </x:c>
      <x:c r="F2569" s="11" t="n">
        <x:v>7.000684462696783</x:v>
      </x:c>
      <x:c r="G2569" s="26" t="b">
        <x:v>1</x:v>
      </x:c>
      <x:c r="H2569" s="16" t="n">
        <x:v>0</x:v>
      </x:c>
      <x:c r="I2569" s="16" t="n">
        <x:v>0.18333333333333335</x:v>
      </x:c>
      <x:c r="J2569" s="16" t="n">
        <x:v>1.1</x:v>
      </x:c>
      <x:c r="K2569" s="11" t="n">
        <x:f>CHOOSE('假设'!$B$3,H2569,I2569,J2569)</x:f>
        <x:v>0.18333333333333335</x:v>
      </x:c>
      <x:c r="L2569" s="11" t="n">
        <x:f>K2569*'管线假设'!E563*'管线假设'!F563*'管线假设'!G563*IF(E2569="USD",'管线假设'!I563,1)-AM2569</x:f>
        <x:v>0.025556666666666672</x:v>
      </x:c>
      <x:c r="M2569" s="11" t="n">
        <x:f>'管线假设'!H563</x:f>
        <x:v>0.135</x:v>
      </x:c>
      <x:c r="N2569" s="11" t="n">
        <x:f>IF(G2569,L2569*AN2569/(1+M2569)^F2569,0)</x:f>
        <x:v>0.010531628599879527</x:v>
      </x:c>
      <x:c r="AJ2569" t="n">
        <x:v>0</x:v>
      </x:c>
      <x:c r="AK2569" t="n">
        <x:v>0</x:v>
      </x:c>
      <x:c r="AL2569" t="n">
        <x:v>0</x:v>
      </x:c>
      <x:c r="AM2569" t="n">
        <x:f>CHOOSE('假设'!$B$3,AJ2569,AK2569,AL2569)</x:f>
        <x:v>0</x:v>
      </x:c>
      <x:c r="AN2569" t="n">
        <x:v>1</x:v>
      </x:c>
    </x:row>
    <x:row r="2570" ht="23" customHeight="1">
      <x:c r="A2570" s="11" t="str">
        <x:v>688382.SH</x:v>
      </x:c>
      <x:c r="B2570" s="11" t="str">
        <x:v>2026年底</x:v>
      </x:c>
      <x:c r="C2570" s="11" t="str">
        <x:v>urat_global</x:v>
      </x:c>
      <x:c r="D2570" s="11" t="str">
        <x:v>2034-12-31</x:v>
      </x:c>
      <x:c r="E2570" s="11" t="str">
        <x:v>USD</x:v>
      </x:c>
      <x:c r="F2570" s="11" t="n">
        <x:v>8</x:v>
      </x:c>
      <x:c r="G2570" s="26" t="b">
        <x:v>1</x:v>
      </x:c>
      <x:c r="H2570" s="16" t="n">
        <x:v>0</x:v>
      </x:c>
      <x:c r="I2570" s="16" t="n">
        <x:v>0.3666666666666667</x:v>
      </x:c>
      <x:c r="J2570" s="16" t="n">
        <x:v>1.4666666666666668</x:v>
      </x:c>
      <x:c r="K2570" s="11" t="n">
        <x:f>CHOOSE('假设'!$B$3,H2570,I2570,J2570)</x:f>
        <x:v>0.3666666666666667</x:v>
      </x:c>
      <x:c r="L2570" s="11" t="n">
        <x:f>K2570*'管线假设'!E563*'管线假设'!F563*'管线假设'!G563*IF(E2570="USD",'管线假设'!I563,1)-AM2570</x:f>
        <x:v>0.051113333333333344</x:v>
      </x:c>
      <x:c r="M2570" s="11" t="n">
        <x:f>'管线假设'!H563</x:f>
        <x:v>0.135</x:v>
      </x:c>
      <x:c r="N2570" s="11" t="n">
        <x:f>IF(G2570,L2570*AN2570/(1+M2570)^F2570,0)</x:f>
        <x:v>0.018559544443665824</x:v>
      </x:c>
      <x:c r="AJ2570" t="n">
        <x:v>0</x:v>
      </x:c>
      <x:c r="AK2570" t="n">
        <x:v>0</x:v>
      </x:c>
      <x:c r="AL2570" t="n">
        <x:v>0</x:v>
      </x:c>
      <x:c r="AM2570" t="n">
        <x:f>CHOOSE('假设'!$B$3,AJ2570,AK2570,AL2570)</x:f>
        <x:v>0</x:v>
      </x:c>
      <x:c r="AN2570" t="n">
        <x:v>1</x:v>
      </x:c>
    </x:row>
    <x:row r="2571" ht="23" customHeight="1">
      <x:c r="A2571" s="11" t="str">
        <x:v>688382.SH</x:v>
      </x:c>
      <x:c r="B2571" s="11" t="str">
        <x:v>2026年底</x:v>
      </x:c>
      <x:c r="C2571" s="11" t="str">
        <x:v>urat_global</x:v>
      </x:c>
      <x:c r="D2571" s="11" t="str">
        <x:v>2035-12-31</x:v>
      </x:c>
      <x:c r="E2571" s="11" t="str">
        <x:v>USD</x:v>
      </x:c>
      <x:c r="F2571" s="11" t="n">
        <x:v>8.999315537303216</x:v>
      </x:c>
      <x:c r="G2571" s="26" t="b">
        <x:v>1</x:v>
      </x:c>
      <x:c r="H2571" s="16" t="n">
        <x:v>0</x:v>
      </x:c>
      <x:c r="I2571" s="16" t="n">
        <x:v>0.55</x:v>
      </x:c>
      <x:c r="J2571" s="16" t="n">
        <x:v>1.8333333333333335</x:v>
      </x:c>
      <x:c r="K2571" s="11" t="n">
        <x:f>CHOOSE('假设'!$B$3,H2571,I2571,J2571)</x:f>
        <x:v>0.55</x:v>
      </x:c>
      <x:c r="L2571" s="11" t="n">
        <x:f>K2571*'管线假设'!E563*'管线假设'!F563*'管线假设'!G563*IF(E2571="USD",'管线假设'!I563,1)-AM2571</x:f>
        <x:v>0.07667000000000003</x:v>
      </x:c>
      <x:c r="M2571" s="11" t="n">
        <x:f>'管线假设'!H563</x:f>
        <x:v>0.135</x:v>
      </x:c>
      <x:c r="N2571" s="11" t="n">
        <x:f>IF(G2571,L2571*AN2571/(1+M2571)^F2571,0)</x:f>
        <x:v>0.024530158371731836</x:v>
      </x:c>
      <x:c r="AJ2571" t="n">
        <x:v>0</x:v>
      </x:c>
      <x:c r="AK2571" t="n">
        <x:v>0</x:v>
      </x:c>
      <x:c r="AL2571" t="n">
        <x:v>0</x:v>
      </x:c>
      <x:c r="AM2571" t="n">
        <x:f>CHOOSE('假设'!$B$3,AJ2571,AK2571,AL2571)</x:f>
        <x:v>0</x:v>
      </x:c>
      <x:c r="AN2571" t="n">
        <x:v>1</x:v>
      </x:c>
    </x:row>
    <x:row r="2572" ht="23" customHeight="1">
      <x:c r="A2572" s="11" t="str">
        <x:v>688382.SH</x:v>
      </x:c>
      <x:c r="B2572" s="11" t="str">
        <x:v>2026年底</x:v>
      </x:c>
      <x:c r="C2572" s="11" t="str">
        <x:v>urat_global</x:v>
      </x:c>
      <x:c r="D2572" s="11" t="str">
        <x:v>2036-12-31</x:v>
      </x:c>
      <x:c r="E2572" s="11" t="str">
        <x:v>USD</x:v>
      </x:c>
      <x:c r="F2572" s="11" t="n">
        <x:v>10.001368925393566</x:v>
      </x:c>
      <x:c r="G2572" s="26" t="b">
        <x:v>1</x:v>
      </x:c>
      <x:c r="H2572" s="16" t="n">
        <x:v>0.08000000000000002</x:v>
      </x:c>
      <x:c r="I2572" s="16" t="n">
        <x:v>0.7333333333333334</x:v>
      </x:c>
      <x:c r="J2572" s="16" t="n">
        <x:v>2.2</x:v>
      </x:c>
      <x:c r="K2572" s="11" t="n">
        <x:f>CHOOSE('假设'!$B$3,H2572,I2572,J2572)</x:f>
        <x:v>0.7333333333333334</x:v>
      </x:c>
      <x:c r="L2572" s="11" t="n">
        <x:f>K2572*'管线假设'!E563*'管线假设'!F563*'管线假设'!G563*IF(E2572="USD",'管线假设'!I563,1)-AM2572</x:f>
        <x:v>0.10222666666666669</x:v>
      </x:c>
      <x:c r="M2572" s="11" t="n">
        <x:f>'管线假设'!H563</x:f>
        <x:v>0.135</x:v>
      </x:c>
      <x:c r="N2572" s="11" t="n">
        <x:f>IF(G2572,L2572*AN2572/(1+M2572)^F2572,0)</x:f>
        <x:v>0.028809140349534985</x:v>
      </x:c>
      <x:c r="AJ2572" t="n">
        <x:v>0</x:v>
      </x:c>
      <x:c r="AK2572" t="n">
        <x:v>0</x:v>
      </x:c>
      <x:c r="AL2572" t="n">
        <x:v>0</x:v>
      </x:c>
      <x:c r="AM2572" t="n">
        <x:f>CHOOSE('假设'!$B$3,AJ2572,AK2572,AL2572)</x:f>
        <x:v>0</x:v>
      </x:c>
      <x:c r="AN2572" t="n">
        <x:v>1</x:v>
      </x:c>
    </x:row>
    <x:row r="2573" ht="23" customHeight="1">
      <x:c r="A2573" s="11" t="str">
        <x:v>688382.SH</x:v>
      </x:c>
      <x:c r="B2573" s="11" t="str">
        <x:v>2026年底</x:v>
      </x:c>
      <x:c r="C2573" s="11" t="str">
        <x:v>urat_global</x:v>
      </x:c>
      <x:c r="D2573" s="11" t="str">
        <x:v>2037-12-31</x:v>
      </x:c>
      <x:c r="E2573" s="11" t="str">
        <x:v>USD</x:v>
      </x:c>
      <x:c r="F2573" s="11" t="n">
        <x:v>11.000684462696784</x:v>
      </x:c>
      <x:c r="G2573" s="26" t="b">
        <x:v>1</x:v>
      </x:c>
      <x:c r="H2573" s="16" t="n">
        <x:v>0.16000000000000003</x:v>
      </x:c>
      <x:c r="I2573" s="16" t="n">
        <x:v>0.9166666666666667</x:v>
      </x:c>
      <x:c r="J2573" s="16" t="n">
        <x:v>1.9140000000000001</x:v>
      </x:c>
      <x:c r="K2573" s="11" t="n">
        <x:f>CHOOSE('假设'!$B$3,H2573,I2573,J2573)</x:f>
        <x:v>0.9166666666666667</x:v>
      </x:c>
      <x:c r="L2573" s="11" t="n">
        <x:f>K2573*'管线假设'!E563*'管线假设'!F563*'管线假设'!G563*IF(E2573="USD",'管线假设'!I563,1)-AM2573</x:f>
        <x:v>0.12778333333333336</x:v>
      </x:c>
      <x:c r="M2573" s="11" t="n">
        <x:f>'管线假设'!H563</x:f>
        <x:v>0.135</x:v>
      </x:c>
      <x:c r="N2573" s="11" t="n">
        <x:f>IF(G2573,L2573*AN2573/(1+M2573)^F2573,0)</x:f>
        <x:v>0.03173087830328048</x:v>
      </x:c>
      <x:c r="AJ2573" t="n">
        <x:v>0</x:v>
      </x:c>
      <x:c r="AK2573" t="n">
        <x:v>0</x:v>
      </x:c>
      <x:c r="AL2573" t="n">
        <x:v>0</x:v>
      </x:c>
      <x:c r="AM2573" t="n">
        <x:f>CHOOSE('假设'!$B$3,AJ2573,AK2573,AL2573)</x:f>
        <x:v>0</x:v>
      </x:c>
      <x:c r="AN2573" t="n">
        <x:v>1</x:v>
      </x:c>
    </x:row>
    <x:row r="2574" ht="23" customHeight="1">
      <x:c r="A2574" s="11" t="str">
        <x:v>688382.SH</x:v>
      </x:c>
      <x:c r="B2574" s="11" t="str">
        <x:v>2026年底</x:v>
      </x:c>
      <x:c r="C2574" s="11" t="str">
        <x:v>urat_global</x:v>
      </x:c>
      <x:c r="D2574" s="11" t="str">
        <x:v>2038-12-31</x:v>
      </x:c>
      <x:c r="E2574" s="11" t="str">
        <x:v>USD</x:v>
      </x:c>
      <x:c r="F2574" s="11" t="n">
        <x:v>12</x:v>
      </x:c>
      <x:c r="G2574" s="26" t="b">
        <x:v>1</x:v>
      </x:c>
      <x:c r="H2574" s="16" t="n">
        <x:v>0.24</x:v>
      </x:c>
      <x:c r="I2574" s="16" t="n">
        <x:v>1.1</x:v>
      </x:c>
      <x:c r="J2574" s="16" t="n">
        <x:v>1.6280000000000001</x:v>
      </x:c>
      <x:c r="K2574" s="11" t="n">
        <x:f>CHOOSE('假设'!$B$3,H2574,I2574,J2574)</x:f>
        <x:v>1.1</x:v>
      </x:c>
      <x:c r="L2574" s="11" t="n">
        <x:f>K2574*'管线假设'!E563*'管线假设'!F563*'管线假设'!G563*IF(E2574="USD",'管线假设'!I563,1)-AM2574</x:f>
        <x:v>0.15334000000000006</x:v>
      </x:c>
      <x:c r="M2574" s="11" t="n">
        <x:f>'管线假设'!H563</x:f>
        <x:v>0.135</x:v>
      </x:c>
      <x:c r="N2574" s="11" t="n">
        <x:f>IF(G2574,L2574*AN2574/(1+M2574)^F2574,0)</x:f>
        <x:v>0.03355097308196127</x:v>
      </x:c>
      <x:c r="AJ2574" t="n">
        <x:v>0</x:v>
      </x:c>
      <x:c r="AK2574" t="n">
        <x:v>0</x:v>
      </x:c>
      <x:c r="AL2574" t="n">
        <x:v>0</x:v>
      </x:c>
      <x:c r="AM2574" t="n">
        <x:f>CHOOSE('假设'!$B$3,AJ2574,AK2574,AL2574)</x:f>
        <x:v>0</x:v>
      </x:c>
      <x:c r="AN2574" t="n">
        <x:v>1</x:v>
      </x:c>
    </x:row>
    <x:row r="2575" ht="23" customHeight="1">
      <x:c r="A2575" s="11" t="str">
        <x:v>688382.SH</x:v>
      </x:c>
      <x:c r="B2575" s="11" t="str">
        <x:v>2026年底</x:v>
      </x:c>
      <x:c r="C2575" s="11" t="str">
        <x:v>urat_global</x:v>
      </x:c>
      <x:c r="D2575" s="11" t="str">
        <x:v>2039-12-31</x:v>
      </x:c>
      <x:c r="E2575" s="11" t="str">
        <x:v>USD</x:v>
      </x:c>
      <x:c r="F2575" s="11" t="n">
        <x:v>12.999315537303216</x:v>
      </x:c>
      <x:c r="G2575" s="26" t="b">
        <x:v>1</x:v>
      </x:c>
      <x:c r="H2575" s="16" t="n">
        <x:v>0.32000000000000006</x:v>
      </x:c>
      <x:c r="I2575" s="16" t="n">
        <x:v>0.9570000000000001</x:v>
      </x:c>
      <x:c r="J2575" s="16" t="n">
        <x:v>1.342</x:v>
      </x:c>
      <x:c r="K2575" s="11" t="n">
        <x:f>CHOOSE('假设'!$B$3,H2575,I2575,J2575)</x:f>
        <x:v>0.9570000000000001</x:v>
      </x:c>
      <x:c r="L2575" s="11" t="n">
        <x:f>K2575*'管线假设'!E563*'管线假设'!F563*'管线假设'!G563*IF(E2575="USD",'管线假设'!I563,1)-AM2575</x:f>
        <x:v>0.13340580000000002</x:v>
      </x:c>
      <x:c r="M2575" s="11" t="n">
        <x:f>'管线假设'!H563</x:f>
        <x:v>0.135</x:v>
      </x:c>
      <x:c r="N2575" s="11" t="n">
        <x:f>IF(G2575,L2575*AN2575/(1+M2575)^F2575,0)</x:f>
        <x:v>0.025719715142799297</x:v>
      </x:c>
      <x:c r="AJ2575" t="n">
        <x:v>0</x:v>
      </x:c>
      <x:c r="AK2575" t="n">
        <x:v>0</x:v>
      </x:c>
      <x:c r="AL2575" t="n">
        <x:v>0</x:v>
      </x:c>
      <x:c r="AM2575" t="n">
        <x:f>CHOOSE('假设'!$B$3,AJ2575,AK2575,AL2575)</x:f>
        <x:v>0</x:v>
      </x:c>
      <x:c r="AN2575" t="n">
        <x:v>1</x:v>
      </x:c>
    </x:row>
    <x:row r="2576" ht="23" customHeight="1">
      <x:c r="A2576" s="11" t="str">
        <x:v>688382.SH</x:v>
      </x:c>
      <x:c r="B2576" s="11" t="str">
        <x:v>2026年底</x:v>
      </x:c>
      <x:c r="C2576" s="11" t="str">
        <x:v>urat_global</x:v>
      </x:c>
      <x:c r="D2576" s="11" t="str">
        <x:v>2040-12-31</x:v>
      </x:c>
      <x:c r="E2576" s="11" t="str">
        <x:v>USD</x:v>
      </x:c>
      <x:c r="F2576" s="11" t="n">
        <x:v>14.001368925393566</x:v>
      </x:c>
      <x:c r="G2576" s="26" t="b">
        <x:v>1</x:v>
      </x:c>
      <x:c r="H2576" s="16" t="n">
        <x:v>0.4</x:v>
      </x:c>
      <x:c r="I2576" s="16" t="n">
        <x:v>0.8140000000000001</x:v>
      </x:c>
      <x:c r="J2576" s="16" t="n">
        <x:v>1.056</x:v>
      </x:c>
      <x:c r="K2576" s="11" t="n">
        <x:f>CHOOSE('假设'!$B$3,H2576,I2576,J2576)</x:f>
        <x:v>0.8140000000000001</x:v>
      </x:c>
      <x:c r="L2576" s="11" t="n">
        <x:f>K2576*'管线假设'!E563*'管线假设'!F563*'管线假设'!G563*IF(E2576="USD",'管线假设'!I563,1)-AM2576</x:f>
        <x:v>0.11347160000000002</x:v>
      </x:c>
      <x:c r="M2576" s="11" t="n">
        <x:f>'管线假设'!H563</x:f>
        <x:v>0.135</x:v>
      </x:c>
      <x:c r="N2576" s="11" t="n">
        <x:f>IF(G2576,L2576*AN2576/(1+M2576)^F2576,0)</x:f>
        <x:v>0.01926947276463364</x:v>
      </x:c>
      <x:c r="AJ2576" t="n">
        <x:v>0</x:v>
      </x:c>
      <x:c r="AK2576" t="n">
        <x:v>0</x:v>
      </x:c>
      <x:c r="AL2576" t="n">
        <x:v>0</x:v>
      </x:c>
      <x:c r="AM2576" t="n">
        <x:f>CHOOSE('假设'!$B$3,AJ2576,AK2576,AL2576)</x:f>
        <x:v>0</x:v>
      </x:c>
      <x:c r="AN2576" t="n">
        <x:v>1</x:v>
      </x:c>
    </x:row>
    <x:row r="2577" ht="23" customHeight="1">
      <x:c r="A2577" s="11" t="str">
        <x:v>688382.SH</x:v>
      </x:c>
      <x:c r="B2577" s="11" t="str">
        <x:v>2026年底</x:v>
      </x:c>
      <x:c r="C2577" s="11" t="str">
        <x:v>urat_global</x:v>
      </x:c>
      <x:c r="D2577" s="11" t="str">
        <x:v>2041-12-31</x:v>
      </x:c>
      <x:c r="E2577" s="11" t="str">
        <x:v>USD</x:v>
      </x:c>
      <x:c r="F2577" s="11" t="n">
        <x:v>15.000684462696784</x:v>
      </x:c>
      <x:c r="G2577" s="26" t="b">
        <x:v>1</x:v>
      </x:c>
      <x:c r="H2577" s="16" t="n">
        <x:v>0.34800000000000003</x:v>
      </x:c>
      <x:c r="I2577" s="16" t="n">
        <x:v>0.671</x:v>
      </x:c>
      <x:c r="J2577" s="16" t="n">
        <x:v>0.77</x:v>
      </x:c>
      <x:c r="K2577" s="11" t="n">
        <x:f>CHOOSE('假设'!$B$3,H2577,I2577,J2577)</x:f>
        <x:v>0.671</x:v>
      </x:c>
      <x:c r="L2577" s="11" t="n">
        <x:f>K2577*'管线假设'!E563*'管线假设'!F563*'管线假设'!G563*IF(E2577="USD",'管线假设'!I563,1)-AM2577</x:f>
        <x:v>0.09353740000000002</x:v>
      </x:c>
      <x:c r="M2577" s="11" t="n">
        <x:f>'管线假设'!H563</x:f>
        <x:v>0.135</x:v>
      </x:c>
      <x:c r="N2577" s="11" t="n">
        <x:f>IF(G2577,L2577*AN2577/(1+M2577)^F2577,0)</x:f>
        <x:v>0.013996186742655759</x:v>
      </x:c>
      <x:c r="AJ2577" t="n">
        <x:v>0</x:v>
      </x:c>
      <x:c r="AK2577" t="n">
        <x:v>0</x:v>
      </x:c>
      <x:c r="AL2577" t="n">
        <x:v>0</x:v>
      </x:c>
      <x:c r="AM2577" t="n">
        <x:f>CHOOSE('假设'!$B$3,AJ2577,AK2577,AL2577)</x:f>
        <x:v>0</x:v>
      </x:c>
      <x:c r="AN2577" t="n">
        <x:v>1</x:v>
      </x:c>
    </x:row>
    <x:row r="2578" ht="23" customHeight="1">
      <x:c r="A2578" s="11" t="str">
        <x:v>688382.SH</x:v>
      </x:c>
      <x:c r="B2578" s="11" t="str">
        <x:v>2026年底</x:v>
      </x:c>
      <x:c r="C2578" s="11" t="str">
        <x:v>urat_global</x:v>
      </x:c>
      <x:c r="D2578" s="11" t="str">
        <x:v>2042-12-31</x:v>
      </x:c>
      <x:c r="E2578" s="11" t="str">
        <x:v>USD</x:v>
      </x:c>
      <x:c r="F2578" s="11" t="n">
        <x:v>16</x:v>
      </x:c>
      <x:c r="G2578" s="26" t="b">
        <x:v>1</x:v>
      </x:c>
      <x:c r="H2578" s="16" t="n">
        <x:v>0.296</x:v>
      </x:c>
      <x:c r="I2578" s="16" t="n">
        <x:v>0.528</x:v>
      </x:c>
      <x:c r="J2578" s="16" t="n">
        <x:v>0.484</x:v>
      </x:c>
      <x:c r="K2578" s="11" t="n">
        <x:f>CHOOSE('假设'!$B$3,H2578,I2578,J2578)</x:f>
        <x:v>0.528</x:v>
      </x:c>
      <x:c r="L2578" s="11" t="n">
        <x:f>K2578*'管线假设'!E563*'管线假设'!F563*'管线假设'!G563*IF(E2578="USD",'管线假设'!I563,1)-AM2578</x:f>
        <x:v>0.07360320000000001</x:v>
      </x:c>
      <x:c r="M2578" s="11" t="n">
        <x:f>'管线假设'!H563</x:f>
        <x:v>0.135</x:v>
      </x:c>
      <x:c r="N2578" s="11" t="n">
        <x:f>IF(G2578,L2578*AN2578/(1+M2578)^F2578,0)</x:f>
        <x:v>0.009704270905254189</x:v>
      </x:c>
      <x:c r="AJ2578" t="n">
        <x:v>0</x:v>
      </x:c>
      <x:c r="AK2578" t="n">
        <x:v>0</x:v>
      </x:c>
      <x:c r="AL2578" t="n">
        <x:v>0</x:v>
      </x:c>
      <x:c r="AM2578" t="n">
        <x:f>CHOOSE('假设'!$B$3,AJ2578,AK2578,AL2578)</x:f>
        <x:v>0</x:v>
      </x:c>
      <x:c r="AN2578" t="n">
        <x:v>1</x:v>
      </x:c>
    </x:row>
    <x:row r="2579" ht="23" customHeight="1">
      <x:c r="A2579" s="11" t="str">
        <x:v>688382.SH</x:v>
      </x:c>
      <x:c r="B2579" s="11" t="str">
        <x:v>2026年底</x:v>
      </x:c>
      <x:c r="C2579" s="11" t="str">
        <x:v>urat_global</x:v>
      </x:c>
      <x:c r="D2579" s="11" t="str">
        <x:v>2043-12-31</x:v>
      </x:c>
      <x:c r="E2579" s="11" t="str">
        <x:v>USD</x:v>
      </x:c>
      <x:c r="F2579" s="11" t="n">
        <x:v>16.999315537303218</x:v>
      </x:c>
      <x:c r="G2579" s="26" t="b">
        <x:v>1</x:v>
      </x:c>
      <x:c r="H2579" s="16" t="n">
        <x:v>0.244</x:v>
      </x:c>
      <x:c r="I2579" s="16" t="n">
        <x:v>0.385</x:v>
      </x:c>
      <x:c r="J2579" s="16" t="n">
        <x:v>0.19799999999999995</x:v>
      </x:c>
      <x:c r="K2579" s="11" t="n">
        <x:f>CHOOSE('假设'!$B$3,H2579,I2579,J2579)</x:f>
        <x:v>0.385</x:v>
      </x:c>
      <x:c r="L2579" s="11" t="n">
        <x:f>K2579*'管线假设'!E563*'管线假设'!F563*'管线假设'!G563*IF(E2579="USD",'管线假设'!I563,1)-AM2579</x:f>
        <x:v>0.05366900000000001</x:v>
      </x:c>
      <x:c r="M2579" s="11" t="n">
        <x:f>'管线假设'!H563</x:f>
        <x:v>0.135</x:v>
      </x:c>
      <x:c r="N2579" s="11" t="n">
        <x:f>IF(G2579,L2579*AN2579/(1+M2579)^F2579,0)</x:f>
        <x:v>0.006234928821388207</x:v>
      </x:c>
      <x:c r="AJ2579" t="n">
        <x:v>0</x:v>
      </x:c>
      <x:c r="AK2579" t="n">
        <x:v>0</x:v>
      </x:c>
      <x:c r="AL2579" t="n">
        <x:v>0</x:v>
      </x:c>
      <x:c r="AM2579" t="n">
        <x:f>CHOOSE('假设'!$B$3,AJ2579,AK2579,AL2579)</x:f>
        <x:v>0</x:v>
      </x:c>
      <x:c r="AN2579" t="n">
        <x:v>1</x:v>
      </x:c>
    </x:row>
    <x:row r="2580" ht="23" customHeight="1">
      <x:c r="A2580" s="11" t="str">
        <x:v>688382.SH</x:v>
      </x:c>
      <x:c r="B2580" s="11" t="str">
        <x:v>2026年底</x:v>
      </x:c>
      <x:c r="C2580" s="11" t="str">
        <x:v>urat_global</x:v>
      </x:c>
      <x:c r="D2580" s="11" t="str">
        <x:v>2044-12-31</x:v>
      </x:c>
      <x:c r="E2580" s="11" t="str">
        <x:v>USD</x:v>
      </x:c>
      <x:c r="F2580" s="11" t="n">
        <x:v>18.001368925393567</x:v>
      </x:c>
      <x:c r="G2580" s="26" t="b">
        <x:v>1</x:v>
      </x:c>
      <x:c r="H2580" s="16" t="n">
        <x:v>0.192</x:v>
      </x:c>
      <x:c r="I2580" s="16" t="n">
        <x:v>0.242</x:v>
      </x:c>
      <x:c r="J2580" s="16" t="n">
        <x:v>0</x:v>
      </x:c>
      <x:c r="K2580" s="11" t="n">
        <x:f>CHOOSE('假设'!$B$3,H2580,I2580,J2580)</x:f>
        <x:v>0.242</x:v>
      </x:c>
      <x:c r="L2580" s="11" t="n">
        <x:f>K2580*'管线假设'!E563*'管线假设'!F563*'管线假设'!G563*IF(E2580="USD",'管线假设'!I563,1)-AM2580</x:f>
        <x:v>0.03373480000000001</x:v>
      </x:c>
      <x:c r="M2580" s="11" t="n">
        <x:f>'管线假设'!H563</x:f>
        <x:v>0.135</x:v>
      </x:c>
      <x:c r="N2580" s="11" t="n">
        <x:f>IF(G2580,L2580*AN2580/(1+M2580)^F2580,0)</x:f>
        <x:v>0.0034520521422589713</x:v>
      </x:c>
      <x:c r="AJ2580" t="n">
        <x:v>0</x:v>
      </x:c>
      <x:c r="AK2580" t="n">
        <x:v>0</x:v>
      </x:c>
      <x:c r="AL2580" t="n">
        <x:v>0</x:v>
      </x:c>
      <x:c r="AM2580" t="n">
        <x:f>CHOOSE('假设'!$B$3,AJ2580,AK2580,AL2580)</x:f>
        <x:v>0</x:v>
      </x:c>
      <x:c r="AN2580" t="n">
        <x:v>1</x:v>
      </x:c>
    </x:row>
    <x:row r="2581" ht="23" customHeight="1">
      <x:c r="A2581" s="11" t="str">
        <x:v>688382.SH</x:v>
      </x:c>
      <x:c r="B2581" s="11" t="str">
        <x:v>2026年底</x:v>
      </x:c>
      <x:c r="C2581" s="11" t="str">
        <x:v>urat_global</x:v>
      </x:c>
      <x:c r="D2581" s="11" t="str">
        <x:v>2045-12-31</x:v>
      </x:c>
      <x:c r="E2581" s="11" t="str">
        <x:v>USD</x:v>
      </x:c>
      <x:c r="F2581" s="11" t="n">
        <x:v>19.000684462696782</x:v>
      </x:c>
      <x:c r="G2581" s="26" t="b">
        <x:v>1</x:v>
      </x:c>
      <x:c r="H2581" s="16" t="n">
        <x:v>0.13999999999999999</x:v>
      </x:c>
      <x:c r="I2581" s="16" t="n">
        <x:v>0.09899999999999998</x:v>
      </x:c>
      <x:c r="J2581" s="16" t="n">
        <x:v>0</x:v>
      </x:c>
      <x:c r="K2581" s="11" t="n">
        <x:f>CHOOSE('假设'!$B$3,H2581,I2581,J2581)</x:f>
        <x:v>0.09899999999999998</x:v>
      </x:c>
      <x:c r="L2581" s="11" t="n">
        <x:f>K2581*'管线假设'!E563*'管线假设'!F563*'管线假设'!G563*IF(E2581="USD",'管线假设'!I563,1)-AM2581</x:f>
        <x:v>0.0138006</x:v>
      </x:c>
      <x:c r="M2581" s="11" t="n">
        <x:f>'管线假设'!H563</x:f>
        <x:v>0.135</x:v>
      </x:c>
      <x:c r="N2581" s="11" t="n">
        <x:f>IF(G2581,L2581*AN2581/(1+M2581)^F2581,0)</x:f>
        <x:v>0.0012443396983072683</x:v>
      </x:c>
      <x:c r="AJ2581" t="n">
        <x:v>0</x:v>
      </x:c>
      <x:c r="AK2581" t="n">
        <x:v>0</x:v>
      </x:c>
      <x:c r="AL2581" t="n">
        <x:v>0</x:v>
      </x:c>
      <x:c r="AM2581" t="n">
        <x:f>CHOOSE('假设'!$B$3,AJ2581,AK2581,AL2581)</x:f>
        <x:v>0</x:v>
      </x:c>
      <x:c r="AN2581" t="n">
        <x:v>1</x:v>
      </x:c>
    </x:row>
    <x:row r="2582" ht="23" customHeight="1">
      <x:c r="A2582" s="11" t="str">
        <x:v>688382.SH</x:v>
      </x:c>
      <x:c r="B2582" s="11" t="str">
        <x:v>半年</x:v>
      </x:c>
      <x:c r="C2582" s="11" t="str">
        <x:v>befu</x:v>
      </x:c>
      <x:c r="D2582" s="11" t="str">
        <x:v>2027-12-31</x:v>
      </x:c>
      <x:c r="E2582" s="11" t="str">
        <x:v>CNY</x:v>
      </x:c>
      <x:c r="F2582" s="11" t="n">
        <x:v>0.7282683093771389</x:v>
      </x:c>
      <x:c r="G2582" s="26" t="b">
        <x:v>1</x:v>
      </x:c>
      <x:c r="H2582" s="16" t="n">
        <x:v>0.21666666666666667</x:v>
      </x:c>
      <x:c r="I2582" s="16" t="n">
        <x:v>0.3</x:v>
      </x:c>
      <x:c r="J2582" s="16" t="n">
        <x:v>0.45</x:v>
      </x:c>
      <x:c r="K2582" s="11" t="n">
        <x:f>CHOOSE('假设'!$B$3,H2582,I2582,J2582)</x:f>
        <x:v>0.3</x:v>
      </x:c>
      <x:c r="L2582" s="11" t="n">
        <x:f>K2582*'管线假设'!E567*'管线假设'!F567*'管线假设'!G567*IF(E2582="USD",'管线假设'!I567,1)-AM2582</x:f>
        <x:v>0.01968</x:v>
      </x:c>
      <x:c r="M2582" s="11" t="n">
        <x:f>'管线假设'!H567</x:f>
        <x:v>0.135</x:v>
      </x:c>
      <x:c r="N2582" s="11" t="n">
        <x:f>IF(G2582,L2582*AN2582/(1+M2582)^F2582,0)</x:f>
        <x:v>0.017946235024886303</x:v>
      </x:c>
      <x:c r="AJ2582" t="n">
        <x:v>0</x:v>
      </x:c>
      <x:c r="AK2582" t="n">
        <x:v>0</x:v>
      </x:c>
      <x:c r="AL2582" t="n">
        <x:v>0</x:v>
      </x:c>
      <x:c r="AM2582" t="n">
        <x:f>CHOOSE('假设'!$B$3,AJ2582,AK2582,AL2582)</x:f>
        <x:v>0</x:v>
      </x:c>
      <x:c r="AN2582" t="n">
        <x:v>1</x:v>
      </x:c>
    </x:row>
    <x:row r="2583" ht="23" customHeight="1">
      <x:c r="A2583" s="11" t="str">
        <x:v>688382.SH</x:v>
      </x:c>
      <x:c r="B2583" s="11" t="str">
        <x:v>半年</x:v>
      </x:c>
      <x:c r="C2583" s="11" t="str">
        <x:v>befu</x:v>
      </x:c>
      <x:c r="D2583" s="11" t="str">
        <x:v>2028-12-31</x:v>
      </x:c>
      <x:c r="E2583" s="11" t="str">
        <x:v>CNY</x:v>
      </x:c>
      <x:c r="F2583" s="11" t="n">
        <x:v>1.730321697467488</x:v>
      </x:c>
      <x:c r="G2583" s="26" t="b">
        <x:v>1</x:v>
      </x:c>
      <x:c r="H2583" s="16" t="n">
        <x:v>0.43333333333333335</x:v>
      </x:c>
      <x:c r="I2583" s="16" t="n">
        <x:v>0.6</x:v>
      </x:c>
      <x:c r="J2583" s="16" t="n">
        <x:v>0.9</x:v>
      </x:c>
      <x:c r="K2583" s="11" t="n">
        <x:f>CHOOSE('假设'!$B$3,H2583,I2583,J2583)</x:f>
        <x:v>0.6</x:v>
      </x:c>
      <x:c r="L2583" s="11" t="n">
        <x:f>K2583*'管线假设'!E567*'管线假设'!F567*'管线假设'!G567*IF(E2583="USD",'管线假设'!I567,1)-AM2583</x:f>
        <x:v>0.03936</x:v>
      </x:c>
      <x:c r="M2583" s="11" t="n">
        <x:f>'管线假设'!H567</x:f>
        <x:v>0.135</x:v>
      </x:c>
      <x:c r="N2583" s="11" t="n">
        <x:f>IF(G2583,L2583*AN2583/(1+M2583)^F2583,0)</x:f>
        <x:v>0.03161509981363332</x:v>
      </x:c>
      <x:c r="AJ2583" t="n">
        <x:v>0</x:v>
      </x:c>
      <x:c r="AK2583" t="n">
        <x:v>0</x:v>
      </x:c>
      <x:c r="AL2583" t="n">
        <x:v>0</x:v>
      </x:c>
      <x:c r="AM2583" t="n">
        <x:f>CHOOSE('假设'!$B$3,AJ2583,AK2583,AL2583)</x:f>
        <x:v>0</x:v>
      </x:c>
      <x:c r="AN2583" t="n">
        <x:v>1</x:v>
      </x:c>
    </x:row>
    <x:row r="2584" ht="23" customHeight="1">
      <x:c r="A2584" s="11" t="str">
        <x:v>688382.SH</x:v>
      </x:c>
      <x:c r="B2584" s="11" t="str">
        <x:v>半年</x:v>
      </x:c>
      <x:c r="C2584" s="11" t="str">
        <x:v>befu</x:v>
      </x:c>
      <x:c r="D2584" s="11" t="str">
        <x:v>2029-12-31</x:v>
      </x:c>
      <x:c r="E2584" s="11" t="str">
        <x:v>CNY</x:v>
      </x:c>
      <x:c r="F2584" s="11" t="n">
        <x:v>2.729637234770705</x:v>
      </x:c>
      <x:c r="G2584" s="26" t="b">
        <x:v>1</x:v>
      </x:c>
      <x:c r="H2584" s="16" t="n">
        <x:v>0.65</x:v>
      </x:c>
      <x:c r="I2584" s="16" t="n">
        <x:v>0.8999999999999999</x:v>
      </x:c>
      <x:c r="J2584" s="16" t="n">
        <x:v>1.35</x:v>
      </x:c>
      <x:c r="K2584" s="11" t="n">
        <x:f>CHOOSE('假设'!$B$3,H2584,I2584,J2584)</x:f>
        <x:v>0.8999999999999999</x:v>
      </x:c>
      <x:c r="L2584" s="11" t="n">
        <x:f>K2584*'管线假设'!E567*'管线假设'!F567*'管线假设'!G567*IF(E2584="USD",'管线假设'!I567,1)-AM2584</x:f>
        <x:v>0.05904</x:v>
      </x:c>
      <x:c r="M2584" s="11" t="n">
        <x:f>'管线假设'!H567</x:f>
        <x:v>0.135</x:v>
      </x:c>
      <x:c r="N2584" s="11" t="n">
        <x:f>IF(G2584,L2584*AN2584/(1+M2584)^F2584,0)</x:f>
        <x:v>0.041785691869781476</x:v>
      </x:c>
      <x:c r="AJ2584" t="n">
        <x:v>0</x:v>
      </x:c>
      <x:c r="AK2584" t="n">
        <x:v>0</x:v>
      </x:c>
      <x:c r="AL2584" t="n">
        <x:v>0</x:v>
      </x:c>
      <x:c r="AM2584" t="n">
        <x:f>CHOOSE('假设'!$B$3,AJ2584,AK2584,AL2584)</x:f>
        <x:v>0</x:v>
      </x:c>
      <x:c r="AN2584" t="n">
        <x:v>1</x:v>
      </x:c>
    </x:row>
    <x:row r="2585" ht="23" customHeight="1">
      <x:c r="A2585" s="11" t="str">
        <x:v>688382.SH</x:v>
      </x:c>
      <x:c r="B2585" s="11" t="str">
        <x:v>半年</x:v>
      </x:c>
      <x:c r="C2585" s="11" t="str">
        <x:v>befu</x:v>
      </x:c>
      <x:c r="D2585" s="11" t="str">
        <x:v>2030-12-31</x:v>
      </x:c>
      <x:c r="E2585" s="11" t="str">
        <x:v>CNY</x:v>
      </x:c>
      <x:c r="F2585" s="11" t="n">
        <x:v>3.728952772073922</x:v>
      </x:c>
      <x:c r="G2585" s="26" t="b">
        <x:v>1</x:v>
      </x:c>
      <x:c r="H2585" s="16" t="n">
        <x:v>0.5655</x:v>
      </x:c>
      <x:c r="I2585" s="16" t="n">
        <x:v>1.2</x:v>
      </x:c>
      <x:c r="J2585" s="16" t="n">
        <x:v>1.8</x:v>
      </x:c>
      <x:c r="K2585" s="11" t="n">
        <x:f>CHOOSE('假设'!$B$3,H2585,I2585,J2585)</x:f>
        <x:v>1.2</x:v>
      </x:c>
      <x:c r="L2585" s="11" t="n">
        <x:f>K2585*'管线假设'!E567*'管线假设'!F567*'管线假设'!G567*IF(E2585="USD",'管线假设'!I567,1)-AM2585</x:f>
        <x:v>0.07872</x:v>
      </x:c>
      <x:c r="M2585" s="11" t="n">
        <x:f>'管线假设'!H567</x:f>
        <x:v>0.135</x:v>
      </x:c>
      <x:c r="N2585" s="11" t="n">
        <x:f>IF(G2585,L2585*AN2585/(1+M2585)^F2585,0)</x:f>
        <x:v>0.049091704922409066</x:v>
      </x:c>
      <x:c r="AJ2585" t="n">
        <x:v>0</x:v>
      </x:c>
      <x:c r="AK2585" t="n">
        <x:v>0</x:v>
      </x:c>
      <x:c r="AL2585" t="n">
        <x:v>0</x:v>
      </x:c>
      <x:c r="AM2585" t="n">
        <x:f>CHOOSE('假设'!$B$3,AJ2585,AK2585,AL2585)</x:f>
        <x:v>0</x:v>
      </x:c>
      <x:c r="AN2585" t="n">
        <x:v>1</x:v>
      </x:c>
    </x:row>
    <x:row r="2586" ht="23" customHeight="1">
      <x:c r="A2586" s="11" t="str">
        <x:v>688382.SH</x:v>
      </x:c>
      <x:c r="B2586" s="11" t="str">
        <x:v>半年</x:v>
      </x:c>
      <x:c r="C2586" s="11" t="str">
        <x:v>befu</x:v>
      </x:c>
      <x:c r="D2586" s="11" t="str">
        <x:v>2031-12-31</x:v>
      </x:c>
      <x:c r="E2586" s="11" t="str">
        <x:v>CNY</x:v>
      </x:c>
      <x:c r="F2586" s="11" t="n">
        <x:v>4.728268309377139</x:v>
      </x:c>
      <x:c r="G2586" s="26" t="b">
        <x:v>1</x:v>
      </x:c>
      <x:c r="H2586" s="16" t="n">
        <x:v>0.481</x:v>
      </x:c>
      <x:c r="I2586" s="16" t="n">
        <x:v>1.044</x:v>
      </x:c>
      <x:c r="J2586" s="16" t="n">
        <x:v>1.566</x:v>
      </x:c>
      <x:c r="K2586" s="11" t="n">
        <x:f>CHOOSE('假设'!$B$3,H2586,I2586,J2586)</x:f>
        <x:v>1.044</x:v>
      </x:c>
      <x:c r="L2586" s="11" t="n">
        <x:f>K2586*'管线假设'!E567*'管线假设'!F567*'管线假设'!G567*IF(E2586="USD",'管线假设'!I567,1)-AM2586</x:f>
        <x:v>0.0684864</x:v>
      </x:c>
      <x:c r="M2586" s="11" t="n">
        <x:f>'管线假设'!H567</x:f>
        <x:v>0.135</x:v>
      </x:c>
      <x:c r="N2586" s="11" t="n">
        <x:f>IF(G2586,L2586*AN2586/(1+M2586)^F2586,0)</x:f>
        <x:v>0.037633026720097475</x:v>
      </x:c>
      <x:c r="AJ2586" t="n">
        <x:v>0</x:v>
      </x:c>
      <x:c r="AK2586" t="n">
        <x:v>0</x:v>
      </x:c>
      <x:c r="AL2586" t="n">
        <x:v>0</x:v>
      </x:c>
      <x:c r="AM2586" t="n">
        <x:f>CHOOSE('假设'!$B$3,AJ2586,AK2586,AL2586)</x:f>
        <x:v>0</x:v>
      </x:c>
      <x:c r="AN2586" t="n">
        <x:v>1</x:v>
      </x:c>
    </x:row>
    <x:row r="2587" ht="23" customHeight="1">
      <x:c r="A2587" s="11" t="str">
        <x:v>688382.SH</x:v>
      </x:c>
      <x:c r="B2587" s="11" t="str">
        <x:v>半年</x:v>
      </x:c>
      <x:c r="C2587" s="11" t="str">
        <x:v>befu</x:v>
      </x:c>
      <x:c r="D2587" s="11" t="str">
        <x:v>2032-12-31</x:v>
      </x:c>
      <x:c r="E2587" s="11" t="str">
        <x:v>CNY</x:v>
      </x:c>
      <x:c r="F2587" s="11" t="n">
        <x:v>5.730321697467488</x:v>
      </x:c>
      <x:c r="G2587" s="26" t="b">
        <x:v>1</x:v>
      </x:c>
      <x:c r="H2587" s="16" t="n">
        <x:v>0.3965</x:v>
      </x:c>
      <x:c r="I2587" s="16" t="n">
        <x:v>0.888</x:v>
      </x:c>
      <x:c r="J2587" s="16" t="n">
        <x:v>1.332</x:v>
      </x:c>
      <x:c r="K2587" s="11" t="n">
        <x:f>CHOOSE('假设'!$B$3,H2587,I2587,J2587)</x:f>
        <x:v>0.888</x:v>
      </x:c>
      <x:c r="L2587" s="11" t="n">
        <x:f>K2587*'管线假设'!E567*'管线假设'!F567*'管线假设'!G567*IF(E2587="USD",'管线假设'!I567,1)-AM2587</x:f>
        <x:v>0.05825280000000001</x:v>
      </x:c>
      <x:c r="M2587" s="11" t="n">
        <x:f>'管线假设'!H567</x:f>
        <x:v>0.135</x:v>
      </x:c>
      <x:c r="N2587" s="11" t="n">
        <x:f>IF(G2587,L2587*AN2587/(1+M2587)^F2587,0)</x:f>
        <x:v>0.028195047239342096</x:v>
      </x:c>
      <x:c r="AJ2587" t="n">
        <x:v>0</x:v>
      </x:c>
      <x:c r="AK2587" t="n">
        <x:v>0</x:v>
      </x:c>
      <x:c r="AL2587" t="n">
        <x:v>0</x:v>
      </x:c>
      <x:c r="AM2587" t="n">
        <x:f>CHOOSE('假设'!$B$3,AJ2587,AK2587,AL2587)</x:f>
        <x:v>0</x:v>
      </x:c>
      <x:c r="AN2587" t="n">
        <x:v>1</x:v>
      </x:c>
    </x:row>
    <x:row r="2588" ht="23" customHeight="1">
      <x:c r="A2588" s="11" t="str">
        <x:v>688382.SH</x:v>
      </x:c>
      <x:c r="B2588" s="11" t="str">
        <x:v>半年</x:v>
      </x:c>
      <x:c r="C2588" s="11" t="str">
        <x:v>befu</x:v>
      </x:c>
      <x:c r="D2588" s="11" t="str">
        <x:v>2033-12-31</x:v>
      </x:c>
      <x:c r="E2588" s="11" t="str">
        <x:v>CNY</x:v>
      </x:c>
      <x:c r="F2588" s="11" t="n">
        <x:v>6.729637234770705</x:v>
      </x:c>
      <x:c r="G2588" s="26" t="b">
        <x:v>1</x:v>
      </x:c>
      <x:c r="H2588" s="16" t="n">
        <x:v>0.312</x:v>
      </x:c>
      <x:c r="I2588" s="16" t="n">
        <x:v>0.732</x:v>
      </x:c>
      <x:c r="J2588" s="16" t="n">
        <x:v>1.098</x:v>
      </x:c>
      <x:c r="K2588" s="11" t="n">
        <x:f>CHOOSE('假设'!$B$3,H2588,I2588,J2588)</x:f>
        <x:v>0.732</x:v>
      </x:c>
      <x:c r="L2588" s="11" t="n">
        <x:f>K2588*'管线假设'!E567*'管线假设'!F567*'管线假设'!G567*IF(E2588="USD",'管线假设'!I567,1)-AM2588</x:f>
        <x:v>0.048019200000000005</x:v>
      </x:c>
      <x:c r="M2588" s="11" t="n">
        <x:f>'管线假设'!H567</x:f>
        <x:v>0.135</x:v>
      </x:c>
      <x:c r="N2588" s="11" t="n">
        <x:f>IF(G2588,L2588*AN2588/(1+M2588)^F2588,0)</x:f>
        <x:v>0.020479187531487995</x:v>
      </x:c>
      <x:c r="AJ2588" t="n">
        <x:v>0</x:v>
      </x:c>
      <x:c r="AK2588" t="n">
        <x:v>0</x:v>
      </x:c>
      <x:c r="AL2588" t="n">
        <x:v>0</x:v>
      </x:c>
      <x:c r="AM2588" t="n">
        <x:f>CHOOSE('假设'!$B$3,AJ2588,AK2588,AL2588)</x:f>
        <x:v>0</x:v>
      </x:c>
      <x:c r="AN2588" t="n">
        <x:v>1</x:v>
      </x:c>
    </x:row>
    <x:row r="2589" ht="23" customHeight="1">
      <x:c r="A2589" s="11" t="str">
        <x:v>688382.SH</x:v>
      </x:c>
      <x:c r="B2589" s="11" t="str">
        <x:v>半年</x:v>
      </x:c>
      <x:c r="C2589" s="11" t="str">
        <x:v>befu</x:v>
      </x:c>
      <x:c r="D2589" s="11" t="str">
        <x:v>2034-12-31</x:v>
      </x:c>
      <x:c r="E2589" s="11" t="str">
        <x:v>CNY</x:v>
      </x:c>
      <x:c r="F2589" s="11" t="n">
        <x:v>7.728952772073922</x:v>
      </x:c>
      <x:c r="G2589" s="26" t="b">
        <x:v>1</x:v>
      </x:c>
      <x:c r="H2589" s="16" t="n">
        <x:v>0.22749999999999998</x:v>
      </x:c>
      <x:c r="I2589" s="16" t="n">
        <x:v>0.576</x:v>
      </x:c>
      <x:c r="J2589" s="16" t="n">
        <x:v>0.864</x:v>
      </x:c>
      <x:c r="K2589" s="11" t="n">
        <x:f>CHOOSE('假设'!$B$3,H2589,I2589,J2589)</x:f>
        <x:v>0.576</x:v>
      </x:c>
      <x:c r="L2589" s="11" t="n">
        <x:f>K2589*'管线假设'!E567*'管线假设'!F567*'管线假设'!G567*IF(E2589="USD",'管线假设'!I567,1)-AM2589</x:f>
        <x:v>0.0377856</x:v>
      </x:c>
      <x:c r="M2589" s="11" t="n">
        <x:f>'管线假设'!H567</x:f>
        <x:v>0.135</x:v>
      </x:c>
      <x:c r="N2589" s="11" t="n">
        <x:f>IF(G2589,L2589*AN2589/(1+M2589)^F2589,0)</x:f>
        <x:v>0.01419926637013086</x:v>
      </x:c>
      <x:c r="AJ2589" t="n">
        <x:v>0</x:v>
      </x:c>
      <x:c r="AK2589" t="n">
        <x:v>0</x:v>
      </x:c>
      <x:c r="AL2589" t="n">
        <x:v>0</x:v>
      </x:c>
      <x:c r="AM2589" t="n">
        <x:f>CHOOSE('假设'!$B$3,AJ2589,AK2589,AL2589)</x:f>
        <x:v>0</x:v>
      </x:c>
      <x:c r="AN2589" t="n">
        <x:v>1</x:v>
      </x:c>
    </x:row>
    <x:row r="2590" ht="23" customHeight="1">
      <x:c r="A2590" s="11" t="str">
        <x:v>688382.SH</x:v>
      </x:c>
      <x:c r="B2590" s="11" t="str">
        <x:v>半年</x:v>
      </x:c>
      <x:c r="C2590" s="11" t="str">
        <x:v>befu</x:v>
      </x:c>
      <x:c r="D2590" s="11" t="str">
        <x:v>2035-12-31</x:v>
      </x:c>
      <x:c r="E2590" s="11" t="str">
        <x:v>CNY</x:v>
      </x:c>
      <x:c r="F2590" s="11" t="n">
        <x:v>8.728268309377139</x:v>
      </x:c>
      <x:c r="G2590" s="26" t="b">
        <x:v>1</x:v>
      </x:c>
      <x:c r="H2590" s="16" t="n">
        <x:v>0.143</x:v>
      </x:c>
      <x:c r="I2590" s="16" t="n">
        <x:v>0.42</x:v>
      </x:c>
      <x:c r="J2590" s="16" t="n">
        <x:v>0.63</x:v>
      </x:c>
      <x:c r="K2590" s="11" t="n">
        <x:f>CHOOSE('假设'!$B$3,H2590,I2590,J2590)</x:f>
        <x:v>0.42</x:v>
      </x:c>
      <x:c r="L2590" s="11" t="n">
        <x:f>K2590*'管线假设'!E567*'管线假设'!F567*'管线假设'!G567*IF(E2590="USD",'管线假设'!I567,1)-AM2590</x:f>
        <x:v>0.027552</x:v>
      </x:c>
      <x:c r="M2590" s="11" t="n">
        <x:f>'管线假设'!H567</x:f>
        <x:v>0.135</x:v>
      </x:c>
      <x:c r="N2590" s="11" t="n">
        <x:f>IF(G2590,L2590*AN2590/(1+M2590)^F2590,0)</x:f>
        <x:v>0.009122933190762801</x:v>
      </x:c>
      <x:c r="AJ2590" t="n">
        <x:v>0</x:v>
      </x:c>
      <x:c r="AK2590" t="n">
        <x:v>0</x:v>
      </x:c>
      <x:c r="AL2590" t="n">
        <x:v>0</x:v>
      </x:c>
      <x:c r="AM2590" t="n">
        <x:f>CHOOSE('假设'!$B$3,AJ2590,AK2590,AL2590)</x:f>
        <x:v>0</x:v>
      </x:c>
      <x:c r="AN2590" t="n">
        <x:v>1</x:v>
      </x:c>
    </x:row>
    <x:row r="2591" ht="23" customHeight="1">
      <x:c r="A2591" s="11" t="str">
        <x:v>688382.SH</x:v>
      </x:c>
      <x:c r="B2591" s="11" t="str">
        <x:v>半年</x:v>
      </x:c>
      <x:c r="C2591" s="11" t="str">
        <x:v>befu</x:v>
      </x:c>
      <x:c r="D2591" s="11" t="str">
        <x:v>2036-12-31</x:v>
      </x:c>
      <x:c r="E2591" s="11" t="str">
        <x:v>CNY</x:v>
      </x:c>
      <x:c r="F2591" s="11" t="n">
        <x:v>9.730321697467488</x:v>
      </x:c>
      <x:c r="G2591" s="26" t="b">
        <x:v>1</x:v>
      </x:c>
      <x:c r="H2591" s="16" t="n">
        <x:v>0.05849999999999998</x:v>
      </x:c>
      <x:c r="I2591" s="16" t="n">
        <x:v>0.26399999999999996</x:v>
      </x:c>
      <x:c r="J2591" s="16" t="n">
        <x:v>0.39599999999999996</x:v>
      </x:c>
      <x:c r="K2591" s="11" t="n">
        <x:f>CHOOSE('假设'!$B$3,H2591,I2591,J2591)</x:f>
        <x:v>0.26399999999999996</x:v>
      </x:c>
      <x:c r="L2591" s="11" t="n">
        <x:f>K2591*'管线假设'!E567*'管线假设'!F567*'管线假设'!G567*IF(E2591="USD",'管线假设'!I567,1)-AM2591</x:f>
        <x:v>0.017318399999999998</x:v>
      </x:c>
      <x:c r="M2591" s="11" t="n">
        <x:f>'管线假设'!H567</x:f>
        <x:v>0.135</x:v>
      </x:c>
      <x:c r="N2591" s="11" t="n">
        <x:f>IF(G2591,L2591*AN2591/(1+M2591)^F2591,0)</x:f>
        <x:v>0.005051034577463918</x:v>
      </x:c>
      <x:c r="AJ2591" t="n">
        <x:v>0</x:v>
      </x:c>
      <x:c r="AK2591" t="n">
        <x:v>0</x:v>
      </x:c>
      <x:c r="AL2591" t="n">
        <x:v>0</x:v>
      </x:c>
      <x:c r="AM2591" t="n">
        <x:f>CHOOSE('假设'!$B$3,AJ2591,AK2591,AL2591)</x:f>
        <x:v>0</x:v>
      </x:c>
      <x:c r="AN2591" t="n">
        <x:v>1</x:v>
      </x:c>
    </x:row>
    <x:row r="2592" ht="23" customHeight="1">
      <x:c r="A2592" s="11" t="str">
        <x:v>688382.SH</x:v>
      </x:c>
      <x:c r="B2592" s="11" t="str">
        <x:v>半年</x:v>
      </x:c>
      <x:c r="C2592" s="11" t="str">
        <x:v>befu</x:v>
      </x:c>
      <x:c r="D2592" s="11" t="str">
        <x:v>2037-12-31</x:v>
      </x:c>
      <x:c r="E2592" s="11" t="str">
        <x:v>CNY</x:v>
      </x:c>
      <x:c r="F2592" s="11" t="n">
        <x:v>10.729637234770705</x:v>
      </x:c>
      <x:c r="G2592" s="26" t="b">
        <x:v>1</x:v>
      </x:c>
      <x:c r="H2592" s="16" t="n">
        <x:v>0</x:v>
      </x:c>
      <x:c r="I2592" s="16" t="n">
        <x:v>0.10799999999999996</x:v>
      </x:c>
      <x:c r="J2592" s="16" t="n">
        <x:v>0.16199999999999995</x:v>
      </x:c>
      <x:c r="K2592" s="11" t="n">
        <x:f>CHOOSE('假设'!$B$3,H2592,I2592,J2592)</x:f>
        <x:v>0.10799999999999996</x:v>
      </x:c>
      <x:c r="L2592" s="11" t="n">
        <x:f>K2592*'管线假设'!E567*'管线假设'!F567*'管线假设'!G567*IF(E2592="USD",'管线假设'!I567,1)-AM2592</x:f>
        <x:v>0.007084799999999998</x:v>
      </x:c>
      <x:c r="M2592" s="11" t="n">
        <x:f>'管线假设'!H567</x:f>
        <x:v>0.135</x:v>
      </x:c>
      <x:c r="N2592" s="11" t="n">
        <x:f>IF(G2592,L2592*AN2592/(1+M2592)^F2592,0)</x:f>
        <x:v>0.0018207149206466182</x:v>
      </x:c>
      <x:c r="AJ2592" t="n">
        <x:v>0</x:v>
      </x:c>
      <x:c r="AK2592" t="n">
        <x:v>0</x:v>
      </x:c>
      <x:c r="AL2592" t="n">
        <x:v>0</x:v>
      </x:c>
      <x:c r="AM2592" t="n">
        <x:f>CHOOSE('假设'!$B$3,AJ2592,AK2592,AL2592)</x:f>
        <x:v>0</x:v>
      </x:c>
      <x:c r="AN2592" t="n">
        <x:v>1</x:v>
      </x:c>
    </x:row>
    <x:row r="2593" ht="23" customHeight="1">
      <x:c r="A2593" s="11" t="str">
        <x:v>688382.SH</x:v>
      </x:c>
      <x:c r="B2593" s="11" t="str">
        <x:v>半年</x:v>
      </x:c>
      <x:c r="C2593" s="11" t="str">
        <x:v>befu</x:v>
      </x:c>
      <x:c r="D2593" s="11" t="str">
        <x:v>2038-12-31</x:v>
      </x:c>
      <x:c r="E2593" s="11" t="str">
        <x:v>CNY</x:v>
      </x:c>
      <x:c r="F2593" s="11" t="n">
        <x:v>11.728952772073923</x:v>
      </x:c>
      <x:c r="G2593" s="26" t="b">
        <x:v>1</x:v>
      </x:c>
      <x:c r="H2593" s="16" t="n">
        <x:v>0</x:v>
      </x:c>
      <x:c r="I2593" s="16" t="n">
        <x:v>0</x:v>
      </x:c>
      <x:c r="J2593" s="16" t="n">
        <x:v>0</x:v>
      </x:c>
      <x:c r="K2593" s="11" t="n">
        <x:f>CHOOSE('假设'!$B$3,H2593,I2593,J2593)</x:f>
        <x:v>0</x:v>
      </x:c>
      <x:c r="L2593" s="11" t="n">
        <x:f>K2593*'管线假设'!E567*'管线假设'!F567*'管线假设'!G567*IF(E2593="USD",'管线假设'!I567,1)-AM2593</x:f>
        <x:v>0</x:v>
      </x:c>
      <x:c r="M2593" s="11" t="n">
        <x:f>'管线假设'!H567</x:f>
        <x:v>0.135</x:v>
      </x:c>
      <x:c r="N2593" s="11" t="n">
        <x:f>IF(G2593,L2593*AN2593/(1+M2593)^F2593,0)</x:f>
        <x:v>0</x:v>
      </x:c>
      <x:c r="AJ2593" t="n">
        <x:v>0</x:v>
      </x:c>
      <x:c r="AK2593" t="n">
        <x:v>0</x:v>
      </x:c>
      <x:c r="AL2593" t="n">
        <x:v>0</x:v>
      </x:c>
      <x:c r="AM2593" t="n">
        <x:f>CHOOSE('假设'!$B$3,AJ2593,AK2593,AL2593)</x:f>
        <x:v>0</x:v>
      </x:c>
      <x:c r="AN2593" t="n">
        <x:v>1</x:v>
      </x:c>
    </x:row>
    <x:row r="2594" ht="23" customHeight="1">
      <x:c r="A2594" s="11" t="str">
        <x:v>688382.SH</x:v>
      </x:c>
      <x:c r="B2594" s="11" t="str">
        <x:v>半年</x:v>
      </x:c>
      <x:c r="C2594" s="11" t="str">
        <x:v>befu</x:v>
      </x:c>
      <x:c r="D2594" s="11" t="str">
        <x:v>2039-12-31</x:v>
      </x:c>
      <x:c r="E2594" s="11" t="str">
        <x:v>CNY</x:v>
      </x:c>
      <x:c r="F2594" s="11" t="n">
        <x:v>12.728268309377139</x:v>
      </x:c>
      <x:c r="G2594" s="26" t="b">
        <x:v>1</x:v>
      </x:c>
      <x:c r="H2594" s="16" t="n">
        <x:v>0</x:v>
      </x:c>
      <x:c r="I2594" s="16" t="n">
        <x:v>0</x:v>
      </x:c>
      <x:c r="J2594" s="16" t="n">
        <x:v>0</x:v>
      </x:c>
      <x:c r="K2594" s="11" t="n">
        <x:f>CHOOSE('假设'!$B$3,H2594,I2594,J2594)</x:f>
        <x:v>0</x:v>
      </x:c>
      <x:c r="L2594" s="11" t="n">
        <x:f>K2594*'管线假设'!E567*'管线假设'!F567*'管线假设'!G567*IF(E2594="USD",'管线假设'!I567,1)-AM2594</x:f>
        <x:v>0</x:v>
      </x:c>
      <x:c r="M2594" s="11" t="n">
        <x:f>'管线假设'!H567</x:f>
        <x:v>0.135</x:v>
      </x:c>
      <x:c r="N2594" s="11" t="n">
        <x:f>IF(G2594,L2594*AN2594/(1+M2594)^F2594,0)</x:f>
        <x:v>0</x:v>
      </x:c>
      <x:c r="AJ2594" t="n">
        <x:v>0</x:v>
      </x:c>
      <x:c r="AK2594" t="n">
        <x:v>0</x:v>
      </x:c>
      <x:c r="AL2594" t="n">
        <x:v>0</x:v>
      </x:c>
      <x:c r="AM2594" t="n">
        <x:f>CHOOSE('假设'!$B$3,AJ2594,AK2594,AL2594)</x:f>
        <x:v>0</x:v>
      </x:c>
      <x:c r="AN2594" t="n">
        <x:v>1</x:v>
      </x:c>
    </x:row>
    <x:row r="2595" ht="23" customHeight="1">
      <x:c r="A2595" s="11" t="str">
        <x:v>688382.SH</x:v>
      </x:c>
      <x:c r="B2595" s="11" t="str">
        <x:v>半年</x:v>
      </x:c>
      <x:c r="C2595" s="11" t="str">
        <x:v>befu</x:v>
      </x:c>
      <x:c r="D2595" s="11" t="str">
        <x:v>2040-12-31</x:v>
      </x:c>
      <x:c r="E2595" s="11" t="str">
        <x:v>CNY</x:v>
      </x:c>
      <x:c r="F2595" s="11" t="n">
        <x:v>13.730321697467488</x:v>
      </x:c>
      <x:c r="G2595" s="26" t="b">
        <x:v>1</x:v>
      </x:c>
      <x:c r="H2595" s="16" t="n">
        <x:v>0</x:v>
      </x:c>
      <x:c r="I2595" s="16" t="n">
        <x:v>0</x:v>
      </x:c>
      <x:c r="J2595" s="16" t="n">
        <x:v>0</x:v>
      </x:c>
      <x:c r="K2595" s="11" t="n">
        <x:f>CHOOSE('假设'!$B$3,H2595,I2595,J2595)</x:f>
        <x:v>0</x:v>
      </x:c>
      <x:c r="L2595" s="11" t="n">
        <x:f>K2595*'管线假设'!E567*'管线假设'!F567*'管线假设'!G567*IF(E2595="USD",'管线假设'!I567,1)-AM2595</x:f>
        <x:v>0</x:v>
      </x:c>
      <x:c r="M2595" s="11" t="n">
        <x:f>'管线假设'!H567</x:f>
        <x:v>0.135</x:v>
      </x:c>
      <x:c r="N2595" s="11" t="n">
        <x:f>IF(G2595,L2595*AN2595/(1+M2595)^F2595,0)</x:f>
        <x:v>0</x:v>
      </x:c>
      <x:c r="AJ2595" t="n">
        <x:v>0</x:v>
      </x:c>
      <x:c r="AK2595" t="n">
        <x:v>0</x:v>
      </x:c>
      <x:c r="AL2595" t="n">
        <x:v>0</x:v>
      </x:c>
      <x:c r="AM2595" t="n">
        <x:f>CHOOSE('假设'!$B$3,AJ2595,AK2595,AL2595)</x:f>
        <x:v>0</x:v>
      </x:c>
      <x:c r="AN2595" t="n">
        <x:v>1</x:v>
      </x:c>
    </x:row>
    <x:row r="2596" ht="23" customHeight="1">
      <x:c r="A2596" s="11" t="str">
        <x:v>688382.SH</x:v>
      </x:c>
      <x:c r="B2596" s="11" t="str">
        <x:v>半年</x:v>
      </x:c>
      <x:c r="C2596" s="11" t="str">
        <x:v>befu</x:v>
      </x:c>
      <x:c r="D2596" s="11" t="str">
        <x:v>2041-12-31</x:v>
      </x:c>
      <x:c r="E2596" s="11" t="str">
        <x:v>CNY</x:v>
      </x:c>
      <x:c r="F2596" s="11" t="n">
        <x:v>14.729637234770705</x:v>
      </x:c>
      <x:c r="G2596" s="26" t="b">
        <x:v>1</x:v>
      </x:c>
      <x:c r="H2596" s="16" t="n">
        <x:v>0</x:v>
      </x:c>
      <x:c r="I2596" s="16" t="n">
        <x:v>0</x:v>
      </x:c>
      <x:c r="J2596" s="16" t="n">
        <x:v>0</x:v>
      </x:c>
      <x:c r="K2596" s="11" t="n">
        <x:f>CHOOSE('假设'!$B$3,H2596,I2596,J2596)</x:f>
        <x:v>0</x:v>
      </x:c>
      <x:c r="L2596" s="11" t="n">
        <x:f>K2596*'管线假设'!E567*'管线假设'!F567*'管线假设'!G567*IF(E2596="USD",'管线假设'!I567,1)-AM2596</x:f>
        <x:v>0</x:v>
      </x:c>
      <x:c r="M2596" s="11" t="n">
        <x:f>'管线假设'!H567</x:f>
        <x:v>0.135</x:v>
      </x:c>
      <x:c r="N2596" s="11" t="n">
        <x:f>IF(G2596,L2596*AN2596/(1+M2596)^F2596,0)</x:f>
        <x:v>0</x:v>
      </x:c>
      <x:c r="AJ2596" t="n">
        <x:v>0</x:v>
      </x:c>
      <x:c r="AK2596" t="n">
        <x:v>0</x:v>
      </x:c>
      <x:c r="AL2596" t="n">
        <x:v>0</x:v>
      </x:c>
      <x:c r="AM2596" t="n">
        <x:f>CHOOSE('假设'!$B$3,AJ2596,AK2596,AL2596)</x:f>
        <x:v>0</x:v>
      </x:c>
      <x:c r="AN2596" t="n">
        <x:v>1</x:v>
      </x:c>
    </x:row>
    <x:row r="2597" ht="23" customHeight="1">
      <x:c r="A2597" s="11" t="str">
        <x:v>688382.SH</x:v>
      </x:c>
      <x:c r="B2597" s="11" t="str">
        <x:v>半年</x:v>
      </x:c>
      <x:c r="C2597" s="11" t="str">
        <x:v>befu</x:v>
      </x:c>
      <x:c r="D2597" s="11" t="str">
        <x:v>2042-12-31</x:v>
      </x:c>
      <x:c r="E2597" s="11" t="str">
        <x:v>CNY</x:v>
      </x:c>
      <x:c r="F2597" s="11" t="n">
        <x:v>15.728952772073923</x:v>
      </x:c>
      <x:c r="G2597" s="26" t="b">
        <x:v>1</x:v>
      </x:c>
      <x:c r="H2597" s="16" t="n">
        <x:v>0</x:v>
      </x:c>
      <x:c r="I2597" s="16" t="n">
        <x:v>0</x:v>
      </x:c>
      <x:c r="J2597" s="16" t="n">
        <x:v>0</x:v>
      </x:c>
      <x:c r="K2597" s="11" t="n">
        <x:f>CHOOSE('假设'!$B$3,H2597,I2597,J2597)</x:f>
        <x:v>0</x:v>
      </x:c>
      <x:c r="L2597" s="11" t="n">
        <x:f>K2597*'管线假设'!E567*'管线假设'!F567*'管线假设'!G567*IF(E2597="USD",'管线假设'!I567,1)-AM2597</x:f>
        <x:v>0</x:v>
      </x:c>
      <x:c r="M2597" s="11" t="n">
        <x:f>'管线假设'!H567</x:f>
        <x:v>0.135</x:v>
      </x:c>
      <x:c r="N2597" s="11" t="n">
        <x:f>IF(G2597,L2597*AN2597/(1+M2597)^F2597,0)</x:f>
        <x:v>0</x:v>
      </x:c>
      <x:c r="AJ2597" t="n">
        <x:v>0</x:v>
      </x:c>
      <x:c r="AK2597" t="n">
        <x:v>0</x:v>
      </x:c>
      <x:c r="AL2597" t="n">
        <x:v>0</x:v>
      </x:c>
      <x:c r="AM2597" t="n">
        <x:f>CHOOSE('假设'!$B$3,AJ2597,AK2597,AL2597)</x:f>
        <x:v>0</x:v>
      </x:c>
      <x:c r="AN2597" t="n">
        <x:v>1</x:v>
      </x:c>
    </x:row>
    <x:row r="2598" ht="23" customHeight="1">
      <x:c r="A2598" s="11" t="str">
        <x:v>688382.SH</x:v>
      </x:c>
      <x:c r="B2598" s="11" t="str">
        <x:v>半年</x:v>
      </x:c>
      <x:c r="C2598" s="11" t="str">
        <x:v>befu</x:v>
      </x:c>
      <x:c r="D2598" s="11" t="str">
        <x:v>2043-12-31</x:v>
      </x:c>
      <x:c r="E2598" s="11" t="str">
        <x:v>CNY</x:v>
      </x:c>
      <x:c r="F2598" s="11" t="n">
        <x:v>16.72826830937714</x:v>
      </x:c>
      <x:c r="G2598" s="26" t="b">
        <x:v>1</x:v>
      </x:c>
      <x:c r="H2598" s="16" t="n">
        <x:v>0</x:v>
      </x:c>
      <x:c r="I2598" s="16" t="n">
        <x:v>0</x:v>
      </x:c>
      <x:c r="J2598" s="16" t="n">
        <x:v>0</x:v>
      </x:c>
      <x:c r="K2598" s="11" t="n">
        <x:f>CHOOSE('假设'!$B$3,H2598,I2598,J2598)</x:f>
        <x:v>0</x:v>
      </x:c>
      <x:c r="L2598" s="11" t="n">
        <x:f>K2598*'管线假设'!E567*'管线假设'!F567*'管线假设'!G567*IF(E2598="USD",'管线假设'!I567,1)-AM2598</x:f>
        <x:v>0</x:v>
      </x:c>
      <x:c r="M2598" s="11" t="n">
        <x:f>'管线假设'!H567</x:f>
        <x:v>0.135</x:v>
      </x:c>
      <x:c r="N2598" s="11" t="n">
        <x:f>IF(G2598,L2598*AN2598/(1+M2598)^F2598,0)</x:f>
        <x:v>0</x:v>
      </x:c>
      <x:c r="AJ2598" t="n">
        <x:v>0</x:v>
      </x:c>
      <x:c r="AK2598" t="n">
        <x:v>0</x:v>
      </x:c>
      <x:c r="AL2598" t="n">
        <x:v>0</x:v>
      </x:c>
      <x:c r="AM2598" t="n">
        <x:f>CHOOSE('假设'!$B$3,AJ2598,AK2598,AL2598)</x:f>
        <x:v>0</x:v>
      </x:c>
      <x:c r="AN2598" t="n">
        <x:v>1</x:v>
      </x:c>
    </x:row>
    <x:row r="2599" ht="23" customHeight="1">
      <x:c r="A2599" s="11" t="str">
        <x:v>688382.SH</x:v>
      </x:c>
      <x:c r="B2599" s="11" t="str">
        <x:v>半年</x:v>
      </x:c>
      <x:c r="C2599" s="11" t="str">
        <x:v>befu</x:v>
      </x:c>
      <x:c r="D2599" s="11" t="str">
        <x:v>2044-12-31</x:v>
      </x:c>
      <x:c r="E2599" s="11" t="str">
        <x:v>CNY</x:v>
      </x:c>
      <x:c r="F2599" s="11" t="n">
        <x:v>17.730321697467488</x:v>
      </x:c>
      <x:c r="G2599" s="26" t="b">
        <x:v>1</x:v>
      </x:c>
      <x:c r="H2599" s="16" t="n">
        <x:v>0</x:v>
      </x:c>
      <x:c r="I2599" s="16" t="n">
        <x:v>0</x:v>
      </x:c>
      <x:c r="J2599" s="16" t="n">
        <x:v>0</x:v>
      </x:c>
      <x:c r="K2599" s="11" t="n">
        <x:f>CHOOSE('假设'!$B$3,H2599,I2599,J2599)</x:f>
        <x:v>0</x:v>
      </x:c>
      <x:c r="L2599" s="11" t="n">
        <x:f>K2599*'管线假设'!E567*'管线假设'!F567*'管线假设'!G567*IF(E2599="USD",'管线假设'!I567,1)-AM2599</x:f>
        <x:v>0</x:v>
      </x:c>
      <x:c r="M2599" s="11" t="n">
        <x:f>'管线假设'!H567</x:f>
        <x:v>0.135</x:v>
      </x:c>
      <x:c r="N2599" s="11" t="n">
        <x:f>IF(G2599,L2599*AN2599/(1+M2599)^F2599,0)</x:f>
        <x:v>0</x:v>
      </x:c>
      <x:c r="AJ2599" t="n">
        <x:v>0</x:v>
      </x:c>
      <x:c r="AK2599" t="n">
        <x:v>0</x:v>
      </x:c>
      <x:c r="AL2599" t="n">
        <x:v>0</x:v>
      </x:c>
      <x:c r="AM2599" t="n">
        <x:f>CHOOSE('假设'!$B$3,AJ2599,AK2599,AL2599)</x:f>
        <x:v>0</x:v>
      </x:c>
      <x:c r="AN2599" t="n">
        <x:v>1</x:v>
      </x:c>
    </x:row>
    <x:row r="2600" ht="23" customHeight="1">
      <x:c r="A2600" s="11" t="str">
        <x:v>688382.SH</x:v>
      </x:c>
      <x:c r="B2600" s="11" t="str">
        <x:v>半年</x:v>
      </x:c>
      <x:c r="C2600" s="11" t="str">
        <x:v>befu</x:v>
      </x:c>
      <x:c r="D2600" s="11" t="str">
        <x:v>2045-12-31</x:v>
      </x:c>
      <x:c r="E2600" s="11" t="str">
        <x:v>CNY</x:v>
      </x:c>
      <x:c r="F2600" s="11" t="n">
        <x:v>18.729637234770706</x:v>
      </x:c>
      <x:c r="G2600" s="26" t="b">
        <x:v>1</x:v>
      </x:c>
      <x:c r="H2600" s="16" t="n">
        <x:v>0</x:v>
      </x:c>
      <x:c r="I2600" s="16" t="n">
        <x:v>0</x:v>
      </x:c>
      <x:c r="J2600" s="16" t="n">
        <x:v>0</x:v>
      </x:c>
      <x:c r="K2600" s="11" t="n">
        <x:f>CHOOSE('假设'!$B$3,H2600,I2600,J2600)</x:f>
        <x:v>0</x:v>
      </x:c>
      <x:c r="L2600" s="11" t="n">
        <x:f>K2600*'管线假设'!E567*'管线假设'!F567*'管线假设'!G567*IF(E2600="USD",'管线假设'!I567,1)-AM2600</x:f>
        <x:v>0</x:v>
      </x:c>
      <x:c r="M2600" s="11" t="n">
        <x:f>'管线假设'!H567</x:f>
        <x:v>0.135</x:v>
      </x:c>
      <x:c r="N2600" s="11" t="n">
        <x:f>IF(G2600,L2600*AN2600/(1+M2600)^F2600,0)</x:f>
        <x:v>0</x:v>
      </x:c>
      <x:c r="AJ2600" t="n">
        <x:v>0</x:v>
      </x:c>
      <x:c r="AK2600" t="n">
        <x:v>0</x:v>
      </x:c>
      <x:c r="AL2600" t="n">
        <x:v>0</x:v>
      </x:c>
      <x:c r="AM2600" t="n">
        <x:f>CHOOSE('假设'!$B$3,AJ2600,AK2600,AL2600)</x:f>
        <x:v>0</x:v>
      </x:c>
      <x:c r="AN2600" t="n">
        <x:v>1</x:v>
      </x:c>
    </x:row>
    <x:row r="2601" ht="23" customHeight="1">
      <x:c r="A2601" s="11" t="str">
        <x:v>688382.SH</x:v>
      </x:c>
      <x:c r="B2601" s="11" t="str">
        <x:v>半年</x:v>
      </x:c>
      <x:c r="C2601" s="11" t="str">
        <x:v>g12c_later_cn</x:v>
      </x:c>
      <x:c r="D2601" s="11" t="str">
        <x:v>2027-12-31</x:v>
      </x:c>
      <x:c r="E2601" s="11" t="str">
        <x:v>CNY</x:v>
      </x:c>
      <x:c r="F2601" s="11" t="n">
        <x:v>0.7282683093771389</x:v>
      </x:c>
      <x:c r="G2601" s="26" t="b">
        <x:v>1</x:v>
      </x:c>
      <x:c r="H2601" s="16" t="n">
        <x:v>0.1</x:v>
      </x:c>
      <x:c r="I2601" s="16" t="n">
        <x:v>0.22000000000000003</x:v>
      </x:c>
      <x:c r="J2601" s="16" t="n">
        <x:v>0.425</x:v>
      </x:c>
      <x:c r="K2601" s="11" t="n">
        <x:f>CHOOSE('假设'!$B$3,H2601,I2601,J2601)</x:f>
        <x:v>0.22000000000000003</x:v>
      </x:c>
      <x:c r="L2601" s="11" t="n">
        <x:f>K2601*'管线假设'!E571*'管线假设'!F571*'管线假设'!G571*IF(E2601="USD",'管线假设'!I571,1)-AM2601</x:f>
        <x:v>0.018040000000000007</x:v>
      </x:c>
      <x:c r="M2601" s="11" t="n">
        <x:f>'管线假设'!H571</x:f>
        <x:v>0.135</x:v>
      </x:c>
      <x:c r="N2601" s="11" t="n">
        <x:f>IF(G2601,L2601*AN2601/(1+M2601)^F2601,0)</x:f>
        <x:v>0.016450715439479117</x:v>
      </x:c>
      <x:c r="AJ2601" t="n">
        <x:v>0</x:v>
      </x:c>
      <x:c r="AK2601" t="n">
        <x:v>0</x:v>
      </x:c>
      <x:c r="AL2601" t="n">
        <x:v>0</x:v>
      </x:c>
      <x:c r="AM2601" t="n">
        <x:f>CHOOSE('假设'!$B$3,AJ2601,AK2601,AL2601)</x:f>
        <x:v>0</x:v>
      </x:c>
      <x:c r="AN2601" t="n">
        <x:v>1</x:v>
      </x:c>
    </x:row>
    <x:row r="2602" ht="23" customHeight="1">
      <x:c r="A2602" s="11" t="str">
        <x:v>688382.SH</x:v>
      </x:c>
      <x:c r="B2602" s="11" t="str">
        <x:v>半年</x:v>
      </x:c>
      <x:c r="C2602" s="11" t="str">
        <x:v>g12c_later_cn</x:v>
      </x:c>
      <x:c r="D2602" s="11" t="str">
        <x:v>2028-12-31</x:v>
      </x:c>
      <x:c r="E2602" s="11" t="str">
        <x:v>CNY</x:v>
      </x:c>
      <x:c r="F2602" s="11" t="n">
        <x:v>1.730321697467488</x:v>
      </x:c>
      <x:c r="G2602" s="26" t="b">
        <x:v>1</x:v>
      </x:c>
      <x:c r="H2602" s="16" t="n">
        <x:v>0.2</x:v>
      </x:c>
      <x:c r="I2602" s="16" t="n">
        <x:v>0.44000000000000006</x:v>
      </x:c>
      <x:c r="J2602" s="16" t="n">
        <x:v>0.85</x:v>
      </x:c>
      <x:c r="K2602" s="11" t="n">
        <x:f>CHOOSE('假设'!$B$3,H2602,I2602,J2602)</x:f>
        <x:v>0.44000000000000006</x:v>
      </x:c>
      <x:c r="L2602" s="11" t="n">
        <x:f>K2602*'管线假设'!E571*'管线假设'!F571*'管线假设'!G571*IF(E2602="USD",'管线假设'!I571,1)-AM2602</x:f>
        <x:v>0.036080000000000015</x:v>
      </x:c>
      <x:c r="M2602" s="11" t="n">
        <x:f>'管线假设'!H571</x:f>
        <x:v>0.135</x:v>
      </x:c>
      <x:c r="N2602" s="11" t="n">
        <x:f>IF(G2602,L2602*AN2602/(1+M2602)^F2602,0)</x:f>
        <x:v>0.028980508162497226</x:v>
      </x:c>
      <x:c r="AJ2602" t="n">
        <x:v>0</x:v>
      </x:c>
      <x:c r="AK2602" t="n">
        <x:v>0</x:v>
      </x:c>
      <x:c r="AL2602" t="n">
        <x:v>0</x:v>
      </x:c>
      <x:c r="AM2602" t="n">
        <x:f>CHOOSE('假设'!$B$3,AJ2602,AK2602,AL2602)</x:f>
        <x:v>0</x:v>
      </x:c>
      <x:c r="AN2602" t="n">
        <x:v>1</x:v>
      </x:c>
    </x:row>
    <x:row r="2603" ht="23" customHeight="1">
      <x:c r="A2603" s="11" t="str">
        <x:v>688382.SH</x:v>
      </x:c>
      <x:c r="B2603" s="11" t="str">
        <x:v>半年</x:v>
      </x:c>
      <x:c r="C2603" s="11" t="str">
        <x:v>g12c_later_cn</x:v>
      </x:c>
      <x:c r="D2603" s="11" t="str">
        <x:v>2029-12-31</x:v>
      </x:c>
      <x:c r="E2603" s="11" t="str">
        <x:v>CNY</x:v>
      </x:c>
      <x:c r="F2603" s="11" t="n">
        <x:v>2.729637234770705</x:v>
      </x:c>
      <x:c r="G2603" s="26" t="b">
        <x:v>1</x:v>
      </x:c>
      <x:c r="H2603" s="16" t="n">
        <x:v>0.3</x:v>
      </x:c>
      <x:c r="I2603" s="16" t="n">
        <x:v>0.66</x:v>
      </x:c>
      <x:c r="J2603" s="16" t="n">
        <x:v>1.275</x:v>
      </x:c>
      <x:c r="K2603" s="11" t="n">
        <x:f>CHOOSE('假设'!$B$3,H2603,I2603,J2603)</x:f>
        <x:v>0.66</x:v>
      </x:c>
      <x:c r="L2603" s="11" t="n">
        <x:f>K2603*'管线假设'!E571*'管线假设'!F571*'管线假设'!G571*IF(E2603="USD",'管线假设'!I571,1)-AM2603</x:f>
        <x:v>0.054120000000000015</x:v>
      </x:c>
      <x:c r="M2603" s="11" t="n">
        <x:f>'管线假设'!H571</x:f>
        <x:v>0.135</x:v>
      </x:c>
      <x:c r="N2603" s="11" t="n">
        <x:f>IF(G2603,L2603*AN2603/(1+M2603)^F2603,0)</x:f>
        <x:v>0.03830355088063303</x:v>
      </x:c>
      <x:c r="AJ2603" t="n">
        <x:v>0</x:v>
      </x:c>
      <x:c r="AK2603" t="n">
        <x:v>0</x:v>
      </x:c>
      <x:c r="AL2603" t="n">
        <x:v>0</x:v>
      </x:c>
      <x:c r="AM2603" t="n">
        <x:f>CHOOSE('假设'!$B$3,AJ2603,AK2603,AL2603)</x:f>
        <x:v>0</x:v>
      </x:c>
      <x:c r="AN2603" t="n">
        <x:v>1</x:v>
      </x:c>
    </x:row>
    <x:row r="2604" ht="23" customHeight="1">
      <x:c r="A2604" s="11" t="str">
        <x:v>688382.SH</x:v>
      </x:c>
      <x:c r="B2604" s="11" t="str">
        <x:v>半年</x:v>
      </x:c>
      <x:c r="C2604" s="11" t="str">
        <x:v>g12c_later_cn</x:v>
      </x:c>
      <x:c r="D2604" s="11" t="str">
        <x:v>2030-12-31</x:v>
      </x:c>
      <x:c r="E2604" s="11" t="str">
        <x:v>CNY</x:v>
      </x:c>
      <x:c r="F2604" s="11" t="n">
        <x:v>3.728952772073922</x:v>
      </x:c>
      <x:c r="G2604" s="26" t="b">
        <x:v>1</x:v>
      </x:c>
      <x:c r="H2604" s="16" t="n">
        <x:v>0.4</x:v>
      </x:c>
      <x:c r="I2604" s="16" t="n">
        <x:v>0.8800000000000001</x:v>
      </x:c>
      <x:c r="J2604" s="16" t="n">
        <x:v>1.7</x:v>
      </x:c>
      <x:c r="K2604" s="11" t="n">
        <x:f>CHOOSE('假设'!$B$3,H2604,I2604,J2604)</x:f>
        <x:v>0.8800000000000001</x:v>
      </x:c>
      <x:c r="L2604" s="11" t="n">
        <x:f>K2604*'管线假设'!E571*'管线假设'!F571*'管线假设'!G571*IF(E2604="USD",'管线假设'!I571,1)-AM2604</x:f>
        <x:v>0.07216000000000003</x:v>
      </x:c>
      <x:c r="M2604" s="11" t="n">
        <x:f>'管线假设'!H571</x:f>
        <x:v>0.135</x:v>
      </x:c>
      <x:c r="N2604" s="11" t="n">
        <x:f>IF(G2604,L2604*AN2604/(1+M2604)^F2604,0)</x:f>
        <x:v>0.045000729512208335</x:v>
      </x:c>
      <x:c r="AJ2604" t="n">
        <x:v>0</x:v>
      </x:c>
      <x:c r="AK2604" t="n">
        <x:v>0</x:v>
      </x:c>
      <x:c r="AL2604" t="n">
        <x:v>0</x:v>
      </x:c>
      <x:c r="AM2604" t="n">
        <x:f>CHOOSE('假设'!$B$3,AJ2604,AK2604,AL2604)</x:f>
        <x:v>0</x:v>
      </x:c>
      <x:c r="AN2604" t="n">
        <x:v>1</x:v>
      </x:c>
    </x:row>
    <x:row r="2605" ht="23" customHeight="1">
      <x:c r="A2605" s="11" t="str">
        <x:v>688382.SH</x:v>
      </x:c>
      <x:c r="B2605" s="11" t="str">
        <x:v>半年</x:v>
      </x:c>
      <x:c r="C2605" s="11" t="str">
        <x:v>g12c_later_cn</x:v>
      </x:c>
      <x:c r="D2605" s="11" t="str">
        <x:v>2031-12-31</x:v>
      </x:c>
      <x:c r="E2605" s="11" t="str">
        <x:v>CNY</x:v>
      </x:c>
      <x:c r="F2605" s="11" t="n">
        <x:v>4.728268309377139</x:v>
      </x:c>
      <x:c r="G2605" s="26" t="b">
        <x:v>1</x:v>
      </x:c>
      <x:c r="H2605" s="16" t="n">
        <x:v>0.5</x:v>
      </x:c>
      <x:c r="I2605" s="16" t="n">
        <x:v>1.1</x:v>
      </x:c>
      <x:c r="J2605" s="16" t="n">
        <x:v>1.4789999999999999</x:v>
      </x:c>
      <x:c r="K2605" s="11" t="n">
        <x:f>CHOOSE('假设'!$B$3,H2605,I2605,J2605)</x:f>
        <x:v>1.1</x:v>
      </x:c>
      <x:c r="L2605" s="11" t="n">
        <x:f>K2605*'管线假设'!E571*'管线假设'!F571*'管线假设'!G571*IF(E2605="USD",'管线假设'!I571,1)-AM2605</x:f>
        <x:v>0.09020000000000003</x:v>
      </x:c>
      <x:c r="M2605" s="11" t="n">
        <x:f>'管线假设'!H571</x:f>
        <x:v>0.135</x:v>
      </x:c>
      <x:c r="N2605" s="11" t="n">
        <x:f>IF(G2605,L2605*AN2605/(1+M2605)^F2605,0)</x:f>
        <x:v>0.0495645706323123</x:v>
      </x:c>
      <x:c r="AJ2605" t="n">
        <x:v>0</x:v>
      </x:c>
      <x:c r="AK2605" t="n">
        <x:v>0</x:v>
      </x:c>
      <x:c r="AL2605" t="n">
        <x:v>0</x:v>
      </x:c>
      <x:c r="AM2605" t="n">
        <x:f>CHOOSE('假设'!$B$3,AJ2605,AK2605,AL2605)</x:f>
        <x:v>0</x:v>
      </x:c>
      <x:c r="AN2605" t="n">
        <x:v>1</x:v>
      </x:c>
    </x:row>
    <x:row r="2606" ht="23" customHeight="1">
      <x:c r="A2606" s="11" t="str">
        <x:v>688382.SH</x:v>
      </x:c>
      <x:c r="B2606" s="11" t="str">
        <x:v>半年</x:v>
      </x:c>
      <x:c r="C2606" s="11" t="str">
        <x:v>g12c_later_cn</x:v>
      </x:c>
      <x:c r="D2606" s="11" t="str">
        <x:v>2032-12-31</x:v>
      </x:c>
      <x:c r="E2606" s="11" t="str">
        <x:v>CNY</x:v>
      </x:c>
      <x:c r="F2606" s="11" t="n">
        <x:v>5.730321697467488</x:v>
      </x:c>
      <x:c r="G2606" s="26" t="b">
        <x:v>1</x:v>
      </x:c>
      <x:c r="H2606" s="16" t="n">
        <x:v>0.435</x:v>
      </x:c>
      <x:c r="I2606" s="16" t="n">
        <x:v>0.9570000000000001</x:v>
      </x:c>
      <x:c r="J2606" s="16" t="n">
        <x:v>1.258</x:v>
      </x:c>
      <x:c r="K2606" s="11" t="n">
        <x:f>CHOOSE('假设'!$B$3,H2606,I2606,J2606)</x:f>
        <x:v>0.9570000000000001</x:v>
      </x:c>
      <x:c r="L2606" s="11" t="n">
        <x:f>K2606*'管线假设'!E571*'管线假设'!F571*'管线假设'!G571*IF(E2606="USD",'管线假设'!I571,1)-AM2606</x:f>
        <x:v>0.07847400000000002</x:v>
      </x:c>
      <x:c r="M2606" s="11" t="n">
        <x:f>'管线假设'!H571</x:f>
        <x:v>0.135</x:v>
      </x:c>
      <x:c r="N2606" s="11" t="n">
        <x:f>IF(G2606,L2606*AN2606/(1+M2606)^F2606,0)</x:f>
        <x:v>0.03798234826583669</x:v>
      </x:c>
      <x:c r="AJ2606" t="n">
        <x:v>0</x:v>
      </x:c>
      <x:c r="AK2606" t="n">
        <x:v>0</x:v>
      </x:c>
      <x:c r="AL2606" t="n">
        <x:v>0</x:v>
      </x:c>
      <x:c r="AM2606" t="n">
        <x:f>CHOOSE('假设'!$B$3,AJ2606,AK2606,AL2606)</x:f>
        <x:v>0</x:v>
      </x:c>
      <x:c r="AN2606" t="n">
        <x:v>1</x:v>
      </x:c>
    </x:row>
    <x:row r="2607" ht="23" customHeight="1">
      <x:c r="A2607" s="11" t="str">
        <x:v>688382.SH</x:v>
      </x:c>
      <x:c r="B2607" s="11" t="str">
        <x:v>半年</x:v>
      </x:c>
      <x:c r="C2607" s="11" t="str">
        <x:v>g12c_later_cn</x:v>
      </x:c>
      <x:c r="D2607" s="11" t="str">
        <x:v>2033-12-31</x:v>
      </x:c>
      <x:c r="E2607" s="11" t="str">
        <x:v>CNY</x:v>
      </x:c>
      <x:c r="F2607" s="11" t="n">
        <x:v>6.729637234770705</x:v>
      </x:c>
      <x:c r="G2607" s="26" t="b">
        <x:v>1</x:v>
      </x:c>
      <x:c r="H2607" s="16" t="n">
        <x:v>0.37</x:v>
      </x:c>
      <x:c r="I2607" s="16" t="n">
        <x:v>0.8140000000000001</x:v>
      </x:c>
      <x:c r="J2607" s="16" t="n">
        <x:v>1.037</x:v>
      </x:c>
      <x:c r="K2607" s="11" t="n">
        <x:f>CHOOSE('假设'!$B$3,H2607,I2607,J2607)</x:f>
        <x:v>0.8140000000000001</x:v>
      </x:c>
      <x:c r="L2607" s="11" t="n">
        <x:f>K2607*'管线假设'!E571*'管线假设'!F571*'管线假设'!G571*IF(E2607="USD",'管线假设'!I571,1)-AM2607</x:f>
        <x:v>0.06674800000000002</x:v>
      </x:c>
      <x:c r="M2607" s="11" t="n">
        <x:f>'管线假设'!H571</x:f>
        <x:v>0.135</x:v>
      </x:c>
      <x:c r="N2607" s="11" t="n">
        <x:f>IF(G2607,L2607*AN2607/(1+M2607)^F2607,0)</x:f>
        <x:v>0.028466630209411252</x:v>
      </x:c>
      <x:c r="AJ2607" t="n">
        <x:v>0</x:v>
      </x:c>
      <x:c r="AK2607" t="n">
        <x:v>0</x:v>
      </x:c>
      <x:c r="AL2607" t="n">
        <x:v>0</x:v>
      </x:c>
      <x:c r="AM2607" t="n">
        <x:f>CHOOSE('假设'!$B$3,AJ2607,AK2607,AL2607)</x:f>
        <x:v>0</x:v>
      </x:c>
      <x:c r="AN2607" t="n">
        <x:v>1</x:v>
      </x:c>
    </x:row>
    <x:row r="2608" ht="23" customHeight="1">
      <x:c r="A2608" s="11" t="str">
        <x:v>688382.SH</x:v>
      </x:c>
      <x:c r="B2608" s="11" t="str">
        <x:v>半年</x:v>
      </x:c>
      <x:c r="C2608" s="11" t="str">
        <x:v>g12c_later_cn</x:v>
      </x:c>
      <x:c r="D2608" s="11" t="str">
        <x:v>2034-12-31</x:v>
      </x:c>
      <x:c r="E2608" s="11" t="str">
        <x:v>CNY</x:v>
      </x:c>
      <x:c r="F2608" s="11" t="n">
        <x:v>7.728952772073922</x:v>
      </x:c>
      <x:c r="G2608" s="26" t="b">
        <x:v>1</x:v>
      </x:c>
      <x:c r="H2608" s="16" t="n">
        <x:v>0.305</x:v>
      </x:c>
      <x:c r="I2608" s="16" t="n">
        <x:v>0.671</x:v>
      </x:c>
      <x:c r="J2608" s="16" t="n">
        <x:v>0.816</x:v>
      </x:c>
      <x:c r="K2608" s="11" t="n">
        <x:f>CHOOSE('假设'!$B$3,H2608,I2608,J2608)</x:f>
        <x:v>0.671</x:v>
      </x:c>
      <x:c r="L2608" s="11" t="n">
        <x:f>K2608*'管线假设'!E571*'管线假设'!F571*'管线假设'!G571*IF(E2608="USD",'管线假设'!I571,1)-AM2608</x:f>
        <x:v>0.055022000000000015</x:v>
      </x:c>
      <x:c r="M2608" s="11" t="n">
        <x:f>'管线假设'!H571</x:f>
        <x:v>0.135</x:v>
      </x:c>
      <x:c r="N2608" s="11" t="n">
        <x:f>IF(G2608,L2608*AN2608/(1+M2608)^F2608,0)</x:f>
        <x:v>0.02067644907629733</x:v>
      </x:c>
      <x:c r="AJ2608" t="n">
        <x:v>0</x:v>
      </x:c>
      <x:c r="AK2608" t="n">
        <x:v>0</x:v>
      </x:c>
      <x:c r="AL2608" t="n">
        <x:v>0</x:v>
      </x:c>
      <x:c r="AM2608" t="n">
        <x:f>CHOOSE('假设'!$B$3,AJ2608,AK2608,AL2608)</x:f>
        <x:v>0</x:v>
      </x:c>
      <x:c r="AN2608" t="n">
        <x:v>1</x:v>
      </x:c>
    </x:row>
    <x:row r="2609" ht="23" customHeight="1">
      <x:c r="A2609" s="11" t="str">
        <x:v>688382.SH</x:v>
      </x:c>
      <x:c r="B2609" s="11" t="str">
        <x:v>半年</x:v>
      </x:c>
      <x:c r="C2609" s="11" t="str">
        <x:v>g12c_later_cn</x:v>
      </x:c>
      <x:c r="D2609" s="11" t="str">
        <x:v>2035-12-31</x:v>
      </x:c>
      <x:c r="E2609" s="11" t="str">
        <x:v>CNY</x:v>
      </x:c>
      <x:c r="F2609" s="11" t="n">
        <x:v>8.728268309377139</x:v>
      </x:c>
      <x:c r="G2609" s="26" t="b">
        <x:v>1</x:v>
      </x:c>
      <x:c r="H2609" s="16" t="n">
        <x:v>0.24</x:v>
      </x:c>
      <x:c r="I2609" s="16" t="n">
        <x:v>0.528</x:v>
      </x:c>
      <x:c r="J2609" s="16" t="n">
        <x:v>0.595</x:v>
      </x:c>
      <x:c r="K2609" s="11" t="n">
        <x:f>CHOOSE('假设'!$B$3,H2609,I2609,J2609)</x:f>
        <x:v>0.528</x:v>
      </x:c>
      <x:c r="L2609" s="11" t="n">
        <x:f>K2609*'管线假设'!E571*'管线假设'!F571*'管线假设'!G571*IF(E2609="USD",'管线假设'!I571,1)-AM2609</x:f>
        <x:v>0.04329600000000001</x:v>
      </x:c>
      <x:c r="M2609" s="11" t="n">
        <x:f>'管线假设'!H571</x:f>
        <x:v>0.135</x:v>
      </x:c>
      <x:c r="N2609" s="11" t="n">
        <x:f>IF(G2609,L2609*AN2609/(1+M2609)^F2609,0)</x:f>
        <x:v>0.01433603787119869</x:v>
      </x:c>
      <x:c r="AJ2609" t="n">
        <x:v>0</x:v>
      </x:c>
      <x:c r="AK2609" t="n">
        <x:v>0</x:v>
      </x:c>
      <x:c r="AL2609" t="n">
        <x:v>0</x:v>
      </x:c>
      <x:c r="AM2609" t="n">
        <x:f>CHOOSE('假设'!$B$3,AJ2609,AK2609,AL2609)</x:f>
        <x:v>0</x:v>
      </x:c>
      <x:c r="AN2609" t="n">
        <x:v>1</x:v>
      </x:c>
    </x:row>
    <x:row r="2610" ht="23" customHeight="1">
      <x:c r="A2610" s="11" t="str">
        <x:v>688382.SH</x:v>
      </x:c>
      <x:c r="B2610" s="11" t="str">
        <x:v>半年</x:v>
      </x:c>
      <x:c r="C2610" s="11" t="str">
        <x:v>g12c_later_cn</x:v>
      </x:c>
      <x:c r="D2610" s="11" t="str">
        <x:v>2036-12-31</x:v>
      </x:c>
      <x:c r="E2610" s="11" t="str">
        <x:v>CNY</x:v>
      </x:c>
      <x:c r="F2610" s="11" t="n">
        <x:v>9.730321697467488</x:v>
      </x:c>
      <x:c r="G2610" s="26" t="b">
        <x:v>1</x:v>
      </x:c>
      <x:c r="H2610" s="16" t="n">
        <x:v>0.175</x:v>
      </x:c>
      <x:c r="I2610" s="16" t="n">
        <x:v>0.385</x:v>
      </x:c>
      <x:c r="J2610" s="16" t="n">
        <x:v>0.37399999999999994</x:v>
      </x:c>
      <x:c r="K2610" s="11" t="n">
        <x:f>CHOOSE('假设'!$B$3,H2610,I2610,J2610)</x:f>
        <x:v>0.385</x:v>
      </x:c>
      <x:c r="L2610" s="11" t="n">
        <x:f>K2610*'管线假设'!E571*'管线假设'!F571*'管线假设'!G571*IF(E2610="USD",'管线假设'!I571,1)-AM2610</x:f>
        <x:v>0.03157000000000001</x:v>
      </x:c>
      <x:c r="M2610" s="11" t="n">
        <x:f>'管线假设'!H571</x:f>
        <x:v>0.135</x:v>
      </x:c>
      <x:c r="N2610" s="11" t="n">
        <x:f>IF(G2610,L2610*AN2610/(1+M2610)^F2610,0)</x:f>
        <x:v>0.009207615115168604</x:v>
      </x:c>
      <x:c r="AJ2610" t="n">
        <x:v>0</x:v>
      </x:c>
      <x:c r="AK2610" t="n">
        <x:v>0</x:v>
      </x:c>
      <x:c r="AL2610" t="n">
        <x:v>0</x:v>
      </x:c>
      <x:c r="AM2610" t="n">
        <x:f>CHOOSE('假设'!$B$3,AJ2610,AK2610,AL2610)</x:f>
        <x:v>0</x:v>
      </x:c>
      <x:c r="AN2610" t="n">
        <x:v>1</x:v>
      </x:c>
    </x:row>
    <x:row r="2611" ht="23" customHeight="1">
      <x:c r="A2611" s="11" t="str">
        <x:v>688382.SH</x:v>
      </x:c>
      <x:c r="B2611" s="11" t="str">
        <x:v>半年</x:v>
      </x:c>
      <x:c r="C2611" s="11" t="str">
        <x:v>g12c_later_cn</x:v>
      </x:c>
      <x:c r="D2611" s="11" t="str">
        <x:v>2037-12-31</x:v>
      </x:c>
      <x:c r="E2611" s="11" t="str">
        <x:v>CNY</x:v>
      </x:c>
      <x:c r="F2611" s="11" t="n">
        <x:v>10.729637234770705</x:v>
      </x:c>
      <x:c r="G2611" s="26" t="b">
        <x:v>1</x:v>
      </x:c>
      <x:c r="H2611" s="16" t="n">
        <x:v>0.10999999999999999</x:v>
      </x:c>
      <x:c r="I2611" s="16" t="n">
        <x:v>0.242</x:v>
      </x:c>
      <x:c r="J2611" s="16" t="n">
        <x:v>0.15299999999999994</x:v>
      </x:c>
      <x:c r="K2611" s="11" t="n">
        <x:f>CHOOSE('假设'!$B$3,H2611,I2611,J2611)</x:f>
        <x:v>0.242</x:v>
      </x:c>
      <x:c r="L2611" s="11" t="n">
        <x:f>K2611*'管线假设'!E571*'管线假设'!F571*'管线假设'!G571*IF(E2611="USD",'管线假设'!I571,1)-AM2611</x:f>
        <x:v>0.019844000000000004</x:v>
      </x:c>
      <x:c r="M2611" s="11" t="n">
        <x:f>'管线假设'!H571</x:f>
        <x:v>0.135</x:v>
      </x:c>
      <x:c r="N2611" s="11" t="n">
        <x:f>IF(G2611,L2611*AN2611/(1+M2611)^F2611,0)</x:f>
        <x:v>0.005099687624959281</x:v>
      </x:c>
      <x:c r="AJ2611" t="n">
        <x:v>0</x:v>
      </x:c>
      <x:c r="AK2611" t="n">
        <x:v>0</x:v>
      </x:c>
      <x:c r="AL2611" t="n">
        <x:v>0</x:v>
      </x:c>
      <x:c r="AM2611" t="n">
        <x:f>CHOOSE('假设'!$B$3,AJ2611,AK2611,AL2611)</x:f>
        <x:v>0</x:v>
      </x:c>
      <x:c r="AN2611" t="n">
        <x:v>1</x:v>
      </x:c>
    </x:row>
    <x:row r="2612" ht="23" customHeight="1">
      <x:c r="A2612" s="11" t="str">
        <x:v>688382.SH</x:v>
      </x:c>
      <x:c r="B2612" s="11" t="str">
        <x:v>半年</x:v>
      </x:c>
      <x:c r="C2612" s="11" t="str">
        <x:v>g12c_later_cn</x:v>
      </x:c>
      <x:c r="D2612" s="11" t="str">
        <x:v>2038-12-31</x:v>
      </x:c>
      <x:c r="E2612" s="11" t="str">
        <x:v>CNY</x:v>
      </x:c>
      <x:c r="F2612" s="11" t="n">
        <x:v>11.728952772073923</x:v>
      </x:c>
      <x:c r="G2612" s="26" t="b">
        <x:v>1</x:v>
      </x:c>
      <x:c r="H2612" s="16" t="n">
        <x:v>0.044999999999999984</x:v>
      </x:c>
      <x:c r="I2612" s="16" t="n">
        <x:v>0.09899999999999998</x:v>
      </x:c>
      <x:c r="J2612" s="16" t="n">
        <x:v>0</x:v>
      </x:c>
      <x:c r="K2612" s="11" t="n">
        <x:f>CHOOSE('假设'!$B$3,H2612,I2612,J2612)</x:f>
        <x:v>0.09899999999999998</x:v>
      </x:c>
      <x:c r="L2612" s="11" t="n">
        <x:f>K2612*'管线假设'!E571*'管线假设'!F571*'管线假设'!G571*IF(E2612="USD",'管线假设'!I571,1)-AM2612</x:f>
        <x:v>0.008118</x:v>
      </x:c>
      <x:c r="M2612" s="11" t="n">
        <x:f>'管线假设'!H571</x:f>
        <x:v>0.135</x:v>
      </x:c>
      <x:c r="N2612" s="11" t="n">
        <x:f>IF(G2612,L2612*AN2612/(1+M2612)^F2612,0)</x:f>
        <x:v>0.0018382525811300688</x:v>
      </x:c>
      <x:c r="AJ2612" t="n">
        <x:v>0</x:v>
      </x:c>
      <x:c r="AK2612" t="n">
        <x:v>0</x:v>
      </x:c>
      <x:c r="AL2612" t="n">
        <x:v>0</x:v>
      </x:c>
      <x:c r="AM2612" t="n">
        <x:f>CHOOSE('假设'!$B$3,AJ2612,AK2612,AL2612)</x:f>
        <x:v>0</x:v>
      </x:c>
      <x:c r="AN2612" t="n">
        <x:v>1</x:v>
      </x:c>
    </x:row>
    <x:row r="2613" ht="23" customHeight="1">
      <x:c r="A2613" s="11" t="str">
        <x:v>688382.SH</x:v>
      </x:c>
      <x:c r="B2613" s="11" t="str">
        <x:v>半年</x:v>
      </x:c>
      <x:c r="C2613" s="11" t="str">
        <x:v>g12c_later_cn</x:v>
      </x:c>
      <x:c r="D2613" s="11" t="str">
        <x:v>2039-12-31</x:v>
      </x:c>
      <x:c r="E2613" s="11" t="str">
        <x:v>CNY</x:v>
      </x:c>
      <x:c r="F2613" s="11" t="n">
        <x:v>12.728268309377139</x:v>
      </x:c>
      <x:c r="G2613" s="26" t="b">
        <x:v>1</x:v>
      </x:c>
      <x:c r="H2613" s="16" t="n">
        <x:v>0</x:v>
      </x:c>
      <x:c r="I2613" s="16" t="n">
        <x:v>0</x:v>
      </x:c>
      <x:c r="J2613" s="16" t="n">
        <x:v>0</x:v>
      </x:c>
      <x:c r="K2613" s="11" t="n">
        <x:f>CHOOSE('假设'!$B$3,H2613,I2613,J2613)</x:f>
        <x:v>0</x:v>
      </x:c>
      <x:c r="L2613" s="11" t="n">
        <x:f>K2613*'管线假设'!E571*'管线假设'!F571*'管线假设'!G571*IF(E2613="USD",'管线假设'!I571,1)-AM2613</x:f>
        <x:v>0</x:v>
      </x:c>
      <x:c r="M2613" s="11" t="n">
        <x:f>'管线假设'!H571</x:f>
        <x:v>0.135</x:v>
      </x:c>
      <x:c r="N2613" s="11" t="n">
        <x:f>IF(G2613,L2613*AN2613/(1+M2613)^F2613,0)</x:f>
        <x:v>0</x:v>
      </x:c>
      <x:c r="AJ2613" t="n">
        <x:v>0</x:v>
      </x:c>
      <x:c r="AK2613" t="n">
        <x:v>0</x:v>
      </x:c>
      <x:c r="AL2613" t="n">
        <x:v>0</x:v>
      </x:c>
      <x:c r="AM2613" t="n">
        <x:f>CHOOSE('假设'!$B$3,AJ2613,AK2613,AL2613)</x:f>
        <x:v>0</x:v>
      </x:c>
      <x:c r="AN2613" t="n">
        <x:v>1</x:v>
      </x:c>
    </x:row>
    <x:row r="2614" ht="23" customHeight="1">
      <x:c r="A2614" s="11" t="str">
        <x:v>688382.SH</x:v>
      </x:c>
      <x:c r="B2614" s="11" t="str">
        <x:v>半年</x:v>
      </x:c>
      <x:c r="C2614" s="11" t="str">
        <x:v>g12c_later_cn</x:v>
      </x:c>
      <x:c r="D2614" s="11" t="str">
        <x:v>2040-12-31</x:v>
      </x:c>
      <x:c r="E2614" s="11" t="str">
        <x:v>CNY</x:v>
      </x:c>
      <x:c r="F2614" s="11" t="n">
        <x:v>13.730321697467488</x:v>
      </x:c>
      <x:c r="G2614" s="26" t="b">
        <x:v>1</x:v>
      </x:c>
      <x:c r="H2614" s="16" t="n">
        <x:v>0</x:v>
      </x:c>
      <x:c r="I2614" s="16" t="n">
        <x:v>0</x:v>
      </x:c>
      <x:c r="J2614" s="16" t="n">
        <x:v>0</x:v>
      </x:c>
      <x:c r="K2614" s="11" t="n">
        <x:f>CHOOSE('假设'!$B$3,H2614,I2614,J2614)</x:f>
        <x:v>0</x:v>
      </x:c>
      <x:c r="L2614" s="11" t="n">
        <x:f>K2614*'管线假设'!E571*'管线假设'!F571*'管线假设'!G571*IF(E2614="USD",'管线假设'!I571,1)-AM2614</x:f>
        <x:v>0</x:v>
      </x:c>
      <x:c r="M2614" s="11" t="n">
        <x:f>'管线假设'!H571</x:f>
        <x:v>0.135</x:v>
      </x:c>
      <x:c r="N2614" s="11" t="n">
        <x:f>IF(G2614,L2614*AN2614/(1+M2614)^F2614,0)</x:f>
        <x:v>0</x:v>
      </x:c>
      <x:c r="AJ2614" t="n">
        <x:v>0</x:v>
      </x:c>
      <x:c r="AK2614" t="n">
        <x:v>0</x:v>
      </x:c>
      <x:c r="AL2614" t="n">
        <x:v>0</x:v>
      </x:c>
      <x:c r="AM2614" t="n">
        <x:f>CHOOSE('假设'!$B$3,AJ2614,AK2614,AL2614)</x:f>
        <x:v>0</x:v>
      </x:c>
      <x:c r="AN2614" t="n">
        <x:v>1</x:v>
      </x:c>
    </x:row>
    <x:row r="2615" ht="23" customHeight="1">
      <x:c r="A2615" s="11" t="str">
        <x:v>688382.SH</x:v>
      </x:c>
      <x:c r="B2615" s="11" t="str">
        <x:v>半年</x:v>
      </x:c>
      <x:c r="C2615" s="11" t="str">
        <x:v>g12c_later_cn</x:v>
      </x:c>
      <x:c r="D2615" s="11" t="str">
        <x:v>2041-12-31</x:v>
      </x:c>
      <x:c r="E2615" s="11" t="str">
        <x:v>CNY</x:v>
      </x:c>
      <x:c r="F2615" s="11" t="n">
        <x:v>14.729637234770705</x:v>
      </x:c>
      <x:c r="G2615" s="26" t="b">
        <x:v>1</x:v>
      </x:c>
      <x:c r="H2615" s="16" t="n">
        <x:v>0</x:v>
      </x:c>
      <x:c r="I2615" s="16" t="n">
        <x:v>0</x:v>
      </x:c>
      <x:c r="J2615" s="16" t="n">
        <x:v>0</x:v>
      </x:c>
      <x:c r="K2615" s="11" t="n">
        <x:f>CHOOSE('假设'!$B$3,H2615,I2615,J2615)</x:f>
        <x:v>0</x:v>
      </x:c>
      <x:c r="L2615" s="11" t="n">
        <x:f>K2615*'管线假设'!E571*'管线假设'!F571*'管线假设'!G571*IF(E2615="USD",'管线假设'!I571,1)-AM2615</x:f>
        <x:v>0</x:v>
      </x:c>
      <x:c r="M2615" s="11" t="n">
        <x:f>'管线假设'!H571</x:f>
        <x:v>0.135</x:v>
      </x:c>
      <x:c r="N2615" s="11" t="n">
        <x:f>IF(G2615,L2615*AN2615/(1+M2615)^F2615,0)</x:f>
        <x:v>0</x:v>
      </x:c>
      <x:c r="AJ2615" t="n">
        <x:v>0</x:v>
      </x:c>
      <x:c r="AK2615" t="n">
        <x:v>0</x:v>
      </x:c>
      <x:c r="AL2615" t="n">
        <x:v>0</x:v>
      </x:c>
      <x:c r="AM2615" t="n">
        <x:f>CHOOSE('假设'!$B$3,AJ2615,AK2615,AL2615)</x:f>
        <x:v>0</x:v>
      </x:c>
      <x:c r="AN2615" t="n">
        <x:v>1</x:v>
      </x:c>
    </x:row>
    <x:row r="2616" ht="23" customHeight="1">
      <x:c r="A2616" s="11" t="str">
        <x:v>688382.SH</x:v>
      </x:c>
      <x:c r="B2616" s="11" t="str">
        <x:v>半年</x:v>
      </x:c>
      <x:c r="C2616" s="11" t="str">
        <x:v>g12c_later_cn</x:v>
      </x:c>
      <x:c r="D2616" s="11" t="str">
        <x:v>2042-12-31</x:v>
      </x:c>
      <x:c r="E2616" s="11" t="str">
        <x:v>CNY</x:v>
      </x:c>
      <x:c r="F2616" s="11" t="n">
        <x:v>15.728952772073923</x:v>
      </x:c>
      <x:c r="G2616" s="26" t="b">
        <x:v>1</x:v>
      </x:c>
      <x:c r="H2616" s="16" t="n">
        <x:v>0</x:v>
      </x:c>
      <x:c r="I2616" s="16" t="n">
        <x:v>0</x:v>
      </x:c>
      <x:c r="J2616" s="16" t="n">
        <x:v>0</x:v>
      </x:c>
      <x:c r="K2616" s="11" t="n">
        <x:f>CHOOSE('假设'!$B$3,H2616,I2616,J2616)</x:f>
        <x:v>0</x:v>
      </x:c>
      <x:c r="L2616" s="11" t="n">
        <x:f>K2616*'管线假设'!E571*'管线假设'!F571*'管线假设'!G571*IF(E2616="USD",'管线假设'!I571,1)-AM2616</x:f>
        <x:v>0</x:v>
      </x:c>
      <x:c r="M2616" s="11" t="n">
        <x:f>'管线假设'!H571</x:f>
        <x:v>0.135</x:v>
      </x:c>
      <x:c r="N2616" s="11" t="n">
        <x:f>IF(G2616,L2616*AN2616/(1+M2616)^F2616,0)</x:f>
        <x:v>0</x:v>
      </x:c>
      <x:c r="AJ2616" t="n">
        <x:v>0</x:v>
      </x:c>
      <x:c r="AK2616" t="n">
        <x:v>0</x:v>
      </x:c>
      <x:c r="AL2616" t="n">
        <x:v>0</x:v>
      </x:c>
      <x:c r="AM2616" t="n">
        <x:f>CHOOSE('假设'!$B$3,AJ2616,AK2616,AL2616)</x:f>
        <x:v>0</x:v>
      </x:c>
      <x:c r="AN2616" t="n">
        <x:v>1</x:v>
      </x:c>
    </x:row>
    <x:row r="2617" ht="23" customHeight="1">
      <x:c r="A2617" s="11" t="str">
        <x:v>688382.SH</x:v>
      </x:c>
      <x:c r="B2617" s="11" t="str">
        <x:v>半年</x:v>
      </x:c>
      <x:c r="C2617" s="11" t="str">
        <x:v>g12c_later_cn</x:v>
      </x:c>
      <x:c r="D2617" s="11" t="str">
        <x:v>2043-12-31</x:v>
      </x:c>
      <x:c r="E2617" s="11" t="str">
        <x:v>CNY</x:v>
      </x:c>
      <x:c r="F2617" s="11" t="n">
        <x:v>16.72826830937714</x:v>
      </x:c>
      <x:c r="G2617" s="26" t="b">
        <x:v>1</x:v>
      </x:c>
      <x:c r="H2617" s="16" t="n">
        <x:v>0</x:v>
      </x:c>
      <x:c r="I2617" s="16" t="n">
        <x:v>0</x:v>
      </x:c>
      <x:c r="J2617" s="16" t="n">
        <x:v>0</x:v>
      </x:c>
      <x:c r="K2617" s="11" t="n">
        <x:f>CHOOSE('假设'!$B$3,H2617,I2617,J2617)</x:f>
        <x:v>0</x:v>
      </x:c>
      <x:c r="L2617" s="11" t="n">
        <x:f>K2617*'管线假设'!E571*'管线假设'!F571*'管线假设'!G571*IF(E2617="USD",'管线假设'!I571,1)-AM2617</x:f>
        <x:v>0</x:v>
      </x:c>
      <x:c r="M2617" s="11" t="n">
        <x:f>'管线假设'!H571</x:f>
        <x:v>0.135</x:v>
      </x:c>
      <x:c r="N2617" s="11" t="n">
        <x:f>IF(G2617,L2617*AN2617/(1+M2617)^F2617,0)</x:f>
        <x:v>0</x:v>
      </x:c>
      <x:c r="AJ2617" t="n">
        <x:v>0</x:v>
      </x:c>
      <x:c r="AK2617" t="n">
        <x:v>0</x:v>
      </x:c>
      <x:c r="AL2617" t="n">
        <x:v>0</x:v>
      </x:c>
      <x:c r="AM2617" t="n">
        <x:f>CHOOSE('假设'!$B$3,AJ2617,AK2617,AL2617)</x:f>
        <x:v>0</x:v>
      </x:c>
      <x:c r="AN2617" t="n">
        <x:v>1</x:v>
      </x:c>
    </x:row>
    <x:row r="2618" ht="23" customHeight="1">
      <x:c r="A2618" s="11" t="str">
        <x:v>688382.SH</x:v>
      </x:c>
      <x:c r="B2618" s="11" t="str">
        <x:v>半年</x:v>
      </x:c>
      <x:c r="C2618" s="11" t="str">
        <x:v>g12c_later_cn</x:v>
      </x:c>
      <x:c r="D2618" s="11" t="str">
        <x:v>2044-12-31</x:v>
      </x:c>
      <x:c r="E2618" s="11" t="str">
        <x:v>CNY</x:v>
      </x:c>
      <x:c r="F2618" s="11" t="n">
        <x:v>17.730321697467488</x:v>
      </x:c>
      <x:c r="G2618" s="26" t="b">
        <x:v>1</x:v>
      </x:c>
      <x:c r="H2618" s="16" t="n">
        <x:v>0</x:v>
      </x:c>
      <x:c r="I2618" s="16" t="n">
        <x:v>0</x:v>
      </x:c>
      <x:c r="J2618" s="16" t="n">
        <x:v>0</x:v>
      </x:c>
      <x:c r="K2618" s="11" t="n">
        <x:f>CHOOSE('假设'!$B$3,H2618,I2618,J2618)</x:f>
        <x:v>0</x:v>
      </x:c>
      <x:c r="L2618" s="11" t="n">
        <x:f>K2618*'管线假设'!E571*'管线假设'!F571*'管线假设'!G571*IF(E2618="USD",'管线假设'!I571,1)-AM2618</x:f>
        <x:v>0</x:v>
      </x:c>
      <x:c r="M2618" s="11" t="n">
        <x:f>'管线假设'!H571</x:f>
        <x:v>0.135</x:v>
      </x:c>
      <x:c r="N2618" s="11" t="n">
        <x:f>IF(G2618,L2618*AN2618/(1+M2618)^F2618,0)</x:f>
        <x:v>0</x:v>
      </x:c>
      <x:c r="AJ2618" t="n">
        <x:v>0</x:v>
      </x:c>
      <x:c r="AK2618" t="n">
        <x:v>0</x:v>
      </x:c>
      <x:c r="AL2618" t="n">
        <x:v>0</x:v>
      </x:c>
      <x:c r="AM2618" t="n">
        <x:f>CHOOSE('假设'!$B$3,AJ2618,AK2618,AL2618)</x:f>
        <x:v>0</x:v>
      </x:c>
      <x:c r="AN2618" t="n">
        <x:v>1</x:v>
      </x:c>
    </x:row>
    <x:row r="2619" ht="23" customHeight="1">
      <x:c r="A2619" s="11" t="str">
        <x:v>688382.SH</x:v>
      </x:c>
      <x:c r="B2619" s="11" t="str">
        <x:v>半年</x:v>
      </x:c>
      <x:c r="C2619" s="11" t="str">
        <x:v>g12c_later_cn</x:v>
      </x:c>
      <x:c r="D2619" s="11" t="str">
        <x:v>2045-12-31</x:v>
      </x:c>
      <x:c r="E2619" s="11" t="str">
        <x:v>CNY</x:v>
      </x:c>
      <x:c r="F2619" s="11" t="n">
        <x:v>18.729637234770706</x:v>
      </x:c>
      <x:c r="G2619" s="26" t="b">
        <x:v>1</x:v>
      </x:c>
      <x:c r="H2619" s="16" t="n">
        <x:v>0</x:v>
      </x:c>
      <x:c r="I2619" s="16" t="n">
        <x:v>0</x:v>
      </x:c>
      <x:c r="J2619" s="16" t="n">
        <x:v>0</x:v>
      </x:c>
      <x:c r="K2619" s="11" t="n">
        <x:f>CHOOSE('假设'!$B$3,H2619,I2619,J2619)</x:f>
        <x:v>0</x:v>
      </x:c>
      <x:c r="L2619" s="11" t="n">
        <x:f>K2619*'管线假设'!E571*'管线假设'!F571*'管线假设'!G571*IF(E2619="USD",'管线假设'!I571,1)-AM2619</x:f>
        <x:v>0</x:v>
      </x:c>
      <x:c r="M2619" s="11" t="n">
        <x:f>'管线假设'!H571</x:f>
        <x:v>0.135</x:v>
      </x:c>
      <x:c r="N2619" s="11" t="n">
        <x:f>IF(G2619,L2619*AN2619/(1+M2619)^F2619,0)</x:f>
        <x:v>0</x:v>
      </x:c>
      <x:c r="AJ2619" t="n">
        <x:v>0</x:v>
      </x:c>
      <x:c r="AK2619" t="n">
        <x:v>0</x:v>
      </x:c>
      <x:c r="AL2619" t="n">
        <x:v>0</x:v>
      </x:c>
      <x:c r="AM2619" t="n">
        <x:f>CHOOSE('假设'!$B$3,AJ2619,AK2619,AL2619)</x:f>
        <x:v>0</x:v>
      </x:c>
      <x:c r="AN2619" t="n">
        <x:v>1</x:v>
      </x:c>
    </x:row>
    <x:row r="2620" ht="23" customHeight="1">
      <x:c r="A2620" s="11" t="str">
        <x:v>688382.SH</x:v>
      </x:c>
      <x:c r="B2620" s="11" t="str">
        <x:v>半年</x:v>
      </x:c>
      <x:c r="C2620" s="11" t="str">
        <x:v>g12c_first_cn</x:v>
      </x:c>
      <x:c r="D2620" s="11" t="str">
        <x:v>2027-12-31</x:v>
      </x:c>
      <x:c r="E2620" s="11" t="str">
        <x:v>CNY</x:v>
      </x:c>
      <x:c r="F2620" s="11" t="n">
        <x:v>0.7282683093771389</x:v>
      </x:c>
      <x:c r="G2620" s="26" t="b">
        <x:v>1</x:v>
      </x:c>
      <x:c r="H2620" s="16" t="n">
        <x:v>0</x:v>
      </x:c>
      <x:c r="I2620" s="16" t="n">
        <x:v>0</x:v>
      </x:c>
      <x:c r="J2620" s="16" t="n">
        <x:v>0</x:v>
      </x:c>
      <x:c r="K2620" s="11" t="n">
        <x:f>CHOOSE('假设'!$B$3,H2620,I2620,J2620)</x:f>
        <x:v>0</x:v>
      </x:c>
      <x:c r="L2620" s="11" t="n">
        <x:f>K2620*'管线假设'!E575*'管线假设'!F575*'管线假设'!G575*IF(E2620="USD",'管线假设'!I575,1)-AM2620</x:f>
        <x:v>0</x:v>
      </x:c>
      <x:c r="M2620" s="11" t="n">
        <x:f>'管线假设'!H575</x:f>
        <x:v>0.135</x:v>
      </x:c>
      <x:c r="N2620" s="11" t="n">
        <x:f>IF(G2620,L2620*AN2620/(1+M2620)^F2620,0)</x:f>
        <x:v>0</x:v>
      </x:c>
      <x:c r="AJ2620" t="n">
        <x:v>0</x:v>
      </x:c>
      <x:c r="AK2620" t="n">
        <x:v>0</x:v>
      </x:c>
      <x:c r="AL2620" t="n">
        <x:v>0</x:v>
      </x:c>
      <x:c r="AM2620" t="n">
        <x:f>CHOOSE('假设'!$B$3,AJ2620,AK2620,AL2620)</x:f>
        <x:v>0</x:v>
      </x:c>
      <x:c r="AN2620" t="n">
        <x:v>1</x:v>
      </x:c>
    </x:row>
    <x:row r="2621" ht="23" customHeight="1">
      <x:c r="A2621" s="11" t="str">
        <x:v>688382.SH</x:v>
      </x:c>
      <x:c r="B2621" s="11" t="str">
        <x:v>半年</x:v>
      </x:c>
      <x:c r="C2621" s="11" t="str">
        <x:v>g12c_first_cn</x:v>
      </x:c>
      <x:c r="D2621" s="11" t="str">
        <x:v>2028-12-31</x:v>
      </x:c>
      <x:c r="E2621" s="11" t="str">
        <x:v>CNY</x:v>
      </x:c>
      <x:c r="F2621" s="11" t="n">
        <x:v>1.730321697467488</x:v>
      </x:c>
      <x:c r="G2621" s="26" t="b">
        <x:v>1</x:v>
      </x:c>
      <x:c r="H2621" s="16" t="n">
        <x:v>0</x:v>
      </x:c>
      <x:c r="I2621" s="16" t="n">
        <x:v>0</x:v>
      </x:c>
      <x:c r="J2621" s="16" t="n">
        <x:v>0.52</x:v>
      </x:c>
      <x:c r="K2621" s="11" t="n">
        <x:f>CHOOSE('假设'!$B$3,H2621,I2621,J2621)</x:f>
        <x:v>0</x:v>
      </x:c>
      <x:c r="L2621" s="11" t="n">
        <x:f>K2621*'管线假设'!E575*'管线假设'!F575*'管线假设'!G575*IF(E2621="USD",'管线假设'!I575,1)-AM2621</x:f>
        <x:v>0</x:v>
      </x:c>
      <x:c r="M2621" s="11" t="n">
        <x:f>'管线假设'!H575</x:f>
        <x:v>0.135</x:v>
      </x:c>
      <x:c r="N2621" s="11" t="n">
        <x:f>IF(G2621,L2621*AN2621/(1+M2621)^F2621,0)</x:f>
        <x:v>0</x:v>
      </x:c>
      <x:c r="AJ2621" t="n">
        <x:v>0</x:v>
      </x:c>
      <x:c r="AK2621" t="n">
        <x:v>0</x:v>
      </x:c>
      <x:c r="AL2621" t="n">
        <x:v>0</x:v>
      </x:c>
      <x:c r="AM2621" t="n">
        <x:f>CHOOSE('假设'!$B$3,AJ2621,AK2621,AL2621)</x:f>
        <x:v>0</x:v>
      </x:c>
      <x:c r="AN2621" t="n">
        <x:v>1</x:v>
      </x:c>
    </x:row>
    <x:row r="2622" ht="23" customHeight="1">
      <x:c r="A2622" s="11" t="str">
        <x:v>688382.SH</x:v>
      </x:c>
      <x:c r="B2622" s="11" t="str">
        <x:v>半年</x:v>
      </x:c>
      <x:c r="C2622" s="11" t="str">
        <x:v>g12c_first_cn</x:v>
      </x:c>
      <x:c r="D2622" s="11" t="str">
        <x:v>2029-12-31</x:v>
      </x:c>
      <x:c r="E2622" s="11" t="str">
        <x:v>CNY</x:v>
      </x:c>
      <x:c r="F2622" s="11" t="n">
        <x:v>2.729637234770705</x:v>
      </x:c>
      <x:c r="G2622" s="26" t="b">
        <x:v>1</x:v>
      </x:c>
      <x:c r="H2622" s="16" t="n">
        <x:v>0</x:v>
      </x:c>
      <x:c r="I2622" s="16" t="n">
        <x:v>0.26666666666666666</x:v>
      </x:c>
      <x:c r="J2622" s="16" t="n">
        <x:v>1.04</x:v>
      </x:c>
      <x:c r="K2622" s="11" t="n">
        <x:f>CHOOSE('假设'!$B$3,H2622,I2622,J2622)</x:f>
        <x:v>0.26666666666666666</x:v>
      </x:c>
      <x:c r="L2622" s="11" t="n">
        <x:f>K2622*'管线假设'!E575*'管线假设'!F575*'管线假设'!G575*IF(E2622="USD",'管线假设'!I575,1)-AM2622</x:f>
        <x:v>0.010723413333333334</x:v>
      </x:c>
      <x:c r="M2622" s="11" t="n">
        <x:f>'管线假设'!H575</x:f>
        <x:v>0.135</x:v>
      </x:c>
      <x:c r="N2622" s="11" t="n">
        <x:f>IF(G2622,L2622*AN2622/(1+M2622)^F2622,0)</x:f>
        <x:v>0.007589519738126236</x:v>
      </x:c>
      <x:c r="AJ2622" t="n">
        <x:v>0</x:v>
      </x:c>
      <x:c r="AK2622" t="n">
        <x:v>0</x:v>
      </x:c>
      <x:c r="AL2622" t="n">
        <x:v>0</x:v>
      </x:c>
      <x:c r="AM2622" t="n">
        <x:f>CHOOSE('假设'!$B$3,AJ2622,AK2622,AL2622)</x:f>
        <x:v>0</x:v>
      </x:c>
      <x:c r="AN2622" t="n">
        <x:v>1</x:v>
      </x:c>
    </x:row>
    <x:row r="2623" ht="23" customHeight="1">
      <x:c r="A2623" s="11" t="str">
        <x:v>688382.SH</x:v>
      </x:c>
      <x:c r="B2623" s="11" t="str">
        <x:v>半年</x:v>
      </x:c>
      <x:c r="C2623" s="11" t="str">
        <x:v>g12c_first_cn</x:v>
      </x:c>
      <x:c r="D2623" s="11" t="str">
        <x:v>2030-12-31</x:v>
      </x:c>
      <x:c r="E2623" s="11" t="str">
        <x:v>CNY</x:v>
      </x:c>
      <x:c r="F2623" s="11" t="n">
        <x:v>3.728952772073922</x:v>
      </x:c>
      <x:c r="G2623" s="26" t="b">
        <x:v>1</x:v>
      </x:c>
      <x:c r="H2623" s="16" t="n">
        <x:v>0</x:v>
      </x:c>
      <x:c r="I2623" s="16" t="n">
        <x:v>0.5333333333333333</x:v>
      </x:c>
      <x:c r="J2623" s="16" t="n">
        <x:v>1.56</x:v>
      </x:c>
      <x:c r="K2623" s="11" t="n">
        <x:f>CHOOSE('假设'!$B$3,H2623,I2623,J2623)</x:f>
        <x:v>0.5333333333333333</x:v>
      </x:c>
      <x:c r="L2623" s="11" t="n">
        <x:f>K2623*'管线假设'!E575*'管线假设'!F575*'管线假设'!G575*IF(E2623="USD",'管线假设'!I575,1)-AM2623</x:f>
        <x:v>0.02144682666666667</x:v>
      </x:c>
      <x:c r="M2623" s="11" t="n">
        <x:f>'管线假设'!H575</x:f>
        <x:v>0.135</x:v>
      </x:c>
      <x:c r="N2623" s="11" t="n">
        <x:f>IF(G2623,L2623*AN2623/(1+M2623)^F2623,0)</x:f>
        <x:v>0.013374762274416339</x:v>
      </x:c>
      <x:c r="AJ2623" t="n">
        <x:v>0</x:v>
      </x:c>
      <x:c r="AK2623" t="n">
        <x:v>0</x:v>
      </x:c>
      <x:c r="AL2623" t="n">
        <x:v>0</x:v>
      </x:c>
      <x:c r="AM2623" t="n">
        <x:f>CHOOSE('假设'!$B$3,AJ2623,AK2623,AL2623)</x:f>
        <x:v>0</x:v>
      </x:c>
      <x:c r="AN2623" t="n">
        <x:v>1</x:v>
      </x:c>
    </x:row>
    <x:row r="2624" ht="23" customHeight="1">
      <x:c r="A2624" s="11" t="str">
        <x:v>688382.SH</x:v>
      </x:c>
      <x:c r="B2624" s="11" t="str">
        <x:v>半年</x:v>
      </x:c>
      <x:c r="C2624" s="11" t="str">
        <x:v>g12c_first_cn</x:v>
      </x:c>
      <x:c r="D2624" s="11" t="str">
        <x:v>2031-12-31</x:v>
      </x:c>
      <x:c r="E2624" s="11" t="str">
        <x:v>CNY</x:v>
      </x:c>
      <x:c r="F2624" s="11" t="n">
        <x:v>4.728268309377139</x:v>
      </x:c>
      <x:c r="G2624" s="26" t="b">
        <x:v>1</x:v>
      </x:c>
      <x:c r="H2624" s="16" t="n">
        <x:v>0</x:v>
      </x:c>
      <x:c r="I2624" s="16" t="n">
        <x:v>0.8</x:v>
      </x:c>
      <x:c r="J2624" s="16" t="n">
        <x:v>2.08</x:v>
      </x:c>
      <x:c r="K2624" s="11" t="n">
        <x:f>CHOOSE('假设'!$B$3,H2624,I2624,J2624)</x:f>
        <x:v>0.8</x:v>
      </x:c>
      <x:c r="L2624" s="11" t="n">
        <x:f>K2624*'管线假设'!E575*'管线假设'!F575*'管线假设'!G575*IF(E2624="USD",'管线假设'!I575,1)-AM2624</x:f>
        <x:v>0.03217024000000001</x:v>
      </x:c>
      <x:c r="M2624" s="11" t="n">
        <x:f>'管线假设'!H575</x:f>
        <x:v>0.135</x:v>
      </x:c>
      <x:c r="N2624" s="11" t="n">
        <x:f>IF(G2624,L2624*AN2624/(1+M2624)^F2624,0)</x:f>
        <x:v>0.017677429409517057</x:v>
      </x:c>
      <x:c r="AJ2624" t="n">
        <x:v>0</x:v>
      </x:c>
      <x:c r="AK2624" t="n">
        <x:v>0</x:v>
      </x:c>
      <x:c r="AL2624" t="n">
        <x:v>0</x:v>
      </x:c>
      <x:c r="AM2624" t="n">
        <x:f>CHOOSE('假设'!$B$3,AJ2624,AK2624,AL2624)</x:f>
        <x:v>0</x:v>
      </x:c>
      <x:c r="AN2624" t="n">
        <x:v>1</x:v>
      </x:c>
    </x:row>
    <x:row r="2625" ht="23" customHeight="1">
      <x:c r="A2625" s="11" t="str">
        <x:v>688382.SH</x:v>
      </x:c>
      <x:c r="B2625" s="11" t="str">
        <x:v>半年</x:v>
      </x:c>
      <x:c r="C2625" s="11" t="str">
        <x:v>g12c_first_cn</x:v>
      </x:c>
      <x:c r="D2625" s="11" t="str">
        <x:v>2032-12-31</x:v>
      </x:c>
      <x:c r="E2625" s="11" t="str">
        <x:v>CNY</x:v>
      </x:c>
      <x:c r="F2625" s="11" t="n">
        <x:v>5.730321697467488</x:v>
      </x:c>
      <x:c r="G2625" s="26" t="b">
        <x:v>1</x:v>
      </x:c>
      <x:c r="H2625" s="16" t="n">
        <x:v>0.13999999999999999</x:v>
      </x:c>
      <x:c r="I2625" s="16" t="n">
        <x:v>1.0666666666666667</x:v>
      </x:c>
      <x:c r="J2625" s="16" t="n">
        <x:v>2.6</x:v>
      </x:c>
      <x:c r="K2625" s="11" t="n">
        <x:f>CHOOSE('假设'!$B$3,H2625,I2625,J2625)</x:f>
        <x:v>1.0666666666666667</x:v>
      </x:c>
      <x:c r="L2625" s="11" t="n">
        <x:f>K2625*'管线假设'!E575*'管线假设'!F575*'管线假设'!G575*IF(E2625="USD",'管线假设'!I575,1)-AM2625</x:f>
        <x:v>0.04289365333333334</x:v>
      </x:c>
      <x:c r="M2625" s="11" t="n">
        <x:f>'管线假设'!H575</x:f>
        <x:v>0.135</x:v>
      </x:c>
      <x:c r="N2625" s="11" t="n">
        <x:f>IF(G2625,L2625*AN2625/(1+M2625)^F2625,0)</x:f>
        <x:v>0.02076103778704709</x:v>
      </x:c>
      <x:c r="AJ2625" t="n">
        <x:v>0</x:v>
      </x:c>
      <x:c r="AK2625" t="n">
        <x:v>0</x:v>
      </x:c>
      <x:c r="AL2625" t="n">
        <x:v>0</x:v>
      </x:c>
      <x:c r="AM2625" t="n">
        <x:f>CHOOSE('假设'!$B$3,AJ2625,AK2625,AL2625)</x:f>
        <x:v>0</x:v>
      </x:c>
      <x:c r="AN2625" t="n">
        <x:v>1</x:v>
      </x:c>
    </x:row>
    <x:row r="2626" ht="23" customHeight="1">
      <x:c r="A2626" s="11" t="str">
        <x:v>688382.SH</x:v>
      </x:c>
      <x:c r="B2626" s="11" t="str">
        <x:v>半年</x:v>
      </x:c>
      <x:c r="C2626" s="11" t="str">
        <x:v>g12c_first_cn</x:v>
      </x:c>
      <x:c r="D2626" s="11" t="str">
        <x:v>2033-12-31</x:v>
      </x:c>
      <x:c r="E2626" s="11" t="str">
        <x:v>CNY</x:v>
      </x:c>
      <x:c r="F2626" s="11" t="n">
        <x:v>6.729637234770705</x:v>
      </x:c>
      <x:c r="G2626" s="26" t="b">
        <x:v>1</x:v>
      </x:c>
      <x:c r="H2626" s="16" t="n">
        <x:v>0.27999999999999997</x:v>
      </x:c>
      <x:c r="I2626" s="16" t="n">
        <x:v>1.3333333333333335</x:v>
      </x:c>
      <x:c r="J2626" s="16" t="n">
        <x:v>2.262</x:v>
      </x:c>
      <x:c r="K2626" s="11" t="n">
        <x:f>CHOOSE('假设'!$B$3,H2626,I2626,J2626)</x:f>
        <x:v>1.3333333333333335</x:v>
      </x:c>
      <x:c r="L2626" s="11" t="n">
        <x:f>K2626*'管线假设'!E575*'管线假设'!F575*'管线假设'!G575*IF(E2626="USD",'管线假设'!I575,1)-AM2626</x:f>
        <x:v>0.05361706666666668</x:v>
      </x:c>
      <x:c r="M2626" s="11" t="n">
        <x:f>'管线假设'!H575</x:f>
        <x:v>0.135</x:v>
      </x:c>
      <x:c r="N2626" s="11" t="n">
        <x:f>IF(G2626,L2626*AN2626/(1+M2626)^F2626,0)</x:f>
        <x:v>0.022866560941351807</x:v>
      </x:c>
      <x:c r="AJ2626" t="n">
        <x:v>0</x:v>
      </x:c>
      <x:c r="AK2626" t="n">
        <x:v>0</x:v>
      </x:c>
      <x:c r="AL2626" t="n">
        <x:v>0</x:v>
      </x:c>
      <x:c r="AM2626" t="n">
        <x:f>CHOOSE('假设'!$B$3,AJ2626,AK2626,AL2626)</x:f>
        <x:v>0</x:v>
      </x:c>
      <x:c r="AN2626" t="n">
        <x:v>1</x:v>
      </x:c>
    </x:row>
    <x:row r="2627" ht="23" customHeight="1">
      <x:c r="A2627" s="11" t="str">
        <x:v>688382.SH</x:v>
      </x:c>
      <x:c r="B2627" s="11" t="str">
        <x:v>半年</x:v>
      </x:c>
      <x:c r="C2627" s="11" t="str">
        <x:v>g12c_first_cn</x:v>
      </x:c>
      <x:c r="D2627" s="11" t="str">
        <x:v>2034-12-31</x:v>
      </x:c>
      <x:c r="E2627" s="11" t="str">
        <x:v>CNY</x:v>
      </x:c>
      <x:c r="F2627" s="11" t="n">
        <x:v>7.728952772073922</x:v>
      </x:c>
      <x:c r="G2627" s="26" t="b">
        <x:v>1</x:v>
      </x:c>
      <x:c r="H2627" s="16" t="n">
        <x:v>0.42</x:v>
      </x:c>
      <x:c r="I2627" s="16" t="n">
        <x:v>1.6</x:v>
      </x:c>
      <x:c r="J2627" s="16" t="n">
        <x:v>1.924</x:v>
      </x:c>
      <x:c r="K2627" s="11" t="n">
        <x:f>CHOOSE('假设'!$B$3,H2627,I2627,J2627)</x:f>
        <x:v>1.6</x:v>
      </x:c>
      <x:c r="L2627" s="11" t="n">
        <x:f>K2627*'管线假设'!E575*'管线假设'!F575*'管线假设'!G575*IF(E2627="USD",'管线假设'!I575,1)-AM2627</x:f>
        <x:v>0.06434048000000002</x:v>
      </x:c>
      <x:c r="M2627" s="11" t="n">
        <x:f>'管线假设'!H575</x:f>
        <x:v>0.135</x:v>
      </x:c>
      <x:c r="N2627" s="11" t="n">
        <x:f>IF(G2627,L2627*AN2627/(1+M2627)^F2627,0)</x:f>
        <x:v>0.024178195235806166</x:v>
      </x:c>
      <x:c r="AJ2627" t="n">
        <x:v>0</x:v>
      </x:c>
      <x:c r="AK2627" t="n">
        <x:v>0</x:v>
      </x:c>
      <x:c r="AL2627" t="n">
        <x:v>0</x:v>
      </x:c>
      <x:c r="AM2627" t="n">
        <x:f>CHOOSE('假设'!$B$3,AJ2627,AK2627,AL2627)</x:f>
        <x:v>0</x:v>
      </x:c>
      <x:c r="AN2627" t="n">
        <x:v>1</x:v>
      </x:c>
    </x:row>
    <x:row r="2628" ht="23" customHeight="1">
      <x:c r="A2628" s="11" t="str">
        <x:v>688382.SH</x:v>
      </x:c>
      <x:c r="B2628" s="11" t="str">
        <x:v>半年</x:v>
      </x:c>
      <x:c r="C2628" s="11" t="str">
        <x:v>g12c_first_cn</x:v>
      </x:c>
      <x:c r="D2628" s="11" t="str">
        <x:v>2035-12-31</x:v>
      </x:c>
      <x:c r="E2628" s="11" t="str">
        <x:v>CNY</x:v>
      </x:c>
      <x:c r="F2628" s="11" t="n">
        <x:v>8.728268309377139</x:v>
      </x:c>
      <x:c r="G2628" s="26" t="b">
        <x:v>1</x:v>
      </x:c>
      <x:c r="H2628" s="16" t="n">
        <x:v>0.5599999999999999</x:v>
      </x:c>
      <x:c r="I2628" s="16" t="n">
        <x:v>1.3920000000000001</x:v>
      </x:c>
      <x:c r="J2628" s="16" t="n">
        <x:v>1.586</x:v>
      </x:c>
      <x:c r="K2628" s="11" t="n">
        <x:f>CHOOSE('假设'!$B$3,H2628,I2628,J2628)</x:f>
        <x:v>1.3920000000000001</x:v>
      </x:c>
      <x:c r="L2628" s="11" t="n">
        <x:f>K2628*'管线假设'!E575*'管线假设'!F575*'管线假设'!G575*IF(E2628="USD",'管线假设'!I575,1)-AM2628</x:f>
        <x:v>0.05597621760000002</x:v>
      </x:c>
      <x:c r="M2628" s="11" t="n">
        <x:f>'管线假设'!H575</x:f>
        <x:v>0.135</x:v>
      </x:c>
      <x:c r="N2628" s="11" t="n">
        <x:f>IF(G2628,L2628*AN2628/(1+M2628)^F2628,0)</x:f>
        <x:v>0.018534672380821755</x:v>
      </x:c>
      <x:c r="AJ2628" t="n">
        <x:v>0</x:v>
      </x:c>
      <x:c r="AK2628" t="n">
        <x:v>0</x:v>
      </x:c>
      <x:c r="AL2628" t="n">
        <x:v>0</x:v>
      </x:c>
      <x:c r="AM2628" t="n">
        <x:f>CHOOSE('假设'!$B$3,AJ2628,AK2628,AL2628)</x:f>
        <x:v>0</x:v>
      </x:c>
      <x:c r="AN2628" t="n">
        <x:v>1</x:v>
      </x:c>
    </x:row>
    <x:row r="2629" ht="23" customHeight="1">
      <x:c r="A2629" s="11" t="str">
        <x:v>688382.SH</x:v>
      </x:c>
      <x:c r="B2629" s="11" t="str">
        <x:v>半年</x:v>
      </x:c>
      <x:c r="C2629" s="11" t="str">
        <x:v>g12c_first_cn</x:v>
      </x:c>
      <x:c r="D2629" s="11" t="str">
        <x:v>2036-12-31</x:v>
      </x:c>
      <x:c r="E2629" s="11" t="str">
        <x:v>CNY</x:v>
      </x:c>
      <x:c r="F2629" s="11" t="n">
        <x:v>9.730321697467488</x:v>
      </x:c>
      <x:c r="G2629" s="26" t="b">
        <x:v>1</x:v>
      </x:c>
      <x:c r="H2629" s="16" t="n">
        <x:v>0.7</x:v>
      </x:c>
      <x:c r="I2629" s="16" t="n">
        <x:v>1.184</x:v>
      </x:c>
      <x:c r="J2629" s="16" t="n">
        <x:v>1.248</x:v>
      </x:c>
      <x:c r="K2629" s="11" t="n">
        <x:f>CHOOSE('假设'!$B$3,H2629,I2629,J2629)</x:f>
        <x:v>1.184</x:v>
      </x:c>
      <x:c r="L2629" s="11" t="n">
        <x:f>K2629*'管线假设'!E575*'管线假设'!F575*'管线假设'!G575*IF(E2629="USD",'管线假设'!I575,1)-AM2629</x:f>
        <x:v>0.0476119552</x:v>
      </x:c>
      <x:c r="M2629" s="11" t="n">
        <x:f>'管线假设'!H575</x:f>
        <x:v>0.135</x:v>
      </x:c>
      <x:c r="N2629" s="11" t="n">
        <x:f>IF(G2629,L2629*AN2629/(1+M2629)^F2629,0)</x:f>
        <x:v>0.013886365485025351</x:v>
      </x:c>
      <x:c r="AJ2629" t="n">
        <x:v>0</x:v>
      </x:c>
      <x:c r="AK2629" t="n">
        <x:v>0</x:v>
      </x:c>
      <x:c r="AL2629" t="n">
        <x:v>0</x:v>
      </x:c>
      <x:c r="AM2629" t="n">
        <x:f>CHOOSE('假设'!$B$3,AJ2629,AK2629,AL2629)</x:f>
        <x:v>0</x:v>
      </x:c>
      <x:c r="AN2629" t="n">
        <x:v>1</x:v>
      </x:c>
    </x:row>
    <x:row r="2630" ht="23" customHeight="1">
      <x:c r="A2630" s="11" t="str">
        <x:v>688382.SH</x:v>
      </x:c>
      <x:c r="B2630" s="11" t="str">
        <x:v>半年</x:v>
      </x:c>
      <x:c r="C2630" s="11" t="str">
        <x:v>g12c_first_cn</x:v>
      </x:c>
      <x:c r="D2630" s="11" t="str">
        <x:v>2037-12-31</x:v>
      </x:c>
      <x:c r="E2630" s="11" t="str">
        <x:v>CNY</x:v>
      </x:c>
      <x:c r="F2630" s="11" t="n">
        <x:v>10.729637234770705</x:v>
      </x:c>
      <x:c r="G2630" s="26" t="b">
        <x:v>1</x:v>
      </x:c>
      <x:c r="H2630" s="16" t="n">
        <x:v>0.609</x:v>
      </x:c>
      <x:c r="I2630" s="16" t="n">
        <x:v>0.976</x:v>
      </x:c>
      <x:c r="J2630" s="16" t="n">
        <x:v>0.9099999999999999</x:v>
      </x:c>
      <x:c r="K2630" s="11" t="n">
        <x:f>CHOOSE('假设'!$B$3,H2630,I2630,J2630)</x:f>
        <x:v>0.976</x:v>
      </x:c>
      <x:c r="L2630" s="11" t="n">
        <x:f>K2630*'管线假设'!E575*'管线假设'!F575*'管线假设'!G575*IF(E2630="USD",'管线假设'!I575,1)-AM2630</x:f>
        <x:v>0.039247692800000004</x:v>
      </x:c>
      <x:c r="M2630" s="11" t="n">
        <x:f>'管线假设'!H575</x:f>
        <x:v>0.135</x:v>
      </x:c>
      <x:c r="N2630" s="11" t="n">
        <x:f>IF(G2630,L2630*AN2630/(1+M2630)^F2630,0)</x:f>
        <x:v>0.01008622118929467</x:v>
      </x:c>
      <x:c r="AJ2630" t="n">
        <x:v>0</x:v>
      </x:c>
      <x:c r="AK2630" t="n">
        <x:v>0</x:v>
      </x:c>
      <x:c r="AL2630" t="n">
        <x:v>0</x:v>
      </x:c>
      <x:c r="AM2630" t="n">
        <x:f>CHOOSE('假设'!$B$3,AJ2630,AK2630,AL2630)</x:f>
        <x:v>0</x:v>
      </x:c>
      <x:c r="AN2630" t="n">
        <x:v>1</x:v>
      </x:c>
    </x:row>
    <x:row r="2631" ht="23" customHeight="1">
      <x:c r="A2631" s="11" t="str">
        <x:v>688382.SH</x:v>
      </x:c>
      <x:c r="B2631" s="11" t="str">
        <x:v>半年</x:v>
      </x:c>
      <x:c r="C2631" s="11" t="str">
        <x:v>g12c_first_cn</x:v>
      </x:c>
      <x:c r="D2631" s="11" t="str">
        <x:v>2038-12-31</x:v>
      </x:c>
      <x:c r="E2631" s="11" t="str">
        <x:v>CNY</x:v>
      </x:c>
      <x:c r="F2631" s="11" t="n">
        <x:v>11.728952772073923</x:v>
      </x:c>
      <x:c r="G2631" s="26" t="b">
        <x:v>1</x:v>
      </x:c>
      <x:c r="H2631" s="16" t="n">
        <x:v>0.518</x:v>
      </x:c>
      <x:c r="I2631" s="16" t="n">
        <x:v>0.768</x:v>
      </x:c>
      <x:c r="J2631" s="16" t="n">
        <x:v>0.572</x:v>
      </x:c>
      <x:c r="K2631" s="11" t="n">
        <x:f>CHOOSE('假设'!$B$3,H2631,I2631,J2631)</x:f>
        <x:v>0.768</x:v>
      </x:c>
      <x:c r="L2631" s="11" t="n">
        <x:f>K2631*'管线假设'!E575*'管线假设'!F575*'管线假设'!G575*IF(E2631="USD",'管线假设'!I575,1)-AM2631</x:f>
        <x:v>0.030883430400000002</x:v>
      </x:c>
      <x:c r="M2631" s="11" t="n">
        <x:f>'管线假设'!H575</x:f>
        <x:v>0.135</x:v>
      </x:c>
      <x:c r="N2631" s="11" t="n">
        <x:f>IF(G2631,L2631*AN2631/(1+M2631)^F2631,0)</x:f>
        <x:v>0.006993292146704957</x:v>
      </x:c>
      <x:c r="AJ2631" t="n">
        <x:v>0</x:v>
      </x:c>
      <x:c r="AK2631" t="n">
        <x:v>0</x:v>
      </x:c>
      <x:c r="AL2631" t="n">
        <x:v>0</x:v>
      </x:c>
      <x:c r="AM2631" t="n">
        <x:f>CHOOSE('假设'!$B$3,AJ2631,AK2631,AL2631)</x:f>
        <x:v>0</x:v>
      </x:c>
      <x:c r="AN2631" t="n">
        <x:v>1</x:v>
      </x:c>
    </x:row>
    <x:row r="2632" ht="23" customHeight="1">
      <x:c r="A2632" s="11" t="str">
        <x:v>688382.SH</x:v>
      </x:c>
      <x:c r="B2632" s="11" t="str">
        <x:v>半年</x:v>
      </x:c>
      <x:c r="C2632" s="11" t="str">
        <x:v>g12c_first_cn</x:v>
      </x:c>
      <x:c r="D2632" s="11" t="str">
        <x:v>2039-12-31</x:v>
      </x:c>
      <x:c r="E2632" s="11" t="str">
        <x:v>CNY</x:v>
      </x:c>
      <x:c r="F2632" s="11" t="n">
        <x:v>12.728268309377139</x:v>
      </x:c>
      <x:c r="G2632" s="26" t="b">
        <x:v>1</x:v>
      </x:c>
      <x:c r="H2632" s="16" t="n">
        <x:v>0.427</x:v>
      </x:c>
      <x:c r="I2632" s="16" t="n">
        <x:v>0.5599999999999999</x:v>
      </x:c>
      <x:c r="J2632" s="16" t="n">
        <x:v>0.23399999999999993</x:v>
      </x:c>
      <x:c r="K2632" s="11" t="n">
        <x:f>CHOOSE('假设'!$B$3,H2632,I2632,J2632)</x:f>
        <x:v>0.5599999999999999</x:v>
      </x:c>
      <x:c r="L2632" s="11" t="n">
        <x:f>K2632*'管线假设'!E575*'管线假设'!F575*'管线假设'!G575*IF(E2632="USD",'管线假设'!I575,1)-AM2632</x:f>
        <x:v>0.022519168</x:v>
      </x:c>
      <x:c r="M2632" s="11" t="n">
        <x:f>'管线假设'!H575</x:f>
        <x:v>0.135</x:v>
      </x:c>
      <x:c r="N2632" s="11" t="n">
        <x:f>IF(G2632,L2632*AN2632/(1+M2632)^F2632,0)</x:f>
        <x:v>0.00449314319309354</x:v>
      </x:c>
      <x:c r="AJ2632" t="n">
        <x:v>0</x:v>
      </x:c>
      <x:c r="AK2632" t="n">
        <x:v>0</x:v>
      </x:c>
      <x:c r="AL2632" t="n">
        <x:v>0</x:v>
      </x:c>
      <x:c r="AM2632" t="n">
        <x:f>CHOOSE('假设'!$B$3,AJ2632,AK2632,AL2632)</x:f>
        <x:v>0</x:v>
      </x:c>
      <x:c r="AN2632" t="n">
        <x:v>1</x:v>
      </x:c>
    </x:row>
    <x:row r="2633" ht="23" customHeight="1">
      <x:c r="A2633" s="11" t="str">
        <x:v>688382.SH</x:v>
      </x:c>
      <x:c r="B2633" s="11" t="str">
        <x:v>半年</x:v>
      </x:c>
      <x:c r="C2633" s="11" t="str">
        <x:v>g12c_first_cn</x:v>
      </x:c>
      <x:c r="D2633" s="11" t="str">
        <x:v>2040-12-31</x:v>
      </x:c>
      <x:c r="E2633" s="11" t="str">
        <x:v>CNY</x:v>
      </x:c>
      <x:c r="F2633" s="11" t="n">
        <x:v>13.730321697467488</x:v>
      </x:c>
      <x:c r="G2633" s="26" t="b">
        <x:v>1</x:v>
      </x:c>
      <x:c r="H2633" s="16" t="n">
        <x:v>0.33599999999999997</x:v>
      </x:c>
      <x:c r="I2633" s="16" t="n">
        <x:v>0.352</x:v>
      </x:c>
      <x:c r="J2633" s="16" t="n">
        <x:v>0</x:v>
      </x:c>
      <x:c r="K2633" s="11" t="n">
        <x:f>CHOOSE('假设'!$B$3,H2633,I2633,J2633)</x:f>
        <x:v>0.352</x:v>
      </x:c>
      <x:c r="L2633" s="11" t="n">
        <x:f>K2633*'管线假设'!E575*'管线假设'!F575*'管线假设'!G575*IF(E2633="USD",'管线假设'!I575,1)-AM2633</x:f>
        <x:v>0.0141549056</x:v>
      </x:c>
      <x:c r="M2633" s="11" t="n">
        <x:f>'管线假设'!H575</x:f>
        <x:v>0.135</x:v>
      </x:c>
      <x:c r="N2633" s="11" t="n">
        <x:f>IF(G2633,L2633*AN2633/(1+M2633)^F2633,0)</x:f>
        <x:v>0.0024876891187574843</x:v>
      </x:c>
      <x:c r="AJ2633" t="n">
        <x:v>0</x:v>
      </x:c>
      <x:c r="AK2633" t="n">
        <x:v>0</x:v>
      </x:c>
      <x:c r="AL2633" t="n">
        <x:v>0</x:v>
      </x:c>
      <x:c r="AM2633" t="n">
        <x:f>CHOOSE('假设'!$B$3,AJ2633,AK2633,AL2633)</x:f>
        <x:v>0</x:v>
      </x:c>
      <x:c r="AN2633" t="n">
        <x:v>1</x:v>
      </x:c>
    </x:row>
    <x:row r="2634" ht="23" customHeight="1">
      <x:c r="A2634" s="11" t="str">
        <x:v>688382.SH</x:v>
      </x:c>
      <x:c r="B2634" s="11" t="str">
        <x:v>半年</x:v>
      </x:c>
      <x:c r="C2634" s="11" t="str">
        <x:v>g12c_first_cn</x:v>
      </x:c>
      <x:c r="D2634" s="11" t="str">
        <x:v>2041-12-31</x:v>
      </x:c>
      <x:c r="E2634" s="11" t="str">
        <x:v>CNY</x:v>
      </x:c>
      <x:c r="F2634" s="11" t="n">
        <x:v>14.729637234770705</x:v>
      </x:c>
      <x:c r="G2634" s="26" t="b">
        <x:v>1</x:v>
      </x:c>
      <x:c r="H2634" s="16" t="n">
        <x:v>0.24499999999999997</x:v>
      </x:c>
      <x:c r="I2634" s="16" t="n">
        <x:v>0.14399999999999996</x:v>
      </x:c>
      <x:c r="J2634" s="16" t="n">
        <x:v>0</x:v>
      </x:c>
      <x:c r="K2634" s="11" t="n">
        <x:f>CHOOSE('假设'!$B$3,H2634,I2634,J2634)</x:f>
        <x:v>0.14399999999999996</x:v>
      </x:c>
      <x:c r="L2634" s="11" t="n">
        <x:f>K2634*'管线假设'!E575*'管线假设'!F575*'管线假设'!G575*IF(E2634="USD",'管线假设'!I575,1)-AM2634</x:f>
        <x:v>0.005790643199999999</x:v>
      </x:c>
      <x:c r="M2634" s="11" t="n">
        <x:f>'管线假设'!H575</x:f>
        <x:v>0.135</x:v>
      </x:c>
      <x:c r="N2634" s="11" t="n">
        <x:f>IF(G2634,L2634*AN2634/(1+M2634)^F2634,0)</x:f>
        <x:v>0.0008967217759032147</x:v>
      </x:c>
      <x:c r="AJ2634" t="n">
        <x:v>0</x:v>
      </x:c>
      <x:c r="AK2634" t="n">
        <x:v>0</x:v>
      </x:c>
      <x:c r="AL2634" t="n">
        <x:v>0</x:v>
      </x:c>
      <x:c r="AM2634" t="n">
        <x:f>CHOOSE('假设'!$B$3,AJ2634,AK2634,AL2634)</x:f>
        <x:v>0</x:v>
      </x:c>
      <x:c r="AN2634" t="n">
        <x:v>1</x:v>
      </x:c>
    </x:row>
    <x:row r="2635" ht="23" customHeight="1">
      <x:c r="A2635" s="11" t="str">
        <x:v>688382.SH</x:v>
      </x:c>
      <x:c r="B2635" s="11" t="str">
        <x:v>半年</x:v>
      </x:c>
      <x:c r="C2635" s="11" t="str">
        <x:v>g12c_first_cn</x:v>
      </x:c>
      <x:c r="D2635" s="11" t="str">
        <x:v>2042-12-31</x:v>
      </x:c>
      <x:c r="E2635" s="11" t="str">
        <x:v>CNY</x:v>
      </x:c>
      <x:c r="F2635" s="11" t="n">
        <x:v>15.728952772073923</x:v>
      </x:c>
      <x:c r="G2635" s="26" t="b">
        <x:v>1</x:v>
      </x:c>
      <x:c r="H2635" s="16" t="n">
        <x:v>0.15399999999999997</x:v>
      </x:c>
      <x:c r="I2635" s="16" t="n">
        <x:v>0</x:v>
      </x:c>
      <x:c r="J2635" s="16" t="n">
        <x:v>0</x:v>
      </x:c>
      <x:c r="K2635" s="11" t="n">
        <x:f>CHOOSE('假设'!$B$3,H2635,I2635,J2635)</x:f>
        <x:v>0</x:v>
      </x:c>
      <x:c r="L2635" s="11" t="n">
        <x:f>K2635*'管线假设'!E575*'管线假设'!F575*'管线假设'!G575*IF(E2635="USD",'管线假设'!I575,1)-AM2635</x:f>
        <x:v>0</x:v>
      </x:c>
      <x:c r="M2635" s="11" t="n">
        <x:f>'管线假设'!H575</x:f>
        <x:v>0.135</x:v>
      </x:c>
      <x:c r="N2635" s="11" t="n">
        <x:f>IF(G2635,L2635*AN2635/(1+M2635)^F2635,0)</x:f>
        <x:v>0</x:v>
      </x:c>
      <x:c r="AJ2635" t="n">
        <x:v>0</x:v>
      </x:c>
      <x:c r="AK2635" t="n">
        <x:v>0</x:v>
      </x:c>
      <x:c r="AL2635" t="n">
        <x:v>0</x:v>
      </x:c>
      <x:c r="AM2635" t="n">
        <x:f>CHOOSE('假设'!$B$3,AJ2635,AK2635,AL2635)</x:f>
        <x:v>0</x:v>
      </x:c>
      <x:c r="AN2635" t="n">
        <x:v>1</x:v>
      </x:c>
    </x:row>
    <x:row r="2636" ht="23" customHeight="1">
      <x:c r="A2636" s="11" t="str">
        <x:v>688382.SH</x:v>
      </x:c>
      <x:c r="B2636" s="11" t="str">
        <x:v>半年</x:v>
      </x:c>
      <x:c r="C2636" s="11" t="str">
        <x:v>g12c_first_cn</x:v>
      </x:c>
      <x:c r="D2636" s="11" t="str">
        <x:v>2043-12-31</x:v>
      </x:c>
      <x:c r="E2636" s="11" t="str">
        <x:v>CNY</x:v>
      </x:c>
      <x:c r="F2636" s="11" t="n">
        <x:v>16.72826830937714</x:v>
      </x:c>
      <x:c r="G2636" s="26" t="b">
        <x:v>1</x:v>
      </x:c>
      <x:c r="H2636" s="16" t="n">
        <x:v>0.06299999999999997</x:v>
      </x:c>
      <x:c r="I2636" s="16" t="n">
        <x:v>0</x:v>
      </x:c>
      <x:c r="J2636" s="16" t="n">
        <x:v>0</x:v>
      </x:c>
      <x:c r="K2636" s="11" t="n">
        <x:f>CHOOSE('假设'!$B$3,H2636,I2636,J2636)</x:f>
        <x:v>0</x:v>
      </x:c>
      <x:c r="L2636" s="11" t="n">
        <x:f>K2636*'管线假设'!E575*'管线假设'!F575*'管线假设'!G575*IF(E2636="USD",'管线假设'!I575,1)-AM2636</x:f>
        <x:v>0</x:v>
      </x:c>
      <x:c r="M2636" s="11" t="n">
        <x:f>'管线假设'!H575</x:f>
        <x:v>0.135</x:v>
      </x:c>
      <x:c r="N2636" s="11" t="n">
        <x:f>IF(G2636,L2636*AN2636/(1+M2636)^F2636,0)</x:f>
        <x:v>0</x:v>
      </x:c>
      <x:c r="AJ2636" t="n">
        <x:v>0</x:v>
      </x:c>
      <x:c r="AK2636" t="n">
        <x:v>0</x:v>
      </x:c>
      <x:c r="AL2636" t="n">
        <x:v>0</x:v>
      </x:c>
      <x:c r="AM2636" t="n">
        <x:f>CHOOSE('假设'!$B$3,AJ2636,AK2636,AL2636)</x:f>
        <x:v>0</x:v>
      </x:c>
      <x:c r="AN2636" t="n">
        <x:v>1</x:v>
      </x:c>
    </x:row>
    <x:row r="2637" ht="23" customHeight="1">
      <x:c r="A2637" s="11" t="str">
        <x:v>688382.SH</x:v>
      </x:c>
      <x:c r="B2637" s="11" t="str">
        <x:v>半年</x:v>
      </x:c>
      <x:c r="C2637" s="11" t="str">
        <x:v>g12c_first_cn</x:v>
      </x:c>
      <x:c r="D2637" s="11" t="str">
        <x:v>2044-12-31</x:v>
      </x:c>
      <x:c r="E2637" s="11" t="str">
        <x:v>CNY</x:v>
      </x:c>
      <x:c r="F2637" s="11" t="n">
        <x:v>17.730321697467488</x:v>
      </x:c>
      <x:c r="G2637" s="26" t="b">
        <x:v>1</x:v>
      </x:c>
      <x:c r="H2637" s="16" t="n">
        <x:v>0</x:v>
      </x:c>
      <x:c r="I2637" s="16" t="n">
        <x:v>0</x:v>
      </x:c>
      <x:c r="J2637" s="16" t="n">
        <x:v>0</x:v>
      </x:c>
      <x:c r="K2637" s="11" t="n">
        <x:f>CHOOSE('假设'!$B$3,H2637,I2637,J2637)</x:f>
        <x:v>0</x:v>
      </x:c>
      <x:c r="L2637" s="11" t="n">
        <x:f>K2637*'管线假设'!E575*'管线假设'!F575*'管线假设'!G575*IF(E2637="USD",'管线假设'!I575,1)-AM2637</x:f>
        <x:v>0</x:v>
      </x:c>
      <x:c r="M2637" s="11" t="n">
        <x:f>'管线假设'!H575</x:f>
        <x:v>0.135</x:v>
      </x:c>
      <x:c r="N2637" s="11" t="n">
        <x:f>IF(G2637,L2637*AN2637/(1+M2637)^F2637,0)</x:f>
        <x:v>0</x:v>
      </x:c>
      <x:c r="AJ2637" t="n">
        <x:v>0</x:v>
      </x:c>
      <x:c r="AK2637" t="n">
        <x:v>0</x:v>
      </x:c>
      <x:c r="AL2637" t="n">
        <x:v>0</x:v>
      </x:c>
      <x:c r="AM2637" t="n">
        <x:f>CHOOSE('假设'!$B$3,AJ2637,AK2637,AL2637)</x:f>
        <x:v>0</x:v>
      </x:c>
      <x:c r="AN2637" t="n">
        <x:v>1</x:v>
      </x:c>
    </x:row>
    <x:row r="2638" ht="23" customHeight="1">
      <x:c r="A2638" s="11" t="str">
        <x:v>688382.SH</x:v>
      </x:c>
      <x:c r="B2638" s="11" t="str">
        <x:v>半年</x:v>
      </x:c>
      <x:c r="C2638" s="11" t="str">
        <x:v>g12c_first_cn</x:v>
      </x:c>
      <x:c r="D2638" s="11" t="str">
        <x:v>2045-12-31</x:v>
      </x:c>
      <x:c r="E2638" s="11" t="str">
        <x:v>CNY</x:v>
      </x:c>
      <x:c r="F2638" s="11" t="n">
        <x:v>18.729637234770706</x:v>
      </x:c>
      <x:c r="G2638" s="26" t="b">
        <x:v>1</x:v>
      </x:c>
      <x:c r="H2638" s="16" t="n">
        <x:v>0</x:v>
      </x:c>
      <x:c r="I2638" s="16" t="n">
        <x:v>0</x:v>
      </x:c>
      <x:c r="J2638" s="16" t="n">
        <x:v>0</x:v>
      </x:c>
      <x:c r="K2638" s="11" t="n">
        <x:f>CHOOSE('假设'!$B$3,H2638,I2638,J2638)</x:f>
        <x:v>0</x:v>
      </x:c>
      <x:c r="L2638" s="11" t="n">
        <x:f>K2638*'管线假设'!E575*'管线假设'!F575*'管线假设'!G575*IF(E2638="USD",'管线假设'!I575,1)-AM2638</x:f>
        <x:v>0</x:v>
      </x:c>
      <x:c r="M2638" s="11" t="n">
        <x:f>'管线假设'!H575</x:f>
        <x:v>0.135</x:v>
      </x:c>
      <x:c r="N2638" s="11" t="n">
        <x:f>IF(G2638,L2638*AN2638/(1+M2638)^F2638,0)</x:f>
        <x:v>0</x:v>
      </x:c>
      <x:c r="AJ2638" t="n">
        <x:v>0</x:v>
      </x:c>
      <x:c r="AK2638" t="n">
        <x:v>0</x:v>
      </x:c>
      <x:c r="AL2638" t="n">
        <x:v>0</x:v>
      </x:c>
      <x:c r="AM2638" t="n">
        <x:f>CHOOSE('假设'!$B$3,AJ2638,AK2638,AL2638)</x:f>
        <x:v>0</x:v>
      </x:c>
      <x:c r="AN2638" t="n">
        <x:v>1</x:v>
      </x:c>
    </x:row>
    <x:row r="2639" ht="23" customHeight="1">
      <x:c r="A2639" s="11" t="str">
        <x:v>688382.SH</x:v>
      </x:c>
      <x:c r="B2639" s="11" t="str">
        <x:v>半年</x:v>
      </x:c>
      <x:c r="C2639" s="11" t="str">
        <x:v>g12c_crc_cn</x:v>
      </x:c>
      <x:c r="D2639" s="11" t="str">
        <x:v>2027-12-31</x:v>
      </x:c>
      <x:c r="E2639" s="11" t="str">
        <x:v>CNY</x:v>
      </x:c>
      <x:c r="F2639" s="11" t="n">
        <x:v>0.7282683093771389</x:v>
      </x:c>
      <x:c r="G2639" s="26" t="b">
        <x:v>1</x:v>
      </x:c>
      <x:c r="H2639" s="16" t="n">
        <x:v>0</x:v>
      </x:c>
      <x:c r="I2639" s="16" t="n">
        <x:v>0</x:v>
      </x:c>
      <x:c r="J2639" s="16" t="n">
        <x:v>0</x:v>
      </x:c>
      <x:c r="K2639" s="11" t="n">
        <x:f>CHOOSE('假设'!$B$3,H2639,I2639,J2639)</x:f>
        <x:v>0</x:v>
      </x:c>
      <x:c r="L2639" s="11" t="n">
        <x:f>K2639*'管线假设'!E579*'管线假设'!F579*'管线假设'!G579*IF(E2639="USD",'管线假设'!I579,1)-AM2639</x:f>
        <x:v>0</x:v>
      </x:c>
      <x:c r="M2639" s="11" t="n">
        <x:f>'管线假设'!H579</x:f>
        <x:v>0.135</x:v>
      </x:c>
      <x:c r="N2639" s="11" t="n">
        <x:f>IF(G2639,L2639*AN2639/(1+M2639)^F2639,0)</x:f>
        <x:v>0</x:v>
      </x:c>
      <x:c r="AJ2639" t="n">
        <x:v>0</x:v>
      </x:c>
      <x:c r="AK2639" t="n">
        <x:v>0</x:v>
      </x:c>
      <x:c r="AL2639" t="n">
        <x:v>0</x:v>
      </x:c>
      <x:c r="AM2639" t="n">
        <x:f>CHOOSE('假设'!$B$3,AJ2639,AK2639,AL2639)</x:f>
        <x:v>0</x:v>
      </x:c>
      <x:c r="AN2639" t="n">
        <x:v>1</x:v>
      </x:c>
    </x:row>
    <x:row r="2640" ht="23" customHeight="1">
      <x:c r="A2640" s="11" t="str">
        <x:v>688382.SH</x:v>
      </x:c>
      <x:c r="B2640" s="11" t="str">
        <x:v>半年</x:v>
      </x:c>
      <x:c r="C2640" s="11" t="str">
        <x:v>g12c_crc_cn</x:v>
      </x:c>
      <x:c r="D2640" s="11" t="str">
        <x:v>2028-12-31</x:v>
      </x:c>
      <x:c r="E2640" s="11" t="str">
        <x:v>CNY</x:v>
      </x:c>
      <x:c r="F2640" s="11" t="n">
        <x:v>1.730321697467488</x:v>
      </x:c>
      <x:c r="G2640" s="26" t="b">
        <x:v>1</x:v>
      </x:c>
      <x:c r="H2640" s="16" t="n">
        <x:v>0</x:v>
      </x:c>
      <x:c r="I2640" s="16" t="n">
        <x:v>0</x:v>
      </x:c>
      <x:c r="J2640" s="16" t="n">
        <x:v>0</x:v>
      </x:c>
      <x:c r="K2640" s="11" t="n">
        <x:f>CHOOSE('假设'!$B$3,H2640,I2640,J2640)</x:f>
        <x:v>0</x:v>
      </x:c>
      <x:c r="L2640" s="11" t="n">
        <x:f>K2640*'管线假设'!E579*'管线假设'!F579*'管线假设'!G579*IF(E2640="USD",'管线假设'!I579,1)-AM2640</x:f>
        <x:v>0</x:v>
      </x:c>
      <x:c r="M2640" s="11" t="n">
        <x:f>'管线假设'!H579</x:f>
        <x:v>0.135</x:v>
      </x:c>
      <x:c r="N2640" s="11" t="n">
        <x:f>IF(G2640,L2640*AN2640/(1+M2640)^F2640,0)</x:f>
        <x:v>0</x:v>
      </x:c>
      <x:c r="AJ2640" t="n">
        <x:v>0</x:v>
      </x:c>
      <x:c r="AK2640" t="n">
        <x:v>0</x:v>
      </x:c>
      <x:c r="AL2640" t="n">
        <x:v>0</x:v>
      </x:c>
      <x:c r="AM2640" t="n">
        <x:f>CHOOSE('假设'!$B$3,AJ2640,AK2640,AL2640)</x:f>
        <x:v>0</x:v>
      </x:c>
      <x:c r="AN2640" t="n">
        <x:v>1</x:v>
      </x:c>
    </x:row>
    <x:row r="2641" ht="23" customHeight="1">
      <x:c r="A2641" s="11" t="str">
        <x:v>688382.SH</x:v>
      </x:c>
      <x:c r="B2641" s="11" t="str">
        <x:v>半年</x:v>
      </x:c>
      <x:c r="C2641" s="11" t="str">
        <x:v>g12c_crc_cn</x:v>
      </x:c>
      <x:c r="D2641" s="11" t="str">
        <x:v>2029-12-31</x:v>
      </x:c>
      <x:c r="E2641" s="11" t="str">
        <x:v>CNY</x:v>
      </x:c>
      <x:c r="F2641" s="11" t="n">
        <x:v>2.729637234770705</x:v>
      </x:c>
      <x:c r="G2641" s="26" t="b">
        <x:v>1</x:v>
      </x:c>
      <x:c r="H2641" s="16" t="n">
        <x:v>0</x:v>
      </x:c>
      <x:c r="I2641" s="16" t="n">
        <x:v>0</x:v>
      </x:c>
      <x:c r="J2641" s="16" t="n">
        <x:v>0.19999999999999998</x:v>
      </x:c>
      <x:c r="K2641" s="11" t="n">
        <x:f>CHOOSE('假设'!$B$3,H2641,I2641,J2641)</x:f>
        <x:v>0</x:v>
      </x:c>
      <x:c r="L2641" s="11" t="n">
        <x:f>K2641*'管线假设'!E579*'管线假设'!F579*'管线假设'!G579*IF(E2641="USD",'管线假设'!I579,1)-AM2641</x:f>
        <x:v>0</x:v>
      </x:c>
      <x:c r="M2641" s="11" t="n">
        <x:f>'管线假设'!H579</x:f>
        <x:v>0.135</x:v>
      </x:c>
      <x:c r="N2641" s="11" t="n">
        <x:f>IF(G2641,L2641*AN2641/(1+M2641)^F2641,0)</x:f>
        <x:v>0</x:v>
      </x:c>
      <x:c r="AJ2641" t="n">
        <x:v>0</x:v>
      </x:c>
      <x:c r="AK2641" t="n">
        <x:v>0</x:v>
      </x:c>
      <x:c r="AL2641" t="n">
        <x:v>0</x:v>
      </x:c>
      <x:c r="AM2641" t="n">
        <x:f>CHOOSE('假设'!$B$3,AJ2641,AK2641,AL2641)</x:f>
        <x:v>0</x:v>
      </x:c>
      <x:c r="AN2641" t="n">
        <x:v>1</x:v>
      </x:c>
    </x:row>
    <x:row r="2642" ht="23" customHeight="1">
      <x:c r="A2642" s="11" t="str">
        <x:v>688382.SH</x:v>
      </x:c>
      <x:c r="B2642" s="11" t="str">
        <x:v>半年</x:v>
      </x:c>
      <x:c r="C2642" s="11" t="str">
        <x:v>g12c_crc_cn</x:v>
      </x:c>
      <x:c r="D2642" s="11" t="str">
        <x:v>2030-12-31</x:v>
      </x:c>
      <x:c r="E2642" s="11" t="str">
        <x:v>CNY</x:v>
      </x:c>
      <x:c r="F2642" s="11" t="n">
        <x:v>3.728952772073922</x:v>
      </x:c>
      <x:c r="G2642" s="26" t="b">
        <x:v>1</x:v>
      </x:c>
      <x:c r="H2642" s="16" t="n">
        <x:v>0</x:v>
      </x:c>
      <x:c r="I2642" s="16" t="n">
        <x:v>0</x:v>
      </x:c>
      <x:c r="J2642" s="16" t="n">
        <x:v>0.39999999999999997</x:v>
      </x:c>
      <x:c r="K2642" s="11" t="n">
        <x:f>CHOOSE('假设'!$B$3,H2642,I2642,J2642)</x:f>
        <x:v>0</x:v>
      </x:c>
      <x:c r="L2642" s="11" t="n">
        <x:f>K2642*'管线假设'!E579*'管线假设'!F579*'管线假设'!G579*IF(E2642="USD",'管线假设'!I579,1)-AM2642</x:f>
        <x:v>0</x:v>
      </x:c>
      <x:c r="M2642" s="11" t="n">
        <x:f>'管线假设'!H579</x:f>
        <x:v>0.135</x:v>
      </x:c>
      <x:c r="N2642" s="11" t="n">
        <x:f>IF(G2642,L2642*AN2642/(1+M2642)^F2642,0)</x:f>
        <x:v>0</x:v>
      </x:c>
      <x:c r="AJ2642" t="n">
        <x:v>0</x:v>
      </x:c>
      <x:c r="AK2642" t="n">
        <x:v>0</x:v>
      </x:c>
      <x:c r="AL2642" t="n">
        <x:v>0</x:v>
      </x:c>
      <x:c r="AM2642" t="n">
        <x:f>CHOOSE('假设'!$B$3,AJ2642,AK2642,AL2642)</x:f>
        <x:v>0</x:v>
      </x:c>
      <x:c r="AN2642" t="n">
        <x:v>1</x:v>
      </x:c>
    </x:row>
    <x:row r="2643" ht="23" customHeight="1">
      <x:c r="A2643" s="11" t="str">
        <x:v>688382.SH</x:v>
      </x:c>
      <x:c r="B2643" s="11" t="str">
        <x:v>半年</x:v>
      </x:c>
      <x:c r="C2643" s="11" t="str">
        <x:v>g12c_crc_cn</x:v>
      </x:c>
      <x:c r="D2643" s="11" t="str">
        <x:v>2031-12-31</x:v>
      </x:c>
      <x:c r="E2643" s="11" t="str">
        <x:v>CNY</x:v>
      </x:c>
      <x:c r="F2643" s="11" t="n">
        <x:v>4.728268309377139</x:v>
      </x:c>
      <x:c r="G2643" s="26" t="b">
        <x:v>1</x:v>
      </x:c>
      <x:c r="H2643" s="16" t="n">
        <x:v>0</x:v>
      </x:c>
      <x:c r="I2643" s="16" t="n">
        <x:v>0.11666666666666665</x:v>
      </x:c>
      <x:c r="J2643" s="16" t="n">
        <x:v>0.6</x:v>
      </x:c>
      <x:c r="K2643" s="11" t="n">
        <x:f>CHOOSE('假设'!$B$3,H2643,I2643,J2643)</x:f>
        <x:v>0.11666666666666665</x:v>
      </x:c>
      <x:c r="L2643" s="11" t="n">
        <x:f>K2643*'管线假设'!E579*'管线假设'!F579*'管线假设'!G579*IF(E2643="USD",'管线假设'!I579,1)-AM2643</x:f>
        <x:v>0.0027226733333333346</x:v>
      </x:c>
      <x:c r="M2643" s="11" t="n">
        <x:f>'管线假设'!H579</x:f>
        <x:v>0.135</x:v>
      </x:c>
      <x:c r="N2643" s="11" t="n">
        <x:f>IF(G2643,L2643*AN2643/(1+M2643)^F2643,0)</x:f>
        <x:v>0.001496099054752918</x:v>
      </x:c>
      <x:c r="AJ2643" t="n">
        <x:v>0</x:v>
      </x:c>
      <x:c r="AK2643" t="n">
        <x:v>0</x:v>
      </x:c>
      <x:c r="AL2643" t="n">
        <x:v>0</x:v>
      </x:c>
      <x:c r="AM2643" t="n">
        <x:f>CHOOSE('假设'!$B$3,AJ2643,AK2643,AL2643)</x:f>
        <x:v>0</x:v>
      </x:c>
      <x:c r="AN2643" t="n">
        <x:v>1</x:v>
      </x:c>
    </x:row>
    <x:row r="2644" ht="23" customHeight="1">
      <x:c r="A2644" s="11" t="str">
        <x:v>688382.SH</x:v>
      </x:c>
      <x:c r="B2644" s="11" t="str">
        <x:v>半年</x:v>
      </x:c>
      <x:c r="C2644" s="11" t="str">
        <x:v>g12c_crc_cn</x:v>
      </x:c>
      <x:c r="D2644" s="11" t="str">
        <x:v>2032-12-31</x:v>
      </x:c>
      <x:c r="E2644" s="11" t="str">
        <x:v>CNY</x:v>
      </x:c>
      <x:c r="F2644" s="11" t="n">
        <x:v>5.730321697467488</x:v>
      </x:c>
      <x:c r="G2644" s="26" t="b">
        <x:v>1</x:v>
      </x:c>
      <x:c r="H2644" s="16" t="n">
        <x:v>0</x:v>
      </x:c>
      <x:c r="I2644" s="16" t="n">
        <x:v>0.2333333333333333</x:v>
      </x:c>
      <x:c r="J2644" s="16" t="n">
        <x:v>0.7999999999999999</x:v>
      </x:c>
      <x:c r="K2644" s="11" t="n">
        <x:f>CHOOSE('假设'!$B$3,H2644,I2644,J2644)</x:f>
        <x:v>0.2333333333333333</x:v>
      </x:c>
      <x:c r="L2644" s="11" t="n">
        <x:f>K2644*'管线假设'!E579*'管线假设'!F579*'管线假设'!G579*IF(E2644="USD",'管线假设'!I579,1)-AM2644</x:f>
        <x:v>0.005445346666666669</x:v>
      </x:c>
      <x:c r="M2644" s="11" t="n">
        <x:f>'管线假设'!H579</x:f>
        <x:v>0.135</x:v>
      </x:c>
      <x:c r="N2644" s="11" t="n">
        <x:f>IF(G2644,L2644*AN2644/(1+M2644)^F2644,0)</x:f>
        <x:v>0.0026356124770184563</x:v>
      </x:c>
      <x:c r="AJ2644" t="n">
        <x:v>0</x:v>
      </x:c>
      <x:c r="AK2644" t="n">
        <x:v>0</x:v>
      </x:c>
      <x:c r="AL2644" t="n">
        <x:v>0</x:v>
      </x:c>
      <x:c r="AM2644" t="n">
        <x:f>CHOOSE('假设'!$B$3,AJ2644,AK2644,AL2644)</x:f>
        <x:v>0</x:v>
      </x:c>
      <x:c r="AN2644" t="n">
        <x:v>1</x:v>
      </x:c>
    </x:row>
    <x:row r="2645" ht="23" customHeight="1">
      <x:c r="A2645" s="11" t="str">
        <x:v>688382.SH</x:v>
      </x:c>
      <x:c r="B2645" s="11" t="str">
        <x:v>半年</x:v>
      </x:c>
      <x:c r="C2645" s="11" t="str">
        <x:v>g12c_crc_cn</x:v>
      </x:c>
      <x:c r="D2645" s="11" t="str">
        <x:v>2033-12-31</x:v>
      </x:c>
      <x:c r="E2645" s="11" t="str">
        <x:v>CNY</x:v>
      </x:c>
      <x:c r="F2645" s="11" t="n">
        <x:v>6.729637234770705</x:v>
      </x:c>
      <x:c r="G2645" s="26" t="b">
        <x:v>1</x:v>
      </x:c>
      <x:c r="H2645" s="16" t="n">
        <x:v>0</x:v>
      </x:c>
      <x:c r="I2645" s="16" t="n">
        <x:v>0.35</x:v>
      </x:c>
      <x:c r="J2645" s="16" t="n">
        <x:v>1</x:v>
      </x:c>
      <x:c r="K2645" s="11" t="n">
        <x:f>CHOOSE('假设'!$B$3,H2645,I2645,J2645)</x:f>
        <x:v>0.35</x:v>
      </x:c>
      <x:c r="L2645" s="11" t="n">
        <x:f>K2645*'管线假设'!E579*'管线假设'!F579*'管线假设'!G579*IF(E2645="USD",'管线假设'!I579,1)-AM2645</x:f>
        <x:v>0.008168020000000003</x:v>
      </x:c>
      <x:c r="M2645" s="11" t="n">
        <x:f>'管线假设'!H579</x:f>
        <x:v>0.135</x:v>
      </x:c>
      <x:c r="N2645" s="11" t="n">
        <x:f>IF(G2645,L2645*AN2645/(1+M2645)^F2645,0)</x:f>
        <x:v>0.003483490215183606</x:v>
      </x:c>
      <x:c r="AJ2645" t="n">
        <x:v>0</x:v>
      </x:c>
      <x:c r="AK2645" t="n">
        <x:v>0</x:v>
      </x:c>
      <x:c r="AL2645" t="n">
        <x:v>0</x:v>
      </x:c>
      <x:c r="AM2645" t="n">
        <x:f>CHOOSE('假设'!$B$3,AJ2645,AK2645,AL2645)</x:f>
        <x:v>0</x:v>
      </x:c>
      <x:c r="AN2645" t="n">
        <x:v>1</x:v>
      </x:c>
    </x:row>
    <x:row r="2646" ht="23" customHeight="1">
      <x:c r="A2646" s="11" t="str">
        <x:v>688382.SH</x:v>
      </x:c>
      <x:c r="B2646" s="11" t="str">
        <x:v>半年</x:v>
      </x:c>
      <x:c r="C2646" s="11" t="str">
        <x:v>g12c_crc_cn</x:v>
      </x:c>
      <x:c r="D2646" s="11" t="str">
        <x:v>2034-12-31</x:v>
      </x:c>
      <x:c r="E2646" s="11" t="str">
        <x:v>CNY</x:v>
      </x:c>
      <x:c r="F2646" s="11" t="n">
        <x:v>7.728952772073922</x:v>
      </x:c>
      <x:c r="G2646" s="26" t="b">
        <x:v>1</x:v>
      </x:c>
      <x:c r="H2646" s="16" t="n">
        <x:v>0.06</x:v>
      </x:c>
      <x:c r="I2646" s="16" t="n">
        <x:v>0.4666666666666666</x:v>
      </x:c>
      <x:c r="J2646" s="16" t="n">
        <x:v>1.2</x:v>
      </x:c>
      <x:c r="K2646" s="11" t="n">
        <x:f>CHOOSE('假设'!$B$3,H2646,I2646,J2646)</x:f>
        <x:v>0.4666666666666666</x:v>
      </x:c>
      <x:c r="L2646" s="11" t="n">
        <x:f>K2646*'管线假设'!E579*'管线假设'!F579*'管线假设'!G579*IF(E2646="USD",'管线假设'!I579,1)-AM2646</x:f>
        <x:v>0.010890693333333338</x:v>
      </x:c>
      <x:c r="M2646" s="11" t="n">
        <x:f>'管线假设'!H579</x:f>
        <x:v>0.135</x:v>
      </x:c>
      <x:c r="N2646" s="11" t="n">
        <x:f>IF(G2646,L2646*AN2646/(1+M2646)^F2646,0)</x:f>
        <x:v>0.004092560541460462</x:v>
      </x:c>
      <x:c r="AJ2646" t="n">
        <x:v>0</x:v>
      </x:c>
      <x:c r="AK2646" t="n">
        <x:v>0</x:v>
      </x:c>
      <x:c r="AL2646" t="n">
        <x:v>0</x:v>
      </x:c>
      <x:c r="AM2646" t="n">
        <x:f>CHOOSE('假设'!$B$3,AJ2646,AK2646,AL2646)</x:f>
        <x:v>0</x:v>
      </x:c>
      <x:c r="AN2646" t="n">
        <x:v>1</x:v>
      </x:c>
    </x:row>
    <x:row r="2647" ht="23" customHeight="1">
      <x:c r="A2647" s="11" t="str">
        <x:v>688382.SH</x:v>
      </x:c>
      <x:c r="B2647" s="11" t="str">
        <x:v>半年</x:v>
      </x:c>
      <x:c r="C2647" s="11" t="str">
        <x:v>g12c_crc_cn</x:v>
      </x:c>
      <x:c r="D2647" s="11" t="str">
        <x:v>2035-12-31</x:v>
      </x:c>
      <x:c r="E2647" s="11" t="str">
        <x:v>CNY</x:v>
      </x:c>
      <x:c r="F2647" s="11" t="n">
        <x:v>8.728268309377139</x:v>
      </x:c>
      <x:c r="G2647" s="26" t="b">
        <x:v>1</x:v>
      </x:c>
      <x:c r="H2647" s="16" t="n">
        <x:v>0.12</x:v>
      </x:c>
      <x:c r="I2647" s="16" t="n">
        <x:v>0.5833333333333334</x:v>
      </x:c>
      <x:c r="J2647" s="16" t="n">
        <x:v>1.044</x:v>
      </x:c>
      <x:c r="K2647" s="11" t="n">
        <x:f>CHOOSE('假设'!$B$3,H2647,I2647,J2647)</x:f>
        <x:v>0.5833333333333334</x:v>
      </x:c>
      <x:c r="L2647" s="11" t="n">
        <x:f>K2647*'管线假设'!E579*'管线假设'!F579*'管线假设'!G579*IF(E2647="USD",'管线假设'!I579,1)-AM2647</x:f>
        <x:v>0.013613366666666675</x:v>
      </x:c>
      <x:c r="M2647" s="11" t="n">
        <x:f>'管线假设'!H579</x:f>
        <x:v>0.135</x:v>
      </x:c>
      <x:c r="N2647" s="11" t="n">
        <x:f>IF(G2647,L2647*AN2647/(1+M2647)^F2647,0)</x:f>
        <x:v>0.004507615948074817</x:v>
      </x:c>
      <x:c r="AJ2647" t="n">
        <x:v>0</x:v>
      </x:c>
      <x:c r="AK2647" t="n">
        <x:v>0</x:v>
      </x:c>
      <x:c r="AL2647" t="n">
        <x:v>0</x:v>
      </x:c>
      <x:c r="AM2647" t="n">
        <x:f>CHOOSE('假设'!$B$3,AJ2647,AK2647,AL2647)</x:f>
        <x:v>0</x:v>
      </x:c>
      <x:c r="AN2647" t="n">
        <x:v>1</x:v>
      </x:c>
    </x:row>
    <x:row r="2648" ht="23" customHeight="1">
      <x:c r="A2648" s="11" t="str">
        <x:v>688382.SH</x:v>
      </x:c>
      <x:c r="B2648" s="11" t="str">
        <x:v>半年</x:v>
      </x:c>
      <x:c r="C2648" s="11" t="str">
        <x:v>g12c_crc_cn</x:v>
      </x:c>
      <x:c r="D2648" s="11" t="str">
        <x:v>2036-12-31</x:v>
      </x:c>
      <x:c r="E2648" s="11" t="str">
        <x:v>CNY</x:v>
      </x:c>
      <x:c r="F2648" s="11" t="n">
        <x:v>9.730321697467488</x:v>
      </x:c>
      <x:c r="G2648" s="26" t="b">
        <x:v>1</x:v>
      </x:c>
      <x:c r="H2648" s="16" t="n">
        <x:v>0.18</x:v>
      </x:c>
      <x:c r="I2648" s="16" t="n">
        <x:v>0.7</x:v>
      </x:c>
      <x:c r="J2648" s="16" t="n">
        <x:v>0.888</x:v>
      </x:c>
      <x:c r="K2648" s="11" t="n">
        <x:f>CHOOSE('假设'!$B$3,H2648,I2648,J2648)</x:f>
        <x:v>0.7</x:v>
      </x:c>
      <x:c r="L2648" s="11" t="n">
        <x:f>K2648*'管线假设'!E579*'管线假设'!F579*'管线假设'!G579*IF(E2648="USD",'管线假设'!I579,1)-AM2648</x:f>
        <x:v>0.016336040000000007</x:v>
      </x:c>
      <x:c r="M2648" s="11" t="n">
        <x:f>'管线假设'!H579</x:f>
        <x:v>0.135</x:v>
      </x:c>
      <x:c r="N2648" s="11" t="n">
        <x:f>IF(G2648,L2648*AN2648/(1+M2648)^F2648,0)</x:f>
        <x:v>0.004764522294139973</x:v>
      </x:c>
      <x:c r="AJ2648" t="n">
        <x:v>0</x:v>
      </x:c>
      <x:c r="AK2648" t="n">
        <x:v>0</x:v>
      </x:c>
      <x:c r="AL2648" t="n">
        <x:v>0</x:v>
      </x:c>
      <x:c r="AM2648" t="n">
        <x:f>CHOOSE('假设'!$B$3,AJ2648,AK2648,AL2648)</x:f>
        <x:v>0</x:v>
      </x:c>
      <x:c r="AN2648" t="n">
        <x:v>1</x:v>
      </x:c>
    </x:row>
    <x:row r="2649" ht="23" customHeight="1">
      <x:c r="A2649" s="11" t="str">
        <x:v>688382.SH</x:v>
      </x:c>
      <x:c r="B2649" s="11" t="str">
        <x:v>半年</x:v>
      </x:c>
      <x:c r="C2649" s="11" t="str">
        <x:v>g12c_crc_cn</x:v>
      </x:c>
      <x:c r="D2649" s="11" t="str">
        <x:v>2037-12-31</x:v>
      </x:c>
      <x:c r="E2649" s="11" t="str">
        <x:v>CNY</x:v>
      </x:c>
      <x:c r="F2649" s="11" t="n">
        <x:v>10.729637234770705</x:v>
      </x:c>
      <x:c r="G2649" s="26" t="b">
        <x:v>1</x:v>
      </x:c>
      <x:c r="H2649" s="16" t="n">
        <x:v>0.24</x:v>
      </x:c>
      <x:c r="I2649" s="16" t="n">
        <x:v>0.609</x:v>
      </x:c>
      <x:c r="J2649" s="16" t="n">
        <x:v>0.732</x:v>
      </x:c>
      <x:c r="K2649" s="11" t="n">
        <x:f>CHOOSE('假设'!$B$3,H2649,I2649,J2649)</x:f>
        <x:v>0.609</x:v>
      </x:c>
      <x:c r="L2649" s="11" t="n">
        <x:f>K2649*'管线假设'!E579*'管线假设'!F579*'管线假设'!G579*IF(E2649="USD",'管线假设'!I579,1)-AM2649</x:f>
        <x:v>0.014212354800000007</x:v>
      </x:c>
      <x:c r="M2649" s="11" t="n">
        <x:f>'管线假设'!H579</x:f>
        <x:v>0.135</x:v>
      </x:c>
      <x:c r="N2649" s="11" t="n">
        <x:f>IF(G2649,L2649*AN2649/(1+M2649)^F2649,0)</x:f>
        <x:v>0.003652417350085197</x:v>
      </x:c>
      <x:c r="AJ2649" t="n">
        <x:v>0</x:v>
      </x:c>
      <x:c r="AK2649" t="n">
        <x:v>0</x:v>
      </x:c>
      <x:c r="AL2649" t="n">
        <x:v>0</x:v>
      </x:c>
      <x:c r="AM2649" t="n">
        <x:f>CHOOSE('假设'!$B$3,AJ2649,AK2649,AL2649)</x:f>
        <x:v>0</x:v>
      </x:c>
      <x:c r="AN2649" t="n">
        <x:v>1</x:v>
      </x:c>
    </x:row>
    <x:row r="2650" ht="23" customHeight="1">
      <x:c r="A2650" s="11" t="str">
        <x:v>688382.SH</x:v>
      </x:c>
      <x:c r="B2650" s="11" t="str">
        <x:v>半年</x:v>
      </x:c>
      <x:c r="C2650" s="11" t="str">
        <x:v>g12c_crc_cn</x:v>
      </x:c>
      <x:c r="D2650" s="11" t="str">
        <x:v>2038-12-31</x:v>
      </x:c>
      <x:c r="E2650" s="11" t="str">
        <x:v>CNY</x:v>
      </x:c>
      <x:c r="F2650" s="11" t="n">
        <x:v>11.728952772073923</x:v>
      </x:c>
      <x:c r="G2650" s="26" t="b">
        <x:v>1</x:v>
      </x:c>
      <x:c r="H2650" s="16" t="n">
        <x:v>0.3</x:v>
      </x:c>
      <x:c r="I2650" s="16" t="n">
        <x:v>0.518</x:v>
      </x:c>
      <x:c r="J2650" s="16" t="n">
        <x:v>0.576</x:v>
      </x:c>
      <x:c r="K2650" s="11" t="n">
        <x:f>CHOOSE('假设'!$B$3,H2650,I2650,J2650)</x:f>
        <x:v>0.518</x:v>
      </x:c>
      <x:c r="L2650" s="11" t="n">
        <x:f>K2650*'管线假设'!E579*'管线假设'!F579*'管线假设'!G579*IF(E2650="USD",'管线假设'!I579,1)-AM2650</x:f>
        <x:v>0.012088669600000006</x:v>
      </x:c>
      <x:c r="M2650" s="11" t="n">
        <x:f>'管线假设'!H579</x:f>
        <x:v>0.135</x:v>
      </x:c>
      <x:c r="N2650" s="11" t="n">
        <x:f>IF(G2650,L2650*AN2650/(1+M2650)^F2650,0)</x:f>
        <x:v>0.0027373771981557783</x:v>
      </x:c>
      <x:c r="AJ2650" t="n">
        <x:v>0</x:v>
      </x:c>
      <x:c r="AK2650" t="n">
        <x:v>0</x:v>
      </x:c>
      <x:c r="AL2650" t="n">
        <x:v>0</x:v>
      </x:c>
      <x:c r="AM2650" t="n">
        <x:f>CHOOSE('假设'!$B$3,AJ2650,AK2650,AL2650)</x:f>
        <x:v>0</x:v>
      </x:c>
      <x:c r="AN2650" t="n">
        <x:v>1</x:v>
      </x:c>
    </x:row>
    <x:row r="2651" ht="23" customHeight="1">
      <x:c r="A2651" s="11" t="str">
        <x:v>688382.SH</x:v>
      </x:c>
      <x:c r="B2651" s="11" t="str">
        <x:v>半年</x:v>
      </x:c>
      <x:c r="C2651" s="11" t="str">
        <x:v>g12c_crc_cn</x:v>
      </x:c>
      <x:c r="D2651" s="11" t="str">
        <x:v>2039-12-31</x:v>
      </x:c>
      <x:c r="E2651" s="11" t="str">
        <x:v>CNY</x:v>
      </x:c>
      <x:c r="F2651" s="11" t="n">
        <x:v>12.728268309377139</x:v>
      </x:c>
      <x:c r="G2651" s="26" t="b">
        <x:v>1</x:v>
      </x:c>
      <x:c r="H2651" s="16" t="n">
        <x:v>0.261</x:v>
      </x:c>
      <x:c r="I2651" s="16" t="n">
        <x:v>0.427</x:v>
      </x:c>
      <x:c r="J2651" s="16" t="n">
        <x:v>0.42</x:v>
      </x:c>
      <x:c r="K2651" s="11" t="n">
        <x:f>CHOOSE('假设'!$B$3,H2651,I2651,J2651)</x:f>
        <x:v>0.427</x:v>
      </x:c>
      <x:c r="L2651" s="11" t="n">
        <x:f>K2651*'管线假设'!E579*'管线假设'!F579*'管线假设'!G579*IF(E2651="USD",'管线假设'!I579,1)-AM2651</x:f>
        <x:v>0.009964984400000005</x:v>
      </x:c>
      <x:c r="M2651" s="11" t="n">
        <x:f>'管线假设'!H579</x:f>
        <x:v>0.135</x:v>
      </x:c>
      <x:c r="N2651" s="11" t="n">
        <x:f>IF(G2651,L2651*AN2651/(1+M2651)^F2651,0)</x:f>
        <x:v>0.001988266255047404</x:v>
      </x:c>
      <x:c r="AJ2651" t="n">
        <x:v>0</x:v>
      </x:c>
      <x:c r="AK2651" t="n">
        <x:v>0</x:v>
      </x:c>
      <x:c r="AL2651" t="n">
        <x:v>0</x:v>
      </x:c>
      <x:c r="AM2651" t="n">
        <x:f>CHOOSE('假设'!$B$3,AJ2651,AK2651,AL2651)</x:f>
        <x:v>0</x:v>
      </x:c>
      <x:c r="AN2651" t="n">
        <x:v>1</x:v>
      </x:c>
    </x:row>
    <x:row r="2652" ht="23" customHeight="1">
      <x:c r="A2652" s="11" t="str">
        <x:v>688382.SH</x:v>
      </x:c>
      <x:c r="B2652" s="11" t="str">
        <x:v>半年</x:v>
      </x:c>
      <x:c r="C2652" s="11" t="str">
        <x:v>g12c_crc_cn</x:v>
      </x:c>
      <x:c r="D2652" s="11" t="str">
        <x:v>2040-12-31</x:v>
      </x:c>
      <x:c r="E2652" s="11" t="str">
        <x:v>CNY</x:v>
      </x:c>
      <x:c r="F2652" s="11" t="n">
        <x:v>13.730321697467488</x:v>
      </x:c>
      <x:c r="G2652" s="26" t="b">
        <x:v>1</x:v>
      </x:c>
      <x:c r="H2652" s="16" t="n">
        <x:v>0.222</x:v>
      </x:c>
      <x:c r="I2652" s="16" t="n">
        <x:v>0.33599999999999997</x:v>
      </x:c>
      <x:c r="J2652" s="16" t="n">
        <x:v>0.26399999999999996</x:v>
      </x:c>
      <x:c r="K2652" s="11" t="n">
        <x:f>CHOOSE('假设'!$B$3,H2652,I2652,J2652)</x:f>
        <x:v>0.33599999999999997</x:v>
      </x:c>
      <x:c r="L2652" s="11" t="n">
        <x:f>K2652*'管线假设'!E579*'管线假设'!F579*'管线假设'!G579*IF(E2652="USD",'管线假设'!I579,1)-AM2652</x:f>
        <x:v>0.007841299200000004</x:v>
      </x:c>
      <x:c r="M2652" s="11" t="n">
        <x:f>'管线假设'!H579</x:f>
        <x:v>0.135</x:v>
      </x:c>
      <x:c r="N2652" s="11" t="n">
        <x:f>IF(G2652,L2652*AN2652/(1+M2652)^F2652,0)</x:f>
        <x:v>0.001378088646296714</x:v>
      </x:c>
      <x:c r="AJ2652" t="n">
        <x:v>0</x:v>
      </x:c>
      <x:c r="AK2652" t="n">
        <x:v>0</x:v>
      </x:c>
      <x:c r="AL2652" t="n">
        <x:v>0</x:v>
      </x:c>
      <x:c r="AM2652" t="n">
        <x:f>CHOOSE('假设'!$B$3,AJ2652,AK2652,AL2652)</x:f>
        <x:v>0</x:v>
      </x:c>
      <x:c r="AN2652" t="n">
        <x:v>1</x:v>
      </x:c>
    </x:row>
    <x:row r="2653" ht="23" customHeight="1">
      <x:c r="A2653" s="11" t="str">
        <x:v>688382.SH</x:v>
      </x:c>
      <x:c r="B2653" s="11" t="str">
        <x:v>半年</x:v>
      </x:c>
      <x:c r="C2653" s="11" t="str">
        <x:v>g12c_crc_cn</x:v>
      </x:c>
      <x:c r="D2653" s="11" t="str">
        <x:v>2041-12-31</x:v>
      </x:c>
      <x:c r="E2653" s="11" t="str">
        <x:v>CNY</x:v>
      </x:c>
      <x:c r="F2653" s="11" t="n">
        <x:v>14.729637234770705</x:v>
      </x:c>
      <x:c r="G2653" s="26" t="b">
        <x:v>1</x:v>
      </x:c>
      <x:c r="H2653" s="16" t="n">
        <x:v>0.183</x:v>
      </x:c>
      <x:c r="I2653" s="16" t="n">
        <x:v>0.24499999999999997</x:v>
      </x:c>
      <x:c r="J2653" s="16" t="n">
        <x:v>0.10799999999999996</x:v>
      </x:c>
      <x:c r="K2653" s="11" t="n">
        <x:f>CHOOSE('假设'!$B$3,H2653,I2653,J2653)</x:f>
        <x:v>0.24499999999999997</x:v>
      </x:c>
      <x:c r="L2653" s="11" t="n">
        <x:f>K2653*'管线假设'!E579*'管线假设'!F579*'管线假设'!G579*IF(E2653="USD",'管线假设'!I579,1)-AM2653</x:f>
        <x:v>0.005717614000000002</x:v>
      </x:c>
      <x:c r="M2653" s="11" t="n">
        <x:f>'管线假设'!H579</x:f>
        <x:v>0.135</x:v>
      </x:c>
      <x:c r="N2653" s="11" t="n">
        <x:f>IF(G2653,L2653*AN2653/(1+M2653)^F2653,0)</x:f>
        <x:v>0.000885412691289473</x:v>
      </x:c>
      <x:c r="AJ2653" t="n">
        <x:v>0</x:v>
      </x:c>
      <x:c r="AK2653" t="n">
        <x:v>0</x:v>
      </x:c>
      <x:c r="AL2653" t="n">
        <x:v>0</x:v>
      </x:c>
      <x:c r="AM2653" t="n">
        <x:f>CHOOSE('假设'!$B$3,AJ2653,AK2653,AL2653)</x:f>
        <x:v>0</x:v>
      </x:c>
      <x:c r="AN2653" t="n">
        <x:v>1</x:v>
      </x:c>
    </x:row>
    <x:row r="2654" ht="23" customHeight="1">
      <x:c r="A2654" s="11" t="str">
        <x:v>688382.SH</x:v>
      </x:c>
      <x:c r="B2654" s="11" t="str">
        <x:v>半年</x:v>
      </x:c>
      <x:c r="C2654" s="11" t="str">
        <x:v>g12c_crc_cn</x:v>
      </x:c>
      <x:c r="D2654" s="11" t="str">
        <x:v>2042-12-31</x:v>
      </x:c>
      <x:c r="E2654" s="11" t="str">
        <x:v>CNY</x:v>
      </x:c>
      <x:c r="F2654" s="11" t="n">
        <x:v>15.728952772073923</x:v>
      </x:c>
      <x:c r="G2654" s="26" t="b">
        <x:v>1</x:v>
      </x:c>
      <x:c r="H2654" s="16" t="n">
        <x:v>0.144</x:v>
      </x:c>
      <x:c r="I2654" s="16" t="n">
        <x:v>0.15399999999999997</x:v>
      </x:c>
      <x:c r="J2654" s="16" t="n">
        <x:v>0</x:v>
      </x:c>
      <x:c r="K2654" s="11" t="n">
        <x:f>CHOOSE('假设'!$B$3,H2654,I2654,J2654)</x:f>
        <x:v>0.15399999999999997</x:v>
      </x:c>
      <x:c r="L2654" s="11" t="n">
        <x:f>K2654*'管线假设'!E579*'管线假设'!F579*'管线假设'!G579*IF(E2654="USD",'管线假设'!I579,1)-AM2654</x:f>
        <x:v>0.003593928800000001</x:v>
      </x:c>
      <x:c r="M2654" s="11" t="n">
        <x:f>'管线假设'!H579</x:f>
        <x:v>0.135</x:v>
      </x:c>
      <x:c r="N2654" s="11" t="n">
        <x:f>IF(G2654,L2654*AN2654/(1+M2654)^F2654,0)</x:f>
        <x:v>0.0004903906264839713</x:v>
      </x:c>
      <x:c r="AJ2654" t="n">
        <x:v>0</x:v>
      </x:c>
      <x:c r="AK2654" t="n">
        <x:v>0</x:v>
      </x:c>
      <x:c r="AL2654" t="n">
        <x:v>0</x:v>
      </x:c>
      <x:c r="AM2654" t="n">
        <x:f>CHOOSE('假设'!$B$3,AJ2654,AK2654,AL2654)</x:f>
        <x:v>0</x:v>
      </x:c>
      <x:c r="AN2654" t="n">
        <x:v>1</x:v>
      </x:c>
    </x:row>
    <x:row r="2655" ht="23" customHeight="1">
      <x:c r="A2655" s="11" t="str">
        <x:v>688382.SH</x:v>
      </x:c>
      <x:c r="B2655" s="11" t="str">
        <x:v>半年</x:v>
      </x:c>
      <x:c r="C2655" s="11" t="str">
        <x:v>g12c_crc_cn</x:v>
      </x:c>
      <x:c r="D2655" s="11" t="str">
        <x:v>2043-12-31</x:v>
      </x:c>
      <x:c r="E2655" s="11" t="str">
        <x:v>CNY</x:v>
      </x:c>
      <x:c r="F2655" s="11" t="n">
        <x:v>16.72826830937714</x:v>
      </x:c>
      <x:c r="G2655" s="26" t="b">
        <x:v>1</x:v>
      </x:c>
      <x:c r="H2655" s="16" t="n">
        <x:v>0.105</x:v>
      </x:c>
      <x:c r="I2655" s="16" t="n">
        <x:v>0.06299999999999997</x:v>
      </x:c>
      <x:c r="J2655" s="16" t="n">
        <x:v>0</x:v>
      </x:c>
      <x:c r="K2655" s="11" t="n">
        <x:f>CHOOSE('假设'!$B$3,H2655,I2655,J2655)</x:f>
        <x:v>0.06299999999999997</x:v>
      </x:c>
      <x:c r="L2655" s="11" t="n">
        <x:f>K2655*'管线假设'!E579*'管线假设'!F579*'管线假设'!G579*IF(E2655="USD",'管线假设'!I579,1)-AM2655</x:f>
        <x:v>0.0014702436</x:v>
      </x:c>
      <x:c r="M2655" s="11" t="n">
        <x:f>'管线假设'!H579</x:f>
        <x:v>0.135</x:v>
      </x:c>
      <x:c r="N2655" s="11" t="n">
        <x:f>IF(G2655,L2655*AN2655/(1+M2655)^F2655,0)</x:f>
        <x:v>0.00017676804957310498</x:v>
      </x:c>
      <x:c r="AJ2655" t="n">
        <x:v>0</x:v>
      </x:c>
      <x:c r="AK2655" t="n">
        <x:v>0</x:v>
      </x:c>
      <x:c r="AL2655" t="n">
        <x:v>0</x:v>
      </x:c>
      <x:c r="AM2655" t="n">
        <x:f>CHOOSE('假设'!$B$3,AJ2655,AK2655,AL2655)</x:f>
        <x:v>0</x:v>
      </x:c>
      <x:c r="AN2655" t="n">
        <x:v>1</x:v>
      </x:c>
    </x:row>
    <x:row r="2656" ht="23" customHeight="1">
      <x:c r="A2656" s="11" t="str">
        <x:v>688382.SH</x:v>
      </x:c>
      <x:c r="B2656" s="11" t="str">
        <x:v>半年</x:v>
      </x:c>
      <x:c r="C2656" s="11" t="str">
        <x:v>g12c_crc_cn</x:v>
      </x:c>
      <x:c r="D2656" s="11" t="str">
        <x:v>2044-12-31</x:v>
      </x:c>
      <x:c r="E2656" s="11" t="str">
        <x:v>CNY</x:v>
      </x:c>
      <x:c r="F2656" s="11" t="n">
        <x:v>17.730321697467488</x:v>
      </x:c>
      <x:c r="G2656" s="26" t="b">
        <x:v>1</x:v>
      </x:c>
      <x:c r="H2656" s="16" t="n">
        <x:v>0.06599999999999999</x:v>
      </x:c>
      <x:c r="I2656" s="16" t="n">
        <x:v>0</x:v>
      </x:c>
      <x:c r="J2656" s="16" t="n">
        <x:v>0</x:v>
      </x:c>
      <x:c r="K2656" s="11" t="n">
        <x:f>CHOOSE('假设'!$B$3,H2656,I2656,J2656)</x:f>
        <x:v>0</x:v>
      </x:c>
      <x:c r="L2656" s="11" t="n">
        <x:f>K2656*'管线假设'!E579*'管线假设'!F579*'管线假设'!G579*IF(E2656="USD",'管线假设'!I579,1)-AM2656</x:f>
        <x:v>0</x:v>
      </x:c>
      <x:c r="M2656" s="11" t="n">
        <x:f>'管线假设'!H579</x:f>
        <x:v>0.135</x:v>
      </x:c>
      <x:c r="N2656" s="11" t="n">
        <x:f>IF(G2656,L2656*AN2656/(1+M2656)^F2656,0)</x:f>
        <x:v>0</x:v>
      </x:c>
      <x:c r="AJ2656" t="n">
        <x:v>0</x:v>
      </x:c>
      <x:c r="AK2656" t="n">
        <x:v>0</x:v>
      </x:c>
      <x:c r="AL2656" t="n">
        <x:v>0</x:v>
      </x:c>
      <x:c r="AM2656" t="n">
        <x:f>CHOOSE('假设'!$B$3,AJ2656,AK2656,AL2656)</x:f>
        <x:v>0</x:v>
      </x:c>
      <x:c r="AN2656" t="n">
        <x:v>1</x:v>
      </x:c>
    </x:row>
    <x:row r="2657" ht="23" customHeight="1">
      <x:c r="A2657" s="11" t="str">
        <x:v>688382.SH</x:v>
      </x:c>
      <x:c r="B2657" s="11" t="str">
        <x:v>半年</x:v>
      </x:c>
      <x:c r="C2657" s="11" t="str">
        <x:v>g12c_crc_cn</x:v>
      </x:c>
      <x:c r="D2657" s="11" t="str">
        <x:v>2045-12-31</x:v>
      </x:c>
      <x:c r="E2657" s="11" t="str">
        <x:v>CNY</x:v>
      </x:c>
      <x:c r="F2657" s="11" t="n">
        <x:v>18.729637234770706</x:v>
      </x:c>
      <x:c r="G2657" s="26" t="b">
        <x:v>1</x:v>
      </x:c>
      <x:c r="H2657" s="16" t="n">
        <x:v>0.02699999999999999</x:v>
      </x:c>
      <x:c r="I2657" s="16" t="n">
        <x:v>0</x:v>
      </x:c>
      <x:c r="J2657" s="16" t="n">
        <x:v>0</x:v>
      </x:c>
      <x:c r="K2657" s="11" t="n">
        <x:f>CHOOSE('假设'!$B$3,H2657,I2657,J2657)</x:f>
        <x:v>0</x:v>
      </x:c>
      <x:c r="L2657" s="11" t="n">
        <x:f>K2657*'管线假设'!E579*'管线假设'!F579*'管线假设'!G579*IF(E2657="USD",'管线假设'!I579,1)-AM2657</x:f>
        <x:v>0</x:v>
      </x:c>
      <x:c r="M2657" s="11" t="n">
        <x:f>'管线假设'!H579</x:f>
        <x:v>0.135</x:v>
      </x:c>
      <x:c r="N2657" s="11" t="n">
        <x:f>IF(G2657,L2657*AN2657/(1+M2657)^F2657,0)</x:f>
        <x:v>0</x:v>
      </x:c>
      <x:c r="AJ2657" t="n">
        <x:v>0</x:v>
      </x:c>
      <x:c r="AK2657" t="n">
        <x:v>0</x:v>
      </x:c>
      <x:c r="AL2657" t="n">
        <x:v>0</x:v>
      </x:c>
      <x:c r="AM2657" t="n">
        <x:f>CHOOSE('假设'!$B$3,AJ2657,AK2657,AL2657)</x:f>
        <x:v>0</x:v>
      </x:c>
      <x:c r="AN2657" t="n">
        <x:v>1</x:v>
      </x:c>
    </x:row>
    <x:row r="2658" ht="23" customHeight="1">
      <x:c r="A2658" s="11" t="str">
        <x:v>688382.SH</x:v>
      </x:c>
      <x:c r="B2658" s="11" t="str">
        <x:v>半年</x:v>
      </x:c>
      <x:c r="C2658" s="11" t="str">
        <x:v>g12c_global</x:v>
      </x:c>
      <x:c r="D2658" s="11" t="str">
        <x:v>2027-12-31</x:v>
      </x:c>
      <x:c r="E2658" s="11" t="str">
        <x:v>USD</x:v>
      </x:c>
      <x:c r="F2658" s="11" t="n">
        <x:v>0.7282683093771389</x:v>
      </x:c>
      <x:c r="G2658" s="26" t="b">
        <x:v>1</x:v>
      </x:c>
      <x:c r="H2658" s="16" t="n">
        <x:v>0</x:v>
      </x:c>
      <x:c r="I2658" s="16" t="n">
        <x:v>0</x:v>
      </x:c>
      <x:c r="J2658" s="16" t="n">
        <x:v>0</x:v>
      </x:c>
      <x:c r="K2658" s="11" t="n">
        <x:f>CHOOSE('假设'!$B$3,H2658,I2658,J2658)</x:f>
        <x:v>0</x:v>
      </x:c>
      <x:c r="L2658" s="11" t="n">
        <x:f>K2658*'管线假设'!E583*'管线假设'!F583*'管线假设'!G583*IF(E2658="USD",'管线假设'!I583,1)-AM2658</x:f>
        <x:v>0</x:v>
      </x:c>
      <x:c r="M2658" s="11" t="n">
        <x:f>'管线假设'!H583</x:f>
        <x:v>0.135</x:v>
      </x:c>
      <x:c r="N2658" s="11" t="n">
        <x:f>IF(G2658,L2658*AN2658/(1+M2658)^F2658,0)</x:f>
        <x:v>0</x:v>
      </x:c>
      <x:c r="AJ2658" t="n">
        <x:v>0</x:v>
      </x:c>
      <x:c r="AK2658" t="n">
        <x:v>0</x:v>
      </x:c>
      <x:c r="AL2658" t="n">
        <x:v>0</x:v>
      </x:c>
      <x:c r="AM2658" t="n">
        <x:f>CHOOSE('假设'!$B$3,AJ2658,AK2658,AL2658)</x:f>
        <x:v>0</x:v>
      </x:c>
      <x:c r="AN2658" t="n">
        <x:v>1</x:v>
      </x:c>
    </x:row>
    <x:row r="2659" ht="23" customHeight="1">
      <x:c r="A2659" s="11" t="str">
        <x:v>688382.SH</x:v>
      </x:c>
      <x:c r="B2659" s="11" t="str">
        <x:v>半年</x:v>
      </x:c>
      <x:c r="C2659" s="11" t="str">
        <x:v>g12c_global</x:v>
      </x:c>
      <x:c r="D2659" s="11" t="str">
        <x:v>2028-12-31</x:v>
      </x:c>
      <x:c r="E2659" s="11" t="str">
        <x:v>USD</x:v>
      </x:c>
      <x:c r="F2659" s="11" t="n">
        <x:v>1.730321697467488</x:v>
      </x:c>
      <x:c r="G2659" s="26" t="b">
        <x:v>1</x:v>
      </x:c>
      <x:c r="H2659" s="16" t="n">
        <x:v>0</x:v>
      </x:c>
      <x:c r="I2659" s="16" t="n">
        <x:v>0</x:v>
      </x:c>
      <x:c r="J2659" s="16" t="n">
        <x:v>0</x:v>
      </x:c>
      <x:c r="K2659" s="11" t="n">
        <x:f>CHOOSE('假设'!$B$3,H2659,I2659,J2659)</x:f>
        <x:v>0</x:v>
      </x:c>
      <x:c r="L2659" s="11" t="n">
        <x:f>K2659*'管线假设'!E583*'管线假设'!F583*'管线假设'!G583*IF(E2659="USD",'管线假设'!I583,1)-AM2659</x:f>
        <x:v>0</x:v>
      </x:c>
      <x:c r="M2659" s="11" t="n">
        <x:f>'管线假设'!H583</x:f>
        <x:v>0.135</x:v>
      </x:c>
      <x:c r="N2659" s="11" t="n">
        <x:f>IF(G2659,L2659*AN2659/(1+M2659)^F2659,0)</x:f>
        <x:v>0</x:v>
      </x:c>
      <x:c r="AJ2659" t="n">
        <x:v>0</x:v>
      </x:c>
      <x:c r="AK2659" t="n">
        <x:v>0</x:v>
      </x:c>
      <x:c r="AL2659" t="n">
        <x:v>0</x:v>
      </x:c>
      <x:c r="AM2659" t="n">
        <x:f>CHOOSE('假设'!$B$3,AJ2659,AK2659,AL2659)</x:f>
        <x:v>0</x:v>
      </x:c>
      <x:c r="AN2659" t="n">
        <x:v>1</x:v>
      </x:c>
    </x:row>
    <x:row r="2660" ht="23" customHeight="1">
      <x:c r="A2660" s="11" t="str">
        <x:v>688382.SH</x:v>
      </x:c>
      <x:c r="B2660" s="11" t="str">
        <x:v>半年</x:v>
      </x:c>
      <x:c r="C2660" s="11" t="str">
        <x:v>g12c_global</x:v>
      </x:c>
      <x:c r="D2660" s="11" t="str">
        <x:v>2029-12-31</x:v>
      </x:c>
      <x:c r="E2660" s="11" t="str">
        <x:v>USD</x:v>
      </x:c>
      <x:c r="F2660" s="11" t="n">
        <x:v>2.729637234770705</x:v>
      </x:c>
      <x:c r="G2660" s="26" t="b">
        <x:v>1</x:v>
      </x:c>
      <x:c r="H2660" s="16" t="n">
        <x:v>0</x:v>
      </x:c>
      <x:c r="I2660" s="16" t="n">
        <x:v>0</x:v>
      </x:c>
      <x:c r="J2660" s="16" t="n">
        <x:v>0</x:v>
      </x:c>
      <x:c r="K2660" s="11" t="n">
        <x:f>CHOOSE('假设'!$B$3,H2660,I2660,J2660)</x:f>
        <x:v>0</x:v>
      </x:c>
      <x:c r="L2660" s="11" t="n">
        <x:f>K2660*'管线假设'!E583*'管线假设'!F583*'管线假设'!G583*IF(E2660="USD",'管线假设'!I583,1)-AM2660</x:f>
        <x:v>0</x:v>
      </x:c>
      <x:c r="M2660" s="11" t="n">
        <x:f>'管线假设'!H583</x:f>
        <x:v>0.135</x:v>
      </x:c>
      <x:c r="N2660" s="11" t="n">
        <x:f>IF(G2660,L2660*AN2660/(1+M2660)^F2660,0)</x:f>
        <x:v>0</x:v>
      </x:c>
      <x:c r="AJ2660" t="n">
        <x:v>0</x:v>
      </x:c>
      <x:c r="AK2660" t="n">
        <x:v>0</x:v>
      </x:c>
      <x:c r="AL2660" t="n">
        <x:v>0</x:v>
      </x:c>
      <x:c r="AM2660" t="n">
        <x:f>CHOOSE('假设'!$B$3,AJ2660,AK2660,AL2660)</x:f>
        <x:v>0</x:v>
      </x:c>
      <x:c r="AN2660" t="n">
        <x:v>1</x:v>
      </x:c>
    </x:row>
    <x:row r="2661" ht="23" customHeight="1">
      <x:c r="A2661" s="11" t="str">
        <x:v>688382.SH</x:v>
      </x:c>
      <x:c r="B2661" s="11" t="str">
        <x:v>半年</x:v>
      </x:c>
      <x:c r="C2661" s="11" t="str">
        <x:v>g12c_global</x:v>
      </x:c>
      <x:c r="D2661" s="11" t="str">
        <x:v>2030-12-31</x:v>
      </x:c>
      <x:c r="E2661" s="11" t="str">
        <x:v>USD</x:v>
      </x:c>
      <x:c r="F2661" s="11" t="n">
        <x:v>3.728952772073922</x:v>
      </x:c>
      <x:c r="G2661" s="26" t="b">
        <x:v>1</x:v>
      </x:c>
      <x:c r="H2661" s="16" t="n">
        <x:v>0</x:v>
      </x:c>
      <x:c r="I2661" s="16" t="n">
        <x:v>0</x:v>
      </x:c>
      <x:c r="J2661" s="16" t="n">
        <x:v>0.41666666666666663</x:v>
      </x:c>
      <x:c r="K2661" s="11" t="n">
        <x:f>CHOOSE('假设'!$B$3,H2661,I2661,J2661)</x:f>
        <x:v>0</x:v>
      </x:c>
      <x:c r="L2661" s="11" t="n">
        <x:f>K2661*'管线假设'!E583*'管线假设'!F583*'管线假设'!G583*IF(E2661="USD",'管线假设'!I583,1)-AM2661</x:f>
        <x:v>0</x:v>
      </x:c>
      <x:c r="M2661" s="11" t="n">
        <x:f>'管线假设'!H583</x:f>
        <x:v>0.135</x:v>
      </x:c>
      <x:c r="N2661" s="11" t="n">
        <x:f>IF(G2661,L2661*AN2661/(1+M2661)^F2661,0)</x:f>
        <x:v>0</x:v>
      </x:c>
      <x:c r="AJ2661" t="n">
        <x:v>0</x:v>
      </x:c>
      <x:c r="AK2661" t="n">
        <x:v>0</x:v>
      </x:c>
      <x:c r="AL2661" t="n">
        <x:v>0</x:v>
      </x:c>
      <x:c r="AM2661" t="n">
        <x:f>CHOOSE('假设'!$B$3,AJ2661,AK2661,AL2661)</x:f>
        <x:v>0</x:v>
      </x:c>
      <x:c r="AN2661" t="n">
        <x:v>1</x:v>
      </x:c>
    </x:row>
    <x:row r="2662" ht="23" customHeight="1">
      <x:c r="A2662" s="11" t="str">
        <x:v>688382.SH</x:v>
      </x:c>
      <x:c r="B2662" s="11" t="str">
        <x:v>半年</x:v>
      </x:c>
      <x:c r="C2662" s="11" t="str">
        <x:v>g12c_global</x:v>
      </x:c>
      <x:c r="D2662" s="11" t="str">
        <x:v>2031-12-31</x:v>
      </x:c>
      <x:c r="E2662" s="11" t="str">
        <x:v>USD</x:v>
      </x:c>
      <x:c r="F2662" s="11" t="n">
        <x:v>4.728268309377139</x:v>
      </x:c>
      <x:c r="G2662" s="26" t="b">
        <x:v>1</x:v>
      </x:c>
      <x:c r="H2662" s="16" t="n">
        <x:v>0</x:v>
      </x:c>
      <x:c r="I2662" s="16" t="n">
        <x:v>0</x:v>
      </x:c>
      <x:c r="J2662" s="16" t="n">
        <x:v>0.8333333333333333</x:v>
      </x:c>
      <x:c r="K2662" s="11" t="n">
        <x:f>CHOOSE('假设'!$B$3,H2662,I2662,J2662)</x:f>
        <x:v>0</x:v>
      </x:c>
      <x:c r="L2662" s="11" t="n">
        <x:f>K2662*'管线假设'!E583*'管线假设'!F583*'管线假设'!G583*IF(E2662="USD",'管线假设'!I583,1)-AM2662</x:f>
        <x:v>0</x:v>
      </x:c>
      <x:c r="M2662" s="11" t="n">
        <x:f>'管线假设'!H583</x:f>
        <x:v>0.135</x:v>
      </x:c>
      <x:c r="N2662" s="11" t="n">
        <x:f>IF(G2662,L2662*AN2662/(1+M2662)^F2662,0)</x:f>
        <x:v>0</x:v>
      </x:c>
      <x:c r="AJ2662" t="n">
        <x:v>0</x:v>
      </x:c>
      <x:c r="AK2662" t="n">
        <x:v>0</x:v>
      </x:c>
      <x:c r="AL2662" t="n">
        <x:v>0</x:v>
      </x:c>
      <x:c r="AM2662" t="n">
        <x:f>CHOOSE('假设'!$B$3,AJ2662,AK2662,AL2662)</x:f>
        <x:v>0</x:v>
      </x:c>
      <x:c r="AN2662" t="n">
        <x:v>1</x:v>
      </x:c>
    </x:row>
    <x:row r="2663" ht="23" customHeight="1">
      <x:c r="A2663" s="11" t="str">
        <x:v>688382.SH</x:v>
      </x:c>
      <x:c r="B2663" s="11" t="str">
        <x:v>半年</x:v>
      </x:c>
      <x:c r="C2663" s="11" t="str">
        <x:v>g12c_global</x:v>
      </x:c>
      <x:c r="D2663" s="11" t="str">
        <x:v>2032-12-31</x:v>
      </x:c>
      <x:c r="E2663" s="11" t="str">
        <x:v>USD</x:v>
      </x:c>
      <x:c r="F2663" s="11" t="n">
        <x:v>5.730321697467488</x:v>
      </x:c>
      <x:c r="G2663" s="26" t="b">
        <x:v>1</x:v>
      </x:c>
      <x:c r="H2663" s="16" t="n">
        <x:v>0</x:v>
      </x:c>
      <x:c r="I2663" s="16" t="n">
        <x:v>0.21666666666666667</x:v>
      </x:c>
      <x:c r="J2663" s="16" t="n">
        <x:v>1.25</x:v>
      </x:c>
      <x:c r="K2663" s="11" t="n">
        <x:f>CHOOSE('假设'!$B$3,H2663,I2663,J2663)</x:f>
        <x:v>0.21666666666666667</x:v>
      </x:c>
      <x:c r="L2663" s="11" t="n">
        <x:f>K2663*'管线假设'!E583*'管线假设'!F583*'管线假设'!G583*IF(E2663="USD",'管线假设'!I583,1)-AM2663</x:f>
        <x:v>0.029647591999999997</x:v>
      </x:c>
      <x:c r="M2663" s="11" t="n">
        <x:f>'管线假设'!H583</x:f>
        <x:v>0.135</x:v>
      </x:c>
      <x:c r="N2663" s="11" t="n">
        <x:f>IF(G2663,L2663*AN2663/(1+M2663)^F2663,0)</x:f>
        <x:v>0.014349786739396915</x:v>
      </x:c>
      <x:c r="AJ2663" t="n">
        <x:v>0</x:v>
      </x:c>
      <x:c r="AK2663" t="n">
        <x:v>0</x:v>
      </x:c>
      <x:c r="AL2663" t="n">
        <x:v>0</x:v>
      </x:c>
      <x:c r="AM2663" t="n">
        <x:f>CHOOSE('假设'!$B$3,AJ2663,AK2663,AL2663)</x:f>
        <x:v>0</x:v>
      </x:c>
      <x:c r="AN2663" t="n">
        <x:v>1</x:v>
      </x:c>
    </x:row>
    <x:row r="2664" ht="23" customHeight="1">
      <x:c r="A2664" s="11" t="str">
        <x:v>688382.SH</x:v>
      </x:c>
      <x:c r="B2664" s="11" t="str">
        <x:v>半年</x:v>
      </x:c>
      <x:c r="C2664" s="11" t="str">
        <x:v>g12c_global</x:v>
      </x:c>
      <x:c r="D2664" s="11" t="str">
        <x:v>2033-12-31</x:v>
      </x:c>
      <x:c r="E2664" s="11" t="str">
        <x:v>USD</x:v>
      </x:c>
      <x:c r="F2664" s="11" t="n">
        <x:v>6.729637234770705</x:v>
      </x:c>
      <x:c r="G2664" s="26" t="b">
        <x:v>1</x:v>
      </x:c>
      <x:c r="H2664" s="16" t="n">
        <x:v>0</x:v>
      </x:c>
      <x:c r="I2664" s="16" t="n">
        <x:v>0.43333333333333335</x:v>
      </x:c>
      <x:c r="J2664" s="16" t="n">
        <x:v>1.6666666666666665</x:v>
      </x:c>
      <x:c r="K2664" s="11" t="n">
        <x:f>CHOOSE('假设'!$B$3,H2664,I2664,J2664)</x:f>
        <x:v>0.43333333333333335</x:v>
      </x:c>
      <x:c r="L2664" s="11" t="n">
        <x:f>K2664*'管线假设'!E583*'管线假设'!F583*'管线假设'!G583*IF(E2664="USD",'管线假设'!I583,1)-AM2664</x:f>
        <x:v>0.059295183999999994</x:v>
      </x:c>
      <x:c r="M2664" s="11" t="n">
        <x:f>'管线假设'!H583</x:f>
        <x:v>0.135</x:v>
      </x:c>
      <x:c r="N2664" s="11" t="n">
        <x:f>IF(G2664,L2664*AN2664/(1+M2664)^F2664,0)</x:f>
        <x:v>0.025288159587208578</x:v>
      </x:c>
      <x:c r="AJ2664" t="n">
        <x:v>0</x:v>
      </x:c>
      <x:c r="AK2664" t="n">
        <x:v>0</x:v>
      </x:c>
      <x:c r="AL2664" t="n">
        <x:v>0</x:v>
      </x:c>
      <x:c r="AM2664" t="n">
        <x:f>CHOOSE('假设'!$B$3,AJ2664,AK2664,AL2664)</x:f>
        <x:v>0</x:v>
      </x:c>
      <x:c r="AN2664" t="n">
        <x:v>1</x:v>
      </x:c>
    </x:row>
    <x:row r="2665" ht="23" customHeight="1">
      <x:c r="A2665" s="11" t="str">
        <x:v>688382.SH</x:v>
      </x:c>
      <x:c r="B2665" s="11" t="str">
        <x:v>半年</x:v>
      </x:c>
      <x:c r="C2665" s="11" t="str">
        <x:v>g12c_global</x:v>
      </x:c>
      <x:c r="D2665" s="11" t="str">
        <x:v>2034-12-31</x:v>
      </x:c>
      <x:c r="E2665" s="11" t="str">
        <x:v>USD</x:v>
      </x:c>
      <x:c r="F2665" s="11" t="n">
        <x:v>7.728952772073922</x:v>
      </x:c>
      <x:c r="G2665" s="26" t="b">
        <x:v>1</x:v>
      </x:c>
      <x:c r="H2665" s="16" t="n">
        <x:v>0</x:v>
      </x:c>
      <x:c r="I2665" s="16" t="n">
        <x:v>0.65</x:v>
      </x:c>
      <x:c r="J2665" s="16" t="n">
        <x:v>2.0833333333333335</x:v>
      </x:c>
      <x:c r="K2665" s="11" t="n">
        <x:f>CHOOSE('假设'!$B$3,H2665,I2665,J2665)</x:f>
        <x:v>0.65</x:v>
      </x:c>
      <x:c r="L2665" s="11" t="n">
        <x:f>K2665*'管线假设'!E583*'管线假设'!F583*'管线假设'!G583*IF(E2665="USD",'管线假设'!I583,1)-AM2665</x:f>
        <x:v>0.088942776</x:v>
      </x:c>
      <x:c r="M2665" s="11" t="n">
        <x:f>'管线假设'!H583</x:f>
        <x:v>0.135</x:v>
      </x:c>
      <x:c r="N2665" s="11" t="n">
        <x:f>IF(G2665,L2665*AN2665/(1+M2665)^F2665,0)</x:f>
        <x:v>0.03342337208150412</x:v>
      </x:c>
      <x:c r="AJ2665" t="n">
        <x:v>0</x:v>
      </x:c>
      <x:c r="AK2665" t="n">
        <x:v>0</x:v>
      </x:c>
      <x:c r="AL2665" t="n">
        <x:v>0</x:v>
      </x:c>
      <x:c r="AM2665" t="n">
        <x:f>CHOOSE('假设'!$B$3,AJ2665,AK2665,AL2665)</x:f>
        <x:v>0</x:v>
      </x:c>
      <x:c r="AN2665" t="n">
        <x:v>1</x:v>
      </x:c>
    </x:row>
    <x:row r="2666" ht="23" customHeight="1">
      <x:c r="A2666" s="11" t="str">
        <x:v>688382.SH</x:v>
      </x:c>
      <x:c r="B2666" s="11" t="str">
        <x:v>半年</x:v>
      </x:c>
      <x:c r="C2666" s="11" t="str">
        <x:v>g12c_global</x:v>
      </x:c>
      <x:c r="D2666" s="11" t="str">
        <x:v>2035-12-31</x:v>
      </x:c>
      <x:c r="E2666" s="11" t="str">
        <x:v>USD</x:v>
      </x:c>
      <x:c r="F2666" s="11" t="n">
        <x:v>8.728268309377139</x:v>
      </x:c>
      <x:c r="G2666" s="26" t="b">
        <x:v>1</x:v>
      </x:c>
      <x:c r="H2666" s="16" t="n">
        <x:v>0.1</x:v>
      </x:c>
      <x:c r="I2666" s="16" t="n">
        <x:v>0.8666666666666667</x:v>
      </x:c>
      <x:c r="J2666" s="16" t="n">
        <x:v>2.5</x:v>
      </x:c>
      <x:c r="K2666" s="11" t="n">
        <x:f>CHOOSE('假设'!$B$3,H2666,I2666,J2666)</x:f>
        <x:v>0.8666666666666667</x:v>
      </x:c>
      <x:c r="L2666" s="11" t="n">
        <x:f>K2666*'管线假设'!E583*'管线假设'!F583*'管线假设'!G583*IF(E2666="USD",'管线假设'!I583,1)-AM2666</x:f>
        <x:v>0.11859036799999999</x:v>
      </x:c>
      <x:c r="M2666" s="11" t="n">
        <x:f>'管线假设'!H583</x:f>
        <x:v>0.135</x:v>
      </x:c>
      <x:c r="N2666" s="11" t="n">
        <x:f>IF(G2666,L2666*AN2666/(1+M2666)^F2666,0)</x:f>
        <x:v>0.03926727657999327</x:v>
      </x:c>
      <x:c r="AJ2666" t="n">
        <x:v>0</x:v>
      </x:c>
      <x:c r="AK2666" t="n">
        <x:v>0</x:v>
      </x:c>
      <x:c r="AL2666" t="n">
        <x:v>0</x:v>
      </x:c>
      <x:c r="AM2666" t="n">
        <x:f>CHOOSE('假设'!$B$3,AJ2666,AK2666,AL2666)</x:f>
        <x:v>0</x:v>
      </x:c>
      <x:c r="AN2666" t="n">
        <x:v>1</x:v>
      </x:c>
    </x:row>
    <x:row r="2667" ht="23" customHeight="1">
      <x:c r="A2667" s="11" t="str">
        <x:v>688382.SH</x:v>
      </x:c>
      <x:c r="B2667" s="11" t="str">
        <x:v>半年</x:v>
      </x:c>
      <x:c r="C2667" s="11" t="str">
        <x:v>g12c_global</x:v>
      </x:c>
      <x:c r="D2667" s="11" t="str">
        <x:v>2036-12-31</x:v>
      </x:c>
      <x:c r="E2667" s="11" t="str">
        <x:v>USD</x:v>
      </x:c>
      <x:c r="F2667" s="11" t="n">
        <x:v>9.730321697467488</x:v>
      </x:c>
      <x:c r="G2667" s="26" t="b">
        <x:v>1</x:v>
      </x:c>
      <x:c r="H2667" s="16" t="n">
        <x:v>0.2</x:v>
      </x:c>
      <x:c r="I2667" s="16" t="n">
        <x:v>1.0833333333333335</x:v>
      </x:c>
      <x:c r="J2667" s="16" t="n">
        <x:v>2.175</x:v>
      </x:c>
      <x:c r="K2667" s="11" t="n">
        <x:f>CHOOSE('假设'!$B$3,H2667,I2667,J2667)</x:f>
        <x:v>1.0833333333333335</x:v>
      </x:c>
      <x:c r="L2667" s="11" t="n">
        <x:f>K2667*'管线假设'!E583*'管线假设'!F583*'管线假设'!G583*IF(E2667="USD",'管线假设'!I583,1)-AM2667</x:f>
        <x:v>0.14823796</x:v>
      </x:c>
      <x:c r="M2667" s="11" t="n">
        <x:f>'管线假设'!H583</x:f>
        <x:v>0.135</x:v>
      </x:c>
      <x:c r="N2667" s="11" t="n">
        <x:f>IF(G2667,L2667*AN2667/(1+M2667)^F2667,0)</x:f>
        <x:v>0.043234655721816874</x:v>
      </x:c>
      <x:c r="AJ2667" t="n">
        <x:v>0</x:v>
      </x:c>
      <x:c r="AK2667" t="n">
        <x:v>0</x:v>
      </x:c>
      <x:c r="AL2667" t="n">
        <x:v>0</x:v>
      </x:c>
      <x:c r="AM2667" t="n">
        <x:f>CHOOSE('假设'!$B$3,AJ2667,AK2667,AL2667)</x:f>
        <x:v>0</x:v>
      </x:c>
      <x:c r="AN2667" t="n">
        <x:v>1</x:v>
      </x:c>
    </x:row>
    <x:row r="2668" ht="23" customHeight="1">
      <x:c r="A2668" s="11" t="str">
        <x:v>688382.SH</x:v>
      </x:c>
      <x:c r="B2668" s="11" t="str">
        <x:v>半年</x:v>
      </x:c>
      <x:c r="C2668" s="11" t="str">
        <x:v>g12c_global</x:v>
      </x:c>
      <x:c r="D2668" s="11" t="str">
        <x:v>2037-12-31</x:v>
      </x:c>
      <x:c r="E2668" s="11" t="str">
        <x:v>USD</x:v>
      </x:c>
      <x:c r="F2668" s="11" t="n">
        <x:v>10.729637234770705</x:v>
      </x:c>
      <x:c r="G2668" s="26" t="b">
        <x:v>1</x:v>
      </x:c>
      <x:c r="H2668" s="16" t="n">
        <x:v>0.3</x:v>
      </x:c>
      <x:c r="I2668" s="16" t="n">
        <x:v>1.3</x:v>
      </x:c>
      <x:c r="J2668" s="16" t="n">
        <x:v>1.85</x:v>
      </x:c>
      <x:c r="K2668" s="11" t="n">
        <x:f>CHOOSE('假设'!$B$3,H2668,I2668,J2668)</x:f>
        <x:v>1.3</x:v>
      </x:c>
      <x:c r="L2668" s="11" t="n">
        <x:f>K2668*'管线假设'!E583*'管线假设'!F583*'管线假设'!G583*IF(E2668="USD",'管线假设'!I583,1)-AM2668</x:f>
        <x:v>0.177885552</x:v>
      </x:c>
      <x:c r="M2668" s="11" t="n">
        <x:f>'管线假设'!H583</x:f>
        <x:v>0.135</x:v>
      </x:c>
      <x:c r="N2668" s="11" t="n">
        <x:f>IF(G2668,L2668*AN2668/(1+M2668)^F2668,0)</x:f>
        <x:v>0.04571461137842423</x:v>
      </x:c>
      <x:c r="AJ2668" t="n">
        <x:v>0</x:v>
      </x:c>
      <x:c r="AK2668" t="n">
        <x:v>0</x:v>
      </x:c>
      <x:c r="AL2668" t="n">
        <x:v>0</x:v>
      </x:c>
      <x:c r="AM2668" t="n">
        <x:f>CHOOSE('假设'!$B$3,AJ2668,AK2668,AL2668)</x:f>
        <x:v>0</x:v>
      </x:c>
      <x:c r="AN2668" t="n">
        <x:v>1</x:v>
      </x:c>
    </x:row>
    <x:row r="2669" ht="23" customHeight="1">
      <x:c r="A2669" s="11" t="str">
        <x:v>688382.SH</x:v>
      </x:c>
      <x:c r="B2669" s="11" t="str">
        <x:v>半年</x:v>
      </x:c>
      <x:c r="C2669" s="11" t="str">
        <x:v>g12c_global</x:v>
      </x:c>
      <x:c r="D2669" s="11" t="str">
        <x:v>2038-12-31</x:v>
      </x:c>
      <x:c r="E2669" s="11" t="str">
        <x:v>USD</x:v>
      </x:c>
      <x:c r="F2669" s="11" t="n">
        <x:v>11.728952772073923</x:v>
      </x:c>
      <x:c r="G2669" s="26" t="b">
        <x:v>1</x:v>
      </x:c>
      <x:c r="H2669" s="16" t="n">
        <x:v>0.4</x:v>
      </x:c>
      <x:c r="I2669" s="16" t="n">
        <x:v>1.131</x:v>
      </x:c>
      <x:c r="J2669" s="16" t="n">
        <x:v>1.525</x:v>
      </x:c>
      <x:c r="K2669" s="11" t="n">
        <x:f>CHOOSE('假设'!$B$3,H2669,I2669,J2669)</x:f>
        <x:v>1.131</x:v>
      </x:c>
      <x:c r="L2669" s="11" t="n">
        <x:f>K2669*'管线假设'!E583*'管线假设'!F583*'管线假设'!G583*IF(E2669="USD",'管线假设'!I583,1)-AM2669</x:f>
        <x:v>0.15476043024</x:v>
      </x:c>
      <x:c r="M2669" s="11" t="n">
        <x:f>'管线假设'!H583</x:f>
        <x:v>0.135</x:v>
      </x:c>
      <x:c r="N2669" s="11" t="n">
        <x:f>IF(G2669,L2669*AN2669/(1+M2669)^F2669,0)</x:f>
        <x:v>0.035044193193579695</x:v>
      </x:c>
      <x:c r="AJ2669" t="n">
        <x:v>0</x:v>
      </x:c>
      <x:c r="AK2669" t="n">
        <x:v>0</x:v>
      </x:c>
      <x:c r="AL2669" t="n">
        <x:v>0</x:v>
      </x:c>
      <x:c r="AM2669" t="n">
        <x:f>CHOOSE('假设'!$B$3,AJ2669,AK2669,AL2669)</x:f>
        <x:v>0</x:v>
      </x:c>
      <x:c r="AN2669" t="n">
        <x:v>1</x:v>
      </x:c>
    </x:row>
    <x:row r="2670" ht="23" customHeight="1">
      <x:c r="A2670" s="11" t="str">
        <x:v>688382.SH</x:v>
      </x:c>
      <x:c r="B2670" s="11" t="str">
        <x:v>半年</x:v>
      </x:c>
      <x:c r="C2670" s="11" t="str">
        <x:v>g12c_global</x:v>
      </x:c>
      <x:c r="D2670" s="11" t="str">
        <x:v>2039-12-31</x:v>
      </x:c>
      <x:c r="E2670" s="11" t="str">
        <x:v>USD</x:v>
      </x:c>
      <x:c r="F2670" s="11" t="n">
        <x:v>12.728268309377139</x:v>
      </x:c>
      <x:c r="G2670" s="26" t="b">
        <x:v>1</x:v>
      </x:c>
      <x:c r="H2670" s="16" t="n">
        <x:v>0.5</x:v>
      </x:c>
      <x:c r="I2670" s="16" t="n">
        <x:v>0.962</x:v>
      </x:c>
      <x:c r="J2670" s="16" t="n">
        <x:v>1.2</x:v>
      </x:c>
      <x:c r="K2670" s="11" t="n">
        <x:f>CHOOSE('假设'!$B$3,H2670,I2670,J2670)</x:f>
        <x:v>0.962</x:v>
      </x:c>
      <x:c r="L2670" s="11" t="n">
        <x:f>K2670*'管线假设'!E583*'管线假设'!F583*'管线假设'!G583*IF(E2670="USD",'管线假设'!I583,1)-AM2670</x:f>
        <x:v>0.13163530848</x:v>
      </x:c>
      <x:c r="M2670" s="11" t="n">
        <x:f>'管线假设'!H583</x:f>
        <x:v>0.135</x:v>
      </x:c>
      <x:c r="N2670" s="11" t="n">
        <x:f>IF(G2670,L2670*AN2670/(1+M2670)^F2670,0)</x:f>
        <x:v>0.02626457115412436</x:v>
      </x:c>
      <x:c r="AJ2670" t="n">
        <x:v>0</x:v>
      </x:c>
      <x:c r="AK2670" t="n">
        <x:v>0</x:v>
      </x:c>
      <x:c r="AL2670" t="n">
        <x:v>0</x:v>
      </x:c>
      <x:c r="AM2670" t="n">
        <x:f>CHOOSE('假设'!$B$3,AJ2670,AK2670,AL2670)</x:f>
        <x:v>0</x:v>
      </x:c>
      <x:c r="AN2670" t="n">
        <x:v>1</x:v>
      </x:c>
    </x:row>
    <x:row r="2671" ht="23" customHeight="1">
      <x:c r="A2671" s="11" t="str">
        <x:v>688382.SH</x:v>
      </x:c>
      <x:c r="B2671" s="11" t="str">
        <x:v>半年</x:v>
      </x:c>
      <x:c r="C2671" s="11" t="str">
        <x:v>g12c_global</x:v>
      </x:c>
      <x:c r="D2671" s="11" t="str">
        <x:v>2040-12-31</x:v>
      </x:c>
      <x:c r="E2671" s="11" t="str">
        <x:v>USD</x:v>
      </x:c>
      <x:c r="F2671" s="11" t="n">
        <x:v>13.730321697467488</x:v>
      </x:c>
      <x:c r="G2671" s="26" t="b">
        <x:v>1</x:v>
      </x:c>
      <x:c r="H2671" s="16" t="n">
        <x:v>0.435</x:v>
      </x:c>
      <x:c r="I2671" s="16" t="n">
        <x:v>0.793</x:v>
      </x:c>
      <x:c r="J2671" s="16" t="n">
        <x:v>0.875</x:v>
      </x:c>
      <x:c r="K2671" s="11" t="n">
        <x:f>CHOOSE('假设'!$B$3,H2671,I2671,J2671)</x:f>
        <x:v>0.793</x:v>
      </x:c>
      <x:c r="L2671" s="11" t="n">
        <x:f>K2671*'管线假设'!E583*'管线假设'!F583*'管线假设'!G583*IF(E2671="USD",'管线假设'!I583,1)-AM2671</x:f>
        <x:v>0.10851018672000001</x:v>
      </x:c>
      <x:c r="M2671" s="11" t="n">
        <x:f>'管线假设'!H583</x:f>
        <x:v>0.135</x:v>
      </x:c>
      <x:c r="N2671" s="11" t="n">
        <x:f>IF(G2671,L2671*AN2671/(1+M2671)^F2671,0)</x:f>
        <x:v>0.019070392866320982</x:v>
      </x:c>
      <x:c r="AJ2671" t="n">
        <x:v>0</x:v>
      </x:c>
      <x:c r="AK2671" t="n">
        <x:v>0</x:v>
      </x:c>
      <x:c r="AL2671" t="n">
        <x:v>0</x:v>
      </x:c>
      <x:c r="AM2671" t="n">
        <x:f>CHOOSE('假设'!$B$3,AJ2671,AK2671,AL2671)</x:f>
        <x:v>0</x:v>
      </x:c>
      <x:c r="AN2671" t="n">
        <x:v>1</x:v>
      </x:c>
    </x:row>
    <x:row r="2672" ht="23" customHeight="1">
      <x:c r="A2672" s="11" t="str">
        <x:v>688382.SH</x:v>
      </x:c>
      <x:c r="B2672" s="11" t="str">
        <x:v>半年</x:v>
      </x:c>
      <x:c r="C2672" s="11" t="str">
        <x:v>g12c_global</x:v>
      </x:c>
      <x:c r="D2672" s="11" t="str">
        <x:v>2041-12-31</x:v>
      </x:c>
      <x:c r="E2672" s="11" t="str">
        <x:v>USD</x:v>
      </x:c>
      <x:c r="F2672" s="11" t="n">
        <x:v>14.729637234770705</x:v>
      </x:c>
      <x:c r="G2672" s="26" t="b">
        <x:v>1</x:v>
      </x:c>
      <x:c r="H2672" s="16" t="n">
        <x:v>0.37</x:v>
      </x:c>
      <x:c r="I2672" s="16" t="n">
        <x:v>0.624</x:v>
      </x:c>
      <x:c r="J2672" s="16" t="n">
        <x:v>0.5499999999999999</x:v>
      </x:c>
      <x:c r="K2672" s="11" t="n">
        <x:f>CHOOSE('假设'!$B$3,H2672,I2672,J2672)</x:f>
        <x:v>0.624</x:v>
      </x:c>
      <x:c r="L2672" s="11" t="n">
        <x:f>K2672*'管线假设'!E583*'管线假设'!F583*'管线假设'!G583*IF(E2672="USD",'管线假设'!I583,1)-AM2672</x:f>
        <x:v>0.08538506495999999</x:v>
      </x:c>
      <x:c r="M2672" s="11" t="n">
        <x:f>'管线假设'!H583</x:f>
        <x:v>0.135</x:v>
      </x:c>
      <x:c r="N2672" s="11" t="n">
        <x:f>IF(G2672,L2672*AN2672/(1+M2672)^F2672,0)</x:f>
        <x:v>0.013222477096593096</x:v>
      </x:c>
      <x:c r="AJ2672" t="n">
        <x:v>0</x:v>
      </x:c>
      <x:c r="AK2672" t="n">
        <x:v>0</x:v>
      </x:c>
      <x:c r="AL2672" t="n">
        <x:v>0</x:v>
      </x:c>
      <x:c r="AM2672" t="n">
        <x:f>CHOOSE('假设'!$B$3,AJ2672,AK2672,AL2672)</x:f>
        <x:v>0</x:v>
      </x:c>
      <x:c r="AN2672" t="n">
        <x:v>1</x:v>
      </x:c>
    </x:row>
    <x:row r="2673" ht="23" customHeight="1">
      <x:c r="A2673" s="11" t="str">
        <x:v>688382.SH</x:v>
      </x:c>
      <x:c r="B2673" s="11" t="str">
        <x:v>半年</x:v>
      </x:c>
      <x:c r="C2673" s="11" t="str">
        <x:v>g12c_global</x:v>
      </x:c>
      <x:c r="D2673" s="11" t="str">
        <x:v>2042-12-31</x:v>
      </x:c>
      <x:c r="E2673" s="11" t="str">
        <x:v>USD</x:v>
      </x:c>
      <x:c r="F2673" s="11" t="n">
        <x:v>15.728952772073923</x:v>
      </x:c>
      <x:c r="G2673" s="26" t="b">
        <x:v>1</x:v>
      </x:c>
      <x:c r="H2673" s="16" t="n">
        <x:v>0.305</x:v>
      </x:c>
      <x:c r="I2673" s="16" t="n">
        <x:v>0.45499999999999996</x:v>
      </x:c>
      <x:c r="J2673" s="16" t="n">
        <x:v>0.22499999999999992</x:v>
      </x:c>
      <x:c r="K2673" s="11" t="n">
        <x:f>CHOOSE('假设'!$B$3,H2673,I2673,J2673)</x:f>
        <x:v>0.45499999999999996</x:v>
      </x:c>
      <x:c r="L2673" s="11" t="n">
        <x:f>K2673*'管线假设'!E583*'管线假设'!F583*'管线假设'!G583*IF(E2673="USD",'管线假设'!I583,1)-AM2673</x:f>
        <x:v>0.062259943199999994</x:v>
      </x:c>
      <x:c r="M2673" s="11" t="n">
        <x:f>'管线假设'!H583</x:f>
        <x:v>0.135</x:v>
      </x:c>
      <x:c r="N2673" s="11" t="n">
        <x:f>IF(G2673,L2673*AN2673/(1+M2673)^F2673,0)</x:f>
        <x:v>0.008495352648807195</x:v>
      </x:c>
      <x:c r="AJ2673" t="n">
        <x:v>0</x:v>
      </x:c>
      <x:c r="AK2673" t="n">
        <x:v>0</x:v>
      </x:c>
      <x:c r="AL2673" t="n">
        <x:v>0</x:v>
      </x:c>
      <x:c r="AM2673" t="n">
        <x:f>CHOOSE('假设'!$B$3,AJ2673,AK2673,AL2673)</x:f>
        <x:v>0</x:v>
      </x:c>
      <x:c r="AN2673" t="n">
        <x:v>1</x:v>
      </x:c>
    </x:row>
    <x:row r="2674" ht="23" customHeight="1">
      <x:c r="A2674" s="11" t="str">
        <x:v>688382.SH</x:v>
      </x:c>
      <x:c r="B2674" s="11" t="str">
        <x:v>半年</x:v>
      </x:c>
      <x:c r="C2674" s="11" t="str">
        <x:v>g12c_global</x:v>
      </x:c>
      <x:c r="D2674" s="11" t="str">
        <x:v>2043-12-31</x:v>
      </x:c>
      <x:c r="E2674" s="11" t="str">
        <x:v>USD</x:v>
      </x:c>
      <x:c r="F2674" s="11" t="n">
        <x:v>16.72826830937714</x:v>
      </x:c>
      <x:c r="G2674" s="26" t="b">
        <x:v>1</x:v>
      </x:c>
      <x:c r="H2674" s="16" t="n">
        <x:v>0.24</x:v>
      </x:c>
      <x:c r="I2674" s="16" t="n">
        <x:v>0.286</x:v>
      </x:c>
      <x:c r="J2674" s="16" t="n">
        <x:v>0</x:v>
      </x:c>
      <x:c r="K2674" s="11" t="n">
        <x:f>CHOOSE('假设'!$B$3,H2674,I2674,J2674)</x:f>
        <x:v>0.286</x:v>
      </x:c>
      <x:c r="L2674" s="11" t="n">
        <x:f>K2674*'管线假设'!E583*'管线假设'!F583*'管线假设'!G583*IF(E2674="USD",'管线假设'!I583,1)-AM2674</x:f>
        <x:v>0.039134821439999995</x:v>
      </x:c>
      <x:c r="M2674" s="11" t="n">
        <x:f>'管线假设'!H583</x:f>
        <x:v>0.135</x:v>
      </x:c>
      <x:c r="N2674" s="11" t="n">
        <x:f>IF(G2674,L2674*AN2674/(1+M2674)^F2674,0)</x:f>
        <x:v>0.0047051971906835926</x:v>
      </x:c>
      <x:c r="AJ2674" t="n">
        <x:v>0</x:v>
      </x:c>
      <x:c r="AK2674" t="n">
        <x:v>0</x:v>
      </x:c>
      <x:c r="AL2674" t="n">
        <x:v>0</x:v>
      </x:c>
      <x:c r="AM2674" t="n">
        <x:f>CHOOSE('假设'!$B$3,AJ2674,AK2674,AL2674)</x:f>
        <x:v>0</x:v>
      </x:c>
      <x:c r="AN2674" t="n">
        <x:v>1</x:v>
      </x:c>
    </x:row>
    <x:row r="2675" ht="23" customHeight="1">
      <x:c r="A2675" s="11" t="str">
        <x:v>688382.SH</x:v>
      </x:c>
      <x:c r="B2675" s="11" t="str">
        <x:v>半年</x:v>
      </x:c>
      <x:c r="C2675" s="11" t="str">
        <x:v>g12c_global</x:v>
      </x:c>
      <x:c r="D2675" s="11" t="str">
        <x:v>2044-12-31</x:v>
      </x:c>
      <x:c r="E2675" s="11" t="str">
        <x:v>USD</x:v>
      </x:c>
      <x:c r="F2675" s="11" t="n">
        <x:v>17.730321697467488</x:v>
      </x:c>
      <x:c r="G2675" s="26" t="b">
        <x:v>1</x:v>
      </x:c>
      <x:c r="H2675" s="16" t="n">
        <x:v>0.175</x:v>
      </x:c>
      <x:c r="I2675" s="16" t="n">
        <x:v>0.11699999999999997</x:v>
      </x:c>
      <x:c r="J2675" s="16" t="n">
        <x:v>0</x:v>
      </x:c>
      <x:c r="K2675" s="11" t="n">
        <x:f>CHOOSE('假设'!$B$3,H2675,I2675,J2675)</x:f>
        <x:v>0.11699999999999997</x:v>
      </x:c>
      <x:c r="L2675" s="11" t="n">
        <x:f>K2675*'管线假设'!E583*'管线假设'!F583*'管线假设'!G583*IF(E2675="USD",'管线假设'!I583,1)-AM2675</x:f>
        <x:v>0.016009699679999996</x:v>
      </x:c>
      <x:c r="M2675" s="11" t="n">
        <x:f>'管线假设'!H583</x:f>
        <x:v>0.135</x:v>
      </x:c>
      <x:c r="N2675" s="11" t="n">
        <x:f>IF(G2675,L2675*AN2675/(1+M2675)^F2675,0)</x:f>
        <x:v>0.001695465153630565</x:v>
      </x:c>
      <x:c r="AJ2675" t="n">
        <x:v>0</x:v>
      </x:c>
      <x:c r="AK2675" t="n">
        <x:v>0</x:v>
      </x:c>
      <x:c r="AL2675" t="n">
        <x:v>0</x:v>
      </x:c>
      <x:c r="AM2675" t="n">
        <x:f>CHOOSE('假设'!$B$3,AJ2675,AK2675,AL2675)</x:f>
        <x:v>0</x:v>
      </x:c>
      <x:c r="AN2675" t="n">
        <x:v>1</x:v>
      </x:c>
    </x:row>
    <x:row r="2676" ht="23" customHeight="1">
      <x:c r="A2676" s="11" t="str">
        <x:v>688382.SH</x:v>
      </x:c>
      <x:c r="B2676" s="11" t="str">
        <x:v>半年</x:v>
      </x:c>
      <x:c r="C2676" s="11" t="str">
        <x:v>g12c_global</x:v>
      </x:c>
      <x:c r="D2676" s="11" t="str">
        <x:v>2045-12-31</x:v>
      </x:c>
      <x:c r="E2676" s="11" t="str">
        <x:v>USD</x:v>
      </x:c>
      <x:c r="F2676" s="11" t="n">
        <x:v>18.729637234770706</x:v>
      </x:c>
      <x:c r="G2676" s="26" t="b">
        <x:v>1</x:v>
      </x:c>
      <x:c r="H2676" s="16" t="n">
        <x:v>0.10999999999999999</x:v>
      </x:c>
      <x:c r="I2676" s="16" t="n">
        <x:v>0</x:v>
      </x:c>
      <x:c r="J2676" s="16" t="n">
        <x:v>0</x:v>
      </x:c>
      <x:c r="K2676" s="11" t="n">
        <x:f>CHOOSE('假设'!$B$3,H2676,I2676,J2676)</x:f>
        <x:v>0</x:v>
      </x:c>
      <x:c r="L2676" s="11" t="n">
        <x:f>K2676*'管线假设'!E583*'管线假设'!F583*'管线假设'!G583*IF(E2676="USD",'管线假设'!I583,1)-AM2676</x:f>
        <x:v>0</x:v>
      </x:c>
      <x:c r="M2676" s="11" t="n">
        <x:f>'管线假设'!H583</x:f>
        <x:v>0.135</x:v>
      </x:c>
      <x:c r="N2676" s="11" t="n">
        <x:f>IF(G2676,L2676*AN2676/(1+M2676)^F2676,0)</x:f>
        <x:v>0</x:v>
      </x:c>
      <x:c r="AJ2676" t="n">
        <x:v>0</x:v>
      </x:c>
      <x:c r="AK2676" t="n">
        <x:v>0</x:v>
      </x:c>
      <x:c r="AL2676" t="n">
        <x:v>0</x:v>
      </x:c>
      <x:c r="AM2676" t="n">
        <x:f>CHOOSE('假设'!$B$3,AJ2676,AK2676,AL2676)</x:f>
        <x:v>0</x:v>
      </x:c>
      <x:c r="AN2676" t="n">
        <x:v>1</x:v>
      </x:c>
    </x:row>
    <x:row r="2677" ht="23" customHeight="1">
      <x:c r="A2677" s="11" t="str">
        <x:v>688382.SH</x:v>
      </x:c>
      <x:c r="B2677" s="11" t="str">
        <x:v>半年</x:v>
      </x:c>
      <x:c r="C2677" s="11" t="str">
        <x:v>tyk_ps_cn</x:v>
      </x:c>
      <x:c r="D2677" s="11" t="str">
        <x:v>2027-12-31</x:v>
      </x:c>
      <x:c r="E2677" s="11" t="str">
        <x:v>CNY</x:v>
      </x:c>
      <x:c r="F2677" s="11" t="n">
        <x:v>0.7282683093771389</x:v>
      </x:c>
      <x:c r="G2677" s="26" t="b">
        <x:v>1</x:v>
      </x:c>
      <x:c r="H2677" s="16" t="n">
        <x:v>0</x:v>
      </x:c>
      <x:c r="I2677" s="16" t="n">
        <x:v>0</x:v>
      </x:c>
      <x:c r="J2677" s="16" t="n">
        <x:v>0</x:v>
      </x:c>
      <x:c r="K2677" s="11" t="n">
        <x:f>CHOOSE('假设'!$B$3,H2677,I2677,J2677)</x:f>
        <x:v>0</x:v>
      </x:c>
      <x:c r="L2677" s="11" t="n">
        <x:f>K2677*'管线假设'!E587*'管线假设'!F587*'管线假设'!G587*IF(E2677="USD",'管线假设'!I587,1)-AM2677</x:f>
        <x:v>0</x:v>
      </x:c>
      <x:c r="M2677" s="11" t="n">
        <x:f>'管线假设'!H587</x:f>
        <x:v>0.135</x:v>
      </x:c>
      <x:c r="N2677" s="11" t="n">
        <x:f>IF(G2677,L2677*AN2677/(1+M2677)^F2677,0)</x:f>
        <x:v>0</x:v>
      </x:c>
      <x:c r="AJ2677" t="n">
        <x:v>0</x:v>
      </x:c>
      <x:c r="AK2677" t="n">
        <x:v>0</x:v>
      </x:c>
      <x:c r="AL2677" t="n">
        <x:v>0</x:v>
      </x:c>
      <x:c r="AM2677" t="n">
        <x:f>CHOOSE('假设'!$B$3,AJ2677,AK2677,AL2677)</x:f>
        <x:v>0</x:v>
      </x:c>
      <x:c r="AN2677" t="n">
        <x:v>1</x:v>
      </x:c>
    </x:row>
    <x:row r="2678" ht="23" customHeight="1">
      <x:c r="A2678" s="11" t="str">
        <x:v>688382.SH</x:v>
      </x:c>
      <x:c r="B2678" s="11" t="str">
        <x:v>半年</x:v>
      </x:c>
      <x:c r="C2678" s="11" t="str">
        <x:v>tyk_ps_cn</x:v>
      </x:c>
      <x:c r="D2678" s="11" t="str">
        <x:v>2028-12-31</x:v>
      </x:c>
      <x:c r="E2678" s="11" t="str">
        <x:v>CNY</x:v>
      </x:c>
      <x:c r="F2678" s="11" t="n">
        <x:v>1.730321697467488</x:v>
      </x:c>
      <x:c r="G2678" s="26" t="b">
        <x:v>1</x:v>
      </x:c>
      <x:c r="H2678" s="16" t="n">
        <x:v>0</x:v>
      </x:c>
      <x:c r="I2678" s="16" t="n">
        <x:v>0.41666666666666663</x:v>
      </x:c>
      <x:c r="J2678" s="16" t="n">
        <x:v>0.8</x:v>
      </x:c>
      <x:c r="K2678" s="11" t="n">
        <x:f>CHOOSE('假设'!$B$3,H2678,I2678,J2678)</x:f>
        <x:v>0.41666666666666663</x:v>
      </x:c>
      <x:c r="L2678" s="11" t="n">
        <x:f>K2678*'管线假设'!E587*'管线假设'!F587*'管线假设'!G587*IF(E2678="USD",'管线假设'!I587,1)-AM2678</x:f>
        <x:v>0.07322</x:v>
      </x:c>
      <x:c r="M2678" s="11" t="n">
        <x:f>'管线假设'!H587</x:f>
        <x:v>0.135</x:v>
      </x:c>
      <x:c r="N2678" s="11" t="n">
        <x:f>IF(G2678,L2678*AN2678/(1+M2678)^F2678,0)</x:f>
        <x:v>0.05881243923664207</x:v>
      </x:c>
      <x:c r="AJ2678" t="n">
        <x:v>0</x:v>
      </x:c>
      <x:c r="AK2678" t="n">
        <x:v>0</x:v>
      </x:c>
      <x:c r="AL2678" t="n">
        <x:v>0</x:v>
      </x:c>
      <x:c r="AM2678" t="n">
        <x:f>CHOOSE('假设'!$B$3,AJ2678,AK2678,AL2678)</x:f>
        <x:v>0</x:v>
      </x:c>
      <x:c r="AN2678" t="n">
        <x:v>1</x:v>
      </x:c>
    </x:row>
    <x:row r="2679" ht="23" customHeight="1">
      <x:c r="A2679" s="11" t="str">
        <x:v>688382.SH</x:v>
      </x:c>
      <x:c r="B2679" s="11" t="str">
        <x:v>半年</x:v>
      </x:c>
      <x:c r="C2679" s="11" t="str">
        <x:v>tyk_ps_cn</x:v>
      </x:c>
      <x:c r="D2679" s="11" t="str">
        <x:v>2029-12-31</x:v>
      </x:c>
      <x:c r="E2679" s="11" t="str">
        <x:v>CNY</x:v>
      </x:c>
      <x:c r="F2679" s="11" t="n">
        <x:v>2.729637234770705</x:v>
      </x:c>
      <x:c r="G2679" s="26" t="b">
        <x:v>1</x:v>
      </x:c>
      <x:c r="H2679" s="16" t="n">
        <x:v>0</x:v>
      </x:c>
      <x:c r="I2679" s="16" t="n">
        <x:v>0.8333333333333333</x:v>
      </x:c>
      <x:c r="J2679" s="16" t="n">
        <x:v>1.6</x:v>
      </x:c>
      <x:c r="K2679" s="11" t="n">
        <x:f>CHOOSE('假设'!$B$3,H2679,I2679,J2679)</x:f>
        <x:v>0.8333333333333333</x:v>
      </x:c>
      <x:c r="L2679" s="11" t="n">
        <x:f>K2679*'管线假设'!E587*'管线假设'!F587*'管线假设'!G587*IF(E2679="USD",'管线假设'!I587,1)-AM2679</x:f>
        <x:v>0.14644</x:v>
      </x:c>
      <x:c r="M2679" s="11" t="n">
        <x:f>'管线假设'!H587</x:f>
        <x:v>0.135</x:v>
      </x:c>
      <x:c r="N2679" s="11" t="n">
        <x:f>IF(G2679,L2679*AN2679/(1+M2679)^F2679,0)</x:f>
        <x:v>0.10364323708351623</x:v>
      </x:c>
      <x:c r="AJ2679" t="n">
        <x:v>0</x:v>
      </x:c>
      <x:c r="AK2679" t="n">
        <x:v>0</x:v>
      </x:c>
      <x:c r="AL2679" t="n">
        <x:v>0</x:v>
      </x:c>
      <x:c r="AM2679" t="n">
        <x:f>CHOOSE('假设'!$B$3,AJ2679,AK2679,AL2679)</x:f>
        <x:v>0</x:v>
      </x:c>
      <x:c r="AN2679" t="n">
        <x:v>1</x:v>
      </x:c>
    </x:row>
    <x:row r="2680" ht="23" customHeight="1">
      <x:c r="A2680" s="11" t="str">
        <x:v>688382.SH</x:v>
      </x:c>
      <x:c r="B2680" s="11" t="str">
        <x:v>半年</x:v>
      </x:c>
      <x:c r="C2680" s="11" t="str">
        <x:v>tyk_ps_cn</x:v>
      </x:c>
      <x:c r="D2680" s="11" t="str">
        <x:v>2030-12-31</x:v>
      </x:c>
      <x:c r="E2680" s="11" t="str">
        <x:v>CNY</x:v>
      </x:c>
      <x:c r="F2680" s="11" t="n">
        <x:v>3.728952772073922</x:v>
      </x:c>
      <x:c r="G2680" s="26" t="b">
        <x:v>1</x:v>
      </x:c>
      <x:c r="H2680" s="16" t="n">
        <x:v>0</x:v>
      </x:c>
      <x:c r="I2680" s="16" t="n">
        <x:v>1.25</x:v>
      </x:c>
      <x:c r="J2680" s="16" t="n">
        <x:v>2.4</x:v>
      </x:c>
      <x:c r="K2680" s="11" t="n">
        <x:f>CHOOSE('假设'!$B$3,H2680,I2680,J2680)</x:f>
        <x:v>1.25</x:v>
      </x:c>
      <x:c r="L2680" s="11" t="n">
        <x:f>K2680*'管线假设'!E587*'管线假设'!F587*'管线假设'!G587*IF(E2680="USD",'管线假设'!I587,1)-AM2680</x:f>
        <x:v>0.21966000000000002</x:v>
      </x:c>
      <x:c r="M2680" s="11" t="n">
        <x:f>'管线假设'!H587</x:f>
        <x:v>0.135</x:v>
      </x:c>
      <x:c r="N2680" s="11" t="n">
        <x:f>IF(G2680,L2680*AN2680/(1+M2680)^F2680,0)</x:f>
        <x:v>0.1369853138116918</x:v>
      </x:c>
      <x:c r="AJ2680" t="n">
        <x:v>0</x:v>
      </x:c>
      <x:c r="AK2680" t="n">
        <x:v>0</x:v>
      </x:c>
      <x:c r="AL2680" t="n">
        <x:v>0</x:v>
      </x:c>
      <x:c r="AM2680" t="n">
        <x:f>CHOOSE('假设'!$B$3,AJ2680,AK2680,AL2680)</x:f>
        <x:v>0</x:v>
      </x:c>
      <x:c r="AN2680" t="n">
        <x:v>1</x:v>
      </x:c>
    </x:row>
    <x:row r="2681" ht="23" customHeight="1">
      <x:c r="A2681" s="11" t="str">
        <x:v>688382.SH</x:v>
      </x:c>
      <x:c r="B2681" s="11" t="str">
        <x:v>半年</x:v>
      </x:c>
      <x:c r="C2681" s="11" t="str">
        <x:v>tyk_ps_cn</x:v>
      </x:c>
      <x:c r="D2681" s="11" t="str">
        <x:v>2031-12-31</x:v>
      </x:c>
      <x:c r="E2681" s="11" t="str">
        <x:v>CNY</x:v>
      </x:c>
      <x:c r="F2681" s="11" t="n">
        <x:v>4.728268309377139</x:v>
      </x:c>
      <x:c r="G2681" s="26" t="b">
        <x:v>1</x:v>
      </x:c>
      <x:c r="H2681" s="16" t="n">
        <x:v>0.2</x:v>
      </x:c>
      <x:c r="I2681" s="16" t="n">
        <x:v>1.6666666666666665</x:v>
      </x:c>
      <x:c r="J2681" s="16" t="n">
        <x:v>3.2</x:v>
      </x:c>
      <x:c r="K2681" s="11" t="n">
        <x:f>CHOOSE('假设'!$B$3,H2681,I2681,J2681)</x:f>
        <x:v>1.6666666666666665</x:v>
      </x:c>
      <x:c r="L2681" s="11" t="n">
        <x:f>K2681*'管线假设'!E587*'管线假设'!F587*'管线假设'!G587*IF(E2681="USD",'管线假设'!I587,1)-AM2681</x:f>
        <x:v>0.29288</x:v>
      </x:c>
      <x:c r="M2681" s="11" t="n">
        <x:f>'管线假设'!H587</x:f>
        <x:v>0.135</x:v>
      </x:c>
      <x:c r="N2681" s="11" t="n">
        <x:f>IF(G2681,L2681*AN2681/(1+M2681)^F2681,0)</x:f>
        <x:v>0.16093649054092707</x:v>
      </x:c>
      <x:c r="AJ2681" t="n">
        <x:v>0</x:v>
      </x:c>
      <x:c r="AK2681" t="n">
        <x:v>0</x:v>
      </x:c>
      <x:c r="AL2681" t="n">
        <x:v>0</x:v>
      </x:c>
      <x:c r="AM2681" t="n">
        <x:f>CHOOSE('假设'!$B$3,AJ2681,AK2681,AL2681)</x:f>
        <x:v>0</x:v>
      </x:c>
      <x:c r="AN2681" t="n">
        <x:v>1</x:v>
      </x:c>
    </x:row>
    <x:row r="2682" ht="23" customHeight="1">
      <x:c r="A2682" s="11" t="str">
        <x:v>688382.SH</x:v>
      </x:c>
      <x:c r="B2682" s="11" t="str">
        <x:v>半年</x:v>
      </x:c>
      <x:c r="C2682" s="11" t="str">
        <x:v>tyk_ps_cn</x:v>
      </x:c>
      <x:c r="D2682" s="11" t="str">
        <x:v>2032-12-31</x:v>
      </x:c>
      <x:c r="E2682" s="11" t="str">
        <x:v>CNY</x:v>
      </x:c>
      <x:c r="F2682" s="11" t="n">
        <x:v>5.730321697467488</x:v>
      </x:c>
      <x:c r="G2682" s="26" t="b">
        <x:v>1</x:v>
      </x:c>
      <x:c r="H2682" s="16" t="n">
        <x:v>0.4</x:v>
      </x:c>
      <x:c r="I2682" s="16" t="n">
        <x:v>2.0833333333333335</x:v>
      </x:c>
      <x:c r="J2682" s="16" t="n">
        <x:v>4</x:v>
      </x:c>
      <x:c r="K2682" s="11" t="n">
        <x:f>CHOOSE('假设'!$B$3,H2682,I2682,J2682)</x:f>
        <x:v>2.0833333333333335</x:v>
      </x:c>
      <x:c r="L2682" s="11" t="n">
        <x:f>K2682*'管线假设'!E587*'管线假设'!F587*'管线假设'!G587*IF(E2682="USD",'管线假设'!I587,1)-AM2682</x:f>
        <x:v>0.3661</x:v>
      </x:c>
      <x:c r="M2682" s="11" t="n">
        <x:f>'管线假设'!H587</x:f>
        <x:v>0.135</x:v>
      </x:c>
      <x:c r="N2682" s="11" t="n">
        <x:f>IF(G2682,L2682*AN2682/(1+M2682)^F2682,0)</x:f>
        <x:v>0.17719674924335205</x:v>
      </x:c>
      <x:c r="AJ2682" t="n">
        <x:v>0</x:v>
      </x:c>
      <x:c r="AK2682" t="n">
        <x:v>0</x:v>
      </x:c>
      <x:c r="AL2682" t="n">
        <x:v>0</x:v>
      </x:c>
      <x:c r="AM2682" t="n">
        <x:f>CHOOSE('假设'!$B$3,AJ2682,AK2682,AL2682)</x:f>
        <x:v>0</x:v>
      </x:c>
      <x:c r="AN2682" t="n">
        <x:v>1</x:v>
      </x:c>
    </x:row>
    <x:row r="2683" ht="23" customHeight="1">
      <x:c r="A2683" s="11" t="str">
        <x:v>688382.SH</x:v>
      </x:c>
      <x:c r="B2683" s="11" t="str">
        <x:v>半年</x:v>
      </x:c>
      <x:c r="C2683" s="11" t="str">
        <x:v>tyk_ps_cn</x:v>
      </x:c>
      <x:c r="D2683" s="11" t="str">
        <x:v>2033-12-31</x:v>
      </x:c>
      <x:c r="E2683" s="11" t="str">
        <x:v>CNY</x:v>
      </x:c>
      <x:c r="F2683" s="11" t="n">
        <x:v>6.729637234770705</x:v>
      </x:c>
      <x:c r="G2683" s="26" t="b">
        <x:v>1</x:v>
      </x:c>
      <x:c r="H2683" s="16" t="n">
        <x:v>0.6</x:v>
      </x:c>
      <x:c r="I2683" s="16" t="n">
        <x:v>2.5</x:v>
      </x:c>
      <x:c r="J2683" s="16" t="n">
        <x:v>3.48</x:v>
      </x:c>
      <x:c r="K2683" s="11" t="n">
        <x:f>CHOOSE('假设'!$B$3,H2683,I2683,J2683)</x:f>
        <x:v>2.5</x:v>
      </x:c>
      <x:c r="L2683" s="11" t="n">
        <x:f>K2683*'管线假设'!E587*'管线假设'!F587*'管线假设'!G587*IF(E2683="USD",'管线假设'!I587,1)-AM2683</x:f>
        <x:v>0.43932000000000004</x:v>
      </x:c>
      <x:c r="M2683" s="11" t="n">
        <x:f>'管线假设'!H587</x:f>
        <x:v>0.135</x:v>
      </x:c>
      <x:c r="N2683" s="11" t="n">
        <x:f>IF(G2683,L2683*AN2683/(1+M2683)^F2683,0)</x:f>
        <x:v>0.1873608195541222</x:v>
      </x:c>
      <x:c r="AJ2683" t="n">
        <x:v>0</x:v>
      </x:c>
      <x:c r="AK2683" t="n">
        <x:v>0</x:v>
      </x:c>
      <x:c r="AL2683" t="n">
        <x:v>0</x:v>
      </x:c>
      <x:c r="AM2683" t="n">
        <x:f>CHOOSE('假设'!$B$3,AJ2683,AK2683,AL2683)</x:f>
        <x:v>0</x:v>
      </x:c>
      <x:c r="AN2683" t="n">
        <x:v>1</x:v>
      </x:c>
    </x:row>
    <x:row r="2684" ht="23" customHeight="1">
      <x:c r="A2684" s="11" t="str">
        <x:v>688382.SH</x:v>
      </x:c>
      <x:c r="B2684" s="11" t="str">
        <x:v>半年</x:v>
      </x:c>
      <x:c r="C2684" s="11" t="str">
        <x:v>tyk_ps_cn</x:v>
      </x:c>
      <x:c r="D2684" s="11" t="str">
        <x:v>2034-12-31</x:v>
      </x:c>
      <x:c r="E2684" s="11" t="str">
        <x:v>CNY</x:v>
      </x:c>
      <x:c r="F2684" s="11" t="n">
        <x:v>7.728952772073922</x:v>
      </x:c>
      <x:c r="G2684" s="26" t="b">
        <x:v>1</x:v>
      </x:c>
      <x:c r="H2684" s="16" t="n">
        <x:v>0.8</x:v>
      </x:c>
      <x:c r="I2684" s="16" t="n">
        <x:v>2.175</x:v>
      </x:c>
      <x:c r="J2684" s="16" t="n">
        <x:v>2.96</x:v>
      </x:c>
      <x:c r="K2684" s="11" t="n">
        <x:f>CHOOSE('假设'!$B$3,H2684,I2684,J2684)</x:f>
        <x:v>2.175</x:v>
      </x:c>
      <x:c r="L2684" s="11" t="n">
        <x:f>K2684*'管线假设'!E587*'管线假设'!F587*'管线假设'!G587*IF(E2684="USD",'管线假设'!I587,1)-AM2684</x:f>
        <x:v>0.38220839999999995</x:v>
      </x:c>
      <x:c r="M2684" s="11" t="n">
        <x:f>'管线假设'!H587</x:f>
        <x:v>0.135</x:v>
      </x:c>
      <x:c r="N2684" s="11" t="n">
        <x:f>IF(G2684,L2684*AN2684/(1+M2684)^F2684,0)</x:f>
        <x:v>0.14362823087370646</x:v>
      </x:c>
      <x:c r="AJ2684" t="n">
        <x:v>0</x:v>
      </x:c>
      <x:c r="AK2684" t="n">
        <x:v>0</x:v>
      </x:c>
      <x:c r="AL2684" t="n">
        <x:v>0</x:v>
      </x:c>
      <x:c r="AM2684" t="n">
        <x:f>CHOOSE('假设'!$B$3,AJ2684,AK2684,AL2684)</x:f>
        <x:v>0</x:v>
      </x:c>
      <x:c r="AN2684" t="n">
        <x:v>1</x:v>
      </x:c>
    </x:row>
    <x:row r="2685" ht="23" customHeight="1">
      <x:c r="A2685" s="11" t="str">
        <x:v>688382.SH</x:v>
      </x:c>
      <x:c r="B2685" s="11" t="str">
        <x:v>半年</x:v>
      </x:c>
      <x:c r="C2685" s="11" t="str">
        <x:v>tyk_ps_cn</x:v>
      </x:c>
      <x:c r="D2685" s="11" t="str">
        <x:v>2035-12-31</x:v>
      </x:c>
      <x:c r="E2685" s="11" t="str">
        <x:v>CNY</x:v>
      </x:c>
      <x:c r="F2685" s="11" t="n">
        <x:v>8.728268309377139</x:v>
      </x:c>
      <x:c r="G2685" s="26" t="b">
        <x:v>1</x:v>
      </x:c>
      <x:c r="H2685" s="16" t="n">
        <x:v>1</x:v>
      </x:c>
      <x:c r="I2685" s="16" t="n">
        <x:v>1.85</x:v>
      </x:c>
      <x:c r="J2685" s="16" t="n">
        <x:v>2.44</x:v>
      </x:c>
      <x:c r="K2685" s="11" t="n">
        <x:f>CHOOSE('假设'!$B$3,H2685,I2685,J2685)</x:f>
        <x:v>1.85</x:v>
      </x:c>
      <x:c r="L2685" s="11" t="n">
        <x:f>K2685*'管线假设'!E587*'管线假设'!F587*'管线假设'!G587*IF(E2685="USD",'管线假设'!I587,1)-AM2685</x:f>
        <x:v>0.3250968</x:v>
      </x:c>
      <x:c r="M2685" s="11" t="n">
        <x:f>'管线假设'!H587</x:f>
        <x:v>0.135</x:v>
      </x:c>
      <x:c r="N2685" s="11" t="n">
        <x:f>IF(G2685,L2685*AN2685/(1+M2685)^F2685,0)</x:f>
        <x:v>0.10764504888686036</x:v>
      </x:c>
      <x:c r="AJ2685" t="n">
        <x:v>0</x:v>
      </x:c>
      <x:c r="AK2685" t="n">
        <x:v>0</x:v>
      </x:c>
      <x:c r="AL2685" t="n">
        <x:v>0</x:v>
      </x:c>
      <x:c r="AM2685" t="n">
        <x:f>CHOOSE('假设'!$B$3,AJ2685,AK2685,AL2685)</x:f>
        <x:v>0</x:v>
      </x:c>
      <x:c r="AN2685" t="n">
        <x:v>1</x:v>
      </x:c>
    </x:row>
    <x:row r="2686" ht="23" customHeight="1">
      <x:c r="A2686" s="11" t="str">
        <x:v>688382.SH</x:v>
      </x:c>
      <x:c r="B2686" s="11" t="str">
        <x:v>半年</x:v>
      </x:c>
      <x:c r="C2686" s="11" t="str">
        <x:v>tyk_ps_cn</x:v>
      </x:c>
      <x:c r="D2686" s="11" t="str">
        <x:v>2036-12-31</x:v>
      </x:c>
      <x:c r="E2686" s="11" t="str">
        <x:v>CNY</x:v>
      </x:c>
      <x:c r="F2686" s="11" t="n">
        <x:v>9.730321697467488</x:v>
      </x:c>
      <x:c r="G2686" s="26" t="b">
        <x:v>1</x:v>
      </x:c>
      <x:c r="H2686" s="16" t="n">
        <x:v>0.87</x:v>
      </x:c>
      <x:c r="I2686" s="16" t="n">
        <x:v>1.525</x:v>
      </x:c>
      <x:c r="J2686" s="16" t="n">
        <x:v>1.92</x:v>
      </x:c>
      <x:c r="K2686" s="11" t="n">
        <x:f>CHOOSE('假设'!$B$3,H2686,I2686,J2686)</x:f>
        <x:v>1.525</x:v>
      </x:c>
      <x:c r="L2686" s="11" t="n">
        <x:f>K2686*'管线假设'!E587*'管线假设'!F587*'管线假设'!G587*IF(E2686="USD",'管线假设'!I587,1)-AM2686</x:f>
        <x:v>0.2679852</x:v>
      </x:c>
      <x:c r="M2686" s="11" t="n">
        <x:f>'管线假设'!H587</x:f>
        <x:v>0.135</x:v>
      </x:c>
      <x:c r="N2686" s="11" t="n">
        <x:f>IF(G2686,L2686*AN2686/(1+M2686)^F2686,0)</x:f>
        <x:v>0.07815979024901745</x:v>
      </x:c>
      <x:c r="AJ2686" t="n">
        <x:v>0</x:v>
      </x:c>
      <x:c r="AK2686" t="n">
        <x:v>0</x:v>
      </x:c>
      <x:c r="AL2686" t="n">
        <x:v>0</x:v>
      </x:c>
      <x:c r="AM2686" t="n">
        <x:f>CHOOSE('假设'!$B$3,AJ2686,AK2686,AL2686)</x:f>
        <x:v>0</x:v>
      </x:c>
      <x:c r="AN2686" t="n">
        <x:v>1</x:v>
      </x:c>
    </x:row>
    <x:row r="2687" ht="23" customHeight="1">
      <x:c r="A2687" s="11" t="str">
        <x:v>688382.SH</x:v>
      </x:c>
      <x:c r="B2687" s="11" t="str">
        <x:v>半年</x:v>
      </x:c>
      <x:c r="C2687" s="11" t="str">
        <x:v>tyk_ps_cn</x:v>
      </x:c>
      <x:c r="D2687" s="11" t="str">
        <x:v>2037-12-31</x:v>
      </x:c>
      <x:c r="E2687" s="11" t="str">
        <x:v>CNY</x:v>
      </x:c>
      <x:c r="F2687" s="11" t="n">
        <x:v>10.729637234770705</x:v>
      </x:c>
      <x:c r="G2687" s="26" t="b">
        <x:v>1</x:v>
      </x:c>
      <x:c r="H2687" s="16" t="n">
        <x:v>0.74</x:v>
      </x:c>
      <x:c r="I2687" s="16" t="n">
        <x:v>1.2</x:v>
      </x:c>
      <x:c r="J2687" s="16" t="n">
        <x:v>1.4</x:v>
      </x:c>
      <x:c r="K2687" s="11" t="n">
        <x:f>CHOOSE('假设'!$B$3,H2687,I2687,J2687)</x:f>
        <x:v>1.2</x:v>
      </x:c>
      <x:c r="L2687" s="11" t="n">
        <x:f>K2687*'管线假设'!E587*'管线假设'!F587*'管线假设'!G587*IF(E2687="USD",'管线假设'!I587,1)-AM2687</x:f>
        <x:v>0.2108736</x:v>
      </x:c>
      <x:c r="M2687" s="11" t="n">
        <x:f>'管线假设'!H587</x:f>
        <x:v>0.135</x:v>
      </x:c>
      <x:c r="N2687" s="11" t="n">
        <x:f>IF(G2687,L2687*AN2687/(1+M2687)^F2687,0)</x:f>
        <x:v>0.05419217336981521</x:v>
      </x:c>
      <x:c r="AJ2687" t="n">
        <x:v>0</x:v>
      </x:c>
      <x:c r="AK2687" t="n">
        <x:v>0</x:v>
      </x:c>
      <x:c r="AL2687" t="n">
        <x:v>0</x:v>
      </x:c>
      <x:c r="AM2687" t="n">
        <x:f>CHOOSE('假设'!$B$3,AJ2687,AK2687,AL2687)</x:f>
        <x:v>0</x:v>
      </x:c>
      <x:c r="AN2687" t="n">
        <x:v>1</x:v>
      </x:c>
    </x:row>
    <x:row r="2688" ht="23" customHeight="1">
      <x:c r="A2688" s="11" t="str">
        <x:v>688382.SH</x:v>
      </x:c>
      <x:c r="B2688" s="11" t="str">
        <x:v>半年</x:v>
      </x:c>
      <x:c r="C2688" s="11" t="str">
        <x:v>tyk_ps_cn</x:v>
      </x:c>
      <x:c r="D2688" s="11" t="str">
        <x:v>2038-12-31</x:v>
      </x:c>
      <x:c r="E2688" s="11" t="str">
        <x:v>CNY</x:v>
      </x:c>
      <x:c r="F2688" s="11" t="n">
        <x:v>11.728952772073923</x:v>
      </x:c>
      <x:c r="G2688" s="26" t="b">
        <x:v>1</x:v>
      </x:c>
      <x:c r="H2688" s="16" t="n">
        <x:v>0.61</x:v>
      </x:c>
      <x:c r="I2688" s="16" t="n">
        <x:v>0.875</x:v>
      </x:c>
      <x:c r="J2688" s="16" t="n">
        <x:v>0.8799999999999999</x:v>
      </x:c>
      <x:c r="K2688" s="11" t="n">
        <x:f>CHOOSE('假设'!$B$3,H2688,I2688,J2688)</x:f>
        <x:v>0.875</x:v>
      </x:c>
      <x:c r="L2688" s="11" t="n">
        <x:f>K2688*'管线假设'!E587*'管线假设'!F587*'管线假设'!G587*IF(E2688="USD",'管线假设'!I587,1)-AM2688</x:f>
        <x:v>0.15376199999999998</x:v>
      </x:c>
      <x:c r="M2688" s="11" t="n">
        <x:f>'管线假设'!H587</x:f>
        <x:v>0.135</x:v>
      </x:c>
      <x:c r="N2688" s="11" t="n">
        <x:f>IF(G2688,L2688*AN2688/(1+M2688)^F2688,0)</x:f>
        <x:v>0.034818107092845725</x:v>
      </x:c>
      <x:c r="AJ2688" t="n">
        <x:v>0</x:v>
      </x:c>
      <x:c r="AK2688" t="n">
        <x:v>0</x:v>
      </x:c>
      <x:c r="AL2688" t="n">
        <x:v>0</x:v>
      </x:c>
      <x:c r="AM2688" t="n">
        <x:f>CHOOSE('假设'!$B$3,AJ2688,AK2688,AL2688)</x:f>
        <x:v>0</x:v>
      </x:c>
      <x:c r="AN2688" t="n">
        <x:v>1</x:v>
      </x:c>
    </x:row>
    <x:row r="2689" ht="23" customHeight="1">
      <x:c r="A2689" s="11" t="str">
        <x:v>688382.SH</x:v>
      </x:c>
      <x:c r="B2689" s="11" t="str">
        <x:v>半年</x:v>
      </x:c>
      <x:c r="C2689" s="11" t="str">
        <x:v>tyk_ps_cn</x:v>
      </x:c>
      <x:c r="D2689" s="11" t="str">
        <x:v>2039-12-31</x:v>
      </x:c>
      <x:c r="E2689" s="11" t="str">
        <x:v>CNY</x:v>
      </x:c>
      <x:c r="F2689" s="11" t="n">
        <x:v>12.728268309377139</x:v>
      </x:c>
      <x:c r="G2689" s="26" t="b">
        <x:v>1</x:v>
      </x:c>
      <x:c r="H2689" s="16" t="n">
        <x:v>0.48</x:v>
      </x:c>
      <x:c r="I2689" s="16" t="n">
        <x:v>0.5499999999999999</x:v>
      </x:c>
      <x:c r="J2689" s="16" t="n">
        <x:v>0.3599999999999999</x:v>
      </x:c>
      <x:c r="K2689" s="11" t="n">
        <x:f>CHOOSE('假设'!$B$3,H2689,I2689,J2689)</x:f>
        <x:v>0.5499999999999999</x:v>
      </x:c>
      <x:c r="L2689" s="11" t="n">
        <x:f>K2689*'管线假设'!E587*'管线假设'!F587*'管线假设'!G587*IF(E2689="USD",'管线假设'!I587,1)-AM2689</x:f>
        <x:v>0.09665039999999998</x:v>
      </x:c>
      <x:c r="M2689" s="11" t="n">
        <x:f>'管线假设'!H587</x:f>
        <x:v>0.135</x:v>
      </x:c>
      <x:c r="N2689" s="11" t="n">
        <x:f>IF(G2689,L2689*AN2689/(1+M2689)^F2689,0)</x:f>
        <x:v>0.019284197660844656</x:v>
      </x:c>
      <x:c r="AJ2689" t="n">
        <x:v>0</x:v>
      </x:c>
      <x:c r="AK2689" t="n">
        <x:v>0</x:v>
      </x:c>
      <x:c r="AL2689" t="n">
        <x:v>0</x:v>
      </x:c>
      <x:c r="AM2689" t="n">
        <x:f>CHOOSE('假设'!$B$3,AJ2689,AK2689,AL2689)</x:f>
        <x:v>0</x:v>
      </x:c>
      <x:c r="AN2689" t="n">
        <x:v>1</x:v>
      </x:c>
    </x:row>
    <x:row r="2690" ht="23" customHeight="1">
      <x:c r="A2690" s="11" t="str">
        <x:v>688382.SH</x:v>
      </x:c>
      <x:c r="B2690" s="11" t="str">
        <x:v>半年</x:v>
      </x:c>
      <x:c r="C2690" s="11" t="str">
        <x:v>tyk_ps_cn</x:v>
      </x:c>
      <x:c r="D2690" s="11" t="str">
        <x:v>2040-12-31</x:v>
      </x:c>
      <x:c r="E2690" s="11" t="str">
        <x:v>CNY</x:v>
      </x:c>
      <x:c r="F2690" s="11" t="n">
        <x:v>13.730321697467488</x:v>
      </x:c>
      <x:c r="G2690" s="26" t="b">
        <x:v>1</x:v>
      </x:c>
      <x:c r="H2690" s="16" t="n">
        <x:v>0.35</x:v>
      </x:c>
      <x:c r="I2690" s="16" t="n">
        <x:v>0.22499999999999992</x:v>
      </x:c>
      <x:c r="J2690" s="16" t="n">
        <x:v>0</x:v>
      </x:c>
      <x:c r="K2690" s="11" t="n">
        <x:f>CHOOSE('假设'!$B$3,H2690,I2690,J2690)</x:f>
        <x:v>0.22499999999999992</x:v>
      </x:c>
      <x:c r="L2690" s="11" t="n">
        <x:f>K2690*'管线假设'!E587*'管线假设'!F587*'管线假设'!G587*IF(E2690="USD",'管线假设'!I587,1)-AM2690</x:f>
        <x:v>0.03953879999999999</x:v>
      </x:c>
      <x:c r="M2690" s="11" t="n">
        <x:f>'管线假设'!H587</x:f>
        <x:v>0.135</x:v>
      </x:c>
      <x:c r="N2690" s="11" t="n">
        <x:f>IF(G2690,L2690*AN2690/(1+M2690)^F2690,0)</x:f>
        <x:v>0.006948844825127509</x:v>
      </x:c>
      <x:c r="AJ2690" t="n">
        <x:v>0</x:v>
      </x:c>
      <x:c r="AK2690" t="n">
        <x:v>0</x:v>
      </x:c>
      <x:c r="AL2690" t="n">
        <x:v>0</x:v>
      </x:c>
      <x:c r="AM2690" t="n">
        <x:f>CHOOSE('假设'!$B$3,AJ2690,AK2690,AL2690)</x:f>
        <x:v>0</x:v>
      </x:c>
      <x:c r="AN2690" t="n">
        <x:v>1</x:v>
      </x:c>
    </x:row>
    <x:row r="2691" ht="23" customHeight="1">
      <x:c r="A2691" s="11" t="str">
        <x:v>688382.SH</x:v>
      </x:c>
      <x:c r="B2691" s="11" t="str">
        <x:v>半年</x:v>
      </x:c>
      <x:c r="C2691" s="11" t="str">
        <x:v>tyk_ps_cn</x:v>
      </x:c>
      <x:c r="D2691" s="11" t="str">
        <x:v>2041-12-31</x:v>
      </x:c>
      <x:c r="E2691" s="11" t="str">
        <x:v>CNY</x:v>
      </x:c>
      <x:c r="F2691" s="11" t="n">
        <x:v>14.729637234770705</x:v>
      </x:c>
      <x:c r="G2691" s="26" t="b">
        <x:v>1</x:v>
      </x:c>
      <x:c r="H2691" s="16" t="n">
        <x:v>0.21999999999999997</x:v>
      </x:c>
      <x:c r="I2691" s="16" t="n">
        <x:v>0</x:v>
      </x:c>
      <x:c r="J2691" s="16" t="n">
        <x:v>0</x:v>
      </x:c>
      <x:c r="K2691" s="11" t="n">
        <x:f>CHOOSE('假设'!$B$3,H2691,I2691,J2691)</x:f>
        <x:v>0</x:v>
      </x:c>
      <x:c r="L2691" s="11" t="n">
        <x:f>K2691*'管线假设'!E587*'管线假设'!F587*'管线假设'!G587*IF(E2691="USD",'管线假设'!I587,1)-AM2691</x:f>
        <x:v>0</x:v>
      </x:c>
      <x:c r="M2691" s="11" t="n">
        <x:f>'管线假设'!H587</x:f>
        <x:v>0.135</x:v>
      </x:c>
      <x:c r="N2691" s="11" t="n">
        <x:f>IF(G2691,L2691*AN2691/(1+M2691)^F2691,0)</x:f>
        <x:v>0</x:v>
      </x:c>
      <x:c r="AJ2691" t="n">
        <x:v>0</x:v>
      </x:c>
      <x:c r="AK2691" t="n">
        <x:v>0</x:v>
      </x:c>
      <x:c r="AL2691" t="n">
        <x:v>0</x:v>
      </x:c>
      <x:c r="AM2691" t="n">
        <x:f>CHOOSE('假设'!$B$3,AJ2691,AK2691,AL2691)</x:f>
        <x:v>0</x:v>
      </x:c>
      <x:c r="AN2691" t="n">
        <x:v>1</x:v>
      </x:c>
    </x:row>
    <x:row r="2692" ht="23" customHeight="1">
      <x:c r="A2692" s="11" t="str">
        <x:v>688382.SH</x:v>
      </x:c>
      <x:c r="B2692" s="11" t="str">
        <x:v>半年</x:v>
      </x:c>
      <x:c r="C2692" s="11" t="str">
        <x:v>tyk_ps_cn</x:v>
      </x:c>
      <x:c r="D2692" s="11" t="str">
        <x:v>2042-12-31</x:v>
      </x:c>
      <x:c r="E2692" s="11" t="str">
        <x:v>CNY</x:v>
      </x:c>
      <x:c r="F2692" s="11" t="n">
        <x:v>15.728952772073923</x:v>
      </x:c>
      <x:c r="G2692" s="26" t="b">
        <x:v>1</x:v>
      </x:c>
      <x:c r="H2692" s="16" t="n">
        <x:v>0.08999999999999997</x:v>
      </x:c>
      <x:c r="I2692" s="16" t="n">
        <x:v>0</x:v>
      </x:c>
      <x:c r="J2692" s="16" t="n">
        <x:v>0</x:v>
      </x:c>
      <x:c r="K2692" s="11" t="n">
        <x:f>CHOOSE('假设'!$B$3,H2692,I2692,J2692)</x:f>
        <x:v>0</x:v>
      </x:c>
      <x:c r="L2692" s="11" t="n">
        <x:f>K2692*'管线假设'!E587*'管线假设'!F587*'管线假设'!G587*IF(E2692="USD",'管线假设'!I587,1)-AM2692</x:f>
        <x:v>0</x:v>
      </x:c>
      <x:c r="M2692" s="11" t="n">
        <x:f>'管线假设'!H587</x:f>
        <x:v>0.135</x:v>
      </x:c>
      <x:c r="N2692" s="11" t="n">
        <x:f>IF(G2692,L2692*AN2692/(1+M2692)^F2692,0)</x:f>
        <x:v>0</x:v>
      </x:c>
      <x:c r="AJ2692" t="n">
        <x:v>0</x:v>
      </x:c>
      <x:c r="AK2692" t="n">
        <x:v>0</x:v>
      </x:c>
      <x:c r="AL2692" t="n">
        <x:v>0</x:v>
      </x:c>
      <x:c r="AM2692" t="n">
        <x:f>CHOOSE('假设'!$B$3,AJ2692,AK2692,AL2692)</x:f>
        <x:v>0</x:v>
      </x:c>
      <x:c r="AN2692" t="n">
        <x:v>1</x:v>
      </x:c>
    </x:row>
    <x:row r="2693" ht="23" customHeight="1">
      <x:c r="A2693" s="11" t="str">
        <x:v>688382.SH</x:v>
      </x:c>
      <x:c r="B2693" s="11" t="str">
        <x:v>半年</x:v>
      </x:c>
      <x:c r="C2693" s="11" t="str">
        <x:v>tyk_ps_cn</x:v>
      </x:c>
      <x:c r="D2693" s="11" t="str">
        <x:v>2043-12-31</x:v>
      </x:c>
      <x:c r="E2693" s="11" t="str">
        <x:v>CNY</x:v>
      </x:c>
      <x:c r="F2693" s="11" t="n">
        <x:v>16.72826830937714</x:v>
      </x:c>
      <x:c r="G2693" s="26" t="b">
        <x:v>1</x:v>
      </x:c>
      <x:c r="H2693" s="16" t="n">
        <x:v>0</x:v>
      </x:c>
      <x:c r="I2693" s="16" t="n">
        <x:v>0</x:v>
      </x:c>
      <x:c r="J2693" s="16" t="n">
        <x:v>0</x:v>
      </x:c>
      <x:c r="K2693" s="11" t="n">
        <x:f>CHOOSE('假设'!$B$3,H2693,I2693,J2693)</x:f>
        <x:v>0</x:v>
      </x:c>
      <x:c r="L2693" s="11" t="n">
        <x:f>K2693*'管线假设'!E587*'管线假设'!F587*'管线假设'!G587*IF(E2693="USD",'管线假设'!I587,1)-AM2693</x:f>
        <x:v>0</x:v>
      </x:c>
      <x:c r="M2693" s="11" t="n">
        <x:f>'管线假设'!H587</x:f>
        <x:v>0.135</x:v>
      </x:c>
      <x:c r="N2693" s="11" t="n">
        <x:f>IF(G2693,L2693*AN2693/(1+M2693)^F2693,0)</x:f>
        <x:v>0</x:v>
      </x:c>
      <x:c r="AJ2693" t="n">
        <x:v>0</x:v>
      </x:c>
      <x:c r="AK2693" t="n">
        <x:v>0</x:v>
      </x:c>
      <x:c r="AL2693" t="n">
        <x:v>0</x:v>
      </x:c>
      <x:c r="AM2693" t="n">
        <x:f>CHOOSE('假设'!$B$3,AJ2693,AK2693,AL2693)</x:f>
        <x:v>0</x:v>
      </x:c>
      <x:c r="AN2693" t="n">
        <x:v>1</x:v>
      </x:c>
    </x:row>
    <x:row r="2694" ht="23" customHeight="1">
      <x:c r="A2694" s="11" t="str">
        <x:v>688382.SH</x:v>
      </x:c>
      <x:c r="B2694" s="11" t="str">
        <x:v>半年</x:v>
      </x:c>
      <x:c r="C2694" s="11" t="str">
        <x:v>tyk_ps_cn</x:v>
      </x:c>
      <x:c r="D2694" s="11" t="str">
        <x:v>2044-12-31</x:v>
      </x:c>
      <x:c r="E2694" s="11" t="str">
        <x:v>CNY</x:v>
      </x:c>
      <x:c r="F2694" s="11" t="n">
        <x:v>17.730321697467488</x:v>
      </x:c>
      <x:c r="G2694" s="26" t="b">
        <x:v>1</x:v>
      </x:c>
      <x:c r="H2694" s="16" t="n">
        <x:v>0</x:v>
      </x:c>
      <x:c r="I2694" s="16" t="n">
        <x:v>0</x:v>
      </x:c>
      <x:c r="J2694" s="16" t="n">
        <x:v>0</x:v>
      </x:c>
      <x:c r="K2694" s="11" t="n">
        <x:f>CHOOSE('假设'!$B$3,H2694,I2694,J2694)</x:f>
        <x:v>0</x:v>
      </x:c>
      <x:c r="L2694" s="11" t="n">
        <x:f>K2694*'管线假设'!E587*'管线假设'!F587*'管线假设'!G587*IF(E2694="USD",'管线假设'!I587,1)-AM2694</x:f>
        <x:v>0</x:v>
      </x:c>
      <x:c r="M2694" s="11" t="n">
        <x:f>'管线假设'!H587</x:f>
        <x:v>0.135</x:v>
      </x:c>
      <x:c r="N2694" s="11" t="n">
        <x:f>IF(G2694,L2694*AN2694/(1+M2694)^F2694,0)</x:f>
        <x:v>0</x:v>
      </x:c>
      <x:c r="AJ2694" t="n">
        <x:v>0</x:v>
      </x:c>
      <x:c r="AK2694" t="n">
        <x:v>0</x:v>
      </x:c>
      <x:c r="AL2694" t="n">
        <x:v>0</x:v>
      </x:c>
      <x:c r="AM2694" t="n">
        <x:f>CHOOSE('假设'!$B$3,AJ2694,AK2694,AL2694)</x:f>
        <x:v>0</x:v>
      </x:c>
      <x:c r="AN2694" t="n">
        <x:v>1</x:v>
      </x:c>
    </x:row>
    <x:row r="2695" ht="23" customHeight="1">
      <x:c r="A2695" s="11" t="str">
        <x:v>688382.SH</x:v>
      </x:c>
      <x:c r="B2695" s="11" t="str">
        <x:v>半年</x:v>
      </x:c>
      <x:c r="C2695" s="11" t="str">
        <x:v>tyk_ps_cn</x:v>
      </x:c>
      <x:c r="D2695" s="11" t="str">
        <x:v>2045-12-31</x:v>
      </x:c>
      <x:c r="E2695" s="11" t="str">
        <x:v>CNY</x:v>
      </x:c>
      <x:c r="F2695" s="11" t="n">
        <x:v>18.729637234770706</x:v>
      </x:c>
      <x:c r="G2695" s="26" t="b">
        <x:v>1</x:v>
      </x:c>
      <x:c r="H2695" s="16" t="n">
        <x:v>0</x:v>
      </x:c>
      <x:c r="I2695" s="16" t="n">
        <x:v>0</x:v>
      </x:c>
      <x:c r="J2695" s="16" t="n">
        <x:v>0</x:v>
      </x:c>
      <x:c r="K2695" s="11" t="n">
        <x:f>CHOOSE('假设'!$B$3,H2695,I2695,J2695)</x:f>
        <x:v>0</x:v>
      </x:c>
      <x:c r="L2695" s="11" t="n">
        <x:f>K2695*'管线假设'!E587*'管线假设'!F587*'管线假设'!G587*IF(E2695="USD",'管线假设'!I587,1)-AM2695</x:f>
        <x:v>0</x:v>
      </x:c>
      <x:c r="M2695" s="11" t="n">
        <x:f>'管线假设'!H587</x:f>
        <x:v>0.135</x:v>
      </x:c>
      <x:c r="N2695" s="11" t="n">
        <x:f>IF(G2695,L2695*AN2695/(1+M2695)^F2695,0)</x:f>
        <x:v>0</x:v>
      </x:c>
      <x:c r="AJ2695" t="n">
        <x:v>0</x:v>
      </x:c>
      <x:c r="AK2695" t="n">
        <x:v>0</x:v>
      </x:c>
      <x:c r="AL2695" t="n">
        <x:v>0</x:v>
      </x:c>
      <x:c r="AM2695" t="n">
        <x:f>CHOOSE('假设'!$B$3,AJ2695,AK2695,AL2695)</x:f>
        <x:v>0</x:v>
      </x:c>
      <x:c r="AN2695" t="n">
        <x:v>1</x:v>
      </x:c>
    </x:row>
    <x:row r="2696" ht="23" customHeight="1">
      <x:c r="A2696" s="11" t="str">
        <x:v>688382.SH</x:v>
      </x:c>
      <x:c r="B2696" s="11" t="str">
        <x:v>半年</x:v>
      </x:c>
      <x:c r="C2696" s="11" t="str">
        <x:v>tyk_uc_cn</x:v>
      </x:c>
      <x:c r="D2696" s="11" t="str">
        <x:v>2027-12-31</x:v>
      </x:c>
      <x:c r="E2696" s="11" t="str">
        <x:v>CNY</x:v>
      </x:c>
      <x:c r="F2696" s="11" t="n">
        <x:v>0.7282683093771389</x:v>
      </x:c>
      <x:c r="G2696" s="26" t="b">
        <x:v>1</x:v>
      </x:c>
      <x:c r="H2696" s="16" t="n">
        <x:v>0</x:v>
      </x:c>
      <x:c r="I2696" s="16" t="n">
        <x:v>0</x:v>
      </x:c>
      <x:c r="J2696" s="16" t="n">
        <x:v>0</x:v>
      </x:c>
      <x:c r="K2696" s="11" t="n">
        <x:f>CHOOSE('假设'!$B$3,H2696,I2696,J2696)</x:f>
        <x:v>0</x:v>
      </x:c>
      <x:c r="L2696" s="11" t="n">
        <x:f>K2696*'管线假设'!E591*'管线假设'!F591*'管线假设'!G591*IF(E2696="USD",'管线假设'!I591,1)-AM2696</x:f>
        <x:v>0</x:v>
      </x:c>
      <x:c r="M2696" s="11" t="n">
        <x:f>'管线假设'!H591</x:f>
        <x:v>0.135</x:v>
      </x:c>
      <x:c r="N2696" s="11" t="n">
        <x:f>IF(G2696,L2696*AN2696/(1+M2696)^F2696,0)</x:f>
        <x:v>0</x:v>
      </x:c>
      <x:c r="AJ2696" t="n">
        <x:v>0</x:v>
      </x:c>
      <x:c r="AK2696" t="n">
        <x:v>0</x:v>
      </x:c>
      <x:c r="AL2696" t="n">
        <x:v>0</x:v>
      </x:c>
      <x:c r="AM2696" t="n">
        <x:f>CHOOSE('假设'!$B$3,AJ2696,AK2696,AL2696)</x:f>
        <x:v>0</x:v>
      </x:c>
      <x:c r="AN2696" t="n">
        <x:v>1</x:v>
      </x:c>
    </x:row>
    <x:row r="2697" ht="23" customHeight="1">
      <x:c r="A2697" s="11" t="str">
        <x:v>688382.SH</x:v>
      </x:c>
      <x:c r="B2697" s="11" t="str">
        <x:v>半年</x:v>
      </x:c>
      <x:c r="C2697" s="11" t="str">
        <x:v>tyk_uc_cn</x:v>
      </x:c>
      <x:c r="D2697" s="11" t="str">
        <x:v>2028-12-31</x:v>
      </x:c>
      <x:c r="E2697" s="11" t="str">
        <x:v>CNY</x:v>
      </x:c>
      <x:c r="F2697" s="11" t="n">
        <x:v>1.730321697467488</x:v>
      </x:c>
      <x:c r="G2697" s="26" t="b">
        <x:v>1</x:v>
      </x:c>
      <x:c r="H2697" s="16" t="n">
        <x:v>0</x:v>
      </x:c>
      <x:c r="I2697" s="16" t="n">
        <x:v>0</x:v>
      </x:c>
      <x:c r="J2697" s="16" t="n">
        <x:v>0</x:v>
      </x:c>
      <x:c r="K2697" s="11" t="n">
        <x:f>CHOOSE('假设'!$B$3,H2697,I2697,J2697)</x:f>
        <x:v>0</x:v>
      </x:c>
      <x:c r="L2697" s="11" t="n">
        <x:f>K2697*'管线假设'!E591*'管线假设'!F591*'管线假设'!G591*IF(E2697="USD",'管线假设'!I591,1)-AM2697</x:f>
        <x:v>0</x:v>
      </x:c>
      <x:c r="M2697" s="11" t="n">
        <x:f>'管线假设'!H591</x:f>
        <x:v>0.135</x:v>
      </x:c>
      <x:c r="N2697" s="11" t="n">
        <x:f>IF(G2697,L2697*AN2697/(1+M2697)^F2697,0)</x:f>
        <x:v>0</x:v>
      </x:c>
      <x:c r="AJ2697" t="n">
        <x:v>0</x:v>
      </x:c>
      <x:c r="AK2697" t="n">
        <x:v>0</x:v>
      </x:c>
      <x:c r="AL2697" t="n">
        <x:v>0</x:v>
      </x:c>
      <x:c r="AM2697" t="n">
        <x:f>CHOOSE('假设'!$B$3,AJ2697,AK2697,AL2697)</x:f>
        <x:v>0</x:v>
      </x:c>
      <x:c r="AN2697" t="n">
        <x:v>1</x:v>
      </x:c>
    </x:row>
    <x:row r="2698" ht="23" customHeight="1">
      <x:c r="A2698" s="11" t="str">
        <x:v>688382.SH</x:v>
      </x:c>
      <x:c r="B2698" s="11" t="str">
        <x:v>半年</x:v>
      </x:c>
      <x:c r="C2698" s="11" t="str">
        <x:v>tyk_uc_cn</x:v>
      </x:c>
      <x:c r="D2698" s="11" t="str">
        <x:v>2029-12-31</x:v>
      </x:c>
      <x:c r="E2698" s="11" t="str">
        <x:v>CNY</x:v>
      </x:c>
      <x:c r="F2698" s="11" t="n">
        <x:v>2.729637234770705</x:v>
      </x:c>
      <x:c r="G2698" s="26" t="b">
        <x:v>1</x:v>
      </x:c>
      <x:c r="H2698" s="16" t="n">
        <x:v>0</x:v>
      </x:c>
      <x:c r="I2698" s="16" t="n">
        <x:v>0</x:v>
      </x:c>
      <x:c r="J2698" s="16" t="n">
        <x:v>0.5</x:v>
      </x:c>
      <x:c r="K2698" s="11" t="n">
        <x:f>CHOOSE('假设'!$B$3,H2698,I2698,J2698)</x:f>
        <x:v>0</x:v>
      </x:c>
      <x:c r="L2698" s="11" t="n">
        <x:f>K2698*'管线假设'!E591*'管线假设'!F591*'管线假设'!G591*IF(E2698="USD",'管线假设'!I591,1)-AM2698</x:f>
        <x:v>0</x:v>
      </x:c>
      <x:c r="M2698" s="11" t="n">
        <x:f>'管线假设'!H591</x:f>
        <x:v>0.135</x:v>
      </x:c>
      <x:c r="N2698" s="11" t="n">
        <x:f>IF(G2698,L2698*AN2698/(1+M2698)^F2698,0)</x:f>
        <x:v>0</x:v>
      </x:c>
      <x:c r="AJ2698" t="n">
        <x:v>0</x:v>
      </x:c>
      <x:c r="AK2698" t="n">
        <x:v>0</x:v>
      </x:c>
      <x:c r="AL2698" t="n">
        <x:v>0</x:v>
      </x:c>
      <x:c r="AM2698" t="n">
        <x:f>CHOOSE('假设'!$B$3,AJ2698,AK2698,AL2698)</x:f>
        <x:v>0</x:v>
      </x:c>
      <x:c r="AN2698" t="n">
        <x:v>1</x:v>
      </x:c>
    </x:row>
    <x:row r="2699" ht="23" customHeight="1">
      <x:c r="A2699" s="11" t="str">
        <x:v>688382.SH</x:v>
      </x:c>
      <x:c r="B2699" s="11" t="str">
        <x:v>半年</x:v>
      </x:c>
      <x:c r="C2699" s="11" t="str">
        <x:v>tyk_uc_cn</x:v>
      </x:c>
      <x:c r="D2699" s="11" t="str">
        <x:v>2030-12-31</x:v>
      </x:c>
      <x:c r="E2699" s="11" t="str">
        <x:v>CNY</x:v>
      </x:c>
      <x:c r="F2699" s="11" t="n">
        <x:v>3.728952772073922</x:v>
      </x:c>
      <x:c r="G2699" s="26" t="b">
        <x:v>1</x:v>
      </x:c>
      <x:c r="H2699" s="16" t="n">
        <x:v>0</x:v>
      </x:c>
      <x:c r="I2699" s="16" t="n">
        <x:v>0</x:v>
      </x:c>
      <x:c r="J2699" s="16" t="n">
        <x:v>1</x:v>
      </x:c>
      <x:c r="K2699" s="11" t="n">
        <x:f>CHOOSE('假设'!$B$3,H2699,I2699,J2699)</x:f>
        <x:v>0</x:v>
      </x:c>
      <x:c r="L2699" s="11" t="n">
        <x:f>K2699*'管线假设'!E591*'管线假设'!F591*'管线假设'!G591*IF(E2699="USD",'管线假设'!I591,1)-AM2699</x:f>
        <x:v>0</x:v>
      </x:c>
      <x:c r="M2699" s="11" t="n">
        <x:f>'管线假设'!H591</x:f>
        <x:v>0.135</x:v>
      </x:c>
      <x:c r="N2699" s="11" t="n">
        <x:f>IF(G2699,L2699*AN2699/(1+M2699)^F2699,0)</x:f>
        <x:v>0</x:v>
      </x:c>
      <x:c r="AJ2699" t="n">
        <x:v>0</x:v>
      </x:c>
      <x:c r="AK2699" t="n">
        <x:v>0</x:v>
      </x:c>
      <x:c r="AL2699" t="n">
        <x:v>0</x:v>
      </x:c>
      <x:c r="AM2699" t="n">
        <x:f>CHOOSE('假设'!$B$3,AJ2699,AK2699,AL2699)</x:f>
        <x:v>0</x:v>
      </x:c>
      <x:c r="AN2699" t="n">
        <x:v>1</x:v>
      </x:c>
    </x:row>
    <x:row r="2700" ht="23" customHeight="1">
      <x:c r="A2700" s="11" t="str">
        <x:v>688382.SH</x:v>
      </x:c>
      <x:c r="B2700" s="11" t="str">
        <x:v>半年</x:v>
      </x:c>
      <x:c r="C2700" s="11" t="str">
        <x:v>tyk_uc_cn</x:v>
      </x:c>
      <x:c r="D2700" s="11" t="str">
        <x:v>2031-12-31</x:v>
      </x:c>
      <x:c r="E2700" s="11" t="str">
        <x:v>CNY</x:v>
      </x:c>
      <x:c r="F2700" s="11" t="n">
        <x:v>4.728268309377139</x:v>
      </x:c>
      <x:c r="G2700" s="26" t="b">
        <x:v>1</x:v>
      </x:c>
      <x:c r="H2700" s="16" t="n">
        <x:v>0</x:v>
      </x:c>
      <x:c r="I2700" s="16" t="n">
        <x:v>0.2833333333333333</x:v>
      </x:c>
      <x:c r="J2700" s="16" t="n">
        <x:v>1.5</x:v>
      </x:c>
      <x:c r="K2700" s="11" t="n">
        <x:f>CHOOSE('假设'!$B$3,H2700,I2700,J2700)</x:f>
        <x:v>0.2833333333333333</x:v>
      </x:c>
      <x:c r="L2700" s="11" t="n">
        <x:f>K2700*'管线假设'!E591*'管线假设'!F591*'管线假设'!G591*IF(E2700="USD",'管线假设'!I591,1)-AM2700</x:f>
        <x:v>0.023355733333333333</x:v>
      </x:c>
      <x:c r="M2700" s="11" t="n">
        <x:f>'管线假设'!H591</x:f>
        <x:v>0.135</x:v>
      </x:c>
      <x:c r="N2700" s="11" t="n">
        <x:f>IF(G2700,L2700*AN2700/(1+M2700)^F2700,0)</x:f>
        <x:v>0.012833890182588143</x:v>
      </x:c>
      <x:c r="AJ2700" t="n">
        <x:v>0</x:v>
      </x:c>
      <x:c r="AK2700" t="n">
        <x:v>0</x:v>
      </x:c>
      <x:c r="AL2700" t="n">
        <x:v>0</x:v>
      </x:c>
      <x:c r="AM2700" t="n">
        <x:f>CHOOSE('假设'!$B$3,AJ2700,AK2700,AL2700)</x:f>
        <x:v>0</x:v>
      </x:c>
      <x:c r="AN2700" t="n">
        <x:v>1</x:v>
      </x:c>
    </x:row>
    <x:row r="2701" ht="23" customHeight="1">
      <x:c r="A2701" s="11" t="str">
        <x:v>688382.SH</x:v>
      </x:c>
      <x:c r="B2701" s="11" t="str">
        <x:v>半年</x:v>
      </x:c>
      <x:c r="C2701" s="11" t="str">
        <x:v>tyk_uc_cn</x:v>
      </x:c>
      <x:c r="D2701" s="11" t="str">
        <x:v>2032-12-31</x:v>
      </x:c>
      <x:c r="E2701" s="11" t="str">
        <x:v>CNY</x:v>
      </x:c>
      <x:c r="F2701" s="11" t="n">
        <x:v>5.730321697467488</x:v>
      </x:c>
      <x:c r="G2701" s="26" t="b">
        <x:v>1</x:v>
      </x:c>
      <x:c r="H2701" s="16" t="n">
        <x:v>0</x:v>
      </x:c>
      <x:c r="I2701" s="16" t="n">
        <x:v>0.5666666666666667</x:v>
      </x:c>
      <x:c r="J2701" s="16" t="n">
        <x:v>2</x:v>
      </x:c>
      <x:c r="K2701" s="11" t="n">
        <x:f>CHOOSE('假设'!$B$3,H2701,I2701,J2701)</x:f>
        <x:v>0.5666666666666667</x:v>
      </x:c>
      <x:c r="L2701" s="11" t="n">
        <x:f>K2701*'管线假设'!E591*'管线假设'!F591*'管线假设'!G591*IF(E2701="USD",'管线假设'!I591,1)-AM2701</x:f>
        <x:v>0.046711466666666666</x:v>
      </x:c>
      <x:c r="M2701" s="11" t="n">
        <x:f>'管线假设'!H591</x:f>
        <x:v>0.135</x:v>
      </x:c>
      <x:c r="N2701" s="11" t="n">
        <x:f>IF(G2701,L2701*AN2701/(1+M2701)^F2701,0)</x:f>
        <x:v>0.022608904795745784</x:v>
      </x:c>
      <x:c r="AJ2701" t="n">
        <x:v>0</x:v>
      </x:c>
      <x:c r="AK2701" t="n">
        <x:v>0</x:v>
      </x:c>
      <x:c r="AL2701" t="n">
        <x:v>0</x:v>
      </x:c>
      <x:c r="AM2701" t="n">
        <x:f>CHOOSE('假设'!$B$3,AJ2701,AK2701,AL2701)</x:f>
        <x:v>0</x:v>
      </x:c>
      <x:c r="AN2701" t="n">
        <x:v>1</x:v>
      </x:c>
    </x:row>
    <x:row r="2702" ht="23" customHeight="1">
      <x:c r="A2702" s="11" t="str">
        <x:v>688382.SH</x:v>
      </x:c>
      <x:c r="B2702" s="11" t="str">
        <x:v>半年</x:v>
      </x:c>
      <x:c r="C2702" s="11" t="str">
        <x:v>tyk_uc_cn</x:v>
      </x:c>
      <x:c r="D2702" s="11" t="str">
        <x:v>2033-12-31</x:v>
      </x:c>
      <x:c r="E2702" s="11" t="str">
        <x:v>CNY</x:v>
      </x:c>
      <x:c r="F2702" s="11" t="n">
        <x:v>6.729637234770705</x:v>
      </x:c>
      <x:c r="G2702" s="26" t="b">
        <x:v>1</x:v>
      </x:c>
      <x:c r="H2702" s="16" t="n">
        <x:v>0</x:v>
      </x:c>
      <x:c r="I2702" s="16" t="n">
        <x:v>0.85</x:v>
      </x:c>
      <x:c r="J2702" s="16" t="n">
        <x:v>2.5</x:v>
      </x:c>
      <x:c r="K2702" s="11" t="n">
        <x:f>CHOOSE('假设'!$B$3,H2702,I2702,J2702)</x:f>
        <x:v>0.85</x:v>
      </x:c>
      <x:c r="L2702" s="11" t="n">
        <x:f>K2702*'管线假设'!E591*'管线假设'!F591*'管线假设'!G591*IF(E2702="USD",'管线假设'!I591,1)-AM2702</x:f>
        <x:v>0.0700672</x:v>
      </x:c>
      <x:c r="M2702" s="11" t="n">
        <x:f>'管线假设'!H591</x:f>
        <x:v>0.135</x:v>
      </x:c>
      <x:c r="N2702" s="11" t="n">
        <x:f>IF(G2702,L2702*AN2702/(1+M2702)^F2702,0)</x:f>
        <x:v>0.029882199799377653</x:v>
      </x:c>
      <x:c r="AJ2702" t="n">
        <x:v>0</x:v>
      </x:c>
      <x:c r="AK2702" t="n">
        <x:v>0</x:v>
      </x:c>
      <x:c r="AL2702" t="n">
        <x:v>0</x:v>
      </x:c>
      <x:c r="AM2702" t="n">
        <x:f>CHOOSE('假设'!$B$3,AJ2702,AK2702,AL2702)</x:f>
        <x:v>0</x:v>
      </x:c>
      <x:c r="AN2702" t="n">
        <x:v>1</x:v>
      </x:c>
    </x:row>
    <x:row r="2703" ht="23" customHeight="1">
      <x:c r="A2703" s="11" t="str">
        <x:v>688382.SH</x:v>
      </x:c>
      <x:c r="B2703" s="11" t="str">
        <x:v>半年</x:v>
      </x:c>
      <x:c r="C2703" s="11" t="str">
        <x:v>tyk_uc_cn</x:v>
      </x:c>
      <x:c r="D2703" s="11" t="str">
        <x:v>2034-12-31</x:v>
      </x:c>
      <x:c r="E2703" s="11" t="str">
        <x:v>CNY</x:v>
      </x:c>
      <x:c r="F2703" s="11" t="n">
        <x:v>7.728952772073922</x:v>
      </x:c>
      <x:c r="G2703" s="26" t="b">
        <x:v>1</x:v>
      </x:c>
      <x:c r="H2703" s="16" t="n">
        <x:v>0.13999999999999999</x:v>
      </x:c>
      <x:c r="I2703" s="16" t="n">
        <x:v>1.1333333333333333</x:v>
      </x:c>
      <x:c r="J2703" s="16" t="n">
        <x:v>3</x:v>
      </x:c>
      <x:c r="K2703" s="11" t="n">
        <x:f>CHOOSE('假设'!$B$3,H2703,I2703,J2703)</x:f>
        <x:v>1.1333333333333333</x:v>
      </x:c>
      <x:c r="L2703" s="11" t="n">
        <x:f>K2703*'管线假设'!E591*'管线假设'!F591*'管线假设'!G591*IF(E2703="USD",'管线假设'!I591,1)-AM2703</x:f>
        <x:v>0.09342293333333333</x:v>
      </x:c>
      <x:c r="M2703" s="11" t="n">
        <x:f>'管线假设'!H591</x:f>
        <x:v>0.135</x:v>
      </x:c>
      <x:c r="N2703" s="11" t="n">
        <x:f>IF(G2703,L2703*AN2703/(1+M2703)^F2703,0)</x:f>
        <x:v>0.03510694855921243</x:v>
      </x:c>
      <x:c r="AJ2703" t="n">
        <x:v>0</x:v>
      </x:c>
      <x:c r="AK2703" t="n">
        <x:v>0</x:v>
      </x:c>
      <x:c r="AL2703" t="n">
        <x:v>0</x:v>
      </x:c>
      <x:c r="AM2703" t="n">
        <x:f>CHOOSE('假设'!$B$3,AJ2703,AK2703,AL2703)</x:f>
        <x:v>0</x:v>
      </x:c>
      <x:c r="AN2703" t="n">
        <x:v>1</x:v>
      </x:c>
    </x:row>
    <x:row r="2704" ht="23" customHeight="1">
      <x:c r="A2704" s="11" t="str">
        <x:v>688382.SH</x:v>
      </x:c>
      <x:c r="B2704" s="11" t="str">
        <x:v>半年</x:v>
      </x:c>
      <x:c r="C2704" s="11" t="str">
        <x:v>tyk_uc_cn</x:v>
      </x:c>
      <x:c r="D2704" s="11" t="str">
        <x:v>2035-12-31</x:v>
      </x:c>
      <x:c r="E2704" s="11" t="str">
        <x:v>CNY</x:v>
      </x:c>
      <x:c r="F2704" s="11" t="n">
        <x:v>8.728268309377139</x:v>
      </x:c>
      <x:c r="G2704" s="26" t="b">
        <x:v>1</x:v>
      </x:c>
      <x:c r="H2704" s="16" t="n">
        <x:v>0.27999999999999997</x:v>
      </x:c>
      <x:c r="I2704" s="16" t="n">
        <x:v>1.4166666666666667</x:v>
      </x:c>
      <x:c r="J2704" s="16" t="n">
        <x:v>2.61</x:v>
      </x:c>
      <x:c r="K2704" s="11" t="n">
        <x:f>CHOOSE('假设'!$B$3,H2704,I2704,J2704)</x:f>
        <x:v>1.4166666666666667</x:v>
      </x:c>
      <x:c r="L2704" s="11" t="n">
        <x:f>K2704*'管线假设'!E591*'管线假设'!F591*'管线假设'!G591*IF(E2704="USD",'管线假设'!I591,1)-AM2704</x:f>
        <x:v>0.11677866666666668</x:v>
      </x:c>
      <x:c r="M2704" s="11" t="n">
        <x:f>'管线假设'!H591</x:f>
        <x:v>0.135</x:v>
      </x:c>
      <x:c r="N2704" s="11" t="n">
        <x:f>IF(G2704,L2704*AN2704/(1+M2704)^F2704,0)</x:f>
        <x:v>0.03866739162697296</x:v>
      </x:c>
      <x:c r="AJ2704" t="n">
        <x:v>0</x:v>
      </x:c>
      <x:c r="AK2704" t="n">
        <x:v>0</x:v>
      </x:c>
      <x:c r="AL2704" t="n">
        <x:v>0</x:v>
      </x:c>
      <x:c r="AM2704" t="n">
        <x:f>CHOOSE('假设'!$B$3,AJ2704,AK2704,AL2704)</x:f>
        <x:v>0</x:v>
      </x:c>
      <x:c r="AN2704" t="n">
        <x:v>1</x:v>
      </x:c>
    </x:row>
    <x:row r="2705" ht="23" customHeight="1">
      <x:c r="A2705" s="11" t="str">
        <x:v>688382.SH</x:v>
      </x:c>
      <x:c r="B2705" s="11" t="str">
        <x:v>半年</x:v>
      </x:c>
      <x:c r="C2705" s="11" t="str">
        <x:v>tyk_uc_cn</x:v>
      </x:c>
      <x:c r="D2705" s="11" t="str">
        <x:v>2036-12-31</x:v>
      </x:c>
      <x:c r="E2705" s="11" t="str">
        <x:v>CNY</x:v>
      </x:c>
      <x:c r="F2705" s="11" t="n">
        <x:v>9.730321697467488</x:v>
      </x:c>
      <x:c r="G2705" s="26" t="b">
        <x:v>1</x:v>
      </x:c>
      <x:c r="H2705" s="16" t="n">
        <x:v>0.42</x:v>
      </x:c>
      <x:c r="I2705" s="16" t="n">
        <x:v>1.7</x:v>
      </x:c>
      <x:c r="J2705" s="16" t="n">
        <x:v>2.2199999999999998</x:v>
      </x:c>
      <x:c r="K2705" s="11" t="n">
        <x:f>CHOOSE('假设'!$B$3,H2705,I2705,J2705)</x:f>
        <x:v>1.7</x:v>
      </x:c>
      <x:c r="L2705" s="11" t="n">
        <x:f>K2705*'管线假设'!E591*'管线假设'!F591*'管线假设'!G591*IF(E2705="USD",'管线假设'!I591,1)-AM2705</x:f>
        <x:v>0.1401344</x:v>
      </x:c>
      <x:c r="M2705" s="11" t="n">
        <x:f>'管线假设'!H591</x:f>
        <x:v>0.135</x:v>
      </x:c>
      <x:c r="N2705" s="11" t="n">
        <x:f>IF(G2705,L2705*AN2705/(1+M2705)^F2705,0)</x:f>
        <x:v>0.040871194792368795</x:v>
      </x:c>
      <x:c r="AJ2705" t="n">
        <x:v>0</x:v>
      </x:c>
      <x:c r="AK2705" t="n">
        <x:v>0</x:v>
      </x:c>
      <x:c r="AL2705" t="n">
        <x:v>0</x:v>
      </x:c>
      <x:c r="AM2705" t="n">
        <x:f>CHOOSE('假设'!$B$3,AJ2705,AK2705,AL2705)</x:f>
        <x:v>0</x:v>
      </x:c>
      <x:c r="AN2705" t="n">
        <x:v>1</x:v>
      </x:c>
    </x:row>
    <x:row r="2706" ht="23" customHeight="1">
      <x:c r="A2706" s="11" t="str">
        <x:v>688382.SH</x:v>
      </x:c>
      <x:c r="B2706" s="11" t="str">
        <x:v>半年</x:v>
      </x:c>
      <x:c r="C2706" s="11" t="str">
        <x:v>tyk_uc_cn</x:v>
      </x:c>
      <x:c r="D2706" s="11" t="str">
        <x:v>2037-12-31</x:v>
      </x:c>
      <x:c r="E2706" s="11" t="str">
        <x:v>CNY</x:v>
      </x:c>
      <x:c r="F2706" s="11" t="n">
        <x:v>10.729637234770705</x:v>
      </x:c>
      <x:c r="G2706" s="26" t="b">
        <x:v>1</x:v>
      </x:c>
      <x:c r="H2706" s="16" t="n">
        <x:v>0.5599999999999999</x:v>
      </x:c>
      <x:c r="I2706" s="16" t="n">
        <x:v>1.4789999999999999</x:v>
      </x:c>
      <x:c r="J2706" s="16" t="n">
        <x:v>1.83</x:v>
      </x:c>
      <x:c r="K2706" s="11" t="n">
        <x:f>CHOOSE('假设'!$B$3,H2706,I2706,J2706)</x:f>
        <x:v>1.4789999999999999</x:v>
      </x:c>
      <x:c r="L2706" s="11" t="n">
        <x:f>K2706*'管线假设'!E591*'管线假设'!F591*'管线假设'!G591*IF(E2706="USD",'管线假设'!I591,1)-AM2706</x:f>
        <x:v>0.121916928</x:v>
      </x:c>
      <x:c r="M2706" s="11" t="n">
        <x:f>'管线假设'!H591</x:f>
        <x:v>0.135</x:v>
      </x:c>
      <x:c r="N2706" s="11" t="n">
        <x:f>IF(G2706,L2706*AN2706/(1+M2706)^F2706,0)</x:f>
        <x:v>0.031331296562923376</x:v>
      </x:c>
      <x:c r="AJ2706" t="n">
        <x:v>0</x:v>
      </x:c>
      <x:c r="AK2706" t="n">
        <x:v>0</x:v>
      </x:c>
      <x:c r="AL2706" t="n">
        <x:v>0</x:v>
      </x:c>
      <x:c r="AM2706" t="n">
        <x:f>CHOOSE('假设'!$B$3,AJ2706,AK2706,AL2706)</x:f>
        <x:v>0</x:v>
      </x:c>
      <x:c r="AN2706" t="n">
        <x:v>1</x:v>
      </x:c>
    </x:row>
    <x:row r="2707" ht="23" customHeight="1">
      <x:c r="A2707" s="11" t="str">
        <x:v>688382.SH</x:v>
      </x:c>
      <x:c r="B2707" s="11" t="str">
        <x:v>半年</x:v>
      </x:c>
      <x:c r="C2707" s="11" t="str">
        <x:v>tyk_uc_cn</x:v>
      </x:c>
      <x:c r="D2707" s="11" t="str">
        <x:v>2038-12-31</x:v>
      </x:c>
      <x:c r="E2707" s="11" t="str">
        <x:v>CNY</x:v>
      </x:c>
      <x:c r="F2707" s="11" t="n">
        <x:v>11.728952772073923</x:v>
      </x:c>
      <x:c r="G2707" s="26" t="b">
        <x:v>1</x:v>
      </x:c>
      <x:c r="H2707" s="16" t="n">
        <x:v>0.7</x:v>
      </x:c>
      <x:c r="I2707" s="16" t="n">
        <x:v>1.258</x:v>
      </x:c>
      <x:c r="J2707" s="16" t="n">
        <x:v>1.44</x:v>
      </x:c>
      <x:c r="K2707" s="11" t="n">
        <x:f>CHOOSE('假设'!$B$3,H2707,I2707,J2707)</x:f>
        <x:v>1.258</x:v>
      </x:c>
      <x:c r="L2707" s="11" t="n">
        <x:f>K2707*'管线假设'!E591*'管线假设'!F591*'管线假设'!G591*IF(E2707="USD",'管线假设'!I591,1)-AM2707</x:f>
        <x:v>0.10369945600000001</x:v>
      </x:c>
      <x:c r="M2707" s="11" t="n">
        <x:f>'管线假设'!H591</x:f>
        <x:v>0.135</x:v>
      </x:c>
      <x:c r="N2707" s="11" t="n">
        <x:f>IF(G2707,L2707*AN2707/(1+M2707)^F2707,0)</x:f>
        <x:v>0.023481866550108896</x:v>
      </x:c>
      <x:c r="AJ2707" t="n">
        <x:v>0</x:v>
      </x:c>
      <x:c r="AK2707" t="n">
        <x:v>0</x:v>
      </x:c>
      <x:c r="AL2707" t="n">
        <x:v>0</x:v>
      </x:c>
      <x:c r="AM2707" t="n">
        <x:f>CHOOSE('假设'!$B$3,AJ2707,AK2707,AL2707)</x:f>
        <x:v>0</x:v>
      </x:c>
      <x:c r="AN2707" t="n">
        <x:v>1</x:v>
      </x:c>
    </x:row>
    <x:row r="2708" ht="23" customHeight="1">
      <x:c r="A2708" s="11" t="str">
        <x:v>688382.SH</x:v>
      </x:c>
      <x:c r="B2708" s="11" t="str">
        <x:v>半年</x:v>
      </x:c>
      <x:c r="C2708" s="11" t="str">
        <x:v>tyk_uc_cn</x:v>
      </x:c>
      <x:c r="D2708" s="11" t="str">
        <x:v>2039-12-31</x:v>
      </x:c>
      <x:c r="E2708" s="11" t="str">
        <x:v>CNY</x:v>
      </x:c>
      <x:c r="F2708" s="11" t="n">
        <x:v>12.728268309377139</x:v>
      </x:c>
      <x:c r="G2708" s="26" t="b">
        <x:v>1</x:v>
      </x:c>
      <x:c r="H2708" s="16" t="n">
        <x:v>0.609</x:v>
      </x:c>
      <x:c r="I2708" s="16" t="n">
        <x:v>1.037</x:v>
      </x:c>
      <x:c r="J2708" s="16" t="n">
        <x:v>1.0499999999999998</x:v>
      </x:c>
      <x:c r="K2708" s="11" t="n">
        <x:f>CHOOSE('假设'!$B$3,H2708,I2708,J2708)</x:f>
        <x:v>1.037</x:v>
      </x:c>
      <x:c r="L2708" s="11" t="n">
        <x:f>K2708*'管线假设'!E591*'管线假设'!F591*'管线假设'!G591*IF(E2708="USD",'管线假设'!I591,1)-AM2708</x:f>
        <x:v>0.085481984</x:v>
      </x:c>
      <x:c r="M2708" s="11" t="n">
        <x:f>'管线假设'!H591</x:f>
        <x:v>0.135</x:v>
      </x:c>
      <x:c r="N2708" s="11" t="n">
        <x:f>IF(G2708,L2708*AN2708/(1+M2708)^F2708,0)</x:f>
        <x:v>0.017055816384589827</x:v>
      </x:c>
      <x:c r="AJ2708" t="n">
        <x:v>0</x:v>
      </x:c>
      <x:c r="AK2708" t="n">
        <x:v>0</x:v>
      </x:c>
      <x:c r="AL2708" t="n">
        <x:v>0</x:v>
      </x:c>
      <x:c r="AM2708" t="n">
        <x:f>CHOOSE('假设'!$B$3,AJ2708,AK2708,AL2708)</x:f>
        <x:v>0</x:v>
      </x:c>
      <x:c r="AN2708" t="n">
        <x:v>1</x:v>
      </x:c>
    </x:row>
    <x:row r="2709" ht="23" customHeight="1">
      <x:c r="A2709" s="11" t="str">
        <x:v>688382.SH</x:v>
      </x:c>
      <x:c r="B2709" s="11" t="str">
        <x:v>半年</x:v>
      </x:c>
      <x:c r="C2709" s="11" t="str">
        <x:v>tyk_uc_cn</x:v>
      </x:c>
      <x:c r="D2709" s="11" t="str">
        <x:v>2040-12-31</x:v>
      </x:c>
      <x:c r="E2709" s="11" t="str">
        <x:v>CNY</x:v>
      </x:c>
      <x:c r="F2709" s="11" t="n">
        <x:v>13.730321697467488</x:v>
      </x:c>
      <x:c r="G2709" s="26" t="b">
        <x:v>1</x:v>
      </x:c>
      <x:c r="H2709" s="16" t="n">
        <x:v>0.518</x:v>
      </x:c>
      <x:c r="I2709" s="16" t="n">
        <x:v>0.816</x:v>
      </x:c>
      <x:c r="J2709" s="16" t="n">
        <x:v>0.6599999999999999</x:v>
      </x:c>
      <x:c r="K2709" s="11" t="n">
        <x:f>CHOOSE('假设'!$B$3,H2709,I2709,J2709)</x:f>
        <x:v>0.816</x:v>
      </x:c>
      <x:c r="L2709" s="11" t="n">
        <x:f>K2709*'管线假设'!E591*'管线假设'!F591*'管线假设'!G591*IF(E2709="USD",'管线假设'!I591,1)-AM2709</x:f>
        <x:v>0.067264512</x:v>
      </x:c>
      <x:c r="M2709" s="11" t="n">
        <x:f>'管线假设'!H591</x:f>
        <x:v>0.135</x:v>
      </x:c>
      <x:c r="N2709" s="11" t="n">
        <x:f>IF(G2709,L2709*AN2709/(1+M2709)^F2709,0)</x:f>
        <x:v>0.011821569094811359</x:v>
      </x:c>
      <x:c r="AJ2709" t="n">
        <x:v>0</x:v>
      </x:c>
      <x:c r="AK2709" t="n">
        <x:v>0</x:v>
      </x:c>
      <x:c r="AL2709" t="n">
        <x:v>0</x:v>
      </x:c>
      <x:c r="AM2709" t="n">
        <x:f>CHOOSE('假设'!$B$3,AJ2709,AK2709,AL2709)</x:f>
        <x:v>0</x:v>
      </x:c>
      <x:c r="AN2709" t="n">
        <x:v>1</x:v>
      </x:c>
    </x:row>
    <x:row r="2710" ht="23" customHeight="1">
      <x:c r="A2710" s="11" t="str">
        <x:v>688382.SH</x:v>
      </x:c>
      <x:c r="B2710" s="11" t="str">
        <x:v>半年</x:v>
      </x:c>
      <x:c r="C2710" s="11" t="str">
        <x:v>tyk_uc_cn</x:v>
      </x:c>
      <x:c r="D2710" s="11" t="str">
        <x:v>2041-12-31</x:v>
      </x:c>
      <x:c r="E2710" s="11" t="str">
        <x:v>CNY</x:v>
      </x:c>
      <x:c r="F2710" s="11" t="n">
        <x:v>14.729637234770705</x:v>
      </x:c>
      <x:c r="G2710" s="26" t="b">
        <x:v>1</x:v>
      </x:c>
      <x:c r="H2710" s="16" t="n">
        <x:v>0.427</x:v>
      </x:c>
      <x:c r="I2710" s="16" t="n">
        <x:v>0.595</x:v>
      </x:c>
      <x:c r="J2710" s="16" t="n">
        <x:v>0.2699999999999999</x:v>
      </x:c>
      <x:c r="K2710" s="11" t="n">
        <x:f>CHOOSE('假设'!$B$3,H2710,I2710,J2710)</x:f>
        <x:v>0.595</x:v>
      </x:c>
      <x:c r="L2710" s="11" t="n">
        <x:f>K2710*'管线假设'!E591*'管线假设'!F591*'管线假设'!G591*IF(E2710="USD",'管线假设'!I591,1)-AM2710</x:f>
        <x:v>0.04904704</x:v>
      </x:c>
      <x:c r="M2710" s="11" t="n">
        <x:f>'管线假设'!H591</x:f>
        <x:v>0.135</x:v>
      </x:c>
      <x:c r="N2710" s="11" t="n">
        <x:f>IF(G2710,L2710*AN2710/(1+M2710)^F2710,0)</x:f>
        <x:v>0.0075952786750176585</x:v>
      </x:c>
      <x:c r="AJ2710" t="n">
        <x:v>0</x:v>
      </x:c>
      <x:c r="AK2710" t="n">
        <x:v>0</x:v>
      </x:c>
      <x:c r="AL2710" t="n">
        <x:v>0</x:v>
      </x:c>
      <x:c r="AM2710" t="n">
        <x:f>CHOOSE('假设'!$B$3,AJ2710,AK2710,AL2710)</x:f>
        <x:v>0</x:v>
      </x:c>
      <x:c r="AN2710" t="n">
        <x:v>1</x:v>
      </x:c>
    </x:row>
    <x:row r="2711" ht="23" customHeight="1">
      <x:c r="A2711" s="11" t="str">
        <x:v>688382.SH</x:v>
      </x:c>
      <x:c r="B2711" s="11" t="str">
        <x:v>半年</x:v>
      </x:c>
      <x:c r="C2711" s="11" t="str">
        <x:v>tyk_uc_cn</x:v>
      </x:c>
      <x:c r="D2711" s="11" t="str">
        <x:v>2042-12-31</x:v>
      </x:c>
      <x:c r="E2711" s="11" t="str">
        <x:v>CNY</x:v>
      </x:c>
      <x:c r="F2711" s="11" t="n">
        <x:v>15.728952772073923</x:v>
      </x:c>
      <x:c r="G2711" s="26" t="b">
        <x:v>1</x:v>
      </x:c>
      <x:c r="H2711" s="16" t="n">
        <x:v>0.33599999999999997</x:v>
      </x:c>
      <x:c r="I2711" s="16" t="n">
        <x:v>0.37399999999999994</x:v>
      </x:c>
      <x:c r="J2711" s="16" t="n">
        <x:v>0</x:v>
      </x:c>
      <x:c r="K2711" s="11" t="n">
        <x:f>CHOOSE('假设'!$B$3,H2711,I2711,J2711)</x:f>
        <x:v>0.37399999999999994</x:v>
      </x:c>
      <x:c r="L2711" s="11" t="n">
        <x:f>K2711*'管线假设'!E591*'管线假设'!F591*'管线假设'!G591*IF(E2711="USD",'管线假设'!I591,1)-AM2711</x:f>
        <x:v>0.030829567999999998</x:v>
      </x:c>
      <x:c r="M2711" s="11" t="n">
        <x:f>'管线假设'!H591</x:f>
        <x:v>0.135</x:v>
      </x:c>
      <x:c r="N2711" s="11" t="n">
        <x:f>IF(G2711,L2711*AN2711/(1+M2711)^F2711,0)</x:f>
        <x:v>0.004206686333282449</x:v>
      </x:c>
      <x:c r="AJ2711" t="n">
        <x:v>0</x:v>
      </x:c>
      <x:c r="AK2711" t="n">
        <x:v>0</x:v>
      </x:c>
      <x:c r="AL2711" t="n">
        <x:v>0</x:v>
      </x:c>
      <x:c r="AM2711" t="n">
        <x:f>CHOOSE('假设'!$B$3,AJ2711,AK2711,AL2711)</x:f>
        <x:v>0</x:v>
      </x:c>
      <x:c r="AN2711" t="n">
        <x:v>1</x:v>
      </x:c>
    </x:row>
    <x:row r="2712" ht="23" customHeight="1">
      <x:c r="A2712" s="11" t="str">
        <x:v>688382.SH</x:v>
      </x:c>
      <x:c r="B2712" s="11" t="str">
        <x:v>半年</x:v>
      </x:c>
      <x:c r="C2712" s="11" t="str">
        <x:v>tyk_uc_cn</x:v>
      </x:c>
      <x:c r="D2712" s="11" t="str">
        <x:v>2043-12-31</x:v>
      </x:c>
      <x:c r="E2712" s="11" t="str">
        <x:v>CNY</x:v>
      </x:c>
      <x:c r="F2712" s="11" t="n">
        <x:v>16.72826830937714</x:v>
      </x:c>
      <x:c r="G2712" s="26" t="b">
        <x:v>1</x:v>
      </x:c>
      <x:c r="H2712" s="16" t="n">
        <x:v>0.24499999999999997</x:v>
      </x:c>
      <x:c r="I2712" s="16" t="n">
        <x:v>0.15299999999999994</x:v>
      </x:c>
      <x:c r="J2712" s="16" t="n">
        <x:v>0</x:v>
      </x:c>
      <x:c r="K2712" s="11" t="n">
        <x:f>CHOOSE('假设'!$B$3,H2712,I2712,J2712)</x:f>
        <x:v>0.15299999999999994</x:v>
      </x:c>
      <x:c r="L2712" s="11" t="n">
        <x:f>K2712*'管线假设'!E591*'管线假设'!F591*'管线假设'!G591*IF(E2712="USD",'管线假设'!I591,1)-AM2712</x:f>
        <x:v>0.012612095999999996</x:v>
      </x:c>
      <x:c r="M2712" s="11" t="n">
        <x:f>'管线假设'!H591</x:f>
        <x:v>0.135</x:v>
      </x:c>
      <x:c r="N2712" s="11" t="n">
        <x:f>IF(G2712,L2712*AN2712/(1+M2712)^F2712,0)</x:f>
        <x:v>0.0015163579769697747</x:v>
      </x:c>
      <x:c r="AJ2712" t="n">
        <x:v>0</x:v>
      </x:c>
      <x:c r="AK2712" t="n">
        <x:v>0</x:v>
      </x:c>
      <x:c r="AL2712" t="n">
        <x:v>0</x:v>
      </x:c>
      <x:c r="AM2712" t="n">
        <x:f>CHOOSE('假设'!$B$3,AJ2712,AK2712,AL2712)</x:f>
        <x:v>0</x:v>
      </x:c>
      <x:c r="AN2712" t="n">
        <x:v>1</x:v>
      </x:c>
    </x:row>
    <x:row r="2713" ht="23" customHeight="1">
      <x:c r="A2713" s="11" t="str">
        <x:v>688382.SH</x:v>
      </x:c>
      <x:c r="B2713" s="11" t="str">
        <x:v>半年</x:v>
      </x:c>
      <x:c r="C2713" s="11" t="str">
        <x:v>tyk_uc_cn</x:v>
      </x:c>
      <x:c r="D2713" s="11" t="str">
        <x:v>2044-12-31</x:v>
      </x:c>
      <x:c r="E2713" s="11" t="str">
        <x:v>CNY</x:v>
      </x:c>
      <x:c r="F2713" s="11" t="n">
        <x:v>17.730321697467488</x:v>
      </x:c>
      <x:c r="G2713" s="26" t="b">
        <x:v>1</x:v>
      </x:c>
      <x:c r="H2713" s="16" t="n">
        <x:v>0.15399999999999997</x:v>
      </x:c>
      <x:c r="I2713" s="16" t="n">
        <x:v>0</x:v>
      </x:c>
      <x:c r="J2713" s="16" t="n">
        <x:v>0</x:v>
      </x:c>
      <x:c r="K2713" s="11" t="n">
        <x:f>CHOOSE('假设'!$B$3,H2713,I2713,J2713)</x:f>
        <x:v>0</x:v>
      </x:c>
      <x:c r="L2713" s="11" t="n">
        <x:f>K2713*'管线假设'!E591*'管线假设'!F591*'管线假设'!G591*IF(E2713="USD",'管线假设'!I591,1)-AM2713</x:f>
        <x:v>0</x:v>
      </x:c>
      <x:c r="M2713" s="11" t="n">
        <x:f>'管线假设'!H591</x:f>
        <x:v>0.135</x:v>
      </x:c>
      <x:c r="N2713" s="11" t="n">
        <x:f>IF(G2713,L2713*AN2713/(1+M2713)^F2713,0)</x:f>
        <x:v>0</x:v>
      </x:c>
      <x:c r="AJ2713" t="n">
        <x:v>0</x:v>
      </x:c>
      <x:c r="AK2713" t="n">
        <x:v>0</x:v>
      </x:c>
      <x:c r="AL2713" t="n">
        <x:v>0</x:v>
      </x:c>
      <x:c r="AM2713" t="n">
        <x:f>CHOOSE('假设'!$B$3,AJ2713,AK2713,AL2713)</x:f>
        <x:v>0</x:v>
      </x:c>
      <x:c r="AN2713" t="n">
        <x:v>1</x:v>
      </x:c>
    </x:row>
    <x:row r="2714" ht="23" customHeight="1">
      <x:c r="A2714" s="11" t="str">
        <x:v>688382.SH</x:v>
      </x:c>
      <x:c r="B2714" s="11" t="str">
        <x:v>半年</x:v>
      </x:c>
      <x:c r="C2714" s="11" t="str">
        <x:v>tyk_uc_cn</x:v>
      </x:c>
      <x:c r="D2714" s="11" t="str">
        <x:v>2045-12-31</x:v>
      </x:c>
      <x:c r="E2714" s="11" t="str">
        <x:v>CNY</x:v>
      </x:c>
      <x:c r="F2714" s="11" t="n">
        <x:v>18.729637234770706</x:v>
      </x:c>
      <x:c r="G2714" s="26" t="b">
        <x:v>1</x:v>
      </x:c>
      <x:c r="H2714" s="16" t="n">
        <x:v>0.06299999999999997</x:v>
      </x:c>
      <x:c r="I2714" s="16" t="n">
        <x:v>0</x:v>
      </x:c>
      <x:c r="J2714" s="16" t="n">
        <x:v>0</x:v>
      </x:c>
      <x:c r="K2714" s="11" t="n">
        <x:f>CHOOSE('假设'!$B$3,H2714,I2714,J2714)</x:f>
        <x:v>0</x:v>
      </x:c>
      <x:c r="L2714" s="11" t="n">
        <x:f>K2714*'管线假设'!E591*'管线假设'!F591*'管线假设'!G591*IF(E2714="USD",'管线假设'!I591,1)-AM2714</x:f>
        <x:v>0</x:v>
      </x:c>
      <x:c r="M2714" s="11" t="n">
        <x:f>'管线假设'!H591</x:f>
        <x:v>0.135</x:v>
      </x:c>
      <x:c r="N2714" s="11" t="n">
        <x:f>IF(G2714,L2714*AN2714/(1+M2714)^F2714,0)</x:f>
        <x:v>0</x:v>
      </x:c>
      <x:c r="AJ2714" t="n">
        <x:v>0</x:v>
      </x:c>
      <x:c r="AK2714" t="n">
        <x:v>0</x:v>
      </x:c>
      <x:c r="AL2714" t="n">
        <x:v>0</x:v>
      </x:c>
      <x:c r="AM2714" t="n">
        <x:f>CHOOSE('假设'!$B$3,AJ2714,AK2714,AL2714)</x:f>
        <x:v>0</x:v>
      </x:c>
      <x:c r="AN2714" t="n">
        <x:v>1</x:v>
      </x:c>
    </x:row>
    <x:row r="2715" ht="23" customHeight="1">
      <x:c r="A2715" s="11" t="str">
        <x:v>688382.SH</x:v>
      </x:c>
      <x:c r="B2715" s="11" t="str">
        <x:v>半年</x:v>
      </x:c>
      <x:c r="C2715" s="11" t="str">
        <x:v>tyk_sle_cn</x:v>
      </x:c>
      <x:c r="D2715" s="11" t="str">
        <x:v>2027-12-31</x:v>
      </x:c>
      <x:c r="E2715" s="11" t="str">
        <x:v>CNY</x:v>
      </x:c>
      <x:c r="F2715" s="11" t="n">
        <x:v>0.7282683093771389</x:v>
      </x:c>
      <x:c r="G2715" s="26" t="b">
        <x:v>1</x:v>
      </x:c>
      <x:c r="H2715" s="16" t="n">
        <x:v>0</x:v>
      </x:c>
      <x:c r="I2715" s="16" t="n">
        <x:v>0</x:v>
      </x:c>
      <x:c r="J2715" s="16" t="n">
        <x:v>0</x:v>
      </x:c>
      <x:c r="K2715" s="11" t="n">
        <x:f>CHOOSE('假设'!$B$3,H2715,I2715,J2715)</x:f>
        <x:v>0</x:v>
      </x:c>
      <x:c r="L2715" s="11" t="n">
        <x:f>K2715*'管线假设'!E595*'管线假设'!F595*'管线假设'!G595*IF(E2715="USD",'管线假设'!I595,1)-AM2715</x:f>
        <x:v>0</x:v>
      </x:c>
      <x:c r="M2715" s="11" t="n">
        <x:f>'管线假设'!H595</x:f>
        <x:v>0.135</x:v>
      </x:c>
      <x:c r="N2715" s="11" t="n">
        <x:f>IF(G2715,L2715*AN2715/(1+M2715)^F2715,0)</x:f>
        <x:v>0</x:v>
      </x:c>
      <x:c r="AJ2715" t="n">
        <x:v>0</x:v>
      </x:c>
      <x:c r="AK2715" t="n">
        <x:v>0</x:v>
      </x:c>
      <x:c r="AL2715" t="n">
        <x:v>0</x:v>
      </x:c>
      <x:c r="AM2715" t="n">
        <x:f>CHOOSE('假设'!$B$3,AJ2715,AK2715,AL2715)</x:f>
        <x:v>0</x:v>
      </x:c>
      <x:c r="AN2715" t="n">
        <x:v>1</x:v>
      </x:c>
    </x:row>
    <x:row r="2716" ht="23" customHeight="1">
      <x:c r="A2716" s="11" t="str">
        <x:v>688382.SH</x:v>
      </x:c>
      <x:c r="B2716" s="11" t="str">
        <x:v>半年</x:v>
      </x:c>
      <x:c r="C2716" s="11" t="str">
        <x:v>tyk_sle_cn</x:v>
      </x:c>
      <x:c r="D2716" s="11" t="str">
        <x:v>2028-12-31</x:v>
      </x:c>
      <x:c r="E2716" s="11" t="str">
        <x:v>CNY</x:v>
      </x:c>
      <x:c r="F2716" s="11" t="n">
        <x:v>1.730321697467488</x:v>
      </x:c>
      <x:c r="G2716" s="26" t="b">
        <x:v>1</x:v>
      </x:c>
      <x:c r="H2716" s="16" t="n">
        <x:v>0</x:v>
      </x:c>
      <x:c r="I2716" s="16" t="n">
        <x:v>0</x:v>
      </x:c>
      <x:c r="J2716" s="16" t="n">
        <x:v>0</x:v>
      </x:c>
      <x:c r="K2716" s="11" t="n">
        <x:f>CHOOSE('假设'!$B$3,H2716,I2716,J2716)</x:f>
        <x:v>0</x:v>
      </x:c>
      <x:c r="L2716" s="11" t="n">
        <x:f>K2716*'管线假设'!E595*'管线假设'!F595*'管线假设'!G595*IF(E2716="USD",'管线假设'!I595,1)-AM2716</x:f>
        <x:v>0</x:v>
      </x:c>
      <x:c r="M2716" s="11" t="n">
        <x:f>'管线假设'!H595</x:f>
        <x:v>0.135</x:v>
      </x:c>
      <x:c r="N2716" s="11" t="n">
        <x:f>IF(G2716,L2716*AN2716/(1+M2716)^F2716,0)</x:f>
        <x:v>0</x:v>
      </x:c>
      <x:c r="AJ2716" t="n">
        <x:v>0</x:v>
      </x:c>
      <x:c r="AK2716" t="n">
        <x:v>0</x:v>
      </x:c>
      <x:c r="AL2716" t="n">
        <x:v>0</x:v>
      </x:c>
      <x:c r="AM2716" t="n">
        <x:f>CHOOSE('假设'!$B$3,AJ2716,AK2716,AL2716)</x:f>
        <x:v>0</x:v>
      </x:c>
      <x:c r="AN2716" t="n">
        <x:v>1</x:v>
      </x:c>
    </x:row>
    <x:row r="2717" ht="23" customHeight="1">
      <x:c r="A2717" s="11" t="str">
        <x:v>688382.SH</x:v>
      </x:c>
      <x:c r="B2717" s="11" t="str">
        <x:v>半年</x:v>
      </x:c>
      <x:c r="C2717" s="11" t="str">
        <x:v>tyk_sle_cn</x:v>
      </x:c>
      <x:c r="D2717" s="11" t="str">
        <x:v>2029-12-31</x:v>
      </x:c>
      <x:c r="E2717" s="11" t="str">
        <x:v>CNY</x:v>
      </x:c>
      <x:c r="F2717" s="11" t="n">
        <x:v>2.729637234770705</x:v>
      </x:c>
      <x:c r="G2717" s="26" t="b">
        <x:v>1</x:v>
      </x:c>
      <x:c r="H2717" s="16" t="n">
        <x:v>0</x:v>
      </x:c>
      <x:c r="I2717" s="16" t="n">
        <x:v>0</x:v>
      </x:c>
      <x:c r="J2717" s="16" t="n">
        <x:v>0</x:v>
      </x:c>
      <x:c r="K2717" s="11" t="n">
        <x:f>CHOOSE('假设'!$B$3,H2717,I2717,J2717)</x:f>
        <x:v>0</x:v>
      </x:c>
      <x:c r="L2717" s="11" t="n">
        <x:f>K2717*'管线假设'!E595*'管线假设'!F595*'管线假设'!G595*IF(E2717="USD",'管线假设'!I595,1)-AM2717</x:f>
        <x:v>0</x:v>
      </x:c>
      <x:c r="M2717" s="11" t="n">
        <x:f>'管线假设'!H595</x:f>
        <x:v>0.135</x:v>
      </x:c>
      <x:c r="N2717" s="11" t="n">
        <x:f>IF(G2717,L2717*AN2717/(1+M2717)^F2717,0)</x:f>
        <x:v>0</x:v>
      </x:c>
      <x:c r="AJ2717" t="n">
        <x:v>0</x:v>
      </x:c>
      <x:c r="AK2717" t="n">
        <x:v>0</x:v>
      </x:c>
      <x:c r="AL2717" t="n">
        <x:v>0</x:v>
      </x:c>
      <x:c r="AM2717" t="n">
        <x:f>CHOOSE('假设'!$B$3,AJ2717,AK2717,AL2717)</x:f>
        <x:v>0</x:v>
      </x:c>
      <x:c r="AN2717" t="n">
        <x:v>1</x:v>
      </x:c>
    </x:row>
    <x:row r="2718" ht="23" customHeight="1">
      <x:c r="A2718" s="11" t="str">
        <x:v>688382.SH</x:v>
      </x:c>
      <x:c r="B2718" s="11" t="str">
        <x:v>半年</x:v>
      </x:c>
      <x:c r="C2718" s="11" t="str">
        <x:v>tyk_sle_cn</x:v>
      </x:c>
      <x:c r="D2718" s="11" t="str">
        <x:v>2030-12-31</x:v>
      </x:c>
      <x:c r="E2718" s="11" t="str">
        <x:v>CNY</x:v>
      </x:c>
      <x:c r="F2718" s="11" t="n">
        <x:v>3.728952772073922</x:v>
      </x:c>
      <x:c r="G2718" s="26" t="b">
        <x:v>1</x:v>
      </x:c>
      <x:c r="H2718" s="16" t="n">
        <x:v>0</x:v>
      </x:c>
      <x:c r="I2718" s="16" t="n">
        <x:v>0</x:v>
      </x:c>
      <x:c r="J2718" s="16" t="n">
        <x:v>0.3833333333333333</x:v>
      </x:c>
      <x:c r="K2718" s="11" t="n">
        <x:f>CHOOSE('假设'!$B$3,H2718,I2718,J2718)</x:f>
        <x:v>0</x:v>
      </x:c>
      <x:c r="L2718" s="11" t="n">
        <x:f>K2718*'管线假设'!E595*'管线假设'!F595*'管线假设'!G595*IF(E2718="USD",'管线假设'!I595,1)-AM2718</x:f>
        <x:v>0</x:v>
      </x:c>
      <x:c r="M2718" s="11" t="n">
        <x:f>'管线假设'!H595</x:f>
        <x:v>0.135</x:v>
      </x:c>
      <x:c r="N2718" s="11" t="n">
        <x:f>IF(G2718,L2718*AN2718/(1+M2718)^F2718,0)</x:f>
        <x:v>0</x:v>
      </x:c>
      <x:c r="AJ2718" t="n">
        <x:v>0</x:v>
      </x:c>
      <x:c r="AK2718" t="n">
        <x:v>0</x:v>
      </x:c>
      <x:c r="AL2718" t="n">
        <x:v>0</x:v>
      </x:c>
      <x:c r="AM2718" t="n">
        <x:f>CHOOSE('假设'!$B$3,AJ2718,AK2718,AL2718)</x:f>
        <x:v>0</x:v>
      </x:c>
      <x:c r="AN2718" t="n">
        <x:v>1</x:v>
      </x:c>
    </x:row>
    <x:row r="2719" ht="23" customHeight="1">
      <x:c r="A2719" s="11" t="str">
        <x:v>688382.SH</x:v>
      </x:c>
      <x:c r="B2719" s="11" t="str">
        <x:v>半年</x:v>
      </x:c>
      <x:c r="C2719" s="11" t="str">
        <x:v>tyk_sle_cn</x:v>
      </x:c>
      <x:c r="D2719" s="11" t="str">
        <x:v>2031-12-31</x:v>
      </x:c>
      <x:c r="E2719" s="11" t="str">
        <x:v>CNY</x:v>
      </x:c>
      <x:c r="F2719" s="11" t="n">
        <x:v>4.728268309377139</x:v>
      </x:c>
      <x:c r="G2719" s="26" t="b">
        <x:v>1</x:v>
      </x:c>
      <x:c r="H2719" s="16" t="n">
        <x:v>0</x:v>
      </x:c>
      <x:c r="I2719" s="16" t="n">
        <x:v>0</x:v>
      </x:c>
      <x:c r="J2719" s="16" t="n">
        <x:v>0.7666666666666666</x:v>
      </x:c>
      <x:c r="K2719" s="11" t="n">
        <x:f>CHOOSE('假设'!$B$3,H2719,I2719,J2719)</x:f>
        <x:v>0</x:v>
      </x:c>
      <x:c r="L2719" s="11" t="n">
        <x:f>K2719*'管线假设'!E595*'管线假设'!F595*'管线假设'!G595*IF(E2719="USD",'管线假设'!I595,1)-AM2719</x:f>
        <x:v>0</x:v>
      </x:c>
      <x:c r="M2719" s="11" t="n">
        <x:f>'管线假设'!H595</x:f>
        <x:v>0.135</x:v>
      </x:c>
      <x:c r="N2719" s="11" t="n">
        <x:f>IF(G2719,L2719*AN2719/(1+M2719)^F2719,0)</x:f>
        <x:v>0</x:v>
      </x:c>
      <x:c r="AJ2719" t="n">
        <x:v>0</x:v>
      </x:c>
      <x:c r="AK2719" t="n">
        <x:v>0</x:v>
      </x:c>
      <x:c r="AL2719" t="n">
        <x:v>0</x:v>
      </x:c>
      <x:c r="AM2719" t="n">
        <x:f>CHOOSE('假设'!$B$3,AJ2719,AK2719,AL2719)</x:f>
        <x:v>0</x:v>
      </x:c>
      <x:c r="AN2719" t="n">
        <x:v>1</x:v>
      </x:c>
    </x:row>
    <x:row r="2720" ht="23" customHeight="1">
      <x:c r="A2720" s="11" t="str">
        <x:v>688382.SH</x:v>
      </x:c>
      <x:c r="B2720" s="11" t="str">
        <x:v>半年</x:v>
      </x:c>
      <x:c r="C2720" s="11" t="str">
        <x:v>tyk_sle_cn</x:v>
      </x:c>
      <x:c r="D2720" s="11" t="str">
        <x:v>2032-12-31</x:v>
      </x:c>
      <x:c r="E2720" s="11" t="str">
        <x:v>CNY</x:v>
      </x:c>
      <x:c r="F2720" s="11" t="n">
        <x:v>5.730321697467488</x:v>
      </x:c>
      <x:c r="G2720" s="26" t="b">
        <x:v>1</x:v>
      </x:c>
      <x:c r="H2720" s="16" t="n">
        <x:v>0</x:v>
      </x:c>
      <x:c r="I2720" s="16" t="n">
        <x:v>0.21666666666666667</x:v>
      </x:c>
      <x:c r="J2720" s="16" t="n">
        <x:v>1.15</x:v>
      </x:c>
      <x:c r="K2720" s="11" t="n">
        <x:f>CHOOSE('假设'!$B$3,H2720,I2720,J2720)</x:f>
        <x:v>0.21666666666666667</x:v>
      </x:c>
      <x:c r="L2720" s="11" t="n">
        <x:f>K2720*'管线假设'!E595*'管线假设'!F595*'管线假设'!G595*IF(E2720="USD",'管线假设'!I595,1)-AM2720</x:f>
        <x:v>0.01191493333333333</x:v>
      </x:c>
      <x:c r="M2720" s="11" t="n">
        <x:f>'管线假设'!H595</x:f>
        <x:v>0.135</x:v>
      </x:c>
      <x:c r="N2720" s="11" t="n">
        <x:f>IF(G2720,L2720*AN2720/(1+M2720)^F2720,0)</x:f>
        <x:v>0.005766969281939151</x:v>
      </x:c>
      <x:c r="AJ2720" t="n">
        <x:v>0</x:v>
      </x:c>
      <x:c r="AK2720" t="n">
        <x:v>0</x:v>
      </x:c>
      <x:c r="AL2720" t="n">
        <x:v>0</x:v>
      </x:c>
      <x:c r="AM2720" t="n">
        <x:f>CHOOSE('假设'!$B$3,AJ2720,AK2720,AL2720)</x:f>
        <x:v>0</x:v>
      </x:c>
      <x:c r="AN2720" t="n">
        <x:v>1</x:v>
      </x:c>
    </x:row>
    <x:row r="2721" ht="23" customHeight="1">
      <x:c r="A2721" s="11" t="str">
        <x:v>688382.SH</x:v>
      </x:c>
      <x:c r="B2721" s="11" t="str">
        <x:v>半年</x:v>
      </x:c>
      <x:c r="C2721" s="11" t="str">
        <x:v>tyk_sle_cn</x:v>
      </x:c>
      <x:c r="D2721" s="11" t="str">
        <x:v>2033-12-31</x:v>
      </x:c>
      <x:c r="E2721" s="11" t="str">
        <x:v>CNY</x:v>
      </x:c>
      <x:c r="F2721" s="11" t="n">
        <x:v>6.729637234770705</x:v>
      </x:c>
      <x:c r="G2721" s="26" t="b">
        <x:v>1</x:v>
      </x:c>
      <x:c r="H2721" s="16" t="n">
        <x:v>0</x:v>
      </x:c>
      <x:c r="I2721" s="16" t="n">
        <x:v>0.43333333333333335</x:v>
      </x:c>
      <x:c r="J2721" s="16" t="n">
        <x:v>1.5333333333333332</x:v>
      </x:c>
      <x:c r="K2721" s="11" t="n">
        <x:f>CHOOSE('假设'!$B$3,H2721,I2721,J2721)</x:f>
        <x:v>0.43333333333333335</x:v>
      </x:c>
      <x:c r="L2721" s="11" t="n">
        <x:f>K2721*'管线假设'!E595*'管线假设'!F595*'管线假设'!G595*IF(E2721="USD",'管线假设'!I595,1)-AM2721</x:f>
        <x:v>0.02382986666666666</x:v>
      </x:c>
      <x:c r="M2721" s="11" t="n">
        <x:f>'管线假设'!H595</x:f>
        <x:v>0.135</x:v>
      </x:c>
      <x:c r="N2721" s="11" t="n">
        <x:f>IF(G2721,L2721*AN2721/(1+M2721)^F2721,0)</x:f>
        <x:v>0.010162941246772566</x:v>
      </x:c>
      <x:c r="AJ2721" t="n">
        <x:v>0</x:v>
      </x:c>
      <x:c r="AK2721" t="n">
        <x:v>0</x:v>
      </x:c>
      <x:c r="AL2721" t="n">
        <x:v>0</x:v>
      </x:c>
      <x:c r="AM2721" t="n">
        <x:f>CHOOSE('假设'!$B$3,AJ2721,AK2721,AL2721)</x:f>
        <x:v>0</x:v>
      </x:c>
      <x:c r="AN2721" t="n">
        <x:v>1</x:v>
      </x:c>
    </x:row>
    <x:row r="2722" ht="23" customHeight="1">
      <x:c r="A2722" s="11" t="str">
        <x:v>688382.SH</x:v>
      </x:c>
      <x:c r="B2722" s="11" t="str">
        <x:v>半年</x:v>
      </x:c>
      <x:c r="C2722" s="11" t="str">
        <x:v>tyk_sle_cn</x:v>
      </x:c>
      <x:c r="D2722" s="11" t="str">
        <x:v>2034-12-31</x:v>
      </x:c>
      <x:c r="E2722" s="11" t="str">
        <x:v>CNY</x:v>
      </x:c>
      <x:c r="F2722" s="11" t="n">
        <x:v>7.728952772073922</x:v>
      </x:c>
      <x:c r="G2722" s="26" t="b">
        <x:v>1</x:v>
      </x:c>
      <x:c r="H2722" s="16" t="n">
        <x:v>0</x:v>
      </x:c>
      <x:c r="I2722" s="16" t="n">
        <x:v>0.65</x:v>
      </x:c>
      <x:c r="J2722" s="16" t="n">
        <x:v>1.9166666666666665</x:v>
      </x:c>
      <x:c r="K2722" s="11" t="n">
        <x:f>CHOOSE('假设'!$B$3,H2722,I2722,J2722)</x:f>
        <x:v>0.65</x:v>
      </x:c>
      <x:c r="L2722" s="11" t="n">
        <x:f>K2722*'管线假设'!E595*'管线假设'!F595*'管线假设'!G595*IF(E2722="USD",'管线假设'!I595,1)-AM2722</x:f>
        <x:v>0.035744799999999986</x:v>
      </x:c>
      <x:c r="M2722" s="11" t="n">
        <x:f>'管线假设'!H595</x:f>
        <x:v>0.135</x:v>
      </x:c>
      <x:c r="N2722" s="11" t="n">
        <x:f>IF(G2722,L2722*AN2722/(1+M2722)^F2722,0)</x:f>
        <x:v>0.013432364089681077</x:v>
      </x:c>
      <x:c r="AJ2722" t="n">
        <x:v>0</x:v>
      </x:c>
      <x:c r="AK2722" t="n">
        <x:v>0</x:v>
      </x:c>
      <x:c r="AL2722" t="n">
        <x:v>0</x:v>
      </x:c>
      <x:c r="AM2722" t="n">
        <x:f>CHOOSE('假设'!$B$3,AJ2722,AK2722,AL2722)</x:f>
        <x:v>0</x:v>
      </x:c>
      <x:c r="AN2722" t="n">
        <x:v>1</x:v>
      </x:c>
    </x:row>
    <x:row r="2723" ht="23" customHeight="1">
      <x:c r="A2723" s="11" t="str">
        <x:v>688382.SH</x:v>
      </x:c>
      <x:c r="B2723" s="11" t="str">
        <x:v>半年</x:v>
      </x:c>
      <x:c r="C2723" s="11" t="str">
        <x:v>tyk_sle_cn</x:v>
      </x:c>
      <x:c r="D2723" s="11" t="str">
        <x:v>2035-12-31</x:v>
      </x:c>
      <x:c r="E2723" s="11" t="str">
        <x:v>CNY</x:v>
      </x:c>
      <x:c r="F2723" s="11" t="n">
        <x:v>8.728268309377139</x:v>
      </x:c>
      <x:c r="G2723" s="26" t="b">
        <x:v>1</x:v>
      </x:c>
      <x:c r="H2723" s="16" t="n">
        <x:v>0.1</x:v>
      </x:c>
      <x:c r="I2723" s="16" t="n">
        <x:v>0.8666666666666667</x:v>
      </x:c>
      <x:c r="J2723" s="16" t="n">
        <x:v>2.3</x:v>
      </x:c>
      <x:c r="K2723" s="11" t="n">
        <x:f>CHOOSE('假设'!$B$3,H2723,I2723,J2723)</x:f>
        <x:v>0.8666666666666667</x:v>
      </x:c>
      <x:c r="L2723" s="11" t="n">
        <x:f>K2723*'管线假设'!E595*'管线假设'!F595*'管线假设'!G595*IF(E2723="USD",'管线假设'!I595,1)-AM2723</x:f>
        <x:v>0.04765973333333332</x:v>
      </x:c>
      <x:c r="M2723" s="11" t="n">
        <x:f>'管线假设'!H595</x:f>
        <x:v>0.135</x:v>
      </x:c>
      <x:c r="N2723" s="11" t="n">
        <x:f>IF(G2723,L2723*AN2723/(1+M2723)^F2723,0)</x:f>
        <x:v>0.015780943782286977</x:v>
      </x:c>
      <x:c r="AJ2723" t="n">
        <x:v>0</x:v>
      </x:c>
      <x:c r="AK2723" t="n">
        <x:v>0</x:v>
      </x:c>
      <x:c r="AL2723" t="n">
        <x:v>0</x:v>
      </x:c>
      <x:c r="AM2723" t="n">
        <x:f>CHOOSE('假设'!$B$3,AJ2723,AK2723,AL2723)</x:f>
        <x:v>0</x:v>
      </x:c>
      <x:c r="AN2723" t="n">
        <x:v>1</x:v>
      </x:c>
    </x:row>
    <x:row r="2724" ht="23" customHeight="1">
      <x:c r="A2724" s="11" t="str">
        <x:v>688382.SH</x:v>
      </x:c>
      <x:c r="B2724" s="11" t="str">
        <x:v>半年</x:v>
      </x:c>
      <x:c r="C2724" s="11" t="str">
        <x:v>tyk_sle_cn</x:v>
      </x:c>
      <x:c r="D2724" s="11" t="str">
        <x:v>2036-12-31</x:v>
      </x:c>
      <x:c r="E2724" s="11" t="str">
        <x:v>CNY</x:v>
      </x:c>
      <x:c r="F2724" s="11" t="n">
        <x:v>9.730321697467488</x:v>
      </x:c>
      <x:c r="G2724" s="26" t="b">
        <x:v>1</x:v>
      </x:c>
      <x:c r="H2724" s="16" t="n">
        <x:v>0.2</x:v>
      </x:c>
      <x:c r="I2724" s="16" t="n">
        <x:v>1.0833333333333335</x:v>
      </x:c>
      <x:c r="J2724" s="16" t="n">
        <x:v>2.001</x:v>
      </x:c>
      <x:c r="K2724" s="11" t="n">
        <x:f>CHOOSE('假设'!$B$3,H2724,I2724,J2724)</x:f>
        <x:v>1.0833333333333335</x:v>
      </x:c>
      <x:c r="L2724" s="11" t="n">
        <x:f>K2724*'管线假设'!E595*'管线假设'!F595*'管线假设'!G595*IF(E2724="USD",'管线假设'!I595,1)-AM2724</x:f>
        <x:v>0.05957466666666666</x:v>
      </x:c>
      <x:c r="M2724" s="11" t="n">
        <x:f>'管线假设'!H595</x:f>
        <x:v>0.135</x:v>
      </x:c>
      <x:c r="N2724" s="11" t="n">
        <x:f>IF(G2724,L2724*AN2724/(1+M2724)^F2724,0)</x:f>
        <x:v>0.017375375396931615</x:v>
      </x:c>
      <x:c r="AJ2724" t="n">
        <x:v>0</x:v>
      </x:c>
      <x:c r="AK2724" t="n">
        <x:v>0</x:v>
      </x:c>
      <x:c r="AL2724" t="n">
        <x:v>0</x:v>
      </x:c>
      <x:c r="AM2724" t="n">
        <x:f>CHOOSE('假设'!$B$3,AJ2724,AK2724,AL2724)</x:f>
        <x:v>0</x:v>
      </x:c>
      <x:c r="AN2724" t="n">
        <x:v>1</x:v>
      </x:c>
    </x:row>
    <x:row r="2725" ht="23" customHeight="1">
      <x:c r="A2725" s="11" t="str">
        <x:v>688382.SH</x:v>
      </x:c>
      <x:c r="B2725" s="11" t="str">
        <x:v>半年</x:v>
      </x:c>
      <x:c r="C2725" s="11" t="str">
        <x:v>tyk_sle_cn</x:v>
      </x:c>
      <x:c r="D2725" s="11" t="str">
        <x:v>2037-12-31</x:v>
      </x:c>
      <x:c r="E2725" s="11" t="str">
        <x:v>CNY</x:v>
      </x:c>
      <x:c r="F2725" s="11" t="n">
        <x:v>10.729637234770705</x:v>
      </x:c>
      <x:c r="G2725" s="26" t="b">
        <x:v>1</x:v>
      </x:c>
      <x:c r="H2725" s="16" t="n">
        <x:v>0.3</x:v>
      </x:c>
      <x:c r="I2725" s="16" t="n">
        <x:v>1.3</x:v>
      </x:c>
      <x:c r="J2725" s="16" t="n">
        <x:v>1.702</x:v>
      </x:c>
      <x:c r="K2725" s="11" t="n">
        <x:f>CHOOSE('假设'!$B$3,H2725,I2725,J2725)</x:f>
        <x:v>1.3</x:v>
      </x:c>
      <x:c r="L2725" s="11" t="n">
        <x:f>K2725*'管线假设'!E595*'管线假设'!F595*'管线假设'!G595*IF(E2725="USD",'管线假设'!I595,1)-AM2725</x:f>
        <x:v>0.07148959999999997</x:v>
      </x:c>
      <x:c r="M2725" s="11" t="n">
        <x:f>'管线假设'!H595</x:f>
        <x:v>0.135</x:v>
      </x:c>
      <x:c r="N2725" s="11" t="n">
        <x:f>IF(G2725,L2725*AN2725/(1+M2725)^F2725,0)</x:f>
        <x:v>0.018372033281258252</x:v>
      </x:c>
      <x:c r="AJ2725" t="n">
        <x:v>0</x:v>
      </x:c>
      <x:c r="AK2725" t="n">
        <x:v>0</x:v>
      </x:c>
      <x:c r="AL2725" t="n">
        <x:v>0</x:v>
      </x:c>
      <x:c r="AM2725" t="n">
        <x:f>CHOOSE('假设'!$B$3,AJ2725,AK2725,AL2725)</x:f>
        <x:v>0</x:v>
      </x:c>
      <x:c r="AN2725" t="n">
        <x:v>1</x:v>
      </x:c>
    </x:row>
    <x:row r="2726" ht="23" customHeight="1">
      <x:c r="A2726" s="11" t="str">
        <x:v>688382.SH</x:v>
      </x:c>
      <x:c r="B2726" s="11" t="str">
        <x:v>半年</x:v>
      </x:c>
      <x:c r="C2726" s="11" t="str">
        <x:v>tyk_sle_cn</x:v>
      </x:c>
      <x:c r="D2726" s="11" t="str">
        <x:v>2038-12-31</x:v>
      </x:c>
      <x:c r="E2726" s="11" t="str">
        <x:v>CNY</x:v>
      </x:c>
      <x:c r="F2726" s="11" t="n">
        <x:v>11.728952772073923</x:v>
      </x:c>
      <x:c r="G2726" s="26" t="b">
        <x:v>1</x:v>
      </x:c>
      <x:c r="H2726" s="16" t="n">
        <x:v>0.4</x:v>
      </x:c>
      <x:c r="I2726" s="16" t="n">
        <x:v>1.131</x:v>
      </x:c>
      <x:c r="J2726" s="16" t="n">
        <x:v>1.4029999999999998</x:v>
      </x:c>
      <x:c r="K2726" s="11" t="n">
        <x:f>CHOOSE('假设'!$B$3,H2726,I2726,J2726)</x:f>
        <x:v>1.131</x:v>
      </x:c>
      <x:c r="L2726" s="11" t="n">
        <x:f>K2726*'管线假设'!E595*'管线假设'!F595*'管线假设'!G595*IF(E2726="USD",'管线假设'!I595,1)-AM2726</x:f>
        <x:v>0.06219595199999998</x:v>
      </x:c>
      <x:c r="M2726" s="11" t="n">
        <x:f>'管线假设'!H595</x:f>
        <x:v>0.135</x:v>
      </x:c>
      <x:c r="N2726" s="11" t="n">
        <x:f>IF(G2726,L2726*AN2726/(1+M2726)^F2726,0)</x:f>
        <x:v>0.014083748373964255</x:v>
      </x:c>
      <x:c r="AJ2726" t="n">
        <x:v>0</x:v>
      </x:c>
      <x:c r="AK2726" t="n">
        <x:v>0</x:v>
      </x:c>
      <x:c r="AL2726" t="n">
        <x:v>0</x:v>
      </x:c>
      <x:c r="AM2726" t="n">
        <x:f>CHOOSE('假设'!$B$3,AJ2726,AK2726,AL2726)</x:f>
        <x:v>0</x:v>
      </x:c>
      <x:c r="AN2726" t="n">
        <x:v>1</x:v>
      </x:c>
    </x:row>
    <x:row r="2727" ht="23" customHeight="1">
      <x:c r="A2727" s="11" t="str">
        <x:v>688382.SH</x:v>
      </x:c>
      <x:c r="B2727" s="11" t="str">
        <x:v>半年</x:v>
      </x:c>
      <x:c r="C2727" s="11" t="str">
        <x:v>tyk_sle_cn</x:v>
      </x:c>
      <x:c r="D2727" s="11" t="str">
        <x:v>2039-12-31</x:v>
      </x:c>
      <x:c r="E2727" s="11" t="str">
        <x:v>CNY</x:v>
      </x:c>
      <x:c r="F2727" s="11" t="n">
        <x:v>12.728268309377139</x:v>
      </x:c>
      <x:c r="G2727" s="26" t="b">
        <x:v>1</x:v>
      </x:c>
      <x:c r="H2727" s="16" t="n">
        <x:v>0.5</x:v>
      </x:c>
      <x:c r="I2727" s="16" t="n">
        <x:v>0.962</x:v>
      </x:c>
      <x:c r="J2727" s="16" t="n">
        <x:v>1.1039999999999999</x:v>
      </x:c>
      <x:c r="K2727" s="11" t="n">
        <x:f>CHOOSE('假设'!$B$3,H2727,I2727,J2727)</x:f>
        <x:v>0.962</x:v>
      </x:c>
      <x:c r="L2727" s="11" t="n">
        <x:f>K2727*'管线假设'!E595*'管线假设'!F595*'管线假设'!G595*IF(E2727="USD",'管线假设'!I595,1)-AM2727</x:f>
        <x:v>0.052902303999999976</x:v>
      </x:c>
      <x:c r="M2727" s="11" t="n">
        <x:f>'管线假设'!H595</x:f>
        <x:v>0.135</x:v>
      </x:c>
      <x:c r="N2727" s="11" t="n">
        <x:f>IF(G2727,L2727*AN2727/(1+M2727)^F2727,0)</x:f>
        <x:v>0.010555346765767061</x:v>
      </x:c>
      <x:c r="AJ2727" t="n">
        <x:v>0</x:v>
      </x:c>
      <x:c r="AK2727" t="n">
        <x:v>0</x:v>
      </x:c>
      <x:c r="AL2727" t="n">
        <x:v>0</x:v>
      </x:c>
      <x:c r="AM2727" t="n">
        <x:f>CHOOSE('假设'!$B$3,AJ2727,AK2727,AL2727)</x:f>
        <x:v>0</x:v>
      </x:c>
      <x:c r="AN2727" t="n">
        <x:v>1</x:v>
      </x:c>
    </x:row>
    <x:row r="2728" ht="23" customHeight="1">
      <x:c r="A2728" s="11" t="str">
        <x:v>688382.SH</x:v>
      </x:c>
      <x:c r="B2728" s="11" t="str">
        <x:v>半年</x:v>
      </x:c>
      <x:c r="C2728" s="11" t="str">
        <x:v>tyk_sle_cn</x:v>
      </x:c>
      <x:c r="D2728" s="11" t="str">
        <x:v>2040-12-31</x:v>
      </x:c>
      <x:c r="E2728" s="11" t="str">
        <x:v>CNY</x:v>
      </x:c>
      <x:c r="F2728" s="11" t="n">
        <x:v>13.730321697467488</x:v>
      </x:c>
      <x:c r="G2728" s="26" t="b">
        <x:v>1</x:v>
      </x:c>
      <x:c r="H2728" s="16" t="n">
        <x:v>0.435</x:v>
      </x:c>
      <x:c r="I2728" s="16" t="n">
        <x:v>0.793</x:v>
      </x:c>
      <x:c r="J2728" s="16" t="n">
        <x:v>0.8049999999999999</x:v>
      </x:c>
      <x:c r="K2728" s="11" t="n">
        <x:f>CHOOSE('假设'!$B$3,H2728,I2728,J2728)</x:f>
        <x:v>0.793</x:v>
      </x:c>
      <x:c r="L2728" s="11" t="n">
        <x:f>K2728*'管线假设'!E595*'管线假设'!F595*'管线假设'!G595*IF(E2728="USD",'管线假设'!I595,1)-AM2728</x:f>
        <x:v>0.04360865599999999</x:v>
      </x:c>
      <x:c r="M2728" s="11" t="n">
        <x:f>'管线假设'!H595</x:f>
        <x:v>0.135</x:v>
      </x:c>
      <x:c r="N2728" s="11" t="n">
        <x:f>IF(G2728,L2728*AN2728/(1+M2728)^F2728,0)</x:f>
        <x:v>0.007664111798445216</x:v>
      </x:c>
      <x:c r="AJ2728" t="n">
        <x:v>0</x:v>
      </x:c>
      <x:c r="AK2728" t="n">
        <x:v>0</x:v>
      </x:c>
      <x:c r="AL2728" t="n">
        <x:v>0</x:v>
      </x:c>
      <x:c r="AM2728" t="n">
        <x:f>CHOOSE('假设'!$B$3,AJ2728,AK2728,AL2728)</x:f>
        <x:v>0</x:v>
      </x:c>
      <x:c r="AN2728" t="n">
        <x:v>1</x:v>
      </x:c>
    </x:row>
    <x:row r="2729" ht="23" customHeight="1">
      <x:c r="A2729" s="11" t="str">
        <x:v>688382.SH</x:v>
      </x:c>
      <x:c r="B2729" s="11" t="str">
        <x:v>半年</x:v>
      </x:c>
      <x:c r="C2729" s="11" t="str">
        <x:v>tyk_sle_cn</x:v>
      </x:c>
      <x:c r="D2729" s="11" t="str">
        <x:v>2041-12-31</x:v>
      </x:c>
      <x:c r="E2729" s="11" t="str">
        <x:v>CNY</x:v>
      </x:c>
      <x:c r="F2729" s="11" t="n">
        <x:v>14.729637234770705</x:v>
      </x:c>
      <x:c r="G2729" s="26" t="b">
        <x:v>1</x:v>
      </x:c>
      <x:c r="H2729" s="16" t="n">
        <x:v>0.37</x:v>
      </x:c>
      <x:c r="I2729" s="16" t="n">
        <x:v>0.624</x:v>
      </x:c>
      <x:c r="J2729" s="16" t="n">
        <x:v>0.5059999999999999</x:v>
      </x:c>
      <x:c r="K2729" s="11" t="n">
        <x:f>CHOOSE('假设'!$B$3,H2729,I2729,J2729)</x:f>
        <x:v>0.624</x:v>
      </x:c>
      <x:c r="L2729" s="11" t="n">
        <x:f>K2729*'管线假设'!E595*'管线假设'!F595*'管线假设'!G595*IF(E2729="USD",'管线假设'!I595,1)-AM2729</x:f>
        <x:v>0.03431500799999999</x:v>
      </x:c>
      <x:c r="M2729" s="11" t="n">
        <x:f>'管线假设'!H595</x:f>
        <x:v>0.135</x:v>
      </x:c>
      <x:c r="N2729" s="11" t="n">
        <x:f>IF(G2729,L2729*AN2729/(1+M2729)^F2729,0)</x:f>
        <x:v>0.005313920034633288</x:v>
      </x:c>
      <x:c r="AJ2729" t="n">
        <x:v>0</x:v>
      </x:c>
      <x:c r="AK2729" t="n">
        <x:v>0</x:v>
      </x:c>
      <x:c r="AL2729" t="n">
        <x:v>0</x:v>
      </x:c>
      <x:c r="AM2729" t="n">
        <x:f>CHOOSE('假设'!$B$3,AJ2729,AK2729,AL2729)</x:f>
        <x:v>0</x:v>
      </x:c>
      <x:c r="AN2729" t="n">
        <x:v>1</x:v>
      </x:c>
    </x:row>
    <x:row r="2730" ht="23" customHeight="1">
      <x:c r="A2730" s="11" t="str">
        <x:v>688382.SH</x:v>
      </x:c>
      <x:c r="B2730" s="11" t="str">
        <x:v>半年</x:v>
      </x:c>
      <x:c r="C2730" s="11" t="str">
        <x:v>tyk_sle_cn</x:v>
      </x:c>
      <x:c r="D2730" s="11" t="str">
        <x:v>2042-12-31</x:v>
      </x:c>
      <x:c r="E2730" s="11" t="str">
        <x:v>CNY</x:v>
      </x:c>
      <x:c r="F2730" s="11" t="n">
        <x:v>15.728952772073923</x:v>
      </x:c>
      <x:c r="G2730" s="26" t="b">
        <x:v>1</x:v>
      </x:c>
      <x:c r="H2730" s="16" t="n">
        <x:v>0.305</x:v>
      </x:c>
      <x:c r="I2730" s="16" t="n">
        <x:v>0.45499999999999996</x:v>
      </x:c>
      <x:c r="J2730" s="16" t="n">
        <x:v>0.2069999999999999</x:v>
      </x:c>
      <x:c r="K2730" s="11" t="n">
        <x:f>CHOOSE('假设'!$B$3,H2730,I2730,J2730)</x:f>
        <x:v>0.45499999999999996</x:v>
      </x:c>
      <x:c r="L2730" s="11" t="n">
        <x:f>K2730*'管线假设'!E595*'管线假设'!F595*'管线假设'!G595*IF(E2730="USD",'管线假设'!I595,1)-AM2730</x:f>
        <x:v>0.02502135999999999</x:v>
      </x:c>
      <x:c r="M2730" s="11" t="n">
        <x:f>'管线假设'!H595</x:f>
        <x:v>0.135</x:v>
      </x:c>
      <x:c r="N2730" s="11" t="n">
        <x:f>IF(G2730,L2730*AN2730/(1+M2730)^F2730,0)</x:f>
        <x:v>0.0034141579003682467</x:v>
      </x:c>
      <x:c r="AJ2730" t="n">
        <x:v>0</x:v>
      </x:c>
      <x:c r="AK2730" t="n">
        <x:v>0</x:v>
      </x:c>
      <x:c r="AL2730" t="n">
        <x:v>0</x:v>
      </x:c>
      <x:c r="AM2730" t="n">
        <x:f>CHOOSE('假设'!$B$3,AJ2730,AK2730,AL2730)</x:f>
        <x:v>0</x:v>
      </x:c>
      <x:c r="AN2730" t="n">
        <x:v>1</x:v>
      </x:c>
    </x:row>
    <x:row r="2731" ht="23" customHeight="1">
      <x:c r="A2731" s="11" t="str">
        <x:v>688382.SH</x:v>
      </x:c>
      <x:c r="B2731" s="11" t="str">
        <x:v>半年</x:v>
      </x:c>
      <x:c r="C2731" s="11" t="str">
        <x:v>tyk_sle_cn</x:v>
      </x:c>
      <x:c r="D2731" s="11" t="str">
        <x:v>2043-12-31</x:v>
      </x:c>
      <x:c r="E2731" s="11" t="str">
        <x:v>CNY</x:v>
      </x:c>
      <x:c r="F2731" s="11" t="n">
        <x:v>16.72826830937714</x:v>
      </x:c>
      <x:c r="G2731" s="26" t="b">
        <x:v>1</x:v>
      </x:c>
      <x:c r="H2731" s="16" t="n">
        <x:v>0.24</x:v>
      </x:c>
      <x:c r="I2731" s="16" t="n">
        <x:v>0.286</x:v>
      </x:c>
      <x:c r="J2731" s="16" t="n">
        <x:v>0</x:v>
      </x:c>
      <x:c r="K2731" s="11" t="n">
        <x:f>CHOOSE('假设'!$B$3,H2731,I2731,J2731)</x:f>
        <x:v>0.286</x:v>
      </x:c>
      <x:c r="L2731" s="11" t="n">
        <x:f>K2731*'管线假设'!E595*'管线假设'!F595*'管线假设'!G595*IF(E2731="USD",'管线假设'!I595,1)-AM2731</x:f>
        <x:v>0.01572771199999999</x:v>
      </x:c>
      <x:c r="M2731" s="11" t="n">
        <x:f>'管线假设'!H595</x:f>
        <x:v>0.135</x:v>
      </x:c>
      <x:c r="N2731" s="11" t="n">
        <x:f>IF(G2731,L2731*AN2731/(1+M2731)^F2731,0)</x:f>
        <x:v>0.0018909498905402592</x:v>
      </x:c>
      <x:c r="AJ2731" t="n">
        <x:v>0</x:v>
      </x:c>
      <x:c r="AK2731" t="n">
        <x:v>0</x:v>
      </x:c>
      <x:c r="AL2731" t="n">
        <x:v>0</x:v>
      </x:c>
      <x:c r="AM2731" t="n">
        <x:f>CHOOSE('假设'!$B$3,AJ2731,AK2731,AL2731)</x:f>
        <x:v>0</x:v>
      </x:c>
      <x:c r="AN2731" t="n">
        <x:v>1</x:v>
      </x:c>
    </x:row>
    <x:row r="2732" ht="23" customHeight="1">
      <x:c r="A2732" s="11" t="str">
        <x:v>688382.SH</x:v>
      </x:c>
      <x:c r="B2732" s="11" t="str">
        <x:v>半年</x:v>
      </x:c>
      <x:c r="C2732" s="11" t="str">
        <x:v>tyk_sle_cn</x:v>
      </x:c>
      <x:c r="D2732" s="11" t="str">
        <x:v>2044-12-31</x:v>
      </x:c>
      <x:c r="E2732" s="11" t="str">
        <x:v>CNY</x:v>
      </x:c>
      <x:c r="F2732" s="11" t="n">
        <x:v>17.730321697467488</x:v>
      </x:c>
      <x:c r="G2732" s="26" t="b">
        <x:v>1</x:v>
      </x:c>
      <x:c r="H2732" s="16" t="n">
        <x:v>0.175</x:v>
      </x:c>
      <x:c r="I2732" s="16" t="n">
        <x:v>0.11699999999999997</x:v>
      </x:c>
      <x:c r="J2732" s="16" t="n">
        <x:v>0</x:v>
      </x:c>
      <x:c r="K2732" s="11" t="n">
        <x:f>CHOOSE('假设'!$B$3,H2732,I2732,J2732)</x:f>
        <x:v>0.11699999999999997</x:v>
      </x:c>
      <x:c r="L2732" s="11" t="n">
        <x:f>K2732*'管线假设'!E595*'管线假设'!F595*'管线假设'!G595*IF(E2732="USD",'管线假设'!I595,1)-AM2732</x:f>
        <x:v>0.006434063999999996</x:v>
      </x:c>
      <x:c r="M2732" s="11" t="n">
        <x:f>'管线假设'!H595</x:f>
        <x:v>0.135</x:v>
      </x:c>
      <x:c r="N2732" s="11" t="n">
        <x:f>IF(G2732,L2732*AN2732/(1+M2732)^F2732,0)</x:f>
        <x:v>0.0006813826321712041</x:v>
      </x:c>
      <x:c r="AJ2732" t="n">
        <x:v>0</x:v>
      </x:c>
      <x:c r="AK2732" t="n">
        <x:v>0</x:v>
      </x:c>
      <x:c r="AL2732" t="n">
        <x:v>0</x:v>
      </x:c>
      <x:c r="AM2732" t="n">
        <x:f>CHOOSE('假设'!$B$3,AJ2732,AK2732,AL2732)</x:f>
        <x:v>0</x:v>
      </x:c>
      <x:c r="AN2732" t="n">
        <x:v>1</x:v>
      </x:c>
    </x:row>
    <x:row r="2733" ht="23" customHeight="1">
      <x:c r="A2733" s="11" t="str">
        <x:v>688382.SH</x:v>
      </x:c>
      <x:c r="B2733" s="11" t="str">
        <x:v>半年</x:v>
      </x:c>
      <x:c r="C2733" s="11" t="str">
        <x:v>tyk_sle_cn</x:v>
      </x:c>
      <x:c r="D2733" s="11" t="str">
        <x:v>2045-12-31</x:v>
      </x:c>
      <x:c r="E2733" s="11" t="str">
        <x:v>CNY</x:v>
      </x:c>
      <x:c r="F2733" s="11" t="n">
        <x:v>18.729637234770706</x:v>
      </x:c>
      <x:c r="G2733" s="26" t="b">
        <x:v>1</x:v>
      </x:c>
      <x:c r="H2733" s="16" t="n">
        <x:v>0.10999999999999999</x:v>
      </x:c>
      <x:c r="I2733" s="16" t="n">
        <x:v>0</x:v>
      </x:c>
      <x:c r="J2733" s="16" t="n">
        <x:v>0</x:v>
      </x:c>
      <x:c r="K2733" s="11" t="n">
        <x:f>CHOOSE('假设'!$B$3,H2733,I2733,J2733)</x:f>
        <x:v>0</x:v>
      </x:c>
      <x:c r="L2733" s="11" t="n">
        <x:f>K2733*'管线假设'!E595*'管线假设'!F595*'管线假设'!G595*IF(E2733="USD",'管线假设'!I595,1)-AM2733</x:f>
        <x:v>0</x:v>
      </x:c>
      <x:c r="M2733" s="11" t="n">
        <x:f>'管线假设'!H595</x:f>
        <x:v>0.135</x:v>
      </x:c>
      <x:c r="N2733" s="11" t="n">
        <x:f>IF(G2733,L2733*AN2733/(1+M2733)^F2733,0)</x:f>
        <x:v>0</x:v>
      </x:c>
      <x:c r="AJ2733" t="n">
        <x:v>0</x:v>
      </x:c>
      <x:c r="AK2733" t="n">
        <x:v>0</x:v>
      </x:c>
      <x:c r="AL2733" t="n">
        <x:v>0</x:v>
      </x:c>
      <x:c r="AM2733" t="n">
        <x:f>CHOOSE('假设'!$B$3,AJ2733,AK2733,AL2733)</x:f>
        <x:v>0</x:v>
      </x:c>
      <x:c r="AN2733" t="n">
        <x:v>1</x:v>
      </x:c>
    </x:row>
    <x:row r="2734" ht="23" customHeight="1">
      <x:c r="A2734" s="11" t="str">
        <x:v>688382.SH</x:v>
      </x:c>
      <x:c r="B2734" s="11" t="str">
        <x:v>半年</x:v>
      </x:c>
      <x:c r="C2734" s="11" t="str">
        <x:v>tyk_psa_cn</x:v>
      </x:c>
      <x:c r="D2734" s="11" t="str">
        <x:v>2027-12-31</x:v>
      </x:c>
      <x:c r="E2734" s="11" t="str">
        <x:v>CNY</x:v>
      </x:c>
      <x:c r="F2734" s="11" t="n">
        <x:v>0.7282683093771389</x:v>
      </x:c>
      <x:c r="G2734" s="26" t="b">
        <x:v>1</x:v>
      </x:c>
      <x:c r="H2734" s="16" t="n">
        <x:v>0</x:v>
      </x:c>
      <x:c r="I2734" s="16" t="n">
        <x:v>0</x:v>
      </x:c>
      <x:c r="J2734" s="16" t="n">
        <x:v>0</x:v>
      </x:c>
      <x:c r="K2734" s="11" t="n">
        <x:f>CHOOSE('假设'!$B$3,H2734,I2734,J2734)</x:f>
        <x:v>0</x:v>
      </x:c>
      <x:c r="L2734" s="11" t="n">
        <x:f>K2734*'管线假设'!E599*'管线假设'!F599*'管线假设'!G599*IF(E2734="USD",'管线假设'!I599,1)-AM2734</x:f>
        <x:v>0</x:v>
      </x:c>
      <x:c r="M2734" s="11" t="n">
        <x:f>'管线假设'!H599</x:f>
        <x:v>0.135</x:v>
      </x:c>
      <x:c r="N2734" s="11" t="n">
        <x:f>IF(G2734,L2734*AN2734/(1+M2734)^F2734,0)</x:f>
        <x:v>0</x:v>
      </x:c>
      <x:c r="AJ2734" t="n">
        <x:v>0</x:v>
      </x:c>
      <x:c r="AK2734" t="n">
        <x:v>0</x:v>
      </x:c>
      <x:c r="AL2734" t="n">
        <x:v>0</x:v>
      </x:c>
      <x:c r="AM2734" t="n">
        <x:f>CHOOSE('假设'!$B$3,AJ2734,AK2734,AL2734)</x:f>
        <x:v>0</x:v>
      </x:c>
      <x:c r="AN2734" t="n">
        <x:v>1</x:v>
      </x:c>
    </x:row>
    <x:row r="2735" ht="23" customHeight="1">
      <x:c r="A2735" s="11" t="str">
        <x:v>688382.SH</x:v>
      </x:c>
      <x:c r="B2735" s="11" t="str">
        <x:v>半年</x:v>
      </x:c>
      <x:c r="C2735" s="11" t="str">
        <x:v>tyk_psa_cn</x:v>
      </x:c>
      <x:c r="D2735" s="11" t="str">
        <x:v>2028-12-31</x:v>
      </x:c>
      <x:c r="E2735" s="11" t="str">
        <x:v>CNY</x:v>
      </x:c>
      <x:c r="F2735" s="11" t="n">
        <x:v>1.730321697467488</x:v>
      </x:c>
      <x:c r="G2735" s="26" t="b">
        <x:v>1</x:v>
      </x:c>
      <x:c r="H2735" s="16" t="n">
        <x:v>0</x:v>
      </x:c>
      <x:c r="I2735" s="16" t="n">
        <x:v>0</x:v>
      </x:c>
      <x:c r="J2735" s="16" t="n">
        <x:v>0</x:v>
      </x:c>
      <x:c r="K2735" s="11" t="n">
        <x:f>CHOOSE('假设'!$B$3,H2735,I2735,J2735)</x:f>
        <x:v>0</x:v>
      </x:c>
      <x:c r="L2735" s="11" t="n">
        <x:f>K2735*'管线假设'!E599*'管线假设'!F599*'管线假设'!G599*IF(E2735="USD",'管线假设'!I599,1)-AM2735</x:f>
        <x:v>0</x:v>
      </x:c>
      <x:c r="M2735" s="11" t="n">
        <x:f>'管线假设'!H599</x:f>
        <x:v>0.135</x:v>
      </x:c>
      <x:c r="N2735" s="11" t="n">
        <x:f>IF(G2735,L2735*AN2735/(1+M2735)^F2735,0)</x:f>
        <x:v>0</x:v>
      </x:c>
      <x:c r="AJ2735" t="n">
        <x:v>0</x:v>
      </x:c>
      <x:c r="AK2735" t="n">
        <x:v>0</x:v>
      </x:c>
      <x:c r="AL2735" t="n">
        <x:v>0</x:v>
      </x:c>
      <x:c r="AM2735" t="n">
        <x:f>CHOOSE('假设'!$B$3,AJ2735,AK2735,AL2735)</x:f>
        <x:v>0</x:v>
      </x:c>
      <x:c r="AN2735" t="n">
        <x:v>1</x:v>
      </x:c>
    </x:row>
    <x:row r="2736" ht="23" customHeight="1">
      <x:c r="A2736" s="11" t="str">
        <x:v>688382.SH</x:v>
      </x:c>
      <x:c r="B2736" s="11" t="str">
        <x:v>半年</x:v>
      </x:c>
      <x:c r="C2736" s="11" t="str">
        <x:v>tyk_psa_cn</x:v>
      </x:c>
      <x:c r="D2736" s="11" t="str">
        <x:v>2029-12-31</x:v>
      </x:c>
      <x:c r="E2736" s="11" t="str">
        <x:v>CNY</x:v>
      </x:c>
      <x:c r="F2736" s="11" t="n">
        <x:v>2.729637234770705</x:v>
      </x:c>
      <x:c r="G2736" s="26" t="b">
        <x:v>1</x:v>
      </x:c>
      <x:c r="H2736" s="16" t="n">
        <x:v>0</x:v>
      </x:c>
      <x:c r="I2736" s="16" t="n">
        <x:v>0</x:v>
      </x:c>
      <x:c r="J2736" s="16" t="n">
        <x:v>0.2333333333333333</x:v>
      </x:c>
      <x:c r="K2736" s="11" t="n">
        <x:f>CHOOSE('假设'!$B$3,H2736,I2736,J2736)</x:f>
        <x:v>0</x:v>
      </x:c>
      <x:c r="L2736" s="11" t="n">
        <x:f>K2736*'管线假设'!E599*'管线假设'!F599*'管线假设'!G599*IF(E2736="USD",'管线假设'!I599,1)-AM2736</x:f>
        <x:v>0</x:v>
      </x:c>
      <x:c r="M2736" s="11" t="n">
        <x:f>'管线假设'!H599</x:f>
        <x:v>0.135</x:v>
      </x:c>
      <x:c r="N2736" s="11" t="n">
        <x:f>IF(G2736,L2736*AN2736/(1+M2736)^F2736,0)</x:f>
        <x:v>0</x:v>
      </x:c>
      <x:c r="AJ2736" t="n">
        <x:v>0</x:v>
      </x:c>
      <x:c r="AK2736" t="n">
        <x:v>0</x:v>
      </x:c>
      <x:c r="AL2736" t="n">
        <x:v>0</x:v>
      </x:c>
      <x:c r="AM2736" t="n">
        <x:f>CHOOSE('假设'!$B$3,AJ2736,AK2736,AL2736)</x:f>
        <x:v>0</x:v>
      </x:c>
      <x:c r="AN2736" t="n">
        <x:v>1</x:v>
      </x:c>
    </x:row>
    <x:row r="2737" ht="23" customHeight="1">
      <x:c r="A2737" s="11" t="str">
        <x:v>688382.SH</x:v>
      </x:c>
      <x:c r="B2737" s="11" t="str">
        <x:v>半年</x:v>
      </x:c>
      <x:c r="C2737" s="11" t="str">
        <x:v>tyk_psa_cn</x:v>
      </x:c>
      <x:c r="D2737" s="11" t="str">
        <x:v>2030-12-31</x:v>
      </x:c>
      <x:c r="E2737" s="11" t="str">
        <x:v>CNY</x:v>
      </x:c>
      <x:c r="F2737" s="11" t="n">
        <x:v>3.728952772073922</x:v>
      </x:c>
      <x:c r="G2737" s="26" t="b">
        <x:v>1</x:v>
      </x:c>
      <x:c r="H2737" s="16" t="n">
        <x:v>0</x:v>
      </x:c>
      <x:c r="I2737" s="16" t="n">
        <x:v>0</x:v>
      </x:c>
      <x:c r="J2737" s="16" t="n">
        <x:v>0.4666666666666666</x:v>
      </x:c>
      <x:c r="K2737" s="11" t="n">
        <x:f>CHOOSE('假设'!$B$3,H2737,I2737,J2737)</x:f>
        <x:v>0</x:v>
      </x:c>
      <x:c r="L2737" s="11" t="n">
        <x:f>K2737*'管线假设'!E599*'管线假设'!F599*'管线假设'!G599*IF(E2737="USD",'管线假设'!I599,1)-AM2737</x:f>
        <x:v>0</x:v>
      </x:c>
      <x:c r="M2737" s="11" t="n">
        <x:f>'管线假设'!H599</x:f>
        <x:v>0.135</x:v>
      </x:c>
      <x:c r="N2737" s="11" t="n">
        <x:f>IF(G2737,L2737*AN2737/(1+M2737)^F2737,0)</x:f>
        <x:v>0</x:v>
      </x:c>
      <x:c r="AJ2737" t="n">
        <x:v>0</x:v>
      </x:c>
      <x:c r="AK2737" t="n">
        <x:v>0</x:v>
      </x:c>
      <x:c r="AL2737" t="n">
        <x:v>0</x:v>
      </x:c>
      <x:c r="AM2737" t="n">
        <x:f>CHOOSE('假设'!$B$3,AJ2737,AK2737,AL2737)</x:f>
        <x:v>0</x:v>
      </x:c>
      <x:c r="AN2737" t="n">
        <x:v>1</x:v>
      </x:c>
    </x:row>
    <x:row r="2738" ht="23" customHeight="1">
      <x:c r="A2738" s="11" t="str">
        <x:v>688382.SH</x:v>
      </x:c>
      <x:c r="B2738" s="11" t="str">
        <x:v>半年</x:v>
      </x:c>
      <x:c r="C2738" s="11" t="str">
        <x:v>tyk_psa_cn</x:v>
      </x:c>
      <x:c r="D2738" s="11" t="str">
        <x:v>2031-12-31</x:v>
      </x:c>
      <x:c r="E2738" s="11" t="str">
        <x:v>CNY</x:v>
      </x:c>
      <x:c r="F2738" s="11" t="n">
        <x:v>4.728268309377139</x:v>
      </x:c>
      <x:c r="G2738" s="26" t="b">
        <x:v>1</x:v>
      </x:c>
      <x:c r="H2738" s="16" t="n">
        <x:v>0</x:v>
      </x:c>
      <x:c r="I2738" s="16" t="n">
        <x:v>0.13333333333333333</x:v>
      </x:c>
      <x:c r="J2738" s="16" t="n">
        <x:v>0.7</x:v>
      </x:c>
      <x:c r="K2738" s="11" t="n">
        <x:f>CHOOSE('假设'!$B$3,H2738,I2738,J2738)</x:f>
        <x:v>0.13333333333333333</x:v>
      </x:c>
      <x:c r="L2738" s="11" t="n">
        <x:f>K2738*'管线假设'!E599*'管线假设'!F599*'管线假设'!G599*IF(E2738="USD",'管线假设'!I599,1)-AM2738</x:f>
        <x:v>0.011722666666666671</x:v>
      </x:c>
      <x:c r="M2738" s="11" t="n">
        <x:f>'管线假设'!H599</x:f>
        <x:v>0.135</x:v>
      </x:c>
      <x:c r="N2738" s="11" t="n">
        <x:f>IF(G2738,L2738*AN2738/(1+M2738)^F2738,0)</x:f>
        <x:v>0.006441562527705688</x:v>
      </x:c>
      <x:c r="AJ2738" t="n">
        <x:v>0</x:v>
      </x:c>
      <x:c r="AK2738" t="n">
        <x:v>0</x:v>
      </x:c>
      <x:c r="AL2738" t="n">
        <x:v>0</x:v>
      </x:c>
      <x:c r="AM2738" t="n">
        <x:f>CHOOSE('假设'!$B$3,AJ2738,AK2738,AL2738)</x:f>
        <x:v>0</x:v>
      </x:c>
      <x:c r="AN2738" t="n">
        <x:v>1</x:v>
      </x:c>
    </x:row>
    <x:row r="2739" ht="23" customHeight="1">
      <x:c r="A2739" s="11" t="str">
        <x:v>688382.SH</x:v>
      </x:c>
      <x:c r="B2739" s="11" t="str">
        <x:v>半年</x:v>
      </x:c>
      <x:c r="C2739" s="11" t="str">
        <x:v>tyk_psa_cn</x:v>
      </x:c>
      <x:c r="D2739" s="11" t="str">
        <x:v>2032-12-31</x:v>
      </x:c>
      <x:c r="E2739" s="11" t="str">
        <x:v>CNY</x:v>
      </x:c>
      <x:c r="F2739" s="11" t="n">
        <x:v>5.730321697467488</x:v>
      </x:c>
      <x:c r="G2739" s="26" t="b">
        <x:v>1</x:v>
      </x:c>
      <x:c r="H2739" s="16" t="n">
        <x:v>0</x:v>
      </x:c>
      <x:c r="I2739" s="16" t="n">
        <x:v>0.26666666666666666</x:v>
      </x:c>
      <x:c r="J2739" s="16" t="n">
        <x:v>0.9333333333333332</x:v>
      </x:c>
      <x:c r="K2739" s="11" t="n">
        <x:f>CHOOSE('假设'!$B$3,H2739,I2739,J2739)</x:f>
        <x:v>0.26666666666666666</x:v>
      </x:c>
      <x:c r="L2739" s="11" t="n">
        <x:f>K2739*'管线假设'!E599*'管线假设'!F599*'管线假设'!G599*IF(E2739="USD",'管线假设'!I599,1)-AM2739</x:f>
        <x:v>0.023445333333333342</x:v>
      </x:c>
      <x:c r="M2739" s="11" t="n">
        <x:f>'管线假设'!H599</x:f>
        <x:v>0.135</x:v>
      </x:c>
      <x:c r="N2739" s="11" t="n">
        <x:f>IF(G2739,L2739*AN2739/(1+M2739)^F2739,0)</x:f>
        <x:v>0.011347819862314864</x:v>
      </x:c>
      <x:c r="AJ2739" t="n">
        <x:v>0</x:v>
      </x:c>
      <x:c r="AK2739" t="n">
        <x:v>0</x:v>
      </x:c>
      <x:c r="AL2739" t="n">
        <x:v>0</x:v>
      </x:c>
      <x:c r="AM2739" t="n">
        <x:f>CHOOSE('假设'!$B$3,AJ2739,AK2739,AL2739)</x:f>
        <x:v>0</x:v>
      </x:c>
      <x:c r="AN2739" t="n">
        <x:v>1</x:v>
      </x:c>
    </x:row>
    <x:row r="2740" ht="23" customHeight="1">
      <x:c r="A2740" s="11" t="str">
        <x:v>688382.SH</x:v>
      </x:c>
      <x:c r="B2740" s="11" t="str">
        <x:v>半年</x:v>
      </x:c>
      <x:c r="C2740" s="11" t="str">
        <x:v>tyk_psa_cn</x:v>
      </x:c>
      <x:c r="D2740" s="11" t="str">
        <x:v>2033-12-31</x:v>
      </x:c>
      <x:c r="E2740" s="11" t="str">
        <x:v>CNY</x:v>
      </x:c>
      <x:c r="F2740" s="11" t="n">
        <x:v>6.729637234770705</x:v>
      </x:c>
      <x:c r="G2740" s="26" t="b">
        <x:v>1</x:v>
      </x:c>
      <x:c r="H2740" s="16" t="n">
        <x:v>0</x:v>
      </x:c>
      <x:c r="I2740" s="16" t="n">
        <x:v>0.4</x:v>
      </x:c>
      <x:c r="J2740" s="16" t="n">
        <x:v>1.1666666666666667</x:v>
      </x:c>
      <x:c r="K2740" s="11" t="n">
        <x:f>CHOOSE('假设'!$B$3,H2740,I2740,J2740)</x:f>
        <x:v>0.4</x:v>
      </x:c>
      <x:c r="L2740" s="11" t="n">
        <x:f>K2740*'管线假设'!E599*'管线假设'!F599*'管线假设'!G599*IF(E2740="USD",'管线假设'!I599,1)-AM2740</x:f>
        <x:v>0.035168000000000005</x:v>
      </x:c>
      <x:c r="M2740" s="11" t="n">
        <x:f>'管线假设'!H599</x:f>
        <x:v>0.135</x:v>
      </x:c>
      <x:c r="N2740" s="11" t="n">
        <x:f>IF(G2740,L2740*AN2740/(1+M2740)^F2740,0)</x:f>
        <x:v>0.014998418697257968</x:v>
      </x:c>
      <x:c r="AJ2740" t="n">
        <x:v>0</x:v>
      </x:c>
      <x:c r="AK2740" t="n">
        <x:v>0</x:v>
      </x:c>
      <x:c r="AL2740" t="n">
        <x:v>0</x:v>
      </x:c>
      <x:c r="AM2740" t="n">
        <x:f>CHOOSE('假设'!$B$3,AJ2740,AK2740,AL2740)</x:f>
        <x:v>0</x:v>
      </x:c>
      <x:c r="AN2740" t="n">
        <x:v>1</x:v>
      </x:c>
    </x:row>
    <x:row r="2741" ht="23" customHeight="1">
      <x:c r="A2741" s="11" t="str">
        <x:v>688382.SH</x:v>
      </x:c>
      <x:c r="B2741" s="11" t="str">
        <x:v>半年</x:v>
      </x:c>
      <x:c r="C2741" s="11" t="str">
        <x:v>tyk_psa_cn</x:v>
      </x:c>
      <x:c r="D2741" s="11" t="str">
        <x:v>2034-12-31</x:v>
      </x:c>
      <x:c r="E2741" s="11" t="str">
        <x:v>CNY</x:v>
      </x:c>
      <x:c r="F2741" s="11" t="n">
        <x:v>7.728952772073922</x:v>
      </x:c>
      <x:c r="G2741" s="26" t="b">
        <x:v>1</x:v>
      </x:c>
      <x:c r="H2741" s="16" t="n">
        <x:v>0.06</x:v>
      </x:c>
      <x:c r="I2741" s="16" t="n">
        <x:v>0.5333333333333333</x:v>
      </x:c>
      <x:c r="J2741" s="16" t="n">
        <x:v>1.4</x:v>
      </x:c>
      <x:c r="K2741" s="11" t="n">
        <x:f>CHOOSE('假设'!$B$3,H2741,I2741,J2741)</x:f>
        <x:v>0.5333333333333333</x:v>
      </x:c>
      <x:c r="L2741" s="11" t="n">
        <x:f>K2741*'管线假设'!E599*'管线假设'!F599*'管线假设'!G599*IF(E2741="USD",'管线假设'!I599,1)-AM2741</x:f>
        <x:v>0.046890666666666685</x:v>
      </x:c>
      <x:c r="M2741" s="11" t="n">
        <x:f>'管线假设'!H599</x:f>
        <x:v>0.135</x:v>
      </x:c>
      <x:c r="N2741" s="11" t="n">
        <x:f>IF(G2741,L2741*AN2741/(1+M2741)^F2741,0)</x:f>
        <x:v>0.01762081497377351</x:v>
      </x:c>
      <x:c r="AJ2741" t="n">
        <x:v>0</x:v>
      </x:c>
      <x:c r="AK2741" t="n">
        <x:v>0</x:v>
      </x:c>
      <x:c r="AL2741" t="n">
        <x:v>0</x:v>
      </x:c>
      <x:c r="AM2741" t="n">
        <x:f>CHOOSE('假设'!$B$3,AJ2741,AK2741,AL2741)</x:f>
        <x:v>0</x:v>
      </x:c>
      <x:c r="AN2741" t="n">
        <x:v>1</x:v>
      </x:c>
    </x:row>
    <x:row r="2742" ht="23" customHeight="1">
      <x:c r="A2742" s="11" t="str">
        <x:v>688382.SH</x:v>
      </x:c>
      <x:c r="B2742" s="11" t="str">
        <x:v>半年</x:v>
      </x:c>
      <x:c r="C2742" s="11" t="str">
        <x:v>tyk_psa_cn</x:v>
      </x:c>
      <x:c r="D2742" s="11" t="str">
        <x:v>2035-12-31</x:v>
      </x:c>
      <x:c r="E2742" s="11" t="str">
        <x:v>CNY</x:v>
      </x:c>
      <x:c r="F2742" s="11" t="n">
        <x:v>8.728268309377139</x:v>
      </x:c>
      <x:c r="G2742" s="26" t="b">
        <x:v>1</x:v>
      </x:c>
      <x:c r="H2742" s="16" t="n">
        <x:v>0.12</x:v>
      </x:c>
      <x:c r="I2742" s="16" t="n">
        <x:v>0.6666666666666667</x:v>
      </x:c>
      <x:c r="J2742" s="16" t="n">
        <x:v>1.218</x:v>
      </x:c>
      <x:c r="K2742" s="11" t="n">
        <x:f>CHOOSE('假设'!$B$3,H2742,I2742,J2742)</x:f>
        <x:v>0.6666666666666667</x:v>
      </x:c>
      <x:c r="L2742" s="11" t="n">
        <x:f>K2742*'管线假设'!E599*'管线假设'!F599*'管线假设'!G599*IF(E2742="USD",'管线假设'!I599,1)-AM2742</x:f>
        <x:v>0.05861333333333336</x:v>
      </x:c>
      <x:c r="M2742" s="11" t="n">
        <x:f>'管线假设'!H599</x:f>
        <x:v>0.135</x:v>
      </x:c>
      <x:c r="N2742" s="11" t="n">
        <x:f>IF(G2742,L2742*AN2742/(1+M2742)^F2742,0)</x:f>
        <x:v>0.019407866002029272</x:v>
      </x:c>
      <x:c r="AJ2742" t="n">
        <x:v>0</x:v>
      </x:c>
      <x:c r="AK2742" t="n">
        <x:v>0</x:v>
      </x:c>
      <x:c r="AL2742" t="n">
        <x:v>0</x:v>
      </x:c>
      <x:c r="AM2742" t="n">
        <x:f>CHOOSE('假设'!$B$3,AJ2742,AK2742,AL2742)</x:f>
        <x:v>0</x:v>
      </x:c>
      <x:c r="AN2742" t="n">
        <x:v>1</x:v>
      </x:c>
    </x:row>
    <x:row r="2743" ht="23" customHeight="1">
      <x:c r="A2743" s="11" t="str">
        <x:v>688382.SH</x:v>
      </x:c>
      <x:c r="B2743" s="11" t="str">
        <x:v>半年</x:v>
      </x:c>
      <x:c r="C2743" s="11" t="str">
        <x:v>tyk_psa_cn</x:v>
      </x:c>
      <x:c r="D2743" s="11" t="str">
        <x:v>2036-12-31</x:v>
      </x:c>
      <x:c r="E2743" s="11" t="str">
        <x:v>CNY</x:v>
      </x:c>
      <x:c r="F2743" s="11" t="n">
        <x:v>9.730321697467488</x:v>
      </x:c>
      <x:c r="G2743" s="26" t="b">
        <x:v>1</x:v>
      </x:c>
      <x:c r="H2743" s="16" t="n">
        <x:v>0.18</x:v>
      </x:c>
      <x:c r="I2743" s="16" t="n">
        <x:v>0.8</x:v>
      </x:c>
      <x:c r="J2743" s="16" t="n">
        <x:v>1.036</x:v>
      </x:c>
      <x:c r="K2743" s="11" t="n">
        <x:f>CHOOSE('假设'!$B$3,H2743,I2743,J2743)</x:f>
        <x:v>0.8</x:v>
      </x:c>
      <x:c r="L2743" s="11" t="n">
        <x:f>K2743*'管线假设'!E599*'管线假设'!F599*'管线假设'!G599*IF(E2743="USD",'管线假设'!I599,1)-AM2743</x:f>
        <x:v>0.07033600000000001</x:v>
      </x:c>
      <x:c r="M2743" s="11" t="n">
        <x:f>'管线假设'!H599</x:f>
        <x:v>0.135</x:v>
      </x:c>
      <x:c r="N2743" s="11" t="n">
        <x:f>IF(G2743,L2743*AN2743/(1+M2743)^F2743,0)</x:f>
        <x:v>0.020513994828650583</x:v>
      </x:c>
      <x:c r="AJ2743" t="n">
        <x:v>0</x:v>
      </x:c>
      <x:c r="AK2743" t="n">
        <x:v>0</x:v>
      </x:c>
      <x:c r="AL2743" t="n">
        <x:v>0</x:v>
      </x:c>
      <x:c r="AM2743" t="n">
        <x:f>CHOOSE('假设'!$B$3,AJ2743,AK2743,AL2743)</x:f>
        <x:v>0</x:v>
      </x:c>
      <x:c r="AN2743" t="n">
        <x:v>1</x:v>
      </x:c>
    </x:row>
    <x:row r="2744" ht="23" customHeight="1">
      <x:c r="A2744" s="11" t="str">
        <x:v>688382.SH</x:v>
      </x:c>
      <x:c r="B2744" s="11" t="str">
        <x:v>半年</x:v>
      </x:c>
      <x:c r="C2744" s="11" t="str">
        <x:v>tyk_psa_cn</x:v>
      </x:c>
      <x:c r="D2744" s="11" t="str">
        <x:v>2037-12-31</x:v>
      </x:c>
      <x:c r="E2744" s="11" t="str">
        <x:v>CNY</x:v>
      </x:c>
      <x:c r="F2744" s="11" t="n">
        <x:v>10.729637234770705</x:v>
      </x:c>
      <x:c r="G2744" s="26" t="b">
        <x:v>1</x:v>
      </x:c>
      <x:c r="H2744" s="16" t="n">
        <x:v>0.24</x:v>
      </x:c>
      <x:c r="I2744" s="16" t="n">
        <x:v>0.6960000000000001</x:v>
      </x:c>
      <x:c r="J2744" s="16" t="n">
        <x:v>0.854</x:v>
      </x:c>
      <x:c r="K2744" s="11" t="n">
        <x:f>CHOOSE('假设'!$B$3,H2744,I2744,J2744)</x:f>
        <x:v>0.6960000000000001</x:v>
      </x:c>
      <x:c r="L2744" s="11" t="n">
        <x:f>K2744*'管线假设'!E599*'管线假设'!F599*'管线假设'!G599*IF(E2744="USD",'管线假设'!I599,1)-AM2744</x:f>
        <x:v>0.06119232000000003</x:v>
      </x:c>
      <x:c r="M2744" s="11" t="n">
        <x:f>'管线假设'!H599</x:f>
        <x:v>0.135</x:v>
      </x:c>
      <x:c r="N2744" s="11" t="n">
        <x:f>IF(G2744,L2744*AN2744/(1+M2744)^F2744,0)</x:f>
        <x:v>0.015725746676403363</x:v>
      </x:c>
      <x:c r="AJ2744" t="n">
        <x:v>0</x:v>
      </x:c>
      <x:c r="AK2744" t="n">
        <x:v>0</x:v>
      </x:c>
      <x:c r="AL2744" t="n">
        <x:v>0</x:v>
      </x:c>
      <x:c r="AM2744" t="n">
        <x:f>CHOOSE('假设'!$B$3,AJ2744,AK2744,AL2744)</x:f>
        <x:v>0</x:v>
      </x:c>
      <x:c r="AN2744" t="n">
        <x:v>1</x:v>
      </x:c>
    </x:row>
    <x:row r="2745" ht="23" customHeight="1">
      <x:c r="A2745" s="11" t="str">
        <x:v>688382.SH</x:v>
      </x:c>
      <x:c r="B2745" s="11" t="str">
        <x:v>半年</x:v>
      </x:c>
      <x:c r="C2745" s="11" t="str">
        <x:v>tyk_psa_cn</x:v>
      </x:c>
      <x:c r="D2745" s="11" t="str">
        <x:v>2038-12-31</x:v>
      </x:c>
      <x:c r="E2745" s="11" t="str">
        <x:v>CNY</x:v>
      </x:c>
      <x:c r="F2745" s="11" t="n">
        <x:v>11.728952772073923</x:v>
      </x:c>
      <x:c r="G2745" s="26" t="b">
        <x:v>1</x:v>
      </x:c>
      <x:c r="H2745" s="16" t="n">
        <x:v>0.3</x:v>
      </x:c>
      <x:c r="I2745" s="16" t="n">
        <x:v>0.592</x:v>
      </x:c>
      <x:c r="J2745" s="16" t="n">
        <x:v>0.6719999999999999</x:v>
      </x:c>
      <x:c r="K2745" s="11" t="n">
        <x:f>CHOOSE('假设'!$B$3,H2745,I2745,J2745)</x:f>
        <x:v>0.592</x:v>
      </x:c>
      <x:c r="L2745" s="11" t="n">
        <x:f>K2745*'管线假设'!E599*'管线假设'!F599*'管线假设'!G599*IF(E2745="USD",'管线假设'!I599,1)-AM2745</x:f>
        <x:v>0.052048640000000014</x:v>
      </x:c>
      <x:c r="M2745" s="11" t="n">
        <x:f>'管线假设'!H599</x:f>
        <x:v>0.135</x:v>
      </x:c>
      <x:c r="N2745" s="11" t="n">
        <x:f>IF(G2745,L2745*AN2745/(1+M2745)^F2745,0)</x:f>
        <x:v>0.011785975218564889</x:v>
      </x:c>
      <x:c r="AJ2745" t="n">
        <x:v>0</x:v>
      </x:c>
      <x:c r="AK2745" t="n">
        <x:v>0</x:v>
      </x:c>
      <x:c r="AL2745" t="n">
        <x:v>0</x:v>
      </x:c>
      <x:c r="AM2745" t="n">
        <x:f>CHOOSE('假设'!$B$3,AJ2745,AK2745,AL2745)</x:f>
        <x:v>0</x:v>
      </x:c>
      <x:c r="AN2745" t="n">
        <x:v>1</x:v>
      </x:c>
    </x:row>
    <x:row r="2746" ht="23" customHeight="1">
      <x:c r="A2746" s="11" t="str">
        <x:v>688382.SH</x:v>
      </x:c>
      <x:c r="B2746" s="11" t="str">
        <x:v>半年</x:v>
      </x:c>
      <x:c r="C2746" s="11" t="str">
        <x:v>tyk_psa_cn</x:v>
      </x:c>
      <x:c r="D2746" s="11" t="str">
        <x:v>2039-12-31</x:v>
      </x:c>
      <x:c r="E2746" s="11" t="str">
        <x:v>CNY</x:v>
      </x:c>
      <x:c r="F2746" s="11" t="n">
        <x:v>12.728268309377139</x:v>
      </x:c>
      <x:c r="G2746" s="26" t="b">
        <x:v>1</x:v>
      </x:c>
      <x:c r="H2746" s="16" t="n">
        <x:v>0.261</x:v>
      </x:c>
      <x:c r="I2746" s="16" t="n">
        <x:v>0.488</x:v>
      </x:c>
      <x:c r="J2746" s="16" t="n">
        <x:v>0.48999999999999994</x:v>
      </x:c>
      <x:c r="K2746" s="11" t="n">
        <x:f>CHOOSE('假设'!$B$3,H2746,I2746,J2746)</x:f>
        <x:v>0.488</x:v>
      </x:c>
      <x:c r="L2746" s="11" t="n">
        <x:f>K2746*'管线假设'!E599*'管线假设'!F599*'管线假设'!G599*IF(E2746="USD",'管线假设'!I599,1)-AM2746</x:f>
        <x:v>0.04290496000000001</x:v>
      </x:c>
      <x:c r="M2746" s="11" t="n">
        <x:f>'管线假设'!H599</x:f>
        <x:v>0.135</x:v>
      </x:c>
      <x:c r="N2746" s="11" t="n">
        <x:f>IF(G2746,L2746*AN2746/(1+M2746)^F2746,0)</x:f>
        <x:v>0.008560623952623414</x:v>
      </x:c>
      <x:c r="AJ2746" t="n">
        <x:v>0</x:v>
      </x:c>
      <x:c r="AK2746" t="n">
        <x:v>0</x:v>
      </x:c>
      <x:c r="AL2746" t="n">
        <x:v>0</x:v>
      </x:c>
      <x:c r="AM2746" t="n">
        <x:f>CHOOSE('假设'!$B$3,AJ2746,AK2746,AL2746)</x:f>
        <x:v>0</x:v>
      </x:c>
      <x:c r="AN2746" t="n">
        <x:v>1</x:v>
      </x:c>
    </x:row>
    <x:row r="2747" ht="23" customHeight="1">
      <x:c r="A2747" s="11" t="str">
        <x:v>688382.SH</x:v>
      </x:c>
      <x:c r="B2747" s="11" t="str">
        <x:v>半年</x:v>
      </x:c>
      <x:c r="C2747" s="11" t="str">
        <x:v>tyk_psa_cn</x:v>
      </x:c>
      <x:c r="D2747" s="11" t="str">
        <x:v>2040-12-31</x:v>
      </x:c>
      <x:c r="E2747" s="11" t="str">
        <x:v>CNY</x:v>
      </x:c>
      <x:c r="F2747" s="11" t="n">
        <x:v>13.730321697467488</x:v>
      </x:c>
      <x:c r="G2747" s="26" t="b">
        <x:v>1</x:v>
      </x:c>
      <x:c r="H2747" s="16" t="n">
        <x:v>0.222</x:v>
      </x:c>
      <x:c r="I2747" s="16" t="n">
        <x:v>0.384</x:v>
      </x:c>
      <x:c r="J2747" s="16" t="n">
        <x:v>0.30799999999999994</x:v>
      </x:c>
      <x:c r="K2747" s="11" t="n">
        <x:f>CHOOSE('假设'!$B$3,H2747,I2747,J2747)</x:f>
        <x:v>0.384</x:v>
      </x:c>
      <x:c r="L2747" s="11" t="n">
        <x:f>K2747*'管线假设'!E599*'管线假设'!F599*'管线假设'!G599*IF(E2747="USD",'管线假设'!I599,1)-AM2747</x:f>
        <x:v>0.03376128000000001</x:v>
      </x:c>
      <x:c r="M2747" s="11" t="n">
        <x:f>'管线假设'!H599</x:f>
        <x:v>0.135</x:v>
      </x:c>
      <x:c r="N2747" s="11" t="n">
        <x:f>IF(G2747,L2747*AN2747/(1+M2747)^F2747,0)</x:f>
        <x:v>0.005933460191449437</x:v>
      </x:c>
      <x:c r="AJ2747" t="n">
        <x:v>0</x:v>
      </x:c>
      <x:c r="AK2747" t="n">
        <x:v>0</x:v>
      </x:c>
      <x:c r="AL2747" t="n">
        <x:v>0</x:v>
      </x:c>
      <x:c r="AM2747" t="n">
        <x:f>CHOOSE('假设'!$B$3,AJ2747,AK2747,AL2747)</x:f>
        <x:v>0</x:v>
      </x:c>
      <x:c r="AN2747" t="n">
        <x:v>1</x:v>
      </x:c>
    </x:row>
    <x:row r="2748" ht="23" customHeight="1">
      <x:c r="A2748" s="11" t="str">
        <x:v>688382.SH</x:v>
      </x:c>
      <x:c r="B2748" s="11" t="str">
        <x:v>半年</x:v>
      </x:c>
      <x:c r="C2748" s="11" t="str">
        <x:v>tyk_psa_cn</x:v>
      </x:c>
      <x:c r="D2748" s="11" t="str">
        <x:v>2041-12-31</x:v>
      </x:c>
      <x:c r="E2748" s="11" t="str">
        <x:v>CNY</x:v>
      </x:c>
      <x:c r="F2748" s="11" t="n">
        <x:v>14.729637234770705</x:v>
      </x:c>
      <x:c r="G2748" s="26" t="b">
        <x:v>1</x:v>
      </x:c>
      <x:c r="H2748" s="16" t="n">
        <x:v>0.183</x:v>
      </x:c>
      <x:c r="I2748" s="16" t="n">
        <x:v>0.27999999999999997</x:v>
      </x:c>
      <x:c r="J2748" s="16" t="n">
        <x:v>0.12599999999999995</x:v>
      </x:c>
      <x:c r="K2748" s="11" t="n">
        <x:f>CHOOSE('假设'!$B$3,H2748,I2748,J2748)</x:f>
        <x:v>0.27999999999999997</x:v>
      </x:c>
      <x:c r="L2748" s="11" t="n">
        <x:f>K2748*'管线假设'!E599*'管线假设'!F599*'管线假设'!G599*IF(E2748="USD",'管线假设'!I599,1)-AM2748</x:f>
        <x:v>0.024617600000000007</x:v>
      </x:c>
      <x:c r="M2748" s="11" t="n">
        <x:f>'管线假设'!H599</x:f>
        <x:v>0.135</x:v>
      </x:c>
      <x:c r="N2748" s="11" t="n">
        <x:f>IF(G2748,L2748*AN2748/(1+M2748)^F2748,0)</x:f>
        <x:v>0.0038122082863739537</x:v>
      </x:c>
      <x:c r="AJ2748" t="n">
        <x:v>0</x:v>
      </x:c>
      <x:c r="AK2748" t="n">
        <x:v>0</x:v>
      </x:c>
      <x:c r="AL2748" t="n">
        <x:v>0</x:v>
      </x:c>
      <x:c r="AM2748" t="n">
        <x:f>CHOOSE('假设'!$B$3,AJ2748,AK2748,AL2748)</x:f>
        <x:v>0</x:v>
      </x:c>
      <x:c r="AN2748" t="n">
        <x:v>1</x:v>
      </x:c>
    </x:row>
    <x:row r="2749" ht="23" customHeight="1">
      <x:c r="A2749" s="11" t="str">
        <x:v>688382.SH</x:v>
      </x:c>
      <x:c r="B2749" s="11" t="str">
        <x:v>半年</x:v>
      </x:c>
      <x:c r="C2749" s="11" t="str">
        <x:v>tyk_psa_cn</x:v>
      </x:c>
      <x:c r="D2749" s="11" t="str">
        <x:v>2042-12-31</x:v>
      </x:c>
      <x:c r="E2749" s="11" t="str">
        <x:v>CNY</x:v>
      </x:c>
      <x:c r="F2749" s="11" t="n">
        <x:v>15.728952772073923</x:v>
      </x:c>
      <x:c r="G2749" s="26" t="b">
        <x:v>1</x:v>
      </x:c>
      <x:c r="H2749" s="16" t="n">
        <x:v>0.144</x:v>
      </x:c>
      <x:c r="I2749" s="16" t="n">
        <x:v>0.176</x:v>
      </x:c>
      <x:c r="J2749" s="16" t="n">
        <x:v>0</x:v>
      </x:c>
      <x:c r="K2749" s="11" t="n">
        <x:f>CHOOSE('假设'!$B$3,H2749,I2749,J2749)</x:f>
        <x:v>0.176</x:v>
      </x:c>
      <x:c r="L2749" s="11" t="n">
        <x:f>K2749*'管线假设'!E599*'管线假设'!F599*'管线假设'!G599*IF(E2749="USD",'管线假设'!I599,1)-AM2749</x:f>
        <x:v>0.015473920000000004</x:v>
      </x:c>
      <x:c r="M2749" s="11" t="n">
        <x:f>'管线假设'!H599</x:f>
        <x:v>0.135</x:v>
      </x:c>
      <x:c r="N2749" s="11" t="n">
        <x:f>IF(G2749,L2749*AN2749/(1+M2749)^F2749,0)</x:f>
        <x:v>0.0021114122580733526</x:v>
      </x:c>
      <x:c r="AJ2749" t="n">
        <x:v>0</x:v>
      </x:c>
      <x:c r="AK2749" t="n">
        <x:v>0</x:v>
      </x:c>
      <x:c r="AL2749" t="n">
        <x:v>0</x:v>
      </x:c>
      <x:c r="AM2749" t="n">
        <x:f>CHOOSE('假设'!$B$3,AJ2749,AK2749,AL2749)</x:f>
        <x:v>0</x:v>
      </x:c>
      <x:c r="AN2749" t="n">
        <x:v>1</x:v>
      </x:c>
    </x:row>
    <x:row r="2750" ht="23" customHeight="1">
      <x:c r="A2750" s="11" t="str">
        <x:v>688382.SH</x:v>
      </x:c>
      <x:c r="B2750" s="11" t="str">
        <x:v>半年</x:v>
      </x:c>
      <x:c r="C2750" s="11" t="str">
        <x:v>tyk_psa_cn</x:v>
      </x:c>
      <x:c r="D2750" s="11" t="str">
        <x:v>2043-12-31</x:v>
      </x:c>
      <x:c r="E2750" s="11" t="str">
        <x:v>CNY</x:v>
      </x:c>
      <x:c r="F2750" s="11" t="n">
        <x:v>16.72826830937714</x:v>
      </x:c>
      <x:c r="G2750" s="26" t="b">
        <x:v>1</x:v>
      </x:c>
      <x:c r="H2750" s="16" t="n">
        <x:v>0.105</x:v>
      </x:c>
      <x:c r="I2750" s="16" t="n">
        <x:v>0.07199999999999998</x:v>
      </x:c>
      <x:c r="J2750" s="16" t="n">
        <x:v>0</x:v>
      </x:c>
      <x:c r="K2750" s="11" t="n">
        <x:f>CHOOSE('假设'!$B$3,H2750,I2750,J2750)</x:f>
        <x:v>0.07199999999999998</x:v>
      </x:c>
      <x:c r="L2750" s="11" t="n">
        <x:f>K2750*'管线假设'!E599*'管线假设'!F599*'管线假设'!G599*IF(E2750="USD",'管线假设'!I599,1)-AM2750</x:f>
        <x:v>0.006330240000000001</x:v>
      </x:c>
      <x:c r="M2750" s="11" t="n">
        <x:f>'管线假设'!H599</x:f>
        <x:v>0.135</x:v>
      </x:c>
      <x:c r="N2750" s="11" t="n">
        <x:f>IF(G2750,L2750*AN2750/(1+M2750)^F2750,0)</x:f>
        <x:v>0.000761087603530226</x:v>
      </x:c>
      <x:c r="AJ2750" t="n">
        <x:v>0</x:v>
      </x:c>
      <x:c r="AK2750" t="n">
        <x:v>0</x:v>
      </x:c>
      <x:c r="AL2750" t="n">
        <x:v>0</x:v>
      </x:c>
      <x:c r="AM2750" t="n">
        <x:f>CHOOSE('假设'!$B$3,AJ2750,AK2750,AL2750)</x:f>
        <x:v>0</x:v>
      </x:c>
      <x:c r="AN2750" t="n">
        <x:v>1</x:v>
      </x:c>
    </x:row>
    <x:row r="2751" ht="23" customHeight="1">
      <x:c r="A2751" s="11" t="str">
        <x:v>688382.SH</x:v>
      </x:c>
      <x:c r="B2751" s="11" t="str">
        <x:v>半年</x:v>
      </x:c>
      <x:c r="C2751" s="11" t="str">
        <x:v>tyk_psa_cn</x:v>
      </x:c>
      <x:c r="D2751" s="11" t="str">
        <x:v>2044-12-31</x:v>
      </x:c>
      <x:c r="E2751" s="11" t="str">
        <x:v>CNY</x:v>
      </x:c>
      <x:c r="F2751" s="11" t="n">
        <x:v>17.730321697467488</x:v>
      </x:c>
      <x:c r="G2751" s="26" t="b">
        <x:v>1</x:v>
      </x:c>
      <x:c r="H2751" s="16" t="n">
        <x:v>0.06599999999999999</x:v>
      </x:c>
      <x:c r="I2751" s="16" t="n">
        <x:v>0</x:v>
      </x:c>
      <x:c r="J2751" s="16" t="n">
        <x:v>0</x:v>
      </x:c>
      <x:c r="K2751" s="11" t="n">
        <x:f>CHOOSE('假设'!$B$3,H2751,I2751,J2751)</x:f>
        <x:v>0</x:v>
      </x:c>
      <x:c r="L2751" s="11" t="n">
        <x:f>K2751*'管线假设'!E599*'管线假设'!F599*'管线假设'!G599*IF(E2751="USD",'管线假设'!I599,1)-AM2751</x:f>
        <x:v>0</x:v>
      </x:c>
      <x:c r="M2751" s="11" t="n">
        <x:f>'管线假设'!H599</x:f>
        <x:v>0.135</x:v>
      </x:c>
      <x:c r="N2751" s="11" t="n">
        <x:f>IF(G2751,L2751*AN2751/(1+M2751)^F2751,0)</x:f>
        <x:v>0</x:v>
      </x:c>
      <x:c r="AJ2751" t="n">
        <x:v>0</x:v>
      </x:c>
      <x:c r="AK2751" t="n">
        <x:v>0</x:v>
      </x:c>
      <x:c r="AL2751" t="n">
        <x:v>0</x:v>
      </x:c>
      <x:c r="AM2751" t="n">
        <x:f>CHOOSE('假设'!$B$3,AJ2751,AK2751,AL2751)</x:f>
        <x:v>0</x:v>
      </x:c>
      <x:c r="AN2751" t="n">
        <x:v>1</x:v>
      </x:c>
    </x:row>
    <x:row r="2752" ht="23" customHeight="1">
      <x:c r="A2752" s="11" t="str">
        <x:v>688382.SH</x:v>
      </x:c>
      <x:c r="B2752" s="11" t="str">
        <x:v>半年</x:v>
      </x:c>
      <x:c r="C2752" s="11" t="str">
        <x:v>tyk_psa_cn</x:v>
      </x:c>
      <x:c r="D2752" s="11" t="str">
        <x:v>2045-12-31</x:v>
      </x:c>
      <x:c r="E2752" s="11" t="str">
        <x:v>CNY</x:v>
      </x:c>
      <x:c r="F2752" s="11" t="n">
        <x:v>18.729637234770706</x:v>
      </x:c>
      <x:c r="G2752" s="26" t="b">
        <x:v>1</x:v>
      </x:c>
      <x:c r="H2752" s="16" t="n">
        <x:v>0.02699999999999999</x:v>
      </x:c>
      <x:c r="I2752" s="16" t="n">
        <x:v>0</x:v>
      </x:c>
      <x:c r="J2752" s="16" t="n">
        <x:v>0</x:v>
      </x:c>
      <x:c r="K2752" s="11" t="n">
        <x:f>CHOOSE('假设'!$B$3,H2752,I2752,J2752)</x:f>
        <x:v>0</x:v>
      </x:c>
      <x:c r="L2752" s="11" t="n">
        <x:f>K2752*'管线假设'!E599*'管线假设'!F599*'管线假设'!G599*IF(E2752="USD",'管线假设'!I599,1)-AM2752</x:f>
        <x:v>0</x:v>
      </x:c>
      <x:c r="M2752" s="11" t="n">
        <x:f>'管线假设'!H599</x:f>
        <x:v>0.135</x:v>
      </x:c>
      <x:c r="N2752" s="11" t="n">
        <x:f>IF(G2752,L2752*AN2752/(1+M2752)^F2752,0)</x:f>
        <x:v>0</x:v>
      </x:c>
      <x:c r="AJ2752" t="n">
        <x:v>0</x:v>
      </x:c>
      <x:c r="AK2752" t="n">
        <x:v>0</x:v>
      </x:c>
      <x:c r="AL2752" t="n">
        <x:v>0</x:v>
      </x:c>
      <x:c r="AM2752" t="n">
        <x:f>CHOOSE('假设'!$B$3,AJ2752,AK2752,AL2752)</x:f>
        <x:v>0</x:v>
      </x:c>
      <x:c r="AN2752" t="n">
        <x:v>1</x:v>
      </x:c>
    </x:row>
    <x:row r="2753" ht="23" customHeight="1">
      <x:c r="A2753" s="11" t="str">
        <x:v>688382.SH</x:v>
      </x:c>
      <x:c r="B2753" s="11" t="str">
        <x:v>半年</x:v>
      </x:c>
      <x:c r="C2753" s="11" t="str">
        <x:v>tyk_viti_cn</x:v>
      </x:c>
      <x:c r="D2753" s="11" t="str">
        <x:v>2027-12-31</x:v>
      </x:c>
      <x:c r="E2753" s="11" t="str">
        <x:v>CNY</x:v>
      </x:c>
      <x:c r="F2753" s="11" t="n">
        <x:v>0.7282683093771389</x:v>
      </x:c>
      <x:c r="G2753" s="26" t="b">
        <x:v>1</x:v>
      </x:c>
      <x:c r="H2753" s="16" t="n">
        <x:v>0</x:v>
      </x:c>
      <x:c r="I2753" s="16" t="n">
        <x:v>0</x:v>
      </x:c>
      <x:c r="J2753" s="16" t="n">
        <x:v>0</x:v>
      </x:c>
      <x:c r="K2753" s="11" t="n">
        <x:f>CHOOSE('假设'!$B$3,H2753,I2753,J2753)</x:f>
        <x:v>0</x:v>
      </x:c>
      <x:c r="L2753" s="11" t="n">
        <x:f>K2753*'管线假设'!E603*'管线假设'!F603*'管线假设'!G603*IF(E2753="USD",'管线假设'!I603,1)-AM2753</x:f>
        <x:v>0</x:v>
      </x:c>
      <x:c r="M2753" s="11" t="n">
        <x:f>'管线假设'!H603</x:f>
        <x:v>0.135</x:v>
      </x:c>
      <x:c r="N2753" s="11" t="n">
        <x:f>IF(G2753,L2753*AN2753/(1+M2753)^F2753,0)</x:f>
        <x:v>0</x:v>
      </x:c>
      <x:c r="AJ2753" t="n">
        <x:v>0</x:v>
      </x:c>
      <x:c r="AK2753" t="n">
        <x:v>0</x:v>
      </x:c>
      <x:c r="AL2753" t="n">
        <x:v>0</x:v>
      </x:c>
      <x:c r="AM2753" t="n">
        <x:f>CHOOSE('假设'!$B$3,AJ2753,AK2753,AL2753)</x:f>
        <x:v>0</x:v>
      </x:c>
      <x:c r="AN2753" t="n">
        <x:v>1</x:v>
      </x:c>
    </x:row>
    <x:row r="2754" ht="23" customHeight="1">
      <x:c r="A2754" s="11" t="str">
        <x:v>688382.SH</x:v>
      </x:c>
      <x:c r="B2754" s="11" t="str">
        <x:v>半年</x:v>
      </x:c>
      <x:c r="C2754" s="11" t="str">
        <x:v>tyk_viti_cn</x:v>
      </x:c>
      <x:c r="D2754" s="11" t="str">
        <x:v>2028-12-31</x:v>
      </x:c>
      <x:c r="E2754" s="11" t="str">
        <x:v>CNY</x:v>
      </x:c>
      <x:c r="F2754" s="11" t="n">
        <x:v>1.730321697467488</x:v>
      </x:c>
      <x:c r="G2754" s="26" t="b">
        <x:v>1</x:v>
      </x:c>
      <x:c r="H2754" s="16" t="n">
        <x:v>0</x:v>
      </x:c>
      <x:c r="I2754" s="16" t="n">
        <x:v>0</x:v>
      </x:c>
      <x:c r="J2754" s="16" t="n">
        <x:v>0</x:v>
      </x:c>
      <x:c r="K2754" s="11" t="n">
        <x:f>CHOOSE('假设'!$B$3,H2754,I2754,J2754)</x:f>
        <x:v>0</x:v>
      </x:c>
      <x:c r="L2754" s="11" t="n">
        <x:f>K2754*'管线假设'!E603*'管线假设'!F603*'管线假设'!G603*IF(E2754="USD",'管线假设'!I603,1)-AM2754</x:f>
        <x:v>0</x:v>
      </x:c>
      <x:c r="M2754" s="11" t="n">
        <x:f>'管线假设'!H603</x:f>
        <x:v>0.135</x:v>
      </x:c>
      <x:c r="N2754" s="11" t="n">
        <x:f>IF(G2754,L2754*AN2754/(1+M2754)^F2754,0)</x:f>
        <x:v>0</x:v>
      </x:c>
      <x:c r="AJ2754" t="n">
        <x:v>0</x:v>
      </x:c>
      <x:c r="AK2754" t="n">
        <x:v>0</x:v>
      </x:c>
      <x:c r="AL2754" t="n">
        <x:v>0</x:v>
      </x:c>
      <x:c r="AM2754" t="n">
        <x:f>CHOOSE('假设'!$B$3,AJ2754,AK2754,AL2754)</x:f>
        <x:v>0</x:v>
      </x:c>
      <x:c r="AN2754" t="n">
        <x:v>1</x:v>
      </x:c>
    </x:row>
    <x:row r="2755" ht="23" customHeight="1">
      <x:c r="A2755" s="11" t="str">
        <x:v>688382.SH</x:v>
      </x:c>
      <x:c r="B2755" s="11" t="str">
        <x:v>半年</x:v>
      </x:c>
      <x:c r="C2755" s="11" t="str">
        <x:v>tyk_viti_cn</x:v>
      </x:c>
      <x:c r="D2755" s="11" t="str">
        <x:v>2029-12-31</x:v>
      </x:c>
      <x:c r="E2755" s="11" t="str">
        <x:v>CNY</x:v>
      </x:c>
      <x:c r="F2755" s="11" t="n">
        <x:v>2.729637234770705</x:v>
      </x:c>
      <x:c r="G2755" s="26" t="b">
        <x:v>1</x:v>
      </x:c>
      <x:c r="H2755" s="16" t="n">
        <x:v>0</x:v>
      </x:c>
      <x:c r="I2755" s="16" t="n">
        <x:v>0</x:v>
      </x:c>
      <x:c r="J2755" s="16" t="n">
        <x:v>0</x:v>
      </x:c>
      <x:c r="K2755" s="11" t="n">
        <x:f>CHOOSE('假设'!$B$3,H2755,I2755,J2755)</x:f>
        <x:v>0</x:v>
      </x:c>
      <x:c r="L2755" s="11" t="n">
        <x:f>K2755*'管线假设'!E603*'管线假设'!F603*'管线假设'!G603*IF(E2755="USD",'管线假设'!I603,1)-AM2755</x:f>
        <x:v>0</x:v>
      </x:c>
      <x:c r="M2755" s="11" t="n">
        <x:f>'管线假设'!H603</x:f>
        <x:v>0.135</x:v>
      </x:c>
      <x:c r="N2755" s="11" t="n">
        <x:f>IF(G2755,L2755*AN2755/(1+M2755)^F2755,0)</x:f>
        <x:v>0</x:v>
      </x:c>
      <x:c r="AJ2755" t="n">
        <x:v>0</x:v>
      </x:c>
      <x:c r="AK2755" t="n">
        <x:v>0</x:v>
      </x:c>
      <x:c r="AL2755" t="n">
        <x:v>0</x:v>
      </x:c>
      <x:c r="AM2755" t="n">
        <x:f>CHOOSE('假设'!$B$3,AJ2755,AK2755,AL2755)</x:f>
        <x:v>0</x:v>
      </x:c>
      <x:c r="AN2755" t="n">
        <x:v>1</x:v>
      </x:c>
    </x:row>
    <x:row r="2756" ht="23" customHeight="1">
      <x:c r="A2756" s="11" t="str">
        <x:v>688382.SH</x:v>
      </x:c>
      <x:c r="B2756" s="11" t="str">
        <x:v>半年</x:v>
      </x:c>
      <x:c r="C2756" s="11" t="str">
        <x:v>tyk_viti_cn</x:v>
      </x:c>
      <x:c r="D2756" s="11" t="str">
        <x:v>2030-12-31</x:v>
      </x:c>
      <x:c r="E2756" s="11" t="str">
        <x:v>CNY</x:v>
      </x:c>
      <x:c r="F2756" s="11" t="n">
        <x:v>3.728952772073922</x:v>
      </x:c>
      <x:c r="G2756" s="26" t="b">
        <x:v>1</x:v>
      </x:c>
      <x:c r="H2756" s="16" t="n">
        <x:v>0</x:v>
      </x:c>
      <x:c r="I2756" s="16" t="n">
        <x:v>0</x:v>
      </x:c>
      <x:c r="J2756" s="16" t="n">
        <x:v>0.3333333333333333</x:v>
      </x:c>
      <x:c r="K2756" s="11" t="n">
        <x:f>CHOOSE('假设'!$B$3,H2756,I2756,J2756)</x:f>
        <x:v>0</x:v>
      </x:c>
      <x:c r="L2756" s="11" t="n">
        <x:f>K2756*'管线假设'!E603*'管线假设'!F603*'管线假设'!G603*IF(E2756="USD",'管线假设'!I603,1)-AM2756</x:f>
        <x:v>0</x:v>
      </x:c>
      <x:c r="M2756" s="11" t="n">
        <x:f>'管线假设'!H603</x:f>
        <x:v>0.135</x:v>
      </x:c>
      <x:c r="N2756" s="11" t="n">
        <x:f>IF(G2756,L2756*AN2756/(1+M2756)^F2756,0)</x:f>
        <x:v>0</x:v>
      </x:c>
      <x:c r="AJ2756" t="n">
        <x:v>0</x:v>
      </x:c>
      <x:c r="AK2756" t="n">
        <x:v>0</x:v>
      </x:c>
      <x:c r="AL2756" t="n">
        <x:v>0</x:v>
      </x:c>
      <x:c r="AM2756" t="n">
        <x:f>CHOOSE('假设'!$B$3,AJ2756,AK2756,AL2756)</x:f>
        <x:v>0</x:v>
      </x:c>
      <x:c r="AN2756" t="n">
        <x:v>1</x:v>
      </x:c>
    </x:row>
    <x:row r="2757" ht="23" customHeight="1">
      <x:c r="A2757" s="11" t="str">
        <x:v>688382.SH</x:v>
      </x:c>
      <x:c r="B2757" s="11" t="str">
        <x:v>半年</x:v>
      </x:c>
      <x:c r="C2757" s="11" t="str">
        <x:v>tyk_viti_cn</x:v>
      </x:c>
      <x:c r="D2757" s="11" t="str">
        <x:v>2031-12-31</x:v>
      </x:c>
      <x:c r="E2757" s="11" t="str">
        <x:v>CNY</x:v>
      </x:c>
      <x:c r="F2757" s="11" t="n">
        <x:v>4.728268309377139</x:v>
      </x:c>
      <x:c r="G2757" s="26" t="b">
        <x:v>1</x:v>
      </x:c>
      <x:c r="H2757" s="16" t="n">
        <x:v>0</x:v>
      </x:c>
      <x:c r="I2757" s="16" t="n">
        <x:v>0</x:v>
      </x:c>
      <x:c r="J2757" s="16" t="n">
        <x:v>0.6666666666666666</x:v>
      </x:c>
      <x:c r="K2757" s="11" t="n">
        <x:f>CHOOSE('假设'!$B$3,H2757,I2757,J2757)</x:f>
        <x:v>0</x:v>
      </x:c>
      <x:c r="L2757" s="11" t="n">
        <x:f>K2757*'管线假设'!E603*'管线假设'!F603*'管线假设'!G603*IF(E2757="USD",'管线假设'!I603,1)-AM2757</x:f>
        <x:v>0</x:v>
      </x:c>
      <x:c r="M2757" s="11" t="n">
        <x:f>'管线假设'!H603</x:f>
        <x:v>0.135</x:v>
      </x:c>
      <x:c r="N2757" s="11" t="n">
        <x:f>IF(G2757,L2757*AN2757/(1+M2757)^F2757,0)</x:f>
        <x:v>0</x:v>
      </x:c>
      <x:c r="AJ2757" t="n">
        <x:v>0</x:v>
      </x:c>
      <x:c r="AK2757" t="n">
        <x:v>0</x:v>
      </x:c>
      <x:c r="AL2757" t="n">
        <x:v>0</x:v>
      </x:c>
      <x:c r="AM2757" t="n">
        <x:f>CHOOSE('假设'!$B$3,AJ2757,AK2757,AL2757)</x:f>
        <x:v>0</x:v>
      </x:c>
      <x:c r="AN2757" t="n">
        <x:v>1</x:v>
      </x:c>
    </x:row>
    <x:row r="2758" ht="23" customHeight="1">
      <x:c r="A2758" s="11" t="str">
        <x:v>688382.SH</x:v>
      </x:c>
      <x:c r="B2758" s="11" t="str">
        <x:v>半年</x:v>
      </x:c>
      <x:c r="C2758" s="11" t="str">
        <x:v>tyk_viti_cn</x:v>
      </x:c>
      <x:c r="D2758" s="11" t="str">
        <x:v>2032-12-31</x:v>
      </x:c>
      <x:c r="E2758" s="11" t="str">
        <x:v>CNY</x:v>
      </x:c>
      <x:c r="F2758" s="11" t="n">
        <x:v>5.730321697467488</x:v>
      </x:c>
      <x:c r="G2758" s="26" t="b">
        <x:v>1</x:v>
      </x:c>
      <x:c r="H2758" s="16" t="n">
        <x:v>0</x:v>
      </x:c>
      <x:c r="I2758" s="16" t="n">
        <x:v>0.16666666666666666</x:v>
      </x:c>
      <x:c r="J2758" s="16" t="n">
        <x:v>1</x:v>
      </x:c>
      <x:c r="K2758" s="11" t="n">
        <x:f>CHOOSE('假设'!$B$3,H2758,I2758,J2758)</x:f>
        <x:v>0.16666666666666666</x:v>
      </x:c>
      <x:c r="L2758" s="11" t="n">
        <x:f>K2758*'管线假设'!E603*'管线假设'!F603*'管线假设'!G603*IF(E2758="USD",'管线假设'!I603,1)-AM2758</x:f>
        <x:v>0.007793333333333335</x:v>
      </x:c>
      <x:c r="M2758" s="11" t="n">
        <x:f>'管线假设'!H603</x:f>
        <x:v>0.135</x:v>
      </x:c>
      <x:c r="N2758" s="11" t="n">
        <x:f>IF(G2758,L2758*AN2758/(1+M2758)^F2758,0)</x:f>
        <x:v>0.003772065917608643</x:v>
      </x:c>
      <x:c r="AJ2758" t="n">
        <x:v>0</x:v>
      </x:c>
      <x:c r="AK2758" t="n">
        <x:v>0</x:v>
      </x:c>
      <x:c r="AL2758" t="n">
        <x:v>0</x:v>
      </x:c>
      <x:c r="AM2758" t="n">
        <x:f>CHOOSE('假设'!$B$3,AJ2758,AK2758,AL2758)</x:f>
        <x:v>0</x:v>
      </x:c>
      <x:c r="AN2758" t="n">
        <x:v>1</x:v>
      </x:c>
    </x:row>
    <x:row r="2759" ht="23" customHeight="1">
      <x:c r="A2759" s="11" t="str">
        <x:v>688382.SH</x:v>
      </x:c>
      <x:c r="B2759" s="11" t="str">
        <x:v>半年</x:v>
      </x:c>
      <x:c r="C2759" s="11" t="str">
        <x:v>tyk_viti_cn</x:v>
      </x:c>
      <x:c r="D2759" s="11" t="str">
        <x:v>2033-12-31</x:v>
      </x:c>
      <x:c r="E2759" s="11" t="str">
        <x:v>CNY</x:v>
      </x:c>
      <x:c r="F2759" s="11" t="n">
        <x:v>6.729637234770705</x:v>
      </x:c>
      <x:c r="G2759" s="26" t="b">
        <x:v>1</x:v>
      </x:c>
      <x:c r="H2759" s="16" t="n">
        <x:v>0</x:v>
      </x:c>
      <x:c r="I2759" s="16" t="n">
        <x:v>0.3333333333333333</x:v>
      </x:c>
      <x:c r="J2759" s="16" t="n">
        <x:v>1.3333333333333333</x:v>
      </x:c>
      <x:c r="K2759" s="11" t="n">
        <x:f>CHOOSE('假设'!$B$3,H2759,I2759,J2759)</x:f>
        <x:v>0.3333333333333333</x:v>
      </x:c>
      <x:c r="L2759" s="11" t="n">
        <x:f>K2759*'管线假设'!E603*'管线假设'!F603*'管线假设'!G603*IF(E2759="USD",'管线假设'!I603,1)-AM2759</x:f>
        <x:v>0.01558666666666667</x:v>
      </x:c>
      <x:c r="M2759" s="11" t="n">
        <x:f>'管线假设'!H603</x:f>
        <x:v>0.135</x:v>
      </x:c>
      <x:c r="N2759" s="11" t="n">
        <x:f>IF(G2759,L2759*AN2759/(1+M2759)^F2759,0)</x:f>
        <x:v>0.006647388329198729</x:v>
      </x:c>
      <x:c r="AJ2759" t="n">
        <x:v>0</x:v>
      </x:c>
      <x:c r="AK2759" t="n">
        <x:v>0</x:v>
      </x:c>
      <x:c r="AL2759" t="n">
        <x:v>0</x:v>
      </x:c>
      <x:c r="AM2759" t="n">
        <x:f>CHOOSE('假设'!$B$3,AJ2759,AK2759,AL2759)</x:f>
        <x:v>0</x:v>
      </x:c>
      <x:c r="AN2759" t="n">
        <x:v>1</x:v>
      </x:c>
    </x:row>
    <x:row r="2760" ht="23" customHeight="1">
      <x:c r="A2760" s="11" t="str">
        <x:v>688382.SH</x:v>
      </x:c>
      <x:c r="B2760" s="11" t="str">
        <x:v>半年</x:v>
      </x:c>
      <x:c r="C2760" s="11" t="str">
        <x:v>tyk_viti_cn</x:v>
      </x:c>
      <x:c r="D2760" s="11" t="str">
        <x:v>2034-12-31</x:v>
      </x:c>
      <x:c r="E2760" s="11" t="str">
        <x:v>CNY</x:v>
      </x:c>
      <x:c r="F2760" s="11" t="n">
        <x:v>7.728952772073922</x:v>
      </x:c>
      <x:c r="G2760" s="26" t="b">
        <x:v>1</x:v>
      </x:c>
      <x:c r="H2760" s="16" t="n">
        <x:v>0</x:v>
      </x:c>
      <x:c r="I2760" s="16" t="n">
        <x:v>0.5</x:v>
      </x:c>
      <x:c r="J2760" s="16" t="n">
        <x:v>1.6666666666666667</x:v>
      </x:c>
      <x:c r="K2760" s="11" t="n">
        <x:f>CHOOSE('假设'!$B$3,H2760,I2760,J2760)</x:f>
        <x:v>0.5</x:v>
      </x:c>
      <x:c r="L2760" s="11" t="n">
        <x:f>K2760*'管线假设'!E603*'管线假设'!F603*'管线假设'!G603*IF(E2760="USD",'管线假设'!I603,1)-AM2760</x:f>
        <x:v>0.02338000000000001</x:v>
      </x:c>
      <x:c r="M2760" s="11" t="n">
        <x:f>'管线假设'!H603</x:f>
        <x:v>0.135</x:v>
      </x:c>
      <x:c r="N2760" s="11" t="n">
        <x:f>IF(G2760,L2760*AN2760/(1+M2760)^F2760,0)</x:f>
        <x:v>0.008785856192138265</x:v>
      </x:c>
      <x:c r="AJ2760" t="n">
        <x:v>0</x:v>
      </x:c>
      <x:c r="AK2760" t="n">
        <x:v>0</x:v>
      </x:c>
      <x:c r="AL2760" t="n">
        <x:v>0</x:v>
      </x:c>
      <x:c r="AM2760" t="n">
        <x:f>CHOOSE('假设'!$B$3,AJ2760,AK2760,AL2760)</x:f>
        <x:v>0</x:v>
      </x:c>
      <x:c r="AN2760" t="n">
        <x:v>1</x:v>
      </x:c>
    </x:row>
    <x:row r="2761" ht="23" customHeight="1">
      <x:c r="A2761" s="11" t="str">
        <x:v>688382.SH</x:v>
      </x:c>
      <x:c r="B2761" s="11" t="str">
        <x:v>半年</x:v>
      </x:c>
      <x:c r="C2761" s="11" t="str">
        <x:v>tyk_viti_cn</x:v>
      </x:c>
      <x:c r="D2761" s="11" t="str">
        <x:v>2035-12-31</x:v>
      </x:c>
      <x:c r="E2761" s="11" t="str">
        <x:v>CNY</x:v>
      </x:c>
      <x:c r="F2761" s="11" t="n">
        <x:v>8.728268309377139</x:v>
      </x:c>
      <x:c r="G2761" s="26" t="b">
        <x:v>1</x:v>
      </x:c>
      <x:c r="H2761" s="16" t="n">
        <x:v>0.08000000000000002</x:v>
      </x:c>
      <x:c r="I2761" s="16" t="n">
        <x:v>0.6666666666666666</x:v>
      </x:c>
      <x:c r="J2761" s="16" t="n">
        <x:v>2</x:v>
      </x:c>
      <x:c r="K2761" s="11" t="n">
        <x:f>CHOOSE('假设'!$B$3,H2761,I2761,J2761)</x:f>
        <x:v>0.6666666666666666</x:v>
      </x:c>
      <x:c r="L2761" s="11" t="n">
        <x:f>K2761*'管线假设'!E603*'管线假设'!F603*'管线假设'!G603*IF(E2761="USD",'管线假设'!I603,1)-AM2761</x:f>
        <x:v>0.03117333333333334</x:v>
      </x:c>
      <x:c r="M2761" s="11" t="n">
        <x:f>'管线假设'!H603</x:f>
        <x:v>0.135</x:v>
      </x:c>
      <x:c r="N2761" s="11" t="n">
        <x:f>IF(G2761,L2761*AN2761/(1+M2761)^F2761,0)</x:f>
        <x:v>0.010322017905537861</x:v>
      </x:c>
      <x:c r="AJ2761" t="n">
        <x:v>0</x:v>
      </x:c>
      <x:c r="AK2761" t="n">
        <x:v>0</x:v>
      </x:c>
      <x:c r="AL2761" t="n">
        <x:v>0</x:v>
      </x:c>
      <x:c r="AM2761" t="n">
        <x:f>CHOOSE('假设'!$B$3,AJ2761,AK2761,AL2761)</x:f>
        <x:v>0</x:v>
      </x:c>
      <x:c r="AN2761" t="n">
        <x:v>1</x:v>
      </x:c>
    </x:row>
    <x:row r="2762" ht="23" customHeight="1">
      <x:c r="A2762" s="11" t="str">
        <x:v>688382.SH</x:v>
      </x:c>
      <x:c r="B2762" s="11" t="str">
        <x:v>半年</x:v>
      </x:c>
      <x:c r="C2762" s="11" t="str">
        <x:v>tyk_viti_cn</x:v>
      </x:c>
      <x:c r="D2762" s="11" t="str">
        <x:v>2036-12-31</x:v>
      </x:c>
      <x:c r="E2762" s="11" t="str">
        <x:v>CNY</x:v>
      </x:c>
      <x:c r="F2762" s="11" t="n">
        <x:v>9.730321697467488</x:v>
      </x:c>
      <x:c r="G2762" s="26" t="b">
        <x:v>1</x:v>
      </x:c>
      <x:c r="H2762" s="16" t="n">
        <x:v>0.16000000000000003</x:v>
      </x:c>
      <x:c r="I2762" s="16" t="n">
        <x:v>0.8333333333333334</x:v>
      </x:c>
      <x:c r="J2762" s="16" t="n">
        <x:v>1.74</x:v>
      </x:c>
      <x:c r="K2762" s="11" t="n">
        <x:f>CHOOSE('假设'!$B$3,H2762,I2762,J2762)</x:f>
        <x:v>0.8333333333333334</x:v>
      </x:c>
      <x:c r="L2762" s="11" t="n">
        <x:f>K2762*'管线假设'!E603*'管线假设'!F603*'管线假设'!G603*IF(E2762="USD",'管线假设'!I603,1)-AM2762</x:f>
        <x:v>0.038966666666666684</x:v>
      </x:c>
      <x:c r="M2762" s="11" t="n">
        <x:f>'管线假设'!H603</x:f>
        <x:v>0.135</x:v>
      </x:c>
      <x:c r="N2762" s="11" t="n">
        <x:f>IF(G2762,L2762*AN2762/(1+M2762)^F2762,0)</x:f>
        <x:v>0.011364905574524445</x:v>
      </x:c>
      <x:c r="AJ2762" t="n">
        <x:v>0</x:v>
      </x:c>
      <x:c r="AK2762" t="n">
        <x:v>0</x:v>
      </x:c>
      <x:c r="AL2762" t="n">
        <x:v>0</x:v>
      </x:c>
      <x:c r="AM2762" t="n">
        <x:f>CHOOSE('假设'!$B$3,AJ2762,AK2762,AL2762)</x:f>
        <x:v>0</x:v>
      </x:c>
      <x:c r="AN2762" t="n">
        <x:v>1</x:v>
      </x:c>
    </x:row>
    <x:row r="2763" ht="23" customHeight="1">
      <x:c r="A2763" s="11" t="str">
        <x:v>688382.SH</x:v>
      </x:c>
      <x:c r="B2763" s="11" t="str">
        <x:v>半年</x:v>
      </x:c>
      <x:c r="C2763" s="11" t="str">
        <x:v>tyk_viti_cn</x:v>
      </x:c>
      <x:c r="D2763" s="11" t="str">
        <x:v>2037-12-31</x:v>
      </x:c>
      <x:c r="E2763" s="11" t="str">
        <x:v>CNY</x:v>
      </x:c>
      <x:c r="F2763" s="11" t="n">
        <x:v>10.729637234770705</x:v>
      </x:c>
      <x:c r="G2763" s="26" t="b">
        <x:v>1</x:v>
      </x:c>
      <x:c r="H2763" s="16" t="n">
        <x:v>0.24</x:v>
      </x:c>
      <x:c r="I2763" s="16" t="n">
        <x:v>1</x:v>
      </x:c>
      <x:c r="J2763" s="16" t="n">
        <x:v>1.48</x:v>
      </x:c>
      <x:c r="K2763" s="11" t="n">
        <x:f>CHOOSE('假设'!$B$3,H2763,I2763,J2763)</x:f>
        <x:v>1</x:v>
      </x:c>
      <x:c r="L2763" s="11" t="n">
        <x:f>K2763*'管线假设'!E603*'管线假设'!F603*'管线假设'!G603*IF(E2763="USD",'管线假设'!I603,1)-AM2763</x:f>
        <x:v>0.04676000000000002</x:v>
      </x:c>
      <x:c r="M2763" s="11" t="n">
        <x:f>'管线假设'!H603</x:f>
        <x:v>0.135</x:v>
      </x:c>
      <x:c r="N2763" s="11" t="n">
        <x:f>IF(G2763,L2763*AN2763/(1+M2763)^F2763,0)</x:f>
        <x:v>0.012016800712713969</x:v>
      </x:c>
      <x:c r="AJ2763" t="n">
        <x:v>0</x:v>
      </x:c>
      <x:c r="AK2763" t="n">
        <x:v>0</x:v>
      </x:c>
      <x:c r="AL2763" t="n">
        <x:v>0</x:v>
      </x:c>
      <x:c r="AM2763" t="n">
        <x:f>CHOOSE('假设'!$B$3,AJ2763,AK2763,AL2763)</x:f>
        <x:v>0</x:v>
      </x:c>
      <x:c r="AN2763" t="n">
        <x:v>1</x:v>
      </x:c>
    </x:row>
    <x:row r="2764" ht="23" customHeight="1">
      <x:c r="A2764" s="11" t="str">
        <x:v>688382.SH</x:v>
      </x:c>
      <x:c r="B2764" s="11" t="str">
        <x:v>半年</x:v>
      </x:c>
      <x:c r="C2764" s="11" t="str">
        <x:v>tyk_viti_cn</x:v>
      </x:c>
      <x:c r="D2764" s="11" t="str">
        <x:v>2038-12-31</x:v>
      </x:c>
      <x:c r="E2764" s="11" t="str">
        <x:v>CNY</x:v>
      </x:c>
      <x:c r="F2764" s="11" t="n">
        <x:v>11.728952772073923</x:v>
      </x:c>
      <x:c r="G2764" s="26" t="b">
        <x:v>1</x:v>
      </x:c>
      <x:c r="H2764" s="16" t="n">
        <x:v>0.32000000000000006</x:v>
      </x:c>
      <x:c r="I2764" s="16" t="n">
        <x:v>0.87</x:v>
      </x:c>
      <x:c r="J2764" s="16" t="n">
        <x:v>1.22</x:v>
      </x:c>
      <x:c r="K2764" s="11" t="n">
        <x:f>CHOOSE('假设'!$B$3,H2764,I2764,J2764)</x:f>
        <x:v>0.87</x:v>
      </x:c>
      <x:c r="L2764" s="11" t="n">
        <x:f>K2764*'管线假设'!E603*'管线假设'!F603*'管线假设'!G603*IF(E2764="USD",'管线假设'!I603,1)-AM2764</x:f>
        <x:v>0.040681200000000015</x:v>
      </x:c>
      <x:c r="M2764" s="11" t="n">
        <x:f>'管线假设'!H603</x:f>
        <x:v>0.135</x:v>
      </x:c>
      <x:c r="N2764" s="11" t="n">
        <x:f>IF(G2764,L2764*AN2764/(1+M2764)^F2764,0)</x:f>
        <x:v>0.009211914375889207</x:v>
      </x:c>
      <x:c r="AJ2764" t="n">
        <x:v>0</x:v>
      </x:c>
      <x:c r="AK2764" t="n">
        <x:v>0</x:v>
      </x:c>
      <x:c r="AL2764" t="n">
        <x:v>0</x:v>
      </x:c>
      <x:c r="AM2764" t="n">
        <x:f>CHOOSE('假设'!$B$3,AJ2764,AK2764,AL2764)</x:f>
        <x:v>0</x:v>
      </x:c>
      <x:c r="AN2764" t="n">
        <x:v>1</x:v>
      </x:c>
    </x:row>
    <x:row r="2765" ht="23" customHeight="1">
      <x:c r="A2765" s="11" t="str">
        <x:v>688382.SH</x:v>
      </x:c>
      <x:c r="B2765" s="11" t="str">
        <x:v>半年</x:v>
      </x:c>
      <x:c r="C2765" s="11" t="str">
        <x:v>tyk_viti_cn</x:v>
      </x:c>
      <x:c r="D2765" s="11" t="str">
        <x:v>2039-12-31</x:v>
      </x:c>
      <x:c r="E2765" s="11" t="str">
        <x:v>CNY</x:v>
      </x:c>
      <x:c r="F2765" s="11" t="n">
        <x:v>12.728268309377139</x:v>
      </x:c>
      <x:c r="G2765" s="26" t="b">
        <x:v>1</x:v>
      </x:c>
      <x:c r="H2765" s="16" t="n">
        <x:v>0.4</x:v>
      </x:c>
      <x:c r="I2765" s="16" t="n">
        <x:v>0.74</x:v>
      </x:c>
      <x:c r="J2765" s="16" t="n">
        <x:v>0.96</x:v>
      </x:c>
      <x:c r="K2765" s="11" t="n">
        <x:f>CHOOSE('假设'!$B$3,H2765,I2765,J2765)</x:f>
        <x:v>0.74</x:v>
      </x:c>
      <x:c r="L2765" s="11" t="n">
        <x:f>K2765*'管线假设'!E603*'管线假设'!F603*'管线假设'!G603*IF(E2765="USD",'管线假设'!I603,1)-AM2765</x:f>
        <x:v>0.03460240000000001</x:v>
      </x:c>
      <x:c r="M2765" s="11" t="n">
        <x:f>'管线假设'!H603</x:f>
        <x:v>0.135</x:v>
      </x:c>
      <x:c r="N2765" s="11" t="n">
        <x:f>IF(G2765,L2765*AN2765/(1+M2765)^F2765,0)</x:f>
        <x:v>0.006904053383530865</x:v>
      </x:c>
      <x:c r="AJ2765" t="n">
        <x:v>0</x:v>
      </x:c>
      <x:c r="AK2765" t="n">
        <x:v>0</x:v>
      </x:c>
      <x:c r="AL2765" t="n">
        <x:v>0</x:v>
      </x:c>
      <x:c r="AM2765" t="n">
        <x:f>CHOOSE('假设'!$B$3,AJ2765,AK2765,AL2765)</x:f>
        <x:v>0</x:v>
      </x:c>
      <x:c r="AN2765" t="n">
        <x:v>1</x:v>
      </x:c>
    </x:row>
    <x:row r="2766" ht="23" customHeight="1">
      <x:c r="A2766" s="11" t="str">
        <x:v>688382.SH</x:v>
      </x:c>
      <x:c r="B2766" s="11" t="str">
        <x:v>半年</x:v>
      </x:c>
      <x:c r="C2766" s="11" t="str">
        <x:v>tyk_viti_cn</x:v>
      </x:c>
      <x:c r="D2766" s="11" t="str">
        <x:v>2040-12-31</x:v>
      </x:c>
      <x:c r="E2766" s="11" t="str">
        <x:v>CNY</x:v>
      </x:c>
      <x:c r="F2766" s="11" t="n">
        <x:v>13.730321697467488</x:v>
      </x:c>
      <x:c r="G2766" s="26" t="b">
        <x:v>1</x:v>
      </x:c>
      <x:c r="H2766" s="16" t="n">
        <x:v>0.34800000000000003</x:v>
      </x:c>
      <x:c r="I2766" s="16" t="n">
        <x:v>0.61</x:v>
      </x:c>
      <x:c r="J2766" s="16" t="n">
        <x:v>0.7</x:v>
      </x:c>
      <x:c r="K2766" s="11" t="n">
        <x:f>CHOOSE('假设'!$B$3,H2766,I2766,J2766)</x:f>
        <x:v>0.61</x:v>
      </x:c>
      <x:c r="L2766" s="11" t="n">
        <x:f>K2766*'管线假设'!E603*'管线假设'!F603*'管线假设'!G603*IF(E2766="USD",'管线假设'!I603,1)-AM2766</x:f>
        <x:v>0.028523600000000007</x:v>
      </x:c>
      <x:c r="M2766" s="11" t="n">
        <x:f>'管线假设'!H603</x:f>
        <x:v>0.135</x:v>
      </x:c>
      <x:c r="N2766" s="11" t="n">
        <x:f>IF(G2766,L2766*AN2766/(1+M2766)^F2766,0)</x:f>
        <x:v>0.0050129510823294365</x:v>
      </x:c>
      <x:c r="AJ2766" t="n">
        <x:v>0</x:v>
      </x:c>
      <x:c r="AK2766" t="n">
        <x:v>0</x:v>
      </x:c>
      <x:c r="AL2766" t="n">
        <x:v>0</x:v>
      </x:c>
      <x:c r="AM2766" t="n">
        <x:f>CHOOSE('假设'!$B$3,AJ2766,AK2766,AL2766)</x:f>
        <x:v>0</x:v>
      </x:c>
      <x:c r="AN2766" t="n">
        <x:v>1</x:v>
      </x:c>
    </x:row>
    <x:row r="2767" ht="23" customHeight="1">
      <x:c r="A2767" s="11" t="str">
        <x:v>688382.SH</x:v>
      </x:c>
      <x:c r="B2767" s="11" t="str">
        <x:v>半年</x:v>
      </x:c>
      <x:c r="C2767" s="11" t="str">
        <x:v>tyk_viti_cn</x:v>
      </x:c>
      <x:c r="D2767" s="11" t="str">
        <x:v>2041-12-31</x:v>
      </x:c>
      <x:c r="E2767" s="11" t="str">
        <x:v>CNY</x:v>
      </x:c>
      <x:c r="F2767" s="11" t="n">
        <x:v>14.729637234770705</x:v>
      </x:c>
      <x:c r="G2767" s="26" t="b">
        <x:v>1</x:v>
      </x:c>
      <x:c r="H2767" s="16" t="n">
        <x:v>0.296</x:v>
      </x:c>
      <x:c r="I2767" s="16" t="n">
        <x:v>0.48</x:v>
      </x:c>
      <x:c r="J2767" s="16" t="n">
        <x:v>0.43999999999999995</x:v>
      </x:c>
      <x:c r="K2767" s="11" t="n">
        <x:f>CHOOSE('假设'!$B$3,H2767,I2767,J2767)</x:f>
        <x:v>0.48</x:v>
      </x:c>
      <x:c r="L2767" s="11" t="n">
        <x:f>K2767*'管线假设'!E603*'管线假设'!F603*'管线假设'!G603*IF(E2767="USD",'管线假设'!I603,1)-AM2767</x:f>
        <x:v>0.022444800000000004</x:v>
      </x:c>
      <x:c r="M2767" s="11" t="n">
        <x:f>'管线假设'!H603</x:f>
        <x:v>0.135</x:v>
      </x:c>
      <x:c r="N2767" s="11" t="n">
        <x:f>IF(G2767,L2767*AN2767/(1+M2767)^F2767,0)</x:f>
        <x:v>0.00347573494353658</x:v>
      </x:c>
      <x:c r="AJ2767" t="n">
        <x:v>0</x:v>
      </x:c>
      <x:c r="AK2767" t="n">
        <x:v>0</x:v>
      </x:c>
      <x:c r="AL2767" t="n">
        <x:v>0</x:v>
      </x:c>
      <x:c r="AM2767" t="n">
        <x:f>CHOOSE('假设'!$B$3,AJ2767,AK2767,AL2767)</x:f>
        <x:v>0</x:v>
      </x:c>
      <x:c r="AN2767" t="n">
        <x:v>1</x:v>
      </x:c>
    </x:row>
    <x:row r="2768" ht="23" customHeight="1">
      <x:c r="A2768" s="11" t="str">
        <x:v>688382.SH</x:v>
      </x:c>
      <x:c r="B2768" s="11" t="str">
        <x:v>半年</x:v>
      </x:c>
      <x:c r="C2768" s="11" t="str">
        <x:v>tyk_viti_cn</x:v>
      </x:c>
      <x:c r="D2768" s="11" t="str">
        <x:v>2042-12-31</x:v>
      </x:c>
      <x:c r="E2768" s="11" t="str">
        <x:v>CNY</x:v>
      </x:c>
      <x:c r="F2768" s="11" t="n">
        <x:v>15.728952772073923</x:v>
      </x:c>
      <x:c r="G2768" s="26" t="b">
        <x:v>1</x:v>
      </x:c>
      <x:c r="H2768" s="16" t="n">
        <x:v>0.244</x:v>
      </x:c>
      <x:c r="I2768" s="16" t="n">
        <x:v>0.35</x:v>
      </x:c>
      <x:c r="J2768" s="16" t="n">
        <x:v>0.17999999999999994</x:v>
      </x:c>
      <x:c r="K2768" s="11" t="n">
        <x:f>CHOOSE('假设'!$B$3,H2768,I2768,J2768)</x:f>
        <x:v>0.35</x:v>
      </x:c>
      <x:c r="L2768" s="11" t="n">
        <x:f>K2768*'管线假设'!E603*'管线假设'!F603*'管线假设'!G603*IF(E2768="USD",'管线假设'!I603,1)-AM2768</x:f>
        <x:v>0.016366000000000006</x:v>
      </x:c>
      <x:c r="M2768" s="11" t="n">
        <x:f>'管线假设'!H603</x:f>
        <x:v>0.135</x:v>
      </x:c>
      <x:c r="N2768" s="11" t="n">
        <x:f>IF(G2768,L2768*AN2768/(1+M2768)^F2768,0)</x:f>
        <x:v>0.0022331363362114117</x:v>
      </x:c>
      <x:c r="AJ2768" t="n">
        <x:v>0</x:v>
      </x:c>
      <x:c r="AK2768" t="n">
        <x:v>0</x:v>
      </x:c>
      <x:c r="AL2768" t="n">
        <x:v>0</x:v>
      </x:c>
      <x:c r="AM2768" t="n">
        <x:f>CHOOSE('假设'!$B$3,AJ2768,AK2768,AL2768)</x:f>
        <x:v>0</x:v>
      </x:c>
      <x:c r="AN2768" t="n">
        <x:v>1</x:v>
      </x:c>
    </x:row>
    <x:row r="2769" ht="23" customHeight="1">
      <x:c r="A2769" s="11" t="str">
        <x:v>688382.SH</x:v>
      </x:c>
      <x:c r="B2769" s="11" t="str">
        <x:v>半年</x:v>
      </x:c>
      <x:c r="C2769" s="11" t="str">
        <x:v>tyk_viti_cn</x:v>
      </x:c>
      <x:c r="D2769" s="11" t="str">
        <x:v>2043-12-31</x:v>
      </x:c>
      <x:c r="E2769" s="11" t="str">
        <x:v>CNY</x:v>
      </x:c>
      <x:c r="F2769" s="11" t="n">
        <x:v>16.72826830937714</x:v>
      </x:c>
      <x:c r="G2769" s="26" t="b">
        <x:v>1</x:v>
      </x:c>
      <x:c r="H2769" s="16" t="n">
        <x:v>0.192</x:v>
      </x:c>
      <x:c r="I2769" s="16" t="n">
        <x:v>0.21999999999999997</x:v>
      </x:c>
      <x:c r="J2769" s="16" t="n">
        <x:v>0</x:v>
      </x:c>
      <x:c r="K2769" s="11" t="n">
        <x:f>CHOOSE('假设'!$B$3,H2769,I2769,J2769)</x:f>
        <x:v>0.21999999999999997</x:v>
      </x:c>
      <x:c r="L2769" s="11" t="n">
        <x:f>K2769*'管线假设'!E603*'管线假设'!F603*'管线假设'!G603*IF(E2769="USD",'管线假设'!I603,1)-AM2769</x:f>
        <x:v>0.010287200000000002</x:v>
      </x:c>
      <x:c r="M2769" s="11" t="n">
        <x:f>'管线假设'!H603</x:f>
        <x:v>0.135</x:v>
      </x:c>
      <x:c r="N2769" s="11" t="n">
        <x:f>IF(G2769,L2769*AN2769/(1+M2769)^F2769,0)</x:f>
        <x:v>0.0012368346847885928</x:v>
      </x:c>
      <x:c r="AJ2769" t="n">
        <x:v>0</x:v>
      </x:c>
      <x:c r="AK2769" t="n">
        <x:v>0</x:v>
      </x:c>
      <x:c r="AL2769" t="n">
        <x:v>0</x:v>
      </x:c>
      <x:c r="AM2769" t="n">
        <x:f>CHOOSE('假设'!$B$3,AJ2769,AK2769,AL2769)</x:f>
        <x:v>0</x:v>
      </x:c>
      <x:c r="AN2769" t="n">
        <x:v>1</x:v>
      </x:c>
    </x:row>
    <x:row r="2770" ht="23" customHeight="1">
      <x:c r="A2770" s="11" t="str">
        <x:v>688382.SH</x:v>
      </x:c>
      <x:c r="B2770" s="11" t="str">
        <x:v>半年</x:v>
      </x:c>
      <x:c r="C2770" s="11" t="str">
        <x:v>tyk_viti_cn</x:v>
      </x:c>
      <x:c r="D2770" s="11" t="str">
        <x:v>2044-12-31</x:v>
      </x:c>
      <x:c r="E2770" s="11" t="str">
        <x:v>CNY</x:v>
      </x:c>
      <x:c r="F2770" s="11" t="n">
        <x:v>17.730321697467488</x:v>
      </x:c>
      <x:c r="G2770" s="26" t="b">
        <x:v>1</x:v>
      </x:c>
      <x:c r="H2770" s="16" t="n">
        <x:v>0.13999999999999999</x:v>
      </x:c>
      <x:c r="I2770" s="16" t="n">
        <x:v>0.08999999999999997</x:v>
      </x:c>
      <x:c r="J2770" s="16" t="n">
        <x:v>0</x:v>
      </x:c>
      <x:c r="K2770" s="11" t="n">
        <x:f>CHOOSE('假设'!$B$3,H2770,I2770,J2770)</x:f>
        <x:v>0.08999999999999997</x:v>
      </x:c>
      <x:c r="L2770" s="11" t="n">
        <x:f>K2770*'管线假设'!E603*'管线假设'!F603*'管线假设'!G603*IF(E2770="USD",'管线假设'!I603,1)-AM2770</x:f>
        <x:v>0.0042084</x:v>
      </x:c>
      <x:c r="M2770" s="11" t="n">
        <x:f>'管线假设'!H603</x:f>
        <x:v>0.135</x:v>
      </x:c>
      <x:c r="N2770" s="11" t="n">
        <x:f>IF(G2770,L2770*AN2770/(1+M2770)^F2770,0)</x:f>
        <x:v>0.0004456795377275229</x:v>
      </x:c>
      <x:c r="AJ2770" t="n">
        <x:v>0</x:v>
      </x:c>
      <x:c r="AK2770" t="n">
        <x:v>0</x:v>
      </x:c>
      <x:c r="AL2770" t="n">
        <x:v>0</x:v>
      </x:c>
      <x:c r="AM2770" t="n">
        <x:f>CHOOSE('假设'!$B$3,AJ2770,AK2770,AL2770)</x:f>
        <x:v>0</x:v>
      </x:c>
      <x:c r="AN2770" t="n">
        <x:v>1</x:v>
      </x:c>
    </x:row>
    <x:row r="2771" ht="23" customHeight="1">
      <x:c r="A2771" s="11" t="str">
        <x:v>688382.SH</x:v>
      </x:c>
      <x:c r="B2771" s="11" t="str">
        <x:v>半年</x:v>
      </x:c>
      <x:c r="C2771" s="11" t="str">
        <x:v>tyk_viti_cn</x:v>
      </x:c>
      <x:c r="D2771" s="11" t="str">
        <x:v>2045-12-31</x:v>
      </x:c>
      <x:c r="E2771" s="11" t="str">
        <x:v>CNY</x:v>
      </x:c>
      <x:c r="F2771" s="11" t="n">
        <x:v>18.729637234770706</x:v>
      </x:c>
      <x:c r="G2771" s="26" t="b">
        <x:v>1</x:v>
      </x:c>
      <x:c r="H2771" s="16" t="n">
        <x:v>0.088</x:v>
      </x:c>
      <x:c r="I2771" s="16" t="n">
        <x:v>0</x:v>
      </x:c>
      <x:c r="J2771" s="16" t="n">
        <x:v>0</x:v>
      </x:c>
      <x:c r="K2771" s="11" t="n">
        <x:f>CHOOSE('假设'!$B$3,H2771,I2771,J2771)</x:f>
        <x:v>0</x:v>
      </x:c>
      <x:c r="L2771" s="11" t="n">
        <x:f>K2771*'管线假设'!E603*'管线假设'!F603*'管线假设'!G603*IF(E2771="USD",'管线假设'!I603,1)-AM2771</x:f>
        <x:v>0</x:v>
      </x:c>
      <x:c r="M2771" s="11" t="n">
        <x:f>'管线假设'!H603</x:f>
        <x:v>0.135</x:v>
      </x:c>
      <x:c r="N2771" s="11" t="n">
        <x:f>IF(G2771,L2771*AN2771/(1+M2771)^F2771,0)</x:f>
        <x:v>0</x:v>
      </x:c>
      <x:c r="AJ2771" t="n">
        <x:v>0</x:v>
      </x:c>
      <x:c r="AK2771" t="n">
        <x:v>0</x:v>
      </x:c>
      <x:c r="AL2771" t="n">
        <x:v>0</x:v>
      </x:c>
      <x:c r="AM2771" t="n">
        <x:f>CHOOSE('假设'!$B$3,AJ2771,AK2771,AL2771)</x:f>
        <x:v>0</x:v>
      </x:c>
      <x:c r="AN2771" t="n">
        <x:v>1</x:v>
      </x:c>
    </x:row>
    <x:row r="2772" ht="23" customHeight="1">
      <x:c r="A2772" s="11" t="str">
        <x:v>688382.SH</x:v>
      </x:c>
      <x:c r="B2772" s="11" t="str">
        <x:v>半年</x:v>
      </x:c>
      <x:c r="C2772" s="11" t="str">
        <x:v>tyk_global</x:v>
      </x:c>
      <x:c r="D2772" s="11" t="str">
        <x:v>2027-12-31</x:v>
      </x:c>
      <x:c r="E2772" s="11" t="str">
        <x:v>USD</x:v>
      </x:c>
      <x:c r="F2772" s="11" t="n">
        <x:v>0.7282683093771389</x:v>
      </x:c>
      <x:c r="G2772" s="26" t="b">
        <x:v>1</x:v>
      </x:c>
      <x:c r="H2772" s="16" t="n">
        <x:v>0</x:v>
      </x:c>
      <x:c r="I2772" s="16" t="n">
        <x:v>0</x:v>
      </x:c>
      <x:c r="J2772" s="16" t="n">
        <x:v>0</x:v>
      </x:c>
      <x:c r="K2772" s="11" t="n">
        <x:f>CHOOSE('假设'!$B$3,H2772,I2772,J2772)</x:f>
        <x:v>0</x:v>
      </x:c>
      <x:c r="L2772" s="11" t="n">
        <x:f>K2772*'管线假设'!E607*'管线假设'!F607*'管线假设'!G607*IF(E2772="USD",'管线假设'!I607,1)-AM2772</x:f>
        <x:v>0</x:v>
      </x:c>
      <x:c r="M2772" s="11" t="n">
        <x:f>'管线假设'!H607</x:f>
        <x:v>0.135</x:v>
      </x:c>
      <x:c r="N2772" s="11" t="n">
        <x:f>IF(G2772,L2772*AN2772/(1+M2772)^F2772,0)</x:f>
        <x:v>0</x:v>
      </x:c>
      <x:c r="AJ2772" t="n">
        <x:v>0</x:v>
      </x:c>
      <x:c r="AK2772" t="n">
        <x:v>0</x:v>
      </x:c>
      <x:c r="AL2772" t="n">
        <x:v>0</x:v>
      </x:c>
      <x:c r="AM2772" t="n">
        <x:f>CHOOSE('假设'!$B$3,AJ2772,AK2772,AL2772)</x:f>
        <x:v>0</x:v>
      </x:c>
      <x:c r="AN2772" t="n">
        <x:v>1</x:v>
      </x:c>
    </x:row>
    <x:row r="2773" ht="23" customHeight="1">
      <x:c r="A2773" s="11" t="str">
        <x:v>688382.SH</x:v>
      </x:c>
      <x:c r="B2773" s="11" t="str">
        <x:v>半年</x:v>
      </x:c>
      <x:c r="C2773" s="11" t="str">
        <x:v>tyk_global</x:v>
      </x:c>
      <x:c r="D2773" s="11" t="str">
        <x:v>2028-12-31</x:v>
      </x:c>
      <x:c r="E2773" s="11" t="str">
        <x:v>USD</x:v>
      </x:c>
      <x:c r="F2773" s="11" t="n">
        <x:v>1.730321697467488</x:v>
      </x:c>
      <x:c r="G2773" s="26" t="b">
        <x:v>1</x:v>
      </x:c>
      <x:c r="H2773" s="16" t="n">
        <x:v>0</x:v>
      </x:c>
      <x:c r="I2773" s="16" t="n">
        <x:v>0</x:v>
      </x:c>
      <x:c r="J2773" s="16" t="n">
        <x:v>0</x:v>
      </x:c>
      <x:c r="K2773" s="11" t="n">
        <x:f>CHOOSE('假设'!$B$3,H2773,I2773,J2773)</x:f>
        <x:v>0</x:v>
      </x:c>
      <x:c r="L2773" s="11" t="n">
        <x:f>K2773*'管线假设'!E607*'管线假设'!F607*'管线假设'!G607*IF(E2773="USD",'管线假设'!I607,1)-AM2773</x:f>
        <x:v>0</x:v>
      </x:c>
      <x:c r="M2773" s="11" t="n">
        <x:f>'管线假设'!H607</x:f>
        <x:v>0.135</x:v>
      </x:c>
      <x:c r="N2773" s="11" t="n">
        <x:f>IF(G2773,L2773*AN2773/(1+M2773)^F2773,0)</x:f>
        <x:v>0</x:v>
      </x:c>
      <x:c r="AJ2773" t="n">
        <x:v>0</x:v>
      </x:c>
      <x:c r="AK2773" t="n">
        <x:v>0</x:v>
      </x:c>
      <x:c r="AL2773" t="n">
        <x:v>0</x:v>
      </x:c>
      <x:c r="AM2773" t="n">
        <x:f>CHOOSE('假设'!$B$3,AJ2773,AK2773,AL2773)</x:f>
        <x:v>0</x:v>
      </x:c>
      <x:c r="AN2773" t="n">
        <x:v>1</x:v>
      </x:c>
    </x:row>
    <x:row r="2774" ht="23" customHeight="1">
      <x:c r="A2774" s="11" t="str">
        <x:v>688382.SH</x:v>
      </x:c>
      <x:c r="B2774" s="11" t="str">
        <x:v>半年</x:v>
      </x:c>
      <x:c r="C2774" s="11" t="str">
        <x:v>tyk_global</x:v>
      </x:c>
      <x:c r="D2774" s="11" t="str">
        <x:v>2029-12-31</x:v>
      </x:c>
      <x:c r="E2774" s="11" t="str">
        <x:v>USD</x:v>
      </x:c>
      <x:c r="F2774" s="11" t="n">
        <x:v>2.729637234770705</x:v>
      </x:c>
      <x:c r="G2774" s="26" t="b">
        <x:v>1</x:v>
      </x:c>
      <x:c r="H2774" s="16" t="n">
        <x:v>0</x:v>
      </x:c>
      <x:c r="I2774" s="16" t="n">
        <x:v>0</x:v>
      </x:c>
      <x:c r="J2774" s="16" t="n">
        <x:v>0</x:v>
      </x:c>
      <x:c r="K2774" s="11" t="n">
        <x:f>CHOOSE('假设'!$B$3,H2774,I2774,J2774)</x:f>
        <x:v>0</x:v>
      </x:c>
      <x:c r="L2774" s="11" t="n">
        <x:f>K2774*'管线假设'!E607*'管线假设'!F607*'管线假设'!G607*IF(E2774="USD",'管线假设'!I607,1)-AM2774</x:f>
        <x:v>0</x:v>
      </x:c>
      <x:c r="M2774" s="11" t="n">
        <x:f>'管线假设'!H607</x:f>
        <x:v>0.135</x:v>
      </x:c>
      <x:c r="N2774" s="11" t="n">
        <x:f>IF(G2774,L2774*AN2774/(1+M2774)^F2774,0)</x:f>
        <x:v>0</x:v>
      </x:c>
      <x:c r="AJ2774" t="n">
        <x:v>0</x:v>
      </x:c>
      <x:c r="AK2774" t="n">
        <x:v>0</x:v>
      </x:c>
      <x:c r="AL2774" t="n">
        <x:v>0</x:v>
      </x:c>
      <x:c r="AM2774" t="n">
        <x:f>CHOOSE('假设'!$B$3,AJ2774,AK2774,AL2774)</x:f>
        <x:v>0</x:v>
      </x:c>
      <x:c r="AN2774" t="n">
        <x:v>1</x:v>
      </x:c>
    </x:row>
    <x:row r="2775" ht="23" customHeight="1">
      <x:c r="A2775" s="11" t="str">
        <x:v>688382.SH</x:v>
      </x:c>
      <x:c r="B2775" s="11" t="str">
        <x:v>半年</x:v>
      </x:c>
      <x:c r="C2775" s="11" t="str">
        <x:v>tyk_global</x:v>
      </x:c>
      <x:c r="D2775" s="11" t="str">
        <x:v>2030-12-31</x:v>
      </x:c>
      <x:c r="E2775" s="11" t="str">
        <x:v>USD</x:v>
      </x:c>
      <x:c r="F2775" s="11" t="n">
        <x:v>3.728952772073922</x:v>
      </x:c>
      <x:c r="G2775" s="26" t="b">
        <x:v>1</x:v>
      </x:c>
      <x:c r="H2775" s="16" t="n">
        <x:v>0</x:v>
      </x:c>
      <x:c r="I2775" s="16" t="n">
        <x:v>0</x:v>
      </x:c>
      <x:c r="J2775" s="16" t="n">
        <x:v>0.6666666666666666</x:v>
      </x:c>
      <x:c r="K2775" s="11" t="n">
        <x:f>CHOOSE('假设'!$B$3,H2775,I2775,J2775)</x:f>
        <x:v>0</x:v>
      </x:c>
      <x:c r="L2775" s="11" t="n">
        <x:f>K2775*'管线假设'!E607*'管线假设'!F607*'管线假设'!G607*IF(E2775="USD",'管线假设'!I607,1)-AM2775</x:f>
        <x:v>0</x:v>
      </x:c>
      <x:c r="M2775" s="11" t="n">
        <x:f>'管线假设'!H607</x:f>
        <x:v>0.135</x:v>
      </x:c>
      <x:c r="N2775" s="11" t="n">
        <x:f>IF(G2775,L2775*AN2775/(1+M2775)^F2775,0)</x:f>
        <x:v>0</x:v>
      </x:c>
      <x:c r="AJ2775" t="n">
        <x:v>0</x:v>
      </x:c>
      <x:c r="AK2775" t="n">
        <x:v>0</x:v>
      </x:c>
      <x:c r="AL2775" t="n">
        <x:v>0</x:v>
      </x:c>
      <x:c r="AM2775" t="n">
        <x:f>CHOOSE('假设'!$B$3,AJ2775,AK2775,AL2775)</x:f>
        <x:v>0</x:v>
      </x:c>
      <x:c r="AN2775" t="n">
        <x:v>1</x:v>
      </x:c>
    </x:row>
    <x:row r="2776" ht="23" customHeight="1">
      <x:c r="A2776" s="11" t="str">
        <x:v>688382.SH</x:v>
      </x:c>
      <x:c r="B2776" s="11" t="str">
        <x:v>半年</x:v>
      </x:c>
      <x:c r="C2776" s="11" t="str">
        <x:v>tyk_global</x:v>
      </x:c>
      <x:c r="D2776" s="11" t="str">
        <x:v>2031-12-31</x:v>
      </x:c>
      <x:c r="E2776" s="11" t="str">
        <x:v>USD</x:v>
      </x:c>
      <x:c r="F2776" s="11" t="n">
        <x:v>4.728268309377139</x:v>
      </x:c>
      <x:c r="G2776" s="26" t="b">
        <x:v>1</x:v>
      </x:c>
      <x:c r="H2776" s="16" t="n">
        <x:v>0</x:v>
      </x:c>
      <x:c r="I2776" s="16" t="n">
        <x:v>0</x:v>
      </x:c>
      <x:c r="J2776" s="16" t="n">
        <x:v>1.3333333333333333</x:v>
      </x:c>
      <x:c r="K2776" s="11" t="n">
        <x:f>CHOOSE('假设'!$B$3,H2776,I2776,J2776)</x:f>
        <x:v>0</x:v>
      </x:c>
      <x:c r="L2776" s="11" t="n">
        <x:f>K2776*'管线假设'!E607*'管线假设'!F607*'管线假设'!G607*IF(E2776="USD",'管线假设'!I607,1)-AM2776</x:f>
        <x:v>0</x:v>
      </x:c>
      <x:c r="M2776" s="11" t="n">
        <x:f>'管线假设'!H607</x:f>
        <x:v>0.135</x:v>
      </x:c>
      <x:c r="N2776" s="11" t="n">
        <x:f>IF(G2776,L2776*AN2776/(1+M2776)^F2776,0)</x:f>
        <x:v>0</x:v>
      </x:c>
      <x:c r="AJ2776" t="n">
        <x:v>0</x:v>
      </x:c>
      <x:c r="AK2776" t="n">
        <x:v>0</x:v>
      </x:c>
      <x:c r="AL2776" t="n">
        <x:v>0</x:v>
      </x:c>
      <x:c r="AM2776" t="n">
        <x:f>CHOOSE('假设'!$B$3,AJ2776,AK2776,AL2776)</x:f>
        <x:v>0</x:v>
      </x:c>
      <x:c r="AN2776" t="n">
        <x:v>1</x:v>
      </x:c>
    </x:row>
    <x:row r="2777" ht="23" customHeight="1">
      <x:c r="A2777" s="11" t="str">
        <x:v>688382.SH</x:v>
      </x:c>
      <x:c r="B2777" s="11" t="str">
        <x:v>半年</x:v>
      </x:c>
      <x:c r="C2777" s="11" t="str">
        <x:v>tyk_global</x:v>
      </x:c>
      <x:c r="D2777" s="11" t="str">
        <x:v>2032-12-31</x:v>
      </x:c>
      <x:c r="E2777" s="11" t="str">
        <x:v>USD</x:v>
      </x:c>
      <x:c r="F2777" s="11" t="n">
        <x:v>5.730321697467488</x:v>
      </x:c>
      <x:c r="G2777" s="26" t="b">
        <x:v>1</x:v>
      </x:c>
      <x:c r="H2777" s="16" t="n">
        <x:v>0</x:v>
      </x:c>
      <x:c r="I2777" s="16" t="n">
        <x:v>0.3333333333333333</x:v>
      </x:c>
      <x:c r="J2777" s="16" t="n">
        <x:v>2</x:v>
      </x:c>
      <x:c r="K2777" s="11" t="n">
        <x:f>CHOOSE('假设'!$B$3,H2777,I2777,J2777)</x:f>
        <x:v>0.3333333333333333</x:v>
      </x:c>
      <x:c r="L2777" s="11" t="n">
        <x:f>K2777*'管线假设'!E607*'管线假设'!F607*'管线假设'!G607*IF(E2777="USD",'管线假设'!I607,1)-AM2777</x:f>
        <x:v>0.06746960000000002</x:v>
      </x:c>
      <x:c r="M2777" s="11" t="n">
        <x:f>'管线假设'!H607</x:f>
        <x:v>0.135</x:v>
      </x:c>
      <x:c r="N2777" s="11" t="n">
        <x:f>IF(G2777,L2777*AN2777/(1+M2777)^F2777,0)</x:f>
        <x:v>0.03265608793430557</x:v>
      </x:c>
      <x:c r="AJ2777" t="n">
        <x:v>0</x:v>
      </x:c>
      <x:c r="AK2777" t="n">
        <x:v>0</x:v>
      </x:c>
      <x:c r="AL2777" t="n">
        <x:v>0</x:v>
      </x:c>
      <x:c r="AM2777" t="n">
        <x:f>CHOOSE('假设'!$B$3,AJ2777,AK2777,AL2777)</x:f>
        <x:v>0</x:v>
      </x:c>
      <x:c r="AN2777" t="n">
        <x:v>1</x:v>
      </x:c>
    </x:row>
    <x:row r="2778" ht="23" customHeight="1">
      <x:c r="A2778" s="11" t="str">
        <x:v>688382.SH</x:v>
      </x:c>
      <x:c r="B2778" s="11" t="str">
        <x:v>半年</x:v>
      </x:c>
      <x:c r="C2778" s="11" t="str">
        <x:v>tyk_global</x:v>
      </x:c>
      <x:c r="D2778" s="11" t="str">
        <x:v>2033-12-31</x:v>
      </x:c>
      <x:c r="E2778" s="11" t="str">
        <x:v>USD</x:v>
      </x:c>
      <x:c r="F2778" s="11" t="n">
        <x:v>6.729637234770705</x:v>
      </x:c>
      <x:c r="G2778" s="26" t="b">
        <x:v>1</x:v>
      </x:c>
      <x:c r="H2778" s="16" t="n">
        <x:v>0</x:v>
      </x:c>
      <x:c r="I2778" s="16" t="n">
        <x:v>0.6666666666666666</x:v>
      </x:c>
      <x:c r="J2778" s="16" t="n">
        <x:v>2.6666666666666665</x:v>
      </x:c>
      <x:c r="K2778" s="11" t="n">
        <x:f>CHOOSE('假设'!$B$3,H2778,I2778,J2778)</x:f>
        <x:v>0.6666666666666666</x:v>
      </x:c>
      <x:c r="L2778" s="11" t="n">
        <x:f>K2778*'管线假设'!E607*'管线假设'!F607*'管线假设'!G607*IF(E2778="USD",'管线假设'!I607,1)-AM2778</x:f>
        <x:v>0.13493920000000004</x:v>
      </x:c>
      <x:c r="M2778" s="11" t="n">
        <x:f>'管线假设'!H607</x:f>
        <x:v>0.135</x:v>
      </x:c>
      <x:c r="N2778" s="11" t="n">
        <x:f>IF(G2778,L2778*AN2778/(1+M2778)^F2778,0)</x:f>
        <x:v>0.05754875512605302</x:v>
      </x:c>
      <x:c r="AJ2778" t="n">
        <x:v>0</x:v>
      </x:c>
      <x:c r="AK2778" t="n">
        <x:v>0</x:v>
      </x:c>
      <x:c r="AL2778" t="n">
        <x:v>0</x:v>
      </x:c>
      <x:c r="AM2778" t="n">
        <x:f>CHOOSE('假设'!$B$3,AJ2778,AK2778,AL2778)</x:f>
        <x:v>0</x:v>
      </x:c>
      <x:c r="AN2778" t="n">
        <x:v>1</x:v>
      </x:c>
    </x:row>
    <x:row r="2779" ht="23" customHeight="1">
      <x:c r="A2779" s="11" t="str">
        <x:v>688382.SH</x:v>
      </x:c>
      <x:c r="B2779" s="11" t="str">
        <x:v>半年</x:v>
      </x:c>
      <x:c r="C2779" s="11" t="str">
        <x:v>tyk_global</x:v>
      </x:c>
      <x:c r="D2779" s="11" t="str">
        <x:v>2034-12-31</x:v>
      </x:c>
      <x:c r="E2779" s="11" t="str">
        <x:v>USD</x:v>
      </x:c>
      <x:c r="F2779" s="11" t="n">
        <x:v>7.728952772073922</x:v>
      </x:c>
      <x:c r="G2779" s="26" t="b">
        <x:v>1</x:v>
      </x:c>
      <x:c r="H2779" s="16" t="n">
        <x:v>0</x:v>
      </x:c>
      <x:c r="I2779" s="16" t="n">
        <x:v>1</x:v>
      </x:c>
      <x:c r="J2779" s="16" t="n">
        <x:v>3.3333333333333335</x:v>
      </x:c>
      <x:c r="K2779" s="11" t="n">
        <x:f>CHOOSE('假设'!$B$3,H2779,I2779,J2779)</x:f>
        <x:v>1</x:v>
      </x:c>
      <x:c r="L2779" s="11" t="n">
        <x:f>K2779*'管线假设'!E607*'管线假设'!F607*'管线假设'!G607*IF(E2779="USD",'管线假设'!I607,1)-AM2779</x:f>
        <x:v>0.20240880000000003</x:v>
      </x:c>
      <x:c r="M2779" s="11" t="n">
        <x:f>'管线假设'!H607</x:f>
        <x:v>0.135</x:v>
      </x:c>
      <x:c r="N2779" s="11" t="n">
        <x:f>IF(G2779,L2779*AN2779/(1+M2779)^F2779,0)</x:f>
        <x:v>0.07606221594624786</x:v>
      </x:c>
      <x:c r="AJ2779" t="n">
        <x:v>0</x:v>
      </x:c>
      <x:c r="AK2779" t="n">
        <x:v>0</x:v>
      </x:c>
      <x:c r="AL2779" t="n">
        <x:v>0</x:v>
      </x:c>
      <x:c r="AM2779" t="n">
        <x:f>CHOOSE('假设'!$B$3,AJ2779,AK2779,AL2779)</x:f>
        <x:v>0</x:v>
      </x:c>
      <x:c r="AN2779" t="n">
        <x:v>1</x:v>
      </x:c>
    </x:row>
    <x:row r="2780" ht="23" customHeight="1">
      <x:c r="A2780" s="11" t="str">
        <x:v>688382.SH</x:v>
      </x:c>
      <x:c r="B2780" s="11" t="str">
        <x:v>半年</x:v>
      </x:c>
      <x:c r="C2780" s="11" t="str">
        <x:v>tyk_global</x:v>
      </x:c>
      <x:c r="D2780" s="11" t="str">
        <x:v>2035-12-31</x:v>
      </x:c>
      <x:c r="E2780" s="11" t="str">
        <x:v>USD</x:v>
      </x:c>
      <x:c r="F2780" s="11" t="n">
        <x:v>8.728268309377139</x:v>
      </x:c>
      <x:c r="G2780" s="26" t="b">
        <x:v>1</x:v>
      </x:c>
      <x:c r="H2780" s="16" t="n">
        <x:v>0.13999999999999999</x:v>
      </x:c>
      <x:c r="I2780" s="16" t="n">
        <x:v>1.3333333333333333</x:v>
      </x:c>
      <x:c r="J2780" s="16" t="n">
        <x:v>4</x:v>
      </x:c>
      <x:c r="K2780" s="11" t="n">
        <x:f>CHOOSE('假设'!$B$3,H2780,I2780,J2780)</x:f>
        <x:v>1.3333333333333333</x:v>
      </x:c>
      <x:c r="L2780" s="11" t="n">
        <x:f>K2780*'管线假设'!E607*'管线假设'!F607*'管线假设'!G607*IF(E2780="USD",'管线假设'!I607,1)-AM2780</x:f>
        <x:v>0.2698784000000001</x:v>
      </x:c>
      <x:c r="M2780" s="11" t="n">
        <x:f>'管线假设'!H607</x:f>
        <x:v>0.135</x:v>
      </x:c>
      <x:c r="N2780" s="11" t="n">
        <x:f>IF(G2780,L2780*AN2780/(1+M2780)^F2780,0)</x:f>
        <x:v>0.08936130273047184</x:v>
      </x:c>
      <x:c r="AJ2780" t="n">
        <x:v>0</x:v>
      </x:c>
      <x:c r="AK2780" t="n">
        <x:v>0</x:v>
      </x:c>
      <x:c r="AL2780" t="n">
        <x:v>0</x:v>
      </x:c>
      <x:c r="AM2780" t="n">
        <x:f>CHOOSE('假设'!$B$3,AJ2780,AK2780,AL2780)</x:f>
        <x:v>0</x:v>
      </x:c>
      <x:c r="AN2780" t="n">
        <x:v>1</x:v>
      </x:c>
    </x:row>
    <x:row r="2781" ht="23" customHeight="1">
      <x:c r="A2781" s="11" t="str">
        <x:v>688382.SH</x:v>
      </x:c>
      <x:c r="B2781" s="11" t="str">
        <x:v>半年</x:v>
      </x:c>
      <x:c r="C2781" s="11" t="str">
        <x:v>tyk_global</x:v>
      </x:c>
      <x:c r="D2781" s="11" t="str">
        <x:v>2036-12-31</x:v>
      </x:c>
      <x:c r="E2781" s="11" t="str">
        <x:v>USD</x:v>
      </x:c>
      <x:c r="F2781" s="11" t="n">
        <x:v>9.730321697467488</x:v>
      </x:c>
      <x:c r="G2781" s="26" t="b">
        <x:v>1</x:v>
      </x:c>
      <x:c r="H2781" s="16" t="n">
        <x:v>0.27999999999999997</x:v>
      </x:c>
      <x:c r="I2781" s="16" t="n">
        <x:v>1.6666666666666667</x:v>
      </x:c>
      <x:c r="J2781" s="16" t="n">
        <x:v>3.48</x:v>
      </x:c>
      <x:c r="K2781" s="11" t="n">
        <x:f>CHOOSE('假设'!$B$3,H2781,I2781,J2781)</x:f>
        <x:v>1.6666666666666667</x:v>
      </x:c>
      <x:c r="L2781" s="11" t="n">
        <x:f>K2781*'管线假设'!E607*'管线假设'!F607*'管线假设'!G607*IF(E2781="USD",'管线假设'!I607,1)-AM2781</x:f>
        <x:v>0.33734800000000004</x:v>
      </x:c>
      <x:c r="M2781" s="11" t="n">
        <x:f>'管线假设'!H607</x:f>
        <x:v>0.135</x:v>
      </x:c>
      <x:c r="N2781" s="11" t="n">
        <x:f>IF(G2781,L2781*AN2781/(1+M2781)^F2781,0)</x:f>
        <x:v>0.09838994437351593</x:v>
      </x:c>
      <x:c r="AJ2781" t="n">
        <x:v>0</x:v>
      </x:c>
      <x:c r="AK2781" t="n">
        <x:v>0</x:v>
      </x:c>
      <x:c r="AL2781" t="n">
        <x:v>0</x:v>
      </x:c>
      <x:c r="AM2781" t="n">
        <x:f>CHOOSE('假设'!$B$3,AJ2781,AK2781,AL2781)</x:f>
        <x:v>0</x:v>
      </x:c>
      <x:c r="AN2781" t="n">
        <x:v>1</x:v>
      </x:c>
    </x:row>
    <x:row r="2782" ht="23" customHeight="1">
      <x:c r="A2782" s="11" t="str">
        <x:v>688382.SH</x:v>
      </x:c>
      <x:c r="B2782" s="11" t="str">
        <x:v>半年</x:v>
      </x:c>
      <x:c r="C2782" s="11" t="str">
        <x:v>tyk_global</x:v>
      </x:c>
      <x:c r="D2782" s="11" t="str">
        <x:v>2037-12-31</x:v>
      </x:c>
      <x:c r="E2782" s="11" t="str">
        <x:v>USD</x:v>
      </x:c>
      <x:c r="F2782" s="11" t="n">
        <x:v>10.729637234770705</x:v>
      </x:c>
      <x:c r="G2782" s="26" t="b">
        <x:v>1</x:v>
      </x:c>
      <x:c r="H2782" s="16" t="n">
        <x:v>0.42</x:v>
      </x:c>
      <x:c r="I2782" s="16" t="n">
        <x:v>2</x:v>
      </x:c>
      <x:c r="J2782" s="16" t="n">
        <x:v>2.96</x:v>
      </x:c>
      <x:c r="K2782" s="11" t="n">
        <x:f>CHOOSE('假设'!$B$3,H2782,I2782,J2782)</x:f>
        <x:v>2</x:v>
      </x:c>
      <x:c r="L2782" s="11" t="n">
        <x:f>K2782*'管线假设'!E607*'管线假设'!F607*'管线假设'!G607*IF(E2782="USD",'管线假设'!I607,1)-AM2782</x:f>
        <x:v>0.40481760000000006</x:v>
      </x:c>
      <x:c r="M2782" s="11" t="n">
        <x:f>'管线假设'!H607</x:f>
        <x:v>0.135</x:v>
      </x:c>
      <x:c r="N2782" s="11" t="n">
        <x:f>IF(G2782,L2782*AN2782/(1+M2782)^F2782,0)</x:f>
        <x:v>0.10403362754916931</x:v>
      </x:c>
      <x:c r="AJ2782" t="n">
        <x:v>0</x:v>
      </x:c>
      <x:c r="AK2782" t="n">
        <x:v>0</x:v>
      </x:c>
      <x:c r="AL2782" t="n">
        <x:v>0</x:v>
      </x:c>
      <x:c r="AM2782" t="n">
        <x:f>CHOOSE('假设'!$B$3,AJ2782,AK2782,AL2782)</x:f>
        <x:v>0</x:v>
      </x:c>
      <x:c r="AN2782" t="n">
        <x:v>1</x:v>
      </x:c>
    </x:row>
    <x:row r="2783" ht="23" customHeight="1">
      <x:c r="A2783" s="11" t="str">
        <x:v>688382.SH</x:v>
      </x:c>
      <x:c r="B2783" s="11" t="str">
        <x:v>半年</x:v>
      </x:c>
      <x:c r="C2783" s="11" t="str">
        <x:v>tyk_global</x:v>
      </x:c>
      <x:c r="D2783" s="11" t="str">
        <x:v>2038-12-31</x:v>
      </x:c>
      <x:c r="E2783" s="11" t="str">
        <x:v>USD</x:v>
      </x:c>
      <x:c r="F2783" s="11" t="n">
        <x:v>11.728952772073923</x:v>
      </x:c>
      <x:c r="G2783" s="26" t="b">
        <x:v>1</x:v>
      </x:c>
      <x:c r="H2783" s="16" t="n">
        <x:v>0.5599999999999999</x:v>
      </x:c>
      <x:c r="I2783" s="16" t="n">
        <x:v>1.74</x:v>
      </x:c>
      <x:c r="J2783" s="16" t="n">
        <x:v>2.44</x:v>
      </x:c>
      <x:c r="K2783" s="11" t="n">
        <x:f>CHOOSE('假设'!$B$3,H2783,I2783,J2783)</x:f>
        <x:v>1.74</x:v>
      </x:c>
      <x:c r="L2783" s="11" t="n">
        <x:f>K2783*'管线假设'!E607*'管线假设'!F607*'管线假设'!G607*IF(E2783="USD",'管线假设'!I607,1)-AM2783</x:f>
        <x:v>0.35219131200000003</x:v>
      </x:c>
      <x:c r="M2783" s="11" t="n">
        <x:f>'管线假设'!H607</x:f>
        <x:v>0.135</x:v>
      </x:c>
      <x:c r="N2783" s="11" t="n">
        <x:f>IF(G2783,L2783*AN2783/(1+M2783)^F2783,0)</x:f>
        <x:v>0.07975074997974692</x:v>
      </x:c>
      <x:c r="AJ2783" t="n">
        <x:v>0</x:v>
      </x:c>
      <x:c r="AK2783" t="n">
        <x:v>0</x:v>
      </x:c>
      <x:c r="AL2783" t="n">
        <x:v>0</x:v>
      </x:c>
      <x:c r="AM2783" t="n">
        <x:f>CHOOSE('假设'!$B$3,AJ2783,AK2783,AL2783)</x:f>
        <x:v>0</x:v>
      </x:c>
      <x:c r="AN2783" t="n">
        <x:v>1</x:v>
      </x:c>
    </x:row>
    <x:row r="2784" ht="23" customHeight="1">
      <x:c r="A2784" s="11" t="str">
        <x:v>688382.SH</x:v>
      </x:c>
      <x:c r="B2784" s="11" t="str">
        <x:v>半年</x:v>
      </x:c>
      <x:c r="C2784" s="11" t="str">
        <x:v>tyk_global</x:v>
      </x:c>
      <x:c r="D2784" s="11" t="str">
        <x:v>2039-12-31</x:v>
      </x:c>
      <x:c r="E2784" s="11" t="str">
        <x:v>USD</x:v>
      </x:c>
      <x:c r="F2784" s="11" t="n">
        <x:v>12.728268309377139</x:v>
      </x:c>
      <x:c r="G2784" s="26" t="b">
        <x:v>1</x:v>
      </x:c>
      <x:c r="H2784" s="16" t="n">
        <x:v>0.7</x:v>
      </x:c>
      <x:c r="I2784" s="16" t="n">
        <x:v>1.48</x:v>
      </x:c>
      <x:c r="J2784" s="16" t="n">
        <x:v>1.92</x:v>
      </x:c>
      <x:c r="K2784" s="11" t="n">
        <x:f>CHOOSE('假设'!$B$3,H2784,I2784,J2784)</x:f>
        <x:v>1.48</x:v>
      </x:c>
      <x:c r="L2784" s="11" t="n">
        <x:f>K2784*'管线假设'!E607*'管线假设'!F607*'管线假设'!G607*IF(E2784="USD",'管线假设'!I607,1)-AM2784</x:f>
        <x:v>0.299565024</x:v>
      </x:c>
      <x:c r="M2784" s="11" t="n">
        <x:f>'管线假设'!H607</x:f>
        <x:v>0.135</x:v>
      </x:c>
      <x:c r="N2784" s="11" t="n">
        <x:f>IF(G2784,L2784*AN2784/(1+M2784)^F2784,0)</x:f>
        <x:v>0.059770793862122404</x:v>
      </x:c>
      <x:c r="AJ2784" t="n">
        <x:v>0</x:v>
      </x:c>
      <x:c r="AK2784" t="n">
        <x:v>0</x:v>
      </x:c>
      <x:c r="AL2784" t="n">
        <x:v>0</x:v>
      </x:c>
      <x:c r="AM2784" t="n">
        <x:f>CHOOSE('假设'!$B$3,AJ2784,AK2784,AL2784)</x:f>
        <x:v>0</x:v>
      </x:c>
      <x:c r="AN2784" t="n">
        <x:v>1</x:v>
      </x:c>
    </x:row>
    <x:row r="2785" ht="23" customHeight="1">
      <x:c r="A2785" s="11" t="str">
        <x:v>688382.SH</x:v>
      </x:c>
      <x:c r="B2785" s="11" t="str">
        <x:v>半年</x:v>
      </x:c>
      <x:c r="C2785" s="11" t="str">
        <x:v>tyk_global</x:v>
      </x:c>
      <x:c r="D2785" s="11" t="str">
        <x:v>2040-12-31</x:v>
      </x:c>
      <x:c r="E2785" s="11" t="str">
        <x:v>USD</x:v>
      </x:c>
      <x:c r="F2785" s="11" t="n">
        <x:v>13.730321697467488</x:v>
      </x:c>
      <x:c r="G2785" s="26" t="b">
        <x:v>1</x:v>
      </x:c>
      <x:c r="H2785" s="16" t="n">
        <x:v>0.609</x:v>
      </x:c>
      <x:c r="I2785" s="16" t="n">
        <x:v>1.22</x:v>
      </x:c>
      <x:c r="J2785" s="16" t="n">
        <x:v>1.4</x:v>
      </x:c>
      <x:c r="K2785" s="11" t="n">
        <x:f>CHOOSE('假设'!$B$3,H2785,I2785,J2785)</x:f>
        <x:v>1.22</x:v>
      </x:c>
      <x:c r="L2785" s="11" t="n">
        <x:f>K2785*'管线假设'!E607*'管线假设'!F607*'管线假设'!G607*IF(E2785="USD",'管线假设'!I607,1)-AM2785</x:f>
        <x:v>0.24693873600000002</x:v>
      </x:c>
      <x:c r="M2785" s="11" t="n">
        <x:f>'管线假设'!H607</x:f>
        <x:v>0.135</x:v>
      </x:c>
      <x:c r="N2785" s="11" t="n">
        <x:f>IF(G2785,L2785*AN2785/(1+M2785)^F2785,0)</x:f>
        <x:v>0.043398862832891454</x:v>
      </x:c>
      <x:c r="AJ2785" t="n">
        <x:v>0</x:v>
      </x:c>
      <x:c r="AK2785" t="n">
        <x:v>0</x:v>
      </x:c>
      <x:c r="AL2785" t="n">
        <x:v>0</x:v>
      </x:c>
      <x:c r="AM2785" t="n">
        <x:f>CHOOSE('假设'!$B$3,AJ2785,AK2785,AL2785)</x:f>
        <x:v>0</x:v>
      </x:c>
      <x:c r="AN2785" t="n">
        <x:v>1</x:v>
      </x:c>
    </x:row>
    <x:row r="2786" ht="23" customHeight="1">
      <x:c r="A2786" s="11" t="str">
        <x:v>688382.SH</x:v>
      </x:c>
      <x:c r="B2786" s="11" t="str">
        <x:v>半年</x:v>
      </x:c>
      <x:c r="C2786" s="11" t="str">
        <x:v>tyk_global</x:v>
      </x:c>
      <x:c r="D2786" s="11" t="str">
        <x:v>2041-12-31</x:v>
      </x:c>
      <x:c r="E2786" s="11" t="str">
        <x:v>USD</x:v>
      </x:c>
      <x:c r="F2786" s="11" t="n">
        <x:v>14.729637234770705</x:v>
      </x:c>
      <x:c r="G2786" s="26" t="b">
        <x:v>1</x:v>
      </x:c>
      <x:c r="H2786" s="16" t="n">
        <x:v>0.518</x:v>
      </x:c>
      <x:c r="I2786" s="16" t="n">
        <x:v>0.96</x:v>
      </x:c>
      <x:c r="J2786" s="16" t="n">
        <x:v>0.8799999999999999</x:v>
      </x:c>
      <x:c r="K2786" s="11" t="n">
        <x:f>CHOOSE('假设'!$B$3,H2786,I2786,J2786)</x:f>
        <x:v>0.96</x:v>
      </x:c>
      <x:c r="L2786" s="11" t="n">
        <x:f>K2786*'管线假设'!E607*'管线假设'!F607*'管线假设'!G607*IF(E2786="USD",'管线假设'!I607,1)-AM2786</x:f>
        <x:v>0.194312448</x:v>
      </x:c>
      <x:c r="M2786" s="11" t="n">
        <x:f>'管线假设'!H607</x:f>
        <x:v>0.135</x:v>
      </x:c>
      <x:c r="N2786" s="11" t="n">
        <x:f>IF(G2786,L2786*AN2786/(1+M2786)^F2786,0)</x:f>
        <x:v>0.030090647520928434</x:v>
      </x:c>
      <x:c r="AJ2786" t="n">
        <x:v>0</x:v>
      </x:c>
      <x:c r="AK2786" t="n">
        <x:v>0</x:v>
      </x:c>
      <x:c r="AL2786" t="n">
        <x:v>0</x:v>
      </x:c>
      <x:c r="AM2786" t="n">
        <x:f>CHOOSE('假设'!$B$3,AJ2786,AK2786,AL2786)</x:f>
        <x:v>0</x:v>
      </x:c>
      <x:c r="AN2786" t="n">
        <x:v>1</x:v>
      </x:c>
    </x:row>
    <x:row r="2787" ht="23" customHeight="1">
      <x:c r="A2787" s="11" t="str">
        <x:v>688382.SH</x:v>
      </x:c>
      <x:c r="B2787" s="11" t="str">
        <x:v>半年</x:v>
      </x:c>
      <x:c r="C2787" s="11" t="str">
        <x:v>tyk_global</x:v>
      </x:c>
      <x:c r="D2787" s="11" t="str">
        <x:v>2042-12-31</x:v>
      </x:c>
      <x:c r="E2787" s="11" t="str">
        <x:v>USD</x:v>
      </x:c>
      <x:c r="F2787" s="11" t="n">
        <x:v>15.728952772073923</x:v>
      </x:c>
      <x:c r="G2787" s="26" t="b">
        <x:v>1</x:v>
      </x:c>
      <x:c r="H2787" s="16" t="n">
        <x:v>0.427</x:v>
      </x:c>
      <x:c r="I2787" s="16" t="n">
        <x:v>0.7</x:v>
      </x:c>
      <x:c r="J2787" s="16" t="n">
        <x:v>0.3599999999999999</x:v>
      </x:c>
      <x:c r="K2787" s="11" t="n">
        <x:f>CHOOSE('假设'!$B$3,H2787,I2787,J2787)</x:f>
        <x:v>0.7</x:v>
      </x:c>
      <x:c r="L2787" s="11" t="n">
        <x:f>K2787*'管线假设'!E607*'管线假设'!F607*'管线假设'!G607*IF(E2787="USD",'管线假设'!I607,1)-AM2787</x:f>
        <x:v>0.14168616</x:v>
      </x:c>
      <x:c r="M2787" s="11" t="n">
        <x:f>'管线假设'!H607</x:f>
        <x:v>0.135</x:v>
      </x:c>
      <x:c r="N2787" s="11" t="n">
        <x:f>IF(G2787,L2787*AN2787/(1+M2787)^F2787,0)</x:f>
        <x:v>0.019333038753162887</x:v>
      </x:c>
      <x:c r="AJ2787" t="n">
        <x:v>0</x:v>
      </x:c>
      <x:c r="AK2787" t="n">
        <x:v>0</x:v>
      </x:c>
      <x:c r="AL2787" t="n">
        <x:v>0</x:v>
      </x:c>
      <x:c r="AM2787" t="n">
        <x:f>CHOOSE('假设'!$B$3,AJ2787,AK2787,AL2787)</x:f>
        <x:v>0</x:v>
      </x:c>
      <x:c r="AN2787" t="n">
        <x:v>1</x:v>
      </x:c>
    </x:row>
    <x:row r="2788" ht="23" customHeight="1">
      <x:c r="A2788" s="11" t="str">
        <x:v>688382.SH</x:v>
      </x:c>
      <x:c r="B2788" s="11" t="str">
        <x:v>半年</x:v>
      </x:c>
      <x:c r="C2788" s="11" t="str">
        <x:v>tyk_global</x:v>
      </x:c>
      <x:c r="D2788" s="11" t="str">
        <x:v>2043-12-31</x:v>
      </x:c>
      <x:c r="E2788" s="11" t="str">
        <x:v>USD</x:v>
      </x:c>
      <x:c r="F2788" s="11" t="n">
        <x:v>16.72826830937714</x:v>
      </x:c>
      <x:c r="G2788" s="26" t="b">
        <x:v>1</x:v>
      </x:c>
      <x:c r="H2788" s="16" t="n">
        <x:v>0.33599999999999997</x:v>
      </x:c>
      <x:c r="I2788" s="16" t="n">
        <x:v>0.43999999999999995</x:v>
      </x:c>
      <x:c r="J2788" s="16" t="n">
        <x:v>0</x:v>
      </x:c>
      <x:c r="K2788" s="11" t="n">
        <x:f>CHOOSE('假设'!$B$3,H2788,I2788,J2788)</x:f>
        <x:v>0.43999999999999995</x:v>
      </x:c>
      <x:c r="L2788" s="11" t="n">
        <x:f>K2788*'管线假设'!E607*'管线假设'!F607*'管线假设'!G607*IF(E2788="USD",'管线假设'!I607,1)-AM2788</x:f>
        <x:v>0.089059872</x:v>
      </x:c>
      <x:c r="M2788" s="11" t="n">
        <x:f>'管线假设'!H607</x:f>
        <x:v>0.135</x:v>
      </x:c>
      <x:c r="N2788" s="11" t="n">
        <x:f>IF(G2788,L2788*AN2788/(1+M2788)^F2788,0)</x:f>
        <x:v>0.010707708483594409</x:v>
      </x:c>
      <x:c r="AJ2788" t="n">
        <x:v>0</x:v>
      </x:c>
      <x:c r="AK2788" t="n">
        <x:v>0</x:v>
      </x:c>
      <x:c r="AL2788" t="n">
        <x:v>0</x:v>
      </x:c>
      <x:c r="AM2788" t="n">
        <x:f>CHOOSE('假设'!$B$3,AJ2788,AK2788,AL2788)</x:f>
        <x:v>0</x:v>
      </x:c>
      <x:c r="AN2788" t="n">
        <x:v>1</x:v>
      </x:c>
    </x:row>
    <x:row r="2789" ht="23" customHeight="1">
      <x:c r="A2789" s="11" t="str">
        <x:v>688382.SH</x:v>
      </x:c>
      <x:c r="B2789" s="11" t="str">
        <x:v>半年</x:v>
      </x:c>
      <x:c r="C2789" s="11" t="str">
        <x:v>tyk_global</x:v>
      </x:c>
      <x:c r="D2789" s="11" t="str">
        <x:v>2044-12-31</x:v>
      </x:c>
      <x:c r="E2789" s="11" t="str">
        <x:v>USD</x:v>
      </x:c>
      <x:c r="F2789" s="11" t="n">
        <x:v>17.730321697467488</x:v>
      </x:c>
      <x:c r="G2789" s="26" t="b">
        <x:v>1</x:v>
      </x:c>
      <x:c r="H2789" s="16" t="n">
        <x:v>0.24499999999999997</x:v>
      </x:c>
      <x:c r="I2789" s="16" t="n">
        <x:v>0.17999999999999994</x:v>
      </x:c>
      <x:c r="J2789" s="16" t="n">
        <x:v>0</x:v>
      </x:c>
      <x:c r="K2789" s="11" t="n">
        <x:f>CHOOSE('假设'!$B$3,H2789,I2789,J2789)</x:f>
        <x:v>0.17999999999999994</x:v>
      </x:c>
      <x:c r="L2789" s="11" t="n">
        <x:f>K2789*'管线假设'!E607*'管线假设'!F607*'管线假设'!G607*IF(E2789="USD",'管线假设'!I607,1)-AM2789</x:f>
        <x:v>0.036433584</x:v>
      </x:c>
      <x:c r="M2789" s="11" t="n">
        <x:f>'管线假设'!H607</x:f>
        <x:v>0.135</x:v>
      </x:c>
      <x:c r="N2789" s="11" t="n">
        <x:f>IF(G2789,L2789*AN2789/(1+M2789)^F2789,0)</x:f>
        <x:v>0.0038584029262610196</x:v>
      </x:c>
      <x:c r="AJ2789" t="n">
        <x:v>0</x:v>
      </x:c>
      <x:c r="AK2789" t="n">
        <x:v>0</x:v>
      </x:c>
      <x:c r="AL2789" t="n">
        <x:v>0</x:v>
      </x:c>
      <x:c r="AM2789" t="n">
        <x:f>CHOOSE('假设'!$B$3,AJ2789,AK2789,AL2789)</x:f>
        <x:v>0</x:v>
      </x:c>
      <x:c r="AN2789" t="n">
        <x:v>1</x:v>
      </x:c>
    </x:row>
    <x:row r="2790" ht="23" customHeight="1">
      <x:c r="A2790" s="11" t="str">
        <x:v>688382.SH</x:v>
      </x:c>
      <x:c r="B2790" s="11" t="str">
        <x:v>半年</x:v>
      </x:c>
      <x:c r="C2790" s="11" t="str">
        <x:v>tyk_global</x:v>
      </x:c>
      <x:c r="D2790" s="11" t="str">
        <x:v>2045-12-31</x:v>
      </x:c>
      <x:c r="E2790" s="11" t="str">
        <x:v>USD</x:v>
      </x:c>
      <x:c r="F2790" s="11" t="n">
        <x:v>18.729637234770706</x:v>
      </x:c>
      <x:c r="G2790" s="26" t="b">
        <x:v>1</x:v>
      </x:c>
      <x:c r="H2790" s="16" t="n">
        <x:v>0.15399999999999997</x:v>
      </x:c>
      <x:c r="I2790" s="16" t="n">
        <x:v>0</x:v>
      </x:c>
      <x:c r="J2790" s="16" t="n">
        <x:v>0</x:v>
      </x:c>
      <x:c r="K2790" s="11" t="n">
        <x:f>CHOOSE('假设'!$B$3,H2790,I2790,J2790)</x:f>
        <x:v>0</x:v>
      </x:c>
      <x:c r="L2790" s="11" t="n">
        <x:f>K2790*'管线假设'!E607*'管线假设'!F607*'管线假设'!G607*IF(E2790="USD",'管线假设'!I607,1)-AM2790</x:f>
        <x:v>0</x:v>
      </x:c>
      <x:c r="M2790" s="11" t="n">
        <x:f>'管线假设'!H607</x:f>
        <x:v>0.135</x:v>
      </x:c>
      <x:c r="N2790" s="11" t="n">
        <x:f>IF(G2790,L2790*AN2790/(1+M2790)^F2790,0)</x:f>
        <x:v>0</x:v>
      </x:c>
      <x:c r="AJ2790" t="n">
        <x:v>0</x:v>
      </x:c>
      <x:c r="AK2790" t="n">
        <x:v>0</x:v>
      </x:c>
      <x:c r="AL2790" t="n">
        <x:v>0</x:v>
      </x:c>
      <x:c r="AM2790" t="n">
        <x:f>CHOOSE('假设'!$B$3,AJ2790,AK2790,AL2790)</x:f>
        <x:v>0</x:v>
      </x:c>
      <x:c r="AN2790" t="n">
        <x:v>1</x:v>
      </x:c>
    </x:row>
    <x:row r="2791" ht="23" customHeight="1">
      <x:c r="A2791" s="11" t="str">
        <x:v>688382.SH</x:v>
      </x:c>
      <x:c r="B2791" s="11" t="str">
        <x:v>半年</x:v>
      </x:c>
      <x:c r="C2791" s="11" t="str">
        <x:v>serd_cn</x:v>
      </x:c>
      <x:c r="D2791" s="11" t="str">
        <x:v>2027-12-31</x:v>
      </x:c>
      <x:c r="E2791" s="11" t="str">
        <x:v>CNY</x:v>
      </x:c>
      <x:c r="F2791" s="11" t="n">
        <x:v>0.7282683093771389</x:v>
      </x:c>
      <x:c r="G2791" s="26" t="b">
        <x:v>1</x:v>
      </x:c>
      <x:c r="H2791" s="16" t="n">
        <x:v>0</x:v>
      </x:c>
      <x:c r="I2791" s="16" t="n">
        <x:v>0</x:v>
      </x:c>
      <x:c r="J2791" s="16" t="n">
        <x:v>0</x:v>
      </x:c>
      <x:c r="K2791" s="11" t="n">
        <x:f>CHOOSE('假设'!$B$3,H2791,I2791,J2791)</x:f>
        <x:v>0</x:v>
      </x:c>
      <x:c r="L2791" s="11" t="n">
        <x:f>K2791*'管线假设'!E611*'管线假设'!F611*'管线假设'!G611*IF(E2791="USD",'管线假设'!I611,1)-AM2791</x:f>
        <x:v>0</x:v>
      </x:c>
      <x:c r="M2791" s="11" t="n">
        <x:f>'管线假设'!H611</x:f>
        <x:v>0.135</x:v>
      </x:c>
      <x:c r="N2791" s="11" t="n">
        <x:f>IF(G2791,L2791*AN2791/(1+M2791)^F2791,0)</x:f>
        <x:v>0</x:v>
      </x:c>
      <x:c r="AJ2791" t="n">
        <x:v>0</x:v>
      </x:c>
      <x:c r="AK2791" t="n">
        <x:v>0</x:v>
      </x:c>
      <x:c r="AL2791" t="n">
        <x:v>0</x:v>
      </x:c>
      <x:c r="AM2791" t="n">
        <x:f>CHOOSE('假设'!$B$3,AJ2791,AK2791,AL2791)</x:f>
        <x:v>0</x:v>
      </x:c>
      <x:c r="AN2791" t="n">
        <x:v>1</x:v>
      </x:c>
    </x:row>
    <x:row r="2792" ht="23" customHeight="1">
      <x:c r="A2792" s="11" t="str">
        <x:v>688382.SH</x:v>
      </x:c>
      <x:c r="B2792" s="11" t="str">
        <x:v>半年</x:v>
      </x:c>
      <x:c r="C2792" s="11" t="str">
        <x:v>serd_cn</x:v>
      </x:c>
      <x:c r="D2792" s="11" t="str">
        <x:v>2028-12-31</x:v>
      </x:c>
      <x:c r="E2792" s="11" t="str">
        <x:v>CNY</x:v>
      </x:c>
      <x:c r="F2792" s="11" t="n">
        <x:v>1.730321697467488</x:v>
      </x:c>
      <x:c r="G2792" s="26" t="b">
        <x:v>1</x:v>
      </x:c>
      <x:c r="H2792" s="16" t="n">
        <x:v>0</x:v>
      </x:c>
      <x:c r="I2792" s="16" t="n">
        <x:v>0</x:v>
      </x:c>
      <x:c r="J2792" s="16" t="n">
        <x:v>0.4666666666666666</x:v>
      </x:c>
      <x:c r="K2792" s="11" t="n">
        <x:f>CHOOSE('假设'!$B$3,H2792,I2792,J2792)</x:f>
        <x:v>0</x:v>
      </x:c>
      <x:c r="L2792" s="11" t="n">
        <x:f>K2792*'管线假设'!E611*'管线假设'!F611*'管线假设'!G611*IF(E2792="USD",'管线假设'!I611,1)-AM2792</x:f>
        <x:v>0</x:v>
      </x:c>
      <x:c r="M2792" s="11" t="n">
        <x:f>'管线假设'!H611</x:f>
        <x:v>0.135</x:v>
      </x:c>
      <x:c r="N2792" s="11" t="n">
        <x:f>IF(G2792,L2792*AN2792/(1+M2792)^F2792,0)</x:f>
        <x:v>0</x:v>
      </x:c>
      <x:c r="AJ2792" t="n">
        <x:v>0</x:v>
      </x:c>
      <x:c r="AK2792" t="n">
        <x:v>0</x:v>
      </x:c>
      <x:c r="AL2792" t="n">
        <x:v>0</x:v>
      </x:c>
      <x:c r="AM2792" t="n">
        <x:f>CHOOSE('假设'!$B$3,AJ2792,AK2792,AL2792)</x:f>
        <x:v>0</x:v>
      </x:c>
      <x:c r="AN2792" t="n">
        <x:v>1</x:v>
      </x:c>
    </x:row>
    <x:row r="2793" ht="23" customHeight="1">
      <x:c r="A2793" s="11" t="str">
        <x:v>688382.SH</x:v>
      </x:c>
      <x:c r="B2793" s="11" t="str">
        <x:v>半年</x:v>
      </x:c>
      <x:c r="C2793" s="11" t="str">
        <x:v>serd_cn</x:v>
      </x:c>
      <x:c r="D2793" s="11" t="str">
        <x:v>2029-12-31</x:v>
      </x:c>
      <x:c r="E2793" s="11" t="str">
        <x:v>CNY</x:v>
      </x:c>
      <x:c r="F2793" s="11" t="n">
        <x:v>2.729637234770705</x:v>
      </x:c>
      <x:c r="G2793" s="26" t="b">
        <x:v>1</x:v>
      </x:c>
      <x:c r="H2793" s="16" t="n">
        <x:v>0</x:v>
      </x:c>
      <x:c r="I2793" s="16" t="n">
        <x:v>0.25</x:v>
      </x:c>
      <x:c r="J2793" s="16" t="n">
        <x:v>0.9333333333333332</x:v>
      </x:c>
      <x:c r="K2793" s="11" t="n">
        <x:f>CHOOSE('假设'!$B$3,H2793,I2793,J2793)</x:f>
        <x:v>0.25</x:v>
      </x:c>
      <x:c r="L2793" s="11" t="n">
        <x:f>K2793*'管线假设'!E611*'管线假设'!F611*'管线假设'!G611*IF(E2793="USD",'管线假设'!I611,1)-AM2793</x:f>
        <x:v>0.0357</x:v>
      </x:c>
      <x:c r="M2793" s="11" t="n">
        <x:f>'管线假设'!H611</x:f>
        <x:v>0.135</x:v>
      </x:c>
      <x:c r="N2793" s="11" t="n">
        <x:f>IF(G2793,L2793*AN2793/(1+M2793)^F2793,0)</x:f>
        <x:v>0.025266754738333314</x:v>
      </x:c>
      <x:c r="AJ2793" t="n">
        <x:v>0</x:v>
      </x:c>
      <x:c r="AK2793" t="n">
        <x:v>0</x:v>
      </x:c>
      <x:c r="AL2793" t="n">
        <x:v>0</x:v>
      </x:c>
      <x:c r="AM2793" t="n">
        <x:f>CHOOSE('假设'!$B$3,AJ2793,AK2793,AL2793)</x:f>
        <x:v>0</x:v>
      </x:c>
      <x:c r="AN2793" t="n">
        <x:v>1</x:v>
      </x:c>
    </x:row>
    <x:row r="2794" ht="23" customHeight="1">
      <x:c r="A2794" s="11" t="str">
        <x:v>688382.SH</x:v>
      </x:c>
      <x:c r="B2794" s="11" t="str">
        <x:v>半年</x:v>
      </x:c>
      <x:c r="C2794" s="11" t="str">
        <x:v>serd_cn</x:v>
      </x:c>
      <x:c r="D2794" s="11" t="str">
        <x:v>2030-12-31</x:v>
      </x:c>
      <x:c r="E2794" s="11" t="str">
        <x:v>CNY</x:v>
      </x:c>
      <x:c r="F2794" s="11" t="n">
        <x:v>3.728952772073922</x:v>
      </x:c>
      <x:c r="G2794" s="26" t="b">
        <x:v>1</x:v>
      </x:c>
      <x:c r="H2794" s="16" t="n">
        <x:v>0</x:v>
      </x:c>
      <x:c r="I2794" s="16" t="n">
        <x:v>0.5</x:v>
      </x:c>
      <x:c r="J2794" s="16" t="n">
        <x:v>1.4</x:v>
      </x:c>
      <x:c r="K2794" s="11" t="n">
        <x:f>CHOOSE('假设'!$B$3,H2794,I2794,J2794)</x:f>
        <x:v>0.5</x:v>
      </x:c>
      <x:c r="L2794" s="11" t="n">
        <x:f>K2794*'管线假设'!E611*'管线假设'!F611*'管线假设'!G611*IF(E2794="USD",'管线假设'!I611,1)-AM2794</x:f>
        <x:v>0.0714</x:v>
      </x:c>
      <x:c r="M2794" s="11" t="n">
        <x:f>'管线假设'!H611</x:f>
        <x:v>0.135</x:v>
      </x:c>
      <x:c r="N2794" s="11" t="n">
        <x:f>IF(G2794,L2794*AN2794/(1+M2794)^F2794,0)</x:f>
        <x:v>0.04452677504395335</x:v>
      </x:c>
      <x:c r="AJ2794" t="n">
        <x:v>0</x:v>
      </x:c>
      <x:c r="AK2794" t="n">
        <x:v>0</x:v>
      </x:c>
      <x:c r="AL2794" t="n">
        <x:v>0</x:v>
      </x:c>
      <x:c r="AM2794" t="n">
        <x:f>CHOOSE('假设'!$B$3,AJ2794,AK2794,AL2794)</x:f>
        <x:v>0</x:v>
      </x:c>
      <x:c r="AN2794" t="n">
        <x:v>1</x:v>
      </x:c>
    </x:row>
    <x:row r="2795" ht="23" customHeight="1">
      <x:c r="A2795" s="11" t="str">
        <x:v>688382.SH</x:v>
      </x:c>
      <x:c r="B2795" s="11" t="str">
        <x:v>半年</x:v>
      </x:c>
      <x:c r="C2795" s="11" t="str">
        <x:v>serd_cn</x:v>
      </x:c>
      <x:c r="D2795" s="11" t="str">
        <x:v>2031-12-31</x:v>
      </x:c>
      <x:c r="E2795" s="11" t="str">
        <x:v>CNY</x:v>
      </x:c>
      <x:c r="F2795" s="11" t="n">
        <x:v>4.728268309377139</x:v>
      </x:c>
      <x:c r="G2795" s="26" t="b">
        <x:v>1</x:v>
      </x:c>
      <x:c r="H2795" s="16" t="n">
        <x:v>0.12</x:v>
      </x:c>
      <x:c r="I2795" s="16" t="n">
        <x:v>0.75</x:v>
      </x:c>
      <x:c r="J2795" s="16" t="n">
        <x:v>1.8666666666666665</x:v>
      </x:c>
      <x:c r="K2795" s="11" t="n">
        <x:f>CHOOSE('假设'!$B$3,H2795,I2795,J2795)</x:f>
        <x:v>0.75</x:v>
      </x:c>
      <x:c r="L2795" s="11" t="n">
        <x:f>K2795*'管线假设'!E611*'管线假设'!F611*'管线假设'!G611*IF(E2795="USD",'管线假设'!I611,1)-AM2795</x:f>
        <x:v>0.10710000000000001</x:v>
      </x:c>
      <x:c r="M2795" s="11" t="n">
        <x:f>'管线假设'!H611</x:f>
        <x:v>0.135</x:v>
      </x:c>
      <x:c r="N2795" s="11" t="n">
        <x:f>IF(G2795,L2795*AN2795/(1+M2795)^F2795,0)</x:f>
        <x:v>0.05885105892151493</x:v>
      </x:c>
      <x:c r="AJ2795" t="n">
        <x:v>0</x:v>
      </x:c>
      <x:c r="AK2795" t="n">
        <x:v>0</x:v>
      </x:c>
      <x:c r="AL2795" t="n">
        <x:v>0</x:v>
      </x:c>
      <x:c r="AM2795" t="n">
        <x:f>CHOOSE('假设'!$B$3,AJ2795,AK2795,AL2795)</x:f>
        <x:v>0</x:v>
      </x:c>
      <x:c r="AN2795" t="n">
        <x:v>1</x:v>
      </x:c>
    </x:row>
    <x:row r="2796" ht="23" customHeight="1">
      <x:c r="A2796" s="11" t="str">
        <x:v>688382.SH</x:v>
      </x:c>
      <x:c r="B2796" s="11" t="str">
        <x:v>半年</x:v>
      </x:c>
      <x:c r="C2796" s="11" t="str">
        <x:v>serd_cn</x:v>
      </x:c>
      <x:c r="D2796" s="11" t="str">
        <x:v>2032-12-31</x:v>
      </x:c>
      <x:c r="E2796" s="11" t="str">
        <x:v>CNY</x:v>
      </x:c>
      <x:c r="F2796" s="11" t="n">
        <x:v>5.730321697467488</x:v>
      </x:c>
      <x:c r="G2796" s="26" t="b">
        <x:v>1</x:v>
      </x:c>
      <x:c r="H2796" s="16" t="n">
        <x:v>0.24</x:v>
      </x:c>
      <x:c r="I2796" s="16" t="n">
        <x:v>1</x:v>
      </x:c>
      <x:c r="J2796" s="16" t="n">
        <x:v>2.3333333333333335</x:v>
      </x:c>
      <x:c r="K2796" s="11" t="n">
        <x:f>CHOOSE('假设'!$B$3,H2796,I2796,J2796)</x:f>
        <x:v>1</x:v>
      </x:c>
      <x:c r="L2796" s="11" t="n">
        <x:f>K2796*'管线假设'!E611*'管线假设'!F611*'管线假设'!G611*IF(E2796="USD",'管线假设'!I611,1)-AM2796</x:f>
        <x:v>0.1428</x:v>
      </x:c>
      <x:c r="M2796" s="11" t="n">
        <x:f>'管线假设'!H611</x:f>
        <x:v>0.135</x:v>
      </x:c>
      <x:c r="N2796" s="11" t="n">
        <x:f>IF(G2796,L2796*AN2796/(1+M2796)^F2796,0)</x:f>
        <x:v>0.0691168964543859</x:v>
      </x:c>
      <x:c r="AJ2796" t="n">
        <x:v>0</x:v>
      </x:c>
      <x:c r="AK2796" t="n">
        <x:v>0</x:v>
      </x:c>
      <x:c r="AL2796" t="n">
        <x:v>0</x:v>
      </x:c>
      <x:c r="AM2796" t="n">
        <x:f>CHOOSE('假设'!$B$3,AJ2796,AK2796,AL2796)</x:f>
        <x:v>0</x:v>
      </x:c>
      <x:c r="AN2796" t="n">
        <x:v>1</x:v>
      </x:c>
    </x:row>
    <x:row r="2797" ht="23" customHeight="1">
      <x:c r="A2797" s="11" t="str">
        <x:v>688382.SH</x:v>
      </x:c>
      <x:c r="B2797" s="11" t="str">
        <x:v>半年</x:v>
      </x:c>
      <x:c r="C2797" s="11" t="str">
        <x:v>serd_cn</x:v>
      </x:c>
      <x:c r="D2797" s="11" t="str">
        <x:v>2033-12-31</x:v>
      </x:c>
      <x:c r="E2797" s="11" t="str">
        <x:v>CNY</x:v>
      </x:c>
      <x:c r="F2797" s="11" t="n">
        <x:v>6.729637234770705</x:v>
      </x:c>
      <x:c r="G2797" s="26" t="b">
        <x:v>1</x:v>
      </x:c>
      <x:c r="H2797" s="16" t="n">
        <x:v>0.36</x:v>
      </x:c>
      <x:c r="I2797" s="16" t="n">
        <x:v>1.25</x:v>
      </x:c>
      <x:c r="J2797" s="16" t="n">
        <x:v>2.8</x:v>
      </x:c>
      <x:c r="K2797" s="11" t="n">
        <x:f>CHOOSE('假设'!$B$3,H2797,I2797,J2797)</x:f>
        <x:v>1.25</x:v>
      </x:c>
      <x:c r="L2797" s="11" t="n">
        <x:f>K2797*'管线假设'!E611*'管线假设'!F611*'管线假设'!G611*IF(E2797="USD",'管线假设'!I611,1)-AM2797</x:f>
        <x:v>0.1785</x:v>
      </x:c>
      <x:c r="M2797" s="11" t="n">
        <x:f>'管线假设'!H611</x:f>
        <x:v>0.135</x:v>
      </x:c>
      <x:c r="N2797" s="11" t="n">
        <x:f>IF(G2797,L2797*AN2797/(1+M2797)^F2797,0)</x:f>
        <x:v>0.07612652802151236</x:v>
      </x:c>
      <x:c r="AJ2797" t="n">
        <x:v>0</x:v>
      </x:c>
      <x:c r="AK2797" t="n">
        <x:v>0</x:v>
      </x:c>
      <x:c r="AL2797" t="n">
        <x:v>0</x:v>
      </x:c>
      <x:c r="AM2797" t="n">
        <x:f>CHOOSE('假设'!$B$3,AJ2797,AK2797,AL2797)</x:f>
        <x:v>0</x:v>
      </x:c>
      <x:c r="AN2797" t="n">
        <x:v>1</x:v>
      </x:c>
    </x:row>
    <x:row r="2798" ht="23" customHeight="1">
      <x:c r="A2798" s="11" t="str">
        <x:v>688382.SH</x:v>
      </x:c>
      <x:c r="B2798" s="11" t="str">
        <x:v>半年</x:v>
      </x:c>
      <x:c r="C2798" s="11" t="str">
        <x:v>serd_cn</x:v>
      </x:c>
      <x:c r="D2798" s="11" t="str">
        <x:v>2034-12-31</x:v>
      </x:c>
      <x:c r="E2798" s="11" t="str">
        <x:v>CNY</x:v>
      </x:c>
      <x:c r="F2798" s="11" t="n">
        <x:v>7.728952772073922</x:v>
      </x:c>
      <x:c r="G2798" s="26" t="b">
        <x:v>1</x:v>
      </x:c>
      <x:c r="H2798" s="16" t="n">
        <x:v>0.48</x:v>
      </x:c>
      <x:c r="I2798" s="16" t="n">
        <x:v>1.5</x:v>
      </x:c>
      <x:c r="J2798" s="16" t="n">
        <x:v>2.436</x:v>
      </x:c>
      <x:c r="K2798" s="11" t="n">
        <x:f>CHOOSE('假设'!$B$3,H2798,I2798,J2798)</x:f>
        <x:v>1.5</x:v>
      </x:c>
      <x:c r="L2798" s="11" t="n">
        <x:f>K2798*'管线假设'!E611*'管线假设'!F611*'管线假设'!G611*IF(E2798="USD",'管线假设'!I611,1)-AM2798</x:f>
        <x:v>0.21420000000000003</x:v>
      </x:c>
      <x:c r="M2798" s="11" t="n">
        <x:f>'管线假设'!H611</x:f>
        <x:v>0.135</x:v>
      </x:c>
      <x:c r="N2798" s="11" t="n">
        <x:f>IF(G2798,L2798*AN2798/(1+M2798)^F2798,0)</x:f>
        <x:v>0.08049317349683557</x:v>
      </x:c>
      <x:c r="AJ2798" t="n">
        <x:v>0</x:v>
      </x:c>
      <x:c r="AK2798" t="n">
        <x:v>0</x:v>
      </x:c>
      <x:c r="AL2798" t="n">
        <x:v>0</x:v>
      </x:c>
      <x:c r="AM2798" t="n">
        <x:f>CHOOSE('假设'!$B$3,AJ2798,AK2798,AL2798)</x:f>
        <x:v>0</x:v>
      </x:c>
      <x:c r="AN2798" t="n">
        <x:v>1</x:v>
      </x:c>
    </x:row>
    <x:row r="2799" ht="23" customHeight="1">
      <x:c r="A2799" s="11" t="str">
        <x:v>688382.SH</x:v>
      </x:c>
      <x:c r="B2799" s="11" t="str">
        <x:v>半年</x:v>
      </x:c>
      <x:c r="C2799" s="11" t="str">
        <x:v>serd_cn</x:v>
      </x:c>
      <x:c r="D2799" s="11" t="str">
        <x:v>2035-12-31</x:v>
      </x:c>
      <x:c r="E2799" s="11" t="str">
        <x:v>CNY</x:v>
      </x:c>
      <x:c r="F2799" s="11" t="n">
        <x:v>8.728268309377139</x:v>
      </x:c>
      <x:c r="G2799" s="26" t="b">
        <x:v>1</x:v>
      </x:c>
      <x:c r="H2799" s="16" t="n">
        <x:v>0.6</x:v>
      </x:c>
      <x:c r="I2799" s="16" t="n">
        <x:v>1.305</x:v>
      </x:c>
      <x:c r="J2799" s="16" t="n">
        <x:v>2.072</x:v>
      </x:c>
      <x:c r="K2799" s="11" t="n">
        <x:f>CHOOSE('假设'!$B$3,H2799,I2799,J2799)</x:f>
        <x:v>1.305</x:v>
      </x:c>
      <x:c r="L2799" s="11" t="n">
        <x:f>K2799*'管线假设'!E611*'管线假设'!F611*'管线假设'!G611*IF(E2799="USD",'管线假设'!I611,1)-AM2799</x:f>
        <x:v>0.18635400000000002</x:v>
      </x:c>
      <x:c r="M2799" s="11" t="n">
        <x:f>'管线假设'!H611</x:f>
        <x:v>0.135</x:v>
      </x:c>
      <x:c r="N2799" s="11" t="n">
        <x:f>IF(G2799,L2799*AN2799/(1+M2799)^F2799,0)</x:f>
        <x:v>0.06170496123081487</x:v>
      </x:c>
      <x:c r="AJ2799" t="n">
        <x:v>0</x:v>
      </x:c>
      <x:c r="AK2799" t="n">
        <x:v>0</x:v>
      </x:c>
      <x:c r="AL2799" t="n">
        <x:v>0</x:v>
      </x:c>
      <x:c r="AM2799" t="n">
        <x:f>CHOOSE('假设'!$B$3,AJ2799,AK2799,AL2799)</x:f>
        <x:v>0</x:v>
      </x:c>
      <x:c r="AN2799" t="n">
        <x:v>1</x:v>
      </x:c>
    </x:row>
    <x:row r="2800" ht="23" customHeight="1">
      <x:c r="A2800" s="11" t="str">
        <x:v>688382.SH</x:v>
      </x:c>
      <x:c r="B2800" s="11" t="str">
        <x:v>半年</x:v>
      </x:c>
      <x:c r="C2800" s="11" t="str">
        <x:v>serd_cn</x:v>
      </x:c>
      <x:c r="D2800" s="11" t="str">
        <x:v>2036-12-31</x:v>
      </x:c>
      <x:c r="E2800" s="11" t="str">
        <x:v>CNY</x:v>
      </x:c>
      <x:c r="F2800" s="11" t="n">
        <x:v>9.730321697467488</x:v>
      </x:c>
      <x:c r="G2800" s="26" t="b">
        <x:v>1</x:v>
      </x:c>
      <x:c r="H2800" s="16" t="n">
        <x:v>0.522</x:v>
      </x:c>
      <x:c r="I2800" s="16" t="n">
        <x:v>1.1099999999999999</x:v>
      </x:c>
      <x:c r="J2800" s="16" t="n">
        <x:v>1.708</x:v>
      </x:c>
      <x:c r="K2800" s="11" t="n">
        <x:f>CHOOSE('假设'!$B$3,H2800,I2800,J2800)</x:f>
        <x:v>1.1099999999999999</x:v>
      </x:c>
      <x:c r="L2800" s="11" t="n">
        <x:f>K2800*'管线假设'!E611*'管线假设'!F611*'管线假设'!G611*IF(E2800="USD",'管线假设'!I611,1)-AM2800</x:f>
        <x:v>0.158508</x:v>
      </x:c>
      <x:c r="M2800" s="11" t="n">
        <x:f>'管线假设'!H611</x:f>
        <x:v>0.135</x:v>
      </x:c>
      <x:c r="N2800" s="11" t="n">
        <x:f>IF(G2800,L2800*AN2800/(1+M2800)^F2800,0)</x:f>
        <x:v>0.046229985957400854</x:v>
      </x:c>
      <x:c r="AJ2800" t="n">
        <x:v>0</x:v>
      </x:c>
      <x:c r="AK2800" t="n">
        <x:v>0</x:v>
      </x:c>
      <x:c r="AL2800" t="n">
        <x:v>0</x:v>
      </x:c>
      <x:c r="AM2800" t="n">
        <x:f>CHOOSE('假设'!$B$3,AJ2800,AK2800,AL2800)</x:f>
        <x:v>0</x:v>
      </x:c>
      <x:c r="AN2800" t="n">
        <x:v>1</x:v>
      </x:c>
    </x:row>
    <x:row r="2801" ht="23" customHeight="1">
      <x:c r="A2801" s="11" t="str">
        <x:v>688382.SH</x:v>
      </x:c>
      <x:c r="B2801" s="11" t="str">
        <x:v>半年</x:v>
      </x:c>
      <x:c r="C2801" s="11" t="str">
        <x:v>serd_cn</x:v>
      </x:c>
      <x:c r="D2801" s="11" t="str">
        <x:v>2037-12-31</x:v>
      </x:c>
      <x:c r="E2801" s="11" t="str">
        <x:v>CNY</x:v>
      </x:c>
      <x:c r="F2801" s="11" t="n">
        <x:v>10.729637234770705</x:v>
      </x:c>
      <x:c r="G2801" s="26" t="b">
        <x:v>1</x:v>
      </x:c>
      <x:c r="H2801" s="16" t="n">
        <x:v>0.444</x:v>
      </x:c>
      <x:c r="I2801" s="16" t="n">
        <x:v>0.915</x:v>
      </x:c>
      <x:c r="J2801" s="16" t="n">
        <x:v>1.3439999999999999</x:v>
      </x:c>
      <x:c r="K2801" s="11" t="n">
        <x:f>CHOOSE('假设'!$B$3,H2801,I2801,J2801)</x:f>
        <x:v>0.915</x:v>
      </x:c>
      <x:c r="L2801" s="11" t="n">
        <x:f>K2801*'管线假设'!E611*'管线假设'!F611*'管线假设'!G611*IF(E2801="USD",'管线假设'!I611,1)-AM2801</x:f>
        <x:v>0.13066200000000003</x:v>
      </x:c>
      <x:c r="M2801" s="11" t="n">
        <x:f>'管线假设'!H611</x:f>
        <x:v>0.135</x:v>
      </x:c>
      <x:c r="N2801" s="11" t="n">
        <x:f>IF(G2801,L2801*AN2801/(1+M2801)^F2801,0)</x:f>
        <x:v>0.033578682949628576</x:v>
      </x:c>
      <x:c r="AJ2801" t="n">
        <x:v>0</x:v>
      </x:c>
      <x:c r="AK2801" t="n">
        <x:v>0</x:v>
      </x:c>
      <x:c r="AL2801" t="n">
        <x:v>0</x:v>
      </x:c>
      <x:c r="AM2801" t="n">
        <x:f>CHOOSE('假设'!$B$3,AJ2801,AK2801,AL2801)</x:f>
        <x:v>0</x:v>
      </x:c>
      <x:c r="AN2801" t="n">
        <x:v>1</x:v>
      </x:c>
    </x:row>
    <x:row r="2802" ht="23" customHeight="1">
      <x:c r="A2802" s="11" t="str">
        <x:v>688382.SH</x:v>
      </x:c>
      <x:c r="B2802" s="11" t="str">
        <x:v>半年</x:v>
      </x:c>
      <x:c r="C2802" s="11" t="str">
        <x:v>serd_cn</x:v>
      </x:c>
      <x:c r="D2802" s="11" t="str">
        <x:v>2038-12-31</x:v>
      </x:c>
      <x:c r="E2802" s="11" t="str">
        <x:v>CNY</x:v>
      </x:c>
      <x:c r="F2802" s="11" t="n">
        <x:v>11.728952772073923</x:v>
      </x:c>
      <x:c r="G2802" s="26" t="b">
        <x:v>1</x:v>
      </x:c>
      <x:c r="H2802" s="16" t="n">
        <x:v>0.366</x:v>
      </x:c>
      <x:c r="I2802" s="16" t="n">
        <x:v>0.72</x:v>
      </x:c>
      <x:c r="J2802" s="16" t="n">
        <x:v>0.9799999999999999</x:v>
      </x:c>
      <x:c r="K2802" s="11" t="n">
        <x:f>CHOOSE('假设'!$B$3,H2802,I2802,J2802)</x:f>
        <x:v>0.72</x:v>
      </x:c>
      <x:c r="L2802" s="11" t="n">
        <x:f>K2802*'管线假设'!E611*'管线假设'!F611*'管线假设'!G611*IF(E2802="USD",'管线假设'!I611,1)-AM2802</x:f>
        <x:v>0.102816</x:v>
      </x:c>
      <x:c r="M2802" s="11" t="n">
        <x:f>'管线假设'!H611</x:f>
        <x:v>0.135</x:v>
      </x:c>
      <x:c r="N2802" s="11" t="n">
        <x:f>IF(G2802,L2802*AN2802/(1+M2802)^F2802,0)</x:f>
        <x:v>0.02328181539559857</x:v>
      </x:c>
      <x:c r="AJ2802" t="n">
        <x:v>0</x:v>
      </x:c>
      <x:c r="AK2802" t="n">
        <x:v>0</x:v>
      </x:c>
      <x:c r="AL2802" t="n">
        <x:v>0</x:v>
      </x:c>
      <x:c r="AM2802" t="n">
        <x:f>CHOOSE('假设'!$B$3,AJ2802,AK2802,AL2802)</x:f>
        <x:v>0</x:v>
      </x:c>
      <x:c r="AN2802" t="n">
        <x:v>1</x:v>
      </x:c>
    </x:row>
    <x:row r="2803" ht="23" customHeight="1">
      <x:c r="A2803" s="11" t="str">
        <x:v>688382.SH</x:v>
      </x:c>
      <x:c r="B2803" s="11" t="str">
        <x:v>半年</x:v>
      </x:c>
      <x:c r="C2803" s="11" t="str">
        <x:v>serd_cn</x:v>
      </x:c>
      <x:c r="D2803" s="11" t="str">
        <x:v>2039-12-31</x:v>
      </x:c>
      <x:c r="E2803" s="11" t="str">
        <x:v>CNY</x:v>
      </x:c>
      <x:c r="F2803" s="11" t="n">
        <x:v>12.728268309377139</x:v>
      </x:c>
      <x:c r="G2803" s="26" t="b">
        <x:v>1</x:v>
      </x:c>
      <x:c r="H2803" s="16" t="n">
        <x:v>0.288</x:v>
      </x:c>
      <x:c r="I2803" s="16" t="n">
        <x:v>0.5249999999999999</x:v>
      </x:c>
      <x:c r="J2803" s="16" t="n">
        <x:v>0.6159999999999999</x:v>
      </x:c>
      <x:c r="K2803" s="11" t="n">
        <x:f>CHOOSE('假设'!$B$3,H2803,I2803,J2803)</x:f>
        <x:v>0.5249999999999999</x:v>
      </x:c>
      <x:c r="L2803" s="11" t="n">
        <x:f>K2803*'管线假设'!E611*'管线假设'!F611*'管线假设'!G611*IF(E2803="USD",'管线假设'!I611,1)-AM2803</x:f>
        <x:v>0.07497</x:v>
      </x:c>
      <x:c r="M2803" s="11" t="n">
        <x:f>'管线假设'!H611</x:f>
        <x:v>0.135</x:v>
      </x:c>
      <x:c r="N2803" s="11" t="n">
        <x:f>IF(G2803,L2803*AN2803/(1+M2803)^F2803,0)</x:f>
        <x:v>0.01495840988380311</x:v>
      </x:c>
      <x:c r="AJ2803" t="n">
        <x:v>0</x:v>
      </x:c>
      <x:c r="AK2803" t="n">
        <x:v>0</x:v>
      </x:c>
      <x:c r="AL2803" t="n">
        <x:v>0</x:v>
      </x:c>
      <x:c r="AM2803" t="n">
        <x:f>CHOOSE('假设'!$B$3,AJ2803,AK2803,AL2803)</x:f>
        <x:v>0</x:v>
      </x:c>
      <x:c r="AN2803" t="n">
        <x:v>1</x:v>
      </x:c>
    </x:row>
    <x:row r="2804" ht="23" customHeight="1">
      <x:c r="A2804" s="11" t="str">
        <x:v>688382.SH</x:v>
      </x:c>
      <x:c r="B2804" s="11" t="str">
        <x:v>半年</x:v>
      </x:c>
      <x:c r="C2804" s="11" t="str">
        <x:v>serd_cn</x:v>
      </x:c>
      <x:c r="D2804" s="11" t="str">
        <x:v>2040-12-31</x:v>
      </x:c>
      <x:c r="E2804" s="11" t="str">
        <x:v>CNY</x:v>
      </x:c>
      <x:c r="F2804" s="11" t="n">
        <x:v>13.730321697467488</x:v>
      </x:c>
      <x:c r="G2804" s="26" t="b">
        <x:v>1</x:v>
      </x:c>
      <x:c r="H2804" s="16" t="n">
        <x:v>0.21</x:v>
      </x:c>
      <x:c r="I2804" s="16" t="n">
        <x:v>0.32999999999999996</x:v>
      </x:c>
      <x:c r="J2804" s="16" t="n">
        <x:v>0.2519999999999999</x:v>
      </x:c>
      <x:c r="K2804" s="11" t="n">
        <x:f>CHOOSE('假设'!$B$3,H2804,I2804,J2804)</x:f>
        <x:v>0.32999999999999996</x:v>
      </x:c>
      <x:c r="L2804" s="11" t="n">
        <x:f>K2804*'管线假设'!E611*'管线假设'!F611*'管线假设'!G611*IF(E2804="USD",'管线假设'!I611,1)-AM2804</x:f>
        <x:v>0.047124</x:v>
      </x:c>
      <x:c r="M2804" s="11" t="n">
        <x:f>'管线假设'!H611</x:f>
        <x:v>0.135</x:v>
      </x:c>
      <x:c r="N2804" s="11" t="n">
        <x:f>IF(G2804,L2804*AN2804/(1+M2804)^F2804,0)</x:f>
        <x:v>0.008281924680043623</x:v>
      </x:c>
      <x:c r="AJ2804" t="n">
        <x:v>0</x:v>
      </x:c>
      <x:c r="AK2804" t="n">
        <x:v>0</x:v>
      </x:c>
      <x:c r="AL2804" t="n">
        <x:v>0</x:v>
      </x:c>
      <x:c r="AM2804" t="n">
        <x:f>CHOOSE('假设'!$B$3,AJ2804,AK2804,AL2804)</x:f>
        <x:v>0</x:v>
      </x:c>
      <x:c r="AN2804" t="n">
        <x:v>1</x:v>
      </x:c>
    </x:row>
    <x:row r="2805" ht="23" customHeight="1">
      <x:c r="A2805" s="11" t="str">
        <x:v>688382.SH</x:v>
      </x:c>
      <x:c r="B2805" s="11" t="str">
        <x:v>半年</x:v>
      </x:c>
      <x:c r="C2805" s="11" t="str">
        <x:v>serd_cn</x:v>
      </x:c>
      <x:c r="D2805" s="11" t="str">
        <x:v>2041-12-31</x:v>
      </x:c>
      <x:c r="E2805" s="11" t="str">
        <x:v>CNY</x:v>
      </x:c>
      <x:c r="F2805" s="11" t="n">
        <x:v>14.729637234770705</x:v>
      </x:c>
      <x:c r="G2805" s="26" t="b">
        <x:v>1</x:v>
      </x:c>
      <x:c r="H2805" s="16" t="n">
        <x:v>0.13199999999999998</x:v>
      </x:c>
      <x:c r="I2805" s="16" t="n">
        <x:v>0.13499999999999995</x:v>
      </x:c>
      <x:c r="J2805" s="16" t="n">
        <x:v>0</x:v>
      </x:c>
      <x:c r="K2805" s="11" t="n">
        <x:f>CHOOSE('假设'!$B$3,H2805,I2805,J2805)</x:f>
        <x:v>0.13499999999999995</x:v>
      </x:c>
      <x:c r="L2805" s="11" t="n">
        <x:f>K2805*'管线假设'!E611*'管线假设'!F611*'管线假设'!G611*IF(E2805="USD",'管线假设'!I611,1)-AM2805</x:f>
        <x:v>0.019277999999999997</x:v>
      </x:c>
      <x:c r="M2805" s="11" t="n">
        <x:f>'管线假设'!H611</x:f>
        <x:v>0.135</x:v>
      </x:c>
      <x:c r="N2805" s="11" t="n">
        <x:f>IF(G2805,L2805*AN2805/(1+M2805)^F2805,0)</x:f>
        <x:v>0.002985333718344479</x:v>
      </x:c>
      <x:c r="AJ2805" t="n">
        <x:v>0</x:v>
      </x:c>
      <x:c r="AK2805" t="n">
        <x:v>0</x:v>
      </x:c>
      <x:c r="AL2805" t="n">
        <x:v>0</x:v>
      </x:c>
      <x:c r="AM2805" t="n">
        <x:f>CHOOSE('假设'!$B$3,AJ2805,AK2805,AL2805)</x:f>
        <x:v>0</x:v>
      </x:c>
      <x:c r="AN2805" t="n">
        <x:v>1</x:v>
      </x:c>
    </x:row>
    <x:row r="2806" ht="23" customHeight="1">
      <x:c r="A2806" s="11" t="str">
        <x:v>688382.SH</x:v>
      </x:c>
      <x:c r="B2806" s="11" t="str">
        <x:v>半年</x:v>
      </x:c>
      <x:c r="C2806" s="11" t="str">
        <x:v>serd_cn</x:v>
      </x:c>
      <x:c r="D2806" s="11" t="str">
        <x:v>2042-12-31</x:v>
      </x:c>
      <x:c r="E2806" s="11" t="str">
        <x:v>CNY</x:v>
      </x:c>
      <x:c r="F2806" s="11" t="n">
        <x:v>15.728952772073923</x:v>
      </x:c>
      <x:c r="G2806" s="26" t="b">
        <x:v>1</x:v>
      </x:c>
      <x:c r="H2806" s="16" t="n">
        <x:v>0.05399999999999998</x:v>
      </x:c>
      <x:c r="I2806" s="16" t="n">
        <x:v>0</x:v>
      </x:c>
      <x:c r="J2806" s="16" t="n">
        <x:v>0</x:v>
      </x:c>
      <x:c r="K2806" s="11" t="n">
        <x:f>CHOOSE('假设'!$B$3,H2806,I2806,J2806)</x:f>
        <x:v>0</x:v>
      </x:c>
      <x:c r="L2806" s="11" t="n">
        <x:f>K2806*'管线假设'!E611*'管线假设'!F611*'管线假设'!G611*IF(E2806="USD",'管线假设'!I611,1)-AM2806</x:f>
        <x:v>0</x:v>
      </x:c>
      <x:c r="M2806" s="11" t="n">
        <x:f>'管线假设'!H611</x:f>
        <x:v>0.135</x:v>
      </x:c>
      <x:c r="N2806" s="11" t="n">
        <x:f>IF(G2806,L2806*AN2806/(1+M2806)^F2806,0)</x:f>
        <x:v>0</x:v>
      </x:c>
      <x:c r="AJ2806" t="n">
        <x:v>0</x:v>
      </x:c>
      <x:c r="AK2806" t="n">
        <x:v>0</x:v>
      </x:c>
      <x:c r="AL2806" t="n">
        <x:v>0</x:v>
      </x:c>
      <x:c r="AM2806" t="n">
        <x:f>CHOOSE('假设'!$B$3,AJ2806,AK2806,AL2806)</x:f>
        <x:v>0</x:v>
      </x:c>
      <x:c r="AN2806" t="n">
        <x:v>1</x:v>
      </x:c>
    </x:row>
    <x:row r="2807" ht="23" customHeight="1">
      <x:c r="A2807" s="11" t="str">
        <x:v>688382.SH</x:v>
      </x:c>
      <x:c r="B2807" s="11" t="str">
        <x:v>半年</x:v>
      </x:c>
      <x:c r="C2807" s="11" t="str">
        <x:v>serd_cn</x:v>
      </x:c>
      <x:c r="D2807" s="11" t="str">
        <x:v>2043-12-31</x:v>
      </x:c>
      <x:c r="E2807" s="11" t="str">
        <x:v>CNY</x:v>
      </x:c>
      <x:c r="F2807" s="11" t="n">
        <x:v>16.72826830937714</x:v>
      </x:c>
      <x:c r="G2807" s="26" t="b">
        <x:v>1</x:v>
      </x:c>
      <x:c r="H2807" s="16" t="n">
        <x:v>0</x:v>
      </x:c>
      <x:c r="I2807" s="16" t="n">
        <x:v>0</x:v>
      </x:c>
      <x:c r="J2807" s="16" t="n">
        <x:v>0</x:v>
      </x:c>
      <x:c r="K2807" s="11" t="n">
        <x:f>CHOOSE('假设'!$B$3,H2807,I2807,J2807)</x:f>
        <x:v>0</x:v>
      </x:c>
      <x:c r="L2807" s="11" t="n">
        <x:f>K2807*'管线假设'!E611*'管线假设'!F611*'管线假设'!G611*IF(E2807="USD",'管线假设'!I611,1)-AM2807</x:f>
        <x:v>0</x:v>
      </x:c>
      <x:c r="M2807" s="11" t="n">
        <x:f>'管线假设'!H611</x:f>
        <x:v>0.135</x:v>
      </x:c>
      <x:c r="N2807" s="11" t="n">
        <x:f>IF(G2807,L2807*AN2807/(1+M2807)^F2807,0)</x:f>
        <x:v>0</x:v>
      </x:c>
      <x:c r="AJ2807" t="n">
        <x:v>0</x:v>
      </x:c>
      <x:c r="AK2807" t="n">
        <x:v>0</x:v>
      </x:c>
      <x:c r="AL2807" t="n">
        <x:v>0</x:v>
      </x:c>
      <x:c r="AM2807" t="n">
        <x:f>CHOOSE('假设'!$B$3,AJ2807,AK2807,AL2807)</x:f>
        <x:v>0</x:v>
      </x:c>
      <x:c r="AN2807" t="n">
        <x:v>1</x:v>
      </x:c>
    </x:row>
    <x:row r="2808" ht="23" customHeight="1">
      <x:c r="A2808" s="11" t="str">
        <x:v>688382.SH</x:v>
      </x:c>
      <x:c r="B2808" s="11" t="str">
        <x:v>半年</x:v>
      </x:c>
      <x:c r="C2808" s="11" t="str">
        <x:v>serd_cn</x:v>
      </x:c>
      <x:c r="D2808" s="11" t="str">
        <x:v>2044-12-31</x:v>
      </x:c>
      <x:c r="E2808" s="11" t="str">
        <x:v>CNY</x:v>
      </x:c>
      <x:c r="F2808" s="11" t="n">
        <x:v>17.730321697467488</x:v>
      </x:c>
      <x:c r="G2808" s="26" t="b">
        <x:v>1</x:v>
      </x:c>
      <x:c r="H2808" s="16" t="n">
        <x:v>0</x:v>
      </x:c>
      <x:c r="I2808" s="16" t="n">
        <x:v>0</x:v>
      </x:c>
      <x:c r="J2808" s="16" t="n">
        <x:v>0</x:v>
      </x:c>
      <x:c r="K2808" s="11" t="n">
        <x:f>CHOOSE('假设'!$B$3,H2808,I2808,J2808)</x:f>
        <x:v>0</x:v>
      </x:c>
      <x:c r="L2808" s="11" t="n">
        <x:f>K2808*'管线假设'!E611*'管线假设'!F611*'管线假设'!G611*IF(E2808="USD",'管线假设'!I611,1)-AM2808</x:f>
        <x:v>0</x:v>
      </x:c>
      <x:c r="M2808" s="11" t="n">
        <x:f>'管线假设'!H611</x:f>
        <x:v>0.135</x:v>
      </x:c>
      <x:c r="N2808" s="11" t="n">
        <x:f>IF(G2808,L2808*AN2808/(1+M2808)^F2808,0)</x:f>
        <x:v>0</x:v>
      </x:c>
      <x:c r="AJ2808" t="n">
        <x:v>0</x:v>
      </x:c>
      <x:c r="AK2808" t="n">
        <x:v>0</x:v>
      </x:c>
      <x:c r="AL2808" t="n">
        <x:v>0</x:v>
      </x:c>
      <x:c r="AM2808" t="n">
        <x:f>CHOOSE('假设'!$B$3,AJ2808,AK2808,AL2808)</x:f>
        <x:v>0</x:v>
      </x:c>
      <x:c r="AN2808" t="n">
        <x:v>1</x:v>
      </x:c>
    </x:row>
    <x:row r="2809" ht="23" customHeight="1">
      <x:c r="A2809" s="11" t="str">
        <x:v>688382.SH</x:v>
      </x:c>
      <x:c r="B2809" s="11" t="str">
        <x:v>半年</x:v>
      </x:c>
      <x:c r="C2809" s="11" t="str">
        <x:v>serd_cn</x:v>
      </x:c>
      <x:c r="D2809" s="11" t="str">
        <x:v>2045-12-31</x:v>
      </x:c>
      <x:c r="E2809" s="11" t="str">
        <x:v>CNY</x:v>
      </x:c>
      <x:c r="F2809" s="11" t="n">
        <x:v>18.729637234770706</x:v>
      </x:c>
      <x:c r="G2809" s="26" t="b">
        <x:v>1</x:v>
      </x:c>
      <x:c r="H2809" s="16" t="n">
        <x:v>0</x:v>
      </x:c>
      <x:c r="I2809" s="16" t="n">
        <x:v>0</x:v>
      </x:c>
      <x:c r="J2809" s="16" t="n">
        <x:v>0</x:v>
      </x:c>
      <x:c r="K2809" s="11" t="n">
        <x:f>CHOOSE('假设'!$B$3,H2809,I2809,J2809)</x:f>
        <x:v>0</x:v>
      </x:c>
      <x:c r="L2809" s="11" t="n">
        <x:f>K2809*'管线假设'!E611*'管线假设'!F611*'管线假设'!G611*IF(E2809="USD",'管线假设'!I611,1)-AM2809</x:f>
        <x:v>0</x:v>
      </x:c>
      <x:c r="M2809" s="11" t="n">
        <x:f>'管线假设'!H611</x:f>
        <x:v>0.135</x:v>
      </x:c>
      <x:c r="N2809" s="11" t="n">
        <x:f>IF(G2809,L2809*AN2809/(1+M2809)^F2809,0)</x:f>
        <x:v>0</x:v>
      </x:c>
      <x:c r="AJ2809" t="n">
        <x:v>0</x:v>
      </x:c>
      <x:c r="AK2809" t="n">
        <x:v>0</x:v>
      </x:c>
      <x:c r="AL2809" t="n">
        <x:v>0</x:v>
      </x:c>
      <x:c r="AM2809" t="n">
        <x:f>CHOOSE('假设'!$B$3,AJ2809,AK2809,AL2809)</x:f>
        <x:v>0</x:v>
      </x:c>
      <x:c r="AN2809" t="n">
        <x:v>1</x:v>
      </x:c>
    </x:row>
    <x:row r="2810" ht="23" customHeight="1">
      <x:c r="A2810" s="11" t="str">
        <x:v>688382.SH</x:v>
      </x:c>
      <x:c r="B2810" s="11" t="str">
        <x:v>半年</x:v>
      </x:c>
      <x:c r="C2810" s="11" t="str">
        <x:v>serd_adc</x:v>
      </x:c>
      <x:c r="D2810" s="11" t="str">
        <x:v>2027-12-31</x:v>
      </x:c>
      <x:c r="E2810" s="11" t="str">
        <x:v>CNY</x:v>
      </x:c>
      <x:c r="F2810" s="11" t="n">
        <x:v>0.7282683093771389</x:v>
      </x:c>
      <x:c r="G2810" s="26" t="b">
        <x:v>1</x:v>
      </x:c>
      <x:c r="H2810" s="16" t="n">
        <x:v>0</x:v>
      </x:c>
      <x:c r="I2810" s="16" t="n">
        <x:v>0</x:v>
      </x:c>
      <x:c r="J2810" s="16" t="n">
        <x:v>0</x:v>
      </x:c>
      <x:c r="K2810" s="11" t="n">
        <x:f>CHOOSE('假设'!$B$3,H2810,I2810,J2810)</x:f>
        <x:v>0</x:v>
      </x:c>
      <x:c r="L2810" s="11" t="n">
        <x:f>K2810*'管线假设'!E615*'管线假设'!F615*'管线假设'!G615*IF(E2810="USD",'管线假设'!I615,1)-AM2810</x:f>
        <x:v>0</x:v>
      </x:c>
      <x:c r="M2810" s="11" t="n">
        <x:f>'管线假设'!H615</x:f>
        <x:v>0.135</x:v>
      </x:c>
      <x:c r="N2810" s="11" t="n">
        <x:f>IF(G2810,L2810*AN2810/(1+M2810)^F2810,0)</x:f>
        <x:v>0</x:v>
      </x:c>
      <x:c r="AJ2810" t="n">
        <x:v>0</x:v>
      </x:c>
      <x:c r="AK2810" t="n">
        <x:v>0</x:v>
      </x:c>
      <x:c r="AL2810" t="n">
        <x:v>0</x:v>
      </x:c>
      <x:c r="AM2810" t="n">
        <x:f>CHOOSE('假设'!$B$3,AJ2810,AK2810,AL2810)</x:f>
        <x:v>0</x:v>
      </x:c>
      <x:c r="AN2810" t="n">
        <x:v>1</x:v>
      </x:c>
    </x:row>
    <x:row r="2811" ht="23" customHeight="1">
      <x:c r="A2811" s="11" t="str">
        <x:v>688382.SH</x:v>
      </x:c>
      <x:c r="B2811" s="11" t="str">
        <x:v>半年</x:v>
      </x:c>
      <x:c r="C2811" s="11" t="str">
        <x:v>serd_adc</x:v>
      </x:c>
      <x:c r="D2811" s="11" t="str">
        <x:v>2028-12-31</x:v>
      </x:c>
      <x:c r="E2811" s="11" t="str">
        <x:v>CNY</x:v>
      </x:c>
      <x:c r="F2811" s="11" t="n">
        <x:v>1.730321697467488</x:v>
      </x:c>
      <x:c r="G2811" s="26" t="b">
        <x:v>1</x:v>
      </x:c>
      <x:c r="H2811" s="16" t="n">
        <x:v>0</x:v>
      </x:c>
      <x:c r="I2811" s="16" t="n">
        <x:v>0</x:v>
      </x:c>
      <x:c r="J2811" s="16" t="n">
        <x:v>0</x:v>
      </x:c>
      <x:c r="K2811" s="11" t="n">
        <x:f>CHOOSE('假设'!$B$3,H2811,I2811,J2811)</x:f>
        <x:v>0</x:v>
      </x:c>
      <x:c r="L2811" s="11" t="n">
        <x:f>K2811*'管线假设'!E615*'管线假设'!F615*'管线假设'!G615*IF(E2811="USD",'管线假设'!I615,1)-AM2811</x:f>
        <x:v>0</x:v>
      </x:c>
      <x:c r="M2811" s="11" t="n">
        <x:f>'管线假设'!H615</x:f>
        <x:v>0.135</x:v>
      </x:c>
      <x:c r="N2811" s="11" t="n">
        <x:f>IF(G2811,L2811*AN2811/(1+M2811)^F2811,0)</x:f>
        <x:v>0</x:v>
      </x:c>
      <x:c r="AJ2811" t="n">
        <x:v>0</x:v>
      </x:c>
      <x:c r="AK2811" t="n">
        <x:v>0</x:v>
      </x:c>
      <x:c r="AL2811" t="n">
        <x:v>0</x:v>
      </x:c>
      <x:c r="AM2811" t="n">
        <x:f>CHOOSE('假设'!$B$3,AJ2811,AK2811,AL2811)</x:f>
        <x:v>0</x:v>
      </x:c>
      <x:c r="AN2811" t="n">
        <x:v>1</x:v>
      </x:c>
    </x:row>
    <x:row r="2812" ht="23" customHeight="1">
      <x:c r="A2812" s="11" t="str">
        <x:v>688382.SH</x:v>
      </x:c>
      <x:c r="B2812" s="11" t="str">
        <x:v>半年</x:v>
      </x:c>
      <x:c r="C2812" s="11" t="str">
        <x:v>serd_adc</x:v>
      </x:c>
      <x:c r="D2812" s="11" t="str">
        <x:v>2029-12-31</x:v>
      </x:c>
      <x:c r="E2812" s="11" t="str">
        <x:v>CNY</x:v>
      </x:c>
      <x:c r="F2812" s="11" t="n">
        <x:v>2.729637234770705</x:v>
      </x:c>
      <x:c r="G2812" s="26" t="b">
        <x:v>1</x:v>
      </x:c>
      <x:c r="H2812" s="16" t="n">
        <x:v>0</x:v>
      </x:c>
      <x:c r="I2812" s="16" t="n">
        <x:v>0</x:v>
      </x:c>
      <x:c r="J2812" s="16" t="n">
        <x:v>0</x:v>
      </x:c>
      <x:c r="K2812" s="11" t="n">
        <x:f>CHOOSE('假设'!$B$3,H2812,I2812,J2812)</x:f>
        <x:v>0</x:v>
      </x:c>
      <x:c r="L2812" s="11" t="n">
        <x:f>K2812*'管线假设'!E615*'管线假设'!F615*'管线假设'!G615*IF(E2812="USD",'管线假设'!I615,1)-AM2812</x:f>
        <x:v>0</x:v>
      </x:c>
      <x:c r="M2812" s="11" t="n">
        <x:f>'管线假设'!H615</x:f>
        <x:v>0.135</x:v>
      </x:c>
      <x:c r="N2812" s="11" t="n">
        <x:f>IF(G2812,L2812*AN2812/(1+M2812)^F2812,0)</x:f>
        <x:v>0</x:v>
      </x:c>
      <x:c r="AJ2812" t="n">
        <x:v>0</x:v>
      </x:c>
      <x:c r="AK2812" t="n">
        <x:v>0</x:v>
      </x:c>
      <x:c r="AL2812" t="n">
        <x:v>0</x:v>
      </x:c>
      <x:c r="AM2812" t="n">
        <x:f>CHOOSE('假设'!$B$3,AJ2812,AK2812,AL2812)</x:f>
        <x:v>0</x:v>
      </x:c>
      <x:c r="AN2812" t="n">
        <x:v>1</x:v>
      </x:c>
    </x:row>
    <x:row r="2813" ht="23" customHeight="1">
      <x:c r="A2813" s="11" t="str">
        <x:v>688382.SH</x:v>
      </x:c>
      <x:c r="B2813" s="11" t="str">
        <x:v>半年</x:v>
      </x:c>
      <x:c r="C2813" s="11" t="str">
        <x:v>serd_adc</x:v>
      </x:c>
      <x:c r="D2813" s="11" t="str">
        <x:v>2030-12-31</x:v>
      </x:c>
      <x:c r="E2813" s="11" t="str">
        <x:v>CNY</x:v>
      </x:c>
      <x:c r="F2813" s="11" t="n">
        <x:v>3.728952772073922</x:v>
      </x:c>
      <x:c r="G2813" s="26" t="b">
        <x:v>1</x:v>
      </x:c>
      <x:c r="H2813" s="16" t="n">
        <x:v>0</x:v>
      </x:c>
      <x:c r="I2813" s="16" t="n">
        <x:v>0</x:v>
      </x:c>
      <x:c r="J2813" s="16" t="n">
        <x:v>0.26666666666666666</x:v>
      </x:c>
      <x:c r="K2813" s="11" t="n">
        <x:f>CHOOSE('假设'!$B$3,H2813,I2813,J2813)</x:f>
        <x:v>0</x:v>
      </x:c>
      <x:c r="L2813" s="11" t="n">
        <x:f>K2813*'管线假设'!E615*'管线假设'!F615*'管线假设'!G615*IF(E2813="USD",'管线假设'!I615,1)-AM2813</x:f>
        <x:v>0</x:v>
      </x:c>
      <x:c r="M2813" s="11" t="n">
        <x:f>'管线假设'!H615</x:f>
        <x:v>0.135</x:v>
      </x:c>
      <x:c r="N2813" s="11" t="n">
        <x:f>IF(G2813,L2813*AN2813/(1+M2813)^F2813,0)</x:f>
        <x:v>0</x:v>
      </x:c>
      <x:c r="AJ2813" t="n">
        <x:v>0</x:v>
      </x:c>
      <x:c r="AK2813" t="n">
        <x:v>0</x:v>
      </x:c>
      <x:c r="AL2813" t="n">
        <x:v>0</x:v>
      </x:c>
      <x:c r="AM2813" t="n">
        <x:f>CHOOSE('假设'!$B$3,AJ2813,AK2813,AL2813)</x:f>
        <x:v>0</x:v>
      </x:c>
      <x:c r="AN2813" t="n">
        <x:v>1</x:v>
      </x:c>
    </x:row>
    <x:row r="2814" ht="23" customHeight="1">
      <x:c r="A2814" s="11" t="str">
        <x:v>688382.SH</x:v>
      </x:c>
      <x:c r="B2814" s="11" t="str">
        <x:v>半年</x:v>
      </x:c>
      <x:c r="C2814" s="11" t="str">
        <x:v>serd_adc</x:v>
      </x:c>
      <x:c r="D2814" s="11" t="str">
        <x:v>2031-12-31</x:v>
      </x:c>
      <x:c r="E2814" s="11" t="str">
        <x:v>CNY</x:v>
      </x:c>
      <x:c r="F2814" s="11" t="n">
        <x:v>4.728268309377139</x:v>
      </x:c>
      <x:c r="G2814" s="26" t="b">
        <x:v>1</x:v>
      </x:c>
      <x:c r="H2814" s="16" t="n">
        <x:v>0</x:v>
      </x:c>
      <x:c r="I2814" s="16" t="n">
        <x:v>0</x:v>
      </x:c>
      <x:c r="J2814" s="16" t="n">
        <x:v>0.5333333333333333</x:v>
      </x:c>
      <x:c r="K2814" s="11" t="n">
        <x:f>CHOOSE('假设'!$B$3,H2814,I2814,J2814)</x:f>
        <x:v>0</x:v>
      </x:c>
      <x:c r="L2814" s="11" t="n">
        <x:f>K2814*'管线假设'!E615*'管线假设'!F615*'管线假设'!G615*IF(E2814="USD",'管线假设'!I615,1)-AM2814</x:f>
        <x:v>0</x:v>
      </x:c>
      <x:c r="M2814" s="11" t="n">
        <x:f>'管线假设'!H615</x:f>
        <x:v>0.135</x:v>
      </x:c>
      <x:c r="N2814" s="11" t="n">
        <x:f>IF(G2814,L2814*AN2814/(1+M2814)^F2814,0)</x:f>
        <x:v>0</x:v>
      </x:c>
      <x:c r="AJ2814" t="n">
        <x:v>0</x:v>
      </x:c>
      <x:c r="AK2814" t="n">
        <x:v>0</x:v>
      </x:c>
      <x:c r="AL2814" t="n">
        <x:v>0</x:v>
      </x:c>
      <x:c r="AM2814" t="n">
        <x:f>CHOOSE('假设'!$B$3,AJ2814,AK2814,AL2814)</x:f>
        <x:v>0</x:v>
      </x:c>
      <x:c r="AN2814" t="n">
        <x:v>1</x:v>
      </x:c>
    </x:row>
    <x:row r="2815" ht="23" customHeight="1">
      <x:c r="A2815" s="11" t="str">
        <x:v>688382.SH</x:v>
      </x:c>
      <x:c r="B2815" s="11" t="str">
        <x:v>半年</x:v>
      </x:c>
      <x:c r="C2815" s="11" t="str">
        <x:v>serd_adc</x:v>
      </x:c>
      <x:c r="D2815" s="11" t="str">
        <x:v>2032-12-31</x:v>
      </x:c>
      <x:c r="E2815" s="11" t="str">
        <x:v>CNY</x:v>
      </x:c>
      <x:c r="F2815" s="11" t="n">
        <x:v>5.730321697467488</x:v>
      </x:c>
      <x:c r="G2815" s="26" t="b">
        <x:v>1</x:v>
      </x:c>
      <x:c r="H2815" s="16" t="n">
        <x:v>0</x:v>
      </x:c>
      <x:c r="I2815" s="16" t="n">
        <x:v>0.13333333333333333</x:v>
      </x:c>
      <x:c r="J2815" s="16" t="n">
        <x:v>0.8</x:v>
      </x:c>
      <x:c r="K2815" s="11" t="n">
        <x:f>CHOOSE('假设'!$B$3,H2815,I2815,J2815)</x:f>
        <x:v>0.13333333333333333</x:v>
      </x:c>
      <x:c r="L2815" s="11" t="n">
        <x:f>K2815*'管线假设'!E615*'管线假设'!F615*'管线假设'!G615*IF(E2815="USD",'管线假设'!I615,1)-AM2815</x:f>
        <x:v>0.005237333333333331</x:v>
      </x:c>
      <x:c r="M2815" s="11" t="n">
        <x:f>'管线假设'!H615</x:f>
        <x:v>0.135</x:v>
      </x:c>
      <x:c r="N2815" s="11" t="n">
        <x:f>IF(G2815,L2815*AN2815/(1+M2815)^F2815,0)</x:f>
        <x:v>0.002534931552500725</x:v>
      </x:c>
      <x:c r="AJ2815" t="n">
        <x:v>0</x:v>
      </x:c>
      <x:c r="AK2815" t="n">
        <x:v>0</x:v>
      </x:c>
      <x:c r="AL2815" t="n">
        <x:v>0</x:v>
      </x:c>
      <x:c r="AM2815" t="n">
        <x:f>CHOOSE('假设'!$B$3,AJ2815,AK2815,AL2815)</x:f>
        <x:v>0</x:v>
      </x:c>
      <x:c r="AN2815" t="n">
        <x:v>1</x:v>
      </x:c>
    </x:row>
    <x:row r="2816" ht="23" customHeight="1">
      <x:c r="A2816" s="11" t="str">
        <x:v>688382.SH</x:v>
      </x:c>
      <x:c r="B2816" s="11" t="str">
        <x:v>半年</x:v>
      </x:c>
      <x:c r="C2816" s="11" t="str">
        <x:v>serd_adc</x:v>
      </x:c>
      <x:c r="D2816" s="11" t="str">
        <x:v>2033-12-31</x:v>
      </x:c>
      <x:c r="E2816" s="11" t="str">
        <x:v>CNY</x:v>
      </x:c>
      <x:c r="F2816" s="11" t="n">
        <x:v>6.729637234770705</x:v>
      </x:c>
      <x:c r="G2816" s="26" t="b">
        <x:v>1</x:v>
      </x:c>
      <x:c r="H2816" s="16" t="n">
        <x:v>0</x:v>
      </x:c>
      <x:c r="I2816" s="16" t="n">
        <x:v>0.26666666666666666</x:v>
      </x:c>
      <x:c r="J2816" s="16" t="n">
        <x:v>1.0666666666666667</x:v>
      </x:c>
      <x:c r="K2816" s="11" t="n">
        <x:f>CHOOSE('假设'!$B$3,H2816,I2816,J2816)</x:f>
        <x:v>0.26666666666666666</x:v>
      </x:c>
      <x:c r="L2816" s="11" t="n">
        <x:f>K2816*'管线假设'!E615*'管线假设'!F615*'管线假设'!G615*IF(E2816="USD",'管线假设'!I615,1)-AM2816</x:f>
        <x:v>0.010474666666666662</x:v>
      </x:c>
      <x:c r="M2816" s="11" t="n">
        <x:f>'管线假设'!H615</x:f>
        <x:v>0.135</x:v>
      </x:c>
      <x:c r="N2816" s="11" t="n">
        <x:f>IF(G2816,L2816*AN2816/(1+M2816)^F2816,0)</x:f>
        <x:v>0.00446722692165827</x:v>
      </x:c>
      <x:c r="AJ2816" t="n">
        <x:v>0</x:v>
      </x:c>
      <x:c r="AK2816" t="n">
        <x:v>0</x:v>
      </x:c>
      <x:c r="AL2816" t="n">
        <x:v>0</x:v>
      </x:c>
      <x:c r="AM2816" t="n">
        <x:f>CHOOSE('假设'!$B$3,AJ2816,AK2816,AL2816)</x:f>
        <x:v>0</x:v>
      </x:c>
      <x:c r="AN2816" t="n">
        <x:v>1</x:v>
      </x:c>
    </x:row>
    <x:row r="2817" ht="23" customHeight="1">
      <x:c r="A2817" s="11" t="str">
        <x:v>688382.SH</x:v>
      </x:c>
      <x:c r="B2817" s="11" t="str">
        <x:v>半年</x:v>
      </x:c>
      <x:c r="C2817" s="11" t="str">
        <x:v>serd_adc</x:v>
      </x:c>
      <x:c r="D2817" s="11" t="str">
        <x:v>2034-12-31</x:v>
      </x:c>
      <x:c r="E2817" s="11" t="str">
        <x:v>CNY</x:v>
      </x:c>
      <x:c r="F2817" s="11" t="n">
        <x:v>7.728952772073922</x:v>
      </x:c>
      <x:c r="G2817" s="26" t="b">
        <x:v>1</x:v>
      </x:c>
      <x:c r="H2817" s="16" t="n">
        <x:v>0</x:v>
      </x:c>
      <x:c r="I2817" s="16" t="n">
        <x:v>0.4</x:v>
      </x:c>
      <x:c r="J2817" s="16" t="n">
        <x:v>1.3333333333333335</x:v>
      </x:c>
      <x:c r="K2817" s="11" t="n">
        <x:f>CHOOSE('假设'!$B$3,H2817,I2817,J2817)</x:f>
        <x:v>0.4</x:v>
      </x:c>
      <x:c r="L2817" s="11" t="n">
        <x:f>K2817*'管线假设'!E615*'管线假设'!F615*'管线假设'!G615*IF(E2817="USD",'管线假设'!I615,1)-AM2817</x:f>
        <x:v>0.015711999999999993</x:v>
      </x:c>
      <x:c r="M2817" s="11" t="n">
        <x:f>'管线假设'!H615</x:f>
        <x:v>0.135</x:v>
      </x:c>
      <x:c r="N2817" s="11" t="n">
        <x:f>IF(G2817,L2817*AN2817/(1+M2817)^F2817,0)</x:f>
        <x:v>0.005904335863596078</x:v>
      </x:c>
      <x:c r="AJ2817" t="n">
        <x:v>0</x:v>
      </x:c>
      <x:c r="AK2817" t="n">
        <x:v>0</x:v>
      </x:c>
      <x:c r="AL2817" t="n">
        <x:v>0</x:v>
      </x:c>
      <x:c r="AM2817" t="n">
        <x:f>CHOOSE('假设'!$B$3,AJ2817,AK2817,AL2817)</x:f>
        <x:v>0</x:v>
      </x:c>
      <x:c r="AN2817" t="n">
        <x:v>1</x:v>
      </x:c>
    </x:row>
    <x:row r="2818" ht="23" customHeight="1">
      <x:c r="A2818" s="11" t="str">
        <x:v>688382.SH</x:v>
      </x:c>
      <x:c r="B2818" s="11" t="str">
        <x:v>半年</x:v>
      </x:c>
      <x:c r="C2818" s="11" t="str">
        <x:v>serd_adc</x:v>
      </x:c>
      <x:c r="D2818" s="11" t="str">
        <x:v>2035-12-31</x:v>
      </x:c>
      <x:c r="E2818" s="11" t="str">
        <x:v>CNY</x:v>
      </x:c>
      <x:c r="F2818" s="11" t="n">
        <x:v>8.728268309377139</x:v>
      </x:c>
      <x:c r="G2818" s="26" t="b">
        <x:v>1</x:v>
      </x:c>
      <x:c r="H2818" s="16" t="n">
        <x:v>0.06</x:v>
      </x:c>
      <x:c r="I2818" s="16" t="n">
        <x:v>0.5333333333333333</x:v>
      </x:c>
      <x:c r="J2818" s="16" t="n">
        <x:v>1.6</x:v>
      </x:c>
      <x:c r="K2818" s="11" t="n">
        <x:f>CHOOSE('假设'!$B$3,H2818,I2818,J2818)</x:f>
        <x:v>0.5333333333333333</x:v>
      </x:c>
      <x:c r="L2818" s="11" t="n">
        <x:f>K2818*'管线假设'!E615*'管线假设'!F615*'管线假设'!G615*IF(E2818="USD",'管线假设'!I615,1)-AM2818</x:f>
        <x:v>0.020949333333333323</x:v>
      </x:c>
      <x:c r="M2818" s="11" t="n">
        <x:f>'管线假设'!H615</x:f>
        <x:v>0.135</x:v>
      </x:c>
      <x:c r="N2818" s="11" t="n">
        <x:f>IF(G2818,L2818*AN2818/(1+M2818)^F2818,0)</x:f>
        <x:v>0.006936678585620647</x:v>
      </x:c>
      <x:c r="AJ2818" t="n">
        <x:v>0</x:v>
      </x:c>
      <x:c r="AK2818" t="n">
        <x:v>0</x:v>
      </x:c>
      <x:c r="AL2818" t="n">
        <x:v>0</x:v>
      </x:c>
      <x:c r="AM2818" t="n">
        <x:f>CHOOSE('假设'!$B$3,AJ2818,AK2818,AL2818)</x:f>
        <x:v>0</x:v>
      </x:c>
      <x:c r="AN2818" t="n">
        <x:v>1</x:v>
      </x:c>
    </x:row>
    <x:row r="2819" ht="23" customHeight="1">
      <x:c r="A2819" s="11" t="str">
        <x:v>688382.SH</x:v>
      </x:c>
      <x:c r="B2819" s="11" t="str">
        <x:v>半年</x:v>
      </x:c>
      <x:c r="C2819" s="11" t="str">
        <x:v>serd_adc</x:v>
      </x:c>
      <x:c r="D2819" s="11" t="str">
        <x:v>2036-12-31</x:v>
      </x:c>
      <x:c r="E2819" s="11" t="str">
        <x:v>CNY</x:v>
      </x:c>
      <x:c r="F2819" s="11" t="n">
        <x:v>9.730321697467488</x:v>
      </x:c>
      <x:c r="G2819" s="26" t="b">
        <x:v>1</x:v>
      </x:c>
      <x:c r="H2819" s="16" t="n">
        <x:v>0.12</x:v>
      </x:c>
      <x:c r="I2819" s="16" t="n">
        <x:v>0.6666666666666667</x:v>
      </x:c>
      <x:c r="J2819" s="16" t="n">
        <x:v>1.3920000000000001</x:v>
      </x:c>
      <x:c r="K2819" s="11" t="n">
        <x:f>CHOOSE('假设'!$B$3,H2819,I2819,J2819)</x:f>
        <x:v>0.6666666666666667</x:v>
      </x:c>
      <x:c r="L2819" s="11" t="n">
        <x:f>K2819*'管线假设'!E615*'管线假设'!F615*'管线假设'!G615*IF(E2819="USD",'管线假设'!I615,1)-AM2819</x:f>
        <x:v>0.02618666666666666</x:v>
      </x:c>
      <x:c r="M2819" s="11" t="n">
        <x:f>'管线假设'!H615</x:f>
        <x:v>0.135</x:v>
      </x:c>
      <x:c r="N2819" s="11" t="n">
        <x:f>IF(G2819,L2819*AN2819/(1+M2819)^F2819,0)</x:f>
        <x:v>0.007637527647002906</x:v>
      </x:c>
      <x:c r="AJ2819" t="n">
        <x:v>0</x:v>
      </x:c>
      <x:c r="AK2819" t="n">
        <x:v>0</x:v>
      </x:c>
      <x:c r="AL2819" t="n">
        <x:v>0</x:v>
      </x:c>
      <x:c r="AM2819" t="n">
        <x:f>CHOOSE('假设'!$B$3,AJ2819,AK2819,AL2819)</x:f>
        <x:v>0</x:v>
      </x:c>
      <x:c r="AN2819" t="n">
        <x:v>1</x:v>
      </x:c>
    </x:row>
    <x:row r="2820" ht="23" customHeight="1">
      <x:c r="A2820" s="11" t="str">
        <x:v>688382.SH</x:v>
      </x:c>
      <x:c r="B2820" s="11" t="str">
        <x:v>半年</x:v>
      </x:c>
      <x:c r="C2820" s="11" t="str">
        <x:v>serd_adc</x:v>
      </x:c>
      <x:c r="D2820" s="11" t="str">
        <x:v>2037-12-31</x:v>
      </x:c>
      <x:c r="E2820" s="11" t="str">
        <x:v>CNY</x:v>
      </x:c>
      <x:c r="F2820" s="11" t="n">
        <x:v>10.729637234770705</x:v>
      </x:c>
      <x:c r="G2820" s="26" t="b">
        <x:v>1</x:v>
      </x:c>
      <x:c r="H2820" s="16" t="n">
        <x:v>0.18</x:v>
      </x:c>
      <x:c r="I2820" s="16" t="n">
        <x:v>0.8</x:v>
      </x:c>
      <x:c r="J2820" s="16" t="n">
        <x:v>1.184</x:v>
      </x:c>
      <x:c r="K2820" s="11" t="n">
        <x:f>CHOOSE('假设'!$B$3,H2820,I2820,J2820)</x:f>
        <x:v>0.8</x:v>
      </x:c>
      <x:c r="L2820" s="11" t="n">
        <x:f>K2820*'管线假设'!E615*'管线假设'!F615*'管线假设'!G615*IF(E2820="USD",'管线假设'!I615,1)-AM2820</x:f>
        <x:v>0.03142399999999999</x:v>
      </x:c>
      <x:c r="M2820" s="11" t="n">
        <x:f>'管线假设'!H615</x:f>
        <x:v>0.135</x:v>
      </x:c>
      <x:c r="N2820" s="11" t="n">
        <x:f>IF(G2820,L2820*AN2820/(1+M2820)^F2820,0)</x:f>
        <x:v>0.008075619024728902</x:v>
      </x:c>
      <x:c r="AJ2820" t="n">
        <x:v>0</x:v>
      </x:c>
      <x:c r="AK2820" t="n">
        <x:v>0</x:v>
      </x:c>
      <x:c r="AL2820" t="n">
        <x:v>0</x:v>
      </x:c>
      <x:c r="AM2820" t="n">
        <x:f>CHOOSE('假设'!$B$3,AJ2820,AK2820,AL2820)</x:f>
        <x:v>0</x:v>
      </x:c>
      <x:c r="AN2820" t="n">
        <x:v>1</x:v>
      </x:c>
    </x:row>
    <x:row r="2821" ht="23" customHeight="1">
      <x:c r="A2821" s="11" t="str">
        <x:v>688382.SH</x:v>
      </x:c>
      <x:c r="B2821" s="11" t="str">
        <x:v>半年</x:v>
      </x:c>
      <x:c r="C2821" s="11" t="str">
        <x:v>serd_adc</x:v>
      </x:c>
      <x:c r="D2821" s="11" t="str">
        <x:v>2038-12-31</x:v>
      </x:c>
      <x:c r="E2821" s="11" t="str">
        <x:v>CNY</x:v>
      </x:c>
      <x:c r="F2821" s="11" t="n">
        <x:v>11.728952772073923</x:v>
      </x:c>
      <x:c r="G2821" s="26" t="b">
        <x:v>1</x:v>
      </x:c>
      <x:c r="H2821" s="16" t="n">
        <x:v>0.24</x:v>
      </x:c>
      <x:c r="I2821" s="16" t="n">
        <x:v>0.6960000000000001</x:v>
      </x:c>
      <x:c r="J2821" s="16" t="n">
        <x:v>0.976</x:v>
      </x:c>
      <x:c r="K2821" s="11" t="n">
        <x:f>CHOOSE('假设'!$B$3,H2821,I2821,J2821)</x:f>
        <x:v>0.6960000000000001</x:v>
      </x:c>
      <x:c r="L2821" s="11" t="n">
        <x:f>K2821*'管线假设'!E615*'管线假设'!F615*'管线假设'!G615*IF(E2821="USD",'管线假设'!I615,1)-AM2821</x:f>
        <x:v>0.02733887999999999</x:v>
      </x:c>
      <x:c r="M2821" s="11" t="n">
        <x:f>'管线假设'!H615</x:f>
        <x:v>0.135</x:v>
      </x:c>
      <x:c r="N2821" s="11" t="n">
        <x:f>IF(G2821,L2821*AN2821/(1+M2821)^F2821,0)</x:f>
        <x:v>0.0061906586259183535</x:v>
      </x:c>
      <x:c r="AJ2821" t="n">
        <x:v>0</x:v>
      </x:c>
      <x:c r="AK2821" t="n">
        <x:v>0</x:v>
      </x:c>
      <x:c r="AL2821" t="n">
        <x:v>0</x:v>
      </x:c>
      <x:c r="AM2821" t="n">
        <x:f>CHOOSE('假设'!$B$3,AJ2821,AK2821,AL2821)</x:f>
        <x:v>0</x:v>
      </x:c>
      <x:c r="AN2821" t="n">
        <x:v>1</x:v>
      </x:c>
    </x:row>
    <x:row r="2822" ht="23" customHeight="1">
      <x:c r="A2822" s="11" t="str">
        <x:v>688382.SH</x:v>
      </x:c>
      <x:c r="B2822" s="11" t="str">
        <x:v>半年</x:v>
      </x:c>
      <x:c r="C2822" s="11" t="str">
        <x:v>serd_adc</x:v>
      </x:c>
      <x:c r="D2822" s="11" t="str">
        <x:v>2039-12-31</x:v>
      </x:c>
      <x:c r="E2822" s="11" t="str">
        <x:v>CNY</x:v>
      </x:c>
      <x:c r="F2822" s="11" t="n">
        <x:v>12.728268309377139</x:v>
      </x:c>
      <x:c r="G2822" s="26" t="b">
        <x:v>1</x:v>
      </x:c>
      <x:c r="H2822" s="16" t="n">
        <x:v>0.3</x:v>
      </x:c>
      <x:c r="I2822" s="16" t="n">
        <x:v>0.592</x:v>
      </x:c>
      <x:c r="J2822" s="16" t="n">
        <x:v>0.768</x:v>
      </x:c>
      <x:c r="K2822" s="11" t="n">
        <x:f>CHOOSE('假设'!$B$3,H2822,I2822,J2822)</x:f>
        <x:v>0.592</x:v>
      </x:c>
      <x:c r="L2822" s="11" t="n">
        <x:f>K2822*'管线假设'!E615*'管线假设'!F615*'管线假设'!G615*IF(E2822="USD",'管线假设'!I615,1)-AM2822</x:f>
        <x:v>0.023253759999999988</x:v>
      </x:c>
      <x:c r="M2822" s="11" t="n">
        <x:f>'管线假设'!H615</x:f>
        <x:v>0.135</x:v>
      </x:c>
      <x:c r="N2822" s="11" t="n">
        <x:f>IF(G2822,L2822*AN2822/(1+M2822)^F2822,0)</x:f>
        <x:v>0.004639712864073432</x:v>
      </x:c>
      <x:c r="AJ2822" t="n">
        <x:v>0</x:v>
      </x:c>
      <x:c r="AK2822" t="n">
        <x:v>0</x:v>
      </x:c>
      <x:c r="AL2822" t="n">
        <x:v>0</x:v>
      </x:c>
      <x:c r="AM2822" t="n">
        <x:f>CHOOSE('假设'!$B$3,AJ2822,AK2822,AL2822)</x:f>
        <x:v>0</x:v>
      </x:c>
      <x:c r="AN2822" t="n">
        <x:v>1</x:v>
      </x:c>
    </x:row>
    <x:row r="2823" ht="23" customHeight="1">
      <x:c r="A2823" s="11" t="str">
        <x:v>688382.SH</x:v>
      </x:c>
      <x:c r="B2823" s="11" t="str">
        <x:v>半年</x:v>
      </x:c>
      <x:c r="C2823" s="11" t="str">
        <x:v>serd_adc</x:v>
      </x:c>
      <x:c r="D2823" s="11" t="str">
        <x:v>2040-12-31</x:v>
      </x:c>
      <x:c r="E2823" s="11" t="str">
        <x:v>CNY</x:v>
      </x:c>
      <x:c r="F2823" s="11" t="n">
        <x:v>13.730321697467488</x:v>
      </x:c>
      <x:c r="G2823" s="26" t="b">
        <x:v>1</x:v>
      </x:c>
      <x:c r="H2823" s="16" t="n">
        <x:v>0.261</x:v>
      </x:c>
      <x:c r="I2823" s="16" t="n">
        <x:v>0.488</x:v>
      </x:c>
      <x:c r="J2823" s="16" t="n">
        <x:v>0.5599999999999999</x:v>
      </x:c>
      <x:c r="K2823" s="11" t="n">
        <x:f>CHOOSE('假设'!$B$3,H2823,I2823,J2823)</x:f>
        <x:v>0.488</x:v>
      </x:c>
      <x:c r="L2823" s="11" t="n">
        <x:f>K2823*'管线假设'!E615*'管线假设'!F615*'管线假设'!G615*IF(E2823="USD",'管线假设'!I615,1)-AM2823</x:f>
        <x:v>0.01916863999999999</x:v>
      </x:c>
      <x:c r="M2823" s="11" t="n">
        <x:f>'管线假设'!H615</x:f>
        <x:v>0.135</x:v>
      </x:c>
      <x:c r="N2823" s="11" t="n">
        <x:f>IF(G2823,L2823*AN2823/(1+M2823)^F2823,0)</x:f>
        <x:v>0.003368840350964929</x:v>
      </x:c>
      <x:c r="AJ2823" t="n">
        <x:v>0</x:v>
      </x:c>
      <x:c r="AK2823" t="n">
        <x:v>0</x:v>
      </x:c>
      <x:c r="AL2823" t="n">
        <x:v>0</x:v>
      </x:c>
      <x:c r="AM2823" t="n">
        <x:f>CHOOSE('假设'!$B$3,AJ2823,AK2823,AL2823)</x:f>
        <x:v>0</x:v>
      </x:c>
      <x:c r="AN2823" t="n">
        <x:v>1</x:v>
      </x:c>
    </x:row>
    <x:row r="2824" ht="23" customHeight="1">
      <x:c r="A2824" s="11" t="str">
        <x:v>688382.SH</x:v>
      </x:c>
      <x:c r="B2824" s="11" t="str">
        <x:v>半年</x:v>
      </x:c>
      <x:c r="C2824" s="11" t="str">
        <x:v>serd_adc</x:v>
      </x:c>
      <x:c r="D2824" s="11" t="str">
        <x:v>2041-12-31</x:v>
      </x:c>
      <x:c r="E2824" s="11" t="str">
        <x:v>CNY</x:v>
      </x:c>
      <x:c r="F2824" s="11" t="n">
        <x:v>14.729637234770705</x:v>
      </x:c>
      <x:c r="G2824" s="26" t="b">
        <x:v>1</x:v>
      </x:c>
      <x:c r="H2824" s="16" t="n">
        <x:v>0.222</x:v>
      </x:c>
      <x:c r="I2824" s="16" t="n">
        <x:v>0.384</x:v>
      </x:c>
      <x:c r="J2824" s="16" t="n">
        <x:v>0.352</x:v>
      </x:c>
      <x:c r="K2824" s="11" t="n">
        <x:f>CHOOSE('假设'!$B$3,H2824,I2824,J2824)</x:f>
        <x:v>0.384</x:v>
      </x:c>
      <x:c r="L2824" s="11" t="n">
        <x:f>K2824*'管线假设'!E615*'管线假设'!F615*'管线假设'!G615*IF(E2824="USD",'管线假设'!I615,1)-AM2824</x:f>
        <x:v>0.015083519999999993</x:v>
      </x:c>
      <x:c r="M2824" s="11" t="n">
        <x:f>'管线假设'!H615</x:f>
        <x:v>0.135</x:v>
      </x:c>
      <x:c r="N2824" s="11" t="n">
        <x:f>IF(G2824,L2824*AN2824/(1+M2824)^F2824,0)</x:f>
        <x:v>0.002335789026212434</x:v>
      </x:c>
      <x:c r="AJ2824" t="n">
        <x:v>0</x:v>
      </x:c>
      <x:c r="AK2824" t="n">
        <x:v>0</x:v>
      </x:c>
      <x:c r="AL2824" t="n">
        <x:v>0</x:v>
      </x:c>
      <x:c r="AM2824" t="n">
        <x:f>CHOOSE('假设'!$B$3,AJ2824,AK2824,AL2824)</x:f>
        <x:v>0</x:v>
      </x:c>
      <x:c r="AN2824" t="n">
        <x:v>1</x:v>
      </x:c>
    </x:row>
    <x:row r="2825" ht="23" customHeight="1">
      <x:c r="A2825" s="11" t="str">
        <x:v>688382.SH</x:v>
      </x:c>
      <x:c r="B2825" s="11" t="str">
        <x:v>半年</x:v>
      </x:c>
      <x:c r="C2825" s="11" t="str">
        <x:v>serd_adc</x:v>
      </x:c>
      <x:c r="D2825" s="11" t="str">
        <x:v>2042-12-31</x:v>
      </x:c>
      <x:c r="E2825" s="11" t="str">
        <x:v>CNY</x:v>
      </x:c>
      <x:c r="F2825" s="11" t="n">
        <x:v>15.728952772073923</x:v>
      </x:c>
      <x:c r="G2825" s="26" t="b">
        <x:v>1</x:v>
      </x:c>
      <x:c r="H2825" s="16" t="n">
        <x:v>0.183</x:v>
      </x:c>
      <x:c r="I2825" s="16" t="n">
        <x:v>0.27999999999999997</x:v>
      </x:c>
      <x:c r="J2825" s="16" t="n">
        <x:v>0.14399999999999996</x:v>
      </x:c>
      <x:c r="K2825" s="11" t="n">
        <x:f>CHOOSE('假设'!$B$3,H2825,I2825,J2825)</x:f>
        <x:v>0.27999999999999997</x:v>
      </x:c>
      <x:c r="L2825" s="11" t="n">
        <x:f>K2825*'管线假设'!E615*'管线假设'!F615*'管线假设'!G615*IF(E2825="USD",'管线假设'!I615,1)-AM2825</x:f>
        <x:v>0.010998399999999995</x:v>
      </x:c>
      <x:c r="M2825" s="11" t="n">
        <x:f>'管线假设'!H615</x:f>
        <x:v>0.135</x:v>
      </x:c>
      <x:c r="N2825" s="11" t="n">
        <x:f>IF(G2825,L2825*AN2825/(1+M2825)^F2825,0)</x:f>
        <x:v>0.001500728747414614</x:v>
      </x:c>
      <x:c r="AJ2825" t="n">
        <x:v>0</x:v>
      </x:c>
      <x:c r="AK2825" t="n">
        <x:v>0</x:v>
      </x:c>
      <x:c r="AL2825" t="n">
        <x:v>0</x:v>
      </x:c>
      <x:c r="AM2825" t="n">
        <x:f>CHOOSE('假设'!$B$3,AJ2825,AK2825,AL2825)</x:f>
        <x:v>0</x:v>
      </x:c>
      <x:c r="AN2825" t="n">
        <x:v>1</x:v>
      </x:c>
    </x:row>
    <x:row r="2826" ht="23" customHeight="1">
      <x:c r="A2826" s="11" t="str">
        <x:v>688382.SH</x:v>
      </x:c>
      <x:c r="B2826" s="11" t="str">
        <x:v>半年</x:v>
      </x:c>
      <x:c r="C2826" s="11" t="str">
        <x:v>serd_adc</x:v>
      </x:c>
      <x:c r="D2826" s="11" t="str">
        <x:v>2043-12-31</x:v>
      </x:c>
      <x:c r="E2826" s="11" t="str">
        <x:v>CNY</x:v>
      </x:c>
      <x:c r="F2826" s="11" t="n">
        <x:v>16.72826830937714</x:v>
      </x:c>
      <x:c r="G2826" s="26" t="b">
        <x:v>1</x:v>
      </x:c>
      <x:c r="H2826" s="16" t="n">
        <x:v>0.144</x:v>
      </x:c>
      <x:c r="I2826" s="16" t="n">
        <x:v>0.176</x:v>
      </x:c>
      <x:c r="J2826" s="16" t="n">
        <x:v>0</x:v>
      </x:c>
      <x:c r="K2826" s="11" t="n">
        <x:f>CHOOSE('假设'!$B$3,H2826,I2826,J2826)</x:f>
        <x:v>0.176</x:v>
      </x:c>
      <x:c r="L2826" s="11" t="n">
        <x:f>K2826*'管线假设'!E615*'管线假设'!F615*'管线假设'!G615*IF(E2826="USD",'管线假设'!I615,1)-AM2826</x:f>
        <x:v>0.006913279999999997</x:v>
      </x:c>
      <x:c r="M2826" s="11" t="n">
        <x:f>'管线假设'!H615</x:f>
        <x:v>0.135</x:v>
      </x:c>
      <x:c r="N2826" s="11" t="n">
        <x:f>IF(G2826,L2826*AN2826/(1+M2826)^F2826,0)</x:f>
        <x:v>0.0008311867650726416</x:v>
      </x:c>
      <x:c r="AJ2826" t="n">
        <x:v>0</x:v>
      </x:c>
      <x:c r="AK2826" t="n">
        <x:v>0</x:v>
      </x:c>
      <x:c r="AL2826" t="n">
        <x:v>0</x:v>
      </x:c>
      <x:c r="AM2826" t="n">
        <x:f>CHOOSE('假设'!$B$3,AJ2826,AK2826,AL2826)</x:f>
        <x:v>0</x:v>
      </x:c>
      <x:c r="AN2826" t="n">
        <x:v>1</x:v>
      </x:c>
    </x:row>
    <x:row r="2827" ht="23" customHeight="1">
      <x:c r="A2827" s="11" t="str">
        <x:v>688382.SH</x:v>
      </x:c>
      <x:c r="B2827" s="11" t="str">
        <x:v>半年</x:v>
      </x:c>
      <x:c r="C2827" s="11" t="str">
        <x:v>serd_adc</x:v>
      </x:c>
      <x:c r="D2827" s="11" t="str">
        <x:v>2044-12-31</x:v>
      </x:c>
      <x:c r="E2827" s="11" t="str">
        <x:v>CNY</x:v>
      </x:c>
      <x:c r="F2827" s="11" t="n">
        <x:v>17.730321697467488</x:v>
      </x:c>
      <x:c r="G2827" s="26" t="b">
        <x:v>1</x:v>
      </x:c>
      <x:c r="H2827" s="16" t="n">
        <x:v>0.105</x:v>
      </x:c>
      <x:c r="I2827" s="16" t="n">
        <x:v>0.07199999999999998</x:v>
      </x:c>
      <x:c r="J2827" s="16" t="n">
        <x:v>0</x:v>
      </x:c>
      <x:c r="K2827" s="11" t="n">
        <x:f>CHOOSE('假设'!$B$3,H2827,I2827,J2827)</x:f>
        <x:v>0.07199999999999998</x:v>
      </x:c>
      <x:c r="L2827" s="11" t="n">
        <x:f>K2827*'管线假设'!E615*'管线假设'!F615*'管线假设'!G615*IF(E2827="USD",'管线假设'!I615,1)-AM2827</x:f>
        <x:v>0.002828159999999998</x:v>
      </x:c>
      <x:c r="M2827" s="11" t="n">
        <x:f>'管线假设'!H615</x:f>
        <x:v>0.135</x:v>
      </x:c>
      <x:c r="N2827" s="11" t="n">
        <x:f>IF(G2827,L2827*AN2827/(1+M2827)^F2827,0)</x:f>
        <x:v>0.00029950884930602376</x:v>
      </x:c>
      <x:c r="AJ2827" t="n">
        <x:v>0</x:v>
      </x:c>
      <x:c r="AK2827" t="n">
        <x:v>0</x:v>
      </x:c>
      <x:c r="AL2827" t="n">
        <x:v>0</x:v>
      </x:c>
      <x:c r="AM2827" t="n">
        <x:f>CHOOSE('假设'!$B$3,AJ2827,AK2827,AL2827)</x:f>
        <x:v>0</x:v>
      </x:c>
      <x:c r="AN2827" t="n">
        <x:v>1</x:v>
      </x:c>
    </x:row>
    <x:row r="2828" ht="23" customHeight="1">
      <x:c r="A2828" s="11" t="str">
        <x:v>688382.SH</x:v>
      </x:c>
      <x:c r="B2828" s="11" t="str">
        <x:v>半年</x:v>
      </x:c>
      <x:c r="C2828" s="11" t="str">
        <x:v>serd_adc</x:v>
      </x:c>
      <x:c r="D2828" s="11" t="str">
        <x:v>2045-12-31</x:v>
      </x:c>
      <x:c r="E2828" s="11" t="str">
        <x:v>CNY</x:v>
      </x:c>
      <x:c r="F2828" s="11" t="n">
        <x:v>18.729637234770706</x:v>
      </x:c>
      <x:c r="G2828" s="26" t="b">
        <x:v>1</x:v>
      </x:c>
      <x:c r="H2828" s="16" t="n">
        <x:v>0.06599999999999999</x:v>
      </x:c>
      <x:c r="I2828" s="16" t="n">
        <x:v>0</x:v>
      </x:c>
      <x:c r="J2828" s="16" t="n">
        <x:v>0</x:v>
      </x:c>
      <x:c r="K2828" s="11" t="n">
        <x:f>CHOOSE('假设'!$B$3,H2828,I2828,J2828)</x:f>
        <x:v>0</x:v>
      </x:c>
      <x:c r="L2828" s="11" t="n">
        <x:f>K2828*'管线假设'!E615*'管线假设'!F615*'管线假设'!G615*IF(E2828="USD",'管线假设'!I615,1)-AM2828</x:f>
        <x:v>0</x:v>
      </x:c>
      <x:c r="M2828" s="11" t="n">
        <x:f>'管线假设'!H615</x:f>
        <x:v>0.135</x:v>
      </x:c>
      <x:c r="N2828" s="11" t="n">
        <x:f>IF(G2828,L2828*AN2828/(1+M2828)^F2828,0)</x:f>
        <x:v>0</x:v>
      </x:c>
      <x:c r="AJ2828" t="n">
        <x:v>0</x:v>
      </x:c>
      <x:c r="AK2828" t="n">
        <x:v>0</x:v>
      </x:c>
      <x:c r="AL2828" t="n">
        <x:v>0</x:v>
      </x:c>
      <x:c r="AM2828" t="n">
        <x:f>CHOOSE('假设'!$B$3,AJ2828,AK2828,AL2828)</x:f>
        <x:v>0</x:v>
      </x:c>
      <x:c r="AN2828" t="n">
        <x:v>1</x:v>
      </x:c>
    </x:row>
    <x:row r="2829" ht="23" customHeight="1">
      <x:c r="A2829" s="11" t="str">
        <x:v>688382.SH</x:v>
      </x:c>
      <x:c r="B2829" s="11" t="str">
        <x:v>半年</x:v>
      </x:c>
      <x:c r="C2829" s="11" t="str">
        <x:v>urat_cn</x:v>
      </x:c>
      <x:c r="D2829" s="11" t="str">
        <x:v>2027-12-31</x:v>
      </x:c>
      <x:c r="E2829" s="11" t="str">
        <x:v>CNY</x:v>
      </x:c>
      <x:c r="F2829" s="11" t="n">
        <x:v>0.7282683093771389</x:v>
      </x:c>
      <x:c r="G2829" s="26" t="b">
        <x:v>1</x:v>
      </x:c>
      <x:c r="H2829" s="16" t="n">
        <x:v>0</x:v>
      </x:c>
      <x:c r="I2829" s="16" t="n">
        <x:v>0</x:v>
      </x:c>
      <x:c r="J2829" s="16" t="n">
        <x:v>0</x:v>
      </x:c>
      <x:c r="K2829" s="11" t="n">
        <x:f>CHOOSE('假设'!$B$3,H2829,I2829,J2829)</x:f>
        <x:v>0</x:v>
      </x:c>
      <x:c r="L2829" s="11" t="n">
        <x:f>K2829*'管线假设'!E619*'管线假设'!F619*'管线假设'!G619*IF(E2829="USD",'管线假设'!I619,1)-AM2829</x:f>
        <x:v>0</x:v>
      </x:c>
      <x:c r="M2829" s="11" t="n">
        <x:f>'管线假设'!H619</x:f>
        <x:v>0.135</x:v>
      </x:c>
      <x:c r="N2829" s="11" t="n">
        <x:f>IF(G2829,L2829*AN2829/(1+M2829)^F2829,0)</x:f>
        <x:v>0</x:v>
      </x:c>
      <x:c r="AJ2829" t="n">
        <x:v>0</x:v>
      </x:c>
      <x:c r="AK2829" t="n">
        <x:v>0</x:v>
      </x:c>
      <x:c r="AL2829" t="n">
        <x:v>0</x:v>
      </x:c>
      <x:c r="AM2829" t="n">
        <x:f>CHOOSE('假设'!$B$3,AJ2829,AK2829,AL2829)</x:f>
        <x:v>0</x:v>
      </x:c>
      <x:c r="AN2829" t="n">
        <x:v>1</x:v>
      </x:c>
    </x:row>
    <x:row r="2830" ht="23" customHeight="1">
      <x:c r="A2830" s="11" t="str">
        <x:v>688382.SH</x:v>
      </x:c>
      <x:c r="B2830" s="11" t="str">
        <x:v>半年</x:v>
      </x:c>
      <x:c r="C2830" s="11" t="str">
        <x:v>urat_cn</x:v>
      </x:c>
      <x:c r="D2830" s="11" t="str">
        <x:v>2028-12-31</x:v>
      </x:c>
      <x:c r="E2830" s="11" t="str">
        <x:v>CNY</x:v>
      </x:c>
      <x:c r="F2830" s="11" t="n">
        <x:v>1.730321697467488</x:v>
      </x:c>
      <x:c r="G2830" s="26" t="b">
        <x:v>1</x:v>
      </x:c>
      <x:c r="H2830" s="16" t="n">
        <x:v>0</x:v>
      </x:c>
      <x:c r="I2830" s="16" t="n">
        <x:v>0</x:v>
      </x:c>
      <x:c r="J2830" s="16" t="n">
        <x:v>0</x:v>
      </x:c>
      <x:c r="K2830" s="11" t="n">
        <x:f>CHOOSE('假设'!$B$3,H2830,I2830,J2830)</x:f>
        <x:v>0</x:v>
      </x:c>
      <x:c r="L2830" s="11" t="n">
        <x:f>K2830*'管线假设'!E619*'管线假设'!F619*'管线假设'!G619*IF(E2830="USD",'管线假设'!I619,1)-AM2830</x:f>
        <x:v>0</x:v>
      </x:c>
      <x:c r="M2830" s="11" t="n">
        <x:f>'管线假设'!H619</x:f>
        <x:v>0.135</x:v>
      </x:c>
      <x:c r="N2830" s="11" t="n">
        <x:f>IF(G2830,L2830*AN2830/(1+M2830)^F2830,0)</x:f>
        <x:v>0</x:v>
      </x:c>
      <x:c r="AJ2830" t="n">
        <x:v>0</x:v>
      </x:c>
      <x:c r="AK2830" t="n">
        <x:v>0</x:v>
      </x:c>
      <x:c r="AL2830" t="n">
        <x:v>0</x:v>
      </x:c>
      <x:c r="AM2830" t="n">
        <x:f>CHOOSE('假设'!$B$3,AJ2830,AK2830,AL2830)</x:f>
        <x:v>0</x:v>
      </x:c>
      <x:c r="AN2830" t="n">
        <x:v>1</x:v>
      </x:c>
    </x:row>
    <x:row r="2831" ht="23" customHeight="1">
      <x:c r="A2831" s="11" t="str">
        <x:v>688382.SH</x:v>
      </x:c>
      <x:c r="B2831" s="11" t="str">
        <x:v>半年</x:v>
      </x:c>
      <x:c r="C2831" s="11" t="str">
        <x:v>urat_cn</x:v>
      </x:c>
      <x:c r="D2831" s="11" t="str">
        <x:v>2029-12-31</x:v>
      </x:c>
      <x:c r="E2831" s="11" t="str">
        <x:v>CNY</x:v>
      </x:c>
      <x:c r="F2831" s="11" t="n">
        <x:v>2.729637234770705</x:v>
      </x:c>
      <x:c r="G2831" s="26" t="b">
        <x:v>1</x:v>
      </x:c>
      <x:c r="H2831" s="16" t="n">
        <x:v>0</x:v>
      </x:c>
      <x:c r="I2831" s="16" t="n">
        <x:v>0</x:v>
      </x:c>
      <x:c r="J2831" s="16" t="n">
        <x:v>0.43333333333333335</x:v>
      </x:c>
      <x:c r="K2831" s="11" t="n">
        <x:f>CHOOSE('假设'!$B$3,H2831,I2831,J2831)</x:f>
        <x:v>0</x:v>
      </x:c>
      <x:c r="L2831" s="11" t="n">
        <x:f>K2831*'管线假设'!E619*'管线假设'!F619*'管线假设'!G619*IF(E2831="USD",'管线假设'!I619,1)-AM2831</x:f>
        <x:v>0</x:v>
      </x:c>
      <x:c r="M2831" s="11" t="n">
        <x:f>'管线假设'!H619</x:f>
        <x:v>0.135</x:v>
      </x:c>
      <x:c r="N2831" s="11" t="n">
        <x:f>IF(G2831,L2831*AN2831/(1+M2831)^F2831,0)</x:f>
        <x:v>0</x:v>
      </x:c>
      <x:c r="AJ2831" t="n">
        <x:v>0</x:v>
      </x:c>
      <x:c r="AK2831" t="n">
        <x:v>0</x:v>
      </x:c>
      <x:c r="AL2831" t="n">
        <x:v>0</x:v>
      </x:c>
      <x:c r="AM2831" t="n">
        <x:f>CHOOSE('假设'!$B$3,AJ2831,AK2831,AL2831)</x:f>
        <x:v>0</x:v>
      </x:c>
      <x:c r="AN2831" t="n">
        <x:v>1</x:v>
      </x:c>
    </x:row>
    <x:row r="2832" ht="23" customHeight="1">
      <x:c r="A2832" s="11" t="str">
        <x:v>688382.SH</x:v>
      </x:c>
      <x:c r="B2832" s="11" t="str">
        <x:v>半年</x:v>
      </x:c>
      <x:c r="C2832" s="11" t="str">
        <x:v>urat_cn</x:v>
      </x:c>
      <x:c r="D2832" s="11" t="str">
        <x:v>2030-12-31</x:v>
      </x:c>
      <x:c r="E2832" s="11" t="str">
        <x:v>CNY</x:v>
      </x:c>
      <x:c r="F2832" s="11" t="n">
        <x:v>3.728952772073922</x:v>
      </x:c>
      <x:c r="G2832" s="26" t="b">
        <x:v>1</x:v>
      </x:c>
      <x:c r="H2832" s="16" t="n">
        <x:v>0</x:v>
      </x:c>
      <x:c r="I2832" s="16" t="n">
        <x:v>0</x:v>
      </x:c>
      <x:c r="J2832" s="16" t="n">
        <x:v>0.8666666666666667</x:v>
      </x:c>
      <x:c r="K2832" s="11" t="n">
        <x:f>CHOOSE('假设'!$B$3,H2832,I2832,J2832)</x:f>
        <x:v>0</x:v>
      </x:c>
      <x:c r="L2832" s="11" t="n">
        <x:f>K2832*'管线假设'!E619*'管线假设'!F619*'管线假设'!G619*IF(E2832="USD",'管线假设'!I619,1)-AM2832</x:f>
        <x:v>0</x:v>
      </x:c>
      <x:c r="M2832" s="11" t="n">
        <x:f>'管线假设'!H619</x:f>
        <x:v>0.135</x:v>
      </x:c>
      <x:c r="N2832" s="11" t="n">
        <x:f>IF(G2832,L2832*AN2832/(1+M2832)^F2832,0)</x:f>
        <x:v>0</x:v>
      </x:c>
      <x:c r="AJ2832" t="n">
        <x:v>0</x:v>
      </x:c>
      <x:c r="AK2832" t="n">
        <x:v>0</x:v>
      </x:c>
      <x:c r="AL2832" t="n">
        <x:v>0</x:v>
      </x:c>
      <x:c r="AM2832" t="n">
        <x:f>CHOOSE('假设'!$B$3,AJ2832,AK2832,AL2832)</x:f>
        <x:v>0</x:v>
      </x:c>
      <x:c r="AN2832" t="n">
        <x:v>1</x:v>
      </x:c>
    </x:row>
    <x:row r="2833" ht="23" customHeight="1">
      <x:c r="A2833" s="11" t="str">
        <x:v>688382.SH</x:v>
      </x:c>
      <x:c r="B2833" s="11" t="str">
        <x:v>半年</x:v>
      </x:c>
      <x:c r="C2833" s="11" t="str">
        <x:v>urat_cn</x:v>
      </x:c>
      <x:c r="D2833" s="11" t="str">
        <x:v>2031-12-31</x:v>
      </x:c>
      <x:c r="E2833" s="11" t="str">
        <x:v>CNY</x:v>
      </x:c>
      <x:c r="F2833" s="11" t="n">
        <x:v>4.728268309377139</x:v>
      </x:c>
      <x:c r="G2833" s="26" t="b">
        <x:v>1</x:v>
      </x:c>
      <x:c r="H2833" s="16" t="n">
        <x:v>0</x:v>
      </x:c>
      <x:c r="I2833" s="16" t="n">
        <x:v>0.2333333333333333</x:v>
      </x:c>
      <x:c r="J2833" s="16" t="n">
        <x:v>1.3</x:v>
      </x:c>
      <x:c r="K2833" s="11" t="n">
        <x:f>CHOOSE('假设'!$B$3,H2833,I2833,J2833)</x:f>
        <x:v>0.2333333333333333</x:v>
      </x:c>
      <x:c r="L2833" s="11" t="n">
        <x:f>K2833*'管线假设'!E619*'管线假设'!F619*'管线假设'!G619*IF(E2833="USD",'管线假设'!I619,1)-AM2833</x:f>
        <x:v>0.025636799999999998</x:v>
      </x:c>
      <x:c r="M2833" s="11" t="n">
        <x:f>'管线假设'!H619</x:f>
        <x:v>0.135</x:v>
      </x:c>
      <x:c r="N2833" s="11" t="n">
        <x:f>IF(G2833,L2833*AN2833/(1+M2833)^F2833,0)</x:f>
        <x:v>0.01408732798654616</x:v>
      </x:c>
      <x:c r="AJ2833" t="n">
        <x:v>0</x:v>
      </x:c>
      <x:c r="AK2833" t="n">
        <x:v>0</x:v>
      </x:c>
      <x:c r="AL2833" t="n">
        <x:v>0</x:v>
      </x:c>
      <x:c r="AM2833" t="n">
        <x:f>CHOOSE('假设'!$B$3,AJ2833,AK2833,AL2833)</x:f>
        <x:v>0</x:v>
      </x:c>
      <x:c r="AN2833" t="n">
        <x:v>1</x:v>
      </x:c>
    </x:row>
    <x:row r="2834" ht="23" customHeight="1">
      <x:c r="A2834" s="11" t="str">
        <x:v>688382.SH</x:v>
      </x:c>
      <x:c r="B2834" s="11" t="str">
        <x:v>半年</x:v>
      </x:c>
      <x:c r="C2834" s="11" t="str">
        <x:v>urat_cn</x:v>
      </x:c>
      <x:c r="D2834" s="11" t="str">
        <x:v>2032-12-31</x:v>
      </x:c>
      <x:c r="E2834" s="11" t="str">
        <x:v>CNY</x:v>
      </x:c>
      <x:c r="F2834" s="11" t="n">
        <x:v>5.730321697467488</x:v>
      </x:c>
      <x:c r="G2834" s="26" t="b">
        <x:v>1</x:v>
      </x:c>
      <x:c r="H2834" s="16" t="n">
        <x:v>0</x:v>
      </x:c>
      <x:c r="I2834" s="16" t="n">
        <x:v>0.4666666666666666</x:v>
      </x:c>
      <x:c r="J2834" s="16" t="n">
        <x:v>1.7333333333333334</x:v>
      </x:c>
      <x:c r="K2834" s="11" t="n">
        <x:f>CHOOSE('假设'!$B$3,H2834,I2834,J2834)</x:f>
        <x:v>0.4666666666666666</x:v>
      </x:c>
      <x:c r="L2834" s="11" t="n">
        <x:f>K2834*'管线假设'!E619*'管线假设'!F619*'管线假设'!G619*IF(E2834="USD",'管线假设'!I619,1)-AM2834</x:f>
        <x:v>0.051273599999999996</x:v>
      </x:c>
      <x:c r="M2834" s="11" t="n">
        <x:f>'管线假设'!H619</x:f>
        <x:v>0.135</x:v>
      </x:c>
      <x:c r="N2834" s="11" t="n">
        <x:f>IF(G2834,L2834*AN2834/(1+M2834)^F2834,0)</x:f>
        <x:v>0.02481703152691597</x:v>
      </x:c>
      <x:c r="AJ2834" t="n">
        <x:v>0</x:v>
      </x:c>
      <x:c r="AK2834" t="n">
        <x:v>0</x:v>
      </x:c>
      <x:c r="AL2834" t="n">
        <x:v>0</x:v>
      </x:c>
      <x:c r="AM2834" t="n">
        <x:f>CHOOSE('假设'!$B$3,AJ2834,AK2834,AL2834)</x:f>
        <x:v>0</x:v>
      </x:c>
      <x:c r="AN2834" t="n">
        <x:v>1</x:v>
      </x:c>
    </x:row>
    <x:row r="2835" ht="23" customHeight="1">
      <x:c r="A2835" s="11" t="str">
        <x:v>688382.SH</x:v>
      </x:c>
      <x:c r="B2835" s="11" t="str">
        <x:v>半年</x:v>
      </x:c>
      <x:c r="C2835" s="11" t="str">
        <x:v>urat_cn</x:v>
      </x:c>
      <x:c r="D2835" s="11" t="str">
        <x:v>2033-12-31</x:v>
      </x:c>
      <x:c r="E2835" s="11" t="str">
        <x:v>CNY</x:v>
      </x:c>
      <x:c r="F2835" s="11" t="n">
        <x:v>6.729637234770705</x:v>
      </x:c>
      <x:c r="G2835" s="26" t="b">
        <x:v>1</x:v>
      </x:c>
      <x:c r="H2835" s="16" t="n">
        <x:v>0</x:v>
      </x:c>
      <x:c r="I2835" s="16" t="n">
        <x:v>0.7</x:v>
      </x:c>
      <x:c r="J2835" s="16" t="n">
        <x:v>2.166666666666667</x:v>
      </x:c>
      <x:c r="K2835" s="11" t="n">
        <x:f>CHOOSE('假设'!$B$3,H2835,I2835,J2835)</x:f>
        <x:v>0.7</x:v>
      </x:c>
      <x:c r="L2835" s="11" t="n">
        <x:f>K2835*'管线假设'!E619*'管线假设'!F619*'管线假设'!G619*IF(E2835="USD",'管线假设'!I619,1)-AM2835</x:f>
        <x:v>0.0769104</x:v>
      </x:c>
      <x:c r="M2835" s="11" t="n">
        <x:f>'管线假设'!H619</x:f>
        <x:v>0.135</x:v>
      </x:c>
      <x:c r="N2835" s="11" t="n">
        <x:f>IF(G2835,L2835*AN2835/(1+M2835)^F2835,0)</x:f>
        <x:v>0.03280068190893964</x:v>
      </x:c>
      <x:c r="AJ2835" t="n">
        <x:v>0</x:v>
      </x:c>
      <x:c r="AK2835" t="n">
        <x:v>0</x:v>
      </x:c>
      <x:c r="AL2835" t="n">
        <x:v>0</x:v>
      </x:c>
      <x:c r="AM2835" t="n">
        <x:f>CHOOSE('假设'!$B$3,AJ2835,AK2835,AL2835)</x:f>
        <x:v>0</x:v>
      </x:c>
      <x:c r="AN2835" t="n">
        <x:v>1</x:v>
      </x:c>
    </x:row>
    <x:row r="2836" ht="23" customHeight="1">
      <x:c r="A2836" s="11" t="str">
        <x:v>688382.SH</x:v>
      </x:c>
      <x:c r="B2836" s="11" t="str">
        <x:v>半年</x:v>
      </x:c>
      <x:c r="C2836" s="11" t="str">
        <x:v>urat_cn</x:v>
      </x:c>
      <x:c r="D2836" s="11" t="str">
        <x:v>2034-12-31</x:v>
      </x:c>
      <x:c r="E2836" s="11" t="str">
        <x:v>CNY</x:v>
      </x:c>
      <x:c r="F2836" s="11" t="n">
        <x:v>7.728952772073922</x:v>
      </x:c>
      <x:c r="G2836" s="26" t="b">
        <x:v>1</x:v>
      </x:c>
      <x:c r="H2836" s="16" t="n">
        <x:v>0.12</x:v>
      </x:c>
      <x:c r="I2836" s="16" t="n">
        <x:v>0.9333333333333332</x:v>
      </x:c>
      <x:c r="J2836" s="16" t="n">
        <x:v>2.6</x:v>
      </x:c>
      <x:c r="K2836" s="11" t="n">
        <x:f>CHOOSE('假设'!$B$3,H2836,I2836,J2836)</x:f>
        <x:v>0.9333333333333332</x:v>
      </x:c>
      <x:c r="L2836" s="11" t="n">
        <x:f>K2836*'管线假设'!E619*'管线假设'!F619*'管线假设'!G619*IF(E2836="USD",'管线假设'!I619,1)-AM2836</x:f>
        <x:v>0.10254719999999999</x:v>
      </x:c>
      <x:c r="M2836" s="11" t="n">
        <x:f>'管线假设'!H619</x:f>
        <x:v>0.135</x:v>
      </x:c>
      <x:c r="N2836" s="11" t="n">
        <x:f>IF(G2836,L2836*AN2836/(1+M2836)^F2836,0)</x:f>
        <x:v>0.03853571223723014</x:v>
      </x:c>
      <x:c r="AJ2836" t="n">
        <x:v>0</x:v>
      </x:c>
      <x:c r="AK2836" t="n">
        <x:v>0</x:v>
      </x:c>
      <x:c r="AL2836" t="n">
        <x:v>0</x:v>
      </x:c>
      <x:c r="AM2836" t="n">
        <x:f>CHOOSE('假设'!$B$3,AJ2836,AK2836,AL2836)</x:f>
        <x:v>0</x:v>
      </x:c>
      <x:c r="AN2836" t="n">
        <x:v>1</x:v>
      </x:c>
    </x:row>
    <x:row r="2837" ht="23" customHeight="1">
      <x:c r="A2837" s="11" t="str">
        <x:v>688382.SH</x:v>
      </x:c>
      <x:c r="B2837" s="11" t="str">
        <x:v>半年</x:v>
      </x:c>
      <x:c r="C2837" s="11" t="str">
        <x:v>urat_cn</x:v>
      </x:c>
      <x:c r="D2837" s="11" t="str">
        <x:v>2035-12-31</x:v>
      </x:c>
      <x:c r="E2837" s="11" t="str">
        <x:v>CNY</x:v>
      </x:c>
      <x:c r="F2837" s="11" t="n">
        <x:v>8.728268309377139</x:v>
      </x:c>
      <x:c r="G2837" s="26" t="b">
        <x:v>1</x:v>
      </x:c>
      <x:c r="H2837" s="16" t="n">
        <x:v>0.24</x:v>
      </x:c>
      <x:c r="I2837" s="16" t="n">
        <x:v>1.1666666666666667</x:v>
      </x:c>
      <x:c r="J2837" s="16" t="n">
        <x:v>2.262</x:v>
      </x:c>
      <x:c r="K2837" s="11" t="n">
        <x:f>CHOOSE('假设'!$B$3,H2837,I2837,J2837)</x:f>
        <x:v>1.1666666666666667</x:v>
      </x:c>
      <x:c r="L2837" s="11" t="n">
        <x:f>K2837*'管线假设'!E619*'管线假设'!F619*'管线假设'!G619*IF(E2837="USD",'管线假设'!I619,1)-AM2837</x:f>
        <x:v>0.12818400000000002</x:v>
      </x:c>
      <x:c r="M2837" s="11" t="n">
        <x:f>'管线假设'!H619</x:f>
        <x:v>0.135</x:v>
      </x:c>
      <x:c r="N2837" s="11" t="n">
        <x:f>IF(G2837,L2837*AN2837/(1+M2837)^F2837,0)</x:f>
        <x:v>0.042443890393609865</x:v>
      </x:c>
      <x:c r="AJ2837" t="n">
        <x:v>0</x:v>
      </x:c>
      <x:c r="AK2837" t="n">
        <x:v>0</x:v>
      </x:c>
      <x:c r="AL2837" t="n">
        <x:v>0</x:v>
      </x:c>
      <x:c r="AM2837" t="n">
        <x:f>CHOOSE('假设'!$B$3,AJ2837,AK2837,AL2837)</x:f>
        <x:v>0</x:v>
      </x:c>
      <x:c r="AN2837" t="n">
        <x:v>1</x:v>
      </x:c>
    </x:row>
    <x:row r="2838" ht="23" customHeight="1">
      <x:c r="A2838" s="11" t="str">
        <x:v>688382.SH</x:v>
      </x:c>
      <x:c r="B2838" s="11" t="str">
        <x:v>半年</x:v>
      </x:c>
      <x:c r="C2838" s="11" t="str">
        <x:v>urat_cn</x:v>
      </x:c>
      <x:c r="D2838" s="11" t="str">
        <x:v>2036-12-31</x:v>
      </x:c>
      <x:c r="E2838" s="11" t="str">
        <x:v>CNY</x:v>
      </x:c>
      <x:c r="F2838" s="11" t="n">
        <x:v>9.730321697467488</x:v>
      </x:c>
      <x:c r="G2838" s="26" t="b">
        <x:v>1</x:v>
      </x:c>
      <x:c r="H2838" s="16" t="n">
        <x:v>0.36</x:v>
      </x:c>
      <x:c r="I2838" s="16" t="n">
        <x:v>1.4</x:v>
      </x:c>
      <x:c r="J2838" s="16" t="n">
        <x:v>1.924</x:v>
      </x:c>
      <x:c r="K2838" s="11" t="n">
        <x:f>CHOOSE('假设'!$B$3,H2838,I2838,J2838)</x:f>
        <x:v>1.4</x:v>
      </x:c>
      <x:c r="L2838" s="11" t="n">
        <x:f>K2838*'管线假设'!E619*'管线假设'!F619*'管线假设'!G619*IF(E2838="USD",'管线假设'!I619,1)-AM2838</x:f>
        <x:v>0.1538208</x:v>
      </x:c>
      <x:c r="M2838" s="11" t="n">
        <x:f>'管线假设'!H619</x:f>
        <x:v>0.135</x:v>
      </x:c>
      <x:c r="N2838" s="11" t="n">
        <x:f>IF(G2838,L2838*AN2838/(1+M2838)^F2838,0)</x:f>
        <x:v>0.04486293072877183</x:v>
      </x:c>
      <x:c r="AJ2838" t="n">
        <x:v>0</x:v>
      </x:c>
      <x:c r="AK2838" t="n">
        <x:v>0</x:v>
      </x:c>
      <x:c r="AL2838" t="n">
        <x:v>0</x:v>
      </x:c>
      <x:c r="AM2838" t="n">
        <x:f>CHOOSE('假设'!$B$3,AJ2838,AK2838,AL2838)</x:f>
        <x:v>0</x:v>
      </x:c>
      <x:c r="AN2838" t="n">
        <x:v>1</x:v>
      </x:c>
    </x:row>
    <x:row r="2839" ht="23" customHeight="1">
      <x:c r="A2839" s="11" t="str">
        <x:v>688382.SH</x:v>
      </x:c>
      <x:c r="B2839" s="11" t="str">
        <x:v>半年</x:v>
      </x:c>
      <x:c r="C2839" s="11" t="str">
        <x:v>urat_cn</x:v>
      </x:c>
      <x:c r="D2839" s="11" t="str">
        <x:v>2037-12-31</x:v>
      </x:c>
      <x:c r="E2839" s="11" t="str">
        <x:v>CNY</x:v>
      </x:c>
      <x:c r="F2839" s="11" t="n">
        <x:v>10.729637234770705</x:v>
      </x:c>
      <x:c r="G2839" s="26" t="b">
        <x:v>1</x:v>
      </x:c>
      <x:c r="H2839" s="16" t="n">
        <x:v>0.48</x:v>
      </x:c>
      <x:c r="I2839" s="16" t="n">
        <x:v>1.218</x:v>
      </x:c>
      <x:c r="J2839" s="16" t="n">
        <x:v>1.586</x:v>
      </x:c>
      <x:c r="K2839" s="11" t="n">
        <x:f>CHOOSE('假设'!$B$3,H2839,I2839,J2839)</x:f>
        <x:v>1.218</x:v>
      </x:c>
      <x:c r="L2839" s="11" t="n">
        <x:f>K2839*'管线假设'!E619*'管线假设'!F619*'管线假设'!G619*IF(E2839="USD",'管线假设'!I619,1)-AM2839</x:f>
        <x:v>0.133824096</x:v>
      </x:c>
      <x:c r="M2839" s="11" t="n">
        <x:f>'管线假设'!H619</x:f>
        <x:v>0.135</x:v>
      </x:c>
      <x:c r="N2839" s="11" t="n">
        <x:f>IF(G2839,L2839*AN2839/(1+M2839)^F2839,0)</x:f>
        <x:v>0.03439130650537002</x:v>
      </x:c>
      <x:c r="AJ2839" t="n">
        <x:v>0</x:v>
      </x:c>
      <x:c r="AK2839" t="n">
        <x:v>0</x:v>
      </x:c>
      <x:c r="AL2839" t="n">
        <x:v>0</x:v>
      </x:c>
      <x:c r="AM2839" t="n">
        <x:f>CHOOSE('假设'!$B$3,AJ2839,AK2839,AL2839)</x:f>
        <x:v>0</x:v>
      </x:c>
      <x:c r="AN2839" t="n">
        <x:v>1</x:v>
      </x:c>
    </x:row>
    <x:row r="2840" ht="23" customHeight="1">
      <x:c r="A2840" s="11" t="str">
        <x:v>688382.SH</x:v>
      </x:c>
      <x:c r="B2840" s="11" t="str">
        <x:v>半年</x:v>
      </x:c>
      <x:c r="C2840" s="11" t="str">
        <x:v>urat_cn</x:v>
      </x:c>
      <x:c r="D2840" s="11" t="str">
        <x:v>2038-12-31</x:v>
      </x:c>
      <x:c r="E2840" s="11" t="str">
        <x:v>CNY</x:v>
      </x:c>
      <x:c r="F2840" s="11" t="n">
        <x:v>11.728952772073923</x:v>
      </x:c>
      <x:c r="G2840" s="26" t="b">
        <x:v>1</x:v>
      </x:c>
      <x:c r="H2840" s="16" t="n">
        <x:v>0.6</x:v>
      </x:c>
      <x:c r="I2840" s="16" t="n">
        <x:v>1.036</x:v>
      </x:c>
      <x:c r="J2840" s="16" t="n">
        <x:v>1.248</x:v>
      </x:c>
      <x:c r="K2840" s="11" t="n">
        <x:f>CHOOSE('假设'!$B$3,H2840,I2840,J2840)</x:f>
        <x:v>1.036</x:v>
      </x:c>
      <x:c r="L2840" s="11" t="n">
        <x:f>K2840*'管线假设'!E619*'管线假设'!F619*'管线假设'!G619*IF(E2840="USD",'管线假设'!I619,1)-AM2840</x:f>
        <x:v>0.11382739200000001</x:v>
      </x:c>
      <x:c r="M2840" s="11" t="n">
        <x:f>'管线假设'!H619</x:f>
        <x:v>0.135</x:v>
      </x:c>
      <x:c r="N2840" s="11" t="n">
        <x:f>IF(G2840,L2840*AN2840/(1+M2840)^F2840,0)</x:f>
        <x:v>0.025775252173848753</x:v>
      </x:c>
      <x:c r="AJ2840" t="n">
        <x:v>0</x:v>
      </x:c>
      <x:c r="AK2840" t="n">
        <x:v>0</x:v>
      </x:c>
      <x:c r="AL2840" t="n">
        <x:v>0</x:v>
      </x:c>
      <x:c r="AM2840" t="n">
        <x:f>CHOOSE('假设'!$B$3,AJ2840,AK2840,AL2840)</x:f>
        <x:v>0</x:v>
      </x:c>
      <x:c r="AN2840" t="n">
        <x:v>1</x:v>
      </x:c>
    </x:row>
    <x:row r="2841" ht="23" customHeight="1">
      <x:c r="A2841" s="11" t="str">
        <x:v>688382.SH</x:v>
      </x:c>
      <x:c r="B2841" s="11" t="str">
        <x:v>半年</x:v>
      </x:c>
      <x:c r="C2841" s="11" t="str">
        <x:v>urat_cn</x:v>
      </x:c>
      <x:c r="D2841" s="11" t="str">
        <x:v>2039-12-31</x:v>
      </x:c>
      <x:c r="E2841" s="11" t="str">
        <x:v>CNY</x:v>
      </x:c>
      <x:c r="F2841" s="11" t="n">
        <x:v>12.728268309377139</x:v>
      </x:c>
      <x:c r="G2841" s="26" t="b">
        <x:v>1</x:v>
      </x:c>
      <x:c r="H2841" s="16" t="n">
        <x:v>0.522</x:v>
      </x:c>
      <x:c r="I2841" s="16" t="n">
        <x:v>0.854</x:v>
      </x:c>
      <x:c r="J2841" s="16" t="n">
        <x:v>0.9099999999999999</x:v>
      </x:c>
      <x:c r="K2841" s="11" t="n">
        <x:f>CHOOSE('假设'!$B$3,H2841,I2841,J2841)</x:f>
        <x:v>0.854</x:v>
      </x:c>
      <x:c r="L2841" s="11" t="n">
        <x:f>K2841*'管线假设'!E619*'管线假设'!F619*'管线假设'!G619*IF(E2841="USD",'管线假设'!I619,1)-AM2841</x:f>
        <x:v>0.093830688</x:v>
      </x:c>
      <x:c r="M2841" s="11" t="n">
        <x:f>'管线假设'!H619</x:f>
        <x:v>0.135</x:v>
      </x:c>
      <x:c r="N2841" s="11" t="n">
        <x:f>IF(G2841,L2841*AN2841/(1+M2841)^F2841,0)</x:f>
        <x:v>0.01872159384798247</x:v>
      </x:c>
      <x:c r="AJ2841" t="n">
        <x:v>0</x:v>
      </x:c>
      <x:c r="AK2841" t="n">
        <x:v>0</x:v>
      </x:c>
      <x:c r="AL2841" t="n">
        <x:v>0</x:v>
      </x:c>
      <x:c r="AM2841" t="n">
        <x:f>CHOOSE('假设'!$B$3,AJ2841,AK2841,AL2841)</x:f>
        <x:v>0</x:v>
      </x:c>
      <x:c r="AN2841" t="n">
        <x:v>1</x:v>
      </x:c>
    </x:row>
    <x:row r="2842" ht="23" customHeight="1">
      <x:c r="A2842" s="11" t="str">
        <x:v>688382.SH</x:v>
      </x:c>
      <x:c r="B2842" s="11" t="str">
        <x:v>半年</x:v>
      </x:c>
      <x:c r="C2842" s="11" t="str">
        <x:v>urat_cn</x:v>
      </x:c>
      <x:c r="D2842" s="11" t="str">
        <x:v>2040-12-31</x:v>
      </x:c>
      <x:c r="E2842" s="11" t="str">
        <x:v>CNY</x:v>
      </x:c>
      <x:c r="F2842" s="11" t="n">
        <x:v>13.730321697467488</x:v>
      </x:c>
      <x:c r="G2842" s="26" t="b">
        <x:v>1</x:v>
      </x:c>
      <x:c r="H2842" s="16" t="n">
        <x:v>0.444</x:v>
      </x:c>
      <x:c r="I2842" s="16" t="n">
        <x:v>0.6719999999999999</x:v>
      </x:c>
      <x:c r="J2842" s="16" t="n">
        <x:v>0.572</x:v>
      </x:c>
      <x:c r="K2842" s="11" t="n">
        <x:f>CHOOSE('假设'!$B$3,H2842,I2842,J2842)</x:f>
        <x:v>0.6719999999999999</x:v>
      </x:c>
      <x:c r="L2842" s="11" t="n">
        <x:f>K2842*'管线假设'!E619*'管线假设'!F619*'管线假设'!G619*IF(E2842="USD",'管线假设'!I619,1)-AM2842</x:f>
        <x:v>0.07383398399999999</x:v>
      </x:c>
      <x:c r="M2842" s="11" t="n">
        <x:f>'管线假设'!H619</x:f>
        <x:v>0.135</x:v>
      </x:c>
      <x:c r="N2842" s="11" t="n">
        <x:f>IF(G2842,L2842*AN2842/(1+M2842)^F2842,0)</x:f>
        <x:v>0.012976137304039256</x:v>
      </x:c>
      <x:c r="AJ2842" t="n">
        <x:v>0</x:v>
      </x:c>
      <x:c r="AK2842" t="n">
        <x:v>0</x:v>
      </x:c>
      <x:c r="AL2842" t="n">
        <x:v>0</x:v>
      </x:c>
      <x:c r="AM2842" t="n">
        <x:f>CHOOSE('假设'!$B$3,AJ2842,AK2842,AL2842)</x:f>
        <x:v>0</x:v>
      </x:c>
      <x:c r="AN2842" t="n">
        <x:v>1</x:v>
      </x:c>
    </x:row>
    <x:row r="2843" ht="23" customHeight="1">
      <x:c r="A2843" s="11" t="str">
        <x:v>688382.SH</x:v>
      </x:c>
      <x:c r="B2843" s="11" t="str">
        <x:v>半年</x:v>
      </x:c>
      <x:c r="C2843" s="11" t="str">
        <x:v>urat_cn</x:v>
      </x:c>
      <x:c r="D2843" s="11" t="str">
        <x:v>2041-12-31</x:v>
      </x:c>
      <x:c r="E2843" s="11" t="str">
        <x:v>CNY</x:v>
      </x:c>
      <x:c r="F2843" s="11" t="n">
        <x:v>14.729637234770705</x:v>
      </x:c>
      <x:c r="G2843" s="26" t="b">
        <x:v>1</x:v>
      </x:c>
      <x:c r="H2843" s="16" t="n">
        <x:v>0.366</x:v>
      </x:c>
      <x:c r="I2843" s="16" t="n">
        <x:v>0.48999999999999994</x:v>
      </x:c>
      <x:c r="J2843" s="16" t="n">
        <x:v>0.23399999999999993</x:v>
      </x:c>
      <x:c r="K2843" s="11" t="n">
        <x:f>CHOOSE('假设'!$B$3,H2843,I2843,J2843)</x:f>
        <x:v>0.48999999999999994</x:v>
      </x:c>
      <x:c r="L2843" s="11" t="n">
        <x:f>K2843*'管线假设'!E619*'管线假设'!F619*'管线假设'!G619*IF(E2843="USD",'管线假设'!I619,1)-AM2843</x:f>
        <x:v>0.05383727999999999</x:v>
      </x:c>
      <x:c r="M2843" s="11" t="n">
        <x:f>'管线假设'!H619</x:f>
        <x:v>0.135</x:v>
      </x:c>
      <x:c r="N2843" s="11" t="n">
        <x:f>IF(G2843,L2843*AN2843/(1+M2843)^F2843,0)</x:f>
        <x:v>0.008337080988066856</x:v>
      </x:c>
      <x:c r="AJ2843" t="n">
        <x:v>0</x:v>
      </x:c>
      <x:c r="AK2843" t="n">
        <x:v>0</x:v>
      </x:c>
      <x:c r="AL2843" t="n">
        <x:v>0</x:v>
      </x:c>
      <x:c r="AM2843" t="n">
        <x:f>CHOOSE('假设'!$B$3,AJ2843,AK2843,AL2843)</x:f>
        <x:v>0</x:v>
      </x:c>
      <x:c r="AN2843" t="n">
        <x:v>1</x:v>
      </x:c>
    </x:row>
    <x:row r="2844" ht="23" customHeight="1">
      <x:c r="A2844" s="11" t="str">
        <x:v>688382.SH</x:v>
      </x:c>
      <x:c r="B2844" s="11" t="str">
        <x:v>半年</x:v>
      </x:c>
      <x:c r="C2844" s="11" t="str">
        <x:v>urat_cn</x:v>
      </x:c>
      <x:c r="D2844" s="11" t="str">
        <x:v>2042-12-31</x:v>
      </x:c>
      <x:c r="E2844" s="11" t="str">
        <x:v>CNY</x:v>
      </x:c>
      <x:c r="F2844" s="11" t="n">
        <x:v>15.728952772073923</x:v>
      </x:c>
      <x:c r="G2844" s="26" t="b">
        <x:v>1</x:v>
      </x:c>
      <x:c r="H2844" s="16" t="n">
        <x:v>0.288</x:v>
      </x:c>
      <x:c r="I2844" s="16" t="n">
        <x:v>0.30799999999999994</x:v>
      </x:c>
      <x:c r="J2844" s="16" t="n">
        <x:v>0</x:v>
      </x:c>
      <x:c r="K2844" s="11" t="n">
        <x:f>CHOOSE('假设'!$B$3,H2844,I2844,J2844)</x:f>
        <x:v>0.30799999999999994</x:v>
      </x:c>
      <x:c r="L2844" s="11" t="n">
        <x:f>K2844*'管线假设'!E619*'管线假设'!F619*'管线假设'!G619*IF(E2844="USD",'管线假设'!I619,1)-AM2844</x:f>
        <x:v>0.033840576</x:v>
      </x:c>
      <x:c r="M2844" s="11" t="n">
        <x:f>'管线假设'!H619</x:f>
        <x:v>0.135</x:v>
      </x:c>
      <x:c r="N2844" s="11" t="n">
        <x:f>IF(G2844,L2844*AN2844/(1+M2844)^F2844,0)</x:f>
        <x:v>0.004617537572034938</x:v>
      </x:c>
      <x:c r="AJ2844" t="n">
        <x:v>0</x:v>
      </x:c>
      <x:c r="AK2844" t="n">
        <x:v>0</x:v>
      </x:c>
      <x:c r="AL2844" t="n">
        <x:v>0</x:v>
      </x:c>
      <x:c r="AM2844" t="n">
        <x:f>CHOOSE('假设'!$B$3,AJ2844,AK2844,AL2844)</x:f>
        <x:v>0</x:v>
      </x:c>
      <x:c r="AN2844" t="n">
        <x:v>1</x:v>
      </x:c>
    </x:row>
    <x:row r="2845" ht="23" customHeight="1">
      <x:c r="A2845" s="11" t="str">
        <x:v>688382.SH</x:v>
      </x:c>
      <x:c r="B2845" s="11" t="str">
        <x:v>半年</x:v>
      </x:c>
      <x:c r="C2845" s="11" t="str">
        <x:v>urat_cn</x:v>
      </x:c>
      <x:c r="D2845" s="11" t="str">
        <x:v>2043-12-31</x:v>
      </x:c>
      <x:c r="E2845" s="11" t="str">
        <x:v>CNY</x:v>
      </x:c>
      <x:c r="F2845" s="11" t="n">
        <x:v>16.72826830937714</x:v>
      </x:c>
      <x:c r="G2845" s="26" t="b">
        <x:v>1</x:v>
      </x:c>
      <x:c r="H2845" s="16" t="n">
        <x:v>0.21</x:v>
      </x:c>
      <x:c r="I2845" s="16" t="n">
        <x:v>0.12599999999999995</x:v>
      </x:c>
      <x:c r="J2845" s="16" t="n">
        <x:v>0</x:v>
      </x:c>
      <x:c r="K2845" s="11" t="n">
        <x:f>CHOOSE('假设'!$B$3,H2845,I2845,J2845)</x:f>
        <x:v>0.12599999999999995</x:v>
      </x:c>
      <x:c r="L2845" s="11" t="n">
        <x:f>K2845*'管线假设'!E619*'管线假设'!F619*'管线假设'!G619*IF(E2845="USD",'管线假设'!I619,1)-AM2845</x:f>
        <x:v>0.013843871999999995</x:v>
      </x:c>
      <x:c r="M2845" s="11" t="n">
        <x:f>'管线假设'!H619</x:f>
        <x:v>0.135</x:v>
      </x:c>
      <x:c r="N2845" s="11" t="n">
        <x:f>IF(G2845,L2845*AN2845/(1+M2845)^F2845,0)</x:f>
        <x:v>0.0016644549596949235</x:v>
      </x:c>
      <x:c r="AJ2845" t="n">
        <x:v>0</x:v>
      </x:c>
      <x:c r="AK2845" t="n">
        <x:v>0</x:v>
      </x:c>
      <x:c r="AL2845" t="n">
        <x:v>0</x:v>
      </x:c>
      <x:c r="AM2845" t="n">
        <x:f>CHOOSE('假设'!$B$3,AJ2845,AK2845,AL2845)</x:f>
        <x:v>0</x:v>
      </x:c>
      <x:c r="AN2845" t="n">
        <x:v>1</x:v>
      </x:c>
    </x:row>
    <x:row r="2846" ht="23" customHeight="1">
      <x:c r="A2846" s="11" t="str">
        <x:v>688382.SH</x:v>
      </x:c>
      <x:c r="B2846" s="11" t="str">
        <x:v>半年</x:v>
      </x:c>
      <x:c r="C2846" s="11" t="str">
        <x:v>urat_cn</x:v>
      </x:c>
      <x:c r="D2846" s="11" t="str">
        <x:v>2044-12-31</x:v>
      </x:c>
      <x:c r="E2846" s="11" t="str">
        <x:v>CNY</x:v>
      </x:c>
      <x:c r="F2846" s="11" t="n">
        <x:v>17.730321697467488</x:v>
      </x:c>
      <x:c r="G2846" s="26" t="b">
        <x:v>1</x:v>
      </x:c>
      <x:c r="H2846" s="16" t="n">
        <x:v>0.13199999999999998</x:v>
      </x:c>
      <x:c r="I2846" s="16" t="n">
        <x:v>0</x:v>
      </x:c>
      <x:c r="J2846" s="16" t="n">
        <x:v>0</x:v>
      </x:c>
      <x:c r="K2846" s="11" t="n">
        <x:f>CHOOSE('假设'!$B$3,H2846,I2846,J2846)</x:f>
        <x:v>0</x:v>
      </x:c>
      <x:c r="L2846" s="11" t="n">
        <x:f>K2846*'管线假设'!E619*'管线假设'!F619*'管线假设'!G619*IF(E2846="USD",'管线假设'!I619,1)-AM2846</x:f>
        <x:v>0</x:v>
      </x:c>
      <x:c r="M2846" s="11" t="n">
        <x:f>'管线假设'!H619</x:f>
        <x:v>0.135</x:v>
      </x:c>
      <x:c r="N2846" s="11" t="n">
        <x:f>IF(G2846,L2846*AN2846/(1+M2846)^F2846,0)</x:f>
        <x:v>0</x:v>
      </x:c>
      <x:c r="AJ2846" t="n">
        <x:v>0</x:v>
      </x:c>
      <x:c r="AK2846" t="n">
        <x:v>0</x:v>
      </x:c>
      <x:c r="AL2846" t="n">
        <x:v>0</x:v>
      </x:c>
      <x:c r="AM2846" t="n">
        <x:f>CHOOSE('假设'!$B$3,AJ2846,AK2846,AL2846)</x:f>
        <x:v>0</x:v>
      </x:c>
      <x:c r="AN2846" t="n">
        <x:v>1</x:v>
      </x:c>
    </x:row>
    <x:row r="2847" ht="23" customHeight="1">
      <x:c r="A2847" s="11" t="str">
        <x:v>688382.SH</x:v>
      </x:c>
      <x:c r="B2847" s="11" t="str">
        <x:v>半年</x:v>
      </x:c>
      <x:c r="C2847" s="11" t="str">
        <x:v>urat_cn</x:v>
      </x:c>
      <x:c r="D2847" s="11" t="str">
        <x:v>2045-12-31</x:v>
      </x:c>
      <x:c r="E2847" s="11" t="str">
        <x:v>CNY</x:v>
      </x:c>
      <x:c r="F2847" s="11" t="n">
        <x:v>18.729637234770706</x:v>
      </x:c>
      <x:c r="G2847" s="26" t="b">
        <x:v>1</x:v>
      </x:c>
      <x:c r="H2847" s="16" t="n">
        <x:v>0.05399999999999998</x:v>
      </x:c>
      <x:c r="I2847" s="16" t="n">
        <x:v>0</x:v>
      </x:c>
      <x:c r="J2847" s="16" t="n">
        <x:v>0</x:v>
      </x:c>
      <x:c r="K2847" s="11" t="n">
        <x:f>CHOOSE('假设'!$B$3,H2847,I2847,J2847)</x:f>
        <x:v>0</x:v>
      </x:c>
      <x:c r="L2847" s="11" t="n">
        <x:f>K2847*'管线假设'!E619*'管线假设'!F619*'管线假设'!G619*IF(E2847="USD",'管线假设'!I619,1)-AM2847</x:f>
        <x:v>0</x:v>
      </x:c>
      <x:c r="M2847" s="11" t="n">
        <x:f>'管线假设'!H619</x:f>
        <x:v>0.135</x:v>
      </x:c>
      <x:c r="N2847" s="11" t="n">
        <x:f>IF(G2847,L2847*AN2847/(1+M2847)^F2847,0)</x:f>
        <x:v>0</x:v>
      </x:c>
      <x:c r="AJ2847" t="n">
        <x:v>0</x:v>
      </x:c>
      <x:c r="AK2847" t="n">
        <x:v>0</x:v>
      </x:c>
      <x:c r="AL2847" t="n">
        <x:v>0</x:v>
      </x:c>
      <x:c r="AM2847" t="n">
        <x:f>CHOOSE('假设'!$B$3,AJ2847,AK2847,AL2847)</x:f>
        <x:v>0</x:v>
      </x:c>
      <x:c r="AN2847" t="n">
        <x:v>1</x:v>
      </x:c>
    </x:row>
    <x:row r="2848" ht="23" customHeight="1">
      <x:c r="A2848" s="11" t="str">
        <x:v>688382.SH</x:v>
      </x:c>
      <x:c r="B2848" s="11" t="str">
        <x:v>半年</x:v>
      </x:c>
      <x:c r="C2848" s="11" t="str">
        <x:v>urat_global</x:v>
      </x:c>
      <x:c r="D2848" s="11" t="str">
        <x:v>2027-12-31</x:v>
      </x:c>
      <x:c r="E2848" s="11" t="str">
        <x:v>USD</x:v>
      </x:c>
      <x:c r="F2848" s="11" t="n">
        <x:v>0.7282683093771389</x:v>
      </x:c>
      <x:c r="G2848" s="26" t="b">
        <x:v>1</x:v>
      </x:c>
      <x:c r="H2848" s="16" t="n">
        <x:v>0</x:v>
      </x:c>
      <x:c r="I2848" s="16" t="n">
        <x:v>0</x:v>
      </x:c>
      <x:c r="J2848" s="16" t="n">
        <x:v>0</x:v>
      </x:c>
      <x:c r="K2848" s="11" t="n">
        <x:f>CHOOSE('假设'!$B$3,H2848,I2848,J2848)</x:f>
        <x:v>0</x:v>
      </x:c>
      <x:c r="L2848" s="11" t="n">
        <x:f>K2848*'管线假设'!E623*'管线假设'!F623*'管线假设'!G623*IF(E2848="USD",'管线假设'!I623,1)-AM2848</x:f>
        <x:v>0</x:v>
      </x:c>
      <x:c r="M2848" s="11" t="n">
        <x:f>'管线假设'!H623</x:f>
        <x:v>0.135</x:v>
      </x:c>
      <x:c r="N2848" s="11" t="n">
        <x:f>IF(G2848,L2848*AN2848/(1+M2848)^F2848,0)</x:f>
        <x:v>0</x:v>
      </x:c>
      <x:c r="AJ2848" t="n">
        <x:v>0</x:v>
      </x:c>
      <x:c r="AK2848" t="n">
        <x:v>0</x:v>
      </x:c>
      <x:c r="AL2848" t="n">
        <x:v>0</x:v>
      </x:c>
      <x:c r="AM2848" t="n">
        <x:f>CHOOSE('假设'!$B$3,AJ2848,AK2848,AL2848)</x:f>
        <x:v>0</x:v>
      </x:c>
      <x:c r="AN2848" t="n">
        <x:v>1</x:v>
      </x:c>
    </x:row>
    <x:row r="2849" ht="23" customHeight="1">
      <x:c r="A2849" s="11" t="str">
        <x:v>688382.SH</x:v>
      </x:c>
      <x:c r="B2849" s="11" t="str">
        <x:v>半年</x:v>
      </x:c>
      <x:c r="C2849" s="11" t="str">
        <x:v>urat_global</x:v>
      </x:c>
      <x:c r="D2849" s="11" t="str">
        <x:v>2028-12-31</x:v>
      </x:c>
      <x:c r="E2849" s="11" t="str">
        <x:v>USD</x:v>
      </x:c>
      <x:c r="F2849" s="11" t="n">
        <x:v>1.730321697467488</x:v>
      </x:c>
      <x:c r="G2849" s="26" t="b">
        <x:v>1</x:v>
      </x:c>
      <x:c r="H2849" s="16" t="n">
        <x:v>0</x:v>
      </x:c>
      <x:c r="I2849" s="16" t="n">
        <x:v>0</x:v>
      </x:c>
      <x:c r="J2849" s="16" t="n">
        <x:v>0</x:v>
      </x:c>
      <x:c r="K2849" s="11" t="n">
        <x:f>CHOOSE('假设'!$B$3,H2849,I2849,J2849)</x:f>
        <x:v>0</x:v>
      </x:c>
      <x:c r="L2849" s="11" t="n">
        <x:f>K2849*'管线假设'!E623*'管线假设'!F623*'管线假设'!G623*IF(E2849="USD",'管线假设'!I623,1)-AM2849</x:f>
        <x:v>0</x:v>
      </x:c>
      <x:c r="M2849" s="11" t="n">
        <x:f>'管线假设'!H623</x:f>
        <x:v>0.135</x:v>
      </x:c>
      <x:c r="N2849" s="11" t="n">
        <x:f>IF(G2849,L2849*AN2849/(1+M2849)^F2849,0)</x:f>
        <x:v>0</x:v>
      </x:c>
      <x:c r="AJ2849" t="n">
        <x:v>0</x:v>
      </x:c>
      <x:c r="AK2849" t="n">
        <x:v>0</x:v>
      </x:c>
      <x:c r="AL2849" t="n">
        <x:v>0</x:v>
      </x:c>
      <x:c r="AM2849" t="n">
        <x:f>CHOOSE('假设'!$B$3,AJ2849,AK2849,AL2849)</x:f>
        <x:v>0</x:v>
      </x:c>
      <x:c r="AN2849" t="n">
        <x:v>1</x:v>
      </x:c>
    </x:row>
    <x:row r="2850" ht="23" customHeight="1">
      <x:c r="A2850" s="11" t="str">
        <x:v>688382.SH</x:v>
      </x:c>
      <x:c r="B2850" s="11" t="str">
        <x:v>半年</x:v>
      </x:c>
      <x:c r="C2850" s="11" t="str">
        <x:v>urat_global</x:v>
      </x:c>
      <x:c r="D2850" s="11" t="str">
        <x:v>2029-12-31</x:v>
      </x:c>
      <x:c r="E2850" s="11" t="str">
        <x:v>USD</x:v>
      </x:c>
      <x:c r="F2850" s="11" t="n">
        <x:v>2.729637234770705</x:v>
      </x:c>
      <x:c r="G2850" s="26" t="b">
        <x:v>1</x:v>
      </x:c>
      <x:c r="H2850" s="16" t="n">
        <x:v>0</x:v>
      </x:c>
      <x:c r="I2850" s="16" t="n">
        <x:v>0</x:v>
      </x:c>
      <x:c r="J2850" s="16" t="n">
        <x:v>0</x:v>
      </x:c>
      <x:c r="K2850" s="11" t="n">
        <x:f>CHOOSE('假设'!$B$3,H2850,I2850,J2850)</x:f>
        <x:v>0</x:v>
      </x:c>
      <x:c r="L2850" s="11" t="n">
        <x:f>K2850*'管线假设'!E623*'管线假设'!F623*'管线假设'!G623*IF(E2850="USD",'管线假设'!I623,1)-AM2850</x:f>
        <x:v>0</x:v>
      </x:c>
      <x:c r="M2850" s="11" t="n">
        <x:f>'管线假设'!H623</x:f>
        <x:v>0.135</x:v>
      </x:c>
      <x:c r="N2850" s="11" t="n">
        <x:f>IF(G2850,L2850*AN2850/(1+M2850)^F2850,0)</x:f>
        <x:v>0</x:v>
      </x:c>
      <x:c r="AJ2850" t="n">
        <x:v>0</x:v>
      </x:c>
      <x:c r="AK2850" t="n">
        <x:v>0</x:v>
      </x:c>
      <x:c r="AL2850" t="n">
        <x:v>0</x:v>
      </x:c>
      <x:c r="AM2850" t="n">
        <x:f>CHOOSE('假设'!$B$3,AJ2850,AK2850,AL2850)</x:f>
        <x:v>0</x:v>
      </x:c>
      <x:c r="AN2850" t="n">
        <x:v>1</x:v>
      </x:c>
    </x:row>
    <x:row r="2851" ht="23" customHeight="1">
      <x:c r="A2851" s="11" t="str">
        <x:v>688382.SH</x:v>
      </x:c>
      <x:c r="B2851" s="11" t="str">
        <x:v>半年</x:v>
      </x:c>
      <x:c r="C2851" s="11" t="str">
        <x:v>urat_global</x:v>
      </x:c>
      <x:c r="D2851" s="11" t="str">
        <x:v>2030-12-31</x:v>
      </x:c>
      <x:c r="E2851" s="11" t="str">
        <x:v>USD</x:v>
      </x:c>
      <x:c r="F2851" s="11" t="n">
        <x:v>3.728952772073922</x:v>
      </x:c>
      <x:c r="G2851" s="26" t="b">
        <x:v>1</x:v>
      </x:c>
      <x:c r="H2851" s="16" t="n">
        <x:v>0</x:v>
      </x:c>
      <x:c r="I2851" s="16" t="n">
        <x:v>0</x:v>
      </x:c>
      <x:c r="J2851" s="16" t="n">
        <x:v>0</x:v>
      </x:c>
      <x:c r="K2851" s="11" t="n">
        <x:f>CHOOSE('假设'!$B$3,H2851,I2851,J2851)</x:f>
        <x:v>0</x:v>
      </x:c>
      <x:c r="L2851" s="11" t="n">
        <x:f>K2851*'管线假设'!E623*'管线假设'!F623*'管线假设'!G623*IF(E2851="USD",'管线假设'!I623,1)-AM2851</x:f>
        <x:v>0</x:v>
      </x:c>
      <x:c r="M2851" s="11" t="n">
        <x:f>'管线假设'!H623</x:f>
        <x:v>0.135</x:v>
      </x:c>
      <x:c r="N2851" s="11" t="n">
        <x:f>IF(G2851,L2851*AN2851/(1+M2851)^F2851,0)</x:f>
        <x:v>0</x:v>
      </x:c>
      <x:c r="AJ2851" t="n">
        <x:v>0</x:v>
      </x:c>
      <x:c r="AK2851" t="n">
        <x:v>0</x:v>
      </x:c>
      <x:c r="AL2851" t="n">
        <x:v>0</x:v>
      </x:c>
      <x:c r="AM2851" t="n">
        <x:f>CHOOSE('假设'!$B$3,AJ2851,AK2851,AL2851)</x:f>
        <x:v>0</x:v>
      </x:c>
      <x:c r="AN2851" t="n">
        <x:v>1</x:v>
      </x:c>
    </x:row>
    <x:row r="2852" ht="23" customHeight="1">
      <x:c r="A2852" s="11" t="str">
        <x:v>688382.SH</x:v>
      </x:c>
      <x:c r="B2852" s="11" t="str">
        <x:v>半年</x:v>
      </x:c>
      <x:c r="C2852" s="11" t="str">
        <x:v>urat_global</x:v>
      </x:c>
      <x:c r="D2852" s="11" t="str">
        <x:v>2031-12-31</x:v>
      </x:c>
      <x:c r="E2852" s="11" t="str">
        <x:v>USD</x:v>
      </x:c>
      <x:c r="F2852" s="11" t="n">
        <x:v>4.728268309377139</x:v>
      </x:c>
      <x:c r="G2852" s="26" t="b">
        <x:v>1</x:v>
      </x:c>
      <x:c r="H2852" s="16" t="n">
        <x:v>0</x:v>
      </x:c>
      <x:c r="I2852" s="16" t="n">
        <x:v>0</x:v>
      </x:c>
      <x:c r="J2852" s="16" t="n">
        <x:v>0.3666666666666667</x:v>
      </x:c>
      <x:c r="K2852" s="11" t="n">
        <x:f>CHOOSE('假设'!$B$3,H2852,I2852,J2852)</x:f>
        <x:v>0</x:v>
      </x:c>
      <x:c r="L2852" s="11" t="n">
        <x:f>K2852*'管线假设'!E623*'管线假设'!F623*'管线假设'!G623*IF(E2852="USD",'管线假设'!I623,1)-AM2852</x:f>
        <x:v>0</x:v>
      </x:c>
      <x:c r="M2852" s="11" t="n">
        <x:f>'管线假设'!H623</x:f>
        <x:v>0.135</x:v>
      </x:c>
      <x:c r="N2852" s="11" t="n">
        <x:f>IF(G2852,L2852*AN2852/(1+M2852)^F2852,0)</x:f>
        <x:v>0</x:v>
      </x:c>
      <x:c r="AJ2852" t="n">
        <x:v>0</x:v>
      </x:c>
      <x:c r="AK2852" t="n">
        <x:v>0</x:v>
      </x:c>
      <x:c r="AL2852" t="n">
        <x:v>0</x:v>
      </x:c>
      <x:c r="AM2852" t="n">
        <x:f>CHOOSE('假设'!$B$3,AJ2852,AK2852,AL2852)</x:f>
        <x:v>0</x:v>
      </x:c>
      <x:c r="AN2852" t="n">
        <x:v>1</x:v>
      </x:c>
    </x:row>
    <x:row r="2853" ht="23" customHeight="1">
      <x:c r="A2853" s="11" t="str">
        <x:v>688382.SH</x:v>
      </x:c>
      <x:c r="B2853" s="11" t="str">
        <x:v>半年</x:v>
      </x:c>
      <x:c r="C2853" s="11" t="str">
        <x:v>urat_global</x:v>
      </x:c>
      <x:c r="D2853" s="11" t="str">
        <x:v>2032-12-31</x:v>
      </x:c>
      <x:c r="E2853" s="11" t="str">
        <x:v>USD</x:v>
      </x:c>
      <x:c r="F2853" s="11" t="n">
        <x:v>5.730321697467488</x:v>
      </x:c>
      <x:c r="G2853" s="26" t="b">
        <x:v>1</x:v>
      </x:c>
      <x:c r="H2853" s="16" t="n">
        <x:v>0</x:v>
      </x:c>
      <x:c r="I2853" s="16" t="n">
        <x:v>0</x:v>
      </x:c>
      <x:c r="J2853" s="16" t="n">
        <x:v>0.7333333333333334</x:v>
      </x:c>
      <x:c r="K2853" s="11" t="n">
        <x:f>CHOOSE('假设'!$B$3,H2853,I2853,J2853)</x:f>
        <x:v>0</x:v>
      </x:c>
      <x:c r="L2853" s="11" t="n">
        <x:f>K2853*'管线假设'!E623*'管线假设'!F623*'管线假设'!G623*IF(E2853="USD",'管线假设'!I623,1)-AM2853</x:f>
        <x:v>0</x:v>
      </x:c>
      <x:c r="M2853" s="11" t="n">
        <x:f>'管线假设'!H623</x:f>
        <x:v>0.135</x:v>
      </x:c>
      <x:c r="N2853" s="11" t="n">
        <x:f>IF(G2853,L2853*AN2853/(1+M2853)^F2853,0)</x:f>
        <x:v>0</x:v>
      </x:c>
      <x:c r="AJ2853" t="n">
        <x:v>0</x:v>
      </x:c>
      <x:c r="AK2853" t="n">
        <x:v>0</x:v>
      </x:c>
      <x:c r="AL2853" t="n">
        <x:v>0</x:v>
      </x:c>
      <x:c r="AM2853" t="n">
        <x:f>CHOOSE('假设'!$B$3,AJ2853,AK2853,AL2853)</x:f>
        <x:v>0</x:v>
      </x:c>
      <x:c r="AN2853" t="n">
        <x:v>1</x:v>
      </x:c>
    </x:row>
    <x:row r="2854" ht="23" customHeight="1">
      <x:c r="A2854" s="11" t="str">
        <x:v>688382.SH</x:v>
      </x:c>
      <x:c r="B2854" s="11" t="str">
        <x:v>半年</x:v>
      </x:c>
      <x:c r="C2854" s="11" t="str">
        <x:v>urat_global</x:v>
      </x:c>
      <x:c r="D2854" s="11" t="str">
        <x:v>2033-12-31</x:v>
      </x:c>
      <x:c r="E2854" s="11" t="str">
        <x:v>USD</x:v>
      </x:c>
      <x:c r="F2854" s="11" t="n">
        <x:v>6.729637234770705</x:v>
      </x:c>
      <x:c r="G2854" s="26" t="b">
        <x:v>1</x:v>
      </x:c>
      <x:c r="H2854" s="16" t="n">
        <x:v>0</x:v>
      </x:c>
      <x:c r="I2854" s="16" t="n">
        <x:v>0.18333333333333335</x:v>
      </x:c>
      <x:c r="J2854" s="16" t="n">
        <x:v>1.1</x:v>
      </x:c>
      <x:c r="K2854" s="11" t="n">
        <x:f>CHOOSE('假设'!$B$3,H2854,I2854,J2854)</x:f>
        <x:v>0.18333333333333335</x:v>
      </x:c>
      <x:c r="L2854" s="11" t="n">
        <x:f>K2854*'管线假设'!E623*'管线假设'!F623*'管线假设'!G623*IF(E2854="USD",'管线假设'!I623,1)-AM2854</x:f>
        <x:v>0.027090066666666676</x:v>
      </x:c>
      <x:c r="M2854" s="11" t="n">
        <x:f>'管线假设'!H623</x:f>
        <x:v>0.135</x:v>
      </x:c>
      <x:c r="N2854" s="11" t="n">
        <x:f>IF(G2854,L2854*AN2854/(1+M2854)^F2854,0)</x:f>
        <x:v>0.011553348566972767</x:v>
      </x:c>
      <x:c r="AJ2854" t="n">
        <x:v>0</x:v>
      </x:c>
      <x:c r="AK2854" t="n">
        <x:v>0</x:v>
      </x:c>
      <x:c r="AL2854" t="n">
        <x:v>0</x:v>
      </x:c>
      <x:c r="AM2854" t="n">
        <x:f>CHOOSE('假设'!$B$3,AJ2854,AK2854,AL2854)</x:f>
        <x:v>0</x:v>
      </x:c>
      <x:c r="AN2854" t="n">
        <x:v>1</x:v>
      </x:c>
    </x:row>
    <x:row r="2855" ht="23" customHeight="1">
      <x:c r="A2855" s="11" t="str">
        <x:v>688382.SH</x:v>
      </x:c>
      <x:c r="B2855" s="11" t="str">
        <x:v>半年</x:v>
      </x:c>
      <x:c r="C2855" s="11" t="str">
        <x:v>urat_global</x:v>
      </x:c>
      <x:c r="D2855" s="11" t="str">
        <x:v>2034-12-31</x:v>
      </x:c>
      <x:c r="E2855" s="11" t="str">
        <x:v>USD</x:v>
      </x:c>
      <x:c r="F2855" s="11" t="n">
        <x:v>7.728952772073922</x:v>
      </x:c>
      <x:c r="G2855" s="26" t="b">
        <x:v>1</x:v>
      </x:c>
      <x:c r="H2855" s="16" t="n">
        <x:v>0</x:v>
      </x:c>
      <x:c r="I2855" s="16" t="n">
        <x:v>0.3666666666666667</x:v>
      </x:c>
      <x:c r="J2855" s="16" t="n">
        <x:v>1.4666666666666668</x:v>
      </x:c>
      <x:c r="K2855" s="11" t="n">
        <x:f>CHOOSE('假设'!$B$3,H2855,I2855,J2855)</x:f>
        <x:v>0.3666666666666667</x:v>
      </x:c>
      <x:c r="L2855" s="11" t="n">
        <x:f>K2855*'管线假设'!E623*'管线假设'!F623*'管线假设'!G623*IF(E2855="USD",'管线假设'!I623,1)-AM2855</x:f>
        <x:v>0.05418013333333335</x:v>
      </x:c>
      <x:c r="M2855" s="11" t="n">
        <x:f>'管线假设'!H623</x:f>
        <x:v>0.135</x:v>
      </x:c>
      <x:c r="N2855" s="11" t="n">
        <x:f>IF(G2855,L2855*AN2855/(1+M2855)^F2855,0)</x:f>
        <x:v>0.02036008810682393</x:v>
      </x:c>
      <x:c r="AJ2855" t="n">
        <x:v>0</x:v>
      </x:c>
      <x:c r="AK2855" t="n">
        <x:v>0</x:v>
      </x:c>
      <x:c r="AL2855" t="n">
        <x:v>0</x:v>
      </x:c>
      <x:c r="AM2855" t="n">
        <x:f>CHOOSE('假设'!$B$3,AJ2855,AK2855,AL2855)</x:f>
        <x:v>0</x:v>
      </x:c>
      <x:c r="AN2855" t="n">
        <x:v>1</x:v>
      </x:c>
    </x:row>
    <x:row r="2856" ht="23" customHeight="1">
      <x:c r="A2856" s="11" t="str">
        <x:v>688382.SH</x:v>
      </x:c>
      <x:c r="B2856" s="11" t="str">
        <x:v>半年</x:v>
      </x:c>
      <x:c r="C2856" s="11" t="str">
        <x:v>urat_global</x:v>
      </x:c>
      <x:c r="D2856" s="11" t="str">
        <x:v>2035-12-31</x:v>
      </x:c>
      <x:c r="E2856" s="11" t="str">
        <x:v>USD</x:v>
      </x:c>
      <x:c r="F2856" s="11" t="n">
        <x:v>8.728268309377139</x:v>
      </x:c>
      <x:c r="G2856" s="26" t="b">
        <x:v>1</x:v>
      </x:c>
      <x:c r="H2856" s="16" t="n">
        <x:v>0</x:v>
      </x:c>
      <x:c r="I2856" s="16" t="n">
        <x:v>0.55</x:v>
      </x:c>
      <x:c r="J2856" s="16" t="n">
        <x:v>1.8333333333333335</x:v>
      </x:c>
      <x:c r="K2856" s="11" t="n">
        <x:f>CHOOSE('假设'!$B$3,H2856,I2856,J2856)</x:f>
        <x:v>0.55</x:v>
      </x:c>
      <x:c r="L2856" s="11" t="n">
        <x:f>K2856*'管线假设'!E623*'管线假设'!F623*'管线假设'!G623*IF(E2856="USD",'管线假设'!I623,1)-AM2856</x:f>
        <x:v>0.08127020000000003</x:v>
      </x:c>
      <x:c r="M2856" s="11" t="n">
        <x:f>'管线假设'!H623</x:f>
        <x:v>0.135</x:v>
      </x:c>
      <x:c r="N2856" s="11" t="n">
        <x:f>IF(G2856,L2856*AN2856/(1+M2856)^F2856,0)</x:f>
        <x:v>0.026909937754062547</x:v>
      </x:c>
      <x:c r="AJ2856" t="n">
        <x:v>0</x:v>
      </x:c>
      <x:c r="AK2856" t="n">
        <x:v>0</x:v>
      </x:c>
      <x:c r="AL2856" t="n">
        <x:v>0</x:v>
      </x:c>
      <x:c r="AM2856" t="n">
        <x:f>CHOOSE('假设'!$B$3,AJ2856,AK2856,AL2856)</x:f>
        <x:v>0</x:v>
      </x:c>
      <x:c r="AN2856" t="n">
        <x:v>1</x:v>
      </x:c>
    </x:row>
    <x:row r="2857" ht="23" customHeight="1">
      <x:c r="A2857" s="11" t="str">
        <x:v>688382.SH</x:v>
      </x:c>
      <x:c r="B2857" s="11" t="str">
        <x:v>半年</x:v>
      </x:c>
      <x:c r="C2857" s="11" t="str">
        <x:v>urat_global</x:v>
      </x:c>
      <x:c r="D2857" s="11" t="str">
        <x:v>2036-12-31</x:v>
      </x:c>
      <x:c r="E2857" s="11" t="str">
        <x:v>USD</x:v>
      </x:c>
      <x:c r="F2857" s="11" t="n">
        <x:v>9.730321697467488</x:v>
      </x:c>
      <x:c r="G2857" s="26" t="b">
        <x:v>1</x:v>
      </x:c>
      <x:c r="H2857" s="16" t="n">
        <x:v>0.08000000000000002</x:v>
      </x:c>
      <x:c r="I2857" s="16" t="n">
        <x:v>0.7333333333333334</x:v>
      </x:c>
      <x:c r="J2857" s="16" t="n">
        <x:v>2.2</x:v>
      </x:c>
      <x:c r="K2857" s="11" t="n">
        <x:f>CHOOSE('假设'!$B$3,H2857,I2857,J2857)</x:f>
        <x:v>0.7333333333333334</x:v>
      </x:c>
      <x:c r="L2857" s="11" t="n">
        <x:f>K2857*'管线假设'!E623*'管线假设'!F623*'管线假设'!G623*IF(E2857="USD",'管线假设'!I623,1)-AM2857</x:f>
        <x:v>0.1083602666666667</x:v>
      </x:c>
      <x:c r="M2857" s="11" t="n">
        <x:f>'管线假设'!H623</x:f>
        <x:v>0.135</x:v>
      </x:c>
      <x:c r="N2857" s="11" t="n">
        <x:f>IF(G2857,L2857*AN2857/(1+M2857)^F2857,0)</x:f>
        <x:v>0.03160404273815967</x:v>
      </x:c>
      <x:c r="AJ2857" t="n">
        <x:v>0</x:v>
      </x:c>
      <x:c r="AK2857" t="n">
        <x:v>0</x:v>
      </x:c>
      <x:c r="AL2857" t="n">
        <x:v>0</x:v>
      </x:c>
      <x:c r="AM2857" t="n">
        <x:f>CHOOSE('假设'!$B$3,AJ2857,AK2857,AL2857)</x:f>
        <x:v>0</x:v>
      </x:c>
      <x:c r="AN2857" t="n">
        <x:v>1</x:v>
      </x:c>
    </x:row>
    <x:row r="2858" ht="23" customHeight="1">
      <x:c r="A2858" s="11" t="str">
        <x:v>688382.SH</x:v>
      </x:c>
      <x:c r="B2858" s="11" t="str">
        <x:v>半年</x:v>
      </x:c>
      <x:c r="C2858" s="11" t="str">
        <x:v>urat_global</x:v>
      </x:c>
      <x:c r="D2858" s="11" t="str">
        <x:v>2037-12-31</x:v>
      </x:c>
      <x:c r="E2858" s="11" t="str">
        <x:v>USD</x:v>
      </x:c>
      <x:c r="F2858" s="11" t="n">
        <x:v>10.729637234770705</x:v>
      </x:c>
      <x:c r="G2858" s="26" t="b">
        <x:v>1</x:v>
      </x:c>
      <x:c r="H2858" s="16" t="n">
        <x:v>0.16000000000000003</x:v>
      </x:c>
      <x:c r="I2858" s="16" t="n">
        <x:v>0.9166666666666667</x:v>
      </x:c>
      <x:c r="J2858" s="16" t="n">
        <x:v>1.9140000000000001</x:v>
      </x:c>
      <x:c r="K2858" s="11" t="n">
        <x:f>CHOOSE('假设'!$B$3,H2858,I2858,J2858)</x:f>
        <x:v>0.9166666666666667</x:v>
      </x:c>
      <x:c r="L2858" s="11" t="n">
        <x:f>K2858*'管线假设'!E623*'管线假设'!F623*'管线假设'!G623*IF(E2858="USD",'管线假设'!I623,1)-AM2858</x:f>
        <x:v>0.13545033333333337</x:v>
      </x:c>
      <x:c r="M2858" s="11" t="n">
        <x:f>'管线假设'!H623</x:f>
        <x:v>0.135</x:v>
      </x:c>
      <x:c r="N2858" s="11" t="n">
        <x:f>IF(G2858,L2858*AN2858/(1+M2858)^F2858,0)</x:f>
        <x:v>0.03480923144006297</x:v>
      </x:c>
      <x:c r="AJ2858" t="n">
        <x:v>0</x:v>
      </x:c>
      <x:c r="AK2858" t="n">
        <x:v>0</x:v>
      </x:c>
      <x:c r="AL2858" t="n">
        <x:v>0</x:v>
      </x:c>
      <x:c r="AM2858" t="n">
        <x:f>CHOOSE('假设'!$B$3,AJ2858,AK2858,AL2858)</x:f>
        <x:v>0</x:v>
      </x:c>
      <x:c r="AN2858" t="n">
        <x:v>1</x:v>
      </x:c>
    </x:row>
    <x:row r="2859" ht="23" customHeight="1">
      <x:c r="A2859" s="11" t="str">
        <x:v>688382.SH</x:v>
      </x:c>
      <x:c r="B2859" s="11" t="str">
        <x:v>半年</x:v>
      </x:c>
      <x:c r="C2859" s="11" t="str">
        <x:v>urat_global</x:v>
      </x:c>
      <x:c r="D2859" s="11" t="str">
        <x:v>2038-12-31</x:v>
      </x:c>
      <x:c r="E2859" s="11" t="str">
        <x:v>USD</x:v>
      </x:c>
      <x:c r="F2859" s="11" t="n">
        <x:v>11.728952772073923</x:v>
      </x:c>
      <x:c r="G2859" s="26" t="b">
        <x:v>1</x:v>
      </x:c>
      <x:c r="H2859" s="16" t="n">
        <x:v>0.24</x:v>
      </x:c>
      <x:c r="I2859" s="16" t="n">
        <x:v>1.1</x:v>
      </x:c>
      <x:c r="J2859" s="16" t="n">
        <x:v>1.6280000000000001</x:v>
      </x:c>
      <x:c r="K2859" s="11" t="n">
        <x:f>CHOOSE('假设'!$B$3,H2859,I2859,J2859)</x:f>
        <x:v>1.1</x:v>
      </x:c>
      <x:c r="L2859" s="11" t="n">
        <x:f>K2859*'管线假设'!E623*'管线假设'!F623*'管线假设'!G623*IF(E2859="USD",'管线假设'!I623,1)-AM2859</x:f>
        <x:v>0.16254040000000006</x:v>
      </x:c>
      <x:c r="M2859" s="11" t="n">
        <x:f>'管线假设'!H623</x:f>
        <x:v>0.135</x:v>
      </x:c>
      <x:c r="N2859" s="11" t="n">
        <x:f>IF(G2859,L2859*AN2859/(1+M2859)^F2859,0)</x:f>
        <x:v>0.036805901679959833</x:v>
      </x:c>
      <x:c r="AJ2859" t="n">
        <x:v>0</x:v>
      </x:c>
      <x:c r="AK2859" t="n">
        <x:v>0</x:v>
      </x:c>
      <x:c r="AL2859" t="n">
        <x:v>0</x:v>
      </x:c>
      <x:c r="AM2859" t="n">
        <x:f>CHOOSE('假设'!$B$3,AJ2859,AK2859,AL2859)</x:f>
        <x:v>0</x:v>
      </x:c>
      <x:c r="AN2859" t="n">
        <x:v>1</x:v>
      </x:c>
    </x:row>
    <x:row r="2860" ht="23" customHeight="1">
      <x:c r="A2860" s="11" t="str">
        <x:v>688382.SH</x:v>
      </x:c>
      <x:c r="B2860" s="11" t="str">
        <x:v>半年</x:v>
      </x:c>
      <x:c r="C2860" s="11" t="str">
        <x:v>urat_global</x:v>
      </x:c>
      <x:c r="D2860" s="11" t="str">
        <x:v>2039-12-31</x:v>
      </x:c>
      <x:c r="E2860" s="11" t="str">
        <x:v>USD</x:v>
      </x:c>
      <x:c r="F2860" s="11" t="n">
        <x:v>12.728268309377139</x:v>
      </x:c>
      <x:c r="G2860" s="26" t="b">
        <x:v>1</x:v>
      </x:c>
      <x:c r="H2860" s="16" t="n">
        <x:v>0.32000000000000006</x:v>
      </x:c>
      <x:c r="I2860" s="16" t="n">
        <x:v>0.9570000000000001</x:v>
      </x:c>
      <x:c r="J2860" s="16" t="n">
        <x:v>1.342</x:v>
      </x:c>
      <x:c r="K2860" s="11" t="n">
        <x:f>CHOOSE('假设'!$B$3,H2860,I2860,J2860)</x:f>
        <x:v>0.9570000000000001</x:v>
      </x:c>
      <x:c r="L2860" s="11" t="n">
        <x:f>K2860*'管线假设'!E623*'管线假设'!F623*'管线假设'!G623*IF(E2860="USD",'管线假设'!I623,1)-AM2860</x:f>
        <x:v>0.14141014800000004</x:v>
      </x:c>
      <x:c r="M2860" s="11" t="n">
        <x:f>'管线假设'!H623</x:f>
        <x:v>0.135</x:v>
      </x:c>
      <x:c r="N2860" s="11" t="n">
        <x:f>IF(G2860,L2860*AN2860/(1+M2860)^F2860,0)</x:f>
        <x:v>0.028214898699656682</x:v>
      </x:c>
      <x:c r="AJ2860" t="n">
        <x:v>0</x:v>
      </x:c>
      <x:c r="AK2860" t="n">
        <x:v>0</x:v>
      </x:c>
      <x:c r="AL2860" t="n">
        <x:v>0</x:v>
      </x:c>
      <x:c r="AM2860" t="n">
        <x:f>CHOOSE('假设'!$B$3,AJ2860,AK2860,AL2860)</x:f>
        <x:v>0</x:v>
      </x:c>
      <x:c r="AN2860" t="n">
        <x:v>1</x:v>
      </x:c>
    </x:row>
    <x:row r="2861" ht="23" customHeight="1">
      <x:c r="A2861" s="11" t="str">
        <x:v>688382.SH</x:v>
      </x:c>
      <x:c r="B2861" s="11" t="str">
        <x:v>半年</x:v>
      </x:c>
      <x:c r="C2861" s="11" t="str">
        <x:v>urat_global</x:v>
      </x:c>
      <x:c r="D2861" s="11" t="str">
        <x:v>2040-12-31</x:v>
      </x:c>
      <x:c r="E2861" s="11" t="str">
        <x:v>USD</x:v>
      </x:c>
      <x:c r="F2861" s="11" t="n">
        <x:v>13.730321697467488</x:v>
      </x:c>
      <x:c r="G2861" s="26" t="b">
        <x:v>1</x:v>
      </x:c>
      <x:c r="H2861" s="16" t="n">
        <x:v>0.4</x:v>
      </x:c>
      <x:c r="I2861" s="16" t="n">
        <x:v>0.8140000000000001</x:v>
      </x:c>
      <x:c r="J2861" s="16" t="n">
        <x:v>1.056</x:v>
      </x:c>
      <x:c r="K2861" s="11" t="n">
        <x:f>CHOOSE('假设'!$B$3,H2861,I2861,J2861)</x:f>
        <x:v>0.8140000000000001</x:v>
      </x:c>
      <x:c r="L2861" s="11" t="n">
        <x:f>K2861*'管线假设'!E623*'管线假设'!F623*'管线假设'!G623*IF(E2861="USD",'管线假设'!I623,1)-AM2861</x:f>
        <x:v>0.12027989600000003</x:v>
      </x:c>
      <x:c r="M2861" s="11" t="n">
        <x:f>'管线假设'!H623</x:f>
        <x:v>0.135</x:v>
      </x:c>
      <x:c r="N2861" s="11" t="n">
        <x:f>IF(G2861,L2861*AN2861/(1+M2861)^F2861,0)</x:f>
        <x:v>0.021138889720640874</x:v>
      </x:c>
      <x:c r="AJ2861" t="n">
        <x:v>0</x:v>
      </x:c>
      <x:c r="AK2861" t="n">
        <x:v>0</x:v>
      </x:c>
      <x:c r="AL2861" t="n">
        <x:v>0</x:v>
      </x:c>
      <x:c r="AM2861" t="n">
        <x:f>CHOOSE('假设'!$B$3,AJ2861,AK2861,AL2861)</x:f>
        <x:v>0</x:v>
      </x:c>
      <x:c r="AN2861" t="n">
        <x:v>1</x:v>
      </x:c>
    </x:row>
    <x:row r="2862" ht="23" customHeight="1">
      <x:c r="A2862" s="11" t="str">
        <x:v>688382.SH</x:v>
      </x:c>
      <x:c r="B2862" s="11" t="str">
        <x:v>半年</x:v>
      </x:c>
      <x:c r="C2862" s="11" t="str">
        <x:v>urat_global</x:v>
      </x:c>
      <x:c r="D2862" s="11" t="str">
        <x:v>2041-12-31</x:v>
      </x:c>
      <x:c r="E2862" s="11" t="str">
        <x:v>USD</x:v>
      </x:c>
      <x:c r="F2862" s="11" t="n">
        <x:v>14.729637234770705</x:v>
      </x:c>
      <x:c r="G2862" s="26" t="b">
        <x:v>1</x:v>
      </x:c>
      <x:c r="H2862" s="16" t="n">
        <x:v>0.34800000000000003</x:v>
      </x:c>
      <x:c r="I2862" s="16" t="n">
        <x:v>0.671</x:v>
      </x:c>
      <x:c r="J2862" s="16" t="n">
        <x:v>0.77</x:v>
      </x:c>
      <x:c r="K2862" s="11" t="n">
        <x:f>CHOOSE('假设'!$B$3,H2862,I2862,J2862)</x:f>
        <x:v>0.671</x:v>
      </x:c>
      <x:c r="L2862" s="11" t="n">
        <x:f>K2862*'管线假设'!E623*'管线假设'!F623*'管线假设'!G623*IF(E2862="USD",'管线假设'!I623,1)-AM2862</x:f>
        <x:v>0.09914964400000002</x:v>
      </x:c>
      <x:c r="M2862" s="11" t="n">
        <x:f>'管线假设'!H623</x:f>
        <x:v>0.135</x:v>
      </x:c>
      <x:c r="N2862" s="11" t="n">
        <x:f>IF(G2862,L2862*AN2862/(1+M2862)^F2862,0)</x:f>
        <x:v>0.015354018850246473</x:v>
      </x:c>
      <x:c r="AJ2862" t="n">
        <x:v>0</x:v>
      </x:c>
      <x:c r="AK2862" t="n">
        <x:v>0</x:v>
      </x:c>
      <x:c r="AL2862" t="n">
        <x:v>0</x:v>
      </x:c>
      <x:c r="AM2862" t="n">
        <x:f>CHOOSE('假设'!$B$3,AJ2862,AK2862,AL2862)</x:f>
        <x:v>0</x:v>
      </x:c>
      <x:c r="AN2862" t="n">
        <x:v>1</x:v>
      </x:c>
    </x:row>
    <x:row r="2863" ht="23" customHeight="1">
      <x:c r="A2863" s="11" t="str">
        <x:v>688382.SH</x:v>
      </x:c>
      <x:c r="B2863" s="11" t="str">
        <x:v>半年</x:v>
      </x:c>
      <x:c r="C2863" s="11" t="str">
        <x:v>urat_global</x:v>
      </x:c>
      <x:c r="D2863" s="11" t="str">
        <x:v>2042-12-31</x:v>
      </x:c>
      <x:c r="E2863" s="11" t="str">
        <x:v>USD</x:v>
      </x:c>
      <x:c r="F2863" s="11" t="n">
        <x:v>15.728952772073923</x:v>
      </x:c>
      <x:c r="G2863" s="26" t="b">
        <x:v>1</x:v>
      </x:c>
      <x:c r="H2863" s="16" t="n">
        <x:v>0.296</x:v>
      </x:c>
      <x:c r="I2863" s="16" t="n">
        <x:v>0.528</x:v>
      </x:c>
      <x:c r="J2863" s="16" t="n">
        <x:v>0.484</x:v>
      </x:c>
      <x:c r="K2863" s="11" t="n">
        <x:f>CHOOSE('假设'!$B$3,H2863,I2863,J2863)</x:f>
        <x:v>0.528</x:v>
      </x:c>
      <x:c r="L2863" s="11" t="n">
        <x:f>K2863*'管线假设'!E623*'管线假设'!F623*'管线假设'!G623*IF(E2863="USD",'管线假设'!I623,1)-AM2863</x:f>
        <x:v>0.07801939200000002</x:v>
      </x:c>
      <x:c r="M2863" s="11" t="n">
        <x:f>'管线假设'!H623</x:f>
        <x:v>0.135</x:v>
      </x:c>
      <x:c r="N2863" s="11" t="n">
        <x:f>IF(G2863,L2863*AN2863/(1+M2863)^F2863,0)</x:f>
        <x:v>0.010645725235507877</x:v>
      </x:c>
      <x:c r="AJ2863" t="n">
        <x:v>0</x:v>
      </x:c>
      <x:c r="AK2863" t="n">
        <x:v>0</x:v>
      </x:c>
      <x:c r="AL2863" t="n">
        <x:v>0</x:v>
      </x:c>
      <x:c r="AM2863" t="n">
        <x:f>CHOOSE('假设'!$B$3,AJ2863,AK2863,AL2863)</x:f>
        <x:v>0</x:v>
      </x:c>
      <x:c r="AN2863" t="n">
        <x:v>1</x:v>
      </x:c>
    </x:row>
    <x:row r="2864" ht="23" customHeight="1">
      <x:c r="A2864" s="11" t="str">
        <x:v>688382.SH</x:v>
      </x:c>
      <x:c r="B2864" s="11" t="str">
        <x:v>半年</x:v>
      </x:c>
      <x:c r="C2864" s="11" t="str">
        <x:v>urat_global</x:v>
      </x:c>
      <x:c r="D2864" s="11" t="str">
        <x:v>2043-12-31</x:v>
      </x:c>
      <x:c r="E2864" s="11" t="str">
        <x:v>USD</x:v>
      </x:c>
      <x:c r="F2864" s="11" t="n">
        <x:v>16.72826830937714</x:v>
      </x:c>
      <x:c r="G2864" s="26" t="b">
        <x:v>1</x:v>
      </x:c>
      <x:c r="H2864" s="16" t="n">
        <x:v>0.244</x:v>
      </x:c>
      <x:c r="I2864" s="16" t="n">
        <x:v>0.385</x:v>
      </x:c>
      <x:c r="J2864" s="16" t="n">
        <x:v>0.19799999999999995</x:v>
      </x:c>
      <x:c r="K2864" s="11" t="n">
        <x:f>CHOOSE('假设'!$B$3,H2864,I2864,J2864)</x:f>
        <x:v>0.385</x:v>
      </x:c>
      <x:c r="L2864" s="11" t="n">
        <x:f>K2864*'管线假设'!E623*'管线假设'!F623*'管线假设'!G623*IF(E2864="USD",'管线假设'!I623,1)-AM2864</x:f>
        <x:v>0.05688914000000001</x:v>
      </x:c>
      <x:c r="M2864" s="11" t="n">
        <x:f>'管线假设'!H623</x:f>
        <x:v>0.135</x:v>
      </x:c>
      <x:c r="N2864" s="11" t="n">
        <x:f>IF(G2864,L2864*AN2864/(1+M2864)^F2864,0)</x:f>
        <x:v>0.006839806899816678</x:v>
      </x:c>
      <x:c r="AJ2864" t="n">
        <x:v>0</x:v>
      </x:c>
      <x:c r="AK2864" t="n">
        <x:v>0</x:v>
      </x:c>
      <x:c r="AL2864" t="n">
        <x:v>0</x:v>
      </x:c>
      <x:c r="AM2864" t="n">
        <x:f>CHOOSE('假设'!$B$3,AJ2864,AK2864,AL2864)</x:f>
        <x:v>0</x:v>
      </x:c>
      <x:c r="AN2864" t="n">
        <x:v>1</x:v>
      </x:c>
    </x:row>
    <x:row r="2865" ht="23" customHeight="1">
      <x:c r="A2865" s="11" t="str">
        <x:v>688382.SH</x:v>
      </x:c>
      <x:c r="B2865" s="11" t="str">
        <x:v>半年</x:v>
      </x:c>
      <x:c r="C2865" s="11" t="str">
        <x:v>urat_global</x:v>
      </x:c>
      <x:c r="D2865" s="11" t="str">
        <x:v>2044-12-31</x:v>
      </x:c>
      <x:c r="E2865" s="11" t="str">
        <x:v>USD</x:v>
      </x:c>
      <x:c r="F2865" s="11" t="n">
        <x:v>17.730321697467488</x:v>
      </x:c>
      <x:c r="G2865" s="26" t="b">
        <x:v>1</x:v>
      </x:c>
      <x:c r="H2865" s="16" t="n">
        <x:v>0.192</x:v>
      </x:c>
      <x:c r="I2865" s="16" t="n">
        <x:v>0.242</x:v>
      </x:c>
      <x:c r="J2865" s="16" t="n">
        <x:v>0</x:v>
      </x:c>
      <x:c r="K2865" s="11" t="n">
        <x:f>CHOOSE('假设'!$B$3,H2865,I2865,J2865)</x:f>
        <x:v>0.242</x:v>
      </x:c>
      <x:c r="L2865" s="11" t="n">
        <x:f>K2865*'管线假设'!E623*'管线假设'!F623*'管线假设'!G623*IF(E2865="USD",'管线假设'!I623,1)-AM2865</x:f>
        <x:v>0.03575888800000001</x:v>
      </x:c>
      <x:c r="M2865" s="11" t="n">
        <x:f>'管线假设'!H623</x:f>
        <x:v>0.135</x:v>
      </x:c>
      <x:c r="N2865" s="11" t="n">
        <x:f>IF(G2865,L2865*AN2865/(1+M2865)^F2865,0)</x:f>
        <x:v>0.00378695102021915</x:v>
      </x:c>
      <x:c r="AJ2865" t="n">
        <x:v>0</x:v>
      </x:c>
      <x:c r="AK2865" t="n">
        <x:v>0</x:v>
      </x:c>
      <x:c r="AL2865" t="n">
        <x:v>0</x:v>
      </x:c>
      <x:c r="AM2865" t="n">
        <x:f>CHOOSE('假设'!$B$3,AJ2865,AK2865,AL2865)</x:f>
        <x:v>0</x:v>
      </x:c>
      <x:c r="AN2865" t="n">
        <x:v>1</x:v>
      </x:c>
    </x:row>
    <x:row r="2866" ht="23" customHeight="1">
      <x:c r="A2866" s="11" t="str">
        <x:v>688382.SH</x:v>
      </x:c>
      <x:c r="B2866" s="11" t="str">
        <x:v>半年</x:v>
      </x:c>
      <x:c r="C2866" s="11" t="str">
        <x:v>urat_global</x:v>
      </x:c>
      <x:c r="D2866" s="11" t="str">
        <x:v>2045-12-31</x:v>
      </x:c>
      <x:c r="E2866" s="11" t="str">
        <x:v>USD</x:v>
      </x:c>
      <x:c r="F2866" s="11" t="n">
        <x:v>18.729637234770706</x:v>
      </x:c>
      <x:c r="G2866" s="26" t="b">
        <x:v>1</x:v>
      </x:c>
      <x:c r="H2866" s="16" t="n">
        <x:v>0.13999999999999999</x:v>
      </x:c>
      <x:c r="I2866" s="16" t="n">
        <x:v>0.09899999999999998</x:v>
      </x:c>
      <x:c r="J2866" s="16" t="n">
        <x:v>0</x:v>
      </x:c>
      <x:c r="K2866" s="11" t="n">
        <x:f>CHOOSE('假设'!$B$3,H2866,I2866,J2866)</x:f>
        <x:v>0.09899999999999998</x:v>
      </x:c>
      <x:c r="L2866" s="11" t="n">
        <x:f>K2866*'管线假设'!E623*'管线假设'!F623*'管线假设'!G623*IF(E2866="USD",'管线假设'!I623,1)-AM2866</x:f>
        <x:v>0.014628635999999999</x:v>
      </x:c>
      <x:c r="M2866" s="11" t="n">
        <x:f>'管线假设'!H623</x:f>
        <x:v>0.135</x:v>
      </x:c>
      <x:c r="N2866" s="11" t="n">
        <x:f>IF(G2866,L2866*AN2866/(1+M2866)^F2866,0)</x:f>
        <x:v>0.0013650586074057005</x:v>
      </x:c>
      <x:c r="AJ2866" t="n">
        <x:v>0</x:v>
      </x:c>
      <x:c r="AK2866" t="n">
        <x:v>0</x:v>
      </x:c>
      <x:c r="AL2866" t="n">
        <x:v>0</x:v>
      </x:c>
      <x:c r="AM2866" t="n">
        <x:f>CHOOSE('假设'!$B$3,AJ2866,AK2866,AL2866)</x:f>
        <x:v>0</x:v>
      </x:c>
      <x:c r="AN2866" t="n">
        <x:v>1</x:v>
      </x:c>
    </x:row>
    <x:row r="2867" ht="23" customHeight="1">
      <x:c r="A2867" s="11" t="str">
        <x:v>688382.SH</x:v>
      </x:c>
      <x:c r="B2867" s="11" t="str">
        <x:v>一年</x:v>
      </x:c>
      <x:c r="C2867" s="11" t="str">
        <x:v>befu</x:v>
      </x:c>
      <x:c r="D2867" s="11" t="str">
        <x:v>2027-12-31</x:v>
      </x:c>
      <x:c r="E2867" s="11" t="str">
        <x:v>CNY</x:v>
      </x:c>
      <x:c r="F2867" s="11" t="n">
        <x:v>0.2272416153319644</x:v>
      </x:c>
      <x:c r="G2867" s="26" t="b">
        <x:v>1</x:v>
      </x:c>
      <x:c r="H2867" s="16" t="n">
        <x:v>0.21666666666666667</x:v>
      </x:c>
      <x:c r="I2867" s="16" t="n">
        <x:v>0.3</x:v>
      </x:c>
      <x:c r="J2867" s="16" t="n">
        <x:v>0.45</x:v>
      </x:c>
      <x:c r="K2867" s="11" t="n">
        <x:f>CHOOSE('假设'!$B$3,H2867,I2867,J2867)</x:f>
        <x:v>0.3</x:v>
      </x:c>
      <x:c r="L2867" s="11" t="n">
        <x:f>K2867*'管线假设'!E627*'管线假设'!F627*'管线假设'!G627*IF(E2867="USD",'管线假设'!I627,1)-AM2867</x:f>
        <x:v>0.02268</x:v>
      </x:c>
      <x:c r="M2867" s="11" t="n">
        <x:f>'管线假设'!H627</x:f>
        <x:v>0.135</x:v>
      </x:c>
      <x:c r="N2867" s="11" t="n">
        <x:f>IF(G2867,L2867*AN2867/(1+M2867)^F2867,0)</x:f>
        <x:v>0.02203665648639689</x:v>
      </x:c>
      <x:c r="AJ2867" t="n">
        <x:v>0</x:v>
      </x:c>
      <x:c r="AK2867" t="n">
        <x:v>0</x:v>
      </x:c>
      <x:c r="AL2867" t="n">
        <x:v>0</x:v>
      </x:c>
      <x:c r="AM2867" t="n">
        <x:f>CHOOSE('假设'!$B$3,AJ2867,AK2867,AL2867)</x:f>
        <x:v>0</x:v>
      </x:c>
      <x:c r="AN2867" t="n">
        <x:v>1</x:v>
      </x:c>
    </x:row>
    <x:row r="2868" ht="23" customHeight="1">
      <x:c r="A2868" s="11" t="str">
        <x:v>688382.SH</x:v>
      </x:c>
      <x:c r="B2868" s="11" t="str">
        <x:v>一年</x:v>
      </x:c>
      <x:c r="C2868" s="11" t="str">
        <x:v>befu</x:v>
      </x:c>
      <x:c r="D2868" s="11" t="str">
        <x:v>2028-12-31</x:v>
      </x:c>
      <x:c r="E2868" s="11" t="str">
        <x:v>CNY</x:v>
      </x:c>
      <x:c r="F2868" s="11" t="n">
        <x:v>1.2292950034223136</x:v>
      </x:c>
      <x:c r="G2868" s="26" t="b">
        <x:v>1</x:v>
      </x:c>
      <x:c r="H2868" s="16" t="n">
        <x:v>0.43333333333333335</x:v>
      </x:c>
      <x:c r="I2868" s="16" t="n">
        <x:v>0.6</x:v>
      </x:c>
      <x:c r="J2868" s="16" t="n">
        <x:v>0.9</x:v>
      </x:c>
      <x:c r="K2868" s="11" t="n">
        <x:f>CHOOSE('假设'!$B$3,H2868,I2868,J2868)</x:f>
        <x:v>0.6</x:v>
      </x:c>
      <x:c r="L2868" s="11" t="n">
        <x:f>K2868*'管线假设'!E627*'管线假设'!F627*'管线假设'!G627*IF(E2868="USD",'管线假设'!I627,1)-AM2868</x:f>
        <x:v>0.04536</x:v>
      </x:c>
      <x:c r="M2868" s="11" t="n">
        <x:f>'管线假设'!H627</x:f>
        <x:v>0.135</x:v>
      </x:c>
      <x:c r="N2868" s="11" t="n">
        <x:f>IF(G2868,L2868*AN2868/(1+M2868)^F2868,0)</x:f>
        <x:v>0.038821016965958396</x:v>
      </x:c>
      <x:c r="AJ2868" t="n">
        <x:v>0</x:v>
      </x:c>
      <x:c r="AK2868" t="n">
        <x:v>0</x:v>
      </x:c>
      <x:c r="AL2868" t="n">
        <x:v>0</x:v>
      </x:c>
      <x:c r="AM2868" t="n">
        <x:f>CHOOSE('假设'!$B$3,AJ2868,AK2868,AL2868)</x:f>
        <x:v>0</x:v>
      </x:c>
      <x:c r="AN2868" t="n">
        <x:v>1</x:v>
      </x:c>
    </x:row>
    <x:row r="2869" ht="23" customHeight="1">
      <x:c r="A2869" s="11" t="str">
        <x:v>688382.SH</x:v>
      </x:c>
      <x:c r="B2869" s="11" t="str">
        <x:v>一年</x:v>
      </x:c>
      <x:c r="C2869" s="11" t="str">
        <x:v>befu</x:v>
      </x:c>
      <x:c r="D2869" s="11" t="str">
        <x:v>2029-12-31</x:v>
      </x:c>
      <x:c r="E2869" s="11" t="str">
        <x:v>CNY</x:v>
      </x:c>
      <x:c r="F2869" s="11" t="n">
        <x:v>2.2286105407255303</x:v>
      </x:c>
      <x:c r="G2869" s="26" t="b">
        <x:v>1</x:v>
      </x:c>
      <x:c r="H2869" s="16" t="n">
        <x:v>0.65</x:v>
      </x:c>
      <x:c r="I2869" s="16" t="n">
        <x:v>0.8999999999999999</x:v>
      </x:c>
      <x:c r="J2869" s="16" t="n">
        <x:v>1.35</x:v>
      </x:c>
      <x:c r="K2869" s="11" t="n">
        <x:f>CHOOSE('假设'!$B$3,H2869,I2869,J2869)</x:f>
        <x:v>0.8999999999999999</x:v>
      </x:c>
      <x:c r="L2869" s="11" t="n">
        <x:f>K2869*'管线假设'!E627*'管线假设'!F627*'管线假设'!G627*IF(E2869="USD",'管线假设'!I627,1)-AM2869</x:f>
        <x:v>0.06803999999999999</x:v>
      </x:c>
      <x:c r="M2869" s="11" t="n">
        <x:f>'管线假设'!H627</x:f>
        <x:v>0.135</x:v>
      </x:c>
      <x:c r="N2869" s="11" t="n">
        <x:f>IF(G2869,L2869*AN2869/(1+M2869)^F2869,0)</x:f>
        <x:v>0.051309755862658186</x:v>
      </x:c>
      <x:c r="AJ2869" t="n">
        <x:v>0</x:v>
      </x:c>
      <x:c r="AK2869" t="n">
        <x:v>0</x:v>
      </x:c>
      <x:c r="AL2869" t="n">
        <x:v>0</x:v>
      </x:c>
      <x:c r="AM2869" t="n">
        <x:f>CHOOSE('假设'!$B$3,AJ2869,AK2869,AL2869)</x:f>
        <x:v>0</x:v>
      </x:c>
      <x:c r="AN2869" t="n">
        <x:v>1</x:v>
      </x:c>
    </x:row>
    <x:row r="2870" ht="23" customHeight="1">
      <x:c r="A2870" s="11" t="str">
        <x:v>688382.SH</x:v>
      </x:c>
      <x:c r="B2870" s="11" t="str">
        <x:v>一年</x:v>
      </x:c>
      <x:c r="C2870" s="11" t="str">
        <x:v>befu</x:v>
      </x:c>
      <x:c r="D2870" s="11" t="str">
        <x:v>2030-12-31</x:v>
      </x:c>
      <x:c r="E2870" s="11" t="str">
        <x:v>CNY</x:v>
      </x:c>
      <x:c r="F2870" s="11" t="n">
        <x:v>3.2279260780287475</x:v>
      </x:c>
      <x:c r="G2870" s="26" t="b">
        <x:v>1</x:v>
      </x:c>
      <x:c r="H2870" s="16" t="n">
        <x:v>0.5655</x:v>
      </x:c>
      <x:c r="I2870" s="16" t="n">
        <x:v>1.2</x:v>
      </x:c>
      <x:c r="J2870" s="16" t="n">
        <x:v>1.8</x:v>
      </x:c>
      <x:c r="K2870" s="11" t="n">
        <x:f>CHOOSE('假设'!$B$3,H2870,I2870,J2870)</x:f>
        <x:v>1.2</x:v>
      </x:c>
      <x:c r="L2870" s="11" t="n">
        <x:f>K2870*'管线假设'!E627*'管线假设'!F627*'管线假设'!G627*IF(E2870="USD",'管线假设'!I627,1)-AM2870</x:f>
        <x:v>0.09072</x:v>
      </x:c>
      <x:c r="M2870" s="11" t="n">
        <x:f>'管线假设'!H627</x:f>
        <x:v>0.135</x:v>
      </x:c>
      <x:c r="N2870" s="11" t="n">
        <x:f>IF(G2870,L2870*AN2870/(1+M2870)^F2870,0)</x:f>
        <x:v>0.06028100246132499</x:v>
      </x:c>
      <x:c r="AJ2870" t="n">
        <x:v>0</x:v>
      </x:c>
      <x:c r="AK2870" t="n">
        <x:v>0</x:v>
      </x:c>
      <x:c r="AL2870" t="n">
        <x:v>0</x:v>
      </x:c>
      <x:c r="AM2870" t="n">
        <x:f>CHOOSE('假设'!$B$3,AJ2870,AK2870,AL2870)</x:f>
        <x:v>0</x:v>
      </x:c>
      <x:c r="AN2870" t="n">
        <x:v>1</x:v>
      </x:c>
    </x:row>
    <x:row r="2871" ht="23" customHeight="1">
      <x:c r="A2871" s="11" t="str">
        <x:v>688382.SH</x:v>
      </x:c>
      <x:c r="B2871" s="11" t="str">
        <x:v>一年</x:v>
      </x:c>
      <x:c r="C2871" s="11" t="str">
        <x:v>befu</x:v>
      </x:c>
      <x:c r="D2871" s="11" t="str">
        <x:v>2031-12-31</x:v>
      </x:c>
      <x:c r="E2871" s="11" t="str">
        <x:v>CNY</x:v>
      </x:c>
      <x:c r="F2871" s="11" t="n">
        <x:v>4.227241615331964</x:v>
      </x:c>
      <x:c r="G2871" s="26" t="b">
        <x:v>1</x:v>
      </x:c>
      <x:c r="H2871" s="16" t="n">
        <x:v>0.481</x:v>
      </x:c>
      <x:c r="I2871" s="16" t="n">
        <x:v>1.044</x:v>
      </x:c>
      <x:c r="J2871" s="16" t="n">
        <x:v>1.566</x:v>
      </x:c>
      <x:c r="K2871" s="11" t="n">
        <x:f>CHOOSE('假设'!$B$3,H2871,I2871,J2871)</x:f>
        <x:v>1.044</x:v>
      </x:c>
      <x:c r="L2871" s="11" t="n">
        <x:f>K2871*'管线假设'!E627*'管线假设'!F627*'管线假设'!G627*IF(E2871="USD",'管线假设'!I627,1)-AM2871</x:f>
        <x:v>0.07892640000000001</x:v>
      </x:c>
      <x:c r="M2871" s="11" t="n">
        <x:f>'管线假设'!H627</x:f>
        <x:v>0.135</x:v>
      </x:c>
      <x:c r="N2871" s="11" t="n">
        <x:f>IF(G2871,L2871*AN2871/(1+M2871)^F2871,0)</x:f>
        <x:v>0.04621058852868989</x:v>
      </x:c>
      <x:c r="AJ2871" t="n">
        <x:v>0</x:v>
      </x:c>
      <x:c r="AK2871" t="n">
        <x:v>0</x:v>
      </x:c>
      <x:c r="AL2871" t="n">
        <x:v>0</x:v>
      </x:c>
      <x:c r="AM2871" t="n">
        <x:f>CHOOSE('假设'!$B$3,AJ2871,AK2871,AL2871)</x:f>
        <x:v>0</x:v>
      </x:c>
      <x:c r="AN2871" t="n">
        <x:v>1</x:v>
      </x:c>
    </x:row>
    <x:row r="2872" ht="23" customHeight="1">
      <x:c r="A2872" s="11" t="str">
        <x:v>688382.SH</x:v>
      </x:c>
      <x:c r="B2872" s="11" t="str">
        <x:v>一年</x:v>
      </x:c>
      <x:c r="C2872" s="11" t="str">
        <x:v>befu</x:v>
      </x:c>
      <x:c r="D2872" s="11" t="str">
        <x:v>2032-12-31</x:v>
      </x:c>
      <x:c r="E2872" s="11" t="str">
        <x:v>CNY</x:v>
      </x:c>
      <x:c r="F2872" s="11" t="n">
        <x:v>5.229295003422314</x:v>
      </x:c>
      <x:c r="G2872" s="26" t="b">
        <x:v>1</x:v>
      </x:c>
      <x:c r="H2872" s="16" t="n">
        <x:v>0.3965</x:v>
      </x:c>
      <x:c r="I2872" s="16" t="n">
        <x:v>0.888</x:v>
      </x:c>
      <x:c r="J2872" s="16" t="n">
        <x:v>1.332</x:v>
      </x:c>
      <x:c r="K2872" s="11" t="n">
        <x:f>CHOOSE('假设'!$B$3,H2872,I2872,J2872)</x:f>
        <x:v>0.888</x:v>
      </x:c>
      <x:c r="L2872" s="11" t="n">
        <x:f>K2872*'管线假设'!E627*'管线假设'!F627*'管线假设'!G627*IF(E2872="USD",'管线假设'!I627,1)-AM2872</x:f>
        <x:v>0.0671328</x:v>
      </x:c>
      <x:c r="M2872" s="11" t="n">
        <x:f>'管线假设'!H627</x:f>
        <x:v>0.135</x:v>
      </x:c>
      <x:c r="N2872" s="11" t="n">
        <x:f>IF(G2872,L2872*AN2872/(1+M2872)^F2872,0)</x:f>
        <x:v>0.03462144398362749</x:v>
      </x:c>
      <x:c r="AJ2872" t="n">
        <x:v>0</x:v>
      </x:c>
      <x:c r="AK2872" t="n">
        <x:v>0</x:v>
      </x:c>
      <x:c r="AL2872" t="n">
        <x:v>0</x:v>
      </x:c>
      <x:c r="AM2872" t="n">
        <x:f>CHOOSE('假设'!$B$3,AJ2872,AK2872,AL2872)</x:f>
        <x:v>0</x:v>
      </x:c>
      <x:c r="AN2872" t="n">
        <x:v>1</x:v>
      </x:c>
    </x:row>
    <x:row r="2873" ht="23" customHeight="1">
      <x:c r="A2873" s="11" t="str">
        <x:v>688382.SH</x:v>
      </x:c>
      <x:c r="B2873" s="11" t="str">
        <x:v>一年</x:v>
      </x:c>
      <x:c r="C2873" s="11" t="str">
        <x:v>befu</x:v>
      </x:c>
      <x:c r="D2873" s="11" t="str">
        <x:v>2033-12-31</x:v>
      </x:c>
      <x:c r="E2873" s="11" t="str">
        <x:v>CNY</x:v>
      </x:c>
      <x:c r="F2873" s="11" t="n">
        <x:v>6.228610540725531</x:v>
      </x:c>
      <x:c r="G2873" s="26" t="b">
        <x:v>1</x:v>
      </x:c>
      <x:c r="H2873" s="16" t="n">
        <x:v>0.312</x:v>
      </x:c>
      <x:c r="I2873" s="16" t="n">
        <x:v>0.732</x:v>
      </x:c>
      <x:c r="J2873" s="16" t="n">
        <x:v>1.098</x:v>
      </x:c>
      <x:c r="K2873" s="11" t="n">
        <x:f>CHOOSE('假设'!$B$3,H2873,I2873,J2873)</x:f>
        <x:v>0.732</x:v>
      </x:c>
      <x:c r="L2873" s="11" t="n">
        <x:f>K2873*'管线假设'!E627*'管线假设'!F627*'管线假设'!G627*IF(E2873="USD",'管线假设'!I627,1)-AM2873</x:f>
        <x:v>0.0553392</x:v>
      </x:c>
      <x:c r="M2873" s="11" t="n">
        <x:f>'管线假设'!H627</x:f>
        <x:v>0.135</x:v>
      </x:c>
      <x:c r="N2873" s="11" t="n">
        <x:f>IF(G2873,L2873*AN2873/(1+M2873)^F2873,0)</x:f>
        <x:v>0.02514693584064228</x:v>
      </x:c>
      <x:c r="AJ2873" t="n">
        <x:v>0</x:v>
      </x:c>
      <x:c r="AK2873" t="n">
        <x:v>0</x:v>
      </x:c>
      <x:c r="AL2873" t="n">
        <x:v>0</x:v>
      </x:c>
      <x:c r="AM2873" t="n">
        <x:f>CHOOSE('假设'!$B$3,AJ2873,AK2873,AL2873)</x:f>
        <x:v>0</x:v>
      </x:c>
      <x:c r="AN2873" t="n">
        <x:v>1</x:v>
      </x:c>
    </x:row>
    <x:row r="2874" ht="23" customHeight="1">
      <x:c r="A2874" s="11" t="str">
        <x:v>688382.SH</x:v>
      </x:c>
      <x:c r="B2874" s="11" t="str">
        <x:v>一年</x:v>
      </x:c>
      <x:c r="C2874" s="11" t="str">
        <x:v>befu</x:v>
      </x:c>
      <x:c r="D2874" s="11" t="str">
        <x:v>2034-12-31</x:v>
      </x:c>
      <x:c r="E2874" s="11" t="str">
        <x:v>CNY</x:v>
      </x:c>
      <x:c r="F2874" s="11" t="n">
        <x:v>7.227926078028747</x:v>
      </x:c>
      <x:c r="G2874" s="26" t="b">
        <x:v>1</x:v>
      </x:c>
      <x:c r="H2874" s="16" t="n">
        <x:v>0.22749999999999998</x:v>
      </x:c>
      <x:c r="I2874" s="16" t="n">
        <x:v>0.576</x:v>
      </x:c>
      <x:c r="J2874" s="16" t="n">
        <x:v>0.864</x:v>
      </x:c>
      <x:c r="K2874" s="11" t="n">
        <x:f>CHOOSE('假设'!$B$3,H2874,I2874,J2874)</x:f>
        <x:v>0.576</x:v>
      </x:c>
      <x:c r="L2874" s="11" t="n">
        <x:f>K2874*'管线假设'!E627*'管线假设'!F627*'管线假设'!G627*IF(E2874="USD",'管线假设'!I627,1)-AM2874</x:f>
        <x:v>0.0435456</x:v>
      </x:c>
      <x:c r="M2874" s="11" t="n">
        <x:f>'管线假设'!H627</x:f>
        <x:v>0.135</x:v>
      </x:c>
      <x:c r="N2874" s="11" t="n">
        <x:f>IF(G2874,L2874*AN2874/(1+M2874)^F2874,0)</x:f>
        <x:v>0.017435654605186684</x:v>
      </x:c>
      <x:c r="AJ2874" t="n">
        <x:v>0</x:v>
      </x:c>
      <x:c r="AK2874" t="n">
        <x:v>0</x:v>
      </x:c>
      <x:c r="AL2874" t="n">
        <x:v>0</x:v>
      </x:c>
      <x:c r="AM2874" t="n">
        <x:f>CHOOSE('假设'!$B$3,AJ2874,AK2874,AL2874)</x:f>
        <x:v>0</x:v>
      </x:c>
      <x:c r="AN2874" t="n">
        <x:v>1</x:v>
      </x:c>
    </x:row>
    <x:row r="2875" ht="23" customHeight="1">
      <x:c r="A2875" s="11" t="str">
        <x:v>688382.SH</x:v>
      </x:c>
      <x:c r="B2875" s="11" t="str">
        <x:v>一年</x:v>
      </x:c>
      <x:c r="C2875" s="11" t="str">
        <x:v>befu</x:v>
      </x:c>
      <x:c r="D2875" s="11" t="str">
        <x:v>2035-12-31</x:v>
      </x:c>
      <x:c r="E2875" s="11" t="str">
        <x:v>CNY</x:v>
      </x:c>
      <x:c r="F2875" s="11" t="n">
        <x:v>8.227241615331964</x:v>
      </x:c>
      <x:c r="G2875" s="26" t="b">
        <x:v>1</x:v>
      </x:c>
      <x:c r="H2875" s="16" t="n">
        <x:v>0.143</x:v>
      </x:c>
      <x:c r="I2875" s="16" t="n">
        <x:v>0.42</x:v>
      </x:c>
      <x:c r="J2875" s="16" t="n">
        <x:v>0.63</x:v>
      </x:c>
      <x:c r="K2875" s="11" t="n">
        <x:f>CHOOSE('假设'!$B$3,H2875,I2875,J2875)</x:f>
        <x:v>0.42</x:v>
      </x:c>
      <x:c r="L2875" s="11" t="n">
        <x:f>K2875*'管线假设'!E627*'管线假设'!F627*'管线假设'!G627*IF(E2875="USD",'管线假设'!I627,1)-AM2875</x:f>
        <x:v>0.031752</x:v>
      </x:c>
      <x:c r="M2875" s="11" t="n">
        <x:f>'管线假设'!H627</x:f>
        <x:v>0.135</x:v>
      </x:c>
      <x:c r="N2875" s="11" t="n">
        <x:f>IF(G2875,L2875*AN2875/(1+M2875)^F2875,0)</x:f>
        <x:v>0.011202290875741065</x:v>
      </x:c>
      <x:c r="AJ2875" t="n">
        <x:v>0</x:v>
      </x:c>
      <x:c r="AK2875" t="n">
        <x:v>0</x:v>
      </x:c>
      <x:c r="AL2875" t="n">
        <x:v>0</x:v>
      </x:c>
      <x:c r="AM2875" t="n">
        <x:f>CHOOSE('假设'!$B$3,AJ2875,AK2875,AL2875)</x:f>
        <x:v>0</x:v>
      </x:c>
      <x:c r="AN2875" t="n">
        <x:v>1</x:v>
      </x:c>
    </x:row>
    <x:row r="2876" ht="23" customHeight="1">
      <x:c r="A2876" s="11" t="str">
        <x:v>688382.SH</x:v>
      </x:c>
      <x:c r="B2876" s="11" t="str">
        <x:v>一年</x:v>
      </x:c>
      <x:c r="C2876" s="11" t="str">
        <x:v>befu</x:v>
      </x:c>
      <x:c r="D2876" s="11" t="str">
        <x:v>2036-12-31</x:v>
      </x:c>
      <x:c r="E2876" s="11" t="str">
        <x:v>CNY</x:v>
      </x:c>
      <x:c r="F2876" s="11" t="n">
        <x:v>9.229295003422314</x:v>
      </x:c>
      <x:c r="G2876" s="26" t="b">
        <x:v>1</x:v>
      </x:c>
      <x:c r="H2876" s="16" t="n">
        <x:v>0.05849999999999998</x:v>
      </x:c>
      <x:c r="I2876" s="16" t="n">
        <x:v>0.26399999999999996</x:v>
      </x:c>
      <x:c r="J2876" s="16" t="n">
        <x:v>0.39599999999999996</x:v>
      </x:c>
      <x:c r="K2876" s="11" t="n">
        <x:f>CHOOSE('假设'!$B$3,H2876,I2876,J2876)</x:f>
        <x:v>0.26399999999999996</x:v>
      </x:c>
      <x:c r="L2876" s="11" t="n">
        <x:f>K2876*'管线假设'!E627*'管线假设'!F627*'管线假设'!G627*IF(E2876="USD",'管线假设'!I627,1)-AM2876</x:f>
        <x:v>0.019958399999999998</x:v>
      </x:c>
      <x:c r="M2876" s="11" t="n">
        <x:f>'管线假设'!H627</x:f>
        <x:v>0.135</x:v>
      </x:c>
      <x:c r="N2876" s="11" t="n">
        <x:f>IF(G2876,L2876*AN2876/(1+M2876)^F2876,0)</x:f>
        <x:v>0.0062022989072712436</x:v>
      </x:c>
      <x:c r="AJ2876" t="n">
        <x:v>0</x:v>
      </x:c>
      <x:c r="AK2876" t="n">
        <x:v>0</x:v>
      </x:c>
      <x:c r="AL2876" t="n">
        <x:v>0</x:v>
      </x:c>
      <x:c r="AM2876" t="n">
        <x:f>CHOOSE('假设'!$B$3,AJ2876,AK2876,AL2876)</x:f>
        <x:v>0</x:v>
      </x:c>
      <x:c r="AN2876" t="n">
        <x:v>1</x:v>
      </x:c>
    </x:row>
    <x:row r="2877" ht="23" customHeight="1">
      <x:c r="A2877" s="11" t="str">
        <x:v>688382.SH</x:v>
      </x:c>
      <x:c r="B2877" s="11" t="str">
        <x:v>一年</x:v>
      </x:c>
      <x:c r="C2877" s="11" t="str">
        <x:v>befu</x:v>
      </x:c>
      <x:c r="D2877" s="11" t="str">
        <x:v>2037-12-31</x:v>
      </x:c>
      <x:c r="E2877" s="11" t="str">
        <x:v>CNY</x:v>
      </x:c>
      <x:c r="F2877" s="11" t="n">
        <x:v>10.22861054072553</x:v>
      </x:c>
      <x:c r="G2877" s="26" t="b">
        <x:v>1</x:v>
      </x:c>
      <x:c r="H2877" s="16" t="n">
        <x:v>0</x:v>
      </x:c>
      <x:c r="I2877" s="16" t="n">
        <x:v>0.10799999999999996</x:v>
      </x:c>
      <x:c r="J2877" s="16" t="n">
        <x:v>0.16199999999999995</x:v>
      </x:c>
      <x:c r="K2877" s="11" t="n">
        <x:f>CHOOSE('假设'!$B$3,H2877,I2877,J2877)</x:f>
        <x:v>0.10799999999999996</x:v>
      </x:c>
      <x:c r="L2877" s="11" t="n">
        <x:f>K2877*'管线假设'!E627*'管线假设'!F627*'管线假设'!G627*IF(E2877="USD",'管线假设'!I627,1)-AM2877</x:f>
        <x:v>0.008164799999999996</x:v>
      </x:c>
      <x:c r="M2877" s="11" t="n">
        <x:f>'管线假设'!H627</x:f>
        <x:v>0.135</x:v>
      </x:c>
      <x:c r="N2877" s="11" t="n">
        <x:f>IF(G2877,L2877*AN2877/(1+M2877)^F2877,0)</x:f>
        <x:v>0.002235703990854265</x:v>
      </x:c>
      <x:c r="AJ2877" t="n">
        <x:v>0</x:v>
      </x:c>
      <x:c r="AK2877" t="n">
        <x:v>0</x:v>
      </x:c>
      <x:c r="AL2877" t="n">
        <x:v>0</x:v>
      </x:c>
      <x:c r="AM2877" t="n">
        <x:f>CHOOSE('假设'!$B$3,AJ2877,AK2877,AL2877)</x:f>
        <x:v>0</x:v>
      </x:c>
      <x:c r="AN2877" t="n">
        <x:v>1</x:v>
      </x:c>
    </x:row>
    <x:row r="2878" ht="23" customHeight="1">
      <x:c r="A2878" s="11" t="str">
        <x:v>688382.SH</x:v>
      </x:c>
      <x:c r="B2878" s="11" t="str">
        <x:v>一年</x:v>
      </x:c>
      <x:c r="C2878" s="11" t="str">
        <x:v>befu</x:v>
      </x:c>
      <x:c r="D2878" s="11" t="str">
        <x:v>2038-12-31</x:v>
      </x:c>
      <x:c r="E2878" s="11" t="str">
        <x:v>CNY</x:v>
      </x:c>
      <x:c r="F2878" s="11" t="n">
        <x:v>11.227926078028748</x:v>
      </x:c>
      <x:c r="G2878" s="26" t="b">
        <x:v>1</x:v>
      </x:c>
      <x:c r="H2878" s="16" t="n">
        <x:v>0</x:v>
      </x:c>
      <x:c r="I2878" s="16" t="n">
        <x:v>0</x:v>
      </x:c>
      <x:c r="J2878" s="16" t="n">
        <x:v>0</x:v>
      </x:c>
      <x:c r="K2878" s="11" t="n">
        <x:f>CHOOSE('假设'!$B$3,H2878,I2878,J2878)</x:f>
        <x:v>0</x:v>
      </x:c>
      <x:c r="L2878" s="11" t="n">
        <x:f>K2878*'管线假设'!E627*'管线假设'!F627*'管线假设'!G627*IF(E2878="USD",'管线假设'!I627,1)-AM2878</x:f>
        <x:v>0</x:v>
      </x:c>
      <x:c r="M2878" s="11" t="n">
        <x:f>'管线假设'!H627</x:f>
        <x:v>0.135</x:v>
      </x:c>
      <x:c r="N2878" s="11" t="n">
        <x:f>IF(G2878,L2878*AN2878/(1+M2878)^F2878,0)</x:f>
        <x:v>0</x:v>
      </x:c>
      <x:c r="AJ2878" t="n">
        <x:v>0</x:v>
      </x:c>
      <x:c r="AK2878" t="n">
        <x:v>0</x:v>
      </x:c>
      <x:c r="AL2878" t="n">
        <x:v>0</x:v>
      </x:c>
      <x:c r="AM2878" t="n">
        <x:f>CHOOSE('假设'!$B$3,AJ2878,AK2878,AL2878)</x:f>
        <x:v>0</x:v>
      </x:c>
      <x:c r="AN2878" t="n">
        <x:v>1</x:v>
      </x:c>
    </x:row>
    <x:row r="2879" ht="23" customHeight="1">
      <x:c r="A2879" s="11" t="str">
        <x:v>688382.SH</x:v>
      </x:c>
      <x:c r="B2879" s="11" t="str">
        <x:v>一年</x:v>
      </x:c>
      <x:c r="C2879" s="11" t="str">
        <x:v>befu</x:v>
      </x:c>
      <x:c r="D2879" s="11" t="str">
        <x:v>2039-12-31</x:v>
      </x:c>
      <x:c r="E2879" s="11" t="str">
        <x:v>CNY</x:v>
      </x:c>
      <x:c r="F2879" s="11" t="n">
        <x:v>12.227241615331964</x:v>
      </x:c>
      <x:c r="G2879" s="26" t="b">
        <x:v>1</x:v>
      </x:c>
      <x:c r="H2879" s="16" t="n">
        <x:v>0</x:v>
      </x:c>
      <x:c r="I2879" s="16" t="n">
        <x:v>0</x:v>
      </x:c>
      <x:c r="J2879" s="16" t="n">
        <x:v>0</x:v>
      </x:c>
      <x:c r="K2879" s="11" t="n">
        <x:f>CHOOSE('假设'!$B$3,H2879,I2879,J2879)</x:f>
        <x:v>0</x:v>
      </x:c>
      <x:c r="L2879" s="11" t="n">
        <x:f>K2879*'管线假设'!E627*'管线假设'!F627*'管线假设'!G627*IF(E2879="USD",'管线假设'!I627,1)-AM2879</x:f>
        <x:v>0</x:v>
      </x:c>
      <x:c r="M2879" s="11" t="n">
        <x:f>'管线假设'!H627</x:f>
        <x:v>0.135</x:v>
      </x:c>
      <x:c r="N2879" s="11" t="n">
        <x:f>IF(G2879,L2879*AN2879/(1+M2879)^F2879,0)</x:f>
        <x:v>0</x:v>
      </x:c>
      <x:c r="AJ2879" t="n">
        <x:v>0</x:v>
      </x:c>
      <x:c r="AK2879" t="n">
        <x:v>0</x:v>
      </x:c>
      <x:c r="AL2879" t="n">
        <x:v>0</x:v>
      </x:c>
      <x:c r="AM2879" t="n">
        <x:f>CHOOSE('假设'!$B$3,AJ2879,AK2879,AL2879)</x:f>
        <x:v>0</x:v>
      </x:c>
      <x:c r="AN2879" t="n">
        <x:v>1</x:v>
      </x:c>
    </x:row>
    <x:row r="2880" ht="23" customHeight="1">
      <x:c r="A2880" s="11" t="str">
        <x:v>688382.SH</x:v>
      </x:c>
      <x:c r="B2880" s="11" t="str">
        <x:v>一年</x:v>
      </x:c>
      <x:c r="C2880" s="11" t="str">
        <x:v>befu</x:v>
      </x:c>
      <x:c r="D2880" s="11" t="str">
        <x:v>2040-12-31</x:v>
      </x:c>
      <x:c r="E2880" s="11" t="str">
        <x:v>CNY</x:v>
      </x:c>
      <x:c r="F2880" s="11" t="n">
        <x:v>13.229295003422314</x:v>
      </x:c>
      <x:c r="G2880" s="26" t="b">
        <x:v>1</x:v>
      </x:c>
      <x:c r="H2880" s="16" t="n">
        <x:v>0</x:v>
      </x:c>
      <x:c r="I2880" s="16" t="n">
        <x:v>0</x:v>
      </x:c>
      <x:c r="J2880" s="16" t="n">
        <x:v>0</x:v>
      </x:c>
      <x:c r="K2880" s="11" t="n">
        <x:f>CHOOSE('假设'!$B$3,H2880,I2880,J2880)</x:f>
        <x:v>0</x:v>
      </x:c>
      <x:c r="L2880" s="11" t="n">
        <x:f>K2880*'管线假设'!E627*'管线假设'!F627*'管线假设'!G627*IF(E2880="USD",'管线假设'!I627,1)-AM2880</x:f>
        <x:v>0</x:v>
      </x:c>
      <x:c r="M2880" s="11" t="n">
        <x:f>'管线假设'!H627</x:f>
        <x:v>0.135</x:v>
      </x:c>
      <x:c r="N2880" s="11" t="n">
        <x:f>IF(G2880,L2880*AN2880/(1+M2880)^F2880,0)</x:f>
        <x:v>0</x:v>
      </x:c>
      <x:c r="AJ2880" t="n">
        <x:v>0</x:v>
      </x:c>
      <x:c r="AK2880" t="n">
        <x:v>0</x:v>
      </x:c>
      <x:c r="AL2880" t="n">
        <x:v>0</x:v>
      </x:c>
      <x:c r="AM2880" t="n">
        <x:f>CHOOSE('假设'!$B$3,AJ2880,AK2880,AL2880)</x:f>
        <x:v>0</x:v>
      </x:c>
      <x:c r="AN2880" t="n">
        <x:v>1</x:v>
      </x:c>
    </x:row>
    <x:row r="2881" ht="23" customHeight="1">
      <x:c r="A2881" s="11" t="str">
        <x:v>688382.SH</x:v>
      </x:c>
      <x:c r="B2881" s="11" t="str">
        <x:v>一年</x:v>
      </x:c>
      <x:c r="C2881" s="11" t="str">
        <x:v>befu</x:v>
      </x:c>
      <x:c r="D2881" s="11" t="str">
        <x:v>2041-12-31</x:v>
      </x:c>
      <x:c r="E2881" s="11" t="str">
        <x:v>CNY</x:v>
      </x:c>
      <x:c r="F2881" s="11" t="n">
        <x:v>14.22861054072553</x:v>
      </x:c>
      <x:c r="G2881" s="26" t="b">
        <x:v>1</x:v>
      </x:c>
      <x:c r="H2881" s="16" t="n">
        <x:v>0</x:v>
      </x:c>
      <x:c r="I2881" s="16" t="n">
        <x:v>0</x:v>
      </x:c>
      <x:c r="J2881" s="16" t="n">
        <x:v>0</x:v>
      </x:c>
      <x:c r="K2881" s="11" t="n">
        <x:f>CHOOSE('假设'!$B$3,H2881,I2881,J2881)</x:f>
        <x:v>0</x:v>
      </x:c>
      <x:c r="L2881" s="11" t="n">
        <x:f>K2881*'管线假设'!E627*'管线假设'!F627*'管线假设'!G627*IF(E2881="USD",'管线假设'!I627,1)-AM2881</x:f>
        <x:v>0</x:v>
      </x:c>
      <x:c r="M2881" s="11" t="n">
        <x:f>'管线假设'!H627</x:f>
        <x:v>0.135</x:v>
      </x:c>
      <x:c r="N2881" s="11" t="n">
        <x:f>IF(G2881,L2881*AN2881/(1+M2881)^F2881,0)</x:f>
        <x:v>0</x:v>
      </x:c>
      <x:c r="AJ2881" t="n">
        <x:v>0</x:v>
      </x:c>
      <x:c r="AK2881" t="n">
        <x:v>0</x:v>
      </x:c>
      <x:c r="AL2881" t="n">
        <x:v>0</x:v>
      </x:c>
      <x:c r="AM2881" t="n">
        <x:f>CHOOSE('假设'!$B$3,AJ2881,AK2881,AL2881)</x:f>
        <x:v>0</x:v>
      </x:c>
      <x:c r="AN2881" t="n">
        <x:v>1</x:v>
      </x:c>
    </x:row>
    <x:row r="2882" ht="23" customHeight="1">
      <x:c r="A2882" s="11" t="str">
        <x:v>688382.SH</x:v>
      </x:c>
      <x:c r="B2882" s="11" t="str">
        <x:v>一年</x:v>
      </x:c>
      <x:c r="C2882" s="11" t="str">
        <x:v>befu</x:v>
      </x:c>
      <x:c r="D2882" s="11" t="str">
        <x:v>2042-12-31</x:v>
      </x:c>
      <x:c r="E2882" s="11" t="str">
        <x:v>CNY</x:v>
      </x:c>
      <x:c r="F2882" s="11" t="n">
        <x:v>15.227926078028748</x:v>
      </x:c>
      <x:c r="G2882" s="26" t="b">
        <x:v>1</x:v>
      </x:c>
      <x:c r="H2882" s="16" t="n">
        <x:v>0</x:v>
      </x:c>
      <x:c r="I2882" s="16" t="n">
        <x:v>0</x:v>
      </x:c>
      <x:c r="J2882" s="16" t="n">
        <x:v>0</x:v>
      </x:c>
      <x:c r="K2882" s="11" t="n">
        <x:f>CHOOSE('假设'!$B$3,H2882,I2882,J2882)</x:f>
        <x:v>0</x:v>
      </x:c>
      <x:c r="L2882" s="11" t="n">
        <x:f>K2882*'管线假设'!E627*'管线假设'!F627*'管线假设'!G627*IF(E2882="USD",'管线假设'!I627,1)-AM2882</x:f>
        <x:v>0</x:v>
      </x:c>
      <x:c r="M2882" s="11" t="n">
        <x:f>'管线假设'!H627</x:f>
        <x:v>0.135</x:v>
      </x:c>
      <x:c r="N2882" s="11" t="n">
        <x:f>IF(G2882,L2882*AN2882/(1+M2882)^F2882,0)</x:f>
        <x:v>0</x:v>
      </x:c>
      <x:c r="AJ2882" t="n">
        <x:v>0</x:v>
      </x:c>
      <x:c r="AK2882" t="n">
        <x:v>0</x:v>
      </x:c>
      <x:c r="AL2882" t="n">
        <x:v>0</x:v>
      </x:c>
      <x:c r="AM2882" t="n">
        <x:f>CHOOSE('假设'!$B$3,AJ2882,AK2882,AL2882)</x:f>
        <x:v>0</x:v>
      </x:c>
      <x:c r="AN2882" t="n">
        <x:v>1</x:v>
      </x:c>
    </x:row>
    <x:row r="2883" ht="23" customHeight="1">
      <x:c r="A2883" s="11" t="str">
        <x:v>688382.SH</x:v>
      </x:c>
      <x:c r="B2883" s="11" t="str">
        <x:v>一年</x:v>
      </x:c>
      <x:c r="C2883" s="11" t="str">
        <x:v>befu</x:v>
      </x:c>
      <x:c r="D2883" s="11" t="str">
        <x:v>2043-12-31</x:v>
      </x:c>
      <x:c r="E2883" s="11" t="str">
        <x:v>CNY</x:v>
      </x:c>
      <x:c r="F2883" s="11" t="n">
        <x:v>16.227241615331966</x:v>
      </x:c>
      <x:c r="G2883" s="26" t="b">
        <x:v>1</x:v>
      </x:c>
      <x:c r="H2883" s="16" t="n">
        <x:v>0</x:v>
      </x:c>
      <x:c r="I2883" s="16" t="n">
        <x:v>0</x:v>
      </x:c>
      <x:c r="J2883" s="16" t="n">
        <x:v>0</x:v>
      </x:c>
      <x:c r="K2883" s="11" t="n">
        <x:f>CHOOSE('假设'!$B$3,H2883,I2883,J2883)</x:f>
        <x:v>0</x:v>
      </x:c>
      <x:c r="L2883" s="11" t="n">
        <x:f>K2883*'管线假设'!E627*'管线假设'!F627*'管线假设'!G627*IF(E2883="USD",'管线假设'!I627,1)-AM2883</x:f>
        <x:v>0</x:v>
      </x:c>
      <x:c r="M2883" s="11" t="n">
        <x:f>'管线假设'!H627</x:f>
        <x:v>0.135</x:v>
      </x:c>
      <x:c r="N2883" s="11" t="n">
        <x:f>IF(G2883,L2883*AN2883/(1+M2883)^F2883,0)</x:f>
        <x:v>0</x:v>
      </x:c>
      <x:c r="AJ2883" t="n">
        <x:v>0</x:v>
      </x:c>
      <x:c r="AK2883" t="n">
        <x:v>0</x:v>
      </x:c>
      <x:c r="AL2883" t="n">
        <x:v>0</x:v>
      </x:c>
      <x:c r="AM2883" t="n">
        <x:f>CHOOSE('假设'!$B$3,AJ2883,AK2883,AL2883)</x:f>
        <x:v>0</x:v>
      </x:c>
      <x:c r="AN2883" t="n">
        <x:v>1</x:v>
      </x:c>
    </x:row>
    <x:row r="2884" ht="23" customHeight="1">
      <x:c r="A2884" s="11" t="str">
        <x:v>688382.SH</x:v>
      </x:c>
      <x:c r="B2884" s="11" t="str">
        <x:v>一年</x:v>
      </x:c>
      <x:c r="C2884" s="11" t="str">
        <x:v>befu</x:v>
      </x:c>
      <x:c r="D2884" s="11" t="str">
        <x:v>2044-12-31</x:v>
      </x:c>
      <x:c r="E2884" s="11" t="str">
        <x:v>CNY</x:v>
      </x:c>
      <x:c r="F2884" s="11" t="n">
        <x:v>17.229295003422312</x:v>
      </x:c>
      <x:c r="G2884" s="26" t="b">
        <x:v>1</x:v>
      </x:c>
      <x:c r="H2884" s="16" t="n">
        <x:v>0</x:v>
      </x:c>
      <x:c r="I2884" s="16" t="n">
        <x:v>0</x:v>
      </x:c>
      <x:c r="J2884" s="16" t="n">
        <x:v>0</x:v>
      </x:c>
      <x:c r="K2884" s="11" t="n">
        <x:f>CHOOSE('假设'!$B$3,H2884,I2884,J2884)</x:f>
        <x:v>0</x:v>
      </x:c>
      <x:c r="L2884" s="11" t="n">
        <x:f>K2884*'管线假设'!E627*'管线假设'!F627*'管线假设'!G627*IF(E2884="USD",'管线假设'!I627,1)-AM2884</x:f>
        <x:v>0</x:v>
      </x:c>
      <x:c r="M2884" s="11" t="n">
        <x:f>'管线假设'!H627</x:f>
        <x:v>0.135</x:v>
      </x:c>
      <x:c r="N2884" s="11" t="n">
        <x:f>IF(G2884,L2884*AN2884/(1+M2884)^F2884,0)</x:f>
        <x:v>0</x:v>
      </x:c>
      <x:c r="AJ2884" t="n">
        <x:v>0</x:v>
      </x:c>
      <x:c r="AK2884" t="n">
        <x:v>0</x:v>
      </x:c>
      <x:c r="AL2884" t="n">
        <x:v>0</x:v>
      </x:c>
      <x:c r="AM2884" t="n">
        <x:f>CHOOSE('假设'!$B$3,AJ2884,AK2884,AL2884)</x:f>
        <x:v>0</x:v>
      </x:c>
      <x:c r="AN2884" t="n">
        <x:v>1</x:v>
      </x:c>
    </x:row>
    <x:row r="2885" ht="23" customHeight="1">
      <x:c r="A2885" s="11" t="str">
        <x:v>688382.SH</x:v>
      </x:c>
      <x:c r="B2885" s="11" t="str">
        <x:v>一年</x:v>
      </x:c>
      <x:c r="C2885" s="11" t="str">
        <x:v>befu</x:v>
      </x:c>
      <x:c r="D2885" s="11" t="str">
        <x:v>2045-12-31</x:v>
      </x:c>
      <x:c r="E2885" s="11" t="str">
        <x:v>CNY</x:v>
      </x:c>
      <x:c r="F2885" s="11" t="n">
        <x:v>18.22861054072553</x:v>
      </x:c>
      <x:c r="G2885" s="26" t="b">
        <x:v>1</x:v>
      </x:c>
      <x:c r="H2885" s="16" t="n">
        <x:v>0</x:v>
      </x:c>
      <x:c r="I2885" s="16" t="n">
        <x:v>0</x:v>
      </x:c>
      <x:c r="J2885" s="16" t="n">
        <x:v>0</x:v>
      </x:c>
      <x:c r="K2885" s="11" t="n">
        <x:f>CHOOSE('假设'!$B$3,H2885,I2885,J2885)</x:f>
        <x:v>0</x:v>
      </x:c>
      <x:c r="L2885" s="11" t="n">
        <x:f>K2885*'管线假设'!E627*'管线假设'!F627*'管线假设'!G627*IF(E2885="USD",'管线假设'!I627,1)-AM2885</x:f>
        <x:v>0</x:v>
      </x:c>
      <x:c r="M2885" s="11" t="n">
        <x:f>'管线假设'!H627</x:f>
        <x:v>0.135</x:v>
      </x:c>
      <x:c r="N2885" s="11" t="n">
        <x:f>IF(G2885,L2885*AN2885/(1+M2885)^F2885,0)</x:f>
        <x:v>0</x:v>
      </x:c>
      <x:c r="AJ2885" t="n">
        <x:v>0</x:v>
      </x:c>
      <x:c r="AK2885" t="n">
        <x:v>0</x:v>
      </x:c>
      <x:c r="AL2885" t="n">
        <x:v>0</x:v>
      </x:c>
      <x:c r="AM2885" t="n">
        <x:f>CHOOSE('假设'!$B$3,AJ2885,AK2885,AL2885)</x:f>
        <x:v>0</x:v>
      </x:c>
      <x:c r="AN2885" t="n">
        <x:v>1</x:v>
      </x:c>
    </x:row>
    <x:row r="2886" ht="23" customHeight="1">
      <x:c r="A2886" s="11" t="str">
        <x:v>688382.SH</x:v>
      </x:c>
      <x:c r="B2886" s="11" t="str">
        <x:v>一年</x:v>
      </x:c>
      <x:c r="C2886" s="11" t="str">
        <x:v>g12c_later_cn</x:v>
      </x:c>
      <x:c r="D2886" s="11" t="str">
        <x:v>2027-12-31</x:v>
      </x:c>
      <x:c r="E2886" s="11" t="str">
        <x:v>CNY</x:v>
      </x:c>
      <x:c r="F2886" s="11" t="n">
        <x:v>0.2272416153319644</x:v>
      </x:c>
      <x:c r="G2886" s="26" t="b">
        <x:v>1</x:v>
      </x:c>
      <x:c r="H2886" s="16" t="n">
        <x:v>0.1</x:v>
      </x:c>
      <x:c r="I2886" s="16" t="n">
        <x:v>0.22000000000000003</x:v>
      </x:c>
      <x:c r="J2886" s="16" t="n">
        <x:v>0.425</x:v>
      </x:c>
      <x:c r="K2886" s="11" t="n">
        <x:f>CHOOSE('假设'!$B$3,H2886,I2886,J2886)</x:f>
        <x:v>0.22000000000000003</x:v>
      </x:c>
      <x:c r="L2886" s="11" t="n">
        <x:f>K2886*'管线假设'!E631*'管线假设'!F631*'管线假设'!G631*IF(E2886="USD",'管线假设'!I631,1)-AM2886</x:f>
        <x:v>0.018040000000000007</x:v>
      </x:c>
      <x:c r="M2886" s="11" t="n">
        <x:f>'管线假设'!H631</x:f>
        <x:v>0.135</x:v>
      </x:c>
      <x:c r="N2886" s="11" t="n">
        <x:f>IF(G2886,L2886*AN2886/(1+M2886)^F2886,0)</x:f>
        <x:v>0.01752827526519401</x:v>
      </x:c>
      <x:c r="AJ2886" t="n">
        <x:v>0</x:v>
      </x:c>
      <x:c r="AK2886" t="n">
        <x:v>0</x:v>
      </x:c>
      <x:c r="AL2886" t="n">
        <x:v>0</x:v>
      </x:c>
      <x:c r="AM2886" t="n">
        <x:f>CHOOSE('假设'!$B$3,AJ2886,AK2886,AL2886)</x:f>
        <x:v>0</x:v>
      </x:c>
      <x:c r="AN2886" t="n">
        <x:v>1</x:v>
      </x:c>
    </x:row>
    <x:row r="2887" ht="23" customHeight="1">
      <x:c r="A2887" s="11" t="str">
        <x:v>688382.SH</x:v>
      </x:c>
      <x:c r="B2887" s="11" t="str">
        <x:v>一年</x:v>
      </x:c>
      <x:c r="C2887" s="11" t="str">
        <x:v>g12c_later_cn</x:v>
      </x:c>
      <x:c r="D2887" s="11" t="str">
        <x:v>2028-12-31</x:v>
      </x:c>
      <x:c r="E2887" s="11" t="str">
        <x:v>CNY</x:v>
      </x:c>
      <x:c r="F2887" s="11" t="n">
        <x:v>1.2292950034223136</x:v>
      </x:c>
      <x:c r="G2887" s="26" t="b">
        <x:v>1</x:v>
      </x:c>
      <x:c r="H2887" s="16" t="n">
        <x:v>0.2</x:v>
      </x:c>
      <x:c r="I2887" s="16" t="n">
        <x:v>0.44000000000000006</x:v>
      </x:c>
      <x:c r="J2887" s="16" t="n">
        <x:v>0.85</x:v>
      </x:c>
      <x:c r="K2887" s="11" t="n">
        <x:f>CHOOSE('假设'!$B$3,H2887,I2887,J2887)</x:f>
        <x:v>0.44000000000000006</x:v>
      </x:c>
      <x:c r="L2887" s="11" t="n">
        <x:f>K2887*'管线假设'!E631*'管线假设'!F631*'管线假设'!G631*IF(E2887="USD",'管线假设'!I631,1)-AM2887</x:f>
        <x:v>0.036080000000000015</x:v>
      </x:c>
      <x:c r="M2887" s="11" t="n">
        <x:f>'管线假设'!H631</x:f>
        <x:v>0.135</x:v>
      </x:c>
      <x:c r="N2887" s="11" t="n">
        <x:f>IF(G2887,L2887*AN2887/(1+M2887)^F2887,0)</x:f>
        <x:v>0.030878798327420184</x:v>
      </x:c>
      <x:c r="AJ2887" t="n">
        <x:v>0</x:v>
      </x:c>
      <x:c r="AK2887" t="n">
        <x:v>0</x:v>
      </x:c>
      <x:c r="AL2887" t="n">
        <x:v>0</x:v>
      </x:c>
      <x:c r="AM2887" t="n">
        <x:f>CHOOSE('假设'!$B$3,AJ2887,AK2887,AL2887)</x:f>
        <x:v>0</x:v>
      </x:c>
      <x:c r="AN2887" t="n">
        <x:v>1</x:v>
      </x:c>
    </x:row>
    <x:row r="2888" ht="23" customHeight="1">
      <x:c r="A2888" s="11" t="str">
        <x:v>688382.SH</x:v>
      </x:c>
      <x:c r="B2888" s="11" t="str">
        <x:v>一年</x:v>
      </x:c>
      <x:c r="C2888" s="11" t="str">
        <x:v>g12c_later_cn</x:v>
      </x:c>
      <x:c r="D2888" s="11" t="str">
        <x:v>2029-12-31</x:v>
      </x:c>
      <x:c r="E2888" s="11" t="str">
        <x:v>CNY</x:v>
      </x:c>
      <x:c r="F2888" s="11" t="n">
        <x:v>2.2286105407255303</x:v>
      </x:c>
      <x:c r="G2888" s="26" t="b">
        <x:v>1</x:v>
      </x:c>
      <x:c r="H2888" s="16" t="n">
        <x:v>0.3</x:v>
      </x:c>
      <x:c r="I2888" s="16" t="n">
        <x:v>0.66</x:v>
      </x:c>
      <x:c r="J2888" s="16" t="n">
        <x:v>1.275</x:v>
      </x:c>
      <x:c r="K2888" s="11" t="n">
        <x:f>CHOOSE('假设'!$B$3,H2888,I2888,J2888)</x:f>
        <x:v>0.66</x:v>
      </x:c>
      <x:c r="L2888" s="11" t="n">
        <x:f>K2888*'管线假设'!E631*'管线假设'!F631*'管线假设'!G631*IF(E2888="USD",'管线假设'!I631,1)-AM2888</x:f>
        <x:v>0.054120000000000015</x:v>
      </x:c>
      <x:c r="M2888" s="11" t="n">
        <x:f>'管线假设'!H631</x:f>
        <x:v>0.135</x:v>
      </x:c>
      <x:c r="N2888" s="11" t="n">
        <x:f>IF(G2888,L2888*AN2888/(1+M2888)^F2888,0)</x:f>
        <x:v>0.040812521859010326</x:v>
      </x:c>
      <x:c r="AJ2888" t="n">
        <x:v>0</x:v>
      </x:c>
      <x:c r="AK2888" t="n">
        <x:v>0</x:v>
      </x:c>
      <x:c r="AL2888" t="n">
        <x:v>0</x:v>
      </x:c>
      <x:c r="AM2888" t="n">
        <x:f>CHOOSE('假设'!$B$3,AJ2888,AK2888,AL2888)</x:f>
        <x:v>0</x:v>
      </x:c>
      <x:c r="AN2888" t="n">
        <x:v>1</x:v>
      </x:c>
    </x:row>
    <x:row r="2889" ht="23" customHeight="1">
      <x:c r="A2889" s="11" t="str">
        <x:v>688382.SH</x:v>
      </x:c>
      <x:c r="B2889" s="11" t="str">
        <x:v>一年</x:v>
      </x:c>
      <x:c r="C2889" s="11" t="str">
        <x:v>g12c_later_cn</x:v>
      </x:c>
      <x:c r="D2889" s="11" t="str">
        <x:v>2030-12-31</x:v>
      </x:c>
      <x:c r="E2889" s="11" t="str">
        <x:v>CNY</x:v>
      </x:c>
      <x:c r="F2889" s="11" t="n">
        <x:v>3.2279260780287475</x:v>
      </x:c>
      <x:c r="G2889" s="26" t="b">
        <x:v>1</x:v>
      </x:c>
      <x:c r="H2889" s="16" t="n">
        <x:v>0.4</x:v>
      </x:c>
      <x:c r="I2889" s="16" t="n">
        <x:v>0.8800000000000001</x:v>
      </x:c>
      <x:c r="J2889" s="16" t="n">
        <x:v>1.7</x:v>
      </x:c>
      <x:c r="K2889" s="11" t="n">
        <x:f>CHOOSE('假设'!$B$3,H2889,I2889,J2889)</x:f>
        <x:v>0.8800000000000001</x:v>
      </x:c>
      <x:c r="L2889" s="11" t="n">
        <x:f>K2889*'管线假设'!E631*'管线假设'!F631*'管线假设'!G631*IF(E2889="USD",'管线假设'!I631,1)-AM2889</x:f>
        <x:v>0.07216000000000003</x:v>
      </x:c>
      <x:c r="M2889" s="11" t="n">
        <x:f>'管线假设'!H631</x:f>
        <x:v>0.135</x:v>
      </x:c>
      <x:c r="N2889" s="11" t="n">
        <x:f>IF(G2889,L2889*AN2889/(1+M2889)^F2889,0)</x:f>
        <x:v>0.04794838114648604</x:v>
      </x:c>
      <x:c r="AJ2889" t="n">
        <x:v>0</x:v>
      </x:c>
      <x:c r="AK2889" t="n">
        <x:v>0</x:v>
      </x:c>
      <x:c r="AL2889" t="n">
        <x:v>0</x:v>
      </x:c>
      <x:c r="AM2889" t="n">
        <x:f>CHOOSE('假设'!$B$3,AJ2889,AK2889,AL2889)</x:f>
        <x:v>0</x:v>
      </x:c>
      <x:c r="AN2889" t="n">
        <x:v>1</x:v>
      </x:c>
    </x:row>
    <x:row r="2890" ht="23" customHeight="1">
      <x:c r="A2890" s="11" t="str">
        <x:v>688382.SH</x:v>
      </x:c>
      <x:c r="B2890" s="11" t="str">
        <x:v>一年</x:v>
      </x:c>
      <x:c r="C2890" s="11" t="str">
        <x:v>g12c_later_cn</x:v>
      </x:c>
      <x:c r="D2890" s="11" t="str">
        <x:v>2031-12-31</x:v>
      </x:c>
      <x:c r="E2890" s="11" t="str">
        <x:v>CNY</x:v>
      </x:c>
      <x:c r="F2890" s="11" t="n">
        <x:v>4.227241615331964</x:v>
      </x:c>
      <x:c r="G2890" s="26" t="b">
        <x:v>1</x:v>
      </x:c>
      <x:c r="H2890" s="16" t="n">
        <x:v>0.5</x:v>
      </x:c>
      <x:c r="I2890" s="16" t="n">
        <x:v>1.1</x:v>
      </x:c>
      <x:c r="J2890" s="16" t="n">
        <x:v>1.4789999999999999</x:v>
      </x:c>
      <x:c r="K2890" s="11" t="n">
        <x:f>CHOOSE('假设'!$B$3,H2890,I2890,J2890)</x:f>
        <x:v>1.1</x:v>
      </x:c>
      <x:c r="L2890" s="11" t="n">
        <x:f>K2890*'管线假设'!E631*'管线假设'!F631*'管线假设'!G631*IF(E2890="USD",'管线假设'!I631,1)-AM2890</x:f>
        <x:v>0.09020000000000003</x:v>
      </x:c>
      <x:c r="M2890" s="11" t="n">
        <x:f>'管线假设'!H631</x:f>
        <x:v>0.135</x:v>
      </x:c>
      <x:c r="N2890" s="11" t="n">
        <x:f>IF(G2890,L2890*AN2890/(1+M2890)^F2890,0)</x:f>
        <x:v>0.05281116439224175</x:v>
      </x:c>
      <x:c r="AJ2890" t="n">
        <x:v>0</x:v>
      </x:c>
      <x:c r="AK2890" t="n">
        <x:v>0</x:v>
      </x:c>
      <x:c r="AL2890" t="n">
        <x:v>0</x:v>
      </x:c>
      <x:c r="AM2890" t="n">
        <x:f>CHOOSE('假设'!$B$3,AJ2890,AK2890,AL2890)</x:f>
        <x:v>0</x:v>
      </x:c>
      <x:c r="AN2890" t="n">
        <x:v>1</x:v>
      </x:c>
    </x:row>
    <x:row r="2891" ht="23" customHeight="1">
      <x:c r="A2891" s="11" t="str">
        <x:v>688382.SH</x:v>
      </x:c>
      <x:c r="B2891" s="11" t="str">
        <x:v>一年</x:v>
      </x:c>
      <x:c r="C2891" s="11" t="str">
        <x:v>g12c_later_cn</x:v>
      </x:c>
      <x:c r="D2891" s="11" t="str">
        <x:v>2032-12-31</x:v>
      </x:c>
      <x:c r="E2891" s="11" t="str">
        <x:v>CNY</x:v>
      </x:c>
      <x:c r="F2891" s="11" t="n">
        <x:v>5.229295003422314</x:v>
      </x:c>
      <x:c r="G2891" s="26" t="b">
        <x:v>1</x:v>
      </x:c>
      <x:c r="H2891" s="16" t="n">
        <x:v>0.435</x:v>
      </x:c>
      <x:c r="I2891" s="16" t="n">
        <x:v>0.9570000000000001</x:v>
      </x:c>
      <x:c r="J2891" s="16" t="n">
        <x:v>1.258</x:v>
      </x:c>
      <x:c r="K2891" s="11" t="n">
        <x:f>CHOOSE('假设'!$B$3,H2891,I2891,J2891)</x:f>
        <x:v>0.9570000000000001</x:v>
      </x:c>
      <x:c r="L2891" s="11" t="n">
        <x:f>K2891*'管线假设'!E631*'管线假设'!F631*'管线假设'!G631*IF(E2891="USD",'管线假设'!I631,1)-AM2891</x:f>
        <x:v>0.07847400000000002</x:v>
      </x:c>
      <x:c r="M2891" s="11" t="n">
        <x:f>'管线假设'!H631</x:f>
        <x:v>0.135</x:v>
      </x:c>
      <x:c r="N2891" s="11" t="n">
        <x:f>IF(G2891,L2891*AN2891/(1+M2891)^F2891,0)</x:f>
        <x:v>0.04047027973168382</x:v>
      </x:c>
      <x:c r="AJ2891" t="n">
        <x:v>0</x:v>
      </x:c>
      <x:c r="AK2891" t="n">
        <x:v>0</x:v>
      </x:c>
      <x:c r="AL2891" t="n">
        <x:v>0</x:v>
      </x:c>
      <x:c r="AM2891" t="n">
        <x:f>CHOOSE('假设'!$B$3,AJ2891,AK2891,AL2891)</x:f>
        <x:v>0</x:v>
      </x:c>
      <x:c r="AN2891" t="n">
        <x:v>1</x:v>
      </x:c>
    </x:row>
    <x:row r="2892" ht="23" customHeight="1">
      <x:c r="A2892" s="11" t="str">
        <x:v>688382.SH</x:v>
      </x:c>
      <x:c r="B2892" s="11" t="str">
        <x:v>一年</x:v>
      </x:c>
      <x:c r="C2892" s="11" t="str">
        <x:v>g12c_later_cn</x:v>
      </x:c>
      <x:c r="D2892" s="11" t="str">
        <x:v>2033-12-31</x:v>
      </x:c>
      <x:c r="E2892" s="11" t="str">
        <x:v>CNY</x:v>
      </x:c>
      <x:c r="F2892" s="11" t="n">
        <x:v>6.228610540725531</x:v>
      </x:c>
      <x:c r="G2892" s="26" t="b">
        <x:v>1</x:v>
      </x:c>
      <x:c r="H2892" s="16" t="n">
        <x:v>0.37</x:v>
      </x:c>
      <x:c r="I2892" s="16" t="n">
        <x:v>0.8140000000000001</x:v>
      </x:c>
      <x:c r="J2892" s="16" t="n">
        <x:v>1.037</x:v>
      </x:c>
      <x:c r="K2892" s="11" t="n">
        <x:f>CHOOSE('假设'!$B$3,H2892,I2892,J2892)</x:f>
        <x:v>0.8140000000000001</x:v>
      </x:c>
      <x:c r="L2892" s="11" t="n">
        <x:f>K2892*'管线假设'!E631*'管线假设'!F631*'管线假设'!G631*IF(E2892="USD",'管线假设'!I631,1)-AM2892</x:f>
        <x:v>0.06674800000000002</x:v>
      </x:c>
      <x:c r="M2892" s="11" t="n">
        <x:f>'管线假设'!H631</x:f>
        <x:v>0.135</x:v>
      </x:c>
      <x:c r="N2892" s="11" t="n">
        <x:f>IF(G2892,L2892*AN2892/(1+M2892)^F2892,0)</x:f>
        <x:v>0.03033126018249616</x:v>
      </x:c>
      <x:c r="AJ2892" t="n">
        <x:v>0</x:v>
      </x:c>
      <x:c r="AK2892" t="n">
        <x:v>0</x:v>
      </x:c>
      <x:c r="AL2892" t="n">
        <x:v>0</x:v>
      </x:c>
      <x:c r="AM2892" t="n">
        <x:f>CHOOSE('假设'!$B$3,AJ2892,AK2892,AL2892)</x:f>
        <x:v>0</x:v>
      </x:c>
      <x:c r="AN2892" t="n">
        <x:v>1</x:v>
      </x:c>
    </x:row>
    <x:row r="2893" ht="23" customHeight="1">
      <x:c r="A2893" s="11" t="str">
        <x:v>688382.SH</x:v>
      </x:c>
      <x:c r="B2893" s="11" t="str">
        <x:v>一年</x:v>
      </x:c>
      <x:c r="C2893" s="11" t="str">
        <x:v>g12c_later_cn</x:v>
      </x:c>
      <x:c r="D2893" s="11" t="str">
        <x:v>2034-12-31</x:v>
      </x:c>
      <x:c r="E2893" s="11" t="str">
        <x:v>CNY</x:v>
      </x:c>
      <x:c r="F2893" s="11" t="n">
        <x:v>7.227926078028747</x:v>
      </x:c>
      <x:c r="G2893" s="26" t="b">
        <x:v>1</x:v>
      </x:c>
      <x:c r="H2893" s="16" t="n">
        <x:v>0.305</x:v>
      </x:c>
      <x:c r="I2893" s="16" t="n">
        <x:v>0.671</x:v>
      </x:c>
      <x:c r="J2893" s="16" t="n">
        <x:v>0.816</x:v>
      </x:c>
      <x:c r="K2893" s="11" t="n">
        <x:f>CHOOSE('假设'!$B$3,H2893,I2893,J2893)</x:f>
        <x:v>0.671</x:v>
      </x:c>
      <x:c r="L2893" s="11" t="n">
        <x:f>K2893*'管线假设'!E631*'管线假设'!F631*'管线假设'!G631*IF(E2893="USD",'管线假设'!I631,1)-AM2893</x:f>
        <x:v>0.055022000000000015</x:v>
      </x:c>
      <x:c r="M2893" s="11" t="n">
        <x:f>'管线假设'!H631</x:f>
        <x:v>0.135</x:v>
      </x:c>
      <x:c r="N2893" s="11" t="n">
        <x:f>IF(G2893,L2893*AN2893/(1+M2893)^F2893,0)</x:f>
        <x:v>0.02203080420723522</x:v>
      </x:c>
      <x:c r="AJ2893" t="n">
        <x:v>0</x:v>
      </x:c>
      <x:c r="AK2893" t="n">
        <x:v>0</x:v>
      </x:c>
      <x:c r="AL2893" t="n">
        <x:v>0</x:v>
      </x:c>
      <x:c r="AM2893" t="n">
        <x:f>CHOOSE('假设'!$B$3,AJ2893,AK2893,AL2893)</x:f>
        <x:v>0</x:v>
      </x:c>
      <x:c r="AN2893" t="n">
        <x:v>1</x:v>
      </x:c>
    </x:row>
    <x:row r="2894" ht="23" customHeight="1">
      <x:c r="A2894" s="11" t="str">
        <x:v>688382.SH</x:v>
      </x:c>
      <x:c r="B2894" s="11" t="str">
        <x:v>一年</x:v>
      </x:c>
      <x:c r="C2894" s="11" t="str">
        <x:v>g12c_later_cn</x:v>
      </x:c>
      <x:c r="D2894" s="11" t="str">
        <x:v>2035-12-31</x:v>
      </x:c>
      <x:c r="E2894" s="11" t="str">
        <x:v>CNY</x:v>
      </x:c>
      <x:c r="F2894" s="11" t="n">
        <x:v>8.227241615331964</x:v>
      </x:c>
      <x:c r="G2894" s="26" t="b">
        <x:v>1</x:v>
      </x:c>
      <x:c r="H2894" s="16" t="n">
        <x:v>0.24</x:v>
      </x:c>
      <x:c r="I2894" s="16" t="n">
        <x:v>0.528</x:v>
      </x:c>
      <x:c r="J2894" s="16" t="n">
        <x:v>0.595</x:v>
      </x:c>
      <x:c r="K2894" s="11" t="n">
        <x:f>CHOOSE('假设'!$B$3,H2894,I2894,J2894)</x:f>
        <x:v>0.528</x:v>
      </x:c>
      <x:c r="L2894" s="11" t="n">
        <x:f>K2894*'管线假设'!E631*'管线假设'!F631*'管线假设'!G631*IF(E2894="USD",'管线假设'!I631,1)-AM2894</x:f>
        <x:v>0.04329600000000001</x:v>
      </x:c>
      <x:c r="M2894" s="11" t="n">
        <x:f>'管线假设'!H631</x:f>
        <x:v>0.135</x:v>
      </x:c>
      <x:c r="N2894" s="11" t="n">
        <x:f>IF(G2894,L2894*AN2894/(1+M2894)^F2894,0)</x:f>
        <x:v>0.015275081436006714</x:v>
      </x:c>
      <x:c r="AJ2894" t="n">
        <x:v>0</x:v>
      </x:c>
      <x:c r="AK2894" t="n">
        <x:v>0</x:v>
      </x:c>
      <x:c r="AL2894" t="n">
        <x:v>0</x:v>
      </x:c>
      <x:c r="AM2894" t="n">
        <x:f>CHOOSE('假设'!$B$3,AJ2894,AK2894,AL2894)</x:f>
        <x:v>0</x:v>
      </x:c>
      <x:c r="AN2894" t="n">
        <x:v>1</x:v>
      </x:c>
    </x:row>
    <x:row r="2895" ht="23" customHeight="1">
      <x:c r="A2895" s="11" t="str">
        <x:v>688382.SH</x:v>
      </x:c>
      <x:c r="B2895" s="11" t="str">
        <x:v>一年</x:v>
      </x:c>
      <x:c r="C2895" s="11" t="str">
        <x:v>g12c_later_cn</x:v>
      </x:c>
      <x:c r="D2895" s="11" t="str">
        <x:v>2036-12-31</x:v>
      </x:c>
      <x:c r="E2895" s="11" t="str">
        <x:v>CNY</x:v>
      </x:c>
      <x:c r="F2895" s="11" t="n">
        <x:v>9.229295003422314</x:v>
      </x:c>
      <x:c r="G2895" s="26" t="b">
        <x:v>1</x:v>
      </x:c>
      <x:c r="H2895" s="16" t="n">
        <x:v>0.175</x:v>
      </x:c>
      <x:c r="I2895" s="16" t="n">
        <x:v>0.385</x:v>
      </x:c>
      <x:c r="J2895" s="16" t="n">
        <x:v>0.37399999999999994</x:v>
      </x:c>
      <x:c r="K2895" s="11" t="n">
        <x:f>CHOOSE('假设'!$B$3,H2895,I2895,J2895)</x:f>
        <x:v>0.385</x:v>
      </x:c>
      <x:c r="L2895" s="11" t="n">
        <x:f>K2895*'管线假设'!E631*'管线假设'!F631*'管线假设'!G631*IF(E2895="USD",'管线假设'!I631,1)-AM2895</x:f>
        <x:v>0.03157000000000001</x:v>
      </x:c>
      <x:c r="M2895" s="11" t="n">
        <x:f>'管线假设'!H631</x:f>
        <x:v>0.135</x:v>
      </x:c>
      <x:c r="N2895" s="11" t="n">
        <x:f>IF(G2895,L2895*AN2895/(1+M2895)^F2895,0)</x:f>
        <x:v>0.009810735154248499</x:v>
      </x:c>
      <x:c r="AJ2895" t="n">
        <x:v>0</x:v>
      </x:c>
      <x:c r="AK2895" t="n">
        <x:v>0</x:v>
      </x:c>
      <x:c r="AL2895" t="n">
        <x:v>0</x:v>
      </x:c>
      <x:c r="AM2895" t="n">
        <x:f>CHOOSE('假设'!$B$3,AJ2895,AK2895,AL2895)</x:f>
        <x:v>0</x:v>
      </x:c>
      <x:c r="AN2895" t="n">
        <x:v>1</x:v>
      </x:c>
    </x:row>
    <x:row r="2896" ht="23" customHeight="1">
      <x:c r="A2896" s="11" t="str">
        <x:v>688382.SH</x:v>
      </x:c>
      <x:c r="B2896" s="11" t="str">
        <x:v>一年</x:v>
      </x:c>
      <x:c r="C2896" s="11" t="str">
        <x:v>g12c_later_cn</x:v>
      </x:c>
      <x:c r="D2896" s="11" t="str">
        <x:v>2037-12-31</x:v>
      </x:c>
      <x:c r="E2896" s="11" t="str">
        <x:v>CNY</x:v>
      </x:c>
      <x:c r="F2896" s="11" t="n">
        <x:v>10.22861054072553</x:v>
      </x:c>
      <x:c r="G2896" s="26" t="b">
        <x:v>1</x:v>
      </x:c>
      <x:c r="H2896" s="16" t="n">
        <x:v>0.10999999999999999</x:v>
      </x:c>
      <x:c r="I2896" s="16" t="n">
        <x:v>0.242</x:v>
      </x:c>
      <x:c r="J2896" s="16" t="n">
        <x:v>0.15299999999999994</x:v>
      </x:c>
      <x:c r="K2896" s="11" t="n">
        <x:f>CHOOSE('假设'!$B$3,H2896,I2896,J2896)</x:f>
        <x:v>0.242</x:v>
      </x:c>
      <x:c r="L2896" s="11" t="n">
        <x:f>K2896*'管线假设'!E631*'管线假设'!F631*'管线假设'!G631*IF(E2896="USD",'管线假设'!I631,1)-AM2896</x:f>
        <x:v>0.019844000000000004</x:v>
      </x:c>
      <x:c r="M2896" s="11" t="n">
        <x:f>'管线假设'!H631</x:f>
        <x:v>0.135</x:v>
      </x:c>
      <x:c r="N2896" s="11" t="n">
        <x:f>IF(G2896,L2896*AN2896/(1+M2896)^F2896,0)</x:f>
        <x:v>0.00543372893328827</x:v>
      </x:c>
      <x:c r="AJ2896" t="n">
        <x:v>0</x:v>
      </x:c>
      <x:c r="AK2896" t="n">
        <x:v>0</x:v>
      </x:c>
      <x:c r="AL2896" t="n">
        <x:v>0</x:v>
      </x:c>
      <x:c r="AM2896" t="n">
        <x:f>CHOOSE('假设'!$B$3,AJ2896,AK2896,AL2896)</x:f>
        <x:v>0</x:v>
      </x:c>
      <x:c r="AN2896" t="n">
        <x:v>1</x:v>
      </x:c>
    </x:row>
    <x:row r="2897" ht="23" customHeight="1">
      <x:c r="A2897" s="11" t="str">
        <x:v>688382.SH</x:v>
      </x:c>
      <x:c r="B2897" s="11" t="str">
        <x:v>一年</x:v>
      </x:c>
      <x:c r="C2897" s="11" t="str">
        <x:v>g12c_later_cn</x:v>
      </x:c>
      <x:c r="D2897" s="11" t="str">
        <x:v>2038-12-31</x:v>
      </x:c>
      <x:c r="E2897" s="11" t="str">
        <x:v>CNY</x:v>
      </x:c>
      <x:c r="F2897" s="11" t="n">
        <x:v>11.227926078028748</x:v>
      </x:c>
      <x:c r="G2897" s="26" t="b">
        <x:v>1</x:v>
      </x:c>
      <x:c r="H2897" s="16" t="n">
        <x:v>0.044999999999999984</x:v>
      </x:c>
      <x:c r="I2897" s="16" t="n">
        <x:v>0.09899999999999998</x:v>
      </x:c>
      <x:c r="J2897" s="16" t="n">
        <x:v>0</x:v>
      </x:c>
      <x:c r="K2897" s="11" t="n">
        <x:f>CHOOSE('假设'!$B$3,H2897,I2897,J2897)</x:f>
        <x:v>0.09899999999999998</x:v>
      </x:c>
      <x:c r="L2897" s="11" t="n">
        <x:f>K2897*'管线假设'!E631*'管线假设'!F631*'管线假设'!G631*IF(E2897="USD",'管线假设'!I631,1)-AM2897</x:f>
        <x:v>0.008118</x:v>
      </x:c>
      <x:c r="M2897" s="11" t="n">
        <x:f>'管线假设'!H631</x:f>
        <x:v>0.135</x:v>
      </x:c>
      <x:c r="N2897" s="11" t="n">
        <x:f>IF(G2897,L2897*AN2897/(1+M2897)^F2897,0)</x:f>
        <x:v>0.0019586623674539387</x:v>
      </x:c>
      <x:c r="AJ2897" t="n">
        <x:v>0</x:v>
      </x:c>
      <x:c r="AK2897" t="n">
        <x:v>0</x:v>
      </x:c>
      <x:c r="AL2897" t="n">
        <x:v>0</x:v>
      </x:c>
      <x:c r="AM2897" t="n">
        <x:f>CHOOSE('假设'!$B$3,AJ2897,AK2897,AL2897)</x:f>
        <x:v>0</x:v>
      </x:c>
      <x:c r="AN2897" t="n">
        <x:v>1</x:v>
      </x:c>
    </x:row>
    <x:row r="2898" ht="23" customHeight="1">
      <x:c r="A2898" s="11" t="str">
        <x:v>688382.SH</x:v>
      </x:c>
      <x:c r="B2898" s="11" t="str">
        <x:v>一年</x:v>
      </x:c>
      <x:c r="C2898" s="11" t="str">
        <x:v>g12c_later_cn</x:v>
      </x:c>
      <x:c r="D2898" s="11" t="str">
        <x:v>2039-12-31</x:v>
      </x:c>
      <x:c r="E2898" s="11" t="str">
        <x:v>CNY</x:v>
      </x:c>
      <x:c r="F2898" s="11" t="n">
        <x:v>12.227241615331964</x:v>
      </x:c>
      <x:c r="G2898" s="26" t="b">
        <x:v>1</x:v>
      </x:c>
      <x:c r="H2898" s="16" t="n">
        <x:v>0</x:v>
      </x:c>
      <x:c r="I2898" s="16" t="n">
        <x:v>0</x:v>
      </x:c>
      <x:c r="J2898" s="16" t="n">
        <x:v>0</x:v>
      </x:c>
      <x:c r="K2898" s="11" t="n">
        <x:f>CHOOSE('假设'!$B$3,H2898,I2898,J2898)</x:f>
        <x:v>0</x:v>
      </x:c>
      <x:c r="L2898" s="11" t="n">
        <x:f>K2898*'管线假设'!E631*'管线假设'!F631*'管线假设'!G631*IF(E2898="USD",'管线假设'!I631,1)-AM2898</x:f>
        <x:v>0</x:v>
      </x:c>
      <x:c r="M2898" s="11" t="n">
        <x:f>'管线假设'!H631</x:f>
        <x:v>0.135</x:v>
      </x:c>
      <x:c r="N2898" s="11" t="n">
        <x:f>IF(G2898,L2898*AN2898/(1+M2898)^F2898,0)</x:f>
        <x:v>0</x:v>
      </x:c>
      <x:c r="AJ2898" t="n">
        <x:v>0</x:v>
      </x:c>
      <x:c r="AK2898" t="n">
        <x:v>0</x:v>
      </x:c>
      <x:c r="AL2898" t="n">
        <x:v>0</x:v>
      </x:c>
      <x:c r="AM2898" t="n">
        <x:f>CHOOSE('假设'!$B$3,AJ2898,AK2898,AL2898)</x:f>
        <x:v>0</x:v>
      </x:c>
      <x:c r="AN2898" t="n">
        <x:v>1</x:v>
      </x:c>
    </x:row>
    <x:row r="2899" ht="23" customHeight="1">
      <x:c r="A2899" s="11" t="str">
        <x:v>688382.SH</x:v>
      </x:c>
      <x:c r="B2899" s="11" t="str">
        <x:v>一年</x:v>
      </x:c>
      <x:c r="C2899" s="11" t="str">
        <x:v>g12c_later_cn</x:v>
      </x:c>
      <x:c r="D2899" s="11" t="str">
        <x:v>2040-12-31</x:v>
      </x:c>
      <x:c r="E2899" s="11" t="str">
        <x:v>CNY</x:v>
      </x:c>
      <x:c r="F2899" s="11" t="n">
        <x:v>13.229295003422314</x:v>
      </x:c>
      <x:c r="G2899" s="26" t="b">
        <x:v>1</x:v>
      </x:c>
      <x:c r="H2899" s="16" t="n">
        <x:v>0</x:v>
      </x:c>
      <x:c r="I2899" s="16" t="n">
        <x:v>0</x:v>
      </x:c>
      <x:c r="J2899" s="16" t="n">
        <x:v>0</x:v>
      </x:c>
      <x:c r="K2899" s="11" t="n">
        <x:f>CHOOSE('假设'!$B$3,H2899,I2899,J2899)</x:f>
        <x:v>0</x:v>
      </x:c>
      <x:c r="L2899" s="11" t="n">
        <x:f>K2899*'管线假设'!E631*'管线假设'!F631*'管线假设'!G631*IF(E2899="USD",'管线假设'!I631,1)-AM2899</x:f>
        <x:v>0</x:v>
      </x:c>
      <x:c r="M2899" s="11" t="n">
        <x:f>'管线假设'!H631</x:f>
        <x:v>0.135</x:v>
      </x:c>
      <x:c r="N2899" s="11" t="n">
        <x:f>IF(G2899,L2899*AN2899/(1+M2899)^F2899,0)</x:f>
        <x:v>0</x:v>
      </x:c>
      <x:c r="AJ2899" t="n">
        <x:v>0</x:v>
      </x:c>
      <x:c r="AK2899" t="n">
        <x:v>0</x:v>
      </x:c>
      <x:c r="AL2899" t="n">
        <x:v>0</x:v>
      </x:c>
      <x:c r="AM2899" t="n">
        <x:f>CHOOSE('假设'!$B$3,AJ2899,AK2899,AL2899)</x:f>
        <x:v>0</x:v>
      </x:c>
      <x:c r="AN2899" t="n">
        <x:v>1</x:v>
      </x:c>
    </x:row>
    <x:row r="2900" ht="23" customHeight="1">
      <x:c r="A2900" s="11" t="str">
        <x:v>688382.SH</x:v>
      </x:c>
      <x:c r="B2900" s="11" t="str">
        <x:v>一年</x:v>
      </x:c>
      <x:c r="C2900" s="11" t="str">
        <x:v>g12c_later_cn</x:v>
      </x:c>
      <x:c r="D2900" s="11" t="str">
        <x:v>2041-12-31</x:v>
      </x:c>
      <x:c r="E2900" s="11" t="str">
        <x:v>CNY</x:v>
      </x:c>
      <x:c r="F2900" s="11" t="n">
        <x:v>14.22861054072553</x:v>
      </x:c>
      <x:c r="G2900" s="26" t="b">
        <x:v>1</x:v>
      </x:c>
      <x:c r="H2900" s="16" t="n">
        <x:v>0</x:v>
      </x:c>
      <x:c r="I2900" s="16" t="n">
        <x:v>0</x:v>
      </x:c>
      <x:c r="J2900" s="16" t="n">
        <x:v>0</x:v>
      </x:c>
      <x:c r="K2900" s="11" t="n">
        <x:f>CHOOSE('假设'!$B$3,H2900,I2900,J2900)</x:f>
        <x:v>0</x:v>
      </x:c>
      <x:c r="L2900" s="11" t="n">
        <x:f>K2900*'管线假设'!E631*'管线假设'!F631*'管线假设'!G631*IF(E2900="USD",'管线假设'!I631,1)-AM2900</x:f>
        <x:v>0</x:v>
      </x:c>
      <x:c r="M2900" s="11" t="n">
        <x:f>'管线假设'!H631</x:f>
        <x:v>0.135</x:v>
      </x:c>
      <x:c r="N2900" s="11" t="n">
        <x:f>IF(G2900,L2900*AN2900/(1+M2900)^F2900,0)</x:f>
        <x:v>0</x:v>
      </x:c>
      <x:c r="AJ2900" t="n">
        <x:v>0</x:v>
      </x:c>
      <x:c r="AK2900" t="n">
        <x:v>0</x:v>
      </x:c>
      <x:c r="AL2900" t="n">
        <x:v>0</x:v>
      </x:c>
      <x:c r="AM2900" t="n">
        <x:f>CHOOSE('假设'!$B$3,AJ2900,AK2900,AL2900)</x:f>
        <x:v>0</x:v>
      </x:c>
      <x:c r="AN2900" t="n">
        <x:v>1</x:v>
      </x:c>
    </x:row>
    <x:row r="2901" ht="23" customHeight="1">
      <x:c r="A2901" s="11" t="str">
        <x:v>688382.SH</x:v>
      </x:c>
      <x:c r="B2901" s="11" t="str">
        <x:v>一年</x:v>
      </x:c>
      <x:c r="C2901" s="11" t="str">
        <x:v>g12c_later_cn</x:v>
      </x:c>
      <x:c r="D2901" s="11" t="str">
        <x:v>2042-12-31</x:v>
      </x:c>
      <x:c r="E2901" s="11" t="str">
        <x:v>CNY</x:v>
      </x:c>
      <x:c r="F2901" s="11" t="n">
        <x:v>15.227926078028748</x:v>
      </x:c>
      <x:c r="G2901" s="26" t="b">
        <x:v>1</x:v>
      </x:c>
      <x:c r="H2901" s="16" t="n">
        <x:v>0</x:v>
      </x:c>
      <x:c r="I2901" s="16" t="n">
        <x:v>0</x:v>
      </x:c>
      <x:c r="J2901" s="16" t="n">
        <x:v>0</x:v>
      </x:c>
      <x:c r="K2901" s="11" t="n">
        <x:f>CHOOSE('假设'!$B$3,H2901,I2901,J2901)</x:f>
        <x:v>0</x:v>
      </x:c>
      <x:c r="L2901" s="11" t="n">
        <x:f>K2901*'管线假设'!E631*'管线假设'!F631*'管线假设'!G631*IF(E2901="USD",'管线假设'!I631,1)-AM2901</x:f>
        <x:v>0</x:v>
      </x:c>
      <x:c r="M2901" s="11" t="n">
        <x:f>'管线假设'!H631</x:f>
        <x:v>0.135</x:v>
      </x:c>
      <x:c r="N2901" s="11" t="n">
        <x:f>IF(G2901,L2901*AN2901/(1+M2901)^F2901,0)</x:f>
        <x:v>0</x:v>
      </x:c>
      <x:c r="AJ2901" t="n">
        <x:v>0</x:v>
      </x:c>
      <x:c r="AK2901" t="n">
        <x:v>0</x:v>
      </x:c>
      <x:c r="AL2901" t="n">
        <x:v>0</x:v>
      </x:c>
      <x:c r="AM2901" t="n">
        <x:f>CHOOSE('假设'!$B$3,AJ2901,AK2901,AL2901)</x:f>
        <x:v>0</x:v>
      </x:c>
      <x:c r="AN2901" t="n">
        <x:v>1</x:v>
      </x:c>
    </x:row>
    <x:row r="2902" ht="23" customHeight="1">
      <x:c r="A2902" s="11" t="str">
        <x:v>688382.SH</x:v>
      </x:c>
      <x:c r="B2902" s="11" t="str">
        <x:v>一年</x:v>
      </x:c>
      <x:c r="C2902" s="11" t="str">
        <x:v>g12c_later_cn</x:v>
      </x:c>
      <x:c r="D2902" s="11" t="str">
        <x:v>2043-12-31</x:v>
      </x:c>
      <x:c r="E2902" s="11" t="str">
        <x:v>CNY</x:v>
      </x:c>
      <x:c r="F2902" s="11" t="n">
        <x:v>16.227241615331966</x:v>
      </x:c>
      <x:c r="G2902" s="26" t="b">
        <x:v>1</x:v>
      </x:c>
      <x:c r="H2902" s="16" t="n">
        <x:v>0</x:v>
      </x:c>
      <x:c r="I2902" s="16" t="n">
        <x:v>0</x:v>
      </x:c>
      <x:c r="J2902" s="16" t="n">
        <x:v>0</x:v>
      </x:c>
      <x:c r="K2902" s="11" t="n">
        <x:f>CHOOSE('假设'!$B$3,H2902,I2902,J2902)</x:f>
        <x:v>0</x:v>
      </x:c>
      <x:c r="L2902" s="11" t="n">
        <x:f>K2902*'管线假设'!E631*'管线假设'!F631*'管线假设'!G631*IF(E2902="USD",'管线假设'!I631,1)-AM2902</x:f>
        <x:v>0</x:v>
      </x:c>
      <x:c r="M2902" s="11" t="n">
        <x:f>'管线假设'!H631</x:f>
        <x:v>0.135</x:v>
      </x:c>
      <x:c r="N2902" s="11" t="n">
        <x:f>IF(G2902,L2902*AN2902/(1+M2902)^F2902,0)</x:f>
        <x:v>0</x:v>
      </x:c>
      <x:c r="AJ2902" t="n">
        <x:v>0</x:v>
      </x:c>
      <x:c r="AK2902" t="n">
        <x:v>0</x:v>
      </x:c>
      <x:c r="AL2902" t="n">
        <x:v>0</x:v>
      </x:c>
      <x:c r="AM2902" t="n">
        <x:f>CHOOSE('假设'!$B$3,AJ2902,AK2902,AL2902)</x:f>
        <x:v>0</x:v>
      </x:c>
      <x:c r="AN2902" t="n">
        <x:v>1</x:v>
      </x:c>
    </x:row>
    <x:row r="2903" ht="23" customHeight="1">
      <x:c r="A2903" s="11" t="str">
        <x:v>688382.SH</x:v>
      </x:c>
      <x:c r="B2903" s="11" t="str">
        <x:v>一年</x:v>
      </x:c>
      <x:c r="C2903" s="11" t="str">
        <x:v>g12c_later_cn</x:v>
      </x:c>
      <x:c r="D2903" s="11" t="str">
        <x:v>2044-12-31</x:v>
      </x:c>
      <x:c r="E2903" s="11" t="str">
        <x:v>CNY</x:v>
      </x:c>
      <x:c r="F2903" s="11" t="n">
        <x:v>17.229295003422312</x:v>
      </x:c>
      <x:c r="G2903" s="26" t="b">
        <x:v>1</x:v>
      </x:c>
      <x:c r="H2903" s="16" t="n">
        <x:v>0</x:v>
      </x:c>
      <x:c r="I2903" s="16" t="n">
        <x:v>0</x:v>
      </x:c>
      <x:c r="J2903" s="16" t="n">
        <x:v>0</x:v>
      </x:c>
      <x:c r="K2903" s="11" t="n">
        <x:f>CHOOSE('假设'!$B$3,H2903,I2903,J2903)</x:f>
        <x:v>0</x:v>
      </x:c>
      <x:c r="L2903" s="11" t="n">
        <x:f>K2903*'管线假设'!E631*'管线假设'!F631*'管线假设'!G631*IF(E2903="USD",'管线假设'!I631,1)-AM2903</x:f>
        <x:v>0</x:v>
      </x:c>
      <x:c r="M2903" s="11" t="n">
        <x:f>'管线假设'!H631</x:f>
        <x:v>0.135</x:v>
      </x:c>
      <x:c r="N2903" s="11" t="n">
        <x:f>IF(G2903,L2903*AN2903/(1+M2903)^F2903,0)</x:f>
        <x:v>0</x:v>
      </x:c>
      <x:c r="AJ2903" t="n">
        <x:v>0</x:v>
      </x:c>
      <x:c r="AK2903" t="n">
        <x:v>0</x:v>
      </x:c>
      <x:c r="AL2903" t="n">
        <x:v>0</x:v>
      </x:c>
      <x:c r="AM2903" t="n">
        <x:f>CHOOSE('假设'!$B$3,AJ2903,AK2903,AL2903)</x:f>
        <x:v>0</x:v>
      </x:c>
      <x:c r="AN2903" t="n">
        <x:v>1</x:v>
      </x:c>
    </x:row>
    <x:row r="2904" ht="23" customHeight="1">
      <x:c r="A2904" s="11" t="str">
        <x:v>688382.SH</x:v>
      </x:c>
      <x:c r="B2904" s="11" t="str">
        <x:v>一年</x:v>
      </x:c>
      <x:c r="C2904" s="11" t="str">
        <x:v>g12c_later_cn</x:v>
      </x:c>
      <x:c r="D2904" s="11" t="str">
        <x:v>2045-12-31</x:v>
      </x:c>
      <x:c r="E2904" s="11" t="str">
        <x:v>CNY</x:v>
      </x:c>
      <x:c r="F2904" s="11" t="n">
        <x:v>18.22861054072553</x:v>
      </x:c>
      <x:c r="G2904" s="26" t="b">
        <x:v>1</x:v>
      </x:c>
      <x:c r="H2904" s="16" t="n">
        <x:v>0</x:v>
      </x:c>
      <x:c r="I2904" s="16" t="n">
        <x:v>0</x:v>
      </x:c>
      <x:c r="J2904" s="16" t="n">
        <x:v>0</x:v>
      </x:c>
      <x:c r="K2904" s="11" t="n">
        <x:f>CHOOSE('假设'!$B$3,H2904,I2904,J2904)</x:f>
        <x:v>0</x:v>
      </x:c>
      <x:c r="L2904" s="11" t="n">
        <x:f>K2904*'管线假设'!E631*'管线假设'!F631*'管线假设'!G631*IF(E2904="USD",'管线假设'!I631,1)-AM2904</x:f>
        <x:v>0</x:v>
      </x:c>
      <x:c r="M2904" s="11" t="n">
        <x:f>'管线假设'!H631</x:f>
        <x:v>0.135</x:v>
      </x:c>
      <x:c r="N2904" s="11" t="n">
        <x:f>IF(G2904,L2904*AN2904/(1+M2904)^F2904,0)</x:f>
        <x:v>0</x:v>
      </x:c>
      <x:c r="AJ2904" t="n">
        <x:v>0</x:v>
      </x:c>
      <x:c r="AK2904" t="n">
        <x:v>0</x:v>
      </x:c>
      <x:c r="AL2904" t="n">
        <x:v>0</x:v>
      </x:c>
      <x:c r="AM2904" t="n">
        <x:f>CHOOSE('假设'!$B$3,AJ2904,AK2904,AL2904)</x:f>
        <x:v>0</x:v>
      </x:c>
      <x:c r="AN2904" t="n">
        <x:v>1</x:v>
      </x:c>
    </x:row>
    <x:row r="2905" ht="23" customHeight="1">
      <x:c r="A2905" s="11" t="str">
        <x:v>688382.SH</x:v>
      </x:c>
      <x:c r="B2905" s="11" t="str">
        <x:v>一年</x:v>
      </x:c>
      <x:c r="C2905" s="11" t="str">
        <x:v>g12c_first_cn</x:v>
      </x:c>
      <x:c r="D2905" s="11" t="str">
        <x:v>2027-12-31</x:v>
      </x:c>
      <x:c r="E2905" s="11" t="str">
        <x:v>CNY</x:v>
      </x:c>
      <x:c r="F2905" s="11" t="n">
        <x:v>0.2272416153319644</x:v>
      </x:c>
      <x:c r="G2905" s="26" t="b">
        <x:v>1</x:v>
      </x:c>
      <x:c r="H2905" s="16" t="n">
        <x:v>0</x:v>
      </x:c>
      <x:c r="I2905" s="16" t="n">
        <x:v>0</x:v>
      </x:c>
      <x:c r="J2905" s="16" t="n">
        <x:v>0</x:v>
      </x:c>
      <x:c r="K2905" s="11" t="n">
        <x:f>CHOOSE('假设'!$B$3,H2905,I2905,J2905)</x:f>
        <x:v>0</x:v>
      </x:c>
      <x:c r="L2905" s="11" t="n">
        <x:f>K2905*'管线假设'!E635*'管线假设'!F635*'管线假设'!G635*IF(E2905="USD",'管线假设'!I635,1)-AM2905</x:f>
        <x:v>0</x:v>
      </x:c>
      <x:c r="M2905" s="11" t="n">
        <x:f>'管线假设'!H635</x:f>
        <x:v>0.135</x:v>
      </x:c>
      <x:c r="N2905" s="11" t="n">
        <x:f>IF(G2905,L2905*AN2905/(1+M2905)^F2905,0)</x:f>
        <x:v>0</x:v>
      </x:c>
      <x:c r="AJ2905" t="n">
        <x:v>0</x:v>
      </x:c>
      <x:c r="AK2905" t="n">
        <x:v>0</x:v>
      </x:c>
      <x:c r="AL2905" t="n">
        <x:v>0</x:v>
      </x:c>
      <x:c r="AM2905" t="n">
        <x:f>CHOOSE('假设'!$B$3,AJ2905,AK2905,AL2905)</x:f>
        <x:v>0</x:v>
      </x:c>
      <x:c r="AN2905" t="n">
        <x:v>1</x:v>
      </x:c>
    </x:row>
    <x:row r="2906" ht="23" customHeight="1">
      <x:c r="A2906" s="11" t="str">
        <x:v>688382.SH</x:v>
      </x:c>
      <x:c r="B2906" s="11" t="str">
        <x:v>一年</x:v>
      </x:c>
      <x:c r="C2906" s="11" t="str">
        <x:v>g12c_first_cn</x:v>
      </x:c>
      <x:c r="D2906" s="11" t="str">
        <x:v>2028-12-31</x:v>
      </x:c>
      <x:c r="E2906" s="11" t="str">
        <x:v>CNY</x:v>
      </x:c>
      <x:c r="F2906" s="11" t="n">
        <x:v>1.2292950034223136</x:v>
      </x:c>
      <x:c r="G2906" s="26" t="b">
        <x:v>1</x:v>
      </x:c>
      <x:c r="H2906" s="16" t="n">
        <x:v>0</x:v>
      </x:c>
      <x:c r="I2906" s="16" t="n">
        <x:v>0</x:v>
      </x:c>
      <x:c r="J2906" s="16" t="n">
        <x:v>0.52</x:v>
      </x:c>
      <x:c r="K2906" s="11" t="n">
        <x:f>CHOOSE('假设'!$B$3,H2906,I2906,J2906)</x:f>
        <x:v>0</x:v>
      </x:c>
      <x:c r="L2906" s="11" t="n">
        <x:f>K2906*'管线假设'!E635*'管线假设'!F635*'管线假设'!G635*IF(E2906="USD",'管线假设'!I635,1)-AM2906</x:f>
        <x:v>0</x:v>
      </x:c>
      <x:c r="M2906" s="11" t="n">
        <x:f>'管线假设'!H635</x:f>
        <x:v>0.135</x:v>
      </x:c>
      <x:c r="N2906" s="11" t="n">
        <x:f>IF(G2906,L2906*AN2906/(1+M2906)^F2906,0)</x:f>
        <x:v>0</x:v>
      </x:c>
      <x:c r="AJ2906" t="n">
        <x:v>0</x:v>
      </x:c>
      <x:c r="AK2906" t="n">
        <x:v>0</x:v>
      </x:c>
      <x:c r="AL2906" t="n">
        <x:v>0</x:v>
      </x:c>
      <x:c r="AM2906" t="n">
        <x:f>CHOOSE('假设'!$B$3,AJ2906,AK2906,AL2906)</x:f>
        <x:v>0</x:v>
      </x:c>
      <x:c r="AN2906" t="n">
        <x:v>1</x:v>
      </x:c>
    </x:row>
    <x:row r="2907" ht="23" customHeight="1">
      <x:c r="A2907" s="11" t="str">
        <x:v>688382.SH</x:v>
      </x:c>
      <x:c r="B2907" s="11" t="str">
        <x:v>一年</x:v>
      </x:c>
      <x:c r="C2907" s="11" t="str">
        <x:v>g12c_first_cn</x:v>
      </x:c>
      <x:c r="D2907" s="11" t="str">
        <x:v>2029-12-31</x:v>
      </x:c>
      <x:c r="E2907" s="11" t="str">
        <x:v>CNY</x:v>
      </x:c>
      <x:c r="F2907" s="11" t="n">
        <x:v>2.2286105407255303</x:v>
      </x:c>
      <x:c r="G2907" s="26" t="b">
        <x:v>1</x:v>
      </x:c>
      <x:c r="H2907" s="16" t="n">
        <x:v>0</x:v>
      </x:c>
      <x:c r="I2907" s="16" t="n">
        <x:v>0.26666666666666666</x:v>
      </x:c>
      <x:c r="J2907" s="16" t="n">
        <x:v>1.04</x:v>
      </x:c>
      <x:c r="K2907" s="11" t="n">
        <x:f>CHOOSE('假设'!$B$3,H2907,I2907,J2907)</x:f>
        <x:v>0.26666666666666666</x:v>
      </x:c>
      <x:c r="L2907" s="11" t="n">
        <x:f>K2907*'管线假设'!E635*'管线假设'!F635*'管线假设'!G635*IF(E2907="USD",'管线假设'!I635,1)-AM2907</x:f>
        <x:v>0.011405653333333335</x:v>
      </x:c>
      <x:c r="M2907" s="11" t="n">
        <x:f>'管线假设'!H635</x:f>
        <x:v>0.135</x:v>
      </x:c>
      <x:c r="N2907" s="11" t="n">
        <x:f>IF(G2907,L2907*AN2907/(1+M2907)^F2907,0)</x:f>
        <x:v>0.008601135919862538</x:v>
      </x:c>
      <x:c r="AJ2907" t="n">
        <x:v>0</x:v>
      </x:c>
      <x:c r="AK2907" t="n">
        <x:v>0</x:v>
      </x:c>
      <x:c r="AL2907" t="n">
        <x:v>0</x:v>
      </x:c>
      <x:c r="AM2907" t="n">
        <x:f>CHOOSE('假设'!$B$3,AJ2907,AK2907,AL2907)</x:f>
        <x:v>0</x:v>
      </x:c>
      <x:c r="AN2907" t="n">
        <x:v>1</x:v>
      </x:c>
    </x:row>
    <x:row r="2908" ht="23" customHeight="1">
      <x:c r="A2908" s="11" t="str">
        <x:v>688382.SH</x:v>
      </x:c>
      <x:c r="B2908" s="11" t="str">
        <x:v>一年</x:v>
      </x:c>
      <x:c r="C2908" s="11" t="str">
        <x:v>g12c_first_cn</x:v>
      </x:c>
      <x:c r="D2908" s="11" t="str">
        <x:v>2030-12-31</x:v>
      </x:c>
      <x:c r="E2908" s="11" t="str">
        <x:v>CNY</x:v>
      </x:c>
      <x:c r="F2908" s="11" t="n">
        <x:v>3.2279260780287475</x:v>
      </x:c>
      <x:c r="G2908" s="26" t="b">
        <x:v>1</x:v>
      </x:c>
      <x:c r="H2908" s="16" t="n">
        <x:v>0</x:v>
      </x:c>
      <x:c r="I2908" s="16" t="n">
        <x:v>0.5333333333333333</x:v>
      </x:c>
      <x:c r="J2908" s="16" t="n">
        <x:v>1.56</x:v>
      </x:c>
      <x:c r="K2908" s="11" t="n">
        <x:f>CHOOSE('假设'!$B$3,H2908,I2908,J2908)</x:f>
        <x:v>0.5333333333333333</x:v>
      </x:c>
      <x:c r="L2908" s="11" t="n">
        <x:f>K2908*'管线假设'!E635*'管线假设'!F635*'管线假设'!G635*IF(E2908="USD",'管线假设'!I635,1)-AM2908</x:f>
        <x:v>0.02281130666666667</x:v>
      </x:c>
      <x:c r="M2908" s="11" t="n">
        <x:f>'管线假设'!H635</x:f>
        <x:v>0.135</x:v>
      </x:c>
      <x:c r="N2908" s="11" t="n">
        <x:f>IF(G2908,L2908*AN2908/(1+M2908)^F2908,0)</x:f>
        <x:v>0.015157500367277036</x:v>
      </x:c>
      <x:c r="AJ2908" t="n">
        <x:v>0</x:v>
      </x:c>
      <x:c r="AK2908" t="n">
        <x:v>0</x:v>
      </x:c>
      <x:c r="AL2908" t="n">
        <x:v>0</x:v>
      </x:c>
      <x:c r="AM2908" t="n">
        <x:f>CHOOSE('假设'!$B$3,AJ2908,AK2908,AL2908)</x:f>
        <x:v>0</x:v>
      </x:c>
      <x:c r="AN2908" t="n">
        <x:v>1</x:v>
      </x:c>
    </x:row>
    <x:row r="2909" ht="23" customHeight="1">
      <x:c r="A2909" s="11" t="str">
        <x:v>688382.SH</x:v>
      </x:c>
      <x:c r="B2909" s="11" t="str">
        <x:v>一年</x:v>
      </x:c>
      <x:c r="C2909" s="11" t="str">
        <x:v>g12c_first_cn</x:v>
      </x:c>
      <x:c r="D2909" s="11" t="str">
        <x:v>2031-12-31</x:v>
      </x:c>
      <x:c r="E2909" s="11" t="str">
        <x:v>CNY</x:v>
      </x:c>
      <x:c r="F2909" s="11" t="n">
        <x:v>4.227241615331964</x:v>
      </x:c>
      <x:c r="G2909" s="26" t="b">
        <x:v>1</x:v>
      </x:c>
      <x:c r="H2909" s="16" t="n">
        <x:v>0</x:v>
      </x:c>
      <x:c r="I2909" s="16" t="n">
        <x:v>0.8</x:v>
      </x:c>
      <x:c r="J2909" s="16" t="n">
        <x:v>2.08</x:v>
      </x:c>
      <x:c r="K2909" s="11" t="n">
        <x:f>CHOOSE('假设'!$B$3,H2909,I2909,J2909)</x:f>
        <x:v>0.8</x:v>
      </x:c>
      <x:c r="L2909" s="11" t="n">
        <x:f>K2909*'管线假设'!E635*'管线假设'!F635*'管线假设'!G635*IF(E2909="USD",'管线假设'!I635,1)-AM2909</x:f>
        <x:v>0.034216960000000005</x:v>
      </x:c>
      <x:c r="M2909" s="11" t="n">
        <x:f>'管线假设'!H635</x:f>
        <x:v>0.135</x:v>
      </x:c>
      <x:c r="N2909" s="11" t="n">
        <x:f>IF(G2909,L2909*AN2909/(1+M2909)^F2909,0)</x:f>
        <x:v>0.020033675161449663</x:v>
      </x:c>
      <x:c r="AJ2909" t="n">
        <x:v>0</x:v>
      </x:c>
      <x:c r="AK2909" t="n">
        <x:v>0</x:v>
      </x:c>
      <x:c r="AL2909" t="n">
        <x:v>0</x:v>
      </x:c>
      <x:c r="AM2909" t="n">
        <x:f>CHOOSE('假设'!$B$3,AJ2909,AK2909,AL2909)</x:f>
        <x:v>0</x:v>
      </x:c>
      <x:c r="AN2909" t="n">
        <x:v>1</x:v>
      </x:c>
    </x:row>
    <x:row r="2910" ht="23" customHeight="1">
      <x:c r="A2910" s="11" t="str">
        <x:v>688382.SH</x:v>
      </x:c>
      <x:c r="B2910" s="11" t="str">
        <x:v>一年</x:v>
      </x:c>
      <x:c r="C2910" s="11" t="str">
        <x:v>g12c_first_cn</x:v>
      </x:c>
      <x:c r="D2910" s="11" t="str">
        <x:v>2032-12-31</x:v>
      </x:c>
      <x:c r="E2910" s="11" t="str">
        <x:v>CNY</x:v>
      </x:c>
      <x:c r="F2910" s="11" t="n">
        <x:v>5.229295003422314</x:v>
      </x:c>
      <x:c r="G2910" s="26" t="b">
        <x:v>1</x:v>
      </x:c>
      <x:c r="H2910" s="16" t="n">
        <x:v>0.13999999999999999</x:v>
      </x:c>
      <x:c r="I2910" s="16" t="n">
        <x:v>1.0666666666666667</x:v>
      </x:c>
      <x:c r="J2910" s="16" t="n">
        <x:v>2.6</x:v>
      </x:c>
      <x:c r="K2910" s="11" t="n">
        <x:f>CHOOSE('假设'!$B$3,H2910,I2910,J2910)</x:f>
        <x:v>1.0666666666666667</x:v>
      </x:c>
      <x:c r="L2910" s="11" t="n">
        <x:f>K2910*'管线假设'!E635*'管线假设'!F635*'管线假设'!G635*IF(E2910="USD",'管线假设'!I635,1)-AM2910</x:f>
        <x:v>0.04562261333333334</x:v>
      </x:c>
      <x:c r="M2910" s="11" t="n">
        <x:f>'管线假设'!H635</x:f>
        <x:v>0.135</x:v>
      </x:c>
      <x:c r="N2910" s="11" t="n">
        <x:f>IF(G2910,L2910*AN2910/(1+M2910)^F2910,0)</x:f>
        <x:v>0.023528301395244897</x:v>
      </x:c>
      <x:c r="AJ2910" t="n">
        <x:v>0</x:v>
      </x:c>
      <x:c r="AK2910" t="n">
        <x:v>0</x:v>
      </x:c>
      <x:c r="AL2910" t="n">
        <x:v>0</x:v>
      </x:c>
      <x:c r="AM2910" t="n">
        <x:f>CHOOSE('假设'!$B$3,AJ2910,AK2910,AL2910)</x:f>
        <x:v>0</x:v>
      </x:c>
      <x:c r="AN2910" t="n">
        <x:v>1</x:v>
      </x:c>
    </x:row>
    <x:row r="2911" ht="23" customHeight="1">
      <x:c r="A2911" s="11" t="str">
        <x:v>688382.SH</x:v>
      </x:c>
      <x:c r="B2911" s="11" t="str">
        <x:v>一年</x:v>
      </x:c>
      <x:c r="C2911" s="11" t="str">
        <x:v>g12c_first_cn</x:v>
      </x:c>
      <x:c r="D2911" s="11" t="str">
        <x:v>2033-12-31</x:v>
      </x:c>
      <x:c r="E2911" s="11" t="str">
        <x:v>CNY</x:v>
      </x:c>
      <x:c r="F2911" s="11" t="n">
        <x:v>6.228610540725531</x:v>
      </x:c>
      <x:c r="G2911" s="26" t="b">
        <x:v>1</x:v>
      </x:c>
      <x:c r="H2911" s="16" t="n">
        <x:v>0.27999999999999997</x:v>
      </x:c>
      <x:c r="I2911" s="16" t="n">
        <x:v>1.3333333333333335</x:v>
      </x:c>
      <x:c r="J2911" s="16" t="n">
        <x:v>2.262</x:v>
      </x:c>
      <x:c r="K2911" s="11" t="n">
        <x:f>CHOOSE('假设'!$B$3,H2911,I2911,J2911)</x:f>
        <x:v>1.3333333333333335</x:v>
      </x:c>
      <x:c r="L2911" s="11" t="n">
        <x:f>K2911*'管线假设'!E635*'管线假设'!F635*'管线假设'!G635*IF(E2911="USD",'管线假设'!I635,1)-AM2911</x:f>
        <x:v>0.05702826666666668</x:v>
      </x:c>
      <x:c r="M2911" s="11" t="n">
        <x:f>'管线假设'!H635</x:f>
        <x:v>0.135</x:v>
      </x:c>
      <x:c r="N2911" s="11" t="n">
        <x:f>IF(G2911,L2911*AN2911/(1+M2911)^F2911,0)</x:f>
        <x:v>0.02591447225420147</x:v>
      </x:c>
      <x:c r="AJ2911" t="n">
        <x:v>0</x:v>
      </x:c>
      <x:c r="AK2911" t="n">
        <x:v>0</x:v>
      </x:c>
      <x:c r="AL2911" t="n">
        <x:v>0</x:v>
      </x:c>
      <x:c r="AM2911" t="n">
        <x:f>CHOOSE('假设'!$B$3,AJ2911,AK2911,AL2911)</x:f>
        <x:v>0</x:v>
      </x:c>
      <x:c r="AN2911" t="n">
        <x:v>1</x:v>
      </x:c>
    </x:row>
    <x:row r="2912" ht="23" customHeight="1">
      <x:c r="A2912" s="11" t="str">
        <x:v>688382.SH</x:v>
      </x:c>
      <x:c r="B2912" s="11" t="str">
        <x:v>一年</x:v>
      </x:c>
      <x:c r="C2912" s="11" t="str">
        <x:v>g12c_first_cn</x:v>
      </x:c>
      <x:c r="D2912" s="11" t="str">
        <x:v>2034-12-31</x:v>
      </x:c>
      <x:c r="E2912" s="11" t="str">
        <x:v>CNY</x:v>
      </x:c>
      <x:c r="F2912" s="11" t="n">
        <x:v>7.227926078028747</x:v>
      </x:c>
      <x:c r="G2912" s="26" t="b">
        <x:v>1</x:v>
      </x:c>
      <x:c r="H2912" s="16" t="n">
        <x:v>0.42</x:v>
      </x:c>
      <x:c r="I2912" s="16" t="n">
        <x:v>1.6</x:v>
      </x:c>
      <x:c r="J2912" s="16" t="n">
        <x:v>1.924</x:v>
      </x:c>
      <x:c r="K2912" s="11" t="n">
        <x:f>CHOOSE('假设'!$B$3,H2912,I2912,J2912)</x:f>
        <x:v>1.6</x:v>
      </x:c>
      <x:c r="L2912" s="11" t="n">
        <x:f>K2912*'管线假设'!E635*'管线假设'!F635*'管线假设'!G635*IF(E2912="USD",'管线假设'!I635,1)-AM2912</x:f>
        <x:v>0.06843392000000001</x:v>
      </x:c>
      <x:c r="M2912" s="11" t="n">
        <x:f>'管线假设'!H635</x:f>
        <x:v>0.135</x:v>
      </x:c>
      <x:c r="N2912" s="11" t="n">
        <x:f>IF(G2912,L2912*AN2912/(1+M2912)^F2912,0)</x:f>
        <x:v>0.027400935855723136</x:v>
      </x:c>
      <x:c r="AJ2912" t="n">
        <x:v>0</x:v>
      </x:c>
      <x:c r="AK2912" t="n">
        <x:v>0</x:v>
      </x:c>
      <x:c r="AL2912" t="n">
        <x:v>0</x:v>
      </x:c>
      <x:c r="AM2912" t="n">
        <x:f>CHOOSE('假设'!$B$3,AJ2912,AK2912,AL2912)</x:f>
        <x:v>0</x:v>
      </x:c>
      <x:c r="AN2912" t="n">
        <x:v>1</x:v>
      </x:c>
    </x:row>
    <x:row r="2913" ht="23" customHeight="1">
      <x:c r="A2913" s="11" t="str">
        <x:v>688382.SH</x:v>
      </x:c>
      <x:c r="B2913" s="11" t="str">
        <x:v>一年</x:v>
      </x:c>
      <x:c r="C2913" s="11" t="str">
        <x:v>g12c_first_cn</x:v>
      </x:c>
      <x:c r="D2913" s="11" t="str">
        <x:v>2035-12-31</x:v>
      </x:c>
      <x:c r="E2913" s="11" t="str">
        <x:v>CNY</x:v>
      </x:c>
      <x:c r="F2913" s="11" t="n">
        <x:v>8.227241615331964</x:v>
      </x:c>
      <x:c r="G2913" s="26" t="b">
        <x:v>1</x:v>
      </x:c>
      <x:c r="H2913" s="16" t="n">
        <x:v>0.5599999999999999</x:v>
      </x:c>
      <x:c r="I2913" s="16" t="n">
        <x:v>1.3920000000000001</x:v>
      </x:c>
      <x:c r="J2913" s="16" t="n">
        <x:v>1.586</x:v>
      </x:c>
      <x:c r="K2913" s="11" t="n">
        <x:f>CHOOSE('假设'!$B$3,H2913,I2913,J2913)</x:f>
        <x:v>1.3920000000000001</x:v>
      </x:c>
      <x:c r="L2913" s="11" t="n">
        <x:f>K2913*'管线假设'!E635*'管线假设'!F635*'管线假设'!G635*IF(E2913="USD",'管线假设'!I635,1)-AM2913</x:f>
        <x:v>0.059537510400000014</x:v>
      </x:c>
      <x:c r="M2913" s="11" t="n">
        <x:f>'管线假设'!H635</x:f>
        <x:v>0.135</x:v>
      </x:c>
      <x:c r="N2913" s="11" t="n">
        <x:f>IF(G2913,L2913*AN2913/(1+M2913)^F2913,0)</x:f>
        <x:v>0.02100518107578291</x:v>
      </x:c>
      <x:c r="AJ2913" t="n">
        <x:v>0</x:v>
      </x:c>
      <x:c r="AK2913" t="n">
        <x:v>0</x:v>
      </x:c>
      <x:c r="AL2913" t="n">
        <x:v>0</x:v>
      </x:c>
      <x:c r="AM2913" t="n">
        <x:f>CHOOSE('假设'!$B$3,AJ2913,AK2913,AL2913)</x:f>
        <x:v>0</x:v>
      </x:c>
      <x:c r="AN2913" t="n">
        <x:v>1</x:v>
      </x:c>
    </x:row>
    <x:row r="2914" ht="23" customHeight="1">
      <x:c r="A2914" s="11" t="str">
        <x:v>688382.SH</x:v>
      </x:c>
      <x:c r="B2914" s="11" t="str">
        <x:v>一年</x:v>
      </x:c>
      <x:c r="C2914" s="11" t="str">
        <x:v>g12c_first_cn</x:v>
      </x:c>
      <x:c r="D2914" s="11" t="str">
        <x:v>2036-12-31</x:v>
      </x:c>
      <x:c r="E2914" s="11" t="str">
        <x:v>CNY</x:v>
      </x:c>
      <x:c r="F2914" s="11" t="n">
        <x:v>9.229295003422314</x:v>
      </x:c>
      <x:c r="G2914" s="26" t="b">
        <x:v>1</x:v>
      </x:c>
      <x:c r="H2914" s="16" t="n">
        <x:v>0.7</x:v>
      </x:c>
      <x:c r="I2914" s="16" t="n">
        <x:v>1.184</x:v>
      </x:c>
      <x:c r="J2914" s="16" t="n">
        <x:v>1.248</x:v>
      </x:c>
      <x:c r="K2914" s="11" t="n">
        <x:f>CHOOSE('假设'!$B$3,H2914,I2914,J2914)</x:f>
        <x:v>1.184</x:v>
      </x:c>
      <x:c r="L2914" s="11" t="n">
        <x:f>K2914*'管线假设'!E635*'管线假设'!F635*'管线假设'!G635*IF(E2914="USD",'管线假设'!I635,1)-AM2914</x:f>
        <x:v>0.050641100800000005</x:v>
      </x:c>
      <x:c r="M2914" s="11" t="n">
        <x:f>'管线假设'!H635</x:f>
        <x:v>0.135</x:v>
      </x:c>
      <x:c r="N2914" s="11" t="n">
        <x:f>IF(G2914,L2914*AN2914/(1+M2914)^F2914,0)</x:f>
        <x:v>0.015737295782971228</x:v>
      </x:c>
      <x:c r="AJ2914" t="n">
        <x:v>0</x:v>
      </x:c>
      <x:c r="AK2914" t="n">
        <x:v>0</x:v>
      </x:c>
      <x:c r="AL2914" t="n">
        <x:v>0</x:v>
      </x:c>
      <x:c r="AM2914" t="n">
        <x:f>CHOOSE('假设'!$B$3,AJ2914,AK2914,AL2914)</x:f>
        <x:v>0</x:v>
      </x:c>
      <x:c r="AN2914" t="n">
        <x:v>1</x:v>
      </x:c>
    </x:row>
    <x:row r="2915" ht="23" customHeight="1">
      <x:c r="A2915" s="11" t="str">
        <x:v>688382.SH</x:v>
      </x:c>
      <x:c r="B2915" s="11" t="str">
        <x:v>一年</x:v>
      </x:c>
      <x:c r="C2915" s="11" t="str">
        <x:v>g12c_first_cn</x:v>
      </x:c>
      <x:c r="D2915" s="11" t="str">
        <x:v>2037-12-31</x:v>
      </x:c>
      <x:c r="E2915" s="11" t="str">
        <x:v>CNY</x:v>
      </x:c>
      <x:c r="F2915" s="11" t="n">
        <x:v>10.22861054072553</x:v>
      </x:c>
      <x:c r="G2915" s="26" t="b">
        <x:v>1</x:v>
      </x:c>
      <x:c r="H2915" s="16" t="n">
        <x:v>0.609</x:v>
      </x:c>
      <x:c r="I2915" s="16" t="n">
        <x:v>0.976</x:v>
      </x:c>
      <x:c r="J2915" s="16" t="n">
        <x:v>0.9099999999999999</x:v>
      </x:c>
      <x:c r="K2915" s="11" t="n">
        <x:f>CHOOSE('假设'!$B$3,H2915,I2915,J2915)</x:f>
        <x:v>0.976</x:v>
      </x:c>
      <x:c r="L2915" s="11" t="n">
        <x:f>K2915*'管线假设'!E635*'管线假设'!F635*'管线假设'!G635*IF(E2915="USD",'管线假设'!I635,1)-AM2915</x:f>
        <x:v>0.0417446912</x:v>
      </x:c>
      <x:c r="M2915" s="11" t="n">
        <x:f>'管线假设'!H635</x:f>
        <x:v>0.135</x:v>
      </x:c>
      <x:c r="N2915" s="11" t="n">
        <x:f>IF(G2915,L2915*AN2915/(1+M2915)^F2915,0)</x:f>
        <x:v>0.011430625699688782</x:v>
      </x:c>
      <x:c r="AJ2915" t="n">
        <x:v>0</x:v>
      </x:c>
      <x:c r="AK2915" t="n">
        <x:v>0</x:v>
      </x:c>
      <x:c r="AL2915" t="n">
        <x:v>0</x:v>
      </x:c>
      <x:c r="AM2915" t="n">
        <x:f>CHOOSE('假设'!$B$3,AJ2915,AK2915,AL2915)</x:f>
        <x:v>0</x:v>
      </x:c>
      <x:c r="AN2915" t="n">
        <x:v>1</x:v>
      </x:c>
    </x:row>
    <x:row r="2916" ht="23" customHeight="1">
      <x:c r="A2916" s="11" t="str">
        <x:v>688382.SH</x:v>
      </x:c>
      <x:c r="B2916" s="11" t="str">
        <x:v>一年</x:v>
      </x:c>
      <x:c r="C2916" s="11" t="str">
        <x:v>g12c_first_cn</x:v>
      </x:c>
      <x:c r="D2916" s="11" t="str">
        <x:v>2038-12-31</x:v>
      </x:c>
      <x:c r="E2916" s="11" t="str">
        <x:v>CNY</x:v>
      </x:c>
      <x:c r="F2916" s="11" t="n">
        <x:v>11.227926078028748</x:v>
      </x:c>
      <x:c r="G2916" s="26" t="b">
        <x:v>1</x:v>
      </x:c>
      <x:c r="H2916" s="16" t="n">
        <x:v>0.518</x:v>
      </x:c>
      <x:c r="I2916" s="16" t="n">
        <x:v>0.768</x:v>
      </x:c>
      <x:c r="J2916" s="16" t="n">
        <x:v>0.572</x:v>
      </x:c>
      <x:c r="K2916" s="11" t="n">
        <x:f>CHOOSE('假设'!$B$3,H2916,I2916,J2916)</x:f>
        <x:v>0.768</x:v>
      </x:c>
      <x:c r="L2916" s="11" t="n">
        <x:f>K2916*'管线假设'!E635*'管线假设'!F635*'管线假设'!G635*IF(E2916="USD",'管线假设'!I635,1)-AM2916</x:f>
        <x:v>0.0328482816</x:v>
      </x:c>
      <x:c r="M2916" s="11" t="n">
        <x:f>'管线假设'!H635</x:f>
        <x:v>0.135</x:v>
      </x:c>
      <x:c r="N2916" s="11" t="n">
        <x:f>IF(G2916,L2916*AN2916/(1+M2916)^F2916,0)</x:f>
        <x:v>0.007925436438217498</x:v>
      </x:c>
      <x:c r="AJ2916" t="n">
        <x:v>0</x:v>
      </x:c>
      <x:c r="AK2916" t="n">
        <x:v>0</x:v>
      </x:c>
      <x:c r="AL2916" t="n">
        <x:v>0</x:v>
      </x:c>
      <x:c r="AM2916" t="n">
        <x:f>CHOOSE('假设'!$B$3,AJ2916,AK2916,AL2916)</x:f>
        <x:v>0</x:v>
      </x:c>
      <x:c r="AN2916" t="n">
        <x:v>1</x:v>
      </x:c>
    </x:row>
    <x:row r="2917" ht="23" customHeight="1">
      <x:c r="A2917" s="11" t="str">
        <x:v>688382.SH</x:v>
      </x:c>
      <x:c r="B2917" s="11" t="str">
        <x:v>一年</x:v>
      </x:c>
      <x:c r="C2917" s="11" t="str">
        <x:v>g12c_first_cn</x:v>
      </x:c>
      <x:c r="D2917" s="11" t="str">
        <x:v>2039-12-31</x:v>
      </x:c>
      <x:c r="E2917" s="11" t="str">
        <x:v>CNY</x:v>
      </x:c>
      <x:c r="F2917" s="11" t="n">
        <x:v>12.227241615331964</x:v>
      </x:c>
      <x:c r="G2917" s="26" t="b">
        <x:v>1</x:v>
      </x:c>
      <x:c r="H2917" s="16" t="n">
        <x:v>0.427</x:v>
      </x:c>
      <x:c r="I2917" s="16" t="n">
        <x:v>0.5599999999999999</x:v>
      </x:c>
      <x:c r="J2917" s="16" t="n">
        <x:v>0.23399999999999993</x:v>
      </x:c>
      <x:c r="K2917" s="11" t="n">
        <x:f>CHOOSE('假设'!$B$3,H2917,I2917,J2917)</x:f>
        <x:v>0.5599999999999999</x:v>
      </x:c>
      <x:c r="L2917" s="11" t="n">
        <x:f>K2917*'管线假设'!E635*'管线假设'!F635*'管线假设'!G635*IF(E2917="USD",'管线假设'!I635,1)-AM2917</x:f>
        <x:v>0.023951872000000003</x:v>
      </x:c>
      <x:c r="M2917" s="11" t="n">
        <x:f>'管线假设'!H635</x:f>
        <x:v>0.135</x:v>
      </x:c>
      <x:c r="N2917" s="11" t="n">
        <x:f>IF(G2917,L2917*AN2917/(1+M2917)^F2917,0)</x:f>
        <x:v>0.005092039634215905</x:v>
      </x:c>
      <x:c r="AJ2917" t="n">
        <x:v>0</x:v>
      </x:c>
      <x:c r="AK2917" t="n">
        <x:v>0</x:v>
      </x:c>
      <x:c r="AL2917" t="n">
        <x:v>0</x:v>
      </x:c>
      <x:c r="AM2917" t="n">
        <x:f>CHOOSE('假设'!$B$3,AJ2917,AK2917,AL2917)</x:f>
        <x:v>0</x:v>
      </x:c>
      <x:c r="AN2917" t="n">
        <x:v>1</x:v>
      </x:c>
    </x:row>
    <x:row r="2918" ht="23" customHeight="1">
      <x:c r="A2918" s="11" t="str">
        <x:v>688382.SH</x:v>
      </x:c>
      <x:c r="B2918" s="11" t="str">
        <x:v>一年</x:v>
      </x:c>
      <x:c r="C2918" s="11" t="str">
        <x:v>g12c_first_cn</x:v>
      </x:c>
      <x:c r="D2918" s="11" t="str">
        <x:v>2040-12-31</x:v>
      </x:c>
      <x:c r="E2918" s="11" t="str">
        <x:v>CNY</x:v>
      </x:c>
      <x:c r="F2918" s="11" t="n">
        <x:v>13.229295003422314</x:v>
      </x:c>
      <x:c r="G2918" s="26" t="b">
        <x:v>1</x:v>
      </x:c>
      <x:c r="H2918" s="16" t="n">
        <x:v>0.33599999999999997</x:v>
      </x:c>
      <x:c r="I2918" s="16" t="n">
        <x:v>0.352</x:v>
      </x:c>
      <x:c r="J2918" s="16" t="n">
        <x:v>0</x:v>
      </x:c>
      <x:c r="K2918" s="11" t="n">
        <x:f>CHOOSE('假设'!$B$3,H2918,I2918,J2918)</x:f>
        <x:v>0.352</x:v>
      </x:c>
      <x:c r="L2918" s="11" t="n">
        <x:f>K2918*'管线假设'!E635*'管线假设'!F635*'管线假设'!G635*IF(E2918="USD",'管线假设'!I635,1)-AM2918</x:f>
        <x:v>0.0150554624</x:v>
      </x:c>
      <x:c r="M2918" s="11" t="n">
        <x:f>'管线假设'!H635</x:f>
        <x:v>0.135</x:v>
      </x:c>
      <x:c r="N2918" s="11" t="n">
        <x:f>IF(G2918,L2918*AN2918/(1+M2918)^F2918,0)</x:f>
        <x:v>0.0028192761828271943</x:v>
      </x:c>
      <x:c r="AJ2918" t="n">
        <x:v>0</x:v>
      </x:c>
      <x:c r="AK2918" t="n">
        <x:v>0</x:v>
      </x:c>
      <x:c r="AL2918" t="n">
        <x:v>0</x:v>
      </x:c>
      <x:c r="AM2918" t="n">
        <x:f>CHOOSE('假设'!$B$3,AJ2918,AK2918,AL2918)</x:f>
        <x:v>0</x:v>
      </x:c>
      <x:c r="AN2918" t="n">
        <x:v>1</x:v>
      </x:c>
    </x:row>
    <x:row r="2919" ht="23" customHeight="1">
      <x:c r="A2919" s="11" t="str">
        <x:v>688382.SH</x:v>
      </x:c>
      <x:c r="B2919" s="11" t="str">
        <x:v>一年</x:v>
      </x:c>
      <x:c r="C2919" s="11" t="str">
        <x:v>g12c_first_cn</x:v>
      </x:c>
      <x:c r="D2919" s="11" t="str">
        <x:v>2041-12-31</x:v>
      </x:c>
      <x:c r="E2919" s="11" t="str">
        <x:v>CNY</x:v>
      </x:c>
      <x:c r="F2919" s="11" t="n">
        <x:v>14.22861054072553</x:v>
      </x:c>
      <x:c r="G2919" s="26" t="b">
        <x:v>1</x:v>
      </x:c>
      <x:c r="H2919" s="16" t="n">
        <x:v>0.24499999999999997</x:v>
      </x:c>
      <x:c r="I2919" s="16" t="n">
        <x:v>0.14399999999999996</x:v>
      </x:c>
      <x:c r="J2919" s="16" t="n">
        <x:v>0</x:v>
      </x:c>
      <x:c r="K2919" s="11" t="n">
        <x:f>CHOOSE('假设'!$B$3,H2919,I2919,J2919)</x:f>
        <x:v>0.14399999999999996</x:v>
      </x:c>
      <x:c r="L2919" s="11" t="n">
        <x:f>K2919*'管线假设'!E635*'管线假设'!F635*'管线假设'!G635*IF(E2919="USD",'管线假设'!I635,1)-AM2919</x:f>
        <x:v>0.0061590527999999985</x:v>
      </x:c>
      <x:c r="M2919" s="11" t="n">
        <x:f>'管线假设'!H635</x:f>
        <x:v>0.135</x:v>
      </x:c>
      <x:c r="N2919" s="11" t="n">
        <x:f>IF(G2919,L2919*AN2919/(1+M2919)^F2919,0)</x:f>
        <x:v>0.0010162468961110141</x:v>
      </x:c>
      <x:c r="AJ2919" t="n">
        <x:v>0</x:v>
      </x:c>
      <x:c r="AK2919" t="n">
        <x:v>0</x:v>
      </x:c>
      <x:c r="AL2919" t="n">
        <x:v>0</x:v>
      </x:c>
      <x:c r="AM2919" t="n">
        <x:f>CHOOSE('假设'!$B$3,AJ2919,AK2919,AL2919)</x:f>
        <x:v>0</x:v>
      </x:c>
      <x:c r="AN2919" t="n">
        <x:v>1</x:v>
      </x:c>
    </x:row>
    <x:row r="2920" ht="23" customHeight="1">
      <x:c r="A2920" s="11" t="str">
        <x:v>688382.SH</x:v>
      </x:c>
      <x:c r="B2920" s="11" t="str">
        <x:v>一年</x:v>
      </x:c>
      <x:c r="C2920" s="11" t="str">
        <x:v>g12c_first_cn</x:v>
      </x:c>
      <x:c r="D2920" s="11" t="str">
        <x:v>2042-12-31</x:v>
      </x:c>
      <x:c r="E2920" s="11" t="str">
        <x:v>CNY</x:v>
      </x:c>
      <x:c r="F2920" s="11" t="n">
        <x:v>15.227926078028748</x:v>
      </x:c>
      <x:c r="G2920" s="26" t="b">
        <x:v>1</x:v>
      </x:c>
      <x:c r="H2920" s="16" t="n">
        <x:v>0.15399999999999997</x:v>
      </x:c>
      <x:c r="I2920" s="16" t="n">
        <x:v>0</x:v>
      </x:c>
      <x:c r="J2920" s="16" t="n">
        <x:v>0</x:v>
      </x:c>
      <x:c r="K2920" s="11" t="n">
        <x:f>CHOOSE('假设'!$B$3,H2920,I2920,J2920)</x:f>
        <x:v>0</x:v>
      </x:c>
      <x:c r="L2920" s="11" t="n">
        <x:f>K2920*'管线假设'!E635*'管线假设'!F635*'管线假设'!G635*IF(E2920="USD",'管线假设'!I635,1)-AM2920</x:f>
        <x:v>0</x:v>
      </x:c>
      <x:c r="M2920" s="11" t="n">
        <x:f>'管线假设'!H635</x:f>
        <x:v>0.135</x:v>
      </x:c>
      <x:c r="N2920" s="11" t="n">
        <x:f>IF(G2920,L2920*AN2920/(1+M2920)^F2920,0)</x:f>
        <x:v>0</x:v>
      </x:c>
      <x:c r="AJ2920" t="n">
        <x:v>0</x:v>
      </x:c>
      <x:c r="AK2920" t="n">
        <x:v>0</x:v>
      </x:c>
      <x:c r="AL2920" t="n">
        <x:v>0</x:v>
      </x:c>
      <x:c r="AM2920" t="n">
        <x:f>CHOOSE('假设'!$B$3,AJ2920,AK2920,AL2920)</x:f>
        <x:v>0</x:v>
      </x:c>
      <x:c r="AN2920" t="n">
        <x:v>1</x:v>
      </x:c>
    </x:row>
    <x:row r="2921" ht="23" customHeight="1">
      <x:c r="A2921" s="11" t="str">
        <x:v>688382.SH</x:v>
      </x:c>
      <x:c r="B2921" s="11" t="str">
        <x:v>一年</x:v>
      </x:c>
      <x:c r="C2921" s="11" t="str">
        <x:v>g12c_first_cn</x:v>
      </x:c>
      <x:c r="D2921" s="11" t="str">
        <x:v>2043-12-31</x:v>
      </x:c>
      <x:c r="E2921" s="11" t="str">
        <x:v>CNY</x:v>
      </x:c>
      <x:c r="F2921" s="11" t="n">
        <x:v>16.227241615331966</x:v>
      </x:c>
      <x:c r="G2921" s="26" t="b">
        <x:v>1</x:v>
      </x:c>
      <x:c r="H2921" s="16" t="n">
        <x:v>0.06299999999999997</x:v>
      </x:c>
      <x:c r="I2921" s="16" t="n">
        <x:v>0</x:v>
      </x:c>
      <x:c r="J2921" s="16" t="n">
        <x:v>0</x:v>
      </x:c>
      <x:c r="K2921" s="11" t="n">
        <x:f>CHOOSE('假设'!$B$3,H2921,I2921,J2921)</x:f>
        <x:v>0</x:v>
      </x:c>
      <x:c r="L2921" s="11" t="n">
        <x:f>K2921*'管线假设'!E635*'管线假设'!F635*'管线假设'!G635*IF(E2921="USD",'管线假设'!I635,1)-AM2921</x:f>
        <x:v>0</x:v>
      </x:c>
      <x:c r="M2921" s="11" t="n">
        <x:f>'管线假设'!H635</x:f>
        <x:v>0.135</x:v>
      </x:c>
      <x:c r="N2921" s="11" t="n">
        <x:f>IF(G2921,L2921*AN2921/(1+M2921)^F2921,0)</x:f>
        <x:v>0</x:v>
      </x:c>
      <x:c r="AJ2921" t="n">
        <x:v>0</x:v>
      </x:c>
      <x:c r="AK2921" t="n">
        <x:v>0</x:v>
      </x:c>
      <x:c r="AL2921" t="n">
        <x:v>0</x:v>
      </x:c>
      <x:c r="AM2921" t="n">
        <x:f>CHOOSE('假设'!$B$3,AJ2921,AK2921,AL2921)</x:f>
        <x:v>0</x:v>
      </x:c>
      <x:c r="AN2921" t="n">
        <x:v>1</x:v>
      </x:c>
    </x:row>
    <x:row r="2922" ht="23" customHeight="1">
      <x:c r="A2922" s="11" t="str">
        <x:v>688382.SH</x:v>
      </x:c>
      <x:c r="B2922" s="11" t="str">
        <x:v>一年</x:v>
      </x:c>
      <x:c r="C2922" s="11" t="str">
        <x:v>g12c_first_cn</x:v>
      </x:c>
      <x:c r="D2922" s="11" t="str">
        <x:v>2044-12-31</x:v>
      </x:c>
      <x:c r="E2922" s="11" t="str">
        <x:v>CNY</x:v>
      </x:c>
      <x:c r="F2922" s="11" t="n">
        <x:v>17.229295003422312</x:v>
      </x:c>
      <x:c r="G2922" s="26" t="b">
        <x:v>1</x:v>
      </x:c>
      <x:c r="H2922" s="16" t="n">
        <x:v>0</x:v>
      </x:c>
      <x:c r="I2922" s="16" t="n">
        <x:v>0</x:v>
      </x:c>
      <x:c r="J2922" s="16" t="n">
        <x:v>0</x:v>
      </x:c>
      <x:c r="K2922" s="11" t="n">
        <x:f>CHOOSE('假设'!$B$3,H2922,I2922,J2922)</x:f>
        <x:v>0</x:v>
      </x:c>
      <x:c r="L2922" s="11" t="n">
        <x:f>K2922*'管线假设'!E635*'管线假设'!F635*'管线假设'!G635*IF(E2922="USD",'管线假设'!I635,1)-AM2922</x:f>
        <x:v>0</x:v>
      </x:c>
      <x:c r="M2922" s="11" t="n">
        <x:f>'管线假设'!H635</x:f>
        <x:v>0.135</x:v>
      </x:c>
      <x:c r="N2922" s="11" t="n">
        <x:f>IF(G2922,L2922*AN2922/(1+M2922)^F2922,0)</x:f>
        <x:v>0</x:v>
      </x:c>
      <x:c r="AJ2922" t="n">
        <x:v>0</x:v>
      </x:c>
      <x:c r="AK2922" t="n">
        <x:v>0</x:v>
      </x:c>
      <x:c r="AL2922" t="n">
        <x:v>0</x:v>
      </x:c>
      <x:c r="AM2922" t="n">
        <x:f>CHOOSE('假设'!$B$3,AJ2922,AK2922,AL2922)</x:f>
        <x:v>0</x:v>
      </x:c>
      <x:c r="AN2922" t="n">
        <x:v>1</x:v>
      </x:c>
    </x:row>
    <x:row r="2923" ht="23" customHeight="1">
      <x:c r="A2923" s="11" t="str">
        <x:v>688382.SH</x:v>
      </x:c>
      <x:c r="B2923" s="11" t="str">
        <x:v>一年</x:v>
      </x:c>
      <x:c r="C2923" s="11" t="str">
        <x:v>g12c_first_cn</x:v>
      </x:c>
      <x:c r="D2923" s="11" t="str">
        <x:v>2045-12-31</x:v>
      </x:c>
      <x:c r="E2923" s="11" t="str">
        <x:v>CNY</x:v>
      </x:c>
      <x:c r="F2923" s="11" t="n">
        <x:v>18.22861054072553</x:v>
      </x:c>
      <x:c r="G2923" s="26" t="b">
        <x:v>1</x:v>
      </x:c>
      <x:c r="H2923" s="16" t="n">
        <x:v>0</x:v>
      </x:c>
      <x:c r="I2923" s="16" t="n">
        <x:v>0</x:v>
      </x:c>
      <x:c r="J2923" s="16" t="n">
        <x:v>0</x:v>
      </x:c>
      <x:c r="K2923" s="11" t="n">
        <x:f>CHOOSE('假设'!$B$3,H2923,I2923,J2923)</x:f>
        <x:v>0</x:v>
      </x:c>
      <x:c r="L2923" s="11" t="n">
        <x:f>K2923*'管线假设'!E635*'管线假设'!F635*'管线假设'!G635*IF(E2923="USD",'管线假设'!I635,1)-AM2923</x:f>
        <x:v>0</x:v>
      </x:c>
      <x:c r="M2923" s="11" t="n">
        <x:f>'管线假设'!H635</x:f>
        <x:v>0.135</x:v>
      </x:c>
      <x:c r="N2923" s="11" t="n">
        <x:f>IF(G2923,L2923*AN2923/(1+M2923)^F2923,0)</x:f>
        <x:v>0</x:v>
      </x:c>
      <x:c r="AJ2923" t="n">
        <x:v>0</x:v>
      </x:c>
      <x:c r="AK2923" t="n">
        <x:v>0</x:v>
      </x:c>
      <x:c r="AL2923" t="n">
        <x:v>0</x:v>
      </x:c>
      <x:c r="AM2923" t="n">
        <x:f>CHOOSE('假设'!$B$3,AJ2923,AK2923,AL2923)</x:f>
        <x:v>0</x:v>
      </x:c>
      <x:c r="AN2923" t="n">
        <x:v>1</x:v>
      </x:c>
    </x:row>
    <x:row r="2924" ht="23" customHeight="1">
      <x:c r="A2924" s="11" t="str">
        <x:v>688382.SH</x:v>
      </x:c>
      <x:c r="B2924" s="11" t="str">
        <x:v>一年</x:v>
      </x:c>
      <x:c r="C2924" s="11" t="str">
        <x:v>g12c_crc_cn</x:v>
      </x:c>
      <x:c r="D2924" s="11" t="str">
        <x:v>2027-12-31</x:v>
      </x:c>
      <x:c r="E2924" s="11" t="str">
        <x:v>CNY</x:v>
      </x:c>
      <x:c r="F2924" s="11" t="n">
        <x:v>0.2272416153319644</x:v>
      </x:c>
      <x:c r="G2924" s="26" t="b">
        <x:v>1</x:v>
      </x:c>
      <x:c r="H2924" s="16" t="n">
        <x:v>0</x:v>
      </x:c>
      <x:c r="I2924" s="16" t="n">
        <x:v>0</x:v>
      </x:c>
      <x:c r="J2924" s="16" t="n">
        <x:v>0</x:v>
      </x:c>
      <x:c r="K2924" s="11" t="n">
        <x:f>CHOOSE('假设'!$B$3,H2924,I2924,J2924)</x:f>
        <x:v>0</x:v>
      </x:c>
      <x:c r="L2924" s="11" t="n">
        <x:f>K2924*'管线假设'!E639*'管线假设'!F639*'管线假设'!G639*IF(E2924="USD",'管线假设'!I639,1)-AM2924</x:f>
        <x:v>0</x:v>
      </x:c>
      <x:c r="M2924" s="11" t="n">
        <x:f>'管线假设'!H639</x:f>
        <x:v>0.135</x:v>
      </x:c>
      <x:c r="N2924" s="11" t="n">
        <x:f>IF(G2924,L2924*AN2924/(1+M2924)^F2924,0)</x:f>
        <x:v>0</x:v>
      </x:c>
      <x:c r="AJ2924" t="n">
        <x:v>0</x:v>
      </x:c>
      <x:c r="AK2924" t="n">
        <x:v>0</x:v>
      </x:c>
      <x:c r="AL2924" t="n">
        <x:v>0</x:v>
      </x:c>
      <x:c r="AM2924" t="n">
        <x:f>CHOOSE('假设'!$B$3,AJ2924,AK2924,AL2924)</x:f>
        <x:v>0</x:v>
      </x:c>
      <x:c r="AN2924" t="n">
        <x:v>1</x:v>
      </x:c>
    </x:row>
    <x:row r="2925" ht="23" customHeight="1">
      <x:c r="A2925" s="11" t="str">
        <x:v>688382.SH</x:v>
      </x:c>
      <x:c r="B2925" s="11" t="str">
        <x:v>一年</x:v>
      </x:c>
      <x:c r="C2925" s="11" t="str">
        <x:v>g12c_crc_cn</x:v>
      </x:c>
      <x:c r="D2925" s="11" t="str">
        <x:v>2028-12-31</x:v>
      </x:c>
      <x:c r="E2925" s="11" t="str">
        <x:v>CNY</x:v>
      </x:c>
      <x:c r="F2925" s="11" t="n">
        <x:v>1.2292950034223136</x:v>
      </x:c>
      <x:c r="G2925" s="26" t="b">
        <x:v>1</x:v>
      </x:c>
      <x:c r="H2925" s="16" t="n">
        <x:v>0</x:v>
      </x:c>
      <x:c r="I2925" s="16" t="n">
        <x:v>0</x:v>
      </x:c>
      <x:c r="J2925" s="16" t="n">
        <x:v>0</x:v>
      </x:c>
      <x:c r="K2925" s="11" t="n">
        <x:f>CHOOSE('假设'!$B$3,H2925,I2925,J2925)</x:f>
        <x:v>0</x:v>
      </x:c>
      <x:c r="L2925" s="11" t="n">
        <x:f>K2925*'管线假设'!E639*'管线假设'!F639*'管线假设'!G639*IF(E2925="USD",'管线假设'!I639,1)-AM2925</x:f>
        <x:v>0</x:v>
      </x:c>
      <x:c r="M2925" s="11" t="n">
        <x:f>'管线假设'!H639</x:f>
        <x:v>0.135</x:v>
      </x:c>
      <x:c r="N2925" s="11" t="n">
        <x:f>IF(G2925,L2925*AN2925/(1+M2925)^F2925,0)</x:f>
        <x:v>0</x:v>
      </x:c>
      <x:c r="AJ2925" t="n">
        <x:v>0</x:v>
      </x:c>
      <x:c r="AK2925" t="n">
        <x:v>0</x:v>
      </x:c>
      <x:c r="AL2925" t="n">
        <x:v>0</x:v>
      </x:c>
      <x:c r="AM2925" t="n">
        <x:f>CHOOSE('假设'!$B$3,AJ2925,AK2925,AL2925)</x:f>
        <x:v>0</x:v>
      </x:c>
      <x:c r="AN2925" t="n">
        <x:v>1</x:v>
      </x:c>
    </x:row>
    <x:row r="2926" ht="23" customHeight="1">
      <x:c r="A2926" s="11" t="str">
        <x:v>688382.SH</x:v>
      </x:c>
      <x:c r="B2926" s="11" t="str">
        <x:v>一年</x:v>
      </x:c>
      <x:c r="C2926" s="11" t="str">
        <x:v>g12c_crc_cn</x:v>
      </x:c>
      <x:c r="D2926" s="11" t="str">
        <x:v>2029-12-31</x:v>
      </x:c>
      <x:c r="E2926" s="11" t="str">
        <x:v>CNY</x:v>
      </x:c>
      <x:c r="F2926" s="11" t="n">
        <x:v>2.2286105407255303</x:v>
      </x:c>
      <x:c r="G2926" s="26" t="b">
        <x:v>1</x:v>
      </x:c>
      <x:c r="H2926" s="16" t="n">
        <x:v>0</x:v>
      </x:c>
      <x:c r="I2926" s="16" t="n">
        <x:v>0</x:v>
      </x:c>
      <x:c r="J2926" s="16" t="n">
        <x:v>0.19999999999999998</x:v>
      </x:c>
      <x:c r="K2926" s="11" t="n">
        <x:f>CHOOSE('假设'!$B$3,H2926,I2926,J2926)</x:f>
        <x:v>0</x:v>
      </x:c>
      <x:c r="L2926" s="11" t="n">
        <x:f>K2926*'管线假设'!E639*'管线假设'!F639*'管线假设'!G639*IF(E2926="USD",'管线假设'!I639,1)-AM2926</x:f>
        <x:v>0</x:v>
      </x:c>
      <x:c r="M2926" s="11" t="n">
        <x:f>'管线假设'!H639</x:f>
        <x:v>0.135</x:v>
      </x:c>
      <x:c r="N2926" s="11" t="n">
        <x:f>IF(G2926,L2926*AN2926/(1+M2926)^F2926,0)</x:f>
        <x:v>0</x:v>
      </x:c>
      <x:c r="AJ2926" t="n">
        <x:v>0</x:v>
      </x:c>
      <x:c r="AK2926" t="n">
        <x:v>0</x:v>
      </x:c>
      <x:c r="AL2926" t="n">
        <x:v>0</x:v>
      </x:c>
      <x:c r="AM2926" t="n">
        <x:f>CHOOSE('假设'!$B$3,AJ2926,AK2926,AL2926)</x:f>
        <x:v>0</x:v>
      </x:c>
      <x:c r="AN2926" t="n">
        <x:v>1</x:v>
      </x:c>
    </x:row>
    <x:row r="2927" ht="23" customHeight="1">
      <x:c r="A2927" s="11" t="str">
        <x:v>688382.SH</x:v>
      </x:c>
      <x:c r="B2927" s="11" t="str">
        <x:v>一年</x:v>
      </x:c>
      <x:c r="C2927" s="11" t="str">
        <x:v>g12c_crc_cn</x:v>
      </x:c>
      <x:c r="D2927" s="11" t="str">
        <x:v>2030-12-31</x:v>
      </x:c>
      <x:c r="E2927" s="11" t="str">
        <x:v>CNY</x:v>
      </x:c>
      <x:c r="F2927" s="11" t="n">
        <x:v>3.2279260780287475</x:v>
      </x:c>
      <x:c r="G2927" s="26" t="b">
        <x:v>1</x:v>
      </x:c>
      <x:c r="H2927" s="16" t="n">
        <x:v>0</x:v>
      </x:c>
      <x:c r="I2927" s="16" t="n">
        <x:v>0</x:v>
      </x:c>
      <x:c r="J2927" s="16" t="n">
        <x:v>0.39999999999999997</x:v>
      </x:c>
      <x:c r="K2927" s="11" t="n">
        <x:f>CHOOSE('假设'!$B$3,H2927,I2927,J2927)</x:f>
        <x:v>0</x:v>
      </x:c>
      <x:c r="L2927" s="11" t="n">
        <x:f>K2927*'管线假设'!E639*'管线假设'!F639*'管线假设'!G639*IF(E2927="USD",'管线假设'!I639,1)-AM2927</x:f>
        <x:v>0</x:v>
      </x:c>
      <x:c r="M2927" s="11" t="n">
        <x:f>'管线假设'!H639</x:f>
        <x:v>0.135</x:v>
      </x:c>
      <x:c r="N2927" s="11" t="n">
        <x:f>IF(G2927,L2927*AN2927/(1+M2927)^F2927,0)</x:f>
        <x:v>0</x:v>
      </x:c>
      <x:c r="AJ2927" t="n">
        <x:v>0</x:v>
      </x:c>
      <x:c r="AK2927" t="n">
        <x:v>0</x:v>
      </x:c>
      <x:c r="AL2927" t="n">
        <x:v>0</x:v>
      </x:c>
      <x:c r="AM2927" t="n">
        <x:f>CHOOSE('假设'!$B$3,AJ2927,AK2927,AL2927)</x:f>
        <x:v>0</x:v>
      </x:c>
      <x:c r="AN2927" t="n">
        <x:v>1</x:v>
      </x:c>
    </x:row>
    <x:row r="2928" ht="23" customHeight="1">
      <x:c r="A2928" s="11" t="str">
        <x:v>688382.SH</x:v>
      </x:c>
      <x:c r="B2928" s="11" t="str">
        <x:v>一年</x:v>
      </x:c>
      <x:c r="C2928" s="11" t="str">
        <x:v>g12c_crc_cn</x:v>
      </x:c>
      <x:c r="D2928" s="11" t="str">
        <x:v>2031-12-31</x:v>
      </x:c>
      <x:c r="E2928" s="11" t="str">
        <x:v>CNY</x:v>
      </x:c>
      <x:c r="F2928" s="11" t="n">
        <x:v>4.227241615331964</x:v>
      </x:c>
      <x:c r="G2928" s="26" t="b">
        <x:v>1</x:v>
      </x:c>
      <x:c r="H2928" s="16" t="n">
        <x:v>0</x:v>
      </x:c>
      <x:c r="I2928" s="16" t="n">
        <x:v>0.11666666666666665</x:v>
      </x:c>
      <x:c r="J2928" s="16" t="n">
        <x:v>0.6</x:v>
      </x:c>
      <x:c r="K2928" s="11" t="n">
        <x:f>CHOOSE('假设'!$B$3,H2928,I2928,J2928)</x:f>
        <x:v>0.11666666666666665</x:v>
      </x:c>
      <x:c r="L2928" s="11" t="n">
        <x:f>K2928*'管线假设'!E639*'管线假设'!F639*'管线假设'!G639*IF(E2928="USD",'管线假设'!I639,1)-AM2928</x:f>
        <x:v>0.0031416933333333337</x:v>
      </x:c>
      <x:c r="M2928" s="11" t="n">
        <x:f>'管线假设'!H639</x:f>
        <x:v>0.135</x:v>
      </x:c>
      <x:c r="N2928" s="11" t="n">
        <x:f>IF(G2928,L2928*AN2928/(1+M2928)^F2928,0)</x:f>
        <x:v>0.0018394288591649288</x:v>
      </x:c>
      <x:c r="AJ2928" t="n">
        <x:v>0</x:v>
      </x:c>
      <x:c r="AK2928" t="n">
        <x:v>0</x:v>
      </x:c>
      <x:c r="AL2928" t="n">
        <x:v>0</x:v>
      </x:c>
      <x:c r="AM2928" t="n">
        <x:f>CHOOSE('假设'!$B$3,AJ2928,AK2928,AL2928)</x:f>
        <x:v>0</x:v>
      </x:c>
      <x:c r="AN2928" t="n">
        <x:v>1</x:v>
      </x:c>
    </x:row>
    <x:row r="2929" ht="23" customHeight="1">
      <x:c r="A2929" s="11" t="str">
        <x:v>688382.SH</x:v>
      </x:c>
      <x:c r="B2929" s="11" t="str">
        <x:v>一年</x:v>
      </x:c>
      <x:c r="C2929" s="11" t="str">
        <x:v>g12c_crc_cn</x:v>
      </x:c>
      <x:c r="D2929" s="11" t="str">
        <x:v>2032-12-31</x:v>
      </x:c>
      <x:c r="E2929" s="11" t="str">
        <x:v>CNY</x:v>
      </x:c>
      <x:c r="F2929" s="11" t="n">
        <x:v>5.229295003422314</x:v>
      </x:c>
      <x:c r="G2929" s="26" t="b">
        <x:v>1</x:v>
      </x:c>
      <x:c r="H2929" s="16" t="n">
        <x:v>0</x:v>
      </x:c>
      <x:c r="I2929" s="16" t="n">
        <x:v>0.2333333333333333</x:v>
      </x:c>
      <x:c r="J2929" s="16" t="n">
        <x:v>0.7999999999999999</x:v>
      </x:c>
      <x:c r="K2929" s="11" t="n">
        <x:f>CHOOSE('假设'!$B$3,H2929,I2929,J2929)</x:f>
        <x:v>0.2333333333333333</x:v>
      </x:c>
      <x:c r="L2929" s="11" t="n">
        <x:f>K2929*'管线假设'!E639*'管线假设'!F639*'管线假设'!G639*IF(E2929="USD",'管线假设'!I639,1)-AM2929</x:f>
        <x:v>0.006283386666666667</x:v>
      </x:c>
      <x:c r="M2929" s="11" t="n">
        <x:f>'管线假设'!H639</x:f>
        <x:v>0.135</x:v>
      </x:c>
      <x:c r="N2929" s="11" t="n">
        <x:f>IF(G2929,L2929*AN2929/(1+M2929)^F2929,0)</x:f>
        <x:v>0.0032404416247716742</x:v>
      </x:c>
      <x:c r="AJ2929" t="n">
        <x:v>0</x:v>
      </x:c>
      <x:c r="AK2929" t="n">
        <x:v>0</x:v>
      </x:c>
      <x:c r="AL2929" t="n">
        <x:v>0</x:v>
      </x:c>
      <x:c r="AM2929" t="n">
        <x:f>CHOOSE('假设'!$B$3,AJ2929,AK2929,AL2929)</x:f>
        <x:v>0</x:v>
      </x:c>
      <x:c r="AN2929" t="n">
        <x:v>1</x:v>
      </x:c>
    </x:row>
    <x:row r="2930" ht="23" customHeight="1">
      <x:c r="A2930" s="11" t="str">
        <x:v>688382.SH</x:v>
      </x:c>
      <x:c r="B2930" s="11" t="str">
        <x:v>一年</x:v>
      </x:c>
      <x:c r="C2930" s="11" t="str">
        <x:v>g12c_crc_cn</x:v>
      </x:c>
      <x:c r="D2930" s="11" t="str">
        <x:v>2033-12-31</x:v>
      </x:c>
      <x:c r="E2930" s="11" t="str">
        <x:v>CNY</x:v>
      </x:c>
      <x:c r="F2930" s="11" t="n">
        <x:v>6.228610540725531</x:v>
      </x:c>
      <x:c r="G2930" s="26" t="b">
        <x:v>1</x:v>
      </x:c>
      <x:c r="H2930" s="16" t="n">
        <x:v>0</x:v>
      </x:c>
      <x:c r="I2930" s="16" t="n">
        <x:v>0.35</x:v>
      </x:c>
      <x:c r="J2930" s="16" t="n">
        <x:v>1</x:v>
      </x:c>
      <x:c r="K2930" s="11" t="n">
        <x:f>CHOOSE('假设'!$B$3,H2930,I2930,J2930)</x:f>
        <x:v>0.35</x:v>
      </x:c>
      <x:c r="L2930" s="11" t="n">
        <x:f>K2930*'管线假设'!E639*'管线假设'!F639*'管线假设'!G639*IF(E2930="USD",'管线假设'!I639,1)-AM2930</x:f>
        <x:v>0.009425080000000002</x:v>
      </x:c>
      <x:c r="M2930" s="11" t="n">
        <x:f>'管线假设'!H639</x:f>
        <x:v>0.135</x:v>
      </x:c>
      <x:c r="N2930" s="11" t="n">
        <x:f>IF(G2930,L2930*AN2930/(1+M2930)^F2930,0)</x:f>
        <x:v>0.004282893176137725</x:v>
      </x:c>
      <x:c r="AJ2930" t="n">
        <x:v>0</x:v>
      </x:c>
      <x:c r="AK2930" t="n">
        <x:v>0</x:v>
      </x:c>
      <x:c r="AL2930" t="n">
        <x:v>0</x:v>
      </x:c>
      <x:c r="AM2930" t="n">
        <x:f>CHOOSE('假设'!$B$3,AJ2930,AK2930,AL2930)</x:f>
        <x:v>0</x:v>
      </x:c>
      <x:c r="AN2930" t="n">
        <x:v>1</x:v>
      </x:c>
    </x:row>
    <x:row r="2931" ht="23" customHeight="1">
      <x:c r="A2931" s="11" t="str">
        <x:v>688382.SH</x:v>
      </x:c>
      <x:c r="B2931" s="11" t="str">
        <x:v>一年</x:v>
      </x:c>
      <x:c r="C2931" s="11" t="str">
        <x:v>g12c_crc_cn</x:v>
      </x:c>
      <x:c r="D2931" s="11" t="str">
        <x:v>2034-12-31</x:v>
      </x:c>
      <x:c r="E2931" s="11" t="str">
        <x:v>CNY</x:v>
      </x:c>
      <x:c r="F2931" s="11" t="n">
        <x:v>7.227926078028747</x:v>
      </x:c>
      <x:c r="G2931" s="26" t="b">
        <x:v>1</x:v>
      </x:c>
      <x:c r="H2931" s="16" t="n">
        <x:v>0.06</x:v>
      </x:c>
      <x:c r="I2931" s="16" t="n">
        <x:v>0.4666666666666666</x:v>
      </x:c>
      <x:c r="J2931" s="16" t="n">
        <x:v>1.2</x:v>
      </x:c>
      <x:c r="K2931" s="11" t="n">
        <x:f>CHOOSE('假设'!$B$3,H2931,I2931,J2931)</x:f>
        <x:v>0.4666666666666666</x:v>
      </x:c>
      <x:c r="L2931" s="11" t="n">
        <x:f>K2931*'管线假设'!E639*'管线假设'!F639*'管线假设'!G639*IF(E2931="USD",'管线假设'!I639,1)-AM2931</x:f>
        <x:v>0.012566773333333335</x:v>
      </x:c>
      <x:c r="M2931" s="11" t="n">
        <x:f>'管线假设'!H639</x:f>
        <x:v>0.135</x:v>
      </x:c>
      <x:c r="N2931" s="11" t="n">
        <x:f>IF(G2931,L2931*AN2931/(1+M2931)^F2931,0)</x:f>
        <x:v>0.005031734993700181</x:v>
      </x:c>
      <x:c r="AJ2931" t="n">
        <x:v>0</x:v>
      </x:c>
      <x:c r="AK2931" t="n">
        <x:v>0</x:v>
      </x:c>
      <x:c r="AL2931" t="n">
        <x:v>0</x:v>
      </x:c>
      <x:c r="AM2931" t="n">
        <x:f>CHOOSE('假设'!$B$3,AJ2931,AK2931,AL2931)</x:f>
        <x:v>0</x:v>
      </x:c>
      <x:c r="AN2931" t="n">
        <x:v>1</x:v>
      </x:c>
    </x:row>
    <x:row r="2932" ht="23" customHeight="1">
      <x:c r="A2932" s="11" t="str">
        <x:v>688382.SH</x:v>
      </x:c>
      <x:c r="B2932" s="11" t="str">
        <x:v>一年</x:v>
      </x:c>
      <x:c r="C2932" s="11" t="str">
        <x:v>g12c_crc_cn</x:v>
      </x:c>
      <x:c r="D2932" s="11" t="str">
        <x:v>2035-12-31</x:v>
      </x:c>
      <x:c r="E2932" s="11" t="str">
        <x:v>CNY</x:v>
      </x:c>
      <x:c r="F2932" s="11" t="n">
        <x:v>8.227241615331964</x:v>
      </x:c>
      <x:c r="G2932" s="26" t="b">
        <x:v>1</x:v>
      </x:c>
      <x:c r="H2932" s="16" t="n">
        <x:v>0.12</x:v>
      </x:c>
      <x:c r="I2932" s="16" t="n">
        <x:v>0.5833333333333334</x:v>
      </x:c>
      <x:c r="J2932" s="16" t="n">
        <x:v>1.044</x:v>
      </x:c>
      <x:c r="K2932" s="11" t="n">
        <x:f>CHOOSE('假设'!$B$3,H2932,I2932,J2932)</x:f>
        <x:v>0.5833333333333334</x:v>
      </x:c>
      <x:c r="L2932" s="11" t="n">
        <x:f>K2932*'管线假设'!E639*'管线假设'!F639*'管线假设'!G639*IF(E2932="USD",'管线假设'!I639,1)-AM2932</x:f>
        <x:v>0.01570846666666667</x:v>
      </x:c>
      <x:c r="M2932" s="11" t="n">
        <x:f>'管线假设'!H639</x:f>
        <x:v>0.135</x:v>
      </x:c>
      <x:c r="N2932" s="11" t="n">
        <x:f>IF(G2932,L2932*AN2932/(1+M2932)^F2932,0)</x:f>
        <x:v>0.005542038700298649</x:v>
      </x:c>
      <x:c r="AJ2932" t="n">
        <x:v>0</x:v>
      </x:c>
      <x:c r="AK2932" t="n">
        <x:v>0</x:v>
      </x:c>
      <x:c r="AL2932" t="n">
        <x:v>0</x:v>
      </x:c>
      <x:c r="AM2932" t="n">
        <x:f>CHOOSE('假设'!$B$3,AJ2932,AK2932,AL2932)</x:f>
        <x:v>0</x:v>
      </x:c>
      <x:c r="AN2932" t="n">
        <x:v>1</x:v>
      </x:c>
    </x:row>
    <x:row r="2933" ht="23" customHeight="1">
      <x:c r="A2933" s="11" t="str">
        <x:v>688382.SH</x:v>
      </x:c>
      <x:c r="B2933" s="11" t="str">
        <x:v>一年</x:v>
      </x:c>
      <x:c r="C2933" s="11" t="str">
        <x:v>g12c_crc_cn</x:v>
      </x:c>
      <x:c r="D2933" s="11" t="str">
        <x:v>2036-12-31</x:v>
      </x:c>
      <x:c r="E2933" s="11" t="str">
        <x:v>CNY</x:v>
      </x:c>
      <x:c r="F2933" s="11" t="n">
        <x:v>9.229295003422314</x:v>
      </x:c>
      <x:c r="G2933" s="26" t="b">
        <x:v>1</x:v>
      </x:c>
      <x:c r="H2933" s="16" t="n">
        <x:v>0.18</x:v>
      </x:c>
      <x:c r="I2933" s="16" t="n">
        <x:v>0.7</x:v>
      </x:c>
      <x:c r="J2933" s="16" t="n">
        <x:v>0.888</x:v>
      </x:c>
      <x:c r="K2933" s="11" t="n">
        <x:f>CHOOSE('假设'!$B$3,H2933,I2933,J2933)</x:f>
        <x:v>0.7</x:v>
      </x:c>
      <x:c r="L2933" s="11" t="n">
        <x:f>K2933*'管线假设'!E639*'管线假设'!F639*'管线假设'!G639*IF(E2933="USD",'管线假设'!I639,1)-AM2933</x:f>
        <x:v>0.018850160000000005</x:v>
      </x:c>
      <x:c r="M2933" s="11" t="n">
        <x:f>'管线假设'!H639</x:f>
        <x:v>0.135</x:v>
      </x:c>
      <x:c r="N2933" s="11" t="n">
        <x:f>IF(G2933,L2933*AN2933/(1+M2933)^F2933,0)</x:f>
        <x:v>0.005857900772100376</x:v>
      </x:c>
      <x:c r="AJ2933" t="n">
        <x:v>0</x:v>
      </x:c>
      <x:c r="AK2933" t="n">
        <x:v>0</x:v>
      </x:c>
      <x:c r="AL2933" t="n">
        <x:v>0</x:v>
      </x:c>
      <x:c r="AM2933" t="n">
        <x:f>CHOOSE('假设'!$B$3,AJ2933,AK2933,AL2933)</x:f>
        <x:v>0</x:v>
      </x:c>
      <x:c r="AN2933" t="n">
        <x:v>1</x:v>
      </x:c>
    </x:row>
    <x:row r="2934" ht="23" customHeight="1">
      <x:c r="A2934" s="11" t="str">
        <x:v>688382.SH</x:v>
      </x:c>
      <x:c r="B2934" s="11" t="str">
        <x:v>一年</x:v>
      </x:c>
      <x:c r="C2934" s="11" t="str">
        <x:v>g12c_crc_cn</x:v>
      </x:c>
      <x:c r="D2934" s="11" t="str">
        <x:v>2037-12-31</x:v>
      </x:c>
      <x:c r="E2934" s="11" t="str">
        <x:v>CNY</x:v>
      </x:c>
      <x:c r="F2934" s="11" t="n">
        <x:v>10.22861054072553</x:v>
      </x:c>
      <x:c r="G2934" s="26" t="b">
        <x:v>1</x:v>
      </x:c>
      <x:c r="H2934" s="16" t="n">
        <x:v>0.24</x:v>
      </x:c>
      <x:c r="I2934" s="16" t="n">
        <x:v>0.609</x:v>
      </x:c>
      <x:c r="J2934" s="16" t="n">
        <x:v>0.732</x:v>
      </x:c>
      <x:c r="K2934" s="11" t="n">
        <x:f>CHOOSE('假设'!$B$3,H2934,I2934,J2934)</x:f>
        <x:v>0.609</x:v>
      </x:c>
      <x:c r="L2934" s="11" t="n">
        <x:f>K2934*'管线假设'!E639*'管线假设'!F639*'管线假设'!G639*IF(E2934="USD",'管线假设'!I639,1)-AM2934</x:f>
        <x:v>0.016399639200000007</x:v>
      </x:c>
      <x:c r="M2934" s="11" t="n">
        <x:f>'管线假设'!H639</x:f>
        <x:v>0.135</x:v>
      </x:c>
      <x:c r="N2934" s="11" t="n">
        <x:f>IF(G2934,L2934*AN2934/(1+M2934)^F2934,0)</x:f>
        <x:v>0.004490586273761767</x:v>
      </x:c>
      <x:c r="AJ2934" t="n">
        <x:v>0</x:v>
      </x:c>
      <x:c r="AK2934" t="n">
        <x:v>0</x:v>
      </x:c>
      <x:c r="AL2934" t="n">
        <x:v>0</x:v>
      </x:c>
      <x:c r="AM2934" t="n">
        <x:f>CHOOSE('假设'!$B$3,AJ2934,AK2934,AL2934)</x:f>
        <x:v>0</x:v>
      </x:c>
      <x:c r="AN2934" t="n">
        <x:v>1</x:v>
      </x:c>
    </x:row>
    <x:row r="2935" ht="23" customHeight="1">
      <x:c r="A2935" s="11" t="str">
        <x:v>688382.SH</x:v>
      </x:c>
      <x:c r="B2935" s="11" t="str">
        <x:v>一年</x:v>
      </x:c>
      <x:c r="C2935" s="11" t="str">
        <x:v>g12c_crc_cn</x:v>
      </x:c>
      <x:c r="D2935" s="11" t="str">
        <x:v>2038-12-31</x:v>
      </x:c>
      <x:c r="E2935" s="11" t="str">
        <x:v>CNY</x:v>
      </x:c>
      <x:c r="F2935" s="11" t="n">
        <x:v>11.227926078028748</x:v>
      </x:c>
      <x:c r="G2935" s="26" t="b">
        <x:v>1</x:v>
      </x:c>
      <x:c r="H2935" s="16" t="n">
        <x:v>0.3</x:v>
      </x:c>
      <x:c r="I2935" s="16" t="n">
        <x:v>0.518</x:v>
      </x:c>
      <x:c r="J2935" s="16" t="n">
        <x:v>0.576</x:v>
      </x:c>
      <x:c r="K2935" s="11" t="n">
        <x:f>CHOOSE('假设'!$B$3,H2935,I2935,J2935)</x:f>
        <x:v>0.518</x:v>
      </x:c>
      <x:c r="L2935" s="11" t="n">
        <x:f>K2935*'管线假设'!E639*'管线假设'!F639*'管线假设'!G639*IF(E2935="USD",'管线假设'!I639,1)-AM2935</x:f>
        <x:v>0.013949118400000005</x:v>
      </x:c>
      <x:c r="M2935" s="11" t="n">
        <x:f>'管线假设'!H639</x:f>
        <x:v>0.135</x:v>
      </x:c>
      <x:c r="N2935" s="11" t="n">
        <x:f>IF(G2935,L2935*AN2935/(1+M2935)^F2935,0)</x:f>
        <x:v>0.003365559653761925</x:v>
      </x:c>
      <x:c r="AJ2935" t="n">
        <x:v>0</x:v>
      </x:c>
      <x:c r="AK2935" t="n">
        <x:v>0</x:v>
      </x:c>
      <x:c r="AL2935" t="n">
        <x:v>0</x:v>
      </x:c>
      <x:c r="AM2935" t="n">
        <x:f>CHOOSE('假设'!$B$3,AJ2935,AK2935,AL2935)</x:f>
        <x:v>0</x:v>
      </x:c>
      <x:c r="AN2935" t="n">
        <x:v>1</x:v>
      </x:c>
    </x:row>
    <x:row r="2936" ht="23" customHeight="1">
      <x:c r="A2936" s="11" t="str">
        <x:v>688382.SH</x:v>
      </x:c>
      <x:c r="B2936" s="11" t="str">
        <x:v>一年</x:v>
      </x:c>
      <x:c r="C2936" s="11" t="str">
        <x:v>g12c_crc_cn</x:v>
      </x:c>
      <x:c r="D2936" s="11" t="str">
        <x:v>2039-12-31</x:v>
      </x:c>
      <x:c r="E2936" s="11" t="str">
        <x:v>CNY</x:v>
      </x:c>
      <x:c r="F2936" s="11" t="n">
        <x:v>12.227241615331964</x:v>
      </x:c>
      <x:c r="G2936" s="26" t="b">
        <x:v>1</x:v>
      </x:c>
      <x:c r="H2936" s="16" t="n">
        <x:v>0.261</x:v>
      </x:c>
      <x:c r="I2936" s="16" t="n">
        <x:v>0.427</x:v>
      </x:c>
      <x:c r="J2936" s="16" t="n">
        <x:v>0.42</x:v>
      </x:c>
      <x:c r="K2936" s="11" t="n">
        <x:f>CHOOSE('假设'!$B$3,H2936,I2936,J2936)</x:f>
        <x:v>0.427</x:v>
      </x:c>
      <x:c r="L2936" s="11" t="n">
        <x:f>K2936*'管线假设'!E639*'管线假设'!F639*'管线假设'!G639*IF(E2936="USD",'管线假设'!I639,1)-AM2936</x:f>
        <x:v>0.011498597600000004</x:v>
      </x:c>
      <x:c r="M2936" s="11" t="n">
        <x:f>'管线假设'!H639</x:f>
        <x:v>0.135</x:v>
      </x:c>
      <x:c r="N2936" s="11" t="n">
        <x:f>IF(G2936,L2936*AN2936/(1+M2936)^F2936,0)</x:f>
        <x:v>0.0024445402312228415</x:v>
      </x:c>
      <x:c r="AJ2936" t="n">
        <x:v>0</x:v>
      </x:c>
      <x:c r="AK2936" t="n">
        <x:v>0</x:v>
      </x:c>
      <x:c r="AL2936" t="n">
        <x:v>0</x:v>
      </x:c>
      <x:c r="AM2936" t="n">
        <x:f>CHOOSE('假设'!$B$3,AJ2936,AK2936,AL2936)</x:f>
        <x:v>0</x:v>
      </x:c>
      <x:c r="AN2936" t="n">
        <x:v>1</x:v>
      </x:c>
    </x:row>
    <x:row r="2937" ht="23" customHeight="1">
      <x:c r="A2937" s="11" t="str">
        <x:v>688382.SH</x:v>
      </x:c>
      <x:c r="B2937" s="11" t="str">
        <x:v>一年</x:v>
      </x:c>
      <x:c r="C2937" s="11" t="str">
        <x:v>g12c_crc_cn</x:v>
      </x:c>
      <x:c r="D2937" s="11" t="str">
        <x:v>2040-12-31</x:v>
      </x:c>
      <x:c r="E2937" s="11" t="str">
        <x:v>CNY</x:v>
      </x:c>
      <x:c r="F2937" s="11" t="n">
        <x:v>13.229295003422314</x:v>
      </x:c>
      <x:c r="G2937" s="26" t="b">
        <x:v>1</x:v>
      </x:c>
      <x:c r="H2937" s="16" t="n">
        <x:v>0.222</x:v>
      </x:c>
      <x:c r="I2937" s="16" t="n">
        <x:v>0.33599999999999997</x:v>
      </x:c>
      <x:c r="J2937" s="16" t="n">
        <x:v>0.26399999999999996</x:v>
      </x:c>
      <x:c r="K2937" s="11" t="n">
        <x:f>CHOOSE('假设'!$B$3,H2937,I2937,J2937)</x:f>
        <x:v>0.33599999999999997</x:v>
      </x:c>
      <x:c r="L2937" s="11" t="n">
        <x:f>K2937*'管线假设'!E639*'管线假设'!F639*'管线假设'!G639*IF(E2937="USD",'管线假设'!I639,1)-AM2937</x:f>
        <x:v>0.0090480768</x:v>
      </x:c>
      <x:c r="M2937" s="11" t="n">
        <x:f>'管线假设'!H639</x:f>
        <x:v>0.135</x:v>
      </x:c>
      <x:c r="N2937" s="11" t="n">
        <x:f>IF(G2937,L2937*AN2937/(1+M2937)^F2937,0)</x:f>
        <x:v>0.001694337028308828</x:v>
      </x:c>
      <x:c r="AJ2937" t="n">
        <x:v>0</x:v>
      </x:c>
      <x:c r="AK2937" t="n">
        <x:v>0</x:v>
      </x:c>
      <x:c r="AL2937" t="n">
        <x:v>0</x:v>
      </x:c>
      <x:c r="AM2937" t="n">
        <x:f>CHOOSE('假设'!$B$3,AJ2937,AK2937,AL2937)</x:f>
        <x:v>0</x:v>
      </x:c>
      <x:c r="AN2937" t="n">
        <x:v>1</x:v>
      </x:c>
    </x:row>
    <x:row r="2938" ht="23" customHeight="1">
      <x:c r="A2938" s="11" t="str">
        <x:v>688382.SH</x:v>
      </x:c>
      <x:c r="B2938" s="11" t="str">
        <x:v>一年</x:v>
      </x:c>
      <x:c r="C2938" s="11" t="str">
        <x:v>g12c_crc_cn</x:v>
      </x:c>
      <x:c r="D2938" s="11" t="str">
        <x:v>2041-12-31</x:v>
      </x:c>
      <x:c r="E2938" s="11" t="str">
        <x:v>CNY</x:v>
      </x:c>
      <x:c r="F2938" s="11" t="n">
        <x:v>14.22861054072553</x:v>
      </x:c>
      <x:c r="G2938" s="26" t="b">
        <x:v>1</x:v>
      </x:c>
      <x:c r="H2938" s="16" t="n">
        <x:v>0.183</x:v>
      </x:c>
      <x:c r="I2938" s="16" t="n">
        <x:v>0.24499999999999997</x:v>
      </x:c>
      <x:c r="J2938" s="16" t="n">
        <x:v>0.10799999999999996</x:v>
      </x:c>
      <x:c r="K2938" s="11" t="n">
        <x:f>CHOOSE('假设'!$B$3,H2938,I2938,J2938)</x:f>
        <x:v>0.24499999999999997</x:v>
      </x:c>
      <x:c r="L2938" s="11" t="n">
        <x:f>K2938*'管线假设'!E639*'管线假设'!F639*'管线假设'!G639*IF(E2938="USD",'管线假设'!I639,1)-AM2938</x:f>
        <x:v>0.006597556000000002</x:v>
      </x:c>
      <x:c r="M2938" s="11" t="n">
        <x:f>'管线假设'!H639</x:f>
        <x:v>0.135</x:v>
      </x:c>
      <x:c r="N2938" s="11" t="n">
        <x:f>IF(G2938,L2938*AN2938/(1+M2938)^F2938,0)</x:f>
        <x:v>0.0010886001508086766</x:v>
      </x:c>
      <x:c r="AJ2938" t="n">
        <x:v>0</x:v>
      </x:c>
      <x:c r="AK2938" t="n">
        <x:v>0</x:v>
      </x:c>
      <x:c r="AL2938" t="n">
        <x:v>0</x:v>
      </x:c>
      <x:c r="AM2938" t="n">
        <x:f>CHOOSE('假设'!$B$3,AJ2938,AK2938,AL2938)</x:f>
        <x:v>0</x:v>
      </x:c>
      <x:c r="AN2938" t="n">
        <x:v>1</x:v>
      </x:c>
    </x:row>
    <x:row r="2939" ht="23" customHeight="1">
      <x:c r="A2939" s="11" t="str">
        <x:v>688382.SH</x:v>
      </x:c>
      <x:c r="B2939" s="11" t="str">
        <x:v>一年</x:v>
      </x:c>
      <x:c r="C2939" s="11" t="str">
        <x:v>g12c_crc_cn</x:v>
      </x:c>
      <x:c r="D2939" s="11" t="str">
        <x:v>2042-12-31</x:v>
      </x:c>
      <x:c r="E2939" s="11" t="str">
        <x:v>CNY</x:v>
      </x:c>
      <x:c r="F2939" s="11" t="n">
        <x:v>15.227926078028748</x:v>
      </x:c>
      <x:c r="G2939" s="26" t="b">
        <x:v>1</x:v>
      </x:c>
      <x:c r="H2939" s="16" t="n">
        <x:v>0.144</x:v>
      </x:c>
      <x:c r="I2939" s="16" t="n">
        <x:v>0.15399999999999997</x:v>
      </x:c>
      <x:c r="J2939" s="16" t="n">
        <x:v>0</x:v>
      </x:c>
      <x:c r="K2939" s="11" t="n">
        <x:f>CHOOSE('假设'!$B$3,H2939,I2939,J2939)</x:f>
        <x:v>0.15399999999999997</x:v>
      </x:c>
      <x:c r="L2939" s="11" t="n">
        <x:f>K2939*'管线假设'!E639*'管线假设'!F639*'管线假设'!G639*IF(E2939="USD",'管线假设'!I639,1)-AM2939</x:f>
        <x:v>0.0041470352</x:v>
      </x:c>
      <x:c r="M2939" s="11" t="n">
        <x:f>'管线假设'!H639</x:f>
        <x:v>0.135</x:v>
      </x:c>
      <x:c r="N2939" s="11" t="n">
        <x:f>IF(G2939,L2939*AN2939/(1+M2939)^F2939,0)</x:f>
        <x:v>0.0006029271041599305</x:v>
      </x:c>
      <x:c r="AJ2939" t="n">
        <x:v>0</x:v>
      </x:c>
      <x:c r="AK2939" t="n">
        <x:v>0</x:v>
      </x:c>
      <x:c r="AL2939" t="n">
        <x:v>0</x:v>
      </x:c>
      <x:c r="AM2939" t="n">
        <x:f>CHOOSE('假设'!$B$3,AJ2939,AK2939,AL2939)</x:f>
        <x:v>0</x:v>
      </x:c>
      <x:c r="AN2939" t="n">
        <x:v>1</x:v>
      </x:c>
    </x:row>
    <x:row r="2940" ht="23" customHeight="1">
      <x:c r="A2940" s="11" t="str">
        <x:v>688382.SH</x:v>
      </x:c>
      <x:c r="B2940" s="11" t="str">
        <x:v>一年</x:v>
      </x:c>
      <x:c r="C2940" s="11" t="str">
        <x:v>g12c_crc_cn</x:v>
      </x:c>
      <x:c r="D2940" s="11" t="str">
        <x:v>2043-12-31</x:v>
      </x:c>
      <x:c r="E2940" s="11" t="str">
        <x:v>CNY</x:v>
      </x:c>
      <x:c r="F2940" s="11" t="n">
        <x:v>16.227241615331966</x:v>
      </x:c>
      <x:c r="G2940" s="26" t="b">
        <x:v>1</x:v>
      </x:c>
      <x:c r="H2940" s="16" t="n">
        <x:v>0.105</x:v>
      </x:c>
      <x:c r="I2940" s="16" t="n">
        <x:v>0.06299999999999997</x:v>
      </x:c>
      <x:c r="J2940" s="16" t="n">
        <x:v>0</x:v>
      </x:c>
      <x:c r="K2940" s="11" t="n">
        <x:f>CHOOSE('假设'!$B$3,H2940,I2940,J2940)</x:f>
        <x:v>0.06299999999999997</x:v>
      </x:c>
      <x:c r="L2940" s="11" t="n">
        <x:f>K2940*'管线假设'!E639*'管线假设'!F639*'管线假设'!G639*IF(E2940="USD",'管线假设'!I639,1)-AM2940</x:f>
        <x:v>0.0016965143999999996</x:v>
      </x:c>
      <x:c r="M2940" s="11" t="n">
        <x:f>'管线假设'!H639</x:f>
        <x:v>0.135</x:v>
      </x:c>
      <x:c r="N2940" s="11" t="n">
        <x:f>IF(G2940,L2940*AN2940/(1+M2940)^F2940,0)</x:f>
        <x:v>0.00021733337156393378</x:v>
      </x:c>
      <x:c r="AJ2940" t="n">
        <x:v>0</x:v>
      </x:c>
      <x:c r="AK2940" t="n">
        <x:v>0</x:v>
      </x:c>
      <x:c r="AL2940" t="n">
        <x:v>0</x:v>
      </x:c>
      <x:c r="AM2940" t="n">
        <x:f>CHOOSE('假设'!$B$3,AJ2940,AK2940,AL2940)</x:f>
        <x:v>0</x:v>
      </x:c>
      <x:c r="AN2940" t="n">
        <x:v>1</x:v>
      </x:c>
    </x:row>
    <x:row r="2941" ht="23" customHeight="1">
      <x:c r="A2941" s="11" t="str">
        <x:v>688382.SH</x:v>
      </x:c>
      <x:c r="B2941" s="11" t="str">
        <x:v>一年</x:v>
      </x:c>
      <x:c r="C2941" s="11" t="str">
        <x:v>g12c_crc_cn</x:v>
      </x:c>
      <x:c r="D2941" s="11" t="str">
        <x:v>2044-12-31</x:v>
      </x:c>
      <x:c r="E2941" s="11" t="str">
        <x:v>CNY</x:v>
      </x:c>
      <x:c r="F2941" s="11" t="n">
        <x:v>17.229295003422312</x:v>
      </x:c>
      <x:c r="G2941" s="26" t="b">
        <x:v>1</x:v>
      </x:c>
      <x:c r="H2941" s="16" t="n">
        <x:v>0.06599999999999999</x:v>
      </x:c>
      <x:c r="I2941" s="16" t="n">
        <x:v>0</x:v>
      </x:c>
      <x:c r="J2941" s="16" t="n">
        <x:v>0</x:v>
      </x:c>
      <x:c r="K2941" s="11" t="n">
        <x:f>CHOOSE('假设'!$B$3,H2941,I2941,J2941)</x:f>
        <x:v>0</x:v>
      </x:c>
      <x:c r="L2941" s="11" t="n">
        <x:f>K2941*'管线假设'!E639*'管线假设'!F639*'管线假设'!G639*IF(E2941="USD",'管线假设'!I639,1)-AM2941</x:f>
        <x:v>0</x:v>
      </x:c>
      <x:c r="M2941" s="11" t="n">
        <x:f>'管线假设'!H639</x:f>
        <x:v>0.135</x:v>
      </x:c>
      <x:c r="N2941" s="11" t="n">
        <x:f>IF(G2941,L2941*AN2941/(1+M2941)^F2941,0)</x:f>
        <x:v>0</x:v>
      </x:c>
      <x:c r="AJ2941" t="n">
        <x:v>0</x:v>
      </x:c>
      <x:c r="AK2941" t="n">
        <x:v>0</x:v>
      </x:c>
      <x:c r="AL2941" t="n">
        <x:v>0</x:v>
      </x:c>
      <x:c r="AM2941" t="n">
        <x:f>CHOOSE('假设'!$B$3,AJ2941,AK2941,AL2941)</x:f>
        <x:v>0</x:v>
      </x:c>
      <x:c r="AN2941" t="n">
        <x:v>1</x:v>
      </x:c>
    </x:row>
    <x:row r="2942" ht="23" customHeight="1">
      <x:c r="A2942" s="11" t="str">
        <x:v>688382.SH</x:v>
      </x:c>
      <x:c r="B2942" s="11" t="str">
        <x:v>一年</x:v>
      </x:c>
      <x:c r="C2942" s="11" t="str">
        <x:v>g12c_crc_cn</x:v>
      </x:c>
      <x:c r="D2942" s="11" t="str">
        <x:v>2045-12-31</x:v>
      </x:c>
      <x:c r="E2942" s="11" t="str">
        <x:v>CNY</x:v>
      </x:c>
      <x:c r="F2942" s="11" t="n">
        <x:v>18.22861054072553</x:v>
      </x:c>
      <x:c r="G2942" s="26" t="b">
        <x:v>1</x:v>
      </x:c>
      <x:c r="H2942" s="16" t="n">
        <x:v>0.02699999999999999</x:v>
      </x:c>
      <x:c r="I2942" s="16" t="n">
        <x:v>0</x:v>
      </x:c>
      <x:c r="J2942" s="16" t="n">
        <x:v>0</x:v>
      </x:c>
      <x:c r="K2942" s="11" t="n">
        <x:f>CHOOSE('假设'!$B$3,H2942,I2942,J2942)</x:f>
        <x:v>0</x:v>
      </x:c>
      <x:c r="L2942" s="11" t="n">
        <x:f>K2942*'管线假设'!E639*'管线假设'!F639*'管线假设'!G639*IF(E2942="USD",'管线假设'!I639,1)-AM2942</x:f>
        <x:v>0</x:v>
      </x:c>
      <x:c r="M2942" s="11" t="n">
        <x:f>'管线假设'!H639</x:f>
        <x:v>0.135</x:v>
      </x:c>
      <x:c r="N2942" s="11" t="n">
        <x:f>IF(G2942,L2942*AN2942/(1+M2942)^F2942,0)</x:f>
        <x:v>0</x:v>
      </x:c>
      <x:c r="AJ2942" t="n">
        <x:v>0</x:v>
      </x:c>
      <x:c r="AK2942" t="n">
        <x:v>0</x:v>
      </x:c>
      <x:c r="AL2942" t="n">
        <x:v>0</x:v>
      </x:c>
      <x:c r="AM2942" t="n">
        <x:f>CHOOSE('假设'!$B$3,AJ2942,AK2942,AL2942)</x:f>
        <x:v>0</x:v>
      </x:c>
      <x:c r="AN2942" t="n">
        <x:v>1</x:v>
      </x:c>
    </x:row>
    <x:row r="2943" ht="23" customHeight="1">
      <x:c r="A2943" s="11" t="str">
        <x:v>688382.SH</x:v>
      </x:c>
      <x:c r="B2943" s="11" t="str">
        <x:v>一年</x:v>
      </x:c>
      <x:c r="C2943" s="11" t="str">
        <x:v>g12c_global</x:v>
      </x:c>
      <x:c r="D2943" s="11" t="str">
        <x:v>2027-12-31</x:v>
      </x:c>
      <x:c r="E2943" s="11" t="str">
        <x:v>USD</x:v>
      </x:c>
      <x:c r="F2943" s="11" t="n">
        <x:v>0.2272416153319644</x:v>
      </x:c>
      <x:c r="G2943" s="26" t="b">
        <x:v>1</x:v>
      </x:c>
      <x:c r="H2943" s="16" t="n">
        <x:v>0</x:v>
      </x:c>
      <x:c r="I2943" s="16" t="n">
        <x:v>0</x:v>
      </x:c>
      <x:c r="J2943" s="16" t="n">
        <x:v>0</x:v>
      </x:c>
      <x:c r="K2943" s="11" t="n">
        <x:f>CHOOSE('假设'!$B$3,H2943,I2943,J2943)</x:f>
        <x:v>0</x:v>
      </x:c>
      <x:c r="L2943" s="11" t="n">
        <x:f>K2943*'管线假设'!E643*'管线假设'!F643*'管线假设'!G643*IF(E2943="USD",'管线假设'!I643,1)-AM2943</x:f>
        <x:v>0</x:v>
      </x:c>
      <x:c r="M2943" s="11" t="n">
        <x:f>'管线假设'!H643</x:f>
        <x:v>0.135</x:v>
      </x:c>
      <x:c r="N2943" s="11" t="n">
        <x:f>IF(G2943,L2943*AN2943/(1+M2943)^F2943,0)</x:f>
        <x:v>0</x:v>
      </x:c>
      <x:c r="AJ2943" t="n">
        <x:v>0</x:v>
      </x:c>
      <x:c r="AK2943" t="n">
        <x:v>0</x:v>
      </x:c>
      <x:c r="AL2943" t="n">
        <x:v>0</x:v>
      </x:c>
      <x:c r="AM2943" t="n">
        <x:f>CHOOSE('假设'!$B$3,AJ2943,AK2943,AL2943)</x:f>
        <x:v>0</x:v>
      </x:c>
      <x:c r="AN2943" t="n">
        <x:v>1</x:v>
      </x:c>
    </x:row>
    <x:row r="2944" ht="23" customHeight="1">
      <x:c r="A2944" s="11" t="str">
        <x:v>688382.SH</x:v>
      </x:c>
      <x:c r="B2944" s="11" t="str">
        <x:v>一年</x:v>
      </x:c>
      <x:c r="C2944" s="11" t="str">
        <x:v>g12c_global</x:v>
      </x:c>
      <x:c r="D2944" s="11" t="str">
        <x:v>2028-12-31</x:v>
      </x:c>
      <x:c r="E2944" s="11" t="str">
        <x:v>USD</x:v>
      </x:c>
      <x:c r="F2944" s="11" t="n">
        <x:v>1.2292950034223136</x:v>
      </x:c>
      <x:c r="G2944" s="26" t="b">
        <x:v>1</x:v>
      </x:c>
      <x:c r="H2944" s="16" t="n">
        <x:v>0</x:v>
      </x:c>
      <x:c r="I2944" s="16" t="n">
        <x:v>0</x:v>
      </x:c>
      <x:c r="J2944" s="16" t="n">
        <x:v>0</x:v>
      </x:c>
      <x:c r="K2944" s="11" t="n">
        <x:f>CHOOSE('假设'!$B$3,H2944,I2944,J2944)</x:f>
        <x:v>0</x:v>
      </x:c>
      <x:c r="L2944" s="11" t="n">
        <x:f>K2944*'管线假设'!E643*'管线假设'!F643*'管线假设'!G643*IF(E2944="USD",'管线假设'!I643,1)-AM2944</x:f>
        <x:v>0</x:v>
      </x:c>
      <x:c r="M2944" s="11" t="n">
        <x:f>'管线假设'!H643</x:f>
        <x:v>0.135</x:v>
      </x:c>
      <x:c r="N2944" s="11" t="n">
        <x:f>IF(G2944,L2944*AN2944/(1+M2944)^F2944,0)</x:f>
        <x:v>0</x:v>
      </x:c>
      <x:c r="AJ2944" t="n">
        <x:v>0</x:v>
      </x:c>
      <x:c r="AK2944" t="n">
        <x:v>0</x:v>
      </x:c>
      <x:c r="AL2944" t="n">
        <x:v>0</x:v>
      </x:c>
      <x:c r="AM2944" t="n">
        <x:f>CHOOSE('假设'!$B$3,AJ2944,AK2944,AL2944)</x:f>
        <x:v>0</x:v>
      </x:c>
      <x:c r="AN2944" t="n">
        <x:v>1</x:v>
      </x:c>
    </x:row>
    <x:row r="2945" ht="23" customHeight="1">
      <x:c r="A2945" s="11" t="str">
        <x:v>688382.SH</x:v>
      </x:c>
      <x:c r="B2945" s="11" t="str">
        <x:v>一年</x:v>
      </x:c>
      <x:c r="C2945" s="11" t="str">
        <x:v>g12c_global</x:v>
      </x:c>
      <x:c r="D2945" s="11" t="str">
        <x:v>2029-12-31</x:v>
      </x:c>
      <x:c r="E2945" s="11" t="str">
        <x:v>USD</x:v>
      </x:c>
      <x:c r="F2945" s="11" t="n">
        <x:v>2.2286105407255303</x:v>
      </x:c>
      <x:c r="G2945" s="26" t="b">
        <x:v>1</x:v>
      </x:c>
      <x:c r="H2945" s="16" t="n">
        <x:v>0</x:v>
      </x:c>
      <x:c r="I2945" s="16" t="n">
        <x:v>0</x:v>
      </x:c>
      <x:c r="J2945" s="16" t="n">
        <x:v>0</x:v>
      </x:c>
      <x:c r="K2945" s="11" t="n">
        <x:f>CHOOSE('假设'!$B$3,H2945,I2945,J2945)</x:f>
        <x:v>0</x:v>
      </x:c>
      <x:c r="L2945" s="11" t="n">
        <x:f>K2945*'管线假设'!E643*'管线假设'!F643*'管线假设'!G643*IF(E2945="USD",'管线假设'!I643,1)-AM2945</x:f>
        <x:v>0</x:v>
      </x:c>
      <x:c r="M2945" s="11" t="n">
        <x:f>'管线假设'!H643</x:f>
        <x:v>0.135</x:v>
      </x:c>
      <x:c r="N2945" s="11" t="n">
        <x:f>IF(G2945,L2945*AN2945/(1+M2945)^F2945,0)</x:f>
        <x:v>0</x:v>
      </x:c>
      <x:c r="AJ2945" t="n">
        <x:v>0</x:v>
      </x:c>
      <x:c r="AK2945" t="n">
        <x:v>0</x:v>
      </x:c>
      <x:c r="AL2945" t="n">
        <x:v>0</x:v>
      </x:c>
      <x:c r="AM2945" t="n">
        <x:f>CHOOSE('假设'!$B$3,AJ2945,AK2945,AL2945)</x:f>
        <x:v>0</x:v>
      </x:c>
      <x:c r="AN2945" t="n">
        <x:v>1</x:v>
      </x:c>
    </x:row>
    <x:row r="2946" ht="23" customHeight="1">
      <x:c r="A2946" s="11" t="str">
        <x:v>688382.SH</x:v>
      </x:c>
      <x:c r="B2946" s="11" t="str">
        <x:v>一年</x:v>
      </x:c>
      <x:c r="C2946" s="11" t="str">
        <x:v>g12c_global</x:v>
      </x:c>
      <x:c r="D2946" s="11" t="str">
        <x:v>2030-12-31</x:v>
      </x:c>
      <x:c r="E2946" s="11" t="str">
        <x:v>USD</x:v>
      </x:c>
      <x:c r="F2946" s="11" t="n">
        <x:v>3.2279260780287475</x:v>
      </x:c>
      <x:c r="G2946" s="26" t="b">
        <x:v>1</x:v>
      </x:c>
      <x:c r="H2946" s="16" t="n">
        <x:v>0</x:v>
      </x:c>
      <x:c r="I2946" s="16" t="n">
        <x:v>0</x:v>
      </x:c>
      <x:c r="J2946" s="16" t="n">
        <x:v>0.41666666666666663</x:v>
      </x:c>
      <x:c r="K2946" s="11" t="n">
        <x:f>CHOOSE('假设'!$B$3,H2946,I2946,J2946)</x:f>
        <x:v>0</x:v>
      </x:c>
      <x:c r="L2946" s="11" t="n">
        <x:f>K2946*'管线假设'!E643*'管线假设'!F643*'管线假设'!G643*IF(E2946="USD",'管线假设'!I643,1)-AM2946</x:f>
        <x:v>0</x:v>
      </x:c>
      <x:c r="M2946" s="11" t="n">
        <x:f>'管线假设'!H643</x:f>
        <x:v>0.135</x:v>
      </x:c>
      <x:c r="N2946" s="11" t="n">
        <x:f>IF(G2946,L2946*AN2946/(1+M2946)^F2946,0)</x:f>
        <x:v>0</x:v>
      </x:c>
      <x:c r="AJ2946" t="n">
        <x:v>0</x:v>
      </x:c>
      <x:c r="AK2946" t="n">
        <x:v>0</x:v>
      </x:c>
      <x:c r="AL2946" t="n">
        <x:v>0</x:v>
      </x:c>
      <x:c r="AM2946" t="n">
        <x:f>CHOOSE('假设'!$B$3,AJ2946,AK2946,AL2946)</x:f>
        <x:v>0</x:v>
      </x:c>
      <x:c r="AN2946" t="n">
        <x:v>1</x:v>
      </x:c>
    </x:row>
    <x:row r="2947" ht="23" customHeight="1">
      <x:c r="A2947" s="11" t="str">
        <x:v>688382.SH</x:v>
      </x:c>
      <x:c r="B2947" s="11" t="str">
        <x:v>一年</x:v>
      </x:c>
      <x:c r="C2947" s="11" t="str">
        <x:v>g12c_global</x:v>
      </x:c>
      <x:c r="D2947" s="11" t="str">
        <x:v>2031-12-31</x:v>
      </x:c>
      <x:c r="E2947" s="11" t="str">
        <x:v>USD</x:v>
      </x:c>
      <x:c r="F2947" s="11" t="n">
        <x:v>4.227241615331964</x:v>
      </x:c>
      <x:c r="G2947" s="26" t="b">
        <x:v>1</x:v>
      </x:c>
      <x:c r="H2947" s="16" t="n">
        <x:v>0</x:v>
      </x:c>
      <x:c r="I2947" s="16" t="n">
        <x:v>0</x:v>
      </x:c>
      <x:c r="J2947" s="16" t="n">
        <x:v>0.8333333333333333</x:v>
      </x:c>
      <x:c r="K2947" s="11" t="n">
        <x:f>CHOOSE('假设'!$B$3,H2947,I2947,J2947)</x:f>
        <x:v>0</x:v>
      </x:c>
      <x:c r="L2947" s="11" t="n">
        <x:f>K2947*'管线假设'!E643*'管线假设'!F643*'管线假设'!G643*IF(E2947="USD",'管线假设'!I643,1)-AM2947</x:f>
        <x:v>0</x:v>
      </x:c>
      <x:c r="M2947" s="11" t="n">
        <x:f>'管线假设'!H643</x:f>
        <x:v>0.135</x:v>
      </x:c>
      <x:c r="N2947" s="11" t="n">
        <x:f>IF(G2947,L2947*AN2947/(1+M2947)^F2947,0)</x:f>
        <x:v>0</x:v>
      </x:c>
      <x:c r="AJ2947" t="n">
        <x:v>0</x:v>
      </x:c>
      <x:c r="AK2947" t="n">
        <x:v>0</x:v>
      </x:c>
      <x:c r="AL2947" t="n">
        <x:v>0</x:v>
      </x:c>
      <x:c r="AM2947" t="n">
        <x:f>CHOOSE('假设'!$B$3,AJ2947,AK2947,AL2947)</x:f>
        <x:v>0</x:v>
      </x:c>
      <x:c r="AN2947" t="n">
        <x:v>1</x:v>
      </x:c>
    </x:row>
    <x:row r="2948" ht="23" customHeight="1">
      <x:c r="A2948" s="11" t="str">
        <x:v>688382.SH</x:v>
      </x:c>
      <x:c r="B2948" s="11" t="str">
        <x:v>一年</x:v>
      </x:c>
      <x:c r="C2948" s="11" t="str">
        <x:v>g12c_global</x:v>
      </x:c>
      <x:c r="D2948" s="11" t="str">
        <x:v>2032-12-31</x:v>
      </x:c>
      <x:c r="E2948" s="11" t="str">
        <x:v>USD</x:v>
      </x:c>
      <x:c r="F2948" s="11" t="n">
        <x:v>5.229295003422314</x:v>
      </x:c>
      <x:c r="G2948" s="26" t="b">
        <x:v>1</x:v>
      </x:c>
      <x:c r="H2948" s="16" t="n">
        <x:v>0</x:v>
      </x:c>
      <x:c r="I2948" s="16" t="n">
        <x:v>0.21666666666666667</x:v>
      </x:c>
      <x:c r="J2948" s="16" t="n">
        <x:v>1.25</x:v>
      </x:c>
      <x:c r="K2948" s="11" t="n">
        <x:f>CHOOSE('假设'!$B$3,H2948,I2948,J2948)</x:f>
        <x:v>0.21666666666666667</x:v>
      </x:c>
      <x:c r="L2948" s="11" t="n">
        <x:f>K2948*'管线假设'!E643*'管线假设'!F643*'管线假设'!G643*IF(E2948="USD",'管线假设'!I643,1)-AM2948</x:f>
        <x:v>0.035229168000000005</x:v>
      </x:c>
      <x:c r="M2948" s="11" t="n">
        <x:f>'管线假设'!H643</x:f>
        <x:v>0.135</x:v>
      </x:c>
      <x:c r="N2948" s="11" t="n">
        <x:f>IF(G2948,L2948*AN2948/(1+M2948)^F2948,0)</x:f>
        <x:v>0.01816823767967077</x:v>
      </x:c>
      <x:c r="AJ2948" t="n">
        <x:v>0</x:v>
      </x:c>
      <x:c r="AK2948" t="n">
        <x:v>0</x:v>
      </x:c>
      <x:c r="AL2948" t="n">
        <x:v>0</x:v>
      </x:c>
      <x:c r="AM2948" t="n">
        <x:f>CHOOSE('假设'!$B$3,AJ2948,AK2948,AL2948)</x:f>
        <x:v>0</x:v>
      </x:c>
      <x:c r="AN2948" t="n">
        <x:v>1</x:v>
      </x:c>
    </x:row>
    <x:row r="2949" ht="23" customHeight="1">
      <x:c r="A2949" s="11" t="str">
        <x:v>688382.SH</x:v>
      </x:c>
      <x:c r="B2949" s="11" t="str">
        <x:v>一年</x:v>
      </x:c>
      <x:c r="C2949" s="11" t="str">
        <x:v>g12c_global</x:v>
      </x:c>
      <x:c r="D2949" s="11" t="str">
        <x:v>2033-12-31</x:v>
      </x:c>
      <x:c r="E2949" s="11" t="str">
        <x:v>USD</x:v>
      </x:c>
      <x:c r="F2949" s="11" t="n">
        <x:v>6.228610540725531</x:v>
      </x:c>
      <x:c r="G2949" s="26" t="b">
        <x:v>1</x:v>
      </x:c>
      <x:c r="H2949" s="16" t="n">
        <x:v>0</x:v>
      </x:c>
      <x:c r="I2949" s="16" t="n">
        <x:v>0.43333333333333335</x:v>
      </x:c>
      <x:c r="J2949" s="16" t="n">
        <x:v>1.6666666666666665</x:v>
      </x:c>
      <x:c r="K2949" s="11" t="n">
        <x:f>CHOOSE('假设'!$B$3,H2949,I2949,J2949)</x:f>
        <x:v>0.43333333333333335</x:v>
      </x:c>
      <x:c r="L2949" s="11" t="n">
        <x:f>K2949*'管线假设'!E643*'管线假设'!F643*'管线假设'!G643*IF(E2949="USD",'管线假设'!I643,1)-AM2949</x:f>
        <x:v>0.07045833600000001</x:v>
      </x:c>
      <x:c r="M2949" s="11" t="n">
        <x:f>'管线假设'!H643</x:f>
        <x:v>0.135</x:v>
      </x:c>
      <x:c r="N2949" s="11" t="n">
        <x:f>IF(G2949,L2949*AN2949/(1+M2949)^F2949,0)</x:f>
        <x:v>0.03201729072394282</x:v>
      </x:c>
      <x:c r="AJ2949" t="n">
        <x:v>0</x:v>
      </x:c>
      <x:c r="AK2949" t="n">
        <x:v>0</x:v>
      </x:c>
      <x:c r="AL2949" t="n">
        <x:v>0</x:v>
      </x:c>
      <x:c r="AM2949" t="n">
        <x:f>CHOOSE('假设'!$B$3,AJ2949,AK2949,AL2949)</x:f>
        <x:v>0</x:v>
      </x:c>
      <x:c r="AN2949" t="n">
        <x:v>1</x:v>
      </x:c>
    </x:row>
    <x:row r="2950" ht="23" customHeight="1">
      <x:c r="A2950" s="11" t="str">
        <x:v>688382.SH</x:v>
      </x:c>
      <x:c r="B2950" s="11" t="str">
        <x:v>一年</x:v>
      </x:c>
      <x:c r="C2950" s="11" t="str">
        <x:v>g12c_global</x:v>
      </x:c>
      <x:c r="D2950" s="11" t="str">
        <x:v>2034-12-31</x:v>
      </x:c>
      <x:c r="E2950" s="11" t="str">
        <x:v>USD</x:v>
      </x:c>
      <x:c r="F2950" s="11" t="n">
        <x:v>7.227926078028747</x:v>
      </x:c>
      <x:c r="G2950" s="26" t="b">
        <x:v>1</x:v>
      </x:c>
      <x:c r="H2950" s="16" t="n">
        <x:v>0</x:v>
      </x:c>
      <x:c r="I2950" s="16" t="n">
        <x:v>0.65</x:v>
      </x:c>
      <x:c r="J2950" s="16" t="n">
        <x:v>2.0833333333333335</x:v>
      </x:c>
      <x:c r="K2950" s="11" t="n">
        <x:f>CHOOSE('假设'!$B$3,H2950,I2950,J2950)</x:f>
        <x:v>0.65</x:v>
      </x:c>
      <x:c r="L2950" s="11" t="n">
        <x:f>K2950*'管线假设'!E643*'管线假设'!F643*'管线假设'!G643*IF(E2950="USD",'管线假设'!I643,1)-AM2950</x:f>
        <x:v>0.10568750400000002</x:v>
      </x:c>
      <x:c r="M2950" s="11" t="n">
        <x:f>'管线假设'!H643</x:f>
        <x:v>0.135</x:v>
      </x:c>
      <x:c r="N2950" s="11" t="n">
        <x:f>IF(G2950,L2950*AN2950/(1+M2950)^F2950,0)</x:f>
        <x:v>0.04231726777971337</x:v>
      </x:c>
      <x:c r="AJ2950" t="n">
        <x:v>0</x:v>
      </x:c>
      <x:c r="AK2950" t="n">
        <x:v>0</x:v>
      </x:c>
      <x:c r="AL2950" t="n">
        <x:v>0</x:v>
      </x:c>
      <x:c r="AM2950" t="n">
        <x:f>CHOOSE('假设'!$B$3,AJ2950,AK2950,AL2950)</x:f>
        <x:v>0</x:v>
      </x:c>
      <x:c r="AN2950" t="n">
        <x:v>1</x:v>
      </x:c>
    </x:row>
    <x:row r="2951" ht="23" customHeight="1">
      <x:c r="A2951" s="11" t="str">
        <x:v>688382.SH</x:v>
      </x:c>
      <x:c r="B2951" s="11" t="str">
        <x:v>一年</x:v>
      </x:c>
      <x:c r="C2951" s="11" t="str">
        <x:v>g12c_global</x:v>
      </x:c>
      <x:c r="D2951" s="11" t="str">
        <x:v>2035-12-31</x:v>
      </x:c>
      <x:c r="E2951" s="11" t="str">
        <x:v>USD</x:v>
      </x:c>
      <x:c r="F2951" s="11" t="n">
        <x:v>8.227241615331964</x:v>
      </x:c>
      <x:c r="G2951" s="26" t="b">
        <x:v>1</x:v>
      </x:c>
      <x:c r="H2951" s="16" t="n">
        <x:v>0.1</x:v>
      </x:c>
      <x:c r="I2951" s="16" t="n">
        <x:v>0.8666666666666667</x:v>
      </x:c>
      <x:c r="J2951" s="16" t="n">
        <x:v>2.5</x:v>
      </x:c>
      <x:c r="K2951" s="11" t="n">
        <x:f>CHOOSE('假设'!$B$3,H2951,I2951,J2951)</x:f>
        <x:v>0.8666666666666667</x:v>
      </x:c>
      <x:c r="L2951" s="11" t="n">
        <x:f>K2951*'管线假设'!E643*'管线假设'!F643*'管线假设'!G643*IF(E2951="USD",'管线假设'!I643,1)-AM2951</x:f>
        <x:v>0.14091667200000002</x:v>
      </x:c>
      <x:c r="M2951" s="11" t="n">
        <x:f>'管线假设'!H643</x:f>
        <x:v>0.135</x:v>
      </x:c>
      <x:c r="N2951" s="11" t="n">
        <x:f>IF(G2951,L2951*AN2951/(1+M2951)^F2951,0)</x:f>
        <x:v>0.049716224142901125</x:v>
      </x:c>
      <x:c r="AJ2951" t="n">
        <x:v>0</x:v>
      </x:c>
      <x:c r="AK2951" t="n">
        <x:v>0</x:v>
      </x:c>
      <x:c r="AL2951" t="n">
        <x:v>0</x:v>
      </x:c>
      <x:c r="AM2951" t="n">
        <x:f>CHOOSE('假设'!$B$3,AJ2951,AK2951,AL2951)</x:f>
        <x:v>0</x:v>
      </x:c>
      <x:c r="AN2951" t="n">
        <x:v>1</x:v>
      </x:c>
    </x:row>
    <x:row r="2952" ht="23" customHeight="1">
      <x:c r="A2952" s="11" t="str">
        <x:v>688382.SH</x:v>
      </x:c>
      <x:c r="B2952" s="11" t="str">
        <x:v>一年</x:v>
      </x:c>
      <x:c r="C2952" s="11" t="str">
        <x:v>g12c_global</x:v>
      </x:c>
      <x:c r="D2952" s="11" t="str">
        <x:v>2036-12-31</x:v>
      </x:c>
      <x:c r="E2952" s="11" t="str">
        <x:v>USD</x:v>
      </x:c>
      <x:c r="F2952" s="11" t="n">
        <x:v>9.229295003422314</x:v>
      </x:c>
      <x:c r="G2952" s="26" t="b">
        <x:v>1</x:v>
      </x:c>
      <x:c r="H2952" s="16" t="n">
        <x:v>0.2</x:v>
      </x:c>
      <x:c r="I2952" s="16" t="n">
        <x:v>1.0833333333333335</x:v>
      </x:c>
      <x:c r="J2952" s="16" t="n">
        <x:v>2.175</x:v>
      </x:c>
      <x:c r="K2952" s="11" t="n">
        <x:f>CHOOSE('假设'!$B$3,H2952,I2952,J2952)</x:f>
        <x:v>1.0833333333333335</x:v>
      </x:c>
      <x:c r="L2952" s="11" t="n">
        <x:f>K2952*'管线假设'!E643*'管线假设'!F643*'管线假设'!G643*IF(E2952="USD",'管线假设'!I643,1)-AM2952</x:f>
        <x:v>0.17614584000000005</x:v>
      </x:c>
      <x:c r="M2952" s="11" t="n">
        <x:f>'管线假设'!H643</x:f>
        <x:v>0.135</x:v>
      </x:c>
      <x:c r="N2952" s="11" t="n">
        <x:f>IF(G2952,L2952*AN2952/(1+M2952)^F2952,0)</x:f>
        <x:v>0.054739315323491654</x:v>
      </x:c>
      <x:c r="AJ2952" t="n">
        <x:v>0</x:v>
      </x:c>
      <x:c r="AK2952" t="n">
        <x:v>0</x:v>
      </x:c>
      <x:c r="AL2952" t="n">
        <x:v>0</x:v>
      </x:c>
      <x:c r="AM2952" t="n">
        <x:f>CHOOSE('假设'!$B$3,AJ2952,AK2952,AL2952)</x:f>
        <x:v>0</x:v>
      </x:c>
      <x:c r="AN2952" t="n">
        <x:v>1</x:v>
      </x:c>
    </x:row>
    <x:row r="2953" ht="23" customHeight="1">
      <x:c r="A2953" s="11" t="str">
        <x:v>688382.SH</x:v>
      </x:c>
      <x:c r="B2953" s="11" t="str">
        <x:v>一年</x:v>
      </x:c>
      <x:c r="C2953" s="11" t="str">
        <x:v>g12c_global</x:v>
      </x:c>
      <x:c r="D2953" s="11" t="str">
        <x:v>2037-12-31</x:v>
      </x:c>
      <x:c r="E2953" s="11" t="str">
        <x:v>USD</x:v>
      </x:c>
      <x:c r="F2953" s="11" t="n">
        <x:v>10.22861054072553</x:v>
      </x:c>
      <x:c r="G2953" s="26" t="b">
        <x:v>1</x:v>
      </x:c>
      <x:c r="H2953" s="16" t="n">
        <x:v>0.3</x:v>
      </x:c>
      <x:c r="I2953" s="16" t="n">
        <x:v>1.3</x:v>
      </x:c>
      <x:c r="J2953" s="16" t="n">
        <x:v>1.85</x:v>
      </x:c>
      <x:c r="K2953" s="11" t="n">
        <x:f>CHOOSE('假设'!$B$3,H2953,I2953,J2953)</x:f>
        <x:v>1.3</x:v>
      </x:c>
      <x:c r="L2953" s="11" t="n">
        <x:f>K2953*'管线假设'!E643*'管线假设'!F643*'管线假设'!G643*IF(E2953="USD",'管线假设'!I643,1)-AM2953</x:f>
        <x:v>0.21137500800000003</x:v>
      </x:c>
      <x:c r="M2953" s="11" t="n">
        <x:f>'管线假设'!H643</x:f>
        <x:v>0.135</x:v>
      </x:c>
      <x:c r="N2953" s="11" t="n">
        <x:f>IF(G2953,L2953*AN2953/(1+M2953)^F2953,0)</x:f>
        <x:v>0.05787918246037288</x:v>
      </x:c>
      <x:c r="AJ2953" t="n">
        <x:v>0</x:v>
      </x:c>
      <x:c r="AK2953" t="n">
        <x:v>0</x:v>
      </x:c>
      <x:c r="AL2953" t="n">
        <x:v>0</x:v>
      </x:c>
      <x:c r="AM2953" t="n">
        <x:f>CHOOSE('假设'!$B$3,AJ2953,AK2953,AL2953)</x:f>
        <x:v>0</x:v>
      </x:c>
      <x:c r="AN2953" t="n">
        <x:v>1</x:v>
      </x:c>
    </x:row>
    <x:row r="2954" ht="23" customHeight="1">
      <x:c r="A2954" s="11" t="str">
        <x:v>688382.SH</x:v>
      </x:c>
      <x:c r="B2954" s="11" t="str">
        <x:v>一年</x:v>
      </x:c>
      <x:c r="C2954" s="11" t="str">
        <x:v>g12c_global</x:v>
      </x:c>
      <x:c r="D2954" s="11" t="str">
        <x:v>2038-12-31</x:v>
      </x:c>
      <x:c r="E2954" s="11" t="str">
        <x:v>USD</x:v>
      </x:c>
      <x:c r="F2954" s="11" t="n">
        <x:v>11.227926078028748</x:v>
      </x:c>
      <x:c r="G2954" s="26" t="b">
        <x:v>1</x:v>
      </x:c>
      <x:c r="H2954" s="16" t="n">
        <x:v>0.4</x:v>
      </x:c>
      <x:c r="I2954" s="16" t="n">
        <x:v>1.131</x:v>
      </x:c>
      <x:c r="J2954" s="16" t="n">
        <x:v>1.525</x:v>
      </x:c>
      <x:c r="K2954" s="11" t="n">
        <x:f>CHOOSE('假设'!$B$3,H2954,I2954,J2954)</x:f>
        <x:v>1.131</x:v>
      </x:c>
      <x:c r="L2954" s="11" t="n">
        <x:f>K2954*'管线假设'!E643*'管线假设'!F643*'管线假设'!G643*IF(E2954="USD",'管线假设'!I643,1)-AM2954</x:f>
        <x:v>0.18389625696000003</x:v>
      </x:c>
      <x:c r="M2954" s="11" t="n">
        <x:f>'管线假设'!H643</x:f>
        <x:v>0.135</x:v>
      </x:c>
      <x:c r="N2954" s="11" t="n">
        <x:f>IF(G2954,L2954*AN2954/(1+M2954)^F2954,0)</x:f>
        <x:v>0.044369386304901635</x:v>
      </x:c>
      <x:c r="AJ2954" t="n">
        <x:v>0</x:v>
      </x:c>
      <x:c r="AK2954" t="n">
        <x:v>0</x:v>
      </x:c>
      <x:c r="AL2954" t="n">
        <x:v>0</x:v>
      </x:c>
      <x:c r="AM2954" t="n">
        <x:f>CHOOSE('假设'!$B$3,AJ2954,AK2954,AL2954)</x:f>
        <x:v>0</x:v>
      </x:c>
      <x:c r="AN2954" t="n">
        <x:v>1</x:v>
      </x:c>
    </x:row>
    <x:row r="2955" ht="23" customHeight="1">
      <x:c r="A2955" s="11" t="str">
        <x:v>688382.SH</x:v>
      </x:c>
      <x:c r="B2955" s="11" t="str">
        <x:v>一年</x:v>
      </x:c>
      <x:c r="C2955" s="11" t="str">
        <x:v>g12c_global</x:v>
      </x:c>
      <x:c r="D2955" s="11" t="str">
        <x:v>2039-12-31</x:v>
      </x:c>
      <x:c r="E2955" s="11" t="str">
        <x:v>USD</x:v>
      </x:c>
      <x:c r="F2955" s="11" t="n">
        <x:v>12.227241615331964</x:v>
      </x:c>
      <x:c r="G2955" s="26" t="b">
        <x:v>1</x:v>
      </x:c>
      <x:c r="H2955" s="16" t="n">
        <x:v>0.5</x:v>
      </x:c>
      <x:c r="I2955" s="16" t="n">
        <x:v>0.962</x:v>
      </x:c>
      <x:c r="J2955" s="16" t="n">
        <x:v>1.2</x:v>
      </x:c>
      <x:c r="K2955" s="11" t="n">
        <x:f>CHOOSE('假设'!$B$3,H2955,I2955,J2955)</x:f>
        <x:v>0.962</x:v>
      </x:c>
      <x:c r="L2955" s="11" t="n">
        <x:f>K2955*'管线假设'!E643*'管线假设'!F643*'管线假设'!G643*IF(E2955="USD",'管线假设'!I643,1)-AM2955</x:f>
        <x:v>0.15641750592</x:v>
      </x:c>
      <x:c r="M2955" s="11" t="n">
        <x:f>'管线假设'!H643</x:f>
        <x:v>0.135</x:v>
      </x:c>
      <x:c r="N2955" s="11" t="n">
        <x:f>IF(G2955,L2955*AN2955/(1+M2955)^F2955,0)</x:f>
        <x:v>0.03325352355046991</x:v>
      </x:c>
      <x:c r="AJ2955" t="n">
        <x:v>0</x:v>
      </x:c>
      <x:c r="AK2955" t="n">
        <x:v>0</x:v>
      </x:c>
      <x:c r="AL2955" t="n">
        <x:v>0</x:v>
      </x:c>
      <x:c r="AM2955" t="n">
        <x:f>CHOOSE('假设'!$B$3,AJ2955,AK2955,AL2955)</x:f>
        <x:v>0</x:v>
      </x:c>
      <x:c r="AN2955" t="n">
        <x:v>1</x:v>
      </x:c>
    </x:row>
    <x:row r="2956" ht="23" customHeight="1">
      <x:c r="A2956" s="11" t="str">
        <x:v>688382.SH</x:v>
      </x:c>
      <x:c r="B2956" s="11" t="str">
        <x:v>一年</x:v>
      </x:c>
      <x:c r="C2956" s="11" t="str">
        <x:v>g12c_global</x:v>
      </x:c>
      <x:c r="D2956" s="11" t="str">
        <x:v>2040-12-31</x:v>
      </x:c>
      <x:c r="E2956" s="11" t="str">
        <x:v>USD</x:v>
      </x:c>
      <x:c r="F2956" s="11" t="n">
        <x:v>13.229295003422314</x:v>
      </x:c>
      <x:c r="G2956" s="26" t="b">
        <x:v>1</x:v>
      </x:c>
      <x:c r="H2956" s="16" t="n">
        <x:v>0.435</x:v>
      </x:c>
      <x:c r="I2956" s="16" t="n">
        <x:v>0.793</x:v>
      </x:c>
      <x:c r="J2956" s="16" t="n">
        <x:v>0.875</x:v>
      </x:c>
      <x:c r="K2956" s="11" t="n">
        <x:f>CHOOSE('假设'!$B$3,H2956,I2956,J2956)</x:f>
        <x:v>0.793</x:v>
      </x:c>
      <x:c r="L2956" s="11" t="n">
        <x:f>K2956*'管线假设'!E643*'管线假设'!F643*'管线假设'!G643*IF(E2956="USD",'管线假设'!I643,1)-AM2956</x:f>
        <x:v>0.12893875488</x:v>
      </x:c>
      <x:c r="M2956" s="11" t="n">
        <x:f>'管线假设'!H643</x:f>
        <x:v>0.135</x:v>
      </x:c>
      <x:c r="N2956" s="11" t="n">
        <x:f>IF(G2956,L2956*AN2956/(1+M2956)^F2956,0)</x:f>
        <x:v>0.0241449881125257</x:v>
      </x:c>
      <x:c r="AJ2956" t="n">
        <x:v>0</x:v>
      </x:c>
      <x:c r="AK2956" t="n">
        <x:v>0</x:v>
      </x:c>
      <x:c r="AL2956" t="n">
        <x:v>0</x:v>
      </x:c>
      <x:c r="AM2956" t="n">
        <x:f>CHOOSE('假设'!$B$3,AJ2956,AK2956,AL2956)</x:f>
        <x:v>0</x:v>
      </x:c>
      <x:c r="AN2956" t="n">
        <x:v>1</x:v>
      </x:c>
    </x:row>
    <x:row r="2957" ht="23" customHeight="1">
      <x:c r="A2957" s="11" t="str">
        <x:v>688382.SH</x:v>
      </x:c>
      <x:c r="B2957" s="11" t="str">
        <x:v>一年</x:v>
      </x:c>
      <x:c r="C2957" s="11" t="str">
        <x:v>g12c_global</x:v>
      </x:c>
      <x:c r="D2957" s="11" t="str">
        <x:v>2041-12-31</x:v>
      </x:c>
      <x:c r="E2957" s="11" t="str">
        <x:v>USD</x:v>
      </x:c>
      <x:c r="F2957" s="11" t="n">
        <x:v>14.22861054072553</x:v>
      </x:c>
      <x:c r="G2957" s="26" t="b">
        <x:v>1</x:v>
      </x:c>
      <x:c r="H2957" s="16" t="n">
        <x:v>0.37</x:v>
      </x:c>
      <x:c r="I2957" s="16" t="n">
        <x:v>0.624</x:v>
      </x:c>
      <x:c r="J2957" s="16" t="n">
        <x:v>0.5499999999999999</x:v>
      </x:c>
      <x:c r="K2957" s="11" t="n">
        <x:f>CHOOSE('假设'!$B$3,H2957,I2957,J2957)</x:f>
        <x:v>0.624</x:v>
      </x:c>
      <x:c r="L2957" s="11" t="n">
        <x:f>K2957*'管线假设'!E643*'管线假设'!F643*'管线假设'!G643*IF(E2957="USD",'管线假设'!I643,1)-AM2957</x:f>
        <x:v>0.10146000384000001</x:v>
      </x:c>
      <x:c r="M2957" s="11" t="n">
        <x:f>'管线假设'!H643</x:f>
        <x:v>0.135</x:v>
      </x:c>
      <x:c r="N2957" s="11" t="n">
        <x:f>IF(G2957,L2957*AN2957/(1+M2957)^F2957,0)</x:f>
        <x:v>0.016740953086456997</x:v>
      </x:c>
      <x:c r="AJ2957" t="n">
        <x:v>0</x:v>
      </x:c>
      <x:c r="AK2957" t="n">
        <x:v>0</x:v>
      </x:c>
      <x:c r="AL2957" t="n">
        <x:v>0</x:v>
      </x:c>
      <x:c r="AM2957" t="n">
        <x:f>CHOOSE('假设'!$B$3,AJ2957,AK2957,AL2957)</x:f>
        <x:v>0</x:v>
      </x:c>
      <x:c r="AN2957" t="n">
        <x:v>1</x:v>
      </x:c>
    </x:row>
    <x:row r="2958" ht="23" customHeight="1">
      <x:c r="A2958" s="11" t="str">
        <x:v>688382.SH</x:v>
      </x:c>
      <x:c r="B2958" s="11" t="str">
        <x:v>一年</x:v>
      </x:c>
      <x:c r="C2958" s="11" t="str">
        <x:v>g12c_global</x:v>
      </x:c>
      <x:c r="D2958" s="11" t="str">
        <x:v>2042-12-31</x:v>
      </x:c>
      <x:c r="E2958" s="11" t="str">
        <x:v>USD</x:v>
      </x:c>
      <x:c r="F2958" s="11" t="n">
        <x:v>15.227926078028748</x:v>
      </x:c>
      <x:c r="G2958" s="26" t="b">
        <x:v>1</x:v>
      </x:c>
      <x:c r="H2958" s="16" t="n">
        <x:v>0.305</x:v>
      </x:c>
      <x:c r="I2958" s="16" t="n">
        <x:v>0.45499999999999996</x:v>
      </x:c>
      <x:c r="J2958" s="16" t="n">
        <x:v>0.22499999999999992</x:v>
      </x:c>
      <x:c r="K2958" s="11" t="n">
        <x:f>CHOOSE('假设'!$B$3,H2958,I2958,J2958)</x:f>
        <x:v>0.45499999999999996</x:v>
      </x:c>
      <x:c r="L2958" s="11" t="n">
        <x:f>K2958*'管线假设'!E643*'管线假设'!F643*'管线假设'!G643*IF(E2958="USD",'管线假设'!I643,1)-AM2958</x:f>
        <x:v>0.0739812528</x:v>
      </x:c>
      <x:c r="M2958" s="11" t="n">
        <x:f>'管线假设'!H643</x:f>
        <x:v>0.135</x:v>
      </x:c>
      <x:c r="N2958" s="11" t="n">
        <x:f>IF(G2958,L2958*AN2958/(1+M2958)^F2958,0)</x:f>
        <x:v>0.010755949819964814</x:v>
      </x:c>
      <x:c r="AJ2958" t="n">
        <x:v>0</x:v>
      </x:c>
      <x:c r="AK2958" t="n">
        <x:v>0</x:v>
      </x:c>
      <x:c r="AL2958" t="n">
        <x:v>0</x:v>
      </x:c>
      <x:c r="AM2958" t="n">
        <x:f>CHOOSE('假设'!$B$3,AJ2958,AK2958,AL2958)</x:f>
        <x:v>0</x:v>
      </x:c>
      <x:c r="AN2958" t="n">
        <x:v>1</x:v>
      </x:c>
    </x:row>
    <x:row r="2959" ht="23" customHeight="1">
      <x:c r="A2959" s="11" t="str">
        <x:v>688382.SH</x:v>
      </x:c>
      <x:c r="B2959" s="11" t="str">
        <x:v>一年</x:v>
      </x:c>
      <x:c r="C2959" s="11" t="str">
        <x:v>g12c_global</x:v>
      </x:c>
      <x:c r="D2959" s="11" t="str">
        <x:v>2043-12-31</x:v>
      </x:c>
      <x:c r="E2959" s="11" t="str">
        <x:v>USD</x:v>
      </x:c>
      <x:c r="F2959" s="11" t="n">
        <x:v>16.227241615331966</x:v>
      </x:c>
      <x:c r="G2959" s="26" t="b">
        <x:v>1</x:v>
      </x:c>
      <x:c r="H2959" s="16" t="n">
        <x:v>0.24</x:v>
      </x:c>
      <x:c r="I2959" s="16" t="n">
        <x:v>0.286</x:v>
      </x:c>
      <x:c r="J2959" s="16" t="n">
        <x:v>0</x:v>
      </x:c>
      <x:c r="K2959" s="11" t="n">
        <x:f>CHOOSE('假设'!$B$3,H2959,I2959,J2959)</x:f>
        <x:v>0.286</x:v>
      </x:c>
      <x:c r="L2959" s="11" t="n">
        <x:f>K2959*'管线假设'!E643*'管线假设'!F643*'管线假设'!G643*IF(E2959="USD",'管线假设'!I643,1)-AM2959</x:f>
        <x:v>0.04650250176</x:v>
      </x:c>
      <x:c r="M2959" s="11" t="n">
        <x:f>'管线假设'!H643</x:f>
        <x:v>0.135</x:v>
      </x:c>
      <x:c r="N2959" s="11" t="n">
        <x:f>IF(G2959,L2959*AN2959/(1+M2959)^F2959,0)</x:f>
        <x:v>0.005957241208007764</x:v>
      </x:c>
      <x:c r="AJ2959" t="n">
        <x:v>0</x:v>
      </x:c>
      <x:c r="AK2959" t="n">
        <x:v>0</x:v>
      </x:c>
      <x:c r="AL2959" t="n">
        <x:v>0</x:v>
      </x:c>
      <x:c r="AM2959" t="n">
        <x:f>CHOOSE('假设'!$B$3,AJ2959,AK2959,AL2959)</x:f>
        <x:v>0</x:v>
      </x:c>
      <x:c r="AN2959" t="n">
        <x:v>1</x:v>
      </x:c>
    </x:row>
    <x:row r="2960" ht="23" customHeight="1">
      <x:c r="A2960" s="11" t="str">
        <x:v>688382.SH</x:v>
      </x:c>
      <x:c r="B2960" s="11" t="str">
        <x:v>一年</x:v>
      </x:c>
      <x:c r="C2960" s="11" t="str">
        <x:v>g12c_global</x:v>
      </x:c>
      <x:c r="D2960" s="11" t="str">
        <x:v>2044-12-31</x:v>
      </x:c>
      <x:c r="E2960" s="11" t="str">
        <x:v>USD</x:v>
      </x:c>
      <x:c r="F2960" s="11" t="n">
        <x:v>17.229295003422312</x:v>
      </x:c>
      <x:c r="G2960" s="26" t="b">
        <x:v>1</x:v>
      </x:c>
      <x:c r="H2960" s="16" t="n">
        <x:v>0.175</x:v>
      </x:c>
      <x:c r="I2960" s="16" t="n">
        <x:v>0.11699999999999997</x:v>
      </x:c>
      <x:c r="J2960" s="16" t="n">
        <x:v>0</x:v>
      </x:c>
      <x:c r="K2960" s="11" t="n">
        <x:f>CHOOSE('假设'!$B$3,H2960,I2960,J2960)</x:f>
        <x:v>0.11699999999999997</x:v>
      </x:c>
      <x:c r="L2960" s="11" t="n">
        <x:f>K2960*'管线假设'!E643*'管线假设'!F643*'管线假设'!G643*IF(E2960="USD",'管线假设'!I643,1)-AM2960</x:f>
        <x:v>0.019023750719999996</x:v>
      </x:c>
      <x:c r="M2960" s="11" t="n">
        <x:f>'管线假设'!H643</x:f>
        <x:v>0.135</x:v>
      </x:c>
      <x:c r="N2960" s="11" t="n">
        <x:f>IF(G2960,L2960*AN2960/(1+M2960)^F2960,0)</x:f>
        <x:v>0.002146625204135558</x:v>
      </x:c>
      <x:c r="AJ2960" t="n">
        <x:v>0</x:v>
      </x:c>
      <x:c r="AK2960" t="n">
        <x:v>0</x:v>
      </x:c>
      <x:c r="AL2960" t="n">
        <x:v>0</x:v>
      </x:c>
      <x:c r="AM2960" t="n">
        <x:f>CHOOSE('假设'!$B$3,AJ2960,AK2960,AL2960)</x:f>
        <x:v>0</x:v>
      </x:c>
      <x:c r="AN2960" t="n">
        <x:v>1</x:v>
      </x:c>
    </x:row>
    <x:row r="2961" ht="23" customHeight="1">
      <x:c r="A2961" s="11" t="str">
        <x:v>688382.SH</x:v>
      </x:c>
      <x:c r="B2961" s="11" t="str">
        <x:v>一年</x:v>
      </x:c>
      <x:c r="C2961" s="11" t="str">
        <x:v>g12c_global</x:v>
      </x:c>
      <x:c r="D2961" s="11" t="str">
        <x:v>2045-12-31</x:v>
      </x:c>
      <x:c r="E2961" s="11" t="str">
        <x:v>USD</x:v>
      </x:c>
      <x:c r="F2961" s="11" t="n">
        <x:v>18.22861054072553</x:v>
      </x:c>
      <x:c r="G2961" s="26" t="b">
        <x:v>1</x:v>
      </x:c>
      <x:c r="H2961" s="16" t="n">
        <x:v>0.10999999999999999</x:v>
      </x:c>
      <x:c r="I2961" s="16" t="n">
        <x:v>0</x:v>
      </x:c>
      <x:c r="J2961" s="16" t="n">
        <x:v>0</x:v>
      </x:c>
      <x:c r="K2961" s="11" t="n">
        <x:f>CHOOSE('假设'!$B$3,H2961,I2961,J2961)</x:f>
        <x:v>0</x:v>
      </x:c>
      <x:c r="L2961" s="11" t="n">
        <x:f>K2961*'管线假设'!E643*'管线假设'!F643*'管线假设'!G643*IF(E2961="USD",'管线假设'!I643,1)-AM2961</x:f>
        <x:v>0</x:v>
      </x:c>
      <x:c r="M2961" s="11" t="n">
        <x:f>'管线假设'!H643</x:f>
        <x:v>0.135</x:v>
      </x:c>
      <x:c r="N2961" s="11" t="n">
        <x:f>IF(G2961,L2961*AN2961/(1+M2961)^F2961,0)</x:f>
        <x:v>0</x:v>
      </x:c>
      <x:c r="AJ2961" t="n">
        <x:v>0</x:v>
      </x:c>
      <x:c r="AK2961" t="n">
        <x:v>0</x:v>
      </x:c>
      <x:c r="AL2961" t="n">
        <x:v>0</x:v>
      </x:c>
      <x:c r="AM2961" t="n">
        <x:f>CHOOSE('假设'!$B$3,AJ2961,AK2961,AL2961)</x:f>
        <x:v>0</x:v>
      </x:c>
      <x:c r="AN2961" t="n">
        <x:v>1</x:v>
      </x:c>
    </x:row>
    <x:row r="2962" ht="23" customHeight="1">
      <x:c r="A2962" s="11" t="str">
        <x:v>688382.SH</x:v>
      </x:c>
      <x:c r="B2962" s="11" t="str">
        <x:v>一年</x:v>
      </x:c>
      <x:c r="C2962" s="11" t="str">
        <x:v>tyk_ps_cn</x:v>
      </x:c>
      <x:c r="D2962" s="11" t="str">
        <x:v>2027-12-31</x:v>
      </x:c>
      <x:c r="E2962" s="11" t="str">
        <x:v>CNY</x:v>
      </x:c>
      <x:c r="F2962" s="11" t="n">
        <x:v>0.2272416153319644</x:v>
      </x:c>
      <x:c r="G2962" s="26" t="b">
        <x:v>1</x:v>
      </x:c>
      <x:c r="H2962" s="16" t="n">
        <x:v>0</x:v>
      </x:c>
      <x:c r="I2962" s="16" t="n">
        <x:v>0</x:v>
      </x:c>
      <x:c r="J2962" s="16" t="n">
        <x:v>0</x:v>
      </x:c>
      <x:c r="K2962" s="11" t="n">
        <x:f>CHOOSE('假设'!$B$3,H2962,I2962,J2962)</x:f>
        <x:v>0</x:v>
      </x:c>
      <x:c r="L2962" s="11" t="n">
        <x:f>K2962*'管线假设'!E647*'管线假设'!F647*'管线假设'!G647*IF(E2962="USD",'管线假设'!I647,1)-AM2962</x:f>
        <x:v>0</x:v>
      </x:c>
      <x:c r="M2962" s="11" t="n">
        <x:f>'管线假设'!H647</x:f>
        <x:v>0.135</x:v>
      </x:c>
      <x:c r="N2962" s="11" t="n">
        <x:f>IF(G2962,L2962*AN2962/(1+M2962)^F2962,0)</x:f>
        <x:v>0</x:v>
      </x:c>
      <x:c r="AJ2962" t="n">
        <x:v>0</x:v>
      </x:c>
      <x:c r="AK2962" t="n">
        <x:v>0</x:v>
      </x:c>
      <x:c r="AL2962" t="n">
        <x:v>0</x:v>
      </x:c>
      <x:c r="AM2962" t="n">
        <x:f>CHOOSE('假设'!$B$3,AJ2962,AK2962,AL2962)</x:f>
        <x:v>0</x:v>
      </x:c>
      <x:c r="AN2962" t="n">
        <x:v>1</x:v>
      </x:c>
    </x:row>
    <x:row r="2963" ht="23" customHeight="1">
      <x:c r="A2963" s="11" t="str">
        <x:v>688382.SH</x:v>
      </x:c>
      <x:c r="B2963" s="11" t="str">
        <x:v>一年</x:v>
      </x:c>
      <x:c r="C2963" s="11" t="str">
        <x:v>tyk_ps_cn</x:v>
      </x:c>
      <x:c r="D2963" s="11" t="str">
        <x:v>2028-12-31</x:v>
      </x:c>
      <x:c r="E2963" s="11" t="str">
        <x:v>CNY</x:v>
      </x:c>
      <x:c r="F2963" s="11" t="n">
        <x:v>1.2292950034223136</x:v>
      </x:c>
      <x:c r="G2963" s="26" t="b">
        <x:v>1</x:v>
      </x:c>
      <x:c r="H2963" s="16" t="n">
        <x:v>0</x:v>
      </x:c>
      <x:c r="I2963" s="16" t="n">
        <x:v>0.41666666666666663</x:v>
      </x:c>
      <x:c r="J2963" s="16" t="n">
        <x:v>0.8</x:v>
      </x:c>
      <x:c r="K2963" s="11" t="n">
        <x:f>CHOOSE('假设'!$B$3,H2963,I2963,J2963)</x:f>
        <x:v>0.41666666666666663</x:v>
      </x:c>
      <x:c r="L2963" s="11" t="n">
        <x:f>K2963*'管线假设'!E647*'管线假设'!F647*'管线假设'!G647*IF(E2963="USD",'管线假设'!I647,1)-AM2963</x:f>
        <x:v>0.07588</x:v>
      </x:c>
      <x:c r="M2963" s="11" t="n">
        <x:f>'管线假设'!H647</x:f>
        <x:v>0.135</x:v>
      </x:c>
      <x:c r="N2963" s="11" t="n">
        <x:f>IF(G2963,L2963*AN2963/(1+M2963)^F2963,0)</x:f>
        <x:v>0.06494133085046128</x:v>
      </x:c>
      <x:c r="AJ2963" t="n">
        <x:v>0</x:v>
      </x:c>
      <x:c r="AK2963" t="n">
        <x:v>0</x:v>
      </x:c>
      <x:c r="AL2963" t="n">
        <x:v>0</x:v>
      </x:c>
      <x:c r="AM2963" t="n">
        <x:f>CHOOSE('假设'!$B$3,AJ2963,AK2963,AL2963)</x:f>
        <x:v>0</x:v>
      </x:c>
      <x:c r="AN2963" t="n">
        <x:v>1</x:v>
      </x:c>
    </x:row>
    <x:row r="2964" ht="23" customHeight="1">
      <x:c r="A2964" s="11" t="str">
        <x:v>688382.SH</x:v>
      </x:c>
      <x:c r="B2964" s="11" t="str">
        <x:v>一年</x:v>
      </x:c>
      <x:c r="C2964" s="11" t="str">
        <x:v>tyk_ps_cn</x:v>
      </x:c>
      <x:c r="D2964" s="11" t="str">
        <x:v>2029-12-31</x:v>
      </x:c>
      <x:c r="E2964" s="11" t="str">
        <x:v>CNY</x:v>
      </x:c>
      <x:c r="F2964" s="11" t="n">
        <x:v>2.2286105407255303</x:v>
      </x:c>
      <x:c r="G2964" s="26" t="b">
        <x:v>1</x:v>
      </x:c>
      <x:c r="H2964" s="16" t="n">
        <x:v>0</x:v>
      </x:c>
      <x:c r="I2964" s="16" t="n">
        <x:v>0.8333333333333333</x:v>
      </x:c>
      <x:c r="J2964" s="16" t="n">
        <x:v>1.6</x:v>
      </x:c>
      <x:c r="K2964" s="11" t="n">
        <x:f>CHOOSE('假设'!$B$3,H2964,I2964,J2964)</x:f>
        <x:v>0.8333333333333333</x:v>
      </x:c>
      <x:c r="L2964" s="11" t="n">
        <x:f>K2964*'管线假设'!E647*'管线假设'!F647*'管线假设'!G647*IF(E2964="USD",'管线假设'!I647,1)-AM2964</x:f>
        <x:v>0.15176</x:v>
      </x:c>
      <x:c r="M2964" s="11" t="n">
        <x:f>'管线假设'!H647</x:f>
        <x:v>0.135</x:v>
      </x:c>
      <x:c r="N2964" s="11" t="n">
        <x:f>IF(G2964,L2964*AN2964/(1+M2964)^F2964,0)</x:f>
        <x:v>0.11444398221218413</x:v>
      </x:c>
      <x:c r="AJ2964" t="n">
        <x:v>0</x:v>
      </x:c>
      <x:c r="AK2964" t="n">
        <x:v>0</x:v>
      </x:c>
      <x:c r="AL2964" t="n">
        <x:v>0</x:v>
      </x:c>
      <x:c r="AM2964" t="n">
        <x:f>CHOOSE('假设'!$B$3,AJ2964,AK2964,AL2964)</x:f>
        <x:v>0</x:v>
      </x:c>
      <x:c r="AN2964" t="n">
        <x:v>1</x:v>
      </x:c>
    </x:row>
    <x:row r="2965" ht="23" customHeight="1">
      <x:c r="A2965" s="11" t="str">
        <x:v>688382.SH</x:v>
      </x:c>
      <x:c r="B2965" s="11" t="str">
        <x:v>一年</x:v>
      </x:c>
      <x:c r="C2965" s="11" t="str">
        <x:v>tyk_ps_cn</x:v>
      </x:c>
      <x:c r="D2965" s="11" t="str">
        <x:v>2030-12-31</x:v>
      </x:c>
      <x:c r="E2965" s="11" t="str">
        <x:v>CNY</x:v>
      </x:c>
      <x:c r="F2965" s="11" t="n">
        <x:v>3.2279260780287475</x:v>
      </x:c>
      <x:c r="G2965" s="26" t="b">
        <x:v>1</x:v>
      </x:c>
      <x:c r="H2965" s="16" t="n">
        <x:v>0</x:v>
      </x:c>
      <x:c r="I2965" s="16" t="n">
        <x:v>1.25</x:v>
      </x:c>
      <x:c r="J2965" s="16" t="n">
        <x:v>2.4</x:v>
      </x:c>
      <x:c r="K2965" s="11" t="n">
        <x:f>CHOOSE('假设'!$B$3,H2965,I2965,J2965)</x:f>
        <x:v>1.25</x:v>
      </x:c>
      <x:c r="L2965" s="11" t="n">
        <x:f>K2965*'管线假设'!E647*'管线假设'!F647*'管线假设'!G647*IF(E2965="USD",'管线假设'!I647,1)-AM2965</x:f>
        <x:v>0.22764</x:v>
      </x:c>
      <x:c r="M2965" s="11" t="n">
        <x:f>'管线假设'!H647</x:f>
        <x:v>0.135</x:v>
      </x:c>
      <x:c r="N2965" s="11" t="n">
        <x:f>IF(G2965,L2965*AN2965/(1+M2965)^F2965,0)</x:f>
        <x:v>0.15126066358350995</x:v>
      </x:c>
      <x:c r="AJ2965" t="n">
        <x:v>0</x:v>
      </x:c>
      <x:c r="AK2965" t="n">
        <x:v>0</x:v>
      </x:c>
      <x:c r="AL2965" t="n">
        <x:v>0</x:v>
      </x:c>
      <x:c r="AM2965" t="n">
        <x:f>CHOOSE('假设'!$B$3,AJ2965,AK2965,AL2965)</x:f>
        <x:v>0</x:v>
      </x:c>
      <x:c r="AN2965" t="n">
        <x:v>1</x:v>
      </x:c>
    </x:row>
    <x:row r="2966" ht="23" customHeight="1">
      <x:c r="A2966" s="11" t="str">
        <x:v>688382.SH</x:v>
      </x:c>
      <x:c r="B2966" s="11" t="str">
        <x:v>一年</x:v>
      </x:c>
      <x:c r="C2966" s="11" t="str">
        <x:v>tyk_ps_cn</x:v>
      </x:c>
      <x:c r="D2966" s="11" t="str">
        <x:v>2031-12-31</x:v>
      </x:c>
      <x:c r="E2966" s="11" t="str">
        <x:v>CNY</x:v>
      </x:c>
      <x:c r="F2966" s="11" t="n">
        <x:v>4.227241615331964</x:v>
      </x:c>
      <x:c r="G2966" s="26" t="b">
        <x:v>1</x:v>
      </x:c>
      <x:c r="H2966" s="16" t="n">
        <x:v>0.2</x:v>
      </x:c>
      <x:c r="I2966" s="16" t="n">
        <x:v>1.6666666666666665</x:v>
      </x:c>
      <x:c r="J2966" s="16" t="n">
        <x:v>3.2</x:v>
      </x:c>
      <x:c r="K2966" s="11" t="n">
        <x:f>CHOOSE('假设'!$B$3,H2966,I2966,J2966)</x:f>
        <x:v>1.6666666666666665</x:v>
      </x:c>
      <x:c r="L2966" s="11" t="n">
        <x:f>K2966*'管线假设'!E647*'管线假设'!F647*'管线假设'!G647*IF(E2966="USD",'管线假设'!I647,1)-AM2966</x:f>
        <x:v>0.30352</x:v>
      </x:c>
      <x:c r="M2966" s="11" t="n">
        <x:f>'管线假设'!H647</x:f>
        <x:v>0.135</x:v>
      </x:c>
      <x:c r="N2966" s="11" t="n">
        <x:f>IF(G2966,L2966*AN2966/(1+M2966)^F2966,0)</x:f>
        <x:v>0.1777078117110112</x:v>
      </x:c>
      <x:c r="AJ2966" t="n">
        <x:v>0</x:v>
      </x:c>
      <x:c r="AK2966" t="n">
        <x:v>0</x:v>
      </x:c>
      <x:c r="AL2966" t="n">
        <x:v>0</x:v>
      </x:c>
      <x:c r="AM2966" t="n">
        <x:f>CHOOSE('假设'!$B$3,AJ2966,AK2966,AL2966)</x:f>
        <x:v>0</x:v>
      </x:c>
      <x:c r="AN2966" t="n">
        <x:v>1</x:v>
      </x:c>
    </x:row>
    <x:row r="2967" ht="23" customHeight="1">
      <x:c r="A2967" s="11" t="str">
        <x:v>688382.SH</x:v>
      </x:c>
      <x:c r="B2967" s="11" t="str">
        <x:v>一年</x:v>
      </x:c>
      <x:c r="C2967" s="11" t="str">
        <x:v>tyk_ps_cn</x:v>
      </x:c>
      <x:c r="D2967" s="11" t="str">
        <x:v>2032-12-31</x:v>
      </x:c>
      <x:c r="E2967" s="11" t="str">
        <x:v>CNY</x:v>
      </x:c>
      <x:c r="F2967" s="11" t="n">
        <x:v>5.229295003422314</x:v>
      </x:c>
      <x:c r="G2967" s="26" t="b">
        <x:v>1</x:v>
      </x:c>
      <x:c r="H2967" s="16" t="n">
        <x:v>0.4</x:v>
      </x:c>
      <x:c r="I2967" s="16" t="n">
        <x:v>2.0833333333333335</x:v>
      </x:c>
      <x:c r="J2967" s="16" t="n">
        <x:v>4</x:v>
      </x:c>
      <x:c r="K2967" s="11" t="n">
        <x:f>CHOOSE('假设'!$B$3,H2967,I2967,J2967)</x:f>
        <x:v>2.0833333333333335</x:v>
      </x:c>
      <x:c r="L2967" s="11" t="n">
        <x:f>K2967*'管线假设'!E647*'管线假设'!F647*'管线假设'!G647*IF(E2967="USD",'管线假设'!I647,1)-AM2967</x:f>
        <x:v>0.3794</x:v>
      </x:c>
      <x:c r="M2967" s="11" t="n">
        <x:f>'管线假设'!H647</x:f>
        <x:v>0.135</x:v>
      </x:c>
      <x:c r="N2967" s="11" t="n">
        <x:f>IF(G2967,L2967*AN2967/(1+M2967)^F2967,0)</x:f>
        <x:v>0.1956625650559528</x:v>
      </x:c>
      <x:c r="AJ2967" t="n">
        <x:v>0</x:v>
      </x:c>
      <x:c r="AK2967" t="n">
        <x:v>0</x:v>
      </x:c>
      <x:c r="AL2967" t="n">
        <x:v>0</x:v>
      </x:c>
      <x:c r="AM2967" t="n">
        <x:f>CHOOSE('假设'!$B$3,AJ2967,AK2967,AL2967)</x:f>
        <x:v>0</x:v>
      </x:c>
      <x:c r="AN2967" t="n">
        <x:v>1</x:v>
      </x:c>
    </x:row>
    <x:row r="2968" ht="23" customHeight="1">
      <x:c r="A2968" s="11" t="str">
        <x:v>688382.SH</x:v>
      </x:c>
      <x:c r="B2968" s="11" t="str">
        <x:v>一年</x:v>
      </x:c>
      <x:c r="C2968" s="11" t="str">
        <x:v>tyk_ps_cn</x:v>
      </x:c>
      <x:c r="D2968" s="11" t="str">
        <x:v>2033-12-31</x:v>
      </x:c>
      <x:c r="E2968" s="11" t="str">
        <x:v>CNY</x:v>
      </x:c>
      <x:c r="F2968" s="11" t="n">
        <x:v>6.228610540725531</x:v>
      </x:c>
      <x:c r="G2968" s="26" t="b">
        <x:v>1</x:v>
      </x:c>
      <x:c r="H2968" s="16" t="n">
        <x:v>0.6</x:v>
      </x:c>
      <x:c r="I2968" s="16" t="n">
        <x:v>2.5</x:v>
      </x:c>
      <x:c r="J2968" s="16" t="n">
        <x:v>3.48</x:v>
      </x:c>
      <x:c r="K2968" s="11" t="n">
        <x:f>CHOOSE('假设'!$B$3,H2968,I2968,J2968)</x:f>
        <x:v>2.5</x:v>
      </x:c>
      <x:c r="L2968" s="11" t="n">
        <x:f>K2968*'管线假设'!E647*'管线假设'!F647*'管线假设'!G647*IF(E2968="USD",'管线假设'!I647,1)-AM2968</x:f>
        <x:v>0.45528</x:v>
      </x:c>
      <x:c r="M2968" s="11" t="n">
        <x:f>'管线假设'!H647</x:f>
        <x:v>0.135</x:v>
      </x:c>
      <x:c r="N2968" s="11" t="n">
        <x:f>IF(G2968,L2968*AN2968/(1+M2968)^F2968,0)</x:f>
        <x:v>0.2068858413119022</x:v>
      </x:c>
      <x:c r="AJ2968" t="n">
        <x:v>0</x:v>
      </x:c>
      <x:c r="AK2968" t="n">
        <x:v>0</x:v>
      </x:c>
      <x:c r="AL2968" t="n">
        <x:v>0</x:v>
      </x:c>
      <x:c r="AM2968" t="n">
        <x:f>CHOOSE('假设'!$B$3,AJ2968,AK2968,AL2968)</x:f>
        <x:v>0</x:v>
      </x:c>
      <x:c r="AN2968" t="n">
        <x:v>1</x:v>
      </x:c>
    </x:row>
    <x:row r="2969" ht="23" customHeight="1">
      <x:c r="A2969" s="11" t="str">
        <x:v>688382.SH</x:v>
      </x:c>
      <x:c r="B2969" s="11" t="str">
        <x:v>一年</x:v>
      </x:c>
      <x:c r="C2969" s="11" t="str">
        <x:v>tyk_ps_cn</x:v>
      </x:c>
      <x:c r="D2969" s="11" t="str">
        <x:v>2034-12-31</x:v>
      </x:c>
      <x:c r="E2969" s="11" t="str">
        <x:v>CNY</x:v>
      </x:c>
      <x:c r="F2969" s="11" t="n">
        <x:v>7.227926078028747</x:v>
      </x:c>
      <x:c r="G2969" s="26" t="b">
        <x:v>1</x:v>
      </x:c>
      <x:c r="H2969" s="16" t="n">
        <x:v>0.8</x:v>
      </x:c>
      <x:c r="I2969" s="16" t="n">
        <x:v>2.175</x:v>
      </x:c>
      <x:c r="J2969" s="16" t="n">
        <x:v>2.96</x:v>
      </x:c>
      <x:c r="K2969" s="11" t="n">
        <x:f>CHOOSE('假设'!$B$3,H2969,I2969,J2969)</x:f>
        <x:v>2.175</x:v>
      </x:c>
      <x:c r="L2969" s="11" t="n">
        <x:f>K2969*'管线假设'!E647*'管线假设'!F647*'管线假设'!G647*IF(E2969="USD",'管线假设'!I647,1)-AM2969</x:f>
        <x:v>0.3960936</x:v>
      </x:c>
      <x:c r="M2969" s="11" t="n">
        <x:f>'管线假设'!H647</x:f>
        <x:v>0.135</x:v>
      </x:c>
      <x:c r="N2969" s="11" t="n">
        <x:f>IF(G2969,L2969*AN2969/(1+M2969)^F2969,0)</x:f>
        <x:v>0.1585958443775025</x:v>
      </x:c>
      <x:c r="AJ2969" t="n">
        <x:v>0</x:v>
      </x:c>
      <x:c r="AK2969" t="n">
        <x:v>0</x:v>
      </x:c>
      <x:c r="AL2969" t="n">
        <x:v>0</x:v>
      </x:c>
      <x:c r="AM2969" t="n">
        <x:f>CHOOSE('假设'!$B$3,AJ2969,AK2969,AL2969)</x:f>
        <x:v>0</x:v>
      </x:c>
      <x:c r="AN2969" t="n">
        <x:v>1</x:v>
      </x:c>
    </x:row>
    <x:row r="2970" ht="23" customHeight="1">
      <x:c r="A2970" s="11" t="str">
        <x:v>688382.SH</x:v>
      </x:c>
      <x:c r="B2970" s="11" t="str">
        <x:v>一年</x:v>
      </x:c>
      <x:c r="C2970" s="11" t="str">
        <x:v>tyk_ps_cn</x:v>
      </x:c>
      <x:c r="D2970" s="11" t="str">
        <x:v>2035-12-31</x:v>
      </x:c>
      <x:c r="E2970" s="11" t="str">
        <x:v>CNY</x:v>
      </x:c>
      <x:c r="F2970" s="11" t="n">
        <x:v>8.227241615331964</x:v>
      </x:c>
      <x:c r="G2970" s="26" t="b">
        <x:v>1</x:v>
      </x:c>
      <x:c r="H2970" s="16" t="n">
        <x:v>1</x:v>
      </x:c>
      <x:c r="I2970" s="16" t="n">
        <x:v>1.85</x:v>
      </x:c>
      <x:c r="J2970" s="16" t="n">
        <x:v>2.44</x:v>
      </x:c>
      <x:c r="K2970" s="11" t="n">
        <x:f>CHOOSE('假设'!$B$3,H2970,I2970,J2970)</x:f>
        <x:v>1.85</x:v>
      </x:c>
      <x:c r="L2970" s="11" t="n">
        <x:f>K2970*'管线假设'!E647*'管线假设'!F647*'管线假设'!G647*IF(E2970="USD",'管线假设'!I647,1)-AM2970</x:f>
        <x:v>0.3369072000000001</x:v>
      </x:c>
      <x:c r="M2970" s="11" t="n">
        <x:f>'管线假设'!H647</x:f>
        <x:v>0.135</x:v>
      </x:c>
      <x:c r="N2970" s="11" t="n">
        <x:f>IF(G2970,L2970*AN2970/(1+M2970)^F2970,0)</x:f>
        <x:v>0.11886282604344516</x:v>
      </x:c>
      <x:c r="AJ2970" t="n">
        <x:v>0</x:v>
      </x:c>
      <x:c r="AK2970" t="n">
        <x:v>0</x:v>
      </x:c>
      <x:c r="AL2970" t="n">
        <x:v>0</x:v>
      </x:c>
      <x:c r="AM2970" t="n">
        <x:f>CHOOSE('假设'!$B$3,AJ2970,AK2970,AL2970)</x:f>
        <x:v>0</x:v>
      </x:c>
      <x:c r="AN2970" t="n">
        <x:v>1</x:v>
      </x:c>
    </x:row>
    <x:row r="2971" ht="23" customHeight="1">
      <x:c r="A2971" s="11" t="str">
        <x:v>688382.SH</x:v>
      </x:c>
      <x:c r="B2971" s="11" t="str">
        <x:v>一年</x:v>
      </x:c>
      <x:c r="C2971" s="11" t="str">
        <x:v>tyk_ps_cn</x:v>
      </x:c>
      <x:c r="D2971" s="11" t="str">
        <x:v>2036-12-31</x:v>
      </x:c>
      <x:c r="E2971" s="11" t="str">
        <x:v>CNY</x:v>
      </x:c>
      <x:c r="F2971" s="11" t="n">
        <x:v>9.229295003422314</x:v>
      </x:c>
      <x:c r="G2971" s="26" t="b">
        <x:v>1</x:v>
      </x:c>
      <x:c r="H2971" s="16" t="n">
        <x:v>0.87</x:v>
      </x:c>
      <x:c r="I2971" s="16" t="n">
        <x:v>1.525</x:v>
      </x:c>
      <x:c r="J2971" s="16" t="n">
        <x:v>1.92</x:v>
      </x:c>
      <x:c r="K2971" s="11" t="n">
        <x:f>CHOOSE('假设'!$B$3,H2971,I2971,J2971)</x:f>
        <x:v>1.525</x:v>
      </x:c>
      <x:c r="L2971" s="11" t="n">
        <x:f>K2971*'管线假设'!E647*'管线假设'!F647*'管线假设'!G647*IF(E2971="USD",'管线假设'!I647,1)-AM2971</x:f>
        <x:v>0.2777208</x:v>
      </x:c>
      <x:c r="M2971" s="11" t="n">
        <x:f>'管线假设'!H647</x:f>
        <x:v>0.135</x:v>
      </x:c>
      <x:c r="N2971" s="11" t="n">
        <x:f>IF(G2971,L2971*AN2971/(1+M2971)^F2971,0)</x:f>
        <x:v>0.08630488487887285</x:v>
      </x:c>
      <x:c r="AJ2971" t="n">
        <x:v>0</x:v>
      </x:c>
      <x:c r="AK2971" t="n">
        <x:v>0</x:v>
      </x:c>
      <x:c r="AL2971" t="n">
        <x:v>0</x:v>
      </x:c>
      <x:c r="AM2971" t="n">
        <x:f>CHOOSE('假设'!$B$3,AJ2971,AK2971,AL2971)</x:f>
        <x:v>0</x:v>
      </x:c>
      <x:c r="AN2971" t="n">
        <x:v>1</x:v>
      </x:c>
    </x:row>
    <x:row r="2972" ht="23" customHeight="1">
      <x:c r="A2972" s="11" t="str">
        <x:v>688382.SH</x:v>
      </x:c>
      <x:c r="B2972" s="11" t="str">
        <x:v>一年</x:v>
      </x:c>
      <x:c r="C2972" s="11" t="str">
        <x:v>tyk_ps_cn</x:v>
      </x:c>
      <x:c r="D2972" s="11" t="str">
        <x:v>2037-12-31</x:v>
      </x:c>
      <x:c r="E2972" s="11" t="str">
        <x:v>CNY</x:v>
      </x:c>
      <x:c r="F2972" s="11" t="n">
        <x:v>10.22861054072553</x:v>
      </x:c>
      <x:c r="G2972" s="26" t="b">
        <x:v>1</x:v>
      </x:c>
      <x:c r="H2972" s="16" t="n">
        <x:v>0.74</x:v>
      </x:c>
      <x:c r="I2972" s="16" t="n">
        <x:v>1.2</x:v>
      </x:c>
      <x:c r="J2972" s="16" t="n">
        <x:v>1.4</x:v>
      </x:c>
      <x:c r="K2972" s="11" t="n">
        <x:f>CHOOSE('假设'!$B$3,H2972,I2972,J2972)</x:f>
        <x:v>1.2</x:v>
      </x:c>
      <x:c r="L2972" s="11" t="n">
        <x:f>K2972*'管线假设'!E647*'管线假设'!F647*'管线假设'!G647*IF(E2972="USD",'管线假设'!I647,1)-AM2972</x:f>
        <x:v>0.21853440000000002</x:v>
      </x:c>
      <x:c r="M2972" s="11" t="n">
        <x:f>'管线假设'!H647</x:f>
        <x:v>0.135</x:v>
      </x:c>
      <x:c r="N2972" s="11" t="n">
        <x:f>IF(G2972,L2972*AN2972/(1+M2972)^F2972,0)</x:f>
        <x:v>0.05983958336014875</x:v>
      </x:c>
      <x:c r="AJ2972" t="n">
        <x:v>0</x:v>
      </x:c>
      <x:c r="AK2972" t="n">
        <x:v>0</x:v>
      </x:c>
      <x:c r="AL2972" t="n">
        <x:v>0</x:v>
      </x:c>
      <x:c r="AM2972" t="n">
        <x:f>CHOOSE('假设'!$B$3,AJ2972,AK2972,AL2972)</x:f>
        <x:v>0</x:v>
      </x:c>
      <x:c r="AN2972" t="n">
        <x:v>1</x:v>
      </x:c>
    </x:row>
    <x:row r="2973" ht="23" customHeight="1">
      <x:c r="A2973" s="11" t="str">
        <x:v>688382.SH</x:v>
      </x:c>
      <x:c r="B2973" s="11" t="str">
        <x:v>一年</x:v>
      </x:c>
      <x:c r="C2973" s="11" t="str">
        <x:v>tyk_ps_cn</x:v>
      </x:c>
      <x:c r="D2973" s="11" t="str">
        <x:v>2038-12-31</x:v>
      </x:c>
      <x:c r="E2973" s="11" t="str">
        <x:v>CNY</x:v>
      </x:c>
      <x:c r="F2973" s="11" t="n">
        <x:v>11.227926078028748</x:v>
      </x:c>
      <x:c r="G2973" s="26" t="b">
        <x:v>1</x:v>
      </x:c>
      <x:c r="H2973" s="16" t="n">
        <x:v>0.61</x:v>
      </x:c>
      <x:c r="I2973" s="16" t="n">
        <x:v>0.875</x:v>
      </x:c>
      <x:c r="J2973" s="16" t="n">
        <x:v>0.8799999999999999</x:v>
      </x:c>
      <x:c r="K2973" s="11" t="n">
        <x:f>CHOOSE('假设'!$B$3,H2973,I2973,J2973)</x:f>
        <x:v>0.875</x:v>
      </x:c>
      <x:c r="L2973" s="11" t="n">
        <x:f>K2973*'管线假设'!E647*'管线假设'!F647*'管线假设'!G647*IF(E2973="USD",'管线假设'!I647,1)-AM2973</x:f>
        <x:v>0.159348</x:v>
      </x:c>
      <x:c r="M2973" s="11" t="n">
        <x:f>'管线假设'!H647</x:f>
        <x:v>0.135</x:v>
      </x:c>
      <x:c r="N2973" s="11" t="n">
        <x:f>IF(G2973,L2973*AN2973/(1+M2973)^F2973,0)</x:f>
        <x:v>0.038446530047924386</x:v>
      </x:c>
      <x:c r="AJ2973" t="n">
        <x:v>0</x:v>
      </x:c>
      <x:c r="AK2973" t="n">
        <x:v>0</x:v>
      </x:c>
      <x:c r="AL2973" t="n">
        <x:v>0</x:v>
      </x:c>
      <x:c r="AM2973" t="n">
        <x:f>CHOOSE('假设'!$B$3,AJ2973,AK2973,AL2973)</x:f>
        <x:v>0</x:v>
      </x:c>
      <x:c r="AN2973" t="n">
        <x:v>1</x:v>
      </x:c>
    </x:row>
    <x:row r="2974" ht="23" customHeight="1">
      <x:c r="A2974" s="11" t="str">
        <x:v>688382.SH</x:v>
      </x:c>
      <x:c r="B2974" s="11" t="str">
        <x:v>一年</x:v>
      </x:c>
      <x:c r="C2974" s="11" t="str">
        <x:v>tyk_ps_cn</x:v>
      </x:c>
      <x:c r="D2974" s="11" t="str">
        <x:v>2039-12-31</x:v>
      </x:c>
      <x:c r="E2974" s="11" t="str">
        <x:v>CNY</x:v>
      </x:c>
      <x:c r="F2974" s="11" t="n">
        <x:v>12.227241615331964</x:v>
      </x:c>
      <x:c r="G2974" s="26" t="b">
        <x:v>1</x:v>
      </x:c>
      <x:c r="H2974" s="16" t="n">
        <x:v>0.48</x:v>
      </x:c>
      <x:c r="I2974" s="16" t="n">
        <x:v>0.5499999999999999</x:v>
      </x:c>
      <x:c r="J2974" s="16" t="n">
        <x:v>0.3599999999999999</x:v>
      </x:c>
      <x:c r="K2974" s="11" t="n">
        <x:f>CHOOSE('假设'!$B$3,H2974,I2974,J2974)</x:f>
        <x:v>0.5499999999999999</x:v>
      </x:c>
      <x:c r="L2974" s="11" t="n">
        <x:f>K2974*'管线假设'!E647*'管线假设'!F647*'管线假设'!G647*IF(E2974="USD",'管线假设'!I647,1)-AM2974</x:f>
        <x:v>0.10016159999999999</x:v>
      </x:c>
      <x:c r="M2974" s="11" t="n">
        <x:f>'管线假设'!H647</x:f>
        <x:v>0.135</x:v>
      </x:c>
      <x:c r="N2974" s="11" t="n">
        <x:f>IF(G2974,L2974*AN2974/(1+M2974)^F2974,0)</x:f>
        <x:v>0.021293819415304144</x:v>
      </x:c>
      <x:c r="AJ2974" t="n">
        <x:v>0</x:v>
      </x:c>
      <x:c r="AK2974" t="n">
        <x:v>0</x:v>
      </x:c>
      <x:c r="AL2974" t="n">
        <x:v>0</x:v>
      </x:c>
      <x:c r="AM2974" t="n">
        <x:f>CHOOSE('假设'!$B$3,AJ2974,AK2974,AL2974)</x:f>
        <x:v>0</x:v>
      </x:c>
      <x:c r="AN2974" t="n">
        <x:v>1</x:v>
      </x:c>
    </x:row>
    <x:row r="2975" ht="23" customHeight="1">
      <x:c r="A2975" s="11" t="str">
        <x:v>688382.SH</x:v>
      </x:c>
      <x:c r="B2975" s="11" t="str">
        <x:v>一年</x:v>
      </x:c>
      <x:c r="C2975" s="11" t="str">
        <x:v>tyk_ps_cn</x:v>
      </x:c>
      <x:c r="D2975" s="11" t="str">
        <x:v>2040-12-31</x:v>
      </x:c>
      <x:c r="E2975" s="11" t="str">
        <x:v>CNY</x:v>
      </x:c>
      <x:c r="F2975" s="11" t="n">
        <x:v>13.229295003422314</x:v>
      </x:c>
      <x:c r="G2975" s="26" t="b">
        <x:v>1</x:v>
      </x:c>
      <x:c r="H2975" s="16" t="n">
        <x:v>0.35</x:v>
      </x:c>
      <x:c r="I2975" s="16" t="n">
        <x:v>0.22499999999999992</x:v>
      </x:c>
      <x:c r="J2975" s="16" t="n">
        <x:v>0</x:v>
      </x:c>
      <x:c r="K2975" s="11" t="n">
        <x:f>CHOOSE('假设'!$B$3,H2975,I2975,J2975)</x:f>
        <x:v>0.22499999999999992</x:v>
      </x:c>
      <x:c r="L2975" s="11" t="n">
        <x:f>K2975*'管线假设'!E647*'管线假设'!F647*'管线假设'!G647*IF(E2975="USD",'管线假设'!I647,1)-AM2975</x:f>
        <x:v>0.04097519999999999</x:v>
      </x:c>
      <x:c r="M2975" s="11" t="n">
        <x:f>'管线假设'!H647</x:f>
        <x:v>0.135</x:v>
      </x:c>
      <x:c r="N2975" s="11" t="n">
        <x:f>IF(G2975,L2975*AN2975/(1+M2975)^F2975,0)</x:f>
        <x:v>0.007672989535451319</x:v>
      </x:c>
      <x:c r="AJ2975" t="n">
        <x:v>0</x:v>
      </x:c>
      <x:c r="AK2975" t="n">
        <x:v>0</x:v>
      </x:c>
      <x:c r="AL2975" t="n">
        <x:v>0</x:v>
      </x:c>
      <x:c r="AM2975" t="n">
        <x:f>CHOOSE('假设'!$B$3,AJ2975,AK2975,AL2975)</x:f>
        <x:v>0</x:v>
      </x:c>
      <x:c r="AN2975" t="n">
        <x:v>1</x:v>
      </x:c>
    </x:row>
    <x:row r="2976" ht="23" customHeight="1">
      <x:c r="A2976" s="11" t="str">
        <x:v>688382.SH</x:v>
      </x:c>
      <x:c r="B2976" s="11" t="str">
        <x:v>一年</x:v>
      </x:c>
      <x:c r="C2976" s="11" t="str">
        <x:v>tyk_ps_cn</x:v>
      </x:c>
      <x:c r="D2976" s="11" t="str">
        <x:v>2041-12-31</x:v>
      </x:c>
      <x:c r="E2976" s="11" t="str">
        <x:v>CNY</x:v>
      </x:c>
      <x:c r="F2976" s="11" t="n">
        <x:v>14.22861054072553</x:v>
      </x:c>
      <x:c r="G2976" s="26" t="b">
        <x:v>1</x:v>
      </x:c>
      <x:c r="H2976" s="16" t="n">
        <x:v>0.21999999999999997</x:v>
      </x:c>
      <x:c r="I2976" s="16" t="n">
        <x:v>0</x:v>
      </x:c>
      <x:c r="J2976" s="16" t="n">
        <x:v>0</x:v>
      </x:c>
      <x:c r="K2976" s="11" t="n">
        <x:f>CHOOSE('假设'!$B$3,H2976,I2976,J2976)</x:f>
        <x:v>0</x:v>
      </x:c>
      <x:c r="L2976" s="11" t="n">
        <x:f>K2976*'管线假设'!E647*'管线假设'!F647*'管线假设'!G647*IF(E2976="USD",'管线假设'!I647,1)-AM2976</x:f>
        <x:v>0</x:v>
      </x:c>
      <x:c r="M2976" s="11" t="n">
        <x:f>'管线假设'!H647</x:f>
        <x:v>0.135</x:v>
      </x:c>
      <x:c r="N2976" s="11" t="n">
        <x:f>IF(G2976,L2976*AN2976/(1+M2976)^F2976,0)</x:f>
        <x:v>0</x:v>
      </x:c>
      <x:c r="AJ2976" t="n">
        <x:v>0</x:v>
      </x:c>
      <x:c r="AK2976" t="n">
        <x:v>0</x:v>
      </x:c>
      <x:c r="AL2976" t="n">
        <x:v>0</x:v>
      </x:c>
      <x:c r="AM2976" t="n">
        <x:f>CHOOSE('假设'!$B$3,AJ2976,AK2976,AL2976)</x:f>
        <x:v>0</x:v>
      </x:c>
      <x:c r="AN2976" t="n">
        <x:v>1</x:v>
      </x:c>
    </x:row>
    <x:row r="2977" ht="23" customHeight="1">
      <x:c r="A2977" s="11" t="str">
        <x:v>688382.SH</x:v>
      </x:c>
      <x:c r="B2977" s="11" t="str">
        <x:v>一年</x:v>
      </x:c>
      <x:c r="C2977" s="11" t="str">
        <x:v>tyk_ps_cn</x:v>
      </x:c>
      <x:c r="D2977" s="11" t="str">
        <x:v>2042-12-31</x:v>
      </x:c>
      <x:c r="E2977" s="11" t="str">
        <x:v>CNY</x:v>
      </x:c>
      <x:c r="F2977" s="11" t="n">
        <x:v>15.227926078028748</x:v>
      </x:c>
      <x:c r="G2977" s="26" t="b">
        <x:v>1</x:v>
      </x:c>
      <x:c r="H2977" s="16" t="n">
        <x:v>0.08999999999999997</x:v>
      </x:c>
      <x:c r="I2977" s="16" t="n">
        <x:v>0</x:v>
      </x:c>
      <x:c r="J2977" s="16" t="n">
        <x:v>0</x:v>
      </x:c>
      <x:c r="K2977" s="11" t="n">
        <x:f>CHOOSE('假设'!$B$3,H2977,I2977,J2977)</x:f>
        <x:v>0</x:v>
      </x:c>
      <x:c r="L2977" s="11" t="n">
        <x:f>K2977*'管线假设'!E647*'管线假设'!F647*'管线假设'!G647*IF(E2977="USD",'管线假设'!I647,1)-AM2977</x:f>
        <x:v>0</x:v>
      </x:c>
      <x:c r="M2977" s="11" t="n">
        <x:f>'管线假设'!H647</x:f>
        <x:v>0.135</x:v>
      </x:c>
      <x:c r="N2977" s="11" t="n">
        <x:f>IF(G2977,L2977*AN2977/(1+M2977)^F2977,0)</x:f>
        <x:v>0</x:v>
      </x:c>
      <x:c r="AJ2977" t="n">
        <x:v>0</x:v>
      </x:c>
      <x:c r="AK2977" t="n">
        <x:v>0</x:v>
      </x:c>
      <x:c r="AL2977" t="n">
        <x:v>0</x:v>
      </x:c>
      <x:c r="AM2977" t="n">
        <x:f>CHOOSE('假设'!$B$3,AJ2977,AK2977,AL2977)</x:f>
        <x:v>0</x:v>
      </x:c>
      <x:c r="AN2977" t="n">
        <x:v>1</x:v>
      </x:c>
    </x:row>
    <x:row r="2978" ht="23" customHeight="1">
      <x:c r="A2978" s="11" t="str">
        <x:v>688382.SH</x:v>
      </x:c>
      <x:c r="B2978" s="11" t="str">
        <x:v>一年</x:v>
      </x:c>
      <x:c r="C2978" s="11" t="str">
        <x:v>tyk_ps_cn</x:v>
      </x:c>
      <x:c r="D2978" s="11" t="str">
        <x:v>2043-12-31</x:v>
      </x:c>
      <x:c r="E2978" s="11" t="str">
        <x:v>CNY</x:v>
      </x:c>
      <x:c r="F2978" s="11" t="n">
        <x:v>16.227241615331966</x:v>
      </x:c>
      <x:c r="G2978" s="26" t="b">
        <x:v>1</x:v>
      </x:c>
      <x:c r="H2978" s="16" t="n">
        <x:v>0</x:v>
      </x:c>
      <x:c r="I2978" s="16" t="n">
        <x:v>0</x:v>
      </x:c>
      <x:c r="J2978" s="16" t="n">
        <x:v>0</x:v>
      </x:c>
      <x:c r="K2978" s="11" t="n">
        <x:f>CHOOSE('假设'!$B$3,H2978,I2978,J2978)</x:f>
        <x:v>0</x:v>
      </x:c>
      <x:c r="L2978" s="11" t="n">
        <x:f>K2978*'管线假设'!E647*'管线假设'!F647*'管线假设'!G647*IF(E2978="USD",'管线假设'!I647,1)-AM2978</x:f>
        <x:v>0</x:v>
      </x:c>
      <x:c r="M2978" s="11" t="n">
        <x:f>'管线假设'!H647</x:f>
        <x:v>0.135</x:v>
      </x:c>
      <x:c r="N2978" s="11" t="n">
        <x:f>IF(G2978,L2978*AN2978/(1+M2978)^F2978,0)</x:f>
        <x:v>0</x:v>
      </x:c>
      <x:c r="AJ2978" t="n">
        <x:v>0</x:v>
      </x:c>
      <x:c r="AK2978" t="n">
        <x:v>0</x:v>
      </x:c>
      <x:c r="AL2978" t="n">
        <x:v>0</x:v>
      </x:c>
      <x:c r="AM2978" t="n">
        <x:f>CHOOSE('假设'!$B$3,AJ2978,AK2978,AL2978)</x:f>
        <x:v>0</x:v>
      </x:c>
      <x:c r="AN2978" t="n">
        <x:v>1</x:v>
      </x:c>
    </x:row>
    <x:row r="2979" ht="23" customHeight="1">
      <x:c r="A2979" s="11" t="str">
        <x:v>688382.SH</x:v>
      </x:c>
      <x:c r="B2979" s="11" t="str">
        <x:v>一年</x:v>
      </x:c>
      <x:c r="C2979" s="11" t="str">
        <x:v>tyk_ps_cn</x:v>
      </x:c>
      <x:c r="D2979" s="11" t="str">
        <x:v>2044-12-31</x:v>
      </x:c>
      <x:c r="E2979" s="11" t="str">
        <x:v>CNY</x:v>
      </x:c>
      <x:c r="F2979" s="11" t="n">
        <x:v>17.229295003422312</x:v>
      </x:c>
      <x:c r="G2979" s="26" t="b">
        <x:v>1</x:v>
      </x:c>
      <x:c r="H2979" s="16" t="n">
        <x:v>0</x:v>
      </x:c>
      <x:c r="I2979" s="16" t="n">
        <x:v>0</x:v>
      </x:c>
      <x:c r="J2979" s="16" t="n">
        <x:v>0</x:v>
      </x:c>
      <x:c r="K2979" s="11" t="n">
        <x:f>CHOOSE('假设'!$B$3,H2979,I2979,J2979)</x:f>
        <x:v>0</x:v>
      </x:c>
      <x:c r="L2979" s="11" t="n">
        <x:f>K2979*'管线假设'!E647*'管线假设'!F647*'管线假设'!G647*IF(E2979="USD",'管线假设'!I647,1)-AM2979</x:f>
        <x:v>0</x:v>
      </x:c>
      <x:c r="M2979" s="11" t="n">
        <x:f>'管线假设'!H647</x:f>
        <x:v>0.135</x:v>
      </x:c>
      <x:c r="N2979" s="11" t="n">
        <x:f>IF(G2979,L2979*AN2979/(1+M2979)^F2979,0)</x:f>
        <x:v>0</x:v>
      </x:c>
      <x:c r="AJ2979" t="n">
        <x:v>0</x:v>
      </x:c>
      <x:c r="AK2979" t="n">
        <x:v>0</x:v>
      </x:c>
      <x:c r="AL2979" t="n">
        <x:v>0</x:v>
      </x:c>
      <x:c r="AM2979" t="n">
        <x:f>CHOOSE('假设'!$B$3,AJ2979,AK2979,AL2979)</x:f>
        <x:v>0</x:v>
      </x:c>
      <x:c r="AN2979" t="n">
        <x:v>1</x:v>
      </x:c>
    </x:row>
    <x:row r="2980" ht="23" customHeight="1">
      <x:c r="A2980" s="11" t="str">
        <x:v>688382.SH</x:v>
      </x:c>
      <x:c r="B2980" s="11" t="str">
        <x:v>一年</x:v>
      </x:c>
      <x:c r="C2980" s="11" t="str">
        <x:v>tyk_ps_cn</x:v>
      </x:c>
      <x:c r="D2980" s="11" t="str">
        <x:v>2045-12-31</x:v>
      </x:c>
      <x:c r="E2980" s="11" t="str">
        <x:v>CNY</x:v>
      </x:c>
      <x:c r="F2980" s="11" t="n">
        <x:v>18.22861054072553</x:v>
      </x:c>
      <x:c r="G2980" s="26" t="b">
        <x:v>1</x:v>
      </x:c>
      <x:c r="H2980" s="16" t="n">
        <x:v>0</x:v>
      </x:c>
      <x:c r="I2980" s="16" t="n">
        <x:v>0</x:v>
      </x:c>
      <x:c r="J2980" s="16" t="n">
        <x:v>0</x:v>
      </x:c>
      <x:c r="K2980" s="11" t="n">
        <x:f>CHOOSE('假设'!$B$3,H2980,I2980,J2980)</x:f>
        <x:v>0</x:v>
      </x:c>
      <x:c r="L2980" s="11" t="n">
        <x:f>K2980*'管线假设'!E647*'管线假设'!F647*'管线假设'!G647*IF(E2980="USD",'管线假设'!I647,1)-AM2980</x:f>
        <x:v>0</x:v>
      </x:c>
      <x:c r="M2980" s="11" t="n">
        <x:f>'管线假设'!H647</x:f>
        <x:v>0.135</x:v>
      </x:c>
      <x:c r="N2980" s="11" t="n">
        <x:f>IF(G2980,L2980*AN2980/(1+M2980)^F2980,0)</x:f>
        <x:v>0</x:v>
      </x:c>
      <x:c r="AJ2980" t="n">
        <x:v>0</x:v>
      </x:c>
      <x:c r="AK2980" t="n">
        <x:v>0</x:v>
      </x:c>
      <x:c r="AL2980" t="n">
        <x:v>0</x:v>
      </x:c>
      <x:c r="AM2980" t="n">
        <x:f>CHOOSE('假设'!$B$3,AJ2980,AK2980,AL2980)</x:f>
        <x:v>0</x:v>
      </x:c>
      <x:c r="AN2980" t="n">
        <x:v>1</x:v>
      </x:c>
    </x:row>
    <x:row r="2981" ht="23" customHeight="1">
      <x:c r="A2981" s="11" t="str">
        <x:v>688382.SH</x:v>
      </x:c>
      <x:c r="B2981" s="11" t="str">
        <x:v>一年</x:v>
      </x:c>
      <x:c r="C2981" s="11" t="str">
        <x:v>tyk_uc_cn</x:v>
      </x:c>
      <x:c r="D2981" s="11" t="str">
        <x:v>2027-12-31</x:v>
      </x:c>
      <x:c r="E2981" s="11" t="str">
        <x:v>CNY</x:v>
      </x:c>
      <x:c r="F2981" s="11" t="n">
        <x:v>0.2272416153319644</x:v>
      </x:c>
      <x:c r="G2981" s="26" t="b">
        <x:v>1</x:v>
      </x:c>
      <x:c r="H2981" s="16" t="n">
        <x:v>0</x:v>
      </x:c>
      <x:c r="I2981" s="16" t="n">
        <x:v>0</x:v>
      </x:c>
      <x:c r="J2981" s="16" t="n">
        <x:v>0</x:v>
      </x:c>
      <x:c r="K2981" s="11" t="n">
        <x:f>CHOOSE('假设'!$B$3,H2981,I2981,J2981)</x:f>
        <x:v>0</x:v>
      </x:c>
      <x:c r="L2981" s="11" t="n">
        <x:f>K2981*'管线假设'!E651*'管线假设'!F651*'管线假设'!G651*IF(E2981="USD",'管线假设'!I651,1)-AM2981</x:f>
        <x:v>0</x:v>
      </x:c>
      <x:c r="M2981" s="11" t="n">
        <x:f>'管线假设'!H651</x:f>
        <x:v>0.135</x:v>
      </x:c>
      <x:c r="N2981" s="11" t="n">
        <x:f>IF(G2981,L2981*AN2981/(1+M2981)^F2981,0)</x:f>
        <x:v>0</x:v>
      </x:c>
      <x:c r="AJ2981" t="n">
        <x:v>0</x:v>
      </x:c>
      <x:c r="AK2981" t="n">
        <x:v>0</x:v>
      </x:c>
      <x:c r="AL2981" t="n">
        <x:v>0</x:v>
      </x:c>
      <x:c r="AM2981" t="n">
        <x:f>CHOOSE('假设'!$B$3,AJ2981,AK2981,AL2981)</x:f>
        <x:v>0</x:v>
      </x:c>
      <x:c r="AN2981" t="n">
        <x:v>1</x:v>
      </x:c>
    </x:row>
    <x:row r="2982" ht="23" customHeight="1">
      <x:c r="A2982" s="11" t="str">
        <x:v>688382.SH</x:v>
      </x:c>
      <x:c r="B2982" s="11" t="str">
        <x:v>一年</x:v>
      </x:c>
      <x:c r="C2982" s="11" t="str">
        <x:v>tyk_uc_cn</x:v>
      </x:c>
      <x:c r="D2982" s="11" t="str">
        <x:v>2028-12-31</x:v>
      </x:c>
      <x:c r="E2982" s="11" t="str">
        <x:v>CNY</x:v>
      </x:c>
      <x:c r="F2982" s="11" t="n">
        <x:v>1.2292950034223136</x:v>
      </x:c>
      <x:c r="G2982" s="26" t="b">
        <x:v>1</x:v>
      </x:c>
      <x:c r="H2982" s="16" t="n">
        <x:v>0</x:v>
      </x:c>
      <x:c r="I2982" s="16" t="n">
        <x:v>0</x:v>
      </x:c>
      <x:c r="J2982" s="16" t="n">
        <x:v>0</x:v>
      </x:c>
      <x:c r="K2982" s="11" t="n">
        <x:f>CHOOSE('假设'!$B$3,H2982,I2982,J2982)</x:f>
        <x:v>0</x:v>
      </x:c>
      <x:c r="L2982" s="11" t="n">
        <x:f>K2982*'管线假设'!E651*'管线假设'!F651*'管线假设'!G651*IF(E2982="USD",'管线假设'!I651,1)-AM2982</x:f>
        <x:v>0</x:v>
      </x:c>
      <x:c r="M2982" s="11" t="n">
        <x:f>'管线假设'!H651</x:f>
        <x:v>0.135</x:v>
      </x:c>
      <x:c r="N2982" s="11" t="n">
        <x:f>IF(G2982,L2982*AN2982/(1+M2982)^F2982,0)</x:f>
        <x:v>0</x:v>
      </x:c>
      <x:c r="AJ2982" t="n">
        <x:v>0</x:v>
      </x:c>
      <x:c r="AK2982" t="n">
        <x:v>0</x:v>
      </x:c>
      <x:c r="AL2982" t="n">
        <x:v>0</x:v>
      </x:c>
      <x:c r="AM2982" t="n">
        <x:f>CHOOSE('假设'!$B$3,AJ2982,AK2982,AL2982)</x:f>
        <x:v>0</x:v>
      </x:c>
      <x:c r="AN2982" t="n">
        <x:v>1</x:v>
      </x:c>
    </x:row>
    <x:row r="2983" ht="23" customHeight="1">
      <x:c r="A2983" s="11" t="str">
        <x:v>688382.SH</x:v>
      </x:c>
      <x:c r="B2983" s="11" t="str">
        <x:v>一年</x:v>
      </x:c>
      <x:c r="C2983" s="11" t="str">
        <x:v>tyk_uc_cn</x:v>
      </x:c>
      <x:c r="D2983" s="11" t="str">
        <x:v>2029-12-31</x:v>
      </x:c>
      <x:c r="E2983" s="11" t="str">
        <x:v>CNY</x:v>
      </x:c>
      <x:c r="F2983" s="11" t="n">
        <x:v>2.2286105407255303</x:v>
      </x:c>
      <x:c r="G2983" s="26" t="b">
        <x:v>1</x:v>
      </x:c>
      <x:c r="H2983" s="16" t="n">
        <x:v>0</x:v>
      </x:c>
      <x:c r="I2983" s="16" t="n">
        <x:v>0</x:v>
      </x:c>
      <x:c r="J2983" s="16" t="n">
        <x:v>0.5</x:v>
      </x:c>
      <x:c r="K2983" s="11" t="n">
        <x:f>CHOOSE('假设'!$B$3,H2983,I2983,J2983)</x:f>
        <x:v>0</x:v>
      </x:c>
      <x:c r="L2983" s="11" t="n">
        <x:f>K2983*'管线假设'!E651*'管线假设'!F651*'管线假设'!G651*IF(E2983="USD",'管线假设'!I651,1)-AM2983</x:f>
        <x:v>0</x:v>
      </x:c>
      <x:c r="M2983" s="11" t="n">
        <x:f>'管线假设'!H651</x:f>
        <x:v>0.135</x:v>
      </x:c>
      <x:c r="N2983" s="11" t="n">
        <x:f>IF(G2983,L2983*AN2983/(1+M2983)^F2983,0)</x:f>
        <x:v>0</x:v>
      </x:c>
      <x:c r="AJ2983" t="n">
        <x:v>0</x:v>
      </x:c>
      <x:c r="AK2983" t="n">
        <x:v>0</x:v>
      </x:c>
      <x:c r="AL2983" t="n">
        <x:v>0</x:v>
      </x:c>
      <x:c r="AM2983" t="n">
        <x:f>CHOOSE('假设'!$B$3,AJ2983,AK2983,AL2983)</x:f>
        <x:v>0</x:v>
      </x:c>
      <x:c r="AN2983" t="n">
        <x:v>1</x:v>
      </x:c>
    </x:row>
    <x:row r="2984" ht="23" customHeight="1">
      <x:c r="A2984" s="11" t="str">
        <x:v>688382.SH</x:v>
      </x:c>
      <x:c r="B2984" s="11" t="str">
        <x:v>一年</x:v>
      </x:c>
      <x:c r="C2984" s="11" t="str">
        <x:v>tyk_uc_cn</x:v>
      </x:c>
      <x:c r="D2984" s="11" t="str">
        <x:v>2030-12-31</x:v>
      </x:c>
      <x:c r="E2984" s="11" t="str">
        <x:v>CNY</x:v>
      </x:c>
      <x:c r="F2984" s="11" t="n">
        <x:v>3.2279260780287475</x:v>
      </x:c>
      <x:c r="G2984" s="26" t="b">
        <x:v>1</x:v>
      </x:c>
      <x:c r="H2984" s="16" t="n">
        <x:v>0</x:v>
      </x:c>
      <x:c r="I2984" s="16" t="n">
        <x:v>0</x:v>
      </x:c>
      <x:c r="J2984" s="16" t="n">
        <x:v>1</x:v>
      </x:c>
      <x:c r="K2984" s="11" t="n">
        <x:f>CHOOSE('假设'!$B$3,H2984,I2984,J2984)</x:f>
        <x:v>0</x:v>
      </x:c>
      <x:c r="L2984" s="11" t="n">
        <x:f>K2984*'管线假设'!E651*'管线假设'!F651*'管线假设'!G651*IF(E2984="USD",'管线假设'!I651,1)-AM2984</x:f>
        <x:v>0</x:v>
      </x:c>
      <x:c r="M2984" s="11" t="n">
        <x:f>'管线假设'!H651</x:f>
        <x:v>0.135</x:v>
      </x:c>
      <x:c r="N2984" s="11" t="n">
        <x:f>IF(G2984,L2984*AN2984/(1+M2984)^F2984,0)</x:f>
        <x:v>0</x:v>
      </x:c>
      <x:c r="AJ2984" t="n">
        <x:v>0</x:v>
      </x:c>
      <x:c r="AK2984" t="n">
        <x:v>0</x:v>
      </x:c>
      <x:c r="AL2984" t="n">
        <x:v>0</x:v>
      </x:c>
      <x:c r="AM2984" t="n">
        <x:f>CHOOSE('假设'!$B$3,AJ2984,AK2984,AL2984)</x:f>
        <x:v>0</x:v>
      </x:c>
      <x:c r="AN2984" t="n">
        <x:v>1</x:v>
      </x:c>
    </x:row>
    <x:row r="2985" ht="23" customHeight="1">
      <x:c r="A2985" s="11" t="str">
        <x:v>688382.SH</x:v>
      </x:c>
      <x:c r="B2985" s="11" t="str">
        <x:v>一年</x:v>
      </x:c>
      <x:c r="C2985" s="11" t="str">
        <x:v>tyk_uc_cn</x:v>
      </x:c>
      <x:c r="D2985" s="11" t="str">
        <x:v>2031-12-31</x:v>
      </x:c>
      <x:c r="E2985" s="11" t="str">
        <x:v>CNY</x:v>
      </x:c>
      <x:c r="F2985" s="11" t="n">
        <x:v>4.227241615331964</x:v>
      </x:c>
      <x:c r="G2985" s="26" t="b">
        <x:v>1</x:v>
      </x:c>
      <x:c r="H2985" s="16" t="n">
        <x:v>0</x:v>
      </x:c>
      <x:c r="I2985" s="16" t="n">
        <x:v>0.2833333333333333</x:v>
      </x:c>
      <x:c r="J2985" s="16" t="n">
        <x:v>1.5</x:v>
      </x:c>
      <x:c r="K2985" s="11" t="n">
        <x:f>CHOOSE('假设'!$B$3,H2985,I2985,J2985)</x:f>
        <x:v>0.2833333333333333</x:v>
      </x:c>
      <x:c r="L2985" s="11" t="n">
        <x:f>K2985*'管线假设'!E651*'管线假设'!F651*'管线假设'!G651*IF(E2985="USD",'管线假设'!I651,1)-AM2985</x:f>
        <x:v>0.02678293333333334</x:v>
      </x:c>
      <x:c r="M2985" s="11" t="n">
        <x:f>'管线假设'!H651</x:f>
        <x:v>0.135</x:v>
      </x:c>
      <x:c r="N2985" s="11" t="n">
        <x:f>IF(G2985,L2985*AN2985/(1+M2985)^F2985,0)</x:f>
        <x:v>0.015681129658238556</x:v>
      </x:c>
      <x:c r="AJ2985" t="n">
        <x:v>0</x:v>
      </x:c>
      <x:c r="AK2985" t="n">
        <x:v>0</x:v>
      </x:c>
      <x:c r="AL2985" t="n">
        <x:v>0</x:v>
      </x:c>
      <x:c r="AM2985" t="n">
        <x:f>CHOOSE('假设'!$B$3,AJ2985,AK2985,AL2985)</x:f>
        <x:v>0</x:v>
      </x:c>
      <x:c r="AN2985" t="n">
        <x:v>1</x:v>
      </x:c>
    </x:row>
    <x:row r="2986" ht="23" customHeight="1">
      <x:c r="A2986" s="11" t="str">
        <x:v>688382.SH</x:v>
      </x:c>
      <x:c r="B2986" s="11" t="str">
        <x:v>一年</x:v>
      </x:c>
      <x:c r="C2986" s="11" t="str">
        <x:v>tyk_uc_cn</x:v>
      </x:c>
      <x:c r="D2986" s="11" t="str">
        <x:v>2032-12-31</x:v>
      </x:c>
      <x:c r="E2986" s="11" t="str">
        <x:v>CNY</x:v>
      </x:c>
      <x:c r="F2986" s="11" t="n">
        <x:v>5.229295003422314</x:v>
      </x:c>
      <x:c r="G2986" s="26" t="b">
        <x:v>1</x:v>
      </x:c>
      <x:c r="H2986" s="16" t="n">
        <x:v>0</x:v>
      </x:c>
      <x:c r="I2986" s="16" t="n">
        <x:v>0.5666666666666667</x:v>
      </x:c>
      <x:c r="J2986" s="16" t="n">
        <x:v>2</x:v>
      </x:c>
      <x:c r="K2986" s="11" t="n">
        <x:f>CHOOSE('假设'!$B$3,H2986,I2986,J2986)</x:f>
        <x:v>0.5666666666666667</x:v>
      </x:c>
      <x:c r="L2986" s="11" t="n">
        <x:f>K2986*'管线假设'!E651*'管线假设'!F651*'管线假设'!G651*IF(E2986="USD",'管线假设'!I651,1)-AM2986</x:f>
        <x:v>0.05356586666666668</x:v>
      </x:c>
      <x:c r="M2986" s="11" t="n">
        <x:f>'管线假设'!H651</x:f>
        <x:v>0.135</x:v>
      </x:c>
      <x:c r="N2986" s="11" t="n">
        <x:f>IF(G2986,L2986*AN2986/(1+M2986)^F2986,0)</x:f>
        <x:v>0.027624762444504906</x:v>
      </x:c>
      <x:c r="AJ2986" t="n">
        <x:v>0</x:v>
      </x:c>
      <x:c r="AK2986" t="n">
        <x:v>0</x:v>
      </x:c>
      <x:c r="AL2986" t="n">
        <x:v>0</x:v>
      </x:c>
      <x:c r="AM2986" t="n">
        <x:f>CHOOSE('假设'!$B$3,AJ2986,AK2986,AL2986)</x:f>
        <x:v>0</x:v>
      </x:c>
      <x:c r="AN2986" t="n">
        <x:v>1</x:v>
      </x:c>
    </x:row>
    <x:row r="2987" ht="23" customHeight="1">
      <x:c r="A2987" s="11" t="str">
        <x:v>688382.SH</x:v>
      </x:c>
      <x:c r="B2987" s="11" t="str">
        <x:v>一年</x:v>
      </x:c>
      <x:c r="C2987" s="11" t="str">
        <x:v>tyk_uc_cn</x:v>
      </x:c>
      <x:c r="D2987" s="11" t="str">
        <x:v>2033-12-31</x:v>
      </x:c>
      <x:c r="E2987" s="11" t="str">
        <x:v>CNY</x:v>
      </x:c>
      <x:c r="F2987" s="11" t="n">
        <x:v>6.228610540725531</x:v>
      </x:c>
      <x:c r="G2987" s="26" t="b">
        <x:v>1</x:v>
      </x:c>
      <x:c r="H2987" s="16" t="n">
        <x:v>0</x:v>
      </x:c>
      <x:c r="I2987" s="16" t="n">
        <x:v>0.85</x:v>
      </x:c>
      <x:c r="J2987" s="16" t="n">
        <x:v>2.5</x:v>
      </x:c>
      <x:c r="K2987" s="11" t="n">
        <x:f>CHOOSE('假设'!$B$3,H2987,I2987,J2987)</x:f>
        <x:v>0.85</x:v>
      </x:c>
      <x:c r="L2987" s="11" t="n">
        <x:f>K2987*'管线假设'!E651*'管线假设'!F651*'管线假设'!G651*IF(E2987="USD",'管线假设'!I651,1)-AM2987</x:f>
        <x:v>0.08034880000000001</x:v>
      </x:c>
      <x:c r="M2987" s="11" t="n">
        <x:f>'管线假设'!H651</x:f>
        <x:v>0.135</x:v>
      </x:c>
      <x:c r="N2987" s="11" t="n">
        <x:f>IF(G2987,L2987*AN2987/(1+M2987)^F2987,0)</x:f>
        <x:v>0.03651166114567249</x:v>
      </x:c>
      <x:c r="AJ2987" t="n">
        <x:v>0</x:v>
      </x:c>
      <x:c r="AK2987" t="n">
        <x:v>0</x:v>
      </x:c>
      <x:c r="AL2987" t="n">
        <x:v>0</x:v>
      </x:c>
      <x:c r="AM2987" t="n">
        <x:f>CHOOSE('假设'!$B$3,AJ2987,AK2987,AL2987)</x:f>
        <x:v>0</x:v>
      </x:c>
      <x:c r="AN2987" t="n">
        <x:v>1</x:v>
      </x:c>
    </x:row>
    <x:row r="2988" ht="23" customHeight="1">
      <x:c r="A2988" s="11" t="str">
        <x:v>688382.SH</x:v>
      </x:c>
      <x:c r="B2988" s="11" t="str">
        <x:v>一年</x:v>
      </x:c>
      <x:c r="C2988" s="11" t="str">
        <x:v>tyk_uc_cn</x:v>
      </x:c>
      <x:c r="D2988" s="11" t="str">
        <x:v>2034-12-31</x:v>
      </x:c>
      <x:c r="E2988" s="11" t="str">
        <x:v>CNY</x:v>
      </x:c>
      <x:c r="F2988" s="11" t="n">
        <x:v>7.227926078028747</x:v>
      </x:c>
      <x:c r="G2988" s="26" t="b">
        <x:v>1</x:v>
      </x:c>
      <x:c r="H2988" s="16" t="n">
        <x:v>0.13999999999999999</x:v>
      </x:c>
      <x:c r="I2988" s="16" t="n">
        <x:v>1.1333333333333333</x:v>
      </x:c>
      <x:c r="J2988" s="16" t="n">
        <x:v>3</x:v>
      </x:c>
      <x:c r="K2988" s="11" t="n">
        <x:f>CHOOSE('假设'!$B$3,H2988,I2988,J2988)</x:f>
        <x:v>1.1333333333333333</x:v>
      </x:c>
      <x:c r="L2988" s="11" t="n">
        <x:f>K2988*'管线假设'!E651*'管线假设'!F651*'管线假设'!G651*IF(E2988="USD",'管线假设'!I651,1)-AM2988</x:f>
        <x:v>0.10713173333333335</x:v>
      </x:c>
      <x:c r="M2988" s="11" t="n">
        <x:f>'管线假设'!H651</x:f>
        <x:v>0.135</x:v>
      </x:c>
      <x:c r="N2988" s="11" t="n">
        <x:f>IF(G2988,L2988*AN2988/(1+M2988)^F2988,0)</x:f>
        <x:v>0.04289553708422816</x:v>
      </x:c>
      <x:c r="AJ2988" t="n">
        <x:v>0</x:v>
      </x:c>
      <x:c r="AK2988" t="n">
        <x:v>0</x:v>
      </x:c>
      <x:c r="AL2988" t="n">
        <x:v>0</x:v>
      </x:c>
      <x:c r="AM2988" t="n">
        <x:f>CHOOSE('假设'!$B$3,AJ2988,AK2988,AL2988)</x:f>
        <x:v>0</x:v>
      </x:c>
      <x:c r="AN2988" t="n">
        <x:v>1</x:v>
      </x:c>
    </x:row>
    <x:row r="2989" ht="23" customHeight="1">
      <x:c r="A2989" s="11" t="str">
        <x:v>688382.SH</x:v>
      </x:c>
      <x:c r="B2989" s="11" t="str">
        <x:v>一年</x:v>
      </x:c>
      <x:c r="C2989" s="11" t="str">
        <x:v>tyk_uc_cn</x:v>
      </x:c>
      <x:c r="D2989" s="11" t="str">
        <x:v>2035-12-31</x:v>
      </x:c>
      <x:c r="E2989" s="11" t="str">
        <x:v>CNY</x:v>
      </x:c>
      <x:c r="F2989" s="11" t="n">
        <x:v>8.227241615331964</x:v>
      </x:c>
      <x:c r="G2989" s="26" t="b">
        <x:v>1</x:v>
      </x:c>
      <x:c r="H2989" s="16" t="n">
        <x:v>0.27999999999999997</x:v>
      </x:c>
      <x:c r="I2989" s="16" t="n">
        <x:v>1.4166666666666667</x:v>
      </x:c>
      <x:c r="J2989" s="16" t="n">
        <x:v>2.61</x:v>
      </x:c>
      <x:c r="K2989" s="11" t="n">
        <x:f>CHOOSE('假设'!$B$3,H2989,I2989,J2989)</x:f>
        <x:v>1.4166666666666667</x:v>
      </x:c>
      <x:c r="L2989" s="11" t="n">
        <x:f>K2989*'管线假设'!E651*'管线假设'!F651*'管线假设'!G651*IF(E2989="USD",'管线假设'!I651,1)-AM2989</x:f>
        <x:v>0.1339146666666667</x:v>
      </x:c>
      <x:c r="M2989" s="11" t="n">
        <x:f>'管线假设'!H651</x:f>
        <x:v>0.135</x:v>
      </x:c>
      <x:c r="N2989" s="11" t="n">
        <x:f>IF(G2989,L2989*AN2989/(1+M2989)^F2989,0)</x:f>
        <x:v>0.047245875803977905</x:v>
      </x:c>
      <x:c r="AJ2989" t="n">
        <x:v>0</x:v>
      </x:c>
      <x:c r="AK2989" t="n">
        <x:v>0</x:v>
      </x:c>
      <x:c r="AL2989" t="n">
        <x:v>0</x:v>
      </x:c>
      <x:c r="AM2989" t="n">
        <x:f>CHOOSE('假设'!$B$3,AJ2989,AK2989,AL2989)</x:f>
        <x:v>0</x:v>
      </x:c>
      <x:c r="AN2989" t="n">
        <x:v>1</x:v>
      </x:c>
    </x:row>
    <x:row r="2990" ht="23" customHeight="1">
      <x:c r="A2990" s="11" t="str">
        <x:v>688382.SH</x:v>
      </x:c>
      <x:c r="B2990" s="11" t="str">
        <x:v>一年</x:v>
      </x:c>
      <x:c r="C2990" s="11" t="str">
        <x:v>tyk_uc_cn</x:v>
      </x:c>
      <x:c r="D2990" s="11" t="str">
        <x:v>2036-12-31</x:v>
      </x:c>
      <x:c r="E2990" s="11" t="str">
        <x:v>CNY</x:v>
      </x:c>
      <x:c r="F2990" s="11" t="n">
        <x:v>9.229295003422314</x:v>
      </x:c>
      <x:c r="G2990" s="26" t="b">
        <x:v>1</x:v>
      </x:c>
      <x:c r="H2990" s="16" t="n">
        <x:v>0.42</x:v>
      </x:c>
      <x:c r="I2990" s="16" t="n">
        <x:v>1.7</x:v>
      </x:c>
      <x:c r="J2990" s="16" t="n">
        <x:v>2.2199999999999998</x:v>
      </x:c>
      <x:c r="K2990" s="11" t="n">
        <x:f>CHOOSE('假设'!$B$3,H2990,I2990,J2990)</x:f>
        <x:v>1.7</x:v>
      </x:c>
      <x:c r="L2990" s="11" t="n">
        <x:f>K2990*'管线假设'!E651*'管线假设'!F651*'管线假设'!G651*IF(E2990="USD",'管线假设'!I651,1)-AM2990</x:f>
        <x:v>0.16069760000000002</x:v>
      </x:c>
      <x:c r="M2990" s="11" t="n">
        <x:f>'管线假设'!H651</x:f>
        <x:v>0.135</x:v>
      </x:c>
      <x:c r="N2990" s="11" t="n">
        <x:f>IF(G2990,L2990*AN2990/(1+M2990)^F2990,0)</x:f>
        <x:v>0.0499385997314971</x:v>
      </x:c>
      <x:c r="AJ2990" t="n">
        <x:v>0</x:v>
      </x:c>
      <x:c r="AK2990" t="n">
        <x:v>0</x:v>
      </x:c>
      <x:c r="AL2990" t="n">
        <x:v>0</x:v>
      </x:c>
      <x:c r="AM2990" t="n">
        <x:f>CHOOSE('假设'!$B$3,AJ2990,AK2990,AL2990)</x:f>
        <x:v>0</x:v>
      </x:c>
      <x:c r="AN2990" t="n">
        <x:v>1</x:v>
      </x:c>
    </x:row>
    <x:row r="2991" ht="23" customHeight="1">
      <x:c r="A2991" s="11" t="str">
        <x:v>688382.SH</x:v>
      </x:c>
      <x:c r="B2991" s="11" t="str">
        <x:v>一年</x:v>
      </x:c>
      <x:c r="C2991" s="11" t="str">
        <x:v>tyk_uc_cn</x:v>
      </x:c>
      <x:c r="D2991" s="11" t="str">
        <x:v>2037-12-31</x:v>
      </x:c>
      <x:c r="E2991" s="11" t="str">
        <x:v>CNY</x:v>
      </x:c>
      <x:c r="F2991" s="11" t="n">
        <x:v>10.22861054072553</x:v>
      </x:c>
      <x:c r="G2991" s="26" t="b">
        <x:v>1</x:v>
      </x:c>
      <x:c r="H2991" s="16" t="n">
        <x:v>0.5599999999999999</x:v>
      </x:c>
      <x:c r="I2991" s="16" t="n">
        <x:v>1.4789999999999999</x:v>
      </x:c>
      <x:c r="J2991" s="16" t="n">
        <x:v>1.83</x:v>
      </x:c>
      <x:c r="K2991" s="11" t="n">
        <x:f>CHOOSE('假设'!$B$3,H2991,I2991,J2991)</x:f>
        <x:v>1.4789999999999999</x:v>
      </x:c>
      <x:c r="L2991" s="11" t="n">
        <x:f>K2991*'管线假设'!E651*'管线假设'!F651*'管线假设'!G651*IF(E2991="USD",'管线假设'!I651,1)-AM2991</x:f>
        <x:v>0.139806912</x:v>
      </x:c>
      <x:c r="M2991" s="11" t="n">
        <x:f>'管线假设'!H651</x:f>
        <x:v>0.135</x:v>
      </x:c>
      <x:c r="N2991" s="11" t="n">
        <x:f>IF(G2991,L2991*AN2991/(1+M2991)^F2991,0)</x:f>
        <x:v>0.03828224464866392</x:v>
      </x:c>
      <x:c r="AJ2991" t="n">
        <x:v>0</x:v>
      </x:c>
      <x:c r="AK2991" t="n">
        <x:v>0</x:v>
      </x:c>
      <x:c r="AL2991" t="n">
        <x:v>0</x:v>
      </x:c>
      <x:c r="AM2991" t="n">
        <x:f>CHOOSE('假设'!$B$3,AJ2991,AK2991,AL2991)</x:f>
        <x:v>0</x:v>
      </x:c>
      <x:c r="AN2991" t="n">
        <x:v>1</x:v>
      </x:c>
    </x:row>
    <x:row r="2992" ht="23" customHeight="1">
      <x:c r="A2992" s="11" t="str">
        <x:v>688382.SH</x:v>
      </x:c>
      <x:c r="B2992" s="11" t="str">
        <x:v>一年</x:v>
      </x:c>
      <x:c r="C2992" s="11" t="str">
        <x:v>tyk_uc_cn</x:v>
      </x:c>
      <x:c r="D2992" s="11" t="str">
        <x:v>2038-12-31</x:v>
      </x:c>
      <x:c r="E2992" s="11" t="str">
        <x:v>CNY</x:v>
      </x:c>
      <x:c r="F2992" s="11" t="n">
        <x:v>11.227926078028748</x:v>
      </x:c>
      <x:c r="G2992" s="26" t="b">
        <x:v>1</x:v>
      </x:c>
      <x:c r="H2992" s="16" t="n">
        <x:v>0.7</x:v>
      </x:c>
      <x:c r="I2992" s="16" t="n">
        <x:v>1.258</x:v>
      </x:c>
      <x:c r="J2992" s="16" t="n">
        <x:v>1.44</x:v>
      </x:c>
      <x:c r="K2992" s="11" t="n">
        <x:f>CHOOSE('假设'!$B$3,H2992,I2992,J2992)</x:f>
        <x:v>1.258</x:v>
      </x:c>
      <x:c r="L2992" s="11" t="n">
        <x:f>K2992*'管线假设'!E651*'管线假设'!F651*'管线假设'!G651*IF(E2992="USD",'管线假设'!I651,1)-AM2992</x:f>
        <x:v>0.11891622400000001</x:v>
      </x:c>
      <x:c r="M2992" s="11" t="n">
        <x:f>'管线假设'!H651</x:f>
        <x:v>0.135</x:v>
      </x:c>
      <x:c r="N2992" s="11" t="n">
        <x:f>IF(G2992,L2992*AN2992/(1+M2992)^F2992,0)</x:f>
        <x:v>0.028691393548721716</x:v>
      </x:c>
      <x:c r="AJ2992" t="n">
        <x:v>0</x:v>
      </x:c>
      <x:c r="AK2992" t="n">
        <x:v>0</x:v>
      </x:c>
      <x:c r="AL2992" t="n">
        <x:v>0</x:v>
      </x:c>
      <x:c r="AM2992" t="n">
        <x:f>CHOOSE('假设'!$B$3,AJ2992,AK2992,AL2992)</x:f>
        <x:v>0</x:v>
      </x:c>
      <x:c r="AN2992" t="n">
        <x:v>1</x:v>
      </x:c>
    </x:row>
    <x:row r="2993" ht="23" customHeight="1">
      <x:c r="A2993" s="11" t="str">
        <x:v>688382.SH</x:v>
      </x:c>
      <x:c r="B2993" s="11" t="str">
        <x:v>一年</x:v>
      </x:c>
      <x:c r="C2993" s="11" t="str">
        <x:v>tyk_uc_cn</x:v>
      </x:c>
      <x:c r="D2993" s="11" t="str">
        <x:v>2039-12-31</x:v>
      </x:c>
      <x:c r="E2993" s="11" t="str">
        <x:v>CNY</x:v>
      </x:c>
      <x:c r="F2993" s="11" t="n">
        <x:v>12.227241615331964</x:v>
      </x:c>
      <x:c r="G2993" s="26" t="b">
        <x:v>1</x:v>
      </x:c>
      <x:c r="H2993" s="16" t="n">
        <x:v>0.609</x:v>
      </x:c>
      <x:c r="I2993" s="16" t="n">
        <x:v>1.037</x:v>
      </x:c>
      <x:c r="J2993" s="16" t="n">
        <x:v>1.0499999999999998</x:v>
      </x:c>
      <x:c r="K2993" s="11" t="n">
        <x:f>CHOOSE('假设'!$B$3,H2993,I2993,J2993)</x:f>
        <x:v>1.037</x:v>
      </x:c>
      <x:c r="L2993" s="11" t="n">
        <x:f>K2993*'管线假设'!E651*'管线假设'!F651*'管线假设'!G651*IF(E2993="USD",'管线假设'!I651,1)-AM2993</x:f>
        <x:v>0.09802553600000001</x:v>
      </x:c>
      <x:c r="M2993" s="11" t="n">
        <x:f>'管线假设'!H651</x:f>
        <x:v>0.135</x:v>
      </x:c>
      <x:c r="N2993" s="11" t="n">
        <x:f>IF(G2993,L2993*AN2993/(1+M2993)^F2993,0)</x:f>
        <x:v>0.020839703655616482</x:v>
      </x:c>
      <x:c r="AJ2993" t="n">
        <x:v>0</x:v>
      </x:c>
      <x:c r="AK2993" t="n">
        <x:v>0</x:v>
      </x:c>
      <x:c r="AL2993" t="n">
        <x:v>0</x:v>
      </x:c>
      <x:c r="AM2993" t="n">
        <x:f>CHOOSE('假设'!$B$3,AJ2993,AK2993,AL2993)</x:f>
        <x:v>0</x:v>
      </x:c>
      <x:c r="AN2993" t="n">
        <x:v>1</x:v>
      </x:c>
    </x:row>
    <x:row r="2994" ht="23" customHeight="1">
      <x:c r="A2994" s="11" t="str">
        <x:v>688382.SH</x:v>
      </x:c>
      <x:c r="B2994" s="11" t="str">
        <x:v>一年</x:v>
      </x:c>
      <x:c r="C2994" s="11" t="str">
        <x:v>tyk_uc_cn</x:v>
      </x:c>
      <x:c r="D2994" s="11" t="str">
        <x:v>2040-12-31</x:v>
      </x:c>
      <x:c r="E2994" s="11" t="str">
        <x:v>CNY</x:v>
      </x:c>
      <x:c r="F2994" s="11" t="n">
        <x:v>13.229295003422314</x:v>
      </x:c>
      <x:c r="G2994" s="26" t="b">
        <x:v>1</x:v>
      </x:c>
      <x:c r="H2994" s="16" t="n">
        <x:v>0.518</x:v>
      </x:c>
      <x:c r="I2994" s="16" t="n">
        <x:v>0.816</x:v>
      </x:c>
      <x:c r="J2994" s="16" t="n">
        <x:v>0.6599999999999999</x:v>
      </x:c>
      <x:c r="K2994" s="11" t="n">
        <x:f>CHOOSE('假设'!$B$3,H2994,I2994,J2994)</x:f>
        <x:v>0.816</x:v>
      </x:c>
      <x:c r="L2994" s="11" t="n">
        <x:f>K2994*'管线假设'!E651*'管线假设'!F651*'管线假设'!G651*IF(E2994="USD",'管线假设'!I651,1)-AM2994</x:f>
        <x:v>0.077134848</x:v>
      </x:c>
      <x:c r="M2994" s="11" t="n">
        <x:f>'管线假设'!H651</x:f>
        <x:v>0.135</x:v>
      </x:c>
      <x:c r="N2994" s="11" t="n">
        <x:f>IF(G2994,L2994*AN2994/(1+M2994)^F2994,0)</x:f>
        <x:v>0.01444422190794989</x:v>
      </x:c>
      <x:c r="AJ2994" t="n">
        <x:v>0</x:v>
      </x:c>
      <x:c r="AK2994" t="n">
        <x:v>0</x:v>
      </x:c>
      <x:c r="AL2994" t="n">
        <x:v>0</x:v>
      </x:c>
      <x:c r="AM2994" t="n">
        <x:f>CHOOSE('假设'!$B$3,AJ2994,AK2994,AL2994)</x:f>
        <x:v>0</x:v>
      </x:c>
      <x:c r="AN2994" t="n">
        <x:v>1</x:v>
      </x:c>
    </x:row>
    <x:row r="2995" ht="23" customHeight="1">
      <x:c r="A2995" s="11" t="str">
        <x:v>688382.SH</x:v>
      </x:c>
      <x:c r="B2995" s="11" t="str">
        <x:v>一年</x:v>
      </x:c>
      <x:c r="C2995" s="11" t="str">
        <x:v>tyk_uc_cn</x:v>
      </x:c>
      <x:c r="D2995" s="11" t="str">
        <x:v>2041-12-31</x:v>
      </x:c>
      <x:c r="E2995" s="11" t="str">
        <x:v>CNY</x:v>
      </x:c>
      <x:c r="F2995" s="11" t="n">
        <x:v>14.22861054072553</x:v>
      </x:c>
      <x:c r="G2995" s="26" t="b">
        <x:v>1</x:v>
      </x:c>
      <x:c r="H2995" s="16" t="n">
        <x:v>0.427</x:v>
      </x:c>
      <x:c r="I2995" s="16" t="n">
        <x:v>0.595</x:v>
      </x:c>
      <x:c r="J2995" s="16" t="n">
        <x:v>0.2699999999999999</x:v>
      </x:c>
      <x:c r="K2995" s="11" t="n">
        <x:f>CHOOSE('假设'!$B$3,H2995,I2995,J2995)</x:f>
        <x:v>0.595</x:v>
      </x:c>
      <x:c r="L2995" s="11" t="n">
        <x:f>K2995*'管线假设'!E651*'管线假设'!F651*'管线假设'!G651*IF(E2995="USD",'管线假设'!I651,1)-AM2995</x:f>
        <x:v>0.05624416</x:v>
      </x:c>
      <x:c r="M2995" s="11" t="n">
        <x:f>'管线假设'!H651</x:f>
        <x:v>0.135</x:v>
      </x:c>
      <x:c r="N2995" s="11" t="n">
        <x:f>IF(G2995,L2995*AN2995/(1+M2995)^F2995,0)</x:f>
        <x:v>0.009280315477141431</x:v>
      </x:c>
      <x:c r="AJ2995" t="n">
        <x:v>0</x:v>
      </x:c>
      <x:c r="AK2995" t="n">
        <x:v>0</x:v>
      </x:c>
      <x:c r="AL2995" t="n">
        <x:v>0</x:v>
      </x:c>
      <x:c r="AM2995" t="n">
        <x:f>CHOOSE('假设'!$B$3,AJ2995,AK2995,AL2995)</x:f>
        <x:v>0</x:v>
      </x:c>
      <x:c r="AN2995" t="n">
        <x:v>1</x:v>
      </x:c>
    </x:row>
    <x:row r="2996" ht="23" customHeight="1">
      <x:c r="A2996" s="11" t="str">
        <x:v>688382.SH</x:v>
      </x:c>
      <x:c r="B2996" s="11" t="str">
        <x:v>一年</x:v>
      </x:c>
      <x:c r="C2996" s="11" t="str">
        <x:v>tyk_uc_cn</x:v>
      </x:c>
      <x:c r="D2996" s="11" t="str">
        <x:v>2042-12-31</x:v>
      </x:c>
      <x:c r="E2996" s="11" t="str">
        <x:v>CNY</x:v>
      </x:c>
      <x:c r="F2996" s="11" t="n">
        <x:v>15.227926078028748</x:v>
      </x:c>
      <x:c r="G2996" s="26" t="b">
        <x:v>1</x:v>
      </x:c>
      <x:c r="H2996" s="16" t="n">
        <x:v>0.33599999999999997</x:v>
      </x:c>
      <x:c r="I2996" s="16" t="n">
        <x:v>0.37399999999999994</x:v>
      </x:c>
      <x:c r="J2996" s="16" t="n">
        <x:v>0</x:v>
      </x:c>
      <x:c r="K2996" s="11" t="n">
        <x:f>CHOOSE('假设'!$B$3,H2996,I2996,J2996)</x:f>
        <x:v>0.37399999999999994</x:v>
      </x:c>
      <x:c r="L2996" s="11" t="n">
        <x:f>K2996*'管线假设'!E651*'管线假设'!F651*'管线假设'!G651*IF(E2996="USD",'管线假设'!I651,1)-AM2996</x:f>
        <x:v>0.035353472000000004</x:v>
      </x:c>
      <x:c r="M2996" s="11" t="n">
        <x:f>'管线假设'!H651</x:f>
        <x:v>0.135</x:v>
      </x:c>
      <x:c r="N2996" s="11" t="n">
        <x:f>IF(G2996,L2996*AN2996/(1+M2996)^F2996,0)</x:f>
        <x:v>0.00513995311516989</x:v>
      </x:c>
      <x:c r="AJ2996" t="n">
        <x:v>0</x:v>
      </x:c>
      <x:c r="AK2996" t="n">
        <x:v>0</x:v>
      </x:c>
      <x:c r="AL2996" t="n">
        <x:v>0</x:v>
      </x:c>
      <x:c r="AM2996" t="n">
        <x:f>CHOOSE('假设'!$B$3,AJ2996,AK2996,AL2996)</x:f>
        <x:v>0</x:v>
      </x:c>
      <x:c r="AN2996" t="n">
        <x:v>1</x:v>
      </x:c>
    </x:row>
    <x:row r="2997" ht="23" customHeight="1">
      <x:c r="A2997" s="11" t="str">
        <x:v>688382.SH</x:v>
      </x:c>
      <x:c r="B2997" s="11" t="str">
        <x:v>一年</x:v>
      </x:c>
      <x:c r="C2997" s="11" t="str">
        <x:v>tyk_uc_cn</x:v>
      </x:c>
      <x:c r="D2997" s="11" t="str">
        <x:v>2043-12-31</x:v>
      </x:c>
      <x:c r="E2997" s="11" t="str">
        <x:v>CNY</x:v>
      </x:c>
      <x:c r="F2997" s="11" t="n">
        <x:v>16.227241615331966</x:v>
      </x:c>
      <x:c r="G2997" s="26" t="b">
        <x:v>1</x:v>
      </x:c>
      <x:c r="H2997" s="16" t="n">
        <x:v>0.24499999999999997</x:v>
      </x:c>
      <x:c r="I2997" s="16" t="n">
        <x:v>0.15299999999999994</x:v>
      </x:c>
      <x:c r="J2997" s="16" t="n">
        <x:v>0</x:v>
      </x:c>
      <x:c r="K2997" s="11" t="n">
        <x:f>CHOOSE('假设'!$B$3,H2997,I2997,J2997)</x:f>
        <x:v>0.15299999999999994</x:v>
      </x:c>
      <x:c r="L2997" s="11" t="n">
        <x:f>K2997*'管线假设'!E651*'管线假设'!F651*'管线假设'!G651*IF(E2997="USD",'管线假设'!I651,1)-AM2997</x:f>
        <x:v>0.014462783999999998</x:v>
      </x:c>
      <x:c r="M2997" s="11" t="n">
        <x:f>'管线假设'!H651</x:f>
        <x:v>0.135</x:v>
      </x:c>
      <x:c r="N2997" s="11" t="n">
        <x:f>IF(G2997,L2997*AN2997/(1+M2997)^F2997,0)</x:f>
        <x:v>0.0018527668311692</x:v>
      </x:c>
      <x:c r="AJ2997" t="n">
        <x:v>0</x:v>
      </x:c>
      <x:c r="AK2997" t="n">
        <x:v>0</x:v>
      </x:c>
      <x:c r="AL2997" t="n">
        <x:v>0</x:v>
      </x:c>
      <x:c r="AM2997" t="n">
        <x:f>CHOOSE('假设'!$B$3,AJ2997,AK2997,AL2997)</x:f>
        <x:v>0</x:v>
      </x:c>
      <x:c r="AN2997" t="n">
        <x:v>1</x:v>
      </x:c>
    </x:row>
    <x:row r="2998" ht="23" customHeight="1">
      <x:c r="A2998" s="11" t="str">
        <x:v>688382.SH</x:v>
      </x:c>
      <x:c r="B2998" s="11" t="str">
        <x:v>一年</x:v>
      </x:c>
      <x:c r="C2998" s="11" t="str">
        <x:v>tyk_uc_cn</x:v>
      </x:c>
      <x:c r="D2998" s="11" t="str">
        <x:v>2044-12-31</x:v>
      </x:c>
      <x:c r="E2998" s="11" t="str">
        <x:v>CNY</x:v>
      </x:c>
      <x:c r="F2998" s="11" t="n">
        <x:v>17.229295003422312</x:v>
      </x:c>
      <x:c r="G2998" s="26" t="b">
        <x:v>1</x:v>
      </x:c>
      <x:c r="H2998" s="16" t="n">
        <x:v>0.15399999999999997</x:v>
      </x:c>
      <x:c r="I2998" s="16" t="n">
        <x:v>0</x:v>
      </x:c>
      <x:c r="J2998" s="16" t="n">
        <x:v>0</x:v>
      </x:c>
      <x:c r="K2998" s="11" t="n">
        <x:f>CHOOSE('假设'!$B$3,H2998,I2998,J2998)</x:f>
        <x:v>0</x:v>
      </x:c>
      <x:c r="L2998" s="11" t="n">
        <x:f>K2998*'管线假设'!E651*'管线假设'!F651*'管线假设'!G651*IF(E2998="USD",'管线假设'!I651,1)-AM2998</x:f>
        <x:v>0</x:v>
      </x:c>
      <x:c r="M2998" s="11" t="n">
        <x:f>'管线假设'!H651</x:f>
        <x:v>0.135</x:v>
      </x:c>
      <x:c r="N2998" s="11" t="n">
        <x:f>IF(G2998,L2998*AN2998/(1+M2998)^F2998,0)</x:f>
        <x:v>0</x:v>
      </x:c>
      <x:c r="AJ2998" t="n">
        <x:v>0</x:v>
      </x:c>
      <x:c r="AK2998" t="n">
        <x:v>0</x:v>
      </x:c>
      <x:c r="AL2998" t="n">
        <x:v>0</x:v>
      </x:c>
      <x:c r="AM2998" t="n">
        <x:f>CHOOSE('假设'!$B$3,AJ2998,AK2998,AL2998)</x:f>
        <x:v>0</x:v>
      </x:c>
      <x:c r="AN2998" t="n">
        <x:v>1</x:v>
      </x:c>
    </x:row>
    <x:row r="2999" ht="23" customHeight="1">
      <x:c r="A2999" s="11" t="str">
        <x:v>688382.SH</x:v>
      </x:c>
      <x:c r="B2999" s="11" t="str">
        <x:v>一年</x:v>
      </x:c>
      <x:c r="C2999" s="11" t="str">
        <x:v>tyk_uc_cn</x:v>
      </x:c>
      <x:c r="D2999" s="11" t="str">
        <x:v>2045-12-31</x:v>
      </x:c>
      <x:c r="E2999" s="11" t="str">
        <x:v>CNY</x:v>
      </x:c>
      <x:c r="F2999" s="11" t="n">
        <x:v>18.22861054072553</x:v>
      </x:c>
      <x:c r="G2999" s="26" t="b">
        <x:v>1</x:v>
      </x:c>
      <x:c r="H2999" s="16" t="n">
        <x:v>0.06299999999999997</x:v>
      </x:c>
      <x:c r="I2999" s="16" t="n">
        <x:v>0</x:v>
      </x:c>
      <x:c r="J2999" s="16" t="n">
        <x:v>0</x:v>
      </x:c>
      <x:c r="K2999" s="11" t="n">
        <x:f>CHOOSE('假设'!$B$3,H2999,I2999,J2999)</x:f>
        <x:v>0</x:v>
      </x:c>
      <x:c r="L2999" s="11" t="n">
        <x:f>K2999*'管线假设'!E651*'管线假设'!F651*'管线假设'!G651*IF(E2999="USD",'管线假设'!I651,1)-AM2999</x:f>
        <x:v>0</x:v>
      </x:c>
      <x:c r="M2999" s="11" t="n">
        <x:f>'管线假设'!H651</x:f>
        <x:v>0.135</x:v>
      </x:c>
      <x:c r="N2999" s="11" t="n">
        <x:f>IF(G2999,L2999*AN2999/(1+M2999)^F2999,0)</x:f>
        <x:v>0</x:v>
      </x:c>
      <x:c r="AJ2999" t="n">
        <x:v>0</x:v>
      </x:c>
      <x:c r="AK2999" t="n">
        <x:v>0</x:v>
      </x:c>
      <x:c r="AL2999" t="n">
        <x:v>0</x:v>
      </x:c>
      <x:c r="AM2999" t="n">
        <x:f>CHOOSE('假设'!$B$3,AJ2999,AK2999,AL2999)</x:f>
        <x:v>0</x:v>
      </x:c>
      <x:c r="AN2999" t="n">
        <x:v>1</x:v>
      </x:c>
    </x:row>
    <x:row r="3000" ht="23" customHeight="1">
      <x:c r="A3000" s="11" t="str">
        <x:v>688382.SH</x:v>
      </x:c>
      <x:c r="B3000" s="11" t="str">
        <x:v>一年</x:v>
      </x:c>
      <x:c r="C3000" s="11" t="str">
        <x:v>tyk_sle_cn</x:v>
      </x:c>
      <x:c r="D3000" s="11" t="str">
        <x:v>2027-12-31</x:v>
      </x:c>
      <x:c r="E3000" s="11" t="str">
        <x:v>CNY</x:v>
      </x:c>
      <x:c r="F3000" s="11" t="n">
        <x:v>0.2272416153319644</x:v>
      </x:c>
      <x:c r="G3000" s="26" t="b">
        <x:v>1</x:v>
      </x:c>
      <x:c r="H3000" s="16" t="n">
        <x:v>0</x:v>
      </x:c>
      <x:c r="I3000" s="16" t="n">
        <x:v>0</x:v>
      </x:c>
      <x:c r="J3000" s="16" t="n">
        <x:v>0</x:v>
      </x:c>
      <x:c r="K3000" s="11" t="n">
        <x:f>CHOOSE('假设'!$B$3,H3000,I3000,J3000)</x:f>
        <x:v>0</x:v>
      </x:c>
      <x:c r="L3000" s="11" t="n">
        <x:f>K3000*'管线假设'!E655*'管线假设'!F655*'管线假设'!G655*IF(E3000="USD",'管线假设'!I655,1)-AM3000</x:f>
        <x:v>0</x:v>
      </x:c>
      <x:c r="M3000" s="11" t="n">
        <x:f>'管线假设'!H655</x:f>
        <x:v>0.135</x:v>
      </x:c>
      <x:c r="N3000" s="11" t="n">
        <x:f>IF(G3000,L3000*AN3000/(1+M3000)^F3000,0)</x:f>
        <x:v>0</x:v>
      </x:c>
      <x:c r="AJ3000" t="n">
        <x:v>0</x:v>
      </x:c>
      <x:c r="AK3000" t="n">
        <x:v>0</x:v>
      </x:c>
      <x:c r="AL3000" t="n">
        <x:v>0</x:v>
      </x:c>
      <x:c r="AM3000" t="n">
        <x:f>CHOOSE('假设'!$B$3,AJ3000,AK3000,AL3000)</x:f>
        <x:v>0</x:v>
      </x:c>
      <x:c r="AN3000" t="n">
        <x:v>1</x:v>
      </x:c>
    </x:row>
    <x:row r="3001" ht="23" customHeight="1">
      <x:c r="A3001" s="11" t="str">
        <x:v>688382.SH</x:v>
      </x:c>
      <x:c r="B3001" s="11" t="str">
        <x:v>一年</x:v>
      </x:c>
      <x:c r="C3001" s="11" t="str">
        <x:v>tyk_sle_cn</x:v>
      </x:c>
      <x:c r="D3001" s="11" t="str">
        <x:v>2028-12-31</x:v>
      </x:c>
      <x:c r="E3001" s="11" t="str">
        <x:v>CNY</x:v>
      </x:c>
      <x:c r="F3001" s="11" t="n">
        <x:v>1.2292950034223136</x:v>
      </x:c>
      <x:c r="G3001" s="26" t="b">
        <x:v>1</x:v>
      </x:c>
      <x:c r="H3001" s="16" t="n">
        <x:v>0</x:v>
      </x:c>
      <x:c r="I3001" s="16" t="n">
        <x:v>0</x:v>
      </x:c>
      <x:c r="J3001" s="16" t="n">
        <x:v>0</x:v>
      </x:c>
      <x:c r="K3001" s="11" t="n">
        <x:f>CHOOSE('假设'!$B$3,H3001,I3001,J3001)</x:f>
        <x:v>0</x:v>
      </x:c>
      <x:c r="L3001" s="11" t="n">
        <x:f>K3001*'管线假设'!E655*'管线假设'!F655*'管线假设'!G655*IF(E3001="USD",'管线假设'!I655,1)-AM3001</x:f>
        <x:v>0</x:v>
      </x:c>
      <x:c r="M3001" s="11" t="n">
        <x:f>'管线假设'!H655</x:f>
        <x:v>0.135</x:v>
      </x:c>
      <x:c r="N3001" s="11" t="n">
        <x:f>IF(G3001,L3001*AN3001/(1+M3001)^F3001,0)</x:f>
        <x:v>0</x:v>
      </x:c>
      <x:c r="AJ3001" t="n">
        <x:v>0</x:v>
      </x:c>
      <x:c r="AK3001" t="n">
        <x:v>0</x:v>
      </x:c>
      <x:c r="AL3001" t="n">
        <x:v>0</x:v>
      </x:c>
      <x:c r="AM3001" t="n">
        <x:f>CHOOSE('假设'!$B$3,AJ3001,AK3001,AL3001)</x:f>
        <x:v>0</x:v>
      </x:c>
      <x:c r="AN3001" t="n">
        <x:v>1</x:v>
      </x:c>
    </x:row>
    <x:row r="3002" ht="23" customHeight="1">
      <x:c r="A3002" s="11" t="str">
        <x:v>688382.SH</x:v>
      </x:c>
      <x:c r="B3002" s="11" t="str">
        <x:v>一年</x:v>
      </x:c>
      <x:c r="C3002" s="11" t="str">
        <x:v>tyk_sle_cn</x:v>
      </x:c>
      <x:c r="D3002" s="11" t="str">
        <x:v>2029-12-31</x:v>
      </x:c>
      <x:c r="E3002" s="11" t="str">
        <x:v>CNY</x:v>
      </x:c>
      <x:c r="F3002" s="11" t="n">
        <x:v>2.2286105407255303</x:v>
      </x:c>
      <x:c r="G3002" s="26" t="b">
        <x:v>1</x:v>
      </x:c>
      <x:c r="H3002" s="16" t="n">
        <x:v>0</x:v>
      </x:c>
      <x:c r="I3002" s="16" t="n">
        <x:v>0</x:v>
      </x:c>
      <x:c r="J3002" s="16" t="n">
        <x:v>0</x:v>
      </x:c>
      <x:c r="K3002" s="11" t="n">
        <x:f>CHOOSE('假设'!$B$3,H3002,I3002,J3002)</x:f>
        <x:v>0</x:v>
      </x:c>
      <x:c r="L3002" s="11" t="n">
        <x:f>K3002*'管线假设'!E655*'管线假设'!F655*'管线假设'!G655*IF(E3002="USD",'管线假设'!I655,1)-AM3002</x:f>
        <x:v>0</x:v>
      </x:c>
      <x:c r="M3002" s="11" t="n">
        <x:f>'管线假设'!H655</x:f>
        <x:v>0.135</x:v>
      </x:c>
      <x:c r="N3002" s="11" t="n">
        <x:f>IF(G3002,L3002*AN3002/(1+M3002)^F3002,0)</x:f>
        <x:v>0</x:v>
      </x:c>
      <x:c r="AJ3002" t="n">
        <x:v>0</x:v>
      </x:c>
      <x:c r="AK3002" t="n">
        <x:v>0</x:v>
      </x:c>
      <x:c r="AL3002" t="n">
        <x:v>0</x:v>
      </x:c>
      <x:c r="AM3002" t="n">
        <x:f>CHOOSE('假设'!$B$3,AJ3002,AK3002,AL3002)</x:f>
        <x:v>0</x:v>
      </x:c>
      <x:c r="AN3002" t="n">
        <x:v>1</x:v>
      </x:c>
    </x:row>
    <x:row r="3003" ht="23" customHeight="1">
      <x:c r="A3003" s="11" t="str">
        <x:v>688382.SH</x:v>
      </x:c>
      <x:c r="B3003" s="11" t="str">
        <x:v>一年</x:v>
      </x:c>
      <x:c r="C3003" s="11" t="str">
        <x:v>tyk_sle_cn</x:v>
      </x:c>
      <x:c r="D3003" s="11" t="str">
        <x:v>2030-12-31</x:v>
      </x:c>
      <x:c r="E3003" s="11" t="str">
        <x:v>CNY</x:v>
      </x:c>
      <x:c r="F3003" s="11" t="n">
        <x:v>3.2279260780287475</x:v>
      </x:c>
      <x:c r="G3003" s="26" t="b">
        <x:v>1</x:v>
      </x:c>
      <x:c r="H3003" s="16" t="n">
        <x:v>0</x:v>
      </x:c>
      <x:c r="I3003" s="16" t="n">
        <x:v>0</x:v>
      </x:c>
      <x:c r="J3003" s="16" t="n">
        <x:v>0.3833333333333333</x:v>
      </x:c>
      <x:c r="K3003" s="11" t="n">
        <x:f>CHOOSE('假设'!$B$3,H3003,I3003,J3003)</x:f>
        <x:v>0</x:v>
      </x:c>
      <x:c r="L3003" s="11" t="n">
        <x:f>K3003*'管线假设'!E655*'管线假设'!F655*'管线假设'!G655*IF(E3003="USD",'管线假设'!I655,1)-AM3003</x:f>
        <x:v>0</x:v>
      </x:c>
      <x:c r="M3003" s="11" t="n">
        <x:f>'管线假设'!H655</x:f>
        <x:v>0.135</x:v>
      </x:c>
      <x:c r="N3003" s="11" t="n">
        <x:f>IF(G3003,L3003*AN3003/(1+M3003)^F3003,0)</x:f>
        <x:v>0</x:v>
      </x:c>
      <x:c r="AJ3003" t="n">
        <x:v>0</x:v>
      </x:c>
      <x:c r="AK3003" t="n">
        <x:v>0</x:v>
      </x:c>
      <x:c r="AL3003" t="n">
        <x:v>0</x:v>
      </x:c>
      <x:c r="AM3003" t="n">
        <x:f>CHOOSE('假设'!$B$3,AJ3003,AK3003,AL3003)</x:f>
        <x:v>0</x:v>
      </x:c>
      <x:c r="AN3003" t="n">
        <x:v>1</x:v>
      </x:c>
    </x:row>
    <x:row r="3004" ht="23" customHeight="1">
      <x:c r="A3004" s="11" t="str">
        <x:v>688382.SH</x:v>
      </x:c>
      <x:c r="B3004" s="11" t="str">
        <x:v>一年</x:v>
      </x:c>
      <x:c r="C3004" s="11" t="str">
        <x:v>tyk_sle_cn</x:v>
      </x:c>
      <x:c r="D3004" s="11" t="str">
        <x:v>2031-12-31</x:v>
      </x:c>
      <x:c r="E3004" s="11" t="str">
        <x:v>CNY</x:v>
      </x:c>
      <x:c r="F3004" s="11" t="n">
        <x:v>4.227241615331964</x:v>
      </x:c>
      <x:c r="G3004" s="26" t="b">
        <x:v>1</x:v>
      </x:c>
      <x:c r="H3004" s="16" t="n">
        <x:v>0</x:v>
      </x:c>
      <x:c r="I3004" s="16" t="n">
        <x:v>0</x:v>
      </x:c>
      <x:c r="J3004" s="16" t="n">
        <x:v>0.7666666666666666</x:v>
      </x:c>
      <x:c r="K3004" s="11" t="n">
        <x:f>CHOOSE('假设'!$B$3,H3004,I3004,J3004)</x:f>
        <x:v>0</x:v>
      </x:c>
      <x:c r="L3004" s="11" t="n">
        <x:f>K3004*'管线假设'!E655*'管线假设'!F655*'管线假设'!G655*IF(E3004="USD",'管线假设'!I655,1)-AM3004</x:f>
        <x:v>0</x:v>
      </x:c>
      <x:c r="M3004" s="11" t="n">
        <x:f>'管线假设'!H655</x:f>
        <x:v>0.135</x:v>
      </x:c>
      <x:c r="N3004" s="11" t="n">
        <x:f>IF(G3004,L3004*AN3004/(1+M3004)^F3004,0)</x:f>
        <x:v>0</x:v>
      </x:c>
      <x:c r="AJ3004" t="n">
        <x:v>0</x:v>
      </x:c>
      <x:c r="AK3004" t="n">
        <x:v>0</x:v>
      </x:c>
      <x:c r="AL3004" t="n">
        <x:v>0</x:v>
      </x:c>
      <x:c r="AM3004" t="n">
        <x:f>CHOOSE('假设'!$B$3,AJ3004,AK3004,AL3004)</x:f>
        <x:v>0</x:v>
      </x:c>
      <x:c r="AN3004" t="n">
        <x:v>1</x:v>
      </x:c>
    </x:row>
    <x:row r="3005" ht="23" customHeight="1">
      <x:c r="A3005" s="11" t="str">
        <x:v>688382.SH</x:v>
      </x:c>
      <x:c r="B3005" s="11" t="str">
        <x:v>一年</x:v>
      </x:c>
      <x:c r="C3005" s="11" t="str">
        <x:v>tyk_sle_cn</x:v>
      </x:c>
      <x:c r="D3005" s="11" t="str">
        <x:v>2032-12-31</x:v>
      </x:c>
      <x:c r="E3005" s="11" t="str">
        <x:v>CNY</x:v>
      </x:c>
      <x:c r="F3005" s="11" t="n">
        <x:v>5.229295003422314</x:v>
      </x:c>
      <x:c r="G3005" s="26" t="b">
        <x:v>1</x:v>
      </x:c>
      <x:c r="H3005" s="16" t="n">
        <x:v>0</x:v>
      </x:c>
      <x:c r="I3005" s="16" t="n">
        <x:v>0.21666666666666667</x:v>
      </x:c>
      <x:c r="J3005" s="16" t="n">
        <x:v>1.15</x:v>
      </x:c>
      <x:c r="K3005" s="11" t="n">
        <x:f>CHOOSE('假设'!$B$3,H3005,I3005,J3005)</x:f>
        <x:v>0.21666666666666667</x:v>
      </x:c>
      <x:c r="L3005" s="11" t="n">
        <x:f>K3005*'管线假设'!E655*'管线假设'!F655*'管线假设'!G655*IF(E3005="USD",'管线假设'!I655,1)-AM3005</x:f>
        <x:v>0.014899733333333331</x:v>
      </x:c>
      <x:c r="M3005" s="11" t="n">
        <x:f>'管线假设'!H655</x:f>
        <x:v>0.135</x:v>
      </x:c>
      <x:c r="N3005" s="11" t="n">
        <x:f>IF(G3005,L3005*AN3005/(1+M3005)^F3005,0)</x:f>
        <x:v>0.007684027524116187</x:v>
      </x:c>
      <x:c r="AJ3005" t="n">
        <x:v>0</x:v>
      </x:c>
      <x:c r="AK3005" t="n">
        <x:v>0</x:v>
      </x:c>
      <x:c r="AL3005" t="n">
        <x:v>0</x:v>
      </x:c>
      <x:c r="AM3005" t="n">
        <x:f>CHOOSE('假设'!$B$3,AJ3005,AK3005,AL3005)</x:f>
        <x:v>0</x:v>
      </x:c>
      <x:c r="AN3005" t="n">
        <x:v>1</x:v>
      </x:c>
    </x:row>
    <x:row r="3006" ht="23" customHeight="1">
      <x:c r="A3006" s="11" t="str">
        <x:v>688382.SH</x:v>
      </x:c>
      <x:c r="B3006" s="11" t="str">
        <x:v>一年</x:v>
      </x:c>
      <x:c r="C3006" s="11" t="str">
        <x:v>tyk_sle_cn</x:v>
      </x:c>
      <x:c r="D3006" s="11" t="str">
        <x:v>2033-12-31</x:v>
      </x:c>
      <x:c r="E3006" s="11" t="str">
        <x:v>CNY</x:v>
      </x:c>
      <x:c r="F3006" s="11" t="n">
        <x:v>6.228610540725531</x:v>
      </x:c>
      <x:c r="G3006" s="26" t="b">
        <x:v>1</x:v>
      </x:c>
      <x:c r="H3006" s="16" t="n">
        <x:v>0</x:v>
      </x:c>
      <x:c r="I3006" s="16" t="n">
        <x:v>0.43333333333333335</x:v>
      </x:c>
      <x:c r="J3006" s="16" t="n">
        <x:v>1.5333333333333332</x:v>
      </x:c>
      <x:c r="K3006" s="11" t="n">
        <x:f>CHOOSE('假设'!$B$3,H3006,I3006,J3006)</x:f>
        <x:v>0.43333333333333335</x:v>
      </x:c>
      <x:c r="L3006" s="11" t="n">
        <x:f>K3006*'管线假设'!E655*'管线假设'!F655*'管线假设'!G655*IF(E3006="USD",'管线假设'!I655,1)-AM3006</x:f>
        <x:v>0.029799466666666663</x:v>
      </x:c>
      <x:c r="M3006" s="11" t="n">
        <x:f>'管线假设'!H655</x:f>
        <x:v>0.135</x:v>
      </x:c>
      <x:c r="N3006" s="11" t="n">
        <x:f>IF(G3006,L3006*AN3006/(1+M3006)^F3006,0)</x:f>
        <x:v>0.013541310252985675</x:v>
      </x:c>
      <x:c r="AJ3006" t="n">
        <x:v>0</x:v>
      </x:c>
      <x:c r="AK3006" t="n">
        <x:v>0</x:v>
      </x:c>
      <x:c r="AL3006" t="n">
        <x:v>0</x:v>
      </x:c>
      <x:c r="AM3006" t="n">
        <x:f>CHOOSE('假设'!$B$3,AJ3006,AK3006,AL3006)</x:f>
        <x:v>0</x:v>
      </x:c>
      <x:c r="AN3006" t="n">
        <x:v>1</x:v>
      </x:c>
    </x:row>
    <x:row r="3007" ht="23" customHeight="1">
      <x:c r="A3007" s="11" t="str">
        <x:v>688382.SH</x:v>
      </x:c>
      <x:c r="B3007" s="11" t="str">
        <x:v>一年</x:v>
      </x:c>
      <x:c r="C3007" s="11" t="str">
        <x:v>tyk_sle_cn</x:v>
      </x:c>
      <x:c r="D3007" s="11" t="str">
        <x:v>2034-12-31</x:v>
      </x:c>
      <x:c r="E3007" s="11" t="str">
        <x:v>CNY</x:v>
      </x:c>
      <x:c r="F3007" s="11" t="n">
        <x:v>7.227926078028747</x:v>
      </x:c>
      <x:c r="G3007" s="26" t="b">
        <x:v>1</x:v>
      </x:c>
      <x:c r="H3007" s="16" t="n">
        <x:v>0</x:v>
      </x:c>
      <x:c r="I3007" s="16" t="n">
        <x:v>0.65</x:v>
      </x:c>
      <x:c r="J3007" s="16" t="n">
        <x:v>1.9166666666666665</x:v>
      </x:c>
      <x:c r="K3007" s="11" t="n">
        <x:f>CHOOSE('假设'!$B$3,H3007,I3007,J3007)</x:f>
        <x:v>0.65</x:v>
      </x:c>
      <x:c r="L3007" s="11" t="n">
        <x:f>K3007*'管线假设'!E655*'管线假设'!F655*'管线假设'!G655*IF(E3007="USD",'管线假设'!I655,1)-AM3007</x:f>
        <x:v>0.04469919999999999</x:v>
      </x:c>
      <x:c r="M3007" s="11" t="n">
        <x:f>'管线假设'!H655</x:f>
        <x:v>0.135</x:v>
      </x:c>
      <x:c r="N3007" s="11" t="n">
        <x:f>IF(G3007,L3007*AN3007/(1+M3007)^F3007,0)</x:f>
        <x:v>0.017897555948894042</x:v>
      </x:c>
      <x:c r="AJ3007" t="n">
        <x:v>0</x:v>
      </x:c>
      <x:c r="AK3007" t="n">
        <x:v>0</x:v>
      </x:c>
      <x:c r="AL3007" t="n">
        <x:v>0</x:v>
      </x:c>
      <x:c r="AM3007" t="n">
        <x:f>CHOOSE('假设'!$B$3,AJ3007,AK3007,AL3007)</x:f>
        <x:v>0</x:v>
      </x:c>
      <x:c r="AN3007" t="n">
        <x:v>1</x:v>
      </x:c>
    </x:row>
    <x:row r="3008" ht="23" customHeight="1">
      <x:c r="A3008" s="11" t="str">
        <x:v>688382.SH</x:v>
      </x:c>
      <x:c r="B3008" s="11" t="str">
        <x:v>一年</x:v>
      </x:c>
      <x:c r="C3008" s="11" t="str">
        <x:v>tyk_sle_cn</x:v>
      </x:c>
      <x:c r="D3008" s="11" t="str">
        <x:v>2035-12-31</x:v>
      </x:c>
      <x:c r="E3008" s="11" t="str">
        <x:v>CNY</x:v>
      </x:c>
      <x:c r="F3008" s="11" t="n">
        <x:v>8.227241615331964</x:v>
      </x:c>
      <x:c r="G3008" s="26" t="b">
        <x:v>1</x:v>
      </x:c>
      <x:c r="H3008" s="16" t="n">
        <x:v>0.1</x:v>
      </x:c>
      <x:c r="I3008" s="16" t="n">
        <x:v>0.8666666666666667</x:v>
      </x:c>
      <x:c r="J3008" s="16" t="n">
        <x:v>2.3</x:v>
      </x:c>
      <x:c r="K3008" s="11" t="n">
        <x:f>CHOOSE('假设'!$B$3,H3008,I3008,J3008)</x:f>
        <x:v>0.8666666666666667</x:v>
      </x:c>
      <x:c r="L3008" s="11" t="n">
        <x:f>K3008*'管线假设'!E655*'管线假设'!F655*'管线假设'!G655*IF(E3008="USD",'管线假设'!I655,1)-AM3008</x:f>
        <x:v>0.059598933333333326</x:v>
      </x:c>
      <x:c r="M3008" s="11" t="n">
        <x:f>'管线假设'!H655</x:f>
        <x:v>0.135</x:v>
      </x:c>
      <x:c r="N3008" s="11" t="n">
        <x:f>IF(G3008,L3008*AN3008/(1+M3008)^F3008,0)</x:f>
        <x:v>0.021026851445071174</x:v>
      </x:c>
      <x:c r="AJ3008" t="n">
        <x:v>0</x:v>
      </x:c>
      <x:c r="AK3008" t="n">
        <x:v>0</x:v>
      </x:c>
      <x:c r="AL3008" t="n">
        <x:v>0</x:v>
      </x:c>
      <x:c r="AM3008" t="n">
        <x:f>CHOOSE('假设'!$B$3,AJ3008,AK3008,AL3008)</x:f>
        <x:v>0</x:v>
      </x:c>
      <x:c r="AN3008" t="n">
        <x:v>1</x:v>
      </x:c>
    </x:row>
    <x:row r="3009" ht="23" customHeight="1">
      <x:c r="A3009" s="11" t="str">
        <x:v>688382.SH</x:v>
      </x:c>
      <x:c r="B3009" s="11" t="str">
        <x:v>一年</x:v>
      </x:c>
      <x:c r="C3009" s="11" t="str">
        <x:v>tyk_sle_cn</x:v>
      </x:c>
      <x:c r="D3009" s="11" t="str">
        <x:v>2036-12-31</x:v>
      </x:c>
      <x:c r="E3009" s="11" t="str">
        <x:v>CNY</x:v>
      </x:c>
      <x:c r="F3009" s="11" t="n">
        <x:v>9.229295003422314</x:v>
      </x:c>
      <x:c r="G3009" s="26" t="b">
        <x:v>1</x:v>
      </x:c>
      <x:c r="H3009" s="16" t="n">
        <x:v>0.2</x:v>
      </x:c>
      <x:c r="I3009" s="16" t="n">
        <x:v>1.0833333333333335</x:v>
      </x:c>
      <x:c r="J3009" s="16" t="n">
        <x:v>2.001</x:v>
      </x:c>
      <x:c r="K3009" s="11" t="n">
        <x:f>CHOOSE('假设'!$B$3,H3009,I3009,J3009)</x:f>
        <x:v>1.0833333333333335</x:v>
      </x:c>
      <x:c r="L3009" s="11" t="n">
        <x:f>K3009*'管线假设'!E655*'管线假设'!F655*'管线假设'!G655*IF(E3009="USD",'管线假设'!I655,1)-AM3009</x:f>
        <x:v>0.07449866666666666</x:v>
      </x:c>
      <x:c r="M3009" s="11" t="n">
        <x:f>'管线假设'!H655</x:f>
        <x:v>0.135</x:v>
      </x:c>
      <x:c r="N3009" s="11" t="n">
        <x:f>IF(G3009,L3009*AN3009/(1+M3009)^F3009,0)</x:f>
        <x:v>0.023151304656677453</x:v>
      </x:c>
      <x:c r="AJ3009" t="n">
        <x:v>0</x:v>
      </x:c>
      <x:c r="AK3009" t="n">
        <x:v>0</x:v>
      </x:c>
      <x:c r="AL3009" t="n">
        <x:v>0</x:v>
      </x:c>
      <x:c r="AM3009" t="n">
        <x:f>CHOOSE('假设'!$B$3,AJ3009,AK3009,AL3009)</x:f>
        <x:v>0</x:v>
      </x:c>
      <x:c r="AN3009" t="n">
        <x:v>1</x:v>
      </x:c>
    </x:row>
    <x:row r="3010" ht="23" customHeight="1">
      <x:c r="A3010" s="11" t="str">
        <x:v>688382.SH</x:v>
      </x:c>
      <x:c r="B3010" s="11" t="str">
        <x:v>一年</x:v>
      </x:c>
      <x:c r="C3010" s="11" t="str">
        <x:v>tyk_sle_cn</x:v>
      </x:c>
      <x:c r="D3010" s="11" t="str">
        <x:v>2037-12-31</x:v>
      </x:c>
      <x:c r="E3010" s="11" t="str">
        <x:v>CNY</x:v>
      </x:c>
      <x:c r="F3010" s="11" t="n">
        <x:v>10.22861054072553</x:v>
      </x:c>
      <x:c r="G3010" s="26" t="b">
        <x:v>1</x:v>
      </x:c>
      <x:c r="H3010" s="16" t="n">
        <x:v>0.3</x:v>
      </x:c>
      <x:c r="I3010" s="16" t="n">
        <x:v>1.3</x:v>
      </x:c>
      <x:c r="J3010" s="16" t="n">
        <x:v>1.702</x:v>
      </x:c>
      <x:c r="K3010" s="11" t="n">
        <x:f>CHOOSE('假设'!$B$3,H3010,I3010,J3010)</x:f>
        <x:v>1.3</x:v>
      </x:c>
      <x:c r="L3010" s="11" t="n">
        <x:f>K3010*'管线假设'!E655*'管线假设'!F655*'管线假设'!G655*IF(E3010="USD",'管线假设'!I655,1)-AM3010</x:f>
        <x:v>0.08939839999999998</x:v>
      </x:c>
      <x:c r="M3010" s="11" t="n">
        <x:f>'管线假设'!H655</x:f>
        <x:v>0.135</x:v>
      </x:c>
      <x:c r="N3010" s="11" t="n">
        <x:f>IF(G3010,L3010*AN3010/(1+M3010)^F3010,0)</x:f>
        <x:v>0.02447927195473079</x:v>
      </x:c>
      <x:c r="AJ3010" t="n">
        <x:v>0</x:v>
      </x:c>
      <x:c r="AK3010" t="n">
        <x:v>0</x:v>
      </x:c>
      <x:c r="AL3010" t="n">
        <x:v>0</x:v>
      </x:c>
      <x:c r="AM3010" t="n">
        <x:f>CHOOSE('假设'!$B$3,AJ3010,AK3010,AL3010)</x:f>
        <x:v>0</x:v>
      </x:c>
      <x:c r="AN3010" t="n">
        <x:v>1</x:v>
      </x:c>
    </x:row>
    <x:row r="3011" ht="23" customHeight="1">
      <x:c r="A3011" s="11" t="str">
        <x:v>688382.SH</x:v>
      </x:c>
      <x:c r="B3011" s="11" t="str">
        <x:v>一年</x:v>
      </x:c>
      <x:c r="C3011" s="11" t="str">
        <x:v>tyk_sle_cn</x:v>
      </x:c>
      <x:c r="D3011" s="11" t="str">
        <x:v>2038-12-31</x:v>
      </x:c>
      <x:c r="E3011" s="11" t="str">
        <x:v>CNY</x:v>
      </x:c>
      <x:c r="F3011" s="11" t="n">
        <x:v>11.227926078028748</x:v>
      </x:c>
      <x:c r="G3011" s="26" t="b">
        <x:v>1</x:v>
      </x:c>
      <x:c r="H3011" s="16" t="n">
        <x:v>0.4</x:v>
      </x:c>
      <x:c r="I3011" s="16" t="n">
        <x:v>1.131</x:v>
      </x:c>
      <x:c r="J3011" s="16" t="n">
        <x:v>1.4029999999999998</x:v>
      </x:c>
      <x:c r="K3011" s="11" t="n">
        <x:f>CHOOSE('假设'!$B$3,H3011,I3011,J3011)</x:f>
        <x:v>1.131</x:v>
      </x:c>
      <x:c r="L3011" s="11" t="n">
        <x:f>K3011*'管线假设'!E655*'管线假设'!F655*'管线假设'!G655*IF(E3011="USD",'管线假设'!I655,1)-AM3011</x:f>
        <x:v>0.07777660799999998</x:v>
      </x:c>
      <x:c r="M3011" s="11" t="n">
        <x:f>'管线假设'!H655</x:f>
        <x:v>0.135</x:v>
      </x:c>
      <x:c r="N3011" s="11" t="n">
        <x:f>IF(G3011,L3011*AN3011/(1+M3011)^F3011,0)</x:f>
        <x:v>0.018765473658267664</x:v>
      </x:c>
      <x:c r="AJ3011" t="n">
        <x:v>0</x:v>
      </x:c>
      <x:c r="AK3011" t="n">
        <x:v>0</x:v>
      </x:c>
      <x:c r="AL3011" t="n">
        <x:v>0</x:v>
      </x:c>
      <x:c r="AM3011" t="n">
        <x:f>CHOOSE('假设'!$B$3,AJ3011,AK3011,AL3011)</x:f>
        <x:v>0</x:v>
      </x:c>
      <x:c r="AN3011" t="n">
        <x:v>1</x:v>
      </x:c>
    </x:row>
    <x:row r="3012" ht="23" customHeight="1">
      <x:c r="A3012" s="11" t="str">
        <x:v>688382.SH</x:v>
      </x:c>
      <x:c r="B3012" s="11" t="str">
        <x:v>一年</x:v>
      </x:c>
      <x:c r="C3012" s="11" t="str">
        <x:v>tyk_sle_cn</x:v>
      </x:c>
      <x:c r="D3012" s="11" t="str">
        <x:v>2039-12-31</x:v>
      </x:c>
      <x:c r="E3012" s="11" t="str">
        <x:v>CNY</x:v>
      </x:c>
      <x:c r="F3012" s="11" t="n">
        <x:v>12.227241615331964</x:v>
      </x:c>
      <x:c r="G3012" s="26" t="b">
        <x:v>1</x:v>
      </x:c>
      <x:c r="H3012" s="16" t="n">
        <x:v>0.5</x:v>
      </x:c>
      <x:c r="I3012" s="16" t="n">
        <x:v>0.962</x:v>
      </x:c>
      <x:c r="J3012" s="16" t="n">
        <x:v>1.1039999999999999</x:v>
      </x:c>
      <x:c r="K3012" s="11" t="n">
        <x:f>CHOOSE('假设'!$B$3,H3012,I3012,J3012)</x:f>
        <x:v>0.962</x:v>
      </x:c>
      <x:c r="L3012" s="11" t="n">
        <x:f>K3012*'管线假设'!E655*'管线假设'!F655*'管线假设'!G655*IF(E3012="USD",'管线假设'!I655,1)-AM3012</x:f>
        <x:v>0.06615481599999999</x:v>
      </x:c>
      <x:c r="M3012" s="11" t="n">
        <x:f>'管线假设'!H655</x:f>
        <x:v>0.135</x:v>
      </x:c>
      <x:c r="N3012" s="11" t="n">
        <x:f>IF(G3012,L3012*AN3012/(1+M3012)^F3012,0)</x:f>
        <x:v>0.014064159372021545</x:v>
      </x:c>
      <x:c r="AJ3012" t="n">
        <x:v>0</x:v>
      </x:c>
      <x:c r="AK3012" t="n">
        <x:v>0</x:v>
      </x:c>
      <x:c r="AL3012" t="n">
        <x:v>0</x:v>
      </x:c>
      <x:c r="AM3012" t="n">
        <x:f>CHOOSE('假设'!$B$3,AJ3012,AK3012,AL3012)</x:f>
        <x:v>0</x:v>
      </x:c>
      <x:c r="AN3012" t="n">
        <x:v>1</x:v>
      </x:c>
    </x:row>
    <x:row r="3013" ht="23" customHeight="1">
      <x:c r="A3013" s="11" t="str">
        <x:v>688382.SH</x:v>
      </x:c>
      <x:c r="B3013" s="11" t="str">
        <x:v>一年</x:v>
      </x:c>
      <x:c r="C3013" s="11" t="str">
        <x:v>tyk_sle_cn</x:v>
      </x:c>
      <x:c r="D3013" s="11" t="str">
        <x:v>2040-12-31</x:v>
      </x:c>
      <x:c r="E3013" s="11" t="str">
        <x:v>CNY</x:v>
      </x:c>
      <x:c r="F3013" s="11" t="n">
        <x:v>13.229295003422314</x:v>
      </x:c>
      <x:c r="G3013" s="26" t="b">
        <x:v>1</x:v>
      </x:c>
      <x:c r="H3013" s="16" t="n">
        <x:v>0.435</x:v>
      </x:c>
      <x:c r="I3013" s="16" t="n">
        <x:v>0.793</x:v>
      </x:c>
      <x:c r="J3013" s="16" t="n">
        <x:v>0.8049999999999999</x:v>
      </x:c>
      <x:c r="K3013" s="11" t="n">
        <x:f>CHOOSE('假设'!$B$3,H3013,I3013,J3013)</x:f>
        <x:v>0.793</x:v>
      </x:c>
      <x:c r="L3013" s="11" t="n">
        <x:f>K3013*'管线假设'!E655*'管线假设'!F655*'管线假设'!G655*IF(E3013="USD",'管线假设'!I655,1)-AM3013</x:f>
        <x:v>0.05453302399999999</x:v>
      </x:c>
      <x:c r="M3013" s="11" t="n">
        <x:f>'管线假设'!H655</x:f>
        <x:v>0.135</x:v>
      </x:c>
      <x:c r="N3013" s="11" t="n">
        <x:f>IF(G3013,L3013*AN3013/(1+M3013)^F3013,0)</x:f>
        <x:v>0.010211818917016042</x:v>
      </x:c>
      <x:c r="AJ3013" t="n">
        <x:v>0</x:v>
      </x:c>
      <x:c r="AK3013" t="n">
        <x:v>0</x:v>
      </x:c>
      <x:c r="AL3013" t="n">
        <x:v>0</x:v>
      </x:c>
      <x:c r="AM3013" t="n">
        <x:f>CHOOSE('假设'!$B$3,AJ3013,AK3013,AL3013)</x:f>
        <x:v>0</x:v>
      </x:c>
      <x:c r="AN3013" t="n">
        <x:v>1</x:v>
      </x:c>
    </x:row>
    <x:row r="3014" ht="23" customHeight="1">
      <x:c r="A3014" s="11" t="str">
        <x:v>688382.SH</x:v>
      </x:c>
      <x:c r="B3014" s="11" t="str">
        <x:v>一年</x:v>
      </x:c>
      <x:c r="C3014" s="11" t="str">
        <x:v>tyk_sle_cn</x:v>
      </x:c>
      <x:c r="D3014" s="11" t="str">
        <x:v>2041-12-31</x:v>
      </x:c>
      <x:c r="E3014" s="11" t="str">
        <x:v>CNY</x:v>
      </x:c>
      <x:c r="F3014" s="11" t="n">
        <x:v>14.22861054072553</x:v>
      </x:c>
      <x:c r="G3014" s="26" t="b">
        <x:v>1</x:v>
      </x:c>
      <x:c r="H3014" s="16" t="n">
        <x:v>0.37</x:v>
      </x:c>
      <x:c r="I3014" s="16" t="n">
        <x:v>0.624</x:v>
      </x:c>
      <x:c r="J3014" s="16" t="n">
        <x:v>0.5059999999999999</x:v>
      </x:c>
      <x:c r="K3014" s="11" t="n">
        <x:f>CHOOSE('假设'!$B$3,H3014,I3014,J3014)</x:f>
        <x:v>0.624</x:v>
      </x:c>
      <x:c r="L3014" s="11" t="n">
        <x:f>K3014*'管线假设'!E655*'管线假设'!F655*'管线假设'!G655*IF(E3014="USD",'管线假设'!I655,1)-AM3014</x:f>
        <x:v>0.042911231999999994</x:v>
      </x:c>
      <x:c r="M3014" s="11" t="n">
        <x:f>'管线假设'!H655</x:f>
        <x:v>0.135</x:v>
      </x:c>
      <x:c r="N3014" s="11" t="n">
        <x:f>IF(G3014,L3014*AN3014/(1+M3014)^F3014,0)</x:f>
        <x:v>0.007080375464275875</x:v>
      </x:c>
      <x:c r="AJ3014" t="n">
        <x:v>0</x:v>
      </x:c>
      <x:c r="AK3014" t="n">
        <x:v>0</x:v>
      </x:c>
      <x:c r="AL3014" t="n">
        <x:v>0</x:v>
      </x:c>
      <x:c r="AM3014" t="n">
        <x:f>CHOOSE('假设'!$B$3,AJ3014,AK3014,AL3014)</x:f>
        <x:v>0</x:v>
      </x:c>
      <x:c r="AN3014" t="n">
        <x:v>1</x:v>
      </x:c>
    </x:row>
    <x:row r="3015" ht="23" customHeight="1">
      <x:c r="A3015" s="11" t="str">
        <x:v>688382.SH</x:v>
      </x:c>
      <x:c r="B3015" s="11" t="str">
        <x:v>一年</x:v>
      </x:c>
      <x:c r="C3015" s="11" t="str">
        <x:v>tyk_sle_cn</x:v>
      </x:c>
      <x:c r="D3015" s="11" t="str">
        <x:v>2042-12-31</x:v>
      </x:c>
      <x:c r="E3015" s="11" t="str">
        <x:v>CNY</x:v>
      </x:c>
      <x:c r="F3015" s="11" t="n">
        <x:v>15.227926078028748</x:v>
      </x:c>
      <x:c r="G3015" s="26" t="b">
        <x:v>1</x:v>
      </x:c>
      <x:c r="H3015" s="16" t="n">
        <x:v>0.305</x:v>
      </x:c>
      <x:c r="I3015" s="16" t="n">
        <x:v>0.45499999999999996</x:v>
      </x:c>
      <x:c r="J3015" s="16" t="n">
        <x:v>0.2069999999999999</x:v>
      </x:c>
      <x:c r="K3015" s="11" t="n">
        <x:f>CHOOSE('假设'!$B$3,H3015,I3015,J3015)</x:f>
        <x:v>0.45499999999999996</x:v>
      </x:c>
      <x:c r="L3015" s="11" t="n">
        <x:f>K3015*'管线假设'!E655*'管线假设'!F655*'管线假设'!G655*IF(E3015="USD",'管线假设'!I655,1)-AM3015</x:f>
        <x:v>0.031289439999999995</x:v>
      </x:c>
      <x:c r="M3015" s="11" t="n">
        <x:f>'管线假设'!H655</x:f>
        <x:v>0.135</x:v>
      </x:c>
      <x:c r="N3015" s="11" t="n">
        <x:f>IF(G3015,L3015*AN3015/(1+M3015)^F3015,0)</x:f>
        <x:v>0.004549093639230719</x:v>
      </x:c>
      <x:c r="AJ3015" t="n">
        <x:v>0</x:v>
      </x:c>
      <x:c r="AK3015" t="n">
        <x:v>0</x:v>
      </x:c>
      <x:c r="AL3015" t="n">
        <x:v>0</x:v>
      </x:c>
      <x:c r="AM3015" t="n">
        <x:f>CHOOSE('假设'!$B$3,AJ3015,AK3015,AL3015)</x:f>
        <x:v>0</x:v>
      </x:c>
      <x:c r="AN3015" t="n">
        <x:v>1</x:v>
      </x:c>
    </x:row>
    <x:row r="3016" ht="23" customHeight="1">
      <x:c r="A3016" s="11" t="str">
        <x:v>688382.SH</x:v>
      </x:c>
      <x:c r="B3016" s="11" t="str">
        <x:v>一年</x:v>
      </x:c>
      <x:c r="C3016" s="11" t="str">
        <x:v>tyk_sle_cn</x:v>
      </x:c>
      <x:c r="D3016" s="11" t="str">
        <x:v>2043-12-31</x:v>
      </x:c>
      <x:c r="E3016" s="11" t="str">
        <x:v>CNY</x:v>
      </x:c>
      <x:c r="F3016" s="11" t="n">
        <x:v>16.227241615331966</x:v>
      </x:c>
      <x:c r="G3016" s="26" t="b">
        <x:v>1</x:v>
      </x:c>
      <x:c r="H3016" s="16" t="n">
        <x:v>0.24</x:v>
      </x:c>
      <x:c r="I3016" s="16" t="n">
        <x:v>0.286</x:v>
      </x:c>
      <x:c r="J3016" s="16" t="n">
        <x:v>0</x:v>
      </x:c>
      <x:c r="K3016" s="11" t="n">
        <x:f>CHOOSE('假设'!$B$3,H3016,I3016,J3016)</x:f>
        <x:v>0.286</x:v>
      </x:c>
      <x:c r="L3016" s="11" t="n">
        <x:f>K3016*'管线假设'!E655*'管线假设'!F655*'管线假设'!G655*IF(E3016="USD",'管线假设'!I655,1)-AM3016</x:f>
        <x:v>0.019667647999999996</x:v>
      </x:c>
      <x:c r="M3016" s="11" t="n">
        <x:f>'管线假设'!H655</x:f>
        <x:v>0.135</x:v>
      </x:c>
      <x:c r="N3016" s="11" t="n">
        <x:f>IF(G3016,L3016*AN3016/(1+M3016)^F3016,0)</x:f>
        <x:v>0.002519540211726266</x:v>
      </x:c>
      <x:c r="AJ3016" t="n">
        <x:v>0</x:v>
      </x:c>
      <x:c r="AK3016" t="n">
        <x:v>0</x:v>
      </x:c>
      <x:c r="AL3016" t="n">
        <x:v>0</x:v>
      </x:c>
      <x:c r="AM3016" t="n">
        <x:f>CHOOSE('假设'!$B$3,AJ3016,AK3016,AL3016)</x:f>
        <x:v>0</x:v>
      </x:c>
      <x:c r="AN3016" t="n">
        <x:v>1</x:v>
      </x:c>
    </x:row>
    <x:row r="3017" ht="23" customHeight="1">
      <x:c r="A3017" s="11" t="str">
        <x:v>688382.SH</x:v>
      </x:c>
      <x:c r="B3017" s="11" t="str">
        <x:v>一年</x:v>
      </x:c>
      <x:c r="C3017" s="11" t="str">
        <x:v>tyk_sle_cn</x:v>
      </x:c>
      <x:c r="D3017" s="11" t="str">
        <x:v>2044-12-31</x:v>
      </x:c>
      <x:c r="E3017" s="11" t="str">
        <x:v>CNY</x:v>
      </x:c>
      <x:c r="F3017" s="11" t="n">
        <x:v>17.229295003422312</x:v>
      </x:c>
      <x:c r="G3017" s="26" t="b">
        <x:v>1</x:v>
      </x:c>
      <x:c r="H3017" s="16" t="n">
        <x:v>0.175</x:v>
      </x:c>
      <x:c r="I3017" s="16" t="n">
        <x:v>0.11699999999999997</x:v>
      </x:c>
      <x:c r="J3017" s="16" t="n">
        <x:v>0</x:v>
      </x:c>
      <x:c r="K3017" s="11" t="n">
        <x:f>CHOOSE('假设'!$B$3,H3017,I3017,J3017)</x:f>
        <x:v>0.11699999999999997</x:v>
      </x:c>
      <x:c r="L3017" s="11" t="n">
        <x:f>K3017*'管线假设'!E655*'管线假设'!F655*'管线假设'!G655*IF(E3017="USD",'管线假设'!I655,1)-AM3017</x:f>
        <x:v>0.008045855999999995</x:v>
      </x:c>
      <x:c r="M3017" s="11" t="n">
        <x:f>'管线假设'!H655</x:f>
        <x:v>0.135</x:v>
      </x:c>
      <x:c r="N3017" s="11" t="n">
        <x:f>IF(G3017,L3017*AN3017/(1+M3017)^F3017,0)</x:f>
        <x:v>0.0009078881201007083</x:v>
      </x:c>
      <x:c r="AJ3017" t="n">
        <x:v>0</x:v>
      </x:c>
      <x:c r="AK3017" t="n">
        <x:v>0</x:v>
      </x:c>
      <x:c r="AL3017" t="n">
        <x:v>0</x:v>
      </x:c>
      <x:c r="AM3017" t="n">
        <x:f>CHOOSE('假设'!$B$3,AJ3017,AK3017,AL3017)</x:f>
        <x:v>0</x:v>
      </x:c>
      <x:c r="AN3017" t="n">
        <x:v>1</x:v>
      </x:c>
    </x:row>
    <x:row r="3018" ht="23" customHeight="1">
      <x:c r="A3018" s="11" t="str">
        <x:v>688382.SH</x:v>
      </x:c>
      <x:c r="B3018" s="11" t="str">
        <x:v>一年</x:v>
      </x:c>
      <x:c r="C3018" s="11" t="str">
        <x:v>tyk_sle_cn</x:v>
      </x:c>
      <x:c r="D3018" s="11" t="str">
        <x:v>2045-12-31</x:v>
      </x:c>
      <x:c r="E3018" s="11" t="str">
        <x:v>CNY</x:v>
      </x:c>
      <x:c r="F3018" s="11" t="n">
        <x:v>18.22861054072553</x:v>
      </x:c>
      <x:c r="G3018" s="26" t="b">
        <x:v>1</x:v>
      </x:c>
      <x:c r="H3018" s="16" t="n">
        <x:v>0.10999999999999999</x:v>
      </x:c>
      <x:c r="I3018" s="16" t="n">
        <x:v>0</x:v>
      </x:c>
      <x:c r="J3018" s="16" t="n">
        <x:v>0</x:v>
      </x:c>
      <x:c r="K3018" s="11" t="n">
        <x:f>CHOOSE('假设'!$B$3,H3018,I3018,J3018)</x:f>
        <x:v>0</x:v>
      </x:c>
      <x:c r="L3018" s="11" t="n">
        <x:f>K3018*'管线假设'!E655*'管线假设'!F655*'管线假设'!G655*IF(E3018="USD",'管线假设'!I655,1)-AM3018</x:f>
        <x:v>0</x:v>
      </x:c>
      <x:c r="M3018" s="11" t="n">
        <x:f>'管线假设'!H655</x:f>
        <x:v>0.135</x:v>
      </x:c>
      <x:c r="N3018" s="11" t="n">
        <x:f>IF(G3018,L3018*AN3018/(1+M3018)^F3018,0)</x:f>
        <x:v>0</x:v>
      </x:c>
      <x:c r="AJ3018" t="n">
        <x:v>0</x:v>
      </x:c>
      <x:c r="AK3018" t="n">
        <x:v>0</x:v>
      </x:c>
      <x:c r="AL3018" t="n">
        <x:v>0</x:v>
      </x:c>
      <x:c r="AM3018" t="n">
        <x:f>CHOOSE('假设'!$B$3,AJ3018,AK3018,AL3018)</x:f>
        <x:v>0</x:v>
      </x:c>
      <x:c r="AN3018" t="n">
        <x:v>1</x:v>
      </x:c>
    </x:row>
    <x:row r="3019" ht="23" customHeight="1">
      <x:c r="A3019" s="11" t="str">
        <x:v>688382.SH</x:v>
      </x:c>
      <x:c r="B3019" s="11" t="str">
        <x:v>一年</x:v>
      </x:c>
      <x:c r="C3019" s="11" t="str">
        <x:v>tyk_psa_cn</x:v>
      </x:c>
      <x:c r="D3019" s="11" t="str">
        <x:v>2027-12-31</x:v>
      </x:c>
      <x:c r="E3019" s="11" t="str">
        <x:v>CNY</x:v>
      </x:c>
      <x:c r="F3019" s="11" t="n">
        <x:v>0.2272416153319644</x:v>
      </x:c>
      <x:c r="G3019" s="26" t="b">
        <x:v>1</x:v>
      </x:c>
      <x:c r="H3019" s="16" t="n">
        <x:v>0</x:v>
      </x:c>
      <x:c r="I3019" s="16" t="n">
        <x:v>0</x:v>
      </x:c>
      <x:c r="J3019" s="16" t="n">
        <x:v>0</x:v>
      </x:c>
      <x:c r="K3019" s="11" t="n">
        <x:f>CHOOSE('假设'!$B$3,H3019,I3019,J3019)</x:f>
        <x:v>0</x:v>
      </x:c>
      <x:c r="L3019" s="11" t="n">
        <x:f>K3019*'管线假设'!E659*'管线假设'!F659*'管线假设'!G659*IF(E3019="USD",'管线假设'!I659,1)-AM3019</x:f>
        <x:v>0</x:v>
      </x:c>
      <x:c r="M3019" s="11" t="n">
        <x:f>'管线假设'!H659</x:f>
        <x:v>0.135</x:v>
      </x:c>
      <x:c r="N3019" s="11" t="n">
        <x:f>IF(G3019,L3019*AN3019/(1+M3019)^F3019,0)</x:f>
        <x:v>0</x:v>
      </x:c>
      <x:c r="AJ3019" t="n">
        <x:v>0</x:v>
      </x:c>
      <x:c r="AK3019" t="n">
        <x:v>0</x:v>
      </x:c>
      <x:c r="AL3019" t="n">
        <x:v>0</x:v>
      </x:c>
      <x:c r="AM3019" t="n">
        <x:f>CHOOSE('假设'!$B$3,AJ3019,AK3019,AL3019)</x:f>
        <x:v>0</x:v>
      </x:c>
      <x:c r="AN3019" t="n">
        <x:v>1</x:v>
      </x:c>
    </x:row>
    <x:row r="3020" ht="23" customHeight="1">
      <x:c r="A3020" s="11" t="str">
        <x:v>688382.SH</x:v>
      </x:c>
      <x:c r="B3020" s="11" t="str">
        <x:v>一年</x:v>
      </x:c>
      <x:c r="C3020" s="11" t="str">
        <x:v>tyk_psa_cn</x:v>
      </x:c>
      <x:c r="D3020" s="11" t="str">
        <x:v>2028-12-31</x:v>
      </x:c>
      <x:c r="E3020" s="11" t="str">
        <x:v>CNY</x:v>
      </x:c>
      <x:c r="F3020" s="11" t="n">
        <x:v>1.2292950034223136</x:v>
      </x:c>
      <x:c r="G3020" s="26" t="b">
        <x:v>1</x:v>
      </x:c>
      <x:c r="H3020" s="16" t="n">
        <x:v>0</x:v>
      </x:c>
      <x:c r="I3020" s="16" t="n">
        <x:v>0</x:v>
      </x:c>
      <x:c r="J3020" s="16" t="n">
        <x:v>0</x:v>
      </x:c>
      <x:c r="K3020" s="11" t="n">
        <x:f>CHOOSE('假设'!$B$3,H3020,I3020,J3020)</x:f>
        <x:v>0</x:v>
      </x:c>
      <x:c r="L3020" s="11" t="n">
        <x:f>K3020*'管线假设'!E659*'管线假设'!F659*'管线假设'!G659*IF(E3020="USD",'管线假设'!I659,1)-AM3020</x:f>
        <x:v>0</x:v>
      </x:c>
      <x:c r="M3020" s="11" t="n">
        <x:f>'管线假设'!H659</x:f>
        <x:v>0.135</x:v>
      </x:c>
      <x:c r="N3020" s="11" t="n">
        <x:f>IF(G3020,L3020*AN3020/(1+M3020)^F3020,0)</x:f>
        <x:v>0</x:v>
      </x:c>
      <x:c r="AJ3020" t="n">
        <x:v>0</x:v>
      </x:c>
      <x:c r="AK3020" t="n">
        <x:v>0</x:v>
      </x:c>
      <x:c r="AL3020" t="n">
        <x:v>0</x:v>
      </x:c>
      <x:c r="AM3020" t="n">
        <x:f>CHOOSE('假设'!$B$3,AJ3020,AK3020,AL3020)</x:f>
        <x:v>0</x:v>
      </x:c>
      <x:c r="AN3020" t="n">
        <x:v>1</x:v>
      </x:c>
    </x:row>
    <x:row r="3021" ht="23" customHeight="1">
      <x:c r="A3021" s="11" t="str">
        <x:v>688382.SH</x:v>
      </x:c>
      <x:c r="B3021" s="11" t="str">
        <x:v>一年</x:v>
      </x:c>
      <x:c r="C3021" s="11" t="str">
        <x:v>tyk_psa_cn</x:v>
      </x:c>
      <x:c r="D3021" s="11" t="str">
        <x:v>2029-12-31</x:v>
      </x:c>
      <x:c r="E3021" s="11" t="str">
        <x:v>CNY</x:v>
      </x:c>
      <x:c r="F3021" s="11" t="n">
        <x:v>2.2286105407255303</x:v>
      </x:c>
      <x:c r="G3021" s="26" t="b">
        <x:v>1</x:v>
      </x:c>
      <x:c r="H3021" s="16" t="n">
        <x:v>0</x:v>
      </x:c>
      <x:c r="I3021" s="16" t="n">
        <x:v>0</x:v>
      </x:c>
      <x:c r="J3021" s="16" t="n">
        <x:v>0.2333333333333333</x:v>
      </x:c>
      <x:c r="K3021" s="11" t="n">
        <x:f>CHOOSE('假设'!$B$3,H3021,I3021,J3021)</x:f>
        <x:v>0</x:v>
      </x:c>
      <x:c r="L3021" s="11" t="n">
        <x:f>K3021*'管线假设'!E659*'管线假设'!F659*'管线假设'!G659*IF(E3021="USD",'管线假设'!I659,1)-AM3021</x:f>
        <x:v>0</x:v>
      </x:c>
      <x:c r="M3021" s="11" t="n">
        <x:f>'管线假设'!H659</x:f>
        <x:v>0.135</x:v>
      </x:c>
      <x:c r="N3021" s="11" t="n">
        <x:f>IF(G3021,L3021*AN3021/(1+M3021)^F3021,0)</x:f>
        <x:v>0</x:v>
      </x:c>
      <x:c r="AJ3021" t="n">
        <x:v>0</x:v>
      </x:c>
      <x:c r="AK3021" t="n">
        <x:v>0</x:v>
      </x:c>
      <x:c r="AL3021" t="n">
        <x:v>0</x:v>
      </x:c>
      <x:c r="AM3021" t="n">
        <x:f>CHOOSE('假设'!$B$3,AJ3021,AK3021,AL3021)</x:f>
        <x:v>0</x:v>
      </x:c>
      <x:c r="AN3021" t="n">
        <x:v>1</x:v>
      </x:c>
    </x:row>
    <x:row r="3022" ht="23" customHeight="1">
      <x:c r="A3022" s="11" t="str">
        <x:v>688382.SH</x:v>
      </x:c>
      <x:c r="B3022" s="11" t="str">
        <x:v>一年</x:v>
      </x:c>
      <x:c r="C3022" s="11" t="str">
        <x:v>tyk_psa_cn</x:v>
      </x:c>
      <x:c r="D3022" s="11" t="str">
        <x:v>2030-12-31</x:v>
      </x:c>
      <x:c r="E3022" s="11" t="str">
        <x:v>CNY</x:v>
      </x:c>
      <x:c r="F3022" s="11" t="n">
        <x:v>3.2279260780287475</x:v>
      </x:c>
      <x:c r="G3022" s="26" t="b">
        <x:v>1</x:v>
      </x:c>
      <x:c r="H3022" s="16" t="n">
        <x:v>0</x:v>
      </x:c>
      <x:c r="I3022" s="16" t="n">
        <x:v>0</x:v>
      </x:c>
      <x:c r="J3022" s="16" t="n">
        <x:v>0.4666666666666666</x:v>
      </x:c>
      <x:c r="K3022" s="11" t="n">
        <x:f>CHOOSE('假设'!$B$3,H3022,I3022,J3022)</x:f>
        <x:v>0</x:v>
      </x:c>
      <x:c r="L3022" s="11" t="n">
        <x:f>K3022*'管线假设'!E659*'管线假设'!F659*'管线假设'!G659*IF(E3022="USD",'管线假设'!I659,1)-AM3022</x:f>
        <x:v>0</x:v>
      </x:c>
      <x:c r="M3022" s="11" t="n">
        <x:f>'管线假设'!H659</x:f>
        <x:v>0.135</x:v>
      </x:c>
      <x:c r="N3022" s="11" t="n">
        <x:f>IF(G3022,L3022*AN3022/(1+M3022)^F3022,0)</x:f>
        <x:v>0</x:v>
      </x:c>
      <x:c r="AJ3022" t="n">
        <x:v>0</x:v>
      </x:c>
      <x:c r="AK3022" t="n">
        <x:v>0</x:v>
      </x:c>
      <x:c r="AL3022" t="n">
        <x:v>0</x:v>
      </x:c>
      <x:c r="AM3022" t="n">
        <x:f>CHOOSE('假设'!$B$3,AJ3022,AK3022,AL3022)</x:f>
        <x:v>0</x:v>
      </x:c>
      <x:c r="AN3022" t="n">
        <x:v>1</x:v>
      </x:c>
    </x:row>
    <x:row r="3023" ht="23" customHeight="1">
      <x:c r="A3023" s="11" t="str">
        <x:v>688382.SH</x:v>
      </x:c>
      <x:c r="B3023" s="11" t="str">
        <x:v>一年</x:v>
      </x:c>
      <x:c r="C3023" s="11" t="str">
        <x:v>tyk_psa_cn</x:v>
      </x:c>
      <x:c r="D3023" s="11" t="str">
        <x:v>2031-12-31</x:v>
      </x:c>
      <x:c r="E3023" s="11" t="str">
        <x:v>CNY</x:v>
      </x:c>
      <x:c r="F3023" s="11" t="n">
        <x:v>4.227241615331964</x:v>
      </x:c>
      <x:c r="G3023" s="26" t="b">
        <x:v>1</x:v>
      </x:c>
      <x:c r="H3023" s="16" t="n">
        <x:v>0</x:v>
      </x:c>
      <x:c r="I3023" s="16" t="n">
        <x:v>0.13333333333333333</x:v>
      </x:c>
      <x:c r="J3023" s="16" t="n">
        <x:v>0.7</x:v>
      </x:c>
      <x:c r="K3023" s="11" t="n">
        <x:f>CHOOSE('假设'!$B$3,H3023,I3023,J3023)</x:f>
        <x:v>0.13333333333333333</x:v>
      </x:c>
      <x:c r="L3023" s="11" t="n">
        <x:f>K3023*'管线假设'!E659*'管线假设'!F659*'管线假设'!G659*IF(E3023="USD",'管线假设'!I659,1)-AM3023</x:f>
        <x:v>0.013290666666666668</x:v>
      </x:c>
      <x:c r="M3023" s="11" t="n">
        <x:f>'管线假设'!H659</x:f>
        <x:v>0.135</x:v>
      </x:c>
      <x:c r="N3023" s="11" t="n">
        <x:f>IF(G3023,L3023*AN3023/(1+M3023)^F3023,0)</x:f>
        <x:v>0.007781547474676505</x:v>
      </x:c>
      <x:c r="AJ3023" t="n">
        <x:v>0</x:v>
      </x:c>
      <x:c r="AK3023" t="n">
        <x:v>0</x:v>
      </x:c>
      <x:c r="AL3023" t="n">
        <x:v>0</x:v>
      </x:c>
      <x:c r="AM3023" t="n">
        <x:f>CHOOSE('假设'!$B$3,AJ3023,AK3023,AL3023)</x:f>
        <x:v>0</x:v>
      </x:c>
      <x:c r="AN3023" t="n">
        <x:v>1</x:v>
      </x:c>
    </x:row>
    <x:row r="3024" ht="23" customHeight="1">
      <x:c r="A3024" s="11" t="str">
        <x:v>688382.SH</x:v>
      </x:c>
      <x:c r="B3024" s="11" t="str">
        <x:v>一年</x:v>
      </x:c>
      <x:c r="C3024" s="11" t="str">
        <x:v>tyk_psa_cn</x:v>
      </x:c>
      <x:c r="D3024" s="11" t="str">
        <x:v>2032-12-31</x:v>
      </x:c>
      <x:c r="E3024" s="11" t="str">
        <x:v>CNY</x:v>
      </x:c>
      <x:c r="F3024" s="11" t="n">
        <x:v>5.229295003422314</x:v>
      </x:c>
      <x:c r="G3024" s="26" t="b">
        <x:v>1</x:v>
      </x:c>
      <x:c r="H3024" s="16" t="n">
        <x:v>0</x:v>
      </x:c>
      <x:c r="I3024" s="16" t="n">
        <x:v>0.26666666666666666</x:v>
      </x:c>
      <x:c r="J3024" s="16" t="n">
        <x:v>0.9333333333333332</x:v>
      </x:c>
      <x:c r="K3024" s="11" t="n">
        <x:f>CHOOSE('假设'!$B$3,H3024,I3024,J3024)</x:f>
        <x:v>0.26666666666666666</x:v>
      </x:c>
      <x:c r="L3024" s="11" t="n">
        <x:f>K3024*'管线假设'!E659*'管线假设'!F659*'管线假设'!G659*IF(E3024="USD",'管线假设'!I659,1)-AM3024</x:f>
        <x:v>0.026581333333333335</x:v>
      </x:c>
      <x:c r="M3024" s="11" t="n">
        <x:f>'管线假设'!H659</x:f>
        <x:v>0.135</x:v>
      </x:c>
      <x:c r="N3024" s="11" t="n">
        <x:f>IF(G3024,L3024*AN3024/(1+M3024)^F3024,0)</x:f>
        <x:v>0.013708412922001319</x:v>
      </x:c>
      <x:c r="AJ3024" t="n">
        <x:v>0</x:v>
      </x:c>
      <x:c r="AK3024" t="n">
        <x:v>0</x:v>
      </x:c>
      <x:c r="AL3024" t="n">
        <x:v>0</x:v>
      </x:c>
      <x:c r="AM3024" t="n">
        <x:f>CHOOSE('假设'!$B$3,AJ3024,AK3024,AL3024)</x:f>
        <x:v>0</x:v>
      </x:c>
      <x:c r="AN3024" t="n">
        <x:v>1</x:v>
      </x:c>
    </x:row>
    <x:row r="3025" ht="23" customHeight="1">
      <x:c r="A3025" s="11" t="str">
        <x:v>688382.SH</x:v>
      </x:c>
      <x:c r="B3025" s="11" t="str">
        <x:v>一年</x:v>
      </x:c>
      <x:c r="C3025" s="11" t="str">
        <x:v>tyk_psa_cn</x:v>
      </x:c>
      <x:c r="D3025" s="11" t="str">
        <x:v>2033-12-31</x:v>
      </x:c>
      <x:c r="E3025" s="11" t="str">
        <x:v>CNY</x:v>
      </x:c>
      <x:c r="F3025" s="11" t="n">
        <x:v>6.228610540725531</x:v>
      </x:c>
      <x:c r="G3025" s="26" t="b">
        <x:v>1</x:v>
      </x:c>
      <x:c r="H3025" s="16" t="n">
        <x:v>0</x:v>
      </x:c>
      <x:c r="I3025" s="16" t="n">
        <x:v>0.4</x:v>
      </x:c>
      <x:c r="J3025" s="16" t="n">
        <x:v>1.1666666666666667</x:v>
      </x:c>
      <x:c r="K3025" s="11" t="n">
        <x:f>CHOOSE('假设'!$B$3,H3025,I3025,J3025)</x:f>
        <x:v>0.4</x:v>
      </x:c>
      <x:c r="L3025" s="11" t="n">
        <x:f>K3025*'管线假设'!E659*'管线假设'!F659*'管线假设'!G659*IF(E3025="USD",'管线假设'!I659,1)-AM3025</x:f>
        <x:v>0.039872000000000005</x:v>
      </x:c>
      <x:c r="M3025" s="11" t="n">
        <x:f>'管线假设'!H659</x:f>
        <x:v>0.135</x:v>
      </x:c>
      <x:c r="N3025" s="11" t="n">
        <x:f>IF(G3025,L3025*AN3025/(1+M3025)^F3025,0)</x:f>
        <x:v>0.01811841562288738</x:v>
      </x:c>
      <x:c r="AJ3025" t="n">
        <x:v>0</x:v>
      </x:c>
      <x:c r="AK3025" t="n">
        <x:v>0</x:v>
      </x:c>
      <x:c r="AL3025" t="n">
        <x:v>0</x:v>
      </x:c>
      <x:c r="AM3025" t="n">
        <x:f>CHOOSE('假设'!$B$3,AJ3025,AK3025,AL3025)</x:f>
        <x:v>0</x:v>
      </x:c>
      <x:c r="AN3025" t="n">
        <x:v>1</x:v>
      </x:c>
    </x:row>
    <x:row r="3026" ht="23" customHeight="1">
      <x:c r="A3026" s="11" t="str">
        <x:v>688382.SH</x:v>
      </x:c>
      <x:c r="B3026" s="11" t="str">
        <x:v>一年</x:v>
      </x:c>
      <x:c r="C3026" s="11" t="str">
        <x:v>tyk_psa_cn</x:v>
      </x:c>
      <x:c r="D3026" s="11" t="str">
        <x:v>2034-12-31</x:v>
      </x:c>
      <x:c r="E3026" s="11" t="str">
        <x:v>CNY</x:v>
      </x:c>
      <x:c r="F3026" s="11" t="n">
        <x:v>7.227926078028747</x:v>
      </x:c>
      <x:c r="G3026" s="26" t="b">
        <x:v>1</x:v>
      </x:c>
      <x:c r="H3026" s="16" t="n">
        <x:v>0.06</x:v>
      </x:c>
      <x:c r="I3026" s="16" t="n">
        <x:v>0.5333333333333333</x:v>
      </x:c>
      <x:c r="J3026" s="16" t="n">
        <x:v>1.4</x:v>
      </x:c>
      <x:c r="K3026" s="11" t="n">
        <x:f>CHOOSE('假设'!$B$3,H3026,I3026,J3026)</x:f>
        <x:v>0.5333333333333333</x:v>
      </x:c>
      <x:c r="L3026" s="11" t="n">
        <x:f>K3026*'管线假设'!E659*'管线假设'!F659*'管线假设'!G659*IF(E3026="USD",'管线假设'!I659,1)-AM3026</x:f>
        <x:v>0.05316266666666667</x:v>
      </x:c>
      <x:c r="M3026" s="11" t="n">
        <x:f>'管线假设'!H659</x:f>
        <x:v>0.135</x:v>
      </x:c>
      <x:c r="N3026" s="11" t="n">
        <x:f>IF(G3026,L3026*AN3026/(1+M3026)^F3026,0)</x:f>
        <x:v>0.021286327295769753</x:v>
      </x:c>
      <x:c r="AJ3026" t="n">
        <x:v>0</x:v>
      </x:c>
      <x:c r="AK3026" t="n">
        <x:v>0</x:v>
      </x:c>
      <x:c r="AL3026" t="n">
        <x:v>0</x:v>
      </x:c>
      <x:c r="AM3026" t="n">
        <x:f>CHOOSE('假设'!$B$3,AJ3026,AK3026,AL3026)</x:f>
        <x:v>0</x:v>
      </x:c>
      <x:c r="AN3026" t="n">
        <x:v>1</x:v>
      </x:c>
    </x:row>
    <x:row r="3027" ht="23" customHeight="1">
      <x:c r="A3027" s="11" t="str">
        <x:v>688382.SH</x:v>
      </x:c>
      <x:c r="B3027" s="11" t="str">
        <x:v>一年</x:v>
      </x:c>
      <x:c r="C3027" s="11" t="str">
        <x:v>tyk_psa_cn</x:v>
      </x:c>
      <x:c r="D3027" s="11" t="str">
        <x:v>2035-12-31</x:v>
      </x:c>
      <x:c r="E3027" s="11" t="str">
        <x:v>CNY</x:v>
      </x:c>
      <x:c r="F3027" s="11" t="n">
        <x:v>8.227241615331964</x:v>
      </x:c>
      <x:c r="G3027" s="26" t="b">
        <x:v>1</x:v>
      </x:c>
      <x:c r="H3027" s="16" t="n">
        <x:v>0.12</x:v>
      </x:c>
      <x:c r="I3027" s="16" t="n">
        <x:v>0.6666666666666667</x:v>
      </x:c>
      <x:c r="J3027" s="16" t="n">
        <x:v>1.218</x:v>
      </x:c>
      <x:c r="K3027" s="11" t="n">
        <x:f>CHOOSE('假设'!$B$3,H3027,I3027,J3027)</x:f>
        <x:v>0.6666666666666667</x:v>
      </x:c>
      <x:c r="L3027" s="11" t="n">
        <x:f>K3027*'管线假设'!E659*'管线假设'!F659*'管线假设'!G659*IF(E3027="USD",'管线假设'!I659,1)-AM3027</x:f>
        <x:v>0.06645333333333334</x:v>
      </x:c>
      <x:c r="M3027" s="11" t="n">
        <x:f>'管线假设'!H659</x:f>
        <x:v>0.135</x:v>
      </x:c>
      <x:c r="N3027" s="11" t="n">
        <x:f>IF(G3027,L3027*AN3027/(1+M3027)^F3027,0)</x:f>
        <x:v>0.023445123761104168</x:v>
      </x:c>
      <x:c r="AJ3027" t="n">
        <x:v>0</x:v>
      </x:c>
      <x:c r="AK3027" t="n">
        <x:v>0</x:v>
      </x:c>
      <x:c r="AL3027" t="n">
        <x:v>0</x:v>
      </x:c>
      <x:c r="AM3027" t="n">
        <x:f>CHOOSE('假设'!$B$3,AJ3027,AK3027,AL3027)</x:f>
        <x:v>0</x:v>
      </x:c>
      <x:c r="AN3027" t="n">
        <x:v>1</x:v>
      </x:c>
    </x:row>
    <x:row r="3028" ht="23" customHeight="1">
      <x:c r="A3028" s="11" t="str">
        <x:v>688382.SH</x:v>
      </x:c>
      <x:c r="B3028" s="11" t="str">
        <x:v>一年</x:v>
      </x:c>
      <x:c r="C3028" s="11" t="str">
        <x:v>tyk_psa_cn</x:v>
      </x:c>
      <x:c r="D3028" s="11" t="str">
        <x:v>2036-12-31</x:v>
      </x:c>
      <x:c r="E3028" s="11" t="str">
        <x:v>CNY</x:v>
      </x:c>
      <x:c r="F3028" s="11" t="n">
        <x:v>9.229295003422314</x:v>
      </x:c>
      <x:c r="G3028" s="26" t="b">
        <x:v>1</x:v>
      </x:c>
      <x:c r="H3028" s="16" t="n">
        <x:v>0.18</x:v>
      </x:c>
      <x:c r="I3028" s="16" t="n">
        <x:v>0.8</x:v>
      </x:c>
      <x:c r="J3028" s="16" t="n">
        <x:v>1.036</x:v>
      </x:c>
      <x:c r="K3028" s="11" t="n">
        <x:f>CHOOSE('假设'!$B$3,H3028,I3028,J3028)</x:f>
        <x:v>0.8</x:v>
      </x:c>
      <x:c r="L3028" s="11" t="n">
        <x:f>K3028*'管线假设'!E659*'管线假设'!F659*'管线假设'!G659*IF(E3028="USD",'管线假设'!I659,1)-AM3028</x:f>
        <x:v>0.07974400000000001</x:v>
      </x:c>
      <x:c r="M3028" s="11" t="n">
        <x:f>'管线假设'!H659</x:f>
        <x:v>0.135</x:v>
      </x:c>
      <x:c r="N3028" s="11" t="n">
        <x:f>IF(G3028,L3028*AN3028/(1+M3028)^F3028,0)</x:f>
        <x:v>0.024781351414013057</x:v>
      </x:c>
      <x:c r="AJ3028" t="n">
        <x:v>0</x:v>
      </x:c>
      <x:c r="AK3028" t="n">
        <x:v>0</x:v>
      </x:c>
      <x:c r="AL3028" t="n">
        <x:v>0</x:v>
      </x:c>
      <x:c r="AM3028" t="n">
        <x:f>CHOOSE('假设'!$B$3,AJ3028,AK3028,AL3028)</x:f>
        <x:v>0</x:v>
      </x:c>
      <x:c r="AN3028" t="n">
        <x:v>1</x:v>
      </x:c>
    </x:row>
    <x:row r="3029" ht="23" customHeight="1">
      <x:c r="A3029" s="11" t="str">
        <x:v>688382.SH</x:v>
      </x:c>
      <x:c r="B3029" s="11" t="str">
        <x:v>一年</x:v>
      </x:c>
      <x:c r="C3029" s="11" t="str">
        <x:v>tyk_psa_cn</x:v>
      </x:c>
      <x:c r="D3029" s="11" t="str">
        <x:v>2037-12-31</x:v>
      </x:c>
      <x:c r="E3029" s="11" t="str">
        <x:v>CNY</x:v>
      </x:c>
      <x:c r="F3029" s="11" t="n">
        <x:v>10.22861054072553</x:v>
      </x:c>
      <x:c r="G3029" s="26" t="b">
        <x:v>1</x:v>
      </x:c>
      <x:c r="H3029" s="16" t="n">
        <x:v>0.24</x:v>
      </x:c>
      <x:c r="I3029" s="16" t="n">
        <x:v>0.6960000000000001</x:v>
      </x:c>
      <x:c r="J3029" s="16" t="n">
        <x:v>0.854</x:v>
      </x:c>
      <x:c r="K3029" s="11" t="n">
        <x:f>CHOOSE('假设'!$B$3,H3029,I3029,J3029)</x:f>
        <x:v>0.6960000000000001</x:v>
      </x:c>
      <x:c r="L3029" s="11" t="n">
        <x:f>K3029*'管线假设'!E659*'管线假设'!F659*'管线假设'!G659*IF(E3029="USD",'管线假设'!I659,1)-AM3029</x:f>
        <x:v>0.06937728000000001</x:v>
      </x:c>
      <x:c r="M3029" s="11" t="n">
        <x:f>'管线假设'!H659</x:f>
        <x:v>0.135</x:v>
      </x:c>
      <x:c r="N3029" s="11" t="n">
        <x:f>IF(G3029,L3029*AN3029/(1+M3029)^F3029,0)</x:f>
        <x:v>0.018997043622699133</x:v>
      </x:c>
      <x:c r="AJ3029" t="n">
        <x:v>0</x:v>
      </x:c>
      <x:c r="AK3029" t="n">
        <x:v>0</x:v>
      </x:c>
      <x:c r="AL3029" t="n">
        <x:v>0</x:v>
      </x:c>
      <x:c r="AM3029" t="n">
        <x:f>CHOOSE('假设'!$B$3,AJ3029,AK3029,AL3029)</x:f>
        <x:v>0</x:v>
      </x:c>
      <x:c r="AN3029" t="n">
        <x:v>1</x:v>
      </x:c>
    </x:row>
    <x:row r="3030" ht="23" customHeight="1">
      <x:c r="A3030" s="11" t="str">
        <x:v>688382.SH</x:v>
      </x:c>
      <x:c r="B3030" s="11" t="str">
        <x:v>一年</x:v>
      </x:c>
      <x:c r="C3030" s="11" t="str">
        <x:v>tyk_psa_cn</x:v>
      </x:c>
      <x:c r="D3030" s="11" t="str">
        <x:v>2038-12-31</x:v>
      </x:c>
      <x:c r="E3030" s="11" t="str">
        <x:v>CNY</x:v>
      </x:c>
      <x:c r="F3030" s="11" t="n">
        <x:v>11.227926078028748</x:v>
      </x:c>
      <x:c r="G3030" s="26" t="b">
        <x:v>1</x:v>
      </x:c>
      <x:c r="H3030" s="16" t="n">
        <x:v>0.3</x:v>
      </x:c>
      <x:c r="I3030" s="16" t="n">
        <x:v>0.592</x:v>
      </x:c>
      <x:c r="J3030" s="16" t="n">
        <x:v>0.6719999999999999</x:v>
      </x:c>
      <x:c r="K3030" s="11" t="n">
        <x:f>CHOOSE('假设'!$B$3,H3030,I3030,J3030)</x:f>
        <x:v>0.592</x:v>
      </x:c>
      <x:c r="L3030" s="11" t="n">
        <x:f>K3030*'管线假设'!E659*'管线假设'!F659*'管线假设'!G659*IF(E3030="USD",'管线假设'!I659,1)-AM3030</x:f>
        <x:v>0.05901056</x:v>
      </x:c>
      <x:c r="M3030" s="11" t="n">
        <x:f>'管线假设'!H659</x:f>
        <x:v>0.135</x:v>
      </x:c>
      <x:c r="N3030" s="11" t="n">
        <x:f>IF(G3030,L3030*AN3030/(1+M3030)^F3030,0)</x:f>
        <x:v>0.014237714111158251</x:v>
      </x:c>
      <x:c r="AJ3030" t="n">
        <x:v>0</x:v>
      </x:c>
      <x:c r="AK3030" t="n">
        <x:v>0</x:v>
      </x:c>
      <x:c r="AL3030" t="n">
        <x:v>0</x:v>
      </x:c>
      <x:c r="AM3030" t="n">
        <x:f>CHOOSE('假设'!$B$3,AJ3030,AK3030,AL3030)</x:f>
        <x:v>0</x:v>
      </x:c>
      <x:c r="AN3030" t="n">
        <x:v>1</x:v>
      </x:c>
    </x:row>
    <x:row r="3031" ht="23" customHeight="1">
      <x:c r="A3031" s="11" t="str">
        <x:v>688382.SH</x:v>
      </x:c>
      <x:c r="B3031" s="11" t="str">
        <x:v>一年</x:v>
      </x:c>
      <x:c r="C3031" s="11" t="str">
        <x:v>tyk_psa_cn</x:v>
      </x:c>
      <x:c r="D3031" s="11" t="str">
        <x:v>2039-12-31</x:v>
      </x:c>
      <x:c r="E3031" s="11" t="str">
        <x:v>CNY</x:v>
      </x:c>
      <x:c r="F3031" s="11" t="n">
        <x:v>12.227241615331964</x:v>
      </x:c>
      <x:c r="G3031" s="26" t="b">
        <x:v>1</x:v>
      </x:c>
      <x:c r="H3031" s="16" t="n">
        <x:v>0.261</x:v>
      </x:c>
      <x:c r="I3031" s="16" t="n">
        <x:v>0.488</x:v>
      </x:c>
      <x:c r="J3031" s="16" t="n">
        <x:v>0.48999999999999994</x:v>
      </x:c>
      <x:c r="K3031" s="11" t="n">
        <x:f>CHOOSE('假设'!$B$3,H3031,I3031,J3031)</x:f>
        <x:v>0.488</x:v>
      </x:c>
      <x:c r="L3031" s="11" t="n">
        <x:f>K3031*'管线假设'!E659*'管线假设'!F659*'管线假设'!G659*IF(E3031="USD",'管线假设'!I659,1)-AM3031</x:f>
        <x:v>0.04864384</x:v>
      </x:c>
      <x:c r="M3031" s="11" t="n">
        <x:f>'管线假设'!H659</x:f>
        <x:v>0.135</x:v>
      </x:c>
      <x:c r="N3031" s="11" t="n">
        <x:f>IF(G3031,L3031*AN3031/(1+M3031)^F3031,0)</x:f>
        <x:v>0.010341419712014868</x:v>
      </x:c>
      <x:c r="AJ3031" t="n">
        <x:v>0</x:v>
      </x:c>
      <x:c r="AK3031" t="n">
        <x:v>0</x:v>
      </x:c>
      <x:c r="AL3031" t="n">
        <x:v>0</x:v>
      </x:c>
      <x:c r="AM3031" t="n">
        <x:f>CHOOSE('假设'!$B$3,AJ3031,AK3031,AL3031)</x:f>
        <x:v>0</x:v>
      </x:c>
      <x:c r="AN3031" t="n">
        <x:v>1</x:v>
      </x:c>
    </x:row>
    <x:row r="3032" ht="23" customHeight="1">
      <x:c r="A3032" s="11" t="str">
        <x:v>688382.SH</x:v>
      </x:c>
      <x:c r="B3032" s="11" t="str">
        <x:v>一年</x:v>
      </x:c>
      <x:c r="C3032" s="11" t="str">
        <x:v>tyk_psa_cn</x:v>
      </x:c>
      <x:c r="D3032" s="11" t="str">
        <x:v>2040-12-31</x:v>
      </x:c>
      <x:c r="E3032" s="11" t="str">
        <x:v>CNY</x:v>
      </x:c>
      <x:c r="F3032" s="11" t="n">
        <x:v>13.229295003422314</x:v>
      </x:c>
      <x:c r="G3032" s="26" t="b">
        <x:v>1</x:v>
      </x:c>
      <x:c r="H3032" s="16" t="n">
        <x:v>0.222</x:v>
      </x:c>
      <x:c r="I3032" s="16" t="n">
        <x:v>0.384</x:v>
      </x:c>
      <x:c r="J3032" s="16" t="n">
        <x:v>0.30799999999999994</x:v>
      </x:c>
      <x:c r="K3032" s="11" t="n">
        <x:f>CHOOSE('假设'!$B$3,H3032,I3032,J3032)</x:f>
        <x:v>0.384</x:v>
      </x:c>
      <x:c r="L3032" s="11" t="n">
        <x:f>K3032*'管线假设'!E659*'管线假设'!F659*'管线假设'!G659*IF(E3032="USD",'管线假设'!I659,1)-AM3032</x:f>
        <x:v>0.038277120000000005</x:v>
      </x:c>
      <x:c r="M3032" s="11" t="n">
        <x:f>'管线假设'!H659</x:f>
        <x:v>0.135</x:v>
      </x:c>
      <x:c r="N3032" s="11" t="n">
        <x:f>IF(G3032,L3032*AN3032/(1+M3032)^F3032,0)</x:f>
        <x:v>0.007167748814092781</x:v>
      </x:c>
      <x:c r="AJ3032" t="n">
        <x:v>0</x:v>
      </x:c>
      <x:c r="AK3032" t="n">
        <x:v>0</x:v>
      </x:c>
      <x:c r="AL3032" t="n">
        <x:v>0</x:v>
      </x:c>
      <x:c r="AM3032" t="n">
        <x:f>CHOOSE('假设'!$B$3,AJ3032,AK3032,AL3032)</x:f>
        <x:v>0</x:v>
      </x:c>
      <x:c r="AN3032" t="n">
        <x:v>1</x:v>
      </x:c>
    </x:row>
    <x:row r="3033" ht="23" customHeight="1">
      <x:c r="A3033" s="11" t="str">
        <x:v>688382.SH</x:v>
      </x:c>
      <x:c r="B3033" s="11" t="str">
        <x:v>一年</x:v>
      </x:c>
      <x:c r="C3033" s="11" t="str">
        <x:v>tyk_psa_cn</x:v>
      </x:c>
      <x:c r="D3033" s="11" t="str">
        <x:v>2041-12-31</x:v>
      </x:c>
      <x:c r="E3033" s="11" t="str">
        <x:v>CNY</x:v>
      </x:c>
      <x:c r="F3033" s="11" t="n">
        <x:v>14.22861054072553</x:v>
      </x:c>
      <x:c r="G3033" s="26" t="b">
        <x:v>1</x:v>
      </x:c>
      <x:c r="H3033" s="16" t="n">
        <x:v>0.183</x:v>
      </x:c>
      <x:c r="I3033" s="16" t="n">
        <x:v>0.27999999999999997</x:v>
      </x:c>
      <x:c r="J3033" s="16" t="n">
        <x:v>0.12599999999999995</x:v>
      </x:c>
      <x:c r="K3033" s="11" t="n">
        <x:f>CHOOSE('假设'!$B$3,H3033,I3033,J3033)</x:f>
        <x:v>0.27999999999999997</x:v>
      </x:c>
      <x:c r="L3033" s="11" t="n">
        <x:f>K3033*'管线假设'!E659*'管线假设'!F659*'管线假设'!G659*IF(E3033="USD",'管线假设'!I659,1)-AM3033</x:f>
        <x:v>0.0279104</x:v>
      </x:c>
      <x:c r="M3033" s="11" t="n">
        <x:f>'管线假设'!H659</x:f>
        <x:v>0.135</x:v>
      </x:c>
      <x:c r="N3033" s="11" t="n">
        <x:f>IF(G3033,L3033*AN3033/(1+M3033)^F3033,0)</x:f>
        <x:v>0.004605230429136255</x:v>
      </x:c>
      <x:c r="AJ3033" t="n">
        <x:v>0</x:v>
      </x:c>
      <x:c r="AK3033" t="n">
        <x:v>0</x:v>
      </x:c>
      <x:c r="AL3033" t="n">
        <x:v>0</x:v>
      </x:c>
      <x:c r="AM3033" t="n">
        <x:f>CHOOSE('假设'!$B$3,AJ3033,AK3033,AL3033)</x:f>
        <x:v>0</x:v>
      </x:c>
      <x:c r="AN3033" t="n">
        <x:v>1</x:v>
      </x:c>
    </x:row>
    <x:row r="3034" ht="23" customHeight="1">
      <x:c r="A3034" s="11" t="str">
        <x:v>688382.SH</x:v>
      </x:c>
      <x:c r="B3034" s="11" t="str">
        <x:v>一年</x:v>
      </x:c>
      <x:c r="C3034" s="11" t="str">
        <x:v>tyk_psa_cn</x:v>
      </x:c>
      <x:c r="D3034" s="11" t="str">
        <x:v>2042-12-31</x:v>
      </x:c>
      <x:c r="E3034" s="11" t="str">
        <x:v>CNY</x:v>
      </x:c>
      <x:c r="F3034" s="11" t="n">
        <x:v>15.227926078028748</x:v>
      </x:c>
      <x:c r="G3034" s="26" t="b">
        <x:v>1</x:v>
      </x:c>
      <x:c r="H3034" s="16" t="n">
        <x:v>0.144</x:v>
      </x:c>
      <x:c r="I3034" s="16" t="n">
        <x:v>0.176</x:v>
      </x:c>
      <x:c r="J3034" s="16" t="n">
        <x:v>0</x:v>
      </x:c>
      <x:c r="K3034" s="11" t="n">
        <x:f>CHOOSE('假设'!$B$3,H3034,I3034,J3034)</x:f>
        <x:v>0.176</x:v>
      </x:c>
      <x:c r="L3034" s="11" t="n">
        <x:f>K3034*'管线假设'!E659*'管线假设'!F659*'管线假设'!G659*IF(E3034="USD",'管线假设'!I659,1)-AM3034</x:f>
        <x:v>0.01754368</x:v>
      </x:c>
      <x:c r="M3034" s="11" t="n">
        <x:f>'管线假设'!H659</x:f>
        <x:v>0.135</x:v>
      </x:c>
      <x:c r="N3034" s="11" t="n">
        <x:f>IF(G3034,L3034*AN3034/(1+M3034)^F3034,0)</x:f>
        <x:v>0.0025506318776142745</x:v>
      </x:c>
      <x:c r="AJ3034" t="n">
        <x:v>0</x:v>
      </x:c>
      <x:c r="AK3034" t="n">
        <x:v>0</x:v>
      </x:c>
      <x:c r="AL3034" t="n">
        <x:v>0</x:v>
      </x:c>
      <x:c r="AM3034" t="n">
        <x:f>CHOOSE('假设'!$B$3,AJ3034,AK3034,AL3034)</x:f>
        <x:v>0</x:v>
      </x:c>
      <x:c r="AN3034" t="n">
        <x:v>1</x:v>
      </x:c>
    </x:row>
    <x:row r="3035" ht="23" customHeight="1">
      <x:c r="A3035" s="11" t="str">
        <x:v>688382.SH</x:v>
      </x:c>
      <x:c r="B3035" s="11" t="str">
        <x:v>一年</x:v>
      </x:c>
      <x:c r="C3035" s="11" t="str">
        <x:v>tyk_psa_cn</x:v>
      </x:c>
      <x:c r="D3035" s="11" t="str">
        <x:v>2043-12-31</x:v>
      </x:c>
      <x:c r="E3035" s="11" t="str">
        <x:v>CNY</x:v>
      </x:c>
      <x:c r="F3035" s="11" t="n">
        <x:v>16.227241615331966</x:v>
      </x:c>
      <x:c r="G3035" s="26" t="b">
        <x:v>1</x:v>
      </x:c>
      <x:c r="H3035" s="16" t="n">
        <x:v>0.105</x:v>
      </x:c>
      <x:c r="I3035" s="16" t="n">
        <x:v>0.07199999999999998</x:v>
      </x:c>
      <x:c r="J3035" s="16" t="n">
        <x:v>0</x:v>
      </x:c>
      <x:c r="K3035" s="11" t="n">
        <x:f>CHOOSE('假设'!$B$3,H3035,I3035,J3035)</x:f>
        <x:v>0.07199999999999998</x:v>
      </x:c>
      <x:c r="L3035" s="11" t="n">
        <x:f>K3035*'管线假设'!E659*'管线假设'!F659*'管线假设'!G659*IF(E3035="USD",'管线假设'!I659,1)-AM3035</x:f>
        <x:v>0.007176959999999999</x:v>
      </x:c>
      <x:c r="M3035" s="11" t="n">
        <x:f>'管线假设'!H659</x:f>
        <x:v>0.135</x:v>
      </x:c>
      <x:c r="N3035" s="11" t="n">
        <x:f>IF(G3035,L3035*AN3035/(1+M3035)^F3035,0)</x:f>
        <x:v>0.0009194103594873643</x:v>
      </x:c>
      <x:c r="AJ3035" t="n">
        <x:v>0</x:v>
      </x:c>
      <x:c r="AK3035" t="n">
        <x:v>0</x:v>
      </x:c>
      <x:c r="AL3035" t="n">
        <x:v>0</x:v>
      </x:c>
      <x:c r="AM3035" t="n">
        <x:f>CHOOSE('假设'!$B$3,AJ3035,AK3035,AL3035)</x:f>
        <x:v>0</x:v>
      </x:c>
      <x:c r="AN3035" t="n">
        <x:v>1</x:v>
      </x:c>
    </x:row>
    <x:row r="3036" ht="23" customHeight="1">
      <x:c r="A3036" s="11" t="str">
        <x:v>688382.SH</x:v>
      </x:c>
      <x:c r="B3036" s="11" t="str">
        <x:v>一年</x:v>
      </x:c>
      <x:c r="C3036" s="11" t="str">
        <x:v>tyk_psa_cn</x:v>
      </x:c>
      <x:c r="D3036" s="11" t="str">
        <x:v>2044-12-31</x:v>
      </x:c>
      <x:c r="E3036" s="11" t="str">
        <x:v>CNY</x:v>
      </x:c>
      <x:c r="F3036" s="11" t="n">
        <x:v>17.229295003422312</x:v>
      </x:c>
      <x:c r="G3036" s="26" t="b">
        <x:v>1</x:v>
      </x:c>
      <x:c r="H3036" s="16" t="n">
        <x:v>0.06599999999999999</x:v>
      </x:c>
      <x:c r="I3036" s="16" t="n">
        <x:v>0</x:v>
      </x:c>
      <x:c r="J3036" s="16" t="n">
        <x:v>0</x:v>
      </x:c>
      <x:c r="K3036" s="11" t="n">
        <x:f>CHOOSE('假设'!$B$3,H3036,I3036,J3036)</x:f>
        <x:v>0</x:v>
      </x:c>
      <x:c r="L3036" s="11" t="n">
        <x:f>K3036*'管线假设'!E659*'管线假设'!F659*'管线假设'!G659*IF(E3036="USD",'管线假设'!I659,1)-AM3036</x:f>
        <x:v>0</x:v>
      </x:c>
      <x:c r="M3036" s="11" t="n">
        <x:f>'管线假设'!H659</x:f>
        <x:v>0.135</x:v>
      </x:c>
      <x:c r="N3036" s="11" t="n">
        <x:f>IF(G3036,L3036*AN3036/(1+M3036)^F3036,0)</x:f>
        <x:v>0</x:v>
      </x:c>
      <x:c r="AJ3036" t="n">
        <x:v>0</x:v>
      </x:c>
      <x:c r="AK3036" t="n">
        <x:v>0</x:v>
      </x:c>
      <x:c r="AL3036" t="n">
        <x:v>0</x:v>
      </x:c>
      <x:c r="AM3036" t="n">
        <x:f>CHOOSE('假设'!$B$3,AJ3036,AK3036,AL3036)</x:f>
        <x:v>0</x:v>
      </x:c>
      <x:c r="AN3036" t="n">
        <x:v>1</x:v>
      </x:c>
    </x:row>
    <x:row r="3037" ht="23" customHeight="1">
      <x:c r="A3037" s="11" t="str">
        <x:v>688382.SH</x:v>
      </x:c>
      <x:c r="B3037" s="11" t="str">
        <x:v>一年</x:v>
      </x:c>
      <x:c r="C3037" s="11" t="str">
        <x:v>tyk_psa_cn</x:v>
      </x:c>
      <x:c r="D3037" s="11" t="str">
        <x:v>2045-12-31</x:v>
      </x:c>
      <x:c r="E3037" s="11" t="str">
        <x:v>CNY</x:v>
      </x:c>
      <x:c r="F3037" s="11" t="n">
        <x:v>18.22861054072553</x:v>
      </x:c>
      <x:c r="G3037" s="26" t="b">
        <x:v>1</x:v>
      </x:c>
      <x:c r="H3037" s="16" t="n">
        <x:v>0.02699999999999999</x:v>
      </x:c>
      <x:c r="I3037" s="16" t="n">
        <x:v>0</x:v>
      </x:c>
      <x:c r="J3037" s="16" t="n">
        <x:v>0</x:v>
      </x:c>
      <x:c r="K3037" s="11" t="n">
        <x:f>CHOOSE('假设'!$B$3,H3037,I3037,J3037)</x:f>
        <x:v>0</x:v>
      </x:c>
      <x:c r="L3037" s="11" t="n">
        <x:f>K3037*'管线假设'!E659*'管线假设'!F659*'管线假设'!G659*IF(E3037="USD",'管线假设'!I659,1)-AM3037</x:f>
        <x:v>0</x:v>
      </x:c>
      <x:c r="M3037" s="11" t="n">
        <x:f>'管线假设'!H659</x:f>
        <x:v>0.135</x:v>
      </x:c>
      <x:c r="N3037" s="11" t="n">
        <x:f>IF(G3037,L3037*AN3037/(1+M3037)^F3037,0)</x:f>
        <x:v>0</x:v>
      </x:c>
      <x:c r="AJ3037" t="n">
        <x:v>0</x:v>
      </x:c>
      <x:c r="AK3037" t="n">
        <x:v>0</x:v>
      </x:c>
      <x:c r="AL3037" t="n">
        <x:v>0</x:v>
      </x:c>
      <x:c r="AM3037" t="n">
        <x:f>CHOOSE('假设'!$B$3,AJ3037,AK3037,AL3037)</x:f>
        <x:v>0</x:v>
      </x:c>
      <x:c r="AN3037" t="n">
        <x:v>1</x:v>
      </x:c>
    </x:row>
    <x:row r="3038" ht="23" customHeight="1">
      <x:c r="A3038" s="11" t="str">
        <x:v>688382.SH</x:v>
      </x:c>
      <x:c r="B3038" s="11" t="str">
        <x:v>一年</x:v>
      </x:c>
      <x:c r="C3038" s="11" t="str">
        <x:v>tyk_viti_cn</x:v>
      </x:c>
      <x:c r="D3038" s="11" t="str">
        <x:v>2027-12-31</x:v>
      </x:c>
      <x:c r="E3038" s="11" t="str">
        <x:v>CNY</x:v>
      </x:c>
      <x:c r="F3038" s="11" t="n">
        <x:v>0.2272416153319644</x:v>
      </x:c>
      <x:c r="G3038" s="26" t="b">
        <x:v>1</x:v>
      </x:c>
      <x:c r="H3038" s="16" t="n">
        <x:v>0</x:v>
      </x:c>
      <x:c r="I3038" s="16" t="n">
        <x:v>0</x:v>
      </x:c>
      <x:c r="J3038" s="16" t="n">
        <x:v>0</x:v>
      </x:c>
      <x:c r="K3038" s="11" t="n">
        <x:f>CHOOSE('假设'!$B$3,H3038,I3038,J3038)</x:f>
        <x:v>0</x:v>
      </x:c>
      <x:c r="L3038" s="11" t="n">
        <x:f>K3038*'管线假设'!E663*'管线假设'!F663*'管线假设'!G663*IF(E3038="USD",'管线假设'!I663,1)-AM3038</x:f>
        <x:v>0</x:v>
      </x:c>
      <x:c r="M3038" s="11" t="n">
        <x:f>'管线假设'!H663</x:f>
        <x:v>0.135</x:v>
      </x:c>
      <x:c r="N3038" s="11" t="n">
        <x:f>IF(G3038,L3038*AN3038/(1+M3038)^F3038,0)</x:f>
        <x:v>0</x:v>
      </x:c>
      <x:c r="AJ3038" t="n">
        <x:v>0</x:v>
      </x:c>
      <x:c r="AK3038" t="n">
        <x:v>0</x:v>
      </x:c>
      <x:c r="AL3038" t="n">
        <x:v>0</x:v>
      </x:c>
      <x:c r="AM3038" t="n">
        <x:f>CHOOSE('假设'!$B$3,AJ3038,AK3038,AL3038)</x:f>
        <x:v>0</x:v>
      </x:c>
      <x:c r="AN3038" t="n">
        <x:v>1</x:v>
      </x:c>
    </x:row>
    <x:row r="3039" ht="23" customHeight="1">
      <x:c r="A3039" s="11" t="str">
        <x:v>688382.SH</x:v>
      </x:c>
      <x:c r="B3039" s="11" t="str">
        <x:v>一年</x:v>
      </x:c>
      <x:c r="C3039" s="11" t="str">
        <x:v>tyk_viti_cn</x:v>
      </x:c>
      <x:c r="D3039" s="11" t="str">
        <x:v>2028-12-31</x:v>
      </x:c>
      <x:c r="E3039" s="11" t="str">
        <x:v>CNY</x:v>
      </x:c>
      <x:c r="F3039" s="11" t="n">
        <x:v>1.2292950034223136</x:v>
      </x:c>
      <x:c r="G3039" s="26" t="b">
        <x:v>1</x:v>
      </x:c>
      <x:c r="H3039" s="16" t="n">
        <x:v>0</x:v>
      </x:c>
      <x:c r="I3039" s="16" t="n">
        <x:v>0</x:v>
      </x:c>
      <x:c r="J3039" s="16" t="n">
        <x:v>0</x:v>
      </x:c>
      <x:c r="K3039" s="11" t="n">
        <x:f>CHOOSE('假设'!$B$3,H3039,I3039,J3039)</x:f>
        <x:v>0</x:v>
      </x:c>
      <x:c r="L3039" s="11" t="n">
        <x:f>K3039*'管线假设'!E663*'管线假设'!F663*'管线假设'!G663*IF(E3039="USD",'管线假设'!I663,1)-AM3039</x:f>
        <x:v>0</x:v>
      </x:c>
      <x:c r="M3039" s="11" t="n">
        <x:f>'管线假设'!H663</x:f>
        <x:v>0.135</x:v>
      </x:c>
      <x:c r="N3039" s="11" t="n">
        <x:f>IF(G3039,L3039*AN3039/(1+M3039)^F3039,0)</x:f>
        <x:v>0</x:v>
      </x:c>
      <x:c r="AJ3039" t="n">
        <x:v>0</x:v>
      </x:c>
      <x:c r="AK3039" t="n">
        <x:v>0</x:v>
      </x:c>
      <x:c r="AL3039" t="n">
        <x:v>0</x:v>
      </x:c>
      <x:c r="AM3039" t="n">
        <x:f>CHOOSE('假设'!$B$3,AJ3039,AK3039,AL3039)</x:f>
        <x:v>0</x:v>
      </x:c>
      <x:c r="AN3039" t="n">
        <x:v>1</x:v>
      </x:c>
    </x:row>
    <x:row r="3040" ht="23" customHeight="1">
      <x:c r="A3040" s="11" t="str">
        <x:v>688382.SH</x:v>
      </x:c>
      <x:c r="B3040" s="11" t="str">
        <x:v>一年</x:v>
      </x:c>
      <x:c r="C3040" s="11" t="str">
        <x:v>tyk_viti_cn</x:v>
      </x:c>
      <x:c r="D3040" s="11" t="str">
        <x:v>2029-12-31</x:v>
      </x:c>
      <x:c r="E3040" s="11" t="str">
        <x:v>CNY</x:v>
      </x:c>
      <x:c r="F3040" s="11" t="n">
        <x:v>2.2286105407255303</x:v>
      </x:c>
      <x:c r="G3040" s="26" t="b">
        <x:v>1</x:v>
      </x:c>
      <x:c r="H3040" s="16" t="n">
        <x:v>0</x:v>
      </x:c>
      <x:c r="I3040" s="16" t="n">
        <x:v>0</x:v>
      </x:c>
      <x:c r="J3040" s="16" t="n">
        <x:v>0</x:v>
      </x:c>
      <x:c r="K3040" s="11" t="n">
        <x:f>CHOOSE('假设'!$B$3,H3040,I3040,J3040)</x:f>
        <x:v>0</x:v>
      </x:c>
      <x:c r="L3040" s="11" t="n">
        <x:f>K3040*'管线假设'!E663*'管线假设'!F663*'管线假设'!G663*IF(E3040="USD",'管线假设'!I663,1)-AM3040</x:f>
        <x:v>0</x:v>
      </x:c>
      <x:c r="M3040" s="11" t="n">
        <x:f>'管线假设'!H663</x:f>
        <x:v>0.135</x:v>
      </x:c>
      <x:c r="N3040" s="11" t="n">
        <x:f>IF(G3040,L3040*AN3040/(1+M3040)^F3040,0)</x:f>
        <x:v>0</x:v>
      </x:c>
      <x:c r="AJ3040" t="n">
        <x:v>0</x:v>
      </x:c>
      <x:c r="AK3040" t="n">
        <x:v>0</x:v>
      </x:c>
      <x:c r="AL3040" t="n">
        <x:v>0</x:v>
      </x:c>
      <x:c r="AM3040" t="n">
        <x:f>CHOOSE('假设'!$B$3,AJ3040,AK3040,AL3040)</x:f>
        <x:v>0</x:v>
      </x:c>
      <x:c r="AN3040" t="n">
        <x:v>1</x:v>
      </x:c>
    </x:row>
    <x:row r="3041" ht="23" customHeight="1">
      <x:c r="A3041" s="11" t="str">
        <x:v>688382.SH</x:v>
      </x:c>
      <x:c r="B3041" s="11" t="str">
        <x:v>一年</x:v>
      </x:c>
      <x:c r="C3041" s="11" t="str">
        <x:v>tyk_viti_cn</x:v>
      </x:c>
      <x:c r="D3041" s="11" t="str">
        <x:v>2030-12-31</x:v>
      </x:c>
      <x:c r="E3041" s="11" t="str">
        <x:v>CNY</x:v>
      </x:c>
      <x:c r="F3041" s="11" t="n">
        <x:v>3.2279260780287475</x:v>
      </x:c>
      <x:c r="G3041" s="26" t="b">
        <x:v>1</x:v>
      </x:c>
      <x:c r="H3041" s="16" t="n">
        <x:v>0</x:v>
      </x:c>
      <x:c r="I3041" s="16" t="n">
        <x:v>0</x:v>
      </x:c>
      <x:c r="J3041" s="16" t="n">
        <x:v>0.3333333333333333</x:v>
      </x:c>
      <x:c r="K3041" s="11" t="n">
        <x:f>CHOOSE('假设'!$B$3,H3041,I3041,J3041)</x:f>
        <x:v>0</x:v>
      </x:c>
      <x:c r="L3041" s="11" t="n">
        <x:f>K3041*'管线假设'!E663*'管线假设'!F663*'管线假设'!G663*IF(E3041="USD",'管线假设'!I663,1)-AM3041</x:f>
        <x:v>0</x:v>
      </x:c>
      <x:c r="M3041" s="11" t="n">
        <x:f>'管线假设'!H663</x:f>
        <x:v>0.135</x:v>
      </x:c>
      <x:c r="N3041" s="11" t="n">
        <x:f>IF(G3041,L3041*AN3041/(1+M3041)^F3041,0)</x:f>
        <x:v>0</x:v>
      </x:c>
      <x:c r="AJ3041" t="n">
        <x:v>0</x:v>
      </x:c>
      <x:c r="AK3041" t="n">
        <x:v>0</x:v>
      </x:c>
      <x:c r="AL3041" t="n">
        <x:v>0</x:v>
      </x:c>
      <x:c r="AM3041" t="n">
        <x:f>CHOOSE('假设'!$B$3,AJ3041,AK3041,AL3041)</x:f>
        <x:v>0</x:v>
      </x:c>
      <x:c r="AN3041" t="n">
        <x:v>1</x:v>
      </x:c>
    </x:row>
    <x:row r="3042" ht="23" customHeight="1">
      <x:c r="A3042" s="11" t="str">
        <x:v>688382.SH</x:v>
      </x:c>
      <x:c r="B3042" s="11" t="str">
        <x:v>一年</x:v>
      </x:c>
      <x:c r="C3042" s="11" t="str">
        <x:v>tyk_viti_cn</x:v>
      </x:c>
      <x:c r="D3042" s="11" t="str">
        <x:v>2031-12-31</x:v>
      </x:c>
      <x:c r="E3042" s="11" t="str">
        <x:v>CNY</x:v>
      </x:c>
      <x:c r="F3042" s="11" t="n">
        <x:v>4.227241615331964</x:v>
      </x:c>
      <x:c r="G3042" s="26" t="b">
        <x:v>1</x:v>
      </x:c>
      <x:c r="H3042" s="16" t="n">
        <x:v>0</x:v>
      </x:c>
      <x:c r="I3042" s="16" t="n">
        <x:v>0</x:v>
      </x:c>
      <x:c r="J3042" s="16" t="n">
        <x:v>0.6666666666666666</x:v>
      </x:c>
      <x:c r="K3042" s="11" t="n">
        <x:f>CHOOSE('假设'!$B$3,H3042,I3042,J3042)</x:f>
        <x:v>0</x:v>
      </x:c>
      <x:c r="L3042" s="11" t="n">
        <x:f>K3042*'管线假设'!E663*'管线假设'!F663*'管线假设'!G663*IF(E3042="USD",'管线假设'!I663,1)-AM3042</x:f>
        <x:v>0</x:v>
      </x:c>
      <x:c r="M3042" s="11" t="n">
        <x:f>'管线假设'!H663</x:f>
        <x:v>0.135</x:v>
      </x:c>
      <x:c r="N3042" s="11" t="n">
        <x:f>IF(G3042,L3042*AN3042/(1+M3042)^F3042,0)</x:f>
        <x:v>0</x:v>
      </x:c>
      <x:c r="AJ3042" t="n">
        <x:v>0</x:v>
      </x:c>
      <x:c r="AK3042" t="n">
        <x:v>0</x:v>
      </x:c>
      <x:c r="AL3042" t="n">
        <x:v>0</x:v>
      </x:c>
      <x:c r="AM3042" t="n">
        <x:f>CHOOSE('假设'!$B$3,AJ3042,AK3042,AL3042)</x:f>
        <x:v>0</x:v>
      </x:c>
      <x:c r="AN3042" t="n">
        <x:v>1</x:v>
      </x:c>
    </x:row>
    <x:row r="3043" ht="23" customHeight="1">
      <x:c r="A3043" s="11" t="str">
        <x:v>688382.SH</x:v>
      </x:c>
      <x:c r="B3043" s="11" t="str">
        <x:v>一年</x:v>
      </x:c>
      <x:c r="C3043" s="11" t="str">
        <x:v>tyk_viti_cn</x:v>
      </x:c>
      <x:c r="D3043" s="11" t="str">
        <x:v>2032-12-31</x:v>
      </x:c>
      <x:c r="E3043" s="11" t="str">
        <x:v>CNY</x:v>
      </x:c>
      <x:c r="F3043" s="11" t="n">
        <x:v>5.229295003422314</x:v>
      </x:c>
      <x:c r="G3043" s="26" t="b">
        <x:v>1</x:v>
      </x:c>
      <x:c r="H3043" s="16" t="n">
        <x:v>0</x:v>
      </x:c>
      <x:c r="I3043" s="16" t="n">
        <x:v>0.16666666666666666</x:v>
      </x:c>
      <x:c r="J3043" s="16" t="n">
        <x:v>1</x:v>
      </x:c>
      <x:c r="K3043" s="11" t="n">
        <x:f>CHOOSE('假设'!$B$3,H3043,I3043,J3043)</x:f>
        <x:v>0.16666666666666666</x:v>
      </x:c>
      <x:c r="L3043" s="11" t="n">
        <x:f>K3043*'管线假设'!E663*'管线假设'!F663*'管线假设'!G663*IF(E3043="USD",'管线假设'!I663,1)-AM3043</x:f>
        <x:v>0.010173333333333333</x:v>
      </x:c>
      <x:c r="M3043" s="11" t="n">
        <x:f>'管线假设'!H663</x:f>
        <x:v>0.135</x:v>
      </x:c>
      <x:c r="N3043" s="11" t="n">
        <x:f>IF(G3043,L3043*AN3043/(1+M3043)^F3043,0)</x:f>
        <x:v>0.005246548484895167</x:v>
      </x:c>
      <x:c r="AJ3043" t="n">
        <x:v>0</x:v>
      </x:c>
      <x:c r="AK3043" t="n">
        <x:v>0</x:v>
      </x:c>
      <x:c r="AL3043" t="n">
        <x:v>0</x:v>
      </x:c>
      <x:c r="AM3043" t="n">
        <x:f>CHOOSE('假设'!$B$3,AJ3043,AK3043,AL3043)</x:f>
        <x:v>0</x:v>
      </x:c>
      <x:c r="AN3043" t="n">
        <x:v>1</x:v>
      </x:c>
    </x:row>
    <x:row r="3044" ht="23" customHeight="1">
      <x:c r="A3044" s="11" t="str">
        <x:v>688382.SH</x:v>
      </x:c>
      <x:c r="B3044" s="11" t="str">
        <x:v>一年</x:v>
      </x:c>
      <x:c r="C3044" s="11" t="str">
        <x:v>tyk_viti_cn</x:v>
      </x:c>
      <x:c r="D3044" s="11" t="str">
        <x:v>2033-12-31</x:v>
      </x:c>
      <x:c r="E3044" s="11" t="str">
        <x:v>CNY</x:v>
      </x:c>
      <x:c r="F3044" s="11" t="n">
        <x:v>6.228610540725531</x:v>
      </x:c>
      <x:c r="G3044" s="26" t="b">
        <x:v>1</x:v>
      </x:c>
      <x:c r="H3044" s="16" t="n">
        <x:v>0</x:v>
      </x:c>
      <x:c r="I3044" s="16" t="n">
        <x:v>0.3333333333333333</x:v>
      </x:c>
      <x:c r="J3044" s="16" t="n">
        <x:v>1.3333333333333333</x:v>
      </x:c>
      <x:c r="K3044" s="11" t="n">
        <x:f>CHOOSE('假设'!$B$3,H3044,I3044,J3044)</x:f>
        <x:v>0.3333333333333333</x:v>
      </x:c>
      <x:c r="L3044" s="11" t="n">
        <x:f>K3044*'管线假设'!E663*'管线假设'!F663*'管线假设'!G663*IF(E3044="USD",'管线假设'!I663,1)-AM3044</x:f>
        <x:v>0.020346666666666666</x:v>
      </x:c>
      <x:c r="M3044" s="11" t="n">
        <x:f>'管线假设'!H663</x:f>
        <x:v>0.135</x:v>
      </x:c>
      <x:c r="N3044" s="11" t="n">
        <x:f>IF(G3044,L3044*AN3044/(1+M3044)^F3044,0)</x:f>
        <x:v>0.009245820706435974</x:v>
      </x:c>
      <x:c r="AJ3044" t="n">
        <x:v>0</x:v>
      </x:c>
      <x:c r="AK3044" t="n">
        <x:v>0</x:v>
      </x:c>
      <x:c r="AL3044" t="n">
        <x:v>0</x:v>
      </x:c>
      <x:c r="AM3044" t="n">
        <x:f>CHOOSE('假设'!$B$3,AJ3044,AK3044,AL3044)</x:f>
        <x:v>0</x:v>
      </x:c>
      <x:c r="AN3044" t="n">
        <x:v>1</x:v>
      </x:c>
    </x:row>
    <x:row r="3045" ht="23" customHeight="1">
      <x:c r="A3045" s="11" t="str">
        <x:v>688382.SH</x:v>
      </x:c>
      <x:c r="B3045" s="11" t="str">
        <x:v>一年</x:v>
      </x:c>
      <x:c r="C3045" s="11" t="str">
        <x:v>tyk_viti_cn</x:v>
      </x:c>
      <x:c r="D3045" s="11" t="str">
        <x:v>2034-12-31</x:v>
      </x:c>
      <x:c r="E3045" s="11" t="str">
        <x:v>CNY</x:v>
      </x:c>
      <x:c r="F3045" s="11" t="n">
        <x:v>7.227926078028747</x:v>
      </x:c>
      <x:c r="G3045" s="26" t="b">
        <x:v>1</x:v>
      </x:c>
      <x:c r="H3045" s="16" t="n">
        <x:v>0</x:v>
      </x:c>
      <x:c r="I3045" s="16" t="n">
        <x:v>0.5</x:v>
      </x:c>
      <x:c r="J3045" s="16" t="n">
        <x:v>1.6666666666666667</x:v>
      </x:c>
      <x:c r="K3045" s="11" t="n">
        <x:f>CHOOSE('假设'!$B$3,H3045,I3045,J3045)</x:f>
        <x:v>0.5</x:v>
      </x:c>
      <x:c r="L3045" s="11" t="n">
        <x:f>K3045*'管线假设'!E663*'管线假设'!F663*'管线假设'!G663*IF(E3045="USD",'管线假设'!I663,1)-AM3045</x:f>
        <x:v>0.03052</x:v>
      </x:c>
      <x:c r="M3045" s="11" t="n">
        <x:f>'管线假设'!H663</x:f>
        <x:v>0.135</x:v>
      </x:c>
      <x:c r="N3045" s="11" t="n">
        <x:f>IF(G3045,L3045*AN3045/(1+M3045)^F3045,0)</x:f>
        <x:v>0.012220205452452088</x:v>
      </x:c>
      <x:c r="AJ3045" t="n">
        <x:v>0</x:v>
      </x:c>
      <x:c r="AK3045" t="n">
        <x:v>0</x:v>
      </x:c>
      <x:c r="AL3045" t="n">
        <x:v>0</x:v>
      </x:c>
      <x:c r="AM3045" t="n">
        <x:f>CHOOSE('假设'!$B$3,AJ3045,AK3045,AL3045)</x:f>
        <x:v>0</x:v>
      </x:c>
      <x:c r="AN3045" t="n">
        <x:v>1</x:v>
      </x:c>
    </x:row>
    <x:row r="3046" ht="23" customHeight="1">
      <x:c r="A3046" s="11" t="str">
        <x:v>688382.SH</x:v>
      </x:c>
      <x:c r="B3046" s="11" t="str">
        <x:v>一年</x:v>
      </x:c>
      <x:c r="C3046" s="11" t="str">
        <x:v>tyk_viti_cn</x:v>
      </x:c>
      <x:c r="D3046" s="11" t="str">
        <x:v>2035-12-31</x:v>
      </x:c>
      <x:c r="E3046" s="11" t="str">
        <x:v>CNY</x:v>
      </x:c>
      <x:c r="F3046" s="11" t="n">
        <x:v>8.227241615331964</x:v>
      </x:c>
      <x:c r="G3046" s="26" t="b">
        <x:v>1</x:v>
      </x:c>
      <x:c r="H3046" s="16" t="n">
        <x:v>0.08000000000000002</x:v>
      </x:c>
      <x:c r="I3046" s="16" t="n">
        <x:v>0.6666666666666666</x:v>
      </x:c>
      <x:c r="J3046" s="16" t="n">
        <x:v>2</x:v>
      </x:c>
      <x:c r="K3046" s="11" t="n">
        <x:f>CHOOSE('假设'!$B$3,H3046,I3046,J3046)</x:f>
        <x:v>0.6666666666666666</x:v>
      </x:c>
      <x:c r="L3046" s="11" t="n">
        <x:f>K3046*'管线假设'!E663*'管线假设'!F663*'管线假设'!G663*IF(E3046="USD",'管线假设'!I663,1)-AM3046</x:f>
        <x:v>0.04069333333333333</x:v>
      </x:c>
      <x:c r="M3046" s="11" t="n">
        <x:f>'管线假设'!H663</x:f>
        <x:v>0.135</x:v>
      </x:c>
      <x:c r="N3046" s="11" t="n">
        <x:f>IF(G3046,L3046*AN3046/(1+M3046)^F3046,0)</x:f>
        <x:v>0.014356845449215472</x:v>
      </x:c>
      <x:c r="AJ3046" t="n">
        <x:v>0</x:v>
      </x:c>
      <x:c r="AK3046" t="n">
        <x:v>0</x:v>
      </x:c>
      <x:c r="AL3046" t="n">
        <x:v>0</x:v>
      </x:c>
      <x:c r="AM3046" t="n">
        <x:f>CHOOSE('假设'!$B$3,AJ3046,AK3046,AL3046)</x:f>
        <x:v>0</x:v>
      </x:c>
      <x:c r="AN3046" t="n">
        <x:v>1</x:v>
      </x:c>
    </x:row>
    <x:row r="3047" ht="23" customHeight="1">
      <x:c r="A3047" s="11" t="str">
        <x:v>688382.SH</x:v>
      </x:c>
      <x:c r="B3047" s="11" t="str">
        <x:v>一年</x:v>
      </x:c>
      <x:c r="C3047" s="11" t="str">
        <x:v>tyk_viti_cn</x:v>
      </x:c>
      <x:c r="D3047" s="11" t="str">
        <x:v>2036-12-31</x:v>
      </x:c>
      <x:c r="E3047" s="11" t="str">
        <x:v>CNY</x:v>
      </x:c>
      <x:c r="F3047" s="11" t="n">
        <x:v>9.229295003422314</x:v>
      </x:c>
      <x:c r="G3047" s="26" t="b">
        <x:v>1</x:v>
      </x:c>
      <x:c r="H3047" s="16" t="n">
        <x:v>0.16000000000000003</x:v>
      </x:c>
      <x:c r="I3047" s="16" t="n">
        <x:v>0.8333333333333334</x:v>
      </x:c>
      <x:c r="J3047" s="16" t="n">
        <x:v>1.74</x:v>
      </x:c>
      <x:c r="K3047" s="11" t="n">
        <x:f>CHOOSE('假设'!$B$3,H3047,I3047,J3047)</x:f>
        <x:v>0.8333333333333334</x:v>
      </x:c>
      <x:c r="L3047" s="11" t="n">
        <x:f>K3047*'管线假设'!E663*'管线假设'!F663*'管线假设'!G663*IF(E3047="USD",'管线假设'!I663,1)-AM3047</x:f>
        <x:v>0.050866666666666664</x:v>
      </x:c>
      <x:c r="M3047" s="11" t="n">
        <x:f>'管线假设'!H663</x:f>
        <x:v>0.135</x:v>
      </x:c>
      <x:c r="N3047" s="11" t="n">
        <x:f>IF(G3047,L3047*AN3047/(1+M3047)^F3047,0)</x:f>
        <x:v>0.015807392931457297</x:v>
      </x:c>
      <x:c r="AJ3047" t="n">
        <x:v>0</x:v>
      </x:c>
      <x:c r="AK3047" t="n">
        <x:v>0</x:v>
      </x:c>
      <x:c r="AL3047" t="n">
        <x:v>0</x:v>
      </x:c>
      <x:c r="AM3047" t="n">
        <x:f>CHOOSE('假设'!$B$3,AJ3047,AK3047,AL3047)</x:f>
        <x:v>0</x:v>
      </x:c>
      <x:c r="AN3047" t="n">
        <x:v>1</x:v>
      </x:c>
    </x:row>
    <x:row r="3048" ht="23" customHeight="1">
      <x:c r="A3048" s="11" t="str">
        <x:v>688382.SH</x:v>
      </x:c>
      <x:c r="B3048" s="11" t="str">
        <x:v>一年</x:v>
      </x:c>
      <x:c r="C3048" s="11" t="str">
        <x:v>tyk_viti_cn</x:v>
      </x:c>
      <x:c r="D3048" s="11" t="str">
        <x:v>2037-12-31</x:v>
      </x:c>
      <x:c r="E3048" s="11" t="str">
        <x:v>CNY</x:v>
      </x:c>
      <x:c r="F3048" s="11" t="n">
        <x:v>10.22861054072553</x:v>
      </x:c>
      <x:c r="G3048" s="26" t="b">
        <x:v>1</x:v>
      </x:c>
      <x:c r="H3048" s="16" t="n">
        <x:v>0.24</x:v>
      </x:c>
      <x:c r="I3048" s="16" t="n">
        <x:v>1</x:v>
      </x:c>
      <x:c r="J3048" s="16" t="n">
        <x:v>1.48</x:v>
      </x:c>
      <x:c r="K3048" s="11" t="n">
        <x:f>CHOOSE('假设'!$B$3,H3048,I3048,J3048)</x:f>
        <x:v>1</x:v>
      </x:c>
      <x:c r="L3048" s="11" t="n">
        <x:f>K3048*'管线假设'!E663*'管线假设'!F663*'管线假设'!G663*IF(E3048="USD",'管线假设'!I663,1)-AM3048</x:f>
        <x:v>0.06104</x:v>
      </x:c>
      <x:c r="M3048" s="11" t="n">
        <x:f>'管线假设'!H663</x:f>
        <x:v>0.135</x:v>
      </x:c>
      <x:c r="N3048" s="11" t="n">
        <x:f>IF(G3048,L3048*AN3048/(1+M3048)^F3048,0)</x:f>
        <x:v>0.01671411076838923</x:v>
      </x:c>
      <x:c r="AJ3048" t="n">
        <x:v>0</x:v>
      </x:c>
      <x:c r="AK3048" t="n">
        <x:v>0</x:v>
      </x:c>
      <x:c r="AL3048" t="n">
        <x:v>0</x:v>
      </x:c>
      <x:c r="AM3048" t="n">
        <x:f>CHOOSE('假设'!$B$3,AJ3048,AK3048,AL3048)</x:f>
        <x:v>0</x:v>
      </x:c>
      <x:c r="AN3048" t="n">
        <x:v>1</x:v>
      </x:c>
    </x:row>
    <x:row r="3049" ht="23" customHeight="1">
      <x:c r="A3049" s="11" t="str">
        <x:v>688382.SH</x:v>
      </x:c>
      <x:c r="B3049" s="11" t="str">
        <x:v>一年</x:v>
      </x:c>
      <x:c r="C3049" s="11" t="str">
        <x:v>tyk_viti_cn</x:v>
      </x:c>
      <x:c r="D3049" s="11" t="str">
        <x:v>2038-12-31</x:v>
      </x:c>
      <x:c r="E3049" s="11" t="str">
        <x:v>CNY</x:v>
      </x:c>
      <x:c r="F3049" s="11" t="n">
        <x:v>11.227926078028748</x:v>
      </x:c>
      <x:c r="G3049" s="26" t="b">
        <x:v>1</x:v>
      </x:c>
      <x:c r="H3049" s="16" t="n">
        <x:v>0.32000000000000006</x:v>
      </x:c>
      <x:c r="I3049" s="16" t="n">
        <x:v>0.87</x:v>
      </x:c>
      <x:c r="J3049" s="16" t="n">
        <x:v>1.22</x:v>
      </x:c>
      <x:c r="K3049" s="11" t="n">
        <x:f>CHOOSE('假设'!$B$3,H3049,I3049,J3049)</x:f>
        <x:v>0.87</x:v>
      </x:c>
      <x:c r="L3049" s="11" t="n">
        <x:f>K3049*'管线假设'!E663*'管线假设'!F663*'管线假设'!G663*IF(E3049="USD",'管线假设'!I663,1)-AM3049</x:f>
        <x:v>0.053104799999999994</x:v>
      </x:c>
      <x:c r="M3049" s="11" t="n">
        <x:f>'管线假设'!H663</x:f>
        <x:v>0.135</x:v>
      </x:c>
      <x:c r="N3049" s="11" t="n">
        <x:f>IF(G3049,L3049*AN3049/(1+M3049)^F3049,0)</x:f>
        <x:v>0.012812807747125881</x:v>
      </x:c>
      <x:c r="AJ3049" t="n">
        <x:v>0</x:v>
      </x:c>
      <x:c r="AK3049" t="n">
        <x:v>0</x:v>
      </x:c>
      <x:c r="AL3049" t="n">
        <x:v>0</x:v>
      </x:c>
      <x:c r="AM3049" t="n">
        <x:f>CHOOSE('假设'!$B$3,AJ3049,AK3049,AL3049)</x:f>
        <x:v>0</x:v>
      </x:c>
      <x:c r="AN3049" t="n">
        <x:v>1</x:v>
      </x:c>
    </x:row>
    <x:row r="3050" ht="23" customHeight="1">
      <x:c r="A3050" s="11" t="str">
        <x:v>688382.SH</x:v>
      </x:c>
      <x:c r="B3050" s="11" t="str">
        <x:v>一年</x:v>
      </x:c>
      <x:c r="C3050" s="11" t="str">
        <x:v>tyk_viti_cn</x:v>
      </x:c>
      <x:c r="D3050" s="11" t="str">
        <x:v>2039-12-31</x:v>
      </x:c>
      <x:c r="E3050" s="11" t="str">
        <x:v>CNY</x:v>
      </x:c>
      <x:c r="F3050" s="11" t="n">
        <x:v>12.227241615331964</x:v>
      </x:c>
      <x:c r="G3050" s="26" t="b">
        <x:v>1</x:v>
      </x:c>
      <x:c r="H3050" s="16" t="n">
        <x:v>0.4</x:v>
      </x:c>
      <x:c r="I3050" s="16" t="n">
        <x:v>0.74</x:v>
      </x:c>
      <x:c r="J3050" s="16" t="n">
        <x:v>0.96</x:v>
      </x:c>
      <x:c r="K3050" s="11" t="n">
        <x:f>CHOOSE('假设'!$B$3,H3050,I3050,J3050)</x:f>
        <x:v>0.74</x:v>
      </x:c>
      <x:c r="L3050" s="11" t="n">
        <x:f>K3050*'管线假设'!E663*'管线假设'!F663*'管线假设'!G663*IF(E3050="USD",'管线假设'!I663,1)-AM3050</x:f>
        <x:v>0.0451696</x:v>
      </x:c>
      <x:c r="M3050" s="11" t="n">
        <x:f>'管线假设'!H663</x:f>
        <x:v>0.135</x:v>
      </x:c>
      <x:c r="N3050" s="11" t="n">
        <x:f>IF(G3050,L3050*AN3050/(1+M3050)^F3050,0)</x:f>
        <x:v>0.009602814905727565</x:v>
      </x:c>
      <x:c r="AJ3050" t="n">
        <x:v>0</x:v>
      </x:c>
      <x:c r="AK3050" t="n">
        <x:v>0</x:v>
      </x:c>
      <x:c r="AL3050" t="n">
        <x:v>0</x:v>
      </x:c>
      <x:c r="AM3050" t="n">
        <x:f>CHOOSE('假设'!$B$3,AJ3050,AK3050,AL3050)</x:f>
        <x:v>0</x:v>
      </x:c>
      <x:c r="AN3050" t="n">
        <x:v>1</x:v>
      </x:c>
    </x:row>
    <x:row r="3051" ht="23" customHeight="1">
      <x:c r="A3051" s="11" t="str">
        <x:v>688382.SH</x:v>
      </x:c>
      <x:c r="B3051" s="11" t="str">
        <x:v>一年</x:v>
      </x:c>
      <x:c r="C3051" s="11" t="str">
        <x:v>tyk_viti_cn</x:v>
      </x:c>
      <x:c r="D3051" s="11" t="str">
        <x:v>2040-12-31</x:v>
      </x:c>
      <x:c r="E3051" s="11" t="str">
        <x:v>CNY</x:v>
      </x:c>
      <x:c r="F3051" s="11" t="n">
        <x:v>13.229295003422314</x:v>
      </x:c>
      <x:c r="G3051" s="26" t="b">
        <x:v>1</x:v>
      </x:c>
      <x:c r="H3051" s="16" t="n">
        <x:v>0.34800000000000003</x:v>
      </x:c>
      <x:c r="I3051" s="16" t="n">
        <x:v>0.61</x:v>
      </x:c>
      <x:c r="J3051" s="16" t="n">
        <x:v>0.7</x:v>
      </x:c>
      <x:c r="K3051" s="11" t="n">
        <x:f>CHOOSE('假设'!$B$3,H3051,I3051,J3051)</x:f>
        <x:v>0.61</x:v>
      </x:c>
      <x:c r="L3051" s="11" t="n">
        <x:f>K3051*'管线假设'!E663*'管线假设'!F663*'管线假设'!G663*IF(E3051="USD",'管线假设'!I663,1)-AM3051</x:f>
        <x:v>0.0372344</x:v>
      </x:c>
      <x:c r="M3051" s="11" t="n">
        <x:f>'管线假设'!H663</x:f>
        <x:v>0.135</x:v>
      </x:c>
      <x:c r="N3051" s="11" t="n">
        <x:f>IF(G3051,L3051*AN3051/(1+M3051)^F3051,0)</x:f>
        <x:v>0.006972489739130222</x:v>
      </x:c>
      <x:c r="AJ3051" t="n">
        <x:v>0</x:v>
      </x:c>
      <x:c r="AK3051" t="n">
        <x:v>0</x:v>
      </x:c>
      <x:c r="AL3051" t="n">
        <x:v>0</x:v>
      </x:c>
      <x:c r="AM3051" t="n">
        <x:f>CHOOSE('假设'!$B$3,AJ3051,AK3051,AL3051)</x:f>
        <x:v>0</x:v>
      </x:c>
      <x:c r="AN3051" t="n">
        <x:v>1</x:v>
      </x:c>
    </x:row>
    <x:row r="3052" ht="23" customHeight="1">
      <x:c r="A3052" s="11" t="str">
        <x:v>688382.SH</x:v>
      </x:c>
      <x:c r="B3052" s="11" t="str">
        <x:v>一年</x:v>
      </x:c>
      <x:c r="C3052" s="11" t="str">
        <x:v>tyk_viti_cn</x:v>
      </x:c>
      <x:c r="D3052" s="11" t="str">
        <x:v>2041-12-31</x:v>
      </x:c>
      <x:c r="E3052" s="11" t="str">
        <x:v>CNY</x:v>
      </x:c>
      <x:c r="F3052" s="11" t="n">
        <x:v>14.22861054072553</x:v>
      </x:c>
      <x:c r="G3052" s="26" t="b">
        <x:v>1</x:v>
      </x:c>
      <x:c r="H3052" s="16" t="n">
        <x:v>0.296</x:v>
      </x:c>
      <x:c r="I3052" s="16" t="n">
        <x:v>0.48</x:v>
      </x:c>
      <x:c r="J3052" s="16" t="n">
        <x:v>0.43999999999999995</x:v>
      </x:c>
      <x:c r="K3052" s="11" t="n">
        <x:f>CHOOSE('假设'!$B$3,H3052,I3052,J3052)</x:f>
        <x:v>0.48</x:v>
      </x:c>
      <x:c r="L3052" s="11" t="n">
        <x:f>K3052*'管线假设'!E663*'管线假设'!F663*'管线假设'!G663*IF(E3052="USD",'管线假设'!I663,1)-AM3052</x:f>
        <x:v>0.029299199999999997</x:v>
      </x:c>
      <x:c r="M3052" s="11" t="n">
        <x:f>'管线假设'!H663</x:f>
        <x:v>0.135</x:v>
      </x:c>
      <x:c r="N3052" s="11" t="n">
        <x:f>IF(G3052,L3052*AN3052/(1+M3052)^F3052,0)</x:f>
        <x:v>0.004834383147118958</x:v>
      </x:c>
      <x:c r="AJ3052" t="n">
        <x:v>0</x:v>
      </x:c>
      <x:c r="AK3052" t="n">
        <x:v>0</x:v>
      </x:c>
      <x:c r="AL3052" t="n">
        <x:v>0</x:v>
      </x:c>
      <x:c r="AM3052" t="n">
        <x:f>CHOOSE('假设'!$B$3,AJ3052,AK3052,AL3052)</x:f>
        <x:v>0</x:v>
      </x:c>
      <x:c r="AN3052" t="n">
        <x:v>1</x:v>
      </x:c>
    </x:row>
    <x:row r="3053" ht="23" customHeight="1">
      <x:c r="A3053" s="11" t="str">
        <x:v>688382.SH</x:v>
      </x:c>
      <x:c r="B3053" s="11" t="str">
        <x:v>一年</x:v>
      </x:c>
      <x:c r="C3053" s="11" t="str">
        <x:v>tyk_viti_cn</x:v>
      </x:c>
      <x:c r="D3053" s="11" t="str">
        <x:v>2042-12-31</x:v>
      </x:c>
      <x:c r="E3053" s="11" t="str">
        <x:v>CNY</x:v>
      </x:c>
      <x:c r="F3053" s="11" t="n">
        <x:v>15.227926078028748</x:v>
      </x:c>
      <x:c r="G3053" s="26" t="b">
        <x:v>1</x:v>
      </x:c>
      <x:c r="H3053" s="16" t="n">
        <x:v>0.244</x:v>
      </x:c>
      <x:c r="I3053" s="16" t="n">
        <x:v>0.35</x:v>
      </x:c>
      <x:c r="J3053" s="16" t="n">
        <x:v>0.17999999999999994</x:v>
      </x:c>
      <x:c r="K3053" s="11" t="n">
        <x:f>CHOOSE('假设'!$B$3,H3053,I3053,J3053)</x:f>
        <x:v>0.35</x:v>
      </x:c>
      <x:c r="L3053" s="11" t="n">
        <x:f>K3053*'管线假设'!E663*'管线假设'!F663*'管线假设'!G663*IF(E3053="USD",'管线假设'!I663,1)-AM3053</x:f>
        <x:v>0.021363999999999998</x:v>
      </x:c>
      <x:c r="M3053" s="11" t="n">
        <x:f>'管线假设'!H663</x:f>
        <x:v>0.135</x:v>
      </x:c>
      <x:c r="N3053" s="11" t="n">
        <x:f>IF(G3053,L3053*AN3053/(1+M3053)^F3053,0)</x:f>
        <x:v>0.0031060586737418467</x:v>
      </x:c>
      <x:c r="AJ3053" t="n">
        <x:v>0</x:v>
      </x:c>
      <x:c r="AK3053" t="n">
        <x:v>0</x:v>
      </x:c>
      <x:c r="AL3053" t="n">
        <x:v>0</x:v>
      </x:c>
      <x:c r="AM3053" t="n">
        <x:f>CHOOSE('假设'!$B$3,AJ3053,AK3053,AL3053)</x:f>
        <x:v>0</x:v>
      </x:c>
      <x:c r="AN3053" t="n">
        <x:v>1</x:v>
      </x:c>
    </x:row>
    <x:row r="3054" ht="23" customHeight="1">
      <x:c r="A3054" s="11" t="str">
        <x:v>688382.SH</x:v>
      </x:c>
      <x:c r="B3054" s="11" t="str">
        <x:v>一年</x:v>
      </x:c>
      <x:c r="C3054" s="11" t="str">
        <x:v>tyk_viti_cn</x:v>
      </x:c>
      <x:c r="D3054" s="11" t="str">
        <x:v>2043-12-31</x:v>
      </x:c>
      <x:c r="E3054" s="11" t="str">
        <x:v>CNY</x:v>
      </x:c>
      <x:c r="F3054" s="11" t="n">
        <x:v>16.227241615331966</x:v>
      </x:c>
      <x:c r="G3054" s="26" t="b">
        <x:v>1</x:v>
      </x:c>
      <x:c r="H3054" s="16" t="n">
        <x:v>0.192</x:v>
      </x:c>
      <x:c r="I3054" s="16" t="n">
        <x:v>0.21999999999999997</x:v>
      </x:c>
      <x:c r="J3054" s="16" t="n">
        <x:v>0</x:v>
      </x:c>
      <x:c r="K3054" s="11" t="n">
        <x:f>CHOOSE('假设'!$B$3,H3054,I3054,J3054)</x:f>
        <x:v>0.21999999999999997</x:v>
      </x:c>
      <x:c r="L3054" s="11" t="n">
        <x:f>K3054*'管线假设'!E663*'管线假设'!F663*'管线假设'!G663*IF(E3054="USD",'管线假设'!I663,1)-AM3054</x:f>
        <x:v>0.013428799999999998</x:v>
      </x:c>
      <x:c r="M3054" s="11" t="n">
        <x:f>'管线假设'!H663</x:f>
        <x:v>0.135</x:v>
      </x:c>
      <x:c r="N3054" s="11" t="n">
        <x:f>IF(G3054,L3054*AN3054/(1+M3054)^F3054,0)</x:f>
        <x:v>0.0017203074610258268</x:v>
      </x:c>
      <x:c r="AJ3054" t="n">
        <x:v>0</x:v>
      </x:c>
      <x:c r="AK3054" t="n">
        <x:v>0</x:v>
      </x:c>
      <x:c r="AL3054" t="n">
        <x:v>0</x:v>
      </x:c>
      <x:c r="AM3054" t="n">
        <x:f>CHOOSE('假设'!$B$3,AJ3054,AK3054,AL3054)</x:f>
        <x:v>0</x:v>
      </x:c>
      <x:c r="AN3054" t="n">
        <x:v>1</x:v>
      </x:c>
    </x:row>
    <x:row r="3055" ht="23" customHeight="1">
      <x:c r="A3055" s="11" t="str">
        <x:v>688382.SH</x:v>
      </x:c>
      <x:c r="B3055" s="11" t="str">
        <x:v>一年</x:v>
      </x:c>
      <x:c r="C3055" s="11" t="str">
        <x:v>tyk_viti_cn</x:v>
      </x:c>
      <x:c r="D3055" s="11" t="str">
        <x:v>2044-12-31</x:v>
      </x:c>
      <x:c r="E3055" s="11" t="str">
        <x:v>CNY</x:v>
      </x:c>
      <x:c r="F3055" s="11" t="n">
        <x:v>17.229295003422312</x:v>
      </x:c>
      <x:c r="G3055" s="26" t="b">
        <x:v>1</x:v>
      </x:c>
      <x:c r="H3055" s="16" t="n">
        <x:v>0.13999999999999999</x:v>
      </x:c>
      <x:c r="I3055" s="16" t="n">
        <x:v>0.08999999999999997</x:v>
      </x:c>
      <x:c r="J3055" s="16" t="n">
        <x:v>0</x:v>
      </x:c>
      <x:c r="K3055" s="11" t="n">
        <x:f>CHOOSE('假设'!$B$3,H3055,I3055,J3055)</x:f>
        <x:v>0.08999999999999997</x:v>
      </x:c>
      <x:c r="L3055" s="11" t="n">
        <x:f>K3055*'管线假设'!E663*'管线假设'!F663*'管线假设'!G663*IF(E3055="USD",'管线假设'!I663,1)-AM3055</x:f>
        <x:v>0.005493599999999998</x:v>
      </x:c>
      <x:c r="M3055" s="11" t="n">
        <x:f>'管线假设'!H663</x:f>
        <x:v>0.135</x:v>
      </x:c>
      <x:c r="N3055" s="11" t="n">
        <x:f>IF(G3055,L3055*AN3055/(1+M3055)^F3055,0)</x:f>
        <x:v>0.0006198935422887574</x:v>
      </x:c>
      <x:c r="AJ3055" t="n">
        <x:v>0</x:v>
      </x:c>
      <x:c r="AK3055" t="n">
        <x:v>0</x:v>
      </x:c>
      <x:c r="AL3055" t="n">
        <x:v>0</x:v>
      </x:c>
      <x:c r="AM3055" t="n">
        <x:f>CHOOSE('假设'!$B$3,AJ3055,AK3055,AL3055)</x:f>
        <x:v>0</x:v>
      </x:c>
      <x:c r="AN3055" t="n">
        <x:v>1</x:v>
      </x:c>
    </x:row>
    <x:row r="3056" ht="23" customHeight="1">
      <x:c r="A3056" s="11" t="str">
        <x:v>688382.SH</x:v>
      </x:c>
      <x:c r="B3056" s="11" t="str">
        <x:v>一年</x:v>
      </x:c>
      <x:c r="C3056" s="11" t="str">
        <x:v>tyk_viti_cn</x:v>
      </x:c>
      <x:c r="D3056" s="11" t="str">
        <x:v>2045-12-31</x:v>
      </x:c>
      <x:c r="E3056" s="11" t="str">
        <x:v>CNY</x:v>
      </x:c>
      <x:c r="F3056" s="11" t="n">
        <x:v>18.22861054072553</x:v>
      </x:c>
      <x:c r="G3056" s="26" t="b">
        <x:v>1</x:v>
      </x:c>
      <x:c r="H3056" s="16" t="n">
        <x:v>0.088</x:v>
      </x:c>
      <x:c r="I3056" s="16" t="n">
        <x:v>0</x:v>
      </x:c>
      <x:c r="J3056" s="16" t="n">
        <x:v>0</x:v>
      </x:c>
      <x:c r="K3056" s="11" t="n">
        <x:f>CHOOSE('假设'!$B$3,H3056,I3056,J3056)</x:f>
        <x:v>0</x:v>
      </x:c>
      <x:c r="L3056" s="11" t="n">
        <x:f>K3056*'管线假设'!E663*'管线假设'!F663*'管线假设'!G663*IF(E3056="USD",'管线假设'!I663,1)-AM3056</x:f>
        <x:v>0</x:v>
      </x:c>
      <x:c r="M3056" s="11" t="n">
        <x:f>'管线假设'!H663</x:f>
        <x:v>0.135</x:v>
      </x:c>
      <x:c r="N3056" s="11" t="n">
        <x:f>IF(G3056,L3056*AN3056/(1+M3056)^F3056,0)</x:f>
        <x:v>0</x:v>
      </x:c>
      <x:c r="AJ3056" t="n">
        <x:v>0</x:v>
      </x:c>
      <x:c r="AK3056" t="n">
        <x:v>0</x:v>
      </x:c>
      <x:c r="AL3056" t="n">
        <x:v>0</x:v>
      </x:c>
      <x:c r="AM3056" t="n">
        <x:f>CHOOSE('假设'!$B$3,AJ3056,AK3056,AL3056)</x:f>
        <x:v>0</x:v>
      </x:c>
      <x:c r="AN3056" t="n">
        <x:v>1</x:v>
      </x:c>
    </x:row>
    <x:row r="3057" ht="23" customHeight="1">
      <x:c r="A3057" s="11" t="str">
        <x:v>688382.SH</x:v>
      </x:c>
      <x:c r="B3057" s="11" t="str">
        <x:v>一年</x:v>
      </x:c>
      <x:c r="C3057" s="11" t="str">
        <x:v>tyk_global</x:v>
      </x:c>
      <x:c r="D3057" s="11" t="str">
        <x:v>2027-12-31</x:v>
      </x:c>
      <x:c r="E3057" s="11" t="str">
        <x:v>USD</x:v>
      </x:c>
      <x:c r="F3057" s="11" t="n">
        <x:v>0.2272416153319644</x:v>
      </x:c>
      <x:c r="G3057" s="26" t="b">
        <x:v>1</x:v>
      </x:c>
      <x:c r="H3057" s="16" t="n">
        <x:v>0</x:v>
      </x:c>
      <x:c r="I3057" s="16" t="n">
        <x:v>0</x:v>
      </x:c>
      <x:c r="J3057" s="16" t="n">
        <x:v>0</x:v>
      </x:c>
      <x:c r="K3057" s="11" t="n">
        <x:f>CHOOSE('假设'!$B$3,H3057,I3057,J3057)</x:f>
        <x:v>0</x:v>
      </x:c>
      <x:c r="L3057" s="11" t="n">
        <x:f>K3057*'管线假设'!E667*'管线假设'!F667*'管线假设'!G667*IF(E3057="USD",'管线假设'!I667,1)-AM3057</x:f>
        <x:v>0</x:v>
      </x:c>
      <x:c r="M3057" s="11" t="n">
        <x:f>'管线假设'!H667</x:f>
        <x:v>0.135</x:v>
      </x:c>
      <x:c r="N3057" s="11" t="n">
        <x:f>IF(G3057,L3057*AN3057/(1+M3057)^F3057,0)</x:f>
        <x:v>0</x:v>
      </x:c>
      <x:c r="AJ3057" t="n">
        <x:v>0</x:v>
      </x:c>
      <x:c r="AK3057" t="n">
        <x:v>0</x:v>
      </x:c>
      <x:c r="AL3057" t="n">
        <x:v>0</x:v>
      </x:c>
      <x:c r="AM3057" t="n">
        <x:f>CHOOSE('假设'!$B$3,AJ3057,AK3057,AL3057)</x:f>
        <x:v>0</x:v>
      </x:c>
      <x:c r="AN3057" t="n">
        <x:v>1</x:v>
      </x:c>
    </x:row>
    <x:row r="3058" ht="23" customHeight="1">
      <x:c r="A3058" s="11" t="str">
        <x:v>688382.SH</x:v>
      </x:c>
      <x:c r="B3058" s="11" t="str">
        <x:v>一年</x:v>
      </x:c>
      <x:c r="C3058" s="11" t="str">
        <x:v>tyk_global</x:v>
      </x:c>
      <x:c r="D3058" s="11" t="str">
        <x:v>2028-12-31</x:v>
      </x:c>
      <x:c r="E3058" s="11" t="str">
        <x:v>USD</x:v>
      </x:c>
      <x:c r="F3058" s="11" t="n">
        <x:v>1.2292950034223136</x:v>
      </x:c>
      <x:c r="G3058" s="26" t="b">
        <x:v>1</x:v>
      </x:c>
      <x:c r="H3058" s="16" t="n">
        <x:v>0</x:v>
      </x:c>
      <x:c r="I3058" s="16" t="n">
        <x:v>0</x:v>
      </x:c>
      <x:c r="J3058" s="16" t="n">
        <x:v>0</x:v>
      </x:c>
      <x:c r="K3058" s="11" t="n">
        <x:f>CHOOSE('假设'!$B$3,H3058,I3058,J3058)</x:f>
        <x:v>0</x:v>
      </x:c>
      <x:c r="L3058" s="11" t="n">
        <x:f>K3058*'管线假设'!E667*'管线假设'!F667*'管线假设'!G667*IF(E3058="USD",'管线假设'!I667,1)-AM3058</x:f>
        <x:v>0</x:v>
      </x:c>
      <x:c r="M3058" s="11" t="n">
        <x:f>'管线假设'!H667</x:f>
        <x:v>0.135</x:v>
      </x:c>
      <x:c r="N3058" s="11" t="n">
        <x:f>IF(G3058,L3058*AN3058/(1+M3058)^F3058,0)</x:f>
        <x:v>0</x:v>
      </x:c>
      <x:c r="AJ3058" t="n">
        <x:v>0</x:v>
      </x:c>
      <x:c r="AK3058" t="n">
        <x:v>0</x:v>
      </x:c>
      <x:c r="AL3058" t="n">
        <x:v>0</x:v>
      </x:c>
      <x:c r="AM3058" t="n">
        <x:f>CHOOSE('假设'!$B$3,AJ3058,AK3058,AL3058)</x:f>
        <x:v>0</x:v>
      </x:c>
      <x:c r="AN3058" t="n">
        <x:v>1</x:v>
      </x:c>
    </x:row>
    <x:row r="3059" ht="23" customHeight="1">
      <x:c r="A3059" s="11" t="str">
        <x:v>688382.SH</x:v>
      </x:c>
      <x:c r="B3059" s="11" t="str">
        <x:v>一年</x:v>
      </x:c>
      <x:c r="C3059" s="11" t="str">
        <x:v>tyk_global</x:v>
      </x:c>
      <x:c r="D3059" s="11" t="str">
        <x:v>2029-12-31</x:v>
      </x:c>
      <x:c r="E3059" s="11" t="str">
        <x:v>USD</x:v>
      </x:c>
      <x:c r="F3059" s="11" t="n">
        <x:v>2.2286105407255303</x:v>
      </x:c>
      <x:c r="G3059" s="26" t="b">
        <x:v>1</x:v>
      </x:c>
      <x:c r="H3059" s="16" t="n">
        <x:v>0</x:v>
      </x:c>
      <x:c r="I3059" s="16" t="n">
        <x:v>0</x:v>
      </x:c>
      <x:c r="J3059" s="16" t="n">
        <x:v>0</x:v>
      </x:c>
      <x:c r="K3059" s="11" t="n">
        <x:f>CHOOSE('假设'!$B$3,H3059,I3059,J3059)</x:f>
        <x:v>0</x:v>
      </x:c>
      <x:c r="L3059" s="11" t="n">
        <x:f>K3059*'管线假设'!E667*'管线假设'!F667*'管线假设'!G667*IF(E3059="USD",'管线假设'!I667,1)-AM3059</x:f>
        <x:v>0</x:v>
      </x:c>
      <x:c r="M3059" s="11" t="n">
        <x:f>'管线假设'!H667</x:f>
        <x:v>0.135</x:v>
      </x:c>
      <x:c r="N3059" s="11" t="n">
        <x:f>IF(G3059,L3059*AN3059/(1+M3059)^F3059,0)</x:f>
        <x:v>0</x:v>
      </x:c>
      <x:c r="AJ3059" t="n">
        <x:v>0</x:v>
      </x:c>
      <x:c r="AK3059" t="n">
        <x:v>0</x:v>
      </x:c>
      <x:c r="AL3059" t="n">
        <x:v>0</x:v>
      </x:c>
      <x:c r="AM3059" t="n">
        <x:f>CHOOSE('假设'!$B$3,AJ3059,AK3059,AL3059)</x:f>
        <x:v>0</x:v>
      </x:c>
      <x:c r="AN3059" t="n">
        <x:v>1</x:v>
      </x:c>
    </x:row>
    <x:row r="3060" ht="23" customHeight="1">
      <x:c r="A3060" s="11" t="str">
        <x:v>688382.SH</x:v>
      </x:c>
      <x:c r="B3060" s="11" t="str">
        <x:v>一年</x:v>
      </x:c>
      <x:c r="C3060" s="11" t="str">
        <x:v>tyk_global</x:v>
      </x:c>
      <x:c r="D3060" s="11" t="str">
        <x:v>2030-12-31</x:v>
      </x:c>
      <x:c r="E3060" s="11" t="str">
        <x:v>USD</x:v>
      </x:c>
      <x:c r="F3060" s="11" t="n">
        <x:v>3.2279260780287475</x:v>
      </x:c>
      <x:c r="G3060" s="26" t="b">
        <x:v>1</x:v>
      </x:c>
      <x:c r="H3060" s="16" t="n">
        <x:v>0</x:v>
      </x:c>
      <x:c r="I3060" s="16" t="n">
        <x:v>0</x:v>
      </x:c>
      <x:c r="J3060" s="16" t="n">
        <x:v>0.6666666666666666</x:v>
      </x:c>
      <x:c r="K3060" s="11" t="n">
        <x:f>CHOOSE('假设'!$B$3,H3060,I3060,J3060)</x:f>
        <x:v>0</x:v>
      </x:c>
      <x:c r="L3060" s="11" t="n">
        <x:f>K3060*'管线假设'!E667*'管线假设'!F667*'管线假设'!G667*IF(E3060="USD",'管线假设'!I667,1)-AM3060</x:f>
        <x:v>0</x:v>
      </x:c>
      <x:c r="M3060" s="11" t="n">
        <x:f>'管线假设'!H667</x:f>
        <x:v>0.135</x:v>
      </x:c>
      <x:c r="N3060" s="11" t="n">
        <x:f>IF(G3060,L3060*AN3060/(1+M3060)^F3060,0)</x:f>
        <x:v>0</x:v>
      </x:c>
      <x:c r="AJ3060" t="n">
        <x:v>0</x:v>
      </x:c>
      <x:c r="AK3060" t="n">
        <x:v>0</x:v>
      </x:c>
      <x:c r="AL3060" t="n">
        <x:v>0</x:v>
      </x:c>
      <x:c r="AM3060" t="n">
        <x:f>CHOOSE('假设'!$B$3,AJ3060,AK3060,AL3060)</x:f>
        <x:v>0</x:v>
      </x:c>
      <x:c r="AN3060" t="n">
        <x:v>1</x:v>
      </x:c>
    </x:row>
    <x:row r="3061" ht="23" customHeight="1">
      <x:c r="A3061" s="11" t="str">
        <x:v>688382.SH</x:v>
      </x:c>
      <x:c r="B3061" s="11" t="str">
        <x:v>一年</x:v>
      </x:c>
      <x:c r="C3061" s="11" t="str">
        <x:v>tyk_global</x:v>
      </x:c>
      <x:c r="D3061" s="11" t="str">
        <x:v>2031-12-31</x:v>
      </x:c>
      <x:c r="E3061" s="11" t="str">
        <x:v>USD</x:v>
      </x:c>
      <x:c r="F3061" s="11" t="n">
        <x:v>4.227241615331964</x:v>
      </x:c>
      <x:c r="G3061" s="26" t="b">
        <x:v>1</x:v>
      </x:c>
      <x:c r="H3061" s="16" t="n">
        <x:v>0</x:v>
      </x:c>
      <x:c r="I3061" s="16" t="n">
        <x:v>0</x:v>
      </x:c>
      <x:c r="J3061" s="16" t="n">
        <x:v>1.3333333333333333</x:v>
      </x:c>
      <x:c r="K3061" s="11" t="n">
        <x:f>CHOOSE('假设'!$B$3,H3061,I3061,J3061)</x:f>
        <x:v>0</x:v>
      </x:c>
      <x:c r="L3061" s="11" t="n">
        <x:f>K3061*'管线假设'!E667*'管线假设'!F667*'管线假设'!G667*IF(E3061="USD",'管线假设'!I667,1)-AM3061</x:f>
        <x:v>0</x:v>
      </x:c>
      <x:c r="M3061" s="11" t="n">
        <x:f>'管线假设'!H667</x:f>
        <x:v>0.135</x:v>
      </x:c>
      <x:c r="N3061" s="11" t="n">
        <x:f>IF(G3061,L3061*AN3061/(1+M3061)^F3061,0)</x:f>
        <x:v>0</x:v>
      </x:c>
      <x:c r="AJ3061" t="n">
        <x:v>0</x:v>
      </x:c>
      <x:c r="AK3061" t="n">
        <x:v>0</x:v>
      </x:c>
      <x:c r="AL3061" t="n">
        <x:v>0</x:v>
      </x:c>
      <x:c r="AM3061" t="n">
        <x:f>CHOOSE('假设'!$B$3,AJ3061,AK3061,AL3061)</x:f>
        <x:v>0</x:v>
      </x:c>
      <x:c r="AN3061" t="n">
        <x:v>1</x:v>
      </x:c>
    </x:row>
    <x:row r="3062" ht="23" customHeight="1">
      <x:c r="A3062" s="11" t="str">
        <x:v>688382.SH</x:v>
      </x:c>
      <x:c r="B3062" s="11" t="str">
        <x:v>一年</x:v>
      </x:c>
      <x:c r="C3062" s="11" t="str">
        <x:v>tyk_global</x:v>
      </x:c>
      <x:c r="D3062" s="11" t="str">
        <x:v>2032-12-31</x:v>
      </x:c>
      <x:c r="E3062" s="11" t="str">
        <x:v>USD</x:v>
      </x:c>
      <x:c r="F3062" s="11" t="n">
        <x:v>5.229295003422314</x:v>
      </x:c>
      <x:c r="G3062" s="26" t="b">
        <x:v>1</x:v>
      </x:c>
      <x:c r="H3062" s="16" t="n">
        <x:v>0</x:v>
      </x:c>
      <x:c r="I3062" s="16" t="n">
        <x:v>0.3333333333333333</x:v>
      </x:c>
      <x:c r="J3062" s="16" t="n">
        <x:v>2</x:v>
      </x:c>
      <x:c r="K3062" s="11" t="n">
        <x:f>CHOOSE('假设'!$B$3,H3062,I3062,J3062)</x:f>
        <x:v>0.3333333333333333</x:v>
      </x:c>
      <x:c r="L3062" s="11" t="n">
        <x:f>K3062*'管线假设'!E667*'管线假设'!F667*'管线假设'!G667*IF(E3062="USD",'管线假设'!I667,1)-AM3062</x:f>
        <x:v>0.07471839999999998</x:v>
      </x:c>
      <x:c r="M3062" s="11" t="n">
        <x:f>'管线假设'!H667</x:f>
        <x:v>0.135</x:v>
      </x:c>
      <x:c r="N3062" s="11" t="n">
        <x:f>IF(G3062,L3062*AN3062/(1+M3062)^F3062,0)</x:f>
        <x:v>0.03853345756688639</x:v>
      </x:c>
      <x:c r="AJ3062" t="n">
        <x:v>0</x:v>
      </x:c>
      <x:c r="AK3062" t="n">
        <x:v>0</x:v>
      </x:c>
      <x:c r="AL3062" t="n">
        <x:v>0</x:v>
      </x:c>
      <x:c r="AM3062" t="n">
        <x:f>CHOOSE('假设'!$B$3,AJ3062,AK3062,AL3062)</x:f>
        <x:v>0</x:v>
      </x:c>
      <x:c r="AN3062" t="n">
        <x:v>1</x:v>
      </x:c>
    </x:row>
    <x:row r="3063" ht="23" customHeight="1">
      <x:c r="A3063" s="11" t="str">
        <x:v>688382.SH</x:v>
      </x:c>
      <x:c r="B3063" s="11" t="str">
        <x:v>一年</x:v>
      </x:c>
      <x:c r="C3063" s="11" t="str">
        <x:v>tyk_global</x:v>
      </x:c>
      <x:c r="D3063" s="11" t="str">
        <x:v>2033-12-31</x:v>
      </x:c>
      <x:c r="E3063" s="11" t="str">
        <x:v>USD</x:v>
      </x:c>
      <x:c r="F3063" s="11" t="n">
        <x:v>6.228610540725531</x:v>
      </x:c>
      <x:c r="G3063" s="26" t="b">
        <x:v>1</x:v>
      </x:c>
      <x:c r="H3063" s="16" t="n">
        <x:v>0</x:v>
      </x:c>
      <x:c r="I3063" s="16" t="n">
        <x:v>0.6666666666666666</x:v>
      </x:c>
      <x:c r="J3063" s="16" t="n">
        <x:v>2.6666666666666665</x:v>
      </x:c>
      <x:c r="K3063" s="11" t="n">
        <x:f>CHOOSE('假设'!$B$3,H3063,I3063,J3063)</x:f>
        <x:v>0.6666666666666666</x:v>
      </x:c>
      <x:c r="L3063" s="11" t="n">
        <x:f>K3063*'管线假设'!E667*'管线假设'!F667*'管线假设'!G667*IF(E3063="USD",'管线假设'!I667,1)-AM3063</x:f>
        <x:v>0.14943679999999995</x:v>
      </x:c>
      <x:c r="M3063" s="11" t="n">
        <x:f>'管线假设'!H667</x:f>
        <x:v>0.135</x:v>
      </x:c>
      <x:c r="N3063" s="11" t="n">
        <x:f>IF(G3063,L3063*AN3063/(1+M3063)^F3063,0)</x:f>
        <x:v>0.06790625129801102</x:v>
      </x:c>
      <x:c r="AJ3063" t="n">
        <x:v>0</x:v>
      </x:c>
      <x:c r="AK3063" t="n">
        <x:v>0</x:v>
      </x:c>
      <x:c r="AL3063" t="n">
        <x:v>0</x:v>
      </x:c>
      <x:c r="AM3063" t="n">
        <x:f>CHOOSE('假设'!$B$3,AJ3063,AK3063,AL3063)</x:f>
        <x:v>0</x:v>
      </x:c>
      <x:c r="AN3063" t="n">
        <x:v>1</x:v>
      </x:c>
    </x:row>
    <x:row r="3064" ht="23" customHeight="1">
      <x:c r="A3064" s="11" t="str">
        <x:v>688382.SH</x:v>
      </x:c>
      <x:c r="B3064" s="11" t="str">
        <x:v>一年</x:v>
      </x:c>
      <x:c r="C3064" s="11" t="str">
        <x:v>tyk_global</x:v>
      </x:c>
      <x:c r="D3064" s="11" t="str">
        <x:v>2034-12-31</x:v>
      </x:c>
      <x:c r="E3064" s="11" t="str">
        <x:v>USD</x:v>
      </x:c>
      <x:c r="F3064" s="11" t="n">
        <x:v>7.227926078028747</x:v>
      </x:c>
      <x:c r="G3064" s="26" t="b">
        <x:v>1</x:v>
      </x:c>
      <x:c r="H3064" s="16" t="n">
        <x:v>0</x:v>
      </x:c>
      <x:c r="I3064" s="16" t="n">
        <x:v>1</x:v>
      </x:c>
      <x:c r="J3064" s="16" t="n">
        <x:v>3.3333333333333335</x:v>
      </x:c>
      <x:c r="K3064" s="11" t="n">
        <x:f>CHOOSE('假设'!$B$3,H3064,I3064,J3064)</x:f>
        <x:v>1</x:v>
      </x:c>
      <x:c r="L3064" s="11" t="n">
        <x:f>K3064*'管线假设'!E667*'管线假设'!F667*'管线假设'!G667*IF(E3064="USD",'管线假设'!I667,1)-AM3064</x:f>
        <x:v>0.2241552</x:v>
      </x:c>
      <x:c r="M3064" s="11" t="n">
        <x:f>'管线假设'!H667</x:f>
        <x:v>0.135</x:v>
      </x:c>
      <x:c r="N3064" s="11" t="n">
        <x:f>IF(G3064,L3064*AN3064/(1+M3064)^F3064,0)</x:f>
        <x:v>0.08975172336944588</x:v>
      </x:c>
      <x:c r="AJ3064" t="n">
        <x:v>0</x:v>
      </x:c>
      <x:c r="AK3064" t="n">
        <x:v>0</x:v>
      </x:c>
      <x:c r="AL3064" t="n">
        <x:v>0</x:v>
      </x:c>
      <x:c r="AM3064" t="n">
        <x:f>CHOOSE('假设'!$B$3,AJ3064,AK3064,AL3064)</x:f>
        <x:v>0</x:v>
      </x:c>
      <x:c r="AN3064" t="n">
        <x:v>1</x:v>
      </x:c>
    </x:row>
    <x:row r="3065" ht="23" customHeight="1">
      <x:c r="A3065" s="11" t="str">
        <x:v>688382.SH</x:v>
      </x:c>
      <x:c r="B3065" s="11" t="str">
        <x:v>一年</x:v>
      </x:c>
      <x:c r="C3065" s="11" t="str">
        <x:v>tyk_global</x:v>
      </x:c>
      <x:c r="D3065" s="11" t="str">
        <x:v>2035-12-31</x:v>
      </x:c>
      <x:c r="E3065" s="11" t="str">
        <x:v>USD</x:v>
      </x:c>
      <x:c r="F3065" s="11" t="n">
        <x:v>8.227241615331964</x:v>
      </x:c>
      <x:c r="G3065" s="26" t="b">
        <x:v>1</x:v>
      </x:c>
      <x:c r="H3065" s="16" t="n">
        <x:v>0.13999999999999999</x:v>
      </x:c>
      <x:c r="I3065" s="16" t="n">
        <x:v>1.3333333333333333</x:v>
      </x:c>
      <x:c r="J3065" s="16" t="n">
        <x:v>4</x:v>
      </x:c>
      <x:c r="K3065" s="11" t="n">
        <x:f>CHOOSE('假设'!$B$3,H3065,I3065,J3065)</x:f>
        <x:v>1.3333333333333333</x:v>
      </x:c>
      <x:c r="L3065" s="11" t="n">
        <x:f>K3065*'管线假设'!E667*'管线假设'!F667*'管线假设'!G667*IF(E3065="USD",'管线假设'!I667,1)-AM3065</x:f>
        <x:v>0.2988735999999999</x:v>
      </x:c>
      <x:c r="M3065" s="11" t="n">
        <x:f>'管线假设'!H667</x:f>
        <x:v>0.135</x:v>
      </x:c>
      <x:c r="N3065" s="11" t="n">
        <x:f>IF(G3065,L3065*AN3065/(1+M3065)^F3065,0)</x:f>
        <x:v>0.10544435003400994</x:v>
      </x:c>
      <x:c r="AJ3065" t="n">
        <x:v>0</x:v>
      </x:c>
      <x:c r="AK3065" t="n">
        <x:v>0</x:v>
      </x:c>
      <x:c r="AL3065" t="n">
        <x:v>0</x:v>
      </x:c>
      <x:c r="AM3065" t="n">
        <x:f>CHOOSE('假设'!$B$3,AJ3065,AK3065,AL3065)</x:f>
        <x:v>0</x:v>
      </x:c>
      <x:c r="AN3065" t="n">
        <x:v>1</x:v>
      </x:c>
    </x:row>
    <x:row r="3066" ht="23" customHeight="1">
      <x:c r="A3066" s="11" t="str">
        <x:v>688382.SH</x:v>
      </x:c>
      <x:c r="B3066" s="11" t="str">
        <x:v>一年</x:v>
      </x:c>
      <x:c r="C3066" s="11" t="str">
        <x:v>tyk_global</x:v>
      </x:c>
      <x:c r="D3066" s="11" t="str">
        <x:v>2036-12-31</x:v>
      </x:c>
      <x:c r="E3066" s="11" t="str">
        <x:v>USD</x:v>
      </x:c>
      <x:c r="F3066" s="11" t="n">
        <x:v>9.229295003422314</x:v>
      </x:c>
      <x:c r="G3066" s="26" t="b">
        <x:v>1</x:v>
      </x:c>
      <x:c r="H3066" s="16" t="n">
        <x:v>0.27999999999999997</x:v>
      </x:c>
      <x:c r="I3066" s="16" t="n">
        <x:v>1.6666666666666667</x:v>
      </x:c>
      <x:c r="J3066" s="16" t="n">
        <x:v>3.48</x:v>
      </x:c>
      <x:c r="K3066" s="11" t="n">
        <x:f>CHOOSE('假设'!$B$3,H3066,I3066,J3066)</x:f>
        <x:v>1.6666666666666667</x:v>
      </x:c>
      <x:c r="L3066" s="11" t="n">
        <x:f>K3066*'管线假设'!E667*'管线假设'!F667*'管线假设'!G667*IF(E3066="USD",'管线假设'!I667,1)-AM3066</x:f>
        <x:v>0.37359200000000004</x:v>
      </x:c>
      <x:c r="M3066" s="11" t="n">
        <x:f>'管线假设'!H667</x:f>
        <x:v>0.135</x:v>
      </x:c>
      <x:c r="N3066" s="11" t="n">
        <x:f>IF(G3066,L3066*AN3066/(1+M3066)^F3066,0)</x:f>
        <x:v>0.11609794639676922</x:v>
      </x:c>
      <x:c r="AJ3066" t="n">
        <x:v>0</x:v>
      </x:c>
      <x:c r="AK3066" t="n">
        <x:v>0</x:v>
      </x:c>
      <x:c r="AL3066" t="n">
        <x:v>0</x:v>
      </x:c>
      <x:c r="AM3066" t="n">
        <x:f>CHOOSE('假设'!$B$3,AJ3066,AK3066,AL3066)</x:f>
        <x:v>0</x:v>
      </x:c>
      <x:c r="AN3066" t="n">
        <x:v>1</x:v>
      </x:c>
    </x:row>
    <x:row r="3067" ht="23" customHeight="1">
      <x:c r="A3067" s="11" t="str">
        <x:v>688382.SH</x:v>
      </x:c>
      <x:c r="B3067" s="11" t="str">
        <x:v>一年</x:v>
      </x:c>
      <x:c r="C3067" s="11" t="str">
        <x:v>tyk_global</x:v>
      </x:c>
      <x:c r="D3067" s="11" t="str">
        <x:v>2037-12-31</x:v>
      </x:c>
      <x:c r="E3067" s="11" t="str">
        <x:v>USD</x:v>
      </x:c>
      <x:c r="F3067" s="11" t="n">
        <x:v>10.22861054072553</x:v>
      </x:c>
      <x:c r="G3067" s="26" t="b">
        <x:v>1</x:v>
      </x:c>
      <x:c r="H3067" s="16" t="n">
        <x:v>0.42</x:v>
      </x:c>
      <x:c r="I3067" s="16" t="n">
        <x:v>2</x:v>
      </x:c>
      <x:c r="J3067" s="16" t="n">
        <x:v>2.96</x:v>
      </x:c>
      <x:c r="K3067" s="11" t="n">
        <x:f>CHOOSE('假设'!$B$3,H3067,I3067,J3067)</x:f>
        <x:v>2</x:v>
      </x:c>
      <x:c r="L3067" s="11" t="n">
        <x:f>K3067*'管线假设'!E667*'管线假设'!F667*'管线假设'!G667*IF(E3067="USD",'管线假设'!I667,1)-AM3067</x:f>
        <x:v>0.4483104</x:v>
      </x:c>
      <x:c r="M3067" s="11" t="n">
        <x:f>'管线假设'!H667</x:f>
        <x:v>0.135</x:v>
      </x:c>
      <x:c r="N3067" s="11" t="n">
        <x:f>IF(G3067,L3067*AN3067/(1+M3067)^F3067,0)</x:f>
        <x:v>0.12275736704162654</x:v>
      </x:c>
      <x:c r="AJ3067" t="n">
        <x:v>0</x:v>
      </x:c>
      <x:c r="AK3067" t="n">
        <x:v>0</x:v>
      </x:c>
      <x:c r="AL3067" t="n">
        <x:v>0</x:v>
      </x:c>
      <x:c r="AM3067" t="n">
        <x:f>CHOOSE('假设'!$B$3,AJ3067,AK3067,AL3067)</x:f>
        <x:v>0</x:v>
      </x:c>
      <x:c r="AN3067" t="n">
        <x:v>1</x:v>
      </x:c>
    </x:row>
    <x:row r="3068" ht="23" customHeight="1">
      <x:c r="A3068" s="11" t="str">
        <x:v>688382.SH</x:v>
      </x:c>
      <x:c r="B3068" s="11" t="str">
        <x:v>一年</x:v>
      </x:c>
      <x:c r="C3068" s="11" t="str">
        <x:v>tyk_global</x:v>
      </x:c>
      <x:c r="D3068" s="11" t="str">
        <x:v>2038-12-31</x:v>
      </x:c>
      <x:c r="E3068" s="11" t="str">
        <x:v>USD</x:v>
      </x:c>
      <x:c r="F3068" s="11" t="n">
        <x:v>11.227926078028748</x:v>
      </x:c>
      <x:c r="G3068" s="26" t="b">
        <x:v>1</x:v>
      </x:c>
      <x:c r="H3068" s="16" t="n">
        <x:v>0.5599999999999999</x:v>
      </x:c>
      <x:c r="I3068" s="16" t="n">
        <x:v>1.74</x:v>
      </x:c>
      <x:c r="J3068" s="16" t="n">
        <x:v>2.44</x:v>
      </x:c>
      <x:c r="K3068" s="11" t="n">
        <x:f>CHOOSE('假设'!$B$3,H3068,I3068,J3068)</x:f>
        <x:v>1.74</x:v>
      </x:c>
      <x:c r="L3068" s="11" t="n">
        <x:f>K3068*'管线假设'!E667*'管线假设'!F667*'管线假设'!G667*IF(E3068="USD",'管线假设'!I667,1)-AM3068</x:f>
        <x:v>0.390030048</x:v>
      </x:c>
      <x:c r="M3068" s="11" t="n">
        <x:f>'管线假设'!H667</x:f>
        <x:v>0.135</x:v>
      </x:c>
      <x:c r="N3068" s="11" t="n">
        <x:f>IF(G3068,L3068*AN3068/(1+M3068)^F3068,0)</x:f>
        <x:v>0.0941041115045397</x:v>
      </x:c>
      <x:c r="AJ3068" t="n">
        <x:v>0</x:v>
      </x:c>
      <x:c r="AK3068" t="n">
        <x:v>0</x:v>
      </x:c>
      <x:c r="AL3068" t="n">
        <x:v>0</x:v>
      </x:c>
      <x:c r="AM3068" t="n">
        <x:f>CHOOSE('假设'!$B$3,AJ3068,AK3068,AL3068)</x:f>
        <x:v>0</x:v>
      </x:c>
      <x:c r="AN3068" t="n">
        <x:v>1</x:v>
      </x:c>
    </x:row>
    <x:row r="3069" ht="23" customHeight="1">
      <x:c r="A3069" s="11" t="str">
        <x:v>688382.SH</x:v>
      </x:c>
      <x:c r="B3069" s="11" t="str">
        <x:v>一年</x:v>
      </x:c>
      <x:c r="C3069" s="11" t="str">
        <x:v>tyk_global</x:v>
      </x:c>
      <x:c r="D3069" s="11" t="str">
        <x:v>2039-12-31</x:v>
      </x:c>
      <x:c r="E3069" s="11" t="str">
        <x:v>USD</x:v>
      </x:c>
      <x:c r="F3069" s="11" t="n">
        <x:v>12.227241615331964</x:v>
      </x:c>
      <x:c r="G3069" s="26" t="b">
        <x:v>1</x:v>
      </x:c>
      <x:c r="H3069" s="16" t="n">
        <x:v>0.7</x:v>
      </x:c>
      <x:c r="I3069" s="16" t="n">
        <x:v>1.48</x:v>
      </x:c>
      <x:c r="J3069" s="16" t="n">
        <x:v>1.92</x:v>
      </x:c>
      <x:c r="K3069" s="11" t="n">
        <x:f>CHOOSE('假设'!$B$3,H3069,I3069,J3069)</x:f>
        <x:v>1.48</x:v>
      </x:c>
      <x:c r="L3069" s="11" t="n">
        <x:f>K3069*'管线假设'!E667*'管线假设'!F667*'管线假设'!G667*IF(E3069="USD",'管线假设'!I667,1)-AM3069</x:f>
        <x:v>0.331749696</x:v>
      </x:c>
      <x:c r="M3069" s="11" t="n">
        <x:f>'管线假设'!H667</x:f>
        <x:v>0.135</x:v>
      </x:c>
      <x:c r="N3069" s="11" t="n">
        <x:f>IF(G3069,L3069*AN3069/(1+M3069)^F3069,0)</x:f>
        <x:v>0.07052820759358924</x:v>
      </x:c>
      <x:c r="AJ3069" t="n">
        <x:v>0</x:v>
      </x:c>
      <x:c r="AK3069" t="n">
        <x:v>0</x:v>
      </x:c>
      <x:c r="AL3069" t="n">
        <x:v>0</x:v>
      </x:c>
      <x:c r="AM3069" t="n">
        <x:f>CHOOSE('假设'!$B$3,AJ3069,AK3069,AL3069)</x:f>
        <x:v>0</x:v>
      </x:c>
      <x:c r="AN3069" t="n">
        <x:v>1</x:v>
      </x:c>
    </x:row>
    <x:row r="3070" ht="23" customHeight="1">
      <x:c r="A3070" s="11" t="str">
        <x:v>688382.SH</x:v>
      </x:c>
      <x:c r="B3070" s="11" t="str">
        <x:v>一年</x:v>
      </x:c>
      <x:c r="C3070" s="11" t="str">
        <x:v>tyk_global</x:v>
      </x:c>
      <x:c r="D3070" s="11" t="str">
        <x:v>2040-12-31</x:v>
      </x:c>
      <x:c r="E3070" s="11" t="str">
        <x:v>USD</x:v>
      </x:c>
      <x:c r="F3070" s="11" t="n">
        <x:v>13.229295003422314</x:v>
      </x:c>
      <x:c r="G3070" s="26" t="b">
        <x:v>1</x:v>
      </x:c>
      <x:c r="H3070" s="16" t="n">
        <x:v>0.609</x:v>
      </x:c>
      <x:c r="I3070" s="16" t="n">
        <x:v>1.22</x:v>
      </x:c>
      <x:c r="J3070" s="16" t="n">
        <x:v>1.4</x:v>
      </x:c>
      <x:c r="K3070" s="11" t="n">
        <x:f>CHOOSE('假设'!$B$3,H3070,I3070,J3070)</x:f>
        <x:v>1.22</x:v>
      </x:c>
      <x:c r="L3070" s="11" t="n">
        <x:f>K3070*'管线假设'!E667*'管线假设'!F667*'管线假设'!G667*IF(E3070="USD",'管线假设'!I667,1)-AM3070</x:f>
        <x:v>0.273469344</x:v>
      </x:c>
      <x:c r="M3070" s="11" t="n">
        <x:f>'管线假设'!H667</x:f>
        <x:v>0.135</x:v>
      </x:c>
      <x:c r="N3070" s="11" t="n">
        <x:f>IF(G3070,L3070*AN3070/(1+M3070)^F3070,0)</x:f>
        <x:v>0.0512096930528402</x:v>
      </x:c>
      <x:c r="AJ3070" t="n">
        <x:v>0</x:v>
      </x:c>
      <x:c r="AK3070" t="n">
        <x:v>0</x:v>
      </x:c>
      <x:c r="AL3070" t="n">
        <x:v>0</x:v>
      </x:c>
      <x:c r="AM3070" t="n">
        <x:f>CHOOSE('假设'!$B$3,AJ3070,AK3070,AL3070)</x:f>
        <x:v>0</x:v>
      </x:c>
      <x:c r="AN3070" t="n">
        <x:v>1</x:v>
      </x:c>
    </x:row>
    <x:row r="3071" ht="23" customHeight="1">
      <x:c r="A3071" s="11" t="str">
        <x:v>688382.SH</x:v>
      </x:c>
      <x:c r="B3071" s="11" t="str">
        <x:v>一年</x:v>
      </x:c>
      <x:c r="C3071" s="11" t="str">
        <x:v>tyk_global</x:v>
      </x:c>
      <x:c r="D3071" s="11" t="str">
        <x:v>2041-12-31</x:v>
      </x:c>
      <x:c r="E3071" s="11" t="str">
        <x:v>USD</x:v>
      </x:c>
      <x:c r="F3071" s="11" t="n">
        <x:v>14.22861054072553</x:v>
      </x:c>
      <x:c r="G3071" s="26" t="b">
        <x:v>1</x:v>
      </x:c>
      <x:c r="H3071" s="16" t="n">
        <x:v>0.518</x:v>
      </x:c>
      <x:c r="I3071" s="16" t="n">
        <x:v>0.96</x:v>
      </x:c>
      <x:c r="J3071" s="16" t="n">
        <x:v>0.8799999999999999</x:v>
      </x:c>
      <x:c r="K3071" s="11" t="n">
        <x:f>CHOOSE('假设'!$B$3,H3071,I3071,J3071)</x:f>
        <x:v>0.96</x:v>
      </x:c>
      <x:c r="L3071" s="11" t="n">
        <x:f>K3071*'管线假设'!E667*'管线假设'!F667*'管线假设'!G667*IF(E3071="USD",'管线假设'!I667,1)-AM3071</x:f>
        <x:v>0.21518899200000002</x:v>
      </x:c>
      <x:c r="M3071" s="11" t="n">
        <x:f>'管线假设'!H667</x:f>
        <x:v>0.135</x:v>
      </x:c>
      <x:c r="N3071" s="11" t="n">
        <x:f>IF(G3071,L3071*AN3071/(1+M3071)^F3071,0)</x:f>
        <x:v>0.03550629492854127</x:v>
      </x:c>
      <x:c r="AJ3071" t="n">
        <x:v>0</x:v>
      </x:c>
      <x:c r="AK3071" t="n">
        <x:v>0</x:v>
      </x:c>
      <x:c r="AL3071" t="n">
        <x:v>0</x:v>
      </x:c>
      <x:c r="AM3071" t="n">
        <x:f>CHOOSE('假设'!$B$3,AJ3071,AK3071,AL3071)</x:f>
        <x:v>0</x:v>
      </x:c>
      <x:c r="AN3071" t="n">
        <x:v>1</x:v>
      </x:c>
    </x:row>
    <x:row r="3072" ht="23" customHeight="1">
      <x:c r="A3072" s="11" t="str">
        <x:v>688382.SH</x:v>
      </x:c>
      <x:c r="B3072" s="11" t="str">
        <x:v>一年</x:v>
      </x:c>
      <x:c r="C3072" s="11" t="str">
        <x:v>tyk_global</x:v>
      </x:c>
      <x:c r="D3072" s="11" t="str">
        <x:v>2042-12-31</x:v>
      </x:c>
      <x:c r="E3072" s="11" t="str">
        <x:v>USD</x:v>
      </x:c>
      <x:c r="F3072" s="11" t="n">
        <x:v>15.227926078028748</x:v>
      </x:c>
      <x:c r="G3072" s="26" t="b">
        <x:v>1</x:v>
      </x:c>
      <x:c r="H3072" s="16" t="n">
        <x:v>0.427</x:v>
      </x:c>
      <x:c r="I3072" s="16" t="n">
        <x:v>0.7</x:v>
      </x:c>
      <x:c r="J3072" s="16" t="n">
        <x:v>0.3599999999999999</x:v>
      </x:c>
      <x:c r="K3072" s="11" t="n">
        <x:f>CHOOSE('假设'!$B$3,H3072,I3072,J3072)</x:f>
        <x:v>0.7</x:v>
      </x:c>
      <x:c r="L3072" s="11" t="n">
        <x:f>K3072*'管线假设'!E667*'管线假设'!F667*'管线假设'!G667*IF(E3072="USD",'管线假设'!I667,1)-AM3072</x:f>
        <x:v>0.15690864</x:v>
      </x:c>
      <x:c r="M3072" s="11" t="n">
        <x:f>'管线假设'!H667</x:f>
        <x:v>0.135</x:v>
      </x:c>
      <x:c r="N3072" s="11" t="n">
        <x:f>IF(G3072,L3072*AN3072/(1+M3072)^F3072,0)</x:f>
        <x:v>0.02281255580682629</x:v>
      </x:c>
      <x:c r="AJ3072" t="n">
        <x:v>0</x:v>
      </x:c>
      <x:c r="AK3072" t="n">
        <x:v>0</x:v>
      </x:c>
      <x:c r="AL3072" t="n">
        <x:v>0</x:v>
      </x:c>
      <x:c r="AM3072" t="n">
        <x:f>CHOOSE('假设'!$B$3,AJ3072,AK3072,AL3072)</x:f>
        <x:v>0</x:v>
      </x:c>
      <x:c r="AN3072" t="n">
        <x:v>1</x:v>
      </x:c>
    </x:row>
    <x:row r="3073" ht="23" customHeight="1">
      <x:c r="A3073" s="11" t="str">
        <x:v>688382.SH</x:v>
      </x:c>
      <x:c r="B3073" s="11" t="str">
        <x:v>一年</x:v>
      </x:c>
      <x:c r="C3073" s="11" t="str">
        <x:v>tyk_global</x:v>
      </x:c>
      <x:c r="D3073" s="11" t="str">
        <x:v>2043-12-31</x:v>
      </x:c>
      <x:c r="E3073" s="11" t="str">
        <x:v>USD</x:v>
      </x:c>
      <x:c r="F3073" s="11" t="n">
        <x:v>16.227241615331966</x:v>
      </x:c>
      <x:c r="G3073" s="26" t="b">
        <x:v>1</x:v>
      </x:c>
      <x:c r="H3073" s="16" t="n">
        <x:v>0.33599999999999997</x:v>
      </x:c>
      <x:c r="I3073" s="16" t="n">
        <x:v>0.43999999999999995</x:v>
      </x:c>
      <x:c r="J3073" s="16" t="n">
        <x:v>0</x:v>
      </x:c>
      <x:c r="K3073" s="11" t="n">
        <x:f>CHOOSE('假设'!$B$3,H3073,I3073,J3073)</x:f>
        <x:v>0.43999999999999995</x:v>
      </x:c>
      <x:c r="L3073" s="11" t="n">
        <x:f>K3073*'管线假设'!E667*'管线假设'!F667*'管线假设'!G667*IF(E3073="USD",'管线假设'!I667,1)-AM3073</x:f>
        <x:v>0.098628288</x:v>
      </x:c>
      <x:c r="M3073" s="11" t="n">
        <x:f>'管线假设'!H667</x:f>
        <x:v>0.135</x:v>
      </x:c>
      <x:c r="N3073" s="11" t="n">
        <x:f>IF(G3073,L3073*AN3073/(1+M3073)^F3073,0)</x:f>
        <x:v>0.012634857896059518</x:v>
      </x:c>
      <x:c r="AJ3073" t="n">
        <x:v>0</x:v>
      </x:c>
      <x:c r="AK3073" t="n">
        <x:v>0</x:v>
      </x:c>
      <x:c r="AL3073" t="n">
        <x:v>0</x:v>
      </x:c>
      <x:c r="AM3073" t="n">
        <x:f>CHOOSE('假设'!$B$3,AJ3073,AK3073,AL3073)</x:f>
        <x:v>0</x:v>
      </x:c>
      <x:c r="AN3073" t="n">
        <x:v>1</x:v>
      </x:c>
    </x:row>
    <x:row r="3074" ht="23" customHeight="1">
      <x:c r="A3074" s="11" t="str">
        <x:v>688382.SH</x:v>
      </x:c>
      <x:c r="B3074" s="11" t="str">
        <x:v>一年</x:v>
      </x:c>
      <x:c r="C3074" s="11" t="str">
        <x:v>tyk_global</x:v>
      </x:c>
      <x:c r="D3074" s="11" t="str">
        <x:v>2044-12-31</x:v>
      </x:c>
      <x:c r="E3074" s="11" t="str">
        <x:v>USD</x:v>
      </x:c>
      <x:c r="F3074" s="11" t="n">
        <x:v>17.229295003422312</x:v>
      </x:c>
      <x:c r="G3074" s="26" t="b">
        <x:v>1</x:v>
      </x:c>
      <x:c r="H3074" s="16" t="n">
        <x:v>0.24499999999999997</x:v>
      </x:c>
      <x:c r="I3074" s="16" t="n">
        <x:v>0.17999999999999994</x:v>
      </x:c>
      <x:c r="J3074" s="16" t="n">
        <x:v>0</x:v>
      </x:c>
      <x:c r="K3074" s="11" t="n">
        <x:f>CHOOSE('假设'!$B$3,H3074,I3074,J3074)</x:f>
        <x:v>0.17999999999999994</x:v>
      </x:c>
      <x:c r="L3074" s="11" t="n">
        <x:f>K3074*'管线假设'!E667*'管线假设'!F667*'管线假设'!G667*IF(E3074="USD",'管线假设'!I667,1)-AM3074</x:f>
        <x:v>0.04034793599999999</x:v>
      </x:c>
      <x:c r="M3074" s="11" t="n">
        <x:f>'管线假设'!H667</x:f>
        <x:v>0.135</x:v>
      </x:c>
      <x:c r="N3074" s="11" t="n">
        <x:f>IF(G3074,L3074*AN3074/(1+M3074)^F3074,0)</x:f>
        <x:v>0.004552829651063069</x:v>
      </x:c>
      <x:c r="AJ3074" t="n">
        <x:v>0</x:v>
      </x:c>
      <x:c r="AK3074" t="n">
        <x:v>0</x:v>
      </x:c>
      <x:c r="AL3074" t="n">
        <x:v>0</x:v>
      </x:c>
      <x:c r="AM3074" t="n">
        <x:f>CHOOSE('假设'!$B$3,AJ3074,AK3074,AL3074)</x:f>
        <x:v>0</x:v>
      </x:c>
      <x:c r="AN3074" t="n">
        <x:v>1</x:v>
      </x:c>
    </x:row>
    <x:row r="3075" ht="23" customHeight="1">
      <x:c r="A3075" s="11" t="str">
        <x:v>688382.SH</x:v>
      </x:c>
      <x:c r="B3075" s="11" t="str">
        <x:v>一年</x:v>
      </x:c>
      <x:c r="C3075" s="11" t="str">
        <x:v>tyk_global</x:v>
      </x:c>
      <x:c r="D3075" s="11" t="str">
        <x:v>2045-12-31</x:v>
      </x:c>
      <x:c r="E3075" s="11" t="str">
        <x:v>USD</x:v>
      </x:c>
      <x:c r="F3075" s="11" t="n">
        <x:v>18.22861054072553</x:v>
      </x:c>
      <x:c r="G3075" s="26" t="b">
        <x:v>1</x:v>
      </x:c>
      <x:c r="H3075" s="16" t="n">
        <x:v>0.15399999999999997</x:v>
      </x:c>
      <x:c r="I3075" s="16" t="n">
        <x:v>0</x:v>
      </x:c>
      <x:c r="J3075" s="16" t="n">
        <x:v>0</x:v>
      </x:c>
      <x:c r="K3075" s="11" t="n">
        <x:f>CHOOSE('假设'!$B$3,H3075,I3075,J3075)</x:f>
        <x:v>0</x:v>
      </x:c>
      <x:c r="L3075" s="11" t="n">
        <x:f>K3075*'管线假设'!E667*'管线假设'!F667*'管线假设'!G667*IF(E3075="USD",'管线假设'!I667,1)-AM3075</x:f>
        <x:v>0</x:v>
      </x:c>
      <x:c r="M3075" s="11" t="n">
        <x:f>'管线假设'!H667</x:f>
        <x:v>0.135</x:v>
      </x:c>
      <x:c r="N3075" s="11" t="n">
        <x:f>IF(G3075,L3075*AN3075/(1+M3075)^F3075,0)</x:f>
        <x:v>0</x:v>
      </x:c>
      <x:c r="AJ3075" t="n">
        <x:v>0</x:v>
      </x:c>
      <x:c r="AK3075" t="n">
        <x:v>0</x:v>
      </x:c>
      <x:c r="AL3075" t="n">
        <x:v>0</x:v>
      </x:c>
      <x:c r="AM3075" t="n">
        <x:f>CHOOSE('假设'!$B$3,AJ3075,AK3075,AL3075)</x:f>
        <x:v>0</x:v>
      </x:c>
      <x:c r="AN3075" t="n">
        <x:v>1</x:v>
      </x:c>
    </x:row>
    <x:row r="3076" ht="23" customHeight="1">
      <x:c r="A3076" s="11" t="str">
        <x:v>688382.SH</x:v>
      </x:c>
      <x:c r="B3076" s="11" t="str">
        <x:v>一年</x:v>
      </x:c>
      <x:c r="C3076" s="11" t="str">
        <x:v>serd_cn</x:v>
      </x:c>
      <x:c r="D3076" s="11" t="str">
        <x:v>2027-12-31</x:v>
      </x:c>
      <x:c r="E3076" s="11" t="str">
        <x:v>CNY</x:v>
      </x:c>
      <x:c r="F3076" s="11" t="n">
        <x:v>0.2272416153319644</x:v>
      </x:c>
      <x:c r="G3076" s="26" t="b">
        <x:v>1</x:v>
      </x:c>
      <x:c r="H3076" s="16" t="n">
        <x:v>0</x:v>
      </x:c>
      <x:c r="I3076" s="16" t="n">
        <x:v>0</x:v>
      </x:c>
      <x:c r="J3076" s="16" t="n">
        <x:v>0</x:v>
      </x:c>
      <x:c r="K3076" s="11" t="n">
        <x:f>CHOOSE('假设'!$B$3,H3076,I3076,J3076)</x:f>
        <x:v>0</x:v>
      </x:c>
      <x:c r="L3076" s="11" t="n">
        <x:f>K3076*'管线假设'!E671*'管线假设'!F671*'管线假设'!G671*IF(E3076="USD",'管线假设'!I671,1)-AM3076</x:f>
        <x:v>0</x:v>
      </x:c>
      <x:c r="M3076" s="11" t="n">
        <x:f>'管线假设'!H671</x:f>
        <x:v>0.135</x:v>
      </x:c>
      <x:c r="N3076" s="11" t="n">
        <x:f>IF(G3076,L3076*AN3076/(1+M3076)^F3076,0)</x:f>
        <x:v>0</x:v>
      </x:c>
      <x:c r="AJ3076" t="n">
        <x:v>0</x:v>
      </x:c>
      <x:c r="AK3076" t="n">
        <x:v>0</x:v>
      </x:c>
      <x:c r="AL3076" t="n">
        <x:v>0</x:v>
      </x:c>
      <x:c r="AM3076" t="n">
        <x:f>CHOOSE('假设'!$B$3,AJ3076,AK3076,AL3076)</x:f>
        <x:v>0</x:v>
      </x:c>
      <x:c r="AN3076" t="n">
        <x:v>1</x:v>
      </x:c>
    </x:row>
    <x:row r="3077" ht="23" customHeight="1">
      <x:c r="A3077" s="11" t="str">
        <x:v>688382.SH</x:v>
      </x:c>
      <x:c r="B3077" s="11" t="str">
        <x:v>一年</x:v>
      </x:c>
      <x:c r="C3077" s="11" t="str">
        <x:v>serd_cn</x:v>
      </x:c>
      <x:c r="D3077" s="11" t="str">
        <x:v>2028-12-31</x:v>
      </x:c>
      <x:c r="E3077" s="11" t="str">
        <x:v>CNY</x:v>
      </x:c>
      <x:c r="F3077" s="11" t="n">
        <x:v>1.2292950034223136</x:v>
      </x:c>
      <x:c r="G3077" s="26" t="b">
        <x:v>1</x:v>
      </x:c>
      <x:c r="H3077" s="16" t="n">
        <x:v>0</x:v>
      </x:c>
      <x:c r="I3077" s="16" t="n">
        <x:v>0</x:v>
      </x:c>
      <x:c r="J3077" s="16" t="n">
        <x:v>0.4666666666666666</x:v>
      </x:c>
      <x:c r="K3077" s="11" t="n">
        <x:f>CHOOSE('假设'!$B$3,H3077,I3077,J3077)</x:f>
        <x:v>0</x:v>
      </x:c>
      <x:c r="L3077" s="11" t="n">
        <x:f>K3077*'管线假设'!E671*'管线假设'!F671*'管线假设'!G671*IF(E3077="USD",'管线假设'!I671,1)-AM3077</x:f>
        <x:v>0</x:v>
      </x:c>
      <x:c r="M3077" s="11" t="n">
        <x:f>'管线假设'!H671</x:f>
        <x:v>0.135</x:v>
      </x:c>
      <x:c r="N3077" s="11" t="n">
        <x:f>IF(G3077,L3077*AN3077/(1+M3077)^F3077,0)</x:f>
        <x:v>0</x:v>
      </x:c>
      <x:c r="AJ3077" t="n">
        <x:v>0</x:v>
      </x:c>
      <x:c r="AK3077" t="n">
        <x:v>0</x:v>
      </x:c>
      <x:c r="AL3077" t="n">
        <x:v>0</x:v>
      </x:c>
      <x:c r="AM3077" t="n">
        <x:f>CHOOSE('假设'!$B$3,AJ3077,AK3077,AL3077)</x:f>
        <x:v>0</x:v>
      </x:c>
      <x:c r="AN3077" t="n">
        <x:v>1</x:v>
      </x:c>
    </x:row>
    <x:row r="3078" ht="23" customHeight="1">
      <x:c r="A3078" s="11" t="str">
        <x:v>688382.SH</x:v>
      </x:c>
      <x:c r="B3078" s="11" t="str">
        <x:v>一年</x:v>
      </x:c>
      <x:c r="C3078" s="11" t="str">
        <x:v>serd_cn</x:v>
      </x:c>
      <x:c r="D3078" s="11" t="str">
        <x:v>2029-12-31</x:v>
      </x:c>
      <x:c r="E3078" s="11" t="str">
        <x:v>CNY</x:v>
      </x:c>
      <x:c r="F3078" s="11" t="n">
        <x:v>2.2286105407255303</x:v>
      </x:c>
      <x:c r="G3078" s="26" t="b">
        <x:v>1</x:v>
      </x:c>
      <x:c r="H3078" s="16" t="n">
        <x:v>0</x:v>
      </x:c>
      <x:c r="I3078" s="16" t="n">
        <x:v>0.25</x:v>
      </x:c>
      <x:c r="J3078" s="16" t="n">
        <x:v>0.9333333333333332</x:v>
      </x:c>
      <x:c r="K3078" s="11" t="n">
        <x:f>CHOOSE('假设'!$B$3,H3078,I3078,J3078)</x:f>
        <x:v>0.25</x:v>
      </x:c>
      <x:c r="L3078" s="11" t="n">
        <x:f>K3078*'管线假设'!E671*'管线假设'!F671*'管线假设'!G671*IF(E3078="USD",'管线假设'!I671,1)-AM3078</x:f>
        <x:v>0.03780000000000001</x:v>
      </x:c>
      <x:c r="M3078" s="11" t="n">
        <x:f>'管线假设'!H671</x:f>
        <x:v>0.135</x:v>
      </x:c>
      <x:c r="N3078" s="11" t="n">
        <x:f>IF(G3078,L3078*AN3078/(1+M3078)^F3078,0)</x:f>
        <x:v>0.028505419923699003</x:v>
      </x:c>
      <x:c r="AJ3078" t="n">
        <x:v>0</x:v>
      </x:c>
      <x:c r="AK3078" t="n">
        <x:v>0</x:v>
      </x:c>
      <x:c r="AL3078" t="n">
        <x:v>0</x:v>
      </x:c>
      <x:c r="AM3078" t="n">
        <x:f>CHOOSE('假设'!$B$3,AJ3078,AK3078,AL3078)</x:f>
        <x:v>0</x:v>
      </x:c>
      <x:c r="AN3078" t="n">
        <x:v>1</x:v>
      </x:c>
    </x:row>
    <x:row r="3079" ht="23" customHeight="1">
      <x:c r="A3079" s="11" t="str">
        <x:v>688382.SH</x:v>
      </x:c>
      <x:c r="B3079" s="11" t="str">
        <x:v>一年</x:v>
      </x:c>
      <x:c r="C3079" s="11" t="str">
        <x:v>serd_cn</x:v>
      </x:c>
      <x:c r="D3079" s="11" t="str">
        <x:v>2030-12-31</x:v>
      </x:c>
      <x:c r="E3079" s="11" t="str">
        <x:v>CNY</x:v>
      </x:c>
      <x:c r="F3079" s="11" t="n">
        <x:v>3.2279260780287475</x:v>
      </x:c>
      <x:c r="G3079" s="26" t="b">
        <x:v>1</x:v>
      </x:c>
      <x:c r="H3079" s="16" t="n">
        <x:v>0</x:v>
      </x:c>
      <x:c r="I3079" s="16" t="n">
        <x:v>0.5</x:v>
      </x:c>
      <x:c r="J3079" s="16" t="n">
        <x:v>1.4</x:v>
      </x:c>
      <x:c r="K3079" s="11" t="n">
        <x:f>CHOOSE('假设'!$B$3,H3079,I3079,J3079)</x:f>
        <x:v>0.5</x:v>
      </x:c>
      <x:c r="L3079" s="11" t="n">
        <x:f>K3079*'管线假设'!E671*'管线假设'!F671*'管线假设'!G671*IF(E3079="USD",'管线假设'!I671,1)-AM3079</x:f>
        <x:v>0.07560000000000001</x:v>
      </x:c>
      <x:c r="M3079" s="11" t="n">
        <x:f>'管线假设'!H671</x:f>
        <x:v>0.135</x:v>
      </x:c>
      <x:c r="N3079" s="11" t="n">
        <x:f>IF(G3079,L3079*AN3079/(1+M3079)^F3079,0)</x:f>
        <x:v>0.05023416871777084</x:v>
      </x:c>
      <x:c r="AJ3079" t="n">
        <x:v>0</x:v>
      </x:c>
      <x:c r="AK3079" t="n">
        <x:v>0</x:v>
      </x:c>
      <x:c r="AL3079" t="n">
        <x:v>0</x:v>
      </x:c>
      <x:c r="AM3079" t="n">
        <x:f>CHOOSE('假设'!$B$3,AJ3079,AK3079,AL3079)</x:f>
        <x:v>0</x:v>
      </x:c>
      <x:c r="AN3079" t="n">
        <x:v>1</x:v>
      </x:c>
    </x:row>
    <x:row r="3080" ht="23" customHeight="1">
      <x:c r="A3080" s="11" t="str">
        <x:v>688382.SH</x:v>
      </x:c>
      <x:c r="B3080" s="11" t="str">
        <x:v>一年</x:v>
      </x:c>
      <x:c r="C3080" s="11" t="str">
        <x:v>serd_cn</x:v>
      </x:c>
      <x:c r="D3080" s="11" t="str">
        <x:v>2031-12-31</x:v>
      </x:c>
      <x:c r="E3080" s="11" t="str">
        <x:v>CNY</x:v>
      </x:c>
      <x:c r="F3080" s="11" t="n">
        <x:v>4.227241615331964</x:v>
      </x:c>
      <x:c r="G3080" s="26" t="b">
        <x:v>1</x:v>
      </x:c>
      <x:c r="H3080" s="16" t="n">
        <x:v>0.12</x:v>
      </x:c>
      <x:c r="I3080" s="16" t="n">
        <x:v>0.75</x:v>
      </x:c>
      <x:c r="J3080" s="16" t="n">
        <x:v>1.8666666666666665</x:v>
      </x:c>
      <x:c r="K3080" s="11" t="n">
        <x:f>CHOOSE('假设'!$B$3,H3080,I3080,J3080)</x:f>
        <x:v>0.75</x:v>
      </x:c>
      <x:c r="L3080" s="11" t="n">
        <x:f>K3080*'管线假设'!E671*'管线假设'!F671*'管线假设'!G671*IF(E3080="USD",'管线假设'!I671,1)-AM3080</x:f>
        <x:v>0.11340000000000001</x:v>
      </x:c>
      <x:c r="M3080" s="11" t="n">
        <x:f>'管线假设'!H671</x:f>
        <x:v>0.135</x:v>
      </x:c>
      <x:c r="N3080" s="11" t="n">
        <x:f>IF(G3080,L3080*AN3080/(1+M3080)^F3080,0)</x:f>
        <x:v>0.06639452374811766</x:v>
      </x:c>
      <x:c r="AJ3080" t="n">
        <x:v>0</x:v>
      </x:c>
      <x:c r="AK3080" t="n">
        <x:v>0</x:v>
      </x:c>
      <x:c r="AL3080" t="n">
        <x:v>0</x:v>
      </x:c>
      <x:c r="AM3080" t="n">
        <x:f>CHOOSE('假设'!$B$3,AJ3080,AK3080,AL3080)</x:f>
        <x:v>0</x:v>
      </x:c>
      <x:c r="AN3080" t="n">
        <x:v>1</x:v>
      </x:c>
    </x:row>
    <x:row r="3081" ht="23" customHeight="1">
      <x:c r="A3081" s="11" t="str">
        <x:v>688382.SH</x:v>
      </x:c>
      <x:c r="B3081" s="11" t="str">
        <x:v>一年</x:v>
      </x:c>
      <x:c r="C3081" s="11" t="str">
        <x:v>serd_cn</x:v>
      </x:c>
      <x:c r="D3081" s="11" t="str">
        <x:v>2032-12-31</x:v>
      </x:c>
      <x:c r="E3081" s="11" t="str">
        <x:v>CNY</x:v>
      </x:c>
      <x:c r="F3081" s="11" t="n">
        <x:v>5.229295003422314</x:v>
      </x:c>
      <x:c r="G3081" s="26" t="b">
        <x:v>1</x:v>
      </x:c>
      <x:c r="H3081" s="16" t="n">
        <x:v>0.24</x:v>
      </x:c>
      <x:c r="I3081" s="16" t="n">
        <x:v>1</x:v>
      </x:c>
      <x:c r="J3081" s="16" t="n">
        <x:v>2.3333333333333335</x:v>
      </x:c>
      <x:c r="K3081" s="11" t="n">
        <x:f>CHOOSE('假设'!$B$3,H3081,I3081,J3081)</x:f>
        <x:v>1</x:v>
      </x:c>
      <x:c r="L3081" s="11" t="n">
        <x:f>K3081*'管线假设'!E671*'管线假设'!F671*'管线假设'!G671*IF(E3081="USD",'管线假设'!I671,1)-AM3081</x:f>
        <x:v>0.15120000000000003</x:v>
      </x:c>
      <x:c r="M3081" s="11" t="n">
        <x:f>'管线假设'!H671</x:f>
        <x:v>0.135</x:v>
      </x:c>
      <x:c r="N3081" s="11" t="n">
        <x:f>IF(G3081,L3081*AN3081/(1+M3081)^F3081,0)</x:f>
        <x:v>0.0779762251883502</x:v>
      </x:c>
      <x:c r="AJ3081" t="n">
        <x:v>0</x:v>
      </x:c>
      <x:c r="AK3081" t="n">
        <x:v>0</x:v>
      </x:c>
      <x:c r="AL3081" t="n">
        <x:v>0</x:v>
      </x:c>
      <x:c r="AM3081" t="n">
        <x:f>CHOOSE('假设'!$B$3,AJ3081,AK3081,AL3081)</x:f>
        <x:v>0</x:v>
      </x:c>
      <x:c r="AN3081" t="n">
        <x:v>1</x:v>
      </x:c>
    </x:row>
    <x:row r="3082" ht="23" customHeight="1">
      <x:c r="A3082" s="11" t="str">
        <x:v>688382.SH</x:v>
      </x:c>
      <x:c r="B3082" s="11" t="str">
        <x:v>一年</x:v>
      </x:c>
      <x:c r="C3082" s="11" t="str">
        <x:v>serd_cn</x:v>
      </x:c>
      <x:c r="D3082" s="11" t="str">
        <x:v>2033-12-31</x:v>
      </x:c>
      <x:c r="E3082" s="11" t="str">
        <x:v>CNY</x:v>
      </x:c>
      <x:c r="F3082" s="11" t="n">
        <x:v>6.228610540725531</x:v>
      </x:c>
      <x:c r="G3082" s="26" t="b">
        <x:v>1</x:v>
      </x:c>
      <x:c r="H3082" s="16" t="n">
        <x:v>0.36</x:v>
      </x:c>
      <x:c r="I3082" s="16" t="n">
        <x:v>1.25</x:v>
      </x:c>
      <x:c r="J3082" s="16" t="n">
        <x:v>2.8</x:v>
      </x:c>
      <x:c r="K3082" s="11" t="n">
        <x:f>CHOOSE('假设'!$B$3,H3082,I3082,J3082)</x:f>
        <x:v>1.25</x:v>
      </x:c>
      <x:c r="L3082" s="11" t="n">
        <x:f>K3082*'管线假设'!E671*'管线假设'!F671*'管线假设'!G671*IF(E3082="USD",'管线假设'!I671,1)-AM3082</x:f>
        <x:v>0.18900000000000003</x:v>
      </x:c>
      <x:c r="M3082" s="11" t="n">
        <x:f>'管线假设'!H671</x:f>
        <x:v>0.135</x:v>
      </x:c>
      <x:c r="N3082" s="11" t="n">
        <x:f>IF(G3082,L3082*AN3082/(1+M3082)^F3082,0)</x:f>
        <x:v>0.08588434371804059</x:v>
      </x:c>
      <x:c r="AJ3082" t="n">
        <x:v>0</x:v>
      </x:c>
      <x:c r="AK3082" t="n">
        <x:v>0</x:v>
      </x:c>
      <x:c r="AL3082" t="n">
        <x:v>0</x:v>
      </x:c>
      <x:c r="AM3082" t="n">
        <x:f>CHOOSE('假设'!$B$3,AJ3082,AK3082,AL3082)</x:f>
        <x:v>0</x:v>
      </x:c>
      <x:c r="AN3082" t="n">
        <x:v>1</x:v>
      </x:c>
    </x:row>
    <x:row r="3083" ht="23" customHeight="1">
      <x:c r="A3083" s="11" t="str">
        <x:v>688382.SH</x:v>
      </x:c>
      <x:c r="B3083" s="11" t="str">
        <x:v>一年</x:v>
      </x:c>
      <x:c r="C3083" s="11" t="str">
        <x:v>serd_cn</x:v>
      </x:c>
      <x:c r="D3083" s="11" t="str">
        <x:v>2034-12-31</x:v>
      </x:c>
      <x:c r="E3083" s="11" t="str">
        <x:v>CNY</x:v>
      </x:c>
      <x:c r="F3083" s="11" t="n">
        <x:v>7.227926078028747</x:v>
      </x:c>
      <x:c r="G3083" s="26" t="b">
        <x:v>1</x:v>
      </x:c>
      <x:c r="H3083" s="16" t="n">
        <x:v>0.48</x:v>
      </x:c>
      <x:c r="I3083" s="16" t="n">
        <x:v>1.5</x:v>
      </x:c>
      <x:c r="J3083" s="16" t="n">
        <x:v>2.436</x:v>
      </x:c>
      <x:c r="K3083" s="11" t="n">
        <x:f>CHOOSE('假设'!$B$3,H3083,I3083,J3083)</x:f>
        <x:v>1.5</x:v>
      </x:c>
      <x:c r="L3083" s="11" t="n">
        <x:f>K3083*'管线假设'!E671*'管线假设'!F671*'管线假设'!G671*IF(E3083="USD",'管线假设'!I671,1)-AM3083</x:f>
        <x:v>0.22680000000000003</x:v>
      </x:c>
      <x:c r="M3083" s="11" t="n">
        <x:f>'管线假设'!H671</x:f>
        <x:v>0.135</x:v>
      </x:c>
      <x:c r="N3083" s="11" t="n">
        <x:f>IF(G3083,L3083*AN3083/(1+M3083)^F3083,0)</x:f>
        <x:v>0.09081070106868067</x:v>
      </x:c>
      <x:c r="AJ3083" t="n">
        <x:v>0</x:v>
      </x:c>
      <x:c r="AK3083" t="n">
        <x:v>0</x:v>
      </x:c>
      <x:c r="AL3083" t="n">
        <x:v>0</x:v>
      </x:c>
      <x:c r="AM3083" t="n">
        <x:f>CHOOSE('假设'!$B$3,AJ3083,AK3083,AL3083)</x:f>
        <x:v>0</x:v>
      </x:c>
      <x:c r="AN3083" t="n">
        <x:v>1</x:v>
      </x:c>
    </x:row>
    <x:row r="3084" ht="23" customHeight="1">
      <x:c r="A3084" s="11" t="str">
        <x:v>688382.SH</x:v>
      </x:c>
      <x:c r="B3084" s="11" t="str">
        <x:v>一年</x:v>
      </x:c>
      <x:c r="C3084" s="11" t="str">
        <x:v>serd_cn</x:v>
      </x:c>
      <x:c r="D3084" s="11" t="str">
        <x:v>2035-12-31</x:v>
      </x:c>
      <x:c r="E3084" s="11" t="str">
        <x:v>CNY</x:v>
      </x:c>
      <x:c r="F3084" s="11" t="n">
        <x:v>8.227241615331964</x:v>
      </x:c>
      <x:c r="G3084" s="26" t="b">
        <x:v>1</x:v>
      </x:c>
      <x:c r="H3084" s="16" t="n">
        <x:v>0.6</x:v>
      </x:c>
      <x:c r="I3084" s="16" t="n">
        <x:v>1.305</x:v>
      </x:c>
      <x:c r="J3084" s="16" t="n">
        <x:v>2.072</x:v>
      </x:c>
      <x:c r="K3084" s="11" t="n">
        <x:f>CHOOSE('假设'!$B$3,H3084,I3084,J3084)</x:f>
        <x:v>1.305</x:v>
      </x:c>
      <x:c r="L3084" s="11" t="n">
        <x:f>K3084*'管线假设'!E671*'管线假设'!F671*'管线假设'!G671*IF(E3084="USD",'管线假设'!I671,1)-AM3084</x:f>
        <x:v>0.19731600000000002</x:v>
      </x:c>
      <x:c r="M3084" s="11" t="n">
        <x:f>'管线假设'!H671</x:f>
        <x:v>0.135</x:v>
      </x:c>
      <x:c r="N3084" s="11" t="n">
        <x:f>IF(G3084,L3084*AN3084/(1+M3084)^F3084,0)</x:f>
        <x:v>0.06961423615639091</x:v>
      </x:c>
      <x:c r="AJ3084" t="n">
        <x:v>0</x:v>
      </x:c>
      <x:c r="AK3084" t="n">
        <x:v>0</x:v>
      </x:c>
      <x:c r="AL3084" t="n">
        <x:v>0</x:v>
      </x:c>
      <x:c r="AM3084" t="n">
        <x:f>CHOOSE('假设'!$B$3,AJ3084,AK3084,AL3084)</x:f>
        <x:v>0</x:v>
      </x:c>
      <x:c r="AN3084" t="n">
        <x:v>1</x:v>
      </x:c>
    </x:row>
    <x:row r="3085" ht="23" customHeight="1">
      <x:c r="A3085" s="11" t="str">
        <x:v>688382.SH</x:v>
      </x:c>
      <x:c r="B3085" s="11" t="str">
        <x:v>一年</x:v>
      </x:c>
      <x:c r="C3085" s="11" t="str">
        <x:v>serd_cn</x:v>
      </x:c>
      <x:c r="D3085" s="11" t="str">
        <x:v>2036-12-31</x:v>
      </x:c>
      <x:c r="E3085" s="11" t="str">
        <x:v>CNY</x:v>
      </x:c>
      <x:c r="F3085" s="11" t="n">
        <x:v>9.229295003422314</x:v>
      </x:c>
      <x:c r="G3085" s="26" t="b">
        <x:v>1</x:v>
      </x:c>
      <x:c r="H3085" s="16" t="n">
        <x:v>0.522</x:v>
      </x:c>
      <x:c r="I3085" s="16" t="n">
        <x:v>1.1099999999999999</x:v>
      </x:c>
      <x:c r="J3085" s="16" t="n">
        <x:v>1.708</x:v>
      </x:c>
      <x:c r="K3085" s="11" t="n">
        <x:f>CHOOSE('假设'!$B$3,H3085,I3085,J3085)</x:f>
        <x:v>1.1099999999999999</x:v>
      </x:c>
      <x:c r="L3085" s="11" t="n">
        <x:f>K3085*'管线假设'!E671*'管线假设'!F671*'管线假设'!G671*IF(E3085="USD",'管线假设'!I671,1)-AM3085</x:f>
        <x:v>0.167832</x:v>
      </x:c>
      <x:c r="M3085" s="11" t="n">
        <x:f>'管线假设'!H671</x:f>
        <x:v>0.135</x:v>
      </x:c>
      <x:c r="N3085" s="11" t="n">
        <x:f>IF(G3085,L3085*AN3085/(1+M3085)^F3085,0)</x:f>
        <x:v>0.052155695356599106</x:v>
      </x:c>
      <x:c r="AJ3085" t="n">
        <x:v>0</x:v>
      </x:c>
      <x:c r="AK3085" t="n">
        <x:v>0</x:v>
      </x:c>
      <x:c r="AL3085" t="n">
        <x:v>0</x:v>
      </x:c>
      <x:c r="AM3085" t="n">
        <x:f>CHOOSE('假设'!$B$3,AJ3085,AK3085,AL3085)</x:f>
        <x:v>0</x:v>
      </x:c>
      <x:c r="AN3085" t="n">
        <x:v>1</x:v>
      </x:c>
    </x:row>
    <x:row r="3086" ht="23" customHeight="1">
      <x:c r="A3086" s="11" t="str">
        <x:v>688382.SH</x:v>
      </x:c>
      <x:c r="B3086" s="11" t="str">
        <x:v>一年</x:v>
      </x:c>
      <x:c r="C3086" s="11" t="str">
        <x:v>serd_cn</x:v>
      </x:c>
      <x:c r="D3086" s="11" t="str">
        <x:v>2037-12-31</x:v>
      </x:c>
      <x:c r="E3086" s="11" t="str">
        <x:v>CNY</x:v>
      </x:c>
      <x:c r="F3086" s="11" t="n">
        <x:v>10.22861054072553</x:v>
      </x:c>
      <x:c r="G3086" s="26" t="b">
        <x:v>1</x:v>
      </x:c>
      <x:c r="H3086" s="16" t="n">
        <x:v>0.444</x:v>
      </x:c>
      <x:c r="I3086" s="16" t="n">
        <x:v>0.915</x:v>
      </x:c>
      <x:c r="J3086" s="16" t="n">
        <x:v>1.3439999999999999</x:v>
      </x:c>
      <x:c r="K3086" s="11" t="n">
        <x:f>CHOOSE('假设'!$B$3,H3086,I3086,J3086)</x:f>
        <x:v>0.915</x:v>
      </x:c>
      <x:c r="L3086" s="11" t="n">
        <x:f>K3086*'管线假设'!E671*'管线假设'!F671*'管线假设'!G671*IF(E3086="USD",'管线假设'!I671,1)-AM3086</x:f>
        <x:v>0.13834800000000003</x:v>
      </x:c>
      <x:c r="M3086" s="11" t="n">
        <x:f>'管线假设'!H671</x:f>
        <x:v>0.135</x:v>
      </x:c>
      <x:c r="N3086" s="11" t="n">
        <x:f>IF(G3086,L3086*AN3086/(1+M3086)^F3086,0)</x:f>
        <x:v>0.03788276206725285</x:v>
      </x:c>
      <x:c r="AJ3086" t="n">
        <x:v>0</x:v>
      </x:c>
      <x:c r="AK3086" t="n">
        <x:v>0</x:v>
      </x:c>
      <x:c r="AL3086" t="n">
        <x:v>0</x:v>
      </x:c>
      <x:c r="AM3086" t="n">
        <x:f>CHOOSE('假设'!$B$3,AJ3086,AK3086,AL3086)</x:f>
        <x:v>0</x:v>
      </x:c>
      <x:c r="AN3086" t="n">
        <x:v>1</x:v>
      </x:c>
    </x:row>
    <x:row r="3087" ht="23" customHeight="1">
      <x:c r="A3087" s="11" t="str">
        <x:v>688382.SH</x:v>
      </x:c>
      <x:c r="B3087" s="11" t="str">
        <x:v>一年</x:v>
      </x:c>
      <x:c r="C3087" s="11" t="str">
        <x:v>serd_cn</x:v>
      </x:c>
      <x:c r="D3087" s="11" t="str">
        <x:v>2038-12-31</x:v>
      </x:c>
      <x:c r="E3087" s="11" t="str">
        <x:v>CNY</x:v>
      </x:c>
      <x:c r="F3087" s="11" t="n">
        <x:v>11.227926078028748</x:v>
      </x:c>
      <x:c r="G3087" s="26" t="b">
        <x:v>1</x:v>
      </x:c>
      <x:c r="H3087" s="16" t="n">
        <x:v>0.366</x:v>
      </x:c>
      <x:c r="I3087" s="16" t="n">
        <x:v>0.72</x:v>
      </x:c>
      <x:c r="J3087" s="16" t="n">
        <x:v>0.9799999999999999</x:v>
      </x:c>
      <x:c r="K3087" s="11" t="n">
        <x:f>CHOOSE('假设'!$B$3,H3087,I3087,J3087)</x:f>
        <x:v>0.72</x:v>
      </x:c>
      <x:c r="L3087" s="11" t="n">
        <x:f>K3087*'管线假设'!E671*'管线假设'!F671*'管线假设'!G671*IF(E3087="USD",'管线假设'!I671,1)-AM3087</x:f>
        <x:v>0.10886400000000002</x:v>
      </x:c>
      <x:c r="M3087" s="11" t="n">
        <x:f>'管线假设'!H671</x:f>
        <x:v>0.135</x:v>
      </x:c>
      <x:c r="N3087" s="11" t="n">
        <x:f>IF(G3087,L3087*AN3087/(1+M3087)^F3087,0)</x:f>
        <x:v>0.026266053211444394</x:v>
      </x:c>
      <x:c r="AJ3087" t="n">
        <x:v>0</x:v>
      </x:c>
      <x:c r="AK3087" t="n">
        <x:v>0</x:v>
      </x:c>
      <x:c r="AL3087" t="n">
        <x:v>0</x:v>
      </x:c>
      <x:c r="AM3087" t="n">
        <x:f>CHOOSE('假设'!$B$3,AJ3087,AK3087,AL3087)</x:f>
        <x:v>0</x:v>
      </x:c>
      <x:c r="AN3087" t="n">
        <x:v>1</x:v>
      </x:c>
    </x:row>
    <x:row r="3088" ht="23" customHeight="1">
      <x:c r="A3088" s="11" t="str">
        <x:v>688382.SH</x:v>
      </x:c>
      <x:c r="B3088" s="11" t="str">
        <x:v>一年</x:v>
      </x:c>
      <x:c r="C3088" s="11" t="str">
        <x:v>serd_cn</x:v>
      </x:c>
      <x:c r="D3088" s="11" t="str">
        <x:v>2039-12-31</x:v>
      </x:c>
      <x:c r="E3088" s="11" t="str">
        <x:v>CNY</x:v>
      </x:c>
      <x:c r="F3088" s="11" t="n">
        <x:v>12.227241615331964</x:v>
      </x:c>
      <x:c r="G3088" s="26" t="b">
        <x:v>1</x:v>
      </x:c>
      <x:c r="H3088" s="16" t="n">
        <x:v>0.288</x:v>
      </x:c>
      <x:c r="I3088" s="16" t="n">
        <x:v>0.5249999999999999</x:v>
      </x:c>
      <x:c r="J3088" s="16" t="n">
        <x:v>0.6159999999999999</x:v>
      </x:c>
      <x:c r="K3088" s="11" t="n">
        <x:f>CHOOSE('假设'!$B$3,H3088,I3088,J3088)</x:f>
        <x:v>0.5249999999999999</x:v>
      </x:c>
      <x:c r="L3088" s="11" t="n">
        <x:f>K3088*'管线假设'!E671*'管线假设'!F671*'管线假设'!G671*IF(E3088="USD",'管线假设'!I671,1)-AM3088</x:f>
        <x:v>0.07938</x:v>
      </x:c>
      <x:c r="M3088" s="11" t="n">
        <x:f>'管线假设'!H671</x:f>
        <x:v>0.135</x:v>
      </x:c>
      <x:c r="N3088" s="11" t="n">
        <x:f>IF(G3088,L3088*AN3088/(1+M3088)^F3088,0)</x:f>
        <x:v>0.01687576261947536</x:v>
      </x:c>
      <x:c r="AJ3088" t="n">
        <x:v>0</x:v>
      </x:c>
      <x:c r="AK3088" t="n">
        <x:v>0</x:v>
      </x:c>
      <x:c r="AL3088" t="n">
        <x:v>0</x:v>
      </x:c>
      <x:c r="AM3088" t="n">
        <x:f>CHOOSE('假设'!$B$3,AJ3088,AK3088,AL3088)</x:f>
        <x:v>0</x:v>
      </x:c>
      <x:c r="AN3088" t="n">
        <x:v>1</x:v>
      </x:c>
    </x:row>
    <x:row r="3089" ht="23" customHeight="1">
      <x:c r="A3089" s="11" t="str">
        <x:v>688382.SH</x:v>
      </x:c>
      <x:c r="B3089" s="11" t="str">
        <x:v>一年</x:v>
      </x:c>
      <x:c r="C3089" s="11" t="str">
        <x:v>serd_cn</x:v>
      </x:c>
      <x:c r="D3089" s="11" t="str">
        <x:v>2040-12-31</x:v>
      </x:c>
      <x:c r="E3089" s="11" t="str">
        <x:v>CNY</x:v>
      </x:c>
      <x:c r="F3089" s="11" t="n">
        <x:v>13.229295003422314</x:v>
      </x:c>
      <x:c r="G3089" s="26" t="b">
        <x:v>1</x:v>
      </x:c>
      <x:c r="H3089" s="16" t="n">
        <x:v>0.21</x:v>
      </x:c>
      <x:c r="I3089" s="16" t="n">
        <x:v>0.32999999999999996</x:v>
      </x:c>
      <x:c r="J3089" s="16" t="n">
        <x:v>0.2519999999999999</x:v>
      </x:c>
      <x:c r="K3089" s="11" t="n">
        <x:f>CHOOSE('假设'!$B$3,H3089,I3089,J3089)</x:f>
        <x:v>0.32999999999999996</x:v>
      </x:c>
      <x:c r="L3089" s="11" t="n">
        <x:f>K3089*'管线假设'!E671*'管线假设'!F671*'管线假设'!G671*IF(E3089="USD",'管线假设'!I671,1)-AM3089</x:f>
        <x:v>0.049896</x:v>
      </x:c>
      <x:c r="M3089" s="11" t="n">
        <x:f>'管线假设'!H671</x:f>
        <x:v>0.135</x:v>
      </x:c>
      <x:c r="N3089" s="11" t="n">
        <x:f>IF(G3089,L3089*AN3089/(1+M3089)^F3089,0)</x:f>
        <x:v>0.009343492792246997</x:v>
      </x:c>
      <x:c r="AJ3089" t="n">
        <x:v>0</x:v>
      </x:c>
      <x:c r="AK3089" t="n">
        <x:v>0</x:v>
      </x:c>
      <x:c r="AL3089" t="n">
        <x:v>0</x:v>
      </x:c>
      <x:c r="AM3089" t="n">
        <x:f>CHOOSE('假设'!$B$3,AJ3089,AK3089,AL3089)</x:f>
        <x:v>0</x:v>
      </x:c>
      <x:c r="AN3089" t="n">
        <x:v>1</x:v>
      </x:c>
    </x:row>
    <x:row r="3090" ht="23" customHeight="1">
      <x:c r="A3090" s="11" t="str">
        <x:v>688382.SH</x:v>
      </x:c>
      <x:c r="B3090" s="11" t="str">
        <x:v>一年</x:v>
      </x:c>
      <x:c r="C3090" s="11" t="str">
        <x:v>serd_cn</x:v>
      </x:c>
      <x:c r="D3090" s="11" t="str">
        <x:v>2041-12-31</x:v>
      </x:c>
      <x:c r="E3090" s="11" t="str">
        <x:v>CNY</x:v>
      </x:c>
      <x:c r="F3090" s="11" t="n">
        <x:v>14.22861054072553</x:v>
      </x:c>
      <x:c r="G3090" s="26" t="b">
        <x:v>1</x:v>
      </x:c>
      <x:c r="H3090" s="16" t="n">
        <x:v>0.13199999999999998</x:v>
      </x:c>
      <x:c r="I3090" s="16" t="n">
        <x:v>0.13499999999999995</x:v>
      </x:c>
      <x:c r="J3090" s="16" t="n">
        <x:v>0</x:v>
      </x:c>
      <x:c r="K3090" s="11" t="n">
        <x:f>CHOOSE('假设'!$B$3,H3090,I3090,J3090)</x:f>
        <x:v>0.13499999999999995</x:v>
      </x:c>
      <x:c r="L3090" s="11" t="n">
        <x:f>K3090*'管线假设'!E671*'管线假设'!F671*'管线假设'!G671*IF(E3090="USD",'管线假设'!I671,1)-AM3090</x:f>
        <x:v>0.020411999999999996</x:v>
      </x:c>
      <x:c r="M3090" s="11" t="n">
        <x:f>'管线假设'!H671</x:f>
        <x:v>0.135</x:v>
      </x:c>
      <x:c r="N3090" s="11" t="n">
        <x:f>IF(G3090,L3090*AN3090/(1+M3090)^F3090,0)</x:f>
        <x:v>0.0033679905526086775</x:v>
      </x:c>
      <x:c r="AJ3090" t="n">
        <x:v>0</x:v>
      </x:c>
      <x:c r="AK3090" t="n">
        <x:v>0</x:v>
      </x:c>
      <x:c r="AL3090" t="n">
        <x:v>0</x:v>
      </x:c>
      <x:c r="AM3090" t="n">
        <x:f>CHOOSE('假设'!$B$3,AJ3090,AK3090,AL3090)</x:f>
        <x:v>0</x:v>
      </x:c>
      <x:c r="AN3090" t="n">
        <x:v>1</x:v>
      </x:c>
    </x:row>
    <x:row r="3091" ht="23" customHeight="1">
      <x:c r="A3091" s="11" t="str">
        <x:v>688382.SH</x:v>
      </x:c>
      <x:c r="B3091" s="11" t="str">
        <x:v>一年</x:v>
      </x:c>
      <x:c r="C3091" s="11" t="str">
        <x:v>serd_cn</x:v>
      </x:c>
      <x:c r="D3091" s="11" t="str">
        <x:v>2042-12-31</x:v>
      </x:c>
      <x:c r="E3091" s="11" t="str">
        <x:v>CNY</x:v>
      </x:c>
      <x:c r="F3091" s="11" t="n">
        <x:v>15.227926078028748</x:v>
      </x:c>
      <x:c r="G3091" s="26" t="b">
        <x:v>1</x:v>
      </x:c>
      <x:c r="H3091" s="16" t="n">
        <x:v>0.05399999999999998</x:v>
      </x:c>
      <x:c r="I3091" s="16" t="n">
        <x:v>0</x:v>
      </x:c>
      <x:c r="J3091" s="16" t="n">
        <x:v>0</x:v>
      </x:c>
      <x:c r="K3091" s="11" t="n">
        <x:f>CHOOSE('假设'!$B$3,H3091,I3091,J3091)</x:f>
        <x:v>0</x:v>
      </x:c>
      <x:c r="L3091" s="11" t="n">
        <x:f>K3091*'管线假设'!E671*'管线假设'!F671*'管线假设'!G671*IF(E3091="USD",'管线假设'!I671,1)-AM3091</x:f>
        <x:v>0</x:v>
      </x:c>
      <x:c r="M3091" s="11" t="n">
        <x:f>'管线假设'!H671</x:f>
        <x:v>0.135</x:v>
      </x:c>
      <x:c r="N3091" s="11" t="n">
        <x:f>IF(G3091,L3091*AN3091/(1+M3091)^F3091,0)</x:f>
        <x:v>0</x:v>
      </x:c>
      <x:c r="AJ3091" t="n">
        <x:v>0</x:v>
      </x:c>
      <x:c r="AK3091" t="n">
        <x:v>0</x:v>
      </x:c>
      <x:c r="AL3091" t="n">
        <x:v>0</x:v>
      </x:c>
      <x:c r="AM3091" t="n">
        <x:f>CHOOSE('假设'!$B$3,AJ3091,AK3091,AL3091)</x:f>
        <x:v>0</x:v>
      </x:c>
      <x:c r="AN3091" t="n">
        <x:v>1</x:v>
      </x:c>
    </x:row>
    <x:row r="3092" ht="23" customHeight="1">
      <x:c r="A3092" s="11" t="str">
        <x:v>688382.SH</x:v>
      </x:c>
      <x:c r="B3092" s="11" t="str">
        <x:v>一年</x:v>
      </x:c>
      <x:c r="C3092" s="11" t="str">
        <x:v>serd_cn</x:v>
      </x:c>
      <x:c r="D3092" s="11" t="str">
        <x:v>2043-12-31</x:v>
      </x:c>
      <x:c r="E3092" s="11" t="str">
        <x:v>CNY</x:v>
      </x:c>
      <x:c r="F3092" s="11" t="n">
        <x:v>16.227241615331966</x:v>
      </x:c>
      <x:c r="G3092" s="26" t="b">
        <x:v>1</x:v>
      </x:c>
      <x:c r="H3092" s="16" t="n">
        <x:v>0</x:v>
      </x:c>
      <x:c r="I3092" s="16" t="n">
        <x:v>0</x:v>
      </x:c>
      <x:c r="J3092" s="16" t="n">
        <x:v>0</x:v>
      </x:c>
      <x:c r="K3092" s="11" t="n">
        <x:f>CHOOSE('假设'!$B$3,H3092,I3092,J3092)</x:f>
        <x:v>0</x:v>
      </x:c>
      <x:c r="L3092" s="11" t="n">
        <x:f>K3092*'管线假设'!E671*'管线假设'!F671*'管线假设'!G671*IF(E3092="USD",'管线假设'!I671,1)-AM3092</x:f>
        <x:v>0</x:v>
      </x:c>
      <x:c r="M3092" s="11" t="n">
        <x:f>'管线假设'!H671</x:f>
        <x:v>0.135</x:v>
      </x:c>
      <x:c r="N3092" s="11" t="n">
        <x:f>IF(G3092,L3092*AN3092/(1+M3092)^F3092,0)</x:f>
        <x:v>0</x:v>
      </x:c>
      <x:c r="AJ3092" t="n">
        <x:v>0</x:v>
      </x:c>
      <x:c r="AK3092" t="n">
        <x:v>0</x:v>
      </x:c>
      <x:c r="AL3092" t="n">
        <x:v>0</x:v>
      </x:c>
      <x:c r="AM3092" t="n">
        <x:f>CHOOSE('假设'!$B$3,AJ3092,AK3092,AL3092)</x:f>
        <x:v>0</x:v>
      </x:c>
      <x:c r="AN3092" t="n">
        <x:v>1</x:v>
      </x:c>
    </x:row>
    <x:row r="3093" ht="23" customHeight="1">
      <x:c r="A3093" s="11" t="str">
        <x:v>688382.SH</x:v>
      </x:c>
      <x:c r="B3093" s="11" t="str">
        <x:v>一年</x:v>
      </x:c>
      <x:c r="C3093" s="11" t="str">
        <x:v>serd_cn</x:v>
      </x:c>
      <x:c r="D3093" s="11" t="str">
        <x:v>2044-12-31</x:v>
      </x:c>
      <x:c r="E3093" s="11" t="str">
        <x:v>CNY</x:v>
      </x:c>
      <x:c r="F3093" s="11" t="n">
        <x:v>17.229295003422312</x:v>
      </x:c>
      <x:c r="G3093" s="26" t="b">
        <x:v>1</x:v>
      </x:c>
      <x:c r="H3093" s="16" t="n">
        <x:v>0</x:v>
      </x:c>
      <x:c r="I3093" s="16" t="n">
        <x:v>0</x:v>
      </x:c>
      <x:c r="J3093" s="16" t="n">
        <x:v>0</x:v>
      </x:c>
      <x:c r="K3093" s="11" t="n">
        <x:f>CHOOSE('假设'!$B$3,H3093,I3093,J3093)</x:f>
        <x:v>0</x:v>
      </x:c>
      <x:c r="L3093" s="11" t="n">
        <x:f>K3093*'管线假设'!E671*'管线假设'!F671*'管线假设'!G671*IF(E3093="USD",'管线假设'!I671,1)-AM3093</x:f>
        <x:v>0</x:v>
      </x:c>
      <x:c r="M3093" s="11" t="n">
        <x:f>'管线假设'!H671</x:f>
        <x:v>0.135</x:v>
      </x:c>
      <x:c r="N3093" s="11" t="n">
        <x:f>IF(G3093,L3093*AN3093/(1+M3093)^F3093,0)</x:f>
        <x:v>0</x:v>
      </x:c>
      <x:c r="AJ3093" t="n">
        <x:v>0</x:v>
      </x:c>
      <x:c r="AK3093" t="n">
        <x:v>0</x:v>
      </x:c>
      <x:c r="AL3093" t="n">
        <x:v>0</x:v>
      </x:c>
      <x:c r="AM3093" t="n">
        <x:f>CHOOSE('假设'!$B$3,AJ3093,AK3093,AL3093)</x:f>
        <x:v>0</x:v>
      </x:c>
      <x:c r="AN3093" t="n">
        <x:v>1</x:v>
      </x:c>
    </x:row>
    <x:row r="3094" ht="23" customHeight="1">
      <x:c r="A3094" s="11" t="str">
        <x:v>688382.SH</x:v>
      </x:c>
      <x:c r="B3094" s="11" t="str">
        <x:v>一年</x:v>
      </x:c>
      <x:c r="C3094" s="11" t="str">
        <x:v>serd_cn</x:v>
      </x:c>
      <x:c r="D3094" s="11" t="str">
        <x:v>2045-12-31</x:v>
      </x:c>
      <x:c r="E3094" s="11" t="str">
        <x:v>CNY</x:v>
      </x:c>
      <x:c r="F3094" s="11" t="n">
        <x:v>18.22861054072553</x:v>
      </x:c>
      <x:c r="G3094" s="26" t="b">
        <x:v>1</x:v>
      </x:c>
      <x:c r="H3094" s="16" t="n">
        <x:v>0</x:v>
      </x:c>
      <x:c r="I3094" s="16" t="n">
        <x:v>0</x:v>
      </x:c>
      <x:c r="J3094" s="16" t="n">
        <x:v>0</x:v>
      </x:c>
      <x:c r="K3094" s="11" t="n">
        <x:f>CHOOSE('假设'!$B$3,H3094,I3094,J3094)</x:f>
        <x:v>0</x:v>
      </x:c>
      <x:c r="L3094" s="11" t="n">
        <x:f>K3094*'管线假设'!E671*'管线假设'!F671*'管线假设'!G671*IF(E3094="USD",'管线假设'!I671,1)-AM3094</x:f>
        <x:v>0</x:v>
      </x:c>
      <x:c r="M3094" s="11" t="n">
        <x:f>'管线假设'!H671</x:f>
        <x:v>0.135</x:v>
      </x:c>
      <x:c r="N3094" s="11" t="n">
        <x:f>IF(G3094,L3094*AN3094/(1+M3094)^F3094,0)</x:f>
        <x:v>0</x:v>
      </x:c>
      <x:c r="AJ3094" t="n">
        <x:v>0</x:v>
      </x:c>
      <x:c r="AK3094" t="n">
        <x:v>0</x:v>
      </x:c>
      <x:c r="AL3094" t="n">
        <x:v>0</x:v>
      </x:c>
      <x:c r="AM3094" t="n">
        <x:f>CHOOSE('假设'!$B$3,AJ3094,AK3094,AL3094)</x:f>
        <x:v>0</x:v>
      </x:c>
      <x:c r="AN3094" t="n">
        <x:v>1</x:v>
      </x:c>
    </x:row>
    <x:row r="3095" ht="23" customHeight="1">
      <x:c r="A3095" s="11" t="str">
        <x:v>688382.SH</x:v>
      </x:c>
      <x:c r="B3095" s="11" t="str">
        <x:v>一年</x:v>
      </x:c>
      <x:c r="C3095" s="11" t="str">
        <x:v>serd_adc</x:v>
      </x:c>
      <x:c r="D3095" s="11" t="str">
        <x:v>2027-12-31</x:v>
      </x:c>
      <x:c r="E3095" s="11" t="str">
        <x:v>CNY</x:v>
      </x:c>
      <x:c r="F3095" s="11" t="n">
        <x:v>0.2272416153319644</x:v>
      </x:c>
      <x:c r="G3095" s="26" t="b">
        <x:v>1</x:v>
      </x:c>
      <x:c r="H3095" s="16" t="n">
        <x:v>0</x:v>
      </x:c>
      <x:c r="I3095" s="16" t="n">
        <x:v>0</x:v>
      </x:c>
      <x:c r="J3095" s="16" t="n">
        <x:v>0</x:v>
      </x:c>
      <x:c r="K3095" s="11" t="n">
        <x:f>CHOOSE('假设'!$B$3,H3095,I3095,J3095)</x:f>
        <x:v>0</x:v>
      </x:c>
      <x:c r="L3095" s="11" t="n">
        <x:f>K3095*'管线假设'!E675*'管线假设'!F675*'管线假设'!G675*IF(E3095="USD",'管线假设'!I675,1)-AM3095</x:f>
        <x:v>0</x:v>
      </x:c>
      <x:c r="M3095" s="11" t="n">
        <x:f>'管线假设'!H675</x:f>
        <x:v>0.135</x:v>
      </x:c>
      <x:c r="N3095" s="11" t="n">
        <x:f>IF(G3095,L3095*AN3095/(1+M3095)^F3095,0)</x:f>
        <x:v>0</x:v>
      </x:c>
      <x:c r="AJ3095" t="n">
        <x:v>0</x:v>
      </x:c>
      <x:c r="AK3095" t="n">
        <x:v>0</x:v>
      </x:c>
      <x:c r="AL3095" t="n">
        <x:v>0</x:v>
      </x:c>
      <x:c r="AM3095" t="n">
        <x:f>CHOOSE('假设'!$B$3,AJ3095,AK3095,AL3095)</x:f>
        <x:v>0</x:v>
      </x:c>
      <x:c r="AN3095" t="n">
        <x:v>1</x:v>
      </x:c>
    </x:row>
    <x:row r="3096" ht="23" customHeight="1">
      <x:c r="A3096" s="11" t="str">
        <x:v>688382.SH</x:v>
      </x:c>
      <x:c r="B3096" s="11" t="str">
        <x:v>一年</x:v>
      </x:c>
      <x:c r="C3096" s="11" t="str">
        <x:v>serd_adc</x:v>
      </x:c>
      <x:c r="D3096" s="11" t="str">
        <x:v>2028-12-31</x:v>
      </x:c>
      <x:c r="E3096" s="11" t="str">
        <x:v>CNY</x:v>
      </x:c>
      <x:c r="F3096" s="11" t="n">
        <x:v>1.2292950034223136</x:v>
      </x:c>
      <x:c r="G3096" s="26" t="b">
        <x:v>1</x:v>
      </x:c>
      <x:c r="H3096" s="16" t="n">
        <x:v>0</x:v>
      </x:c>
      <x:c r="I3096" s="16" t="n">
        <x:v>0</x:v>
      </x:c>
      <x:c r="J3096" s="16" t="n">
        <x:v>0</x:v>
      </x:c>
      <x:c r="K3096" s="11" t="n">
        <x:f>CHOOSE('假设'!$B$3,H3096,I3096,J3096)</x:f>
        <x:v>0</x:v>
      </x:c>
      <x:c r="L3096" s="11" t="n">
        <x:f>K3096*'管线假设'!E675*'管线假设'!F675*'管线假设'!G675*IF(E3096="USD",'管线假设'!I675,1)-AM3096</x:f>
        <x:v>0</x:v>
      </x:c>
      <x:c r="M3096" s="11" t="n">
        <x:f>'管线假设'!H675</x:f>
        <x:v>0.135</x:v>
      </x:c>
      <x:c r="N3096" s="11" t="n">
        <x:f>IF(G3096,L3096*AN3096/(1+M3096)^F3096,0)</x:f>
        <x:v>0</x:v>
      </x:c>
      <x:c r="AJ3096" t="n">
        <x:v>0</x:v>
      </x:c>
      <x:c r="AK3096" t="n">
        <x:v>0</x:v>
      </x:c>
      <x:c r="AL3096" t="n">
        <x:v>0</x:v>
      </x:c>
      <x:c r="AM3096" t="n">
        <x:f>CHOOSE('假设'!$B$3,AJ3096,AK3096,AL3096)</x:f>
        <x:v>0</x:v>
      </x:c>
      <x:c r="AN3096" t="n">
        <x:v>1</x:v>
      </x:c>
    </x:row>
    <x:row r="3097" ht="23" customHeight="1">
      <x:c r="A3097" s="11" t="str">
        <x:v>688382.SH</x:v>
      </x:c>
      <x:c r="B3097" s="11" t="str">
        <x:v>一年</x:v>
      </x:c>
      <x:c r="C3097" s="11" t="str">
        <x:v>serd_adc</x:v>
      </x:c>
      <x:c r="D3097" s="11" t="str">
        <x:v>2029-12-31</x:v>
      </x:c>
      <x:c r="E3097" s="11" t="str">
        <x:v>CNY</x:v>
      </x:c>
      <x:c r="F3097" s="11" t="n">
        <x:v>2.2286105407255303</x:v>
      </x:c>
      <x:c r="G3097" s="26" t="b">
        <x:v>1</x:v>
      </x:c>
      <x:c r="H3097" s="16" t="n">
        <x:v>0</x:v>
      </x:c>
      <x:c r="I3097" s="16" t="n">
        <x:v>0</x:v>
      </x:c>
      <x:c r="J3097" s="16" t="n">
        <x:v>0</x:v>
      </x:c>
      <x:c r="K3097" s="11" t="n">
        <x:f>CHOOSE('假设'!$B$3,H3097,I3097,J3097)</x:f>
        <x:v>0</x:v>
      </x:c>
      <x:c r="L3097" s="11" t="n">
        <x:f>K3097*'管线假设'!E675*'管线假设'!F675*'管线假设'!G675*IF(E3097="USD",'管线假设'!I675,1)-AM3097</x:f>
        <x:v>0</x:v>
      </x:c>
      <x:c r="M3097" s="11" t="n">
        <x:f>'管线假设'!H675</x:f>
        <x:v>0.135</x:v>
      </x:c>
      <x:c r="N3097" s="11" t="n">
        <x:f>IF(G3097,L3097*AN3097/(1+M3097)^F3097,0)</x:f>
        <x:v>0</x:v>
      </x:c>
      <x:c r="AJ3097" t="n">
        <x:v>0</x:v>
      </x:c>
      <x:c r="AK3097" t="n">
        <x:v>0</x:v>
      </x:c>
      <x:c r="AL3097" t="n">
        <x:v>0</x:v>
      </x:c>
      <x:c r="AM3097" t="n">
        <x:f>CHOOSE('假设'!$B$3,AJ3097,AK3097,AL3097)</x:f>
        <x:v>0</x:v>
      </x:c>
      <x:c r="AN3097" t="n">
        <x:v>1</x:v>
      </x:c>
    </x:row>
    <x:row r="3098" ht="23" customHeight="1">
      <x:c r="A3098" s="11" t="str">
        <x:v>688382.SH</x:v>
      </x:c>
      <x:c r="B3098" s="11" t="str">
        <x:v>一年</x:v>
      </x:c>
      <x:c r="C3098" s="11" t="str">
        <x:v>serd_adc</x:v>
      </x:c>
      <x:c r="D3098" s="11" t="str">
        <x:v>2030-12-31</x:v>
      </x:c>
      <x:c r="E3098" s="11" t="str">
        <x:v>CNY</x:v>
      </x:c>
      <x:c r="F3098" s="11" t="n">
        <x:v>3.2279260780287475</x:v>
      </x:c>
      <x:c r="G3098" s="26" t="b">
        <x:v>1</x:v>
      </x:c>
      <x:c r="H3098" s="16" t="n">
        <x:v>0</x:v>
      </x:c>
      <x:c r="I3098" s="16" t="n">
        <x:v>0</x:v>
      </x:c>
      <x:c r="J3098" s="16" t="n">
        <x:v>0.26666666666666666</x:v>
      </x:c>
      <x:c r="K3098" s="11" t="n">
        <x:f>CHOOSE('假设'!$B$3,H3098,I3098,J3098)</x:f>
        <x:v>0</x:v>
      </x:c>
      <x:c r="L3098" s="11" t="n">
        <x:f>K3098*'管线假设'!E675*'管线假设'!F675*'管线假设'!G675*IF(E3098="USD",'管线假设'!I675,1)-AM3098</x:f>
        <x:v>0</x:v>
      </x:c>
      <x:c r="M3098" s="11" t="n">
        <x:f>'管线假设'!H675</x:f>
        <x:v>0.135</x:v>
      </x:c>
      <x:c r="N3098" s="11" t="n">
        <x:f>IF(G3098,L3098*AN3098/(1+M3098)^F3098,0)</x:f>
        <x:v>0</x:v>
      </x:c>
      <x:c r="AJ3098" t="n">
        <x:v>0</x:v>
      </x:c>
      <x:c r="AK3098" t="n">
        <x:v>0</x:v>
      </x:c>
      <x:c r="AL3098" t="n">
        <x:v>0</x:v>
      </x:c>
      <x:c r="AM3098" t="n">
        <x:f>CHOOSE('假设'!$B$3,AJ3098,AK3098,AL3098)</x:f>
        <x:v>0</x:v>
      </x:c>
      <x:c r="AN3098" t="n">
        <x:v>1</x:v>
      </x:c>
    </x:row>
    <x:row r="3099" ht="23" customHeight="1">
      <x:c r="A3099" s="11" t="str">
        <x:v>688382.SH</x:v>
      </x:c>
      <x:c r="B3099" s="11" t="str">
        <x:v>一年</x:v>
      </x:c>
      <x:c r="C3099" s="11" t="str">
        <x:v>serd_adc</x:v>
      </x:c>
      <x:c r="D3099" s="11" t="str">
        <x:v>2031-12-31</x:v>
      </x:c>
      <x:c r="E3099" s="11" t="str">
        <x:v>CNY</x:v>
      </x:c>
      <x:c r="F3099" s="11" t="n">
        <x:v>4.227241615331964</x:v>
      </x:c>
      <x:c r="G3099" s="26" t="b">
        <x:v>1</x:v>
      </x:c>
      <x:c r="H3099" s="16" t="n">
        <x:v>0</x:v>
      </x:c>
      <x:c r="I3099" s="16" t="n">
        <x:v>0</x:v>
      </x:c>
      <x:c r="J3099" s="16" t="n">
        <x:v>0.5333333333333333</x:v>
      </x:c>
      <x:c r="K3099" s="11" t="n">
        <x:f>CHOOSE('假设'!$B$3,H3099,I3099,J3099)</x:f>
        <x:v>0</x:v>
      </x:c>
      <x:c r="L3099" s="11" t="n">
        <x:f>K3099*'管线假设'!E675*'管线假设'!F675*'管线假设'!G675*IF(E3099="USD",'管线假设'!I675,1)-AM3099</x:f>
        <x:v>0</x:v>
      </x:c>
      <x:c r="M3099" s="11" t="n">
        <x:f>'管线假设'!H675</x:f>
        <x:v>0.135</x:v>
      </x:c>
      <x:c r="N3099" s="11" t="n">
        <x:f>IF(G3099,L3099*AN3099/(1+M3099)^F3099,0)</x:f>
        <x:v>0</x:v>
      </x:c>
      <x:c r="AJ3099" t="n">
        <x:v>0</x:v>
      </x:c>
      <x:c r="AK3099" t="n">
        <x:v>0</x:v>
      </x:c>
      <x:c r="AL3099" t="n">
        <x:v>0</x:v>
      </x:c>
      <x:c r="AM3099" t="n">
        <x:f>CHOOSE('假设'!$B$3,AJ3099,AK3099,AL3099)</x:f>
        <x:v>0</x:v>
      </x:c>
      <x:c r="AN3099" t="n">
        <x:v>1</x:v>
      </x:c>
    </x:row>
    <x:row r="3100" ht="23" customHeight="1">
      <x:c r="A3100" s="11" t="str">
        <x:v>688382.SH</x:v>
      </x:c>
      <x:c r="B3100" s="11" t="str">
        <x:v>一年</x:v>
      </x:c>
      <x:c r="C3100" s="11" t="str">
        <x:v>serd_adc</x:v>
      </x:c>
      <x:c r="D3100" s="11" t="str">
        <x:v>2032-12-31</x:v>
      </x:c>
      <x:c r="E3100" s="11" t="str">
        <x:v>CNY</x:v>
      </x:c>
      <x:c r="F3100" s="11" t="n">
        <x:v>5.229295003422314</x:v>
      </x:c>
      <x:c r="G3100" s="26" t="b">
        <x:v>1</x:v>
      </x:c>
      <x:c r="H3100" s="16" t="n">
        <x:v>0</x:v>
      </x:c>
      <x:c r="I3100" s="16" t="n">
        <x:v>0.13333333333333333</x:v>
      </x:c>
      <x:c r="J3100" s="16" t="n">
        <x:v>0.8</x:v>
      </x:c>
      <x:c r="K3100" s="11" t="n">
        <x:f>CHOOSE('假设'!$B$3,H3100,I3100,J3100)</x:f>
        <x:v>0.13333333333333333</x:v>
      </x:c>
      <x:c r="L3100" s="11" t="n">
        <x:f>K3100*'管线假设'!E675*'管线假设'!F675*'管线假设'!G675*IF(E3100="USD",'管线假设'!I675,1)-AM3100</x:f>
        <x:v>0.006549333333333332</x:v>
      </x:c>
      <x:c r="M3100" s="11" t="n">
        <x:f>'管线假设'!H675</x:f>
        <x:v>0.135</x:v>
      </x:c>
      <x:c r="N3100" s="11" t="n">
        <x:f>IF(G3100,L3100*AN3100/(1+M3100)^F3100,0)</x:f>
        <x:v>0.003377594516095027</x:v>
      </x:c>
      <x:c r="AJ3100" t="n">
        <x:v>0</x:v>
      </x:c>
      <x:c r="AK3100" t="n">
        <x:v>0</x:v>
      </x:c>
      <x:c r="AL3100" t="n">
        <x:v>0</x:v>
      </x:c>
      <x:c r="AM3100" t="n">
        <x:f>CHOOSE('假设'!$B$3,AJ3100,AK3100,AL3100)</x:f>
        <x:v>0</x:v>
      </x:c>
      <x:c r="AN3100" t="n">
        <x:v>1</x:v>
      </x:c>
    </x:row>
    <x:row r="3101" ht="23" customHeight="1">
      <x:c r="A3101" s="11" t="str">
        <x:v>688382.SH</x:v>
      </x:c>
      <x:c r="B3101" s="11" t="str">
        <x:v>一年</x:v>
      </x:c>
      <x:c r="C3101" s="11" t="str">
        <x:v>serd_adc</x:v>
      </x:c>
      <x:c r="D3101" s="11" t="str">
        <x:v>2033-12-31</x:v>
      </x:c>
      <x:c r="E3101" s="11" t="str">
        <x:v>CNY</x:v>
      </x:c>
      <x:c r="F3101" s="11" t="n">
        <x:v>6.228610540725531</x:v>
      </x:c>
      <x:c r="G3101" s="26" t="b">
        <x:v>1</x:v>
      </x:c>
      <x:c r="H3101" s="16" t="n">
        <x:v>0</x:v>
      </x:c>
      <x:c r="I3101" s="16" t="n">
        <x:v>0.26666666666666666</x:v>
      </x:c>
      <x:c r="J3101" s="16" t="n">
        <x:v>1.0666666666666667</x:v>
      </x:c>
      <x:c r="K3101" s="11" t="n">
        <x:f>CHOOSE('假设'!$B$3,H3101,I3101,J3101)</x:f>
        <x:v>0.26666666666666666</x:v>
      </x:c>
      <x:c r="L3101" s="11" t="n">
        <x:f>K3101*'管线假设'!E675*'管线假设'!F675*'管线假设'!G675*IF(E3101="USD",'管线假设'!I675,1)-AM3101</x:f>
        <x:v>0.013098666666666665</x:v>
      </x:c>
      <x:c r="M3101" s="11" t="n">
        <x:f>'管线假设'!H675</x:f>
        <x:v>0.135</x:v>
      </x:c>
      <x:c r="N3101" s="11" t="n">
        <x:f>IF(G3101,L3101*AN3101/(1+M3101)^F3101,0)</x:f>
        <x:v>0.0059522242870266705</x:v>
      </x:c>
      <x:c r="AJ3101" t="n">
        <x:v>0</x:v>
      </x:c>
      <x:c r="AK3101" t="n">
        <x:v>0</x:v>
      </x:c>
      <x:c r="AL3101" t="n">
        <x:v>0</x:v>
      </x:c>
      <x:c r="AM3101" t="n">
        <x:f>CHOOSE('假设'!$B$3,AJ3101,AK3101,AL3101)</x:f>
        <x:v>0</x:v>
      </x:c>
      <x:c r="AN3101" t="n">
        <x:v>1</x:v>
      </x:c>
    </x:row>
    <x:row r="3102" ht="23" customHeight="1">
      <x:c r="A3102" s="11" t="str">
        <x:v>688382.SH</x:v>
      </x:c>
      <x:c r="B3102" s="11" t="str">
        <x:v>一年</x:v>
      </x:c>
      <x:c r="C3102" s="11" t="str">
        <x:v>serd_adc</x:v>
      </x:c>
      <x:c r="D3102" s="11" t="str">
        <x:v>2034-12-31</x:v>
      </x:c>
      <x:c r="E3102" s="11" t="str">
        <x:v>CNY</x:v>
      </x:c>
      <x:c r="F3102" s="11" t="n">
        <x:v>7.227926078028747</x:v>
      </x:c>
      <x:c r="G3102" s="26" t="b">
        <x:v>1</x:v>
      </x:c>
      <x:c r="H3102" s="16" t="n">
        <x:v>0</x:v>
      </x:c>
      <x:c r="I3102" s="16" t="n">
        <x:v>0.4</x:v>
      </x:c>
      <x:c r="J3102" s="16" t="n">
        <x:v>1.3333333333333335</x:v>
      </x:c>
      <x:c r="K3102" s="11" t="n">
        <x:f>CHOOSE('假设'!$B$3,H3102,I3102,J3102)</x:f>
        <x:v>0.4</x:v>
      </x:c>
      <x:c r="L3102" s="11" t="n">
        <x:f>K3102*'管线假设'!E675*'管线假设'!F675*'管线假设'!G675*IF(E3102="USD",'管线假设'!I675,1)-AM3102</x:f>
        <x:v>0.019648</x:v>
      </x:c>
      <x:c r="M3102" s="11" t="n">
        <x:f>'管线假设'!H675</x:f>
        <x:v>0.135</x:v>
      </x:c>
      <x:c r="N3102" s="11" t="n">
        <x:f>IF(G3102,L3102*AN3102/(1+M3102)^F3102,0)</x:f>
        <x:v>0.007867057559953428</x:v>
      </x:c>
      <x:c r="AJ3102" t="n">
        <x:v>0</x:v>
      </x:c>
      <x:c r="AK3102" t="n">
        <x:v>0</x:v>
      </x:c>
      <x:c r="AL3102" t="n">
        <x:v>0</x:v>
      </x:c>
      <x:c r="AM3102" t="n">
        <x:f>CHOOSE('假设'!$B$3,AJ3102,AK3102,AL3102)</x:f>
        <x:v>0</x:v>
      </x:c>
      <x:c r="AN3102" t="n">
        <x:v>1</x:v>
      </x:c>
    </x:row>
    <x:row r="3103" ht="23" customHeight="1">
      <x:c r="A3103" s="11" t="str">
        <x:v>688382.SH</x:v>
      </x:c>
      <x:c r="B3103" s="11" t="str">
        <x:v>一年</x:v>
      </x:c>
      <x:c r="C3103" s="11" t="str">
        <x:v>serd_adc</x:v>
      </x:c>
      <x:c r="D3103" s="11" t="str">
        <x:v>2035-12-31</x:v>
      </x:c>
      <x:c r="E3103" s="11" t="str">
        <x:v>CNY</x:v>
      </x:c>
      <x:c r="F3103" s="11" t="n">
        <x:v>8.227241615331964</x:v>
      </x:c>
      <x:c r="G3103" s="26" t="b">
        <x:v>1</x:v>
      </x:c>
      <x:c r="H3103" s="16" t="n">
        <x:v>0.06</x:v>
      </x:c>
      <x:c r="I3103" s="16" t="n">
        <x:v>0.5333333333333333</x:v>
      </x:c>
      <x:c r="J3103" s="16" t="n">
        <x:v>1.6</x:v>
      </x:c>
      <x:c r="K3103" s="11" t="n">
        <x:f>CHOOSE('假设'!$B$3,H3103,I3103,J3103)</x:f>
        <x:v>0.5333333333333333</x:v>
      </x:c>
      <x:c r="L3103" s="11" t="n">
        <x:f>K3103*'管线假设'!E675*'管线假设'!F675*'管线假设'!G675*IF(E3103="USD",'管线假设'!I675,1)-AM3103</x:f>
        <x:v>0.02619733333333333</x:v>
      </x:c>
      <x:c r="M3103" s="11" t="n">
        <x:f>'管线假设'!H675</x:f>
        <x:v>0.135</x:v>
      </x:c>
      <x:c r="N3103" s="11" t="n">
        <x:f>IF(G3103,L3103*AN3103/(1+M3103)^F3103,0)</x:f>
        <x:v>0.009242572063767548</x:v>
      </x:c>
      <x:c r="AJ3103" t="n">
        <x:v>0</x:v>
      </x:c>
      <x:c r="AK3103" t="n">
        <x:v>0</x:v>
      </x:c>
      <x:c r="AL3103" t="n">
        <x:v>0</x:v>
      </x:c>
      <x:c r="AM3103" t="n">
        <x:f>CHOOSE('假设'!$B$3,AJ3103,AK3103,AL3103)</x:f>
        <x:v>0</x:v>
      </x:c>
      <x:c r="AN3103" t="n">
        <x:v>1</x:v>
      </x:c>
    </x:row>
    <x:row r="3104" ht="23" customHeight="1">
      <x:c r="A3104" s="11" t="str">
        <x:v>688382.SH</x:v>
      </x:c>
      <x:c r="B3104" s="11" t="str">
        <x:v>一年</x:v>
      </x:c>
      <x:c r="C3104" s="11" t="str">
        <x:v>serd_adc</x:v>
      </x:c>
      <x:c r="D3104" s="11" t="str">
        <x:v>2036-12-31</x:v>
      </x:c>
      <x:c r="E3104" s="11" t="str">
        <x:v>CNY</x:v>
      </x:c>
      <x:c r="F3104" s="11" t="n">
        <x:v>9.229295003422314</x:v>
      </x:c>
      <x:c r="G3104" s="26" t="b">
        <x:v>1</x:v>
      </x:c>
      <x:c r="H3104" s="16" t="n">
        <x:v>0.12</x:v>
      </x:c>
      <x:c r="I3104" s="16" t="n">
        <x:v>0.6666666666666667</x:v>
      </x:c>
      <x:c r="J3104" s="16" t="n">
        <x:v>1.3920000000000001</x:v>
      </x:c>
      <x:c r="K3104" s="11" t="n">
        <x:f>CHOOSE('假设'!$B$3,H3104,I3104,J3104)</x:f>
        <x:v>0.6666666666666667</x:v>
      </x:c>
      <x:c r="L3104" s="11" t="n">
        <x:f>K3104*'管线假设'!E675*'管线假设'!F675*'管线假设'!G675*IF(E3104="USD",'管线假设'!I675,1)-AM3104</x:f>
        <x:v>0.03274666666666667</x:v>
      </x:c>
      <x:c r="M3104" s="11" t="n">
        <x:f>'管线假设'!H675</x:f>
        <x:v>0.135</x:v>
      </x:c>
      <x:c r="N3104" s="11" t="n">
        <x:f>IF(G3104,L3104*AN3104/(1+M3104)^F3104,0)</x:f>
        <x:v>0.010176397651286794</x:v>
      </x:c>
      <x:c r="AJ3104" t="n">
        <x:v>0</x:v>
      </x:c>
      <x:c r="AK3104" t="n">
        <x:v>0</x:v>
      </x:c>
      <x:c r="AL3104" t="n">
        <x:v>0</x:v>
      </x:c>
      <x:c r="AM3104" t="n">
        <x:f>CHOOSE('假设'!$B$3,AJ3104,AK3104,AL3104)</x:f>
        <x:v>0</x:v>
      </x:c>
      <x:c r="AN3104" t="n">
        <x:v>1</x:v>
      </x:c>
    </x:row>
    <x:row r="3105" ht="23" customHeight="1">
      <x:c r="A3105" s="11" t="str">
        <x:v>688382.SH</x:v>
      </x:c>
      <x:c r="B3105" s="11" t="str">
        <x:v>一年</x:v>
      </x:c>
      <x:c r="C3105" s="11" t="str">
        <x:v>serd_adc</x:v>
      </x:c>
      <x:c r="D3105" s="11" t="str">
        <x:v>2037-12-31</x:v>
      </x:c>
      <x:c r="E3105" s="11" t="str">
        <x:v>CNY</x:v>
      </x:c>
      <x:c r="F3105" s="11" t="n">
        <x:v>10.22861054072553</x:v>
      </x:c>
      <x:c r="G3105" s="26" t="b">
        <x:v>1</x:v>
      </x:c>
      <x:c r="H3105" s="16" t="n">
        <x:v>0.18</x:v>
      </x:c>
      <x:c r="I3105" s="16" t="n">
        <x:v>0.8</x:v>
      </x:c>
      <x:c r="J3105" s="16" t="n">
        <x:v>1.184</x:v>
      </x:c>
      <x:c r="K3105" s="11" t="n">
        <x:f>CHOOSE('假设'!$B$3,H3105,I3105,J3105)</x:f>
        <x:v>0.8</x:v>
      </x:c>
      <x:c r="L3105" s="11" t="n">
        <x:f>K3105*'管线假设'!E675*'管线假设'!F675*'管线假设'!G675*IF(E3105="USD",'管线假设'!I675,1)-AM3105</x:f>
        <x:v>0.039296</x:v>
      </x:c>
      <x:c r="M3105" s="11" t="n">
        <x:f>'管线假设'!H675</x:f>
        <x:v>0.135</x:v>
      </x:c>
      <x:c r="N3105" s="11" t="n">
        <x:f>IF(G3105,L3105*AN3105/(1+M3105)^F3105,0)</x:f>
        <x:v>0.01076011954054101</x:v>
      </x:c>
      <x:c r="AJ3105" t="n">
        <x:v>0</x:v>
      </x:c>
      <x:c r="AK3105" t="n">
        <x:v>0</x:v>
      </x:c>
      <x:c r="AL3105" t="n">
        <x:v>0</x:v>
      </x:c>
      <x:c r="AM3105" t="n">
        <x:f>CHOOSE('假设'!$B$3,AJ3105,AK3105,AL3105)</x:f>
        <x:v>0</x:v>
      </x:c>
      <x:c r="AN3105" t="n">
        <x:v>1</x:v>
      </x:c>
    </x:row>
    <x:row r="3106" ht="23" customHeight="1">
      <x:c r="A3106" s="11" t="str">
        <x:v>688382.SH</x:v>
      </x:c>
      <x:c r="B3106" s="11" t="str">
        <x:v>一年</x:v>
      </x:c>
      <x:c r="C3106" s="11" t="str">
        <x:v>serd_adc</x:v>
      </x:c>
      <x:c r="D3106" s="11" t="str">
        <x:v>2038-12-31</x:v>
      </x:c>
      <x:c r="E3106" s="11" t="str">
        <x:v>CNY</x:v>
      </x:c>
      <x:c r="F3106" s="11" t="n">
        <x:v>11.227926078028748</x:v>
      </x:c>
      <x:c r="G3106" s="26" t="b">
        <x:v>1</x:v>
      </x:c>
      <x:c r="H3106" s="16" t="n">
        <x:v>0.24</x:v>
      </x:c>
      <x:c r="I3106" s="16" t="n">
        <x:v>0.6960000000000001</x:v>
      </x:c>
      <x:c r="J3106" s="16" t="n">
        <x:v>0.976</x:v>
      </x:c>
      <x:c r="K3106" s="11" t="n">
        <x:f>CHOOSE('假设'!$B$3,H3106,I3106,J3106)</x:f>
        <x:v>0.6960000000000001</x:v>
      </x:c>
      <x:c r="L3106" s="11" t="n">
        <x:f>K3106*'管线假设'!E675*'管线假设'!F675*'管线假设'!G675*IF(E3106="USD",'管线假设'!I675,1)-AM3106</x:f>
        <x:v>0.03418751999999999</x:v>
      </x:c>
      <x:c r="M3106" s="11" t="n">
        <x:f>'管线假设'!H675</x:f>
        <x:v>0.135</x:v>
      </x:c>
      <x:c r="N3106" s="11" t="n">
        <x:f>IF(G3106,L3106*AN3106/(1+M3106)^F3106,0)</x:f>
        <x:v>0.008248559849787984</x:v>
      </x:c>
      <x:c r="AJ3106" t="n">
        <x:v>0</x:v>
      </x:c>
      <x:c r="AK3106" t="n">
        <x:v>0</x:v>
      </x:c>
      <x:c r="AL3106" t="n">
        <x:v>0</x:v>
      </x:c>
      <x:c r="AM3106" t="n">
        <x:f>CHOOSE('假设'!$B$3,AJ3106,AK3106,AL3106)</x:f>
        <x:v>0</x:v>
      </x:c>
      <x:c r="AN3106" t="n">
        <x:v>1</x:v>
      </x:c>
    </x:row>
    <x:row r="3107" ht="23" customHeight="1">
      <x:c r="A3107" s="11" t="str">
        <x:v>688382.SH</x:v>
      </x:c>
      <x:c r="B3107" s="11" t="str">
        <x:v>一年</x:v>
      </x:c>
      <x:c r="C3107" s="11" t="str">
        <x:v>serd_adc</x:v>
      </x:c>
      <x:c r="D3107" s="11" t="str">
        <x:v>2039-12-31</x:v>
      </x:c>
      <x:c r="E3107" s="11" t="str">
        <x:v>CNY</x:v>
      </x:c>
      <x:c r="F3107" s="11" t="n">
        <x:v>12.227241615331964</x:v>
      </x:c>
      <x:c r="G3107" s="26" t="b">
        <x:v>1</x:v>
      </x:c>
      <x:c r="H3107" s="16" t="n">
        <x:v>0.3</x:v>
      </x:c>
      <x:c r="I3107" s="16" t="n">
        <x:v>0.592</x:v>
      </x:c>
      <x:c r="J3107" s="16" t="n">
        <x:v>0.768</x:v>
      </x:c>
      <x:c r="K3107" s="11" t="n">
        <x:f>CHOOSE('假设'!$B$3,H3107,I3107,J3107)</x:f>
        <x:v>0.592</x:v>
      </x:c>
      <x:c r="L3107" s="11" t="n">
        <x:f>K3107*'管线假设'!E675*'管线假设'!F675*'管线假设'!G675*IF(E3107="USD",'管线假设'!I675,1)-AM3107</x:f>
        <x:v>0.02907903999999999</x:v>
      </x:c>
      <x:c r="M3107" s="11" t="n">
        <x:f>'管线假设'!H675</x:f>
        <x:v>0.135</x:v>
      </x:c>
      <x:c r="N3107" s="11" t="n">
        <x:f>IF(G3107,L3107*AN3107/(1+M3107)^F3107,0)</x:f>
        <x:v>0.006182048075613865</x:v>
      </x:c>
      <x:c r="AJ3107" t="n">
        <x:v>0</x:v>
      </x:c>
      <x:c r="AK3107" t="n">
        <x:v>0</x:v>
      </x:c>
      <x:c r="AL3107" t="n">
        <x:v>0</x:v>
      </x:c>
      <x:c r="AM3107" t="n">
        <x:f>CHOOSE('假设'!$B$3,AJ3107,AK3107,AL3107)</x:f>
        <x:v>0</x:v>
      </x:c>
      <x:c r="AN3107" t="n">
        <x:v>1</x:v>
      </x:c>
    </x:row>
    <x:row r="3108" ht="23" customHeight="1">
      <x:c r="A3108" s="11" t="str">
        <x:v>688382.SH</x:v>
      </x:c>
      <x:c r="B3108" s="11" t="str">
        <x:v>一年</x:v>
      </x:c>
      <x:c r="C3108" s="11" t="str">
        <x:v>serd_adc</x:v>
      </x:c>
      <x:c r="D3108" s="11" t="str">
        <x:v>2040-12-31</x:v>
      </x:c>
      <x:c r="E3108" s="11" t="str">
        <x:v>CNY</x:v>
      </x:c>
      <x:c r="F3108" s="11" t="n">
        <x:v>13.229295003422314</x:v>
      </x:c>
      <x:c r="G3108" s="26" t="b">
        <x:v>1</x:v>
      </x:c>
      <x:c r="H3108" s="16" t="n">
        <x:v>0.261</x:v>
      </x:c>
      <x:c r="I3108" s="16" t="n">
        <x:v>0.488</x:v>
      </x:c>
      <x:c r="J3108" s="16" t="n">
        <x:v>0.5599999999999999</x:v>
      </x:c>
      <x:c r="K3108" s="11" t="n">
        <x:f>CHOOSE('假设'!$B$3,H3108,I3108,J3108)</x:f>
        <x:v>0.488</x:v>
      </x:c>
      <x:c r="L3108" s="11" t="n">
        <x:f>K3108*'管线假设'!E675*'管线假设'!F675*'管线假设'!G675*IF(E3108="USD",'管线假设'!I675,1)-AM3108</x:f>
        <x:v>0.023970559999999995</x:v>
      </x:c>
      <x:c r="M3108" s="11" t="n">
        <x:f>'管线假设'!H675</x:f>
        <x:v>0.135</x:v>
      </x:c>
      <x:c r="N3108" s="11" t="n">
        <x:f>IF(G3108,L3108*AN3108/(1+M3108)^F3108,0)</x:f>
        <x:v>0.004488711611875183</x:v>
      </x:c>
      <x:c r="AJ3108" t="n">
        <x:v>0</x:v>
      </x:c>
      <x:c r="AK3108" t="n">
        <x:v>0</x:v>
      </x:c>
      <x:c r="AL3108" t="n">
        <x:v>0</x:v>
      </x:c>
      <x:c r="AM3108" t="n">
        <x:f>CHOOSE('假设'!$B$3,AJ3108,AK3108,AL3108)</x:f>
        <x:v>0</x:v>
      </x:c>
      <x:c r="AN3108" t="n">
        <x:v>1</x:v>
      </x:c>
    </x:row>
    <x:row r="3109" ht="23" customHeight="1">
      <x:c r="A3109" s="11" t="str">
        <x:v>688382.SH</x:v>
      </x:c>
      <x:c r="B3109" s="11" t="str">
        <x:v>一年</x:v>
      </x:c>
      <x:c r="C3109" s="11" t="str">
        <x:v>serd_adc</x:v>
      </x:c>
      <x:c r="D3109" s="11" t="str">
        <x:v>2041-12-31</x:v>
      </x:c>
      <x:c r="E3109" s="11" t="str">
        <x:v>CNY</x:v>
      </x:c>
      <x:c r="F3109" s="11" t="n">
        <x:v>14.22861054072553</x:v>
      </x:c>
      <x:c r="G3109" s="26" t="b">
        <x:v>1</x:v>
      </x:c>
      <x:c r="H3109" s="16" t="n">
        <x:v>0.222</x:v>
      </x:c>
      <x:c r="I3109" s="16" t="n">
        <x:v>0.384</x:v>
      </x:c>
      <x:c r="J3109" s="16" t="n">
        <x:v>0.352</x:v>
      </x:c>
      <x:c r="K3109" s="11" t="n">
        <x:f>CHOOSE('假设'!$B$3,H3109,I3109,J3109)</x:f>
        <x:v>0.384</x:v>
      </x:c>
      <x:c r="L3109" s="11" t="n">
        <x:f>K3109*'管线假设'!E675*'管线假设'!F675*'管线假设'!G675*IF(E3109="USD",'管线假设'!I675,1)-AM3109</x:f>
        <x:v>0.018862079999999996</x:v>
      </x:c>
      <x:c r="M3109" s="11" t="n">
        <x:f>'管线假设'!H675</x:f>
        <x:v>0.135</x:v>
      </x:c>
      <x:c r="N3109" s="11" t="n">
        <x:f>IF(G3109,L3109*AN3109/(1+M3109)^F3109,0)</x:f>
        <x:v>0.003112252951330055</x:v>
      </x:c>
      <x:c r="AJ3109" t="n">
        <x:v>0</x:v>
      </x:c>
      <x:c r="AK3109" t="n">
        <x:v>0</x:v>
      </x:c>
      <x:c r="AL3109" t="n">
        <x:v>0</x:v>
      </x:c>
      <x:c r="AM3109" t="n">
        <x:f>CHOOSE('假设'!$B$3,AJ3109,AK3109,AL3109)</x:f>
        <x:v>0</x:v>
      </x:c>
      <x:c r="AN3109" t="n">
        <x:v>1</x:v>
      </x:c>
    </x:row>
    <x:row r="3110" ht="23" customHeight="1">
      <x:c r="A3110" s="11" t="str">
        <x:v>688382.SH</x:v>
      </x:c>
      <x:c r="B3110" s="11" t="str">
        <x:v>一年</x:v>
      </x:c>
      <x:c r="C3110" s="11" t="str">
        <x:v>serd_adc</x:v>
      </x:c>
      <x:c r="D3110" s="11" t="str">
        <x:v>2042-12-31</x:v>
      </x:c>
      <x:c r="E3110" s="11" t="str">
        <x:v>CNY</x:v>
      </x:c>
      <x:c r="F3110" s="11" t="n">
        <x:v>15.227926078028748</x:v>
      </x:c>
      <x:c r="G3110" s="26" t="b">
        <x:v>1</x:v>
      </x:c>
      <x:c r="H3110" s="16" t="n">
        <x:v>0.183</x:v>
      </x:c>
      <x:c r="I3110" s="16" t="n">
        <x:v>0.27999999999999997</x:v>
      </x:c>
      <x:c r="J3110" s="16" t="n">
        <x:v>0.14399999999999996</x:v>
      </x:c>
      <x:c r="K3110" s="11" t="n">
        <x:f>CHOOSE('假设'!$B$3,H3110,I3110,J3110)</x:f>
        <x:v>0.27999999999999997</x:v>
      </x:c>
      <x:c r="L3110" s="11" t="n">
        <x:f>K3110*'管线假设'!E675*'管线假设'!F675*'管线假设'!G675*IF(E3110="USD",'管线假设'!I675,1)-AM3110</x:f>
        <x:v>0.013753599999999994</x:v>
      </x:c>
      <x:c r="M3110" s="11" t="n">
        <x:f>'管线假设'!H675</x:f>
        <x:v>0.135</x:v>
      </x:c>
      <x:c r="N3110" s="11" t="n">
        <x:f>IF(G3110,L3110*AN3110/(1+M3110)^F3110,0)</x:f>
        <x:v>0.001999601599661854</x:v>
      </x:c>
      <x:c r="AJ3110" t="n">
        <x:v>0</x:v>
      </x:c>
      <x:c r="AK3110" t="n">
        <x:v>0</x:v>
      </x:c>
      <x:c r="AL3110" t="n">
        <x:v>0</x:v>
      </x:c>
      <x:c r="AM3110" t="n">
        <x:f>CHOOSE('假设'!$B$3,AJ3110,AK3110,AL3110)</x:f>
        <x:v>0</x:v>
      </x:c>
      <x:c r="AN3110" t="n">
        <x:v>1</x:v>
      </x:c>
    </x:row>
    <x:row r="3111" ht="23" customHeight="1">
      <x:c r="A3111" s="11" t="str">
        <x:v>688382.SH</x:v>
      </x:c>
      <x:c r="B3111" s="11" t="str">
        <x:v>一年</x:v>
      </x:c>
      <x:c r="C3111" s="11" t="str">
        <x:v>serd_adc</x:v>
      </x:c>
      <x:c r="D3111" s="11" t="str">
        <x:v>2043-12-31</x:v>
      </x:c>
      <x:c r="E3111" s="11" t="str">
        <x:v>CNY</x:v>
      </x:c>
      <x:c r="F3111" s="11" t="n">
        <x:v>16.227241615331966</x:v>
      </x:c>
      <x:c r="G3111" s="26" t="b">
        <x:v>1</x:v>
      </x:c>
      <x:c r="H3111" s="16" t="n">
        <x:v>0.144</x:v>
      </x:c>
      <x:c r="I3111" s="16" t="n">
        <x:v>0.176</x:v>
      </x:c>
      <x:c r="J3111" s="16" t="n">
        <x:v>0</x:v>
      </x:c>
      <x:c r="K3111" s="11" t="n">
        <x:f>CHOOSE('假设'!$B$3,H3111,I3111,J3111)</x:f>
        <x:v>0.176</x:v>
      </x:c>
      <x:c r="L3111" s="11" t="n">
        <x:f>K3111*'管线假设'!E675*'管线假设'!F675*'管线假设'!G675*IF(E3111="USD",'管线假设'!I675,1)-AM3111</x:f>
        <x:v>0.008645119999999997</x:v>
      </x:c>
      <x:c r="M3111" s="11" t="n">
        <x:f>'管线假设'!H675</x:f>
        <x:v>0.135</x:v>
      </x:c>
      <x:c r="N3111" s="11" t="n">
        <x:f>IF(G3111,L3111*AN3111/(1+M3111)^F3111,0)</x:f>
        <x:v>0.0011074902029566003</x:v>
      </x:c>
      <x:c r="AJ3111" t="n">
        <x:v>0</x:v>
      </x:c>
      <x:c r="AK3111" t="n">
        <x:v>0</x:v>
      </x:c>
      <x:c r="AL3111" t="n">
        <x:v>0</x:v>
      </x:c>
      <x:c r="AM3111" t="n">
        <x:f>CHOOSE('假设'!$B$3,AJ3111,AK3111,AL3111)</x:f>
        <x:v>0</x:v>
      </x:c>
      <x:c r="AN3111" t="n">
        <x:v>1</x:v>
      </x:c>
    </x:row>
    <x:row r="3112" ht="23" customHeight="1">
      <x:c r="A3112" s="11" t="str">
        <x:v>688382.SH</x:v>
      </x:c>
      <x:c r="B3112" s="11" t="str">
        <x:v>一年</x:v>
      </x:c>
      <x:c r="C3112" s="11" t="str">
        <x:v>serd_adc</x:v>
      </x:c>
      <x:c r="D3112" s="11" t="str">
        <x:v>2044-12-31</x:v>
      </x:c>
      <x:c r="E3112" s="11" t="str">
        <x:v>CNY</x:v>
      </x:c>
      <x:c r="F3112" s="11" t="n">
        <x:v>17.229295003422312</x:v>
      </x:c>
      <x:c r="G3112" s="26" t="b">
        <x:v>1</x:v>
      </x:c>
      <x:c r="H3112" s="16" t="n">
        <x:v>0.105</x:v>
      </x:c>
      <x:c r="I3112" s="16" t="n">
        <x:v>0.07199999999999998</x:v>
      </x:c>
      <x:c r="J3112" s="16" t="n">
        <x:v>0</x:v>
      </x:c>
      <x:c r="K3112" s="11" t="n">
        <x:f>CHOOSE('假设'!$B$3,H3112,I3112,J3112)</x:f>
        <x:v>0.07199999999999998</x:v>
      </x:c>
      <x:c r="L3112" s="11" t="n">
        <x:f>K3112*'管线假设'!E675*'管线假设'!F675*'管线假设'!G675*IF(E3112="USD",'管线假设'!I675,1)-AM3112</x:f>
        <x:v>0.003536639999999998</x:v>
      </x:c>
      <x:c r="M3112" s="11" t="n">
        <x:f>'管线假设'!H675</x:f>
        <x:v>0.135</x:v>
      </x:c>
      <x:c r="N3112" s="11" t="n">
        <x:f>IF(G3112,L3112*AN3112/(1+M3112)^F3112,0)</x:f>
        <x:v>0.00039907170114316846</x:v>
      </x:c>
      <x:c r="AJ3112" t="n">
        <x:v>0</x:v>
      </x:c>
      <x:c r="AK3112" t="n">
        <x:v>0</x:v>
      </x:c>
      <x:c r="AL3112" t="n">
        <x:v>0</x:v>
      </x:c>
      <x:c r="AM3112" t="n">
        <x:f>CHOOSE('假设'!$B$3,AJ3112,AK3112,AL3112)</x:f>
        <x:v>0</x:v>
      </x:c>
      <x:c r="AN3112" t="n">
        <x:v>1</x:v>
      </x:c>
    </x:row>
    <x:row r="3113" ht="23" customHeight="1">
      <x:c r="A3113" s="11" t="str">
        <x:v>688382.SH</x:v>
      </x:c>
      <x:c r="B3113" s="11" t="str">
        <x:v>一年</x:v>
      </x:c>
      <x:c r="C3113" s="11" t="str">
        <x:v>serd_adc</x:v>
      </x:c>
      <x:c r="D3113" s="11" t="str">
        <x:v>2045-12-31</x:v>
      </x:c>
      <x:c r="E3113" s="11" t="str">
        <x:v>CNY</x:v>
      </x:c>
      <x:c r="F3113" s="11" t="n">
        <x:v>18.22861054072553</x:v>
      </x:c>
      <x:c r="G3113" s="26" t="b">
        <x:v>1</x:v>
      </x:c>
      <x:c r="H3113" s="16" t="n">
        <x:v>0.06599999999999999</x:v>
      </x:c>
      <x:c r="I3113" s="16" t="n">
        <x:v>0</x:v>
      </x:c>
      <x:c r="J3113" s="16" t="n">
        <x:v>0</x:v>
      </x:c>
      <x:c r="K3113" s="11" t="n">
        <x:f>CHOOSE('假设'!$B$3,H3113,I3113,J3113)</x:f>
        <x:v>0</x:v>
      </x:c>
      <x:c r="L3113" s="11" t="n">
        <x:f>K3113*'管线假设'!E675*'管线假设'!F675*'管线假设'!G675*IF(E3113="USD",'管线假设'!I675,1)-AM3113</x:f>
        <x:v>0</x:v>
      </x:c>
      <x:c r="M3113" s="11" t="n">
        <x:f>'管线假设'!H675</x:f>
        <x:v>0.135</x:v>
      </x:c>
      <x:c r="N3113" s="11" t="n">
        <x:f>IF(G3113,L3113*AN3113/(1+M3113)^F3113,0)</x:f>
        <x:v>0</x:v>
      </x:c>
      <x:c r="AJ3113" t="n">
        <x:v>0</x:v>
      </x:c>
      <x:c r="AK3113" t="n">
        <x:v>0</x:v>
      </x:c>
      <x:c r="AL3113" t="n">
        <x:v>0</x:v>
      </x:c>
      <x:c r="AM3113" t="n">
        <x:f>CHOOSE('假设'!$B$3,AJ3113,AK3113,AL3113)</x:f>
        <x:v>0</x:v>
      </x:c>
      <x:c r="AN3113" t="n">
        <x:v>1</x:v>
      </x:c>
    </x:row>
    <x:row r="3114" ht="23" customHeight="1">
      <x:c r="A3114" s="11" t="str">
        <x:v>688382.SH</x:v>
      </x:c>
      <x:c r="B3114" s="11" t="str">
        <x:v>一年</x:v>
      </x:c>
      <x:c r="C3114" s="11" t="str">
        <x:v>urat_cn</x:v>
      </x:c>
      <x:c r="D3114" s="11" t="str">
        <x:v>2027-12-31</x:v>
      </x:c>
      <x:c r="E3114" s="11" t="str">
        <x:v>CNY</x:v>
      </x:c>
      <x:c r="F3114" s="11" t="n">
        <x:v>0.2272416153319644</x:v>
      </x:c>
      <x:c r="G3114" s="26" t="b">
        <x:v>1</x:v>
      </x:c>
      <x:c r="H3114" s="16" t="n">
        <x:v>0</x:v>
      </x:c>
      <x:c r="I3114" s="16" t="n">
        <x:v>0</x:v>
      </x:c>
      <x:c r="J3114" s="16" t="n">
        <x:v>0</x:v>
      </x:c>
      <x:c r="K3114" s="11" t="n">
        <x:f>CHOOSE('假设'!$B$3,H3114,I3114,J3114)</x:f>
        <x:v>0</x:v>
      </x:c>
      <x:c r="L3114" s="11" t="n">
        <x:f>K3114*'管线假设'!E679*'管线假设'!F679*'管线假设'!G679*IF(E3114="USD",'管线假设'!I679,1)-AM3114</x:f>
        <x:v>0</x:v>
      </x:c>
      <x:c r="M3114" s="11" t="n">
        <x:f>'管线假设'!H679</x:f>
        <x:v>0.135</x:v>
      </x:c>
      <x:c r="N3114" s="11" t="n">
        <x:f>IF(G3114,L3114*AN3114/(1+M3114)^F3114,0)</x:f>
        <x:v>0</x:v>
      </x:c>
      <x:c r="AJ3114" t="n">
        <x:v>0</x:v>
      </x:c>
      <x:c r="AK3114" t="n">
        <x:v>0</x:v>
      </x:c>
      <x:c r="AL3114" t="n">
        <x:v>0</x:v>
      </x:c>
      <x:c r="AM3114" t="n">
        <x:f>CHOOSE('假设'!$B$3,AJ3114,AK3114,AL3114)</x:f>
        <x:v>0</x:v>
      </x:c>
      <x:c r="AN3114" t="n">
        <x:v>1</x:v>
      </x:c>
    </x:row>
    <x:row r="3115" ht="23" customHeight="1">
      <x:c r="A3115" s="11" t="str">
        <x:v>688382.SH</x:v>
      </x:c>
      <x:c r="B3115" s="11" t="str">
        <x:v>一年</x:v>
      </x:c>
      <x:c r="C3115" s="11" t="str">
        <x:v>urat_cn</x:v>
      </x:c>
      <x:c r="D3115" s="11" t="str">
        <x:v>2028-12-31</x:v>
      </x:c>
      <x:c r="E3115" s="11" t="str">
        <x:v>CNY</x:v>
      </x:c>
      <x:c r="F3115" s="11" t="n">
        <x:v>1.2292950034223136</x:v>
      </x:c>
      <x:c r="G3115" s="26" t="b">
        <x:v>1</x:v>
      </x:c>
      <x:c r="H3115" s="16" t="n">
        <x:v>0</x:v>
      </x:c>
      <x:c r="I3115" s="16" t="n">
        <x:v>0</x:v>
      </x:c>
      <x:c r="J3115" s="16" t="n">
        <x:v>0</x:v>
      </x:c>
      <x:c r="K3115" s="11" t="n">
        <x:f>CHOOSE('假设'!$B$3,H3115,I3115,J3115)</x:f>
        <x:v>0</x:v>
      </x:c>
      <x:c r="L3115" s="11" t="n">
        <x:f>K3115*'管线假设'!E679*'管线假设'!F679*'管线假设'!G679*IF(E3115="USD",'管线假设'!I679,1)-AM3115</x:f>
        <x:v>0</x:v>
      </x:c>
      <x:c r="M3115" s="11" t="n">
        <x:f>'管线假设'!H679</x:f>
        <x:v>0.135</x:v>
      </x:c>
      <x:c r="N3115" s="11" t="n">
        <x:f>IF(G3115,L3115*AN3115/(1+M3115)^F3115,0)</x:f>
        <x:v>0</x:v>
      </x:c>
      <x:c r="AJ3115" t="n">
        <x:v>0</x:v>
      </x:c>
      <x:c r="AK3115" t="n">
        <x:v>0</x:v>
      </x:c>
      <x:c r="AL3115" t="n">
        <x:v>0</x:v>
      </x:c>
      <x:c r="AM3115" t="n">
        <x:f>CHOOSE('假设'!$B$3,AJ3115,AK3115,AL3115)</x:f>
        <x:v>0</x:v>
      </x:c>
      <x:c r="AN3115" t="n">
        <x:v>1</x:v>
      </x:c>
    </x:row>
    <x:row r="3116" ht="23" customHeight="1">
      <x:c r="A3116" s="11" t="str">
        <x:v>688382.SH</x:v>
      </x:c>
      <x:c r="B3116" s="11" t="str">
        <x:v>一年</x:v>
      </x:c>
      <x:c r="C3116" s="11" t="str">
        <x:v>urat_cn</x:v>
      </x:c>
      <x:c r="D3116" s="11" t="str">
        <x:v>2029-12-31</x:v>
      </x:c>
      <x:c r="E3116" s="11" t="str">
        <x:v>CNY</x:v>
      </x:c>
      <x:c r="F3116" s="11" t="n">
        <x:v>2.2286105407255303</x:v>
      </x:c>
      <x:c r="G3116" s="26" t="b">
        <x:v>1</x:v>
      </x:c>
      <x:c r="H3116" s="16" t="n">
        <x:v>0</x:v>
      </x:c>
      <x:c r="I3116" s="16" t="n">
        <x:v>0</x:v>
      </x:c>
      <x:c r="J3116" s="16" t="n">
        <x:v>0.43333333333333335</x:v>
      </x:c>
      <x:c r="K3116" s="11" t="n">
        <x:f>CHOOSE('假设'!$B$3,H3116,I3116,J3116)</x:f>
        <x:v>0</x:v>
      </x:c>
      <x:c r="L3116" s="11" t="n">
        <x:f>K3116*'管线假设'!E679*'管线假设'!F679*'管线假设'!G679*IF(E3116="USD",'管线假设'!I679,1)-AM3116</x:f>
        <x:v>0</x:v>
      </x:c>
      <x:c r="M3116" s="11" t="n">
        <x:f>'管线假设'!H679</x:f>
        <x:v>0.135</x:v>
      </x:c>
      <x:c r="N3116" s="11" t="n">
        <x:f>IF(G3116,L3116*AN3116/(1+M3116)^F3116,0)</x:f>
        <x:v>0</x:v>
      </x:c>
      <x:c r="AJ3116" t="n">
        <x:v>0</x:v>
      </x:c>
      <x:c r="AK3116" t="n">
        <x:v>0</x:v>
      </x:c>
      <x:c r="AL3116" t="n">
        <x:v>0</x:v>
      </x:c>
      <x:c r="AM3116" t="n">
        <x:f>CHOOSE('假设'!$B$3,AJ3116,AK3116,AL3116)</x:f>
        <x:v>0</x:v>
      </x:c>
      <x:c r="AN3116" t="n">
        <x:v>1</x:v>
      </x:c>
    </x:row>
    <x:row r="3117" ht="23" customHeight="1">
      <x:c r="A3117" s="11" t="str">
        <x:v>688382.SH</x:v>
      </x:c>
      <x:c r="B3117" s="11" t="str">
        <x:v>一年</x:v>
      </x:c>
      <x:c r="C3117" s="11" t="str">
        <x:v>urat_cn</x:v>
      </x:c>
      <x:c r="D3117" s="11" t="str">
        <x:v>2030-12-31</x:v>
      </x:c>
      <x:c r="E3117" s="11" t="str">
        <x:v>CNY</x:v>
      </x:c>
      <x:c r="F3117" s="11" t="n">
        <x:v>3.2279260780287475</x:v>
      </x:c>
      <x:c r="G3117" s="26" t="b">
        <x:v>1</x:v>
      </x:c>
      <x:c r="H3117" s="16" t="n">
        <x:v>0</x:v>
      </x:c>
      <x:c r="I3117" s="16" t="n">
        <x:v>0</x:v>
      </x:c>
      <x:c r="J3117" s="16" t="n">
        <x:v>0.8666666666666667</x:v>
      </x:c>
      <x:c r="K3117" s="11" t="n">
        <x:f>CHOOSE('假设'!$B$3,H3117,I3117,J3117)</x:f>
        <x:v>0</x:v>
      </x:c>
      <x:c r="L3117" s="11" t="n">
        <x:f>K3117*'管线假设'!E679*'管线假设'!F679*'管线假设'!G679*IF(E3117="USD",'管线假设'!I679,1)-AM3117</x:f>
        <x:v>0</x:v>
      </x:c>
      <x:c r="M3117" s="11" t="n">
        <x:f>'管线假设'!H679</x:f>
        <x:v>0.135</x:v>
      </x:c>
      <x:c r="N3117" s="11" t="n">
        <x:f>IF(G3117,L3117*AN3117/(1+M3117)^F3117,0)</x:f>
        <x:v>0</x:v>
      </x:c>
      <x:c r="AJ3117" t="n">
        <x:v>0</x:v>
      </x:c>
      <x:c r="AK3117" t="n">
        <x:v>0</x:v>
      </x:c>
      <x:c r="AL3117" t="n">
        <x:v>0</x:v>
      </x:c>
      <x:c r="AM3117" t="n">
        <x:f>CHOOSE('假设'!$B$3,AJ3117,AK3117,AL3117)</x:f>
        <x:v>0</x:v>
      </x:c>
      <x:c r="AN3117" t="n">
        <x:v>1</x:v>
      </x:c>
    </x:row>
    <x:row r="3118" ht="23" customHeight="1">
      <x:c r="A3118" s="11" t="str">
        <x:v>688382.SH</x:v>
      </x:c>
      <x:c r="B3118" s="11" t="str">
        <x:v>一年</x:v>
      </x:c>
      <x:c r="C3118" s="11" t="str">
        <x:v>urat_cn</x:v>
      </x:c>
      <x:c r="D3118" s="11" t="str">
        <x:v>2031-12-31</x:v>
      </x:c>
      <x:c r="E3118" s="11" t="str">
        <x:v>CNY</x:v>
      </x:c>
      <x:c r="F3118" s="11" t="n">
        <x:v>4.227241615331964</x:v>
      </x:c>
      <x:c r="G3118" s="26" t="b">
        <x:v>1</x:v>
      </x:c>
      <x:c r="H3118" s="16" t="n">
        <x:v>0</x:v>
      </x:c>
      <x:c r="I3118" s="16" t="n">
        <x:v>0.2333333333333333</x:v>
      </x:c>
      <x:c r="J3118" s="16" t="n">
        <x:v>1.3</x:v>
      </x:c>
      <x:c r="K3118" s="11" t="n">
        <x:f>CHOOSE('假设'!$B$3,H3118,I3118,J3118)</x:f>
        <x:v>0.2333333333333333</x:v>
      </x:c>
      <x:c r="L3118" s="11" t="n">
        <x:f>K3118*'管线假设'!E679*'管线假设'!F679*'管线假设'!G679*IF(E3118="USD",'管线假设'!I679,1)-AM3118</x:f>
        <x:v>0.028067199999999997</x:v>
      </x:c>
      <x:c r="M3118" s="11" t="n">
        <x:f>'管线假设'!H679</x:f>
        <x:v>0.135</x:v>
      </x:c>
      <x:c r="N3118" s="11" t="n">
        <x:f>IF(G3118,L3118*AN3118/(1+M3118)^F3118,0)</x:f>
        <x:v>0.016433054470398303</x:v>
      </x:c>
      <x:c r="AJ3118" t="n">
        <x:v>0</x:v>
      </x:c>
      <x:c r="AK3118" t="n">
        <x:v>0</x:v>
      </x:c>
      <x:c r="AL3118" t="n">
        <x:v>0</x:v>
      </x:c>
      <x:c r="AM3118" t="n">
        <x:f>CHOOSE('假设'!$B$3,AJ3118,AK3118,AL3118)</x:f>
        <x:v>0</x:v>
      </x:c>
      <x:c r="AN3118" t="n">
        <x:v>1</x:v>
      </x:c>
    </x:row>
    <x:row r="3119" ht="23" customHeight="1">
      <x:c r="A3119" s="11" t="str">
        <x:v>688382.SH</x:v>
      </x:c>
      <x:c r="B3119" s="11" t="str">
        <x:v>一年</x:v>
      </x:c>
      <x:c r="C3119" s="11" t="str">
        <x:v>urat_cn</x:v>
      </x:c>
      <x:c r="D3119" s="11" t="str">
        <x:v>2032-12-31</x:v>
      </x:c>
      <x:c r="E3119" s="11" t="str">
        <x:v>CNY</x:v>
      </x:c>
      <x:c r="F3119" s="11" t="n">
        <x:v>5.229295003422314</x:v>
      </x:c>
      <x:c r="G3119" s="26" t="b">
        <x:v>1</x:v>
      </x:c>
      <x:c r="H3119" s="16" t="n">
        <x:v>0</x:v>
      </x:c>
      <x:c r="I3119" s="16" t="n">
        <x:v>0.4666666666666666</x:v>
      </x:c>
      <x:c r="J3119" s="16" t="n">
        <x:v>1.7333333333333334</x:v>
      </x:c>
      <x:c r="K3119" s="11" t="n">
        <x:f>CHOOSE('假设'!$B$3,H3119,I3119,J3119)</x:f>
        <x:v>0.4666666666666666</x:v>
      </x:c>
      <x:c r="L3119" s="11" t="n">
        <x:f>K3119*'管线假设'!E679*'管线假设'!F679*'管线假设'!G679*IF(E3119="USD",'管线假设'!I679,1)-AM3119</x:f>
        <x:v>0.056134399999999994</x:v>
      </x:c>
      <x:c r="M3119" s="11" t="n">
        <x:f>'管线假设'!H679</x:f>
        <x:v>0.135</x:v>
      </x:c>
      <x:c r="N3119" s="11" t="n">
        <x:f>IF(G3119,L3119*AN3119/(1+M3119)^F3119,0)</x:f>
        <x:v>0.028949395603260084</x:v>
      </x:c>
      <x:c r="AJ3119" t="n">
        <x:v>0</x:v>
      </x:c>
      <x:c r="AK3119" t="n">
        <x:v>0</x:v>
      </x:c>
      <x:c r="AL3119" t="n">
        <x:v>0</x:v>
      </x:c>
      <x:c r="AM3119" t="n">
        <x:f>CHOOSE('假设'!$B$3,AJ3119,AK3119,AL3119)</x:f>
        <x:v>0</x:v>
      </x:c>
      <x:c r="AN3119" t="n">
        <x:v>1</x:v>
      </x:c>
    </x:row>
    <x:row r="3120" ht="23" customHeight="1">
      <x:c r="A3120" s="11" t="str">
        <x:v>688382.SH</x:v>
      </x:c>
      <x:c r="B3120" s="11" t="str">
        <x:v>一年</x:v>
      </x:c>
      <x:c r="C3120" s="11" t="str">
        <x:v>urat_cn</x:v>
      </x:c>
      <x:c r="D3120" s="11" t="str">
        <x:v>2033-12-31</x:v>
      </x:c>
      <x:c r="E3120" s="11" t="str">
        <x:v>CNY</x:v>
      </x:c>
      <x:c r="F3120" s="11" t="n">
        <x:v>6.228610540725531</x:v>
      </x:c>
      <x:c r="G3120" s="26" t="b">
        <x:v>1</x:v>
      </x:c>
      <x:c r="H3120" s="16" t="n">
        <x:v>0</x:v>
      </x:c>
      <x:c r="I3120" s="16" t="n">
        <x:v>0.7</x:v>
      </x:c>
      <x:c r="J3120" s="16" t="n">
        <x:v>2.166666666666667</x:v>
      </x:c>
      <x:c r="K3120" s="11" t="n">
        <x:f>CHOOSE('假设'!$B$3,H3120,I3120,J3120)</x:f>
        <x:v>0.7</x:v>
      </x:c>
      <x:c r="L3120" s="11" t="n">
        <x:f>K3120*'管线假设'!E679*'管线假设'!F679*'管线假设'!G679*IF(E3120="USD",'管线假设'!I679,1)-AM3120</x:f>
        <x:v>0.0842016</x:v>
      </x:c>
      <x:c r="M3120" s="11" t="n">
        <x:f>'管线假设'!H679</x:f>
        <x:v>0.135</x:v>
      </x:c>
      <x:c r="N3120" s="11" t="n">
        <x:f>IF(G3120,L3120*AN3120/(1+M3120)^F3120,0)</x:f>
        <x:v>0.038262429396872834</x:v>
      </x:c>
      <x:c r="AJ3120" t="n">
        <x:v>0</x:v>
      </x:c>
      <x:c r="AK3120" t="n">
        <x:v>0</x:v>
      </x:c>
      <x:c r="AL3120" t="n">
        <x:v>0</x:v>
      </x:c>
      <x:c r="AM3120" t="n">
        <x:f>CHOOSE('假设'!$B$3,AJ3120,AK3120,AL3120)</x:f>
        <x:v>0</x:v>
      </x:c>
      <x:c r="AN3120" t="n">
        <x:v>1</x:v>
      </x:c>
    </x:row>
    <x:row r="3121" ht="23" customHeight="1">
      <x:c r="A3121" s="11" t="str">
        <x:v>688382.SH</x:v>
      </x:c>
      <x:c r="B3121" s="11" t="str">
        <x:v>一年</x:v>
      </x:c>
      <x:c r="C3121" s="11" t="str">
        <x:v>urat_cn</x:v>
      </x:c>
      <x:c r="D3121" s="11" t="str">
        <x:v>2034-12-31</x:v>
      </x:c>
      <x:c r="E3121" s="11" t="str">
        <x:v>CNY</x:v>
      </x:c>
      <x:c r="F3121" s="11" t="n">
        <x:v>7.227926078028747</x:v>
      </x:c>
      <x:c r="G3121" s="26" t="b">
        <x:v>1</x:v>
      </x:c>
      <x:c r="H3121" s="16" t="n">
        <x:v>0.12</x:v>
      </x:c>
      <x:c r="I3121" s="16" t="n">
        <x:v>0.9333333333333332</x:v>
      </x:c>
      <x:c r="J3121" s="16" t="n">
        <x:v>2.6</x:v>
      </x:c>
      <x:c r="K3121" s="11" t="n">
        <x:f>CHOOSE('假设'!$B$3,H3121,I3121,J3121)</x:f>
        <x:v>0.9333333333333332</x:v>
      </x:c>
      <x:c r="L3121" s="11" t="n">
        <x:f>K3121*'管线假设'!E679*'管线假设'!F679*'管线假设'!G679*IF(E3121="USD",'管线假设'!I679,1)-AM3121</x:f>
        <x:v>0.11226879999999999</x:v>
      </x:c>
      <x:c r="M3121" s="11" t="n">
        <x:f>'管线假设'!H679</x:f>
        <x:v>0.135</x:v>
      </x:c>
      <x:c r="N3121" s="11" t="n">
        <x:f>IF(G3121,L3121*AN3121/(1+M3121)^F3121,0)</x:f>
        <x:v>0.0449524181487632</x:v>
      </x:c>
      <x:c r="AJ3121" t="n">
        <x:v>0</x:v>
      </x:c>
      <x:c r="AK3121" t="n">
        <x:v>0</x:v>
      </x:c>
      <x:c r="AL3121" t="n">
        <x:v>0</x:v>
      </x:c>
      <x:c r="AM3121" t="n">
        <x:f>CHOOSE('假设'!$B$3,AJ3121,AK3121,AL3121)</x:f>
        <x:v>0</x:v>
      </x:c>
      <x:c r="AN3121" t="n">
        <x:v>1</x:v>
      </x:c>
    </x:row>
    <x:row r="3122" ht="23" customHeight="1">
      <x:c r="A3122" s="11" t="str">
        <x:v>688382.SH</x:v>
      </x:c>
      <x:c r="B3122" s="11" t="str">
        <x:v>一年</x:v>
      </x:c>
      <x:c r="C3122" s="11" t="str">
        <x:v>urat_cn</x:v>
      </x:c>
      <x:c r="D3122" s="11" t="str">
        <x:v>2035-12-31</x:v>
      </x:c>
      <x:c r="E3122" s="11" t="str">
        <x:v>CNY</x:v>
      </x:c>
      <x:c r="F3122" s="11" t="n">
        <x:v>8.227241615331964</x:v>
      </x:c>
      <x:c r="G3122" s="26" t="b">
        <x:v>1</x:v>
      </x:c>
      <x:c r="H3122" s="16" t="n">
        <x:v>0.24</x:v>
      </x:c>
      <x:c r="I3122" s="16" t="n">
        <x:v>1.1666666666666667</x:v>
      </x:c>
      <x:c r="J3122" s="16" t="n">
        <x:v>2.262</x:v>
      </x:c>
      <x:c r="K3122" s="11" t="n">
        <x:f>CHOOSE('假设'!$B$3,H3122,I3122,J3122)</x:f>
        <x:v>1.1666666666666667</x:v>
      </x:c>
      <x:c r="L3122" s="11" t="n">
        <x:f>K3122*'管线假设'!E679*'管线假设'!F679*'管线假设'!G679*IF(E3122="USD",'管线假设'!I679,1)-AM3122</x:f>
        <x:v>0.14033600000000002</x:v>
      </x:c>
      <x:c r="M3122" s="11" t="n">
        <x:f>'管线假设'!H679</x:f>
        <x:v>0.135</x:v>
      </x:c>
      <x:c r="N3122" s="11" t="n">
        <x:f>IF(G3122,L3122*AN3122/(1+M3122)^F3122,0)</x:f>
        <x:v>0.049511359673028416</x:v>
      </x:c>
      <x:c r="AJ3122" t="n">
        <x:v>0</x:v>
      </x:c>
      <x:c r="AK3122" t="n">
        <x:v>0</x:v>
      </x:c>
      <x:c r="AL3122" t="n">
        <x:v>0</x:v>
      </x:c>
      <x:c r="AM3122" t="n">
        <x:f>CHOOSE('假设'!$B$3,AJ3122,AK3122,AL3122)</x:f>
        <x:v>0</x:v>
      </x:c>
      <x:c r="AN3122" t="n">
        <x:v>1</x:v>
      </x:c>
    </x:row>
    <x:row r="3123" ht="23" customHeight="1">
      <x:c r="A3123" s="11" t="str">
        <x:v>688382.SH</x:v>
      </x:c>
      <x:c r="B3123" s="11" t="str">
        <x:v>一年</x:v>
      </x:c>
      <x:c r="C3123" s="11" t="str">
        <x:v>urat_cn</x:v>
      </x:c>
      <x:c r="D3123" s="11" t="str">
        <x:v>2036-12-31</x:v>
      </x:c>
      <x:c r="E3123" s="11" t="str">
        <x:v>CNY</x:v>
      </x:c>
      <x:c r="F3123" s="11" t="n">
        <x:v>9.229295003422314</x:v>
      </x:c>
      <x:c r="G3123" s="26" t="b">
        <x:v>1</x:v>
      </x:c>
      <x:c r="H3123" s="16" t="n">
        <x:v>0.36</x:v>
      </x:c>
      <x:c r="I3123" s="16" t="n">
        <x:v>1.4</x:v>
      </x:c>
      <x:c r="J3123" s="16" t="n">
        <x:v>1.924</x:v>
      </x:c>
      <x:c r="K3123" s="11" t="n">
        <x:f>CHOOSE('假设'!$B$3,H3123,I3123,J3123)</x:f>
        <x:v>1.4</x:v>
      </x:c>
      <x:c r="L3123" s="11" t="n">
        <x:f>K3123*'管线假设'!E679*'管线假设'!F679*'管线假设'!G679*IF(E3123="USD",'管线假设'!I679,1)-AM3123</x:f>
        <x:v>0.1684032</x:v>
      </x:c>
      <x:c r="M3123" s="11" t="n">
        <x:f>'管线假设'!H679</x:f>
        <x:v>0.135</x:v>
      </x:c>
      <x:c r="N3123" s="11" t="n">
        <x:f>IF(G3123,L3123*AN3123/(1+M3123)^F3123,0)</x:f>
        <x:v>0.052333202227682625</x:v>
      </x:c>
      <x:c r="AJ3123" t="n">
        <x:v>0</x:v>
      </x:c>
      <x:c r="AK3123" t="n">
        <x:v>0</x:v>
      </x:c>
      <x:c r="AL3123" t="n">
        <x:v>0</x:v>
      </x:c>
      <x:c r="AM3123" t="n">
        <x:f>CHOOSE('假设'!$B$3,AJ3123,AK3123,AL3123)</x:f>
        <x:v>0</x:v>
      </x:c>
      <x:c r="AN3123" t="n">
        <x:v>1</x:v>
      </x:c>
    </x:row>
    <x:row r="3124" ht="23" customHeight="1">
      <x:c r="A3124" s="11" t="str">
        <x:v>688382.SH</x:v>
      </x:c>
      <x:c r="B3124" s="11" t="str">
        <x:v>一年</x:v>
      </x:c>
      <x:c r="C3124" s="11" t="str">
        <x:v>urat_cn</x:v>
      </x:c>
      <x:c r="D3124" s="11" t="str">
        <x:v>2037-12-31</x:v>
      </x:c>
      <x:c r="E3124" s="11" t="str">
        <x:v>CNY</x:v>
      </x:c>
      <x:c r="F3124" s="11" t="n">
        <x:v>10.22861054072553</x:v>
      </x:c>
      <x:c r="G3124" s="26" t="b">
        <x:v>1</x:v>
      </x:c>
      <x:c r="H3124" s="16" t="n">
        <x:v>0.48</x:v>
      </x:c>
      <x:c r="I3124" s="16" t="n">
        <x:v>1.218</x:v>
      </x:c>
      <x:c r="J3124" s="16" t="n">
        <x:v>1.586</x:v>
      </x:c>
      <x:c r="K3124" s="11" t="n">
        <x:f>CHOOSE('假设'!$B$3,H3124,I3124,J3124)</x:f>
        <x:v>1.218</x:v>
      </x:c>
      <x:c r="L3124" s="11" t="n">
        <x:f>K3124*'管线假设'!E679*'管线假设'!F679*'管线假设'!G679*IF(E3124="USD",'管线假设'!I679,1)-AM3124</x:f>
        <x:v>0.146510784</x:v>
      </x:c>
      <x:c r="M3124" s="11" t="n">
        <x:f>'管线假设'!H679</x:f>
        <x:v>0.135</x:v>
      </x:c>
      <x:c r="N3124" s="11" t="n">
        <x:f>IF(G3124,L3124*AN3124/(1+M3124)^F3124,0)</x:f>
        <x:v>0.040117914032430355</x:v>
      </x:c>
      <x:c r="AJ3124" t="n">
        <x:v>0</x:v>
      </x:c>
      <x:c r="AK3124" t="n">
        <x:v>0</x:v>
      </x:c>
      <x:c r="AL3124" t="n">
        <x:v>0</x:v>
      </x:c>
      <x:c r="AM3124" t="n">
        <x:f>CHOOSE('假设'!$B$3,AJ3124,AK3124,AL3124)</x:f>
        <x:v>0</x:v>
      </x:c>
      <x:c r="AN3124" t="n">
        <x:v>1</x:v>
      </x:c>
    </x:row>
    <x:row r="3125" ht="23" customHeight="1">
      <x:c r="A3125" s="11" t="str">
        <x:v>688382.SH</x:v>
      </x:c>
      <x:c r="B3125" s="11" t="str">
        <x:v>一年</x:v>
      </x:c>
      <x:c r="C3125" s="11" t="str">
        <x:v>urat_cn</x:v>
      </x:c>
      <x:c r="D3125" s="11" t="str">
        <x:v>2038-12-31</x:v>
      </x:c>
      <x:c r="E3125" s="11" t="str">
        <x:v>CNY</x:v>
      </x:c>
      <x:c r="F3125" s="11" t="n">
        <x:v>11.227926078028748</x:v>
      </x:c>
      <x:c r="G3125" s="26" t="b">
        <x:v>1</x:v>
      </x:c>
      <x:c r="H3125" s="16" t="n">
        <x:v>0.6</x:v>
      </x:c>
      <x:c r="I3125" s="16" t="n">
        <x:v>1.036</x:v>
      </x:c>
      <x:c r="J3125" s="16" t="n">
        <x:v>1.248</x:v>
      </x:c>
      <x:c r="K3125" s="11" t="n">
        <x:f>CHOOSE('假设'!$B$3,H3125,I3125,J3125)</x:f>
        <x:v>1.036</x:v>
      </x:c>
      <x:c r="L3125" s="11" t="n">
        <x:f>K3125*'管线假设'!E679*'管线假设'!F679*'管线假设'!G679*IF(E3125="USD",'管线假设'!I679,1)-AM3125</x:f>
        <x:v>0.12461836800000001</x:v>
      </x:c>
      <x:c r="M3125" s="11" t="n">
        <x:f>'管线假设'!H679</x:f>
        <x:v>0.135</x:v>
      </x:c>
      <x:c r="N3125" s="11" t="n">
        <x:f>IF(G3125,L3125*AN3125/(1+M3125)^F3125,0)</x:f>
        <x:v>0.030067172665080827</x:v>
      </x:c>
      <x:c r="AJ3125" t="n">
        <x:v>0</x:v>
      </x:c>
      <x:c r="AK3125" t="n">
        <x:v>0</x:v>
      </x:c>
      <x:c r="AL3125" t="n">
        <x:v>0</x:v>
      </x:c>
      <x:c r="AM3125" t="n">
        <x:f>CHOOSE('假设'!$B$3,AJ3125,AK3125,AL3125)</x:f>
        <x:v>0</x:v>
      </x:c>
      <x:c r="AN3125" t="n">
        <x:v>1</x:v>
      </x:c>
    </x:row>
    <x:row r="3126" ht="23" customHeight="1">
      <x:c r="A3126" s="11" t="str">
        <x:v>688382.SH</x:v>
      </x:c>
      <x:c r="B3126" s="11" t="str">
        <x:v>一年</x:v>
      </x:c>
      <x:c r="C3126" s="11" t="str">
        <x:v>urat_cn</x:v>
      </x:c>
      <x:c r="D3126" s="11" t="str">
        <x:v>2039-12-31</x:v>
      </x:c>
      <x:c r="E3126" s="11" t="str">
        <x:v>CNY</x:v>
      </x:c>
      <x:c r="F3126" s="11" t="n">
        <x:v>12.227241615331964</x:v>
      </x:c>
      <x:c r="G3126" s="26" t="b">
        <x:v>1</x:v>
      </x:c>
      <x:c r="H3126" s="16" t="n">
        <x:v>0.522</x:v>
      </x:c>
      <x:c r="I3126" s="16" t="n">
        <x:v>0.854</x:v>
      </x:c>
      <x:c r="J3126" s="16" t="n">
        <x:v>0.9099999999999999</x:v>
      </x:c>
      <x:c r="K3126" s="11" t="n">
        <x:f>CHOOSE('假设'!$B$3,H3126,I3126,J3126)</x:f>
        <x:v>0.854</x:v>
      </x:c>
      <x:c r="L3126" s="11" t="n">
        <x:f>K3126*'管线假设'!E679*'管线假设'!F679*'管线假设'!G679*IF(E3126="USD",'管线假设'!I679,1)-AM3126</x:f>
        <x:v>0.10272595200000001</x:v>
      </x:c>
      <x:c r="M3126" s="11" t="n">
        <x:f>'管线假设'!H679</x:f>
        <x:v>0.135</x:v>
      </x:c>
      <x:c r="N3126" s="11" t="n">
        <x:f>IF(G3126,L3126*AN3126/(1+M3126)^F3126,0)</x:f>
        <x:v>0.02183898690868758</x:v>
      </x:c>
      <x:c r="AJ3126" t="n">
        <x:v>0</x:v>
      </x:c>
      <x:c r="AK3126" t="n">
        <x:v>0</x:v>
      </x:c>
      <x:c r="AL3126" t="n">
        <x:v>0</x:v>
      </x:c>
      <x:c r="AM3126" t="n">
        <x:f>CHOOSE('假设'!$B$3,AJ3126,AK3126,AL3126)</x:f>
        <x:v>0</x:v>
      </x:c>
      <x:c r="AN3126" t="n">
        <x:v>1</x:v>
      </x:c>
    </x:row>
    <x:row r="3127" ht="23" customHeight="1">
      <x:c r="A3127" s="11" t="str">
        <x:v>688382.SH</x:v>
      </x:c>
      <x:c r="B3127" s="11" t="str">
        <x:v>一年</x:v>
      </x:c>
      <x:c r="C3127" s="11" t="str">
        <x:v>urat_cn</x:v>
      </x:c>
      <x:c r="D3127" s="11" t="str">
        <x:v>2040-12-31</x:v>
      </x:c>
      <x:c r="E3127" s="11" t="str">
        <x:v>CNY</x:v>
      </x:c>
      <x:c r="F3127" s="11" t="n">
        <x:v>13.229295003422314</x:v>
      </x:c>
      <x:c r="G3127" s="26" t="b">
        <x:v>1</x:v>
      </x:c>
      <x:c r="H3127" s="16" t="n">
        <x:v>0.444</x:v>
      </x:c>
      <x:c r="I3127" s="16" t="n">
        <x:v>0.6719999999999999</x:v>
      </x:c>
      <x:c r="J3127" s="16" t="n">
        <x:v>0.572</x:v>
      </x:c>
      <x:c r="K3127" s="11" t="n">
        <x:f>CHOOSE('假设'!$B$3,H3127,I3127,J3127)</x:f>
        <x:v>0.6719999999999999</x:v>
      </x:c>
      <x:c r="L3127" s="11" t="n">
        <x:f>K3127*'管线假设'!E679*'管线假设'!F679*'管线假设'!G679*IF(E3127="USD",'管线假设'!I679,1)-AM3127</x:f>
        <x:v>0.080833536</x:v>
      </x:c>
      <x:c r="M3127" s="11" t="n">
        <x:f>'管线假设'!H679</x:f>
        <x:v>0.135</x:v>
      </x:c>
      <x:c r="N3127" s="11" t="n">
        <x:f>IF(G3127,L3127*AN3127/(1+M3127)^F3127,0)</x:f>
        <x:v>0.015136835838300427</x:v>
      </x:c>
      <x:c r="AJ3127" t="n">
        <x:v>0</x:v>
      </x:c>
      <x:c r="AK3127" t="n">
        <x:v>0</x:v>
      </x:c>
      <x:c r="AL3127" t="n">
        <x:v>0</x:v>
      </x:c>
      <x:c r="AM3127" t="n">
        <x:f>CHOOSE('假设'!$B$3,AJ3127,AK3127,AL3127)</x:f>
        <x:v>0</x:v>
      </x:c>
      <x:c r="AN3127" t="n">
        <x:v>1</x:v>
      </x:c>
    </x:row>
    <x:row r="3128" ht="23" customHeight="1">
      <x:c r="A3128" s="11" t="str">
        <x:v>688382.SH</x:v>
      </x:c>
      <x:c r="B3128" s="11" t="str">
        <x:v>一年</x:v>
      </x:c>
      <x:c r="C3128" s="11" t="str">
        <x:v>urat_cn</x:v>
      </x:c>
      <x:c r="D3128" s="11" t="str">
        <x:v>2041-12-31</x:v>
      </x:c>
      <x:c r="E3128" s="11" t="str">
        <x:v>CNY</x:v>
      </x:c>
      <x:c r="F3128" s="11" t="n">
        <x:v>14.22861054072553</x:v>
      </x:c>
      <x:c r="G3128" s="26" t="b">
        <x:v>1</x:v>
      </x:c>
      <x:c r="H3128" s="16" t="n">
        <x:v>0.366</x:v>
      </x:c>
      <x:c r="I3128" s="16" t="n">
        <x:v>0.48999999999999994</x:v>
      </x:c>
      <x:c r="J3128" s="16" t="n">
        <x:v>0.23399999999999993</x:v>
      </x:c>
      <x:c r="K3128" s="11" t="n">
        <x:f>CHOOSE('假设'!$B$3,H3128,I3128,J3128)</x:f>
        <x:v>0.48999999999999994</x:v>
      </x:c>
      <x:c r="L3128" s="11" t="n">
        <x:f>K3128*'管线假设'!E679*'管线假设'!F679*'管线假设'!G679*IF(E3128="USD",'管线假设'!I679,1)-AM3128</x:f>
        <x:v>0.05894112</x:v>
      </x:c>
      <x:c r="M3128" s="11" t="n">
        <x:f>'管线假设'!H679</x:f>
        <x:v>0.135</x:v>
      </x:c>
      <x:c r="N3128" s="11" t="n">
        <x:f>IF(G3128,L3128*AN3128/(1+M3128)^F3128,0)</x:f>
        <x:v>0.009725315271417519</x:v>
      </x:c>
      <x:c r="AJ3128" t="n">
        <x:v>0</x:v>
      </x:c>
      <x:c r="AK3128" t="n">
        <x:v>0</x:v>
      </x:c>
      <x:c r="AL3128" t="n">
        <x:v>0</x:v>
      </x:c>
      <x:c r="AM3128" t="n">
        <x:f>CHOOSE('假设'!$B$3,AJ3128,AK3128,AL3128)</x:f>
        <x:v>0</x:v>
      </x:c>
      <x:c r="AN3128" t="n">
        <x:v>1</x:v>
      </x:c>
    </x:row>
    <x:row r="3129" ht="23" customHeight="1">
      <x:c r="A3129" s="11" t="str">
        <x:v>688382.SH</x:v>
      </x:c>
      <x:c r="B3129" s="11" t="str">
        <x:v>一年</x:v>
      </x:c>
      <x:c r="C3129" s="11" t="str">
        <x:v>urat_cn</x:v>
      </x:c>
      <x:c r="D3129" s="11" t="str">
        <x:v>2042-12-31</x:v>
      </x:c>
      <x:c r="E3129" s="11" t="str">
        <x:v>CNY</x:v>
      </x:c>
      <x:c r="F3129" s="11" t="n">
        <x:v>15.227926078028748</x:v>
      </x:c>
      <x:c r="G3129" s="26" t="b">
        <x:v>1</x:v>
      </x:c>
      <x:c r="H3129" s="16" t="n">
        <x:v>0.288</x:v>
      </x:c>
      <x:c r="I3129" s="16" t="n">
        <x:v>0.30799999999999994</x:v>
      </x:c>
      <x:c r="J3129" s="16" t="n">
        <x:v>0</x:v>
      </x:c>
      <x:c r="K3129" s="11" t="n">
        <x:f>CHOOSE('假设'!$B$3,H3129,I3129,J3129)</x:f>
        <x:v>0.30799999999999994</x:v>
      </x:c>
      <x:c r="L3129" s="11" t="n">
        <x:f>K3129*'管线假设'!E679*'管线假设'!F679*'管线假设'!G679*IF(E3129="USD",'管线假设'!I679,1)-AM3129</x:f>
        <x:v>0.037048703999999995</x:v>
      </x:c>
      <x:c r="M3129" s="11" t="n">
        <x:f>'管线假设'!H679</x:f>
        <x:v>0.135</x:v>
      </x:c>
      <x:c r="N3129" s="11" t="n">
        <x:f>IF(G3129,L3129*AN3129/(1+M3129)^F3129,0)</x:f>
        <x:v>0.005386418667388797</x:v>
      </x:c>
      <x:c r="AJ3129" t="n">
        <x:v>0</x:v>
      </x:c>
      <x:c r="AK3129" t="n">
        <x:v>0</x:v>
      </x:c>
      <x:c r="AL3129" t="n">
        <x:v>0</x:v>
      </x:c>
      <x:c r="AM3129" t="n">
        <x:f>CHOOSE('假设'!$B$3,AJ3129,AK3129,AL3129)</x:f>
        <x:v>0</x:v>
      </x:c>
      <x:c r="AN3129" t="n">
        <x:v>1</x:v>
      </x:c>
    </x:row>
    <x:row r="3130" ht="23" customHeight="1">
      <x:c r="A3130" s="11" t="str">
        <x:v>688382.SH</x:v>
      </x:c>
      <x:c r="B3130" s="11" t="str">
        <x:v>一年</x:v>
      </x:c>
      <x:c r="C3130" s="11" t="str">
        <x:v>urat_cn</x:v>
      </x:c>
      <x:c r="D3130" s="11" t="str">
        <x:v>2043-12-31</x:v>
      </x:c>
      <x:c r="E3130" s="11" t="str">
        <x:v>CNY</x:v>
      </x:c>
      <x:c r="F3130" s="11" t="n">
        <x:v>16.227241615331966</x:v>
      </x:c>
      <x:c r="G3130" s="26" t="b">
        <x:v>1</x:v>
      </x:c>
      <x:c r="H3130" s="16" t="n">
        <x:v>0.21</x:v>
      </x:c>
      <x:c r="I3130" s="16" t="n">
        <x:v>0.12599999999999995</x:v>
      </x:c>
      <x:c r="J3130" s="16" t="n">
        <x:v>0</x:v>
      </x:c>
      <x:c r="K3130" s="11" t="n">
        <x:f>CHOOSE('假设'!$B$3,H3130,I3130,J3130)</x:f>
        <x:v>0.12599999999999995</x:v>
      </x:c>
      <x:c r="L3130" s="11" t="n">
        <x:f>K3130*'管线假设'!E679*'管线假设'!F679*'管线假设'!G679*IF(E3130="USD",'管线假设'!I679,1)-AM3130</x:f>
        <x:v>0.015156287999999993</x:v>
      </x:c>
      <x:c r="M3130" s="11" t="n">
        <x:f>'管线假设'!H679</x:f>
        <x:v>0.135</x:v>
      </x:c>
      <x:c r="N3130" s="11" t="n">
        <x:f>IF(G3130,L3130*AN3130/(1+M3130)^F3130,0)</x:f>
        <x:v>0.0019416087310747201</x:v>
      </x:c>
      <x:c r="AJ3130" t="n">
        <x:v>0</x:v>
      </x:c>
      <x:c r="AK3130" t="n">
        <x:v>0</x:v>
      </x:c>
      <x:c r="AL3130" t="n">
        <x:v>0</x:v>
      </x:c>
      <x:c r="AM3130" t="n">
        <x:f>CHOOSE('假设'!$B$3,AJ3130,AK3130,AL3130)</x:f>
        <x:v>0</x:v>
      </x:c>
      <x:c r="AN3130" t="n">
        <x:v>1</x:v>
      </x:c>
    </x:row>
    <x:row r="3131" ht="23" customHeight="1">
      <x:c r="A3131" s="11" t="str">
        <x:v>688382.SH</x:v>
      </x:c>
      <x:c r="B3131" s="11" t="str">
        <x:v>一年</x:v>
      </x:c>
      <x:c r="C3131" s="11" t="str">
        <x:v>urat_cn</x:v>
      </x:c>
      <x:c r="D3131" s="11" t="str">
        <x:v>2044-12-31</x:v>
      </x:c>
      <x:c r="E3131" s="11" t="str">
        <x:v>CNY</x:v>
      </x:c>
      <x:c r="F3131" s="11" t="n">
        <x:v>17.229295003422312</x:v>
      </x:c>
      <x:c r="G3131" s="26" t="b">
        <x:v>1</x:v>
      </x:c>
      <x:c r="H3131" s="16" t="n">
        <x:v>0.13199999999999998</x:v>
      </x:c>
      <x:c r="I3131" s="16" t="n">
        <x:v>0</x:v>
      </x:c>
      <x:c r="J3131" s="16" t="n">
        <x:v>0</x:v>
      </x:c>
      <x:c r="K3131" s="11" t="n">
        <x:f>CHOOSE('假设'!$B$3,H3131,I3131,J3131)</x:f>
        <x:v>0</x:v>
      </x:c>
      <x:c r="L3131" s="11" t="n">
        <x:f>K3131*'管线假设'!E679*'管线假设'!F679*'管线假设'!G679*IF(E3131="USD",'管线假设'!I679,1)-AM3131</x:f>
        <x:v>0</x:v>
      </x:c>
      <x:c r="M3131" s="11" t="n">
        <x:f>'管线假设'!H679</x:f>
        <x:v>0.135</x:v>
      </x:c>
      <x:c r="N3131" s="11" t="n">
        <x:f>IF(G3131,L3131*AN3131/(1+M3131)^F3131,0)</x:f>
        <x:v>0</x:v>
      </x:c>
      <x:c r="AJ3131" t="n">
        <x:v>0</x:v>
      </x:c>
      <x:c r="AK3131" t="n">
        <x:v>0</x:v>
      </x:c>
      <x:c r="AL3131" t="n">
        <x:v>0</x:v>
      </x:c>
      <x:c r="AM3131" t="n">
        <x:f>CHOOSE('假设'!$B$3,AJ3131,AK3131,AL3131)</x:f>
        <x:v>0</x:v>
      </x:c>
      <x:c r="AN3131" t="n">
        <x:v>1</x:v>
      </x:c>
    </x:row>
    <x:row r="3132" ht="23" customHeight="1">
      <x:c r="A3132" s="11" t="str">
        <x:v>688382.SH</x:v>
      </x:c>
      <x:c r="B3132" s="11" t="str">
        <x:v>一年</x:v>
      </x:c>
      <x:c r="C3132" s="11" t="str">
        <x:v>urat_cn</x:v>
      </x:c>
      <x:c r="D3132" s="11" t="str">
        <x:v>2045-12-31</x:v>
      </x:c>
      <x:c r="E3132" s="11" t="str">
        <x:v>CNY</x:v>
      </x:c>
      <x:c r="F3132" s="11" t="n">
        <x:v>18.22861054072553</x:v>
      </x:c>
      <x:c r="G3132" s="26" t="b">
        <x:v>1</x:v>
      </x:c>
      <x:c r="H3132" s="16" t="n">
        <x:v>0.05399999999999998</x:v>
      </x:c>
      <x:c r="I3132" s="16" t="n">
        <x:v>0</x:v>
      </x:c>
      <x:c r="J3132" s="16" t="n">
        <x:v>0</x:v>
      </x:c>
      <x:c r="K3132" s="11" t="n">
        <x:f>CHOOSE('假设'!$B$3,H3132,I3132,J3132)</x:f>
        <x:v>0</x:v>
      </x:c>
      <x:c r="L3132" s="11" t="n">
        <x:f>K3132*'管线假设'!E679*'管线假设'!F679*'管线假设'!G679*IF(E3132="USD",'管线假设'!I679,1)-AM3132</x:f>
        <x:v>0</x:v>
      </x:c>
      <x:c r="M3132" s="11" t="n">
        <x:f>'管线假设'!H679</x:f>
        <x:v>0.135</x:v>
      </x:c>
      <x:c r="N3132" s="11" t="n">
        <x:f>IF(G3132,L3132*AN3132/(1+M3132)^F3132,0)</x:f>
        <x:v>0</x:v>
      </x:c>
      <x:c r="AJ3132" t="n">
        <x:v>0</x:v>
      </x:c>
      <x:c r="AK3132" t="n">
        <x:v>0</x:v>
      </x:c>
      <x:c r="AL3132" t="n">
        <x:v>0</x:v>
      </x:c>
      <x:c r="AM3132" t="n">
        <x:f>CHOOSE('假设'!$B$3,AJ3132,AK3132,AL3132)</x:f>
        <x:v>0</x:v>
      </x:c>
      <x:c r="AN3132" t="n">
        <x:v>1</x:v>
      </x:c>
    </x:row>
    <x:row r="3133" ht="23" customHeight="1">
      <x:c r="A3133" s="11" t="str">
        <x:v>688382.SH</x:v>
      </x:c>
      <x:c r="B3133" s="11" t="str">
        <x:v>一年</x:v>
      </x:c>
      <x:c r="C3133" s="11" t="str">
        <x:v>urat_global</x:v>
      </x:c>
      <x:c r="D3133" s="11" t="str">
        <x:v>2027-12-31</x:v>
      </x:c>
      <x:c r="E3133" s="11" t="str">
        <x:v>USD</x:v>
      </x:c>
      <x:c r="F3133" s="11" t="n">
        <x:v>0.2272416153319644</x:v>
      </x:c>
      <x:c r="G3133" s="26" t="b">
        <x:v>1</x:v>
      </x:c>
      <x:c r="H3133" s="16" t="n">
        <x:v>0</x:v>
      </x:c>
      <x:c r="I3133" s="16" t="n">
        <x:v>0</x:v>
      </x:c>
      <x:c r="J3133" s="16" t="n">
        <x:v>0</x:v>
      </x:c>
      <x:c r="K3133" s="11" t="n">
        <x:f>CHOOSE('假设'!$B$3,H3133,I3133,J3133)</x:f>
        <x:v>0</x:v>
      </x:c>
      <x:c r="L3133" s="11" t="n">
        <x:f>K3133*'管线假设'!E683*'管线假设'!F683*'管线假设'!G683*IF(E3133="USD",'管线假设'!I683,1)-AM3133</x:f>
        <x:v>0</x:v>
      </x:c>
      <x:c r="M3133" s="11" t="n">
        <x:f>'管线假设'!H683</x:f>
        <x:v>0.135</x:v>
      </x:c>
      <x:c r="N3133" s="11" t="n">
        <x:f>IF(G3133,L3133*AN3133/(1+M3133)^F3133,0)</x:f>
        <x:v>0</x:v>
      </x:c>
      <x:c r="AJ3133" t="n">
        <x:v>0</x:v>
      </x:c>
      <x:c r="AK3133" t="n">
        <x:v>0</x:v>
      </x:c>
      <x:c r="AL3133" t="n">
        <x:v>0</x:v>
      </x:c>
      <x:c r="AM3133" t="n">
        <x:f>CHOOSE('假设'!$B$3,AJ3133,AK3133,AL3133)</x:f>
        <x:v>0</x:v>
      </x:c>
      <x:c r="AN3133" t="n">
        <x:v>1</x:v>
      </x:c>
    </x:row>
    <x:row r="3134" ht="23" customHeight="1">
      <x:c r="A3134" s="11" t="str">
        <x:v>688382.SH</x:v>
      </x:c>
      <x:c r="B3134" s="11" t="str">
        <x:v>一年</x:v>
      </x:c>
      <x:c r="C3134" s="11" t="str">
        <x:v>urat_global</x:v>
      </x:c>
      <x:c r="D3134" s="11" t="str">
        <x:v>2028-12-31</x:v>
      </x:c>
      <x:c r="E3134" s="11" t="str">
        <x:v>USD</x:v>
      </x:c>
      <x:c r="F3134" s="11" t="n">
        <x:v>1.2292950034223136</x:v>
      </x:c>
      <x:c r="G3134" s="26" t="b">
        <x:v>1</x:v>
      </x:c>
      <x:c r="H3134" s="16" t="n">
        <x:v>0</x:v>
      </x:c>
      <x:c r="I3134" s="16" t="n">
        <x:v>0</x:v>
      </x:c>
      <x:c r="J3134" s="16" t="n">
        <x:v>0</x:v>
      </x:c>
      <x:c r="K3134" s="11" t="n">
        <x:f>CHOOSE('假设'!$B$3,H3134,I3134,J3134)</x:f>
        <x:v>0</x:v>
      </x:c>
      <x:c r="L3134" s="11" t="n">
        <x:f>K3134*'管线假设'!E683*'管线假设'!F683*'管线假设'!G683*IF(E3134="USD",'管线假设'!I683,1)-AM3134</x:f>
        <x:v>0</x:v>
      </x:c>
      <x:c r="M3134" s="11" t="n">
        <x:f>'管线假设'!H683</x:f>
        <x:v>0.135</x:v>
      </x:c>
      <x:c r="N3134" s="11" t="n">
        <x:f>IF(G3134,L3134*AN3134/(1+M3134)^F3134,0)</x:f>
        <x:v>0</x:v>
      </x:c>
      <x:c r="AJ3134" t="n">
        <x:v>0</x:v>
      </x:c>
      <x:c r="AK3134" t="n">
        <x:v>0</x:v>
      </x:c>
      <x:c r="AL3134" t="n">
        <x:v>0</x:v>
      </x:c>
      <x:c r="AM3134" t="n">
        <x:f>CHOOSE('假设'!$B$3,AJ3134,AK3134,AL3134)</x:f>
        <x:v>0</x:v>
      </x:c>
      <x:c r="AN3134" t="n">
        <x:v>1</x:v>
      </x:c>
    </x:row>
    <x:row r="3135" ht="23" customHeight="1">
      <x:c r="A3135" s="11" t="str">
        <x:v>688382.SH</x:v>
      </x:c>
      <x:c r="B3135" s="11" t="str">
        <x:v>一年</x:v>
      </x:c>
      <x:c r="C3135" s="11" t="str">
        <x:v>urat_global</x:v>
      </x:c>
      <x:c r="D3135" s="11" t="str">
        <x:v>2029-12-31</x:v>
      </x:c>
      <x:c r="E3135" s="11" t="str">
        <x:v>USD</x:v>
      </x:c>
      <x:c r="F3135" s="11" t="n">
        <x:v>2.2286105407255303</x:v>
      </x:c>
      <x:c r="G3135" s="26" t="b">
        <x:v>1</x:v>
      </x:c>
      <x:c r="H3135" s="16" t="n">
        <x:v>0</x:v>
      </x:c>
      <x:c r="I3135" s="16" t="n">
        <x:v>0</x:v>
      </x:c>
      <x:c r="J3135" s="16" t="n">
        <x:v>0</x:v>
      </x:c>
      <x:c r="K3135" s="11" t="n">
        <x:f>CHOOSE('假设'!$B$3,H3135,I3135,J3135)</x:f>
        <x:v>0</x:v>
      </x:c>
      <x:c r="L3135" s="11" t="n">
        <x:f>K3135*'管线假设'!E683*'管线假设'!F683*'管线假设'!G683*IF(E3135="USD",'管线假设'!I683,1)-AM3135</x:f>
        <x:v>0</x:v>
      </x:c>
      <x:c r="M3135" s="11" t="n">
        <x:f>'管线假设'!H683</x:f>
        <x:v>0.135</x:v>
      </x:c>
      <x:c r="N3135" s="11" t="n">
        <x:f>IF(G3135,L3135*AN3135/(1+M3135)^F3135,0)</x:f>
        <x:v>0</x:v>
      </x:c>
      <x:c r="AJ3135" t="n">
        <x:v>0</x:v>
      </x:c>
      <x:c r="AK3135" t="n">
        <x:v>0</x:v>
      </x:c>
      <x:c r="AL3135" t="n">
        <x:v>0</x:v>
      </x:c>
      <x:c r="AM3135" t="n">
        <x:f>CHOOSE('假设'!$B$3,AJ3135,AK3135,AL3135)</x:f>
        <x:v>0</x:v>
      </x:c>
      <x:c r="AN3135" t="n">
        <x:v>1</x:v>
      </x:c>
    </x:row>
    <x:row r="3136" ht="23" customHeight="1">
      <x:c r="A3136" s="11" t="str">
        <x:v>688382.SH</x:v>
      </x:c>
      <x:c r="B3136" s="11" t="str">
        <x:v>一年</x:v>
      </x:c>
      <x:c r="C3136" s="11" t="str">
        <x:v>urat_global</x:v>
      </x:c>
      <x:c r="D3136" s="11" t="str">
        <x:v>2030-12-31</x:v>
      </x:c>
      <x:c r="E3136" s="11" t="str">
        <x:v>USD</x:v>
      </x:c>
      <x:c r="F3136" s="11" t="n">
        <x:v>3.2279260780287475</x:v>
      </x:c>
      <x:c r="G3136" s="26" t="b">
        <x:v>1</x:v>
      </x:c>
      <x:c r="H3136" s="16" t="n">
        <x:v>0</x:v>
      </x:c>
      <x:c r="I3136" s="16" t="n">
        <x:v>0</x:v>
      </x:c>
      <x:c r="J3136" s="16" t="n">
        <x:v>0</x:v>
      </x:c>
      <x:c r="K3136" s="11" t="n">
        <x:f>CHOOSE('假设'!$B$3,H3136,I3136,J3136)</x:f>
        <x:v>0</x:v>
      </x:c>
      <x:c r="L3136" s="11" t="n">
        <x:f>K3136*'管线假设'!E683*'管线假设'!F683*'管线假设'!G683*IF(E3136="USD",'管线假设'!I683,1)-AM3136</x:f>
        <x:v>0</x:v>
      </x:c>
      <x:c r="M3136" s="11" t="n">
        <x:f>'管线假设'!H683</x:f>
        <x:v>0.135</x:v>
      </x:c>
      <x:c r="N3136" s="11" t="n">
        <x:f>IF(G3136,L3136*AN3136/(1+M3136)^F3136,0)</x:f>
        <x:v>0</x:v>
      </x:c>
      <x:c r="AJ3136" t="n">
        <x:v>0</x:v>
      </x:c>
      <x:c r="AK3136" t="n">
        <x:v>0</x:v>
      </x:c>
      <x:c r="AL3136" t="n">
        <x:v>0</x:v>
      </x:c>
      <x:c r="AM3136" t="n">
        <x:f>CHOOSE('假设'!$B$3,AJ3136,AK3136,AL3136)</x:f>
        <x:v>0</x:v>
      </x:c>
      <x:c r="AN3136" t="n">
        <x:v>1</x:v>
      </x:c>
    </x:row>
    <x:row r="3137" ht="23" customHeight="1">
      <x:c r="A3137" s="11" t="str">
        <x:v>688382.SH</x:v>
      </x:c>
      <x:c r="B3137" s="11" t="str">
        <x:v>一年</x:v>
      </x:c>
      <x:c r="C3137" s="11" t="str">
        <x:v>urat_global</x:v>
      </x:c>
      <x:c r="D3137" s="11" t="str">
        <x:v>2031-12-31</x:v>
      </x:c>
      <x:c r="E3137" s="11" t="str">
        <x:v>USD</x:v>
      </x:c>
      <x:c r="F3137" s="11" t="n">
        <x:v>4.227241615331964</x:v>
      </x:c>
      <x:c r="G3137" s="26" t="b">
        <x:v>1</x:v>
      </x:c>
      <x:c r="H3137" s="16" t="n">
        <x:v>0</x:v>
      </x:c>
      <x:c r="I3137" s="16" t="n">
        <x:v>0</x:v>
      </x:c>
      <x:c r="J3137" s="16" t="n">
        <x:v>0.3666666666666667</x:v>
      </x:c>
      <x:c r="K3137" s="11" t="n">
        <x:f>CHOOSE('假设'!$B$3,H3137,I3137,J3137)</x:f>
        <x:v>0</x:v>
      </x:c>
      <x:c r="L3137" s="11" t="n">
        <x:f>K3137*'管线假设'!E683*'管线假设'!F683*'管线假设'!G683*IF(E3137="USD",'管线假设'!I683,1)-AM3137</x:f>
        <x:v>0</x:v>
      </x:c>
      <x:c r="M3137" s="11" t="n">
        <x:f>'管线假设'!H683</x:f>
        <x:v>0.135</x:v>
      </x:c>
      <x:c r="N3137" s="11" t="n">
        <x:f>IF(G3137,L3137*AN3137/(1+M3137)^F3137,0)</x:f>
        <x:v>0</x:v>
      </x:c>
      <x:c r="AJ3137" t="n">
        <x:v>0</x:v>
      </x:c>
      <x:c r="AK3137" t="n">
        <x:v>0</x:v>
      </x:c>
      <x:c r="AL3137" t="n">
        <x:v>0</x:v>
      </x:c>
      <x:c r="AM3137" t="n">
        <x:f>CHOOSE('假设'!$B$3,AJ3137,AK3137,AL3137)</x:f>
        <x:v>0</x:v>
      </x:c>
      <x:c r="AN3137" t="n">
        <x:v>1</x:v>
      </x:c>
    </x:row>
    <x:row r="3138" ht="23" customHeight="1">
      <x:c r="A3138" s="11" t="str">
        <x:v>688382.SH</x:v>
      </x:c>
      <x:c r="B3138" s="11" t="str">
        <x:v>一年</x:v>
      </x:c>
      <x:c r="C3138" s="11" t="str">
        <x:v>urat_global</x:v>
      </x:c>
      <x:c r="D3138" s="11" t="str">
        <x:v>2032-12-31</x:v>
      </x:c>
      <x:c r="E3138" s="11" t="str">
        <x:v>USD</x:v>
      </x:c>
      <x:c r="F3138" s="11" t="n">
        <x:v>5.229295003422314</x:v>
      </x:c>
      <x:c r="G3138" s="26" t="b">
        <x:v>1</x:v>
      </x:c>
      <x:c r="H3138" s="16" t="n">
        <x:v>0</x:v>
      </x:c>
      <x:c r="I3138" s="16" t="n">
        <x:v>0</x:v>
      </x:c>
      <x:c r="J3138" s="16" t="n">
        <x:v>0.7333333333333334</x:v>
      </x:c>
      <x:c r="K3138" s="11" t="n">
        <x:f>CHOOSE('假设'!$B$3,H3138,I3138,J3138)</x:f>
        <x:v>0</x:v>
      </x:c>
      <x:c r="L3138" s="11" t="n">
        <x:f>K3138*'管线假设'!E683*'管线假设'!F683*'管线假设'!G683*IF(E3138="USD",'管线假设'!I683,1)-AM3138</x:f>
        <x:v>0</x:v>
      </x:c>
      <x:c r="M3138" s="11" t="n">
        <x:f>'管线假设'!H683</x:f>
        <x:v>0.135</x:v>
      </x:c>
      <x:c r="N3138" s="11" t="n">
        <x:f>IF(G3138,L3138*AN3138/(1+M3138)^F3138,0)</x:f>
        <x:v>0</x:v>
      </x:c>
      <x:c r="AJ3138" t="n">
        <x:v>0</x:v>
      </x:c>
      <x:c r="AK3138" t="n">
        <x:v>0</x:v>
      </x:c>
      <x:c r="AL3138" t="n">
        <x:v>0</x:v>
      </x:c>
      <x:c r="AM3138" t="n">
        <x:f>CHOOSE('假设'!$B$3,AJ3138,AK3138,AL3138)</x:f>
        <x:v>0</x:v>
      </x:c>
      <x:c r="AN3138" t="n">
        <x:v>1</x:v>
      </x:c>
    </x:row>
    <x:row r="3139" ht="23" customHeight="1">
      <x:c r="A3139" s="11" t="str">
        <x:v>688382.SH</x:v>
      </x:c>
      <x:c r="B3139" s="11" t="str">
        <x:v>一年</x:v>
      </x:c>
      <x:c r="C3139" s="11" t="str">
        <x:v>urat_global</x:v>
      </x:c>
      <x:c r="D3139" s="11" t="str">
        <x:v>2033-12-31</x:v>
      </x:c>
      <x:c r="E3139" s="11" t="str">
        <x:v>USD</x:v>
      </x:c>
      <x:c r="F3139" s="11" t="n">
        <x:v>6.228610540725531</x:v>
      </x:c>
      <x:c r="G3139" s="26" t="b">
        <x:v>1</x:v>
      </x:c>
      <x:c r="H3139" s="16" t="n">
        <x:v>0</x:v>
      </x:c>
      <x:c r="I3139" s="16" t="n">
        <x:v>0.18333333333333335</x:v>
      </x:c>
      <x:c r="J3139" s="16" t="n">
        <x:v>1.1</x:v>
      </x:c>
      <x:c r="K3139" s="11" t="n">
        <x:f>CHOOSE('假设'!$B$3,H3139,I3139,J3139)</x:f>
        <x:v>0.18333333333333335</x:v>
      </x:c>
      <x:c r="L3139" s="11" t="n">
        <x:f>K3139*'管线假设'!E683*'管线假设'!F683*'管线假设'!G683*IF(E3139="USD",'管线假设'!I683,1)-AM3139</x:f>
        <x:v>0.03169026666666667</x:v>
      </x:c>
      <x:c r="M3139" s="11" t="n">
        <x:f>'管线假设'!H683</x:f>
        <x:v>0.135</x:v>
      </x:c>
      <x:c r="N3139" s="11" t="n">
        <x:f>IF(G3139,L3139*AN3139/(1+M3139)^F3139,0)</x:f>
        <x:v>0.014400517221779706</x:v>
      </x:c>
      <x:c r="AJ3139" t="n">
        <x:v>0</x:v>
      </x:c>
      <x:c r="AK3139" t="n">
        <x:v>0</x:v>
      </x:c>
      <x:c r="AL3139" t="n">
        <x:v>0</x:v>
      </x:c>
      <x:c r="AM3139" t="n">
        <x:f>CHOOSE('假设'!$B$3,AJ3139,AK3139,AL3139)</x:f>
        <x:v>0</x:v>
      </x:c>
      <x:c r="AN3139" t="n">
        <x:v>1</x:v>
      </x:c>
    </x:row>
    <x:row r="3140" ht="23" customHeight="1">
      <x:c r="A3140" s="11" t="str">
        <x:v>688382.SH</x:v>
      </x:c>
      <x:c r="B3140" s="11" t="str">
        <x:v>一年</x:v>
      </x:c>
      <x:c r="C3140" s="11" t="str">
        <x:v>urat_global</x:v>
      </x:c>
      <x:c r="D3140" s="11" t="str">
        <x:v>2034-12-31</x:v>
      </x:c>
      <x:c r="E3140" s="11" t="str">
        <x:v>USD</x:v>
      </x:c>
      <x:c r="F3140" s="11" t="n">
        <x:v>7.227926078028747</x:v>
      </x:c>
      <x:c r="G3140" s="26" t="b">
        <x:v>1</x:v>
      </x:c>
      <x:c r="H3140" s="16" t="n">
        <x:v>0</x:v>
      </x:c>
      <x:c r="I3140" s="16" t="n">
        <x:v>0.3666666666666667</x:v>
      </x:c>
      <x:c r="J3140" s="16" t="n">
        <x:v>1.4666666666666668</x:v>
      </x:c>
      <x:c r="K3140" s="11" t="n">
        <x:f>CHOOSE('假设'!$B$3,H3140,I3140,J3140)</x:f>
        <x:v>0.3666666666666667</x:v>
      </x:c>
      <x:c r="L3140" s="11" t="n">
        <x:f>K3140*'管线假设'!E683*'管线假设'!F683*'管线假设'!G683*IF(E3140="USD",'管线假设'!I683,1)-AM3140</x:f>
        <x:v>0.06338053333333334</x:v>
      </x:c>
      <x:c r="M3140" s="11" t="n">
        <x:f>'管线假设'!H683</x:f>
        <x:v>0.135</x:v>
      </x:c>
      <x:c r="N3140" s="11" t="n">
        <x:f>IF(G3140,L3140*AN3140/(1+M3140)^F3140,0)</x:f>
        <x:v>0.025377560256203188</x:v>
      </x:c>
      <x:c r="AJ3140" t="n">
        <x:v>0</x:v>
      </x:c>
      <x:c r="AK3140" t="n">
        <x:v>0</x:v>
      </x:c>
      <x:c r="AL3140" t="n">
        <x:v>0</x:v>
      </x:c>
      <x:c r="AM3140" t="n">
        <x:f>CHOOSE('假设'!$B$3,AJ3140,AK3140,AL3140)</x:f>
        <x:v>0</x:v>
      </x:c>
      <x:c r="AN3140" t="n">
        <x:v>1</x:v>
      </x:c>
    </x:row>
    <x:row r="3141" ht="23" customHeight="1">
      <x:c r="A3141" s="11" t="str">
        <x:v>688382.SH</x:v>
      </x:c>
      <x:c r="B3141" s="11" t="str">
        <x:v>一年</x:v>
      </x:c>
      <x:c r="C3141" s="11" t="str">
        <x:v>urat_global</x:v>
      </x:c>
      <x:c r="D3141" s="11" t="str">
        <x:v>2035-12-31</x:v>
      </x:c>
      <x:c r="E3141" s="11" t="str">
        <x:v>USD</x:v>
      </x:c>
      <x:c r="F3141" s="11" t="n">
        <x:v>8.227241615331964</x:v>
      </x:c>
      <x:c r="G3141" s="26" t="b">
        <x:v>1</x:v>
      </x:c>
      <x:c r="H3141" s="16" t="n">
        <x:v>0</x:v>
      </x:c>
      <x:c r="I3141" s="16" t="n">
        <x:v>0.55</x:v>
      </x:c>
      <x:c r="J3141" s="16" t="n">
        <x:v>1.8333333333333335</x:v>
      </x:c>
      <x:c r="K3141" s="11" t="n">
        <x:f>CHOOSE('假设'!$B$3,H3141,I3141,J3141)</x:f>
        <x:v>0.55</x:v>
      </x:c>
      <x:c r="L3141" s="11" t="n">
        <x:f>K3141*'管线假设'!E683*'管线假设'!F683*'管线假设'!G683*IF(E3141="USD",'管线假设'!I683,1)-AM3141</x:f>
        <x:v>0.09507080000000001</x:v>
      </x:c>
      <x:c r="M3141" s="11" t="n">
        <x:f>'管线假设'!H683</x:f>
        <x:v>0.135</x:v>
      </x:c>
      <x:c r="N3141" s="11" t="n">
        <x:f>IF(G3141,L3141*AN3141/(1+M3141)^F3141,0)</x:f>
        <x:v>0.033541532986564745</x:v>
      </x:c>
      <x:c r="AJ3141" t="n">
        <x:v>0</x:v>
      </x:c>
      <x:c r="AK3141" t="n">
        <x:v>0</x:v>
      </x:c>
      <x:c r="AL3141" t="n">
        <x:v>0</x:v>
      </x:c>
      <x:c r="AM3141" t="n">
        <x:f>CHOOSE('假设'!$B$3,AJ3141,AK3141,AL3141)</x:f>
        <x:v>0</x:v>
      </x:c>
      <x:c r="AN3141" t="n">
        <x:v>1</x:v>
      </x:c>
    </x:row>
    <x:row r="3142" ht="23" customHeight="1">
      <x:c r="A3142" s="11" t="str">
        <x:v>688382.SH</x:v>
      </x:c>
      <x:c r="B3142" s="11" t="str">
        <x:v>一年</x:v>
      </x:c>
      <x:c r="C3142" s="11" t="str">
        <x:v>urat_global</x:v>
      </x:c>
      <x:c r="D3142" s="11" t="str">
        <x:v>2036-12-31</x:v>
      </x:c>
      <x:c r="E3142" s="11" t="str">
        <x:v>USD</x:v>
      </x:c>
      <x:c r="F3142" s="11" t="n">
        <x:v>9.229295003422314</x:v>
      </x:c>
      <x:c r="G3142" s="26" t="b">
        <x:v>1</x:v>
      </x:c>
      <x:c r="H3142" s="16" t="n">
        <x:v>0.08000000000000002</x:v>
      </x:c>
      <x:c r="I3142" s="16" t="n">
        <x:v>0.7333333333333334</x:v>
      </x:c>
      <x:c r="J3142" s="16" t="n">
        <x:v>2.2</x:v>
      </x:c>
      <x:c r="K3142" s="11" t="n">
        <x:f>CHOOSE('假设'!$B$3,H3142,I3142,J3142)</x:f>
        <x:v>0.7333333333333334</x:v>
      </x:c>
      <x:c r="L3142" s="11" t="n">
        <x:f>K3142*'管线假设'!E683*'管线假设'!F683*'管线假设'!G683*IF(E3142="USD",'管线假设'!I683,1)-AM3142</x:f>
        <x:v>0.12676106666666667</x:v>
      </x:c>
      <x:c r="M3142" s="11" t="n">
        <x:f>'管线假设'!H683</x:f>
        <x:v>0.135</x:v>
      </x:c>
      <x:c r="N3142" s="11" t="n">
        <x:f>IF(G3142,L3142*AN3142/(1+M3142)^F3142,0)</x:f>
        <x:v>0.039392437533630156</x:v>
      </x:c>
      <x:c r="AJ3142" t="n">
        <x:v>0</x:v>
      </x:c>
      <x:c r="AK3142" t="n">
        <x:v>0</x:v>
      </x:c>
      <x:c r="AL3142" t="n">
        <x:v>0</x:v>
      </x:c>
      <x:c r="AM3142" t="n">
        <x:f>CHOOSE('假设'!$B$3,AJ3142,AK3142,AL3142)</x:f>
        <x:v>0</x:v>
      </x:c>
      <x:c r="AN3142" t="n">
        <x:v>1</x:v>
      </x:c>
    </x:row>
    <x:row r="3143" ht="23" customHeight="1">
      <x:c r="A3143" s="11" t="str">
        <x:v>688382.SH</x:v>
      </x:c>
      <x:c r="B3143" s="11" t="str">
        <x:v>一年</x:v>
      </x:c>
      <x:c r="C3143" s="11" t="str">
        <x:v>urat_global</x:v>
      </x:c>
      <x:c r="D3143" s="11" t="str">
        <x:v>2037-12-31</x:v>
      </x:c>
      <x:c r="E3143" s="11" t="str">
        <x:v>USD</x:v>
      </x:c>
      <x:c r="F3143" s="11" t="n">
        <x:v>10.22861054072553</x:v>
      </x:c>
      <x:c r="G3143" s="26" t="b">
        <x:v>1</x:v>
      </x:c>
      <x:c r="H3143" s="16" t="n">
        <x:v>0.16000000000000003</x:v>
      </x:c>
      <x:c r="I3143" s="16" t="n">
        <x:v>0.9166666666666667</x:v>
      </x:c>
      <x:c r="J3143" s="16" t="n">
        <x:v>1.9140000000000001</x:v>
      </x:c>
      <x:c r="K3143" s="11" t="n">
        <x:f>CHOOSE('假设'!$B$3,H3143,I3143,J3143)</x:f>
        <x:v>0.9166666666666667</x:v>
      </x:c>
      <x:c r="L3143" s="11" t="n">
        <x:f>K3143*'管线假设'!E683*'管线假设'!F683*'管线假设'!G683*IF(E3143="USD",'管线假设'!I683,1)-AM3143</x:f>
        <x:v>0.15845133333333333</x:v>
      </x:c>
      <x:c r="M3143" s="11" t="n">
        <x:f>'管线假设'!H683</x:f>
        <x:v>0.135</x:v>
      </x:c>
      <x:c r="N3143" s="11" t="n">
        <x:f>IF(G3143,L3143*AN3143/(1+M3143)^F3143,0)</x:f>
        <x:v>0.04338750224004421</x:v>
      </x:c>
      <x:c r="AJ3143" t="n">
        <x:v>0</x:v>
      </x:c>
      <x:c r="AK3143" t="n">
        <x:v>0</x:v>
      </x:c>
      <x:c r="AL3143" t="n">
        <x:v>0</x:v>
      </x:c>
      <x:c r="AM3143" t="n">
        <x:f>CHOOSE('假设'!$B$3,AJ3143,AK3143,AL3143)</x:f>
        <x:v>0</x:v>
      </x:c>
      <x:c r="AN3143" t="n">
        <x:v>1</x:v>
      </x:c>
    </x:row>
    <x:row r="3144" ht="23" customHeight="1">
      <x:c r="A3144" s="11" t="str">
        <x:v>688382.SH</x:v>
      </x:c>
      <x:c r="B3144" s="11" t="str">
        <x:v>一年</x:v>
      </x:c>
      <x:c r="C3144" s="11" t="str">
        <x:v>urat_global</x:v>
      </x:c>
      <x:c r="D3144" s="11" t="str">
        <x:v>2038-12-31</x:v>
      </x:c>
      <x:c r="E3144" s="11" t="str">
        <x:v>USD</x:v>
      </x:c>
      <x:c r="F3144" s="11" t="n">
        <x:v>11.227926078028748</x:v>
      </x:c>
      <x:c r="G3144" s="26" t="b">
        <x:v>1</x:v>
      </x:c>
      <x:c r="H3144" s="16" t="n">
        <x:v>0.24</x:v>
      </x:c>
      <x:c r="I3144" s="16" t="n">
        <x:v>1.1</x:v>
      </x:c>
      <x:c r="J3144" s="16" t="n">
        <x:v>1.6280000000000001</x:v>
      </x:c>
      <x:c r="K3144" s="11" t="n">
        <x:f>CHOOSE('假设'!$B$3,H3144,I3144,J3144)</x:f>
        <x:v>1.1</x:v>
      </x:c>
      <x:c r="L3144" s="11" t="n">
        <x:f>K3144*'管线假设'!E683*'管线假设'!F683*'管线假设'!G683*IF(E3144="USD",'管线假设'!I683,1)-AM3144</x:f>
        <x:v>0.19014160000000002</x:v>
      </x:c>
      <x:c r="M3144" s="11" t="n">
        <x:f>'管线假设'!H683</x:f>
        <x:v>0.135</x:v>
      </x:c>
      <x:c r="N3144" s="11" t="n">
        <x:f>IF(G3144,L3144*AN3144/(1+M3144)^F3144,0)</x:f>
        <x:v>0.04587622522881003</x:v>
      </x:c>
      <x:c r="AJ3144" t="n">
        <x:v>0</x:v>
      </x:c>
      <x:c r="AK3144" t="n">
        <x:v>0</x:v>
      </x:c>
      <x:c r="AL3144" t="n">
        <x:v>0</x:v>
      </x:c>
      <x:c r="AM3144" t="n">
        <x:f>CHOOSE('假设'!$B$3,AJ3144,AK3144,AL3144)</x:f>
        <x:v>0</x:v>
      </x:c>
      <x:c r="AN3144" t="n">
        <x:v>1</x:v>
      </x:c>
    </x:row>
    <x:row r="3145" ht="23" customHeight="1">
      <x:c r="A3145" s="11" t="str">
        <x:v>688382.SH</x:v>
      </x:c>
      <x:c r="B3145" s="11" t="str">
        <x:v>一年</x:v>
      </x:c>
      <x:c r="C3145" s="11" t="str">
        <x:v>urat_global</x:v>
      </x:c>
      <x:c r="D3145" s="11" t="str">
        <x:v>2039-12-31</x:v>
      </x:c>
      <x:c r="E3145" s="11" t="str">
        <x:v>USD</x:v>
      </x:c>
      <x:c r="F3145" s="11" t="n">
        <x:v>12.227241615331964</x:v>
      </x:c>
      <x:c r="G3145" s="26" t="b">
        <x:v>1</x:v>
      </x:c>
      <x:c r="H3145" s="16" t="n">
        <x:v>0.32000000000000006</x:v>
      </x:c>
      <x:c r="I3145" s="16" t="n">
        <x:v>0.9570000000000001</x:v>
      </x:c>
      <x:c r="J3145" s="16" t="n">
        <x:v>1.342</x:v>
      </x:c>
      <x:c r="K3145" s="11" t="n">
        <x:f>CHOOSE('假设'!$B$3,H3145,I3145,J3145)</x:f>
        <x:v>0.9570000000000001</x:v>
      </x:c>
      <x:c r="L3145" s="11" t="n">
        <x:f>K3145*'管线假设'!E683*'管线假设'!F683*'管线假设'!G683*IF(E3145="USD",'管线假设'!I683,1)-AM3145</x:f>
        <x:v>0.16542319200000002</x:v>
      </x:c>
      <x:c r="M3145" s="11" t="n">
        <x:f>'管线假设'!H683</x:f>
        <x:v>0.135</x:v>
      </x:c>
      <x:c r="N3145" s="11" t="n">
        <x:f>IF(G3145,L3145*AN3145/(1+M3145)^F3145,0)</x:f>
        <x:v>0.035168084151523</x:v>
      </x:c>
      <x:c r="AJ3145" t="n">
        <x:v>0</x:v>
      </x:c>
      <x:c r="AK3145" t="n">
        <x:v>0</x:v>
      </x:c>
      <x:c r="AL3145" t="n">
        <x:v>0</x:v>
      </x:c>
      <x:c r="AM3145" t="n">
        <x:f>CHOOSE('假设'!$B$3,AJ3145,AK3145,AL3145)</x:f>
        <x:v>0</x:v>
      </x:c>
      <x:c r="AN3145" t="n">
        <x:v>1</x:v>
      </x:c>
    </x:row>
    <x:row r="3146" ht="23" customHeight="1">
      <x:c r="A3146" s="11" t="str">
        <x:v>688382.SH</x:v>
      </x:c>
      <x:c r="B3146" s="11" t="str">
        <x:v>一年</x:v>
      </x:c>
      <x:c r="C3146" s="11" t="str">
        <x:v>urat_global</x:v>
      </x:c>
      <x:c r="D3146" s="11" t="str">
        <x:v>2040-12-31</x:v>
      </x:c>
      <x:c r="E3146" s="11" t="str">
        <x:v>USD</x:v>
      </x:c>
      <x:c r="F3146" s="11" t="n">
        <x:v>13.229295003422314</x:v>
      </x:c>
      <x:c r="G3146" s="26" t="b">
        <x:v>1</x:v>
      </x:c>
      <x:c r="H3146" s="16" t="n">
        <x:v>0.4</x:v>
      </x:c>
      <x:c r="I3146" s="16" t="n">
        <x:v>0.8140000000000001</x:v>
      </x:c>
      <x:c r="J3146" s="16" t="n">
        <x:v>1.056</x:v>
      </x:c>
      <x:c r="K3146" s="11" t="n">
        <x:f>CHOOSE('假设'!$B$3,H3146,I3146,J3146)</x:f>
        <x:v>0.8140000000000001</x:v>
      </x:c>
      <x:c r="L3146" s="11" t="n">
        <x:f>K3146*'管线假设'!E683*'管线假设'!F683*'管线假设'!G683*IF(E3146="USD",'管线假设'!I683,1)-AM3146</x:f>
        <x:v>0.140704784</x:v>
      </x:c>
      <x:c r="M3146" s="11" t="n">
        <x:f>'管线假设'!H683</x:f>
        <x:v>0.135</x:v>
      </x:c>
      <x:c r="N3146" s="11" t="n">
        <x:f>IF(G3146,L3146*AN3146/(1+M3146)^F3146,0)</x:f>
        <x:v>0.026348287140024663</x:v>
      </x:c>
      <x:c r="AJ3146" t="n">
        <x:v>0</x:v>
      </x:c>
      <x:c r="AK3146" t="n">
        <x:v>0</x:v>
      </x:c>
      <x:c r="AL3146" t="n">
        <x:v>0</x:v>
      </x:c>
      <x:c r="AM3146" t="n">
        <x:f>CHOOSE('假设'!$B$3,AJ3146,AK3146,AL3146)</x:f>
        <x:v>0</x:v>
      </x:c>
      <x:c r="AN3146" t="n">
        <x:v>1</x:v>
      </x:c>
    </x:row>
    <x:row r="3147" ht="23" customHeight="1">
      <x:c r="A3147" s="11" t="str">
        <x:v>688382.SH</x:v>
      </x:c>
      <x:c r="B3147" s="11" t="str">
        <x:v>一年</x:v>
      </x:c>
      <x:c r="C3147" s="11" t="str">
        <x:v>urat_global</x:v>
      </x:c>
      <x:c r="D3147" s="11" t="str">
        <x:v>2041-12-31</x:v>
      </x:c>
      <x:c r="E3147" s="11" t="str">
        <x:v>USD</x:v>
      </x:c>
      <x:c r="F3147" s="11" t="n">
        <x:v>14.22861054072553</x:v>
      </x:c>
      <x:c r="G3147" s="26" t="b">
        <x:v>1</x:v>
      </x:c>
      <x:c r="H3147" s="16" t="n">
        <x:v>0.34800000000000003</x:v>
      </x:c>
      <x:c r="I3147" s="16" t="n">
        <x:v>0.671</x:v>
      </x:c>
      <x:c r="J3147" s="16" t="n">
        <x:v>0.77</x:v>
      </x:c>
      <x:c r="K3147" s="11" t="n">
        <x:f>CHOOSE('假设'!$B$3,H3147,I3147,J3147)</x:f>
        <x:v>0.671</x:v>
      </x:c>
      <x:c r="L3147" s="11" t="n">
        <x:f>K3147*'管线假设'!E683*'管线假设'!F683*'管线假设'!G683*IF(E3147="USD",'管线假设'!I683,1)-AM3147</x:f>
        <x:v>0.115986376</x:v>
      </x:c>
      <x:c r="M3147" s="11" t="n">
        <x:f>'管线假设'!H683</x:f>
        <x:v>0.135</x:v>
      </x:c>
      <x:c r="N3147" s="11" t="n">
        <x:f>IF(G3147,L3147*AN3147/(1+M3147)^F3147,0)</x:f>
        <x:v>0.01913781200271007</x:v>
      </x:c>
      <x:c r="AJ3147" t="n">
        <x:v>0</x:v>
      </x:c>
      <x:c r="AK3147" t="n">
        <x:v>0</x:v>
      </x:c>
      <x:c r="AL3147" t="n">
        <x:v>0</x:v>
      </x:c>
      <x:c r="AM3147" t="n">
        <x:f>CHOOSE('假设'!$B$3,AJ3147,AK3147,AL3147)</x:f>
        <x:v>0</x:v>
      </x:c>
      <x:c r="AN3147" t="n">
        <x:v>1</x:v>
      </x:c>
    </x:row>
    <x:row r="3148" ht="23" customHeight="1">
      <x:c r="A3148" s="11" t="str">
        <x:v>688382.SH</x:v>
      </x:c>
      <x:c r="B3148" s="11" t="str">
        <x:v>一年</x:v>
      </x:c>
      <x:c r="C3148" s="11" t="str">
        <x:v>urat_global</x:v>
      </x:c>
      <x:c r="D3148" s="11" t="str">
        <x:v>2042-12-31</x:v>
      </x:c>
      <x:c r="E3148" s="11" t="str">
        <x:v>USD</x:v>
      </x:c>
      <x:c r="F3148" s="11" t="n">
        <x:v>15.227926078028748</x:v>
      </x:c>
      <x:c r="G3148" s="26" t="b">
        <x:v>1</x:v>
      </x:c>
      <x:c r="H3148" s="16" t="n">
        <x:v>0.296</x:v>
      </x:c>
      <x:c r="I3148" s="16" t="n">
        <x:v>0.528</x:v>
      </x:c>
      <x:c r="J3148" s="16" t="n">
        <x:v>0.484</x:v>
      </x:c>
      <x:c r="K3148" s="11" t="n">
        <x:f>CHOOSE('假设'!$B$3,H3148,I3148,J3148)</x:f>
        <x:v>0.528</x:v>
      </x:c>
      <x:c r="L3148" s="11" t="n">
        <x:f>K3148*'管线假设'!E683*'管线假设'!F683*'管线假设'!G683*IF(E3148="USD",'管线假设'!I683,1)-AM3148</x:f>
        <x:v>0.09126796799999999</x:v>
      </x:c>
      <x:c r="M3148" s="11" t="n">
        <x:f>'管线假设'!H683</x:f>
        <x:v>0.135</x:v>
      </x:c>
      <x:c r="N3148" s="11" t="n">
        <x:f>IF(G3148,L3148*AN3148/(1+M3148)^F3148,0)</x:f>
        <x:v>0.01326922222623073</x:v>
      </x:c>
      <x:c r="AJ3148" t="n">
        <x:v>0</x:v>
      </x:c>
      <x:c r="AK3148" t="n">
        <x:v>0</x:v>
      </x:c>
      <x:c r="AL3148" t="n">
        <x:v>0</x:v>
      </x:c>
      <x:c r="AM3148" t="n">
        <x:f>CHOOSE('假设'!$B$3,AJ3148,AK3148,AL3148)</x:f>
        <x:v>0</x:v>
      </x:c>
      <x:c r="AN3148" t="n">
        <x:v>1</x:v>
      </x:c>
    </x:row>
    <x:row r="3149" ht="23" customHeight="1">
      <x:c r="A3149" s="11" t="str">
        <x:v>688382.SH</x:v>
      </x:c>
      <x:c r="B3149" s="11" t="str">
        <x:v>一年</x:v>
      </x:c>
      <x:c r="C3149" s="11" t="str">
        <x:v>urat_global</x:v>
      </x:c>
      <x:c r="D3149" s="11" t="str">
        <x:v>2043-12-31</x:v>
      </x:c>
      <x:c r="E3149" s="11" t="str">
        <x:v>USD</x:v>
      </x:c>
      <x:c r="F3149" s="11" t="n">
        <x:v>16.227241615331966</x:v>
      </x:c>
      <x:c r="G3149" s="26" t="b">
        <x:v>1</x:v>
      </x:c>
      <x:c r="H3149" s="16" t="n">
        <x:v>0.244</x:v>
      </x:c>
      <x:c r="I3149" s="16" t="n">
        <x:v>0.385</x:v>
      </x:c>
      <x:c r="J3149" s="16" t="n">
        <x:v>0.19799999999999995</x:v>
      </x:c>
      <x:c r="K3149" s="11" t="n">
        <x:f>CHOOSE('假设'!$B$3,H3149,I3149,J3149)</x:f>
        <x:v>0.385</x:v>
      </x:c>
      <x:c r="L3149" s="11" t="n">
        <x:f>K3149*'管线假设'!E683*'管线假设'!F683*'管线假设'!G683*IF(E3149="USD",'管线假设'!I683,1)-AM3149</x:f>
        <x:v>0.06654956000000001</x:v>
      </x:c>
      <x:c r="M3149" s="11" t="n">
        <x:f>'管线假设'!H683</x:f>
        <x:v>0.135</x:v>
      </x:c>
      <x:c r="N3149" s="11" t="n">
        <x:f>IF(G3149,L3149*AN3149/(1+M3149)^F3149,0)</x:f>
        <x:v>0.008525386080363543</x:v>
      </x:c>
      <x:c r="AJ3149" t="n">
        <x:v>0</x:v>
      </x:c>
      <x:c r="AK3149" t="n">
        <x:v>0</x:v>
      </x:c>
      <x:c r="AL3149" t="n">
        <x:v>0</x:v>
      </x:c>
      <x:c r="AM3149" t="n">
        <x:f>CHOOSE('假设'!$B$3,AJ3149,AK3149,AL3149)</x:f>
        <x:v>0</x:v>
      </x:c>
      <x:c r="AN3149" t="n">
        <x:v>1</x:v>
      </x:c>
    </x:row>
    <x:row r="3150" ht="23" customHeight="1">
      <x:c r="A3150" s="11" t="str">
        <x:v>688382.SH</x:v>
      </x:c>
      <x:c r="B3150" s="11" t="str">
        <x:v>一年</x:v>
      </x:c>
      <x:c r="C3150" s="11" t="str">
        <x:v>urat_global</x:v>
      </x:c>
      <x:c r="D3150" s="11" t="str">
        <x:v>2044-12-31</x:v>
      </x:c>
      <x:c r="E3150" s="11" t="str">
        <x:v>USD</x:v>
      </x:c>
      <x:c r="F3150" s="11" t="n">
        <x:v>17.229295003422312</x:v>
      </x:c>
      <x:c r="G3150" s="26" t="b">
        <x:v>1</x:v>
      </x:c>
      <x:c r="H3150" s="16" t="n">
        <x:v>0.192</x:v>
      </x:c>
      <x:c r="I3150" s="16" t="n">
        <x:v>0.242</x:v>
      </x:c>
      <x:c r="J3150" s="16" t="n">
        <x:v>0</x:v>
      </x:c>
      <x:c r="K3150" s="11" t="n">
        <x:f>CHOOSE('假设'!$B$3,H3150,I3150,J3150)</x:f>
        <x:v>0.242</x:v>
      </x:c>
      <x:c r="L3150" s="11" t="n">
        <x:f>K3150*'管线假设'!E683*'管线假设'!F683*'管线假设'!G683*IF(E3150="USD",'管线假设'!I683,1)-AM3150</x:f>
        <x:v>0.041831152</x:v>
      </x:c>
      <x:c r="M3150" s="11" t="n">
        <x:f>'管线假设'!H683</x:f>
        <x:v>0.135</x:v>
      </x:c>
      <x:c r="N3150" s="11" t="n">
        <x:f>IF(G3150,L3150*AN3150/(1+M3150)^F3150,0)</x:f>
        <x:v>0.004720194588484682</x:v>
      </x:c>
      <x:c r="AJ3150" t="n">
        <x:v>0</x:v>
      </x:c>
      <x:c r="AK3150" t="n">
        <x:v>0</x:v>
      </x:c>
      <x:c r="AL3150" t="n">
        <x:v>0</x:v>
      </x:c>
      <x:c r="AM3150" t="n">
        <x:f>CHOOSE('假设'!$B$3,AJ3150,AK3150,AL3150)</x:f>
        <x:v>0</x:v>
      </x:c>
      <x:c r="AN3150" t="n">
        <x:v>1</x:v>
      </x:c>
    </x:row>
    <x:row r="3151" ht="23" customHeight="1">
      <x:c r="A3151" s="11" t="str">
        <x:v>688382.SH</x:v>
      </x:c>
      <x:c r="B3151" s="11" t="str">
        <x:v>一年</x:v>
      </x:c>
      <x:c r="C3151" s="11" t="str">
        <x:v>urat_global</x:v>
      </x:c>
      <x:c r="D3151" s="11" t="str">
        <x:v>2045-12-31</x:v>
      </x:c>
      <x:c r="E3151" s="11" t="str">
        <x:v>USD</x:v>
      </x:c>
      <x:c r="F3151" s="11" t="n">
        <x:v>18.22861054072553</x:v>
      </x:c>
      <x:c r="G3151" s="26" t="b">
        <x:v>1</x:v>
      </x:c>
      <x:c r="H3151" s="16" t="n">
        <x:v>0.13999999999999999</x:v>
      </x:c>
      <x:c r="I3151" s="16" t="n">
        <x:v>0.09899999999999998</x:v>
      </x:c>
      <x:c r="J3151" s="16" t="n">
        <x:v>0</x:v>
      </x:c>
      <x:c r="K3151" s="11" t="n">
        <x:f>CHOOSE('假设'!$B$3,H3151,I3151,J3151)</x:f>
        <x:v>0.09899999999999998</x:v>
      </x:c>
      <x:c r="L3151" s="11" t="n">
        <x:f>K3151*'管线假设'!E683*'管线假设'!F683*'管线假设'!G683*IF(E3151="USD",'管线假设'!I683,1)-AM3151</x:f>
        <x:v>0.017112743999999996</x:v>
      </x:c>
      <x:c r="M3151" s="11" t="n">
        <x:f>'管线假设'!H683</x:f>
        <x:v>0.135</x:v>
      </x:c>
      <x:c r="N3151" s="11" t="n">
        <x:f>IF(G3151,L3151*AN3151/(1+M3151)^F3151,0)</x:f>
        <x:v>0.0017014590939356668</x:v>
      </x:c>
      <x:c r="AJ3151" t="n">
        <x:v>0</x:v>
      </x:c>
      <x:c r="AK3151" t="n">
        <x:v>0</x:v>
      </x:c>
      <x:c r="AL3151" t="n">
        <x:v>0</x:v>
      </x:c>
      <x:c r="AM3151" t="n">
        <x:f>CHOOSE('假设'!$B$3,AJ3151,AK3151,AL3151)</x:f>
        <x:v>0</x:v>
      </x:c>
      <x:c r="AN3151" t="n">
        <x:v>1</x:v>
      </x:c>
    </x:row>
    <x:row r="3152" ht="23" customHeight="1">
      <x:c r="A3152" s="11" t="str">
        <x:v>688382.SH</x:v>
      </x:c>
      <x:c r="B3152" s="11" t="str">
        <x:v>三年</x:v>
      </x:c>
      <x:c r="C3152" s="11" t="str">
        <x:v>befu</x:v>
      </x:c>
      <x:c r="D3152" s="11" t="str">
        <x:v>2027-12-31</x:v>
      </x:c>
      <x:c r="E3152" s="11" t="str">
        <x:v>CNY</x:v>
      </x:c>
      <x:c r="F3152" s="11" t="n">
        <x:v>-1.7741273100616017</x:v>
      </x:c>
      <x:c r="G3152" s="26" t="b">
        <x:v>0</x:v>
      </x:c>
      <x:c r="H3152" s="16" t="n">
        <x:v>0.21666666666666667</x:v>
      </x:c>
      <x:c r="I3152" s="16" t="n">
        <x:v>0.3</x:v>
      </x:c>
      <x:c r="J3152" s="16" t="n">
        <x:v>0.45</x:v>
      </x:c>
      <x:c r="K3152" s="11" t="n">
        <x:f>CHOOSE('假设'!$B$3,H3152,I3152,J3152)</x:f>
        <x:v>0.3</x:v>
      </x:c>
      <x:c r="L3152" s="11" t="n">
        <x:f>K3152*'管线假设'!E687*'管线假设'!F687*'管线假设'!G687*IF(E3152="USD",'管线假设'!I687,1)-AM3152</x:f>
        <x:v>0.01968</x:v>
      </x:c>
      <x:c r="M3152" s="11" t="n">
        <x:f>'管线假设'!H687</x:f>
        <x:v>0.135</x:v>
      </x:c>
      <x:c r="N3152" s="11" t="n">
        <x:f>IF(G3152,L3152*AN3152/(1+M3152)^F3152,0)</x:f>
        <x:v>0</x:v>
      </x:c>
      <x:c r="AJ3152" t="n">
        <x:v>0</x:v>
      </x:c>
      <x:c r="AK3152" t="n">
        <x:v>0</x:v>
      </x:c>
      <x:c r="AL3152" t="n">
        <x:v>0</x:v>
      </x:c>
      <x:c r="AM3152" t="n">
        <x:f>CHOOSE('假设'!$B$3,AJ3152,AK3152,AL3152)</x:f>
        <x:v>0</x:v>
      </x:c>
      <x:c r="AN3152" t="n">
        <x:v>1</x:v>
      </x:c>
    </x:row>
    <x:row r="3153" ht="23" customHeight="1">
      <x:c r="A3153" s="11" t="str">
        <x:v>688382.SH</x:v>
      </x:c>
      <x:c r="B3153" s="11" t="str">
        <x:v>三年</x:v>
      </x:c>
      <x:c r="C3153" s="11" t="str">
        <x:v>befu</x:v>
      </x:c>
      <x:c r="D3153" s="11" t="str">
        <x:v>2028-12-31</x:v>
      </x:c>
      <x:c r="E3153" s="11" t="str">
        <x:v>CNY</x:v>
      </x:c>
      <x:c r="F3153" s="11" t="n">
        <x:v>-0.7720739219712526</x:v>
      </x:c>
      <x:c r="G3153" s="26" t="b">
        <x:v>0</x:v>
      </x:c>
      <x:c r="H3153" s="16" t="n">
        <x:v>0.43333333333333335</x:v>
      </x:c>
      <x:c r="I3153" s="16" t="n">
        <x:v>0.6</x:v>
      </x:c>
      <x:c r="J3153" s="16" t="n">
        <x:v>0.9</x:v>
      </x:c>
      <x:c r="K3153" s="11" t="n">
        <x:f>CHOOSE('假设'!$B$3,H3153,I3153,J3153)</x:f>
        <x:v>0.6</x:v>
      </x:c>
      <x:c r="L3153" s="11" t="n">
        <x:f>K3153*'管线假设'!E687*'管线假设'!F687*'管线假设'!G687*IF(E3153="USD",'管线假设'!I687,1)-AM3153</x:f>
        <x:v>0.03936</x:v>
      </x:c>
      <x:c r="M3153" s="11" t="n">
        <x:f>'管线假设'!H687</x:f>
        <x:v>0.135</x:v>
      </x:c>
      <x:c r="N3153" s="11" t="n">
        <x:f>IF(G3153,L3153*AN3153/(1+M3153)^F3153,0)</x:f>
        <x:v>0</x:v>
      </x:c>
      <x:c r="AJ3153" t="n">
        <x:v>0</x:v>
      </x:c>
      <x:c r="AK3153" t="n">
        <x:v>0</x:v>
      </x:c>
      <x:c r="AL3153" t="n">
        <x:v>0</x:v>
      </x:c>
      <x:c r="AM3153" t="n">
        <x:f>CHOOSE('假设'!$B$3,AJ3153,AK3153,AL3153)</x:f>
        <x:v>0</x:v>
      </x:c>
      <x:c r="AN3153" t="n">
        <x:v>1</x:v>
      </x:c>
    </x:row>
    <x:row r="3154" ht="23" customHeight="1">
      <x:c r="A3154" s="11" t="str">
        <x:v>688382.SH</x:v>
      </x:c>
      <x:c r="B3154" s="11" t="str">
        <x:v>三年</x:v>
      </x:c>
      <x:c r="C3154" s="11" t="str">
        <x:v>befu</x:v>
      </x:c>
      <x:c r="D3154" s="11" t="str">
        <x:v>2029-12-31</x:v>
      </x:c>
      <x:c r="E3154" s="11" t="str">
        <x:v>CNY</x:v>
      </x:c>
      <x:c r="F3154" s="11" t="n">
        <x:v>0.2272416153319644</x:v>
      </x:c>
      <x:c r="G3154" s="26" t="b">
        <x:v>1</x:v>
      </x:c>
      <x:c r="H3154" s="16" t="n">
        <x:v>0.65</x:v>
      </x:c>
      <x:c r="I3154" s="16" t="n">
        <x:v>0.8999999999999999</x:v>
      </x:c>
      <x:c r="J3154" s="16" t="n">
        <x:v>1.35</x:v>
      </x:c>
      <x:c r="K3154" s="11" t="n">
        <x:f>CHOOSE('假设'!$B$3,H3154,I3154,J3154)</x:f>
        <x:v>0.8999999999999999</x:v>
      </x:c>
      <x:c r="L3154" s="11" t="n">
        <x:f>K3154*'管线假设'!E687*'管线假设'!F687*'管线假设'!G687*IF(E3154="USD",'管线假设'!I687,1)-AM3154</x:f>
        <x:v>0.05904</x:v>
      </x:c>
      <x:c r="M3154" s="11" t="n">
        <x:f>'管线假设'!H687</x:f>
        <x:v>0.135</x:v>
      </x:c>
      <x:c r="N3154" s="11" t="n">
        <x:f>IF(G3154,L3154*AN3154/(1+M3154)^F3154,0)</x:f>
        <x:v>0.05736526450427128</x:v>
      </x:c>
      <x:c r="AJ3154" t="n">
        <x:v>0</x:v>
      </x:c>
      <x:c r="AK3154" t="n">
        <x:v>0</x:v>
      </x:c>
      <x:c r="AL3154" t="n">
        <x:v>0</x:v>
      </x:c>
      <x:c r="AM3154" t="n">
        <x:f>CHOOSE('假设'!$B$3,AJ3154,AK3154,AL3154)</x:f>
        <x:v>0</x:v>
      </x:c>
      <x:c r="AN3154" t="n">
        <x:v>1</x:v>
      </x:c>
    </x:row>
    <x:row r="3155" ht="23" customHeight="1">
      <x:c r="A3155" s="11" t="str">
        <x:v>688382.SH</x:v>
      </x:c>
      <x:c r="B3155" s="11" t="str">
        <x:v>三年</x:v>
      </x:c>
      <x:c r="C3155" s="11" t="str">
        <x:v>befu</x:v>
      </x:c>
      <x:c r="D3155" s="11" t="str">
        <x:v>2030-12-31</x:v>
      </x:c>
      <x:c r="E3155" s="11" t="str">
        <x:v>CNY</x:v>
      </x:c>
      <x:c r="F3155" s="11" t="n">
        <x:v>1.2265571526351813</x:v>
      </x:c>
      <x:c r="G3155" s="26" t="b">
        <x:v>1</x:v>
      </x:c>
      <x:c r="H3155" s="16" t="n">
        <x:v>0.5655</x:v>
      </x:c>
      <x:c r="I3155" s="16" t="n">
        <x:v>1.2</x:v>
      </x:c>
      <x:c r="J3155" s="16" t="n">
        <x:v>1.8</x:v>
      </x:c>
      <x:c r="K3155" s="11" t="n">
        <x:f>CHOOSE('假设'!$B$3,H3155,I3155,J3155)</x:f>
        <x:v>1.2</x:v>
      </x:c>
      <x:c r="L3155" s="11" t="n">
        <x:f>K3155*'管线假设'!E687*'管线假设'!F687*'管线假设'!G687*IF(E3155="USD",'管线假设'!I687,1)-AM3155</x:f>
        <x:v>0.07872</x:v>
      </x:c>
      <x:c r="M3155" s="11" t="n">
        <x:f>'管线假设'!H687</x:f>
        <x:v>0.135</x:v>
      </x:c>
      <x:c r="N3155" s="11" t="n">
        <x:f>IF(G3155,L3155*AN3155/(1+M3155)^F3155,0)</x:f>
        <x:v>0.0673952856067514</x:v>
      </x:c>
      <x:c r="AJ3155" t="n">
        <x:v>0</x:v>
      </x:c>
      <x:c r="AK3155" t="n">
        <x:v>0</x:v>
      </x:c>
      <x:c r="AL3155" t="n">
        <x:v>0</x:v>
      </x:c>
      <x:c r="AM3155" t="n">
        <x:f>CHOOSE('假设'!$B$3,AJ3155,AK3155,AL3155)</x:f>
        <x:v>0</x:v>
      </x:c>
      <x:c r="AN3155" t="n">
        <x:v>1</x:v>
      </x:c>
    </x:row>
    <x:row r="3156" ht="23" customHeight="1">
      <x:c r="A3156" s="11" t="str">
        <x:v>688382.SH</x:v>
      </x:c>
      <x:c r="B3156" s="11" t="str">
        <x:v>三年</x:v>
      </x:c>
      <x:c r="C3156" s="11" t="str">
        <x:v>befu</x:v>
      </x:c>
      <x:c r="D3156" s="11" t="str">
        <x:v>2031-12-31</x:v>
      </x:c>
      <x:c r="E3156" s="11" t="str">
        <x:v>CNY</x:v>
      </x:c>
      <x:c r="F3156" s="11" t="n">
        <x:v>2.2258726899383983</x:v>
      </x:c>
      <x:c r="G3156" s="26" t="b">
        <x:v>1</x:v>
      </x:c>
      <x:c r="H3156" s="16" t="n">
        <x:v>0.481</x:v>
      </x:c>
      <x:c r="I3156" s="16" t="n">
        <x:v>1.044</x:v>
      </x:c>
      <x:c r="J3156" s="16" t="n">
        <x:v>1.566</x:v>
      </x:c>
      <x:c r="K3156" s="11" t="n">
        <x:f>CHOOSE('假设'!$B$3,H3156,I3156,J3156)</x:f>
        <x:v>1.044</x:v>
      </x:c>
      <x:c r="L3156" s="11" t="n">
        <x:f>K3156*'管线假设'!E687*'管线假设'!F687*'管线假设'!G687*IF(E3156="USD",'管线假设'!I687,1)-AM3156</x:f>
        <x:v>0.0684864</x:v>
      </x:c>
      <x:c r="M3156" s="11" t="n">
        <x:f>'管线假设'!H687</x:f>
        <x:v>0.135</x:v>
      </x:c>
      <x:c r="N3156" s="11" t="n">
        <x:f>IF(G3156,L3156*AN3156/(1+M3156)^F3156,0)</x:f>
        <x:v>0.05166430027346081</x:v>
      </x:c>
      <x:c r="AJ3156" t="n">
        <x:v>0</x:v>
      </x:c>
      <x:c r="AK3156" t="n">
        <x:v>0</x:v>
      </x:c>
      <x:c r="AL3156" t="n">
        <x:v>0</x:v>
      </x:c>
      <x:c r="AM3156" t="n">
        <x:f>CHOOSE('假设'!$B$3,AJ3156,AK3156,AL3156)</x:f>
        <x:v>0</x:v>
      </x:c>
      <x:c r="AN3156" t="n">
        <x:v>1</x:v>
      </x:c>
    </x:row>
    <x:row r="3157" ht="23" customHeight="1">
      <x:c r="A3157" s="11" t="str">
        <x:v>688382.SH</x:v>
      </x:c>
      <x:c r="B3157" s="11" t="str">
        <x:v>三年</x:v>
      </x:c>
      <x:c r="C3157" s="11" t="str">
        <x:v>befu</x:v>
      </x:c>
      <x:c r="D3157" s="11" t="str">
        <x:v>2032-12-31</x:v>
      </x:c>
      <x:c r="E3157" s="11" t="str">
        <x:v>CNY</x:v>
      </x:c>
      <x:c r="F3157" s="11" t="n">
        <x:v>3.2279260780287475</x:v>
      </x:c>
      <x:c r="G3157" s="26" t="b">
        <x:v>1</x:v>
      </x:c>
      <x:c r="H3157" s="16" t="n">
        <x:v>0.3965</x:v>
      </x:c>
      <x:c r="I3157" s="16" t="n">
        <x:v>0.888</x:v>
      </x:c>
      <x:c r="J3157" s="16" t="n">
        <x:v>1.332</x:v>
      </x:c>
      <x:c r="K3157" s="11" t="n">
        <x:f>CHOOSE('假设'!$B$3,H3157,I3157,J3157)</x:f>
        <x:v>0.888</x:v>
      </x:c>
      <x:c r="L3157" s="11" t="n">
        <x:f>K3157*'管线假设'!E687*'管线假设'!F687*'管线假设'!G687*IF(E3157="USD",'管线假设'!I687,1)-AM3157</x:f>
        <x:v>0.05825280000000001</x:v>
      </x:c>
      <x:c r="M3157" s="11" t="n">
        <x:f>'管线假设'!H687</x:f>
        <x:v>0.135</x:v>
      </x:c>
      <x:c r="N3157" s="11" t="n">
        <x:f>IF(G3157,L3157*AN3157/(1+M3157)^F3157,0)</x:f>
        <x:v>0.03870742041643599</x:v>
      </x:c>
      <x:c r="AJ3157" t="n">
        <x:v>0</x:v>
      </x:c>
      <x:c r="AK3157" t="n">
        <x:v>0</x:v>
      </x:c>
      <x:c r="AL3157" t="n">
        <x:v>0</x:v>
      </x:c>
      <x:c r="AM3157" t="n">
        <x:f>CHOOSE('假设'!$B$3,AJ3157,AK3157,AL3157)</x:f>
        <x:v>0</x:v>
      </x:c>
      <x:c r="AN3157" t="n">
        <x:v>1</x:v>
      </x:c>
    </x:row>
    <x:row r="3158" ht="23" customHeight="1">
      <x:c r="A3158" s="11" t="str">
        <x:v>688382.SH</x:v>
      </x:c>
      <x:c r="B3158" s="11" t="str">
        <x:v>三年</x:v>
      </x:c>
      <x:c r="C3158" s="11" t="str">
        <x:v>befu</x:v>
      </x:c>
      <x:c r="D3158" s="11" t="str">
        <x:v>2033-12-31</x:v>
      </x:c>
      <x:c r="E3158" s="11" t="str">
        <x:v>CNY</x:v>
      </x:c>
      <x:c r="F3158" s="11" t="n">
        <x:v>4.227241615331964</x:v>
      </x:c>
      <x:c r="G3158" s="26" t="b">
        <x:v>1</x:v>
      </x:c>
      <x:c r="H3158" s="16" t="n">
        <x:v>0.312</x:v>
      </x:c>
      <x:c r="I3158" s="16" t="n">
        <x:v>0.732</x:v>
      </x:c>
      <x:c r="J3158" s="16" t="n">
        <x:v>1.098</x:v>
      </x:c>
      <x:c r="K3158" s="11" t="n">
        <x:f>CHOOSE('假设'!$B$3,H3158,I3158,J3158)</x:f>
        <x:v>0.732</x:v>
      </x:c>
      <x:c r="L3158" s="11" t="n">
        <x:f>K3158*'管线假设'!E687*'管线假设'!F687*'管线假设'!G687*IF(E3158="USD",'管线假设'!I687,1)-AM3158</x:f>
        <x:v>0.048019200000000005</x:v>
      </x:c>
      <x:c r="M3158" s="11" t="n">
        <x:f>'管线假设'!H687</x:f>
        <x:v>0.135</x:v>
      </x:c>
      <x:c r="N3158" s="11" t="n">
        <x:f>IF(G3158,L3158*AN3158/(1+M3158)^F3158,0)</x:f>
        <x:v>0.028114743516451598</x:v>
      </x:c>
      <x:c r="AJ3158" t="n">
        <x:v>0</x:v>
      </x:c>
      <x:c r="AK3158" t="n">
        <x:v>0</x:v>
      </x:c>
      <x:c r="AL3158" t="n">
        <x:v>0</x:v>
      </x:c>
      <x:c r="AM3158" t="n">
        <x:f>CHOOSE('假设'!$B$3,AJ3158,AK3158,AL3158)</x:f>
        <x:v>0</x:v>
      </x:c>
      <x:c r="AN3158" t="n">
        <x:v>1</x:v>
      </x:c>
    </x:row>
    <x:row r="3159" ht="23" customHeight="1">
      <x:c r="A3159" s="11" t="str">
        <x:v>688382.SH</x:v>
      </x:c>
      <x:c r="B3159" s="11" t="str">
        <x:v>三年</x:v>
      </x:c>
      <x:c r="C3159" s="11" t="str">
        <x:v>befu</x:v>
      </x:c>
      <x:c r="D3159" s="11" t="str">
        <x:v>2034-12-31</x:v>
      </x:c>
      <x:c r="E3159" s="11" t="str">
        <x:v>CNY</x:v>
      </x:c>
      <x:c r="F3159" s="11" t="n">
        <x:v>5.2265571526351815</x:v>
      </x:c>
      <x:c r="G3159" s="26" t="b">
        <x:v>1</x:v>
      </x:c>
      <x:c r="H3159" s="16" t="n">
        <x:v>0.22749999999999998</x:v>
      </x:c>
      <x:c r="I3159" s="16" t="n">
        <x:v>0.576</x:v>
      </x:c>
      <x:c r="J3159" s="16" t="n">
        <x:v>0.864</x:v>
      </x:c>
      <x:c r="K3159" s="11" t="n">
        <x:f>CHOOSE('假设'!$B$3,H3159,I3159,J3159)</x:f>
        <x:v>0.576</x:v>
      </x:c>
      <x:c r="L3159" s="11" t="n">
        <x:f>K3159*'管线假设'!E687*'管线假设'!F687*'管线假设'!G687*IF(E3159="USD",'管线假设'!I687,1)-AM3159</x:f>
        <x:v>0.0377856</x:v>
      </x:c>
      <x:c r="M3159" s="11" t="n">
        <x:f>'管线假设'!H687</x:f>
        <x:v>0.135</x:v>
      </x:c>
      <x:c r="N3159" s="11" t="n">
        <x:f>IF(G3159,L3159*AN3159/(1+M3159)^F3159,0)</x:f>
        <x:v>0.01949338720123531</x:v>
      </x:c>
      <x:c r="AJ3159" t="n">
        <x:v>0</x:v>
      </x:c>
      <x:c r="AK3159" t="n">
        <x:v>0</x:v>
      </x:c>
      <x:c r="AL3159" t="n">
        <x:v>0</x:v>
      </x:c>
      <x:c r="AM3159" t="n">
        <x:f>CHOOSE('假设'!$B$3,AJ3159,AK3159,AL3159)</x:f>
        <x:v>0</x:v>
      </x:c>
      <x:c r="AN3159" t="n">
        <x:v>1</x:v>
      </x:c>
    </x:row>
    <x:row r="3160" ht="23" customHeight="1">
      <x:c r="A3160" s="11" t="str">
        <x:v>688382.SH</x:v>
      </x:c>
      <x:c r="B3160" s="11" t="str">
        <x:v>三年</x:v>
      </x:c>
      <x:c r="C3160" s="11" t="str">
        <x:v>befu</x:v>
      </x:c>
      <x:c r="D3160" s="11" t="str">
        <x:v>2035-12-31</x:v>
      </x:c>
      <x:c r="E3160" s="11" t="str">
        <x:v>CNY</x:v>
      </x:c>
      <x:c r="F3160" s="11" t="n">
        <x:v>6.225872689938399</x:v>
      </x:c>
      <x:c r="G3160" s="26" t="b">
        <x:v>1</x:v>
      </x:c>
      <x:c r="H3160" s="16" t="n">
        <x:v>0.143</x:v>
      </x:c>
      <x:c r="I3160" s="16" t="n">
        <x:v>0.42</x:v>
      </x:c>
      <x:c r="J3160" s="16" t="n">
        <x:v>0.63</x:v>
      </x:c>
      <x:c r="K3160" s="11" t="n">
        <x:f>CHOOSE('假设'!$B$3,H3160,I3160,J3160)</x:f>
        <x:v>0.42</x:v>
      </x:c>
      <x:c r="L3160" s="11" t="n">
        <x:f>K3160*'管线假设'!E687*'管线假设'!F687*'管线假设'!G687*IF(E3160="USD",'管线假设'!I687,1)-AM3160</x:f>
        <x:v>0.027552</x:v>
      </x:c>
      <x:c r="M3160" s="11" t="n">
        <x:f>'管线假设'!H687</x:f>
        <x:v>0.135</x:v>
      </x:c>
      <x:c r="N3160" s="11" t="n">
        <x:f>IF(G3160,L3160*AN3160/(1+M3160)^F3160,0)</x:f>
        <x:v>0.012524370235960397</x:v>
      </x:c>
      <x:c r="AJ3160" t="n">
        <x:v>0</x:v>
      </x:c>
      <x:c r="AK3160" t="n">
        <x:v>0</x:v>
      </x:c>
      <x:c r="AL3160" t="n">
        <x:v>0</x:v>
      </x:c>
      <x:c r="AM3160" t="n">
        <x:f>CHOOSE('假设'!$B$3,AJ3160,AK3160,AL3160)</x:f>
        <x:v>0</x:v>
      </x:c>
      <x:c r="AN3160" t="n">
        <x:v>1</x:v>
      </x:c>
    </x:row>
    <x:row r="3161" ht="23" customHeight="1">
      <x:c r="A3161" s="11" t="str">
        <x:v>688382.SH</x:v>
      </x:c>
      <x:c r="B3161" s="11" t="str">
        <x:v>三年</x:v>
      </x:c>
      <x:c r="C3161" s="11" t="str">
        <x:v>befu</x:v>
      </x:c>
      <x:c r="D3161" s="11" t="str">
        <x:v>2036-12-31</x:v>
      </x:c>
      <x:c r="E3161" s="11" t="str">
        <x:v>CNY</x:v>
      </x:c>
      <x:c r="F3161" s="11" t="n">
        <x:v>7.227926078028747</x:v>
      </x:c>
      <x:c r="G3161" s="26" t="b">
        <x:v>1</x:v>
      </x:c>
      <x:c r="H3161" s="16" t="n">
        <x:v>0.05849999999999998</x:v>
      </x:c>
      <x:c r="I3161" s="16" t="n">
        <x:v>0.26399999999999996</x:v>
      </x:c>
      <x:c r="J3161" s="16" t="n">
        <x:v>0.39599999999999996</x:v>
      </x:c>
      <x:c r="K3161" s="11" t="n">
        <x:f>CHOOSE('假设'!$B$3,H3161,I3161,J3161)</x:f>
        <x:v>0.26399999999999996</x:v>
      </x:c>
      <x:c r="L3161" s="11" t="n">
        <x:f>K3161*'管线假设'!E687*'管线假设'!F687*'管线假设'!G687*IF(E3161="USD",'管线假设'!I687,1)-AM3161</x:f>
        <x:v>0.017318399999999998</x:v>
      </x:c>
      <x:c r="M3161" s="11" t="n">
        <x:f>'管线假设'!H687</x:f>
        <x:v>0.135</x:v>
      </x:c>
      <x:c r="N3161" s="11" t="n">
        <x:f>IF(G3161,L3161*AN3161/(1+M3161)^F3161,0)</x:f>
        <x:v>0.0069342859144084605</x:v>
      </x:c>
      <x:c r="AJ3161" t="n">
        <x:v>0</x:v>
      </x:c>
      <x:c r="AK3161" t="n">
        <x:v>0</x:v>
      </x:c>
      <x:c r="AL3161" t="n">
        <x:v>0</x:v>
      </x:c>
      <x:c r="AM3161" t="n">
        <x:f>CHOOSE('假设'!$B$3,AJ3161,AK3161,AL3161)</x:f>
        <x:v>0</x:v>
      </x:c>
      <x:c r="AN3161" t="n">
        <x:v>1</x:v>
      </x:c>
    </x:row>
    <x:row r="3162" ht="23" customHeight="1">
      <x:c r="A3162" s="11" t="str">
        <x:v>688382.SH</x:v>
      </x:c>
      <x:c r="B3162" s="11" t="str">
        <x:v>三年</x:v>
      </x:c>
      <x:c r="C3162" s="11" t="str">
        <x:v>befu</x:v>
      </x:c>
      <x:c r="D3162" s="11" t="str">
        <x:v>2037-12-31</x:v>
      </x:c>
      <x:c r="E3162" s="11" t="str">
        <x:v>CNY</x:v>
      </x:c>
      <x:c r="F3162" s="11" t="n">
        <x:v>8.227241615331964</x:v>
      </x:c>
      <x:c r="G3162" s="26" t="b">
        <x:v>1</x:v>
      </x:c>
      <x:c r="H3162" s="16" t="n">
        <x:v>0</x:v>
      </x:c>
      <x:c r="I3162" s="16" t="n">
        <x:v>0.10799999999999996</x:v>
      </x:c>
      <x:c r="J3162" s="16" t="n">
        <x:v>0.16199999999999995</x:v>
      </x:c>
      <x:c r="K3162" s="11" t="n">
        <x:f>CHOOSE('假设'!$B$3,H3162,I3162,J3162)</x:f>
        <x:v>0.10799999999999996</x:v>
      </x:c>
      <x:c r="L3162" s="11" t="n">
        <x:f>K3162*'管线假设'!E687*'管线假设'!F687*'管线假设'!G687*IF(E3162="USD",'管线假设'!I687,1)-AM3162</x:f>
        <x:v>0.007084799999999998</x:v>
      </x:c>
      <x:c r="M3162" s="11" t="n">
        <x:f>'管线假设'!H687</x:f>
        <x:v>0.135</x:v>
      </x:c>
      <x:c r="N3162" s="11" t="n">
        <x:f>IF(G3162,L3162*AN3162/(1+M3162)^F3162,0)</x:f>
        <x:v>0.0024995587804374614</x:v>
      </x:c>
      <x:c r="AJ3162" t="n">
        <x:v>0</x:v>
      </x:c>
      <x:c r="AK3162" t="n">
        <x:v>0</x:v>
      </x:c>
      <x:c r="AL3162" t="n">
        <x:v>0</x:v>
      </x:c>
      <x:c r="AM3162" t="n">
        <x:f>CHOOSE('假设'!$B$3,AJ3162,AK3162,AL3162)</x:f>
        <x:v>0</x:v>
      </x:c>
      <x:c r="AN3162" t="n">
        <x:v>1</x:v>
      </x:c>
    </x:row>
    <x:row r="3163" ht="23" customHeight="1">
      <x:c r="A3163" s="11" t="str">
        <x:v>688382.SH</x:v>
      </x:c>
      <x:c r="B3163" s="11" t="str">
        <x:v>三年</x:v>
      </x:c>
      <x:c r="C3163" s="11" t="str">
        <x:v>befu</x:v>
      </x:c>
      <x:c r="D3163" s="11" t="str">
        <x:v>2038-12-31</x:v>
      </x:c>
      <x:c r="E3163" s="11" t="str">
        <x:v>CNY</x:v>
      </x:c>
      <x:c r="F3163" s="11" t="n">
        <x:v>9.22655715263518</x:v>
      </x:c>
      <x:c r="G3163" s="26" t="b">
        <x:v>1</x:v>
      </x:c>
      <x:c r="H3163" s="16" t="n">
        <x:v>0</x:v>
      </x:c>
      <x:c r="I3163" s="16" t="n">
        <x:v>0</x:v>
      </x:c>
      <x:c r="J3163" s="16" t="n">
        <x:v>0</x:v>
      </x:c>
      <x:c r="K3163" s="11" t="n">
        <x:f>CHOOSE('假设'!$B$3,H3163,I3163,J3163)</x:f>
        <x:v>0</x:v>
      </x:c>
      <x:c r="L3163" s="11" t="n">
        <x:f>K3163*'管线假设'!E687*'管线假设'!F687*'管线假设'!G687*IF(E3163="USD",'管线假设'!I687,1)-AM3163</x:f>
        <x:v>0</x:v>
      </x:c>
      <x:c r="M3163" s="11" t="n">
        <x:f>'管线假设'!H687</x:f>
        <x:v>0.135</x:v>
      </x:c>
      <x:c r="N3163" s="11" t="n">
        <x:f>IF(G3163,L3163*AN3163/(1+M3163)^F3163,0)</x:f>
        <x:v>0</x:v>
      </x:c>
      <x:c r="AJ3163" t="n">
        <x:v>0</x:v>
      </x:c>
      <x:c r="AK3163" t="n">
        <x:v>0</x:v>
      </x:c>
      <x:c r="AL3163" t="n">
        <x:v>0</x:v>
      </x:c>
      <x:c r="AM3163" t="n">
        <x:f>CHOOSE('假设'!$B$3,AJ3163,AK3163,AL3163)</x:f>
        <x:v>0</x:v>
      </x:c>
      <x:c r="AN3163" t="n">
        <x:v>1</x:v>
      </x:c>
    </x:row>
    <x:row r="3164" ht="23" customHeight="1">
      <x:c r="A3164" s="11" t="str">
        <x:v>688382.SH</x:v>
      </x:c>
      <x:c r="B3164" s="11" t="str">
        <x:v>三年</x:v>
      </x:c>
      <x:c r="C3164" s="11" t="str">
        <x:v>befu</x:v>
      </x:c>
      <x:c r="D3164" s="11" t="str">
        <x:v>2039-12-31</x:v>
      </x:c>
      <x:c r="E3164" s="11" t="str">
        <x:v>CNY</x:v>
      </x:c>
      <x:c r="F3164" s="11" t="n">
        <x:v>10.225872689938399</x:v>
      </x:c>
      <x:c r="G3164" s="26" t="b">
        <x:v>1</x:v>
      </x:c>
      <x:c r="H3164" s="16" t="n">
        <x:v>0</x:v>
      </x:c>
      <x:c r="I3164" s="16" t="n">
        <x:v>0</x:v>
      </x:c>
      <x:c r="J3164" s="16" t="n">
        <x:v>0</x:v>
      </x:c>
      <x:c r="K3164" s="11" t="n">
        <x:f>CHOOSE('假设'!$B$3,H3164,I3164,J3164)</x:f>
        <x:v>0</x:v>
      </x:c>
      <x:c r="L3164" s="11" t="n">
        <x:f>K3164*'管线假设'!E687*'管线假设'!F687*'管线假设'!G687*IF(E3164="USD",'管线假设'!I687,1)-AM3164</x:f>
        <x:v>0</x:v>
      </x:c>
      <x:c r="M3164" s="11" t="n">
        <x:f>'管线假设'!H687</x:f>
        <x:v>0.135</x:v>
      </x:c>
      <x:c r="N3164" s="11" t="n">
        <x:f>IF(G3164,L3164*AN3164/(1+M3164)^F3164,0)</x:f>
        <x:v>0</x:v>
      </x:c>
      <x:c r="AJ3164" t="n">
        <x:v>0</x:v>
      </x:c>
      <x:c r="AK3164" t="n">
        <x:v>0</x:v>
      </x:c>
      <x:c r="AL3164" t="n">
        <x:v>0</x:v>
      </x:c>
      <x:c r="AM3164" t="n">
        <x:f>CHOOSE('假设'!$B$3,AJ3164,AK3164,AL3164)</x:f>
        <x:v>0</x:v>
      </x:c>
      <x:c r="AN3164" t="n">
        <x:v>1</x:v>
      </x:c>
    </x:row>
    <x:row r="3165" ht="23" customHeight="1">
      <x:c r="A3165" s="11" t="str">
        <x:v>688382.SH</x:v>
      </x:c>
      <x:c r="B3165" s="11" t="str">
        <x:v>三年</x:v>
      </x:c>
      <x:c r="C3165" s="11" t="str">
        <x:v>befu</x:v>
      </x:c>
      <x:c r="D3165" s="11" t="str">
        <x:v>2040-12-31</x:v>
      </x:c>
      <x:c r="E3165" s="11" t="str">
        <x:v>CNY</x:v>
      </x:c>
      <x:c r="F3165" s="11" t="n">
        <x:v>11.227926078028748</x:v>
      </x:c>
      <x:c r="G3165" s="26" t="b">
        <x:v>1</x:v>
      </x:c>
      <x:c r="H3165" s="16" t="n">
        <x:v>0</x:v>
      </x:c>
      <x:c r="I3165" s="16" t="n">
        <x:v>0</x:v>
      </x:c>
      <x:c r="J3165" s="16" t="n">
        <x:v>0</x:v>
      </x:c>
      <x:c r="K3165" s="11" t="n">
        <x:f>CHOOSE('假设'!$B$3,H3165,I3165,J3165)</x:f>
        <x:v>0</x:v>
      </x:c>
      <x:c r="L3165" s="11" t="n">
        <x:f>K3165*'管线假设'!E687*'管线假设'!F687*'管线假设'!G687*IF(E3165="USD",'管线假设'!I687,1)-AM3165</x:f>
        <x:v>0</x:v>
      </x:c>
      <x:c r="M3165" s="11" t="n">
        <x:f>'管线假设'!H687</x:f>
        <x:v>0.135</x:v>
      </x:c>
      <x:c r="N3165" s="11" t="n">
        <x:f>IF(G3165,L3165*AN3165/(1+M3165)^F3165,0)</x:f>
        <x:v>0</x:v>
      </x:c>
      <x:c r="AJ3165" t="n">
        <x:v>0</x:v>
      </x:c>
      <x:c r="AK3165" t="n">
        <x:v>0</x:v>
      </x:c>
      <x:c r="AL3165" t="n">
        <x:v>0</x:v>
      </x:c>
      <x:c r="AM3165" t="n">
        <x:f>CHOOSE('假设'!$B$3,AJ3165,AK3165,AL3165)</x:f>
        <x:v>0</x:v>
      </x:c>
      <x:c r="AN3165" t="n">
        <x:v>1</x:v>
      </x:c>
    </x:row>
    <x:row r="3166" ht="23" customHeight="1">
      <x:c r="A3166" s="11" t="str">
        <x:v>688382.SH</x:v>
      </x:c>
      <x:c r="B3166" s="11" t="str">
        <x:v>三年</x:v>
      </x:c>
      <x:c r="C3166" s="11" t="str">
        <x:v>befu</x:v>
      </x:c>
      <x:c r="D3166" s="11" t="str">
        <x:v>2041-12-31</x:v>
      </x:c>
      <x:c r="E3166" s="11" t="str">
        <x:v>CNY</x:v>
      </x:c>
      <x:c r="F3166" s="11" t="n">
        <x:v>12.227241615331964</x:v>
      </x:c>
      <x:c r="G3166" s="26" t="b">
        <x:v>1</x:v>
      </x:c>
      <x:c r="H3166" s="16" t="n">
        <x:v>0</x:v>
      </x:c>
      <x:c r="I3166" s="16" t="n">
        <x:v>0</x:v>
      </x:c>
      <x:c r="J3166" s="16" t="n">
        <x:v>0</x:v>
      </x:c>
      <x:c r="K3166" s="11" t="n">
        <x:f>CHOOSE('假设'!$B$3,H3166,I3166,J3166)</x:f>
        <x:v>0</x:v>
      </x:c>
      <x:c r="L3166" s="11" t="n">
        <x:f>K3166*'管线假设'!E687*'管线假设'!F687*'管线假设'!G687*IF(E3166="USD",'管线假设'!I687,1)-AM3166</x:f>
        <x:v>0</x:v>
      </x:c>
      <x:c r="M3166" s="11" t="n">
        <x:f>'管线假设'!H687</x:f>
        <x:v>0.135</x:v>
      </x:c>
      <x:c r="N3166" s="11" t="n">
        <x:f>IF(G3166,L3166*AN3166/(1+M3166)^F3166,0)</x:f>
        <x:v>0</x:v>
      </x:c>
      <x:c r="AJ3166" t="n">
        <x:v>0</x:v>
      </x:c>
      <x:c r="AK3166" t="n">
        <x:v>0</x:v>
      </x:c>
      <x:c r="AL3166" t="n">
        <x:v>0</x:v>
      </x:c>
      <x:c r="AM3166" t="n">
        <x:f>CHOOSE('假设'!$B$3,AJ3166,AK3166,AL3166)</x:f>
        <x:v>0</x:v>
      </x:c>
      <x:c r="AN3166" t="n">
        <x:v>1</x:v>
      </x:c>
    </x:row>
    <x:row r="3167" ht="23" customHeight="1">
      <x:c r="A3167" s="11" t="str">
        <x:v>688382.SH</x:v>
      </x:c>
      <x:c r="B3167" s="11" t="str">
        <x:v>三年</x:v>
      </x:c>
      <x:c r="C3167" s="11" t="str">
        <x:v>befu</x:v>
      </x:c>
      <x:c r="D3167" s="11" t="str">
        <x:v>2042-12-31</x:v>
      </x:c>
      <x:c r="E3167" s="11" t="str">
        <x:v>CNY</x:v>
      </x:c>
      <x:c r="F3167" s="11" t="n">
        <x:v>13.22655715263518</x:v>
      </x:c>
      <x:c r="G3167" s="26" t="b">
        <x:v>1</x:v>
      </x:c>
      <x:c r="H3167" s="16" t="n">
        <x:v>0</x:v>
      </x:c>
      <x:c r="I3167" s="16" t="n">
        <x:v>0</x:v>
      </x:c>
      <x:c r="J3167" s="16" t="n">
        <x:v>0</x:v>
      </x:c>
      <x:c r="K3167" s="11" t="n">
        <x:f>CHOOSE('假设'!$B$3,H3167,I3167,J3167)</x:f>
        <x:v>0</x:v>
      </x:c>
      <x:c r="L3167" s="11" t="n">
        <x:f>K3167*'管线假设'!E687*'管线假设'!F687*'管线假设'!G687*IF(E3167="USD",'管线假设'!I687,1)-AM3167</x:f>
        <x:v>0</x:v>
      </x:c>
      <x:c r="M3167" s="11" t="n">
        <x:f>'管线假设'!H687</x:f>
        <x:v>0.135</x:v>
      </x:c>
      <x:c r="N3167" s="11" t="n">
        <x:f>IF(G3167,L3167*AN3167/(1+M3167)^F3167,0)</x:f>
        <x:v>0</x:v>
      </x:c>
      <x:c r="AJ3167" t="n">
        <x:v>0</x:v>
      </x:c>
      <x:c r="AK3167" t="n">
        <x:v>0</x:v>
      </x:c>
      <x:c r="AL3167" t="n">
        <x:v>0</x:v>
      </x:c>
      <x:c r="AM3167" t="n">
        <x:f>CHOOSE('假设'!$B$3,AJ3167,AK3167,AL3167)</x:f>
        <x:v>0</x:v>
      </x:c>
      <x:c r="AN3167" t="n">
        <x:v>1</x:v>
      </x:c>
    </x:row>
    <x:row r="3168" ht="23" customHeight="1">
      <x:c r="A3168" s="11" t="str">
        <x:v>688382.SH</x:v>
      </x:c>
      <x:c r="B3168" s="11" t="str">
        <x:v>三年</x:v>
      </x:c>
      <x:c r="C3168" s="11" t="str">
        <x:v>befu</x:v>
      </x:c>
      <x:c r="D3168" s="11" t="str">
        <x:v>2043-12-31</x:v>
      </x:c>
      <x:c r="E3168" s="11" t="str">
        <x:v>CNY</x:v>
      </x:c>
      <x:c r="F3168" s="11" t="n">
        <x:v>14.225872689938399</x:v>
      </x:c>
      <x:c r="G3168" s="26" t="b">
        <x:v>1</x:v>
      </x:c>
      <x:c r="H3168" s="16" t="n">
        <x:v>0</x:v>
      </x:c>
      <x:c r="I3168" s="16" t="n">
        <x:v>0</x:v>
      </x:c>
      <x:c r="J3168" s="16" t="n">
        <x:v>0</x:v>
      </x:c>
      <x:c r="K3168" s="11" t="n">
        <x:f>CHOOSE('假设'!$B$3,H3168,I3168,J3168)</x:f>
        <x:v>0</x:v>
      </x:c>
      <x:c r="L3168" s="11" t="n">
        <x:f>K3168*'管线假设'!E687*'管线假设'!F687*'管线假设'!G687*IF(E3168="USD",'管线假设'!I687,1)-AM3168</x:f>
        <x:v>0</x:v>
      </x:c>
      <x:c r="M3168" s="11" t="n">
        <x:f>'管线假设'!H687</x:f>
        <x:v>0.135</x:v>
      </x:c>
      <x:c r="N3168" s="11" t="n">
        <x:f>IF(G3168,L3168*AN3168/(1+M3168)^F3168,0)</x:f>
        <x:v>0</x:v>
      </x:c>
      <x:c r="AJ3168" t="n">
        <x:v>0</x:v>
      </x:c>
      <x:c r="AK3168" t="n">
        <x:v>0</x:v>
      </x:c>
      <x:c r="AL3168" t="n">
        <x:v>0</x:v>
      </x:c>
      <x:c r="AM3168" t="n">
        <x:f>CHOOSE('假设'!$B$3,AJ3168,AK3168,AL3168)</x:f>
        <x:v>0</x:v>
      </x:c>
      <x:c r="AN3168" t="n">
        <x:v>1</x:v>
      </x:c>
    </x:row>
    <x:row r="3169" ht="23" customHeight="1">
      <x:c r="A3169" s="11" t="str">
        <x:v>688382.SH</x:v>
      </x:c>
      <x:c r="B3169" s="11" t="str">
        <x:v>三年</x:v>
      </x:c>
      <x:c r="C3169" s="11" t="str">
        <x:v>befu</x:v>
      </x:c>
      <x:c r="D3169" s="11" t="str">
        <x:v>2044-12-31</x:v>
      </x:c>
      <x:c r="E3169" s="11" t="str">
        <x:v>CNY</x:v>
      </x:c>
      <x:c r="F3169" s="11" t="n">
        <x:v>15.227926078028748</x:v>
      </x:c>
      <x:c r="G3169" s="26" t="b">
        <x:v>1</x:v>
      </x:c>
      <x:c r="H3169" s="16" t="n">
        <x:v>0</x:v>
      </x:c>
      <x:c r="I3169" s="16" t="n">
        <x:v>0</x:v>
      </x:c>
      <x:c r="J3169" s="16" t="n">
        <x:v>0</x:v>
      </x:c>
      <x:c r="K3169" s="11" t="n">
        <x:f>CHOOSE('假设'!$B$3,H3169,I3169,J3169)</x:f>
        <x:v>0</x:v>
      </x:c>
      <x:c r="L3169" s="11" t="n">
        <x:f>K3169*'管线假设'!E687*'管线假设'!F687*'管线假设'!G687*IF(E3169="USD",'管线假设'!I687,1)-AM3169</x:f>
        <x:v>0</x:v>
      </x:c>
      <x:c r="M3169" s="11" t="n">
        <x:f>'管线假设'!H687</x:f>
        <x:v>0.135</x:v>
      </x:c>
      <x:c r="N3169" s="11" t="n">
        <x:f>IF(G3169,L3169*AN3169/(1+M3169)^F3169,0)</x:f>
        <x:v>0</x:v>
      </x:c>
      <x:c r="AJ3169" t="n">
        <x:v>0</x:v>
      </x:c>
      <x:c r="AK3169" t="n">
        <x:v>0</x:v>
      </x:c>
      <x:c r="AL3169" t="n">
        <x:v>0</x:v>
      </x:c>
      <x:c r="AM3169" t="n">
        <x:f>CHOOSE('假设'!$B$3,AJ3169,AK3169,AL3169)</x:f>
        <x:v>0</x:v>
      </x:c>
      <x:c r="AN3169" t="n">
        <x:v>1</x:v>
      </x:c>
    </x:row>
    <x:row r="3170" ht="23" customHeight="1">
      <x:c r="A3170" s="11" t="str">
        <x:v>688382.SH</x:v>
      </x:c>
      <x:c r="B3170" s="11" t="str">
        <x:v>三年</x:v>
      </x:c>
      <x:c r="C3170" s="11" t="str">
        <x:v>befu</x:v>
      </x:c>
      <x:c r="D3170" s="11" t="str">
        <x:v>2045-12-31</x:v>
      </x:c>
      <x:c r="E3170" s="11" t="str">
        <x:v>CNY</x:v>
      </x:c>
      <x:c r="F3170" s="11" t="n">
        <x:v>16.227241615331966</x:v>
      </x:c>
      <x:c r="G3170" s="26" t="b">
        <x:v>1</x:v>
      </x:c>
      <x:c r="H3170" s="16" t="n">
        <x:v>0</x:v>
      </x:c>
      <x:c r="I3170" s="16" t="n">
        <x:v>0</x:v>
      </x:c>
      <x:c r="J3170" s="16" t="n">
        <x:v>0</x:v>
      </x:c>
      <x:c r="K3170" s="11" t="n">
        <x:f>CHOOSE('假设'!$B$3,H3170,I3170,J3170)</x:f>
        <x:v>0</x:v>
      </x:c>
      <x:c r="L3170" s="11" t="n">
        <x:f>K3170*'管线假设'!E687*'管线假设'!F687*'管线假设'!G687*IF(E3170="USD",'管线假设'!I687,1)-AM3170</x:f>
        <x:v>0</x:v>
      </x:c>
      <x:c r="M3170" s="11" t="n">
        <x:f>'管线假设'!H687</x:f>
        <x:v>0.135</x:v>
      </x:c>
      <x:c r="N3170" s="11" t="n">
        <x:f>IF(G3170,L3170*AN3170/(1+M3170)^F3170,0)</x:f>
        <x:v>0</x:v>
      </x:c>
      <x:c r="AJ3170" t="n">
        <x:v>0</x:v>
      </x:c>
      <x:c r="AK3170" t="n">
        <x:v>0</x:v>
      </x:c>
      <x:c r="AL3170" t="n">
        <x:v>0</x:v>
      </x:c>
      <x:c r="AM3170" t="n">
        <x:f>CHOOSE('假设'!$B$3,AJ3170,AK3170,AL3170)</x:f>
        <x:v>0</x:v>
      </x:c>
      <x:c r="AN3170" t="n">
        <x:v>1</x:v>
      </x:c>
    </x:row>
    <x:row r="3171" ht="23" customHeight="1">
      <x:c r="A3171" s="11" t="str">
        <x:v>688382.SH</x:v>
      </x:c>
      <x:c r="B3171" s="11" t="str">
        <x:v>三年</x:v>
      </x:c>
      <x:c r="C3171" s="11" t="str">
        <x:v>g12c_later_cn</x:v>
      </x:c>
      <x:c r="D3171" s="11" t="str">
        <x:v>2027-12-31</x:v>
      </x:c>
      <x:c r="E3171" s="11" t="str">
        <x:v>CNY</x:v>
      </x:c>
      <x:c r="F3171" s="11" t="n">
        <x:v>-1.7741273100616017</x:v>
      </x:c>
      <x:c r="G3171" s="26" t="b">
        <x:v>0</x:v>
      </x:c>
      <x:c r="H3171" s="16" t="n">
        <x:v>0.1</x:v>
      </x:c>
      <x:c r="I3171" s="16" t="n">
        <x:v>0.22000000000000003</x:v>
      </x:c>
      <x:c r="J3171" s="16" t="n">
        <x:v>0.425</x:v>
      </x:c>
      <x:c r="K3171" s="11" t="n">
        <x:f>CHOOSE('假设'!$B$3,H3171,I3171,J3171)</x:f>
        <x:v>0.22000000000000003</x:v>
      </x:c>
      <x:c r="L3171" s="11" t="n">
        <x:f>K3171*'管线假设'!E691*'管线假设'!F691*'管线假设'!G691*IF(E3171="USD",'管线假设'!I691,1)-AM3171</x:f>
        <x:v>0.018040000000000007</x:v>
      </x:c>
      <x:c r="M3171" s="11" t="n">
        <x:f>'管线假设'!H691</x:f>
        <x:v>0.135</x:v>
      </x:c>
      <x:c r="N3171" s="11" t="n">
        <x:f>IF(G3171,L3171*AN3171/(1+M3171)^F3171,0)</x:f>
        <x:v>0</x:v>
      </x:c>
      <x:c r="AJ3171" t="n">
        <x:v>0</x:v>
      </x:c>
      <x:c r="AK3171" t="n">
        <x:v>0</x:v>
      </x:c>
      <x:c r="AL3171" t="n">
        <x:v>0</x:v>
      </x:c>
      <x:c r="AM3171" t="n">
        <x:f>CHOOSE('假设'!$B$3,AJ3171,AK3171,AL3171)</x:f>
        <x:v>0</x:v>
      </x:c>
      <x:c r="AN3171" t="n">
        <x:v>1</x:v>
      </x:c>
    </x:row>
    <x:row r="3172" ht="23" customHeight="1">
      <x:c r="A3172" s="11" t="str">
        <x:v>688382.SH</x:v>
      </x:c>
      <x:c r="B3172" s="11" t="str">
        <x:v>三年</x:v>
      </x:c>
      <x:c r="C3172" s="11" t="str">
        <x:v>g12c_later_cn</x:v>
      </x:c>
      <x:c r="D3172" s="11" t="str">
        <x:v>2028-12-31</x:v>
      </x:c>
      <x:c r="E3172" s="11" t="str">
        <x:v>CNY</x:v>
      </x:c>
      <x:c r="F3172" s="11" t="n">
        <x:v>-0.7720739219712526</x:v>
      </x:c>
      <x:c r="G3172" s="26" t="b">
        <x:v>0</x:v>
      </x:c>
      <x:c r="H3172" s="16" t="n">
        <x:v>0.2</x:v>
      </x:c>
      <x:c r="I3172" s="16" t="n">
        <x:v>0.44000000000000006</x:v>
      </x:c>
      <x:c r="J3172" s="16" t="n">
        <x:v>0.85</x:v>
      </x:c>
      <x:c r="K3172" s="11" t="n">
        <x:f>CHOOSE('假设'!$B$3,H3172,I3172,J3172)</x:f>
        <x:v>0.44000000000000006</x:v>
      </x:c>
      <x:c r="L3172" s="11" t="n">
        <x:f>K3172*'管线假设'!E691*'管线假设'!F691*'管线假设'!G691*IF(E3172="USD",'管线假设'!I691,1)-AM3172</x:f>
        <x:v>0.036080000000000015</x:v>
      </x:c>
      <x:c r="M3172" s="11" t="n">
        <x:f>'管线假设'!H691</x:f>
        <x:v>0.135</x:v>
      </x:c>
      <x:c r="N3172" s="11" t="n">
        <x:f>IF(G3172,L3172*AN3172/(1+M3172)^F3172,0)</x:f>
        <x:v>0</x:v>
      </x:c>
      <x:c r="AJ3172" t="n">
        <x:v>0</x:v>
      </x:c>
      <x:c r="AK3172" t="n">
        <x:v>0</x:v>
      </x:c>
      <x:c r="AL3172" t="n">
        <x:v>0</x:v>
      </x:c>
      <x:c r="AM3172" t="n">
        <x:f>CHOOSE('假设'!$B$3,AJ3172,AK3172,AL3172)</x:f>
        <x:v>0</x:v>
      </x:c>
      <x:c r="AN3172" t="n">
        <x:v>1</x:v>
      </x:c>
    </x:row>
    <x:row r="3173" ht="23" customHeight="1">
      <x:c r="A3173" s="11" t="str">
        <x:v>688382.SH</x:v>
      </x:c>
      <x:c r="B3173" s="11" t="str">
        <x:v>三年</x:v>
      </x:c>
      <x:c r="C3173" s="11" t="str">
        <x:v>g12c_later_cn</x:v>
      </x:c>
      <x:c r="D3173" s="11" t="str">
        <x:v>2029-12-31</x:v>
      </x:c>
      <x:c r="E3173" s="11" t="str">
        <x:v>CNY</x:v>
      </x:c>
      <x:c r="F3173" s="11" t="n">
        <x:v>0.2272416153319644</x:v>
      </x:c>
      <x:c r="G3173" s="26" t="b">
        <x:v>1</x:v>
      </x:c>
      <x:c r="H3173" s="16" t="n">
        <x:v>0.3</x:v>
      </x:c>
      <x:c r="I3173" s="16" t="n">
        <x:v>0.66</x:v>
      </x:c>
      <x:c r="J3173" s="16" t="n">
        <x:v>1.275</x:v>
      </x:c>
      <x:c r="K3173" s="11" t="n">
        <x:f>CHOOSE('假设'!$B$3,H3173,I3173,J3173)</x:f>
        <x:v>0.66</x:v>
      </x:c>
      <x:c r="L3173" s="11" t="n">
        <x:f>K3173*'管线假设'!E691*'管线假设'!F691*'管线假设'!G691*IF(E3173="USD",'管线假设'!I691,1)-AM3173</x:f>
        <x:v>0.054120000000000015</x:v>
      </x:c>
      <x:c r="M3173" s="11" t="n">
        <x:f>'管线假设'!H691</x:f>
        <x:v>0.135</x:v>
      </x:c>
      <x:c r="N3173" s="11" t="n">
        <x:f>IF(G3173,L3173*AN3173/(1+M3173)^F3173,0)</x:f>
        <x:v>0.05258482579558202</x:v>
      </x:c>
      <x:c r="AJ3173" t="n">
        <x:v>0</x:v>
      </x:c>
      <x:c r="AK3173" t="n">
        <x:v>0</x:v>
      </x:c>
      <x:c r="AL3173" t="n">
        <x:v>0</x:v>
      </x:c>
      <x:c r="AM3173" t="n">
        <x:f>CHOOSE('假设'!$B$3,AJ3173,AK3173,AL3173)</x:f>
        <x:v>0</x:v>
      </x:c>
      <x:c r="AN3173" t="n">
        <x:v>1</x:v>
      </x:c>
    </x:row>
    <x:row r="3174" ht="23" customHeight="1">
      <x:c r="A3174" s="11" t="str">
        <x:v>688382.SH</x:v>
      </x:c>
      <x:c r="B3174" s="11" t="str">
        <x:v>三年</x:v>
      </x:c>
      <x:c r="C3174" s="11" t="str">
        <x:v>g12c_later_cn</x:v>
      </x:c>
      <x:c r="D3174" s="11" t="str">
        <x:v>2030-12-31</x:v>
      </x:c>
      <x:c r="E3174" s="11" t="str">
        <x:v>CNY</x:v>
      </x:c>
      <x:c r="F3174" s="11" t="n">
        <x:v>1.2265571526351813</x:v>
      </x:c>
      <x:c r="G3174" s="26" t="b">
        <x:v>1</x:v>
      </x:c>
      <x:c r="H3174" s="16" t="n">
        <x:v>0.4</x:v>
      </x:c>
      <x:c r="I3174" s="16" t="n">
        <x:v>0.8800000000000001</x:v>
      </x:c>
      <x:c r="J3174" s="16" t="n">
        <x:v>1.7</x:v>
      </x:c>
      <x:c r="K3174" s="11" t="n">
        <x:f>CHOOSE('假设'!$B$3,H3174,I3174,J3174)</x:f>
        <x:v>0.8800000000000001</x:v>
      </x:c>
      <x:c r="L3174" s="11" t="n">
        <x:f>K3174*'管线假设'!E691*'管线假设'!F691*'管线假设'!G691*IF(E3174="USD",'管线假设'!I691,1)-AM3174</x:f>
        <x:v>0.07216000000000003</x:v>
      </x:c>
      <x:c r="M3174" s="11" t="n">
        <x:f>'管线假设'!H691</x:f>
        <x:v>0.135</x:v>
      </x:c>
      <x:c r="N3174" s="11" t="n">
        <x:f>IF(G3174,L3174*AN3174/(1+M3174)^F3174,0)</x:f>
        <x:v>0.06177901180618881</x:v>
      </x:c>
      <x:c r="AJ3174" t="n">
        <x:v>0</x:v>
      </x:c>
      <x:c r="AK3174" t="n">
        <x:v>0</x:v>
      </x:c>
      <x:c r="AL3174" t="n">
        <x:v>0</x:v>
      </x:c>
      <x:c r="AM3174" t="n">
        <x:f>CHOOSE('假设'!$B$3,AJ3174,AK3174,AL3174)</x:f>
        <x:v>0</x:v>
      </x:c>
      <x:c r="AN3174" t="n">
        <x:v>1</x:v>
      </x:c>
    </x:row>
    <x:row r="3175" ht="23" customHeight="1">
      <x:c r="A3175" s="11" t="str">
        <x:v>688382.SH</x:v>
      </x:c>
      <x:c r="B3175" s="11" t="str">
        <x:v>三年</x:v>
      </x:c>
      <x:c r="C3175" s="11" t="str">
        <x:v>g12c_later_cn</x:v>
      </x:c>
      <x:c r="D3175" s="11" t="str">
        <x:v>2031-12-31</x:v>
      </x:c>
      <x:c r="E3175" s="11" t="str">
        <x:v>CNY</x:v>
      </x:c>
      <x:c r="F3175" s="11" t="n">
        <x:v>2.2258726899383983</x:v>
      </x:c>
      <x:c r="G3175" s="26" t="b">
        <x:v>1</x:v>
      </x:c>
      <x:c r="H3175" s="16" t="n">
        <x:v>0.5</x:v>
      </x:c>
      <x:c r="I3175" s="16" t="n">
        <x:v>1.1</x:v>
      </x:c>
      <x:c r="J3175" s="16" t="n">
        <x:v>1.4789999999999999</x:v>
      </x:c>
      <x:c r="K3175" s="11" t="n">
        <x:f>CHOOSE('假设'!$B$3,H3175,I3175,J3175)</x:f>
        <x:v>1.1</x:v>
      </x:c>
      <x:c r="L3175" s="11" t="n">
        <x:f>K3175*'管线假设'!E691*'管线假设'!F691*'管线假设'!G691*IF(E3175="USD",'管线假设'!I691,1)-AM3175</x:f>
        <x:v>0.09020000000000003</x:v>
      </x:c>
      <x:c r="M3175" s="11" t="n">
        <x:f>'管线假设'!H691</x:f>
        <x:v>0.135</x:v>
      </x:c>
      <x:c r="N3175" s="11" t="n">
        <x:f>IF(G3175,L3175*AN3175/(1+M3175)^F3175,0)</x:f>
        <x:v>0.06804445677778605</x:v>
      </x:c>
      <x:c r="AJ3175" t="n">
        <x:v>0</x:v>
      </x:c>
      <x:c r="AK3175" t="n">
        <x:v>0</x:v>
      </x:c>
      <x:c r="AL3175" t="n">
        <x:v>0</x:v>
      </x:c>
      <x:c r="AM3175" t="n">
        <x:f>CHOOSE('假设'!$B$3,AJ3175,AK3175,AL3175)</x:f>
        <x:v>0</x:v>
      </x:c>
      <x:c r="AN3175" t="n">
        <x:v>1</x:v>
      </x:c>
    </x:row>
    <x:row r="3176" ht="23" customHeight="1">
      <x:c r="A3176" s="11" t="str">
        <x:v>688382.SH</x:v>
      </x:c>
      <x:c r="B3176" s="11" t="str">
        <x:v>三年</x:v>
      </x:c>
      <x:c r="C3176" s="11" t="str">
        <x:v>g12c_later_cn</x:v>
      </x:c>
      <x:c r="D3176" s="11" t="str">
        <x:v>2032-12-31</x:v>
      </x:c>
      <x:c r="E3176" s="11" t="str">
        <x:v>CNY</x:v>
      </x:c>
      <x:c r="F3176" s="11" t="n">
        <x:v>3.2279260780287475</x:v>
      </x:c>
      <x:c r="G3176" s="26" t="b">
        <x:v>1</x:v>
      </x:c>
      <x:c r="H3176" s="16" t="n">
        <x:v>0.435</x:v>
      </x:c>
      <x:c r="I3176" s="16" t="n">
        <x:v>0.9570000000000001</x:v>
      </x:c>
      <x:c r="J3176" s="16" t="n">
        <x:v>1.258</x:v>
      </x:c>
      <x:c r="K3176" s="11" t="n">
        <x:f>CHOOSE('假设'!$B$3,H3176,I3176,J3176)</x:f>
        <x:v>0.9570000000000001</x:v>
      </x:c>
      <x:c r="L3176" s="11" t="n">
        <x:f>K3176*'管线假设'!E691*'管线假设'!F691*'管线假设'!G691*IF(E3176="USD",'管线假设'!I691,1)-AM3176</x:f>
        <x:v>0.07847400000000002</x:v>
      </x:c>
      <x:c r="M3176" s="11" t="n">
        <x:f>'管线假设'!H691</x:f>
        <x:v>0.135</x:v>
      </x:c>
      <x:c r="N3176" s="11" t="n">
        <x:f>IF(G3176,L3176*AN3176/(1+M3176)^F3176,0)</x:f>
        <x:v>0.052143864496803555</x:v>
      </x:c>
      <x:c r="AJ3176" t="n">
        <x:v>0</x:v>
      </x:c>
      <x:c r="AK3176" t="n">
        <x:v>0</x:v>
      </x:c>
      <x:c r="AL3176" t="n">
        <x:v>0</x:v>
      </x:c>
      <x:c r="AM3176" t="n">
        <x:f>CHOOSE('假设'!$B$3,AJ3176,AK3176,AL3176)</x:f>
        <x:v>0</x:v>
      </x:c>
      <x:c r="AN3176" t="n">
        <x:v>1</x:v>
      </x:c>
    </x:row>
    <x:row r="3177" ht="23" customHeight="1">
      <x:c r="A3177" s="11" t="str">
        <x:v>688382.SH</x:v>
      </x:c>
      <x:c r="B3177" s="11" t="str">
        <x:v>三年</x:v>
      </x:c>
      <x:c r="C3177" s="11" t="str">
        <x:v>g12c_later_cn</x:v>
      </x:c>
      <x:c r="D3177" s="11" t="str">
        <x:v>2033-12-31</x:v>
      </x:c>
      <x:c r="E3177" s="11" t="str">
        <x:v>CNY</x:v>
      </x:c>
      <x:c r="F3177" s="11" t="n">
        <x:v>4.227241615331964</x:v>
      </x:c>
      <x:c r="G3177" s="26" t="b">
        <x:v>1</x:v>
      </x:c>
      <x:c r="H3177" s="16" t="n">
        <x:v>0.37</x:v>
      </x:c>
      <x:c r="I3177" s="16" t="n">
        <x:v>0.8140000000000001</x:v>
      </x:c>
      <x:c r="J3177" s="16" t="n">
        <x:v>1.037</x:v>
      </x:c>
      <x:c r="K3177" s="11" t="n">
        <x:f>CHOOSE('假设'!$B$3,H3177,I3177,J3177)</x:f>
        <x:v>0.8140000000000001</x:v>
      </x:c>
      <x:c r="L3177" s="11" t="n">
        <x:f>K3177*'管线假设'!E691*'管线假设'!F691*'管线假设'!G691*IF(E3177="USD",'管线假设'!I691,1)-AM3177</x:f>
        <x:v>0.06674800000000002</x:v>
      </x:c>
      <x:c r="M3177" s="11" t="n">
        <x:f>'管线假设'!H691</x:f>
        <x:v>0.135</x:v>
      </x:c>
      <x:c r="N3177" s="11" t="n">
        <x:f>IF(G3177,L3177*AN3177/(1+M3177)^F3177,0)</x:f>
        <x:v>0.039080261650258886</x:v>
      </x:c>
      <x:c r="AJ3177" t="n">
        <x:v>0</x:v>
      </x:c>
      <x:c r="AK3177" t="n">
        <x:v>0</x:v>
      </x:c>
      <x:c r="AL3177" t="n">
        <x:v>0</x:v>
      </x:c>
      <x:c r="AM3177" t="n">
        <x:f>CHOOSE('假设'!$B$3,AJ3177,AK3177,AL3177)</x:f>
        <x:v>0</x:v>
      </x:c>
      <x:c r="AN3177" t="n">
        <x:v>1</x:v>
      </x:c>
    </x:row>
    <x:row r="3178" ht="23" customHeight="1">
      <x:c r="A3178" s="11" t="str">
        <x:v>688382.SH</x:v>
      </x:c>
      <x:c r="B3178" s="11" t="str">
        <x:v>三年</x:v>
      </x:c>
      <x:c r="C3178" s="11" t="str">
        <x:v>g12c_later_cn</x:v>
      </x:c>
      <x:c r="D3178" s="11" t="str">
        <x:v>2034-12-31</x:v>
      </x:c>
      <x:c r="E3178" s="11" t="str">
        <x:v>CNY</x:v>
      </x:c>
      <x:c r="F3178" s="11" t="n">
        <x:v>5.2265571526351815</x:v>
      </x:c>
      <x:c r="G3178" s="26" t="b">
        <x:v>1</x:v>
      </x:c>
      <x:c r="H3178" s="16" t="n">
        <x:v>0.305</x:v>
      </x:c>
      <x:c r="I3178" s="16" t="n">
        <x:v>0.671</x:v>
      </x:c>
      <x:c r="J3178" s="16" t="n">
        <x:v>0.816</x:v>
      </x:c>
      <x:c r="K3178" s="11" t="n">
        <x:f>CHOOSE('假设'!$B$3,H3178,I3178,J3178)</x:f>
        <x:v>0.671</x:v>
      </x:c>
      <x:c r="L3178" s="11" t="n">
        <x:f>K3178*'管线假设'!E691*'管线假设'!F691*'管线假设'!G691*IF(E3178="USD",'管线假设'!I691,1)-AM3178</x:f>
        <x:v>0.055022000000000015</x:v>
      </x:c>
      <x:c r="M3178" s="11" t="n">
        <x:f>'管线假设'!H691</x:f>
        <x:v>0.135</x:v>
      </x:c>
      <x:c r="N3178" s="11" t="n">
        <x:f>IF(G3178,L3178*AN3178/(1+M3178)^F3178,0)</x:f>
        <x:v>0.02838555297749326</x:v>
      </x:c>
      <x:c r="AJ3178" t="n">
        <x:v>0</x:v>
      </x:c>
      <x:c r="AK3178" t="n">
        <x:v>0</x:v>
      </x:c>
      <x:c r="AL3178" t="n">
        <x:v>0</x:v>
      </x:c>
      <x:c r="AM3178" t="n">
        <x:f>CHOOSE('假设'!$B$3,AJ3178,AK3178,AL3178)</x:f>
        <x:v>0</x:v>
      </x:c>
      <x:c r="AN3178" t="n">
        <x:v>1</x:v>
      </x:c>
    </x:row>
    <x:row r="3179" ht="23" customHeight="1">
      <x:c r="A3179" s="11" t="str">
        <x:v>688382.SH</x:v>
      </x:c>
      <x:c r="B3179" s="11" t="str">
        <x:v>三年</x:v>
      </x:c>
      <x:c r="C3179" s="11" t="str">
        <x:v>g12c_later_cn</x:v>
      </x:c>
      <x:c r="D3179" s="11" t="str">
        <x:v>2035-12-31</x:v>
      </x:c>
      <x:c r="E3179" s="11" t="str">
        <x:v>CNY</x:v>
      </x:c>
      <x:c r="F3179" s="11" t="n">
        <x:v>6.225872689938399</x:v>
      </x:c>
      <x:c r="G3179" s="26" t="b">
        <x:v>1</x:v>
      </x:c>
      <x:c r="H3179" s="16" t="n">
        <x:v>0.24</x:v>
      </x:c>
      <x:c r="I3179" s="16" t="n">
        <x:v>0.528</x:v>
      </x:c>
      <x:c r="J3179" s="16" t="n">
        <x:v>0.595</x:v>
      </x:c>
      <x:c r="K3179" s="11" t="n">
        <x:f>CHOOSE('假设'!$B$3,H3179,I3179,J3179)</x:f>
        <x:v>0.528</x:v>
      </x:c>
      <x:c r="L3179" s="11" t="n">
        <x:f>K3179*'管线假设'!E691*'管线假设'!F691*'管线假设'!G691*IF(E3179="USD",'管线假设'!I691,1)-AM3179</x:f>
        <x:v>0.04329600000000001</x:v>
      </x:c>
      <x:c r="M3179" s="11" t="n">
        <x:f>'管线假设'!H691</x:f>
        <x:v>0.135</x:v>
      </x:c>
      <x:c r="N3179" s="11" t="n">
        <x:f>IF(G3179,L3179*AN3179/(1+M3179)^F3179,0)</x:f>
        <x:v>0.019681153227937773</x:v>
      </x:c>
      <x:c r="AJ3179" t="n">
        <x:v>0</x:v>
      </x:c>
      <x:c r="AK3179" t="n">
        <x:v>0</x:v>
      </x:c>
      <x:c r="AL3179" t="n">
        <x:v>0</x:v>
      </x:c>
      <x:c r="AM3179" t="n">
        <x:f>CHOOSE('假设'!$B$3,AJ3179,AK3179,AL3179)</x:f>
        <x:v>0</x:v>
      </x:c>
      <x:c r="AN3179" t="n">
        <x:v>1</x:v>
      </x:c>
    </x:row>
    <x:row r="3180" ht="23" customHeight="1">
      <x:c r="A3180" s="11" t="str">
        <x:v>688382.SH</x:v>
      </x:c>
      <x:c r="B3180" s="11" t="str">
        <x:v>三年</x:v>
      </x:c>
      <x:c r="C3180" s="11" t="str">
        <x:v>g12c_later_cn</x:v>
      </x:c>
      <x:c r="D3180" s="11" t="str">
        <x:v>2036-12-31</x:v>
      </x:c>
      <x:c r="E3180" s="11" t="str">
        <x:v>CNY</x:v>
      </x:c>
      <x:c r="F3180" s="11" t="n">
        <x:v>7.227926078028747</x:v>
      </x:c>
      <x:c r="G3180" s="26" t="b">
        <x:v>1</x:v>
      </x:c>
      <x:c r="H3180" s="16" t="n">
        <x:v>0.175</x:v>
      </x:c>
      <x:c r="I3180" s="16" t="n">
        <x:v>0.385</x:v>
      </x:c>
      <x:c r="J3180" s="16" t="n">
        <x:v>0.37399999999999994</x:v>
      </x:c>
      <x:c r="K3180" s="11" t="n">
        <x:f>CHOOSE('假设'!$B$3,H3180,I3180,J3180)</x:f>
        <x:v>0.385</x:v>
      </x:c>
      <x:c r="L3180" s="11" t="n">
        <x:f>K3180*'管线假设'!E691*'管线假设'!F691*'管线假设'!G691*IF(E3180="USD",'管线假设'!I691,1)-AM3180</x:f>
        <x:v>0.03157000000000001</x:v>
      </x:c>
      <x:c r="M3180" s="11" t="n">
        <x:f>'管线假设'!H691</x:f>
        <x:v>0.135</x:v>
      </x:c>
      <x:c r="N3180" s="11" t="n">
        <x:f>IF(G3180,L3180*AN3180/(1+M3180)^F3180,0)</x:f>
        <x:v>0.012640625364807093</x:v>
      </x:c>
      <x:c r="AJ3180" t="n">
        <x:v>0</x:v>
      </x:c>
      <x:c r="AK3180" t="n">
        <x:v>0</x:v>
      </x:c>
      <x:c r="AL3180" t="n">
        <x:v>0</x:v>
      </x:c>
      <x:c r="AM3180" t="n">
        <x:f>CHOOSE('假设'!$B$3,AJ3180,AK3180,AL3180)</x:f>
        <x:v>0</x:v>
      </x:c>
      <x:c r="AN3180" t="n">
        <x:v>1</x:v>
      </x:c>
    </x:row>
    <x:row r="3181" ht="23" customHeight="1">
      <x:c r="A3181" s="11" t="str">
        <x:v>688382.SH</x:v>
      </x:c>
      <x:c r="B3181" s="11" t="str">
        <x:v>三年</x:v>
      </x:c>
      <x:c r="C3181" s="11" t="str">
        <x:v>g12c_later_cn</x:v>
      </x:c>
      <x:c r="D3181" s="11" t="str">
        <x:v>2037-12-31</x:v>
      </x:c>
      <x:c r="E3181" s="11" t="str">
        <x:v>CNY</x:v>
      </x:c>
      <x:c r="F3181" s="11" t="n">
        <x:v>8.227241615331964</x:v>
      </x:c>
      <x:c r="G3181" s="26" t="b">
        <x:v>1</x:v>
      </x:c>
      <x:c r="H3181" s="16" t="n">
        <x:v>0.10999999999999999</x:v>
      </x:c>
      <x:c r="I3181" s="16" t="n">
        <x:v>0.242</x:v>
      </x:c>
      <x:c r="J3181" s="16" t="n">
        <x:v>0.15299999999999994</x:v>
      </x:c>
      <x:c r="K3181" s="11" t="n">
        <x:f>CHOOSE('假设'!$B$3,H3181,I3181,J3181)</x:f>
        <x:v>0.242</x:v>
      </x:c>
      <x:c r="L3181" s="11" t="n">
        <x:f>K3181*'管线假设'!E691*'管线假设'!F691*'管线假设'!G691*IF(E3181="USD",'管线假设'!I691,1)-AM3181</x:f>
        <x:v>0.019844000000000004</x:v>
      </x:c>
      <x:c r="M3181" s="11" t="n">
        <x:f>'管线假设'!H691</x:f>
        <x:v>0.135</x:v>
      </x:c>
      <x:c r="N3181" s="11" t="n">
        <x:f>IF(G3181,L3181*AN3181/(1+M3181)^F3181,0)</x:f>
        <x:v>0.0070010789915030775</x:v>
      </x:c>
      <x:c r="AJ3181" t="n">
        <x:v>0</x:v>
      </x:c>
      <x:c r="AK3181" t="n">
        <x:v>0</x:v>
      </x:c>
      <x:c r="AL3181" t="n">
        <x:v>0</x:v>
      </x:c>
      <x:c r="AM3181" t="n">
        <x:f>CHOOSE('假设'!$B$3,AJ3181,AK3181,AL3181)</x:f>
        <x:v>0</x:v>
      </x:c>
      <x:c r="AN3181" t="n">
        <x:v>1</x:v>
      </x:c>
    </x:row>
    <x:row r="3182" ht="23" customHeight="1">
      <x:c r="A3182" s="11" t="str">
        <x:v>688382.SH</x:v>
      </x:c>
      <x:c r="B3182" s="11" t="str">
        <x:v>三年</x:v>
      </x:c>
      <x:c r="C3182" s="11" t="str">
        <x:v>g12c_later_cn</x:v>
      </x:c>
      <x:c r="D3182" s="11" t="str">
        <x:v>2038-12-31</x:v>
      </x:c>
      <x:c r="E3182" s="11" t="str">
        <x:v>CNY</x:v>
      </x:c>
      <x:c r="F3182" s="11" t="n">
        <x:v>9.22655715263518</x:v>
      </x:c>
      <x:c r="G3182" s="26" t="b">
        <x:v>1</x:v>
      </x:c>
      <x:c r="H3182" s="16" t="n">
        <x:v>0.044999999999999984</x:v>
      </x:c>
      <x:c r="I3182" s="16" t="n">
        <x:v>0.09899999999999998</x:v>
      </x:c>
      <x:c r="J3182" s="16" t="n">
        <x:v>0</x:v>
      </x:c>
      <x:c r="K3182" s="11" t="n">
        <x:f>CHOOSE('假设'!$B$3,H3182,I3182,J3182)</x:f>
        <x:v>0.09899999999999998</x:v>
      </x:c>
      <x:c r="L3182" s="11" t="n">
        <x:f>K3182*'管线假设'!E691*'管线假设'!F691*'管线假设'!G691*IF(E3182="USD",'管线假设'!I691,1)-AM3182</x:f>
        <x:v>0.008118</x:v>
      </x:c>
      <x:c r="M3182" s="11" t="n">
        <x:f>'管线假设'!H691</x:f>
        <x:v>0.135</x:v>
      </x:c>
      <x:c r="N3182" s="11" t="n">
        <x:f>IF(G3182,L3182*AN3182/(1+M3182)^F3182,0)</x:f>
        <x:v>0.002523635264214599</x:v>
      </x:c>
      <x:c r="AJ3182" t="n">
        <x:v>0</x:v>
      </x:c>
      <x:c r="AK3182" t="n">
        <x:v>0</x:v>
      </x:c>
      <x:c r="AL3182" t="n">
        <x:v>0</x:v>
      </x:c>
      <x:c r="AM3182" t="n">
        <x:f>CHOOSE('假设'!$B$3,AJ3182,AK3182,AL3182)</x:f>
        <x:v>0</x:v>
      </x:c>
      <x:c r="AN3182" t="n">
        <x:v>1</x:v>
      </x:c>
    </x:row>
    <x:row r="3183" ht="23" customHeight="1">
      <x:c r="A3183" s="11" t="str">
        <x:v>688382.SH</x:v>
      </x:c>
      <x:c r="B3183" s="11" t="str">
        <x:v>三年</x:v>
      </x:c>
      <x:c r="C3183" s="11" t="str">
        <x:v>g12c_later_cn</x:v>
      </x:c>
      <x:c r="D3183" s="11" t="str">
        <x:v>2039-12-31</x:v>
      </x:c>
      <x:c r="E3183" s="11" t="str">
        <x:v>CNY</x:v>
      </x:c>
      <x:c r="F3183" s="11" t="n">
        <x:v>10.225872689938399</x:v>
      </x:c>
      <x:c r="G3183" s="26" t="b">
        <x:v>1</x:v>
      </x:c>
      <x:c r="H3183" s="16" t="n">
        <x:v>0</x:v>
      </x:c>
      <x:c r="I3183" s="16" t="n">
        <x:v>0</x:v>
      </x:c>
      <x:c r="J3183" s="16" t="n">
        <x:v>0</x:v>
      </x:c>
      <x:c r="K3183" s="11" t="n">
        <x:f>CHOOSE('假设'!$B$3,H3183,I3183,J3183)</x:f>
        <x:v>0</x:v>
      </x:c>
      <x:c r="L3183" s="11" t="n">
        <x:f>K3183*'管线假设'!E691*'管线假设'!F691*'管线假设'!G691*IF(E3183="USD",'管线假设'!I691,1)-AM3183</x:f>
        <x:v>0</x:v>
      </x:c>
      <x:c r="M3183" s="11" t="n">
        <x:f>'管线假设'!H691</x:f>
        <x:v>0.135</x:v>
      </x:c>
      <x:c r="N3183" s="11" t="n">
        <x:f>IF(G3183,L3183*AN3183/(1+M3183)^F3183,0)</x:f>
        <x:v>0</x:v>
      </x:c>
      <x:c r="AJ3183" t="n">
        <x:v>0</x:v>
      </x:c>
      <x:c r="AK3183" t="n">
        <x:v>0</x:v>
      </x:c>
      <x:c r="AL3183" t="n">
        <x:v>0</x:v>
      </x:c>
      <x:c r="AM3183" t="n">
        <x:f>CHOOSE('假设'!$B$3,AJ3183,AK3183,AL3183)</x:f>
        <x:v>0</x:v>
      </x:c>
      <x:c r="AN3183" t="n">
        <x:v>1</x:v>
      </x:c>
    </x:row>
    <x:row r="3184" ht="23" customHeight="1">
      <x:c r="A3184" s="11" t="str">
        <x:v>688382.SH</x:v>
      </x:c>
      <x:c r="B3184" s="11" t="str">
        <x:v>三年</x:v>
      </x:c>
      <x:c r="C3184" s="11" t="str">
        <x:v>g12c_later_cn</x:v>
      </x:c>
      <x:c r="D3184" s="11" t="str">
        <x:v>2040-12-31</x:v>
      </x:c>
      <x:c r="E3184" s="11" t="str">
        <x:v>CNY</x:v>
      </x:c>
      <x:c r="F3184" s="11" t="n">
        <x:v>11.227926078028748</x:v>
      </x:c>
      <x:c r="G3184" s="26" t="b">
        <x:v>1</x:v>
      </x:c>
      <x:c r="H3184" s="16" t="n">
        <x:v>0</x:v>
      </x:c>
      <x:c r="I3184" s="16" t="n">
        <x:v>0</x:v>
      </x:c>
      <x:c r="J3184" s="16" t="n">
        <x:v>0</x:v>
      </x:c>
      <x:c r="K3184" s="11" t="n">
        <x:f>CHOOSE('假设'!$B$3,H3184,I3184,J3184)</x:f>
        <x:v>0</x:v>
      </x:c>
      <x:c r="L3184" s="11" t="n">
        <x:f>K3184*'管线假设'!E691*'管线假设'!F691*'管线假设'!G691*IF(E3184="USD",'管线假设'!I691,1)-AM3184</x:f>
        <x:v>0</x:v>
      </x:c>
      <x:c r="M3184" s="11" t="n">
        <x:f>'管线假设'!H691</x:f>
        <x:v>0.135</x:v>
      </x:c>
      <x:c r="N3184" s="11" t="n">
        <x:f>IF(G3184,L3184*AN3184/(1+M3184)^F3184,0)</x:f>
        <x:v>0</x:v>
      </x:c>
      <x:c r="AJ3184" t="n">
        <x:v>0</x:v>
      </x:c>
      <x:c r="AK3184" t="n">
        <x:v>0</x:v>
      </x:c>
      <x:c r="AL3184" t="n">
        <x:v>0</x:v>
      </x:c>
      <x:c r="AM3184" t="n">
        <x:f>CHOOSE('假设'!$B$3,AJ3184,AK3184,AL3184)</x:f>
        <x:v>0</x:v>
      </x:c>
      <x:c r="AN3184" t="n">
        <x:v>1</x:v>
      </x:c>
    </x:row>
    <x:row r="3185" ht="23" customHeight="1">
      <x:c r="A3185" s="11" t="str">
        <x:v>688382.SH</x:v>
      </x:c>
      <x:c r="B3185" s="11" t="str">
        <x:v>三年</x:v>
      </x:c>
      <x:c r="C3185" s="11" t="str">
        <x:v>g12c_later_cn</x:v>
      </x:c>
      <x:c r="D3185" s="11" t="str">
        <x:v>2041-12-31</x:v>
      </x:c>
      <x:c r="E3185" s="11" t="str">
        <x:v>CNY</x:v>
      </x:c>
      <x:c r="F3185" s="11" t="n">
        <x:v>12.227241615331964</x:v>
      </x:c>
      <x:c r="G3185" s="26" t="b">
        <x:v>1</x:v>
      </x:c>
      <x:c r="H3185" s="16" t="n">
        <x:v>0</x:v>
      </x:c>
      <x:c r="I3185" s="16" t="n">
        <x:v>0</x:v>
      </x:c>
      <x:c r="J3185" s="16" t="n">
        <x:v>0</x:v>
      </x:c>
      <x:c r="K3185" s="11" t="n">
        <x:f>CHOOSE('假设'!$B$3,H3185,I3185,J3185)</x:f>
        <x:v>0</x:v>
      </x:c>
      <x:c r="L3185" s="11" t="n">
        <x:f>K3185*'管线假设'!E691*'管线假设'!F691*'管线假设'!G691*IF(E3185="USD",'管线假设'!I691,1)-AM3185</x:f>
        <x:v>0</x:v>
      </x:c>
      <x:c r="M3185" s="11" t="n">
        <x:f>'管线假设'!H691</x:f>
        <x:v>0.135</x:v>
      </x:c>
      <x:c r="N3185" s="11" t="n">
        <x:f>IF(G3185,L3185*AN3185/(1+M3185)^F3185,0)</x:f>
        <x:v>0</x:v>
      </x:c>
      <x:c r="AJ3185" t="n">
        <x:v>0</x:v>
      </x:c>
      <x:c r="AK3185" t="n">
        <x:v>0</x:v>
      </x:c>
      <x:c r="AL3185" t="n">
        <x:v>0</x:v>
      </x:c>
      <x:c r="AM3185" t="n">
        <x:f>CHOOSE('假设'!$B$3,AJ3185,AK3185,AL3185)</x:f>
        <x:v>0</x:v>
      </x:c>
      <x:c r="AN3185" t="n">
        <x:v>1</x:v>
      </x:c>
    </x:row>
    <x:row r="3186" ht="23" customHeight="1">
      <x:c r="A3186" s="11" t="str">
        <x:v>688382.SH</x:v>
      </x:c>
      <x:c r="B3186" s="11" t="str">
        <x:v>三年</x:v>
      </x:c>
      <x:c r="C3186" s="11" t="str">
        <x:v>g12c_later_cn</x:v>
      </x:c>
      <x:c r="D3186" s="11" t="str">
        <x:v>2042-12-31</x:v>
      </x:c>
      <x:c r="E3186" s="11" t="str">
        <x:v>CNY</x:v>
      </x:c>
      <x:c r="F3186" s="11" t="n">
        <x:v>13.22655715263518</x:v>
      </x:c>
      <x:c r="G3186" s="26" t="b">
        <x:v>1</x:v>
      </x:c>
      <x:c r="H3186" s="16" t="n">
        <x:v>0</x:v>
      </x:c>
      <x:c r="I3186" s="16" t="n">
        <x:v>0</x:v>
      </x:c>
      <x:c r="J3186" s="16" t="n">
        <x:v>0</x:v>
      </x:c>
      <x:c r="K3186" s="11" t="n">
        <x:f>CHOOSE('假设'!$B$3,H3186,I3186,J3186)</x:f>
        <x:v>0</x:v>
      </x:c>
      <x:c r="L3186" s="11" t="n">
        <x:f>K3186*'管线假设'!E691*'管线假设'!F691*'管线假设'!G691*IF(E3186="USD",'管线假设'!I691,1)-AM3186</x:f>
        <x:v>0</x:v>
      </x:c>
      <x:c r="M3186" s="11" t="n">
        <x:f>'管线假设'!H691</x:f>
        <x:v>0.135</x:v>
      </x:c>
      <x:c r="N3186" s="11" t="n">
        <x:f>IF(G3186,L3186*AN3186/(1+M3186)^F3186,0)</x:f>
        <x:v>0</x:v>
      </x:c>
      <x:c r="AJ3186" t="n">
        <x:v>0</x:v>
      </x:c>
      <x:c r="AK3186" t="n">
        <x:v>0</x:v>
      </x:c>
      <x:c r="AL3186" t="n">
        <x:v>0</x:v>
      </x:c>
      <x:c r="AM3186" t="n">
        <x:f>CHOOSE('假设'!$B$3,AJ3186,AK3186,AL3186)</x:f>
        <x:v>0</x:v>
      </x:c>
      <x:c r="AN3186" t="n">
        <x:v>1</x:v>
      </x:c>
    </x:row>
    <x:row r="3187" ht="23" customHeight="1">
      <x:c r="A3187" s="11" t="str">
        <x:v>688382.SH</x:v>
      </x:c>
      <x:c r="B3187" s="11" t="str">
        <x:v>三年</x:v>
      </x:c>
      <x:c r="C3187" s="11" t="str">
        <x:v>g12c_later_cn</x:v>
      </x:c>
      <x:c r="D3187" s="11" t="str">
        <x:v>2043-12-31</x:v>
      </x:c>
      <x:c r="E3187" s="11" t="str">
        <x:v>CNY</x:v>
      </x:c>
      <x:c r="F3187" s="11" t="n">
        <x:v>14.225872689938399</x:v>
      </x:c>
      <x:c r="G3187" s="26" t="b">
        <x:v>1</x:v>
      </x:c>
      <x:c r="H3187" s="16" t="n">
        <x:v>0</x:v>
      </x:c>
      <x:c r="I3187" s="16" t="n">
        <x:v>0</x:v>
      </x:c>
      <x:c r="J3187" s="16" t="n">
        <x:v>0</x:v>
      </x:c>
      <x:c r="K3187" s="11" t="n">
        <x:f>CHOOSE('假设'!$B$3,H3187,I3187,J3187)</x:f>
        <x:v>0</x:v>
      </x:c>
      <x:c r="L3187" s="11" t="n">
        <x:f>K3187*'管线假设'!E691*'管线假设'!F691*'管线假设'!G691*IF(E3187="USD",'管线假设'!I691,1)-AM3187</x:f>
        <x:v>0</x:v>
      </x:c>
      <x:c r="M3187" s="11" t="n">
        <x:f>'管线假设'!H691</x:f>
        <x:v>0.135</x:v>
      </x:c>
      <x:c r="N3187" s="11" t="n">
        <x:f>IF(G3187,L3187*AN3187/(1+M3187)^F3187,0)</x:f>
        <x:v>0</x:v>
      </x:c>
      <x:c r="AJ3187" t="n">
        <x:v>0</x:v>
      </x:c>
      <x:c r="AK3187" t="n">
        <x:v>0</x:v>
      </x:c>
      <x:c r="AL3187" t="n">
        <x:v>0</x:v>
      </x:c>
      <x:c r="AM3187" t="n">
        <x:f>CHOOSE('假设'!$B$3,AJ3187,AK3187,AL3187)</x:f>
        <x:v>0</x:v>
      </x:c>
      <x:c r="AN3187" t="n">
        <x:v>1</x:v>
      </x:c>
    </x:row>
    <x:row r="3188" ht="23" customHeight="1">
      <x:c r="A3188" s="11" t="str">
        <x:v>688382.SH</x:v>
      </x:c>
      <x:c r="B3188" s="11" t="str">
        <x:v>三年</x:v>
      </x:c>
      <x:c r="C3188" s="11" t="str">
        <x:v>g12c_later_cn</x:v>
      </x:c>
      <x:c r="D3188" s="11" t="str">
        <x:v>2044-12-31</x:v>
      </x:c>
      <x:c r="E3188" s="11" t="str">
        <x:v>CNY</x:v>
      </x:c>
      <x:c r="F3188" s="11" t="n">
        <x:v>15.227926078028748</x:v>
      </x:c>
      <x:c r="G3188" s="26" t="b">
        <x:v>1</x:v>
      </x:c>
      <x:c r="H3188" s="16" t="n">
        <x:v>0</x:v>
      </x:c>
      <x:c r="I3188" s="16" t="n">
        <x:v>0</x:v>
      </x:c>
      <x:c r="J3188" s="16" t="n">
        <x:v>0</x:v>
      </x:c>
      <x:c r="K3188" s="11" t="n">
        <x:f>CHOOSE('假设'!$B$3,H3188,I3188,J3188)</x:f>
        <x:v>0</x:v>
      </x:c>
      <x:c r="L3188" s="11" t="n">
        <x:f>K3188*'管线假设'!E691*'管线假设'!F691*'管线假设'!G691*IF(E3188="USD",'管线假设'!I691,1)-AM3188</x:f>
        <x:v>0</x:v>
      </x:c>
      <x:c r="M3188" s="11" t="n">
        <x:f>'管线假设'!H691</x:f>
        <x:v>0.135</x:v>
      </x:c>
      <x:c r="N3188" s="11" t="n">
        <x:f>IF(G3188,L3188*AN3188/(1+M3188)^F3188,0)</x:f>
        <x:v>0</x:v>
      </x:c>
      <x:c r="AJ3188" t="n">
        <x:v>0</x:v>
      </x:c>
      <x:c r="AK3188" t="n">
        <x:v>0</x:v>
      </x:c>
      <x:c r="AL3188" t="n">
        <x:v>0</x:v>
      </x:c>
      <x:c r="AM3188" t="n">
        <x:f>CHOOSE('假设'!$B$3,AJ3188,AK3188,AL3188)</x:f>
        <x:v>0</x:v>
      </x:c>
      <x:c r="AN3188" t="n">
        <x:v>1</x:v>
      </x:c>
    </x:row>
    <x:row r="3189" ht="23" customHeight="1">
      <x:c r="A3189" s="11" t="str">
        <x:v>688382.SH</x:v>
      </x:c>
      <x:c r="B3189" s="11" t="str">
        <x:v>三年</x:v>
      </x:c>
      <x:c r="C3189" s="11" t="str">
        <x:v>g12c_later_cn</x:v>
      </x:c>
      <x:c r="D3189" s="11" t="str">
        <x:v>2045-12-31</x:v>
      </x:c>
      <x:c r="E3189" s="11" t="str">
        <x:v>CNY</x:v>
      </x:c>
      <x:c r="F3189" s="11" t="n">
        <x:v>16.227241615331966</x:v>
      </x:c>
      <x:c r="G3189" s="26" t="b">
        <x:v>1</x:v>
      </x:c>
      <x:c r="H3189" s="16" t="n">
        <x:v>0</x:v>
      </x:c>
      <x:c r="I3189" s="16" t="n">
        <x:v>0</x:v>
      </x:c>
      <x:c r="J3189" s="16" t="n">
        <x:v>0</x:v>
      </x:c>
      <x:c r="K3189" s="11" t="n">
        <x:f>CHOOSE('假设'!$B$3,H3189,I3189,J3189)</x:f>
        <x:v>0</x:v>
      </x:c>
      <x:c r="L3189" s="11" t="n">
        <x:f>K3189*'管线假设'!E691*'管线假设'!F691*'管线假设'!G691*IF(E3189="USD",'管线假设'!I691,1)-AM3189</x:f>
        <x:v>0</x:v>
      </x:c>
      <x:c r="M3189" s="11" t="n">
        <x:f>'管线假设'!H691</x:f>
        <x:v>0.135</x:v>
      </x:c>
      <x:c r="N3189" s="11" t="n">
        <x:f>IF(G3189,L3189*AN3189/(1+M3189)^F3189,0)</x:f>
        <x:v>0</x:v>
      </x:c>
      <x:c r="AJ3189" t="n">
        <x:v>0</x:v>
      </x:c>
      <x:c r="AK3189" t="n">
        <x:v>0</x:v>
      </x:c>
      <x:c r="AL3189" t="n">
        <x:v>0</x:v>
      </x:c>
      <x:c r="AM3189" t="n">
        <x:f>CHOOSE('假设'!$B$3,AJ3189,AK3189,AL3189)</x:f>
        <x:v>0</x:v>
      </x:c>
      <x:c r="AN3189" t="n">
        <x:v>1</x:v>
      </x:c>
    </x:row>
    <x:row r="3190" ht="23" customHeight="1">
      <x:c r="A3190" s="11" t="str">
        <x:v>688382.SH</x:v>
      </x:c>
      <x:c r="B3190" s="11" t="str">
        <x:v>三年</x:v>
      </x:c>
      <x:c r="C3190" s="11" t="str">
        <x:v>g12c_first_cn</x:v>
      </x:c>
      <x:c r="D3190" s="11" t="str">
        <x:v>2027-12-31</x:v>
      </x:c>
      <x:c r="E3190" s="11" t="str">
        <x:v>CNY</x:v>
      </x:c>
      <x:c r="F3190" s="11" t="n">
        <x:v>-1.7741273100616017</x:v>
      </x:c>
      <x:c r="G3190" s="26" t="b">
        <x:v>0</x:v>
      </x:c>
      <x:c r="H3190" s="16" t="n">
        <x:v>0</x:v>
      </x:c>
      <x:c r="I3190" s="16" t="n">
        <x:v>0</x:v>
      </x:c>
      <x:c r="J3190" s="16" t="n">
        <x:v>0</x:v>
      </x:c>
      <x:c r="K3190" s="11" t="n">
        <x:f>CHOOSE('假设'!$B$3,H3190,I3190,J3190)</x:f>
        <x:v>0</x:v>
      </x:c>
      <x:c r="L3190" s="11" t="n">
        <x:f>K3190*'管线假设'!E695*'管线假设'!F695*'管线假设'!G695*IF(E3190="USD",'管线假设'!I695,1)-AM3190</x:f>
        <x:v>0</x:v>
      </x:c>
      <x:c r="M3190" s="11" t="n">
        <x:f>'管线假设'!H695</x:f>
        <x:v>0.135</x:v>
      </x:c>
      <x:c r="N3190" s="11" t="n">
        <x:f>IF(G3190,L3190*AN3190/(1+M3190)^F3190,0)</x:f>
        <x:v>0</x:v>
      </x:c>
      <x:c r="AJ3190" t="n">
        <x:v>0</x:v>
      </x:c>
      <x:c r="AK3190" t="n">
        <x:v>0</x:v>
      </x:c>
      <x:c r="AL3190" t="n">
        <x:v>0</x:v>
      </x:c>
      <x:c r="AM3190" t="n">
        <x:f>CHOOSE('假设'!$B$3,AJ3190,AK3190,AL3190)</x:f>
        <x:v>0</x:v>
      </x:c>
      <x:c r="AN3190" t="n">
        <x:v>1</x:v>
      </x:c>
    </x:row>
    <x:row r="3191" ht="23" customHeight="1">
      <x:c r="A3191" s="11" t="str">
        <x:v>688382.SH</x:v>
      </x:c>
      <x:c r="B3191" s="11" t="str">
        <x:v>三年</x:v>
      </x:c>
      <x:c r="C3191" s="11" t="str">
        <x:v>g12c_first_cn</x:v>
      </x:c>
      <x:c r="D3191" s="11" t="str">
        <x:v>2028-12-31</x:v>
      </x:c>
      <x:c r="E3191" s="11" t="str">
        <x:v>CNY</x:v>
      </x:c>
      <x:c r="F3191" s="11" t="n">
        <x:v>-0.7720739219712526</x:v>
      </x:c>
      <x:c r="G3191" s="26" t="b">
        <x:v>0</x:v>
      </x:c>
      <x:c r="H3191" s="16" t="n">
        <x:v>0</x:v>
      </x:c>
      <x:c r="I3191" s="16" t="n">
        <x:v>0</x:v>
      </x:c>
      <x:c r="J3191" s="16" t="n">
        <x:v>0.52</x:v>
      </x:c>
      <x:c r="K3191" s="11" t="n">
        <x:f>CHOOSE('假设'!$B$3,H3191,I3191,J3191)</x:f>
        <x:v>0</x:v>
      </x:c>
      <x:c r="L3191" s="11" t="n">
        <x:f>K3191*'管线假设'!E695*'管线假设'!F695*'管线假设'!G695*IF(E3191="USD",'管线假设'!I695,1)-AM3191</x:f>
        <x:v>0</x:v>
      </x:c>
      <x:c r="M3191" s="11" t="n">
        <x:f>'管线假设'!H695</x:f>
        <x:v>0.135</x:v>
      </x:c>
      <x:c r="N3191" s="11" t="n">
        <x:f>IF(G3191,L3191*AN3191/(1+M3191)^F3191,0)</x:f>
        <x:v>0</x:v>
      </x:c>
      <x:c r="AJ3191" t="n">
        <x:v>0</x:v>
      </x:c>
      <x:c r="AK3191" t="n">
        <x:v>0</x:v>
      </x:c>
      <x:c r="AL3191" t="n">
        <x:v>0</x:v>
      </x:c>
      <x:c r="AM3191" t="n">
        <x:f>CHOOSE('假设'!$B$3,AJ3191,AK3191,AL3191)</x:f>
        <x:v>0</x:v>
      </x:c>
      <x:c r="AN3191" t="n">
        <x:v>1</x:v>
      </x:c>
    </x:row>
    <x:row r="3192" ht="23" customHeight="1">
      <x:c r="A3192" s="11" t="str">
        <x:v>688382.SH</x:v>
      </x:c>
      <x:c r="B3192" s="11" t="str">
        <x:v>三年</x:v>
      </x:c>
      <x:c r="C3192" s="11" t="str">
        <x:v>g12c_first_cn</x:v>
      </x:c>
      <x:c r="D3192" s="11" t="str">
        <x:v>2029-12-31</x:v>
      </x:c>
      <x:c r="E3192" s="11" t="str">
        <x:v>CNY</x:v>
      </x:c>
      <x:c r="F3192" s="11" t="n">
        <x:v>0.2272416153319644</x:v>
      </x:c>
      <x:c r="G3192" s="26" t="b">
        <x:v>1</x:v>
      </x:c>
      <x:c r="H3192" s="16" t="n">
        <x:v>0</x:v>
      </x:c>
      <x:c r="I3192" s="16" t="n">
        <x:v>0.26666666666666666</x:v>
      </x:c>
      <x:c r="J3192" s="16" t="n">
        <x:v>1.04</x:v>
      </x:c>
      <x:c r="K3192" s="11" t="n">
        <x:f>CHOOSE('假设'!$B$3,H3192,I3192,J3192)</x:f>
        <x:v>0.26666666666666666</x:v>
      </x:c>
      <x:c r="L3192" s="11" t="n">
        <x:f>K3192*'管线假设'!E695*'管线假设'!F695*'管线假设'!G695*IF(E3192="USD",'管线假设'!I695,1)-AM3192</x:f>
        <x:v>0.013224960000000003</x:v>
      </x:c>
      <x:c r="M3192" s="11" t="n">
        <x:f>'管线假设'!H695</x:f>
        <x:v>0.135</x:v>
      </x:c>
      <x:c r="N3192" s="11" t="n">
        <x:f>IF(G3192,L3192*AN3192/(1+M3192)^F3192,0)</x:f>
        <x:v>0.012849819248956769</x:v>
      </x:c>
      <x:c r="AJ3192" t="n">
        <x:v>0</x:v>
      </x:c>
      <x:c r="AK3192" t="n">
        <x:v>0</x:v>
      </x:c>
      <x:c r="AL3192" t="n">
        <x:v>0</x:v>
      </x:c>
      <x:c r="AM3192" t="n">
        <x:f>CHOOSE('假设'!$B$3,AJ3192,AK3192,AL3192)</x:f>
        <x:v>0</x:v>
      </x:c>
      <x:c r="AN3192" t="n">
        <x:v>1</x:v>
      </x:c>
    </x:row>
    <x:row r="3193" ht="23" customHeight="1">
      <x:c r="A3193" s="11" t="str">
        <x:v>688382.SH</x:v>
      </x:c>
      <x:c r="B3193" s="11" t="str">
        <x:v>三年</x:v>
      </x:c>
      <x:c r="C3193" s="11" t="str">
        <x:v>g12c_first_cn</x:v>
      </x:c>
      <x:c r="D3193" s="11" t="str">
        <x:v>2030-12-31</x:v>
      </x:c>
      <x:c r="E3193" s="11" t="str">
        <x:v>CNY</x:v>
      </x:c>
      <x:c r="F3193" s="11" t="n">
        <x:v>1.2265571526351813</x:v>
      </x:c>
      <x:c r="G3193" s="26" t="b">
        <x:v>1</x:v>
      </x:c>
      <x:c r="H3193" s="16" t="n">
        <x:v>0</x:v>
      </x:c>
      <x:c r="I3193" s="16" t="n">
        <x:v>0.5333333333333333</x:v>
      </x:c>
      <x:c r="J3193" s="16" t="n">
        <x:v>1.56</x:v>
      </x:c>
      <x:c r="K3193" s="11" t="n">
        <x:f>CHOOSE('假设'!$B$3,H3193,I3193,J3193)</x:f>
        <x:v>0.5333333333333333</x:v>
      </x:c>
      <x:c r="L3193" s="11" t="n">
        <x:f>K3193*'管线假设'!E695*'管线假设'!F695*'管线假设'!G695*IF(E3193="USD",'管线假设'!I695,1)-AM3193</x:f>
        <x:v>0.026449920000000005</x:v>
      </x:c>
      <x:c r="M3193" s="11" t="n">
        <x:f>'管线假设'!H695</x:f>
        <x:v>0.135</x:v>
      </x:c>
      <x:c r="N3193" s="11" t="n">
        <x:f>IF(G3193,L3193*AN3193/(1+M3193)^F3193,0)</x:f>
        <x:v>0.022644815963868477</x:v>
      </x:c>
      <x:c r="AJ3193" t="n">
        <x:v>0</x:v>
      </x:c>
      <x:c r="AK3193" t="n">
        <x:v>0</x:v>
      </x:c>
      <x:c r="AL3193" t="n">
        <x:v>0</x:v>
      </x:c>
      <x:c r="AM3193" t="n">
        <x:f>CHOOSE('假设'!$B$3,AJ3193,AK3193,AL3193)</x:f>
        <x:v>0</x:v>
      </x:c>
      <x:c r="AN3193" t="n">
        <x:v>1</x:v>
      </x:c>
    </x:row>
    <x:row r="3194" ht="23" customHeight="1">
      <x:c r="A3194" s="11" t="str">
        <x:v>688382.SH</x:v>
      </x:c>
      <x:c r="B3194" s="11" t="str">
        <x:v>三年</x:v>
      </x:c>
      <x:c r="C3194" s="11" t="str">
        <x:v>g12c_first_cn</x:v>
      </x:c>
      <x:c r="D3194" s="11" t="str">
        <x:v>2031-12-31</x:v>
      </x:c>
      <x:c r="E3194" s="11" t="str">
        <x:v>CNY</x:v>
      </x:c>
      <x:c r="F3194" s="11" t="n">
        <x:v>2.2258726899383983</x:v>
      </x:c>
      <x:c r="G3194" s="26" t="b">
        <x:v>1</x:v>
      </x:c>
      <x:c r="H3194" s="16" t="n">
        <x:v>0</x:v>
      </x:c>
      <x:c r="I3194" s="16" t="n">
        <x:v>0.8</x:v>
      </x:c>
      <x:c r="J3194" s="16" t="n">
        <x:v>2.08</x:v>
      </x:c>
      <x:c r="K3194" s="11" t="n">
        <x:f>CHOOSE('假设'!$B$3,H3194,I3194,J3194)</x:f>
        <x:v>0.8</x:v>
      </x:c>
      <x:c r="L3194" s="11" t="n">
        <x:f>K3194*'管线假设'!E695*'管线假设'!F695*'管线假设'!G695*IF(E3194="USD",'管线假设'!I695,1)-AM3194</x:f>
        <x:v>0.03967488000000001</x:v>
      </x:c>
      <x:c r="M3194" s="11" t="n">
        <x:f>'管线假设'!H695</x:f>
        <x:v>0.135</x:v>
      </x:c>
      <x:c r="N3194" s="11" t="n">
        <x:f>IF(G3194,L3194*AN3194/(1+M3194)^F3194,0)</x:f>
        <x:v>0.029929663606694544</x:v>
      </x:c>
      <x:c r="AJ3194" t="n">
        <x:v>0</x:v>
      </x:c>
      <x:c r="AK3194" t="n">
        <x:v>0</x:v>
      </x:c>
      <x:c r="AL3194" t="n">
        <x:v>0</x:v>
      </x:c>
      <x:c r="AM3194" t="n">
        <x:f>CHOOSE('假设'!$B$3,AJ3194,AK3194,AL3194)</x:f>
        <x:v>0</x:v>
      </x:c>
      <x:c r="AN3194" t="n">
        <x:v>1</x:v>
      </x:c>
    </x:row>
    <x:row r="3195" ht="23" customHeight="1">
      <x:c r="A3195" s="11" t="str">
        <x:v>688382.SH</x:v>
      </x:c>
      <x:c r="B3195" s="11" t="str">
        <x:v>三年</x:v>
      </x:c>
      <x:c r="C3195" s="11" t="str">
        <x:v>g12c_first_cn</x:v>
      </x:c>
      <x:c r="D3195" s="11" t="str">
        <x:v>2032-12-31</x:v>
      </x:c>
      <x:c r="E3195" s="11" t="str">
        <x:v>CNY</x:v>
      </x:c>
      <x:c r="F3195" s="11" t="n">
        <x:v>3.2279260780287475</x:v>
      </x:c>
      <x:c r="G3195" s="26" t="b">
        <x:v>1</x:v>
      </x:c>
      <x:c r="H3195" s="16" t="n">
        <x:v>0.13999999999999999</x:v>
      </x:c>
      <x:c r="I3195" s="16" t="n">
        <x:v>1.0666666666666667</x:v>
      </x:c>
      <x:c r="J3195" s="16" t="n">
        <x:v>2.6</x:v>
      </x:c>
      <x:c r="K3195" s="11" t="n">
        <x:f>CHOOSE('假设'!$B$3,H3195,I3195,J3195)</x:f>
        <x:v>1.0666666666666667</x:v>
      </x:c>
      <x:c r="L3195" s="11" t="n">
        <x:f>K3195*'管线假设'!E695*'管线假设'!F695*'管线假设'!G695*IF(E3195="USD",'管线假设'!I695,1)-AM3195</x:f>
        <x:v>0.05289984000000001</x:v>
      </x:c>
      <x:c r="M3195" s="11" t="n">
        <x:f>'管线假设'!H695</x:f>
        <x:v>0.135</x:v>
      </x:c>
      <x:c r="N3195" s="11" t="n">
        <x:f>IF(G3195,L3195*AN3195/(1+M3195)^F3195,0)</x:f>
        <x:v>0.03515052232411485</x:v>
      </x:c>
      <x:c r="AJ3195" t="n">
        <x:v>0</x:v>
      </x:c>
      <x:c r="AK3195" t="n">
        <x:v>0</x:v>
      </x:c>
      <x:c r="AL3195" t="n">
        <x:v>0</x:v>
      </x:c>
      <x:c r="AM3195" t="n">
        <x:f>CHOOSE('假设'!$B$3,AJ3195,AK3195,AL3195)</x:f>
        <x:v>0</x:v>
      </x:c>
      <x:c r="AN3195" t="n">
        <x:v>1</x:v>
      </x:c>
    </x:row>
    <x:row r="3196" ht="23" customHeight="1">
      <x:c r="A3196" s="11" t="str">
        <x:v>688382.SH</x:v>
      </x:c>
      <x:c r="B3196" s="11" t="str">
        <x:v>三年</x:v>
      </x:c>
      <x:c r="C3196" s="11" t="str">
        <x:v>g12c_first_cn</x:v>
      </x:c>
      <x:c r="D3196" s="11" t="str">
        <x:v>2033-12-31</x:v>
      </x:c>
      <x:c r="E3196" s="11" t="str">
        <x:v>CNY</x:v>
      </x:c>
      <x:c r="F3196" s="11" t="n">
        <x:v>4.227241615331964</x:v>
      </x:c>
      <x:c r="G3196" s="26" t="b">
        <x:v>1</x:v>
      </x:c>
      <x:c r="H3196" s="16" t="n">
        <x:v>0.27999999999999997</x:v>
      </x:c>
      <x:c r="I3196" s="16" t="n">
        <x:v>1.3333333333333335</x:v>
      </x:c>
      <x:c r="J3196" s="16" t="n">
        <x:v>2.262</x:v>
      </x:c>
      <x:c r="K3196" s="11" t="n">
        <x:f>CHOOSE('假设'!$B$3,H3196,I3196,J3196)</x:f>
        <x:v>1.3333333333333335</x:v>
      </x:c>
      <x:c r="L3196" s="11" t="n">
        <x:f>K3196*'管线假设'!E695*'管线假设'!F695*'管线假设'!G695*IF(E3196="USD",'管线假设'!I695,1)-AM3196</x:f>
        <x:v>0.06612480000000003</x:v>
      </x:c>
      <x:c r="M3196" s="11" t="n">
        <x:f>'管线假设'!H695</x:f>
        <x:v>0.135</x:v>
      </x:c>
      <x:c r="N3196" s="11" t="n">
        <x:f>IF(G3196,L3196*AN3196/(1+M3196)^F3196,0)</x:f>
        <x:v>0.038715384514457954</x:v>
      </x:c>
      <x:c r="AJ3196" t="n">
        <x:v>0</x:v>
      </x:c>
      <x:c r="AK3196" t="n">
        <x:v>0</x:v>
      </x:c>
      <x:c r="AL3196" t="n">
        <x:v>0</x:v>
      </x:c>
      <x:c r="AM3196" t="n">
        <x:f>CHOOSE('假设'!$B$3,AJ3196,AK3196,AL3196)</x:f>
        <x:v>0</x:v>
      </x:c>
      <x:c r="AN3196" t="n">
        <x:v>1</x:v>
      </x:c>
    </x:row>
    <x:row r="3197" ht="23" customHeight="1">
      <x:c r="A3197" s="11" t="str">
        <x:v>688382.SH</x:v>
      </x:c>
      <x:c r="B3197" s="11" t="str">
        <x:v>三年</x:v>
      </x:c>
      <x:c r="C3197" s="11" t="str">
        <x:v>g12c_first_cn</x:v>
      </x:c>
      <x:c r="D3197" s="11" t="str">
        <x:v>2034-12-31</x:v>
      </x:c>
      <x:c r="E3197" s="11" t="str">
        <x:v>CNY</x:v>
      </x:c>
      <x:c r="F3197" s="11" t="n">
        <x:v>5.2265571526351815</x:v>
      </x:c>
      <x:c r="G3197" s="26" t="b">
        <x:v>1</x:v>
      </x:c>
      <x:c r="H3197" s="16" t="n">
        <x:v>0.42</x:v>
      </x:c>
      <x:c r="I3197" s="16" t="n">
        <x:v>1.6</x:v>
      </x:c>
      <x:c r="J3197" s="16" t="n">
        <x:v>1.924</x:v>
      </x:c>
      <x:c r="K3197" s="11" t="n">
        <x:f>CHOOSE('假设'!$B$3,H3197,I3197,J3197)</x:f>
        <x:v>1.6</x:v>
      </x:c>
      <x:c r="L3197" s="11" t="n">
        <x:f>K3197*'管线假设'!E695*'管线假设'!F695*'管线假设'!G695*IF(E3197="USD",'管线假设'!I695,1)-AM3197</x:f>
        <x:v>0.07934976000000002</x:v>
      </x:c>
      <x:c r="M3197" s="11" t="n">
        <x:f>'管线假设'!H695</x:f>
        <x:v>0.135</x:v>
      </x:c>
      <x:c r="N3197" s="11" t="n">
        <x:f>IF(G3197,L3197*AN3197/(1+M3197)^F3197,0)</x:f>
        <x:v>0.04093611312259416</x:v>
      </x:c>
      <x:c r="AJ3197" t="n">
        <x:v>0</x:v>
      </x:c>
      <x:c r="AK3197" t="n">
        <x:v>0</x:v>
      </x:c>
      <x:c r="AL3197" t="n">
        <x:v>0</x:v>
      </x:c>
      <x:c r="AM3197" t="n">
        <x:f>CHOOSE('假设'!$B$3,AJ3197,AK3197,AL3197)</x:f>
        <x:v>0</x:v>
      </x:c>
      <x:c r="AN3197" t="n">
        <x:v>1</x:v>
      </x:c>
    </x:row>
    <x:row r="3198" ht="23" customHeight="1">
      <x:c r="A3198" s="11" t="str">
        <x:v>688382.SH</x:v>
      </x:c>
      <x:c r="B3198" s="11" t="str">
        <x:v>三年</x:v>
      </x:c>
      <x:c r="C3198" s="11" t="str">
        <x:v>g12c_first_cn</x:v>
      </x:c>
      <x:c r="D3198" s="11" t="str">
        <x:v>2035-12-31</x:v>
      </x:c>
      <x:c r="E3198" s="11" t="str">
        <x:v>CNY</x:v>
      </x:c>
      <x:c r="F3198" s="11" t="n">
        <x:v>6.225872689938399</x:v>
      </x:c>
      <x:c r="G3198" s="26" t="b">
        <x:v>1</x:v>
      </x:c>
      <x:c r="H3198" s="16" t="n">
        <x:v>0.5599999999999999</x:v>
      </x:c>
      <x:c r="I3198" s="16" t="n">
        <x:v>1.3920000000000001</x:v>
      </x:c>
      <x:c r="J3198" s="16" t="n">
        <x:v>1.586</x:v>
      </x:c>
      <x:c r="K3198" s="11" t="n">
        <x:f>CHOOSE('假设'!$B$3,H3198,I3198,J3198)</x:f>
        <x:v>1.3920000000000001</x:v>
      </x:c>
      <x:c r="L3198" s="11" t="n">
        <x:f>K3198*'管线假设'!E695*'管线假设'!F695*'管线假设'!G695*IF(E3198="USD",'管线假设'!I695,1)-AM3198</x:f>
        <x:v>0.06903429120000003</x:v>
      </x:c>
      <x:c r="M3198" s="11" t="n">
        <x:f>'管线假设'!H695</x:f>
        <x:v>0.135</x:v>
      </x:c>
      <x:c r="N3198" s="11" t="n">
        <x:f>IF(G3198,L3198*AN3198/(1+M3198)^F3198,0)</x:f>
        <x:v>0.03138106206322239</x:v>
      </x:c>
      <x:c r="AJ3198" t="n">
        <x:v>0</x:v>
      </x:c>
      <x:c r="AK3198" t="n">
        <x:v>0</x:v>
      </x:c>
      <x:c r="AL3198" t="n">
        <x:v>0</x:v>
      </x:c>
      <x:c r="AM3198" t="n">
        <x:f>CHOOSE('假设'!$B$3,AJ3198,AK3198,AL3198)</x:f>
        <x:v>0</x:v>
      </x:c>
      <x:c r="AN3198" t="n">
        <x:v>1</x:v>
      </x:c>
    </x:row>
    <x:row r="3199" ht="23" customHeight="1">
      <x:c r="A3199" s="11" t="str">
        <x:v>688382.SH</x:v>
      </x:c>
      <x:c r="B3199" s="11" t="str">
        <x:v>三年</x:v>
      </x:c>
      <x:c r="C3199" s="11" t="str">
        <x:v>g12c_first_cn</x:v>
      </x:c>
      <x:c r="D3199" s="11" t="str">
        <x:v>2036-12-31</x:v>
      </x:c>
      <x:c r="E3199" s="11" t="str">
        <x:v>CNY</x:v>
      </x:c>
      <x:c r="F3199" s="11" t="n">
        <x:v>7.227926078028747</x:v>
      </x:c>
      <x:c r="G3199" s="26" t="b">
        <x:v>1</x:v>
      </x:c>
      <x:c r="H3199" s="16" t="n">
        <x:v>0.7</x:v>
      </x:c>
      <x:c r="I3199" s="16" t="n">
        <x:v>1.184</x:v>
      </x:c>
      <x:c r="J3199" s="16" t="n">
        <x:v>1.248</x:v>
      </x:c>
      <x:c r="K3199" s="11" t="n">
        <x:f>CHOOSE('假设'!$B$3,H3199,I3199,J3199)</x:f>
        <x:v>1.184</x:v>
      </x:c>
      <x:c r="L3199" s="11" t="n">
        <x:f>K3199*'管线假设'!E695*'管线假设'!F695*'管线假设'!G695*IF(E3199="USD",'管线假设'!I695,1)-AM3199</x:f>
        <x:v>0.05871882240000001</x:v>
      </x:c>
      <x:c r="M3199" s="11" t="n">
        <x:f>'管线假设'!H695</x:f>
        <x:v>0.135</x:v>
      </x:c>
      <x:c r="N3199" s="11" t="n">
        <x:f>IF(G3199,L3199*AN3199/(1+M3199)^F3199,0)</x:f>
        <x:v>0.023511011587616183</x:v>
      </x:c>
      <x:c r="AJ3199" t="n">
        <x:v>0</x:v>
      </x:c>
      <x:c r="AK3199" t="n">
        <x:v>0</x:v>
      </x:c>
      <x:c r="AL3199" t="n">
        <x:v>0</x:v>
      </x:c>
      <x:c r="AM3199" t="n">
        <x:f>CHOOSE('假设'!$B$3,AJ3199,AK3199,AL3199)</x:f>
        <x:v>0</x:v>
      </x:c>
      <x:c r="AN3199" t="n">
        <x:v>1</x:v>
      </x:c>
    </x:row>
    <x:row r="3200" ht="23" customHeight="1">
      <x:c r="A3200" s="11" t="str">
        <x:v>688382.SH</x:v>
      </x:c>
      <x:c r="B3200" s="11" t="str">
        <x:v>三年</x:v>
      </x:c>
      <x:c r="C3200" s="11" t="str">
        <x:v>g12c_first_cn</x:v>
      </x:c>
      <x:c r="D3200" s="11" t="str">
        <x:v>2037-12-31</x:v>
      </x:c>
      <x:c r="E3200" s="11" t="str">
        <x:v>CNY</x:v>
      </x:c>
      <x:c r="F3200" s="11" t="n">
        <x:v>8.227241615331964</x:v>
      </x:c>
      <x:c r="G3200" s="26" t="b">
        <x:v>1</x:v>
      </x:c>
      <x:c r="H3200" s="16" t="n">
        <x:v>0.609</x:v>
      </x:c>
      <x:c r="I3200" s="16" t="n">
        <x:v>0.976</x:v>
      </x:c>
      <x:c r="J3200" s="16" t="n">
        <x:v>0.9099999999999999</x:v>
      </x:c>
      <x:c r="K3200" s="11" t="n">
        <x:f>CHOOSE('假设'!$B$3,H3200,I3200,J3200)</x:f>
        <x:v>0.976</x:v>
      </x:c>
      <x:c r="L3200" s="11" t="n">
        <x:f>K3200*'管线假设'!E695*'管线假设'!F695*'管线假设'!G695*IF(E3200="USD",'管线假设'!I695,1)-AM3200</x:f>
        <x:v>0.048403353600000004</x:v>
      </x:c>
      <x:c r="M3200" s="11" t="n">
        <x:f>'管线假设'!H695</x:f>
        <x:v>0.135</x:v>
      </x:c>
      <x:c r="N3200" s="11" t="n">
        <x:f>IF(G3200,L3200*AN3200/(1+M3200)^F3200,0)</x:f>
        <x:v>0.01707698558794874</x:v>
      </x:c>
      <x:c r="AJ3200" t="n">
        <x:v>0</x:v>
      </x:c>
      <x:c r="AK3200" t="n">
        <x:v>0</x:v>
      </x:c>
      <x:c r="AL3200" t="n">
        <x:v>0</x:v>
      </x:c>
      <x:c r="AM3200" t="n">
        <x:f>CHOOSE('假设'!$B$3,AJ3200,AK3200,AL3200)</x:f>
        <x:v>0</x:v>
      </x:c>
      <x:c r="AN3200" t="n">
        <x:v>1</x:v>
      </x:c>
    </x:row>
    <x:row r="3201" ht="23" customHeight="1">
      <x:c r="A3201" s="11" t="str">
        <x:v>688382.SH</x:v>
      </x:c>
      <x:c r="B3201" s="11" t="str">
        <x:v>三年</x:v>
      </x:c>
      <x:c r="C3201" s="11" t="str">
        <x:v>g12c_first_cn</x:v>
      </x:c>
      <x:c r="D3201" s="11" t="str">
        <x:v>2038-12-31</x:v>
      </x:c>
      <x:c r="E3201" s="11" t="str">
        <x:v>CNY</x:v>
      </x:c>
      <x:c r="F3201" s="11" t="n">
        <x:v>9.22655715263518</x:v>
      </x:c>
      <x:c r="G3201" s="26" t="b">
        <x:v>1</x:v>
      </x:c>
      <x:c r="H3201" s="16" t="n">
        <x:v>0.518</x:v>
      </x:c>
      <x:c r="I3201" s="16" t="n">
        <x:v>0.768</x:v>
      </x:c>
      <x:c r="J3201" s="16" t="n">
        <x:v>0.572</x:v>
      </x:c>
      <x:c r="K3201" s="11" t="n">
        <x:f>CHOOSE('假设'!$B$3,H3201,I3201,J3201)</x:f>
        <x:v>0.768</x:v>
      </x:c>
      <x:c r="L3201" s="11" t="n">
        <x:f>K3201*'管线假设'!E695*'管线假设'!F695*'管线假设'!G695*IF(E3201="USD",'管线假设'!I695,1)-AM3201</x:f>
        <x:v>0.03808788480000001</x:v>
      </x:c>
      <x:c r="M3201" s="11" t="n">
        <x:f>'管线假设'!H695</x:f>
        <x:v>0.135</x:v>
      </x:c>
      <x:c r="N3201" s="11" t="n">
        <x:f>IF(G3201,L3201*AN3201/(1+M3201)^F3201,0)</x:f>
        <x:v>0.01184034604836453</x:v>
      </x:c>
      <x:c r="AJ3201" t="n">
        <x:v>0</x:v>
      </x:c>
      <x:c r="AK3201" t="n">
        <x:v>0</x:v>
      </x:c>
      <x:c r="AL3201" t="n">
        <x:v>0</x:v>
      </x:c>
      <x:c r="AM3201" t="n">
        <x:f>CHOOSE('假设'!$B$3,AJ3201,AK3201,AL3201)</x:f>
        <x:v>0</x:v>
      </x:c>
      <x:c r="AN3201" t="n">
        <x:v>1</x:v>
      </x:c>
    </x:row>
    <x:row r="3202" ht="23" customHeight="1">
      <x:c r="A3202" s="11" t="str">
        <x:v>688382.SH</x:v>
      </x:c>
      <x:c r="B3202" s="11" t="str">
        <x:v>三年</x:v>
      </x:c>
      <x:c r="C3202" s="11" t="str">
        <x:v>g12c_first_cn</x:v>
      </x:c>
      <x:c r="D3202" s="11" t="str">
        <x:v>2039-12-31</x:v>
      </x:c>
      <x:c r="E3202" s="11" t="str">
        <x:v>CNY</x:v>
      </x:c>
      <x:c r="F3202" s="11" t="n">
        <x:v>10.225872689938399</x:v>
      </x:c>
      <x:c r="G3202" s="26" t="b">
        <x:v>1</x:v>
      </x:c>
      <x:c r="H3202" s="16" t="n">
        <x:v>0.427</x:v>
      </x:c>
      <x:c r="I3202" s="16" t="n">
        <x:v>0.5599999999999999</x:v>
      </x:c>
      <x:c r="J3202" s="16" t="n">
        <x:v>0.23399999999999993</x:v>
      </x:c>
      <x:c r="K3202" s="11" t="n">
        <x:f>CHOOSE('假设'!$B$3,H3202,I3202,J3202)</x:f>
        <x:v>0.5599999999999999</x:v>
      </x:c>
      <x:c r="L3202" s="11" t="n">
        <x:f>K3202*'管线假设'!E695*'管线假设'!F695*'管线假设'!G695*IF(E3202="USD",'管线假设'!I695,1)-AM3202</x:f>
        <x:v>0.027772416000000005</x:v>
      </x:c>
      <x:c r="M3202" s="11" t="n">
        <x:f>'管线假设'!H695</x:f>
        <x:v>0.135</x:v>
      </x:c>
      <x:c r="N3202" s="11" t="n">
        <x:f>IF(G3202,L3202*AN3202/(1+M3202)^F3202,0)</x:f>
        <x:v>0.0076073427414508335</x:v>
      </x:c>
      <x:c r="AJ3202" t="n">
        <x:v>0</x:v>
      </x:c>
      <x:c r="AK3202" t="n">
        <x:v>0</x:v>
      </x:c>
      <x:c r="AL3202" t="n">
        <x:v>0</x:v>
      </x:c>
      <x:c r="AM3202" t="n">
        <x:f>CHOOSE('假设'!$B$3,AJ3202,AK3202,AL3202)</x:f>
        <x:v>0</x:v>
      </x:c>
      <x:c r="AN3202" t="n">
        <x:v>1</x:v>
      </x:c>
    </x:row>
    <x:row r="3203" ht="23" customHeight="1">
      <x:c r="A3203" s="11" t="str">
        <x:v>688382.SH</x:v>
      </x:c>
      <x:c r="B3203" s="11" t="str">
        <x:v>三年</x:v>
      </x:c>
      <x:c r="C3203" s="11" t="str">
        <x:v>g12c_first_cn</x:v>
      </x:c>
      <x:c r="D3203" s="11" t="str">
        <x:v>2040-12-31</x:v>
      </x:c>
      <x:c r="E3203" s="11" t="str">
        <x:v>CNY</x:v>
      </x:c>
      <x:c r="F3203" s="11" t="n">
        <x:v>11.227926078028748</x:v>
      </x:c>
      <x:c r="G3203" s="26" t="b">
        <x:v>1</x:v>
      </x:c>
      <x:c r="H3203" s="16" t="n">
        <x:v>0.33599999999999997</x:v>
      </x:c>
      <x:c r="I3203" s="16" t="n">
        <x:v>0.352</x:v>
      </x:c>
      <x:c r="J3203" s="16" t="n">
        <x:v>0</x:v>
      </x:c>
      <x:c r="K3203" s="11" t="n">
        <x:f>CHOOSE('假设'!$B$3,H3203,I3203,J3203)</x:f>
        <x:v>0.352</x:v>
      </x:c>
      <x:c r="L3203" s="11" t="n">
        <x:f>K3203*'管线假设'!E695*'管线假设'!F695*'管线假设'!G695*IF(E3203="USD",'管线假设'!I695,1)-AM3203</x:f>
        <x:v>0.017456947200000003</x:v>
      </x:c>
      <x:c r="M3203" s="11" t="n">
        <x:f>'管线假设'!H695</x:f>
        <x:v>0.135</x:v>
      </x:c>
      <x:c r="N3203" s="11" t="n">
        <x:f>IF(G3203,L3203*AN3203/(1+M3203)^F3203,0)</x:f>
        <x:v>0.00421190755497295</x:v>
      </x:c>
      <x:c r="AJ3203" t="n">
        <x:v>0</x:v>
      </x:c>
      <x:c r="AK3203" t="n">
        <x:v>0</x:v>
      </x:c>
      <x:c r="AL3203" t="n">
        <x:v>0</x:v>
      </x:c>
      <x:c r="AM3203" t="n">
        <x:f>CHOOSE('假设'!$B$3,AJ3203,AK3203,AL3203)</x:f>
        <x:v>0</x:v>
      </x:c>
      <x:c r="AN3203" t="n">
        <x:v>1</x:v>
      </x:c>
    </x:row>
    <x:row r="3204" ht="23" customHeight="1">
      <x:c r="A3204" s="11" t="str">
        <x:v>688382.SH</x:v>
      </x:c>
      <x:c r="B3204" s="11" t="str">
        <x:v>三年</x:v>
      </x:c>
      <x:c r="C3204" s="11" t="str">
        <x:v>g12c_first_cn</x:v>
      </x:c>
      <x:c r="D3204" s="11" t="str">
        <x:v>2041-12-31</x:v>
      </x:c>
      <x:c r="E3204" s="11" t="str">
        <x:v>CNY</x:v>
      </x:c>
      <x:c r="F3204" s="11" t="n">
        <x:v>12.227241615331964</x:v>
      </x:c>
      <x:c r="G3204" s="26" t="b">
        <x:v>1</x:v>
      </x:c>
      <x:c r="H3204" s="16" t="n">
        <x:v>0.24499999999999997</x:v>
      </x:c>
      <x:c r="I3204" s="16" t="n">
        <x:v>0.14399999999999996</x:v>
      </x:c>
      <x:c r="J3204" s="16" t="n">
        <x:v>0</x:v>
      </x:c>
      <x:c r="K3204" s="11" t="n">
        <x:f>CHOOSE('假设'!$B$3,H3204,I3204,J3204)</x:f>
        <x:v>0.14399999999999996</x:v>
      </x:c>
      <x:c r="L3204" s="11" t="n">
        <x:f>K3204*'管线假设'!E695*'管线假设'!F695*'管线假设'!G695*IF(E3204="USD",'管线假设'!I695,1)-AM3204</x:f>
        <x:v>0.0071414784</x:v>
      </x:c>
      <x:c r="M3204" s="11" t="n">
        <x:f>'管线假设'!H695</x:f>
        <x:v>0.135</x:v>
      </x:c>
      <x:c r="N3204" s="11" t="n">
        <x:f>IF(G3204,L3204*AN3204/(1+M3204)^F3204,0)</x:f>
        <x:v>0.0015182400381772575</x:v>
      </x:c>
      <x:c r="AJ3204" t="n">
        <x:v>0</x:v>
      </x:c>
      <x:c r="AK3204" t="n">
        <x:v>0</x:v>
      </x:c>
      <x:c r="AL3204" t="n">
        <x:v>0</x:v>
      </x:c>
      <x:c r="AM3204" t="n">
        <x:f>CHOOSE('假设'!$B$3,AJ3204,AK3204,AL3204)</x:f>
        <x:v>0</x:v>
      </x:c>
      <x:c r="AN3204" t="n">
        <x:v>1</x:v>
      </x:c>
    </x:row>
    <x:row r="3205" ht="23" customHeight="1">
      <x:c r="A3205" s="11" t="str">
        <x:v>688382.SH</x:v>
      </x:c>
      <x:c r="B3205" s="11" t="str">
        <x:v>三年</x:v>
      </x:c>
      <x:c r="C3205" s="11" t="str">
        <x:v>g12c_first_cn</x:v>
      </x:c>
      <x:c r="D3205" s="11" t="str">
        <x:v>2042-12-31</x:v>
      </x:c>
      <x:c r="E3205" s="11" t="str">
        <x:v>CNY</x:v>
      </x:c>
      <x:c r="F3205" s="11" t="n">
        <x:v>13.22655715263518</x:v>
      </x:c>
      <x:c r="G3205" s="26" t="b">
        <x:v>1</x:v>
      </x:c>
      <x:c r="H3205" s="16" t="n">
        <x:v>0.15399999999999997</x:v>
      </x:c>
      <x:c r="I3205" s="16" t="n">
        <x:v>0</x:v>
      </x:c>
      <x:c r="J3205" s="16" t="n">
        <x:v>0</x:v>
      </x:c>
      <x:c r="K3205" s="11" t="n">
        <x:f>CHOOSE('假设'!$B$3,H3205,I3205,J3205)</x:f>
        <x:v>0</x:v>
      </x:c>
      <x:c r="L3205" s="11" t="n">
        <x:f>K3205*'管线假设'!E695*'管线假设'!F695*'管线假设'!G695*IF(E3205="USD",'管线假设'!I695,1)-AM3205</x:f>
        <x:v>0</x:v>
      </x:c>
      <x:c r="M3205" s="11" t="n">
        <x:f>'管线假设'!H695</x:f>
        <x:v>0.135</x:v>
      </x:c>
      <x:c r="N3205" s="11" t="n">
        <x:f>IF(G3205,L3205*AN3205/(1+M3205)^F3205,0)</x:f>
        <x:v>0</x:v>
      </x:c>
      <x:c r="AJ3205" t="n">
        <x:v>0</x:v>
      </x:c>
      <x:c r="AK3205" t="n">
        <x:v>0</x:v>
      </x:c>
      <x:c r="AL3205" t="n">
        <x:v>0</x:v>
      </x:c>
      <x:c r="AM3205" t="n">
        <x:f>CHOOSE('假设'!$B$3,AJ3205,AK3205,AL3205)</x:f>
        <x:v>0</x:v>
      </x:c>
      <x:c r="AN3205" t="n">
        <x:v>1</x:v>
      </x:c>
    </x:row>
    <x:row r="3206" ht="23" customHeight="1">
      <x:c r="A3206" s="11" t="str">
        <x:v>688382.SH</x:v>
      </x:c>
      <x:c r="B3206" s="11" t="str">
        <x:v>三年</x:v>
      </x:c>
      <x:c r="C3206" s="11" t="str">
        <x:v>g12c_first_cn</x:v>
      </x:c>
      <x:c r="D3206" s="11" t="str">
        <x:v>2043-12-31</x:v>
      </x:c>
      <x:c r="E3206" s="11" t="str">
        <x:v>CNY</x:v>
      </x:c>
      <x:c r="F3206" s="11" t="n">
        <x:v>14.225872689938399</x:v>
      </x:c>
      <x:c r="G3206" s="26" t="b">
        <x:v>1</x:v>
      </x:c>
      <x:c r="H3206" s="16" t="n">
        <x:v>0.06299999999999997</x:v>
      </x:c>
      <x:c r="I3206" s="16" t="n">
        <x:v>0</x:v>
      </x:c>
      <x:c r="J3206" s="16" t="n">
        <x:v>0</x:v>
      </x:c>
      <x:c r="K3206" s="11" t="n">
        <x:f>CHOOSE('假设'!$B$3,H3206,I3206,J3206)</x:f>
        <x:v>0</x:v>
      </x:c>
      <x:c r="L3206" s="11" t="n">
        <x:f>K3206*'管线假设'!E695*'管线假设'!F695*'管线假设'!G695*IF(E3206="USD",'管线假设'!I695,1)-AM3206</x:f>
        <x:v>0</x:v>
      </x:c>
      <x:c r="M3206" s="11" t="n">
        <x:f>'管线假设'!H695</x:f>
        <x:v>0.135</x:v>
      </x:c>
      <x:c r="N3206" s="11" t="n">
        <x:f>IF(G3206,L3206*AN3206/(1+M3206)^F3206,0)</x:f>
        <x:v>0</x:v>
      </x:c>
      <x:c r="AJ3206" t="n">
        <x:v>0</x:v>
      </x:c>
      <x:c r="AK3206" t="n">
        <x:v>0</x:v>
      </x:c>
      <x:c r="AL3206" t="n">
        <x:v>0</x:v>
      </x:c>
      <x:c r="AM3206" t="n">
        <x:f>CHOOSE('假设'!$B$3,AJ3206,AK3206,AL3206)</x:f>
        <x:v>0</x:v>
      </x:c>
      <x:c r="AN3206" t="n">
        <x:v>1</x:v>
      </x:c>
    </x:row>
    <x:row r="3207" ht="23" customHeight="1">
      <x:c r="A3207" s="11" t="str">
        <x:v>688382.SH</x:v>
      </x:c>
      <x:c r="B3207" s="11" t="str">
        <x:v>三年</x:v>
      </x:c>
      <x:c r="C3207" s="11" t="str">
        <x:v>g12c_first_cn</x:v>
      </x:c>
      <x:c r="D3207" s="11" t="str">
        <x:v>2044-12-31</x:v>
      </x:c>
      <x:c r="E3207" s="11" t="str">
        <x:v>CNY</x:v>
      </x:c>
      <x:c r="F3207" s="11" t="n">
        <x:v>15.227926078028748</x:v>
      </x:c>
      <x:c r="G3207" s="26" t="b">
        <x:v>1</x:v>
      </x:c>
      <x:c r="H3207" s="16" t="n">
        <x:v>0</x:v>
      </x:c>
      <x:c r="I3207" s="16" t="n">
        <x:v>0</x:v>
      </x:c>
      <x:c r="J3207" s="16" t="n">
        <x:v>0</x:v>
      </x:c>
      <x:c r="K3207" s="11" t="n">
        <x:f>CHOOSE('假设'!$B$3,H3207,I3207,J3207)</x:f>
        <x:v>0</x:v>
      </x:c>
      <x:c r="L3207" s="11" t="n">
        <x:f>K3207*'管线假设'!E695*'管线假设'!F695*'管线假设'!G695*IF(E3207="USD",'管线假设'!I695,1)-AM3207</x:f>
        <x:v>0</x:v>
      </x:c>
      <x:c r="M3207" s="11" t="n">
        <x:f>'管线假设'!H695</x:f>
        <x:v>0.135</x:v>
      </x:c>
      <x:c r="N3207" s="11" t="n">
        <x:f>IF(G3207,L3207*AN3207/(1+M3207)^F3207,0)</x:f>
        <x:v>0</x:v>
      </x:c>
      <x:c r="AJ3207" t="n">
        <x:v>0</x:v>
      </x:c>
      <x:c r="AK3207" t="n">
        <x:v>0</x:v>
      </x:c>
      <x:c r="AL3207" t="n">
        <x:v>0</x:v>
      </x:c>
      <x:c r="AM3207" t="n">
        <x:f>CHOOSE('假设'!$B$3,AJ3207,AK3207,AL3207)</x:f>
        <x:v>0</x:v>
      </x:c>
      <x:c r="AN3207" t="n">
        <x:v>1</x:v>
      </x:c>
    </x:row>
    <x:row r="3208" ht="23" customHeight="1">
      <x:c r="A3208" s="11" t="str">
        <x:v>688382.SH</x:v>
      </x:c>
      <x:c r="B3208" s="11" t="str">
        <x:v>三年</x:v>
      </x:c>
      <x:c r="C3208" s="11" t="str">
        <x:v>g12c_first_cn</x:v>
      </x:c>
      <x:c r="D3208" s="11" t="str">
        <x:v>2045-12-31</x:v>
      </x:c>
      <x:c r="E3208" s="11" t="str">
        <x:v>CNY</x:v>
      </x:c>
      <x:c r="F3208" s="11" t="n">
        <x:v>16.227241615331966</x:v>
      </x:c>
      <x:c r="G3208" s="26" t="b">
        <x:v>1</x:v>
      </x:c>
      <x:c r="H3208" s="16" t="n">
        <x:v>0</x:v>
      </x:c>
      <x:c r="I3208" s="16" t="n">
        <x:v>0</x:v>
      </x:c>
      <x:c r="J3208" s="16" t="n">
        <x:v>0</x:v>
      </x:c>
      <x:c r="K3208" s="11" t="n">
        <x:f>CHOOSE('假设'!$B$3,H3208,I3208,J3208)</x:f>
        <x:v>0</x:v>
      </x:c>
      <x:c r="L3208" s="11" t="n">
        <x:f>K3208*'管线假设'!E695*'管线假设'!F695*'管线假设'!G695*IF(E3208="USD",'管线假设'!I695,1)-AM3208</x:f>
        <x:v>0</x:v>
      </x:c>
      <x:c r="M3208" s="11" t="n">
        <x:f>'管线假设'!H695</x:f>
        <x:v>0.135</x:v>
      </x:c>
      <x:c r="N3208" s="11" t="n">
        <x:f>IF(G3208,L3208*AN3208/(1+M3208)^F3208,0)</x:f>
        <x:v>0</x:v>
      </x:c>
      <x:c r="AJ3208" t="n">
        <x:v>0</x:v>
      </x:c>
      <x:c r="AK3208" t="n">
        <x:v>0</x:v>
      </x:c>
      <x:c r="AL3208" t="n">
        <x:v>0</x:v>
      </x:c>
      <x:c r="AM3208" t="n">
        <x:f>CHOOSE('假设'!$B$3,AJ3208,AK3208,AL3208)</x:f>
        <x:v>0</x:v>
      </x:c>
      <x:c r="AN3208" t="n">
        <x:v>1</x:v>
      </x:c>
    </x:row>
    <x:row r="3209" ht="23" customHeight="1">
      <x:c r="A3209" s="11" t="str">
        <x:v>688382.SH</x:v>
      </x:c>
      <x:c r="B3209" s="11" t="str">
        <x:v>三年</x:v>
      </x:c>
      <x:c r="C3209" s="11" t="str">
        <x:v>g12c_crc_cn</x:v>
      </x:c>
      <x:c r="D3209" s="11" t="str">
        <x:v>2027-12-31</x:v>
      </x:c>
      <x:c r="E3209" s="11" t="str">
        <x:v>CNY</x:v>
      </x:c>
      <x:c r="F3209" s="11" t="n">
        <x:v>-1.7741273100616017</x:v>
      </x:c>
      <x:c r="G3209" s="26" t="b">
        <x:v>0</x:v>
      </x:c>
      <x:c r="H3209" s="16" t="n">
        <x:v>0</x:v>
      </x:c>
      <x:c r="I3209" s="16" t="n">
        <x:v>0</x:v>
      </x:c>
      <x:c r="J3209" s="16" t="n">
        <x:v>0</x:v>
      </x:c>
      <x:c r="K3209" s="11" t="n">
        <x:f>CHOOSE('假设'!$B$3,H3209,I3209,J3209)</x:f>
        <x:v>0</x:v>
      </x:c>
      <x:c r="L3209" s="11" t="n">
        <x:f>K3209*'管线假设'!E699*'管线假设'!F699*'管线假设'!G699*IF(E3209="USD",'管线假设'!I699,1)-AM3209</x:f>
        <x:v>0</x:v>
      </x:c>
      <x:c r="M3209" s="11" t="n">
        <x:f>'管线假设'!H699</x:f>
        <x:v>0.135</x:v>
      </x:c>
      <x:c r="N3209" s="11" t="n">
        <x:f>IF(G3209,L3209*AN3209/(1+M3209)^F3209,0)</x:f>
        <x:v>0</x:v>
      </x:c>
      <x:c r="AJ3209" t="n">
        <x:v>0</x:v>
      </x:c>
      <x:c r="AK3209" t="n">
        <x:v>0</x:v>
      </x:c>
      <x:c r="AL3209" t="n">
        <x:v>0</x:v>
      </x:c>
      <x:c r="AM3209" t="n">
        <x:f>CHOOSE('假设'!$B$3,AJ3209,AK3209,AL3209)</x:f>
        <x:v>0</x:v>
      </x:c>
      <x:c r="AN3209" t="n">
        <x:v>1</x:v>
      </x:c>
    </x:row>
    <x:row r="3210" ht="23" customHeight="1">
      <x:c r="A3210" s="11" t="str">
        <x:v>688382.SH</x:v>
      </x:c>
      <x:c r="B3210" s="11" t="str">
        <x:v>三年</x:v>
      </x:c>
      <x:c r="C3210" s="11" t="str">
        <x:v>g12c_crc_cn</x:v>
      </x:c>
      <x:c r="D3210" s="11" t="str">
        <x:v>2028-12-31</x:v>
      </x:c>
      <x:c r="E3210" s="11" t="str">
        <x:v>CNY</x:v>
      </x:c>
      <x:c r="F3210" s="11" t="n">
        <x:v>-0.7720739219712526</x:v>
      </x:c>
      <x:c r="G3210" s="26" t="b">
        <x:v>0</x:v>
      </x:c>
      <x:c r="H3210" s="16" t="n">
        <x:v>0</x:v>
      </x:c>
      <x:c r="I3210" s="16" t="n">
        <x:v>0</x:v>
      </x:c>
      <x:c r="J3210" s="16" t="n">
        <x:v>0</x:v>
      </x:c>
      <x:c r="K3210" s="11" t="n">
        <x:f>CHOOSE('假设'!$B$3,H3210,I3210,J3210)</x:f>
        <x:v>0</x:v>
      </x:c>
      <x:c r="L3210" s="11" t="n">
        <x:f>K3210*'管线假设'!E699*'管线假设'!F699*'管线假设'!G699*IF(E3210="USD",'管线假设'!I699,1)-AM3210</x:f>
        <x:v>0</x:v>
      </x:c>
      <x:c r="M3210" s="11" t="n">
        <x:f>'管线假设'!H699</x:f>
        <x:v>0.135</x:v>
      </x:c>
      <x:c r="N3210" s="11" t="n">
        <x:f>IF(G3210,L3210*AN3210/(1+M3210)^F3210,0)</x:f>
        <x:v>0</x:v>
      </x:c>
      <x:c r="AJ3210" t="n">
        <x:v>0</x:v>
      </x:c>
      <x:c r="AK3210" t="n">
        <x:v>0</x:v>
      </x:c>
      <x:c r="AL3210" t="n">
        <x:v>0</x:v>
      </x:c>
      <x:c r="AM3210" t="n">
        <x:f>CHOOSE('假设'!$B$3,AJ3210,AK3210,AL3210)</x:f>
        <x:v>0</x:v>
      </x:c>
      <x:c r="AN3210" t="n">
        <x:v>1</x:v>
      </x:c>
    </x:row>
    <x:row r="3211" ht="23" customHeight="1">
      <x:c r="A3211" s="11" t="str">
        <x:v>688382.SH</x:v>
      </x:c>
      <x:c r="B3211" s="11" t="str">
        <x:v>三年</x:v>
      </x:c>
      <x:c r="C3211" s="11" t="str">
        <x:v>g12c_crc_cn</x:v>
      </x:c>
      <x:c r="D3211" s="11" t="str">
        <x:v>2029-12-31</x:v>
      </x:c>
      <x:c r="E3211" s="11" t="str">
        <x:v>CNY</x:v>
      </x:c>
      <x:c r="F3211" s="11" t="n">
        <x:v>0.2272416153319644</x:v>
      </x:c>
      <x:c r="G3211" s="26" t="b">
        <x:v>1</x:v>
      </x:c>
      <x:c r="H3211" s="16" t="n">
        <x:v>0</x:v>
      </x:c>
      <x:c r="I3211" s="16" t="n">
        <x:v>0</x:v>
      </x:c>
      <x:c r="J3211" s="16" t="n">
        <x:v>0.19999999999999998</x:v>
      </x:c>
      <x:c r="K3211" s="11" t="n">
        <x:f>CHOOSE('假设'!$B$3,H3211,I3211,J3211)</x:f>
        <x:v>0</x:v>
      </x:c>
      <x:c r="L3211" s="11" t="n">
        <x:f>K3211*'管线假设'!E699*'管线假设'!F699*'管线假设'!G699*IF(E3211="USD",'管线假设'!I699,1)-AM3211</x:f>
        <x:v>0</x:v>
      </x:c>
      <x:c r="M3211" s="11" t="n">
        <x:f>'管线假设'!H699</x:f>
        <x:v>0.135</x:v>
      </x:c>
      <x:c r="N3211" s="11" t="n">
        <x:f>IF(G3211,L3211*AN3211/(1+M3211)^F3211,0)</x:f>
        <x:v>0</x:v>
      </x:c>
      <x:c r="AJ3211" t="n">
        <x:v>0</x:v>
      </x:c>
      <x:c r="AK3211" t="n">
        <x:v>0</x:v>
      </x:c>
      <x:c r="AL3211" t="n">
        <x:v>0</x:v>
      </x:c>
      <x:c r="AM3211" t="n">
        <x:f>CHOOSE('假设'!$B$3,AJ3211,AK3211,AL3211)</x:f>
        <x:v>0</x:v>
      </x:c>
      <x:c r="AN3211" t="n">
        <x:v>1</x:v>
      </x:c>
    </x:row>
    <x:row r="3212" ht="23" customHeight="1">
      <x:c r="A3212" s="11" t="str">
        <x:v>688382.SH</x:v>
      </x:c>
      <x:c r="B3212" s="11" t="str">
        <x:v>三年</x:v>
      </x:c>
      <x:c r="C3212" s="11" t="str">
        <x:v>g12c_crc_cn</x:v>
      </x:c>
      <x:c r="D3212" s="11" t="str">
        <x:v>2030-12-31</x:v>
      </x:c>
      <x:c r="E3212" s="11" t="str">
        <x:v>CNY</x:v>
      </x:c>
      <x:c r="F3212" s="11" t="n">
        <x:v>1.2265571526351813</x:v>
      </x:c>
      <x:c r="G3212" s="26" t="b">
        <x:v>1</x:v>
      </x:c>
      <x:c r="H3212" s="16" t="n">
        <x:v>0</x:v>
      </x:c>
      <x:c r="I3212" s="16" t="n">
        <x:v>0</x:v>
      </x:c>
      <x:c r="J3212" s="16" t="n">
        <x:v>0.39999999999999997</x:v>
      </x:c>
      <x:c r="K3212" s="11" t="n">
        <x:f>CHOOSE('假设'!$B$3,H3212,I3212,J3212)</x:f>
        <x:v>0</x:v>
      </x:c>
      <x:c r="L3212" s="11" t="n">
        <x:f>K3212*'管线假设'!E699*'管线假设'!F699*'管线假设'!G699*IF(E3212="USD",'管线假设'!I699,1)-AM3212</x:f>
        <x:v>0</x:v>
      </x:c>
      <x:c r="M3212" s="11" t="n">
        <x:f>'管线假设'!H699</x:f>
        <x:v>0.135</x:v>
      </x:c>
      <x:c r="N3212" s="11" t="n">
        <x:f>IF(G3212,L3212*AN3212/(1+M3212)^F3212,0)</x:f>
        <x:v>0</x:v>
      </x:c>
      <x:c r="AJ3212" t="n">
        <x:v>0</x:v>
      </x:c>
      <x:c r="AK3212" t="n">
        <x:v>0</x:v>
      </x:c>
      <x:c r="AL3212" t="n">
        <x:v>0</x:v>
      </x:c>
      <x:c r="AM3212" t="n">
        <x:f>CHOOSE('假设'!$B$3,AJ3212,AK3212,AL3212)</x:f>
        <x:v>0</x:v>
      </x:c>
      <x:c r="AN3212" t="n">
        <x:v>1</x:v>
      </x:c>
    </x:row>
    <x:row r="3213" ht="23" customHeight="1">
      <x:c r="A3213" s="11" t="str">
        <x:v>688382.SH</x:v>
      </x:c>
      <x:c r="B3213" s="11" t="str">
        <x:v>三年</x:v>
      </x:c>
      <x:c r="C3213" s="11" t="str">
        <x:v>g12c_crc_cn</x:v>
      </x:c>
      <x:c r="D3213" s="11" t="str">
        <x:v>2031-12-31</x:v>
      </x:c>
      <x:c r="E3213" s="11" t="str">
        <x:v>CNY</x:v>
      </x:c>
      <x:c r="F3213" s="11" t="n">
        <x:v>2.2258726899383983</x:v>
      </x:c>
      <x:c r="G3213" s="26" t="b">
        <x:v>1</x:v>
      </x:c>
      <x:c r="H3213" s="16" t="n">
        <x:v>0</x:v>
      </x:c>
      <x:c r="I3213" s="16" t="n">
        <x:v>0.11666666666666665</x:v>
      </x:c>
      <x:c r="J3213" s="16" t="n">
        <x:v>0.6</x:v>
      </x:c>
      <x:c r="K3213" s="11" t="n">
        <x:f>CHOOSE('假设'!$B$3,H3213,I3213,J3213)</x:f>
        <x:v>0.11666666666666665</x:v>
      </x:c>
      <x:c r="L3213" s="11" t="n">
        <x:f>K3213*'管线假设'!E699*'管线假设'!F699*'管线假设'!G699*IF(E3213="USD",'管线假设'!I699,1)-AM3213</x:f>
        <x:v>0.004259080000000001</x:v>
      </x:c>
      <x:c r="M3213" s="11" t="n">
        <x:f>'管线假设'!H699</x:f>
        <x:v>0.135</x:v>
      </x:c>
      <x:c r="N3213" s="11" t="n">
        <x:f>IF(G3213,L3213*AN3213/(1+M3213)^F3213,0)</x:f>
        <x:v>0.0032129355318529155</x:v>
      </x:c>
      <x:c r="AJ3213" t="n">
        <x:v>0</x:v>
      </x:c>
      <x:c r="AK3213" t="n">
        <x:v>0</x:v>
      </x:c>
      <x:c r="AL3213" t="n">
        <x:v>0</x:v>
      </x:c>
      <x:c r="AM3213" t="n">
        <x:f>CHOOSE('假设'!$B$3,AJ3213,AK3213,AL3213)</x:f>
        <x:v>0</x:v>
      </x:c>
      <x:c r="AN3213" t="n">
        <x:v>1</x:v>
      </x:c>
    </x:row>
    <x:row r="3214" ht="23" customHeight="1">
      <x:c r="A3214" s="11" t="str">
        <x:v>688382.SH</x:v>
      </x:c>
      <x:c r="B3214" s="11" t="str">
        <x:v>三年</x:v>
      </x:c>
      <x:c r="C3214" s="11" t="str">
        <x:v>g12c_crc_cn</x:v>
      </x:c>
      <x:c r="D3214" s="11" t="str">
        <x:v>2032-12-31</x:v>
      </x:c>
      <x:c r="E3214" s="11" t="str">
        <x:v>CNY</x:v>
      </x:c>
      <x:c r="F3214" s="11" t="n">
        <x:v>3.2279260780287475</x:v>
      </x:c>
      <x:c r="G3214" s="26" t="b">
        <x:v>1</x:v>
      </x:c>
      <x:c r="H3214" s="16" t="n">
        <x:v>0</x:v>
      </x:c>
      <x:c r="I3214" s="16" t="n">
        <x:v>0.2333333333333333</x:v>
      </x:c>
      <x:c r="J3214" s="16" t="n">
        <x:v>0.7999999999999999</x:v>
      </x:c>
      <x:c r="K3214" s="11" t="n">
        <x:f>CHOOSE('假设'!$B$3,H3214,I3214,J3214)</x:f>
        <x:v>0.2333333333333333</x:v>
      </x:c>
      <x:c r="L3214" s="11" t="n">
        <x:f>K3214*'管线假设'!E699*'管线假设'!F699*'管线假设'!G699*IF(E3214="USD",'管线假设'!I699,1)-AM3214</x:f>
        <x:v>0.008518160000000002</x:v>
      </x:c>
      <x:c r="M3214" s="11" t="n">
        <x:f>'管线假设'!H699</x:f>
        <x:v>0.135</x:v>
      </x:c>
      <x:c r="N3214" s="11" t="n">
        <x:f>IF(G3214,L3214*AN3214/(1+M3214)^F3214,0)</x:f>
        <x:v>0.0056600884471556465</x:v>
      </x:c>
      <x:c r="AJ3214" t="n">
        <x:v>0</x:v>
      </x:c>
      <x:c r="AK3214" t="n">
        <x:v>0</x:v>
      </x:c>
      <x:c r="AL3214" t="n">
        <x:v>0</x:v>
      </x:c>
      <x:c r="AM3214" t="n">
        <x:f>CHOOSE('假设'!$B$3,AJ3214,AK3214,AL3214)</x:f>
        <x:v>0</x:v>
      </x:c>
      <x:c r="AN3214" t="n">
        <x:v>1</x:v>
      </x:c>
    </x:row>
    <x:row r="3215" ht="23" customHeight="1">
      <x:c r="A3215" s="11" t="str">
        <x:v>688382.SH</x:v>
      </x:c>
      <x:c r="B3215" s="11" t="str">
        <x:v>三年</x:v>
      </x:c>
      <x:c r="C3215" s="11" t="str">
        <x:v>g12c_crc_cn</x:v>
      </x:c>
      <x:c r="D3215" s="11" t="str">
        <x:v>2033-12-31</x:v>
      </x:c>
      <x:c r="E3215" s="11" t="str">
        <x:v>CNY</x:v>
      </x:c>
      <x:c r="F3215" s="11" t="n">
        <x:v>4.227241615331964</x:v>
      </x:c>
      <x:c r="G3215" s="26" t="b">
        <x:v>1</x:v>
      </x:c>
      <x:c r="H3215" s="16" t="n">
        <x:v>0</x:v>
      </x:c>
      <x:c r="I3215" s="16" t="n">
        <x:v>0.35</x:v>
      </x:c>
      <x:c r="J3215" s="16" t="n">
        <x:v>1</x:v>
      </x:c>
      <x:c r="K3215" s="11" t="n">
        <x:f>CHOOSE('假设'!$B$3,H3215,I3215,J3215)</x:f>
        <x:v>0.35</x:v>
      </x:c>
      <x:c r="L3215" s="11" t="n">
        <x:f>K3215*'管线假设'!E699*'管线假设'!F699*'管线假设'!G699*IF(E3215="USD",'管线假设'!I699,1)-AM3215</x:f>
        <x:v>0.012777240000000004</x:v>
      </x:c>
      <x:c r="M3215" s="11" t="n">
        <x:f>'管线假设'!H699</x:f>
        <x:v>0.135</x:v>
      </x:c>
      <x:c r="N3215" s="11" t="n">
        <x:f>IF(G3215,L3215*AN3215/(1+M3215)^F3215,0)</x:f>
        <x:v>0.007480941486908281</x:v>
      </x:c>
      <x:c r="AJ3215" t="n">
        <x:v>0</x:v>
      </x:c>
      <x:c r="AK3215" t="n">
        <x:v>0</x:v>
      </x:c>
      <x:c r="AL3215" t="n">
        <x:v>0</x:v>
      </x:c>
      <x:c r="AM3215" t="n">
        <x:f>CHOOSE('假设'!$B$3,AJ3215,AK3215,AL3215)</x:f>
        <x:v>0</x:v>
      </x:c>
      <x:c r="AN3215" t="n">
        <x:v>1</x:v>
      </x:c>
    </x:row>
    <x:row r="3216" ht="23" customHeight="1">
      <x:c r="A3216" s="11" t="str">
        <x:v>688382.SH</x:v>
      </x:c>
      <x:c r="B3216" s="11" t="str">
        <x:v>三年</x:v>
      </x:c>
      <x:c r="C3216" s="11" t="str">
        <x:v>g12c_crc_cn</x:v>
      </x:c>
      <x:c r="D3216" s="11" t="str">
        <x:v>2034-12-31</x:v>
      </x:c>
      <x:c r="E3216" s="11" t="str">
        <x:v>CNY</x:v>
      </x:c>
      <x:c r="F3216" s="11" t="n">
        <x:v>5.2265571526351815</x:v>
      </x:c>
      <x:c r="G3216" s="26" t="b">
        <x:v>1</x:v>
      </x:c>
      <x:c r="H3216" s="16" t="n">
        <x:v>0.06</x:v>
      </x:c>
      <x:c r="I3216" s="16" t="n">
        <x:v>0.4666666666666666</x:v>
      </x:c>
      <x:c r="J3216" s="16" t="n">
        <x:v>1.2</x:v>
      </x:c>
      <x:c r="K3216" s="11" t="n">
        <x:f>CHOOSE('假设'!$B$3,H3216,I3216,J3216)</x:f>
        <x:v>0.4666666666666666</x:v>
      </x:c>
      <x:c r="L3216" s="11" t="n">
        <x:f>K3216*'管线假设'!E699*'管线假设'!F699*'管线假设'!G699*IF(E3216="USD",'管线假设'!I699,1)-AM3216</x:f>
        <x:v>0.017036320000000004</x:v>
      </x:c>
      <x:c r="M3216" s="11" t="n">
        <x:f>'管线假设'!H699</x:f>
        <x:v>0.135</x:v>
      </x:c>
      <x:c r="N3216" s="11" t="n">
        <x:f>IF(G3216,L3216*AN3216/(1+M3216)^F3216,0)</x:f>
        <x:v>0.008788945583612519</x:v>
      </x:c>
      <x:c r="AJ3216" t="n">
        <x:v>0</x:v>
      </x:c>
      <x:c r="AK3216" t="n">
        <x:v>0</x:v>
      </x:c>
      <x:c r="AL3216" t="n">
        <x:v>0</x:v>
      </x:c>
      <x:c r="AM3216" t="n">
        <x:f>CHOOSE('假设'!$B$3,AJ3216,AK3216,AL3216)</x:f>
        <x:v>0</x:v>
      </x:c>
      <x:c r="AN3216" t="n">
        <x:v>1</x:v>
      </x:c>
    </x:row>
    <x:row r="3217" ht="23" customHeight="1">
      <x:c r="A3217" s="11" t="str">
        <x:v>688382.SH</x:v>
      </x:c>
      <x:c r="B3217" s="11" t="str">
        <x:v>三年</x:v>
      </x:c>
      <x:c r="C3217" s="11" t="str">
        <x:v>g12c_crc_cn</x:v>
      </x:c>
      <x:c r="D3217" s="11" t="str">
        <x:v>2035-12-31</x:v>
      </x:c>
      <x:c r="E3217" s="11" t="str">
        <x:v>CNY</x:v>
      </x:c>
      <x:c r="F3217" s="11" t="n">
        <x:v>6.225872689938399</x:v>
      </x:c>
      <x:c r="G3217" s="26" t="b">
        <x:v>1</x:v>
      </x:c>
      <x:c r="H3217" s="16" t="n">
        <x:v>0.12</x:v>
      </x:c>
      <x:c r="I3217" s="16" t="n">
        <x:v>0.5833333333333334</x:v>
      </x:c>
      <x:c r="J3217" s="16" t="n">
        <x:v>1.044</x:v>
      </x:c>
      <x:c r="K3217" s="11" t="n">
        <x:f>CHOOSE('假设'!$B$3,H3217,I3217,J3217)</x:f>
        <x:v>0.5833333333333334</x:v>
      </x:c>
      <x:c r="L3217" s="11" t="n">
        <x:f>K3217*'管线假设'!E699*'管线假设'!F699*'管线假设'!G699*IF(E3217="USD",'管线假设'!I699,1)-AM3217</x:f>
        <x:v>0.02129540000000001</x:v>
      </x:c>
      <x:c r="M3217" s="11" t="n">
        <x:f>'管线假设'!H699</x:f>
        <x:v>0.135</x:v>
      </x:c>
      <x:c r="N3217" s="11" t="n">
        <x:f>IF(G3217,L3217*AN3217/(1+M3217)^F3217,0)</x:f>
        <x:v>0.009680294494877728</x:v>
      </x:c>
      <x:c r="AJ3217" t="n">
        <x:v>0</x:v>
      </x:c>
      <x:c r="AK3217" t="n">
        <x:v>0</x:v>
      </x:c>
      <x:c r="AL3217" t="n">
        <x:v>0</x:v>
      </x:c>
      <x:c r="AM3217" t="n">
        <x:f>CHOOSE('假设'!$B$3,AJ3217,AK3217,AL3217)</x:f>
        <x:v>0</x:v>
      </x:c>
      <x:c r="AN3217" t="n">
        <x:v>1</x:v>
      </x:c>
    </x:row>
    <x:row r="3218" ht="23" customHeight="1">
      <x:c r="A3218" s="11" t="str">
        <x:v>688382.SH</x:v>
      </x:c>
      <x:c r="B3218" s="11" t="str">
        <x:v>三年</x:v>
      </x:c>
      <x:c r="C3218" s="11" t="str">
        <x:v>g12c_crc_cn</x:v>
      </x:c>
      <x:c r="D3218" s="11" t="str">
        <x:v>2036-12-31</x:v>
      </x:c>
      <x:c r="E3218" s="11" t="str">
        <x:v>CNY</x:v>
      </x:c>
      <x:c r="F3218" s="11" t="n">
        <x:v>7.227926078028747</x:v>
      </x:c>
      <x:c r="G3218" s="26" t="b">
        <x:v>1</x:v>
      </x:c>
      <x:c r="H3218" s="16" t="n">
        <x:v>0.18</x:v>
      </x:c>
      <x:c r="I3218" s="16" t="n">
        <x:v>0.7</x:v>
      </x:c>
      <x:c r="J3218" s="16" t="n">
        <x:v>0.888</x:v>
      </x:c>
      <x:c r="K3218" s="11" t="n">
        <x:f>CHOOSE('假设'!$B$3,H3218,I3218,J3218)</x:f>
        <x:v>0.7</x:v>
      </x:c>
      <x:c r="L3218" s="11" t="n">
        <x:f>K3218*'管线假设'!E699*'管线假设'!F699*'管线假设'!G699*IF(E3218="USD",'管线假设'!I699,1)-AM3218</x:f>
        <x:v>0.025554480000000008</x:v>
      </x:c>
      <x:c r="M3218" s="11" t="n">
        <x:f>'管线假设'!H699</x:f>
        <x:v>0.135</x:v>
      </x:c>
      <x:c r="N3218" s="11" t="n">
        <x:f>IF(G3218,L3218*AN3218/(1+M3218)^F3218,0)</x:f>
        <x:v>0.010232011658931124</x:v>
      </x:c>
      <x:c r="AJ3218" t="n">
        <x:v>0</x:v>
      </x:c>
      <x:c r="AK3218" t="n">
        <x:v>0</x:v>
      </x:c>
      <x:c r="AL3218" t="n">
        <x:v>0</x:v>
      </x:c>
      <x:c r="AM3218" t="n">
        <x:f>CHOOSE('假设'!$B$3,AJ3218,AK3218,AL3218)</x:f>
        <x:v>0</x:v>
      </x:c>
      <x:c r="AN3218" t="n">
        <x:v>1</x:v>
      </x:c>
    </x:row>
    <x:row r="3219" ht="23" customHeight="1">
      <x:c r="A3219" s="11" t="str">
        <x:v>688382.SH</x:v>
      </x:c>
      <x:c r="B3219" s="11" t="str">
        <x:v>三年</x:v>
      </x:c>
      <x:c r="C3219" s="11" t="str">
        <x:v>g12c_crc_cn</x:v>
      </x:c>
      <x:c r="D3219" s="11" t="str">
        <x:v>2037-12-31</x:v>
      </x:c>
      <x:c r="E3219" s="11" t="str">
        <x:v>CNY</x:v>
      </x:c>
      <x:c r="F3219" s="11" t="n">
        <x:v>8.227241615331964</x:v>
      </x:c>
      <x:c r="G3219" s="26" t="b">
        <x:v>1</x:v>
      </x:c>
      <x:c r="H3219" s="16" t="n">
        <x:v>0.24</x:v>
      </x:c>
      <x:c r="I3219" s="16" t="n">
        <x:v>0.609</x:v>
      </x:c>
      <x:c r="J3219" s="16" t="n">
        <x:v>0.732</x:v>
      </x:c>
      <x:c r="K3219" s="11" t="n">
        <x:f>CHOOSE('假设'!$B$3,H3219,I3219,J3219)</x:f>
        <x:v>0.609</x:v>
      </x:c>
      <x:c r="L3219" s="11" t="n">
        <x:f>K3219*'管线假设'!E699*'管线假设'!F699*'管线假设'!G699*IF(E3219="USD",'管线假设'!I699,1)-AM3219</x:f>
        <x:v>0.022232397600000006</x:v>
      </x:c>
      <x:c r="M3219" s="11" t="n">
        <x:f>'管线假设'!H699</x:f>
        <x:v>0.135</x:v>
      </x:c>
      <x:c r="N3219" s="11" t="n">
        <x:f>IF(G3219,L3219*AN3219/(1+M3219)^F3219,0)</x:f>
        <x:v>0.007843719601295276</x:v>
      </x:c>
      <x:c r="AJ3219" t="n">
        <x:v>0</x:v>
      </x:c>
      <x:c r="AK3219" t="n">
        <x:v>0</x:v>
      </x:c>
      <x:c r="AL3219" t="n">
        <x:v>0</x:v>
      </x:c>
      <x:c r="AM3219" t="n">
        <x:f>CHOOSE('假设'!$B$3,AJ3219,AK3219,AL3219)</x:f>
        <x:v>0</x:v>
      </x:c>
      <x:c r="AN3219" t="n">
        <x:v>1</x:v>
      </x:c>
    </x:row>
    <x:row r="3220" ht="23" customHeight="1">
      <x:c r="A3220" s="11" t="str">
        <x:v>688382.SH</x:v>
      </x:c>
      <x:c r="B3220" s="11" t="str">
        <x:v>三年</x:v>
      </x:c>
      <x:c r="C3220" s="11" t="str">
        <x:v>g12c_crc_cn</x:v>
      </x:c>
      <x:c r="D3220" s="11" t="str">
        <x:v>2038-12-31</x:v>
      </x:c>
      <x:c r="E3220" s="11" t="str">
        <x:v>CNY</x:v>
      </x:c>
      <x:c r="F3220" s="11" t="n">
        <x:v>9.22655715263518</x:v>
      </x:c>
      <x:c r="G3220" s="26" t="b">
        <x:v>1</x:v>
      </x:c>
      <x:c r="H3220" s="16" t="n">
        <x:v>0.3</x:v>
      </x:c>
      <x:c r="I3220" s="16" t="n">
        <x:v>0.518</x:v>
      </x:c>
      <x:c r="J3220" s="16" t="n">
        <x:v>0.576</x:v>
      </x:c>
      <x:c r="K3220" s="11" t="n">
        <x:f>CHOOSE('假设'!$B$3,H3220,I3220,J3220)</x:f>
        <x:v>0.518</x:v>
      </x:c>
      <x:c r="L3220" s="11" t="n">
        <x:f>K3220*'管线假设'!E699*'管线假设'!F699*'管线假设'!G699*IF(E3220="USD",'管线假设'!I699,1)-AM3220</x:f>
        <x:v>0.018910315200000007</x:v>
      </x:c>
      <x:c r="M3220" s="11" t="n">
        <x:f>'管线假设'!H699</x:f>
        <x:v>0.135</x:v>
      </x:c>
      <x:c r="N3220" s="11" t="n">
        <x:f>IF(G3220,L3220*AN3220/(1+M3220)^F3220,0)</x:f>
        <x:v>0.005878632458257375</x:v>
      </x:c>
      <x:c r="AJ3220" t="n">
        <x:v>0</x:v>
      </x:c>
      <x:c r="AK3220" t="n">
        <x:v>0</x:v>
      </x:c>
      <x:c r="AL3220" t="n">
        <x:v>0</x:v>
      </x:c>
      <x:c r="AM3220" t="n">
        <x:f>CHOOSE('假设'!$B$3,AJ3220,AK3220,AL3220)</x:f>
        <x:v>0</x:v>
      </x:c>
      <x:c r="AN3220" t="n">
        <x:v>1</x:v>
      </x:c>
    </x:row>
    <x:row r="3221" ht="23" customHeight="1">
      <x:c r="A3221" s="11" t="str">
        <x:v>688382.SH</x:v>
      </x:c>
      <x:c r="B3221" s="11" t="str">
        <x:v>三年</x:v>
      </x:c>
      <x:c r="C3221" s="11" t="str">
        <x:v>g12c_crc_cn</x:v>
      </x:c>
      <x:c r="D3221" s="11" t="str">
        <x:v>2039-12-31</x:v>
      </x:c>
      <x:c r="E3221" s="11" t="str">
        <x:v>CNY</x:v>
      </x:c>
      <x:c r="F3221" s="11" t="n">
        <x:v>10.225872689938399</x:v>
      </x:c>
      <x:c r="G3221" s="26" t="b">
        <x:v>1</x:v>
      </x:c>
      <x:c r="H3221" s="16" t="n">
        <x:v>0.261</x:v>
      </x:c>
      <x:c r="I3221" s="16" t="n">
        <x:v>0.427</x:v>
      </x:c>
      <x:c r="J3221" s="16" t="n">
        <x:v>0.42</x:v>
      </x:c>
      <x:c r="K3221" s="11" t="n">
        <x:f>CHOOSE('假设'!$B$3,H3221,I3221,J3221)</x:f>
        <x:v>0.427</x:v>
      </x:c>
      <x:c r="L3221" s="11" t="n">
        <x:f>K3221*'管线假设'!E699*'管线假设'!F699*'管线假设'!G699*IF(E3221="USD",'管线假设'!I699,1)-AM3221</x:f>
        <x:v>0.015588232800000004</x:v>
      </x:c>
      <x:c r="M3221" s="11" t="n">
        <x:f>'管线假设'!H699</x:f>
        <x:v>0.135</x:v>
      </x:c>
      <x:c r="N3221" s="11" t="n">
        <x:f>IF(G3221,L3221*AN3221/(1+M3221)^F3221,0)</x:f>
        <x:v>0.00426988525748447</x:v>
      </x:c>
      <x:c r="AJ3221" t="n">
        <x:v>0</x:v>
      </x:c>
      <x:c r="AK3221" t="n">
        <x:v>0</x:v>
      </x:c>
      <x:c r="AL3221" t="n">
        <x:v>0</x:v>
      </x:c>
      <x:c r="AM3221" t="n">
        <x:f>CHOOSE('假设'!$B$3,AJ3221,AK3221,AL3221)</x:f>
        <x:v>0</x:v>
      </x:c>
      <x:c r="AN3221" t="n">
        <x:v>1</x:v>
      </x:c>
    </x:row>
    <x:row r="3222" ht="23" customHeight="1">
      <x:c r="A3222" s="11" t="str">
        <x:v>688382.SH</x:v>
      </x:c>
      <x:c r="B3222" s="11" t="str">
        <x:v>三年</x:v>
      </x:c>
      <x:c r="C3222" s="11" t="str">
        <x:v>g12c_crc_cn</x:v>
      </x:c>
      <x:c r="D3222" s="11" t="str">
        <x:v>2040-12-31</x:v>
      </x:c>
      <x:c r="E3222" s="11" t="str">
        <x:v>CNY</x:v>
      </x:c>
      <x:c r="F3222" s="11" t="n">
        <x:v>11.227926078028748</x:v>
      </x:c>
      <x:c r="G3222" s="26" t="b">
        <x:v>1</x:v>
      </x:c>
      <x:c r="H3222" s="16" t="n">
        <x:v>0.222</x:v>
      </x:c>
      <x:c r="I3222" s="16" t="n">
        <x:v>0.33599999999999997</x:v>
      </x:c>
      <x:c r="J3222" s="16" t="n">
        <x:v>0.26399999999999996</x:v>
      </x:c>
      <x:c r="K3222" s="11" t="n">
        <x:f>CHOOSE('假设'!$B$3,H3222,I3222,J3222)</x:f>
        <x:v>0.33599999999999997</x:v>
      </x:c>
      <x:c r="L3222" s="11" t="n">
        <x:f>K3222*'管线假设'!E699*'管线假设'!F699*'管线假设'!G699*IF(E3222="USD",'管线假设'!I699,1)-AM3222</x:f>
        <x:v>0.012266150400000004</x:v>
      </x:c>
      <x:c r="M3222" s="11" t="n">
        <x:f>'管线假设'!H699</x:f>
        <x:v>0.135</x:v>
      </x:c>
      <x:c r="N3222" s="11" t="n">
        <x:f>IF(G3222,L3222*AN3222/(1+M3222)^F3222,0)</x:f>
        <x:v>0.0029595032251798574</x:v>
      </x:c>
      <x:c r="AJ3222" t="n">
        <x:v>0</x:v>
      </x:c>
      <x:c r="AK3222" t="n">
        <x:v>0</x:v>
      </x:c>
      <x:c r="AL3222" t="n">
        <x:v>0</x:v>
      </x:c>
      <x:c r="AM3222" t="n">
        <x:f>CHOOSE('假设'!$B$3,AJ3222,AK3222,AL3222)</x:f>
        <x:v>0</x:v>
      </x:c>
      <x:c r="AN3222" t="n">
        <x:v>1</x:v>
      </x:c>
    </x:row>
    <x:row r="3223" ht="23" customHeight="1">
      <x:c r="A3223" s="11" t="str">
        <x:v>688382.SH</x:v>
      </x:c>
      <x:c r="B3223" s="11" t="str">
        <x:v>三年</x:v>
      </x:c>
      <x:c r="C3223" s="11" t="str">
        <x:v>g12c_crc_cn</x:v>
      </x:c>
      <x:c r="D3223" s="11" t="str">
        <x:v>2041-12-31</x:v>
      </x:c>
      <x:c r="E3223" s="11" t="str">
        <x:v>CNY</x:v>
      </x:c>
      <x:c r="F3223" s="11" t="n">
        <x:v>12.227241615331964</x:v>
      </x:c>
      <x:c r="G3223" s="26" t="b">
        <x:v>1</x:v>
      </x:c>
      <x:c r="H3223" s="16" t="n">
        <x:v>0.183</x:v>
      </x:c>
      <x:c r="I3223" s="16" t="n">
        <x:v>0.24499999999999997</x:v>
      </x:c>
      <x:c r="J3223" s="16" t="n">
        <x:v>0.10799999999999996</x:v>
      </x:c>
      <x:c r="K3223" s="11" t="n">
        <x:f>CHOOSE('假设'!$B$3,H3223,I3223,J3223)</x:f>
        <x:v>0.24499999999999997</x:v>
      </x:c>
      <x:c r="L3223" s="11" t="n">
        <x:f>K3223*'管线假设'!E699*'管线假设'!F699*'管线假设'!G699*IF(E3223="USD",'管线假设'!I699,1)-AM3223</x:f>
        <x:v>0.008944068000000001</x:v>
      </x:c>
      <x:c r="M3223" s="11" t="n">
        <x:f>'管线假设'!H699</x:f>
        <x:v>0.135</x:v>
      </x:c>
      <x:c r="N3223" s="11" t="n">
        <x:f>IF(G3223,L3223*AN3223/(1+M3223)^F3223,0)</x:f>
        <x:v>0.0019014609274432572</x:v>
      </x:c>
      <x:c r="AJ3223" t="n">
        <x:v>0</x:v>
      </x:c>
      <x:c r="AK3223" t="n">
        <x:v>0</x:v>
      </x:c>
      <x:c r="AL3223" t="n">
        <x:v>0</x:v>
      </x:c>
      <x:c r="AM3223" t="n">
        <x:f>CHOOSE('假设'!$B$3,AJ3223,AK3223,AL3223)</x:f>
        <x:v>0</x:v>
      </x:c>
      <x:c r="AN3223" t="n">
        <x:v>1</x:v>
      </x:c>
    </x:row>
    <x:row r="3224" ht="23" customHeight="1">
      <x:c r="A3224" s="11" t="str">
        <x:v>688382.SH</x:v>
      </x:c>
      <x:c r="B3224" s="11" t="str">
        <x:v>三年</x:v>
      </x:c>
      <x:c r="C3224" s="11" t="str">
        <x:v>g12c_crc_cn</x:v>
      </x:c>
      <x:c r="D3224" s="11" t="str">
        <x:v>2042-12-31</x:v>
      </x:c>
      <x:c r="E3224" s="11" t="str">
        <x:v>CNY</x:v>
      </x:c>
      <x:c r="F3224" s="11" t="n">
        <x:v>13.22655715263518</x:v>
      </x:c>
      <x:c r="G3224" s="26" t="b">
        <x:v>1</x:v>
      </x:c>
      <x:c r="H3224" s="16" t="n">
        <x:v>0.144</x:v>
      </x:c>
      <x:c r="I3224" s="16" t="n">
        <x:v>0.15399999999999997</x:v>
      </x:c>
      <x:c r="J3224" s="16" t="n">
        <x:v>0</x:v>
      </x:c>
      <x:c r="K3224" s="11" t="n">
        <x:f>CHOOSE('假设'!$B$3,H3224,I3224,J3224)</x:f>
        <x:v>0.15399999999999997</x:v>
      </x:c>
      <x:c r="L3224" s="11" t="n">
        <x:f>K3224*'管线假设'!E699*'管线假设'!F699*'管线假设'!G699*IF(E3224="USD",'管线假设'!I699,1)-AM3224</x:f>
        <x:v>0.0056219856000000006</x:v>
      </x:c>
      <x:c r="M3224" s="11" t="n">
        <x:f>'管线假设'!H699</x:f>
        <x:v>0.135</x:v>
      </x:c>
      <x:c r="N3224" s="11" t="n">
        <x:f>IF(G3224,L3224*AN3224/(1+M3224)^F3224,0)</x:f>
        <x:v>0.001053134458786336</x:v>
      </x:c>
      <x:c r="AJ3224" t="n">
        <x:v>0</x:v>
      </x:c>
      <x:c r="AK3224" t="n">
        <x:v>0</x:v>
      </x:c>
      <x:c r="AL3224" t="n">
        <x:v>0</x:v>
      </x:c>
      <x:c r="AM3224" t="n">
        <x:f>CHOOSE('假设'!$B$3,AJ3224,AK3224,AL3224)</x:f>
        <x:v>0</x:v>
      </x:c>
      <x:c r="AN3224" t="n">
        <x:v>1</x:v>
      </x:c>
    </x:row>
    <x:row r="3225" ht="23" customHeight="1">
      <x:c r="A3225" s="11" t="str">
        <x:v>688382.SH</x:v>
      </x:c>
      <x:c r="B3225" s="11" t="str">
        <x:v>三年</x:v>
      </x:c>
      <x:c r="C3225" s="11" t="str">
        <x:v>g12c_crc_cn</x:v>
      </x:c>
      <x:c r="D3225" s="11" t="str">
        <x:v>2043-12-31</x:v>
      </x:c>
      <x:c r="E3225" s="11" t="str">
        <x:v>CNY</x:v>
      </x:c>
      <x:c r="F3225" s="11" t="n">
        <x:v>14.225872689938399</x:v>
      </x:c>
      <x:c r="G3225" s="26" t="b">
        <x:v>1</x:v>
      </x:c>
      <x:c r="H3225" s="16" t="n">
        <x:v>0.105</x:v>
      </x:c>
      <x:c r="I3225" s="16" t="n">
        <x:v>0.06299999999999997</x:v>
      </x:c>
      <x:c r="J3225" s="16" t="n">
        <x:v>0</x:v>
      </x:c>
      <x:c r="K3225" s="11" t="n">
        <x:f>CHOOSE('假设'!$B$3,H3225,I3225,J3225)</x:f>
        <x:v>0.06299999999999997</x:v>
      </x:c>
      <x:c r="L3225" s="11" t="n">
        <x:f>K3225*'管线假设'!E699*'管线假设'!F699*'管线假设'!G699*IF(E3225="USD",'管线假设'!I699,1)-AM3225</x:f>
        <x:v>0.0022999032</x:v>
      </x:c>
      <x:c r="M3225" s="11" t="n">
        <x:f>'管线假设'!H699</x:f>
        <x:v>0.135</x:v>
      </x:c>
      <x:c r="N3225" s="11" t="n">
        <x:f>IF(G3225,L3225*AN3225/(1+M3225)^F3225,0)</x:f>
        <x:v>0.0003796168078346678</x:v>
      </x:c>
      <x:c r="AJ3225" t="n">
        <x:v>0</x:v>
      </x:c>
      <x:c r="AK3225" t="n">
        <x:v>0</x:v>
      </x:c>
      <x:c r="AL3225" t="n">
        <x:v>0</x:v>
      </x:c>
      <x:c r="AM3225" t="n">
        <x:f>CHOOSE('假设'!$B$3,AJ3225,AK3225,AL3225)</x:f>
        <x:v>0</x:v>
      </x:c>
      <x:c r="AN3225" t="n">
        <x:v>1</x:v>
      </x:c>
    </x:row>
    <x:row r="3226" ht="23" customHeight="1">
      <x:c r="A3226" s="11" t="str">
        <x:v>688382.SH</x:v>
      </x:c>
      <x:c r="B3226" s="11" t="str">
        <x:v>三年</x:v>
      </x:c>
      <x:c r="C3226" s="11" t="str">
        <x:v>g12c_crc_cn</x:v>
      </x:c>
      <x:c r="D3226" s="11" t="str">
        <x:v>2044-12-31</x:v>
      </x:c>
      <x:c r="E3226" s="11" t="str">
        <x:v>CNY</x:v>
      </x:c>
      <x:c r="F3226" s="11" t="n">
        <x:v>15.227926078028748</x:v>
      </x:c>
      <x:c r="G3226" s="26" t="b">
        <x:v>1</x:v>
      </x:c>
      <x:c r="H3226" s="16" t="n">
        <x:v>0.06599999999999999</x:v>
      </x:c>
      <x:c r="I3226" s="16" t="n">
        <x:v>0</x:v>
      </x:c>
      <x:c r="J3226" s="16" t="n">
        <x:v>0</x:v>
      </x:c>
      <x:c r="K3226" s="11" t="n">
        <x:f>CHOOSE('假设'!$B$3,H3226,I3226,J3226)</x:f>
        <x:v>0</x:v>
      </x:c>
      <x:c r="L3226" s="11" t="n">
        <x:f>K3226*'管线假设'!E699*'管线假设'!F699*'管线假设'!G699*IF(E3226="USD",'管线假设'!I699,1)-AM3226</x:f>
        <x:v>0</x:v>
      </x:c>
      <x:c r="M3226" s="11" t="n">
        <x:f>'管线假设'!H699</x:f>
        <x:v>0.135</x:v>
      </x:c>
      <x:c r="N3226" s="11" t="n">
        <x:f>IF(G3226,L3226*AN3226/(1+M3226)^F3226,0)</x:f>
        <x:v>0</x:v>
      </x:c>
      <x:c r="AJ3226" t="n">
        <x:v>0</x:v>
      </x:c>
      <x:c r="AK3226" t="n">
        <x:v>0</x:v>
      </x:c>
      <x:c r="AL3226" t="n">
        <x:v>0</x:v>
      </x:c>
      <x:c r="AM3226" t="n">
        <x:f>CHOOSE('假设'!$B$3,AJ3226,AK3226,AL3226)</x:f>
        <x:v>0</x:v>
      </x:c>
      <x:c r="AN3226" t="n">
        <x:v>1</x:v>
      </x:c>
    </x:row>
    <x:row r="3227" ht="23" customHeight="1">
      <x:c r="A3227" s="11" t="str">
        <x:v>688382.SH</x:v>
      </x:c>
      <x:c r="B3227" s="11" t="str">
        <x:v>三年</x:v>
      </x:c>
      <x:c r="C3227" s="11" t="str">
        <x:v>g12c_crc_cn</x:v>
      </x:c>
      <x:c r="D3227" s="11" t="str">
        <x:v>2045-12-31</x:v>
      </x:c>
      <x:c r="E3227" s="11" t="str">
        <x:v>CNY</x:v>
      </x:c>
      <x:c r="F3227" s="11" t="n">
        <x:v>16.227241615331966</x:v>
      </x:c>
      <x:c r="G3227" s="26" t="b">
        <x:v>1</x:v>
      </x:c>
      <x:c r="H3227" s="16" t="n">
        <x:v>0.02699999999999999</x:v>
      </x:c>
      <x:c r="I3227" s="16" t="n">
        <x:v>0</x:v>
      </x:c>
      <x:c r="J3227" s="16" t="n">
        <x:v>0</x:v>
      </x:c>
      <x:c r="K3227" s="11" t="n">
        <x:f>CHOOSE('假设'!$B$3,H3227,I3227,J3227)</x:f>
        <x:v>0</x:v>
      </x:c>
      <x:c r="L3227" s="11" t="n">
        <x:f>K3227*'管线假设'!E699*'管线假设'!F699*'管线假设'!G699*IF(E3227="USD",'管线假设'!I699,1)-AM3227</x:f>
        <x:v>0</x:v>
      </x:c>
      <x:c r="M3227" s="11" t="n">
        <x:f>'管线假设'!H699</x:f>
        <x:v>0.135</x:v>
      </x:c>
      <x:c r="N3227" s="11" t="n">
        <x:f>IF(G3227,L3227*AN3227/(1+M3227)^F3227,0)</x:f>
        <x:v>0</x:v>
      </x:c>
      <x:c r="AJ3227" t="n">
        <x:v>0</x:v>
      </x:c>
      <x:c r="AK3227" t="n">
        <x:v>0</x:v>
      </x:c>
      <x:c r="AL3227" t="n">
        <x:v>0</x:v>
      </x:c>
      <x:c r="AM3227" t="n">
        <x:f>CHOOSE('假设'!$B$3,AJ3227,AK3227,AL3227)</x:f>
        <x:v>0</x:v>
      </x:c>
      <x:c r="AN3227" t="n">
        <x:v>1</x:v>
      </x:c>
    </x:row>
    <x:row r="3228" ht="23" customHeight="1">
      <x:c r="A3228" s="11" t="str">
        <x:v>688382.SH</x:v>
      </x:c>
      <x:c r="B3228" s="11" t="str">
        <x:v>三年</x:v>
      </x:c>
      <x:c r="C3228" s="11" t="str">
        <x:v>g12c_global</x:v>
      </x:c>
      <x:c r="D3228" s="11" t="str">
        <x:v>2027-12-31</x:v>
      </x:c>
      <x:c r="E3228" s="11" t="str">
        <x:v>USD</x:v>
      </x:c>
      <x:c r="F3228" s="11" t="n">
        <x:v>-1.7741273100616017</x:v>
      </x:c>
      <x:c r="G3228" s="26" t="b">
        <x:v>0</x:v>
      </x:c>
      <x:c r="H3228" s="16" t="n">
        <x:v>0</x:v>
      </x:c>
      <x:c r="I3228" s="16" t="n">
        <x:v>0</x:v>
      </x:c>
      <x:c r="J3228" s="16" t="n">
        <x:v>0</x:v>
      </x:c>
      <x:c r="K3228" s="11" t="n">
        <x:f>CHOOSE('假设'!$B$3,H3228,I3228,J3228)</x:f>
        <x:v>0</x:v>
      </x:c>
      <x:c r="L3228" s="11" t="n">
        <x:f>K3228*'管线假设'!E703*'管线假设'!F703*'管线假设'!G703*IF(E3228="USD",'管线假设'!I703,1)-AM3228</x:f>
        <x:v>0</x:v>
      </x:c>
      <x:c r="M3228" s="11" t="n">
        <x:f>'管线假设'!H703</x:f>
        <x:v>0.135</x:v>
      </x:c>
      <x:c r="N3228" s="11" t="n">
        <x:f>IF(G3228,L3228*AN3228/(1+M3228)^F3228,0)</x:f>
        <x:v>0</x:v>
      </x:c>
      <x:c r="AJ3228" t="n">
        <x:v>0</x:v>
      </x:c>
      <x:c r="AK3228" t="n">
        <x:v>0</x:v>
      </x:c>
      <x:c r="AL3228" t="n">
        <x:v>0</x:v>
      </x:c>
      <x:c r="AM3228" t="n">
        <x:f>CHOOSE('假设'!$B$3,AJ3228,AK3228,AL3228)</x:f>
        <x:v>0</x:v>
      </x:c>
      <x:c r="AN3228" t="n">
        <x:v>1</x:v>
      </x:c>
    </x:row>
    <x:row r="3229" ht="23" customHeight="1">
      <x:c r="A3229" s="11" t="str">
        <x:v>688382.SH</x:v>
      </x:c>
      <x:c r="B3229" s="11" t="str">
        <x:v>三年</x:v>
      </x:c>
      <x:c r="C3229" s="11" t="str">
        <x:v>g12c_global</x:v>
      </x:c>
      <x:c r="D3229" s="11" t="str">
        <x:v>2028-12-31</x:v>
      </x:c>
      <x:c r="E3229" s="11" t="str">
        <x:v>USD</x:v>
      </x:c>
      <x:c r="F3229" s="11" t="n">
        <x:v>-0.7720739219712526</x:v>
      </x:c>
      <x:c r="G3229" s="26" t="b">
        <x:v>0</x:v>
      </x:c>
      <x:c r="H3229" s="16" t="n">
        <x:v>0</x:v>
      </x:c>
      <x:c r="I3229" s="16" t="n">
        <x:v>0</x:v>
      </x:c>
      <x:c r="J3229" s="16" t="n">
        <x:v>0</x:v>
      </x:c>
      <x:c r="K3229" s="11" t="n">
        <x:f>CHOOSE('假设'!$B$3,H3229,I3229,J3229)</x:f>
        <x:v>0</x:v>
      </x:c>
      <x:c r="L3229" s="11" t="n">
        <x:f>K3229*'管线假设'!E703*'管线假设'!F703*'管线假设'!G703*IF(E3229="USD",'管线假设'!I703,1)-AM3229</x:f>
        <x:v>0</x:v>
      </x:c>
      <x:c r="M3229" s="11" t="n">
        <x:f>'管线假设'!H703</x:f>
        <x:v>0.135</x:v>
      </x:c>
      <x:c r="N3229" s="11" t="n">
        <x:f>IF(G3229,L3229*AN3229/(1+M3229)^F3229,0)</x:f>
        <x:v>0</x:v>
      </x:c>
      <x:c r="AJ3229" t="n">
        <x:v>0</x:v>
      </x:c>
      <x:c r="AK3229" t="n">
        <x:v>0</x:v>
      </x:c>
      <x:c r="AL3229" t="n">
        <x:v>0</x:v>
      </x:c>
      <x:c r="AM3229" t="n">
        <x:f>CHOOSE('假设'!$B$3,AJ3229,AK3229,AL3229)</x:f>
        <x:v>0</x:v>
      </x:c>
      <x:c r="AN3229" t="n">
        <x:v>1</x:v>
      </x:c>
    </x:row>
    <x:row r="3230" ht="23" customHeight="1">
      <x:c r="A3230" s="11" t="str">
        <x:v>688382.SH</x:v>
      </x:c>
      <x:c r="B3230" s="11" t="str">
        <x:v>三年</x:v>
      </x:c>
      <x:c r="C3230" s="11" t="str">
        <x:v>g12c_global</x:v>
      </x:c>
      <x:c r="D3230" s="11" t="str">
        <x:v>2029-12-31</x:v>
      </x:c>
      <x:c r="E3230" s="11" t="str">
        <x:v>USD</x:v>
      </x:c>
      <x:c r="F3230" s="11" t="n">
        <x:v>0.2272416153319644</x:v>
      </x:c>
      <x:c r="G3230" s="26" t="b">
        <x:v>1</x:v>
      </x:c>
      <x:c r="H3230" s="16" t="n">
        <x:v>0</x:v>
      </x:c>
      <x:c r="I3230" s="16" t="n">
        <x:v>0</x:v>
      </x:c>
      <x:c r="J3230" s="16" t="n">
        <x:v>0</x:v>
      </x:c>
      <x:c r="K3230" s="11" t="n">
        <x:f>CHOOSE('假设'!$B$3,H3230,I3230,J3230)</x:f>
        <x:v>0</x:v>
      </x:c>
      <x:c r="L3230" s="11" t="n">
        <x:f>K3230*'管线假设'!E703*'管线假设'!F703*'管线假设'!G703*IF(E3230="USD",'管线假设'!I703,1)-AM3230</x:f>
        <x:v>0</x:v>
      </x:c>
      <x:c r="M3230" s="11" t="n">
        <x:f>'管线假设'!H703</x:f>
        <x:v>0.135</x:v>
      </x:c>
      <x:c r="N3230" s="11" t="n">
        <x:f>IF(G3230,L3230*AN3230/(1+M3230)^F3230,0)</x:f>
        <x:v>0</x:v>
      </x:c>
      <x:c r="AJ3230" t="n">
        <x:v>0</x:v>
      </x:c>
      <x:c r="AK3230" t="n">
        <x:v>0</x:v>
      </x:c>
      <x:c r="AL3230" t="n">
        <x:v>0</x:v>
      </x:c>
      <x:c r="AM3230" t="n">
        <x:f>CHOOSE('假设'!$B$3,AJ3230,AK3230,AL3230)</x:f>
        <x:v>0</x:v>
      </x:c>
      <x:c r="AN3230" t="n">
        <x:v>1</x:v>
      </x:c>
    </x:row>
    <x:row r="3231" ht="23" customHeight="1">
      <x:c r="A3231" s="11" t="str">
        <x:v>688382.SH</x:v>
      </x:c>
      <x:c r="B3231" s="11" t="str">
        <x:v>三年</x:v>
      </x:c>
      <x:c r="C3231" s="11" t="str">
        <x:v>g12c_global</x:v>
      </x:c>
      <x:c r="D3231" s="11" t="str">
        <x:v>2030-12-31</x:v>
      </x:c>
      <x:c r="E3231" s="11" t="str">
        <x:v>USD</x:v>
      </x:c>
      <x:c r="F3231" s="11" t="n">
        <x:v>1.2265571526351813</x:v>
      </x:c>
      <x:c r="G3231" s="26" t="b">
        <x:v>1</x:v>
      </x:c>
      <x:c r="H3231" s="16" t="n">
        <x:v>0</x:v>
      </x:c>
      <x:c r="I3231" s="16" t="n">
        <x:v>0</x:v>
      </x:c>
      <x:c r="J3231" s="16" t="n">
        <x:v>0.41666666666666663</x:v>
      </x:c>
      <x:c r="K3231" s="11" t="n">
        <x:f>CHOOSE('假设'!$B$3,H3231,I3231,J3231)</x:f>
        <x:v>0</x:v>
      </x:c>
      <x:c r="L3231" s="11" t="n">
        <x:f>K3231*'管线假设'!E703*'管线假设'!F703*'管线假设'!G703*IF(E3231="USD",'管线假设'!I703,1)-AM3231</x:f>
        <x:v>0</x:v>
      </x:c>
      <x:c r="M3231" s="11" t="n">
        <x:f>'管线假设'!H703</x:f>
        <x:v>0.135</x:v>
      </x:c>
      <x:c r="N3231" s="11" t="n">
        <x:f>IF(G3231,L3231*AN3231/(1+M3231)^F3231,0)</x:f>
        <x:v>0</x:v>
      </x:c>
      <x:c r="AJ3231" t="n">
        <x:v>0</x:v>
      </x:c>
      <x:c r="AK3231" t="n">
        <x:v>0</x:v>
      </x:c>
      <x:c r="AL3231" t="n">
        <x:v>0</x:v>
      </x:c>
      <x:c r="AM3231" t="n">
        <x:f>CHOOSE('假设'!$B$3,AJ3231,AK3231,AL3231)</x:f>
        <x:v>0</x:v>
      </x:c>
      <x:c r="AN3231" t="n">
        <x:v>1</x:v>
      </x:c>
    </x:row>
    <x:row r="3232" ht="23" customHeight="1">
      <x:c r="A3232" s="11" t="str">
        <x:v>688382.SH</x:v>
      </x:c>
      <x:c r="B3232" s="11" t="str">
        <x:v>三年</x:v>
      </x:c>
      <x:c r="C3232" s="11" t="str">
        <x:v>g12c_global</x:v>
      </x:c>
      <x:c r="D3232" s="11" t="str">
        <x:v>2031-12-31</x:v>
      </x:c>
      <x:c r="E3232" s="11" t="str">
        <x:v>USD</x:v>
      </x:c>
      <x:c r="F3232" s="11" t="n">
        <x:v>2.2258726899383983</x:v>
      </x:c>
      <x:c r="G3232" s="26" t="b">
        <x:v>1</x:v>
      </x:c>
      <x:c r="H3232" s="16" t="n">
        <x:v>0</x:v>
      </x:c>
      <x:c r="I3232" s="16" t="n">
        <x:v>0</x:v>
      </x:c>
      <x:c r="J3232" s="16" t="n">
        <x:v>0.8333333333333333</x:v>
      </x:c>
      <x:c r="K3232" s="11" t="n">
        <x:f>CHOOSE('假设'!$B$3,H3232,I3232,J3232)</x:f>
        <x:v>0</x:v>
      </x:c>
      <x:c r="L3232" s="11" t="n">
        <x:f>K3232*'管线假设'!E703*'管线假设'!F703*'管线假设'!G703*IF(E3232="USD",'管线假设'!I703,1)-AM3232</x:f>
        <x:v>0</x:v>
      </x:c>
      <x:c r="M3232" s="11" t="n">
        <x:f>'管线假设'!H703</x:f>
        <x:v>0.135</x:v>
      </x:c>
      <x:c r="N3232" s="11" t="n">
        <x:f>IF(G3232,L3232*AN3232/(1+M3232)^F3232,0)</x:f>
        <x:v>0</x:v>
      </x:c>
      <x:c r="AJ3232" t="n">
        <x:v>0</x:v>
      </x:c>
      <x:c r="AK3232" t="n">
        <x:v>0</x:v>
      </x:c>
      <x:c r="AL3232" t="n">
        <x:v>0</x:v>
      </x:c>
      <x:c r="AM3232" t="n">
        <x:f>CHOOSE('假设'!$B$3,AJ3232,AK3232,AL3232)</x:f>
        <x:v>0</x:v>
      </x:c>
      <x:c r="AN3232" t="n">
        <x:v>1</x:v>
      </x:c>
    </x:row>
    <x:row r="3233" ht="23" customHeight="1">
      <x:c r="A3233" s="11" t="str">
        <x:v>688382.SH</x:v>
      </x:c>
      <x:c r="B3233" s="11" t="str">
        <x:v>三年</x:v>
      </x:c>
      <x:c r="C3233" s="11" t="str">
        <x:v>g12c_global</x:v>
      </x:c>
      <x:c r="D3233" s="11" t="str">
        <x:v>2032-12-31</x:v>
      </x:c>
      <x:c r="E3233" s="11" t="str">
        <x:v>USD</x:v>
      </x:c>
      <x:c r="F3233" s="11" t="n">
        <x:v>3.2279260780287475</x:v>
      </x:c>
      <x:c r="G3233" s="26" t="b">
        <x:v>1</x:v>
      </x:c>
      <x:c r="H3233" s="16" t="n">
        <x:v>0</x:v>
      </x:c>
      <x:c r="I3233" s="16" t="n">
        <x:v>0.21666666666666667</x:v>
      </x:c>
      <x:c r="J3233" s="16" t="n">
        <x:v>1.25</x:v>
      </x:c>
      <x:c r="K3233" s="11" t="n">
        <x:f>CHOOSE('假设'!$B$3,H3233,I3233,J3233)</x:f>
        <x:v>0.21666666666666667</x:v>
      </x:c>
      <x:c r="L3233" s="11" t="n">
        <x:f>K3233*'管线假设'!E703*'管线假设'!F703*'管线假设'!G703*IF(E3233="USD",'管线假设'!I703,1)-AM3233</x:f>
        <x:v>0.05011337066666667</x:v>
      </x:c>
      <x:c r="M3233" s="11" t="n">
        <x:f>'管线假设'!H703</x:f>
        <x:v>0.135</x:v>
      </x:c>
      <x:c r="N3233" s="11" t="n">
        <x:f>IF(G3233,L3233*AN3233/(1+M3233)^F3233,0)</x:f>
        <x:v>0.03329898832123705</x:v>
      </x:c>
      <x:c r="AJ3233" t="n">
        <x:v>0</x:v>
      </x:c>
      <x:c r="AK3233" t="n">
        <x:v>0</x:v>
      </x:c>
      <x:c r="AL3233" t="n">
        <x:v>0</x:v>
      </x:c>
      <x:c r="AM3233" t="n">
        <x:f>CHOOSE('假设'!$B$3,AJ3233,AK3233,AL3233)</x:f>
        <x:v>0</x:v>
      </x:c>
      <x:c r="AN3233" t="n">
        <x:v>1</x:v>
      </x:c>
    </x:row>
    <x:row r="3234" ht="23" customHeight="1">
      <x:c r="A3234" s="11" t="str">
        <x:v>688382.SH</x:v>
      </x:c>
      <x:c r="B3234" s="11" t="str">
        <x:v>三年</x:v>
      </x:c>
      <x:c r="C3234" s="11" t="str">
        <x:v>g12c_global</x:v>
      </x:c>
      <x:c r="D3234" s="11" t="str">
        <x:v>2033-12-31</x:v>
      </x:c>
      <x:c r="E3234" s="11" t="str">
        <x:v>USD</x:v>
      </x:c>
      <x:c r="F3234" s="11" t="n">
        <x:v>4.227241615331964</x:v>
      </x:c>
      <x:c r="G3234" s="26" t="b">
        <x:v>1</x:v>
      </x:c>
      <x:c r="H3234" s="16" t="n">
        <x:v>0</x:v>
      </x:c>
      <x:c r="I3234" s="16" t="n">
        <x:v>0.43333333333333335</x:v>
      </x:c>
      <x:c r="J3234" s="16" t="n">
        <x:v>1.6666666666666665</x:v>
      </x:c>
      <x:c r="K3234" s="11" t="n">
        <x:f>CHOOSE('假设'!$B$3,H3234,I3234,J3234)</x:f>
        <x:v>0.43333333333333335</x:v>
      </x:c>
      <x:c r="L3234" s="11" t="n">
        <x:f>K3234*'管线假设'!E703*'管线假设'!F703*'管线假设'!G703*IF(E3234="USD",'管线假设'!I703,1)-AM3234</x:f>
        <x:v>0.10022674133333334</x:v>
      </x:c>
      <x:c r="M3234" s="11" t="n">
        <x:f>'管线假设'!H703</x:f>
        <x:v>0.135</x:v>
      </x:c>
      <x:c r="N3234" s="11" t="n">
        <x:f>IF(G3234,L3234*AN3234/(1+M3234)^F3234,0)</x:f>
        <x:v>0.05868171743961592</x:v>
      </x:c>
      <x:c r="AJ3234" t="n">
        <x:v>0</x:v>
      </x:c>
      <x:c r="AK3234" t="n">
        <x:v>0</x:v>
      </x:c>
      <x:c r="AL3234" t="n">
        <x:v>0</x:v>
      </x:c>
      <x:c r="AM3234" t="n">
        <x:f>CHOOSE('假设'!$B$3,AJ3234,AK3234,AL3234)</x:f>
        <x:v>0</x:v>
      </x:c>
      <x:c r="AN3234" t="n">
        <x:v>1</x:v>
      </x:c>
    </x:row>
    <x:row r="3235" ht="23" customHeight="1">
      <x:c r="A3235" s="11" t="str">
        <x:v>688382.SH</x:v>
      </x:c>
      <x:c r="B3235" s="11" t="str">
        <x:v>三年</x:v>
      </x:c>
      <x:c r="C3235" s="11" t="str">
        <x:v>g12c_global</x:v>
      </x:c>
      <x:c r="D3235" s="11" t="str">
        <x:v>2034-12-31</x:v>
      </x:c>
      <x:c r="E3235" s="11" t="str">
        <x:v>USD</x:v>
      </x:c>
      <x:c r="F3235" s="11" t="n">
        <x:v>5.2265571526351815</x:v>
      </x:c>
      <x:c r="G3235" s="26" t="b">
        <x:v>1</x:v>
      </x:c>
      <x:c r="H3235" s="16" t="n">
        <x:v>0</x:v>
      </x:c>
      <x:c r="I3235" s="16" t="n">
        <x:v>0.65</x:v>
      </x:c>
      <x:c r="J3235" s="16" t="n">
        <x:v>2.0833333333333335</x:v>
      </x:c>
      <x:c r="K3235" s="11" t="n">
        <x:f>CHOOSE('假设'!$B$3,H3235,I3235,J3235)</x:f>
        <x:v>0.65</x:v>
      </x:c>
      <x:c r="L3235" s="11" t="n">
        <x:f>K3235*'管线假设'!E703*'管线假设'!F703*'管线假设'!G703*IF(E3235="USD",'管线假设'!I703,1)-AM3235</x:f>
        <x:v>0.150340112</x:v>
      </x:c>
      <x:c r="M3235" s="11" t="n">
        <x:f>'管线假设'!H703</x:f>
        <x:v>0.135</x:v>
      </x:c>
      <x:c r="N3235" s="11" t="n">
        <x:f>IF(G3235,L3235*AN3235/(1+M3235)^F3235,0)</x:f>
        <x:v>0.07755965275377612</x:v>
      </x:c>
      <x:c r="AJ3235" t="n">
        <x:v>0</x:v>
      </x:c>
      <x:c r="AK3235" t="n">
        <x:v>0</x:v>
      </x:c>
      <x:c r="AL3235" t="n">
        <x:v>0</x:v>
      </x:c>
      <x:c r="AM3235" t="n">
        <x:f>CHOOSE('假设'!$B$3,AJ3235,AK3235,AL3235)</x:f>
        <x:v>0</x:v>
      </x:c>
      <x:c r="AN3235" t="n">
        <x:v>1</x:v>
      </x:c>
    </x:row>
    <x:row r="3236" ht="23" customHeight="1">
      <x:c r="A3236" s="11" t="str">
        <x:v>688382.SH</x:v>
      </x:c>
      <x:c r="B3236" s="11" t="str">
        <x:v>三年</x:v>
      </x:c>
      <x:c r="C3236" s="11" t="str">
        <x:v>g12c_global</x:v>
      </x:c>
      <x:c r="D3236" s="11" t="str">
        <x:v>2035-12-31</x:v>
      </x:c>
      <x:c r="E3236" s="11" t="str">
        <x:v>USD</x:v>
      </x:c>
      <x:c r="F3236" s="11" t="n">
        <x:v>6.225872689938399</x:v>
      </x:c>
      <x:c r="G3236" s="26" t="b">
        <x:v>1</x:v>
      </x:c>
      <x:c r="H3236" s="16" t="n">
        <x:v>0.1</x:v>
      </x:c>
      <x:c r="I3236" s="16" t="n">
        <x:v>0.8666666666666667</x:v>
      </x:c>
      <x:c r="J3236" s="16" t="n">
        <x:v>2.5</x:v>
      </x:c>
      <x:c r="K3236" s="11" t="n">
        <x:f>CHOOSE('假设'!$B$3,H3236,I3236,J3236)</x:f>
        <x:v>0.8666666666666667</x:v>
      </x:c>
      <x:c r="L3236" s="11" t="n">
        <x:f>K3236*'管线假设'!E703*'管线假设'!F703*'管线假设'!G703*IF(E3236="USD",'管线假设'!I703,1)-AM3236</x:f>
        <x:v>0.20045348266666668</x:v>
      </x:c>
      <x:c r="M3236" s="11" t="n">
        <x:f>'管线假设'!H703</x:f>
        <x:v>0.135</x:v>
      </x:c>
      <x:c r="N3236" s="11" t="n">
        <x:f>IF(G3236,L3236*AN3236/(1+M3236)^F3236,0)</x:f>
        <x:v>0.091120558652911</x:v>
      </x:c>
      <x:c r="AJ3236" t="n">
        <x:v>0</x:v>
      </x:c>
      <x:c r="AK3236" t="n">
        <x:v>0</x:v>
      </x:c>
      <x:c r="AL3236" t="n">
        <x:v>0</x:v>
      </x:c>
      <x:c r="AM3236" t="n">
        <x:f>CHOOSE('假设'!$B$3,AJ3236,AK3236,AL3236)</x:f>
        <x:v>0</x:v>
      </x:c>
      <x:c r="AN3236" t="n">
        <x:v>1</x:v>
      </x:c>
    </x:row>
    <x:row r="3237" ht="23" customHeight="1">
      <x:c r="A3237" s="11" t="str">
        <x:v>688382.SH</x:v>
      </x:c>
      <x:c r="B3237" s="11" t="str">
        <x:v>三年</x:v>
      </x:c>
      <x:c r="C3237" s="11" t="str">
        <x:v>g12c_global</x:v>
      </x:c>
      <x:c r="D3237" s="11" t="str">
        <x:v>2036-12-31</x:v>
      </x:c>
      <x:c r="E3237" s="11" t="str">
        <x:v>USD</x:v>
      </x:c>
      <x:c r="F3237" s="11" t="n">
        <x:v>7.227926078028747</x:v>
      </x:c>
      <x:c r="G3237" s="26" t="b">
        <x:v>1</x:v>
      </x:c>
      <x:c r="H3237" s="16" t="n">
        <x:v>0.2</x:v>
      </x:c>
      <x:c r="I3237" s="16" t="n">
        <x:v>1.0833333333333335</x:v>
      </x:c>
      <x:c r="J3237" s="16" t="n">
        <x:v>2.175</x:v>
      </x:c>
      <x:c r="K3237" s="11" t="n">
        <x:f>CHOOSE('假设'!$B$3,H3237,I3237,J3237)</x:f>
        <x:v>1.0833333333333335</x:v>
      </x:c>
      <x:c r="L3237" s="11" t="n">
        <x:f>K3237*'管线假设'!E703*'管线假设'!F703*'管线假设'!G703*IF(E3237="USD",'管线假设'!I703,1)-AM3237</x:f>
        <x:v>0.2505668533333334</x:v>
      </x:c>
      <x:c r="M3237" s="11" t="n">
        <x:f>'管线假设'!H703</x:f>
        <x:v>0.135</x:v>
      </x:c>
      <x:c r="N3237" s="11" t="n">
        <x:f>IF(G3237,L3237*AN3237/(1+M3237)^F3237,0)</x:f>
        <x:v>0.10032694715949421</x:v>
      </x:c>
      <x:c r="AJ3237" t="n">
        <x:v>0</x:v>
      </x:c>
      <x:c r="AK3237" t="n">
        <x:v>0</x:v>
      </x:c>
      <x:c r="AL3237" t="n">
        <x:v>0</x:v>
      </x:c>
      <x:c r="AM3237" t="n">
        <x:f>CHOOSE('假设'!$B$3,AJ3237,AK3237,AL3237)</x:f>
        <x:v>0</x:v>
      </x:c>
      <x:c r="AN3237" t="n">
        <x:v>1</x:v>
      </x:c>
    </x:row>
    <x:row r="3238" ht="23" customHeight="1">
      <x:c r="A3238" s="11" t="str">
        <x:v>688382.SH</x:v>
      </x:c>
      <x:c r="B3238" s="11" t="str">
        <x:v>三年</x:v>
      </x:c>
      <x:c r="C3238" s="11" t="str">
        <x:v>g12c_global</x:v>
      </x:c>
      <x:c r="D3238" s="11" t="str">
        <x:v>2037-12-31</x:v>
      </x:c>
      <x:c r="E3238" s="11" t="str">
        <x:v>USD</x:v>
      </x:c>
      <x:c r="F3238" s="11" t="n">
        <x:v>8.227241615331964</x:v>
      </x:c>
      <x:c r="G3238" s="26" t="b">
        <x:v>1</x:v>
      </x:c>
      <x:c r="H3238" s="16" t="n">
        <x:v>0.3</x:v>
      </x:c>
      <x:c r="I3238" s="16" t="n">
        <x:v>1.3</x:v>
      </x:c>
      <x:c r="J3238" s="16" t="n">
        <x:v>1.85</x:v>
      </x:c>
      <x:c r="K3238" s="11" t="n">
        <x:f>CHOOSE('假设'!$B$3,H3238,I3238,J3238)</x:f>
        <x:v>1.3</x:v>
      </x:c>
      <x:c r="L3238" s="11" t="n">
        <x:f>K3238*'管线假设'!E703*'管线假设'!F703*'管线假设'!G703*IF(E3238="USD",'管线假设'!I703,1)-AM3238</x:f>
        <x:v>0.300680224</x:v>
      </x:c>
      <x:c r="M3238" s="11" t="n">
        <x:f>'管线假设'!H703</x:f>
        <x:v>0.135</x:v>
      </x:c>
      <x:c r="N3238" s="11" t="n">
        <x:f>IF(G3238,L3238*AN3238/(1+M3238)^F3238,0)</x:f>
        <x:v>0.10608173752302152</x:v>
      </x:c>
      <x:c r="AJ3238" t="n">
        <x:v>0</x:v>
      </x:c>
      <x:c r="AK3238" t="n">
        <x:v>0</x:v>
      </x:c>
      <x:c r="AL3238" t="n">
        <x:v>0</x:v>
      </x:c>
      <x:c r="AM3238" t="n">
        <x:f>CHOOSE('假设'!$B$3,AJ3238,AK3238,AL3238)</x:f>
        <x:v>0</x:v>
      </x:c>
      <x:c r="AN3238" t="n">
        <x:v>1</x:v>
      </x:c>
    </x:row>
    <x:row r="3239" ht="23" customHeight="1">
      <x:c r="A3239" s="11" t="str">
        <x:v>688382.SH</x:v>
      </x:c>
      <x:c r="B3239" s="11" t="str">
        <x:v>三年</x:v>
      </x:c>
      <x:c r="C3239" s="11" t="str">
        <x:v>g12c_global</x:v>
      </x:c>
      <x:c r="D3239" s="11" t="str">
        <x:v>2038-12-31</x:v>
      </x:c>
      <x:c r="E3239" s="11" t="str">
        <x:v>USD</x:v>
      </x:c>
      <x:c r="F3239" s="11" t="n">
        <x:v>9.22655715263518</x:v>
      </x:c>
      <x:c r="G3239" s="26" t="b">
        <x:v>1</x:v>
      </x:c>
      <x:c r="H3239" s="16" t="n">
        <x:v>0.4</x:v>
      </x:c>
      <x:c r="I3239" s="16" t="n">
        <x:v>1.131</x:v>
      </x:c>
      <x:c r="J3239" s="16" t="n">
        <x:v>1.525</x:v>
      </x:c>
      <x:c r="K3239" s="11" t="n">
        <x:f>CHOOSE('假设'!$B$3,H3239,I3239,J3239)</x:f>
        <x:v>1.131</x:v>
      </x:c>
      <x:c r="L3239" s="11" t="n">
        <x:f>K3239*'管线假设'!E703*'管线假设'!F703*'管线假设'!G703*IF(E3239="USD",'管线假设'!I703,1)-AM3239</x:f>
        <x:v>0.26159179488</x:v>
      </x:c>
      <x:c r="M3239" s="11" t="n">
        <x:f>'管线假设'!H703</x:f>
        <x:v>0.135</x:v>
      </x:c>
      <x:c r="N3239" s="11" t="n">
        <x:f>IF(G3239,L3239*AN3239/(1+M3239)^F3239,0)</x:f>
        <x:v>0.08132080295495936</x:v>
      </x:c>
      <x:c r="AJ3239" t="n">
        <x:v>0</x:v>
      </x:c>
      <x:c r="AK3239" t="n">
        <x:v>0</x:v>
      </x:c>
      <x:c r="AL3239" t="n">
        <x:v>0</x:v>
      </x:c>
      <x:c r="AM3239" t="n">
        <x:f>CHOOSE('假设'!$B$3,AJ3239,AK3239,AL3239)</x:f>
        <x:v>0</x:v>
      </x:c>
      <x:c r="AN3239" t="n">
        <x:v>1</x:v>
      </x:c>
    </x:row>
    <x:row r="3240" ht="23" customHeight="1">
      <x:c r="A3240" s="11" t="str">
        <x:v>688382.SH</x:v>
      </x:c>
      <x:c r="B3240" s="11" t="str">
        <x:v>三年</x:v>
      </x:c>
      <x:c r="C3240" s="11" t="str">
        <x:v>g12c_global</x:v>
      </x:c>
      <x:c r="D3240" s="11" t="str">
        <x:v>2039-12-31</x:v>
      </x:c>
      <x:c r="E3240" s="11" t="str">
        <x:v>USD</x:v>
      </x:c>
      <x:c r="F3240" s="11" t="n">
        <x:v>10.225872689938399</x:v>
      </x:c>
      <x:c r="G3240" s="26" t="b">
        <x:v>1</x:v>
      </x:c>
      <x:c r="H3240" s="16" t="n">
        <x:v>0.5</x:v>
      </x:c>
      <x:c r="I3240" s="16" t="n">
        <x:v>0.962</x:v>
      </x:c>
      <x:c r="J3240" s="16" t="n">
        <x:v>1.2</x:v>
      </x:c>
      <x:c r="K3240" s="11" t="n">
        <x:f>CHOOSE('假设'!$B$3,H3240,I3240,J3240)</x:f>
        <x:v>0.962</x:v>
      </x:c>
      <x:c r="L3240" s="11" t="n">
        <x:f>K3240*'管线假设'!E703*'管线假设'!F703*'管线假设'!G703*IF(E3240="USD",'管线假设'!I703,1)-AM3240</x:f>
        <x:v>0.22250336576</x:v>
      </x:c>
      <x:c r="M3240" s="11" t="n">
        <x:f>'管线假设'!H703</x:f>
        <x:v>0.135</x:v>
      </x:c>
      <x:c r="N3240" s="11" t="n">
        <x:f>IF(G3240,L3240*AN3240/(1+M3240)^F3240,0)</x:f>
        <x:v>0.060947501451177874</x:v>
      </x:c>
      <x:c r="AJ3240" t="n">
        <x:v>0</x:v>
      </x:c>
      <x:c r="AK3240" t="n">
        <x:v>0</x:v>
      </x:c>
      <x:c r="AL3240" t="n">
        <x:v>0</x:v>
      </x:c>
      <x:c r="AM3240" t="n">
        <x:f>CHOOSE('假设'!$B$3,AJ3240,AK3240,AL3240)</x:f>
        <x:v>0</x:v>
      </x:c>
      <x:c r="AN3240" t="n">
        <x:v>1</x:v>
      </x:c>
    </x:row>
    <x:row r="3241" ht="23" customHeight="1">
      <x:c r="A3241" s="11" t="str">
        <x:v>688382.SH</x:v>
      </x:c>
      <x:c r="B3241" s="11" t="str">
        <x:v>三年</x:v>
      </x:c>
      <x:c r="C3241" s="11" t="str">
        <x:v>g12c_global</x:v>
      </x:c>
      <x:c r="D3241" s="11" t="str">
        <x:v>2040-12-31</x:v>
      </x:c>
      <x:c r="E3241" s="11" t="str">
        <x:v>USD</x:v>
      </x:c>
      <x:c r="F3241" s="11" t="n">
        <x:v>11.227926078028748</x:v>
      </x:c>
      <x:c r="G3241" s="26" t="b">
        <x:v>1</x:v>
      </x:c>
      <x:c r="H3241" s="16" t="n">
        <x:v>0.435</x:v>
      </x:c>
      <x:c r="I3241" s="16" t="n">
        <x:v>0.793</x:v>
      </x:c>
      <x:c r="J3241" s="16" t="n">
        <x:v>0.875</x:v>
      </x:c>
      <x:c r="K3241" s="11" t="n">
        <x:f>CHOOSE('假设'!$B$3,H3241,I3241,J3241)</x:f>
        <x:v>0.793</x:v>
      </x:c>
      <x:c r="L3241" s="11" t="n">
        <x:f>K3241*'管线假设'!E703*'管线假设'!F703*'管线假设'!G703*IF(E3241="USD",'管线假设'!I703,1)-AM3241</x:f>
        <x:v>0.18341493664000003</x:v>
      </x:c>
      <x:c r="M3241" s="11" t="n">
        <x:f>'管线假设'!H703</x:f>
        <x:v>0.135</x:v>
      </x:c>
      <x:c r="N3241" s="11" t="n">
        <x:f>IF(G3241,L3241*AN3241/(1+M3241)^F3241,0)</x:f>
        <x:v>0.04425325622391187</x:v>
      </x:c>
      <x:c r="AJ3241" t="n">
        <x:v>0</x:v>
      </x:c>
      <x:c r="AK3241" t="n">
        <x:v>0</x:v>
      </x:c>
      <x:c r="AL3241" t="n">
        <x:v>0</x:v>
      </x:c>
      <x:c r="AM3241" t="n">
        <x:f>CHOOSE('假设'!$B$3,AJ3241,AK3241,AL3241)</x:f>
        <x:v>0</x:v>
      </x:c>
      <x:c r="AN3241" t="n">
        <x:v>1</x:v>
      </x:c>
    </x:row>
    <x:row r="3242" ht="23" customHeight="1">
      <x:c r="A3242" s="11" t="str">
        <x:v>688382.SH</x:v>
      </x:c>
      <x:c r="B3242" s="11" t="str">
        <x:v>三年</x:v>
      </x:c>
      <x:c r="C3242" s="11" t="str">
        <x:v>g12c_global</x:v>
      </x:c>
      <x:c r="D3242" s="11" t="str">
        <x:v>2041-12-31</x:v>
      </x:c>
      <x:c r="E3242" s="11" t="str">
        <x:v>USD</x:v>
      </x:c>
      <x:c r="F3242" s="11" t="n">
        <x:v>12.227241615331964</x:v>
      </x:c>
      <x:c r="G3242" s="26" t="b">
        <x:v>1</x:v>
      </x:c>
      <x:c r="H3242" s="16" t="n">
        <x:v>0.37</x:v>
      </x:c>
      <x:c r="I3242" s="16" t="n">
        <x:v>0.624</x:v>
      </x:c>
      <x:c r="J3242" s="16" t="n">
        <x:v>0.5499999999999999</x:v>
      </x:c>
      <x:c r="K3242" s="11" t="n">
        <x:f>CHOOSE('假设'!$B$3,H3242,I3242,J3242)</x:f>
        <x:v>0.624</x:v>
      </x:c>
      <x:c r="L3242" s="11" t="n">
        <x:f>K3242*'管线假设'!E703*'管线假设'!F703*'管线假设'!G703*IF(E3242="USD",'管线假设'!I703,1)-AM3242</x:f>
        <x:v>0.14432650752</x:v>
      </x:c>
      <x:c r="M3242" s="11" t="n">
        <x:f>'管线假设'!H703</x:f>
        <x:v>0.135</x:v>
      </x:c>
      <x:c r="N3242" s="11" t="n">
        <x:f>IF(G3242,L3242*AN3242/(1+M3242)^F3242,0)</x:f>
        <x:v>0.030683042083716874</x:v>
      </x:c>
      <x:c r="AJ3242" t="n">
        <x:v>0</x:v>
      </x:c>
      <x:c r="AK3242" t="n">
        <x:v>0</x:v>
      </x:c>
      <x:c r="AL3242" t="n">
        <x:v>0</x:v>
      </x:c>
      <x:c r="AM3242" t="n">
        <x:f>CHOOSE('假设'!$B$3,AJ3242,AK3242,AL3242)</x:f>
        <x:v>0</x:v>
      </x:c>
      <x:c r="AN3242" t="n">
        <x:v>1</x:v>
      </x:c>
    </x:row>
    <x:row r="3243" ht="23" customHeight="1">
      <x:c r="A3243" s="11" t="str">
        <x:v>688382.SH</x:v>
      </x:c>
      <x:c r="B3243" s="11" t="str">
        <x:v>三年</x:v>
      </x:c>
      <x:c r="C3243" s="11" t="str">
        <x:v>g12c_global</x:v>
      </x:c>
      <x:c r="D3243" s="11" t="str">
        <x:v>2042-12-31</x:v>
      </x:c>
      <x:c r="E3243" s="11" t="str">
        <x:v>USD</x:v>
      </x:c>
      <x:c r="F3243" s="11" t="n">
        <x:v>13.22655715263518</x:v>
      </x:c>
      <x:c r="G3243" s="26" t="b">
        <x:v>1</x:v>
      </x:c>
      <x:c r="H3243" s="16" t="n">
        <x:v>0.305</x:v>
      </x:c>
      <x:c r="I3243" s="16" t="n">
        <x:v>0.45499999999999996</x:v>
      </x:c>
      <x:c r="J3243" s="16" t="n">
        <x:v>0.22499999999999992</x:v>
      </x:c>
      <x:c r="K3243" s="11" t="n">
        <x:f>CHOOSE('假设'!$B$3,H3243,I3243,J3243)</x:f>
        <x:v>0.45499999999999996</x:v>
      </x:c>
      <x:c r="L3243" s="11" t="n">
        <x:f>K3243*'管线假设'!E703*'管线假设'!F703*'管线假设'!G703*IF(E3243="USD",'管线假设'!I703,1)-AM3243</x:f>
        <x:v>0.1052380784</x:v>
      </x:c>
      <x:c r="M3243" s="11" t="n">
        <x:f>'管线假设'!H703</x:f>
        <x:v>0.135</x:v>
      </x:c>
      <x:c r="N3243" s="11" t="n">
        <x:f>IF(G3243,L3243*AN3243/(1+M3243)^F3243,0)</x:f>
        <x:v>0.019713648277487228</x:v>
      </x:c>
      <x:c r="AJ3243" t="n">
        <x:v>0</x:v>
      </x:c>
      <x:c r="AK3243" t="n">
        <x:v>0</x:v>
      </x:c>
      <x:c r="AL3243" t="n">
        <x:v>0</x:v>
      </x:c>
      <x:c r="AM3243" t="n">
        <x:f>CHOOSE('假设'!$B$3,AJ3243,AK3243,AL3243)</x:f>
        <x:v>0</x:v>
      </x:c>
      <x:c r="AN3243" t="n">
        <x:v>1</x:v>
      </x:c>
    </x:row>
    <x:row r="3244" ht="23" customHeight="1">
      <x:c r="A3244" s="11" t="str">
        <x:v>688382.SH</x:v>
      </x:c>
      <x:c r="B3244" s="11" t="str">
        <x:v>三年</x:v>
      </x:c>
      <x:c r="C3244" s="11" t="str">
        <x:v>g12c_global</x:v>
      </x:c>
      <x:c r="D3244" s="11" t="str">
        <x:v>2043-12-31</x:v>
      </x:c>
      <x:c r="E3244" s="11" t="str">
        <x:v>USD</x:v>
      </x:c>
      <x:c r="F3244" s="11" t="n">
        <x:v>14.225872689938399</x:v>
      </x:c>
      <x:c r="G3244" s="26" t="b">
        <x:v>1</x:v>
      </x:c>
      <x:c r="H3244" s="16" t="n">
        <x:v>0.24</x:v>
      </x:c>
      <x:c r="I3244" s="16" t="n">
        <x:v>0.286</x:v>
      </x:c>
      <x:c r="J3244" s="16" t="n">
        <x:v>0</x:v>
      </x:c>
      <x:c r="K3244" s="11" t="n">
        <x:f>CHOOSE('假设'!$B$3,H3244,I3244,J3244)</x:f>
        <x:v>0.286</x:v>
      </x:c>
      <x:c r="L3244" s="11" t="n">
        <x:f>K3244*'管线假设'!E703*'管线假设'!F703*'管线假设'!G703*IF(E3244="USD",'管线假设'!I703,1)-AM3244</x:f>
        <x:v>0.06614964928</x:v>
      </x:c>
      <x:c r="M3244" s="11" t="n">
        <x:f>'管线假设'!H703</x:f>
        <x:v>0.135</x:v>
      </x:c>
      <x:c r="N3244" s="11" t="n">
        <x:f>IF(G3244,L3244*AN3244/(1+M3244)^F3244,0)</x:f>
        <x:v>0.010918511135188835</x:v>
      </x:c>
      <x:c r="AJ3244" t="n">
        <x:v>0</x:v>
      </x:c>
      <x:c r="AK3244" t="n">
        <x:v>0</x:v>
      </x:c>
      <x:c r="AL3244" t="n">
        <x:v>0</x:v>
      </x:c>
      <x:c r="AM3244" t="n">
        <x:f>CHOOSE('假设'!$B$3,AJ3244,AK3244,AL3244)</x:f>
        <x:v>0</x:v>
      </x:c>
      <x:c r="AN3244" t="n">
        <x:v>1</x:v>
      </x:c>
    </x:row>
    <x:row r="3245" ht="23" customHeight="1">
      <x:c r="A3245" s="11" t="str">
        <x:v>688382.SH</x:v>
      </x:c>
      <x:c r="B3245" s="11" t="str">
        <x:v>三年</x:v>
      </x:c>
      <x:c r="C3245" s="11" t="str">
        <x:v>g12c_global</x:v>
      </x:c>
      <x:c r="D3245" s="11" t="str">
        <x:v>2044-12-31</x:v>
      </x:c>
      <x:c r="E3245" s="11" t="str">
        <x:v>USD</x:v>
      </x:c>
      <x:c r="F3245" s="11" t="n">
        <x:v>15.227926078028748</x:v>
      </x:c>
      <x:c r="G3245" s="26" t="b">
        <x:v>1</x:v>
      </x:c>
      <x:c r="H3245" s="16" t="n">
        <x:v>0.175</x:v>
      </x:c>
      <x:c r="I3245" s="16" t="n">
        <x:v>0.11699999999999997</x:v>
      </x:c>
      <x:c r="J3245" s="16" t="n">
        <x:v>0</x:v>
      </x:c>
      <x:c r="K3245" s="11" t="n">
        <x:f>CHOOSE('假设'!$B$3,H3245,I3245,J3245)</x:f>
        <x:v>0.11699999999999997</x:v>
      </x:c>
      <x:c r="L3245" s="11" t="n">
        <x:f>K3245*'管线假设'!E703*'管线假设'!F703*'管线假设'!G703*IF(E3245="USD",'管线假设'!I703,1)-AM3245</x:f>
        <x:v>0.027061220159999996</x:v>
      </x:c>
      <x:c r="M3245" s="11" t="n">
        <x:f>'管线假设'!H703</x:f>
        <x:v>0.135</x:v>
      </x:c>
      <x:c r="N3245" s="11" t="n">
        <x:f>IF(G3245,L3245*AN3245/(1+M3245)^F3245,0)</x:f>
        <x:v>0.0039343633027525615</x:v>
      </x:c>
      <x:c r="AJ3245" t="n">
        <x:v>0</x:v>
      </x:c>
      <x:c r="AK3245" t="n">
        <x:v>0</x:v>
      </x:c>
      <x:c r="AL3245" t="n">
        <x:v>0</x:v>
      </x:c>
      <x:c r="AM3245" t="n">
        <x:f>CHOOSE('假设'!$B$3,AJ3245,AK3245,AL3245)</x:f>
        <x:v>0</x:v>
      </x:c>
      <x:c r="AN3245" t="n">
        <x:v>1</x:v>
      </x:c>
    </x:row>
    <x:row r="3246" ht="23" customHeight="1">
      <x:c r="A3246" s="11" t="str">
        <x:v>688382.SH</x:v>
      </x:c>
      <x:c r="B3246" s="11" t="str">
        <x:v>三年</x:v>
      </x:c>
      <x:c r="C3246" s="11" t="str">
        <x:v>g12c_global</x:v>
      </x:c>
      <x:c r="D3246" s="11" t="str">
        <x:v>2045-12-31</x:v>
      </x:c>
      <x:c r="E3246" s="11" t="str">
        <x:v>USD</x:v>
      </x:c>
      <x:c r="F3246" s="11" t="n">
        <x:v>16.227241615331966</x:v>
      </x:c>
      <x:c r="G3246" s="26" t="b">
        <x:v>1</x:v>
      </x:c>
      <x:c r="H3246" s="16" t="n">
        <x:v>0.10999999999999999</x:v>
      </x:c>
      <x:c r="I3246" s="16" t="n">
        <x:v>0</x:v>
      </x:c>
      <x:c r="J3246" s="16" t="n">
        <x:v>0</x:v>
      </x:c>
      <x:c r="K3246" s="11" t="n">
        <x:f>CHOOSE('假设'!$B$3,H3246,I3246,J3246)</x:f>
        <x:v>0</x:v>
      </x:c>
      <x:c r="L3246" s="11" t="n">
        <x:f>K3246*'管线假设'!E703*'管线假设'!F703*'管线假设'!G703*IF(E3246="USD",'管线假设'!I703,1)-AM3246</x:f>
        <x:v>0</x:v>
      </x:c>
      <x:c r="M3246" s="11" t="n">
        <x:f>'管线假设'!H703</x:f>
        <x:v>0.135</x:v>
      </x:c>
      <x:c r="N3246" s="11" t="n">
        <x:f>IF(G3246,L3246*AN3246/(1+M3246)^F3246,0)</x:f>
        <x:v>0</x:v>
      </x:c>
      <x:c r="AJ3246" t="n">
        <x:v>0</x:v>
      </x:c>
      <x:c r="AK3246" t="n">
        <x:v>0</x:v>
      </x:c>
      <x:c r="AL3246" t="n">
        <x:v>0</x:v>
      </x:c>
      <x:c r="AM3246" t="n">
        <x:f>CHOOSE('假设'!$B$3,AJ3246,AK3246,AL3246)</x:f>
        <x:v>0</x:v>
      </x:c>
      <x:c r="AN3246" t="n">
        <x:v>1</x:v>
      </x:c>
    </x:row>
    <x:row r="3247" ht="23" customHeight="1">
      <x:c r="A3247" s="11" t="str">
        <x:v>688382.SH</x:v>
      </x:c>
      <x:c r="B3247" s="11" t="str">
        <x:v>三年</x:v>
      </x:c>
      <x:c r="C3247" s="11" t="str">
        <x:v>tyk_ps_cn</x:v>
      </x:c>
      <x:c r="D3247" s="11" t="str">
        <x:v>2027-12-31</x:v>
      </x:c>
      <x:c r="E3247" s="11" t="str">
        <x:v>CNY</x:v>
      </x:c>
      <x:c r="F3247" s="11" t="n">
        <x:v>-1.7741273100616017</x:v>
      </x:c>
      <x:c r="G3247" s="26" t="b">
        <x:v>0</x:v>
      </x:c>
      <x:c r="H3247" s="16" t="n">
        <x:v>0</x:v>
      </x:c>
      <x:c r="I3247" s="16" t="n">
        <x:v>0</x:v>
      </x:c>
      <x:c r="J3247" s="16" t="n">
        <x:v>0</x:v>
      </x:c>
      <x:c r="K3247" s="11" t="n">
        <x:f>CHOOSE('假设'!$B$3,H3247,I3247,J3247)</x:f>
        <x:v>0</x:v>
      </x:c>
      <x:c r="L3247" s="11" t="n">
        <x:f>K3247*'管线假设'!E707*'管线假设'!F707*'管线假设'!G707*IF(E3247="USD",'管线假设'!I707,1)-AM3247</x:f>
        <x:v>0</x:v>
      </x:c>
      <x:c r="M3247" s="11" t="n">
        <x:f>'管线假设'!H707</x:f>
        <x:v>0.135</x:v>
      </x:c>
      <x:c r="N3247" s="11" t="n">
        <x:f>IF(G3247,L3247*AN3247/(1+M3247)^F3247,0)</x:f>
        <x:v>0</x:v>
      </x:c>
      <x:c r="AJ3247" t="n">
        <x:v>0</x:v>
      </x:c>
      <x:c r="AK3247" t="n">
        <x:v>0</x:v>
      </x:c>
      <x:c r="AL3247" t="n">
        <x:v>0</x:v>
      </x:c>
      <x:c r="AM3247" t="n">
        <x:f>CHOOSE('假设'!$B$3,AJ3247,AK3247,AL3247)</x:f>
        <x:v>0</x:v>
      </x:c>
      <x:c r="AN3247" t="n">
        <x:v>1</x:v>
      </x:c>
    </x:row>
    <x:row r="3248" ht="23" customHeight="1">
      <x:c r="A3248" s="11" t="str">
        <x:v>688382.SH</x:v>
      </x:c>
      <x:c r="B3248" s="11" t="str">
        <x:v>三年</x:v>
      </x:c>
      <x:c r="C3248" s="11" t="str">
        <x:v>tyk_ps_cn</x:v>
      </x:c>
      <x:c r="D3248" s="11" t="str">
        <x:v>2028-12-31</x:v>
      </x:c>
      <x:c r="E3248" s="11" t="str">
        <x:v>CNY</x:v>
      </x:c>
      <x:c r="F3248" s="11" t="n">
        <x:v>-0.7720739219712526</x:v>
      </x:c>
      <x:c r="G3248" s="26" t="b">
        <x:v>0</x:v>
      </x:c>
      <x:c r="H3248" s="16" t="n">
        <x:v>0</x:v>
      </x:c>
      <x:c r="I3248" s="16" t="n">
        <x:v>0.41666666666666663</x:v>
      </x:c>
      <x:c r="J3248" s="16" t="n">
        <x:v>0.8</x:v>
      </x:c>
      <x:c r="K3248" s="11" t="n">
        <x:f>CHOOSE('假设'!$B$3,H3248,I3248,J3248)</x:f>
        <x:v>0.41666666666666663</x:v>
      </x:c>
      <x:c r="L3248" s="11" t="n">
        <x:f>K3248*'管线假设'!E707*'管线假设'!F707*'管线假设'!G707*IF(E3248="USD",'管线假设'!I707,1)-AM3248</x:f>
        <x:v>0.08297333333333334</x:v>
      </x:c>
      <x:c r="M3248" s="11" t="n">
        <x:f>'管线假设'!H707</x:f>
        <x:v>0.135</x:v>
      </x:c>
      <x:c r="N3248" s="11" t="n">
        <x:f>IF(G3248,L3248*AN3248/(1+M3248)^F3248,0)</x:f>
        <x:v>0</x:v>
      </x:c>
      <x:c r="AJ3248" t="n">
        <x:v>0</x:v>
      </x:c>
      <x:c r="AK3248" t="n">
        <x:v>0</x:v>
      </x:c>
      <x:c r="AL3248" t="n">
        <x:v>0</x:v>
      </x:c>
      <x:c r="AM3248" t="n">
        <x:f>CHOOSE('假设'!$B$3,AJ3248,AK3248,AL3248)</x:f>
        <x:v>0</x:v>
      </x:c>
      <x:c r="AN3248" t="n">
        <x:v>1</x:v>
      </x:c>
    </x:row>
    <x:row r="3249" ht="23" customHeight="1">
      <x:c r="A3249" s="11" t="str">
        <x:v>688382.SH</x:v>
      </x:c>
      <x:c r="B3249" s="11" t="str">
        <x:v>三年</x:v>
      </x:c>
      <x:c r="C3249" s="11" t="str">
        <x:v>tyk_ps_cn</x:v>
      </x:c>
      <x:c r="D3249" s="11" t="str">
        <x:v>2029-12-31</x:v>
      </x:c>
      <x:c r="E3249" s="11" t="str">
        <x:v>CNY</x:v>
      </x:c>
      <x:c r="F3249" s="11" t="n">
        <x:v>0.2272416153319644</x:v>
      </x:c>
      <x:c r="G3249" s="26" t="b">
        <x:v>1</x:v>
      </x:c>
      <x:c r="H3249" s="16" t="n">
        <x:v>0</x:v>
      </x:c>
      <x:c r="I3249" s="16" t="n">
        <x:v>0.8333333333333333</x:v>
      </x:c>
      <x:c r="J3249" s="16" t="n">
        <x:v>1.6</x:v>
      </x:c>
      <x:c r="K3249" s="11" t="n">
        <x:f>CHOOSE('假设'!$B$3,H3249,I3249,J3249)</x:f>
        <x:v>0.8333333333333333</x:v>
      </x:c>
      <x:c r="L3249" s="11" t="n">
        <x:f>K3249*'管线假设'!E707*'管线假设'!F707*'管线假设'!G707*IF(E3249="USD",'管线假设'!I707,1)-AM3249</x:f>
        <x:v>0.1659466666666667</x:v>
      </x:c>
      <x:c r="M3249" s="11" t="n">
        <x:f>'管线假设'!H707</x:f>
        <x:v>0.135</x:v>
      </x:c>
      <x:c r="N3249" s="11" t="n">
        <x:f>IF(G3249,L3249*AN3249/(1+M3249)^F3249,0)</x:f>
        <x:v>0.16123940425026206</x:v>
      </x:c>
      <x:c r="AJ3249" t="n">
        <x:v>0</x:v>
      </x:c>
      <x:c r="AK3249" t="n">
        <x:v>0</x:v>
      </x:c>
      <x:c r="AL3249" t="n">
        <x:v>0</x:v>
      </x:c>
      <x:c r="AM3249" t="n">
        <x:f>CHOOSE('假设'!$B$3,AJ3249,AK3249,AL3249)</x:f>
        <x:v>0</x:v>
      </x:c>
      <x:c r="AN3249" t="n">
        <x:v>1</x:v>
      </x:c>
    </x:row>
    <x:row r="3250" ht="23" customHeight="1">
      <x:c r="A3250" s="11" t="str">
        <x:v>688382.SH</x:v>
      </x:c>
      <x:c r="B3250" s="11" t="str">
        <x:v>三年</x:v>
      </x:c>
      <x:c r="C3250" s="11" t="str">
        <x:v>tyk_ps_cn</x:v>
      </x:c>
      <x:c r="D3250" s="11" t="str">
        <x:v>2030-12-31</x:v>
      </x:c>
      <x:c r="E3250" s="11" t="str">
        <x:v>CNY</x:v>
      </x:c>
      <x:c r="F3250" s="11" t="n">
        <x:v>1.2265571526351813</x:v>
      </x:c>
      <x:c r="G3250" s="26" t="b">
        <x:v>1</x:v>
      </x:c>
      <x:c r="H3250" s="16" t="n">
        <x:v>0</x:v>
      </x:c>
      <x:c r="I3250" s="16" t="n">
        <x:v>1.25</x:v>
      </x:c>
      <x:c r="J3250" s="16" t="n">
        <x:v>2.4</x:v>
      </x:c>
      <x:c r="K3250" s="11" t="n">
        <x:f>CHOOSE('假设'!$B$3,H3250,I3250,J3250)</x:f>
        <x:v>1.25</x:v>
      </x:c>
      <x:c r="L3250" s="11" t="n">
        <x:f>K3250*'管线假设'!E707*'管线假设'!F707*'管线假设'!G707*IF(E3250="USD",'管线假设'!I707,1)-AM3250</x:f>
        <x:v>0.24892000000000003</x:v>
      </x:c>
      <x:c r="M3250" s="11" t="n">
        <x:f>'管线假设'!H707</x:f>
        <x:v>0.135</x:v>
      </x:c>
      <x:c r="N3250" s="11" t="n">
        <x:f>IF(G3250,L3250*AN3250/(1+M3250)^F3250,0)</x:f>
        <x:v>0.21311019427378763</x:v>
      </x:c>
      <x:c r="AJ3250" t="n">
        <x:v>0</x:v>
      </x:c>
      <x:c r="AK3250" t="n">
        <x:v>0</x:v>
      </x:c>
      <x:c r="AL3250" t="n">
        <x:v>0</x:v>
      </x:c>
      <x:c r="AM3250" t="n">
        <x:f>CHOOSE('假设'!$B$3,AJ3250,AK3250,AL3250)</x:f>
        <x:v>0</x:v>
      </x:c>
      <x:c r="AN3250" t="n">
        <x:v>1</x:v>
      </x:c>
    </x:row>
    <x:row r="3251" ht="23" customHeight="1">
      <x:c r="A3251" s="11" t="str">
        <x:v>688382.SH</x:v>
      </x:c>
      <x:c r="B3251" s="11" t="str">
        <x:v>三年</x:v>
      </x:c>
      <x:c r="C3251" s="11" t="str">
        <x:v>tyk_ps_cn</x:v>
      </x:c>
      <x:c r="D3251" s="11" t="str">
        <x:v>2031-12-31</x:v>
      </x:c>
      <x:c r="E3251" s="11" t="str">
        <x:v>CNY</x:v>
      </x:c>
      <x:c r="F3251" s="11" t="n">
        <x:v>2.2258726899383983</x:v>
      </x:c>
      <x:c r="G3251" s="26" t="b">
        <x:v>1</x:v>
      </x:c>
      <x:c r="H3251" s="16" t="n">
        <x:v>0.2</x:v>
      </x:c>
      <x:c r="I3251" s="16" t="n">
        <x:v>1.6666666666666665</x:v>
      </x:c>
      <x:c r="J3251" s="16" t="n">
        <x:v>3.2</x:v>
      </x:c>
      <x:c r="K3251" s="11" t="n">
        <x:f>CHOOSE('假设'!$B$3,H3251,I3251,J3251)</x:f>
        <x:v>1.6666666666666665</x:v>
      </x:c>
      <x:c r="L3251" s="11" t="n">
        <x:f>K3251*'管线假设'!E707*'管线假设'!F707*'管线假设'!G707*IF(E3251="USD",'管线假设'!I707,1)-AM3251</x:f>
        <x:v>0.3318933333333334</x:v>
      </x:c>
      <x:c r="M3251" s="11" t="n">
        <x:f>'管线假设'!H707</x:f>
        <x:v>0.135</x:v>
      </x:c>
      <x:c r="N3251" s="11" t="n">
        <x:f>IF(G3251,L3251*AN3251/(1+M3251)^F3251,0)</x:f>
        <x:v>0.2503714143551589</x:v>
      </x:c>
      <x:c r="AJ3251" t="n">
        <x:v>0</x:v>
      </x:c>
      <x:c r="AK3251" t="n">
        <x:v>0</x:v>
      </x:c>
      <x:c r="AL3251" t="n">
        <x:v>0</x:v>
      </x:c>
      <x:c r="AM3251" t="n">
        <x:f>CHOOSE('假设'!$B$3,AJ3251,AK3251,AL3251)</x:f>
        <x:v>0</x:v>
      </x:c>
      <x:c r="AN3251" t="n">
        <x:v>1</x:v>
      </x:c>
    </x:row>
    <x:row r="3252" ht="23" customHeight="1">
      <x:c r="A3252" s="11" t="str">
        <x:v>688382.SH</x:v>
      </x:c>
      <x:c r="B3252" s="11" t="str">
        <x:v>三年</x:v>
      </x:c>
      <x:c r="C3252" s="11" t="str">
        <x:v>tyk_ps_cn</x:v>
      </x:c>
      <x:c r="D3252" s="11" t="str">
        <x:v>2032-12-31</x:v>
      </x:c>
      <x:c r="E3252" s="11" t="str">
        <x:v>CNY</x:v>
      </x:c>
      <x:c r="F3252" s="11" t="n">
        <x:v>3.2279260780287475</x:v>
      </x:c>
      <x:c r="G3252" s="26" t="b">
        <x:v>1</x:v>
      </x:c>
      <x:c r="H3252" s="16" t="n">
        <x:v>0.4</x:v>
      </x:c>
      <x:c r="I3252" s="16" t="n">
        <x:v>2.0833333333333335</x:v>
      </x:c>
      <x:c r="J3252" s="16" t="n">
        <x:v>4</x:v>
      </x:c>
      <x:c r="K3252" s="11" t="n">
        <x:f>CHOOSE('假设'!$B$3,H3252,I3252,J3252)</x:f>
        <x:v>2.0833333333333335</x:v>
      </x:c>
      <x:c r="L3252" s="11" t="n">
        <x:f>K3252*'管线假设'!E707*'管线假设'!F707*'管线假设'!G707*IF(E3252="USD",'管线假设'!I707,1)-AM3252</x:f>
        <x:v>0.4148666666666668</x:v>
      </x:c>
      <x:c r="M3252" s="11" t="n">
        <x:f>'管线假设'!H707</x:f>
        <x:v>0.135</x:v>
      </x:c>
      <x:c r="N3252" s="11" t="n">
        <x:f>IF(G3252,L3252*AN3252/(1+M3252)^F3252,0)</x:f>
        <x:v>0.275667753025298</x:v>
      </x:c>
      <x:c r="AJ3252" t="n">
        <x:v>0</x:v>
      </x:c>
      <x:c r="AK3252" t="n">
        <x:v>0</x:v>
      </x:c>
      <x:c r="AL3252" t="n">
        <x:v>0</x:v>
      </x:c>
      <x:c r="AM3252" t="n">
        <x:f>CHOOSE('假设'!$B$3,AJ3252,AK3252,AL3252)</x:f>
        <x:v>0</x:v>
      </x:c>
      <x:c r="AN3252" t="n">
        <x:v>1</x:v>
      </x:c>
    </x:row>
    <x:row r="3253" ht="23" customHeight="1">
      <x:c r="A3253" s="11" t="str">
        <x:v>688382.SH</x:v>
      </x:c>
      <x:c r="B3253" s="11" t="str">
        <x:v>三年</x:v>
      </x:c>
      <x:c r="C3253" s="11" t="str">
        <x:v>tyk_ps_cn</x:v>
      </x:c>
      <x:c r="D3253" s="11" t="str">
        <x:v>2033-12-31</x:v>
      </x:c>
      <x:c r="E3253" s="11" t="str">
        <x:v>CNY</x:v>
      </x:c>
      <x:c r="F3253" s="11" t="n">
        <x:v>4.227241615331964</x:v>
      </x:c>
      <x:c r="G3253" s="26" t="b">
        <x:v>1</x:v>
      </x:c>
      <x:c r="H3253" s="16" t="n">
        <x:v>0.6</x:v>
      </x:c>
      <x:c r="I3253" s="16" t="n">
        <x:v>2.5</x:v>
      </x:c>
      <x:c r="J3253" s="16" t="n">
        <x:v>3.48</x:v>
      </x:c>
      <x:c r="K3253" s="11" t="n">
        <x:f>CHOOSE('假设'!$B$3,H3253,I3253,J3253)</x:f>
        <x:v>2.5</x:v>
      </x:c>
      <x:c r="L3253" s="11" t="n">
        <x:f>K3253*'管线假设'!E707*'管线假设'!F707*'管线假设'!G707*IF(E3253="USD",'管线假设'!I707,1)-AM3253</x:f>
        <x:v>0.49784000000000006</x:v>
      </x:c>
      <x:c r="M3253" s="11" t="n">
        <x:f>'管线假设'!H707</x:f>
        <x:v>0.135</x:v>
      </x:c>
      <x:c r="N3253" s="11" t="n">
        <x:f>IF(G3253,L3253*AN3253/(1+M3253)^F3253,0)</x:f>
        <x:v>0.2914801561090202</x:v>
      </x:c>
      <x:c r="AJ3253" t="n">
        <x:v>0</x:v>
      </x:c>
      <x:c r="AK3253" t="n">
        <x:v>0</x:v>
      </x:c>
      <x:c r="AL3253" t="n">
        <x:v>0</x:v>
      </x:c>
      <x:c r="AM3253" t="n">
        <x:f>CHOOSE('假设'!$B$3,AJ3253,AK3253,AL3253)</x:f>
        <x:v>0</x:v>
      </x:c>
      <x:c r="AN3253" t="n">
        <x:v>1</x:v>
      </x:c>
    </x:row>
    <x:row r="3254" ht="23" customHeight="1">
      <x:c r="A3254" s="11" t="str">
        <x:v>688382.SH</x:v>
      </x:c>
      <x:c r="B3254" s="11" t="str">
        <x:v>三年</x:v>
      </x:c>
      <x:c r="C3254" s="11" t="str">
        <x:v>tyk_ps_cn</x:v>
      </x:c>
      <x:c r="D3254" s="11" t="str">
        <x:v>2034-12-31</x:v>
      </x:c>
      <x:c r="E3254" s="11" t="str">
        <x:v>CNY</x:v>
      </x:c>
      <x:c r="F3254" s="11" t="n">
        <x:v>5.2265571526351815</x:v>
      </x:c>
      <x:c r="G3254" s="26" t="b">
        <x:v>1</x:v>
      </x:c>
      <x:c r="H3254" s="16" t="n">
        <x:v>0.8</x:v>
      </x:c>
      <x:c r="I3254" s="16" t="n">
        <x:v>2.175</x:v>
      </x:c>
      <x:c r="J3254" s="16" t="n">
        <x:v>2.96</x:v>
      </x:c>
      <x:c r="K3254" s="11" t="n">
        <x:f>CHOOSE('假设'!$B$3,H3254,I3254,J3254)</x:f>
        <x:v>2.175</x:v>
      </x:c>
      <x:c r="L3254" s="11" t="n">
        <x:f>K3254*'管线假设'!E707*'管线假设'!F707*'管线假设'!G707*IF(E3254="USD",'管线假设'!I707,1)-AM3254</x:f>
        <x:v>0.43312080000000003</x:v>
      </x:c>
      <x:c r="M3254" s="11" t="n">
        <x:f>'管线假设'!H707</x:f>
        <x:v>0.135</x:v>
      </x:c>
      <x:c r="N3254" s="11" t="n">
        <x:f>IF(G3254,L3254*AN3254/(1+M3254)^F3254,0)</x:f>
        <x:v>0.22344468420003383</x:v>
      </x:c>
      <x:c r="AJ3254" t="n">
        <x:v>0</x:v>
      </x:c>
      <x:c r="AK3254" t="n">
        <x:v>0</x:v>
      </x:c>
      <x:c r="AL3254" t="n">
        <x:v>0</x:v>
      </x:c>
      <x:c r="AM3254" t="n">
        <x:f>CHOOSE('假设'!$B$3,AJ3254,AK3254,AL3254)</x:f>
        <x:v>0</x:v>
      </x:c>
      <x:c r="AN3254" t="n">
        <x:v>1</x:v>
      </x:c>
    </x:row>
    <x:row r="3255" ht="23" customHeight="1">
      <x:c r="A3255" s="11" t="str">
        <x:v>688382.SH</x:v>
      </x:c>
      <x:c r="B3255" s="11" t="str">
        <x:v>三年</x:v>
      </x:c>
      <x:c r="C3255" s="11" t="str">
        <x:v>tyk_ps_cn</x:v>
      </x:c>
      <x:c r="D3255" s="11" t="str">
        <x:v>2035-12-31</x:v>
      </x:c>
      <x:c r="E3255" s="11" t="str">
        <x:v>CNY</x:v>
      </x:c>
      <x:c r="F3255" s="11" t="n">
        <x:v>6.225872689938399</x:v>
      </x:c>
      <x:c r="G3255" s="26" t="b">
        <x:v>1</x:v>
      </x:c>
      <x:c r="H3255" s="16" t="n">
        <x:v>1</x:v>
      </x:c>
      <x:c r="I3255" s="16" t="n">
        <x:v>1.85</x:v>
      </x:c>
      <x:c r="J3255" s="16" t="n">
        <x:v>2.44</x:v>
      </x:c>
      <x:c r="K3255" s="11" t="n">
        <x:f>CHOOSE('假设'!$B$3,H3255,I3255,J3255)</x:f>
        <x:v>1.85</x:v>
      </x:c>
      <x:c r="L3255" s="11" t="n">
        <x:f>K3255*'管线假设'!E707*'管线假设'!F707*'管线假设'!G707*IF(E3255="USD",'管线假设'!I707,1)-AM3255</x:f>
        <x:v>0.3684016000000001</x:v>
      </x:c>
      <x:c r="M3255" s="11" t="n">
        <x:f>'管线假设'!H707</x:f>
        <x:v>0.135</x:v>
      </x:c>
      <x:c r="N3255" s="11" t="n">
        <x:f>IF(G3255,L3255*AN3255/(1+M3255)^F3255,0)</x:f>
        <x:v>0.16746508543554695</x:v>
      </x:c>
      <x:c r="AJ3255" t="n">
        <x:v>0</x:v>
      </x:c>
      <x:c r="AK3255" t="n">
        <x:v>0</x:v>
      </x:c>
      <x:c r="AL3255" t="n">
        <x:v>0</x:v>
      </x:c>
      <x:c r="AM3255" t="n">
        <x:f>CHOOSE('假设'!$B$3,AJ3255,AK3255,AL3255)</x:f>
        <x:v>0</x:v>
      </x:c>
      <x:c r="AN3255" t="n">
        <x:v>1</x:v>
      </x:c>
    </x:row>
    <x:row r="3256" ht="23" customHeight="1">
      <x:c r="A3256" s="11" t="str">
        <x:v>688382.SH</x:v>
      </x:c>
      <x:c r="B3256" s="11" t="str">
        <x:v>三年</x:v>
      </x:c>
      <x:c r="C3256" s="11" t="str">
        <x:v>tyk_ps_cn</x:v>
      </x:c>
      <x:c r="D3256" s="11" t="str">
        <x:v>2036-12-31</x:v>
      </x:c>
      <x:c r="E3256" s="11" t="str">
        <x:v>CNY</x:v>
      </x:c>
      <x:c r="F3256" s="11" t="n">
        <x:v>7.227926078028747</x:v>
      </x:c>
      <x:c r="G3256" s="26" t="b">
        <x:v>1</x:v>
      </x:c>
      <x:c r="H3256" s="16" t="n">
        <x:v>0.87</x:v>
      </x:c>
      <x:c r="I3256" s="16" t="n">
        <x:v>1.525</x:v>
      </x:c>
      <x:c r="J3256" s="16" t="n">
        <x:v>1.92</x:v>
      </x:c>
      <x:c r="K3256" s="11" t="n">
        <x:f>CHOOSE('假设'!$B$3,H3256,I3256,J3256)</x:f>
        <x:v>1.525</x:v>
      </x:c>
      <x:c r="L3256" s="11" t="n">
        <x:f>K3256*'管线假设'!E707*'管线假设'!F707*'管线假设'!G707*IF(E3256="USD",'管线假设'!I707,1)-AM3256</x:f>
        <x:v>0.3036824000000001</x:v>
      </x:c>
      <x:c r="M3256" s="11" t="n">
        <x:f>'管线假设'!H707</x:f>
        <x:v>0.135</x:v>
      </x:c>
      <x:c r="N3256" s="11" t="n">
        <x:f>IF(G3256,L3256*AN3256/(1+M3256)^F3256,0)</x:f>
        <x:v>0.12159440761119714</x:v>
      </x:c>
      <x:c r="AJ3256" t="n">
        <x:v>0</x:v>
      </x:c>
      <x:c r="AK3256" t="n">
        <x:v>0</x:v>
      </x:c>
      <x:c r="AL3256" t="n">
        <x:v>0</x:v>
      </x:c>
      <x:c r="AM3256" t="n">
        <x:f>CHOOSE('假设'!$B$3,AJ3256,AK3256,AL3256)</x:f>
        <x:v>0</x:v>
      </x:c>
      <x:c r="AN3256" t="n">
        <x:v>1</x:v>
      </x:c>
    </x:row>
    <x:row r="3257" ht="23" customHeight="1">
      <x:c r="A3257" s="11" t="str">
        <x:v>688382.SH</x:v>
      </x:c>
      <x:c r="B3257" s="11" t="str">
        <x:v>三年</x:v>
      </x:c>
      <x:c r="C3257" s="11" t="str">
        <x:v>tyk_ps_cn</x:v>
      </x:c>
      <x:c r="D3257" s="11" t="str">
        <x:v>2037-12-31</x:v>
      </x:c>
      <x:c r="E3257" s="11" t="str">
        <x:v>CNY</x:v>
      </x:c>
      <x:c r="F3257" s="11" t="n">
        <x:v>8.227241615331964</x:v>
      </x:c>
      <x:c r="G3257" s="26" t="b">
        <x:v>1</x:v>
      </x:c>
      <x:c r="H3257" s="16" t="n">
        <x:v>0.74</x:v>
      </x:c>
      <x:c r="I3257" s="16" t="n">
        <x:v>1.2</x:v>
      </x:c>
      <x:c r="J3257" s="16" t="n">
        <x:v>1.4</x:v>
      </x:c>
      <x:c r="K3257" s="11" t="n">
        <x:f>CHOOSE('假设'!$B$3,H3257,I3257,J3257)</x:f>
        <x:v>1.2</x:v>
      </x:c>
      <x:c r="L3257" s="11" t="n">
        <x:f>K3257*'管线假设'!E707*'管线假设'!F707*'管线假设'!G707*IF(E3257="USD",'管线假设'!I707,1)-AM3257</x:f>
        <x:v>0.23896320000000004</x:v>
      </x:c>
      <x:c r="M3257" s="11" t="n">
        <x:f>'管线假设'!H707</x:f>
        <x:v>0.135</x:v>
      </x:c>
      <x:c r="N3257" s="11" t="n">
        <x:f>IF(G3257,L3257*AN3257/(1+M3257)^F3257,0)</x:f>
        <x:v>0.08430761133150314</x:v>
      </x:c>
      <x:c r="AJ3257" t="n">
        <x:v>0</x:v>
      </x:c>
      <x:c r="AK3257" t="n">
        <x:v>0</x:v>
      </x:c>
      <x:c r="AL3257" t="n">
        <x:v>0</x:v>
      </x:c>
      <x:c r="AM3257" t="n">
        <x:f>CHOOSE('假设'!$B$3,AJ3257,AK3257,AL3257)</x:f>
        <x:v>0</x:v>
      </x:c>
      <x:c r="AN3257" t="n">
        <x:v>1</x:v>
      </x:c>
    </x:row>
    <x:row r="3258" ht="23" customHeight="1">
      <x:c r="A3258" s="11" t="str">
        <x:v>688382.SH</x:v>
      </x:c>
      <x:c r="B3258" s="11" t="str">
        <x:v>三年</x:v>
      </x:c>
      <x:c r="C3258" s="11" t="str">
        <x:v>tyk_ps_cn</x:v>
      </x:c>
      <x:c r="D3258" s="11" t="str">
        <x:v>2038-12-31</x:v>
      </x:c>
      <x:c r="E3258" s="11" t="str">
        <x:v>CNY</x:v>
      </x:c>
      <x:c r="F3258" s="11" t="n">
        <x:v>9.22655715263518</x:v>
      </x:c>
      <x:c r="G3258" s="26" t="b">
        <x:v>1</x:v>
      </x:c>
      <x:c r="H3258" s="16" t="n">
        <x:v>0.61</x:v>
      </x:c>
      <x:c r="I3258" s="16" t="n">
        <x:v>0.875</x:v>
      </x:c>
      <x:c r="J3258" s="16" t="n">
        <x:v>0.8799999999999999</x:v>
      </x:c>
      <x:c r="K3258" s="11" t="n">
        <x:f>CHOOSE('假设'!$B$3,H3258,I3258,J3258)</x:f>
        <x:v>0.875</x:v>
      </x:c>
      <x:c r="L3258" s="11" t="n">
        <x:f>K3258*'管线假设'!E707*'管线假设'!F707*'管线假设'!G707*IF(E3258="USD",'管线假设'!I707,1)-AM3258</x:f>
        <x:v>0.17424400000000004</x:v>
      </x:c>
      <x:c r="M3258" s="11" t="n">
        <x:f>'管线假设'!H707</x:f>
        <x:v>0.135</x:v>
      </x:c>
      <x:c r="N3258" s="11" t="n">
        <x:f>IF(G3258,L3258*AN3258/(1+M3258)^F3258,0)</x:f>
        <x:v>0.05416707353754727</x:v>
      </x:c>
      <x:c r="AJ3258" t="n">
        <x:v>0</x:v>
      </x:c>
      <x:c r="AK3258" t="n">
        <x:v>0</x:v>
      </x:c>
      <x:c r="AL3258" t="n">
        <x:v>0</x:v>
      </x:c>
      <x:c r="AM3258" t="n">
        <x:f>CHOOSE('假设'!$B$3,AJ3258,AK3258,AL3258)</x:f>
        <x:v>0</x:v>
      </x:c>
      <x:c r="AN3258" t="n">
        <x:v>1</x:v>
      </x:c>
    </x:row>
    <x:row r="3259" ht="23" customHeight="1">
      <x:c r="A3259" s="11" t="str">
        <x:v>688382.SH</x:v>
      </x:c>
      <x:c r="B3259" s="11" t="str">
        <x:v>三年</x:v>
      </x:c>
      <x:c r="C3259" s="11" t="str">
        <x:v>tyk_ps_cn</x:v>
      </x:c>
      <x:c r="D3259" s="11" t="str">
        <x:v>2039-12-31</x:v>
      </x:c>
      <x:c r="E3259" s="11" t="str">
        <x:v>CNY</x:v>
      </x:c>
      <x:c r="F3259" s="11" t="n">
        <x:v>10.225872689938399</x:v>
      </x:c>
      <x:c r="G3259" s="26" t="b">
        <x:v>1</x:v>
      </x:c>
      <x:c r="H3259" s="16" t="n">
        <x:v>0.48</x:v>
      </x:c>
      <x:c r="I3259" s="16" t="n">
        <x:v>0.5499999999999999</x:v>
      </x:c>
      <x:c r="J3259" s="16" t="n">
        <x:v>0.3599999999999999</x:v>
      </x:c>
      <x:c r="K3259" s="11" t="n">
        <x:f>CHOOSE('假设'!$B$3,H3259,I3259,J3259)</x:f>
        <x:v>0.5499999999999999</x:v>
      </x:c>
      <x:c r="L3259" s="11" t="n">
        <x:f>K3259*'管线假设'!E707*'管线假设'!F707*'管线假设'!G707*IF(E3259="USD",'管线假设'!I707,1)-AM3259</x:f>
        <x:v>0.10952480000000002</x:v>
      </x:c>
      <x:c r="M3259" s="11" t="n">
        <x:f>'管线假设'!H707</x:f>
        <x:v>0.135</x:v>
      </x:c>
      <x:c r="N3259" s="11" t="n">
        <x:f>IF(G3259,L3259*AN3259/(1+M3259)^F3259,0)</x:f>
        <x:v>0.030000727782878316</x:v>
      </x:c>
      <x:c r="AJ3259" t="n">
        <x:v>0</x:v>
      </x:c>
      <x:c r="AK3259" t="n">
        <x:v>0</x:v>
      </x:c>
      <x:c r="AL3259" t="n">
        <x:v>0</x:v>
      </x:c>
      <x:c r="AM3259" t="n">
        <x:f>CHOOSE('假设'!$B$3,AJ3259,AK3259,AL3259)</x:f>
        <x:v>0</x:v>
      </x:c>
      <x:c r="AN3259" t="n">
        <x:v>1</x:v>
      </x:c>
    </x:row>
    <x:row r="3260" ht="23" customHeight="1">
      <x:c r="A3260" s="11" t="str">
        <x:v>688382.SH</x:v>
      </x:c>
      <x:c r="B3260" s="11" t="str">
        <x:v>三年</x:v>
      </x:c>
      <x:c r="C3260" s="11" t="str">
        <x:v>tyk_ps_cn</x:v>
      </x:c>
      <x:c r="D3260" s="11" t="str">
        <x:v>2040-12-31</x:v>
      </x:c>
      <x:c r="E3260" s="11" t="str">
        <x:v>CNY</x:v>
      </x:c>
      <x:c r="F3260" s="11" t="n">
        <x:v>11.227926078028748</x:v>
      </x:c>
      <x:c r="G3260" s="26" t="b">
        <x:v>1</x:v>
      </x:c>
      <x:c r="H3260" s="16" t="n">
        <x:v>0.35</x:v>
      </x:c>
      <x:c r="I3260" s="16" t="n">
        <x:v>0.22499999999999992</x:v>
      </x:c>
      <x:c r="J3260" s="16" t="n">
        <x:v>0</x:v>
      </x:c>
      <x:c r="K3260" s="11" t="n">
        <x:f>CHOOSE('假设'!$B$3,H3260,I3260,J3260)</x:f>
        <x:v>0.22499999999999992</x:v>
      </x:c>
      <x:c r="L3260" s="11" t="n">
        <x:f>K3260*'管线假设'!E707*'管线假设'!F707*'管线假设'!G707*IF(E3260="USD",'管线假设'!I707,1)-AM3260</x:f>
        <x:v>0.044805599999999994</x:v>
      </x:c>
      <x:c r="M3260" s="11" t="n">
        <x:f>'管线假设'!H707</x:f>
        <x:v>0.135</x:v>
      </x:c>
      <x:c r="N3260" s="11" t="n">
        <x:f>IF(G3260,L3260*AN3260/(1+M3260)^F3260,0)</x:f>
        <x:v>0.010810426530080583</x:v>
      </x:c>
      <x:c r="AJ3260" t="n">
        <x:v>0</x:v>
      </x:c>
      <x:c r="AK3260" t="n">
        <x:v>0</x:v>
      </x:c>
      <x:c r="AL3260" t="n">
        <x:v>0</x:v>
      </x:c>
      <x:c r="AM3260" t="n">
        <x:f>CHOOSE('假设'!$B$3,AJ3260,AK3260,AL3260)</x:f>
        <x:v>0</x:v>
      </x:c>
      <x:c r="AN3260" t="n">
        <x:v>1</x:v>
      </x:c>
    </x:row>
    <x:row r="3261" ht="23" customHeight="1">
      <x:c r="A3261" s="11" t="str">
        <x:v>688382.SH</x:v>
      </x:c>
      <x:c r="B3261" s="11" t="str">
        <x:v>三年</x:v>
      </x:c>
      <x:c r="C3261" s="11" t="str">
        <x:v>tyk_ps_cn</x:v>
      </x:c>
      <x:c r="D3261" s="11" t="str">
        <x:v>2041-12-31</x:v>
      </x:c>
      <x:c r="E3261" s="11" t="str">
        <x:v>CNY</x:v>
      </x:c>
      <x:c r="F3261" s="11" t="n">
        <x:v>12.227241615331964</x:v>
      </x:c>
      <x:c r="G3261" s="26" t="b">
        <x:v>1</x:v>
      </x:c>
      <x:c r="H3261" s="16" t="n">
        <x:v>0.21999999999999997</x:v>
      </x:c>
      <x:c r="I3261" s="16" t="n">
        <x:v>0</x:v>
      </x:c>
      <x:c r="J3261" s="16" t="n">
        <x:v>0</x:v>
      </x:c>
      <x:c r="K3261" s="11" t="n">
        <x:f>CHOOSE('假设'!$B$3,H3261,I3261,J3261)</x:f>
        <x:v>0</x:v>
      </x:c>
      <x:c r="L3261" s="11" t="n">
        <x:f>K3261*'管线假设'!E707*'管线假设'!F707*'管线假设'!G707*IF(E3261="USD",'管线假设'!I707,1)-AM3261</x:f>
        <x:v>0</x:v>
      </x:c>
      <x:c r="M3261" s="11" t="n">
        <x:f>'管线假设'!H707</x:f>
        <x:v>0.135</x:v>
      </x:c>
      <x:c r="N3261" s="11" t="n">
        <x:f>IF(G3261,L3261*AN3261/(1+M3261)^F3261,0)</x:f>
        <x:v>0</x:v>
      </x:c>
      <x:c r="AJ3261" t="n">
        <x:v>0</x:v>
      </x:c>
      <x:c r="AK3261" t="n">
        <x:v>0</x:v>
      </x:c>
      <x:c r="AL3261" t="n">
        <x:v>0</x:v>
      </x:c>
      <x:c r="AM3261" t="n">
        <x:f>CHOOSE('假设'!$B$3,AJ3261,AK3261,AL3261)</x:f>
        <x:v>0</x:v>
      </x:c>
      <x:c r="AN3261" t="n">
        <x:v>1</x:v>
      </x:c>
    </x:row>
    <x:row r="3262" ht="23" customHeight="1">
      <x:c r="A3262" s="11" t="str">
        <x:v>688382.SH</x:v>
      </x:c>
      <x:c r="B3262" s="11" t="str">
        <x:v>三年</x:v>
      </x:c>
      <x:c r="C3262" s="11" t="str">
        <x:v>tyk_ps_cn</x:v>
      </x:c>
      <x:c r="D3262" s="11" t="str">
        <x:v>2042-12-31</x:v>
      </x:c>
      <x:c r="E3262" s="11" t="str">
        <x:v>CNY</x:v>
      </x:c>
      <x:c r="F3262" s="11" t="n">
        <x:v>13.22655715263518</x:v>
      </x:c>
      <x:c r="G3262" s="26" t="b">
        <x:v>1</x:v>
      </x:c>
      <x:c r="H3262" s="16" t="n">
        <x:v>0.08999999999999997</x:v>
      </x:c>
      <x:c r="I3262" s="16" t="n">
        <x:v>0</x:v>
      </x:c>
      <x:c r="J3262" s="16" t="n">
        <x:v>0</x:v>
      </x:c>
      <x:c r="K3262" s="11" t="n">
        <x:f>CHOOSE('假设'!$B$3,H3262,I3262,J3262)</x:f>
        <x:v>0</x:v>
      </x:c>
      <x:c r="L3262" s="11" t="n">
        <x:f>K3262*'管线假设'!E707*'管线假设'!F707*'管线假设'!G707*IF(E3262="USD",'管线假设'!I707,1)-AM3262</x:f>
        <x:v>0</x:v>
      </x:c>
      <x:c r="M3262" s="11" t="n">
        <x:f>'管线假设'!H707</x:f>
        <x:v>0.135</x:v>
      </x:c>
      <x:c r="N3262" s="11" t="n">
        <x:f>IF(G3262,L3262*AN3262/(1+M3262)^F3262,0)</x:f>
        <x:v>0</x:v>
      </x:c>
      <x:c r="AJ3262" t="n">
        <x:v>0</x:v>
      </x:c>
      <x:c r="AK3262" t="n">
        <x:v>0</x:v>
      </x:c>
      <x:c r="AL3262" t="n">
        <x:v>0</x:v>
      </x:c>
      <x:c r="AM3262" t="n">
        <x:f>CHOOSE('假设'!$B$3,AJ3262,AK3262,AL3262)</x:f>
        <x:v>0</x:v>
      </x:c>
      <x:c r="AN3262" t="n">
        <x:v>1</x:v>
      </x:c>
    </x:row>
    <x:row r="3263" ht="23" customHeight="1">
      <x:c r="A3263" s="11" t="str">
        <x:v>688382.SH</x:v>
      </x:c>
      <x:c r="B3263" s="11" t="str">
        <x:v>三年</x:v>
      </x:c>
      <x:c r="C3263" s="11" t="str">
        <x:v>tyk_ps_cn</x:v>
      </x:c>
      <x:c r="D3263" s="11" t="str">
        <x:v>2043-12-31</x:v>
      </x:c>
      <x:c r="E3263" s="11" t="str">
        <x:v>CNY</x:v>
      </x:c>
      <x:c r="F3263" s="11" t="n">
        <x:v>14.225872689938399</x:v>
      </x:c>
      <x:c r="G3263" s="26" t="b">
        <x:v>1</x:v>
      </x:c>
      <x:c r="H3263" s="16" t="n">
        <x:v>0</x:v>
      </x:c>
      <x:c r="I3263" s="16" t="n">
        <x:v>0</x:v>
      </x:c>
      <x:c r="J3263" s="16" t="n">
        <x:v>0</x:v>
      </x:c>
      <x:c r="K3263" s="11" t="n">
        <x:f>CHOOSE('假设'!$B$3,H3263,I3263,J3263)</x:f>
        <x:v>0</x:v>
      </x:c>
      <x:c r="L3263" s="11" t="n">
        <x:f>K3263*'管线假设'!E707*'管线假设'!F707*'管线假设'!G707*IF(E3263="USD",'管线假设'!I707,1)-AM3263</x:f>
        <x:v>0</x:v>
      </x:c>
      <x:c r="M3263" s="11" t="n">
        <x:f>'管线假设'!H707</x:f>
        <x:v>0.135</x:v>
      </x:c>
      <x:c r="N3263" s="11" t="n">
        <x:f>IF(G3263,L3263*AN3263/(1+M3263)^F3263,0)</x:f>
        <x:v>0</x:v>
      </x:c>
      <x:c r="AJ3263" t="n">
        <x:v>0</x:v>
      </x:c>
      <x:c r="AK3263" t="n">
        <x:v>0</x:v>
      </x:c>
      <x:c r="AL3263" t="n">
        <x:v>0</x:v>
      </x:c>
      <x:c r="AM3263" t="n">
        <x:f>CHOOSE('假设'!$B$3,AJ3263,AK3263,AL3263)</x:f>
        <x:v>0</x:v>
      </x:c>
      <x:c r="AN3263" t="n">
        <x:v>1</x:v>
      </x:c>
    </x:row>
    <x:row r="3264" ht="23" customHeight="1">
      <x:c r="A3264" s="11" t="str">
        <x:v>688382.SH</x:v>
      </x:c>
      <x:c r="B3264" s="11" t="str">
        <x:v>三年</x:v>
      </x:c>
      <x:c r="C3264" s="11" t="str">
        <x:v>tyk_ps_cn</x:v>
      </x:c>
      <x:c r="D3264" s="11" t="str">
        <x:v>2044-12-31</x:v>
      </x:c>
      <x:c r="E3264" s="11" t="str">
        <x:v>CNY</x:v>
      </x:c>
      <x:c r="F3264" s="11" t="n">
        <x:v>15.227926078028748</x:v>
      </x:c>
      <x:c r="G3264" s="26" t="b">
        <x:v>1</x:v>
      </x:c>
      <x:c r="H3264" s="16" t="n">
        <x:v>0</x:v>
      </x:c>
      <x:c r="I3264" s="16" t="n">
        <x:v>0</x:v>
      </x:c>
      <x:c r="J3264" s="16" t="n">
        <x:v>0</x:v>
      </x:c>
      <x:c r="K3264" s="11" t="n">
        <x:f>CHOOSE('假设'!$B$3,H3264,I3264,J3264)</x:f>
        <x:v>0</x:v>
      </x:c>
      <x:c r="L3264" s="11" t="n">
        <x:f>K3264*'管线假设'!E707*'管线假设'!F707*'管线假设'!G707*IF(E3264="USD",'管线假设'!I707,1)-AM3264</x:f>
        <x:v>0</x:v>
      </x:c>
      <x:c r="M3264" s="11" t="n">
        <x:f>'管线假设'!H707</x:f>
        <x:v>0.135</x:v>
      </x:c>
      <x:c r="N3264" s="11" t="n">
        <x:f>IF(G3264,L3264*AN3264/(1+M3264)^F3264,0)</x:f>
        <x:v>0</x:v>
      </x:c>
      <x:c r="AJ3264" t="n">
        <x:v>0</x:v>
      </x:c>
      <x:c r="AK3264" t="n">
        <x:v>0</x:v>
      </x:c>
      <x:c r="AL3264" t="n">
        <x:v>0</x:v>
      </x:c>
      <x:c r="AM3264" t="n">
        <x:f>CHOOSE('假设'!$B$3,AJ3264,AK3264,AL3264)</x:f>
        <x:v>0</x:v>
      </x:c>
      <x:c r="AN3264" t="n">
        <x:v>1</x:v>
      </x:c>
    </x:row>
    <x:row r="3265" ht="23" customHeight="1">
      <x:c r="A3265" s="11" t="str">
        <x:v>688382.SH</x:v>
      </x:c>
      <x:c r="B3265" s="11" t="str">
        <x:v>三年</x:v>
      </x:c>
      <x:c r="C3265" s="11" t="str">
        <x:v>tyk_ps_cn</x:v>
      </x:c>
      <x:c r="D3265" s="11" t="str">
        <x:v>2045-12-31</x:v>
      </x:c>
      <x:c r="E3265" s="11" t="str">
        <x:v>CNY</x:v>
      </x:c>
      <x:c r="F3265" s="11" t="n">
        <x:v>16.227241615331966</x:v>
      </x:c>
      <x:c r="G3265" s="26" t="b">
        <x:v>1</x:v>
      </x:c>
      <x:c r="H3265" s="16" t="n">
        <x:v>0</x:v>
      </x:c>
      <x:c r="I3265" s="16" t="n">
        <x:v>0</x:v>
      </x:c>
      <x:c r="J3265" s="16" t="n">
        <x:v>0</x:v>
      </x:c>
      <x:c r="K3265" s="11" t="n">
        <x:f>CHOOSE('假设'!$B$3,H3265,I3265,J3265)</x:f>
        <x:v>0</x:v>
      </x:c>
      <x:c r="L3265" s="11" t="n">
        <x:f>K3265*'管线假设'!E707*'管线假设'!F707*'管线假设'!G707*IF(E3265="USD",'管线假设'!I707,1)-AM3265</x:f>
        <x:v>0</x:v>
      </x:c>
      <x:c r="M3265" s="11" t="n">
        <x:f>'管线假设'!H707</x:f>
        <x:v>0.135</x:v>
      </x:c>
      <x:c r="N3265" s="11" t="n">
        <x:f>IF(G3265,L3265*AN3265/(1+M3265)^F3265,0)</x:f>
        <x:v>0</x:v>
      </x:c>
      <x:c r="AJ3265" t="n">
        <x:v>0</x:v>
      </x:c>
      <x:c r="AK3265" t="n">
        <x:v>0</x:v>
      </x:c>
      <x:c r="AL3265" t="n">
        <x:v>0</x:v>
      </x:c>
      <x:c r="AM3265" t="n">
        <x:f>CHOOSE('假设'!$B$3,AJ3265,AK3265,AL3265)</x:f>
        <x:v>0</x:v>
      </x:c>
      <x:c r="AN3265" t="n">
        <x:v>1</x:v>
      </x:c>
    </x:row>
    <x:row r="3266" ht="23" customHeight="1">
      <x:c r="A3266" s="11" t="str">
        <x:v>688382.SH</x:v>
      </x:c>
      <x:c r="B3266" s="11" t="str">
        <x:v>三年</x:v>
      </x:c>
      <x:c r="C3266" s="11" t="str">
        <x:v>tyk_uc_cn</x:v>
      </x:c>
      <x:c r="D3266" s="11" t="str">
        <x:v>2027-12-31</x:v>
      </x:c>
      <x:c r="E3266" s="11" t="str">
        <x:v>CNY</x:v>
      </x:c>
      <x:c r="F3266" s="11" t="n">
        <x:v>-1.7741273100616017</x:v>
      </x:c>
      <x:c r="G3266" s="26" t="b">
        <x:v>0</x:v>
      </x:c>
      <x:c r="H3266" s="16" t="n">
        <x:v>0</x:v>
      </x:c>
      <x:c r="I3266" s="16" t="n">
        <x:v>0</x:v>
      </x:c>
      <x:c r="J3266" s="16" t="n">
        <x:v>0</x:v>
      </x:c>
      <x:c r="K3266" s="11" t="n">
        <x:f>CHOOSE('假设'!$B$3,H3266,I3266,J3266)</x:f>
        <x:v>0</x:v>
      </x:c>
      <x:c r="L3266" s="11" t="n">
        <x:f>K3266*'管线假设'!E711*'管线假设'!F711*'管线假设'!G711*IF(E3266="USD",'管线假设'!I711,1)-AM3266</x:f>
        <x:v>0</x:v>
      </x:c>
      <x:c r="M3266" s="11" t="n">
        <x:f>'管线假设'!H711</x:f>
        <x:v>0.135</x:v>
      </x:c>
      <x:c r="N3266" s="11" t="n">
        <x:f>IF(G3266,L3266*AN3266/(1+M3266)^F3266,0)</x:f>
        <x:v>0</x:v>
      </x:c>
      <x:c r="AJ3266" t="n">
        <x:v>0</x:v>
      </x:c>
      <x:c r="AK3266" t="n">
        <x:v>0</x:v>
      </x:c>
      <x:c r="AL3266" t="n">
        <x:v>0</x:v>
      </x:c>
      <x:c r="AM3266" t="n">
        <x:f>CHOOSE('假设'!$B$3,AJ3266,AK3266,AL3266)</x:f>
        <x:v>0</x:v>
      </x:c>
      <x:c r="AN3266" t="n">
        <x:v>1</x:v>
      </x:c>
    </x:row>
    <x:row r="3267" ht="23" customHeight="1">
      <x:c r="A3267" s="11" t="str">
        <x:v>688382.SH</x:v>
      </x:c>
      <x:c r="B3267" s="11" t="str">
        <x:v>三年</x:v>
      </x:c>
      <x:c r="C3267" s="11" t="str">
        <x:v>tyk_uc_cn</x:v>
      </x:c>
      <x:c r="D3267" s="11" t="str">
        <x:v>2028-12-31</x:v>
      </x:c>
      <x:c r="E3267" s="11" t="str">
        <x:v>CNY</x:v>
      </x:c>
      <x:c r="F3267" s="11" t="n">
        <x:v>-0.7720739219712526</x:v>
      </x:c>
      <x:c r="G3267" s="26" t="b">
        <x:v>0</x:v>
      </x:c>
      <x:c r="H3267" s="16" t="n">
        <x:v>0</x:v>
      </x:c>
      <x:c r="I3267" s="16" t="n">
        <x:v>0</x:v>
      </x:c>
      <x:c r="J3267" s="16" t="n">
        <x:v>0</x:v>
      </x:c>
      <x:c r="K3267" s="11" t="n">
        <x:f>CHOOSE('假设'!$B$3,H3267,I3267,J3267)</x:f>
        <x:v>0</x:v>
      </x:c>
      <x:c r="L3267" s="11" t="n">
        <x:f>K3267*'管线假设'!E711*'管线假设'!F711*'管线假设'!G711*IF(E3267="USD",'管线假设'!I711,1)-AM3267</x:f>
        <x:v>0</x:v>
      </x:c>
      <x:c r="M3267" s="11" t="n">
        <x:f>'管线假设'!H711</x:f>
        <x:v>0.135</x:v>
      </x:c>
      <x:c r="N3267" s="11" t="n">
        <x:f>IF(G3267,L3267*AN3267/(1+M3267)^F3267,0)</x:f>
        <x:v>0</x:v>
      </x:c>
      <x:c r="AJ3267" t="n">
        <x:v>0</x:v>
      </x:c>
      <x:c r="AK3267" t="n">
        <x:v>0</x:v>
      </x:c>
      <x:c r="AL3267" t="n">
        <x:v>0</x:v>
      </x:c>
      <x:c r="AM3267" t="n">
        <x:f>CHOOSE('假设'!$B$3,AJ3267,AK3267,AL3267)</x:f>
        <x:v>0</x:v>
      </x:c>
      <x:c r="AN3267" t="n">
        <x:v>1</x:v>
      </x:c>
    </x:row>
    <x:row r="3268" ht="23" customHeight="1">
      <x:c r="A3268" s="11" t="str">
        <x:v>688382.SH</x:v>
      </x:c>
      <x:c r="B3268" s="11" t="str">
        <x:v>三年</x:v>
      </x:c>
      <x:c r="C3268" s="11" t="str">
        <x:v>tyk_uc_cn</x:v>
      </x:c>
      <x:c r="D3268" s="11" t="str">
        <x:v>2029-12-31</x:v>
      </x:c>
      <x:c r="E3268" s="11" t="str">
        <x:v>CNY</x:v>
      </x:c>
      <x:c r="F3268" s="11" t="n">
        <x:v>0.2272416153319644</x:v>
      </x:c>
      <x:c r="G3268" s="26" t="b">
        <x:v>1</x:v>
      </x:c>
      <x:c r="H3268" s="16" t="n">
        <x:v>0</x:v>
      </x:c>
      <x:c r="I3268" s="16" t="n">
        <x:v>0</x:v>
      </x:c>
      <x:c r="J3268" s="16" t="n">
        <x:v>0.5</x:v>
      </x:c>
      <x:c r="K3268" s="11" t="n">
        <x:f>CHOOSE('假设'!$B$3,H3268,I3268,J3268)</x:f>
        <x:v>0</x:v>
      </x:c>
      <x:c r="L3268" s="11" t="n">
        <x:f>K3268*'管线假设'!E711*'管线假设'!F711*'管线假设'!G711*IF(E3268="USD",'管线假设'!I711,1)-AM3268</x:f>
        <x:v>0</x:v>
      </x:c>
      <x:c r="M3268" s="11" t="n">
        <x:f>'管线假设'!H711</x:f>
        <x:v>0.135</x:v>
      </x:c>
      <x:c r="N3268" s="11" t="n">
        <x:f>IF(G3268,L3268*AN3268/(1+M3268)^F3268,0)</x:f>
        <x:v>0</x:v>
      </x:c>
      <x:c r="AJ3268" t="n">
        <x:v>0</x:v>
      </x:c>
      <x:c r="AK3268" t="n">
        <x:v>0</x:v>
      </x:c>
      <x:c r="AL3268" t="n">
        <x:v>0</x:v>
      </x:c>
      <x:c r="AM3268" t="n">
        <x:f>CHOOSE('假设'!$B$3,AJ3268,AK3268,AL3268)</x:f>
        <x:v>0</x:v>
      </x:c>
      <x:c r="AN3268" t="n">
        <x:v>1</x:v>
      </x:c>
    </x:row>
    <x:row r="3269" ht="23" customHeight="1">
      <x:c r="A3269" s="11" t="str">
        <x:v>688382.SH</x:v>
      </x:c>
      <x:c r="B3269" s="11" t="str">
        <x:v>三年</x:v>
      </x:c>
      <x:c r="C3269" s="11" t="str">
        <x:v>tyk_uc_cn</x:v>
      </x:c>
      <x:c r="D3269" s="11" t="str">
        <x:v>2030-12-31</x:v>
      </x:c>
      <x:c r="E3269" s="11" t="str">
        <x:v>CNY</x:v>
      </x:c>
      <x:c r="F3269" s="11" t="n">
        <x:v>1.2265571526351813</x:v>
      </x:c>
      <x:c r="G3269" s="26" t="b">
        <x:v>1</x:v>
      </x:c>
      <x:c r="H3269" s="16" t="n">
        <x:v>0</x:v>
      </x:c>
      <x:c r="I3269" s="16" t="n">
        <x:v>0</x:v>
      </x:c>
      <x:c r="J3269" s="16" t="n">
        <x:v>1</x:v>
      </x:c>
      <x:c r="K3269" s="11" t="n">
        <x:f>CHOOSE('假设'!$B$3,H3269,I3269,J3269)</x:f>
        <x:v>0</x:v>
      </x:c>
      <x:c r="L3269" s="11" t="n">
        <x:f>K3269*'管线假设'!E711*'管线假设'!F711*'管线假设'!G711*IF(E3269="USD",'管线假设'!I711,1)-AM3269</x:f>
        <x:v>0</x:v>
      </x:c>
      <x:c r="M3269" s="11" t="n">
        <x:f>'管线假设'!H711</x:f>
        <x:v>0.135</x:v>
      </x:c>
      <x:c r="N3269" s="11" t="n">
        <x:f>IF(G3269,L3269*AN3269/(1+M3269)^F3269,0)</x:f>
        <x:v>0</x:v>
      </x:c>
      <x:c r="AJ3269" t="n">
        <x:v>0</x:v>
      </x:c>
      <x:c r="AK3269" t="n">
        <x:v>0</x:v>
      </x:c>
      <x:c r="AL3269" t="n">
        <x:v>0</x:v>
      </x:c>
      <x:c r="AM3269" t="n">
        <x:f>CHOOSE('假设'!$B$3,AJ3269,AK3269,AL3269)</x:f>
        <x:v>0</x:v>
      </x:c>
      <x:c r="AN3269" t="n">
        <x:v>1</x:v>
      </x:c>
    </x:row>
    <x:row r="3270" ht="23" customHeight="1">
      <x:c r="A3270" s="11" t="str">
        <x:v>688382.SH</x:v>
      </x:c>
      <x:c r="B3270" s="11" t="str">
        <x:v>三年</x:v>
      </x:c>
      <x:c r="C3270" s="11" t="str">
        <x:v>tyk_uc_cn</x:v>
      </x:c>
      <x:c r="D3270" s="11" t="str">
        <x:v>2031-12-31</x:v>
      </x:c>
      <x:c r="E3270" s="11" t="str">
        <x:v>CNY</x:v>
      </x:c>
      <x:c r="F3270" s="11" t="n">
        <x:v>2.2258726899383983</x:v>
      </x:c>
      <x:c r="G3270" s="26" t="b">
        <x:v>1</x:v>
      </x:c>
      <x:c r="H3270" s="16" t="n">
        <x:v>0</x:v>
      </x:c>
      <x:c r="I3270" s="16" t="n">
        <x:v>0.2833333333333333</x:v>
      </x:c>
      <x:c r="J3270" s="16" t="n">
        <x:v>1.5</x:v>
      </x:c>
      <x:c r="K3270" s="11" t="n">
        <x:f>CHOOSE('假设'!$B$3,H3270,I3270,J3270)</x:f>
        <x:v>0.2833333333333333</x:v>
      </x:c>
      <x:c r="L3270" s="11" t="n">
        <x:f>K3270*'管线假设'!E711*'管线假设'!F711*'管线假设'!G711*IF(E3270="USD",'管线假设'!I711,1)-AM3270</x:f>
        <x:v>0.03592213333333333</x:v>
      </x:c>
      <x:c r="M3270" s="11" t="n">
        <x:f>'管线假设'!H711</x:f>
        <x:v>0.135</x:v>
      </x:c>
      <x:c r="N3270" s="11" t="n">
        <x:f>IF(G3270,L3270*AN3270/(1+M3270)^F3270,0)</x:f>
        <x:v>0.0270986923388677</x:v>
      </x:c>
      <x:c r="AJ3270" t="n">
        <x:v>0</x:v>
      </x:c>
      <x:c r="AK3270" t="n">
        <x:v>0</x:v>
      </x:c>
      <x:c r="AL3270" t="n">
        <x:v>0</x:v>
      </x:c>
      <x:c r="AM3270" t="n">
        <x:f>CHOOSE('假设'!$B$3,AJ3270,AK3270,AL3270)</x:f>
        <x:v>0</x:v>
      </x:c>
      <x:c r="AN3270" t="n">
        <x:v>1</x:v>
      </x:c>
    </x:row>
    <x:row r="3271" ht="23" customHeight="1">
      <x:c r="A3271" s="11" t="str">
        <x:v>688382.SH</x:v>
      </x:c>
      <x:c r="B3271" s="11" t="str">
        <x:v>三年</x:v>
      </x:c>
      <x:c r="C3271" s="11" t="str">
        <x:v>tyk_uc_cn</x:v>
      </x:c>
      <x:c r="D3271" s="11" t="str">
        <x:v>2032-12-31</x:v>
      </x:c>
      <x:c r="E3271" s="11" t="str">
        <x:v>CNY</x:v>
      </x:c>
      <x:c r="F3271" s="11" t="n">
        <x:v>3.2279260780287475</x:v>
      </x:c>
      <x:c r="G3271" s="26" t="b">
        <x:v>1</x:v>
      </x:c>
      <x:c r="H3271" s="16" t="n">
        <x:v>0</x:v>
      </x:c>
      <x:c r="I3271" s="16" t="n">
        <x:v>0.5666666666666667</x:v>
      </x:c>
      <x:c r="J3271" s="16" t="n">
        <x:v>2</x:v>
      </x:c>
      <x:c r="K3271" s="11" t="n">
        <x:f>CHOOSE('假设'!$B$3,H3271,I3271,J3271)</x:f>
        <x:v>0.5666666666666667</x:v>
      </x:c>
      <x:c r="L3271" s="11" t="n">
        <x:f>K3271*'管线假设'!E711*'管线假设'!F711*'管线假设'!G711*IF(E3271="USD",'管线假设'!I711,1)-AM3271</x:f>
        <x:v>0.07184426666666666</x:v>
      </x:c>
      <x:c r="M3271" s="11" t="n">
        <x:f>'管线假设'!H711</x:f>
        <x:v>0.135</x:v>
      </x:c>
      <x:c r="N3271" s="11" t="n">
        <x:f>IF(G3271,L3271*AN3271/(1+M3271)^F3271,0)</x:f>
        <x:v>0.04773858482986576</x:v>
      </x:c>
      <x:c r="AJ3271" t="n">
        <x:v>0</x:v>
      </x:c>
      <x:c r="AK3271" t="n">
        <x:v>0</x:v>
      </x:c>
      <x:c r="AL3271" t="n">
        <x:v>0</x:v>
      </x:c>
      <x:c r="AM3271" t="n">
        <x:f>CHOOSE('假设'!$B$3,AJ3271,AK3271,AL3271)</x:f>
        <x:v>0</x:v>
      </x:c>
      <x:c r="AN3271" t="n">
        <x:v>1</x:v>
      </x:c>
    </x:row>
    <x:row r="3272" ht="23" customHeight="1">
      <x:c r="A3272" s="11" t="str">
        <x:v>688382.SH</x:v>
      </x:c>
      <x:c r="B3272" s="11" t="str">
        <x:v>三年</x:v>
      </x:c>
      <x:c r="C3272" s="11" t="str">
        <x:v>tyk_uc_cn</x:v>
      </x:c>
      <x:c r="D3272" s="11" t="str">
        <x:v>2033-12-31</x:v>
      </x:c>
      <x:c r="E3272" s="11" t="str">
        <x:v>CNY</x:v>
      </x:c>
      <x:c r="F3272" s="11" t="n">
        <x:v>4.227241615331964</x:v>
      </x:c>
      <x:c r="G3272" s="26" t="b">
        <x:v>1</x:v>
      </x:c>
      <x:c r="H3272" s="16" t="n">
        <x:v>0</x:v>
      </x:c>
      <x:c r="I3272" s="16" t="n">
        <x:v>0.85</x:v>
      </x:c>
      <x:c r="J3272" s="16" t="n">
        <x:v>2.5</x:v>
      </x:c>
      <x:c r="K3272" s="11" t="n">
        <x:f>CHOOSE('假设'!$B$3,H3272,I3272,J3272)</x:f>
        <x:v>0.85</x:v>
      </x:c>
      <x:c r="L3272" s="11" t="n">
        <x:f>K3272*'管线假设'!E711*'管线假设'!F711*'管线假设'!G711*IF(E3272="USD",'管线假设'!I711,1)-AM3272</x:f>
        <x:v>0.10776640000000001</x:v>
      </x:c>
      <x:c r="M3272" s="11" t="n">
        <x:f>'管线假设'!H711</x:f>
        <x:v>0.135</x:v>
      </x:c>
      <x:c r="N3272" s="11" t="n">
        <x:f>IF(G3272,L3272*AN3272/(1+M3272)^F3272,0)</x:f>
        <x:v>0.06309610938314944</x:v>
      </x:c>
      <x:c r="AJ3272" t="n">
        <x:v>0</x:v>
      </x:c>
      <x:c r="AK3272" t="n">
        <x:v>0</x:v>
      </x:c>
      <x:c r="AL3272" t="n">
        <x:v>0</x:v>
      </x:c>
      <x:c r="AM3272" t="n">
        <x:f>CHOOSE('假设'!$B$3,AJ3272,AK3272,AL3272)</x:f>
        <x:v>0</x:v>
      </x:c>
      <x:c r="AN3272" t="n">
        <x:v>1</x:v>
      </x:c>
    </x:row>
    <x:row r="3273" ht="23" customHeight="1">
      <x:c r="A3273" s="11" t="str">
        <x:v>688382.SH</x:v>
      </x:c>
      <x:c r="B3273" s="11" t="str">
        <x:v>三年</x:v>
      </x:c>
      <x:c r="C3273" s="11" t="str">
        <x:v>tyk_uc_cn</x:v>
      </x:c>
      <x:c r="D3273" s="11" t="str">
        <x:v>2034-12-31</x:v>
      </x:c>
      <x:c r="E3273" s="11" t="str">
        <x:v>CNY</x:v>
      </x:c>
      <x:c r="F3273" s="11" t="n">
        <x:v>5.2265571526351815</x:v>
      </x:c>
      <x:c r="G3273" s="26" t="b">
        <x:v>1</x:v>
      </x:c>
      <x:c r="H3273" s="16" t="n">
        <x:v>0.13999999999999999</x:v>
      </x:c>
      <x:c r="I3273" s="16" t="n">
        <x:v>1.1333333333333333</x:v>
      </x:c>
      <x:c r="J3273" s="16" t="n">
        <x:v>3</x:v>
      </x:c>
      <x:c r="K3273" s="11" t="n">
        <x:f>CHOOSE('假设'!$B$3,H3273,I3273,J3273)</x:f>
        <x:v>1.1333333333333333</x:v>
      </x:c>
      <x:c r="L3273" s="11" t="n">
        <x:f>K3273*'管线假设'!E711*'管线假设'!F711*'管线假设'!G711*IF(E3273="USD",'管线假设'!I711,1)-AM3273</x:f>
        <x:v>0.1436885333333333</x:v>
      </x:c>
      <x:c r="M3273" s="11" t="n">
        <x:f>'管线假设'!H711</x:f>
        <x:v>0.135</x:v>
      </x:c>
      <x:c r="N3273" s="11" t="n">
        <x:f>IF(G3273,L3273*AN3273/(1+M3273)^F3273,0)</x:f>
        <x:v>0.07412813920234884</x:v>
      </x:c>
      <x:c r="AJ3273" t="n">
        <x:v>0</x:v>
      </x:c>
      <x:c r="AK3273" t="n">
        <x:v>0</x:v>
      </x:c>
      <x:c r="AL3273" t="n">
        <x:v>0</x:v>
      </x:c>
      <x:c r="AM3273" t="n">
        <x:f>CHOOSE('假设'!$B$3,AJ3273,AK3273,AL3273)</x:f>
        <x:v>0</x:v>
      </x:c>
      <x:c r="AN3273" t="n">
        <x:v>1</x:v>
      </x:c>
    </x:row>
    <x:row r="3274" ht="23" customHeight="1">
      <x:c r="A3274" s="11" t="str">
        <x:v>688382.SH</x:v>
      </x:c>
      <x:c r="B3274" s="11" t="str">
        <x:v>三年</x:v>
      </x:c>
      <x:c r="C3274" s="11" t="str">
        <x:v>tyk_uc_cn</x:v>
      </x:c>
      <x:c r="D3274" s="11" t="str">
        <x:v>2035-12-31</x:v>
      </x:c>
      <x:c r="E3274" s="11" t="str">
        <x:v>CNY</x:v>
      </x:c>
      <x:c r="F3274" s="11" t="n">
        <x:v>6.225872689938399</x:v>
      </x:c>
      <x:c r="G3274" s="26" t="b">
        <x:v>1</x:v>
      </x:c>
      <x:c r="H3274" s="16" t="n">
        <x:v>0.27999999999999997</x:v>
      </x:c>
      <x:c r="I3274" s="16" t="n">
        <x:v>1.4166666666666667</x:v>
      </x:c>
      <x:c r="J3274" s="16" t="n">
        <x:v>2.61</x:v>
      </x:c>
      <x:c r="K3274" s="11" t="n">
        <x:f>CHOOSE('假设'!$B$3,H3274,I3274,J3274)</x:f>
        <x:v>1.4166666666666667</x:v>
      </x:c>
      <x:c r="L3274" s="11" t="n">
        <x:f>K3274*'管线假设'!E711*'管线假设'!F711*'管线假设'!G711*IF(E3274="USD",'管线假设'!I711,1)-AM3274</x:f>
        <x:v>0.17961066666666667</x:v>
      </x:c>
      <x:c r="M3274" s="11" t="n">
        <x:f>'管线假设'!H711</x:f>
        <x:v>0.135</x:v>
      </x:c>
      <x:c r="N3274" s="11" t="n">
        <x:f>IF(G3274,L3274*AN3274/(1+M3274)^F3274,0)</x:f>
        <x:v>0.08164599621301555</x:v>
      </x:c>
      <x:c r="AJ3274" t="n">
        <x:v>0</x:v>
      </x:c>
      <x:c r="AK3274" t="n">
        <x:v>0</x:v>
      </x:c>
      <x:c r="AL3274" t="n">
        <x:v>0</x:v>
      </x:c>
      <x:c r="AM3274" t="n">
        <x:f>CHOOSE('假设'!$B$3,AJ3274,AK3274,AL3274)</x:f>
        <x:v>0</x:v>
      </x:c>
      <x:c r="AN3274" t="n">
        <x:v>1</x:v>
      </x:c>
    </x:row>
    <x:row r="3275" ht="23" customHeight="1">
      <x:c r="A3275" s="11" t="str">
        <x:v>688382.SH</x:v>
      </x:c>
      <x:c r="B3275" s="11" t="str">
        <x:v>三年</x:v>
      </x:c>
      <x:c r="C3275" s="11" t="str">
        <x:v>tyk_uc_cn</x:v>
      </x:c>
      <x:c r="D3275" s="11" t="str">
        <x:v>2036-12-31</x:v>
      </x:c>
      <x:c r="E3275" s="11" t="str">
        <x:v>CNY</x:v>
      </x:c>
      <x:c r="F3275" s="11" t="n">
        <x:v>7.227926078028747</x:v>
      </x:c>
      <x:c r="G3275" s="26" t="b">
        <x:v>1</x:v>
      </x:c>
      <x:c r="H3275" s="16" t="n">
        <x:v>0.42</x:v>
      </x:c>
      <x:c r="I3275" s="16" t="n">
        <x:v>1.7</x:v>
      </x:c>
      <x:c r="J3275" s="16" t="n">
        <x:v>2.2199999999999998</x:v>
      </x:c>
      <x:c r="K3275" s="11" t="n">
        <x:f>CHOOSE('假设'!$B$3,H3275,I3275,J3275)</x:f>
        <x:v>1.7</x:v>
      </x:c>
      <x:c r="L3275" s="11" t="n">
        <x:f>K3275*'管线假设'!E711*'管线假设'!F711*'管线假设'!G711*IF(E3275="USD",'管线假设'!I711,1)-AM3275</x:f>
        <x:v>0.21553280000000002</x:v>
      </x:c>
      <x:c r="M3275" s="11" t="n">
        <x:f>'管线假设'!H711</x:f>
        <x:v>0.135</x:v>
      </x:c>
      <x:c r="N3275" s="11" t="n">
        <x:f>IF(G3275,L3275*AN3275/(1+M3275)^F3275,0)</x:f>
        <x:v>0.08629931512916991</x:v>
      </x:c>
      <x:c r="AJ3275" t="n">
        <x:v>0</x:v>
      </x:c>
      <x:c r="AK3275" t="n">
        <x:v>0</x:v>
      </x:c>
      <x:c r="AL3275" t="n">
        <x:v>0</x:v>
      </x:c>
      <x:c r="AM3275" t="n">
        <x:f>CHOOSE('假设'!$B$3,AJ3275,AK3275,AL3275)</x:f>
        <x:v>0</x:v>
      </x:c>
      <x:c r="AN3275" t="n">
        <x:v>1</x:v>
      </x:c>
    </x:row>
    <x:row r="3276" ht="23" customHeight="1">
      <x:c r="A3276" s="11" t="str">
        <x:v>688382.SH</x:v>
      </x:c>
      <x:c r="B3276" s="11" t="str">
        <x:v>三年</x:v>
      </x:c>
      <x:c r="C3276" s="11" t="str">
        <x:v>tyk_uc_cn</x:v>
      </x:c>
      <x:c r="D3276" s="11" t="str">
        <x:v>2037-12-31</x:v>
      </x:c>
      <x:c r="E3276" s="11" t="str">
        <x:v>CNY</x:v>
      </x:c>
      <x:c r="F3276" s="11" t="n">
        <x:v>8.227241615331964</x:v>
      </x:c>
      <x:c r="G3276" s="26" t="b">
        <x:v>1</x:v>
      </x:c>
      <x:c r="H3276" s="16" t="n">
        <x:v>0.5599999999999999</x:v>
      </x:c>
      <x:c r="I3276" s="16" t="n">
        <x:v>1.4789999999999999</x:v>
      </x:c>
      <x:c r="J3276" s="16" t="n">
        <x:v>1.83</x:v>
      </x:c>
      <x:c r="K3276" s="11" t="n">
        <x:f>CHOOSE('假设'!$B$3,H3276,I3276,J3276)</x:f>
        <x:v>1.4789999999999999</x:v>
      </x:c>
      <x:c r="L3276" s="11" t="n">
        <x:f>K3276*'管线假设'!E711*'管线假设'!F711*'管线假设'!G711*IF(E3276="USD",'管线假设'!I711,1)-AM3276</x:f>
        <x:v>0.187513536</x:v>
      </x:c>
      <x:c r="M3276" s="11" t="n">
        <x:f>'管线假设'!H711</x:f>
        <x:v>0.135</x:v>
      </x:c>
      <x:c r="N3276" s="11" t="n">
        <x:f>IF(G3276,L3276*AN3276/(1+M3276)^F3276,0)</x:f>
        <x:v>0.06615586965894255</x:v>
      </x:c>
      <x:c r="AJ3276" t="n">
        <x:v>0</x:v>
      </x:c>
      <x:c r="AK3276" t="n">
        <x:v>0</x:v>
      </x:c>
      <x:c r="AL3276" t="n">
        <x:v>0</x:v>
      </x:c>
      <x:c r="AM3276" t="n">
        <x:f>CHOOSE('假设'!$B$3,AJ3276,AK3276,AL3276)</x:f>
        <x:v>0</x:v>
      </x:c>
      <x:c r="AN3276" t="n">
        <x:v>1</x:v>
      </x:c>
    </x:row>
    <x:row r="3277" ht="23" customHeight="1">
      <x:c r="A3277" s="11" t="str">
        <x:v>688382.SH</x:v>
      </x:c>
      <x:c r="B3277" s="11" t="str">
        <x:v>三年</x:v>
      </x:c>
      <x:c r="C3277" s="11" t="str">
        <x:v>tyk_uc_cn</x:v>
      </x:c>
      <x:c r="D3277" s="11" t="str">
        <x:v>2038-12-31</x:v>
      </x:c>
      <x:c r="E3277" s="11" t="str">
        <x:v>CNY</x:v>
      </x:c>
      <x:c r="F3277" s="11" t="n">
        <x:v>9.22655715263518</x:v>
      </x:c>
      <x:c r="G3277" s="26" t="b">
        <x:v>1</x:v>
      </x:c>
      <x:c r="H3277" s="16" t="n">
        <x:v>0.7</x:v>
      </x:c>
      <x:c r="I3277" s="16" t="n">
        <x:v>1.258</x:v>
      </x:c>
      <x:c r="J3277" s="16" t="n">
        <x:v>1.44</x:v>
      </x:c>
      <x:c r="K3277" s="11" t="n">
        <x:f>CHOOSE('假设'!$B$3,H3277,I3277,J3277)</x:f>
        <x:v>1.258</x:v>
      </x:c>
      <x:c r="L3277" s="11" t="n">
        <x:f>K3277*'管线假设'!E711*'管线假设'!F711*'管线假设'!G711*IF(E3277="USD",'管线假设'!I711,1)-AM3277</x:f>
        <x:v>0.15949427200000002</x:v>
      </x:c>
      <x:c r="M3277" s="11" t="n">
        <x:f>'管线假设'!H711</x:f>
        <x:v>0.135</x:v>
      </x:c>
      <x:c r="N3277" s="11" t="n">
        <x:f>IF(G3277,L3277*AN3277/(1+M3277)^F3277,0)</x:f>
        <x:v>0.04958183903171166</x:v>
      </x:c>
      <x:c r="AJ3277" t="n">
        <x:v>0</x:v>
      </x:c>
      <x:c r="AK3277" t="n">
        <x:v>0</x:v>
      </x:c>
      <x:c r="AL3277" t="n">
        <x:v>0</x:v>
      </x:c>
      <x:c r="AM3277" t="n">
        <x:f>CHOOSE('假设'!$B$3,AJ3277,AK3277,AL3277)</x:f>
        <x:v>0</x:v>
      </x:c>
      <x:c r="AN3277" t="n">
        <x:v>1</x:v>
      </x:c>
    </x:row>
    <x:row r="3278" ht="23" customHeight="1">
      <x:c r="A3278" s="11" t="str">
        <x:v>688382.SH</x:v>
      </x:c>
      <x:c r="B3278" s="11" t="str">
        <x:v>三年</x:v>
      </x:c>
      <x:c r="C3278" s="11" t="str">
        <x:v>tyk_uc_cn</x:v>
      </x:c>
      <x:c r="D3278" s="11" t="str">
        <x:v>2039-12-31</x:v>
      </x:c>
      <x:c r="E3278" s="11" t="str">
        <x:v>CNY</x:v>
      </x:c>
      <x:c r="F3278" s="11" t="n">
        <x:v>10.225872689938399</x:v>
      </x:c>
      <x:c r="G3278" s="26" t="b">
        <x:v>1</x:v>
      </x:c>
      <x:c r="H3278" s="16" t="n">
        <x:v>0.609</x:v>
      </x:c>
      <x:c r="I3278" s="16" t="n">
        <x:v>1.037</x:v>
      </x:c>
      <x:c r="J3278" s="16" t="n">
        <x:v>1.0499999999999998</x:v>
      </x:c>
      <x:c r="K3278" s="11" t="n">
        <x:f>CHOOSE('假设'!$B$3,H3278,I3278,J3278)</x:f>
        <x:v>1.037</x:v>
      </x:c>
      <x:c r="L3278" s="11" t="n">
        <x:f>K3278*'管线假设'!E711*'管线假设'!F711*'管线假设'!G711*IF(E3278="USD",'管线假设'!I711,1)-AM3278</x:f>
        <x:v>0.131475008</x:v>
      </x:c>
      <x:c r="M3278" s="11" t="n">
        <x:f>'管线假设'!H711</x:f>
        <x:v>0.135</x:v>
      </x:c>
      <x:c r="N3278" s="11" t="n">
        <x:f>IF(G3278,L3278*AN3278/(1+M3278)^F3278,0)</x:f>
        <x:v>0.036013267545430334</x:v>
      </x:c>
      <x:c r="AJ3278" t="n">
        <x:v>0</x:v>
      </x:c>
      <x:c r="AK3278" t="n">
        <x:v>0</x:v>
      </x:c>
      <x:c r="AL3278" t="n">
        <x:v>0</x:v>
      </x:c>
      <x:c r="AM3278" t="n">
        <x:f>CHOOSE('假设'!$B$3,AJ3278,AK3278,AL3278)</x:f>
        <x:v>0</x:v>
      </x:c>
      <x:c r="AN3278" t="n">
        <x:v>1</x:v>
      </x:c>
    </x:row>
    <x:row r="3279" ht="23" customHeight="1">
      <x:c r="A3279" s="11" t="str">
        <x:v>688382.SH</x:v>
      </x:c>
      <x:c r="B3279" s="11" t="str">
        <x:v>三年</x:v>
      </x:c>
      <x:c r="C3279" s="11" t="str">
        <x:v>tyk_uc_cn</x:v>
      </x:c>
      <x:c r="D3279" s="11" t="str">
        <x:v>2040-12-31</x:v>
      </x:c>
      <x:c r="E3279" s="11" t="str">
        <x:v>CNY</x:v>
      </x:c>
      <x:c r="F3279" s="11" t="n">
        <x:v>11.227926078028748</x:v>
      </x:c>
      <x:c r="G3279" s="26" t="b">
        <x:v>1</x:v>
      </x:c>
      <x:c r="H3279" s="16" t="n">
        <x:v>0.518</x:v>
      </x:c>
      <x:c r="I3279" s="16" t="n">
        <x:v>0.816</x:v>
      </x:c>
      <x:c r="J3279" s="16" t="n">
        <x:v>0.6599999999999999</x:v>
      </x:c>
      <x:c r="K3279" s="11" t="n">
        <x:f>CHOOSE('假设'!$B$3,H3279,I3279,J3279)</x:f>
        <x:v>0.816</x:v>
      </x:c>
      <x:c r="L3279" s="11" t="n">
        <x:f>K3279*'管线假设'!E711*'管线假设'!F711*'管线假设'!G711*IF(E3279="USD",'管线假设'!I711,1)-AM3279</x:f>
        <x:v>0.10345574399999999</x:v>
      </x:c>
      <x:c r="M3279" s="11" t="n">
        <x:f>'管线假设'!H711</x:f>
        <x:v>0.135</x:v>
      </x:c>
      <x:c r="N3279" s="11" t="n">
        <x:f>IF(G3279,L3279*AN3279/(1+M3279)^F3279,0)</x:f>
        <x:v>0.024961181629680782</x:v>
      </x:c>
      <x:c r="AJ3279" t="n">
        <x:v>0</x:v>
      </x:c>
      <x:c r="AK3279" t="n">
        <x:v>0</x:v>
      </x:c>
      <x:c r="AL3279" t="n">
        <x:v>0</x:v>
      </x:c>
      <x:c r="AM3279" t="n">
        <x:f>CHOOSE('假设'!$B$3,AJ3279,AK3279,AL3279)</x:f>
        <x:v>0</x:v>
      </x:c>
      <x:c r="AN3279" t="n">
        <x:v>1</x:v>
      </x:c>
    </x:row>
    <x:row r="3280" ht="23" customHeight="1">
      <x:c r="A3280" s="11" t="str">
        <x:v>688382.SH</x:v>
      </x:c>
      <x:c r="B3280" s="11" t="str">
        <x:v>三年</x:v>
      </x:c>
      <x:c r="C3280" s="11" t="str">
        <x:v>tyk_uc_cn</x:v>
      </x:c>
      <x:c r="D3280" s="11" t="str">
        <x:v>2041-12-31</x:v>
      </x:c>
      <x:c r="E3280" s="11" t="str">
        <x:v>CNY</x:v>
      </x:c>
      <x:c r="F3280" s="11" t="n">
        <x:v>12.227241615331964</x:v>
      </x:c>
      <x:c r="G3280" s="26" t="b">
        <x:v>1</x:v>
      </x:c>
      <x:c r="H3280" s="16" t="n">
        <x:v>0.427</x:v>
      </x:c>
      <x:c r="I3280" s="16" t="n">
        <x:v>0.595</x:v>
      </x:c>
      <x:c r="J3280" s="16" t="n">
        <x:v>0.2699999999999999</x:v>
      </x:c>
      <x:c r="K3280" s="11" t="n">
        <x:f>CHOOSE('假设'!$B$3,H3280,I3280,J3280)</x:f>
        <x:v>0.595</x:v>
      </x:c>
      <x:c r="L3280" s="11" t="n">
        <x:f>K3280*'管线假设'!E711*'管线假设'!F711*'管线假设'!G711*IF(E3280="USD",'管线假设'!I711,1)-AM3280</x:f>
        <x:v>0.07543648</x:v>
      </x:c>
      <x:c r="M3280" s="11" t="n">
        <x:f>'管线假设'!H711</x:f>
        <x:v>0.135</x:v>
      </x:c>
      <x:c r="N3280" s="11" t="n">
        <x:f>IF(G3280,L3280*AN3280/(1+M3280)^F3280,0)</x:f>
        <x:v>0.016037391399959695</x:v>
      </x:c>
      <x:c r="AJ3280" t="n">
        <x:v>0</x:v>
      </x:c>
      <x:c r="AK3280" t="n">
        <x:v>0</x:v>
      </x:c>
      <x:c r="AL3280" t="n">
        <x:v>0</x:v>
      </x:c>
      <x:c r="AM3280" t="n">
        <x:f>CHOOSE('假设'!$B$3,AJ3280,AK3280,AL3280)</x:f>
        <x:v>0</x:v>
      </x:c>
      <x:c r="AN3280" t="n">
        <x:v>1</x:v>
      </x:c>
    </x:row>
    <x:row r="3281" ht="23" customHeight="1">
      <x:c r="A3281" s="11" t="str">
        <x:v>688382.SH</x:v>
      </x:c>
      <x:c r="B3281" s="11" t="str">
        <x:v>三年</x:v>
      </x:c>
      <x:c r="C3281" s="11" t="str">
        <x:v>tyk_uc_cn</x:v>
      </x:c>
      <x:c r="D3281" s="11" t="str">
        <x:v>2042-12-31</x:v>
      </x:c>
      <x:c r="E3281" s="11" t="str">
        <x:v>CNY</x:v>
      </x:c>
      <x:c r="F3281" s="11" t="n">
        <x:v>13.22655715263518</x:v>
      </x:c>
      <x:c r="G3281" s="26" t="b">
        <x:v>1</x:v>
      </x:c>
      <x:c r="H3281" s="16" t="n">
        <x:v>0.33599999999999997</x:v>
      </x:c>
      <x:c r="I3281" s="16" t="n">
        <x:v>0.37399999999999994</x:v>
      </x:c>
      <x:c r="J3281" s="16" t="n">
        <x:v>0</x:v>
      </x:c>
      <x:c r="K3281" s="11" t="n">
        <x:f>CHOOSE('假设'!$B$3,H3281,I3281,J3281)</x:f>
        <x:v>0.37399999999999994</x:v>
      </x:c>
      <x:c r="L3281" s="11" t="n">
        <x:f>K3281*'管线假设'!E711*'管线假设'!F711*'管线假设'!G711*IF(E3281="USD",'管线假设'!I711,1)-AM3281</x:f>
        <x:v>0.047417216</x:v>
      </x:c>
      <x:c r="M3281" s="11" t="n">
        <x:f>'管线假设'!H711</x:f>
        <x:v>0.135</x:v>
      </x:c>
      <x:c r="N3281" s="11" t="n">
        <x:f>IF(G3281,L3281*AN3281/(1+M3281)^F3281,0)</x:f>
        <x:v>0.008882396303063244</x:v>
      </x:c>
      <x:c r="AJ3281" t="n">
        <x:v>0</x:v>
      </x:c>
      <x:c r="AK3281" t="n">
        <x:v>0</x:v>
      </x:c>
      <x:c r="AL3281" t="n">
        <x:v>0</x:v>
      </x:c>
      <x:c r="AM3281" t="n">
        <x:f>CHOOSE('假设'!$B$3,AJ3281,AK3281,AL3281)</x:f>
        <x:v>0</x:v>
      </x:c>
      <x:c r="AN3281" t="n">
        <x:v>1</x:v>
      </x:c>
    </x:row>
    <x:row r="3282" ht="23" customHeight="1">
      <x:c r="A3282" s="11" t="str">
        <x:v>688382.SH</x:v>
      </x:c>
      <x:c r="B3282" s="11" t="str">
        <x:v>三年</x:v>
      </x:c>
      <x:c r="C3282" s="11" t="str">
        <x:v>tyk_uc_cn</x:v>
      </x:c>
      <x:c r="D3282" s="11" t="str">
        <x:v>2043-12-31</x:v>
      </x:c>
      <x:c r="E3282" s="11" t="str">
        <x:v>CNY</x:v>
      </x:c>
      <x:c r="F3282" s="11" t="n">
        <x:v>14.225872689938399</x:v>
      </x:c>
      <x:c r="G3282" s="26" t="b">
        <x:v>1</x:v>
      </x:c>
      <x:c r="H3282" s="16" t="n">
        <x:v>0.24499999999999997</x:v>
      </x:c>
      <x:c r="I3282" s="16" t="n">
        <x:v>0.15299999999999994</x:v>
      </x:c>
      <x:c r="J3282" s="16" t="n">
        <x:v>0</x:v>
      </x:c>
      <x:c r="K3282" s="11" t="n">
        <x:f>CHOOSE('假设'!$B$3,H3282,I3282,J3282)</x:f>
        <x:v>0.15299999999999994</x:v>
      </x:c>
      <x:c r="L3282" s="11" t="n">
        <x:f>K3282*'管线假设'!E711*'管线假设'!F711*'管线假设'!G711*IF(E3282="USD",'管线假设'!I711,1)-AM3282</x:f>
        <x:v>0.019397951999999996</x:v>
      </x:c>
      <x:c r="M3282" s="11" t="n">
        <x:f>'管线假设'!H711</x:f>
        <x:v>0.135</x:v>
      </x:c>
      <x:c r="N3282" s="11" t="n">
        <x:f>IF(G3282,L3282*AN3282/(1+M3282)^F3282,0)</x:f>
        <x:v>0.0032017819779415536</x:v>
      </x:c>
      <x:c r="AJ3282" t="n">
        <x:v>0</x:v>
      </x:c>
      <x:c r="AK3282" t="n">
        <x:v>0</x:v>
      </x:c>
      <x:c r="AL3282" t="n">
        <x:v>0</x:v>
      </x:c>
      <x:c r="AM3282" t="n">
        <x:f>CHOOSE('假设'!$B$3,AJ3282,AK3282,AL3282)</x:f>
        <x:v>0</x:v>
      </x:c>
      <x:c r="AN3282" t="n">
        <x:v>1</x:v>
      </x:c>
    </x:row>
    <x:row r="3283" ht="23" customHeight="1">
      <x:c r="A3283" s="11" t="str">
        <x:v>688382.SH</x:v>
      </x:c>
      <x:c r="B3283" s="11" t="str">
        <x:v>三年</x:v>
      </x:c>
      <x:c r="C3283" s="11" t="str">
        <x:v>tyk_uc_cn</x:v>
      </x:c>
      <x:c r="D3283" s="11" t="str">
        <x:v>2044-12-31</x:v>
      </x:c>
      <x:c r="E3283" s="11" t="str">
        <x:v>CNY</x:v>
      </x:c>
      <x:c r="F3283" s="11" t="n">
        <x:v>15.227926078028748</x:v>
      </x:c>
      <x:c r="G3283" s="26" t="b">
        <x:v>1</x:v>
      </x:c>
      <x:c r="H3283" s="16" t="n">
        <x:v>0.15399999999999997</x:v>
      </x:c>
      <x:c r="I3283" s="16" t="n">
        <x:v>0</x:v>
      </x:c>
      <x:c r="J3283" s="16" t="n">
        <x:v>0</x:v>
      </x:c>
      <x:c r="K3283" s="11" t="n">
        <x:f>CHOOSE('假设'!$B$3,H3283,I3283,J3283)</x:f>
        <x:v>0</x:v>
      </x:c>
      <x:c r="L3283" s="11" t="n">
        <x:f>K3283*'管线假设'!E711*'管线假设'!F711*'管线假设'!G711*IF(E3283="USD",'管线假设'!I711,1)-AM3283</x:f>
        <x:v>0</x:v>
      </x:c>
      <x:c r="M3283" s="11" t="n">
        <x:f>'管线假设'!H711</x:f>
        <x:v>0.135</x:v>
      </x:c>
      <x:c r="N3283" s="11" t="n">
        <x:f>IF(G3283,L3283*AN3283/(1+M3283)^F3283,0)</x:f>
        <x:v>0</x:v>
      </x:c>
      <x:c r="AJ3283" t="n">
        <x:v>0</x:v>
      </x:c>
      <x:c r="AK3283" t="n">
        <x:v>0</x:v>
      </x:c>
      <x:c r="AL3283" t="n">
        <x:v>0</x:v>
      </x:c>
      <x:c r="AM3283" t="n">
        <x:f>CHOOSE('假设'!$B$3,AJ3283,AK3283,AL3283)</x:f>
        <x:v>0</x:v>
      </x:c>
      <x:c r="AN3283" t="n">
        <x:v>1</x:v>
      </x:c>
    </x:row>
    <x:row r="3284" ht="23" customHeight="1">
      <x:c r="A3284" s="11" t="str">
        <x:v>688382.SH</x:v>
      </x:c>
      <x:c r="B3284" s="11" t="str">
        <x:v>三年</x:v>
      </x:c>
      <x:c r="C3284" s="11" t="str">
        <x:v>tyk_uc_cn</x:v>
      </x:c>
      <x:c r="D3284" s="11" t="str">
        <x:v>2045-12-31</x:v>
      </x:c>
      <x:c r="E3284" s="11" t="str">
        <x:v>CNY</x:v>
      </x:c>
      <x:c r="F3284" s="11" t="n">
        <x:v>16.227241615331966</x:v>
      </x:c>
      <x:c r="G3284" s="26" t="b">
        <x:v>1</x:v>
      </x:c>
      <x:c r="H3284" s="16" t="n">
        <x:v>0.06299999999999997</x:v>
      </x:c>
      <x:c r="I3284" s="16" t="n">
        <x:v>0</x:v>
      </x:c>
      <x:c r="J3284" s="16" t="n">
        <x:v>0</x:v>
      </x:c>
      <x:c r="K3284" s="11" t="n">
        <x:f>CHOOSE('假设'!$B$3,H3284,I3284,J3284)</x:f>
        <x:v>0</x:v>
      </x:c>
      <x:c r="L3284" s="11" t="n">
        <x:f>K3284*'管线假设'!E711*'管线假设'!F711*'管线假设'!G711*IF(E3284="USD",'管线假设'!I711,1)-AM3284</x:f>
        <x:v>0</x:v>
      </x:c>
      <x:c r="M3284" s="11" t="n">
        <x:f>'管线假设'!H711</x:f>
        <x:v>0.135</x:v>
      </x:c>
      <x:c r="N3284" s="11" t="n">
        <x:f>IF(G3284,L3284*AN3284/(1+M3284)^F3284,0)</x:f>
        <x:v>0</x:v>
      </x:c>
      <x:c r="AJ3284" t="n">
        <x:v>0</x:v>
      </x:c>
      <x:c r="AK3284" t="n">
        <x:v>0</x:v>
      </x:c>
      <x:c r="AL3284" t="n">
        <x:v>0</x:v>
      </x:c>
      <x:c r="AM3284" t="n">
        <x:f>CHOOSE('假设'!$B$3,AJ3284,AK3284,AL3284)</x:f>
        <x:v>0</x:v>
      </x:c>
      <x:c r="AN3284" t="n">
        <x:v>1</x:v>
      </x:c>
    </x:row>
    <x:row r="3285" ht="23" customHeight="1">
      <x:c r="A3285" s="11" t="str">
        <x:v>688382.SH</x:v>
      </x:c>
      <x:c r="B3285" s="11" t="str">
        <x:v>三年</x:v>
      </x:c>
      <x:c r="C3285" s="11" t="str">
        <x:v>tyk_sle_cn</x:v>
      </x:c>
      <x:c r="D3285" s="11" t="str">
        <x:v>2027-12-31</x:v>
      </x:c>
      <x:c r="E3285" s="11" t="str">
        <x:v>CNY</x:v>
      </x:c>
      <x:c r="F3285" s="11" t="n">
        <x:v>-1.7741273100616017</x:v>
      </x:c>
      <x:c r="G3285" s="26" t="b">
        <x:v>0</x:v>
      </x:c>
      <x:c r="H3285" s="16" t="n">
        <x:v>0</x:v>
      </x:c>
      <x:c r="I3285" s="16" t="n">
        <x:v>0</x:v>
      </x:c>
      <x:c r="J3285" s="16" t="n">
        <x:v>0</x:v>
      </x:c>
      <x:c r="K3285" s="11" t="n">
        <x:f>CHOOSE('假设'!$B$3,H3285,I3285,J3285)</x:f>
        <x:v>0</x:v>
      </x:c>
      <x:c r="L3285" s="11" t="n">
        <x:f>K3285*'管线假设'!E715*'管线假设'!F715*'管线假设'!G715*IF(E3285="USD",'管线假设'!I715,1)-AM3285</x:f>
        <x:v>0</x:v>
      </x:c>
      <x:c r="M3285" s="11" t="n">
        <x:f>'管线假设'!H715</x:f>
        <x:v>0.135</x:v>
      </x:c>
      <x:c r="N3285" s="11" t="n">
        <x:f>IF(G3285,L3285*AN3285/(1+M3285)^F3285,0)</x:f>
        <x:v>0</x:v>
      </x:c>
      <x:c r="AJ3285" t="n">
        <x:v>0</x:v>
      </x:c>
      <x:c r="AK3285" t="n">
        <x:v>0</x:v>
      </x:c>
      <x:c r="AL3285" t="n">
        <x:v>0</x:v>
      </x:c>
      <x:c r="AM3285" t="n">
        <x:f>CHOOSE('假设'!$B$3,AJ3285,AK3285,AL3285)</x:f>
        <x:v>0</x:v>
      </x:c>
      <x:c r="AN3285" t="n">
        <x:v>1</x:v>
      </x:c>
    </x:row>
    <x:row r="3286" ht="23" customHeight="1">
      <x:c r="A3286" s="11" t="str">
        <x:v>688382.SH</x:v>
      </x:c>
      <x:c r="B3286" s="11" t="str">
        <x:v>三年</x:v>
      </x:c>
      <x:c r="C3286" s="11" t="str">
        <x:v>tyk_sle_cn</x:v>
      </x:c>
      <x:c r="D3286" s="11" t="str">
        <x:v>2028-12-31</x:v>
      </x:c>
      <x:c r="E3286" s="11" t="str">
        <x:v>CNY</x:v>
      </x:c>
      <x:c r="F3286" s="11" t="n">
        <x:v>-0.7720739219712526</x:v>
      </x:c>
      <x:c r="G3286" s="26" t="b">
        <x:v>0</x:v>
      </x:c>
      <x:c r="H3286" s="16" t="n">
        <x:v>0</x:v>
      </x:c>
      <x:c r="I3286" s="16" t="n">
        <x:v>0</x:v>
      </x:c>
      <x:c r="J3286" s="16" t="n">
        <x:v>0</x:v>
      </x:c>
      <x:c r="K3286" s="11" t="n">
        <x:f>CHOOSE('假设'!$B$3,H3286,I3286,J3286)</x:f>
        <x:v>0</x:v>
      </x:c>
      <x:c r="L3286" s="11" t="n">
        <x:f>K3286*'管线假设'!E715*'管线假设'!F715*'管线假设'!G715*IF(E3286="USD",'管线假设'!I715,1)-AM3286</x:f>
        <x:v>0</x:v>
      </x:c>
      <x:c r="M3286" s="11" t="n">
        <x:f>'管线假设'!H715</x:f>
        <x:v>0.135</x:v>
      </x:c>
      <x:c r="N3286" s="11" t="n">
        <x:f>IF(G3286,L3286*AN3286/(1+M3286)^F3286,0)</x:f>
        <x:v>0</x:v>
      </x:c>
      <x:c r="AJ3286" t="n">
        <x:v>0</x:v>
      </x:c>
      <x:c r="AK3286" t="n">
        <x:v>0</x:v>
      </x:c>
      <x:c r="AL3286" t="n">
        <x:v>0</x:v>
      </x:c>
      <x:c r="AM3286" t="n">
        <x:f>CHOOSE('假设'!$B$3,AJ3286,AK3286,AL3286)</x:f>
        <x:v>0</x:v>
      </x:c>
      <x:c r="AN3286" t="n">
        <x:v>1</x:v>
      </x:c>
    </x:row>
    <x:row r="3287" ht="23" customHeight="1">
      <x:c r="A3287" s="11" t="str">
        <x:v>688382.SH</x:v>
      </x:c>
      <x:c r="B3287" s="11" t="str">
        <x:v>三年</x:v>
      </x:c>
      <x:c r="C3287" s="11" t="str">
        <x:v>tyk_sle_cn</x:v>
      </x:c>
      <x:c r="D3287" s="11" t="str">
        <x:v>2029-12-31</x:v>
      </x:c>
      <x:c r="E3287" s="11" t="str">
        <x:v>CNY</x:v>
      </x:c>
      <x:c r="F3287" s="11" t="n">
        <x:v>0.2272416153319644</x:v>
      </x:c>
      <x:c r="G3287" s="26" t="b">
        <x:v>1</x:v>
      </x:c>
      <x:c r="H3287" s="16" t="n">
        <x:v>0</x:v>
      </x:c>
      <x:c r="I3287" s="16" t="n">
        <x:v>0</x:v>
      </x:c>
      <x:c r="J3287" s="16" t="n">
        <x:v>0</x:v>
      </x:c>
      <x:c r="K3287" s="11" t="n">
        <x:f>CHOOSE('假设'!$B$3,H3287,I3287,J3287)</x:f>
        <x:v>0</x:v>
      </x:c>
      <x:c r="L3287" s="11" t="n">
        <x:f>K3287*'管线假设'!E715*'管线假设'!F715*'管线假设'!G715*IF(E3287="USD",'管线假设'!I715,1)-AM3287</x:f>
        <x:v>0</x:v>
      </x:c>
      <x:c r="M3287" s="11" t="n">
        <x:f>'管线假设'!H715</x:f>
        <x:v>0.135</x:v>
      </x:c>
      <x:c r="N3287" s="11" t="n">
        <x:f>IF(G3287,L3287*AN3287/(1+M3287)^F3287,0)</x:f>
        <x:v>0</x:v>
      </x:c>
      <x:c r="AJ3287" t="n">
        <x:v>0</x:v>
      </x:c>
      <x:c r="AK3287" t="n">
        <x:v>0</x:v>
      </x:c>
      <x:c r="AL3287" t="n">
        <x:v>0</x:v>
      </x:c>
      <x:c r="AM3287" t="n">
        <x:f>CHOOSE('假设'!$B$3,AJ3287,AK3287,AL3287)</x:f>
        <x:v>0</x:v>
      </x:c>
      <x:c r="AN3287" t="n">
        <x:v>1</x:v>
      </x:c>
    </x:row>
    <x:row r="3288" ht="23" customHeight="1">
      <x:c r="A3288" s="11" t="str">
        <x:v>688382.SH</x:v>
      </x:c>
      <x:c r="B3288" s="11" t="str">
        <x:v>三年</x:v>
      </x:c>
      <x:c r="C3288" s="11" t="str">
        <x:v>tyk_sle_cn</x:v>
      </x:c>
      <x:c r="D3288" s="11" t="str">
        <x:v>2030-12-31</x:v>
      </x:c>
      <x:c r="E3288" s="11" t="str">
        <x:v>CNY</x:v>
      </x:c>
      <x:c r="F3288" s="11" t="n">
        <x:v>1.2265571526351813</x:v>
      </x:c>
      <x:c r="G3288" s="26" t="b">
        <x:v>1</x:v>
      </x:c>
      <x:c r="H3288" s="16" t="n">
        <x:v>0</x:v>
      </x:c>
      <x:c r="I3288" s="16" t="n">
        <x:v>0</x:v>
      </x:c>
      <x:c r="J3288" s="16" t="n">
        <x:v>0.3833333333333333</x:v>
      </x:c>
      <x:c r="K3288" s="11" t="n">
        <x:f>CHOOSE('假设'!$B$3,H3288,I3288,J3288)</x:f>
        <x:v>0</x:v>
      </x:c>
      <x:c r="L3288" s="11" t="n">
        <x:f>K3288*'管线假设'!E715*'管线假设'!F715*'管线假设'!G715*IF(E3288="USD",'管线假设'!I715,1)-AM3288</x:f>
        <x:v>0</x:v>
      </x:c>
      <x:c r="M3288" s="11" t="n">
        <x:f>'管线假设'!H715</x:f>
        <x:v>0.135</x:v>
      </x:c>
      <x:c r="N3288" s="11" t="n">
        <x:f>IF(G3288,L3288*AN3288/(1+M3288)^F3288,0)</x:f>
        <x:v>0</x:v>
      </x:c>
      <x:c r="AJ3288" t="n">
        <x:v>0</x:v>
      </x:c>
      <x:c r="AK3288" t="n">
        <x:v>0</x:v>
      </x:c>
      <x:c r="AL3288" t="n">
        <x:v>0</x:v>
      </x:c>
      <x:c r="AM3288" t="n">
        <x:f>CHOOSE('假设'!$B$3,AJ3288,AK3288,AL3288)</x:f>
        <x:v>0</x:v>
      </x:c>
      <x:c r="AN3288" t="n">
        <x:v>1</x:v>
      </x:c>
    </x:row>
    <x:row r="3289" ht="23" customHeight="1">
      <x:c r="A3289" s="11" t="str">
        <x:v>688382.SH</x:v>
      </x:c>
      <x:c r="B3289" s="11" t="str">
        <x:v>三年</x:v>
      </x:c>
      <x:c r="C3289" s="11" t="str">
        <x:v>tyk_sle_cn</x:v>
      </x:c>
      <x:c r="D3289" s="11" t="str">
        <x:v>2031-12-31</x:v>
      </x:c>
      <x:c r="E3289" s="11" t="str">
        <x:v>CNY</x:v>
      </x:c>
      <x:c r="F3289" s="11" t="n">
        <x:v>2.2258726899383983</x:v>
      </x:c>
      <x:c r="G3289" s="26" t="b">
        <x:v>1</x:v>
      </x:c>
      <x:c r="H3289" s="16" t="n">
        <x:v>0</x:v>
      </x:c>
      <x:c r="I3289" s="16" t="n">
        <x:v>0</x:v>
      </x:c>
      <x:c r="J3289" s="16" t="n">
        <x:v>0.7666666666666666</x:v>
      </x:c>
      <x:c r="K3289" s="11" t="n">
        <x:f>CHOOSE('假设'!$B$3,H3289,I3289,J3289)</x:f>
        <x:v>0</x:v>
      </x:c>
      <x:c r="L3289" s="11" t="n">
        <x:f>K3289*'管线假设'!E715*'管线假设'!F715*'管线假设'!G715*IF(E3289="USD",'管线假设'!I715,1)-AM3289</x:f>
        <x:v>0</x:v>
      </x:c>
      <x:c r="M3289" s="11" t="n">
        <x:f>'管线假设'!H715</x:f>
        <x:v>0.135</x:v>
      </x:c>
      <x:c r="N3289" s="11" t="n">
        <x:f>IF(G3289,L3289*AN3289/(1+M3289)^F3289,0)</x:f>
        <x:v>0</x:v>
      </x:c>
      <x:c r="AJ3289" t="n">
        <x:v>0</x:v>
      </x:c>
      <x:c r="AK3289" t="n">
        <x:v>0</x:v>
      </x:c>
      <x:c r="AL3289" t="n">
        <x:v>0</x:v>
      </x:c>
      <x:c r="AM3289" t="n">
        <x:f>CHOOSE('假设'!$B$3,AJ3289,AK3289,AL3289)</x:f>
        <x:v>0</x:v>
      </x:c>
      <x:c r="AN3289" t="n">
        <x:v>1</x:v>
      </x:c>
    </x:row>
    <x:row r="3290" ht="23" customHeight="1">
      <x:c r="A3290" s="11" t="str">
        <x:v>688382.SH</x:v>
      </x:c>
      <x:c r="B3290" s="11" t="str">
        <x:v>三年</x:v>
      </x:c>
      <x:c r="C3290" s="11" t="str">
        <x:v>tyk_sle_cn</x:v>
      </x:c>
      <x:c r="D3290" s="11" t="str">
        <x:v>2032-12-31</x:v>
      </x:c>
      <x:c r="E3290" s="11" t="str">
        <x:v>CNY</x:v>
      </x:c>
      <x:c r="F3290" s="11" t="n">
        <x:v>3.2279260780287475</x:v>
      </x:c>
      <x:c r="G3290" s="26" t="b">
        <x:v>1</x:v>
      </x:c>
      <x:c r="H3290" s="16" t="n">
        <x:v>0</x:v>
      </x:c>
      <x:c r="I3290" s="16" t="n">
        <x:v>0.21666666666666667</x:v>
      </x:c>
      <x:c r="J3290" s="16" t="n">
        <x:v>1.15</x:v>
      </x:c>
      <x:c r="K3290" s="11" t="n">
        <x:f>CHOOSE('假设'!$B$3,H3290,I3290,J3290)</x:f>
        <x:v>0.21666666666666667</x:v>
      </x:c>
      <x:c r="L3290" s="11" t="n">
        <x:f>K3290*'管线假设'!E715*'管线假设'!F715*'管线假设'!G715*IF(E3290="USD",'管线假设'!I715,1)-AM3290</x:f>
        <x:v>0.0228592</x:v>
      </x:c>
      <x:c r="M3290" s="11" t="n">
        <x:f>'管线假设'!H715</x:f>
        <x:v>0.135</x:v>
      </x:c>
      <x:c r="N3290" s="11" t="n">
        <x:f>IF(G3290,L3290*AN3290/(1+M3290)^F3290,0)</x:f>
        <x:v>0.015189324200440038</x:v>
      </x:c>
      <x:c r="AJ3290" t="n">
        <x:v>0</x:v>
      </x:c>
      <x:c r="AK3290" t="n">
        <x:v>0</x:v>
      </x:c>
      <x:c r="AL3290" t="n">
        <x:v>0</x:v>
      </x:c>
      <x:c r="AM3290" t="n">
        <x:f>CHOOSE('假设'!$B$3,AJ3290,AK3290,AL3290)</x:f>
        <x:v>0</x:v>
      </x:c>
      <x:c r="AN3290" t="n">
        <x:v>1</x:v>
      </x:c>
    </x:row>
    <x:row r="3291" ht="23" customHeight="1">
      <x:c r="A3291" s="11" t="str">
        <x:v>688382.SH</x:v>
      </x:c>
      <x:c r="B3291" s="11" t="str">
        <x:v>三年</x:v>
      </x:c>
      <x:c r="C3291" s="11" t="str">
        <x:v>tyk_sle_cn</x:v>
      </x:c>
      <x:c r="D3291" s="11" t="str">
        <x:v>2033-12-31</x:v>
      </x:c>
      <x:c r="E3291" s="11" t="str">
        <x:v>CNY</x:v>
      </x:c>
      <x:c r="F3291" s="11" t="n">
        <x:v>4.227241615331964</x:v>
      </x:c>
      <x:c r="G3291" s="26" t="b">
        <x:v>1</x:v>
      </x:c>
      <x:c r="H3291" s="16" t="n">
        <x:v>0</x:v>
      </x:c>
      <x:c r="I3291" s="16" t="n">
        <x:v>0.43333333333333335</x:v>
      </x:c>
      <x:c r="J3291" s="16" t="n">
        <x:v>1.5333333333333332</x:v>
      </x:c>
      <x:c r="K3291" s="11" t="n">
        <x:f>CHOOSE('假设'!$B$3,H3291,I3291,J3291)</x:f>
        <x:v>0.43333333333333335</x:v>
      </x:c>
      <x:c r="L3291" s="11" t="n">
        <x:f>K3291*'管线假设'!E715*'管线假设'!F715*'管线假设'!G715*IF(E3291="USD",'管线假设'!I715,1)-AM3291</x:f>
        <x:v>0.0457184</x:v>
      </x:c>
      <x:c r="M3291" s="11" t="n">
        <x:f>'管线假设'!H715</x:f>
        <x:v>0.135</x:v>
      </x:c>
      <x:c r="N3291" s="11" t="n">
        <x:f>IF(G3291,L3291*AN3291/(1+M3291)^F3291,0)</x:f>
        <x:v>0.026767648981710246</x:v>
      </x:c>
      <x:c r="AJ3291" t="n">
        <x:v>0</x:v>
      </x:c>
      <x:c r="AK3291" t="n">
        <x:v>0</x:v>
      </x:c>
      <x:c r="AL3291" t="n">
        <x:v>0</x:v>
      </x:c>
      <x:c r="AM3291" t="n">
        <x:f>CHOOSE('假设'!$B$3,AJ3291,AK3291,AL3291)</x:f>
        <x:v>0</x:v>
      </x:c>
      <x:c r="AN3291" t="n">
        <x:v>1</x:v>
      </x:c>
    </x:row>
    <x:row r="3292" ht="23" customHeight="1">
      <x:c r="A3292" s="11" t="str">
        <x:v>688382.SH</x:v>
      </x:c>
      <x:c r="B3292" s="11" t="str">
        <x:v>三年</x:v>
      </x:c>
      <x:c r="C3292" s="11" t="str">
        <x:v>tyk_sle_cn</x:v>
      </x:c>
      <x:c r="D3292" s="11" t="str">
        <x:v>2034-12-31</x:v>
      </x:c>
      <x:c r="E3292" s="11" t="str">
        <x:v>CNY</x:v>
      </x:c>
      <x:c r="F3292" s="11" t="n">
        <x:v>5.2265571526351815</x:v>
      </x:c>
      <x:c r="G3292" s="26" t="b">
        <x:v>1</x:v>
      </x:c>
      <x:c r="H3292" s="16" t="n">
        <x:v>0</x:v>
      </x:c>
      <x:c r="I3292" s="16" t="n">
        <x:v>0.65</x:v>
      </x:c>
      <x:c r="J3292" s="16" t="n">
        <x:v>1.9166666666666665</x:v>
      </x:c>
      <x:c r="K3292" s="11" t="n">
        <x:f>CHOOSE('假设'!$B$3,H3292,I3292,J3292)</x:f>
        <x:v>0.65</x:v>
      </x:c>
      <x:c r="L3292" s="11" t="n">
        <x:f>K3292*'管线假设'!E715*'管线假设'!F715*'管线假设'!G715*IF(E3292="USD",'管线假设'!I715,1)-AM3292</x:f>
        <x:v>0.06857759999999999</x:v>
      </x:c>
      <x:c r="M3292" s="11" t="n">
        <x:f>'管线假设'!H715</x:f>
        <x:v>0.135</x:v>
      </x:c>
      <x:c r="N3292" s="11" t="n">
        <x:f>IF(G3292,L3292*AN3292/(1+M3292)^F3292,0)</x:f>
        <x:v>0.035378813890250105</x:v>
      </x:c>
      <x:c r="AJ3292" t="n">
        <x:v>0</x:v>
      </x:c>
      <x:c r="AK3292" t="n">
        <x:v>0</x:v>
      </x:c>
      <x:c r="AL3292" t="n">
        <x:v>0</x:v>
      </x:c>
      <x:c r="AM3292" t="n">
        <x:f>CHOOSE('假设'!$B$3,AJ3292,AK3292,AL3292)</x:f>
        <x:v>0</x:v>
      </x:c>
      <x:c r="AN3292" t="n">
        <x:v>1</x:v>
      </x:c>
    </x:row>
    <x:row r="3293" ht="23" customHeight="1">
      <x:c r="A3293" s="11" t="str">
        <x:v>688382.SH</x:v>
      </x:c>
      <x:c r="B3293" s="11" t="str">
        <x:v>三年</x:v>
      </x:c>
      <x:c r="C3293" s="11" t="str">
        <x:v>tyk_sle_cn</x:v>
      </x:c>
      <x:c r="D3293" s="11" t="str">
        <x:v>2035-12-31</x:v>
      </x:c>
      <x:c r="E3293" s="11" t="str">
        <x:v>CNY</x:v>
      </x:c>
      <x:c r="F3293" s="11" t="n">
        <x:v>6.225872689938399</x:v>
      </x:c>
      <x:c r="G3293" s="26" t="b">
        <x:v>1</x:v>
      </x:c>
      <x:c r="H3293" s="16" t="n">
        <x:v>0.1</x:v>
      </x:c>
      <x:c r="I3293" s="16" t="n">
        <x:v>0.8666666666666667</x:v>
      </x:c>
      <x:c r="J3293" s="16" t="n">
        <x:v>2.3</x:v>
      </x:c>
      <x:c r="K3293" s="11" t="n">
        <x:f>CHOOSE('假设'!$B$3,H3293,I3293,J3293)</x:f>
        <x:v>0.8666666666666667</x:v>
      </x:c>
      <x:c r="L3293" s="11" t="n">
        <x:f>K3293*'管线假设'!E715*'管线假设'!F715*'管线假设'!G715*IF(E3293="USD",'管线假设'!I715,1)-AM3293</x:f>
        <x:v>0.0914368</x:v>
      </x:c>
      <x:c r="M3293" s="11" t="n">
        <x:f>'管线假设'!H715</x:f>
        <x:v>0.135</x:v>
      </x:c>
      <x:c r="N3293" s="11" t="n">
        <x:f>IF(G3293,L3293*AN3293/(1+M3293)^F3293,0)</x:f>
        <x:v>0.041564617319666944</x:v>
      </x:c>
      <x:c r="AJ3293" t="n">
        <x:v>0</x:v>
      </x:c>
      <x:c r="AK3293" t="n">
        <x:v>0</x:v>
      </x:c>
      <x:c r="AL3293" t="n">
        <x:v>0</x:v>
      </x:c>
      <x:c r="AM3293" t="n">
        <x:f>CHOOSE('假设'!$B$3,AJ3293,AK3293,AL3293)</x:f>
        <x:v>0</x:v>
      </x:c>
      <x:c r="AN3293" t="n">
        <x:v>1</x:v>
      </x:c>
    </x:row>
    <x:row r="3294" ht="23" customHeight="1">
      <x:c r="A3294" s="11" t="str">
        <x:v>688382.SH</x:v>
      </x:c>
      <x:c r="B3294" s="11" t="str">
        <x:v>三年</x:v>
      </x:c>
      <x:c r="C3294" s="11" t="str">
        <x:v>tyk_sle_cn</x:v>
      </x:c>
      <x:c r="D3294" s="11" t="str">
        <x:v>2036-12-31</x:v>
      </x:c>
      <x:c r="E3294" s="11" t="str">
        <x:v>CNY</x:v>
      </x:c>
      <x:c r="F3294" s="11" t="n">
        <x:v>7.227926078028747</x:v>
      </x:c>
      <x:c r="G3294" s="26" t="b">
        <x:v>1</x:v>
      </x:c>
      <x:c r="H3294" s="16" t="n">
        <x:v>0.2</x:v>
      </x:c>
      <x:c r="I3294" s="16" t="n">
        <x:v>1.0833333333333335</x:v>
      </x:c>
      <x:c r="J3294" s="16" t="n">
        <x:v>2.001</x:v>
      </x:c>
      <x:c r="K3294" s="11" t="n">
        <x:f>CHOOSE('假设'!$B$3,H3294,I3294,J3294)</x:f>
        <x:v>1.0833333333333335</x:v>
      </x:c>
      <x:c r="L3294" s="11" t="n">
        <x:f>K3294*'管线假设'!E715*'管线假设'!F715*'管线假设'!G715*IF(E3294="USD",'管线假设'!I715,1)-AM3294</x:f>
        <x:v>0.114296</x:v>
      </x:c>
      <x:c r="M3294" s="11" t="n">
        <x:f>'管线假设'!H715</x:f>
        <x:v>0.135</x:v>
      </x:c>
      <x:c r="N3294" s="11" t="n">
        <x:f>IF(G3294,L3294*AN3294/(1+M3294)^F3294,0)</x:f>
        <x:v>0.04576410885954992</x:v>
      </x:c>
      <x:c r="AJ3294" t="n">
        <x:v>0</x:v>
      </x:c>
      <x:c r="AK3294" t="n">
        <x:v>0</x:v>
      </x:c>
      <x:c r="AL3294" t="n">
        <x:v>0</x:v>
      </x:c>
      <x:c r="AM3294" t="n">
        <x:f>CHOOSE('假设'!$B$3,AJ3294,AK3294,AL3294)</x:f>
        <x:v>0</x:v>
      </x:c>
      <x:c r="AN3294" t="n">
        <x:v>1</x:v>
      </x:c>
    </x:row>
    <x:row r="3295" ht="23" customHeight="1">
      <x:c r="A3295" s="11" t="str">
        <x:v>688382.SH</x:v>
      </x:c>
      <x:c r="B3295" s="11" t="str">
        <x:v>三年</x:v>
      </x:c>
      <x:c r="C3295" s="11" t="str">
        <x:v>tyk_sle_cn</x:v>
      </x:c>
      <x:c r="D3295" s="11" t="str">
        <x:v>2037-12-31</x:v>
      </x:c>
      <x:c r="E3295" s="11" t="str">
        <x:v>CNY</x:v>
      </x:c>
      <x:c r="F3295" s="11" t="n">
        <x:v>8.227241615331964</x:v>
      </x:c>
      <x:c r="G3295" s="26" t="b">
        <x:v>1</x:v>
      </x:c>
      <x:c r="H3295" s="16" t="n">
        <x:v>0.3</x:v>
      </x:c>
      <x:c r="I3295" s="16" t="n">
        <x:v>1.3</x:v>
      </x:c>
      <x:c r="J3295" s="16" t="n">
        <x:v>1.702</x:v>
      </x:c>
      <x:c r="K3295" s="11" t="n">
        <x:f>CHOOSE('假设'!$B$3,H3295,I3295,J3295)</x:f>
        <x:v>1.3</x:v>
      </x:c>
      <x:c r="L3295" s="11" t="n">
        <x:f>K3295*'管线假设'!E715*'管线假设'!F715*'管线假设'!G715*IF(E3295="USD",'管线假设'!I715,1)-AM3295</x:f>
        <x:v>0.13715519999999998</x:v>
      </x:c>
      <x:c r="M3295" s="11" t="n">
        <x:f>'管线假设'!H715</x:f>
        <x:v>0.135</x:v>
      </x:c>
      <x:c r="N3295" s="11" t="n">
        <x:f>IF(G3295,L3295*AN3295/(1+M3295)^F3295,0)</x:f>
        <x:v>0.0483891548727778</x:v>
      </x:c>
      <x:c r="AJ3295" t="n">
        <x:v>0</x:v>
      </x:c>
      <x:c r="AK3295" t="n">
        <x:v>0</x:v>
      </x:c>
      <x:c r="AL3295" t="n">
        <x:v>0</x:v>
      </x:c>
      <x:c r="AM3295" t="n">
        <x:f>CHOOSE('假设'!$B$3,AJ3295,AK3295,AL3295)</x:f>
        <x:v>0</x:v>
      </x:c>
      <x:c r="AN3295" t="n">
        <x:v>1</x:v>
      </x:c>
    </x:row>
    <x:row r="3296" ht="23" customHeight="1">
      <x:c r="A3296" s="11" t="str">
        <x:v>688382.SH</x:v>
      </x:c>
      <x:c r="B3296" s="11" t="str">
        <x:v>三年</x:v>
      </x:c>
      <x:c r="C3296" s="11" t="str">
        <x:v>tyk_sle_cn</x:v>
      </x:c>
      <x:c r="D3296" s="11" t="str">
        <x:v>2038-12-31</x:v>
      </x:c>
      <x:c r="E3296" s="11" t="str">
        <x:v>CNY</x:v>
      </x:c>
      <x:c r="F3296" s="11" t="n">
        <x:v>9.22655715263518</x:v>
      </x:c>
      <x:c r="G3296" s="26" t="b">
        <x:v>1</x:v>
      </x:c>
      <x:c r="H3296" s="16" t="n">
        <x:v>0.4</x:v>
      </x:c>
      <x:c r="I3296" s="16" t="n">
        <x:v>1.131</x:v>
      </x:c>
      <x:c r="J3296" s="16" t="n">
        <x:v>1.4029999999999998</x:v>
      </x:c>
      <x:c r="K3296" s="11" t="n">
        <x:f>CHOOSE('假设'!$B$3,H3296,I3296,J3296)</x:f>
        <x:v>1.131</x:v>
      </x:c>
      <x:c r="L3296" s="11" t="n">
        <x:f>K3296*'管线假设'!E715*'管线假设'!F715*'管线假设'!G715*IF(E3296="USD",'管线假设'!I715,1)-AM3296</x:f>
        <x:v>0.11932502399999999</x:v>
      </x:c>
      <x:c r="M3296" s="11" t="n">
        <x:f>'管线假设'!H715</x:f>
        <x:v>0.135</x:v>
      </x:c>
      <x:c r="N3296" s="11" t="n">
        <x:f>IF(G3296,L3296*AN3296/(1+M3296)^F3296,0)</x:f>
        <x:v>0.03709446150155868</x:v>
      </x:c>
      <x:c r="AJ3296" t="n">
        <x:v>0</x:v>
      </x:c>
      <x:c r="AK3296" t="n">
        <x:v>0</x:v>
      </x:c>
      <x:c r="AL3296" t="n">
        <x:v>0</x:v>
      </x:c>
      <x:c r="AM3296" t="n">
        <x:f>CHOOSE('假设'!$B$3,AJ3296,AK3296,AL3296)</x:f>
        <x:v>0</x:v>
      </x:c>
      <x:c r="AN3296" t="n">
        <x:v>1</x:v>
      </x:c>
    </x:row>
    <x:row r="3297" ht="23" customHeight="1">
      <x:c r="A3297" s="11" t="str">
        <x:v>688382.SH</x:v>
      </x:c>
      <x:c r="B3297" s="11" t="str">
        <x:v>三年</x:v>
      </x:c>
      <x:c r="C3297" s="11" t="str">
        <x:v>tyk_sle_cn</x:v>
      </x:c>
      <x:c r="D3297" s="11" t="str">
        <x:v>2039-12-31</x:v>
      </x:c>
      <x:c r="E3297" s="11" t="str">
        <x:v>CNY</x:v>
      </x:c>
      <x:c r="F3297" s="11" t="n">
        <x:v>10.225872689938399</x:v>
      </x:c>
      <x:c r="G3297" s="26" t="b">
        <x:v>1</x:v>
      </x:c>
      <x:c r="H3297" s="16" t="n">
        <x:v>0.5</x:v>
      </x:c>
      <x:c r="I3297" s="16" t="n">
        <x:v>0.962</x:v>
      </x:c>
      <x:c r="J3297" s="16" t="n">
        <x:v>1.1039999999999999</x:v>
      </x:c>
      <x:c r="K3297" s="11" t="n">
        <x:f>CHOOSE('假设'!$B$3,H3297,I3297,J3297)</x:f>
        <x:v>0.962</x:v>
      </x:c>
      <x:c r="L3297" s="11" t="n">
        <x:f>K3297*'管线假设'!E715*'管线假设'!F715*'管线假设'!G715*IF(E3297="USD",'管线假设'!I715,1)-AM3297</x:f>
        <x:v>0.10149484799999998</x:v>
      </x:c>
      <x:c r="M3297" s="11" t="n">
        <x:f>'管线假设'!H715</x:f>
        <x:v>0.135</x:v>
      </x:c>
      <x:c r="N3297" s="11" t="n">
        <x:f>IF(G3297,L3297*AN3297/(1+M3297)^F3297,0)</x:f>
        <x:v>0.027801185724261636</x:v>
      </x:c>
      <x:c r="AJ3297" t="n">
        <x:v>0</x:v>
      </x:c>
      <x:c r="AK3297" t="n">
        <x:v>0</x:v>
      </x:c>
      <x:c r="AL3297" t="n">
        <x:v>0</x:v>
      </x:c>
      <x:c r="AM3297" t="n">
        <x:f>CHOOSE('假设'!$B$3,AJ3297,AK3297,AL3297)</x:f>
        <x:v>0</x:v>
      </x:c>
      <x:c r="AN3297" t="n">
        <x:v>1</x:v>
      </x:c>
    </x:row>
    <x:row r="3298" ht="23" customHeight="1">
      <x:c r="A3298" s="11" t="str">
        <x:v>688382.SH</x:v>
      </x:c>
      <x:c r="B3298" s="11" t="str">
        <x:v>三年</x:v>
      </x:c>
      <x:c r="C3298" s="11" t="str">
        <x:v>tyk_sle_cn</x:v>
      </x:c>
      <x:c r="D3298" s="11" t="str">
        <x:v>2040-12-31</x:v>
      </x:c>
      <x:c r="E3298" s="11" t="str">
        <x:v>CNY</x:v>
      </x:c>
      <x:c r="F3298" s="11" t="n">
        <x:v>11.227926078028748</x:v>
      </x:c>
      <x:c r="G3298" s="26" t="b">
        <x:v>1</x:v>
      </x:c>
      <x:c r="H3298" s="16" t="n">
        <x:v>0.435</x:v>
      </x:c>
      <x:c r="I3298" s="16" t="n">
        <x:v>0.793</x:v>
      </x:c>
      <x:c r="J3298" s="16" t="n">
        <x:v>0.8049999999999999</x:v>
      </x:c>
      <x:c r="K3298" s="11" t="n">
        <x:f>CHOOSE('假设'!$B$3,H3298,I3298,J3298)</x:f>
        <x:v>0.793</x:v>
      </x:c>
      <x:c r="L3298" s="11" t="n">
        <x:f>K3298*'管线假设'!E715*'管线假设'!F715*'管线假设'!G715*IF(E3298="USD",'管线假设'!I715,1)-AM3298</x:f>
        <x:v>0.083664672</x:v>
      </x:c>
      <x:c r="M3298" s="11" t="n">
        <x:f>'管线假设'!H715</x:f>
        <x:v>0.135</x:v>
      </x:c>
      <x:c r="N3298" s="11" t="n">
        <x:f>IF(G3298,L3298*AN3298/(1+M3298)^F3298,0)</x:f>
        <x:v>0.020186110437518754</x:v>
      </x:c>
      <x:c r="AJ3298" t="n">
        <x:v>0</x:v>
      </x:c>
      <x:c r="AK3298" t="n">
        <x:v>0</x:v>
      </x:c>
      <x:c r="AL3298" t="n">
        <x:v>0</x:v>
      </x:c>
      <x:c r="AM3298" t="n">
        <x:f>CHOOSE('假设'!$B$3,AJ3298,AK3298,AL3298)</x:f>
        <x:v>0</x:v>
      </x:c>
      <x:c r="AN3298" t="n">
        <x:v>1</x:v>
      </x:c>
    </x:row>
    <x:row r="3299" ht="23" customHeight="1">
      <x:c r="A3299" s="11" t="str">
        <x:v>688382.SH</x:v>
      </x:c>
      <x:c r="B3299" s="11" t="str">
        <x:v>三年</x:v>
      </x:c>
      <x:c r="C3299" s="11" t="str">
        <x:v>tyk_sle_cn</x:v>
      </x:c>
      <x:c r="D3299" s="11" t="str">
        <x:v>2041-12-31</x:v>
      </x:c>
      <x:c r="E3299" s="11" t="str">
        <x:v>CNY</x:v>
      </x:c>
      <x:c r="F3299" s="11" t="n">
        <x:v>12.227241615331964</x:v>
      </x:c>
      <x:c r="G3299" s="26" t="b">
        <x:v>1</x:v>
      </x:c>
      <x:c r="H3299" s="16" t="n">
        <x:v>0.37</x:v>
      </x:c>
      <x:c r="I3299" s="16" t="n">
        <x:v>0.624</x:v>
      </x:c>
      <x:c r="J3299" s="16" t="n">
        <x:v>0.5059999999999999</x:v>
      </x:c>
      <x:c r="K3299" s="11" t="n">
        <x:f>CHOOSE('假设'!$B$3,H3299,I3299,J3299)</x:f>
        <x:v>0.624</x:v>
      </x:c>
      <x:c r="L3299" s="11" t="n">
        <x:f>K3299*'管线假设'!E715*'管线假设'!F715*'管线假设'!G715*IF(E3299="USD",'管线假设'!I715,1)-AM3299</x:f>
        <x:v>0.06583449599999999</x:v>
      </x:c>
      <x:c r="M3299" s="11" t="n">
        <x:f>'管线假设'!H715</x:f>
        <x:v>0.135</x:v>
      </x:c>
      <x:c r="N3299" s="11" t="n">
        <x:f>IF(G3299,L3299*AN3299/(1+M3299)^F3299,0)</x:f>
        <x:v>0.013996061056548248</x:v>
      </x:c>
      <x:c r="AJ3299" t="n">
        <x:v>0</x:v>
      </x:c>
      <x:c r="AK3299" t="n">
        <x:v>0</x:v>
      </x:c>
      <x:c r="AL3299" t="n">
        <x:v>0</x:v>
      </x:c>
      <x:c r="AM3299" t="n">
        <x:f>CHOOSE('假设'!$B$3,AJ3299,AK3299,AL3299)</x:f>
        <x:v>0</x:v>
      </x:c>
      <x:c r="AN3299" t="n">
        <x:v>1</x:v>
      </x:c>
    </x:row>
    <x:row r="3300" ht="23" customHeight="1">
      <x:c r="A3300" s="11" t="str">
        <x:v>688382.SH</x:v>
      </x:c>
      <x:c r="B3300" s="11" t="str">
        <x:v>三年</x:v>
      </x:c>
      <x:c r="C3300" s="11" t="str">
        <x:v>tyk_sle_cn</x:v>
      </x:c>
      <x:c r="D3300" s="11" t="str">
        <x:v>2042-12-31</x:v>
      </x:c>
      <x:c r="E3300" s="11" t="str">
        <x:v>CNY</x:v>
      </x:c>
      <x:c r="F3300" s="11" t="n">
        <x:v>13.22655715263518</x:v>
      </x:c>
      <x:c r="G3300" s="26" t="b">
        <x:v>1</x:v>
      </x:c>
      <x:c r="H3300" s="16" t="n">
        <x:v>0.305</x:v>
      </x:c>
      <x:c r="I3300" s="16" t="n">
        <x:v>0.45499999999999996</x:v>
      </x:c>
      <x:c r="J3300" s="16" t="n">
        <x:v>0.2069999999999999</x:v>
      </x:c>
      <x:c r="K3300" s="11" t="n">
        <x:f>CHOOSE('假设'!$B$3,H3300,I3300,J3300)</x:f>
        <x:v>0.45499999999999996</x:v>
      </x:c>
      <x:c r="L3300" s="11" t="n">
        <x:f>K3300*'管线假设'!E715*'管线假设'!F715*'管线假设'!G715*IF(E3300="USD",'管线假设'!I715,1)-AM3300</x:f>
        <x:v>0.04800431999999999</x:v>
      </x:c>
      <x:c r="M3300" s="11" t="n">
        <x:f>'管线假设'!H715</x:f>
        <x:v>0.135</x:v>
      </x:c>
      <x:c r="N3300" s="11" t="n">
        <x:f>IF(G3300,L3300*AN3300/(1+M3300)^F3300,0)</x:f>
        <x:v>0.008992375142797604</x:v>
      </x:c>
      <x:c r="AJ3300" t="n">
        <x:v>0</x:v>
      </x:c>
      <x:c r="AK3300" t="n">
        <x:v>0</x:v>
      </x:c>
      <x:c r="AL3300" t="n">
        <x:v>0</x:v>
      </x:c>
      <x:c r="AM3300" t="n">
        <x:f>CHOOSE('假设'!$B$3,AJ3300,AK3300,AL3300)</x:f>
        <x:v>0</x:v>
      </x:c>
      <x:c r="AN3300" t="n">
        <x:v>1</x:v>
      </x:c>
    </x:row>
    <x:row r="3301" ht="23" customHeight="1">
      <x:c r="A3301" s="11" t="str">
        <x:v>688382.SH</x:v>
      </x:c>
      <x:c r="B3301" s="11" t="str">
        <x:v>三年</x:v>
      </x:c>
      <x:c r="C3301" s="11" t="str">
        <x:v>tyk_sle_cn</x:v>
      </x:c>
      <x:c r="D3301" s="11" t="str">
        <x:v>2043-12-31</x:v>
      </x:c>
      <x:c r="E3301" s="11" t="str">
        <x:v>CNY</x:v>
      </x:c>
      <x:c r="F3301" s="11" t="n">
        <x:v>14.225872689938399</x:v>
      </x:c>
      <x:c r="G3301" s="26" t="b">
        <x:v>1</x:v>
      </x:c>
      <x:c r="H3301" s="16" t="n">
        <x:v>0.24</x:v>
      </x:c>
      <x:c r="I3301" s="16" t="n">
        <x:v>0.286</x:v>
      </x:c>
      <x:c r="J3301" s="16" t="n">
        <x:v>0</x:v>
      </x:c>
      <x:c r="K3301" s="11" t="n">
        <x:f>CHOOSE('假设'!$B$3,H3301,I3301,J3301)</x:f>
        <x:v>0.286</x:v>
      </x:c>
      <x:c r="L3301" s="11" t="n">
        <x:f>K3301*'管线假设'!E715*'管线假设'!F715*'管线假设'!G715*IF(E3301="USD",'管线假设'!I715,1)-AM3301</x:f>
        <x:v>0.030174143999999993</x:v>
      </x:c>
      <x:c r="M3301" s="11" t="n">
        <x:f>'管线假设'!H715</x:f>
        <x:v>0.135</x:v>
      </x:c>
      <x:c r="N3301" s="11" t="n">
        <x:f>IF(G3301,L3301*AN3301/(1+M3301)^F3301,0)</x:f>
        <x:v>0.004980475797600348</x:v>
      </x:c>
      <x:c r="AJ3301" t="n">
        <x:v>0</x:v>
      </x:c>
      <x:c r="AK3301" t="n">
        <x:v>0</x:v>
      </x:c>
      <x:c r="AL3301" t="n">
        <x:v>0</x:v>
      </x:c>
      <x:c r="AM3301" t="n">
        <x:f>CHOOSE('假设'!$B$3,AJ3301,AK3301,AL3301)</x:f>
        <x:v>0</x:v>
      </x:c>
      <x:c r="AN3301" t="n">
        <x:v>1</x:v>
      </x:c>
    </x:row>
    <x:row r="3302" ht="23" customHeight="1">
      <x:c r="A3302" s="11" t="str">
        <x:v>688382.SH</x:v>
      </x:c>
      <x:c r="B3302" s="11" t="str">
        <x:v>三年</x:v>
      </x:c>
      <x:c r="C3302" s="11" t="str">
        <x:v>tyk_sle_cn</x:v>
      </x:c>
      <x:c r="D3302" s="11" t="str">
        <x:v>2044-12-31</x:v>
      </x:c>
      <x:c r="E3302" s="11" t="str">
        <x:v>CNY</x:v>
      </x:c>
      <x:c r="F3302" s="11" t="n">
        <x:v>15.227926078028748</x:v>
      </x:c>
      <x:c r="G3302" s="26" t="b">
        <x:v>1</x:v>
      </x:c>
      <x:c r="H3302" s="16" t="n">
        <x:v>0.175</x:v>
      </x:c>
      <x:c r="I3302" s="16" t="n">
        <x:v>0.11699999999999997</x:v>
      </x:c>
      <x:c r="J3302" s="16" t="n">
        <x:v>0</x:v>
      </x:c>
      <x:c r="K3302" s="11" t="n">
        <x:f>CHOOSE('假设'!$B$3,H3302,I3302,J3302)</x:f>
        <x:v>0.11699999999999997</x:v>
      </x:c>
      <x:c r="L3302" s="11" t="n">
        <x:f>K3302*'管线假设'!E715*'管线假设'!F715*'管线假设'!G715*IF(E3302="USD",'管线假设'!I715,1)-AM3302</x:f>
        <x:v>0.012343967999999993</x:v>
      </x:c>
      <x:c r="M3302" s="11" t="n">
        <x:f>'管线假设'!H715</x:f>
        <x:v>0.135</x:v>
      </x:c>
      <x:c r="N3302" s="11" t="n">
        <x:f>IF(G3302,L3302*AN3302/(1+M3302)^F3302,0)</x:f>
        <x:v>0.0017946587190971624</x:v>
      </x:c>
      <x:c r="AJ3302" t="n">
        <x:v>0</x:v>
      </x:c>
      <x:c r="AK3302" t="n">
        <x:v>0</x:v>
      </x:c>
      <x:c r="AL3302" t="n">
        <x:v>0</x:v>
      </x:c>
      <x:c r="AM3302" t="n">
        <x:f>CHOOSE('假设'!$B$3,AJ3302,AK3302,AL3302)</x:f>
        <x:v>0</x:v>
      </x:c>
      <x:c r="AN3302" t="n">
        <x:v>1</x:v>
      </x:c>
    </x:row>
    <x:row r="3303" ht="23" customHeight="1">
      <x:c r="A3303" s="11" t="str">
        <x:v>688382.SH</x:v>
      </x:c>
      <x:c r="B3303" s="11" t="str">
        <x:v>三年</x:v>
      </x:c>
      <x:c r="C3303" s="11" t="str">
        <x:v>tyk_sle_cn</x:v>
      </x:c>
      <x:c r="D3303" s="11" t="str">
        <x:v>2045-12-31</x:v>
      </x:c>
      <x:c r="E3303" s="11" t="str">
        <x:v>CNY</x:v>
      </x:c>
      <x:c r="F3303" s="11" t="n">
        <x:v>16.227241615331966</x:v>
      </x:c>
      <x:c r="G3303" s="26" t="b">
        <x:v>1</x:v>
      </x:c>
      <x:c r="H3303" s="16" t="n">
        <x:v>0.10999999999999999</x:v>
      </x:c>
      <x:c r="I3303" s="16" t="n">
        <x:v>0</x:v>
      </x:c>
      <x:c r="J3303" s="16" t="n">
        <x:v>0</x:v>
      </x:c>
      <x:c r="K3303" s="11" t="n">
        <x:f>CHOOSE('假设'!$B$3,H3303,I3303,J3303)</x:f>
        <x:v>0</x:v>
      </x:c>
      <x:c r="L3303" s="11" t="n">
        <x:f>K3303*'管线假设'!E715*'管线假设'!F715*'管线假设'!G715*IF(E3303="USD",'管线假设'!I715,1)-AM3303</x:f>
        <x:v>0</x:v>
      </x:c>
      <x:c r="M3303" s="11" t="n">
        <x:f>'管线假设'!H715</x:f>
        <x:v>0.135</x:v>
      </x:c>
      <x:c r="N3303" s="11" t="n">
        <x:f>IF(G3303,L3303*AN3303/(1+M3303)^F3303,0)</x:f>
        <x:v>0</x:v>
      </x:c>
      <x:c r="AJ3303" t="n">
        <x:v>0</x:v>
      </x:c>
      <x:c r="AK3303" t="n">
        <x:v>0</x:v>
      </x:c>
      <x:c r="AL3303" t="n">
        <x:v>0</x:v>
      </x:c>
      <x:c r="AM3303" t="n">
        <x:f>CHOOSE('假设'!$B$3,AJ3303,AK3303,AL3303)</x:f>
        <x:v>0</x:v>
      </x:c>
      <x:c r="AN3303" t="n">
        <x:v>1</x:v>
      </x:c>
    </x:row>
    <x:row r="3304" ht="23" customHeight="1">
      <x:c r="A3304" s="11" t="str">
        <x:v>688382.SH</x:v>
      </x:c>
      <x:c r="B3304" s="11" t="str">
        <x:v>三年</x:v>
      </x:c>
      <x:c r="C3304" s="11" t="str">
        <x:v>tyk_psa_cn</x:v>
      </x:c>
      <x:c r="D3304" s="11" t="str">
        <x:v>2027-12-31</x:v>
      </x:c>
      <x:c r="E3304" s="11" t="str">
        <x:v>CNY</x:v>
      </x:c>
      <x:c r="F3304" s="11" t="n">
        <x:v>-1.7741273100616017</x:v>
      </x:c>
      <x:c r="G3304" s="26" t="b">
        <x:v>0</x:v>
      </x:c>
      <x:c r="H3304" s="16" t="n">
        <x:v>0</x:v>
      </x:c>
      <x:c r="I3304" s="16" t="n">
        <x:v>0</x:v>
      </x:c>
      <x:c r="J3304" s="16" t="n">
        <x:v>0</x:v>
      </x:c>
      <x:c r="K3304" s="11" t="n">
        <x:f>CHOOSE('假设'!$B$3,H3304,I3304,J3304)</x:f>
        <x:v>0</x:v>
      </x:c>
      <x:c r="L3304" s="11" t="n">
        <x:f>K3304*'管线假设'!E719*'管线假设'!F719*'管线假设'!G719*IF(E3304="USD",'管线假设'!I719,1)-AM3304</x:f>
        <x:v>0</x:v>
      </x:c>
      <x:c r="M3304" s="11" t="n">
        <x:f>'管线假设'!H719</x:f>
        <x:v>0.135</x:v>
      </x:c>
      <x:c r="N3304" s="11" t="n">
        <x:f>IF(G3304,L3304*AN3304/(1+M3304)^F3304,0)</x:f>
        <x:v>0</x:v>
      </x:c>
      <x:c r="AJ3304" t="n">
        <x:v>0</x:v>
      </x:c>
      <x:c r="AK3304" t="n">
        <x:v>0</x:v>
      </x:c>
      <x:c r="AL3304" t="n">
        <x:v>0</x:v>
      </x:c>
      <x:c r="AM3304" t="n">
        <x:f>CHOOSE('假设'!$B$3,AJ3304,AK3304,AL3304)</x:f>
        <x:v>0</x:v>
      </x:c>
      <x:c r="AN3304" t="n">
        <x:v>1</x:v>
      </x:c>
    </x:row>
    <x:row r="3305" ht="23" customHeight="1">
      <x:c r="A3305" s="11" t="str">
        <x:v>688382.SH</x:v>
      </x:c>
      <x:c r="B3305" s="11" t="str">
        <x:v>三年</x:v>
      </x:c>
      <x:c r="C3305" s="11" t="str">
        <x:v>tyk_psa_cn</x:v>
      </x:c>
      <x:c r="D3305" s="11" t="str">
        <x:v>2028-12-31</x:v>
      </x:c>
      <x:c r="E3305" s="11" t="str">
        <x:v>CNY</x:v>
      </x:c>
      <x:c r="F3305" s="11" t="n">
        <x:v>-0.7720739219712526</x:v>
      </x:c>
      <x:c r="G3305" s="26" t="b">
        <x:v>0</x:v>
      </x:c>
      <x:c r="H3305" s="16" t="n">
        <x:v>0</x:v>
      </x:c>
      <x:c r="I3305" s="16" t="n">
        <x:v>0</x:v>
      </x:c>
      <x:c r="J3305" s="16" t="n">
        <x:v>0</x:v>
      </x:c>
      <x:c r="K3305" s="11" t="n">
        <x:f>CHOOSE('假设'!$B$3,H3305,I3305,J3305)</x:f>
        <x:v>0</x:v>
      </x:c>
      <x:c r="L3305" s="11" t="n">
        <x:f>K3305*'管线假设'!E719*'管线假设'!F719*'管线假设'!G719*IF(E3305="USD",'管线假设'!I719,1)-AM3305</x:f>
        <x:v>0</x:v>
      </x:c>
      <x:c r="M3305" s="11" t="n">
        <x:f>'管线假设'!H719</x:f>
        <x:v>0.135</x:v>
      </x:c>
      <x:c r="N3305" s="11" t="n">
        <x:f>IF(G3305,L3305*AN3305/(1+M3305)^F3305,0)</x:f>
        <x:v>0</x:v>
      </x:c>
      <x:c r="AJ3305" t="n">
        <x:v>0</x:v>
      </x:c>
      <x:c r="AK3305" t="n">
        <x:v>0</x:v>
      </x:c>
      <x:c r="AL3305" t="n">
        <x:v>0</x:v>
      </x:c>
      <x:c r="AM3305" t="n">
        <x:f>CHOOSE('假设'!$B$3,AJ3305,AK3305,AL3305)</x:f>
        <x:v>0</x:v>
      </x:c>
      <x:c r="AN3305" t="n">
        <x:v>1</x:v>
      </x:c>
    </x:row>
    <x:row r="3306" ht="23" customHeight="1">
      <x:c r="A3306" s="11" t="str">
        <x:v>688382.SH</x:v>
      </x:c>
      <x:c r="B3306" s="11" t="str">
        <x:v>三年</x:v>
      </x:c>
      <x:c r="C3306" s="11" t="str">
        <x:v>tyk_psa_cn</x:v>
      </x:c>
      <x:c r="D3306" s="11" t="str">
        <x:v>2029-12-31</x:v>
      </x:c>
      <x:c r="E3306" s="11" t="str">
        <x:v>CNY</x:v>
      </x:c>
      <x:c r="F3306" s="11" t="n">
        <x:v>0.2272416153319644</x:v>
      </x:c>
      <x:c r="G3306" s="26" t="b">
        <x:v>1</x:v>
      </x:c>
      <x:c r="H3306" s="16" t="n">
        <x:v>0</x:v>
      </x:c>
      <x:c r="I3306" s="16" t="n">
        <x:v>0</x:v>
      </x:c>
      <x:c r="J3306" s="16" t="n">
        <x:v>0.2333333333333333</x:v>
      </x:c>
      <x:c r="K3306" s="11" t="n">
        <x:f>CHOOSE('假设'!$B$3,H3306,I3306,J3306)</x:f>
        <x:v>0</x:v>
      </x:c>
      <x:c r="L3306" s="11" t="n">
        <x:f>K3306*'管线假设'!E719*'管线假设'!F719*'管线假设'!G719*IF(E3306="USD",'管线假设'!I719,1)-AM3306</x:f>
        <x:v>0</x:v>
      </x:c>
      <x:c r="M3306" s="11" t="n">
        <x:f>'管线假设'!H719</x:f>
        <x:v>0.135</x:v>
      </x:c>
      <x:c r="N3306" s="11" t="n">
        <x:f>IF(G3306,L3306*AN3306/(1+M3306)^F3306,0)</x:f>
        <x:v>0</x:v>
      </x:c>
      <x:c r="AJ3306" t="n">
        <x:v>0</x:v>
      </x:c>
      <x:c r="AK3306" t="n">
        <x:v>0</x:v>
      </x:c>
      <x:c r="AL3306" t="n">
        <x:v>0</x:v>
      </x:c>
      <x:c r="AM3306" t="n">
        <x:f>CHOOSE('假设'!$B$3,AJ3306,AK3306,AL3306)</x:f>
        <x:v>0</x:v>
      </x:c>
      <x:c r="AN3306" t="n">
        <x:v>1</x:v>
      </x:c>
    </x:row>
    <x:row r="3307" ht="23" customHeight="1">
      <x:c r="A3307" s="11" t="str">
        <x:v>688382.SH</x:v>
      </x:c>
      <x:c r="B3307" s="11" t="str">
        <x:v>三年</x:v>
      </x:c>
      <x:c r="C3307" s="11" t="str">
        <x:v>tyk_psa_cn</x:v>
      </x:c>
      <x:c r="D3307" s="11" t="str">
        <x:v>2030-12-31</x:v>
      </x:c>
      <x:c r="E3307" s="11" t="str">
        <x:v>CNY</x:v>
      </x:c>
      <x:c r="F3307" s="11" t="n">
        <x:v>1.2265571526351813</x:v>
      </x:c>
      <x:c r="G3307" s="26" t="b">
        <x:v>1</x:v>
      </x:c>
      <x:c r="H3307" s="16" t="n">
        <x:v>0</x:v>
      </x:c>
      <x:c r="I3307" s="16" t="n">
        <x:v>0</x:v>
      </x:c>
      <x:c r="J3307" s="16" t="n">
        <x:v>0.4666666666666666</x:v>
      </x:c>
      <x:c r="K3307" s="11" t="n">
        <x:f>CHOOSE('假设'!$B$3,H3307,I3307,J3307)</x:f>
        <x:v>0</x:v>
      </x:c>
      <x:c r="L3307" s="11" t="n">
        <x:f>K3307*'管线假设'!E719*'管线假设'!F719*'管线假设'!G719*IF(E3307="USD",'管线假设'!I719,1)-AM3307</x:f>
        <x:v>0</x:v>
      </x:c>
      <x:c r="M3307" s="11" t="n">
        <x:f>'管线假设'!H719</x:f>
        <x:v>0.135</x:v>
      </x:c>
      <x:c r="N3307" s="11" t="n">
        <x:f>IF(G3307,L3307*AN3307/(1+M3307)^F3307,0)</x:f>
        <x:v>0</x:v>
      </x:c>
      <x:c r="AJ3307" t="n">
        <x:v>0</x:v>
      </x:c>
      <x:c r="AK3307" t="n">
        <x:v>0</x:v>
      </x:c>
      <x:c r="AL3307" t="n">
        <x:v>0</x:v>
      </x:c>
      <x:c r="AM3307" t="n">
        <x:f>CHOOSE('假设'!$B$3,AJ3307,AK3307,AL3307)</x:f>
        <x:v>0</x:v>
      </x:c>
      <x:c r="AN3307" t="n">
        <x:v>1</x:v>
      </x:c>
    </x:row>
    <x:row r="3308" ht="23" customHeight="1">
      <x:c r="A3308" s="11" t="str">
        <x:v>688382.SH</x:v>
      </x:c>
      <x:c r="B3308" s="11" t="str">
        <x:v>三年</x:v>
      </x:c>
      <x:c r="C3308" s="11" t="str">
        <x:v>tyk_psa_cn</x:v>
      </x:c>
      <x:c r="D3308" s="11" t="str">
        <x:v>2031-12-31</x:v>
      </x:c>
      <x:c r="E3308" s="11" t="str">
        <x:v>CNY</x:v>
      </x:c>
      <x:c r="F3308" s="11" t="n">
        <x:v>2.2258726899383983</x:v>
      </x:c>
      <x:c r="G3308" s="26" t="b">
        <x:v>1</x:v>
      </x:c>
      <x:c r="H3308" s="16" t="n">
        <x:v>0</x:v>
      </x:c>
      <x:c r="I3308" s="16" t="n">
        <x:v>0.13333333333333333</x:v>
      </x:c>
      <x:c r="J3308" s="16" t="n">
        <x:v>0.7</x:v>
      </x:c>
      <x:c r="K3308" s="11" t="n">
        <x:f>CHOOSE('假设'!$B$3,H3308,I3308,J3308)</x:f>
        <x:v>0.13333333333333333</x:v>
      </x:c>
      <x:c r="L3308" s="11" t="n">
        <x:f>K3308*'管线假设'!E719*'管线假设'!F719*'管线假设'!G719*IF(E3308="USD",'管线假设'!I719,1)-AM3308</x:f>
        <x:v>0.017472000000000005</x:v>
      </x:c>
      <x:c r="M3308" s="11" t="n">
        <x:f>'管线假设'!H719</x:f>
        <x:v>0.135</x:v>
      </x:c>
      <x:c r="N3308" s="11" t="n">
        <x:f>IF(G3308,L3308*AN3308/(1+M3308)^F3308,0)</x:f>
        <x:v>0.01318040741487226</x:v>
      </x:c>
      <x:c r="AJ3308" t="n">
        <x:v>0</x:v>
      </x:c>
      <x:c r="AK3308" t="n">
        <x:v>0</x:v>
      </x:c>
      <x:c r="AL3308" t="n">
        <x:v>0</x:v>
      </x:c>
      <x:c r="AM3308" t="n">
        <x:f>CHOOSE('假设'!$B$3,AJ3308,AK3308,AL3308)</x:f>
        <x:v>0</x:v>
      </x:c>
      <x:c r="AN3308" t="n">
        <x:v>1</x:v>
      </x:c>
    </x:row>
    <x:row r="3309" ht="23" customHeight="1">
      <x:c r="A3309" s="11" t="str">
        <x:v>688382.SH</x:v>
      </x:c>
      <x:c r="B3309" s="11" t="str">
        <x:v>三年</x:v>
      </x:c>
      <x:c r="C3309" s="11" t="str">
        <x:v>tyk_psa_cn</x:v>
      </x:c>
      <x:c r="D3309" s="11" t="str">
        <x:v>2032-12-31</x:v>
      </x:c>
      <x:c r="E3309" s="11" t="str">
        <x:v>CNY</x:v>
      </x:c>
      <x:c r="F3309" s="11" t="n">
        <x:v>3.2279260780287475</x:v>
      </x:c>
      <x:c r="G3309" s="26" t="b">
        <x:v>1</x:v>
      </x:c>
      <x:c r="H3309" s="16" t="n">
        <x:v>0</x:v>
      </x:c>
      <x:c r="I3309" s="16" t="n">
        <x:v>0.26666666666666666</x:v>
      </x:c>
      <x:c r="J3309" s="16" t="n">
        <x:v>0.9333333333333332</x:v>
      </x:c>
      <x:c r="K3309" s="11" t="n">
        <x:f>CHOOSE('假设'!$B$3,H3309,I3309,J3309)</x:f>
        <x:v>0.26666666666666666</x:v>
      </x:c>
      <x:c r="L3309" s="11" t="n">
        <x:f>K3309*'管线假设'!E719*'管线假设'!F719*'管线假设'!G719*IF(E3309="USD",'管线假设'!I719,1)-AM3309</x:f>
        <x:v>0.03494400000000001</x:v>
      </x:c>
      <x:c r="M3309" s="11" t="n">
        <x:f>'管线假设'!H719</x:f>
        <x:v>0.135</x:v>
      </x:c>
      <x:c r="N3309" s="11" t="n">
        <x:f>IF(G3309,L3309*AN3309/(1+M3309)^F3309,0)</x:f>
        <x:v>0.02321934909621408</x:v>
      </x:c>
      <x:c r="AJ3309" t="n">
        <x:v>0</x:v>
      </x:c>
      <x:c r="AK3309" t="n">
        <x:v>0</x:v>
      </x:c>
      <x:c r="AL3309" t="n">
        <x:v>0</x:v>
      </x:c>
      <x:c r="AM3309" t="n">
        <x:f>CHOOSE('假设'!$B$3,AJ3309,AK3309,AL3309)</x:f>
        <x:v>0</x:v>
      </x:c>
      <x:c r="AN3309" t="n">
        <x:v>1</x:v>
      </x:c>
    </x:row>
    <x:row r="3310" ht="23" customHeight="1">
      <x:c r="A3310" s="11" t="str">
        <x:v>688382.SH</x:v>
      </x:c>
      <x:c r="B3310" s="11" t="str">
        <x:v>三年</x:v>
      </x:c>
      <x:c r="C3310" s="11" t="str">
        <x:v>tyk_psa_cn</x:v>
      </x:c>
      <x:c r="D3310" s="11" t="str">
        <x:v>2033-12-31</x:v>
      </x:c>
      <x:c r="E3310" s="11" t="str">
        <x:v>CNY</x:v>
      </x:c>
      <x:c r="F3310" s="11" t="n">
        <x:v>4.227241615331964</x:v>
      </x:c>
      <x:c r="G3310" s="26" t="b">
        <x:v>1</x:v>
      </x:c>
      <x:c r="H3310" s="16" t="n">
        <x:v>0</x:v>
      </x:c>
      <x:c r="I3310" s="16" t="n">
        <x:v>0.4</x:v>
      </x:c>
      <x:c r="J3310" s="16" t="n">
        <x:v>1.1666666666666667</x:v>
      </x:c>
      <x:c r="K3310" s="11" t="n">
        <x:f>CHOOSE('假设'!$B$3,H3310,I3310,J3310)</x:f>
        <x:v>0.4</x:v>
      </x:c>
      <x:c r="L3310" s="11" t="n">
        <x:f>K3310*'管线假设'!E719*'管线假设'!F719*'管线假设'!G719*IF(E3310="USD",'管线假设'!I719,1)-AM3310</x:f>
        <x:v>0.05241600000000001</x:v>
      </x:c>
      <x:c r="M3310" s="11" t="n">
        <x:f>'管线假设'!H719</x:f>
        <x:v>0.135</x:v>
      </x:c>
      <x:c r="N3310" s="11" t="n">
        <x:f>IF(G3310,L3310*AN3310/(1+M3310)^F3310,0)</x:f>
        <x:v>0.030689024310241054</x:v>
      </x:c>
      <x:c r="AJ3310" t="n">
        <x:v>0</x:v>
      </x:c>
      <x:c r="AK3310" t="n">
        <x:v>0</x:v>
      </x:c>
      <x:c r="AL3310" t="n">
        <x:v>0</x:v>
      </x:c>
      <x:c r="AM3310" t="n">
        <x:f>CHOOSE('假设'!$B$3,AJ3310,AK3310,AL3310)</x:f>
        <x:v>0</x:v>
      </x:c>
      <x:c r="AN3310" t="n">
        <x:v>1</x:v>
      </x:c>
    </x:row>
    <x:row r="3311" ht="23" customHeight="1">
      <x:c r="A3311" s="11" t="str">
        <x:v>688382.SH</x:v>
      </x:c>
      <x:c r="B3311" s="11" t="str">
        <x:v>三年</x:v>
      </x:c>
      <x:c r="C3311" s="11" t="str">
        <x:v>tyk_psa_cn</x:v>
      </x:c>
      <x:c r="D3311" s="11" t="str">
        <x:v>2034-12-31</x:v>
      </x:c>
      <x:c r="E3311" s="11" t="str">
        <x:v>CNY</x:v>
      </x:c>
      <x:c r="F3311" s="11" t="n">
        <x:v>5.2265571526351815</x:v>
      </x:c>
      <x:c r="G3311" s="26" t="b">
        <x:v>1</x:v>
      </x:c>
      <x:c r="H3311" s="16" t="n">
        <x:v>0.06</x:v>
      </x:c>
      <x:c r="I3311" s="16" t="n">
        <x:v>0.5333333333333333</x:v>
      </x:c>
      <x:c r="J3311" s="16" t="n">
        <x:v>1.4</x:v>
      </x:c>
      <x:c r="K3311" s="11" t="n">
        <x:f>CHOOSE('假设'!$B$3,H3311,I3311,J3311)</x:f>
        <x:v>0.5333333333333333</x:v>
      </x:c>
      <x:c r="L3311" s="11" t="n">
        <x:f>K3311*'管线假设'!E719*'管线假设'!F719*'管线假设'!G719*IF(E3311="USD",'管线假设'!I719,1)-AM3311</x:f>
        <x:v>0.06988800000000002</x:v>
      </x:c>
      <x:c r="M3311" s="11" t="n">
        <x:f>'管线假设'!H719</x:f>
        <x:v>0.135</x:v>
      </x:c>
      <x:c r="N3311" s="11" t="n">
        <x:f>IF(G3311,L3311*AN3311/(1+M3311)^F3311,0)</x:f>
        <x:v>0.036054842181146615</x:v>
      </x:c>
      <x:c r="AJ3311" t="n">
        <x:v>0</x:v>
      </x:c>
      <x:c r="AK3311" t="n">
        <x:v>0</x:v>
      </x:c>
      <x:c r="AL3311" t="n">
        <x:v>0</x:v>
      </x:c>
      <x:c r="AM3311" t="n">
        <x:f>CHOOSE('假设'!$B$3,AJ3311,AK3311,AL3311)</x:f>
        <x:v>0</x:v>
      </x:c>
      <x:c r="AN3311" t="n">
        <x:v>1</x:v>
      </x:c>
    </x:row>
    <x:row r="3312" ht="23" customHeight="1">
      <x:c r="A3312" s="11" t="str">
        <x:v>688382.SH</x:v>
      </x:c>
      <x:c r="B3312" s="11" t="str">
        <x:v>三年</x:v>
      </x:c>
      <x:c r="C3312" s="11" t="str">
        <x:v>tyk_psa_cn</x:v>
      </x:c>
      <x:c r="D3312" s="11" t="str">
        <x:v>2035-12-31</x:v>
      </x:c>
      <x:c r="E3312" s="11" t="str">
        <x:v>CNY</x:v>
      </x:c>
      <x:c r="F3312" s="11" t="n">
        <x:v>6.225872689938399</x:v>
      </x:c>
      <x:c r="G3312" s="26" t="b">
        <x:v>1</x:v>
      </x:c>
      <x:c r="H3312" s="16" t="n">
        <x:v>0.12</x:v>
      </x:c>
      <x:c r="I3312" s="16" t="n">
        <x:v>0.6666666666666667</x:v>
      </x:c>
      <x:c r="J3312" s="16" t="n">
        <x:v>1.218</x:v>
      </x:c>
      <x:c r="K3312" s="11" t="n">
        <x:f>CHOOSE('假设'!$B$3,H3312,I3312,J3312)</x:f>
        <x:v>0.6666666666666667</x:v>
      </x:c>
      <x:c r="L3312" s="11" t="n">
        <x:f>K3312*'管线假设'!E719*'管线假设'!F719*'管线假设'!G719*IF(E3312="USD",'管线假设'!I719,1)-AM3312</x:f>
        <x:v>0.08736000000000003</x:v>
      </x:c>
      <x:c r="M3312" s="11" t="n">
        <x:f>'管线假设'!H719</x:f>
        <x:v>0.135</x:v>
      </x:c>
      <x:c r="N3312" s="11" t="n">
        <x:f>IF(G3312,L3312*AN3312/(1+M3312)^F3312,0)</x:f>
        <x:v>0.039711417821337865</x:v>
      </x:c>
      <x:c r="AJ3312" t="n">
        <x:v>0</x:v>
      </x:c>
      <x:c r="AK3312" t="n">
        <x:v>0</x:v>
      </x:c>
      <x:c r="AL3312" t="n">
        <x:v>0</x:v>
      </x:c>
      <x:c r="AM3312" t="n">
        <x:f>CHOOSE('假设'!$B$3,AJ3312,AK3312,AL3312)</x:f>
        <x:v>0</x:v>
      </x:c>
      <x:c r="AN3312" t="n">
        <x:v>1</x:v>
      </x:c>
    </x:row>
    <x:row r="3313" ht="23" customHeight="1">
      <x:c r="A3313" s="11" t="str">
        <x:v>688382.SH</x:v>
      </x:c>
      <x:c r="B3313" s="11" t="str">
        <x:v>三年</x:v>
      </x:c>
      <x:c r="C3313" s="11" t="str">
        <x:v>tyk_psa_cn</x:v>
      </x:c>
      <x:c r="D3313" s="11" t="str">
        <x:v>2036-12-31</x:v>
      </x:c>
      <x:c r="E3313" s="11" t="str">
        <x:v>CNY</x:v>
      </x:c>
      <x:c r="F3313" s="11" t="n">
        <x:v>7.227926078028747</x:v>
      </x:c>
      <x:c r="G3313" s="26" t="b">
        <x:v>1</x:v>
      </x:c>
      <x:c r="H3313" s="16" t="n">
        <x:v>0.18</x:v>
      </x:c>
      <x:c r="I3313" s="16" t="n">
        <x:v>0.8</x:v>
      </x:c>
      <x:c r="J3313" s="16" t="n">
        <x:v>1.036</x:v>
      </x:c>
      <x:c r="K3313" s="11" t="n">
        <x:f>CHOOSE('假设'!$B$3,H3313,I3313,J3313)</x:f>
        <x:v>0.8</x:v>
      </x:c>
      <x:c r="L3313" s="11" t="n">
        <x:f>K3313*'管线假设'!E719*'管线假设'!F719*'管线假设'!G719*IF(E3313="USD",'管线假设'!I719,1)-AM3313</x:f>
        <x:v>0.10483200000000002</x:v>
      </x:c>
      <x:c r="M3313" s="11" t="n">
        <x:f>'管线假设'!H719</x:f>
        <x:v>0.135</x:v>
      </x:c>
      <x:c r="N3313" s="11" t="n">
        <x:f>IF(G3313,L3313*AN3313/(1+M3313)^F3313,0)</x:f>
        <x:v>0.04197472404952351</x:v>
      </x:c>
      <x:c r="AJ3313" t="n">
        <x:v>0</x:v>
      </x:c>
      <x:c r="AK3313" t="n">
        <x:v>0</x:v>
      </x:c>
      <x:c r="AL3313" t="n">
        <x:v>0</x:v>
      </x:c>
      <x:c r="AM3313" t="n">
        <x:f>CHOOSE('假设'!$B$3,AJ3313,AK3313,AL3313)</x:f>
        <x:v>0</x:v>
      </x:c>
      <x:c r="AN3313" t="n">
        <x:v>1</x:v>
      </x:c>
    </x:row>
    <x:row r="3314" ht="23" customHeight="1">
      <x:c r="A3314" s="11" t="str">
        <x:v>688382.SH</x:v>
      </x:c>
      <x:c r="B3314" s="11" t="str">
        <x:v>三年</x:v>
      </x:c>
      <x:c r="C3314" s="11" t="str">
        <x:v>tyk_psa_cn</x:v>
      </x:c>
      <x:c r="D3314" s="11" t="str">
        <x:v>2037-12-31</x:v>
      </x:c>
      <x:c r="E3314" s="11" t="str">
        <x:v>CNY</x:v>
      </x:c>
      <x:c r="F3314" s="11" t="n">
        <x:v>8.227241615331964</x:v>
      </x:c>
      <x:c r="G3314" s="26" t="b">
        <x:v>1</x:v>
      </x:c>
      <x:c r="H3314" s="16" t="n">
        <x:v>0.24</x:v>
      </x:c>
      <x:c r="I3314" s="16" t="n">
        <x:v>0.6960000000000001</x:v>
      </x:c>
      <x:c r="J3314" s="16" t="n">
        <x:v>0.854</x:v>
      </x:c>
      <x:c r="K3314" s="11" t="n">
        <x:f>CHOOSE('假设'!$B$3,H3314,I3314,J3314)</x:f>
        <x:v>0.6960000000000001</x:v>
      </x:c>
      <x:c r="L3314" s="11" t="n">
        <x:f>K3314*'管线假设'!E719*'管线假设'!F719*'管线假设'!G719*IF(E3314="USD",'管线假设'!I719,1)-AM3314</x:f>
        <x:v>0.09120384000000004</x:v>
      </x:c>
      <x:c r="M3314" s="11" t="n">
        <x:f>'管线假设'!H719</x:f>
        <x:v>0.135</x:v>
      </x:c>
      <x:c r="N3314" s="11" t="n">
        <x:f>IF(G3314,L3314*AN3314/(1+M3314)^F3314,0)</x:f>
        <x:v>0.03217724693450959</x:v>
      </x:c>
      <x:c r="AJ3314" t="n">
        <x:v>0</x:v>
      </x:c>
      <x:c r="AK3314" t="n">
        <x:v>0</x:v>
      </x:c>
      <x:c r="AL3314" t="n">
        <x:v>0</x:v>
      </x:c>
      <x:c r="AM3314" t="n">
        <x:f>CHOOSE('假设'!$B$3,AJ3314,AK3314,AL3314)</x:f>
        <x:v>0</x:v>
      </x:c>
      <x:c r="AN3314" t="n">
        <x:v>1</x:v>
      </x:c>
    </x:row>
    <x:row r="3315" ht="23" customHeight="1">
      <x:c r="A3315" s="11" t="str">
        <x:v>688382.SH</x:v>
      </x:c>
      <x:c r="B3315" s="11" t="str">
        <x:v>三年</x:v>
      </x:c>
      <x:c r="C3315" s="11" t="str">
        <x:v>tyk_psa_cn</x:v>
      </x:c>
      <x:c r="D3315" s="11" t="str">
        <x:v>2038-12-31</x:v>
      </x:c>
      <x:c r="E3315" s="11" t="str">
        <x:v>CNY</x:v>
      </x:c>
      <x:c r="F3315" s="11" t="n">
        <x:v>9.22655715263518</x:v>
      </x:c>
      <x:c r="G3315" s="26" t="b">
        <x:v>1</x:v>
      </x:c>
      <x:c r="H3315" s="16" t="n">
        <x:v>0.3</x:v>
      </x:c>
      <x:c r="I3315" s="16" t="n">
        <x:v>0.592</x:v>
      </x:c>
      <x:c r="J3315" s="16" t="n">
        <x:v>0.6719999999999999</x:v>
      </x:c>
      <x:c r="K3315" s="11" t="n">
        <x:f>CHOOSE('假设'!$B$3,H3315,I3315,J3315)</x:f>
        <x:v>0.592</x:v>
      </x:c>
      <x:c r="L3315" s="11" t="n">
        <x:f>K3315*'管线假设'!E719*'管线假设'!F719*'管线假设'!G719*IF(E3315="USD",'管线假设'!I719,1)-AM3315</x:f>
        <x:v>0.07757568000000001</x:v>
      </x:c>
      <x:c r="M3315" s="11" t="n">
        <x:f>'管线假设'!H719</x:f>
        <x:v>0.135</x:v>
      </x:c>
      <x:c r="N3315" s="11" t="n">
        <x:f>IF(G3315,L3315*AN3315/(1+M3315)^F3315,0)</x:f>
        <x:v>0.024115880967409117</x:v>
      </x:c>
      <x:c r="AJ3315" t="n">
        <x:v>0</x:v>
      </x:c>
      <x:c r="AK3315" t="n">
        <x:v>0</x:v>
      </x:c>
      <x:c r="AL3315" t="n">
        <x:v>0</x:v>
      </x:c>
      <x:c r="AM3315" t="n">
        <x:f>CHOOSE('假设'!$B$3,AJ3315,AK3315,AL3315)</x:f>
        <x:v>0</x:v>
      </x:c>
      <x:c r="AN3315" t="n">
        <x:v>1</x:v>
      </x:c>
    </x:row>
    <x:row r="3316" ht="23" customHeight="1">
      <x:c r="A3316" s="11" t="str">
        <x:v>688382.SH</x:v>
      </x:c>
      <x:c r="B3316" s="11" t="str">
        <x:v>三年</x:v>
      </x:c>
      <x:c r="C3316" s="11" t="str">
        <x:v>tyk_psa_cn</x:v>
      </x:c>
      <x:c r="D3316" s="11" t="str">
        <x:v>2039-12-31</x:v>
      </x:c>
      <x:c r="E3316" s="11" t="str">
        <x:v>CNY</x:v>
      </x:c>
      <x:c r="F3316" s="11" t="n">
        <x:v>10.225872689938399</x:v>
      </x:c>
      <x:c r="G3316" s="26" t="b">
        <x:v>1</x:v>
      </x:c>
      <x:c r="H3316" s="16" t="n">
        <x:v>0.261</x:v>
      </x:c>
      <x:c r="I3316" s="16" t="n">
        <x:v>0.488</x:v>
      </x:c>
      <x:c r="J3316" s="16" t="n">
        <x:v>0.48999999999999994</x:v>
      </x:c>
      <x:c r="K3316" s="11" t="n">
        <x:f>CHOOSE('假设'!$B$3,H3316,I3316,J3316)</x:f>
        <x:v>0.488</x:v>
      </x:c>
      <x:c r="L3316" s="11" t="n">
        <x:f>K3316*'管线假设'!E719*'管线假设'!F719*'管线假设'!G719*IF(E3316="USD",'管线假设'!I719,1)-AM3316</x:f>
        <x:v>0.06394752000000002</x:v>
      </x:c>
      <x:c r="M3316" s="11" t="n">
        <x:f>'管线假设'!H719</x:f>
        <x:v>0.135</x:v>
      </x:c>
      <x:c r="N3316" s="11" t="n">
        <x:f>IF(G3316,L3316*AN3316/(1+M3316)^F3316,0)</x:f>
        <x:v>0.017516326347184995</x:v>
      </x:c>
      <x:c r="AJ3316" t="n">
        <x:v>0</x:v>
      </x:c>
      <x:c r="AK3316" t="n">
        <x:v>0</x:v>
      </x:c>
      <x:c r="AL3316" t="n">
        <x:v>0</x:v>
      </x:c>
      <x:c r="AM3316" t="n">
        <x:f>CHOOSE('假设'!$B$3,AJ3316,AK3316,AL3316)</x:f>
        <x:v>0</x:v>
      </x:c>
      <x:c r="AN3316" t="n">
        <x:v>1</x:v>
      </x:c>
    </x:row>
    <x:row r="3317" ht="23" customHeight="1">
      <x:c r="A3317" s="11" t="str">
        <x:v>688382.SH</x:v>
      </x:c>
      <x:c r="B3317" s="11" t="str">
        <x:v>三年</x:v>
      </x:c>
      <x:c r="C3317" s="11" t="str">
        <x:v>tyk_psa_cn</x:v>
      </x:c>
      <x:c r="D3317" s="11" t="str">
        <x:v>2040-12-31</x:v>
      </x:c>
      <x:c r="E3317" s="11" t="str">
        <x:v>CNY</x:v>
      </x:c>
      <x:c r="F3317" s="11" t="n">
        <x:v>11.227926078028748</x:v>
      </x:c>
      <x:c r="G3317" s="26" t="b">
        <x:v>1</x:v>
      </x:c>
      <x:c r="H3317" s="16" t="n">
        <x:v>0.222</x:v>
      </x:c>
      <x:c r="I3317" s="16" t="n">
        <x:v>0.384</x:v>
      </x:c>
      <x:c r="J3317" s="16" t="n">
        <x:v>0.30799999999999994</x:v>
      </x:c>
      <x:c r="K3317" s="11" t="n">
        <x:f>CHOOSE('假设'!$B$3,H3317,I3317,J3317)</x:f>
        <x:v>0.384</x:v>
      </x:c>
      <x:c r="L3317" s="11" t="n">
        <x:f>K3317*'管线假设'!E719*'管线假设'!F719*'管线假设'!G719*IF(E3317="USD",'管线假设'!I719,1)-AM3317</x:f>
        <x:v>0.050319360000000014</x:v>
      </x:c>
      <x:c r="M3317" s="11" t="n">
        <x:f>'管线假设'!H719</x:f>
        <x:v>0.135</x:v>
      </x:c>
      <x:c r="N3317" s="11" t="n">
        <x:f>IF(G3317,L3317*AN3317/(1+M3317)^F3317,0)</x:f>
        <x:v>0.012140753484400966</x:v>
      </x:c>
      <x:c r="AJ3317" t="n">
        <x:v>0</x:v>
      </x:c>
      <x:c r="AK3317" t="n">
        <x:v>0</x:v>
      </x:c>
      <x:c r="AL3317" t="n">
        <x:v>0</x:v>
      </x:c>
      <x:c r="AM3317" t="n">
        <x:f>CHOOSE('假设'!$B$3,AJ3317,AK3317,AL3317)</x:f>
        <x:v>0</x:v>
      </x:c>
      <x:c r="AN3317" t="n">
        <x:v>1</x:v>
      </x:c>
    </x:row>
    <x:row r="3318" ht="23" customHeight="1">
      <x:c r="A3318" s="11" t="str">
        <x:v>688382.SH</x:v>
      </x:c>
      <x:c r="B3318" s="11" t="str">
        <x:v>三年</x:v>
      </x:c>
      <x:c r="C3318" s="11" t="str">
        <x:v>tyk_psa_cn</x:v>
      </x:c>
      <x:c r="D3318" s="11" t="str">
        <x:v>2041-12-31</x:v>
      </x:c>
      <x:c r="E3318" s="11" t="str">
        <x:v>CNY</x:v>
      </x:c>
      <x:c r="F3318" s="11" t="n">
        <x:v>12.227241615331964</x:v>
      </x:c>
      <x:c r="G3318" s="26" t="b">
        <x:v>1</x:v>
      </x:c>
      <x:c r="H3318" s="16" t="n">
        <x:v>0.183</x:v>
      </x:c>
      <x:c r="I3318" s="16" t="n">
        <x:v>0.27999999999999997</x:v>
      </x:c>
      <x:c r="J3318" s="16" t="n">
        <x:v>0.12599999999999995</x:v>
      </x:c>
      <x:c r="K3318" s="11" t="n">
        <x:f>CHOOSE('假设'!$B$3,H3318,I3318,J3318)</x:f>
        <x:v>0.27999999999999997</x:v>
      </x:c>
      <x:c r="L3318" s="11" t="n">
        <x:f>K3318*'管线假设'!E719*'管线假设'!F719*'管线假设'!G719*IF(E3318="USD",'管线假设'!I719,1)-AM3318</x:f>
        <x:v>0.03669120000000001</x:v>
      </x:c>
      <x:c r="M3318" s="11" t="n">
        <x:f>'管线假设'!H719</x:f>
        <x:v>0.135</x:v>
      </x:c>
      <x:c r="N3318" s="11" t="n">
        <x:f>IF(G3318,L3318*AN3318/(1+M3318)^F3318,0)</x:f>
        <x:v>0.007800352499668612</x:v>
      </x:c>
      <x:c r="AJ3318" t="n">
        <x:v>0</x:v>
      </x:c>
      <x:c r="AK3318" t="n">
        <x:v>0</x:v>
      </x:c>
      <x:c r="AL3318" t="n">
        <x:v>0</x:v>
      </x:c>
      <x:c r="AM3318" t="n">
        <x:f>CHOOSE('假设'!$B$3,AJ3318,AK3318,AL3318)</x:f>
        <x:v>0</x:v>
      </x:c>
      <x:c r="AN3318" t="n">
        <x:v>1</x:v>
      </x:c>
    </x:row>
    <x:row r="3319" ht="23" customHeight="1">
      <x:c r="A3319" s="11" t="str">
        <x:v>688382.SH</x:v>
      </x:c>
      <x:c r="B3319" s="11" t="str">
        <x:v>三年</x:v>
      </x:c>
      <x:c r="C3319" s="11" t="str">
        <x:v>tyk_psa_cn</x:v>
      </x:c>
      <x:c r="D3319" s="11" t="str">
        <x:v>2042-12-31</x:v>
      </x:c>
      <x:c r="E3319" s="11" t="str">
        <x:v>CNY</x:v>
      </x:c>
      <x:c r="F3319" s="11" t="n">
        <x:v>13.22655715263518</x:v>
      </x:c>
      <x:c r="G3319" s="26" t="b">
        <x:v>1</x:v>
      </x:c>
      <x:c r="H3319" s="16" t="n">
        <x:v>0.144</x:v>
      </x:c>
      <x:c r="I3319" s="16" t="n">
        <x:v>0.176</x:v>
      </x:c>
      <x:c r="J3319" s="16" t="n">
        <x:v>0</x:v>
      </x:c>
      <x:c r="K3319" s="11" t="n">
        <x:f>CHOOSE('假设'!$B$3,H3319,I3319,J3319)</x:f>
        <x:v>0.176</x:v>
      </x:c>
      <x:c r="L3319" s="11" t="n">
        <x:f>K3319*'管线假设'!E719*'管线假设'!F719*'管线假设'!G719*IF(E3319="USD",'管线假设'!I719,1)-AM3319</x:f>
        <x:v>0.023063040000000007</x:v>
      </x:c>
      <x:c r="M3319" s="11" t="n">
        <x:f>'管线假设'!H719</x:f>
        <x:v>0.135</x:v>
      </x:c>
      <x:c r="N3319" s="11" t="n">
        <x:f>IF(G3319,L3319*AN3319/(1+M3319)^F3319,0)</x:f>
        <x:v>0.004320267584528787</x:v>
      </x:c>
      <x:c r="AJ3319" t="n">
        <x:v>0</x:v>
      </x:c>
      <x:c r="AK3319" t="n">
        <x:v>0</x:v>
      </x:c>
      <x:c r="AL3319" t="n">
        <x:v>0</x:v>
      </x:c>
      <x:c r="AM3319" t="n">
        <x:f>CHOOSE('假设'!$B$3,AJ3319,AK3319,AL3319)</x:f>
        <x:v>0</x:v>
      </x:c>
      <x:c r="AN3319" t="n">
        <x:v>1</x:v>
      </x:c>
    </x:row>
    <x:row r="3320" ht="23" customHeight="1">
      <x:c r="A3320" s="11" t="str">
        <x:v>688382.SH</x:v>
      </x:c>
      <x:c r="B3320" s="11" t="str">
        <x:v>三年</x:v>
      </x:c>
      <x:c r="C3320" s="11" t="str">
        <x:v>tyk_psa_cn</x:v>
      </x:c>
      <x:c r="D3320" s="11" t="str">
        <x:v>2043-12-31</x:v>
      </x:c>
      <x:c r="E3320" s="11" t="str">
        <x:v>CNY</x:v>
      </x:c>
      <x:c r="F3320" s="11" t="n">
        <x:v>14.225872689938399</x:v>
      </x:c>
      <x:c r="G3320" s="26" t="b">
        <x:v>1</x:v>
      </x:c>
      <x:c r="H3320" s="16" t="n">
        <x:v>0.105</x:v>
      </x:c>
      <x:c r="I3320" s="16" t="n">
        <x:v>0.07199999999999998</x:v>
      </x:c>
      <x:c r="J3320" s="16" t="n">
        <x:v>0</x:v>
      </x:c>
      <x:c r="K3320" s="11" t="n">
        <x:f>CHOOSE('假设'!$B$3,H3320,I3320,J3320)</x:f>
        <x:v>0.07199999999999998</x:v>
      </x:c>
      <x:c r="L3320" s="11" t="n">
        <x:f>K3320*'管线假设'!E719*'管线假设'!F719*'管线假设'!G719*IF(E3320="USD",'管线假设'!I719,1)-AM3320</x:f>
        <x:v>0.00943488</x:v>
      </x:c>
      <x:c r="M3320" s="11" t="n">
        <x:f>'管线假设'!H719</x:f>
        <x:v>0.135</x:v>
      </x:c>
      <x:c r="N3320" s="11" t="n">
        <x:f>IF(G3320,L3320*AN3320/(1+M3320)^F3320,0)</x:f>
        <x:v>0.001557299901971157</x:v>
      </x:c>
      <x:c r="AJ3320" t="n">
        <x:v>0</x:v>
      </x:c>
      <x:c r="AK3320" t="n">
        <x:v>0</x:v>
      </x:c>
      <x:c r="AL3320" t="n">
        <x:v>0</x:v>
      </x:c>
      <x:c r="AM3320" t="n">
        <x:f>CHOOSE('假设'!$B$3,AJ3320,AK3320,AL3320)</x:f>
        <x:v>0</x:v>
      </x:c>
      <x:c r="AN3320" t="n">
        <x:v>1</x:v>
      </x:c>
    </x:row>
    <x:row r="3321" ht="23" customHeight="1">
      <x:c r="A3321" s="11" t="str">
        <x:v>688382.SH</x:v>
      </x:c>
      <x:c r="B3321" s="11" t="str">
        <x:v>三年</x:v>
      </x:c>
      <x:c r="C3321" s="11" t="str">
        <x:v>tyk_psa_cn</x:v>
      </x:c>
      <x:c r="D3321" s="11" t="str">
        <x:v>2044-12-31</x:v>
      </x:c>
      <x:c r="E3321" s="11" t="str">
        <x:v>CNY</x:v>
      </x:c>
      <x:c r="F3321" s="11" t="n">
        <x:v>15.227926078028748</x:v>
      </x:c>
      <x:c r="G3321" s="26" t="b">
        <x:v>1</x:v>
      </x:c>
      <x:c r="H3321" s="16" t="n">
        <x:v>0.06599999999999999</x:v>
      </x:c>
      <x:c r="I3321" s="16" t="n">
        <x:v>0</x:v>
      </x:c>
      <x:c r="J3321" s="16" t="n">
        <x:v>0</x:v>
      </x:c>
      <x:c r="K3321" s="11" t="n">
        <x:f>CHOOSE('假设'!$B$3,H3321,I3321,J3321)</x:f>
        <x:v>0</x:v>
      </x:c>
      <x:c r="L3321" s="11" t="n">
        <x:f>K3321*'管线假设'!E719*'管线假设'!F719*'管线假设'!G719*IF(E3321="USD",'管线假设'!I719,1)-AM3321</x:f>
        <x:v>0</x:v>
      </x:c>
      <x:c r="M3321" s="11" t="n">
        <x:f>'管线假设'!H719</x:f>
        <x:v>0.135</x:v>
      </x:c>
      <x:c r="N3321" s="11" t="n">
        <x:f>IF(G3321,L3321*AN3321/(1+M3321)^F3321,0)</x:f>
        <x:v>0</x:v>
      </x:c>
      <x:c r="AJ3321" t="n">
        <x:v>0</x:v>
      </x:c>
      <x:c r="AK3321" t="n">
        <x:v>0</x:v>
      </x:c>
      <x:c r="AL3321" t="n">
        <x:v>0</x:v>
      </x:c>
      <x:c r="AM3321" t="n">
        <x:f>CHOOSE('假设'!$B$3,AJ3321,AK3321,AL3321)</x:f>
        <x:v>0</x:v>
      </x:c>
      <x:c r="AN3321" t="n">
        <x:v>1</x:v>
      </x:c>
    </x:row>
    <x:row r="3322" ht="23" customHeight="1">
      <x:c r="A3322" s="11" t="str">
        <x:v>688382.SH</x:v>
      </x:c>
      <x:c r="B3322" s="11" t="str">
        <x:v>三年</x:v>
      </x:c>
      <x:c r="C3322" s="11" t="str">
        <x:v>tyk_psa_cn</x:v>
      </x:c>
      <x:c r="D3322" s="11" t="str">
        <x:v>2045-12-31</x:v>
      </x:c>
      <x:c r="E3322" s="11" t="str">
        <x:v>CNY</x:v>
      </x:c>
      <x:c r="F3322" s="11" t="n">
        <x:v>16.227241615331966</x:v>
      </x:c>
      <x:c r="G3322" s="26" t="b">
        <x:v>1</x:v>
      </x:c>
      <x:c r="H3322" s="16" t="n">
        <x:v>0.02699999999999999</x:v>
      </x:c>
      <x:c r="I3322" s="16" t="n">
        <x:v>0</x:v>
      </x:c>
      <x:c r="J3322" s="16" t="n">
        <x:v>0</x:v>
      </x:c>
      <x:c r="K3322" s="11" t="n">
        <x:f>CHOOSE('假设'!$B$3,H3322,I3322,J3322)</x:f>
        <x:v>0</x:v>
      </x:c>
      <x:c r="L3322" s="11" t="n">
        <x:f>K3322*'管线假设'!E719*'管线假设'!F719*'管线假设'!G719*IF(E3322="USD",'管线假设'!I719,1)-AM3322</x:f>
        <x:v>0</x:v>
      </x:c>
      <x:c r="M3322" s="11" t="n">
        <x:f>'管线假设'!H719</x:f>
        <x:v>0.135</x:v>
      </x:c>
      <x:c r="N3322" s="11" t="n">
        <x:f>IF(G3322,L3322*AN3322/(1+M3322)^F3322,0)</x:f>
        <x:v>0</x:v>
      </x:c>
      <x:c r="AJ3322" t="n">
        <x:v>0</x:v>
      </x:c>
      <x:c r="AK3322" t="n">
        <x:v>0</x:v>
      </x:c>
      <x:c r="AL3322" t="n">
        <x:v>0</x:v>
      </x:c>
      <x:c r="AM3322" t="n">
        <x:f>CHOOSE('假设'!$B$3,AJ3322,AK3322,AL3322)</x:f>
        <x:v>0</x:v>
      </x:c>
      <x:c r="AN3322" t="n">
        <x:v>1</x:v>
      </x:c>
    </x:row>
    <x:row r="3323" ht="23" customHeight="1">
      <x:c r="A3323" s="11" t="str">
        <x:v>688382.SH</x:v>
      </x:c>
      <x:c r="B3323" s="11" t="str">
        <x:v>三年</x:v>
      </x:c>
      <x:c r="C3323" s="11" t="str">
        <x:v>tyk_viti_cn</x:v>
      </x:c>
      <x:c r="D3323" s="11" t="str">
        <x:v>2027-12-31</x:v>
      </x:c>
      <x:c r="E3323" s="11" t="str">
        <x:v>CNY</x:v>
      </x:c>
      <x:c r="F3323" s="11" t="n">
        <x:v>-1.7741273100616017</x:v>
      </x:c>
      <x:c r="G3323" s="26" t="b">
        <x:v>0</x:v>
      </x:c>
      <x:c r="H3323" s="16" t="n">
        <x:v>0</x:v>
      </x:c>
      <x:c r="I3323" s="16" t="n">
        <x:v>0</x:v>
      </x:c>
      <x:c r="J3323" s="16" t="n">
        <x:v>0</x:v>
      </x:c>
      <x:c r="K3323" s="11" t="n">
        <x:f>CHOOSE('假设'!$B$3,H3323,I3323,J3323)</x:f>
        <x:v>0</x:v>
      </x:c>
      <x:c r="L3323" s="11" t="n">
        <x:f>K3323*'管线假设'!E723*'管线假设'!F723*'管线假设'!G723*IF(E3323="USD",'管线假设'!I723,1)-AM3323</x:f>
        <x:v>0</x:v>
      </x:c>
      <x:c r="M3323" s="11" t="n">
        <x:f>'管线假设'!H723</x:f>
        <x:v>0.135</x:v>
      </x:c>
      <x:c r="N3323" s="11" t="n">
        <x:f>IF(G3323,L3323*AN3323/(1+M3323)^F3323,0)</x:f>
        <x:v>0</x:v>
      </x:c>
      <x:c r="AJ3323" t="n">
        <x:v>0</x:v>
      </x:c>
      <x:c r="AK3323" t="n">
        <x:v>0</x:v>
      </x:c>
      <x:c r="AL3323" t="n">
        <x:v>0</x:v>
      </x:c>
      <x:c r="AM3323" t="n">
        <x:f>CHOOSE('假设'!$B$3,AJ3323,AK3323,AL3323)</x:f>
        <x:v>0</x:v>
      </x:c>
      <x:c r="AN3323" t="n">
        <x:v>1</x:v>
      </x:c>
    </x:row>
    <x:row r="3324" ht="23" customHeight="1">
      <x:c r="A3324" s="11" t="str">
        <x:v>688382.SH</x:v>
      </x:c>
      <x:c r="B3324" s="11" t="str">
        <x:v>三年</x:v>
      </x:c>
      <x:c r="C3324" s="11" t="str">
        <x:v>tyk_viti_cn</x:v>
      </x:c>
      <x:c r="D3324" s="11" t="str">
        <x:v>2028-12-31</x:v>
      </x:c>
      <x:c r="E3324" s="11" t="str">
        <x:v>CNY</x:v>
      </x:c>
      <x:c r="F3324" s="11" t="n">
        <x:v>-0.7720739219712526</x:v>
      </x:c>
      <x:c r="G3324" s="26" t="b">
        <x:v>0</x:v>
      </x:c>
      <x:c r="H3324" s="16" t="n">
        <x:v>0</x:v>
      </x:c>
      <x:c r="I3324" s="16" t="n">
        <x:v>0</x:v>
      </x:c>
      <x:c r="J3324" s="16" t="n">
        <x:v>0</x:v>
      </x:c>
      <x:c r="K3324" s="11" t="n">
        <x:f>CHOOSE('假设'!$B$3,H3324,I3324,J3324)</x:f>
        <x:v>0</x:v>
      </x:c>
      <x:c r="L3324" s="11" t="n">
        <x:f>K3324*'管线假设'!E723*'管线假设'!F723*'管线假设'!G723*IF(E3324="USD",'管线假设'!I723,1)-AM3324</x:f>
        <x:v>0</x:v>
      </x:c>
      <x:c r="M3324" s="11" t="n">
        <x:f>'管线假设'!H723</x:f>
        <x:v>0.135</x:v>
      </x:c>
      <x:c r="N3324" s="11" t="n">
        <x:f>IF(G3324,L3324*AN3324/(1+M3324)^F3324,0)</x:f>
        <x:v>0</x:v>
      </x:c>
      <x:c r="AJ3324" t="n">
        <x:v>0</x:v>
      </x:c>
      <x:c r="AK3324" t="n">
        <x:v>0</x:v>
      </x:c>
      <x:c r="AL3324" t="n">
        <x:v>0</x:v>
      </x:c>
      <x:c r="AM3324" t="n">
        <x:f>CHOOSE('假设'!$B$3,AJ3324,AK3324,AL3324)</x:f>
        <x:v>0</x:v>
      </x:c>
      <x:c r="AN3324" t="n">
        <x:v>1</x:v>
      </x:c>
    </x:row>
    <x:row r="3325" ht="23" customHeight="1">
      <x:c r="A3325" s="11" t="str">
        <x:v>688382.SH</x:v>
      </x:c>
      <x:c r="B3325" s="11" t="str">
        <x:v>三年</x:v>
      </x:c>
      <x:c r="C3325" s="11" t="str">
        <x:v>tyk_viti_cn</x:v>
      </x:c>
      <x:c r="D3325" s="11" t="str">
        <x:v>2029-12-31</x:v>
      </x:c>
      <x:c r="E3325" s="11" t="str">
        <x:v>CNY</x:v>
      </x:c>
      <x:c r="F3325" s="11" t="n">
        <x:v>0.2272416153319644</x:v>
      </x:c>
      <x:c r="G3325" s="26" t="b">
        <x:v>1</x:v>
      </x:c>
      <x:c r="H3325" s="16" t="n">
        <x:v>0</x:v>
      </x:c>
      <x:c r="I3325" s="16" t="n">
        <x:v>0</x:v>
      </x:c>
      <x:c r="J3325" s="16" t="n">
        <x:v>0</x:v>
      </x:c>
      <x:c r="K3325" s="11" t="n">
        <x:f>CHOOSE('假设'!$B$3,H3325,I3325,J3325)</x:f>
        <x:v>0</x:v>
      </x:c>
      <x:c r="L3325" s="11" t="n">
        <x:f>K3325*'管线假设'!E723*'管线假设'!F723*'管线假设'!G723*IF(E3325="USD",'管线假设'!I723,1)-AM3325</x:f>
        <x:v>0</x:v>
      </x:c>
      <x:c r="M3325" s="11" t="n">
        <x:f>'管线假设'!H723</x:f>
        <x:v>0.135</x:v>
      </x:c>
      <x:c r="N3325" s="11" t="n">
        <x:f>IF(G3325,L3325*AN3325/(1+M3325)^F3325,0)</x:f>
        <x:v>0</x:v>
      </x:c>
      <x:c r="AJ3325" t="n">
        <x:v>0</x:v>
      </x:c>
      <x:c r="AK3325" t="n">
        <x:v>0</x:v>
      </x:c>
      <x:c r="AL3325" t="n">
        <x:v>0</x:v>
      </x:c>
      <x:c r="AM3325" t="n">
        <x:f>CHOOSE('假设'!$B$3,AJ3325,AK3325,AL3325)</x:f>
        <x:v>0</x:v>
      </x:c>
      <x:c r="AN3325" t="n">
        <x:v>1</x:v>
      </x:c>
    </x:row>
    <x:row r="3326" ht="23" customHeight="1">
      <x:c r="A3326" s="11" t="str">
        <x:v>688382.SH</x:v>
      </x:c>
      <x:c r="B3326" s="11" t="str">
        <x:v>三年</x:v>
      </x:c>
      <x:c r="C3326" s="11" t="str">
        <x:v>tyk_viti_cn</x:v>
      </x:c>
      <x:c r="D3326" s="11" t="str">
        <x:v>2030-12-31</x:v>
      </x:c>
      <x:c r="E3326" s="11" t="str">
        <x:v>CNY</x:v>
      </x:c>
      <x:c r="F3326" s="11" t="n">
        <x:v>1.2265571526351813</x:v>
      </x:c>
      <x:c r="G3326" s="26" t="b">
        <x:v>1</x:v>
      </x:c>
      <x:c r="H3326" s="16" t="n">
        <x:v>0</x:v>
      </x:c>
      <x:c r="I3326" s="16" t="n">
        <x:v>0</x:v>
      </x:c>
      <x:c r="J3326" s="16" t="n">
        <x:v>0.3333333333333333</x:v>
      </x:c>
      <x:c r="K3326" s="11" t="n">
        <x:f>CHOOSE('假设'!$B$3,H3326,I3326,J3326)</x:f>
        <x:v>0</x:v>
      </x:c>
      <x:c r="L3326" s="11" t="n">
        <x:f>K3326*'管线假设'!E723*'管线假设'!F723*'管线假设'!G723*IF(E3326="USD",'管线假设'!I723,1)-AM3326</x:f>
        <x:v>0</x:v>
      </x:c>
      <x:c r="M3326" s="11" t="n">
        <x:f>'管线假设'!H723</x:f>
        <x:v>0.135</x:v>
      </x:c>
      <x:c r="N3326" s="11" t="n">
        <x:f>IF(G3326,L3326*AN3326/(1+M3326)^F3326,0)</x:f>
        <x:v>0</x:v>
      </x:c>
      <x:c r="AJ3326" t="n">
        <x:v>0</x:v>
      </x:c>
      <x:c r="AK3326" t="n">
        <x:v>0</x:v>
      </x:c>
      <x:c r="AL3326" t="n">
        <x:v>0</x:v>
      </x:c>
      <x:c r="AM3326" t="n">
        <x:f>CHOOSE('假设'!$B$3,AJ3326,AK3326,AL3326)</x:f>
        <x:v>0</x:v>
      </x:c>
      <x:c r="AN3326" t="n">
        <x:v>1</x:v>
      </x:c>
    </x:row>
    <x:row r="3327" ht="23" customHeight="1">
      <x:c r="A3327" s="11" t="str">
        <x:v>688382.SH</x:v>
      </x:c>
      <x:c r="B3327" s="11" t="str">
        <x:v>三年</x:v>
      </x:c>
      <x:c r="C3327" s="11" t="str">
        <x:v>tyk_viti_cn</x:v>
      </x:c>
      <x:c r="D3327" s="11" t="str">
        <x:v>2031-12-31</x:v>
      </x:c>
      <x:c r="E3327" s="11" t="str">
        <x:v>CNY</x:v>
      </x:c>
      <x:c r="F3327" s="11" t="n">
        <x:v>2.2258726899383983</x:v>
      </x:c>
      <x:c r="G3327" s="26" t="b">
        <x:v>1</x:v>
      </x:c>
      <x:c r="H3327" s="16" t="n">
        <x:v>0</x:v>
      </x:c>
      <x:c r="I3327" s="16" t="n">
        <x:v>0</x:v>
      </x:c>
      <x:c r="J3327" s="16" t="n">
        <x:v>0.6666666666666666</x:v>
      </x:c>
      <x:c r="K3327" s="11" t="n">
        <x:f>CHOOSE('假设'!$B$3,H3327,I3327,J3327)</x:f>
        <x:v>0</x:v>
      </x:c>
      <x:c r="L3327" s="11" t="n">
        <x:f>K3327*'管线假设'!E723*'管线假设'!F723*'管线假设'!G723*IF(E3327="USD",'管线假设'!I723,1)-AM3327</x:f>
        <x:v>0</x:v>
      </x:c>
      <x:c r="M3327" s="11" t="n">
        <x:f>'管线假设'!H723</x:f>
        <x:v>0.135</x:v>
      </x:c>
      <x:c r="N3327" s="11" t="n">
        <x:f>IF(G3327,L3327*AN3327/(1+M3327)^F3327,0)</x:f>
        <x:v>0</x:v>
      </x:c>
      <x:c r="AJ3327" t="n">
        <x:v>0</x:v>
      </x:c>
      <x:c r="AK3327" t="n">
        <x:v>0</x:v>
      </x:c>
      <x:c r="AL3327" t="n">
        <x:v>0</x:v>
      </x:c>
      <x:c r="AM3327" t="n">
        <x:f>CHOOSE('假设'!$B$3,AJ3327,AK3327,AL3327)</x:f>
        <x:v>0</x:v>
      </x:c>
      <x:c r="AN3327" t="n">
        <x:v>1</x:v>
      </x:c>
    </x:row>
    <x:row r="3328" ht="23" customHeight="1">
      <x:c r="A3328" s="11" t="str">
        <x:v>688382.SH</x:v>
      </x:c>
      <x:c r="B3328" s="11" t="str">
        <x:v>三年</x:v>
      </x:c>
      <x:c r="C3328" s="11" t="str">
        <x:v>tyk_viti_cn</x:v>
      </x:c>
      <x:c r="D3328" s="11" t="str">
        <x:v>2032-12-31</x:v>
      </x:c>
      <x:c r="E3328" s="11" t="str">
        <x:v>CNY</x:v>
      </x:c>
      <x:c r="F3328" s="11" t="n">
        <x:v>3.2279260780287475</x:v>
      </x:c>
      <x:c r="G3328" s="26" t="b">
        <x:v>1</x:v>
      </x:c>
      <x:c r="H3328" s="16" t="n">
        <x:v>0</x:v>
      </x:c>
      <x:c r="I3328" s="16" t="n">
        <x:v>0.16666666666666666</x:v>
      </x:c>
      <x:c r="J3328" s="16" t="n">
        <x:v>1</x:v>
      </x:c>
      <x:c r="K3328" s="11" t="n">
        <x:f>CHOOSE('假设'!$B$3,H3328,I3328,J3328)</x:f>
        <x:v>0.16666666666666666</x:v>
      </x:c>
      <x:c r="L3328" s="11" t="n">
        <x:f>K3328*'管线假设'!E723*'管线假设'!F723*'管线假设'!G723*IF(E3328="USD",'管线假设'!I723,1)-AM3328</x:f>
        <x:v>0.01652</x:v>
      </x:c>
      <x:c r="M3328" s="11" t="n">
        <x:f>'管线假设'!H723</x:f>
        <x:v>0.135</x:v>
      </x:c>
      <x:c r="N3328" s="11" t="n">
        <x:f>IF(G3328,L3328*AN3328/(1+M3328)^F3328,0)</x:f>
        <x:v>0.010977096127216588</x:v>
      </x:c>
      <x:c r="AJ3328" t="n">
        <x:v>0</x:v>
      </x:c>
      <x:c r="AK3328" t="n">
        <x:v>0</x:v>
      </x:c>
      <x:c r="AL3328" t="n">
        <x:v>0</x:v>
      </x:c>
      <x:c r="AM3328" t="n">
        <x:f>CHOOSE('假设'!$B$3,AJ3328,AK3328,AL3328)</x:f>
        <x:v>0</x:v>
      </x:c>
      <x:c r="AN3328" t="n">
        <x:v>1</x:v>
      </x:c>
    </x:row>
    <x:row r="3329" ht="23" customHeight="1">
      <x:c r="A3329" s="11" t="str">
        <x:v>688382.SH</x:v>
      </x:c>
      <x:c r="B3329" s="11" t="str">
        <x:v>三年</x:v>
      </x:c>
      <x:c r="C3329" s="11" t="str">
        <x:v>tyk_viti_cn</x:v>
      </x:c>
      <x:c r="D3329" s="11" t="str">
        <x:v>2033-12-31</x:v>
      </x:c>
      <x:c r="E3329" s="11" t="str">
        <x:v>CNY</x:v>
      </x:c>
      <x:c r="F3329" s="11" t="n">
        <x:v>4.227241615331964</x:v>
      </x:c>
      <x:c r="G3329" s="26" t="b">
        <x:v>1</x:v>
      </x:c>
      <x:c r="H3329" s="16" t="n">
        <x:v>0</x:v>
      </x:c>
      <x:c r="I3329" s="16" t="n">
        <x:v>0.3333333333333333</x:v>
      </x:c>
      <x:c r="J3329" s="16" t="n">
        <x:v>1.3333333333333333</x:v>
      </x:c>
      <x:c r="K3329" s="11" t="n">
        <x:f>CHOOSE('假设'!$B$3,H3329,I3329,J3329)</x:f>
        <x:v>0.3333333333333333</x:v>
      </x:c>
      <x:c r="L3329" s="11" t="n">
        <x:f>K3329*'管线假设'!E723*'管线假设'!F723*'管线假设'!G723*IF(E3329="USD",'管线假设'!I723,1)-AM3329</x:f>
        <x:v>0.03304</x:v>
      </x:c>
      <x:c r="M3329" s="11" t="n">
        <x:f>'管线假设'!H723</x:f>
        <x:v>0.135</x:v>
      </x:c>
      <x:c r="N3329" s="11" t="n">
        <x:f>IF(G3329,L3329*AN3329/(1+M3329)^F3329,0)</x:f>
        <x:v>0.01934457728957502</x:v>
      </x:c>
      <x:c r="AJ3329" t="n">
        <x:v>0</x:v>
      </x:c>
      <x:c r="AK3329" t="n">
        <x:v>0</x:v>
      </x:c>
      <x:c r="AL3329" t="n">
        <x:v>0</x:v>
      </x:c>
      <x:c r="AM3329" t="n">
        <x:f>CHOOSE('假设'!$B$3,AJ3329,AK3329,AL3329)</x:f>
        <x:v>0</x:v>
      </x:c>
      <x:c r="AN3329" t="n">
        <x:v>1</x:v>
      </x:c>
    </x:row>
    <x:row r="3330" ht="23" customHeight="1">
      <x:c r="A3330" s="11" t="str">
        <x:v>688382.SH</x:v>
      </x:c>
      <x:c r="B3330" s="11" t="str">
        <x:v>三年</x:v>
      </x:c>
      <x:c r="C3330" s="11" t="str">
        <x:v>tyk_viti_cn</x:v>
      </x:c>
      <x:c r="D3330" s="11" t="str">
        <x:v>2034-12-31</x:v>
      </x:c>
      <x:c r="E3330" s="11" t="str">
        <x:v>CNY</x:v>
      </x:c>
      <x:c r="F3330" s="11" t="n">
        <x:v>5.2265571526351815</x:v>
      </x:c>
      <x:c r="G3330" s="26" t="b">
        <x:v>1</x:v>
      </x:c>
      <x:c r="H3330" s="16" t="n">
        <x:v>0</x:v>
      </x:c>
      <x:c r="I3330" s="16" t="n">
        <x:v>0.5</x:v>
      </x:c>
      <x:c r="J3330" s="16" t="n">
        <x:v>1.6666666666666667</x:v>
      </x:c>
      <x:c r="K3330" s="11" t="n">
        <x:f>CHOOSE('假设'!$B$3,H3330,I3330,J3330)</x:f>
        <x:v>0.5</x:v>
      </x:c>
      <x:c r="L3330" s="11" t="n">
        <x:f>K3330*'管线假设'!E723*'管线假设'!F723*'管线假设'!G723*IF(E3330="USD",'管线假设'!I723,1)-AM3330</x:f>
        <x:v>0.04956</x:v>
      </x:c>
      <x:c r="M3330" s="11" t="n">
        <x:f>'管线假设'!H723</x:f>
        <x:v>0.135</x:v>
      </x:c>
      <x:c r="N3330" s="11" t="n">
        <x:f>IF(G3330,L3330*AN3330/(1+M3330)^F3330,0)</x:f>
        <x:v>0.025567736642880406</x:v>
      </x:c>
      <x:c r="AJ3330" t="n">
        <x:v>0</x:v>
      </x:c>
      <x:c r="AK3330" t="n">
        <x:v>0</x:v>
      </x:c>
      <x:c r="AL3330" t="n">
        <x:v>0</x:v>
      </x:c>
      <x:c r="AM3330" t="n">
        <x:f>CHOOSE('假设'!$B$3,AJ3330,AK3330,AL3330)</x:f>
        <x:v>0</x:v>
      </x:c>
      <x:c r="AN3330" t="n">
        <x:v>1</x:v>
      </x:c>
    </x:row>
    <x:row r="3331" ht="23" customHeight="1">
      <x:c r="A3331" s="11" t="str">
        <x:v>688382.SH</x:v>
      </x:c>
      <x:c r="B3331" s="11" t="str">
        <x:v>三年</x:v>
      </x:c>
      <x:c r="C3331" s="11" t="str">
        <x:v>tyk_viti_cn</x:v>
      </x:c>
      <x:c r="D3331" s="11" t="str">
        <x:v>2035-12-31</x:v>
      </x:c>
      <x:c r="E3331" s="11" t="str">
        <x:v>CNY</x:v>
      </x:c>
      <x:c r="F3331" s="11" t="n">
        <x:v>6.225872689938399</x:v>
      </x:c>
      <x:c r="G3331" s="26" t="b">
        <x:v>1</x:v>
      </x:c>
      <x:c r="H3331" s="16" t="n">
        <x:v>0.08000000000000002</x:v>
      </x:c>
      <x:c r="I3331" s="16" t="n">
        <x:v>0.6666666666666666</x:v>
      </x:c>
      <x:c r="J3331" s="16" t="n">
        <x:v>2</x:v>
      </x:c>
      <x:c r="K3331" s="11" t="n">
        <x:f>CHOOSE('假设'!$B$3,H3331,I3331,J3331)</x:f>
        <x:v>0.6666666666666666</x:v>
      </x:c>
      <x:c r="L3331" s="11" t="n">
        <x:f>K3331*'管线假设'!E723*'管线假设'!F723*'管线假设'!G723*IF(E3331="USD",'管线假设'!I723,1)-AM3331</x:f>
        <x:v>0.06608</x:v>
      </x:c>
      <x:c r="M3331" s="11" t="n">
        <x:f>'管线假设'!H723</x:f>
        <x:v>0.135</x:v>
      </x:c>
      <x:c r="N3331" s="11" t="n">
        <x:f>IF(G3331,L3331*AN3331/(1+M3331)^F3331,0)</x:f>
        <x:v>0.030038123736652985</x:v>
      </x:c>
      <x:c r="AJ3331" t="n">
        <x:v>0</x:v>
      </x:c>
      <x:c r="AK3331" t="n">
        <x:v>0</x:v>
      </x:c>
      <x:c r="AL3331" t="n">
        <x:v>0</x:v>
      </x:c>
      <x:c r="AM3331" t="n">
        <x:f>CHOOSE('假设'!$B$3,AJ3331,AK3331,AL3331)</x:f>
        <x:v>0</x:v>
      </x:c>
      <x:c r="AN3331" t="n">
        <x:v>1</x:v>
      </x:c>
    </x:row>
    <x:row r="3332" ht="23" customHeight="1">
      <x:c r="A3332" s="11" t="str">
        <x:v>688382.SH</x:v>
      </x:c>
      <x:c r="B3332" s="11" t="str">
        <x:v>三年</x:v>
      </x:c>
      <x:c r="C3332" s="11" t="str">
        <x:v>tyk_viti_cn</x:v>
      </x:c>
      <x:c r="D3332" s="11" t="str">
        <x:v>2036-12-31</x:v>
      </x:c>
      <x:c r="E3332" s="11" t="str">
        <x:v>CNY</x:v>
      </x:c>
      <x:c r="F3332" s="11" t="n">
        <x:v>7.227926078028747</x:v>
      </x:c>
      <x:c r="G3332" s="26" t="b">
        <x:v>1</x:v>
      </x:c>
      <x:c r="H3332" s="16" t="n">
        <x:v>0.16000000000000003</x:v>
      </x:c>
      <x:c r="I3332" s="16" t="n">
        <x:v>0.8333333333333334</x:v>
      </x:c>
      <x:c r="J3332" s="16" t="n">
        <x:v>1.74</x:v>
      </x:c>
      <x:c r="K3332" s="11" t="n">
        <x:f>CHOOSE('假设'!$B$3,H3332,I3332,J3332)</x:f>
        <x:v>0.8333333333333334</x:v>
      </x:c>
      <x:c r="L3332" s="11" t="n">
        <x:f>K3332*'管线假设'!E723*'管线假设'!F723*'管线假设'!G723*IF(E3332="USD",'管线假设'!I723,1)-AM3332</x:f>
        <x:v>0.0826</x:v>
      </x:c>
      <x:c r="M3332" s="11" t="n">
        <x:f>'管线假设'!H723</x:f>
        <x:v>0.135</x:v>
      </x:c>
      <x:c r="N3332" s="11" t="n">
        <x:f>IF(G3332,L3332*AN3332/(1+M3332)^F3332,0)</x:f>
        <x:v>0.03307303310526024</x:v>
      </x:c>
      <x:c r="AJ3332" t="n">
        <x:v>0</x:v>
      </x:c>
      <x:c r="AK3332" t="n">
        <x:v>0</x:v>
      </x:c>
      <x:c r="AL3332" t="n">
        <x:v>0</x:v>
      </x:c>
      <x:c r="AM3332" t="n">
        <x:f>CHOOSE('假设'!$B$3,AJ3332,AK3332,AL3332)</x:f>
        <x:v>0</x:v>
      </x:c>
      <x:c r="AN3332" t="n">
        <x:v>1</x:v>
      </x:c>
    </x:row>
    <x:row r="3333" ht="23" customHeight="1">
      <x:c r="A3333" s="11" t="str">
        <x:v>688382.SH</x:v>
      </x:c>
      <x:c r="B3333" s="11" t="str">
        <x:v>三年</x:v>
      </x:c>
      <x:c r="C3333" s="11" t="str">
        <x:v>tyk_viti_cn</x:v>
      </x:c>
      <x:c r="D3333" s="11" t="str">
        <x:v>2037-12-31</x:v>
      </x:c>
      <x:c r="E3333" s="11" t="str">
        <x:v>CNY</x:v>
      </x:c>
      <x:c r="F3333" s="11" t="n">
        <x:v>8.227241615331964</x:v>
      </x:c>
      <x:c r="G3333" s="26" t="b">
        <x:v>1</x:v>
      </x:c>
      <x:c r="H3333" s="16" t="n">
        <x:v>0.24</x:v>
      </x:c>
      <x:c r="I3333" s="16" t="n">
        <x:v>1</x:v>
      </x:c>
      <x:c r="J3333" s="16" t="n">
        <x:v>1.48</x:v>
      </x:c>
      <x:c r="K3333" s="11" t="n">
        <x:f>CHOOSE('假设'!$B$3,H3333,I3333,J3333)</x:f>
        <x:v>1</x:v>
      </x:c>
      <x:c r="L3333" s="11" t="n">
        <x:f>K3333*'管线假设'!E723*'管线假设'!F723*'管线假设'!G723*IF(E3333="USD",'管线假设'!I723,1)-AM3333</x:f>
        <x:v>0.09912</x:v>
      </x:c>
      <x:c r="M3333" s="11" t="n">
        <x:f>'管线假设'!H723</x:f>
        <x:v>0.135</x:v>
      </x:c>
      <x:c r="N3333" s="11" t="n">
        <x:f>IF(G3333,L3333*AN3333/(1+M3333)^F3333,0)</x:f>
        <x:v>0.034970114374006496</x:v>
      </x:c>
      <x:c r="AJ3333" t="n">
        <x:v>0</x:v>
      </x:c>
      <x:c r="AK3333" t="n">
        <x:v>0</x:v>
      </x:c>
      <x:c r="AL3333" t="n">
        <x:v>0</x:v>
      </x:c>
      <x:c r="AM3333" t="n">
        <x:f>CHOOSE('假设'!$B$3,AJ3333,AK3333,AL3333)</x:f>
        <x:v>0</x:v>
      </x:c>
      <x:c r="AN3333" t="n">
        <x:v>1</x:v>
      </x:c>
    </x:row>
    <x:row r="3334" ht="23" customHeight="1">
      <x:c r="A3334" s="11" t="str">
        <x:v>688382.SH</x:v>
      </x:c>
      <x:c r="B3334" s="11" t="str">
        <x:v>三年</x:v>
      </x:c>
      <x:c r="C3334" s="11" t="str">
        <x:v>tyk_viti_cn</x:v>
      </x:c>
      <x:c r="D3334" s="11" t="str">
        <x:v>2038-12-31</x:v>
      </x:c>
      <x:c r="E3334" s="11" t="str">
        <x:v>CNY</x:v>
      </x:c>
      <x:c r="F3334" s="11" t="n">
        <x:v>9.22655715263518</x:v>
      </x:c>
      <x:c r="G3334" s="26" t="b">
        <x:v>1</x:v>
      </x:c>
      <x:c r="H3334" s="16" t="n">
        <x:v>0.32000000000000006</x:v>
      </x:c>
      <x:c r="I3334" s="16" t="n">
        <x:v>0.87</x:v>
      </x:c>
      <x:c r="J3334" s="16" t="n">
        <x:v>1.22</x:v>
      </x:c>
      <x:c r="K3334" s="11" t="n">
        <x:f>CHOOSE('假设'!$B$3,H3334,I3334,J3334)</x:f>
        <x:v>0.87</x:v>
      </x:c>
      <x:c r="L3334" s="11" t="n">
        <x:f>K3334*'管线假设'!E723*'管线假设'!F723*'管线假设'!G723*IF(E3334="USD",'管线假设'!I723,1)-AM3334</x:f>
        <x:v>0.0862344</x:v>
      </x:c>
      <x:c r="M3334" s="11" t="n">
        <x:f>'管线假设'!H723</x:f>
        <x:v>0.135</x:v>
      </x:c>
      <x:c r="N3334" s="11" t="n">
        <x:f>IF(G3334,L3334*AN3334/(1+M3334)^F3334,0)</x:f>
        <x:v>0.026807609365408654</x:v>
      </x:c>
      <x:c r="AJ3334" t="n">
        <x:v>0</x:v>
      </x:c>
      <x:c r="AK3334" t="n">
        <x:v>0</x:v>
      </x:c>
      <x:c r="AL3334" t="n">
        <x:v>0</x:v>
      </x:c>
      <x:c r="AM3334" t="n">
        <x:f>CHOOSE('假设'!$B$3,AJ3334,AK3334,AL3334)</x:f>
        <x:v>0</x:v>
      </x:c>
      <x:c r="AN3334" t="n">
        <x:v>1</x:v>
      </x:c>
    </x:row>
    <x:row r="3335" ht="23" customHeight="1">
      <x:c r="A3335" s="11" t="str">
        <x:v>688382.SH</x:v>
      </x:c>
      <x:c r="B3335" s="11" t="str">
        <x:v>三年</x:v>
      </x:c>
      <x:c r="C3335" s="11" t="str">
        <x:v>tyk_viti_cn</x:v>
      </x:c>
      <x:c r="D3335" s="11" t="str">
        <x:v>2039-12-31</x:v>
      </x:c>
      <x:c r="E3335" s="11" t="str">
        <x:v>CNY</x:v>
      </x:c>
      <x:c r="F3335" s="11" t="n">
        <x:v>10.225872689938399</x:v>
      </x:c>
      <x:c r="G3335" s="26" t="b">
        <x:v>1</x:v>
      </x:c>
      <x:c r="H3335" s="16" t="n">
        <x:v>0.4</x:v>
      </x:c>
      <x:c r="I3335" s="16" t="n">
        <x:v>0.74</x:v>
      </x:c>
      <x:c r="J3335" s="16" t="n">
        <x:v>0.96</x:v>
      </x:c>
      <x:c r="K3335" s="11" t="n">
        <x:f>CHOOSE('假设'!$B$3,H3335,I3335,J3335)</x:f>
        <x:v>0.74</x:v>
      </x:c>
      <x:c r="L3335" s="11" t="n">
        <x:f>K3335*'管线假设'!E723*'管线假设'!F723*'管线假设'!G723*IF(E3335="USD",'管线假设'!I723,1)-AM3335</x:f>
        <x:v>0.0733488</x:v>
      </x:c>
      <x:c r="M3335" s="11" t="n">
        <x:f>'管线假设'!H723</x:f>
        <x:v>0.135</x:v>
      </x:c>
      <x:c r="N3335" s="11" t="n">
        <x:f>IF(G3335,L3335*AN3335/(1+M3335)^F3335,0)</x:f>
        <x:v>0.020091498747322842</x:v>
      </x:c>
      <x:c r="AJ3335" t="n">
        <x:v>0</x:v>
      </x:c>
      <x:c r="AK3335" t="n">
        <x:v>0</x:v>
      </x:c>
      <x:c r="AL3335" t="n">
        <x:v>0</x:v>
      </x:c>
      <x:c r="AM3335" t="n">
        <x:f>CHOOSE('假设'!$B$3,AJ3335,AK3335,AL3335)</x:f>
        <x:v>0</x:v>
      </x:c>
      <x:c r="AN3335" t="n">
        <x:v>1</x:v>
      </x:c>
    </x:row>
    <x:row r="3336" ht="23" customHeight="1">
      <x:c r="A3336" s="11" t="str">
        <x:v>688382.SH</x:v>
      </x:c>
      <x:c r="B3336" s="11" t="str">
        <x:v>三年</x:v>
      </x:c>
      <x:c r="C3336" s="11" t="str">
        <x:v>tyk_viti_cn</x:v>
      </x:c>
      <x:c r="D3336" s="11" t="str">
        <x:v>2040-12-31</x:v>
      </x:c>
      <x:c r="E3336" s="11" t="str">
        <x:v>CNY</x:v>
      </x:c>
      <x:c r="F3336" s="11" t="n">
        <x:v>11.227926078028748</x:v>
      </x:c>
      <x:c r="G3336" s="26" t="b">
        <x:v>1</x:v>
      </x:c>
      <x:c r="H3336" s="16" t="n">
        <x:v>0.34800000000000003</x:v>
      </x:c>
      <x:c r="I3336" s="16" t="n">
        <x:v>0.61</x:v>
      </x:c>
      <x:c r="J3336" s="16" t="n">
        <x:v>0.7</x:v>
      </x:c>
      <x:c r="K3336" s="11" t="n">
        <x:f>CHOOSE('假设'!$B$3,H3336,I3336,J3336)</x:f>
        <x:v>0.61</x:v>
      </x:c>
      <x:c r="L3336" s="11" t="n">
        <x:f>K3336*'管线假设'!E723*'管线假设'!F723*'管线假设'!G723*IF(E3336="USD",'管线假设'!I723,1)-AM3336</x:f>
        <x:v>0.0604632</x:v>
      </x:c>
      <x:c r="M3336" s="11" t="n">
        <x:f>'管线假设'!H723</x:f>
        <x:v>0.135</x:v>
      </x:c>
      <x:c r="N3336" s="11" t="n">
        <x:f>IF(G3336,L3336*AN3336/(1+M3336)^F3336,0)</x:f>
        <x:v>0.014588198380862403</x:v>
      </x:c>
      <x:c r="AJ3336" t="n">
        <x:v>0</x:v>
      </x:c>
      <x:c r="AK3336" t="n">
        <x:v>0</x:v>
      </x:c>
      <x:c r="AL3336" t="n">
        <x:v>0</x:v>
      </x:c>
      <x:c r="AM3336" t="n">
        <x:f>CHOOSE('假设'!$B$3,AJ3336,AK3336,AL3336)</x:f>
        <x:v>0</x:v>
      </x:c>
      <x:c r="AN3336" t="n">
        <x:v>1</x:v>
      </x:c>
    </x:row>
    <x:row r="3337" ht="23" customHeight="1">
      <x:c r="A3337" s="11" t="str">
        <x:v>688382.SH</x:v>
      </x:c>
      <x:c r="B3337" s="11" t="str">
        <x:v>三年</x:v>
      </x:c>
      <x:c r="C3337" s="11" t="str">
        <x:v>tyk_viti_cn</x:v>
      </x:c>
      <x:c r="D3337" s="11" t="str">
        <x:v>2041-12-31</x:v>
      </x:c>
      <x:c r="E3337" s="11" t="str">
        <x:v>CNY</x:v>
      </x:c>
      <x:c r="F3337" s="11" t="n">
        <x:v>12.227241615331964</x:v>
      </x:c>
      <x:c r="G3337" s="26" t="b">
        <x:v>1</x:v>
      </x:c>
      <x:c r="H3337" s="16" t="n">
        <x:v>0.296</x:v>
      </x:c>
      <x:c r="I3337" s="16" t="n">
        <x:v>0.48</x:v>
      </x:c>
      <x:c r="J3337" s="16" t="n">
        <x:v>0.43999999999999995</x:v>
      </x:c>
      <x:c r="K3337" s="11" t="n">
        <x:f>CHOOSE('假设'!$B$3,H3337,I3337,J3337)</x:f>
        <x:v>0.48</x:v>
      </x:c>
      <x:c r="L3337" s="11" t="n">
        <x:f>K3337*'管线假设'!E723*'管线假设'!F723*'管线假设'!G723*IF(E3337="USD",'管线假设'!I723,1)-AM3337</x:f>
        <x:v>0.0475776</x:v>
      </x:c>
      <x:c r="M3337" s="11" t="n">
        <x:f>'管线假设'!H723</x:f>
        <x:v>0.135</x:v>
      </x:c>
      <x:c r="N3337" s="11" t="n">
        <x:f>IF(G3337,L3337*AN3337/(1+M3337)^F3337,0)</x:f>
        <x:v>0.010114742801768087</x:v>
      </x:c>
      <x:c r="AJ3337" t="n">
        <x:v>0</x:v>
      </x:c>
      <x:c r="AK3337" t="n">
        <x:v>0</x:v>
      </x:c>
      <x:c r="AL3337" t="n">
        <x:v>0</x:v>
      </x:c>
      <x:c r="AM3337" t="n">
        <x:f>CHOOSE('假设'!$B$3,AJ3337,AK3337,AL3337)</x:f>
        <x:v>0</x:v>
      </x:c>
      <x:c r="AN3337" t="n">
        <x:v>1</x:v>
      </x:c>
    </x:row>
    <x:row r="3338" ht="23" customHeight="1">
      <x:c r="A3338" s="11" t="str">
        <x:v>688382.SH</x:v>
      </x:c>
      <x:c r="B3338" s="11" t="str">
        <x:v>三年</x:v>
      </x:c>
      <x:c r="C3338" s="11" t="str">
        <x:v>tyk_viti_cn</x:v>
      </x:c>
      <x:c r="D3338" s="11" t="str">
        <x:v>2042-12-31</x:v>
      </x:c>
      <x:c r="E3338" s="11" t="str">
        <x:v>CNY</x:v>
      </x:c>
      <x:c r="F3338" s="11" t="n">
        <x:v>13.22655715263518</x:v>
      </x:c>
      <x:c r="G3338" s="26" t="b">
        <x:v>1</x:v>
      </x:c>
      <x:c r="H3338" s="16" t="n">
        <x:v>0.244</x:v>
      </x:c>
      <x:c r="I3338" s="16" t="n">
        <x:v>0.35</x:v>
      </x:c>
      <x:c r="J3338" s="16" t="n">
        <x:v>0.17999999999999994</x:v>
      </x:c>
      <x:c r="K3338" s="11" t="n">
        <x:f>CHOOSE('假设'!$B$3,H3338,I3338,J3338)</x:f>
        <x:v>0.35</x:v>
      </x:c>
      <x:c r="L3338" s="11" t="n">
        <x:f>K3338*'管线假设'!E723*'管线假设'!F723*'管线假设'!G723*IF(E3338="USD",'管线假设'!I723,1)-AM3338</x:f>
        <x:v>0.034692</x:v>
      </x:c>
      <x:c r="M3338" s="11" t="n">
        <x:f>'管线假设'!H723</x:f>
        <x:v>0.135</x:v>
      </x:c>
      <x:c r="N3338" s="11" t="n">
        <x:f>IF(G3338,L3338*AN3338/(1+M3338)^F3338,0)</x:f>
        <x:v>0.006498654255573969</x:v>
      </x:c>
      <x:c r="AJ3338" t="n">
        <x:v>0</x:v>
      </x:c>
      <x:c r="AK3338" t="n">
        <x:v>0</x:v>
      </x:c>
      <x:c r="AL3338" t="n">
        <x:v>0</x:v>
      </x:c>
      <x:c r="AM3338" t="n">
        <x:f>CHOOSE('假设'!$B$3,AJ3338,AK3338,AL3338)</x:f>
        <x:v>0</x:v>
      </x:c>
      <x:c r="AN3338" t="n">
        <x:v>1</x:v>
      </x:c>
    </x:row>
    <x:row r="3339" ht="23" customHeight="1">
      <x:c r="A3339" s="11" t="str">
        <x:v>688382.SH</x:v>
      </x:c>
      <x:c r="B3339" s="11" t="str">
        <x:v>三年</x:v>
      </x:c>
      <x:c r="C3339" s="11" t="str">
        <x:v>tyk_viti_cn</x:v>
      </x:c>
      <x:c r="D3339" s="11" t="str">
        <x:v>2043-12-31</x:v>
      </x:c>
      <x:c r="E3339" s="11" t="str">
        <x:v>CNY</x:v>
      </x:c>
      <x:c r="F3339" s="11" t="n">
        <x:v>14.225872689938399</x:v>
      </x:c>
      <x:c r="G3339" s="26" t="b">
        <x:v>1</x:v>
      </x:c>
      <x:c r="H3339" s="16" t="n">
        <x:v>0.192</x:v>
      </x:c>
      <x:c r="I3339" s="16" t="n">
        <x:v>0.21999999999999997</x:v>
      </x:c>
      <x:c r="J3339" s="16" t="n">
        <x:v>0</x:v>
      </x:c>
      <x:c r="K3339" s="11" t="n">
        <x:f>CHOOSE('假设'!$B$3,H3339,I3339,J3339)</x:f>
        <x:v>0.21999999999999997</x:v>
      </x:c>
      <x:c r="L3339" s="11" t="n">
        <x:f>K3339*'管线假设'!E723*'管线假设'!F723*'管线假设'!G723*IF(E3339="USD",'管线假设'!I723,1)-AM3339</x:f>
        <x:v>0.0218064</x:v>
      </x:c>
      <x:c r="M3339" s="11" t="n">
        <x:f>'管线假设'!H723</x:f>
        <x:v>0.135</x:v>
      </x:c>
      <x:c r="N3339" s="11" t="n">
        <x:f>IF(G3339,L3339*AN3339/(1+M3339)^F3339,0)</x:f>
        <x:v>0.0035993149443706587</x:v>
      </x:c>
      <x:c r="AJ3339" t="n">
        <x:v>0</x:v>
      </x:c>
      <x:c r="AK3339" t="n">
        <x:v>0</x:v>
      </x:c>
      <x:c r="AL3339" t="n">
        <x:v>0</x:v>
      </x:c>
      <x:c r="AM3339" t="n">
        <x:f>CHOOSE('假设'!$B$3,AJ3339,AK3339,AL3339)</x:f>
        <x:v>0</x:v>
      </x:c>
      <x:c r="AN3339" t="n">
        <x:v>1</x:v>
      </x:c>
    </x:row>
    <x:row r="3340" ht="23" customHeight="1">
      <x:c r="A3340" s="11" t="str">
        <x:v>688382.SH</x:v>
      </x:c>
      <x:c r="B3340" s="11" t="str">
        <x:v>三年</x:v>
      </x:c>
      <x:c r="C3340" s="11" t="str">
        <x:v>tyk_viti_cn</x:v>
      </x:c>
      <x:c r="D3340" s="11" t="str">
        <x:v>2044-12-31</x:v>
      </x:c>
      <x:c r="E3340" s="11" t="str">
        <x:v>CNY</x:v>
      </x:c>
      <x:c r="F3340" s="11" t="n">
        <x:v>15.227926078028748</x:v>
      </x:c>
      <x:c r="G3340" s="26" t="b">
        <x:v>1</x:v>
      </x:c>
      <x:c r="H3340" s="16" t="n">
        <x:v>0.13999999999999999</x:v>
      </x:c>
      <x:c r="I3340" s="16" t="n">
        <x:v>0.08999999999999997</x:v>
      </x:c>
      <x:c r="J3340" s="16" t="n">
        <x:v>0</x:v>
      </x:c>
      <x:c r="K3340" s="11" t="n">
        <x:f>CHOOSE('假设'!$B$3,H3340,I3340,J3340)</x:f>
        <x:v>0.08999999999999997</x:v>
      </x:c>
      <x:c r="L3340" s="11" t="n">
        <x:f>K3340*'管线假设'!E723*'管线假设'!F723*'管线假设'!G723*IF(E3340="USD",'管线假设'!I723,1)-AM3340</x:f>
        <x:v>0.008920799999999996</x:v>
      </x:c>
      <x:c r="M3340" s="11" t="n">
        <x:f>'管线假设'!H723</x:f>
        <x:v>0.135</x:v>
      </x:c>
      <x:c r="N3340" s="11" t="n">
        <x:f>IF(G3340,L3340*AN3340/(1+M3340)^F3340,0)</x:f>
        <x:v>0.001296972861669924</x:v>
      </x:c>
      <x:c r="AJ3340" t="n">
        <x:v>0</x:v>
      </x:c>
      <x:c r="AK3340" t="n">
        <x:v>0</x:v>
      </x:c>
      <x:c r="AL3340" t="n">
        <x:v>0</x:v>
      </x:c>
      <x:c r="AM3340" t="n">
        <x:f>CHOOSE('假设'!$B$3,AJ3340,AK3340,AL3340)</x:f>
        <x:v>0</x:v>
      </x:c>
      <x:c r="AN3340" t="n">
        <x:v>1</x:v>
      </x:c>
    </x:row>
    <x:row r="3341" ht="23" customHeight="1">
      <x:c r="A3341" s="11" t="str">
        <x:v>688382.SH</x:v>
      </x:c>
      <x:c r="B3341" s="11" t="str">
        <x:v>三年</x:v>
      </x:c>
      <x:c r="C3341" s="11" t="str">
        <x:v>tyk_viti_cn</x:v>
      </x:c>
      <x:c r="D3341" s="11" t="str">
        <x:v>2045-12-31</x:v>
      </x:c>
      <x:c r="E3341" s="11" t="str">
        <x:v>CNY</x:v>
      </x:c>
      <x:c r="F3341" s="11" t="n">
        <x:v>16.227241615331966</x:v>
      </x:c>
      <x:c r="G3341" s="26" t="b">
        <x:v>1</x:v>
      </x:c>
      <x:c r="H3341" s="16" t="n">
        <x:v>0.088</x:v>
      </x:c>
      <x:c r="I3341" s="16" t="n">
        <x:v>0</x:v>
      </x:c>
      <x:c r="J3341" s="16" t="n">
        <x:v>0</x:v>
      </x:c>
      <x:c r="K3341" s="11" t="n">
        <x:f>CHOOSE('假设'!$B$3,H3341,I3341,J3341)</x:f>
        <x:v>0</x:v>
      </x:c>
      <x:c r="L3341" s="11" t="n">
        <x:f>K3341*'管线假设'!E723*'管线假设'!F723*'管线假设'!G723*IF(E3341="USD",'管线假设'!I723,1)-AM3341</x:f>
        <x:v>0</x:v>
      </x:c>
      <x:c r="M3341" s="11" t="n">
        <x:f>'管线假设'!H723</x:f>
        <x:v>0.135</x:v>
      </x:c>
      <x:c r="N3341" s="11" t="n">
        <x:f>IF(G3341,L3341*AN3341/(1+M3341)^F3341,0)</x:f>
        <x:v>0</x:v>
      </x:c>
      <x:c r="AJ3341" t="n">
        <x:v>0</x:v>
      </x:c>
      <x:c r="AK3341" t="n">
        <x:v>0</x:v>
      </x:c>
      <x:c r="AL3341" t="n">
        <x:v>0</x:v>
      </x:c>
      <x:c r="AM3341" t="n">
        <x:f>CHOOSE('假设'!$B$3,AJ3341,AK3341,AL3341)</x:f>
        <x:v>0</x:v>
      </x:c>
      <x:c r="AN3341" t="n">
        <x:v>1</x:v>
      </x:c>
    </x:row>
    <x:row r="3342" ht="23" customHeight="1">
      <x:c r="A3342" s="11" t="str">
        <x:v>688382.SH</x:v>
      </x:c>
      <x:c r="B3342" s="11" t="str">
        <x:v>三年</x:v>
      </x:c>
      <x:c r="C3342" s="11" t="str">
        <x:v>tyk_global</x:v>
      </x:c>
      <x:c r="D3342" s="11" t="str">
        <x:v>2027-12-31</x:v>
      </x:c>
      <x:c r="E3342" s="11" t="str">
        <x:v>USD</x:v>
      </x:c>
      <x:c r="F3342" s="11" t="n">
        <x:v>-1.7741273100616017</x:v>
      </x:c>
      <x:c r="G3342" s="26" t="b">
        <x:v>0</x:v>
      </x:c>
      <x:c r="H3342" s="16" t="n">
        <x:v>0</x:v>
      </x:c>
      <x:c r="I3342" s="16" t="n">
        <x:v>0</x:v>
      </x:c>
      <x:c r="J3342" s="16" t="n">
        <x:v>0</x:v>
      </x:c>
      <x:c r="K3342" s="11" t="n">
        <x:f>CHOOSE('假设'!$B$3,H3342,I3342,J3342)</x:f>
        <x:v>0</x:v>
      </x:c>
      <x:c r="L3342" s="11" t="n">
        <x:f>K3342*'管线假设'!E727*'管线假设'!F727*'管线假设'!G727*IF(E3342="USD",'管线假设'!I727,1)-AM3342</x:f>
        <x:v>0</x:v>
      </x:c>
      <x:c r="M3342" s="11" t="n">
        <x:f>'管线假设'!H727</x:f>
        <x:v>0.135</x:v>
      </x:c>
      <x:c r="N3342" s="11" t="n">
        <x:f>IF(G3342,L3342*AN3342/(1+M3342)^F3342,0)</x:f>
        <x:v>0</x:v>
      </x:c>
      <x:c r="AJ3342" t="n">
        <x:v>0</x:v>
      </x:c>
      <x:c r="AK3342" t="n">
        <x:v>0</x:v>
      </x:c>
      <x:c r="AL3342" t="n">
        <x:v>0</x:v>
      </x:c>
      <x:c r="AM3342" t="n">
        <x:f>CHOOSE('假设'!$B$3,AJ3342,AK3342,AL3342)</x:f>
        <x:v>0</x:v>
      </x:c>
      <x:c r="AN3342" t="n">
        <x:v>1</x:v>
      </x:c>
    </x:row>
    <x:row r="3343" ht="23" customHeight="1">
      <x:c r="A3343" s="11" t="str">
        <x:v>688382.SH</x:v>
      </x:c>
      <x:c r="B3343" s="11" t="str">
        <x:v>三年</x:v>
      </x:c>
      <x:c r="C3343" s="11" t="str">
        <x:v>tyk_global</x:v>
      </x:c>
      <x:c r="D3343" s="11" t="str">
        <x:v>2028-12-31</x:v>
      </x:c>
      <x:c r="E3343" s="11" t="str">
        <x:v>USD</x:v>
      </x:c>
      <x:c r="F3343" s="11" t="n">
        <x:v>-0.7720739219712526</x:v>
      </x:c>
      <x:c r="G3343" s="26" t="b">
        <x:v>0</x:v>
      </x:c>
      <x:c r="H3343" s="16" t="n">
        <x:v>0</x:v>
      </x:c>
      <x:c r="I3343" s="16" t="n">
        <x:v>0</x:v>
      </x:c>
      <x:c r="J3343" s="16" t="n">
        <x:v>0</x:v>
      </x:c>
      <x:c r="K3343" s="11" t="n">
        <x:f>CHOOSE('假设'!$B$3,H3343,I3343,J3343)</x:f>
        <x:v>0</x:v>
      </x:c>
      <x:c r="L3343" s="11" t="n">
        <x:f>K3343*'管线假设'!E727*'管线假设'!F727*'管线假设'!G727*IF(E3343="USD",'管线假设'!I727,1)-AM3343</x:f>
        <x:v>0</x:v>
      </x:c>
      <x:c r="M3343" s="11" t="n">
        <x:f>'管线假设'!H727</x:f>
        <x:v>0.135</x:v>
      </x:c>
      <x:c r="N3343" s="11" t="n">
        <x:f>IF(G3343,L3343*AN3343/(1+M3343)^F3343,0)</x:f>
        <x:v>0</x:v>
      </x:c>
      <x:c r="AJ3343" t="n">
        <x:v>0</x:v>
      </x:c>
      <x:c r="AK3343" t="n">
        <x:v>0</x:v>
      </x:c>
      <x:c r="AL3343" t="n">
        <x:v>0</x:v>
      </x:c>
      <x:c r="AM3343" t="n">
        <x:f>CHOOSE('假设'!$B$3,AJ3343,AK3343,AL3343)</x:f>
        <x:v>0</x:v>
      </x:c>
      <x:c r="AN3343" t="n">
        <x:v>1</x:v>
      </x:c>
    </x:row>
    <x:row r="3344" ht="23" customHeight="1">
      <x:c r="A3344" s="11" t="str">
        <x:v>688382.SH</x:v>
      </x:c>
      <x:c r="B3344" s="11" t="str">
        <x:v>三年</x:v>
      </x:c>
      <x:c r="C3344" s="11" t="str">
        <x:v>tyk_global</x:v>
      </x:c>
      <x:c r="D3344" s="11" t="str">
        <x:v>2029-12-31</x:v>
      </x:c>
      <x:c r="E3344" s="11" t="str">
        <x:v>USD</x:v>
      </x:c>
      <x:c r="F3344" s="11" t="n">
        <x:v>0.2272416153319644</x:v>
      </x:c>
      <x:c r="G3344" s="26" t="b">
        <x:v>1</x:v>
      </x:c>
      <x:c r="H3344" s="16" t="n">
        <x:v>0</x:v>
      </x:c>
      <x:c r="I3344" s="16" t="n">
        <x:v>0</x:v>
      </x:c>
      <x:c r="J3344" s="16" t="n">
        <x:v>0</x:v>
      </x:c>
      <x:c r="K3344" s="11" t="n">
        <x:f>CHOOSE('假设'!$B$3,H3344,I3344,J3344)</x:f>
        <x:v>0</x:v>
      </x:c>
      <x:c r="L3344" s="11" t="n">
        <x:f>K3344*'管线假设'!E727*'管线假设'!F727*'管线假设'!G727*IF(E3344="USD",'管线假设'!I727,1)-AM3344</x:f>
        <x:v>0</x:v>
      </x:c>
      <x:c r="M3344" s="11" t="n">
        <x:f>'管线假设'!H727</x:f>
        <x:v>0.135</x:v>
      </x:c>
      <x:c r="N3344" s="11" t="n">
        <x:f>IF(G3344,L3344*AN3344/(1+M3344)^F3344,0)</x:f>
        <x:v>0</x:v>
      </x:c>
      <x:c r="AJ3344" t="n">
        <x:v>0</x:v>
      </x:c>
      <x:c r="AK3344" t="n">
        <x:v>0</x:v>
      </x:c>
      <x:c r="AL3344" t="n">
        <x:v>0</x:v>
      </x:c>
      <x:c r="AM3344" t="n">
        <x:f>CHOOSE('假设'!$B$3,AJ3344,AK3344,AL3344)</x:f>
        <x:v>0</x:v>
      </x:c>
      <x:c r="AN3344" t="n">
        <x:v>1</x:v>
      </x:c>
    </x:row>
    <x:row r="3345" ht="23" customHeight="1">
      <x:c r="A3345" s="11" t="str">
        <x:v>688382.SH</x:v>
      </x:c>
      <x:c r="B3345" s="11" t="str">
        <x:v>三年</x:v>
      </x:c>
      <x:c r="C3345" s="11" t="str">
        <x:v>tyk_global</x:v>
      </x:c>
      <x:c r="D3345" s="11" t="str">
        <x:v>2030-12-31</x:v>
      </x:c>
      <x:c r="E3345" s="11" t="str">
        <x:v>USD</x:v>
      </x:c>
      <x:c r="F3345" s="11" t="n">
        <x:v>1.2265571526351813</x:v>
      </x:c>
      <x:c r="G3345" s="26" t="b">
        <x:v>1</x:v>
      </x:c>
      <x:c r="H3345" s="16" t="n">
        <x:v>0</x:v>
      </x:c>
      <x:c r="I3345" s="16" t="n">
        <x:v>0</x:v>
      </x:c>
      <x:c r="J3345" s="16" t="n">
        <x:v>0.6666666666666666</x:v>
      </x:c>
      <x:c r="K3345" s="11" t="n">
        <x:f>CHOOSE('假设'!$B$3,H3345,I3345,J3345)</x:f>
        <x:v>0</x:v>
      </x:c>
      <x:c r="L3345" s="11" t="n">
        <x:f>K3345*'管线假设'!E727*'管线假设'!F727*'管线假设'!G727*IF(E3345="USD",'管线假设'!I727,1)-AM3345</x:f>
        <x:v>0</x:v>
      </x:c>
      <x:c r="M3345" s="11" t="n">
        <x:f>'管线假设'!H727</x:f>
        <x:v>0.135</x:v>
      </x:c>
      <x:c r="N3345" s="11" t="n">
        <x:f>IF(G3345,L3345*AN3345/(1+M3345)^F3345,0)</x:f>
        <x:v>0</x:v>
      </x:c>
      <x:c r="AJ3345" t="n">
        <x:v>0</x:v>
      </x:c>
      <x:c r="AK3345" t="n">
        <x:v>0</x:v>
      </x:c>
      <x:c r="AL3345" t="n">
        <x:v>0</x:v>
      </x:c>
      <x:c r="AM3345" t="n">
        <x:f>CHOOSE('假设'!$B$3,AJ3345,AK3345,AL3345)</x:f>
        <x:v>0</x:v>
      </x:c>
      <x:c r="AN3345" t="n">
        <x:v>1</x:v>
      </x:c>
    </x:row>
    <x:row r="3346" ht="23" customHeight="1">
      <x:c r="A3346" s="11" t="str">
        <x:v>688382.SH</x:v>
      </x:c>
      <x:c r="B3346" s="11" t="str">
        <x:v>三年</x:v>
      </x:c>
      <x:c r="C3346" s="11" t="str">
        <x:v>tyk_global</x:v>
      </x:c>
      <x:c r="D3346" s="11" t="str">
        <x:v>2031-12-31</x:v>
      </x:c>
      <x:c r="E3346" s="11" t="str">
        <x:v>USD</x:v>
      </x:c>
      <x:c r="F3346" s="11" t="n">
        <x:v>2.2258726899383983</x:v>
      </x:c>
      <x:c r="G3346" s="26" t="b">
        <x:v>1</x:v>
      </x:c>
      <x:c r="H3346" s="16" t="n">
        <x:v>0</x:v>
      </x:c>
      <x:c r="I3346" s="16" t="n">
        <x:v>0</x:v>
      </x:c>
      <x:c r="J3346" s="16" t="n">
        <x:v>1.3333333333333333</x:v>
      </x:c>
      <x:c r="K3346" s="11" t="n">
        <x:f>CHOOSE('假设'!$B$3,H3346,I3346,J3346)</x:f>
        <x:v>0</x:v>
      </x:c>
      <x:c r="L3346" s="11" t="n">
        <x:f>K3346*'管线假设'!E727*'管线假设'!F727*'管线假设'!G727*IF(E3346="USD",'管线假设'!I727,1)-AM3346</x:f>
        <x:v>0</x:v>
      </x:c>
      <x:c r="M3346" s="11" t="n">
        <x:f>'管线假设'!H727</x:f>
        <x:v>0.135</x:v>
      </x:c>
      <x:c r="N3346" s="11" t="n">
        <x:f>IF(G3346,L3346*AN3346/(1+M3346)^F3346,0)</x:f>
        <x:v>0</x:v>
      </x:c>
      <x:c r="AJ3346" t="n">
        <x:v>0</x:v>
      </x:c>
      <x:c r="AK3346" t="n">
        <x:v>0</x:v>
      </x:c>
      <x:c r="AL3346" t="n">
        <x:v>0</x:v>
      </x:c>
      <x:c r="AM3346" t="n">
        <x:f>CHOOSE('假设'!$B$3,AJ3346,AK3346,AL3346)</x:f>
        <x:v>0</x:v>
      </x:c>
      <x:c r="AN3346" t="n">
        <x:v>1</x:v>
      </x:c>
    </x:row>
    <x:row r="3347" ht="23" customHeight="1">
      <x:c r="A3347" s="11" t="str">
        <x:v>688382.SH</x:v>
      </x:c>
      <x:c r="B3347" s="11" t="str">
        <x:v>三年</x:v>
      </x:c>
      <x:c r="C3347" s="11" t="str">
        <x:v>tyk_global</x:v>
      </x:c>
      <x:c r="D3347" s="11" t="str">
        <x:v>2032-12-31</x:v>
      </x:c>
      <x:c r="E3347" s="11" t="str">
        <x:v>USD</x:v>
      </x:c>
      <x:c r="F3347" s="11" t="n">
        <x:v>3.2279260780287475</x:v>
      </x:c>
      <x:c r="G3347" s="26" t="b">
        <x:v>1</x:v>
      </x:c>
      <x:c r="H3347" s="16" t="n">
        <x:v>0</x:v>
      </x:c>
      <x:c r="I3347" s="16" t="n">
        <x:v>0.3333333333333333</x:v>
      </x:c>
      <x:c r="J3347" s="16" t="n">
        <x:v>2</x:v>
      </x:c>
      <x:c r="K3347" s="11" t="n">
        <x:f>CHOOSE('假设'!$B$3,H3347,I3347,J3347)</x:f>
        <x:v>0.3333333333333333</x:v>
      </x:c>
      <x:c r="L3347" s="11" t="n">
        <x:f>K3347*'管线假设'!E727*'管线假设'!F727*'管线假设'!G727*IF(E3347="USD",'管线假设'!I727,1)-AM3347</x:f>
        <x:v>0.09404853333333334</x:v>
      </x:c>
      <x:c r="M3347" s="11" t="n">
        <x:f>'管线假设'!H727</x:f>
        <x:v>0.135</x:v>
      </x:c>
      <x:c r="N3347" s="11" t="n">
        <x:f>IF(G3347,L3347*AN3347/(1+M3347)^F3347,0)</x:f>
        <x:v>0.06249272342758678</x:v>
      </x:c>
      <x:c r="AJ3347" t="n">
        <x:v>0</x:v>
      </x:c>
      <x:c r="AK3347" t="n">
        <x:v>0</x:v>
      </x:c>
      <x:c r="AL3347" t="n">
        <x:v>0</x:v>
      </x:c>
      <x:c r="AM3347" t="n">
        <x:f>CHOOSE('假设'!$B$3,AJ3347,AK3347,AL3347)</x:f>
        <x:v>0</x:v>
      </x:c>
      <x:c r="AN3347" t="n">
        <x:v>1</x:v>
      </x:c>
    </x:row>
    <x:row r="3348" ht="23" customHeight="1">
      <x:c r="A3348" s="11" t="str">
        <x:v>688382.SH</x:v>
      </x:c>
      <x:c r="B3348" s="11" t="str">
        <x:v>三年</x:v>
      </x:c>
      <x:c r="C3348" s="11" t="str">
        <x:v>tyk_global</x:v>
      </x:c>
      <x:c r="D3348" s="11" t="str">
        <x:v>2033-12-31</x:v>
      </x:c>
      <x:c r="E3348" s="11" t="str">
        <x:v>USD</x:v>
      </x:c>
      <x:c r="F3348" s="11" t="n">
        <x:v>4.227241615331964</x:v>
      </x:c>
      <x:c r="G3348" s="26" t="b">
        <x:v>1</x:v>
      </x:c>
      <x:c r="H3348" s="16" t="n">
        <x:v>0</x:v>
      </x:c>
      <x:c r="I3348" s="16" t="n">
        <x:v>0.6666666666666666</x:v>
      </x:c>
      <x:c r="J3348" s="16" t="n">
        <x:v>2.6666666666666665</x:v>
      </x:c>
      <x:c r="K3348" s="11" t="n">
        <x:f>CHOOSE('假设'!$B$3,H3348,I3348,J3348)</x:f>
        <x:v>0.6666666666666666</x:v>
      </x:c>
      <x:c r="L3348" s="11" t="n">
        <x:f>K3348*'管线假设'!E727*'管线假设'!F727*'管线假设'!G727*IF(E3348="USD",'管线假设'!I727,1)-AM3348</x:f>
        <x:v>0.18809706666666667</x:v>
      </x:c>
      <x:c r="M3348" s="11" t="n">
        <x:f>'管线假设'!H727</x:f>
        <x:v>0.135</x:v>
      </x:c>
      <x:c r="N3348" s="11" t="n">
        <x:f>IF(G3348,L3348*AN3348/(1+M3348)^F3348,0)</x:f>
        <x:v>0.1101288814792881</x:v>
      </x:c>
      <x:c r="AJ3348" t="n">
        <x:v>0</x:v>
      </x:c>
      <x:c r="AK3348" t="n">
        <x:v>0</x:v>
      </x:c>
      <x:c r="AL3348" t="n">
        <x:v>0</x:v>
      </x:c>
      <x:c r="AM3348" t="n">
        <x:f>CHOOSE('假设'!$B$3,AJ3348,AK3348,AL3348)</x:f>
        <x:v>0</x:v>
      </x:c>
      <x:c r="AN3348" t="n">
        <x:v>1</x:v>
      </x:c>
    </x:row>
    <x:row r="3349" ht="23" customHeight="1">
      <x:c r="A3349" s="11" t="str">
        <x:v>688382.SH</x:v>
      </x:c>
      <x:c r="B3349" s="11" t="str">
        <x:v>三年</x:v>
      </x:c>
      <x:c r="C3349" s="11" t="str">
        <x:v>tyk_global</x:v>
      </x:c>
      <x:c r="D3349" s="11" t="str">
        <x:v>2034-12-31</x:v>
      </x:c>
      <x:c r="E3349" s="11" t="str">
        <x:v>USD</x:v>
      </x:c>
      <x:c r="F3349" s="11" t="n">
        <x:v>5.2265571526351815</x:v>
      </x:c>
      <x:c r="G3349" s="26" t="b">
        <x:v>1</x:v>
      </x:c>
      <x:c r="H3349" s="16" t="n">
        <x:v>0</x:v>
      </x:c>
      <x:c r="I3349" s="16" t="n">
        <x:v>1</x:v>
      </x:c>
      <x:c r="J3349" s="16" t="n">
        <x:v>3.3333333333333335</x:v>
      </x:c>
      <x:c r="K3349" s="11" t="n">
        <x:f>CHOOSE('假设'!$B$3,H3349,I3349,J3349)</x:f>
        <x:v>1</x:v>
      </x:c>
      <x:c r="L3349" s="11" t="n">
        <x:f>K3349*'管线假设'!E727*'管线假设'!F727*'管线假设'!G727*IF(E3349="USD",'管线假设'!I727,1)-AM3349</x:f>
        <x:v>0.28214560000000005</x:v>
      </x:c>
      <x:c r="M3349" s="11" t="n">
        <x:f>'管线假设'!H727</x:f>
        <x:v>0.135</x:v>
      </x:c>
      <x:c r="N3349" s="11" t="n">
        <x:f>IF(G3349,L3349*AN3349/(1+M3349)^F3349,0)</x:f>
        <x:v>0.145557392973113</x:v>
      </x:c>
      <x:c r="AJ3349" t="n">
        <x:v>0</x:v>
      </x:c>
      <x:c r="AK3349" t="n">
        <x:v>0</x:v>
      </x:c>
      <x:c r="AL3349" t="n">
        <x:v>0</x:v>
      </x:c>
      <x:c r="AM3349" t="n">
        <x:f>CHOOSE('假设'!$B$3,AJ3349,AK3349,AL3349)</x:f>
        <x:v>0</x:v>
      </x:c>
      <x:c r="AN3349" t="n">
        <x:v>1</x:v>
      </x:c>
    </x:row>
    <x:row r="3350" ht="23" customHeight="1">
      <x:c r="A3350" s="11" t="str">
        <x:v>688382.SH</x:v>
      </x:c>
      <x:c r="B3350" s="11" t="str">
        <x:v>三年</x:v>
      </x:c>
      <x:c r="C3350" s="11" t="str">
        <x:v>tyk_global</x:v>
      </x:c>
      <x:c r="D3350" s="11" t="str">
        <x:v>2035-12-31</x:v>
      </x:c>
      <x:c r="E3350" s="11" t="str">
        <x:v>USD</x:v>
      </x:c>
      <x:c r="F3350" s="11" t="n">
        <x:v>6.225872689938399</x:v>
      </x:c>
      <x:c r="G3350" s="26" t="b">
        <x:v>1</x:v>
      </x:c>
      <x:c r="H3350" s="16" t="n">
        <x:v>0.13999999999999999</x:v>
      </x:c>
      <x:c r="I3350" s="16" t="n">
        <x:v>1.3333333333333333</x:v>
      </x:c>
      <x:c r="J3350" s="16" t="n">
        <x:v>4</x:v>
      </x:c>
      <x:c r="K3350" s="11" t="n">
        <x:f>CHOOSE('假设'!$B$3,H3350,I3350,J3350)</x:f>
        <x:v>1.3333333333333333</x:v>
      </x:c>
      <x:c r="L3350" s="11" t="n">
        <x:f>K3350*'管线假设'!E727*'管线假设'!F727*'管线假设'!G727*IF(E3350="USD",'管线假设'!I727,1)-AM3350</x:f>
        <x:v>0.37619413333333335</x:v>
      </x:c>
      <x:c r="M3350" s="11" t="n">
        <x:f>'管线假设'!H727</x:f>
        <x:v>0.135</x:v>
      </x:c>
      <x:c r="N3350" s="11" t="n">
        <x:f>IF(G3350,L3350*AN3350/(1+M3350)^F3350,0)</x:f>
        <x:v>0.17100735360274816</x:v>
      </x:c>
      <x:c r="AJ3350" t="n">
        <x:v>0</x:v>
      </x:c>
      <x:c r="AK3350" t="n">
        <x:v>0</x:v>
      </x:c>
      <x:c r="AL3350" t="n">
        <x:v>0</x:v>
      </x:c>
      <x:c r="AM3350" t="n">
        <x:f>CHOOSE('假设'!$B$3,AJ3350,AK3350,AL3350)</x:f>
        <x:v>0</x:v>
      </x:c>
      <x:c r="AN3350" t="n">
        <x:v>1</x:v>
      </x:c>
    </x:row>
    <x:row r="3351" ht="23" customHeight="1">
      <x:c r="A3351" s="11" t="str">
        <x:v>688382.SH</x:v>
      </x:c>
      <x:c r="B3351" s="11" t="str">
        <x:v>三年</x:v>
      </x:c>
      <x:c r="C3351" s="11" t="str">
        <x:v>tyk_global</x:v>
      </x:c>
      <x:c r="D3351" s="11" t="str">
        <x:v>2036-12-31</x:v>
      </x:c>
      <x:c r="E3351" s="11" t="str">
        <x:v>USD</x:v>
      </x:c>
      <x:c r="F3351" s="11" t="n">
        <x:v>7.227926078028747</x:v>
      </x:c>
      <x:c r="G3351" s="26" t="b">
        <x:v>1</x:v>
      </x:c>
      <x:c r="H3351" s="16" t="n">
        <x:v>0.27999999999999997</x:v>
      </x:c>
      <x:c r="I3351" s="16" t="n">
        <x:v>1.6666666666666667</x:v>
      </x:c>
      <x:c r="J3351" s="16" t="n">
        <x:v>3.48</x:v>
      </x:c>
      <x:c r="K3351" s="11" t="n">
        <x:f>CHOOSE('假设'!$B$3,H3351,I3351,J3351)</x:f>
        <x:v>1.6666666666666667</x:v>
      </x:c>
      <x:c r="L3351" s="11" t="n">
        <x:f>K3351*'管线假设'!E727*'管线假设'!F727*'管线假设'!G727*IF(E3351="USD",'管线假设'!I727,1)-AM3351</x:f>
        <x:v>0.4702426666666668</x:v>
      </x:c>
      <x:c r="M3351" s="11" t="n">
        <x:f>'管线假设'!H727</x:f>
        <x:v>0.135</x:v>
      </x:c>
      <x:c r="N3351" s="11" t="n">
        <x:f>IF(G3351,L3351*AN3351/(1+M3351)^F3351,0)</x:f>
        <x:v>0.18828512448150758</x:v>
      </x:c>
      <x:c r="AJ3351" t="n">
        <x:v>0</x:v>
      </x:c>
      <x:c r="AK3351" t="n">
        <x:v>0</x:v>
      </x:c>
      <x:c r="AL3351" t="n">
        <x:v>0</x:v>
      </x:c>
      <x:c r="AM3351" t="n">
        <x:f>CHOOSE('假设'!$B$3,AJ3351,AK3351,AL3351)</x:f>
        <x:v>0</x:v>
      </x:c>
      <x:c r="AN3351" t="n">
        <x:v>1</x:v>
      </x:c>
    </x:row>
    <x:row r="3352" ht="23" customHeight="1">
      <x:c r="A3352" s="11" t="str">
        <x:v>688382.SH</x:v>
      </x:c>
      <x:c r="B3352" s="11" t="str">
        <x:v>三年</x:v>
      </x:c>
      <x:c r="C3352" s="11" t="str">
        <x:v>tyk_global</x:v>
      </x:c>
      <x:c r="D3352" s="11" t="str">
        <x:v>2037-12-31</x:v>
      </x:c>
      <x:c r="E3352" s="11" t="str">
        <x:v>USD</x:v>
      </x:c>
      <x:c r="F3352" s="11" t="n">
        <x:v>8.227241615331964</x:v>
      </x:c>
      <x:c r="G3352" s="26" t="b">
        <x:v>1</x:v>
      </x:c>
      <x:c r="H3352" s="16" t="n">
        <x:v>0.42</x:v>
      </x:c>
      <x:c r="I3352" s="16" t="n">
        <x:v>2</x:v>
      </x:c>
      <x:c r="J3352" s="16" t="n">
        <x:v>2.96</x:v>
      </x:c>
      <x:c r="K3352" s="11" t="n">
        <x:f>CHOOSE('假设'!$B$3,H3352,I3352,J3352)</x:f>
        <x:v>2</x:v>
      </x:c>
      <x:c r="L3352" s="11" t="n">
        <x:f>K3352*'管线假设'!E727*'管线假设'!F727*'管线假设'!G727*IF(E3352="USD",'管线假设'!I727,1)-AM3352</x:f>
        <x:v>0.5642912000000001</x:v>
      </x:c>
      <x:c r="M3352" s="11" t="n">
        <x:f>'管线假设'!H727</x:f>
        <x:v>0.135</x:v>
      </x:c>
      <x:c r="N3352" s="11" t="n">
        <x:f>IF(G3352,L3352*AN3352/(1+M3352)^F3352,0)</x:f>
        <x:v>0.19908522804928752</x:v>
      </x:c>
      <x:c r="AJ3352" t="n">
        <x:v>0</x:v>
      </x:c>
      <x:c r="AK3352" t="n">
        <x:v>0</x:v>
      </x:c>
      <x:c r="AL3352" t="n">
        <x:v>0</x:v>
      </x:c>
      <x:c r="AM3352" t="n">
        <x:f>CHOOSE('假设'!$B$3,AJ3352,AK3352,AL3352)</x:f>
        <x:v>0</x:v>
      </x:c>
      <x:c r="AN3352" t="n">
        <x:v>1</x:v>
      </x:c>
    </x:row>
    <x:row r="3353" ht="23" customHeight="1">
      <x:c r="A3353" s="11" t="str">
        <x:v>688382.SH</x:v>
      </x:c>
      <x:c r="B3353" s="11" t="str">
        <x:v>三年</x:v>
      </x:c>
      <x:c r="C3353" s="11" t="str">
        <x:v>tyk_global</x:v>
      </x:c>
      <x:c r="D3353" s="11" t="str">
        <x:v>2038-12-31</x:v>
      </x:c>
      <x:c r="E3353" s="11" t="str">
        <x:v>USD</x:v>
      </x:c>
      <x:c r="F3353" s="11" t="n">
        <x:v>9.22655715263518</x:v>
      </x:c>
      <x:c r="G3353" s="26" t="b">
        <x:v>1</x:v>
      </x:c>
      <x:c r="H3353" s="16" t="n">
        <x:v>0.5599999999999999</x:v>
      </x:c>
      <x:c r="I3353" s="16" t="n">
        <x:v>1.74</x:v>
      </x:c>
      <x:c r="J3353" s="16" t="n">
        <x:v>2.44</x:v>
      </x:c>
      <x:c r="K3353" s="11" t="n">
        <x:f>CHOOSE('假设'!$B$3,H3353,I3353,J3353)</x:f>
        <x:v>1.74</x:v>
      </x:c>
      <x:c r="L3353" s="11" t="n">
        <x:f>K3353*'管线假设'!E727*'管线假设'!F727*'管线假设'!G727*IF(E3353="USD",'管线假设'!I727,1)-AM3353</x:f>
        <x:v>0.49093334400000005</x:v>
      </x:c>
      <x:c r="M3353" s="11" t="n">
        <x:f>'管线假设'!H727</x:f>
        <x:v>0.135</x:v>
      </x:c>
      <x:c r="N3353" s="11" t="n">
        <x:f>IF(G3353,L3353*AN3353/(1+M3353)^F3353,0)</x:f>
        <x:v>0.15261600139162318</x:v>
      </x:c>
      <x:c r="AJ3353" t="n">
        <x:v>0</x:v>
      </x:c>
      <x:c r="AK3353" t="n">
        <x:v>0</x:v>
      </x:c>
      <x:c r="AL3353" t="n">
        <x:v>0</x:v>
      </x:c>
      <x:c r="AM3353" t="n">
        <x:f>CHOOSE('假设'!$B$3,AJ3353,AK3353,AL3353)</x:f>
        <x:v>0</x:v>
      </x:c>
      <x:c r="AN3353" t="n">
        <x:v>1</x:v>
      </x:c>
    </x:row>
    <x:row r="3354" ht="23" customHeight="1">
      <x:c r="A3354" s="11" t="str">
        <x:v>688382.SH</x:v>
      </x:c>
      <x:c r="B3354" s="11" t="str">
        <x:v>三年</x:v>
      </x:c>
      <x:c r="C3354" s="11" t="str">
        <x:v>tyk_global</x:v>
      </x:c>
      <x:c r="D3354" s="11" t="str">
        <x:v>2039-12-31</x:v>
      </x:c>
      <x:c r="E3354" s="11" t="str">
        <x:v>USD</x:v>
      </x:c>
      <x:c r="F3354" s="11" t="n">
        <x:v>10.225872689938399</x:v>
      </x:c>
      <x:c r="G3354" s="26" t="b">
        <x:v>1</x:v>
      </x:c>
      <x:c r="H3354" s="16" t="n">
        <x:v>0.7</x:v>
      </x:c>
      <x:c r="I3354" s="16" t="n">
        <x:v>1.48</x:v>
      </x:c>
      <x:c r="J3354" s="16" t="n">
        <x:v>1.92</x:v>
      </x:c>
      <x:c r="K3354" s="11" t="n">
        <x:f>CHOOSE('假设'!$B$3,H3354,I3354,J3354)</x:f>
        <x:v>1.48</x:v>
      </x:c>
      <x:c r="L3354" s="11" t="n">
        <x:f>K3354*'管线假设'!E727*'管线假设'!F727*'管线假设'!G727*IF(E3354="USD",'管线假设'!I727,1)-AM3354</x:f>
        <x:v>0.41757548800000005</x:v>
      </x:c>
      <x:c r="M3354" s="11" t="n">
        <x:f>'管线假设'!H727</x:f>
        <x:v>0.135</x:v>
      </x:c>
      <x:c r="N3354" s="11" t="n">
        <x:f>IF(G3354,L3354*AN3354/(1+M3354)^F3354,0)</x:f>
        <x:v>0.11438111317519475</x:v>
      </x:c>
      <x:c r="AJ3354" t="n">
        <x:v>0</x:v>
      </x:c>
      <x:c r="AK3354" t="n">
        <x:v>0</x:v>
      </x:c>
      <x:c r="AL3354" t="n">
        <x:v>0</x:v>
      </x:c>
      <x:c r="AM3354" t="n">
        <x:f>CHOOSE('假设'!$B$3,AJ3354,AK3354,AL3354)</x:f>
        <x:v>0</x:v>
      </x:c>
      <x:c r="AN3354" t="n">
        <x:v>1</x:v>
      </x:c>
    </x:row>
    <x:row r="3355" ht="23" customHeight="1">
      <x:c r="A3355" s="11" t="str">
        <x:v>688382.SH</x:v>
      </x:c>
      <x:c r="B3355" s="11" t="str">
        <x:v>三年</x:v>
      </x:c>
      <x:c r="C3355" s="11" t="str">
        <x:v>tyk_global</x:v>
      </x:c>
      <x:c r="D3355" s="11" t="str">
        <x:v>2040-12-31</x:v>
      </x:c>
      <x:c r="E3355" s="11" t="str">
        <x:v>USD</x:v>
      </x:c>
      <x:c r="F3355" s="11" t="n">
        <x:v>11.227926078028748</x:v>
      </x:c>
      <x:c r="G3355" s="26" t="b">
        <x:v>1</x:v>
      </x:c>
      <x:c r="H3355" s="16" t="n">
        <x:v>0.609</x:v>
      </x:c>
      <x:c r="I3355" s="16" t="n">
        <x:v>1.22</x:v>
      </x:c>
      <x:c r="J3355" s="16" t="n">
        <x:v>1.4</x:v>
      </x:c>
      <x:c r="K3355" s="11" t="n">
        <x:f>CHOOSE('假设'!$B$3,H3355,I3355,J3355)</x:f>
        <x:v>1.22</x:v>
      </x:c>
      <x:c r="L3355" s="11" t="n">
        <x:f>K3355*'管线假设'!E727*'管线假设'!F727*'管线假设'!G727*IF(E3355="USD",'管线假设'!I727,1)-AM3355</x:f>
        <x:v>0.34421763200000005</x:v>
      </x:c>
      <x:c r="M3355" s="11" t="n">
        <x:f>'管线假设'!H727</x:f>
        <x:v>0.135</x:v>
      </x:c>
      <x:c r="N3355" s="11" t="n">
        <x:f>IF(G3355,L3355*AN3355/(1+M3355)^F3355,0)</x:f>
        <x:v>0.08305076644647803</x:v>
      </x:c>
      <x:c r="AJ3355" t="n">
        <x:v>0</x:v>
      </x:c>
      <x:c r="AK3355" t="n">
        <x:v>0</x:v>
      </x:c>
      <x:c r="AL3355" t="n">
        <x:v>0</x:v>
      </x:c>
      <x:c r="AM3355" t="n">
        <x:f>CHOOSE('假设'!$B$3,AJ3355,AK3355,AL3355)</x:f>
        <x:v>0</x:v>
      </x:c>
      <x:c r="AN3355" t="n">
        <x:v>1</x:v>
      </x:c>
    </x:row>
    <x:row r="3356" ht="23" customHeight="1">
      <x:c r="A3356" s="11" t="str">
        <x:v>688382.SH</x:v>
      </x:c>
      <x:c r="B3356" s="11" t="str">
        <x:v>三年</x:v>
      </x:c>
      <x:c r="C3356" s="11" t="str">
        <x:v>tyk_global</x:v>
      </x:c>
      <x:c r="D3356" s="11" t="str">
        <x:v>2041-12-31</x:v>
      </x:c>
      <x:c r="E3356" s="11" t="str">
        <x:v>USD</x:v>
      </x:c>
      <x:c r="F3356" s="11" t="n">
        <x:v>12.227241615331964</x:v>
      </x:c>
      <x:c r="G3356" s="26" t="b">
        <x:v>1</x:v>
      </x:c>
      <x:c r="H3356" s="16" t="n">
        <x:v>0.518</x:v>
      </x:c>
      <x:c r="I3356" s="16" t="n">
        <x:v>0.96</x:v>
      </x:c>
      <x:c r="J3356" s="16" t="n">
        <x:v>0.8799999999999999</x:v>
      </x:c>
      <x:c r="K3356" s="11" t="n">
        <x:f>CHOOSE('假设'!$B$3,H3356,I3356,J3356)</x:f>
        <x:v>0.96</x:v>
      </x:c>
      <x:c r="L3356" s="11" t="n">
        <x:f>K3356*'管线假设'!E727*'管线假设'!F727*'管线假设'!G727*IF(E3356="USD",'管线假设'!I727,1)-AM3356</x:f>
        <x:v>0.270859776</x:v>
      </x:c>
      <x:c r="M3356" s="11" t="n">
        <x:f>'管线假设'!H727</x:f>
        <x:v>0.135</x:v>
      </x:c>
      <x:c r="N3356" s="11" t="n">
        <x:f>IF(G3356,L3356*AN3356/(1+M3356)^F3356,0)</x:f>
        <x:v>0.05758333689771062</x:v>
      </x:c>
      <x:c r="AJ3356" t="n">
        <x:v>0</x:v>
      </x:c>
      <x:c r="AK3356" t="n">
        <x:v>0</x:v>
      </x:c>
      <x:c r="AL3356" t="n">
        <x:v>0</x:v>
      </x:c>
      <x:c r="AM3356" t="n">
        <x:f>CHOOSE('假设'!$B$3,AJ3356,AK3356,AL3356)</x:f>
        <x:v>0</x:v>
      </x:c>
      <x:c r="AN3356" t="n">
        <x:v>1</x:v>
      </x:c>
    </x:row>
    <x:row r="3357" ht="23" customHeight="1">
      <x:c r="A3357" s="11" t="str">
        <x:v>688382.SH</x:v>
      </x:c>
      <x:c r="B3357" s="11" t="str">
        <x:v>三年</x:v>
      </x:c>
      <x:c r="C3357" s="11" t="str">
        <x:v>tyk_global</x:v>
      </x:c>
      <x:c r="D3357" s="11" t="str">
        <x:v>2042-12-31</x:v>
      </x:c>
      <x:c r="E3357" s="11" t="str">
        <x:v>USD</x:v>
      </x:c>
      <x:c r="F3357" s="11" t="n">
        <x:v>13.22655715263518</x:v>
      </x:c>
      <x:c r="G3357" s="26" t="b">
        <x:v>1</x:v>
      </x:c>
      <x:c r="H3357" s="16" t="n">
        <x:v>0.427</x:v>
      </x:c>
      <x:c r="I3357" s="16" t="n">
        <x:v>0.7</x:v>
      </x:c>
      <x:c r="J3357" s="16" t="n">
        <x:v>0.3599999999999999</x:v>
      </x:c>
      <x:c r="K3357" s="11" t="n">
        <x:f>CHOOSE('假设'!$B$3,H3357,I3357,J3357)</x:f>
        <x:v>0.7</x:v>
      </x:c>
      <x:c r="L3357" s="11" t="n">
        <x:f>K3357*'管线假设'!E727*'管线假设'!F727*'管线假设'!G727*IF(E3357="USD",'管线假设'!I727,1)-AM3357</x:f>
        <x:v>0.19750192</x:v>
      </x:c>
      <x:c r="M3357" s="11" t="n">
        <x:f>'管线假设'!H727</x:f>
        <x:v>0.135</x:v>
      </x:c>
      <x:c r="N3357" s="11" t="n">
        <x:f>IF(G3357,L3357*AN3357/(1+M3357)^F3357,0)</x:f>
        <x:v>0.03699690686302402</x:v>
      </x:c>
      <x:c r="AJ3357" t="n">
        <x:v>0</x:v>
      </x:c>
      <x:c r="AK3357" t="n">
        <x:v>0</x:v>
      </x:c>
      <x:c r="AL3357" t="n">
        <x:v>0</x:v>
      </x:c>
      <x:c r="AM3357" t="n">
        <x:f>CHOOSE('假设'!$B$3,AJ3357,AK3357,AL3357)</x:f>
        <x:v>0</x:v>
      </x:c>
      <x:c r="AN3357" t="n">
        <x:v>1</x:v>
      </x:c>
    </x:row>
    <x:row r="3358" ht="23" customHeight="1">
      <x:c r="A3358" s="11" t="str">
        <x:v>688382.SH</x:v>
      </x:c>
      <x:c r="B3358" s="11" t="str">
        <x:v>三年</x:v>
      </x:c>
      <x:c r="C3358" s="11" t="str">
        <x:v>tyk_global</x:v>
      </x:c>
      <x:c r="D3358" s="11" t="str">
        <x:v>2043-12-31</x:v>
      </x:c>
      <x:c r="E3358" s="11" t="str">
        <x:v>USD</x:v>
      </x:c>
      <x:c r="F3358" s="11" t="n">
        <x:v>14.225872689938399</x:v>
      </x:c>
      <x:c r="G3358" s="26" t="b">
        <x:v>1</x:v>
      </x:c>
      <x:c r="H3358" s="16" t="n">
        <x:v>0.33599999999999997</x:v>
      </x:c>
      <x:c r="I3358" s="16" t="n">
        <x:v>0.43999999999999995</x:v>
      </x:c>
      <x:c r="J3358" s="16" t="n">
        <x:v>0</x:v>
      </x:c>
      <x:c r="K3358" s="11" t="n">
        <x:f>CHOOSE('假设'!$B$3,H3358,I3358,J3358)</x:f>
        <x:v>0.43999999999999995</x:v>
      </x:c>
      <x:c r="L3358" s="11" t="n">
        <x:f>K3358*'管线假设'!E727*'管线假设'!F727*'管线假设'!G727*IF(E3358="USD",'管线假设'!I727,1)-AM3358</x:f>
        <x:v>0.12414406400000001</x:v>
      </x:c>
      <x:c r="M3358" s="11" t="n">
        <x:f>'管线假设'!H727</x:f>
        <x:v>0.135</x:v>
      </x:c>
      <x:c r="N3358" s="11" t="n">
        <x:f>IF(G3358,L3358*AN3358/(1+M3358)^F3358,0)</x:f>
        <x:v>0.020490937743511427</x:v>
      </x:c>
      <x:c r="AJ3358" t="n">
        <x:v>0</x:v>
      </x:c>
      <x:c r="AK3358" t="n">
        <x:v>0</x:v>
      </x:c>
      <x:c r="AL3358" t="n">
        <x:v>0</x:v>
      </x:c>
      <x:c r="AM3358" t="n">
        <x:f>CHOOSE('假设'!$B$3,AJ3358,AK3358,AL3358)</x:f>
        <x:v>0</x:v>
      </x:c>
      <x:c r="AN3358" t="n">
        <x:v>1</x:v>
      </x:c>
    </x:row>
    <x:row r="3359" ht="23" customHeight="1">
      <x:c r="A3359" s="11" t="str">
        <x:v>688382.SH</x:v>
      </x:c>
      <x:c r="B3359" s="11" t="str">
        <x:v>三年</x:v>
      </x:c>
      <x:c r="C3359" s="11" t="str">
        <x:v>tyk_global</x:v>
      </x:c>
      <x:c r="D3359" s="11" t="str">
        <x:v>2044-12-31</x:v>
      </x:c>
      <x:c r="E3359" s="11" t="str">
        <x:v>USD</x:v>
      </x:c>
      <x:c r="F3359" s="11" t="n">
        <x:v>15.227926078028748</x:v>
      </x:c>
      <x:c r="G3359" s="26" t="b">
        <x:v>1</x:v>
      </x:c>
      <x:c r="H3359" s="16" t="n">
        <x:v>0.24499999999999997</x:v>
      </x:c>
      <x:c r="I3359" s="16" t="n">
        <x:v>0.17999999999999994</x:v>
      </x:c>
      <x:c r="J3359" s="16" t="n">
        <x:v>0</x:v>
      </x:c>
      <x:c r="K3359" s="11" t="n">
        <x:f>CHOOSE('假设'!$B$3,H3359,I3359,J3359)</x:f>
        <x:v>0.17999999999999994</x:v>
      </x:c>
      <x:c r="L3359" s="11" t="n">
        <x:f>K3359*'管线假设'!E727*'管线假设'!F727*'管线假设'!G727*IF(E3359="USD",'管线假设'!I727,1)-AM3359</x:f>
        <x:v>0.05078620799999999</x:v>
      </x:c>
      <x:c r="M3359" s="11" t="n">
        <x:f>'管线假设'!H727</x:f>
        <x:v>0.135</x:v>
      </x:c>
      <x:c r="N3359" s="11" t="n">
        <x:f>IF(G3359,L3359*AN3359/(1+M3359)^F3359,0)</x:f>
        <x:v>0.007383680109757422</x:v>
      </x:c>
      <x:c r="AJ3359" t="n">
        <x:v>0</x:v>
      </x:c>
      <x:c r="AK3359" t="n">
        <x:v>0</x:v>
      </x:c>
      <x:c r="AL3359" t="n">
        <x:v>0</x:v>
      </x:c>
      <x:c r="AM3359" t="n">
        <x:f>CHOOSE('假设'!$B$3,AJ3359,AK3359,AL3359)</x:f>
        <x:v>0</x:v>
      </x:c>
      <x:c r="AN3359" t="n">
        <x:v>1</x:v>
      </x:c>
    </x:row>
    <x:row r="3360" ht="23" customHeight="1">
      <x:c r="A3360" s="11" t="str">
        <x:v>688382.SH</x:v>
      </x:c>
      <x:c r="B3360" s="11" t="str">
        <x:v>三年</x:v>
      </x:c>
      <x:c r="C3360" s="11" t="str">
        <x:v>tyk_global</x:v>
      </x:c>
      <x:c r="D3360" s="11" t="str">
        <x:v>2045-12-31</x:v>
      </x:c>
      <x:c r="E3360" s="11" t="str">
        <x:v>USD</x:v>
      </x:c>
      <x:c r="F3360" s="11" t="n">
        <x:v>16.227241615331966</x:v>
      </x:c>
      <x:c r="G3360" s="26" t="b">
        <x:v>1</x:v>
      </x:c>
      <x:c r="H3360" s="16" t="n">
        <x:v>0.15399999999999997</x:v>
      </x:c>
      <x:c r="I3360" s="16" t="n">
        <x:v>0</x:v>
      </x:c>
      <x:c r="J3360" s="16" t="n">
        <x:v>0</x:v>
      </x:c>
      <x:c r="K3360" s="11" t="n">
        <x:f>CHOOSE('假设'!$B$3,H3360,I3360,J3360)</x:f>
        <x:v>0</x:v>
      </x:c>
      <x:c r="L3360" s="11" t="n">
        <x:f>K3360*'管线假设'!E727*'管线假设'!F727*'管线假设'!G727*IF(E3360="USD",'管线假设'!I727,1)-AM3360</x:f>
        <x:v>0</x:v>
      </x:c>
      <x:c r="M3360" s="11" t="n">
        <x:f>'管线假设'!H727</x:f>
        <x:v>0.135</x:v>
      </x:c>
      <x:c r="N3360" s="11" t="n">
        <x:f>IF(G3360,L3360*AN3360/(1+M3360)^F3360,0)</x:f>
        <x:v>0</x:v>
      </x:c>
      <x:c r="AJ3360" t="n">
        <x:v>0</x:v>
      </x:c>
      <x:c r="AK3360" t="n">
        <x:v>0</x:v>
      </x:c>
      <x:c r="AL3360" t="n">
        <x:v>0</x:v>
      </x:c>
      <x:c r="AM3360" t="n">
        <x:f>CHOOSE('假设'!$B$3,AJ3360,AK3360,AL3360)</x:f>
        <x:v>0</x:v>
      </x:c>
      <x:c r="AN3360" t="n">
        <x:v>1</x:v>
      </x:c>
    </x:row>
    <x:row r="3361" ht="23" customHeight="1">
      <x:c r="A3361" s="11" t="str">
        <x:v>688382.SH</x:v>
      </x:c>
      <x:c r="B3361" s="11" t="str">
        <x:v>三年</x:v>
      </x:c>
      <x:c r="C3361" s="11" t="str">
        <x:v>serd_cn</x:v>
      </x:c>
      <x:c r="D3361" s="11" t="str">
        <x:v>2027-12-31</x:v>
      </x:c>
      <x:c r="E3361" s="11" t="str">
        <x:v>CNY</x:v>
      </x:c>
      <x:c r="F3361" s="11" t="n">
        <x:v>-1.7741273100616017</x:v>
      </x:c>
      <x:c r="G3361" s="26" t="b">
        <x:v>0</x:v>
      </x:c>
      <x:c r="H3361" s="16" t="n">
        <x:v>0</x:v>
      </x:c>
      <x:c r="I3361" s="16" t="n">
        <x:v>0</x:v>
      </x:c>
      <x:c r="J3361" s="16" t="n">
        <x:v>0</x:v>
      </x:c>
      <x:c r="K3361" s="11" t="n">
        <x:f>CHOOSE('假设'!$B$3,H3361,I3361,J3361)</x:f>
        <x:v>0</x:v>
      </x:c>
      <x:c r="L3361" s="11" t="n">
        <x:f>K3361*'管线假设'!E731*'管线假设'!F731*'管线假设'!G731*IF(E3361="USD",'管线假设'!I731,1)-AM3361</x:f>
        <x:v>0</x:v>
      </x:c>
      <x:c r="M3361" s="11" t="n">
        <x:f>'管线假设'!H731</x:f>
        <x:v>0.135</x:v>
      </x:c>
      <x:c r="N3361" s="11" t="n">
        <x:f>IF(G3361,L3361*AN3361/(1+M3361)^F3361,0)</x:f>
        <x:v>0</x:v>
      </x:c>
      <x:c r="AJ3361" t="n">
        <x:v>0</x:v>
      </x:c>
      <x:c r="AK3361" t="n">
        <x:v>0</x:v>
      </x:c>
      <x:c r="AL3361" t="n">
        <x:v>0</x:v>
      </x:c>
      <x:c r="AM3361" t="n">
        <x:f>CHOOSE('假设'!$B$3,AJ3361,AK3361,AL3361)</x:f>
        <x:v>0</x:v>
      </x:c>
      <x:c r="AN3361" t="n">
        <x:v>1</x:v>
      </x:c>
    </x:row>
    <x:row r="3362" ht="23" customHeight="1">
      <x:c r="A3362" s="11" t="str">
        <x:v>688382.SH</x:v>
      </x:c>
      <x:c r="B3362" s="11" t="str">
        <x:v>三年</x:v>
      </x:c>
      <x:c r="C3362" s="11" t="str">
        <x:v>serd_cn</x:v>
      </x:c>
      <x:c r="D3362" s="11" t="str">
        <x:v>2028-12-31</x:v>
      </x:c>
      <x:c r="E3362" s="11" t="str">
        <x:v>CNY</x:v>
      </x:c>
      <x:c r="F3362" s="11" t="n">
        <x:v>-0.7720739219712526</x:v>
      </x:c>
      <x:c r="G3362" s="26" t="b">
        <x:v>0</x:v>
      </x:c>
      <x:c r="H3362" s="16" t="n">
        <x:v>0</x:v>
      </x:c>
      <x:c r="I3362" s="16" t="n">
        <x:v>0</x:v>
      </x:c>
      <x:c r="J3362" s="16" t="n">
        <x:v>0.4666666666666666</x:v>
      </x:c>
      <x:c r="K3362" s="11" t="n">
        <x:f>CHOOSE('假设'!$B$3,H3362,I3362,J3362)</x:f>
        <x:v>0</x:v>
      </x:c>
      <x:c r="L3362" s="11" t="n">
        <x:f>K3362*'管线假设'!E731*'管线假设'!F731*'管线假设'!G731*IF(E3362="USD",'管线假设'!I731,1)-AM3362</x:f>
        <x:v>0</x:v>
      </x:c>
      <x:c r="M3362" s="11" t="n">
        <x:f>'管线假设'!H731</x:f>
        <x:v>0.135</x:v>
      </x:c>
      <x:c r="N3362" s="11" t="n">
        <x:f>IF(G3362,L3362*AN3362/(1+M3362)^F3362,0)</x:f>
        <x:v>0</x:v>
      </x:c>
      <x:c r="AJ3362" t="n">
        <x:v>0</x:v>
      </x:c>
      <x:c r="AK3362" t="n">
        <x:v>0</x:v>
      </x:c>
      <x:c r="AL3362" t="n">
        <x:v>0</x:v>
      </x:c>
      <x:c r="AM3362" t="n">
        <x:f>CHOOSE('假设'!$B$3,AJ3362,AK3362,AL3362)</x:f>
        <x:v>0</x:v>
      </x:c>
      <x:c r="AN3362" t="n">
        <x:v>1</x:v>
      </x:c>
    </x:row>
    <x:row r="3363" ht="23" customHeight="1">
      <x:c r="A3363" s="11" t="str">
        <x:v>688382.SH</x:v>
      </x:c>
      <x:c r="B3363" s="11" t="str">
        <x:v>三年</x:v>
      </x:c>
      <x:c r="C3363" s="11" t="str">
        <x:v>serd_cn</x:v>
      </x:c>
      <x:c r="D3363" s="11" t="str">
        <x:v>2029-12-31</x:v>
      </x:c>
      <x:c r="E3363" s="11" t="str">
        <x:v>CNY</x:v>
      </x:c>
      <x:c r="F3363" s="11" t="n">
        <x:v>0.2272416153319644</x:v>
      </x:c>
      <x:c r="G3363" s="26" t="b">
        <x:v>1</x:v>
      </x:c>
      <x:c r="H3363" s="16" t="n">
        <x:v>0</x:v>
      </x:c>
      <x:c r="I3363" s="16" t="n">
        <x:v>0.25</x:v>
      </x:c>
      <x:c r="J3363" s="16" t="n">
        <x:v>0.9333333333333332</x:v>
      </x:c>
      <x:c r="K3363" s="11" t="n">
        <x:f>CHOOSE('假设'!$B$3,H3363,I3363,J3363)</x:f>
        <x:v>0.25</x:v>
      </x:c>
      <x:c r="L3363" s="11" t="n">
        <x:f>K3363*'管线假设'!E731*'管线假设'!F731*'管线假设'!G731*IF(E3363="USD",'管线假设'!I731,1)-AM3363</x:f>
        <x:v>0.0434</x:v>
      </x:c>
      <x:c r="M3363" s="11" t="n">
        <x:f>'管线假设'!H731</x:f>
        <x:v>0.135</x:v>
      </x:c>
      <x:c r="N3363" s="11" t="n">
        <x:f>IF(G3363,L3363*AN3363/(1+M3363)^F3363,0)</x:f>
        <x:v>0.042168910560389114</x:v>
      </x:c>
      <x:c r="AJ3363" t="n">
        <x:v>0</x:v>
      </x:c>
      <x:c r="AK3363" t="n">
        <x:v>0</x:v>
      </x:c>
      <x:c r="AL3363" t="n">
        <x:v>0</x:v>
      </x:c>
      <x:c r="AM3363" t="n">
        <x:f>CHOOSE('假设'!$B$3,AJ3363,AK3363,AL3363)</x:f>
        <x:v>0</x:v>
      </x:c>
      <x:c r="AN3363" t="n">
        <x:v>1</x:v>
      </x:c>
    </x:row>
    <x:row r="3364" ht="23" customHeight="1">
      <x:c r="A3364" s="11" t="str">
        <x:v>688382.SH</x:v>
      </x:c>
      <x:c r="B3364" s="11" t="str">
        <x:v>三年</x:v>
      </x:c>
      <x:c r="C3364" s="11" t="str">
        <x:v>serd_cn</x:v>
      </x:c>
      <x:c r="D3364" s="11" t="str">
        <x:v>2030-12-31</x:v>
      </x:c>
      <x:c r="E3364" s="11" t="str">
        <x:v>CNY</x:v>
      </x:c>
      <x:c r="F3364" s="11" t="n">
        <x:v>1.2265571526351813</x:v>
      </x:c>
      <x:c r="G3364" s="26" t="b">
        <x:v>1</x:v>
      </x:c>
      <x:c r="H3364" s="16" t="n">
        <x:v>0</x:v>
      </x:c>
      <x:c r="I3364" s="16" t="n">
        <x:v>0.5</x:v>
      </x:c>
      <x:c r="J3364" s="16" t="n">
        <x:v>1.4</x:v>
      </x:c>
      <x:c r="K3364" s="11" t="n">
        <x:f>CHOOSE('假设'!$B$3,H3364,I3364,J3364)</x:f>
        <x:v>0.5</x:v>
      </x:c>
      <x:c r="L3364" s="11" t="n">
        <x:f>K3364*'管线假设'!E731*'管线假设'!F731*'管线假设'!G731*IF(E3364="USD",'管线假设'!I731,1)-AM3364</x:f>
        <x:v>0.0868</x:v>
      </x:c>
      <x:c r="M3364" s="11" t="n">
        <x:f>'管线假设'!H731</x:f>
        <x:v>0.135</x:v>
      </x:c>
      <x:c r="N3364" s="11" t="n">
        <x:f>IF(G3364,L3364*AN3364/(1+M3364)^F3364,0)</x:f>
        <x:v>0.07431289114159073</x:v>
      </x:c>
      <x:c r="AJ3364" t="n">
        <x:v>0</x:v>
      </x:c>
      <x:c r="AK3364" t="n">
        <x:v>0</x:v>
      </x:c>
      <x:c r="AL3364" t="n">
        <x:v>0</x:v>
      </x:c>
      <x:c r="AM3364" t="n">
        <x:f>CHOOSE('假设'!$B$3,AJ3364,AK3364,AL3364)</x:f>
        <x:v>0</x:v>
      </x:c>
      <x:c r="AN3364" t="n">
        <x:v>1</x:v>
      </x:c>
    </x:row>
    <x:row r="3365" ht="23" customHeight="1">
      <x:c r="A3365" s="11" t="str">
        <x:v>688382.SH</x:v>
      </x:c>
      <x:c r="B3365" s="11" t="str">
        <x:v>三年</x:v>
      </x:c>
      <x:c r="C3365" s="11" t="str">
        <x:v>serd_cn</x:v>
      </x:c>
      <x:c r="D3365" s="11" t="str">
        <x:v>2031-12-31</x:v>
      </x:c>
      <x:c r="E3365" s="11" t="str">
        <x:v>CNY</x:v>
      </x:c>
      <x:c r="F3365" s="11" t="n">
        <x:v>2.2258726899383983</x:v>
      </x:c>
      <x:c r="G3365" s="26" t="b">
        <x:v>1</x:v>
      </x:c>
      <x:c r="H3365" s="16" t="n">
        <x:v>0.12</x:v>
      </x:c>
      <x:c r="I3365" s="16" t="n">
        <x:v>0.75</x:v>
      </x:c>
      <x:c r="J3365" s="16" t="n">
        <x:v>1.8666666666666665</x:v>
      </x:c>
      <x:c r="K3365" s="11" t="n">
        <x:f>CHOOSE('假设'!$B$3,H3365,I3365,J3365)</x:f>
        <x:v>0.75</x:v>
      </x:c>
      <x:c r="L3365" s="11" t="n">
        <x:f>K3365*'管线假设'!E731*'管线假设'!F731*'管线假设'!G731*IF(E3365="USD",'管线假设'!I731,1)-AM3365</x:f>
        <x:v>0.1302</x:v>
      </x:c>
      <x:c r="M3365" s="11" t="n">
        <x:f>'管线假设'!H731</x:f>
        <x:v>0.135</x:v>
      </x:c>
      <x:c r="N3365" s="11" t="n">
        <x:f>IF(G3365,L3365*AN3365/(1+M3365)^F3365,0)</x:f>
        <x:v>0.09821938217813461</x:v>
      </x:c>
      <x:c r="AJ3365" t="n">
        <x:v>0</x:v>
      </x:c>
      <x:c r="AK3365" t="n">
        <x:v>0</x:v>
      </x:c>
      <x:c r="AL3365" t="n">
        <x:v>0</x:v>
      </x:c>
      <x:c r="AM3365" t="n">
        <x:f>CHOOSE('假设'!$B$3,AJ3365,AK3365,AL3365)</x:f>
        <x:v>0</x:v>
      </x:c>
      <x:c r="AN3365" t="n">
        <x:v>1</x:v>
      </x:c>
    </x:row>
    <x:row r="3366" ht="23" customHeight="1">
      <x:c r="A3366" s="11" t="str">
        <x:v>688382.SH</x:v>
      </x:c>
      <x:c r="B3366" s="11" t="str">
        <x:v>三年</x:v>
      </x:c>
      <x:c r="C3366" s="11" t="str">
        <x:v>serd_cn</x:v>
      </x:c>
      <x:c r="D3366" s="11" t="str">
        <x:v>2032-12-31</x:v>
      </x:c>
      <x:c r="E3366" s="11" t="str">
        <x:v>CNY</x:v>
      </x:c>
      <x:c r="F3366" s="11" t="n">
        <x:v>3.2279260780287475</x:v>
      </x:c>
      <x:c r="G3366" s="26" t="b">
        <x:v>1</x:v>
      </x:c>
      <x:c r="H3366" s="16" t="n">
        <x:v>0.24</x:v>
      </x:c>
      <x:c r="I3366" s="16" t="n">
        <x:v>1</x:v>
      </x:c>
      <x:c r="J3366" s="16" t="n">
        <x:v>2.3333333333333335</x:v>
      </x:c>
      <x:c r="K3366" s="11" t="n">
        <x:f>CHOOSE('假设'!$B$3,H3366,I3366,J3366)</x:f>
        <x:v>1</x:v>
      </x:c>
      <x:c r="L3366" s="11" t="n">
        <x:f>K3366*'管线假设'!E731*'管线假设'!F731*'管线假设'!G731*IF(E3366="USD",'管线假设'!I731,1)-AM3366</x:f>
        <x:v>0.1736</x:v>
      </x:c>
      <x:c r="M3366" s="11" t="n">
        <x:f>'管线假设'!H731</x:f>
        <x:v>0.135</x:v>
      </x:c>
      <x:c r="N3366" s="11" t="n">
        <x:f>IF(G3366,L3366*AN3366/(1+M3366)^F3366,0)</x:f>
        <x:v>0.11535253557414042</x:v>
      </x:c>
      <x:c r="AJ3366" t="n">
        <x:v>0</x:v>
      </x:c>
      <x:c r="AK3366" t="n">
        <x:v>0</x:v>
      </x:c>
      <x:c r="AL3366" t="n">
        <x:v>0</x:v>
      </x:c>
      <x:c r="AM3366" t="n">
        <x:f>CHOOSE('假设'!$B$3,AJ3366,AK3366,AL3366)</x:f>
        <x:v>0</x:v>
      </x:c>
      <x:c r="AN3366" t="n">
        <x:v>1</x:v>
      </x:c>
    </x:row>
    <x:row r="3367" ht="23" customHeight="1">
      <x:c r="A3367" s="11" t="str">
        <x:v>688382.SH</x:v>
      </x:c>
      <x:c r="B3367" s="11" t="str">
        <x:v>三年</x:v>
      </x:c>
      <x:c r="C3367" s="11" t="str">
        <x:v>serd_cn</x:v>
      </x:c>
      <x:c r="D3367" s="11" t="str">
        <x:v>2033-12-31</x:v>
      </x:c>
      <x:c r="E3367" s="11" t="str">
        <x:v>CNY</x:v>
      </x:c>
      <x:c r="F3367" s="11" t="n">
        <x:v>4.227241615331964</x:v>
      </x:c>
      <x:c r="G3367" s="26" t="b">
        <x:v>1</x:v>
      </x:c>
      <x:c r="H3367" s="16" t="n">
        <x:v>0.36</x:v>
      </x:c>
      <x:c r="I3367" s="16" t="n">
        <x:v>1.25</x:v>
      </x:c>
      <x:c r="J3367" s="16" t="n">
        <x:v>2.8</x:v>
      </x:c>
      <x:c r="K3367" s="11" t="n">
        <x:f>CHOOSE('假设'!$B$3,H3367,I3367,J3367)</x:f>
        <x:v>1.25</x:v>
      </x:c>
      <x:c r="L3367" s="11" t="n">
        <x:f>K3367*'管线假设'!E731*'管线假设'!F731*'管线假设'!G731*IF(E3367="USD",'管线假设'!I731,1)-AM3367</x:f>
        <x:v>0.21700000000000003</x:v>
      </x:c>
      <x:c r="M3367" s="11" t="n">
        <x:f>'管线假设'!H731</x:f>
        <x:v>0.135</x:v>
      </x:c>
      <x:c r="N3367" s="11" t="n">
        <x:f>IF(G3367,L3367*AN3367/(1+M3367)^F3367,0)</x:f>
        <x:v>0.12705124914763255</x:v>
      </x:c>
      <x:c r="AJ3367" t="n">
        <x:v>0</x:v>
      </x:c>
      <x:c r="AK3367" t="n">
        <x:v>0</x:v>
      </x:c>
      <x:c r="AL3367" t="n">
        <x:v>0</x:v>
      </x:c>
      <x:c r="AM3367" t="n">
        <x:f>CHOOSE('假设'!$B$3,AJ3367,AK3367,AL3367)</x:f>
        <x:v>0</x:v>
      </x:c>
      <x:c r="AN3367" t="n">
        <x:v>1</x:v>
      </x:c>
    </x:row>
    <x:row r="3368" ht="23" customHeight="1">
      <x:c r="A3368" s="11" t="str">
        <x:v>688382.SH</x:v>
      </x:c>
      <x:c r="B3368" s="11" t="str">
        <x:v>三年</x:v>
      </x:c>
      <x:c r="C3368" s="11" t="str">
        <x:v>serd_cn</x:v>
      </x:c>
      <x:c r="D3368" s="11" t="str">
        <x:v>2034-12-31</x:v>
      </x:c>
      <x:c r="E3368" s="11" t="str">
        <x:v>CNY</x:v>
      </x:c>
      <x:c r="F3368" s="11" t="n">
        <x:v>5.2265571526351815</x:v>
      </x:c>
      <x:c r="G3368" s="26" t="b">
        <x:v>1</x:v>
      </x:c>
      <x:c r="H3368" s="16" t="n">
        <x:v>0.48</x:v>
      </x:c>
      <x:c r="I3368" s="16" t="n">
        <x:v>1.5</x:v>
      </x:c>
      <x:c r="J3368" s="16" t="n">
        <x:v>2.436</x:v>
      </x:c>
      <x:c r="K3368" s="11" t="n">
        <x:f>CHOOSE('假设'!$B$3,H3368,I3368,J3368)</x:f>
        <x:v>1.5</x:v>
      </x:c>
      <x:c r="L3368" s="11" t="n">
        <x:f>K3368*'管线假设'!E731*'管线假设'!F731*'管线假设'!G731*IF(E3368="USD",'管线假设'!I731,1)-AM3368</x:f>
        <x:v>0.2604</x:v>
      </x:c>
      <x:c r="M3368" s="11" t="n">
        <x:f>'管线假设'!H731</x:f>
        <x:v>0.135</x:v>
      </x:c>
      <x:c r="N3368" s="11" t="n">
        <x:f>IF(G3368,L3368*AN3368/(1+M3368)^F3368,0)</x:f>
        <x:v>0.134338955242253</x:v>
      </x:c>
      <x:c r="AJ3368" t="n">
        <x:v>0</x:v>
      </x:c>
      <x:c r="AK3368" t="n">
        <x:v>0</x:v>
      </x:c>
      <x:c r="AL3368" t="n">
        <x:v>0</x:v>
      </x:c>
      <x:c r="AM3368" t="n">
        <x:f>CHOOSE('假设'!$B$3,AJ3368,AK3368,AL3368)</x:f>
        <x:v>0</x:v>
      </x:c>
      <x:c r="AN3368" t="n">
        <x:v>1</x:v>
      </x:c>
    </x:row>
    <x:row r="3369" ht="23" customHeight="1">
      <x:c r="A3369" s="11" t="str">
        <x:v>688382.SH</x:v>
      </x:c>
      <x:c r="B3369" s="11" t="str">
        <x:v>三年</x:v>
      </x:c>
      <x:c r="C3369" s="11" t="str">
        <x:v>serd_cn</x:v>
      </x:c>
      <x:c r="D3369" s="11" t="str">
        <x:v>2035-12-31</x:v>
      </x:c>
      <x:c r="E3369" s="11" t="str">
        <x:v>CNY</x:v>
      </x:c>
      <x:c r="F3369" s="11" t="n">
        <x:v>6.225872689938399</x:v>
      </x:c>
      <x:c r="G3369" s="26" t="b">
        <x:v>1</x:v>
      </x:c>
      <x:c r="H3369" s="16" t="n">
        <x:v>0.6</x:v>
      </x:c>
      <x:c r="I3369" s="16" t="n">
        <x:v>1.305</x:v>
      </x:c>
      <x:c r="J3369" s="16" t="n">
        <x:v>2.072</x:v>
      </x:c>
      <x:c r="K3369" s="11" t="n">
        <x:f>CHOOSE('假设'!$B$3,H3369,I3369,J3369)</x:f>
        <x:v>1.305</x:v>
      </x:c>
      <x:c r="L3369" s="11" t="n">
        <x:f>K3369*'管线假设'!E731*'管线假设'!F731*'管线假设'!G731*IF(E3369="USD",'管线假设'!I731,1)-AM3369</x:f>
        <x:v>0.226548</x:v>
      </x:c>
      <x:c r="M3369" s="11" t="n">
        <x:f>'管线假设'!H731</x:f>
        <x:v>0.135</x:v>
      </x:c>
      <x:c r="N3369" s="11" t="n">
        <x:f>IF(G3369,L3369*AN3369/(1+M3369)^F3369,0)</x:f>
        <x:v>0.10298239794629632</x:v>
      </x:c>
      <x:c r="AJ3369" t="n">
        <x:v>0</x:v>
      </x:c>
      <x:c r="AK3369" t="n">
        <x:v>0</x:v>
      </x:c>
      <x:c r="AL3369" t="n">
        <x:v>0</x:v>
      </x:c>
      <x:c r="AM3369" t="n">
        <x:f>CHOOSE('假设'!$B$3,AJ3369,AK3369,AL3369)</x:f>
        <x:v>0</x:v>
      </x:c>
      <x:c r="AN3369" t="n">
        <x:v>1</x:v>
      </x:c>
    </x:row>
    <x:row r="3370" ht="23" customHeight="1">
      <x:c r="A3370" s="11" t="str">
        <x:v>688382.SH</x:v>
      </x:c>
      <x:c r="B3370" s="11" t="str">
        <x:v>三年</x:v>
      </x:c>
      <x:c r="C3370" s="11" t="str">
        <x:v>serd_cn</x:v>
      </x:c>
      <x:c r="D3370" s="11" t="str">
        <x:v>2036-12-31</x:v>
      </x:c>
      <x:c r="E3370" s="11" t="str">
        <x:v>CNY</x:v>
      </x:c>
      <x:c r="F3370" s="11" t="n">
        <x:v>7.227926078028747</x:v>
      </x:c>
      <x:c r="G3370" s="26" t="b">
        <x:v>1</x:v>
      </x:c>
      <x:c r="H3370" s="16" t="n">
        <x:v>0.522</x:v>
      </x:c>
      <x:c r="I3370" s="16" t="n">
        <x:v>1.1099999999999999</x:v>
      </x:c>
      <x:c r="J3370" s="16" t="n">
        <x:v>1.708</x:v>
      </x:c>
      <x:c r="K3370" s="11" t="n">
        <x:f>CHOOSE('假设'!$B$3,H3370,I3370,J3370)</x:f>
        <x:v>1.1099999999999999</x:v>
      </x:c>
      <x:c r="L3370" s="11" t="n">
        <x:f>K3370*'管线假设'!E731*'管线假设'!F731*'管线假设'!G731*IF(E3370="USD",'管线假设'!I731,1)-AM3370</x:f>
        <x:v>0.192696</x:v>
      </x:c>
      <x:c r="M3370" s="11" t="n">
        <x:f>'管线假设'!H731</x:f>
        <x:v>0.135</x:v>
      </x:c>
      <x:c r="N3370" s="11" t="n">
        <x:f>IF(G3370,L3370*AN3370/(1+M3370)^F3370,0)</x:f>
        <x:v>0.07715546231539015</x:v>
      </x:c>
      <x:c r="AJ3370" t="n">
        <x:v>0</x:v>
      </x:c>
      <x:c r="AK3370" t="n">
        <x:v>0</x:v>
      </x:c>
      <x:c r="AL3370" t="n">
        <x:v>0</x:v>
      </x:c>
      <x:c r="AM3370" t="n">
        <x:f>CHOOSE('假设'!$B$3,AJ3370,AK3370,AL3370)</x:f>
        <x:v>0</x:v>
      </x:c>
      <x:c r="AN3370" t="n">
        <x:v>1</x:v>
      </x:c>
    </x:row>
    <x:row r="3371" ht="23" customHeight="1">
      <x:c r="A3371" s="11" t="str">
        <x:v>688382.SH</x:v>
      </x:c>
      <x:c r="B3371" s="11" t="str">
        <x:v>三年</x:v>
      </x:c>
      <x:c r="C3371" s="11" t="str">
        <x:v>serd_cn</x:v>
      </x:c>
      <x:c r="D3371" s="11" t="str">
        <x:v>2037-12-31</x:v>
      </x:c>
      <x:c r="E3371" s="11" t="str">
        <x:v>CNY</x:v>
      </x:c>
      <x:c r="F3371" s="11" t="n">
        <x:v>8.227241615331964</x:v>
      </x:c>
      <x:c r="G3371" s="26" t="b">
        <x:v>1</x:v>
      </x:c>
      <x:c r="H3371" s="16" t="n">
        <x:v>0.444</x:v>
      </x:c>
      <x:c r="I3371" s="16" t="n">
        <x:v>0.915</x:v>
      </x:c>
      <x:c r="J3371" s="16" t="n">
        <x:v>1.3439999999999999</x:v>
      </x:c>
      <x:c r="K3371" s="11" t="n">
        <x:f>CHOOSE('假设'!$B$3,H3371,I3371,J3371)</x:f>
        <x:v>0.915</x:v>
      </x:c>
      <x:c r="L3371" s="11" t="n">
        <x:f>K3371*'管线假设'!E731*'管线假设'!F731*'管线假设'!G731*IF(E3371="USD",'管线假设'!I731,1)-AM3371</x:f>
        <x:v>0.158844</x:v>
      </x:c>
      <x:c r="M3371" s="11" t="n">
        <x:f>'管线假设'!H731</x:f>
        <x:v>0.135</x:v>
      </x:c>
      <x:c r="N3371" s="11" t="n">
        <x:f>IF(G3371,L3371*AN3371/(1+M3371)^F3371,0)</x:f>
        <x:v>0.056041090068852786</x:v>
      </x:c>
      <x:c r="AJ3371" t="n">
        <x:v>0</x:v>
      </x:c>
      <x:c r="AK3371" t="n">
        <x:v>0</x:v>
      </x:c>
      <x:c r="AL3371" t="n">
        <x:v>0</x:v>
      </x:c>
      <x:c r="AM3371" t="n">
        <x:f>CHOOSE('假设'!$B$3,AJ3371,AK3371,AL3371)</x:f>
        <x:v>0</x:v>
      </x:c>
      <x:c r="AN3371" t="n">
        <x:v>1</x:v>
      </x:c>
    </x:row>
    <x:row r="3372" ht="23" customHeight="1">
      <x:c r="A3372" s="11" t="str">
        <x:v>688382.SH</x:v>
      </x:c>
      <x:c r="B3372" s="11" t="str">
        <x:v>三年</x:v>
      </x:c>
      <x:c r="C3372" s="11" t="str">
        <x:v>serd_cn</x:v>
      </x:c>
      <x:c r="D3372" s="11" t="str">
        <x:v>2038-12-31</x:v>
      </x:c>
      <x:c r="E3372" s="11" t="str">
        <x:v>CNY</x:v>
      </x:c>
      <x:c r="F3372" s="11" t="n">
        <x:v>9.22655715263518</x:v>
      </x:c>
      <x:c r="G3372" s="26" t="b">
        <x:v>1</x:v>
      </x:c>
      <x:c r="H3372" s="16" t="n">
        <x:v>0.366</x:v>
      </x:c>
      <x:c r="I3372" s="16" t="n">
        <x:v>0.72</x:v>
      </x:c>
      <x:c r="J3372" s="16" t="n">
        <x:v>0.9799999999999999</x:v>
      </x:c>
      <x:c r="K3372" s="11" t="n">
        <x:f>CHOOSE('假设'!$B$3,H3372,I3372,J3372)</x:f>
        <x:v>0.72</x:v>
      </x:c>
      <x:c r="L3372" s="11" t="n">
        <x:f>K3372*'管线假设'!E731*'管线假设'!F731*'管线假设'!G731*IF(E3372="USD",'管线假设'!I731,1)-AM3372</x:f>
        <x:v>0.124992</x:v>
      </x:c>
      <x:c r="M3372" s="11" t="n">
        <x:f>'管线假设'!H731</x:f>
        <x:v>0.135</x:v>
      </x:c>
      <x:c r="N3372" s="11" t="n">
        <x:f>IF(G3372,L3372*AN3372/(1+M3372)^F3372,0)</x:f>
        <x:v>0.038856149167862924</x:v>
      </x:c>
      <x:c r="AJ3372" t="n">
        <x:v>0</x:v>
      </x:c>
      <x:c r="AK3372" t="n">
        <x:v>0</x:v>
      </x:c>
      <x:c r="AL3372" t="n">
        <x:v>0</x:v>
      </x:c>
      <x:c r="AM3372" t="n">
        <x:f>CHOOSE('假设'!$B$3,AJ3372,AK3372,AL3372)</x:f>
        <x:v>0</x:v>
      </x:c>
      <x:c r="AN3372" t="n">
        <x:v>1</x:v>
      </x:c>
    </x:row>
    <x:row r="3373" ht="23" customHeight="1">
      <x:c r="A3373" s="11" t="str">
        <x:v>688382.SH</x:v>
      </x:c>
      <x:c r="B3373" s="11" t="str">
        <x:v>三年</x:v>
      </x:c>
      <x:c r="C3373" s="11" t="str">
        <x:v>serd_cn</x:v>
      </x:c>
      <x:c r="D3373" s="11" t="str">
        <x:v>2039-12-31</x:v>
      </x:c>
      <x:c r="E3373" s="11" t="str">
        <x:v>CNY</x:v>
      </x:c>
      <x:c r="F3373" s="11" t="n">
        <x:v>10.225872689938399</x:v>
      </x:c>
      <x:c r="G3373" s="26" t="b">
        <x:v>1</x:v>
      </x:c>
      <x:c r="H3373" s="16" t="n">
        <x:v>0.288</x:v>
      </x:c>
      <x:c r="I3373" s="16" t="n">
        <x:v>0.5249999999999999</x:v>
      </x:c>
      <x:c r="J3373" s="16" t="n">
        <x:v>0.6159999999999999</x:v>
      </x:c>
      <x:c r="K3373" s="11" t="n">
        <x:f>CHOOSE('假设'!$B$3,H3373,I3373,J3373)</x:f>
        <x:v>0.5249999999999999</x:v>
      </x:c>
      <x:c r="L3373" s="11" t="n">
        <x:f>K3373*'管线假设'!E731*'管线假设'!F731*'管线假设'!G731*IF(E3373="USD",'管线假设'!I731,1)-AM3373</x:f>
        <x:v>0.09114</x:v>
      </x:c>
      <x:c r="M3373" s="11" t="n">
        <x:f>'管线假设'!H731</x:f>
        <x:v>0.135</x:v>
      </x:c>
      <x:c r="N3373" s="11" t="n">
        <x:f>IF(G3373,L3373*AN3373/(1+M3373)^F3373,0)</x:f>
        <x:v>0.02496481463679029</x:v>
      </x:c>
      <x:c r="AJ3373" t="n">
        <x:v>0</x:v>
      </x:c>
      <x:c r="AK3373" t="n">
        <x:v>0</x:v>
      </x:c>
      <x:c r="AL3373" t="n">
        <x:v>0</x:v>
      </x:c>
      <x:c r="AM3373" t="n">
        <x:f>CHOOSE('假设'!$B$3,AJ3373,AK3373,AL3373)</x:f>
        <x:v>0</x:v>
      </x:c>
      <x:c r="AN3373" t="n">
        <x:v>1</x:v>
      </x:c>
    </x:row>
    <x:row r="3374" ht="23" customHeight="1">
      <x:c r="A3374" s="11" t="str">
        <x:v>688382.SH</x:v>
      </x:c>
      <x:c r="B3374" s="11" t="str">
        <x:v>三年</x:v>
      </x:c>
      <x:c r="C3374" s="11" t="str">
        <x:v>serd_cn</x:v>
      </x:c>
      <x:c r="D3374" s="11" t="str">
        <x:v>2040-12-31</x:v>
      </x:c>
      <x:c r="E3374" s="11" t="str">
        <x:v>CNY</x:v>
      </x:c>
      <x:c r="F3374" s="11" t="n">
        <x:v>11.227926078028748</x:v>
      </x:c>
      <x:c r="G3374" s="26" t="b">
        <x:v>1</x:v>
      </x:c>
      <x:c r="H3374" s="16" t="n">
        <x:v>0.21</x:v>
      </x:c>
      <x:c r="I3374" s="16" t="n">
        <x:v>0.32999999999999996</x:v>
      </x:c>
      <x:c r="J3374" s="16" t="n">
        <x:v>0.2519999999999999</x:v>
      </x:c>
      <x:c r="K3374" s="11" t="n">
        <x:f>CHOOSE('假设'!$B$3,H3374,I3374,J3374)</x:f>
        <x:v>0.32999999999999996</x:v>
      </x:c>
      <x:c r="L3374" s="11" t="n">
        <x:f>K3374*'管线假设'!E731*'管线假设'!F731*'管线假设'!G731*IF(E3374="USD",'管线假设'!I731,1)-AM3374</x:f>
        <x:v>0.057288</x:v>
      </x:c>
      <x:c r="M3374" s="11" t="n">
        <x:f>'管线假设'!H731</x:f>
        <x:v>0.135</x:v>
      </x:c>
      <x:c r="N3374" s="11" t="n">
        <x:f>IF(G3374,L3374*AN3374/(1+M3374)^F3374,0)</x:f>
        <x:v>0.013822105162195274</x:v>
      </x:c>
      <x:c r="AJ3374" t="n">
        <x:v>0</x:v>
      </x:c>
      <x:c r="AK3374" t="n">
        <x:v>0</x:v>
      </x:c>
      <x:c r="AL3374" t="n">
        <x:v>0</x:v>
      </x:c>
      <x:c r="AM3374" t="n">
        <x:f>CHOOSE('假设'!$B$3,AJ3374,AK3374,AL3374)</x:f>
        <x:v>0</x:v>
      </x:c>
      <x:c r="AN3374" t="n">
        <x:v>1</x:v>
      </x:c>
    </x:row>
    <x:row r="3375" ht="23" customHeight="1">
      <x:c r="A3375" s="11" t="str">
        <x:v>688382.SH</x:v>
      </x:c>
      <x:c r="B3375" s="11" t="str">
        <x:v>三年</x:v>
      </x:c>
      <x:c r="C3375" s="11" t="str">
        <x:v>serd_cn</x:v>
      </x:c>
      <x:c r="D3375" s="11" t="str">
        <x:v>2041-12-31</x:v>
      </x:c>
      <x:c r="E3375" s="11" t="str">
        <x:v>CNY</x:v>
      </x:c>
      <x:c r="F3375" s="11" t="n">
        <x:v>12.227241615331964</x:v>
      </x:c>
      <x:c r="G3375" s="26" t="b">
        <x:v>1</x:v>
      </x:c>
      <x:c r="H3375" s="16" t="n">
        <x:v>0.13199999999999998</x:v>
      </x:c>
      <x:c r="I3375" s="16" t="n">
        <x:v>0.13499999999999995</x:v>
      </x:c>
      <x:c r="J3375" s="16" t="n">
        <x:v>0</x:v>
      </x:c>
      <x:c r="K3375" s="11" t="n">
        <x:f>CHOOSE('假设'!$B$3,H3375,I3375,J3375)</x:f>
        <x:v>0.13499999999999995</x:v>
      </x:c>
      <x:c r="L3375" s="11" t="n">
        <x:f>K3375*'管线假设'!E731*'管线假设'!F731*'管线假设'!G731*IF(E3375="USD",'管线假设'!I731,1)-AM3375</x:f>
        <x:v>0.023435999999999995</x:v>
      </x:c>
      <x:c r="M3375" s="11" t="n">
        <x:f>'管线假设'!H731</x:f>
        <x:v>0.135</x:v>
      </x:c>
      <x:c r="N3375" s="11" t="n">
        <x:f>IF(G3375,L3375*AN3375/(1+M3375)^F3375,0)</x:f>
        <x:v>0.004982368011464153</x:v>
      </x:c>
      <x:c r="AJ3375" t="n">
        <x:v>0</x:v>
      </x:c>
      <x:c r="AK3375" t="n">
        <x:v>0</x:v>
      </x:c>
      <x:c r="AL3375" t="n">
        <x:v>0</x:v>
      </x:c>
      <x:c r="AM3375" t="n">
        <x:f>CHOOSE('假设'!$B$3,AJ3375,AK3375,AL3375)</x:f>
        <x:v>0</x:v>
      </x:c>
      <x:c r="AN3375" t="n">
        <x:v>1</x:v>
      </x:c>
    </x:row>
    <x:row r="3376" ht="23" customHeight="1">
      <x:c r="A3376" s="11" t="str">
        <x:v>688382.SH</x:v>
      </x:c>
      <x:c r="B3376" s="11" t="str">
        <x:v>三年</x:v>
      </x:c>
      <x:c r="C3376" s="11" t="str">
        <x:v>serd_cn</x:v>
      </x:c>
      <x:c r="D3376" s="11" t="str">
        <x:v>2042-12-31</x:v>
      </x:c>
      <x:c r="E3376" s="11" t="str">
        <x:v>CNY</x:v>
      </x:c>
      <x:c r="F3376" s="11" t="n">
        <x:v>13.22655715263518</x:v>
      </x:c>
      <x:c r="G3376" s="26" t="b">
        <x:v>1</x:v>
      </x:c>
      <x:c r="H3376" s="16" t="n">
        <x:v>0.05399999999999998</x:v>
      </x:c>
      <x:c r="I3376" s="16" t="n">
        <x:v>0</x:v>
      </x:c>
      <x:c r="J3376" s="16" t="n">
        <x:v>0</x:v>
      </x:c>
      <x:c r="K3376" s="11" t="n">
        <x:f>CHOOSE('假设'!$B$3,H3376,I3376,J3376)</x:f>
        <x:v>0</x:v>
      </x:c>
      <x:c r="L3376" s="11" t="n">
        <x:f>K3376*'管线假设'!E731*'管线假设'!F731*'管线假设'!G731*IF(E3376="USD",'管线假设'!I731,1)-AM3376</x:f>
        <x:v>0</x:v>
      </x:c>
      <x:c r="M3376" s="11" t="n">
        <x:f>'管线假设'!H731</x:f>
        <x:v>0.135</x:v>
      </x:c>
      <x:c r="N3376" s="11" t="n">
        <x:f>IF(G3376,L3376*AN3376/(1+M3376)^F3376,0)</x:f>
        <x:v>0</x:v>
      </x:c>
      <x:c r="AJ3376" t="n">
        <x:v>0</x:v>
      </x:c>
      <x:c r="AK3376" t="n">
        <x:v>0</x:v>
      </x:c>
      <x:c r="AL3376" t="n">
        <x:v>0</x:v>
      </x:c>
      <x:c r="AM3376" t="n">
        <x:f>CHOOSE('假设'!$B$3,AJ3376,AK3376,AL3376)</x:f>
        <x:v>0</x:v>
      </x:c>
      <x:c r="AN3376" t="n">
        <x:v>1</x:v>
      </x:c>
    </x:row>
    <x:row r="3377" ht="23" customHeight="1">
      <x:c r="A3377" s="11" t="str">
        <x:v>688382.SH</x:v>
      </x:c>
      <x:c r="B3377" s="11" t="str">
        <x:v>三年</x:v>
      </x:c>
      <x:c r="C3377" s="11" t="str">
        <x:v>serd_cn</x:v>
      </x:c>
      <x:c r="D3377" s="11" t="str">
        <x:v>2043-12-31</x:v>
      </x:c>
      <x:c r="E3377" s="11" t="str">
        <x:v>CNY</x:v>
      </x:c>
      <x:c r="F3377" s="11" t="n">
        <x:v>14.225872689938399</x:v>
      </x:c>
      <x:c r="G3377" s="26" t="b">
        <x:v>1</x:v>
      </x:c>
      <x:c r="H3377" s="16" t="n">
        <x:v>0</x:v>
      </x:c>
      <x:c r="I3377" s="16" t="n">
        <x:v>0</x:v>
      </x:c>
      <x:c r="J3377" s="16" t="n">
        <x:v>0</x:v>
      </x:c>
      <x:c r="K3377" s="11" t="n">
        <x:f>CHOOSE('假设'!$B$3,H3377,I3377,J3377)</x:f>
        <x:v>0</x:v>
      </x:c>
      <x:c r="L3377" s="11" t="n">
        <x:f>K3377*'管线假设'!E731*'管线假设'!F731*'管线假设'!G731*IF(E3377="USD",'管线假设'!I731,1)-AM3377</x:f>
        <x:v>0</x:v>
      </x:c>
      <x:c r="M3377" s="11" t="n">
        <x:f>'管线假设'!H731</x:f>
        <x:v>0.135</x:v>
      </x:c>
      <x:c r="N3377" s="11" t="n">
        <x:f>IF(G3377,L3377*AN3377/(1+M3377)^F3377,0)</x:f>
        <x:v>0</x:v>
      </x:c>
      <x:c r="AJ3377" t="n">
        <x:v>0</x:v>
      </x:c>
      <x:c r="AK3377" t="n">
        <x:v>0</x:v>
      </x:c>
      <x:c r="AL3377" t="n">
        <x:v>0</x:v>
      </x:c>
      <x:c r="AM3377" t="n">
        <x:f>CHOOSE('假设'!$B$3,AJ3377,AK3377,AL3377)</x:f>
        <x:v>0</x:v>
      </x:c>
      <x:c r="AN3377" t="n">
        <x:v>1</x:v>
      </x:c>
    </x:row>
    <x:row r="3378" ht="23" customHeight="1">
      <x:c r="A3378" s="11" t="str">
        <x:v>688382.SH</x:v>
      </x:c>
      <x:c r="B3378" s="11" t="str">
        <x:v>三年</x:v>
      </x:c>
      <x:c r="C3378" s="11" t="str">
        <x:v>serd_cn</x:v>
      </x:c>
      <x:c r="D3378" s="11" t="str">
        <x:v>2044-12-31</x:v>
      </x:c>
      <x:c r="E3378" s="11" t="str">
        <x:v>CNY</x:v>
      </x:c>
      <x:c r="F3378" s="11" t="n">
        <x:v>15.227926078028748</x:v>
      </x:c>
      <x:c r="G3378" s="26" t="b">
        <x:v>1</x:v>
      </x:c>
      <x:c r="H3378" s="16" t="n">
        <x:v>0</x:v>
      </x:c>
      <x:c r="I3378" s="16" t="n">
        <x:v>0</x:v>
      </x:c>
      <x:c r="J3378" s="16" t="n">
        <x:v>0</x:v>
      </x:c>
      <x:c r="K3378" s="11" t="n">
        <x:f>CHOOSE('假设'!$B$3,H3378,I3378,J3378)</x:f>
        <x:v>0</x:v>
      </x:c>
      <x:c r="L3378" s="11" t="n">
        <x:f>K3378*'管线假设'!E731*'管线假设'!F731*'管线假设'!G731*IF(E3378="USD",'管线假设'!I731,1)-AM3378</x:f>
        <x:v>0</x:v>
      </x:c>
      <x:c r="M3378" s="11" t="n">
        <x:f>'管线假设'!H731</x:f>
        <x:v>0.135</x:v>
      </x:c>
      <x:c r="N3378" s="11" t="n">
        <x:f>IF(G3378,L3378*AN3378/(1+M3378)^F3378,0)</x:f>
        <x:v>0</x:v>
      </x:c>
      <x:c r="AJ3378" t="n">
        <x:v>0</x:v>
      </x:c>
      <x:c r="AK3378" t="n">
        <x:v>0</x:v>
      </x:c>
      <x:c r="AL3378" t="n">
        <x:v>0</x:v>
      </x:c>
      <x:c r="AM3378" t="n">
        <x:f>CHOOSE('假设'!$B$3,AJ3378,AK3378,AL3378)</x:f>
        <x:v>0</x:v>
      </x:c>
      <x:c r="AN3378" t="n">
        <x:v>1</x:v>
      </x:c>
    </x:row>
    <x:row r="3379" ht="23" customHeight="1">
      <x:c r="A3379" s="11" t="str">
        <x:v>688382.SH</x:v>
      </x:c>
      <x:c r="B3379" s="11" t="str">
        <x:v>三年</x:v>
      </x:c>
      <x:c r="C3379" s="11" t="str">
        <x:v>serd_cn</x:v>
      </x:c>
      <x:c r="D3379" s="11" t="str">
        <x:v>2045-12-31</x:v>
      </x:c>
      <x:c r="E3379" s="11" t="str">
        <x:v>CNY</x:v>
      </x:c>
      <x:c r="F3379" s="11" t="n">
        <x:v>16.227241615331966</x:v>
      </x:c>
      <x:c r="G3379" s="26" t="b">
        <x:v>1</x:v>
      </x:c>
      <x:c r="H3379" s="16" t="n">
        <x:v>0</x:v>
      </x:c>
      <x:c r="I3379" s="16" t="n">
        <x:v>0</x:v>
      </x:c>
      <x:c r="J3379" s="16" t="n">
        <x:v>0</x:v>
      </x:c>
      <x:c r="K3379" s="11" t="n">
        <x:f>CHOOSE('假设'!$B$3,H3379,I3379,J3379)</x:f>
        <x:v>0</x:v>
      </x:c>
      <x:c r="L3379" s="11" t="n">
        <x:f>K3379*'管线假设'!E731*'管线假设'!F731*'管线假设'!G731*IF(E3379="USD",'管线假设'!I731,1)-AM3379</x:f>
        <x:v>0</x:v>
      </x:c>
      <x:c r="M3379" s="11" t="n">
        <x:f>'管线假设'!H731</x:f>
        <x:v>0.135</x:v>
      </x:c>
      <x:c r="N3379" s="11" t="n">
        <x:f>IF(G3379,L3379*AN3379/(1+M3379)^F3379,0)</x:f>
        <x:v>0</x:v>
      </x:c>
      <x:c r="AJ3379" t="n">
        <x:v>0</x:v>
      </x:c>
      <x:c r="AK3379" t="n">
        <x:v>0</x:v>
      </x:c>
      <x:c r="AL3379" t="n">
        <x:v>0</x:v>
      </x:c>
      <x:c r="AM3379" t="n">
        <x:f>CHOOSE('假设'!$B$3,AJ3379,AK3379,AL3379)</x:f>
        <x:v>0</x:v>
      </x:c>
      <x:c r="AN3379" t="n">
        <x:v>1</x:v>
      </x:c>
    </x:row>
    <x:row r="3380" ht="23" customHeight="1">
      <x:c r="A3380" s="11" t="str">
        <x:v>688382.SH</x:v>
      </x:c>
      <x:c r="B3380" s="11" t="str">
        <x:v>三年</x:v>
      </x:c>
      <x:c r="C3380" s="11" t="str">
        <x:v>serd_adc</x:v>
      </x:c>
      <x:c r="D3380" s="11" t="str">
        <x:v>2027-12-31</x:v>
      </x:c>
      <x:c r="E3380" s="11" t="str">
        <x:v>CNY</x:v>
      </x:c>
      <x:c r="F3380" s="11" t="n">
        <x:v>-1.7741273100616017</x:v>
      </x:c>
      <x:c r="G3380" s="26" t="b">
        <x:v>0</x:v>
      </x:c>
      <x:c r="H3380" s="16" t="n">
        <x:v>0</x:v>
      </x:c>
      <x:c r="I3380" s="16" t="n">
        <x:v>0</x:v>
      </x:c>
      <x:c r="J3380" s="16" t="n">
        <x:v>0</x:v>
      </x:c>
      <x:c r="K3380" s="11" t="n">
        <x:f>CHOOSE('假设'!$B$3,H3380,I3380,J3380)</x:f>
        <x:v>0</x:v>
      </x:c>
      <x:c r="L3380" s="11" t="n">
        <x:f>K3380*'管线假设'!E735*'管线假设'!F735*'管线假设'!G735*IF(E3380="USD",'管线假设'!I735,1)-AM3380</x:f>
        <x:v>0</x:v>
      </x:c>
      <x:c r="M3380" s="11" t="n">
        <x:f>'管线假设'!H735</x:f>
        <x:v>0.135</x:v>
      </x:c>
      <x:c r="N3380" s="11" t="n">
        <x:f>IF(G3380,L3380*AN3380/(1+M3380)^F3380,0)</x:f>
        <x:v>0</x:v>
      </x:c>
      <x:c r="AJ3380" t="n">
        <x:v>0</x:v>
      </x:c>
      <x:c r="AK3380" t="n">
        <x:v>0</x:v>
      </x:c>
      <x:c r="AL3380" t="n">
        <x:v>0</x:v>
      </x:c>
      <x:c r="AM3380" t="n">
        <x:f>CHOOSE('假设'!$B$3,AJ3380,AK3380,AL3380)</x:f>
        <x:v>0</x:v>
      </x:c>
      <x:c r="AN3380" t="n">
        <x:v>1</x:v>
      </x:c>
    </x:row>
    <x:row r="3381" ht="23" customHeight="1">
      <x:c r="A3381" s="11" t="str">
        <x:v>688382.SH</x:v>
      </x:c>
      <x:c r="B3381" s="11" t="str">
        <x:v>三年</x:v>
      </x:c>
      <x:c r="C3381" s="11" t="str">
        <x:v>serd_adc</x:v>
      </x:c>
      <x:c r="D3381" s="11" t="str">
        <x:v>2028-12-31</x:v>
      </x:c>
      <x:c r="E3381" s="11" t="str">
        <x:v>CNY</x:v>
      </x:c>
      <x:c r="F3381" s="11" t="n">
        <x:v>-0.7720739219712526</x:v>
      </x:c>
      <x:c r="G3381" s="26" t="b">
        <x:v>0</x:v>
      </x:c>
      <x:c r="H3381" s="16" t="n">
        <x:v>0</x:v>
      </x:c>
      <x:c r="I3381" s="16" t="n">
        <x:v>0</x:v>
      </x:c>
      <x:c r="J3381" s="16" t="n">
        <x:v>0</x:v>
      </x:c>
      <x:c r="K3381" s="11" t="n">
        <x:f>CHOOSE('假设'!$B$3,H3381,I3381,J3381)</x:f>
        <x:v>0</x:v>
      </x:c>
      <x:c r="L3381" s="11" t="n">
        <x:f>K3381*'管线假设'!E735*'管线假设'!F735*'管线假设'!G735*IF(E3381="USD",'管线假设'!I735,1)-AM3381</x:f>
        <x:v>0</x:v>
      </x:c>
      <x:c r="M3381" s="11" t="n">
        <x:f>'管线假设'!H735</x:f>
        <x:v>0.135</x:v>
      </x:c>
      <x:c r="N3381" s="11" t="n">
        <x:f>IF(G3381,L3381*AN3381/(1+M3381)^F3381,0)</x:f>
        <x:v>0</x:v>
      </x:c>
      <x:c r="AJ3381" t="n">
        <x:v>0</x:v>
      </x:c>
      <x:c r="AK3381" t="n">
        <x:v>0</x:v>
      </x:c>
      <x:c r="AL3381" t="n">
        <x:v>0</x:v>
      </x:c>
      <x:c r="AM3381" t="n">
        <x:f>CHOOSE('假设'!$B$3,AJ3381,AK3381,AL3381)</x:f>
        <x:v>0</x:v>
      </x:c>
      <x:c r="AN3381" t="n">
        <x:v>1</x:v>
      </x:c>
    </x:row>
    <x:row r="3382" ht="23" customHeight="1">
      <x:c r="A3382" s="11" t="str">
        <x:v>688382.SH</x:v>
      </x:c>
      <x:c r="B3382" s="11" t="str">
        <x:v>三年</x:v>
      </x:c>
      <x:c r="C3382" s="11" t="str">
        <x:v>serd_adc</x:v>
      </x:c>
      <x:c r="D3382" s="11" t="str">
        <x:v>2029-12-31</x:v>
      </x:c>
      <x:c r="E3382" s="11" t="str">
        <x:v>CNY</x:v>
      </x:c>
      <x:c r="F3382" s="11" t="n">
        <x:v>0.2272416153319644</x:v>
      </x:c>
      <x:c r="G3382" s="26" t="b">
        <x:v>1</x:v>
      </x:c>
      <x:c r="H3382" s="16" t="n">
        <x:v>0</x:v>
      </x:c>
      <x:c r="I3382" s="16" t="n">
        <x:v>0</x:v>
      </x:c>
      <x:c r="J3382" s="16" t="n">
        <x:v>0</x:v>
      </x:c>
      <x:c r="K3382" s="11" t="n">
        <x:f>CHOOSE('假设'!$B$3,H3382,I3382,J3382)</x:f>
        <x:v>0</x:v>
      </x:c>
      <x:c r="L3382" s="11" t="n">
        <x:f>K3382*'管线假设'!E735*'管线假设'!F735*'管线假设'!G735*IF(E3382="USD",'管线假设'!I735,1)-AM3382</x:f>
        <x:v>0</x:v>
      </x:c>
      <x:c r="M3382" s="11" t="n">
        <x:f>'管线假设'!H735</x:f>
        <x:v>0.135</x:v>
      </x:c>
      <x:c r="N3382" s="11" t="n">
        <x:f>IF(G3382,L3382*AN3382/(1+M3382)^F3382,0)</x:f>
        <x:v>0</x:v>
      </x:c>
      <x:c r="AJ3382" t="n">
        <x:v>0</x:v>
      </x:c>
      <x:c r="AK3382" t="n">
        <x:v>0</x:v>
      </x:c>
      <x:c r="AL3382" t="n">
        <x:v>0</x:v>
      </x:c>
      <x:c r="AM3382" t="n">
        <x:f>CHOOSE('假设'!$B$3,AJ3382,AK3382,AL3382)</x:f>
        <x:v>0</x:v>
      </x:c>
      <x:c r="AN3382" t="n">
        <x:v>1</x:v>
      </x:c>
    </x:row>
    <x:row r="3383" ht="23" customHeight="1">
      <x:c r="A3383" s="11" t="str">
        <x:v>688382.SH</x:v>
      </x:c>
      <x:c r="B3383" s="11" t="str">
        <x:v>三年</x:v>
      </x:c>
      <x:c r="C3383" s="11" t="str">
        <x:v>serd_adc</x:v>
      </x:c>
      <x:c r="D3383" s="11" t="str">
        <x:v>2030-12-31</x:v>
      </x:c>
      <x:c r="E3383" s="11" t="str">
        <x:v>CNY</x:v>
      </x:c>
      <x:c r="F3383" s="11" t="n">
        <x:v>1.2265571526351813</x:v>
      </x:c>
      <x:c r="G3383" s="26" t="b">
        <x:v>1</x:v>
      </x:c>
      <x:c r="H3383" s="16" t="n">
        <x:v>0</x:v>
      </x:c>
      <x:c r="I3383" s="16" t="n">
        <x:v>0</x:v>
      </x:c>
      <x:c r="J3383" s="16" t="n">
        <x:v>0.26666666666666666</x:v>
      </x:c>
      <x:c r="K3383" s="11" t="n">
        <x:f>CHOOSE('假设'!$B$3,H3383,I3383,J3383)</x:f>
        <x:v>0</x:v>
      </x:c>
      <x:c r="L3383" s="11" t="n">
        <x:f>K3383*'管线假设'!E735*'管线假设'!F735*'管线假设'!G735*IF(E3383="USD",'管线假设'!I735,1)-AM3383</x:f>
        <x:v>0</x:v>
      </x:c>
      <x:c r="M3383" s="11" t="n">
        <x:f>'管线假设'!H735</x:f>
        <x:v>0.135</x:v>
      </x:c>
      <x:c r="N3383" s="11" t="n">
        <x:f>IF(G3383,L3383*AN3383/(1+M3383)^F3383,0)</x:f>
        <x:v>0</x:v>
      </x:c>
      <x:c r="AJ3383" t="n">
        <x:v>0</x:v>
      </x:c>
      <x:c r="AK3383" t="n">
        <x:v>0</x:v>
      </x:c>
      <x:c r="AL3383" t="n">
        <x:v>0</x:v>
      </x:c>
      <x:c r="AM3383" t="n">
        <x:f>CHOOSE('假设'!$B$3,AJ3383,AK3383,AL3383)</x:f>
        <x:v>0</x:v>
      </x:c>
      <x:c r="AN3383" t="n">
        <x:v>1</x:v>
      </x:c>
    </x:row>
    <x:row r="3384" ht="23" customHeight="1">
      <x:c r="A3384" s="11" t="str">
        <x:v>688382.SH</x:v>
      </x:c>
      <x:c r="B3384" s="11" t="str">
        <x:v>三年</x:v>
      </x:c>
      <x:c r="C3384" s="11" t="str">
        <x:v>serd_adc</x:v>
      </x:c>
      <x:c r="D3384" s="11" t="str">
        <x:v>2031-12-31</x:v>
      </x:c>
      <x:c r="E3384" s="11" t="str">
        <x:v>CNY</x:v>
      </x:c>
      <x:c r="F3384" s="11" t="n">
        <x:v>2.2258726899383983</x:v>
      </x:c>
      <x:c r="G3384" s="26" t="b">
        <x:v>1</x:v>
      </x:c>
      <x:c r="H3384" s="16" t="n">
        <x:v>0</x:v>
      </x:c>
      <x:c r="I3384" s="16" t="n">
        <x:v>0</x:v>
      </x:c>
      <x:c r="J3384" s="16" t="n">
        <x:v>0.5333333333333333</x:v>
      </x:c>
      <x:c r="K3384" s="11" t="n">
        <x:f>CHOOSE('假设'!$B$3,H3384,I3384,J3384)</x:f>
        <x:v>0</x:v>
      </x:c>
      <x:c r="L3384" s="11" t="n">
        <x:f>K3384*'管线假设'!E735*'管线假设'!F735*'管线假设'!G735*IF(E3384="USD",'管线假设'!I735,1)-AM3384</x:f>
        <x:v>0</x:v>
      </x:c>
      <x:c r="M3384" s="11" t="n">
        <x:f>'管线假设'!H735</x:f>
        <x:v>0.135</x:v>
      </x:c>
      <x:c r="N3384" s="11" t="n">
        <x:f>IF(G3384,L3384*AN3384/(1+M3384)^F3384,0)</x:f>
        <x:v>0</x:v>
      </x:c>
      <x:c r="AJ3384" t="n">
        <x:v>0</x:v>
      </x:c>
      <x:c r="AK3384" t="n">
        <x:v>0</x:v>
      </x:c>
      <x:c r="AL3384" t="n">
        <x:v>0</x:v>
      </x:c>
      <x:c r="AM3384" t="n">
        <x:f>CHOOSE('假设'!$B$3,AJ3384,AK3384,AL3384)</x:f>
        <x:v>0</x:v>
      </x:c>
      <x:c r="AN3384" t="n">
        <x:v>1</x:v>
      </x:c>
    </x:row>
    <x:row r="3385" ht="23" customHeight="1">
      <x:c r="A3385" s="11" t="str">
        <x:v>688382.SH</x:v>
      </x:c>
      <x:c r="B3385" s="11" t="str">
        <x:v>三年</x:v>
      </x:c>
      <x:c r="C3385" s="11" t="str">
        <x:v>serd_adc</x:v>
      </x:c>
      <x:c r="D3385" s="11" t="str">
        <x:v>2032-12-31</x:v>
      </x:c>
      <x:c r="E3385" s="11" t="str">
        <x:v>CNY</x:v>
      </x:c>
      <x:c r="F3385" s="11" t="n">
        <x:v>3.2279260780287475</x:v>
      </x:c>
      <x:c r="G3385" s="26" t="b">
        <x:v>1</x:v>
      </x:c>
      <x:c r="H3385" s="16" t="n">
        <x:v>0</x:v>
      </x:c>
      <x:c r="I3385" s="16" t="n">
        <x:v>0.13333333333333333</x:v>
      </x:c>
      <x:c r="J3385" s="16" t="n">
        <x:v>0.8</x:v>
      </x:c>
      <x:c r="K3385" s="11" t="n">
        <x:f>CHOOSE('假设'!$B$3,H3385,I3385,J3385)</x:f>
        <x:v>0.13333333333333333</x:v>
      </x:c>
      <x:c r="L3385" s="11" t="n">
        <x:f>K3385*'管线假设'!E735*'管线假设'!F735*'管线假设'!G735*IF(E3385="USD",'管线假设'!I735,1)-AM3385</x:f>
        <x:v>0.010047999999999998</x:v>
      </x:c>
      <x:c r="M3385" s="11" t="n">
        <x:f>'管线假设'!H735</x:f>
        <x:v>0.135</x:v>
      </x:c>
      <x:c r="N3385" s="11" t="n">
        <x:f>IF(G3385,L3385*AN3385/(1+M3385)^F3385,0)</x:f>
        <x:v>0.006676626022171444</x:v>
      </x:c>
      <x:c r="AJ3385" t="n">
        <x:v>0</x:v>
      </x:c>
      <x:c r="AK3385" t="n">
        <x:v>0</x:v>
      </x:c>
      <x:c r="AL3385" t="n">
        <x:v>0</x:v>
      </x:c>
      <x:c r="AM3385" t="n">
        <x:f>CHOOSE('假设'!$B$3,AJ3385,AK3385,AL3385)</x:f>
        <x:v>0</x:v>
      </x:c>
      <x:c r="AN3385" t="n">
        <x:v>1</x:v>
      </x:c>
    </x:row>
    <x:row r="3386" ht="23" customHeight="1">
      <x:c r="A3386" s="11" t="str">
        <x:v>688382.SH</x:v>
      </x:c>
      <x:c r="B3386" s="11" t="str">
        <x:v>三年</x:v>
      </x:c>
      <x:c r="C3386" s="11" t="str">
        <x:v>serd_adc</x:v>
      </x:c>
      <x:c r="D3386" s="11" t="str">
        <x:v>2033-12-31</x:v>
      </x:c>
      <x:c r="E3386" s="11" t="str">
        <x:v>CNY</x:v>
      </x:c>
      <x:c r="F3386" s="11" t="n">
        <x:v>4.227241615331964</x:v>
      </x:c>
      <x:c r="G3386" s="26" t="b">
        <x:v>1</x:v>
      </x:c>
      <x:c r="H3386" s="16" t="n">
        <x:v>0</x:v>
      </x:c>
      <x:c r="I3386" s="16" t="n">
        <x:v>0.26666666666666666</x:v>
      </x:c>
      <x:c r="J3386" s="16" t="n">
        <x:v>1.0666666666666667</x:v>
      </x:c>
      <x:c r="K3386" s="11" t="n">
        <x:f>CHOOSE('假设'!$B$3,H3386,I3386,J3386)</x:f>
        <x:v>0.26666666666666666</x:v>
      </x:c>
      <x:c r="L3386" s="11" t="n">
        <x:f>K3386*'管线假设'!E735*'管线假设'!F735*'管线假设'!G735*IF(E3386="USD",'管线假设'!I735,1)-AM3386</x:f>
        <x:v>0.020095999999999996</x:v>
      </x:c>
      <x:c r="M3386" s="11" t="n">
        <x:f>'管线假设'!H735</x:f>
        <x:v>0.135</x:v>
      </x:c>
      <x:c r="N3386" s="11" t="n">
        <x:f>IF(G3386,L3386*AN3386/(1+M3386)^F3386,0)</x:f>
        <x:v>0.011765999552400106</x:v>
      </x:c>
      <x:c r="AJ3386" t="n">
        <x:v>0</x:v>
      </x:c>
      <x:c r="AK3386" t="n">
        <x:v>0</x:v>
      </x:c>
      <x:c r="AL3386" t="n">
        <x:v>0</x:v>
      </x:c>
      <x:c r="AM3386" t="n">
        <x:f>CHOOSE('假设'!$B$3,AJ3386,AK3386,AL3386)</x:f>
        <x:v>0</x:v>
      </x:c>
      <x:c r="AN3386" t="n">
        <x:v>1</x:v>
      </x:c>
    </x:row>
    <x:row r="3387" ht="23" customHeight="1">
      <x:c r="A3387" s="11" t="str">
        <x:v>688382.SH</x:v>
      </x:c>
      <x:c r="B3387" s="11" t="str">
        <x:v>三年</x:v>
      </x:c>
      <x:c r="C3387" s="11" t="str">
        <x:v>serd_adc</x:v>
      </x:c>
      <x:c r="D3387" s="11" t="str">
        <x:v>2034-12-31</x:v>
      </x:c>
      <x:c r="E3387" s="11" t="str">
        <x:v>CNY</x:v>
      </x:c>
      <x:c r="F3387" s="11" t="n">
        <x:v>5.2265571526351815</x:v>
      </x:c>
      <x:c r="G3387" s="26" t="b">
        <x:v>1</x:v>
      </x:c>
      <x:c r="H3387" s="16" t="n">
        <x:v>0</x:v>
      </x:c>
      <x:c r="I3387" s="16" t="n">
        <x:v>0.4</x:v>
      </x:c>
      <x:c r="J3387" s="16" t="n">
        <x:v>1.3333333333333335</x:v>
      </x:c>
      <x:c r="K3387" s="11" t="n">
        <x:f>CHOOSE('假设'!$B$3,H3387,I3387,J3387)</x:f>
        <x:v>0.4</x:v>
      </x:c>
      <x:c r="L3387" s="11" t="n">
        <x:f>K3387*'管线假设'!E735*'管线假设'!F735*'管线假设'!G735*IF(E3387="USD",'管线假设'!I735,1)-AM3387</x:f>
        <x:v>0.030143999999999994</x:v>
      </x:c>
      <x:c r="M3387" s="11" t="n">
        <x:f>'管线假设'!H735</x:f>
        <x:v>0.135</x:v>
      </x:c>
      <x:c r="N3387" s="11" t="n">
        <x:f>IF(G3387,L3387*AN3387/(1+M3387)^F3387,0)</x:f>
        <x:v>0.015551126984725319</x:v>
      </x:c>
      <x:c r="AJ3387" t="n">
        <x:v>0</x:v>
      </x:c>
      <x:c r="AK3387" t="n">
        <x:v>0</x:v>
      </x:c>
      <x:c r="AL3387" t="n">
        <x:v>0</x:v>
      </x:c>
      <x:c r="AM3387" t="n">
        <x:f>CHOOSE('假设'!$B$3,AJ3387,AK3387,AL3387)</x:f>
        <x:v>0</x:v>
      </x:c>
      <x:c r="AN3387" t="n">
        <x:v>1</x:v>
      </x:c>
    </x:row>
    <x:row r="3388" ht="23" customHeight="1">
      <x:c r="A3388" s="11" t="str">
        <x:v>688382.SH</x:v>
      </x:c>
      <x:c r="B3388" s="11" t="str">
        <x:v>三年</x:v>
      </x:c>
      <x:c r="C3388" s="11" t="str">
        <x:v>serd_adc</x:v>
      </x:c>
      <x:c r="D3388" s="11" t="str">
        <x:v>2035-12-31</x:v>
      </x:c>
      <x:c r="E3388" s="11" t="str">
        <x:v>CNY</x:v>
      </x:c>
      <x:c r="F3388" s="11" t="n">
        <x:v>6.225872689938399</x:v>
      </x:c>
      <x:c r="G3388" s="26" t="b">
        <x:v>1</x:v>
      </x:c>
      <x:c r="H3388" s="16" t="n">
        <x:v>0.06</x:v>
      </x:c>
      <x:c r="I3388" s="16" t="n">
        <x:v>0.5333333333333333</x:v>
      </x:c>
      <x:c r="J3388" s="16" t="n">
        <x:v>1.6</x:v>
      </x:c>
      <x:c r="K3388" s="11" t="n">
        <x:f>CHOOSE('假设'!$B$3,H3388,I3388,J3388)</x:f>
        <x:v>0.5333333333333333</x:v>
      </x:c>
      <x:c r="L3388" s="11" t="n">
        <x:f>K3388*'管线假设'!E735*'管线假设'!F735*'管线假设'!G735*IF(E3388="USD",'管线假设'!I735,1)-AM3388</x:f>
        <x:v>0.04019199999999999</x:v>
      </x:c>
      <x:c r="M3388" s="11" t="n">
        <x:f>'管线假设'!H735</x:f>
        <x:v>0.135</x:v>
      </x:c>
      <x:c r="N3388" s="11" t="n">
        <x:f>IF(G3388,L3388*AN3388/(1+M3388)^F3388,0)</x:f>
        <x:v>0.01827016145919426</x:v>
      </x:c>
      <x:c r="AJ3388" t="n">
        <x:v>0</x:v>
      </x:c>
      <x:c r="AK3388" t="n">
        <x:v>0</x:v>
      </x:c>
      <x:c r="AL3388" t="n">
        <x:v>0</x:v>
      </x:c>
      <x:c r="AM3388" t="n">
        <x:f>CHOOSE('假设'!$B$3,AJ3388,AK3388,AL3388)</x:f>
        <x:v>0</x:v>
      </x:c>
      <x:c r="AN3388" t="n">
        <x:v>1</x:v>
      </x:c>
    </x:row>
    <x:row r="3389" ht="23" customHeight="1">
      <x:c r="A3389" s="11" t="str">
        <x:v>688382.SH</x:v>
      </x:c>
      <x:c r="B3389" s="11" t="str">
        <x:v>三年</x:v>
      </x:c>
      <x:c r="C3389" s="11" t="str">
        <x:v>serd_adc</x:v>
      </x:c>
      <x:c r="D3389" s="11" t="str">
        <x:v>2036-12-31</x:v>
      </x:c>
      <x:c r="E3389" s="11" t="str">
        <x:v>CNY</x:v>
      </x:c>
      <x:c r="F3389" s="11" t="n">
        <x:v>7.227926078028747</x:v>
      </x:c>
      <x:c r="G3389" s="26" t="b">
        <x:v>1</x:v>
      </x:c>
      <x:c r="H3389" s="16" t="n">
        <x:v>0.12</x:v>
      </x:c>
      <x:c r="I3389" s="16" t="n">
        <x:v>0.6666666666666667</x:v>
      </x:c>
      <x:c r="J3389" s="16" t="n">
        <x:v>1.3920000000000001</x:v>
      </x:c>
      <x:c r="K3389" s="11" t="n">
        <x:f>CHOOSE('假设'!$B$3,H3389,I3389,J3389)</x:f>
        <x:v>0.6666666666666667</x:v>
      </x:c>
      <x:c r="L3389" s="11" t="n">
        <x:f>K3389*'管线假设'!E735*'管线假设'!F735*'管线假设'!G735*IF(E3389="USD",'管线假设'!I735,1)-AM3389</x:f>
        <x:v>0.05024</x:v>
      </x:c>
      <x:c r="M3389" s="11" t="n">
        <x:f>'管线假设'!H735</x:f>
        <x:v>0.135</x:v>
      </x:c>
      <x:c r="N3389" s="11" t="n">
        <x:f>IF(G3389,L3389*AN3389/(1+M3389)^F3389,0)</x:f>
        <x:v>0.02011609180639557</x:v>
      </x:c>
      <x:c r="AJ3389" t="n">
        <x:v>0</x:v>
      </x:c>
      <x:c r="AK3389" t="n">
        <x:v>0</x:v>
      </x:c>
      <x:c r="AL3389" t="n">
        <x:v>0</x:v>
      </x:c>
      <x:c r="AM3389" t="n">
        <x:f>CHOOSE('假设'!$B$3,AJ3389,AK3389,AL3389)</x:f>
        <x:v>0</x:v>
      </x:c>
      <x:c r="AN3389" t="n">
        <x:v>1</x:v>
      </x:c>
    </x:row>
    <x:row r="3390" ht="23" customHeight="1">
      <x:c r="A3390" s="11" t="str">
        <x:v>688382.SH</x:v>
      </x:c>
      <x:c r="B3390" s="11" t="str">
        <x:v>三年</x:v>
      </x:c>
      <x:c r="C3390" s="11" t="str">
        <x:v>serd_adc</x:v>
      </x:c>
      <x:c r="D3390" s="11" t="str">
        <x:v>2037-12-31</x:v>
      </x:c>
      <x:c r="E3390" s="11" t="str">
        <x:v>CNY</x:v>
      </x:c>
      <x:c r="F3390" s="11" t="n">
        <x:v>8.227241615331964</x:v>
      </x:c>
      <x:c r="G3390" s="26" t="b">
        <x:v>1</x:v>
      </x:c>
      <x:c r="H3390" s="16" t="n">
        <x:v>0.18</x:v>
      </x:c>
      <x:c r="I3390" s="16" t="n">
        <x:v>0.8</x:v>
      </x:c>
      <x:c r="J3390" s="16" t="n">
        <x:v>1.184</x:v>
      </x:c>
      <x:c r="K3390" s="11" t="n">
        <x:f>CHOOSE('假设'!$B$3,H3390,I3390,J3390)</x:f>
        <x:v>0.8</x:v>
      </x:c>
      <x:c r="L3390" s="11" t="n">
        <x:f>K3390*'管线假设'!E735*'管线假设'!F735*'管线假设'!G735*IF(E3390="USD",'管线假设'!I735,1)-AM3390</x:f>
        <x:v>0.06028799999999999</x:v>
      </x:c>
      <x:c r="M3390" s="11" t="n">
        <x:f>'管线假设'!H735</x:f>
        <x:v>0.135</x:v>
      </x:c>
      <x:c r="N3390" s="11" t="n">
        <x:f>IF(G3390,L3390*AN3390/(1+M3390)^F3390,0)</x:f>
        <x:v>0.021269958185836393</x:v>
      </x:c>
      <x:c r="AJ3390" t="n">
        <x:v>0</x:v>
      </x:c>
      <x:c r="AK3390" t="n">
        <x:v>0</x:v>
      </x:c>
      <x:c r="AL3390" t="n">
        <x:v>0</x:v>
      </x:c>
      <x:c r="AM3390" t="n">
        <x:f>CHOOSE('假设'!$B$3,AJ3390,AK3390,AL3390)</x:f>
        <x:v>0</x:v>
      </x:c>
      <x:c r="AN3390" t="n">
        <x:v>1</x:v>
      </x:c>
    </x:row>
    <x:row r="3391" ht="23" customHeight="1">
      <x:c r="A3391" s="11" t="str">
        <x:v>688382.SH</x:v>
      </x:c>
      <x:c r="B3391" s="11" t="str">
        <x:v>三年</x:v>
      </x:c>
      <x:c r="C3391" s="11" t="str">
        <x:v>serd_adc</x:v>
      </x:c>
      <x:c r="D3391" s="11" t="str">
        <x:v>2038-12-31</x:v>
      </x:c>
      <x:c r="E3391" s="11" t="str">
        <x:v>CNY</x:v>
      </x:c>
      <x:c r="F3391" s="11" t="n">
        <x:v>9.22655715263518</x:v>
      </x:c>
      <x:c r="G3391" s="26" t="b">
        <x:v>1</x:v>
      </x:c>
      <x:c r="H3391" s="16" t="n">
        <x:v>0.24</x:v>
      </x:c>
      <x:c r="I3391" s="16" t="n">
        <x:v>0.6960000000000001</x:v>
      </x:c>
      <x:c r="J3391" s="16" t="n">
        <x:v>0.976</x:v>
      </x:c>
      <x:c r="K3391" s="11" t="n">
        <x:f>CHOOSE('假设'!$B$3,H3391,I3391,J3391)</x:f>
        <x:v>0.6960000000000001</x:v>
      </x:c>
      <x:c r="L3391" s="11" t="n">
        <x:f>K3391*'管线假设'!E735*'管线假设'!F735*'管线假设'!G735*IF(E3391="USD",'管线假设'!I735,1)-AM3391</x:f>
        <x:v>0.05245055999999999</x:v>
      </x:c>
      <x:c r="M3391" s="11" t="n">
        <x:f>'管线假设'!H735</x:f>
        <x:v>0.135</x:v>
      </x:c>
      <x:c r="N3391" s="11" t="n">
        <x:f>IF(G3391,L3391*AN3391/(1+M3391)^F3391,0)</x:f>
        <x:v>0.016305257802882937</x:v>
      </x:c>
      <x:c r="AJ3391" t="n">
        <x:v>0</x:v>
      </x:c>
      <x:c r="AK3391" t="n">
        <x:v>0</x:v>
      </x:c>
      <x:c r="AL3391" t="n">
        <x:v>0</x:v>
      </x:c>
      <x:c r="AM3391" t="n">
        <x:f>CHOOSE('假设'!$B$3,AJ3391,AK3391,AL3391)</x:f>
        <x:v>0</x:v>
      </x:c>
      <x:c r="AN3391" t="n">
        <x:v>1</x:v>
      </x:c>
    </x:row>
    <x:row r="3392" ht="23" customHeight="1">
      <x:c r="A3392" s="11" t="str">
        <x:v>688382.SH</x:v>
      </x:c>
      <x:c r="B3392" s="11" t="str">
        <x:v>三年</x:v>
      </x:c>
      <x:c r="C3392" s="11" t="str">
        <x:v>serd_adc</x:v>
      </x:c>
      <x:c r="D3392" s="11" t="str">
        <x:v>2039-12-31</x:v>
      </x:c>
      <x:c r="E3392" s="11" t="str">
        <x:v>CNY</x:v>
      </x:c>
      <x:c r="F3392" s="11" t="n">
        <x:v>10.225872689938399</x:v>
      </x:c>
      <x:c r="G3392" s="26" t="b">
        <x:v>1</x:v>
      </x:c>
      <x:c r="H3392" s="16" t="n">
        <x:v>0.3</x:v>
      </x:c>
      <x:c r="I3392" s="16" t="n">
        <x:v>0.592</x:v>
      </x:c>
      <x:c r="J3392" s="16" t="n">
        <x:v>0.768</x:v>
      </x:c>
      <x:c r="K3392" s="11" t="n">
        <x:f>CHOOSE('假设'!$B$3,H3392,I3392,J3392)</x:f>
        <x:v>0.592</x:v>
      </x:c>
      <x:c r="L3392" s="11" t="n">
        <x:f>K3392*'管线假设'!E735*'管线假设'!F735*'管线假设'!G735*IF(E3392="USD",'管线假设'!I735,1)-AM3392</x:f>
        <x:v>0.04461311999999999</x:v>
      </x:c>
      <x:c r="M3392" s="11" t="n">
        <x:f>'管线假设'!H735</x:f>
        <x:v>0.135</x:v>
      </x:c>
      <x:c r="N3392" s="11" t="n">
        <x:f>IF(G3392,L3392*AN3392/(1+M3392)^F3392,0)</x:f>
        <x:v>0.012220301417257861</x:v>
      </x:c>
      <x:c r="AJ3392" t="n">
        <x:v>0</x:v>
      </x:c>
      <x:c r="AK3392" t="n">
        <x:v>0</x:v>
      </x:c>
      <x:c r="AL3392" t="n">
        <x:v>0</x:v>
      </x:c>
      <x:c r="AM3392" t="n">
        <x:f>CHOOSE('假设'!$B$3,AJ3392,AK3392,AL3392)</x:f>
        <x:v>0</x:v>
      </x:c>
      <x:c r="AN3392" t="n">
        <x:v>1</x:v>
      </x:c>
    </x:row>
    <x:row r="3393" ht="23" customHeight="1">
      <x:c r="A3393" s="11" t="str">
        <x:v>688382.SH</x:v>
      </x:c>
      <x:c r="B3393" s="11" t="str">
        <x:v>三年</x:v>
      </x:c>
      <x:c r="C3393" s="11" t="str">
        <x:v>serd_adc</x:v>
      </x:c>
      <x:c r="D3393" s="11" t="str">
        <x:v>2040-12-31</x:v>
      </x:c>
      <x:c r="E3393" s="11" t="str">
        <x:v>CNY</x:v>
      </x:c>
      <x:c r="F3393" s="11" t="n">
        <x:v>11.227926078028748</x:v>
      </x:c>
      <x:c r="G3393" s="26" t="b">
        <x:v>1</x:v>
      </x:c>
      <x:c r="H3393" s="16" t="n">
        <x:v>0.261</x:v>
      </x:c>
      <x:c r="I3393" s="16" t="n">
        <x:v>0.488</x:v>
      </x:c>
      <x:c r="J3393" s="16" t="n">
        <x:v>0.5599999999999999</x:v>
      </x:c>
      <x:c r="K3393" s="11" t="n">
        <x:f>CHOOSE('假设'!$B$3,H3393,I3393,J3393)</x:f>
        <x:v>0.488</x:v>
      </x:c>
      <x:c r="L3393" s="11" t="n">
        <x:f>K3393*'管线假设'!E735*'管线假设'!F735*'管线假设'!G735*IF(E3393="USD",'管线假设'!I735,1)-AM3393</x:f>
        <x:v>0.03677567999999999</x:v>
      </x:c>
      <x:c r="M3393" s="11" t="n">
        <x:f>'管线假设'!H735</x:f>
        <x:v>0.135</x:v>
      </x:c>
      <x:c r="N3393" s="11" t="n">
        <x:f>IF(G3393,L3393*AN3393/(1+M3393)^F3393,0)</x:f>
        <x:v>0.008873015576931318</x:v>
      </x:c>
      <x:c r="AJ3393" t="n">
        <x:v>0</x:v>
      </x:c>
      <x:c r="AK3393" t="n">
        <x:v>0</x:v>
      </x:c>
      <x:c r="AL3393" t="n">
        <x:v>0</x:v>
      </x:c>
      <x:c r="AM3393" t="n">
        <x:f>CHOOSE('假设'!$B$3,AJ3393,AK3393,AL3393)</x:f>
        <x:v>0</x:v>
      </x:c>
      <x:c r="AN3393" t="n">
        <x:v>1</x:v>
      </x:c>
    </x:row>
    <x:row r="3394" ht="23" customHeight="1">
      <x:c r="A3394" s="11" t="str">
        <x:v>688382.SH</x:v>
      </x:c>
      <x:c r="B3394" s="11" t="str">
        <x:v>三年</x:v>
      </x:c>
      <x:c r="C3394" s="11" t="str">
        <x:v>serd_adc</x:v>
      </x:c>
      <x:c r="D3394" s="11" t="str">
        <x:v>2041-12-31</x:v>
      </x:c>
      <x:c r="E3394" s="11" t="str">
        <x:v>CNY</x:v>
      </x:c>
      <x:c r="F3394" s="11" t="n">
        <x:v>12.227241615331964</x:v>
      </x:c>
      <x:c r="G3394" s="26" t="b">
        <x:v>1</x:v>
      </x:c>
      <x:c r="H3394" s="16" t="n">
        <x:v>0.222</x:v>
      </x:c>
      <x:c r="I3394" s="16" t="n">
        <x:v>0.384</x:v>
      </x:c>
      <x:c r="J3394" s="16" t="n">
        <x:v>0.352</x:v>
      </x:c>
      <x:c r="K3394" s="11" t="n">
        <x:f>CHOOSE('假设'!$B$3,H3394,I3394,J3394)</x:f>
        <x:v>0.384</x:v>
      </x:c>
      <x:c r="L3394" s="11" t="n">
        <x:f>K3394*'管线假设'!E735*'管线假设'!F735*'管线假设'!G735*IF(E3394="USD",'管线假设'!I735,1)-AM3394</x:f>
        <x:v>0.028938239999999994</x:v>
      </x:c>
      <x:c r="M3394" s="11" t="n">
        <x:f>'管线假设'!H735</x:f>
        <x:v>0.135</x:v>
      </x:c>
      <x:c r="N3394" s="11" t="n">
        <x:f>IF(G3394,L3394*AN3394/(1+M3394)^F3394,0)</x:f>
        <x:v>0.006152114750131097</x:v>
      </x:c>
      <x:c r="AJ3394" t="n">
        <x:v>0</x:v>
      </x:c>
      <x:c r="AK3394" t="n">
        <x:v>0</x:v>
      </x:c>
      <x:c r="AL3394" t="n">
        <x:v>0</x:v>
      </x:c>
      <x:c r="AM3394" t="n">
        <x:f>CHOOSE('假设'!$B$3,AJ3394,AK3394,AL3394)</x:f>
        <x:v>0</x:v>
      </x:c>
      <x:c r="AN3394" t="n">
        <x:v>1</x:v>
      </x:c>
    </x:row>
    <x:row r="3395" ht="23" customHeight="1">
      <x:c r="A3395" s="11" t="str">
        <x:v>688382.SH</x:v>
      </x:c>
      <x:c r="B3395" s="11" t="str">
        <x:v>三年</x:v>
      </x:c>
      <x:c r="C3395" s="11" t="str">
        <x:v>serd_adc</x:v>
      </x:c>
      <x:c r="D3395" s="11" t="str">
        <x:v>2042-12-31</x:v>
      </x:c>
      <x:c r="E3395" s="11" t="str">
        <x:v>CNY</x:v>
      </x:c>
      <x:c r="F3395" s="11" t="n">
        <x:v>13.22655715263518</x:v>
      </x:c>
      <x:c r="G3395" s="26" t="b">
        <x:v>1</x:v>
      </x:c>
      <x:c r="H3395" s="16" t="n">
        <x:v>0.183</x:v>
      </x:c>
      <x:c r="I3395" s="16" t="n">
        <x:v>0.27999999999999997</x:v>
      </x:c>
      <x:c r="J3395" s="16" t="n">
        <x:v>0.14399999999999996</x:v>
      </x:c>
      <x:c r="K3395" s="11" t="n">
        <x:f>CHOOSE('假设'!$B$3,H3395,I3395,J3395)</x:f>
        <x:v>0.27999999999999997</x:v>
      </x:c>
      <x:c r="L3395" s="11" t="n">
        <x:f>K3395*'管线假设'!E735*'管线假设'!F735*'管线假设'!G735*IF(E3395="USD",'管线假设'!I735,1)-AM3395</x:f>
        <x:v>0.021100799999999992</x:v>
      </x:c>
      <x:c r="M3395" s="11" t="n">
        <x:f>'管线假设'!H735</x:f>
        <x:v>0.135</x:v>
      </x:c>
      <x:c r="N3395" s="11" t="n">
        <x:f>IF(G3395,L3395*AN3395/(1+M3395)^F3395,0)</x:f>
        <x:v>0.003952692370460485</x:v>
      </x:c>
      <x:c r="AJ3395" t="n">
        <x:v>0</x:v>
      </x:c>
      <x:c r="AK3395" t="n">
        <x:v>0</x:v>
      </x:c>
      <x:c r="AL3395" t="n">
        <x:v>0</x:v>
      </x:c>
      <x:c r="AM3395" t="n">
        <x:f>CHOOSE('假设'!$B$3,AJ3395,AK3395,AL3395)</x:f>
        <x:v>0</x:v>
      </x:c>
      <x:c r="AN3395" t="n">
        <x:v>1</x:v>
      </x:c>
    </x:row>
    <x:row r="3396" ht="23" customHeight="1">
      <x:c r="A3396" s="11" t="str">
        <x:v>688382.SH</x:v>
      </x:c>
      <x:c r="B3396" s="11" t="str">
        <x:v>三年</x:v>
      </x:c>
      <x:c r="C3396" s="11" t="str">
        <x:v>serd_adc</x:v>
      </x:c>
      <x:c r="D3396" s="11" t="str">
        <x:v>2043-12-31</x:v>
      </x:c>
      <x:c r="E3396" s="11" t="str">
        <x:v>CNY</x:v>
      </x:c>
      <x:c r="F3396" s="11" t="n">
        <x:v>14.225872689938399</x:v>
      </x:c>
      <x:c r="G3396" s="26" t="b">
        <x:v>1</x:v>
      </x:c>
      <x:c r="H3396" s="16" t="n">
        <x:v>0.144</x:v>
      </x:c>
      <x:c r="I3396" s="16" t="n">
        <x:v>0.176</x:v>
      </x:c>
      <x:c r="J3396" s="16" t="n">
        <x:v>0</x:v>
      </x:c>
      <x:c r="K3396" s="11" t="n">
        <x:f>CHOOSE('假设'!$B$3,H3396,I3396,J3396)</x:f>
        <x:v>0.176</x:v>
      </x:c>
      <x:c r="L3396" s="11" t="n">
        <x:f>K3396*'管线假设'!E735*'管线假设'!F735*'管线假设'!G735*IF(E3396="USD",'管线假设'!I735,1)-AM3396</x:f>
        <x:v>0.013263359999999997</x:v>
      </x:c>
      <x:c r="M3396" s="11" t="n">
        <x:f>'管线假设'!H735</x:f>
        <x:v>0.135</x:v>
      </x:c>
      <x:c r="N3396" s="11" t="n">
        <x:f>IF(G3396,L3396*AN3396/(1+M3396)^F3396,0)</x:f>
        <x:v>0.0021892201308133397</x:v>
      </x:c>
      <x:c r="AJ3396" t="n">
        <x:v>0</x:v>
      </x:c>
      <x:c r="AK3396" t="n">
        <x:v>0</x:v>
      </x:c>
      <x:c r="AL3396" t="n">
        <x:v>0</x:v>
      </x:c>
      <x:c r="AM3396" t="n">
        <x:f>CHOOSE('假设'!$B$3,AJ3396,AK3396,AL3396)</x:f>
        <x:v>0</x:v>
      </x:c>
      <x:c r="AN3396" t="n">
        <x:v>1</x:v>
      </x:c>
    </x:row>
    <x:row r="3397" ht="23" customHeight="1">
      <x:c r="A3397" s="11" t="str">
        <x:v>688382.SH</x:v>
      </x:c>
      <x:c r="B3397" s="11" t="str">
        <x:v>三年</x:v>
      </x:c>
      <x:c r="C3397" s="11" t="str">
        <x:v>serd_adc</x:v>
      </x:c>
      <x:c r="D3397" s="11" t="str">
        <x:v>2044-12-31</x:v>
      </x:c>
      <x:c r="E3397" s="11" t="str">
        <x:v>CNY</x:v>
      </x:c>
      <x:c r="F3397" s="11" t="n">
        <x:v>15.227926078028748</x:v>
      </x:c>
      <x:c r="G3397" s="26" t="b">
        <x:v>1</x:v>
      </x:c>
      <x:c r="H3397" s="16" t="n">
        <x:v>0.105</x:v>
      </x:c>
      <x:c r="I3397" s="16" t="n">
        <x:v>0.07199999999999998</x:v>
      </x:c>
      <x:c r="J3397" s="16" t="n">
        <x:v>0</x:v>
      </x:c>
      <x:c r="K3397" s="11" t="n">
        <x:f>CHOOSE('假设'!$B$3,H3397,I3397,J3397)</x:f>
        <x:v>0.07199999999999998</x:v>
      </x:c>
      <x:c r="L3397" s="11" t="n">
        <x:f>K3397*'管线假设'!E735*'管线假设'!F735*'管线假设'!G735*IF(E3397="USD",'管线假设'!I735,1)-AM3397</x:f>
        <x:v>0.005425919999999997</x:v>
      </x:c>
      <x:c r="M3397" s="11" t="n">
        <x:f>'管线假设'!H735</x:f>
        <x:v>0.135</x:v>
      </x:c>
      <x:c r="N3397" s="11" t="n">
        <x:f>IF(G3397,L3397*AN3397/(1+M3397)^F3397,0)</x:f>
        <x:v>0.0007888609754273242</x:v>
      </x:c>
      <x:c r="AJ3397" t="n">
        <x:v>0</x:v>
      </x:c>
      <x:c r="AK3397" t="n">
        <x:v>0</x:v>
      </x:c>
      <x:c r="AL3397" t="n">
        <x:v>0</x:v>
      </x:c>
      <x:c r="AM3397" t="n">
        <x:f>CHOOSE('假设'!$B$3,AJ3397,AK3397,AL3397)</x:f>
        <x:v>0</x:v>
      </x:c>
      <x:c r="AN3397" t="n">
        <x:v>1</x:v>
      </x:c>
    </x:row>
    <x:row r="3398" ht="23" customHeight="1">
      <x:c r="A3398" s="11" t="str">
        <x:v>688382.SH</x:v>
      </x:c>
      <x:c r="B3398" s="11" t="str">
        <x:v>三年</x:v>
      </x:c>
      <x:c r="C3398" s="11" t="str">
        <x:v>serd_adc</x:v>
      </x:c>
      <x:c r="D3398" s="11" t="str">
        <x:v>2045-12-31</x:v>
      </x:c>
      <x:c r="E3398" s="11" t="str">
        <x:v>CNY</x:v>
      </x:c>
      <x:c r="F3398" s="11" t="n">
        <x:v>16.227241615331966</x:v>
      </x:c>
      <x:c r="G3398" s="26" t="b">
        <x:v>1</x:v>
      </x:c>
      <x:c r="H3398" s="16" t="n">
        <x:v>0.06599999999999999</x:v>
      </x:c>
      <x:c r="I3398" s="16" t="n">
        <x:v>0</x:v>
      </x:c>
      <x:c r="J3398" s="16" t="n">
        <x:v>0</x:v>
      </x:c>
      <x:c r="K3398" s="11" t="n">
        <x:f>CHOOSE('假设'!$B$3,H3398,I3398,J3398)</x:f>
        <x:v>0</x:v>
      </x:c>
      <x:c r="L3398" s="11" t="n">
        <x:f>K3398*'管线假设'!E735*'管线假设'!F735*'管线假设'!G735*IF(E3398="USD",'管线假设'!I735,1)-AM3398</x:f>
        <x:v>0</x:v>
      </x:c>
      <x:c r="M3398" s="11" t="n">
        <x:f>'管线假设'!H735</x:f>
        <x:v>0.135</x:v>
      </x:c>
      <x:c r="N3398" s="11" t="n">
        <x:f>IF(G3398,L3398*AN3398/(1+M3398)^F3398,0)</x:f>
        <x:v>0</x:v>
      </x:c>
      <x:c r="AJ3398" t="n">
        <x:v>0</x:v>
      </x:c>
      <x:c r="AK3398" t="n">
        <x:v>0</x:v>
      </x:c>
      <x:c r="AL3398" t="n">
        <x:v>0</x:v>
      </x:c>
      <x:c r="AM3398" t="n">
        <x:f>CHOOSE('假设'!$B$3,AJ3398,AK3398,AL3398)</x:f>
        <x:v>0</x:v>
      </x:c>
      <x:c r="AN3398" t="n">
        <x:v>1</x:v>
      </x:c>
    </x:row>
    <x:row r="3399" ht="23" customHeight="1">
      <x:c r="A3399" s="11" t="str">
        <x:v>688382.SH</x:v>
      </x:c>
      <x:c r="B3399" s="11" t="str">
        <x:v>三年</x:v>
      </x:c>
      <x:c r="C3399" s="11" t="str">
        <x:v>urat_cn</x:v>
      </x:c>
      <x:c r="D3399" s="11" t="str">
        <x:v>2027-12-31</x:v>
      </x:c>
      <x:c r="E3399" s="11" t="str">
        <x:v>CNY</x:v>
      </x:c>
      <x:c r="F3399" s="11" t="n">
        <x:v>-1.7741273100616017</x:v>
      </x:c>
      <x:c r="G3399" s="26" t="b">
        <x:v>0</x:v>
      </x:c>
      <x:c r="H3399" s="16" t="n">
        <x:v>0</x:v>
      </x:c>
      <x:c r="I3399" s="16" t="n">
        <x:v>0</x:v>
      </x:c>
      <x:c r="J3399" s="16" t="n">
        <x:v>0</x:v>
      </x:c>
      <x:c r="K3399" s="11" t="n">
        <x:f>CHOOSE('假设'!$B$3,H3399,I3399,J3399)</x:f>
        <x:v>0</x:v>
      </x:c>
      <x:c r="L3399" s="11" t="n">
        <x:f>K3399*'管线假设'!E739*'管线假设'!F739*'管线假设'!G739*IF(E3399="USD",'管线假设'!I739,1)-AM3399</x:f>
        <x:v>0</x:v>
      </x:c>
      <x:c r="M3399" s="11" t="n">
        <x:f>'管线假设'!H739</x:f>
        <x:v>0.135</x:v>
      </x:c>
      <x:c r="N3399" s="11" t="n">
        <x:f>IF(G3399,L3399*AN3399/(1+M3399)^F3399,0)</x:f>
        <x:v>0</x:v>
      </x:c>
      <x:c r="AJ3399" t="n">
        <x:v>0</x:v>
      </x:c>
      <x:c r="AK3399" t="n">
        <x:v>0</x:v>
      </x:c>
      <x:c r="AL3399" t="n">
        <x:v>0</x:v>
      </x:c>
      <x:c r="AM3399" t="n">
        <x:f>CHOOSE('假设'!$B$3,AJ3399,AK3399,AL3399)</x:f>
        <x:v>0</x:v>
      </x:c>
      <x:c r="AN3399" t="n">
        <x:v>1</x:v>
      </x:c>
    </x:row>
    <x:row r="3400" ht="23" customHeight="1">
      <x:c r="A3400" s="11" t="str">
        <x:v>688382.SH</x:v>
      </x:c>
      <x:c r="B3400" s="11" t="str">
        <x:v>三年</x:v>
      </x:c>
      <x:c r="C3400" s="11" t="str">
        <x:v>urat_cn</x:v>
      </x:c>
      <x:c r="D3400" s="11" t="str">
        <x:v>2028-12-31</x:v>
      </x:c>
      <x:c r="E3400" s="11" t="str">
        <x:v>CNY</x:v>
      </x:c>
      <x:c r="F3400" s="11" t="n">
        <x:v>-0.7720739219712526</x:v>
      </x:c>
      <x:c r="G3400" s="26" t="b">
        <x:v>0</x:v>
      </x:c>
      <x:c r="H3400" s="16" t="n">
        <x:v>0</x:v>
      </x:c>
      <x:c r="I3400" s="16" t="n">
        <x:v>0</x:v>
      </x:c>
      <x:c r="J3400" s="16" t="n">
        <x:v>0</x:v>
      </x:c>
      <x:c r="K3400" s="11" t="n">
        <x:f>CHOOSE('假设'!$B$3,H3400,I3400,J3400)</x:f>
        <x:v>0</x:v>
      </x:c>
      <x:c r="L3400" s="11" t="n">
        <x:f>K3400*'管线假设'!E739*'管线假设'!F739*'管线假设'!G739*IF(E3400="USD",'管线假设'!I739,1)-AM3400</x:f>
        <x:v>0</x:v>
      </x:c>
      <x:c r="M3400" s="11" t="n">
        <x:f>'管线假设'!H739</x:f>
        <x:v>0.135</x:v>
      </x:c>
      <x:c r="N3400" s="11" t="n">
        <x:f>IF(G3400,L3400*AN3400/(1+M3400)^F3400,0)</x:f>
        <x:v>0</x:v>
      </x:c>
      <x:c r="AJ3400" t="n">
        <x:v>0</x:v>
      </x:c>
      <x:c r="AK3400" t="n">
        <x:v>0</x:v>
      </x:c>
      <x:c r="AL3400" t="n">
        <x:v>0</x:v>
      </x:c>
      <x:c r="AM3400" t="n">
        <x:f>CHOOSE('假设'!$B$3,AJ3400,AK3400,AL3400)</x:f>
        <x:v>0</x:v>
      </x:c>
      <x:c r="AN3400" t="n">
        <x:v>1</x:v>
      </x:c>
    </x:row>
    <x:row r="3401" ht="23" customHeight="1">
      <x:c r="A3401" s="11" t="str">
        <x:v>688382.SH</x:v>
      </x:c>
      <x:c r="B3401" s="11" t="str">
        <x:v>三年</x:v>
      </x:c>
      <x:c r="C3401" s="11" t="str">
        <x:v>urat_cn</x:v>
      </x:c>
      <x:c r="D3401" s="11" t="str">
        <x:v>2029-12-31</x:v>
      </x:c>
      <x:c r="E3401" s="11" t="str">
        <x:v>CNY</x:v>
      </x:c>
      <x:c r="F3401" s="11" t="n">
        <x:v>0.2272416153319644</x:v>
      </x:c>
      <x:c r="G3401" s="26" t="b">
        <x:v>1</x:v>
      </x:c>
      <x:c r="H3401" s="16" t="n">
        <x:v>0</x:v>
      </x:c>
      <x:c r="I3401" s="16" t="n">
        <x:v>0</x:v>
      </x:c>
      <x:c r="J3401" s="16" t="n">
        <x:v>0.43333333333333335</x:v>
      </x:c>
      <x:c r="K3401" s="11" t="n">
        <x:f>CHOOSE('假设'!$B$3,H3401,I3401,J3401)</x:f>
        <x:v>0</x:v>
      </x:c>
      <x:c r="L3401" s="11" t="n">
        <x:f>K3401*'管线假设'!E739*'管线假设'!F739*'管线假设'!G739*IF(E3401="USD",'管线假设'!I739,1)-AM3401</x:f>
        <x:v>0</x:v>
      </x:c>
      <x:c r="M3401" s="11" t="n">
        <x:f>'管线假设'!H739</x:f>
        <x:v>0.135</x:v>
      </x:c>
      <x:c r="N3401" s="11" t="n">
        <x:f>IF(G3401,L3401*AN3401/(1+M3401)^F3401,0)</x:f>
        <x:v>0</x:v>
      </x:c>
      <x:c r="AJ3401" t="n">
        <x:v>0</x:v>
      </x:c>
      <x:c r="AK3401" t="n">
        <x:v>0</x:v>
      </x:c>
      <x:c r="AL3401" t="n">
        <x:v>0</x:v>
      </x:c>
      <x:c r="AM3401" t="n">
        <x:f>CHOOSE('假设'!$B$3,AJ3401,AK3401,AL3401)</x:f>
        <x:v>0</x:v>
      </x:c>
      <x:c r="AN3401" t="n">
        <x:v>1</x:v>
      </x:c>
    </x:row>
    <x:row r="3402" ht="23" customHeight="1">
      <x:c r="A3402" s="11" t="str">
        <x:v>688382.SH</x:v>
      </x:c>
      <x:c r="B3402" s="11" t="str">
        <x:v>三年</x:v>
      </x:c>
      <x:c r="C3402" s="11" t="str">
        <x:v>urat_cn</x:v>
      </x:c>
      <x:c r="D3402" s="11" t="str">
        <x:v>2030-12-31</x:v>
      </x:c>
      <x:c r="E3402" s="11" t="str">
        <x:v>CNY</x:v>
      </x:c>
      <x:c r="F3402" s="11" t="n">
        <x:v>1.2265571526351813</x:v>
      </x:c>
      <x:c r="G3402" s="26" t="b">
        <x:v>1</x:v>
      </x:c>
      <x:c r="H3402" s="16" t="n">
        <x:v>0</x:v>
      </x:c>
      <x:c r="I3402" s="16" t="n">
        <x:v>0</x:v>
      </x:c>
      <x:c r="J3402" s="16" t="n">
        <x:v>0.8666666666666667</x:v>
      </x:c>
      <x:c r="K3402" s="11" t="n">
        <x:f>CHOOSE('假设'!$B$3,H3402,I3402,J3402)</x:f>
        <x:v>0</x:v>
      </x:c>
      <x:c r="L3402" s="11" t="n">
        <x:f>K3402*'管线假设'!E739*'管线假设'!F739*'管线假设'!G739*IF(E3402="USD",'管线假设'!I739,1)-AM3402</x:f>
        <x:v>0</x:v>
      </x:c>
      <x:c r="M3402" s="11" t="n">
        <x:f>'管线假设'!H739</x:f>
        <x:v>0.135</x:v>
      </x:c>
      <x:c r="N3402" s="11" t="n">
        <x:f>IF(G3402,L3402*AN3402/(1+M3402)^F3402,0)</x:f>
        <x:v>0</x:v>
      </x:c>
      <x:c r="AJ3402" t="n">
        <x:v>0</x:v>
      </x:c>
      <x:c r="AK3402" t="n">
        <x:v>0</x:v>
      </x:c>
      <x:c r="AL3402" t="n">
        <x:v>0</x:v>
      </x:c>
      <x:c r="AM3402" t="n">
        <x:f>CHOOSE('假设'!$B$3,AJ3402,AK3402,AL3402)</x:f>
        <x:v>0</x:v>
      </x:c>
      <x:c r="AN3402" t="n">
        <x:v>1</x:v>
      </x:c>
    </x:row>
    <x:row r="3403" ht="23" customHeight="1">
      <x:c r="A3403" s="11" t="str">
        <x:v>688382.SH</x:v>
      </x:c>
      <x:c r="B3403" s="11" t="str">
        <x:v>三年</x:v>
      </x:c>
      <x:c r="C3403" s="11" t="str">
        <x:v>urat_cn</x:v>
      </x:c>
      <x:c r="D3403" s="11" t="str">
        <x:v>2031-12-31</x:v>
      </x:c>
      <x:c r="E3403" s="11" t="str">
        <x:v>CNY</x:v>
      </x:c>
      <x:c r="F3403" s="11" t="n">
        <x:v>2.2258726899383983</x:v>
      </x:c>
      <x:c r="G3403" s="26" t="b">
        <x:v>1</x:v>
      </x:c>
      <x:c r="H3403" s="16" t="n">
        <x:v>0</x:v>
      </x:c>
      <x:c r="I3403" s="16" t="n">
        <x:v>0.2333333333333333</x:v>
      </x:c>
      <x:c r="J3403" s="16" t="n">
        <x:v>1.3</x:v>
      </x:c>
      <x:c r="K3403" s="11" t="n">
        <x:f>CHOOSE('假设'!$B$3,H3403,I3403,J3403)</x:f>
        <x:v>0.2333333333333333</x:v>
      </x:c>
      <x:c r="L3403" s="11" t="n">
        <x:f>K3403*'管线假设'!E739*'管线假设'!F739*'管线假设'!G739*IF(E3403="USD",'管线假设'!I739,1)-AM3403</x:f>
        <x:v>0.03454826666666666</x:v>
      </x:c>
      <x:c r="M3403" s="11" t="n">
        <x:f>'管线假设'!H739</x:f>
        <x:v>0.135</x:v>
      </x:c>
      <x:c r="N3403" s="11" t="n">
        <x:f>IF(G3403,L3403*AN3403/(1+M3403)^F3403,0)</x:f>
        <x:v>0.02606228423445039</x:v>
      </x:c>
      <x:c r="AJ3403" t="n">
        <x:v>0</x:v>
      </x:c>
      <x:c r="AK3403" t="n">
        <x:v>0</x:v>
      </x:c>
      <x:c r="AL3403" t="n">
        <x:v>0</x:v>
      </x:c>
      <x:c r="AM3403" t="n">
        <x:f>CHOOSE('假设'!$B$3,AJ3403,AK3403,AL3403)</x:f>
        <x:v>0</x:v>
      </x:c>
      <x:c r="AN3403" t="n">
        <x:v>1</x:v>
      </x:c>
    </x:row>
    <x:row r="3404" ht="23" customHeight="1">
      <x:c r="A3404" s="11" t="str">
        <x:v>688382.SH</x:v>
      </x:c>
      <x:c r="B3404" s="11" t="str">
        <x:v>三年</x:v>
      </x:c>
      <x:c r="C3404" s="11" t="str">
        <x:v>urat_cn</x:v>
      </x:c>
      <x:c r="D3404" s="11" t="str">
        <x:v>2032-12-31</x:v>
      </x:c>
      <x:c r="E3404" s="11" t="str">
        <x:v>CNY</x:v>
      </x:c>
      <x:c r="F3404" s="11" t="n">
        <x:v>3.2279260780287475</x:v>
      </x:c>
      <x:c r="G3404" s="26" t="b">
        <x:v>1</x:v>
      </x:c>
      <x:c r="H3404" s="16" t="n">
        <x:v>0</x:v>
      </x:c>
      <x:c r="I3404" s="16" t="n">
        <x:v>0.4666666666666666</x:v>
      </x:c>
      <x:c r="J3404" s="16" t="n">
        <x:v>1.7333333333333334</x:v>
      </x:c>
      <x:c r="K3404" s="11" t="n">
        <x:f>CHOOSE('假设'!$B$3,H3404,I3404,J3404)</x:f>
        <x:v>0.4666666666666666</x:v>
      </x:c>
      <x:c r="L3404" s="11" t="n">
        <x:f>K3404*'管线假设'!E739*'管线假设'!F739*'管线假设'!G739*IF(E3404="USD",'管线假设'!I739,1)-AM3404</x:f>
        <x:v>0.06909653333333332</x:v>
      </x:c>
      <x:c r="M3404" s="11" t="n">
        <x:f>'管线假设'!H739</x:f>
        <x:v>0.135</x:v>
      </x:c>
      <x:c r="N3404" s="11" t="n">
        <x:f>IF(G3404,L3404*AN3404/(1+M3404)^F3404,0)</x:f>
        <x:v>0.04591278985819765</x:v>
      </x:c>
      <x:c r="AJ3404" t="n">
        <x:v>0</x:v>
      </x:c>
      <x:c r="AK3404" t="n">
        <x:v>0</x:v>
      </x:c>
      <x:c r="AL3404" t="n">
        <x:v>0</x:v>
      </x:c>
      <x:c r="AM3404" t="n">
        <x:f>CHOOSE('假设'!$B$3,AJ3404,AK3404,AL3404)</x:f>
        <x:v>0</x:v>
      </x:c>
      <x:c r="AN3404" t="n">
        <x:v>1</x:v>
      </x:c>
    </x:row>
    <x:row r="3405" ht="23" customHeight="1">
      <x:c r="A3405" s="11" t="str">
        <x:v>688382.SH</x:v>
      </x:c>
      <x:c r="B3405" s="11" t="str">
        <x:v>三年</x:v>
      </x:c>
      <x:c r="C3405" s="11" t="str">
        <x:v>urat_cn</x:v>
      </x:c>
      <x:c r="D3405" s="11" t="str">
        <x:v>2033-12-31</x:v>
      </x:c>
      <x:c r="E3405" s="11" t="str">
        <x:v>CNY</x:v>
      </x:c>
      <x:c r="F3405" s="11" t="n">
        <x:v>4.227241615331964</x:v>
      </x:c>
      <x:c r="G3405" s="26" t="b">
        <x:v>1</x:v>
      </x:c>
      <x:c r="H3405" s="16" t="n">
        <x:v>0</x:v>
      </x:c>
      <x:c r="I3405" s="16" t="n">
        <x:v>0.7</x:v>
      </x:c>
      <x:c r="J3405" s="16" t="n">
        <x:v>2.166666666666667</x:v>
      </x:c>
      <x:c r="K3405" s="11" t="n">
        <x:f>CHOOSE('假设'!$B$3,H3405,I3405,J3405)</x:f>
        <x:v>0.7</x:v>
      </x:c>
      <x:c r="L3405" s="11" t="n">
        <x:f>K3405*'管线假设'!E739*'管线假设'!F739*'管线假设'!G739*IF(E3405="USD",'管线假设'!I739,1)-AM3405</x:f>
        <x:v>0.1036448</x:v>
      </x:c>
      <x:c r="M3405" s="11" t="n">
        <x:f>'管线假设'!H739</x:f>
        <x:v>0.135</x:v>
      </x:c>
      <x:c r="N3405" s="11" t="n">
        <x:f>IF(G3405,L3405*AN3405/(1+M3405)^F3405,0)</x:f>
        <x:v>0.060682955334822784</x:v>
      </x:c>
      <x:c r="AJ3405" t="n">
        <x:v>0</x:v>
      </x:c>
      <x:c r="AK3405" t="n">
        <x:v>0</x:v>
      </x:c>
      <x:c r="AL3405" t="n">
        <x:v>0</x:v>
      </x:c>
      <x:c r="AM3405" t="n">
        <x:f>CHOOSE('假设'!$B$3,AJ3405,AK3405,AL3405)</x:f>
        <x:v>0</x:v>
      </x:c>
      <x:c r="AN3405" t="n">
        <x:v>1</x:v>
      </x:c>
    </x:row>
    <x:row r="3406" ht="23" customHeight="1">
      <x:c r="A3406" s="11" t="str">
        <x:v>688382.SH</x:v>
      </x:c>
      <x:c r="B3406" s="11" t="str">
        <x:v>三年</x:v>
      </x:c>
      <x:c r="C3406" s="11" t="str">
        <x:v>urat_cn</x:v>
      </x:c>
      <x:c r="D3406" s="11" t="str">
        <x:v>2034-12-31</x:v>
      </x:c>
      <x:c r="E3406" s="11" t="str">
        <x:v>CNY</x:v>
      </x:c>
      <x:c r="F3406" s="11" t="n">
        <x:v>5.2265571526351815</x:v>
      </x:c>
      <x:c r="G3406" s="26" t="b">
        <x:v>1</x:v>
      </x:c>
      <x:c r="H3406" s="16" t="n">
        <x:v>0.12</x:v>
      </x:c>
      <x:c r="I3406" s="16" t="n">
        <x:v>0.9333333333333332</x:v>
      </x:c>
      <x:c r="J3406" s="16" t="n">
        <x:v>2.6</x:v>
      </x:c>
      <x:c r="K3406" s="11" t="n">
        <x:f>CHOOSE('假设'!$B$3,H3406,I3406,J3406)</x:f>
        <x:v>0.9333333333333332</x:v>
      </x:c>
      <x:c r="L3406" s="11" t="n">
        <x:f>K3406*'管线假设'!E739*'管线假设'!F739*'管线假设'!G739*IF(E3406="USD",'管线假设'!I739,1)-AM3406</x:f>
        <x:v>0.13819306666666664</x:v>
      </x:c>
      <x:c r="M3406" s="11" t="n">
        <x:f>'管线假设'!H739</x:f>
        <x:v>0.135</x:v>
      </x:c>
      <x:c r="N3406" s="11" t="n">
        <x:f>IF(G3406,L3406*AN3406/(1+M3406)^F3406,0)</x:f>
        <x:v>0.07129305759494245</x:v>
      </x:c>
      <x:c r="AJ3406" t="n">
        <x:v>0</x:v>
      </x:c>
      <x:c r="AK3406" t="n">
        <x:v>0</x:v>
      </x:c>
      <x:c r="AL3406" t="n">
        <x:v>0</x:v>
      </x:c>
      <x:c r="AM3406" t="n">
        <x:f>CHOOSE('假设'!$B$3,AJ3406,AK3406,AL3406)</x:f>
        <x:v>0</x:v>
      </x:c>
      <x:c r="AN3406" t="n">
        <x:v>1</x:v>
      </x:c>
    </x:row>
    <x:row r="3407" ht="23" customHeight="1">
      <x:c r="A3407" s="11" t="str">
        <x:v>688382.SH</x:v>
      </x:c>
      <x:c r="B3407" s="11" t="str">
        <x:v>三年</x:v>
      </x:c>
      <x:c r="C3407" s="11" t="str">
        <x:v>urat_cn</x:v>
      </x:c>
      <x:c r="D3407" s="11" t="str">
        <x:v>2035-12-31</x:v>
      </x:c>
      <x:c r="E3407" s="11" t="str">
        <x:v>CNY</x:v>
      </x:c>
      <x:c r="F3407" s="11" t="n">
        <x:v>6.225872689938399</x:v>
      </x:c>
      <x:c r="G3407" s="26" t="b">
        <x:v>1</x:v>
      </x:c>
      <x:c r="H3407" s="16" t="n">
        <x:v>0.24</x:v>
      </x:c>
      <x:c r="I3407" s="16" t="n">
        <x:v>1.1666666666666667</x:v>
      </x:c>
      <x:c r="J3407" s="16" t="n">
        <x:v>2.262</x:v>
      </x:c>
      <x:c r="K3407" s="11" t="n">
        <x:f>CHOOSE('假设'!$B$3,H3407,I3407,J3407)</x:f>
        <x:v>1.1666666666666667</x:v>
      </x:c>
      <x:c r="L3407" s="11" t="n">
        <x:f>K3407*'管线假设'!E739*'管线假设'!F739*'管线假设'!G739*IF(E3407="USD",'管线假设'!I739,1)-AM3407</x:f>
        <x:v>0.17274133333333336</x:v>
      </x:c>
      <x:c r="M3407" s="11" t="n">
        <x:f>'管线假设'!H739</x:f>
        <x:v>0.135</x:v>
      </x:c>
      <x:c r="N3407" s="11" t="n">
        <x:f>IF(G3407,L3407*AN3407/(1+M3407)^F3407,0)</x:f>
        <x:v>0.07852338899971378</x:v>
      </x:c>
      <x:c r="AJ3407" t="n">
        <x:v>0</x:v>
      </x:c>
      <x:c r="AK3407" t="n">
        <x:v>0</x:v>
      </x:c>
      <x:c r="AL3407" t="n">
        <x:v>0</x:v>
      </x:c>
      <x:c r="AM3407" t="n">
        <x:f>CHOOSE('假设'!$B$3,AJ3407,AK3407,AL3407)</x:f>
        <x:v>0</x:v>
      </x:c>
      <x:c r="AN3407" t="n">
        <x:v>1</x:v>
      </x:c>
    </x:row>
    <x:row r="3408" ht="23" customHeight="1">
      <x:c r="A3408" s="11" t="str">
        <x:v>688382.SH</x:v>
      </x:c>
      <x:c r="B3408" s="11" t="str">
        <x:v>三年</x:v>
      </x:c>
      <x:c r="C3408" s="11" t="str">
        <x:v>urat_cn</x:v>
      </x:c>
      <x:c r="D3408" s="11" t="str">
        <x:v>2036-12-31</x:v>
      </x:c>
      <x:c r="E3408" s="11" t="str">
        <x:v>CNY</x:v>
      </x:c>
      <x:c r="F3408" s="11" t="n">
        <x:v>7.227926078028747</x:v>
      </x:c>
      <x:c r="G3408" s="26" t="b">
        <x:v>1</x:v>
      </x:c>
      <x:c r="H3408" s="16" t="n">
        <x:v>0.36</x:v>
      </x:c>
      <x:c r="I3408" s="16" t="n">
        <x:v>1.4</x:v>
      </x:c>
      <x:c r="J3408" s="16" t="n">
        <x:v>1.924</x:v>
      </x:c>
      <x:c r="K3408" s="11" t="n">
        <x:f>CHOOSE('假设'!$B$3,H3408,I3408,J3408)</x:f>
        <x:v>1.4</x:v>
      </x:c>
      <x:c r="L3408" s="11" t="n">
        <x:f>K3408*'管线假设'!E739*'管线假设'!F739*'管线假设'!G739*IF(E3408="USD",'管线假设'!I739,1)-AM3408</x:f>
        <x:v>0.2072896</x:v>
      </x:c>
      <x:c r="M3408" s="11" t="n">
        <x:f>'管线假设'!H739</x:f>
        <x:v>0.135</x:v>
      </x:c>
      <x:c r="N3408" s="11" t="n">
        <x:f>IF(G3408,L3408*AN3408/(1+M3408)^F3408,0)</x:f>
        <x:v>0.08299873853724155</x:v>
      </x:c>
      <x:c r="AJ3408" t="n">
        <x:v>0</x:v>
      </x:c>
      <x:c r="AK3408" t="n">
        <x:v>0</x:v>
      </x:c>
      <x:c r="AL3408" t="n">
        <x:v>0</x:v>
      </x:c>
      <x:c r="AM3408" t="n">
        <x:f>CHOOSE('假设'!$B$3,AJ3408,AK3408,AL3408)</x:f>
        <x:v>0</x:v>
      </x:c>
      <x:c r="AN3408" t="n">
        <x:v>1</x:v>
      </x:c>
    </x:row>
    <x:row r="3409" ht="23" customHeight="1">
      <x:c r="A3409" s="11" t="str">
        <x:v>688382.SH</x:v>
      </x:c>
      <x:c r="B3409" s="11" t="str">
        <x:v>三年</x:v>
      </x:c>
      <x:c r="C3409" s="11" t="str">
        <x:v>urat_cn</x:v>
      </x:c>
      <x:c r="D3409" s="11" t="str">
        <x:v>2037-12-31</x:v>
      </x:c>
      <x:c r="E3409" s="11" t="str">
        <x:v>CNY</x:v>
      </x:c>
      <x:c r="F3409" s="11" t="n">
        <x:v>8.227241615331964</x:v>
      </x:c>
      <x:c r="G3409" s="26" t="b">
        <x:v>1</x:v>
      </x:c>
      <x:c r="H3409" s="16" t="n">
        <x:v>0.48</x:v>
      </x:c>
      <x:c r="I3409" s="16" t="n">
        <x:v>1.218</x:v>
      </x:c>
      <x:c r="J3409" s="16" t="n">
        <x:v>1.586</x:v>
      </x:c>
      <x:c r="K3409" s="11" t="n">
        <x:f>CHOOSE('假设'!$B$3,H3409,I3409,J3409)</x:f>
        <x:v>1.218</x:v>
      </x:c>
      <x:c r="L3409" s="11" t="n">
        <x:f>K3409*'管线假设'!E739*'管线假设'!F739*'管线假设'!G739*IF(E3409="USD",'管线假设'!I739,1)-AM3409</x:f>
        <x:v>0.180341952</x:v>
      </x:c>
      <x:c r="M3409" s="11" t="n">
        <x:f>'管线假设'!H739</x:f>
        <x:v>0.135</x:v>
      </x:c>
      <x:c r="N3409" s="11" t="n">
        <x:f>IF(G3409,L3409*AN3409/(1+M3409)^F3409,0)</x:f>
        <x:v>0.06362569297691273</x:v>
      </x:c>
      <x:c r="AJ3409" t="n">
        <x:v>0</x:v>
      </x:c>
      <x:c r="AK3409" t="n">
        <x:v>0</x:v>
      </x:c>
      <x:c r="AL3409" t="n">
        <x:v>0</x:v>
      </x:c>
      <x:c r="AM3409" t="n">
        <x:f>CHOOSE('假设'!$B$3,AJ3409,AK3409,AL3409)</x:f>
        <x:v>0</x:v>
      </x:c>
      <x:c r="AN3409" t="n">
        <x:v>1</x:v>
      </x:c>
    </x:row>
    <x:row r="3410" ht="23" customHeight="1">
      <x:c r="A3410" s="11" t="str">
        <x:v>688382.SH</x:v>
      </x:c>
      <x:c r="B3410" s="11" t="str">
        <x:v>三年</x:v>
      </x:c>
      <x:c r="C3410" s="11" t="str">
        <x:v>urat_cn</x:v>
      </x:c>
      <x:c r="D3410" s="11" t="str">
        <x:v>2038-12-31</x:v>
      </x:c>
      <x:c r="E3410" s="11" t="str">
        <x:v>CNY</x:v>
      </x:c>
      <x:c r="F3410" s="11" t="n">
        <x:v>9.22655715263518</x:v>
      </x:c>
      <x:c r="G3410" s="26" t="b">
        <x:v>1</x:v>
      </x:c>
      <x:c r="H3410" s="16" t="n">
        <x:v>0.6</x:v>
      </x:c>
      <x:c r="I3410" s="16" t="n">
        <x:v>1.036</x:v>
      </x:c>
      <x:c r="J3410" s="16" t="n">
        <x:v>1.248</x:v>
      </x:c>
      <x:c r="K3410" s="11" t="n">
        <x:f>CHOOSE('假设'!$B$3,H3410,I3410,J3410)</x:f>
        <x:v>1.036</x:v>
      </x:c>
      <x:c r="L3410" s="11" t="n">
        <x:f>K3410*'管线假设'!E739*'管线假设'!F739*'管线假设'!G739*IF(E3410="USD",'管线假设'!I739,1)-AM3410</x:f>
        <x:v>0.15339430399999998</x:v>
      </x:c>
      <x:c r="M3410" s="11" t="n">
        <x:f>'管线假设'!H739</x:f>
        <x:v>0.135</x:v>
      </x:c>
      <x:c r="N3410" s="11" t="n">
        <x:f>IF(G3410,L3410*AN3410/(1+M3410)^F3410,0)</x:f>
        <x:v>0.047685547536838443</x:v>
      </x:c>
      <x:c r="AJ3410" t="n">
        <x:v>0</x:v>
      </x:c>
      <x:c r="AK3410" t="n">
        <x:v>0</x:v>
      </x:c>
      <x:c r="AL3410" t="n">
        <x:v>0</x:v>
      </x:c>
      <x:c r="AM3410" t="n">
        <x:f>CHOOSE('假设'!$B$3,AJ3410,AK3410,AL3410)</x:f>
        <x:v>0</x:v>
      </x:c>
      <x:c r="AN3410" t="n">
        <x:v>1</x:v>
      </x:c>
    </x:row>
    <x:row r="3411" ht="23" customHeight="1">
      <x:c r="A3411" s="11" t="str">
        <x:v>688382.SH</x:v>
      </x:c>
      <x:c r="B3411" s="11" t="str">
        <x:v>三年</x:v>
      </x:c>
      <x:c r="C3411" s="11" t="str">
        <x:v>urat_cn</x:v>
      </x:c>
      <x:c r="D3411" s="11" t="str">
        <x:v>2039-12-31</x:v>
      </x:c>
      <x:c r="E3411" s="11" t="str">
        <x:v>CNY</x:v>
      </x:c>
      <x:c r="F3411" s="11" t="n">
        <x:v>10.225872689938399</x:v>
      </x:c>
      <x:c r="G3411" s="26" t="b">
        <x:v>1</x:v>
      </x:c>
      <x:c r="H3411" s="16" t="n">
        <x:v>0.522</x:v>
      </x:c>
      <x:c r="I3411" s="16" t="n">
        <x:v>0.854</x:v>
      </x:c>
      <x:c r="J3411" s="16" t="n">
        <x:v>0.9099999999999999</x:v>
      </x:c>
      <x:c r="K3411" s="11" t="n">
        <x:f>CHOOSE('假设'!$B$3,H3411,I3411,J3411)</x:f>
        <x:v>0.854</x:v>
      </x:c>
      <x:c r="L3411" s="11" t="n">
        <x:f>K3411*'管线假设'!E739*'管线假设'!F739*'管线假设'!G739*IF(E3411="USD",'管线假设'!I739,1)-AM3411</x:f>
        <x:v>0.126446656</x:v>
      </x:c>
      <x:c r="M3411" s="11" t="n">
        <x:f>'管线假设'!H739</x:f>
        <x:v>0.135</x:v>
      </x:c>
      <x:c r="N3411" s="11" t="n">
        <x:f>IF(G3411,L3411*AN3411/(1+M3411)^F3411,0)</x:f>
        <x:v>0.03463591538821578</x:v>
      </x:c>
      <x:c r="AJ3411" t="n">
        <x:v>0</x:v>
      </x:c>
      <x:c r="AK3411" t="n">
        <x:v>0</x:v>
      </x:c>
      <x:c r="AL3411" t="n">
        <x:v>0</x:v>
      </x:c>
      <x:c r="AM3411" t="n">
        <x:f>CHOOSE('假设'!$B$3,AJ3411,AK3411,AL3411)</x:f>
        <x:v>0</x:v>
      </x:c>
      <x:c r="AN3411" t="n">
        <x:v>1</x:v>
      </x:c>
    </x:row>
    <x:row r="3412" ht="23" customHeight="1">
      <x:c r="A3412" s="11" t="str">
        <x:v>688382.SH</x:v>
      </x:c>
      <x:c r="B3412" s="11" t="str">
        <x:v>三年</x:v>
      </x:c>
      <x:c r="C3412" s="11" t="str">
        <x:v>urat_cn</x:v>
      </x:c>
      <x:c r="D3412" s="11" t="str">
        <x:v>2040-12-31</x:v>
      </x:c>
      <x:c r="E3412" s="11" t="str">
        <x:v>CNY</x:v>
      </x:c>
      <x:c r="F3412" s="11" t="n">
        <x:v>11.227926078028748</x:v>
      </x:c>
      <x:c r="G3412" s="26" t="b">
        <x:v>1</x:v>
      </x:c>
      <x:c r="H3412" s="16" t="n">
        <x:v>0.444</x:v>
      </x:c>
      <x:c r="I3412" s="16" t="n">
        <x:v>0.6719999999999999</x:v>
      </x:c>
      <x:c r="J3412" s="16" t="n">
        <x:v>0.572</x:v>
      </x:c>
      <x:c r="K3412" s="11" t="n">
        <x:f>CHOOSE('假设'!$B$3,H3412,I3412,J3412)</x:f>
        <x:v>0.6719999999999999</x:v>
      </x:c>
      <x:c r="L3412" s="11" t="n">
        <x:f>K3412*'管线假设'!E739*'管线假设'!F739*'管线假设'!G739*IF(E3412="USD",'管线假设'!I739,1)-AM3412</x:f>
        <x:v>0.09949900799999999</x:v>
      </x:c>
      <x:c r="M3412" s="11" t="n">
        <x:f>'管线假设'!H739</x:f>
        <x:v>0.135</x:v>
      </x:c>
      <x:c r="N3412" s="11" t="n">
        <x:f>IF(G3412,L3412*AN3412/(1+M3412)^F3412,0)</x:f>
        <x:v>0.02400652409073643</x:v>
      </x:c>
      <x:c r="AJ3412" t="n">
        <x:v>0</x:v>
      </x:c>
      <x:c r="AK3412" t="n">
        <x:v>0</x:v>
      </x:c>
      <x:c r="AL3412" t="n">
        <x:v>0</x:v>
      </x:c>
      <x:c r="AM3412" t="n">
        <x:f>CHOOSE('假设'!$B$3,AJ3412,AK3412,AL3412)</x:f>
        <x:v>0</x:v>
      </x:c>
      <x:c r="AN3412" t="n">
        <x:v>1</x:v>
      </x:c>
    </x:row>
    <x:row r="3413" ht="23" customHeight="1">
      <x:c r="A3413" s="11" t="str">
        <x:v>688382.SH</x:v>
      </x:c>
      <x:c r="B3413" s="11" t="str">
        <x:v>三年</x:v>
      </x:c>
      <x:c r="C3413" s="11" t="str">
        <x:v>urat_cn</x:v>
      </x:c>
      <x:c r="D3413" s="11" t="str">
        <x:v>2041-12-31</x:v>
      </x:c>
      <x:c r="E3413" s="11" t="str">
        <x:v>CNY</x:v>
      </x:c>
      <x:c r="F3413" s="11" t="n">
        <x:v>12.227241615331964</x:v>
      </x:c>
      <x:c r="G3413" s="26" t="b">
        <x:v>1</x:v>
      </x:c>
      <x:c r="H3413" s="16" t="n">
        <x:v>0.366</x:v>
      </x:c>
      <x:c r="I3413" s="16" t="n">
        <x:v>0.48999999999999994</x:v>
      </x:c>
      <x:c r="J3413" s="16" t="n">
        <x:v>0.23399999999999993</x:v>
      </x:c>
      <x:c r="K3413" s="11" t="n">
        <x:f>CHOOSE('假设'!$B$3,H3413,I3413,J3413)</x:f>
        <x:v>0.48999999999999994</x:v>
      </x:c>
      <x:c r="L3413" s="11" t="n">
        <x:f>K3413*'管线假设'!E739*'管线假设'!F739*'管线假设'!G739*IF(E3413="USD",'管线假设'!I739,1)-AM3413</x:f>
        <x:v>0.07255136</x:v>
      </x:c>
      <x:c r="M3413" s="11" t="n">
        <x:f>'管线假设'!H739</x:f>
        <x:v>0.135</x:v>
      </x:c>
      <x:c r="N3413" s="11" t="n">
        <x:f>IF(G3413,L3413*AN3413/(1+M3413)^F3413,0)</x:f>
        <x:v>0.0154240303487037</x:v>
      </x:c>
      <x:c r="AJ3413" t="n">
        <x:v>0</x:v>
      </x:c>
      <x:c r="AK3413" t="n">
        <x:v>0</x:v>
      </x:c>
      <x:c r="AL3413" t="n">
        <x:v>0</x:v>
      </x:c>
      <x:c r="AM3413" t="n">
        <x:f>CHOOSE('假设'!$B$3,AJ3413,AK3413,AL3413)</x:f>
        <x:v>0</x:v>
      </x:c>
      <x:c r="AN3413" t="n">
        <x:v>1</x:v>
      </x:c>
    </x:row>
    <x:row r="3414" ht="23" customHeight="1">
      <x:c r="A3414" s="11" t="str">
        <x:v>688382.SH</x:v>
      </x:c>
      <x:c r="B3414" s="11" t="str">
        <x:v>三年</x:v>
      </x:c>
      <x:c r="C3414" s="11" t="str">
        <x:v>urat_cn</x:v>
      </x:c>
      <x:c r="D3414" s="11" t="str">
        <x:v>2042-12-31</x:v>
      </x:c>
      <x:c r="E3414" s="11" t="str">
        <x:v>CNY</x:v>
      </x:c>
      <x:c r="F3414" s="11" t="n">
        <x:v>13.22655715263518</x:v>
      </x:c>
      <x:c r="G3414" s="26" t="b">
        <x:v>1</x:v>
      </x:c>
      <x:c r="H3414" s="16" t="n">
        <x:v>0.288</x:v>
      </x:c>
      <x:c r="I3414" s="16" t="n">
        <x:v>0.30799999999999994</x:v>
      </x:c>
      <x:c r="J3414" s="16" t="n">
        <x:v>0</x:v>
      </x:c>
      <x:c r="K3414" s="11" t="n">
        <x:f>CHOOSE('假设'!$B$3,H3414,I3414,J3414)</x:f>
        <x:v>0.30799999999999994</x:v>
      </x:c>
      <x:c r="L3414" s="11" t="n">
        <x:f>K3414*'管线假设'!E739*'管线假设'!F739*'管线假设'!G739*IF(E3414="USD",'管线假设'!I739,1)-AM3414</x:f>
        <x:v>0.04560371199999999</x:v>
      </x:c>
      <x:c r="M3414" s="11" t="n">
        <x:f>'管线假设'!H739</x:f>
        <x:v>0.135</x:v>
      </x:c>
      <x:c r="N3414" s="11" t="n">
        <x:f>IF(G3414,L3414*AN3414/(1+M3414)^F3414,0)</x:f>
        <x:v>0.008542682954536193</x:v>
      </x:c>
      <x:c r="AJ3414" t="n">
        <x:v>0</x:v>
      </x:c>
      <x:c r="AK3414" t="n">
        <x:v>0</x:v>
      </x:c>
      <x:c r="AL3414" t="n">
        <x:v>0</x:v>
      </x:c>
      <x:c r="AM3414" t="n">
        <x:f>CHOOSE('假设'!$B$3,AJ3414,AK3414,AL3414)</x:f>
        <x:v>0</x:v>
      </x:c>
      <x:c r="AN3414" t="n">
        <x:v>1</x:v>
      </x:c>
    </x:row>
    <x:row r="3415" ht="23" customHeight="1">
      <x:c r="A3415" s="11" t="str">
        <x:v>688382.SH</x:v>
      </x:c>
      <x:c r="B3415" s="11" t="str">
        <x:v>三年</x:v>
      </x:c>
      <x:c r="C3415" s="11" t="str">
        <x:v>urat_cn</x:v>
      </x:c>
      <x:c r="D3415" s="11" t="str">
        <x:v>2043-12-31</x:v>
      </x:c>
      <x:c r="E3415" s="11" t="str">
        <x:v>CNY</x:v>
      </x:c>
      <x:c r="F3415" s="11" t="n">
        <x:v>14.225872689938399</x:v>
      </x:c>
      <x:c r="G3415" s="26" t="b">
        <x:v>1</x:v>
      </x:c>
      <x:c r="H3415" s="16" t="n">
        <x:v>0.21</x:v>
      </x:c>
      <x:c r="I3415" s="16" t="n">
        <x:v>0.12599999999999995</x:v>
      </x:c>
      <x:c r="J3415" s="16" t="n">
        <x:v>0</x:v>
      </x:c>
      <x:c r="K3415" s="11" t="n">
        <x:f>CHOOSE('假设'!$B$3,H3415,I3415,J3415)</x:f>
        <x:v>0.12599999999999995</x:v>
      </x:c>
      <x:c r="L3415" s="11" t="n">
        <x:f>K3415*'管线假设'!E739*'管线假设'!F739*'管线假设'!G739*IF(E3415="USD",'管线假设'!I739,1)-AM3415</x:f>
        <x:v>0.01865606399999999</x:v>
      </x:c>
      <x:c r="M3415" s="11" t="n">
        <x:f>'管线假设'!H739</x:f>
        <x:v>0.135</x:v>
      </x:c>
      <x:c r="N3415" s="11" t="n">
        <x:f>IF(G3415,L3415*AN3415/(1+M3415)^F3415,0)</x:f>
        <x:v>0.0030793276266754444</x:v>
      </x:c>
      <x:c r="AJ3415" t="n">
        <x:v>0</x:v>
      </x:c>
      <x:c r="AK3415" t="n">
        <x:v>0</x:v>
      </x:c>
      <x:c r="AL3415" t="n">
        <x:v>0</x:v>
      </x:c>
      <x:c r="AM3415" t="n">
        <x:f>CHOOSE('假设'!$B$3,AJ3415,AK3415,AL3415)</x:f>
        <x:v>0</x:v>
      </x:c>
      <x:c r="AN3415" t="n">
        <x:v>1</x:v>
      </x:c>
    </x:row>
    <x:row r="3416" ht="23" customHeight="1">
      <x:c r="A3416" s="11" t="str">
        <x:v>688382.SH</x:v>
      </x:c>
      <x:c r="B3416" s="11" t="str">
        <x:v>三年</x:v>
      </x:c>
      <x:c r="C3416" s="11" t="str">
        <x:v>urat_cn</x:v>
      </x:c>
      <x:c r="D3416" s="11" t="str">
        <x:v>2044-12-31</x:v>
      </x:c>
      <x:c r="E3416" s="11" t="str">
        <x:v>CNY</x:v>
      </x:c>
      <x:c r="F3416" s="11" t="n">
        <x:v>15.227926078028748</x:v>
      </x:c>
      <x:c r="G3416" s="26" t="b">
        <x:v>1</x:v>
      </x:c>
      <x:c r="H3416" s="16" t="n">
        <x:v>0.13199999999999998</x:v>
      </x:c>
      <x:c r="I3416" s="16" t="n">
        <x:v>0</x:v>
      </x:c>
      <x:c r="J3416" s="16" t="n">
        <x:v>0</x:v>
      </x:c>
      <x:c r="K3416" s="11" t="n">
        <x:f>CHOOSE('假设'!$B$3,H3416,I3416,J3416)</x:f>
        <x:v>0</x:v>
      </x:c>
      <x:c r="L3416" s="11" t="n">
        <x:f>K3416*'管线假设'!E739*'管线假设'!F739*'管线假设'!G739*IF(E3416="USD",'管线假设'!I739,1)-AM3416</x:f>
        <x:v>0</x:v>
      </x:c>
      <x:c r="M3416" s="11" t="n">
        <x:f>'管线假设'!H739</x:f>
        <x:v>0.135</x:v>
      </x:c>
      <x:c r="N3416" s="11" t="n">
        <x:f>IF(G3416,L3416*AN3416/(1+M3416)^F3416,0)</x:f>
        <x:v>0</x:v>
      </x:c>
      <x:c r="AJ3416" t="n">
        <x:v>0</x:v>
      </x:c>
      <x:c r="AK3416" t="n">
        <x:v>0</x:v>
      </x:c>
      <x:c r="AL3416" t="n">
        <x:v>0</x:v>
      </x:c>
      <x:c r="AM3416" t="n">
        <x:f>CHOOSE('假设'!$B$3,AJ3416,AK3416,AL3416)</x:f>
        <x:v>0</x:v>
      </x:c>
      <x:c r="AN3416" t="n">
        <x:v>1</x:v>
      </x:c>
    </x:row>
    <x:row r="3417" ht="23" customHeight="1">
      <x:c r="A3417" s="11" t="str">
        <x:v>688382.SH</x:v>
      </x:c>
      <x:c r="B3417" s="11" t="str">
        <x:v>三年</x:v>
      </x:c>
      <x:c r="C3417" s="11" t="str">
        <x:v>urat_cn</x:v>
      </x:c>
      <x:c r="D3417" s="11" t="str">
        <x:v>2045-12-31</x:v>
      </x:c>
      <x:c r="E3417" s="11" t="str">
        <x:v>CNY</x:v>
      </x:c>
      <x:c r="F3417" s="11" t="n">
        <x:v>16.227241615331966</x:v>
      </x:c>
      <x:c r="G3417" s="26" t="b">
        <x:v>1</x:v>
      </x:c>
      <x:c r="H3417" s="16" t="n">
        <x:v>0.05399999999999998</x:v>
      </x:c>
      <x:c r="I3417" s="16" t="n">
        <x:v>0</x:v>
      </x:c>
      <x:c r="J3417" s="16" t="n">
        <x:v>0</x:v>
      </x:c>
      <x:c r="K3417" s="11" t="n">
        <x:f>CHOOSE('假设'!$B$3,H3417,I3417,J3417)</x:f>
        <x:v>0</x:v>
      </x:c>
      <x:c r="L3417" s="11" t="n">
        <x:f>K3417*'管线假设'!E739*'管线假设'!F739*'管线假设'!G739*IF(E3417="USD",'管线假设'!I739,1)-AM3417</x:f>
        <x:v>0</x:v>
      </x:c>
      <x:c r="M3417" s="11" t="n">
        <x:f>'管线假设'!H739</x:f>
        <x:v>0.135</x:v>
      </x:c>
      <x:c r="N3417" s="11" t="n">
        <x:f>IF(G3417,L3417*AN3417/(1+M3417)^F3417,0)</x:f>
        <x:v>0</x:v>
      </x:c>
      <x:c r="AJ3417" t="n">
        <x:v>0</x:v>
      </x:c>
      <x:c r="AK3417" t="n">
        <x:v>0</x:v>
      </x:c>
      <x:c r="AL3417" t="n">
        <x:v>0</x:v>
      </x:c>
      <x:c r="AM3417" t="n">
        <x:f>CHOOSE('假设'!$B$3,AJ3417,AK3417,AL3417)</x:f>
        <x:v>0</x:v>
      </x:c>
      <x:c r="AN3417" t="n">
        <x:v>1</x:v>
      </x:c>
    </x:row>
    <x:row r="3418" ht="23" customHeight="1">
      <x:c r="A3418" s="11" t="str">
        <x:v>688382.SH</x:v>
      </x:c>
      <x:c r="B3418" s="11" t="str">
        <x:v>三年</x:v>
      </x:c>
      <x:c r="C3418" s="11" t="str">
        <x:v>urat_global</x:v>
      </x:c>
      <x:c r="D3418" s="11" t="str">
        <x:v>2027-12-31</x:v>
      </x:c>
      <x:c r="E3418" s="11" t="str">
        <x:v>USD</x:v>
      </x:c>
      <x:c r="F3418" s="11" t="n">
        <x:v>-1.7741273100616017</x:v>
      </x:c>
      <x:c r="G3418" s="26" t="b">
        <x:v>0</x:v>
      </x:c>
      <x:c r="H3418" s="16" t="n">
        <x:v>0</x:v>
      </x:c>
      <x:c r="I3418" s="16" t="n">
        <x:v>0</x:v>
      </x:c>
      <x:c r="J3418" s="16" t="n">
        <x:v>0</x:v>
      </x:c>
      <x:c r="K3418" s="11" t="n">
        <x:f>CHOOSE('假设'!$B$3,H3418,I3418,J3418)</x:f>
        <x:v>0</x:v>
      </x:c>
      <x:c r="L3418" s="11" t="n">
        <x:f>K3418*'管线假设'!E743*'管线假设'!F743*'管线假设'!G743*IF(E3418="USD",'管线假设'!I743,1)-AM3418</x:f>
        <x:v>0</x:v>
      </x:c>
      <x:c r="M3418" s="11" t="n">
        <x:f>'管线假设'!H743</x:f>
        <x:v>0.135</x:v>
      </x:c>
      <x:c r="N3418" s="11" t="n">
        <x:f>IF(G3418,L3418*AN3418/(1+M3418)^F3418,0)</x:f>
        <x:v>0</x:v>
      </x:c>
      <x:c r="AJ3418" t="n">
        <x:v>0</x:v>
      </x:c>
      <x:c r="AK3418" t="n">
        <x:v>0</x:v>
      </x:c>
      <x:c r="AL3418" t="n">
        <x:v>0</x:v>
      </x:c>
      <x:c r="AM3418" t="n">
        <x:f>CHOOSE('假设'!$B$3,AJ3418,AK3418,AL3418)</x:f>
        <x:v>0</x:v>
      </x:c>
      <x:c r="AN3418" t="n">
        <x:v>1</x:v>
      </x:c>
    </x:row>
    <x:row r="3419" ht="23" customHeight="1">
      <x:c r="A3419" s="11" t="str">
        <x:v>688382.SH</x:v>
      </x:c>
      <x:c r="B3419" s="11" t="str">
        <x:v>三年</x:v>
      </x:c>
      <x:c r="C3419" s="11" t="str">
        <x:v>urat_global</x:v>
      </x:c>
      <x:c r="D3419" s="11" t="str">
        <x:v>2028-12-31</x:v>
      </x:c>
      <x:c r="E3419" s="11" t="str">
        <x:v>USD</x:v>
      </x:c>
      <x:c r="F3419" s="11" t="n">
        <x:v>-0.7720739219712526</x:v>
      </x:c>
      <x:c r="G3419" s="26" t="b">
        <x:v>0</x:v>
      </x:c>
      <x:c r="H3419" s="16" t="n">
        <x:v>0</x:v>
      </x:c>
      <x:c r="I3419" s="16" t="n">
        <x:v>0</x:v>
      </x:c>
      <x:c r="J3419" s="16" t="n">
        <x:v>0</x:v>
      </x:c>
      <x:c r="K3419" s="11" t="n">
        <x:f>CHOOSE('假设'!$B$3,H3419,I3419,J3419)</x:f>
        <x:v>0</x:v>
      </x:c>
      <x:c r="L3419" s="11" t="n">
        <x:f>K3419*'管线假设'!E743*'管线假设'!F743*'管线假设'!G743*IF(E3419="USD",'管线假设'!I743,1)-AM3419</x:f>
        <x:v>0</x:v>
      </x:c>
      <x:c r="M3419" s="11" t="n">
        <x:f>'管线假设'!H743</x:f>
        <x:v>0.135</x:v>
      </x:c>
      <x:c r="N3419" s="11" t="n">
        <x:f>IF(G3419,L3419*AN3419/(1+M3419)^F3419,0)</x:f>
        <x:v>0</x:v>
      </x:c>
      <x:c r="AJ3419" t="n">
        <x:v>0</x:v>
      </x:c>
      <x:c r="AK3419" t="n">
        <x:v>0</x:v>
      </x:c>
      <x:c r="AL3419" t="n">
        <x:v>0</x:v>
      </x:c>
      <x:c r="AM3419" t="n">
        <x:f>CHOOSE('假设'!$B$3,AJ3419,AK3419,AL3419)</x:f>
        <x:v>0</x:v>
      </x:c>
      <x:c r="AN3419" t="n">
        <x:v>1</x:v>
      </x:c>
    </x:row>
    <x:row r="3420" ht="23" customHeight="1">
      <x:c r="A3420" s="11" t="str">
        <x:v>688382.SH</x:v>
      </x:c>
      <x:c r="B3420" s="11" t="str">
        <x:v>三年</x:v>
      </x:c>
      <x:c r="C3420" s="11" t="str">
        <x:v>urat_global</x:v>
      </x:c>
      <x:c r="D3420" s="11" t="str">
        <x:v>2029-12-31</x:v>
      </x:c>
      <x:c r="E3420" s="11" t="str">
        <x:v>USD</x:v>
      </x:c>
      <x:c r="F3420" s="11" t="n">
        <x:v>0.2272416153319644</x:v>
      </x:c>
      <x:c r="G3420" s="26" t="b">
        <x:v>1</x:v>
      </x:c>
      <x:c r="H3420" s="16" t="n">
        <x:v>0</x:v>
      </x:c>
      <x:c r="I3420" s="16" t="n">
        <x:v>0</x:v>
      </x:c>
      <x:c r="J3420" s="16" t="n">
        <x:v>0</x:v>
      </x:c>
      <x:c r="K3420" s="11" t="n">
        <x:f>CHOOSE('假设'!$B$3,H3420,I3420,J3420)</x:f>
        <x:v>0</x:v>
      </x:c>
      <x:c r="L3420" s="11" t="n">
        <x:f>K3420*'管线假设'!E743*'管线假设'!F743*'管线假设'!G743*IF(E3420="USD",'管线假设'!I743,1)-AM3420</x:f>
        <x:v>0</x:v>
      </x:c>
      <x:c r="M3420" s="11" t="n">
        <x:f>'管线假设'!H743</x:f>
        <x:v>0.135</x:v>
      </x:c>
      <x:c r="N3420" s="11" t="n">
        <x:f>IF(G3420,L3420*AN3420/(1+M3420)^F3420,0)</x:f>
        <x:v>0</x:v>
      </x:c>
      <x:c r="AJ3420" t="n">
        <x:v>0</x:v>
      </x:c>
      <x:c r="AK3420" t="n">
        <x:v>0</x:v>
      </x:c>
      <x:c r="AL3420" t="n">
        <x:v>0</x:v>
      </x:c>
      <x:c r="AM3420" t="n">
        <x:f>CHOOSE('假设'!$B$3,AJ3420,AK3420,AL3420)</x:f>
        <x:v>0</x:v>
      </x:c>
      <x:c r="AN3420" t="n">
        <x:v>1</x:v>
      </x:c>
    </x:row>
    <x:row r="3421" ht="23" customHeight="1">
      <x:c r="A3421" s="11" t="str">
        <x:v>688382.SH</x:v>
      </x:c>
      <x:c r="B3421" s="11" t="str">
        <x:v>三年</x:v>
      </x:c>
      <x:c r="C3421" s="11" t="str">
        <x:v>urat_global</x:v>
      </x:c>
      <x:c r="D3421" s="11" t="str">
        <x:v>2030-12-31</x:v>
      </x:c>
      <x:c r="E3421" s="11" t="str">
        <x:v>USD</x:v>
      </x:c>
      <x:c r="F3421" s="11" t="n">
        <x:v>1.2265571526351813</x:v>
      </x:c>
      <x:c r="G3421" s="26" t="b">
        <x:v>1</x:v>
      </x:c>
      <x:c r="H3421" s="16" t="n">
        <x:v>0</x:v>
      </x:c>
      <x:c r="I3421" s="16" t="n">
        <x:v>0</x:v>
      </x:c>
      <x:c r="J3421" s="16" t="n">
        <x:v>0</x:v>
      </x:c>
      <x:c r="K3421" s="11" t="n">
        <x:f>CHOOSE('假设'!$B$3,H3421,I3421,J3421)</x:f>
        <x:v>0</x:v>
      </x:c>
      <x:c r="L3421" s="11" t="n">
        <x:f>K3421*'管线假设'!E743*'管线假设'!F743*'管线假设'!G743*IF(E3421="USD",'管线假设'!I743,1)-AM3421</x:f>
        <x:v>0</x:v>
      </x:c>
      <x:c r="M3421" s="11" t="n">
        <x:f>'管线假设'!H743</x:f>
        <x:v>0.135</x:v>
      </x:c>
      <x:c r="N3421" s="11" t="n">
        <x:f>IF(G3421,L3421*AN3421/(1+M3421)^F3421,0)</x:f>
        <x:v>0</x:v>
      </x:c>
      <x:c r="AJ3421" t="n">
        <x:v>0</x:v>
      </x:c>
      <x:c r="AK3421" t="n">
        <x:v>0</x:v>
      </x:c>
      <x:c r="AL3421" t="n">
        <x:v>0</x:v>
      </x:c>
      <x:c r="AM3421" t="n">
        <x:f>CHOOSE('假设'!$B$3,AJ3421,AK3421,AL3421)</x:f>
        <x:v>0</x:v>
      </x:c>
      <x:c r="AN3421" t="n">
        <x:v>1</x:v>
      </x:c>
    </x:row>
    <x:row r="3422" ht="23" customHeight="1">
      <x:c r="A3422" s="11" t="str">
        <x:v>688382.SH</x:v>
      </x:c>
      <x:c r="B3422" s="11" t="str">
        <x:v>三年</x:v>
      </x:c>
      <x:c r="C3422" s="11" t="str">
        <x:v>urat_global</x:v>
      </x:c>
      <x:c r="D3422" s="11" t="str">
        <x:v>2031-12-31</x:v>
      </x:c>
      <x:c r="E3422" s="11" t="str">
        <x:v>USD</x:v>
      </x:c>
      <x:c r="F3422" s="11" t="n">
        <x:v>2.2258726899383983</x:v>
      </x:c>
      <x:c r="G3422" s="26" t="b">
        <x:v>1</x:v>
      </x:c>
      <x:c r="H3422" s="16" t="n">
        <x:v>0</x:v>
      </x:c>
      <x:c r="I3422" s="16" t="n">
        <x:v>0</x:v>
      </x:c>
      <x:c r="J3422" s="16" t="n">
        <x:v>0.3666666666666667</x:v>
      </x:c>
      <x:c r="K3422" s="11" t="n">
        <x:f>CHOOSE('假设'!$B$3,H3422,I3422,J3422)</x:f>
        <x:v>0</x:v>
      </x:c>
      <x:c r="L3422" s="11" t="n">
        <x:f>K3422*'管线假设'!E743*'管线假设'!F743*'管线假设'!G743*IF(E3422="USD",'管线假设'!I743,1)-AM3422</x:f>
        <x:v>0</x:v>
      </x:c>
      <x:c r="M3422" s="11" t="n">
        <x:f>'管线假设'!H743</x:f>
        <x:v>0.135</x:v>
      </x:c>
      <x:c r="N3422" s="11" t="n">
        <x:f>IF(G3422,L3422*AN3422/(1+M3422)^F3422,0)</x:f>
        <x:v>0</x:v>
      </x:c>
      <x:c r="AJ3422" t="n">
        <x:v>0</x:v>
      </x:c>
      <x:c r="AK3422" t="n">
        <x:v>0</x:v>
      </x:c>
      <x:c r="AL3422" t="n">
        <x:v>0</x:v>
      </x:c>
      <x:c r="AM3422" t="n">
        <x:f>CHOOSE('假设'!$B$3,AJ3422,AK3422,AL3422)</x:f>
        <x:v>0</x:v>
      </x:c>
      <x:c r="AN3422" t="n">
        <x:v>1</x:v>
      </x:c>
    </x:row>
    <x:row r="3423" ht="23" customHeight="1">
      <x:c r="A3423" s="11" t="str">
        <x:v>688382.SH</x:v>
      </x:c>
      <x:c r="B3423" s="11" t="str">
        <x:v>三年</x:v>
      </x:c>
      <x:c r="C3423" s="11" t="str">
        <x:v>urat_global</x:v>
      </x:c>
      <x:c r="D3423" s="11" t="str">
        <x:v>2032-12-31</x:v>
      </x:c>
      <x:c r="E3423" s="11" t="str">
        <x:v>USD</x:v>
      </x:c>
      <x:c r="F3423" s="11" t="n">
        <x:v>3.2279260780287475</x:v>
      </x:c>
      <x:c r="G3423" s="26" t="b">
        <x:v>1</x:v>
      </x:c>
      <x:c r="H3423" s="16" t="n">
        <x:v>0</x:v>
      </x:c>
      <x:c r="I3423" s="16" t="n">
        <x:v>0</x:v>
      </x:c>
      <x:c r="J3423" s="16" t="n">
        <x:v>0.7333333333333334</x:v>
      </x:c>
      <x:c r="K3423" s="11" t="n">
        <x:f>CHOOSE('假设'!$B$3,H3423,I3423,J3423)</x:f>
        <x:v>0</x:v>
      </x:c>
      <x:c r="L3423" s="11" t="n">
        <x:f>K3423*'管线假设'!E743*'管线假设'!F743*'管线假设'!G743*IF(E3423="USD",'管线假设'!I743,1)-AM3423</x:f>
        <x:v>0</x:v>
      </x:c>
      <x:c r="M3423" s="11" t="n">
        <x:f>'管线假设'!H743</x:f>
        <x:v>0.135</x:v>
      </x:c>
      <x:c r="N3423" s="11" t="n">
        <x:f>IF(G3423,L3423*AN3423/(1+M3423)^F3423,0)</x:f>
        <x:v>0</x:v>
      </x:c>
      <x:c r="AJ3423" t="n">
        <x:v>0</x:v>
      </x:c>
      <x:c r="AK3423" t="n">
        <x:v>0</x:v>
      </x:c>
      <x:c r="AL3423" t="n">
        <x:v>0</x:v>
      </x:c>
      <x:c r="AM3423" t="n">
        <x:f>CHOOSE('假设'!$B$3,AJ3423,AK3423,AL3423)</x:f>
        <x:v>0</x:v>
      </x:c>
      <x:c r="AN3423" t="n">
        <x:v>1</x:v>
      </x:c>
    </x:row>
    <x:row r="3424" ht="23" customHeight="1">
      <x:c r="A3424" s="11" t="str">
        <x:v>688382.SH</x:v>
      </x:c>
      <x:c r="B3424" s="11" t="str">
        <x:v>三年</x:v>
      </x:c>
      <x:c r="C3424" s="11" t="str">
        <x:v>urat_global</x:v>
      </x:c>
      <x:c r="D3424" s="11" t="str">
        <x:v>2033-12-31</x:v>
      </x:c>
      <x:c r="E3424" s="11" t="str">
        <x:v>USD</x:v>
      </x:c>
      <x:c r="F3424" s="11" t="n">
        <x:v>4.227241615331964</x:v>
      </x:c>
      <x:c r="G3424" s="26" t="b">
        <x:v>1</x:v>
      </x:c>
      <x:c r="H3424" s="16" t="n">
        <x:v>0</x:v>
      </x:c>
      <x:c r="I3424" s="16" t="n">
        <x:v>0.18333333333333335</x:v>
      </x:c>
      <x:c r="J3424" s="16" t="n">
        <x:v>1.1</x:v>
      </x:c>
      <x:c r="K3424" s="11" t="n">
        <x:f>CHOOSE('假设'!$B$3,H3424,I3424,J3424)</x:f>
        <x:v>0.18333333333333335</x:v>
      </x:c>
      <x:c r="L3424" s="11" t="n">
        <x:f>K3424*'管线假设'!E743*'管线假设'!F743*'管线假设'!G743*IF(E3424="USD",'管线假设'!I743,1)-AM3424</x:f>
        <x:v>0.043957466666666674</x:v>
      </x:c>
      <x:c r="M3424" s="11" t="n">
        <x:f>'管线假设'!H743</x:f>
        <x:v>0.135</x:v>
      </x:c>
      <x:c r="N3424" s="11" t="n">
        <x:f>IF(G3424,L3424*AN3424/(1+M3424)^F3424,0)</x:f>
        <x:v>0.025736640780485806</x:v>
      </x:c>
      <x:c r="AJ3424" t="n">
        <x:v>0</x:v>
      </x:c>
      <x:c r="AK3424" t="n">
        <x:v>0</x:v>
      </x:c>
      <x:c r="AL3424" t="n">
        <x:v>0</x:v>
      </x:c>
      <x:c r="AM3424" t="n">
        <x:f>CHOOSE('假设'!$B$3,AJ3424,AK3424,AL3424)</x:f>
        <x:v>0</x:v>
      </x:c>
      <x:c r="AN3424" t="n">
        <x:v>1</x:v>
      </x:c>
    </x:row>
    <x:row r="3425" ht="23" customHeight="1">
      <x:c r="A3425" s="11" t="str">
        <x:v>688382.SH</x:v>
      </x:c>
      <x:c r="B3425" s="11" t="str">
        <x:v>三年</x:v>
      </x:c>
      <x:c r="C3425" s="11" t="str">
        <x:v>urat_global</x:v>
      </x:c>
      <x:c r="D3425" s="11" t="str">
        <x:v>2034-12-31</x:v>
      </x:c>
      <x:c r="E3425" s="11" t="str">
        <x:v>USD</x:v>
      </x:c>
      <x:c r="F3425" s="11" t="n">
        <x:v>5.2265571526351815</x:v>
      </x:c>
      <x:c r="G3425" s="26" t="b">
        <x:v>1</x:v>
      </x:c>
      <x:c r="H3425" s="16" t="n">
        <x:v>0</x:v>
      </x:c>
      <x:c r="I3425" s="16" t="n">
        <x:v>0.3666666666666667</x:v>
      </x:c>
      <x:c r="J3425" s="16" t="n">
        <x:v>1.4666666666666668</x:v>
      </x:c>
      <x:c r="K3425" s="11" t="n">
        <x:f>CHOOSE('假设'!$B$3,H3425,I3425,J3425)</x:f>
        <x:v>0.3666666666666667</x:v>
      </x:c>
      <x:c r="L3425" s="11" t="n">
        <x:f>K3425*'管线假设'!E743*'管线假设'!F743*'管线假设'!G743*IF(E3425="USD",'管线假设'!I743,1)-AM3425</x:f>
        <x:v>0.08791493333333335</x:v>
      </x:c>
      <x:c r="M3425" s="11" t="n">
        <x:f>'管线假设'!H743</x:f>
        <x:v>0.135</x:v>
      </x:c>
      <x:c r="N3425" s="11" t="n">
        <x:f>IF(G3425,L3425*AN3425/(1+M3425)^F3425,0)</x:f>
        <x:v>0.04535483983944825</x:v>
      </x:c>
      <x:c r="AJ3425" t="n">
        <x:v>0</x:v>
      </x:c>
      <x:c r="AK3425" t="n">
        <x:v>0</x:v>
      </x:c>
      <x:c r="AL3425" t="n">
        <x:v>0</x:v>
      </x:c>
      <x:c r="AM3425" t="n">
        <x:f>CHOOSE('假设'!$B$3,AJ3425,AK3425,AL3425)</x:f>
        <x:v>0</x:v>
      </x:c>
      <x:c r="AN3425" t="n">
        <x:v>1</x:v>
      </x:c>
    </x:row>
    <x:row r="3426" ht="23" customHeight="1">
      <x:c r="A3426" s="11" t="str">
        <x:v>688382.SH</x:v>
      </x:c>
      <x:c r="B3426" s="11" t="str">
        <x:v>三年</x:v>
      </x:c>
      <x:c r="C3426" s="11" t="str">
        <x:v>urat_global</x:v>
      </x:c>
      <x:c r="D3426" s="11" t="str">
        <x:v>2035-12-31</x:v>
      </x:c>
      <x:c r="E3426" s="11" t="str">
        <x:v>USD</x:v>
      </x:c>
      <x:c r="F3426" s="11" t="n">
        <x:v>6.225872689938399</x:v>
      </x:c>
      <x:c r="G3426" s="26" t="b">
        <x:v>1</x:v>
      </x:c>
      <x:c r="H3426" s="16" t="n">
        <x:v>0</x:v>
      </x:c>
      <x:c r="I3426" s="16" t="n">
        <x:v>0.55</x:v>
      </x:c>
      <x:c r="J3426" s="16" t="n">
        <x:v>1.8333333333333335</x:v>
      </x:c>
      <x:c r="K3426" s="11" t="n">
        <x:f>CHOOSE('假设'!$B$3,H3426,I3426,J3426)</x:f>
        <x:v>0.55</x:v>
      </x:c>
      <x:c r="L3426" s="11" t="n">
        <x:f>K3426*'管线假设'!E743*'管线假设'!F743*'管线假设'!G743*IF(E3426="USD",'管线假设'!I743,1)-AM3426</x:f>
        <x:v>0.13187240000000003</x:v>
      </x:c>
      <x:c r="M3426" s="11" t="n">
        <x:f>'管线假设'!H743</x:f>
        <x:v>0.135</x:v>
      </x:c>
      <x:c r="N3426" s="11" t="n">
        <x:f>IF(G3426,L3426*AN3426/(1+M3426)^F3426,0)</x:f>
        <x:v>0.059945512540093795</x:v>
      </x:c>
      <x:c r="AJ3426" t="n">
        <x:v>0</x:v>
      </x:c>
      <x:c r="AK3426" t="n">
        <x:v>0</x:v>
      </x:c>
      <x:c r="AL3426" t="n">
        <x:v>0</x:v>
      </x:c>
      <x:c r="AM3426" t="n">
        <x:f>CHOOSE('假设'!$B$3,AJ3426,AK3426,AL3426)</x:f>
        <x:v>0</x:v>
      </x:c>
      <x:c r="AN3426" t="n">
        <x:v>1</x:v>
      </x:c>
    </x:row>
    <x:row r="3427" ht="23" customHeight="1">
      <x:c r="A3427" s="11" t="str">
        <x:v>688382.SH</x:v>
      </x:c>
      <x:c r="B3427" s="11" t="str">
        <x:v>三年</x:v>
      </x:c>
      <x:c r="C3427" s="11" t="str">
        <x:v>urat_global</x:v>
      </x:c>
      <x:c r="D3427" s="11" t="str">
        <x:v>2036-12-31</x:v>
      </x:c>
      <x:c r="E3427" s="11" t="str">
        <x:v>USD</x:v>
      </x:c>
      <x:c r="F3427" s="11" t="n">
        <x:v>7.227926078028747</x:v>
      </x:c>
      <x:c r="G3427" s="26" t="b">
        <x:v>1</x:v>
      </x:c>
      <x:c r="H3427" s="16" t="n">
        <x:v>0.08000000000000002</x:v>
      </x:c>
      <x:c r="I3427" s="16" t="n">
        <x:v>0.7333333333333334</x:v>
      </x:c>
      <x:c r="J3427" s="16" t="n">
        <x:v>2.2</x:v>
      </x:c>
      <x:c r="K3427" s="11" t="n">
        <x:f>CHOOSE('假设'!$B$3,H3427,I3427,J3427)</x:f>
        <x:v>0.7333333333333334</x:v>
      </x:c>
      <x:c r="L3427" s="11" t="n">
        <x:f>K3427*'管线假设'!E743*'管线假设'!F743*'管线假设'!G743*IF(E3427="USD",'管线假设'!I743,1)-AM3427</x:f>
        <x:v>0.1758298666666667</x:v>
      </x:c>
      <x:c r="M3427" s="11" t="n">
        <x:f>'管线假设'!H743</x:f>
        <x:v>0.135</x:v>
      </x:c>
      <x:c r="N3427" s="11" t="n">
        <x:f>IF(G3427,L3427*AN3427/(1+M3427)^F3427,0)</x:f>
        <x:v>0.0704022639365637</x:v>
      </x:c>
      <x:c r="AJ3427" t="n">
        <x:v>0</x:v>
      </x:c>
      <x:c r="AK3427" t="n">
        <x:v>0</x:v>
      </x:c>
      <x:c r="AL3427" t="n">
        <x:v>0</x:v>
      </x:c>
      <x:c r="AM3427" t="n">
        <x:f>CHOOSE('假设'!$B$3,AJ3427,AK3427,AL3427)</x:f>
        <x:v>0</x:v>
      </x:c>
      <x:c r="AN3427" t="n">
        <x:v>1</x:v>
      </x:c>
    </x:row>
    <x:row r="3428" ht="23" customHeight="1">
      <x:c r="A3428" s="11" t="str">
        <x:v>688382.SH</x:v>
      </x:c>
      <x:c r="B3428" s="11" t="str">
        <x:v>三年</x:v>
      </x:c>
      <x:c r="C3428" s="11" t="str">
        <x:v>urat_global</x:v>
      </x:c>
      <x:c r="D3428" s="11" t="str">
        <x:v>2037-12-31</x:v>
      </x:c>
      <x:c r="E3428" s="11" t="str">
        <x:v>USD</x:v>
      </x:c>
      <x:c r="F3428" s="11" t="n">
        <x:v>8.227241615331964</x:v>
      </x:c>
      <x:c r="G3428" s="26" t="b">
        <x:v>1</x:v>
      </x:c>
      <x:c r="H3428" s="16" t="n">
        <x:v>0.16000000000000003</x:v>
      </x:c>
      <x:c r="I3428" s="16" t="n">
        <x:v>0.9166666666666667</x:v>
      </x:c>
      <x:c r="J3428" s="16" t="n">
        <x:v>1.9140000000000001</x:v>
      </x:c>
      <x:c r="K3428" s="11" t="n">
        <x:f>CHOOSE('假设'!$B$3,H3428,I3428,J3428)</x:f>
        <x:v>0.9166666666666667</x:v>
      </x:c>
      <x:c r="L3428" s="11" t="n">
        <x:f>K3428*'管线假设'!E743*'管线假设'!F743*'管线假设'!G743*IF(E3428="USD",'管线假设'!I743,1)-AM3428</x:f>
        <x:v>0.21978733333333336</x:v>
      </x:c>
      <x:c r="M3428" s="11" t="n">
        <x:f>'管线假设'!H743</x:f>
        <x:v>0.135</x:v>
      </x:c>
      <x:c r="N3428" s="11" t="n">
        <x:f>IF(G3428,L3428*AN3428/(1+M3428)^F3428,0)</x:f>
        <x:v>0.07754225367861742</x:v>
      </x:c>
      <x:c r="AJ3428" t="n">
        <x:v>0</x:v>
      </x:c>
      <x:c r="AK3428" t="n">
        <x:v>0</x:v>
      </x:c>
      <x:c r="AL3428" t="n">
        <x:v>0</x:v>
      </x:c>
      <x:c r="AM3428" t="n">
        <x:f>CHOOSE('假设'!$B$3,AJ3428,AK3428,AL3428)</x:f>
        <x:v>0</x:v>
      </x:c>
      <x:c r="AN3428" t="n">
        <x:v>1</x:v>
      </x:c>
    </x:row>
    <x:row r="3429" ht="23" customHeight="1">
      <x:c r="A3429" s="11" t="str">
        <x:v>688382.SH</x:v>
      </x:c>
      <x:c r="B3429" s="11" t="str">
        <x:v>三年</x:v>
      </x:c>
      <x:c r="C3429" s="11" t="str">
        <x:v>urat_global</x:v>
      </x:c>
      <x:c r="D3429" s="11" t="str">
        <x:v>2038-12-31</x:v>
      </x:c>
      <x:c r="E3429" s="11" t="str">
        <x:v>USD</x:v>
      </x:c>
      <x:c r="F3429" s="11" t="n">
        <x:v>9.22655715263518</x:v>
      </x:c>
      <x:c r="G3429" s="26" t="b">
        <x:v>1</x:v>
      </x:c>
      <x:c r="H3429" s="16" t="n">
        <x:v>0.24</x:v>
      </x:c>
      <x:c r="I3429" s="16" t="n">
        <x:v>1.1</x:v>
      </x:c>
      <x:c r="J3429" s="16" t="n">
        <x:v>1.6280000000000001</x:v>
      </x:c>
      <x:c r="K3429" s="11" t="n">
        <x:f>CHOOSE('假设'!$B$3,H3429,I3429,J3429)</x:f>
        <x:v>1.1</x:v>
      </x:c>
      <x:c r="L3429" s="11" t="n">
        <x:f>K3429*'管线假设'!E743*'管线假设'!F743*'管线假设'!G743*IF(E3429="USD",'管线假设'!I743,1)-AM3429</x:f>
        <x:v>0.26374480000000006</x:v>
      </x:c>
      <x:c r="M3429" s="11" t="n">
        <x:f>'管线假设'!H743</x:f>
        <x:v>0.135</x:v>
      </x:c>
      <x:c r="N3429" s="11" t="n">
        <x:f>IF(G3429,L3429*AN3429/(1+M3429)^F3429,0)</x:f>
        <x:v>0.08199010569514989</x:v>
      </x:c>
      <x:c r="AJ3429" t="n">
        <x:v>0</x:v>
      </x:c>
      <x:c r="AK3429" t="n">
        <x:v>0</x:v>
      </x:c>
      <x:c r="AL3429" t="n">
        <x:v>0</x:v>
      </x:c>
      <x:c r="AM3429" t="n">
        <x:f>CHOOSE('假设'!$B$3,AJ3429,AK3429,AL3429)</x:f>
        <x:v>0</x:v>
      </x:c>
      <x:c r="AN3429" t="n">
        <x:v>1</x:v>
      </x:c>
    </x:row>
    <x:row r="3430" ht="23" customHeight="1">
      <x:c r="A3430" s="11" t="str">
        <x:v>688382.SH</x:v>
      </x:c>
      <x:c r="B3430" s="11" t="str">
        <x:v>三年</x:v>
      </x:c>
      <x:c r="C3430" s="11" t="str">
        <x:v>urat_global</x:v>
      </x:c>
      <x:c r="D3430" s="11" t="str">
        <x:v>2039-12-31</x:v>
      </x:c>
      <x:c r="E3430" s="11" t="str">
        <x:v>USD</x:v>
      </x:c>
      <x:c r="F3430" s="11" t="n">
        <x:v>10.225872689938399</x:v>
      </x:c>
      <x:c r="G3430" s="26" t="b">
        <x:v>1</x:v>
      </x:c>
      <x:c r="H3430" s="16" t="n">
        <x:v>0.32000000000000006</x:v>
      </x:c>
      <x:c r="I3430" s="16" t="n">
        <x:v>0.9570000000000001</x:v>
      </x:c>
      <x:c r="J3430" s="16" t="n">
        <x:v>1.342</x:v>
      </x:c>
      <x:c r="K3430" s="11" t="n">
        <x:f>CHOOSE('假设'!$B$3,H3430,I3430,J3430)</x:f>
        <x:v>0.9570000000000001</x:v>
      </x:c>
      <x:c r="L3430" s="11" t="n">
        <x:f>K3430*'管线假设'!E743*'管线假设'!F743*'管线假设'!G743*IF(E3430="USD",'管线假设'!I743,1)-AM3430</x:f>
        <x:v>0.22945797600000004</x:v>
      </x:c>
      <x:c r="M3430" s="11" t="n">
        <x:f>'管线假设'!H743</x:f>
        <x:v>0.135</x:v>
      </x:c>
      <x:c r="N3430" s="11" t="n">
        <x:f>IF(G3430,L3430*AN3430/(1+M3430)^F3430,0)</x:f>
        <x:v>0.06285248889371381</x:v>
      </x:c>
      <x:c r="AJ3430" t="n">
        <x:v>0</x:v>
      </x:c>
      <x:c r="AK3430" t="n">
        <x:v>0</x:v>
      </x:c>
      <x:c r="AL3430" t="n">
        <x:v>0</x:v>
      </x:c>
      <x:c r="AM3430" t="n">
        <x:f>CHOOSE('假设'!$B$3,AJ3430,AK3430,AL3430)</x:f>
        <x:v>0</x:v>
      </x:c>
      <x:c r="AN3430" t="n">
        <x:v>1</x:v>
      </x:c>
    </x:row>
    <x:row r="3431" ht="23" customHeight="1">
      <x:c r="A3431" s="11" t="str">
        <x:v>688382.SH</x:v>
      </x:c>
      <x:c r="B3431" s="11" t="str">
        <x:v>三年</x:v>
      </x:c>
      <x:c r="C3431" s="11" t="str">
        <x:v>urat_global</x:v>
      </x:c>
      <x:c r="D3431" s="11" t="str">
        <x:v>2040-12-31</x:v>
      </x:c>
      <x:c r="E3431" s="11" t="str">
        <x:v>USD</x:v>
      </x:c>
      <x:c r="F3431" s="11" t="n">
        <x:v>11.227926078028748</x:v>
      </x:c>
      <x:c r="G3431" s="26" t="b">
        <x:v>1</x:v>
      </x:c>
      <x:c r="H3431" s="16" t="n">
        <x:v>0.4</x:v>
      </x:c>
      <x:c r="I3431" s="16" t="n">
        <x:v>0.8140000000000001</x:v>
      </x:c>
      <x:c r="J3431" s="16" t="n">
        <x:v>1.056</x:v>
      </x:c>
      <x:c r="K3431" s="11" t="n">
        <x:f>CHOOSE('假设'!$B$3,H3431,I3431,J3431)</x:f>
        <x:v>0.8140000000000001</x:v>
      </x:c>
      <x:c r="L3431" s="11" t="n">
        <x:f>K3431*'管线假设'!E743*'管线假设'!F743*'管线假设'!G743*IF(E3431="USD",'管线假设'!I743,1)-AM3431</x:f>
        <x:v>0.19517115200000004</x:v>
      </x:c>
      <x:c r="M3431" s="11" t="n">
        <x:f>'管线假设'!H743</x:f>
        <x:v>0.135</x:v>
      </x:c>
      <x:c r="N3431" s="11" t="n">
        <x:f>IF(G3431,L3431*AN3431/(1+M3431)^F3431,0)</x:f>
        <x:v>0.04708972538002372</x:v>
      </x:c>
      <x:c r="AJ3431" t="n">
        <x:v>0</x:v>
      </x:c>
      <x:c r="AK3431" t="n">
        <x:v>0</x:v>
      </x:c>
      <x:c r="AL3431" t="n">
        <x:v>0</x:v>
      </x:c>
      <x:c r="AM3431" t="n">
        <x:f>CHOOSE('假设'!$B$3,AJ3431,AK3431,AL3431)</x:f>
        <x:v>0</x:v>
      </x:c>
      <x:c r="AN3431" t="n">
        <x:v>1</x:v>
      </x:c>
    </x:row>
    <x:row r="3432" ht="23" customHeight="1">
      <x:c r="A3432" s="11" t="str">
        <x:v>688382.SH</x:v>
      </x:c>
      <x:c r="B3432" s="11" t="str">
        <x:v>三年</x:v>
      </x:c>
      <x:c r="C3432" s="11" t="str">
        <x:v>urat_global</x:v>
      </x:c>
      <x:c r="D3432" s="11" t="str">
        <x:v>2041-12-31</x:v>
      </x:c>
      <x:c r="E3432" s="11" t="str">
        <x:v>USD</x:v>
      </x:c>
      <x:c r="F3432" s="11" t="n">
        <x:v>12.227241615331964</x:v>
      </x:c>
      <x:c r="G3432" s="26" t="b">
        <x:v>1</x:v>
      </x:c>
      <x:c r="H3432" s="16" t="n">
        <x:v>0.34800000000000003</x:v>
      </x:c>
      <x:c r="I3432" s="16" t="n">
        <x:v>0.671</x:v>
      </x:c>
      <x:c r="J3432" s="16" t="n">
        <x:v>0.77</x:v>
      </x:c>
      <x:c r="K3432" s="11" t="n">
        <x:f>CHOOSE('假设'!$B$3,H3432,I3432,J3432)</x:f>
        <x:v>0.671</x:v>
      </x:c>
      <x:c r="L3432" s="11" t="n">
        <x:f>K3432*'管线假设'!E743*'管线假设'!F743*'管线假设'!G743*IF(E3432="USD",'管线假设'!I743,1)-AM3432</x:f>
        <x:v>0.160884328</x:v>
      </x:c>
      <x:c r="M3432" s="11" t="n">
        <x:f>'管线假设'!H743</x:f>
        <x:v>0.135</x:v>
      </x:c>
      <x:c r="N3432" s="11" t="n">
        <x:f>IF(G3432,L3432*AN3432/(1+M3432)^F3432,0)</x:f>
        <x:v>0.03420314598792911</x:v>
      </x:c>
      <x:c r="AJ3432" t="n">
        <x:v>0</x:v>
      </x:c>
      <x:c r="AK3432" t="n">
        <x:v>0</x:v>
      </x:c>
      <x:c r="AL3432" t="n">
        <x:v>0</x:v>
      </x:c>
      <x:c r="AM3432" t="n">
        <x:f>CHOOSE('假设'!$B$3,AJ3432,AK3432,AL3432)</x:f>
        <x:v>0</x:v>
      </x:c>
      <x:c r="AN3432" t="n">
        <x:v>1</x:v>
      </x:c>
    </x:row>
    <x:row r="3433" ht="23" customHeight="1">
      <x:c r="A3433" s="11" t="str">
        <x:v>688382.SH</x:v>
      </x:c>
      <x:c r="B3433" s="11" t="str">
        <x:v>三年</x:v>
      </x:c>
      <x:c r="C3433" s="11" t="str">
        <x:v>urat_global</x:v>
      </x:c>
      <x:c r="D3433" s="11" t="str">
        <x:v>2042-12-31</x:v>
      </x:c>
      <x:c r="E3433" s="11" t="str">
        <x:v>USD</x:v>
      </x:c>
      <x:c r="F3433" s="11" t="n">
        <x:v>13.22655715263518</x:v>
      </x:c>
      <x:c r="G3433" s="26" t="b">
        <x:v>1</x:v>
      </x:c>
      <x:c r="H3433" s="16" t="n">
        <x:v>0.296</x:v>
      </x:c>
      <x:c r="I3433" s="16" t="n">
        <x:v>0.528</x:v>
      </x:c>
      <x:c r="J3433" s="16" t="n">
        <x:v>0.484</x:v>
      </x:c>
      <x:c r="K3433" s="11" t="n">
        <x:f>CHOOSE('假设'!$B$3,H3433,I3433,J3433)</x:f>
        <x:v>0.528</x:v>
      </x:c>
      <x:c r="L3433" s="11" t="n">
        <x:f>K3433*'管线假设'!E743*'管线假设'!F743*'管线假设'!G743*IF(E3433="USD",'管线假设'!I743,1)-AM3433</x:f>
        <x:v>0.126597504</x:v>
      </x:c>
      <x:c r="M3433" s="11" t="n">
        <x:f>'管线假设'!H743</x:f>
        <x:v>0.135</x:v>
      </x:c>
      <x:c r="N3433" s="11" t="n">
        <x:f>IF(G3433,L3433*AN3433/(1+M3433)^F3433,0)</x:f>
        <x:v>0.023714787504745833</x:v>
      </x:c>
      <x:c r="AJ3433" t="n">
        <x:v>0</x:v>
      </x:c>
      <x:c r="AK3433" t="n">
        <x:v>0</x:v>
      </x:c>
      <x:c r="AL3433" t="n">
        <x:v>0</x:v>
      </x:c>
      <x:c r="AM3433" t="n">
        <x:f>CHOOSE('假设'!$B$3,AJ3433,AK3433,AL3433)</x:f>
        <x:v>0</x:v>
      </x:c>
      <x:c r="AN3433" t="n">
        <x:v>1</x:v>
      </x:c>
    </x:row>
    <x:row r="3434" ht="23" customHeight="1">
      <x:c r="A3434" s="11" t="str">
        <x:v>688382.SH</x:v>
      </x:c>
      <x:c r="B3434" s="11" t="str">
        <x:v>三年</x:v>
      </x:c>
      <x:c r="C3434" s="11" t="str">
        <x:v>urat_global</x:v>
      </x:c>
      <x:c r="D3434" s="11" t="str">
        <x:v>2043-12-31</x:v>
      </x:c>
      <x:c r="E3434" s="11" t="str">
        <x:v>USD</x:v>
      </x:c>
      <x:c r="F3434" s="11" t="n">
        <x:v>14.225872689938399</x:v>
      </x:c>
      <x:c r="G3434" s="26" t="b">
        <x:v>1</x:v>
      </x:c>
      <x:c r="H3434" s="16" t="n">
        <x:v>0.244</x:v>
      </x:c>
      <x:c r="I3434" s="16" t="n">
        <x:v>0.385</x:v>
      </x:c>
      <x:c r="J3434" s="16" t="n">
        <x:v>0.19799999999999995</x:v>
      </x:c>
      <x:c r="K3434" s="11" t="n">
        <x:f>CHOOSE('假设'!$B$3,H3434,I3434,J3434)</x:f>
        <x:v>0.385</x:v>
      </x:c>
      <x:c r="L3434" s="11" t="n">
        <x:f>K3434*'管线假设'!E743*'管线假设'!F743*'管线假设'!G743*IF(E3434="USD",'管线假设'!I743,1)-AM3434</x:f>
        <x:v>0.09231068</x:v>
      </x:c>
      <x:c r="M3434" s="11" t="n">
        <x:f>'管线假设'!H743</x:f>
        <x:v>0.135</x:v>
      </x:c>
      <x:c r="N3434" s="11" t="n">
        <x:f>IF(G3434,L3434*AN3434/(1+M3434)^F3434,0)</x:f>
        <x:v>0.015236591553352122</x:v>
      </x:c>
      <x:c r="AJ3434" t="n">
        <x:v>0</x:v>
      </x:c>
      <x:c r="AK3434" t="n">
        <x:v>0</x:v>
      </x:c>
      <x:c r="AL3434" t="n">
        <x:v>0</x:v>
      </x:c>
      <x:c r="AM3434" t="n">
        <x:f>CHOOSE('假设'!$B$3,AJ3434,AK3434,AL3434)</x:f>
        <x:v>0</x:v>
      </x:c>
      <x:c r="AN3434" t="n">
        <x:v>1</x:v>
      </x:c>
    </x:row>
    <x:row r="3435" ht="23" customHeight="1">
      <x:c r="A3435" s="11" t="str">
        <x:v>688382.SH</x:v>
      </x:c>
      <x:c r="B3435" s="11" t="str">
        <x:v>三年</x:v>
      </x:c>
      <x:c r="C3435" s="11" t="str">
        <x:v>urat_global</x:v>
      </x:c>
      <x:c r="D3435" s="11" t="str">
        <x:v>2044-12-31</x:v>
      </x:c>
      <x:c r="E3435" s="11" t="str">
        <x:v>USD</x:v>
      </x:c>
      <x:c r="F3435" s="11" t="n">
        <x:v>15.227926078028748</x:v>
      </x:c>
      <x:c r="G3435" s="26" t="b">
        <x:v>1</x:v>
      </x:c>
      <x:c r="H3435" s="16" t="n">
        <x:v>0.192</x:v>
      </x:c>
      <x:c r="I3435" s="16" t="n">
        <x:v>0.242</x:v>
      </x:c>
      <x:c r="J3435" s="16" t="n">
        <x:v>0</x:v>
      </x:c>
      <x:c r="K3435" s="11" t="n">
        <x:f>CHOOSE('假设'!$B$3,H3435,I3435,J3435)</x:f>
        <x:v>0.242</x:v>
      </x:c>
      <x:c r="L3435" s="11" t="n">
        <x:f>K3435*'管线假设'!E743*'管线假设'!F743*'管线假设'!G743*IF(E3435="USD",'管线假设'!I743,1)-AM3435</x:f>
        <x:v>0.058023856000000006</x:v>
      </x:c>
      <x:c r="M3435" s="11" t="n">
        <x:f>'管线假设'!H743</x:f>
        <x:v>0.135</x:v>
      </x:c>
      <x:c r="N3435" s="11" t="n">
        <x:f>IF(G3435,L3435*AN3435/(1+M3435)^F3435,0)</x:f>
        <x:v>0.00843594370027841</x:v>
      </x:c>
      <x:c r="AJ3435" t="n">
        <x:v>0</x:v>
      </x:c>
      <x:c r="AK3435" t="n">
        <x:v>0</x:v>
      </x:c>
      <x:c r="AL3435" t="n">
        <x:v>0</x:v>
      </x:c>
      <x:c r="AM3435" t="n">
        <x:f>CHOOSE('假设'!$B$3,AJ3435,AK3435,AL3435)</x:f>
        <x:v>0</x:v>
      </x:c>
      <x:c r="AN3435" t="n">
        <x:v>1</x:v>
      </x:c>
    </x:row>
    <x:row r="3436" ht="23" customHeight="1">
      <x:c r="A3436" s="11" t="str">
        <x:v>688382.SH</x:v>
      </x:c>
      <x:c r="B3436" s="11" t="str">
        <x:v>三年</x:v>
      </x:c>
      <x:c r="C3436" s="11" t="str">
        <x:v>urat_global</x:v>
      </x:c>
      <x:c r="D3436" s="11" t="str">
        <x:v>2045-12-31</x:v>
      </x:c>
      <x:c r="E3436" s="11" t="str">
        <x:v>USD</x:v>
      </x:c>
      <x:c r="F3436" s="11" t="n">
        <x:v>16.227241615331966</x:v>
      </x:c>
      <x:c r="G3436" s="26" t="b">
        <x:v>1</x:v>
      </x:c>
      <x:c r="H3436" s="16" t="n">
        <x:v>0.13999999999999999</x:v>
      </x:c>
      <x:c r="I3436" s="16" t="n">
        <x:v>0.09899999999999998</x:v>
      </x:c>
      <x:c r="J3436" s="16" t="n">
        <x:v>0</x:v>
      </x:c>
      <x:c r="K3436" s="11" t="n">
        <x:f>CHOOSE('假设'!$B$3,H3436,I3436,J3436)</x:f>
        <x:v>0.09899999999999998</x:v>
      </x:c>
      <x:c r="L3436" s="11" t="n">
        <x:f>K3436*'管线假设'!E743*'管线假设'!F743*'管线假设'!G743*IF(E3436="USD",'管线假设'!I743,1)-AM3436</x:f>
        <x:v>0.023737031999999995</x:v>
      </x:c>
      <x:c r="M3436" s="11" t="n">
        <x:f>'管线假设'!H743</x:f>
        <x:v>0.135</x:v>
      </x:c>
      <x:c r="N3436" s="11" t="n">
        <x:f>IF(G3436,L3436*AN3436/(1+M3436)^F3436,0)</x:f>
        <x:v>0.0030408519936411895</x:v>
      </x:c>
      <x:c r="AJ3436" t="n">
        <x:v>0</x:v>
      </x:c>
      <x:c r="AK3436" t="n">
        <x:v>0</x:v>
      </x:c>
      <x:c r="AL3436" t="n">
        <x:v>0</x:v>
      </x:c>
      <x:c r="AM3436" t="n">
        <x:f>CHOOSE('假设'!$B$3,AJ3436,AK3436,AL3436)</x:f>
        <x:v>0</x:v>
      </x:c>
      <x:c r="AN3436" t="n">
        <x:v>1</x:v>
      </x:c>
    </x:row>
    <x:row r="3437" ht="23" customHeight="1">
      <x:c r="A3437" s="11" t="str">
        <x:v>688382.SH</x:v>
      </x:c>
      <x:c r="B3437" s="11" t="str">
        <x:v>五年</x:v>
      </x:c>
      <x:c r="C3437" s="11" t="str">
        <x:v>befu</x:v>
      </x:c>
      <x:c r="D3437" s="11" t="str">
        <x:v>2027-12-31</x:v>
      </x:c>
      <x:c r="E3437" s="11" t="str">
        <x:v>CNY</x:v>
      </x:c>
      <x:c r="F3437" s="11" t="n">
        <x:v>-3.7727583846680357</x:v>
      </x:c>
      <x:c r="G3437" s="26" t="b">
        <x:v>0</x:v>
      </x:c>
      <x:c r="H3437" s="16" t="n">
        <x:v>0.21666666666666667</x:v>
      </x:c>
      <x:c r="I3437" s="16" t="n">
        <x:v>0.3</x:v>
      </x:c>
      <x:c r="J3437" s="16" t="n">
        <x:v>0.45</x:v>
      </x:c>
      <x:c r="K3437" s="11" t="n">
        <x:f>CHOOSE('假设'!$B$3,H3437,I3437,J3437)</x:f>
        <x:v>0.3</x:v>
      </x:c>
      <x:c r="L3437" s="11" t="n">
        <x:f>K3437*'管线假设'!E747*'管线假设'!F747*'管线假设'!G747*IF(E3437="USD",'管线假设'!I747,1)-AM3437</x:f>
        <x:v>0.01968</x:v>
      </x:c>
      <x:c r="M3437" s="11" t="n">
        <x:f>'管线假设'!H747</x:f>
        <x:v>0.135</x:v>
      </x:c>
      <x:c r="N3437" s="11" t="n">
        <x:f>IF(G3437,L3437*AN3437/(1+M3437)^F3437,0)</x:f>
        <x:v>0</x:v>
      </x:c>
      <x:c r="AJ3437" t="n">
        <x:v>0</x:v>
      </x:c>
      <x:c r="AK3437" t="n">
        <x:v>0</x:v>
      </x:c>
      <x:c r="AL3437" t="n">
        <x:v>0</x:v>
      </x:c>
      <x:c r="AM3437" t="n">
        <x:f>CHOOSE('假设'!$B$3,AJ3437,AK3437,AL3437)</x:f>
        <x:v>0</x:v>
      </x:c>
      <x:c r="AN3437" t="n">
        <x:v>1</x:v>
      </x:c>
    </x:row>
    <x:row r="3438" ht="23" customHeight="1">
      <x:c r="A3438" s="11" t="str">
        <x:v>688382.SH</x:v>
      </x:c>
      <x:c r="B3438" s="11" t="str">
        <x:v>五年</x:v>
      </x:c>
      <x:c r="C3438" s="11" t="str">
        <x:v>befu</x:v>
      </x:c>
      <x:c r="D3438" s="11" t="str">
        <x:v>2028-12-31</x:v>
      </x:c>
      <x:c r="E3438" s="11" t="str">
        <x:v>CNY</x:v>
      </x:c>
      <x:c r="F3438" s="11" t="n">
        <x:v>-2.7707049965776864</x:v>
      </x:c>
      <x:c r="G3438" s="26" t="b">
        <x:v>0</x:v>
      </x:c>
      <x:c r="H3438" s="16" t="n">
        <x:v>0.43333333333333335</x:v>
      </x:c>
      <x:c r="I3438" s="16" t="n">
        <x:v>0.6</x:v>
      </x:c>
      <x:c r="J3438" s="16" t="n">
        <x:v>0.9</x:v>
      </x:c>
      <x:c r="K3438" s="11" t="n">
        <x:f>CHOOSE('假设'!$B$3,H3438,I3438,J3438)</x:f>
        <x:v>0.6</x:v>
      </x:c>
      <x:c r="L3438" s="11" t="n">
        <x:f>K3438*'管线假设'!E747*'管线假设'!F747*'管线假设'!G747*IF(E3438="USD",'管线假设'!I747,1)-AM3438</x:f>
        <x:v>0.03936</x:v>
      </x:c>
      <x:c r="M3438" s="11" t="n">
        <x:f>'管线假设'!H747</x:f>
        <x:v>0.135</x:v>
      </x:c>
      <x:c r="N3438" s="11" t="n">
        <x:f>IF(G3438,L3438*AN3438/(1+M3438)^F3438,0)</x:f>
        <x:v>0</x:v>
      </x:c>
      <x:c r="AJ3438" t="n">
        <x:v>0</x:v>
      </x:c>
      <x:c r="AK3438" t="n">
        <x:v>0</x:v>
      </x:c>
      <x:c r="AL3438" t="n">
        <x:v>0</x:v>
      </x:c>
      <x:c r="AM3438" t="n">
        <x:f>CHOOSE('假设'!$B$3,AJ3438,AK3438,AL3438)</x:f>
        <x:v>0</x:v>
      </x:c>
      <x:c r="AN3438" t="n">
        <x:v>1</x:v>
      </x:c>
    </x:row>
    <x:row r="3439" ht="23" customHeight="1">
      <x:c r="A3439" s="11" t="str">
        <x:v>688382.SH</x:v>
      </x:c>
      <x:c r="B3439" s="11" t="str">
        <x:v>五年</x:v>
      </x:c>
      <x:c r="C3439" s="11" t="str">
        <x:v>befu</x:v>
      </x:c>
      <x:c r="D3439" s="11" t="str">
        <x:v>2029-12-31</x:v>
      </x:c>
      <x:c r="E3439" s="11" t="str">
        <x:v>CNY</x:v>
      </x:c>
      <x:c r="F3439" s="11" t="n">
        <x:v>-1.7713894592744694</x:v>
      </x:c>
      <x:c r="G3439" s="26" t="b">
        <x:v>0</x:v>
      </x:c>
      <x:c r="H3439" s="16" t="n">
        <x:v>0.65</x:v>
      </x:c>
      <x:c r="I3439" s="16" t="n">
        <x:v>0.8999999999999999</x:v>
      </x:c>
      <x:c r="J3439" s="16" t="n">
        <x:v>1.35</x:v>
      </x:c>
      <x:c r="K3439" s="11" t="n">
        <x:f>CHOOSE('假设'!$B$3,H3439,I3439,J3439)</x:f>
        <x:v>0.8999999999999999</x:v>
      </x:c>
      <x:c r="L3439" s="11" t="n">
        <x:f>K3439*'管线假设'!E747*'管线假设'!F747*'管线假设'!G747*IF(E3439="USD",'管线假设'!I747,1)-AM3439</x:f>
        <x:v>0.05904</x:v>
      </x:c>
      <x:c r="M3439" s="11" t="n">
        <x:f>'管线假设'!H747</x:f>
        <x:v>0.135</x:v>
      </x:c>
      <x:c r="N3439" s="11" t="n">
        <x:f>IF(G3439,L3439*AN3439/(1+M3439)^F3439,0)</x:f>
        <x:v>0</x:v>
      </x:c>
      <x:c r="AJ3439" t="n">
        <x:v>0</x:v>
      </x:c>
      <x:c r="AK3439" t="n">
        <x:v>0</x:v>
      </x:c>
      <x:c r="AL3439" t="n">
        <x:v>0</x:v>
      </x:c>
      <x:c r="AM3439" t="n">
        <x:f>CHOOSE('假设'!$B$3,AJ3439,AK3439,AL3439)</x:f>
        <x:v>0</x:v>
      </x:c>
      <x:c r="AN3439" t="n">
        <x:v>1</x:v>
      </x:c>
    </x:row>
    <x:row r="3440" ht="23" customHeight="1">
      <x:c r="A3440" s="11" t="str">
        <x:v>688382.SH</x:v>
      </x:c>
      <x:c r="B3440" s="11" t="str">
        <x:v>五年</x:v>
      </x:c>
      <x:c r="C3440" s="11" t="str">
        <x:v>befu</x:v>
      </x:c>
      <x:c r="D3440" s="11" t="str">
        <x:v>2030-12-31</x:v>
      </x:c>
      <x:c r="E3440" s="11" t="str">
        <x:v>CNY</x:v>
      </x:c>
      <x:c r="F3440" s="11" t="n">
        <x:v>-0.7720739219712526</x:v>
      </x:c>
      <x:c r="G3440" s="26" t="b">
        <x:v>0</x:v>
      </x:c>
      <x:c r="H3440" s="16" t="n">
        <x:v>0.5655</x:v>
      </x:c>
      <x:c r="I3440" s="16" t="n">
        <x:v>1.2</x:v>
      </x:c>
      <x:c r="J3440" s="16" t="n">
        <x:v>1.8</x:v>
      </x:c>
      <x:c r="K3440" s="11" t="n">
        <x:f>CHOOSE('假设'!$B$3,H3440,I3440,J3440)</x:f>
        <x:v>1.2</x:v>
      </x:c>
      <x:c r="L3440" s="11" t="n">
        <x:f>K3440*'管线假设'!E747*'管线假设'!F747*'管线假设'!G747*IF(E3440="USD",'管线假设'!I747,1)-AM3440</x:f>
        <x:v>0.07872</x:v>
      </x:c>
      <x:c r="M3440" s="11" t="n">
        <x:f>'管线假设'!H747</x:f>
        <x:v>0.135</x:v>
      </x:c>
      <x:c r="N3440" s="11" t="n">
        <x:f>IF(G3440,L3440*AN3440/(1+M3440)^F3440,0)</x:f>
        <x:v>0</x:v>
      </x:c>
      <x:c r="AJ3440" t="n">
        <x:v>0</x:v>
      </x:c>
      <x:c r="AK3440" t="n">
        <x:v>0</x:v>
      </x:c>
      <x:c r="AL3440" t="n">
        <x:v>0</x:v>
      </x:c>
      <x:c r="AM3440" t="n">
        <x:f>CHOOSE('假设'!$B$3,AJ3440,AK3440,AL3440)</x:f>
        <x:v>0</x:v>
      </x:c>
      <x:c r="AN3440" t="n">
        <x:v>1</x:v>
      </x:c>
    </x:row>
    <x:row r="3441" ht="23" customHeight="1">
      <x:c r="A3441" s="11" t="str">
        <x:v>688382.SH</x:v>
      </x:c>
      <x:c r="B3441" s="11" t="str">
        <x:v>五年</x:v>
      </x:c>
      <x:c r="C3441" s="11" t="str">
        <x:v>befu</x:v>
      </x:c>
      <x:c r="D3441" s="11" t="str">
        <x:v>2031-12-31</x:v>
      </x:c>
      <x:c r="E3441" s="11" t="str">
        <x:v>CNY</x:v>
      </x:c>
      <x:c r="F3441" s="11" t="n">
        <x:v>0.2272416153319644</x:v>
      </x:c>
      <x:c r="G3441" s="26" t="b">
        <x:v>1</x:v>
      </x:c>
      <x:c r="H3441" s="16" t="n">
        <x:v>0.481</x:v>
      </x:c>
      <x:c r="I3441" s="16" t="n">
        <x:v>1.044</x:v>
      </x:c>
      <x:c r="J3441" s="16" t="n">
        <x:v>1.566</x:v>
      </x:c>
      <x:c r="K3441" s="11" t="n">
        <x:f>CHOOSE('假设'!$B$3,H3441,I3441,J3441)</x:f>
        <x:v>1.044</x:v>
      </x:c>
      <x:c r="L3441" s="11" t="n">
        <x:f>K3441*'管线假设'!E747*'管线假设'!F747*'管线假设'!G747*IF(E3441="USD",'管线假设'!I747,1)-AM3441</x:f>
        <x:v>0.0684864</x:v>
      </x:c>
      <x:c r="M3441" s="11" t="n">
        <x:f>'管线假设'!H747</x:f>
        <x:v>0.135</x:v>
      </x:c>
      <x:c r="N3441" s="11" t="n">
        <x:f>IF(G3441,L3441*AN3441/(1+M3441)^F3441,0)</x:f>
        <x:v>0.06654370682495468</x:v>
      </x:c>
      <x:c r="AJ3441" t="n">
        <x:v>0</x:v>
      </x:c>
      <x:c r="AK3441" t="n">
        <x:v>0</x:v>
      </x:c>
      <x:c r="AL3441" t="n">
        <x:v>0</x:v>
      </x:c>
      <x:c r="AM3441" t="n">
        <x:f>CHOOSE('假设'!$B$3,AJ3441,AK3441,AL3441)</x:f>
        <x:v>0</x:v>
      </x:c>
      <x:c r="AN3441" t="n">
        <x:v>1</x:v>
      </x:c>
    </x:row>
    <x:row r="3442" ht="23" customHeight="1">
      <x:c r="A3442" s="11" t="str">
        <x:v>688382.SH</x:v>
      </x:c>
      <x:c r="B3442" s="11" t="str">
        <x:v>五年</x:v>
      </x:c>
      <x:c r="C3442" s="11" t="str">
        <x:v>befu</x:v>
      </x:c>
      <x:c r="D3442" s="11" t="str">
        <x:v>2032-12-31</x:v>
      </x:c>
      <x:c r="E3442" s="11" t="str">
        <x:v>CNY</x:v>
      </x:c>
      <x:c r="F3442" s="11" t="n">
        <x:v>1.2292950034223136</x:v>
      </x:c>
      <x:c r="G3442" s="26" t="b">
        <x:v>1</x:v>
      </x:c>
      <x:c r="H3442" s="16" t="n">
        <x:v>0.3965</x:v>
      </x:c>
      <x:c r="I3442" s="16" t="n">
        <x:v>0.888</x:v>
      </x:c>
      <x:c r="J3442" s="16" t="n">
        <x:v>1.332</x:v>
      </x:c>
      <x:c r="K3442" s="11" t="n">
        <x:f>CHOOSE('假设'!$B$3,H3442,I3442,J3442)</x:f>
        <x:v>0.888</x:v>
      </x:c>
      <x:c r="L3442" s="11" t="n">
        <x:f>K3442*'管线假设'!E747*'管线假设'!F747*'管线假设'!G747*IF(E3442="USD",'管线假设'!I747,1)-AM3442</x:f>
        <x:v>0.05825280000000001</x:v>
      </x:c>
      <x:c r="M3442" s="11" t="n">
        <x:f>'管线假设'!H747</x:f>
        <x:v>0.135</x:v>
      </x:c>
      <x:c r="N3442" s="11" t="n">
        <x:f>IF(G3442,L3442*AN3442/(1+M3442)^F3442,0)</x:f>
        <x:v>0.04985522348136203</x:v>
      </x:c>
      <x:c r="AJ3442" t="n">
        <x:v>0</x:v>
      </x:c>
      <x:c r="AK3442" t="n">
        <x:v>0</x:v>
      </x:c>
      <x:c r="AL3442" t="n">
        <x:v>0</x:v>
      </x:c>
      <x:c r="AM3442" t="n">
        <x:f>CHOOSE('假设'!$B$3,AJ3442,AK3442,AL3442)</x:f>
        <x:v>0</x:v>
      </x:c>
      <x:c r="AN3442" t="n">
        <x:v>1</x:v>
      </x:c>
    </x:row>
    <x:row r="3443" ht="23" customHeight="1">
      <x:c r="A3443" s="11" t="str">
        <x:v>688382.SH</x:v>
      </x:c>
      <x:c r="B3443" s="11" t="str">
        <x:v>五年</x:v>
      </x:c>
      <x:c r="C3443" s="11" t="str">
        <x:v>befu</x:v>
      </x:c>
      <x:c r="D3443" s="11" t="str">
        <x:v>2033-12-31</x:v>
      </x:c>
      <x:c r="E3443" s="11" t="str">
        <x:v>CNY</x:v>
      </x:c>
      <x:c r="F3443" s="11" t="n">
        <x:v>2.2286105407255303</x:v>
      </x:c>
      <x:c r="G3443" s="26" t="b">
        <x:v>1</x:v>
      </x:c>
      <x:c r="H3443" s="16" t="n">
        <x:v>0.312</x:v>
      </x:c>
      <x:c r="I3443" s="16" t="n">
        <x:v>0.732</x:v>
      </x:c>
      <x:c r="J3443" s="16" t="n">
        <x:v>1.098</x:v>
      </x:c>
      <x:c r="K3443" s="11" t="n">
        <x:f>CHOOSE('假设'!$B$3,H3443,I3443,J3443)</x:f>
        <x:v>0.732</x:v>
      </x:c>
      <x:c r="L3443" s="11" t="n">
        <x:f>K3443*'管线假设'!E747*'管线假设'!F747*'管线假设'!G747*IF(E3443="USD",'管线假设'!I747,1)-AM3443</x:f>
        <x:v>0.048019200000000005</x:v>
      </x:c>
      <x:c r="M3443" s="11" t="n">
        <x:f>'管线假设'!H747</x:f>
        <x:v>0.135</x:v>
      </x:c>
      <x:c r="N3443" s="11" t="n">
        <x:f>IF(G3443,L3443*AN3443/(1+M3443)^F3443,0)</x:f>
        <x:v>0.03621183757672188</x:v>
      </x:c>
      <x:c r="AJ3443" t="n">
        <x:v>0</x:v>
      </x:c>
      <x:c r="AK3443" t="n">
        <x:v>0</x:v>
      </x:c>
      <x:c r="AL3443" t="n">
        <x:v>0</x:v>
      </x:c>
      <x:c r="AM3443" t="n">
        <x:f>CHOOSE('假设'!$B$3,AJ3443,AK3443,AL3443)</x:f>
        <x:v>0</x:v>
      </x:c>
      <x:c r="AN3443" t="n">
        <x:v>1</x:v>
      </x:c>
    </x:row>
    <x:row r="3444" ht="23" customHeight="1">
      <x:c r="A3444" s="11" t="str">
        <x:v>688382.SH</x:v>
      </x:c>
      <x:c r="B3444" s="11" t="str">
        <x:v>五年</x:v>
      </x:c>
      <x:c r="C3444" s="11" t="str">
        <x:v>befu</x:v>
      </x:c>
      <x:c r="D3444" s="11" t="str">
        <x:v>2034-12-31</x:v>
      </x:c>
      <x:c r="E3444" s="11" t="str">
        <x:v>CNY</x:v>
      </x:c>
      <x:c r="F3444" s="11" t="n">
        <x:v>3.2279260780287475</x:v>
      </x:c>
      <x:c r="G3444" s="26" t="b">
        <x:v>1</x:v>
      </x:c>
      <x:c r="H3444" s="16" t="n">
        <x:v>0.22749999999999998</x:v>
      </x:c>
      <x:c r="I3444" s="16" t="n">
        <x:v>0.576</x:v>
      </x:c>
      <x:c r="J3444" s="16" t="n">
        <x:v>0.864</x:v>
      </x:c>
      <x:c r="K3444" s="11" t="n">
        <x:f>CHOOSE('假设'!$B$3,H3444,I3444,J3444)</x:f>
        <x:v>0.576</x:v>
      </x:c>
      <x:c r="L3444" s="11" t="n">
        <x:f>K3444*'管线假设'!E747*'管线假设'!F747*'管线假设'!G747*IF(E3444="USD",'管线假设'!I747,1)-AM3444</x:f>
        <x:v>0.0377856</x:v>
      </x:c>
      <x:c r="M3444" s="11" t="n">
        <x:f>'管线假设'!H747</x:f>
        <x:v>0.135</x:v>
      </x:c>
      <x:c r="N3444" s="11" t="n">
        <x:f>IF(G3444,L3444*AN3444/(1+M3444)^F3444,0)</x:f>
        <x:v>0.025107515945796317</x:v>
      </x:c>
      <x:c r="AJ3444" t="n">
        <x:v>0</x:v>
      </x:c>
      <x:c r="AK3444" t="n">
        <x:v>0</x:v>
      </x:c>
      <x:c r="AL3444" t="n">
        <x:v>0</x:v>
      </x:c>
      <x:c r="AM3444" t="n">
        <x:f>CHOOSE('假设'!$B$3,AJ3444,AK3444,AL3444)</x:f>
        <x:v>0</x:v>
      </x:c>
      <x:c r="AN3444" t="n">
        <x:v>1</x:v>
      </x:c>
    </x:row>
    <x:row r="3445" ht="23" customHeight="1">
      <x:c r="A3445" s="11" t="str">
        <x:v>688382.SH</x:v>
      </x:c>
      <x:c r="B3445" s="11" t="str">
        <x:v>五年</x:v>
      </x:c>
      <x:c r="C3445" s="11" t="str">
        <x:v>befu</x:v>
      </x:c>
      <x:c r="D3445" s="11" t="str">
        <x:v>2035-12-31</x:v>
      </x:c>
      <x:c r="E3445" s="11" t="str">
        <x:v>CNY</x:v>
      </x:c>
      <x:c r="F3445" s="11" t="n">
        <x:v>4.227241615331964</x:v>
      </x:c>
      <x:c r="G3445" s="26" t="b">
        <x:v>1</x:v>
      </x:c>
      <x:c r="H3445" s="16" t="n">
        <x:v>0.143</x:v>
      </x:c>
      <x:c r="I3445" s="16" t="n">
        <x:v>0.42</x:v>
      </x:c>
      <x:c r="J3445" s="16" t="n">
        <x:v>0.63</x:v>
      </x:c>
      <x:c r="K3445" s="11" t="n">
        <x:f>CHOOSE('假设'!$B$3,H3445,I3445,J3445)</x:f>
        <x:v>0.42</x:v>
      </x:c>
      <x:c r="L3445" s="11" t="n">
        <x:f>K3445*'管线假设'!E747*'管线假设'!F747*'管线假设'!G747*IF(E3445="USD",'管线假设'!I747,1)-AM3445</x:f>
        <x:v>0.027552</x:v>
      </x:c>
      <x:c r="M3445" s="11" t="n">
        <x:f>'管线假设'!H747</x:f>
        <x:v>0.135</x:v>
      </x:c>
      <x:c r="N3445" s="11" t="n">
        <x:f>IF(G3445,L3445*AN3445/(1+M3445)^F3445,0)</x:f>
        <x:v>0.016131410214357475</x:v>
      </x:c>
      <x:c r="AJ3445" t="n">
        <x:v>0</x:v>
      </x:c>
      <x:c r="AK3445" t="n">
        <x:v>0</x:v>
      </x:c>
      <x:c r="AL3445" t="n">
        <x:v>0</x:v>
      </x:c>
      <x:c r="AM3445" t="n">
        <x:f>CHOOSE('假设'!$B$3,AJ3445,AK3445,AL3445)</x:f>
        <x:v>0</x:v>
      </x:c>
      <x:c r="AN3445" t="n">
        <x:v>1</x:v>
      </x:c>
    </x:row>
    <x:row r="3446" ht="23" customHeight="1">
      <x:c r="A3446" s="11" t="str">
        <x:v>688382.SH</x:v>
      </x:c>
      <x:c r="B3446" s="11" t="str">
        <x:v>五年</x:v>
      </x:c>
      <x:c r="C3446" s="11" t="str">
        <x:v>befu</x:v>
      </x:c>
      <x:c r="D3446" s="11" t="str">
        <x:v>2036-12-31</x:v>
      </x:c>
      <x:c r="E3446" s="11" t="str">
        <x:v>CNY</x:v>
      </x:c>
      <x:c r="F3446" s="11" t="n">
        <x:v>5.229295003422314</x:v>
      </x:c>
      <x:c r="G3446" s="26" t="b">
        <x:v>1</x:v>
      </x:c>
      <x:c r="H3446" s="16" t="n">
        <x:v>0.05849999999999998</x:v>
      </x:c>
      <x:c r="I3446" s="16" t="n">
        <x:v>0.26399999999999996</x:v>
      </x:c>
      <x:c r="J3446" s="16" t="n">
        <x:v>0.39599999999999996</x:v>
      </x:c>
      <x:c r="K3446" s="11" t="n">
        <x:f>CHOOSE('假设'!$B$3,H3446,I3446,J3446)</x:f>
        <x:v>0.26399999999999996</x:v>
      </x:c>
      <x:c r="L3446" s="11" t="n">
        <x:f>K3446*'管线假设'!E747*'管线假设'!F747*'管线假设'!G747*IF(E3446="USD",'管线假设'!I747,1)-AM3446</x:f>
        <x:v>0.017318399999999998</x:v>
      </x:c>
      <x:c r="M3446" s="11" t="n">
        <x:f>'管线假设'!H747</x:f>
        <x:v>0.135</x:v>
      </x:c>
      <x:c r="N3446" s="11" t="n">
        <x:f>IF(G3446,L3446*AN3446/(1+M3446)^F3446,0)</x:f>
        <x:v>0.008931372078716427</x:v>
      </x:c>
      <x:c r="AJ3446" t="n">
        <x:v>0</x:v>
      </x:c>
      <x:c r="AK3446" t="n">
        <x:v>0</x:v>
      </x:c>
      <x:c r="AL3446" t="n">
        <x:v>0</x:v>
      </x:c>
      <x:c r="AM3446" t="n">
        <x:f>CHOOSE('假设'!$B$3,AJ3446,AK3446,AL3446)</x:f>
        <x:v>0</x:v>
      </x:c>
      <x:c r="AN3446" t="n">
        <x:v>1</x:v>
      </x:c>
    </x:row>
    <x:row r="3447" ht="23" customHeight="1">
      <x:c r="A3447" s="11" t="str">
        <x:v>688382.SH</x:v>
      </x:c>
      <x:c r="B3447" s="11" t="str">
        <x:v>五年</x:v>
      </x:c>
      <x:c r="C3447" s="11" t="str">
        <x:v>befu</x:v>
      </x:c>
      <x:c r="D3447" s="11" t="str">
        <x:v>2037-12-31</x:v>
      </x:c>
      <x:c r="E3447" s="11" t="str">
        <x:v>CNY</x:v>
      </x:c>
      <x:c r="F3447" s="11" t="n">
        <x:v>6.228610540725531</x:v>
      </x:c>
      <x:c r="G3447" s="26" t="b">
        <x:v>1</x:v>
      </x:c>
      <x:c r="H3447" s="16" t="n">
        <x:v>0</x:v>
      </x:c>
      <x:c r="I3447" s="16" t="n">
        <x:v>0.10799999999999996</x:v>
      </x:c>
      <x:c r="J3447" s="16" t="n">
        <x:v>0.16199999999999995</x:v>
      </x:c>
      <x:c r="K3447" s="11" t="n">
        <x:f>CHOOSE('假设'!$B$3,H3447,I3447,J3447)</x:f>
        <x:v>0.10799999999999996</x:v>
      </x:c>
      <x:c r="L3447" s="11" t="n">
        <x:f>K3447*'管线假设'!E747*'管线假设'!F747*'管线假设'!G747*IF(E3447="USD",'管线假设'!I747,1)-AM3447</x:f>
        <x:v>0.007084799999999998</x:v>
      </x:c>
      <x:c r="M3447" s="11" t="n">
        <x:f>'管线假设'!H747</x:f>
        <x:v>0.135</x:v>
      </x:c>
      <x:c r="N3447" s="11" t="n">
        <x:f>IF(G3447,L3447*AN3447/(1+M3447)^F3447,0)</x:f>
        <x:v>0.0032194359702305488</x:v>
      </x:c>
      <x:c r="AJ3447" t="n">
        <x:v>0</x:v>
      </x:c>
      <x:c r="AK3447" t="n">
        <x:v>0</x:v>
      </x:c>
      <x:c r="AL3447" t="n">
        <x:v>0</x:v>
      </x:c>
      <x:c r="AM3447" t="n">
        <x:f>CHOOSE('假设'!$B$3,AJ3447,AK3447,AL3447)</x:f>
        <x:v>0</x:v>
      </x:c>
      <x:c r="AN3447" t="n">
        <x:v>1</x:v>
      </x:c>
    </x:row>
    <x:row r="3448" ht="23" customHeight="1">
      <x:c r="A3448" s="11" t="str">
        <x:v>688382.SH</x:v>
      </x:c>
      <x:c r="B3448" s="11" t="str">
        <x:v>五年</x:v>
      </x:c>
      <x:c r="C3448" s="11" t="str">
        <x:v>befu</x:v>
      </x:c>
      <x:c r="D3448" s="11" t="str">
        <x:v>2038-12-31</x:v>
      </x:c>
      <x:c r="E3448" s="11" t="str">
        <x:v>CNY</x:v>
      </x:c>
      <x:c r="F3448" s="11" t="n">
        <x:v>7.227926078028747</x:v>
      </x:c>
      <x:c r="G3448" s="26" t="b">
        <x:v>1</x:v>
      </x:c>
      <x:c r="H3448" s="16" t="n">
        <x:v>0</x:v>
      </x:c>
      <x:c r="I3448" s="16" t="n">
        <x:v>0</x:v>
      </x:c>
      <x:c r="J3448" s="16" t="n">
        <x:v>0</x:v>
      </x:c>
      <x:c r="K3448" s="11" t="n">
        <x:f>CHOOSE('假设'!$B$3,H3448,I3448,J3448)</x:f>
        <x:v>0</x:v>
      </x:c>
      <x:c r="L3448" s="11" t="n">
        <x:f>K3448*'管线假设'!E747*'管线假设'!F747*'管线假设'!G747*IF(E3448="USD",'管线假设'!I747,1)-AM3448</x:f>
        <x:v>0</x:v>
      </x:c>
      <x:c r="M3448" s="11" t="n">
        <x:f>'管线假设'!H747</x:f>
        <x:v>0.135</x:v>
      </x:c>
      <x:c r="N3448" s="11" t="n">
        <x:f>IF(G3448,L3448*AN3448/(1+M3448)^F3448,0)</x:f>
        <x:v>0</x:v>
      </x:c>
      <x:c r="AJ3448" t="n">
        <x:v>0</x:v>
      </x:c>
      <x:c r="AK3448" t="n">
        <x:v>0</x:v>
      </x:c>
      <x:c r="AL3448" t="n">
        <x:v>0</x:v>
      </x:c>
      <x:c r="AM3448" t="n">
        <x:f>CHOOSE('假设'!$B$3,AJ3448,AK3448,AL3448)</x:f>
        <x:v>0</x:v>
      </x:c>
      <x:c r="AN3448" t="n">
        <x:v>1</x:v>
      </x:c>
    </x:row>
    <x:row r="3449" ht="23" customHeight="1">
      <x:c r="A3449" s="11" t="str">
        <x:v>688382.SH</x:v>
      </x:c>
      <x:c r="B3449" s="11" t="str">
        <x:v>五年</x:v>
      </x:c>
      <x:c r="C3449" s="11" t="str">
        <x:v>befu</x:v>
      </x:c>
      <x:c r="D3449" s="11" t="str">
        <x:v>2039-12-31</x:v>
      </x:c>
      <x:c r="E3449" s="11" t="str">
        <x:v>CNY</x:v>
      </x:c>
      <x:c r="F3449" s="11" t="n">
        <x:v>8.227241615331964</x:v>
      </x:c>
      <x:c r="G3449" s="26" t="b">
        <x:v>1</x:v>
      </x:c>
      <x:c r="H3449" s="16" t="n">
        <x:v>0</x:v>
      </x:c>
      <x:c r="I3449" s="16" t="n">
        <x:v>0</x:v>
      </x:c>
      <x:c r="J3449" s="16" t="n">
        <x:v>0</x:v>
      </x:c>
      <x:c r="K3449" s="11" t="n">
        <x:f>CHOOSE('假设'!$B$3,H3449,I3449,J3449)</x:f>
        <x:v>0</x:v>
      </x:c>
      <x:c r="L3449" s="11" t="n">
        <x:f>K3449*'管线假设'!E747*'管线假设'!F747*'管线假设'!G747*IF(E3449="USD",'管线假设'!I747,1)-AM3449</x:f>
        <x:v>0</x:v>
      </x:c>
      <x:c r="M3449" s="11" t="n">
        <x:f>'管线假设'!H747</x:f>
        <x:v>0.135</x:v>
      </x:c>
      <x:c r="N3449" s="11" t="n">
        <x:f>IF(G3449,L3449*AN3449/(1+M3449)^F3449,0)</x:f>
        <x:v>0</x:v>
      </x:c>
      <x:c r="AJ3449" t="n">
        <x:v>0</x:v>
      </x:c>
      <x:c r="AK3449" t="n">
        <x:v>0</x:v>
      </x:c>
      <x:c r="AL3449" t="n">
        <x:v>0</x:v>
      </x:c>
      <x:c r="AM3449" t="n">
        <x:f>CHOOSE('假设'!$B$3,AJ3449,AK3449,AL3449)</x:f>
        <x:v>0</x:v>
      </x:c>
      <x:c r="AN3449" t="n">
        <x:v>1</x:v>
      </x:c>
    </x:row>
    <x:row r="3450" ht="23" customHeight="1">
      <x:c r="A3450" s="11" t="str">
        <x:v>688382.SH</x:v>
      </x:c>
      <x:c r="B3450" s="11" t="str">
        <x:v>五年</x:v>
      </x:c>
      <x:c r="C3450" s="11" t="str">
        <x:v>befu</x:v>
      </x:c>
      <x:c r="D3450" s="11" t="str">
        <x:v>2040-12-31</x:v>
      </x:c>
      <x:c r="E3450" s="11" t="str">
        <x:v>CNY</x:v>
      </x:c>
      <x:c r="F3450" s="11" t="n">
        <x:v>9.229295003422314</x:v>
      </x:c>
      <x:c r="G3450" s="26" t="b">
        <x:v>1</x:v>
      </x:c>
      <x:c r="H3450" s="16" t="n">
        <x:v>0</x:v>
      </x:c>
      <x:c r="I3450" s="16" t="n">
        <x:v>0</x:v>
      </x:c>
      <x:c r="J3450" s="16" t="n">
        <x:v>0</x:v>
      </x:c>
      <x:c r="K3450" s="11" t="n">
        <x:f>CHOOSE('假设'!$B$3,H3450,I3450,J3450)</x:f>
        <x:v>0</x:v>
      </x:c>
      <x:c r="L3450" s="11" t="n">
        <x:f>K3450*'管线假设'!E747*'管线假设'!F747*'管线假设'!G747*IF(E3450="USD",'管线假设'!I747,1)-AM3450</x:f>
        <x:v>0</x:v>
      </x:c>
      <x:c r="M3450" s="11" t="n">
        <x:f>'管线假设'!H747</x:f>
        <x:v>0.135</x:v>
      </x:c>
      <x:c r="N3450" s="11" t="n">
        <x:f>IF(G3450,L3450*AN3450/(1+M3450)^F3450,0)</x:f>
        <x:v>0</x:v>
      </x:c>
      <x:c r="AJ3450" t="n">
        <x:v>0</x:v>
      </x:c>
      <x:c r="AK3450" t="n">
        <x:v>0</x:v>
      </x:c>
      <x:c r="AL3450" t="n">
        <x:v>0</x:v>
      </x:c>
      <x:c r="AM3450" t="n">
        <x:f>CHOOSE('假设'!$B$3,AJ3450,AK3450,AL3450)</x:f>
        <x:v>0</x:v>
      </x:c>
      <x:c r="AN3450" t="n">
        <x:v>1</x:v>
      </x:c>
    </x:row>
    <x:row r="3451" ht="23" customHeight="1">
      <x:c r="A3451" s="11" t="str">
        <x:v>688382.SH</x:v>
      </x:c>
      <x:c r="B3451" s="11" t="str">
        <x:v>五年</x:v>
      </x:c>
      <x:c r="C3451" s="11" t="str">
        <x:v>befu</x:v>
      </x:c>
      <x:c r="D3451" s="11" t="str">
        <x:v>2041-12-31</x:v>
      </x:c>
      <x:c r="E3451" s="11" t="str">
        <x:v>CNY</x:v>
      </x:c>
      <x:c r="F3451" s="11" t="n">
        <x:v>10.22861054072553</x:v>
      </x:c>
      <x:c r="G3451" s="26" t="b">
        <x:v>1</x:v>
      </x:c>
      <x:c r="H3451" s="16" t="n">
        <x:v>0</x:v>
      </x:c>
      <x:c r="I3451" s="16" t="n">
        <x:v>0</x:v>
      </x:c>
      <x:c r="J3451" s="16" t="n">
        <x:v>0</x:v>
      </x:c>
      <x:c r="K3451" s="11" t="n">
        <x:f>CHOOSE('假设'!$B$3,H3451,I3451,J3451)</x:f>
        <x:v>0</x:v>
      </x:c>
      <x:c r="L3451" s="11" t="n">
        <x:f>K3451*'管线假设'!E747*'管线假设'!F747*'管线假设'!G747*IF(E3451="USD",'管线假设'!I747,1)-AM3451</x:f>
        <x:v>0</x:v>
      </x:c>
      <x:c r="M3451" s="11" t="n">
        <x:f>'管线假设'!H747</x:f>
        <x:v>0.135</x:v>
      </x:c>
      <x:c r="N3451" s="11" t="n">
        <x:f>IF(G3451,L3451*AN3451/(1+M3451)^F3451,0)</x:f>
        <x:v>0</x:v>
      </x:c>
      <x:c r="AJ3451" t="n">
        <x:v>0</x:v>
      </x:c>
      <x:c r="AK3451" t="n">
        <x:v>0</x:v>
      </x:c>
      <x:c r="AL3451" t="n">
        <x:v>0</x:v>
      </x:c>
      <x:c r="AM3451" t="n">
        <x:f>CHOOSE('假设'!$B$3,AJ3451,AK3451,AL3451)</x:f>
        <x:v>0</x:v>
      </x:c>
      <x:c r="AN3451" t="n">
        <x:v>1</x:v>
      </x:c>
    </x:row>
    <x:row r="3452" ht="23" customHeight="1">
      <x:c r="A3452" s="11" t="str">
        <x:v>688382.SH</x:v>
      </x:c>
      <x:c r="B3452" s="11" t="str">
        <x:v>五年</x:v>
      </x:c>
      <x:c r="C3452" s="11" t="str">
        <x:v>befu</x:v>
      </x:c>
      <x:c r="D3452" s="11" t="str">
        <x:v>2042-12-31</x:v>
      </x:c>
      <x:c r="E3452" s="11" t="str">
        <x:v>CNY</x:v>
      </x:c>
      <x:c r="F3452" s="11" t="n">
        <x:v>11.227926078028748</x:v>
      </x:c>
      <x:c r="G3452" s="26" t="b">
        <x:v>1</x:v>
      </x:c>
      <x:c r="H3452" s="16" t="n">
        <x:v>0</x:v>
      </x:c>
      <x:c r="I3452" s="16" t="n">
        <x:v>0</x:v>
      </x:c>
      <x:c r="J3452" s="16" t="n">
        <x:v>0</x:v>
      </x:c>
      <x:c r="K3452" s="11" t="n">
        <x:f>CHOOSE('假设'!$B$3,H3452,I3452,J3452)</x:f>
        <x:v>0</x:v>
      </x:c>
      <x:c r="L3452" s="11" t="n">
        <x:f>K3452*'管线假设'!E747*'管线假设'!F747*'管线假设'!G747*IF(E3452="USD",'管线假设'!I747,1)-AM3452</x:f>
        <x:v>0</x:v>
      </x:c>
      <x:c r="M3452" s="11" t="n">
        <x:f>'管线假设'!H747</x:f>
        <x:v>0.135</x:v>
      </x:c>
      <x:c r="N3452" s="11" t="n">
        <x:f>IF(G3452,L3452*AN3452/(1+M3452)^F3452,0)</x:f>
        <x:v>0</x:v>
      </x:c>
      <x:c r="AJ3452" t="n">
        <x:v>0</x:v>
      </x:c>
      <x:c r="AK3452" t="n">
        <x:v>0</x:v>
      </x:c>
      <x:c r="AL3452" t="n">
        <x:v>0</x:v>
      </x:c>
      <x:c r="AM3452" t="n">
        <x:f>CHOOSE('假设'!$B$3,AJ3452,AK3452,AL3452)</x:f>
        <x:v>0</x:v>
      </x:c>
      <x:c r="AN3452" t="n">
        <x:v>1</x:v>
      </x:c>
    </x:row>
    <x:row r="3453" ht="23" customHeight="1">
      <x:c r="A3453" s="11" t="str">
        <x:v>688382.SH</x:v>
      </x:c>
      <x:c r="B3453" s="11" t="str">
        <x:v>五年</x:v>
      </x:c>
      <x:c r="C3453" s="11" t="str">
        <x:v>befu</x:v>
      </x:c>
      <x:c r="D3453" s="11" t="str">
        <x:v>2043-12-31</x:v>
      </x:c>
      <x:c r="E3453" s="11" t="str">
        <x:v>CNY</x:v>
      </x:c>
      <x:c r="F3453" s="11" t="n">
        <x:v>12.227241615331964</x:v>
      </x:c>
      <x:c r="G3453" s="26" t="b">
        <x:v>1</x:v>
      </x:c>
      <x:c r="H3453" s="16" t="n">
        <x:v>0</x:v>
      </x:c>
      <x:c r="I3453" s="16" t="n">
        <x:v>0</x:v>
      </x:c>
      <x:c r="J3453" s="16" t="n">
        <x:v>0</x:v>
      </x:c>
      <x:c r="K3453" s="11" t="n">
        <x:f>CHOOSE('假设'!$B$3,H3453,I3453,J3453)</x:f>
        <x:v>0</x:v>
      </x:c>
      <x:c r="L3453" s="11" t="n">
        <x:f>K3453*'管线假设'!E747*'管线假设'!F747*'管线假设'!G747*IF(E3453="USD",'管线假设'!I747,1)-AM3453</x:f>
        <x:v>0</x:v>
      </x:c>
      <x:c r="M3453" s="11" t="n">
        <x:f>'管线假设'!H747</x:f>
        <x:v>0.135</x:v>
      </x:c>
      <x:c r="N3453" s="11" t="n">
        <x:f>IF(G3453,L3453*AN3453/(1+M3453)^F3453,0)</x:f>
        <x:v>0</x:v>
      </x:c>
      <x:c r="AJ3453" t="n">
        <x:v>0</x:v>
      </x:c>
      <x:c r="AK3453" t="n">
        <x:v>0</x:v>
      </x:c>
      <x:c r="AL3453" t="n">
        <x:v>0</x:v>
      </x:c>
      <x:c r="AM3453" t="n">
        <x:f>CHOOSE('假设'!$B$3,AJ3453,AK3453,AL3453)</x:f>
        <x:v>0</x:v>
      </x:c>
      <x:c r="AN3453" t="n">
        <x:v>1</x:v>
      </x:c>
    </x:row>
    <x:row r="3454" ht="23" customHeight="1">
      <x:c r="A3454" s="11" t="str">
        <x:v>688382.SH</x:v>
      </x:c>
      <x:c r="B3454" s="11" t="str">
        <x:v>五年</x:v>
      </x:c>
      <x:c r="C3454" s="11" t="str">
        <x:v>befu</x:v>
      </x:c>
      <x:c r="D3454" s="11" t="str">
        <x:v>2044-12-31</x:v>
      </x:c>
      <x:c r="E3454" s="11" t="str">
        <x:v>CNY</x:v>
      </x:c>
      <x:c r="F3454" s="11" t="n">
        <x:v>13.229295003422314</x:v>
      </x:c>
      <x:c r="G3454" s="26" t="b">
        <x:v>1</x:v>
      </x:c>
      <x:c r="H3454" s="16" t="n">
        <x:v>0</x:v>
      </x:c>
      <x:c r="I3454" s="16" t="n">
        <x:v>0</x:v>
      </x:c>
      <x:c r="J3454" s="16" t="n">
        <x:v>0</x:v>
      </x:c>
      <x:c r="K3454" s="11" t="n">
        <x:f>CHOOSE('假设'!$B$3,H3454,I3454,J3454)</x:f>
        <x:v>0</x:v>
      </x:c>
      <x:c r="L3454" s="11" t="n">
        <x:f>K3454*'管线假设'!E747*'管线假设'!F747*'管线假设'!G747*IF(E3454="USD",'管线假设'!I747,1)-AM3454</x:f>
        <x:v>0</x:v>
      </x:c>
      <x:c r="M3454" s="11" t="n">
        <x:f>'管线假设'!H747</x:f>
        <x:v>0.135</x:v>
      </x:c>
      <x:c r="N3454" s="11" t="n">
        <x:f>IF(G3454,L3454*AN3454/(1+M3454)^F3454,0)</x:f>
        <x:v>0</x:v>
      </x:c>
      <x:c r="AJ3454" t="n">
        <x:v>0</x:v>
      </x:c>
      <x:c r="AK3454" t="n">
        <x:v>0</x:v>
      </x:c>
      <x:c r="AL3454" t="n">
        <x:v>0</x:v>
      </x:c>
      <x:c r="AM3454" t="n">
        <x:f>CHOOSE('假设'!$B$3,AJ3454,AK3454,AL3454)</x:f>
        <x:v>0</x:v>
      </x:c>
      <x:c r="AN3454" t="n">
        <x:v>1</x:v>
      </x:c>
    </x:row>
    <x:row r="3455" ht="23" customHeight="1">
      <x:c r="A3455" s="11" t="str">
        <x:v>688382.SH</x:v>
      </x:c>
      <x:c r="B3455" s="11" t="str">
        <x:v>五年</x:v>
      </x:c>
      <x:c r="C3455" s="11" t="str">
        <x:v>befu</x:v>
      </x:c>
      <x:c r="D3455" s="11" t="str">
        <x:v>2045-12-31</x:v>
      </x:c>
      <x:c r="E3455" s="11" t="str">
        <x:v>CNY</x:v>
      </x:c>
      <x:c r="F3455" s="11" t="n">
        <x:v>14.22861054072553</x:v>
      </x:c>
      <x:c r="G3455" s="26" t="b">
        <x:v>1</x:v>
      </x:c>
      <x:c r="H3455" s="16" t="n">
        <x:v>0</x:v>
      </x:c>
      <x:c r="I3455" s="16" t="n">
        <x:v>0</x:v>
      </x:c>
      <x:c r="J3455" s="16" t="n">
        <x:v>0</x:v>
      </x:c>
      <x:c r="K3455" s="11" t="n">
        <x:f>CHOOSE('假设'!$B$3,H3455,I3455,J3455)</x:f>
        <x:v>0</x:v>
      </x:c>
      <x:c r="L3455" s="11" t="n">
        <x:f>K3455*'管线假设'!E747*'管线假设'!F747*'管线假设'!G747*IF(E3455="USD",'管线假设'!I747,1)-AM3455</x:f>
        <x:v>0</x:v>
      </x:c>
      <x:c r="M3455" s="11" t="n">
        <x:f>'管线假设'!H747</x:f>
        <x:v>0.135</x:v>
      </x:c>
      <x:c r="N3455" s="11" t="n">
        <x:f>IF(G3455,L3455*AN3455/(1+M3455)^F3455,0)</x:f>
        <x:v>0</x:v>
      </x:c>
      <x:c r="AJ3455" t="n">
        <x:v>0</x:v>
      </x:c>
      <x:c r="AK3455" t="n">
        <x:v>0</x:v>
      </x:c>
      <x:c r="AL3455" t="n">
        <x:v>0</x:v>
      </x:c>
      <x:c r="AM3455" t="n">
        <x:f>CHOOSE('假设'!$B$3,AJ3455,AK3455,AL3455)</x:f>
        <x:v>0</x:v>
      </x:c>
      <x:c r="AN3455" t="n">
        <x:v>1</x:v>
      </x:c>
    </x:row>
    <x:row r="3456" ht="23" customHeight="1">
      <x:c r="A3456" s="11" t="str">
        <x:v>688382.SH</x:v>
      </x:c>
      <x:c r="B3456" s="11" t="str">
        <x:v>五年</x:v>
      </x:c>
      <x:c r="C3456" s="11" t="str">
        <x:v>g12c_later_cn</x:v>
      </x:c>
      <x:c r="D3456" s="11" t="str">
        <x:v>2027-12-31</x:v>
      </x:c>
      <x:c r="E3456" s="11" t="str">
        <x:v>CNY</x:v>
      </x:c>
      <x:c r="F3456" s="11" t="n">
        <x:v>-3.7727583846680357</x:v>
      </x:c>
      <x:c r="G3456" s="26" t="b">
        <x:v>0</x:v>
      </x:c>
      <x:c r="H3456" s="16" t="n">
        <x:v>0.1</x:v>
      </x:c>
      <x:c r="I3456" s="16" t="n">
        <x:v>0.22000000000000003</x:v>
      </x:c>
      <x:c r="J3456" s="16" t="n">
        <x:v>0.425</x:v>
      </x:c>
      <x:c r="K3456" s="11" t="n">
        <x:f>CHOOSE('假设'!$B$3,H3456,I3456,J3456)</x:f>
        <x:v>0.22000000000000003</x:v>
      </x:c>
      <x:c r="L3456" s="11" t="n">
        <x:f>K3456*'管线假设'!E751*'管线假设'!F751*'管线假设'!G751*IF(E3456="USD",'管线假设'!I751,1)-AM3456</x:f>
        <x:v>0.018040000000000007</x:v>
      </x:c>
      <x:c r="M3456" s="11" t="n">
        <x:f>'管线假设'!H751</x:f>
        <x:v>0.135</x:v>
      </x:c>
      <x:c r="N3456" s="11" t="n">
        <x:f>IF(G3456,L3456*AN3456/(1+M3456)^F3456,0)</x:f>
        <x:v>0</x:v>
      </x:c>
      <x:c r="AJ3456" t="n">
        <x:v>0</x:v>
      </x:c>
      <x:c r="AK3456" t="n">
        <x:v>0</x:v>
      </x:c>
      <x:c r="AL3456" t="n">
        <x:v>0</x:v>
      </x:c>
      <x:c r="AM3456" t="n">
        <x:f>CHOOSE('假设'!$B$3,AJ3456,AK3456,AL3456)</x:f>
        <x:v>0</x:v>
      </x:c>
      <x:c r="AN3456" t="n">
        <x:v>1</x:v>
      </x:c>
    </x:row>
    <x:row r="3457" ht="23" customHeight="1">
      <x:c r="A3457" s="11" t="str">
        <x:v>688382.SH</x:v>
      </x:c>
      <x:c r="B3457" s="11" t="str">
        <x:v>五年</x:v>
      </x:c>
      <x:c r="C3457" s="11" t="str">
        <x:v>g12c_later_cn</x:v>
      </x:c>
      <x:c r="D3457" s="11" t="str">
        <x:v>2028-12-31</x:v>
      </x:c>
      <x:c r="E3457" s="11" t="str">
        <x:v>CNY</x:v>
      </x:c>
      <x:c r="F3457" s="11" t="n">
        <x:v>-2.7707049965776864</x:v>
      </x:c>
      <x:c r="G3457" s="26" t="b">
        <x:v>0</x:v>
      </x:c>
      <x:c r="H3457" s="16" t="n">
        <x:v>0.2</x:v>
      </x:c>
      <x:c r="I3457" s="16" t="n">
        <x:v>0.44000000000000006</x:v>
      </x:c>
      <x:c r="J3457" s="16" t="n">
        <x:v>0.85</x:v>
      </x:c>
      <x:c r="K3457" s="11" t="n">
        <x:f>CHOOSE('假设'!$B$3,H3457,I3457,J3457)</x:f>
        <x:v>0.44000000000000006</x:v>
      </x:c>
      <x:c r="L3457" s="11" t="n">
        <x:f>K3457*'管线假设'!E751*'管线假设'!F751*'管线假设'!G751*IF(E3457="USD",'管线假设'!I751,1)-AM3457</x:f>
        <x:v>0.036080000000000015</x:v>
      </x:c>
      <x:c r="M3457" s="11" t="n">
        <x:f>'管线假设'!H751</x:f>
        <x:v>0.135</x:v>
      </x:c>
      <x:c r="N3457" s="11" t="n">
        <x:f>IF(G3457,L3457*AN3457/(1+M3457)^F3457,0)</x:f>
        <x:v>0</x:v>
      </x:c>
      <x:c r="AJ3457" t="n">
        <x:v>0</x:v>
      </x:c>
      <x:c r="AK3457" t="n">
        <x:v>0</x:v>
      </x:c>
      <x:c r="AL3457" t="n">
        <x:v>0</x:v>
      </x:c>
      <x:c r="AM3457" t="n">
        <x:f>CHOOSE('假设'!$B$3,AJ3457,AK3457,AL3457)</x:f>
        <x:v>0</x:v>
      </x:c>
      <x:c r="AN3457" t="n">
        <x:v>1</x:v>
      </x:c>
    </x:row>
    <x:row r="3458" ht="23" customHeight="1">
      <x:c r="A3458" s="11" t="str">
        <x:v>688382.SH</x:v>
      </x:c>
      <x:c r="B3458" s="11" t="str">
        <x:v>五年</x:v>
      </x:c>
      <x:c r="C3458" s="11" t="str">
        <x:v>g12c_later_cn</x:v>
      </x:c>
      <x:c r="D3458" s="11" t="str">
        <x:v>2029-12-31</x:v>
      </x:c>
      <x:c r="E3458" s="11" t="str">
        <x:v>CNY</x:v>
      </x:c>
      <x:c r="F3458" s="11" t="n">
        <x:v>-1.7713894592744694</x:v>
      </x:c>
      <x:c r="G3458" s="26" t="b">
        <x:v>0</x:v>
      </x:c>
      <x:c r="H3458" s="16" t="n">
        <x:v>0.3</x:v>
      </x:c>
      <x:c r="I3458" s="16" t="n">
        <x:v>0.66</x:v>
      </x:c>
      <x:c r="J3458" s="16" t="n">
        <x:v>1.275</x:v>
      </x:c>
      <x:c r="K3458" s="11" t="n">
        <x:f>CHOOSE('假设'!$B$3,H3458,I3458,J3458)</x:f>
        <x:v>0.66</x:v>
      </x:c>
      <x:c r="L3458" s="11" t="n">
        <x:f>K3458*'管线假设'!E751*'管线假设'!F751*'管线假设'!G751*IF(E3458="USD",'管线假设'!I751,1)-AM3458</x:f>
        <x:v>0.054120000000000015</x:v>
      </x:c>
      <x:c r="M3458" s="11" t="n">
        <x:f>'管线假设'!H751</x:f>
        <x:v>0.135</x:v>
      </x:c>
      <x:c r="N3458" s="11" t="n">
        <x:f>IF(G3458,L3458*AN3458/(1+M3458)^F3458,0)</x:f>
        <x:v>0</x:v>
      </x:c>
      <x:c r="AJ3458" t="n">
        <x:v>0</x:v>
      </x:c>
      <x:c r="AK3458" t="n">
        <x:v>0</x:v>
      </x:c>
      <x:c r="AL3458" t="n">
        <x:v>0</x:v>
      </x:c>
      <x:c r="AM3458" t="n">
        <x:f>CHOOSE('假设'!$B$3,AJ3458,AK3458,AL3458)</x:f>
        <x:v>0</x:v>
      </x:c>
      <x:c r="AN3458" t="n">
        <x:v>1</x:v>
      </x:c>
    </x:row>
    <x:row r="3459" ht="23" customHeight="1">
      <x:c r="A3459" s="11" t="str">
        <x:v>688382.SH</x:v>
      </x:c>
      <x:c r="B3459" s="11" t="str">
        <x:v>五年</x:v>
      </x:c>
      <x:c r="C3459" s="11" t="str">
        <x:v>g12c_later_cn</x:v>
      </x:c>
      <x:c r="D3459" s="11" t="str">
        <x:v>2030-12-31</x:v>
      </x:c>
      <x:c r="E3459" s="11" t="str">
        <x:v>CNY</x:v>
      </x:c>
      <x:c r="F3459" s="11" t="n">
        <x:v>-0.7720739219712526</x:v>
      </x:c>
      <x:c r="G3459" s="26" t="b">
        <x:v>0</x:v>
      </x:c>
      <x:c r="H3459" s="16" t="n">
        <x:v>0.4</x:v>
      </x:c>
      <x:c r="I3459" s="16" t="n">
        <x:v>0.8800000000000001</x:v>
      </x:c>
      <x:c r="J3459" s="16" t="n">
        <x:v>1.7</x:v>
      </x:c>
      <x:c r="K3459" s="11" t="n">
        <x:f>CHOOSE('假设'!$B$3,H3459,I3459,J3459)</x:f>
        <x:v>0.8800000000000001</x:v>
      </x:c>
      <x:c r="L3459" s="11" t="n">
        <x:f>K3459*'管线假设'!E751*'管线假设'!F751*'管线假设'!G751*IF(E3459="USD",'管线假设'!I751,1)-AM3459</x:f>
        <x:v>0.07216000000000003</x:v>
      </x:c>
      <x:c r="M3459" s="11" t="n">
        <x:f>'管线假设'!H751</x:f>
        <x:v>0.135</x:v>
      </x:c>
      <x:c r="N3459" s="11" t="n">
        <x:f>IF(G3459,L3459*AN3459/(1+M3459)^F3459,0)</x:f>
        <x:v>0</x:v>
      </x:c>
      <x:c r="AJ3459" t="n">
        <x:v>0</x:v>
      </x:c>
      <x:c r="AK3459" t="n">
        <x:v>0</x:v>
      </x:c>
      <x:c r="AL3459" t="n">
        <x:v>0</x:v>
      </x:c>
      <x:c r="AM3459" t="n">
        <x:f>CHOOSE('假设'!$B$3,AJ3459,AK3459,AL3459)</x:f>
        <x:v>0</x:v>
      </x:c>
      <x:c r="AN3459" t="n">
        <x:v>1</x:v>
      </x:c>
    </x:row>
    <x:row r="3460" ht="23" customHeight="1">
      <x:c r="A3460" s="11" t="str">
        <x:v>688382.SH</x:v>
      </x:c>
      <x:c r="B3460" s="11" t="str">
        <x:v>五年</x:v>
      </x:c>
      <x:c r="C3460" s="11" t="str">
        <x:v>g12c_later_cn</x:v>
      </x:c>
      <x:c r="D3460" s="11" t="str">
        <x:v>2031-12-31</x:v>
      </x:c>
      <x:c r="E3460" s="11" t="str">
        <x:v>CNY</x:v>
      </x:c>
      <x:c r="F3460" s="11" t="n">
        <x:v>0.2272416153319644</x:v>
      </x:c>
      <x:c r="G3460" s="26" t="b">
        <x:v>1</x:v>
      </x:c>
      <x:c r="H3460" s="16" t="n">
        <x:v>0.5</x:v>
      </x:c>
      <x:c r="I3460" s="16" t="n">
        <x:v>1.1</x:v>
      </x:c>
      <x:c r="J3460" s="16" t="n">
        <x:v>1.4789999999999999</x:v>
      </x:c>
      <x:c r="K3460" s="11" t="n">
        <x:f>CHOOSE('假设'!$B$3,H3460,I3460,J3460)</x:f>
        <x:v>1.1</x:v>
      </x:c>
      <x:c r="L3460" s="11" t="n">
        <x:f>K3460*'管线假设'!E751*'管线假设'!F751*'管线假设'!G751*IF(E3460="USD",'管线假设'!I751,1)-AM3460</x:f>
        <x:v>0.09020000000000003</x:v>
      </x:c>
      <x:c r="M3460" s="11" t="n">
        <x:f>'管线假设'!H751</x:f>
        <x:v>0.135</x:v>
      </x:c>
      <x:c r="N3460" s="11" t="n">
        <x:f>IF(G3460,L3460*AN3460/(1+M3460)^F3460,0)</x:f>
        <x:v>0.08764137632597004</x:v>
      </x:c>
      <x:c r="AJ3460" t="n">
        <x:v>0</x:v>
      </x:c>
      <x:c r="AK3460" t="n">
        <x:v>0</x:v>
      </x:c>
      <x:c r="AL3460" t="n">
        <x:v>0</x:v>
      </x:c>
      <x:c r="AM3460" t="n">
        <x:f>CHOOSE('假设'!$B$3,AJ3460,AK3460,AL3460)</x:f>
        <x:v>0</x:v>
      </x:c>
      <x:c r="AN3460" t="n">
        <x:v>1</x:v>
      </x:c>
    </x:row>
    <x:row r="3461" ht="23" customHeight="1">
      <x:c r="A3461" s="11" t="str">
        <x:v>688382.SH</x:v>
      </x:c>
      <x:c r="B3461" s="11" t="str">
        <x:v>五年</x:v>
      </x:c>
      <x:c r="C3461" s="11" t="str">
        <x:v>g12c_later_cn</x:v>
      </x:c>
      <x:c r="D3461" s="11" t="str">
        <x:v>2032-12-31</x:v>
      </x:c>
      <x:c r="E3461" s="11" t="str">
        <x:v>CNY</x:v>
      </x:c>
      <x:c r="F3461" s="11" t="n">
        <x:v>1.2292950034223136</x:v>
      </x:c>
      <x:c r="G3461" s="26" t="b">
        <x:v>1</x:v>
      </x:c>
      <x:c r="H3461" s="16" t="n">
        <x:v>0.435</x:v>
      </x:c>
      <x:c r="I3461" s="16" t="n">
        <x:v>0.9570000000000001</x:v>
      </x:c>
      <x:c r="J3461" s="16" t="n">
        <x:v>1.258</x:v>
      </x:c>
      <x:c r="K3461" s="11" t="n">
        <x:f>CHOOSE('假设'!$B$3,H3461,I3461,J3461)</x:f>
        <x:v>0.9570000000000001</x:v>
      </x:c>
      <x:c r="L3461" s="11" t="n">
        <x:f>K3461*'管线假设'!E751*'管线假设'!F751*'管线假设'!G751*IF(E3461="USD",'管线假设'!I751,1)-AM3461</x:f>
        <x:v>0.07847400000000002</x:v>
      </x:c>
      <x:c r="M3461" s="11" t="n">
        <x:f>'管线假设'!H751</x:f>
        <x:v>0.135</x:v>
      </x:c>
      <x:c r="N3461" s="11" t="n">
        <x:f>IF(G3461,L3461*AN3461/(1+M3461)^F3461,0)</x:f>
        <x:v>0.06716138636213889</x:v>
      </x:c>
      <x:c r="AJ3461" t="n">
        <x:v>0</x:v>
      </x:c>
      <x:c r="AK3461" t="n">
        <x:v>0</x:v>
      </x:c>
      <x:c r="AL3461" t="n">
        <x:v>0</x:v>
      </x:c>
      <x:c r="AM3461" t="n">
        <x:f>CHOOSE('假设'!$B$3,AJ3461,AK3461,AL3461)</x:f>
        <x:v>0</x:v>
      </x:c>
      <x:c r="AN3461" t="n">
        <x:v>1</x:v>
      </x:c>
    </x:row>
    <x:row r="3462" ht="23" customHeight="1">
      <x:c r="A3462" s="11" t="str">
        <x:v>688382.SH</x:v>
      </x:c>
      <x:c r="B3462" s="11" t="str">
        <x:v>五年</x:v>
      </x:c>
      <x:c r="C3462" s="11" t="str">
        <x:v>g12c_later_cn</x:v>
      </x:c>
      <x:c r="D3462" s="11" t="str">
        <x:v>2033-12-31</x:v>
      </x:c>
      <x:c r="E3462" s="11" t="str">
        <x:v>CNY</x:v>
      </x:c>
      <x:c r="F3462" s="11" t="n">
        <x:v>2.2286105407255303</x:v>
      </x:c>
      <x:c r="G3462" s="26" t="b">
        <x:v>1</x:v>
      </x:c>
      <x:c r="H3462" s="16" t="n">
        <x:v>0.37</x:v>
      </x:c>
      <x:c r="I3462" s="16" t="n">
        <x:v>0.8140000000000001</x:v>
      </x:c>
      <x:c r="J3462" s="16" t="n">
        <x:v>1.037</x:v>
      </x:c>
      <x:c r="K3462" s="11" t="n">
        <x:f>CHOOSE('假设'!$B$3,H3462,I3462,J3462)</x:f>
        <x:v>0.8140000000000001</x:v>
      </x:c>
      <x:c r="L3462" s="11" t="n">
        <x:f>K3462*'管线假设'!E751*'管线假设'!F751*'管线假设'!G751*IF(E3462="USD",'管线假设'!I751,1)-AM3462</x:f>
        <x:v>0.06674800000000002</x:v>
      </x:c>
      <x:c r="M3462" s="11" t="n">
        <x:f>'管线假设'!H751</x:f>
        <x:v>0.135</x:v>
      </x:c>
      <x:c r="N3462" s="11" t="n">
        <x:f>IF(G3462,L3462*AN3462/(1+M3462)^F3462,0)</x:f>
        <x:v>0.05033544362611273</x:v>
      </x:c>
      <x:c r="AJ3462" t="n">
        <x:v>0</x:v>
      </x:c>
      <x:c r="AK3462" t="n">
        <x:v>0</x:v>
      </x:c>
      <x:c r="AL3462" t="n">
        <x:v>0</x:v>
      </x:c>
      <x:c r="AM3462" t="n">
        <x:f>CHOOSE('假设'!$B$3,AJ3462,AK3462,AL3462)</x:f>
        <x:v>0</x:v>
      </x:c>
      <x:c r="AN3462" t="n">
        <x:v>1</x:v>
      </x:c>
    </x:row>
    <x:row r="3463" ht="23" customHeight="1">
      <x:c r="A3463" s="11" t="str">
        <x:v>688382.SH</x:v>
      </x:c>
      <x:c r="B3463" s="11" t="str">
        <x:v>五年</x:v>
      </x:c>
      <x:c r="C3463" s="11" t="str">
        <x:v>g12c_later_cn</x:v>
      </x:c>
      <x:c r="D3463" s="11" t="str">
        <x:v>2034-12-31</x:v>
      </x:c>
      <x:c r="E3463" s="11" t="str">
        <x:v>CNY</x:v>
      </x:c>
      <x:c r="F3463" s="11" t="n">
        <x:v>3.2279260780287475</x:v>
      </x:c>
      <x:c r="G3463" s="26" t="b">
        <x:v>1</x:v>
      </x:c>
      <x:c r="H3463" s="16" t="n">
        <x:v>0.305</x:v>
      </x:c>
      <x:c r="I3463" s="16" t="n">
        <x:v>0.671</x:v>
      </x:c>
      <x:c r="J3463" s="16" t="n">
        <x:v>0.816</x:v>
      </x:c>
      <x:c r="K3463" s="11" t="n">
        <x:f>CHOOSE('假设'!$B$3,H3463,I3463,J3463)</x:f>
        <x:v>0.671</x:v>
      </x:c>
      <x:c r="L3463" s="11" t="n">
        <x:f>K3463*'管线假设'!E751*'管线假设'!F751*'管线假设'!G751*IF(E3463="USD",'管线假设'!I751,1)-AM3463</x:f>
        <x:v>0.055022000000000015</x:v>
      </x:c>
      <x:c r="M3463" s="11" t="n">
        <x:f>'管线假设'!H751</x:f>
        <x:v>0.135</x:v>
      </x:c>
      <x:c r="N3463" s="11" t="n">
        <x:f>IF(G3463,L3463*AN3463/(1+M3463)^F3463,0)</x:f>
        <x:v>0.036560640624195596</x:v>
      </x:c>
      <x:c r="AJ3463" t="n">
        <x:v>0</x:v>
      </x:c>
      <x:c r="AK3463" t="n">
        <x:v>0</x:v>
      </x:c>
      <x:c r="AL3463" t="n">
        <x:v>0</x:v>
      </x:c>
      <x:c r="AM3463" t="n">
        <x:f>CHOOSE('假设'!$B$3,AJ3463,AK3463,AL3463)</x:f>
        <x:v>0</x:v>
      </x:c>
      <x:c r="AN3463" t="n">
        <x:v>1</x:v>
      </x:c>
    </x:row>
    <x:row r="3464" ht="23" customHeight="1">
      <x:c r="A3464" s="11" t="str">
        <x:v>688382.SH</x:v>
      </x:c>
      <x:c r="B3464" s="11" t="str">
        <x:v>五年</x:v>
      </x:c>
      <x:c r="C3464" s="11" t="str">
        <x:v>g12c_later_cn</x:v>
      </x:c>
      <x:c r="D3464" s="11" t="str">
        <x:v>2035-12-31</x:v>
      </x:c>
      <x:c r="E3464" s="11" t="str">
        <x:v>CNY</x:v>
      </x:c>
      <x:c r="F3464" s="11" t="n">
        <x:v>4.227241615331964</x:v>
      </x:c>
      <x:c r="G3464" s="26" t="b">
        <x:v>1</x:v>
      </x:c>
      <x:c r="H3464" s="16" t="n">
        <x:v>0.24</x:v>
      </x:c>
      <x:c r="I3464" s="16" t="n">
        <x:v>0.528</x:v>
      </x:c>
      <x:c r="J3464" s="16" t="n">
        <x:v>0.595</x:v>
      </x:c>
      <x:c r="K3464" s="11" t="n">
        <x:f>CHOOSE('假设'!$B$3,H3464,I3464,J3464)</x:f>
        <x:v>0.528</x:v>
      </x:c>
      <x:c r="L3464" s="11" t="n">
        <x:f>K3464*'管线假设'!E751*'管线假设'!F751*'管线假设'!G751*IF(E3464="USD",'管线假设'!I751,1)-AM3464</x:f>
        <x:v>0.04329600000000001</x:v>
      </x:c>
      <x:c r="M3464" s="11" t="n">
        <x:f>'管线假设'!H751</x:f>
        <x:v>0.135</x:v>
      </x:c>
      <x:c r="N3464" s="11" t="n">
        <x:f>IF(G3464,L3464*AN3464/(1+M3464)^F3464,0)</x:f>
        <x:v>0.025349358908276033</x:v>
      </x:c>
      <x:c r="AJ3464" t="n">
        <x:v>0</x:v>
      </x:c>
      <x:c r="AK3464" t="n">
        <x:v>0</x:v>
      </x:c>
      <x:c r="AL3464" t="n">
        <x:v>0</x:v>
      </x:c>
      <x:c r="AM3464" t="n">
        <x:f>CHOOSE('假设'!$B$3,AJ3464,AK3464,AL3464)</x:f>
        <x:v>0</x:v>
      </x:c>
      <x:c r="AN3464" t="n">
        <x:v>1</x:v>
      </x:c>
    </x:row>
    <x:row r="3465" ht="23" customHeight="1">
      <x:c r="A3465" s="11" t="str">
        <x:v>688382.SH</x:v>
      </x:c>
      <x:c r="B3465" s="11" t="str">
        <x:v>五年</x:v>
      </x:c>
      <x:c r="C3465" s="11" t="str">
        <x:v>g12c_later_cn</x:v>
      </x:c>
      <x:c r="D3465" s="11" t="str">
        <x:v>2036-12-31</x:v>
      </x:c>
      <x:c r="E3465" s="11" t="str">
        <x:v>CNY</x:v>
      </x:c>
      <x:c r="F3465" s="11" t="n">
        <x:v>5.229295003422314</x:v>
      </x:c>
      <x:c r="G3465" s="26" t="b">
        <x:v>1</x:v>
      </x:c>
      <x:c r="H3465" s="16" t="n">
        <x:v>0.175</x:v>
      </x:c>
      <x:c r="I3465" s="16" t="n">
        <x:v>0.385</x:v>
      </x:c>
      <x:c r="J3465" s="16" t="n">
        <x:v>0.37399999999999994</x:v>
      </x:c>
      <x:c r="K3465" s="11" t="n">
        <x:f>CHOOSE('假设'!$B$3,H3465,I3465,J3465)</x:f>
        <x:v>0.385</x:v>
      </x:c>
      <x:c r="L3465" s="11" t="n">
        <x:f>K3465*'管线假设'!E751*'管线假设'!F751*'管线假设'!G751*IF(E3465="USD",'管线假设'!I751,1)-AM3465</x:f>
        <x:v>0.03157000000000001</x:v>
      </x:c>
      <x:c r="M3465" s="11" t="n">
        <x:f>'管线假设'!H751</x:f>
        <x:v>0.135</x:v>
      </x:c>
      <x:c r="N3465" s="11" t="n">
        <x:f>IF(G3465,L3465*AN3465/(1+M3465)^F3465,0)</x:f>
        <x:v>0.016281147018493494</x:v>
      </x:c>
      <x:c r="AJ3465" t="n">
        <x:v>0</x:v>
      </x:c>
      <x:c r="AK3465" t="n">
        <x:v>0</x:v>
      </x:c>
      <x:c r="AL3465" t="n">
        <x:v>0</x:v>
      </x:c>
      <x:c r="AM3465" t="n">
        <x:f>CHOOSE('假设'!$B$3,AJ3465,AK3465,AL3465)</x:f>
        <x:v>0</x:v>
      </x:c>
      <x:c r="AN3465" t="n">
        <x:v>1</x:v>
      </x:c>
    </x:row>
    <x:row r="3466" ht="23" customHeight="1">
      <x:c r="A3466" s="11" t="str">
        <x:v>688382.SH</x:v>
      </x:c>
      <x:c r="B3466" s="11" t="str">
        <x:v>五年</x:v>
      </x:c>
      <x:c r="C3466" s="11" t="str">
        <x:v>g12c_later_cn</x:v>
      </x:c>
      <x:c r="D3466" s="11" t="str">
        <x:v>2037-12-31</x:v>
      </x:c>
      <x:c r="E3466" s="11" t="str">
        <x:v>CNY</x:v>
      </x:c>
      <x:c r="F3466" s="11" t="n">
        <x:v>6.228610540725531</x:v>
      </x:c>
      <x:c r="G3466" s="26" t="b">
        <x:v>1</x:v>
      </x:c>
      <x:c r="H3466" s="16" t="n">
        <x:v>0.10999999999999999</x:v>
      </x:c>
      <x:c r="I3466" s="16" t="n">
        <x:v>0.242</x:v>
      </x:c>
      <x:c r="J3466" s="16" t="n">
        <x:v>0.15299999999999994</x:v>
      </x:c>
      <x:c r="K3466" s="11" t="n">
        <x:f>CHOOSE('假设'!$B$3,H3466,I3466,J3466)</x:f>
        <x:v>0.242</x:v>
      </x:c>
      <x:c r="L3466" s="11" t="n">
        <x:f>K3466*'管线假设'!E751*'管线假设'!F751*'管线假设'!G751*IF(E3466="USD",'管线假设'!I751,1)-AM3466</x:f>
        <x:v>0.019844000000000004</x:v>
      </x:c>
      <x:c r="M3466" s="11" t="n">
        <x:f>'管线假设'!H751</x:f>
        <x:v>0.135</x:v>
      </x:c>
      <x:c r="N3466" s="11" t="n">
        <x:f>IF(G3466,L3466*AN3466/(1+M3466)^F3466,0)</x:f>
        <x:v>0.009017401675877236</x:v>
      </x:c>
      <x:c r="AJ3466" t="n">
        <x:v>0</x:v>
      </x:c>
      <x:c r="AK3466" t="n">
        <x:v>0</x:v>
      </x:c>
      <x:c r="AL3466" t="n">
        <x:v>0</x:v>
      </x:c>
      <x:c r="AM3466" t="n">
        <x:f>CHOOSE('假设'!$B$3,AJ3466,AK3466,AL3466)</x:f>
        <x:v>0</x:v>
      </x:c>
      <x:c r="AN3466" t="n">
        <x:v>1</x:v>
      </x:c>
    </x:row>
    <x:row r="3467" ht="23" customHeight="1">
      <x:c r="A3467" s="11" t="str">
        <x:v>688382.SH</x:v>
      </x:c>
      <x:c r="B3467" s="11" t="str">
        <x:v>五年</x:v>
      </x:c>
      <x:c r="C3467" s="11" t="str">
        <x:v>g12c_later_cn</x:v>
      </x:c>
      <x:c r="D3467" s="11" t="str">
        <x:v>2038-12-31</x:v>
      </x:c>
      <x:c r="E3467" s="11" t="str">
        <x:v>CNY</x:v>
      </x:c>
      <x:c r="F3467" s="11" t="n">
        <x:v>7.227926078028747</x:v>
      </x:c>
      <x:c r="G3467" s="26" t="b">
        <x:v>1</x:v>
      </x:c>
      <x:c r="H3467" s="16" t="n">
        <x:v>0.044999999999999984</x:v>
      </x:c>
      <x:c r="I3467" s="16" t="n">
        <x:v>0.09899999999999998</x:v>
      </x:c>
      <x:c r="J3467" s="16" t="n">
        <x:v>0</x:v>
      </x:c>
      <x:c r="K3467" s="11" t="n">
        <x:f>CHOOSE('假设'!$B$3,H3467,I3467,J3467)</x:f>
        <x:v>0.09899999999999998</x:v>
      </x:c>
      <x:c r="L3467" s="11" t="n">
        <x:f>K3467*'管线假设'!E751*'管线假设'!F751*'管线假设'!G751*IF(E3467="USD",'管线假设'!I751,1)-AM3467</x:f>
        <x:v>0.008118</x:v>
      </x:c>
      <x:c r="M3467" s="11" t="n">
        <x:f>'管线假设'!H751</x:f>
        <x:v>0.135</x:v>
      </x:c>
      <x:c r="N3467" s="11" t="n">
        <x:f>IF(G3467,L3467*AN3467/(1+M3467)^F3467,0)</x:f>
        <x:v>0.003250446522378966</x:v>
      </x:c>
      <x:c r="AJ3467" t="n">
        <x:v>0</x:v>
      </x:c>
      <x:c r="AK3467" t="n">
        <x:v>0</x:v>
      </x:c>
      <x:c r="AL3467" t="n">
        <x:v>0</x:v>
      </x:c>
      <x:c r="AM3467" t="n">
        <x:f>CHOOSE('假设'!$B$3,AJ3467,AK3467,AL3467)</x:f>
        <x:v>0</x:v>
      </x:c>
      <x:c r="AN3467" t="n">
        <x:v>1</x:v>
      </x:c>
    </x:row>
    <x:row r="3468" ht="23" customHeight="1">
      <x:c r="A3468" s="11" t="str">
        <x:v>688382.SH</x:v>
      </x:c>
      <x:c r="B3468" s="11" t="str">
        <x:v>五年</x:v>
      </x:c>
      <x:c r="C3468" s="11" t="str">
        <x:v>g12c_later_cn</x:v>
      </x:c>
      <x:c r="D3468" s="11" t="str">
        <x:v>2039-12-31</x:v>
      </x:c>
      <x:c r="E3468" s="11" t="str">
        <x:v>CNY</x:v>
      </x:c>
      <x:c r="F3468" s="11" t="n">
        <x:v>8.227241615331964</x:v>
      </x:c>
      <x:c r="G3468" s="26" t="b">
        <x:v>1</x:v>
      </x:c>
      <x:c r="H3468" s="16" t="n">
        <x:v>0</x:v>
      </x:c>
      <x:c r="I3468" s="16" t="n">
        <x:v>0</x:v>
      </x:c>
      <x:c r="J3468" s="16" t="n">
        <x:v>0</x:v>
      </x:c>
      <x:c r="K3468" s="11" t="n">
        <x:f>CHOOSE('假设'!$B$3,H3468,I3468,J3468)</x:f>
        <x:v>0</x:v>
      </x:c>
      <x:c r="L3468" s="11" t="n">
        <x:f>K3468*'管线假设'!E751*'管线假设'!F751*'管线假设'!G751*IF(E3468="USD",'管线假设'!I751,1)-AM3468</x:f>
        <x:v>0</x:v>
      </x:c>
      <x:c r="M3468" s="11" t="n">
        <x:f>'管线假设'!H751</x:f>
        <x:v>0.135</x:v>
      </x:c>
      <x:c r="N3468" s="11" t="n">
        <x:f>IF(G3468,L3468*AN3468/(1+M3468)^F3468,0)</x:f>
        <x:v>0</x:v>
      </x:c>
      <x:c r="AJ3468" t="n">
        <x:v>0</x:v>
      </x:c>
      <x:c r="AK3468" t="n">
        <x:v>0</x:v>
      </x:c>
      <x:c r="AL3468" t="n">
        <x:v>0</x:v>
      </x:c>
      <x:c r="AM3468" t="n">
        <x:f>CHOOSE('假设'!$B$3,AJ3468,AK3468,AL3468)</x:f>
        <x:v>0</x:v>
      </x:c>
      <x:c r="AN3468" t="n">
        <x:v>1</x:v>
      </x:c>
    </x:row>
    <x:row r="3469" ht="23" customHeight="1">
      <x:c r="A3469" s="11" t="str">
        <x:v>688382.SH</x:v>
      </x:c>
      <x:c r="B3469" s="11" t="str">
        <x:v>五年</x:v>
      </x:c>
      <x:c r="C3469" s="11" t="str">
        <x:v>g12c_later_cn</x:v>
      </x:c>
      <x:c r="D3469" s="11" t="str">
        <x:v>2040-12-31</x:v>
      </x:c>
      <x:c r="E3469" s="11" t="str">
        <x:v>CNY</x:v>
      </x:c>
      <x:c r="F3469" s="11" t="n">
        <x:v>9.229295003422314</x:v>
      </x:c>
      <x:c r="G3469" s="26" t="b">
        <x:v>1</x:v>
      </x:c>
      <x:c r="H3469" s="16" t="n">
        <x:v>0</x:v>
      </x:c>
      <x:c r="I3469" s="16" t="n">
        <x:v>0</x:v>
      </x:c>
      <x:c r="J3469" s="16" t="n">
        <x:v>0</x:v>
      </x:c>
      <x:c r="K3469" s="11" t="n">
        <x:f>CHOOSE('假设'!$B$3,H3469,I3469,J3469)</x:f>
        <x:v>0</x:v>
      </x:c>
      <x:c r="L3469" s="11" t="n">
        <x:f>K3469*'管线假设'!E751*'管线假设'!F751*'管线假设'!G751*IF(E3469="USD",'管线假设'!I751,1)-AM3469</x:f>
        <x:v>0</x:v>
      </x:c>
      <x:c r="M3469" s="11" t="n">
        <x:f>'管线假设'!H751</x:f>
        <x:v>0.135</x:v>
      </x:c>
      <x:c r="N3469" s="11" t="n">
        <x:f>IF(G3469,L3469*AN3469/(1+M3469)^F3469,0)</x:f>
        <x:v>0</x:v>
      </x:c>
      <x:c r="AJ3469" t="n">
        <x:v>0</x:v>
      </x:c>
      <x:c r="AK3469" t="n">
        <x:v>0</x:v>
      </x:c>
      <x:c r="AL3469" t="n">
        <x:v>0</x:v>
      </x:c>
      <x:c r="AM3469" t="n">
        <x:f>CHOOSE('假设'!$B$3,AJ3469,AK3469,AL3469)</x:f>
        <x:v>0</x:v>
      </x:c>
      <x:c r="AN3469" t="n">
        <x:v>1</x:v>
      </x:c>
    </x:row>
    <x:row r="3470" ht="23" customHeight="1">
      <x:c r="A3470" s="11" t="str">
        <x:v>688382.SH</x:v>
      </x:c>
      <x:c r="B3470" s="11" t="str">
        <x:v>五年</x:v>
      </x:c>
      <x:c r="C3470" s="11" t="str">
        <x:v>g12c_later_cn</x:v>
      </x:c>
      <x:c r="D3470" s="11" t="str">
        <x:v>2041-12-31</x:v>
      </x:c>
      <x:c r="E3470" s="11" t="str">
        <x:v>CNY</x:v>
      </x:c>
      <x:c r="F3470" s="11" t="n">
        <x:v>10.22861054072553</x:v>
      </x:c>
      <x:c r="G3470" s="26" t="b">
        <x:v>1</x:v>
      </x:c>
      <x:c r="H3470" s="16" t="n">
        <x:v>0</x:v>
      </x:c>
      <x:c r="I3470" s="16" t="n">
        <x:v>0</x:v>
      </x:c>
      <x:c r="J3470" s="16" t="n">
        <x:v>0</x:v>
      </x:c>
      <x:c r="K3470" s="11" t="n">
        <x:f>CHOOSE('假设'!$B$3,H3470,I3470,J3470)</x:f>
        <x:v>0</x:v>
      </x:c>
      <x:c r="L3470" s="11" t="n">
        <x:f>K3470*'管线假设'!E751*'管线假设'!F751*'管线假设'!G751*IF(E3470="USD",'管线假设'!I751,1)-AM3470</x:f>
        <x:v>0</x:v>
      </x:c>
      <x:c r="M3470" s="11" t="n">
        <x:f>'管线假设'!H751</x:f>
        <x:v>0.135</x:v>
      </x:c>
      <x:c r="N3470" s="11" t="n">
        <x:f>IF(G3470,L3470*AN3470/(1+M3470)^F3470,0)</x:f>
        <x:v>0</x:v>
      </x:c>
      <x:c r="AJ3470" t="n">
        <x:v>0</x:v>
      </x:c>
      <x:c r="AK3470" t="n">
        <x:v>0</x:v>
      </x:c>
      <x:c r="AL3470" t="n">
        <x:v>0</x:v>
      </x:c>
      <x:c r="AM3470" t="n">
        <x:f>CHOOSE('假设'!$B$3,AJ3470,AK3470,AL3470)</x:f>
        <x:v>0</x:v>
      </x:c>
      <x:c r="AN3470" t="n">
        <x:v>1</x:v>
      </x:c>
    </x:row>
    <x:row r="3471" ht="23" customHeight="1">
      <x:c r="A3471" s="11" t="str">
        <x:v>688382.SH</x:v>
      </x:c>
      <x:c r="B3471" s="11" t="str">
        <x:v>五年</x:v>
      </x:c>
      <x:c r="C3471" s="11" t="str">
        <x:v>g12c_later_cn</x:v>
      </x:c>
      <x:c r="D3471" s="11" t="str">
        <x:v>2042-12-31</x:v>
      </x:c>
      <x:c r="E3471" s="11" t="str">
        <x:v>CNY</x:v>
      </x:c>
      <x:c r="F3471" s="11" t="n">
        <x:v>11.227926078028748</x:v>
      </x:c>
      <x:c r="G3471" s="26" t="b">
        <x:v>1</x:v>
      </x:c>
      <x:c r="H3471" s="16" t="n">
        <x:v>0</x:v>
      </x:c>
      <x:c r="I3471" s="16" t="n">
        <x:v>0</x:v>
      </x:c>
      <x:c r="J3471" s="16" t="n">
        <x:v>0</x:v>
      </x:c>
      <x:c r="K3471" s="11" t="n">
        <x:f>CHOOSE('假设'!$B$3,H3471,I3471,J3471)</x:f>
        <x:v>0</x:v>
      </x:c>
      <x:c r="L3471" s="11" t="n">
        <x:f>K3471*'管线假设'!E751*'管线假设'!F751*'管线假设'!G751*IF(E3471="USD",'管线假设'!I751,1)-AM3471</x:f>
        <x:v>0</x:v>
      </x:c>
      <x:c r="M3471" s="11" t="n">
        <x:f>'管线假设'!H751</x:f>
        <x:v>0.135</x:v>
      </x:c>
      <x:c r="N3471" s="11" t="n">
        <x:f>IF(G3471,L3471*AN3471/(1+M3471)^F3471,0)</x:f>
        <x:v>0</x:v>
      </x:c>
      <x:c r="AJ3471" t="n">
        <x:v>0</x:v>
      </x:c>
      <x:c r="AK3471" t="n">
        <x:v>0</x:v>
      </x:c>
      <x:c r="AL3471" t="n">
        <x:v>0</x:v>
      </x:c>
      <x:c r="AM3471" t="n">
        <x:f>CHOOSE('假设'!$B$3,AJ3471,AK3471,AL3471)</x:f>
        <x:v>0</x:v>
      </x:c>
      <x:c r="AN3471" t="n">
        <x:v>1</x:v>
      </x:c>
    </x:row>
    <x:row r="3472" ht="23" customHeight="1">
      <x:c r="A3472" s="11" t="str">
        <x:v>688382.SH</x:v>
      </x:c>
      <x:c r="B3472" s="11" t="str">
        <x:v>五年</x:v>
      </x:c>
      <x:c r="C3472" s="11" t="str">
        <x:v>g12c_later_cn</x:v>
      </x:c>
      <x:c r="D3472" s="11" t="str">
        <x:v>2043-12-31</x:v>
      </x:c>
      <x:c r="E3472" s="11" t="str">
        <x:v>CNY</x:v>
      </x:c>
      <x:c r="F3472" s="11" t="n">
        <x:v>12.227241615331964</x:v>
      </x:c>
      <x:c r="G3472" s="26" t="b">
        <x:v>1</x:v>
      </x:c>
      <x:c r="H3472" s="16" t="n">
        <x:v>0</x:v>
      </x:c>
      <x:c r="I3472" s="16" t="n">
        <x:v>0</x:v>
      </x:c>
      <x:c r="J3472" s="16" t="n">
        <x:v>0</x:v>
      </x:c>
      <x:c r="K3472" s="11" t="n">
        <x:f>CHOOSE('假设'!$B$3,H3472,I3472,J3472)</x:f>
        <x:v>0</x:v>
      </x:c>
      <x:c r="L3472" s="11" t="n">
        <x:f>K3472*'管线假设'!E751*'管线假设'!F751*'管线假设'!G751*IF(E3472="USD",'管线假设'!I751,1)-AM3472</x:f>
        <x:v>0</x:v>
      </x:c>
      <x:c r="M3472" s="11" t="n">
        <x:f>'管线假设'!H751</x:f>
        <x:v>0.135</x:v>
      </x:c>
      <x:c r="N3472" s="11" t="n">
        <x:f>IF(G3472,L3472*AN3472/(1+M3472)^F3472,0)</x:f>
        <x:v>0</x:v>
      </x:c>
      <x:c r="AJ3472" t="n">
        <x:v>0</x:v>
      </x:c>
      <x:c r="AK3472" t="n">
        <x:v>0</x:v>
      </x:c>
      <x:c r="AL3472" t="n">
        <x:v>0</x:v>
      </x:c>
      <x:c r="AM3472" t="n">
        <x:f>CHOOSE('假设'!$B$3,AJ3472,AK3472,AL3472)</x:f>
        <x:v>0</x:v>
      </x:c>
      <x:c r="AN3472" t="n">
        <x:v>1</x:v>
      </x:c>
    </x:row>
    <x:row r="3473" ht="23" customHeight="1">
      <x:c r="A3473" s="11" t="str">
        <x:v>688382.SH</x:v>
      </x:c>
      <x:c r="B3473" s="11" t="str">
        <x:v>五年</x:v>
      </x:c>
      <x:c r="C3473" s="11" t="str">
        <x:v>g12c_later_cn</x:v>
      </x:c>
      <x:c r="D3473" s="11" t="str">
        <x:v>2044-12-31</x:v>
      </x:c>
      <x:c r="E3473" s="11" t="str">
        <x:v>CNY</x:v>
      </x:c>
      <x:c r="F3473" s="11" t="n">
        <x:v>13.229295003422314</x:v>
      </x:c>
      <x:c r="G3473" s="26" t="b">
        <x:v>1</x:v>
      </x:c>
      <x:c r="H3473" s="16" t="n">
        <x:v>0</x:v>
      </x:c>
      <x:c r="I3473" s="16" t="n">
        <x:v>0</x:v>
      </x:c>
      <x:c r="J3473" s="16" t="n">
        <x:v>0</x:v>
      </x:c>
      <x:c r="K3473" s="11" t="n">
        <x:f>CHOOSE('假设'!$B$3,H3473,I3473,J3473)</x:f>
        <x:v>0</x:v>
      </x:c>
      <x:c r="L3473" s="11" t="n">
        <x:f>K3473*'管线假设'!E751*'管线假设'!F751*'管线假设'!G751*IF(E3473="USD",'管线假设'!I751,1)-AM3473</x:f>
        <x:v>0</x:v>
      </x:c>
      <x:c r="M3473" s="11" t="n">
        <x:f>'管线假设'!H751</x:f>
        <x:v>0.135</x:v>
      </x:c>
      <x:c r="N3473" s="11" t="n">
        <x:f>IF(G3473,L3473*AN3473/(1+M3473)^F3473,0)</x:f>
        <x:v>0</x:v>
      </x:c>
      <x:c r="AJ3473" t="n">
        <x:v>0</x:v>
      </x:c>
      <x:c r="AK3473" t="n">
        <x:v>0</x:v>
      </x:c>
      <x:c r="AL3473" t="n">
        <x:v>0</x:v>
      </x:c>
      <x:c r="AM3473" t="n">
        <x:f>CHOOSE('假设'!$B$3,AJ3473,AK3473,AL3473)</x:f>
        <x:v>0</x:v>
      </x:c>
      <x:c r="AN3473" t="n">
        <x:v>1</x:v>
      </x:c>
    </x:row>
    <x:row r="3474" ht="23" customHeight="1">
      <x:c r="A3474" s="11" t="str">
        <x:v>688382.SH</x:v>
      </x:c>
      <x:c r="B3474" s="11" t="str">
        <x:v>五年</x:v>
      </x:c>
      <x:c r="C3474" s="11" t="str">
        <x:v>g12c_later_cn</x:v>
      </x:c>
      <x:c r="D3474" s="11" t="str">
        <x:v>2045-12-31</x:v>
      </x:c>
      <x:c r="E3474" s="11" t="str">
        <x:v>CNY</x:v>
      </x:c>
      <x:c r="F3474" s="11" t="n">
        <x:v>14.22861054072553</x:v>
      </x:c>
      <x:c r="G3474" s="26" t="b">
        <x:v>1</x:v>
      </x:c>
      <x:c r="H3474" s="16" t="n">
        <x:v>0</x:v>
      </x:c>
      <x:c r="I3474" s="16" t="n">
        <x:v>0</x:v>
      </x:c>
      <x:c r="J3474" s="16" t="n">
        <x:v>0</x:v>
      </x:c>
      <x:c r="K3474" s="11" t="n">
        <x:f>CHOOSE('假设'!$B$3,H3474,I3474,J3474)</x:f>
        <x:v>0</x:v>
      </x:c>
      <x:c r="L3474" s="11" t="n">
        <x:f>K3474*'管线假设'!E751*'管线假设'!F751*'管线假设'!G751*IF(E3474="USD",'管线假设'!I751,1)-AM3474</x:f>
        <x:v>0</x:v>
      </x:c>
      <x:c r="M3474" s="11" t="n">
        <x:f>'管线假设'!H751</x:f>
        <x:v>0.135</x:v>
      </x:c>
      <x:c r="N3474" s="11" t="n">
        <x:f>IF(G3474,L3474*AN3474/(1+M3474)^F3474,0)</x:f>
        <x:v>0</x:v>
      </x:c>
      <x:c r="AJ3474" t="n">
        <x:v>0</x:v>
      </x:c>
      <x:c r="AK3474" t="n">
        <x:v>0</x:v>
      </x:c>
      <x:c r="AL3474" t="n">
        <x:v>0</x:v>
      </x:c>
      <x:c r="AM3474" t="n">
        <x:f>CHOOSE('假设'!$B$3,AJ3474,AK3474,AL3474)</x:f>
        <x:v>0</x:v>
      </x:c>
      <x:c r="AN3474" t="n">
        <x:v>1</x:v>
      </x:c>
    </x:row>
    <x:row r="3475" ht="23" customHeight="1">
      <x:c r="A3475" s="11" t="str">
        <x:v>688382.SH</x:v>
      </x:c>
      <x:c r="B3475" s="11" t="str">
        <x:v>五年</x:v>
      </x:c>
      <x:c r="C3475" s="11" t="str">
        <x:v>g12c_first_cn</x:v>
      </x:c>
      <x:c r="D3475" s="11" t="str">
        <x:v>2027-12-31</x:v>
      </x:c>
      <x:c r="E3475" s="11" t="str">
        <x:v>CNY</x:v>
      </x:c>
      <x:c r="F3475" s="11" t="n">
        <x:v>-3.7727583846680357</x:v>
      </x:c>
      <x:c r="G3475" s="26" t="b">
        <x:v>0</x:v>
      </x:c>
      <x:c r="H3475" s="16" t="n">
        <x:v>0</x:v>
      </x:c>
      <x:c r="I3475" s="16" t="n">
        <x:v>0</x:v>
      </x:c>
      <x:c r="J3475" s="16" t="n">
        <x:v>0</x:v>
      </x:c>
      <x:c r="K3475" s="11" t="n">
        <x:f>CHOOSE('假设'!$B$3,H3475,I3475,J3475)</x:f>
        <x:v>0</x:v>
      </x:c>
      <x:c r="L3475" s="11" t="n">
        <x:f>K3475*'管线假设'!E755*'管线假设'!F755*'管线假设'!G755*IF(E3475="USD",'管线假设'!I755,1)-AM3475</x:f>
        <x:v>0</x:v>
      </x:c>
      <x:c r="M3475" s="11" t="n">
        <x:f>'管线假设'!H755</x:f>
        <x:v>0.135</x:v>
      </x:c>
      <x:c r="N3475" s="11" t="n">
        <x:f>IF(G3475,L3475*AN3475/(1+M3475)^F3475,0)</x:f>
        <x:v>0</x:v>
      </x:c>
      <x:c r="AJ3475" t="n">
        <x:v>0</x:v>
      </x:c>
      <x:c r="AK3475" t="n">
        <x:v>0</x:v>
      </x:c>
      <x:c r="AL3475" t="n">
        <x:v>0</x:v>
      </x:c>
      <x:c r="AM3475" t="n">
        <x:f>CHOOSE('假设'!$B$3,AJ3475,AK3475,AL3475)</x:f>
        <x:v>0</x:v>
      </x:c>
      <x:c r="AN3475" t="n">
        <x:v>1</x:v>
      </x:c>
    </x:row>
    <x:row r="3476" ht="23" customHeight="1">
      <x:c r="A3476" s="11" t="str">
        <x:v>688382.SH</x:v>
      </x:c>
      <x:c r="B3476" s="11" t="str">
        <x:v>五年</x:v>
      </x:c>
      <x:c r="C3476" s="11" t="str">
        <x:v>g12c_first_cn</x:v>
      </x:c>
      <x:c r="D3476" s="11" t="str">
        <x:v>2028-12-31</x:v>
      </x:c>
      <x:c r="E3476" s="11" t="str">
        <x:v>CNY</x:v>
      </x:c>
      <x:c r="F3476" s="11" t="n">
        <x:v>-2.7707049965776864</x:v>
      </x:c>
      <x:c r="G3476" s="26" t="b">
        <x:v>0</x:v>
      </x:c>
      <x:c r="H3476" s="16" t="n">
        <x:v>0</x:v>
      </x:c>
      <x:c r="I3476" s="16" t="n">
        <x:v>0</x:v>
      </x:c>
      <x:c r="J3476" s="16" t="n">
        <x:v>0.52</x:v>
      </x:c>
      <x:c r="K3476" s="11" t="n">
        <x:f>CHOOSE('假设'!$B$3,H3476,I3476,J3476)</x:f>
        <x:v>0</x:v>
      </x:c>
      <x:c r="L3476" s="11" t="n">
        <x:f>K3476*'管线假设'!E755*'管线假设'!F755*'管线假设'!G755*IF(E3476="USD",'管线假设'!I755,1)-AM3476</x:f>
        <x:v>0</x:v>
      </x:c>
      <x:c r="M3476" s="11" t="n">
        <x:f>'管线假设'!H755</x:f>
        <x:v>0.135</x:v>
      </x:c>
      <x:c r="N3476" s="11" t="n">
        <x:f>IF(G3476,L3476*AN3476/(1+M3476)^F3476,0)</x:f>
        <x:v>0</x:v>
      </x:c>
      <x:c r="AJ3476" t="n">
        <x:v>0</x:v>
      </x:c>
      <x:c r="AK3476" t="n">
        <x:v>0</x:v>
      </x:c>
      <x:c r="AL3476" t="n">
        <x:v>0</x:v>
      </x:c>
      <x:c r="AM3476" t="n">
        <x:f>CHOOSE('假设'!$B$3,AJ3476,AK3476,AL3476)</x:f>
        <x:v>0</x:v>
      </x:c>
      <x:c r="AN3476" t="n">
        <x:v>1</x:v>
      </x:c>
    </x:row>
    <x:row r="3477" ht="23" customHeight="1">
      <x:c r="A3477" s="11" t="str">
        <x:v>688382.SH</x:v>
      </x:c>
      <x:c r="B3477" s="11" t="str">
        <x:v>五年</x:v>
      </x:c>
      <x:c r="C3477" s="11" t="str">
        <x:v>g12c_first_cn</x:v>
      </x:c>
      <x:c r="D3477" s="11" t="str">
        <x:v>2029-12-31</x:v>
      </x:c>
      <x:c r="E3477" s="11" t="str">
        <x:v>CNY</x:v>
      </x:c>
      <x:c r="F3477" s="11" t="n">
        <x:v>-1.7713894592744694</x:v>
      </x:c>
      <x:c r="G3477" s="26" t="b">
        <x:v>0</x:v>
      </x:c>
      <x:c r="H3477" s="16" t="n">
        <x:v>0</x:v>
      </x:c>
      <x:c r="I3477" s="16" t="n">
        <x:v>0.26666666666666666</x:v>
      </x:c>
      <x:c r="J3477" s="16" t="n">
        <x:v>1.04</x:v>
      </x:c>
      <x:c r="K3477" s="11" t="n">
        <x:f>CHOOSE('假设'!$B$3,H3477,I3477,J3477)</x:f>
        <x:v>0.26666666666666666</x:v>
      </x:c>
      <x:c r="L3477" s="11" t="n">
        <x:f>K3477*'管线假设'!E755*'管线假设'!F755*'管线假设'!G755*IF(E3477="USD",'管线假设'!I755,1)-AM3477</x:f>
        <x:v>0.014475733333333336</x:v>
      </x:c>
      <x:c r="M3477" s="11" t="n">
        <x:f>'管线假设'!H755</x:f>
        <x:v>0.135</x:v>
      </x:c>
      <x:c r="N3477" s="11" t="n">
        <x:f>IF(G3477,L3477*AN3477/(1+M3477)^F3477,0)</x:f>
        <x:v>0</x:v>
      </x:c>
      <x:c r="AJ3477" t="n">
        <x:v>0</x:v>
      </x:c>
      <x:c r="AK3477" t="n">
        <x:v>0</x:v>
      </x:c>
      <x:c r="AL3477" t="n">
        <x:v>0</x:v>
      </x:c>
      <x:c r="AM3477" t="n">
        <x:f>CHOOSE('假设'!$B$3,AJ3477,AK3477,AL3477)</x:f>
        <x:v>0</x:v>
      </x:c>
      <x:c r="AN3477" t="n">
        <x:v>1</x:v>
      </x:c>
    </x:row>
    <x:row r="3478" ht="23" customHeight="1">
      <x:c r="A3478" s="11" t="str">
        <x:v>688382.SH</x:v>
      </x:c>
      <x:c r="B3478" s="11" t="str">
        <x:v>五年</x:v>
      </x:c>
      <x:c r="C3478" s="11" t="str">
        <x:v>g12c_first_cn</x:v>
      </x:c>
      <x:c r="D3478" s="11" t="str">
        <x:v>2030-12-31</x:v>
      </x:c>
      <x:c r="E3478" s="11" t="str">
        <x:v>CNY</x:v>
      </x:c>
      <x:c r="F3478" s="11" t="n">
        <x:v>-0.7720739219712526</x:v>
      </x:c>
      <x:c r="G3478" s="26" t="b">
        <x:v>0</x:v>
      </x:c>
      <x:c r="H3478" s="16" t="n">
        <x:v>0</x:v>
      </x:c>
      <x:c r="I3478" s="16" t="n">
        <x:v>0.5333333333333333</x:v>
      </x:c>
      <x:c r="J3478" s="16" t="n">
        <x:v>1.56</x:v>
      </x:c>
      <x:c r="K3478" s="11" t="n">
        <x:f>CHOOSE('假设'!$B$3,H3478,I3478,J3478)</x:f>
        <x:v>0.5333333333333333</x:v>
      </x:c>
      <x:c r="L3478" s="11" t="n">
        <x:f>K3478*'管线假设'!E755*'管线假设'!F755*'管线假设'!G755*IF(E3478="USD",'管线假设'!I755,1)-AM3478</x:f>
        <x:v>0.028951466666666672</x:v>
      </x:c>
      <x:c r="M3478" s="11" t="n">
        <x:f>'管线假设'!H755</x:f>
        <x:v>0.135</x:v>
      </x:c>
      <x:c r="N3478" s="11" t="n">
        <x:f>IF(G3478,L3478*AN3478/(1+M3478)^F3478,0)</x:f>
        <x:v>0</x:v>
      </x:c>
      <x:c r="AJ3478" t="n">
        <x:v>0</x:v>
      </x:c>
      <x:c r="AK3478" t="n">
        <x:v>0</x:v>
      </x:c>
      <x:c r="AL3478" t="n">
        <x:v>0</x:v>
      </x:c>
      <x:c r="AM3478" t="n">
        <x:f>CHOOSE('假设'!$B$3,AJ3478,AK3478,AL3478)</x:f>
        <x:v>0</x:v>
      </x:c>
      <x:c r="AN3478" t="n">
        <x:v>1</x:v>
      </x:c>
    </x:row>
    <x:row r="3479" ht="23" customHeight="1">
      <x:c r="A3479" s="11" t="str">
        <x:v>688382.SH</x:v>
      </x:c>
      <x:c r="B3479" s="11" t="str">
        <x:v>五年</x:v>
      </x:c>
      <x:c r="C3479" s="11" t="str">
        <x:v>g12c_first_cn</x:v>
      </x:c>
      <x:c r="D3479" s="11" t="str">
        <x:v>2031-12-31</x:v>
      </x:c>
      <x:c r="E3479" s="11" t="str">
        <x:v>CNY</x:v>
      </x:c>
      <x:c r="F3479" s="11" t="n">
        <x:v>0.2272416153319644</x:v>
      </x:c>
      <x:c r="G3479" s="26" t="b">
        <x:v>1</x:v>
      </x:c>
      <x:c r="H3479" s="16" t="n">
        <x:v>0</x:v>
      </x:c>
      <x:c r="I3479" s="16" t="n">
        <x:v>0.8</x:v>
      </x:c>
      <x:c r="J3479" s="16" t="n">
        <x:v>2.08</x:v>
      </x:c>
      <x:c r="K3479" s="11" t="n">
        <x:f>CHOOSE('假设'!$B$3,H3479,I3479,J3479)</x:f>
        <x:v>0.8</x:v>
      </x:c>
      <x:c r="L3479" s="11" t="n">
        <x:f>K3479*'管线假设'!E755*'管线假设'!F755*'管线假设'!G755*IF(E3479="USD",'管线假设'!I755,1)-AM3479</x:f>
        <x:v>0.043427200000000006</x:v>
      </x:c>
      <x:c r="M3479" s="11" t="n">
        <x:f>'管线假设'!H755</x:f>
        <x:v>0.135</x:v>
      </x:c>
      <x:c r="N3479" s="11" t="n">
        <x:f>IF(G3479,L3479*AN3479/(1+M3479)^F3479,0)</x:f>
        <x:v>0.04219533900203066</x:v>
      </x:c>
      <x:c r="AJ3479" t="n">
        <x:v>0</x:v>
      </x:c>
      <x:c r="AK3479" t="n">
        <x:v>0</x:v>
      </x:c>
      <x:c r="AL3479" t="n">
        <x:v>0</x:v>
      </x:c>
      <x:c r="AM3479" t="n">
        <x:f>CHOOSE('假设'!$B$3,AJ3479,AK3479,AL3479)</x:f>
        <x:v>0</x:v>
      </x:c>
      <x:c r="AN3479" t="n">
        <x:v>1</x:v>
      </x:c>
    </x:row>
    <x:row r="3480" ht="23" customHeight="1">
      <x:c r="A3480" s="11" t="str">
        <x:v>688382.SH</x:v>
      </x:c>
      <x:c r="B3480" s="11" t="str">
        <x:v>五年</x:v>
      </x:c>
      <x:c r="C3480" s="11" t="str">
        <x:v>g12c_first_cn</x:v>
      </x:c>
      <x:c r="D3480" s="11" t="str">
        <x:v>2032-12-31</x:v>
      </x:c>
      <x:c r="E3480" s="11" t="str">
        <x:v>CNY</x:v>
      </x:c>
      <x:c r="F3480" s="11" t="n">
        <x:v>1.2292950034223136</x:v>
      </x:c>
      <x:c r="G3480" s="26" t="b">
        <x:v>1</x:v>
      </x:c>
      <x:c r="H3480" s="16" t="n">
        <x:v>0.13999999999999999</x:v>
      </x:c>
      <x:c r="I3480" s="16" t="n">
        <x:v>1.0666666666666667</x:v>
      </x:c>
      <x:c r="J3480" s="16" t="n">
        <x:v>2.6</x:v>
      </x:c>
      <x:c r="K3480" s="11" t="n">
        <x:f>CHOOSE('假设'!$B$3,H3480,I3480,J3480)</x:f>
        <x:v>1.0666666666666667</x:v>
      </x:c>
      <x:c r="L3480" s="11" t="n">
        <x:f>K3480*'管线假设'!E755*'管线假设'!F755*'管线假设'!G755*IF(E3480="USD",'管线假设'!I755,1)-AM3480</x:f>
        <x:v>0.057902933333333344</x:v>
      </x:c>
      <x:c r="M3480" s="11" t="n">
        <x:f>'管线假设'!H755</x:f>
        <x:v>0.135</x:v>
      </x:c>
      <x:c r="N3480" s="11" t="n">
        <x:f>IF(G3480,L3480*AN3480/(1+M3480)^F3480,0)</x:f>
        <x:v>0.0495557927097022</x:v>
      </x:c>
      <x:c r="AJ3480" t="n">
        <x:v>0</x:v>
      </x:c>
      <x:c r="AK3480" t="n">
        <x:v>0</x:v>
      </x:c>
      <x:c r="AL3480" t="n">
        <x:v>0</x:v>
      </x:c>
      <x:c r="AM3480" t="n">
        <x:f>CHOOSE('假设'!$B$3,AJ3480,AK3480,AL3480)</x:f>
        <x:v>0</x:v>
      </x:c>
      <x:c r="AN3480" t="n">
        <x:v>1</x:v>
      </x:c>
    </x:row>
    <x:row r="3481" ht="23" customHeight="1">
      <x:c r="A3481" s="11" t="str">
        <x:v>688382.SH</x:v>
      </x:c>
      <x:c r="B3481" s="11" t="str">
        <x:v>五年</x:v>
      </x:c>
      <x:c r="C3481" s="11" t="str">
        <x:v>g12c_first_cn</x:v>
      </x:c>
      <x:c r="D3481" s="11" t="str">
        <x:v>2033-12-31</x:v>
      </x:c>
      <x:c r="E3481" s="11" t="str">
        <x:v>CNY</x:v>
      </x:c>
      <x:c r="F3481" s="11" t="n">
        <x:v>2.2286105407255303</x:v>
      </x:c>
      <x:c r="G3481" s="26" t="b">
        <x:v>1</x:v>
      </x:c>
      <x:c r="H3481" s="16" t="n">
        <x:v>0.27999999999999997</x:v>
      </x:c>
      <x:c r="I3481" s="16" t="n">
        <x:v>1.3333333333333335</x:v>
      </x:c>
      <x:c r="J3481" s="16" t="n">
        <x:v>2.262</x:v>
      </x:c>
      <x:c r="K3481" s="11" t="n">
        <x:f>CHOOSE('假设'!$B$3,H3481,I3481,J3481)</x:f>
        <x:v>1.3333333333333335</x:v>
      </x:c>
      <x:c r="L3481" s="11" t="n">
        <x:f>K3481*'管线假设'!E755*'管线假设'!F755*'管线假设'!G755*IF(E3481="USD",'管线假设'!I755,1)-AM3481</x:f>
        <x:v>0.07237866666666669</x:v>
      </x:c>
      <x:c r="M3481" s="11" t="n">
        <x:f>'管线假设'!H755</x:f>
        <x:v>0.135</x:v>
      </x:c>
      <x:c r="N3481" s="11" t="n">
        <x:f>IF(G3481,L3481*AN3481/(1+M3481)^F3481,0)</x:f>
        <x:v>0.05458159489023199</x:v>
      </x:c>
      <x:c r="AJ3481" t="n">
        <x:v>0</x:v>
      </x:c>
      <x:c r="AK3481" t="n">
        <x:v>0</x:v>
      </x:c>
      <x:c r="AL3481" t="n">
        <x:v>0</x:v>
      </x:c>
      <x:c r="AM3481" t="n">
        <x:f>CHOOSE('假设'!$B$3,AJ3481,AK3481,AL3481)</x:f>
        <x:v>0</x:v>
      </x:c>
      <x:c r="AN3481" t="n">
        <x:v>1</x:v>
      </x:c>
    </x:row>
    <x:row r="3482" ht="23" customHeight="1">
      <x:c r="A3482" s="11" t="str">
        <x:v>688382.SH</x:v>
      </x:c>
      <x:c r="B3482" s="11" t="str">
        <x:v>五年</x:v>
      </x:c>
      <x:c r="C3482" s="11" t="str">
        <x:v>g12c_first_cn</x:v>
      </x:c>
      <x:c r="D3482" s="11" t="str">
        <x:v>2034-12-31</x:v>
      </x:c>
      <x:c r="E3482" s="11" t="str">
        <x:v>CNY</x:v>
      </x:c>
      <x:c r="F3482" s="11" t="n">
        <x:v>3.2279260780287475</x:v>
      </x:c>
      <x:c r="G3482" s="26" t="b">
        <x:v>1</x:v>
      </x:c>
      <x:c r="H3482" s="16" t="n">
        <x:v>0.42</x:v>
      </x:c>
      <x:c r="I3482" s="16" t="n">
        <x:v>1.6</x:v>
      </x:c>
      <x:c r="J3482" s="16" t="n">
        <x:v>1.924</x:v>
      </x:c>
      <x:c r="K3482" s="11" t="n">
        <x:f>CHOOSE('假设'!$B$3,H3482,I3482,J3482)</x:f>
        <x:v>1.6</x:v>
      </x:c>
      <x:c r="L3482" s="11" t="n">
        <x:f>K3482*'管线假设'!E755*'管线假设'!F755*'管线假设'!G755*IF(E3482="USD",'管线假设'!I755,1)-AM3482</x:f>
        <x:v>0.08685440000000001</x:v>
      </x:c>
      <x:c r="M3482" s="11" t="n">
        <x:f>'管线假设'!H755</x:f>
        <x:v>0.135</x:v>
      </x:c>
      <x:c r="N3482" s="11" t="n">
        <x:f>IF(G3482,L3482*AN3482/(1+M3482)^F3482,0)</x:f>
        <x:v>0.05771241512540681</x:v>
      </x:c>
      <x:c r="AJ3482" t="n">
        <x:v>0</x:v>
      </x:c>
      <x:c r="AK3482" t="n">
        <x:v>0</x:v>
      </x:c>
      <x:c r="AL3482" t="n">
        <x:v>0</x:v>
      </x:c>
      <x:c r="AM3482" t="n">
        <x:f>CHOOSE('假设'!$B$3,AJ3482,AK3482,AL3482)</x:f>
        <x:v>0</x:v>
      </x:c>
      <x:c r="AN3482" t="n">
        <x:v>1</x:v>
      </x:c>
    </x:row>
    <x:row r="3483" ht="23" customHeight="1">
      <x:c r="A3483" s="11" t="str">
        <x:v>688382.SH</x:v>
      </x:c>
      <x:c r="B3483" s="11" t="str">
        <x:v>五年</x:v>
      </x:c>
      <x:c r="C3483" s="11" t="str">
        <x:v>g12c_first_cn</x:v>
      </x:c>
      <x:c r="D3483" s="11" t="str">
        <x:v>2035-12-31</x:v>
      </x:c>
      <x:c r="E3483" s="11" t="str">
        <x:v>CNY</x:v>
      </x:c>
      <x:c r="F3483" s="11" t="n">
        <x:v>4.227241615331964</x:v>
      </x:c>
      <x:c r="G3483" s="26" t="b">
        <x:v>1</x:v>
      </x:c>
      <x:c r="H3483" s="16" t="n">
        <x:v>0.5599999999999999</x:v>
      </x:c>
      <x:c r="I3483" s="16" t="n">
        <x:v>1.3920000000000001</x:v>
      </x:c>
      <x:c r="J3483" s="16" t="n">
        <x:v>1.586</x:v>
      </x:c>
      <x:c r="K3483" s="11" t="n">
        <x:f>CHOOSE('假设'!$B$3,H3483,I3483,J3483)</x:f>
        <x:v>1.3920000000000001</x:v>
      </x:c>
      <x:c r="L3483" s="11" t="n">
        <x:f>K3483*'管线假设'!E755*'管线假设'!F755*'管线假设'!G755*IF(E3483="USD",'管线假设'!I755,1)-AM3483</x:f>
        <x:v>0.07556332800000001</x:v>
      </x:c>
      <x:c r="M3483" s="11" t="n">
        <x:f>'管线假设'!H755</x:f>
        <x:v>0.135</x:v>
      </x:c>
      <x:c r="N3483" s="11" t="n">
        <x:f>IF(G3483,L3483*AN3483/(1+M3483)^F3483,0)</x:f>
        <x:v>0.044241544756462116</x:v>
      </x:c>
      <x:c r="AJ3483" t="n">
        <x:v>0</x:v>
      </x:c>
      <x:c r="AK3483" t="n">
        <x:v>0</x:v>
      </x:c>
      <x:c r="AL3483" t="n">
        <x:v>0</x:v>
      </x:c>
      <x:c r="AM3483" t="n">
        <x:f>CHOOSE('假设'!$B$3,AJ3483,AK3483,AL3483)</x:f>
        <x:v>0</x:v>
      </x:c>
      <x:c r="AN3483" t="n">
        <x:v>1</x:v>
      </x:c>
    </x:row>
    <x:row r="3484" ht="23" customHeight="1">
      <x:c r="A3484" s="11" t="str">
        <x:v>688382.SH</x:v>
      </x:c>
      <x:c r="B3484" s="11" t="str">
        <x:v>五年</x:v>
      </x:c>
      <x:c r="C3484" s="11" t="str">
        <x:v>g12c_first_cn</x:v>
      </x:c>
      <x:c r="D3484" s="11" t="str">
        <x:v>2036-12-31</x:v>
      </x:c>
      <x:c r="E3484" s="11" t="str">
        <x:v>CNY</x:v>
      </x:c>
      <x:c r="F3484" s="11" t="n">
        <x:v>5.229295003422314</x:v>
      </x:c>
      <x:c r="G3484" s="26" t="b">
        <x:v>1</x:v>
      </x:c>
      <x:c r="H3484" s="16" t="n">
        <x:v>0.7</x:v>
      </x:c>
      <x:c r="I3484" s="16" t="n">
        <x:v>1.184</x:v>
      </x:c>
      <x:c r="J3484" s="16" t="n">
        <x:v>1.248</x:v>
      </x:c>
      <x:c r="K3484" s="11" t="n">
        <x:f>CHOOSE('假设'!$B$3,H3484,I3484,J3484)</x:f>
        <x:v>1.184</x:v>
      </x:c>
      <x:c r="L3484" s="11" t="n">
        <x:f>K3484*'管线假设'!E755*'管线假设'!F755*'管线假设'!G755*IF(E3484="USD",'管线假设'!I755,1)-AM3484</x:f>
        <x:v>0.064272256</x:v>
      </x:c>
      <x:c r="M3484" s="11" t="n">
        <x:f>'管线假设'!H755</x:f>
        <x:v>0.135</x:v>
      </x:c>
      <x:c r="N3484" s="11" t="n">
        <x:f>IF(G3484,L3484*AN3484/(1+M3484)^F3484,0)</x:f>
        <x:v>0.03314621631758791</x:v>
      </x:c>
      <x:c r="AJ3484" t="n">
        <x:v>0</x:v>
      </x:c>
      <x:c r="AK3484" t="n">
        <x:v>0</x:v>
      </x:c>
      <x:c r="AL3484" t="n">
        <x:v>0</x:v>
      </x:c>
      <x:c r="AM3484" t="n">
        <x:f>CHOOSE('假设'!$B$3,AJ3484,AK3484,AL3484)</x:f>
        <x:v>0</x:v>
      </x:c>
      <x:c r="AN3484" t="n">
        <x:v>1</x:v>
      </x:c>
    </x:row>
    <x:row r="3485" ht="23" customHeight="1">
      <x:c r="A3485" s="11" t="str">
        <x:v>688382.SH</x:v>
      </x:c>
      <x:c r="B3485" s="11" t="str">
        <x:v>五年</x:v>
      </x:c>
      <x:c r="C3485" s="11" t="str">
        <x:v>g12c_first_cn</x:v>
      </x:c>
      <x:c r="D3485" s="11" t="str">
        <x:v>2037-12-31</x:v>
      </x:c>
      <x:c r="E3485" s="11" t="str">
        <x:v>CNY</x:v>
      </x:c>
      <x:c r="F3485" s="11" t="n">
        <x:v>6.228610540725531</x:v>
      </x:c>
      <x:c r="G3485" s="26" t="b">
        <x:v>1</x:v>
      </x:c>
      <x:c r="H3485" s="16" t="n">
        <x:v>0.609</x:v>
      </x:c>
      <x:c r="I3485" s="16" t="n">
        <x:v>0.976</x:v>
      </x:c>
      <x:c r="J3485" s="16" t="n">
        <x:v>0.9099999999999999</x:v>
      </x:c>
      <x:c r="K3485" s="11" t="n">
        <x:f>CHOOSE('假设'!$B$3,H3485,I3485,J3485)</x:f>
        <x:v>0.976</x:v>
      </x:c>
      <x:c r="L3485" s="11" t="n">
        <x:f>K3485*'管线假设'!E755*'管线假设'!F755*'管线假设'!G755*IF(E3485="USD",'管线假设'!I755,1)-AM3485</x:f>
        <x:v>0.052981184</x:v>
      </x:c>
      <x:c r="M3485" s="11" t="n">
        <x:f>'管线假设'!H755</x:f>
        <x:v>0.135</x:v>
      </x:c>
      <x:c r="N3485" s="11" t="n">
        <x:f>IF(G3485,L3485*AN3485/(1+M3485)^F3485,0)</x:f>
        <x:v>0.02407541913886112</x:v>
      </x:c>
      <x:c r="AJ3485" t="n">
        <x:v>0</x:v>
      </x:c>
      <x:c r="AK3485" t="n">
        <x:v>0</x:v>
      </x:c>
      <x:c r="AL3485" t="n">
        <x:v>0</x:v>
      </x:c>
      <x:c r="AM3485" t="n">
        <x:f>CHOOSE('假设'!$B$3,AJ3485,AK3485,AL3485)</x:f>
        <x:v>0</x:v>
      </x:c>
      <x:c r="AN3485" t="n">
        <x:v>1</x:v>
      </x:c>
    </x:row>
    <x:row r="3486" ht="23" customHeight="1">
      <x:c r="A3486" s="11" t="str">
        <x:v>688382.SH</x:v>
      </x:c>
      <x:c r="B3486" s="11" t="str">
        <x:v>五年</x:v>
      </x:c>
      <x:c r="C3486" s="11" t="str">
        <x:v>g12c_first_cn</x:v>
      </x:c>
      <x:c r="D3486" s="11" t="str">
        <x:v>2038-12-31</x:v>
      </x:c>
      <x:c r="E3486" s="11" t="str">
        <x:v>CNY</x:v>
      </x:c>
      <x:c r="F3486" s="11" t="n">
        <x:v>7.227926078028747</x:v>
      </x:c>
      <x:c r="G3486" s="26" t="b">
        <x:v>1</x:v>
      </x:c>
      <x:c r="H3486" s="16" t="n">
        <x:v>0.518</x:v>
      </x:c>
      <x:c r="I3486" s="16" t="n">
        <x:v>0.768</x:v>
      </x:c>
      <x:c r="J3486" s="16" t="n">
        <x:v>0.572</x:v>
      </x:c>
      <x:c r="K3486" s="11" t="n">
        <x:f>CHOOSE('假设'!$B$3,H3486,I3486,J3486)</x:f>
        <x:v>0.768</x:v>
      </x:c>
      <x:c r="L3486" s="11" t="n">
        <x:f>K3486*'管线假设'!E755*'管线假设'!F755*'管线假设'!G755*IF(E3486="USD",'管线假设'!I755,1)-AM3486</x:f>
        <x:v>0.04169011200000001</x:v>
      </x:c>
      <x:c r="M3486" s="11" t="n">
        <x:f>'管线假设'!H755</x:f>
        <x:v>0.135</x:v>
      </x:c>
      <x:c r="N3486" s="11" t="n">
        <x:f>IF(G3486,L3486*AN3486/(1+M3486)^F3486,0)</x:f>
        <x:v>0.016692717364866917</x:v>
      </x:c>
      <x:c r="AJ3486" t="n">
        <x:v>0</x:v>
      </x:c>
      <x:c r="AK3486" t="n">
        <x:v>0</x:v>
      </x:c>
      <x:c r="AL3486" t="n">
        <x:v>0</x:v>
      </x:c>
      <x:c r="AM3486" t="n">
        <x:f>CHOOSE('假设'!$B$3,AJ3486,AK3486,AL3486)</x:f>
        <x:v>0</x:v>
      </x:c>
      <x:c r="AN3486" t="n">
        <x:v>1</x:v>
      </x:c>
    </x:row>
    <x:row r="3487" ht="23" customHeight="1">
      <x:c r="A3487" s="11" t="str">
        <x:v>688382.SH</x:v>
      </x:c>
      <x:c r="B3487" s="11" t="str">
        <x:v>五年</x:v>
      </x:c>
      <x:c r="C3487" s="11" t="str">
        <x:v>g12c_first_cn</x:v>
      </x:c>
      <x:c r="D3487" s="11" t="str">
        <x:v>2039-12-31</x:v>
      </x:c>
      <x:c r="E3487" s="11" t="str">
        <x:v>CNY</x:v>
      </x:c>
      <x:c r="F3487" s="11" t="n">
        <x:v>8.227241615331964</x:v>
      </x:c>
      <x:c r="G3487" s="26" t="b">
        <x:v>1</x:v>
      </x:c>
      <x:c r="H3487" s="16" t="n">
        <x:v>0.427</x:v>
      </x:c>
      <x:c r="I3487" s="16" t="n">
        <x:v>0.5599999999999999</x:v>
      </x:c>
      <x:c r="J3487" s="16" t="n">
        <x:v>0.23399999999999993</x:v>
      </x:c>
      <x:c r="K3487" s="11" t="n">
        <x:f>CHOOSE('假设'!$B$3,H3487,I3487,J3487)</x:f>
        <x:v>0.5599999999999999</x:v>
      </x:c>
      <x:c r="L3487" s="11" t="n">
        <x:f>K3487*'管线假设'!E755*'管线假设'!F755*'管线假设'!G755*IF(E3487="USD",'管线假设'!I755,1)-AM3487</x:f>
        <x:v>0.030399040000000002</x:v>
      </x:c>
      <x:c r="M3487" s="11" t="n">
        <x:f>'管线假设'!H755</x:f>
        <x:v>0.135</x:v>
      </x:c>
      <x:c r="N3487" s="11" t="n">
        <x:f>IF(G3487,L3487*AN3487/(1+M3487)^F3487,0)</x:f>
        <x:v>0.010724958693099258</x:v>
      </x:c>
      <x:c r="AJ3487" t="n">
        <x:v>0</x:v>
      </x:c>
      <x:c r="AK3487" t="n">
        <x:v>0</x:v>
      </x:c>
      <x:c r="AL3487" t="n">
        <x:v>0</x:v>
      </x:c>
      <x:c r="AM3487" t="n">
        <x:f>CHOOSE('假设'!$B$3,AJ3487,AK3487,AL3487)</x:f>
        <x:v>0</x:v>
      </x:c>
      <x:c r="AN3487" t="n">
        <x:v>1</x:v>
      </x:c>
    </x:row>
    <x:row r="3488" ht="23" customHeight="1">
      <x:c r="A3488" s="11" t="str">
        <x:v>688382.SH</x:v>
      </x:c>
      <x:c r="B3488" s="11" t="str">
        <x:v>五年</x:v>
      </x:c>
      <x:c r="C3488" s="11" t="str">
        <x:v>g12c_first_cn</x:v>
      </x:c>
      <x:c r="D3488" s="11" t="str">
        <x:v>2040-12-31</x:v>
      </x:c>
      <x:c r="E3488" s="11" t="str">
        <x:v>CNY</x:v>
      </x:c>
      <x:c r="F3488" s="11" t="n">
        <x:v>9.229295003422314</x:v>
      </x:c>
      <x:c r="G3488" s="26" t="b">
        <x:v>1</x:v>
      </x:c>
      <x:c r="H3488" s="16" t="n">
        <x:v>0.33599999999999997</x:v>
      </x:c>
      <x:c r="I3488" s="16" t="n">
        <x:v>0.352</x:v>
      </x:c>
      <x:c r="J3488" s="16" t="n">
        <x:v>0</x:v>
      </x:c>
      <x:c r="K3488" s="11" t="n">
        <x:f>CHOOSE('假设'!$B$3,H3488,I3488,J3488)</x:f>
        <x:v>0.352</x:v>
      </x:c>
      <x:c r="L3488" s="11" t="n">
        <x:f>K3488*'管线假设'!E755*'管线假设'!F755*'管线假设'!G755*IF(E3488="USD",'管线假设'!I755,1)-AM3488</x:f>
        <x:v>0.019107968</x:v>
      </x:c>
      <x:c r="M3488" s="11" t="n">
        <x:f>'管线假设'!H755</x:f>
        <x:v>0.135</x:v>
      </x:c>
      <x:c r="N3488" s="11" t="n">
        <x:f>IF(G3488,L3488*AN3488/(1+M3488)^F3488,0)</x:f>
        <x:v>0.005938017528788576</x:v>
      </x:c>
      <x:c r="AJ3488" t="n">
        <x:v>0</x:v>
      </x:c>
      <x:c r="AK3488" t="n">
        <x:v>0</x:v>
      </x:c>
      <x:c r="AL3488" t="n">
        <x:v>0</x:v>
      </x:c>
      <x:c r="AM3488" t="n">
        <x:f>CHOOSE('假设'!$B$3,AJ3488,AK3488,AL3488)</x:f>
        <x:v>0</x:v>
      </x:c>
      <x:c r="AN3488" t="n">
        <x:v>1</x:v>
      </x:c>
    </x:row>
    <x:row r="3489" ht="23" customHeight="1">
      <x:c r="A3489" s="11" t="str">
        <x:v>688382.SH</x:v>
      </x:c>
      <x:c r="B3489" s="11" t="str">
        <x:v>五年</x:v>
      </x:c>
      <x:c r="C3489" s="11" t="str">
        <x:v>g12c_first_cn</x:v>
      </x:c>
      <x:c r="D3489" s="11" t="str">
        <x:v>2041-12-31</x:v>
      </x:c>
      <x:c r="E3489" s="11" t="str">
        <x:v>CNY</x:v>
      </x:c>
      <x:c r="F3489" s="11" t="n">
        <x:v>10.22861054072553</x:v>
      </x:c>
      <x:c r="G3489" s="26" t="b">
        <x:v>1</x:v>
      </x:c>
      <x:c r="H3489" s="16" t="n">
        <x:v>0.24499999999999997</x:v>
      </x:c>
      <x:c r="I3489" s="16" t="n">
        <x:v>0.14399999999999996</x:v>
      </x:c>
      <x:c r="J3489" s="16" t="n">
        <x:v>0</x:v>
      </x:c>
      <x:c r="K3489" s="11" t="n">
        <x:f>CHOOSE('假设'!$B$3,H3489,I3489,J3489)</x:f>
        <x:v>0.14399999999999996</x:v>
      </x:c>
      <x:c r="L3489" s="11" t="n">
        <x:f>K3489*'管线假设'!E755*'管线假设'!F755*'管线假设'!G755*IF(E3489="USD",'管线假设'!I755,1)-AM3489</x:f>
        <x:v>0.007816895999999999</x:v>
      </x:c>
      <x:c r="M3489" s="11" t="n">
        <x:f>'管线假设'!H755</x:f>
        <x:v>0.135</x:v>
      </x:c>
      <x:c r="N3489" s="11" t="n">
        <x:f>IF(G3489,L3489*AN3489/(1+M3489)^F3489,0)</x:f>
        <x:v>0.002140440131208694</x:v>
      </x:c>
      <x:c r="AJ3489" t="n">
        <x:v>0</x:v>
      </x:c>
      <x:c r="AK3489" t="n">
        <x:v>0</x:v>
      </x:c>
      <x:c r="AL3489" t="n">
        <x:v>0</x:v>
      </x:c>
      <x:c r="AM3489" t="n">
        <x:f>CHOOSE('假设'!$B$3,AJ3489,AK3489,AL3489)</x:f>
        <x:v>0</x:v>
      </x:c>
      <x:c r="AN3489" t="n">
        <x:v>1</x:v>
      </x:c>
    </x:row>
    <x:row r="3490" ht="23" customHeight="1">
      <x:c r="A3490" s="11" t="str">
        <x:v>688382.SH</x:v>
      </x:c>
      <x:c r="B3490" s="11" t="str">
        <x:v>五年</x:v>
      </x:c>
      <x:c r="C3490" s="11" t="str">
        <x:v>g12c_first_cn</x:v>
      </x:c>
      <x:c r="D3490" s="11" t="str">
        <x:v>2042-12-31</x:v>
      </x:c>
      <x:c r="E3490" s="11" t="str">
        <x:v>CNY</x:v>
      </x:c>
      <x:c r="F3490" s="11" t="n">
        <x:v>11.227926078028748</x:v>
      </x:c>
      <x:c r="G3490" s="26" t="b">
        <x:v>1</x:v>
      </x:c>
      <x:c r="H3490" s="16" t="n">
        <x:v>0.15399999999999997</x:v>
      </x:c>
      <x:c r="I3490" s="16" t="n">
        <x:v>0</x:v>
      </x:c>
      <x:c r="J3490" s="16" t="n">
        <x:v>0</x:v>
      </x:c>
      <x:c r="K3490" s="11" t="n">
        <x:f>CHOOSE('假设'!$B$3,H3490,I3490,J3490)</x:f>
        <x:v>0</x:v>
      </x:c>
      <x:c r="L3490" s="11" t="n">
        <x:f>K3490*'管线假设'!E755*'管线假设'!F755*'管线假设'!G755*IF(E3490="USD",'管线假设'!I755,1)-AM3490</x:f>
        <x:v>0</x:v>
      </x:c>
      <x:c r="M3490" s="11" t="n">
        <x:f>'管线假设'!H755</x:f>
        <x:v>0.135</x:v>
      </x:c>
      <x:c r="N3490" s="11" t="n">
        <x:f>IF(G3490,L3490*AN3490/(1+M3490)^F3490,0)</x:f>
        <x:v>0</x:v>
      </x:c>
      <x:c r="AJ3490" t="n">
        <x:v>0</x:v>
      </x:c>
      <x:c r="AK3490" t="n">
        <x:v>0</x:v>
      </x:c>
      <x:c r="AL3490" t="n">
        <x:v>0</x:v>
      </x:c>
      <x:c r="AM3490" t="n">
        <x:f>CHOOSE('假设'!$B$3,AJ3490,AK3490,AL3490)</x:f>
        <x:v>0</x:v>
      </x:c>
      <x:c r="AN3490" t="n">
        <x:v>1</x:v>
      </x:c>
    </x:row>
    <x:row r="3491" ht="23" customHeight="1">
      <x:c r="A3491" s="11" t="str">
        <x:v>688382.SH</x:v>
      </x:c>
      <x:c r="B3491" s="11" t="str">
        <x:v>五年</x:v>
      </x:c>
      <x:c r="C3491" s="11" t="str">
        <x:v>g12c_first_cn</x:v>
      </x:c>
      <x:c r="D3491" s="11" t="str">
        <x:v>2043-12-31</x:v>
      </x:c>
      <x:c r="E3491" s="11" t="str">
        <x:v>CNY</x:v>
      </x:c>
      <x:c r="F3491" s="11" t="n">
        <x:v>12.227241615331964</x:v>
      </x:c>
      <x:c r="G3491" s="26" t="b">
        <x:v>1</x:v>
      </x:c>
      <x:c r="H3491" s="16" t="n">
        <x:v>0.06299999999999997</x:v>
      </x:c>
      <x:c r="I3491" s="16" t="n">
        <x:v>0</x:v>
      </x:c>
      <x:c r="J3491" s="16" t="n">
        <x:v>0</x:v>
      </x:c>
      <x:c r="K3491" s="11" t="n">
        <x:f>CHOOSE('假设'!$B$3,H3491,I3491,J3491)</x:f>
        <x:v>0</x:v>
      </x:c>
      <x:c r="L3491" s="11" t="n">
        <x:f>K3491*'管线假设'!E755*'管线假设'!F755*'管线假设'!G755*IF(E3491="USD",'管线假设'!I755,1)-AM3491</x:f>
        <x:v>0</x:v>
      </x:c>
      <x:c r="M3491" s="11" t="n">
        <x:f>'管线假设'!H755</x:f>
        <x:v>0.135</x:v>
      </x:c>
      <x:c r="N3491" s="11" t="n">
        <x:f>IF(G3491,L3491*AN3491/(1+M3491)^F3491,0)</x:f>
        <x:v>0</x:v>
      </x:c>
      <x:c r="AJ3491" t="n">
        <x:v>0</x:v>
      </x:c>
      <x:c r="AK3491" t="n">
        <x:v>0</x:v>
      </x:c>
      <x:c r="AL3491" t="n">
        <x:v>0</x:v>
      </x:c>
      <x:c r="AM3491" t="n">
        <x:f>CHOOSE('假设'!$B$3,AJ3491,AK3491,AL3491)</x:f>
        <x:v>0</x:v>
      </x:c>
      <x:c r="AN3491" t="n">
        <x:v>1</x:v>
      </x:c>
    </x:row>
    <x:row r="3492" ht="23" customHeight="1">
      <x:c r="A3492" s="11" t="str">
        <x:v>688382.SH</x:v>
      </x:c>
      <x:c r="B3492" s="11" t="str">
        <x:v>五年</x:v>
      </x:c>
      <x:c r="C3492" s="11" t="str">
        <x:v>g12c_first_cn</x:v>
      </x:c>
      <x:c r="D3492" s="11" t="str">
        <x:v>2044-12-31</x:v>
      </x:c>
      <x:c r="E3492" s="11" t="str">
        <x:v>CNY</x:v>
      </x:c>
      <x:c r="F3492" s="11" t="n">
        <x:v>13.229295003422314</x:v>
      </x:c>
      <x:c r="G3492" s="26" t="b">
        <x:v>1</x:v>
      </x:c>
      <x:c r="H3492" s="16" t="n">
        <x:v>0</x:v>
      </x:c>
      <x:c r="I3492" s="16" t="n">
        <x:v>0</x:v>
      </x:c>
      <x:c r="J3492" s="16" t="n">
        <x:v>0</x:v>
      </x:c>
      <x:c r="K3492" s="11" t="n">
        <x:f>CHOOSE('假设'!$B$3,H3492,I3492,J3492)</x:f>
        <x:v>0</x:v>
      </x:c>
      <x:c r="L3492" s="11" t="n">
        <x:f>K3492*'管线假设'!E755*'管线假设'!F755*'管线假设'!G755*IF(E3492="USD",'管线假设'!I755,1)-AM3492</x:f>
        <x:v>0</x:v>
      </x:c>
      <x:c r="M3492" s="11" t="n">
        <x:f>'管线假设'!H755</x:f>
        <x:v>0.135</x:v>
      </x:c>
      <x:c r="N3492" s="11" t="n">
        <x:f>IF(G3492,L3492*AN3492/(1+M3492)^F3492,0)</x:f>
        <x:v>0</x:v>
      </x:c>
      <x:c r="AJ3492" t="n">
        <x:v>0</x:v>
      </x:c>
      <x:c r="AK3492" t="n">
        <x:v>0</x:v>
      </x:c>
      <x:c r="AL3492" t="n">
        <x:v>0</x:v>
      </x:c>
      <x:c r="AM3492" t="n">
        <x:f>CHOOSE('假设'!$B$3,AJ3492,AK3492,AL3492)</x:f>
        <x:v>0</x:v>
      </x:c>
      <x:c r="AN3492" t="n">
        <x:v>1</x:v>
      </x:c>
    </x:row>
    <x:row r="3493" ht="23" customHeight="1">
      <x:c r="A3493" s="11" t="str">
        <x:v>688382.SH</x:v>
      </x:c>
      <x:c r="B3493" s="11" t="str">
        <x:v>五年</x:v>
      </x:c>
      <x:c r="C3493" s="11" t="str">
        <x:v>g12c_first_cn</x:v>
      </x:c>
      <x:c r="D3493" s="11" t="str">
        <x:v>2045-12-31</x:v>
      </x:c>
      <x:c r="E3493" s="11" t="str">
        <x:v>CNY</x:v>
      </x:c>
      <x:c r="F3493" s="11" t="n">
        <x:v>14.22861054072553</x:v>
      </x:c>
      <x:c r="G3493" s="26" t="b">
        <x:v>1</x:v>
      </x:c>
      <x:c r="H3493" s="16" t="n">
        <x:v>0</x:v>
      </x:c>
      <x:c r="I3493" s="16" t="n">
        <x:v>0</x:v>
      </x:c>
      <x:c r="J3493" s="16" t="n">
        <x:v>0</x:v>
      </x:c>
      <x:c r="K3493" s="11" t="n">
        <x:f>CHOOSE('假设'!$B$3,H3493,I3493,J3493)</x:f>
        <x:v>0</x:v>
      </x:c>
      <x:c r="L3493" s="11" t="n">
        <x:f>K3493*'管线假设'!E755*'管线假设'!F755*'管线假设'!G755*IF(E3493="USD",'管线假设'!I755,1)-AM3493</x:f>
        <x:v>0</x:v>
      </x:c>
      <x:c r="M3493" s="11" t="n">
        <x:f>'管线假设'!H755</x:f>
        <x:v>0.135</x:v>
      </x:c>
      <x:c r="N3493" s="11" t="n">
        <x:f>IF(G3493,L3493*AN3493/(1+M3493)^F3493,0)</x:f>
        <x:v>0</x:v>
      </x:c>
      <x:c r="AJ3493" t="n">
        <x:v>0</x:v>
      </x:c>
      <x:c r="AK3493" t="n">
        <x:v>0</x:v>
      </x:c>
      <x:c r="AL3493" t="n">
        <x:v>0</x:v>
      </x:c>
      <x:c r="AM3493" t="n">
        <x:f>CHOOSE('假设'!$B$3,AJ3493,AK3493,AL3493)</x:f>
        <x:v>0</x:v>
      </x:c>
      <x:c r="AN3493" t="n">
        <x:v>1</x:v>
      </x:c>
    </x:row>
    <x:row r="3494" ht="23" customHeight="1">
      <x:c r="A3494" s="11" t="str">
        <x:v>688382.SH</x:v>
      </x:c>
      <x:c r="B3494" s="11" t="str">
        <x:v>五年</x:v>
      </x:c>
      <x:c r="C3494" s="11" t="str">
        <x:v>g12c_crc_cn</x:v>
      </x:c>
      <x:c r="D3494" s="11" t="str">
        <x:v>2027-12-31</x:v>
      </x:c>
      <x:c r="E3494" s="11" t="str">
        <x:v>CNY</x:v>
      </x:c>
      <x:c r="F3494" s="11" t="n">
        <x:v>-3.7727583846680357</x:v>
      </x:c>
      <x:c r="G3494" s="26" t="b">
        <x:v>0</x:v>
      </x:c>
      <x:c r="H3494" s="16" t="n">
        <x:v>0</x:v>
      </x:c>
      <x:c r="I3494" s="16" t="n">
        <x:v>0</x:v>
      </x:c>
      <x:c r="J3494" s="16" t="n">
        <x:v>0</x:v>
      </x:c>
      <x:c r="K3494" s="11" t="n">
        <x:f>CHOOSE('假设'!$B$3,H3494,I3494,J3494)</x:f>
        <x:v>0</x:v>
      </x:c>
      <x:c r="L3494" s="11" t="n">
        <x:f>K3494*'管线假设'!E759*'管线假设'!F759*'管线假设'!G759*IF(E3494="USD",'管线假设'!I759,1)-AM3494</x:f>
        <x:v>0</x:v>
      </x:c>
      <x:c r="M3494" s="11" t="n">
        <x:f>'管线假设'!H759</x:f>
        <x:v>0.135</x:v>
      </x:c>
      <x:c r="N3494" s="11" t="n">
        <x:f>IF(G3494,L3494*AN3494/(1+M3494)^F3494,0)</x:f>
        <x:v>0</x:v>
      </x:c>
      <x:c r="AJ3494" t="n">
        <x:v>0</x:v>
      </x:c>
      <x:c r="AK3494" t="n">
        <x:v>0</x:v>
      </x:c>
      <x:c r="AL3494" t="n">
        <x:v>0</x:v>
      </x:c>
      <x:c r="AM3494" t="n">
        <x:f>CHOOSE('假设'!$B$3,AJ3494,AK3494,AL3494)</x:f>
        <x:v>0</x:v>
      </x:c>
      <x:c r="AN3494" t="n">
        <x:v>1</x:v>
      </x:c>
    </x:row>
    <x:row r="3495" ht="23" customHeight="1">
      <x:c r="A3495" s="11" t="str">
        <x:v>688382.SH</x:v>
      </x:c>
      <x:c r="B3495" s="11" t="str">
        <x:v>五年</x:v>
      </x:c>
      <x:c r="C3495" s="11" t="str">
        <x:v>g12c_crc_cn</x:v>
      </x:c>
      <x:c r="D3495" s="11" t="str">
        <x:v>2028-12-31</x:v>
      </x:c>
      <x:c r="E3495" s="11" t="str">
        <x:v>CNY</x:v>
      </x:c>
      <x:c r="F3495" s="11" t="n">
        <x:v>-2.7707049965776864</x:v>
      </x:c>
      <x:c r="G3495" s="26" t="b">
        <x:v>0</x:v>
      </x:c>
      <x:c r="H3495" s="16" t="n">
        <x:v>0</x:v>
      </x:c>
      <x:c r="I3495" s="16" t="n">
        <x:v>0</x:v>
      </x:c>
      <x:c r="J3495" s="16" t="n">
        <x:v>0</x:v>
      </x:c>
      <x:c r="K3495" s="11" t="n">
        <x:f>CHOOSE('假设'!$B$3,H3495,I3495,J3495)</x:f>
        <x:v>0</x:v>
      </x:c>
      <x:c r="L3495" s="11" t="n">
        <x:f>K3495*'管线假设'!E759*'管线假设'!F759*'管线假设'!G759*IF(E3495="USD",'管线假设'!I759,1)-AM3495</x:f>
        <x:v>0</x:v>
      </x:c>
      <x:c r="M3495" s="11" t="n">
        <x:f>'管线假设'!H759</x:f>
        <x:v>0.135</x:v>
      </x:c>
      <x:c r="N3495" s="11" t="n">
        <x:f>IF(G3495,L3495*AN3495/(1+M3495)^F3495,0)</x:f>
        <x:v>0</x:v>
      </x:c>
      <x:c r="AJ3495" t="n">
        <x:v>0</x:v>
      </x:c>
      <x:c r="AK3495" t="n">
        <x:v>0</x:v>
      </x:c>
      <x:c r="AL3495" t="n">
        <x:v>0</x:v>
      </x:c>
      <x:c r="AM3495" t="n">
        <x:f>CHOOSE('假设'!$B$3,AJ3495,AK3495,AL3495)</x:f>
        <x:v>0</x:v>
      </x:c>
      <x:c r="AN3495" t="n">
        <x:v>1</x:v>
      </x:c>
    </x:row>
    <x:row r="3496" ht="23" customHeight="1">
      <x:c r="A3496" s="11" t="str">
        <x:v>688382.SH</x:v>
      </x:c>
      <x:c r="B3496" s="11" t="str">
        <x:v>五年</x:v>
      </x:c>
      <x:c r="C3496" s="11" t="str">
        <x:v>g12c_crc_cn</x:v>
      </x:c>
      <x:c r="D3496" s="11" t="str">
        <x:v>2029-12-31</x:v>
      </x:c>
      <x:c r="E3496" s="11" t="str">
        <x:v>CNY</x:v>
      </x:c>
      <x:c r="F3496" s="11" t="n">
        <x:v>-1.7713894592744694</x:v>
      </x:c>
      <x:c r="G3496" s="26" t="b">
        <x:v>0</x:v>
      </x:c>
      <x:c r="H3496" s="16" t="n">
        <x:v>0</x:v>
      </x:c>
      <x:c r="I3496" s="16" t="n">
        <x:v>0</x:v>
      </x:c>
      <x:c r="J3496" s="16" t="n">
        <x:v>0.19999999999999998</x:v>
      </x:c>
      <x:c r="K3496" s="11" t="n">
        <x:f>CHOOSE('假设'!$B$3,H3496,I3496,J3496)</x:f>
        <x:v>0</x:v>
      </x:c>
      <x:c r="L3496" s="11" t="n">
        <x:f>K3496*'管线假设'!E759*'管线假设'!F759*'管线假设'!G759*IF(E3496="USD",'管线假设'!I759,1)-AM3496</x:f>
        <x:v>0</x:v>
      </x:c>
      <x:c r="M3496" s="11" t="n">
        <x:f>'管线假设'!H759</x:f>
        <x:v>0.135</x:v>
      </x:c>
      <x:c r="N3496" s="11" t="n">
        <x:f>IF(G3496,L3496*AN3496/(1+M3496)^F3496,0)</x:f>
        <x:v>0</x:v>
      </x:c>
      <x:c r="AJ3496" t="n">
        <x:v>0</x:v>
      </x:c>
      <x:c r="AK3496" t="n">
        <x:v>0</x:v>
      </x:c>
      <x:c r="AL3496" t="n">
        <x:v>0</x:v>
      </x:c>
      <x:c r="AM3496" t="n">
        <x:f>CHOOSE('假设'!$B$3,AJ3496,AK3496,AL3496)</x:f>
        <x:v>0</x:v>
      </x:c>
      <x:c r="AN3496" t="n">
        <x:v>1</x:v>
      </x:c>
    </x:row>
    <x:row r="3497" ht="23" customHeight="1">
      <x:c r="A3497" s="11" t="str">
        <x:v>688382.SH</x:v>
      </x:c>
      <x:c r="B3497" s="11" t="str">
        <x:v>五年</x:v>
      </x:c>
      <x:c r="C3497" s="11" t="str">
        <x:v>g12c_crc_cn</x:v>
      </x:c>
      <x:c r="D3497" s="11" t="str">
        <x:v>2030-12-31</x:v>
      </x:c>
      <x:c r="E3497" s="11" t="str">
        <x:v>CNY</x:v>
      </x:c>
      <x:c r="F3497" s="11" t="n">
        <x:v>-0.7720739219712526</x:v>
      </x:c>
      <x:c r="G3497" s="26" t="b">
        <x:v>0</x:v>
      </x:c>
      <x:c r="H3497" s="16" t="n">
        <x:v>0</x:v>
      </x:c>
      <x:c r="I3497" s="16" t="n">
        <x:v>0</x:v>
      </x:c>
      <x:c r="J3497" s="16" t="n">
        <x:v>0.39999999999999997</x:v>
      </x:c>
      <x:c r="K3497" s="11" t="n">
        <x:f>CHOOSE('假设'!$B$3,H3497,I3497,J3497)</x:f>
        <x:v>0</x:v>
      </x:c>
      <x:c r="L3497" s="11" t="n">
        <x:f>K3497*'管线假设'!E759*'管线假设'!F759*'管线假设'!G759*IF(E3497="USD",'管线假设'!I759,1)-AM3497</x:f>
        <x:v>0</x:v>
      </x:c>
      <x:c r="M3497" s="11" t="n">
        <x:f>'管线假设'!H759</x:f>
        <x:v>0.135</x:v>
      </x:c>
      <x:c r="N3497" s="11" t="n">
        <x:f>IF(G3497,L3497*AN3497/(1+M3497)^F3497,0)</x:f>
        <x:v>0</x:v>
      </x:c>
      <x:c r="AJ3497" t="n">
        <x:v>0</x:v>
      </x:c>
      <x:c r="AK3497" t="n">
        <x:v>0</x:v>
      </x:c>
      <x:c r="AL3497" t="n">
        <x:v>0</x:v>
      </x:c>
      <x:c r="AM3497" t="n">
        <x:f>CHOOSE('假设'!$B$3,AJ3497,AK3497,AL3497)</x:f>
        <x:v>0</x:v>
      </x:c>
      <x:c r="AN3497" t="n">
        <x:v>1</x:v>
      </x:c>
    </x:row>
    <x:row r="3498" ht="23" customHeight="1">
      <x:c r="A3498" s="11" t="str">
        <x:v>688382.SH</x:v>
      </x:c>
      <x:c r="B3498" s="11" t="str">
        <x:v>五年</x:v>
      </x:c>
      <x:c r="C3498" s="11" t="str">
        <x:v>g12c_crc_cn</x:v>
      </x:c>
      <x:c r="D3498" s="11" t="str">
        <x:v>2031-12-31</x:v>
      </x:c>
      <x:c r="E3498" s="11" t="str">
        <x:v>CNY</x:v>
      </x:c>
      <x:c r="F3498" s="11" t="n">
        <x:v>0.2272416153319644</x:v>
      </x:c>
      <x:c r="G3498" s="26" t="b">
        <x:v>1</x:v>
      </x:c>
      <x:c r="H3498" s="16" t="n">
        <x:v>0</x:v>
      </x:c>
      <x:c r="I3498" s="16" t="n">
        <x:v>0.11666666666666665</x:v>
      </x:c>
      <x:c r="J3498" s="16" t="n">
        <x:v>0.6</x:v>
      </x:c>
      <x:c r="K3498" s="11" t="n">
        <x:f>CHOOSE('假设'!$B$3,H3498,I3498,J3498)</x:f>
        <x:v>0.11666666666666665</x:v>
      </x:c>
      <x:c r="L3498" s="11" t="n">
        <x:f>K3498*'管线假设'!E759*'管线假设'!F759*'管线假设'!G759*IF(E3498="USD",'管线假设'!I759,1)-AM3498</x:f>
        <x:v>0.0050272833333333345</x:v>
      </x:c>
      <x:c r="M3498" s="11" t="n">
        <x:f>'管线假设'!H759</x:f>
        <x:v>0.135</x:v>
      </x:c>
      <x:c r="N3498" s="11" t="n">
        <x:f>IF(G3498,L3498*AN3498/(1+M3498)^F3498,0)</x:f>
        <x:v>0.004884678830531526</x:v>
      </x:c>
      <x:c r="AJ3498" t="n">
        <x:v>0</x:v>
      </x:c>
      <x:c r="AK3498" t="n">
        <x:v>0</x:v>
      </x:c>
      <x:c r="AL3498" t="n">
        <x:v>0</x:v>
      </x:c>
      <x:c r="AM3498" t="n">
        <x:f>CHOOSE('假设'!$B$3,AJ3498,AK3498,AL3498)</x:f>
        <x:v>0</x:v>
      </x:c>
      <x:c r="AN3498" t="n">
        <x:v>1</x:v>
      </x:c>
    </x:row>
    <x:row r="3499" ht="23" customHeight="1">
      <x:c r="A3499" s="11" t="str">
        <x:v>688382.SH</x:v>
      </x:c>
      <x:c r="B3499" s="11" t="str">
        <x:v>五年</x:v>
      </x:c>
      <x:c r="C3499" s="11" t="str">
        <x:v>g12c_crc_cn</x:v>
      </x:c>
      <x:c r="D3499" s="11" t="str">
        <x:v>2032-12-31</x:v>
      </x:c>
      <x:c r="E3499" s="11" t="str">
        <x:v>CNY</x:v>
      </x:c>
      <x:c r="F3499" s="11" t="n">
        <x:v>1.2292950034223136</x:v>
      </x:c>
      <x:c r="G3499" s="26" t="b">
        <x:v>1</x:v>
      </x:c>
      <x:c r="H3499" s="16" t="n">
        <x:v>0</x:v>
      </x:c>
      <x:c r="I3499" s="16" t="n">
        <x:v>0.2333333333333333</x:v>
      </x:c>
      <x:c r="J3499" s="16" t="n">
        <x:v>0.7999999999999999</x:v>
      </x:c>
      <x:c r="K3499" s="11" t="n">
        <x:f>CHOOSE('假设'!$B$3,H3499,I3499,J3499)</x:f>
        <x:v>0.2333333333333333</x:v>
      </x:c>
      <x:c r="L3499" s="11" t="n">
        <x:f>K3499*'管线假设'!E759*'管线假设'!F759*'管线假设'!G759*IF(E3499="USD",'管线假设'!I759,1)-AM3499</x:f>
        <x:v>0.010054566666666669</x:v>
      </x:c>
      <x:c r="M3499" s="11" t="n">
        <x:f>'管线假设'!H759</x:f>
        <x:v>0.135</x:v>
      </x:c>
      <x:c r="N3499" s="11" t="n">
        <x:f>IF(G3499,L3499*AN3499/(1+M3499)^F3499,0)</x:f>
        <x:v>0.008605125730864782</x:v>
      </x:c>
      <x:c r="AJ3499" t="n">
        <x:v>0</x:v>
      </x:c>
      <x:c r="AK3499" t="n">
        <x:v>0</x:v>
      </x:c>
      <x:c r="AL3499" t="n">
        <x:v>0</x:v>
      </x:c>
      <x:c r="AM3499" t="n">
        <x:f>CHOOSE('假设'!$B$3,AJ3499,AK3499,AL3499)</x:f>
        <x:v>0</x:v>
      </x:c>
      <x:c r="AN3499" t="n">
        <x:v>1</x:v>
      </x:c>
    </x:row>
    <x:row r="3500" ht="23" customHeight="1">
      <x:c r="A3500" s="11" t="str">
        <x:v>688382.SH</x:v>
      </x:c>
      <x:c r="B3500" s="11" t="str">
        <x:v>五年</x:v>
      </x:c>
      <x:c r="C3500" s="11" t="str">
        <x:v>g12c_crc_cn</x:v>
      </x:c>
      <x:c r="D3500" s="11" t="str">
        <x:v>2033-12-31</x:v>
      </x:c>
      <x:c r="E3500" s="11" t="str">
        <x:v>CNY</x:v>
      </x:c>
      <x:c r="F3500" s="11" t="n">
        <x:v>2.2286105407255303</x:v>
      </x:c>
      <x:c r="G3500" s="26" t="b">
        <x:v>1</x:v>
      </x:c>
      <x:c r="H3500" s="16" t="n">
        <x:v>0</x:v>
      </x:c>
      <x:c r="I3500" s="16" t="n">
        <x:v>0.35</x:v>
      </x:c>
      <x:c r="J3500" s="16" t="n">
        <x:v>1</x:v>
      </x:c>
      <x:c r="K3500" s="11" t="n">
        <x:f>CHOOSE('假设'!$B$3,H3500,I3500,J3500)</x:f>
        <x:v>0.35</x:v>
      </x:c>
      <x:c r="L3500" s="11" t="n">
        <x:f>K3500*'管线假设'!E759*'管线假设'!F759*'管线假设'!G759*IF(E3500="USD",'管线假设'!I759,1)-AM3500</x:f>
        <x:v>0.015081850000000004</x:v>
      </x:c>
      <x:c r="M3500" s="11" t="n">
        <x:f>'管线假设'!H759</x:f>
        <x:v>0.135</x:v>
      </x:c>
      <x:c r="N3500" s="11" t="n">
        <x:f>IF(G3500,L3500*AN3500/(1+M3500)^F3500,0)</x:f>
        <x:v>0.011373398610482536</x:v>
      </x:c>
      <x:c r="AJ3500" t="n">
        <x:v>0</x:v>
      </x:c>
      <x:c r="AK3500" t="n">
        <x:v>0</x:v>
      </x:c>
      <x:c r="AL3500" t="n">
        <x:v>0</x:v>
      </x:c>
      <x:c r="AM3500" t="n">
        <x:f>CHOOSE('假设'!$B$3,AJ3500,AK3500,AL3500)</x:f>
        <x:v>0</x:v>
      </x:c>
      <x:c r="AN3500" t="n">
        <x:v>1</x:v>
      </x:c>
    </x:row>
    <x:row r="3501" ht="23" customHeight="1">
      <x:c r="A3501" s="11" t="str">
        <x:v>688382.SH</x:v>
      </x:c>
      <x:c r="B3501" s="11" t="str">
        <x:v>五年</x:v>
      </x:c>
      <x:c r="C3501" s="11" t="str">
        <x:v>g12c_crc_cn</x:v>
      </x:c>
      <x:c r="D3501" s="11" t="str">
        <x:v>2034-12-31</x:v>
      </x:c>
      <x:c r="E3501" s="11" t="str">
        <x:v>CNY</x:v>
      </x:c>
      <x:c r="F3501" s="11" t="n">
        <x:v>3.2279260780287475</x:v>
      </x:c>
      <x:c r="G3501" s="26" t="b">
        <x:v>1</x:v>
      </x:c>
      <x:c r="H3501" s="16" t="n">
        <x:v>0.06</x:v>
      </x:c>
      <x:c r="I3501" s="16" t="n">
        <x:v>0.4666666666666666</x:v>
      </x:c>
      <x:c r="J3501" s="16" t="n">
        <x:v>1.2</x:v>
      </x:c>
      <x:c r="K3501" s="11" t="n">
        <x:f>CHOOSE('假设'!$B$3,H3501,I3501,J3501)</x:f>
        <x:v>0.4666666666666666</x:v>
      </x:c>
      <x:c r="L3501" s="11" t="n">
        <x:f>K3501*'管线假设'!E759*'管线假设'!F759*'管线假设'!G759*IF(E3501="USD",'管线假设'!I759,1)-AM3501</x:f>
        <x:v>0.020109133333333338</x:v>
      </x:c>
      <x:c r="M3501" s="11" t="n">
        <x:f>'管线假设'!H759</x:f>
        <x:v>0.135</x:v>
      </x:c>
      <x:c r="N3501" s="11" t="n">
        <x:f>IF(G3501,L3501*AN3501/(1+M3501)^F3501,0)</x:f>
        <x:v>0.013361978791465823</x:v>
      </x:c>
      <x:c r="AJ3501" t="n">
        <x:v>0</x:v>
      </x:c>
      <x:c r="AK3501" t="n">
        <x:v>0</x:v>
      </x:c>
      <x:c r="AL3501" t="n">
        <x:v>0</x:v>
      </x:c>
      <x:c r="AM3501" t="n">
        <x:f>CHOOSE('假设'!$B$3,AJ3501,AK3501,AL3501)</x:f>
        <x:v>0</x:v>
      </x:c>
      <x:c r="AN3501" t="n">
        <x:v>1</x:v>
      </x:c>
    </x:row>
    <x:row r="3502" ht="23" customHeight="1">
      <x:c r="A3502" s="11" t="str">
        <x:v>688382.SH</x:v>
      </x:c>
      <x:c r="B3502" s="11" t="str">
        <x:v>五年</x:v>
      </x:c>
      <x:c r="C3502" s="11" t="str">
        <x:v>g12c_crc_cn</x:v>
      </x:c>
      <x:c r="D3502" s="11" t="str">
        <x:v>2035-12-31</x:v>
      </x:c>
      <x:c r="E3502" s="11" t="str">
        <x:v>CNY</x:v>
      </x:c>
      <x:c r="F3502" s="11" t="n">
        <x:v>4.227241615331964</x:v>
      </x:c>
      <x:c r="G3502" s="26" t="b">
        <x:v>1</x:v>
      </x:c>
      <x:c r="H3502" s="16" t="n">
        <x:v>0.12</x:v>
      </x:c>
      <x:c r="I3502" s="16" t="n">
        <x:v>0.5833333333333334</x:v>
      </x:c>
      <x:c r="J3502" s="16" t="n">
        <x:v>1.044</x:v>
      </x:c>
      <x:c r="K3502" s="11" t="n">
        <x:f>CHOOSE('假设'!$B$3,H3502,I3502,J3502)</x:f>
        <x:v>0.5833333333333334</x:v>
      </x:c>
      <x:c r="L3502" s="11" t="n">
        <x:f>K3502*'管线假设'!E759*'管线假设'!F759*'管线假设'!G759*IF(E3502="USD",'管线假设'!I759,1)-AM3502</x:f>
        <x:v>0.025136416666666675</x:v>
      </x:c>
      <x:c r="M3502" s="11" t="n">
        <x:f>'管线假设'!H759</x:f>
        <x:v>0.135</x:v>
      </x:c>
      <x:c r="N3502" s="11" t="n">
        <x:f>IF(G3502,L3502*AN3502/(1+M3502)^F3502,0)</x:f>
        <x:v>0.014717111228550095</x:v>
      </x:c>
      <x:c r="AJ3502" t="n">
        <x:v>0</x:v>
      </x:c>
      <x:c r="AK3502" t="n">
        <x:v>0</x:v>
      </x:c>
      <x:c r="AL3502" t="n">
        <x:v>0</x:v>
      </x:c>
      <x:c r="AM3502" t="n">
        <x:f>CHOOSE('假设'!$B$3,AJ3502,AK3502,AL3502)</x:f>
        <x:v>0</x:v>
      </x:c>
      <x:c r="AN3502" t="n">
        <x:v>1</x:v>
      </x:c>
    </x:row>
    <x:row r="3503" ht="23" customHeight="1">
      <x:c r="A3503" s="11" t="str">
        <x:v>688382.SH</x:v>
      </x:c>
      <x:c r="B3503" s="11" t="str">
        <x:v>五年</x:v>
      </x:c>
      <x:c r="C3503" s="11" t="str">
        <x:v>g12c_crc_cn</x:v>
      </x:c>
      <x:c r="D3503" s="11" t="str">
        <x:v>2036-12-31</x:v>
      </x:c>
      <x:c r="E3503" s="11" t="str">
        <x:v>CNY</x:v>
      </x:c>
      <x:c r="F3503" s="11" t="n">
        <x:v>5.229295003422314</x:v>
      </x:c>
      <x:c r="G3503" s="26" t="b">
        <x:v>1</x:v>
      </x:c>
      <x:c r="H3503" s="16" t="n">
        <x:v>0.18</x:v>
      </x:c>
      <x:c r="I3503" s="16" t="n">
        <x:v>0.7</x:v>
      </x:c>
      <x:c r="J3503" s="16" t="n">
        <x:v>0.888</x:v>
      </x:c>
      <x:c r="K3503" s="11" t="n">
        <x:f>CHOOSE('假设'!$B$3,H3503,I3503,J3503)</x:f>
        <x:v>0.7</x:v>
      </x:c>
      <x:c r="L3503" s="11" t="n">
        <x:f>K3503*'管线假设'!E759*'管线假设'!F759*'管线假设'!G759*IF(E3503="USD",'管线假设'!I759,1)-AM3503</x:f>
        <x:v>0.03016370000000001</x:v>
      </x:c>
      <x:c r="M3503" s="11" t="n">
        <x:f>'管线假设'!H759</x:f>
        <x:v>0.135</x:v>
      </x:c>
      <x:c r="N3503" s="11" t="n">
        <x:f>IF(G3503,L3503*AN3503/(1+M3503)^F3503,0)</x:f>
        <x:v>0.01555589592403333</x:v>
      </x:c>
      <x:c r="AJ3503" t="n">
        <x:v>0</x:v>
      </x:c>
      <x:c r="AK3503" t="n">
        <x:v>0</x:v>
      </x:c>
      <x:c r="AL3503" t="n">
        <x:v>0</x:v>
      </x:c>
      <x:c r="AM3503" t="n">
        <x:f>CHOOSE('假设'!$B$3,AJ3503,AK3503,AL3503)</x:f>
        <x:v>0</x:v>
      </x:c>
      <x:c r="AN3503" t="n">
        <x:v>1</x:v>
      </x:c>
    </x:row>
    <x:row r="3504" ht="23" customHeight="1">
      <x:c r="A3504" s="11" t="str">
        <x:v>688382.SH</x:v>
      </x:c>
      <x:c r="B3504" s="11" t="str">
        <x:v>五年</x:v>
      </x:c>
      <x:c r="C3504" s="11" t="str">
        <x:v>g12c_crc_cn</x:v>
      </x:c>
      <x:c r="D3504" s="11" t="str">
        <x:v>2037-12-31</x:v>
      </x:c>
      <x:c r="E3504" s="11" t="str">
        <x:v>CNY</x:v>
      </x:c>
      <x:c r="F3504" s="11" t="n">
        <x:v>6.228610540725531</x:v>
      </x:c>
      <x:c r="G3504" s="26" t="b">
        <x:v>1</x:v>
      </x:c>
      <x:c r="H3504" s="16" t="n">
        <x:v>0.24</x:v>
      </x:c>
      <x:c r="I3504" s="16" t="n">
        <x:v>0.609</x:v>
      </x:c>
      <x:c r="J3504" s="16" t="n">
        <x:v>0.732</x:v>
      </x:c>
      <x:c r="K3504" s="11" t="n">
        <x:f>CHOOSE('假设'!$B$3,H3504,I3504,J3504)</x:f>
        <x:v>0.609</x:v>
      </x:c>
      <x:c r="L3504" s="11" t="n">
        <x:f>K3504*'管线假设'!E759*'管线假设'!F759*'管线假设'!G759*IF(E3504="USD",'管线假设'!I759,1)-AM3504</x:f>
        <x:v>0.026242419000000006</x:v>
      </x:c>
      <x:c r="M3504" s="11" t="n">
        <x:f>'管线假设'!H759</x:f>
        <x:v>0.135</x:v>
      </x:c>
      <x:c r="N3504" s="11" t="n">
        <x:f>IF(G3504,L3504*AN3504/(1+M3504)^F3504,0)</x:f>
        <x:v>0.011924936155496505</x:v>
      </x:c>
      <x:c r="AJ3504" t="n">
        <x:v>0</x:v>
      </x:c>
      <x:c r="AK3504" t="n">
        <x:v>0</x:v>
      </x:c>
      <x:c r="AL3504" t="n">
        <x:v>0</x:v>
      </x:c>
      <x:c r="AM3504" t="n">
        <x:f>CHOOSE('假设'!$B$3,AJ3504,AK3504,AL3504)</x:f>
        <x:v>0</x:v>
      </x:c>
      <x:c r="AN3504" t="n">
        <x:v>1</x:v>
      </x:c>
    </x:row>
    <x:row r="3505" ht="23" customHeight="1">
      <x:c r="A3505" s="11" t="str">
        <x:v>688382.SH</x:v>
      </x:c>
      <x:c r="B3505" s="11" t="str">
        <x:v>五年</x:v>
      </x:c>
      <x:c r="C3505" s="11" t="str">
        <x:v>g12c_crc_cn</x:v>
      </x:c>
      <x:c r="D3505" s="11" t="str">
        <x:v>2038-12-31</x:v>
      </x:c>
      <x:c r="E3505" s="11" t="str">
        <x:v>CNY</x:v>
      </x:c>
      <x:c r="F3505" s="11" t="n">
        <x:v>7.227926078028747</x:v>
      </x:c>
      <x:c r="G3505" s="26" t="b">
        <x:v>1</x:v>
      </x:c>
      <x:c r="H3505" s="16" t="n">
        <x:v>0.3</x:v>
      </x:c>
      <x:c r="I3505" s="16" t="n">
        <x:v>0.518</x:v>
      </x:c>
      <x:c r="J3505" s="16" t="n">
        <x:v>0.576</x:v>
      </x:c>
      <x:c r="K3505" s="11" t="n">
        <x:f>CHOOSE('假设'!$B$3,H3505,I3505,J3505)</x:f>
        <x:v>0.518</x:v>
      </x:c>
      <x:c r="L3505" s="11" t="n">
        <x:f>K3505*'管线假设'!E759*'管线假设'!F759*'管线假设'!G759*IF(E3505="USD",'管线假设'!I759,1)-AM3505</x:f>
        <x:v>0.022321138000000008</x:v>
      </x:c>
      <x:c r="M3505" s="11" t="n">
        <x:f>'管线假设'!H759</x:f>
        <x:v>0.135</x:v>
      </x:c>
      <x:c r="N3505" s="11" t="n">
        <x:f>IF(G3505,L3505*AN3505/(1+M3505)^F3505,0)</x:f>
        <x:v>0.00893738179202279</x:v>
      </x:c>
      <x:c r="AJ3505" t="n">
        <x:v>0</x:v>
      </x:c>
      <x:c r="AK3505" t="n">
        <x:v>0</x:v>
      </x:c>
      <x:c r="AL3505" t="n">
        <x:v>0</x:v>
      </x:c>
      <x:c r="AM3505" t="n">
        <x:f>CHOOSE('假设'!$B$3,AJ3505,AK3505,AL3505)</x:f>
        <x:v>0</x:v>
      </x:c>
      <x:c r="AN3505" t="n">
        <x:v>1</x:v>
      </x:c>
    </x:row>
    <x:row r="3506" ht="23" customHeight="1">
      <x:c r="A3506" s="11" t="str">
        <x:v>688382.SH</x:v>
      </x:c>
      <x:c r="B3506" s="11" t="str">
        <x:v>五年</x:v>
      </x:c>
      <x:c r="C3506" s="11" t="str">
        <x:v>g12c_crc_cn</x:v>
      </x:c>
      <x:c r="D3506" s="11" t="str">
        <x:v>2039-12-31</x:v>
      </x:c>
      <x:c r="E3506" s="11" t="str">
        <x:v>CNY</x:v>
      </x:c>
      <x:c r="F3506" s="11" t="n">
        <x:v>8.227241615331964</x:v>
      </x:c>
      <x:c r="G3506" s="26" t="b">
        <x:v>1</x:v>
      </x:c>
      <x:c r="H3506" s="16" t="n">
        <x:v>0.261</x:v>
      </x:c>
      <x:c r="I3506" s="16" t="n">
        <x:v>0.427</x:v>
      </x:c>
      <x:c r="J3506" s="16" t="n">
        <x:v>0.42</x:v>
      </x:c>
      <x:c r="K3506" s="11" t="n">
        <x:f>CHOOSE('假设'!$B$3,H3506,I3506,J3506)</x:f>
        <x:v>0.427</x:v>
      </x:c>
      <x:c r="L3506" s="11" t="n">
        <x:f>K3506*'管线假设'!E759*'管线假设'!F759*'管线假设'!G759*IF(E3506="USD",'管线假设'!I759,1)-AM3506</x:f>
        <x:v>0.018399857000000006</x:v>
      </x:c>
      <x:c r="M3506" s="11" t="n">
        <x:f>'管线假设'!H759</x:f>
        <x:v>0.135</x:v>
      </x:c>
      <x:c r="N3506" s="11" t="n">
        <x:f>IF(G3506,L3506*AN3506/(1+M3506)^F3506,0)</x:f>
        <x:v>0.006491576914400366</x:v>
      </x:c>
      <x:c r="AJ3506" t="n">
        <x:v>0</x:v>
      </x:c>
      <x:c r="AK3506" t="n">
        <x:v>0</x:v>
      </x:c>
      <x:c r="AL3506" t="n">
        <x:v>0</x:v>
      </x:c>
      <x:c r="AM3506" t="n">
        <x:f>CHOOSE('假设'!$B$3,AJ3506,AK3506,AL3506)</x:f>
        <x:v>0</x:v>
      </x:c>
      <x:c r="AN3506" t="n">
        <x:v>1</x:v>
      </x:c>
    </x:row>
    <x:row r="3507" ht="23" customHeight="1">
      <x:c r="A3507" s="11" t="str">
        <x:v>688382.SH</x:v>
      </x:c>
      <x:c r="B3507" s="11" t="str">
        <x:v>五年</x:v>
      </x:c>
      <x:c r="C3507" s="11" t="str">
        <x:v>g12c_crc_cn</x:v>
      </x:c>
      <x:c r="D3507" s="11" t="str">
        <x:v>2040-12-31</x:v>
      </x:c>
      <x:c r="E3507" s="11" t="str">
        <x:v>CNY</x:v>
      </x:c>
      <x:c r="F3507" s="11" t="n">
        <x:v>9.229295003422314</x:v>
      </x:c>
      <x:c r="G3507" s="26" t="b">
        <x:v>1</x:v>
      </x:c>
      <x:c r="H3507" s="16" t="n">
        <x:v>0.222</x:v>
      </x:c>
      <x:c r="I3507" s="16" t="n">
        <x:v>0.33599999999999997</x:v>
      </x:c>
      <x:c r="J3507" s="16" t="n">
        <x:v>0.26399999999999996</x:v>
      </x:c>
      <x:c r="K3507" s="11" t="n">
        <x:f>CHOOSE('假设'!$B$3,H3507,I3507,J3507)</x:f>
        <x:v>0.33599999999999997</x:v>
      </x:c>
      <x:c r="L3507" s="11" t="n">
        <x:f>K3507*'管线假设'!E759*'管线假设'!F759*'管线假设'!G759*IF(E3507="USD",'管线假设'!I759,1)-AM3507</x:f>
        <x:v>0.014478576000000003</x:v>
      </x:c>
      <x:c r="M3507" s="11" t="n">
        <x:f>'管线假设'!H759</x:f>
        <x:v>0.135</x:v>
      </x:c>
      <x:c r="N3507" s="11" t="n">
        <x:f>IF(G3507,L3507*AN3507/(1+M3507)^F3507,0)</x:f>
        <x:v>0.004499381518741166</x:v>
      </x:c>
      <x:c r="AJ3507" t="n">
        <x:v>0</x:v>
      </x:c>
      <x:c r="AK3507" t="n">
        <x:v>0</x:v>
      </x:c>
      <x:c r="AL3507" t="n">
        <x:v>0</x:v>
      </x:c>
      <x:c r="AM3507" t="n">
        <x:f>CHOOSE('假设'!$B$3,AJ3507,AK3507,AL3507)</x:f>
        <x:v>0</x:v>
      </x:c>
      <x:c r="AN3507" t="n">
        <x:v>1</x:v>
      </x:c>
    </x:row>
    <x:row r="3508" ht="23" customHeight="1">
      <x:c r="A3508" s="11" t="str">
        <x:v>688382.SH</x:v>
      </x:c>
      <x:c r="B3508" s="11" t="str">
        <x:v>五年</x:v>
      </x:c>
      <x:c r="C3508" s="11" t="str">
        <x:v>g12c_crc_cn</x:v>
      </x:c>
      <x:c r="D3508" s="11" t="str">
        <x:v>2041-12-31</x:v>
      </x:c>
      <x:c r="E3508" s="11" t="str">
        <x:v>CNY</x:v>
      </x:c>
      <x:c r="F3508" s="11" t="n">
        <x:v>10.22861054072553</x:v>
      </x:c>
      <x:c r="G3508" s="26" t="b">
        <x:v>1</x:v>
      </x:c>
      <x:c r="H3508" s="16" t="n">
        <x:v>0.183</x:v>
      </x:c>
      <x:c r="I3508" s="16" t="n">
        <x:v>0.24499999999999997</x:v>
      </x:c>
      <x:c r="J3508" s="16" t="n">
        <x:v>0.10799999999999996</x:v>
      </x:c>
      <x:c r="K3508" s="11" t="n">
        <x:f>CHOOSE('假设'!$B$3,H3508,I3508,J3508)</x:f>
        <x:v>0.24499999999999997</x:v>
      </x:c>
      <x:c r="L3508" s="11" t="n">
        <x:f>K3508*'管线假设'!E759*'管线假设'!F759*'管线假设'!G759*IF(E3508="USD",'管线假设'!I759,1)-AM3508</x:f>
        <x:v>0.010557295000000003</x:v>
      </x:c>
      <x:c r="M3508" s="11" t="n">
        <x:f>'管线假设'!H759</x:f>
        <x:v>0.135</x:v>
      </x:c>
      <x:c r="N3508" s="11" t="n">
        <x:f>IF(G3508,L3508*AN3508/(1+M3508)^F3508,0)</x:f>
        <x:v>0.0028908223794980644</x:v>
      </x:c>
      <x:c r="AJ3508" t="n">
        <x:v>0</x:v>
      </x:c>
      <x:c r="AK3508" t="n">
        <x:v>0</x:v>
      </x:c>
      <x:c r="AL3508" t="n">
        <x:v>0</x:v>
      </x:c>
      <x:c r="AM3508" t="n">
        <x:f>CHOOSE('假设'!$B$3,AJ3508,AK3508,AL3508)</x:f>
        <x:v>0</x:v>
      </x:c>
      <x:c r="AN3508" t="n">
        <x:v>1</x:v>
      </x:c>
    </x:row>
    <x:row r="3509" ht="23" customHeight="1">
      <x:c r="A3509" s="11" t="str">
        <x:v>688382.SH</x:v>
      </x:c>
      <x:c r="B3509" s="11" t="str">
        <x:v>五年</x:v>
      </x:c>
      <x:c r="C3509" s="11" t="str">
        <x:v>g12c_crc_cn</x:v>
      </x:c>
      <x:c r="D3509" s="11" t="str">
        <x:v>2042-12-31</x:v>
      </x:c>
      <x:c r="E3509" s="11" t="str">
        <x:v>CNY</x:v>
      </x:c>
      <x:c r="F3509" s="11" t="n">
        <x:v>11.227926078028748</x:v>
      </x:c>
      <x:c r="G3509" s="26" t="b">
        <x:v>1</x:v>
      </x:c>
      <x:c r="H3509" s="16" t="n">
        <x:v>0.144</x:v>
      </x:c>
      <x:c r="I3509" s="16" t="n">
        <x:v>0.15399999999999997</x:v>
      </x:c>
      <x:c r="J3509" s="16" t="n">
        <x:v>0</x:v>
      </x:c>
      <x:c r="K3509" s="11" t="n">
        <x:f>CHOOSE('假设'!$B$3,H3509,I3509,J3509)</x:f>
        <x:v>0.15399999999999997</x:v>
      </x:c>
      <x:c r="L3509" s="11" t="n">
        <x:f>K3509*'管线假设'!E759*'管线假设'!F759*'管线假设'!G759*IF(E3509="USD",'管线假设'!I759,1)-AM3509</x:f>
        <x:v>0.006636014000000002</x:v>
      </x:c>
      <x:c r="M3509" s="11" t="n">
        <x:f>'管线假设'!H759</x:f>
        <x:v>0.135</x:v>
      </x:c>
      <x:c r="N3509" s="11" t="n">
        <x:f>IF(G3509,L3509*AN3509/(1+M3509)^F3509,0)</x:f>
        <x:v>0.0016010976708176255</x:v>
      </x:c>
      <x:c r="AJ3509" t="n">
        <x:v>0</x:v>
      </x:c>
      <x:c r="AK3509" t="n">
        <x:v>0</x:v>
      </x:c>
      <x:c r="AL3509" t="n">
        <x:v>0</x:v>
      </x:c>
      <x:c r="AM3509" t="n">
        <x:f>CHOOSE('假设'!$B$3,AJ3509,AK3509,AL3509)</x:f>
        <x:v>0</x:v>
      </x:c>
      <x:c r="AN3509" t="n">
        <x:v>1</x:v>
      </x:c>
    </x:row>
    <x:row r="3510" ht="23" customHeight="1">
      <x:c r="A3510" s="11" t="str">
        <x:v>688382.SH</x:v>
      </x:c>
      <x:c r="B3510" s="11" t="str">
        <x:v>五年</x:v>
      </x:c>
      <x:c r="C3510" s="11" t="str">
        <x:v>g12c_crc_cn</x:v>
      </x:c>
      <x:c r="D3510" s="11" t="str">
        <x:v>2043-12-31</x:v>
      </x:c>
      <x:c r="E3510" s="11" t="str">
        <x:v>CNY</x:v>
      </x:c>
      <x:c r="F3510" s="11" t="n">
        <x:v>12.227241615331964</x:v>
      </x:c>
      <x:c r="G3510" s="26" t="b">
        <x:v>1</x:v>
      </x:c>
      <x:c r="H3510" s="16" t="n">
        <x:v>0.105</x:v>
      </x:c>
      <x:c r="I3510" s="16" t="n">
        <x:v>0.06299999999999997</x:v>
      </x:c>
      <x:c r="J3510" s="16" t="n">
        <x:v>0</x:v>
      </x:c>
      <x:c r="K3510" s="11" t="n">
        <x:f>CHOOSE('假设'!$B$3,H3510,I3510,J3510)</x:f>
        <x:v>0.06299999999999997</x:v>
      </x:c>
      <x:c r="L3510" s="11" t="n">
        <x:f>K3510*'管线假设'!E759*'管线假设'!F759*'管线假设'!G759*IF(E3510="USD",'管线假设'!I759,1)-AM3510</x:f>
        <x:v>0.0027147329999999996</x:v>
      </x:c>
      <x:c r="M3510" s="11" t="n">
        <x:f>'管线假设'!H759</x:f>
        <x:v>0.135</x:v>
      </x:c>
      <x:c r="N3510" s="11" t="n">
        <x:f>IF(G3510,L3510*AN3510/(1+M3510)^F3510,0)</x:f>
        <x:v>0.0005771376881236607</x:v>
      </x:c>
      <x:c r="AJ3510" t="n">
        <x:v>0</x:v>
      </x:c>
      <x:c r="AK3510" t="n">
        <x:v>0</x:v>
      </x:c>
      <x:c r="AL3510" t="n">
        <x:v>0</x:v>
      </x:c>
      <x:c r="AM3510" t="n">
        <x:f>CHOOSE('假设'!$B$3,AJ3510,AK3510,AL3510)</x:f>
        <x:v>0</x:v>
      </x:c>
      <x:c r="AN3510" t="n">
        <x:v>1</x:v>
      </x:c>
    </x:row>
    <x:row r="3511" ht="23" customHeight="1">
      <x:c r="A3511" s="11" t="str">
        <x:v>688382.SH</x:v>
      </x:c>
      <x:c r="B3511" s="11" t="str">
        <x:v>五年</x:v>
      </x:c>
      <x:c r="C3511" s="11" t="str">
        <x:v>g12c_crc_cn</x:v>
      </x:c>
      <x:c r="D3511" s="11" t="str">
        <x:v>2044-12-31</x:v>
      </x:c>
      <x:c r="E3511" s="11" t="str">
        <x:v>CNY</x:v>
      </x:c>
      <x:c r="F3511" s="11" t="n">
        <x:v>13.229295003422314</x:v>
      </x:c>
      <x:c r="G3511" s="26" t="b">
        <x:v>1</x:v>
      </x:c>
      <x:c r="H3511" s="16" t="n">
        <x:v>0.06599999999999999</x:v>
      </x:c>
      <x:c r="I3511" s="16" t="n">
        <x:v>0</x:v>
      </x:c>
      <x:c r="J3511" s="16" t="n">
        <x:v>0</x:v>
      </x:c>
      <x:c r="K3511" s="11" t="n">
        <x:f>CHOOSE('假设'!$B$3,H3511,I3511,J3511)</x:f>
        <x:v>0</x:v>
      </x:c>
      <x:c r="L3511" s="11" t="n">
        <x:f>K3511*'管线假设'!E759*'管线假设'!F759*'管线假设'!G759*IF(E3511="USD",'管线假设'!I759,1)-AM3511</x:f>
        <x:v>0</x:v>
      </x:c>
      <x:c r="M3511" s="11" t="n">
        <x:f>'管线假设'!H759</x:f>
        <x:v>0.135</x:v>
      </x:c>
      <x:c r="N3511" s="11" t="n">
        <x:f>IF(G3511,L3511*AN3511/(1+M3511)^F3511,0)</x:f>
        <x:v>0</x:v>
      </x:c>
      <x:c r="AJ3511" t="n">
        <x:v>0</x:v>
      </x:c>
      <x:c r="AK3511" t="n">
        <x:v>0</x:v>
      </x:c>
      <x:c r="AL3511" t="n">
        <x:v>0</x:v>
      </x:c>
      <x:c r="AM3511" t="n">
        <x:f>CHOOSE('假设'!$B$3,AJ3511,AK3511,AL3511)</x:f>
        <x:v>0</x:v>
      </x:c>
      <x:c r="AN3511" t="n">
        <x:v>1</x:v>
      </x:c>
    </x:row>
    <x:row r="3512" ht="23" customHeight="1">
      <x:c r="A3512" s="11" t="str">
        <x:v>688382.SH</x:v>
      </x:c>
      <x:c r="B3512" s="11" t="str">
        <x:v>五年</x:v>
      </x:c>
      <x:c r="C3512" s="11" t="str">
        <x:v>g12c_crc_cn</x:v>
      </x:c>
      <x:c r="D3512" s="11" t="str">
        <x:v>2045-12-31</x:v>
      </x:c>
      <x:c r="E3512" s="11" t="str">
        <x:v>CNY</x:v>
      </x:c>
      <x:c r="F3512" s="11" t="n">
        <x:v>14.22861054072553</x:v>
      </x:c>
      <x:c r="G3512" s="26" t="b">
        <x:v>1</x:v>
      </x:c>
      <x:c r="H3512" s="16" t="n">
        <x:v>0.02699999999999999</x:v>
      </x:c>
      <x:c r="I3512" s="16" t="n">
        <x:v>0</x:v>
      </x:c>
      <x:c r="J3512" s="16" t="n">
        <x:v>0</x:v>
      </x:c>
      <x:c r="K3512" s="11" t="n">
        <x:f>CHOOSE('假设'!$B$3,H3512,I3512,J3512)</x:f>
        <x:v>0</x:v>
      </x:c>
      <x:c r="L3512" s="11" t="n">
        <x:f>K3512*'管线假设'!E759*'管线假设'!F759*'管线假设'!G759*IF(E3512="USD",'管线假设'!I759,1)-AM3512</x:f>
        <x:v>0</x:v>
      </x:c>
      <x:c r="M3512" s="11" t="n">
        <x:f>'管线假设'!H759</x:f>
        <x:v>0.135</x:v>
      </x:c>
      <x:c r="N3512" s="11" t="n">
        <x:f>IF(G3512,L3512*AN3512/(1+M3512)^F3512,0)</x:f>
        <x:v>0</x:v>
      </x:c>
      <x:c r="AJ3512" t="n">
        <x:v>0</x:v>
      </x:c>
      <x:c r="AK3512" t="n">
        <x:v>0</x:v>
      </x:c>
      <x:c r="AL3512" t="n">
        <x:v>0</x:v>
      </x:c>
      <x:c r="AM3512" t="n">
        <x:f>CHOOSE('假设'!$B$3,AJ3512,AK3512,AL3512)</x:f>
        <x:v>0</x:v>
      </x:c>
      <x:c r="AN3512" t="n">
        <x:v>1</x:v>
      </x:c>
    </x:row>
    <x:row r="3513" ht="23" customHeight="1">
      <x:c r="A3513" s="11" t="str">
        <x:v>688382.SH</x:v>
      </x:c>
      <x:c r="B3513" s="11" t="str">
        <x:v>五年</x:v>
      </x:c>
      <x:c r="C3513" s="11" t="str">
        <x:v>g12c_global</x:v>
      </x:c>
      <x:c r="D3513" s="11" t="str">
        <x:v>2027-12-31</x:v>
      </x:c>
      <x:c r="E3513" s="11" t="str">
        <x:v>USD</x:v>
      </x:c>
      <x:c r="F3513" s="11" t="n">
        <x:v>-3.7727583846680357</x:v>
      </x:c>
      <x:c r="G3513" s="26" t="b">
        <x:v>0</x:v>
      </x:c>
      <x:c r="H3513" s="16" t="n">
        <x:v>0</x:v>
      </x:c>
      <x:c r="I3513" s="16" t="n">
        <x:v>0</x:v>
      </x:c>
      <x:c r="J3513" s="16" t="n">
        <x:v>0</x:v>
      </x:c>
      <x:c r="K3513" s="11" t="n">
        <x:f>CHOOSE('假设'!$B$3,H3513,I3513,J3513)</x:f>
        <x:v>0</x:v>
      </x:c>
      <x:c r="L3513" s="11" t="n">
        <x:f>K3513*'管线假设'!E763*'管线假设'!F763*'管线假设'!G763*IF(E3513="USD",'管线假设'!I763,1)-AM3513</x:f>
        <x:v>0</x:v>
      </x:c>
      <x:c r="M3513" s="11" t="n">
        <x:f>'管线假设'!H763</x:f>
        <x:v>0.135</x:v>
      </x:c>
      <x:c r="N3513" s="11" t="n">
        <x:f>IF(G3513,L3513*AN3513/(1+M3513)^F3513,0)</x:f>
        <x:v>0</x:v>
      </x:c>
      <x:c r="AJ3513" t="n">
        <x:v>0</x:v>
      </x:c>
      <x:c r="AK3513" t="n">
        <x:v>0</x:v>
      </x:c>
      <x:c r="AL3513" t="n">
        <x:v>0</x:v>
      </x:c>
      <x:c r="AM3513" t="n">
        <x:f>CHOOSE('假设'!$B$3,AJ3513,AK3513,AL3513)</x:f>
        <x:v>0</x:v>
      </x:c>
      <x:c r="AN3513" t="n">
        <x:v>1</x:v>
      </x:c>
    </x:row>
    <x:row r="3514" ht="23" customHeight="1">
      <x:c r="A3514" s="11" t="str">
        <x:v>688382.SH</x:v>
      </x:c>
      <x:c r="B3514" s="11" t="str">
        <x:v>五年</x:v>
      </x:c>
      <x:c r="C3514" s="11" t="str">
        <x:v>g12c_global</x:v>
      </x:c>
      <x:c r="D3514" s="11" t="str">
        <x:v>2028-12-31</x:v>
      </x:c>
      <x:c r="E3514" s="11" t="str">
        <x:v>USD</x:v>
      </x:c>
      <x:c r="F3514" s="11" t="n">
        <x:v>-2.7707049965776864</x:v>
      </x:c>
      <x:c r="G3514" s="26" t="b">
        <x:v>0</x:v>
      </x:c>
      <x:c r="H3514" s="16" t="n">
        <x:v>0</x:v>
      </x:c>
      <x:c r="I3514" s="16" t="n">
        <x:v>0</x:v>
      </x:c>
      <x:c r="J3514" s="16" t="n">
        <x:v>0</x:v>
      </x:c>
      <x:c r="K3514" s="11" t="n">
        <x:f>CHOOSE('假设'!$B$3,H3514,I3514,J3514)</x:f>
        <x:v>0</x:v>
      </x:c>
      <x:c r="L3514" s="11" t="n">
        <x:f>K3514*'管线假设'!E763*'管线假设'!F763*'管线假设'!G763*IF(E3514="USD",'管线假设'!I763,1)-AM3514</x:f>
        <x:v>0</x:v>
      </x:c>
      <x:c r="M3514" s="11" t="n">
        <x:f>'管线假设'!H763</x:f>
        <x:v>0.135</x:v>
      </x:c>
      <x:c r="N3514" s="11" t="n">
        <x:f>IF(G3514,L3514*AN3514/(1+M3514)^F3514,0)</x:f>
        <x:v>0</x:v>
      </x:c>
      <x:c r="AJ3514" t="n">
        <x:v>0</x:v>
      </x:c>
      <x:c r="AK3514" t="n">
        <x:v>0</x:v>
      </x:c>
      <x:c r="AL3514" t="n">
        <x:v>0</x:v>
      </x:c>
      <x:c r="AM3514" t="n">
        <x:f>CHOOSE('假设'!$B$3,AJ3514,AK3514,AL3514)</x:f>
        <x:v>0</x:v>
      </x:c>
      <x:c r="AN3514" t="n">
        <x:v>1</x:v>
      </x:c>
    </x:row>
    <x:row r="3515" ht="23" customHeight="1">
      <x:c r="A3515" s="11" t="str">
        <x:v>688382.SH</x:v>
      </x:c>
      <x:c r="B3515" s="11" t="str">
        <x:v>五年</x:v>
      </x:c>
      <x:c r="C3515" s="11" t="str">
        <x:v>g12c_global</x:v>
      </x:c>
      <x:c r="D3515" s="11" t="str">
        <x:v>2029-12-31</x:v>
      </x:c>
      <x:c r="E3515" s="11" t="str">
        <x:v>USD</x:v>
      </x:c>
      <x:c r="F3515" s="11" t="n">
        <x:v>-1.7713894592744694</x:v>
      </x:c>
      <x:c r="G3515" s="26" t="b">
        <x:v>0</x:v>
      </x:c>
      <x:c r="H3515" s="16" t="n">
        <x:v>0</x:v>
      </x:c>
      <x:c r="I3515" s="16" t="n">
        <x:v>0</x:v>
      </x:c>
      <x:c r="J3515" s="16" t="n">
        <x:v>0</x:v>
      </x:c>
      <x:c r="K3515" s="11" t="n">
        <x:f>CHOOSE('假设'!$B$3,H3515,I3515,J3515)</x:f>
        <x:v>0</x:v>
      </x:c>
      <x:c r="L3515" s="11" t="n">
        <x:f>K3515*'管线假设'!E763*'管线假设'!F763*'管线假设'!G763*IF(E3515="USD",'管线假设'!I763,1)-AM3515</x:f>
        <x:v>0</x:v>
      </x:c>
      <x:c r="M3515" s="11" t="n">
        <x:f>'管线假设'!H763</x:f>
        <x:v>0.135</x:v>
      </x:c>
      <x:c r="N3515" s="11" t="n">
        <x:f>IF(G3515,L3515*AN3515/(1+M3515)^F3515,0)</x:f>
        <x:v>0</x:v>
      </x:c>
      <x:c r="AJ3515" t="n">
        <x:v>0</x:v>
      </x:c>
      <x:c r="AK3515" t="n">
        <x:v>0</x:v>
      </x:c>
      <x:c r="AL3515" t="n">
        <x:v>0</x:v>
      </x:c>
      <x:c r="AM3515" t="n">
        <x:f>CHOOSE('假设'!$B$3,AJ3515,AK3515,AL3515)</x:f>
        <x:v>0</x:v>
      </x:c>
      <x:c r="AN3515" t="n">
        <x:v>1</x:v>
      </x:c>
    </x:row>
    <x:row r="3516" ht="23" customHeight="1">
      <x:c r="A3516" s="11" t="str">
        <x:v>688382.SH</x:v>
      </x:c>
      <x:c r="B3516" s="11" t="str">
        <x:v>五年</x:v>
      </x:c>
      <x:c r="C3516" s="11" t="str">
        <x:v>g12c_global</x:v>
      </x:c>
      <x:c r="D3516" s="11" t="str">
        <x:v>2030-12-31</x:v>
      </x:c>
      <x:c r="E3516" s="11" t="str">
        <x:v>USD</x:v>
      </x:c>
      <x:c r="F3516" s="11" t="n">
        <x:v>-0.7720739219712526</x:v>
      </x:c>
      <x:c r="G3516" s="26" t="b">
        <x:v>0</x:v>
      </x:c>
      <x:c r="H3516" s="16" t="n">
        <x:v>0</x:v>
      </x:c>
      <x:c r="I3516" s="16" t="n">
        <x:v>0</x:v>
      </x:c>
      <x:c r="J3516" s="16" t="n">
        <x:v>0.41666666666666663</x:v>
      </x:c>
      <x:c r="K3516" s="11" t="n">
        <x:f>CHOOSE('假设'!$B$3,H3516,I3516,J3516)</x:f>
        <x:v>0</x:v>
      </x:c>
      <x:c r="L3516" s="11" t="n">
        <x:f>K3516*'管线假设'!E763*'管线假设'!F763*'管线假设'!G763*IF(E3516="USD",'管线假设'!I763,1)-AM3516</x:f>
        <x:v>0</x:v>
      </x:c>
      <x:c r="M3516" s="11" t="n">
        <x:f>'管线假设'!H763</x:f>
        <x:v>0.135</x:v>
      </x:c>
      <x:c r="N3516" s="11" t="n">
        <x:f>IF(G3516,L3516*AN3516/(1+M3516)^F3516,0)</x:f>
        <x:v>0</x:v>
      </x:c>
      <x:c r="AJ3516" t="n">
        <x:v>0</x:v>
      </x:c>
      <x:c r="AK3516" t="n">
        <x:v>0</x:v>
      </x:c>
      <x:c r="AL3516" t="n">
        <x:v>0</x:v>
      </x:c>
      <x:c r="AM3516" t="n">
        <x:f>CHOOSE('假设'!$B$3,AJ3516,AK3516,AL3516)</x:f>
        <x:v>0</x:v>
      </x:c>
      <x:c r="AN3516" t="n">
        <x:v>1</x:v>
      </x:c>
    </x:row>
    <x:row r="3517" ht="23" customHeight="1">
      <x:c r="A3517" s="11" t="str">
        <x:v>688382.SH</x:v>
      </x:c>
      <x:c r="B3517" s="11" t="str">
        <x:v>五年</x:v>
      </x:c>
      <x:c r="C3517" s="11" t="str">
        <x:v>g12c_global</x:v>
      </x:c>
      <x:c r="D3517" s="11" t="str">
        <x:v>2031-12-31</x:v>
      </x:c>
      <x:c r="E3517" s="11" t="str">
        <x:v>USD</x:v>
      </x:c>
      <x:c r="F3517" s="11" t="n">
        <x:v>0.2272416153319644</x:v>
      </x:c>
      <x:c r="G3517" s="26" t="b">
        <x:v>1</x:v>
      </x:c>
      <x:c r="H3517" s="16" t="n">
        <x:v>0</x:v>
      </x:c>
      <x:c r="I3517" s="16" t="n">
        <x:v>0</x:v>
      </x:c>
      <x:c r="J3517" s="16" t="n">
        <x:v>0.8333333333333333</x:v>
      </x:c>
      <x:c r="K3517" s="11" t="n">
        <x:f>CHOOSE('假设'!$B$3,H3517,I3517,J3517)</x:f>
        <x:v>0</x:v>
      </x:c>
      <x:c r="L3517" s="11" t="n">
        <x:f>K3517*'管线假设'!E763*'管线假设'!F763*'管线假设'!G763*IF(E3517="USD",'管线假设'!I763,1)-AM3517</x:f>
        <x:v>0</x:v>
      </x:c>
      <x:c r="M3517" s="11" t="n">
        <x:f>'管线假设'!H763</x:f>
        <x:v>0.135</x:v>
      </x:c>
      <x:c r="N3517" s="11" t="n">
        <x:f>IF(G3517,L3517*AN3517/(1+M3517)^F3517,0)</x:f>
        <x:v>0</x:v>
      </x:c>
      <x:c r="AJ3517" t="n">
        <x:v>0</x:v>
      </x:c>
      <x:c r="AK3517" t="n">
        <x:v>0</x:v>
      </x:c>
      <x:c r="AL3517" t="n">
        <x:v>0</x:v>
      </x:c>
      <x:c r="AM3517" t="n">
        <x:f>CHOOSE('假设'!$B$3,AJ3517,AK3517,AL3517)</x:f>
        <x:v>0</x:v>
      </x:c>
      <x:c r="AN3517" t="n">
        <x:v>1</x:v>
      </x:c>
    </x:row>
    <x:row r="3518" ht="23" customHeight="1">
      <x:c r="A3518" s="11" t="str">
        <x:v>688382.SH</x:v>
      </x:c>
      <x:c r="B3518" s="11" t="str">
        <x:v>五年</x:v>
      </x:c>
      <x:c r="C3518" s="11" t="str">
        <x:v>g12c_global</x:v>
      </x:c>
      <x:c r="D3518" s="11" t="str">
        <x:v>2032-12-31</x:v>
      </x:c>
      <x:c r="E3518" s="11" t="str">
        <x:v>USD</x:v>
      </x:c>
      <x:c r="F3518" s="11" t="n">
        <x:v>1.2292950034223136</x:v>
      </x:c>
      <x:c r="G3518" s="26" t="b">
        <x:v>1</x:v>
      </x:c>
      <x:c r="H3518" s="16" t="n">
        <x:v>0</x:v>
      </x:c>
      <x:c r="I3518" s="16" t="n">
        <x:v>0.21666666666666667</x:v>
      </x:c>
      <x:c r="J3518" s="16" t="n">
        <x:v>1.25</x:v>
      </x:c>
      <x:c r="K3518" s="11" t="n">
        <x:f>CHOOSE('假设'!$B$3,H3518,I3518,J3518)</x:f>
        <x:v>0.21666666666666667</x:v>
      </x:c>
      <x:c r="L3518" s="11" t="n">
        <x:f>K3518*'管线假设'!E763*'管线假设'!F763*'管线假设'!G763*IF(E3518="USD",'管线假设'!I763,1)-AM3518</x:f>
        <x:v>0.060346260000000006</x:v>
      </x:c>
      <x:c r="M3518" s="11" t="n">
        <x:f>'管线假设'!H763</x:f>
        <x:v>0.135</x:v>
      </x:c>
      <x:c r="N3518" s="11" t="n">
        <x:f>IF(G3518,L3518*AN3518/(1+M3518)^F3518,0)</x:f>
        <x:v>0.05164689557522347</x:v>
      </x:c>
      <x:c r="AJ3518" t="n">
        <x:v>0</x:v>
      </x:c>
      <x:c r="AK3518" t="n">
        <x:v>0</x:v>
      </x:c>
      <x:c r="AL3518" t="n">
        <x:v>0</x:v>
      </x:c>
      <x:c r="AM3518" t="n">
        <x:f>CHOOSE('假设'!$B$3,AJ3518,AK3518,AL3518)</x:f>
        <x:v>0</x:v>
      </x:c>
      <x:c r="AN3518" t="n">
        <x:v>1</x:v>
      </x:c>
    </x:row>
    <x:row r="3519" ht="23" customHeight="1">
      <x:c r="A3519" s="11" t="str">
        <x:v>688382.SH</x:v>
      </x:c>
      <x:c r="B3519" s="11" t="str">
        <x:v>五年</x:v>
      </x:c>
      <x:c r="C3519" s="11" t="str">
        <x:v>g12c_global</x:v>
      </x:c>
      <x:c r="D3519" s="11" t="str">
        <x:v>2033-12-31</x:v>
      </x:c>
      <x:c r="E3519" s="11" t="str">
        <x:v>USD</x:v>
      </x:c>
      <x:c r="F3519" s="11" t="n">
        <x:v>2.2286105407255303</x:v>
      </x:c>
      <x:c r="G3519" s="26" t="b">
        <x:v>1</x:v>
      </x:c>
      <x:c r="H3519" s="16" t="n">
        <x:v>0</x:v>
      </x:c>
      <x:c r="I3519" s="16" t="n">
        <x:v>0.43333333333333335</x:v>
      </x:c>
      <x:c r="J3519" s="16" t="n">
        <x:v>1.6666666666666665</x:v>
      </x:c>
      <x:c r="K3519" s="11" t="n">
        <x:f>CHOOSE('假设'!$B$3,H3519,I3519,J3519)</x:f>
        <x:v>0.43333333333333335</x:v>
      </x:c>
      <x:c r="L3519" s="11" t="n">
        <x:f>K3519*'管线假设'!E763*'管线假设'!F763*'管线假设'!G763*IF(E3519="USD",'管线假设'!I763,1)-AM3519</x:f>
        <x:v>0.12069252000000001</x:v>
      </x:c>
      <x:c r="M3519" s="11" t="n">
        <x:f>'管线假设'!H763</x:f>
        <x:v>0.135</x:v>
      </x:c>
      <x:c r="N3519" s="11" t="n">
        <x:f>IF(G3519,L3519*AN3519/(1+M3519)^F3519,0)</x:f>
        <x:v>0.0910156339748529</x:v>
      </x:c>
      <x:c r="AJ3519" t="n">
        <x:v>0</x:v>
      </x:c>
      <x:c r="AK3519" t="n">
        <x:v>0</x:v>
      </x:c>
      <x:c r="AL3519" t="n">
        <x:v>0</x:v>
      </x:c>
      <x:c r="AM3519" t="n">
        <x:f>CHOOSE('假设'!$B$3,AJ3519,AK3519,AL3519)</x:f>
        <x:v>0</x:v>
      </x:c>
      <x:c r="AN3519" t="n">
        <x:v>1</x:v>
      </x:c>
    </x:row>
    <x:row r="3520" ht="23" customHeight="1">
      <x:c r="A3520" s="11" t="str">
        <x:v>688382.SH</x:v>
      </x:c>
      <x:c r="B3520" s="11" t="str">
        <x:v>五年</x:v>
      </x:c>
      <x:c r="C3520" s="11" t="str">
        <x:v>g12c_global</x:v>
      </x:c>
      <x:c r="D3520" s="11" t="str">
        <x:v>2034-12-31</x:v>
      </x:c>
      <x:c r="E3520" s="11" t="str">
        <x:v>USD</x:v>
      </x:c>
      <x:c r="F3520" s="11" t="n">
        <x:v>3.2279260780287475</x:v>
      </x:c>
      <x:c r="G3520" s="26" t="b">
        <x:v>1</x:v>
      </x:c>
      <x:c r="H3520" s="16" t="n">
        <x:v>0</x:v>
      </x:c>
      <x:c r="I3520" s="16" t="n">
        <x:v>0.65</x:v>
      </x:c>
      <x:c r="J3520" s="16" t="n">
        <x:v>2.0833333333333335</x:v>
      </x:c>
      <x:c r="K3520" s="11" t="n">
        <x:f>CHOOSE('假设'!$B$3,H3520,I3520,J3520)</x:f>
        <x:v>0.65</x:v>
      </x:c>
      <x:c r="L3520" s="11" t="n">
        <x:f>K3520*'管线假设'!E763*'管线假设'!F763*'管线假设'!G763*IF(E3520="USD",'管线假设'!I763,1)-AM3520</x:f>
        <x:v>0.18103878</x:v>
      </x:c>
      <x:c r="M3520" s="11" t="n">
        <x:f>'管线假设'!H763</x:f>
        <x:v>0.135</x:v>
      </x:c>
      <x:c r="N3520" s="11" t="n">
        <x:f>IF(G3520,L3520*AN3520/(1+M3520)^F3520,0)</x:f>
        <x:v>0.12029540501295496</x:v>
      </x:c>
      <x:c r="AJ3520" t="n">
        <x:v>0</x:v>
      </x:c>
      <x:c r="AK3520" t="n">
        <x:v>0</x:v>
      </x:c>
      <x:c r="AL3520" t="n">
        <x:v>0</x:v>
      </x:c>
      <x:c r="AM3520" t="n">
        <x:f>CHOOSE('假设'!$B$3,AJ3520,AK3520,AL3520)</x:f>
        <x:v>0</x:v>
      </x:c>
      <x:c r="AN3520" t="n">
        <x:v>1</x:v>
      </x:c>
    </x:row>
    <x:row r="3521" ht="23" customHeight="1">
      <x:c r="A3521" s="11" t="str">
        <x:v>688382.SH</x:v>
      </x:c>
      <x:c r="B3521" s="11" t="str">
        <x:v>五年</x:v>
      </x:c>
      <x:c r="C3521" s="11" t="str">
        <x:v>g12c_global</x:v>
      </x:c>
      <x:c r="D3521" s="11" t="str">
        <x:v>2035-12-31</x:v>
      </x:c>
      <x:c r="E3521" s="11" t="str">
        <x:v>USD</x:v>
      </x:c>
      <x:c r="F3521" s="11" t="n">
        <x:v>4.227241615331964</x:v>
      </x:c>
      <x:c r="G3521" s="26" t="b">
        <x:v>1</x:v>
      </x:c>
      <x:c r="H3521" s="16" t="n">
        <x:v>0.1</x:v>
      </x:c>
      <x:c r="I3521" s="16" t="n">
        <x:v>0.8666666666666667</x:v>
      </x:c>
      <x:c r="J3521" s="16" t="n">
        <x:v>2.5</x:v>
      </x:c>
      <x:c r="K3521" s="11" t="n">
        <x:f>CHOOSE('假设'!$B$3,H3521,I3521,J3521)</x:f>
        <x:v>0.8666666666666667</x:v>
      </x:c>
      <x:c r="L3521" s="11" t="n">
        <x:f>K3521*'管线假设'!E763*'管线假设'!F763*'管线假设'!G763*IF(E3521="USD",'管线假设'!I763,1)-AM3521</x:f>
        <x:v>0.24138504000000002</x:v>
      </x:c>
      <x:c r="M3521" s="11" t="n">
        <x:f>'管线假设'!H763</x:f>
        <x:v>0.135</x:v>
      </x:c>
      <x:c r="N3521" s="11" t="n">
        <x:f>IF(G3521,L3521*AN3521/(1+M3521)^F3521,0)</x:f>
        <x:v>0.1413284371315726</x:v>
      </x:c>
      <x:c r="AJ3521" t="n">
        <x:v>0</x:v>
      </x:c>
      <x:c r="AK3521" t="n">
        <x:v>0</x:v>
      </x:c>
      <x:c r="AL3521" t="n">
        <x:v>0</x:v>
      </x:c>
      <x:c r="AM3521" t="n">
        <x:f>CHOOSE('假设'!$B$3,AJ3521,AK3521,AL3521)</x:f>
        <x:v>0</x:v>
      </x:c>
      <x:c r="AN3521" t="n">
        <x:v>1</x:v>
      </x:c>
    </x:row>
    <x:row r="3522" ht="23" customHeight="1">
      <x:c r="A3522" s="11" t="str">
        <x:v>688382.SH</x:v>
      </x:c>
      <x:c r="B3522" s="11" t="str">
        <x:v>五年</x:v>
      </x:c>
      <x:c r="C3522" s="11" t="str">
        <x:v>g12c_global</x:v>
      </x:c>
      <x:c r="D3522" s="11" t="str">
        <x:v>2036-12-31</x:v>
      </x:c>
      <x:c r="E3522" s="11" t="str">
        <x:v>USD</x:v>
      </x:c>
      <x:c r="F3522" s="11" t="n">
        <x:v>5.229295003422314</x:v>
      </x:c>
      <x:c r="G3522" s="26" t="b">
        <x:v>1</x:v>
      </x:c>
      <x:c r="H3522" s="16" t="n">
        <x:v>0.2</x:v>
      </x:c>
      <x:c r="I3522" s="16" t="n">
        <x:v>1.0833333333333335</x:v>
      </x:c>
      <x:c r="J3522" s="16" t="n">
        <x:v>2.175</x:v>
      </x:c>
      <x:c r="K3522" s="11" t="n">
        <x:f>CHOOSE('假设'!$B$3,H3522,I3522,J3522)</x:f>
        <x:v>1.0833333333333335</x:v>
      </x:c>
      <x:c r="L3522" s="11" t="n">
        <x:f>K3522*'管线假设'!E763*'管线假设'!F763*'管线假设'!G763*IF(E3522="USD",'管线假设'!I763,1)-AM3522</x:f>
        <x:v>0.30173130000000004</x:v>
      </x:c>
      <x:c r="M3522" s="11" t="n">
        <x:f>'管线假设'!H763</x:f>
        <x:v>0.135</x:v>
      </x:c>
      <x:c r="N3522" s="11" t="n">
        <x:f>IF(G3522,L3522*AN3522/(1+M3522)^F3522,0)</x:f>
        <x:v>0.15560759123792098</x:v>
      </x:c>
      <x:c r="AJ3522" t="n">
        <x:v>0</x:v>
      </x:c>
      <x:c r="AK3522" t="n">
        <x:v>0</x:v>
      </x:c>
      <x:c r="AL3522" t="n">
        <x:v>0</x:v>
      </x:c>
      <x:c r="AM3522" t="n">
        <x:f>CHOOSE('假设'!$B$3,AJ3522,AK3522,AL3522)</x:f>
        <x:v>0</x:v>
      </x:c>
      <x:c r="AN3522" t="n">
        <x:v>1</x:v>
      </x:c>
    </x:row>
    <x:row r="3523" ht="23" customHeight="1">
      <x:c r="A3523" s="11" t="str">
        <x:v>688382.SH</x:v>
      </x:c>
      <x:c r="B3523" s="11" t="str">
        <x:v>五年</x:v>
      </x:c>
      <x:c r="C3523" s="11" t="str">
        <x:v>g12c_global</x:v>
      </x:c>
      <x:c r="D3523" s="11" t="str">
        <x:v>2037-12-31</x:v>
      </x:c>
      <x:c r="E3523" s="11" t="str">
        <x:v>USD</x:v>
      </x:c>
      <x:c r="F3523" s="11" t="n">
        <x:v>6.228610540725531</x:v>
      </x:c>
      <x:c r="G3523" s="26" t="b">
        <x:v>1</x:v>
      </x:c>
      <x:c r="H3523" s="16" t="n">
        <x:v>0.3</x:v>
      </x:c>
      <x:c r="I3523" s="16" t="n">
        <x:v>1.3</x:v>
      </x:c>
      <x:c r="J3523" s="16" t="n">
        <x:v>1.85</x:v>
      </x:c>
      <x:c r="K3523" s="11" t="n">
        <x:f>CHOOSE('假设'!$B$3,H3523,I3523,J3523)</x:f>
        <x:v>1.3</x:v>
      </x:c>
      <x:c r="L3523" s="11" t="n">
        <x:f>K3523*'管线假设'!E763*'管线假设'!F763*'管线假设'!G763*IF(E3523="USD",'管线假设'!I763,1)-AM3523</x:f>
        <x:v>0.36207756</x:v>
      </x:c>
      <x:c r="M3523" s="11" t="n">
        <x:f>'管线假设'!H763</x:f>
        <x:v>0.135</x:v>
      </x:c>
      <x:c r="N3523" s="11" t="n">
        <x:f>IF(G3523,L3523*AN3523/(1+M3523)^F3523,0)</x:f>
        <x:v>0.16453329955359505</x:v>
      </x:c>
      <x:c r="AJ3523" t="n">
        <x:v>0</x:v>
      </x:c>
      <x:c r="AK3523" t="n">
        <x:v>0</x:v>
      </x:c>
      <x:c r="AL3523" t="n">
        <x:v>0</x:v>
      </x:c>
      <x:c r="AM3523" t="n">
        <x:f>CHOOSE('假设'!$B$3,AJ3523,AK3523,AL3523)</x:f>
        <x:v>0</x:v>
      </x:c>
      <x:c r="AN3523" t="n">
        <x:v>1</x:v>
      </x:c>
    </x:row>
    <x:row r="3524" ht="23" customHeight="1">
      <x:c r="A3524" s="11" t="str">
        <x:v>688382.SH</x:v>
      </x:c>
      <x:c r="B3524" s="11" t="str">
        <x:v>五年</x:v>
      </x:c>
      <x:c r="C3524" s="11" t="str">
        <x:v>g12c_global</x:v>
      </x:c>
      <x:c r="D3524" s="11" t="str">
        <x:v>2038-12-31</x:v>
      </x:c>
      <x:c r="E3524" s="11" t="str">
        <x:v>USD</x:v>
      </x:c>
      <x:c r="F3524" s="11" t="n">
        <x:v>7.227926078028747</x:v>
      </x:c>
      <x:c r="G3524" s="26" t="b">
        <x:v>1</x:v>
      </x:c>
      <x:c r="H3524" s="16" t="n">
        <x:v>0.4</x:v>
      </x:c>
      <x:c r="I3524" s="16" t="n">
        <x:v>1.131</x:v>
      </x:c>
      <x:c r="J3524" s="16" t="n">
        <x:v>1.525</x:v>
      </x:c>
      <x:c r="K3524" s="11" t="n">
        <x:f>CHOOSE('假设'!$B$3,H3524,I3524,J3524)</x:f>
        <x:v>1.131</x:v>
      </x:c>
      <x:c r="L3524" s="11" t="n">
        <x:f>K3524*'管线假设'!E763*'管线假设'!F763*'管线假设'!G763*IF(E3524="USD",'管线假设'!I763,1)-AM3524</x:f>
        <x:v>0.3150074772</x:v>
      </x:c>
      <x:c r="M3524" s="11" t="n">
        <x:f>'管线假设'!H763</x:f>
        <x:v>0.135</x:v>
      </x:c>
      <x:c r="N3524" s="11" t="n">
        <x:f>IF(G3524,L3524*AN3524/(1+M3524)^F3524,0)</x:f>
        <x:v>0.12612896757675676</x:v>
      </x:c>
      <x:c r="AJ3524" t="n">
        <x:v>0</x:v>
      </x:c>
      <x:c r="AK3524" t="n">
        <x:v>0</x:v>
      </x:c>
      <x:c r="AL3524" t="n">
        <x:v>0</x:v>
      </x:c>
      <x:c r="AM3524" t="n">
        <x:f>CHOOSE('假设'!$B$3,AJ3524,AK3524,AL3524)</x:f>
        <x:v>0</x:v>
      </x:c>
      <x:c r="AN3524" t="n">
        <x:v>1</x:v>
      </x:c>
    </x:row>
    <x:row r="3525" ht="23" customHeight="1">
      <x:c r="A3525" s="11" t="str">
        <x:v>688382.SH</x:v>
      </x:c>
      <x:c r="B3525" s="11" t="str">
        <x:v>五年</x:v>
      </x:c>
      <x:c r="C3525" s="11" t="str">
        <x:v>g12c_global</x:v>
      </x:c>
      <x:c r="D3525" s="11" t="str">
        <x:v>2039-12-31</x:v>
      </x:c>
      <x:c r="E3525" s="11" t="str">
        <x:v>USD</x:v>
      </x:c>
      <x:c r="F3525" s="11" t="n">
        <x:v>8.227241615331964</x:v>
      </x:c>
      <x:c r="G3525" s="26" t="b">
        <x:v>1</x:v>
      </x:c>
      <x:c r="H3525" s="16" t="n">
        <x:v>0.5</x:v>
      </x:c>
      <x:c r="I3525" s="16" t="n">
        <x:v>0.962</x:v>
      </x:c>
      <x:c r="J3525" s="16" t="n">
        <x:v>1.2</x:v>
      </x:c>
      <x:c r="K3525" s="11" t="n">
        <x:f>CHOOSE('假设'!$B$3,H3525,I3525,J3525)</x:f>
        <x:v>0.962</x:v>
      </x:c>
      <x:c r="L3525" s="11" t="n">
        <x:f>K3525*'管线假设'!E763*'管线假设'!F763*'管线假设'!G763*IF(E3525="USD",'管线假设'!I763,1)-AM3525</x:f>
        <x:v>0.26793739440000003</x:v>
      </x:c>
      <x:c r="M3525" s="11" t="n">
        <x:f>'管线假设'!H763</x:f>
        <x:v>0.135</x:v>
      </x:c>
      <x:c r="N3525" s="11" t="n">
        <x:f>IF(G3525,L3525*AN3525/(1+M3525)^F3525,0)</x:f>
        <x:v>0.09452987618282171</x:v>
      </x:c>
      <x:c r="AJ3525" t="n">
        <x:v>0</x:v>
      </x:c>
      <x:c r="AK3525" t="n">
        <x:v>0</x:v>
      </x:c>
      <x:c r="AL3525" t="n">
        <x:v>0</x:v>
      </x:c>
      <x:c r="AM3525" t="n">
        <x:f>CHOOSE('假设'!$B$3,AJ3525,AK3525,AL3525)</x:f>
        <x:v>0</x:v>
      </x:c>
      <x:c r="AN3525" t="n">
        <x:v>1</x:v>
      </x:c>
    </x:row>
    <x:row r="3526" ht="23" customHeight="1">
      <x:c r="A3526" s="11" t="str">
        <x:v>688382.SH</x:v>
      </x:c>
      <x:c r="B3526" s="11" t="str">
        <x:v>五年</x:v>
      </x:c>
      <x:c r="C3526" s="11" t="str">
        <x:v>g12c_global</x:v>
      </x:c>
      <x:c r="D3526" s="11" t="str">
        <x:v>2040-12-31</x:v>
      </x:c>
      <x:c r="E3526" s="11" t="str">
        <x:v>USD</x:v>
      </x:c>
      <x:c r="F3526" s="11" t="n">
        <x:v>9.229295003422314</x:v>
      </x:c>
      <x:c r="G3526" s="26" t="b">
        <x:v>1</x:v>
      </x:c>
      <x:c r="H3526" s="16" t="n">
        <x:v>0.435</x:v>
      </x:c>
      <x:c r="I3526" s="16" t="n">
        <x:v>0.793</x:v>
      </x:c>
      <x:c r="J3526" s="16" t="n">
        <x:v>0.875</x:v>
      </x:c>
      <x:c r="K3526" s="11" t="n">
        <x:f>CHOOSE('假设'!$B$3,H3526,I3526,J3526)</x:f>
        <x:v>0.793</x:v>
      </x:c>
      <x:c r="L3526" s="11" t="n">
        <x:f>K3526*'管线假设'!E763*'管线假设'!F763*'管线假设'!G763*IF(E3526="USD",'管线假设'!I763,1)-AM3526</x:f>
        <x:v>0.22086731160000006</x:v>
      </x:c>
      <x:c r="M3526" s="11" t="n">
        <x:f>'管线假设'!H763</x:f>
        <x:v>0.135</x:v>
      </x:c>
      <x:c r="N3526" s="11" t="n">
        <x:f>IF(G3526,L3526*AN3526/(1+M3526)^F3526,0)</x:f>
        <x:v>0.06863701926951148</x:v>
      </x:c>
      <x:c r="AJ3526" t="n">
        <x:v>0</x:v>
      </x:c>
      <x:c r="AK3526" t="n">
        <x:v>0</x:v>
      </x:c>
      <x:c r="AL3526" t="n">
        <x:v>0</x:v>
      </x:c>
      <x:c r="AM3526" t="n">
        <x:f>CHOOSE('假设'!$B$3,AJ3526,AK3526,AL3526)</x:f>
        <x:v>0</x:v>
      </x:c>
      <x:c r="AN3526" t="n">
        <x:v>1</x:v>
      </x:c>
    </x:row>
    <x:row r="3527" ht="23" customHeight="1">
      <x:c r="A3527" s="11" t="str">
        <x:v>688382.SH</x:v>
      </x:c>
      <x:c r="B3527" s="11" t="str">
        <x:v>五年</x:v>
      </x:c>
      <x:c r="C3527" s="11" t="str">
        <x:v>g12c_global</x:v>
      </x:c>
      <x:c r="D3527" s="11" t="str">
        <x:v>2041-12-31</x:v>
      </x:c>
      <x:c r="E3527" s="11" t="str">
        <x:v>USD</x:v>
      </x:c>
      <x:c r="F3527" s="11" t="n">
        <x:v>10.22861054072553</x:v>
      </x:c>
      <x:c r="G3527" s="26" t="b">
        <x:v>1</x:v>
      </x:c>
      <x:c r="H3527" s="16" t="n">
        <x:v>0.37</x:v>
      </x:c>
      <x:c r="I3527" s="16" t="n">
        <x:v>0.624</x:v>
      </x:c>
      <x:c r="J3527" s="16" t="n">
        <x:v>0.5499999999999999</x:v>
      </x:c>
      <x:c r="K3527" s="11" t="n">
        <x:f>CHOOSE('假设'!$B$3,H3527,I3527,J3527)</x:f>
        <x:v>0.624</x:v>
      </x:c>
      <x:c r="L3527" s="11" t="n">
        <x:f>K3527*'管线假设'!E763*'管线假设'!F763*'管线假设'!G763*IF(E3527="USD",'管线假设'!I763,1)-AM3527</x:f>
        <x:v>0.1737972288</x:v>
      </x:c>
      <x:c r="M3527" s="11" t="n">
        <x:f>'管线假设'!H763</x:f>
        <x:v>0.135</x:v>
      </x:c>
      <x:c r="N3527" s="11" t="n">
        <x:f>IF(G3527,L3527*AN3527/(1+M3527)^F3527,0)</x:f>
        <x:v>0.04758955002297325</x:v>
      </x:c>
      <x:c r="AJ3527" t="n">
        <x:v>0</x:v>
      </x:c>
      <x:c r="AK3527" t="n">
        <x:v>0</x:v>
      </x:c>
      <x:c r="AL3527" t="n">
        <x:v>0</x:v>
      </x:c>
      <x:c r="AM3527" t="n">
        <x:f>CHOOSE('假设'!$B$3,AJ3527,AK3527,AL3527)</x:f>
        <x:v>0</x:v>
      </x:c>
      <x:c r="AN3527" t="n">
        <x:v>1</x:v>
      </x:c>
    </x:row>
    <x:row r="3528" ht="23" customHeight="1">
      <x:c r="A3528" s="11" t="str">
        <x:v>688382.SH</x:v>
      </x:c>
      <x:c r="B3528" s="11" t="str">
        <x:v>五年</x:v>
      </x:c>
      <x:c r="C3528" s="11" t="str">
        <x:v>g12c_global</x:v>
      </x:c>
      <x:c r="D3528" s="11" t="str">
        <x:v>2042-12-31</x:v>
      </x:c>
      <x:c r="E3528" s="11" t="str">
        <x:v>USD</x:v>
      </x:c>
      <x:c r="F3528" s="11" t="n">
        <x:v>11.227926078028748</x:v>
      </x:c>
      <x:c r="G3528" s="26" t="b">
        <x:v>1</x:v>
      </x:c>
      <x:c r="H3528" s="16" t="n">
        <x:v>0.305</x:v>
      </x:c>
      <x:c r="I3528" s="16" t="n">
        <x:v>0.45499999999999996</x:v>
      </x:c>
      <x:c r="J3528" s="16" t="n">
        <x:v>0.22499999999999992</x:v>
      </x:c>
      <x:c r="K3528" s="11" t="n">
        <x:f>CHOOSE('假设'!$B$3,H3528,I3528,J3528)</x:f>
        <x:v>0.45499999999999996</x:v>
      </x:c>
      <x:c r="L3528" s="11" t="n">
        <x:f>K3528*'管线假设'!E763*'管线假设'!F763*'管线假设'!G763*IF(E3528="USD",'管线假设'!I763,1)-AM3528</x:f>
        <x:v>0.126727146</x:v>
      </x:c>
      <x:c r="M3528" s="11" t="n">
        <x:f>'管线假设'!H763</x:f>
        <x:v>0.135</x:v>
      </x:c>
      <x:c r="N3528" s="11" t="n">
        <x:f>IF(G3528,L3528*AN3528/(1+M3528)^F3528,0)</x:f>
        <x:v>0.030575965977462545</x:v>
      </x:c>
      <x:c r="AJ3528" t="n">
        <x:v>0</x:v>
      </x:c>
      <x:c r="AK3528" t="n">
        <x:v>0</x:v>
      </x:c>
      <x:c r="AL3528" t="n">
        <x:v>0</x:v>
      </x:c>
      <x:c r="AM3528" t="n">
        <x:f>CHOOSE('假设'!$B$3,AJ3528,AK3528,AL3528)</x:f>
        <x:v>0</x:v>
      </x:c>
      <x:c r="AN3528" t="n">
        <x:v>1</x:v>
      </x:c>
    </x:row>
    <x:row r="3529" ht="23" customHeight="1">
      <x:c r="A3529" s="11" t="str">
        <x:v>688382.SH</x:v>
      </x:c>
      <x:c r="B3529" s="11" t="str">
        <x:v>五年</x:v>
      </x:c>
      <x:c r="C3529" s="11" t="str">
        <x:v>g12c_global</x:v>
      </x:c>
      <x:c r="D3529" s="11" t="str">
        <x:v>2043-12-31</x:v>
      </x:c>
      <x:c r="E3529" s="11" t="str">
        <x:v>USD</x:v>
      </x:c>
      <x:c r="F3529" s="11" t="n">
        <x:v>12.227241615331964</x:v>
      </x:c>
      <x:c r="G3529" s="26" t="b">
        <x:v>1</x:v>
      </x:c>
      <x:c r="H3529" s="16" t="n">
        <x:v>0.24</x:v>
      </x:c>
      <x:c r="I3529" s="16" t="n">
        <x:v>0.286</x:v>
      </x:c>
      <x:c r="J3529" s="16" t="n">
        <x:v>0</x:v>
      </x:c>
      <x:c r="K3529" s="11" t="n">
        <x:f>CHOOSE('假设'!$B$3,H3529,I3529,J3529)</x:f>
        <x:v>0.286</x:v>
      </x:c>
      <x:c r="L3529" s="11" t="n">
        <x:f>K3529*'管线假设'!E763*'管线假设'!F763*'管线假设'!G763*IF(E3529="USD",'管线假设'!I763,1)-AM3529</x:f>
        <x:v>0.07965706320000002</x:v>
      </x:c>
      <x:c r="M3529" s="11" t="n">
        <x:f>'管线假设'!H763</x:f>
        <x:v>0.135</x:v>
      </x:c>
      <x:c r="N3529" s="11" t="n">
        <x:f>IF(G3529,L3529*AN3529/(1+M3529)^F3529,0)</x:f>
        <x:v>0.016934664771072645</x:v>
      </x:c>
      <x:c r="AJ3529" t="n">
        <x:v>0</x:v>
      </x:c>
      <x:c r="AK3529" t="n">
        <x:v>0</x:v>
      </x:c>
      <x:c r="AL3529" t="n">
        <x:v>0</x:v>
      </x:c>
      <x:c r="AM3529" t="n">
        <x:f>CHOOSE('假设'!$B$3,AJ3529,AK3529,AL3529)</x:f>
        <x:v>0</x:v>
      </x:c>
      <x:c r="AN3529" t="n">
        <x:v>1</x:v>
      </x:c>
    </x:row>
    <x:row r="3530" ht="23" customHeight="1">
      <x:c r="A3530" s="11" t="str">
        <x:v>688382.SH</x:v>
      </x:c>
      <x:c r="B3530" s="11" t="str">
        <x:v>五年</x:v>
      </x:c>
      <x:c r="C3530" s="11" t="str">
        <x:v>g12c_global</x:v>
      </x:c>
      <x:c r="D3530" s="11" t="str">
        <x:v>2044-12-31</x:v>
      </x:c>
      <x:c r="E3530" s="11" t="str">
        <x:v>USD</x:v>
      </x:c>
      <x:c r="F3530" s="11" t="n">
        <x:v>13.229295003422314</x:v>
      </x:c>
      <x:c r="G3530" s="26" t="b">
        <x:v>1</x:v>
      </x:c>
      <x:c r="H3530" s="16" t="n">
        <x:v>0.175</x:v>
      </x:c>
      <x:c r="I3530" s="16" t="n">
        <x:v>0.11699999999999997</x:v>
      </x:c>
      <x:c r="J3530" s="16" t="n">
        <x:v>0</x:v>
      </x:c>
      <x:c r="K3530" s="11" t="n">
        <x:f>CHOOSE('假设'!$B$3,H3530,I3530,J3530)</x:f>
        <x:v>0.11699999999999997</x:v>
      </x:c>
      <x:c r="L3530" s="11" t="n">
        <x:f>K3530*'管线假设'!E763*'管线假设'!F763*'管线假设'!G763*IF(E3530="USD",'管线假设'!I763,1)-AM3530</x:f>
        <x:v>0.032586980399999986</x:v>
      </x:c>
      <x:c r="M3530" s="11" t="n">
        <x:f>'管线假设'!H763</x:f>
        <x:v>0.135</x:v>
      </x:c>
      <x:c r="N3530" s="11" t="n">
        <x:f>IF(G3530,L3530*AN3530/(1+M3530)^F3530,0)</x:f>
        <x:v>0.0061022169410071755</x:v>
      </x:c>
      <x:c r="AJ3530" t="n">
        <x:v>0</x:v>
      </x:c>
      <x:c r="AK3530" t="n">
        <x:v>0</x:v>
      </x:c>
      <x:c r="AL3530" t="n">
        <x:v>0</x:v>
      </x:c>
      <x:c r="AM3530" t="n">
        <x:f>CHOOSE('假设'!$B$3,AJ3530,AK3530,AL3530)</x:f>
        <x:v>0</x:v>
      </x:c>
      <x:c r="AN3530" t="n">
        <x:v>1</x:v>
      </x:c>
    </x:row>
    <x:row r="3531" ht="23" customHeight="1">
      <x:c r="A3531" s="11" t="str">
        <x:v>688382.SH</x:v>
      </x:c>
      <x:c r="B3531" s="11" t="str">
        <x:v>五年</x:v>
      </x:c>
      <x:c r="C3531" s="11" t="str">
        <x:v>g12c_global</x:v>
      </x:c>
      <x:c r="D3531" s="11" t="str">
        <x:v>2045-12-31</x:v>
      </x:c>
      <x:c r="E3531" s="11" t="str">
        <x:v>USD</x:v>
      </x:c>
      <x:c r="F3531" s="11" t="n">
        <x:v>14.22861054072553</x:v>
      </x:c>
      <x:c r="G3531" s="26" t="b">
        <x:v>1</x:v>
      </x:c>
      <x:c r="H3531" s="16" t="n">
        <x:v>0.10999999999999999</x:v>
      </x:c>
      <x:c r="I3531" s="16" t="n">
        <x:v>0</x:v>
      </x:c>
      <x:c r="J3531" s="16" t="n">
        <x:v>0</x:v>
      </x:c>
      <x:c r="K3531" s="11" t="n">
        <x:f>CHOOSE('假设'!$B$3,H3531,I3531,J3531)</x:f>
        <x:v>0</x:v>
      </x:c>
      <x:c r="L3531" s="11" t="n">
        <x:f>K3531*'管线假设'!E763*'管线假设'!F763*'管线假设'!G763*IF(E3531="USD",'管线假设'!I763,1)-AM3531</x:f>
        <x:v>0</x:v>
      </x:c>
      <x:c r="M3531" s="11" t="n">
        <x:f>'管线假设'!H763</x:f>
        <x:v>0.135</x:v>
      </x:c>
      <x:c r="N3531" s="11" t="n">
        <x:f>IF(G3531,L3531*AN3531/(1+M3531)^F3531,0)</x:f>
        <x:v>0</x:v>
      </x:c>
      <x:c r="AJ3531" t="n">
        <x:v>0</x:v>
      </x:c>
      <x:c r="AK3531" t="n">
        <x:v>0</x:v>
      </x:c>
      <x:c r="AL3531" t="n">
        <x:v>0</x:v>
      </x:c>
      <x:c r="AM3531" t="n">
        <x:f>CHOOSE('假设'!$B$3,AJ3531,AK3531,AL3531)</x:f>
        <x:v>0</x:v>
      </x:c>
      <x:c r="AN3531" t="n">
        <x:v>1</x:v>
      </x:c>
    </x:row>
    <x:row r="3532" ht="23" customHeight="1">
      <x:c r="A3532" s="11" t="str">
        <x:v>688382.SH</x:v>
      </x:c>
      <x:c r="B3532" s="11" t="str">
        <x:v>五年</x:v>
      </x:c>
      <x:c r="C3532" s="11" t="str">
        <x:v>tyk_ps_cn</x:v>
      </x:c>
      <x:c r="D3532" s="11" t="str">
        <x:v>2027-12-31</x:v>
      </x:c>
      <x:c r="E3532" s="11" t="str">
        <x:v>CNY</x:v>
      </x:c>
      <x:c r="F3532" s="11" t="n">
        <x:v>-3.7727583846680357</x:v>
      </x:c>
      <x:c r="G3532" s="26" t="b">
        <x:v>0</x:v>
      </x:c>
      <x:c r="H3532" s="16" t="n">
        <x:v>0</x:v>
      </x:c>
      <x:c r="I3532" s="16" t="n">
        <x:v>0</x:v>
      </x:c>
      <x:c r="J3532" s="16" t="n">
        <x:v>0</x:v>
      </x:c>
      <x:c r="K3532" s="11" t="n">
        <x:f>CHOOSE('假设'!$B$3,H3532,I3532,J3532)</x:f>
        <x:v>0</x:v>
      </x:c>
      <x:c r="L3532" s="11" t="n">
        <x:f>K3532*'管线假设'!E767*'管线假设'!F767*'管线假设'!G767*IF(E3532="USD",'管线假设'!I767,1)-AM3532</x:f>
        <x:v>0</x:v>
      </x:c>
      <x:c r="M3532" s="11" t="n">
        <x:f>'管线假设'!H767</x:f>
        <x:v>0.135</x:v>
      </x:c>
      <x:c r="N3532" s="11" t="n">
        <x:f>IF(G3532,L3532*AN3532/(1+M3532)^F3532,0)</x:f>
        <x:v>0</x:v>
      </x:c>
      <x:c r="AJ3532" t="n">
        <x:v>0</x:v>
      </x:c>
      <x:c r="AK3532" t="n">
        <x:v>0</x:v>
      </x:c>
      <x:c r="AL3532" t="n">
        <x:v>0</x:v>
      </x:c>
      <x:c r="AM3532" t="n">
        <x:f>CHOOSE('假设'!$B$3,AJ3532,AK3532,AL3532)</x:f>
        <x:v>0</x:v>
      </x:c>
      <x:c r="AN3532" t="n">
        <x:v>1</x:v>
      </x:c>
    </x:row>
    <x:row r="3533" ht="23" customHeight="1">
      <x:c r="A3533" s="11" t="str">
        <x:v>688382.SH</x:v>
      </x:c>
      <x:c r="B3533" s="11" t="str">
        <x:v>五年</x:v>
      </x:c>
      <x:c r="C3533" s="11" t="str">
        <x:v>tyk_ps_cn</x:v>
      </x:c>
      <x:c r="D3533" s="11" t="str">
        <x:v>2028-12-31</x:v>
      </x:c>
      <x:c r="E3533" s="11" t="str">
        <x:v>CNY</x:v>
      </x:c>
      <x:c r="F3533" s="11" t="n">
        <x:v>-2.7707049965776864</x:v>
      </x:c>
      <x:c r="G3533" s="26" t="b">
        <x:v>0</x:v>
      </x:c>
      <x:c r="H3533" s="16" t="n">
        <x:v>0</x:v>
      </x:c>
      <x:c r="I3533" s="16" t="n">
        <x:v>0.41666666666666663</x:v>
      </x:c>
      <x:c r="J3533" s="16" t="n">
        <x:v>0.8</x:v>
      </x:c>
      <x:c r="K3533" s="11" t="n">
        <x:f>CHOOSE('假设'!$B$3,H3533,I3533,J3533)</x:f>
        <x:v>0.41666666666666663</x:v>
      </x:c>
      <x:c r="L3533" s="11" t="n">
        <x:f>K3533*'管线假设'!E767*'管线假设'!F767*'管线假设'!G767*IF(E3533="USD",'管线假设'!I767,1)-AM3533</x:f>
        <x:v>0.08785</x:v>
      </x:c>
      <x:c r="M3533" s="11" t="n">
        <x:f>'管线假设'!H767</x:f>
        <x:v>0.135</x:v>
      </x:c>
      <x:c r="N3533" s="11" t="n">
        <x:f>IF(G3533,L3533*AN3533/(1+M3533)^F3533,0)</x:f>
        <x:v>0</x:v>
      </x:c>
      <x:c r="AJ3533" t="n">
        <x:v>0</x:v>
      </x:c>
      <x:c r="AK3533" t="n">
        <x:v>0</x:v>
      </x:c>
      <x:c r="AL3533" t="n">
        <x:v>0</x:v>
      </x:c>
      <x:c r="AM3533" t="n">
        <x:f>CHOOSE('假设'!$B$3,AJ3533,AK3533,AL3533)</x:f>
        <x:v>0</x:v>
      </x:c>
      <x:c r="AN3533" t="n">
        <x:v>1</x:v>
      </x:c>
    </x:row>
    <x:row r="3534" ht="23" customHeight="1">
      <x:c r="A3534" s="11" t="str">
        <x:v>688382.SH</x:v>
      </x:c>
      <x:c r="B3534" s="11" t="str">
        <x:v>五年</x:v>
      </x:c>
      <x:c r="C3534" s="11" t="str">
        <x:v>tyk_ps_cn</x:v>
      </x:c>
      <x:c r="D3534" s="11" t="str">
        <x:v>2029-12-31</x:v>
      </x:c>
      <x:c r="E3534" s="11" t="str">
        <x:v>CNY</x:v>
      </x:c>
      <x:c r="F3534" s="11" t="n">
        <x:v>-1.7713894592744694</x:v>
      </x:c>
      <x:c r="G3534" s="26" t="b">
        <x:v>0</x:v>
      </x:c>
      <x:c r="H3534" s="16" t="n">
        <x:v>0</x:v>
      </x:c>
      <x:c r="I3534" s="16" t="n">
        <x:v>0.8333333333333333</x:v>
      </x:c>
      <x:c r="J3534" s="16" t="n">
        <x:v>1.6</x:v>
      </x:c>
      <x:c r="K3534" s="11" t="n">
        <x:f>CHOOSE('假设'!$B$3,H3534,I3534,J3534)</x:f>
        <x:v>0.8333333333333333</x:v>
      </x:c>
      <x:c r="L3534" s="11" t="n">
        <x:f>K3534*'管线假设'!E767*'管线假设'!F767*'管线假设'!G767*IF(E3534="USD",'管线假设'!I767,1)-AM3534</x:f>
        <x:v>0.1757</x:v>
      </x:c>
      <x:c r="M3534" s="11" t="n">
        <x:f>'管线假设'!H767</x:f>
        <x:v>0.135</x:v>
      </x:c>
      <x:c r="N3534" s="11" t="n">
        <x:f>IF(G3534,L3534*AN3534/(1+M3534)^F3534,0)</x:f>
        <x:v>0</x:v>
      </x:c>
      <x:c r="AJ3534" t="n">
        <x:v>0</x:v>
      </x:c>
      <x:c r="AK3534" t="n">
        <x:v>0</x:v>
      </x:c>
      <x:c r="AL3534" t="n">
        <x:v>0</x:v>
      </x:c>
      <x:c r="AM3534" t="n">
        <x:f>CHOOSE('假设'!$B$3,AJ3534,AK3534,AL3534)</x:f>
        <x:v>0</x:v>
      </x:c>
      <x:c r="AN3534" t="n">
        <x:v>1</x:v>
      </x:c>
    </x:row>
    <x:row r="3535" ht="23" customHeight="1">
      <x:c r="A3535" s="11" t="str">
        <x:v>688382.SH</x:v>
      </x:c>
      <x:c r="B3535" s="11" t="str">
        <x:v>五年</x:v>
      </x:c>
      <x:c r="C3535" s="11" t="str">
        <x:v>tyk_ps_cn</x:v>
      </x:c>
      <x:c r="D3535" s="11" t="str">
        <x:v>2030-12-31</x:v>
      </x:c>
      <x:c r="E3535" s="11" t="str">
        <x:v>CNY</x:v>
      </x:c>
      <x:c r="F3535" s="11" t="n">
        <x:v>-0.7720739219712526</x:v>
      </x:c>
      <x:c r="G3535" s="26" t="b">
        <x:v>0</x:v>
      </x:c>
      <x:c r="H3535" s="16" t="n">
        <x:v>0</x:v>
      </x:c>
      <x:c r="I3535" s="16" t="n">
        <x:v>1.25</x:v>
      </x:c>
      <x:c r="J3535" s="16" t="n">
        <x:v>2.4</x:v>
      </x:c>
      <x:c r="K3535" s="11" t="n">
        <x:f>CHOOSE('假设'!$B$3,H3535,I3535,J3535)</x:f>
        <x:v>1.25</x:v>
      </x:c>
      <x:c r="L3535" s="11" t="n">
        <x:f>K3535*'管线假设'!E767*'管线假设'!F767*'管线假设'!G767*IF(E3535="USD",'管线假设'!I767,1)-AM3535</x:f>
        <x:v>0.26355</x:v>
      </x:c>
      <x:c r="M3535" s="11" t="n">
        <x:f>'管线假设'!H767</x:f>
        <x:v>0.135</x:v>
      </x:c>
      <x:c r="N3535" s="11" t="n">
        <x:f>IF(G3535,L3535*AN3535/(1+M3535)^F3535,0)</x:f>
        <x:v>0</x:v>
      </x:c>
      <x:c r="AJ3535" t="n">
        <x:v>0</x:v>
      </x:c>
      <x:c r="AK3535" t="n">
        <x:v>0</x:v>
      </x:c>
      <x:c r="AL3535" t="n">
        <x:v>0</x:v>
      </x:c>
      <x:c r="AM3535" t="n">
        <x:f>CHOOSE('假设'!$B$3,AJ3535,AK3535,AL3535)</x:f>
        <x:v>0</x:v>
      </x:c>
      <x:c r="AN3535" t="n">
        <x:v>1</x:v>
      </x:c>
    </x:row>
    <x:row r="3536" ht="23" customHeight="1">
      <x:c r="A3536" s="11" t="str">
        <x:v>688382.SH</x:v>
      </x:c>
      <x:c r="B3536" s="11" t="str">
        <x:v>五年</x:v>
      </x:c>
      <x:c r="C3536" s="11" t="str">
        <x:v>tyk_ps_cn</x:v>
      </x:c>
      <x:c r="D3536" s="11" t="str">
        <x:v>2031-12-31</x:v>
      </x:c>
      <x:c r="E3536" s="11" t="str">
        <x:v>CNY</x:v>
      </x:c>
      <x:c r="F3536" s="11" t="n">
        <x:v>0.2272416153319644</x:v>
      </x:c>
      <x:c r="G3536" s="26" t="b">
        <x:v>1</x:v>
      </x:c>
      <x:c r="H3536" s="16" t="n">
        <x:v>0.2</x:v>
      </x:c>
      <x:c r="I3536" s="16" t="n">
        <x:v>1.6666666666666665</x:v>
      </x:c>
      <x:c r="J3536" s="16" t="n">
        <x:v>3.2</x:v>
      </x:c>
      <x:c r="K3536" s="11" t="n">
        <x:f>CHOOSE('假设'!$B$3,H3536,I3536,J3536)</x:f>
        <x:v>1.6666666666666665</x:v>
      </x:c>
      <x:c r="L3536" s="11" t="n">
        <x:f>K3536*'管线假设'!E767*'管线假设'!F767*'管线假设'!G767*IF(E3536="USD",'管线假设'!I767,1)-AM3536</x:f>
        <x:v>0.3514</x:v>
      </x:c>
      <x:c r="M3536" s="11" t="n">
        <x:f>'管线假设'!H767</x:f>
        <x:v>0.135</x:v>
      </x:c>
      <x:c r="N3536" s="11" t="n">
        <x:f>IF(G3536,L3536*AN3536/(1+M3536)^F3536,0)</x:f>
        <x:v>0.3414321467954086</x:v>
      </x:c>
      <x:c r="AJ3536" t="n">
        <x:v>0</x:v>
      </x:c>
      <x:c r="AK3536" t="n">
        <x:v>0</x:v>
      </x:c>
      <x:c r="AL3536" t="n">
        <x:v>0</x:v>
      </x:c>
      <x:c r="AM3536" t="n">
        <x:f>CHOOSE('假设'!$B$3,AJ3536,AK3536,AL3536)</x:f>
        <x:v>0</x:v>
      </x:c>
      <x:c r="AN3536" t="n">
        <x:v>1</x:v>
      </x:c>
    </x:row>
    <x:row r="3537" ht="23" customHeight="1">
      <x:c r="A3537" s="11" t="str">
        <x:v>688382.SH</x:v>
      </x:c>
      <x:c r="B3537" s="11" t="str">
        <x:v>五年</x:v>
      </x:c>
      <x:c r="C3537" s="11" t="str">
        <x:v>tyk_ps_cn</x:v>
      </x:c>
      <x:c r="D3537" s="11" t="str">
        <x:v>2032-12-31</x:v>
      </x:c>
      <x:c r="E3537" s="11" t="str">
        <x:v>CNY</x:v>
      </x:c>
      <x:c r="F3537" s="11" t="n">
        <x:v>1.2292950034223136</x:v>
      </x:c>
      <x:c r="G3537" s="26" t="b">
        <x:v>1</x:v>
      </x:c>
      <x:c r="H3537" s="16" t="n">
        <x:v>0.4</x:v>
      </x:c>
      <x:c r="I3537" s="16" t="n">
        <x:v>2.0833333333333335</x:v>
      </x:c>
      <x:c r="J3537" s="16" t="n">
        <x:v>4</x:v>
      </x:c>
      <x:c r="K3537" s="11" t="n">
        <x:f>CHOOSE('假设'!$B$3,H3537,I3537,J3537)</x:f>
        <x:v>2.0833333333333335</x:v>
      </x:c>
      <x:c r="L3537" s="11" t="n">
        <x:f>K3537*'管线假设'!E767*'管线假设'!F767*'管线假设'!G767*IF(E3537="USD",'管线假设'!I767,1)-AM3537</x:f>
        <x:v>0.4392500000000001</x:v>
      </x:c>
      <x:c r="M3537" s="11" t="n">
        <x:f>'管线假设'!H767</x:f>
        <x:v>0.135</x:v>
      </x:c>
      <x:c r="N3537" s="11" t="n">
        <x:f>IF(G3537,L3537*AN3537/(1+M3537)^F3537,0)</x:f>
        <x:v>0.37592882941572375</x:v>
      </x:c>
      <x:c r="AJ3537" t="n">
        <x:v>0</x:v>
      </x:c>
      <x:c r="AK3537" t="n">
        <x:v>0</x:v>
      </x:c>
      <x:c r="AL3537" t="n">
        <x:v>0</x:v>
      </x:c>
      <x:c r="AM3537" t="n">
        <x:f>CHOOSE('假设'!$B$3,AJ3537,AK3537,AL3537)</x:f>
        <x:v>0</x:v>
      </x:c>
      <x:c r="AN3537" t="n">
        <x:v>1</x:v>
      </x:c>
    </x:row>
    <x:row r="3538" ht="23" customHeight="1">
      <x:c r="A3538" s="11" t="str">
        <x:v>688382.SH</x:v>
      </x:c>
      <x:c r="B3538" s="11" t="str">
        <x:v>五年</x:v>
      </x:c>
      <x:c r="C3538" s="11" t="str">
        <x:v>tyk_ps_cn</x:v>
      </x:c>
      <x:c r="D3538" s="11" t="str">
        <x:v>2033-12-31</x:v>
      </x:c>
      <x:c r="E3538" s="11" t="str">
        <x:v>CNY</x:v>
      </x:c>
      <x:c r="F3538" s="11" t="n">
        <x:v>2.2286105407255303</x:v>
      </x:c>
      <x:c r="G3538" s="26" t="b">
        <x:v>1</x:v>
      </x:c>
      <x:c r="H3538" s="16" t="n">
        <x:v>0.6</x:v>
      </x:c>
      <x:c r="I3538" s="16" t="n">
        <x:v>2.5</x:v>
      </x:c>
      <x:c r="J3538" s="16" t="n">
        <x:v>3.48</x:v>
      </x:c>
      <x:c r="K3538" s="11" t="n">
        <x:f>CHOOSE('假设'!$B$3,H3538,I3538,J3538)</x:f>
        <x:v>2.5</x:v>
      </x:c>
      <x:c r="L3538" s="11" t="n">
        <x:f>K3538*'管线假设'!E767*'管线假设'!F767*'管线假设'!G767*IF(E3538="USD",'管线假设'!I767,1)-AM3538</x:f>
        <x:v>0.5271</x:v>
      </x:c>
      <x:c r="M3538" s="11" t="n">
        <x:f>'管线假设'!H767</x:f>
        <x:v>0.135</x:v>
      </x:c>
      <x:c r="N3538" s="11" t="n">
        <x:f>IF(G3538,L3538*AN3538/(1+M3538)^F3538,0)</x:f>
        <x:v>0.3974922444915805</x:v>
      </x:c>
      <x:c r="AJ3538" t="n">
        <x:v>0</x:v>
      </x:c>
      <x:c r="AK3538" t="n">
        <x:v>0</x:v>
      </x:c>
      <x:c r="AL3538" t="n">
        <x:v>0</x:v>
      </x:c>
      <x:c r="AM3538" t="n">
        <x:f>CHOOSE('假设'!$B$3,AJ3538,AK3538,AL3538)</x:f>
        <x:v>0</x:v>
      </x:c>
      <x:c r="AN3538" t="n">
        <x:v>1</x:v>
      </x:c>
    </x:row>
    <x:row r="3539" ht="23" customHeight="1">
      <x:c r="A3539" s="11" t="str">
        <x:v>688382.SH</x:v>
      </x:c>
      <x:c r="B3539" s="11" t="str">
        <x:v>五年</x:v>
      </x:c>
      <x:c r="C3539" s="11" t="str">
        <x:v>tyk_ps_cn</x:v>
      </x:c>
      <x:c r="D3539" s="11" t="str">
        <x:v>2034-12-31</x:v>
      </x:c>
      <x:c r="E3539" s="11" t="str">
        <x:v>CNY</x:v>
      </x:c>
      <x:c r="F3539" s="11" t="n">
        <x:v>3.2279260780287475</x:v>
      </x:c>
      <x:c r="G3539" s="26" t="b">
        <x:v>1</x:v>
      </x:c>
      <x:c r="H3539" s="16" t="n">
        <x:v>0.8</x:v>
      </x:c>
      <x:c r="I3539" s="16" t="n">
        <x:v>2.175</x:v>
      </x:c>
      <x:c r="J3539" s="16" t="n">
        <x:v>2.96</x:v>
      </x:c>
      <x:c r="K3539" s="11" t="n">
        <x:f>CHOOSE('假设'!$B$3,H3539,I3539,J3539)</x:f>
        <x:v>2.175</x:v>
      </x:c>
      <x:c r="L3539" s="11" t="n">
        <x:f>K3539*'管线假设'!E767*'管线假设'!F767*'管线假设'!G767*IF(E3539="USD",'管线假设'!I767,1)-AM3539</x:f>
        <x:v>0.458577</x:v>
      </x:c>
      <x:c r="M3539" s="11" t="n">
        <x:f>'管线假设'!H767</x:f>
        <x:v>0.135</x:v>
      </x:c>
      <x:c r="N3539" s="11" t="n">
        <x:f>IF(G3539,L3539*AN3539/(1+M3539)^F3539,0)</x:f>
        <x:v>0.3047120950805449</x:v>
      </x:c>
      <x:c r="AJ3539" t="n">
        <x:v>0</x:v>
      </x:c>
      <x:c r="AK3539" t="n">
        <x:v>0</x:v>
      </x:c>
      <x:c r="AL3539" t="n">
        <x:v>0</x:v>
      </x:c>
      <x:c r="AM3539" t="n">
        <x:f>CHOOSE('假设'!$B$3,AJ3539,AK3539,AL3539)</x:f>
        <x:v>0</x:v>
      </x:c>
      <x:c r="AN3539" t="n">
        <x:v>1</x:v>
      </x:c>
    </x:row>
    <x:row r="3540" ht="23" customHeight="1">
      <x:c r="A3540" s="11" t="str">
        <x:v>688382.SH</x:v>
      </x:c>
      <x:c r="B3540" s="11" t="str">
        <x:v>五年</x:v>
      </x:c>
      <x:c r="C3540" s="11" t="str">
        <x:v>tyk_ps_cn</x:v>
      </x:c>
      <x:c r="D3540" s="11" t="str">
        <x:v>2035-12-31</x:v>
      </x:c>
      <x:c r="E3540" s="11" t="str">
        <x:v>CNY</x:v>
      </x:c>
      <x:c r="F3540" s="11" t="n">
        <x:v>4.227241615331964</x:v>
      </x:c>
      <x:c r="G3540" s="26" t="b">
        <x:v>1</x:v>
      </x:c>
      <x:c r="H3540" s="16" t="n">
        <x:v>1</x:v>
      </x:c>
      <x:c r="I3540" s="16" t="n">
        <x:v>1.85</x:v>
      </x:c>
      <x:c r="J3540" s="16" t="n">
        <x:v>2.44</x:v>
      </x:c>
      <x:c r="K3540" s="11" t="n">
        <x:f>CHOOSE('假设'!$B$3,H3540,I3540,J3540)</x:f>
        <x:v>1.85</x:v>
      </x:c>
      <x:c r="L3540" s="11" t="n">
        <x:f>K3540*'管线假设'!E767*'管线假设'!F767*'管线假设'!G767*IF(E3540="USD",'管线假设'!I767,1)-AM3540</x:f>
        <x:v>0.39005400000000007</x:v>
      </x:c>
      <x:c r="M3540" s="11" t="n">
        <x:f>'管线假设'!H767</x:f>
        <x:v>0.135</x:v>
      </x:c>
      <x:c r="N3540" s="11" t="n">
        <x:f>IF(G3540,L3540*AN3540/(1+M3540)^F3540,0)</x:f>
        <x:v>0.2283725711291736</x:v>
      </x:c>
      <x:c r="AJ3540" t="n">
        <x:v>0</x:v>
      </x:c>
      <x:c r="AK3540" t="n">
        <x:v>0</x:v>
      </x:c>
      <x:c r="AL3540" t="n">
        <x:v>0</x:v>
      </x:c>
      <x:c r="AM3540" t="n">
        <x:f>CHOOSE('假设'!$B$3,AJ3540,AK3540,AL3540)</x:f>
        <x:v>0</x:v>
      </x:c>
      <x:c r="AN3540" t="n">
        <x:v>1</x:v>
      </x:c>
    </x:row>
    <x:row r="3541" ht="23" customHeight="1">
      <x:c r="A3541" s="11" t="str">
        <x:v>688382.SH</x:v>
      </x:c>
      <x:c r="B3541" s="11" t="str">
        <x:v>五年</x:v>
      </x:c>
      <x:c r="C3541" s="11" t="str">
        <x:v>tyk_ps_cn</x:v>
      </x:c>
      <x:c r="D3541" s="11" t="str">
        <x:v>2036-12-31</x:v>
      </x:c>
      <x:c r="E3541" s="11" t="str">
        <x:v>CNY</x:v>
      </x:c>
      <x:c r="F3541" s="11" t="n">
        <x:v>5.229295003422314</x:v>
      </x:c>
      <x:c r="G3541" s="26" t="b">
        <x:v>1</x:v>
      </x:c>
      <x:c r="H3541" s="16" t="n">
        <x:v>0.87</x:v>
      </x:c>
      <x:c r="I3541" s="16" t="n">
        <x:v>1.525</x:v>
      </x:c>
      <x:c r="J3541" s="16" t="n">
        <x:v>1.92</x:v>
      </x:c>
      <x:c r="K3541" s="11" t="n">
        <x:f>CHOOSE('假设'!$B$3,H3541,I3541,J3541)</x:f>
        <x:v>1.525</x:v>
      </x:c>
      <x:c r="L3541" s="11" t="n">
        <x:f>K3541*'管线假设'!E767*'管线假设'!F767*'管线假设'!G767*IF(E3541="USD",'管线假设'!I767,1)-AM3541</x:f>
        <x:v>0.32153100000000007</x:v>
      </x:c>
      <x:c r="M3541" s="11" t="n">
        <x:f>'管线假设'!H767</x:f>
        <x:v>0.135</x:v>
      </x:c>
      <x:c r="N3541" s="11" t="n">
        <x:f>IF(G3541,L3541*AN3541/(1+M3541)^F3541,0)</x:f>
        <x:v>0.16581860886928196</x:v>
      </x:c>
      <x:c r="AJ3541" t="n">
        <x:v>0</x:v>
      </x:c>
      <x:c r="AK3541" t="n">
        <x:v>0</x:v>
      </x:c>
      <x:c r="AL3541" t="n">
        <x:v>0</x:v>
      </x:c>
      <x:c r="AM3541" t="n">
        <x:f>CHOOSE('假设'!$B$3,AJ3541,AK3541,AL3541)</x:f>
        <x:v>0</x:v>
      </x:c>
      <x:c r="AN3541" t="n">
        <x:v>1</x:v>
      </x:c>
    </x:row>
    <x:row r="3542" ht="23" customHeight="1">
      <x:c r="A3542" s="11" t="str">
        <x:v>688382.SH</x:v>
      </x:c>
      <x:c r="B3542" s="11" t="str">
        <x:v>五年</x:v>
      </x:c>
      <x:c r="C3542" s="11" t="str">
        <x:v>tyk_ps_cn</x:v>
      </x:c>
      <x:c r="D3542" s="11" t="str">
        <x:v>2037-12-31</x:v>
      </x:c>
      <x:c r="E3542" s="11" t="str">
        <x:v>CNY</x:v>
      </x:c>
      <x:c r="F3542" s="11" t="n">
        <x:v>6.228610540725531</x:v>
      </x:c>
      <x:c r="G3542" s="26" t="b">
        <x:v>1</x:v>
      </x:c>
      <x:c r="H3542" s="16" t="n">
        <x:v>0.74</x:v>
      </x:c>
      <x:c r="I3542" s="16" t="n">
        <x:v>1.2</x:v>
      </x:c>
      <x:c r="J3542" s="16" t="n">
        <x:v>1.4</x:v>
      </x:c>
      <x:c r="K3542" s="11" t="n">
        <x:f>CHOOSE('假设'!$B$3,H3542,I3542,J3542)</x:f>
        <x:v>1.2</x:v>
      </x:c>
      <x:c r="L3542" s="11" t="n">
        <x:f>K3542*'管线假设'!E767*'管线假设'!F767*'管线假设'!G767*IF(E3542="USD",'管线假设'!I767,1)-AM3542</x:f>
        <x:v>0.253008</x:v>
      </x:c>
      <x:c r="M3542" s="11" t="n">
        <x:f>'管线假设'!H767</x:f>
        <x:v>0.135</x:v>
      </x:c>
      <x:c r="N3542" s="11" t="n">
        <x:f>IF(G3542,L3542*AN3542/(1+M3542)^F3542,0)</x:f>
        <x:v>0.11497050812388367</x:v>
      </x:c>
      <x:c r="AJ3542" t="n">
        <x:v>0</x:v>
      </x:c>
      <x:c r="AK3542" t="n">
        <x:v>0</x:v>
      </x:c>
      <x:c r="AL3542" t="n">
        <x:v>0</x:v>
      </x:c>
      <x:c r="AM3542" t="n">
        <x:f>CHOOSE('假设'!$B$3,AJ3542,AK3542,AL3542)</x:f>
        <x:v>0</x:v>
      </x:c>
      <x:c r="AN3542" t="n">
        <x:v>1</x:v>
      </x:c>
    </x:row>
    <x:row r="3543" ht="23" customHeight="1">
      <x:c r="A3543" s="11" t="str">
        <x:v>688382.SH</x:v>
      </x:c>
      <x:c r="B3543" s="11" t="str">
        <x:v>五年</x:v>
      </x:c>
      <x:c r="C3543" s="11" t="str">
        <x:v>tyk_ps_cn</x:v>
      </x:c>
      <x:c r="D3543" s="11" t="str">
        <x:v>2038-12-31</x:v>
      </x:c>
      <x:c r="E3543" s="11" t="str">
        <x:v>CNY</x:v>
      </x:c>
      <x:c r="F3543" s="11" t="n">
        <x:v>7.227926078028747</x:v>
      </x:c>
      <x:c r="G3543" s="26" t="b">
        <x:v>1</x:v>
      </x:c>
      <x:c r="H3543" s="16" t="n">
        <x:v>0.61</x:v>
      </x:c>
      <x:c r="I3543" s="16" t="n">
        <x:v>0.875</x:v>
      </x:c>
      <x:c r="J3543" s="16" t="n">
        <x:v>0.8799999999999999</x:v>
      </x:c>
      <x:c r="K3543" s="11" t="n">
        <x:f>CHOOSE('假设'!$B$3,H3543,I3543,J3543)</x:f>
        <x:v>0.875</x:v>
      </x:c>
      <x:c r="L3543" s="11" t="n">
        <x:f>K3543*'管线假设'!E767*'管线假设'!F767*'管线假设'!G767*IF(E3543="USD",'管线假设'!I767,1)-AM3543</x:f>
        <x:v>0.184485</x:v>
      </x:c>
      <x:c r="M3543" s="11" t="n">
        <x:f>'管线假设'!H767</x:f>
        <x:v>0.135</x:v>
      </x:c>
      <x:c r="N3543" s="11" t="n">
        <x:f>IF(G3543,L3543*AN3543/(1+M3543)^F3543,0)</x:f>
        <x:v>0.07386777860077404</x:v>
      </x:c>
      <x:c r="AJ3543" t="n">
        <x:v>0</x:v>
      </x:c>
      <x:c r="AK3543" t="n">
        <x:v>0</x:v>
      </x:c>
      <x:c r="AL3543" t="n">
        <x:v>0</x:v>
      </x:c>
      <x:c r="AM3543" t="n">
        <x:f>CHOOSE('假设'!$B$3,AJ3543,AK3543,AL3543)</x:f>
        <x:v>0</x:v>
      </x:c>
      <x:c r="AN3543" t="n">
        <x:v>1</x:v>
      </x:c>
    </x:row>
    <x:row r="3544" ht="23" customHeight="1">
      <x:c r="A3544" s="11" t="str">
        <x:v>688382.SH</x:v>
      </x:c>
      <x:c r="B3544" s="11" t="str">
        <x:v>五年</x:v>
      </x:c>
      <x:c r="C3544" s="11" t="str">
        <x:v>tyk_ps_cn</x:v>
      </x:c>
      <x:c r="D3544" s="11" t="str">
        <x:v>2039-12-31</x:v>
      </x:c>
      <x:c r="E3544" s="11" t="str">
        <x:v>CNY</x:v>
      </x:c>
      <x:c r="F3544" s="11" t="n">
        <x:v>8.227241615331964</x:v>
      </x:c>
      <x:c r="G3544" s="26" t="b">
        <x:v>1</x:v>
      </x:c>
      <x:c r="H3544" s="16" t="n">
        <x:v>0.48</x:v>
      </x:c>
      <x:c r="I3544" s="16" t="n">
        <x:v>0.5499999999999999</x:v>
      </x:c>
      <x:c r="J3544" s="16" t="n">
        <x:v>0.3599999999999999</x:v>
      </x:c>
      <x:c r="K3544" s="11" t="n">
        <x:f>CHOOSE('假设'!$B$3,H3544,I3544,J3544)</x:f>
        <x:v>0.5499999999999999</x:v>
      </x:c>
      <x:c r="L3544" s="11" t="n">
        <x:f>K3544*'管线假设'!E767*'管线假设'!F767*'管线假设'!G767*IF(E3544="USD",'管线假设'!I767,1)-AM3544</x:f>
        <x:v>0.115962</x:v>
      </x:c>
      <x:c r="M3544" s="11" t="n">
        <x:f>'管线假设'!H767</x:f>
        <x:v>0.135</x:v>
      </x:c>
      <x:c r="N3544" s="11" t="n">
        <x:f>IF(G3544,L3544*AN3544/(1+M3544)^F3544,0)</x:f>
        <x:v>0.04091207024857285</x:v>
      </x:c>
      <x:c r="AJ3544" t="n">
        <x:v>0</x:v>
      </x:c>
      <x:c r="AK3544" t="n">
        <x:v>0</x:v>
      </x:c>
      <x:c r="AL3544" t="n">
        <x:v>0</x:v>
      </x:c>
      <x:c r="AM3544" t="n">
        <x:f>CHOOSE('假设'!$B$3,AJ3544,AK3544,AL3544)</x:f>
        <x:v>0</x:v>
      </x:c>
      <x:c r="AN3544" t="n">
        <x:v>1</x:v>
      </x:c>
    </x:row>
    <x:row r="3545" ht="23" customHeight="1">
      <x:c r="A3545" s="11" t="str">
        <x:v>688382.SH</x:v>
      </x:c>
      <x:c r="B3545" s="11" t="str">
        <x:v>五年</x:v>
      </x:c>
      <x:c r="C3545" s="11" t="str">
        <x:v>tyk_ps_cn</x:v>
      </x:c>
      <x:c r="D3545" s="11" t="str">
        <x:v>2040-12-31</x:v>
      </x:c>
      <x:c r="E3545" s="11" t="str">
        <x:v>CNY</x:v>
      </x:c>
      <x:c r="F3545" s="11" t="n">
        <x:v>9.229295003422314</x:v>
      </x:c>
      <x:c r="G3545" s="26" t="b">
        <x:v>1</x:v>
      </x:c>
      <x:c r="H3545" s="16" t="n">
        <x:v>0.35</x:v>
      </x:c>
      <x:c r="I3545" s="16" t="n">
        <x:v>0.22499999999999992</x:v>
      </x:c>
      <x:c r="J3545" s="16" t="n">
        <x:v>0</x:v>
      </x:c>
      <x:c r="K3545" s="11" t="n">
        <x:f>CHOOSE('假设'!$B$3,H3545,I3545,J3545)</x:f>
        <x:v>0.22499999999999992</x:v>
      </x:c>
      <x:c r="L3545" s="11" t="n">
        <x:f>K3545*'管线假设'!E767*'管线假设'!F767*'管线假设'!G767*IF(E3545="USD",'管线假设'!I767,1)-AM3545</x:f>
        <x:v>0.04743899999999999</x:v>
      </x:c>
      <x:c r="M3545" s="11" t="n">
        <x:f>'管线假设'!H767</x:f>
        <x:v>0.135</x:v>
      </x:c>
      <x:c r="N3545" s="11" t="n">
        <x:f>IF(G3545,L3545*AN3545/(1+M3545)^F3545,0)</x:f>
        <x:v>0.01474220668300267</x:v>
      </x:c>
      <x:c r="AJ3545" t="n">
        <x:v>0</x:v>
      </x:c>
      <x:c r="AK3545" t="n">
        <x:v>0</x:v>
      </x:c>
      <x:c r="AL3545" t="n">
        <x:v>0</x:v>
      </x:c>
      <x:c r="AM3545" t="n">
        <x:f>CHOOSE('假设'!$B$3,AJ3545,AK3545,AL3545)</x:f>
        <x:v>0</x:v>
      </x:c>
      <x:c r="AN3545" t="n">
        <x:v>1</x:v>
      </x:c>
    </x:row>
    <x:row r="3546" ht="23" customHeight="1">
      <x:c r="A3546" s="11" t="str">
        <x:v>688382.SH</x:v>
      </x:c>
      <x:c r="B3546" s="11" t="str">
        <x:v>五年</x:v>
      </x:c>
      <x:c r="C3546" s="11" t="str">
        <x:v>tyk_ps_cn</x:v>
      </x:c>
      <x:c r="D3546" s="11" t="str">
        <x:v>2041-12-31</x:v>
      </x:c>
      <x:c r="E3546" s="11" t="str">
        <x:v>CNY</x:v>
      </x:c>
      <x:c r="F3546" s="11" t="n">
        <x:v>10.22861054072553</x:v>
      </x:c>
      <x:c r="G3546" s="26" t="b">
        <x:v>1</x:v>
      </x:c>
      <x:c r="H3546" s="16" t="n">
        <x:v>0.21999999999999997</x:v>
      </x:c>
      <x:c r="I3546" s="16" t="n">
        <x:v>0</x:v>
      </x:c>
      <x:c r="J3546" s="16" t="n">
        <x:v>0</x:v>
      </x:c>
      <x:c r="K3546" s="11" t="n">
        <x:f>CHOOSE('假设'!$B$3,H3546,I3546,J3546)</x:f>
        <x:v>0</x:v>
      </x:c>
      <x:c r="L3546" s="11" t="n">
        <x:f>K3546*'管线假设'!E767*'管线假设'!F767*'管线假设'!G767*IF(E3546="USD",'管线假设'!I767,1)-AM3546</x:f>
        <x:v>0</x:v>
      </x:c>
      <x:c r="M3546" s="11" t="n">
        <x:f>'管线假设'!H767</x:f>
        <x:v>0.135</x:v>
      </x:c>
      <x:c r="N3546" s="11" t="n">
        <x:f>IF(G3546,L3546*AN3546/(1+M3546)^F3546,0)</x:f>
        <x:v>0</x:v>
      </x:c>
      <x:c r="AJ3546" t="n">
        <x:v>0</x:v>
      </x:c>
      <x:c r="AK3546" t="n">
        <x:v>0</x:v>
      </x:c>
      <x:c r="AL3546" t="n">
        <x:v>0</x:v>
      </x:c>
      <x:c r="AM3546" t="n">
        <x:f>CHOOSE('假设'!$B$3,AJ3546,AK3546,AL3546)</x:f>
        <x:v>0</x:v>
      </x:c>
      <x:c r="AN3546" t="n">
        <x:v>1</x:v>
      </x:c>
    </x:row>
    <x:row r="3547" ht="23" customHeight="1">
      <x:c r="A3547" s="11" t="str">
        <x:v>688382.SH</x:v>
      </x:c>
      <x:c r="B3547" s="11" t="str">
        <x:v>五年</x:v>
      </x:c>
      <x:c r="C3547" s="11" t="str">
        <x:v>tyk_ps_cn</x:v>
      </x:c>
      <x:c r="D3547" s="11" t="str">
        <x:v>2042-12-31</x:v>
      </x:c>
      <x:c r="E3547" s="11" t="str">
        <x:v>CNY</x:v>
      </x:c>
      <x:c r="F3547" s="11" t="n">
        <x:v>11.227926078028748</x:v>
      </x:c>
      <x:c r="G3547" s="26" t="b">
        <x:v>1</x:v>
      </x:c>
      <x:c r="H3547" s="16" t="n">
        <x:v>0.08999999999999997</x:v>
      </x:c>
      <x:c r="I3547" s="16" t="n">
        <x:v>0</x:v>
      </x:c>
      <x:c r="J3547" s="16" t="n">
        <x:v>0</x:v>
      </x:c>
      <x:c r="K3547" s="11" t="n">
        <x:f>CHOOSE('假设'!$B$3,H3547,I3547,J3547)</x:f>
        <x:v>0</x:v>
      </x:c>
      <x:c r="L3547" s="11" t="n">
        <x:f>K3547*'管线假设'!E767*'管线假设'!F767*'管线假设'!G767*IF(E3547="USD",'管线假设'!I767,1)-AM3547</x:f>
        <x:v>0</x:v>
      </x:c>
      <x:c r="M3547" s="11" t="n">
        <x:f>'管线假设'!H767</x:f>
        <x:v>0.135</x:v>
      </x:c>
      <x:c r="N3547" s="11" t="n">
        <x:f>IF(G3547,L3547*AN3547/(1+M3547)^F3547,0)</x:f>
        <x:v>0</x:v>
      </x:c>
      <x:c r="AJ3547" t="n">
        <x:v>0</x:v>
      </x:c>
      <x:c r="AK3547" t="n">
        <x:v>0</x:v>
      </x:c>
      <x:c r="AL3547" t="n">
        <x:v>0</x:v>
      </x:c>
      <x:c r="AM3547" t="n">
        <x:f>CHOOSE('假设'!$B$3,AJ3547,AK3547,AL3547)</x:f>
        <x:v>0</x:v>
      </x:c>
      <x:c r="AN3547" t="n">
        <x:v>1</x:v>
      </x:c>
    </x:row>
    <x:row r="3548" ht="23" customHeight="1">
      <x:c r="A3548" s="11" t="str">
        <x:v>688382.SH</x:v>
      </x:c>
      <x:c r="B3548" s="11" t="str">
        <x:v>五年</x:v>
      </x:c>
      <x:c r="C3548" s="11" t="str">
        <x:v>tyk_ps_cn</x:v>
      </x:c>
      <x:c r="D3548" s="11" t="str">
        <x:v>2043-12-31</x:v>
      </x:c>
      <x:c r="E3548" s="11" t="str">
        <x:v>CNY</x:v>
      </x:c>
      <x:c r="F3548" s="11" t="n">
        <x:v>12.227241615331964</x:v>
      </x:c>
      <x:c r="G3548" s="26" t="b">
        <x:v>1</x:v>
      </x:c>
      <x:c r="H3548" s="16" t="n">
        <x:v>0</x:v>
      </x:c>
      <x:c r="I3548" s="16" t="n">
        <x:v>0</x:v>
      </x:c>
      <x:c r="J3548" s="16" t="n">
        <x:v>0</x:v>
      </x:c>
      <x:c r="K3548" s="11" t="n">
        <x:f>CHOOSE('假设'!$B$3,H3548,I3548,J3548)</x:f>
        <x:v>0</x:v>
      </x:c>
      <x:c r="L3548" s="11" t="n">
        <x:f>K3548*'管线假设'!E767*'管线假设'!F767*'管线假设'!G767*IF(E3548="USD",'管线假设'!I767,1)-AM3548</x:f>
        <x:v>0</x:v>
      </x:c>
      <x:c r="M3548" s="11" t="n">
        <x:f>'管线假设'!H767</x:f>
        <x:v>0.135</x:v>
      </x:c>
      <x:c r="N3548" s="11" t="n">
        <x:f>IF(G3548,L3548*AN3548/(1+M3548)^F3548,0)</x:f>
        <x:v>0</x:v>
      </x:c>
      <x:c r="AJ3548" t="n">
        <x:v>0</x:v>
      </x:c>
      <x:c r="AK3548" t="n">
        <x:v>0</x:v>
      </x:c>
      <x:c r="AL3548" t="n">
        <x:v>0</x:v>
      </x:c>
      <x:c r="AM3548" t="n">
        <x:f>CHOOSE('假设'!$B$3,AJ3548,AK3548,AL3548)</x:f>
        <x:v>0</x:v>
      </x:c>
      <x:c r="AN3548" t="n">
        <x:v>1</x:v>
      </x:c>
    </x:row>
    <x:row r="3549" ht="23" customHeight="1">
      <x:c r="A3549" s="11" t="str">
        <x:v>688382.SH</x:v>
      </x:c>
      <x:c r="B3549" s="11" t="str">
        <x:v>五年</x:v>
      </x:c>
      <x:c r="C3549" s="11" t="str">
        <x:v>tyk_ps_cn</x:v>
      </x:c>
      <x:c r="D3549" s="11" t="str">
        <x:v>2044-12-31</x:v>
      </x:c>
      <x:c r="E3549" s="11" t="str">
        <x:v>CNY</x:v>
      </x:c>
      <x:c r="F3549" s="11" t="n">
        <x:v>13.229295003422314</x:v>
      </x:c>
      <x:c r="G3549" s="26" t="b">
        <x:v>1</x:v>
      </x:c>
      <x:c r="H3549" s="16" t="n">
        <x:v>0</x:v>
      </x:c>
      <x:c r="I3549" s="16" t="n">
        <x:v>0</x:v>
      </x:c>
      <x:c r="J3549" s="16" t="n">
        <x:v>0</x:v>
      </x:c>
      <x:c r="K3549" s="11" t="n">
        <x:f>CHOOSE('假设'!$B$3,H3549,I3549,J3549)</x:f>
        <x:v>0</x:v>
      </x:c>
      <x:c r="L3549" s="11" t="n">
        <x:f>K3549*'管线假设'!E767*'管线假设'!F767*'管线假设'!G767*IF(E3549="USD",'管线假设'!I767,1)-AM3549</x:f>
        <x:v>0</x:v>
      </x:c>
      <x:c r="M3549" s="11" t="n">
        <x:f>'管线假设'!H767</x:f>
        <x:v>0.135</x:v>
      </x:c>
      <x:c r="N3549" s="11" t="n">
        <x:f>IF(G3549,L3549*AN3549/(1+M3549)^F3549,0)</x:f>
        <x:v>0</x:v>
      </x:c>
      <x:c r="AJ3549" t="n">
        <x:v>0</x:v>
      </x:c>
      <x:c r="AK3549" t="n">
        <x:v>0</x:v>
      </x:c>
      <x:c r="AL3549" t="n">
        <x:v>0</x:v>
      </x:c>
      <x:c r="AM3549" t="n">
        <x:f>CHOOSE('假设'!$B$3,AJ3549,AK3549,AL3549)</x:f>
        <x:v>0</x:v>
      </x:c>
      <x:c r="AN3549" t="n">
        <x:v>1</x:v>
      </x:c>
    </x:row>
    <x:row r="3550" ht="23" customHeight="1">
      <x:c r="A3550" s="11" t="str">
        <x:v>688382.SH</x:v>
      </x:c>
      <x:c r="B3550" s="11" t="str">
        <x:v>五年</x:v>
      </x:c>
      <x:c r="C3550" s="11" t="str">
        <x:v>tyk_ps_cn</x:v>
      </x:c>
      <x:c r="D3550" s="11" t="str">
        <x:v>2045-12-31</x:v>
      </x:c>
      <x:c r="E3550" s="11" t="str">
        <x:v>CNY</x:v>
      </x:c>
      <x:c r="F3550" s="11" t="n">
        <x:v>14.22861054072553</x:v>
      </x:c>
      <x:c r="G3550" s="26" t="b">
        <x:v>1</x:v>
      </x:c>
      <x:c r="H3550" s="16" t="n">
        <x:v>0</x:v>
      </x:c>
      <x:c r="I3550" s="16" t="n">
        <x:v>0</x:v>
      </x:c>
      <x:c r="J3550" s="16" t="n">
        <x:v>0</x:v>
      </x:c>
      <x:c r="K3550" s="11" t="n">
        <x:f>CHOOSE('假设'!$B$3,H3550,I3550,J3550)</x:f>
        <x:v>0</x:v>
      </x:c>
      <x:c r="L3550" s="11" t="n">
        <x:f>K3550*'管线假设'!E767*'管线假设'!F767*'管线假设'!G767*IF(E3550="USD",'管线假设'!I767,1)-AM3550</x:f>
        <x:v>0</x:v>
      </x:c>
      <x:c r="M3550" s="11" t="n">
        <x:f>'管线假设'!H767</x:f>
        <x:v>0.135</x:v>
      </x:c>
      <x:c r="N3550" s="11" t="n">
        <x:f>IF(G3550,L3550*AN3550/(1+M3550)^F3550,0)</x:f>
        <x:v>0</x:v>
      </x:c>
      <x:c r="AJ3550" t="n">
        <x:v>0</x:v>
      </x:c>
      <x:c r="AK3550" t="n">
        <x:v>0</x:v>
      </x:c>
      <x:c r="AL3550" t="n">
        <x:v>0</x:v>
      </x:c>
      <x:c r="AM3550" t="n">
        <x:f>CHOOSE('假设'!$B$3,AJ3550,AK3550,AL3550)</x:f>
        <x:v>0</x:v>
      </x:c>
      <x:c r="AN3550" t="n">
        <x:v>1</x:v>
      </x:c>
    </x:row>
    <x:row r="3551" ht="23" customHeight="1">
      <x:c r="A3551" s="11" t="str">
        <x:v>688382.SH</x:v>
      </x:c>
      <x:c r="B3551" s="11" t="str">
        <x:v>五年</x:v>
      </x:c>
      <x:c r="C3551" s="11" t="str">
        <x:v>tyk_uc_cn</x:v>
      </x:c>
      <x:c r="D3551" s="11" t="str">
        <x:v>2027-12-31</x:v>
      </x:c>
      <x:c r="E3551" s="11" t="str">
        <x:v>CNY</x:v>
      </x:c>
      <x:c r="F3551" s="11" t="n">
        <x:v>-3.7727583846680357</x:v>
      </x:c>
      <x:c r="G3551" s="26" t="b">
        <x:v>0</x:v>
      </x:c>
      <x:c r="H3551" s="16" t="n">
        <x:v>0</x:v>
      </x:c>
      <x:c r="I3551" s="16" t="n">
        <x:v>0</x:v>
      </x:c>
      <x:c r="J3551" s="16" t="n">
        <x:v>0</x:v>
      </x:c>
      <x:c r="K3551" s="11" t="n">
        <x:f>CHOOSE('假设'!$B$3,H3551,I3551,J3551)</x:f>
        <x:v>0</x:v>
      </x:c>
      <x:c r="L3551" s="11" t="n">
        <x:f>K3551*'管线假设'!E771*'管线假设'!F771*'管线假设'!G771*IF(E3551="USD",'管线假设'!I771,1)-AM3551</x:f>
        <x:v>0</x:v>
      </x:c>
      <x:c r="M3551" s="11" t="n">
        <x:f>'管线假设'!H771</x:f>
        <x:v>0.135</x:v>
      </x:c>
      <x:c r="N3551" s="11" t="n">
        <x:f>IF(G3551,L3551*AN3551/(1+M3551)^F3551,0)</x:f>
        <x:v>0</x:v>
      </x:c>
      <x:c r="AJ3551" t="n">
        <x:v>0</x:v>
      </x:c>
      <x:c r="AK3551" t="n">
        <x:v>0</x:v>
      </x:c>
      <x:c r="AL3551" t="n">
        <x:v>0</x:v>
      </x:c>
      <x:c r="AM3551" t="n">
        <x:f>CHOOSE('假设'!$B$3,AJ3551,AK3551,AL3551)</x:f>
        <x:v>0</x:v>
      </x:c>
      <x:c r="AN3551" t="n">
        <x:v>1</x:v>
      </x:c>
    </x:row>
    <x:row r="3552" ht="23" customHeight="1">
      <x:c r="A3552" s="11" t="str">
        <x:v>688382.SH</x:v>
      </x:c>
      <x:c r="B3552" s="11" t="str">
        <x:v>五年</x:v>
      </x:c>
      <x:c r="C3552" s="11" t="str">
        <x:v>tyk_uc_cn</x:v>
      </x:c>
      <x:c r="D3552" s="11" t="str">
        <x:v>2028-12-31</x:v>
      </x:c>
      <x:c r="E3552" s="11" t="str">
        <x:v>CNY</x:v>
      </x:c>
      <x:c r="F3552" s="11" t="n">
        <x:v>-2.7707049965776864</x:v>
      </x:c>
      <x:c r="G3552" s="26" t="b">
        <x:v>0</x:v>
      </x:c>
      <x:c r="H3552" s="16" t="n">
        <x:v>0</x:v>
      </x:c>
      <x:c r="I3552" s="16" t="n">
        <x:v>0</x:v>
      </x:c>
      <x:c r="J3552" s="16" t="n">
        <x:v>0</x:v>
      </x:c>
      <x:c r="K3552" s="11" t="n">
        <x:f>CHOOSE('假设'!$B$3,H3552,I3552,J3552)</x:f>
        <x:v>0</x:v>
      </x:c>
      <x:c r="L3552" s="11" t="n">
        <x:f>K3552*'管线假设'!E771*'管线假设'!F771*'管线假设'!G771*IF(E3552="USD",'管线假设'!I771,1)-AM3552</x:f>
        <x:v>0</x:v>
      </x:c>
      <x:c r="M3552" s="11" t="n">
        <x:f>'管线假设'!H771</x:f>
        <x:v>0.135</x:v>
      </x:c>
      <x:c r="N3552" s="11" t="n">
        <x:f>IF(G3552,L3552*AN3552/(1+M3552)^F3552,0)</x:f>
        <x:v>0</x:v>
      </x:c>
      <x:c r="AJ3552" t="n">
        <x:v>0</x:v>
      </x:c>
      <x:c r="AK3552" t="n">
        <x:v>0</x:v>
      </x:c>
      <x:c r="AL3552" t="n">
        <x:v>0</x:v>
      </x:c>
      <x:c r="AM3552" t="n">
        <x:f>CHOOSE('假设'!$B$3,AJ3552,AK3552,AL3552)</x:f>
        <x:v>0</x:v>
      </x:c>
      <x:c r="AN3552" t="n">
        <x:v>1</x:v>
      </x:c>
    </x:row>
    <x:row r="3553" ht="23" customHeight="1">
      <x:c r="A3553" s="11" t="str">
        <x:v>688382.SH</x:v>
      </x:c>
      <x:c r="B3553" s="11" t="str">
        <x:v>五年</x:v>
      </x:c>
      <x:c r="C3553" s="11" t="str">
        <x:v>tyk_uc_cn</x:v>
      </x:c>
      <x:c r="D3553" s="11" t="str">
        <x:v>2029-12-31</x:v>
      </x:c>
      <x:c r="E3553" s="11" t="str">
        <x:v>CNY</x:v>
      </x:c>
      <x:c r="F3553" s="11" t="n">
        <x:v>-1.7713894592744694</x:v>
      </x:c>
      <x:c r="G3553" s="26" t="b">
        <x:v>0</x:v>
      </x:c>
      <x:c r="H3553" s="16" t="n">
        <x:v>0</x:v>
      </x:c>
      <x:c r="I3553" s="16" t="n">
        <x:v>0</x:v>
      </x:c>
      <x:c r="J3553" s="16" t="n">
        <x:v>0.5</x:v>
      </x:c>
      <x:c r="K3553" s="11" t="n">
        <x:f>CHOOSE('假设'!$B$3,H3553,I3553,J3553)</x:f>
        <x:v>0</x:v>
      </x:c>
      <x:c r="L3553" s="11" t="n">
        <x:f>K3553*'管线假设'!E771*'管线假设'!F771*'管线假设'!G771*IF(E3553="USD",'管线假设'!I771,1)-AM3553</x:f>
        <x:v>0</x:v>
      </x:c>
      <x:c r="M3553" s="11" t="n">
        <x:f>'管线假设'!H771</x:f>
        <x:v>0.135</x:v>
      </x:c>
      <x:c r="N3553" s="11" t="n">
        <x:f>IF(G3553,L3553*AN3553/(1+M3553)^F3553,0)</x:f>
        <x:v>0</x:v>
      </x:c>
      <x:c r="AJ3553" t="n">
        <x:v>0</x:v>
      </x:c>
      <x:c r="AK3553" t="n">
        <x:v>0</x:v>
      </x:c>
      <x:c r="AL3553" t="n">
        <x:v>0</x:v>
      </x:c>
      <x:c r="AM3553" t="n">
        <x:f>CHOOSE('假设'!$B$3,AJ3553,AK3553,AL3553)</x:f>
        <x:v>0</x:v>
      </x:c>
      <x:c r="AN3553" t="n">
        <x:v>1</x:v>
      </x:c>
    </x:row>
    <x:row r="3554" ht="23" customHeight="1">
      <x:c r="A3554" s="11" t="str">
        <x:v>688382.SH</x:v>
      </x:c>
      <x:c r="B3554" s="11" t="str">
        <x:v>五年</x:v>
      </x:c>
      <x:c r="C3554" s="11" t="str">
        <x:v>tyk_uc_cn</x:v>
      </x:c>
      <x:c r="D3554" s="11" t="str">
        <x:v>2030-12-31</x:v>
      </x:c>
      <x:c r="E3554" s="11" t="str">
        <x:v>CNY</x:v>
      </x:c>
      <x:c r="F3554" s="11" t="n">
        <x:v>-0.7720739219712526</x:v>
      </x:c>
      <x:c r="G3554" s="26" t="b">
        <x:v>0</x:v>
      </x:c>
      <x:c r="H3554" s="16" t="n">
        <x:v>0</x:v>
      </x:c>
      <x:c r="I3554" s="16" t="n">
        <x:v>0</x:v>
      </x:c>
      <x:c r="J3554" s="16" t="n">
        <x:v>1</x:v>
      </x:c>
      <x:c r="K3554" s="11" t="n">
        <x:f>CHOOSE('假设'!$B$3,H3554,I3554,J3554)</x:f>
        <x:v>0</x:v>
      </x:c>
      <x:c r="L3554" s="11" t="n">
        <x:f>K3554*'管线假设'!E771*'管线假设'!F771*'管线假设'!G771*IF(E3554="USD",'管线假设'!I771,1)-AM3554</x:f>
        <x:v>0</x:v>
      </x:c>
      <x:c r="M3554" s="11" t="n">
        <x:f>'管线假设'!H771</x:f>
        <x:v>0.135</x:v>
      </x:c>
      <x:c r="N3554" s="11" t="n">
        <x:f>IF(G3554,L3554*AN3554/(1+M3554)^F3554,0)</x:f>
        <x:v>0</x:v>
      </x:c>
      <x:c r="AJ3554" t="n">
        <x:v>0</x:v>
      </x:c>
      <x:c r="AK3554" t="n">
        <x:v>0</x:v>
      </x:c>
      <x:c r="AL3554" t="n">
        <x:v>0</x:v>
      </x:c>
      <x:c r="AM3554" t="n">
        <x:f>CHOOSE('假设'!$B$3,AJ3554,AK3554,AL3554)</x:f>
        <x:v>0</x:v>
      </x:c>
      <x:c r="AN3554" t="n">
        <x:v>1</x:v>
      </x:c>
    </x:row>
    <x:row r="3555" ht="23" customHeight="1">
      <x:c r="A3555" s="11" t="str">
        <x:v>688382.SH</x:v>
      </x:c>
      <x:c r="B3555" s="11" t="str">
        <x:v>五年</x:v>
      </x:c>
      <x:c r="C3555" s="11" t="str">
        <x:v>tyk_uc_cn</x:v>
      </x:c>
      <x:c r="D3555" s="11" t="str">
        <x:v>2031-12-31</x:v>
      </x:c>
      <x:c r="E3555" s="11" t="str">
        <x:v>CNY</x:v>
      </x:c>
      <x:c r="F3555" s="11" t="n">
        <x:v>0.2272416153319644</x:v>
      </x:c>
      <x:c r="G3555" s="26" t="b">
        <x:v>1</x:v>
      </x:c>
      <x:c r="H3555" s="16" t="n">
        <x:v>0</x:v>
      </x:c>
      <x:c r="I3555" s="16" t="n">
        <x:v>0.2833333333333333</x:v>
      </x:c>
      <x:c r="J3555" s="16" t="n">
        <x:v>1.5</x:v>
      </x:c>
      <x:c r="K3555" s="11" t="n">
        <x:f>CHOOSE('假设'!$B$3,H3555,I3555,J3555)</x:f>
        <x:v>0.2833333333333333</x:v>
      </x:c>
      <x:c r="L3555" s="11" t="n">
        <x:f>K3555*'管线假设'!E771*'管线假设'!F771*'管线假设'!G771*IF(E3555="USD",'管线假设'!I771,1)-AM3555</x:f>
        <x:v>0.04220533333333334</x:v>
      </x:c>
      <x:c r="M3555" s="11" t="n">
        <x:f>'管线假设'!H771</x:f>
        <x:v>0.135</x:v>
      </x:c>
      <x:c r="N3555" s="11" t="n">
        <x:f>IF(G3555,L3555*AN3555/(1+M3555)^F3555,0)</x:f>
        <x:v>0.04100813194711389</x:v>
      </x:c>
      <x:c r="AJ3555" t="n">
        <x:v>0</x:v>
      </x:c>
      <x:c r="AK3555" t="n">
        <x:v>0</x:v>
      </x:c>
      <x:c r="AL3555" t="n">
        <x:v>0</x:v>
      </x:c>
      <x:c r="AM3555" t="n">
        <x:f>CHOOSE('假设'!$B$3,AJ3555,AK3555,AL3555)</x:f>
        <x:v>0</x:v>
      </x:c>
      <x:c r="AN3555" t="n">
        <x:v>1</x:v>
      </x:c>
    </x:row>
    <x:row r="3556" ht="23" customHeight="1">
      <x:c r="A3556" s="11" t="str">
        <x:v>688382.SH</x:v>
      </x:c>
      <x:c r="B3556" s="11" t="str">
        <x:v>五年</x:v>
      </x:c>
      <x:c r="C3556" s="11" t="str">
        <x:v>tyk_uc_cn</x:v>
      </x:c>
      <x:c r="D3556" s="11" t="str">
        <x:v>2032-12-31</x:v>
      </x:c>
      <x:c r="E3556" s="11" t="str">
        <x:v>CNY</x:v>
      </x:c>
      <x:c r="F3556" s="11" t="n">
        <x:v>1.2292950034223136</x:v>
      </x:c>
      <x:c r="G3556" s="26" t="b">
        <x:v>1</x:v>
      </x:c>
      <x:c r="H3556" s="16" t="n">
        <x:v>0</x:v>
      </x:c>
      <x:c r="I3556" s="16" t="n">
        <x:v>0.5666666666666667</x:v>
      </x:c>
      <x:c r="J3556" s="16" t="n">
        <x:v>2</x:v>
      </x:c>
      <x:c r="K3556" s="11" t="n">
        <x:f>CHOOSE('假设'!$B$3,H3556,I3556,J3556)</x:f>
        <x:v>0.5666666666666667</x:v>
      </x:c>
      <x:c r="L3556" s="11" t="n">
        <x:f>K3556*'管线假设'!E771*'管线假设'!F771*'管线假设'!G771*IF(E3556="USD",'管线假设'!I771,1)-AM3556</x:f>
        <x:v>0.08441066666666668</x:v>
      </x:c>
      <x:c r="M3556" s="11" t="n">
        <x:f>'管线假设'!H771</x:f>
        <x:v>0.135</x:v>
      </x:c>
      <x:c r="N3556" s="11" t="n">
        <x:f>IF(G3556,L3556*AN3556/(1+M3556)^F3556,0)</x:f>
        <x:v>0.07224223815640489</x:v>
      </x:c>
      <x:c r="AJ3556" t="n">
        <x:v>0</x:v>
      </x:c>
      <x:c r="AK3556" t="n">
        <x:v>0</x:v>
      </x:c>
      <x:c r="AL3556" t="n">
        <x:v>0</x:v>
      </x:c>
      <x:c r="AM3556" t="n">
        <x:f>CHOOSE('假设'!$B$3,AJ3556,AK3556,AL3556)</x:f>
        <x:v>0</x:v>
      </x:c>
      <x:c r="AN3556" t="n">
        <x:v>1</x:v>
      </x:c>
    </x:row>
    <x:row r="3557" ht="23" customHeight="1">
      <x:c r="A3557" s="11" t="str">
        <x:v>688382.SH</x:v>
      </x:c>
      <x:c r="B3557" s="11" t="str">
        <x:v>五年</x:v>
      </x:c>
      <x:c r="C3557" s="11" t="str">
        <x:v>tyk_uc_cn</x:v>
      </x:c>
      <x:c r="D3557" s="11" t="str">
        <x:v>2033-12-31</x:v>
      </x:c>
      <x:c r="E3557" s="11" t="str">
        <x:v>CNY</x:v>
      </x:c>
      <x:c r="F3557" s="11" t="n">
        <x:v>2.2286105407255303</x:v>
      </x:c>
      <x:c r="G3557" s="26" t="b">
        <x:v>1</x:v>
      </x:c>
      <x:c r="H3557" s="16" t="n">
        <x:v>0</x:v>
      </x:c>
      <x:c r="I3557" s="16" t="n">
        <x:v>0.85</x:v>
      </x:c>
      <x:c r="J3557" s="16" t="n">
        <x:v>2.5</x:v>
      </x:c>
      <x:c r="K3557" s="11" t="n">
        <x:f>CHOOSE('假设'!$B$3,H3557,I3557,J3557)</x:f>
        <x:v>0.85</x:v>
      </x:c>
      <x:c r="L3557" s="11" t="n">
        <x:f>K3557*'管线假设'!E771*'管线假设'!F771*'管线假设'!G771*IF(E3557="USD",'管线假设'!I771,1)-AM3557</x:f>
        <x:v>0.126616</x:v>
      </x:c>
      <x:c r="M3557" s="11" t="n">
        <x:f>'管线假设'!H771</x:f>
        <x:v>0.135</x:v>
      </x:c>
      <x:c r="N3557" s="11" t="n">
        <x:f>IF(G3557,L3557*AN3557/(1+M3557)^F3557,0)</x:f>
        <x:v>0.09548259918145695</x:v>
      </x:c>
      <x:c r="AJ3557" t="n">
        <x:v>0</x:v>
      </x:c>
      <x:c r="AK3557" t="n">
        <x:v>0</x:v>
      </x:c>
      <x:c r="AL3557" t="n">
        <x:v>0</x:v>
      </x:c>
      <x:c r="AM3557" t="n">
        <x:f>CHOOSE('假设'!$B$3,AJ3557,AK3557,AL3557)</x:f>
        <x:v>0</x:v>
      </x:c>
      <x:c r="AN3557" t="n">
        <x:v>1</x:v>
      </x:c>
    </x:row>
    <x:row r="3558" ht="23" customHeight="1">
      <x:c r="A3558" s="11" t="str">
        <x:v>688382.SH</x:v>
      </x:c>
      <x:c r="B3558" s="11" t="str">
        <x:v>五年</x:v>
      </x:c>
      <x:c r="C3558" s="11" t="str">
        <x:v>tyk_uc_cn</x:v>
      </x:c>
      <x:c r="D3558" s="11" t="str">
        <x:v>2034-12-31</x:v>
      </x:c>
      <x:c r="E3558" s="11" t="str">
        <x:v>CNY</x:v>
      </x:c>
      <x:c r="F3558" s="11" t="n">
        <x:v>3.2279260780287475</x:v>
      </x:c>
      <x:c r="G3558" s="26" t="b">
        <x:v>1</x:v>
      </x:c>
      <x:c r="H3558" s="16" t="n">
        <x:v>0.13999999999999999</x:v>
      </x:c>
      <x:c r="I3558" s="16" t="n">
        <x:v>1.1333333333333333</x:v>
      </x:c>
      <x:c r="J3558" s="16" t="n">
        <x:v>3</x:v>
      </x:c>
      <x:c r="K3558" s="11" t="n">
        <x:f>CHOOSE('假设'!$B$3,H3558,I3558,J3558)</x:f>
        <x:v>1.1333333333333333</x:v>
      </x:c>
      <x:c r="L3558" s="11" t="n">
        <x:f>K3558*'管线假设'!E771*'管线假设'!F771*'管线假设'!G771*IF(E3558="USD",'管线假设'!I771,1)-AM3558</x:f>
        <x:v>0.16882133333333335</x:v>
      </x:c>
      <x:c r="M3558" s="11" t="n">
        <x:f>'管线假设'!H771</x:f>
        <x:v>0.135</x:v>
      </x:c>
      <x:c r="N3558" s="11" t="n">
        <x:f>IF(G3558,L3558*AN3558/(1+M3558)^F3558,0)</x:f>
        <x:v>0.11217723997123936</x:v>
      </x:c>
      <x:c r="AJ3558" t="n">
        <x:v>0</x:v>
      </x:c>
      <x:c r="AK3558" t="n">
        <x:v>0</x:v>
      </x:c>
      <x:c r="AL3558" t="n">
        <x:v>0</x:v>
      </x:c>
      <x:c r="AM3558" t="n">
        <x:f>CHOOSE('假设'!$B$3,AJ3558,AK3558,AL3558)</x:f>
        <x:v>0</x:v>
      </x:c>
      <x:c r="AN3558" t="n">
        <x:v>1</x:v>
      </x:c>
    </x:row>
    <x:row r="3559" ht="23" customHeight="1">
      <x:c r="A3559" s="11" t="str">
        <x:v>688382.SH</x:v>
      </x:c>
      <x:c r="B3559" s="11" t="str">
        <x:v>五年</x:v>
      </x:c>
      <x:c r="C3559" s="11" t="str">
        <x:v>tyk_uc_cn</x:v>
      </x:c>
      <x:c r="D3559" s="11" t="str">
        <x:v>2035-12-31</x:v>
      </x:c>
      <x:c r="E3559" s="11" t="str">
        <x:v>CNY</x:v>
      </x:c>
      <x:c r="F3559" s="11" t="n">
        <x:v>4.227241615331964</x:v>
      </x:c>
      <x:c r="G3559" s="26" t="b">
        <x:v>1</x:v>
      </x:c>
      <x:c r="H3559" s="16" t="n">
        <x:v>0.27999999999999997</x:v>
      </x:c>
      <x:c r="I3559" s="16" t="n">
        <x:v>1.4166666666666667</x:v>
      </x:c>
      <x:c r="J3559" s="16" t="n">
        <x:v>2.61</x:v>
      </x:c>
      <x:c r="K3559" s="11" t="n">
        <x:f>CHOOSE('假设'!$B$3,H3559,I3559,J3559)</x:f>
        <x:v>1.4166666666666667</x:v>
      </x:c>
      <x:c r="L3559" s="11" t="n">
        <x:f>K3559*'管线假设'!E771*'管线假设'!F771*'管线假设'!G771*IF(E3559="USD",'管线假设'!I771,1)-AM3559</x:f>
        <x:v>0.2110266666666667</x:v>
      </x:c>
      <x:c r="M3559" s="11" t="n">
        <x:f>'管线假设'!H771</x:f>
        <x:v>0.135</x:v>
      </x:c>
      <x:c r="N3559" s="11" t="n">
        <x:f>IF(G3559,L3559*AN3559/(1+M3559)^F3559,0)</x:f>
        <x:v>0.12355392443991278</x:v>
      </x:c>
      <x:c r="AJ3559" t="n">
        <x:v>0</x:v>
      </x:c>
      <x:c r="AK3559" t="n">
        <x:v>0</x:v>
      </x:c>
      <x:c r="AL3559" t="n">
        <x:v>0</x:v>
      </x:c>
      <x:c r="AM3559" t="n">
        <x:f>CHOOSE('假设'!$B$3,AJ3559,AK3559,AL3559)</x:f>
        <x:v>0</x:v>
      </x:c>
      <x:c r="AN3559" t="n">
        <x:v>1</x:v>
      </x:c>
    </x:row>
    <x:row r="3560" ht="23" customHeight="1">
      <x:c r="A3560" s="11" t="str">
        <x:v>688382.SH</x:v>
      </x:c>
      <x:c r="B3560" s="11" t="str">
        <x:v>五年</x:v>
      </x:c>
      <x:c r="C3560" s="11" t="str">
        <x:v>tyk_uc_cn</x:v>
      </x:c>
      <x:c r="D3560" s="11" t="str">
        <x:v>2036-12-31</x:v>
      </x:c>
      <x:c r="E3560" s="11" t="str">
        <x:v>CNY</x:v>
      </x:c>
      <x:c r="F3560" s="11" t="n">
        <x:v>5.229295003422314</x:v>
      </x:c>
      <x:c r="G3560" s="26" t="b">
        <x:v>1</x:v>
      </x:c>
      <x:c r="H3560" s="16" t="n">
        <x:v>0.42</x:v>
      </x:c>
      <x:c r="I3560" s="16" t="n">
        <x:v>1.7</x:v>
      </x:c>
      <x:c r="J3560" s="16" t="n">
        <x:v>2.2199999999999998</x:v>
      </x:c>
      <x:c r="K3560" s="11" t="n">
        <x:f>CHOOSE('假设'!$B$3,H3560,I3560,J3560)</x:f>
        <x:v>1.7</x:v>
      </x:c>
      <x:c r="L3560" s="11" t="n">
        <x:f>K3560*'管线假设'!E771*'管线假设'!F771*'管线假设'!G771*IF(E3560="USD",'管线假设'!I771,1)-AM3560</x:f>
        <x:v>0.253232</x:v>
      </x:c>
      <x:c r="M3560" s="11" t="n">
        <x:f>'管线假设'!H771</x:f>
        <x:v>0.135</x:v>
      </x:c>
      <x:c r="N3560" s="11" t="n">
        <x:f>IF(G3560,L3560*AN3560/(1+M3560)^F3560,0)</x:f>
        <x:v>0.13059573714878503</x:v>
      </x:c>
      <x:c r="AJ3560" t="n">
        <x:v>0</x:v>
      </x:c>
      <x:c r="AK3560" t="n">
        <x:v>0</x:v>
      </x:c>
      <x:c r="AL3560" t="n">
        <x:v>0</x:v>
      </x:c>
      <x:c r="AM3560" t="n">
        <x:f>CHOOSE('假设'!$B$3,AJ3560,AK3560,AL3560)</x:f>
        <x:v>0</x:v>
      </x:c>
      <x:c r="AN3560" t="n">
        <x:v>1</x:v>
      </x:c>
    </x:row>
    <x:row r="3561" ht="23" customHeight="1">
      <x:c r="A3561" s="11" t="str">
        <x:v>688382.SH</x:v>
      </x:c>
      <x:c r="B3561" s="11" t="str">
        <x:v>五年</x:v>
      </x:c>
      <x:c r="C3561" s="11" t="str">
        <x:v>tyk_uc_cn</x:v>
      </x:c>
      <x:c r="D3561" s="11" t="str">
        <x:v>2037-12-31</x:v>
      </x:c>
      <x:c r="E3561" s="11" t="str">
        <x:v>CNY</x:v>
      </x:c>
      <x:c r="F3561" s="11" t="n">
        <x:v>6.228610540725531</x:v>
      </x:c>
      <x:c r="G3561" s="26" t="b">
        <x:v>1</x:v>
      </x:c>
      <x:c r="H3561" s="16" t="n">
        <x:v>0.5599999999999999</x:v>
      </x:c>
      <x:c r="I3561" s="16" t="n">
        <x:v>1.4789999999999999</x:v>
      </x:c>
      <x:c r="J3561" s="16" t="n">
        <x:v>1.83</x:v>
      </x:c>
      <x:c r="K3561" s="11" t="n">
        <x:f>CHOOSE('假设'!$B$3,H3561,I3561,J3561)</x:f>
        <x:v>1.4789999999999999</x:v>
      </x:c>
      <x:c r="L3561" s="11" t="n">
        <x:f>K3561*'管线假设'!E771*'管线假设'!F771*'管线假设'!G771*IF(E3561="USD",'管线假设'!I771,1)-AM3561</x:f>
        <x:v>0.22031184</x:v>
      </x:c>
      <x:c r="M3561" s="11" t="n">
        <x:f>'管线假设'!H771</x:f>
        <x:v>0.135</x:v>
      </x:c>
      <x:c r="N3561" s="11" t="n">
        <x:f>IF(G3561,L3561*AN3561/(1+M3561)^F3561,0)</x:f>
        <x:v>0.10011289836885694</x:v>
      </x:c>
      <x:c r="AJ3561" t="n">
        <x:v>0</x:v>
      </x:c>
      <x:c r="AK3561" t="n">
        <x:v>0</x:v>
      </x:c>
      <x:c r="AL3561" t="n">
        <x:v>0</x:v>
      </x:c>
      <x:c r="AM3561" t="n">
        <x:f>CHOOSE('假设'!$B$3,AJ3561,AK3561,AL3561)</x:f>
        <x:v>0</x:v>
      </x:c>
      <x:c r="AN3561" t="n">
        <x:v>1</x:v>
      </x:c>
    </x:row>
    <x:row r="3562" ht="23" customHeight="1">
      <x:c r="A3562" s="11" t="str">
        <x:v>688382.SH</x:v>
      </x:c>
      <x:c r="B3562" s="11" t="str">
        <x:v>五年</x:v>
      </x:c>
      <x:c r="C3562" s="11" t="str">
        <x:v>tyk_uc_cn</x:v>
      </x:c>
      <x:c r="D3562" s="11" t="str">
        <x:v>2038-12-31</x:v>
      </x:c>
      <x:c r="E3562" s="11" t="str">
        <x:v>CNY</x:v>
      </x:c>
      <x:c r="F3562" s="11" t="n">
        <x:v>7.227926078028747</x:v>
      </x:c>
      <x:c r="G3562" s="26" t="b">
        <x:v>1</x:v>
      </x:c>
      <x:c r="H3562" s="16" t="n">
        <x:v>0.7</x:v>
      </x:c>
      <x:c r="I3562" s="16" t="n">
        <x:v>1.258</x:v>
      </x:c>
      <x:c r="J3562" s="16" t="n">
        <x:v>1.44</x:v>
      </x:c>
      <x:c r="K3562" s="11" t="n">
        <x:f>CHOOSE('假设'!$B$3,H3562,I3562,J3562)</x:f>
        <x:v>1.258</x:v>
      </x:c>
      <x:c r="L3562" s="11" t="n">
        <x:f>K3562*'管线假设'!E771*'管线假设'!F771*'管线假设'!G771*IF(E3562="USD",'管线假设'!I771,1)-AM3562</x:f>
        <x:v>0.18739168000000003</x:v>
      </x:c>
      <x:c r="M3562" s="11" t="n">
        <x:f>'管线假设'!H771</x:f>
        <x:v>0.135</x:v>
      </x:c>
      <x:c r="N3562" s="11" t="n">
        <x:f>IF(G3562,L3562*AN3562/(1+M3562)^F3562,0)</x:f>
        <x:v>0.07503161303014932</x:v>
      </x:c>
      <x:c r="AJ3562" t="n">
        <x:v>0</x:v>
      </x:c>
      <x:c r="AK3562" t="n">
        <x:v>0</x:v>
      </x:c>
      <x:c r="AL3562" t="n">
        <x:v>0</x:v>
      </x:c>
      <x:c r="AM3562" t="n">
        <x:f>CHOOSE('假设'!$B$3,AJ3562,AK3562,AL3562)</x:f>
        <x:v>0</x:v>
      </x:c>
      <x:c r="AN3562" t="n">
        <x:v>1</x:v>
      </x:c>
    </x:row>
    <x:row r="3563" ht="23" customHeight="1">
      <x:c r="A3563" s="11" t="str">
        <x:v>688382.SH</x:v>
      </x:c>
      <x:c r="B3563" s="11" t="str">
        <x:v>五年</x:v>
      </x:c>
      <x:c r="C3563" s="11" t="str">
        <x:v>tyk_uc_cn</x:v>
      </x:c>
      <x:c r="D3563" s="11" t="str">
        <x:v>2039-12-31</x:v>
      </x:c>
      <x:c r="E3563" s="11" t="str">
        <x:v>CNY</x:v>
      </x:c>
      <x:c r="F3563" s="11" t="n">
        <x:v>8.227241615331964</x:v>
      </x:c>
      <x:c r="G3563" s="26" t="b">
        <x:v>1</x:v>
      </x:c>
      <x:c r="H3563" s="16" t="n">
        <x:v>0.609</x:v>
      </x:c>
      <x:c r="I3563" s="16" t="n">
        <x:v>1.037</x:v>
      </x:c>
      <x:c r="J3563" s="16" t="n">
        <x:v>1.0499999999999998</x:v>
      </x:c>
      <x:c r="K3563" s="11" t="n">
        <x:f>CHOOSE('假设'!$B$3,H3563,I3563,J3563)</x:f>
        <x:v>1.037</x:v>
      </x:c>
      <x:c r="L3563" s="11" t="n">
        <x:f>K3563*'管线假设'!E771*'管线假设'!F771*'管线假设'!G771*IF(E3563="USD",'管线假设'!I771,1)-AM3563</x:f>
        <x:v>0.15447152</x:v>
      </x:c>
      <x:c r="M3563" s="11" t="n">
        <x:f>'管线假设'!H771</x:f>
        <x:v>0.135</x:v>
      </x:c>
      <x:c r="N3563" s="11" t="n">
        <x:f>IF(G3563,L3563*AN3563/(1+M3563)^F3563,0)</x:f>
        <x:v>0.0544984536110435</x:v>
      </x:c>
      <x:c r="AJ3563" t="n">
        <x:v>0</x:v>
      </x:c>
      <x:c r="AK3563" t="n">
        <x:v>0</x:v>
      </x:c>
      <x:c r="AL3563" t="n">
        <x:v>0</x:v>
      </x:c>
      <x:c r="AM3563" t="n">
        <x:f>CHOOSE('假设'!$B$3,AJ3563,AK3563,AL3563)</x:f>
        <x:v>0</x:v>
      </x:c>
      <x:c r="AN3563" t="n">
        <x:v>1</x:v>
      </x:c>
    </x:row>
    <x:row r="3564" ht="23" customHeight="1">
      <x:c r="A3564" s="11" t="str">
        <x:v>688382.SH</x:v>
      </x:c>
      <x:c r="B3564" s="11" t="str">
        <x:v>五年</x:v>
      </x:c>
      <x:c r="C3564" s="11" t="str">
        <x:v>tyk_uc_cn</x:v>
      </x:c>
      <x:c r="D3564" s="11" t="str">
        <x:v>2040-12-31</x:v>
      </x:c>
      <x:c r="E3564" s="11" t="str">
        <x:v>CNY</x:v>
      </x:c>
      <x:c r="F3564" s="11" t="n">
        <x:v>9.229295003422314</x:v>
      </x:c>
      <x:c r="G3564" s="26" t="b">
        <x:v>1</x:v>
      </x:c>
      <x:c r="H3564" s="16" t="n">
        <x:v>0.518</x:v>
      </x:c>
      <x:c r="I3564" s="16" t="n">
        <x:v>0.816</x:v>
      </x:c>
      <x:c r="J3564" s="16" t="n">
        <x:v>0.6599999999999999</x:v>
      </x:c>
      <x:c r="K3564" s="11" t="n">
        <x:f>CHOOSE('假设'!$B$3,H3564,I3564,J3564)</x:f>
        <x:v>0.816</x:v>
      </x:c>
      <x:c r="L3564" s="11" t="n">
        <x:f>K3564*'管线假设'!E771*'管线假设'!F771*'管线假设'!G771*IF(E3564="USD",'管线假设'!I771,1)-AM3564</x:f>
        <x:v>0.12155136000000001</x:v>
      </x:c>
      <x:c r="M3564" s="11" t="n">
        <x:f>'管线假设'!H771</x:f>
        <x:v>0.135</x:v>
      </x:c>
      <x:c r="N3564" s="11" t="n">
        <x:f>IF(G3564,L3564*AN3564/(1+M3564)^F3564,0)</x:f>
        <x:v>0.03777346216657316</x:v>
      </x:c>
      <x:c r="AJ3564" t="n">
        <x:v>0</x:v>
      </x:c>
      <x:c r="AK3564" t="n">
        <x:v>0</x:v>
      </x:c>
      <x:c r="AL3564" t="n">
        <x:v>0</x:v>
      </x:c>
      <x:c r="AM3564" t="n">
        <x:f>CHOOSE('假设'!$B$3,AJ3564,AK3564,AL3564)</x:f>
        <x:v>0</x:v>
      </x:c>
      <x:c r="AN3564" t="n">
        <x:v>1</x:v>
      </x:c>
    </x:row>
    <x:row r="3565" ht="23" customHeight="1">
      <x:c r="A3565" s="11" t="str">
        <x:v>688382.SH</x:v>
      </x:c>
      <x:c r="B3565" s="11" t="str">
        <x:v>五年</x:v>
      </x:c>
      <x:c r="C3565" s="11" t="str">
        <x:v>tyk_uc_cn</x:v>
      </x:c>
      <x:c r="D3565" s="11" t="str">
        <x:v>2041-12-31</x:v>
      </x:c>
      <x:c r="E3565" s="11" t="str">
        <x:v>CNY</x:v>
      </x:c>
      <x:c r="F3565" s="11" t="n">
        <x:v>10.22861054072553</x:v>
      </x:c>
      <x:c r="G3565" s="26" t="b">
        <x:v>1</x:v>
      </x:c>
      <x:c r="H3565" s="16" t="n">
        <x:v>0.427</x:v>
      </x:c>
      <x:c r="I3565" s="16" t="n">
        <x:v>0.595</x:v>
      </x:c>
      <x:c r="J3565" s="16" t="n">
        <x:v>0.2699999999999999</x:v>
      </x:c>
      <x:c r="K3565" s="11" t="n">
        <x:f>CHOOSE('假设'!$B$3,H3565,I3565,J3565)</x:f>
        <x:v>0.595</x:v>
      </x:c>
      <x:c r="L3565" s="11" t="n">
        <x:f>K3565*'管线假设'!E771*'管线假设'!F771*'管线假设'!G771*IF(E3565="USD",'管线假设'!I771,1)-AM3565</x:f>
        <x:v>0.08863120000000001</x:v>
      </x:c>
      <x:c r="M3565" s="11" t="n">
        <x:f>'管线假设'!H771</x:f>
        <x:v>0.135</x:v>
      </x:c>
      <x:c r="N3565" s="11" t="n">
        <x:f>IF(G3565,L3565*AN3565/(1+M3565)^F3565,0)</x:f>
        <x:v>0.024269195516632695</x:v>
      </x:c>
      <x:c r="AJ3565" t="n">
        <x:v>0</x:v>
      </x:c>
      <x:c r="AK3565" t="n">
        <x:v>0</x:v>
      </x:c>
      <x:c r="AL3565" t="n">
        <x:v>0</x:v>
      </x:c>
      <x:c r="AM3565" t="n">
        <x:f>CHOOSE('假设'!$B$3,AJ3565,AK3565,AL3565)</x:f>
        <x:v>0</x:v>
      </x:c>
      <x:c r="AN3565" t="n">
        <x:v>1</x:v>
      </x:c>
    </x:row>
    <x:row r="3566" ht="23" customHeight="1">
      <x:c r="A3566" s="11" t="str">
        <x:v>688382.SH</x:v>
      </x:c>
      <x:c r="B3566" s="11" t="str">
        <x:v>五年</x:v>
      </x:c>
      <x:c r="C3566" s="11" t="str">
        <x:v>tyk_uc_cn</x:v>
      </x:c>
      <x:c r="D3566" s="11" t="str">
        <x:v>2042-12-31</x:v>
      </x:c>
      <x:c r="E3566" s="11" t="str">
        <x:v>CNY</x:v>
      </x:c>
      <x:c r="F3566" s="11" t="n">
        <x:v>11.227926078028748</x:v>
      </x:c>
      <x:c r="G3566" s="26" t="b">
        <x:v>1</x:v>
      </x:c>
      <x:c r="H3566" s="16" t="n">
        <x:v>0.33599999999999997</x:v>
      </x:c>
      <x:c r="I3566" s="16" t="n">
        <x:v>0.37399999999999994</x:v>
      </x:c>
      <x:c r="J3566" s="16" t="n">
        <x:v>0</x:v>
      </x:c>
      <x:c r="K3566" s="11" t="n">
        <x:f>CHOOSE('假设'!$B$3,H3566,I3566,J3566)</x:f>
        <x:v>0.37399999999999994</x:v>
      </x:c>
      <x:c r="L3566" s="11" t="n">
        <x:f>K3566*'管线假设'!E771*'管线假设'!F771*'管线假设'!G771*IF(E3566="USD",'管线假设'!I771,1)-AM3566</x:f>
        <x:v>0.055711039999999996</x:v>
      </x:c>
      <x:c r="M3566" s="11" t="n">
        <x:f>'管线假设'!H771</x:f>
        <x:v>0.135</x:v>
      </x:c>
      <x:c r="N3566" s="11" t="n">
        <x:f>IF(G3566,L3566*AN3566/(1+M3566)^F3566,0)</x:f>
        <x:v>0.013441625708268177</x:v>
      </x:c>
      <x:c r="AJ3566" t="n">
        <x:v>0</x:v>
      </x:c>
      <x:c r="AK3566" t="n">
        <x:v>0</x:v>
      </x:c>
      <x:c r="AL3566" t="n">
        <x:v>0</x:v>
      </x:c>
      <x:c r="AM3566" t="n">
        <x:f>CHOOSE('假设'!$B$3,AJ3566,AK3566,AL3566)</x:f>
        <x:v>0</x:v>
      </x:c>
      <x:c r="AN3566" t="n">
        <x:v>1</x:v>
      </x:c>
    </x:row>
    <x:row r="3567" ht="23" customHeight="1">
      <x:c r="A3567" s="11" t="str">
        <x:v>688382.SH</x:v>
      </x:c>
      <x:c r="B3567" s="11" t="str">
        <x:v>五年</x:v>
      </x:c>
      <x:c r="C3567" s="11" t="str">
        <x:v>tyk_uc_cn</x:v>
      </x:c>
      <x:c r="D3567" s="11" t="str">
        <x:v>2043-12-31</x:v>
      </x:c>
      <x:c r="E3567" s="11" t="str">
        <x:v>CNY</x:v>
      </x:c>
      <x:c r="F3567" s="11" t="n">
        <x:v>12.227241615331964</x:v>
      </x:c>
      <x:c r="G3567" s="26" t="b">
        <x:v>1</x:v>
      </x:c>
      <x:c r="H3567" s="16" t="n">
        <x:v>0.24499999999999997</x:v>
      </x:c>
      <x:c r="I3567" s="16" t="n">
        <x:v>0.15299999999999994</x:v>
      </x:c>
      <x:c r="J3567" s="16" t="n">
        <x:v>0</x:v>
      </x:c>
      <x:c r="K3567" s="11" t="n">
        <x:f>CHOOSE('假设'!$B$3,H3567,I3567,J3567)</x:f>
        <x:v>0.15299999999999994</x:v>
      </x:c>
      <x:c r="L3567" s="11" t="n">
        <x:f>K3567*'管线假设'!E771*'管线假设'!F771*'管线假设'!G771*IF(E3567="USD",'管线假设'!I771,1)-AM3567</x:f>
        <x:v>0.022790879999999993</x:v>
      </x:c>
      <x:c r="M3567" s="11" t="n">
        <x:f>'管线假设'!H771</x:f>
        <x:v>0.135</x:v>
      </x:c>
      <x:c r="N3567" s="11" t="n">
        <x:f>IF(G3567,L3567*AN3567/(1+M3567)^F3567,0)</x:f>
        <x:v>0.004845218956524924</x:v>
      </x:c>
      <x:c r="AJ3567" t="n">
        <x:v>0</x:v>
      </x:c>
      <x:c r="AK3567" t="n">
        <x:v>0</x:v>
      </x:c>
      <x:c r="AL3567" t="n">
        <x:v>0</x:v>
      </x:c>
      <x:c r="AM3567" t="n">
        <x:f>CHOOSE('假设'!$B$3,AJ3567,AK3567,AL3567)</x:f>
        <x:v>0</x:v>
      </x:c>
      <x:c r="AN3567" t="n">
        <x:v>1</x:v>
      </x:c>
    </x:row>
    <x:row r="3568" ht="23" customHeight="1">
      <x:c r="A3568" s="11" t="str">
        <x:v>688382.SH</x:v>
      </x:c>
      <x:c r="B3568" s="11" t="str">
        <x:v>五年</x:v>
      </x:c>
      <x:c r="C3568" s="11" t="str">
        <x:v>tyk_uc_cn</x:v>
      </x:c>
      <x:c r="D3568" s="11" t="str">
        <x:v>2044-12-31</x:v>
      </x:c>
      <x:c r="E3568" s="11" t="str">
        <x:v>CNY</x:v>
      </x:c>
      <x:c r="F3568" s="11" t="n">
        <x:v>13.229295003422314</x:v>
      </x:c>
      <x:c r="G3568" s="26" t="b">
        <x:v>1</x:v>
      </x:c>
      <x:c r="H3568" s="16" t="n">
        <x:v>0.15399999999999997</x:v>
      </x:c>
      <x:c r="I3568" s="16" t="n">
        <x:v>0</x:v>
      </x:c>
      <x:c r="J3568" s="16" t="n">
        <x:v>0</x:v>
      </x:c>
      <x:c r="K3568" s="11" t="n">
        <x:f>CHOOSE('假设'!$B$3,H3568,I3568,J3568)</x:f>
        <x:v>0</x:v>
      </x:c>
      <x:c r="L3568" s="11" t="n">
        <x:f>K3568*'管线假设'!E771*'管线假设'!F771*'管线假设'!G771*IF(E3568="USD",'管线假设'!I771,1)-AM3568</x:f>
        <x:v>0</x:v>
      </x:c>
      <x:c r="M3568" s="11" t="n">
        <x:f>'管线假设'!H771</x:f>
        <x:v>0.135</x:v>
      </x:c>
      <x:c r="N3568" s="11" t="n">
        <x:f>IF(G3568,L3568*AN3568/(1+M3568)^F3568,0)</x:f>
        <x:v>0</x:v>
      </x:c>
      <x:c r="AJ3568" t="n">
        <x:v>0</x:v>
      </x:c>
      <x:c r="AK3568" t="n">
        <x:v>0</x:v>
      </x:c>
      <x:c r="AL3568" t="n">
        <x:v>0</x:v>
      </x:c>
      <x:c r="AM3568" t="n">
        <x:f>CHOOSE('假设'!$B$3,AJ3568,AK3568,AL3568)</x:f>
        <x:v>0</x:v>
      </x:c>
      <x:c r="AN3568" t="n">
        <x:v>1</x:v>
      </x:c>
    </x:row>
    <x:row r="3569" ht="23" customHeight="1">
      <x:c r="A3569" s="11" t="str">
        <x:v>688382.SH</x:v>
      </x:c>
      <x:c r="B3569" s="11" t="str">
        <x:v>五年</x:v>
      </x:c>
      <x:c r="C3569" s="11" t="str">
        <x:v>tyk_uc_cn</x:v>
      </x:c>
      <x:c r="D3569" s="11" t="str">
        <x:v>2045-12-31</x:v>
      </x:c>
      <x:c r="E3569" s="11" t="str">
        <x:v>CNY</x:v>
      </x:c>
      <x:c r="F3569" s="11" t="n">
        <x:v>14.22861054072553</x:v>
      </x:c>
      <x:c r="G3569" s="26" t="b">
        <x:v>1</x:v>
      </x:c>
      <x:c r="H3569" s="16" t="n">
        <x:v>0.06299999999999997</x:v>
      </x:c>
      <x:c r="I3569" s="16" t="n">
        <x:v>0</x:v>
      </x:c>
      <x:c r="J3569" s="16" t="n">
        <x:v>0</x:v>
      </x:c>
      <x:c r="K3569" s="11" t="n">
        <x:f>CHOOSE('假设'!$B$3,H3569,I3569,J3569)</x:f>
        <x:v>0</x:v>
      </x:c>
      <x:c r="L3569" s="11" t="n">
        <x:f>K3569*'管线假设'!E771*'管线假设'!F771*'管线假设'!G771*IF(E3569="USD",'管线假设'!I771,1)-AM3569</x:f>
        <x:v>0</x:v>
      </x:c>
      <x:c r="M3569" s="11" t="n">
        <x:f>'管线假设'!H771</x:f>
        <x:v>0.135</x:v>
      </x:c>
      <x:c r="N3569" s="11" t="n">
        <x:f>IF(G3569,L3569*AN3569/(1+M3569)^F3569,0)</x:f>
        <x:v>0</x:v>
      </x:c>
      <x:c r="AJ3569" t="n">
        <x:v>0</x:v>
      </x:c>
      <x:c r="AK3569" t="n">
        <x:v>0</x:v>
      </x:c>
      <x:c r="AL3569" t="n">
        <x:v>0</x:v>
      </x:c>
      <x:c r="AM3569" t="n">
        <x:f>CHOOSE('假设'!$B$3,AJ3569,AK3569,AL3569)</x:f>
        <x:v>0</x:v>
      </x:c>
      <x:c r="AN3569" t="n">
        <x:v>1</x:v>
      </x:c>
    </x:row>
    <x:row r="3570" ht="23" customHeight="1">
      <x:c r="A3570" s="11" t="str">
        <x:v>688382.SH</x:v>
      </x:c>
      <x:c r="B3570" s="11" t="str">
        <x:v>五年</x:v>
      </x:c>
      <x:c r="C3570" s="11" t="str">
        <x:v>tyk_sle_cn</x:v>
      </x:c>
      <x:c r="D3570" s="11" t="str">
        <x:v>2027-12-31</x:v>
      </x:c>
      <x:c r="E3570" s="11" t="str">
        <x:v>CNY</x:v>
      </x:c>
      <x:c r="F3570" s="11" t="n">
        <x:v>-3.7727583846680357</x:v>
      </x:c>
      <x:c r="G3570" s="26" t="b">
        <x:v>0</x:v>
      </x:c>
      <x:c r="H3570" s="16" t="n">
        <x:v>0</x:v>
      </x:c>
      <x:c r="I3570" s="16" t="n">
        <x:v>0</x:v>
      </x:c>
      <x:c r="J3570" s="16" t="n">
        <x:v>0</x:v>
      </x:c>
      <x:c r="K3570" s="11" t="n">
        <x:f>CHOOSE('假设'!$B$3,H3570,I3570,J3570)</x:f>
        <x:v>0</x:v>
      </x:c>
      <x:c r="L3570" s="11" t="n">
        <x:f>K3570*'管线假设'!E775*'管线假设'!F775*'管线假设'!G775*IF(E3570="USD",'管线假设'!I775,1)-AM3570</x:f>
        <x:v>0</x:v>
      </x:c>
      <x:c r="M3570" s="11" t="n">
        <x:f>'管线假设'!H775</x:f>
        <x:v>0.135</x:v>
      </x:c>
      <x:c r="N3570" s="11" t="n">
        <x:f>IF(G3570,L3570*AN3570/(1+M3570)^F3570,0)</x:f>
        <x:v>0</x:v>
      </x:c>
      <x:c r="AJ3570" t="n">
        <x:v>0</x:v>
      </x:c>
      <x:c r="AK3570" t="n">
        <x:v>0</x:v>
      </x:c>
      <x:c r="AL3570" t="n">
        <x:v>0</x:v>
      </x:c>
      <x:c r="AM3570" t="n">
        <x:f>CHOOSE('假设'!$B$3,AJ3570,AK3570,AL3570)</x:f>
        <x:v>0</x:v>
      </x:c>
      <x:c r="AN3570" t="n">
        <x:v>1</x:v>
      </x:c>
    </x:row>
    <x:row r="3571" ht="23" customHeight="1">
      <x:c r="A3571" s="11" t="str">
        <x:v>688382.SH</x:v>
      </x:c>
      <x:c r="B3571" s="11" t="str">
        <x:v>五年</x:v>
      </x:c>
      <x:c r="C3571" s="11" t="str">
        <x:v>tyk_sle_cn</x:v>
      </x:c>
      <x:c r="D3571" s="11" t="str">
        <x:v>2028-12-31</x:v>
      </x:c>
      <x:c r="E3571" s="11" t="str">
        <x:v>CNY</x:v>
      </x:c>
      <x:c r="F3571" s="11" t="n">
        <x:v>-2.7707049965776864</x:v>
      </x:c>
      <x:c r="G3571" s="26" t="b">
        <x:v>0</x:v>
      </x:c>
      <x:c r="H3571" s="16" t="n">
        <x:v>0</x:v>
      </x:c>
      <x:c r="I3571" s="16" t="n">
        <x:v>0</x:v>
      </x:c>
      <x:c r="J3571" s="16" t="n">
        <x:v>0</x:v>
      </x:c>
      <x:c r="K3571" s="11" t="n">
        <x:f>CHOOSE('假设'!$B$3,H3571,I3571,J3571)</x:f>
        <x:v>0</x:v>
      </x:c>
      <x:c r="L3571" s="11" t="n">
        <x:f>K3571*'管线假设'!E775*'管线假设'!F775*'管线假设'!G775*IF(E3571="USD",'管线假设'!I775,1)-AM3571</x:f>
        <x:v>0</x:v>
      </x:c>
      <x:c r="M3571" s="11" t="n">
        <x:f>'管线假设'!H775</x:f>
        <x:v>0.135</x:v>
      </x:c>
      <x:c r="N3571" s="11" t="n">
        <x:f>IF(G3571,L3571*AN3571/(1+M3571)^F3571,0)</x:f>
        <x:v>0</x:v>
      </x:c>
      <x:c r="AJ3571" t="n">
        <x:v>0</x:v>
      </x:c>
      <x:c r="AK3571" t="n">
        <x:v>0</x:v>
      </x:c>
      <x:c r="AL3571" t="n">
        <x:v>0</x:v>
      </x:c>
      <x:c r="AM3571" t="n">
        <x:f>CHOOSE('假设'!$B$3,AJ3571,AK3571,AL3571)</x:f>
        <x:v>0</x:v>
      </x:c>
      <x:c r="AN3571" t="n">
        <x:v>1</x:v>
      </x:c>
    </x:row>
    <x:row r="3572" ht="23" customHeight="1">
      <x:c r="A3572" s="11" t="str">
        <x:v>688382.SH</x:v>
      </x:c>
      <x:c r="B3572" s="11" t="str">
        <x:v>五年</x:v>
      </x:c>
      <x:c r="C3572" s="11" t="str">
        <x:v>tyk_sle_cn</x:v>
      </x:c>
      <x:c r="D3572" s="11" t="str">
        <x:v>2029-12-31</x:v>
      </x:c>
      <x:c r="E3572" s="11" t="str">
        <x:v>CNY</x:v>
      </x:c>
      <x:c r="F3572" s="11" t="n">
        <x:v>-1.7713894592744694</x:v>
      </x:c>
      <x:c r="G3572" s="26" t="b">
        <x:v>0</x:v>
      </x:c>
      <x:c r="H3572" s="16" t="n">
        <x:v>0</x:v>
      </x:c>
      <x:c r="I3572" s="16" t="n">
        <x:v>0</x:v>
      </x:c>
      <x:c r="J3572" s="16" t="n">
        <x:v>0</x:v>
      </x:c>
      <x:c r="K3572" s="11" t="n">
        <x:f>CHOOSE('假设'!$B$3,H3572,I3572,J3572)</x:f>
        <x:v>0</x:v>
      </x:c>
      <x:c r="L3572" s="11" t="n">
        <x:f>K3572*'管线假设'!E775*'管线假设'!F775*'管线假设'!G775*IF(E3572="USD",'管线假设'!I775,1)-AM3572</x:f>
        <x:v>0</x:v>
      </x:c>
      <x:c r="M3572" s="11" t="n">
        <x:f>'管线假设'!H775</x:f>
        <x:v>0.135</x:v>
      </x:c>
      <x:c r="N3572" s="11" t="n">
        <x:f>IF(G3572,L3572*AN3572/(1+M3572)^F3572,0)</x:f>
        <x:v>0</x:v>
      </x:c>
      <x:c r="AJ3572" t="n">
        <x:v>0</x:v>
      </x:c>
      <x:c r="AK3572" t="n">
        <x:v>0</x:v>
      </x:c>
      <x:c r="AL3572" t="n">
        <x:v>0</x:v>
      </x:c>
      <x:c r="AM3572" t="n">
        <x:f>CHOOSE('假设'!$B$3,AJ3572,AK3572,AL3572)</x:f>
        <x:v>0</x:v>
      </x:c>
      <x:c r="AN3572" t="n">
        <x:v>1</x:v>
      </x:c>
    </x:row>
    <x:row r="3573" ht="23" customHeight="1">
      <x:c r="A3573" s="11" t="str">
        <x:v>688382.SH</x:v>
      </x:c>
      <x:c r="B3573" s="11" t="str">
        <x:v>五年</x:v>
      </x:c>
      <x:c r="C3573" s="11" t="str">
        <x:v>tyk_sle_cn</x:v>
      </x:c>
      <x:c r="D3573" s="11" t="str">
        <x:v>2030-12-31</x:v>
      </x:c>
      <x:c r="E3573" s="11" t="str">
        <x:v>CNY</x:v>
      </x:c>
      <x:c r="F3573" s="11" t="n">
        <x:v>-0.7720739219712526</x:v>
      </x:c>
      <x:c r="G3573" s="26" t="b">
        <x:v>0</x:v>
      </x:c>
      <x:c r="H3573" s="16" t="n">
        <x:v>0</x:v>
      </x:c>
      <x:c r="I3573" s="16" t="n">
        <x:v>0</x:v>
      </x:c>
      <x:c r="J3573" s="16" t="n">
        <x:v>0.3833333333333333</x:v>
      </x:c>
      <x:c r="K3573" s="11" t="n">
        <x:f>CHOOSE('假设'!$B$3,H3573,I3573,J3573)</x:f>
        <x:v>0</x:v>
      </x:c>
      <x:c r="L3573" s="11" t="n">
        <x:f>K3573*'管线假设'!E775*'管线假设'!F775*'管线假设'!G775*IF(E3573="USD",'管线假设'!I775,1)-AM3573</x:f>
        <x:v>0</x:v>
      </x:c>
      <x:c r="M3573" s="11" t="n">
        <x:f>'管线假设'!H775</x:f>
        <x:v>0.135</x:v>
      </x:c>
      <x:c r="N3573" s="11" t="n">
        <x:f>IF(G3573,L3573*AN3573/(1+M3573)^F3573,0)</x:f>
        <x:v>0</x:v>
      </x:c>
      <x:c r="AJ3573" t="n">
        <x:v>0</x:v>
      </x:c>
      <x:c r="AK3573" t="n">
        <x:v>0</x:v>
      </x:c>
      <x:c r="AL3573" t="n">
        <x:v>0</x:v>
      </x:c>
      <x:c r="AM3573" t="n">
        <x:f>CHOOSE('假设'!$B$3,AJ3573,AK3573,AL3573)</x:f>
        <x:v>0</x:v>
      </x:c>
      <x:c r="AN3573" t="n">
        <x:v>1</x:v>
      </x:c>
    </x:row>
    <x:row r="3574" ht="23" customHeight="1">
      <x:c r="A3574" s="11" t="str">
        <x:v>688382.SH</x:v>
      </x:c>
      <x:c r="B3574" s="11" t="str">
        <x:v>五年</x:v>
      </x:c>
      <x:c r="C3574" s="11" t="str">
        <x:v>tyk_sle_cn</x:v>
      </x:c>
      <x:c r="D3574" s="11" t="str">
        <x:v>2031-12-31</x:v>
      </x:c>
      <x:c r="E3574" s="11" t="str">
        <x:v>CNY</x:v>
      </x:c>
      <x:c r="F3574" s="11" t="n">
        <x:v>0.2272416153319644</x:v>
      </x:c>
      <x:c r="G3574" s="26" t="b">
        <x:v>1</x:v>
      </x:c>
      <x:c r="H3574" s="16" t="n">
        <x:v>0</x:v>
      </x:c>
      <x:c r="I3574" s="16" t="n">
        <x:v>0</x:v>
      </x:c>
      <x:c r="J3574" s="16" t="n">
        <x:v>0.7666666666666666</x:v>
      </x:c>
      <x:c r="K3574" s="11" t="n">
        <x:f>CHOOSE('假设'!$B$3,H3574,I3574,J3574)</x:f>
        <x:v>0</x:v>
      </x:c>
      <x:c r="L3574" s="11" t="n">
        <x:f>K3574*'管线假设'!E775*'管线假设'!F775*'管线假设'!G775*IF(E3574="USD",'管线假设'!I775,1)-AM3574</x:f>
        <x:v>0</x:v>
      </x:c>
      <x:c r="M3574" s="11" t="n">
        <x:f>'管线假设'!H775</x:f>
        <x:v>0.135</x:v>
      </x:c>
      <x:c r="N3574" s="11" t="n">
        <x:f>IF(G3574,L3574*AN3574/(1+M3574)^F3574,0)</x:f>
        <x:v>0</x:v>
      </x:c>
      <x:c r="AJ3574" t="n">
        <x:v>0</x:v>
      </x:c>
      <x:c r="AK3574" t="n">
        <x:v>0</x:v>
      </x:c>
      <x:c r="AL3574" t="n">
        <x:v>0</x:v>
      </x:c>
      <x:c r="AM3574" t="n">
        <x:f>CHOOSE('假设'!$B$3,AJ3574,AK3574,AL3574)</x:f>
        <x:v>0</x:v>
      </x:c>
      <x:c r="AN3574" t="n">
        <x:v>1</x:v>
      </x:c>
    </x:row>
    <x:row r="3575" ht="23" customHeight="1">
      <x:c r="A3575" s="11" t="str">
        <x:v>688382.SH</x:v>
      </x:c>
      <x:c r="B3575" s="11" t="str">
        <x:v>五年</x:v>
      </x:c>
      <x:c r="C3575" s="11" t="str">
        <x:v>tyk_sle_cn</x:v>
      </x:c>
      <x:c r="D3575" s="11" t="str">
        <x:v>2032-12-31</x:v>
      </x:c>
      <x:c r="E3575" s="11" t="str">
        <x:v>CNY</x:v>
      </x:c>
      <x:c r="F3575" s="11" t="n">
        <x:v>1.2292950034223136</x:v>
      </x:c>
      <x:c r="G3575" s="26" t="b">
        <x:v>1</x:v>
      </x:c>
      <x:c r="H3575" s="16" t="n">
        <x:v>0</x:v>
      </x:c>
      <x:c r="I3575" s="16" t="n">
        <x:v>0.21666666666666667</x:v>
      </x:c>
      <x:c r="J3575" s="16" t="n">
        <x:v>1.15</x:v>
      </x:c>
      <x:c r="K3575" s="11" t="n">
        <x:f>CHOOSE('假设'!$B$3,H3575,I3575,J3575)</x:f>
        <x:v>0.21666666666666667</x:v>
      </x:c>
      <x:c r="L3575" s="11" t="n">
        <x:f>K3575*'管线假设'!E775*'管线假设'!F775*'管线假设'!G775*IF(E3575="USD",'管线假设'!I775,1)-AM3575</x:f>
        <x:v>0.028331333333333337</x:v>
      </x:c>
      <x:c r="M3575" s="11" t="n">
        <x:f>'管线假设'!H775</x:f>
        <x:v>0.135</x:v>
      </x:c>
      <x:c r="N3575" s="11" t="n">
        <x:f>IF(G3575,L3575*AN3575/(1+M3575)^F3575,0)</x:f>
        <x:v>0.024247159876577516</x:v>
      </x:c>
      <x:c r="AJ3575" t="n">
        <x:v>0</x:v>
      </x:c>
      <x:c r="AK3575" t="n">
        <x:v>0</x:v>
      </x:c>
      <x:c r="AL3575" t="n">
        <x:v>0</x:v>
      </x:c>
      <x:c r="AM3575" t="n">
        <x:f>CHOOSE('假设'!$B$3,AJ3575,AK3575,AL3575)</x:f>
        <x:v>0</x:v>
      </x:c>
      <x:c r="AN3575" t="n">
        <x:v>1</x:v>
      </x:c>
    </x:row>
    <x:row r="3576" ht="23" customHeight="1">
      <x:c r="A3576" s="11" t="str">
        <x:v>688382.SH</x:v>
      </x:c>
      <x:c r="B3576" s="11" t="str">
        <x:v>五年</x:v>
      </x:c>
      <x:c r="C3576" s="11" t="str">
        <x:v>tyk_sle_cn</x:v>
      </x:c>
      <x:c r="D3576" s="11" t="str">
        <x:v>2033-12-31</x:v>
      </x:c>
      <x:c r="E3576" s="11" t="str">
        <x:v>CNY</x:v>
      </x:c>
      <x:c r="F3576" s="11" t="n">
        <x:v>2.2286105407255303</x:v>
      </x:c>
      <x:c r="G3576" s="26" t="b">
        <x:v>1</x:v>
      </x:c>
      <x:c r="H3576" s="16" t="n">
        <x:v>0</x:v>
      </x:c>
      <x:c r="I3576" s="16" t="n">
        <x:v>0.43333333333333335</x:v>
      </x:c>
      <x:c r="J3576" s="16" t="n">
        <x:v>1.5333333333333332</x:v>
      </x:c>
      <x:c r="K3576" s="11" t="n">
        <x:f>CHOOSE('假设'!$B$3,H3576,I3576,J3576)</x:f>
        <x:v>0.43333333333333335</x:v>
      </x:c>
      <x:c r="L3576" s="11" t="n">
        <x:f>K3576*'管线假设'!E775*'管线假设'!F775*'管线假设'!G775*IF(E3576="USD",'管线假设'!I775,1)-AM3576</x:f>
        <x:v>0.056662666666666674</x:v>
      </x:c>
      <x:c r="M3576" s="11" t="n">
        <x:f>'管线假设'!H775</x:f>
        <x:v>0.135</x:v>
      </x:c>
      <x:c r="N3576" s="11" t="n">
        <x:f>IF(G3576,L3576*AN3576/(1+M3576)^F3576,0)</x:f>
        <x:v>0.042729976384389294</x:v>
      </x:c>
      <x:c r="AJ3576" t="n">
        <x:v>0</x:v>
      </x:c>
      <x:c r="AK3576" t="n">
        <x:v>0</x:v>
      </x:c>
      <x:c r="AL3576" t="n">
        <x:v>0</x:v>
      </x:c>
      <x:c r="AM3576" t="n">
        <x:f>CHOOSE('假设'!$B$3,AJ3576,AK3576,AL3576)</x:f>
        <x:v>0</x:v>
      </x:c>
      <x:c r="AN3576" t="n">
        <x:v>1</x:v>
      </x:c>
    </x:row>
    <x:row r="3577" ht="23" customHeight="1">
      <x:c r="A3577" s="11" t="str">
        <x:v>688382.SH</x:v>
      </x:c>
      <x:c r="B3577" s="11" t="str">
        <x:v>五年</x:v>
      </x:c>
      <x:c r="C3577" s="11" t="str">
        <x:v>tyk_sle_cn</x:v>
      </x:c>
      <x:c r="D3577" s="11" t="str">
        <x:v>2034-12-31</x:v>
      </x:c>
      <x:c r="E3577" s="11" t="str">
        <x:v>CNY</x:v>
      </x:c>
      <x:c r="F3577" s="11" t="n">
        <x:v>3.2279260780287475</x:v>
      </x:c>
      <x:c r="G3577" s="26" t="b">
        <x:v>1</x:v>
      </x:c>
      <x:c r="H3577" s="16" t="n">
        <x:v>0</x:v>
      </x:c>
      <x:c r="I3577" s="16" t="n">
        <x:v>0.65</x:v>
      </x:c>
      <x:c r="J3577" s="16" t="n">
        <x:v>1.9166666666666665</x:v>
      </x:c>
      <x:c r="K3577" s="11" t="n">
        <x:f>CHOOSE('假设'!$B$3,H3577,I3577,J3577)</x:f>
        <x:v>0.65</x:v>
      </x:c>
      <x:c r="L3577" s="11" t="n">
        <x:f>K3577*'管线假设'!E775*'管线假设'!F775*'管线假设'!G775*IF(E3577="USD",'管线假设'!I775,1)-AM3577</x:f>
        <x:v>0.084994</x:v>
      </x:c>
      <x:c r="M3577" s="11" t="n">
        <x:f>'管线假设'!H775</x:f>
        <x:v>0.135</x:v>
      </x:c>
      <x:c r="N3577" s="11" t="n">
        <x:f>IF(G3577,L3577*AN3577/(1+M3577)^F3577,0)</x:f>
        <x:v>0.05647622931214569</x:v>
      </x:c>
      <x:c r="AJ3577" t="n">
        <x:v>0</x:v>
      </x:c>
      <x:c r="AK3577" t="n">
        <x:v>0</x:v>
      </x:c>
      <x:c r="AL3577" t="n">
        <x:v>0</x:v>
      </x:c>
      <x:c r="AM3577" t="n">
        <x:f>CHOOSE('假设'!$B$3,AJ3577,AK3577,AL3577)</x:f>
        <x:v>0</x:v>
      </x:c>
      <x:c r="AN3577" t="n">
        <x:v>1</x:v>
      </x:c>
    </x:row>
    <x:row r="3578" ht="23" customHeight="1">
      <x:c r="A3578" s="11" t="str">
        <x:v>688382.SH</x:v>
      </x:c>
      <x:c r="B3578" s="11" t="str">
        <x:v>五年</x:v>
      </x:c>
      <x:c r="C3578" s="11" t="str">
        <x:v>tyk_sle_cn</x:v>
      </x:c>
      <x:c r="D3578" s="11" t="str">
        <x:v>2035-12-31</x:v>
      </x:c>
      <x:c r="E3578" s="11" t="str">
        <x:v>CNY</x:v>
      </x:c>
      <x:c r="F3578" s="11" t="n">
        <x:v>4.227241615331964</x:v>
      </x:c>
      <x:c r="G3578" s="26" t="b">
        <x:v>1</x:v>
      </x:c>
      <x:c r="H3578" s="16" t="n">
        <x:v>0.1</x:v>
      </x:c>
      <x:c r="I3578" s="16" t="n">
        <x:v>0.8666666666666667</x:v>
      </x:c>
      <x:c r="J3578" s="16" t="n">
        <x:v>2.3</x:v>
      </x:c>
      <x:c r="K3578" s="11" t="n">
        <x:f>CHOOSE('假设'!$B$3,H3578,I3578,J3578)</x:f>
        <x:v>0.8666666666666667</x:v>
      </x:c>
      <x:c r="L3578" s="11" t="n">
        <x:f>K3578*'管线假设'!E775*'管线假设'!F775*'管线假设'!G775*IF(E3578="USD",'管线假设'!I775,1)-AM3578</x:f>
        <x:v>0.11332533333333335</x:v>
      </x:c>
      <x:c r="M3578" s="11" t="n">
        <x:f>'管线假设'!H775</x:f>
        <x:v>0.135</x:v>
      </x:c>
      <x:c r="N3578" s="11" t="n">
        <x:f>IF(G3578,L3578*AN3578/(1+M3578)^F3578,0)</x:f>
        <x:v>0.06635080718927117</x:v>
      </x:c>
      <x:c r="AJ3578" t="n">
        <x:v>0</x:v>
      </x:c>
      <x:c r="AK3578" t="n">
        <x:v>0</x:v>
      </x:c>
      <x:c r="AL3578" t="n">
        <x:v>0</x:v>
      </x:c>
      <x:c r="AM3578" t="n">
        <x:f>CHOOSE('假设'!$B$3,AJ3578,AK3578,AL3578)</x:f>
        <x:v>0</x:v>
      </x:c>
      <x:c r="AN3578" t="n">
        <x:v>1</x:v>
      </x:c>
    </x:row>
    <x:row r="3579" ht="23" customHeight="1">
      <x:c r="A3579" s="11" t="str">
        <x:v>688382.SH</x:v>
      </x:c>
      <x:c r="B3579" s="11" t="str">
        <x:v>五年</x:v>
      </x:c>
      <x:c r="C3579" s="11" t="str">
        <x:v>tyk_sle_cn</x:v>
      </x:c>
      <x:c r="D3579" s="11" t="str">
        <x:v>2036-12-31</x:v>
      </x:c>
      <x:c r="E3579" s="11" t="str">
        <x:v>CNY</x:v>
      </x:c>
      <x:c r="F3579" s="11" t="n">
        <x:v>5.229295003422314</x:v>
      </x:c>
      <x:c r="G3579" s="26" t="b">
        <x:v>1</x:v>
      </x:c>
      <x:c r="H3579" s="16" t="n">
        <x:v>0.2</x:v>
      </x:c>
      <x:c r="I3579" s="16" t="n">
        <x:v>1.0833333333333335</x:v>
      </x:c>
      <x:c r="J3579" s="16" t="n">
        <x:v>2.001</x:v>
      </x:c>
      <x:c r="K3579" s="11" t="n">
        <x:f>CHOOSE('假设'!$B$3,H3579,I3579,J3579)</x:f>
        <x:v>1.0833333333333335</x:v>
      </x:c>
      <x:c r="L3579" s="11" t="n">
        <x:f>K3579*'管线假设'!E775*'管线假设'!F775*'管线假设'!G775*IF(E3579="USD",'管线假设'!I775,1)-AM3579</x:f>
        <x:v>0.14165666666666668</x:v>
      </x:c>
      <x:c r="M3579" s="11" t="n">
        <x:f>'管线假设'!H775</x:f>
        <x:v>0.135</x:v>
      </x:c>
      <x:c r="N3579" s="11" t="n">
        <x:f>IF(G3579,L3579*AN3579/(1+M3579)^F3579,0)</x:f>
        <x:v>0.07305457764173982</x:v>
      </x:c>
      <x:c r="AJ3579" t="n">
        <x:v>0</x:v>
      </x:c>
      <x:c r="AK3579" t="n">
        <x:v>0</x:v>
      </x:c>
      <x:c r="AL3579" t="n">
        <x:v>0</x:v>
      </x:c>
      <x:c r="AM3579" t="n">
        <x:f>CHOOSE('假设'!$B$3,AJ3579,AK3579,AL3579)</x:f>
        <x:v>0</x:v>
      </x:c>
      <x:c r="AN3579" t="n">
        <x:v>1</x:v>
      </x:c>
    </x:row>
    <x:row r="3580" ht="23" customHeight="1">
      <x:c r="A3580" s="11" t="str">
        <x:v>688382.SH</x:v>
      </x:c>
      <x:c r="B3580" s="11" t="str">
        <x:v>五年</x:v>
      </x:c>
      <x:c r="C3580" s="11" t="str">
        <x:v>tyk_sle_cn</x:v>
      </x:c>
      <x:c r="D3580" s="11" t="str">
        <x:v>2037-12-31</x:v>
      </x:c>
      <x:c r="E3580" s="11" t="str">
        <x:v>CNY</x:v>
      </x:c>
      <x:c r="F3580" s="11" t="n">
        <x:v>6.228610540725531</x:v>
      </x:c>
      <x:c r="G3580" s="26" t="b">
        <x:v>1</x:v>
      </x:c>
      <x:c r="H3580" s="16" t="n">
        <x:v>0.3</x:v>
      </x:c>
      <x:c r="I3580" s="16" t="n">
        <x:v>1.3</x:v>
      </x:c>
      <x:c r="J3580" s="16" t="n">
        <x:v>1.702</x:v>
      </x:c>
      <x:c r="K3580" s="11" t="n">
        <x:f>CHOOSE('假设'!$B$3,H3580,I3580,J3580)</x:f>
        <x:v>1.3</x:v>
      </x:c>
      <x:c r="L3580" s="11" t="n">
        <x:f>K3580*'管线假设'!E775*'管线假设'!F775*'管线假设'!G775*IF(E3580="USD",'管线假设'!I775,1)-AM3580</x:f>
        <x:v>0.169988</x:v>
      </x:c>
      <x:c r="M3580" s="11" t="n">
        <x:f>'管线假设'!H775</x:f>
        <x:v>0.135</x:v>
      </x:c>
      <x:c r="N3580" s="11" t="n">
        <x:f>IF(G3580,L3580*AN3580/(1+M3580)^F3580,0)</x:f>
        <x:v>0.07724501492032954</x:v>
      </x:c>
      <x:c r="AJ3580" t="n">
        <x:v>0</x:v>
      </x:c>
      <x:c r="AK3580" t="n">
        <x:v>0</x:v>
      </x:c>
      <x:c r="AL3580" t="n">
        <x:v>0</x:v>
      </x:c>
      <x:c r="AM3580" t="n">
        <x:f>CHOOSE('假设'!$B$3,AJ3580,AK3580,AL3580)</x:f>
        <x:v>0</x:v>
      </x:c>
      <x:c r="AN3580" t="n">
        <x:v>1</x:v>
      </x:c>
    </x:row>
    <x:row r="3581" ht="23" customHeight="1">
      <x:c r="A3581" s="11" t="str">
        <x:v>688382.SH</x:v>
      </x:c>
      <x:c r="B3581" s="11" t="str">
        <x:v>五年</x:v>
      </x:c>
      <x:c r="C3581" s="11" t="str">
        <x:v>tyk_sle_cn</x:v>
      </x:c>
      <x:c r="D3581" s="11" t="str">
        <x:v>2038-12-31</x:v>
      </x:c>
      <x:c r="E3581" s="11" t="str">
        <x:v>CNY</x:v>
      </x:c>
      <x:c r="F3581" s="11" t="n">
        <x:v>7.227926078028747</x:v>
      </x:c>
      <x:c r="G3581" s="26" t="b">
        <x:v>1</x:v>
      </x:c>
      <x:c r="H3581" s="16" t="n">
        <x:v>0.4</x:v>
      </x:c>
      <x:c r="I3581" s="16" t="n">
        <x:v>1.131</x:v>
      </x:c>
      <x:c r="J3581" s="16" t="n">
        <x:v>1.4029999999999998</x:v>
      </x:c>
      <x:c r="K3581" s="11" t="n">
        <x:f>CHOOSE('假设'!$B$3,H3581,I3581,J3581)</x:f>
        <x:v>1.131</x:v>
      </x:c>
      <x:c r="L3581" s="11" t="n">
        <x:f>K3581*'管线假设'!E775*'管线假设'!F775*'管线假设'!G775*IF(E3581="USD",'管线假设'!I775,1)-AM3581</x:f>
        <x:v>0.14788956</x:v>
      </x:c>
      <x:c r="M3581" s="11" t="n">
        <x:f>'管线假设'!H775</x:f>
        <x:v>0.135</x:v>
      </x:c>
      <x:c r="N3581" s="11" t="n">
        <x:f>IF(G3581,L3581*AN3581/(1+M3581)^F3581,0)</x:f>
        <x:v>0.05921496747944758</x:v>
      </x:c>
      <x:c r="AJ3581" t="n">
        <x:v>0</x:v>
      </x:c>
      <x:c r="AK3581" t="n">
        <x:v>0</x:v>
      </x:c>
      <x:c r="AL3581" t="n">
        <x:v>0</x:v>
      </x:c>
      <x:c r="AM3581" t="n">
        <x:f>CHOOSE('假设'!$B$3,AJ3581,AK3581,AL3581)</x:f>
        <x:v>0</x:v>
      </x:c>
      <x:c r="AN3581" t="n">
        <x:v>1</x:v>
      </x:c>
    </x:row>
    <x:row r="3582" ht="23" customHeight="1">
      <x:c r="A3582" s="11" t="str">
        <x:v>688382.SH</x:v>
      </x:c>
      <x:c r="B3582" s="11" t="str">
        <x:v>五年</x:v>
      </x:c>
      <x:c r="C3582" s="11" t="str">
        <x:v>tyk_sle_cn</x:v>
      </x:c>
      <x:c r="D3582" s="11" t="str">
        <x:v>2039-12-31</x:v>
      </x:c>
      <x:c r="E3582" s="11" t="str">
        <x:v>CNY</x:v>
      </x:c>
      <x:c r="F3582" s="11" t="n">
        <x:v>8.227241615331964</x:v>
      </x:c>
      <x:c r="G3582" s="26" t="b">
        <x:v>1</x:v>
      </x:c>
      <x:c r="H3582" s="16" t="n">
        <x:v>0.5</x:v>
      </x:c>
      <x:c r="I3582" s="16" t="n">
        <x:v>0.962</x:v>
      </x:c>
      <x:c r="J3582" s="16" t="n">
        <x:v>1.1039999999999999</x:v>
      </x:c>
      <x:c r="K3582" s="11" t="n">
        <x:f>CHOOSE('假设'!$B$3,H3582,I3582,J3582)</x:f>
        <x:v>0.962</x:v>
      </x:c>
      <x:c r="L3582" s="11" t="n">
        <x:f>K3582*'管线假设'!E775*'管线假设'!F775*'管线假设'!G775*IF(E3582="USD",'管线假设'!I775,1)-AM3582</x:f>
        <x:v>0.12579112</x:v>
      </x:c>
      <x:c r="M3582" s="11" t="n">
        <x:f>'管线假设'!H775</x:f>
        <x:v>0.135</x:v>
      </x:c>
      <x:c r="N3582" s="11" t="n">
        <x:f>IF(G3582,L3582*AN3582/(1+M3582)^F3582,0)</x:f>
        <x:v>0.044379841138361346</x:v>
      </x:c>
      <x:c r="AJ3582" t="n">
        <x:v>0</x:v>
      </x:c>
      <x:c r="AK3582" t="n">
        <x:v>0</x:v>
      </x:c>
      <x:c r="AL3582" t="n">
        <x:v>0</x:v>
      </x:c>
      <x:c r="AM3582" t="n">
        <x:f>CHOOSE('假设'!$B$3,AJ3582,AK3582,AL3582)</x:f>
        <x:v>0</x:v>
      </x:c>
      <x:c r="AN3582" t="n">
        <x:v>1</x:v>
      </x:c>
    </x:row>
    <x:row r="3583" ht="23" customHeight="1">
      <x:c r="A3583" s="11" t="str">
        <x:v>688382.SH</x:v>
      </x:c>
      <x:c r="B3583" s="11" t="str">
        <x:v>五年</x:v>
      </x:c>
      <x:c r="C3583" s="11" t="str">
        <x:v>tyk_sle_cn</x:v>
      </x:c>
      <x:c r="D3583" s="11" t="str">
        <x:v>2040-12-31</x:v>
      </x:c>
      <x:c r="E3583" s="11" t="str">
        <x:v>CNY</x:v>
      </x:c>
      <x:c r="F3583" s="11" t="n">
        <x:v>9.229295003422314</x:v>
      </x:c>
      <x:c r="G3583" s="26" t="b">
        <x:v>1</x:v>
      </x:c>
      <x:c r="H3583" s="16" t="n">
        <x:v>0.435</x:v>
      </x:c>
      <x:c r="I3583" s="16" t="n">
        <x:v>0.793</x:v>
      </x:c>
      <x:c r="J3583" s="16" t="n">
        <x:v>0.8049999999999999</x:v>
      </x:c>
      <x:c r="K3583" s="11" t="n">
        <x:f>CHOOSE('假设'!$B$3,H3583,I3583,J3583)</x:f>
        <x:v>0.793</x:v>
      </x:c>
      <x:c r="L3583" s="11" t="n">
        <x:f>K3583*'管线假设'!E775*'管线假设'!F775*'管线假设'!G775*IF(E3583="USD",'管线假设'!I775,1)-AM3583</x:f>
        <x:v>0.10369268000000001</x:v>
      </x:c>
      <x:c r="M3583" s="11" t="n">
        <x:f>'管线假设'!H775</x:f>
        <x:v>0.135</x:v>
      </x:c>
      <x:c r="N3583" s="11" t="n">
        <x:f>IF(G3583,L3583*AN3583/(1+M3583)^F3583,0)</x:f>
        <x:v>0.03222367503687805</x:v>
      </x:c>
      <x:c r="AJ3583" t="n">
        <x:v>0</x:v>
      </x:c>
      <x:c r="AK3583" t="n">
        <x:v>0</x:v>
      </x:c>
      <x:c r="AL3583" t="n">
        <x:v>0</x:v>
      </x:c>
      <x:c r="AM3583" t="n">
        <x:f>CHOOSE('假设'!$B$3,AJ3583,AK3583,AL3583)</x:f>
        <x:v>0</x:v>
      </x:c>
      <x:c r="AN3583" t="n">
        <x:v>1</x:v>
      </x:c>
    </x:row>
    <x:row r="3584" ht="23" customHeight="1">
      <x:c r="A3584" s="11" t="str">
        <x:v>688382.SH</x:v>
      </x:c>
      <x:c r="B3584" s="11" t="str">
        <x:v>五年</x:v>
      </x:c>
      <x:c r="C3584" s="11" t="str">
        <x:v>tyk_sle_cn</x:v>
      </x:c>
      <x:c r="D3584" s="11" t="str">
        <x:v>2041-12-31</x:v>
      </x:c>
      <x:c r="E3584" s="11" t="str">
        <x:v>CNY</x:v>
      </x:c>
      <x:c r="F3584" s="11" t="n">
        <x:v>10.22861054072553</x:v>
      </x:c>
      <x:c r="G3584" s="26" t="b">
        <x:v>1</x:v>
      </x:c>
      <x:c r="H3584" s="16" t="n">
        <x:v>0.37</x:v>
      </x:c>
      <x:c r="I3584" s="16" t="n">
        <x:v>0.624</x:v>
      </x:c>
      <x:c r="J3584" s="16" t="n">
        <x:v>0.5059999999999999</x:v>
      </x:c>
      <x:c r="K3584" s="11" t="n">
        <x:f>CHOOSE('假设'!$B$3,H3584,I3584,J3584)</x:f>
        <x:v>0.624</x:v>
      </x:c>
      <x:c r="L3584" s="11" t="n">
        <x:f>K3584*'管线假设'!E775*'管线假设'!F775*'管线假设'!G775*IF(E3584="USD",'管线假设'!I775,1)-AM3584</x:f>
        <x:v>0.08159424000000001</x:v>
      </x:c>
      <x:c r="M3584" s="11" t="n">
        <x:f>'管线假设'!H775</x:f>
        <x:v>0.135</x:v>
      </x:c>
      <x:c r="N3584" s="11" t="n">
        <x:f>IF(G3584,L3584*AN3584/(1+M3584)^F3584,0)</x:f>
        <x:v>0.022342319223829222</x:v>
      </x:c>
      <x:c r="AJ3584" t="n">
        <x:v>0</x:v>
      </x:c>
      <x:c r="AK3584" t="n">
        <x:v>0</x:v>
      </x:c>
      <x:c r="AL3584" t="n">
        <x:v>0</x:v>
      </x:c>
      <x:c r="AM3584" t="n">
        <x:f>CHOOSE('假设'!$B$3,AJ3584,AK3584,AL3584)</x:f>
        <x:v>0</x:v>
      </x:c>
      <x:c r="AN3584" t="n">
        <x:v>1</x:v>
      </x:c>
    </x:row>
    <x:row r="3585" ht="23" customHeight="1">
      <x:c r="A3585" s="11" t="str">
        <x:v>688382.SH</x:v>
      </x:c>
      <x:c r="B3585" s="11" t="str">
        <x:v>五年</x:v>
      </x:c>
      <x:c r="C3585" s="11" t="str">
        <x:v>tyk_sle_cn</x:v>
      </x:c>
      <x:c r="D3585" s="11" t="str">
        <x:v>2042-12-31</x:v>
      </x:c>
      <x:c r="E3585" s="11" t="str">
        <x:v>CNY</x:v>
      </x:c>
      <x:c r="F3585" s="11" t="n">
        <x:v>11.227926078028748</x:v>
      </x:c>
      <x:c r="G3585" s="26" t="b">
        <x:v>1</x:v>
      </x:c>
      <x:c r="H3585" s="16" t="n">
        <x:v>0.305</x:v>
      </x:c>
      <x:c r="I3585" s="16" t="n">
        <x:v>0.45499999999999996</x:v>
      </x:c>
      <x:c r="J3585" s="16" t="n">
        <x:v>0.2069999999999999</x:v>
      </x:c>
      <x:c r="K3585" s="11" t="n">
        <x:f>CHOOSE('假设'!$B$3,H3585,I3585,J3585)</x:f>
        <x:v>0.45499999999999996</x:v>
      </x:c>
      <x:c r="L3585" s="11" t="n">
        <x:f>K3585*'管线假设'!E775*'管线假设'!F775*'管线假设'!G775*IF(E3585="USD",'管线假设'!I775,1)-AM3585</x:f>
        <x:v>0.0594958</x:v>
      </x:c>
      <x:c r="M3585" s="11" t="n">
        <x:f>'管线假设'!H775</x:f>
        <x:v>0.135</x:v>
      </x:c>
      <x:c r="N3585" s="11" t="n">
        <x:f>IF(G3585,L3585*AN3585/(1+M3585)^F3585,0)</x:f>
        <x:v>0.014354789909037453</x:v>
      </x:c>
      <x:c r="AJ3585" t="n">
        <x:v>0</x:v>
      </x:c>
      <x:c r="AK3585" t="n">
        <x:v>0</x:v>
      </x:c>
      <x:c r="AL3585" t="n">
        <x:v>0</x:v>
      </x:c>
      <x:c r="AM3585" t="n">
        <x:f>CHOOSE('假设'!$B$3,AJ3585,AK3585,AL3585)</x:f>
        <x:v>0</x:v>
      </x:c>
      <x:c r="AN3585" t="n">
        <x:v>1</x:v>
      </x:c>
    </x:row>
    <x:row r="3586" ht="23" customHeight="1">
      <x:c r="A3586" s="11" t="str">
        <x:v>688382.SH</x:v>
      </x:c>
      <x:c r="B3586" s="11" t="str">
        <x:v>五年</x:v>
      </x:c>
      <x:c r="C3586" s="11" t="str">
        <x:v>tyk_sle_cn</x:v>
      </x:c>
      <x:c r="D3586" s="11" t="str">
        <x:v>2043-12-31</x:v>
      </x:c>
      <x:c r="E3586" s="11" t="str">
        <x:v>CNY</x:v>
      </x:c>
      <x:c r="F3586" s="11" t="n">
        <x:v>12.227241615331964</x:v>
      </x:c>
      <x:c r="G3586" s="26" t="b">
        <x:v>1</x:v>
      </x:c>
      <x:c r="H3586" s="16" t="n">
        <x:v>0.24</x:v>
      </x:c>
      <x:c r="I3586" s="16" t="n">
        <x:v>0.286</x:v>
      </x:c>
      <x:c r="J3586" s="16" t="n">
        <x:v>0</x:v>
      </x:c>
      <x:c r="K3586" s="11" t="n">
        <x:f>CHOOSE('假设'!$B$3,H3586,I3586,J3586)</x:f>
        <x:v>0.286</x:v>
      </x:c>
      <x:c r="L3586" s="11" t="n">
        <x:f>K3586*'管线假设'!E775*'管线假设'!F775*'管线假设'!G775*IF(E3586="USD",'管线假设'!I775,1)-AM3586</x:f>
        <x:v>0.03739736</x:v>
      </x:c>
      <x:c r="M3586" s="11" t="n">
        <x:f>'管线假设'!H775</x:f>
        <x:v>0.135</x:v>
      </x:c>
      <x:c r="N3586" s="11" t="n">
        <x:f>IF(G3586,L3586*AN3586/(1+M3586)^F3586,0)</x:f>
        <x:v>0.00795047833150747</x:v>
      </x:c>
      <x:c r="AJ3586" t="n">
        <x:v>0</x:v>
      </x:c>
      <x:c r="AK3586" t="n">
        <x:v>0</x:v>
      </x:c>
      <x:c r="AL3586" t="n">
        <x:v>0</x:v>
      </x:c>
      <x:c r="AM3586" t="n">
        <x:f>CHOOSE('假设'!$B$3,AJ3586,AK3586,AL3586)</x:f>
        <x:v>0</x:v>
      </x:c>
      <x:c r="AN3586" t="n">
        <x:v>1</x:v>
      </x:c>
    </x:row>
    <x:row r="3587" ht="23" customHeight="1">
      <x:c r="A3587" s="11" t="str">
        <x:v>688382.SH</x:v>
      </x:c>
      <x:c r="B3587" s="11" t="str">
        <x:v>五年</x:v>
      </x:c>
      <x:c r="C3587" s="11" t="str">
        <x:v>tyk_sle_cn</x:v>
      </x:c>
      <x:c r="D3587" s="11" t="str">
        <x:v>2044-12-31</x:v>
      </x:c>
      <x:c r="E3587" s="11" t="str">
        <x:v>CNY</x:v>
      </x:c>
      <x:c r="F3587" s="11" t="n">
        <x:v>13.229295003422314</x:v>
      </x:c>
      <x:c r="G3587" s="26" t="b">
        <x:v>1</x:v>
      </x:c>
      <x:c r="H3587" s="16" t="n">
        <x:v>0.175</x:v>
      </x:c>
      <x:c r="I3587" s="16" t="n">
        <x:v>0.11699999999999997</x:v>
      </x:c>
      <x:c r="J3587" s="16" t="n">
        <x:v>0</x:v>
      </x:c>
      <x:c r="K3587" s="11" t="n">
        <x:f>CHOOSE('假设'!$B$3,H3587,I3587,J3587)</x:f>
        <x:v>0.11699999999999997</x:v>
      </x:c>
      <x:c r="L3587" s="11" t="n">
        <x:f>K3587*'管线假设'!E775*'管线假设'!F775*'管线假设'!G775*IF(E3587="USD",'管线假设'!I775,1)-AM3587</x:f>
        <x:v>0.015298919999999995</x:v>
      </x:c>
      <x:c r="M3587" s="11" t="n">
        <x:f>'管线假设'!H775</x:f>
        <x:v>0.135</x:v>
      </x:c>
      <x:c r="N3587" s="11" t="n">
        <x:f>IF(G3587,L3587*AN3587/(1+M3587)^F3587,0)</x:f>
        <x:v>0.0028648658960470454</x:v>
      </x:c>
      <x:c r="AJ3587" t="n">
        <x:v>0</x:v>
      </x:c>
      <x:c r="AK3587" t="n">
        <x:v>0</x:v>
      </x:c>
      <x:c r="AL3587" t="n">
        <x:v>0</x:v>
      </x:c>
      <x:c r="AM3587" t="n">
        <x:f>CHOOSE('假设'!$B$3,AJ3587,AK3587,AL3587)</x:f>
        <x:v>0</x:v>
      </x:c>
      <x:c r="AN3587" t="n">
        <x:v>1</x:v>
      </x:c>
    </x:row>
    <x:row r="3588" ht="23" customHeight="1">
      <x:c r="A3588" s="11" t="str">
        <x:v>688382.SH</x:v>
      </x:c>
      <x:c r="B3588" s="11" t="str">
        <x:v>五年</x:v>
      </x:c>
      <x:c r="C3588" s="11" t="str">
        <x:v>tyk_sle_cn</x:v>
      </x:c>
      <x:c r="D3588" s="11" t="str">
        <x:v>2045-12-31</x:v>
      </x:c>
      <x:c r="E3588" s="11" t="str">
        <x:v>CNY</x:v>
      </x:c>
      <x:c r="F3588" s="11" t="n">
        <x:v>14.22861054072553</x:v>
      </x:c>
      <x:c r="G3588" s="26" t="b">
        <x:v>1</x:v>
      </x:c>
      <x:c r="H3588" s="16" t="n">
        <x:v>0.10999999999999999</x:v>
      </x:c>
      <x:c r="I3588" s="16" t="n">
        <x:v>0</x:v>
      </x:c>
      <x:c r="J3588" s="16" t="n">
        <x:v>0</x:v>
      </x:c>
      <x:c r="K3588" s="11" t="n">
        <x:f>CHOOSE('假设'!$B$3,H3588,I3588,J3588)</x:f>
        <x:v>0</x:v>
      </x:c>
      <x:c r="L3588" s="11" t="n">
        <x:f>K3588*'管线假设'!E775*'管线假设'!F775*'管线假设'!G775*IF(E3588="USD",'管线假设'!I775,1)-AM3588</x:f>
        <x:v>0</x:v>
      </x:c>
      <x:c r="M3588" s="11" t="n">
        <x:f>'管线假设'!H775</x:f>
        <x:v>0.135</x:v>
      </x:c>
      <x:c r="N3588" s="11" t="n">
        <x:f>IF(G3588,L3588*AN3588/(1+M3588)^F3588,0)</x:f>
        <x:v>0</x:v>
      </x:c>
      <x:c r="AJ3588" t="n">
        <x:v>0</x:v>
      </x:c>
      <x:c r="AK3588" t="n">
        <x:v>0</x:v>
      </x:c>
      <x:c r="AL3588" t="n">
        <x:v>0</x:v>
      </x:c>
      <x:c r="AM3588" t="n">
        <x:f>CHOOSE('假设'!$B$3,AJ3588,AK3588,AL3588)</x:f>
        <x:v>0</x:v>
      </x:c>
      <x:c r="AN3588" t="n">
        <x:v>1</x:v>
      </x:c>
    </x:row>
    <x:row r="3589" ht="23" customHeight="1">
      <x:c r="A3589" s="11" t="str">
        <x:v>688382.SH</x:v>
      </x:c>
      <x:c r="B3589" s="11" t="str">
        <x:v>五年</x:v>
      </x:c>
      <x:c r="C3589" s="11" t="str">
        <x:v>tyk_psa_cn</x:v>
      </x:c>
      <x:c r="D3589" s="11" t="str">
        <x:v>2027-12-31</x:v>
      </x:c>
      <x:c r="E3589" s="11" t="str">
        <x:v>CNY</x:v>
      </x:c>
      <x:c r="F3589" s="11" t="n">
        <x:v>-3.7727583846680357</x:v>
      </x:c>
      <x:c r="G3589" s="26" t="b">
        <x:v>0</x:v>
      </x:c>
      <x:c r="H3589" s="16" t="n">
        <x:v>0</x:v>
      </x:c>
      <x:c r="I3589" s="16" t="n">
        <x:v>0</x:v>
      </x:c>
      <x:c r="J3589" s="16" t="n">
        <x:v>0</x:v>
      </x:c>
      <x:c r="K3589" s="11" t="n">
        <x:f>CHOOSE('假设'!$B$3,H3589,I3589,J3589)</x:f>
        <x:v>0</x:v>
      </x:c>
      <x:c r="L3589" s="11" t="n">
        <x:f>K3589*'管线假设'!E779*'管线假设'!F779*'管线假设'!G779*IF(E3589="USD",'管线假设'!I779,1)-AM3589</x:f>
        <x:v>0</x:v>
      </x:c>
      <x:c r="M3589" s="11" t="n">
        <x:f>'管线假设'!H779</x:f>
        <x:v>0.135</x:v>
      </x:c>
      <x:c r="N3589" s="11" t="n">
        <x:f>IF(G3589,L3589*AN3589/(1+M3589)^F3589,0)</x:f>
        <x:v>0</x:v>
      </x:c>
      <x:c r="AJ3589" t="n">
        <x:v>0</x:v>
      </x:c>
      <x:c r="AK3589" t="n">
        <x:v>0</x:v>
      </x:c>
      <x:c r="AL3589" t="n">
        <x:v>0</x:v>
      </x:c>
      <x:c r="AM3589" t="n">
        <x:f>CHOOSE('假设'!$B$3,AJ3589,AK3589,AL3589)</x:f>
        <x:v>0</x:v>
      </x:c>
      <x:c r="AN3589" t="n">
        <x:v>1</x:v>
      </x:c>
    </x:row>
    <x:row r="3590" ht="23" customHeight="1">
      <x:c r="A3590" s="11" t="str">
        <x:v>688382.SH</x:v>
      </x:c>
      <x:c r="B3590" s="11" t="str">
        <x:v>五年</x:v>
      </x:c>
      <x:c r="C3590" s="11" t="str">
        <x:v>tyk_psa_cn</x:v>
      </x:c>
      <x:c r="D3590" s="11" t="str">
        <x:v>2028-12-31</x:v>
      </x:c>
      <x:c r="E3590" s="11" t="str">
        <x:v>CNY</x:v>
      </x:c>
      <x:c r="F3590" s="11" t="n">
        <x:v>-2.7707049965776864</x:v>
      </x:c>
      <x:c r="G3590" s="26" t="b">
        <x:v>0</x:v>
      </x:c>
      <x:c r="H3590" s="16" t="n">
        <x:v>0</x:v>
      </x:c>
      <x:c r="I3590" s="16" t="n">
        <x:v>0</x:v>
      </x:c>
      <x:c r="J3590" s="16" t="n">
        <x:v>0</x:v>
      </x:c>
      <x:c r="K3590" s="11" t="n">
        <x:f>CHOOSE('假设'!$B$3,H3590,I3590,J3590)</x:f>
        <x:v>0</x:v>
      </x:c>
      <x:c r="L3590" s="11" t="n">
        <x:f>K3590*'管线假设'!E779*'管线假设'!F779*'管线假设'!G779*IF(E3590="USD",'管线假设'!I779,1)-AM3590</x:f>
        <x:v>0</x:v>
      </x:c>
      <x:c r="M3590" s="11" t="n">
        <x:f>'管线假设'!H779</x:f>
        <x:v>0.135</x:v>
      </x:c>
      <x:c r="N3590" s="11" t="n">
        <x:f>IF(G3590,L3590*AN3590/(1+M3590)^F3590,0)</x:f>
        <x:v>0</x:v>
      </x:c>
      <x:c r="AJ3590" t="n">
        <x:v>0</x:v>
      </x:c>
      <x:c r="AK3590" t="n">
        <x:v>0</x:v>
      </x:c>
      <x:c r="AL3590" t="n">
        <x:v>0</x:v>
      </x:c>
      <x:c r="AM3590" t="n">
        <x:f>CHOOSE('假设'!$B$3,AJ3590,AK3590,AL3590)</x:f>
        <x:v>0</x:v>
      </x:c>
      <x:c r="AN3590" t="n">
        <x:v>1</x:v>
      </x:c>
    </x:row>
    <x:row r="3591" ht="23" customHeight="1">
      <x:c r="A3591" s="11" t="str">
        <x:v>688382.SH</x:v>
      </x:c>
      <x:c r="B3591" s="11" t="str">
        <x:v>五年</x:v>
      </x:c>
      <x:c r="C3591" s="11" t="str">
        <x:v>tyk_psa_cn</x:v>
      </x:c>
      <x:c r="D3591" s="11" t="str">
        <x:v>2029-12-31</x:v>
      </x:c>
      <x:c r="E3591" s="11" t="str">
        <x:v>CNY</x:v>
      </x:c>
      <x:c r="F3591" s="11" t="n">
        <x:v>-1.7713894592744694</x:v>
      </x:c>
      <x:c r="G3591" s="26" t="b">
        <x:v>0</x:v>
      </x:c>
      <x:c r="H3591" s="16" t="n">
        <x:v>0</x:v>
      </x:c>
      <x:c r="I3591" s="16" t="n">
        <x:v>0</x:v>
      </x:c>
      <x:c r="J3591" s="16" t="n">
        <x:v>0.2333333333333333</x:v>
      </x:c>
      <x:c r="K3591" s="11" t="n">
        <x:f>CHOOSE('假设'!$B$3,H3591,I3591,J3591)</x:f>
        <x:v>0</x:v>
      </x:c>
      <x:c r="L3591" s="11" t="n">
        <x:f>K3591*'管线假设'!E779*'管线假设'!F779*'管线假设'!G779*IF(E3591="USD",'管线假设'!I779,1)-AM3591</x:f>
        <x:v>0</x:v>
      </x:c>
      <x:c r="M3591" s="11" t="n">
        <x:f>'管线假设'!H779</x:f>
        <x:v>0.135</x:v>
      </x:c>
      <x:c r="N3591" s="11" t="n">
        <x:f>IF(G3591,L3591*AN3591/(1+M3591)^F3591,0)</x:f>
        <x:v>0</x:v>
      </x:c>
      <x:c r="AJ3591" t="n">
        <x:v>0</x:v>
      </x:c>
      <x:c r="AK3591" t="n">
        <x:v>0</x:v>
      </x:c>
      <x:c r="AL3591" t="n">
        <x:v>0</x:v>
      </x:c>
      <x:c r="AM3591" t="n">
        <x:f>CHOOSE('假设'!$B$3,AJ3591,AK3591,AL3591)</x:f>
        <x:v>0</x:v>
      </x:c>
      <x:c r="AN3591" t="n">
        <x:v>1</x:v>
      </x:c>
    </x:row>
    <x:row r="3592" ht="23" customHeight="1">
      <x:c r="A3592" s="11" t="str">
        <x:v>688382.SH</x:v>
      </x:c>
      <x:c r="B3592" s="11" t="str">
        <x:v>五年</x:v>
      </x:c>
      <x:c r="C3592" s="11" t="str">
        <x:v>tyk_psa_cn</x:v>
      </x:c>
      <x:c r="D3592" s="11" t="str">
        <x:v>2030-12-31</x:v>
      </x:c>
      <x:c r="E3592" s="11" t="str">
        <x:v>CNY</x:v>
      </x:c>
      <x:c r="F3592" s="11" t="n">
        <x:v>-0.7720739219712526</x:v>
      </x:c>
      <x:c r="G3592" s="26" t="b">
        <x:v>0</x:v>
      </x:c>
      <x:c r="H3592" s="16" t="n">
        <x:v>0</x:v>
      </x:c>
      <x:c r="I3592" s="16" t="n">
        <x:v>0</x:v>
      </x:c>
      <x:c r="J3592" s="16" t="n">
        <x:v>0.4666666666666666</x:v>
      </x:c>
      <x:c r="K3592" s="11" t="n">
        <x:f>CHOOSE('假设'!$B$3,H3592,I3592,J3592)</x:f>
        <x:v>0</x:v>
      </x:c>
      <x:c r="L3592" s="11" t="n">
        <x:f>K3592*'管线假设'!E779*'管线假设'!F779*'管线假设'!G779*IF(E3592="USD",'管线假设'!I779,1)-AM3592</x:f>
        <x:v>0</x:v>
      </x:c>
      <x:c r="M3592" s="11" t="n">
        <x:f>'管线假设'!H779</x:f>
        <x:v>0.135</x:v>
      </x:c>
      <x:c r="N3592" s="11" t="n">
        <x:f>IF(G3592,L3592*AN3592/(1+M3592)^F3592,0)</x:f>
        <x:v>0</x:v>
      </x:c>
      <x:c r="AJ3592" t="n">
        <x:v>0</x:v>
      </x:c>
      <x:c r="AK3592" t="n">
        <x:v>0</x:v>
      </x:c>
      <x:c r="AL3592" t="n">
        <x:v>0</x:v>
      </x:c>
      <x:c r="AM3592" t="n">
        <x:f>CHOOSE('假设'!$B$3,AJ3592,AK3592,AL3592)</x:f>
        <x:v>0</x:v>
      </x:c>
      <x:c r="AN3592" t="n">
        <x:v>1</x:v>
      </x:c>
    </x:row>
    <x:row r="3593" ht="23" customHeight="1">
      <x:c r="A3593" s="11" t="str">
        <x:v>688382.SH</x:v>
      </x:c>
      <x:c r="B3593" s="11" t="str">
        <x:v>五年</x:v>
      </x:c>
      <x:c r="C3593" s="11" t="str">
        <x:v>tyk_psa_cn</x:v>
      </x:c>
      <x:c r="D3593" s="11" t="str">
        <x:v>2031-12-31</x:v>
      </x:c>
      <x:c r="E3593" s="11" t="str">
        <x:v>CNY</x:v>
      </x:c>
      <x:c r="F3593" s="11" t="n">
        <x:v>0.2272416153319644</x:v>
      </x:c>
      <x:c r="G3593" s="26" t="b">
        <x:v>1</x:v>
      </x:c>
      <x:c r="H3593" s="16" t="n">
        <x:v>0</x:v>
      </x:c>
      <x:c r="I3593" s="16" t="n">
        <x:v>0.13333333333333333</x:v>
      </x:c>
      <x:c r="J3593" s="16" t="n">
        <x:v>0.7</x:v>
      </x:c>
      <x:c r="K3593" s="11" t="n">
        <x:f>CHOOSE('假设'!$B$3,H3593,I3593,J3593)</x:f>
        <x:v>0.13333333333333333</x:v>
      </x:c>
      <x:c r="L3593" s="11" t="n">
        <x:f>K3593*'管线假设'!E779*'管线假设'!F779*'管线假设'!G779*IF(E3593="USD",'管线假设'!I779,1)-AM3593</x:f>
        <x:v>0.02034666666666667</x:v>
      </x:c>
      <x:c r="M3593" s="11" t="n">
        <x:f>'管线假设'!H779</x:f>
        <x:v>0.135</x:v>
      </x:c>
      <x:c r="N3593" s="11" t="n">
        <x:f>IF(G3593,L3593*AN3593/(1+M3593)^F3593,0)</x:f>
        <x:v>0.019769510757343716</x:v>
      </x:c>
      <x:c r="AJ3593" t="n">
        <x:v>0</x:v>
      </x:c>
      <x:c r="AK3593" t="n">
        <x:v>0</x:v>
      </x:c>
      <x:c r="AL3593" t="n">
        <x:v>0</x:v>
      </x:c>
      <x:c r="AM3593" t="n">
        <x:f>CHOOSE('假设'!$B$3,AJ3593,AK3593,AL3593)</x:f>
        <x:v>0</x:v>
      </x:c>
      <x:c r="AN3593" t="n">
        <x:v>1</x:v>
      </x:c>
    </x:row>
    <x:row r="3594" ht="23" customHeight="1">
      <x:c r="A3594" s="11" t="str">
        <x:v>688382.SH</x:v>
      </x:c>
      <x:c r="B3594" s="11" t="str">
        <x:v>五年</x:v>
      </x:c>
      <x:c r="C3594" s="11" t="str">
        <x:v>tyk_psa_cn</x:v>
      </x:c>
      <x:c r="D3594" s="11" t="str">
        <x:v>2032-12-31</x:v>
      </x:c>
      <x:c r="E3594" s="11" t="str">
        <x:v>CNY</x:v>
      </x:c>
      <x:c r="F3594" s="11" t="n">
        <x:v>1.2292950034223136</x:v>
      </x:c>
      <x:c r="G3594" s="26" t="b">
        <x:v>1</x:v>
      </x:c>
      <x:c r="H3594" s="16" t="n">
        <x:v>0</x:v>
      </x:c>
      <x:c r="I3594" s="16" t="n">
        <x:v>0.26666666666666666</x:v>
      </x:c>
      <x:c r="J3594" s="16" t="n">
        <x:v>0.9333333333333332</x:v>
      </x:c>
      <x:c r="K3594" s="11" t="n">
        <x:f>CHOOSE('假设'!$B$3,H3594,I3594,J3594)</x:f>
        <x:v>0.26666666666666666</x:v>
      </x:c>
      <x:c r="L3594" s="11" t="n">
        <x:f>K3594*'管线假设'!E779*'管线假设'!F779*'管线假设'!G779*IF(E3594="USD",'管线假设'!I779,1)-AM3594</x:f>
        <x:v>0.04069333333333334</x:v>
      </x:c>
      <x:c r="M3594" s="11" t="n">
        <x:f>'管线假设'!H779</x:f>
        <x:v>0.135</x:v>
      </x:c>
      <x:c r="N3594" s="11" t="n">
        <x:f>IF(G3594,L3594*AN3594/(1+M3594)^F3594,0)</x:f>
        <x:v>0.034827085179337164</x:v>
      </x:c>
      <x:c r="AJ3594" t="n">
        <x:v>0</x:v>
      </x:c>
      <x:c r="AK3594" t="n">
        <x:v>0</x:v>
      </x:c>
      <x:c r="AL3594" t="n">
        <x:v>0</x:v>
      </x:c>
      <x:c r="AM3594" t="n">
        <x:f>CHOOSE('假设'!$B$3,AJ3594,AK3594,AL3594)</x:f>
        <x:v>0</x:v>
      </x:c>
      <x:c r="AN3594" t="n">
        <x:v>1</x:v>
      </x:c>
    </x:row>
    <x:row r="3595" ht="23" customHeight="1">
      <x:c r="A3595" s="11" t="str">
        <x:v>688382.SH</x:v>
      </x:c>
      <x:c r="B3595" s="11" t="str">
        <x:v>五年</x:v>
      </x:c>
      <x:c r="C3595" s="11" t="str">
        <x:v>tyk_psa_cn</x:v>
      </x:c>
      <x:c r="D3595" s="11" t="str">
        <x:v>2033-12-31</x:v>
      </x:c>
      <x:c r="E3595" s="11" t="str">
        <x:v>CNY</x:v>
      </x:c>
      <x:c r="F3595" s="11" t="n">
        <x:v>2.2286105407255303</x:v>
      </x:c>
      <x:c r="G3595" s="26" t="b">
        <x:v>1</x:v>
      </x:c>
      <x:c r="H3595" s="16" t="n">
        <x:v>0</x:v>
      </x:c>
      <x:c r="I3595" s="16" t="n">
        <x:v>0.4</x:v>
      </x:c>
      <x:c r="J3595" s="16" t="n">
        <x:v>1.1666666666666667</x:v>
      </x:c>
      <x:c r="K3595" s="11" t="n">
        <x:f>CHOOSE('假设'!$B$3,H3595,I3595,J3595)</x:f>
        <x:v>0.4</x:v>
      </x:c>
      <x:c r="L3595" s="11" t="n">
        <x:f>K3595*'管线假设'!E779*'管线假设'!F779*'管线假设'!G779*IF(E3595="USD",'管线假设'!I779,1)-AM3595</x:f>
        <x:v>0.06104000000000001</x:v>
      </x:c>
      <x:c r="M3595" s="11" t="n">
        <x:f>'管线假设'!H779</x:f>
        <x:v>0.135</x:v>
      </x:c>
      <x:c r="N3595" s="11" t="n">
        <x:f>IF(G3595,L3595*AN3595/(1+M3595)^F3595,0)</x:f>
        <x:v>0.04603097439530654</x:v>
      </x:c>
      <x:c r="AJ3595" t="n">
        <x:v>0</x:v>
      </x:c>
      <x:c r="AK3595" t="n">
        <x:v>0</x:v>
      </x:c>
      <x:c r="AL3595" t="n">
        <x:v>0</x:v>
      </x:c>
      <x:c r="AM3595" t="n">
        <x:f>CHOOSE('假设'!$B$3,AJ3595,AK3595,AL3595)</x:f>
        <x:v>0</x:v>
      </x:c>
      <x:c r="AN3595" t="n">
        <x:v>1</x:v>
      </x:c>
    </x:row>
    <x:row r="3596" ht="23" customHeight="1">
      <x:c r="A3596" s="11" t="str">
        <x:v>688382.SH</x:v>
      </x:c>
      <x:c r="B3596" s="11" t="str">
        <x:v>五年</x:v>
      </x:c>
      <x:c r="C3596" s="11" t="str">
        <x:v>tyk_psa_cn</x:v>
      </x:c>
      <x:c r="D3596" s="11" t="str">
        <x:v>2034-12-31</x:v>
      </x:c>
      <x:c r="E3596" s="11" t="str">
        <x:v>CNY</x:v>
      </x:c>
      <x:c r="F3596" s="11" t="n">
        <x:v>3.2279260780287475</x:v>
      </x:c>
      <x:c r="G3596" s="26" t="b">
        <x:v>1</x:v>
      </x:c>
      <x:c r="H3596" s="16" t="n">
        <x:v>0.06</x:v>
      </x:c>
      <x:c r="I3596" s="16" t="n">
        <x:v>0.5333333333333333</x:v>
      </x:c>
      <x:c r="J3596" s="16" t="n">
        <x:v>1.4</x:v>
      </x:c>
      <x:c r="K3596" s="11" t="n">
        <x:f>CHOOSE('假设'!$B$3,H3596,I3596,J3596)</x:f>
        <x:v>0.5333333333333333</x:v>
      </x:c>
      <x:c r="L3596" s="11" t="n">
        <x:f>K3596*'管线假设'!E779*'管线假设'!F779*'管线假设'!G779*IF(E3596="USD",'管线假设'!I779,1)-AM3596</x:f>
        <x:v>0.08138666666666668</x:v>
      </x:c>
      <x:c r="M3596" s="11" t="n">
        <x:f>'管线假设'!H779</x:f>
        <x:v>0.135</x:v>
      </x:c>
      <x:c r="N3596" s="11" t="n">
        <x:f>IF(G3596,L3596*AN3596/(1+M3596)^F3596,0)</x:f>
        <x:v>0.05407925323690885</x:v>
      </x:c>
      <x:c r="AJ3596" t="n">
        <x:v>0</x:v>
      </x:c>
      <x:c r="AK3596" t="n">
        <x:v>0</x:v>
      </x:c>
      <x:c r="AL3596" t="n">
        <x:v>0</x:v>
      </x:c>
      <x:c r="AM3596" t="n">
        <x:f>CHOOSE('假设'!$B$3,AJ3596,AK3596,AL3596)</x:f>
        <x:v>0</x:v>
      </x:c>
      <x:c r="AN3596" t="n">
        <x:v>1</x:v>
      </x:c>
    </x:row>
    <x:row r="3597" ht="23" customHeight="1">
      <x:c r="A3597" s="11" t="str">
        <x:v>688382.SH</x:v>
      </x:c>
      <x:c r="B3597" s="11" t="str">
        <x:v>五年</x:v>
      </x:c>
      <x:c r="C3597" s="11" t="str">
        <x:v>tyk_psa_cn</x:v>
      </x:c>
      <x:c r="D3597" s="11" t="str">
        <x:v>2035-12-31</x:v>
      </x:c>
      <x:c r="E3597" s="11" t="str">
        <x:v>CNY</x:v>
      </x:c>
      <x:c r="F3597" s="11" t="n">
        <x:v>4.227241615331964</x:v>
      </x:c>
      <x:c r="G3597" s="26" t="b">
        <x:v>1</x:v>
      </x:c>
      <x:c r="H3597" s="16" t="n">
        <x:v>0.12</x:v>
      </x:c>
      <x:c r="I3597" s="16" t="n">
        <x:v>0.6666666666666667</x:v>
      </x:c>
      <x:c r="J3597" s="16" t="n">
        <x:v>1.218</x:v>
      </x:c>
      <x:c r="K3597" s="11" t="n">
        <x:f>CHOOSE('假设'!$B$3,H3597,I3597,J3597)</x:f>
        <x:v>0.6666666666666667</x:v>
      </x:c>
      <x:c r="L3597" s="11" t="n">
        <x:f>K3597*'管线假设'!E779*'管线假设'!F779*'管线假设'!G779*IF(E3597="USD",'管线假设'!I779,1)-AM3597</x:f>
        <x:v>0.10173333333333336</x:v>
      </x:c>
      <x:c r="M3597" s="11" t="n">
        <x:f>'管线假设'!H779</x:f>
        <x:v>0.135</x:v>
      </x:c>
      <x:c r="N3597" s="11" t="n">
        <x:f>IF(G3597,L3597*AN3597/(1+M3597)^F3597,0)</x:f>
        <x:v>0.05956381142835247</x:v>
      </x:c>
      <x:c r="AJ3597" t="n">
        <x:v>0</x:v>
      </x:c>
      <x:c r="AK3597" t="n">
        <x:v>0</x:v>
      </x:c>
      <x:c r="AL3597" t="n">
        <x:v>0</x:v>
      </x:c>
      <x:c r="AM3597" t="n">
        <x:f>CHOOSE('假设'!$B$3,AJ3597,AK3597,AL3597)</x:f>
        <x:v>0</x:v>
      </x:c>
      <x:c r="AN3597" t="n">
        <x:v>1</x:v>
      </x:c>
    </x:row>
    <x:row r="3598" ht="23" customHeight="1">
      <x:c r="A3598" s="11" t="str">
        <x:v>688382.SH</x:v>
      </x:c>
      <x:c r="B3598" s="11" t="str">
        <x:v>五年</x:v>
      </x:c>
      <x:c r="C3598" s="11" t="str">
        <x:v>tyk_psa_cn</x:v>
      </x:c>
      <x:c r="D3598" s="11" t="str">
        <x:v>2036-12-31</x:v>
      </x:c>
      <x:c r="E3598" s="11" t="str">
        <x:v>CNY</x:v>
      </x:c>
      <x:c r="F3598" s="11" t="n">
        <x:v>5.229295003422314</x:v>
      </x:c>
      <x:c r="G3598" s="26" t="b">
        <x:v>1</x:v>
      </x:c>
      <x:c r="H3598" s="16" t="n">
        <x:v>0.18</x:v>
      </x:c>
      <x:c r="I3598" s="16" t="n">
        <x:v>0.8</x:v>
      </x:c>
      <x:c r="J3598" s="16" t="n">
        <x:v>1.036</x:v>
      </x:c>
      <x:c r="K3598" s="11" t="n">
        <x:f>CHOOSE('假设'!$B$3,H3598,I3598,J3598)</x:f>
        <x:v>0.8</x:v>
      </x:c>
      <x:c r="L3598" s="11" t="n">
        <x:f>K3598*'管线假设'!E779*'管线假设'!F779*'管线假设'!G779*IF(E3598="USD",'管线假设'!I779,1)-AM3598</x:f>
        <x:v>0.12208000000000002</x:v>
      </x:c>
      <x:c r="M3598" s="11" t="n">
        <x:f>'管线假设'!H779</x:f>
        <x:v>0.135</x:v>
      </x:c>
      <x:c r="N3598" s="11" t="n">
        <x:f>IF(G3598,L3598*AN3598/(1+M3598)^F3598,0)</x:f>
        <x:v>0.06295858181874202</x:v>
      </x:c>
      <x:c r="AJ3598" t="n">
        <x:v>0</x:v>
      </x:c>
      <x:c r="AK3598" t="n">
        <x:v>0</x:v>
      </x:c>
      <x:c r="AL3598" t="n">
        <x:v>0</x:v>
      </x:c>
      <x:c r="AM3598" t="n">
        <x:f>CHOOSE('假设'!$B$3,AJ3598,AK3598,AL3598)</x:f>
        <x:v>0</x:v>
      </x:c>
      <x:c r="AN3598" t="n">
        <x:v>1</x:v>
      </x:c>
    </x:row>
    <x:row r="3599" ht="23" customHeight="1">
      <x:c r="A3599" s="11" t="str">
        <x:v>688382.SH</x:v>
      </x:c>
      <x:c r="B3599" s="11" t="str">
        <x:v>五年</x:v>
      </x:c>
      <x:c r="C3599" s="11" t="str">
        <x:v>tyk_psa_cn</x:v>
      </x:c>
      <x:c r="D3599" s="11" t="str">
        <x:v>2037-12-31</x:v>
      </x:c>
      <x:c r="E3599" s="11" t="str">
        <x:v>CNY</x:v>
      </x:c>
      <x:c r="F3599" s="11" t="n">
        <x:v>6.228610540725531</x:v>
      </x:c>
      <x:c r="G3599" s="26" t="b">
        <x:v>1</x:v>
      </x:c>
      <x:c r="H3599" s="16" t="n">
        <x:v>0.24</x:v>
      </x:c>
      <x:c r="I3599" s="16" t="n">
        <x:v>0.6960000000000001</x:v>
      </x:c>
      <x:c r="J3599" s="16" t="n">
        <x:v>0.854</x:v>
      </x:c>
      <x:c r="K3599" s="11" t="n">
        <x:f>CHOOSE('假设'!$B$3,H3599,I3599,J3599)</x:f>
        <x:v>0.6960000000000001</x:v>
      </x:c>
      <x:c r="L3599" s="11" t="n">
        <x:f>K3599*'管线假设'!E779*'管线假设'!F779*'管线假设'!G779*IF(E3599="USD",'管线假设'!I779,1)-AM3599</x:f>
        <x:v>0.10620960000000003</x:v>
      </x:c>
      <x:c r="M3599" s="11" t="n">
        <x:f>'管线假设'!H779</x:f>
        <x:v>0.135</x:v>
      </x:c>
      <x:c r="N3599" s="11" t="n">
        <x:f>IF(G3599,L3599*AN3599/(1+M3599)^F3599,0)</x:f>
        <x:v>0.04826318408759579</x:v>
      </x:c>
      <x:c r="AJ3599" t="n">
        <x:v>0</x:v>
      </x:c>
      <x:c r="AK3599" t="n">
        <x:v>0</x:v>
      </x:c>
      <x:c r="AL3599" t="n">
        <x:v>0</x:v>
      </x:c>
      <x:c r="AM3599" t="n">
        <x:f>CHOOSE('假设'!$B$3,AJ3599,AK3599,AL3599)</x:f>
        <x:v>0</x:v>
      </x:c>
      <x:c r="AN3599" t="n">
        <x:v>1</x:v>
      </x:c>
    </x:row>
    <x:row r="3600" ht="23" customHeight="1">
      <x:c r="A3600" s="11" t="str">
        <x:v>688382.SH</x:v>
      </x:c>
      <x:c r="B3600" s="11" t="str">
        <x:v>五年</x:v>
      </x:c>
      <x:c r="C3600" s="11" t="str">
        <x:v>tyk_psa_cn</x:v>
      </x:c>
      <x:c r="D3600" s="11" t="str">
        <x:v>2038-12-31</x:v>
      </x:c>
      <x:c r="E3600" s="11" t="str">
        <x:v>CNY</x:v>
      </x:c>
      <x:c r="F3600" s="11" t="n">
        <x:v>7.227926078028747</x:v>
      </x:c>
      <x:c r="G3600" s="26" t="b">
        <x:v>1</x:v>
      </x:c>
      <x:c r="H3600" s="16" t="n">
        <x:v>0.3</x:v>
      </x:c>
      <x:c r="I3600" s="16" t="n">
        <x:v>0.592</x:v>
      </x:c>
      <x:c r="J3600" s="16" t="n">
        <x:v>0.6719999999999999</x:v>
      </x:c>
      <x:c r="K3600" s="11" t="n">
        <x:f>CHOOSE('假设'!$B$3,H3600,I3600,J3600)</x:f>
        <x:v>0.592</x:v>
      </x:c>
      <x:c r="L3600" s="11" t="n">
        <x:f>K3600*'管线假设'!E779*'管线假设'!F779*'管线假设'!G779*IF(E3600="USD",'管线假设'!I779,1)-AM3600</x:f>
        <x:v>0.09033920000000001</x:v>
      </x:c>
      <x:c r="M3600" s="11" t="n">
        <x:f>'管线假设'!H779</x:f>
        <x:v>0.135</x:v>
      </x:c>
      <x:c r="N3600" s="11" t="n">
        <x:f>IF(G3600,L3600*AN3600/(1+M3600)^F3600,0)</x:f>
        <x:v>0.03617180813925818</x:v>
      </x:c>
      <x:c r="AJ3600" t="n">
        <x:v>0</x:v>
      </x:c>
      <x:c r="AK3600" t="n">
        <x:v>0</x:v>
      </x:c>
      <x:c r="AL3600" t="n">
        <x:v>0</x:v>
      </x:c>
      <x:c r="AM3600" t="n">
        <x:f>CHOOSE('假设'!$B$3,AJ3600,AK3600,AL3600)</x:f>
        <x:v>0</x:v>
      </x:c>
      <x:c r="AN3600" t="n">
        <x:v>1</x:v>
      </x:c>
    </x:row>
    <x:row r="3601" ht="23" customHeight="1">
      <x:c r="A3601" s="11" t="str">
        <x:v>688382.SH</x:v>
      </x:c>
      <x:c r="B3601" s="11" t="str">
        <x:v>五年</x:v>
      </x:c>
      <x:c r="C3601" s="11" t="str">
        <x:v>tyk_psa_cn</x:v>
      </x:c>
      <x:c r="D3601" s="11" t="str">
        <x:v>2039-12-31</x:v>
      </x:c>
      <x:c r="E3601" s="11" t="str">
        <x:v>CNY</x:v>
      </x:c>
      <x:c r="F3601" s="11" t="n">
        <x:v>8.227241615331964</x:v>
      </x:c>
      <x:c r="G3601" s="26" t="b">
        <x:v>1</x:v>
      </x:c>
      <x:c r="H3601" s="16" t="n">
        <x:v>0.261</x:v>
      </x:c>
      <x:c r="I3601" s="16" t="n">
        <x:v>0.488</x:v>
      </x:c>
      <x:c r="J3601" s="16" t="n">
        <x:v>0.48999999999999994</x:v>
      </x:c>
      <x:c r="K3601" s="11" t="n">
        <x:f>CHOOSE('假设'!$B$3,H3601,I3601,J3601)</x:f>
        <x:v>0.488</x:v>
      </x:c>
      <x:c r="L3601" s="11" t="n">
        <x:f>K3601*'管线假设'!E779*'管线假设'!F779*'管线假设'!G779*IF(E3601="USD",'管线假设'!I779,1)-AM3601</x:f>
        <x:v>0.07446880000000002</x:v>
      </x:c>
      <x:c r="M3601" s="11" t="n">
        <x:f>'管线假设'!H779</x:f>
        <x:v>0.135</x:v>
      </x:c>
      <x:c r="N3601" s="11" t="n">
        <x:f>IF(G3601,L3601*AN3601/(1+M3601)^F3601,0)</x:f>
        <x:v>0.026273027172064322</x:v>
      </x:c>
      <x:c r="AJ3601" t="n">
        <x:v>0</x:v>
      </x:c>
      <x:c r="AK3601" t="n">
        <x:v>0</x:v>
      </x:c>
      <x:c r="AL3601" t="n">
        <x:v>0</x:v>
      </x:c>
      <x:c r="AM3601" t="n">
        <x:f>CHOOSE('假设'!$B$3,AJ3601,AK3601,AL3601)</x:f>
        <x:v>0</x:v>
      </x:c>
      <x:c r="AN3601" t="n">
        <x:v>1</x:v>
      </x:c>
    </x:row>
    <x:row r="3602" ht="23" customHeight="1">
      <x:c r="A3602" s="11" t="str">
        <x:v>688382.SH</x:v>
      </x:c>
      <x:c r="B3602" s="11" t="str">
        <x:v>五年</x:v>
      </x:c>
      <x:c r="C3602" s="11" t="str">
        <x:v>tyk_psa_cn</x:v>
      </x:c>
      <x:c r="D3602" s="11" t="str">
        <x:v>2040-12-31</x:v>
      </x:c>
      <x:c r="E3602" s="11" t="str">
        <x:v>CNY</x:v>
      </x:c>
      <x:c r="F3602" s="11" t="n">
        <x:v>9.229295003422314</x:v>
      </x:c>
      <x:c r="G3602" s="26" t="b">
        <x:v>1</x:v>
      </x:c>
      <x:c r="H3602" s="16" t="n">
        <x:v>0.222</x:v>
      </x:c>
      <x:c r="I3602" s="16" t="n">
        <x:v>0.384</x:v>
      </x:c>
      <x:c r="J3602" s="16" t="n">
        <x:v>0.30799999999999994</x:v>
      </x:c>
      <x:c r="K3602" s="11" t="n">
        <x:f>CHOOSE('假设'!$B$3,H3602,I3602,J3602)</x:f>
        <x:v>0.384</x:v>
      </x:c>
      <x:c r="L3602" s="11" t="n">
        <x:f>K3602*'管线假设'!E779*'管线假设'!F779*'管线假设'!G779*IF(E3602="USD",'管线假设'!I779,1)-AM3602</x:f>
        <x:v>0.05859840000000001</x:v>
      </x:c>
      <x:c r="M3602" s="11" t="n">
        <x:f>'管线假设'!H779</x:f>
        <x:v>0.135</x:v>
      </x:c>
      <x:c r="N3602" s="11" t="n">
        <x:f>IF(G3602,L3602*AN3602/(1+M3602)^F3602,0)</x:f>
        <x:v>0.018210116657038807</x:v>
      </x:c>
      <x:c r="AJ3602" t="n">
        <x:v>0</x:v>
      </x:c>
      <x:c r="AK3602" t="n">
        <x:v>0</x:v>
      </x:c>
      <x:c r="AL3602" t="n">
        <x:v>0</x:v>
      </x:c>
      <x:c r="AM3602" t="n">
        <x:f>CHOOSE('假设'!$B$3,AJ3602,AK3602,AL3602)</x:f>
        <x:v>0</x:v>
      </x:c>
      <x:c r="AN3602" t="n">
        <x:v>1</x:v>
      </x:c>
    </x:row>
    <x:row r="3603" ht="23" customHeight="1">
      <x:c r="A3603" s="11" t="str">
        <x:v>688382.SH</x:v>
      </x:c>
      <x:c r="B3603" s="11" t="str">
        <x:v>五年</x:v>
      </x:c>
      <x:c r="C3603" s="11" t="str">
        <x:v>tyk_psa_cn</x:v>
      </x:c>
      <x:c r="D3603" s="11" t="str">
        <x:v>2041-12-31</x:v>
      </x:c>
      <x:c r="E3603" s="11" t="str">
        <x:v>CNY</x:v>
      </x:c>
      <x:c r="F3603" s="11" t="n">
        <x:v>10.22861054072553</x:v>
      </x:c>
      <x:c r="G3603" s="26" t="b">
        <x:v>1</x:v>
      </x:c>
      <x:c r="H3603" s="16" t="n">
        <x:v>0.183</x:v>
      </x:c>
      <x:c r="I3603" s="16" t="n">
        <x:v>0.27999999999999997</x:v>
      </x:c>
      <x:c r="J3603" s="16" t="n">
        <x:v>0.12599999999999995</x:v>
      </x:c>
      <x:c r="K3603" s="11" t="n">
        <x:f>CHOOSE('假设'!$B$3,H3603,I3603,J3603)</x:f>
        <x:v>0.27999999999999997</x:v>
      </x:c>
      <x:c r="L3603" s="11" t="n">
        <x:f>K3603*'管线假设'!E779*'管线假设'!F779*'管线假设'!G779*IF(E3603="USD",'管线假设'!I779,1)-AM3603</x:f>
        <x:v>0.042728</x:v>
      </x:c>
      <x:c r="M3603" s="11" t="n">
        <x:f>'管线假设'!H779</x:f>
        <x:v>0.135</x:v>
      </x:c>
      <x:c r="N3603" s="11" t="n">
        <x:f>IF(G3603,L3603*AN3603/(1+M3603)^F3603,0)</x:f>
        <x:v>0.011699877537872463</x:v>
      </x:c>
      <x:c r="AJ3603" t="n">
        <x:v>0</x:v>
      </x:c>
      <x:c r="AK3603" t="n">
        <x:v>0</x:v>
      </x:c>
      <x:c r="AL3603" t="n">
        <x:v>0</x:v>
      </x:c>
      <x:c r="AM3603" t="n">
        <x:f>CHOOSE('假设'!$B$3,AJ3603,AK3603,AL3603)</x:f>
        <x:v>0</x:v>
      </x:c>
      <x:c r="AN3603" t="n">
        <x:v>1</x:v>
      </x:c>
    </x:row>
    <x:row r="3604" ht="23" customHeight="1">
      <x:c r="A3604" s="11" t="str">
        <x:v>688382.SH</x:v>
      </x:c>
      <x:c r="B3604" s="11" t="str">
        <x:v>五年</x:v>
      </x:c>
      <x:c r="C3604" s="11" t="str">
        <x:v>tyk_psa_cn</x:v>
      </x:c>
      <x:c r="D3604" s="11" t="str">
        <x:v>2042-12-31</x:v>
      </x:c>
      <x:c r="E3604" s="11" t="str">
        <x:v>CNY</x:v>
      </x:c>
      <x:c r="F3604" s="11" t="n">
        <x:v>11.227926078028748</x:v>
      </x:c>
      <x:c r="G3604" s="26" t="b">
        <x:v>1</x:v>
      </x:c>
      <x:c r="H3604" s="16" t="n">
        <x:v>0.144</x:v>
      </x:c>
      <x:c r="I3604" s="16" t="n">
        <x:v>0.176</x:v>
      </x:c>
      <x:c r="J3604" s="16" t="n">
        <x:v>0</x:v>
      </x:c>
      <x:c r="K3604" s="11" t="n">
        <x:f>CHOOSE('假设'!$B$3,H3604,I3604,J3604)</x:f>
        <x:v>0.176</x:v>
      </x:c>
      <x:c r="L3604" s="11" t="n">
        <x:f>K3604*'管线假设'!E779*'管线假设'!F779*'管线假设'!G779*IF(E3604="USD",'管线假设'!I779,1)-AM3604</x:f>
        <x:v>0.026857600000000002</x:v>
      </x:c>
      <x:c r="M3604" s="11" t="n">
        <x:f>'管线假设'!H779</x:f>
        <x:v>0.135</x:v>
      </x:c>
      <x:c r="N3604" s="11" t="n">
        <x:f>IF(G3604,L3604*AN3604/(1+M3604)^F3604,0)</x:f>
        <x:v>0.006480040699695849</x:v>
      </x:c>
      <x:c r="AJ3604" t="n">
        <x:v>0</x:v>
      </x:c>
      <x:c r="AK3604" t="n">
        <x:v>0</x:v>
      </x:c>
      <x:c r="AL3604" t="n">
        <x:v>0</x:v>
      </x:c>
      <x:c r="AM3604" t="n">
        <x:f>CHOOSE('假设'!$B$3,AJ3604,AK3604,AL3604)</x:f>
        <x:v>0</x:v>
      </x:c>
      <x:c r="AN3604" t="n">
        <x:v>1</x:v>
      </x:c>
    </x:row>
    <x:row r="3605" ht="23" customHeight="1">
      <x:c r="A3605" s="11" t="str">
        <x:v>688382.SH</x:v>
      </x:c>
      <x:c r="B3605" s="11" t="str">
        <x:v>五年</x:v>
      </x:c>
      <x:c r="C3605" s="11" t="str">
        <x:v>tyk_psa_cn</x:v>
      </x:c>
      <x:c r="D3605" s="11" t="str">
        <x:v>2043-12-31</x:v>
      </x:c>
      <x:c r="E3605" s="11" t="str">
        <x:v>CNY</x:v>
      </x:c>
      <x:c r="F3605" s="11" t="n">
        <x:v>12.227241615331964</x:v>
      </x:c>
      <x:c r="G3605" s="26" t="b">
        <x:v>1</x:v>
      </x:c>
      <x:c r="H3605" s="16" t="n">
        <x:v>0.105</x:v>
      </x:c>
      <x:c r="I3605" s="16" t="n">
        <x:v>0.07199999999999998</x:v>
      </x:c>
      <x:c r="J3605" s="16" t="n">
        <x:v>0</x:v>
      </x:c>
      <x:c r="K3605" s="11" t="n">
        <x:f>CHOOSE('假设'!$B$3,H3605,I3605,J3605)</x:f>
        <x:v>0.07199999999999998</x:v>
      </x:c>
      <x:c r="L3605" s="11" t="n">
        <x:f>K3605*'管线假设'!E779*'管线假设'!F779*'管线假设'!G779*IF(E3605="USD",'管线假设'!I779,1)-AM3605</x:f>
        <x:v>0.010987199999999999</x:v>
      </x:c>
      <x:c r="M3605" s="11" t="n">
        <x:f>'管线假设'!H779</x:f>
        <x:v>0.135</x:v>
      </x:c>
      <x:c r="N3605" s="11" t="n">
        <x:f>IF(G3605,L3605*AN3605/(1+M3605)^F3605,0)</x:f>
        <x:v>0.002335819841933732</x:v>
      </x:c>
      <x:c r="AJ3605" t="n">
        <x:v>0</x:v>
      </x:c>
      <x:c r="AK3605" t="n">
        <x:v>0</x:v>
      </x:c>
      <x:c r="AL3605" t="n">
        <x:v>0</x:v>
      </x:c>
      <x:c r="AM3605" t="n">
        <x:f>CHOOSE('假设'!$B$3,AJ3605,AK3605,AL3605)</x:f>
        <x:v>0</x:v>
      </x:c>
      <x:c r="AN3605" t="n">
        <x:v>1</x:v>
      </x:c>
    </x:row>
    <x:row r="3606" ht="23" customHeight="1">
      <x:c r="A3606" s="11" t="str">
        <x:v>688382.SH</x:v>
      </x:c>
      <x:c r="B3606" s="11" t="str">
        <x:v>五年</x:v>
      </x:c>
      <x:c r="C3606" s="11" t="str">
        <x:v>tyk_psa_cn</x:v>
      </x:c>
      <x:c r="D3606" s="11" t="str">
        <x:v>2044-12-31</x:v>
      </x:c>
      <x:c r="E3606" s="11" t="str">
        <x:v>CNY</x:v>
      </x:c>
      <x:c r="F3606" s="11" t="n">
        <x:v>13.229295003422314</x:v>
      </x:c>
      <x:c r="G3606" s="26" t="b">
        <x:v>1</x:v>
      </x:c>
      <x:c r="H3606" s="16" t="n">
        <x:v>0.06599999999999999</x:v>
      </x:c>
      <x:c r="I3606" s="16" t="n">
        <x:v>0</x:v>
      </x:c>
      <x:c r="J3606" s="16" t="n">
        <x:v>0</x:v>
      </x:c>
      <x:c r="K3606" s="11" t="n">
        <x:f>CHOOSE('假设'!$B$3,H3606,I3606,J3606)</x:f>
        <x:v>0</x:v>
      </x:c>
      <x:c r="L3606" s="11" t="n">
        <x:f>K3606*'管线假设'!E779*'管线假设'!F779*'管线假设'!G779*IF(E3606="USD",'管线假设'!I779,1)-AM3606</x:f>
        <x:v>0</x:v>
      </x:c>
      <x:c r="M3606" s="11" t="n">
        <x:f>'管线假设'!H779</x:f>
        <x:v>0.135</x:v>
      </x:c>
      <x:c r="N3606" s="11" t="n">
        <x:f>IF(G3606,L3606*AN3606/(1+M3606)^F3606,0)</x:f>
        <x:v>0</x:v>
      </x:c>
      <x:c r="AJ3606" t="n">
        <x:v>0</x:v>
      </x:c>
      <x:c r="AK3606" t="n">
        <x:v>0</x:v>
      </x:c>
      <x:c r="AL3606" t="n">
        <x:v>0</x:v>
      </x:c>
      <x:c r="AM3606" t="n">
        <x:f>CHOOSE('假设'!$B$3,AJ3606,AK3606,AL3606)</x:f>
        <x:v>0</x:v>
      </x:c>
      <x:c r="AN3606" t="n">
        <x:v>1</x:v>
      </x:c>
    </x:row>
    <x:row r="3607" ht="23" customHeight="1">
      <x:c r="A3607" s="11" t="str">
        <x:v>688382.SH</x:v>
      </x:c>
      <x:c r="B3607" s="11" t="str">
        <x:v>五年</x:v>
      </x:c>
      <x:c r="C3607" s="11" t="str">
        <x:v>tyk_psa_cn</x:v>
      </x:c>
      <x:c r="D3607" s="11" t="str">
        <x:v>2045-12-31</x:v>
      </x:c>
      <x:c r="E3607" s="11" t="str">
        <x:v>CNY</x:v>
      </x:c>
      <x:c r="F3607" s="11" t="n">
        <x:v>14.22861054072553</x:v>
      </x:c>
      <x:c r="G3607" s="26" t="b">
        <x:v>1</x:v>
      </x:c>
      <x:c r="H3607" s="16" t="n">
        <x:v>0.02699999999999999</x:v>
      </x:c>
      <x:c r="I3607" s="16" t="n">
        <x:v>0</x:v>
      </x:c>
      <x:c r="J3607" s="16" t="n">
        <x:v>0</x:v>
      </x:c>
      <x:c r="K3607" s="11" t="n">
        <x:f>CHOOSE('假设'!$B$3,H3607,I3607,J3607)</x:f>
        <x:v>0</x:v>
      </x:c>
      <x:c r="L3607" s="11" t="n">
        <x:f>K3607*'管线假设'!E779*'管线假设'!F779*'管线假设'!G779*IF(E3607="USD",'管线假设'!I779,1)-AM3607</x:f>
        <x:v>0</x:v>
      </x:c>
      <x:c r="M3607" s="11" t="n">
        <x:f>'管线假设'!H779</x:f>
        <x:v>0.135</x:v>
      </x:c>
      <x:c r="N3607" s="11" t="n">
        <x:f>IF(G3607,L3607*AN3607/(1+M3607)^F3607,0)</x:f>
        <x:v>0</x:v>
      </x:c>
      <x:c r="AJ3607" t="n">
        <x:v>0</x:v>
      </x:c>
      <x:c r="AK3607" t="n">
        <x:v>0</x:v>
      </x:c>
      <x:c r="AL3607" t="n">
        <x:v>0</x:v>
      </x:c>
      <x:c r="AM3607" t="n">
        <x:f>CHOOSE('假设'!$B$3,AJ3607,AK3607,AL3607)</x:f>
        <x:v>0</x:v>
      </x:c>
      <x:c r="AN3607" t="n">
        <x:v>1</x:v>
      </x:c>
    </x:row>
    <x:row r="3608" ht="23" customHeight="1">
      <x:c r="A3608" s="11" t="str">
        <x:v>688382.SH</x:v>
      </x:c>
      <x:c r="B3608" s="11" t="str">
        <x:v>五年</x:v>
      </x:c>
      <x:c r="C3608" s="11" t="str">
        <x:v>tyk_viti_cn</x:v>
      </x:c>
      <x:c r="D3608" s="11" t="str">
        <x:v>2027-12-31</x:v>
      </x:c>
      <x:c r="E3608" s="11" t="str">
        <x:v>CNY</x:v>
      </x:c>
      <x:c r="F3608" s="11" t="n">
        <x:v>-3.7727583846680357</x:v>
      </x:c>
      <x:c r="G3608" s="26" t="b">
        <x:v>0</x:v>
      </x:c>
      <x:c r="H3608" s="16" t="n">
        <x:v>0</x:v>
      </x:c>
      <x:c r="I3608" s="16" t="n">
        <x:v>0</x:v>
      </x:c>
      <x:c r="J3608" s="16" t="n">
        <x:v>0</x:v>
      </x:c>
      <x:c r="K3608" s="11" t="n">
        <x:f>CHOOSE('假设'!$B$3,H3608,I3608,J3608)</x:f>
        <x:v>0</x:v>
      </x:c>
      <x:c r="L3608" s="11" t="n">
        <x:f>K3608*'管线假设'!E783*'管线假设'!F783*'管线假设'!G783*IF(E3608="USD",'管线假设'!I783,1)-AM3608</x:f>
        <x:v>0</x:v>
      </x:c>
      <x:c r="M3608" s="11" t="n">
        <x:f>'管线假设'!H783</x:f>
        <x:v>0.135</x:v>
      </x:c>
      <x:c r="N3608" s="11" t="n">
        <x:f>IF(G3608,L3608*AN3608/(1+M3608)^F3608,0)</x:f>
        <x:v>0</x:v>
      </x:c>
      <x:c r="AJ3608" t="n">
        <x:v>0</x:v>
      </x:c>
      <x:c r="AK3608" t="n">
        <x:v>0</x:v>
      </x:c>
      <x:c r="AL3608" t="n">
        <x:v>0</x:v>
      </x:c>
      <x:c r="AM3608" t="n">
        <x:f>CHOOSE('假设'!$B$3,AJ3608,AK3608,AL3608)</x:f>
        <x:v>0</x:v>
      </x:c>
      <x:c r="AN3608" t="n">
        <x:v>1</x:v>
      </x:c>
    </x:row>
    <x:row r="3609" ht="23" customHeight="1">
      <x:c r="A3609" s="11" t="str">
        <x:v>688382.SH</x:v>
      </x:c>
      <x:c r="B3609" s="11" t="str">
        <x:v>五年</x:v>
      </x:c>
      <x:c r="C3609" s="11" t="str">
        <x:v>tyk_viti_cn</x:v>
      </x:c>
      <x:c r="D3609" s="11" t="str">
        <x:v>2028-12-31</x:v>
      </x:c>
      <x:c r="E3609" s="11" t="str">
        <x:v>CNY</x:v>
      </x:c>
      <x:c r="F3609" s="11" t="n">
        <x:v>-2.7707049965776864</x:v>
      </x:c>
      <x:c r="G3609" s="26" t="b">
        <x:v>0</x:v>
      </x:c>
      <x:c r="H3609" s="16" t="n">
        <x:v>0</x:v>
      </x:c>
      <x:c r="I3609" s="16" t="n">
        <x:v>0</x:v>
      </x:c>
      <x:c r="J3609" s="16" t="n">
        <x:v>0</x:v>
      </x:c>
      <x:c r="K3609" s="11" t="n">
        <x:f>CHOOSE('假设'!$B$3,H3609,I3609,J3609)</x:f>
        <x:v>0</x:v>
      </x:c>
      <x:c r="L3609" s="11" t="n">
        <x:f>K3609*'管线假设'!E783*'管线假设'!F783*'管线假设'!G783*IF(E3609="USD",'管线假设'!I783,1)-AM3609</x:f>
        <x:v>0</x:v>
      </x:c>
      <x:c r="M3609" s="11" t="n">
        <x:f>'管线假设'!H783</x:f>
        <x:v>0.135</x:v>
      </x:c>
      <x:c r="N3609" s="11" t="n">
        <x:f>IF(G3609,L3609*AN3609/(1+M3609)^F3609,0)</x:f>
        <x:v>0</x:v>
      </x:c>
      <x:c r="AJ3609" t="n">
        <x:v>0</x:v>
      </x:c>
      <x:c r="AK3609" t="n">
        <x:v>0</x:v>
      </x:c>
      <x:c r="AL3609" t="n">
        <x:v>0</x:v>
      </x:c>
      <x:c r="AM3609" t="n">
        <x:f>CHOOSE('假设'!$B$3,AJ3609,AK3609,AL3609)</x:f>
        <x:v>0</x:v>
      </x:c>
      <x:c r="AN3609" t="n">
        <x:v>1</x:v>
      </x:c>
    </x:row>
    <x:row r="3610" ht="23" customHeight="1">
      <x:c r="A3610" s="11" t="str">
        <x:v>688382.SH</x:v>
      </x:c>
      <x:c r="B3610" s="11" t="str">
        <x:v>五年</x:v>
      </x:c>
      <x:c r="C3610" s="11" t="str">
        <x:v>tyk_viti_cn</x:v>
      </x:c>
      <x:c r="D3610" s="11" t="str">
        <x:v>2029-12-31</x:v>
      </x:c>
      <x:c r="E3610" s="11" t="str">
        <x:v>CNY</x:v>
      </x:c>
      <x:c r="F3610" s="11" t="n">
        <x:v>-1.7713894592744694</x:v>
      </x:c>
      <x:c r="G3610" s="26" t="b">
        <x:v>0</x:v>
      </x:c>
      <x:c r="H3610" s="16" t="n">
        <x:v>0</x:v>
      </x:c>
      <x:c r="I3610" s="16" t="n">
        <x:v>0</x:v>
      </x:c>
      <x:c r="J3610" s="16" t="n">
        <x:v>0</x:v>
      </x:c>
      <x:c r="K3610" s="11" t="n">
        <x:f>CHOOSE('假设'!$B$3,H3610,I3610,J3610)</x:f>
        <x:v>0</x:v>
      </x:c>
      <x:c r="L3610" s="11" t="n">
        <x:f>K3610*'管线假设'!E783*'管线假设'!F783*'管线假设'!G783*IF(E3610="USD",'管线假设'!I783,1)-AM3610</x:f>
        <x:v>0</x:v>
      </x:c>
      <x:c r="M3610" s="11" t="n">
        <x:f>'管线假设'!H783</x:f>
        <x:v>0.135</x:v>
      </x:c>
      <x:c r="N3610" s="11" t="n">
        <x:f>IF(G3610,L3610*AN3610/(1+M3610)^F3610,0)</x:f>
        <x:v>0</x:v>
      </x:c>
      <x:c r="AJ3610" t="n">
        <x:v>0</x:v>
      </x:c>
      <x:c r="AK3610" t="n">
        <x:v>0</x:v>
      </x:c>
      <x:c r="AL3610" t="n">
        <x:v>0</x:v>
      </x:c>
      <x:c r="AM3610" t="n">
        <x:f>CHOOSE('假设'!$B$3,AJ3610,AK3610,AL3610)</x:f>
        <x:v>0</x:v>
      </x:c>
      <x:c r="AN3610" t="n">
        <x:v>1</x:v>
      </x:c>
    </x:row>
    <x:row r="3611" ht="23" customHeight="1">
      <x:c r="A3611" s="11" t="str">
        <x:v>688382.SH</x:v>
      </x:c>
      <x:c r="B3611" s="11" t="str">
        <x:v>五年</x:v>
      </x:c>
      <x:c r="C3611" s="11" t="str">
        <x:v>tyk_viti_cn</x:v>
      </x:c>
      <x:c r="D3611" s="11" t="str">
        <x:v>2030-12-31</x:v>
      </x:c>
      <x:c r="E3611" s="11" t="str">
        <x:v>CNY</x:v>
      </x:c>
      <x:c r="F3611" s="11" t="n">
        <x:v>-0.7720739219712526</x:v>
      </x:c>
      <x:c r="G3611" s="26" t="b">
        <x:v>0</x:v>
      </x:c>
      <x:c r="H3611" s="16" t="n">
        <x:v>0</x:v>
      </x:c>
      <x:c r="I3611" s="16" t="n">
        <x:v>0</x:v>
      </x:c>
      <x:c r="J3611" s="16" t="n">
        <x:v>0.3333333333333333</x:v>
      </x:c>
      <x:c r="K3611" s="11" t="n">
        <x:f>CHOOSE('假设'!$B$3,H3611,I3611,J3611)</x:f>
        <x:v>0</x:v>
      </x:c>
      <x:c r="L3611" s="11" t="n">
        <x:f>K3611*'管线假设'!E783*'管线假设'!F783*'管线假设'!G783*IF(E3611="USD",'管线假设'!I783,1)-AM3611</x:f>
        <x:v>0</x:v>
      </x:c>
      <x:c r="M3611" s="11" t="n">
        <x:f>'管线假设'!H783</x:f>
        <x:v>0.135</x:v>
      </x:c>
      <x:c r="N3611" s="11" t="n">
        <x:f>IF(G3611,L3611*AN3611/(1+M3611)^F3611,0)</x:f>
        <x:v>0</x:v>
      </x:c>
      <x:c r="AJ3611" t="n">
        <x:v>0</x:v>
      </x:c>
      <x:c r="AK3611" t="n">
        <x:v>0</x:v>
      </x:c>
      <x:c r="AL3611" t="n">
        <x:v>0</x:v>
      </x:c>
      <x:c r="AM3611" t="n">
        <x:f>CHOOSE('假设'!$B$3,AJ3611,AK3611,AL3611)</x:f>
        <x:v>0</x:v>
      </x:c>
      <x:c r="AN3611" t="n">
        <x:v>1</x:v>
      </x:c>
    </x:row>
    <x:row r="3612" ht="23" customHeight="1">
      <x:c r="A3612" s="11" t="str">
        <x:v>688382.SH</x:v>
      </x:c>
      <x:c r="B3612" s="11" t="str">
        <x:v>五年</x:v>
      </x:c>
      <x:c r="C3612" s="11" t="str">
        <x:v>tyk_viti_cn</x:v>
      </x:c>
      <x:c r="D3612" s="11" t="str">
        <x:v>2031-12-31</x:v>
      </x:c>
      <x:c r="E3612" s="11" t="str">
        <x:v>CNY</x:v>
      </x:c>
      <x:c r="F3612" s="11" t="n">
        <x:v>0.2272416153319644</x:v>
      </x:c>
      <x:c r="G3612" s="26" t="b">
        <x:v>1</x:v>
      </x:c>
      <x:c r="H3612" s="16" t="n">
        <x:v>0</x:v>
      </x:c>
      <x:c r="I3612" s="16" t="n">
        <x:v>0</x:v>
      </x:c>
      <x:c r="J3612" s="16" t="n">
        <x:v>0.6666666666666666</x:v>
      </x:c>
      <x:c r="K3612" s="11" t="n">
        <x:f>CHOOSE('假设'!$B$3,H3612,I3612,J3612)</x:f>
        <x:v>0</x:v>
      </x:c>
      <x:c r="L3612" s="11" t="n">
        <x:f>K3612*'管线假设'!E783*'管线假设'!F783*'管线假设'!G783*IF(E3612="USD",'管线假设'!I783,1)-AM3612</x:f>
        <x:v>0</x:v>
      </x:c>
      <x:c r="M3612" s="11" t="n">
        <x:f>'管线假设'!H783</x:f>
        <x:v>0.135</x:v>
      </x:c>
      <x:c r="N3612" s="11" t="n">
        <x:f>IF(G3612,L3612*AN3612/(1+M3612)^F3612,0)</x:f>
        <x:v>0</x:v>
      </x:c>
      <x:c r="AJ3612" t="n">
        <x:v>0</x:v>
      </x:c>
      <x:c r="AK3612" t="n">
        <x:v>0</x:v>
      </x:c>
      <x:c r="AL3612" t="n">
        <x:v>0</x:v>
      </x:c>
      <x:c r="AM3612" t="n">
        <x:f>CHOOSE('假设'!$B$3,AJ3612,AK3612,AL3612)</x:f>
        <x:v>0</x:v>
      </x:c>
      <x:c r="AN3612" t="n">
        <x:v>1</x:v>
      </x:c>
    </x:row>
    <x:row r="3613" ht="23" customHeight="1">
      <x:c r="A3613" s="11" t="str">
        <x:v>688382.SH</x:v>
      </x:c>
      <x:c r="B3613" s="11" t="str">
        <x:v>五年</x:v>
      </x:c>
      <x:c r="C3613" s="11" t="str">
        <x:v>tyk_viti_cn</x:v>
      </x:c>
      <x:c r="D3613" s="11" t="str">
        <x:v>2032-12-31</x:v>
      </x:c>
      <x:c r="E3613" s="11" t="str">
        <x:v>CNY</x:v>
      </x:c>
      <x:c r="F3613" s="11" t="n">
        <x:v>1.2292950034223136</x:v>
      </x:c>
      <x:c r="G3613" s="26" t="b">
        <x:v>1</x:v>
      </x:c>
      <x:c r="H3613" s="16" t="n">
        <x:v>0</x:v>
      </x:c>
      <x:c r="I3613" s="16" t="n">
        <x:v>0.16666666666666666</x:v>
      </x:c>
      <x:c r="J3613" s="16" t="n">
        <x:v>1</x:v>
      </x:c>
      <x:c r="K3613" s="11" t="n">
        <x:f>CHOOSE('假设'!$B$3,H3613,I3613,J3613)</x:f>
        <x:v>0.16666666666666666</x:v>
      </x:c>
      <x:c r="L3613" s="11" t="n">
        <x:f>K3613*'管线假设'!E783*'管线假设'!F783*'管线假设'!G783*IF(E3613="USD",'管线假设'!I783,1)-AM3613</x:f>
        <x:v>0.020883333333333337</x:v>
      </x:c>
      <x:c r="M3613" s="11" t="n">
        <x:f>'管线假设'!H783</x:f>
        <x:v>0.135</x:v>
      </x:c>
      <x:c r="N3613" s="11" t="n">
        <x:f>IF(G3613,L3613*AN3613/(1+M3613)^F3613,0)</x:f>
        <x:v>0.017872844745130026</x:v>
      </x:c>
      <x:c r="AJ3613" t="n">
        <x:v>0</x:v>
      </x:c>
      <x:c r="AK3613" t="n">
        <x:v>0</x:v>
      </x:c>
      <x:c r="AL3613" t="n">
        <x:v>0</x:v>
      </x:c>
      <x:c r="AM3613" t="n">
        <x:f>CHOOSE('假设'!$B$3,AJ3613,AK3613,AL3613)</x:f>
        <x:v>0</x:v>
      </x:c>
      <x:c r="AN3613" t="n">
        <x:v>1</x:v>
      </x:c>
    </x:row>
    <x:row r="3614" ht="23" customHeight="1">
      <x:c r="A3614" s="11" t="str">
        <x:v>688382.SH</x:v>
      </x:c>
      <x:c r="B3614" s="11" t="str">
        <x:v>五年</x:v>
      </x:c>
      <x:c r="C3614" s="11" t="str">
        <x:v>tyk_viti_cn</x:v>
      </x:c>
      <x:c r="D3614" s="11" t="str">
        <x:v>2033-12-31</x:v>
      </x:c>
      <x:c r="E3614" s="11" t="str">
        <x:v>CNY</x:v>
      </x:c>
      <x:c r="F3614" s="11" t="n">
        <x:v>2.2286105407255303</x:v>
      </x:c>
      <x:c r="G3614" s="26" t="b">
        <x:v>1</x:v>
      </x:c>
      <x:c r="H3614" s="16" t="n">
        <x:v>0</x:v>
      </x:c>
      <x:c r="I3614" s="16" t="n">
        <x:v>0.3333333333333333</x:v>
      </x:c>
      <x:c r="J3614" s="16" t="n">
        <x:v>1.3333333333333333</x:v>
      </x:c>
      <x:c r="K3614" s="11" t="n">
        <x:f>CHOOSE('假设'!$B$3,H3614,I3614,J3614)</x:f>
        <x:v>0.3333333333333333</x:v>
      </x:c>
      <x:c r="L3614" s="11" t="n">
        <x:f>K3614*'管线假设'!E783*'管线假设'!F783*'管线假设'!G783*IF(E3614="USD",'管线假设'!I783,1)-AM3614</x:f>
        <x:v>0.041766666666666674</x:v>
      </x:c>
      <x:c r="M3614" s="11" t="n">
        <x:f>'管线假设'!H783</x:f>
        <x:v>0.135</x:v>
      </x:c>
      <x:c r="N3614" s="11" t="n">
        <x:f>IF(G3614,L3614*AN3614/(1+M3614)^F3614,0)</x:f>
        <x:v>0.03149672942186495</x:v>
      </x:c>
      <x:c r="AJ3614" t="n">
        <x:v>0</x:v>
      </x:c>
      <x:c r="AK3614" t="n">
        <x:v>0</x:v>
      </x:c>
      <x:c r="AL3614" t="n">
        <x:v>0</x:v>
      </x:c>
      <x:c r="AM3614" t="n">
        <x:f>CHOOSE('假设'!$B$3,AJ3614,AK3614,AL3614)</x:f>
        <x:v>0</x:v>
      </x:c>
      <x:c r="AN3614" t="n">
        <x:v>1</x:v>
      </x:c>
    </x:row>
    <x:row r="3615" ht="23" customHeight="1">
      <x:c r="A3615" s="11" t="str">
        <x:v>688382.SH</x:v>
      </x:c>
      <x:c r="B3615" s="11" t="str">
        <x:v>五年</x:v>
      </x:c>
      <x:c r="C3615" s="11" t="str">
        <x:v>tyk_viti_cn</x:v>
      </x:c>
      <x:c r="D3615" s="11" t="str">
        <x:v>2034-12-31</x:v>
      </x:c>
      <x:c r="E3615" s="11" t="str">
        <x:v>CNY</x:v>
      </x:c>
      <x:c r="F3615" s="11" t="n">
        <x:v>3.2279260780287475</x:v>
      </x:c>
      <x:c r="G3615" s="26" t="b">
        <x:v>1</x:v>
      </x:c>
      <x:c r="H3615" s="16" t="n">
        <x:v>0</x:v>
      </x:c>
      <x:c r="I3615" s="16" t="n">
        <x:v>0.5</x:v>
      </x:c>
      <x:c r="J3615" s="16" t="n">
        <x:v>1.6666666666666667</x:v>
      </x:c>
      <x:c r="K3615" s="11" t="n">
        <x:f>CHOOSE('假设'!$B$3,H3615,I3615,J3615)</x:f>
        <x:v>0.5</x:v>
      </x:c>
      <x:c r="L3615" s="11" t="n">
        <x:f>K3615*'管线假设'!E783*'管线假设'!F783*'管线假设'!G783*IF(E3615="USD",'管线假设'!I783,1)-AM3615</x:f>
        <x:v>0.06265000000000001</x:v>
      </x:c>
      <x:c r="M3615" s="11" t="n">
        <x:f>'管线假设'!H783</x:f>
        <x:v>0.135</x:v>
      </x:c>
      <x:c r="N3615" s="11" t="n">
        <x:f>IF(G3615,L3615*AN3615/(1+M3615)^F3615,0)</x:f>
        <x:v>0.041629241668893424</x:v>
      </x:c>
      <x:c r="AJ3615" t="n">
        <x:v>0</x:v>
      </x:c>
      <x:c r="AK3615" t="n">
        <x:v>0</x:v>
      </x:c>
      <x:c r="AL3615" t="n">
        <x:v>0</x:v>
      </x:c>
      <x:c r="AM3615" t="n">
        <x:f>CHOOSE('假设'!$B$3,AJ3615,AK3615,AL3615)</x:f>
        <x:v>0</x:v>
      </x:c>
      <x:c r="AN3615" t="n">
        <x:v>1</x:v>
      </x:c>
    </x:row>
    <x:row r="3616" ht="23" customHeight="1">
      <x:c r="A3616" s="11" t="str">
        <x:v>688382.SH</x:v>
      </x:c>
      <x:c r="B3616" s="11" t="str">
        <x:v>五年</x:v>
      </x:c>
      <x:c r="C3616" s="11" t="str">
        <x:v>tyk_viti_cn</x:v>
      </x:c>
      <x:c r="D3616" s="11" t="str">
        <x:v>2035-12-31</x:v>
      </x:c>
      <x:c r="E3616" s="11" t="str">
        <x:v>CNY</x:v>
      </x:c>
      <x:c r="F3616" s="11" t="n">
        <x:v>4.227241615331964</x:v>
      </x:c>
      <x:c r="G3616" s="26" t="b">
        <x:v>1</x:v>
      </x:c>
      <x:c r="H3616" s="16" t="n">
        <x:v>0.08000000000000002</x:v>
      </x:c>
      <x:c r="I3616" s="16" t="n">
        <x:v>0.6666666666666666</x:v>
      </x:c>
      <x:c r="J3616" s="16" t="n">
        <x:v>2</x:v>
      </x:c>
      <x:c r="K3616" s="11" t="n">
        <x:f>CHOOSE('假设'!$B$3,H3616,I3616,J3616)</x:f>
        <x:v>0.6666666666666666</x:v>
      </x:c>
      <x:c r="L3616" s="11" t="n">
        <x:f>K3616*'管线假设'!E783*'管线假设'!F783*'管线假设'!G783*IF(E3616="USD",'管线假设'!I783,1)-AM3616</x:f>
        <x:v>0.08353333333333335</x:v>
      </x:c>
      <x:c r="M3616" s="11" t="n">
        <x:f>'管线假设'!H783</x:f>
        <x:v>0.135</x:v>
      </x:c>
      <x:c r="N3616" s="11" t="n">
        <x:f>IF(G3616,L3616*AN3616/(1+M3616)^F3616,0)</x:f>
        <x:v>0.048907900209518775</x:v>
      </x:c>
      <x:c r="AJ3616" t="n">
        <x:v>0</x:v>
      </x:c>
      <x:c r="AK3616" t="n">
        <x:v>0</x:v>
      </x:c>
      <x:c r="AL3616" t="n">
        <x:v>0</x:v>
      </x:c>
      <x:c r="AM3616" t="n">
        <x:f>CHOOSE('假设'!$B$3,AJ3616,AK3616,AL3616)</x:f>
        <x:v>0</x:v>
      </x:c>
      <x:c r="AN3616" t="n">
        <x:v>1</x:v>
      </x:c>
    </x:row>
    <x:row r="3617" ht="23" customHeight="1">
      <x:c r="A3617" s="11" t="str">
        <x:v>688382.SH</x:v>
      </x:c>
      <x:c r="B3617" s="11" t="str">
        <x:v>五年</x:v>
      </x:c>
      <x:c r="C3617" s="11" t="str">
        <x:v>tyk_viti_cn</x:v>
      </x:c>
      <x:c r="D3617" s="11" t="str">
        <x:v>2036-12-31</x:v>
      </x:c>
      <x:c r="E3617" s="11" t="str">
        <x:v>CNY</x:v>
      </x:c>
      <x:c r="F3617" s="11" t="n">
        <x:v>5.229295003422314</x:v>
      </x:c>
      <x:c r="G3617" s="26" t="b">
        <x:v>1</x:v>
      </x:c>
      <x:c r="H3617" s="16" t="n">
        <x:v>0.16000000000000003</x:v>
      </x:c>
      <x:c r="I3617" s="16" t="n">
        <x:v>0.8333333333333334</x:v>
      </x:c>
      <x:c r="J3617" s="16" t="n">
        <x:v>1.74</x:v>
      </x:c>
      <x:c r="K3617" s="11" t="n">
        <x:f>CHOOSE('假设'!$B$3,H3617,I3617,J3617)</x:f>
        <x:v>0.8333333333333334</x:v>
      </x:c>
      <x:c r="L3617" s="11" t="n">
        <x:f>K3617*'管线假设'!E783*'管线假设'!F783*'管线假设'!G783*IF(E3617="USD",'管线假设'!I783,1)-AM3617</x:f>
        <x:v>0.10441666666666669</x:v>
      </x:c>
      <x:c r="M3617" s="11" t="n">
        <x:f>'管线假设'!H783</x:f>
        <x:v>0.135</x:v>
      </x:c>
      <x:c r="N3617" s="11" t="n">
        <x:f>IF(G3617,L3617*AN3617/(1+M3617)^F3617,0)</x:f>
        <x:v>0.053849322178683205</x:v>
      </x:c>
      <x:c r="AJ3617" t="n">
        <x:v>0</x:v>
      </x:c>
      <x:c r="AK3617" t="n">
        <x:v>0</x:v>
      </x:c>
      <x:c r="AL3617" t="n">
        <x:v>0</x:v>
      </x:c>
      <x:c r="AM3617" t="n">
        <x:f>CHOOSE('假设'!$B$3,AJ3617,AK3617,AL3617)</x:f>
        <x:v>0</x:v>
      </x:c>
      <x:c r="AN3617" t="n">
        <x:v>1</x:v>
      </x:c>
    </x:row>
    <x:row r="3618" ht="23" customHeight="1">
      <x:c r="A3618" s="11" t="str">
        <x:v>688382.SH</x:v>
      </x:c>
      <x:c r="B3618" s="11" t="str">
        <x:v>五年</x:v>
      </x:c>
      <x:c r="C3618" s="11" t="str">
        <x:v>tyk_viti_cn</x:v>
      </x:c>
      <x:c r="D3618" s="11" t="str">
        <x:v>2037-12-31</x:v>
      </x:c>
      <x:c r="E3618" s="11" t="str">
        <x:v>CNY</x:v>
      </x:c>
      <x:c r="F3618" s="11" t="n">
        <x:v>6.228610540725531</x:v>
      </x:c>
      <x:c r="G3618" s="26" t="b">
        <x:v>1</x:v>
      </x:c>
      <x:c r="H3618" s="16" t="n">
        <x:v>0.24</x:v>
      </x:c>
      <x:c r="I3618" s="16" t="n">
        <x:v>1</x:v>
      </x:c>
      <x:c r="J3618" s="16" t="n">
        <x:v>1.48</x:v>
      </x:c>
      <x:c r="K3618" s="11" t="n">
        <x:f>CHOOSE('假设'!$B$3,H3618,I3618,J3618)</x:f>
        <x:v>1</x:v>
      </x:c>
      <x:c r="L3618" s="11" t="n">
        <x:f>K3618*'管线假设'!E783*'管线假设'!F783*'管线假设'!G783*IF(E3618="USD",'管线假设'!I783,1)-AM3618</x:f>
        <x:v>0.12530000000000002</x:v>
      </x:c>
      <x:c r="M3618" s="11" t="n">
        <x:f>'管线假设'!H783</x:f>
        <x:v>0.135</x:v>
      </x:c>
      <x:c r="N3618" s="11" t="n">
        <x:f>IF(G3618,L3618*AN3618/(1+M3618)^F3618,0)</x:f>
        <x:v>0.05693813898344173</x:v>
      </x:c>
      <x:c r="AJ3618" t="n">
        <x:v>0</x:v>
      </x:c>
      <x:c r="AK3618" t="n">
        <x:v>0</x:v>
      </x:c>
      <x:c r="AL3618" t="n">
        <x:v>0</x:v>
      </x:c>
      <x:c r="AM3618" t="n">
        <x:f>CHOOSE('假设'!$B$3,AJ3618,AK3618,AL3618)</x:f>
        <x:v>0</x:v>
      </x:c>
      <x:c r="AN3618" t="n">
        <x:v>1</x:v>
      </x:c>
    </x:row>
    <x:row r="3619" ht="23" customHeight="1">
      <x:c r="A3619" s="11" t="str">
        <x:v>688382.SH</x:v>
      </x:c>
      <x:c r="B3619" s="11" t="str">
        <x:v>五年</x:v>
      </x:c>
      <x:c r="C3619" s="11" t="str">
        <x:v>tyk_viti_cn</x:v>
      </x:c>
      <x:c r="D3619" s="11" t="str">
        <x:v>2038-12-31</x:v>
      </x:c>
      <x:c r="E3619" s="11" t="str">
        <x:v>CNY</x:v>
      </x:c>
      <x:c r="F3619" s="11" t="n">
        <x:v>7.227926078028747</x:v>
      </x:c>
      <x:c r="G3619" s="26" t="b">
        <x:v>1</x:v>
      </x:c>
      <x:c r="H3619" s="16" t="n">
        <x:v>0.32000000000000006</x:v>
      </x:c>
      <x:c r="I3619" s="16" t="n">
        <x:v>0.87</x:v>
      </x:c>
      <x:c r="J3619" s="16" t="n">
        <x:v>1.22</x:v>
      </x:c>
      <x:c r="K3619" s="11" t="n">
        <x:f>CHOOSE('假设'!$B$3,H3619,I3619,J3619)</x:f>
        <x:v>0.87</x:v>
      </x:c>
      <x:c r="L3619" s="11" t="n">
        <x:f>K3619*'管线假设'!E783*'管线假设'!F783*'管线假设'!G783*IF(E3619="USD",'管线假设'!I783,1)-AM3619</x:f>
        <x:v>0.10901100000000002</x:v>
      </x:c>
      <x:c r="M3619" s="11" t="n">
        <x:f>'管线假设'!H783</x:f>
        <x:v>0.135</x:v>
      </x:c>
      <x:c r="N3619" s="11" t="n">
        <x:f>IF(G3619,L3619*AN3619/(1+M3619)^F3619,0)</x:f>
        <x:v>0.04364799530069642</x:v>
      </x:c>
      <x:c r="AJ3619" t="n">
        <x:v>0</x:v>
      </x:c>
      <x:c r="AK3619" t="n">
        <x:v>0</x:v>
      </x:c>
      <x:c r="AL3619" t="n">
        <x:v>0</x:v>
      </x:c>
      <x:c r="AM3619" t="n">
        <x:f>CHOOSE('假设'!$B$3,AJ3619,AK3619,AL3619)</x:f>
        <x:v>0</x:v>
      </x:c>
      <x:c r="AN3619" t="n">
        <x:v>1</x:v>
      </x:c>
    </x:row>
    <x:row r="3620" ht="23" customHeight="1">
      <x:c r="A3620" s="11" t="str">
        <x:v>688382.SH</x:v>
      </x:c>
      <x:c r="B3620" s="11" t="str">
        <x:v>五年</x:v>
      </x:c>
      <x:c r="C3620" s="11" t="str">
        <x:v>tyk_viti_cn</x:v>
      </x:c>
      <x:c r="D3620" s="11" t="str">
        <x:v>2039-12-31</x:v>
      </x:c>
      <x:c r="E3620" s="11" t="str">
        <x:v>CNY</x:v>
      </x:c>
      <x:c r="F3620" s="11" t="n">
        <x:v>8.227241615331964</x:v>
      </x:c>
      <x:c r="G3620" s="26" t="b">
        <x:v>1</x:v>
      </x:c>
      <x:c r="H3620" s="16" t="n">
        <x:v>0.4</x:v>
      </x:c>
      <x:c r="I3620" s="16" t="n">
        <x:v>0.74</x:v>
      </x:c>
      <x:c r="J3620" s="16" t="n">
        <x:v>0.96</x:v>
      </x:c>
      <x:c r="K3620" s="11" t="n">
        <x:f>CHOOSE('假设'!$B$3,H3620,I3620,J3620)</x:f>
        <x:v>0.74</x:v>
      </x:c>
      <x:c r="L3620" s="11" t="n">
        <x:f>K3620*'管线假设'!E783*'管线假设'!F783*'管线假设'!G783*IF(E3620="USD",'管线假设'!I783,1)-AM3620</x:f>
        <x:v>0.09272200000000001</x:v>
      </x:c>
      <x:c r="M3620" s="11" t="n">
        <x:f>'管线假设'!H783</x:f>
        <x:v>0.135</x:v>
      </x:c>
      <x:c r="N3620" s="11" t="n">
        <x:f>IF(G3620,L3620*AN3620/(1+M3620)^F3620,0)</x:f>
        <x:v>0.03271286264110806</x:v>
      </x:c>
      <x:c r="AJ3620" t="n">
        <x:v>0</x:v>
      </x:c>
      <x:c r="AK3620" t="n">
        <x:v>0</x:v>
      </x:c>
      <x:c r="AL3620" t="n">
        <x:v>0</x:v>
      </x:c>
      <x:c r="AM3620" t="n">
        <x:f>CHOOSE('假设'!$B$3,AJ3620,AK3620,AL3620)</x:f>
        <x:v>0</x:v>
      </x:c>
      <x:c r="AN3620" t="n">
        <x:v>1</x:v>
      </x:c>
    </x:row>
    <x:row r="3621" ht="23" customHeight="1">
      <x:c r="A3621" s="11" t="str">
        <x:v>688382.SH</x:v>
      </x:c>
      <x:c r="B3621" s="11" t="str">
        <x:v>五年</x:v>
      </x:c>
      <x:c r="C3621" s="11" t="str">
        <x:v>tyk_viti_cn</x:v>
      </x:c>
      <x:c r="D3621" s="11" t="str">
        <x:v>2040-12-31</x:v>
      </x:c>
      <x:c r="E3621" s="11" t="str">
        <x:v>CNY</x:v>
      </x:c>
      <x:c r="F3621" s="11" t="n">
        <x:v>9.229295003422314</x:v>
      </x:c>
      <x:c r="G3621" s="26" t="b">
        <x:v>1</x:v>
      </x:c>
      <x:c r="H3621" s="16" t="n">
        <x:v>0.34800000000000003</x:v>
      </x:c>
      <x:c r="I3621" s="16" t="n">
        <x:v>0.61</x:v>
      </x:c>
      <x:c r="J3621" s="16" t="n">
        <x:v>0.7</x:v>
      </x:c>
      <x:c r="K3621" s="11" t="n">
        <x:f>CHOOSE('假设'!$B$3,H3621,I3621,J3621)</x:f>
        <x:v>0.61</x:v>
      </x:c>
      <x:c r="L3621" s="11" t="n">
        <x:f>K3621*'管线假设'!E783*'管线假设'!F783*'管线假设'!G783*IF(E3621="USD",'管线假设'!I783,1)-AM3621</x:f>
        <x:v>0.07643300000000001</x:v>
      </x:c>
      <x:c r="M3621" s="11" t="n">
        <x:f>'管线假设'!H783</x:f>
        <x:v>0.135</x:v>
      </x:c>
      <x:c r="N3621" s="11" t="n">
        <x:f>IF(G3621,L3621*AN3621/(1+M3621)^F3621,0)</x:f>
        <x:v>0.023752420653933338</x:v>
      </x:c>
      <x:c r="AJ3621" t="n">
        <x:v>0</x:v>
      </x:c>
      <x:c r="AK3621" t="n">
        <x:v>0</x:v>
      </x:c>
      <x:c r="AL3621" t="n">
        <x:v>0</x:v>
      </x:c>
      <x:c r="AM3621" t="n">
        <x:f>CHOOSE('假设'!$B$3,AJ3621,AK3621,AL3621)</x:f>
        <x:v>0</x:v>
      </x:c>
      <x:c r="AN3621" t="n">
        <x:v>1</x:v>
      </x:c>
    </x:row>
    <x:row r="3622" ht="23" customHeight="1">
      <x:c r="A3622" s="11" t="str">
        <x:v>688382.SH</x:v>
      </x:c>
      <x:c r="B3622" s="11" t="str">
        <x:v>五年</x:v>
      </x:c>
      <x:c r="C3622" s="11" t="str">
        <x:v>tyk_viti_cn</x:v>
      </x:c>
      <x:c r="D3622" s="11" t="str">
        <x:v>2041-12-31</x:v>
      </x:c>
      <x:c r="E3622" s="11" t="str">
        <x:v>CNY</x:v>
      </x:c>
      <x:c r="F3622" s="11" t="n">
        <x:v>10.22861054072553</x:v>
      </x:c>
      <x:c r="G3622" s="26" t="b">
        <x:v>1</x:v>
      </x:c>
      <x:c r="H3622" s="16" t="n">
        <x:v>0.296</x:v>
      </x:c>
      <x:c r="I3622" s="16" t="n">
        <x:v>0.48</x:v>
      </x:c>
      <x:c r="J3622" s="16" t="n">
        <x:v>0.43999999999999995</x:v>
      </x:c>
      <x:c r="K3622" s="11" t="n">
        <x:f>CHOOSE('假设'!$B$3,H3622,I3622,J3622)</x:f>
        <x:v>0.48</x:v>
      </x:c>
      <x:c r="L3622" s="11" t="n">
        <x:f>K3622*'管线假设'!E783*'管线假设'!F783*'管线假设'!G783*IF(E3622="USD",'管线假设'!I783,1)-AM3622</x:f>
        <x:v>0.060144</x:v>
      </x:c>
      <x:c r="M3622" s="11" t="n">
        <x:f>'管线假设'!H783</x:f>
        <x:v>0.135</x:v>
      </x:c>
      <x:c r="N3622" s="11" t="n">
        <x:f>IF(G3622,L3622*AN3622/(1+M3622)^F3622,0)</x:f>
        <x:v>0.01646876602316517</x:v>
      </x:c>
      <x:c r="AJ3622" t="n">
        <x:v>0</x:v>
      </x:c>
      <x:c r="AK3622" t="n">
        <x:v>0</x:v>
      </x:c>
      <x:c r="AL3622" t="n">
        <x:v>0</x:v>
      </x:c>
      <x:c r="AM3622" t="n">
        <x:f>CHOOSE('假设'!$B$3,AJ3622,AK3622,AL3622)</x:f>
        <x:v>0</x:v>
      </x:c>
      <x:c r="AN3622" t="n">
        <x:v>1</x:v>
      </x:c>
    </x:row>
    <x:row r="3623" ht="23" customHeight="1">
      <x:c r="A3623" s="11" t="str">
        <x:v>688382.SH</x:v>
      </x:c>
      <x:c r="B3623" s="11" t="str">
        <x:v>五年</x:v>
      </x:c>
      <x:c r="C3623" s="11" t="str">
        <x:v>tyk_viti_cn</x:v>
      </x:c>
      <x:c r="D3623" s="11" t="str">
        <x:v>2042-12-31</x:v>
      </x:c>
      <x:c r="E3623" s="11" t="str">
        <x:v>CNY</x:v>
      </x:c>
      <x:c r="F3623" s="11" t="n">
        <x:v>11.227926078028748</x:v>
      </x:c>
      <x:c r="G3623" s="26" t="b">
        <x:v>1</x:v>
      </x:c>
      <x:c r="H3623" s="16" t="n">
        <x:v>0.244</x:v>
      </x:c>
      <x:c r="I3623" s="16" t="n">
        <x:v>0.35</x:v>
      </x:c>
      <x:c r="J3623" s="16" t="n">
        <x:v>0.17999999999999994</x:v>
      </x:c>
      <x:c r="K3623" s="11" t="n">
        <x:f>CHOOSE('假设'!$B$3,H3623,I3623,J3623)</x:f>
        <x:v>0.35</x:v>
      </x:c>
      <x:c r="L3623" s="11" t="n">
        <x:f>K3623*'管线假设'!E783*'管线假设'!F783*'管线假设'!G783*IF(E3623="USD",'管线假设'!I783,1)-AM3623</x:f>
        <x:v>0.043855</x:v>
      </x:c>
      <x:c r="M3623" s="11" t="n">
        <x:f>'管线假设'!H783</x:f>
        <x:v>0.135</x:v>
      </x:c>
      <x:c r="N3623" s="11" t="n">
        <x:f>IF(G3623,L3623*AN3623/(1+M3623)^F3623,0)</x:f>
        <x:v>0.010581071461529007</x:v>
      </x:c>
      <x:c r="AJ3623" t="n">
        <x:v>0</x:v>
      </x:c>
      <x:c r="AK3623" t="n">
        <x:v>0</x:v>
      </x:c>
      <x:c r="AL3623" t="n">
        <x:v>0</x:v>
      </x:c>
      <x:c r="AM3623" t="n">
        <x:f>CHOOSE('假设'!$B$3,AJ3623,AK3623,AL3623)</x:f>
        <x:v>0</x:v>
      </x:c>
      <x:c r="AN3623" t="n">
        <x:v>1</x:v>
      </x:c>
    </x:row>
    <x:row r="3624" ht="23" customHeight="1">
      <x:c r="A3624" s="11" t="str">
        <x:v>688382.SH</x:v>
      </x:c>
      <x:c r="B3624" s="11" t="str">
        <x:v>五年</x:v>
      </x:c>
      <x:c r="C3624" s="11" t="str">
        <x:v>tyk_viti_cn</x:v>
      </x:c>
      <x:c r="D3624" s="11" t="str">
        <x:v>2043-12-31</x:v>
      </x:c>
      <x:c r="E3624" s="11" t="str">
        <x:v>CNY</x:v>
      </x:c>
      <x:c r="F3624" s="11" t="n">
        <x:v>12.227241615331964</x:v>
      </x:c>
      <x:c r="G3624" s="26" t="b">
        <x:v>1</x:v>
      </x:c>
      <x:c r="H3624" s="16" t="n">
        <x:v>0.192</x:v>
      </x:c>
      <x:c r="I3624" s="16" t="n">
        <x:v>0.21999999999999997</x:v>
      </x:c>
      <x:c r="J3624" s="16" t="n">
        <x:v>0</x:v>
      </x:c>
      <x:c r="K3624" s="11" t="n">
        <x:f>CHOOSE('假设'!$B$3,H3624,I3624,J3624)</x:f>
        <x:v>0.21999999999999997</x:v>
      </x:c>
      <x:c r="L3624" s="11" t="n">
        <x:f>K3624*'管线假设'!E783*'管线假设'!F783*'管线假设'!G783*IF(E3624="USD",'管线假设'!I783,1)-AM3624</x:f>
        <x:v>0.027566</x:v>
      </x:c>
      <x:c r="M3624" s="11" t="n">
        <x:f>'管线假设'!H783</x:f>
        <x:v>0.135</x:v>
      </x:c>
      <x:c r="N3624" s="11" t="n">
        <x:f>IF(G3624,L3624*AN3624/(1+M3624)^F3624,0)</x:f>
        <x:v>0.005860383879673189</x:v>
      </x:c>
      <x:c r="AJ3624" t="n">
        <x:v>0</x:v>
      </x:c>
      <x:c r="AK3624" t="n">
        <x:v>0</x:v>
      </x:c>
      <x:c r="AL3624" t="n">
        <x:v>0</x:v>
      </x:c>
      <x:c r="AM3624" t="n">
        <x:f>CHOOSE('假设'!$B$3,AJ3624,AK3624,AL3624)</x:f>
        <x:v>0</x:v>
      </x:c>
      <x:c r="AN3624" t="n">
        <x:v>1</x:v>
      </x:c>
    </x:row>
    <x:row r="3625" ht="23" customHeight="1">
      <x:c r="A3625" s="11" t="str">
        <x:v>688382.SH</x:v>
      </x:c>
      <x:c r="B3625" s="11" t="str">
        <x:v>五年</x:v>
      </x:c>
      <x:c r="C3625" s="11" t="str">
        <x:v>tyk_viti_cn</x:v>
      </x:c>
      <x:c r="D3625" s="11" t="str">
        <x:v>2044-12-31</x:v>
      </x:c>
      <x:c r="E3625" s="11" t="str">
        <x:v>CNY</x:v>
      </x:c>
      <x:c r="F3625" s="11" t="n">
        <x:v>13.229295003422314</x:v>
      </x:c>
      <x:c r="G3625" s="26" t="b">
        <x:v>1</x:v>
      </x:c>
      <x:c r="H3625" s="16" t="n">
        <x:v>0.13999999999999999</x:v>
      </x:c>
      <x:c r="I3625" s="16" t="n">
        <x:v>0.08999999999999997</x:v>
      </x:c>
      <x:c r="J3625" s="16" t="n">
        <x:v>0</x:v>
      </x:c>
      <x:c r="K3625" s="11" t="n">
        <x:f>CHOOSE('假设'!$B$3,H3625,I3625,J3625)</x:f>
        <x:v>0.08999999999999997</x:v>
      </x:c>
      <x:c r="L3625" s="11" t="n">
        <x:f>K3625*'管线假设'!E783*'管线假设'!F783*'管线假设'!G783*IF(E3625="USD",'管线假设'!I783,1)-AM3625</x:f>
        <x:v>0.011276999999999997</x:v>
      </x:c>
      <x:c r="M3625" s="11" t="n">
        <x:f>'管线假设'!H783</x:f>
        <x:v>0.135</x:v>
      </x:c>
      <x:c r="N3625" s="11" t="n">
        <x:f>IF(G3625,L3625*AN3625/(1+M3625)^F3625,0)</x:f>
        <x:v>0.002111723749762894</x:v>
      </x:c>
      <x:c r="AJ3625" t="n">
        <x:v>0</x:v>
      </x:c>
      <x:c r="AK3625" t="n">
        <x:v>0</x:v>
      </x:c>
      <x:c r="AL3625" t="n">
        <x:v>0</x:v>
      </x:c>
      <x:c r="AM3625" t="n">
        <x:f>CHOOSE('假设'!$B$3,AJ3625,AK3625,AL3625)</x:f>
        <x:v>0</x:v>
      </x:c>
      <x:c r="AN3625" t="n">
        <x:v>1</x:v>
      </x:c>
    </x:row>
    <x:row r="3626" ht="23" customHeight="1">
      <x:c r="A3626" s="11" t="str">
        <x:v>688382.SH</x:v>
      </x:c>
      <x:c r="B3626" s="11" t="str">
        <x:v>五年</x:v>
      </x:c>
      <x:c r="C3626" s="11" t="str">
        <x:v>tyk_viti_cn</x:v>
      </x:c>
      <x:c r="D3626" s="11" t="str">
        <x:v>2045-12-31</x:v>
      </x:c>
      <x:c r="E3626" s="11" t="str">
        <x:v>CNY</x:v>
      </x:c>
      <x:c r="F3626" s="11" t="n">
        <x:v>14.22861054072553</x:v>
      </x:c>
      <x:c r="G3626" s="26" t="b">
        <x:v>1</x:v>
      </x:c>
      <x:c r="H3626" s="16" t="n">
        <x:v>0.088</x:v>
      </x:c>
      <x:c r="I3626" s="16" t="n">
        <x:v>0</x:v>
      </x:c>
      <x:c r="J3626" s="16" t="n">
        <x:v>0</x:v>
      </x:c>
      <x:c r="K3626" s="11" t="n">
        <x:f>CHOOSE('假设'!$B$3,H3626,I3626,J3626)</x:f>
        <x:v>0</x:v>
      </x:c>
      <x:c r="L3626" s="11" t="n">
        <x:f>K3626*'管线假设'!E783*'管线假设'!F783*'管线假设'!G783*IF(E3626="USD",'管线假设'!I783,1)-AM3626</x:f>
        <x:v>0</x:v>
      </x:c>
      <x:c r="M3626" s="11" t="n">
        <x:f>'管线假设'!H783</x:f>
        <x:v>0.135</x:v>
      </x:c>
      <x:c r="N3626" s="11" t="n">
        <x:f>IF(G3626,L3626*AN3626/(1+M3626)^F3626,0)</x:f>
        <x:v>0</x:v>
      </x:c>
      <x:c r="AJ3626" t="n">
        <x:v>0</x:v>
      </x:c>
      <x:c r="AK3626" t="n">
        <x:v>0</x:v>
      </x:c>
      <x:c r="AL3626" t="n">
        <x:v>0</x:v>
      </x:c>
      <x:c r="AM3626" t="n">
        <x:f>CHOOSE('假设'!$B$3,AJ3626,AK3626,AL3626)</x:f>
        <x:v>0</x:v>
      </x:c>
      <x:c r="AN3626" t="n">
        <x:v>1</x:v>
      </x:c>
    </x:row>
    <x:row r="3627" ht="23" customHeight="1">
      <x:c r="A3627" s="11" t="str">
        <x:v>688382.SH</x:v>
      </x:c>
      <x:c r="B3627" s="11" t="str">
        <x:v>五年</x:v>
      </x:c>
      <x:c r="C3627" s="11" t="str">
        <x:v>tyk_global</x:v>
      </x:c>
      <x:c r="D3627" s="11" t="str">
        <x:v>2027-12-31</x:v>
      </x:c>
      <x:c r="E3627" s="11" t="str">
        <x:v>USD</x:v>
      </x:c>
      <x:c r="F3627" s="11" t="n">
        <x:v>-3.7727583846680357</x:v>
      </x:c>
      <x:c r="G3627" s="26" t="b">
        <x:v>0</x:v>
      </x:c>
      <x:c r="H3627" s="16" t="n">
        <x:v>0</x:v>
      </x:c>
      <x:c r="I3627" s="16" t="n">
        <x:v>0</x:v>
      </x:c>
      <x:c r="J3627" s="16" t="n">
        <x:v>0</x:v>
      </x:c>
      <x:c r="K3627" s="11" t="n">
        <x:f>CHOOSE('假设'!$B$3,H3627,I3627,J3627)</x:f>
        <x:v>0</x:v>
      </x:c>
      <x:c r="L3627" s="11" t="n">
        <x:f>K3627*'管线假设'!E787*'管线假设'!F787*'管线假设'!G787*IF(E3627="USD",'管线假设'!I787,1)-AM3627</x:f>
        <x:v>0</x:v>
      </x:c>
      <x:c r="M3627" s="11" t="n">
        <x:f>'管线假设'!H787</x:f>
        <x:v>0.135</x:v>
      </x:c>
      <x:c r="N3627" s="11" t="n">
        <x:f>IF(G3627,L3627*AN3627/(1+M3627)^F3627,0)</x:f>
        <x:v>0</x:v>
      </x:c>
      <x:c r="AJ3627" t="n">
        <x:v>0</x:v>
      </x:c>
      <x:c r="AK3627" t="n">
        <x:v>0</x:v>
      </x:c>
      <x:c r="AL3627" t="n">
        <x:v>0</x:v>
      </x:c>
      <x:c r="AM3627" t="n">
        <x:f>CHOOSE('假设'!$B$3,AJ3627,AK3627,AL3627)</x:f>
        <x:v>0</x:v>
      </x:c>
      <x:c r="AN3627" t="n">
        <x:v>1</x:v>
      </x:c>
    </x:row>
    <x:row r="3628" ht="23" customHeight="1">
      <x:c r="A3628" s="11" t="str">
        <x:v>688382.SH</x:v>
      </x:c>
      <x:c r="B3628" s="11" t="str">
        <x:v>五年</x:v>
      </x:c>
      <x:c r="C3628" s="11" t="str">
        <x:v>tyk_global</x:v>
      </x:c>
      <x:c r="D3628" s="11" t="str">
        <x:v>2028-12-31</x:v>
      </x:c>
      <x:c r="E3628" s="11" t="str">
        <x:v>USD</x:v>
      </x:c>
      <x:c r="F3628" s="11" t="n">
        <x:v>-2.7707049965776864</x:v>
      </x:c>
      <x:c r="G3628" s="26" t="b">
        <x:v>0</x:v>
      </x:c>
      <x:c r="H3628" s="16" t="n">
        <x:v>0</x:v>
      </x:c>
      <x:c r="I3628" s="16" t="n">
        <x:v>0</x:v>
      </x:c>
      <x:c r="J3628" s="16" t="n">
        <x:v>0</x:v>
      </x:c>
      <x:c r="K3628" s="11" t="n">
        <x:f>CHOOSE('假设'!$B$3,H3628,I3628,J3628)</x:f>
        <x:v>0</x:v>
      </x:c>
      <x:c r="L3628" s="11" t="n">
        <x:f>K3628*'管线假设'!E787*'管线假设'!F787*'管线假设'!G787*IF(E3628="USD",'管线假设'!I787,1)-AM3628</x:f>
        <x:v>0</x:v>
      </x:c>
      <x:c r="M3628" s="11" t="n">
        <x:f>'管线假设'!H787</x:f>
        <x:v>0.135</x:v>
      </x:c>
      <x:c r="N3628" s="11" t="n">
        <x:f>IF(G3628,L3628*AN3628/(1+M3628)^F3628,0)</x:f>
        <x:v>0</x:v>
      </x:c>
      <x:c r="AJ3628" t="n">
        <x:v>0</x:v>
      </x:c>
      <x:c r="AK3628" t="n">
        <x:v>0</x:v>
      </x:c>
      <x:c r="AL3628" t="n">
        <x:v>0</x:v>
      </x:c>
      <x:c r="AM3628" t="n">
        <x:f>CHOOSE('假设'!$B$3,AJ3628,AK3628,AL3628)</x:f>
        <x:v>0</x:v>
      </x:c>
      <x:c r="AN3628" t="n">
        <x:v>1</x:v>
      </x:c>
    </x:row>
    <x:row r="3629" ht="23" customHeight="1">
      <x:c r="A3629" s="11" t="str">
        <x:v>688382.SH</x:v>
      </x:c>
      <x:c r="B3629" s="11" t="str">
        <x:v>五年</x:v>
      </x:c>
      <x:c r="C3629" s="11" t="str">
        <x:v>tyk_global</x:v>
      </x:c>
      <x:c r="D3629" s="11" t="str">
        <x:v>2029-12-31</x:v>
      </x:c>
      <x:c r="E3629" s="11" t="str">
        <x:v>USD</x:v>
      </x:c>
      <x:c r="F3629" s="11" t="n">
        <x:v>-1.7713894592744694</x:v>
      </x:c>
      <x:c r="G3629" s="26" t="b">
        <x:v>0</x:v>
      </x:c>
      <x:c r="H3629" s="16" t="n">
        <x:v>0</x:v>
      </x:c>
      <x:c r="I3629" s="16" t="n">
        <x:v>0</x:v>
      </x:c>
      <x:c r="J3629" s="16" t="n">
        <x:v>0</x:v>
      </x:c>
      <x:c r="K3629" s="11" t="n">
        <x:f>CHOOSE('假设'!$B$3,H3629,I3629,J3629)</x:f>
        <x:v>0</x:v>
      </x:c>
      <x:c r="L3629" s="11" t="n">
        <x:f>K3629*'管线假设'!E787*'管线假设'!F787*'管线假设'!G787*IF(E3629="USD",'管线假设'!I787,1)-AM3629</x:f>
        <x:v>0</x:v>
      </x:c>
      <x:c r="M3629" s="11" t="n">
        <x:f>'管线假设'!H787</x:f>
        <x:v>0.135</x:v>
      </x:c>
      <x:c r="N3629" s="11" t="n">
        <x:f>IF(G3629,L3629*AN3629/(1+M3629)^F3629,0)</x:f>
        <x:v>0</x:v>
      </x:c>
      <x:c r="AJ3629" t="n">
        <x:v>0</x:v>
      </x:c>
      <x:c r="AK3629" t="n">
        <x:v>0</x:v>
      </x:c>
      <x:c r="AL3629" t="n">
        <x:v>0</x:v>
      </x:c>
      <x:c r="AM3629" t="n">
        <x:f>CHOOSE('假设'!$B$3,AJ3629,AK3629,AL3629)</x:f>
        <x:v>0</x:v>
      </x:c>
      <x:c r="AN3629" t="n">
        <x:v>1</x:v>
      </x:c>
    </x:row>
    <x:row r="3630" ht="23" customHeight="1">
      <x:c r="A3630" s="11" t="str">
        <x:v>688382.SH</x:v>
      </x:c>
      <x:c r="B3630" s="11" t="str">
        <x:v>五年</x:v>
      </x:c>
      <x:c r="C3630" s="11" t="str">
        <x:v>tyk_global</x:v>
      </x:c>
      <x:c r="D3630" s="11" t="str">
        <x:v>2030-12-31</x:v>
      </x:c>
      <x:c r="E3630" s="11" t="str">
        <x:v>USD</x:v>
      </x:c>
      <x:c r="F3630" s="11" t="n">
        <x:v>-0.7720739219712526</x:v>
      </x:c>
      <x:c r="G3630" s="26" t="b">
        <x:v>0</x:v>
      </x:c>
      <x:c r="H3630" s="16" t="n">
        <x:v>0</x:v>
      </x:c>
      <x:c r="I3630" s="16" t="n">
        <x:v>0</x:v>
      </x:c>
      <x:c r="J3630" s="16" t="n">
        <x:v>0.6666666666666666</x:v>
      </x:c>
      <x:c r="K3630" s="11" t="n">
        <x:f>CHOOSE('假设'!$B$3,H3630,I3630,J3630)</x:f>
        <x:v>0</x:v>
      </x:c>
      <x:c r="L3630" s="11" t="n">
        <x:f>K3630*'管线假设'!E787*'管线假设'!F787*'管线假设'!G787*IF(E3630="USD",'管线假设'!I787,1)-AM3630</x:f>
        <x:v>0</x:v>
      </x:c>
      <x:c r="M3630" s="11" t="n">
        <x:f>'管线假设'!H787</x:f>
        <x:v>0.135</x:v>
      </x:c>
      <x:c r="N3630" s="11" t="n">
        <x:f>IF(G3630,L3630*AN3630/(1+M3630)^F3630,0)</x:f>
        <x:v>0</x:v>
      </x:c>
      <x:c r="AJ3630" t="n">
        <x:v>0</x:v>
      </x:c>
      <x:c r="AK3630" t="n">
        <x:v>0</x:v>
      </x:c>
      <x:c r="AL3630" t="n">
        <x:v>0</x:v>
      </x:c>
      <x:c r="AM3630" t="n">
        <x:f>CHOOSE('假设'!$B$3,AJ3630,AK3630,AL3630)</x:f>
        <x:v>0</x:v>
      </x:c>
      <x:c r="AN3630" t="n">
        <x:v>1</x:v>
      </x:c>
    </x:row>
    <x:row r="3631" ht="23" customHeight="1">
      <x:c r="A3631" s="11" t="str">
        <x:v>688382.SH</x:v>
      </x:c>
      <x:c r="B3631" s="11" t="str">
        <x:v>五年</x:v>
      </x:c>
      <x:c r="C3631" s="11" t="str">
        <x:v>tyk_global</x:v>
      </x:c>
      <x:c r="D3631" s="11" t="str">
        <x:v>2031-12-31</x:v>
      </x:c>
      <x:c r="E3631" s="11" t="str">
        <x:v>USD</x:v>
      </x:c>
      <x:c r="F3631" s="11" t="n">
        <x:v>0.2272416153319644</x:v>
      </x:c>
      <x:c r="G3631" s="26" t="b">
        <x:v>1</x:v>
      </x:c>
      <x:c r="H3631" s="16" t="n">
        <x:v>0</x:v>
      </x:c>
      <x:c r="I3631" s="16" t="n">
        <x:v>0</x:v>
      </x:c>
      <x:c r="J3631" s="16" t="n">
        <x:v>1.3333333333333333</x:v>
      </x:c>
      <x:c r="K3631" s="11" t="n">
        <x:f>CHOOSE('假设'!$B$3,H3631,I3631,J3631)</x:f>
        <x:v>0</x:v>
      </x:c>
      <x:c r="L3631" s="11" t="n">
        <x:f>K3631*'管线假设'!E787*'管线假设'!F787*'管线假设'!G787*IF(E3631="USD",'管线假设'!I787,1)-AM3631</x:f>
        <x:v>0</x:v>
      </x:c>
      <x:c r="M3631" s="11" t="n">
        <x:f>'管线假设'!H787</x:f>
        <x:v>0.135</x:v>
      </x:c>
      <x:c r="N3631" s="11" t="n">
        <x:f>IF(G3631,L3631*AN3631/(1+M3631)^F3631,0)</x:f>
        <x:v>0</x:v>
      </x:c>
      <x:c r="AJ3631" t="n">
        <x:v>0</x:v>
      </x:c>
      <x:c r="AK3631" t="n">
        <x:v>0</x:v>
      </x:c>
      <x:c r="AL3631" t="n">
        <x:v>0</x:v>
      </x:c>
      <x:c r="AM3631" t="n">
        <x:f>CHOOSE('假设'!$B$3,AJ3631,AK3631,AL3631)</x:f>
        <x:v>0</x:v>
      </x:c>
      <x:c r="AN3631" t="n">
        <x:v>1</x:v>
      </x:c>
    </x:row>
    <x:row r="3632" ht="23" customHeight="1">
      <x:c r="A3632" s="11" t="str">
        <x:v>688382.SH</x:v>
      </x:c>
      <x:c r="B3632" s="11" t="str">
        <x:v>五年</x:v>
      </x:c>
      <x:c r="C3632" s="11" t="str">
        <x:v>tyk_global</x:v>
      </x:c>
      <x:c r="D3632" s="11" t="str">
        <x:v>2032-12-31</x:v>
      </x:c>
      <x:c r="E3632" s="11" t="str">
        <x:v>USD</x:v>
      </x:c>
      <x:c r="F3632" s="11" t="n">
        <x:v>1.2292950034223136</x:v>
      </x:c>
      <x:c r="G3632" s="26" t="b">
        <x:v>1</x:v>
      </x:c>
      <x:c r="H3632" s="16" t="n">
        <x:v>0</x:v>
      </x:c>
      <x:c r="I3632" s="16" t="n">
        <x:v>0.3333333333333333</x:v>
      </x:c>
      <x:c r="J3632" s="16" t="n">
        <x:v>2</x:v>
      </x:c>
      <x:c r="K3632" s="11" t="n">
        <x:f>CHOOSE('假设'!$B$3,H3632,I3632,J3632)</x:f>
        <x:v>0.3333333333333333</x:v>
      </x:c>
      <x:c r="L3632" s="11" t="n">
        <x:f>K3632*'管线假设'!E787*'管线假设'!F787*'管线假设'!G787*IF(E3632="USD",'管线假设'!I787,1)-AM3632</x:f>
        <x:v>0.107338</x:v>
      </x:c>
      <x:c r="M3632" s="11" t="n">
        <x:f>'管线假设'!H787</x:f>
        <x:v>0.135</x:v>
      </x:c>
      <x:c r="N3632" s="11" t="n">
        <x:f>IF(G3632,L3632*AN3632/(1+M3632)^F3632,0)</x:f>
        <x:v>0.091864425024075</x:v>
      </x:c>
      <x:c r="AJ3632" t="n">
        <x:v>0</x:v>
      </x:c>
      <x:c r="AK3632" t="n">
        <x:v>0</x:v>
      </x:c>
      <x:c r="AL3632" t="n">
        <x:v>0</x:v>
      </x:c>
      <x:c r="AM3632" t="n">
        <x:f>CHOOSE('假设'!$B$3,AJ3632,AK3632,AL3632)</x:f>
        <x:v>0</x:v>
      </x:c>
      <x:c r="AN3632" t="n">
        <x:v>1</x:v>
      </x:c>
    </x:row>
    <x:row r="3633" ht="23" customHeight="1">
      <x:c r="A3633" s="11" t="str">
        <x:v>688382.SH</x:v>
      </x:c>
      <x:c r="B3633" s="11" t="str">
        <x:v>五年</x:v>
      </x:c>
      <x:c r="C3633" s="11" t="str">
        <x:v>tyk_global</x:v>
      </x:c>
      <x:c r="D3633" s="11" t="str">
        <x:v>2033-12-31</x:v>
      </x:c>
      <x:c r="E3633" s="11" t="str">
        <x:v>USD</x:v>
      </x:c>
      <x:c r="F3633" s="11" t="n">
        <x:v>2.2286105407255303</x:v>
      </x:c>
      <x:c r="G3633" s="26" t="b">
        <x:v>1</x:v>
      </x:c>
      <x:c r="H3633" s="16" t="n">
        <x:v>0</x:v>
      </x:c>
      <x:c r="I3633" s="16" t="n">
        <x:v>0.6666666666666666</x:v>
      </x:c>
      <x:c r="J3633" s="16" t="n">
        <x:v>2.6666666666666665</x:v>
      </x:c>
      <x:c r="K3633" s="11" t="n">
        <x:f>CHOOSE('假设'!$B$3,H3633,I3633,J3633)</x:f>
        <x:v>0.6666666666666666</x:v>
      </x:c>
      <x:c r="L3633" s="11" t="n">
        <x:f>K3633*'管线假设'!E787*'管线假设'!F787*'管线假设'!G787*IF(E3633="USD",'管线假设'!I787,1)-AM3633</x:f>
        <x:v>0.214676</x:v>
      </x:c>
      <x:c r="M3633" s="11" t="n">
        <x:f>'管线假设'!H787</x:f>
        <x:v>0.135</x:v>
      </x:c>
      <x:c r="N3633" s="11" t="n">
        <x:f>IF(G3633,L3633*AN3633/(1+M3633)^F3633,0)</x:f>
        <x:v>0.1618896700407409</x:v>
      </x:c>
      <x:c r="AJ3633" t="n">
        <x:v>0</x:v>
      </x:c>
      <x:c r="AK3633" t="n">
        <x:v>0</x:v>
      </x:c>
      <x:c r="AL3633" t="n">
        <x:v>0</x:v>
      </x:c>
      <x:c r="AM3633" t="n">
        <x:f>CHOOSE('假设'!$B$3,AJ3633,AK3633,AL3633)</x:f>
        <x:v>0</x:v>
      </x:c>
      <x:c r="AN3633" t="n">
        <x:v>1</x:v>
      </x:c>
    </x:row>
    <x:row r="3634" ht="23" customHeight="1">
      <x:c r="A3634" s="11" t="str">
        <x:v>688382.SH</x:v>
      </x:c>
      <x:c r="B3634" s="11" t="str">
        <x:v>五年</x:v>
      </x:c>
      <x:c r="C3634" s="11" t="str">
        <x:v>tyk_global</x:v>
      </x:c>
      <x:c r="D3634" s="11" t="str">
        <x:v>2034-12-31</x:v>
      </x:c>
      <x:c r="E3634" s="11" t="str">
        <x:v>USD</x:v>
      </x:c>
      <x:c r="F3634" s="11" t="n">
        <x:v>3.2279260780287475</x:v>
      </x:c>
      <x:c r="G3634" s="26" t="b">
        <x:v>1</x:v>
      </x:c>
      <x:c r="H3634" s="16" t="n">
        <x:v>0</x:v>
      </x:c>
      <x:c r="I3634" s="16" t="n">
        <x:v>1</x:v>
      </x:c>
      <x:c r="J3634" s="16" t="n">
        <x:v>3.3333333333333335</x:v>
      </x:c>
      <x:c r="K3634" s="11" t="n">
        <x:f>CHOOSE('假设'!$B$3,H3634,I3634,J3634)</x:f>
        <x:v>1</x:v>
      </x:c>
      <x:c r="L3634" s="11" t="n">
        <x:f>K3634*'管线假设'!E787*'管线假设'!F787*'管线假设'!G787*IF(E3634="USD",'管线假设'!I787,1)-AM3634</x:f>
        <x:v>0.322014</x:v>
      </x:c>
      <x:c r="M3634" s="11" t="n">
        <x:f>'管线假设'!H787</x:f>
        <x:v>0.135</x:v>
      </x:c>
      <x:c r="N3634" s="11" t="n">
        <x:f>IF(G3634,L3634*AN3634/(1+M3634)^F3634,0)</x:f>
        <x:v>0.21396965086619388</x:v>
      </x:c>
      <x:c r="AJ3634" t="n">
        <x:v>0</x:v>
      </x:c>
      <x:c r="AK3634" t="n">
        <x:v>0</x:v>
      </x:c>
      <x:c r="AL3634" t="n">
        <x:v>0</x:v>
      </x:c>
      <x:c r="AM3634" t="n">
        <x:f>CHOOSE('假设'!$B$3,AJ3634,AK3634,AL3634)</x:f>
        <x:v>0</x:v>
      </x:c>
      <x:c r="AN3634" t="n">
        <x:v>1</x:v>
      </x:c>
    </x:row>
    <x:row r="3635" ht="23" customHeight="1">
      <x:c r="A3635" s="11" t="str">
        <x:v>688382.SH</x:v>
      </x:c>
      <x:c r="B3635" s="11" t="str">
        <x:v>五年</x:v>
      </x:c>
      <x:c r="C3635" s="11" t="str">
        <x:v>tyk_global</x:v>
      </x:c>
      <x:c r="D3635" s="11" t="str">
        <x:v>2035-12-31</x:v>
      </x:c>
      <x:c r="E3635" s="11" t="str">
        <x:v>USD</x:v>
      </x:c>
      <x:c r="F3635" s="11" t="n">
        <x:v>4.227241615331964</x:v>
      </x:c>
      <x:c r="G3635" s="26" t="b">
        <x:v>1</x:v>
      </x:c>
      <x:c r="H3635" s="16" t="n">
        <x:v>0.13999999999999999</x:v>
      </x:c>
      <x:c r="I3635" s="16" t="n">
        <x:v>1.3333333333333333</x:v>
      </x:c>
      <x:c r="J3635" s="16" t="n">
        <x:v>4</x:v>
      </x:c>
      <x:c r="K3635" s="11" t="n">
        <x:f>CHOOSE('假设'!$B$3,H3635,I3635,J3635)</x:f>
        <x:v>1.3333333333333333</x:v>
      </x:c>
      <x:c r="L3635" s="11" t="n">
        <x:f>K3635*'管线假设'!E787*'管线假设'!F787*'管线假设'!G787*IF(E3635="USD",'管线假设'!I787,1)-AM3635</x:f>
        <x:v>0.429352</x:v>
      </x:c>
      <x:c r="M3635" s="11" t="n">
        <x:f>'管线假设'!H787</x:f>
        <x:v>0.135</x:v>
      </x:c>
      <x:c r="N3635" s="11" t="n">
        <x:f>IF(G3635,L3635*AN3635/(1+M3635)^F3635,0)</x:f>
        <x:v>0.2513811425070706</x:v>
      </x:c>
      <x:c r="AJ3635" t="n">
        <x:v>0</x:v>
      </x:c>
      <x:c r="AK3635" t="n">
        <x:v>0</x:v>
      </x:c>
      <x:c r="AL3635" t="n">
        <x:v>0</x:v>
      </x:c>
      <x:c r="AM3635" t="n">
        <x:f>CHOOSE('假设'!$B$3,AJ3635,AK3635,AL3635)</x:f>
        <x:v>0</x:v>
      </x:c>
      <x:c r="AN3635" t="n">
        <x:v>1</x:v>
      </x:c>
    </x:row>
    <x:row r="3636" ht="23" customHeight="1">
      <x:c r="A3636" s="11" t="str">
        <x:v>688382.SH</x:v>
      </x:c>
      <x:c r="B3636" s="11" t="str">
        <x:v>五年</x:v>
      </x:c>
      <x:c r="C3636" s="11" t="str">
        <x:v>tyk_global</x:v>
      </x:c>
      <x:c r="D3636" s="11" t="str">
        <x:v>2036-12-31</x:v>
      </x:c>
      <x:c r="E3636" s="11" t="str">
        <x:v>USD</x:v>
      </x:c>
      <x:c r="F3636" s="11" t="n">
        <x:v>5.229295003422314</x:v>
      </x:c>
      <x:c r="G3636" s="26" t="b">
        <x:v>1</x:v>
      </x:c>
      <x:c r="H3636" s="16" t="n">
        <x:v>0.27999999999999997</x:v>
      </x:c>
      <x:c r="I3636" s="16" t="n">
        <x:v>1.6666666666666667</x:v>
      </x:c>
      <x:c r="J3636" s="16" t="n">
        <x:v>3.48</x:v>
      </x:c>
      <x:c r="K3636" s="11" t="n">
        <x:f>CHOOSE('假设'!$B$3,H3636,I3636,J3636)</x:f>
        <x:v>1.6666666666666667</x:v>
      </x:c>
      <x:c r="L3636" s="11" t="n">
        <x:f>K3636*'管线假设'!E787*'管线假设'!F787*'管线假设'!G787*IF(E3636="USD",'管线假设'!I787,1)-AM3636</x:f>
        <x:v>0.53669</x:v>
      </x:c>
      <x:c r="M3636" s="11" t="n">
        <x:f>'管线假设'!H787</x:f>
        <x:v>0.135</x:v>
      </x:c>
      <x:c r="N3636" s="11" t="n">
        <x:f>IF(G3636,L3636*AN3636/(1+M3636)^F3636,0)</x:f>
        <x:v>0.27677949931438933</x:v>
      </x:c>
      <x:c r="AJ3636" t="n">
        <x:v>0</x:v>
      </x:c>
      <x:c r="AK3636" t="n">
        <x:v>0</x:v>
      </x:c>
      <x:c r="AL3636" t="n">
        <x:v>0</x:v>
      </x:c>
      <x:c r="AM3636" t="n">
        <x:f>CHOOSE('假设'!$B$3,AJ3636,AK3636,AL3636)</x:f>
        <x:v>0</x:v>
      </x:c>
      <x:c r="AN3636" t="n">
        <x:v>1</x:v>
      </x:c>
    </x:row>
    <x:row r="3637" ht="23" customHeight="1">
      <x:c r="A3637" s="11" t="str">
        <x:v>688382.SH</x:v>
      </x:c>
      <x:c r="B3637" s="11" t="str">
        <x:v>五年</x:v>
      </x:c>
      <x:c r="C3637" s="11" t="str">
        <x:v>tyk_global</x:v>
      </x:c>
      <x:c r="D3637" s="11" t="str">
        <x:v>2037-12-31</x:v>
      </x:c>
      <x:c r="E3637" s="11" t="str">
        <x:v>USD</x:v>
      </x:c>
      <x:c r="F3637" s="11" t="n">
        <x:v>6.228610540725531</x:v>
      </x:c>
      <x:c r="G3637" s="26" t="b">
        <x:v>1</x:v>
      </x:c>
      <x:c r="H3637" s="16" t="n">
        <x:v>0.42</x:v>
      </x:c>
      <x:c r="I3637" s="16" t="n">
        <x:v>2</x:v>
      </x:c>
      <x:c r="J3637" s="16" t="n">
        <x:v>2.96</x:v>
      </x:c>
      <x:c r="K3637" s="11" t="n">
        <x:f>CHOOSE('假设'!$B$3,H3637,I3637,J3637)</x:f>
        <x:v>2</x:v>
      </x:c>
      <x:c r="L3637" s="11" t="n">
        <x:f>K3637*'管线假设'!E787*'管线假设'!F787*'管线假设'!G787*IF(E3637="USD",'管线假设'!I787,1)-AM3637</x:f>
        <x:v>0.644028</x:v>
      </x:c>
      <x:c r="M3637" s="11" t="n">
        <x:f>'管线假设'!H787</x:f>
        <x:v>0.135</x:v>
      </x:c>
      <x:c r="N3637" s="11" t="n">
        <x:f>IF(G3637,L3637*AN3637/(1+M3637)^F3637,0)</x:f>
        <x:v>0.2926556725716521</x:v>
      </x:c>
      <x:c r="AJ3637" t="n">
        <x:v>0</x:v>
      </x:c>
      <x:c r="AK3637" t="n">
        <x:v>0</x:v>
      </x:c>
      <x:c r="AL3637" t="n">
        <x:v>0</x:v>
      </x:c>
      <x:c r="AM3637" t="n">
        <x:f>CHOOSE('假设'!$B$3,AJ3637,AK3637,AL3637)</x:f>
        <x:v>0</x:v>
      </x:c>
      <x:c r="AN3637" t="n">
        <x:v>1</x:v>
      </x:c>
    </x:row>
    <x:row r="3638" ht="23" customHeight="1">
      <x:c r="A3638" s="11" t="str">
        <x:v>688382.SH</x:v>
      </x:c>
      <x:c r="B3638" s="11" t="str">
        <x:v>五年</x:v>
      </x:c>
      <x:c r="C3638" s="11" t="str">
        <x:v>tyk_global</x:v>
      </x:c>
      <x:c r="D3638" s="11" t="str">
        <x:v>2038-12-31</x:v>
      </x:c>
      <x:c r="E3638" s="11" t="str">
        <x:v>USD</x:v>
      </x:c>
      <x:c r="F3638" s="11" t="n">
        <x:v>7.227926078028747</x:v>
      </x:c>
      <x:c r="G3638" s="26" t="b">
        <x:v>1</x:v>
      </x:c>
      <x:c r="H3638" s="16" t="n">
        <x:v>0.5599999999999999</x:v>
      </x:c>
      <x:c r="I3638" s="16" t="n">
        <x:v>1.74</x:v>
      </x:c>
      <x:c r="J3638" s="16" t="n">
        <x:v>2.44</x:v>
      </x:c>
      <x:c r="K3638" s="11" t="n">
        <x:f>CHOOSE('假设'!$B$3,H3638,I3638,J3638)</x:f>
        <x:v>1.74</x:v>
      </x:c>
      <x:c r="L3638" s="11" t="n">
        <x:f>K3638*'管线假设'!E787*'管线假设'!F787*'管线假设'!G787*IF(E3638="USD",'管线假设'!I787,1)-AM3638</x:f>
        <x:v>0.5603043600000001</x:v>
      </x:c>
      <x:c r="M3638" s="11" t="n">
        <x:f>'管线假设'!H787</x:f>
        <x:v>0.135</x:v>
      </x:c>
      <x:c r="N3638" s="11" t="n">
        <x:f>IF(G3638,L3638*AN3638/(1+M3638)^F3638,0)</x:f>
        <x:v>0.22434581897459627</x:v>
      </x:c>
      <x:c r="AJ3638" t="n">
        <x:v>0</x:v>
      </x:c>
      <x:c r="AK3638" t="n">
        <x:v>0</x:v>
      </x:c>
      <x:c r="AL3638" t="n">
        <x:v>0</x:v>
      </x:c>
      <x:c r="AM3638" t="n">
        <x:f>CHOOSE('假设'!$B$3,AJ3638,AK3638,AL3638)</x:f>
        <x:v>0</x:v>
      </x:c>
      <x:c r="AN3638" t="n">
        <x:v>1</x:v>
      </x:c>
    </x:row>
    <x:row r="3639" ht="23" customHeight="1">
      <x:c r="A3639" s="11" t="str">
        <x:v>688382.SH</x:v>
      </x:c>
      <x:c r="B3639" s="11" t="str">
        <x:v>五年</x:v>
      </x:c>
      <x:c r="C3639" s="11" t="str">
        <x:v>tyk_global</x:v>
      </x:c>
      <x:c r="D3639" s="11" t="str">
        <x:v>2039-12-31</x:v>
      </x:c>
      <x:c r="E3639" s="11" t="str">
        <x:v>USD</x:v>
      </x:c>
      <x:c r="F3639" s="11" t="n">
        <x:v>8.227241615331964</x:v>
      </x:c>
      <x:c r="G3639" s="26" t="b">
        <x:v>1</x:v>
      </x:c>
      <x:c r="H3639" s="16" t="n">
        <x:v>0.7</x:v>
      </x:c>
      <x:c r="I3639" s="16" t="n">
        <x:v>1.48</x:v>
      </x:c>
      <x:c r="J3639" s="16" t="n">
        <x:v>1.92</x:v>
      </x:c>
      <x:c r="K3639" s="11" t="n">
        <x:f>CHOOSE('假设'!$B$3,H3639,I3639,J3639)</x:f>
        <x:v>1.48</x:v>
      </x:c>
      <x:c r="L3639" s="11" t="n">
        <x:f>K3639*'管线假设'!E787*'管线假设'!F787*'管线假设'!G787*IF(E3639="USD",'管线假设'!I787,1)-AM3639</x:f>
        <x:v>0.47658071999999996</x:v>
      </x:c>
      <x:c r="M3639" s="11" t="n">
        <x:f>'管线假设'!H787</x:f>
        <x:v>0.135</x:v>
      </x:c>
      <x:c r="N3639" s="11" t="n">
        <x:f>IF(G3639,L3639*AN3639/(1+M3639)^F3639,0)</x:f>
        <x:v>0.16814045890684387</x:v>
      </x:c>
      <x:c r="AJ3639" t="n">
        <x:v>0</x:v>
      </x:c>
      <x:c r="AK3639" t="n">
        <x:v>0</x:v>
      </x:c>
      <x:c r="AL3639" t="n">
        <x:v>0</x:v>
      </x:c>
      <x:c r="AM3639" t="n">
        <x:f>CHOOSE('假设'!$B$3,AJ3639,AK3639,AL3639)</x:f>
        <x:v>0</x:v>
      </x:c>
      <x:c r="AN3639" t="n">
        <x:v>1</x:v>
      </x:c>
    </x:row>
    <x:row r="3640" ht="23" customHeight="1">
      <x:c r="A3640" s="11" t="str">
        <x:v>688382.SH</x:v>
      </x:c>
      <x:c r="B3640" s="11" t="str">
        <x:v>五年</x:v>
      </x:c>
      <x:c r="C3640" s="11" t="str">
        <x:v>tyk_global</x:v>
      </x:c>
      <x:c r="D3640" s="11" t="str">
        <x:v>2040-12-31</x:v>
      </x:c>
      <x:c r="E3640" s="11" t="str">
        <x:v>USD</x:v>
      </x:c>
      <x:c r="F3640" s="11" t="n">
        <x:v>9.229295003422314</x:v>
      </x:c>
      <x:c r="G3640" s="26" t="b">
        <x:v>1</x:v>
      </x:c>
      <x:c r="H3640" s="16" t="n">
        <x:v>0.609</x:v>
      </x:c>
      <x:c r="I3640" s="16" t="n">
        <x:v>1.22</x:v>
      </x:c>
      <x:c r="J3640" s="16" t="n">
        <x:v>1.4</x:v>
      </x:c>
      <x:c r="K3640" s="11" t="n">
        <x:f>CHOOSE('假设'!$B$3,H3640,I3640,J3640)</x:f>
        <x:v>1.22</x:v>
      </x:c>
      <x:c r="L3640" s="11" t="n">
        <x:f>K3640*'管线假设'!E787*'管线假设'!F787*'管线假设'!G787*IF(E3640="USD",'管线假设'!I787,1)-AM3640</x:f>
        <x:v>0.39285707999999997</x:v>
      </x:c>
      <x:c r="M3640" s="11" t="n">
        <x:f>'管线假设'!H787</x:f>
        <x:v>0.135</x:v>
      </x:c>
      <x:c r="N3640" s="11" t="n">
        <x:f>IF(G3640,L3640*AN3640/(1+M3640)^F3640,0)</x:f>
        <x:v>0.12208478825946828</x:v>
      </x:c>
      <x:c r="AJ3640" t="n">
        <x:v>0</x:v>
      </x:c>
      <x:c r="AK3640" t="n">
        <x:v>0</x:v>
      </x:c>
      <x:c r="AL3640" t="n">
        <x:v>0</x:v>
      </x:c>
      <x:c r="AM3640" t="n">
        <x:f>CHOOSE('假设'!$B$3,AJ3640,AK3640,AL3640)</x:f>
        <x:v>0</x:v>
      </x:c>
      <x:c r="AN3640" t="n">
        <x:v>1</x:v>
      </x:c>
    </x:row>
    <x:row r="3641" ht="23" customHeight="1">
      <x:c r="A3641" s="11" t="str">
        <x:v>688382.SH</x:v>
      </x:c>
      <x:c r="B3641" s="11" t="str">
        <x:v>五年</x:v>
      </x:c>
      <x:c r="C3641" s="11" t="str">
        <x:v>tyk_global</x:v>
      </x:c>
      <x:c r="D3641" s="11" t="str">
        <x:v>2041-12-31</x:v>
      </x:c>
      <x:c r="E3641" s="11" t="str">
        <x:v>USD</x:v>
      </x:c>
      <x:c r="F3641" s="11" t="n">
        <x:v>10.22861054072553</x:v>
      </x:c>
      <x:c r="G3641" s="26" t="b">
        <x:v>1</x:v>
      </x:c>
      <x:c r="H3641" s="16" t="n">
        <x:v>0.518</x:v>
      </x:c>
      <x:c r="I3641" s="16" t="n">
        <x:v>0.96</x:v>
      </x:c>
      <x:c r="J3641" s="16" t="n">
        <x:v>0.8799999999999999</x:v>
      </x:c>
      <x:c r="K3641" s="11" t="n">
        <x:f>CHOOSE('假设'!$B$3,H3641,I3641,J3641)</x:f>
        <x:v>0.96</x:v>
      </x:c>
      <x:c r="L3641" s="11" t="n">
        <x:f>K3641*'管线假设'!E787*'管线假设'!F787*'管线假设'!G787*IF(E3641="USD",'管线假设'!I787,1)-AM3641</x:f>
        <x:v>0.30913344000000004</x:v>
      </x:c>
      <x:c r="M3641" s="11" t="n">
        <x:f>'管线假设'!H787</x:f>
        <x:v>0.135</x:v>
      </x:c>
      <x:c r="N3641" s="11" t="n">
        <x:f>IF(G3641,L3641*AN3641/(1+M3641)^F3641,0)</x:f>
        <x:v>0.0846476172734798</x:v>
      </x:c>
      <x:c r="AJ3641" t="n">
        <x:v>0</x:v>
      </x:c>
      <x:c r="AK3641" t="n">
        <x:v>0</x:v>
      </x:c>
      <x:c r="AL3641" t="n">
        <x:v>0</x:v>
      </x:c>
      <x:c r="AM3641" t="n">
        <x:f>CHOOSE('假设'!$B$3,AJ3641,AK3641,AL3641)</x:f>
        <x:v>0</x:v>
      </x:c>
      <x:c r="AN3641" t="n">
        <x:v>1</x:v>
      </x:c>
    </x:row>
    <x:row r="3642" ht="23" customHeight="1">
      <x:c r="A3642" s="11" t="str">
        <x:v>688382.SH</x:v>
      </x:c>
      <x:c r="B3642" s="11" t="str">
        <x:v>五年</x:v>
      </x:c>
      <x:c r="C3642" s="11" t="str">
        <x:v>tyk_global</x:v>
      </x:c>
      <x:c r="D3642" s="11" t="str">
        <x:v>2042-12-31</x:v>
      </x:c>
      <x:c r="E3642" s="11" t="str">
        <x:v>USD</x:v>
      </x:c>
      <x:c r="F3642" s="11" t="n">
        <x:v>11.227926078028748</x:v>
      </x:c>
      <x:c r="G3642" s="26" t="b">
        <x:v>1</x:v>
      </x:c>
      <x:c r="H3642" s="16" t="n">
        <x:v>0.427</x:v>
      </x:c>
      <x:c r="I3642" s="16" t="n">
        <x:v>0.7</x:v>
      </x:c>
      <x:c r="J3642" s="16" t="n">
        <x:v>0.3599999999999999</x:v>
      </x:c>
      <x:c r="K3642" s="11" t="n">
        <x:f>CHOOSE('假设'!$B$3,H3642,I3642,J3642)</x:f>
        <x:v>0.7</x:v>
      </x:c>
      <x:c r="L3642" s="11" t="n">
        <x:f>K3642*'管线假设'!E787*'管线假设'!F787*'管线假设'!G787*IF(E3642="USD",'管线假设'!I787,1)-AM3642</x:f>
        <x:v>0.22540979999999997</x:v>
      </x:c>
      <x:c r="M3642" s="11" t="n">
        <x:f>'管线假设'!H787</x:f>
        <x:v>0.135</x:v>
      </x:c>
      <x:c r="N3642" s="11" t="n">
        <x:f>IF(G3642,L3642*AN3642/(1+M3642)^F3642,0)</x:f>
        <x:v>0.05438552506963769</x:v>
      </x:c>
      <x:c r="AJ3642" t="n">
        <x:v>0</x:v>
      </x:c>
      <x:c r="AK3642" t="n">
        <x:v>0</x:v>
      </x:c>
      <x:c r="AL3642" t="n">
        <x:v>0</x:v>
      </x:c>
      <x:c r="AM3642" t="n">
        <x:f>CHOOSE('假设'!$B$3,AJ3642,AK3642,AL3642)</x:f>
        <x:v>0</x:v>
      </x:c>
      <x:c r="AN3642" t="n">
        <x:v>1</x:v>
      </x:c>
    </x:row>
    <x:row r="3643" ht="23" customHeight="1">
      <x:c r="A3643" s="11" t="str">
        <x:v>688382.SH</x:v>
      </x:c>
      <x:c r="B3643" s="11" t="str">
        <x:v>五年</x:v>
      </x:c>
      <x:c r="C3643" s="11" t="str">
        <x:v>tyk_global</x:v>
      </x:c>
      <x:c r="D3643" s="11" t="str">
        <x:v>2043-12-31</x:v>
      </x:c>
      <x:c r="E3643" s="11" t="str">
        <x:v>USD</x:v>
      </x:c>
      <x:c r="F3643" s="11" t="n">
        <x:v>12.227241615331964</x:v>
      </x:c>
      <x:c r="G3643" s="26" t="b">
        <x:v>1</x:v>
      </x:c>
      <x:c r="H3643" s="16" t="n">
        <x:v>0.33599999999999997</x:v>
      </x:c>
      <x:c r="I3643" s="16" t="n">
        <x:v>0.43999999999999995</x:v>
      </x:c>
      <x:c r="J3643" s="16" t="n">
        <x:v>0</x:v>
      </x:c>
      <x:c r="K3643" s="11" t="n">
        <x:f>CHOOSE('假设'!$B$3,H3643,I3643,J3643)</x:f>
        <x:v>0.43999999999999995</x:v>
      </x:c>
      <x:c r="L3643" s="11" t="n">
        <x:f>K3643*'管线假设'!E787*'管线假设'!F787*'管线假设'!G787*IF(E3643="USD",'管线假设'!I787,1)-AM3643</x:f>
        <x:v>0.14168615999999998</x:v>
      </x:c>
      <x:c r="M3643" s="11" t="n">
        <x:f>'管线假设'!H787</x:f>
        <x:v>0.135</x:v>
      </x:c>
      <x:c r="N3643" s="11" t="n">
        <x:f>IF(G3643,L3643*AN3643/(1+M3643)^F3643,0)</x:f>
        <x:v>0.03012171835002525</x:v>
      </x:c>
      <x:c r="AJ3643" t="n">
        <x:v>0</x:v>
      </x:c>
      <x:c r="AK3643" t="n">
        <x:v>0</x:v>
      </x:c>
      <x:c r="AL3643" t="n">
        <x:v>0</x:v>
      </x:c>
      <x:c r="AM3643" t="n">
        <x:f>CHOOSE('假设'!$B$3,AJ3643,AK3643,AL3643)</x:f>
        <x:v>0</x:v>
      </x:c>
      <x:c r="AN3643" t="n">
        <x:v>1</x:v>
      </x:c>
    </x:row>
    <x:row r="3644" ht="23" customHeight="1">
      <x:c r="A3644" s="11" t="str">
        <x:v>688382.SH</x:v>
      </x:c>
      <x:c r="B3644" s="11" t="str">
        <x:v>五年</x:v>
      </x:c>
      <x:c r="C3644" s="11" t="str">
        <x:v>tyk_global</x:v>
      </x:c>
      <x:c r="D3644" s="11" t="str">
        <x:v>2044-12-31</x:v>
      </x:c>
      <x:c r="E3644" s="11" t="str">
        <x:v>USD</x:v>
      </x:c>
      <x:c r="F3644" s="11" t="n">
        <x:v>13.229295003422314</x:v>
      </x:c>
      <x:c r="G3644" s="26" t="b">
        <x:v>1</x:v>
      </x:c>
      <x:c r="H3644" s="16" t="n">
        <x:v>0.24499999999999997</x:v>
      </x:c>
      <x:c r="I3644" s="16" t="n">
        <x:v>0.17999999999999994</x:v>
      </x:c>
      <x:c r="J3644" s="16" t="n">
        <x:v>0</x:v>
      </x:c>
      <x:c r="K3644" s="11" t="n">
        <x:f>CHOOSE('假设'!$B$3,H3644,I3644,J3644)</x:f>
        <x:v>0.17999999999999994</x:v>
      </x:c>
      <x:c r="L3644" s="11" t="n">
        <x:f>K3644*'管线假设'!E787*'管线假设'!F787*'管线假设'!G787*IF(E3644="USD",'管线假设'!I787,1)-AM3644</x:f>
        <x:v>0.05796251999999998</x:v>
      </x:c>
      <x:c r="M3644" s="11" t="n">
        <x:f>'管线假设'!H787</x:f>
        <x:v>0.135</x:v>
      </x:c>
      <x:c r="N3644" s="11" t="n">
        <x:f>IF(G3644,L3644*AN3644/(1+M3644)^F3644,0)</x:f>
        <x:v>0.010854024126993591</x:v>
      </x:c>
      <x:c r="AJ3644" t="n">
        <x:v>0</x:v>
      </x:c>
      <x:c r="AK3644" t="n">
        <x:v>0</x:v>
      </x:c>
      <x:c r="AL3644" t="n">
        <x:v>0</x:v>
      </x:c>
      <x:c r="AM3644" t="n">
        <x:f>CHOOSE('假设'!$B$3,AJ3644,AK3644,AL3644)</x:f>
        <x:v>0</x:v>
      </x:c>
      <x:c r="AN3644" t="n">
        <x:v>1</x:v>
      </x:c>
    </x:row>
    <x:row r="3645" ht="23" customHeight="1">
      <x:c r="A3645" s="11" t="str">
        <x:v>688382.SH</x:v>
      </x:c>
      <x:c r="B3645" s="11" t="str">
        <x:v>五年</x:v>
      </x:c>
      <x:c r="C3645" s="11" t="str">
        <x:v>tyk_global</x:v>
      </x:c>
      <x:c r="D3645" s="11" t="str">
        <x:v>2045-12-31</x:v>
      </x:c>
      <x:c r="E3645" s="11" t="str">
        <x:v>USD</x:v>
      </x:c>
      <x:c r="F3645" s="11" t="n">
        <x:v>14.22861054072553</x:v>
      </x:c>
      <x:c r="G3645" s="26" t="b">
        <x:v>1</x:v>
      </x:c>
      <x:c r="H3645" s="16" t="n">
        <x:v>0.15399999999999997</x:v>
      </x:c>
      <x:c r="I3645" s="16" t="n">
        <x:v>0</x:v>
      </x:c>
      <x:c r="J3645" s="16" t="n">
        <x:v>0</x:v>
      </x:c>
      <x:c r="K3645" s="11" t="n">
        <x:f>CHOOSE('假设'!$B$3,H3645,I3645,J3645)</x:f>
        <x:v>0</x:v>
      </x:c>
      <x:c r="L3645" s="11" t="n">
        <x:f>K3645*'管线假设'!E787*'管线假设'!F787*'管线假设'!G787*IF(E3645="USD",'管线假设'!I787,1)-AM3645</x:f>
        <x:v>0</x:v>
      </x:c>
      <x:c r="M3645" s="11" t="n">
        <x:f>'管线假设'!H787</x:f>
        <x:v>0.135</x:v>
      </x:c>
      <x:c r="N3645" s="11" t="n">
        <x:f>IF(G3645,L3645*AN3645/(1+M3645)^F3645,0)</x:f>
        <x:v>0</x:v>
      </x:c>
      <x:c r="AJ3645" t="n">
        <x:v>0</x:v>
      </x:c>
      <x:c r="AK3645" t="n">
        <x:v>0</x:v>
      </x:c>
      <x:c r="AL3645" t="n">
        <x:v>0</x:v>
      </x:c>
      <x:c r="AM3645" t="n">
        <x:f>CHOOSE('假设'!$B$3,AJ3645,AK3645,AL3645)</x:f>
        <x:v>0</x:v>
      </x:c>
      <x:c r="AN3645" t="n">
        <x:v>1</x:v>
      </x:c>
    </x:row>
    <x:row r="3646" ht="23" customHeight="1">
      <x:c r="A3646" s="11" t="str">
        <x:v>688382.SH</x:v>
      </x:c>
      <x:c r="B3646" s="11" t="str">
        <x:v>五年</x:v>
      </x:c>
      <x:c r="C3646" s="11" t="str">
        <x:v>serd_cn</x:v>
      </x:c>
      <x:c r="D3646" s="11" t="str">
        <x:v>2027-12-31</x:v>
      </x:c>
      <x:c r="E3646" s="11" t="str">
        <x:v>CNY</x:v>
      </x:c>
      <x:c r="F3646" s="11" t="n">
        <x:v>-3.7727583846680357</x:v>
      </x:c>
      <x:c r="G3646" s="26" t="b">
        <x:v>0</x:v>
      </x:c>
      <x:c r="H3646" s="16" t="n">
        <x:v>0</x:v>
      </x:c>
      <x:c r="I3646" s="16" t="n">
        <x:v>0</x:v>
      </x:c>
      <x:c r="J3646" s="16" t="n">
        <x:v>0</x:v>
      </x:c>
      <x:c r="K3646" s="11" t="n">
        <x:f>CHOOSE('假设'!$B$3,H3646,I3646,J3646)</x:f>
        <x:v>0</x:v>
      </x:c>
      <x:c r="L3646" s="11" t="n">
        <x:f>K3646*'管线假设'!E791*'管线假设'!F791*'管线假设'!G791*IF(E3646="USD",'管线假设'!I791,1)-AM3646</x:f>
        <x:v>0</x:v>
      </x:c>
      <x:c r="M3646" s="11" t="n">
        <x:f>'管线假设'!H791</x:f>
        <x:v>0.135</x:v>
      </x:c>
      <x:c r="N3646" s="11" t="n">
        <x:f>IF(G3646,L3646*AN3646/(1+M3646)^F3646,0)</x:f>
        <x:v>0</x:v>
      </x:c>
      <x:c r="AJ3646" t="n">
        <x:v>0</x:v>
      </x:c>
      <x:c r="AK3646" t="n">
        <x:v>0</x:v>
      </x:c>
      <x:c r="AL3646" t="n">
        <x:v>0</x:v>
      </x:c>
      <x:c r="AM3646" t="n">
        <x:f>CHOOSE('假设'!$B$3,AJ3646,AK3646,AL3646)</x:f>
        <x:v>0</x:v>
      </x:c>
      <x:c r="AN3646" t="n">
        <x:v>1</x:v>
      </x:c>
    </x:row>
    <x:row r="3647" ht="23" customHeight="1">
      <x:c r="A3647" s="11" t="str">
        <x:v>688382.SH</x:v>
      </x:c>
      <x:c r="B3647" s="11" t="str">
        <x:v>五年</x:v>
      </x:c>
      <x:c r="C3647" s="11" t="str">
        <x:v>serd_cn</x:v>
      </x:c>
      <x:c r="D3647" s="11" t="str">
        <x:v>2028-12-31</x:v>
      </x:c>
      <x:c r="E3647" s="11" t="str">
        <x:v>CNY</x:v>
      </x:c>
      <x:c r="F3647" s="11" t="n">
        <x:v>-2.7707049965776864</x:v>
      </x:c>
      <x:c r="G3647" s="26" t="b">
        <x:v>0</x:v>
      </x:c>
      <x:c r="H3647" s="16" t="n">
        <x:v>0</x:v>
      </x:c>
      <x:c r="I3647" s="16" t="n">
        <x:v>0</x:v>
      </x:c>
      <x:c r="J3647" s="16" t="n">
        <x:v>0.4666666666666666</x:v>
      </x:c>
      <x:c r="K3647" s="11" t="n">
        <x:f>CHOOSE('假设'!$B$3,H3647,I3647,J3647)</x:f>
        <x:v>0</x:v>
      </x:c>
      <x:c r="L3647" s="11" t="n">
        <x:f>K3647*'管线假设'!E791*'管线假设'!F791*'管线假设'!G791*IF(E3647="USD",'管线假设'!I791,1)-AM3647</x:f>
        <x:v>0</x:v>
      </x:c>
      <x:c r="M3647" s="11" t="n">
        <x:f>'管线假设'!H791</x:f>
        <x:v>0.135</x:v>
      </x:c>
      <x:c r="N3647" s="11" t="n">
        <x:f>IF(G3647,L3647*AN3647/(1+M3647)^F3647,0)</x:f>
        <x:v>0</x:v>
      </x:c>
      <x:c r="AJ3647" t="n">
        <x:v>0</x:v>
      </x:c>
      <x:c r="AK3647" t="n">
        <x:v>0</x:v>
      </x:c>
      <x:c r="AL3647" t="n">
        <x:v>0</x:v>
      </x:c>
      <x:c r="AM3647" t="n">
        <x:f>CHOOSE('假设'!$B$3,AJ3647,AK3647,AL3647)</x:f>
        <x:v>0</x:v>
      </x:c>
      <x:c r="AN3647" t="n">
        <x:v>1</x:v>
      </x:c>
    </x:row>
    <x:row r="3648" ht="23" customHeight="1">
      <x:c r="A3648" s="11" t="str">
        <x:v>688382.SH</x:v>
      </x:c>
      <x:c r="B3648" s="11" t="str">
        <x:v>五年</x:v>
      </x:c>
      <x:c r="C3648" s="11" t="str">
        <x:v>serd_cn</x:v>
      </x:c>
      <x:c r="D3648" s="11" t="str">
        <x:v>2029-12-31</x:v>
      </x:c>
      <x:c r="E3648" s="11" t="str">
        <x:v>CNY</x:v>
      </x:c>
      <x:c r="F3648" s="11" t="n">
        <x:v>-1.7713894592744694</x:v>
      </x:c>
      <x:c r="G3648" s="26" t="b">
        <x:v>0</x:v>
      </x:c>
      <x:c r="H3648" s="16" t="n">
        <x:v>0</x:v>
      </x:c>
      <x:c r="I3648" s="16" t="n">
        <x:v>0.25</x:v>
      </x:c>
      <x:c r="J3648" s="16" t="n">
        <x:v>0.9333333333333332</x:v>
      </x:c>
      <x:c r="K3648" s="11" t="n">
        <x:f>CHOOSE('假设'!$B$3,H3648,I3648,J3648)</x:f>
        <x:v>0.25</x:v>
      </x:c>
      <x:c r="L3648" s="11" t="n">
        <x:f>K3648*'管线假设'!E791*'管线假设'!F791*'管线假设'!G791*IF(E3648="USD",'管线假设'!I791,1)-AM3648</x:f>
        <x:v>0.04725000000000001</x:v>
      </x:c>
      <x:c r="M3648" s="11" t="n">
        <x:f>'管线假设'!H791</x:f>
        <x:v>0.135</x:v>
      </x:c>
      <x:c r="N3648" s="11" t="n">
        <x:f>IF(G3648,L3648*AN3648/(1+M3648)^F3648,0)</x:f>
        <x:v>0</x:v>
      </x:c>
      <x:c r="AJ3648" t="n">
        <x:v>0</x:v>
      </x:c>
      <x:c r="AK3648" t="n">
        <x:v>0</x:v>
      </x:c>
      <x:c r="AL3648" t="n">
        <x:v>0</x:v>
      </x:c>
      <x:c r="AM3648" t="n">
        <x:f>CHOOSE('假设'!$B$3,AJ3648,AK3648,AL3648)</x:f>
        <x:v>0</x:v>
      </x:c>
      <x:c r="AN3648" t="n">
        <x:v>1</x:v>
      </x:c>
    </x:row>
    <x:row r="3649" ht="23" customHeight="1">
      <x:c r="A3649" s="11" t="str">
        <x:v>688382.SH</x:v>
      </x:c>
      <x:c r="B3649" s="11" t="str">
        <x:v>五年</x:v>
      </x:c>
      <x:c r="C3649" s="11" t="str">
        <x:v>serd_cn</x:v>
      </x:c>
      <x:c r="D3649" s="11" t="str">
        <x:v>2030-12-31</x:v>
      </x:c>
      <x:c r="E3649" s="11" t="str">
        <x:v>CNY</x:v>
      </x:c>
      <x:c r="F3649" s="11" t="n">
        <x:v>-0.7720739219712526</x:v>
      </x:c>
      <x:c r="G3649" s="26" t="b">
        <x:v>0</x:v>
      </x:c>
      <x:c r="H3649" s="16" t="n">
        <x:v>0</x:v>
      </x:c>
      <x:c r="I3649" s="16" t="n">
        <x:v>0.5</x:v>
      </x:c>
      <x:c r="J3649" s="16" t="n">
        <x:v>1.4</x:v>
      </x:c>
      <x:c r="K3649" s="11" t="n">
        <x:f>CHOOSE('假设'!$B$3,H3649,I3649,J3649)</x:f>
        <x:v>0.5</x:v>
      </x:c>
      <x:c r="L3649" s="11" t="n">
        <x:f>K3649*'管线假设'!E791*'管线假设'!F791*'管线假设'!G791*IF(E3649="USD",'管线假设'!I791,1)-AM3649</x:f>
        <x:v>0.09450000000000001</x:v>
      </x:c>
      <x:c r="M3649" s="11" t="n">
        <x:f>'管线假设'!H791</x:f>
        <x:v>0.135</x:v>
      </x:c>
      <x:c r="N3649" s="11" t="n">
        <x:f>IF(G3649,L3649*AN3649/(1+M3649)^F3649,0)</x:f>
        <x:v>0</x:v>
      </x:c>
      <x:c r="AJ3649" t="n">
        <x:v>0</x:v>
      </x:c>
      <x:c r="AK3649" t="n">
        <x:v>0</x:v>
      </x:c>
      <x:c r="AL3649" t="n">
        <x:v>0</x:v>
      </x:c>
      <x:c r="AM3649" t="n">
        <x:f>CHOOSE('假设'!$B$3,AJ3649,AK3649,AL3649)</x:f>
        <x:v>0</x:v>
      </x:c>
      <x:c r="AN3649" t="n">
        <x:v>1</x:v>
      </x:c>
    </x:row>
    <x:row r="3650" ht="23" customHeight="1">
      <x:c r="A3650" s="11" t="str">
        <x:v>688382.SH</x:v>
      </x:c>
      <x:c r="B3650" s="11" t="str">
        <x:v>五年</x:v>
      </x:c>
      <x:c r="C3650" s="11" t="str">
        <x:v>serd_cn</x:v>
      </x:c>
      <x:c r="D3650" s="11" t="str">
        <x:v>2031-12-31</x:v>
      </x:c>
      <x:c r="E3650" s="11" t="str">
        <x:v>CNY</x:v>
      </x:c>
      <x:c r="F3650" s="11" t="n">
        <x:v>0.2272416153319644</x:v>
      </x:c>
      <x:c r="G3650" s="26" t="b">
        <x:v>1</x:v>
      </x:c>
      <x:c r="H3650" s="16" t="n">
        <x:v>0.12</x:v>
      </x:c>
      <x:c r="I3650" s="16" t="n">
        <x:v>0.75</x:v>
      </x:c>
      <x:c r="J3650" s="16" t="n">
        <x:v>1.8666666666666665</x:v>
      </x:c>
      <x:c r="K3650" s="11" t="n">
        <x:f>CHOOSE('假设'!$B$3,H3650,I3650,J3650)</x:f>
        <x:v>0.75</x:v>
      </x:c>
      <x:c r="L3650" s="11" t="n">
        <x:f>K3650*'管线假设'!E791*'管线假设'!F791*'管线假设'!G791*IF(E3650="USD",'管线假设'!I791,1)-AM3650</x:f>
        <x:v>0.14175000000000004</x:v>
      </x:c>
      <x:c r="M3650" s="11" t="n">
        <x:f>'管线假设'!H791</x:f>
        <x:v>0.135</x:v>
      </x:c>
      <x:c r="N3650" s="11" t="n">
        <x:f>IF(G3650,L3650*AN3650/(1+M3650)^F3650,0)</x:f>
        <x:v>0.13772910303998062</x:v>
      </x:c>
      <x:c r="AJ3650" t="n">
        <x:v>0</x:v>
      </x:c>
      <x:c r="AK3650" t="n">
        <x:v>0</x:v>
      </x:c>
      <x:c r="AL3650" t="n">
        <x:v>0</x:v>
      </x:c>
      <x:c r="AM3650" t="n">
        <x:f>CHOOSE('假设'!$B$3,AJ3650,AK3650,AL3650)</x:f>
        <x:v>0</x:v>
      </x:c>
      <x:c r="AN3650" t="n">
        <x:v>1</x:v>
      </x:c>
    </x:row>
    <x:row r="3651" ht="23" customHeight="1">
      <x:c r="A3651" s="11" t="str">
        <x:v>688382.SH</x:v>
      </x:c>
      <x:c r="B3651" s="11" t="str">
        <x:v>五年</x:v>
      </x:c>
      <x:c r="C3651" s="11" t="str">
        <x:v>serd_cn</x:v>
      </x:c>
      <x:c r="D3651" s="11" t="str">
        <x:v>2032-12-31</x:v>
      </x:c>
      <x:c r="E3651" s="11" t="str">
        <x:v>CNY</x:v>
      </x:c>
      <x:c r="F3651" s="11" t="n">
        <x:v>1.2292950034223136</x:v>
      </x:c>
      <x:c r="G3651" s="26" t="b">
        <x:v>1</x:v>
      </x:c>
      <x:c r="H3651" s="16" t="n">
        <x:v>0.24</x:v>
      </x:c>
      <x:c r="I3651" s="16" t="n">
        <x:v>1</x:v>
      </x:c>
      <x:c r="J3651" s="16" t="n">
        <x:v>2.3333333333333335</x:v>
      </x:c>
      <x:c r="K3651" s="11" t="n">
        <x:f>CHOOSE('假设'!$B$3,H3651,I3651,J3651)</x:f>
        <x:v>1</x:v>
      </x:c>
      <x:c r="L3651" s="11" t="n">
        <x:f>K3651*'管线假设'!E791*'管线假设'!F791*'管线假设'!G791*IF(E3651="USD",'管线假设'!I791,1)-AM3651</x:f>
        <x:v>0.18900000000000003</x:v>
      </x:c>
      <x:c r="M3651" s="11" t="n">
        <x:f>'管线假设'!H791</x:f>
        <x:v>0.135</x:v>
      </x:c>
      <x:c r="N3651" s="11" t="n">
        <x:f>IF(G3651,L3651*AN3651/(1+M3651)^F3651,0)</x:f>
        <x:v>0.16175423735816002</x:v>
      </x:c>
      <x:c r="AJ3651" t="n">
        <x:v>0</x:v>
      </x:c>
      <x:c r="AK3651" t="n">
        <x:v>0</x:v>
      </x:c>
      <x:c r="AL3651" t="n">
        <x:v>0</x:v>
      </x:c>
      <x:c r="AM3651" t="n">
        <x:f>CHOOSE('假设'!$B$3,AJ3651,AK3651,AL3651)</x:f>
        <x:v>0</x:v>
      </x:c>
      <x:c r="AN3651" t="n">
        <x:v>1</x:v>
      </x:c>
    </x:row>
    <x:row r="3652" ht="23" customHeight="1">
      <x:c r="A3652" s="11" t="str">
        <x:v>688382.SH</x:v>
      </x:c>
      <x:c r="B3652" s="11" t="str">
        <x:v>五年</x:v>
      </x:c>
      <x:c r="C3652" s="11" t="str">
        <x:v>serd_cn</x:v>
      </x:c>
      <x:c r="D3652" s="11" t="str">
        <x:v>2033-12-31</x:v>
      </x:c>
      <x:c r="E3652" s="11" t="str">
        <x:v>CNY</x:v>
      </x:c>
      <x:c r="F3652" s="11" t="n">
        <x:v>2.2286105407255303</x:v>
      </x:c>
      <x:c r="G3652" s="26" t="b">
        <x:v>1</x:v>
      </x:c>
      <x:c r="H3652" s="16" t="n">
        <x:v>0.36</x:v>
      </x:c>
      <x:c r="I3652" s="16" t="n">
        <x:v>1.25</x:v>
      </x:c>
      <x:c r="J3652" s="16" t="n">
        <x:v>2.8</x:v>
      </x:c>
      <x:c r="K3652" s="11" t="n">
        <x:f>CHOOSE('假设'!$B$3,H3652,I3652,J3652)</x:f>
        <x:v>1.25</x:v>
      </x:c>
      <x:c r="L3652" s="11" t="n">
        <x:f>K3652*'管线假设'!E791*'管线假设'!F791*'管线假设'!G791*IF(E3652="USD",'管线假设'!I791,1)-AM3652</x:f>
        <x:v>0.23625000000000002</x:v>
      </x:c>
      <x:c r="M3652" s="11" t="n">
        <x:f>'管线假设'!H791</x:f>
        <x:v>0.135</x:v>
      </x:c>
      <x:c r="N3652" s="11" t="n">
        <x:f>IF(G3652,L3652*AN3652/(1+M3652)^F3652,0)</x:f>
        <x:v>0.17815887452311874</x:v>
      </x:c>
      <x:c r="AJ3652" t="n">
        <x:v>0</x:v>
      </x:c>
      <x:c r="AK3652" t="n">
        <x:v>0</x:v>
      </x:c>
      <x:c r="AL3652" t="n">
        <x:v>0</x:v>
      </x:c>
      <x:c r="AM3652" t="n">
        <x:f>CHOOSE('假设'!$B$3,AJ3652,AK3652,AL3652)</x:f>
        <x:v>0</x:v>
      </x:c>
      <x:c r="AN3652" t="n">
        <x:v>1</x:v>
      </x:c>
    </x:row>
    <x:row r="3653" ht="23" customHeight="1">
      <x:c r="A3653" s="11" t="str">
        <x:v>688382.SH</x:v>
      </x:c>
      <x:c r="B3653" s="11" t="str">
        <x:v>五年</x:v>
      </x:c>
      <x:c r="C3653" s="11" t="str">
        <x:v>serd_cn</x:v>
      </x:c>
      <x:c r="D3653" s="11" t="str">
        <x:v>2034-12-31</x:v>
      </x:c>
      <x:c r="E3653" s="11" t="str">
        <x:v>CNY</x:v>
      </x:c>
      <x:c r="F3653" s="11" t="n">
        <x:v>3.2279260780287475</x:v>
      </x:c>
      <x:c r="G3653" s="26" t="b">
        <x:v>1</x:v>
      </x:c>
      <x:c r="H3653" s="16" t="n">
        <x:v>0.48</x:v>
      </x:c>
      <x:c r="I3653" s="16" t="n">
        <x:v>1.5</x:v>
      </x:c>
      <x:c r="J3653" s="16" t="n">
        <x:v>2.436</x:v>
      </x:c>
      <x:c r="K3653" s="11" t="n">
        <x:f>CHOOSE('假设'!$B$3,H3653,I3653,J3653)</x:f>
        <x:v>1.5</x:v>
      </x:c>
      <x:c r="L3653" s="11" t="n">
        <x:f>K3653*'管线假设'!E791*'管线假设'!F791*'管线假设'!G791*IF(E3653="USD",'管线假设'!I791,1)-AM3653</x:f>
        <x:v>0.2835000000000001</x:v>
      </x:c>
      <x:c r="M3653" s="11" t="n">
        <x:f>'管线假设'!H791</x:f>
        <x:v>0.135</x:v>
      </x:c>
      <x:c r="N3653" s="11" t="n">
        <x:f>IF(G3653,L3653*AN3653/(1+M3653)^F3653,0)</x:f>
        <x:v>0.18837813269164067</x:v>
      </x:c>
      <x:c r="AJ3653" t="n">
        <x:v>0</x:v>
      </x:c>
      <x:c r="AK3653" t="n">
        <x:v>0</x:v>
      </x:c>
      <x:c r="AL3653" t="n">
        <x:v>0</x:v>
      </x:c>
      <x:c r="AM3653" t="n">
        <x:f>CHOOSE('假设'!$B$3,AJ3653,AK3653,AL3653)</x:f>
        <x:v>0</x:v>
      </x:c>
      <x:c r="AN3653" t="n">
        <x:v>1</x:v>
      </x:c>
    </x:row>
    <x:row r="3654" ht="23" customHeight="1">
      <x:c r="A3654" s="11" t="str">
        <x:v>688382.SH</x:v>
      </x:c>
      <x:c r="B3654" s="11" t="str">
        <x:v>五年</x:v>
      </x:c>
      <x:c r="C3654" s="11" t="str">
        <x:v>serd_cn</x:v>
      </x:c>
      <x:c r="D3654" s="11" t="str">
        <x:v>2035-12-31</x:v>
      </x:c>
      <x:c r="E3654" s="11" t="str">
        <x:v>CNY</x:v>
      </x:c>
      <x:c r="F3654" s="11" t="n">
        <x:v>4.227241615331964</x:v>
      </x:c>
      <x:c r="G3654" s="26" t="b">
        <x:v>1</x:v>
      </x:c>
      <x:c r="H3654" s="16" t="n">
        <x:v>0.6</x:v>
      </x:c>
      <x:c r="I3654" s="16" t="n">
        <x:v>1.305</x:v>
      </x:c>
      <x:c r="J3654" s="16" t="n">
        <x:v>2.072</x:v>
      </x:c>
      <x:c r="K3654" s="11" t="n">
        <x:f>CHOOSE('假设'!$B$3,H3654,I3654,J3654)</x:f>
        <x:v>1.305</x:v>
      </x:c>
      <x:c r="L3654" s="11" t="n">
        <x:f>K3654*'管线假设'!E791*'管线假设'!F791*'管线假设'!G791*IF(E3654="USD",'管线假设'!I791,1)-AM3654</x:f>
        <x:v>0.246645</x:v>
      </x:c>
      <x:c r="M3654" s="11" t="n">
        <x:f>'管线假设'!H791</x:f>
        <x:v>0.135</x:v>
      </x:c>
      <x:c r="N3654" s="11" t="n">
        <x:f>IF(G3654,L3654*AN3654/(1+M3654)^F3654,0)</x:f>
        <x:v>0.1444080891521559</x:v>
      </x:c>
      <x:c r="AJ3654" t="n">
        <x:v>0</x:v>
      </x:c>
      <x:c r="AK3654" t="n">
        <x:v>0</x:v>
      </x:c>
      <x:c r="AL3654" t="n">
        <x:v>0</x:v>
      </x:c>
      <x:c r="AM3654" t="n">
        <x:f>CHOOSE('假设'!$B$3,AJ3654,AK3654,AL3654)</x:f>
        <x:v>0</x:v>
      </x:c>
      <x:c r="AN3654" t="n">
        <x:v>1</x:v>
      </x:c>
    </x:row>
    <x:row r="3655" ht="23" customHeight="1">
      <x:c r="A3655" s="11" t="str">
        <x:v>688382.SH</x:v>
      </x:c>
      <x:c r="B3655" s="11" t="str">
        <x:v>五年</x:v>
      </x:c>
      <x:c r="C3655" s="11" t="str">
        <x:v>serd_cn</x:v>
      </x:c>
      <x:c r="D3655" s="11" t="str">
        <x:v>2036-12-31</x:v>
      </x:c>
      <x:c r="E3655" s="11" t="str">
        <x:v>CNY</x:v>
      </x:c>
      <x:c r="F3655" s="11" t="n">
        <x:v>5.229295003422314</x:v>
      </x:c>
      <x:c r="G3655" s="26" t="b">
        <x:v>1</x:v>
      </x:c>
      <x:c r="H3655" s="16" t="n">
        <x:v>0.522</x:v>
      </x:c>
      <x:c r="I3655" s="16" t="n">
        <x:v>1.1099999999999999</x:v>
      </x:c>
      <x:c r="J3655" s="16" t="n">
        <x:v>1.708</x:v>
      </x:c>
      <x:c r="K3655" s="11" t="n">
        <x:f>CHOOSE('假设'!$B$3,H3655,I3655,J3655)</x:f>
        <x:v>1.1099999999999999</x:v>
      </x:c>
      <x:c r="L3655" s="11" t="n">
        <x:f>K3655*'管线假设'!E791*'管线假设'!F791*'管线假设'!G791*IF(E3655="USD",'管线假设'!I791,1)-AM3655</x:f>
        <x:v>0.20979</x:v>
      </x:c>
      <x:c r="M3655" s="11" t="n">
        <x:f>'管线假设'!H791</x:f>
        <x:v>0.135</x:v>
      </x:c>
      <x:c r="N3655" s="11" t="n">
        <x:f>IF(G3655,L3655*AN3655/(1+M3655)^F3655,0)</x:f>
        <x:v>0.10819201244883589</x:v>
      </x:c>
      <x:c r="AJ3655" t="n">
        <x:v>0</x:v>
      </x:c>
      <x:c r="AK3655" t="n">
        <x:v>0</x:v>
      </x:c>
      <x:c r="AL3655" t="n">
        <x:v>0</x:v>
      </x:c>
      <x:c r="AM3655" t="n">
        <x:f>CHOOSE('假设'!$B$3,AJ3655,AK3655,AL3655)</x:f>
        <x:v>0</x:v>
      </x:c>
      <x:c r="AN3655" t="n">
        <x:v>1</x:v>
      </x:c>
    </x:row>
    <x:row r="3656" ht="23" customHeight="1">
      <x:c r="A3656" s="11" t="str">
        <x:v>688382.SH</x:v>
      </x:c>
      <x:c r="B3656" s="11" t="str">
        <x:v>五年</x:v>
      </x:c>
      <x:c r="C3656" s="11" t="str">
        <x:v>serd_cn</x:v>
      </x:c>
      <x:c r="D3656" s="11" t="str">
        <x:v>2037-12-31</x:v>
      </x:c>
      <x:c r="E3656" s="11" t="str">
        <x:v>CNY</x:v>
      </x:c>
      <x:c r="F3656" s="11" t="n">
        <x:v>6.228610540725531</x:v>
      </x:c>
      <x:c r="G3656" s="26" t="b">
        <x:v>1</x:v>
      </x:c>
      <x:c r="H3656" s="16" t="n">
        <x:v>0.444</x:v>
      </x:c>
      <x:c r="I3656" s="16" t="n">
        <x:v>0.915</x:v>
      </x:c>
      <x:c r="J3656" s="16" t="n">
        <x:v>1.3439999999999999</x:v>
      </x:c>
      <x:c r="K3656" s="11" t="n">
        <x:f>CHOOSE('假设'!$B$3,H3656,I3656,J3656)</x:f>
        <x:v>0.915</x:v>
      </x:c>
      <x:c r="L3656" s="11" t="n">
        <x:f>K3656*'管线假设'!E791*'管线假设'!F791*'管线假设'!G791*IF(E3656="USD",'管线假设'!I791,1)-AM3656</x:f>
        <x:v>0.17293500000000003</x:v>
      </x:c>
      <x:c r="M3656" s="11" t="n">
        <x:f>'管线假设'!H791</x:f>
        <x:v>0.135</x:v>
      </x:c>
      <x:c r="N3656" s="11" t="n">
        <x:f>IF(G3656,L3656*AN3656/(1+M3656)^F3656,0)</x:f>
        <x:v>0.07858417450200715</x:v>
      </x:c>
      <x:c r="AJ3656" t="n">
        <x:v>0</x:v>
      </x:c>
      <x:c r="AK3656" t="n">
        <x:v>0</x:v>
      </x:c>
      <x:c r="AL3656" t="n">
        <x:v>0</x:v>
      </x:c>
      <x:c r="AM3656" t="n">
        <x:f>CHOOSE('假设'!$B$3,AJ3656,AK3656,AL3656)</x:f>
        <x:v>0</x:v>
      </x:c>
      <x:c r="AN3656" t="n">
        <x:v>1</x:v>
      </x:c>
    </x:row>
    <x:row r="3657" ht="23" customHeight="1">
      <x:c r="A3657" s="11" t="str">
        <x:v>688382.SH</x:v>
      </x:c>
      <x:c r="B3657" s="11" t="str">
        <x:v>五年</x:v>
      </x:c>
      <x:c r="C3657" s="11" t="str">
        <x:v>serd_cn</x:v>
      </x:c>
      <x:c r="D3657" s="11" t="str">
        <x:v>2038-12-31</x:v>
      </x:c>
      <x:c r="E3657" s="11" t="str">
        <x:v>CNY</x:v>
      </x:c>
      <x:c r="F3657" s="11" t="n">
        <x:v>7.227926078028747</x:v>
      </x:c>
      <x:c r="G3657" s="26" t="b">
        <x:v>1</x:v>
      </x:c>
      <x:c r="H3657" s="16" t="n">
        <x:v>0.366</x:v>
      </x:c>
      <x:c r="I3657" s="16" t="n">
        <x:v>0.72</x:v>
      </x:c>
      <x:c r="J3657" s="16" t="n">
        <x:v>0.9799999999999999</x:v>
      </x:c>
      <x:c r="K3657" s="11" t="n">
        <x:f>CHOOSE('假设'!$B$3,H3657,I3657,J3657)</x:f>
        <x:v>0.72</x:v>
      </x:c>
      <x:c r="L3657" s="11" t="n">
        <x:f>K3657*'管线假设'!E791*'管线假设'!F791*'管线假设'!G791*IF(E3657="USD",'管线假设'!I791,1)-AM3657</x:f>
        <x:v>0.13608</x:v>
      </x:c>
      <x:c r="M3657" s="11" t="n">
        <x:f>'管线假设'!H791</x:f>
        <x:v>0.135</x:v>
      </x:c>
      <x:c r="N3657" s="11" t="n">
        <x:f>IF(G3657,L3657*AN3657/(1+M3657)^F3657,0)</x:f>
        <x:v>0.05448642064120839</x:v>
      </x:c>
      <x:c r="AJ3657" t="n">
        <x:v>0</x:v>
      </x:c>
      <x:c r="AK3657" t="n">
        <x:v>0</x:v>
      </x:c>
      <x:c r="AL3657" t="n">
        <x:v>0</x:v>
      </x:c>
      <x:c r="AM3657" t="n">
        <x:f>CHOOSE('假设'!$B$3,AJ3657,AK3657,AL3657)</x:f>
        <x:v>0</x:v>
      </x:c>
      <x:c r="AN3657" t="n">
        <x:v>1</x:v>
      </x:c>
    </x:row>
    <x:row r="3658" ht="23" customHeight="1">
      <x:c r="A3658" s="11" t="str">
        <x:v>688382.SH</x:v>
      </x:c>
      <x:c r="B3658" s="11" t="str">
        <x:v>五年</x:v>
      </x:c>
      <x:c r="C3658" s="11" t="str">
        <x:v>serd_cn</x:v>
      </x:c>
      <x:c r="D3658" s="11" t="str">
        <x:v>2039-12-31</x:v>
      </x:c>
      <x:c r="E3658" s="11" t="str">
        <x:v>CNY</x:v>
      </x:c>
      <x:c r="F3658" s="11" t="n">
        <x:v>8.227241615331964</x:v>
      </x:c>
      <x:c r="G3658" s="26" t="b">
        <x:v>1</x:v>
      </x:c>
      <x:c r="H3658" s="16" t="n">
        <x:v>0.288</x:v>
      </x:c>
      <x:c r="I3658" s="16" t="n">
        <x:v>0.5249999999999999</x:v>
      </x:c>
      <x:c r="J3658" s="16" t="n">
        <x:v>0.6159999999999999</x:v>
      </x:c>
      <x:c r="K3658" s="11" t="n">
        <x:f>CHOOSE('假设'!$B$3,H3658,I3658,J3658)</x:f>
        <x:v>0.5249999999999999</x:v>
      </x:c>
      <x:c r="L3658" s="11" t="n">
        <x:f>K3658*'管线假设'!E791*'管线假设'!F791*'管线假设'!G791*IF(E3658="USD",'管线假设'!I791,1)-AM3658</x:f>
        <x:v>0.099225</x:v>
      </x:c>
      <x:c r="M3658" s="11" t="n">
        <x:f>'管线假设'!H791</x:f>
        <x:v>0.135</x:v>
      </x:c>
      <x:c r="N3658" s="11" t="n">
        <x:f>IF(G3658,L3658*AN3658/(1+M3658)^F3658,0)</x:f>
        <x:v>0.03500715898669082</x:v>
      </x:c>
      <x:c r="AJ3658" t="n">
        <x:v>0</x:v>
      </x:c>
      <x:c r="AK3658" t="n">
        <x:v>0</x:v>
      </x:c>
      <x:c r="AL3658" t="n">
        <x:v>0</x:v>
      </x:c>
      <x:c r="AM3658" t="n">
        <x:f>CHOOSE('假设'!$B$3,AJ3658,AK3658,AL3658)</x:f>
        <x:v>0</x:v>
      </x:c>
      <x:c r="AN3658" t="n">
        <x:v>1</x:v>
      </x:c>
    </x:row>
    <x:row r="3659" ht="23" customHeight="1">
      <x:c r="A3659" s="11" t="str">
        <x:v>688382.SH</x:v>
      </x:c>
      <x:c r="B3659" s="11" t="str">
        <x:v>五年</x:v>
      </x:c>
      <x:c r="C3659" s="11" t="str">
        <x:v>serd_cn</x:v>
      </x:c>
      <x:c r="D3659" s="11" t="str">
        <x:v>2040-12-31</x:v>
      </x:c>
      <x:c r="E3659" s="11" t="str">
        <x:v>CNY</x:v>
      </x:c>
      <x:c r="F3659" s="11" t="n">
        <x:v>9.229295003422314</x:v>
      </x:c>
      <x:c r="G3659" s="26" t="b">
        <x:v>1</x:v>
      </x:c>
      <x:c r="H3659" s="16" t="n">
        <x:v>0.21</x:v>
      </x:c>
      <x:c r="I3659" s="16" t="n">
        <x:v>0.32999999999999996</x:v>
      </x:c>
      <x:c r="J3659" s="16" t="n">
        <x:v>0.2519999999999999</x:v>
      </x:c>
      <x:c r="K3659" s="11" t="n">
        <x:f>CHOOSE('假设'!$B$3,H3659,I3659,J3659)</x:f>
        <x:v>0.32999999999999996</x:v>
      </x:c>
      <x:c r="L3659" s="11" t="n">
        <x:f>K3659*'管线假设'!E791*'管线假设'!F791*'管线假设'!G791*IF(E3659="USD",'管线假设'!I791,1)-AM3659</x:f>
        <x:v>0.06237</x:v>
      </x:c>
      <x:c r="M3659" s="11" t="n">
        <x:f>'管线假设'!H791</x:f>
        <x:v>0.135</x:v>
      </x:c>
      <x:c r="N3659" s="11" t="n">
        <x:f>IF(G3659,L3659*AN3659/(1+M3659)^F3659,0)</x:f>
        <x:v>0.019382184085222638</x:v>
      </x:c>
      <x:c r="AJ3659" t="n">
        <x:v>0</x:v>
      </x:c>
      <x:c r="AK3659" t="n">
        <x:v>0</x:v>
      </x:c>
      <x:c r="AL3659" t="n">
        <x:v>0</x:v>
      </x:c>
      <x:c r="AM3659" t="n">
        <x:f>CHOOSE('假设'!$B$3,AJ3659,AK3659,AL3659)</x:f>
        <x:v>0</x:v>
      </x:c>
      <x:c r="AN3659" t="n">
        <x:v>1</x:v>
      </x:c>
    </x:row>
    <x:row r="3660" ht="23" customHeight="1">
      <x:c r="A3660" s="11" t="str">
        <x:v>688382.SH</x:v>
      </x:c>
      <x:c r="B3660" s="11" t="str">
        <x:v>五年</x:v>
      </x:c>
      <x:c r="C3660" s="11" t="str">
        <x:v>serd_cn</x:v>
      </x:c>
      <x:c r="D3660" s="11" t="str">
        <x:v>2041-12-31</x:v>
      </x:c>
      <x:c r="E3660" s="11" t="str">
        <x:v>CNY</x:v>
      </x:c>
      <x:c r="F3660" s="11" t="n">
        <x:v>10.22861054072553</x:v>
      </x:c>
      <x:c r="G3660" s="26" t="b">
        <x:v>1</x:v>
      </x:c>
      <x:c r="H3660" s="16" t="n">
        <x:v>0.13199999999999998</x:v>
      </x:c>
      <x:c r="I3660" s="16" t="n">
        <x:v>0.13499999999999995</x:v>
      </x:c>
      <x:c r="J3660" s="16" t="n">
        <x:v>0</x:v>
      </x:c>
      <x:c r="K3660" s="11" t="n">
        <x:f>CHOOSE('假设'!$B$3,H3660,I3660,J3660)</x:f>
        <x:v>0.13499999999999995</x:v>
      </x:c>
      <x:c r="L3660" s="11" t="n">
        <x:f>K3660*'管线假设'!E791*'管线假设'!F791*'管线假设'!G791*IF(E3660="USD",'管线假设'!I791,1)-AM3660</x:f>
        <x:v>0.025514999999999993</x:v>
      </x:c>
      <x:c r="M3660" s="11" t="n">
        <x:f>'管线假设'!H791</x:f>
        <x:v>0.135</x:v>
      </x:c>
      <x:c r="N3660" s="11" t="n">
        <x:f>IF(G3660,L3660*AN3660/(1+M3660)^F3660,0)</x:f>
        <x:v>0.006986574971419579</x:v>
      </x:c>
      <x:c r="AJ3660" t="n">
        <x:v>0</x:v>
      </x:c>
      <x:c r="AK3660" t="n">
        <x:v>0</x:v>
      </x:c>
      <x:c r="AL3660" t="n">
        <x:v>0</x:v>
      </x:c>
      <x:c r="AM3660" t="n">
        <x:f>CHOOSE('假设'!$B$3,AJ3660,AK3660,AL3660)</x:f>
        <x:v>0</x:v>
      </x:c>
      <x:c r="AN3660" t="n">
        <x:v>1</x:v>
      </x:c>
    </x:row>
    <x:row r="3661" ht="23" customHeight="1">
      <x:c r="A3661" s="11" t="str">
        <x:v>688382.SH</x:v>
      </x:c>
      <x:c r="B3661" s="11" t="str">
        <x:v>五年</x:v>
      </x:c>
      <x:c r="C3661" s="11" t="str">
        <x:v>serd_cn</x:v>
      </x:c>
      <x:c r="D3661" s="11" t="str">
        <x:v>2042-12-31</x:v>
      </x:c>
      <x:c r="E3661" s="11" t="str">
        <x:v>CNY</x:v>
      </x:c>
      <x:c r="F3661" s="11" t="n">
        <x:v>11.227926078028748</x:v>
      </x:c>
      <x:c r="G3661" s="26" t="b">
        <x:v>1</x:v>
      </x:c>
      <x:c r="H3661" s="16" t="n">
        <x:v>0.05399999999999998</x:v>
      </x:c>
      <x:c r="I3661" s="16" t="n">
        <x:v>0</x:v>
      </x:c>
      <x:c r="J3661" s="16" t="n">
        <x:v>0</x:v>
      </x:c>
      <x:c r="K3661" s="11" t="n">
        <x:f>CHOOSE('假设'!$B$3,H3661,I3661,J3661)</x:f>
        <x:v>0</x:v>
      </x:c>
      <x:c r="L3661" s="11" t="n">
        <x:f>K3661*'管线假设'!E791*'管线假设'!F791*'管线假设'!G791*IF(E3661="USD",'管线假设'!I791,1)-AM3661</x:f>
        <x:v>0</x:v>
      </x:c>
      <x:c r="M3661" s="11" t="n">
        <x:f>'管线假设'!H791</x:f>
        <x:v>0.135</x:v>
      </x:c>
      <x:c r="N3661" s="11" t="n">
        <x:f>IF(G3661,L3661*AN3661/(1+M3661)^F3661,0)</x:f>
        <x:v>0</x:v>
      </x:c>
      <x:c r="AJ3661" t="n">
        <x:v>0</x:v>
      </x:c>
      <x:c r="AK3661" t="n">
        <x:v>0</x:v>
      </x:c>
      <x:c r="AL3661" t="n">
        <x:v>0</x:v>
      </x:c>
      <x:c r="AM3661" t="n">
        <x:f>CHOOSE('假设'!$B$3,AJ3661,AK3661,AL3661)</x:f>
        <x:v>0</x:v>
      </x:c>
      <x:c r="AN3661" t="n">
        <x:v>1</x:v>
      </x:c>
    </x:row>
    <x:row r="3662" ht="23" customHeight="1">
      <x:c r="A3662" s="11" t="str">
        <x:v>688382.SH</x:v>
      </x:c>
      <x:c r="B3662" s="11" t="str">
        <x:v>五年</x:v>
      </x:c>
      <x:c r="C3662" s="11" t="str">
        <x:v>serd_cn</x:v>
      </x:c>
      <x:c r="D3662" s="11" t="str">
        <x:v>2043-12-31</x:v>
      </x:c>
      <x:c r="E3662" s="11" t="str">
        <x:v>CNY</x:v>
      </x:c>
      <x:c r="F3662" s="11" t="n">
        <x:v>12.227241615331964</x:v>
      </x:c>
      <x:c r="G3662" s="26" t="b">
        <x:v>1</x:v>
      </x:c>
      <x:c r="H3662" s="16" t="n">
        <x:v>0</x:v>
      </x:c>
      <x:c r="I3662" s="16" t="n">
        <x:v>0</x:v>
      </x:c>
      <x:c r="J3662" s="16" t="n">
        <x:v>0</x:v>
      </x:c>
      <x:c r="K3662" s="11" t="n">
        <x:f>CHOOSE('假设'!$B$3,H3662,I3662,J3662)</x:f>
        <x:v>0</x:v>
      </x:c>
      <x:c r="L3662" s="11" t="n">
        <x:f>K3662*'管线假设'!E791*'管线假设'!F791*'管线假设'!G791*IF(E3662="USD",'管线假设'!I791,1)-AM3662</x:f>
        <x:v>0</x:v>
      </x:c>
      <x:c r="M3662" s="11" t="n">
        <x:f>'管线假设'!H791</x:f>
        <x:v>0.135</x:v>
      </x:c>
      <x:c r="N3662" s="11" t="n">
        <x:f>IF(G3662,L3662*AN3662/(1+M3662)^F3662,0)</x:f>
        <x:v>0</x:v>
      </x:c>
      <x:c r="AJ3662" t="n">
        <x:v>0</x:v>
      </x:c>
      <x:c r="AK3662" t="n">
        <x:v>0</x:v>
      </x:c>
      <x:c r="AL3662" t="n">
        <x:v>0</x:v>
      </x:c>
      <x:c r="AM3662" t="n">
        <x:f>CHOOSE('假设'!$B$3,AJ3662,AK3662,AL3662)</x:f>
        <x:v>0</x:v>
      </x:c>
      <x:c r="AN3662" t="n">
        <x:v>1</x:v>
      </x:c>
    </x:row>
    <x:row r="3663" ht="23" customHeight="1">
      <x:c r="A3663" s="11" t="str">
        <x:v>688382.SH</x:v>
      </x:c>
      <x:c r="B3663" s="11" t="str">
        <x:v>五年</x:v>
      </x:c>
      <x:c r="C3663" s="11" t="str">
        <x:v>serd_cn</x:v>
      </x:c>
      <x:c r="D3663" s="11" t="str">
        <x:v>2044-12-31</x:v>
      </x:c>
      <x:c r="E3663" s="11" t="str">
        <x:v>CNY</x:v>
      </x:c>
      <x:c r="F3663" s="11" t="n">
        <x:v>13.229295003422314</x:v>
      </x:c>
      <x:c r="G3663" s="26" t="b">
        <x:v>1</x:v>
      </x:c>
      <x:c r="H3663" s="16" t="n">
        <x:v>0</x:v>
      </x:c>
      <x:c r="I3663" s="16" t="n">
        <x:v>0</x:v>
      </x:c>
      <x:c r="J3663" s="16" t="n">
        <x:v>0</x:v>
      </x:c>
      <x:c r="K3663" s="11" t="n">
        <x:f>CHOOSE('假设'!$B$3,H3663,I3663,J3663)</x:f>
        <x:v>0</x:v>
      </x:c>
      <x:c r="L3663" s="11" t="n">
        <x:f>K3663*'管线假设'!E791*'管线假设'!F791*'管线假设'!G791*IF(E3663="USD",'管线假设'!I791,1)-AM3663</x:f>
        <x:v>0</x:v>
      </x:c>
      <x:c r="M3663" s="11" t="n">
        <x:f>'管线假设'!H791</x:f>
        <x:v>0.135</x:v>
      </x:c>
      <x:c r="N3663" s="11" t="n">
        <x:f>IF(G3663,L3663*AN3663/(1+M3663)^F3663,0)</x:f>
        <x:v>0</x:v>
      </x:c>
      <x:c r="AJ3663" t="n">
        <x:v>0</x:v>
      </x:c>
      <x:c r="AK3663" t="n">
        <x:v>0</x:v>
      </x:c>
      <x:c r="AL3663" t="n">
        <x:v>0</x:v>
      </x:c>
      <x:c r="AM3663" t="n">
        <x:f>CHOOSE('假设'!$B$3,AJ3663,AK3663,AL3663)</x:f>
        <x:v>0</x:v>
      </x:c>
      <x:c r="AN3663" t="n">
        <x:v>1</x:v>
      </x:c>
    </x:row>
    <x:row r="3664" ht="23" customHeight="1">
      <x:c r="A3664" s="11" t="str">
        <x:v>688382.SH</x:v>
      </x:c>
      <x:c r="B3664" s="11" t="str">
        <x:v>五年</x:v>
      </x:c>
      <x:c r="C3664" s="11" t="str">
        <x:v>serd_cn</x:v>
      </x:c>
      <x:c r="D3664" s="11" t="str">
        <x:v>2045-12-31</x:v>
      </x:c>
      <x:c r="E3664" s="11" t="str">
        <x:v>CNY</x:v>
      </x:c>
      <x:c r="F3664" s="11" t="n">
        <x:v>14.22861054072553</x:v>
      </x:c>
      <x:c r="G3664" s="26" t="b">
        <x:v>1</x:v>
      </x:c>
      <x:c r="H3664" s="16" t="n">
        <x:v>0</x:v>
      </x:c>
      <x:c r="I3664" s="16" t="n">
        <x:v>0</x:v>
      </x:c>
      <x:c r="J3664" s="16" t="n">
        <x:v>0</x:v>
      </x:c>
      <x:c r="K3664" s="11" t="n">
        <x:f>CHOOSE('假设'!$B$3,H3664,I3664,J3664)</x:f>
        <x:v>0</x:v>
      </x:c>
      <x:c r="L3664" s="11" t="n">
        <x:f>K3664*'管线假设'!E791*'管线假设'!F791*'管线假设'!G791*IF(E3664="USD",'管线假设'!I791,1)-AM3664</x:f>
        <x:v>0</x:v>
      </x:c>
      <x:c r="M3664" s="11" t="n">
        <x:f>'管线假设'!H791</x:f>
        <x:v>0.135</x:v>
      </x:c>
      <x:c r="N3664" s="11" t="n">
        <x:f>IF(G3664,L3664*AN3664/(1+M3664)^F3664,0)</x:f>
        <x:v>0</x:v>
      </x:c>
      <x:c r="AJ3664" t="n">
        <x:v>0</x:v>
      </x:c>
      <x:c r="AK3664" t="n">
        <x:v>0</x:v>
      </x:c>
      <x:c r="AL3664" t="n">
        <x:v>0</x:v>
      </x:c>
      <x:c r="AM3664" t="n">
        <x:f>CHOOSE('假设'!$B$3,AJ3664,AK3664,AL3664)</x:f>
        <x:v>0</x:v>
      </x:c>
      <x:c r="AN3664" t="n">
        <x:v>1</x:v>
      </x:c>
    </x:row>
    <x:row r="3665" ht="23" customHeight="1">
      <x:c r="A3665" s="11" t="str">
        <x:v>688382.SH</x:v>
      </x:c>
      <x:c r="B3665" s="11" t="str">
        <x:v>五年</x:v>
      </x:c>
      <x:c r="C3665" s="11" t="str">
        <x:v>serd_adc</x:v>
      </x:c>
      <x:c r="D3665" s="11" t="str">
        <x:v>2027-12-31</x:v>
      </x:c>
      <x:c r="E3665" s="11" t="str">
        <x:v>CNY</x:v>
      </x:c>
      <x:c r="F3665" s="11" t="n">
        <x:v>-3.7727583846680357</x:v>
      </x:c>
      <x:c r="G3665" s="26" t="b">
        <x:v>0</x:v>
      </x:c>
      <x:c r="H3665" s="16" t="n">
        <x:v>0</x:v>
      </x:c>
      <x:c r="I3665" s="16" t="n">
        <x:v>0</x:v>
      </x:c>
      <x:c r="J3665" s="16" t="n">
        <x:v>0</x:v>
      </x:c>
      <x:c r="K3665" s="11" t="n">
        <x:f>CHOOSE('假设'!$B$3,H3665,I3665,J3665)</x:f>
        <x:v>0</x:v>
      </x:c>
      <x:c r="L3665" s="11" t="n">
        <x:f>K3665*'管线假设'!E795*'管线假设'!F795*'管线假设'!G795*IF(E3665="USD",'管线假设'!I795,1)-AM3665</x:f>
        <x:v>0</x:v>
      </x:c>
      <x:c r="M3665" s="11" t="n">
        <x:f>'管线假设'!H795</x:f>
        <x:v>0.135</x:v>
      </x:c>
      <x:c r="N3665" s="11" t="n">
        <x:f>IF(G3665,L3665*AN3665/(1+M3665)^F3665,0)</x:f>
        <x:v>0</x:v>
      </x:c>
      <x:c r="AJ3665" t="n">
        <x:v>0</x:v>
      </x:c>
      <x:c r="AK3665" t="n">
        <x:v>0</x:v>
      </x:c>
      <x:c r="AL3665" t="n">
        <x:v>0</x:v>
      </x:c>
      <x:c r="AM3665" t="n">
        <x:f>CHOOSE('假设'!$B$3,AJ3665,AK3665,AL3665)</x:f>
        <x:v>0</x:v>
      </x:c>
      <x:c r="AN3665" t="n">
        <x:v>1</x:v>
      </x:c>
    </x:row>
    <x:row r="3666" ht="23" customHeight="1">
      <x:c r="A3666" s="11" t="str">
        <x:v>688382.SH</x:v>
      </x:c>
      <x:c r="B3666" s="11" t="str">
        <x:v>五年</x:v>
      </x:c>
      <x:c r="C3666" s="11" t="str">
        <x:v>serd_adc</x:v>
      </x:c>
      <x:c r="D3666" s="11" t="str">
        <x:v>2028-12-31</x:v>
      </x:c>
      <x:c r="E3666" s="11" t="str">
        <x:v>CNY</x:v>
      </x:c>
      <x:c r="F3666" s="11" t="n">
        <x:v>-2.7707049965776864</x:v>
      </x:c>
      <x:c r="G3666" s="26" t="b">
        <x:v>0</x:v>
      </x:c>
      <x:c r="H3666" s="16" t="n">
        <x:v>0</x:v>
      </x:c>
      <x:c r="I3666" s="16" t="n">
        <x:v>0</x:v>
      </x:c>
      <x:c r="J3666" s="16" t="n">
        <x:v>0</x:v>
      </x:c>
      <x:c r="K3666" s="11" t="n">
        <x:f>CHOOSE('假设'!$B$3,H3666,I3666,J3666)</x:f>
        <x:v>0</x:v>
      </x:c>
      <x:c r="L3666" s="11" t="n">
        <x:f>K3666*'管线假设'!E795*'管线假设'!F795*'管线假设'!G795*IF(E3666="USD",'管线假设'!I795,1)-AM3666</x:f>
        <x:v>0</x:v>
      </x:c>
      <x:c r="M3666" s="11" t="n">
        <x:f>'管线假设'!H795</x:f>
        <x:v>0.135</x:v>
      </x:c>
      <x:c r="N3666" s="11" t="n">
        <x:f>IF(G3666,L3666*AN3666/(1+M3666)^F3666,0)</x:f>
        <x:v>0</x:v>
      </x:c>
      <x:c r="AJ3666" t="n">
        <x:v>0</x:v>
      </x:c>
      <x:c r="AK3666" t="n">
        <x:v>0</x:v>
      </x:c>
      <x:c r="AL3666" t="n">
        <x:v>0</x:v>
      </x:c>
      <x:c r="AM3666" t="n">
        <x:f>CHOOSE('假设'!$B$3,AJ3666,AK3666,AL3666)</x:f>
        <x:v>0</x:v>
      </x:c>
      <x:c r="AN3666" t="n">
        <x:v>1</x:v>
      </x:c>
    </x:row>
    <x:row r="3667" ht="23" customHeight="1">
      <x:c r="A3667" s="11" t="str">
        <x:v>688382.SH</x:v>
      </x:c>
      <x:c r="B3667" s="11" t="str">
        <x:v>五年</x:v>
      </x:c>
      <x:c r="C3667" s="11" t="str">
        <x:v>serd_adc</x:v>
      </x:c>
      <x:c r="D3667" s="11" t="str">
        <x:v>2029-12-31</x:v>
      </x:c>
      <x:c r="E3667" s="11" t="str">
        <x:v>CNY</x:v>
      </x:c>
      <x:c r="F3667" s="11" t="n">
        <x:v>-1.7713894592744694</x:v>
      </x:c>
      <x:c r="G3667" s="26" t="b">
        <x:v>0</x:v>
      </x:c>
      <x:c r="H3667" s="16" t="n">
        <x:v>0</x:v>
      </x:c>
      <x:c r="I3667" s="16" t="n">
        <x:v>0</x:v>
      </x:c>
      <x:c r="J3667" s="16" t="n">
        <x:v>0</x:v>
      </x:c>
      <x:c r="K3667" s="11" t="n">
        <x:f>CHOOSE('假设'!$B$3,H3667,I3667,J3667)</x:f>
        <x:v>0</x:v>
      </x:c>
      <x:c r="L3667" s="11" t="n">
        <x:f>K3667*'管线假设'!E795*'管线假设'!F795*'管线假设'!G795*IF(E3667="USD",'管线假设'!I795,1)-AM3667</x:f>
        <x:v>0</x:v>
      </x:c>
      <x:c r="M3667" s="11" t="n">
        <x:f>'管线假设'!H795</x:f>
        <x:v>0.135</x:v>
      </x:c>
      <x:c r="N3667" s="11" t="n">
        <x:f>IF(G3667,L3667*AN3667/(1+M3667)^F3667,0)</x:f>
        <x:v>0</x:v>
      </x:c>
      <x:c r="AJ3667" t="n">
        <x:v>0</x:v>
      </x:c>
      <x:c r="AK3667" t="n">
        <x:v>0</x:v>
      </x:c>
      <x:c r="AL3667" t="n">
        <x:v>0</x:v>
      </x:c>
      <x:c r="AM3667" t="n">
        <x:f>CHOOSE('假设'!$B$3,AJ3667,AK3667,AL3667)</x:f>
        <x:v>0</x:v>
      </x:c>
      <x:c r="AN3667" t="n">
        <x:v>1</x:v>
      </x:c>
    </x:row>
    <x:row r="3668" ht="23" customHeight="1">
      <x:c r="A3668" s="11" t="str">
        <x:v>688382.SH</x:v>
      </x:c>
      <x:c r="B3668" s="11" t="str">
        <x:v>五年</x:v>
      </x:c>
      <x:c r="C3668" s="11" t="str">
        <x:v>serd_adc</x:v>
      </x:c>
      <x:c r="D3668" s="11" t="str">
        <x:v>2030-12-31</x:v>
      </x:c>
      <x:c r="E3668" s="11" t="str">
        <x:v>CNY</x:v>
      </x:c>
      <x:c r="F3668" s="11" t="n">
        <x:v>-0.7720739219712526</x:v>
      </x:c>
      <x:c r="G3668" s="26" t="b">
        <x:v>0</x:v>
      </x:c>
      <x:c r="H3668" s="16" t="n">
        <x:v>0</x:v>
      </x:c>
      <x:c r="I3668" s="16" t="n">
        <x:v>0</x:v>
      </x:c>
      <x:c r="J3668" s="16" t="n">
        <x:v>0.26666666666666666</x:v>
      </x:c>
      <x:c r="K3668" s="11" t="n">
        <x:f>CHOOSE('假设'!$B$3,H3668,I3668,J3668)</x:f>
        <x:v>0</x:v>
      </x:c>
      <x:c r="L3668" s="11" t="n">
        <x:f>K3668*'管线假设'!E795*'管线假设'!F795*'管线假设'!G795*IF(E3668="USD",'管线假设'!I795,1)-AM3668</x:f>
        <x:v>0</x:v>
      </x:c>
      <x:c r="M3668" s="11" t="n">
        <x:f>'管线假设'!H795</x:f>
        <x:v>0.135</x:v>
      </x:c>
      <x:c r="N3668" s="11" t="n">
        <x:f>IF(G3668,L3668*AN3668/(1+M3668)^F3668,0)</x:f>
        <x:v>0</x:v>
      </x:c>
      <x:c r="AJ3668" t="n">
        <x:v>0</x:v>
      </x:c>
      <x:c r="AK3668" t="n">
        <x:v>0</x:v>
      </x:c>
      <x:c r="AL3668" t="n">
        <x:v>0</x:v>
      </x:c>
      <x:c r="AM3668" t="n">
        <x:f>CHOOSE('假设'!$B$3,AJ3668,AK3668,AL3668)</x:f>
        <x:v>0</x:v>
      </x:c>
      <x:c r="AN3668" t="n">
        <x:v>1</x:v>
      </x:c>
    </x:row>
    <x:row r="3669" ht="23" customHeight="1">
      <x:c r="A3669" s="11" t="str">
        <x:v>688382.SH</x:v>
      </x:c>
      <x:c r="B3669" s="11" t="str">
        <x:v>五年</x:v>
      </x:c>
      <x:c r="C3669" s="11" t="str">
        <x:v>serd_adc</x:v>
      </x:c>
      <x:c r="D3669" s="11" t="str">
        <x:v>2031-12-31</x:v>
      </x:c>
      <x:c r="E3669" s="11" t="str">
        <x:v>CNY</x:v>
      </x:c>
      <x:c r="F3669" s="11" t="n">
        <x:v>0.2272416153319644</x:v>
      </x:c>
      <x:c r="G3669" s="26" t="b">
        <x:v>1</x:v>
      </x:c>
      <x:c r="H3669" s="16" t="n">
        <x:v>0</x:v>
      </x:c>
      <x:c r="I3669" s="16" t="n">
        <x:v>0</x:v>
      </x:c>
      <x:c r="J3669" s="16" t="n">
        <x:v>0.5333333333333333</x:v>
      </x:c>
      <x:c r="K3669" s="11" t="n">
        <x:f>CHOOSE('假设'!$B$3,H3669,I3669,J3669)</x:f>
        <x:v>0</x:v>
      </x:c>
      <x:c r="L3669" s="11" t="n">
        <x:f>K3669*'管线假设'!E795*'管线假设'!F795*'管线假设'!G795*IF(E3669="USD",'管线假设'!I795,1)-AM3669</x:f>
        <x:v>0</x:v>
      </x:c>
      <x:c r="M3669" s="11" t="n">
        <x:f>'管线假设'!H795</x:f>
        <x:v>0.135</x:v>
      </x:c>
      <x:c r="N3669" s="11" t="n">
        <x:f>IF(G3669,L3669*AN3669/(1+M3669)^F3669,0)</x:f>
        <x:v>0</x:v>
      </x:c>
      <x:c r="AJ3669" t="n">
        <x:v>0</x:v>
      </x:c>
      <x:c r="AK3669" t="n">
        <x:v>0</x:v>
      </x:c>
      <x:c r="AL3669" t="n">
        <x:v>0</x:v>
      </x:c>
      <x:c r="AM3669" t="n">
        <x:f>CHOOSE('假设'!$B$3,AJ3669,AK3669,AL3669)</x:f>
        <x:v>0</x:v>
      </x:c>
      <x:c r="AN3669" t="n">
        <x:v>1</x:v>
      </x:c>
    </x:row>
    <x:row r="3670" ht="23" customHeight="1">
      <x:c r="A3670" s="11" t="str">
        <x:v>688382.SH</x:v>
      </x:c>
      <x:c r="B3670" s="11" t="str">
        <x:v>五年</x:v>
      </x:c>
      <x:c r="C3670" s="11" t="str">
        <x:v>serd_adc</x:v>
      </x:c>
      <x:c r="D3670" s="11" t="str">
        <x:v>2032-12-31</x:v>
      </x:c>
      <x:c r="E3670" s="11" t="str">
        <x:v>CNY</x:v>
      </x:c>
      <x:c r="F3670" s="11" t="n">
        <x:v>1.2292950034223136</x:v>
      </x:c>
      <x:c r="G3670" s="26" t="b">
        <x:v>1</x:v>
      </x:c>
      <x:c r="H3670" s="16" t="n">
        <x:v>0</x:v>
      </x:c>
      <x:c r="I3670" s="16" t="n">
        <x:v>0.13333333333333333</x:v>
      </x:c>
      <x:c r="J3670" s="16" t="n">
        <x:v>0.8</x:v>
      </x:c>
      <x:c r="K3670" s="11" t="n">
        <x:f>CHOOSE('假设'!$B$3,H3670,I3670,J3670)</x:f>
        <x:v>0.13333333333333333</x:v>
      </x:c>
      <x:c r="L3670" s="11" t="n">
        <x:f>K3670*'管线假设'!E795*'管线假设'!F795*'管线假设'!G795*IF(E3670="USD",'管线假设'!I795,1)-AM3670</x:f>
        <x:v>0.012453333333333334</x:v>
      </x:c>
      <x:c r="M3670" s="11" t="n">
        <x:f>'管线假设'!H795</x:f>
        <x:v>0.135</x:v>
      </x:c>
      <x:c r="N3670" s="11" t="n">
        <x:f>IF(G3670,L3670*AN3670/(1+M3670)^F3670,0)</x:f>
        <x:v>0.010658092253440665</x:v>
      </x:c>
      <x:c r="AJ3670" t="n">
        <x:v>0</x:v>
      </x:c>
      <x:c r="AK3670" t="n">
        <x:v>0</x:v>
      </x:c>
      <x:c r="AL3670" t="n">
        <x:v>0</x:v>
      </x:c>
      <x:c r="AM3670" t="n">
        <x:f>CHOOSE('假设'!$B$3,AJ3670,AK3670,AL3670)</x:f>
        <x:v>0</x:v>
      </x:c>
      <x:c r="AN3670" t="n">
        <x:v>1</x:v>
      </x:c>
    </x:row>
    <x:row r="3671" ht="23" customHeight="1">
      <x:c r="A3671" s="11" t="str">
        <x:v>688382.SH</x:v>
      </x:c>
      <x:c r="B3671" s="11" t="str">
        <x:v>五年</x:v>
      </x:c>
      <x:c r="C3671" s="11" t="str">
        <x:v>serd_adc</x:v>
      </x:c>
      <x:c r="D3671" s="11" t="str">
        <x:v>2033-12-31</x:v>
      </x:c>
      <x:c r="E3671" s="11" t="str">
        <x:v>CNY</x:v>
      </x:c>
      <x:c r="F3671" s="11" t="n">
        <x:v>2.2286105407255303</x:v>
      </x:c>
      <x:c r="G3671" s="26" t="b">
        <x:v>1</x:v>
      </x:c>
      <x:c r="H3671" s="16" t="n">
        <x:v>0</x:v>
      </x:c>
      <x:c r="I3671" s="16" t="n">
        <x:v>0.26666666666666666</x:v>
      </x:c>
      <x:c r="J3671" s="16" t="n">
        <x:v>1.0666666666666667</x:v>
      </x:c>
      <x:c r="K3671" s="11" t="n">
        <x:f>CHOOSE('假设'!$B$3,H3671,I3671,J3671)</x:f>
        <x:v>0.26666666666666666</x:v>
      </x:c>
      <x:c r="L3671" s="11" t="n">
        <x:f>K3671*'管线假设'!E795*'管线假设'!F795*'管线假设'!G795*IF(E3671="USD",'管线假设'!I795,1)-AM3671</x:f>
        <x:v>0.024906666666666667</x:v>
      </x:c>
      <x:c r="M3671" s="11" t="n">
        <x:f>'管线假设'!H795</x:f>
        <x:v>0.135</x:v>
      </x:c>
      <x:c r="N3671" s="11" t="n">
        <x:f>IF(G3671,L3671*AN3671/(1+M3671)^F3671,0)</x:f>
        <x:v>0.018782407201929356</x:v>
      </x:c>
      <x:c r="AJ3671" t="n">
        <x:v>0</x:v>
      </x:c>
      <x:c r="AK3671" t="n">
        <x:v>0</x:v>
      </x:c>
      <x:c r="AL3671" t="n">
        <x:v>0</x:v>
      </x:c>
      <x:c r="AM3671" t="n">
        <x:f>CHOOSE('假设'!$B$3,AJ3671,AK3671,AL3671)</x:f>
        <x:v>0</x:v>
      </x:c>
      <x:c r="AN3671" t="n">
        <x:v>1</x:v>
      </x:c>
    </x:row>
    <x:row r="3672" ht="23" customHeight="1">
      <x:c r="A3672" s="11" t="str">
        <x:v>688382.SH</x:v>
      </x:c>
      <x:c r="B3672" s="11" t="str">
        <x:v>五年</x:v>
      </x:c>
      <x:c r="C3672" s="11" t="str">
        <x:v>serd_adc</x:v>
      </x:c>
      <x:c r="D3672" s="11" t="str">
        <x:v>2034-12-31</x:v>
      </x:c>
      <x:c r="E3672" s="11" t="str">
        <x:v>CNY</x:v>
      </x:c>
      <x:c r="F3672" s="11" t="n">
        <x:v>3.2279260780287475</x:v>
      </x:c>
      <x:c r="G3672" s="26" t="b">
        <x:v>1</x:v>
      </x:c>
      <x:c r="H3672" s="16" t="n">
        <x:v>0</x:v>
      </x:c>
      <x:c r="I3672" s="16" t="n">
        <x:v>0.4</x:v>
      </x:c>
      <x:c r="J3672" s="16" t="n">
        <x:v>1.3333333333333335</x:v>
      </x:c>
      <x:c r="K3672" s="11" t="n">
        <x:f>CHOOSE('假设'!$B$3,H3672,I3672,J3672)</x:f>
        <x:v>0.4</x:v>
      </x:c>
      <x:c r="L3672" s="11" t="n">
        <x:f>K3672*'管线假设'!E795*'管线假设'!F795*'管线假设'!G795*IF(E3672="USD",'管线假设'!I795,1)-AM3672</x:f>
        <x:v>0.03736</x:v>
      </x:c>
      <x:c r="M3672" s="11" t="n">
        <x:f>'管线假设'!H795</x:f>
        <x:v>0.135</x:v>
      </x:c>
      <x:c r="N3672" s="11" t="n">
        <x:f>IF(G3672,L3672*AN3672/(1+M3672)^F3672,0)</x:f>
        <x:v>0.024824716181162935</x:v>
      </x:c>
      <x:c r="AJ3672" t="n">
        <x:v>0</x:v>
      </x:c>
      <x:c r="AK3672" t="n">
        <x:v>0</x:v>
      </x:c>
      <x:c r="AL3672" t="n">
        <x:v>0</x:v>
      </x:c>
      <x:c r="AM3672" t="n">
        <x:f>CHOOSE('假设'!$B$3,AJ3672,AK3672,AL3672)</x:f>
        <x:v>0</x:v>
      </x:c>
      <x:c r="AN3672" t="n">
        <x:v>1</x:v>
      </x:c>
    </x:row>
    <x:row r="3673" ht="23" customHeight="1">
      <x:c r="A3673" s="11" t="str">
        <x:v>688382.SH</x:v>
      </x:c>
      <x:c r="B3673" s="11" t="str">
        <x:v>五年</x:v>
      </x:c>
      <x:c r="C3673" s="11" t="str">
        <x:v>serd_adc</x:v>
      </x:c>
      <x:c r="D3673" s="11" t="str">
        <x:v>2035-12-31</x:v>
      </x:c>
      <x:c r="E3673" s="11" t="str">
        <x:v>CNY</x:v>
      </x:c>
      <x:c r="F3673" s="11" t="n">
        <x:v>4.227241615331964</x:v>
      </x:c>
      <x:c r="G3673" s="26" t="b">
        <x:v>1</x:v>
      </x:c>
      <x:c r="H3673" s="16" t="n">
        <x:v>0.06</x:v>
      </x:c>
      <x:c r="I3673" s="16" t="n">
        <x:v>0.5333333333333333</x:v>
      </x:c>
      <x:c r="J3673" s="16" t="n">
        <x:v>1.6</x:v>
      </x:c>
      <x:c r="K3673" s="11" t="n">
        <x:f>CHOOSE('假设'!$B$3,H3673,I3673,J3673)</x:f>
        <x:v>0.5333333333333333</x:v>
      </x:c>
      <x:c r="L3673" s="11" t="n">
        <x:f>K3673*'管线假设'!E795*'管线假设'!F795*'管线假设'!G795*IF(E3673="USD",'管线假设'!I795,1)-AM3673</x:f>
        <x:v>0.049813333333333334</x:v>
      </x:c>
      <x:c r="M3673" s="11" t="n">
        <x:f>'管线假设'!H795</x:f>
        <x:v>0.135</x:v>
      </x:c>
      <x:c r="N3673" s="11" t="n">
        <x:f>IF(G3673,L3673*AN3673/(1+M3673)^F3673,0)</x:f>
        <x:v>0.029165189973306003</x:v>
      </x:c>
      <x:c r="AJ3673" t="n">
        <x:v>0</x:v>
      </x:c>
      <x:c r="AK3673" t="n">
        <x:v>0</x:v>
      </x:c>
      <x:c r="AL3673" t="n">
        <x:v>0</x:v>
      </x:c>
      <x:c r="AM3673" t="n">
        <x:f>CHOOSE('假设'!$B$3,AJ3673,AK3673,AL3673)</x:f>
        <x:v>0</x:v>
      </x:c>
      <x:c r="AN3673" t="n">
        <x:v>1</x:v>
      </x:c>
    </x:row>
    <x:row r="3674" ht="23" customHeight="1">
      <x:c r="A3674" s="11" t="str">
        <x:v>688382.SH</x:v>
      </x:c>
      <x:c r="B3674" s="11" t="str">
        <x:v>五年</x:v>
      </x:c>
      <x:c r="C3674" s="11" t="str">
        <x:v>serd_adc</x:v>
      </x:c>
      <x:c r="D3674" s="11" t="str">
        <x:v>2036-12-31</x:v>
      </x:c>
      <x:c r="E3674" s="11" t="str">
        <x:v>CNY</x:v>
      </x:c>
      <x:c r="F3674" s="11" t="n">
        <x:v>5.229295003422314</x:v>
      </x:c>
      <x:c r="G3674" s="26" t="b">
        <x:v>1</x:v>
      </x:c>
      <x:c r="H3674" s="16" t="n">
        <x:v>0.12</x:v>
      </x:c>
      <x:c r="I3674" s="16" t="n">
        <x:v>0.6666666666666667</x:v>
      </x:c>
      <x:c r="J3674" s="16" t="n">
        <x:v>1.3920000000000001</x:v>
      </x:c>
      <x:c r="K3674" s="11" t="n">
        <x:f>CHOOSE('假设'!$B$3,H3674,I3674,J3674)</x:f>
        <x:v>0.6666666666666667</x:v>
      </x:c>
      <x:c r="L3674" s="11" t="n">
        <x:f>K3674*'管线假设'!E795*'管线假设'!F795*'管线假设'!G795*IF(E3674="USD",'管线假设'!I795,1)-AM3674</x:f>
        <x:v>0.06226666666666667</x:v>
      </x:c>
      <x:c r="M3674" s="11" t="n">
        <x:f>'管线假设'!H795</x:f>
        <x:v>0.135</x:v>
      </x:c>
      <x:c r="N3674" s="11" t="n">
        <x:f>IF(G3674,L3674*AN3674/(1+M3674)^F3674,0)</x:f>
        <x:v>0.032111902260105414</x:v>
      </x:c>
      <x:c r="AJ3674" t="n">
        <x:v>0</x:v>
      </x:c>
      <x:c r="AK3674" t="n">
        <x:v>0</x:v>
      </x:c>
      <x:c r="AL3674" t="n">
        <x:v>0</x:v>
      </x:c>
      <x:c r="AM3674" t="n">
        <x:f>CHOOSE('假设'!$B$3,AJ3674,AK3674,AL3674)</x:f>
        <x:v>0</x:v>
      </x:c>
      <x:c r="AN3674" t="n">
        <x:v>1</x:v>
      </x:c>
    </x:row>
    <x:row r="3675" ht="23" customHeight="1">
      <x:c r="A3675" s="11" t="str">
        <x:v>688382.SH</x:v>
      </x:c>
      <x:c r="B3675" s="11" t="str">
        <x:v>五年</x:v>
      </x:c>
      <x:c r="C3675" s="11" t="str">
        <x:v>serd_adc</x:v>
      </x:c>
      <x:c r="D3675" s="11" t="str">
        <x:v>2037-12-31</x:v>
      </x:c>
      <x:c r="E3675" s="11" t="str">
        <x:v>CNY</x:v>
      </x:c>
      <x:c r="F3675" s="11" t="n">
        <x:v>6.228610540725531</x:v>
      </x:c>
      <x:c r="G3675" s="26" t="b">
        <x:v>1</x:v>
      </x:c>
      <x:c r="H3675" s="16" t="n">
        <x:v>0.18</x:v>
      </x:c>
      <x:c r="I3675" s="16" t="n">
        <x:v>0.8</x:v>
      </x:c>
      <x:c r="J3675" s="16" t="n">
        <x:v>1.184</x:v>
      </x:c>
      <x:c r="K3675" s="11" t="n">
        <x:f>CHOOSE('假设'!$B$3,H3675,I3675,J3675)</x:f>
        <x:v>0.8</x:v>
      </x:c>
      <x:c r="L3675" s="11" t="n">
        <x:f>K3675*'管线假设'!E795*'管线假设'!F795*'管线假设'!G795*IF(E3675="USD",'管线假设'!I795,1)-AM3675</x:f>
        <x:v>0.07472</x:v>
      </x:c>
      <x:c r="M3675" s="11" t="n">
        <x:f>'管线假设'!H795</x:f>
        <x:v>0.135</x:v>
      </x:c>
      <x:c r="N3675" s="11" t="n">
        <x:f>IF(G3675,L3675*AN3675/(1+M3675)^F3675,0)</x:f>
        <x:v>0.03395385271223276</x:v>
      </x:c>
      <x:c r="AJ3675" t="n">
        <x:v>0</x:v>
      </x:c>
      <x:c r="AK3675" t="n">
        <x:v>0</x:v>
      </x:c>
      <x:c r="AL3675" t="n">
        <x:v>0</x:v>
      </x:c>
      <x:c r="AM3675" t="n">
        <x:f>CHOOSE('假设'!$B$3,AJ3675,AK3675,AL3675)</x:f>
        <x:v>0</x:v>
      </x:c>
      <x:c r="AN3675" t="n">
        <x:v>1</x:v>
      </x:c>
    </x:row>
    <x:row r="3676" ht="23" customHeight="1">
      <x:c r="A3676" s="11" t="str">
        <x:v>688382.SH</x:v>
      </x:c>
      <x:c r="B3676" s="11" t="str">
        <x:v>五年</x:v>
      </x:c>
      <x:c r="C3676" s="11" t="str">
        <x:v>serd_adc</x:v>
      </x:c>
      <x:c r="D3676" s="11" t="str">
        <x:v>2038-12-31</x:v>
      </x:c>
      <x:c r="E3676" s="11" t="str">
        <x:v>CNY</x:v>
      </x:c>
      <x:c r="F3676" s="11" t="n">
        <x:v>7.227926078028747</x:v>
      </x:c>
      <x:c r="G3676" s="26" t="b">
        <x:v>1</x:v>
      </x:c>
      <x:c r="H3676" s="16" t="n">
        <x:v>0.24</x:v>
      </x:c>
      <x:c r="I3676" s="16" t="n">
        <x:v>0.6960000000000001</x:v>
      </x:c>
      <x:c r="J3676" s="16" t="n">
        <x:v>0.976</x:v>
      </x:c>
      <x:c r="K3676" s="11" t="n">
        <x:f>CHOOSE('假设'!$B$3,H3676,I3676,J3676)</x:f>
        <x:v>0.6960000000000001</x:v>
      </x:c>
      <x:c r="L3676" s="11" t="n">
        <x:f>K3676*'管线假设'!E795*'管线假设'!F795*'管线假设'!G795*IF(E3676="USD",'管线假设'!I795,1)-AM3676</x:f>
        <x:v>0.0650064</x:v>
      </x:c>
      <x:c r="M3676" s="11" t="n">
        <x:f>'管线假设'!H795</x:f>
        <x:v>0.135</x:v>
      </x:c>
      <x:c r="N3676" s="11" t="n">
        <x:f>IF(G3676,L3676*AN3676/(1+M3676)^F3676,0)</x:f>
        <x:v>0.026028557133823113</x:v>
      </x:c>
      <x:c r="AJ3676" t="n">
        <x:v>0</x:v>
      </x:c>
      <x:c r="AK3676" t="n">
        <x:v>0</x:v>
      </x:c>
      <x:c r="AL3676" t="n">
        <x:v>0</x:v>
      </x:c>
      <x:c r="AM3676" t="n">
        <x:f>CHOOSE('假设'!$B$3,AJ3676,AK3676,AL3676)</x:f>
        <x:v>0</x:v>
      </x:c>
      <x:c r="AN3676" t="n">
        <x:v>1</x:v>
      </x:c>
    </x:row>
    <x:row r="3677" ht="23" customHeight="1">
      <x:c r="A3677" s="11" t="str">
        <x:v>688382.SH</x:v>
      </x:c>
      <x:c r="B3677" s="11" t="str">
        <x:v>五年</x:v>
      </x:c>
      <x:c r="C3677" s="11" t="str">
        <x:v>serd_adc</x:v>
      </x:c>
      <x:c r="D3677" s="11" t="str">
        <x:v>2039-12-31</x:v>
      </x:c>
      <x:c r="E3677" s="11" t="str">
        <x:v>CNY</x:v>
      </x:c>
      <x:c r="F3677" s="11" t="n">
        <x:v>8.227241615331964</x:v>
      </x:c>
      <x:c r="G3677" s="26" t="b">
        <x:v>1</x:v>
      </x:c>
      <x:c r="H3677" s="16" t="n">
        <x:v>0.3</x:v>
      </x:c>
      <x:c r="I3677" s="16" t="n">
        <x:v>0.592</x:v>
      </x:c>
      <x:c r="J3677" s="16" t="n">
        <x:v>0.768</x:v>
      </x:c>
      <x:c r="K3677" s="11" t="n">
        <x:f>CHOOSE('假设'!$B$3,H3677,I3677,J3677)</x:f>
        <x:v>0.592</x:v>
      </x:c>
      <x:c r="L3677" s="11" t="n">
        <x:f>K3677*'管线假设'!E795*'管线假设'!F795*'管线假设'!G795*IF(E3677="USD",'管线假设'!I795,1)-AM3677</x:f>
        <x:v>0.0552928</x:v>
      </x:c>
      <x:c r="M3677" s="11" t="n">
        <x:f>'管线假设'!H795</x:f>
        <x:v>0.135</x:v>
      </x:c>
      <x:c r="N3677" s="11" t="n">
        <x:f>IF(G3677,L3677*AN3677/(1+M3677)^F3677,0)</x:f>
        <x:v>0.019507622478400592</x:v>
      </x:c>
      <x:c r="AJ3677" t="n">
        <x:v>0</x:v>
      </x:c>
      <x:c r="AK3677" t="n">
        <x:v>0</x:v>
      </x:c>
      <x:c r="AL3677" t="n">
        <x:v>0</x:v>
      </x:c>
      <x:c r="AM3677" t="n">
        <x:f>CHOOSE('假设'!$B$3,AJ3677,AK3677,AL3677)</x:f>
        <x:v>0</x:v>
      </x:c>
      <x:c r="AN3677" t="n">
        <x:v>1</x:v>
      </x:c>
    </x:row>
    <x:row r="3678" ht="23" customHeight="1">
      <x:c r="A3678" s="11" t="str">
        <x:v>688382.SH</x:v>
      </x:c>
      <x:c r="B3678" s="11" t="str">
        <x:v>五年</x:v>
      </x:c>
      <x:c r="C3678" s="11" t="str">
        <x:v>serd_adc</x:v>
      </x:c>
      <x:c r="D3678" s="11" t="str">
        <x:v>2040-12-31</x:v>
      </x:c>
      <x:c r="E3678" s="11" t="str">
        <x:v>CNY</x:v>
      </x:c>
      <x:c r="F3678" s="11" t="n">
        <x:v>9.229295003422314</x:v>
      </x:c>
      <x:c r="G3678" s="26" t="b">
        <x:v>1</x:v>
      </x:c>
      <x:c r="H3678" s="16" t="n">
        <x:v>0.261</x:v>
      </x:c>
      <x:c r="I3678" s="16" t="n">
        <x:v>0.488</x:v>
      </x:c>
      <x:c r="J3678" s="16" t="n">
        <x:v>0.5599999999999999</x:v>
      </x:c>
      <x:c r="K3678" s="11" t="n">
        <x:f>CHOOSE('假设'!$B$3,H3678,I3678,J3678)</x:f>
        <x:v>0.488</x:v>
      </x:c>
      <x:c r="L3678" s="11" t="n">
        <x:f>K3678*'管线假设'!E795*'管线假设'!F795*'管线假设'!G795*IF(E3678="USD",'管线假设'!I795,1)-AM3678</x:f>
        <x:v>0.0455792</x:v>
      </x:c>
      <x:c r="M3678" s="11" t="n">
        <x:f>'管线假设'!H795</x:f>
        <x:v>0.135</x:v>
      </x:c>
      <x:c r="N3678" s="11" t="n">
        <x:f>IF(G3678,L3678*AN3678/(1+M3678)^F3678,0)</x:f>
        <x:v>0.014164252763462878</x:v>
      </x:c>
      <x:c r="AJ3678" t="n">
        <x:v>0</x:v>
      </x:c>
      <x:c r="AK3678" t="n">
        <x:v>0</x:v>
      </x:c>
      <x:c r="AL3678" t="n">
        <x:v>0</x:v>
      </x:c>
      <x:c r="AM3678" t="n">
        <x:f>CHOOSE('假设'!$B$3,AJ3678,AK3678,AL3678)</x:f>
        <x:v>0</x:v>
      </x:c>
      <x:c r="AN3678" t="n">
        <x:v>1</x:v>
      </x:c>
    </x:row>
    <x:row r="3679" ht="23" customHeight="1">
      <x:c r="A3679" s="11" t="str">
        <x:v>688382.SH</x:v>
      </x:c>
      <x:c r="B3679" s="11" t="str">
        <x:v>五年</x:v>
      </x:c>
      <x:c r="C3679" s="11" t="str">
        <x:v>serd_adc</x:v>
      </x:c>
      <x:c r="D3679" s="11" t="str">
        <x:v>2041-12-31</x:v>
      </x:c>
      <x:c r="E3679" s="11" t="str">
        <x:v>CNY</x:v>
      </x:c>
      <x:c r="F3679" s="11" t="n">
        <x:v>10.22861054072553</x:v>
      </x:c>
      <x:c r="G3679" s="26" t="b">
        <x:v>1</x:v>
      </x:c>
      <x:c r="H3679" s="16" t="n">
        <x:v>0.222</x:v>
      </x:c>
      <x:c r="I3679" s="16" t="n">
        <x:v>0.384</x:v>
      </x:c>
      <x:c r="J3679" s="16" t="n">
        <x:v>0.352</x:v>
      </x:c>
      <x:c r="K3679" s="11" t="n">
        <x:f>CHOOSE('假设'!$B$3,H3679,I3679,J3679)</x:f>
        <x:v>0.384</x:v>
      </x:c>
      <x:c r="L3679" s="11" t="n">
        <x:f>K3679*'管线假设'!E795*'管线假设'!F795*'管线假设'!G795*IF(E3679="USD",'管线假设'!I795,1)-AM3679</x:f>
        <x:v>0.0358656</x:v>
      </x:c>
      <x:c r="M3679" s="11" t="n">
        <x:f>'管线假设'!H795</x:f>
        <x:v>0.135</x:v>
      </x:c>
      <x:c r="N3679" s="11" t="n">
        <x:f>IF(G3679,L3679*AN3679/(1+M3679)^F3679,0)</x:f>
        <x:v>0.009820799658826028</x:v>
      </x:c>
      <x:c r="AJ3679" t="n">
        <x:v>0</x:v>
      </x:c>
      <x:c r="AK3679" t="n">
        <x:v>0</x:v>
      </x:c>
      <x:c r="AL3679" t="n">
        <x:v>0</x:v>
      </x:c>
      <x:c r="AM3679" t="n">
        <x:f>CHOOSE('假设'!$B$3,AJ3679,AK3679,AL3679)</x:f>
        <x:v>0</x:v>
      </x:c>
      <x:c r="AN3679" t="n">
        <x:v>1</x:v>
      </x:c>
    </x:row>
    <x:row r="3680" ht="23" customHeight="1">
      <x:c r="A3680" s="11" t="str">
        <x:v>688382.SH</x:v>
      </x:c>
      <x:c r="B3680" s="11" t="str">
        <x:v>五年</x:v>
      </x:c>
      <x:c r="C3680" s="11" t="str">
        <x:v>serd_adc</x:v>
      </x:c>
      <x:c r="D3680" s="11" t="str">
        <x:v>2042-12-31</x:v>
      </x:c>
      <x:c r="E3680" s="11" t="str">
        <x:v>CNY</x:v>
      </x:c>
      <x:c r="F3680" s="11" t="n">
        <x:v>11.227926078028748</x:v>
      </x:c>
      <x:c r="G3680" s="26" t="b">
        <x:v>1</x:v>
      </x:c>
      <x:c r="H3680" s="16" t="n">
        <x:v>0.183</x:v>
      </x:c>
      <x:c r="I3680" s="16" t="n">
        <x:v>0.27999999999999997</x:v>
      </x:c>
      <x:c r="J3680" s="16" t="n">
        <x:v>0.14399999999999996</x:v>
      </x:c>
      <x:c r="K3680" s="11" t="n">
        <x:f>CHOOSE('假设'!$B$3,H3680,I3680,J3680)</x:f>
        <x:v>0.27999999999999997</x:v>
      </x:c>
      <x:c r="L3680" s="11" t="n">
        <x:f>K3680*'管线假设'!E795*'管线假设'!F795*'管线假设'!G795*IF(E3680="USD",'管线假设'!I795,1)-AM3680</x:f>
        <x:v>0.026151999999999998</x:v>
      </x:c>
      <x:c r="M3680" s="11" t="n">
        <x:f>'管线假设'!H795</x:f>
        <x:v>0.135</x:v>
      </x:c>
      <x:c r="N3680" s="11" t="n">
        <x:f>IF(G3680,L3680*AN3680/(1+M3680)^F3680,0)</x:f>
        <x:v>0.006309797762214265</x:v>
      </x:c>
      <x:c r="AJ3680" t="n">
        <x:v>0</x:v>
      </x:c>
      <x:c r="AK3680" t="n">
        <x:v>0</x:v>
      </x:c>
      <x:c r="AL3680" t="n">
        <x:v>0</x:v>
      </x:c>
      <x:c r="AM3680" t="n">
        <x:f>CHOOSE('假设'!$B$3,AJ3680,AK3680,AL3680)</x:f>
        <x:v>0</x:v>
      </x:c>
      <x:c r="AN3680" t="n">
        <x:v>1</x:v>
      </x:c>
    </x:row>
    <x:row r="3681" ht="23" customHeight="1">
      <x:c r="A3681" s="11" t="str">
        <x:v>688382.SH</x:v>
      </x:c>
      <x:c r="B3681" s="11" t="str">
        <x:v>五年</x:v>
      </x:c>
      <x:c r="C3681" s="11" t="str">
        <x:v>serd_adc</x:v>
      </x:c>
      <x:c r="D3681" s="11" t="str">
        <x:v>2043-12-31</x:v>
      </x:c>
      <x:c r="E3681" s="11" t="str">
        <x:v>CNY</x:v>
      </x:c>
      <x:c r="F3681" s="11" t="n">
        <x:v>12.227241615331964</x:v>
      </x:c>
      <x:c r="G3681" s="26" t="b">
        <x:v>1</x:v>
      </x:c>
      <x:c r="H3681" s="16" t="n">
        <x:v>0.144</x:v>
      </x:c>
      <x:c r="I3681" s="16" t="n">
        <x:v>0.176</x:v>
      </x:c>
      <x:c r="J3681" s="16" t="n">
        <x:v>0</x:v>
      </x:c>
      <x:c r="K3681" s="11" t="n">
        <x:f>CHOOSE('假设'!$B$3,H3681,I3681,J3681)</x:f>
        <x:v>0.176</x:v>
      </x:c>
      <x:c r="L3681" s="11" t="n">
        <x:f>K3681*'管线假设'!E795*'管线假设'!F795*'管线假设'!G795*IF(E3681="USD",'管线假设'!I795,1)-AM3681</x:f>
        <x:v>0.0164384</x:v>
      </x:c>
      <x:c r="M3681" s="11" t="n">
        <x:f>'管线假设'!H795</x:f>
        <x:v>0.135</x:v>
      </x:c>
      <x:c r="N3681" s="11" t="n">
        <x:f>IF(G3681,L3681*AN3681/(1+M3681)^F3681,0)</x:f>
        <x:v>0.0034947157501131736</x:v>
      </x:c>
      <x:c r="AJ3681" t="n">
        <x:v>0</x:v>
      </x:c>
      <x:c r="AK3681" t="n">
        <x:v>0</x:v>
      </x:c>
      <x:c r="AL3681" t="n">
        <x:v>0</x:v>
      </x:c>
      <x:c r="AM3681" t="n">
        <x:f>CHOOSE('假设'!$B$3,AJ3681,AK3681,AL3681)</x:f>
        <x:v>0</x:v>
      </x:c>
      <x:c r="AN3681" t="n">
        <x:v>1</x:v>
      </x:c>
    </x:row>
    <x:row r="3682" ht="23" customHeight="1">
      <x:c r="A3682" s="11" t="str">
        <x:v>688382.SH</x:v>
      </x:c>
      <x:c r="B3682" s="11" t="str">
        <x:v>五年</x:v>
      </x:c>
      <x:c r="C3682" s="11" t="str">
        <x:v>serd_adc</x:v>
      </x:c>
      <x:c r="D3682" s="11" t="str">
        <x:v>2044-12-31</x:v>
      </x:c>
      <x:c r="E3682" s="11" t="str">
        <x:v>CNY</x:v>
      </x:c>
      <x:c r="F3682" s="11" t="n">
        <x:v>13.229295003422314</x:v>
      </x:c>
      <x:c r="G3682" s="26" t="b">
        <x:v>1</x:v>
      </x:c>
      <x:c r="H3682" s="16" t="n">
        <x:v>0.105</x:v>
      </x:c>
      <x:c r="I3682" s="16" t="n">
        <x:v>0.07199999999999998</x:v>
      </x:c>
      <x:c r="J3682" s="16" t="n">
        <x:v>0</x:v>
      </x:c>
      <x:c r="K3682" s="11" t="n">
        <x:f>CHOOSE('假设'!$B$3,H3682,I3682,J3682)</x:f>
        <x:v>0.07199999999999998</x:v>
      </x:c>
      <x:c r="L3682" s="11" t="n">
        <x:f>K3682*'管线假设'!E795*'管线假设'!F795*'管线假设'!G795*IF(E3682="USD",'管线假设'!I795,1)-AM3682</x:f>
        <x:v>0.006724799999999998</x:v>
      </x:c>
      <x:c r="M3682" s="11" t="n">
        <x:f>'管线假设'!H795</x:f>
        <x:v>0.135</x:v>
      </x:c>
      <x:c r="N3682" s="11" t="n">
        <x:f>IF(G3682,L3682*AN3682/(1+M3682)^F3682,0)</x:f>
        <x:v>0.0012592817125481519</x:v>
      </x:c>
      <x:c r="AJ3682" t="n">
        <x:v>0</x:v>
      </x:c>
      <x:c r="AK3682" t="n">
        <x:v>0</x:v>
      </x:c>
      <x:c r="AL3682" t="n">
        <x:v>0</x:v>
      </x:c>
      <x:c r="AM3682" t="n">
        <x:f>CHOOSE('假设'!$B$3,AJ3682,AK3682,AL3682)</x:f>
        <x:v>0</x:v>
      </x:c>
      <x:c r="AN3682" t="n">
        <x:v>1</x:v>
      </x:c>
    </x:row>
    <x:row r="3683" ht="23" customHeight="1">
      <x:c r="A3683" s="11" t="str">
        <x:v>688382.SH</x:v>
      </x:c>
      <x:c r="B3683" s="11" t="str">
        <x:v>五年</x:v>
      </x:c>
      <x:c r="C3683" s="11" t="str">
        <x:v>serd_adc</x:v>
      </x:c>
      <x:c r="D3683" s="11" t="str">
        <x:v>2045-12-31</x:v>
      </x:c>
      <x:c r="E3683" s="11" t="str">
        <x:v>CNY</x:v>
      </x:c>
      <x:c r="F3683" s="11" t="n">
        <x:v>14.22861054072553</x:v>
      </x:c>
      <x:c r="G3683" s="26" t="b">
        <x:v>1</x:v>
      </x:c>
      <x:c r="H3683" s="16" t="n">
        <x:v>0.06599999999999999</x:v>
      </x:c>
      <x:c r="I3683" s="16" t="n">
        <x:v>0</x:v>
      </x:c>
      <x:c r="J3683" s="16" t="n">
        <x:v>0</x:v>
      </x:c>
      <x:c r="K3683" s="11" t="n">
        <x:f>CHOOSE('假设'!$B$3,H3683,I3683,J3683)</x:f>
        <x:v>0</x:v>
      </x:c>
      <x:c r="L3683" s="11" t="n">
        <x:f>K3683*'管线假设'!E795*'管线假设'!F795*'管线假设'!G795*IF(E3683="USD",'管线假设'!I795,1)-AM3683</x:f>
        <x:v>0</x:v>
      </x:c>
      <x:c r="M3683" s="11" t="n">
        <x:f>'管线假设'!H795</x:f>
        <x:v>0.135</x:v>
      </x:c>
      <x:c r="N3683" s="11" t="n">
        <x:f>IF(G3683,L3683*AN3683/(1+M3683)^F3683,0)</x:f>
        <x:v>0</x:v>
      </x:c>
      <x:c r="AJ3683" t="n">
        <x:v>0</x:v>
      </x:c>
      <x:c r="AK3683" t="n">
        <x:v>0</x:v>
      </x:c>
      <x:c r="AL3683" t="n">
        <x:v>0</x:v>
      </x:c>
      <x:c r="AM3683" t="n">
        <x:f>CHOOSE('假设'!$B$3,AJ3683,AK3683,AL3683)</x:f>
        <x:v>0</x:v>
      </x:c>
      <x:c r="AN3683" t="n">
        <x:v>1</x:v>
      </x:c>
    </x:row>
    <x:row r="3684" ht="23" customHeight="1">
      <x:c r="A3684" s="11" t="str">
        <x:v>688382.SH</x:v>
      </x:c>
      <x:c r="B3684" s="11" t="str">
        <x:v>五年</x:v>
      </x:c>
      <x:c r="C3684" s="11" t="str">
        <x:v>urat_cn</x:v>
      </x:c>
      <x:c r="D3684" s="11" t="str">
        <x:v>2027-12-31</x:v>
      </x:c>
      <x:c r="E3684" s="11" t="str">
        <x:v>CNY</x:v>
      </x:c>
      <x:c r="F3684" s="11" t="n">
        <x:v>-3.7727583846680357</x:v>
      </x:c>
      <x:c r="G3684" s="26" t="b">
        <x:v>0</x:v>
      </x:c>
      <x:c r="H3684" s="16" t="n">
        <x:v>0</x:v>
      </x:c>
      <x:c r="I3684" s="16" t="n">
        <x:v>0</x:v>
      </x:c>
      <x:c r="J3684" s="16" t="n">
        <x:v>0</x:v>
      </x:c>
      <x:c r="K3684" s="11" t="n">
        <x:f>CHOOSE('假设'!$B$3,H3684,I3684,J3684)</x:f>
        <x:v>0</x:v>
      </x:c>
      <x:c r="L3684" s="11" t="n">
        <x:f>K3684*'管线假设'!E799*'管线假设'!F799*'管线假设'!G799*IF(E3684="USD",'管线假设'!I799,1)-AM3684</x:f>
        <x:v>0</x:v>
      </x:c>
      <x:c r="M3684" s="11" t="n">
        <x:f>'管线假设'!H799</x:f>
        <x:v>0.135</x:v>
      </x:c>
      <x:c r="N3684" s="11" t="n">
        <x:f>IF(G3684,L3684*AN3684/(1+M3684)^F3684,0)</x:f>
        <x:v>0</x:v>
      </x:c>
      <x:c r="AJ3684" t="n">
        <x:v>0</x:v>
      </x:c>
      <x:c r="AK3684" t="n">
        <x:v>0</x:v>
      </x:c>
      <x:c r="AL3684" t="n">
        <x:v>0</x:v>
      </x:c>
      <x:c r="AM3684" t="n">
        <x:f>CHOOSE('假设'!$B$3,AJ3684,AK3684,AL3684)</x:f>
        <x:v>0</x:v>
      </x:c>
      <x:c r="AN3684" t="n">
        <x:v>1</x:v>
      </x:c>
    </x:row>
    <x:row r="3685" ht="23" customHeight="1">
      <x:c r="A3685" s="11" t="str">
        <x:v>688382.SH</x:v>
      </x:c>
      <x:c r="B3685" s="11" t="str">
        <x:v>五年</x:v>
      </x:c>
      <x:c r="C3685" s="11" t="str">
        <x:v>urat_cn</x:v>
      </x:c>
      <x:c r="D3685" s="11" t="str">
        <x:v>2028-12-31</x:v>
      </x:c>
      <x:c r="E3685" s="11" t="str">
        <x:v>CNY</x:v>
      </x:c>
      <x:c r="F3685" s="11" t="n">
        <x:v>-2.7707049965776864</x:v>
      </x:c>
      <x:c r="G3685" s="26" t="b">
        <x:v>0</x:v>
      </x:c>
      <x:c r="H3685" s="16" t="n">
        <x:v>0</x:v>
      </x:c>
      <x:c r="I3685" s="16" t="n">
        <x:v>0</x:v>
      </x:c>
      <x:c r="J3685" s="16" t="n">
        <x:v>0</x:v>
      </x:c>
      <x:c r="K3685" s="11" t="n">
        <x:f>CHOOSE('假设'!$B$3,H3685,I3685,J3685)</x:f>
        <x:v>0</x:v>
      </x:c>
      <x:c r="L3685" s="11" t="n">
        <x:f>K3685*'管线假设'!E799*'管线假设'!F799*'管线假设'!G799*IF(E3685="USD",'管线假设'!I799,1)-AM3685</x:f>
        <x:v>0</x:v>
      </x:c>
      <x:c r="M3685" s="11" t="n">
        <x:f>'管线假设'!H799</x:f>
        <x:v>0.135</x:v>
      </x:c>
      <x:c r="N3685" s="11" t="n">
        <x:f>IF(G3685,L3685*AN3685/(1+M3685)^F3685,0)</x:f>
        <x:v>0</x:v>
      </x:c>
      <x:c r="AJ3685" t="n">
        <x:v>0</x:v>
      </x:c>
      <x:c r="AK3685" t="n">
        <x:v>0</x:v>
      </x:c>
      <x:c r="AL3685" t="n">
        <x:v>0</x:v>
      </x:c>
      <x:c r="AM3685" t="n">
        <x:f>CHOOSE('假设'!$B$3,AJ3685,AK3685,AL3685)</x:f>
        <x:v>0</x:v>
      </x:c>
      <x:c r="AN3685" t="n">
        <x:v>1</x:v>
      </x:c>
    </x:row>
    <x:row r="3686" ht="23" customHeight="1">
      <x:c r="A3686" s="11" t="str">
        <x:v>688382.SH</x:v>
      </x:c>
      <x:c r="B3686" s="11" t="str">
        <x:v>五年</x:v>
      </x:c>
      <x:c r="C3686" s="11" t="str">
        <x:v>urat_cn</x:v>
      </x:c>
      <x:c r="D3686" s="11" t="str">
        <x:v>2029-12-31</x:v>
      </x:c>
      <x:c r="E3686" s="11" t="str">
        <x:v>CNY</x:v>
      </x:c>
      <x:c r="F3686" s="11" t="n">
        <x:v>-1.7713894592744694</x:v>
      </x:c>
      <x:c r="G3686" s="26" t="b">
        <x:v>0</x:v>
      </x:c>
      <x:c r="H3686" s="16" t="n">
        <x:v>0</x:v>
      </x:c>
      <x:c r="I3686" s="16" t="n">
        <x:v>0</x:v>
      </x:c>
      <x:c r="J3686" s="16" t="n">
        <x:v>0.43333333333333335</x:v>
      </x:c>
      <x:c r="K3686" s="11" t="n">
        <x:f>CHOOSE('假设'!$B$3,H3686,I3686,J3686)</x:f>
        <x:v>0</x:v>
      </x:c>
      <x:c r="L3686" s="11" t="n">
        <x:f>K3686*'管线假设'!E799*'管线假设'!F799*'管线假设'!G799*IF(E3686="USD",'管线假设'!I799,1)-AM3686</x:f>
        <x:v>0</x:v>
      </x:c>
      <x:c r="M3686" s="11" t="n">
        <x:f>'管线假设'!H799</x:f>
        <x:v>0.135</x:v>
      </x:c>
      <x:c r="N3686" s="11" t="n">
        <x:f>IF(G3686,L3686*AN3686/(1+M3686)^F3686,0)</x:f>
        <x:v>0</x:v>
      </x:c>
      <x:c r="AJ3686" t="n">
        <x:v>0</x:v>
      </x:c>
      <x:c r="AK3686" t="n">
        <x:v>0</x:v>
      </x:c>
      <x:c r="AL3686" t="n">
        <x:v>0</x:v>
      </x:c>
      <x:c r="AM3686" t="n">
        <x:f>CHOOSE('假设'!$B$3,AJ3686,AK3686,AL3686)</x:f>
        <x:v>0</x:v>
      </x:c>
      <x:c r="AN3686" t="n">
        <x:v>1</x:v>
      </x:c>
    </x:row>
    <x:row r="3687" ht="23" customHeight="1">
      <x:c r="A3687" s="11" t="str">
        <x:v>688382.SH</x:v>
      </x:c>
      <x:c r="B3687" s="11" t="str">
        <x:v>五年</x:v>
      </x:c>
      <x:c r="C3687" s="11" t="str">
        <x:v>urat_cn</x:v>
      </x:c>
      <x:c r="D3687" s="11" t="str">
        <x:v>2030-12-31</x:v>
      </x:c>
      <x:c r="E3687" s="11" t="str">
        <x:v>CNY</x:v>
      </x:c>
      <x:c r="F3687" s="11" t="n">
        <x:v>-0.7720739219712526</x:v>
      </x:c>
      <x:c r="G3687" s="26" t="b">
        <x:v>0</x:v>
      </x:c>
      <x:c r="H3687" s="16" t="n">
        <x:v>0</x:v>
      </x:c>
      <x:c r="I3687" s="16" t="n">
        <x:v>0</x:v>
      </x:c>
      <x:c r="J3687" s="16" t="n">
        <x:v>0.8666666666666667</x:v>
      </x:c>
      <x:c r="K3687" s="11" t="n">
        <x:f>CHOOSE('假设'!$B$3,H3687,I3687,J3687)</x:f>
        <x:v>0</x:v>
      </x:c>
      <x:c r="L3687" s="11" t="n">
        <x:f>K3687*'管线假设'!E799*'管线假设'!F799*'管线假设'!G799*IF(E3687="USD",'管线假设'!I799,1)-AM3687</x:f>
        <x:v>0</x:v>
      </x:c>
      <x:c r="M3687" s="11" t="n">
        <x:f>'管线假设'!H799</x:f>
        <x:v>0.135</x:v>
      </x:c>
      <x:c r="N3687" s="11" t="n">
        <x:f>IF(G3687,L3687*AN3687/(1+M3687)^F3687,0)</x:f>
        <x:v>0</x:v>
      </x:c>
      <x:c r="AJ3687" t="n">
        <x:v>0</x:v>
      </x:c>
      <x:c r="AK3687" t="n">
        <x:v>0</x:v>
      </x:c>
      <x:c r="AL3687" t="n">
        <x:v>0</x:v>
      </x:c>
      <x:c r="AM3687" t="n">
        <x:f>CHOOSE('假设'!$B$3,AJ3687,AK3687,AL3687)</x:f>
        <x:v>0</x:v>
      </x:c>
      <x:c r="AN3687" t="n">
        <x:v>1</x:v>
      </x:c>
    </x:row>
    <x:row r="3688" ht="23" customHeight="1">
      <x:c r="A3688" s="11" t="str">
        <x:v>688382.SH</x:v>
      </x:c>
      <x:c r="B3688" s="11" t="str">
        <x:v>五年</x:v>
      </x:c>
      <x:c r="C3688" s="11" t="str">
        <x:v>urat_cn</x:v>
      </x:c>
      <x:c r="D3688" s="11" t="str">
        <x:v>2031-12-31</x:v>
      </x:c>
      <x:c r="E3688" s="11" t="str">
        <x:v>CNY</x:v>
      </x:c>
      <x:c r="F3688" s="11" t="n">
        <x:v>0.2272416153319644</x:v>
      </x:c>
      <x:c r="G3688" s="26" t="b">
        <x:v>1</x:v>
      </x:c>
      <x:c r="H3688" s="16" t="n">
        <x:v>0</x:v>
      </x:c>
      <x:c r="I3688" s="16" t="n">
        <x:v>0.2333333333333333</x:v>
      </x:c>
      <x:c r="J3688" s="16" t="n">
        <x:v>1.3</x:v>
      </x:c>
      <x:c r="K3688" s="11" t="n">
        <x:f>CHOOSE('假设'!$B$3,H3688,I3688,J3688)</x:f>
        <x:v>0.2333333333333333</x:v>
      </x:c>
      <x:c r="L3688" s="11" t="n">
        <x:f>K3688*'管线假设'!E799*'管线假设'!F799*'管线假设'!G799*IF(E3688="USD",'管线假设'!I799,1)-AM3688</x:f>
        <x:v>0.039004</x:v>
      </x:c>
      <x:c r="M3688" s="11" t="n">
        <x:f>'管线假设'!H799</x:f>
        <x:v>0.135</x:v>
      </x:c>
      <x:c r="N3688" s="11" t="n">
        <x:f>IF(G3688,L3688*AN3688/(1+M3688)^F3688,0)</x:f>
        <x:v>0.03789760800685293</x:v>
      </x:c>
      <x:c r="AJ3688" t="n">
        <x:v>0</x:v>
      </x:c>
      <x:c r="AK3688" t="n">
        <x:v>0</x:v>
      </x:c>
      <x:c r="AL3688" t="n">
        <x:v>0</x:v>
      </x:c>
      <x:c r="AM3688" t="n">
        <x:f>CHOOSE('假设'!$B$3,AJ3688,AK3688,AL3688)</x:f>
        <x:v>0</x:v>
      </x:c>
      <x:c r="AN3688" t="n">
        <x:v>1</x:v>
      </x:c>
    </x:row>
    <x:row r="3689" ht="23" customHeight="1">
      <x:c r="A3689" s="11" t="str">
        <x:v>688382.SH</x:v>
      </x:c>
      <x:c r="B3689" s="11" t="str">
        <x:v>五年</x:v>
      </x:c>
      <x:c r="C3689" s="11" t="str">
        <x:v>urat_cn</x:v>
      </x:c>
      <x:c r="D3689" s="11" t="str">
        <x:v>2032-12-31</x:v>
      </x:c>
      <x:c r="E3689" s="11" t="str">
        <x:v>CNY</x:v>
      </x:c>
      <x:c r="F3689" s="11" t="n">
        <x:v>1.2292950034223136</x:v>
      </x:c>
      <x:c r="G3689" s="26" t="b">
        <x:v>1</x:v>
      </x:c>
      <x:c r="H3689" s="16" t="n">
        <x:v>0</x:v>
      </x:c>
      <x:c r="I3689" s="16" t="n">
        <x:v>0.4666666666666666</x:v>
      </x:c>
      <x:c r="J3689" s="16" t="n">
        <x:v>1.7333333333333334</x:v>
      </x:c>
      <x:c r="K3689" s="11" t="n">
        <x:f>CHOOSE('假设'!$B$3,H3689,I3689,J3689)</x:f>
        <x:v>0.4666666666666666</x:v>
      </x:c>
      <x:c r="L3689" s="11" t="n">
        <x:f>K3689*'管线假设'!E799*'管线假设'!F799*'管线假设'!G799*IF(E3689="USD",'管线假设'!I799,1)-AM3689</x:f>
        <x:v>0.078008</x:v>
      </x:c>
      <x:c r="M3689" s="11" t="n">
        <x:f>'管线假设'!H799</x:f>
        <x:v>0.135</x:v>
      </x:c>
      <x:c r="N3689" s="11" t="n">
        <x:f>IF(G3689,L3689*AN3689/(1+M3689)^F3689,0)</x:f>
        <x:v>0.06676256374516054</x:v>
      </x:c>
      <x:c r="AJ3689" t="n">
        <x:v>0</x:v>
      </x:c>
      <x:c r="AK3689" t="n">
        <x:v>0</x:v>
      </x:c>
      <x:c r="AL3689" t="n">
        <x:v>0</x:v>
      </x:c>
      <x:c r="AM3689" t="n">
        <x:f>CHOOSE('假设'!$B$3,AJ3689,AK3689,AL3689)</x:f>
        <x:v>0</x:v>
      </x:c>
      <x:c r="AN3689" t="n">
        <x:v>1</x:v>
      </x:c>
    </x:row>
    <x:row r="3690" ht="23" customHeight="1">
      <x:c r="A3690" s="11" t="str">
        <x:v>688382.SH</x:v>
      </x:c>
      <x:c r="B3690" s="11" t="str">
        <x:v>五年</x:v>
      </x:c>
      <x:c r="C3690" s="11" t="str">
        <x:v>urat_cn</x:v>
      </x:c>
      <x:c r="D3690" s="11" t="str">
        <x:v>2033-12-31</x:v>
      </x:c>
      <x:c r="E3690" s="11" t="str">
        <x:v>CNY</x:v>
      </x:c>
      <x:c r="F3690" s="11" t="n">
        <x:v>2.2286105407255303</x:v>
      </x:c>
      <x:c r="G3690" s="26" t="b">
        <x:v>1</x:v>
      </x:c>
      <x:c r="H3690" s="16" t="n">
        <x:v>0</x:v>
      </x:c>
      <x:c r="I3690" s="16" t="n">
        <x:v>0.7</x:v>
      </x:c>
      <x:c r="J3690" s="16" t="n">
        <x:v>2.166666666666667</x:v>
      </x:c>
      <x:c r="K3690" s="11" t="n">
        <x:f>CHOOSE('假设'!$B$3,H3690,I3690,J3690)</x:f>
        <x:v>0.7</x:v>
      </x:c>
      <x:c r="L3690" s="11" t="n">
        <x:f>K3690*'管线假设'!E799*'管线假设'!F799*'管线假设'!G799*IF(E3690="USD",'管线假设'!I799,1)-AM3690</x:f>
        <x:v>0.11701199999999999</x:v>
      </x:c>
      <x:c r="M3690" s="11" t="n">
        <x:f>'管线假设'!H799</x:f>
        <x:v>0.135</x:v>
      </x:c>
      <x:c r="N3690" s="11" t="n">
        <x:f>IF(G3690,L3690*AN3690/(1+M3690)^F3690,0)</x:f>
        <x:v>0.08824011100825045</x:v>
      </x:c>
      <x:c r="AJ3690" t="n">
        <x:v>0</x:v>
      </x:c>
      <x:c r="AK3690" t="n">
        <x:v>0</x:v>
      </x:c>
      <x:c r="AL3690" t="n">
        <x:v>0</x:v>
      </x:c>
      <x:c r="AM3690" t="n">
        <x:f>CHOOSE('假设'!$B$3,AJ3690,AK3690,AL3690)</x:f>
        <x:v>0</x:v>
      </x:c>
      <x:c r="AN3690" t="n">
        <x:v>1</x:v>
      </x:c>
    </x:row>
    <x:row r="3691" ht="23" customHeight="1">
      <x:c r="A3691" s="11" t="str">
        <x:v>688382.SH</x:v>
      </x:c>
      <x:c r="B3691" s="11" t="str">
        <x:v>五年</x:v>
      </x:c>
      <x:c r="C3691" s="11" t="str">
        <x:v>urat_cn</x:v>
      </x:c>
      <x:c r="D3691" s="11" t="str">
        <x:v>2034-12-31</x:v>
      </x:c>
      <x:c r="E3691" s="11" t="str">
        <x:v>CNY</x:v>
      </x:c>
      <x:c r="F3691" s="11" t="n">
        <x:v>3.2279260780287475</x:v>
      </x:c>
      <x:c r="G3691" s="26" t="b">
        <x:v>1</x:v>
      </x:c>
      <x:c r="H3691" s="16" t="n">
        <x:v>0.12</x:v>
      </x:c>
      <x:c r="I3691" s="16" t="n">
        <x:v>0.9333333333333332</x:v>
      </x:c>
      <x:c r="J3691" s="16" t="n">
        <x:v>2.6</x:v>
      </x:c>
      <x:c r="K3691" s="11" t="n">
        <x:f>CHOOSE('假设'!$B$3,H3691,I3691,J3691)</x:f>
        <x:v>0.9333333333333332</x:v>
      </x:c>
      <x:c r="L3691" s="11" t="n">
        <x:f>K3691*'管线假设'!E799*'管线假设'!F799*'管线假设'!G799*IF(E3691="USD",'管线假设'!I799,1)-AM3691</x:f>
        <x:v>0.156016</x:v>
      </x:c>
      <x:c r="M3691" s="11" t="n">
        <x:f>'管线假设'!H799</x:f>
        <x:v>0.135</x:v>
      </x:c>
      <x:c r="N3691" s="11" t="n">
        <x:f>IF(G3691,L3691*AN3691/(1+M3691)^F3691,0)</x:f>
        <x:v>0.10366844003534038</x:v>
      </x:c>
      <x:c r="AJ3691" t="n">
        <x:v>0</x:v>
      </x:c>
      <x:c r="AK3691" t="n">
        <x:v>0</x:v>
      </x:c>
      <x:c r="AL3691" t="n">
        <x:v>0</x:v>
      </x:c>
      <x:c r="AM3691" t="n">
        <x:f>CHOOSE('假设'!$B$3,AJ3691,AK3691,AL3691)</x:f>
        <x:v>0</x:v>
      </x:c>
      <x:c r="AN3691" t="n">
        <x:v>1</x:v>
      </x:c>
    </x:row>
    <x:row r="3692" ht="23" customHeight="1">
      <x:c r="A3692" s="11" t="str">
        <x:v>688382.SH</x:v>
      </x:c>
      <x:c r="B3692" s="11" t="str">
        <x:v>五年</x:v>
      </x:c>
      <x:c r="C3692" s="11" t="str">
        <x:v>urat_cn</x:v>
      </x:c>
      <x:c r="D3692" s="11" t="str">
        <x:v>2035-12-31</x:v>
      </x:c>
      <x:c r="E3692" s="11" t="str">
        <x:v>CNY</x:v>
      </x:c>
      <x:c r="F3692" s="11" t="n">
        <x:v>4.227241615331964</x:v>
      </x:c>
      <x:c r="G3692" s="26" t="b">
        <x:v>1</x:v>
      </x:c>
      <x:c r="H3692" s="16" t="n">
        <x:v>0.24</x:v>
      </x:c>
      <x:c r="I3692" s="16" t="n">
        <x:v>1.1666666666666667</x:v>
      </x:c>
      <x:c r="J3692" s="16" t="n">
        <x:v>2.262</x:v>
      </x:c>
      <x:c r="K3692" s="11" t="n">
        <x:f>CHOOSE('假设'!$B$3,H3692,I3692,J3692)</x:f>
        <x:v>1.1666666666666667</x:v>
      </x:c>
      <x:c r="L3692" s="11" t="n">
        <x:f>K3692*'管线假设'!E799*'管线假设'!F799*'管线假设'!G799*IF(E3692="USD",'管线假设'!I799,1)-AM3692</x:f>
        <x:v>0.19502000000000003</x:v>
      </x:c>
      <x:c r="M3692" s="11" t="n">
        <x:f>'管线假设'!H799</x:f>
        <x:v>0.135</x:v>
      </x:c>
      <x:c r="N3692" s="11" t="n">
        <x:f>IF(G3692,L3692*AN3692/(1+M3692)^F3692,0)</x:f>
        <x:v>0.11418218713719494</x:v>
      </x:c>
      <x:c r="AJ3692" t="n">
        <x:v>0</x:v>
      </x:c>
      <x:c r="AK3692" t="n">
        <x:v>0</x:v>
      </x:c>
      <x:c r="AL3692" t="n">
        <x:v>0</x:v>
      </x:c>
      <x:c r="AM3692" t="n">
        <x:f>CHOOSE('假设'!$B$3,AJ3692,AK3692,AL3692)</x:f>
        <x:v>0</x:v>
      </x:c>
      <x:c r="AN3692" t="n">
        <x:v>1</x:v>
      </x:c>
    </x:row>
    <x:row r="3693" ht="23" customHeight="1">
      <x:c r="A3693" s="11" t="str">
        <x:v>688382.SH</x:v>
      </x:c>
      <x:c r="B3693" s="11" t="str">
        <x:v>五年</x:v>
      </x:c>
      <x:c r="C3693" s="11" t="str">
        <x:v>urat_cn</x:v>
      </x:c>
      <x:c r="D3693" s="11" t="str">
        <x:v>2036-12-31</x:v>
      </x:c>
      <x:c r="E3693" s="11" t="str">
        <x:v>CNY</x:v>
      </x:c>
      <x:c r="F3693" s="11" t="n">
        <x:v>5.229295003422314</x:v>
      </x:c>
      <x:c r="G3693" s="26" t="b">
        <x:v>1</x:v>
      </x:c>
      <x:c r="H3693" s="16" t="n">
        <x:v>0.36</x:v>
      </x:c>
      <x:c r="I3693" s="16" t="n">
        <x:v>1.4</x:v>
      </x:c>
      <x:c r="J3693" s="16" t="n">
        <x:v>1.924</x:v>
      </x:c>
      <x:c r="K3693" s="11" t="n">
        <x:f>CHOOSE('假设'!$B$3,H3693,I3693,J3693)</x:f>
        <x:v>1.4</x:v>
      </x:c>
      <x:c r="L3693" s="11" t="n">
        <x:f>K3693*'管线假设'!E799*'管线假设'!F799*'管线假设'!G799*IF(E3693="USD",'管线假设'!I799,1)-AM3693</x:f>
        <x:v>0.23402399999999998</x:v>
      </x:c>
      <x:c r="M3693" s="11" t="n">
        <x:f>'管线假设'!H799</x:f>
        <x:v>0.135</x:v>
      </x:c>
      <x:c r="N3693" s="11" t="n">
        <x:f>IF(G3693,L3693*AN3693/(1+M3693)^F3693,0)</x:f>
        <x:v>0.12068986854152423</x:v>
      </x:c>
      <x:c r="AJ3693" t="n">
        <x:v>0</x:v>
      </x:c>
      <x:c r="AK3693" t="n">
        <x:v>0</x:v>
      </x:c>
      <x:c r="AL3693" t="n">
        <x:v>0</x:v>
      </x:c>
      <x:c r="AM3693" t="n">
        <x:f>CHOOSE('假设'!$B$3,AJ3693,AK3693,AL3693)</x:f>
        <x:v>0</x:v>
      </x:c>
      <x:c r="AN3693" t="n">
        <x:v>1</x:v>
      </x:c>
    </x:row>
    <x:row r="3694" ht="23" customHeight="1">
      <x:c r="A3694" s="11" t="str">
        <x:v>688382.SH</x:v>
      </x:c>
      <x:c r="B3694" s="11" t="str">
        <x:v>五年</x:v>
      </x:c>
      <x:c r="C3694" s="11" t="str">
        <x:v>urat_cn</x:v>
      </x:c>
      <x:c r="D3694" s="11" t="str">
        <x:v>2037-12-31</x:v>
      </x:c>
      <x:c r="E3694" s="11" t="str">
        <x:v>CNY</x:v>
      </x:c>
      <x:c r="F3694" s="11" t="n">
        <x:v>6.228610540725531</x:v>
      </x:c>
      <x:c r="G3694" s="26" t="b">
        <x:v>1</x:v>
      </x:c>
      <x:c r="H3694" s="16" t="n">
        <x:v>0.48</x:v>
      </x:c>
      <x:c r="I3694" s="16" t="n">
        <x:v>1.218</x:v>
      </x:c>
      <x:c r="J3694" s="16" t="n">
        <x:v>1.586</x:v>
      </x:c>
      <x:c r="K3694" s="11" t="n">
        <x:f>CHOOSE('假设'!$B$3,H3694,I3694,J3694)</x:f>
        <x:v>1.218</x:v>
      </x:c>
      <x:c r="L3694" s="11" t="n">
        <x:f>K3694*'管线假设'!E799*'管线假设'!F799*'管线假设'!G799*IF(E3694="USD",'管线假设'!I799,1)-AM3694</x:f>
        <x:v>0.20360088</x:v>
      </x:c>
      <x:c r="M3694" s="11" t="n">
        <x:f>'管线假设'!H799</x:f>
        <x:v>0.135</x:v>
      </x:c>
      <x:c r="N3694" s="11" t="n">
        <x:f>IF(G3694,L3694*AN3694/(1+M3694)^F3694,0)</x:f>
        <x:v>0.09251919555140495</x:v>
      </x:c>
      <x:c r="AJ3694" t="n">
        <x:v>0</x:v>
      </x:c>
      <x:c r="AK3694" t="n">
        <x:v>0</x:v>
      </x:c>
      <x:c r="AL3694" t="n">
        <x:v>0</x:v>
      </x:c>
      <x:c r="AM3694" t="n">
        <x:f>CHOOSE('假设'!$B$3,AJ3694,AK3694,AL3694)</x:f>
        <x:v>0</x:v>
      </x:c>
      <x:c r="AN3694" t="n">
        <x:v>1</x:v>
      </x:c>
    </x:row>
    <x:row r="3695" ht="23" customHeight="1">
      <x:c r="A3695" s="11" t="str">
        <x:v>688382.SH</x:v>
      </x:c>
      <x:c r="B3695" s="11" t="str">
        <x:v>五年</x:v>
      </x:c>
      <x:c r="C3695" s="11" t="str">
        <x:v>urat_cn</x:v>
      </x:c>
      <x:c r="D3695" s="11" t="str">
        <x:v>2038-12-31</x:v>
      </x:c>
      <x:c r="E3695" s="11" t="str">
        <x:v>CNY</x:v>
      </x:c>
      <x:c r="F3695" s="11" t="n">
        <x:v>7.227926078028747</x:v>
      </x:c>
      <x:c r="G3695" s="26" t="b">
        <x:v>1</x:v>
      </x:c>
      <x:c r="H3695" s="16" t="n">
        <x:v>0.6</x:v>
      </x:c>
      <x:c r="I3695" s="16" t="n">
        <x:v>1.036</x:v>
      </x:c>
      <x:c r="J3695" s="16" t="n">
        <x:v>1.248</x:v>
      </x:c>
      <x:c r="K3695" s="11" t="n">
        <x:f>CHOOSE('假设'!$B$3,H3695,I3695,J3695)</x:f>
        <x:v>1.036</x:v>
      </x:c>
      <x:c r="L3695" s="11" t="n">
        <x:f>K3695*'管线假设'!E799*'管线假设'!F799*'管线假设'!G799*IF(E3695="USD",'管线假设'!I799,1)-AM3695</x:f>
        <x:v>0.17317776000000004</x:v>
      </x:c>
      <x:c r="M3695" s="11" t="n">
        <x:f>'管线假设'!H799</x:f>
        <x:v>0.135</x:v>
      </x:c>
      <x:c r="N3695" s="11" t="n">
        <x:f>IF(G3695,L3695*AN3695/(1+M3695)^F3695,0)</x:f>
        <x:v>0.06934036064860549</x:v>
      </x:c>
      <x:c r="AJ3695" t="n">
        <x:v>0</x:v>
      </x:c>
      <x:c r="AK3695" t="n">
        <x:v>0</x:v>
      </x:c>
      <x:c r="AL3695" t="n">
        <x:v>0</x:v>
      </x:c>
      <x:c r="AM3695" t="n">
        <x:f>CHOOSE('假设'!$B$3,AJ3695,AK3695,AL3695)</x:f>
        <x:v>0</x:v>
      </x:c>
      <x:c r="AN3695" t="n">
        <x:v>1</x:v>
      </x:c>
    </x:row>
    <x:row r="3696" ht="23" customHeight="1">
      <x:c r="A3696" s="11" t="str">
        <x:v>688382.SH</x:v>
      </x:c>
      <x:c r="B3696" s="11" t="str">
        <x:v>五年</x:v>
      </x:c>
      <x:c r="C3696" s="11" t="str">
        <x:v>urat_cn</x:v>
      </x:c>
      <x:c r="D3696" s="11" t="str">
        <x:v>2039-12-31</x:v>
      </x:c>
      <x:c r="E3696" s="11" t="str">
        <x:v>CNY</x:v>
      </x:c>
      <x:c r="F3696" s="11" t="n">
        <x:v>8.227241615331964</x:v>
      </x:c>
      <x:c r="G3696" s="26" t="b">
        <x:v>1</x:v>
      </x:c>
      <x:c r="H3696" s="16" t="n">
        <x:v>0.522</x:v>
      </x:c>
      <x:c r="I3696" s="16" t="n">
        <x:v>0.854</x:v>
      </x:c>
      <x:c r="J3696" s="16" t="n">
        <x:v>0.9099999999999999</x:v>
      </x:c>
      <x:c r="K3696" s="11" t="n">
        <x:f>CHOOSE('假设'!$B$3,H3696,I3696,J3696)</x:f>
        <x:v>0.854</x:v>
      </x:c>
      <x:c r="L3696" s="11" t="n">
        <x:f>K3696*'管线假设'!E799*'管线假设'!F799*'管线假设'!G799*IF(E3696="USD",'管线假设'!I799,1)-AM3696</x:f>
        <x:v>0.14275464000000002</x:v>
      </x:c>
      <x:c r="M3696" s="11" t="n">
        <x:f>'管线假设'!H799</x:f>
        <x:v>0.135</x:v>
      </x:c>
      <x:c r="N3696" s="11" t="n">
        <x:f>IF(G3696,L3696*AN3696/(1+M3696)^F3696,0)</x:f>
        <x:v>0.0503646699780077</x:v>
      </x:c>
      <x:c r="AJ3696" t="n">
        <x:v>0</x:v>
      </x:c>
      <x:c r="AK3696" t="n">
        <x:v>0</x:v>
      </x:c>
      <x:c r="AL3696" t="n">
        <x:v>0</x:v>
      </x:c>
      <x:c r="AM3696" t="n">
        <x:f>CHOOSE('假设'!$B$3,AJ3696,AK3696,AL3696)</x:f>
        <x:v>0</x:v>
      </x:c>
      <x:c r="AN3696" t="n">
        <x:v>1</x:v>
      </x:c>
    </x:row>
    <x:row r="3697" ht="23" customHeight="1">
      <x:c r="A3697" s="11" t="str">
        <x:v>688382.SH</x:v>
      </x:c>
      <x:c r="B3697" s="11" t="str">
        <x:v>五年</x:v>
      </x:c>
      <x:c r="C3697" s="11" t="str">
        <x:v>urat_cn</x:v>
      </x:c>
      <x:c r="D3697" s="11" t="str">
        <x:v>2040-12-31</x:v>
      </x:c>
      <x:c r="E3697" s="11" t="str">
        <x:v>CNY</x:v>
      </x:c>
      <x:c r="F3697" s="11" t="n">
        <x:v>9.229295003422314</x:v>
      </x:c>
      <x:c r="G3697" s="26" t="b">
        <x:v>1</x:v>
      </x:c>
      <x:c r="H3697" s="16" t="n">
        <x:v>0.444</x:v>
      </x:c>
      <x:c r="I3697" s="16" t="n">
        <x:v>0.6719999999999999</x:v>
      </x:c>
      <x:c r="J3697" s="16" t="n">
        <x:v>0.572</x:v>
      </x:c>
      <x:c r="K3697" s="11" t="n">
        <x:f>CHOOSE('假设'!$B$3,H3697,I3697,J3697)</x:f>
        <x:v>0.6719999999999999</x:v>
      </x:c>
      <x:c r="L3697" s="11" t="n">
        <x:f>K3697*'管线假设'!E799*'管线假设'!F799*'管线假设'!G799*IF(E3697="USD",'管线假设'!I799,1)-AM3697</x:f>
        <x:v>0.11233151999999999</x:v>
      </x:c>
      <x:c r="M3697" s="11" t="n">
        <x:f>'管线假设'!H799</x:f>
        <x:v>0.135</x:v>
      </x:c>
      <x:c r="N3697" s="11" t="n">
        <x:f>IF(G3697,L3697*AN3697/(1+M3697)^F3697,0)</x:f>
        <x:v>0.03490829243567209</x:v>
      </x:c>
      <x:c r="AJ3697" t="n">
        <x:v>0</x:v>
      </x:c>
      <x:c r="AK3697" t="n">
        <x:v>0</x:v>
      </x:c>
      <x:c r="AL3697" t="n">
        <x:v>0</x:v>
      </x:c>
      <x:c r="AM3697" t="n">
        <x:f>CHOOSE('假设'!$B$3,AJ3697,AK3697,AL3697)</x:f>
        <x:v>0</x:v>
      </x:c>
      <x:c r="AN3697" t="n">
        <x:v>1</x:v>
      </x:c>
    </x:row>
    <x:row r="3698" ht="23" customHeight="1">
      <x:c r="A3698" s="11" t="str">
        <x:v>688382.SH</x:v>
      </x:c>
      <x:c r="B3698" s="11" t="str">
        <x:v>五年</x:v>
      </x:c>
      <x:c r="C3698" s="11" t="str">
        <x:v>urat_cn</x:v>
      </x:c>
      <x:c r="D3698" s="11" t="str">
        <x:v>2041-12-31</x:v>
      </x:c>
      <x:c r="E3698" s="11" t="str">
        <x:v>CNY</x:v>
      </x:c>
      <x:c r="F3698" s="11" t="n">
        <x:v>10.22861054072553</x:v>
      </x:c>
      <x:c r="G3698" s="26" t="b">
        <x:v>1</x:v>
      </x:c>
      <x:c r="H3698" s="16" t="n">
        <x:v>0.366</x:v>
      </x:c>
      <x:c r="I3698" s="16" t="n">
        <x:v>0.48999999999999994</x:v>
      </x:c>
      <x:c r="J3698" s="16" t="n">
        <x:v>0.23399999999999993</x:v>
      </x:c>
      <x:c r="K3698" s="11" t="n">
        <x:f>CHOOSE('假设'!$B$3,H3698,I3698,J3698)</x:f>
        <x:v>0.48999999999999994</x:v>
      </x:c>
      <x:c r="L3698" s="11" t="n">
        <x:f>K3698*'管线假设'!E799*'管线假设'!F799*'管线假设'!G799*IF(E3698="USD",'管线假设'!I799,1)-AM3698</x:f>
        <x:v>0.08190839999999999</x:v>
      </x:c>
      <x:c r="M3698" s="11" t="n">
        <x:f>'管线假设'!H799</x:f>
        <x:v>0.135</x:v>
      </x:c>
      <x:c r="N3698" s="11" t="n">
        <x:f>IF(G3698,L3698*AN3698/(1+M3698)^F3698,0)</x:f>
        <x:v>0.022428343225123402</x:v>
      </x:c>
      <x:c r="AJ3698" t="n">
        <x:v>0</x:v>
      </x:c>
      <x:c r="AK3698" t="n">
        <x:v>0</x:v>
      </x:c>
      <x:c r="AL3698" t="n">
        <x:v>0</x:v>
      </x:c>
      <x:c r="AM3698" t="n">
        <x:f>CHOOSE('假设'!$B$3,AJ3698,AK3698,AL3698)</x:f>
        <x:v>0</x:v>
      </x:c>
      <x:c r="AN3698" t="n">
        <x:v>1</x:v>
      </x:c>
    </x:row>
    <x:row r="3699" ht="23" customHeight="1">
      <x:c r="A3699" s="11" t="str">
        <x:v>688382.SH</x:v>
      </x:c>
      <x:c r="B3699" s="11" t="str">
        <x:v>五年</x:v>
      </x:c>
      <x:c r="C3699" s="11" t="str">
        <x:v>urat_cn</x:v>
      </x:c>
      <x:c r="D3699" s="11" t="str">
        <x:v>2042-12-31</x:v>
      </x:c>
      <x:c r="E3699" s="11" t="str">
        <x:v>CNY</x:v>
      </x:c>
      <x:c r="F3699" s="11" t="n">
        <x:v>11.227926078028748</x:v>
      </x:c>
      <x:c r="G3699" s="26" t="b">
        <x:v>1</x:v>
      </x:c>
      <x:c r="H3699" s="16" t="n">
        <x:v>0.288</x:v>
      </x:c>
      <x:c r="I3699" s="16" t="n">
        <x:v>0.30799999999999994</x:v>
      </x:c>
      <x:c r="J3699" s="16" t="n">
        <x:v>0</x:v>
      </x:c>
      <x:c r="K3699" s="11" t="n">
        <x:f>CHOOSE('假设'!$B$3,H3699,I3699,J3699)</x:f>
        <x:v>0.30799999999999994</x:v>
      </x:c>
      <x:c r="L3699" s="11" t="n">
        <x:f>K3699*'管线假设'!E799*'管线假设'!F799*'管线假设'!G799*IF(E3699="USD",'管线假设'!I799,1)-AM3699</x:f>
        <x:v>0.051485279999999994</x:v>
      </x:c>
      <x:c r="M3699" s="11" t="n">
        <x:f>'管线假设'!H799</x:f>
        <x:v>0.135</x:v>
      </x:c>
      <x:c r="N3699" s="11" t="n">
        <x:f>IF(G3699,L3699*AN3699/(1+M3699)^F3699,0)</x:f>
        <x:v>0.012422059671572913</x:v>
      </x:c>
      <x:c r="AJ3699" t="n">
        <x:v>0</x:v>
      </x:c>
      <x:c r="AK3699" t="n">
        <x:v>0</x:v>
      </x:c>
      <x:c r="AL3699" t="n">
        <x:v>0</x:v>
      </x:c>
      <x:c r="AM3699" t="n">
        <x:f>CHOOSE('假设'!$B$3,AJ3699,AK3699,AL3699)</x:f>
        <x:v>0</x:v>
      </x:c>
      <x:c r="AN3699" t="n">
        <x:v>1</x:v>
      </x:c>
    </x:row>
    <x:row r="3700" ht="23" customHeight="1">
      <x:c r="A3700" s="11" t="str">
        <x:v>688382.SH</x:v>
      </x:c>
      <x:c r="B3700" s="11" t="str">
        <x:v>五年</x:v>
      </x:c>
      <x:c r="C3700" s="11" t="str">
        <x:v>urat_cn</x:v>
      </x:c>
      <x:c r="D3700" s="11" t="str">
        <x:v>2043-12-31</x:v>
      </x:c>
      <x:c r="E3700" s="11" t="str">
        <x:v>CNY</x:v>
      </x:c>
      <x:c r="F3700" s="11" t="n">
        <x:v>12.227241615331964</x:v>
      </x:c>
      <x:c r="G3700" s="26" t="b">
        <x:v>1</x:v>
      </x:c>
      <x:c r="H3700" s="16" t="n">
        <x:v>0.21</x:v>
      </x:c>
      <x:c r="I3700" s="16" t="n">
        <x:v>0.12599999999999995</x:v>
      </x:c>
      <x:c r="J3700" s="16" t="n">
        <x:v>0</x:v>
      </x:c>
      <x:c r="K3700" s="11" t="n">
        <x:f>CHOOSE('假设'!$B$3,H3700,I3700,J3700)</x:f>
        <x:v>0.12599999999999995</x:v>
      </x:c>
      <x:c r="L3700" s="11" t="n">
        <x:f>K3700*'管线假设'!E799*'管线假设'!F799*'管线假设'!G799*IF(E3700="USD",'管线假设'!I799,1)-AM3700</x:f>
        <x:v>0.021062159999999993</x:v>
      </x:c>
      <x:c r="M3700" s="11" t="n">
        <x:f>'管线假设'!H799</x:f>
        <x:v>0.135</x:v>
      </x:c>
      <x:c r="N3700" s="11" t="n">
        <x:f>IF(G3700,L3700*AN3700/(1+M3700)^F3700,0)</x:f>
        <x:v>0.004477702348367461</x:v>
      </x:c>
      <x:c r="AJ3700" t="n">
        <x:v>0</x:v>
      </x:c>
      <x:c r="AK3700" t="n">
        <x:v>0</x:v>
      </x:c>
      <x:c r="AL3700" t="n">
        <x:v>0</x:v>
      </x:c>
      <x:c r="AM3700" t="n">
        <x:f>CHOOSE('假设'!$B$3,AJ3700,AK3700,AL3700)</x:f>
        <x:v>0</x:v>
      </x:c>
      <x:c r="AN3700" t="n">
        <x:v>1</x:v>
      </x:c>
    </x:row>
    <x:row r="3701" ht="23" customHeight="1">
      <x:c r="A3701" s="11" t="str">
        <x:v>688382.SH</x:v>
      </x:c>
      <x:c r="B3701" s="11" t="str">
        <x:v>五年</x:v>
      </x:c>
      <x:c r="C3701" s="11" t="str">
        <x:v>urat_cn</x:v>
      </x:c>
      <x:c r="D3701" s="11" t="str">
        <x:v>2044-12-31</x:v>
      </x:c>
      <x:c r="E3701" s="11" t="str">
        <x:v>CNY</x:v>
      </x:c>
      <x:c r="F3701" s="11" t="n">
        <x:v>13.229295003422314</x:v>
      </x:c>
      <x:c r="G3701" s="26" t="b">
        <x:v>1</x:v>
      </x:c>
      <x:c r="H3701" s="16" t="n">
        <x:v>0.13199999999999998</x:v>
      </x:c>
      <x:c r="I3701" s="16" t="n">
        <x:v>0</x:v>
      </x:c>
      <x:c r="J3701" s="16" t="n">
        <x:v>0</x:v>
      </x:c>
      <x:c r="K3701" s="11" t="n">
        <x:f>CHOOSE('假设'!$B$3,H3701,I3701,J3701)</x:f>
        <x:v>0</x:v>
      </x:c>
      <x:c r="L3701" s="11" t="n">
        <x:f>K3701*'管线假设'!E799*'管线假设'!F799*'管线假设'!G799*IF(E3701="USD",'管线假设'!I799,1)-AM3701</x:f>
        <x:v>0</x:v>
      </x:c>
      <x:c r="M3701" s="11" t="n">
        <x:f>'管线假设'!H799</x:f>
        <x:v>0.135</x:v>
      </x:c>
      <x:c r="N3701" s="11" t="n">
        <x:f>IF(G3701,L3701*AN3701/(1+M3701)^F3701,0)</x:f>
        <x:v>0</x:v>
      </x:c>
      <x:c r="AJ3701" t="n">
        <x:v>0</x:v>
      </x:c>
      <x:c r="AK3701" t="n">
        <x:v>0</x:v>
      </x:c>
      <x:c r="AL3701" t="n">
        <x:v>0</x:v>
      </x:c>
      <x:c r="AM3701" t="n">
        <x:f>CHOOSE('假设'!$B$3,AJ3701,AK3701,AL3701)</x:f>
        <x:v>0</x:v>
      </x:c>
      <x:c r="AN3701" t="n">
        <x:v>1</x:v>
      </x:c>
    </x:row>
    <x:row r="3702" ht="23" customHeight="1">
      <x:c r="A3702" s="11" t="str">
        <x:v>688382.SH</x:v>
      </x:c>
      <x:c r="B3702" s="11" t="str">
        <x:v>五年</x:v>
      </x:c>
      <x:c r="C3702" s="11" t="str">
        <x:v>urat_cn</x:v>
      </x:c>
      <x:c r="D3702" s="11" t="str">
        <x:v>2045-12-31</x:v>
      </x:c>
      <x:c r="E3702" s="11" t="str">
        <x:v>CNY</x:v>
      </x:c>
      <x:c r="F3702" s="11" t="n">
        <x:v>14.22861054072553</x:v>
      </x:c>
      <x:c r="G3702" s="26" t="b">
        <x:v>1</x:v>
      </x:c>
      <x:c r="H3702" s="16" t="n">
        <x:v>0.05399999999999998</x:v>
      </x:c>
      <x:c r="I3702" s="16" t="n">
        <x:v>0</x:v>
      </x:c>
      <x:c r="J3702" s="16" t="n">
        <x:v>0</x:v>
      </x:c>
      <x:c r="K3702" s="11" t="n">
        <x:f>CHOOSE('假设'!$B$3,H3702,I3702,J3702)</x:f>
        <x:v>0</x:v>
      </x:c>
      <x:c r="L3702" s="11" t="n">
        <x:f>K3702*'管线假设'!E799*'管线假设'!F799*'管线假设'!G799*IF(E3702="USD",'管线假设'!I799,1)-AM3702</x:f>
        <x:v>0</x:v>
      </x:c>
      <x:c r="M3702" s="11" t="n">
        <x:f>'管线假设'!H799</x:f>
        <x:v>0.135</x:v>
      </x:c>
      <x:c r="N3702" s="11" t="n">
        <x:f>IF(G3702,L3702*AN3702/(1+M3702)^F3702,0)</x:f>
        <x:v>0</x:v>
      </x:c>
      <x:c r="AJ3702" t="n">
        <x:v>0</x:v>
      </x:c>
      <x:c r="AK3702" t="n">
        <x:v>0</x:v>
      </x:c>
      <x:c r="AL3702" t="n">
        <x:v>0</x:v>
      </x:c>
      <x:c r="AM3702" t="n">
        <x:f>CHOOSE('假设'!$B$3,AJ3702,AK3702,AL3702)</x:f>
        <x:v>0</x:v>
      </x:c>
      <x:c r="AN3702" t="n">
        <x:v>1</x:v>
      </x:c>
    </x:row>
    <x:row r="3703" ht="23" customHeight="1">
      <x:c r="A3703" s="11" t="str">
        <x:v>688382.SH</x:v>
      </x:c>
      <x:c r="B3703" s="11" t="str">
        <x:v>五年</x:v>
      </x:c>
      <x:c r="C3703" s="11" t="str">
        <x:v>urat_global</x:v>
      </x:c>
      <x:c r="D3703" s="11" t="str">
        <x:v>2027-12-31</x:v>
      </x:c>
      <x:c r="E3703" s="11" t="str">
        <x:v>USD</x:v>
      </x:c>
      <x:c r="F3703" s="11" t="n">
        <x:v>-3.7727583846680357</x:v>
      </x:c>
      <x:c r="G3703" s="26" t="b">
        <x:v>0</x:v>
      </x:c>
      <x:c r="H3703" s="16" t="n">
        <x:v>0</x:v>
      </x:c>
      <x:c r="I3703" s="16" t="n">
        <x:v>0</x:v>
      </x:c>
      <x:c r="J3703" s="16" t="n">
        <x:v>0</x:v>
      </x:c>
      <x:c r="K3703" s="11" t="n">
        <x:f>CHOOSE('假设'!$B$3,H3703,I3703,J3703)</x:f>
        <x:v>0</x:v>
      </x:c>
      <x:c r="L3703" s="11" t="n">
        <x:f>K3703*'管线假设'!E803*'管线假设'!F803*'管线假设'!G803*IF(E3703="USD",'管线假设'!I803,1)-AM3703</x:f>
        <x:v>0</x:v>
      </x:c>
      <x:c r="M3703" s="11" t="n">
        <x:f>'管线假设'!H803</x:f>
        <x:v>0.135</x:v>
      </x:c>
      <x:c r="N3703" s="11" t="n">
        <x:f>IF(G3703,L3703*AN3703/(1+M3703)^F3703,0)</x:f>
        <x:v>0</x:v>
      </x:c>
      <x:c r="AJ3703" t="n">
        <x:v>0</x:v>
      </x:c>
      <x:c r="AK3703" t="n">
        <x:v>0</x:v>
      </x:c>
      <x:c r="AL3703" t="n">
        <x:v>0</x:v>
      </x:c>
      <x:c r="AM3703" t="n">
        <x:f>CHOOSE('假设'!$B$3,AJ3703,AK3703,AL3703)</x:f>
        <x:v>0</x:v>
      </x:c>
      <x:c r="AN3703" t="n">
        <x:v>1</x:v>
      </x:c>
    </x:row>
    <x:row r="3704" ht="23" customHeight="1">
      <x:c r="A3704" s="11" t="str">
        <x:v>688382.SH</x:v>
      </x:c>
      <x:c r="B3704" s="11" t="str">
        <x:v>五年</x:v>
      </x:c>
      <x:c r="C3704" s="11" t="str">
        <x:v>urat_global</x:v>
      </x:c>
      <x:c r="D3704" s="11" t="str">
        <x:v>2028-12-31</x:v>
      </x:c>
      <x:c r="E3704" s="11" t="str">
        <x:v>USD</x:v>
      </x:c>
      <x:c r="F3704" s="11" t="n">
        <x:v>-2.7707049965776864</x:v>
      </x:c>
      <x:c r="G3704" s="26" t="b">
        <x:v>0</x:v>
      </x:c>
      <x:c r="H3704" s="16" t="n">
        <x:v>0</x:v>
      </x:c>
      <x:c r="I3704" s="16" t="n">
        <x:v>0</x:v>
      </x:c>
      <x:c r="J3704" s="16" t="n">
        <x:v>0</x:v>
      </x:c>
      <x:c r="K3704" s="11" t="n">
        <x:f>CHOOSE('假设'!$B$3,H3704,I3704,J3704)</x:f>
        <x:v>0</x:v>
      </x:c>
      <x:c r="L3704" s="11" t="n">
        <x:f>K3704*'管线假设'!E803*'管线假设'!F803*'管线假设'!G803*IF(E3704="USD",'管线假设'!I803,1)-AM3704</x:f>
        <x:v>0</x:v>
      </x:c>
      <x:c r="M3704" s="11" t="n">
        <x:f>'管线假设'!H803</x:f>
        <x:v>0.135</x:v>
      </x:c>
      <x:c r="N3704" s="11" t="n">
        <x:f>IF(G3704,L3704*AN3704/(1+M3704)^F3704,0)</x:f>
        <x:v>0</x:v>
      </x:c>
      <x:c r="AJ3704" t="n">
        <x:v>0</x:v>
      </x:c>
      <x:c r="AK3704" t="n">
        <x:v>0</x:v>
      </x:c>
      <x:c r="AL3704" t="n">
        <x:v>0</x:v>
      </x:c>
      <x:c r="AM3704" t="n">
        <x:f>CHOOSE('假设'!$B$3,AJ3704,AK3704,AL3704)</x:f>
        <x:v>0</x:v>
      </x:c>
      <x:c r="AN3704" t="n">
        <x:v>1</x:v>
      </x:c>
    </x:row>
    <x:row r="3705" ht="23" customHeight="1">
      <x:c r="A3705" s="11" t="str">
        <x:v>688382.SH</x:v>
      </x:c>
      <x:c r="B3705" s="11" t="str">
        <x:v>五年</x:v>
      </x:c>
      <x:c r="C3705" s="11" t="str">
        <x:v>urat_global</x:v>
      </x:c>
      <x:c r="D3705" s="11" t="str">
        <x:v>2029-12-31</x:v>
      </x:c>
      <x:c r="E3705" s="11" t="str">
        <x:v>USD</x:v>
      </x:c>
      <x:c r="F3705" s="11" t="n">
        <x:v>-1.7713894592744694</x:v>
      </x:c>
      <x:c r="G3705" s="26" t="b">
        <x:v>0</x:v>
      </x:c>
      <x:c r="H3705" s="16" t="n">
        <x:v>0</x:v>
      </x:c>
      <x:c r="I3705" s="16" t="n">
        <x:v>0</x:v>
      </x:c>
      <x:c r="J3705" s="16" t="n">
        <x:v>0</x:v>
      </x:c>
      <x:c r="K3705" s="11" t="n">
        <x:f>CHOOSE('假设'!$B$3,H3705,I3705,J3705)</x:f>
        <x:v>0</x:v>
      </x:c>
      <x:c r="L3705" s="11" t="n">
        <x:f>K3705*'管线假设'!E803*'管线假设'!F803*'管线假设'!G803*IF(E3705="USD",'管线假设'!I803,1)-AM3705</x:f>
        <x:v>0</x:v>
      </x:c>
      <x:c r="M3705" s="11" t="n">
        <x:f>'管线假设'!H803</x:f>
        <x:v>0.135</x:v>
      </x:c>
      <x:c r="N3705" s="11" t="n">
        <x:f>IF(G3705,L3705*AN3705/(1+M3705)^F3705,0)</x:f>
        <x:v>0</x:v>
      </x:c>
      <x:c r="AJ3705" t="n">
        <x:v>0</x:v>
      </x:c>
      <x:c r="AK3705" t="n">
        <x:v>0</x:v>
      </x:c>
      <x:c r="AL3705" t="n">
        <x:v>0</x:v>
      </x:c>
      <x:c r="AM3705" t="n">
        <x:f>CHOOSE('假设'!$B$3,AJ3705,AK3705,AL3705)</x:f>
        <x:v>0</x:v>
      </x:c>
      <x:c r="AN3705" t="n">
        <x:v>1</x:v>
      </x:c>
    </x:row>
    <x:row r="3706" ht="23" customHeight="1">
      <x:c r="A3706" s="11" t="str">
        <x:v>688382.SH</x:v>
      </x:c>
      <x:c r="B3706" s="11" t="str">
        <x:v>五年</x:v>
      </x:c>
      <x:c r="C3706" s="11" t="str">
        <x:v>urat_global</x:v>
      </x:c>
      <x:c r="D3706" s="11" t="str">
        <x:v>2030-12-31</x:v>
      </x:c>
      <x:c r="E3706" s="11" t="str">
        <x:v>USD</x:v>
      </x:c>
      <x:c r="F3706" s="11" t="n">
        <x:v>-0.7720739219712526</x:v>
      </x:c>
      <x:c r="G3706" s="26" t="b">
        <x:v>0</x:v>
      </x:c>
      <x:c r="H3706" s="16" t="n">
        <x:v>0</x:v>
      </x:c>
      <x:c r="I3706" s="16" t="n">
        <x:v>0</x:v>
      </x:c>
      <x:c r="J3706" s="16" t="n">
        <x:v>0</x:v>
      </x:c>
      <x:c r="K3706" s="11" t="n">
        <x:f>CHOOSE('假设'!$B$3,H3706,I3706,J3706)</x:f>
        <x:v>0</x:v>
      </x:c>
      <x:c r="L3706" s="11" t="n">
        <x:f>K3706*'管线假设'!E803*'管线假设'!F803*'管线假设'!G803*IF(E3706="USD",'管线假设'!I803,1)-AM3706</x:f>
        <x:v>0</x:v>
      </x:c>
      <x:c r="M3706" s="11" t="n">
        <x:f>'管线假设'!H803</x:f>
        <x:v>0.135</x:v>
      </x:c>
      <x:c r="N3706" s="11" t="n">
        <x:f>IF(G3706,L3706*AN3706/(1+M3706)^F3706,0)</x:f>
        <x:v>0</x:v>
      </x:c>
      <x:c r="AJ3706" t="n">
        <x:v>0</x:v>
      </x:c>
      <x:c r="AK3706" t="n">
        <x:v>0</x:v>
      </x:c>
      <x:c r="AL3706" t="n">
        <x:v>0</x:v>
      </x:c>
      <x:c r="AM3706" t="n">
        <x:f>CHOOSE('假设'!$B$3,AJ3706,AK3706,AL3706)</x:f>
        <x:v>0</x:v>
      </x:c>
      <x:c r="AN3706" t="n">
        <x:v>1</x:v>
      </x:c>
    </x:row>
    <x:row r="3707" ht="23" customHeight="1">
      <x:c r="A3707" s="11" t="str">
        <x:v>688382.SH</x:v>
      </x:c>
      <x:c r="B3707" s="11" t="str">
        <x:v>五年</x:v>
      </x:c>
      <x:c r="C3707" s="11" t="str">
        <x:v>urat_global</x:v>
      </x:c>
      <x:c r="D3707" s="11" t="str">
        <x:v>2031-12-31</x:v>
      </x:c>
      <x:c r="E3707" s="11" t="str">
        <x:v>USD</x:v>
      </x:c>
      <x:c r="F3707" s="11" t="n">
        <x:v>0.2272416153319644</x:v>
      </x:c>
      <x:c r="G3707" s="26" t="b">
        <x:v>1</x:v>
      </x:c>
      <x:c r="H3707" s="16" t="n">
        <x:v>0</x:v>
      </x:c>
      <x:c r="I3707" s="16" t="n">
        <x:v>0</x:v>
      </x:c>
      <x:c r="J3707" s="16" t="n">
        <x:v>0.3666666666666667</x:v>
      </x:c>
      <x:c r="K3707" s="11" t="n">
        <x:f>CHOOSE('假设'!$B$3,H3707,I3707,J3707)</x:f>
        <x:v>0</x:v>
      </x:c>
      <x:c r="L3707" s="11" t="n">
        <x:f>K3707*'管线假设'!E803*'管线假设'!F803*'管线假设'!G803*IF(E3707="USD",'管线假设'!I803,1)-AM3707</x:f>
        <x:v>0</x:v>
      </x:c>
      <x:c r="M3707" s="11" t="n">
        <x:f>'管线假设'!H803</x:f>
        <x:v>0.135</x:v>
      </x:c>
      <x:c r="N3707" s="11" t="n">
        <x:f>IF(G3707,L3707*AN3707/(1+M3707)^F3707,0)</x:f>
        <x:v>0</x:v>
      </x:c>
      <x:c r="AJ3707" t="n">
        <x:v>0</x:v>
      </x:c>
      <x:c r="AK3707" t="n">
        <x:v>0</x:v>
      </x:c>
      <x:c r="AL3707" t="n">
        <x:v>0</x:v>
      </x:c>
      <x:c r="AM3707" t="n">
        <x:f>CHOOSE('假设'!$B$3,AJ3707,AK3707,AL3707)</x:f>
        <x:v>0</x:v>
      </x:c>
      <x:c r="AN3707" t="n">
        <x:v>1</x:v>
      </x:c>
    </x:row>
    <x:row r="3708" ht="23" customHeight="1">
      <x:c r="A3708" s="11" t="str">
        <x:v>688382.SH</x:v>
      </x:c>
      <x:c r="B3708" s="11" t="str">
        <x:v>五年</x:v>
      </x:c>
      <x:c r="C3708" s="11" t="str">
        <x:v>urat_global</x:v>
      </x:c>
      <x:c r="D3708" s="11" t="str">
        <x:v>2032-12-31</x:v>
      </x:c>
      <x:c r="E3708" s="11" t="str">
        <x:v>USD</x:v>
      </x:c>
      <x:c r="F3708" s="11" t="n">
        <x:v>1.2292950034223136</x:v>
      </x:c>
      <x:c r="G3708" s="26" t="b">
        <x:v>1</x:v>
      </x:c>
      <x:c r="H3708" s="16" t="n">
        <x:v>0</x:v>
      </x:c>
      <x:c r="I3708" s="16" t="n">
        <x:v>0</x:v>
      </x:c>
      <x:c r="J3708" s="16" t="n">
        <x:v>0.7333333333333334</x:v>
      </x:c>
      <x:c r="K3708" s="11" t="n">
        <x:f>CHOOSE('假设'!$B$3,H3708,I3708,J3708)</x:f>
        <x:v>0</x:v>
      </x:c>
      <x:c r="L3708" s="11" t="n">
        <x:f>K3708*'管线假设'!E803*'管线假设'!F803*'管线假设'!G803*IF(E3708="USD",'管线假设'!I803,1)-AM3708</x:f>
        <x:v>0</x:v>
      </x:c>
      <x:c r="M3708" s="11" t="n">
        <x:f>'管线假设'!H803</x:f>
        <x:v>0.135</x:v>
      </x:c>
      <x:c r="N3708" s="11" t="n">
        <x:f>IF(G3708,L3708*AN3708/(1+M3708)^F3708,0)</x:f>
        <x:v>0</x:v>
      </x:c>
      <x:c r="AJ3708" t="n">
        <x:v>0</x:v>
      </x:c>
      <x:c r="AK3708" t="n">
        <x:v>0</x:v>
      </x:c>
      <x:c r="AL3708" t="n">
        <x:v>0</x:v>
      </x:c>
      <x:c r="AM3708" t="n">
        <x:f>CHOOSE('假设'!$B$3,AJ3708,AK3708,AL3708)</x:f>
        <x:v>0</x:v>
      </x:c>
      <x:c r="AN3708" t="n">
        <x:v>1</x:v>
      </x:c>
    </x:row>
    <x:row r="3709" ht="23" customHeight="1">
      <x:c r="A3709" s="11" t="str">
        <x:v>688382.SH</x:v>
      </x:c>
      <x:c r="B3709" s="11" t="str">
        <x:v>五年</x:v>
      </x:c>
      <x:c r="C3709" s="11" t="str">
        <x:v>urat_global</x:v>
      </x:c>
      <x:c r="D3709" s="11" t="str">
        <x:v>2033-12-31</x:v>
      </x:c>
      <x:c r="E3709" s="11" t="str">
        <x:v>USD</x:v>
      </x:c>
      <x:c r="F3709" s="11" t="n">
        <x:v>2.2286105407255303</x:v>
      </x:c>
      <x:c r="G3709" s="26" t="b">
        <x:v>1</x:v>
      </x:c>
      <x:c r="H3709" s="16" t="n">
        <x:v>0</x:v>
      </x:c>
      <x:c r="I3709" s="16" t="n">
        <x:v>0.18333333333333335</x:v>
      </x:c>
      <x:c r="J3709" s="16" t="n">
        <x:v>1.1</x:v>
      </x:c>
      <x:c r="K3709" s="11" t="n">
        <x:f>CHOOSE('假设'!$B$3,H3709,I3709,J3709)</x:f>
        <x:v>0.18333333333333335</x:v>
      </x:c>
      <x:c r="L3709" s="11" t="n">
        <x:f>K3709*'管线假设'!E803*'管线假设'!F803*'管线假设'!G803*IF(E3709="USD",'管线假设'!I803,1)-AM3709</x:f>
        <x:v>0.052391166666666676</x:v>
      </x:c>
      <x:c r="M3709" s="11" t="n">
        <x:f>'管线假设'!H803</x:f>
        <x:v>0.135</x:v>
      </x:c>
      <x:c r="N3709" s="11" t="n">
        <x:f>IF(G3709,L3709*AN3709/(1+M3709)^F3709,0)</x:f>
        <x:v>0.03950878852184749</x:v>
      </x:c>
      <x:c r="AJ3709" t="n">
        <x:v>0</x:v>
      </x:c>
      <x:c r="AK3709" t="n">
        <x:v>0</x:v>
      </x:c>
      <x:c r="AL3709" t="n">
        <x:v>0</x:v>
      </x:c>
      <x:c r="AM3709" t="n">
        <x:f>CHOOSE('假设'!$B$3,AJ3709,AK3709,AL3709)</x:f>
        <x:v>0</x:v>
      </x:c>
      <x:c r="AN3709" t="n">
        <x:v>1</x:v>
      </x:c>
    </x:row>
    <x:row r="3710" ht="23" customHeight="1">
      <x:c r="A3710" s="11" t="str">
        <x:v>688382.SH</x:v>
      </x:c>
      <x:c r="B3710" s="11" t="str">
        <x:v>五年</x:v>
      </x:c>
      <x:c r="C3710" s="11" t="str">
        <x:v>urat_global</x:v>
      </x:c>
      <x:c r="D3710" s="11" t="str">
        <x:v>2034-12-31</x:v>
      </x:c>
      <x:c r="E3710" s="11" t="str">
        <x:v>USD</x:v>
      </x:c>
      <x:c r="F3710" s="11" t="n">
        <x:v>3.2279260780287475</x:v>
      </x:c>
      <x:c r="G3710" s="26" t="b">
        <x:v>1</x:v>
      </x:c>
      <x:c r="H3710" s="16" t="n">
        <x:v>0</x:v>
      </x:c>
      <x:c r="I3710" s="16" t="n">
        <x:v>0.3666666666666667</x:v>
      </x:c>
      <x:c r="J3710" s="16" t="n">
        <x:v>1.4666666666666668</x:v>
      </x:c>
      <x:c r="K3710" s="11" t="n">
        <x:f>CHOOSE('假设'!$B$3,H3710,I3710,J3710)</x:f>
        <x:v>0.3666666666666667</x:v>
      </x:c>
      <x:c r="L3710" s="11" t="n">
        <x:f>K3710*'管线假设'!E803*'管线假设'!F803*'管线假设'!G803*IF(E3710="USD",'管线假设'!I803,1)-AM3710</x:f>
        <x:v>0.10478233333333335</x:v>
      </x:c>
      <x:c r="M3710" s="11" t="n">
        <x:f>'管线假设'!H803</x:f>
        <x:v>0.135</x:v>
      </x:c>
      <x:c r="N3710" s="11" t="n">
        <x:f>IF(G3710,L3710*AN3710/(1+M3710)^F3710,0)</x:f>
        <x:v>0.06962504512312659</x:v>
      </x:c>
      <x:c r="AJ3710" t="n">
        <x:v>0</x:v>
      </x:c>
      <x:c r="AK3710" t="n">
        <x:v>0</x:v>
      </x:c>
      <x:c r="AL3710" t="n">
        <x:v>0</x:v>
      </x:c>
      <x:c r="AM3710" t="n">
        <x:f>CHOOSE('假设'!$B$3,AJ3710,AK3710,AL3710)</x:f>
        <x:v>0</x:v>
      </x:c>
      <x:c r="AN3710" t="n">
        <x:v>1</x:v>
      </x:c>
    </x:row>
    <x:row r="3711" ht="23" customHeight="1">
      <x:c r="A3711" s="11" t="str">
        <x:v>688382.SH</x:v>
      </x:c>
      <x:c r="B3711" s="11" t="str">
        <x:v>五年</x:v>
      </x:c>
      <x:c r="C3711" s="11" t="str">
        <x:v>urat_global</x:v>
      </x:c>
      <x:c r="D3711" s="11" t="str">
        <x:v>2035-12-31</x:v>
      </x:c>
      <x:c r="E3711" s="11" t="str">
        <x:v>USD</x:v>
      </x:c>
      <x:c r="F3711" s="11" t="n">
        <x:v>4.227241615331964</x:v>
      </x:c>
      <x:c r="G3711" s="26" t="b">
        <x:v>1</x:v>
      </x:c>
      <x:c r="H3711" s="16" t="n">
        <x:v>0</x:v>
      </x:c>
      <x:c r="I3711" s="16" t="n">
        <x:v>0.55</x:v>
      </x:c>
      <x:c r="J3711" s="16" t="n">
        <x:v>1.8333333333333335</x:v>
      </x:c>
      <x:c r="K3711" s="11" t="n">
        <x:f>CHOOSE('假设'!$B$3,H3711,I3711,J3711)</x:f>
        <x:v>0.55</x:v>
      </x:c>
      <x:c r="L3711" s="11" t="n">
        <x:f>K3711*'管线假设'!E803*'管线假设'!F803*'管线假设'!G803*IF(E3711="USD",'管线假设'!I803,1)-AM3711</x:f>
        <x:v>0.15717350000000002</x:v>
      </x:c>
      <x:c r="M3711" s="11" t="n">
        <x:f>'管线假设'!H803</x:f>
        <x:v>0.135</x:v>
      </x:c>
      <x:c r="N3711" s="11" t="n">
        <x:f>IF(G3711,L3711*AN3711/(1+M3711)^F3711,0)</x:f>
        <x:v>0.09202345395348123</x:v>
      </x:c>
      <x:c r="AJ3711" t="n">
        <x:v>0</x:v>
      </x:c>
      <x:c r="AK3711" t="n">
        <x:v>0</x:v>
      </x:c>
      <x:c r="AL3711" t="n">
        <x:v>0</x:v>
      </x:c>
      <x:c r="AM3711" t="n">
        <x:f>CHOOSE('假设'!$B$3,AJ3711,AK3711,AL3711)</x:f>
        <x:v>0</x:v>
      </x:c>
      <x:c r="AN3711" t="n">
        <x:v>1</x:v>
      </x:c>
    </x:row>
    <x:row r="3712" ht="23" customHeight="1">
      <x:c r="A3712" s="11" t="str">
        <x:v>688382.SH</x:v>
      </x:c>
      <x:c r="B3712" s="11" t="str">
        <x:v>五年</x:v>
      </x:c>
      <x:c r="C3712" s="11" t="str">
        <x:v>urat_global</x:v>
      </x:c>
      <x:c r="D3712" s="11" t="str">
        <x:v>2036-12-31</x:v>
      </x:c>
      <x:c r="E3712" s="11" t="str">
        <x:v>USD</x:v>
      </x:c>
      <x:c r="F3712" s="11" t="n">
        <x:v>5.229295003422314</x:v>
      </x:c>
      <x:c r="G3712" s="26" t="b">
        <x:v>1</x:v>
      </x:c>
      <x:c r="H3712" s="16" t="n">
        <x:v>0.08000000000000002</x:v>
      </x:c>
      <x:c r="I3712" s="16" t="n">
        <x:v>0.7333333333333334</x:v>
      </x:c>
      <x:c r="J3712" s="16" t="n">
        <x:v>2.2</x:v>
      </x:c>
      <x:c r="K3712" s="11" t="n">
        <x:f>CHOOSE('假设'!$B$3,H3712,I3712,J3712)</x:f>
        <x:v>0.7333333333333334</x:v>
      </x:c>
      <x:c r="L3712" s="11" t="n">
        <x:f>K3712*'管线假设'!E803*'管线假设'!F803*'管线假设'!G803*IF(E3712="USD",'管线假设'!I803,1)-AM3712</x:f>
        <x:v>0.2095646666666667</x:v>
      </x:c>
      <x:c r="M3712" s="11" t="n">
        <x:f>'管线假设'!H803</x:f>
        <x:v>0.135</x:v>
      </x:c>
      <x:c r="N3712" s="11" t="n">
        <x:f>IF(G3712,L3712*AN3712/(1+M3712)^F3712,0)</x:f>
        <x:v>0.10807580449419013</x:v>
      </x:c>
      <x:c r="AJ3712" t="n">
        <x:v>0</x:v>
      </x:c>
      <x:c r="AK3712" t="n">
        <x:v>0</x:v>
      </x:c>
      <x:c r="AL3712" t="n">
        <x:v>0</x:v>
      </x:c>
      <x:c r="AM3712" t="n">
        <x:f>CHOOSE('假设'!$B$3,AJ3712,AK3712,AL3712)</x:f>
        <x:v>0</x:v>
      </x:c>
      <x:c r="AN3712" t="n">
        <x:v>1</x:v>
      </x:c>
    </x:row>
    <x:row r="3713" ht="23" customHeight="1">
      <x:c r="A3713" s="11" t="str">
        <x:v>688382.SH</x:v>
      </x:c>
      <x:c r="B3713" s="11" t="str">
        <x:v>五年</x:v>
      </x:c>
      <x:c r="C3713" s="11" t="str">
        <x:v>urat_global</x:v>
      </x:c>
      <x:c r="D3713" s="11" t="str">
        <x:v>2037-12-31</x:v>
      </x:c>
      <x:c r="E3713" s="11" t="str">
        <x:v>USD</x:v>
      </x:c>
      <x:c r="F3713" s="11" t="n">
        <x:v>6.228610540725531</x:v>
      </x:c>
      <x:c r="G3713" s="26" t="b">
        <x:v>1</x:v>
      </x:c>
      <x:c r="H3713" s="16" t="n">
        <x:v>0.16000000000000003</x:v>
      </x:c>
      <x:c r="I3713" s="16" t="n">
        <x:v>0.9166666666666667</x:v>
      </x:c>
      <x:c r="J3713" s="16" t="n">
        <x:v>1.9140000000000001</x:v>
      </x:c>
      <x:c r="K3713" s="11" t="n">
        <x:f>CHOOSE('假设'!$B$3,H3713,I3713,J3713)</x:f>
        <x:v>0.9166666666666667</x:v>
      </x:c>
      <x:c r="L3713" s="11" t="n">
        <x:f>K3713*'管线假设'!E803*'管线假设'!F803*'管线假设'!G803*IF(E3713="USD",'管线假设'!I803,1)-AM3713</x:f>
        <x:v>0.2619558333333334</x:v>
      </x:c>
      <x:c r="M3713" s="11" t="n">
        <x:f>'管线假设'!H803</x:f>
        <x:v>0.135</x:v>
      </x:c>
      <x:c r="N3713" s="11" t="n">
        <x:f>IF(G3713,L3713*AN3713/(1+M3713)^F3713,0)</x:f>
        <x:v>0.11903653348648549</x:v>
      </x:c>
      <x:c r="AJ3713" t="n">
        <x:v>0</x:v>
      </x:c>
      <x:c r="AK3713" t="n">
        <x:v>0</x:v>
      </x:c>
      <x:c r="AL3713" t="n">
        <x:v>0</x:v>
      </x:c>
      <x:c r="AM3713" t="n">
        <x:f>CHOOSE('假设'!$B$3,AJ3713,AK3713,AL3713)</x:f>
        <x:v>0</x:v>
      </x:c>
      <x:c r="AN3713" t="n">
        <x:v>1</x:v>
      </x:c>
    </x:row>
    <x:row r="3714" ht="23" customHeight="1">
      <x:c r="A3714" s="11" t="str">
        <x:v>688382.SH</x:v>
      </x:c>
      <x:c r="B3714" s="11" t="str">
        <x:v>五年</x:v>
      </x:c>
      <x:c r="C3714" s="11" t="str">
        <x:v>urat_global</x:v>
      </x:c>
      <x:c r="D3714" s="11" t="str">
        <x:v>2038-12-31</x:v>
      </x:c>
      <x:c r="E3714" s="11" t="str">
        <x:v>USD</x:v>
      </x:c>
      <x:c r="F3714" s="11" t="n">
        <x:v>7.227926078028747</x:v>
      </x:c>
      <x:c r="G3714" s="26" t="b">
        <x:v>1</x:v>
      </x:c>
      <x:c r="H3714" s="16" t="n">
        <x:v>0.24</x:v>
      </x:c>
      <x:c r="I3714" s="16" t="n">
        <x:v>1.1</x:v>
      </x:c>
      <x:c r="J3714" s="16" t="n">
        <x:v>1.6280000000000001</x:v>
      </x:c>
      <x:c r="K3714" s="11" t="n">
        <x:f>CHOOSE('假设'!$B$3,H3714,I3714,J3714)</x:f>
        <x:v>1.1</x:v>
      </x:c>
      <x:c r="L3714" s="11" t="n">
        <x:f>K3714*'管线假设'!E803*'管线假设'!F803*'管线假设'!G803*IF(E3714="USD",'管线假设'!I803,1)-AM3714</x:f>
        <x:v>0.31434700000000004</x:v>
      </x:c>
      <x:c r="M3714" s="11" t="n">
        <x:f>'管线假设'!H803</x:f>
        <x:v>0.135</x:v>
      </x:c>
      <x:c r="N3714" s="11" t="n">
        <x:f>IF(G3714,L3714*AN3714/(1+M3714)^F3714,0)</x:f>
        <x:v>0.12586451256100775</x:v>
      </x:c>
      <x:c r="AJ3714" t="n">
        <x:v>0</x:v>
      </x:c>
      <x:c r="AK3714" t="n">
        <x:v>0</x:v>
      </x:c>
      <x:c r="AL3714" t="n">
        <x:v>0</x:v>
      </x:c>
      <x:c r="AM3714" t="n">
        <x:f>CHOOSE('假设'!$B$3,AJ3714,AK3714,AL3714)</x:f>
        <x:v>0</x:v>
      </x:c>
      <x:c r="AN3714" t="n">
        <x:v>1</x:v>
      </x:c>
    </x:row>
    <x:row r="3715" ht="23" customHeight="1">
      <x:c r="A3715" s="11" t="str">
        <x:v>688382.SH</x:v>
      </x:c>
      <x:c r="B3715" s="11" t="str">
        <x:v>五年</x:v>
      </x:c>
      <x:c r="C3715" s="11" t="str">
        <x:v>urat_global</x:v>
      </x:c>
      <x:c r="D3715" s="11" t="str">
        <x:v>2039-12-31</x:v>
      </x:c>
      <x:c r="E3715" s="11" t="str">
        <x:v>USD</x:v>
      </x:c>
      <x:c r="F3715" s="11" t="n">
        <x:v>8.227241615331964</x:v>
      </x:c>
      <x:c r="G3715" s="26" t="b">
        <x:v>1</x:v>
      </x:c>
      <x:c r="H3715" s="16" t="n">
        <x:v>0.32000000000000006</x:v>
      </x:c>
      <x:c r="I3715" s="16" t="n">
        <x:v>0.9570000000000001</x:v>
      </x:c>
      <x:c r="J3715" s="16" t="n">
        <x:v>1.342</x:v>
      </x:c>
      <x:c r="K3715" s="11" t="n">
        <x:f>CHOOSE('假设'!$B$3,H3715,I3715,J3715)</x:f>
        <x:v>0.9570000000000001</x:v>
      </x:c>
      <x:c r="L3715" s="11" t="n">
        <x:f>K3715*'管线假设'!E803*'管线假设'!F803*'管线假设'!G803*IF(E3715="USD",'管线假设'!I803,1)-AM3715</x:f>
        <x:v>0.27348189000000006</x:v>
      </x:c>
      <x:c r="M3715" s="11" t="n">
        <x:f>'管线假设'!H803</x:f>
        <x:v>0.135</x:v>
      </x:c>
      <x:c r="N3715" s="11" t="n">
        <x:f>IF(G3715,L3715*AN3715/(1+M3715)^F3715,0)</x:f>
        <x:v>0.09648600658312617</x:v>
      </x:c>
      <x:c r="AJ3715" t="n">
        <x:v>0</x:v>
      </x:c>
      <x:c r="AK3715" t="n">
        <x:v>0</x:v>
      </x:c>
      <x:c r="AL3715" t="n">
        <x:v>0</x:v>
      </x:c>
      <x:c r="AM3715" t="n">
        <x:f>CHOOSE('假设'!$B$3,AJ3715,AK3715,AL3715)</x:f>
        <x:v>0</x:v>
      </x:c>
      <x:c r="AN3715" t="n">
        <x:v>1</x:v>
      </x:c>
    </x:row>
    <x:row r="3716" ht="23" customHeight="1">
      <x:c r="A3716" s="11" t="str">
        <x:v>688382.SH</x:v>
      </x:c>
      <x:c r="B3716" s="11" t="str">
        <x:v>五年</x:v>
      </x:c>
      <x:c r="C3716" s="11" t="str">
        <x:v>urat_global</x:v>
      </x:c>
      <x:c r="D3716" s="11" t="str">
        <x:v>2040-12-31</x:v>
      </x:c>
      <x:c r="E3716" s="11" t="str">
        <x:v>USD</x:v>
      </x:c>
      <x:c r="F3716" s="11" t="n">
        <x:v>9.229295003422314</x:v>
      </x:c>
      <x:c r="G3716" s="26" t="b">
        <x:v>1</x:v>
      </x:c>
      <x:c r="H3716" s="16" t="n">
        <x:v>0.4</x:v>
      </x:c>
      <x:c r="I3716" s="16" t="n">
        <x:v>0.8140000000000001</x:v>
      </x:c>
      <x:c r="J3716" s="16" t="n">
        <x:v>1.056</x:v>
      </x:c>
      <x:c r="K3716" s="11" t="n">
        <x:f>CHOOSE('假设'!$B$3,H3716,I3716,J3716)</x:f>
        <x:v>0.8140000000000001</x:v>
      </x:c>
      <x:c r="L3716" s="11" t="n">
        <x:f>K3716*'管线假设'!E803*'管线假设'!F803*'管线假设'!G803*IF(E3716="USD",'管线假设'!I803,1)-AM3716</x:f>
        <x:v>0.23261678000000002</x:v>
      </x:c>
      <x:c r="M3716" s="11" t="n">
        <x:f>'管线假设'!H803</x:f>
        <x:v>0.135</x:v>
      </x:c>
      <x:c r="N3716" s="11" t="n">
        <x:f>IF(G3716,L3716*AN3716/(1+M3716)^F3716,0)</x:f>
        <x:v>0.07228829968368986</x:v>
      </x:c>
      <x:c r="AJ3716" t="n">
        <x:v>0</x:v>
      </x:c>
      <x:c r="AK3716" t="n">
        <x:v>0</x:v>
      </x:c>
      <x:c r="AL3716" t="n">
        <x:v>0</x:v>
      </x:c>
      <x:c r="AM3716" t="n">
        <x:f>CHOOSE('假设'!$B$3,AJ3716,AK3716,AL3716)</x:f>
        <x:v>0</x:v>
      </x:c>
      <x:c r="AN3716" t="n">
        <x:v>1</x:v>
      </x:c>
    </x:row>
    <x:row r="3717" ht="23" customHeight="1">
      <x:c r="A3717" s="11" t="str">
        <x:v>688382.SH</x:v>
      </x:c>
      <x:c r="B3717" s="11" t="str">
        <x:v>五年</x:v>
      </x:c>
      <x:c r="C3717" s="11" t="str">
        <x:v>urat_global</x:v>
      </x:c>
      <x:c r="D3717" s="11" t="str">
        <x:v>2041-12-31</x:v>
      </x:c>
      <x:c r="E3717" s="11" t="str">
        <x:v>USD</x:v>
      </x:c>
      <x:c r="F3717" s="11" t="n">
        <x:v>10.22861054072553</x:v>
      </x:c>
      <x:c r="G3717" s="26" t="b">
        <x:v>1</x:v>
      </x:c>
      <x:c r="H3717" s="16" t="n">
        <x:v>0.34800000000000003</x:v>
      </x:c>
      <x:c r="I3717" s="16" t="n">
        <x:v>0.671</x:v>
      </x:c>
      <x:c r="J3717" s="16" t="n">
        <x:v>0.77</x:v>
      </x:c>
      <x:c r="K3717" s="11" t="n">
        <x:f>CHOOSE('假设'!$B$3,H3717,I3717,J3717)</x:f>
        <x:v>0.671</x:v>
      </x:c>
      <x:c r="L3717" s="11" t="n">
        <x:f>K3717*'管线假设'!E803*'管线假设'!F803*'管线假设'!G803*IF(E3717="USD",'管线假设'!I803,1)-AM3717</x:f>
        <x:v>0.19175167000000004</x:v>
      </x:c>
      <x:c r="M3717" s="11" t="n">
        <x:f>'管线假设'!H803</x:f>
        <x:v>0.135</x:v>
      </x:c>
      <x:c r="N3717" s="11" t="n">
        <x:f>IF(G3717,L3717*AN3717/(1+M3717)^F3717,0)</x:f>
        <x:v>0.05250587569468577</x:v>
      </x:c>
      <x:c r="AJ3717" t="n">
        <x:v>0</x:v>
      </x:c>
      <x:c r="AK3717" t="n">
        <x:v>0</x:v>
      </x:c>
      <x:c r="AL3717" t="n">
        <x:v>0</x:v>
      </x:c>
      <x:c r="AM3717" t="n">
        <x:f>CHOOSE('假设'!$B$3,AJ3717,AK3717,AL3717)</x:f>
        <x:v>0</x:v>
      </x:c>
      <x:c r="AN3717" t="n">
        <x:v>1</x:v>
      </x:c>
    </x:row>
    <x:row r="3718" ht="23" customHeight="1">
      <x:c r="A3718" s="11" t="str">
        <x:v>688382.SH</x:v>
      </x:c>
      <x:c r="B3718" s="11" t="str">
        <x:v>五年</x:v>
      </x:c>
      <x:c r="C3718" s="11" t="str">
        <x:v>urat_global</x:v>
      </x:c>
      <x:c r="D3718" s="11" t="str">
        <x:v>2042-12-31</x:v>
      </x:c>
      <x:c r="E3718" s="11" t="str">
        <x:v>USD</x:v>
      </x:c>
      <x:c r="F3718" s="11" t="n">
        <x:v>11.227926078028748</x:v>
      </x:c>
      <x:c r="G3718" s="26" t="b">
        <x:v>1</x:v>
      </x:c>
      <x:c r="H3718" s="16" t="n">
        <x:v>0.296</x:v>
      </x:c>
      <x:c r="I3718" s="16" t="n">
        <x:v>0.528</x:v>
      </x:c>
      <x:c r="J3718" s="16" t="n">
        <x:v>0.484</x:v>
      </x:c>
      <x:c r="K3718" s="11" t="n">
        <x:f>CHOOSE('假设'!$B$3,H3718,I3718,J3718)</x:f>
        <x:v>0.528</x:v>
      </x:c>
      <x:c r="L3718" s="11" t="n">
        <x:f>K3718*'管线假设'!E803*'管线假设'!F803*'管线假设'!G803*IF(E3718="USD",'管线假设'!I803,1)-AM3718</x:f>
        <x:v>0.15088656000000003</x:v>
      </x:c>
      <x:c r="M3718" s="11" t="n">
        <x:f>'管线假设'!H803</x:f>
        <x:v>0.135</x:v>
      </x:c>
      <x:c r="N3718" s="11" t="n">
        <x:f>IF(G3718,L3718*AN3718/(1+M3718)^F3718,0)</x:f>
        <x:v>0.036405004536410546</x:v>
      </x:c>
      <x:c r="AJ3718" t="n">
        <x:v>0</x:v>
      </x:c>
      <x:c r="AK3718" t="n">
        <x:v>0</x:v>
      </x:c>
      <x:c r="AL3718" t="n">
        <x:v>0</x:v>
      </x:c>
      <x:c r="AM3718" t="n">
        <x:f>CHOOSE('假设'!$B$3,AJ3718,AK3718,AL3718)</x:f>
        <x:v>0</x:v>
      </x:c>
      <x:c r="AN3718" t="n">
        <x:v>1</x:v>
      </x:c>
    </x:row>
    <x:row r="3719" ht="23" customHeight="1">
      <x:c r="A3719" s="11" t="str">
        <x:v>688382.SH</x:v>
      </x:c>
      <x:c r="B3719" s="11" t="str">
        <x:v>五年</x:v>
      </x:c>
      <x:c r="C3719" s="11" t="str">
        <x:v>urat_global</x:v>
      </x:c>
      <x:c r="D3719" s="11" t="str">
        <x:v>2043-12-31</x:v>
      </x:c>
      <x:c r="E3719" s="11" t="str">
        <x:v>USD</x:v>
      </x:c>
      <x:c r="F3719" s="11" t="n">
        <x:v>12.227241615331964</x:v>
      </x:c>
      <x:c r="G3719" s="26" t="b">
        <x:v>1</x:v>
      </x:c>
      <x:c r="H3719" s="16" t="n">
        <x:v>0.244</x:v>
      </x:c>
      <x:c r="I3719" s="16" t="n">
        <x:v>0.385</x:v>
      </x:c>
      <x:c r="J3719" s="16" t="n">
        <x:v>0.19799999999999995</x:v>
      </x:c>
      <x:c r="K3719" s="11" t="n">
        <x:f>CHOOSE('假设'!$B$3,H3719,I3719,J3719)</x:f>
        <x:v>0.385</x:v>
      </x:c>
      <x:c r="L3719" s="11" t="n">
        <x:f>K3719*'管线假设'!E803*'管线假设'!F803*'管线假设'!G803*IF(E3719="USD",'管线假设'!I803,1)-AM3719</x:f>
        <x:v>0.11002144999999999</x:v>
      </x:c>
      <x:c r="M3719" s="11" t="n">
        <x:f>'管线假设'!H803</x:f>
        <x:v>0.135</x:v>
      </x:c>
      <x:c r="N3719" s="11" t="n">
        <x:f>IF(G3719,L3719*AN3719/(1+M3719)^F3719,0)</x:f>
        <x:v>0.02338997068846658</x:v>
      </x:c>
      <x:c r="AJ3719" t="n">
        <x:v>0</x:v>
      </x:c>
      <x:c r="AK3719" t="n">
        <x:v>0</x:v>
      </x:c>
      <x:c r="AL3719" t="n">
        <x:v>0</x:v>
      </x:c>
      <x:c r="AM3719" t="n">
        <x:f>CHOOSE('假设'!$B$3,AJ3719,AK3719,AL3719)</x:f>
        <x:v>0</x:v>
      </x:c>
      <x:c r="AN3719" t="n">
        <x:v>1</x:v>
      </x:c>
    </x:row>
    <x:row r="3720" ht="23" customHeight="1">
      <x:c r="A3720" s="11" t="str">
        <x:v>688382.SH</x:v>
      </x:c>
      <x:c r="B3720" s="11" t="str">
        <x:v>五年</x:v>
      </x:c>
      <x:c r="C3720" s="11" t="str">
        <x:v>urat_global</x:v>
      </x:c>
      <x:c r="D3720" s="11" t="str">
        <x:v>2044-12-31</x:v>
      </x:c>
      <x:c r="E3720" s="11" t="str">
        <x:v>USD</x:v>
      </x:c>
      <x:c r="F3720" s="11" t="n">
        <x:v>13.229295003422314</x:v>
      </x:c>
      <x:c r="G3720" s="26" t="b">
        <x:v>1</x:v>
      </x:c>
      <x:c r="H3720" s="16" t="n">
        <x:v>0.192</x:v>
      </x:c>
      <x:c r="I3720" s="16" t="n">
        <x:v>0.242</x:v>
      </x:c>
      <x:c r="J3720" s="16" t="n">
        <x:v>0</x:v>
      </x:c>
      <x:c r="K3720" s="11" t="n">
        <x:f>CHOOSE('假设'!$B$3,H3720,I3720,J3720)</x:f>
        <x:v>0.242</x:v>
      </x:c>
      <x:c r="L3720" s="11" t="n">
        <x:f>K3720*'管线假设'!E803*'管线假设'!F803*'管线假设'!G803*IF(E3720="USD",'管线假设'!I803,1)-AM3720</x:f>
        <x:v>0.06915634</x:v>
      </x:c>
      <x:c r="M3720" s="11" t="n">
        <x:f>'管线假设'!H803</x:f>
        <x:v>0.135</x:v>
      </x:c>
      <x:c r="N3720" s="11" t="n">
        <x:f>IF(G3720,L3720*AN3720/(1+M3720)^F3720,0)</x:f>
        <x:v>0.012950171643582304</x:v>
      </x:c>
      <x:c r="AJ3720" t="n">
        <x:v>0</x:v>
      </x:c>
      <x:c r="AK3720" t="n">
        <x:v>0</x:v>
      </x:c>
      <x:c r="AL3720" t="n">
        <x:v>0</x:v>
      </x:c>
      <x:c r="AM3720" t="n">
        <x:f>CHOOSE('假设'!$B$3,AJ3720,AK3720,AL3720)</x:f>
        <x:v>0</x:v>
      </x:c>
      <x:c r="AN3720" t="n">
        <x:v>1</x:v>
      </x:c>
    </x:row>
    <x:row r="3721" ht="23" customHeight="1">
      <x:c r="A3721" s="11" t="str">
        <x:v>688382.SH</x:v>
      </x:c>
      <x:c r="B3721" s="11" t="str">
        <x:v>五年</x:v>
      </x:c>
      <x:c r="C3721" s="11" t="str">
        <x:v>urat_global</x:v>
      </x:c>
      <x:c r="D3721" s="11" t="str">
        <x:v>2045-12-31</x:v>
      </x:c>
      <x:c r="E3721" s="11" t="str">
        <x:v>USD</x:v>
      </x:c>
      <x:c r="F3721" s="11" t="n">
        <x:v>14.22861054072553</x:v>
      </x:c>
      <x:c r="G3721" s="26" t="b">
        <x:v>1</x:v>
      </x:c>
      <x:c r="H3721" s="16" t="n">
        <x:v>0.13999999999999999</x:v>
      </x:c>
      <x:c r="I3721" s="16" t="n">
        <x:v>0.09899999999999998</x:v>
      </x:c>
      <x:c r="J3721" s="16" t="n">
        <x:v>0</x:v>
      </x:c>
      <x:c r="K3721" s="11" t="n">
        <x:f>CHOOSE('假设'!$B$3,H3721,I3721,J3721)</x:f>
        <x:v>0.09899999999999998</x:v>
      </x:c>
      <x:c r="L3721" s="11" t="n">
        <x:f>K3721*'管线假设'!E803*'管线假设'!F803*'管线假设'!G803*IF(E3721="USD",'管线假设'!I803,1)-AM3721</x:f>
        <x:v>0.028291229999999994</x:v>
      </x:c>
      <x:c r="M3721" s="11" t="n">
        <x:f>'管线假设'!H803</x:f>
        <x:v>0.135</x:v>
      </x:c>
      <x:c r="N3721" s="11" t="n">
        <x:f>IF(G3721,L3721*AN3721/(1+M3721)^F3721,0)</x:f>
        <x:v>0.004668067576017989</x:v>
      </x:c>
      <x:c r="AJ3721" t="n">
        <x:v>0</x:v>
      </x:c>
      <x:c r="AK3721" t="n">
        <x:v>0</x:v>
      </x:c>
      <x:c r="AL3721" t="n">
        <x:v>0</x:v>
      </x:c>
      <x:c r="AM3721" t="n">
        <x:f>CHOOSE('假设'!$B$3,AJ3721,AK3721,AL3721)</x:f>
        <x:v>0</x:v>
      </x:c>
      <x:c r="AN3721" t="n">
        <x:v>1</x:v>
      </x:c>
    </x:row>
    <x:row r="3722" ht="23" customHeight="1">
      <x:c r="A3722" s="11" t="str">
        <x:v>02162.HK</x:v>
      </x:c>
      <x:c r="B3722" s="11" t="str">
        <x:v>2026年底</x:v>
      </x:c>
      <x:c r="C3722" s="11" t="str">
        <x:v>CM310_approved</x:v>
      </x:c>
      <x:c r="D3722" s="11" t="str">
        <x:v>2026-12-31</x:v>
      </x:c>
      <x:c r="E3722" s="11" t="str">
        <x:v>CNY</x:v>
      </x:c>
      <x:c r="F3722" s="11" t="n">
        <x:v>0</x:v>
      </x:c>
      <x:c r="G3722" s="26" t="b">
        <x:v>0</x:v>
      </x:c>
      <x:c r="H3722" s="16" t="n">
        <x:v>0.75</x:v>
      </x:c>
      <x:c r="I3722" s="16" t="n">
        <x:v>0.85</x:v>
      </x:c>
      <x:c r="J3722" s="16" t="n">
        <x:v>0.95</x:v>
      </x:c>
      <x:c r="K3722" s="11" t="n">
        <x:f>CHOOSE('假设'!$B$3,H3722,I3722,J3722)</x:f>
        <x:v>0.85</x:v>
      </x:c>
      <x:c r="L3722" s="11" t="n">
        <x:f>K3722*'管线假设'!E807*'管线假设'!F807*'管线假设'!G807*IF(E3722="USD",'管线假设'!I807,1)-AM3722</x:f>
        <x:v>0.341025</x:v>
      </x:c>
      <x:c r="M3722" s="11" t="n">
        <x:f>'管线假设'!H807</x:f>
        <x:v>0.14</x:v>
      </x:c>
      <x:c r="N3722" s="11" t="n">
        <x:f>IF(G3722,L3722*AN3722/(1+M3722)^F3722,0)</x:f>
        <x:v>0</x:v>
      </x:c>
      <x:c r="AJ3722" s="42" t="n">
        <x:v>0.025</x:v>
      </x:c>
      <x:c r="AK3722" s="42" t="n">
        <x:v>0.03</x:v>
      </x:c>
      <x:c r="AL3722" s="42" t="n">
        <x:v>0.04</x:v>
      </x:c>
      <x:c r="AM3722" t="n">
        <x:f>CHOOSE('假设'!$B$3,AJ3722,AK3722,AL3722)</x:f>
        <x:v>0.03</x:v>
      </x:c>
      <x:c r="AN3722" t="n">
        <x:v>0</x:v>
      </x:c>
    </x:row>
    <x:row r="3723" ht="23" customHeight="1">
      <x:c r="A3723" s="11" t="str">
        <x:v>02162.HK</x:v>
      </x:c>
      <x:c r="B3723" s="11" t="str">
        <x:v>2026年底</x:v>
      </x:c>
      <x:c r="C3723" s="11" t="str">
        <x:v>CM310_approved</x:v>
      </x:c>
      <x:c r="D3723" s="11" t="str">
        <x:v>2027-12-31</x:v>
      </x:c>
      <x:c r="E3723" s="11" t="str">
        <x:v>CNY</x:v>
      </x:c>
      <x:c r="F3723" s="11" t="n">
        <x:v>0.999315537303217</x:v>
      </x:c>
      <x:c r="G3723" s="26" t="b">
        <x:v>1</x:v>
      </x:c>
      <x:c r="H3723" s="16" t="n">
        <x:v>0.88</x:v>
      </x:c>
      <x:c r="I3723" s="16" t="n">
        <x:v>1.35</x:v>
      </x:c>
      <x:c r="J3723" s="16" t="n">
        <x:v>1.75</x:v>
      </x:c>
      <x:c r="K3723" s="11" t="n">
        <x:f>CHOOSE('假设'!$B$3,H3723,I3723,J3723)</x:f>
        <x:v>1.35</x:v>
      </x:c>
      <x:c r="L3723" s="11" t="n">
        <x:f>K3723*'管线假设'!E807*'管线假设'!F807*'管线假设'!G807*IF(E3723="USD",'管线假设'!I807,1)-AM3723</x:f>
        <x:v>0.5592750000000001</x:v>
      </x:c>
      <x:c r="M3723" s="11" t="n">
        <x:f>'管线假设'!H807</x:f>
        <x:v>0.14</x:v>
      </x:c>
      <x:c r="N3723" s="11" t="n">
        <x:f>IF(G3723,L3723*AN3723/(1+M3723)^F3723,0)</x:f>
        <x:v>0.4906361054778709</x:v>
      </x:c>
      <x:c r="AJ3723" s="42" t="n">
        <x:v>0.025</x:v>
      </x:c>
      <x:c r="AK3723" s="42" t="n">
        <x:v>0.03</x:v>
      </x:c>
      <x:c r="AL3723" s="42" t="n">
        <x:v>0.04</x:v>
      </x:c>
      <x:c r="AM3723" t="n">
        <x:f>CHOOSE('假设'!$B$3,AJ3723,AK3723,AL3723)</x:f>
        <x:v>0.03</x:v>
      </x:c>
      <x:c r="AN3723" t="n">
        <x:v>1</x:v>
      </x:c>
    </x:row>
    <x:row r="3724" ht="23" customHeight="1">
      <x:c r="A3724" s="11" t="str">
        <x:v>02162.HK</x:v>
      </x:c>
      <x:c r="B3724" s="11" t="str">
        <x:v>2026年底</x:v>
      </x:c>
      <x:c r="C3724" s="11" t="str">
        <x:v>CM310_approved</x:v>
      </x:c>
      <x:c r="D3724" s="11" t="str">
        <x:v>2028-12-31</x:v>
      </x:c>
      <x:c r="E3724" s="11" t="str">
        <x:v>CNY</x:v>
      </x:c>
      <x:c r="F3724" s="11" t="n">
        <x:v>2.001368925393566</x:v>
      </x:c>
      <x:c r="G3724" s="26" t="b">
        <x:v>1</x:v>
      </x:c>
      <x:c r="H3724" s="16" t="n">
        <x:v>1</x:v>
      </x:c>
      <x:c r="I3724" s="16" t="n">
        <x:v>1.9</x:v>
      </x:c>
      <x:c r="J3724" s="16" t="n">
        <x:v>2.6</x:v>
      </x:c>
      <x:c r="K3724" s="11" t="n">
        <x:f>CHOOSE('假设'!$B$3,H3724,I3724,J3724)</x:f>
        <x:v>1.9</x:v>
      </x:c>
      <x:c r="L3724" s="11" t="n">
        <x:f>K3724*'管线假设'!E807*'管线假设'!F807*'管线假设'!G807*IF(E3724="USD",'管线假设'!I807,1)-AM3724</x:f>
        <x:v>0.79935</x:v>
      </x:c>
      <x:c r="M3724" s="11" t="n">
        <x:f>'管线假设'!H807</x:f>
        <x:v>0.14</x:v>
      </x:c>
      <x:c r="N3724" s="11" t="n">
        <x:f>IF(G3724,L3724*AN3724/(1+M3724)^F3724,0)</x:f>
        <x:v>0.6149635542586283</x:v>
      </x:c>
      <x:c r="AJ3724" s="42" t="n">
        <x:v>0.025</x:v>
      </x:c>
      <x:c r="AK3724" s="42" t="n">
        <x:v>0.03</x:v>
      </x:c>
      <x:c r="AL3724" s="42" t="n">
        <x:v>0.04</x:v>
      </x:c>
      <x:c r="AM3724" t="n">
        <x:f>CHOOSE('假设'!$B$3,AJ3724,AK3724,AL3724)</x:f>
        <x:v>0.03</x:v>
      </x:c>
      <x:c r="AN3724" t="n">
        <x:v>1</x:v>
      </x:c>
    </x:row>
    <x:row r="3725" ht="23" customHeight="1">
      <x:c r="A3725" s="11" t="str">
        <x:v>02162.HK</x:v>
      </x:c>
      <x:c r="B3725" s="11" t="str">
        <x:v>2026年底</x:v>
      </x:c>
      <x:c r="C3725" s="11" t="str">
        <x:v>CM310_approved</x:v>
      </x:c>
      <x:c r="D3725" s="11" t="str">
        <x:v>2029-12-31</x:v>
      </x:c>
      <x:c r="E3725" s="11" t="str">
        <x:v>CNY</x:v>
      </x:c>
      <x:c r="F3725" s="11" t="n">
        <x:v>3.0006844626967832</x:v>
      </x:c>
      <x:c r="G3725" s="26" t="b">
        <x:v>1</x:v>
      </x:c>
      <x:c r="H3725" s="16" t="n">
        <x:v>1.2</x:v>
      </x:c>
      <x:c r="I3725" s="16" t="n">
        <x:v>2.6</x:v>
      </x:c>
      <x:c r="J3725" s="16" t="n">
        <x:v>3.65</x:v>
      </x:c>
      <x:c r="K3725" s="11" t="n">
        <x:f>CHOOSE('假设'!$B$3,H3725,I3725,J3725)</x:f>
        <x:v>2.6</x:v>
      </x:c>
      <x:c r="L3725" s="11" t="n">
        <x:f>K3725*'管线假设'!E807*'管线假设'!F807*'管线假设'!G807*IF(E3725="USD",'管线假设'!I807,1)-AM3725</x:f>
        <x:v>1.1049</x:v>
      </x:c>
      <x:c r="M3725" s="11" t="n">
        <x:f>'管线假设'!H807</x:f>
        <x:v>0.14</x:v>
      </x:c>
      <x:c r="N3725" s="11" t="n">
        <x:f>IF(G3725,L3725*AN3725/(1+M3725)^F3725,0)</x:f>
        <x:v>0.7457091471048585</x:v>
      </x:c>
      <x:c r="AJ3725" s="42" t="n">
        <x:v>0.025</x:v>
      </x:c>
      <x:c r="AK3725" s="42" t="n">
        <x:v>0.03</x:v>
      </x:c>
      <x:c r="AL3725" s="42" t="n">
        <x:v>0.04</x:v>
      </x:c>
      <x:c r="AM3725" t="n">
        <x:f>CHOOSE('假设'!$B$3,AJ3725,AK3725,AL3725)</x:f>
        <x:v>0.03</x:v>
      </x:c>
      <x:c r="AN3725" t="n">
        <x:v>1</x:v>
      </x:c>
    </x:row>
    <x:row r="3726" ht="23" customHeight="1">
      <x:c r="A3726" s="11" t="str">
        <x:v>02162.HK</x:v>
      </x:c>
      <x:c r="B3726" s="11" t="str">
        <x:v>2026年底</x:v>
      </x:c>
      <x:c r="C3726" s="11" t="str">
        <x:v>CM310_approved</x:v>
      </x:c>
      <x:c r="D3726" s="11" t="str">
        <x:v>2030-12-31</x:v>
      </x:c>
      <x:c r="E3726" s="11" t="str">
        <x:v>CNY</x:v>
      </x:c>
      <x:c r="F3726" s="11" t="n">
        <x:v>4</x:v>
      </x:c>
      <x:c r="G3726" s="26" t="b">
        <x:v>1</x:v>
      </x:c>
      <x:c r="H3726" s="16" t="n">
        <x:v>1.3</x:v>
      </x:c>
      <x:c r="I3726" s="16" t="n">
        <x:v>3.25</x:v>
      </x:c>
      <x:c r="J3726" s="16" t="n">
        <x:v>4.8</x:v>
      </x:c>
      <x:c r="K3726" s="11" t="n">
        <x:f>CHOOSE('假设'!$B$3,H3726,I3726,J3726)</x:f>
        <x:v>3.25</x:v>
      </x:c>
      <x:c r="L3726" s="11" t="n">
        <x:f>K3726*'管线假设'!E807*'管线假设'!F807*'管线假设'!G807*IF(E3726="USD",'管线假设'!I807,1)-AM3726</x:f>
        <x:v>1.388625</x:v>
      </x:c>
      <x:c r="M3726" s="11" t="n">
        <x:f>'管线假设'!H807</x:f>
        <x:v>0.14</x:v>
      </x:c>
      <x:c r="N3726" s="11" t="n">
        <x:f>IF(G3726,L3726*AN3726/(1+M3726)^F3726,0)</x:f>
        <x:v>0.8221774751631793</x:v>
      </x:c>
      <x:c r="AJ3726" s="42" t="n">
        <x:v>0.02</x:v>
      </x:c>
      <x:c r="AK3726" s="42" t="n">
        <x:v>0.03</x:v>
      </x:c>
      <x:c r="AL3726" s="42" t="n">
        <x:v>0.04</x:v>
      </x:c>
      <x:c r="AM3726" t="n">
        <x:f>CHOOSE('假设'!$B$3,AJ3726,AK3726,AL3726)</x:f>
        <x:v>0.03</x:v>
      </x:c>
      <x:c r="AN3726" t="n">
        <x:v>1</x:v>
      </x:c>
    </x:row>
    <x:row r="3727" ht="23" customHeight="1">
      <x:c r="A3727" s="11" t="str">
        <x:v>02162.HK</x:v>
      </x:c>
      <x:c r="B3727" s="11" t="str">
        <x:v>2026年底</x:v>
      </x:c>
      <x:c r="C3727" s="11" t="str">
        <x:v>CM310_approved</x:v>
      </x:c>
      <x:c r="D3727" s="11" t="str">
        <x:v>2031-12-31</x:v>
      </x:c>
      <x:c r="E3727" s="11" t="str">
        <x:v>CNY</x:v>
      </x:c>
      <x:c r="F3727" s="11" t="n">
        <x:v>4.999315537303217</x:v>
      </x:c>
      <x:c r="G3727" s="26" t="b">
        <x:v>1</x:v>
      </x:c>
      <x:c r="H3727" s="16" t="n">
        <x:v>1.4</x:v>
      </x:c>
      <x:c r="I3727" s="16" t="n">
        <x:v>3.9</x:v>
      </x:c>
      <x:c r="J3727" s="16" t="n">
        <x:v>5.7</x:v>
      </x:c>
      <x:c r="K3727" s="11" t="n">
        <x:f>CHOOSE('假设'!$B$3,H3727,I3727,J3727)</x:f>
        <x:v>3.9</x:v>
      </x:c>
      <x:c r="L3727" s="11" t="n">
        <x:f>K3727*'管线假设'!E807*'管线假设'!F807*'管线假设'!G807*IF(E3727="USD",'管线假设'!I807,1)-AM3727</x:f>
        <x:v>1.70235</x:v>
      </x:c>
      <x:c r="M3727" s="11" t="n">
        <x:f>'管线假设'!H807</x:f>
        <x:v>0.14</x:v>
      </x:c>
      <x:c r="N3727" s="11" t="n">
        <x:f>IF(G3727,L3727*AN3727/(1+M3727)^F3727,0)</x:f>
        <x:v>0.8842265431530454</x:v>
      </x:c>
      <x:c r="AJ3727" s="42" t="n">
        <x:v>0</x:v>
      </x:c>
      <x:c r="AK3727" s="42" t="n">
        <x:v>0</x:v>
      </x:c>
      <x:c r="AL3727" s="42" t="n">
        <x:v>0</x:v>
      </x:c>
      <x:c r="AM3727" t="n">
        <x:f>CHOOSE('假设'!$B$3,AJ3727,AK3727,AL3727)</x:f>
        <x:v>0</x:v>
      </x:c>
      <x:c r="AN3727" t="n">
        <x:v>1</x:v>
      </x:c>
    </x:row>
    <x:row r="3728" ht="23" customHeight="1">
      <x:c r="A3728" s="11" t="str">
        <x:v>02162.HK</x:v>
      </x:c>
      <x:c r="B3728" s="11" t="str">
        <x:v>2026年底</x:v>
      </x:c>
      <x:c r="C3728" s="11" t="str">
        <x:v>CM310_approved</x:v>
      </x:c>
      <x:c r="D3728" s="11" t="str">
        <x:v>2032-12-31</x:v>
      </x:c>
      <x:c r="E3728" s="11" t="str">
        <x:v>CNY</x:v>
      </x:c>
      <x:c r="F3728" s="11" t="n">
        <x:v>6.0013689253935665</x:v>
      </x:c>
      <x:c r="G3728" s="26" t="b">
        <x:v>1</x:v>
      </x:c>
      <x:c r="H3728" s="16" t="n">
        <x:v>1.45</x:v>
      </x:c>
      <x:c r="I3728" s="16" t="n">
        <x:v>4.4</x:v>
      </x:c>
      <x:c r="J3728" s="16" t="n">
        <x:v>6.5</x:v>
      </x:c>
      <x:c r="K3728" s="11" t="n">
        <x:f>CHOOSE('假设'!$B$3,H3728,I3728,J3728)</x:f>
        <x:v>4.4</x:v>
      </x:c>
      <x:c r="L3728" s="11" t="n">
        <x:f>K3728*'管线假设'!E807*'管线假设'!F807*'管线假设'!G807*IF(E3728="USD",'管线假设'!I807,1)-AM3728</x:f>
        <x:v>1.9205999999999999</x:v>
      </x:c>
      <x:c r="M3728" s="11" t="n">
        <x:f>'管线假设'!H807</x:f>
        <x:v>0.14</x:v>
      </x:c>
      <x:c r="N3728" s="11" t="n">
        <x:f>IF(G3728,L3728*AN3728/(1+M3728)^F3728,0)</x:f>
        <x:v>0.874842590716005</x:v>
      </x:c>
      <x:c r="AJ3728" s="42" t="n">
        <x:v>0</x:v>
      </x:c>
      <x:c r="AK3728" s="42" t="n">
        <x:v>0</x:v>
      </x:c>
      <x:c r="AL3728" s="42" t="n">
        <x:v>0</x:v>
      </x:c>
      <x:c r="AM3728" t="n">
        <x:f>CHOOSE('假设'!$B$3,AJ3728,AK3728,AL3728)</x:f>
        <x:v>0</x:v>
      </x:c>
      <x:c r="AN3728" t="n">
        <x:v>1</x:v>
      </x:c>
    </x:row>
    <x:row r="3729" ht="23" customHeight="1">
      <x:c r="A3729" s="11" t="str">
        <x:v>02162.HK</x:v>
      </x:c>
      <x:c r="B3729" s="11" t="str">
        <x:v>2026年底</x:v>
      </x:c>
      <x:c r="C3729" s="11" t="str">
        <x:v>CM310_approved</x:v>
      </x:c>
      <x:c r="D3729" s="11" t="str">
        <x:v>2033-12-31</x:v>
      </x:c>
      <x:c r="E3729" s="11" t="str">
        <x:v>CNY</x:v>
      </x:c>
      <x:c r="F3729" s="11" t="n">
        <x:v>7.000684462696783</x:v>
      </x:c>
      <x:c r="G3729" s="26" t="b">
        <x:v>1</x:v>
      </x:c>
      <x:c r="H3729" s="16" t="n">
        <x:v>1.45</x:v>
      </x:c>
      <x:c r="I3729" s="16" t="n">
        <x:v>4.8</x:v>
      </x:c>
      <x:c r="J3729" s="16" t="n">
        <x:v>7.1</x:v>
      </x:c>
      <x:c r="K3729" s="11" t="n">
        <x:f>CHOOSE('假设'!$B$3,H3729,I3729,J3729)</x:f>
        <x:v>4.8</x:v>
      </x:c>
      <x:c r="L3729" s="11" t="n">
        <x:f>K3729*'管线假设'!E807*'管线假设'!F807*'管线假设'!G807*IF(E3729="USD",'管线假设'!I807,1)-AM3729</x:f>
        <x:v>2.0951999999999997</x:v>
      </x:c>
      <x:c r="M3729" s="11" t="n">
        <x:f>'管线假设'!H807</x:f>
        <x:v>0.14</x:v>
      </x:c>
      <x:c r="N3729" s="11" t="n">
        <x:f>IF(G3729,L3729*AN3729/(1+M3729)^F3729,0)</x:f>
        <x:v>0.837245027349671</x:v>
      </x:c>
      <x:c r="AJ3729" s="42" t="n">
        <x:v>0</x:v>
      </x:c>
      <x:c r="AK3729" s="42" t="n">
        <x:v>0</x:v>
      </x:c>
      <x:c r="AL3729" s="42" t="n">
        <x:v>0</x:v>
      </x:c>
      <x:c r="AM3729" t="n">
        <x:f>CHOOSE('假设'!$B$3,AJ3729,AK3729,AL3729)</x:f>
        <x:v>0</x:v>
      </x:c>
      <x:c r="AN3729" t="n">
        <x:v>1</x:v>
      </x:c>
    </x:row>
    <x:row r="3730" ht="23" customHeight="1">
      <x:c r="A3730" s="11" t="str">
        <x:v>02162.HK</x:v>
      </x:c>
      <x:c r="B3730" s="11" t="str">
        <x:v>2026年底</x:v>
      </x:c>
      <x:c r="C3730" s="11" t="str">
        <x:v>CM310_approved</x:v>
      </x:c>
      <x:c r="D3730" s="11" t="str">
        <x:v>2034-12-31</x:v>
      </x:c>
      <x:c r="E3730" s="11" t="str">
        <x:v>CNY</x:v>
      </x:c>
      <x:c r="F3730" s="11" t="n">
        <x:v>8</x:v>
      </x:c>
      <x:c r="G3730" s="26" t="b">
        <x:v>1</x:v>
      </x:c>
      <x:c r="H3730" s="16" t="n">
        <x:v>1.4</x:v>
      </x:c>
      <x:c r="I3730" s="16" t="n">
        <x:v>5</x:v>
      </x:c>
      <x:c r="J3730" s="16" t="n">
        <x:v>7.5</x:v>
      </x:c>
      <x:c r="K3730" s="11" t="n">
        <x:f>CHOOSE('假设'!$B$3,H3730,I3730,J3730)</x:f>
        <x:v>5</x:v>
      </x:c>
      <x:c r="L3730" s="11" t="n">
        <x:f>K3730*'管线假设'!E807*'管线假设'!F807*'管线假设'!G807*IF(E3730="USD",'管线假设'!I807,1)-AM3730</x:f>
        <x:v>2.1825</x:v>
      </x:c>
      <x:c r="M3730" s="11" t="n">
        <x:f>'管线假设'!H807</x:f>
        <x:v>0.14</x:v>
      </x:c>
      <x:c r="N3730" s="11" t="n">
        <x:f>IF(G3730,L3730*AN3730/(1+M3730)^F3730,0)</x:f>
        <x:v>0.7650951372117848</x:v>
      </x:c>
      <x:c r="AJ3730" s="42" t="n">
        <x:v>0</x:v>
      </x:c>
      <x:c r="AK3730" s="42" t="n">
        <x:v>0</x:v>
      </x:c>
      <x:c r="AL3730" s="42" t="n">
        <x:v>0</x:v>
      </x:c>
      <x:c r="AM3730" t="n">
        <x:f>CHOOSE('假设'!$B$3,AJ3730,AK3730,AL3730)</x:f>
        <x:v>0</x:v>
      </x:c>
      <x:c r="AN3730" t="n">
        <x:v>1</x:v>
      </x:c>
    </x:row>
    <x:row r="3731" ht="23" customHeight="1">
      <x:c r="A3731" s="11" t="str">
        <x:v>02162.HK</x:v>
      </x:c>
      <x:c r="B3731" s="11" t="str">
        <x:v>2026年底</x:v>
      </x:c>
      <x:c r="C3731" s="11" t="str">
        <x:v>CM310_approved</x:v>
      </x:c>
      <x:c r="D3731" s="11" t="str">
        <x:v>2035-12-31</x:v>
      </x:c>
      <x:c r="E3731" s="11" t="str">
        <x:v>CNY</x:v>
      </x:c>
      <x:c r="F3731" s="11" t="n">
        <x:v>8.999315537303216</x:v>
      </x:c>
      <x:c r="G3731" s="26" t="b">
        <x:v>1</x:v>
      </x:c>
      <x:c r="H3731" s="16" t="n">
        <x:v>1.3</x:v>
      </x:c>
      <x:c r="I3731" s="16" t="n">
        <x:v>5</x:v>
      </x:c>
      <x:c r="J3731" s="16" t="n">
        <x:v>7.5</x:v>
      </x:c>
      <x:c r="K3731" s="11" t="n">
        <x:f>CHOOSE('假设'!$B$3,H3731,I3731,J3731)</x:f>
        <x:v>5</x:v>
      </x:c>
      <x:c r="L3731" s="11" t="n">
        <x:f>K3731*'管线假设'!E807*'管线假设'!F807*'管线假设'!G807*IF(E3731="USD",'管线假设'!I807,1)-AM3731</x:f>
        <x:v>2.1825</x:v>
      </x:c>
      <x:c r="M3731" s="11" t="n">
        <x:f>'管线假设'!H807</x:f>
        <x:v>0.14</x:v>
      </x:c>
      <x:c r="N3731" s="11" t="n">
        <x:f>IF(G3731,L3731*AN3731/(1+M3731)^F3731,0)</x:f>
        <x:v>0.6711962781129986</x:v>
      </x:c>
      <x:c r="AJ3731" s="42" t="n">
        <x:v>0</x:v>
      </x:c>
      <x:c r="AK3731" s="42" t="n">
        <x:v>0</x:v>
      </x:c>
      <x:c r="AL3731" s="42" t="n">
        <x:v>0</x:v>
      </x:c>
      <x:c r="AM3731" t="n">
        <x:f>CHOOSE('假设'!$B$3,AJ3731,AK3731,AL3731)</x:f>
        <x:v>0</x:v>
      </x:c>
      <x:c r="AN3731" t="n">
        <x:v>1</x:v>
      </x:c>
    </x:row>
    <x:row r="3732" ht="23" customHeight="1">
      <x:c r="A3732" s="11" t="str">
        <x:v>02162.HK</x:v>
      </x:c>
      <x:c r="B3732" s="11" t="str">
        <x:v>2026年底</x:v>
      </x:c>
      <x:c r="C3732" s="11" t="str">
        <x:v>CM310_approved</x:v>
      </x:c>
      <x:c r="D3732" s="11" t="str">
        <x:v>2036-12-31</x:v>
      </x:c>
      <x:c r="E3732" s="11" t="str">
        <x:v>CNY</x:v>
      </x:c>
      <x:c r="F3732" s="11" t="n">
        <x:v>10.001368925393566</x:v>
      </x:c>
      <x:c r="G3732" s="26" t="b">
        <x:v>1</x:v>
      </x:c>
      <x:c r="H3732" s="16" t="n">
        <x:v>1.2</x:v>
      </x:c>
      <x:c r="I3732" s="16" t="n">
        <x:v>4.9</x:v>
      </x:c>
      <x:c r="J3732" s="16" t="n">
        <x:v>7.3</x:v>
      </x:c>
      <x:c r="K3732" s="11" t="n">
        <x:f>CHOOSE('假设'!$B$3,H3732,I3732,J3732)</x:f>
        <x:v>4.9</x:v>
      </x:c>
      <x:c r="L3732" s="11" t="n">
        <x:f>K3732*'管线假设'!E807*'管线假设'!F807*'管线假设'!G807*IF(E3732="USD",'管线假设'!I807,1)-AM3732</x:f>
        <x:v>2.13885</x:v>
      </x:c>
      <x:c r="M3732" s="11" t="n">
        <x:f>'管线假设'!H807</x:f>
        <x:v>0.14</x:v>
      </x:c>
      <x:c r="N3732" s="11" t="n">
        <x:f>IF(G3732,L3732*AN3732/(1+M3732)^F3732,0)</x:f>
        <x:v>0.5768380714671134</x:v>
      </x:c>
      <x:c r="AJ3732" s="42" t="n">
        <x:v>0</x:v>
      </x:c>
      <x:c r="AK3732" s="42" t="n">
        <x:v>0</x:v>
      </x:c>
      <x:c r="AL3732" s="42" t="n">
        <x:v>0</x:v>
      </x:c>
      <x:c r="AM3732" t="n">
        <x:f>CHOOSE('假设'!$B$3,AJ3732,AK3732,AL3732)</x:f>
        <x:v>0</x:v>
      </x:c>
      <x:c r="AN3732" t="n">
        <x:v>1</x:v>
      </x:c>
    </x:row>
    <x:row r="3733" ht="23" customHeight="1">
      <x:c r="A3733" s="11" t="str">
        <x:v>02162.HK</x:v>
      </x:c>
      <x:c r="B3733" s="11" t="str">
        <x:v>2026年底</x:v>
      </x:c>
      <x:c r="C3733" s="11" t="str">
        <x:v>CM310_approved</x:v>
      </x:c>
      <x:c r="D3733" s="11" t="str">
        <x:v>2037-12-31</x:v>
      </x:c>
      <x:c r="E3733" s="11" t="str">
        <x:v>CNY</x:v>
      </x:c>
      <x:c r="F3733" s="11" t="n">
        <x:v>11.000684462696784</x:v>
      </x:c>
      <x:c r="G3733" s="26" t="b">
        <x:v>1</x:v>
      </x:c>
      <x:c r="H3733" s="16" t="n">
        <x:v>1.1</x:v>
      </x:c>
      <x:c r="I3733" s="16" t="n">
        <x:v>4.6</x:v>
      </x:c>
      <x:c r="J3733" s="16" t="n">
        <x:v>6.9</x:v>
      </x:c>
      <x:c r="K3733" s="11" t="n">
        <x:f>CHOOSE('假设'!$B$3,H3733,I3733,J3733)</x:f>
        <x:v>4.6</x:v>
      </x:c>
      <x:c r="L3733" s="11" t="n">
        <x:f>K3733*'管线假设'!E807*'管线假设'!F807*'管线假设'!G807*IF(E3733="USD",'管线假设'!I807,1)-AM3733</x:f>
        <x:v>2.0079</x:v>
      </x:c>
      <x:c r="M3733" s="11" t="n">
        <x:f>'管线假设'!H807</x:f>
        <x:v>0.14</x:v>
      </x:c>
      <x:c r="N3733" s="11" t="n">
        <x:f>IF(G3733,L3733*AN3733/(1+M3733)^F3733,0)</x:f>
        <x:v>0.4750614235191715</x:v>
      </x:c>
      <x:c r="AJ3733" s="42" t="n">
        <x:v>0</x:v>
      </x:c>
      <x:c r="AK3733" s="42" t="n">
        <x:v>0</x:v>
      </x:c>
      <x:c r="AL3733" s="42" t="n">
        <x:v>0</x:v>
      </x:c>
      <x:c r="AM3733" t="n">
        <x:f>CHOOSE('假设'!$B$3,AJ3733,AK3733,AL3733)</x:f>
        <x:v>0</x:v>
      </x:c>
      <x:c r="AN3733" t="n">
        <x:v>1</x:v>
      </x:c>
    </x:row>
    <x:row r="3734" ht="23" customHeight="1">
      <x:c r="A3734" s="11" t="str">
        <x:v>02162.HK</x:v>
      </x:c>
      <x:c r="B3734" s="11" t="str">
        <x:v>2026年底</x:v>
      </x:c>
      <x:c r="C3734" s="11" t="str">
        <x:v>CM310_approved</x:v>
      </x:c>
      <x:c r="D3734" s="11" t="str">
        <x:v>2038-12-31</x:v>
      </x:c>
      <x:c r="E3734" s="11" t="str">
        <x:v>CNY</x:v>
      </x:c>
      <x:c r="F3734" s="11" t="n">
        <x:v>12</x:v>
      </x:c>
      <x:c r="G3734" s="26" t="b">
        <x:v>1</x:v>
      </x:c>
      <x:c r="H3734" s="16" t="n">
        <x:v>0.9</x:v>
      </x:c>
      <x:c r="I3734" s="16" t="n">
        <x:v>4.2</x:v>
      </x:c>
      <x:c r="J3734" s="16" t="n">
        <x:v>6.2</x:v>
      </x:c>
      <x:c r="K3734" s="11" t="n">
        <x:f>CHOOSE('假设'!$B$3,H3734,I3734,J3734)</x:f>
        <x:v>4.2</x:v>
      </x:c>
      <x:c r="L3734" s="11" t="n">
        <x:f>K3734*'管线假设'!E807*'管线假设'!F807*'管线假设'!G807*IF(E3734="USD",'管线假设'!I807,1)-AM3734</x:f>
        <x:v>1.8333</x:v>
      </x:c>
      <x:c r="M3734" s="11" t="n">
        <x:f>'管线假设'!H807</x:f>
        <x:v>0.14</x:v>
      </x:c>
      <x:c r="N3734" s="11" t="n">
        <x:f>IF(G3734,L3734*AN3734/(1+M3734)^F3734,0)</x:f>
        <x:v>0.38051810248614676</x:v>
      </x:c>
      <x:c r="AJ3734" s="42" t="n">
        <x:v>0</x:v>
      </x:c>
      <x:c r="AK3734" s="42" t="n">
        <x:v>0</x:v>
      </x:c>
      <x:c r="AL3734" s="42" t="n">
        <x:v>0</x:v>
      </x:c>
      <x:c r="AM3734" t="n">
        <x:f>CHOOSE('假设'!$B$3,AJ3734,AK3734,AL3734)</x:f>
        <x:v>0</x:v>
      </x:c>
      <x:c r="AN3734" t="n">
        <x:v>1</x:v>
      </x:c>
    </x:row>
    <x:row r="3735" ht="23" customHeight="1">
      <x:c r="A3735" s="11" t="str">
        <x:v>02162.HK</x:v>
      </x:c>
      <x:c r="B3735" s="11" t="str">
        <x:v>2026年底</x:v>
      </x:c>
      <x:c r="C3735" s="11" t="str">
        <x:v>CM310_approved</x:v>
      </x:c>
      <x:c r="D3735" s="11" t="str">
        <x:v>2039-12-31</x:v>
      </x:c>
      <x:c r="E3735" s="11" t="str">
        <x:v>CNY</x:v>
      </x:c>
      <x:c r="F3735" s="11" t="n">
        <x:v>12.999315537303216</x:v>
      </x:c>
      <x:c r="G3735" s="26" t="b">
        <x:v>1</x:v>
      </x:c>
      <x:c r="H3735" s="16" t="n">
        <x:v>0.7</x:v>
      </x:c>
      <x:c r="I3735" s="16" t="n">
        <x:v>3.6</x:v>
      </x:c>
      <x:c r="J3735" s="16" t="n">
        <x:v>5.3</x:v>
      </x:c>
      <x:c r="K3735" s="11" t="n">
        <x:f>CHOOSE('假设'!$B$3,H3735,I3735,J3735)</x:f>
        <x:v>3.6</x:v>
      </x:c>
      <x:c r="L3735" s="11" t="n">
        <x:f>K3735*'管线假设'!E807*'管线假设'!F807*'管线假设'!G807*IF(E3735="USD",'管线假设'!I807,1)-AM3735</x:f>
        <x:v>1.5714000000000001</x:v>
      </x:c>
      <x:c r="M3735" s="11" t="n">
        <x:f>'管线假设'!H807</x:f>
        <x:v>0.14</x:v>
      </x:c>
      <x:c r="N3735" s="11" t="n">
        <x:f>IF(G3735,L3735*AN3735/(1+M3735)^F3735,0)</x:f>
        <x:v>0.28612949653078784</x:v>
      </x:c>
      <x:c r="AJ3735" s="42" t="n">
        <x:v>0</x:v>
      </x:c>
      <x:c r="AK3735" s="42" t="n">
        <x:v>0</x:v>
      </x:c>
      <x:c r="AL3735" s="42" t="n">
        <x:v>0</x:v>
      </x:c>
      <x:c r="AM3735" t="n">
        <x:f>CHOOSE('假设'!$B$3,AJ3735,AK3735,AL3735)</x:f>
        <x:v>0</x:v>
      </x:c>
      <x:c r="AN3735" t="n">
        <x:v>1</x:v>
      </x:c>
    </x:row>
    <x:row r="3736" ht="23" customHeight="1">
      <x:c r="A3736" s="11" t="str">
        <x:v>02162.HK</x:v>
      </x:c>
      <x:c r="B3736" s="11" t="str">
        <x:v>2026年底</x:v>
      </x:c>
      <x:c r="C3736" s="11" t="str">
        <x:v>CM310_approved</x:v>
      </x:c>
      <x:c r="D3736" s="11" t="str">
        <x:v>2040-12-31</x:v>
      </x:c>
      <x:c r="E3736" s="11" t="str">
        <x:v>CNY</x:v>
      </x:c>
      <x:c r="F3736" s="11" t="n">
        <x:v>14.001368925393566</x:v>
      </x:c>
      <x:c r="G3736" s="26" t="b">
        <x:v>1</x:v>
      </x:c>
      <x:c r="H3736" s="16" t="n">
        <x:v>0.5</x:v>
      </x:c>
      <x:c r="I3736" s="16" t="n">
        <x:v>2.9</x:v>
      </x:c>
      <x:c r="J3736" s="16" t="n">
        <x:v>4.3</x:v>
      </x:c>
      <x:c r="K3736" s="11" t="n">
        <x:f>CHOOSE('假设'!$B$3,H3736,I3736,J3736)</x:f>
        <x:v>2.9</x:v>
      </x:c>
      <x:c r="L3736" s="11" t="n">
        <x:f>K3736*'管线假设'!E807*'管线假设'!F807*'管线假设'!G807*IF(E3736="USD",'管线假设'!I807,1)-AM3736</x:f>
        <x:v>1.26585</x:v>
      </x:c>
      <x:c r="M3736" s="11" t="n">
        <x:f>'管线假设'!H807</x:f>
        <x:v>0.14</x:v>
      </x:c>
      <x:c r="N3736" s="11" t="n">
        <x:f>IF(G3736,L3736*AN3736/(1+M3736)^F3736,0)</x:f>
        <x:v>0.20213263092257297</x:v>
      </x:c>
      <x:c r="AJ3736" s="42" t="n">
        <x:v>0</x:v>
      </x:c>
      <x:c r="AK3736" s="42" t="n">
        <x:v>0</x:v>
      </x:c>
      <x:c r="AL3736" s="42" t="n">
        <x:v>0</x:v>
      </x:c>
      <x:c r="AM3736" t="n">
        <x:f>CHOOSE('假设'!$B$3,AJ3736,AK3736,AL3736)</x:f>
        <x:v>0</x:v>
      </x:c>
      <x:c r="AN3736" t="n">
        <x:v>1</x:v>
      </x:c>
    </x:row>
    <x:row r="3737" ht="23" customHeight="1">
      <x:c r="A3737" s="11" t="str">
        <x:v>02162.HK</x:v>
      </x:c>
      <x:c r="B3737" s="11" t="str">
        <x:v>2026年底</x:v>
      </x:c>
      <x:c r="C3737" s="11" t="str">
        <x:v>CM310_approved</x:v>
      </x:c>
      <x:c r="D3737" s="11" t="str">
        <x:v>2041-12-31</x:v>
      </x:c>
      <x:c r="E3737" s="11" t="str">
        <x:v>CNY</x:v>
      </x:c>
      <x:c r="F3737" s="11" t="n">
        <x:v>15.000684462696784</x:v>
      </x:c>
      <x:c r="G3737" s="26" t="b">
        <x:v>1</x:v>
      </x:c>
      <x:c r="H3737" s="16" t="n">
        <x:v>0.35</x:v>
      </x:c>
      <x:c r="I3737" s="16" t="n">
        <x:v>2.2</x:v>
      </x:c>
      <x:c r="J3737" s="16" t="n">
        <x:v>3.3</x:v>
      </x:c>
      <x:c r="K3737" s="11" t="n">
        <x:f>CHOOSE('假设'!$B$3,H3737,I3737,J3737)</x:f>
        <x:v>2.2</x:v>
      </x:c>
      <x:c r="L3737" s="11" t="n">
        <x:f>K3737*'管线假设'!E807*'管线假设'!F807*'管线假设'!G807*IF(E3737="USD",'管线假设'!I807,1)-AM3737</x:f>
        <x:v>0.9602999999999999</x:v>
      </x:c>
      <x:c r="M3737" s="11" t="n">
        <x:f>'管线假设'!H807</x:f>
        <x:v>0.14</x:v>
      </x:c>
      <x:c r="N3737" s="11" t="n">
        <x:f>IF(G3737,L3737*AN3737/(1+M3737)^F3737,0)</x:f>
        <x:v>0.13452258667200823</x:v>
      </x:c>
      <x:c r="AJ3737" s="42" t="n">
        <x:v>0</x:v>
      </x:c>
      <x:c r="AK3737" s="42" t="n">
        <x:v>0</x:v>
      </x:c>
      <x:c r="AL3737" s="42" t="n">
        <x:v>0</x:v>
      </x:c>
      <x:c r="AM3737" t="n">
        <x:f>CHOOSE('假设'!$B$3,AJ3737,AK3737,AL3737)</x:f>
        <x:v>0</x:v>
      </x:c>
      <x:c r="AN3737" t="n">
        <x:v>1</x:v>
      </x:c>
    </x:row>
    <x:row r="3738" ht="23" customHeight="1">
      <x:c r="A3738" s="11" t="str">
        <x:v>02162.HK</x:v>
      </x:c>
      <x:c r="B3738" s="11" t="str">
        <x:v>2026年底</x:v>
      </x:c>
      <x:c r="C3738" s="11" t="str">
        <x:v>CM310_approved</x:v>
      </x:c>
      <x:c r="D3738" s="11" t="str">
        <x:v>2042-12-31</x:v>
      </x:c>
      <x:c r="E3738" s="11" t="str">
        <x:v>CNY</x:v>
      </x:c>
      <x:c r="F3738" s="11" t="n">
        <x:v>16</x:v>
      </x:c>
      <x:c r="G3738" s="26" t="b">
        <x:v>1</x:v>
      </x:c>
      <x:c r="H3738" s="16" t="n">
        <x:v>0.25</x:v>
      </x:c>
      <x:c r="I3738" s="16" t="n">
        <x:v>1.5</x:v>
      </x:c>
      <x:c r="J3738" s="16" t="n">
        <x:v>2.3</x:v>
      </x:c>
      <x:c r="K3738" s="11" t="n">
        <x:f>CHOOSE('假设'!$B$3,H3738,I3738,J3738)</x:f>
        <x:v>1.5</x:v>
      </x:c>
      <x:c r="L3738" s="11" t="n">
        <x:f>K3738*'管线假设'!E807*'管线假设'!F807*'管线假设'!G807*IF(E3738="USD",'管线假设'!I807,1)-AM3738</x:f>
        <x:v>0.65475</x:v>
      </x:c>
      <x:c r="M3738" s="11" t="n">
        <x:f>'管线假设'!H807</x:f>
        <x:v>0.14</x:v>
      </x:c>
      <x:c r="N3738" s="11" t="n">
        <x:f>IF(G3738,L3738*AN3738/(1+M3738)^F3738,0)</x:f>
        <x:v>0.08046330845156287</x:v>
      </x:c>
      <x:c r="AJ3738" s="42" t="n">
        <x:v>0</x:v>
      </x:c>
      <x:c r="AK3738" s="42" t="n">
        <x:v>0</x:v>
      </x:c>
      <x:c r="AL3738" s="42" t="n">
        <x:v>0</x:v>
      </x:c>
      <x:c r="AM3738" t="n">
        <x:f>CHOOSE('假设'!$B$3,AJ3738,AK3738,AL3738)</x:f>
        <x:v>0</x:v>
      </x:c>
      <x:c r="AN3738" t="n">
        <x:v>1</x:v>
      </x:c>
    </x:row>
    <x:row r="3739" ht="23" customHeight="1">
      <x:c r="A3739" s="11" t="str">
        <x:v>02162.HK</x:v>
      </x:c>
      <x:c r="B3739" s="11" t="str">
        <x:v>2026年底</x:v>
      </x:c>
      <x:c r="C3739" s="11" t="str">
        <x:v>CM310_approved</x:v>
      </x:c>
      <x:c r="D3739" s="11" t="str">
        <x:v>2043-12-31</x:v>
      </x:c>
      <x:c r="E3739" s="11" t="str">
        <x:v>CNY</x:v>
      </x:c>
      <x:c r="F3739" s="11" t="n">
        <x:v>16.999315537303218</x:v>
      </x:c>
      <x:c r="G3739" s="26" t="b">
        <x:v>1</x:v>
      </x:c>
      <x:c r="H3739" s="16" t="n">
        <x:v>0.15</x:v>
      </x:c>
      <x:c r="I3739" s="16" t="n">
        <x:v>0.9</x:v>
      </x:c>
      <x:c r="J3739" s="16" t="n">
        <x:v>1.4</x:v>
      </x:c>
      <x:c r="K3739" s="11" t="n">
        <x:f>CHOOSE('假设'!$B$3,H3739,I3739,J3739)</x:f>
        <x:v>0.9</x:v>
      </x:c>
      <x:c r="L3739" s="11" t="n">
        <x:f>K3739*'管线假设'!E807*'管线假设'!F807*'管线假设'!G807*IF(E3739="USD",'管线假设'!I807,1)-AM3739</x:f>
        <x:v>0.39285000000000003</x:v>
      </x:c>
      <x:c r="M3739" s="11" t="n">
        <x:f>'管线假设'!H807</x:f>
        <x:v>0.14</x:v>
      </x:c>
      <x:c r="N3739" s="11" t="n">
        <x:f>IF(G3739,L3739*AN3739/(1+M3739)^F3739,0)</x:f>
        <x:v>0.04235290791743537</x:v>
      </x:c>
      <x:c r="AJ3739" s="42" t="n">
        <x:v>0</x:v>
      </x:c>
      <x:c r="AK3739" s="42" t="n">
        <x:v>0</x:v>
      </x:c>
      <x:c r="AL3739" s="42" t="n">
        <x:v>0</x:v>
      </x:c>
      <x:c r="AM3739" t="n">
        <x:f>CHOOSE('假设'!$B$3,AJ3739,AK3739,AL3739)</x:f>
        <x:v>0</x:v>
      </x:c>
      <x:c r="AN3739" t="n">
        <x:v>1</x:v>
      </x:c>
    </x:row>
    <x:row r="3740" ht="23" customHeight="1">
      <x:c r="A3740" s="11" t="str">
        <x:v>02162.HK</x:v>
      </x:c>
      <x:c r="B3740" s="11" t="str">
        <x:v>2026年底</x:v>
      </x:c>
      <x:c r="C3740" s="11" t="str">
        <x:v>CM310_approved</x:v>
      </x:c>
      <x:c r="D3740" s="11" t="str">
        <x:v>2044-12-31</x:v>
      </x:c>
      <x:c r="E3740" s="11" t="str">
        <x:v>CNY</x:v>
      </x:c>
      <x:c r="F3740" s="11" t="n">
        <x:v>18.001368925393567</x:v>
      </x:c>
      <x:c r="G3740" s="26" t="b">
        <x:v>1</x:v>
      </x:c>
      <x:c r="H3740" s="16" t="n">
        <x:v>0.1</x:v>
      </x:c>
      <x:c r="I3740" s="16" t="n">
        <x:v>0.5</x:v>
      </x:c>
      <x:c r="J3740" s="16" t="n">
        <x:v>0.8</x:v>
      </x:c>
      <x:c r="K3740" s="11" t="n">
        <x:f>CHOOSE('假设'!$B$3,H3740,I3740,J3740)</x:f>
        <x:v>0.5</x:v>
      </x:c>
      <x:c r="L3740" s="11" t="n">
        <x:f>K3740*'管线假设'!E807*'管线假设'!F807*'管线假设'!G807*IF(E3740="USD",'管线假设'!I807,1)-AM3740</x:f>
        <x:v>0.21825</x:v>
      </x:c>
      <x:c r="M3740" s="11" t="n">
        <x:f>'管线假设'!H807</x:f>
        <x:v>0.14</x:v>
      </x:c>
      <x:c r="N3740" s="11" t="n">
        <x:f>IF(G3740,L3740*AN3740/(1+M3740)^F3740,0)</x:f>
        <x:v>0.020634266238310883</x:v>
      </x:c>
      <x:c r="AJ3740" s="42" t="n">
        <x:v>0</x:v>
      </x:c>
      <x:c r="AK3740" s="42" t="n">
        <x:v>0</x:v>
      </x:c>
      <x:c r="AL3740" s="42" t="n">
        <x:v>0</x:v>
      </x:c>
      <x:c r="AM3740" t="n">
        <x:f>CHOOSE('假设'!$B$3,AJ3740,AK3740,AL3740)</x:f>
        <x:v>0</x:v>
      </x:c>
      <x:c r="AN3740" t="n">
        <x:v>1</x:v>
      </x:c>
    </x:row>
    <x:row r="3741" ht="23" customHeight="1">
      <x:c r="A3741" s="11" t="str">
        <x:v>02162.HK</x:v>
      </x:c>
      <x:c r="B3741" s="11" t="str">
        <x:v>2026年底</x:v>
      </x:c>
      <x:c r="C3741" s="11" t="str">
        <x:v>CM310_new</x:v>
      </x:c>
      <x:c r="D3741" s="11" t="str">
        <x:v>2026-12-31</x:v>
      </x:c>
      <x:c r="E3741" s="11" t="str">
        <x:v>CNY</x:v>
      </x:c>
      <x:c r="F3741" s="11" t="n">
        <x:v>0</x:v>
      </x:c>
      <x:c r="G3741" s="26" t="b">
        <x:v>0</x:v>
      </x:c>
      <x:c r="H3741" s="16" t="n">
        <x:v>0</x:v>
      </x:c>
      <x:c r="I3741" s="16" t="n">
        <x:v>0</x:v>
      </x:c>
      <x:c r="J3741" s="16" t="n">
        <x:v>0</x:v>
      </x:c>
      <x:c r="K3741" s="11" t="n">
        <x:f>CHOOSE('假设'!$B$3,H3741,I3741,J3741)</x:f>
        <x:v>0</x:v>
      </x:c>
      <x:c r="L3741" s="11" t="n">
        <x:f>K3741*'管线假设'!E811*'管线假设'!F811*'管线假设'!G811*IF(E3741="USD",'管线假设'!I811,1)-AM3741</x:f>
        <x:v>-0.05</x:v>
      </x:c>
      <x:c r="M3741" s="11" t="n">
        <x:f>'管线假设'!H811</x:f>
        <x:v>0.14</x:v>
      </x:c>
      <x:c r="N3741" s="11" t="n">
        <x:f>IF(G3741,L3741*AN3741/(1+M3741)^F3741,0)</x:f>
        <x:v>0</x:v>
      </x:c>
      <x:c r="AJ3741" s="42" t="n">
        <x:v>0.04</x:v>
      </x:c>
      <x:c r="AK3741" s="42" t="n">
        <x:v>0.05</x:v>
      </x:c>
      <x:c r="AL3741" s="42" t="n">
        <x:v>0.06</x:v>
      </x:c>
      <x:c r="AM3741" t="n">
        <x:f>CHOOSE('假设'!$B$3,AJ3741,AK3741,AL3741)</x:f>
        <x:v>0.05</x:v>
      </x:c>
      <x:c r="AN3741" t="n">
        <x:v>0</x:v>
      </x:c>
    </x:row>
    <x:row r="3742" ht="23" customHeight="1">
      <x:c r="A3742" s="11" t="str">
        <x:v>02162.HK</x:v>
      </x:c>
      <x:c r="B3742" s="11" t="str">
        <x:v>2026年底</x:v>
      </x:c>
      <x:c r="C3742" s="11" t="str">
        <x:v>CM310_new</x:v>
      </x:c>
      <x:c r="D3742" s="11" t="str">
        <x:v>2027-12-31</x:v>
      </x:c>
      <x:c r="E3742" s="11" t="str">
        <x:v>CNY</x:v>
      </x:c>
      <x:c r="F3742" s="11" t="n">
        <x:v>0.999315537303217</x:v>
      </x:c>
      <x:c r="G3742" s="26" t="b">
        <x:v>1</x:v>
      </x:c>
      <x:c r="H3742" s="16" t="n">
        <x:v>0</x:v>
      </x:c>
      <x:c r="I3742" s="16" t="n">
        <x:v>0.06</x:v>
      </x:c>
      <x:c r="J3742" s="16" t="n">
        <x:v>0.108</x:v>
      </x:c>
      <x:c r="K3742" s="11" t="n">
        <x:f>CHOOSE('假设'!$B$3,H3742,I3742,J3742)</x:f>
        <x:v>0.06</x:v>
      </x:c>
      <x:c r="L3742" s="11" t="n">
        <x:f>K3742*'管线假设'!E811*'管线假设'!F811*'管线假设'!G811*IF(E3742="USD",'管线假设'!I811,1)-AM3742</x:f>
        <x:v>-0.0211</x:v>
      </x:c>
      <x:c r="M3742" s="11" t="n">
        <x:f>'管线假设'!H811</x:f>
        <x:v>0.14</x:v>
      </x:c>
      <x:c r="N3742" s="11" t="n">
        <x:f>IF(G3742,L3742*AN3742/(1+M3742)^F3742,0)</x:f>
        <x:v>-0.01851043194418323</x:v>
      </x:c>
      <x:c r="AJ3742" s="42" t="n">
        <x:v>0.02</x:v>
      </x:c>
      <x:c r="AK3742" s="42" t="n">
        <x:v>0.04</x:v>
      </x:c>
      <x:c r="AL3742" s="42" t="n">
        <x:v>0.05</x:v>
      </x:c>
      <x:c r="AM3742" t="n">
        <x:f>CHOOSE('假设'!$B$3,AJ3742,AK3742,AL3742)</x:f>
        <x:v>0.04</x:v>
      </x:c>
      <x:c r="AN3742" t="n">
        <x:v>1</x:v>
      </x:c>
    </x:row>
    <x:row r="3743" ht="23" customHeight="1">
      <x:c r="A3743" s="11" t="str">
        <x:v>02162.HK</x:v>
      </x:c>
      <x:c r="B3743" s="11" t="str">
        <x:v>2026年底</x:v>
      </x:c>
      <x:c r="C3743" s="11" t="str">
        <x:v>CM310_new</x:v>
      </x:c>
      <x:c r="D3743" s="11" t="str">
        <x:v>2028-12-31</x:v>
      </x:c>
      <x:c r="E3743" s="11" t="str">
        <x:v>CNY</x:v>
      </x:c>
      <x:c r="F3743" s="11" t="n">
        <x:v>2.001368925393566</x:v>
      </x:c>
      <x:c r="G3743" s="26" t="b">
        <x:v>1</x:v>
      </x:c>
      <x:c r="H3743" s="16" t="n">
        <x:v>0.024</x:v>
      </x:c>
      <x:c r="I3743" s="16" t="n">
        <x:v>0.18</x:v>
      </x:c>
      <x:c r="J3743" s="16" t="n">
        <x:v>0.324</x:v>
      </x:c>
      <x:c r="K3743" s="11" t="n">
        <x:f>CHOOSE('假设'!$B$3,H3743,I3743,J3743)</x:f>
        <x:v>0.18</x:v>
      </x:c>
      <x:c r="L3743" s="11" t="n">
        <x:f>K3743*'管线假设'!E811*'管线假设'!F811*'管线假设'!G811*IF(E3743="USD",'管线假设'!I811,1)-AM3743</x:f>
        <x:v>0.036699999999999997</x:v>
      </x:c>
      <x:c r="M3743" s="11" t="n">
        <x:f>'管线假设'!H811</x:f>
        <x:v>0.14</x:v>
      </x:c>
      <x:c r="N3743" s="11" t="n">
        <x:f>IF(G3743,L3743*AN3743/(1+M3743)^F3743,0)</x:f>
        <x:v>0.028234393496330338</x:v>
      </x:c>
      <x:c r="AJ3743" s="42" t="n">
        <x:v>0</x:v>
      </x:c>
      <x:c r="AK3743" s="42" t="n">
        <x:v>0.02</x:v>
      </x:c>
      <x:c r="AL3743" s="42" t="n">
        <x:v>0.03</x:v>
      </x:c>
      <x:c r="AM3743" t="n">
        <x:f>CHOOSE('假设'!$B$3,AJ3743,AK3743,AL3743)</x:f>
        <x:v>0.02</x:v>
      </x:c>
      <x:c r="AN3743" t="n">
        <x:v>1</x:v>
      </x:c>
    </x:row>
    <x:row r="3744" ht="23" customHeight="1">
      <x:c r="A3744" s="11" t="str">
        <x:v>02162.HK</x:v>
      </x:c>
      <x:c r="B3744" s="11" t="str">
        <x:v>2026年底</x:v>
      </x:c>
      <x:c r="C3744" s="11" t="str">
        <x:v>CM310_new</x:v>
      </x:c>
      <x:c r="D3744" s="11" t="str">
        <x:v>2029-12-31</x:v>
      </x:c>
      <x:c r="E3744" s="11" t="str">
        <x:v>CNY</x:v>
      </x:c>
      <x:c r="F3744" s="11" t="n">
        <x:v>3.0006844626967832</x:v>
      </x:c>
      <x:c r="G3744" s="26" t="b">
        <x:v>1</x:v>
      </x:c>
      <x:c r="H3744" s="16" t="n">
        <x:v>0.072</x:v>
      </x:c>
      <x:c r="I3744" s="16" t="n">
        <x:v>0.38</x:v>
      </x:c>
      <x:c r="J3744" s="16" t="n">
        <x:v>0.684</x:v>
      </x:c>
      <x:c r="K3744" s="11" t="n">
        <x:f>CHOOSE('假设'!$B$3,H3744,I3744,J3744)</x:f>
        <x:v>0.38</x:v>
      </x:c>
      <x:c r="L3744" s="11" t="n">
        <x:f>K3744*'管线假设'!E811*'管线假设'!F811*'管线假设'!G811*IF(E3744="USD",'管线假设'!I811,1)-AM3744</x:f>
        <x:v>0.11969999999999999</x:v>
      </x:c>
      <x:c r="M3744" s="11" t="n">
        <x:f>'管线假设'!H811</x:f>
        <x:v>0.14</x:v>
      </x:c>
      <x:c r="N3744" s="11" t="n">
        <x:f>IF(G3744,L3744*AN3744/(1+M3744)^F3744,0)</x:f>
        <x:v>0.08078684488048832</x:v>
      </x:c>
      <x:c r="AJ3744" s="42" t="n">
        <x:v>0</x:v>
      </x:c>
      <x:c r="AK3744" s="42" t="n">
        <x:v>0</x:v>
      </x:c>
      <x:c r="AL3744" s="42" t="n">
        <x:v>0</x:v>
      </x:c>
      <x:c r="AM3744" t="n">
        <x:f>CHOOSE('假设'!$B$3,AJ3744,AK3744,AL3744)</x:f>
        <x:v>0</x:v>
      </x:c>
      <x:c r="AN3744" t="n">
        <x:v>1</x:v>
      </x:c>
    </x:row>
    <x:row r="3745" ht="23" customHeight="1">
      <x:c r="A3745" s="11" t="str">
        <x:v>02162.HK</x:v>
      </x:c>
      <x:c r="B3745" s="11" t="str">
        <x:v>2026年底</x:v>
      </x:c>
      <x:c r="C3745" s="11" t="str">
        <x:v>CM310_new</x:v>
      </x:c>
      <x:c r="D3745" s="11" t="str">
        <x:v>2030-12-31</x:v>
      </x:c>
      <x:c r="E3745" s="11" t="str">
        <x:v>CNY</x:v>
      </x:c>
      <x:c r="F3745" s="11" t="n">
        <x:v>4</x:v>
      </x:c>
      <x:c r="G3745" s="26" t="b">
        <x:v>1</x:v>
      </x:c>
      <x:c r="H3745" s="16" t="n">
        <x:v>0.15200000000000002</x:v>
      </x:c>
      <x:c r="I3745" s="16" t="n">
        <x:v>0.65</x:v>
      </x:c>
      <x:c r="J3745" s="16" t="n">
        <x:v>1.1700000000000002</x:v>
      </x:c>
      <x:c r="K3745" s="11" t="n">
        <x:f>CHOOSE('假设'!$B$3,H3745,I3745,J3745)</x:f>
        <x:v>0.65</x:v>
      </x:c>
      <x:c r="L3745" s="11" t="n">
        <x:f>K3745*'管线假设'!E811*'管线假设'!F811*'管线假设'!G811*IF(E3745="USD",'管线假设'!I811,1)-AM3745</x:f>
        <x:v>0.20475</x:v>
      </x:c>
      <x:c r="M3745" s="11" t="n">
        <x:f>'管线假设'!H811</x:f>
        <x:v>0.14</x:v>
      </x:c>
      <x:c r="N3745" s="11" t="n">
        <x:f>IF(G3745,L3745*AN3745/(1+M3745)^F3745,0)</x:f>
        <x:v>0.12122843679154628</x:v>
      </x:c>
      <x:c r="AJ3745" s="42" t="n">
        <x:v>0</x:v>
      </x:c>
      <x:c r="AK3745" s="42" t="n">
        <x:v>0</x:v>
      </x:c>
      <x:c r="AL3745" s="42" t="n">
        <x:v>0</x:v>
      </x:c>
      <x:c r="AM3745" t="n">
        <x:f>CHOOSE('假设'!$B$3,AJ3745,AK3745,AL3745)</x:f>
        <x:v>0</x:v>
      </x:c>
      <x:c r="AN3745" t="n">
        <x:v>1</x:v>
      </x:c>
    </x:row>
    <x:row r="3746" ht="23" customHeight="1">
      <x:c r="A3746" s="11" t="str">
        <x:v>02162.HK</x:v>
      </x:c>
      <x:c r="B3746" s="11" t="str">
        <x:v>2026年底</x:v>
      </x:c>
      <x:c r="C3746" s="11" t="str">
        <x:v>CM310_new</x:v>
      </x:c>
      <x:c r="D3746" s="11" t="str">
        <x:v>2031-12-31</x:v>
      </x:c>
      <x:c r="E3746" s="11" t="str">
        <x:v>CNY</x:v>
      </x:c>
      <x:c r="F3746" s="11" t="n">
        <x:v>4.999315537303217</x:v>
      </x:c>
      <x:c r="G3746" s="26" t="b">
        <x:v>1</x:v>
      </x:c>
      <x:c r="H3746" s="16" t="n">
        <x:v>0.26</x:v>
      </x:c>
      <x:c r="I3746" s="16" t="n">
        <x:v>0.85</x:v>
      </x:c>
      <x:c r="J3746" s="16" t="n">
        <x:v>1.53</x:v>
      </x:c>
      <x:c r="K3746" s="11" t="n">
        <x:f>CHOOSE('假设'!$B$3,H3746,I3746,J3746)</x:f>
        <x:v>0.85</x:v>
      </x:c>
      <x:c r="L3746" s="11" t="n">
        <x:f>K3746*'管线假设'!E811*'管线假设'!F811*'管线假设'!G811*IF(E3746="USD",'管线假设'!I811,1)-AM3746</x:f>
        <x:v>0.26775</x:v>
      </x:c>
      <x:c r="M3746" s="11" t="n">
        <x:f>'管线假设'!H811</x:f>
        <x:v>0.14</x:v>
      </x:c>
      <x:c r="N3746" s="11" t="n">
        <x:f>IF(G3746,L3746*AN3746/(1+M3746)^F3746,0)</x:f>
        <x:v>0.13907343197886915</x:v>
      </x:c>
      <x:c r="AJ3746" s="42" t="n">
        <x:v>0</x:v>
      </x:c>
      <x:c r="AK3746" s="42" t="n">
        <x:v>0</x:v>
      </x:c>
      <x:c r="AL3746" s="42" t="n">
        <x:v>0</x:v>
      </x:c>
      <x:c r="AM3746" t="n">
        <x:f>CHOOSE('假设'!$B$3,AJ3746,AK3746,AL3746)</x:f>
        <x:v>0</x:v>
      </x:c>
      <x:c r="AN3746" t="n">
        <x:v>1</x:v>
      </x:c>
    </x:row>
    <x:row r="3747" ht="23" customHeight="1">
      <x:c r="A3747" s="11" t="str">
        <x:v>02162.HK</x:v>
      </x:c>
      <x:c r="B3747" s="11" t="str">
        <x:v>2026年底</x:v>
      </x:c>
      <x:c r="C3747" s="11" t="str">
        <x:v>CM310_new</x:v>
      </x:c>
      <x:c r="D3747" s="11" t="str">
        <x:v>2032-12-31</x:v>
      </x:c>
      <x:c r="E3747" s="11" t="str">
        <x:v>CNY</x:v>
      </x:c>
      <x:c r="F3747" s="11" t="n">
        <x:v>6.0013689253935665</x:v>
      </x:c>
      <x:c r="G3747" s="26" t="b">
        <x:v>1</x:v>
      </x:c>
      <x:c r="H3747" s="16" t="n">
        <x:v>0.34</x:v>
      </x:c>
      <x:c r="I3747" s="16" t="n">
        <x:v>1</x:v>
      </x:c>
      <x:c r="J3747" s="16" t="n">
        <x:v>1.8</x:v>
      </x:c>
      <x:c r="K3747" s="11" t="n">
        <x:f>CHOOSE('假设'!$B$3,H3747,I3747,J3747)</x:f>
        <x:v>1</x:v>
      </x:c>
      <x:c r="L3747" s="11" t="n">
        <x:f>K3747*'管线假设'!E811*'管线假设'!F811*'管线假设'!G811*IF(E3747="USD",'管线假设'!I811,1)-AM3747</x:f>
        <x:v>0.315</x:v>
      </x:c>
      <x:c r="M3747" s="11" t="n">
        <x:f>'管线假设'!H811</x:f>
        <x:v>0.14</x:v>
      </x:c>
      <x:c r="N3747" s="11" t="n">
        <x:f>IF(G3747,L3747*AN3747/(1+M3747)^F3747,0)</x:f>
        <x:v>0.14348402378191275</x:v>
      </x:c>
      <x:c r="AJ3747" s="42" t="n">
        <x:v>0</x:v>
      </x:c>
      <x:c r="AK3747" s="42" t="n">
        <x:v>0</x:v>
      </x:c>
      <x:c r="AL3747" s="42" t="n">
        <x:v>0</x:v>
      </x:c>
      <x:c r="AM3747" t="n">
        <x:f>CHOOSE('假设'!$B$3,AJ3747,AK3747,AL3747)</x:f>
        <x:v>0</x:v>
      </x:c>
      <x:c r="AN3747" t="n">
        <x:v>1</x:v>
      </x:c>
    </x:row>
    <x:row r="3748" ht="23" customHeight="1">
      <x:c r="A3748" s="11" t="str">
        <x:v>02162.HK</x:v>
      </x:c>
      <x:c r="B3748" s="11" t="str">
        <x:v>2026年底</x:v>
      </x:c>
      <x:c r="C3748" s="11" t="str">
        <x:v>CM310_new</x:v>
      </x:c>
      <x:c r="D3748" s="11" t="str">
        <x:v>2033-12-31</x:v>
      </x:c>
      <x:c r="E3748" s="11" t="str">
        <x:v>CNY</x:v>
      </x:c>
      <x:c r="F3748" s="11" t="n">
        <x:v>7.000684462696783</x:v>
      </x:c>
      <x:c r="G3748" s="26" t="b">
        <x:v>1</x:v>
      </x:c>
      <x:c r="H3748" s="16" t="n">
        <x:v>0.4</x:v>
      </x:c>
      <x:c r="I3748" s="16" t="n">
        <x:v>1</x:v>
      </x:c>
      <x:c r="J3748" s="16" t="n">
        <x:v>1.8</x:v>
      </x:c>
      <x:c r="K3748" s="11" t="n">
        <x:f>CHOOSE('假设'!$B$3,H3748,I3748,J3748)</x:f>
        <x:v>1</x:v>
      </x:c>
      <x:c r="L3748" s="11" t="n">
        <x:f>K3748*'管线假设'!E811*'管线假设'!F811*'管线假设'!G811*IF(E3748="USD",'管线假设'!I811,1)-AM3748</x:f>
        <x:v>0.315</x:v>
      </x:c>
      <x:c r="M3748" s="11" t="n">
        <x:f>'管线假设'!H811</x:f>
        <x:v>0.14</x:v>
      </x:c>
      <x:c r="N3748" s="11" t="n">
        <x:f>IF(G3748,L3748*AN3748/(1+M3748)^F3748,0)</x:f>
        <x:v>0.12587446717026843</x:v>
      </x:c>
      <x:c r="AJ3748" s="42" t="n">
        <x:v>0</x:v>
      </x:c>
      <x:c r="AK3748" s="42" t="n">
        <x:v>0</x:v>
      </x:c>
      <x:c r="AL3748" s="42" t="n">
        <x:v>0</x:v>
      </x:c>
      <x:c r="AM3748" t="n">
        <x:f>CHOOSE('假设'!$B$3,AJ3748,AK3748,AL3748)</x:f>
        <x:v>0</x:v>
      </x:c>
      <x:c r="AN3748" t="n">
        <x:v>1</x:v>
      </x:c>
    </x:row>
    <x:row r="3749" ht="23" customHeight="1">
      <x:c r="A3749" s="11" t="str">
        <x:v>02162.HK</x:v>
      </x:c>
      <x:c r="B3749" s="11" t="str">
        <x:v>2026年底</x:v>
      </x:c>
      <x:c r="C3749" s="11" t="str">
        <x:v>CM310_new</x:v>
      </x:c>
      <x:c r="D3749" s="11" t="str">
        <x:v>2034-12-31</x:v>
      </x:c>
      <x:c r="E3749" s="11" t="str">
        <x:v>CNY</x:v>
      </x:c>
      <x:c r="F3749" s="11" t="n">
        <x:v>8</x:v>
      </x:c>
      <x:c r="G3749" s="26" t="b">
        <x:v>1</x:v>
      </x:c>
      <x:c r="H3749" s="16" t="n">
        <x:v>0.4</x:v>
      </x:c>
      <x:c r="I3749" s="16" t="n">
        <x:v>0.95</x:v>
      </x:c>
      <x:c r="J3749" s="16" t="n">
        <x:v>1.71</x:v>
      </x:c>
      <x:c r="K3749" s="11" t="n">
        <x:f>CHOOSE('假设'!$B$3,H3749,I3749,J3749)</x:f>
        <x:v>0.95</x:v>
      </x:c>
      <x:c r="L3749" s="11" t="n">
        <x:f>K3749*'管线假设'!E811*'管线假设'!F811*'管线假设'!G811*IF(E3749="USD",'管线假设'!I811,1)-AM3749</x:f>
        <x:v>0.29924999999999996</x:v>
      </x:c>
      <x:c r="M3749" s="11" t="n">
        <x:f>'管线假设'!H811</x:f>
        <x:v>0.14</x:v>
      </x:c>
      <x:c r="N3749" s="11" t="n">
        <x:f>IF(G3749,L3749*AN3749/(1+M3749)^F3749,0)</x:f>
        <x:v>0.10490479716409007</x:v>
      </x:c>
      <x:c r="AJ3749" s="42" t="n">
        <x:v>0</x:v>
      </x:c>
      <x:c r="AK3749" s="42" t="n">
        <x:v>0</x:v>
      </x:c>
      <x:c r="AL3749" s="42" t="n">
        <x:v>0</x:v>
      </x:c>
      <x:c r="AM3749" t="n">
        <x:f>CHOOSE('假设'!$B$3,AJ3749,AK3749,AL3749)</x:f>
        <x:v>0</x:v>
      </x:c>
      <x:c r="AN3749" t="n">
        <x:v>1</x:v>
      </x:c>
    </x:row>
    <x:row r="3750" ht="23" customHeight="1">
      <x:c r="A3750" s="11" t="str">
        <x:v>02162.HK</x:v>
      </x:c>
      <x:c r="B3750" s="11" t="str">
        <x:v>2026年底</x:v>
      </x:c>
      <x:c r="C3750" s="11" t="str">
        <x:v>CM310_new</x:v>
      </x:c>
      <x:c r="D3750" s="11" t="str">
        <x:v>2035-12-31</x:v>
      </x:c>
      <x:c r="E3750" s="11" t="str">
        <x:v>CNY</x:v>
      </x:c>
      <x:c r="F3750" s="11" t="n">
        <x:v>8.999315537303216</x:v>
      </x:c>
      <x:c r="G3750" s="26" t="b">
        <x:v>1</x:v>
      </x:c>
      <x:c r="H3750" s="16" t="n">
        <x:v>0.38</x:v>
      </x:c>
      <x:c r="I3750" s="16" t="n">
        <x:v>0.9</x:v>
      </x:c>
      <x:c r="J3750" s="16" t="n">
        <x:v>1.62</x:v>
      </x:c>
      <x:c r="K3750" s="11" t="n">
        <x:f>CHOOSE('假设'!$B$3,H3750,I3750,J3750)</x:f>
        <x:v>0.9</x:v>
      </x:c>
      <x:c r="L3750" s="11" t="n">
        <x:f>K3750*'管线假设'!E811*'管线假设'!F811*'管线假设'!G811*IF(E3750="USD",'管线假设'!I811,1)-AM3750</x:f>
        <x:v>0.28350000000000003</x:v>
      </x:c>
      <x:c r="M3750" s="11" t="n">
        <x:f>'管线假设'!H811</x:f>
        <x:v>0.14</x:v>
      </x:c>
      <x:c r="N3750" s="11" t="n">
        <x:f>IF(G3750,L3750*AN3750/(1+M3750)^F3750,0)</x:f>
        <x:v>0.08718632066210087</x:v>
      </x:c>
      <x:c r="AJ3750" s="42" t="n">
        <x:v>0</x:v>
      </x:c>
      <x:c r="AK3750" s="42" t="n">
        <x:v>0</x:v>
      </x:c>
      <x:c r="AL3750" s="42" t="n">
        <x:v>0</x:v>
      </x:c>
      <x:c r="AM3750" t="n">
        <x:f>CHOOSE('假设'!$B$3,AJ3750,AK3750,AL3750)</x:f>
        <x:v>0</x:v>
      </x:c>
      <x:c r="AN3750" t="n">
        <x:v>1</x:v>
      </x:c>
    </x:row>
    <x:row r="3751" ht="23" customHeight="1">
      <x:c r="A3751" s="11" t="str">
        <x:v>02162.HK</x:v>
      </x:c>
      <x:c r="B3751" s="11" t="str">
        <x:v>2026年底</x:v>
      </x:c>
      <x:c r="C3751" s="11" t="str">
        <x:v>CM310_new</x:v>
      </x:c>
      <x:c r="D3751" s="11" t="str">
        <x:v>2036-12-31</x:v>
      </x:c>
      <x:c r="E3751" s="11" t="str">
        <x:v>CNY</x:v>
      </x:c>
      <x:c r="F3751" s="11" t="n">
        <x:v>10.001368925393566</x:v>
      </x:c>
      <x:c r="G3751" s="26" t="b">
        <x:v>1</x:v>
      </x:c>
      <x:c r="H3751" s="16" t="n">
        <x:v>0.36000000000000004</x:v>
      </x:c>
      <x:c r="I3751" s="16" t="n">
        <x:v>0.8</x:v>
      </x:c>
      <x:c r="J3751" s="16" t="n">
        <x:v>1.4400000000000002</x:v>
      </x:c>
      <x:c r="K3751" s="11" t="n">
        <x:f>CHOOSE('假设'!$B$3,H3751,I3751,J3751)</x:f>
        <x:v>0.8</x:v>
      </x:c>
      <x:c r="L3751" s="11" t="n">
        <x:f>K3751*'管线假设'!E811*'管线假设'!F811*'管线假设'!G811*IF(E3751="USD",'管线假设'!I811,1)-AM3751</x:f>
        <x:v>0.252</x:v>
      </x:c>
      <x:c r="M3751" s="11" t="n">
        <x:f>'管线假设'!H811</x:f>
        <x:v>0.14</x:v>
      </x:c>
      <x:c r="N3751" s="11" t="n">
        <x:f>IF(G3751,L3751*AN3751/(1+M3751)^F3751,0)</x:f>
        <x:v>0.06796324847918861</x:v>
      </x:c>
      <x:c r="AJ3751" s="42" t="n">
        <x:v>0</x:v>
      </x:c>
      <x:c r="AK3751" s="42" t="n">
        <x:v>0</x:v>
      </x:c>
      <x:c r="AL3751" s="42" t="n">
        <x:v>0</x:v>
      </x:c>
      <x:c r="AM3751" t="n">
        <x:f>CHOOSE('假设'!$B$3,AJ3751,AK3751,AL3751)</x:f>
        <x:v>0</x:v>
      </x:c>
      <x:c r="AN3751" t="n">
        <x:v>1</x:v>
      </x:c>
    </x:row>
    <x:row r="3752" ht="23" customHeight="1">
      <x:c r="A3752" s="11" t="str">
        <x:v>02162.HK</x:v>
      </x:c>
      <x:c r="B3752" s="11" t="str">
        <x:v>2026年底</x:v>
      </x:c>
      <x:c r="C3752" s="11" t="str">
        <x:v>CM310_new</x:v>
      </x:c>
      <x:c r="D3752" s="11" t="str">
        <x:v>2037-12-31</x:v>
      </x:c>
      <x:c r="E3752" s="11" t="str">
        <x:v>CNY</x:v>
      </x:c>
      <x:c r="F3752" s="11" t="n">
        <x:v>11.000684462696784</x:v>
      </x:c>
      <x:c r="G3752" s="26" t="b">
        <x:v>1</x:v>
      </x:c>
      <x:c r="H3752" s="16" t="n">
        <x:v>0.32000000000000006</x:v>
      </x:c>
      <x:c r="I3752" s="16" t="n">
        <x:v>0.65</x:v>
      </x:c>
      <x:c r="J3752" s="16" t="n">
        <x:v>1.1700000000000002</x:v>
      </x:c>
      <x:c r="K3752" s="11" t="n">
        <x:f>CHOOSE('假设'!$B$3,H3752,I3752,J3752)</x:f>
        <x:v>0.65</x:v>
      </x:c>
      <x:c r="L3752" s="11" t="n">
        <x:f>K3752*'管线假设'!E811*'管线假设'!F811*'管线假设'!G811*IF(E3752="USD",'管线假设'!I811,1)-AM3752</x:f>
        <x:v>0.20475</x:v>
      </x:c>
      <x:c r="M3752" s="11" t="n">
        <x:f>'管线假设'!H811</x:f>
        <x:v>0.14</x:v>
      </x:c>
      <x:c r="N3752" s="11" t="n">
        <x:f>IF(G3752,L3752*AN3752/(1+M3752)^F3752,0)</x:f>
        <x:v>0.048443063133398266</x:v>
      </x:c>
      <x:c r="AJ3752" s="42" t="n">
        <x:v>0</x:v>
      </x:c>
      <x:c r="AK3752" s="42" t="n">
        <x:v>0</x:v>
      </x:c>
      <x:c r="AL3752" s="42" t="n">
        <x:v>0</x:v>
      </x:c>
      <x:c r="AM3752" t="n">
        <x:f>CHOOSE('假设'!$B$3,AJ3752,AK3752,AL3752)</x:f>
        <x:v>0</x:v>
      </x:c>
      <x:c r="AN3752" t="n">
        <x:v>1</x:v>
      </x:c>
    </x:row>
    <x:row r="3753" ht="23" customHeight="1">
      <x:c r="A3753" s="11" t="str">
        <x:v>02162.HK</x:v>
      </x:c>
      <x:c r="B3753" s="11" t="str">
        <x:v>2026年底</x:v>
      </x:c>
      <x:c r="C3753" s="11" t="str">
        <x:v>CM310_new</x:v>
      </x:c>
      <x:c r="D3753" s="11" t="str">
        <x:v>2038-12-31</x:v>
      </x:c>
      <x:c r="E3753" s="11" t="str">
        <x:v>CNY</x:v>
      </x:c>
      <x:c r="F3753" s="11" t="n">
        <x:v>12</x:v>
      </x:c>
      <x:c r="G3753" s="26" t="b">
        <x:v>1</x:v>
      </x:c>
      <x:c r="H3753" s="16" t="n">
        <x:v>0.26</x:v>
      </x:c>
      <x:c r="I3753" s="16" t="n">
        <x:v>0.5</x:v>
      </x:c>
      <x:c r="J3753" s="16" t="n">
        <x:v>0.9</x:v>
      </x:c>
      <x:c r="K3753" s="11" t="n">
        <x:f>CHOOSE('假设'!$B$3,H3753,I3753,J3753)</x:f>
        <x:v>0.5</x:v>
      </x:c>
      <x:c r="L3753" s="11" t="n">
        <x:f>K3753*'管线假设'!E811*'管线假设'!F811*'管线假设'!G811*IF(E3753="USD",'管线假设'!I811,1)-AM3753</x:f>
        <x:v>0.1575</x:v>
      </x:c>
      <x:c r="M3753" s="11" t="n">
        <x:f>'管线假设'!H811</x:f>
        <x:v>0.14</x:v>
      </x:c>
      <x:c r="N3753" s="11" t="n">
        <x:f>IF(G3753,L3753*AN3753/(1+M3753)^F3753,0)</x:f>
        <x:v>0.032690558632830484</x:v>
      </x:c>
      <x:c r="AJ3753" s="42" t="n">
        <x:v>0</x:v>
      </x:c>
      <x:c r="AK3753" s="42" t="n">
        <x:v>0</x:v>
      </x:c>
      <x:c r="AL3753" s="42" t="n">
        <x:v>0</x:v>
      </x:c>
      <x:c r="AM3753" t="n">
        <x:f>CHOOSE('假设'!$B$3,AJ3753,AK3753,AL3753)</x:f>
        <x:v>0</x:v>
      </x:c>
      <x:c r="AN3753" t="n">
        <x:v>1</x:v>
      </x:c>
    </x:row>
    <x:row r="3754" ht="23" customHeight="1">
      <x:c r="A3754" s="11" t="str">
        <x:v>02162.HK</x:v>
      </x:c>
      <x:c r="B3754" s="11" t="str">
        <x:v>2026年底</x:v>
      </x:c>
      <x:c r="C3754" s="11" t="str">
        <x:v>CM310_new</x:v>
      </x:c>
      <x:c r="D3754" s="11" t="str">
        <x:v>2039-12-31</x:v>
      </x:c>
      <x:c r="E3754" s="11" t="str">
        <x:v>CNY</x:v>
      </x:c>
      <x:c r="F3754" s="11" t="n">
        <x:v>12.999315537303216</x:v>
      </x:c>
      <x:c r="G3754" s="26" t="b">
        <x:v>1</x:v>
      </x:c>
      <x:c r="H3754" s="16" t="n">
        <x:v>0.2</x:v>
      </x:c>
      <x:c r="I3754" s="16" t="n">
        <x:v>0.35</x:v>
      </x:c>
      <x:c r="J3754" s="16" t="n">
        <x:v>0.63</x:v>
      </x:c>
      <x:c r="K3754" s="11" t="n">
        <x:f>CHOOSE('假设'!$B$3,H3754,I3754,J3754)</x:f>
        <x:v>0.35</x:v>
      </x:c>
      <x:c r="L3754" s="11" t="n">
        <x:f>K3754*'管线假设'!E811*'管线假设'!F811*'管线假设'!G811*IF(E3754="USD",'管线假设'!I811,1)-AM3754</x:f>
        <x:v>0.11024999999999999</x:v>
      </x:c>
      <x:c r="M3754" s="11" t="n">
        <x:f>'管线假设'!H811</x:f>
        <x:v>0.14</x:v>
      </x:c>
      <x:c r="N3754" s="11" t="n">
        <x:f>IF(G3754,L3754*AN3754/(1+M3754)^F3754,0)</x:f>
        <x:v>0.020074950357973367</x:v>
      </x:c>
      <x:c r="AJ3754" s="42" t="n">
        <x:v>0</x:v>
      </x:c>
      <x:c r="AK3754" s="42" t="n">
        <x:v>0</x:v>
      </x:c>
      <x:c r="AL3754" s="42" t="n">
        <x:v>0</x:v>
      </x:c>
      <x:c r="AM3754" t="n">
        <x:f>CHOOSE('假设'!$B$3,AJ3754,AK3754,AL3754)</x:f>
        <x:v>0</x:v>
      </x:c>
      <x:c r="AN3754" t="n">
        <x:v>1</x:v>
      </x:c>
    </x:row>
    <x:row r="3755" ht="23" customHeight="1">
      <x:c r="A3755" s="11" t="str">
        <x:v>02162.HK</x:v>
      </x:c>
      <x:c r="B3755" s="11" t="str">
        <x:v>2026年底</x:v>
      </x:c>
      <x:c r="C3755" s="11" t="str">
        <x:v>CM310_new</x:v>
      </x:c>
      <x:c r="D3755" s="11" t="str">
        <x:v>2040-12-31</x:v>
      </x:c>
      <x:c r="E3755" s="11" t="str">
        <x:v>CNY</x:v>
      </x:c>
      <x:c r="F3755" s="11" t="n">
        <x:v>14.001368925393566</x:v>
      </x:c>
      <x:c r="G3755" s="26" t="b">
        <x:v>1</x:v>
      </x:c>
      <x:c r="H3755" s="16" t="n">
        <x:v>0.13999999999999999</x:v>
      </x:c>
      <x:c r="I3755" s="16" t="n">
        <x:v>0.2</x:v>
      </x:c>
      <x:c r="J3755" s="16" t="n">
        <x:v>0.36000000000000004</x:v>
      </x:c>
      <x:c r="K3755" s="11" t="n">
        <x:f>CHOOSE('假设'!$B$3,H3755,I3755,J3755)</x:f>
        <x:v>0.2</x:v>
      </x:c>
      <x:c r="L3755" s="11" t="n">
        <x:f>K3755*'管线假设'!E811*'管线假设'!F811*'管线假设'!G811*IF(E3755="USD",'管线假设'!I811,1)-AM3755</x:f>
        <x:v>0.063</x:v>
      </x:c>
      <x:c r="M3755" s="11" t="n">
        <x:f>'管线假设'!H811</x:f>
        <x:v>0.14</x:v>
      </x:c>
      <x:c r="N3755" s="11" t="n">
        <x:f>IF(G3755,L3755*AN3755/(1+M3755)^F3755,0)</x:f>
        <x:v>0.010059924752634276</x:v>
      </x:c>
      <x:c r="AJ3755" s="42" t="n">
        <x:v>0</x:v>
      </x:c>
      <x:c r="AK3755" s="42" t="n">
        <x:v>0</x:v>
      </x:c>
      <x:c r="AL3755" s="42" t="n">
        <x:v>0</x:v>
      </x:c>
      <x:c r="AM3755" t="n">
        <x:f>CHOOSE('假设'!$B$3,AJ3755,AK3755,AL3755)</x:f>
        <x:v>0</x:v>
      </x:c>
      <x:c r="AN3755" t="n">
        <x:v>1</x:v>
      </x:c>
    </x:row>
    <x:row r="3756" ht="23" customHeight="1">
      <x:c r="A3756" s="11" t="str">
        <x:v>02162.HK</x:v>
      </x:c>
      <x:c r="B3756" s="11" t="str">
        <x:v>2026年底</x:v>
      </x:c>
      <x:c r="C3756" s="11" t="str">
        <x:v>CM310_new</x:v>
      </x:c>
      <x:c r="D3756" s="11" t="str">
        <x:v>2041-12-31</x:v>
      </x:c>
      <x:c r="E3756" s="11" t="str">
        <x:v>CNY</x:v>
      </x:c>
      <x:c r="F3756" s="11" t="n">
        <x:v>15.000684462696784</x:v>
      </x:c>
      <x:c r="G3756" s="26" t="b">
        <x:v>1</x:v>
      </x:c>
      <x:c r="H3756" s="16" t="n">
        <x:v>0.08000000000000002</x:v>
      </x:c>
      <x:c r="I3756" s="16" t="n">
        <x:v>0.12</x:v>
      </x:c>
      <x:c r="J3756" s="16" t="n">
        <x:v>0.216</x:v>
      </x:c>
      <x:c r="K3756" s="11" t="n">
        <x:f>CHOOSE('假设'!$B$3,H3756,I3756,J3756)</x:f>
        <x:v>0.12</x:v>
      </x:c>
      <x:c r="L3756" s="11" t="n">
        <x:f>K3756*'管线假设'!E811*'管线假设'!F811*'管线假设'!G811*IF(E3756="USD",'管线假设'!I811,1)-AM3756</x:f>
        <x:v>0.0378</x:v>
      </x:c>
      <x:c r="M3756" s="11" t="n">
        <x:f>'管线假设'!H811</x:f>
        <x:v>0.14</x:v>
      </x:c>
      <x:c r="N3756" s="11" t="n">
        <x:f>IF(G3756,L3756*AN3756/(1+M3756)^F3756,0)</x:f>
        <x:v>0.005295172108926285</x:v>
      </x:c>
      <x:c r="AJ3756" s="42" t="n">
        <x:v>0</x:v>
      </x:c>
      <x:c r="AK3756" s="42" t="n">
        <x:v>0</x:v>
      </x:c>
      <x:c r="AL3756" s="42" t="n">
        <x:v>0</x:v>
      </x:c>
      <x:c r="AM3756" t="n">
        <x:f>CHOOSE('假设'!$B$3,AJ3756,AK3756,AL3756)</x:f>
        <x:v>0</x:v>
      </x:c>
      <x:c r="AN3756" t="n">
        <x:v>1</x:v>
      </x:c>
    </x:row>
    <x:row r="3757" ht="23" customHeight="1">
      <x:c r="A3757" s="11" t="str">
        <x:v>02162.HK</x:v>
      </x:c>
      <x:c r="B3757" s="11" t="str">
        <x:v>2026年底</x:v>
      </x:c>
      <x:c r="C3757" s="11" t="str">
        <x:v>CM310_new</x:v>
      </x:c>
      <x:c r="D3757" s="11" t="str">
        <x:v>2042-12-31</x:v>
      </x:c>
      <x:c r="E3757" s="11" t="str">
        <x:v>CNY</x:v>
      </x:c>
      <x:c r="F3757" s="11" t="n">
        <x:v>16</x:v>
      </x:c>
      <x:c r="G3757" s="26" t="b">
        <x:v>1</x:v>
      </x:c>
      <x:c r="H3757" s="16" t="n">
        <x:v>0.048</x:v>
      </x:c>
      <x:c r="I3757" s="16" t="n">
        <x:v>0.07</x:v>
      </x:c>
      <x:c r="J3757" s="16" t="n">
        <x:v>0.12600000000000003</x:v>
      </x:c>
      <x:c r="K3757" s="11" t="n">
        <x:f>CHOOSE('假设'!$B$3,H3757,I3757,J3757)</x:f>
        <x:v>0.07</x:v>
      </x:c>
      <x:c r="L3757" s="11" t="n">
        <x:f>K3757*'管线假设'!E811*'管线假设'!F811*'管线假设'!G811*IF(E3757="USD",'管线假设'!I811,1)-AM3757</x:f>
        <x:v>0.02205</x:v>
      </x:c>
      <x:c r="M3757" s="11" t="n">
        <x:f>'管线假设'!H811</x:f>
        <x:v>0.14</x:v>
      </x:c>
      <x:c r="N3757" s="11" t="n">
        <x:f>IF(G3757,L3757*AN3757/(1+M3757)^F3757,0)</x:f>
        <x:v>0.00270976090317978</x:v>
      </x:c>
      <x:c r="AJ3757" s="42" t="n">
        <x:v>0</x:v>
      </x:c>
      <x:c r="AK3757" s="42" t="n">
        <x:v>0</x:v>
      </x:c>
      <x:c r="AL3757" s="42" t="n">
        <x:v>0</x:v>
      </x:c>
      <x:c r="AM3757" t="n">
        <x:f>CHOOSE('假设'!$B$3,AJ3757,AK3757,AL3757)</x:f>
        <x:v>0</x:v>
      </x:c>
      <x:c r="AN3757" t="n">
        <x:v>1</x:v>
      </x:c>
    </x:row>
    <x:row r="3758" ht="23" customHeight="1">
      <x:c r="A3758" s="11" t="str">
        <x:v>02162.HK</x:v>
      </x:c>
      <x:c r="B3758" s="11" t="str">
        <x:v>2026年底</x:v>
      </x:c>
      <x:c r="C3758" s="11" t="str">
        <x:v>CM310_new</x:v>
      </x:c>
      <x:c r="D3758" s="11" t="str">
        <x:v>2043-12-31</x:v>
      </x:c>
      <x:c r="E3758" s="11" t="str">
        <x:v>CNY</x:v>
      </x:c>
      <x:c r="F3758" s="11" t="n">
        <x:v>16.999315537303218</x:v>
      </x:c>
      <x:c r="G3758" s="26" t="b">
        <x:v>1</x:v>
      </x:c>
      <x:c r="H3758" s="16" t="n">
        <x:v>0.028000000000000004</x:v>
      </x:c>
      <x:c r="I3758" s="16" t="n">
        <x:v>0.03</x:v>
      </x:c>
      <x:c r="J3758" s="16" t="n">
        <x:v>0.054</x:v>
      </x:c>
      <x:c r="K3758" s="11" t="n">
        <x:f>CHOOSE('假设'!$B$3,H3758,I3758,J3758)</x:f>
        <x:v>0.03</x:v>
      </x:c>
      <x:c r="L3758" s="11" t="n">
        <x:f>K3758*'管线假设'!E811*'管线假设'!F811*'管线假设'!G811*IF(E3758="USD",'管线假设'!I811,1)-AM3758</x:f>
        <x:v>0.00945</x:v>
      </x:c>
      <x:c r="M3758" s="11" t="n">
        <x:f>'管线假设'!H811</x:f>
        <x:v>0.14</x:v>
      </x:c>
      <x:c r="N3758" s="11" t="n">
        <x:f>IF(G3758,L3758*AN3758/(1+M3758)^F3758,0)</x:f>
        <x:v>0.0010187984722407133</x:v>
      </x:c>
      <x:c r="AJ3758" s="42" t="n">
        <x:v>0</x:v>
      </x:c>
      <x:c r="AK3758" s="42" t="n">
        <x:v>0</x:v>
      </x:c>
      <x:c r="AL3758" s="42" t="n">
        <x:v>0</x:v>
      </x:c>
      <x:c r="AM3758" t="n">
        <x:f>CHOOSE('假设'!$B$3,AJ3758,AK3758,AL3758)</x:f>
        <x:v>0</x:v>
      </x:c>
      <x:c r="AN3758" t="n">
        <x:v>1</x:v>
      </x:c>
    </x:row>
    <x:row r="3759" ht="23" customHeight="1">
      <x:c r="A3759" s="11" t="str">
        <x:v>02162.HK</x:v>
      </x:c>
      <x:c r="B3759" s="11" t="str">
        <x:v>2026年底</x:v>
      </x:c>
      <x:c r="C3759" s="11" t="str">
        <x:v>CM310_new</x:v>
      </x:c>
      <x:c r="D3759" s="11" t="str">
        <x:v>2044-12-31</x:v>
      </x:c>
      <x:c r="E3759" s="11" t="str">
        <x:v>CNY</x:v>
      </x:c>
      <x:c r="F3759" s="11" t="n">
        <x:v>18.001368925393567</x:v>
      </x:c>
      <x:c r="G3759" s="26" t="b">
        <x:v>1</x:v>
      </x:c>
      <x:c r="H3759" s="16" t="n">
        <x:v>0.012</x:v>
      </x:c>
      <x:c r="I3759" s="16" t="n">
        <x:v>0.03</x:v>
      </x:c>
      <x:c r="J3759" s="16" t="n">
        <x:v>0.054</x:v>
      </x:c>
      <x:c r="K3759" s="11" t="n">
        <x:f>CHOOSE('假设'!$B$3,H3759,I3759,J3759)</x:f>
        <x:v>0.03</x:v>
      </x:c>
      <x:c r="L3759" s="11" t="n">
        <x:f>K3759*'管线假设'!E811*'管线假设'!F811*'管线假设'!G811*IF(E3759="USD",'管线假设'!I811,1)-AM3759</x:f>
        <x:v>0.00945</x:v>
      </x:c>
      <x:c r="M3759" s="11" t="n">
        <x:f>'管线假设'!H811</x:f>
        <x:v>0.14</x:v>
      </x:c>
      <x:c r="N3759" s="11" t="n">
        <x:f>IF(G3759,L3759*AN3759/(1+M3759)^F3759,0)</x:f>
        <x:v>0.0008934424556794403</x:v>
      </x:c>
      <x:c r="AJ3759" s="42" t="n">
        <x:v>0</x:v>
      </x:c>
      <x:c r="AK3759" s="42" t="n">
        <x:v>0</x:v>
      </x:c>
      <x:c r="AL3759" s="42" t="n">
        <x:v>0</x:v>
      </x:c>
      <x:c r="AM3759" t="n">
        <x:f>CHOOSE('假设'!$B$3,AJ3759,AK3759,AL3759)</x:f>
        <x:v>0</x:v>
      </x:c>
      <x:c r="AN3759" t="n">
        <x:v>1</x:v>
      </x:c>
    </x:row>
    <x:row r="3760" ht="23" customHeight="1">
      <x:c r="A3760" s="11" t="str">
        <x:v>02162.HK</x:v>
      </x:c>
      <x:c r="B3760" s="11" t="str">
        <x:v>2026年底</x:v>
      </x:c>
      <x:c r="C3760" s="11" t="str">
        <x:v>CM512_CRSwNP</x:v>
      </x:c>
      <x:c r="D3760" s="11" t="str">
        <x:v>2026-12-31</x:v>
      </x:c>
      <x:c r="E3760" s="11" t="str">
        <x:v>CNY</x:v>
      </x:c>
      <x:c r="F3760" s="11" t="n">
        <x:v>0</x:v>
      </x:c>
      <x:c r="G3760" s="26" t="b">
        <x:v>0</x:v>
      </x:c>
      <x:c r="H3760" s="16" t="n">
        <x:v>0</x:v>
      </x:c>
      <x:c r="I3760" s="16" t="n">
        <x:v>0</x:v>
      </x:c>
      <x:c r="J3760" s="16" t="n">
        <x:v>0</x:v>
      </x:c>
      <x:c r="K3760" s="11" t="n">
        <x:f>CHOOSE('假设'!$B$3,H3760,I3760,J3760)</x:f>
        <x:v>0</x:v>
      </x:c>
      <x:c r="L3760" s="11" t="n">
        <x:f>K3760*'管线假设'!E815*'管线假设'!F815*'管线假设'!G815*IF(E3760="USD",'管线假设'!I815,1)-AM3760</x:f>
        <x:v>-0.06</x:v>
      </x:c>
      <x:c r="M3760" s="11" t="n">
        <x:f>'管线假设'!H815</x:f>
        <x:v>0.14</x:v>
      </x:c>
      <x:c r="N3760" s="11" t="n">
        <x:f>IF(G3760,L3760*AN3760/(1+M3760)^F3760,0)</x:f>
        <x:v>0</x:v>
      </x:c>
      <x:c r="AJ3760" s="42" t="n">
        <x:v>0.04</x:v>
      </x:c>
      <x:c r="AK3760" s="42" t="n">
        <x:v>0.06</x:v>
      </x:c>
      <x:c r="AL3760" s="42" t="n">
        <x:v>0.1</x:v>
      </x:c>
      <x:c r="AM3760" t="n">
        <x:f>CHOOSE('假设'!$B$3,AJ3760,AK3760,AL3760)</x:f>
        <x:v>0.06</x:v>
      </x:c>
      <x:c r="AN3760" t="n">
        <x:v>0</x:v>
      </x:c>
    </x:row>
    <x:row r="3761" ht="23" customHeight="1">
      <x:c r="A3761" s="11" t="str">
        <x:v>02162.HK</x:v>
      </x:c>
      <x:c r="B3761" s="11" t="str">
        <x:v>2026年底</x:v>
      </x:c>
      <x:c r="C3761" s="11" t="str">
        <x:v>CM512_CRSwNP</x:v>
      </x:c>
      <x:c r="D3761" s="11" t="str">
        <x:v>2027-12-31</x:v>
      </x:c>
      <x:c r="E3761" s="11" t="str">
        <x:v>CNY</x:v>
      </x:c>
      <x:c r="F3761" s="11" t="n">
        <x:v>0.999315537303217</x:v>
      </x:c>
      <x:c r="G3761" s="26" t="b">
        <x:v>1</x:v>
      </x:c>
      <x:c r="H3761" s="16" t="n">
        <x:v>0</x:v>
      </x:c>
      <x:c r="I3761" s="16" t="n">
        <x:v>0</x:v>
      </x:c>
      <x:c r="J3761" s="16" t="n">
        <x:v>0</x:v>
      </x:c>
      <x:c r="K3761" s="11" t="n">
        <x:f>CHOOSE('假设'!$B$3,H3761,I3761,J3761)</x:f>
        <x:v>0</x:v>
      </x:c>
      <x:c r="L3761" s="11" t="n">
        <x:f>K3761*'管线假设'!E815*'管线假设'!F815*'管线假设'!G815*IF(E3761="USD",'管线假设'!I815,1)-AM3761</x:f>
        <x:v>-0.1</x:v>
      </x:c>
      <x:c r="M3761" s="11" t="n">
        <x:f>'管线假设'!H815</x:f>
        <x:v>0.14</x:v>
      </x:c>
      <x:c r="N3761" s="11" t="n">
        <x:f>IF(G3761,L3761*AN3761/(1+M3761)^F3761,0)</x:f>
        <x:v>-0.0877271656122428</x:v>
      </x:c>
      <x:c r="AJ3761" s="42" t="n">
        <x:v>0.06</x:v>
      </x:c>
      <x:c r="AK3761" s="42" t="n">
        <x:v>0.1</x:v>
      </x:c>
      <x:c r="AL3761" s="42" t="n">
        <x:v>0.13</x:v>
      </x:c>
      <x:c r="AM3761" t="n">
        <x:f>CHOOSE('假设'!$B$3,AJ3761,AK3761,AL3761)</x:f>
        <x:v>0.1</x:v>
      </x:c>
      <x:c r="AN3761" t="n">
        <x:v>1</x:v>
      </x:c>
    </x:row>
    <x:row r="3762" ht="23" customHeight="1">
      <x:c r="A3762" s="11" t="str">
        <x:v>02162.HK</x:v>
      </x:c>
      <x:c r="B3762" s="11" t="str">
        <x:v>2026年底</x:v>
      </x:c>
      <x:c r="C3762" s="11" t="str">
        <x:v>CM512_CRSwNP</x:v>
      </x:c>
      <x:c r="D3762" s="11" t="str">
        <x:v>2028-12-31</x:v>
      </x:c>
      <x:c r="E3762" s="11" t="str">
        <x:v>CNY</x:v>
      </x:c>
      <x:c r="F3762" s="11" t="n">
        <x:v>2.001368925393566</x:v>
      </x:c>
      <x:c r="G3762" s="26" t="b">
        <x:v>1</x:v>
      </x:c>
      <x:c r="H3762" s="16" t="n">
        <x:v>0</x:v>
      </x:c>
      <x:c r="I3762" s="16" t="n">
        <x:v>0</x:v>
      </x:c>
      <x:c r="J3762" s="16" t="n">
        <x:v>0.36</x:v>
      </x:c>
      <x:c r="K3762" s="11" t="n">
        <x:f>CHOOSE('假设'!$B$3,H3762,I3762,J3762)</x:f>
        <x:v>0</x:v>
      </x:c>
      <x:c r="L3762" s="11" t="n">
        <x:f>K3762*'管线假设'!E815*'管线假设'!F815*'管线假设'!G815*IF(E3762="USD",'管线假设'!I815,1)-AM3762</x:f>
        <x:v>-0.13</x:v>
      </x:c>
      <x:c r="M3762" s="11" t="n">
        <x:f>'管线假设'!H815</x:f>
        <x:v>0.14</x:v>
      </x:c>
      <x:c r="N3762" s="11" t="n">
        <x:f>IF(G3762,L3762*AN3762/(1+M3762)^F3762,0)</x:f>
        <x:v>-0.1000128379979004</x:v>
      </x:c>
      <x:c r="AJ3762" s="42" t="n">
        <x:v>0.07</x:v>
      </x:c>
      <x:c r="AK3762" s="42" t="n">
        <x:v>0.13</x:v>
      </x:c>
      <x:c r="AL3762" s="42" t="n">
        <x:v>0.18</x:v>
      </x:c>
      <x:c r="AM3762" t="n">
        <x:f>CHOOSE('假设'!$B$3,AJ3762,AK3762,AL3762)</x:f>
        <x:v>0.13</x:v>
      </x:c>
      <x:c r="AN3762" t="n">
        <x:v>1</x:v>
      </x:c>
    </x:row>
    <x:row r="3763" ht="23" customHeight="1">
      <x:c r="A3763" s="11" t="str">
        <x:v>02162.HK</x:v>
      </x:c>
      <x:c r="B3763" s="11" t="str">
        <x:v>2026年底</x:v>
      </x:c>
      <x:c r="C3763" s="11" t="str">
        <x:v>CM512_CRSwNP</x:v>
      </x:c>
      <x:c r="D3763" s="11" t="str">
        <x:v>2029-12-31</x:v>
      </x:c>
      <x:c r="E3763" s="11" t="str">
        <x:v>CNY</x:v>
      </x:c>
      <x:c r="F3763" s="11" t="n">
        <x:v>3.0006844626967832</x:v>
      </x:c>
      <x:c r="G3763" s="26" t="b">
        <x:v>1</x:v>
      </x:c>
      <x:c r="H3763" s="16" t="n">
        <x:v>0</x:v>
      </x:c>
      <x:c r="I3763" s="16" t="n">
        <x:v>0.21</x:v>
      </x:c>
      <x:c r="J3763" s="16" t="n">
        <x:v>1.08</x:v>
      </x:c>
      <x:c r="K3763" s="11" t="n">
        <x:f>CHOOSE('假设'!$B$3,H3763,I3763,J3763)</x:f>
        <x:v>0.21</x:v>
      </x:c>
      <x:c r="L3763" s="11" t="n">
        <x:f>K3763*'管线假设'!E815*'管线假设'!F815*'管线假设'!G815*IF(E3763="USD",'管线假设'!I815,1)-AM3763</x:f>
        <x:v>-0.04750000000000001</x:v>
      </x:c>
      <x:c r="M3763" s="11" t="n">
        <x:f>'管线假设'!H815</x:f>
        <x:v>0.14</x:v>
      </x:c>
      <x:c r="N3763" s="11" t="n">
        <x:f>IF(G3763,L3763*AN3763/(1+M3763)^F3763,0)</x:f>
        <x:v>-0.03205827177797157</x:v>
      </x:c>
      <x:c r="AJ3763" s="42" t="n">
        <x:v>0.04</x:v>
      </x:c>
      <x:c r="AK3763" s="42" t="n">
        <x:v>0.1</x:v>
      </x:c>
      <x:c r="AL3763" s="42" t="n">
        <x:v>0.12</x:v>
      </x:c>
      <x:c r="AM3763" t="n">
        <x:f>CHOOSE('假设'!$B$3,AJ3763,AK3763,AL3763)</x:f>
        <x:v>0.1</x:v>
      </x:c>
      <x:c r="AN3763" t="n">
        <x:v>1</x:v>
      </x:c>
    </x:row>
    <x:row r="3764" ht="23" customHeight="1">
      <x:c r="A3764" s="11" t="str">
        <x:v>02162.HK</x:v>
      </x:c>
      <x:c r="B3764" s="11" t="str">
        <x:v>2026年底</x:v>
      </x:c>
      <x:c r="C3764" s="11" t="str">
        <x:v>CM512_CRSwNP</x:v>
      </x:c>
      <x:c r="D3764" s="11" t="str">
        <x:v>2030-12-31</x:v>
      </x:c>
      <x:c r="E3764" s="11" t="str">
        <x:v>CNY</x:v>
      </x:c>
      <x:c r="F3764" s="11" t="n">
        <x:v>4</x:v>
      </x:c>
      <x:c r="G3764" s="26" t="b">
        <x:v>1</x:v>
      </x:c>
      <x:c r="H3764" s="16" t="n">
        <x:v>0.078</x:v>
      </x:c>
      <x:c r="I3764" s="16" t="n">
        <x:v>0.63</x:v>
      </x:c>
      <x:c r="J3764" s="16" t="n">
        <x:v>2.2800000000000002</x:v>
      </x:c>
      <x:c r="K3764" s="11" t="n">
        <x:f>CHOOSE('假设'!$B$3,H3764,I3764,J3764)</x:f>
        <x:v>0.63</x:v>
      </x:c>
      <x:c r="L3764" s="11" t="n">
        <x:f>K3764*'管线假设'!E815*'管线假设'!F815*'管线假设'!G815*IF(E3764="USD",'管线假设'!I815,1)-AM3764</x:f>
        <x:v>0.1175</x:v>
      </x:c>
      <x:c r="M3764" s="11" t="n">
        <x:f>'管线假设'!H815</x:f>
        <x:v>0.14</x:v>
      </x:c>
      <x:c r="N3764" s="11" t="n">
        <x:f>IF(G3764,L3764*AN3764/(1+M3764)^F3764,0)</x:f>
        <x:v>0.06956943259099725</x:v>
      </x:c>
      <x:c r="AJ3764" s="42" t="n">
        <x:v>0</x:v>
      </x:c>
      <x:c r="AK3764" s="42" t="n">
        <x:v>0.04</x:v>
      </x:c>
      <x:c r="AL3764" s="42" t="n">
        <x:v>0.04</x:v>
      </x:c>
      <x:c r="AM3764" t="n">
        <x:f>CHOOSE('假设'!$B$3,AJ3764,AK3764,AL3764)</x:f>
        <x:v>0.04</x:v>
      </x:c>
      <x:c r="AN3764" t="n">
        <x:v>1</x:v>
      </x:c>
    </x:row>
    <x:row r="3765" ht="23" customHeight="1">
      <x:c r="A3765" s="11" t="str">
        <x:v>02162.HK</x:v>
      </x:c>
      <x:c r="B3765" s="11" t="str">
        <x:v>2026年底</x:v>
      </x:c>
      <x:c r="C3765" s="11" t="str">
        <x:v>CM512_CRSwNP</x:v>
      </x:c>
      <x:c r="D3765" s="11" t="str">
        <x:v>2031-12-31</x:v>
      </x:c>
      <x:c r="E3765" s="11" t="str">
        <x:v>CNY</x:v>
      </x:c>
      <x:c r="F3765" s="11" t="n">
        <x:v>4.999315537303217</x:v>
      </x:c>
      <x:c r="G3765" s="26" t="b">
        <x:v>1</x:v>
      </x:c>
      <x:c r="H3765" s="16" t="n">
        <x:v>0.23399999999999999</x:v>
      </x:c>
      <x:c r="I3765" s="16" t="n">
        <x:v>1.33</x:v>
      </x:c>
      <x:c r="J3765" s="16" t="n">
        <x:v>3.9000000000000004</x:v>
      </x:c>
      <x:c r="K3765" s="11" t="n">
        <x:f>CHOOSE('假设'!$B$3,H3765,I3765,J3765)</x:f>
        <x:v>1.33</x:v>
      </x:c>
      <x:c r="L3765" s="11" t="n">
        <x:f>K3765*'管线假设'!E815*'管线假设'!F815*'管线假设'!G815*IF(E3765="USD",'管线假设'!I815,1)-AM3765</x:f>
        <x:v>0.3325</x:v>
      </x:c>
      <x:c r="M3765" s="11" t="n">
        <x:f>'管线假设'!H815</x:f>
        <x:v>0.14</x:v>
      </x:c>
      <x:c r="N3765" s="11" t="n">
        <x:f>IF(G3765,L3765*AN3765/(1+M3765)^F3765,0)</x:f>
        <x:v>0.17270556912408588</x:v>
      </x:c>
      <x:c r="AJ3765" s="42" t="n">
        <x:v>0</x:v>
      </x:c>
      <x:c r="AK3765" s="42" t="n">
        <x:v>0</x:v>
      </x:c>
      <x:c r="AL3765" s="42" t="n">
        <x:v>0</x:v>
      </x:c>
      <x:c r="AM3765" t="n">
        <x:f>CHOOSE('假设'!$B$3,AJ3765,AK3765,AL3765)</x:f>
        <x:v>0</x:v>
      </x:c>
      <x:c r="AN3765" t="n">
        <x:v>1</x:v>
      </x:c>
    </x:row>
    <x:row r="3766" ht="23" customHeight="1">
      <x:c r="A3766" s="11" t="str">
        <x:v>02162.HK</x:v>
      </x:c>
      <x:c r="B3766" s="11" t="str">
        <x:v>2026年底</x:v>
      </x:c>
      <x:c r="C3766" s="11" t="str">
        <x:v>CM512_CRSwNP</x:v>
      </x:c>
      <x:c r="D3766" s="11" t="str">
        <x:v>2032-12-31</x:v>
      </x:c>
      <x:c r="E3766" s="11" t="str">
        <x:v>CNY</x:v>
      </x:c>
      <x:c r="F3766" s="11" t="n">
        <x:v>6.0013689253935665</x:v>
      </x:c>
      <x:c r="G3766" s="26" t="b">
        <x:v>1</x:v>
      </x:c>
      <x:c r="H3766" s="16" t="n">
        <x:v>0.49400000000000005</x:v>
      </x:c>
      <x:c r="I3766" s="16" t="n">
        <x:v>2.275</x:v>
      </x:c>
      <x:c r="J3766" s="16" t="n">
        <x:v>5.1</x:v>
      </x:c>
      <x:c r="K3766" s="11" t="n">
        <x:f>CHOOSE('假设'!$B$3,H3766,I3766,J3766)</x:f>
        <x:v>2.275</x:v>
      </x:c>
      <x:c r="L3766" s="11" t="n">
        <x:f>K3766*'管线假设'!E815*'管线假设'!F815*'管线假设'!G815*IF(E3766="USD",'管线假设'!I815,1)-AM3766</x:f>
        <x:v>0.56875</x:v>
      </x:c>
      <x:c r="M3766" s="11" t="n">
        <x:f>'管线假设'!H815</x:f>
        <x:v>0.14</x:v>
      </x:c>
      <x:c r="N3766" s="11" t="n">
        <x:f>IF(G3766,L3766*AN3766/(1+M3766)^F3766,0)</x:f>
        <x:v>0.25906837627289797</x:v>
      </x:c>
      <x:c r="AJ3766" s="42" t="n">
        <x:v>0</x:v>
      </x:c>
      <x:c r="AK3766" s="42" t="n">
        <x:v>0</x:v>
      </x:c>
      <x:c r="AL3766" s="42" t="n">
        <x:v>0</x:v>
      </x:c>
      <x:c r="AM3766" t="n">
        <x:f>CHOOSE('假设'!$B$3,AJ3766,AK3766,AL3766)</x:f>
        <x:v>0</x:v>
      </x:c>
      <x:c r="AN3766" t="n">
        <x:v>1</x:v>
      </x:c>
    </x:row>
    <x:row r="3767" ht="23" customHeight="1">
      <x:c r="A3767" s="11" t="str">
        <x:v>02162.HK</x:v>
      </x:c>
      <x:c r="B3767" s="11" t="str">
        <x:v>2026年底</x:v>
      </x:c>
      <x:c r="C3767" s="11" t="str">
        <x:v>CM512_CRSwNP</x:v>
      </x:c>
      <x:c r="D3767" s="11" t="str">
        <x:v>2033-12-31</x:v>
      </x:c>
      <x:c r="E3767" s="11" t="str">
        <x:v>CNY</x:v>
      </x:c>
      <x:c r="F3767" s="11" t="n">
        <x:v>7.000684462696783</x:v>
      </x:c>
      <x:c r="G3767" s="26" t="b">
        <x:v>1</x:v>
      </x:c>
      <x:c r="H3767" s="16" t="n">
        <x:v>0.8450000000000001</x:v>
      </x:c>
      <x:c r="I3767" s="16" t="n">
        <x:v>2.975</x:v>
      </x:c>
      <x:c r="J3767" s="16" t="n">
        <x:v>6</x:v>
      </x:c>
      <x:c r="K3767" s="11" t="n">
        <x:f>CHOOSE('假设'!$B$3,H3767,I3767,J3767)</x:f>
        <x:v>2.975</x:v>
      </x:c>
      <x:c r="L3767" s="11" t="n">
        <x:f>K3767*'管线假设'!E815*'管线假设'!F815*'管线假设'!G815*IF(E3767="USD",'管线假设'!I815,1)-AM3767</x:f>
        <x:v>0.74375</x:v>
      </x:c>
      <x:c r="M3767" s="11" t="n">
        <x:f>'管线假设'!H815</x:f>
        <x:v>0.14</x:v>
      </x:c>
      <x:c r="N3767" s="11" t="n">
        <x:f>IF(G3767,L3767*AN3767/(1+M3767)^F3767,0)</x:f>
        <x:v>0.2972036030409116</x:v>
      </x:c>
      <x:c r="AJ3767" s="42" t="n">
        <x:v>0</x:v>
      </x:c>
      <x:c r="AK3767" s="42" t="n">
        <x:v>0</x:v>
      </x:c>
      <x:c r="AL3767" s="42" t="n">
        <x:v>0</x:v>
      </x:c>
      <x:c r="AM3767" t="n">
        <x:f>CHOOSE('假设'!$B$3,AJ3767,AK3767,AL3767)</x:f>
        <x:v>0</x:v>
      </x:c>
      <x:c r="AN3767" t="n">
        <x:v>1</x:v>
      </x:c>
    </x:row>
    <x:row r="3768" ht="23" customHeight="1">
      <x:c r="A3768" s="11" t="str">
        <x:v>02162.HK</x:v>
      </x:c>
      <x:c r="B3768" s="11" t="str">
        <x:v>2026年底</x:v>
      </x:c>
      <x:c r="C3768" s="11" t="str">
        <x:v>CM512_CRSwNP</x:v>
      </x:c>
      <x:c r="D3768" s="11" t="str">
        <x:v>2034-12-31</x:v>
      </x:c>
      <x:c r="E3768" s="11" t="str">
        <x:v>CNY</x:v>
      </x:c>
      <x:c r="F3768" s="11" t="n">
        <x:v>8</x:v>
      </x:c>
      <x:c r="G3768" s="26" t="b">
        <x:v>1</x:v>
      </x:c>
      <x:c r="H3768" s="16" t="n">
        <x:v>1.105</x:v>
      </x:c>
      <x:c r="I3768" s="16" t="n">
        <x:v>3.5</x:v>
      </x:c>
      <x:c r="J3768" s="16" t="n">
        <x:v>6</x:v>
      </x:c>
      <x:c r="K3768" s="11" t="n">
        <x:f>CHOOSE('假设'!$B$3,H3768,I3768,J3768)</x:f>
        <x:v>3.5</x:v>
      </x:c>
      <x:c r="L3768" s="11" t="n">
        <x:f>K3768*'管线假设'!E815*'管线假设'!F815*'管线假设'!G815*IF(E3768="USD",'管线假设'!I815,1)-AM3768</x:f>
        <x:v>0.875</x:v>
      </x:c>
      <x:c r="M3768" s="11" t="n">
        <x:f>'管线假设'!H815</x:f>
        <x:v>0.14</x:v>
      </x:c>
      <x:c r="N3768" s="11" t="n">
        <x:f>IF(G3768,L3768*AN3768/(1+M3768)^F3768,0)</x:f>
        <x:v>0.30673917299441544</x:v>
      </x:c>
      <x:c r="AJ3768" s="42" t="n">
        <x:v>0</x:v>
      </x:c>
      <x:c r="AK3768" s="42" t="n">
        <x:v>0</x:v>
      </x:c>
      <x:c r="AL3768" s="42" t="n">
        <x:v>0</x:v>
      </x:c>
      <x:c r="AM3768" t="n">
        <x:f>CHOOSE('假设'!$B$3,AJ3768,AK3768,AL3768)</x:f>
        <x:v>0</x:v>
      </x:c>
      <x:c r="AN3768" t="n">
        <x:v>1</x:v>
      </x:c>
    </x:row>
    <x:row r="3769" ht="23" customHeight="1">
      <x:c r="A3769" s="11" t="str">
        <x:v>02162.HK</x:v>
      </x:c>
      <x:c r="B3769" s="11" t="str">
        <x:v>2026年底</x:v>
      </x:c>
      <x:c r="C3769" s="11" t="str">
        <x:v>CM512_CRSwNP</x:v>
      </x:c>
      <x:c r="D3769" s="11" t="str">
        <x:v>2035-12-31</x:v>
      </x:c>
      <x:c r="E3769" s="11" t="str">
        <x:v>CNY</x:v>
      </x:c>
      <x:c r="F3769" s="11" t="n">
        <x:v>8.999315537303216</x:v>
      </x:c>
      <x:c r="G3769" s="26" t="b">
        <x:v>1</x:v>
      </x:c>
      <x:c r="H3769" s="16" t="n">
        <x:v>1.3</x:v>
      </x:c>
      <x:c r="I3769" s="16" t="n">
        <x:v>3.5</x:v>
      </x:c>
      <x:c r="J3769" s="16" t="n">
        <x:v>5.699999999999999</x:v>
      </x:c>
      <x:c r="K3769" s="11" t="n">
        <x:f>CHOOSE('假设'!$B$3,H3769,I3769,J3769)</x:f>
        <x:v>3.5</x:v>
      </x:c>
      <x:c r="L3769" s="11" t="n">
        <x:f>K3769*'管线假设'!E815*'管线假设'!F815*'管线假设'!G815*IF(E3769="USD",'管线假设'!I815,1)-AM3769</x:f>
        <x:v>0.875</x:v>
      </x:c>
      <x:c r="M3769" s="11" t="n">
        <x:f>'管线假设'!H815</x:f>
        <x:v>0.14</x:v>
      </x:c>
      <x:c r="N3769" s="11" t="n">
        <x:f>IF(G3769,L3769*AN3769/(1+M3769)^F3769,0)</x:f>
        <x:v>0.26909358229043473</x:v>
      </x:c>
      <x:c r="AJ3769" s="42" t="n">
        <x:v>0</x:v>
      </x:c>
      <x:c r="AK3769" s="42" t="n">
        <x:v>0</x:v>
      </x:c>
      <x:c r="AL3769" s="42" t="n">
        <x:v>0</x:v>
      </x:c>
      <x:c r="AM3769" t="n">
        <x:f>CHOOSE('假设'!$B$3,AJ3769,AK3769,AL3769)</x:f>
        <x:v>0</x:v>
      </x:c>
      <x:c r="AN3769" t="n">
        <x:v>1</x:v>
      </x:c>
    </x:row>
    <x:row r="3770" ht="23" customHeight="1">
      <x:c r="A3770" s="11" t="str">
        <x:v>02162.HK</x:v>
      </x:c>
      <x:c r="B3770" s="11" t="str">
        <x:v>2026年底</x:v>
      </x:c>
      <x:c r="C3770" s="11" t="str">
        <x:v>CM512_CRSwNP</x:v>
      </x:c>
      <x:c r="D3770" s="11" t="str">
        <x:v>2036-12-31</x:v>
      </x:c>
      <x:c r="E3770" s="11" t="str">
        <x:v>CNY</x:v>
      </x:c>
      <x:c r="F3770" s="11" t="n">
        <x:v>10.001368925393566</x:v>
      </x:c>
      <x:c r="G3770" s="26" t="b">
        <x:v>1</x:v>
      </x:c>
      <x:c r="H3770" s="16" t="n">
        <x:v>1.3</x:v>
      </x:c>
      <x:c r="I3770" s="16" t="n">
        <x:v>3.3249999999999997</x:v>
      </x:c>
      <x:c r="J3770" s="16" t="n">
        <x:v>5.4</x:v>
      </x:c>
      <x:c r="K3770" s="11" t="n">
        <x:f>CHOOSE('假设'!$B$3,H3770,I3770,J3770)</x:f>
        <x:v>3.3249999999999997</x:v>
      </x:c>
      <x:c r="L3770" s="11" t="n">
        <x:f>K3770*'管线假设'!E815*'管线假设'!F815*'管线假设'!G815*IF(E3770="USD",'管线假设'!I815,1)-AM3770</x:f>
        <x:v>0.8312499999999999</x:v>
      </x:c>
      <x:c r="M3770" s="11" t="n">
        <x:f>'管线假设'!H815</x:f>
        <x:v>0.14</x:v>
      </x:c>
      <x:c r="N3770" s="11" t="n">
        <x:f>IF(G3770,L3770*AN3770/(1+M3770)^F3770,0)</x:f>
        <x:v>0.22418432658065685</x:v>
      </x:c>
      <x:c r="AJ3770" s="42" t="n">
        <x:v>0</x:v>
      </x:c>
      <x:c r="AK3770" s="42" t="n">
        <x:v>0</x:v>
      </x:c>
      <x:c r="AL3770" s="42" t="n">
        <x:v>0</x:v>
      </x:c>
      <x:c r="AM3770" t="n">
        <x:f>CHOOSE('假设'!$B$3,AJ3770,AK3770,AL3770)</x:f>
        <x:v>0</x:v>
      </x:c>
      <x:c r="AN3770" t="n">
        <x:v>1</x:v>
      </x:c>
    </x:row>
    <x:row r="3771" ht="23" customHeight="1">
      <x:c r="A3771" s="11" t="str">
        <x:v>02162.HK</x:v>
      </x:c>
      <x:c r="B3771" s="11" t="str">
        <x:v>2026年底</x:v>
      </x:c>
      <x:c r="C3771" s="11" t="str">
        <x:v>CM512_CRSwNP</x:v>
      </x:c>
      <x:c r="D3771" s="11" t="str">
        <x:v>2037-12-31</x:v>
      </x:c>
      <x:c r="E3771" s="11" t="str">
        <x:v>CNY</x:v>
      </x:c>
      <x:c r="F3771" s="11" t="n">
        <x:v>11.000684462696784</x:v>
      </x:c>
      <x:c r="G3771" s="26" t="b">
        <x:v>1</x:v>
      </x:c>
      <x:c r="H3771" s="16" t="n">
        <x:v>1.2349999999999999</x:v>
      </x:c>
      <x:c r="I3771" s="16" t="n">
        <x:v>3.15</x:v>
      </x:c>
      <x:c r="J3771" s="16" t="n">
        <x:v>4.800000000000001</x:v>
      </x:c>
      <x:c r="K3771" s="11" t="n">
        <x:f>CHOOSE('假设'!$B$3,H3771,I3771,J3771)</x:f>
        <x:v>3.15</x:v>
      </x:c>
      <x:c r="L3771" s="11" t="n">
        <x:f>K3771*'管线假设'!E815*'管线假设'!F815*'管线假设'!G815*IF(E3771="USD",'管线假设'!I815,1)-AM3771</x:f>
        <x:v>0.7875</x:v>
      </x:c>
      <x:c r="M3771" s="11" t="n">
        <x:f>'管线假设'!H815</x:f>
        <x:v>0.14</x:v>
      </x:c>
      <x:c r="N3771" s="11" t="n">
        <x:f>IF(G3771,L3771*AN3771/(1+M3771)^F3771,0)</x:f>
        <x:v>0.18631947358999332</x:v>
      </x:c>
      <x:c r="AJ3771" s="42" t="n">
        <x:v>0</x:v>
      </x:c>
      <x:c r="AK3771" s="42" t="n">
        <x:v>0</x:v>
      </x:c>
      <x:c r="AL3771" s="42" t="n">
        <x:v>0</x:v>
      </x:c>
      <x:c r="AM3771" t="n">
        <x:f>CHOOSE('假设'!$B$3,AJ3771,AK3771,AL3771)</x:f>
        <x:v>0</x:v>
      </x:c>
      <x:c r="AN3771" t="n">
        <x:v>1</x:v>
      </x:c>
    </x:row>
    <x:row r="3772" ht="23" customHeight="1">
      <x:c r="A3772" s="11" t="str">
        <x:v>02162.HK</x:v>
      </x:c>
      <x:c r="B3772" s="11" t="str">
        <x:v>2026年底</x:v>
      </x:c>
      <x:c r="C3772" s="11" t="str">
        <x:v>CM512_CRSwNP</x:v>
      </x:c>
      <x:c r="D3772" s="11" t="str">
        <x:v>2038-12-31</x:v>
      </x:c>
      <x:c r="E3772" s="11" t="str">
        <x:v>CNY</x:v>
      </x:c>
      <x:c r="F3772" s="11" t="n">
        <x:v>12</x:v>
      </x:c>
      <x:c r="G3772" s="26" t="b">
        <x:v>1</x:v>
      </x:c>
      <x:c r="H3772" s="16" t="n">
        <x:v>1.1700000000000002</x:v>
      </x:c>
      <x:c r="I3772" s="16" t="n">
        <x:v>2.8000000000000003</x:v>
      </x:c>
      <x:c r="J3772" s="16" t="n">
        <x:v>3.9000000000000004</x:v>
      </x:c>
      <x:c r="K3772" s="11" t="n">
        <x:f>CHOOSE('假设'!$B$3,H3772,I3772,J3772)</x:f>
        <x:v>2.8000000000000003</x:v>
      </x:c>
      <x:c r="L3772" s="11" t="n">
        <x:f>K3772*'管线假设'!E815*'管线假设'!F815*'管线假设'!G815*IF(E3772="USD",'管线假设'!I815,1)-AM3772</x:f>
        <x:v>0.7000000000000001</x:v>
      </x:c>
      <x:c r="M3772" s="11" t="n">
        <x:f>'管线假设'!H815</x:f>
        <x:v>0.14</x:v>
      </x:c>
      <x:c r="N3772" s="11" t="n">
        <x:f>IF(G3772,L3772*AN3772/(1+M3772)^F3772,0)</x:f>
        <x:v>0.14529137170146883</x:v>
      </x:c>
      <x:c r="AJ3772" s="42" t="n">
        <x:v>0</x:v>
      </x:c>
      <x:c r="AK3772" s="42" t="n">
        <x:v>0</x:v>
      </x:c>
      <x:c r="AL3772" s="42" t="n">
        <x:v>0</x:v>
      </x:c>
      <x:c r="AM3772" t="n">
        <x:f>CHOOSE('假设'!$B$3,AJ3772,AK3772,AL3772)</x:f>
        <x:v>0</x:v>
      </x:c>
      <x:c r="AN3772" t="n">
        <x:v>1</x:v>
      </x:c>
    </x:row>
    <x:row r="3773" ht="23" customHeight="1">
      <x:c r="A3773" s="11" t="str">
        <x:v>02162.HK</x:v>
      </x:c>
      <x:c r="B3773" s="11" t="str">
        <x:v>2026年底</x:v>
      </x:c>
      <x:c r="C3773" s="11" t="str">
        <x:v>CM512_CRSwNP</x:v>
      </x:c>
      <x:c r="D3773" s="11" t="str">
        <x:v>2039-12-31</x:v>
      </x:c>
      <x:c r="E3773" s="11" t="str">
        <x:v>CNY</x:v>
      </x:c>
      <x:c r="F3773" s="11" t="n">
        <x:v>12.999315537303216</x:v>
      </x:c>
      <x:c r="G3773" s="26" t="b">
        <x:v>1</x:v>
      </x:c>
      <x:c r="H3773" s="16" t="n">
        <x:v>1.04</x:v>
      </x:c>
      <x:c r="I3773" s="16" t="n">
        <x:v>2.275</x:v>
      </x:c>
      <x:c r="J3773" s="16" t="n">
        <x:v>3</x:v>
      </x:c>
      <x:c r="K3773" s="11" t="n">
        <x:f>CHOOSE('假设'!$B$3,H3773,I3773,J3773)</x:f>
        <x:v>2.275</x:v>
      </x:c>
      <x:c r="L3773" s="11" t="n">
        <x:f>K3773*'管线假设'!E815*'管线假设'!F815*'管线假设'!G815*IF(E3773="USD",'管线假设'!I815,1)-AM3773</x:f>
        <x:v>0.56875</x:v>
      </x:c>
      <x:c r="M3773" s="11" t="n">
        <x:f>'管线假设'!H815</x:f>
        <x:v>0.14</x:v>
      </x:c>
      <x:c r="N3773" s="11" t="n">
        <x:f>IF(G3773,L3773*AN3773/(1+M3773)^F3773,0)</x:f>
        <x:v>0.10356125184668802</x:v>
      </x:c>
      <x:c r="AJ3773" s="42" t="n">
        <x:v>0</x:v>
      </x:c>
      <x:c r="AK3773" s="42" t="n">
        <x:v>0</x:v>
      </x:c>
      <x:c r="AL3773" s="42" t="n">
        <x:v>0</x:v>
      </x:c>
      <x:c r="AM3773" t="n">
        <x:f>CHOOSE('假设'!$B$3,AJ3773,AK3773,AL3773)</x:f>
        <x:v>0</x:v>
      </x:c>
      <x:c r="AN3773" t="n">
        <x:v>1</x:v>
      </x:c>
    </x:row>
    <x:row r="3774" ht="23" customHeight="1">
      <x:c r="A3774" s="11" t="str">
        <x:v>02162.HK</x:v>
      </x:c>
      <x:c r="B3774" s="11" t="str">
        <x:v>2026年底</x:v>
      </x:c>
      <x:c r="C3774" s="11" t="str">
        <x:v>CM512_CRSwNP</x:v>
      </x:c>
      <x:c r="D3774" s="11" t="str">
        <x:v>2040-12-31</x:v>
      </x:c>
      <x:c r="E3774" s="11" t="str">
        <x:v>CNY</x:v>
      </x:c>
      <x:c r="F3774" s="11" t="n">
        <x:v>14.001368925393566</x:v>
      </x:c>
      <x:c r="G3774" s="26" t="b">
        <x:v>1</x:v>
      </x:c>
      <x:c r="H3774" s="16" t="n">
        <x:v>0.8450000000000001</x:v>
      </x:c>
      <x:c r="I3774" s="16" t="n">
        <x:v>1.75</x:v>
      </x:c>
      <x:c r="J3774" s="16" t="n">
        <x:v>2.0999999999999996</x:v>
      </x:c>
      <x:c r="K3774" s="11" t="n">
        <x:f>CHOOSE('假设'!$B$3,H3774,I3774,J3774)</x:f>
        <x:v>1.75</x:v>
      </x:c>
      <x:c r="L3774" s="11" t="n">
        <x:f>K3774*'管线假设'!E815*'管线假设'!F815*'管线假设'!G815*IF(E3774="USD",'管线假设'!I815,1)-AM3774</x:f>
        <x:v>0.4375</x:v>
      </x:c>
      <x:c r="M3774" s="11" t="n">
        <x:f>'管线假设'!H815</x:f>
        <x:v>0.14</x:v>
      </x:c>
      <x:c r="N3774" s="11" t="n">
        <x:f>IF(G3774,L3774*AN3774/(1+M3774)^F3774,0)</x:f>
        <x:v>0.06986058855996025</x:v>
      </x:c>
      <x:c r="AJ3774" s="42" t="n">
        <x:v>0</x:v>
      </x:c>
      <x:c r="AK3774" s="42" t="n">
        <x:v>0</x:v>
      </x:c>
      <x:c r="AL3774" s="42" t="n">
        <x:v>0</x:v>
      </x:c>
      <x:c r="AM3774" t="n">
        <x:f>CHOOSE('假设'!$B$3,AJ3774,AK3774,AL3774)</x:f>
        <x:v>0</x:v>
      </x:c>
      <x:c r="AN3774" t="n">
        <x:v>1</x:v>
      </x:c>
    </x:row>
    <x:row r="3775" ht="23" customHeight="1">
      <x:c r="A3775" s="11" t="str">
        <x:v>02162.HK</x:v>
      </x:c>
      <x:c r="B3775" s="11" t="str">
        <x:v>2026年底</x:v>
      </x:c>
      <x:c r="C3775" s="11" t="str">
        <x:v>CM512_CRSwNP</x:v>
      </x:c>
      <x:c r="D3775" s="11" t="str">
        <x:v>2041-12-31</x:v>
      </x:c>
      <x:c r="E3775" s="11" t="str">
        <x:v>CNY</x:v>
      </x:c>
      <x:c r="F3775" s="11" t="n">
        <x:v>15.000684462696784</x:v>
      </x:c>
      <x:c r="G3775" s="26" t="b">
        <x:v>1</x:v>
      </x:c>
      <x:c r="H3775" s="16" t="n">
        <x:v>0.65</x:v>
      </x:c>
      <x:c r="I3775" s="16" t="n">
        <x:v>1.2249999999999999</x:v>
      </x:c>
      <x:c r="J3775" s="16" t="n">
        <x:v>1.2000000000000002</x:v>
      </x:c>
      <x:c r="K3775" s="11" t="n">
        <x:f>CHOOSE('假设'!$B$3,H3775,I3775,J3775)</x:f>
        <x:v>1.2249999999999999</x:v>
      </x:c>
      <x:c r="L3775" s="11" t="n">
        <x:f>K3775*'管线假设'!E815*'管线假设'!F815*'管线假设'!G815*IF(E3775="USD",'管线假设'!I815,1)-AM3775</x:f>
        <x:v>0.30624999999999997</x:v>
      </x:c>
      <x:c r="M3775" s="11" t="n">
        <x:f>'管线假设'!H815</x:f>
        <x:v>0.14</x:v>
      </x:c>
      <x:c r="N3775" s="11" t="n">
        <x:f>IF(G3775,L3775*AN3775/(1+M3775)^F3775,0)</x:f>
        <x:v>0.04290069995657869</x:v>
      </x:c>
      <x:c r="AJ3775" s="42" t="n">
        <x:v>0</x:v>
      </x:c>
      <x:c r="AK3775" s="42" t="n">
        <x:v>0</x:v>
      </x:c>
      <x:c r="AL3775" s="42" t="n">
        <x:v>0</x:v>
      </x:c>
      <x:c r="AM3775" t="n">
        <x:f>CHOOSE('假设'!$B$3,AJ3775,AK3775,AL3775)</x:f>
        <x:v>0</x:v>
      </x:c>
      <x:c r="AN3775" t="n">
        <x:v>1</x:v>
      </x:c>
    </x:row>
    <x:row r="3776" ht="23" customHeight="1">
      <x:c r="A3776" s="11" t="str">
        <x:v>02162.HK</x:v>
      </x:c>
      <x:c r="B3776" s="11" t="str">
        <x:v>2026年底</x:v>
      </x:c>
      <x:c r="C3776" s="11" t="str">
        <x:v>CM512_CRSwNP</x:v>
      </x:c>
      <x:c r="D3776" s="11" t="str">
        <x:v>2042-12-31</x:v>
      </x:c>
      <x:c r="E3776" s="11" t="str">
        <x:v>CNY</x:v>
      </x:c>
      <x:c r="F3776" s="11" t="n">
        <x:v>16</x:v>
      </x:c>
      <x:c r="G3776" s="26" t="b">
        <x:v>1</x:v>
      </x:c>
      <x:c r="H3776" s="16" t="n">
        <x:v>0.45499999999999996</x:v>
      </x:c>
      <x:c r="I3776" s="16" t="n">
        <x:v>0.7000000000000001</x:v>
      </x:c>
      <x:c r="J3776" s="16" t="n">
        <x:v>0.72</x:v>
      </x:c>
      <x:c r="K3776" s="11" t="n">
        <x:f>CHOOSE('假设'!$B$3,H3776,I3776,J3776)</x:f>
        <x:v>0.7000000000000001</x:v>
      </x:c>
      <x:c r="L3776" s="11" t="n">
        <x:f>K3776*'管线假设'!E815*'管线假设'!F815*'管线假设'!G815*IF(E3776="USD",'管线假设'!I815,1)-AM3776</x:f>
        <x:v>0.17500000000000002</x:v>
      </x:c>
      <x:c r="M3776" s="11" t="n">
        <x:f>'管线假设'!H815</x:f>
        <x:v>0.14</x:v>
      </x:c>
      <x:c r="N3776" s="11" t="n">
        <x:f>IF(G3776,L3776*AN3776/(1+M3776)^F3776,0)</x:f>
        <x:v>0.02150603891412524</x:v>
      </x:c>
      <x:c r="AJ3776" s="42" t="n">
        <x:v>0</x:v>
      </x:c>
      <x:c r="AK3776" s="42" t="n">
        <x:v>0</x:v>
      </x:c>
      <x:c r="AL3776" s="42" t="n">
        <x:v>0</x:v>
      </x:c>
      <x:c r="AM3776" t="n">
        <x:f>CHOOSE('假设'!$B$3,AJ3776,AK3776,AL3776)</x:f>
        <x:v>0</x:v>
      </x:c>
      <x:c r="AN3776" t="n">
        <x:v>1</x:v>
      </x:c>
    </x:row>
    <x:row r="3777" ht="23" customHeight="1">
      <x:c r="A3777" s="11" t="str">
        <x:v>02162.HK</x:v>
      </x:c>
      <x:c r="B3777" s="11" t="str">
        <x:v>2026年底</x:v>
      </x:c>
      <x:c r="C3777" s="11" t="str">
        <x:v>CM512_CRSwNP</x:v>
      </x:c>
      <x:c r="D3777" s="11" t="str">
        <x:v>2043-12-31</x:v>
      </x:c>
      <x:c r="E3777" s="11" t="str">
        <x:v>CNY</x:v>
      </x:c>
      <x:c r="F3777" s="11" t="n">
        <x:v>16.999315537303218</x:v>
      </x:c>
      <x:c r="G3777" s="26" t="b">
        <x:v>1</x:v>
      </x:c>
      <x:c r="H3777" s="16" t="n">
        <x:v>0.26</x:v>
      </x:c>
      <x:c r="I3777" s="16" t="n">
        <x:v>0.42</x:v>
      </x:c>
      <x:c r="J3777" s="16" t="n">
        <x:v>0.42000000000000004</x:v>
      </x:c>
      <x:c r="K3777" s="11" t="n">
        <x:f>CHOOSE('假设'!$B$3,H3777,I3777,J3777)</x:f>
        <x:v>0.42</x:v>
      </x:c>
      <x:c r="L3777" s="11" t="n">
        <x:f>K3777*'管线假设'!E815*'管线假设'!F815*'管线假设'!G815*IF(E3777="USD",'管线假设'!I815,1)-AM3777</x:f>
        <x:v>0.105</x:v>
      </x:c>
      <x:c r="M3777" s="11" t="n">
        <x:f>'管线假设'!H815</x:f>
        <x:v>0.14</x:v>
      </x:c>
      <x:c r="N3777" s="11" t="n">
        <x:f>IF(G3777,L3777*AN3777/(1+M3777)^F3777,0)</x:f>
        <x:v>0.011319983024896814</x:v>
      </x:c>
      <x:c r="AJ3777" s="42" t="n">
        <x:v>0</x:v>
      </x:c>
      <x:c r="AK3777" s="42" t="n">
        <x:v>0</x:v>
      </x:c>
      <x:c r="AL3777" s="42" t="n">
        <x:v>0</x:v>
      </x:c>
      <x:c r="AM3777" t="n">
        <x:f>CHOOSE('假设'!$B$3,AJ3777,AK3777,AL3777)</x:f>
        <x:v>0</x:v>
      </x:c>
      <x:c r="AN3777" t="n">
        <x:v>1</x:v>
      </x:c>
    </x:row>
    <x:row r="3778" ht="23" customHeight="1">
      <x:c r="A3778" s="11" t="str">
        <x:v>02162.HK</x:v>
      </x:c>
      <x:c r="B3778" s="11" t="str">
        <x:v>2026年底</x:v>
      </x:c>
      <x:c r="C3778" s="11" t="str">
        <x:v>CM512_CRSwNP</x:v>
      </x:c>
      <x:c r="D3778" s="11" t="str">
        <x:v>2044-12-31</x:v>
      </x:c>
      <x:c r="E3778" s="11" t="str">
        <x:v>CNY</x:v>
      </x:c>
      <x:c r="F3778" s="11" t="n">
        <x:v>18.001368925393567</x:v>
      </x:c>
      <x:c r="G3778" s="26" t="b">
        <x:v>1</x:v>
      </x:c>
      <x:c r="H3778" s="16" t="n">
        <x:v>0.156</x:v>
      </x:c>
      <x:c r="I3778" s="16" t="n">
        <x:v>0.24500000000000002</x:v>
      </x:c>
      <x:c r="J3778" s="16" t="n">
        <x:v>0.18</x:v>
      </x:c>
      <x:c r="K3778" s="11" t="n">
        <x:f>CHOOSE('假设'!$B$3,H3778,I3778,J3778)</x:f>
        <x:v>0.24500000000000002</x:v>
      </x:c>
      <x:c r="L3778" s="11" t="n">
        <x:f>K3778*'管线假设'!E815*'管线假设'!F815*'管线假设'!G815*IF(E3778="USD",'管线假设'!I815,1)-AM3778</x:f>
        <x:v>0.061250000000000006</x:v>
      </x:c>
      <x:c r="M3778" s="11" t="n">
        <x:f>'管线假设'!H815</x:f>
        <x:v>0.14</x:v>
      </x:c>
      <x:c r="N3778" s="11" t="n">
        <x:f>IF(G3778,L3778*AN3778/(1+M3778)^F3778,0)</x:f>
        <x:v>0.005790830731255632</x:v>
      </x:c>
      <x:c r="AJ3778" s="42" t="n">
        <x:v>0</x:v>
      </x:c>
      <x:c r="AK3778" s="42" t="n">
        <x:v>0</x:v>
      </x:c>
      <x:c r="AL3778" s="42" t="n">
        <x:v>0</x:v>
      </x:c>
      <x:c r="AM3778" t="n">
        <x:f>CHOOSE('假设'!$B$3,AJ3778,AK3778,AL3778)</x:f>
        <x:v>0</x:v>
      </x:c>
      <x:c r="AN3778" t="n">
        <x:v>1</x:v>
      </x:c>
    </x:row>
    <x:row r="3779" ht="23" customHeight="1">
      <x:c r="A3779" s="11" t="str">
        <x:v>02162.HK</x:v>
      </x:c>
      <x:c r="B3779" s="11" t="str">
        <x:v>2026年底</x:v>
      </x:c>
      <x:c r="C3779" s="11" t="str">
        <x:v>CM512_other</x:v>
      </x:c>
      <x:c r="D3779" s="11" t="str">
        <x:v>2026-12-31</x:v>
      </x:c>
      <x:c r="E3779" s="11" t="str">
        <x:v>CNY</x:v>
      </x:c>
      <x:c r="F3779" s="11" t="n">
        <x:v>0</x:v>
      </x:c>
      <x:c r="G3779" s="26" t="b">
        <x:v>0</x:v>
      </x:c>
      <x:c r="H3779" s="16" t="n">
        <x:v>0</x:v>
      </x:c>
      <x:c r="I3779" s="16" t="n">
        <x:v>0</x:v>
      </x:c>
      <x:c r="J3779" s="16" t="n">
        <x:v>0</x:v>
      </x:c>
      <x:c r="K3779" s="11" t="n">
        <x:f>CHOOSE('假设'!$B$3,H3779,I3779,J3779)</x:f>
        <x:v>0</x:v>
      </x:c>
      <x:c r="L3779" s="11" t="n">
        <x:f>K3779*'管线假设'!E819*'管线假设'!F819*'管线假设'!G819*IF(E3779="USD",'管线假设'!I819,1)-AM3779</x:f>
        <x:v>-0.1</x:v>
      </x:c>
      <x:c r="M3779" s="11" t="n">
        <x:f>'管线假设'!H819</x:f>
        <x:v>0.14</x:v>
      </x:c>
      <x:c r="N3779" s="11" t="n">
        <x:f>IF(G3779,L3779*AN3779/(1+M3779)^F3779,0)</x:f>
        <x:v>0</x:v>
      </x:c>
      <x:c r="AJ3779" s="42" t="n">
        <x:v>0.05</x:v>
      </x:c>
      <x:c r="AK3779" s="42" t="n">
        <x:v>0.1</x:v>
      </x:c>
      <x:c r="AL3779" s="42" t="n">
        <x:v>0.15</x:v>
      </x:c>
      <x:c r="AM3779" t="n">
        <x:f>CHOOSE('假设'!$B$3,AJ3779,AK3779,AL3779)</x:f>
        <x:v>0.1</x:v>
      </x:c>
      <x:c r="AN3779" t="n">
        <x:v>0</x:v>
      </x:c>
    </x:row>
    <x:row r="3780" ht="23" customHeight="1">
      <x:c r="A3780" s="11" t="str">
        <x:v>02162.HK</x:v>
      </x:c>
      <x:c r="B3780" s="11" t="str">
        <x:v>2026年底</x:v>
      </x:c>
      <x:c r="C3780" s="11" t="str">
        <x:v>CM512_other</x:v>
      </x:c>
      <x:c r="D3780" s="11" t="str">
        <x:v>2027-12-31</x:v>
      </x:c>
      <x:c r="E3780" s="11" t="str">
        <x:v>CNY</x:v>
      </x:c>
      <x:c r="F3780" s="11" t="n">
        <x:v>0.999315537303217</x:v>
      </x:c>
      <x:c r="G3780" s="26" t="b">
        <x:v>1</x:v>
      </x:c>
      <x:c r="H3780" s="16" t="n">
        <x:v>0</x:v>
      </x:c>
      <x:c r="I3780" s="16" t="n">
        <x:v>0</x:v>
      </x:c>
      <x:c r="J3780" s="16" t="n">
        <x:v>0</x:v>
      </x:c>
      <x:c r="K3780" s="11" t="n">
        <x:f>CHOOSE('假设'!$B$3,H3780,I3780,J3780)</x:f>
        <x:v>0</x:v>
      </x:c>
      <x:c r="L3780" s="11" t="n">
        <x:f>K3780*'管线假设'!E819*'管线假设'!F819*'管线假设'!G819*IF(E3780="USD",'管线假设'!I819,1)-AM3780</x:f>
        <x:v>-0.18</x:v>
      </x:c>
      <x:c r="M3780" s="11" t="n">
        <x:f>'管线假设'!H819</x:f>
        <x:v>0.14</x:v>
      </x:c>
      <x:c r="N3780" s="11" t="n">
        <x:f>IF(G3780,L3780*AN3780/(1+M3780)^F3780,0)</x:f>
        <x:v>-0.157908898102037</x:v>
      </x:c>
      <x:c r="AJ3780" s="42" t="n">
        <x:v>0.06</x:v>
      </x:c>
      <x:c r="AK3780" s="42" t="n">
        <x:v>0.18</x:v>
      </x:c>
      <x:c r="AL3780" s="42" t="n">
        <x:v>0.24</x:v>
      </x:c>
      <x:c r="AM3780" t="n">
        <x:f>CHOOSE('假设'!$B$3,AJ3780,AK3780,AL3780)</x:f>
        <x:v>0.18</x:v>
      </x:c>
      <x:c r="AN3780" t="n">
        <x:v>1</x:v>
      </x:c>
    </x:row>
    <x:row r="3781" ht="23" customHeight="1">
      <x:c r="A3781" s="11" t="str">
        <x:v>02162.HK</x:v>
      </x:c>
      <x:c r="B3781" s="11" t="str">
        <x:v>2026年底</x:v>
      </x:c>
      <x:c r="C3781" s="11" t="str">
        <x:v>CM512_other</x:v>
      </x:c>
      <x:c r="D3781" s="11" t="str">
        <x:v>2028-12-31</x:v>
      </x:c>
      <x:c r="E3781" s="11" t="str">
        <x:v>CNY</x:v>
      </x:c>
      <x:c r="F3781" s="11" t="n">
        <x:v>2.001368925393566</x:v>
      </x:c>
      <x:c r="G3781" s="26" t="b">
        <x:v>1</x:v>
      </x:c>
      <x:c r="H3781" s="16" t="n">
        <x:v>0</x:v>
      </x:c>
      <x:c r="I3781" s="16" t="n">
        <x:v>0</x:v>
      </x:c>
      <x:c r="J3781" s="16" t="n">
        <x:v>0</x:v>
      </x:c>
      <x:c r="K3781" s="11" t="n">
        <x:f>CHOOSE('假设'!$B$3,H3781,I3781,J3781)</x:f>
        <x:v>0</x:v>
      </x:c>
      <x:c r="L3781" s="11" t="n">
        <x:f>K3781*'管线假设'!E819*'管线假设'!F819*'管线假设'!G819*IF(E3781="USD",'管线假设'!I819,1)-AM3781</x:f>
        <x:v>-0.24</x:v>
      </x:c>
      <x:c r="M3781" s="11" t="n">
        <x:f>'管线假设'!H819</x:f>
        <x:v>0.14</x:v>
      </x:c>
      <x:c r="N3781" s="11" t="n">
        <x:f>IF(G3781,L3781*AN3781/(1+M3781)^F3781,0)</x:f>
        <x:v>-0.18463908553458533</x:v>
      </x:c>
      <x:c r="AJ3781" s="42" t="n">
        <x:v>0.05</x:v>
      </x:c>
      <x:c r="AK3781" s="42" t="n">
        <x:v>0.24</x:v>
      </x:c>
      <x:c r="AL3781" s="42" t="n">
        <x:v>0.35</x:v>
      </x:c>
      <x:c r="AM3781" t="n">
        <x:f>CHOOSE('假设'!$B$3,AJ3781,AK3781,AL3781)</x:f>
        <x:v>0.24</x:v>
      </x:c>
      <x:c r="AN3781" t="n">
        <x:v>1</x:v>
      </x:c>
    </x:row>
    <x:row r="3782" ht="23" customHeight="1">
      <x:c r="A3782" s="11" t="str">
        <x:v>02162.HK</x:v>
      </x:c>
      <x:c r="B3782" s="11" t="str">
        <x:v>2026年底</x:v>
      </x:c>
      <x:c r="C3782" s="11" t="str">
        <x:v>CM512_other</x:v>
      </x:c>
      <x:c r="D3782" s="11" t="str">
        <x:v>2029-12-31</x:v>
      </x:c>
      <x:c r="E3782" s="11" t="str">
        <x:v>CNY</x:v>
      </x:c>
      <x:c r="F3782" s="11" t="n">
        <x:v>3.0006844626967832</x:v>
      </x:c>
      <x:c r="G3782" s="26" t="b">
        <x:v>1</x:v>
      </x:c>
      <x:c r="H3782" s="16" t="n">
        <x:v>0</x:v>
      </x:c>
      <x:c r="I3782" s="16" t="n">
        <x:v>0</x:v>
      </x:c>
      <x:c r="J3782" s="16" t="n">
        <x:v>0.48</x:v>
      </x:c>
      <x:c r="K3782" s="11" t="n">
        <x:f>CHOOSE('假设'!$B$3,H3782,I3782,J3782)</x:f>
        <x:v>0</x:v>
      </x:c>
      <x:c r="L3782" s="11" t="n">
        <x:f>K3782*'管线假设'!E819*'管线假设'!F819*'管线假设'!G819*IF(E3782="USD",'管线假设'!I819,1)-AM3782</x:f>
        <x:v>-0.22</x:v>
      </x:c>
      <x:c r="M3782" s="11" t="n">
        <x:f>'管线假设'!H819</x:f>
        <x:v>0.14</x:v>
      </x:c>
      <x:c r="N3782" s="11" t="n">
        <x:f>IF(G3782,L3782*AN3782/(1+M3782)^F3782,0)</x:f>
        <x:v>-0.14848041665586828</x:v>
      </x:c>
      <x:c r="AJ3782" s="42" t="n">
        <x:v>0</x:v>
      </x:c>
      <x:c r="AK3782" s="42" t="n">
        <x:v>0.22</x:v>
      </x:c>
      <x:c r="AL3782" s="42" t="n">
        <x:v>0.3</x:v>
      </x:c>
      <x:c r="AM3782" t="n">
        <x:f>CHOOSE('假设'!$B$3,AJ3782,AK3782,AL3782)</x:f>
        <x:v>0.22</x:v>
      </x:c>
      <x:c r="AN3782" t="n">
        <x:v>1</x:v>
      </x:c>
    </x:row>
    <x:row r="3783" ht="23" customHeight="1">
      <x:c r="A3783" s="11" t="str">
        <x:v>02162.HK</x:v>
      </x:c>
      <x:c r="B3783" s="11" t="str">
        <x:v>2026年底</x:v>
      </x:c>
      <x:c r="C3783" s="11" t="str">
        <x:v>CM512_other</x:v>
      </x:c>
      <x:c r="D3783" s="11" t="str">
        <x:v>2030-12-31</x:v>
      </x:c>
      <x:c r="E3783" s="11" t="str">
        <x:v>CNY</x:v>
      </x:c>
      <x:c r="F3783" s="11" t="n">
        <x:v>4</x:v>
      </x:c>
      <x:c r="G3783" s="26" t="b">
        <x:v>1</x:v>
      </x:c>
      <x:c r="H3783" s="16" t="n">
        <x:v>0</x:v>
      </x:c>
      <x:c r="I3783" s="16" t="n">
        <x:v>0.24</x:v>
      </x:c>
      <x:c r="J3783" s="16" t="n">
        <x:v>1.44</x:v>
      </x:c>
      <x:c r="K3783" s="11" t="n">
        <x:f>CHOOSE('假设'!$B$3,H3783,I3783,J3783)</x:f>
        <x:v>0.24</x:v>
      </x:c>
      <x:c r="L3783" s="11" t="n">
        <x:f>K3783*'管线假设'!E819*'管线假设'!F819*'管线假设'!G819*IF(E3783="USD",'管线假设'!I819,1)-AM3783</x:f>
        <x:v>-0.08544</x:v>
      </x:c>
      <x:c r="M3783" s="11" t="n">
        <x:f>'管线假设'!H819</x:f>
        <x:v>0.14</x:v>
      </x:c>
      <x:c r="N3783" s="11" t="n">
        <x:f>IF(G3783,L3783*AN3783/(1+M3783)^F3783,0)</x:f>
        <x:v>-0.050587338898508985</x:v>
      </x:c>
      <x:c r="AJ3783" s="42" t="n">
        <x:v>0</x:v>
      </x:c>
      <x:c r="AK3783" s="42" t="n">
        <x:v>0.12</x:v>
      </x:c>
      <x:c r="AL3783" s="42" t="n">
        <x:v>0.15</x:v>
      </x:c>
      <x:c r="AM3783" t="n">
        <x:f>CHOOSE('假设'!$B$3,AJ3783,AK3783,AL3783)</x:f>
        <x:v>0.12</x:v>
      </x:c>
      <x:c r="AN3783" t="n">
        <x:v>1</x:v>
      </x:c>
    </x:row>
    <x:row r="3784" ht="23" customHeight="1">
      <x:c r="A3784" s="11" t="str">
        <x:v>02162.HK</x:v>
      </x:c>
      <x:c r="B3784" s="11" t="str">
        <x:v>2026年底</x:v>
      </x:c>
      <x:c r="C3784" s="11" t="str">
        <x:v>CM512_other</x:v>
      </x:c>
      <x:c r="D3784" s="11" t="str">
        <x:v>2031-12-31</x:v>
      </x:c>
      <x:c r="E3784" s="11" t="str">
        <x:v>CNY</x:v>
      </x:c>
      <x:c r="F3784" s="11" t="n">
        <x:v>4.999315537303217</x:v>
      </x:c>
      <x:c r="G3784" s="26" t="b">
        <x:v>1</x:v>
      </x:c>
      <x:c r="H3784" s="16" t="n">
        <x:v>0</x:v>
      </x:c>
      <x:c r="I3784" s="16" t="n">
        <x:v>0.72</x:v>
      </x:c>
      <x:c r="J3784" s="16" t="n">
        <x:v>3.04</x:v>
      </x:c>
      <x:c r="K3784" s="11" t="n">
        <x:f>CHOOSE('假设'!$B$3,H3784,I3784,J3784)</x:f>
        <x:v>0.72</x:v>
      </x:c>
      <x:c r="L3784" s="11" t="n">
        <x:f>K3784*'管线假设'!E819*'管线假设'!F819*'管线假设'!G819*IF(E3784="USD",'管线假设'!I819,1)-AM3784</x:f>
        <x:v>0.10368</x:v>
      </x:c>
      <x:c r="M3784" s="11" t="n">
        <x:f>'管线假设'!H819</x:f>
        <x:v>0.14</x:v>
      </x:c>
      <x:c r="N3784" s="11" t="n">
        <x:f>IF(G3784,L3784*AN3784/(1+M3784)^F3784,0)</x:f>
        <x:v>0.05385297265198563</x:v>
      </x:c>
      <x:c r="AJ3784" s="42" t="n">
        <x:v>0</x:v>
      </x:c>
      <x:c r="AK3784" s="42" t="n">
        <x:v>0</x:v>
      </x:c>
      <x:c r="AL3784" s="42" t="n">
        <x:v>0</x:v>
      </x:c>
      <x:c r="AM3784" t="n">
        <x:f>CHOOSE('假设'!$B$3,AJ3784,AK3784,AL3784)</x:f>
        <x:v>0</x:v>
      </x:c>
      <x:c r="AN3784" t="n">
        <x:v>1</x:v>
      </x:c>
    </x:row>
    <x:row r="3785" ht="23" customHeight="1">
      <x:c r="A3785" s="11" t="str">
        <x:v>02162.HK</x:v>
      </x:c>
      <x:c r="B3785" s="11" t="str">
        <x:v>2026年底</x:v>
      </x:c>
      <x:c r="C3785" s="11" t="str">
        <x:v>CM512_other</x:v>
      </x:c>
      <x:c r="D3785" s="11" t="str">
        <x:v>2032-12-31</x:v>
      </x:c>
      <x:c r="E3785" s="11" t="str">
        <x:v>CNY</x:v>
      </x:c>
      <x:c r="F3785" s="11" t="n">
        <x:v>6.0013689253935665</x:v>
      </x:c>
      <x:c r="G3785" s="26" t="b">
        <x:v>1</x:v>
      </x:c>
      <x:c r="H3785" s="16" t="n">
        <x:v>0.06</x:v>
      </x:c>
      <x:c r="I3785" s="16" t="n">
        <x:v>1.52</x:v>
      </x:c>
      <x:c r="J3785" s="16" t="n">
        <x:v>5.2</x:v>
      </x:c>
      <x:c r="K3785" s="11" t="n">
        <x:f>CHOOSE('假设'!$B$3,H3785,I3785,J3785)</x:f>
        <x:v>1.52</x:v>
      </x:c>
      <x:c r="L3785" s="11" t="n">
        <x:f>K3785*'管线假设'!E819*'管线假设'!F819*'管线假设'!G819*IF(E3785="USD",'管线假设'!I819,1)-AM3785</x:f>
        <x:v>0.21887999999999996</x:v>
      </x:c>
      <x:c r="M3785" s="11" t="n">
        <x:f>'管线假设'!H819</x:f>
        <x:v>0.14</x:v>
      </x:c>
      <x:c r="N3785" s="11" t="n">
        <x:f>IF(G3785,L3785*AN3785/(1+M3785)^F3785,0)</x:f>
        <x:v>0.0997008988107462</x:v>
      </x:c>
      <x:c r="AJ3785" s="42" t="n">
        <x:v>0</x:v>
      </x:c>
      <x:c r="AK3785" s="42" t="n">
        <x:v>0</x:v>
      </x:c>
      <x:c r="AL3785" s="42" t="n">
        <x:v>0</x:v>
      </x:c>
      <x:c r="AM3785" t="n">
        <x:f>CHOOSE('假设'!$B$3,AJ3785,AK3785,AL3785)</x:f>
        <x:v>0</x:v>
      </x:c>
      <x:c r="AN3785" t="n">
        <x:v>1</x:v>
      </x:c>
    </x:row>
    <x:row r="3786" ht="23" customHeight="1">
      <x:c r="A3786" s="11" t="str">
        <x:v>02162.HK</x:v>
      </x:c>
      <x:c r="B3786" s="11" t="str">
        <x:v>2026年底</x:v>
      </x:c>
      <x:c r="C3786" s="11" t="str">
        <x:v>CM512_other</x:v>
      </x:c>
      <x:c r="D3786" s="11" t="str">
        <x:v>2033-12-31</x:v>
      </x:c>
      <x:c r="E3786" s="11" t="str">
        <x:v>CNY</x:v>
      </x:c>
      <x:c r="F3786" s="11" t="n">
        <x:v>7.000684462696783</x:v>
      </x:c>
      <x:c r="G3786" s="26" t="b">
        <x:v>1</x:v>
      </x:c>
      <x:c r="H3786" s="16" t="n">
        <x:v>0.18</x:v>
      </x:c>
      <x:c r="I3786" s="16" t="n">
        <x:v>2.6</x:v>
      </x:c>
      <x:c r="J3786" s="16" t="n">
        <x:v>6.8</x:v>
      </x:c>
      <x:c r="K3786" s="11" t="n">
        <x:f>CHOOSE('假设'!$B$3,H3786,I3786,J3786)</x:f>
        <x:v>2.6</x:v>
      </x:c>
      <x:c r="L3786" s="11" t="n">
        <x:f>K3786*'管线假设'!E819*'管线假设'!F819*'管线假设'!G819*IF(E3786="USD",'管线假设'!I819,1)-AM3786</x:f>
        <x:v>0.3744</x:v>
      </x:c>
      <x:c r="M3786" s="11" t="n">
        <x:f>'管线假设'!H819</x:f>
        <x:v>0.14</x:v>
      </x:c>
      <x:c r="N3786" s="11" t="n">
        <x:f>IF(G3786,L3786*AN3786/(1+M3786)^F3786,0)</x:f>
        <x:v>0.14961079526523333</x:v>
      </x:c>
      <x:c r="AJ3786" s="42" t="n">
        <x:v>0</x:v>
      </x:c>
      <x:c r="AK3786" s="42" t="n">
        <x:v>0</x:v>
      </x:c>
      <x:c r="AL3786" s="42" t="n">
        <x:v>0</x:v>
      </x:c>
      <x:c r="AM3786" t="n">
        <x:f>CHOOSE('假设'!$B$3,AJ3786,AK3786,AL3786)</x:f>
        <x:v>0</x:v>
      </x:c>
      <x:c r="AN3786" t="n">
        <x:v>1</x:v>
      </x:c>
    </x:row>
    <x:row r="3787" ht="23" customHeight="1">
      <x:c r="A3787" s="11" t="str">
        <x:v>02162.HK</x:v>
      </x:c>
      <x:c r="B3787" s="11" t="str">
        <x:v>2026年底</x:v>
      </x:c>
      <x:c r="C3787" s="11" t="str">
        <x:v>CM512_other</x:v>
      </x:c>
      <x:c r="D3787" s="11" t="str">
        <x:v>2034-12-31</x:v>
      </x:c>
      <x:c r="E3787" s="11" t="str">
        <x:v>CNY</x:v>
      </x:c>
      <x:c r="F3787" s="11" t="n">
        <x:v>8</x:v>
      </x:c>
      <x:c r="G3787" s="26" t="b">
        <x:v>1</x:v>
      </x:c>
      <x:c r="H3787" s="16" t="n">
        <x:v>0.38</x:v>
      </x:c>
      <x:c r="I3787" s="16" t="n">
        <x:v>3.4</x:v>
      </x:c>
      <x:c r="J3787" s="16" t="n">
        <x:v>8</x:v>
      </x:c>
      <x:c r="K3787" s="11" t="n">
        <x:f>CHOOSE('假设'!$B$3,H3787,I3787,J3787)</x:f>
        <x:v>3.4</x:v>
      </x:c>
      <x:c r="L3787" s="11" t="n">
        <x:f>K3787*'管线假设'!E819*'管线假设'!F819*'管线假设'!G819*IF(E3787="USD",'管线假设'!I819,1)-AM3787</x:f>
        <x:v>0.4896</x:v>
      </x:c>
      <x:c r="M3787" s="11" t="n">
        <x:f>'管线假设'!H819</x:f>
        <x:v>0.14</x:v>
      </x:c>
      <x:c r="N3787" s="11" t="n">
        <x:f>IF(G3787,L3787*AN3787/(1+M3787)^F3787,0)</x:f>
        <x:v>0.17163371325493235</x:v>
      </x:c>
      <x:c r="AJ3787" s="42" t="n">
        <x:v>0</x:v>
      </x:c>
      <x:c r="AK3787" s="42" t="n">
        <x:v>0</x:v>
      </x:c>
      <x:c r="AL3787" s="42" t="n">
        <x:v>0</x:v>
      </x:c>
      <x:c r="AM3787" t="n">
        <x:f>CHOOSE('假设'!$B$3,AJ3787,AK3787,AL3787)</x:f>
        <x:v>0</x:v>
      </x:c>
      <x:c r="AN3787" t="n">
        <x:v>1</x:v>
      </x:c>
    </x:row>
    <x:row r="3788" ht="23" customHeight="1">
      <x:c r="A3788" s="11" t="str">
        <x:v>02162.HK</x:v>
      </x:c>
      <x:c r="B3788" s="11" t="str">
        <x:v>2026年底</x:v>
      </x:c>
      <x:c r="C3788" s="11" t="str">
        <x:v>CM512_other</x:v>
      </x:c>
      <x:c r="D3788" s="11" t="str">
        <x:v>2035-12-31</x:v>
      </x:c>
      <x:c r="E3788" s="11" t="str">
        <x:v>CNY</x:v>
      </x:c>
      <x:c r="F3788" s="11" t="n">
        <x:v>8.999315537303216</x:v>
      </x:c>
      <x:c r="G3788" s="26" t="b">
        <x:v>1</x:v>
      </x:c>
      <x:c r="H3788" s="16" t="n">
        <x:v>0.65</x:v>
      </x:c>
      <x:c r="I3788" s="16" t="n">
        <x:v>4</x:v>
      </x:c>
      <x:c r="J3788" s="16" t="n">
        <x:v>8</x:v>
      </x:c>
      <x:c r="K3788" s="11" t="n">
        <x:f>CHOOSE('假设'!$B$3,H3788,I3788,J3788)</x:f>
        <x:v>4</x:v>
      </x:c>
      <x:c r="L3788" s="11" t="n">
        <x:f>K3788*'管线假设'!E819*'管线假设'!F819*'管线假设'!G819*IF(E3788="USD",'管线假设'!I819,1)-AM3788</x:f>
        <x:v>0.576</x:v>
      </x:c>
      <x:c r="M3788" s="11" t="n">
        <x:f>'管线假设'!H819</x:f>
        <x:v>0.14</x:v>
      </x:c>
      <x:c r="N3788" s="11" t="n">
        <x:f>IF(G3788,L3788*AN3788/(1+M3788)^F3788,0)</x:f>
        <x:v>0.17714046102776046</x:v>
      </x:c>
      <x:c r="AJ3788" s="42" t="n">
        <x:v>0</x:v>
      </x:c>
      <x:c r="AK3788" s="42" t="n">
        <x:v>0</x:v>
      </x:c>
      <x:c r="AL3788" s="42" t="n">
        <x:v>0</x:v>
      </x:c>
      <x:c r="AM3788" t="n">
        <x:f>CHOOSE('假设'!$B$3,AJ3788,AK3788,AL3788)</x:f>
        <x:v>0</x:v>
      </x:c>
      <x:c r="AN3788" t="n">
        <x:v>1</x:v>
      </x:c>
    </x:row>
    <x:row r="3789" ht="23" customHeight="1">
      <x:c r="A3789" s="11" t="str">
        <x:v>02162.HK</x:v>
      </x:c>
      <x:c r="B3789" s="11" t="str">
        <x:v>2026年底</x:v>
      </x:c>
      <x:c r="C3789" s="11" t="str">
        <x:v>CM512_other</x:v>
      </x:c>
      <x:c r="D3789" s="11" t="str">
        <x:v>2036-12-31</x:v>
      </x:c>
      <x:c r="E3789" s="11" t="str">
        <x:v>CNY</x:v>
      </x:c>
      <x:c r="F3789" s="11" t="n">
        <x:v>10.001368925393566</x:v>
      </x:c>
      <x:c r="G3789" s="26" t="b">
        <x:v>1</x:v>
      </x:c>
      <x:c r="H3789" s="16" t="n">
        <x:v>0.85</x:v>
      </x:c>
      <x:c r="I3789" s="16" t="n">
        <x:v>4</x:v>
      </x:c>
      <x:c r="J3789" s="16" t="n">
        <x:v>7.6</x:v>
      </x:c>
      <x:c r="K3789" s="11" t="n">
        <x:f>CHOOSE('假设'!$B$3,H3789,I3789,J3789)</x:f>
        <x:v>4</x:v>
      </x:c>
      <x:c r="L3789" s="11" t="n">
        <x:f>K3789*'管线假设'!E819*'管线假设'!F819*'管线假设'!G819*IF(E3789="USD",'管线假设'!I819,1)-AM3789</x:f>
        <x:v>0.576</x:v>
      </x:c>
      <x:c r="M3789" s="11" t="n">
        <x:f>'管线假设'!H819</x:f>
        <x:v>0.14</x:v>
      </x:c>
      <x:c r="N3789" s="11" t="n">
        <x:f>IF(G3789,L3789*AN3789/(1+M3789)^F3789,0)</x:f>
        <x:v>0.1553445679524311</x:v>
      </x:c>
      <x:c r="AJ3789" s="42" t="n">
        <x:v>0</x:v>
      </x:c>
      <x:c r="AK3789" s="42" t="n">
        <x:v>0</x:v>
      </x:c>
      <x:c r="AL3789" s="42" t="n">
        <x:v>0</x:v>
      </x:c>
      <x:c r="AM3789" t="n">
        <x:f>CHOOSE('假设'!$B$3,AJ3789,AK3789,AL3789)</x:f>
        <x:v>0</x:v>
      </x:c>
      <x:c r="AN3789" t="n">
        <x:v>1</x:v>
      </x:c>
    </x:row>
    <x:row r="3790" ht="23" customHeight="1">
      <x:c r="A3790" s="11" t="str">
        <x:v>02162.HK</x:v>
      </x:c>
      <x:c r="B3790" s="11" t="str">
        <x:v>2026年底</x:v>
      </x:c>
      <x:c r="C3790" s="11" t="str">
        <x:v>CM512_other</x:v>
      </x:c>
      <x:c r="D3790" s="11" t="str">
        <x:v>2037-12-31</x:v>
      </x:c>
      <x:c r="E3790" s="11" t="str">
        <x:v>CNY</x:v>
      </x:c>
      <x:c r="F3790" s="11" t="n">
        <x:v>11.000684462696784</x:v>
      </x:c>
      <x:c r="G3790" s="26" t="b">
        <x:v>1</x:v>
      </x:c>
      <x:c r="H3790" s="16" t="n">
        <x:v>1</x:v>
      </x:c>
      <x:c r="I3790" s="16" t="n">
        <x:v>3.8</x:v>
      </x:c>
      <x:c r="J3790" s="16" t="n">
        <x:v>7.2</x:v>
      </x:c>
      <x:c r="K3790" s="11" t="n">
        <x:f>CHOOSE('假设'!$B$3,H3790,I3790,J3790)</x:f>
        <x:v>3.8</x:v>
      </x:c>
      <x:c r="L3790" s="11" t="n">
        <x:f>K3790*'管线假设'!E819*'管线假设'!F819*'管线假设'!G819*IF(E3790="USD",'管线假设'!I819,1)-AM3790</x:f>
        <x:v>0.5471999999999999</x:v>
      </x:c>
      <x:c r="M3790" s="11" t="n">
        <x:f>'管线假设'!H819</x:f>
        <x:v>0.14</x:v>
      </x:c>
      <x:c r="N3790" s="11" t="n">
        <x:f>IF(G3790,L3790*AN3790/(1+M3790)^F3790,0)</x:f>
        <x:v>0.12946541707738962</x:v>
      </x:c>
      <x:c r="AJ3790" s="42" t="n">
        <x:v>0</x:v>
      </x:c>
      <x:c r="AK3790" s="42" t="n">
        <x:v>0</x:v>
      </x:c>
      <x:c r="AL3790" s="42" t="n">
        <x:v>0</x:v>
      </x:c>
      <x:c r="AM3790" t="n">
        <x:f>CHOOSE('假设'!$B$3,AJ3790,AK3790,AL3790)</x:f>
        <x:v>0</x:v>
      </x:c>
      <x:c r="AN3790" t="n">
        <x:v>1</x:v>
      </x:c>
    </x:row>
    <x:row r="3791" ht="23" customHeight="1">
      <x:c r="A3791" s="11" t="str">
        <x:v>02162.HK</x:v>
      </x:c>
      <x:c r="B3791" s="11" t="str">
        <x:v>2026年底</x:v>
      </x:c>
      <x:c r="C3791" s="11" t="str">
        <x:v>CM512_other</x:v>
      </x:c>
      <x:c r="D3791" s="11" t="str">
        <x:v>2038-12-31</x:v>
      </x:c>
      <x:c r="E3791" s="11" t="str">
        <x:v>CNY</x:v>
      </x:c>
      <x:c r="F3791" s="11" t="n">
        <x:v>12</x:v>
      </x:c>
      <x:c r="G3791" s="26" t="b">
        <x:v>1</x:v>
      </x:c>
      <x:c r="H3791" s="16" t="n">
        <x:v>1</x:v>
      </x:c>
      <x:c r="I3791" s="16" t="n">
        <x:v>3.6</x:v>
      </x:c>
      <x:c r="J3791" s="16" t="n">
        <x:v>6.4</x:v>
      </x:c>
      <x:c r="K3791" s="11" t="n">
        <x:f>CHOOSE('假设'!$B$3,H3791,I3791,J3791)</x:f>
        <x:v>3.6</x:v>
      </x:c>
      <x:c r="L3791" s="11" t="n">
        <x:f>K3791*'管线假设'!E819*'管线假设'!F819*'管线假设'!G819*IF(E3791="USD",'管线假设'!I819,1)-AM3791</x:f>
        <x:v>0.5184</x:v>
      </x:c>
      <x:c r="M3791" s="11" t="n">
        <x:f>'管线假设'!H819</x:f>
        <x:v>0.14</x:v>
      </x:c>
      <x:c r="N3791" s="11" t="n">
        <x:f>IF(G3791,L3791*AN3791/(1+M3791)^F3791,0)</x:f>
        <x:v>0.10759863870005917</x:v>
      </x:c>
      <x:c r="AJ3791" s="42" t="n">
        <x:v>0</x:v>
      </x:c>
      <x:c r="AK3791" s="42" t="n">
        <x:v>0</x:v>
      </x:c>
      <x:c r="AL3791" s="42" t="n">
        <x:v>0</x:v>
      </x:c>
      <x:c r="AM3791" t="n">
        <x:f>CHOOSE('假设'!$B$3,AJ3791,AK3791,AL3791)</x:f>
        <x:v>0</x:v>
      </x:c>
      <x:c r="AN3791" t="n">
        <x:v>1</x:v>
      </x:c>
    </x:row>
    <x:row r="3792" ht="23" customHeight="1">
      <x:c r="A3792" s="11" t="str">
        <x:v>02162.HK</x:v>
      </x:c>
      <x:c r="B3792" s="11" t="str">
        <x:v>2026年底</x:v>
      </x:c>
      <x:c r="C3792" s="11" t="str">
        <x:v>CM512_other</x:v>
      </x:c>
      <x:c r="D3792" s="11" t="str">
        <x:v>2039-12-31</x:v>
      </x:c>
      <x:c r="E3792" s="11" t="str">
        <x:v>CNY</x:v>
      </x:c>
      <x:c r="F3792" s="11" t="n">
        <x:v>12.999315537303216</x:v>
      </x:c>
      <x:c r="G3792" s="26" t="b">
        <x:v>1</x:v>
      </x:c>
      <x:c r="H3792" s="16" t="n">
        <x:v>0.95</x:v>
      </x:c>
      <x:c r="I3792" s="16" t="n">
        <x:v>3.2</x:v>
      </x:c>
      <x:c r="J3792" s="16" t="n">
        <x:v>5.2</x:v>
      </x:c>
      <x:c r="K3792" s="11" t="n">
        <x:f>CHOOSE('假设'!$B$3,H3792,I3792,J3792)</x:f>
        <x:v>3.2</x:v>
      </x:c>
      <x:c r="L3792" s="11" t="n">
        <x:f>K3792*'管线假设'!E819*'管线假设'!F819*'管线假设'!G819*IF(E3792="USD",'管线假设'!I819,1)-AM3792</x:f>
        <x:v>0.4608</x:v>
      </x:c>
      <x:c r="M3792" s="11" t="n">
        <x:f>'管线假设'!H819</x:f>
        <x:v>0.14</x:v>
      </x:c>
      <x:c r="N3792" s="11" t="n">
        <x:f>IF(G3792,L3792*AN3792/(1+M3792)^F3792,0)</x:f>
        <x:v>0.08390509863903972</x:v>
      </x:c>
      <x:c r="AJ3792" s="42" t="n">
        <x:v>0</x:v>
      </x:c>
      <x:c r="AK3792" s="42" t="n">
        <x:v>0</x:v>
      </x:c>
      <x:c r="AL3792" s="42" t="n">
        <x:v>0</x:v>
      </x:c>
      <x:c r="AM3792" t="n">
        <x:f>CHOOSE('假设'!$B$3,AJ3792,AK3792,AL3792)</x:f>
        <x:v>0</x:v>
      </x:c>
      <x:c r="AN3792" t="n">
        <x:v>1</x:v>
      </x:c>
    </x:row>
    <x:row r="3793" ht="23" customHeight="1">
      <x:c r="A3793" s="11" t="str">
        <x:v>02162.HK</x:v>
      </x:c>
      <x:c r="B3793" s="11" t="str">
        <x:v>2026年底</x:v>
      </x:c>
      <x:c r="C3793" s="11" t="str">
        <x:v>CM512_other</x:v>
      </x:c>
      <x:c r="D3793" s="11" t="str">
        <x:v>2040-12-31</x:v>
      </x:c>
      <x:c r="E3793" s="11" t="str">
        <x:v>CNY</x:v>
      </x:c>
      <x:c r="F3793" s="11" t="n">
        <x:v>14.001368925393566</x:v>
      </x:c>
      <x:c r="G3793" s="26" t="b">
        <x:v>1</x:v>
      </x:c>
      <x:c r="H3793" s="16" t="n">
        <x:v>0.9</x:v>
      </x:c>
      <x:c r="I3793" s="16" t="n">
        <x:v>2.6</x:v>
      </x:c>
      <x:c r="J3793" s="16" t="n">
        <x:v>4</x:v>
      </x:c>
      <x:c r="K3793" s="11" t="n">
        <x:f>CHOOSE('假设'!$B$3,H3793,I3793,J3793)</x:f>
        <x:v>2.6</x:v>
      </x:c>
      <x:c r="L3793" s="11" t="n">
        <x:f>K3793*'管线假设'!E819*'管线假设'!F819*'管线假设'!G819*IF(E3793="USD",'管线假设'!I819,1)-AM3793</x:f>
        <x:v>0.3744</x:v>
      </x:c>
      <x:c r="M3793" s="11" t="n">
        <x:f>'管线假设'!H819</x:f>
        <x:v>0.14</x:v>
      </x:c>
      <x:c r="N3793" s="11" t="n">
        <x:f>IF(G3793,L3793*AN3793/(1+M3793)^F3793,0)</x:f>
        <x:v>0.05978469567279798</x:v>
      </x:c>
      <x:c r="AJ3793" s="42" t="n">
        <x:v>0</x:v>
      </x:c>
      <x:c r="AK3793" s="42" t="n">
        <x:v>0</x:v>
      </x:c>
      <x:c r="AL3793" s="42" t="n">
        <x:v>0</x:v>
      </x:c>
      <x:c r="AM3793" t="n">
        <x:f>CHOOSE('假设'!$B$3,AJ3793,AK3793,AL3793)</x:f>
        <x:v>0</x:v>
      </x:c>
      <x:c r="AN3793" t="n">
        <x:v>1</x:v>
      </x:c>
    </x:row>
    <x:row r="3794" ht="23" customHeight="1">
      <x:c r="A3794" s="11" t="str">
        <x:v>02162.HK</x:v>
      </x:c>
      <x:c r="B3794" s="11" t="str">
        <x:v>2026年底</x:v>
      </x:c>
      <x:c r="C3794" s="11" t="str">
        <x:v>CM512_other</x:v>
      </x:c>
      <x:c r="D3794" s="11" t="str">
        <x:v>2041-12-31</x:v>
      </x:c>
      <x:c r="E3794" s="11" t="str">
        <x:v>CNY</x:v>
      </x:c>
      <x:c r="F3794" s="11" t="n">
        <x:v>15.000684462696784</x:v>
      </x:c>
      <x:c r="G3794" s="26" t="b">
        <x:v>1</x:v>
      </x:c>
      <x:c r="H3794" s="16" t="n">
        <x:v>0.8</x:v>
      </x:c>
      <x:c r="I3794" s="16" t="n">
        <x:v>2</x:v>
      </x:c>
      <x:c r="J3794" s="16" t="n">
        <x:v>2.8</x:v>
      </x:c>
      <x:c r="K3794" s="11" t="n">
        <x:f>CHOOSE('假设'!$B$3,H3794,I3794,J3794)</x:f>
        <x:v>2</x:v>
      </x:c>
      <x:c r="L3794" s="11" t="n">
        <x:f>K3794*'管线假设'!E819*'管线假设'!F819*'管线假设'!G819*IF(E3794="USD",'管线假设'!I819,1)-AM3794</x:f>
        <x:v>0.288</x:v>
      </x:c>
      <x:c r="M3794" s="11" t="n">
        <x:f>'管线假设'!H819</x:f>
        <x:v>0.14</x:v>
      </x:c>
      <x:c r="N3794" s="11" t="n">
        <x:f>IF(G3794,L3794*AN3794/(1+M3794)^F3794,0)</x:f>
        <x:v>0.040344168448962166</x:v>
      </x:c>
      <x:c r="AJ3794" s="42" t="n">
        <x:v>0</x:v>
      </x:c>
      <x:c r="AK3794" s="42" t="n">
        <x:v>0</x:v>
      </x:c>
      <x:c r="AL3794" s="42" t="n">
        <x:v>0</x:v>
      </x:c>
      <x:c r="AM3794" t="n">
        <x:f>CHOOSE('假设'!$B$3,AJ3794,AK3794,AL3794)</x:f>
        <x:v>0</x:v>
      </x:c>
      <x:c r="AN3794" t="n">
        <x:v>1</x:v>
      </x:c>
    </x:row>
    <x:row r="3795" ht="23" customHeight="1">
      <x:c r="A3795" s="11" t="str">
        <x:v>02162.HK</x:v>
      </x:c>
      <x:c r="B3795" s="11" t="str">
        <x:v>2026年底</x:v>
      </x:c>
      <x:c r="C3795" s="11" t="str">
        <x:v>CM512_other</x:v>
      </x:c>
      <x:c r="D3795" s="11" t="str">
        <x:v>2042-12-31</x:v>
      </x:c>
      <x:c r="E3795" s="11" t="str">
        <x:v>CNY</x:v>
      </x:c>
      <x:c r="F3795" s="11" t="n">
        <x:v>16</x:v>
      </x:c>
      <x:c r="G3795" s="26" t="b">
        <x:v>1</x:v>
      </x:c>
      <x:c r="H3795" s="16" t="n">
        <x:v>0.65</x:v>
      </x:c>
      <x:c r="I3795" s="16" t="n">
        <x:v>1.4</x:v>
      </x:c>
      <x:c r="J3795" s="16" t="n">
        <x:v>1.6</x:v>
      </x:c>
      <x:c r="K3795" s="11" t="n">
        <x:f>CHOOSE('假设'!$B$3,H3795,I3795,J3795)</x:f>
        <x:v>1.4</x:v>
      </x:c>
      <x:c r="L3795" s="11" t="n">
        <x:f>K3795*'管线假设'!E819*'管线假设'!F819*'管线假设'!G819*IF(E3795="USD",'管线假设'!I819,1)-AM3795</x:f>
        <x:v>0.20159999999999997</x:v>
      </x:c>
      <x:c r="M3795" s="11" t="n">
        <x:f>'管线假设'!H819</x:f>
        <x:v>0.14</x:v>
      </x:c>
      <x:c r="N3795" s="11" t="n">
        <x:f>IF(G3795,L3795*AN3795/(1+M3795)^F3795,0)</x:f>
        <x:v>0.02477495682907227</x:v>
      </x:c>
      <x:c r="AJ3795" s="42" t="n">
        <x:v>0</x:v>
      </x:c>
      <x:c r="AK3795" s="42" t="n">
        <x:v>0</x:v>
      </x:c>
      <x:c r="AL3795" s="42" t="n">
        <x:v>0</x:v>
      </x:c>
      <x:c r="AM3795" t="n">
        <x:f>CHOOSE('假设'!$B$3,AJ3795,AK3795,AL3795)</x:f>
        <x:v>0</x:v>
      </x:c>
      <x:c r="AN3795" t="n">
        <x:v>1</x:v>
      </x:c>
    </x:row>
    <x:row r="3796" ht="23" customHeight="1">
      <x:c r="A3796" s="11" t="str">
        <x:v>02162.HK</x:v>
      </x:c>
      <x:c r="B3796" s="11" t="str">
        <x:v>2026年底</x:v>
      </x:c>
      <x:c r="C3796" s="11" t="str">
        <x:v>CM512_other</x:v>
      </x:c>
      <x:c r="D3796" s="11" t="str">
        <x:v>2043-12-31</x:v>
      </x:c>
      <x:c r="E3796" s="11" t="str">
        <x:v>CNY</x:v>
      </x:c>
      <x:c r="F3796" s="11" t="n">
        <x:v>16.999315537303218</x:v>
      </x:c>
      <x:c r="G3796" s="26" t="b">
        <x:v>1</x:v>
      </x:c>
      <x:c r="H3796" s="16" t="n">
        <x:v>0.5</x:v>
      </x:c>
      <x:c r="I3796" s="16" t="n">
        <x:v>0.8</x:v>
      </x:c>
      <x:c r="J3796" s="16" t="n">
        <x:v>0.96</x:v>
      </x:c>
      <x:c r="K3796" s="11" t="n">
        <x:f>CHOOSE('假设'!$B$3,H3796,I3796,J3796)</x:f>
        <x:v>0.8</x:v>
      </x:c>
      <x:c r="L3796" s="11" t="n">
        <x:f>K3796*'管线假设'!E819*'管线假设'!F819*'管线假设'!G819*IF(E3796="USD",'管线假设'!I819,1)-AM3796</x:f>
        <x:v>0.1152</x:v>
      </x:c>
      <x:c r="M3796" s="11" t="n">
        <x:f>'管线假设'!H819</x:f>
        <x:v>0.14</x:v>
      </x:c>
      <x:c r="N3796" s="11" t="n">
        <x:f>IF(G3796,L3796*AN3796/(1+M3796)^F3796,0)</x:f>
        <x:v>0.012419638518743933</x:v>
      </x:c>
      <x:c r="AJ3796" s="42" t="n">
        <x:v>0</x:v>
      </x:c>
      <x:c r="AK3796" s="42" t="n">
        <x:v>0</x:v>
      </x:c>
      <x:c r="AL3796" s="42" t="n">
        <x:v>0</x:v>
      </x:c>
      <x:c r="AM3796" t="n">
        <x:f>CHOOSE('假设'!$B$3,AJ3796,AK3796,AL3796)</x:f>
        <x:v>0</x:v>
      </x:c>
      <x:c r="AN3796" t="n">
        <x:v>1</x:v>
      </x:c>
    </x:row>
    <x:row r="3797" ht="23" customHeight="1">
      <x:c r="A3797" s="11" t="str">
        <x:v>02162.HK</x:v>
      </x:c>
      <x:c r="B3797" s="11" t="str">
        <x:v>2026年底</x:v>
      </x:c>
      <x:c r="C3797" s="11" t="str">
        <x:v>CM512_other</x:v>
      </x:c>
      <x:c r="D3797" s="11" t="str">
        <x:v>2044-12-31</x:v>
      </x:c>
      <x:c r="E3797" s="11" t="str">
        <x:v>CNY</x:v>
      </x:c>
      <x:c r="F3797" s="11" t="n">
        <x:v>18.001368925393567</x:v>
      </x:c>
      <x:c r="G3797" s="26" t="b">
        <x:v>1</x:v>
      </x:c>
      <x:c r="H3797" s="16" t="n">
        <x:v>0.35</x:v>
      </x:c>
      <x:c r="I3797" s="16" t="n">
        <x:v>0.48</x:v>
      </x:c>
      <x:c r="J3797" s="16" t="n">
        <x:v>0.56</x:v>
      </x:c>
      <x:c r="K3797" s="11" t="n">
        <x:f>CHOOSE('假设'!$B$3,H3797,I3797,J3797)</x:f>
        <x:v>0.48</x:v>
      </x:c>
      <x:c r="L3797" s="11" t="n">
        <x:f>K3797*'管线假设'!E819*'管线假设'!F819*'管线假设'!G819*IF(E3797="USD",'管线假设'!I819,1)-AM3797</x:f>
        <x:v>0.06911999999999999</x:v>
      </x:c>
      <x:c r="M3797" s="11" t="n">
        <x:f>'管线假设'!H819</x:f>
        <x:v>0.14</x:v>
      </x:c>
      <x:c r="N3797" s="11" t="n">
        <x:f>IF(G3797,L3797*AN3797/(1+M3797)^F3797,0)</x:f>
        <x:v>0.006534893390112476</x:v>
      </x:c>
      <x:c r="AJ3797" s="42" t="n">
        <x:v>0</x:v>
      </x:c>
      <x:c r="AK3797" s="42" t="n">
        <x:v>0</x:v>
      </x:c>
      <x:c r="AL3797" s="42" t="n">
        <x:v>0</x:v>
      </x:c>
      <x:c r="AM3797" t="n">
        <x:f>CHOOSE('假设'!$B$3,AJ3797,AK3797,AL3797)</x:f>
        <x:v>0</x:v>
      </x:c>
      <x:c r="AN3797" t="n">
        <x:v>1</x:v>
      </x:c>
    </x:row>
    <x:row r="3798" ht="23" customHeight="1">
      <x:c r="A3798" s="11" t="str">
        <x:v>02162.HK</x:v>
      </x:c>
      <x:c r="B3798" s="11" t="str">
        <x:v>2026年底</x:v>
      </x:c>
      <x:c r="C3798" s="11" t="str">
        <x:v>CMG901_2Lplus</x:v>
      </x:c>
      <x:c r="D3798" s="11" t="str">
        <x:v>2026-12-31</x:v>
      </x:c>
      <x:c r="E3798" s="11" t="str">
        <x:v>USD</x:v>
      </x:c>
      <x:c r="F3798" s="11" t="n">
        <x:v>0</x:v>
      </x:c>
      <x:c r="G3798" s="26" t="b">
        <x:v>0</x:v>
      </x:c>
      <x:c r="H3798" s="16" t="n">
        <x:v>0</x:v>
      </x:c>
      <x:c r="I3798" s="16" t="n">
        <x:v>0</x:v>
      </x:c>
      <x:c r="J3798" s="16" t="n">
        <x:v>0</x:v>
      </x:c>
      <x:c r="K3798" s="11" t="n">
        <x:f>CHOOSE('假设'!$B$3,H3798,I3798,J3798)</x:f>
        <x:v>0</x:v>
      </x:c>
      <x:c r="L3798" s="11" t="n">
        <x:f>K3798*'管线假设'!E823*'管线假设'!F823*'管线假设'!G823*IF(E3798="USD",'管线假设'!I823,1)-AM3798</x:f>
        <x:v>-0.056</x:v>
      </x:c>
      <x:c r="M3798" s="11" t="n">
        <x:f>'管线假设'!H823</x:f>
        <x:v>0.14</x:v>
      </x:c>
      <x:c r="N3798" s="11" t="n">
        <x:f>IF(G3798,L3798*AN3798/(1+M3798)^F3798,0)</x:f>
        <x:v>0</x:v>
      </x:c>
      <x:c r="AJ3798" s="42" t="n">
        <x:v>0.035</x:v>
      </x:c>
      <x:c r="AK3798" s="42" t="n">
        <x:v>0.056</x:v>
      </x:c>
      <x:c r="AL3798" s="42" t="n">
        <x:v>0.084</x:v>
      </x:c>
      <x:c r="AM3798" t="n">
        <x:f>CHOOSE('假设'!$B$3,AJ3798,AK3798,AL3798)</x:f>
        <x:v>0.056</x:v>
      </x:c>
      <x:c r="AN3798" t="n">
        <x:v>0</x:v>
      </x:c>
    </x:row>
    <x:row r="3799" ht="23" customHeight="1">
      <x:c r="A3799" s="11" t="str">
        <x:v>02162.HK</x:v>
      </x:c>
      <x:c r="B3799" s="11" t="str">
        <x:v>2026年底</x:v>
      </x:c>
      <x:c r="C3799" s="11" t="str">
        <x:v>CMG901_2Lplus</x:v>
      </x:c>
      <x:c r="D3799" s="11" t="str">
        <x:v>2027-12-31</x:v>
      </x:c>
      <x:c r="E3799" s="11" t="str">
        <x:v>USD</x:v>
      </x:c>
      <x:c r="F3799" s="11" t="n">
        <x:v>0.999315537303217</x:v>
      </x:c>
      <x:c r="G3799" s="26" t="b">
        <x:v>1</x:v>
      </x:c>
      <x:c r="H3799" s="16" t="n">
        <x:v>0</x:v>
      </x:c>
      <x:c r="I3799" s="16" t="n">
        <x:v>0.18</x:v>
      </x:c>
      <x:c r="J3799" s="16" t="n">
        <x:v>0.27</x:v>
      </x:c>
      <x:c r="K3799" s="11" t="n">
        <x:f>CHOOSE('假设'!$B$3,H3799,I3799,J3799)</x:f>
        <x:v>0.18</x:v>
      </x:c>
      <x:c r="L3799" s="11" t="n">
        <x:f>K3799*'管线假设'!E823*'管线假设'!F823*'管线假设'!G823*IF(E3799="USD",'管线假设'!I823,1)-AM3799</x:f>
        <x:v>0.009091599999999998</x:v>
      </x:c>
      <x:c r="M3799" s="11" t="n">
        <x:f>'管线假设'!H823</x:f>
        <x:v>0.14</x:v>
      </x:c>
      <x:c r="N3799" s="11" t="n">
        <x:f>IF(G3799,L3799*AN3799/(1+M3799)^F3799,0)</x:f>
        <x:v>0.007975802988802664</x:v>
      </x:c>
      <x:c r="AJ3799" s="42" t="n">
        <x:v>0.035</x:v>
      </x:c>
      <x:c r="AK3799" s="42" t="n">
        <x:v>0.056</x:v>
      </x:c>
      <x:c r="AL3799" s="42" t="n">
        <x:v>0.07</x:v>
      </x:c>
      <x:c r="AM3799" t="n">
        <x:f>CHOOSE('假设'!$B$3,AJ3799,AK3799,AL3799)</x:f>
        <x:v>0.056</x:v>
      </x:c>
      <x:c r="AN3799" t="n">
        <x:v>1</x:v>
      </x:c>
    </x:row>
    <x:row r="3800" ht="23" customHeight="1">
      <x:c r="A3800" s="11" t="str">
        <x:v>02162.HK</x:v>
      </x:c>
      <x:c r="B3800" s="11" t="str">
        <x:v>2026年底</x:v>
      </x:c>
      <x:c r="C3800" s="11" t="str">
        <x:v>CMG901_2Lplus</x:v>
      </x:c>
      <x:c r="D3800" s="11" t="str">
        <x:v>2028-12-31</x:v>
      </x:c>
      <x:c r="E3800" s="11" t="str">
        <x:v>USD</x:v>
      </x:c>
      <x:c r="F3800" s="11" t="n">
        <x:v>2.001368925393566</x:v>
      </x:c>
      <x:c r="G3800" s="26" t="b">
        <x:v>1</x:v>
      </x:c>
      <x:c r="H3800" s="16" t="n">
        <x:v>0.09</x:v>
      </x:c>
      <x:c r="I3800" s="16" t="n">
        <x:v>0.54</x:v>
      </x:c>
      <x:c r="J3800" s="16" t="n">
        <x:v>0.8099999999999999</x:v>
      </x:c>
      <x:c r="K3800" s="11" t="n">
        <x:f>CHOOSE('假设'!$B$3,H3800,I3800,J3800)</x:f>
        <x:v>0.54</x:v>
      </x:c>
      <x:c r="L3800" s="11" t="n">
        <x:f>K3800*'管线假设'!E823*'管线假设'!F823*'管线假设'!G823*IF(E3800="USD",'管线假设'!I823,1)-AM3800</x:f>
        <x:v>0.1952748</x:v>
      </x:c>
      <x:c r="M3800" s="11" t="n">
        <x:f>'管线假设'!H823</x:f>
        <x:v>0.14</x:v>
      </x:c>
      <x:c r="N3800" s="11" t="n">
        <x:f>IF(G3800,L3800*AN3800/(1+M3800)^F3800,0)</x:f>
        <x:v>0.1502306687497877</x:v>
      </x:c>
      <x:c r="AJ3800" s="42" t="n">
        <x:v>0</x:v>
      </x:c>
      <x:c r="AK3800" s="42" t="n">
        <x:v>0</x:v>
      </x:c>
      <x:c r="AL3800" s="42" t="n">
        <x:v>0</x:v>
      </x:c>
      <x:c r="AM3800" t="n">
        <x:f>CHOOSE('假设'!$B$3,AJ3800,AK3800,AL3800)</x:f>
        <x:v>0</x:v>
      </x:c>
      <x:c r="AN3800" t="n">
        <x:v>1</x:v>
      </x:c>
    </x:row>
    <x:row r="3801" ht="23" customHeight="1">
      <x:c r="A3801" s="11" t="str">
        <x:v>02162.HK</x:v>
      </x:c>
      <x:c r="B3801" s="11" t="str">
        <x:v>2026年底</x:v>
      </x:c>
      <x:c r="C3801" s="11" t="str">
        <x:v>CMG901_2Lplus</x:v>
      </x:c>
      <x:c r="D3801" s="11" t="str">
        <x:v>2029-12-31</x:v>
      </x:c>
      <x:c r="E3801" s="11" t="str">
        <x:v>USD</x:v>
      </x:c>
      <x:c r="F3801" s="11" t="n">
        <x:v>3.0006844626967832</x:v>
      </x:c>
      <x:c r="G3801" s="26" t="b">
        <x:v>1</x:v>
      </x:c>
      <x:c r="H3801" s="16" t="n">
        <x:v>0.27</x:v>
      </x:c>
      <x:c r="I3801" s="16" t="n">
        <x:v>1.1400000000000001</x:v>
      </x:c>
      <x:c r="J3801" s="16" t="n">
        <x:v>1.71</x:v>
      </x:c>
      <x:c r="K3801" s="11" t="n">
        <x:f>CHOOSE('假设'!$B$3,H3801,I3801,J3801)</x:f>
        <x:v>1.1400000000000001</x:v>
      </x:c>
      <x:c r="L3801" s="11" t="n">
        <x:f>K3801*'管线假设'!E823*'管线假设'!F823*'管线假设'!G823*IF(E3801="USD",'管线假设'!I823,1)-AM3801</x:f>
        <x:v>0.41224679999999997</x:v>
      </x:c>
      <x:c r="M3801" s="11" t="n">
        <x:f>'管线假设'!H823</x:f>
        <x:v>0.14</x:v>
      </x:c>
      <x:c r="N3801" s="11" t="n">
        <x:f>IF(G3801,L3801*AN3801/(1+M3801)^F3801,0)</x:f>
        <x:v>0.2782298937684018</x:v>
      </x:c>
      <x:c r="AJ3801" s="42" t="n">
        <x:v>0</x:v>
      </x:c>
      <x:c r="AK3801" s="42" t="n">
        <x:v>0</x:v>
      </x:c>
      <x:c r="AL3801" s="42" t="n">
        <x:v>0</x:v>
      </x:c>
      <x:c r="AM3801" t="n">
        <x:f>CHOOSE('假设'!$B$3,AJ3801,AK3801,AL3801)</x:f>
        <x:v>0</x:v>
      </x:c>
      <x:c r="AN3801" t="n">
        <x:v>1</x:v>
      </x:c>
    </x:row>
    <x:row r="3802" ht="23" customHeight="1">
      <x:c r="A3802" s="11" t="str">
        <x:v>02162.HK</x:v>
      </x:c>
      <x:c r="B3802" s="11" t="str">
        <x:v>2026年底</x:v>
      </x:c>
      <x:c r="C3802" s="11" t="str">
        <x:v>CMG901_2Lplus</x:v>
      </x:c>
      <x:c r="D3802" s="11" t="str">
        <x:v>2030-12-31</x:v>
      </x:c>
      <x:c r="E3802" s="11" t="str">
        <x:v>USD</x:v>
      </x:c>
      <x:c r="F3802" s="11" t="n">
        <x:v>4</x:v>
      </x:c>
      <x:c r="G3802" s="26" t="b">
        <x:v>1</x:v>
      </x:c>
      <x:c r="H3802" s="16" t="n">
        <x:v>0.5700000000000001</x:v>
      </x:c>
      <x:c r="I3802" s="16" t="n">
        <x:v>1.9500000000000002</x:v>
      </x:c>
      <x:c r="J3802" s="16" t="n">
        <x:v>2.9250000000000003</x:v>
      </x:c>
      <x:c r="K3802" s="11" t="n">
        <x:f>CHOOSE('假设'!$B$3,H3802,I3802,J3802)</x:f>
        <x:v>1.9500000000000002</x:v>
      </x:c>
      <x:c r="L3802" s="11" t="n">
        <x:f>K3802*'管线假设'!E823*'管线假设'!F823*'管线假设'!G823*IF(E3802="USD",'管线假设'!I823,1)-AM3802</x:f>
        <x:v>0.7051589999999999</x:v>
      </x:c>
      <x:c r="M3802" s="11" t="n">
        <x:f>'管线假设'!H823</x:f>
        <x:v>0.14</x:v>
      </x:c>
      <x:c r="N3802" s="11" t="n">
        <x:f>IF(G3802,L3802*AN3802/(1+M3802)^F3802,0)</x:f>
        <x:v>0.41751073631008534</x:v>
      </x:c>
      <x:c r="AJ3802" s="42" t="n">
        <x:v>0</x:v>
      </x:c>
      <x:c r="AK3802" s="42" t="n">
        <x:v>0</x:v>
      </x:c>
      <x:c r="AL3802" s="42" t="n">
        <x:v>0</x:v>
      </x:c>
      <x:c r="AM3802" t="n">
        <x:f>CHOOSE('假设'!$B$3,AJ3802,AK3802,AL3802)</x:f>
        <x:v>0</x:v>
      </x:c>
      <x:c r="AN3802" t="n">
        <x:v>1</x:v>
      </x:c>
    </x:row>
    <x:row r="3803" ht="23" customHeight="1">
      <x:c r="A3803" s="11" t="str">
        <x:v>02162.HK</x:v>
      </x:c>
      <x:c r="B3803" s="11" t="str">
        <x:v>2026年底</x:v>
      </x:c>
      <x:c r="C3803" s="11" t="str">
        <x:v>CMG901_2Lplus</x:v>
      </x:c>
      <x:c r="D3803" s="11" t="str">
        <x:v>2031-12-31</x:v>
      </x:c>
      <x:c r="E3803" s="11" t="str">
        <x:v>USD</x:v>
      </x:c>
      <x:c r="F3803" s="11" t="n">
        <x:v>4.999315537303217</x:v>
      </x:c>
      <x:c r="G3803" s="26" t="b">
        <x:v>1</x:v>
      </x:c>
      <x:c r="H3803" s="16" t="n">
        <x:v>0.9750000000000001</x:v>
      </x:c>
      <x:c r="I3803" s="16" t="n">
        <x:v>2.55</x:v>
      </x:c>
      <x:c r="J3803" s="16" t="n">
        <x:v>3.8249999999999997</x:v>
      </x:c>
      <x:c r="K3803" s="11" t="n">
        <x:f>CHOOSE('假设'!$B$3,H3803,I3803,J3803)</x:f>
        <x:v>2.55</x:v>
      </x:c>
      <x:c r="L3803" s="11" t="n">
        <x:f>K3803*'管线假设'!E823*'管线假设'!F823*'管线假设'!G823*IF(E3803="USD",'管线假设'!I823,1)-AM3803</x:f>
        <x:v>0.9221309999999997</x:v>
      </x:c>
      <x:c r="M3803" s="11" t="n">
        <x:f>'管线假设'!H823</x:f>
        <x:v>0.14</x:v>
      </x:c>
      <x:c r="N3803" s="11" t="n">
        <x:f>IF(G3803,L3803*AN3803/(1+M3803)^F3803,0)</x:f>
        <x:v>0.47896889973522516</x:v>
      </x:c>
      <x:c r="AJ3803" s="42" t="n">
        <x:v>0</x:v>
      </x:c>
      <x:c r="AK3803" s="42" t="n">
        <x:v>0</x:v>
      </x:c>
      <x:c r="AL3803" s="42" t="n">
        <x:v>0</x:v>
      </x:c>
      <x:c r="AM3803" t="n">
        <x:f>CHOOSE('假设'!$B$3,AJ3803,AK3803,AL3803)</x:f>
        <x:v>0</x:v>
      </x:c>
      <x:c r="AN3803" t="n">
        <x:v>1</x:v>
      </x:c>
    </x:row>
    <x:row r="3804" ht="23" customHeight="1">
      <x:c r="A3804" s="11" t="str">
        <x:v>02162.HK</x:v>
      </x:c>
      <x:c r="B3804" s="11" t="str">
        <x:v>2026年底</x:v>
      </x:c>
      <x:c r="C3804" s="11" t="str">
        <x:v>CMG901_2Lplus</x:v>
      </x:c>
      <x:c r="D3804" s="11" t="str">
        <x:v>2032-12-31</x:v>
      </x:c>
      <x:c r="E3804" s="11" t="str">
        <x:v>USD</x:v>
      </x:c>
      <x:c r="F3804" s="11" t="n">
        <x:v>6.0013689253935665</x:v>
      </x:c>
      <x:c r="G3804" s="26" t="b">
        <x:v>1</x:v>
      </x:c>
      <x:c r="H3804" s="16" t="n">
        <x:v>1.275</x:v>
      </x:c>
      <x:c r="I3804" s="16" t="n">
        <x:v>3</x:v>
      </x:c>
      <x:c r="J3804" s="16" t="n">
        <x:v>4.5</x:v>
      </x:c>
      <x:c r="K3804" s="11" t="n">
        <x:f>CHOOSE('假设'!$B$3,H3804,I3804,J3804)</x:f>
        <x:v>3</x:v>
      </x:c>
      <x:c r="L3804" s="11" t="n">
        <x:f>K3804*'管线假设'!E823*'管线假设'!F823*'管线假设'!G823*IF(E3804="USD",'管线假设'!I823,1)-AM3804</x:f>
        <x:v>1.08486</x:v>
      </x:c>
      <x:c r="M3804" s="11" t="n">
        <x:f>'管线假设'!H823</x:f>
        <x:v>0.14</x:v>
      </x:c>
      <x:c r="N3804" s="11" t="n">
        <x:f>IF(G3804,L3804*AN3804/(1+M3804)^F3804,0)</x:f>
        <x:v>0.4941589779049074</x:v>
      </x:c>
      <x:c r="AJ3804" s="42" t="n">
        <x:v>0</x:v>
      </x:c>
      <x:c r="AK3804" s="42" t="n">
        <x:v>0</x:v>
      </x:c>
      <x:c r="AL3804" s="42" t="n">
        <x:v>0</x:v>
      </x:c>
      <x:c r="AM3804" t="n">
        <x:f>CHOOSE('假设'!$B$3,AJ3804,AK3804,AL3804)</x:f>
        <x:v>0</x:v>
      </x:c>
      <x:c r="AN3804" t="n">
        <x:v>1</x:v>
      </x:c>
    </x:row>
    <x:row r="3805" ht="23" customHeight="1">
      <x:c r="A3805" s="11" t="str">
        <x:v>02162.HK</x:v>
      </x:c>
      <x:c r="B3805" s="11" t="str">
        <x:v>2026年底</x:v>
      </x:c>
      <x:c r="C3805" s="11" t="str">
        <x:v>CMG901_2Lplus</x:v>
      </x:c>
      <x:c r="D3805" s="11" t="str">
        <x:v>2033-12-31</x:v>
      </x:c>
      <x:c r="E3805" s="11" t="str">
        <x:v>USD</x:v>
      </x:c>
      <x:c r="F3805" s="11" t="n">
        <x:v>7.000684462696783</x:v>
      </x:c>
      <x:c r="G3805" s="26" t="b">
        <x:v>1</x:v>
      </x:c>
      <x:c r="H3805" s="16" t="n">
        <x:v>1.5</x:v>
      </x:c>
      <x:c r="I3805" s="16" t="n">
        <x:v>3</x:v>
      </x:c>
      <x:c r="J3805" s="16" t="n">
        <x:v>4.5</x:v>
      </x:c>
      <x:c r="K3805" s="11" t="n">
        <x:f>CHOOSE('假设'!$B$3,H3805,I3805,J3805)</x:f>
        <x:v>3</x:v>
      </x:c>
      <x:c r="L3805" s="11" t="n">
        <x:f>K3805*'管线假设'!E823*'管线假设'!F823*'管线假设'!G823*IF(E3805="USD",'管线假设'!I823,1)-AM3805</x:f>
        <x:v>1.08486</x:v>
      </x:c>
      <x:c r="M3805" s="11" t="n">
        <x:f>'管线假设'!H823</x:f>
        <x:v>0.14</x:v>
      </x:c>
      <x:c r="N3805" s="11" t="n">
        <x:f>IF(G3805,L3805*AN3805/(1+M3805)^F3805,0)</x:f>
        <x:v>0.43351166493440446</x:v>
      </x:c>
      <x:c r="AJ3805" s="42" t="n">
        <x:v>0</x:v>
      </x:c>
      <x:c r="AK3805" s="42" t="n">
        <x:v>0</x:v>
      </x:c>
      <x:c r="AL3805" s="42" t="n">
        <x:v>0</x:v>
      </x:c>
      <x:c r="AM3805" t="n">
        <x:f>CHOOSE('假设'!$B$3,AJ3805,AK3805,AL3805)</x:f>
        <x:v>0</x:v>
      </x:c>
      <x:c r="AN3805" t="n">
        <x:v>1</x:v>
      </x:c>
    </x:row>
    <x:row r="3806" ht="23" customHeight="1">
      <x:c r="A3806" s="11" t="str">
        <x:v>02162.HK</x:v>
      </x:c>
      <x:c r="B3806" s="11" t="str">
        <x:v>2026年底</x:v>
      </x:c>
      <x:c r="C3806" s="11" t="str">
        <x:v>CMG901_2Lplus</x:v>
      </x:c>
      <x:c r="D3806" s="11" t="str">
        <x:v>2034-12-31</x:v>
      </x:c>
      <x:c r="E3806" s="11" t="str">
        <x:v>USD</x:v>
      </x:c>
      <x:c r="F3806" s="11" t="n">
        <x:v>8</x:v>
      </x:c>
      <x:c r="G3806" s="26" t="b">
        <x:v>1</x:v>
      </x:c>
      <x:c r="H3806" s="16" t="n">
        <x:v>1.5</x:v>
      </x:c>
      <x:c r="I3806" s="16" t="n">
        <x:v>2.8499999999999996</x:v>
      </x:c>
      <x:c r="J3806" s="16" t="n">
        <x:v>4.2749999999999995</x:v>
      </x:c>
      <x:c r="K3806" s="11" t="n">
        <x:f>CHOOSE('假设'!$B$3,H3806,I3806,J3806)</x:f>
        <x:v>2.8499999999999996</x:v>
      </x:c>
      <x:c r="L3806" s="11" t="n">
        <x:f>K3806*'管线假设'!E823*'管线假设'!F823*'管线假设'!G823*IF(E3806="USD",'管线假设'!I823,1)-AM3806</x:f>
        <x:v>1.0306169999999997</x:v>
      </x:c>
      <x:c r="M3806" s="11" t="n">
        <x:f>'管线假设'!H823</x:f>
        <x:v>0.14</x:v>
      </x:c>
      <x:c r="N3806" s="11" t="n">
        <x:f>IF(G3806,L3806*AN3806/(1+M3806)^F3806,0)</x:f>
        <x:v>0.3612921214331261</x:v>
      </x:c>
      <x:c r="AJ3806" s="42" t="n">
        <x:v>0</x:v>
      </x:c>
      <x:c r="AK3806" s="42" t="n">
        <x:v>0</x:v>
      </x:c>
      <x:c r="AL3806" s="42" t="n">
        <x:v>0</x:v>
      </x:c>
      <x:c r="AM3806" t="n">
        <x:f>CHOOSE('假设'!$B$3,AJ3806,AK3806,AL3806)</x:f>
        <x:v>0</x:v>
      </x:c>
      <x:c r="AN3806" t="n">
        <x:v>1</x:v>
      </x:c>
    </x:row>
    <x:row r="3807" ht="23" customHeight="1">
      <x:c r="A3807" s="11" t="str">
        <x:v>02162.HK</x:v>
      </x:c>
      <x:c r="B3807" s="11" t="str">
        <x:v>2026年底</x:v>
      </x:c>
      <x:c r="C3807" s="11" t="str">
        <x:v>CMG901_2Lplus</x:v>
      </x:c>
      <x:c r="D3807" s="11" t="str">
        <x:v>2035-12-31</x:v>
      </x:c>
      <x:c r="E3807" s="11" t="str">
        <x:v>USD</x:v>
      </x:c>
      <x:c r="F3807" s="11" t="n">
        <x:v>8.999315537303216</x:v>
      </x:c>
      <x:c r="G3807" s="26" t="b">
        <x:v>1</x:v>
      </x:c>
      <x:c r="H3807" s="16" t="n">
        <x:v>1.4249999999999998</x:v>
      </x:c>
      <x:c r="I3807" s="16" t="n">
        <x:v>2.7</x:v>
      </x:c>
      <x:c r="J3807" s="16" t="n">
        <x:v>4.05</x:v>
      </x:c>
      <x:c r="K3807" s="11" t="n">
        <x:f>CHOOSE('假设'!$B$3,H3807,I3807,J3807)</x:f>
        <x:v>2.7</x:v>
      </x:c>
      <x:c r="L3807" s="11" t="n">
        <x:f>K3807*'管线假设'!E823*'管线假设'!F823*'管线假设'!G823*IF(E3807="USD",'管线假设'!I823,1)-AM3807</x:f>
        <x:v>0.976374</x:v>
      </x:c>
      <x:c r="M3807" s="11" t="n">
        <x:f>'管线假设'!H823</x:f>
        <x:v>0.14</x:v>
      </x:c>
      <x:c r="N3807" s="11" t="n">
        <x:f>IF(G3807,L3807*AN3807/(1+M3807)^F3807,0)</x:f>
        <x:v>0.30026968836027534</x:v>
      </x:c>
      <x:c r="AJ3807" s="42" t="n">
        <x:v>0</x:v>
      </x:c>
      <x:c r="AK3807" s="42" t="n">
        <x:v>0</x:v>
      </x:c>
      <x:c r="AL3807" s="42" t="n">
        <x:v>0</x:v>
      </x:c>
      <x:c r="AM3807" t="n">
        <x:f>CHOOSE('假设'!$B$3,AJ3807,AK3807,AL3807)</x:f>
        <x:v>0</x:v>
      </x:c>
      <x:c r="AN3807" t="n">
        <x:v>1</x:v>
      </x:c>
    </x:row>
    <x:row r="3808" ht="23" customHeight="1">
      <x:c r="A3808" s="11" t="str">
        <x:v>02162.HK</x:v>
      </x:c>
      <x:c r="B3808" s="11" t="str">
        <x:v>2026年底</x:v>
      </x:c>
      <x:c r="C3808" s="11" t="str">
        <x:v>CMG901_2Lplus</x:v>
      </x:c>
      <x:c r="D3808" s="11" t="str">
        <x:v>2036-12-31</x:v>
      </x:c>
      <x:c r="E3808" s="11" t="str">
        <x:v>USD</x:v>
      </x:c>
      <x:c r="F3808" s="11" t="n">
        <x:v>10.001368925393566</x:v>
      </x:c>
      <x:c r="G3808" s="26" t="b">
        <x:v>1</x:v>
      </x:c>
      <x:c r="H3808" s="16" t="n">
        <x:v>1.35</x:v>
      </x:c>
      <x:c r="I3808" s="16" t="n">
        <x:v>2.4000000000000004</x:v>
      </x:c>
      <x:c r="J3808" s="16" t="n">
        <x:v>3.6</x:v>
      </x:c>
      <x:c r="K3808" s="11" t="n">
        <x:f>CHOOSE('假设'!$B$3,H3808,I3808,J3808)</x:f>
        <x:v>2.4000000000000004</x:v>
      </x:c>
      <x:c r="L3808" s="11" t="n">
        <x:f>K3808*'管线假设'!E823*'管线假设'!F823*'管线假设'!G823*IF(E3808="USD",'管线假设'!I823,1)-AM3808</x:f>
        <x:v>0.867888</x:v>
      </x:c>
      <x:c r="M3808" s="11" t="n">
        <x:f>'管线假设'!H823</x:f>
        <x:v>0.14</x:v>
      </x:c>
      <x:c r="N3808" s="11" t="n">
        <x:f>IF(G3808,L3808*AN3808/(1+M3808)^F3808,0)</x:f>
        <x:v>0.23406542776232558</x:v>
      </x:c>
      <x:c r="AJ3808" s="42" t="n">
        <x:v>0</x:v>
      </x:c>
      <x:c r="AK3808" s="42" t="n">
        <x:v>0</x:v>
      </x:c>
      <x:c r="AL3808" s="42" t="n">
        <x:v>0</x:v>
      </x:c>
      <x:c r="AM3808" t="n">
        <x:f>CHOOSE('假设'!$B$3,AJ3808,AK3808,AL3808)</x:f>
        <x:v>0</x:v>
      </x:c>
      <x:c r="AN3808" t="n">
        <x:v>1</x:v>
      </x:c>
    </x:row>
    <x:row r="3809" ht="23" customHeight="1">
      <x:c r="A3809" s="11" t="str">
        <x:v>02162.HK</x:v>
      </x:c>
      <x:c r="B3809" s="11" t="str">
        <x:v>2026年底</x:v>
      </x:c>
      <x:c r="C3809" s="11" t="str">
        <x:v>CMG901_2Lplus</x:v>
      </x:c>
      <x:c r="D3809" s="11" t="str">
        <x:v>2037-12-31</x:v>
      </x:c>
      <x:c r="E3809" s="11" t="str">
        <x:v>USD</x:v>
      </x:c>
      <x:c r="F3809" s="11" t="n">
        <x:v>11.000684462696784</x:v>
      </x:c>
      <x:c r="G3809" s="26" t="b">
        <x:v>1</x:v>
      </x:c>
      <x:c r="H3809" s="16" t="n">
        <x:v>1.2000000000000002</x:v>
      </x:c>
      <x:c r="I3809" s="16" t="n">
        <x:v>1.9500000000000002</x:v>
      </x:c>
      <x:c r="J3809" s="16" t="n">
        <x:v>2.9250000000000003</x:v>
      </x:c>
      <x:c r="K3809" s="11" t="n">
        <x:f>CHOOSE('假设'!$B$3,H3809,I3809,J3809)</x:f>
        <x:v>1.9500000000000002</x:v>
      </x:c>
      <x:c r="L3809" s="11" t="n">
        <x:f>K3809*'管线假设'!E823*'管线假设'!F823*'管线假设'!G823*IF(E3809="USD",'管线假设'!I823,1)-AM3809</x:f>
        <x:v>0.7051589999999999</x:v>
      </x:c>
      <x:c r="M3809" s="11" t="n">
        <x:f>'管线假设'!H823</x:f>
        <x:v>0.14</x:v>
      </x:c>
      <x:c r="N3809" s="11" t="n">
        <x:f>IF(G3809,L3809*AN3809/(1+M3809)^F3809,0)</x:f>
        <x:v>0.1668379094314236</x:v>
      </x:c>
      <x:c r="AJ3809" s="42" t="n">
        <x:v>0</x:v>
      </x:c>
      <x:c r="AK3809" s="42" t="n">
        <x:v>0</x:v>
      </x:c>
      <x:c r="AL3809" s="42" t="n">
        <x:v>0</x:v>
      </x:c>
      <x:c r="AM3809" t="n">
        <x:f>CHOOSE('假设'!$B$3,AJ3809,AK3809,AL3809)</x:f>
        <x:v>0</x:v>
      </x:c>
      <x:c r="AN3809" t="n">
        <x:v>1</x:v>
      </x:c>
    </x:row>
    <x:row r="3810" ht="23" customHeight="1">
      <x:c r="A3810" s="11" t="str">
        <x:v>02162.HK</x:v>
      </x:c>
      <x:c r="B3810" s="11" t="str">
        <x:v>2026年底</x:v>
      </x:c>
      <x:c r="C3810" s="11" t="str">
        <x:v>CMG901_2Lplus</x:v>
      </x:c>
      <x:c r="D3810" s="11" t="str">
        <x:v>2038-12-31</x:v>
      </x:c>
      <x:c r="E3810" s="11" t="str">
        <x:v>USD</x:v>
      </x:c>
      <x:c r="F3810" s="11" t="n">
        <x:v>12</x:v>
      </x:c>
      <x:c r="G3810" s="26" t="b">
        <x:v>1</x:v>
      </x:c>
      <x:c r="H3810" s="16" t="n">
        <x:v>0.9750000000000001</x:v>
      </x:c>
      <x:c r="I3810" s="16" t="n">
        <x:v>1.5</x:v>
      </x:c>
      <x:c r="J3810" s="16" t="n">
        <x:v>2.25</x:v>
      </x:c>
      <x:c r="K3810" s="11" t="n">
        <x:f>CHOOSE('假设'!$B$3,H3810,I3810,J3810)</x:f>
        <x:v>1.5</x:v>
      </x:c>
      <x:c r="L3810" s="11" t="n">
        <x:f>K3810*'管线假设'!E823*'管线假设'!F823*'管线假设'!G823*IF(E3810="USD",'管线假设'!I823,1)-AM3810</x:f>
        <x:v>0.54243</x:v>
      </x:c>
      <x:c r="M3810" s="11" t="n">
        <x:f>'管线假设'!H823</x:f>
        <x:v>0.14</x:v>
      </x:c>
      <x:c r="N3810" s="11" t="n">
        <x:f>IF(G3810,L3810*AN3810/(1+M3810)^F3810,0)</x:f>
        <x:v>0.11258628393146818</x:v>
      </x:c>
      <x:c r="AJ3810" s="42" t="n">
        <x:v>0</x:v>
      </x:c>
      <x:c r="AK3810" s="42" t="n">
        <x:v>0</x:v>
      </x:c>
      <x:c r="AL3810" s="42" t="n">
        <x:v>0</x:v>
      </x:c>
      <x:c r="AM3810" t="n">
        <x:f>CHOOSE('假设'!$B$3,AJ3810,AK3810,AL3810)</x:f>
        <x:v>0</x:v>
      </x:c>
      <x:c r="AN3810" t="n">
        <x:v>1</x:v>
      </x:c>
    </x:row>
    <x:row r="3811" ht="23" customHeight="1">
      <x:c r="A3811" s="11" t="str">
        <x:v>02162.HK</x:v>
      </x:c>
      <x:c r="B3811" s="11" t="str">
        <x:v>2026年底</x:v>
      </x:c>
      <x:c r="C3811" s="11" t="str">
        <x:v>CMG901_2Lplus</x:v>
      </x:c>
      <x:c r="D3811" s="11" t="str">
        <x:v>2039-12-31</x:v>
      </x:c>
      <x:c r="E3811" s="11" t="str">
        <x:v>USD</x:v>
      </x:c>
      <x:c r="F3811" s="11" t="n">
        <x:v>12.999315537303216</x:v>
      </x:c>
      <x:c r="G3811" s="26" t="b">
        <x:v>1</x:v>
      </x:c>
      <x:c r="H3811" s="16" t="n">
        <x:v>0.75</x:v>
      </x:c>
      <x:c r="I3811" s="16" t="n">
        <x:v>1.0499999999999998</x:v>
      </x:c>
      <x:c r="J3811" s="16" t="n">
        <x:v>1.575</x:v>
      </x:c>
      <x:c r="K3811" s="11" t="n">
        <x:f>CHOOSE('假设'!$B$3,H3811,I3811,J3811)</x:f>
        <x:v>1.0499999999999998</x:v>
      </x:c>
      <x:c r="L3811" s="11" t="n">
        <x:f>K3811*'管线假设'!E823*'管线假设'!F823*'管线假设'!G823*IF(E3811="USD",'管线假设'!I823,1)-AM3811</x:f>
        <x:v>0.37970099999999984</x:v>
      </x:c>
      <x:c r="M3811" s="11" t="n">
        <x:f>'管线假设'!H823</x:f>
        <x:v>0.14</x:v>
      </x:c>
      <x:c r="N3811" s="11" t="n">
        <x:f>IF(G3811,L3811*AN3811/(1+M3811)^F3811,0)</x:f>
        <x:v>0.06913812903286026</x:v>
      </x:c>
      <x:c r="AJ3811" s="42" t="n">
        <x:v>0</x:v>
      </x:c>
      <x:c r="AK3811" s="42" t="n">
        <x:v>0</x:v>
      </x:c>
      <x:c r="AL3811" s="42" t="n">
        <x:v>0</x:v>
      </x:c>
      <x:c r="AM3811" t="n">
        <x:f>CHOOSE('假设'!$B$3,AJ3811,AK3811,AL3811)</x:f>
        <x:v>0</x:v>
      </x:c>
      <x:c r="AN3811" t="n">
        <x:v>1</x:v>
      </x:c>
    </x:row>
    <x:row r="3812" ht="23" customHeight="1">
      <x:c r="A3812" s="11" t="str">
        <x:v>02162.HK</x:v>
      </x:c>
      <x:c r="B3812" s="11" t="str">
        <x:v>2026年底</x:v>
      </x:c>
      <x:c r="C3812" s="11" t="str">
        <x:v>CMG901_2Lplus</x:v>
      </x:c>
      <x:c r="D3812" s="11" t="str">
        <x:v>2040-12-31</x:v>
      </x:c>
      <x:c r="E3812" s="11" t="str">
        <x:v>USD</x:v>
      </x:c>
      <x:c r="F3812" s="11" t="n">
        <x:v>14.001368925393566</x:v>
      </x:c>
      <x:c r="G3812" s="26" t="b">
        <x:v>1</x:v>
      </x:c>
      <x:c r="H3812" s="16" t="n">
        <x:v>0.5249999999999999</x:v>
      </x:c>
      <x:c r="I3812" s="16" t="n">
        <x:v>0.6000000000000001</x:v>
      </x:c>
      <x:c r="J3812" s="16" t="n">
        <x:v>0.9</x:v>
      </x:c>
      <x:c r="K3812" s="11" t="n">
        <x:f>CHOOSE('假设'!$B$3,H3812,I3812,J3812)</x:f>
        <x:v>0.6000000000000001</x:v>
      </x:c>
      <x:c r="L3812" s="11" t="n">
        <x:f>K3812*'管线假设'!E823*'管线假设'!F823*'管线假设'!G823*IF(E3812="USD",'管线假设'!I823,1)-AM3812</x:f>
        <x:v>0.216972</x:v>
      </x:c>
      <x:c r="M3812" s="11" t="n">
        <x:f>'管线假设'!H823</x:f>
        <x:v>0.14</x:v>
      </x:c>
      <x:c r="N3812" s="11" t="n">
        <x:f>IF(G3812,L3812*AN3812/(1+M3812)^F3812,0)</x:f>
        <x:v>0.03464638084807244</x:v>
      </x:c>
      <x:c r="AJ3812" s="42" t="n">
        <x:v>0</x:v>
      </x:c>
      <x:c r="AK3812" s="42" t="n">
        <x:v>0</x:v>
      </x:c>
      <x:c r="AL3812" s="42" t="n">
        <x:v>0</x:v>
      </x:c>
      <x:c r="AM3812" t="n">
        <x:f>CHOOSE('假设'!$B$3,AJ3812,AK3812,AL3812)</x:f>
        <x:v>0</x:v>
      </x:c>
      <x:c r="AN3812" t="n">
        <x:v>1</x:v>
      </x:c>
    </x:row>
    <x:row r="3813" ht="23" customHeight="1">
      <x:c r="A3813" s="11" t="str">
        <x:v>02162.HK</x:v>
      </x:c>
      <x:c r="B3813" s="11" t="str">
        <x:v>2026年底</x:v>
      </x:c>
      <x:c r="C3813" s="11" t="str">
        <x:v>CMG901_2Lplus</x:v>
      </x:c>
      <x:c r="D3813" s="11" t="str">
        <x:v>2041-12-31</x:v>
      </x:c>
      <x:c r="E3813" s="11" t="str">
        <x:v>USD</x:v>
      </x:c>
      <x:c r="F3813" s="11" t="n">
        <x:v>15.000684462696784</x:v>
      </x:c>
      <x:c r="G3813" s="26" t="b">
        <x:v>1</x:v>
      </x:c>
      <x:c r="H3813" s="16" t="n">
        <x:v>0.30000000000000004</x:v>
      </x:c>
      <x:c r="I3813" s="16" t="n">
        <x:v>0.36</x:v>
      </x:c>
      <x:c r="J3813" s="16" t="n">
        <x:v>0.54</x:v>
      </x:c>
      <x:c r="K3813" s="11" t="n">
        <x:f>CHOOSE('假设'!$B$3,H3813,I3813,J3813)</x:f>
        <x:v>0.36</x:v>
      </x:c>
      <x:c r="L3813" s="11" t="n">
        <x:f>K3813*'管线假设'!E823*'管线假设'!F823*'管线假设'!G823*IF(E3813="USD",'管线假设'!I823,1)-AM3813</x:f>
        <x:v>0.1301832</x:v>
      </x:c>
      <x:c r="M3813" s="11" t="n">
        <x:f>'管线假设'!H823</x:f>
        <x:v>0.14</x:v>
      </x:c>
      <x:c r="N3813" s="11" t="n">
        <x:f>IF(G3813,L3813*AN3813/(1+M3813)^F3813,0)</x:f>
        <x:v>0.018236572743142124</x:v>
      </x:c>
      <x:c r="AJ3813" s="42" t="n">
        <x:v>0</x:v>
      </x:c>
      <x:c r="AK3813" s="42" t="n">
        <x:v>0</x:v>
      </x:c>
      <x:c r="AL3813" s="42" t="n">
        <x:v>0</x:v>
      </x:c>
      <x:c r="AM3813" t="n">
        <x:f>CHOOSE('假设'!$B$3,AJ3813,AK3813,AL3813)</x:f>
        <x:v>0</x:v>
      </x:c>
      <x:c r="AN3813" t="n">
        <x:v>1</x:v>
      </x:c>
    </x:row>
    <x:row r="3814" ht="23" customHeight="1">
      <x:c r="A3814" s="11" t="str">
        <x:v>02162.HK</x:v>
      </x:c>
      <x:c r="B3814" s="11" t="str">
        <x:v>2026年底</x:v>
      </x:c>
      <x:c r="C3814" s="11" t="str">
        <x:v>CMG901_2Lplus</x:v>
      </x:c>
      <x:c r="D3814" s="11" t="str">
        <x:v>2042-12-31</x:v>
      </x:c>
      <x:c r="E3814" s="11" t="str">
        <x:v>USD</x:v>
      </x:c>
      <x:c r="F3814" s="11" t="n">
        <x:v>16</x:v>
      </x:c>
      <x:c r="G3814" s="26" t="b">
        <x:v>1</x:v>
      </x:c>
      <x:c r="H3814" s="16" t="n">
        <x:v>0.18</x:v>
      </x:c>
      <x:c r="I3814" s="16" t="n">
        <x:v>0.21000000000000002</x:v>
      </x:c>
      <x:c r="J3814" s="16" t="n">
        <x:v>0.31500000000000006</x:v>
      </x:c>
      <x:c r="K3814" s="11" t="n">
        <x:f>CHOOSE('假设'!$B$3,H3814,I3814,J3814)</x:f>
        <x:v>0.21000000000000002</x:v>
      </x:c>
      <x:c r="L3814" s="11" t="n">
        <x:f>K3814*'管线假设'!E823*'管线假设'!F823*'管线假设'!G823*IF(E3814="USD",'管线假设'!I823,1)-AM3814</x:f>
        <x:v>0.0759402</x:v>
      </x:c>
      <x:c r="M3814" s="11" t="n">
        <x:f>'管线假设'!H823</x:f>
        <x:v>0.14</x:v>
      </x:c>
      <x:c r="N3814" s="11" t="n">
        <x:f>IF(G3814,L3814*AN3814/(1+M3814)^F3814,0)</x:f>
        <x:v>0.009332416550551162</x:v>
      </x:c>
      <x:c r="AJ3814" s="42" t="n">
        <x:v>0</x:v>
      </x:c>
      <x:c r="AK3814" s="42" t="n">
        <x:v>0</x:v>
      </x:c>
      <x:c r="AL3814" s="42" t="n">
        <x:v>0</x:v>
      </x:c>
      <x:c r="AM3814" t="n">
        <x:f>CHOOSE('假设'!$B$3,AJ3814,AK3814,AL3814)</x:f>
        <x:v>0</x:v>
      </x:c>
      <x:c r="AN3814" t="n">
        <x:v>1</x:v>
      </x:c>
    </x:row>
    <x:row r="3815" ht="23" customHeight="1">
      <x:c r="A3815" s="11" t="str">
        <x:v>02162.HK</x:v>
      </x:c>
      <x:c r="B3815" s="11" t="str">
        <x:v>2026年底</x:v>
      </x:c>
      <x:c r="C3815" s="11" t="str">
        <x:v>CMG901_2Lplus</x:v>
      </x:c>
      <x:c r="D3815" s="11" t="str">
        <x:v>2043-12-31</x:v>
      </x:c>
      <x:c r="E3815" s="11" t="str">
        <x:v>USD</x:v>
      </x:c>
      <x:c r="F3815" s="11" t="n">
        <x:v>16.999315537303218</x:v>
      </x:c>
      <x:c r="G3815" s="26" t="b">
        <x:v>1</x:v>
      </x:c>
      <x:c r="H3815" s="16" t="n">
        <x:v>0.10500000000000001</x:v>
      </x:c>
      <x:c r="I3815" s="16" t="n">
        <x:v>0.09</x:v>
      </x:c>
      <x:c r="J3815" s="16" t="n">
        <x:v>0.135</x:v>
      </x:c>
      <x:c r="K3815" s="11" t="n">
        <x:f>CHOOSE('假设'!$B$3,H3815,I3815,J3815)</x:f>
        <x:v>0.09</x:v>
      </x:c>
      <x:c r="L3815" s="11" t="n">
        <x:f>K3815*'管线假设'!E823*'管线假设'!F823*'管线假设'!G823*IF(E3815="USD",'管线假设'!I823,1)-AM3815</x:f>
        <x:v>0.0325458</x:v>
      </x:c>
      <x:c r="M3815" s="11" t="n">
        <x:f>'管线假设'!H823</x:f>
        <x:v>0.14</x:v>
      </x:c>
      <x:c r="N3815" s="11" t="n">
        <x:f>IF(G3815,L3815*AN3815/(1+M3815)^F3815,0)</x:f>
        <x:v>0.0035087419383970165</x:v>
      </x:c>
      <x:c r="AJ3815" s="42" t="n">
        <x:v>0</x:v>
      </x:c>
      <x:c r="AK3815" s="42" t="n">
        <x:v>0</x:v>
      </x:c>
      <x:c r="AL3815" s="42" t="n">
        <x:v>0</x:v>
      </x:c>
      <x:c r="AM3815" t="n">
        <x:f>CHOOSE('假设'!$B$3,AJ3815,AK3815,AL3815)</x:f>
        <x:v>0</x:v>
      </x:c>
      <x:c r="AN3815" t="n">
        <x:v>1</x:v>
      </x:c>
    </x:row>
    <x:row r="3816" ht="23" customHeight="1">
      <x:c r="A3816" s="11" t="str">
        <x:v>02162.HK</x:v>
      </x:c>
      <x:c r="B3816" s="11" t="str">
        <x:v>2026年底</x:v>
      </x:c>
      <x:c r="C3816" s="11" t="str">
        <x:v>CMG901_2Lplus</x:v>
      </x:c>
      <x:c r="D3816" s="11" t="str">
        <x:v>2044-12-31</x:v>
      </x:c>
      <x:c r="E3816" s="11" t="str">
        <x:v>USD</x:v>
      </x:c>
      <x:c r="F3816" s="11" t="n">
        <x:v>18.001368925393567</x:v>
      </x:c>
      <x:c r="G3816" s="26" t="b">
        <x:v>1</x:v>
      </x:c>
      <x:c r="H3816" s="16" t="n">
        <x:v>0.045</x:v>
      </x:c>
      <x:c r="I3816" s="16" t="n">
        <x:v>0.09</x:v>
      </x:c>
      <x:c r="J3816" s="16" t="n">
        <x:v>0.135</x:v>
      </x:c>
      <x:c r="K3816" s="11" t="n">
        <x:f>CHOOSE('假设'!$B$3,H3816,I3816,J3816)</x:f>
        <x:v>0.09</x:v>
      </x:c>
      <x:c r="L3816" s="11" t="n">
        <x:f>K3816*'管线假设'!E823*'管线假设'!F823*'管线假设'!G823*IF(E3816="USD",'管线假设'!I823,1)-AM3816</x:f>
        <x:v>0.0325458</x:v>
      </x:c>
      <x:c r="M3816" s="11" t="n">
        <x:f>'管线假设'!H823</x:f>
        <x:v>0.14</x:v>
      </x:c>
      <x:c r="N3816" s="11" t="n">
        <x:f>IF(G3816,L3816*AN3816/(1+M3816)^F3816,0)</x:f>
        <x:v>0.0030770158173599924</x:v>
      </x:c>
      <x:c r="AJ3816" s="42" t="n">
        <x:v>0</x:v>
      </x:c>
      <x:c r="AK3816" s="42" t="n">
        <x:v>0</x:v>
      </x:c>
      <x:c r="AL3816" s="42" t="n">
        <x:v>0</x:v>
      </x:c>
      <x:c r="AM3816" t="n">
        <x:f>CHOOSE('假设'!$B$3,AJ3816,AK3816,AL3816)</x:f>
        <x:v>0</x:v>
      </x:c>
      <x:c r="AN3816" t="n">
        <x:v>1</x:v>
      </x:c>
    </x:row>
    <x:row r="3817" ht="23" customHeight="1">
      <x:c r="A3817" s="11" t="str">
        <x:v>02162.HK</x:v>
      </x:c>
      <x:c r="B3817" s="11" t="str">
        <x:v>2026年底</x:v>
      </x:c>
      <x:c r="C3817" s="11" t="str">
        <x:v>CMG901_expansion</x:v>
      </x:c>
      <x:c r="D3817" s="11" t="str">
        <x:v>2026-12-31</x:v>
      </x:c>
      <x:c r="E3817" s="11" t="str">
        <x:v>USD</x:v>
      </x:c>
      <x:c r="F3817" s="11" t="n">
        <x:v>0</x:v>
      </x:c>
      <x:c r="G3817" s="26" t="b">
        <x:v>0</x:v>
      </x:c>
      <x:c r="H3817" s="16" t="n">
        <x:v>0</x:v>
      </x:c>
      <x:c r="I3817" s="16" t="n">
        <x:v>0</x:v>
      </x:c>
      <x:c r="J3817" s="16" t="n">
        <x:v>0</x:v>
      </x:c>
      <x:c r="K3817" s="11" t="n">
        <x:f>CHOOSE('假设'!$B$3,H3817,I3817,J3817)</x:f>
        <x:v>0</x:v>
      </x:c>
      <x:c r="L3817" s="11" t="n">
        <x:f>K3817*'管线假设'!E827*'管线假设'!F827*'管线假设'!G827*IF(E3817="USD",'管线假设'!I827,1)-AM3817</x:f>
        <x:v>-0.042</x:v>
      </x:c>
      <x:c r="M3817" s="11" t="n">
        <x:f>'管线假设'!H827</x:f>
        <x:v>0.14</x:v>
      </x:c>
      <x:c r="N3817" s="11" t="n">
        <x:f>IF(G3817,L3817*AN3817/(1+M3817)^F3817,0)</x:f>
        <x:v>0</x:v>
      </x:c>
      <x:c r="AJ3817" s="42" t="n">
        <x:v>0.028</x:v>
      </x:c>
      <x:c r="AK3817" s="42" t="n">
        <x:v>0.042</x:v>
      </x:c>
      <x:c r="AL3817" s="42" t="n">
        <x:v>0.056</x:v>
      </x:c>
      <x:c r="AM3817" t="n">
        <x:f>CHOOSE('假设'!$B$3,AJ3817,AK3817,AL3817)</x:f>
        <x:v>0.042</x:v>
      </x:c>
      <x:c r="AN3817" t="n">
        <x:v>0</x:v>
      </x:c>
    </x:row>
    <x:row r="3818" ht="23" customHeight="1">
      <x:c r="A3818" s="11" t="str">
        <x:v>02162.HK</x:v>
      </x:c>
      <x:c r="B3818" s="11" t="str">
        <x:v>2026年底</x:v>
      </x:c>
      <x:c r="C3818" s="11" t="str">
        <x:v>CMG901_expansion</x:v>
      </x:c>
      <x:c r="D3818" s="11" t="str">
        <x:v>2027-12-31</x:v>
      </x:c>
      <x:c r="E3818" s="11" t="str">
        <x:v>USD</x:v>
      </x:c>
      <x:c r="F3818" s="11" t="n">
        <x:v>0.999315537303217</x:v>
      </x:c>
      <x:c r="G3818" s="26" t="b">
        <x:v>1</x:v>
      </x:c>
      <x:c r="H3818" s="16" t="n">
        <x:v>0</x:v>
      </x:c>
      <x:c r="I3818" s="16" t="n">
        <x:v>0</x:v>
      </x:c>
      <x:c r="J3818" s="16" t="n">
        <x:v>0</x:v>
      </x:c>
      <x:c r="K3818" s="11" t="n">
        <x:f>CHOOSE('假设'!$B$3,H3818,I3818,J3818)</x:f>
        <x:v>0</x:v>
      </x:c>
      <x:c r="L3818" s="11" t="n">
        <x:f>K3818*'管线假设'!E827*'管线假设'!F827*'管线假设'!G827*IF(E3818="USD",'管线假设'!I827,1)-AM3818</x:f>
        <x:v>-0.042</x:v>
      </x:c>
      <x:c r="M3818" s="11" t="n">
        <x:f>'管线假设'!H827</x:f>
        <x:v>0.14</x:v>
      </x:c>
      <x:c r="N3818" s="11" t="n">
        <x:f>IF(G3818,L3818*AN3818/(1+M3818)^F3818,0)</x:f>
        <x:v>-0.036845409557141974</x:v>
      </x:c>
      <x:c r="AJ3818" s="42" t="n">
        <x:v>0.028</x:v>
      </x:c>
      <x:c r="AK3818" s="42" t="n">
        <x:v>0.042</x:v>
      </x:c>
      <x:c r="AL3818" s="42" t="n">
        <x:v>0.056</x:v>
      </x:c>
      <x:c r="AM3818" t="n">
        <x:f>CHOOSE('假设'!$B$3,AJ3818,AK3818,AL3818)</x:f>
        <x:v>0.042</x:v>
      </x:c>
      <x:c r="AN3818" t="n">
        <x:v>1</x:v>
      </x:c>
    </x:row>
    <x:row r="3819" ht="23" customHeight="1">
      <x:c r="A3819" s="11" t="str">
        <x:v>02162.HK</x:v>
      </x:c>
      <x:c r="B3819" s="11" t="str">
        <x:v>2026年底</x:v>
      </x:c>
      <x:c r="C3819" s="11" t="str">
        <x:v>CMG901_expansion</x:v>
      </x:c>
      <x:c r="D3819" s="11" t="str">
        <x:v>2028-12-31</x:v>
      </x:c>
      <x:c r="E3819" s="11" t="str">
        <x:v>USD</x:v>
      </x:c>
      <x:c r="F3819" s="11" t="n">
        <x:v>2.001368925393566</x:v>
      </x:c>
      <x:c r="G3819" s="26" t="b">
        <x:v>1</x:v>
      </x:c>
      <x:c r="H3819" s="16" t="n">
        <x:v>0</x:v>
      </x:c>
      <x:c r="I3819" s="16" t="n">
        <x:v>0</x:v>
      </x:c>
      <x:c r="J3819" s="16" t="n">
        <x:v>0</x:v>
      </x:c>
      <x:c r="K3819" s="11" t="n">
        <x:f>CHOOSE('假设'!$B$3,H3819,I3819,J3819)</x:f>
        <x:v>0</x:v>
      </x:c>
      <x:c r="L3819" s="11" t="n">
        <x:f>K3819*'管线假设'!E827*'管线假设'!F827*'管线假设'!G827*IF(E3819="USD",'管线假设'!I827,1)-AM3819</x:f>
        <x:v>0</x:v>
      </x:c>
      <x:c r="M3819" s="11" t="n">
        <x:f>'管线假设'!H827</x:f>
        <x:v>0.14</x:v>
      </x:c>
      <x:c r="N3819" s="11" t="n">
        <x:f>IF(G3819,L3819*AN3819/(1+M3819)^F3819,0)</x:f>
        <x:v>0</x:v>
      </x:c>
      <x:c r="AJ3819" s="42" t="n">
        <x:v>0</x:v>
      </x:c>
      <x:c r="AK3819" s="42" t="n">
        <x:v>0</x:v>
      </x:c>
      <x:c r="AL3819" s="42" t="n">
        <x:v>0</x:v>
      </x:c>
      <x:c r="AM3819" t="n">
        <x:f>CHOOSE('假设'!$B$3,AJ3819,AK3819,AL3819)</x:f>
        <x:v>0</x:v>
      </x:c>
      <x:c r="AN3819" t="n">
        <x:v>1</x:v>
      </x:c>
    </x:row>
    <x:row r="3820" ht="23" customHeight="1">
      <x:c r="A3820" s="11" t="str">
        <x:v>02162.HK</x:v>
      </x:c>
      <x:c r="B3820" s="11" t="str">
        <x:v>2026年底</x:v>
      </x:c>
      <x:c r="C3820" s="11" t="str">
        <x:v>CMG901_expansion</x:v>
      </x:c>
      <x:c r="D3820" s="11" t="str">
        <x:v>2029-12-31</x:v>
      </x:c>
      <x:c r="E3820" s="11" t="str">
        <x:v>USD</x:v>
      </x:c>
      <x:c r="F3820" s="11" t="n">
        <x:v>3.0006844626967832</x:v>
      </x:c>
      <x:c r="G3820" s="26" t="b">
        <x:v>1</x:v>
      </x:c>
      <x:c r="H3820" s="16" t="n">
        <x:v>0</x:v>
      </x:c>
      <x:c r="I3820" s="16" t="n">
        <x:v>0</x:v>
      </x:c>
      <x:c r="J3820" s="16" t="n">
        <x:v>0.3</x:v>
      </x:c>
      <x:c r="K3820" s="11" t="n">
        <x:f>CHOOSE('假设'!$B$3,H3820,I3820,J3820)</x:f>
        <x:v>0</x:v>
      </x:c>
      <x:c r="L3820" s="11" t="n">
        <x:f>K3820*'管线假设'!E827*'管线假设'!F827*'管线假设'!G827*IF(E3820="USD",'管线假设'!I827,1)-AM3820</x:f>
        <x:v>0</x:v>
      </x:c>
      <x:c r="M3820" s="11" t="n">
        <x:f>'管线假设'!H827</x:f>
        <x:v>0.14</x:v>
      </x:c>
      <x:c r="N3820" s="11" t="n">
        <x:f>IF(G3820,L3820*AN3820/(1+M3820)^F3820,0)</x:f>
        <x:v>0</x:v>
      </x:c>
      <x:c r="AJ3820" s="42" t="n">
        <x:v>0</x:v>
      </x:c>
      <x:c r="AK3820" s="42" t="n">
        <x:v>0</x:v>
      </x:c>
      <x:c r="AL3820" s="42" t="n">
        <x:v>0</x:v>
      </x:c>
      <x:c r="AM3820" t="n">
        <x:f>CHOOSE('假设'!$B$3,AJ3820,AK3820,AL3820)</x:f>
        <x:v>0</x:v>
      </x:c>
      <x:c r="AN3820" t="n">
        <x:v>1</x:v>
      </x:c>
    </x:row>
    <x:row r="3821" ht="23" customHeight="1">
      <x:c r="A3821" s="11" t="str">
        <x:v>02162.HK</x:v>
      </x:c>
      <x:c r="B3821" s="11" t="str">
        <x:v>2026年底</x:v>
      </x:c>
      <x:c r="C3821" s="11" t="str">
        <x:v>CMG901_expansion</x:v>
      </x:c>
      <x:c r="D3821" s="11" t="str">
        <x:v>2030-12-31</x:v>
      </x:c>
      <x:c r="E3821" s="11" t="str">
        <x:v>USD</x:v>
      </x:c>
      <x:c r="F3821" s="11" t="n">
        <x:v>4</x:v>
      </x:c>
      <x:c r="G3821" s="26" t="b">
        <x:v>1</x:v>
      </x:c>
      <x:c r="H3821" s="16" t="n">
        <x:v>0</x:v>
      </x:c>
      <x:c r="I3821" s="16" t="n">
        <x:v>0.15</x:v>
      </x:c>
      <x:c r="J3821" s="16" t="n">
        <x:v>0.8999999999999999</x:v>
      </x:c>
      <x:c r="K3821" s="11" t="n">
        <x:f>CHOOSE('假设'!$B$3,H3821,I3821,J3821)</x:f>
        <x:v>0.15</x:v>
      </x:c>
      <x:c r="L3821" s="11" t="n">
        <x:f>K3821*'管线假设'!E827*'管线假设'!F827*'管线假设'!G827*IF(E3821="USD",'管线假设'!I827,1)-AM3821</x:f>
        <x:v>0.02531339999999999</x:v>
      </x:c>
      <x:c r="M3821" s="11" t="n">
        <x:f>'管线假设'!H827</x:f>
        <x:v>0.14</x:v>
      </x:c>
      <x:c r="N3821" s="11" t="n">
        <x:f>IF(G3821,L3821*AN3821/(1+M3821)^F3821,0)</x:f>
        <x:v>0.014987564893182547</x:v>
      </x:c>
      <x:c r="AJ3821" s="42" t="n">
        <x:v>0</x:v>
      </x:c>
      <x:c r="AK3821" s="42" t="n">
        <x:v>0</x:v>
      </x:c>
      <x:c r="AL3821" s="42" t="n">
        <x:v>0</x:v>
      </x:c>
      <x:c r="AM3821" t="n">
        <x:f>CHOOSE('假设'!$B$3,AJ3821,AK3821,AL3821)</x:f>
        <x:v>0</x:v>
      </x:c>
      <x:c r="AN3821" t="n">
        <x:v>1</x:v>
      </x:c>
    </x:row>
    <x:row r="3822" ht="23" customHeight="1">
      <x:c r="A3822" s="11" t="str">
        <x:v>02162.HK</x:v>
      </x:c>
      <x:c r="B3822" s="11" t="str">
        <x:v>2026年底</x:v>
      </x:c>
      <x:c r="C3822" s="11" t="str">
        <x:v>CMG901_expansion</x:v>
      </x:c>
      <x:c r="D3822" s="11" t="str">
        <x:v>2031-12-31</x:v>
      </x:c>
      <x:c r="E3822" s="11" t="str">
        <x:v>USD</x:v>
      </x:c>
      <x:c r="F3822" s="11" t="n">
        <x:v>4.999315537303217</x:v>
      </x:c>
      <x:c r="G3822" s="26" t="b">
        <x:v>1</x:v>
      </x:c>
      <x:c r="H3822" s="16" t="n">
        <x:v>0</x:v>
      </x:c>
      <x:c r="I3822" s="16" t="n">
        <x:v>0.44999999999999996</x:v>
      </x:c>
      <x:c r="J3822" s="16" t="n">
        <x:v>1.9</x:v>
      </x:c>
      <x:c r="K3822" s="11" t="n">
        <x:f>CHOOSE('假设'!$B$3,H3822,I3822,J3822)</x:f>
        <x:v>0.44999999999999996</x:v>
      </x:c>
      <x:c r="L3822" s="11" t="n">
        <x:f>K3822*'管线假设'!E827*'管线假设'!F827*'管线假设'!G827*IF(E3822="USD",'管线假设'!I827,1)-AM3822</x:f>
        <x:v>0.07594019999999997</x:v>
      </x:c>
      <x:c r="M3822" s="11" t="n">
        <x:f>'管线假设'!H827</x:f>
        <x:v>0.14</x:v>
      </x:c>
      <x:c r="N3822" s="11" t="n">
        <x:f>IF(G3822,L3822*AN3822/(1+M3822)^F3822,0)</x:f>
        <x:v>0.03944449762525384</x:v>
      </x:c>
      <x:c r="AJ3822" s="42" t="n">
        <x:v>0</x:v>
      </x:c>
      <x:c r="AK3822" s="42" t="n">
        <x:v>0</x:v>
      </x:c>
      <x:c r="AL3822" s="42" t="n">
        <x:v>0</x:v>
      </x:c>
      <x:c r="AM3822" t="n">
        <x:f>CHOOSE('假设'!$B$3,AJ3822,AK3822,AL3822)</x:f>
        <x:v>0</x:v>
      </x:c>
      <x:c r="AN3822" t="n">
        <x:v>1</x:v>
      </x:c>
    </x:row>
    <x:row r="3823" ht="23" customHeight="1">
      <x:c r="A3823" s="11" t="str">
        <x:v>02162.HK</x:v>
      </x:c>
      <x:c r="B3823" s="11" t="str">
        <x:v>2026年底</x:v>
      </x:c>
      <x:c r="C3823" s="11" t="str">
        <x:v>CMG901_expansion</x:v>
      </x:c>
      <x:c r="D3823" s="11" t="str">
        <x:v>2032-12-31</x:v>
      </x:c>
      <x:c r="E3823" s="11" t="str">
        <x:v>USD</x:v>
      </x:c>
      <x:c r="F3823" s="11" t="n">
        <x:v>6.0013689253935665</x:v>
      </x:c>
      <x:c r="G3823" s="26" t="b">
        <x:v>1</x:v>
      </x:c>
      <x:c r="H3823" s="16" t="n">
        <x:v>0.048</x:v>
      </x:c>
      <x:c r="I3823" s="16" t="n">
        <x:v>0.95</x:v>
      </x:c>
      <x:c r="J3823" s="16" t="n">
        <x:v>3.25</x:v>
      </x:c>
      <x:c r="K3823" s="11" t="n">
        <x:f>CHOOSE('假设'!$B$3,H3823,I3823,J3823)</x:f>
        <x:v>0.95</x:v>
      </x:c>
      <x:c r="L3823" s="11" t="n">
        <x:f>K3823*'管线假设'!E827*'管线假设'!F827*'管线假设'!G827*IF(E3823="USD",'管线假设'!I827,1)-AM3823</x:f>
        <x:v>0.16031819999999994</x:v>
      </x:c>
      <x:c r="M3823" s="11" t="n">
        <x:f>'管线假设'!H827</x:f>
        <x:v>0.14</x:v>
      </x:c>
      <x:c r="N3823" s="11" t="n">
        <x:f>IF(G3823,L3823*AN3823/(1+M3823)^F3823,0)</x:f>
        <x:v>0.07302571562372519</x:v>
      </x:c>
      <x:c r="AJ3823" s="42" t="n">
        <x:v>0</x:v>
      </x:c>
      <x:c r="AK3823" s="42" t="n">
        <x:v>0</x:v>
      </x:c>
      <x:c r="AL3823" s="42" t="n">
        <x:v>0</x:v>
      </x:c>
      <x:c r="AM3823" t="n">
        <x:f>CHOOSE('假设'!$B$3,AJ3823,AK3823,AL3823)</x:f>
        <x:v>0</x:v>
      </x:c>
      <x:c r="AN3823" t="n">
        <x:v>1</x:v>
      </x:c>
    </x:row>
    <x:row r="3824" ht="23" customHeight="1">
      <x:c r="A3824" s="11" t="str">
        <x:v>02162.HK</x:v>
      </x:c>
      <x:c r="B3824" s="11" t="str">
        <x:v>2026年底</x:v>
      </x:c>
      <x:c r="C3824" s="11" t="str">
        <x:v>CMG901_expansion</x:v>
      </x:c>
      <x:c r="D3824" s="11" t="str">
        <x:v>2033-12-31</x:v>
      </x:c>
      <x:c r="E3824" s="11" t="str">
        <x:v>USD</x:v>
      </x:c>
      <x:c r="F3824" s="11" t="n">
        <x:v>7.000684462696783</x:v>
      </x:c>
      <x:c r="G3824" s="26" t="b">
        <x:v>1</x:v>
      </x:c>
      <x:c r="H3824" s="16" t="n">
        <x:v>0.144</x:v>
      </x:c>
      <x:c r="I3824" s="16" t="n">
        <x:v>1.625</x:v>
      </x:c>
      <x:c r="J3824" s="16" t="n">
        <x:v>4.25</x:v>
      </x:c>
      <x:c r="K3824" s="11" t="n">
        <x:f>CHOOSE('假设'!$B$3,H3824,I3824,J3824)</x:f>
        <x:v>1.625</x:v>
      </x:c>
      <x:c r="L3824" s="11" t="n">
        <x:f>K3824*'管线假设'!E827*'管线假设'!F827*'管线假设'!G827*IF(E3824="USD",'管线假设'!I827,1)-AM3824</x:f>
        <x:v>0.2742285</x:v>
      </x:c>
      <x:c r="M3824" s="11" t="n">
        <x:f>'管线假设'!H827</x:f>
        <x:v>0.14</x:v>
      </x:c>
      <x:c r="N3824" s="11" t="n">
        <x:f>IF(G3824,L3824*AN3824/(1+M3824)^F3824,0)</x:f>
        <x:v>0.10958211530286334</x:v>
      </x:c>
      <x:c r="AJ3824" s="42" t="n">
        <x:v>0</x:v>
      </x:c>
      <x:c r="AK3824" s="42" t="n">
        <x:v>0</x:v>
      </x:c>
      <x:c r="AL3824" s="42" t="n">
        <x:v>0</x:v>
      </x:c>
      <x:c r="AM3824" t="n">
        <x:f>CHOOSE('假设'!$B$3,AJ3824,AK3824,AL3824)</x:f>
        <x:v>0</x:v>
      </x:c>
      <x:c r="AN3824" t="n">
        <x:v>1</x:v>
      </x:c>
    </x:row>
    <x:row r="3825" ht="23" customHeight="1">
      <x:c r="A3825" s="11" t="str">
        <x:v>02162.HK</x:v>
      </x:c>
      <x:c r="B3825" s="11" t="str">
        <x:v>2026年底</x:v>
      </x:c>
      <x:c r="C3825" s="11" t="str">
        <x:v>CMG901_expansion</x:v>
      </x:c>
      <x:c r="D3825" s="11" t="str">
        <x:v>2034-12-31</x:v>
      </x:c>
      <x:c r="E3825" s="11" t="str">
        <x:v>USD</x:v>
      </x:c>
      <x:c r="F3825" s="11" t="n">
        <x:v>8</x:v>
      </x:c>
      <x:c r="G3825" s="26" t="b">
        <x:v>1</x:v>
      </x:c>
      <x:c r="H3825" s="16" t="n">
        <x:v>0.30400000000000005</x:v>
      </x:c>
      <x:c r="I3825" s="16" t="n">
        <x:v>2.125</x:v>
      </x:c>
      <x:c r="J3825" s="16" t="n">
        <x:v>5</x:v>
      </x:c>
      <x:c r="K3825" s="11" t="n">
        <x:f>CHOOSE('假设'!$B$3,H3825,I3825,J3825)</x:f>
        <x:v>2.125</x:v>
      </x:c>
      <x:c r="L3825" s="11" t="n">
        <x:f>K3825*'管线假设'!E827*'管线假设'!F827*'管线假设'!G827*IF(E3825="USD",'管线假设'!I827,1)-AM3825</x:f>
        <x:v>0.35860649999999994</x:v>
      </x:c>
      <x:c r="M3825" s="11" t="n">
        <x:f>'管线假设'!H827</x:f>
        <x:v>0.14</x:v>
      </x:c>
      <x:c r="N3825" s="11" t="n">
        <x:f>IF(G3825,L3825*AN3825/(1+M3825)^F3825,0)</x:f>
        <x:v>0.12571275570333923</x:v>
      </x:c>
      <x:c r="AJ3825" s="42" t="n">
        <x:v>0</x:v>
      </x:c>
      <x:c r="AK3825" s="42" t="n">
        <x:v>0</x:v>
      </x:c>
      <x:c r="AL3825" s="42" t="n">
        <x:v>0</x:v>
      </x:c>
      <x:c r="AM3825" t="n">
        <x:f>CHOOSE('假设'!$B$3,AJ3825,AK3825,AL3825)</x:f>
        <x:v>0</x:v>
      </x:c>
      <x:c r="AN3825" t="n">
        <x:v>1</x:v>
      </x:c>
    </x:row>
    <x:row r="3826" ht="23" customHeight="1">
      <x:c r="A3826" s="11" t="str">
        <x:v>02162.HK</x:v>
      </x:c>
      <x:c r="B3826" s="11" t="str">
        <x:v>2026年底</x:v>
      </x:c>
      <x:c r="C3826" s="11" t="str">
        <x:v>CMG901_expansion</x:v>
      </x:c>
      <x:c r="D3826" s="11" t="str">
        <x:v>2035-12-31</x:v>
      </x:c>
      <x:c r="E3826" s="11" t="str">
        <x:v>USD</x:v>
      </x:c>
      <x:c r="F3826" s="11" t="n">
        <x:v>8.999315537303216</x:v>
      </x:c>
      <x:c r="G3826" s="26" t="b">
        <x:v>1</x:v>
      </x:c>
      <x:c r="H3826" s="16" t="n">
        <x:v>0.52</x:v>
      </x:c>
      <x:c r="I3826" s="16" t="n">
        <x:v>2.5</x:v>
      </x:c>
      <x:c r="J3826" s="16" t="n">
        <x:v>5</x:v>
      </x:c>
      <x:c r="K3826" s="11" t="n">
        <x:f>CHOOSE('假设'!$B$3,H3826,I3826,J3826)</x:f>
        <x:v>2.5</x:v>
      </x:c>
      <x:c r="L3826" s="11" t="n">
        <x:f>K3826*'管线假设'!E827*'管线假设'!F827*'管线假设'!G827*IF(E3826="USD",'管线假设'!I827,1)-AM3826</x:f>
        <x:v>0.4218899999999999</x:v>
      </x:c>
      <x:c r="M3826" s="11" t="n">
        <x:f>'管线假设'!H827</x:f>
        <x:v>0.14</x:v>
      </x:c>
      <x:c r="N3826" s="11" t="n">
        <x:f>IF(G3826,L3826*AN3826/(1+M3826)^F3826,0)</x:f>
        <x:v>0.12974616163715597</x:v>
      </x:c>
      <x:c r="AJ3826" s="42" t="n">
        <x:v>0</x:v>
      </x:c>
      <x:c r="AK3826" s="42" t="n">
        <x:v>0</x:v>
      </x:c>
      <x:c r="AL3826" s="42" t="n">
        <x:v>0</x:v>
      </x:c>
      <x:c r="AM3826" t="n">
        <x:f>CHOOSE('假设'!$B$3,AJ3826,AK3826,AL3826)</x:f>
        <x:v>0</x:v>
      </x:c>
      <x:c r="AN3826" t="n">
        <x:v>1</x:v>
      </x:c>
    </x:row>
    <x:row r="3827" ht="23" customHeight="1">
      <x:c r="A3827" s="11" t="str">
        <x:v>02162.HK</x:v>
      </x:c>
      <x:c r="B3827" s="11" t="str">
        <x:v>2026年底</x:v>
      </x:c>
      <x:c r="C3827" s="11" t="str">
        <x:v>CMG901_expansion</x:v>
      </x:c>
      <x:c r="D3827" s="11" t="str">
        <x:v>2036-12-31</x:v>
      </x:c>
      <x:c r="E3827" s="11" t="str">
        <x:v>USD</x:v>
      </x:c>
      <x:c r="F3827" s="11" t="n">
        <x:v>10.001368925393566</x:v>
      </x:c>
      <x:c r="G3827" s="26" t="b">
        <x:v>1</x:v>
      </x:c>
      <x:c r="H3827" s="16" t="n">
        <x:v>0.68</x:v>
      </x:c>
      <x:c r="I3827" s="16" t="n">
        <x:v>2.5</x:v>
      </x:c>
      <x:c r="J3827" s="16" t="n">
        <x:v>4.75</x:v>
      </x:c>
      <x:c r="K3827" s="11" t="n">
        <x:f>CHOOSE('假设'!$B$3,H3827,I3827,J3827)</x:f>
        <x:v>2.5</x:v>
      </x:c>
      <x:c r="L3827" s="11" t="n">
        <x:f>K3827*'管线假设'!E827*'管线假设'!F827*'管线假设'!G827*IF(E3827="USD",'管线假设'!I827,1)-AM3827</x:f>
        <x:v>0.4218899999999999</x:v>
      </x:c>
      <x:c r="M3827" s="11" t="n">
        <x:f>'管线假设'!H827</x:f>
        <x:v>0.14</x:v>
      </x:c>
      <x:c r="N3827" s="11" t="n">
        <x:f>IF(G3827,L3827*AN3827/(1+M3827)^F3827,0)</x:f>
        <x:v>0.11378180516224157</x:v>
      </x:c>
      <x:c r="AJ3827" s="42" t="n">
        <x:v>0</x:v>
      </x:c>
      <x:c r="AK3827" s="42" t="n">
        <x:v>0</x:v>
      </x:c>
      <x:c r="AL3827" s="42" t="n">
        <x:v>0</x:v>
      </x:c>
      <x:c r="AM3827" t="n">
        <x:f>CHOOSE('假设'!$B$3,AJ3827,AK3827,AL3827)</x:f>
        <x:v>0</x:v>
      </x:c>
      <x:c r="AN3827" t="n">
        <x:v>1</x:v>
      </x:c>
    </x:row>
    <x:row r="3828" ht="23" customHeight="1">
      <x:c r="A3828" s="11" t="str">
        <x:v>02162.HK</x:v>
      </x:c>
      <x:c r="B3828" s="11" t="str">
        <x:v>2026年底</x:v>
      </x:c>
      <x:c r="C3828" s="11" t="str">
        <x:v>CMG901_expansion</x:v>
      </x:c>
      <x:c r="D3828" s="11" t="str">
        <x:v>2037-12-31</x:v>
      </x:c>
      <x:c r="E3828" s="11" t="str">
        <x:v>USD</x:v>
      </x:c>
      <x:c r="F3828" s="11" t="n">
        <x:v>11.000684462696784</x:v>
      </x:c>
      <x:c r="G3828" s="26" t="b">
        <x:v>1</x:v>
      </x:c>
      <x:c r="H3828" s="16" t="n">
        <x:v>0.8</x:v>
      </x:c>
      <x:c r="I3828" s="16" t="n">
        <x:v>2.375</x:v>
      </x:c>
      <x:c r="J3828" s="16" t="n">
        <x:v>4.5</x:v>
      </x:c>
      <x:c r="K3828" s="11" t="n">
        <x:f>CHOOSE('假设'!$B$3,H3828,I3828,J3828)</x:f>
        <x:v>2.375</x:v>
      </x:c>
      <x:c r="L3828" s="11" t="n">
        <x:f>K3828*'管线假设'!E827*'管线假设'!F827*'管线假设'!G827*IF(E3828="USD",'管线假设'!I827,1)-AM3828</x:f>
        <x:v>0.40079549999999986</x:v>
      </x:c>
      <x:c r="M3828" s="11" t="n">
        <x:f>'管线假设'!H827</x:f>
        <x:v>0.14</x:v>
      </x:c>
      <x:c r="N3828" s="11" t="n">
        <x:f>IF(G3828,L3828*AN3828/(1+M3828)^F3828,0)</x:f>
        <x:v>0.09482667501871511</x:v>
      </x:c>
      <x:c r="AJ3828" s="42" t="n">
        <x:v>0</x:v>
      </x:c>
      <x:c r="AK3828" s="42" t="n">
        <x:v>0</x:v>
      </x:c>
      <x:c r="AL3828" s="42" t="n">
        <x:v>0</x:v>
      </x:c>
      <x:c r="AM3828" t="n">
        <x:f>CHOOSE('假设'!$B$3,AJ3828,AK3828,AL3828)</x:f>
        <x:v>0</x:v>
      </x:c>
      <x:c r="AN3828" t="n">
        <x:v>1</x:v>
      </x:c>
    </x:row>
    <x:row r="3829" ht="23" customHeight="1">
      <x:c r="A3829" s="11" t="str">
        <x:v>02162.HK</x:v>
      </x:c>
      <x:c r="B3829" s="11" t="str">
        <x:v>2026年底</x:v>
      </x:c>
      <x:c r="C3829" s="11" t="str">
        <x:v>CMG901_expansion</x:v>
      </x:c>
      <x:c r="D3829" s="11" t="str">
        <x:v>2038-12-31</x:v>
      </x:c>
      <x:c r="E3829" s="11" t="str">
        <x:v>USD</x:v>
      </x:c>
      <x:c r="F3829" s="11" t="n">
        <x:v>12</x:v>
      </x:c>
      <x:c r="G3829" s="26" t="b">
        <x:v>1</x:v>
      </x:c>
      <x:c r="H3829" s="16" t="n">
        <x:v>0.8</x:v>
      </x:c>
      <x:c r="I3829" s="16" t="n">
        <x:v>2.25</x:v>
      </x:c>
      <x:c r="J3829" s="16" t="n">
        <x:v>4</x:v>
      </x:c>
      <x:c r="K3829" s="11" t="n">
        <x:f>CHOOSE('假设'!$B$3,H3829,I3829,J3829)</x:f>
        <x:v>2.25</x:v>
      </x:c>
      <x:c r="L3829" s="11" t="n">
        <x:f>K3829*'管线假设'!E827*'管线假设'!F827*'管线假设'!G827*IF(E3829="USD",'管线假设'!I827,1)-AM3829</x:f>
        <x:v>0.37970099999999996</x:v>
      </x:c>
      <x:c r="M3829" s="11" t="n">
        <x:f>'管线假设'!H827</x:f>
        <x:v>0.14</x:v>
      </x:c>
      <x:c r="N3829" s="11" t="n">
        <x:f>IF(G3829,L3829*AN3829/(1+M3829)^F3829,0)</x:f>
        <x:v>0.07881039875202771</x:v>
      </x:c>
      <x:c r="AJ3829" s="42" t="n">
        <x:v>0</x:v>
      </x:c>
      <x:c r="AK3829" s="42" t="n">
        <x:v>0</x:v>
      </x:c>
      <x:c r="AL3829" s="42" t="n">
        <x:v>0</x:v>
      </x:c>
      <x:c r="AM3829" t="n">
        <x:f>CHOOSE('假设'!$B$3,AJ3829,AK3829,AL3829)</x:f>
        <x:v>0</x:v>
      </x:c>
      <x:c r="AN3829" t="n">
        <x:v>1</x:v>
      </x:c>
    </x:row>
    <x:row r="3830" ht="23" customHeight="1">
      <x:c r="A3830" s="11" t="str">
        <x:v>02162.HK</x:v>
      </x:c>
      <x:c r="B3830" s="11" t="str">
        <x:v>2026年底</x:v>
      </x:c>
      <x:c r="C3830" s="11" t="str">
        <x:v>CMG901_expansion</x:v>
      </x:c>
      <x:c r="D3830" s="11" t="str">
        <x:v>2039-12-31</x:v>
      </x:c>
      <x:c r="E3830" s="11" t="str">
        <x:v>USD</x:v>
      </x:c>
      <x:c r="F3830" s="11" t="n">
        <x:v>12.999315537303216</x:v>
      </x:c>
      <x:c r="G3830" s="26" t="b">
        <x:v>1</x:v>
      </x:c>
      <x:c r="H3830" s="16" t="n">
        <x:v>0.76</x:v>
      </x:c>
      <x:c r="I3830" s="16" t="n">
        <x:v>2</x:v>
      </x:c>
      <x:c r="J3830" s="16" t="n">
        <x:v>3.25</x:v>
      </x:c>
      <x:c r="K3830" s="11" t="n">
        <x:f>CHOOSE('假设'!$B$3,H3830,I3830,J3830)</x:f>
        <x:v>2</x:v>
      </x:c>
      <x:c r="L3830" s="11" t="n">
        <x:f>K3830*'管线假设'!E827*'管线假设'!F827*'管线假设'!G827*IF(E3830="USD",'管线假设'!I827,1)-AM3830</x:f>
        <x:v>0.3375119999999999</x:v>
      </x:c>
      <x:c r="M3830" s="11" t="n">
        <x:f>'管线假设'!H827</x:f>
        <x:v>0.14</x:v>
      </x:c>
      <x:c r="N3830" s="11" t="n">
        <x:f>IF(G3830,L3830*AN3830/(1+M3830)^F3830,0)</x:f>
        <x:v>0.0614561146958758</x:v>
      </x:c>
      <x:c r="AJ3830" s="42" t="n">
        <x:v>0</x:v>
      </x:c>
      <x:c r="AK3830" s="42" t="n">
        <x:v>0</x:v>
      </x:c>
      <x:c r="AL3830" s="42" t="n">
        <x:v>0</x:v>
      </x:c>
      <x:c r="AM3830" t="n">
        <x:f>CHOOSE('假设'!$B$3,AJ3830,AK3830,AL3830)</x:f>
        <x:v>0</x:v>
      </x:c>
      <x:c r="AN3830" t="n">
        <x:v>1</x:v>
      </x:c>
    </x:row>
    <x:row r="3831" ht="23" customHeight="1">
      <x:c r="A3831" s="11" t="str">
        <x:v>02162.HK</x:v>
      </x:c>
      <x:c r="B3831" s="11" t="str">
        <x:v>2026年底</x:v>
      </x:c>
      <x:c r="C3831" s="11" t="str">
        <x:v>CMG901_expansion</x:v>
      </x:c>
      <x:c r="D3831" s="11" t="str">
        <x:v>2040-12-31</x:v>
      </x:c>
      <x:c r="E3831" s="11" t="str">
        <x:v>USD</x:v>
      </x:c>
      <x:c r="F3831" s="11" t="n">
        <x:v>14.001368925393566</x:v>
      </x:c>
      <x:c r="G3831" s="26" t="b">
        <x:v>1</x:v>
      </x:c>
      <x:c r="H3831" s="16" t="n">
        <x:v>0.7200000000000001</x:v>
      </x:c>
      <x:c r="I3831" s="16" t="n">
        <x:v>1.625</x:v>
      </x:c>
      <x:c r="J3831" s="16" t="n">
        <x:v>2.5</x:v>
      </x:c>
      <x:c r="K3831" s="11" t="n">
        <x:f>CHOOSE('假设'!$B$3,H3831,I3831,J3831)</x:f>
        <x:v>1.625</x:v>
      </x:c>
      <x:c r="L3831" s="11" t="n">
        <x:f>K3831*'管线假设'!E827*'管线假设'!F827*'管线假设'!G827*IF(E3831="USD",'管线假设'!I827,1)-AM3831</x:f>
        <x:v>0.2742285</x:v>
      </x:c>
      <x:c r="M3831" s="11" t="n">
        <x:f>'管线假设'!H827</x:f>
        <x:v>0.14</x:v>
      </x:c>
      <x:c r="N3831" s="11" t="n">
        <x:f>IF(G3831,L3831*AN3831/(1+M3831)^F3831,0)</x:f>
        <x:v>0.04378917579409156</x:v>
      </x:c>
      <x:c r="AJ3831" s="42" t="n">
        <x:v>0</x:v>
      </x:c>
      <x:c r="AK3831" s="42" t="n">
        <x:v>0</x:v>
      </x:c>
      <x:c r="AL3831" s="42" t="n">
        <x:v>0</x:v>
      </x:c>
      <x:c r="AM3831" t="n">
        <x:f>CHOOSE('假设'!$B$3,AJ3831,AK3831,AL3831)</x:f>
        <x:v>0</x:v>
      </x:c>
      <x:c r="AN3831" t="n">
        <x:v>1</x:v>
      </x:c>
    </x:row>
    <x:row r="3832" ht="23" customHeight="1">
      <x:c r="A3832" s="11" t="str">
        <x:v>02162.HK</x:v>
      </x:c>
      <x:c r="B3832" s="11" t="str">
        <x:v>2026年底</x:v>
      </x:c>
      <x:c r="C3832" s="11" t="str">
        <x:v>CMG901_expansion</x:v>
      </x:c>
      <x:c r="D3832" s="11" t="str">
        <x:v>2041-12-31</x:v>
      </x:c>
      <x:c r="E3832" s="11" t="str">
        <x:v>USD</x:v>
      </x:c>
      <x:c r="F3832" s="11" t="n">
        <x:v>15.000684462696784</x:v>
      </x:c>
      <x:c r="G3832" s="26" t="b">
        <x:v>1</x:v>
      </x:c>
      <x:c r="H3832" s="16" t="n">
        <x:v>0.6400000000000001</x:v>
      </x:c>
      <x:c r="I3832" s="16" t="n">
        <x:v>1.25</x:v>
      </x:c>
      <x:c r="J3832" s="16" t="n">
        <x:v>1.75</x:v>
      </x:c>
      <x:c r="K3832" s="11" t="n">
        <x:f>CHOOSE('假设'!$B$3,H3832,I3832,J3832)</x:f>
        <x:v>1.25</x:v>
      </x:c>
      <x:c r="L3832" s="11" t="n">
        <x:f>K3832*'管线假设'!E827*'管线假设'!F827*'管线假设'!G827*IF(E3832="USD",'管线假设'!I827,1)-AM3832</x:f>
        <x:v>0.21094499999999994</x:v>
      </x:c>
      <x:c r="M3832" s="11" t="n">
        <x:f>'管线假设'!H827</x:f>
        <x:v>0.14</x:v>
      </x:c>
      <x:c r="N3832" s="11" t="n">
        <x:f>IF(G3832,L3832*AN3832/(1+M3832)^F3832,0)</x:f>
        <x:v>0.0295500021300914</x:v>
      </x:c>
      <x:c r="AJ3832" s="42" t="n">
        <x:v>0</x:v>
      </x:c>
      <x:c r="AK3832" s="42" t="n">
        <x:v>0</x:v>
      </x:c>
      <x:c r="AL3832" s="42" t="n">
        <x:v>0</x:v>
      </x:c>
      <x:c r="AM3832" t="n">
        <x:f>CHOOSE('假设'!$B$3,AJ3832,AK3832,AL3832)</x:f>
        <x:v>0</x:v>
      </x:c>
      <x:c r="AN3832" t="n">
        <x:v>1</x:v>
      </x:c>
    </x:row>
    <x:row r="3833" ht="23" customHeight="1">
      <x:c r="A3833" s="11" t="str">
        <x:v>02162.HK</x:v>
      </x:c>
      <x:c r="B3833" s="11" t="str">
        <x:v>2026年底</x:v>
      </x:c>
      <x:c r="C3833" s="11" t="str">
        <x:v>CMG901_expansion</x:v>
      </x:c>
      <x:c r="D3833" s="11" t="str">
        <x:v>2042-12-31</x:v>
      </x:c>
      <x:c r="E3833" s="11" t="str">
        <x:v>USD</x:v>
      </x:c>
      <x:c r="F3833" s="11" t="n">
        <x:v>16</x:v>
      </x:c>
      <x:c r="G3833" s="26" t="b">
        <x:v>1</x:v>
      </x:c>
      <x:c r="H3833" s="16" t="n">
        <x:v>0.52</x:v>
      </x:c>
      <x:c r="I3833" s="16" t="n">
        <x:v>0.875</x:v>
      </x:c>
      <x:c r="J3833" s="16" t="n">
        <x:v>1</x:v>
      </x:c>
      <x:c r="K3833" s="11" t="n">
        <x:f>CHOOSE('假设'!$B$3,H3833,I3833,J3833)</x:f>
        <x:v>0.875</x:v>
      </x:c>
      <x:c r="L3833" s="11" t="n">
        <x:f>K3833*'管线假设'!E827*'管线假设'!F827*'管线假设'!G827*IF(E3833="USD",'管线假设'!I827,1)-AM3833</x:f>
        <x:v>0.14766149999999995</x:v>
      </x:c>
      <x:c r="M3833" s="11" t="n">
        <x:f>'管线假设'!H827</x:f>
        <x:v>0.14</x:v>
      </x:c>
      <x:c r="N3833" s="11" t="n">
        <x:f>IF(G3833,L3833*AN3833/(1+M3833)^F3833,0)</x:f>
        <x:v>0.018146365514960586</x:v>
      </x:c>
      <x:c r="AJ3833" s="42" t="n">
        <x:v>0</x:v>
      </x:c>
      <x:c r="AK3833" s="42" t="n">
        <x:v>0</x:v>
      </x:c>
      <x:c r="AL3833" s="42" t="n">
        <x:v>0</x:v>
      </x:c>
      <x:c r="AM3833" t="n">
        <x:f>CHOOSE('假设'!$B$3,AJ3833,AK3833,AL3833)</x:f>
        <x:v>0</x:v>
      </x:c>
      <x:c r="AN3833" t="n">
        <x:v>1</x:v>
      </x:c>
    </x:row>
    <x:row r="3834" ht="23" customHeight="1">
      <x:c r="A3834" s="11" t="str">
        <x:v>02162.HK</x:v>
      </x:c>
      <x:c r="B3834" s="11" t="str">
        <x:v>2026年底</x:v>
      </x:c>
      <x:c r="C3834" s="11" t="str">
        <x:v>CMG901_expansion</x:v>
      </x:c>
      <x:c r="D3834" s="11" t="str">
        <x:v>2043-12-31</x:v>
      </x:c>
      <x:c r="E3834" s="11" t="str">
        <x:v>USD</x:v>
      </x:c>
      <x:c r="F3834" s="11" t="n">
        <x:v>16.999315537303218</x:v>
      </x:c>
      <x:c r="G3834" s="26" t="b">
        <x:v>1</x:v>
      </x:c>
      <x:c r="H3834" s="16" t="n">
        <x:v>0.4</x:v>
      </x:c>
      <x:c r="I3834" s="16" t="n">
        <x:v>0.5</x:v>
      </x:c>
      <x:c r="J3834" s="16" t="n">
        <x:v>0.6</x:v>
      </x:c>
      <x:c r="K3834" s="11" t="n">
        <x:f>CHOOSE('假设'!$B$3,H3834,I3834,J3834)</x:f>
        <x:v>0.5</x:v>
      </x:c>
      <x:c r="L3834" s="11" t="n">
        <x:f>K3834*'管线假设'!E827*'管线假设'!F827*'管线假设'!G827*IF(E3834="USD",'管线假设'!I827,1)-AM3834</x:f>
        <x:v>0.08437799999999998</x:v>
      </x:c>
      <x:c r="M3834" s="11" t="n">
        <x:f>'管线假设'!H827</x:f>
        <x:v>0.14</x:v>
      </x:c>
      <x:c r="N3834" s="11" t="n">
        <x:f>IF(G3834,L3834*AN3834/(1+M3834)^F3834,0)</x:f>
        <x:v>0.009096738358807078</x:v>
      </x:c>
      <x:c r="AJ3834" s="42" t="n">
        <x:v>0</x:v>
      </x:c>
      <x:c r="AK3834" s="42" t="n">
        <x:v>0</x:v>
      </x:c>
      <x:c r="AL3834" s="42" t="n">
        <x:v>0</x:v>
      </x:c>
      <x:c r="AM3834" t="n">
        <x:f>CHOOSE('假设'!$B$3,AJ3834,AK3834,AL3834)</x:f>
        <x:v>0</x:v>
      </x:c>
      <x:c r="AN3834" t="n">
        <x:v>1</x:v>
      </x:c>
    </x:row>
    <x:row r="3835" ht="23" customHeight="1">
      <x:c r="A3835" s="11" t="str">
        <x:v>02162.HK</x:v>
      </x:c>
      <x:c r="B3835" s="11" t="str">
        <x:v>2026年底</x:v>
      </x:c>
      <x:c r="C3835" s="11" t="str">
        <x:v>CMG901_expansion</x:v>
      </x:c>
      <x:c r="D3835" s="11" t="str">
        <x:v>2044-12-31</x:v>
      </x:c>
      <x:c r="E3835" s="11" t="str">
        <x:v>USD</x:v>
      </x:c>
      <x:c r="F3835" s="11" t="n">
        <x:v>18.001368925393567</x:v>
      </x:c>
      <x:c r="G3835" s="26" t="b">
        <x:v>1</x:v>
      </x:c>
      <x:c r="H3835" s="16" t="n">
        <x:v>0.27999999999999997</x:v>
      </x:c>
      <x:c r="I3835" s="16" t="n">
        <x:v>0.3</x:v>
      </x:c>
      <x:c r="J3835" s="16" t="n">
        <x:v>0.35000000000000003</x:v>
      </x:c>
      <x:c r="K3835" s="11" t="n">
        <x:f>CHOOSE('假设'!$B$3,H3835,I3835,J3835)</x:f>
        <x:v>0.3</x:v>
      </x:c>
      <x:c r="L3835" s="11" t="n">
        <x:f>K3835*'管线假设'!E827*'管线假设'!F827*'管线假设'!G827*IF(E3835="USD",'管线假设'!I827,1)-AM3835</x:f>
        <x:v>0.05062679999999998</x:v>
      </x:c>
      <x:c r="M3835" s="11" t="n">
        <x:f>'管线假设'!H827</x:f>
        <x:v>0.14</x:v>
      </x:c>
      <x:c r="N3835" s="11" t="n">
        <x:f>IF(G3835,L3835*AN3835/(1+M3835)^F3835,0)</x:f>
        <x:v>0.004786469049226653</x:v>
      </x:c>
      <x:c r="AJ3835" s="42" t="n">
        <x:v>0</x:v>
      </x:c>
      <x:c r="AK3835" s="42" t="n">
        <x:v>0</x:v>
      </x:c>
      <x:c r="AL3835" s="42" t="n">
        <x:v>0</x:v>
      </x:c>
      <x:c r="AM3835" t="n">
        <x:f>CHOOSE('假设'!$B$3,AJ3835,AK3835,AL3835)</x:f>
        <x:v>0</x:v>
      </x:c>
      <x:c r="AN3835" t="n">
        <x:v>1</x:v>
      </x:c>
    </x:row>
    <x:row r="3836" ht="23" customHeight="1">
      <x:c r="A3836" s="11" t="str">
        <x:v>02162.HK</x:v>
      </x:c>
      <x:c r="B3836" s="11" t="str">
        <x:v>2026年底</x:v>
      </x:c>
      <x:c r="C3836" s="11" t="str">
        <x:v>CM336_foreign</x:v>
      </x:c>
      <x:c r="D3836" s="11" t="str">
        <x:v>2026-12-31</x:v>
      </x:c>
      <x:c r="E3836" s="11" t="str">
        <x:v>USD</x:v>
      </x:c>
      <x:c r="F3836" s="11" t="n">
        <x:v>0</x:v>
      </x:c>
      <x:c r="G3836" s="26" t="b">
        <x:v>0</x:v>
      </x:c>
      <x:c r="H3836" s="16" t="n">
        <x:v>0</x:v>
      </x:c>
      <x:c r="I3836" s="16" t="n">
        <x:v>0</x:v>
      </x:c>
      <x:c r="J3836" s="16" t="n">
        <x:v>0</x:v>
      </x:c>
      <x:c r="K3836" s="11" t="n">
        <x:f>CHOOSE('假设'!$B$3,H3836,I3836,J3836)</x:f>
        <x:v>0</x:v>
      </x:c>
      <x:c r="L3836" s="11" t="n">
        <x:f>K3836*'管线假设'!E831*'管线假设'!F831*'管线假设'!G831*IF(E3836="USD",'管线假设'!I831,1)-AM3836</x:f>
        <x:v>-0.084</x:v>
      </x:c>
      <x:c r="M3836" s="11" t="n">
        <x:f>'管线假设'!H831</x:f>
        <x:v>0.14</x:v>
      </x:c>
      <x:c r="N3836" s="11" t="n">
        <x:f>IF(G3836,L3836*AN3836/(1+M3836)^F3836,0)</x:f>
        <x:v>0</x:v>
      </x:c>
      <x:c r="AJ3836" s="42" t="n">
        <x:v>0.035</x:v>
      </x:c>
      <x:c r="AK3836" s="42" t="n">
        <x:v>0.084</x:v>
      </x:c>
      <x:c r="AL3836" s="42" t="n">
        <x:v>0.14</x:v>
      </x:c>
      <x:c r="AM3836" t="n">
        <x:f>CHOOSE('假设'!$B$3,AJ3836,AK3836,AL3836)</x:f>
        <x:v>0.084</x:v>
      </x:c>
      <x:c r="AN3836" t="n">
        <x:v>0</x:v>
      </x:c>
    </x:row>
    <x:row r="3837" ht="23" customHeight="1">
      <x:c r="A3837" s="11" t="str">
        <x:v>02162.HK</x:v>
      </x:c>
      <x:c r="B3837" s="11" t="str">
        <x:v>2026年底</x:v>
      </x:c>
      <x:c r="C3837" s="11" t="str">
        <x:v>CM336_foreign</x:v>
      </x:c>
      <x:c r="D3837" s="11" t="str">
        <x:v>2027-12-31</x:v>
      </x:c>
      <x:c r="E3837" s="11" t="str">
        <x:v>USD</x:v>
      </x:c>
      <x:c r="F3837" s="11" t="n">
        <x:v>0.999315537303217</x:v>
      </x:c>
      <x:c r="G3837" s="26" t="b">
        <x:v>1</x:v>
      </x:c>
      <x:c r="H3837" s="16" t="n">
        <x:v>0</x:v>
      </x:c>
      <x:c r="I3837" s="16" t="n">
        <x:v>0</x:v>
      </x:c>
      <x:c r="J3837" s="16" t="n">
        <x:v>0</x:v>
      </x:c>
      <x:c r="K3837" s="11" t="n">
        <x:f>CHOOSE('假设'!$B$3,H3837,I3837,J3837)</x:f>
        <x:v>0</x:v>
      </x:c>
      <x:c r="L3837" s="11" t="n">
        <x:f>K3837*'管线假设'!E831*'管线假设'!F831*'管线假设'!G831*IF(E3837="USD",'管线假设'!I831,1)-AM3837</x:f>
        <x:v>-0.084</x:v>
      </x:c>
      <x:c r="M3837" s="11" t="n">
        <x:f>'管线假设'!H831</x:f>
        <x:v>0.14</x:v>
      </x:c>
      <x:c r="N3837" s="11" t="n">
        <x:f>IF(G3837,L3837*AN3837/(1+M3837)^F3837,0)</x:f>
        <x:v>-0.07369081911428395</x:v>
      </x:c>
      <x:c r="AJ3837" s="42" t="n">
        <x:v>0.035</x:v>
      </x:c>
      <x:c r="AK3837" s="42" t="n">
        <x:v>0.084</x:v>
      </x:c>
      <x:c r="AL3837" s="42" t="n">
        <x:v>0.14</x:v>
      </x:c>
      <x:c r="AM3837" t="n">
        <x:f>CHOOSE('假设'!$B$3,AJ3837,AK3837,AL3837)</x:f>
        <x:v>0.084</x:v>
      </x:c>
      <x:c r="AN3837" t="n">
        <x:v>1</x:v>
      </x:c>
    </x:row>
    <x:row r="3838" ht="23" customHeight="1">
      <x:c r="A3838" s="11" t="str">
        <x:v>02162.HK</x:v>
      </x:c>
      <x:c r="B3838" s="11" t="str">
        <x:v>2026年底</x:v>
      </x:c>
      <x:c r="C3838" s="11" t="str">
        <x:v>CM336_foreign</x:v>
      </x:c>
      <x:c r="D3838" s="11" t="str">
        <x:v>2028-12-31</x:v>
      </x:c>
      <x:c r="E3838" s="11" t="str">
        <x:v>USD</x:v>
      </x:c>
      <x:c r="F3838" s="11" t="n">
        <x:v>2.001368925393566</x:v>
      </x:c>
      <x:c r="G3838" s="26" t="b">
        <x:v>1</x:v>
      </x:c>
      <x:c r="H3838" s="16" t="n">
        <x:v>0</x:v>
      </x:c>
      <x:c r="I3838" s="16" t="n">
        <x:v>0</x:v>
      </x:c>
      <x:c r="J3838" s="16" t="n">
        <x:v>0</x:v>
      </x:c>
      <x:c r="K3838" s="11" t="n">
        <x:f>CHOOSE('假设'!$B$3,H3838,I3838,J3838)</x:f>
        <x:v>0</x:v>
      </x:c>
      <x:c r="L3838" s="11" t="n">
        <x:f>K3838*'管线假设'!E831*'管线假设'!F831*'管线假设'!G831*IF(E3838="USD",'管线假设'!I831,1)-AM3838</x:f>
        <x:v>0</x:v>
      </x:c>
      <x:c r="M3838" s="11" t="n">
        <x:f>'管线假设'!H831</x:f>
        <x:v>0.14</x:v>
      </x:c>
      <x:c r="N3838" s="11" t="n">
        <x:f>IF(G3838,L3838*AN3838/(1+M3838)^F3838,0)</x:f>
        <x:v>0</x:v>
      </x:c>
      <x:c r="AJ3838" s="42" t="n">
        <x:v>0</x:v>
      </x:c>
      <x:c r="AK3838" s="42" t="n">
        <x:v>0</x:v>
      </x:c>
      <x:c r="AL3838" s="42" t="n">
        <x:v>0</x:v>
      </x:c>
      <x:c r="AM3838" t="n">
        <x:f>CHOOSE('假设'!$B$3,AJ3838,AK3838,AL3838)</x:f>
        <x:v>0</x:v>
      </x:c>
      <x:c r="AN3838" t="n">
        <x:v>1</x:v>
      </x:c>
    </x:row>
    <x:row r="3839" ht="23" customHeight="1">
      <x:c r="A3839" s="11" t="str">
        <x:v>02162.HK</x:v>
      </x:c>
      <x:c r="B3839" s="11" t="str">
        <x:v>2026年底</x:v>
      </x:c>
      <x:c r="C3839" s="11" t="str">
        <x:v>CM336_foreign</x:v>
      </x:c>
      <x:c r="D3839" s="11" t="str">
        <x:v>2029-12-31</x:v>
      </x:c>
      <x:c r="E3839" s="11" t="str">
        <x:v>USD</x:v>
      </x:c>
      <x:c r="F3839" s="11" t="n">
        <x:v>3.0006844626967832</x:v>
      </x:c>
      <x:c r="G3839" s="26" t="b">
        <x:v>1</x:v>
      </x:c>
      <x:c r="H3839" s="16" t="n">
        <x:v>0</x:v>
      </x:c>
      <x:c r="I3839" s="16" t="n">
        <x:v>0</x:v>
      </x:c>
      <x:c r="J3839" s="16" t="n">
        <x:v>0.42</x:v>
      </x:c>
      <x:c r="K3839" s="11" t="n">
        <x:f>CHOOSE('假设'!$B$3,H3839,I3839,J3839)</x:f>
        <x:v>0</x:v>
      </x:c>
      <x:c r="L3839" s="11" t="n">
        <x:f>K3839*'管线假设'!E831*'管线假设'!F831*'管线假设'!G831*IF(E3839="USD",'管线假设'!I831,1)-AM3839</x:f>
        <x:v>0</x:v>
      </x:c>
      <x:c r="M3839" s="11" t="n">
        <x:f>'管线假设'!H831</x:f>
        <x:v>0.14</x:v>
      </x:c>
      <x:c r="N3839" s="11" t="n">
        <x:f>IF(G3839,L3839*AN3839/(1+M3839)^F3839,0)</x:f>
        <x:v>0</x:v>
      </x:c>
      <x:c r="AJ3839" s="42" t="n">
        <x:v>0</x:v>
      </x:c>
      <x:c r="AK3839" s="42" t="n">
        <x:v>0</x:v>
      </x:c>
      <x:c r="AL3839" s="42" t="n">
        <x:v>0</x:v>
      </x:c>
      <x:c r="AM3839" t="n">
        <x:f>CHOOSE('假设'!$B$3,AJ3839,AK3839,AL3839)</x:f>
        <x:v>0</x:v>
      </x:c>
      <x:c r="AN3839" t="n">
        <x:v>1</x:v>
      </x:c>
    </x:row>
    <x:row r="3840" ht="23" customHeight="1">
      <x:c r="A3840" s="11" t="str">
        <x:v>02162.HK</x:v>
      </x:c>
      <x:c r="B3840" s="11" t="str">
        <x:v>2026年底</x:v>
      </x:c>
      <x:c r="C3840" s="11" t="str">
        <x:v>CM336_foreign</x:v>
      </x:c>
      <x:c r="D3840" s="11" t="str">
        <x:v>2030-12-31</x:v>
      </x:c>
      <x:c r="E3840" s="11" t="str">
        <x:v>USD</x:v>
      </x:c>
      <x:c r="F3840" s="11" t="n">
        <x:v>4</x:v>
      </x:c>
      <x:c r="G3840" s="26" t="b">
        <x:v>1</x:v>
      </x:c>
      <x:c r="H3840" s="16" t="n">
        <x:v>0</x:v>
      </x:c>
      <x:c r="I3840" s="16" t="n">
        <x:v>0.24</x:v>
      </x:c>
      <x:c r="J3840" s="16" t="n">
        <x:v>1.26</x:v>
      </x:c>
      <x:c r="K3840" s="11" t="n">
        <x:f>CHOOSE('假设'!$B$3,H3840,I3840,J3840)</x:f>
        <x:v>0.24</x:v>
      </x:c>
      <x:c r="L3840" s="11" t="n">
        <x:f>K3840*'管线假设'!E831*'管线假设'!F831*'管线假设'!G831*IF(E3840="USD",'管线假设'!I831,1)-AM3840</x:f>
        <x:v>0.038346</x:v>
      </x:c>
      <x:c r="M3840" s="11" t="n">
        <x:f>'管线假设'!H831</x:f>
        <x:v>0.14</x:v>
      </x:c>
      <x:c r="N3840" s="11" t="n">
        <x:f>IF(G3840,L3840*AN3840/(1+M3840)^F3840,0)</x:f>
        <x:v>0.022703910316037284</x:v>
      </x:c>
      <x:c r="AJ3840" s="42" t="n">
        <x:v>0</x:v>
      </x:c>
      <x:c r="AK3840" s="42" t="n">
        <x:v>0</x:v>
      </x:c>
      <x:c r="AL3840" s="42" t="n">
        <x:v>0</x:v>
      </x:c>
      <x:c r="AM3840" t="n">
        <x:f>CHOOSE('假设'!$B$3,AJ3840,AK3840,AL3840)</x:f>
        <x:v>0</x:v>
      </x:c>
      <x:c r="AN3840" t="n">
        <x:v>1</x:v>
      </x:c>
    </x:row>
    <x:row r="3841" ht="23" customHeight="1">
      <x:c r="A3841" s="11" t="str">
        <x:v>02162.HK</x:v>
      </x:c>
      <x:c r="B3841" s="11" t="str">
        <x:v>2026年底</x:v>
      </x:c>
      <x:c r="C3841" s="11" t="str">
        <x:v>CM336_foreign</x:v>
      </x:c>
      <x:c r="D3841" s="11" t="str">
        <x:v>2031-12-31</x:v>
      </x:c>
      <x:c r="E3841" s="11" t="str">
        <x:v>USD</x:v>
      </x:c>
      <x:c r="F3841" s="11" t="n">
        <x:v>4.999315537303217</x:v>
      </x:c>
      <x:c r="G3841" s="26" t="b">
        <x:v>1</x:v>
      </x:c>
      <x:c r="H3841" s="16" t="n">
        <x:v>0</x:v>
      </x:c>
      <x:c r="I3841" s="16" t="n">
        <x:v>0.72</x:v>
      </x:c>
      <x:c r="J3841" s="16" t="n">
        <x:v>2.66</x:v>
      </x:c>
      <x:c r="K3841" s="11" t="n">
        <x:f>CHOOSE('假设'!$B$3,H3841,I3841,J3841)</x:f>
        <x:v>0.72</x:v>
      </x:c>
      <x:c r="L3841" s="11" t="n">
        <x:f>K3841*'管线假设'!E831*'管线假设'!F831*'管线假设'!G831*IF(E3841="USD",'管线假设'!I831,1)-AM3841</x:f>
        <x:v>0.11503799999999997</x:v>
      </x:c>
      <x:c r="M3841" s="11" t="n">
        <x:f>'管线假设'!H831</x:f>
        <x:v>0.14</x:v>
      </x:c>
      <x:c r="N3841" s="11" t="n">
        <x:f>IF(G3841,L3841*AN3841/(1+M3841)^F3841,0)</x:f>
        <x:v>0.05975249101021529</x:v>
      </x:c>
      <x:c r="AJ3841" s="42" t="n">
        <x:v>0</x:v>
      </x:c>
      <x:c r="AK3841" s="42" t="n">
        <x:v>0</x:v>
      </x:c>
      <x:c r="AL3841" s="42" t="n">
        <x:v>0</x:v>
      </x:c>
      <x:c r="AM3841" t="n">
        <x:f>CHOOSE('假设'!$B$3,AJ3841,AK3841,AL3841)</x:f>
        <x:v>0</x:v>
      </x:c>
      <x:c r="AN3841" t="n">
        <x:v>1</x:v>
      </x:c>
    </x:row>
    <x:row r="3842" ht="23" customHeight="1">
      <x:c r="A3842" s="11" t="str">
        <x:v>02162.HK</x:v>
      </x:c>
      <x:c r="B3842" s="11" t="str">
        <x:v>2026年底</x:v>
      </x:c>
      <x:c r="C3842" s="11" t="str">
        <x:v>CM336_foreign</x:v>
      </x:c>
      <x:c r="D3842" s="11" t="str">
        <x:v>2032-12-31</x:v>
      </x:c>
      <x:c r="E3842" s="11" t="str">
        <x:v>USD</x:v>
      </x:c>
      <x:c r="F3842" s="11" t="n">
        <x:v>6.0013689253935665</x:v>
      </x:c>
      <x:c r="G3842" s="26" t="b">
        <x:v>1</x:v>
      </x:c>
      <x:c r="H3842" s="16" t="n">
        <x:v>0.09</x:v>
      </x:c>
      <x:c r="I3842" s="16" t="n">
        <x:v>1.52</x:v>
      </x:c>
      <x:c r="J3842" s="16" t="n">
        <x:v>4.55</x:v>
      </x:c>
      <x:c r="K3842" s="11" t="n">
        <x:f>CHOOSE('假设'!$B$3,H3842,I3842,J3842)</x:f>
        <x:v>1.52</x:v>
      </x:c>
      <x:c r="L3842" s="11" t="n">
        <x:f>K3842*'管线假设'!E831*'管线假设'!F831*'管线假设'!G831*IF(E3842="USD",'管线假设'!I831,1)-AM3842</x:f>
        <x:v>0.24285799999999996</x:v>
      </x:c>
      <x:c r="M3842" s="11" t="n">
        <x:f>'管线假设'!H831</x:f>
        <x:v>0.14</x:v>
      </x:c>
      <x:c r="N3842" s="11" t="n">
        <x:f>IF(G3842,L3842*AN3842/(1+M3842)^F3842,0)</x:f>
        <x:v>0.11062299380199288</x:v>
      </x:c>
      <x:c r="AJ3842" s="42" t="n">
        <x:v>0</x:v>
      </x:c>
      <x:c r="AK3842" s="42" t="n">
        <x:v>0</x:v>
      </x:c>
      <x:c r="AL3842" s="42" t="n">
        <x:v>0</x:v>
      </x:c>
      <x:c r="AM3842" t="n">
        <x:f>CHOOSE('假设'!$B$3,AJ3842,AK3842,AL3842)</x:f>
        <x:v>0</x:v>
      </x:c>
      <x:c r="AN3842" t="n">
        <x:v>1</x:v>
      </x:c>
    </x:row>
    <x:row r="3843" ht="23" customHeight="1">
      <x:c r="A3843" s="11" t="str">
        <x:v>02162.HK</x:v>
      </x:c>
      <x:c r="B3843" s="11" t="str">
        <x:v>2026年底</x:v>
      </x:c>
      <x:c r="C3843" s="11" t="str">
        <x:v>CM336_foreign</x:v>
      </x:c>
      <x:c r="D3843" s="11" t="str">
        <x:v>2033-12-31</x:v>
      </x:c>
      <x:c r="E3843" s="11" t="str">
        <x:v>USD</x:v>
      </x:c>
      <x:c r="F3843" s="11" t="n">
        <x:v>7.000684462696783</x:v>
      </x:c>
      <x:c r="G3843" s="26" t="b">
        <x:v>1</x:v>
      </x:c>
      <x:c r="H3843" s="16" t="n">
        <x:v>0.27</x:v>
      </x:c>
      <x:c r="I3843" s="16" t="n">
        <x:v>2.6</x:v>
      </x:c>
      <x:c r="J3843" s="16" t="n">
        <x:v>5.95</x:v>
      </x:c>
      <x:c r="K3843" s="11" t="n">
        <x:f>CHOOSE('假设'!$B$3,H3843,I3843,J3843)</x:f>
        <x:v>2.6</x:v>
      </x:c>
      <x:c r="L3843" s="11" t="n">
        <x:f>K3843*'管线假设'!E831*'管线假设'!F831*'管线假设'!G831*IF(E3843="USD",'管线假设'!I831,1)-AM3843</x:f>
        <x:v>0.415415</x:v>
      </x:c>
      <x:c r="M3843" s="11" t="n">
        <x:f>'管线假设'!H831</x:f>
        <x:v>0.14</x:v>
      </x:c>
      <x:c r="N3843" s="11" t="n">
        <x:f>IF(G3843,L3843*AN3843/(1+M3843)^F3843,0)</x:f>
        <x:v>0.16600045009376843</x:v>
      </x:c>
      <x:c r="AJ3843" s="42" t="n">
        <x:v>0</x:v>
      </x:c>
      <x:c r="AK3843" s="42" t="n">
        <x:v>0</x:v>
      </x:c>
      <x:c r="AL3843" s="42" t="n">
        <x:v>0</x:v>
      </x:c>
      <x:c r="AM3843" t="n">
        <x:f>CHOOSE('假设'!$B$3,AJ3843,AK3843,AL3843)</x:f>
        <x:v>0</x:v>
      </x:c>
      <x:c r="AN3843" t="n">
        <x:v>1</x:v>
      </x:c>
    </x:row>
    <x:row r="3844" ht="23" customHeight="1">
      <x:c r="A3844" s="11" t="str">
        <x:v>02162.HK</x:v>
      </x:c>
      <x:c r="B3844" s="11" t="str">
        <x:v>2026年底</x:v>
      </x:c>
      <x:c r="C3844" s="11" t="str">
        <x:v>CM336_foreign</x:v>
      </x:c>
      <x:c r="D3844" s="11" t="str">
        <x:v>2034-12-31</x:v>
      </x:c>
      <x:c r="E3844" s="11" t="str">
        <x:v>USD</x:v>
      </x:c>
      <x:c r="F3844" s="11" t="n">
        <x:v>8</x:v>
      </x:c>
      <x:c r="G3844" s="26" t="b">
        <x:v>1</x:v>
      </x:c>
      <x:c r="H3844" s="16" t="n">
        <x:v>0.5700000000000001</x:v>
      </x:c>
      <x:c r="I3844" s="16" t="n">
        <x:v>3.4</x:v>
      </x:c>
      <x:c r="J3844" s="16" t="n">
        <x:v>7</x:v>
      </x:c>
      <x:c r="K3844" s="11" t="n">
        <x:f>CHOOSE('假设'!$B$3,H3844,I3844,J3844)</x:f>
        <x:v>3.4</x:v>
      </x:c>
      <x:c r="L3844" s="11" t="n">
        <x:f>K3844*'管线假设'!E831*'管线假设'!F831*'管线假设'!G831*IF(E3844="USD",'管线假设'!I831,1)-AM3844</x:f>
        <x:v>0.5432349999999999</x:v>
      </x:c>
      <x:c r="M3844" s="11" t="n">
        <x:f>'管线假设'!H831</x:f>
        <x:v>0.14</x:v>
      </x:c>
      <x:c r="N3844" s="11" t="n">
        <x:f>IF(G3844,L3844*AN3844/(1+M3844)^F3844,0)</x:f>
        <x:v>0.19043594816185286</x:v>
      </x:c>
      <x:c r="AJ3844" s="42" t="n">
        <x:v>0</x:v>
      </x:c>
      <x:c r="AK3844" s="42" t="n">
        <x:v>0</x:v>
      </x:c>
      <x:c r="AL3844" s="42" t="n">
        <x:v>0</x:v>
      </x:c>
      <x:c r="AM3844" t="n">
        <x:f>CHOOSE('假设'!$B$3,AJ3844,AK3844,AL3844)</x:f>
        <x:v>0</x:v>
      </x:c>
      <x:c r="AN3844" t="n">
        <x:v>1</x:v>
      </x:c>
    </x:row>
    <x:row r="3845" ht="23" customHeight="1">
      <x:c r="A3845" s="11" t="str">
        <x:v>02162.HK</x:v>
      </x:c>
      <x:c r="B3845" s="11" t="str">
        <x:v>2026年底</x:v>
      </x:c>
      <x:c r="C3845" s="11" t="str">
        <x:v>CM336_foreign</x:v>
      </x:c>
      <x:c r="D3845" s="11" t="str">
        <x:v>2035-12-31</x:v>
      </x:c>
      <x:c r="E3845" s="11" t="str">
        <x:v>USD</x:v>
      </x:c>
      <x:c r="F3845" s="11" t="n">
        <x:v>8.999315537303216</x:v>
      </x:c>
      <x:c r="G3845" s="26" t="b">
        <x:v>1</x:v>
      </x:c>
      <x:c r="H3845" s="16" t="n">
        <x:v>0.9750000000000001</x:v>
      </x:c>
      <x:c r="I3845" s="16" t="n">
        <x:v>4</x:v>
      </x:c>
      <x:c r="J3845" s="16" t="n">
        <x:v>7</x:v>
      </x:c>
      <x:c r="K3845" s="11" t="n">
        <x:f>CHOOSE('假设'!$B$3,H3845,I3845,J3845)</x:f>
        <x:v>4</x:v>
      </x:c>
      <x:c r="L3845" s="11" t="n">
        <x:f>K3845*'管线假设'!E831*'管线假设'!F831*'管线假设'!G831*IF(E3845="USD",'管线假设'!I831,1)-AM3845</x:f>
        <x:v>0.6391</x:v>
      </x:c>
      <x:c r="M3845" s="11" t="n">
        <x:f>'管线假设'!H831</x:f>
        <x:v>0.14</x:v>
      </x:c>
      <x:c r="N3845" s="11" t="n">
        <x:f>IF(G3845,L3845*AN3845/(1+M3845)^F3845,0)</x:f>
        <x:v>0.19654595250493354</x:v>
      </x:c>
      <x:c r="AJ3845" s="42" t="n">
        <x:v>0</x:v>
      </x:c>
      <x:c r="AK3845" s="42" t="n">
        <x:v>0</x:v>
      </x:c>
      <x:c r="AL3845" s="42" t="n">
        <x:v>0</x:v>
      </x:c>
      <x:c r="AM3845" t="n">
        <x:f>CHOOSE('假设'!$B$3,AJ3845,AK3845,AL3845)</x:f>
        <x:v>0</x:v>
      </x:c>
      <x:c r="AN3845" t="n">
        <x:v>1</x:v>
      </x:c>
    </x:row>
    <x:row r="3846" ht="23" customHeight="1">
      <x:c r="A3846" s="11" t="str">
        <x:v>02162.HK</x:v>
      </x:c>
      <x:c r="B3846" s="11" t="str">
        <x:v>2026年底</x:v>
      </x:c>
      <x:c r="C3846" s="11" t="str">
        <x:v>CM336_foreign</x:v>
      </x:c>
      <x:c r="D3846" s="11" t="str">
        <x:v>2036-12-31</x:v>
      </x:c>
      <x:c r="E3846" s="11" t="str">
        <x:v>USD</x:v>
      </x:c>
      <x:c r="F3846" s="11" t="n">
        <x:v>10.001368925393566</x:v>
      </x:c>
      <x:c r="G3846" s="26" t="b">
        <x:v>1</x:v>
      </x:c>
      <x:c r="H3846" s="16" t="n">
        <x:v>1.275</x:v>
      </x:c>
      <x:c r="I3846" s="16" t="n">
        <x:v>4</x:v>
      </x:c>
      <x:c r="J3846" s="16" t="n">
        <x:v>6.6499999999999995</x:v>
      </x:c>
      <x:c r="K3846" s="11" t="n">
        <x:f>CHOOSE('假设'!$B$3,H3846,I3846,J3846)</x:f>
        <x:v>4</x:v>
      </x:c>
      <x:c r="L3846" s="11" t="n">
        <x:f>K3846*'管线假设'!E831*'管线假设'!F831*'管线假设'!G831*IF(E3846="USD",'管线假设'!I831,1)-AM3846</x:f>
        <x:v>0.6391</x:v>
      </x:c>
      <x:c r="M3846" s="11" t="n">
        <x:f>'管线假设'!H831</x:f>
        <x:v>0.14</x:v>
      </x:c>
      <x:c r="N3846" s="11" t="n">
        <x:f>IF(G3846,L3846*AN3846/(1+M3846)^F3846,0)</x:f>
        <x:v>0.17236234961527555</x:v>
      </x:c>
      <x:c r="AJ3846" s="42" t="n">
        <x:v>0</x:v>
      </x:c>
      <x:c r="AK3846" s="42" t="n">
        <x:v>0</x:v>
      </x:c>
      <x:c r="AL3846" s="42" t="n">
        <x:v>0</x:v>
      </x:c>
      <x:c r="AM3846" t="n">
        <x:f>CHOOSE('假设'!$B$3,AJ3846,AK3846,AL3846)</x:f>
        <x:v>0</x:v>
      </x:c>
      <x:c r="AN3846" t="n">
        <x:v>1</x:v>
      </x:c>
    </x:row>
    <x:row r="3847" ht="23" customHeight="1">
      <x:c r="A3847" s="11" t="str">
        <x:v>02162.HK</x:v>
      </x:c>
      <x:c r="B3847" s="11" t="str">
        <x:v>2026年底</x:v>
      </x:c>
      <x:c r="C3847" s="11" t="str">
        <x:v>CM336_foreign</x:v>
      </x:c>
      <x:c r="D3847" s="11" t="str">
        <x:v>2037-12-31</x:v>
      </x:c>
      <x:c r="E3847" s="11" t="str">
        <x:v>USD</x:v>
      </x:c>
      <x:c r="F3847" s="11" t="n">
        <x:v>11.000684462696784</x:v>
      </x:c>
      <x:c r="G3847" s="26" t="b">
        <x:v>1</x:v>
      </x:c>
      <x:c r="H3847" s="16" t="n">
        <x:v>1.5</x:v>
      </x:c>
      <x:c r="I3847" s="16" t="n">
        <x:v>3.8</x:v>
      </x:c>
      <x:c r="J3847" s="16" t="n">
        <x:v>6.3</x:v>
      </x:c>
      <x:c r="K3847" s="11" t="n">
        <x:f>CHOOSE('假设'!$B$3,H3847,I3847,J3847)</x:f>
        <x:v>3.8</x:v>
      </x:c>
      <x:c r="L3847" s="11" t="n">
        <x:f>K3847*'管线假设'!E831*'管线假设'!F831*'管线假设'!G831*IF(E3847="USD",'管线假设'!I831,1)-AM3847</x:f>
        <x:v>0.6071449999999999</x:v>
      </x:c>
      <x:c r="M3847" s="11" t="n">
        <x:f>'管线假设'!H831</x:f>
        <x:v>0.14</x:v>
      </x:c>
      <x:c r="N3847" s="11" t="n">
        <x:f>IF(G3847,L3847*AN3847/(1+M3847)^F3847,0)</x:f>
        <x:v>0.1436481737051384</x:v>
      </x:c>
      <x:c r="AJ3847" s="42" t="n">
        <x:v>0</x:v>
      </x:c>
      <x:c r="AK3847" s="42" t="n">
        <x:v>0</x:v>
      </x:c>
      <x:c r="AL3847" s="42" t="n">
        <x:v>0</x:v>
      </x:c>
      <x:c r="AM3847" t="n">
        <x:f>CHOOSE('假设'!$B$3,AJ3847,AK3847,AL3847)</x:f>
        <x:v>0</x:v>
      </x:c>
      <x:c r="AN3847" t="n">
        <x:v>1</x:v>
      </x:c>
    </x:row>
    <x:row r="3848" ht="23" customHeight="1">
      <x:c r="A3848" s="11" t="str">
        <x:v>02162.HK</x:v>
      </x:c>
      <x:c r="B3848" s="11" t="str">
        <x:v>2026年底</x:v>
      </x:c>
      <x:c r="C3848" s="11" t="str">
        <x:v>CM336_foreign</x:v>
      </x:c>
      <x:c r="D3848" s="11" t="str">
        <x:v>2038-12-31</x:v>
      </x:c>
      <x:c r="E3848" s="11" t="str">
        <x:v>USD</x:v>
      </x:c>
      <x:c r="F3848" s="11" t="n">
        <x:v>12</x:v>
      </x:c>
      <x:c r="G3848" s="26" t="b">
        <x:v>1</x:v>
      </x:c>
      <x:c r="H3848" s="16" t="n">
        <x:v>1.5</x:v>
      </x:c>
      <x:c r="I3848" s="16" t="n">
        <x:v>3.6</x:v>
      </x:c>
      <x:c r="J3848" s="16" t="n">
        <x:v>5.6000000000000005</x:v>
      </x:c>
      <x:c r="K3848" s="11" t="n">
        <x:f>CHOOSE('假设'!$B$3,H3848,I3848,J3848)</x:f>
        <x:v>3.6</x:v>
      </x:c>
      <x:c r="L3848" s="11" t="n">
        <x:f>K3848*'管线假设'!E831*'管线假设'!F831*'管线假设'!G831*IF(E3848="USD",'管线假设'!I831,1)-AM3848</x:f>
        <x:v>0.57519</x:v>
      </x:c>
      <x:c r="M3848" s="11" t="n">
        <x:f>'管线假设'!H831</x:f>
        <x:v>0.14</x:v>
      </x:c>
      <x:c r="N3848" s="11" t="n">
        <x:f>IF(G3848,L3848*AN3848/(1+M3848)^F3848,0)</x:f>
        <x:v>0.11938592012709691</x:v>
      </x:c>
      <x:c r="AJ3848" s="42" t="n">
        <x:v>0</x:v>
      </x:c>
      <x:c r="AK3848" s="42" t="n">
        <x:v>0</x:v>
      </x:c>
      <x:c r="AL3848" s="42" t="n">
        <x:v>0</x:v>
      </x:c>
      <x:c r="AM3848" t="n">
        <x:f>CHOOSE('假设'!$B$3,AJ3848,AK3848,AL3848)</x:f>
        <x:v>0</x:v>
      </x:c>
      <x:c r="AN3848" t="n">
        <x:v>1</x:v>
      </x:c>
    </x:row>
    <x:row r="3849" ht="23" customHeight="1">
      <x:c r="A3849" s="11" t="str">
        <x:v>02162.HK</x:v>
      </x:c>
      <x:c r="B3849" s="11" t="str">
        <x:v>2026年底</x:v>
      </x:c>
      <x:c r="C3849" s="11" t="str">
        <x:v>CM336_foreign</x:v>
      </x:c>
      <x:c r="D3849" s="11" t="str">
        <x:v>2039-12-31</x:v>
      </x:c>
      <x:c r="E3849" s="11" t="str">
        <x:v>USD</x:v>
      </x:c>
      <x:c r="F3849" s="11" t="n">
        <x:v>12.999315537303216</x:v>
      </x:c>
      <x:c r="G3849" s="26" t="b">
        <x:v>1</x:v>
      </x:c>
      <x:c r="H3849" s="16" t="n">
        <x:v>1.4249999999999998</x:v>
      </x:c>
      <x:c r="I3849" s="16" t="n">
        <x:v>3.2</x:v>
      </x:c>
      <x:c r="J3849" s="16" t="n">
        <x:v>4.55</x:v>
      </x:c>
      <x:c r="K3849" s="11" t="n">
        <x:f>CHOOSE('假设'!$B$3,H3849,I3849,J3849)</x:f>
        <x:v>3.2</x:v>
      </x:c>
      <x:c r="L3849" s="11" t="n">
        <x:f>K3849*'管线假设'!E831*'管线假设'!F831*'管线假设'!G831*IF(E3849="USD",'管线假设'!I831,1)-AM3849</x:f>
        <x:v>0.51128</x:v>
      </x:c>
      <x:c r="M3849" s="11" t="n">
        <x:f>'管线假设'!H831</x:f>
        <x:v>0.14</x:v>
      </x:c>
      <x:c r="N3849" s="11" t="n">
        <x:f>IF(G3849,L3849*AN3849/(1+M3849)^F3849,0)</x:f>
        <x:v>0.09309678566008729</x:v>
      </x:c>
      <x:c r="AJ3849" s="42" t="n">
        <x:v>0</x:v>
      </x:c>
      <x:c r="AK3849" s="42" t="n">
        <x:v>0</x:v>
      </x:c>
      <x:c r="AL3849" s="42" t="n">
        <x:v>0</x:v>
      </x:c>
      <x:c r="AM3849" t="n">
        <x:f>CHOOSE('假设'!$B$3,AJ3849,AK3849,AL3849)</x:f>
        <x:v>0</x:v>
      </x:c>
      <x:c r="AN3849" t="n">
        <x:v>1</x:v>
      </x:c>
    </x:row>
    <x:row r="3850" ht="23" customHeight="1">
      <x:c r="A3850" s="11" t="str">
        <x:v>02162.HK</x:v>
      </x:c>
      <x:c r="B3850" s="11" t="str">
        <x:v>2026年底</x:v>
      </x:c>
      <x:c r="C3850" s="11" t="str">
        <x:v>CM336_foreign</x:v>
      </x:c>
      <x:c r="D3850" s="11" t="str">
        <x:v>2040-12-31</x:v>
      </x:c>
      <x:c r="E3850" s="11" t="str">
        <x:v>USD</x:v>
      </x:c>
      <x:c r="F3850" s="11" t="n">
        <x:v>14.001368925393566</x:v>
      </x:c>
      <x:c r="G3850" s="26" t="b">
        <x:v>1</x:v>
      </x:c>
      <x:c r="H3850" s="16" t="n">
        <x:v>1.35</x:v>
      </x:c>
      <x:c r="I3850" s="16" t="n">
        <x:v>2.6</x:v>
      </x:c>
      <x:c r="J3850" s="16" t="n">
        <x:v>3.5</x:v>
      </x:c>
      <x:c r="K3850" s="11" t="n">
        <x:f>CHOOSE('假设'!$B$3,H3850,I3850,J3850)</x:f>
        <x:v>2.6</x:v>
      </x:c>
      <x:c r="L3850" s="11" t="n">
        <x:f>K3850*'管线假设'!E831*'管线假设'!F831*'管线假设'!G831*IF(E3850="USD",'管线假设'!I831,1)-AM3850</x:f>
        <x:v>0.415415</x:v>
      </x:c>
      <x:c r="M3850" s="11" t="n">
        <x:f>'管线假设'!H831</x:f>
        <x:v>0.14</x:v>
      </x:c>
      <x:c r="N3850" s="11" t="n">
        <x:f>IF(G3850,L3850*AN3850/(1+M3850)^F3850,0)</x:f>
        <x:v>0.06633402604945345</x:v>
      </x:c>
      <x:c r="AJ3850" s="42" t="n">
        <x:v>0</x:v>
      </x:c>
      <x:c r="AK3850" s="42" t="n">
        <x:v>0</x:v>
      </x:c>
      <x:c r="AL3850" s="42" t="n">
        <x:v>0</x:v>
      </x:c>
      <x:c r="AM3850" t="n">
        <x:f>CHOOSE('假设'!$B$3,AJ3850,AK3850,AL3850)</x:f>
        <x:v>0</x:v>
      </x:c>
      <x:c r="AN3850" t="n">
        <x:v>1</x:v>
      </x:c>
    </x:row>
    <x:row r="3851" ht="23" customHeight="1">
      <x:c r="A3851" s="11" t="str">
        <x:v>02162.HK</x:v>
      </x:c>
      <x:c r="B3851" s="11" t="str">
        <x:v>2026年底</x:v>
      </x:c>
      <x:c r="C3851" s="11" t="str">
        <x:v>CM336_foreign</x:v>
      </x:c>
      <x:c r="D3851" s="11" t="str">
        <x:v>2041-12-31</x:v>
      </x:c>
      <x:c r="E3851" s="11" t="str">
        <x:v>USD</x:v>
      </x:c>
      <x:c r="F3851" s="11" t="n">
        <x:v>15.000684462696784</x:v>
      </x:c>
      <x:c r="G3851" s="26" t="b">
        <x:v>1</x:v>
      </x:c>
      <x:c r="H3851" s="16" t="n">
        <x:v>1.2000000000000002</x:v>
      </x:c>
      <x:c r="I3851" s="16" t="n">
        <x:v>2</x:v>
      </x:c>
      <x:c r="J3851" s="16" t="n">
        <x:v>2.4499999999999997</x:v>
      </x:c>
      <x:c r="K3851" s="11" t="n">
        <x:f>CHOOSE('假设'!$B$3,H3851,I3851,J3851)</x:f>
        <x:v>2</x:v>
      </x:c>
      <x:c r="L3851" s="11" t="n">
        <x:f>K3851*'管线假设'!E831*'管线假设'!F831*'管线假设'!G831*IF(E3851="USD",'管线假设'!I831,1)-AM3851</x:f>
        <x:v>0.31955</x:v>
      </x:c>
      <x:c r="M3851" s="11" t="n">
        <x:f>'管线假设'!H831</x:f>
        <x:v>0.14</x:v>
      </x:c>
      <x:c r="N3851" s="11" t="n">
        <x:f>IF(G3851,L3851*AN3851/(1+M3851)^F3851,0)</x:f>
        <x:v>0.04476381606897869</x:v>
      </x:c>
      <x:c r="AJ3851" s="42" t="n">
        <x:v>0</x:v>
      </x:c>
      <x:c r="AK3851" s="42" t="n">
        <x:v>0</x:v>
      </x:c>
      <x:c r="AL3851" s="42" t="n">
        <x:v>0</x:v>
      </x:c>
      <x:c r="AM3851" t="n">
        <x:f>CHOOSE('假设'!$B$3,AJ3851,AK3851,AL3851)</x:f>
        <x:v>0</x:v>
      </x:c>
      <x:c r="AN3851" t="n">
        <x:v>1</x:v>
      </x:c>
    </x:row>
    <x:row r="3852" ht="23" customHeight="1">
      <x:c r="A3852" s="11" t="str">
        <x:v>02162.HK</x:v>
      </x:c>
      <x:c r="B3852" s="11" t="str">
        <x:v>2026年底</x:v>
      </x:c>
      <x:c r="C3852" s="11" t="str">
        <x:v>CM336_foreign</x:v>
      </x:c>
      <x:c r="D3852" s="11" t="str">
        <x:v>2042-12-31</x:v>
      </x:c>
      <x:c r="E3852" s="11" t="str">
        <x:v>USD</x:v>
      </x:c>
      <x:c r="F3852" s="11" t="n">
        <x:v>16</x:v>
      </x:c>
      <x:c r="G3852" s="26" t="b">
        <x:v>1</x:v>
      </x:c>
      <x:c r="H3852" s="16" t="n">
        <x:v>0.9750000000000001</x:v>
      </x:c>
      <x:c r="I3852" s="16" t="n">
        <x:v>1.4</x:v>
      </x:c>
      <x:c r="J3852" s="16" t="n">
        <x:v>1.4000000000000001</x:v>
      </x:c>
      <x:c r="K3852" s="11" t="n">
        <x:f>CHOOSE('假设'!$B$3,H3852,I3852,J3852)</x:f>
        <x:v>1.4</x:v>
      </x:c>
      <x:c r="L3852" s="11" t="n">
        <x:f>K3852*'管线假设'!E831*'管线假设'!F831*'管线假设'!G831*IF(E3852="USD",'管线假设'!I831,1)-AM3852</x:f>
        <x:v>0.22368499999999997</x:v>
      </x:c>
      <x:c r="M3852" s="11" t="n">
        <x:f>'管线假设'!H831</x:f>
        <x:v>0.14</x:v>
      </x:c>
      <x:c r="N3852" s="11" t="n">
        <x:f>IF(G3852,L3852*AN3852/(1+M3852)^F3852,0)</x:f>
        <x:v>0.027489018940034877</x:v>
      </x:c>
      <x:c r="AJ3852" s="42" t="n">
        <x:v>0</x:v>
      </x:c>
      <x:c r="AK3852" s="42" t="n">
        <x:v>0</x:v>
      </x:c>
      <x:c r="AL3852" s="42" t="n">
        <x:v>0</x:v>
      </x:c>
      <x:c r="AM3852" t="n">
        <x:f>CHOOSE('假设'!$B$3,AJ3852,AK3852,AL3852)</x:f>
        <x:v>0</x:v>
      </x:c>
      <x:c r="AN3852" t="n">
        <x:v>1</x:v>
      </x:c>
    </x:row>
    <x:row r="3853" ht="23" customHeight="1">
      <x:c r="A3853" s="11" t="str">
        <x:v>02162.HK</x:v>
      </x:c>
      <x:c r="B3853" s="11" t="str">
        <x:v>2026年底</x:v>
      </x:c>
      <x:c r="C3853" s="11" t="str">
        <x:v>CM336_foreign</x:v>
      </x:c>
      <x:c r="D3853" s="11" t="str">
        <x:v>2043-12-31</x:v>
      </x:c>
      <x:c r="E3853" s="11" t="str">
        <x:v>USD</x:v>
      </x:c>
      <x:c r="F3853" s="11" t="n">
        <x:v>16.999315537303218</x:v>
      </x:c>
      <x:c r="G3853" s="26" t="b">
        <x:v>1</x:v>
      </x:c>
      <x:c r="H3853" s="16" t="n">
        <x:v>0.75</x:v>
      </x:c>
      <x:c r="I3853" s="16" t="n">
        <x:v>0.8</x:v>
      </x:c>
      <x:c r="J3853" s="16" t="n">
        <x:v>0.84</x:v>
      </x:c>
      <x:c r="K3853" s="11" t="n">
        <x:f>CHOOSE('假设'!$B$3,H3853,I3853,J3853)</x:f>
        <x:v>0.8</x:v>
      </x:c>
      <x:c r="L3853" s="11" t="n">
        <x:f>K3853*'管线假设'!E831*'管线假设'!F831*'管线假设'!G831*IF(E3853="USD",'管线假设'!I831,1)-AM3853</x:f>
        <x:v>0.12782</x:v>
      </x:c>
      <x:c r="M3853" s="11" t="n">
        <x:f>'管线假设'!H831</x:f>
        <x:v>0.14</x:v>
      </x:c>
      <x:c r="N3853" s="11" t="n">
        <x:f>IF(G3853,L3853*AN3853/(1+M3853)^F3853,0)</x:f>
        <x:v>0.013780192668974388</x:v>
      </x:c>
      <x:c r="AJ3853" s="42" t="n">
        <x:v>0</x:v>
      </x:c>
      <x:c r="AK3853" s="42" t="n">
        <x:v>0</x:v>
      </x:c>
      <x:c r="AL3853" s="42" t="n">
        <x:v>0</x:v>
      </x:c>
      <x:c r="AM3853" t="n">
        <x:f>CHOOSE('假设'!$B$3,AJ3853,AK3853,AL3853)</x:f>
        <x:v>0</x:v>
      </x:c>
      <x:c r="AN3853" t="n">
        <x:v>1</x:v>
      </x:c>
    </x:row>
    <x:row r="3854" ht="23" customHeight="1">
      <x:c r="A3854" s="11" t="str">
        <x:v>02162.HK</x:v>
      </x:c>
      <x:c r="B3854" s="11" t="str">
        <x:v>2026年底</x:v>
      </x:c>
      <x:c r="C3854" s="11" t="str">
        <x:v>CM336_foreign</x:v>
      </x:c>
      <x:c r="D3854" s="11" t="str">
        <x:v>2044-12-31</x:v>
      </x:c>
      <x:c r="E3854" s="11" t="str">
        <x:v>USD</x:v>
      </x:c>
      <x:c r="F3854" s="11" t="n">
        <x:v>18.001368925393567</x:v>
      </x:c>
      <x:c r="G3854" s="26" t="b">
        <x:v>1</x:v>
      </x:c>
      <x:c r="H3854" s="16" t="n">
        <x:v>0.5249999999999999</x:v>
      </x:c>
      <x:c r="I3854" s="16" t="n">
        <x:v>0.48</x:v>
      </x:c>
      <x:c r="J3854" s="16" t="n">
        <x:v>0.49000000000000005</x:v>
      </x:c>
      <x:c r="K3854" s="11" t="n">
        <x:f>CHOOSE('假设'!$B$3,H3854,I3854,J3854)</x:f>
        <x:v>0.48</x:v>
      </x:c>
      <x:c r="L3854" s="11" t="n">
        <x:f>K3854*'管线假设'!E831*'管线假设'!F831*'管线假设'!G831*IF(E3854="USD",'管线假设'!I831,1)-AM3854</x:f>
        <x:v>0.076692</x:v>
      </x:c>
      <x:c r="M3854" s="11" t="n">
        <x:f>'管线假设'!H831</x:f>
        <x:v>0.14</x:v>
      </x:c>
      <x:c r="N3854" s="11" t="n">
        <x:f>IF(G3854,L3854*AN3854/(1+M3854)^F3854,0)</x:f>
        <x:v>0.00725078188475848</x:v>
      </x:c>
      <x:c r="AJ3854" s="42" t="n">
        <x:v>0</x:v>
      </x:c>
      <x:c r="AK3854" s="42" t="n">
        <x:v>0</x:v>
      </x:c>
      <x:c r="AL3854" s="42" t="n">
        <x:v>0</x:v>
      </x:c>
      <x:c r="AM3854" t="n">
        <x:f>CHOOSE('假设'!$B$3,AJ3854,AK3854,AL3854)</x:f>
        <x:v>0</x:v>
      </x:c>
      <x:c r="AN3854" t="n">
        <x:v>1</x:v>
      </x:c>
    </x:row>
    <x:row r="3855" ht="23" customHeight="1">
      <x:c r="A3855" s="11" t="str">
        <x:v>02162.HK</x:v>
      </x:c>
      <x:c r="B3855" s="11" t="str">
        <x:v>2026年底</x:v>
      </x:c>
      <x:c r="C3855" s="11" t="str">
        <x:v>CM336_domestic</x:v>
      </x:c>
      <x:c r="D3855" s="11" t="str">
        <x:v>2026-12-31</x:v>
      </x:c>
      <x:c r="E3855" s="11" t="str">
        <x:v>CNY</x:v>
      </x:c>
      <x:c r="F3855" s="11" t="n">
        <x:v>0</x:v>
      </x:c>
      <x:c r="G3855" s="26" t="b">
        <x:v>0</x:v>
      </x:c>
      <x:c r="H3855" s="16" t="n">
        <x:v>0</x:v>
      </x:c>
      <x:c r="I3855" s="16" t="n">
        <x:v>0</x:v>
      </x:c>
      <x:c r="J3855" s="16" t="n">
        <x:v>0</x:v>
      </x:c>
      <x:c r="K3855" s="11" t="n">
        <x:f>CHOOSE('假设'!$B$3,H3855,I3855,J3855)</x:f>
        <x:v>0</x:v>
      </x:c>
      <x:c r="L3855" s="11" t="n">
        <x:f>K3855*'管线假设'!E835*'管线假设'!F835*'管线假设'!G835*IF(E3855="USD",'管线假设'!I835,1)-AM3855</x:f>
        <x:v>-0.12</x:v>
      </x:c>
      <x:c r="M3855" s="11" t="n">
        <x:f>'管线假设'!H835</x:f>
        <x:v>0.14</x:v>
      </x:c>
      <x:c r="N3855" s="11" t="n">
        <x:f>IF(G3855,L3855*AN3855/(1+M3855)^F3855,0)</x:f>
        <x:v>0</x:v>
      </x:c>
      <x:c r="AJ3855" s="42" t="n">
        <x:v>0.08</x:v>
      </x:c>
      <x:c r="AK3855" s="42" t="n">
        <x:v>0.12</x:v>
      </x:c>
      <x:c r="AL3855" s="42" t="n">
        <x:v>0.18</x:v>
      </x:c>
      <x:c r="AM3855" t="n">
        <x:f>CHOOSE('假设'!$B$3,AJ3855,AK3855,AL3855)</x:f>
        <x:v>0.12</x:v>
      </x:c>
      <x:c r="AN3855" t="n">
        <x:v>0</x:v>
      </x:c>
    </x:row>
    <x:row r="3856" ht="23" customHeight="1">
      <x:c r="A3856" s="11" t="str">
        <x:v>02162.HK</x:v>
      </x:c>
      <x:c r="B3856" s="11" t="str">
        <x:v>2026年底</x:v>
      </x:c>
      <x:c r="C3856" s="11" t="str">
        <x:v>CM336_domestic</x:v>
      </x:c>
      <x:c r="D3856" s="11" t="str">
        <x:v>2027-12-31</x:v>
      </x:c>
      <x:c r="E3856" s="11" t="str">
        <x:v>CNY</x:v>
      </x:c>
      <x:c r="F3856" s="11" t="n">
        <x:v>0.999315537303217</x:v>
      </x:c>
      <x:c r="G3856" s="26" t="b">
        <x:v>1</x:v>
      </x:c>
      <x:c r="H3856" s="16" t="n">
        <x:v>0</x:v>
      </x:c>
      <x:c r="I3856" s="16" t="n">
        <x:v>0</x:v>
      </x:c>
      <x:c r="J3856" s="16" t="n">
        <x:v>0</x:v>
      </x:c>
      <x:c r="K3856" s="11" t="n">
        <x:f>CHOOSE('假设'!$B$3,H3856,I3856,J3856)</x:f>
        <x:v>0</x:v>
      </x:c>
      <x:c r="L3856" s="11" t="n">
        <x:f>K3856*'管线假设'!E835*'管线假设'!F835*'管线假设'!G835*IF(E3856="USD",'管线假设'!I835,1)-AM3856</x:f>
        <x:v>-0.15</x:v>
      </x:c>
      <x:c r="M3856" s="11" t="n">
        <x:f>'管线假设'!H835</x:f>
        <x:v>0.14</x:v>
      </x:c>
      <x:c r="N3856" s="11" t="n">
        <x:f>IF(G3856,L3856*AN3856/(1+M3856)^F3856,0)</x:f>
        <x:v>-0.13159074841836418</x:v>
      </x:c>
      <x:c r="AJ3856" s="42" t="n">
        <x:v>0.08</x:v>
      </x:c>
      <x:c r="AK3856" s="42" t="n">
        <x:v>0.15</x:v>
      </x:c>
      <x:c r="AL3856" s="42" t="n">
        <x:v>0.22</x:v>
      </x:c>
      <x:c r="AM3856" t="n">
        <x:f>CHOOSE('假设'!$B$3,AJ3856,AK3856,AL3856)</x:f>
        <x:v>0.15</x:v>
      </x:c>
      <x:c r="AN3856" t="n">
        <x:v>1</x:v>
      </x:c>
    </x:row>
    <x:row r="3857" ht="23" customHeight="1">
      <x:c r="A3857" s="11" t="str">
        <x:v>02162.HK</x:v>
      </x:c>
      <x:c r="B3857" s="11" t="str">
        <x:v>2026年底</x:v>
      </x:c>
      <x:c r="C3857" s="11" t="str">
        <x:v>CM336_domestic</x:v>
      </x:c>
      <x:c r="D3857" s="11" t="str">
        <x:v>2028-12-31</x:v>
      </x:c>
      <x:c r="E3857" s="11" t="str">
        <x:v>CNY</x:v>
      </x:c>
      <x:c r="F3857" s="11" t="n">
        <x:v>2.001368925393566</x:v>
      </x:c>
      <x:c r="G3857" s="26" t="b">
        <x:v>1</x:v>
      </x:c>
      <x:c r="H3857" s="16" t="n">
        <x:v>0</x:v>
      </x:c>
      <x:c r="I3857" s="16" t="n">
        <x:v>0</x:v>
      </x:c>
      <x:c r="J3857" s="16" t="n">
        <x:v>0.18</x:v>
      </x:c>
      <x:c r="K3857" s="11" t="n">
        <x:f>CHOOSE('假设'!$B$3,H3857,I3857,J3857)</x:f>
        <x:v>0</x:v>
      </x:c>
      <x:c r="L3857" s="11" t="n">
        <x:f>K3857*'管线假设'!E835*'管线假设'!F835*'管线假设'!G835*IF(E3857="USD",'管线假设'!I835,1)-AM3857</x:f>
        <x:v>-0.14</x:v>
      </x:c>
      <x:c r="M3857" s="11" t="n">
        <x:f>'管线假设'!H835</x:f>
        <x:v>0.14</x:v>
      </x:c>
      <x:c r="N3857" s="11" t="n">
        <x:f>IF(G3857,L3857*AN3857/(1+M3857)^F3857,0)</x:f>
        <x:v>-0.10770613322850812</x:v>
      </x:c>
      <x:c r="AJ3857" s="42" t="n">
        <x:v>0.06</x:v>
      </x:c>
      <x:c r="AK3857" s="42" t="n">
        <x:v>0.14</x:v>
      </x:c>
      <x:c r="AL3857" s="42" t="n">
        <x:v>0.18</x:v>
      </x:c>
      <x:c r="AM3857" t="n">
        <x:f>CHOOSE('假设'!$B$3,AJ3857,AK3857,AL3857)</x:f>
        <x:v>0.14</x:v>
      </x:c>
      <x:c r="AN3857" t="n">
        <x:v>1</x:v>
      </x:c>
    </x:row>
    <x:row r="3858" ht="23" customHeight="1">
      <x:c r="A3858" s="11" t="str">
        <x:v>02162.HK</x:v>
      </x:c>
      <x:c r="B3858" s="11" t="str">
        <x:v>2026年底</x:v>
      </x:c>
      <x:c r="C3858" s="11" t="str">
        <x:v>CM336_domestic</x:v>
      </x:c>
      <x:c r="D3858" s="11" t="str">
        <x:v>2029-12-31</x:v>
      </x:c>
      <x:c r="E3858" s="11" t="str">
        <x:v>CNY</x:v>
      </x:c>
      <x:c r="F3858" s="11" t="n">
        <x:v>3.0006844626967832</x:v>
      </x:c>
      <x:c r="G3858" s="26" t="b">
        <x:v>1</x:v>
      </x:c>
      <x:c r="H3858" s="16" t="n">
        <x:v>0</x:v>
      </x:c>
      <x:c r="I3858" s="16" t="n">
        <x:v>0.09</x:v>
      </x:c>
      <x:c r="J3858" s="16" t="n">
        <x:v>0.54</x:v>
      </x:c>
      <x:c r="K3858" s="11" t="n">
        <x:f>CHOOSE('假设'!$B$3,H3858,I3858,J3858)</x:f>
        <x:v>0.09</x:v>
      </x:c>
      <x:c r="L3858" s="11" t="n">
        <x:f>K3858*'管线假设'!E835*'管线假设'!F835*'管线假设'!G835*IF(E3858="USD",'管线假设'!I835,1)-AM3858</x:f>
        <x:v>-0.05380000000000001</x:v>
      </x:c>
      <x:c r="M3858" s="11" t="n">
        <x:f>'管线假设'!H835</x:f>
        <x:v>0.14</x:v>
      </x:c>
      <x:c r="N3858" s="11" t="n">
        <x:f>IF(G3858,L3858*AN3858/(1+M3858)^F3858,0)</x:f>
        <x:v>-0.0363102109822078</x:v>
      </x:c>
      <x:c r="AJ3858" s="42" t="n">
        <x:v>0</x:v>
      </x:c>
      <x:c r="AK3858" s="42" t="n">
        <x:v>0.07</x:v>
      </x:c>
      <x:c r="AL3858" s="42" t="n">
        <x:v>0.07</x:v>
      </x:c>
      <x:c r="AM3858" t="n">
        <x:f>CHOOSE('假设'!$B$3,AJ3858,AK3858,AL3858)</x:f>
        <x:v>0.07</x:v>
      </x:c>
      <x:c r="AN3858" t="n">
        <x:v>1</x:v>
      </x:c>
    </x:row>
    <x:row r="3859" ht="23" customHeight="1">
      <x:c r="A3859" s="11" t="str">
        <x:v>02162.HK</x:v>
      </x:c>
      <x:c r="B3859" s="11" t="str">
        <x:v>2026年底</x:v>
      </x:c>
      <x:c r="C3859" s="11" t="str">
        <x:v>CM336_domestic</x:v>
      </x:c>
      <x:c r="D3859" s="11" t="str">
        <x:v>2030-12-31</x:v>
      </x:c>
      <x:c r="E3859" s="11" t="str">
        <x:v>CNY</x:v>
      </x:c>
      <x:c r="F3859" s="11" t="n">
        <x:v>4</x:v>
      </x:c>
      <x:c r="G3859" s="26" t="b">
        <x:v>1</x:v>
      </x:c>
      <x:c r="H3859" s="16" t="n">
        <x:v>0</x:v>
      </x:c>
      <x:c r="I3859" s="16" t="n">
        <x:v>0.27</x:v>
      </x:c>
      <x:c r="J3859" s="16" t="n">
        <x:v>1.1400000000000001</x:v>
      </x:c>
      <x:c r="K3859" s="11" t="n">
        <x:f>CHOOSE('假设'!$B$3,H3859,I3859,J3859)</x:f>
        <x:v>0.27</x:v>
      </x:c>
      <x:c r="L3859" s="11" t="n">
        <x:f>K3859*'管线假设'!E835*'管线假设'!F835*'管线假设'!G835*IF(E3859="USD",'管线假设'!I835,1)-AM3859</x:f>
        <x:v>0.048600000000000004</x:v>
      </x:c>
      <x:c r="M3859" s="11" t="n">
        <x:f>'管线假设'!H835</x:f>
        <x:v>0.14</x:v>
      </x:c>
      <x:c r="N3859" s="11" t="n">
        <x:f>IF(G3859,L3859*AN3859/(1+M3859)^F3859,0)</x:f>
        <x:v>0.028775101480191207</x:v>
      </x:c>
      <x:c r="AJ3859" s="42" t="n">
        <x:v>0</x:v>
      </x:c>
      <x:c r="AK3859" s="42" t="n">
        <x:v>0</x:v>
      </x:c>
      <x:c r="AL3859" s="42" t="n">
        <x:v>0</x:v>
      </x:c>
      <x:c r="AM3859" t="n">
        <x:f>CHOOSE('假设'!$B$3,AJ3859,AK3859,AL3859)</x:f>
        <x:v>0</x:v>
      </x:c>
      <x:c r="AN3859" t="n">
        <x:v>1</x:v>
      </x:c>
    </x:row>
    <x:row r="3860" ht="23" customHeight="1">
      <x:c r="A3860" s="11" t="str">
        <x:v>02162.HK</x:v>
      </x:c>
      <x:c r="B3860" s="11" t="str">
        <x:v>2026年底</x:v>
      </x:c>
      <x:c r="C3860" s="11" t="str">
        <x:v>CM336_domestic</x:v>
      </x:c>
      <x:c r="D3860" s="11" t="str">
        <x:v>2031-12-31</x:v>
      </x:c>
      <x:c r="E3860" s="11" t="str">
        <x:v>CNY</x:v>
      </x:c>
      <x:c r="F3860" s="11" t="n">
        <x:v>4.999315537303217</x:v>
      </x:c>
      <x:c r="G3860" s="26" t="b">
        <x:v>1</x:v>
      </x:c>
      <x:c r="H3860" s="16" t="n">
        <x:v>0.03</x:v>
      </x:c>
      <x:c r="I3860" s="16" t="n">
        <x:v>0.5700000000000001</x:v>
      </x:c>
      <x:c r="J3860" s="16" t="n">
        <x:v>1.9500000000000002</x:v>
      </x:c>
      <x:c r="K3860" s="11" t="n">
        <x:f>CHOOSE('假设'!$B$3,H3860,I3860,J3860)</x:f>
        <x:v>0.5700000000000001</x:v>
      </x:c>
      <x:c r="L3860" s="11" t="n">
        <x:f>K3860*'管线假设'!E835*'管线假设'!F835*'管线假设'!G835*IF(E3860="USD",'管线假设'!I835,1)-AM3860</x:f>
        <x:v>0.10260000000000002</x:v>
      </x:c>
      <x:c r="M3860" s="11" t="n">
        <x:f>'管线假设'!H835</x:f>
        <x:v>0.14</x:v>
      </x:c>
      <x:c r="N3860" s="11" t="n">
        <x:f>IF(G3860,L3860*AN3860/(1+M3860)^F3860,0)</x:f>
        <x:v>0.053292004186860795</x:v>
      </x:c>
      <x:c r="AJ3860" s="42" t="n">
        <x:v>0</x:v>
      </x:c>
      <x:c r="AK3860" s="42" t="n">
        <x:v>0</x:v>
      </x:c>
      <x:c r="AL3860" s="42" t="n">
        <x:v>0</x:v>
      </x:c>
      <x:c r="AM3860" t="n">
        <x:f>CHOOSE('假设'!$B$3,AJ3860,AK3860,AL3860)</x:f>
        <x:v>0</x:v>
      </x:c>
      <x:c r="AN3860" t="n">
        <x:v>1</x:v>
      </x:c>
    </x:row>
    <x:row r="3861" ht="23" customHeight="1">
      <x:c r="A3861" s="11" t="str">
        <x:v>02162.HK</x:v>
      </x:c>
      <x:c r="B3861" s="11" t="str">
        <x:v>2026年底</x:v>
      </x:c>
      <x:c r="C3861" s="11" t="str">
        <x:v>CM336_domestic</x:v>
      </x:c>
      <x:c r="D3861" s="11" t="str">
        <x:v>2032-12-31</x:v>
      </x:c>
      <x:c r="E3861" s="11" t="str">
        <x:v>CNY</x:v>
      </x:c>
      <x:c r="F3861" s="11" t="n">
        <x:v>6.0013689253935665</x:v>
      </x:c>
      <x:c r="G3861" s="26" t="b">
        <x:v>1</x:v>
      </x:c>
      <x:c r="H3861" s="16" t="n">
        <x:v>0.09</x:v>
      </x:c>
      <x:c r="I3861" s="16" t="n">
        <x:v>0.9750000000000001</x:v>
      </x:c>
      <x:c r="J3861" s="16" t="n">
        <x:v>2.55</x:v>
      </x:c>
      <x:c r="K3861" s="11" t="n">
        <x:f>CHOOSE('假设'!$B$3,H3861,I3861,J3861)</x:f>
        <x:v>0.9750000000000001</x:v>
      </x:c>
      <x:c r="L3861" s="11" t="n">
        <x:f>K3861*'管线假设'!E835*'管线假设'!F835*'管线假设'!G835*IF(E3861="USD",'管线假设'!I835,1)-AM3861</x:f>
        <x:v>0.17550000000000004</x:v>
      </x:c>
      <x:c r="M3861" s="11" t="n">
        <x:f>'管线假设'!H835</x:f>
        <x:v>0.14</x:v>
      </x:c>
      <x:c r="N3861" s="11" t="n">
        <x:f>IF(G3861,L3861*AN3861/(1+M3861)^F3861,0)</x:f>
        <x:v>0.07994109896420855</x:v>
      </x:c>
      <x:c r="AJ3861" s="42" t="n">
        <x:v>0</x:v>
      </x:c>
      <x:c r="AK3861" s="42" t="n">
        <x:v>0</x:v>
      </x:c>
      <x:c r="AL3861" s="42" t="n">
        <x:v>0</x:v>
      </x:c>
      <x:c r="AM3861" t="n">
        <x:f>CHOOSE('假设'!$B$3,AJ3861,AK3861,AL3861)</x:f>
        <x:v>0</x:v>
      </x:c>
      <x:c r="AN3861" t="n">
        <x:v>1</x:v>
      </x:c>
    </x:row>
    <x:row r="3862" ht="23" customHeight="1">
      <x:c r="A3862" s="11" t="str">
        <x:v>02162.HK</x:v>
      </x:c>
      <x:c r="B3862" s="11" t="str">
        <x:v>2026年底</x:v>
      </x:c>
      <x:c r="C3862" s="11" t="str">
        <x:v>CM336_domestic</x:v>
      </x:c>
      <x:c r="D3862" s="11" t="str">
        <x:v>2033-12-31</x:v>
      </x:c>
      <x:c r="E3862" s="11" t="str">
        <x:v>CNY</x:v>
      </x:c>
      <x:c r="F3862" s="11" t="n">
        <x:v>7.000684462696783</x:v>
      </x:c>
      <x:c r="G3862" s="26" t="b">
        <x:v>1</x:v>
      </x:c>
      <x:c r="H3862" s="16" t="n">
        <x:v>0.19</x:v>
      </x:c>
      <x:c r="I3862" s="16" t="n">
        <x:v>1.275</x:v>
      </x:c>
      <x:c r="J3862" s="16" t="n">
        <x:v>3</x:v>
      </x:c>
      <x:c r="K3862" s="11" t="n">
        <x:f>CHOOSE('假设'!$B$3,H3862,I3862,J3862)</x:f>
        <x:v>1.275</x:v>
      </x:c>
      <x:c r="L3862" s="11" t="n">
        <x:f>K3862*'管线假设'!E835*'管线假设'!F835*'管线假设'!G835*IF(E3862="USD",'管线假设'!I835,1)-AM3862</x:f>
        <x:v>0.2295</x:v>
      </x:c>
      <x:c r="M3862" s="11" t="n">
        <x:f>'管线假设'!H835</x:f>
        <x:v>0.14</x:v>
      </x:c>
      <x:c r="N3862" s="11" t="n">
        <x:f>IF(G3862,L3862*AN3862/(1+M3862)^F3862,0)</x:f>
        <x:v>0.09170854036690985</x:v>
      </x:c>
      <x:c r="AJ3862" s="42" t="n">
        <x:v>0</x:v>
      </x:c>
      <x:c r="AK3862" s="42" t="n">
        <x:v>0</x:v>
      </x:c>
      <x:c r="AL3862" s="42" t="n">
        <x:v>0</x:v>
      </x:c>
      <x:c r="AM3862" t="n">
        <x:f>CHOOSE('假设'!$B$3,AJ3862,AK3862,AL3862)</x:f>
        <x:v>0</x:v>
      </x:c>
      <x:c r="AN3862" t="n">
        <x:v>1</x:v>
      </x:c>
    </x:row>
    <x:row r="3863" ht="23" customHeight="1">
      <x:c r="A3863" s="11" t="str">
        <x:v>02162.HK</x:v>
      </x:c>
      <x:c r="B3863" s="11" t="str">
        <x:v>2026年底</x:v>
      </x:c>
      <x:c r="C3863" s="11" t="str">
        <x:v>CM336_domestic</x:v>
      </x:c>
      <x:c r="D3863" s="11" t="str">
        <x:v>2034-12-31</x:v>
      </x:c>
      <x:c r="E3863" s="11" t="str">
        <x:v>CNY</x:v>
      </x:c>
      <x:c r="F3863" s="11" t="n">
        <x:v>8</x:v>
      </x:c>
      <x:c r="G3863" s="26" t="b">
        <x:v>1</x:v>
      </x:c>
      <x:c r="H3863" s="16" t="n">
        <x:v>0.325</x:v>
      </x:c>
      <x:c r="I3863" s="16" t="n">
        <x:v>1.5</x:v>
      </x:c>
      <x:c r="J3863" s="16" t="n">
        <x:v>3</x:v>
      </x:c>
      <x:c r="K3863" s="11" t="n">
        <x:f>CHOOSE('假设'!$B$3,H3863,I3863,J3863)</x:f>
        <x:v>1.5</x:v>
      </x:c>
      <x:c r="L3863" s="11" t="n">
        <x:f>K3863*'管线假设'!E835*'管线假设'!F835*'管线假设'!G835*IF(E3863="USD",'管线假设'!I835,1)-AM3863</x:f>
        <x:v>0.2700000000000001</x:v>
      </x:c>
      <x:c r="M3863" s="11" t="n">
        <x:f>'管线假设'!H835</x:f>
        <x:v>0.14</x:v>
      </x:c>
      <x:c r="N3863" s="11" t="n">
        <x:f>IF(G3863,L3863*AN3863/(1+M3863)^F3863,0)</x:f>
        <x:v>0.09465094480970536</x:v>
      </x:c>
      <x:c r="AJ3863" s="42" t="n">
        <x:v>0</x:v>
      </x:c>
      <x:c r="AK3863" s="42" t="n">
        <x:v>0</x:v>
      </x:c>
      <x:c r="AL3863" s="42" t="n">
        <x:v>0</x:v>
      </x:c>
      <x:c r="AM3863" t="n">
        <x:f>CHOOSE('假设'!$B$3,AJ3863,AK3863,AL3863)</x:f>
        <x:v>0</x:v>
      </x:c>
      <x:c r="AN3863" t="n">
        <x:v>1</x:v>
      </x:c>
    </x:row>
    <x:row r="3864" ht="23" customHeight="1">
      <x:c r="A3864" s="11" t="str">
        <x:v>02162.HK</x:v>
      </x:c>
      <x:c r="B3864" s="11" t="str">
        <x:v>2026年底</x:v>
      </x:c>
      <x:c r="C3864" s="11" t="str">
        <x:v>CM336_domestic</x:v>
      </x:c>
      <x:c r="D3864" s="11" t="str">
        <x:v>2035-12-31</x:v>
      </x:c>
      <x:c r="E3864" s="11" t="str">
        <x:v>CNY</x:v>
      </x:c>
      <x:c r="F3864" s="11" t="n">
        <x:v>8.999315537303216</x:v>
      </x:c>
      <x:c r="G3864" s="26" t="b">
        <x:v>1</x:v>
      </x:c>
      <x:c r="H3864" s="16" t="n">
        <x:v>0.425</x:v>
      </x:c>
      <x:c r="I3864" s="16" t="n">
        <x:v>1.5</x:v>
      </x:c>
      <x:c r="J3864" s="16" t="n">
        <x:v>2.8499999999999996</x:v>
      </x:c>
      <x:c r="K3864" s="11" t="n">
        <x:f>CHOOSE('假设'!$B$3,H3864,I3864,J3864)</x:f>
        <x:v>1.5</x:v>
      </x:c>
      <x:c r="L3864" s="11" t="n">
        <x:f>K3864*'管线假设'!E835*'管线假设'!F835*'管线假设'!G835*IF(E3864="USD",'管线假设'!I835,1)-AM3864</x:f>
        <x:v>0.2700000000000001</x:v>
      </x:c>
      <x:c r="M3864" s="11" t="n">
        <x:f>'管线假设'!H835</x:f>
        <x:v>0.14</x:v>
      </x:c>
      <x:c r="N3864" s="11" t="n">
        <x:f>IF(G3864,L3864*AN3864/(1+M3864)^F3864,0)</x:f>
        <x:v>0.08303459110676274</x:v>
      </x:c>
      <x:c r="AJ3864" s="42" t="n">
        <x:v>0</x:v>
      </x:c>
      <x:c r="AK3864" s="42" t="n">
        <x:v>0</x:v>
      </x:c>
      <x:c r="AL3864" s="42" t="n">
        <x:v>0</x:v>
      </x:c>
      <x:c r="AM3864" t="n">
        <x:f>CHOOSE('假设'!$B$3,AJ3864,AK3864,AL3864)</x:f>
        <x:v>0</x:v>
      </x:c>
      <x:c r="AN3864" t="n">
        <x:v>1</x:v>
      </x:c>
    </x:row>
    <x:row r="3865" ht="23" customHeight="1">
      <x:c r="A3865" s="11" t="str">
        <x:v>02162.HK</x:v>
      </x:c>
      <x:c r="B3865" s="11" t="str">
        <x:v>2026年底</x:v>
      </x:c>
      <x:c r="C3865" s="11" t="str">
        <x:v>CM336_domestic</x:v>
      </x:c>
      <x:c r="D3865" s="11" t="str">
        <x:v>2036-12-31</x:v>
      </x:c>
      <x:c r="E3865" s="11" t="str">
        <x:v>CNY</x:v>
      </x:c>
      <x:c r="F3865" s="11" t="n">
        <x:v>10.001368925393566</x:v>
      </x:c>
      <x:c r="G3865" s="26" t="b">
        <x:v>1</x:v>
      </x:c>
      <x:c r="H3865" s="16" t="n">
        <x:v>0.5</x:v>
      </x:c>
      <x:c r="I3865" s="16" t="n">
        <x:v>1.4249999999999998</x:v>
      </x:c>
      <x:c r="J3865" s="16" t="n">
        <x:v>2.7</x:v>
      </x:c>
      <x:c r="K3865" s="11" t="n">
        <x:f>CHOOSE('假设'!$B$3,H3865,I3865,J3865)</x:f>
        <x:v>1.4249999999999998</x:v>
      </x:c>
      <x:c r="L3865" s="11" t="n">
        <x:f>K3865*'管线假设'!E835*'管线假设'!F835*'管线假设'!G835*IF(E3865="USD",'管线假设'!I835,1)-AM3865</x:f>
        <x:v>0.2565</x:v>
      </x:c>
      <x:c r="M3865" s="11" t="n">
        <x:f>'管线假设'!H835</x:f>
        <x:v>0.14</x:v>
      </x:c>
      <x:c r="N3865" s="11" t="n">
        <x:f>IF(G3865,L3865*AN3865/(1+M3865)^F3865,0)</x:f>
        <x:v>0.06917687791631698</x:v>
      </x:c>
      <x:c r="AJ3865" s="42" t="n">
        <x:v>0</x:v>
      </x:c>
      <x:c r="AK3865" s="42" t="n">
        <x:v>0</x:v>
      </x:c>
      <x:c r="AL3865" s="42" t="n">
        <x:v>0</x:v>
      </x:c>
      <x:c r="AM3865" t="n">
        <x:f>CHOOSE('假设'!$B$3,AJ3865,AK3865,AL3865)</x:f>
        <x:v>0</x:v>
      </x:c>
      <x:c r="AN3865" t="n">
        <x:v>1</x:v>
      </x:c>
    </x:row>
    <x:row r="3866" ht="23" customHeight="1">
      <x:c r="A3866" s="11" t="str">
        <x:v>02162.HK</x:v>
      </x:c>
      <x:c r="B3866" s="11" t="str">
        <x:v>2026年底</x:v>
      </x:c>
      <x:c r="C3866" s="11" t="str">
        <x:v>CM336_domestic</x:v>
      </x:c>
      <x:c r="D3866" s="11" t="str">
        <x:v>2037-12-31</x:v>
      </x:c>
      <x:c r="E3866" s="11" t="str">
        <x:v>CNY</x:v>
      </x:c>
      <x:c r="F3866" s="11" t="n">
        <x:v>11.000684462696784</x:v>
      </x:c>
      <x:c r="G3866" s="26" t="b">
        <x:v>1</x:v>
      </x:c>
      <x:c r="H3866" s="16" t="n">
        <x:v>0.5</x:v>
      </x:c>
      <x:c r="I3866" s="16" t="n">
        <x:v>1.35</x:v>
      </x:c>
      <x:c r="J3866" s="16" t="n">
        <x:v>2.4000000000000004</x:v>
      </x:c>
      <x:c r="K3866" s="11" t="n">
        <x:f>CHOOSE('假设'!$B$3,H3866,I3866,J3866)</x:f>
        <x:v>1.35</x:v>
      </x:c>
      <x:c r="L3866" s="11" t="n">
        <x:f>K3866*'管线假设'!E835*'管线假设'!F835*'管线假设'!G835*IF(E3866="USD",'管线假设'!I835,1)-AM3866</x:f>
        <x:v>0.24300000000000002</x:v>
      </x:c>
      <x:c r="M3866" s="11" t="n">
        <x:f>'管线假设'!H835</x:f>
        <x:v>0.14</x:v>
      </x:c>
      <x:c r="N3866" s="11" t="n">
        <x:f>IF(G3866,L3866*AN3866/(1+M3866)^F3866,0)</x:f>
        <x:v>0.0574928661363408</x:v>
      </x:c>
      <x:c r="AJ3866" s="42" t="n">
        <x:v>0</x:v>
      </x:c>
      <x:c r="AK3866" s="42" t="n">
        <x:v>0</x:v>
      </x:c>
      <x:c r="AL3866" s="42" t="n">
        <x:v>0</x:v>
      </x:c>
      <x:c r="AM3866" t="n">
        <x:f>CHOOSE('假设'!$B$3,AJ3866,AK3866,AL3866)</x:f>
        <x:v>0</x:v>
      </x:c>
      <x:c r="AN3866" t="n">
        <x:v>1</x:v>
      </x:c>
    </x:row>
    <x:row r="3867" ht="23" customHeight="1">
      <x:c r="A3867" s="11" t="str">
        <x:v>02162.HK</x:v>
      </x:c>
      <x:c r="B3867" s="11" t="str">
        <x:v>2026年底</x:v>
      </x:c>
      <x:c r="C3867" s="11" t="str">
        <x:v>CM336_domestic</x:v>
      </x:c>
      <x:c r="D3867" s="11" t="str">
        <x:v>2038-12-31</x:v>
      </x:c>
      <x:c r="E3867" s="11" t="str">
        <x:v>CNY</x:v>
      </x:c>
      <x:c r="F3867" s="11" t="n">
        <x:v>12</x:v>
      </x:c>
      <x:c r="G3867" s="26" t="b">
        <x:v>1</x:v>
      </x:c>
      <x:c r="H3867" s="16" t="n">
        <x:v>0.475</x:v>
      </x:c>
      <x:c r="I3867" s="16" t="n">
        <x:v>1.2000000000000002</x:v>
      </x:c>
      <x:c r="J3867" s="16" t="n">
        <x:v>1.9500000000000002</x:v>
      </x:c>
      <x:c r="K3867" s="11" t="n">
        <x:f>CHOOSE('假设'!$B$3,H3867,I3867,J3867)</x:f>
        <x:v>1.2000000000000002</x:v>
      </x:c>
      <x:c r="L3867" s="11" t="n">
        <x:f>K3867*'管线假设'!E835*'管线假设'!F835*'管线假设'!G835*IF(E3867="USD",'管线假设'!I835,1)-AM3867</x:f>
        <x:v>0.21600000000000005</x:v>
      </x:c>
      <x:c r="M3867" s="11" t="n">
        <x:f>'管线假设'!H835</x:f>
        <x:v>0.14</x:v>
      </x:c>
      <x:c r="N3867" s="11" t="n">
        <x:f>IF(G3867,L3867*AN3867/(1+M3867)^F3867,0)</x:f>
        <x:v>0.044832766125024674</x:v>
      </x:c>
      <x:c r="AJ3867" s="42" t="n">
        <x:v>0</x:v>
      </x:c>
      <x:c r="AK3867" s="42" t="n">
        <x:v>0</x:v>
      </x:c>
      <x:c r="AL3867" s="42" t="n">
        <x:v>0</x:v>
      </x:c>
      <x:c r="AM3867" t="n">
        <x:f>CHOOSE('假设'!$B$3,AJ3867,AK3867,AL3867)</x:f>
        <x:v>0</x:v>
      </x:c>
      <x:c r="AN3867" t="n">
        <x:v>1</x:v>
      </x:c>
    </x:row>
    <x:row r="3868" ht="23" customHeight="1">
      <x:c r="A3868" s="11" t="str">
        <x:v>02162.HK</x:v>
      </x:c>
      <x:c r="B3868" s="11" t="str">
        <x:v>2026年底</x:v>
      </x:c>
      <x:c r="C3868" s="11" t="str">
        <x:v>CM336_domestic</x:v>
      </x:c>
      <x:c r="D3868" s="11" t="str">
        <x:v>2039-12-31</x:v>
      </x:c>
      <x:c r="E3868" s="11" t="str">
        <x:v>CNY</x:v>
      </x:c>
      <x:c r="F3868" s="11" t="n">
        <x:v>12.999315537303216</x:v>
      </x:c>
      <x:c r="G3868" s="26" t="b">
        <x:v>1</x:v>
      </x:c>
      <x:c r="H3868" s="16" t="n">
        <x:v>0.45</x:v>
      </x:c>
      <x:c r="I3868" s="16" t="n">
        <x:v>0.9750000000000001</x:v>
      </x:c>
      <x:c r="J3868" s="16" t="n">
        <x:v>1.5</x:v>
      </x:c>
      <x:c r="K3868" s="11" t="n">
        <x:f>CHOOSE('假设'!$B$3,H3868,I3868,J3868)</x:f>
        <x:v>0.9750000000000001</x:v>
      </x:c>
      <x:c r="L3868" s="11" t="n">
        <x:f>K3868*'管线假设'!E835*'管线假设'!F835*'管线假设'!G835*IF(E3868="USD",'管线假设'!I835,1)-AM3868</x:f>
        <x:v>0.17550000000000004</x:v>
      </x:c>
      <x:c r="M3868" s="11" t="n">
        <x:f>'管线假设'!H835</x:f>
        <x:v>0.14</x:v>
      </x:c>
      <x:c r="N3868" s="11" t="n">
        <x:f>IF(G3868,L3868*AN3868/(1+M3868)^F3868,0)</x:f>
        <x:v>0.031956043426978026</x:v>
      </x:c>
      <x:c r="AJ3868" s="42" t="n">
        <x:v>0</x:v>
      </x:c>
      <x:c r="AK3868" s="42" t="n">
        <x:v>0</x:v>
      </x:c>
      <x:c r="AL3868" s="42" t="n">
        <x:v>0</x:v>
      </x:c>
      <x:c r="AM3868" t="n">
        <x:f>CHOOSE('假设'!$B$3,AJ3868,AK3868,AL3868)</x:f>
        <x:v>0</x:v>
      </x:c>
      <x:c r="AN3868" t="n">
        <x:v>1</x:v>
      </x:c>
    </x:row>
    <x:row r="3869" ht="23" customHeight="1">
      <x:c r="A3869" s="11" t="str">
        <x:v>02162.HK</x:v>
      </x:c>
      <x:c r="B3869" s="11" t="str">
        <x:v>2026年底</x:v>
      </x:c>
      <x:c r="C3869" s="11" t="str">
        <x:v>CM336_domestic</x:v>
      </x:c>
      <x:c r="D3869" s="11" t="str">
        <x:v>2040-12-31</x:v>
      </x:c>
      <x:c r="E3869" s="11" t="str">
        <x:v>CNY</x:v>
      </x:c>
      <x:c r="F3869" s="11" t="n">
        <x:v>14.001368925393566</x:v>
      </x:c>
      <x:c r="G3869" s="26" t="b">
        <x:v>1</x:v>
      </x:c>
      <x:c r="H3869" s="16" t="n">
        <x:v>0.4</x:v>
      </x:c>
      <x:c r="I3869" s="16" t="n">
        <x:v>0.75</x:v>
      </x:c>
      <x:c r="J3869" s="16" t="n">
        <x:v>1.0499999999999998</x:v>
      </x:c>
      <x:c r="K3869" s="11" t="n">
        <x:f>CHOOSE('假设'!$B$3,H3869,I3869,J3869)</x:f>
        <x:v>0.75</x:v>
      </x:c>
      <x:c r="L3869" s="11" t="n">
        <x:f>K3869*'管线假设'!E835*'管线假设'!F835*'管线假设'!G835*IF(E3869="USD",'管线假设'!I835,1)-AM3869</x:f>
        <x:v>0.13500000000000004</x:v>
      </x:c>
      <x:c r="M3869" s="11" t="n">
        <x:f>'管线假设'!H835</x:f>
        <x:v>0.14</x:v>
      </x:c>
      <x:c r="N3869" s="11" t="n">
        <x:f>IF(G3869,L3869*AN3869/(1+M3869)^F3869,0)</x:f>
        <x:v>0.02155698161278774</x:v>
      </x:c>
      <x:c r="AJ3869" s="42" t="n">
        <x:v>0</x:v>
      </x:c>
      <x:c r="AK3869" s="42" t="n">
        <x:v>0</x:v>
      </x:c>
      <x:c r="AL3869" s="42" t="n">
        <x:v>0</x:v>
      </x:c>
      <x:c r="AM3869" t="n">
        <x:f>CHOOSE('假设'!$B$3,AJ3869,AK3869,AL3869)</x:f>
        <x:v>0</x:v>
      </x:c>
      <x:c r="AN3869" t="n">
        <x:v>1</x:v>
      </x:c>
    </x:row>
    <x:row r="3870" ht="23" customHeight="1">
      <x:c r="A3870" s="11" t="str">
        <x:v>02162.HK</x:v>
      </x:c>
      <x:c r="B3870" s="11" t="str">
        <x:v>2026年底</x:v>
      </x:c>
      <x:c r="C3870" s="11" t="str">
        <x:v>CM336_domestic</x:v>
      </x:c>
      <x:c r="D3870" s="11" t="str">
        <x:v>2041-12-31</x:v>
      </x:c>
      <x:c r="E3870" s="11" t="str">
        <x:v>CNY</x:v>
      </x:c>
      <x:c r="F3870" s="11" t="n">
        <x:v>15.000684462696784</x:v>
      </x:c>
      <x:c r="G3870" s="26" t="b">
        <x:v>1</x:v>
      </x:c>
      <x:c r="H3870" s="16" t="n">
        <x:v>0.325</x:v>
      </x:c>
      <x:c r="I3870" s="16" t="n">
        <x:v>0.5249999999999999</x:v>
      </x:c>
      <x:c r="J3870" s="16" t="n">
        <x:v>0.6000000000000001</x:v>
      </x:c>
      <x:c r="K3870" s="11" t="n">
        <x:f>CHOOSE('假设'!$B$3,H3870,I3870,J3870)</x:f>
        <x:v>0.5249999999999999</x:v>
      </x:c>
      <x:c r="L3870" s="11" t="n">
        <x:f>K3870*'管线假设'!E835*'管线假设'!F835*'管线假设'!G835*IF(E3870="USD",'管线假设'!I835,1)-AM3870</x:f>
        <x:v>0.09449999999999999</x:v>
      </x:c>
      <x:c r="M3870" s="11" t="n">
        <x:f>'管线假设'!H835</x:f>
        <x:v>0.14</x:v>
      </x:c>
      <x:c r="N3870" s="11" t="n">
        <x:f>IF(G3870,L3870*AN3870/(1+M3870)^F3870,0)</x:f>
        <x:v>0.01323793027231571</x:v>
      </x:c>
      <x:c r="AJ3870" s="42" t="n">
        <x:v>0</x:v>
      </x:c>
      <x:c r="AK3870" s="42" t="n">
        <x:v>0</x:v>
      </x:c>
      <x:c r="AL3870" s="42" t="n">
        <x:v>0</x:v>
      </x:c>
      <x:c r="AM3870" t="n">
        <x:f>CHOOSE('假设'!$B$3,AJ3870,AK3870,AL3870)</x:f>
        <x:v>0</x:v>
      </x:c>
      <x:c r="AN3870" t="n">
        <x:v>1</x:v>
      </x:c>
    </x:row>
    <x:row r="3871" ht="23" customHeight="1">
      <x:c r="A3871" s="11" t="str">
        <x:v>02162.HK</x:v>
      </x:c>
      <x:c r="B3871" s="11" t="str">
        <x:v>2026年底</x:v>
      </x:c>
      <x:c r="C3871" s="11" t="str">
        <x:v>CM336_domestic</x:v>
      </x:c>
      <x:c r="D3871" s="11" t="str">
        <x:v>2042-12-31</x:v>
      </x:c>
      <x:c r="E3871" s="11" t="str">
        <x:v>CNY</x:v>
      </x:c>
      <x:c r="F3871" s="11" t="n">
        <x:v>16</x:v>
      </x:c>
      <x:c r="G3871" s="26" t="b">
        <x:v>1</x:v>
      </x:c>
      <x:c r="H3871" s="16" t="n">
        <x:v>0.25</x:v>
      </x:c>
      <x:c r="I3871" s="16" t="n">
        <x:v>0.30000000000000004</x:v>
      </x:c>
      <x:c r="J3871" s="16" t="n">
        <x:v>0.36</x:v>
      </x:c>
      <x:c r="K3871" s="11" t="n">
        <x:f>CHOOSE('假设'!$B$3,H3871,I3871,J3871)</x:f>
        <x:v>0.30000000000000004</x:v>
      </x:c>
      <x:c r="L3871" s="11" t="n">
        <x:f>K3871*'管线假设'!E835*'管线假设'!F835*'管线假设'!G835*IF(E3871="USD",'管线假设'!I835,1)-AM3871</x:f>
        <x:v>0.05400000000000001</x:v>
      </x:c>
      <x:c r="M3871" s="11" t="n">
        <x:f>'管线假设'!H835</x:f>
        <x:v>0.14</x:v>
      </x:c>
      <x:c r="N3871" s="11" t="n">
        <x:f>IF(G3871,L3871*AN3871/(1+M3871)^F3871,0)</x:f>
        <x:v>0.006636149150644361</x:v>
      </x:c>
      <x:c r="AJ3871" s="42" t="n">
        <x:v>0</x:v>
      </x:c>
      <x:c r="AK3871" s="42" t="n">
        <x:v>0</x:v>
      </x:c>
      <x:c r="AL3871" s="42" t="n">
        <x:v>0</x:v>
      </x:c>
      <x:c r="AM3871" t="n">
        <x:f>CHOOSE('假设'!$B$3,AJ3871,AK3871,AL3871)</x:f>
        <x:v>0</x:v>
      </x:c>
      <x:c r="AN3871" t="n">
        <x:v>1</x:v>
      </x:c>
    </x:row>
    <x:row r="3872" ht="23" customHeight="1">
      <x:c r="A3872" s="11" t="str">
        <x:v>02162.HK</x:v>
      </x:c>
      <x:c r="B3872" s="11" t="str">
        <x:v>2026年底</x:v>
      </x:c>
      <x:c r="C3872" s="11" t="str">
        <x:v>CM336_domestic</x:v>
      </x:c>
      <x:c r="D3872" s="11" t="str">
        <x:v>2043-12-31</x:v>
      </x:c>
      <x:c r="E3872" s="11" t="str">
        <x:v>CNY</x:v>
      </x:c>
      <x:c r="F3872" s="11" t="n">
        <x:v>16.999315537303218</x:v>
      </x:c>
      <x:c r="G3872" s="26" t="b">
        <x:v>1</x:v>
      </x:c>
      <x:c r="H3872" s="16" t="n">
        <x:v>0.175</x:v>
      </x:c>
      <x:c r="I3872" s="16" t="n">
        <x:v>0.18</x:v>
      </x:c>
      <x:c r="J3872" s="16" t="n">
        <x:v>0.21000000000000002</x:v>
      </x:c>
      <x:c r="K3872" s="11" t="n">
        <x:f>CHOOSE('假设'!$B$3,H3872,I3872,J3872)</x:f>
        <x:v>0.18</x:v>
      </x:c>
      <x:c r="L3872" s="11" t="n">
        <x:f>K3872*'管线假设'!E835*'管线假设'!F835*'管线假设'!G835*IF(E3872="USD",'管线假设'!I835,1)-AM3872</x:f>
        <x:v>0.0324</x:v>
      </x:c>
      <x:c r="M3872" s="11" t="n">
        <x:f>'管线假设'!H835</x:f>
        <x:v>0.14</x:v>
      </x:c>
      <x:c r="N3872" s="11" t="n">
        <x:f>IF(G3872,L3872*AN3872/(1+M3872)^F3872,0)</x:f>
        <x:v>0.0034930233333967313</x:v>
      </x:c>
      <x:c r="AJ3872" s="42" t="n">
        <x:v>0</x:v>
      </x:c>
      <x:c r="AK3872" s="42" t="n">
        <x:v>0</x:v>
      </x:c>
      <x:c r="AL3872" s="42" t="n">
        <x:v>0</x:v>
      </x:c>
      <x:c r="AM3872" t="n">
        <x:f>CHOOSE('假设'!$B$3,AJ3872,AK3872,AL3872)</x:f>
        <x:v>0</x:v>
      </x:c>
      <x:c r="AN3872" t="n">
        <x:v>1</x:v>
      </x:c>
    </x:row>
    <x:row r="3873" ht="23" customHeight="1">
      <x:c r="A3873" s="11" t="str">
        <x:v>02162.HK</x:v>
      </x:c>
      <x:c r="B3873" s="11" t="str">
        <x:v>2026年底</x:v>
      </x:c>
      <x:c r="C3873" s="11" t="str">
        <x:v>CM336_domestic</x:v>
      </x:c>
      <x:c r="D3873" s="11" t="str">
        <x:v>2044-12-31</x:v>
      </x:c>
      <x:c r="E3873" s="11" t="str">
        <x:v>CNY</x:v>
      </x:c>
      <x:c r="F3873" s="11" t="n">
        <x:v>18.001368925393567</x:v>
      </x:c>
      <x:c r="G3873" s="26" t="b">
        <x:v>1</x:v>
      </x:c>
      <x:c r="H3873" s="16" t="n">
        <x:v>0.1</x:v>
      </x:c>
      <x:c r="I3873" s="16" t="n">
        <x:v>0.10500000000000001</x:v>
      </x:c>
      <x:c r="J3873" s="16" t="n">
        <x:v>0.09</x:v>
      </x:c>
      <x:c r="K3873" s="11" t="n">
        <x:f>CHOOSE('假设'!$B$3,H3873,I3873,J3873)</x:f>
        <x:v>0.10500000000000001</x:v>
      </x:c>
      <x:c r="L3873" s="11" t="n">
        <x:f>K3873*'管线假设'!E835*'管线假设'!F835*'管线假设'!G835*IF(E3873="USD",'管线假设'!I835,1)-AM3873</x:f>
        <x:v>0.018900000000000004</x:v>
      </x:c>
      <x:c r="M3873" s="11" t="n">
        <x:f>'管线假设'!H835</x:f>
        <x:v>0.14</x:v>
      </x:c>
      <x:c r="N3873" s="11" t="n">
        <x:f>IF(G3873,L3873*AN3873/(1+M3873)^F3873,0)</x:f>
        <x:v>0.001786884911358881</x:v>
      </x:c>
      <x:c r="AJ3873" s="42" t="n">
        <x:v>0</x:v>
      </x:c>
      <x:c r="AK3873" s="42" t="n">
        <x:v>0</x:v>
      </x:c>
      <x:c r="AL3873" s="42" t="n">
        <x:v>0</x:v>
      </x:c>
      <x:c r="AM3873" t="n">
        <x:f>CHOOSE('假设'!$B$3,AJ3873,AK3873,AL3873)</x:f>
        <x:v>0</x:v>
      </x:c>
      <x:c r="AN3873" t="n">
        <x:v>1</x:v>
      </x:c>
    </x:row>
    <x:row r="3874" ht="23" customHeight="1">
      <x:c r="A3874" s="11" t="str">
        <x:v>02162.HK</x:v>
      </x:c>
      <x:c r="B3874" s="11" t="str">
        <x:v>2026年底</x:v>
      </x:c>
      <x:c r="C3874" s="11" t="str">
        <x:v>CM313_domestic</x:v>
      </x:c>
      <x:c r="D3874" s="11" t="str">
        <x:v>2026-12-31</x:v>
      </x:c>
      <x:c r="E3874" s="11" t="str">
        <x:v>CNY</x:v>
      </x:c>
      <x:c r="F3874" s="11" t="n">
        <x:v>0</x:v>
      </x:c>
      <x:c r="G3874" s="26" t="b">
        <x:v>0</x:v>
      </x:c>
      <x:c r="H3874" s="16" t="n">
        <x:v>0</x:v>
      </x:c>
      <x:c r="I3874" s="16" t="n">
        <x:v>0</x:v>
      </x:c>
      <x:c r="J3874" s="16" t="n">
        <x:v>0</x:v>
      </x:c>
      <x:c r="K3874" s="11" t="n">
        <x:f>CHOOSE('假设'!$B$3,H3874,I3874,J3874)</x:f>
        <x:v>0</x:v>
      </x:c>
      <x:c r="L3874" s="11" t="n">
        <x:f>K3874*'管线假设'!E839*'管线假设'!F839*'管线假设'!G839*IF(E3874="USD",'管线假设'!I839,1)-AM3874</x:f>
        <x:v>-0.1</x:v>
      </x:c>
      <x:c r="M3874" s="11" t="n">
        <x:f>'管线假设'!H839</x:f>
        <x:v>0.14</x:v>
      </x:c>
      <x:c r="N3874" s="11" t="n">
        <x:f>IF(G3874,L3874*AN3874/(1+M3874)^F3874,0)</x:f>
        <x:v>0</x:v>
      </x:c>
      <x:c r="AJ3874" s="42" t="n">
        <x:v>0.06</x:v>
      </x:c>
      <x:c r="AK3874" s="42" t="n">
        <x:v>0.1</x:v>
      </x:c>
      <x:c r="AL3874" s="42" t="n">
        <x:v>0.14</x:v>
      </x:c>
      <x:c r="AM3874" t="n">
        <x:f>CHOOSE('假设'!$B$3,AJ3874,AK3874,AL3874)</x:f>
        <x:v>0.1</x:v>
      </x:c>
      <x:c r="AN3874" t="n">
        <x:v>0</x:v>
      </x:c>
    </x:row>
    <x:row r="3875" ht="23" customHeight="1">
      <x:c r="A3875" s="11" t="str">
        <x:v>02162.HK</x:v>
      </x:c>
      <x:c r="B3875" s="11" t="str">
        <x:v>2026年底</x:v>
      </x:c>
      <x:c r="C3875" s="11" t="str">
        <x:v>CM313_domestic</x:v>
      </x:c>
      <x:c r="D3875" s="11" t="str">
        <x:v>2027-12-31</x:v>
      </x:c>
      <x:c r="E3875" s="11" t="str">
        <x:v>CNY</x:v>
      </x:c>
      <x:c r="F3875" s="11" t="n">
        <x:v>0.999315537303217</x:v>
      </x:c>
      <x:c r="G3875" s="26" t="b">
        <x:v>1</x:v>
      </x:c>
      <x:c r="H3875" s="16" t="n">
        <x:v>0</x:v>
      </x:c>
      <x:c r="I3875" s="16" t="n">
        <x:v>0</x:v>
      </x:c>
      <x:c r="J3875" s="16" t="n">
        <x:v>0</x:v>
      </x:c>
      <x:c r="K3875" s="11" t="n">
        <x:f>CHOOSE('假设'!$B$3,H3875,I3875,J3875)</x:f>
        <x:v>0</x:v>
      </x:c>
      <x:c r="L3875" s="11" t="n">
        <x:f>K3875*'管线假设'!E839*'管线假设'!F839*'管线假设'!G839*IF(E3875="USD",'管线假设'!I839,1)-AM3875</x:f>
        <x:v>-0.13</x:v>
      </x:c>
      <x:c r="M3875" s="11" t="n">
        <x:f>'管线假设'!H839</x:f>
        <x:v>0.14</x:v>
      </x:c>
      <x:c r="N3875" s="11" t="n">
        <x:f>IF(G3875,L3875*AN3875/(1+M3875)^F3875,0)</x:f>
        <x:v>-0.11404531529591562</x:v>
      </x:c>
      <x:c r="AJ3875" s="42" t="n">
        <x:v>0.06</x:v>
      </x:c>
      <x:c r="AK3875" s="42" t="n">
        <x:v>0.13</x:v>
      </x:c>
      <x:c r="AL3875" s="42" t="n">
        <x:v>0.18</x:v>
      </x:c>
      <x:c r="AM3875" t="n">
        <x:f>CHOOSE('假设'!$B$3,AJ3875,AK3875,AL3875)</x:f>
        <x:v>0.13</x:v>
      </x:c>
      <x:c r="AN3875" t="n">
        <x:v>1</x:v>
      </x:c>
    </x:row>
    <x:row r="3876" ht="23" customHeight="1">
      <x:c r="A3876" s="11" t="str">
        <x:v>02162.HK</x:v>
      </x:c>
      <x:c r="B3876" s="11" t="str">
        <x:v>2026年底</x:v>
      </x:c>
      <x:c r="C3876" s="11" t="str">
        <x:v>CM313_domestic</x:v>
      </x:c>
      <x:c r="D3876" s="11" t="str">
        <x:v>2028-12-31</x:v>
      </x:c>
      <x:c r="E3876" s="11" t="str">
        <x:v>CNY</x:v>
      </x:c>
      <x:c r="F3876" s="11" t="n">
        <x:v>2.001368925393566</x:v>
      </x:c>
      <x:c r="G3876" s="26" t="b">
        <x:v>1</x:v>
      </x:c>
      <x:c r="H3876" s="16" t="n">
        <x:v>0</x:v>
      </x:c>
      <x:c r="I3876" s="16" t="n">
        <x:v>0</x:v>
      </x:c>
      <x:c r="J3876" s="16" t="n">
        <x:v>0</x:v>
      </x:c>
      <x:c r="K3876" s="11" t="n">
        <x:f>CHOOSE('假设'!$B$3,H3876,I3876,J3876)</x:f>
        <x:v>0</x:v>
      </x:c>
      <x:c r="L3876" s="11" t="n">
        <x:f>K3876*'管线假设'!E839*'管线假设'!F839*'管线假设'!G839*IF(E3876="USD",'管线假设'!I839,1)-AM3876</x:f>
        <x:v>-0.13</x:v>
      </x:c>
      <x:c r="M3876" s="11" t="n">
        <x:f>'管线假设'!H839</x:f>
        <x:v>0.14</x:v>
      </x:c>
      <x:c r="N3876" s="11" t="n">
        <x:f>IF(G3876,L3876*AN3876/(1+M3876)^F3876,0)</x:f>
        <x:v>-0.1000128379979004</x:v>
      </x:c>
      <x:c r="AJ3876" s="42" t="n">
        <x:v>0.04</x:v>
      </x:c>
      <x:c r="AK3876" s="42" t="n">
        <x:v>0.13</x:v>
      </x:c>
      <x:c r="AL3876" s="42" t="n">
        <x:v>0.18</x:v>
      </x:c>
      <x:c r="AM3876" t="n">
        <x:f>CHOOSE('假设'!$B$3,AJ3876,AK3876,AL3876)</x:f>
        <x:v>0.13</x:v>
      </x:c>
      <x:c r="AN3876" t="n">
        <x:v>1</x:v>
      </x:c>
    </x:row>
    <x:row r="3877" ht="23" customHeight="1">
      <x:c r="A3877" s="11" t="str">
        <x:v>02162.HK</x:v>
      </x:c>
      <x:c r="B3877" s="11" t="str">
        <x:v>2026年底</x:v>
      </x:c>
      <x:c r="C3877" s="11" t="str">
        <x:v>CM313_domestic</x:v>
      </x:c>
      <x:c r="D3877" s="11" t="str">
        <x:v>2029-12-31</x:v>
      </x:c>
      <x:c r="E3877" s="11" t="str">
        <x:v>CNY</x:v>
      </x:c>
      <x:c r="F3877" s="11" t="n">
        <x:v>3.0006844626967832</x:v>
      </x:c>
      <x:c r="G3877" s="26" t="b">
        <x:v>1</x:v>
      </x:c>
      <x:c r="H3877" s="16" t="n">
        <x:v>0</x:v>
      </x:c>
      <x:c r="I3877" s="16" t="n">
        <x:v>0</x:v>
      </x:c>
      <x:c r="J3877" s="16" t="n">
        <x:v>0.15</x:v>
      </x:c>
      <x:c r="K3877" s="11" t="n">
        <x:f>CHOOSE('假设'!$B$3,H3877,I3877,J3877)</x:f>
        <x:v>0</x:v>
      </x:c>
      <x:c r="L3877" s="11" t="n">
        <x:f>K3877*'管线假设'!E839*'管线假设'!F839*'管线假设'!G839*IF(E3877="USD",'管线假设'!I839,1)-AM3877</x:f>
        <x:v>-0.07</x:v>
      </x:c>
      <x:c r="M3877" s="11" t="n">
        <x:f>'管线假设'!H839</x:f>
        <x:v>0.14</x:v>
      </x:c>
      <x:c r="N3877" s="11" t="n">
        <x:f>IF(G3877,L3877*AN3877/(1+M3877)^F3877,0)</x:f>
        <x:v>-0.047243768935958094</x:v>
      </x:c>
      <x:c r="AJ3877" s="42" t="n">
        <x:v>0</x:v>
      </x:c>
      <x:c r="AK3877" s="42" t="n">
        <x:v>0.07</x:v>
      </x:c>
      <x:c r="AL3877" s="42" t="n">
        <x:v>0.09</x:v>
      </x:c>
      <x:c r="AM3877" t="n">
        <x:f>CHOOSE('假设'!$B$3,AJ3877,AK3877,AL3877)</x:f>
        <x:v>0.07</x:v>
      </x:c>
      <x:c r="AN3877" t="n">
        <x:v>1</x:v>
      </x:c>
    </x:row>
    <x:row r="3878" ht="23" customHeight="1">
      <x:c r="A3878" s="11" t="str">
        <x:v>02162.HK</x:v>
      </x:c>
      <x:c r="B3878" s="11" t="str">
        <x:v>2026年底</x:v>
      </x:c>
      <x:c r="C3878" s="11" t="str">
        <x:v>CM313_domestic</x:v>
      </x:c>
      <x:c r="D3878" s="11" t="str">
        <x:v>2030-12-31</x:v>
      </x:c>
      <x:c r="E3878" s="11" t="str">
        <x:v>CNY</x:v>
      </x:c>
      <x:c r="F3878" s="11" t="n">
        <x:v>4</x:v>
      </x:c>
      <x:c r="G3878" s="26" t="b">
        <x:v>1</x:v>
      </x:c>
      <x:c r="H3878" s="16" t="n">
        <x:v>0</x:v>
      </x:c>
      <x:c r="I3878" s="16" t="n">
        <x:v>0.072</x:v>
      </x:c>
      <x:c r="J3878" s="16" t="n">
        <x:v>0.44999999999999996</x:v>
      </x:c>
      <x:c r="K3878" s="11" t="n">
        <x:f>CHOOSE('假设'!$B$3,H3878,I3878,J3878)</x:f>
        <x:v>0.072</x:v>
      </x:c>
      <x:c r="L3878" s="11" t="n">
        <x:f>K3878*'管线假设'!E839*'管线假设'!F839*'管线假设'!G839*IF(E3878="USD",'管线假设'!I839,1)-AM3878</x:f>
        <x:v>0.00972</x:v>
      </x:c>
      <x:c r="M3878" s="11" t="n">
        <x:f>'管线假设'!H839</x:f>
        <x:v>0.14</x:v>
      </x:c>
      <x:c r="N3878" s="11" t="n">
        <x:f>IF(G3878,L3878*AN3878/(1+M3878)^F3878,0)</x:f>
        <x:v>0.005755020296038241</x:v>
      </x:c>
      <x:c r="AJ3878" s="42" t="n">
        <x:v>0</x:v>
      </x:c>
      <x:c r="AK3878" s="42" t="n">
        <x:v>0</x:v>
      </x:c>
      <x:c r="AL3878" s="42" t="n">
        <x:v>0</x:v>
      </x:c>
      <x:c r="AM3878" t="n">
        <x:f>CHOOSE('假设'!$B$3,AJ3878,AK3878,AL3878)</x:f>
        <x:v>0</x:v>
      </x:c>
      <x:c r="AN3878" t="n">
        <x:v>1</x:v>
      </x:c>
    </x:row>
    <x:row r="3879" ht="23" customHeight="1">
      <x:c r="A3879" s="11" t="str">
        <x:v>02162.HK</x:v>
      </x:c>
      <x:c r="B3879" s="11" t="str">
        <x:v>2026年底</x:v>
      </x:c>
      <x:c r="C3879" s="11" t="str">
        <x:v>CM313_domestic</x:v>
      </x:c>
      <x:c r="D3879" s="11" t="str">
        <x:v>2031-12-31</x:v>
      </x:c>
      <x:c r="E3879" s="11" t="str">
        <x:v>CNY</x:v>
      </x:c>
      <x:c r="F3879" s="11" t="n">
        <x:v>4.999315537303217</x:v>
      </x:c>
      <x:c r="G3879" s="26" t="b">
        <x:v>1</x:v>
      </x:c>
      <x:c r="H3879" s="16" t="n">
        <x:v>0</x:v>
      </x:c>
      <x:c r="I3879" s="16" t="n">
        <x:v>0.216</x:v>
      </x:c>
      <x:c r="J3879" s="16" t="n">
        <x:v>0.95</x:v>
      </x:c>
      <x:c r="K3879" s="11" t="n">
        <x:f>CHOOSE('假设'!$B$3,H3879,I3879,J3879)</x:f>
        <x:v>0.216</x:v>
      </x:c>
      <x:c r="L3879" s="11" t="n">
        <x:f>K3879*'管线假设'!E839*'管线假设'!F839*'管线假设'!G839*IF(E3879="USD",'管线假设'!I839,1)-AM3879</x:f>
        <x:v>0.02916</x:v>
      </x:c>
      <x:c r="M3879" s="11" t="n">
        <x:f>'管线假设'!H839</x:f>
        <x:v>0.14</x:v>
      </x:c>
      <x:c r="N3879" s="11" t="n">
        <x:f>IF(G3879,L3879*AN3879/(1+M3879)^F3879,0)</x:f>
        <x:v>0.015146148558370959</x:v>
      </x:c>
      <x:c r="AJ3879" s="42" t="n">
        <x:v>0</x:v>
      </x:c>
      <x:c r="AK3879" s="42" t="n">
        <x:v>0</x:v>
      </x:c>
      <x:c r="AL3879" s="42" t="n">
        <x:v>0</x:v>
      </x:c>
      <x:c r="AM3879" t="n">
        <x:f>CHOOSE('假设'!$B$3,AJ3879,AK3879,AL3879)</x:f>
        <x:v>0</x:v>
      </x:c>
      <x:c r="AN3879" t="n">
        <x:v>1</x:v>
      </x:c>
    </x:row>
    <x:row r="3880" ht="23" customHeight="1">
      <x:c r="A3880" s="11" t="str">
        <x:v>02162.HK</x:v>
      </x:c>
      <x:c r="B3880" s="11" t="str">
        <x:v>2026年底</x:v>
      </x:c>
      <x:c r="C3880" s="11" t="str">
        <x:v>CM313_domestic</x:v>
      </x:c>
      <x:c r="D3880" s="11" t="str">
        <x:v>2032-12-31</x:v>
      </x:c>
      <x:c r="E3880" s="11" t="str">
        <x:v>CNY</x:v>
      </x:c>
      <x:c r="F3880" s="11" t="n">
        <x:v>6.0013689253935665</x:v>
      </x:c>
      <x:c r="G3880" s="26" t="b">
        <x:v>1</x:v>
      </x:c>
      <x:c r="H3880" s="16" t="n">
        <x:v>0.024</x:v>
      </x:c>
      <x:c r="I3880" s="16" t="n">
        <x:v>0.45599999999999996</x:v>
      </x:c>
      <x:c r="J3880" s="16" t="n">
        <x:v>1.625</x:v>
      </x:c>
      <x:c r="K3880" s="11" t="n">
        <x:f>CHOOSE('假设'!$B$3,H3880,I3880,J3880)</x:f>
        <x:v>0.45599999999999996</x:v>
      </x:c>
      <x:c r="L3880" s="11" t="n">
        <x:f>K3880*'管线假设'!E839*'管线假设'!F839*'管线假设'!G839*IF(E3880="USD",'管线假设'!I839,1)-AM3880</x:f>
        <x:v>0.06155999999999999</x:v>
      </x:c>
      <x:c r="M3880" s="11" t="n">
        <x:f>'管线假设'!H839</x:f>
        <x:v>0.14</x:v>
      </x:c>
      <x:c r="N3880" s="11" t="n">
        <x:f>IF(G3880,L3880*AN3880/(1+M3880)^F3880,0)</x:f>
        <x:v>0.02804087779052237</x:v>
      </x:c>
      <x:c r="AJ3880" s="42" t="n">
        <x:v>0</x:v>
      </x:c>
      <x:c r="AK3880" s="42" t="n">
        <x:v>0</x:v>
      </x:c>
      <x:c r="AL3880" s="42" t="n">
        <x:v>0</x:v>
      </x:c>
      <x:c r="AM3880" t="n">
        <x:f>CHOOSE('假设'!$B$3,AJ3880,AK3880,AL3880)</x:f>
        <x:v>0</x:v>
      </x:c>
      <x:c r="AN3880" t="n">
        <x:v>1</x:v>
      </x:c>
    </x:row>
    <x:row r="3881" ht="23" customHeight="1">
      <x:c r="A3881" s="11" t="str">
        <x:v>02162.HK</x:v>
      </x:c>
      <x:c r="B3881" s="11" t="str">
        <x:v>2026年底</x:v>
      </x:c>
      <x:c r="C3881" s="11" t="str">
        <x:v>CM313_domestic</x:v>
      </x:c>
      <x:c r="D3881" s="11" t="str">
        <x:v>2033-12-31</x:v>
      </x:c>
      <x:c r="E3881" s="11" t="str">
        <x:v>CNY</x:v>
      </x:c>
      <x:c r="F3881" s="11" t="n">
        <x:v>7.000684462696783</x:v>
      </x:c>
      <x:c r="G3881" s="26" t="b">
        <x:v>1</x:v>
      </x:c>
      <x:c r="H3881" s="16" t="n">
        <x:v>0.072</x:v>
      </x:c>
      <x:c r="I3881" s="16" t="n">
        <x:v>0.78</x:v>
      </x:c>
      <x:c r="J3881" s="16" t="n">
        <x:v>2.125</x:v>
      </x:c>
      <x:c r="K3881" s="11" t="n">
        <x:f>CHOOSE('假设'!$B$3,H3881,I3881,J3881)</x:f>
        <x:v>0.78</x:v>
      </x:c>
      <x:c r="L3881" s="11" t="n">
        <x:f>K3881*'管线假设'!E839*'管线假设'!F839*'管线假设'!G839*IF(E3881="USD",'管线假设'!I839,1)-AM3881</x:f>
        <x:v>0.10529999999999999</x:v>
      </x:c>
      <x:c r="M3881" s="11" t="n">
        <x:f>'管线假设'!H839</x:f>
        <x:v>0.14</x:v>
      </x:c>
      <x:c r="N3881" s="11" t="n">
        <x:f>IF(G3881,L3881*AN3881/(1+M3881)^F3881,0)</x:f>
        <x:v>0.04207803616834687</x:v>
      </x:c>
      <x:c r="AJ3881" s="42" t="n">
        <x:v>0</x:v>
      </x:c>
      <x:c r="AK3881" s="42" t="n">
        <x:v>0</x:v>
      </x:c>
      <x:c r="AL3881" s="42" t="n">
        <x:v>0</x:v>
      </x:c>
      <x:c r="AM3881" t="n">
        <x:f>CHOOSE('假设'!$B$3,AJ3881,AK3881,AL3881)</x:f>
        <x:v>0</x:v>
      </x:c>
      <x:c r="AN3881" t="n">
        <x:v>1</x:v>
      </x:c>
    </x:row>
    <x:row r="3882" ht="23" customHeight="1">
      <x:c r="A3882" s="11" t="str">
        <x:v>02162.HK</x:v>
      </x:c>
      <x:c r="B3882" s="11" t="str">
        <x:v>2026年底</x:v>
      </x:c>
      <x:c r="C3882" s="11" t="str">
        <x:v>CM313_domestic</x:v>
      </x:c>
      <x:c r="D3882" s="11" t="str">
        <x:v>2034-12-31</x:v>
      </x:c>
      <x:c r="E3882" s="11" t="str">
        <x:v>CNY</x:v>
      </x:c>
      <x:c r="F3882" s="11" t="n">
        <x:v>8</x:v>
      </x:c>
      <x:c r="G3882" s="26" t="b">
        <x:v>1</x:v>
      </x:c>
      <x:c r="H3882" s="16" t="n">
        <x:v>0.15200000000000002</x:v>
      </x:c>
      <x:c r="I3882" s="16" t="n">
        <x:v>1.02</x:v>
      </x:c>
      <x:c r="J3882" s="16" t="n">
        <x:v>2.5</x:v>
      </x:c>
      <x:c r="K3882" s="11" t="n">
        <x:f>CHOOSE('假设'!$B$3,H3882,I3882,J3882)</x:f>
        <x:v>1.02</x:v>
      </x:c>
      <x:c r="L3882" s="11" t="n">
        <x:f>K3882*'管线假设'!E839*'管线假设'!F839*'管线假设'!G839*IF(E3882="USD",'管线假设'!I839,1)-AM3882</x:f>
        <x:v>0.1377</x:v>
      </x:c>
      <x:c r="M3882" s="11" t="n">
        <x:f>'管线假设'!H839</x:f>
        <x:v>0.14</x:v>
      </x:c>
      <x:c r="N3882" s="11" t="n">
        <x:f>IF(G3882,L3882*AN3882/(1+M3882)^F3882,0)</x:f>
        <x:v>0.048271981852949716</x:v>
      </x:c>
      <x:c r="AJ3882" s="42" t="n">
        <x:v>0</x:v>
      </x:c>
      <x:c r="AK3882" s="42" t="n">
        <x:v>0</x:v>
      </x:c>
      <x:c r="AL3882" s="42" t="n">
        <x:v>0</x:v>
      </x:c>
      <x:c r="AM3882" t="n">
        <x:f>CHOOSE('假设'!$B$3,AJ3882,AK3882,AL3882)</x:f>
        <x:v>0</x:v>
      </x:c>
      <x:c r="AN3882" t="n">
        <x:v>1</x:v>
      </x:c>
    </x:row>
    <x:row r="3883" ht="23" customHeight="1">
      <x:c r="A3883" s="11" t="str">
        <x:v>02162.HK</x:v>
      </x:c>
      <x:c r="B3883" s="11" t="str">
        <x:v>2026年底</x:v>
      </x:c>
      <x:c r="C3883" s="11" t="str">
        <x:v>CM313_domestic</x:v>
      </x:c>
      <x:c r="D3883" s="11" t="str">
        <x:v>2035-12-31</x:v>
      </x:c>
      <x:c r="E3883" s="11" t="str">
        <x:v>CNY</x:v>
      </x:c>
      <x:c r="F3883" s="11" t="n">
        <x:v>8.999315537303216</x:v>
      </x:c>
      <x:c r="G3883" s="26" t="b">
        <x:v>1</x:v>
      </x:c>
      <x:c r="H3883" s="16" t="n">
        <x:v>0.26</x:v>
      </x:c>
      <x:c r="I3883" s="16" t="n">
        <x:v>1.2</x:v>
      </x:c>
      <x:c r="J3883" s="16" t="n">
        <x:v>2.5</x:v>
      </x:c>
      <x:c r="K3883" s="11" t="n">
        <x:f>CHOOSE('假设'!$B$3,H3883,I3883,J3883)</x:f>
        <x:v>1.2</x:v>
      </x:c>
      <x:c r="L3883" s="11" t="n">
        <x:f>K3883*'管线假设'!E839*'管线假设'!F839*'管线假设'!G839*IF(E3883="USD",'管线假设'!I839,1)-AM3883</x:f>
        <x:v>0.162</x:v>
      </x:c>
      <x:c r="M3883" s="11" t="n">
        <x:f>'管线假设'!H839</x:f>
        <x:v>0.14</x:v>
      </x:c>
      <x:c r="N3883" s="11" t="n">
        <x:f>IF(G3883,L3883*AN3883/(1+M3883)^F3883,0)</x:f>
        <x:v>0.04982075466405764</x:v>
      </x:c>
      <x:c r="AJ3883" s="42" t="n">
        <x:v>0</x:v>
      </x:c>
      <x:c r="AK3883" s="42" t="n">
        <x:v>0</x:v>
      </x:c>
      <x:c r="AL3883" s="42" t="n">
        <x:v>0</x:v>
      </x:c>
      <x:c r="AM3883" t="n">
        <x:f>CHOOSE('假设'!$B$3,AJ3883,AK3883,AL3883)</x:f>
        <x:v>0</x:v>
      </x:c>
      <x:c r="AN3883" t="n">
        <x:v>1</x:v>
      </x:c>
    </x:row>
    <x:row r="3884" ht="23" customHeight="1">
      <x:c r="A3884" s="11" t="str">
        <x:v>02162.HK</x:v>
      </x:c>
      <x:c r="B3884" s="11" t="str">
        <x:v>2026年底</x:v>
      </x:c>
      <x:c r="C3884" s="11" t="str">
        <x:v>CM313_domestic</x:v>
      </x:c>
      <x:c r="D3884" s="11" t="str">
        <x:v>2036-12-31</x:v>
      </x:c>
      <x:c r="E3884" s="11" t="str">
        <x:v>CNY</x:v>
      </x:c>
      <x:c r="F3884" s="11" t="n">
        <x:v>10.001368925393566</x:v>
      </x:c>
      <x:c r="G3884" s="26" t="b">
        <x:v>1</x:v>
      </x:c>
      <x:c r="H3884" s="16" t="n">
        <x:v>0.34</x:v>
      </x:c>
      <x:c r="I3884" s="16" t="n">
        <x:v>1.2</x:v>
      </x:c>
      <x:c r="J3884" s="16" t="n">
        <x:v>2.375</x:v>
      </x:c>
      <x:c r="K3884" s="11" t="n">
        <x:f>CHOOSE('假设'!$B$3,H3884,I3884,J3884)</x:f>
        <x:v>1.2</x:v>
      </x:c>
      <x:c r="L3884" s="11" t="n">
        <x:f>K3884*'管线假设'!E839*'管线假设'!F839*'管线假设'!G839*IF(E3884="USD",'管线假设'!I839,1)-AM3884</x:f>
        <x:v>0.162</x:v>
      </x:c>
      <x:c r="M3884" s="11" t="n">
        <x:f>'管线假设'!H839</x:f>
        <x:v>0.14</x:v>
      </x:c>
      <x:c r="N3884" s="11" t="n">
        <x:f>IF(G3884,L3884*AN3884/(1+M3884)^F3884,0)</x:f>
        <x:v>0.04369065973662125</x:v>
      </x:c>
      <x:c r="AJ3884" s="42" t="n">
        <x:v>0</x:v>
      </x:c>
      <x:c r="AK3884" s="42" t="n">
        <x:v>0</x:v>
      </x:c>
      <x:c r="AL3884" s="42" t="n">
        <x:v>0</x:v>
      </x:c>
      <x:c r="AM3884" t="n">
        <x:f>CHOOSE('假设'!$B$3,AJ3884,AK3884,AL3884)</x:f>
        <x:v>0</x:v>
      </x:c>
      <x:c r="AN3884" t="n">
        <x:v>1</x:v>
      </x:c>
    </x:row>
    <x:row r="3885" ht="23" customHeight="1">
      <x:c r="A3885" s="11" t="str">
        <x:v>02162.HK</x:v>
      </x:c>
      <x:c r="B3885" s="11" t="str">
        <x:v>2026年底</x:v>
      </x:c>
      <x:c r="C3885" s="11" t="str">
        <x:v>CM313_domestic</x:v>
      </x:c>
      <x:c r="D3885" s="11" t="str">
        <x:v>2037-12-31</x:v>
      </x:c>
      <x:c r="E3885" s="11" t="str">
        <x:v>CNY</x:v>
      </x:c>
      <x:c r="F3885" s="11" t="n">
        <x:v>11.000684462696784</x:v>
      </x:c>
      <x:c r="G3885" s="26" t="b">
        <x:v>1</x:v>
      </x:c>
      <x:c r="H3885" s="16" t="n">
        <x:v>0.4</x:v>
      </x:c>
      <x:c r="I3885" s="16" t="n">
        <x:v>1.14</x:v>
      </x:c>
      <x:c r="J3885" s="16" t="n">
        <x:v>2.25</x:v>
      </x:c>
      <x:c r="K3885" s="11" t="n">
        <x:f>CHOOSE('假设'!$B$3,H3885,I3885,J3885)</x:f>
        <x:v>1.14</x:v>
      </x:c>
      <x:c r="L3885" s="11" t="n">
        <x:f>K3885*'管线假设'!E839*'管线假设'!F839*'管线假设'!G839*IF(E3885="USD",'管线假设'!I839,1)-AM3885</x:f>
        <x:v>0.15389999999999998</x:v>
      </x:c>
      <x:c r="M3885" s="11" t="n">
        <x:f>'管线假设'!H839</x:f>
        <x:v>0.14</x:v>
      </x:c>
      <x:c r="N3885" s="11" t="n">
        <x:f>IF(G3885,L3885*AN3885/(1+M3885)^F3885,0)</x:f>
        <x:v>0.03641214855301583</x:v>
      </x:c>
      <x:c r="AJ3885" s="42" t="n">
        <x:v>0</x:v>
      </x:c>
      <x:c r="AK3885" s="42" t="n">
        <x:v>0</x:v>
      </x:c>
      <x:c r="AL3885" s="42" t="n">
        <x:v>0</x:v>
      </x:c>
      <x:c r="AM3885" t="n">
        <x:f>CHOOSE('假设'!$B$3,AJ3885,AK3885,AL3885)</x:f>
        <x:v>0</x:v>
      </x:c>
      <x:c r="AN3885" t="n">
        <x:v>1</x:v>
      </x:c>
    </x:row>
    <x:row r="3886" ht="23" customHeight="1">
      <x:c r="A3886" s="11" t="str">
        <x:v>02162.HK</x:v>
      </x:c>
      <x:c r="B3886" s="11" t="str">
        <x:v>2026年底</x:v>
      </x:c>
      <x:c r="C3886" s="11" t="str">
        <x:v>CM313_domestic</x:v>
      </x:c>
      <x:c r="D3886" s="11" t="str">
        <x:v>2038-12-31</x:v>
      </x:c>
      <x:c r="E3886" s="11" t="str">
        <x:v>CNY</x:v>
      </x:c>
      <x:c r="F3886" s="11" t="n">
        <x:v>12</x:v>
      </x:c>
      <x:c r="G3886" s="26" t="b">
        <x:v>1</x:v>
      </x:c>
      <x:c r="H3886" s="16" t="n">
        <x:v>0.4</x:v>
      </x:c>
      <x:c r="I3886" s="16" t="n">
        <x:v>1.08</x:v>
      </x:c>
      <x:c r="J3886" s="16" t="n">
        <x:v>2</x:v>
      </x:c>
      <x:c r="K3886" s="11" t="n">
        <x:f>CHOOSE('假设'!$B$3,H3886,I3886,J3886)</x:f>
        <x:v>1.08</x:v>
      </x:c>
      <x:c r="L3886" s="11" t="n">
        <x:f>K3886*'管线假设'!E839*'管线假设'!F839*'管线假设'!G839*IF(E3886="USD",'管线假设'!I839,1)-AM3886</x:f>
        <x:v>0.1458</x:v>
      </x:c>
      <x:c r="M3886" s="11" t="n">
        <x:f>'管线假设'!H839</x:f>
        <x:v>0.14</x:v>
      </x:c>
      <x:c r="N3886" s="11" t="n">
        <x:f>IF(G3886,L3886*AN3886/(1+M3886)^F3886,0)</x:f>
        <x:v>0.03026211713439165</x:v>
      </x:c>
      <x:c r="AJ3886" s="42" t="n">
        <x:v>0</x:v>
      </x:c>
      <x:c r="AK3886" s="42" t="n">
        <x:v>0</x:v>
      </x:c>
      <x:c r="AL3886" s="42" t="n">
        <x:v>0</x:v>
      </x:c>
      <x:c r="AM3886" t="n">
        <x:f>CHOOSE('假设'!$B$3,AJ3886,AK3886,AL3886)</x:f>
        <x:v>0</x:v>
      </x:c>
      <x:c r="AN3886" t="n">
        <x:v>1</x:v>
      </x:c>
    </x:row>
    <x:row r="3887" ht="23" customHeight="1">
      <x:c r="A3887" s="11" t="str">
        <x:v>02162.HK</x:v>
      </x:c>
      <x:c r="B3887" s="11" t="str">
        <x:v>2026年底</x:v>
      </x:c>
      <x:c r="C3887" s="11" t="str">
        <x:v>CM313_domestic</x:v>
      </x:c>
      <x:c r="D3887" s="11" t="str">
        <x:v>2039-12-31</x:v>
      </x:c>
      <x:c r="E3887" s="11" t="str">
        <x:v>CNY</x:v>
      </x:c>
      <x:c r="F3887" s="11" t="n">
        <x:v>12.999315537303216</x:v>
      </x:c>
      <x:c r="G3887" s="26" t="b">
        <x:v>1</x:v>
      </x:c>
      <x:c r="H3887" s="16" t="n">
        <x:v>0.38</x:v>
      </x:c>
      <x:c r="I3887" s="16" t="n">
        <x:v>0.96</x:v>
      </x:c>
      <x:c r="J3887" s="16" t="n">
        <x:v>1.625</x:v>
      </x:c>
      <x:c r="K3887" s="11" t="n">
        <x:f>CHOOSE('假设'!$B$3,H3887,I3887,J3887)</x:f>
        <x:v>0.96</x:v>
      </x:c>
      <x:c r="L3887" s="11" t="n">
        <x:f>K3887*'管线假设'!E839*'管线假设'!F839*'管线假设'!G839*IF(E3887="USD",'管线假设'!I839,1)-AM3887</x:f>
        <x:v>0.1296</x:v>
      </x:c>
      <x:c r="M3887" s="11" t="n">
        <x:f>'管线假设'!H839</x:f>
        <x:v>0.14</x:v>
      </x:c>
      <x:c r="N3887" s="11" t="n">
        <x:f>IF(G3887,L3887*AN3887/(1+M3887)^F3887,0)</x:f>
        <x:v>0.02359830899222992</x:v>
      </x:c>
      <x:c r="AJ3887" s="42" t="n">
        <x:v>0</x:v>
      </x:c>
      <x:c r="AK3887" s="42" t="n">
        <x:v>0</x:v>
      </x:c>
      <x:c r="AL3887" s="42" t="n">
        <x:v>0</x:v>
      </x:c>
      <x:c r="AM3887" t="n">
        <x:f>CHOOSE('假设'!$B$3,AJ3887,AK3887,AL3887)</x:f>
        <x:v>0</x:v>
      </x:c>
      <x:c r="AN3887" t="n">
        <x:v>1</x:v>
      </x:c>
    </x:row>
    <x:row r="3888" ht="23" customHeight="1">
      <x:c r="A3888" s="11" t="str">
        <x:v>02162.HK</x:v>
      </x:c>
      <x:c r="B3888" s="11" t="str">
        <x:v>2026年底</x:v>
      </x:c>
      <x:c r="C3888" s="11" t="str">
        <x:v>CM313_domestic</x:v>
      </x:c>
      <x:c r="D3888" s="11" t="str">
        <x:v>2040-12-31</x:v>
      </x:c>
      <x:c r="E3888" s="11" t="str">
        <x:v>CNY</x:v>
      </x:c>
      <x:c r="F3888" s="11" t="n">
        <x:v>14.001368925393566</x:v>
      </x:c>
      <x:c r="G3888" s="26" t="b">
        <x:v>1</x:v>
      </x:c>
      <x:c r="H3888" s="16" t="n">
        <x:v>0.36000000000000004</x:v>
      </x:c>
      <x:c r="I3888" s="16" t="n">
        <x:v>0.78</x:v>
      </x:c>
      <x:c r="J3888" s="16" t="n">
        <x:v>1.25</x:v>
      </x:c>
      <x:c r="K3888" s="11" t="n">
        <x:f>CHOOSE('假设'!$B$3,H3888,I3888,J3888)</x:f>
        <x:v>0.78</x:v>
      </x:c>
      <x:c r="L3888" s="11" t="n">
        <x:f>K3888*'管线假设'!E839*'管线假设'!F839*'管线假设'!G839*IF(E3888="USD",'管线假设'!I839,1)-AM3888</x:f>
        <x:v>0.10529999999999999</x:v>
      </x:c>
      <x:c r="M3888" s="11" t="n">
        <x:f>'管线假设'!H839</x:f>
        <x:v>0.14</x:v>
      </x:c>
      <x:c r="N3888" s="11" t="n">
        <x:f>IF(G3888,L3888*AN3888/(1+M3888)^F3888,0)</x:f>
        <x:v>0.01681444565797443</x:v>
      </x:c>
      <x:c r="AJ3888" s="42" t="n">
        <x:v>0</x:v>
      </x:c>
      <x:c r="AK3888" s="42" t="n">
        <x:v>0</x:v>
      </x:c>
      <x:c r="AL3888" s="42" t="n">
        <x:v>0</x:v>
      </x:c>
      <x:c r="AM3888" t="n">
        <x:f>CHOOSE('假设'!$B$3,AJ3888,AK3888,AL3888)</x:f>
        <x:v>0</x:v>
      </x:c>
      <x:c r="AN3888" t="n">
        <x:v>1</x:v>
      </x:c>
    </x:row>
    <x:row r="3889" ht="23" customHeight="1">
      <x:c r="A3889" s="11" t="str">
        <x:v>02162.HK</x:v>
      </x:c>
      <x:c r="B3889" s="11" t="str">
        <x:v>2026年底</x:v>
      </x:c>
      <x:c r="C3889" s="11" t="str">
        <x:v>CM313_domestic</x:v>
      </x:c>
      <x:c r="D3889" s="11" t="str">
        <x:v>2041-12-31</x:v>
      </x:c>
      <x:c r="E3889" s="11" t="str">
        <x:v>CNY</x:v>
      </x:c>
      <x:c r="F3889" s="11" t="n">
        <x:v>15.000684462696784</x:v>
      </x:c>
      <x:c r="G3889" s="26" t="b">
        <x:v>1</x:v>
      </x:c>
      <x:c r="H3889" s="16" t="n">
        <x:v>0.32000000000000006</x:v>
      </x:c>
      <x:c r="I3889" s="16" t="n">
        <x:v>0.6</x:v>
      </x:c>
      <x:c r="J3889" s="16" t="n">
        <x:v>0.875</x:v>
      </x:c>
      <x:c r="K3889" s="11" t="n">
        <x:f>CHOOSE('假设'!$B$3,H3889,I3889,J3889)</x:f>
        <x:v>0.6</x:v>
      </x:c>
      <x:c r="L3889" s="11" t="n">
        <x:f>K3889*'管线假设'!E839*'管线假设'!F839*'管线假设'!G839*IF(E3889="USD",'管线假设'!I839,1)-AM3889</x:f>
        <x:v>0.081</x:v>
      </x:c>
      <x:c r="M3889" s="11" t="n">
        <x:f>'管线假设'!H839</x:f>
        <x:v>0.14</x:v>
      </x:c>
      <x:c r="N3889" s="11" t="n">
        <x:f>IF(G3889,L3889*AN3889/(1+M3889)^F3889,0)</x:f>
        <x:v>0.01134679737627061</x:v>
      </x:c>
      <x:c r="AJ3889" s="42" t="n">
        <x:v>0</x:v>
      </x:c>
      <x:c r="AK3889" s="42" t="n">
        <x:v>0</x:v>
      </x:c>
      <x:c r="AL3889" s="42" t="n">
        <x:v>0</x:v>
      </x:c>
      <x:c r="AM3889" t="n">
        <x:f>CHOOSE('假设'!$B$3,AJ3889,AK3889,AL3889)</x:f>
        <x:v>0</x:v>
      </x:c>
      <x:c r="AN3889" t="n">
        <x:v>1</x:v>
      </x:c>
    </x:row>
    <x:row r="3890" ht="23" customHeight="1">
      <x:c r="A3890" s="11" t="str">
        <x:v>02162.HK</x:v>
      </x:c>
      <x:c r="B3890" s="11" t="str">
        <x:v>2026年底</x:v>
      </x:c>
      <x:c r="C3890" s="11" t="str">
        <x:v>CM313_domestic</x:v>
      </x:c>
      <x:c r="D3890" s="11" t="str">
        <x:v>2042-12-31</x:v>
      </x:c>
      <x:c r="E3890" s="11" t="str">
        <x:v>CNY</x:v>
      </x:c>
      <x:c r="F3890" s="11" t="n">
        <x:v>16</x:v>
      </x:c>
      <x:c r="G3890" s="26" t="b">
        <x:v>1</x:v>
      </x:c>
      <x:c r="H3890" s="16" t="n">
        <x:v>0.26</x:v>
      </x:c>
      <x:c r="I3890" s="16" t="n">
        <x:v>0.42</x:v>
      </x:c>
      <x:c r="J3890" s="16" t="n">
        <x:v>0.5</x:v>
      </x:c>
      <x:c r="K3890" s="11" t="n">
        <x:f>CHOOSE('假设'!$B$3,H3890,I3890,J3890)</x:f>
        <x:v>0.42</x:v>
      </x:c>
      <x:c r="L3890" s="11" t="n">
        <x:f>K3890*'管线假设'!E839*'管线假设'!F839*'管线假设'!G839*IF(E3890="USD",'管线假设'!I839,1)-AM3890</x:f>
        <x:v>0.0567</x:v>
      </x:c>
      <x:c r="M3890" s="11" t="n">
        <x:f>'管线假设'!H839</x:f>
        <x:v>0.14</x:v>
      </x:c>
      <x:c r="N3890" s="11" t="n">
        <x:f>IF(G3890,L3890*AN3890/(1+M3890)^F3890,0)</x:f>
        <x:v>0.006967956608176577</x:v>
      </x:c>
      <x:c r="AJ3890" s="42" t="n">
        <x:v>0</x:v>
      </x:c>
      <x:c r="AK3890" s="42" t="n">
        <x:v>0</x:v>
      </x:c>
      <x:c r="AL3890" s="42" t="n">
        <x:v>0</x:v>
      </x:c>
      <x:c r="AM3890" t="n">
        <x:f>CHOOSE('假设'!$B$3,AJ3890,AK3890,AL3890)</x:f>
        <x:v>0</x:v>
      </x:c>
      <x:c r="AN3890" t="n">
        <x:v>1</x:v>
      </x:c>
    </x:row>
    <x:row r="3891" ht="23" customHeight="1">
      <x:c r="A3891" s="11" t="str">
        <x:v>02162.HK</x:v>
      </x:c>
      <x:c r="B3891" s="11" t="str">
        <x:v>2026年底</x:v>
      </x:c>
      <x:c r="C3891" s="11" t="str">
        <x:v>CM313_domestic</x:v>
      </x:c>
      <x:c r="D3891" s="11" t="str">
        <x:v>2043-12-31</x:v>
      </x:c>
      <x:c r="E3891" s="11" t="str">
        <x:v>CNY</x:v>
      </x:c>
      <x:c r="F3891" s="11" t="n">
        <x:v>16.999315537303218</x:v>
      </x:c>
      <x:c r="G3891" s="26" t="b">
        <x:v>1</x:v>
      </x:c>
      <x:c r="H3891" s="16" t="n">
        <x:v>0.2</x:v>
      </x:c>
      <x:c r="I3891" s="16" t="n">
        <x:v>0.24</x:v>
      </x:c>
      <x:c r="J3891" s="16" t="n">
        <x:v>0.3</x:v>
      </x:c>
      <x:c r="K3891" s="11" t="n">
        <x:f>CHOOSE('假设'!$B$3,H3891,I3891,J3891)</x:f>
        <x:v>0.24</x:v>
      </x:c>
      <x:c r="L3891" s="11" t="n">
        <x:f>K3891*'管线假设'!E839*'管线假设'!F839*'管线假设'!G839*IF(E3891="USD",'管线假设'!I839,1)-AM3891</x:f>
        <x:v>0.0324</x:v>
      </x:c>
      <x:c r="M3891" s="11" t="n">
        <x:f>'管线假设'!H839</x:f>
        <x:v>0.14</x:v>
      </x:c>
      <x:c r="N3891" s="11" t="n">
        <x:f>IF(G3891,L3891*AN3891/(1+M3891)^F3891,0)</x:f>
        <x:v>0.0034930233333967313</x:v>
      </x:c>
      <x:c r="AJ3891" s="42" t="n">
        <x:v>0</x:v>
      </x:c>
      <x:c r="AK3891" s="42" t="n">
        <x:v>0</x:v>
      </x:c>
      <x:c r="AL3891" s="42" t="n">
        <x:v>0</x:v>
      </x:c>
      <x:c r="AM3891" t="n">
        <x:f>CHOOSE('假设'!$B$3,AJ3891,AK3891,AL3891)</x:f>
        <x:v>0</x:v>
      </x:c>
      <x:c r="AN3891" t="n">
        <x:v>1</x:v>
      </x:c>
    </x:row>
    <x:row r="3892" ht="23" customHeight="1">
      <x:c r="A3892" s="11" t="str">
        <x:v>02162.HK</x:v>
      </x:c>
      <x:c r="B3892" s="11" t="str">
        <x:v>2026年底</x:v>
      </x:c>
      <x:c r="C3892" s="11" t="str">
        <x:v>CM313_domestic</x:v>
      </x:c>
      <x:c r="D3892" s="11" t="str">
        <x:v>2044-12-31</x:v>
      </x:c>
      <x:c r="E3892" s="11" t="str">
        <x:v>CNY</x:v>
      </x:c>
      <x:c r="F3892" s="11" t="n">
        <x:v>18.001368925393567</x:v>
      </x:c>
      <x:c r="G3892" s="26" t="b">
        <x:v>1</x:v>
      </x:c>
      <x:c r="H3892" s="16" t="n">
        <x:v>0.13999999999999999</x:v>
      </x:c>
      <x:c r="I3892" s="16" t="n">
        <x:v>0.144</x:v>
      </x:c>
      <x:c r="J3892" s="16" t="n">
        <x:v>0.17500000000000002</x:v>
      </x:c>
      <x:c r="K3892" s="11" t="n">
        <x:f>CHOOSE('假设'!$B$3,H3892,I3892,J3892)</x:f>
        <x:v>0.144</x:v>
      </x:c>
      <x:c r="L3892" s="11" t="n">
        <x:f>K3892*'管线假设'!E839*'管线假设'!F839*'管线假设'!G839*IF(E3892="USD",'管线假设'!I839,1)-AM3892</x:f>
        <x:v>0.01944</x:v>
      </x:c>
      <x:c r="M3892" s="11" t="n">
        <x:f>'管线假设'!H839</x:f>
        <x:v>0.14</x:v>
      </x:c>
      <x:c r="N3892" s="11" t="n">
        <x:f>IF(G3892,L3892*AN3892/(1+M3892)^F3892,0)</x:f>
        <x:v>0.0018379387659691342</x:v>
      </x:c>
      <x:c r="AJ3892" s="42" t="n">
        <x:v>0</x:v>
      </x:c>
      <x:c r="AK3892" s="42" t="n">
        <x:v>0</x:v>
      </x:c>
      <x:c r="AL3892" s="42" t="n">
        <x:v>0</x:v>
      </x:c>
      <x:c r="AM3892" t="n">
        <x:f>CHOOSE('假设'!$B$3,AJ3892,AK3892,AL3892)</x:f>
        <x:v>0</x:v>
      </x:c>
      <x:c r="AN3892" t="n">
        <x:v>1</x:v>
      </x:c>
    </x:row>
    <x:row r="3893" ht="23" customHeight="1">
      <x:c r="A3893" s="11" t="str">
        <x:v>02162.HK</x:v>
      </x:c>
      <x:c r="B3893" s="11" t="str">
        <x:v>2026年底</x:v>
      </x:c>
      <x:c r="C3893" s="11" t="str">
        <x:v>CM326_China</x:v>
      </x:c>
      <x:c r="D3893" s="11" t="str">
        <x:v>2026-12-31</x:v>
      </x:c>
      <x:c r="E3893" s="11" t="str">
        <x:v>CNY</x:v>
      </x:c>
      <x:c r="F3893" s="11" t="n">
        <x:v>0</x:v>
      </x:c>
      <x:c r="G3893" s="26" t="b">
        <x:v>0</x:v>
      </x:c>
      <x:c r="H3893" s="16" t="n">
        <x:v>0</x:v>
      </x:c>
      <x:c r="I3893" s="16" t="n">
        <x:v>0</x:v>
      </x:c>
      <x:c r="J3893" s="16" t="n">
        <x:v>0</x:v>
      </x:c>
      <x:c r="K3893" s="11" t="n">
        <x:f>CHOOSE('假设'!$B$3,H3893,I3893,J3893)</x:f>
        <x:v>0</x:v>
      </x:c>
      <x:c r="L3893" s="11" t="n">
        <x:f>K3893*'管线假设'!E843*'管线假设'!F843*'管线假设'!G843*IF(E3893="USD",'管线假设'!I843,1)-AM3893</x:f>
        <x:v>-0.01</x:v>
      </x:c>
      <x:c r="M3893" s="11" t="n">
        <x:f>'管线假设'!H843</x:f>
        <x:v>0.14</x:v>
      </x:c>
      <x:c r="N3893" s="11" t="n">
        <x:f>IF(G3893,L3893*AN3893/(1+M3893)^F3893,0)</x:f>
        <x:v>0</x:v>
      </x:c>
      <x:c r="AJ3893" s="42" t="n">
        <x:v>0.005</x:v>
      </x:c>
      <x:c r="AK3893" s="42" t="n">
        <x:v>0.01</x:v>
      </x:c>
      <x:c r="AL3893" s="42" t="n">
        <x:v>0.015</x:v>
      </x:c>
      <x:c r="AM3893" t="n">
        <x:f>CHOOSE('假设'!$B$3,AJ3893,AK3893,AL3893)</x:f>
        <x:v>0.01</x:v>
      </x:c>
      <x:c r="AN3893" t="n">
        <x:v>0</x:v>
      </x:c>
    </x:row>
    <x:row r="3894" ht="23" customHeight="1">
      <x:c r="A3894" s="11" t="str">
        <x:v>02162.HK</x:v>
      </x:c>
      <x:c r="B3894" s="11" t="str">
        <x:v>2026年底</x:v>
      </x:c>
      <x:c r="C3894" s="11" t="str">
        <x:v>CM326_China</x:v>
      </x:c>
      <x:c r="D3894" s="11" t="str">
        <x:v>2027-12-31</x:v>
      </x:c>
      <x:c r="E3894" s="11" t="str">
        <x:v>CNY</x:v>
      </x:c>
      <x:c r="F3894" s="11" t="n">
        <x:v>0.999315537303217</x:v>
      </x:c>
      <x:c r="G3894" s="26" t="b">
        <x:v>1</x:v>
      </x:c>
      <x:c r="H3894" s="16" t="n">
        <x:v>0</x:v>
      </x:c>
      <x:c r="I3894" s="16" t="n">
        <x:v>0</x:v>
      </x:c>
      <x:c r="J3894" s="16" t="n">
        <x:v>0</x:v>
      </x:c>
      <x:c r="K3894" s="11" t="n">
        <x:f>CHOOSE('假设'!$B$3,H3894,I3894,J3894)</x:f>
        <x:v>0</x:v>
      </x:c>
      <x:c r="L3894" s="11" t="n">
        <x:f>K3894*'管线假设'!E843*'管线假设'!F843*'管线假设'!G843*IF(E3894="USD",'管线假设'!I843,1)-AM3894</x:f>
        <x:v>0</x:v>
      </x:c>
      <x:c r="M3894" s="11" t="n">
        <x:f>'管线假设'!H843</x:f>
        <x:v>0.14</x:v>
      </x:c>
      <x:c r="N3894" s="11" t="n">
        <x:f>IF(G3894,L3894*AN3894/(1+M3894)^F3894,0)</x:f>
        <x:v>0</x:v>
      </x:c>
      <x:c r="AJ3894" s="42" t="n">
        <x:v>0</x:v>
      </x:c>
      <x:c r="AK3894" s="42" t="n">
        <x:v>0</x:v>
      </x:c>
      <x:c r="AL3894" s="42" t="n">
        <x:v>0</x:v>
      </x:c>
      <x:c r="AM3894" t="n">
        <x:f>CHOOSE('假设'!$B$3,AJ3894,AK3894,AL3894)</x:f>
        <x:v>0</x:v>
      </x:c>
      <x:c r="AN3894" t="n">
        <x:v>1</x:v>
      </x:c>
    </x:row>
    <x:row r="3895" ht="23" customHeight="1">
      <x:c r="A3895" s="11" t="str">
        <x:v>02162.HK</x:v>
      </x:c>
      <x:c r="B3895" s="11" t="str">
        <x:v>2026年底</x:v>
      </x:c>
      <x:c r="C3895" s="11" t="str">
        <x:v>CM326_China</x:v>
      </x:c>
      <x:c r="D3895" s="11" t="str">
        <x:v>2028-12-31</x:v>
      </x:c>
      <x:c r="E3895" s="11" t="str">
        <x:v>CNY</x:v>
      </x:c>
      <x:c r="F3895" s="11" t="n">
        <x:v>2.001368925393566</x:v>
      </x:c>
      <x:c r="G3895" s="26" t="b">
        <x:v>1</x:v>
      </x:c>
      <x:c r="H3895" s="16" t="n">
        <x:v>0</x:v>
      </x:c>
      <x:c r="I3895" s="16" t="n">
        <x:v>0</x:v>
      </x:c>
      <x:c r="J3895" s="16" t="n">
        <x:v>0.18</x:v>
      </x:c>
      <x:c r="K3895" s="11" t="n">
        <x:f>CHOOSE('假设'!$B$3,H3895,I3895,J3895)</x:f>
        <x:v>0</x:v>
      </x:c>
      <x:c r="L3895" s="11" t="n">
        <x:f>K3895*'管线假设'!E843*'管线假设'!F843*'管线假设'!G843*IF(E3895="USD",'管线假设'!I843,1)-AM3895</x:f>
        <x:v>0</x:v>
      </x:c>
      <x:c r="M3895" s="11" t="n">
        <x:f>'管线假设'!H843</x:f>
        <x:v>0.14</x:v>
      </x:c>
      <x:c r="N3895" s="11" t="n">
        <x:f>IF(G3895,L3895*AN3895/(1+M3895)^F3895,0)</x:f>
        <x:v>0</x:v>
      </x:c>
      <x:c r="AJ3895" s="42" t="n">
        <x:v>0</x:v>
      </x:c>
      <x:c r="AK3895" s="42" t="n">
        <x:v>0</x:v>
      </x:c>
      <x:c r="AL3895" s="42" t="n">
        <x:v>0</x:v>
      </x:c>
      <x:c r="AM3895" t="n">
        <x:f>CHOOSE('假设'!$B$3,AJ3895,AK3895,AL3895)</x:f>
        <x:v>0</x:v>
      </x:c>
      <x:c r="AN3895" t="n">
        <x:v>1</x:v>
      </x:c>
    </x:row>
    <x:row r="3896" ht="23" customHeight="1">
      <x:c r="A3896" s="11" t="str">
        <x:v>02162.HK</x:v>
      </x:c>
      <x:c r="B3896" s="11" t="str">
        <x:v>2026年底</x:v>
      </x:c>
      <x:c r="C3896" s="11" t="str">
        <x:v>CM326_China</x:v>
      </x:c>
      <x:c r="D3896" s="11" t="str">
        <x:v>2029-12-31</x:v>
      </x:c>
      <x:c r="E3896" s="11" t="str">
        <x:v>CNY</x:v>
      </x:c>
      <x:c r="F3896" s="11" t="n">
        <x:v>3.0006844626967832</x:v>
      </x:c>
      <x:c r="G3896" s="26" t="b">
        <x:v>1</x:v>
      </x:c>
      <x:c r="H3896" s="16" t="n">
        <x:v>0</x:v>
      </x:c>
      <x:c r="I3896" s="16" t="n">
        <x:v>0.09</x:v>
      </x:c>
      <x:c r="J3896" s="16" t="n">
        <x:v>0.54</x:v>
      </x:c>
      <x:c r="K3896" s="11" t="n">
        <x:f>CHOOSE('假设'!$B$3,H3896,I3896,J3896)</x:f>
        <x:v>0.09</x:v>
      </x:c>
      <x:c r="L3896" s="11" t="n">
        <x:f>K3896*'管线假设'!E843*'管线假设'!F843*'管线假设'!G843*IF(E3896="USD",'管线假设'!I843,1)-AM3896</x:f>
        <x:v>0.0033615000000000003</x:v>
      </x:c>
      <x:c r="M3896" s="11" t="n">
        <x:f>'管线假设'!H843</x:f>
        <x:v>0.14</x:v>
      </x:c>
      <x:c r="N3896" s="11" t="n">
        <x:f>IF(G3896,L3896*AN3896/(1+M3896)^F3896,0)</x:f>
        <x:v>0.0022687132754031876</x:v>
      </x:c>
      <x:c r="AJ3896" s="42" t="n">
        <x:v>0</x:v>
      </x:c>
      <x:c r="AK3896" s="42" t="n">
        <x:v>0</x:v>
      </x:c>
      <x:c r="AL3896" s="42" t="n">
        <x:v>0</x:v>
      </x:c>
      <x:c r="AM3896" t="n">
        <x:f>CHOOSE('假设'!$B$3,AJ3896,AK3896,AL3896)</x:f>
        <x:v>0</x:v>
      </x:c>
      <x:c r="AN3896" t="n">
        <x:v>1</x:v>
      </x:c>
    </x:row>
    <x:row r="3897" ht="23" customHeight="1">
      <x:c r="A3897" s="11" t="str">
        <x:v>02162.HK</x:v>
      </x:c>
      <x:c r="B3897" s="11" t="str">
        <x:v>2026年底</x:v>
      </x:c>
      <x:c r="C3897" s="11" t="str">
        <x:v>CM326_China</x:v>
      </x:c>
      <x:c r="D3897" s="11" t="str">
        <x:v>2030-12-31</x:v>
      </x:c>
      <x:c r="E3897" s="11" t="str">
        <x:v>CNY</x:v>
      </x:c>
      <x:c r="F3897" s="11" t="n">
        <x:v>4</x:v>
      </x:c>
      <x:c r="G3897" s="26" t="b">
        <x:v>1</x:v>
      </x:c>
      <x:c r="H3897" s="16" t="n">
        <x:v>0</x:v>
      </x:c>
      <x:c r="I3897" s="16" t="n">
        <x:v>0.27</x:v>
      </x:c>
      <x:c r="J3897" s="16" t="n">
        <x:v>1.1400000000000001</x:v>
      </x:c>
      <x:c r="K3897" s="11" t="n">
        <x:f>CHOOSE('假设'!$B$3,H3897,I3897,J3897)</x:f>
        <x:v>0.27</x:v>
      </x:c>
      <x:c r="L3897" s="11" t="n">
        <x:f>K3897*'管线假设'!E843*'管线假设'!F843*'管线假设'!G843*IF(E3897="USD",'管线假设'!I843,1)-AM3897</x:f>
        <x:v>0.010084500000000001</x:v>
      </x:c>
      <x:c r="M3897" s="11" t="n">
        <x:f>'管线假设'!H843</x:f>
        <x:v>0.14</x:v>
      </x:c>
      <x:c r="N3897" s="11" t="n">
        <x:f>IF(G3897,L3897*AN3897/(1+M3897)^F3897,0)</x:f>
        <x:v>0.0059708335571396765</x:v>
      </x:c>
      <x:c r="AJ3897" s="42" t="n">
        <x:v>0</x:v>
      </x:c>
      <x:c r="AK3897" s="42" t="n">
        <x:v>0</x:v>
      </x:c>
      <x:c r="AL3897" s="42" t="n">
        <x:v>0</x:v>
      </x:c>
      <x:c r="AM3897" t="n">
        <x:f>CHOOSE('假设'!$B$3,AJ3897,AK3897,AL3897)</x:f>
        <x:v>0</x:v>
      </x:c>
      <x:c r="AN3897" t="n">
        <x:v>1</x:v>
      </x:c>
    </x:row>
    <x:row r="3898" ht="23" customHeight="1">
      <x:c r="A3898" s="11" t="str">
        <x:v>02162.HK</x:v>
      </x:c>
      <x:c r="B3898" s="11" t="str">
        <x:v>2026年底</x:v>
      </x:c>
      <x:c r="C3898" s="11" t="str">
        <x:v>CM326_China</x:v>
      </x:c>
      <x:c r="D3898" s="11" t="str">
        <x:v>2031-12-31</x:v>
      </x:c>
      <x:c r="E3898" s="11" t="str">
        <x:v>CNY</x:v>
      </x:c>
      <x:c r="F3898" s="11" t="n">
        <x:v>4.999315537303217</x:v>
      </x:c>
      <x:c r="G3898" s="26" t="b">
        <x:v>1</x:v>
      </x:c>
      <x:c r="H3898" s="16" t="n">
        <x:v>0.03</x:v>
      </x:c>
      <x:c r="I3898" s="16" t="n">
        <x:v>0.5700000000000001</x:v>
      </x:c>
      <x:c r="J3898" s="16" t="n">
        <x:v>1.9500000000000002</x:v>
      </x:c>
      <x:c r="K3898" s="11" t="n">
        <x:f>CHOOSE('假设'!$B$3,H3898,I3898,J3898)</x:f>
        <x:v>0.5700000000000001</x:v>
      </x:c>
      <x:c r="L3898" s="11" t="n">
        <x:f>K3898*'管线假设'!E843*'管线假设'!F843*'管线假设'!G843*IF(E3898="USD",'管线假设'!I843,1)-AM3898</x:f>
        <x:v>0.021289500000000006</x:v>
      </x:c>
      <x:c r="M3898" s="11" t="n">
        <x:f>'管线假设'!H843</x:f>
        <x:v>0.14</x:v>
      </x:c>
      <x:c r="N3898" s="11" t="n">
        <x:f>IF(G3898,L3898*AN3898/(1+M3898)^F3898,0)</x:f>
        <x:v>0.011058090868773615</x:v>
      </x:c>
      <x:c r="AJ3898" s="42" t="n">
        <x:v>0</x:v>
      </x:c>
      <x:c r="AK3898" s="42" t="n">
        <x:v>0</x:v>
      </x:c>
      <x:c r="AL3898" s="42" t="n">
        <x:v>0</x:v>
      </x:c>
      <x:c r="AM3898" t="n">
        <x:f>CHOOSE('假设'!$B$3,AJ3898,AK3898,AL3898)</x:f>
        <x:v>0</x:v>
      </x:c>
      <x:c r="AN3898" t="n">
        <x:v>1</x:v>
      </x:c>
    </x:row>
    <x:row r="3899" ht="23" customHeight="1">
      <x:c r="A3899" s="11" t="str">
        <x:v>02162.HK</x:v>
      </x:c>
      <x:c r="B3899" s="11" t="str">
        <x:v>2026年底</x:v>
      </x:c>
      <x:c r="C3899" s="11" t="str">
        <x:v>CM326_China</x:v>
      </x:c>
      <x:c r="D3899" s="11" t="str">
        <x:v>2032-12-31</x:v>
      </x:c>
      <x:c r="E3899" s="11" t="str">
        <x:v>CNY</x:v>
      </x:c>
      <x:c r="F3899" s="11" t="n">
        <x:v>6.0013689253935665</x:v>
      </x:c>
      <x:c r="G3899" s="26" t="b">
        <x:v>1</x:v>
      </x:c>
      <x:c r="H3899" s="16" t="n">
        <x:v>0.09</x:v>
      </x:c>
      <x:c r="I3899" s="16" t="n">
        <x:v>0.9750000000000001</x:v>
      </x:c>
      <x:c r="J3899" s="16" t="n">
        <x:v>2.55</x:v>
      </x:c>
      <x:c r="K3899" s="11" t="n">
        <x:f>CHOOSE('假设'!$B$3,H3899,I3899,J3899)</x:f>
        <x:v>0.9750000000000001</x:v>
      </x:c>
      <x:c r="L3899" s="11" t="n">
        <x:f>K3899*'管线假设'!E843*'管线假设'!F843*'管线假设'!G843*IF(E3899="USD",'管线假设'!I843,1)-AM3899</x:f>
        <x:v>0.036416250000000004</x:v>
      </x:c>
      <x:c r="M3899" s="11" t="n">
        <x:f>'管线假设'!H843</x:f>
        <x:v>0.14</x:v>
      </x:c>
      <x:c r="N3899" s="11" t="n">
        <x:f>IF(G3899,L3899*AN3899/(1+M3899)^F3899,0)</x:f>
        <x:v>0.01658777803507327</x:v>
      </x:c>
      <x:c r="AJ3899" s="42" t="n">
        <x:v>0</x:v>
      </x:c>
      <x:c r="AK3899" s="42" t="n">
        <x:v>0</x:v>
      </x:c>
      <x:c r="AL3899" s="42" t="n">
        <x:v>0</x:v>
      </x:c>
      <x:c r="AM3899" t="n">
        <x:f>CHOOSE('假设'!$B$3,AJ3899,AK3899,AL3899)</x:f>
        <x:v>0</x:v>
      </x:c>
      <x:c r="AN3899" t="n">
        <x:v>1</x:v>
      </x:c>
    </x:row>
    <x:row r="3900" ht="23" customHeight="1">
      <x:c r="A3900" s="11" t="str">
        <x:v>02162.HK</x:v>
      </x:c>
      <x:c r="B3900" s="11" t="str">
        <x:v>2026年底</x:v>
      </x:c>
      <x:c r="C3900" s="11" t="str">
        <x:v>CM326_China</x:v>
      </x:c>
      <x:c r="D3900" s="11" t="str">
        <x:v>2033-12-31</x:v>
      </x:c>
      <x:c r="E3900" s="11" t="str">
        <x:v>CNY</x:v>
      </x:c>
      <x:c r="F3900" s="11" t="n">
        <x:v>7.000684462696783</x:v>
      </x:c>
      <x:c r="G3900" s="26" t="b">
        <x:v>1</x:v>
      </x:c>
      <x:c r="H3900" s="16" t="n">
        <x:v>0.19</x:v>
      </x:c>
      <x:c r="I3900" s="16" t="n">
        <x:v>1.275</x:v>
      </x:c>
      <x:c r="J3900" s="16" t="n">
        <x:v>3</x:v>
      </x:c>
      <x:c r="K3900" s="11" t="n">
        <x:f>CHOOSE('假设'!$B$3,H3900,I3900,J3900)</x:f>
        <x:v>1.275</x:v>
      </x:c>
      <x:c r="L3900" s="11" t="n">
        <x:f>K3900*'管线假设'!E843*'管线假设'!F843*'管线假设'!G843*IF(E3900="USD",'管线假设'!I843,1)-AM3900</x:f>
        <x:v>0.047621250000000004</x:v>
      </x:c>
      <x:c r="M3900" s="11" t="n">
        <x:f>'管线假设'!H843</x:f>
        <x:v>0.14</x:v>
      </x:c>
      <x:c r="N3900" s="11" t="n">
        <x:f>IF(G3900,L3900*AN3900/(1+M3900)^F3900,0)</x:f>
        <x:v>0.019029522126133798</x:v>
      </x:c>
      <x:c r="AJ3900" s="42" t="n">
        <x:v>0</x:v>
      </x:c>
      <x:c r="AK3900" s="42" t="n">
        <x:v>0</x:v>
      </x:c>
      <x:c r="AL3900" s="42" t="n">
        <x:v>0</x:v>
      </x:c>
      <x:c r="AM3900" t="n">
        <x:f>CHOOSE('假设'!$B$3,AJ3900,AK3900,AL3900)</x:f>
        <x:v>0</x:v>
      </x:c>
      <x:c r="AN3900" t="n">
        <x:v>1</x:v>
      </x:c>
    </x:row>
    <x:row r="3901" ht="23" customHeight="1">
      <x:c r="A3901" s="11" t="str">
        <x:v>02162.HK</x:v>
      </x:c>
      <x:c r="B3901" s="11" t="str">
        <x:v>2026年底</x:v>
      </x:c>
      <x:c r="C3901" s="11" t="str">
        <x:v>CM326_China</x:v>
      </x:c>
      <x:c r="D3901" s="11" t="str">
        <x:v>2034-12-31</x:v>
      </x:c>
      <x:c r="E3901" s="11" t="str">
        <x:v>CNY</x:v>
      </x:c>
      <x:c r="F3901" s="11" t="n">
        <x:v>8</x:v>
      </x:c>
      <x:c r="G3901" s="26" t="b">
        <x:v>1</x:v>
      </x:c>
      <x:c r="H3901" s="16" t="n">
        <x:v>0.325</x:v>
      </x:c>
      <x:c r="I3901" s="16" t="n">
        <x:v>1.5</x:v>
      </x:c>
      <x:c r="J3901" s="16" t="n">
        <x:v>3</x:v>
      </x:c>
      <x:c r="K3901" s="11" t="n">
        <x:f>CHOOSE('假设'!$B$3,H3901,I3901,J3901)</x:f>
        <x:v>1.5</x:v>
      </x:c>
      <x:c r="L3901" s="11" t="n">
        <x:f>K3901*'管线假设'!E843*'管线假设'!F843*'管线假设'!G843*IF(E3901="USD",'管线假设'!I843,1)-AM3901</x:f>
        <x:v>0.056025000000000005</x:v>
      </x:c>
      <x:c r="M3901" s="11" t="n">
        <x:f>'管线假设'!H843</x:f>
        <x:v>0.14</x:v>
      </x:c>
      <x:c r="N3901" s="11" t="n">
        <x:f>IF(G3901,L3901*AN3901/(1+M3901)^F3901,0)</x:f>
        <x:v>0.01964007104801386</x:v>
      </x:c>
      <x:c r="AJ3901" s="42" t="n">
        <x:v>0</x:v>
      </x:c>
      <x:c r="AK3901" s="42" t="n">
        <x:v>0</x:v>
      </x:c>
      <x:c r="AL3901" s="42" t="n">
        <x:v>0</x:v>
      </x:c>
      <x:c r="AM3901" t="n">
        <x:f>CHOOSE('假设'!$B$3,AJ3901,AK3901,AL3901)</x:f>
        <x:v>0</x:v>
      </x:c>
      <x:c r="AN3901" t="n">
        <x:v>1</x:v>
      </x:c>
    </x:row>
    <x:row r="3902" ht="23" customHeight="1">
      <x:c r="A3902" s="11" t="str">
        <x:v>02162.HK</x:v>
      </x:c>
      <x:c r="B3902" s="11" t="str">
        <x:v>2026年底</x:v>
      </x:c>
      <x:c r="C3902" s="11" t="str">
        <x:v>CM326_China</x:v>
      </x:c>
      <x:c r="D3902" s="11" t="str">
        <x:v>2035-12-31</x:v>
      </x:c>
      <x:c r="E3902" s="11" t="str">
        <x:v>CNY</x:v>
      </x:c>
      <x:c r="F3902" s="11" t="n">
        <x:v>8.999315537303216</x:v>
      </x:c>
      <x:c r="G3902" s="26" t="b">
        <x:v>1</x:v>
      </x:c>
      <x:c r="H3902" s="16" t="n">
        <x:v>0.425</x:v>
      </x:c>
      <x:c r="I3902" s="16" t="n">
        <x:v>1.5</x:v>
      </x:c>
      <x:c r="J3902" s="16" t="n">
        <x:v>2.8499999999999996</x:v>
      </x:c>
      <x:c r="K3902" s="11" t="n">
        <x:f>CHOOSE('假设'!$B$3,H3902,I3902,J3902)</x:f>
        <x:v>1.5</x:v>
      </x:c>
      <x:c r="L3902" s="11" t="n">
        <x:f>K3902*'管线假设'!E843*'管线假设'!F843*'管线假设'!G843*IF(E3902="USD",'管线假设'!I843,1)-AM3902</x:f>
        <x:v>0.056025000000000005</x:v>
      </x:c>
      <x:c r="M3902" s="11" t="n">
        <x:f>'管线假设'!H843</x:f>
        <x:v>0.14</x:v>
      </x:c>
      <x:c r="N3902" s="11" t="n">
        <x:f>IF(G3902,L3902*AN3902/(1+M3902)^F3902,0)</x:f>
        <x:v>0.017229677654653268</x:v>
      </x:c>
      <x:c r="AJ3902" s="42" t="n">
        <x:v>0</x:v>
      </x:c>
      <x:c r="AK3902" s="42" t="n">
        <x:v>0</x:v>
      </x:c>
      <x:c r="AL3902" s="42" t="n">
        <x:v>0</x:v>
      </x:c>
      <x:c r="AM3902" t="n">
        <x:f>CHOOSE('假设'!$B$3,AJ3902,AK3902,AL3902)</x:f>
        <x:v>0</x:v>
      </x:c>
      <x:c r="AN3902" t="n">
        <x:v>1</x:v>
      </x:c>
    </x:row>
    <x:row r="3903" ht="23" customHeight="1">
      <x:c r="A3903" s="11" t="str">
        <x:v>02162.HK</x:v>
      </x:c>
      <x:c r="B3903" s="11" t="str">
        <x:v>2026年底</x:v>
      </x:c>
      <x:c r="C3903" s="11" t="str">
        <x:v>CM326_China</x:v>
      </x:c>
      <x:c r="D3903" s="11" t="str">
        <x:v>2036-12-31</x:v>
      </x:c>
      <x:c r="E3903" s="11" t="str">
        <x:v>CNY</x:v>
      </x:c>
      <x:c r="F3903" s="11" t="n">
        <x:v>10.001368925393566</x:v>
      </x:c>
      <x:c r="G3903" s="26" t="b">
        <x:v>1</x:v>
      </x:c>
      <x:c r="H3903" s="16" t="n">
        <x:v>0.5</x:v>
      </x:c>
      <x:c r="I3903" s="16" t="n">
        <x:v>1.4249999999999998</x:v>
      </x:c>
      <x:c r="J3903" s="16" t="n">
        <x:v>2.7</x:v>
      </x:c>
      <x:c r="K3903" s="11" t="n">
        <x:f>CHOOSE('假设'!$B$3,H3903,I3903,J3903)</x:f>
        <x:v>1.4249999999999998</x:v>
      </x:c>
      <x:c r="L3903" s="11" t="n">
        <x:f>K3903*'管线假设'!E843*'管线假设'!F843*'管线假设'!G843*IF(E3903="USD",'管线假设'!I843,1)-AM3903</x:f>
        <x:v>0.05322375</x:v>
      </x:c>
      <x:c r="M3903" s="11" t="n">
        <x:f>'管线假设'!H843</x:f>
        <x:v>0.14</x:v>
      </x:c>
      <x:c r="N3903" s="11" t="n">
        <x:f>IF(G3903,L3903*AN3903/(1+M3903)^F3903,0)</x:f>
        <x:v>0.014354202167635773</x:v>
      </x:c>
      <x:c r="AJ3903" s="42" t="n">
        <x:v>0</x:v>
      </x:c>
      <x:c r="AK3903" s="42" t="n">
        <x:v>0</x:v>
      </x:c>
      <x:c r="AL3903" s="42" t="n">
        <x:v>0</x:v>
      </x:c>
      <x:c r="AM3903" t="n">
        <x:f>CHOOSE('假设'!$B$3,AJ3903,AK3903,AL3903)</x:f>
        <x:v>0</x:v>
      </x:c>
      <x:c r="AN3903" t="n">
        <x:v>1</x:v>
      </x:c>
    </x:row>
    <x:row r="3904" ht="23" customHeight="1">
      <x:c r="A3904" s="11" t="str">
        <x:v>02162.HK</x:v>
      </x:c>
      <x:c r="B3904" s="11" t="str">
        <x:v>2026年底</x:v>
      </x:c>
      <x:c r="C3904" s="11" t="str">
        <x:v>CM326_China</x:v>
      </x:c>
      <x:c r="D3904" s="11" t="str">
        <x:v>2037-12-31</x:v>
      </x:c>
      <x:c r="E3904" s="11" t="str">
        <x:v>CNY</x:v>
      </x:c>
      <x:c r="F3904" s="11" t="n">
        <x:v>11.000684462696784</x:v>
      </x:c>
      <x:c r="G3904" s="26" t="b">
        <x:v>1</x:v>
      </x:c>
      <x:c r="H3904" s="16" t="n">
        <x:v>0.5</x:v>
      </x:c>
      <x:c r="I3904" s="16" t="n">
        <x:v>1.35</x:v>
      </x:c>
      <x:c r="J3904" s="16" t="n">
        <x:v>2.4000000000000004</x:v>
      </x:c>
      <x:c r="K3904" s="11" t="n">
        <x:f>CHOOSE('假设'!$B$3,H3904,I3904,J3904)</x:f>
        <x:v>1.35</x:v>
      </x:c>
      <x:c r="L3904" s="11" t="n">
        <x:f>K3904*'管线假设'!E843*'管线假设'!F843*'管线假设'!G843*IF(E3904="USD",'管线假设'!I843,1)-AM3904</x:f>
        <x:v>0.05042250000000001</x:v>
      </x:c>
      <x:c r="M3904" s="11" t="n">
        <x:f>'管线假设'!H843</x:f>
        <x:v>0.14</x:v>
      </x:c>
      <x:c r="N3904" s="11" t="n">
        <x:f>IF(G3904,L3904*AN3904/(1+M3904)^F3904,0)</x:f>
        <x:v>0.011929769723290719</x:v>
      </x:c>
      <x:c r="AJ3904" s="42" t="n">
        <x:v>0</x:v>
      </x:c>
      <x:c r="AK3904" s="42" t="n">
        <x:v>0</x:v>
      </x:c>
      <x:c r="AL3904" s="42" t="n">
        <x:v>0</x:v>
      </x:c>
      <x:c r="AM3904" t="n">
        <x:f>CHOOSE('假设'!$B$3,AJ3904,AK3904,AL3904)</x:f>
        <x:v>0</x:v>
      </x:c>
      <x:c r="AN3904" t="n">
        <x:v>1</x:v>
      </x:c>
    </x:row>
    <x:row r="3905" ht="23" customHeight="1">
      <x:c r="A3905" s="11" t="str">
        <x:v>02162.HK</x:v>
      </x:c>
      <x:c r="B3905" s="11" t="str">
        <x:v>2026年底</x:v>
      </x:c>
      <x:c r="C3905" s="11" t="str">
        <x:v>CM326_China</x:v>
      </x:c>
      <x:c r="D3905" s="11" t="str">
        <x:v>2038-12-31</x:v>
      </x:c>
      <x:c r="E3905" s="11" t="str">
        <x:v>CNY</x:v>
      </x:c>
      <x:c r="F3905" s="11" t="n">
        <x:v>12</x:v>
      </x:c>
      <x:c r="G3905" s="26" t="b">
        <x:v>1</x:v>
      </x:c>
      <x:c r="H3905" s="16" t="n">
        <x:v>0.475</x:v>
      </x:c>
      <x:c r="I3905" s="16" t="n">
        <x:v>1.2000000000000002</x:v>
      </x:c>
      <x:c r="J3905" s="16" t="n">
        <x:v>1.9500000000000002</x:v>
      </x:c>
      <x:c r="K3905" s="11" t="n">
        <x:f>CHOOSE('假设'!$B$3,H3905,I3905,J3905)</x:f>
        <x:v>1.2000000000000002</x:v>
      </x:c>
      <x:c r="L3905" s="11" t="n">
        <x:f>K3905*'管线假设'!E843*'管线假设'!F843*'管线假设'!G843*IF(E3905="USD",'管线假设'!I843,1)-AM3905</x:f>
        <x:v>0.04482000000000001</x:v>
      </x:c>
      <x:c r="M3905" s="11" t="n">
        <x:f>'管线假设'!H843</x:f>
        <x:v>0.14</x:v>
      </x:c>
      <x:c r="N3905" s="11" t="n">
        <x:f>IF(G3905,L3905*AN3905/(1+M3905)^F3905,0)</x:f>
        <x:v>0.009302798970942619</x:v>
      </x:c>
      <x:c r="AJ3905" s="42" t="n">
        <x:v>0</x:v>
      </x:c>
      <x:c r="AK3905" s="42" t="n">
        <x:v>0</x:v>
      </x:c>
      <x:c r="AL3905" s="42" t="n">
        <x:v>0</x:v>
      </x:c>
      <x:c r="AM3905" t="n">
        <x:f>CHOOSE('假设'!$B$3,AJ3905,AK3905,AL3905)</x:f>
        <x:v>0</x:v>
      </x:c>
      <x:c r="AN3905" t="n">
        <x:v>1</x:v>
      </x:c>
    </x:row>
    <x:row r="3906" ht="23" customHeight="1">
      <x:c r="A3906" s="11" t="str">
        <x:v>02162.HK</x:v>
      </x:c>
      <x:c r="B3906" s="11" t="str">
        <x:v>2026年底</x:v>
      </x:c>
      <x:c r="C3906" s="11" t="str">
        <x:v>CM326_China</x:v>
      </x:c>
      <x:c r="D3906" s="11" t="str">
        <x:v>2039-12-31</x:v>
      </x:c>
      <x:c r="E3906" s="11" t="str">
        <x:v>CNY</x:v>
      </x:c>
      <x:c r="F3906" s="11" t="n">
        <x:v>12.999315537303216</x:v>
      </x:c>
      <x:c r="G3906" s="26" t="b">
        <x:v>1</x:v>
      </x:c>
      <x:c r="H3906" s="16" t="n">
        <x:v>0.45</x:v>
      </x:c>
      <x:c r="I3906" s="16" t="n">
        <x:v>0.9750000000000001</x:v>
      </x:c>
      <x:c r="J3906" s="16" t="n">
        <x:v>1.5</x:v>
      </x:c>
      <x:c r="K3906" s="11" t="n">
        <x:f>CHOOSE('假设'!$B$3,H3906,I3906,J3906)</x:f>
        <x:v>0.9750000000000001</x:v>
      </x:c>
      <x:c r="L3906" s="11" t="n">
        <x:f>K3906*'管线假设'!E843*'管线假设'!F843*'管线假设'!G843*IF(E3906="USD",'管线假设'!I843,1)-AM3906</x:f>
        <x:v>0.036416250000000004</x:v>
      </x:c>
      <x:c r="M3906" s="11" t="n">
        <x:f>'管线假设'!H843</x:f>
        <x:v>0.14</x:v>
      </x:c>
      <x:c r="N3906" s="11" t="n">
        <x:f>IF(G3906,L3906*AN3906/(1+M3906)^F3906,0)</x:f>
        <x:v>0.0066308790110979395</x:v>
      </x:c>
      <x:c r="AJ3906" s="42" t="n">
        <x:v>0</x:v>
      </x:c>
      <x:c r="AK3906" s="42" t="n">
        <x:v>0</x:v>
      </x:c>
      <x:c r="AL3906" s="42" t="n">
        <x:v>0</x:v>
      </x:c>
      <x:c r="AM3906" t="n">
        <x:f>CHOOSE('假设'!$B$3,AJ3906,AK3906,AL3906)</x:f>
        <x:v>0</x:v>
      </x:c>
      <x:c r="AN3906" t="n">
        <x:v>1</x:v>
      </x:c>
    </x:row>
    <x:row r="3907" ht="23" customHeight="1">
      <x:c r="A3907" s="11" t="str">
        <x:v>02162.HK</x:v>
      </x:c>
      <x:c r="B3907" s="11" t="str">
        <x:v>2026年底</x:v>
      </x:c>
      <x:c r="C3907" s="11" t="str">
        <x:v>CM326_China</x:v>
      </x:c>
      <x:c r="D3907" s="11" t="str">
        <x:v>2040-12-31</x:v>
      </x:c>
      <x:c r="E3907" s="11" t="str">
        <x:v>CNY</x:v>
      </x:c>
      <x:c r="F3907" s="11" t="n">
        <x:v>14.001368925393566</x:v>
      </x:c>
      <x:c r="G3907" s="26" t="b">
        <x:v>1</x:v>
      </x:c>
      <x:c r="H3907" s="16" t="n">
        <x:v>0.4</x:v>
      </x:c>
      <x:c r="I3907" s="16" t="n">
        <x:v>0.75</x:v>
      </x:c>
      <x:c r="J3907" s="16" t="n">
        <x:v>1.0499999999999998</x:v>
      </x:c>
      <x:c r="K3907" s="11" t="n">
        <x:f>CHOOSE('假设'!$B$3,H3907,I3907,J3907)</x:f>
        <x:v>0.75</x:v>
      </x:c>
      <x:c r="L3907" s="11" t="n">
        <x:f>K3907*'管线假设'!E843*'管线假设'!F843*'管线假设'!G843*IF(E3907="USD",'管线假设'!I843,1)-AM3907</x:f>
        <x:v>0.028012500000000003</x:v>
      </x:c>
      <x:c r="M3907" s="11" t="n">
        <x:f>'管线假设'!H843</x:f>
        <x:v>0.14</x:v>
      </x:c>
      <x:c r="N3907" s="11" t="n">
        <x:f>IF(G3907,L3907*AN3907/(1+M3907)^F3907,0)</x:f>
        <x:v>0.004473073684653456</x:v>
      </x:c>
      <x:c r="AJ3907" s="42" t="n">
        <x:v>0</x:v>
      </x:c>
      <x:c r="AK3907" s="42" t="n">
        <x:v>0</x:v>
      </x:c>
      <x:c r="AL3907" s="42" t="n">
        <x:v>0</x:v>
      </x:c>
      <x:c r="AM3907" t="n">
        <x:f>CHOOSE('假设'!$B$3,AJ3907,AK3907,AL3907)</x:f>
        <x:v>0</x:v>
      </x:c>
      <x:c r="AN3907" t="n">
        <x:v>1</x:v>
      </x:c>
    </x:row>
    <x:row r="3908" ht="23" customHeight="1">
      <x:c r="A3908" s="11" t="str">
        <x:v>02162.HK</x:v>
      </x:c>
      <x:c r="B3908" s="11" t="str">
        <x:v>2026年底</x:v>
      </x:c>
      <x:c r="C3908" s="11" t="str">
        <x:v>CM326_China</x:v>
      </x:c>
      <x:c r="D3908" s="11" t="str">
        <x:v>2041-12-31</x:v>
      </x:c>
      <x:c r="E3908" s="11" t="str">
        <x:v>CNY</x:v>
      </x:c>
      <x:c r="F3908" s="11" t="n">
        <x:v>15.000684462696784</x:v>
      </x:c>
      <x:c r="G3908" s="26" t="b">
        <x:v>1</x:v>
      </x:c>
      <x:c r="H3908" s="16" t="n">
        <x:v>0.325</x:v>
      </x:c>
      <x:c r="I3908" s="16" t="n">
        <x:v>0.5249999999999999</x:v>
      </x:c>
      <x:c r="J3908" s="16" t="n">
        <x:v>0.6000000000000001</x:v>
      </x:c>
      <x:c r="K3908" s="11" t="n">
        <x:f>CHOOSE('假设'!$B$3,H3908,I3908,J3908)</x:f>
        <x:v>0.5249999999999999</x:v>
      </x:c>
      <x:c r="L3908" s="11" t="n">
        <x:f>K3908*'管线假设'!E843*'管线假设'!F843*'管线假设'!G843*IF(E3908="USD",'管线假设'!I843,1)-AM3908</x:f>
        <x:v>0.019608749999999998</x:v>
      </x:c>
      <x:c r="M3908" s="11" t="n">
        <x:f>'管线假设'!H843</x:f>
        <x:v>0.14</x:v>
      </x:c>
      <x:c r="N3908" s="11" t="n">
        <x:f>IF(G3908,L3908*AN3908/(1+M3908)^F3908,0)</x:f>
        <x:v>0.00274687053150551</x:v>
      </x:c>
      <x:c r="AJ3908" s="42" t="n">
        <x:v>0</x:v>
      </x:c>
      <x:c r="AK3908" s="42" t="n">
        <x:v>0</x:v>
      </x:c>
      <x:c r="AL3908" s="42" t="n">
        <x:v>0</x:v>
      </x:c>
      <x:c r="AM3908" t="n">
        <x:f>CHOOSE('假设'!$B$3,AJ3908,AK3908,AL3908)</x:f>
        <x:v>0</x:v>
      </x:c>
      <x:c r="AN3908" t="n">
        <x:v>1</x:v>
      </x:c>
    </x:row>
    <x:row r="3909" ht="23" customHeight="1">
      <x:c r="A3909" s="11" t="str">
        <x:v>02162.HK</x:v>
      </x:c>
      <x:c r="B3909" s="11" t="str">
        <x:v>2026年底</x:v>
      </x:c>
      <x:c r="C3909" s="11" t="str">
        <x:v>CM326_China</x:v>
      </x:c>
      <x:c r="D3909" s="11" t="str">
        <x:v>2042-12-31</x:v>
      </x:c>
      <x:c r="E3909" s="11" t="str">
        <x:v>CNY</x:v>
      </x:c>
      <x:c r="F3909" s="11" t="n">
        <x:v>16</x:v>
      </x:c>
      <x:c r="G3909" s="26" t="b">
        <x:v>1</x:v>
      </x:c>
      <x:c r="H3909" s="16" t="n">
        <x:v>0.25</x:v>
      </x:c>
      <x:c r="I3909" s="16" t="n">
        <x:v>0.30000000000000004</x:v>
      </x:c>
      <x:c r="J3909" s="16" t="n">
        <x:v>0.36</x:v>
      </x:c>
      <x:c r="K3909" s="11" t="n">
        <x:f>CHOOSE('假设'!$B$3,H3909,I3909,J3909)</x:f>
        <x:v>0.30000000000000004</x:v>
      </x:c>
      <x:c r="L3909" s="11" t="n">
        <x:f>K3909*'管线假设'!E843*'管线假设'!F843*'管线假设'!G843*IF(E3909="USD",'管线假设'!I843,1)-AM3909</x:f>
        <x:v>0.011205000000000003</x:v>
      </x:c>
      <x:c r="M3909" s="11" t="n">
        <x:f>'管线假设'!H843</x:f>
        <x:v>0.14</x:v>
      </x:c>
      <x:c r="N3909" s="11" t="n">
        <x:f>IF(G3909,L3909*AN3909/(1+M3909)^F3909,0)</x:f>
        <x:v>0.0013770009487587048</x:v>
      </x:c>
      <x:c r="AJ3909" s="42" t="n">
        <x:v>0</x:v>
      </x:c>
      <x:c r="AK3909" s="42" t="n">
        <x:v>0</x:v>
      </x:c>
      <x:c r="AL3909" s="42" t="n">
        <x:v>0</x:v>
      </x:c>
      <x:c r="AM3909" t="n">
        <x:f>CHOOSE('假设'!$B$3,AJ3909,AK3909,AL3909)</x:f>
        <x:v>0</x:v>
      </x:c>
      <x:c r="AN3909" t="n">
        <x:v>1</x:v>
      </x:c>
    </x:row>
    <x:row r="3910" ht="23" customHeight="1">
      <x:c r="A3910" s="11" t="str">
        <x:v>02162.HK</x:v>
      </x:c>
      <x:c r="B3910" s="11" t="str">
        <x:v>2026年底</x:v>
      </x:c>
      <x:c r="C3910" s="11" t="str">
        <x:v>CM326_China</x:v>
      </x:c>
      <x:c r="D3910" s="11" t="str">
        <x:v>2043-12-31</x:v>
      </x:c>
      <x:c r="E3910" s="11" t="str">
        <x:v>CNY</x:v>
      </x:c>
      <x:c r="F3910" s="11" t="n">
        <x:v>16.999315537303218</x:v>
      </x:c>
      <x:c r="G3910" s="26" t="b">
        <x:v>1</x:v>
      </x:c>
      <x:c r="H3910" s="16" t="n">
        <x:v>0.175</x:v>
      </x:c>
      <x:c r="I3910" s="16" t="n">
        <x:v>0.18</x:v>
      </x:c>
      <x:c r="J3910" s="16" t="n">
        <x:v>0.21000000000000002</x:v>
      </x:c>
      <x:c r="K3910" s="11" t="n">
        <x:f>CHOOSE('假设'!$B$3,H3910,I3910,J3910)</x:f>
        <x:v>0.18</x:v>
      </x:c>
      <x:c r="L3910" s="11" t="n">
        <x:f>K3910*'管线假设'!E843*'管线假设'!F843*'管线假设'!G843*IF(E3910="USD",'管线假设'!I843,1)-AM3910</x:f>
        <x:v>0.006723000000000001</x:v>
      </x:c>
      <x:c r="M3910" s="11" t="n">
        <x:f>'管线假设'!H843</x:f>
        <x:v>0.14</x:v>
      </x:c>
      <x:c r="N3910" s="11" t="n">
        <x:f>IF(G3910,L3910*AN3910/(1+M3910)^F3910,0)</x:f>
        <x:v>0.0007248023416798218</x:v>
      </x:c>
      <x:c r="AJ3910" s="42" t="n">
        <x:v>0</x:v>
      </x:c>
      <x:c r="AK3910" s="42" t="n">
        <x:v>0</x:v>
      </x:c>
      <x:c r="AL3910" s="42" t="n">
        <x:v>0</x:v>
      </x:c>
      <x:c r="AM3910" t="n">
        <x:f>CHOOSE('假设'!$B$3,AJ3910,AK3910,AL3910)</x:f>
        <x:v>0</x:v>
      </x:c>
      <x:c r="AN3910" t="n">
        <x:v>1</x:v>
      </x:c>
    </x:row>
    <x:row r="3911" ht="23" customHeight="1">
      <x:c r="A3911" s="11" t="str">
        <x:v>02162.HK</x:v>
      </x:c>
      <x:c r="B3911" s="11" t="str">
        <x:v>2026年底</x:v>
      </x:c>
      <x:c r="C3911" s="11" t="str">
        <x:v>CM326_China</x:v>
      </x:c>
      <x:c r="D3911" s="11" t="str">
        <x:v>2044-12-31</x:v>
      </x:c>
      <x:c r="E3911" s="11" t="str">
        <x:v>CNY</x:v>
      </x:c>
      <x:c r="F3911" s="11" t="n">
        <x:v>18.001368925393567</x:v>
      </x:c>
      <x:c r="G3911" s="26" t="b">
        <x:v>1</x:v>
      </x:c>
      <x:c r="H3911" s="16" t="n">
        <x:v>0.1</x:v>
      </x:c>
      <x:c r="I3911" s="16" t="n">
        <x:v>0.10500000000000001</x:v>
      </x:c>
      <x:c r="J3911" s="16" t="n">
        <x:v>0.09</x:v>
      </x:c>
      <x:c r="K3911" s="11" t="n">
        <x:f>CHOOSE('假设'!$B$3,H3911,I3911,J3911)</x:f>
        <x:v>0.10500000000000001</x:v>
      </x:c>
      <x:c r="L3911" s="11" t="n">
        <x:f>K3911*'管线假设'!E843*'管线假设'!F843*'管线假设'!G843*IF(E3911="USD",'管线假设'!I843,1)-AM3911</x:f>
        <x:v>0.003921750000000001</x:v>
      </x:c>
      <x:c r="M3911" s="11" t="n">
        <x:f>'管线假设'!H843</x:f>
        <x:v>0.14</x:v>
      </x:c>
      <x:c r="N3911" s="11" t="n">
        <x:f>IF(G3911,L3911*AN3911/(1+M3911)^F3911,0)</x:f>
        <x:v>0.0003707786191069678</x:v>
      </x:c>
      <x:c r="AJ3911" s="42" t="n">
        <x:v>0</x:v>
      </x:c>
      <x:c r="AK3911" s="42" t="n">
        <x:v>0</x:v>
      </x:c>
      <x:c r="AL3911" s="42" t="n">
        <x:v>0</x:v>
      </x:c>
      <x:c r="AM3911" t="n">
        <x:f>CHOOSE('假设'!$B$3,AJ3911,AK3911,AL3911)</x:f>
        <x:v>0</x:v>
      </x:c>
      <x:c r="AN3911" t="n">
        <x:v>1</x:v>
      </x:c>
    </x:row>
    <x:row r="3912" ht="23" customHeight="1">
      <x:c r="A3912" s="11" t="str">
        <x:v>02162.HK</x:v>
      </x:c>
      <x:c r="B3912" s="11" t="str">
        <x:v>2026年底</x:v>
      </x:c>
      <x:c r="C3912" s="11" t="str">
        <x:v>centralCost</x:v>
      </x:c>
      <x:c r="D3912" s="11" t="str">
        <x:v>2026-12-31</x:v>
      </x:c>
      <x:c r="E3912" s="11" t="str">
        <x:v>CNY</x:v>
      </x:c>
      <x:c r="F3912" s="11" t="n">
        <x:v>0</x:v>
      </x:c>
      <x:c r="G3912" s="26" t="b">
        <x:v>0</x:v>
      </x:c>
      <x:c r="H3912" s="16" t="n">
        <x:v>0</x:v>
      </x:c>
      <x:c r="I3912" s="16" t="n">
        <x:v>0</x:v>
      </x:c>
      <x:c r="J3912" s="16" t="n">
        <x:v>0</x:v>
      </x:c>
      <x:c r="K3912" s="11" t="n">
        <x:f>CHOOSE('假设'!$B$3,H3912,I3912,J3912)</x:f>
        <x:v>0</x:v>
      </x:c>
      <x:c r="L3912" s="11" t="n">
        <x:f>K3912*'管线假设'!E847*'管线假设'!F847*'管线假设'!G847*IF(E3912="USD",'管线假设'!I847,1)-AM3912</x:f>
        <x:v>-0.16</x:v>
      </x:c>
      <x:c r="M3912" s="11" t="n">
        <x:f>'管线假设'!H847</x:f>
        <x:v>0.14</x:v>
      </x:c>
      <x:c r="N3912" s="11" t="n">
        <x:f>IF(G3912,L3912*AN3912/(1+M3912)^F3912,0)</x:f>
        <x:v>0</x:v>
      </x:c>
      <x:c r="AJ3912" s="42" t="n">
        <x:v>0.13</x:v>
      </x:c>
      <x:c r="AK3912" s="42" t="n">
        <x:v>0.16</x:v>
      </x:c>
      <x:c r="AL3912" s="42" t="n">
        <x:v>0.2</x:v>
      </x:c>
      <x:c r="AM3912" t="n">
        <x:f>CHOOSE('假设'!$B$3,AJ3912,AK3912,AL3912)</x:f>
        <x:v>0.16</x:v>
      </x:c>
      <x:c r="AN3912" t="n">
        <x:v>0</x:v>
      </x:c>
    </x:row>
    <x:row r="3913" ht="23" customHeight="1">
      <x:c r="A3913" s="11" t="str">
        <x:v>02162.HK</x:v>
      </x:c>
      <x:c r="B3913" s="11" t="str">
        <x:v>2026年底</x:v>
      </x:c>
      <x:c r="C3913" s="11" t="str">
        <x:v>centralCost</x:v>
      </x:c>
      <x:c r="D3913" s="11" t="str">
        <x:v>2027-12-31</x:v>
      </x:c>
      <x:c r="E3913" s="11" t="str">
        <x:v>CNY</x:v>
      </x:c>
      <x:c r="F3913" s="11" t="n">
        <x:v>0.999315537303217</x:v>
      </x:c>
      <x:c r="G3913" s="26" t="b">
        <x:v>1</x:v>
      </x:c>
      <x:c r="H3913" s="16" t="n">
        <x:v>0</x:v>
      </x:c>
      <x:c r="I3913" s="16" t="n">
        <x:v>0</x:v>
      </x:c>
      <x:c r="J3913" s="16" t="n">
        <x:v>0</x:v>
      </x:c>
      <x:c r="K3913" s="11" t="n">
        <x:f>CHOOSE('假设'!$B$3,H3913,I3913,J3913)</x:f>
        <x:v>0</x:v>
      </x:c>
      <x:c r="L3913" s="11" t="n">
        <x:f>K3913*'管线假设'!E847*'管线假设'!F847*'管线假设'!G847*IF(E3913="USD",'管线假设'!I847,1)-AM3913</x:f>
        <x:v>-0.1648</x:v>
      </x:c>
      <x:c r="M3913" s="11" t="n">
        <x:f>'管线假设'!H847</x:f>
        <x:v>0.14</x:v>
      </x:c>
      <x:c r="N3913" s="11" t="n">
        <x:f>IF(G3913,L3913*AN3913/(1+M3913)^F3913,0)</x:f>
        <x:v>-0.1445743689289761</x:v>
      </x:c>
      <x:c r="AJ3913" s="42" t="n">
        <x:v>0.13390000000000002</x:v>
      </x:c>
      <x:c r="AK3913" s="42" t="n">
        <x:v>0.1648</x:v>
      </x:c>
      <x:c r="AL3913" s="42" t="n">
        <x:v>0.20800000000000002</x:v>
      </x:c>
      <x:c r="AM3913" t="n">
        <x:f>CHOOSE('假设'!$B$3,AJ3913,AK3913,AL3913)</x:f>
        <x:v>0.1648</x:v>
      </x:c>
      <x:c r="AN3913" t="n">
        <x:v>1</x:v>
      </x:c>
    </x:row>
    <x:row r="3914" ht="23" customHeight="1">
      <x:c r="A3914" s="11" t="str">
        <x:v>02162.HK</x:v>
      </x:c>
      <x:c r="B3914" s="11" t="str">
        <x:v>2026年底</x:v>
      </x:c>
      <x:c r="C3914" s="11" t="str">
        <x:v>centralCost</x:v>
      </x:c>
      <x:c r="D3914" s="11" t="str">
        <x:v>2028-12-31</x:v>
      </x:c>
      <x:c r="E3914" s="11" t="str">
        <x:v>CNY</x:v>
      </x:c>
      <x:c r="F3914" s="11" t="n">
        <x:v>2.001368925393566</x:v>
      </x:c>
      <x:c r="G3914" s="26" t="b">
        <x:v>1</x:v>
      </x:c>
      <x:c r="H3914" s="16" t="n">
        <x:v>0</x:v>
      </x:c>
      <x:c r="I3914" s="16" t="n">
        <x:v>0</x:v>
      </x:c>
      <x:c r="J3914" s="16" t="n">
        <x:v>0</x:v>
      </x:c>
      <x:c r="K3914" s="11" t="n">
        <x:f>CHOOSE('假设'!$B$3,H3914,I3914,J3914)</x:f>
        <x:v>0</x:v>
      </x:c>
      <x:c r="L3914" s="11" t="n">
        <x:f>K3914*'管线假设'!E847*'管线假设'!F847*'管线假设'!G847*IF(E3914="USD",'管线假设'!I847,1)-AM3914</x:f>
        <x:v>-0.169744</x:v>
      </x:c>
      <x:c r="M3914" s="11" t="n">
        <x:f>'管线假设'!H847</x:f>
        <x:v>0.14</x:v>
      </x:c>
      <x:c r="N3914" s="11" t="n">
        <x:f>IF(G3914,L3914*AN3914/(1+M3914)^F3914,0)</x:f>
        <x:v>-0.13058907056242772</x:v>
      </x:c>
      <x:c r="AJ3914" s="42" t="n">
        <x:v>0.137917</x:v>
      </x:c>
      <x:c r="AK3914" s="42" t="n">
        <x:v>0.169744</x:v>
      </x:c>
      <x:c r="AL3914" s="42" t="n">
        <x:v>0.21632000000000004</x:v>
      </x:c>
      <x:c r="AM3914" t="n">
        <x:f>CHOOSE('假设'!$B$3,AJ3914,AK3914,AL3914)</x:f>
        <x:v>0.169744</x:v>
      </x:c>
      <x:c r="AN3914" t="n">
        <x:v>1</x:v>
      </x:c>
    </x:row>
    <x:row r="3915" ht="23" customHeight="1">
      <x:c r="A3915" s="11" t="str">
        <x:v>02162.HK</x:v>
      </x:c>
      <x:c r="B3915" s="11" t="str">
        <x:v>2026年底</x:v>
      </x:c>
      <x:c r="C3915" s="11" t="str">
        <x:v>centralCost</x:v>
      </x:c>
      <x:c r="D3915" s="11" t="str">
        <x:v>2029-12-31</x:v>
      </x:c>
      <x:c r="E3915" s="11" t="str">
        <x:v>CNY</x:v>
      </x:c>
      <x:c r="F3915" s="11" t="n">
        <x:v>3.0006844626967832</x:v>
      </x:c>
      <x:c r="G3915" s="26" t="b">
        <x:v>1</x:v>
      </x:c>
      <x:c r="H3915" s="16" t="n">
        <x:v>0</x:v>
      </x:c>
      <x:c r="I3915" s="16" t="n">
        <x:v>0</x:v>
      </x:c>
      <x:c r="J3915" s="16" t="n">
        <x:v>0</x:v>
      </x:c>
      <x:c r="K3915" s="11" t="n">
        <x:f>CHOOSE('假设'!$B$3,H3915,I3915,J3915)</x:f>
        <x:v>0</x:v>
      </x:c>
      <x:c r="L3915" s="11" t="n">
        <x:f>K3915*'管线假设'!E847*'管线假设'!F847*'管线假设'!G847*IF(E3915="USD",'管线假设'!I847,1)-AM3915</x:f>
        <x:v>-0.17483632000000002</x:v>
      </x:c>
      <x:c r="M3915" s="11" t="n">
        <x:f>'管线假设'!H847</x:f>
        <x:v>0.14</x:v>
      </x:c>
      <x:c r="N3915" s="11" t="n">
        <x:f>IF(G3915,L3915*AN3915/(1+M3915)^F3915,0)</x:f>
        <x:v>-0.11799895290990327</x:v>
      </x:c>
      <x:c r="AJ3915" s="42" t="n">
        <x:v>0.14205451</x:v>
      </x:c>
      <x:c r="AK3915" s="42" t="n">
        <x:v>0.17483632000000002</x:v>
      </x:c>
      <x:c r="AL3915" s="42" t="n">
        <x:v>0.22497280000000003</x:v>
      </x:c>
      <x:c r="AM3915" t="n">
        <x:f>CHOOSE('假设'!$B$3,AJ3915,AK3915,AL3915)</x:f>
        <x:v>0.17483632000000002</x:v>
      </x:c>
      <x:c r="AN3915" t="n">
        <x:v>1</x:v>
      </x:c>
    </x:row>
    <x:row r="3916" ht="23" customHeight="1">
      <x:c r="A3916" s="11" t="str">
        <x:v>02162.HK</x:v>
      </x:c>
      <x:c r="B3916" s="11" t="str">
        <x:v>2026年底</x:v>
      </x:c>
      <x:c r="C3916" s="11" t="str">
        <x:v>centralCost</x:v>
      </x:c>
      <x:c r="D3916" s="11" t="str">
        <x:v>2030-12-31</x:v>
      </x:c>
      <x:c r="E3916" s="11" t="str">
        <x:v>CNY</x:v>
      </x:c>
      <x:c r="F3916" s="11" t="n">
        <x:v>4</x:v>
      </x:c>
      <x:c r="G3916" s="26" t="b">
        <x:v>1</x:v>
      </x:c>
      <x:c r="H3916" s="16" t="n">
        <x:v>0</x:v>
      </x:c>
      <x:c r="I3916" s="16" t="n">
        <x:v>0</x:v>
      </x:c>
      <x:c r="J3916" s="16" t="n">
        <x:v>0</x:v>
      </x:c>
      <x:c r="K3916" s="11" t="n">
        <x:f>CHOOSE('假设'!$B$3,H3916,I3916,J3916)</x:f>
        <x:v>0</x:v>
      </x:c>
      <x:c r="L3916" s="11" t="n">
        <x:f>K3916*'管线假设'!E847*'管线假设'!F847*'管线假设'!G847*IF(E3916="USD",'管线假设'!I847,1)-AM3916</x:f>
        <x:v>-0.18008140960000002</x:v>
      </x:c>
      <x:c r="M3916" s="11" t="n">
        <x:f>'管线假设'!H847</x:f>
        <x:v>0.14</x:v>
      </x:c>
      <x:c r="N3916" s="11" t="n">
        <x:f>IF(G3916,L3916*AN3916/(1+M3916)^F3916,0)</x:f>
        <x:v>-0.10662265094518271</x:v>
      </x:c>
      <x:c r="AJ3916" s="42" t="n">
        <x:v>0.14631614530000003</x:v>
      </x:c>
      <x:c r="AK3916" s="42" t="n">
        <x:v>0.18008140960000002</x:v>
      </x:c>
      <x:c r="AL3916" s="42" t="n">
        <x:v>0.23397171200000005</x:v>
      </x:c>
      <x:c r="AM3916" t="n">
        <x:f>CHOOSE('假设'!$B$3,AJ3916,AK3916,AL3916)</x:f>
        <x:v>0.18008140960000002</x:v>
      </x:c>
      <x:c r="AN3916" t="n">
        <x:v>1</x:v>
      </x:c>
    </x:row>
    <x:row r="3917" ht="23" customHeight="1">
      <x:c r="A3917" s="11" t="str">
        <x:v>02162.HK</x:v>
      </x:c>
      <x:c r="B3917" s="11" t="str">
        <x:v>2026年底</x:v>
      </x:c>
      <x:c r="C3917" s="11" t="str">
        <x:v>centralCost</x:v>
      </x:c>
      <x:c r="D3917" s="11" t="str">
        <x:v>2031-12-31</x:v>
      </x:c>
      <x:c r="E3917" s="11" t="str">
        <x:v>CNY</x:v>
      </x:c>
      <x:c r="F3917" s="11" t="n">
        <x:v>4.999315537303217</x:v>
      </x:c>
      <x:c r="G3917" s="26" t="b">
        <x:v>1</x:v>
      </x:c>
      <x:c r="H3917" s="16" t="n">
        <x:v>0</x:v>
      </x:c>
      <x:c r="I3917" s="16" t="n">
        <x:v>0</x:v>
      </x:c>
      <x:c r="J3917" s="16" t="n">
        <x:v>0</x:v>
      </x:c>
      <x:c r="K3917" s="11" t="n">
        <x:f>CHOOSE('假设'!$B$3,H3917,I3917,J3917)</x:f>
        <x:v>0</x:v>
      </x:c>
      <x:c r="L3917" s="11" t="n">
        <x:f>K3917*'管线假设'!E847*'管线假设'!F847*'管线假设'!G847*IF(E3917="USD",'管线假设'!I847,1)-AM3917</x:f>
        <x:v>-0.185483851888</x:v>
      </x:c>
      <x:c r="M3917" s="11" t="n">
        <x:f>'管线假设'!H847</x:f>
        <x:v>0.14</x:v>
      </x:c>
      <x:c r="N3917" s="11" t="n">
        <x:f>IF(G3917,L3917*AN3917/(1+M3917)^F3917,0)</x:f>
        <x:v>-0.09634314046208929</x:v>
      </x:c>
      <x:c r="AJ3917" s="42" t="n">
        <x:v>0.150705629659</x:v>
      </x:c>
      <x:c r="AK3917" s="42" t="n">
        <x:v>0.185483851888</x:v>
      </x:c>
      <x:c r="AL3917" s="42" t="n">
        <x:v>0.24333058048000003</x:v>
      </x:c>
      <x:c r="AM3917" t="n">
        <x:f>CHOOSE('假设'!$B$3,AJ3917,AK3917,AL3917)</x:f>
        <x:v>0.185483851888</x:v>
      </x:c>
      <x:c r="AN3917" t="n">
        <x:v>1</x:v>
      </x:c>
    </x:row>
    <x:row r="3918" ht="23" customHeight="1">
      <x:c r="A3918" s="11" t="str">
        <x:v>02162.HK</x:v>
      </x:c>
      <x:c r="B3918" s="11" t="str">
        <x:v>2026年底</x:v>
      </x:c>
      <x:c r="C3918" s="11" t="str">
        <x:v>centralCost</x:v>
      </x:c>
      <x:c r="D3918" s="11" t="str">
        <x:v>2032-12-31</x:v>
      </x:c>
      <x:c r="E3918" s="11" t="str">
        <x:v>CNY</x:v>
      </x:c>
      <x:c r="F3918" s="11" t="n">
        <x:v>6.0013689253935665</x:v>
      </x:c>
      <x:c r="G3918" s="26" t="b">
        <x:v>1</x:v>
      </x:c>
      <x:c r="H3918" s="16" t="n">
        <x:v>0</x:v>
      </x:c>
      <x:c r="I3918" s="16" t="n">
        <x:v>0</x:v>
      </x:c>
      <x:c r="J3918" s="16" t="n">
        <x:v>0</x:v>
      </x:c>
      <x:c r="K3918" s="11" t="n">
        <x:f>CHOOSE('假设'!$B$3,H3918,I3918,J3918)</x:f>
        <x:v>0</x:v>
      </x:c>
      <x:c r="L3918" s="11" t="n">
        <x:f>K3918*'管线假设'!E847*'管线假设'!F847*'管线假设'!G847*IF(E3918="USD",'管线假设'!I847,1)-AM3918</x:f>
        <x:v>-0.19104836744464002</x:v>
      </x:c>
      <x:c r="M3918" s="11" t="n">
        <x:f>'管线假设'!H847</x:f>
        <x:v>0.14</x:v>
      </x:c>
      <x:c r="N3918" s="11" t="n">
        <x:f>IF(G3918,L3918*AN3918/(1+M3918)^F3918,0)</x:f>
        <x:v>-0.08702345554895978</x:v>
      </x:c>
      <x:c r="AJ3918" s="42" t="n">
        <x:v>0.15522679854877003</x:v>
      </x:c>
      <x:c r="AK3918" s="42" t="n">
        <x:v>0.19104836744464002</x:v>
      </x:c>
      <x:c r="AL3918" s="42" t="n">
        <x:v>0.25306380369920006</x:v>
      </x:c>
      <x:c r="AM3918" t="n">
        <x:f>CHOOSE('假设'!$B$3,AJ3918,AK3918,AL3918)</x:f>
        <x:v>0.19104836744464002</x:v>
      </x:c>
      <x:c r="AN3918" t="n">
        <x:v>1</x:v>
      </x:c>
    </x:row>
    <x:row r="3919" ht="23" customHeight="1">
      <x:c r="A3919" s="11" t="str">
        <x:v>02162.HK</x:v>
      </x:c>
      <x:c r="B3919" s="11" t="str">
        <x:v>2026年底</x:v>
      </x:c>
      <x:c r="C3919" s="11" t="str">
        <x:v>centralCost</x:v>
      </x:c>
      <x:c r="D3919" s="11" t="str">
        <x:v>2033-12-31</x:v>
      </x:c>
      <x:c r="E3919" s="11" t="str">
        <x:v>CNY</x:v>
      </x:c>
      <x:c r="F3919" s="11" t="n">
        <x:v>7.000684462696783</x:v>
      </x:c>
      <x:c r="G3919" s="26" t="b">
        <x:v>1</x:v>
      </x:c>
      <x:c r="H3919" s="16" t="n">
        <x:v>0</x:v>
      </x:c>
      <x:c r="I3919" s="16" t="n">
        <x:v>0</x:v>
      </x:c>
      <x:c r="J3919" s="16" t="n">
        <x:v>0</x:v>
      </x:c>
      <x:c r="K3919" s="11" t="n">
        <x:f>CHOOSE('假设'!$B$3,H3919,I3919,J3919)</x:f>
        <x:v>0</x:v>
      </x:c>
      <x:c r="L3919" s="11" t="n">
        <x:f>K3919*'管线假设'!E847*'管线假设'!F847*'管线假设'!G847*IF(E3919="USD",'管线假设'!I847,1)-AM3919</x:f>
        <x:v>-0.19677981846797923</x:v>
      </x:c>
      <x:c r="M3919" s="11" t="n">
        <x:f>'管线假设'!H847</x:f>
        <x:v>0.14</x:v>
      </x:c>
      <x:c r="N3919" s="11" t="n">
        <x:f>IF(G3919,L3919*AN3919/(1+M3919)^F3919,0)</x:f>
        <x:v>-0.07863350730006043</x:v>
      </x:c>
      <x:c r="AJ3919" s="42" t="n">
        <x:v>0.15988360250523312</x:v>
      </x:c>
      <x:c r="AK3919" s="42" t="n">
        <x:v>0.19677981846797923</x:v>
      </x:c>
      <x:c r="AL3919" s="42" t="n">
        <x:v>0.26318635584716804</x:v>
      </x:c>
      <x:c r="AM3919" t="n">
        <x:f>CHOOSE('假设'!$B$3,AJ3919,AK3919,AL3919)</x:f>
        <x:v>0.19677981846797923</x:v>
      </x:c>
      <x:c r="AN3919" t="n">
        <x:v>1</x:v>
      </x:c>
    </x:row>
    <x:row r="3920" ht="23" customHeight="1">
      <x:c r="A3920" s="11" t="str">
        <x:v>02162.HK</x:v>
      </x:c>
      <x:c r="B3920" s="11" t="str">
        <x:v>2026年底</x:v>
      </x:c>
      <x:c r="C3920" s="11" t="str">
        <x:v>centralCost</x:v>
      </x:c>
      <x:c r="D3920" s="11" t="str">
        <x:v>2034-12-31</x:v>
      </x:c>
      <x:c r="E3920" s="11" t="str">
        <x:v>CNY</x:v>
      </x:c>
      <x:c r="F3920" s="11" t="n">
        <x:v>8</x:v>
      </x:c>
      <x:c r="G3920" s="26" t="b">
        <x:v>1</x:v>
      </x:c>
      <x:c r="H3920" s="16" t="n">
        <x:v>0</x:v>
      </x:c>
      <x:c r="I3920" s="16" t="n">
        <x:v>0</x:v>
      </x:c>
      <x:c r="J3920" s="16" t="n">
        <x:v>0</x:v>
      </x:c>
      <x:c r="K3920" s="11" t="n">
        <x:f>CHOOSE('假设'!$B$3,H3920,I3920,J3920)</x:f>
        <x:v>0</x:v>
      </x:c>
      <x:c r="L3920" s="11" t="n">
        <x:f>K3920*'管线假设'!E847*'管线假设'!F847*'管线假设'!G847*IF(E3920="USD",'管线假设'!I847,1)-AM3920</x:f>
        <x:v>-0.20268321302201864</x:v>
      </x:c>
      <x:c r="M3920" s="11" t="n">
        <x:f>'管线假设'!H847</x:f>
        <x:v>0.14</x:v>
      </x:c>
      <x:c r="N3920" s="11" t="n">
        <x:f>IF(G3920,L3920*AN3920/(1+M3920)^F3920,0)</x:f>
        <x:v>-0.07105243559111421</x:v>
      </x:c>
      <x:c r="AJ3920" s="42" t="n">
        <x:v>0.16468011058039014</x:v>
      </x:c>
      <x:c r="AK3920" s="42" t="n">
        <x:v>0.20268321302201864</x:v>
      </x:c>
      <x:c r="AL3920" s="42" t="n">
        <x:v>0.2737138100810548</x:v>
      </x:c>
      <x:c r="AM3920" t="n">
        <x:f>CHOOSE('假设'!$B$3,AJ3920,AK3920,AL3920)</x:f>
        <x:v>0.20268321302201864</x:v>
      </x:c>
      <x:c r="AN3920" t="n">
        <x:v>1</x:v>
      </x:c>
    </x:row>
    <x:row r="3921" ht="23" customHeight="1">
      <x:c r="A3921" s="11" t="str">
        <x:v>02162.HK</x:v>
      </x:c>
      <x:c r="B3921" s="11" t="str">
        <x:v>2026年底</x:v>
      </x:c>
      <x:c r="C3921" s="11" t="str">
        <x:v>centralCost</x:v>
      </x:c>
      <x:c r="D3921" s="11" t="str">
        <x:v>2035-12-31</x:v>
      </x:c>
      <x:c r="E3921" s="11" t="str">
        <x:v>CNY</x:v>
      </x:c>
      <x:c r="F3921" s="11" t="n">
        <x:v>8.999315537303216</x:v>
      </x:c>
      <x:c r="G3921" s="26" t="b">
        <x:v>1</x:v>
      </x:c>
      <x:c r="H3921" s="16" t="n">
        <x:v>0</x:v>
      </x:c>
      <x:c r="I3921" s="16" t="n">
        <x:v>0</x:v>
      </x:c>
      <x:c r="J3921" s="16" t="n">
        <x:v>0</x:v>
      </x:c>
      <x:c r="K3921" s="11" t="n">
        <x:f>CHOOSE('假设'!$B$3,H3921,I3921,J3921)</x:f>
        <x:v>0</x:v>
      </x:c>
      <x:c r="L3921" s="11" t="n">
        <x:f>K3921*'管线假设'!E847*'管线假设'!F847*'管线假设'!G847*IF(E3921="USD",'管线假设'!I847,1)-AM3921</x:f>
        <x:v>-0.2087637094126792</x:v>
      </x:c>
      <x:c r="M3921" s="11" t="n">
        <x:f>'管线假设'!H847</x:f>
        <x:v>0.14</x:v>
      </x:c>
      <x:c r="N3921" s="11" t="n">
        <x:f>IF(G3921,L3921*AN3921/(1+M3921)^F3921,0)</x:f>
        <x:v>-0.06420225647782536</x:v>
      </x:c>
      <x:c r="AJ3921" s="42" t="n">
        <x:v>0.16962051389780183</x:v>
      </x:c>
      <x:c r="AK3921" s="42" t="n">
        <x:v>0.2087637094126792</x:v>
      </x:c>
      <x:c r="AL3921" s="42" t="n">
        <x:v>0.284662362484297</x:v>
      </x:c>
      <x:c r="AM3921" t="n">
        <x:f>CHOOSE('假设'!$B$3,AJ3921,AK3921,AL3921)</x:f>
        <x:v>0.2087637094126792</x:v>
      </x:c>
      <x:c r="AN3921" t="n">
        <x:v>1</x:v>
      </x:c>
    </x:row>
    <x:row r="3922" ht="23" customHeight="1">
      <x:c r="A3922" s="11" t="str">
        <x:v>02162.HK</x:v>
      </x:c>
      <x:c r="B3922" s="11" t="str">
        <x:v>2026年底</x:v>
      </x:c>
      <x:c r="C3922" s="11" t="str">
        <x:v>centralCost</x:v>
      </x:c>
      <x:c r="D3922" s="11" t="str">
        <x:v>2036-12-31</x:v>
      </x:c>
      <x:c r="E3922" s="11" t="str">
        <x:v>CNY</x:v>
      </x:c>
      <x:c r="F3922" s="11" t="n">
        <x:v>10.001368925393566</x:v>
      </x:c>
      <x:c r="G3922" s="26" t="b">
        <x:v>1</x:v>
      </x:c>
      <x:c r="H3922" s="16" t="n">
        <x:v>0</x:v>
      </x:c>
      <x:c r="I3922" s="16" t="n">
        <x:v>0</x:v>
      </x:c>
      <x:c r="J3922" s="16" t="n">
        <x:v>0</x:v>
      </x:c>
      <x:c r="K3922" s="11" t="n">
        <x:f>CHOOSE('假设'!$B$3,H3922,I3922,J3922)</x:f>
        <x:v>0</x:v>
      </x:c>
      <x:c r="L3922" s="11" t="n">
        <x:f>K3922*'管线假设'!E847*'管线假设'!F847*'管线假设'!G847*IF(E3922="USD",'管线假设'!I847,1)-AM3922</x:f>
        <x:v>-0.21502662069505957</x:v>
      </x:c>
      <x:c r="M3922" s="11" t="n">
        <x:f>'管线假设'!H847</x:f>
        <x:v>0.14</x:v>
      </x:c>
      <x:c r="N3922" s="11" t="n">
        <x:f>IF(G3922,L3922*AN3922/(1+M3922)^F3922,0)</x:f>
        <x:v>-0.057991697031502275</x:v>
      </x:c>
      <x:c r="AJ3922" s="42" t="n">
        <x:v>0.1747091293147359</x:v>
      </x:c>
      <x:c r="AK3922" s="42" t="n">
        <x:v>0.21502662069505957</x:v>
      </x:c>
      <x:c r="AL3922" s="42" t="n">
        <x:v>0.2960488569836689</x:v>
      </x:c>
      <x:c r="AM3922" t="n">
        <x:f>CHOOSE('假设'!$B$3,AJ3922,AK3922,AL3922)</x:f>
        <x:v>0.21502662069505957</x:v>
      </x:c>
      <x:c r="AN3922" t="n">
        <x:v>1</x:v>
      </x:c>
    </x:row>
    <x:row r="3923" ht="23" customHeight="1">
      <x:c r="A3923" s="11" t="str">
        <x:v>02162.HK</x:v>
      </x:c>
      <x:c r="B3923" s="11" t="str">
        <x:v>2026年底</x:v>
      </x:c>
      <x:c r="C3923" s="11" t="str">
        <x:v>centralCost</x:v>
      </x:c>
      <x:c r="D3923" s="11" t="str">
        <x:v>2037-12-31</x:v>
      </x:c>
      <x:c r="E3923" s="11" t="str">
        <x:v>CNY</x:v>
      </x:c>
      <x:c r="F3923" s="11" t="n">
        <x:v>11.000684462696784</x:v>
      </x:c>
      <x:c r="G3923" s="26" t="b">
        <x:v>1</x:v>
      </x:c>
      <x:c r="H3923" s="16" t="n">
        <x:v>0</x:v>
      </x:c>
      <x:c r="I3923" s="16" t="n">
        <x:v>0</x:v>
      </x:c>
      <x:c r="J3923" s="16" t="n">
        <x:v>0</x:v>
      </x:c>
      <x:c r="K3923" s="11" t="n">
        <x:f>CHOOSE('假设'!$B$3,H3923,I3923,J3923)</x:f>
        <x:v>0</x:v>
      </x:c>
      <x:c r="L3923" s="11" t="n">
        <x:f>K3923*'管线假设'!E847*'管线假设'!F847*'管线假设'!G847*IF(E3923="USD",'管线假设'!I847,1)-AM3923</x:f>
        <x:v>-0.22147741931591136</x:v>
      </x:c>
      <x:c r="M3923" s="11" t="n">
        <x:f>'管线假设'!H847</x:f>
        <x:v>0.14</x:v>
      </x:c>
      <x:c r="N3923" s="11" t="n">
        <x:f>IF(G3923,L3923*AN3923/(1+M3923)^F3923,0)</x:f>
        <x:v>-0.05240070625906137</x:v>
      </x:c>
      <x:c r="AJ3923" s="42" t="n">
        <x:v>0.179950403194178</x:v>
      </x:c>
      <x:c r="AK3923" s="42" t="n">
        <x:v>0.22147741931591136</x:v>
      </x:c>
      <x:c r="AL3923" s="42" t="n">
        <x:v>0.30789081126301565</x:v>
      </x:c>
      <x:c r="AM3923" t="n">
        <x:f>CHOOSE('假设'!$B$3,AJ3923,AK3923,AL3923)</x:f>
        <x:v>0.22147741931591136</x:v>
      </x:c>
      <x:c r="AN3923" t="n">
        <x:v>1</x:v>
      </x:c>
    </x:row>
    <x:row r="3924" ht="23" customHeight="1">
      <x:c r="A3924" s="11" t="str">
        <x:v>02162.HK</x:v>
      </x:c>
      <x:c r="B3924" s="11" t="str">
        <x:v>2026年底</x:v>
      </x:c>
      <x:c r="C3924" s="11" t="str">
        <x:v>centralCost</x:v>
      </x:c>
      <x:c r="D3924" s="11" t="str">
        <x:v>2038-12-31</x:v>
      </x:c>
      <x:c r="E3924" s="11" t="str">
        <x:v>CNY</x:v>
      </x:c>
      <x:c r="F3924" s="11" t="n">
        <x:v>12</x:v>
      </x:c>
      <x:c r="G3924" s="26" t="b">
        <x:v>1</x:v>
      </x:c>
      <x:c r="H3924" s="16" t="n">
        <x:v>0</x:v>
      </x:c>
      <x:c r="I3924" s="16" t="n">
        <x:v>0</x:v>
      </x:c>
      <x:c r="J3924" s="16" t="n">
        <x:v>0</x:v>
      </x:c>
      <x:c r="K3924" s="11" t="n">
        <x:f>CHOOSE('假设'!$B$3,H3924,I3924,J3924)</x:f>
        <x:v>0</x:v>
      </x:c>
      <x:c r="L3924" s="11" t="n">
        <x:f>K3924*'管线假设'!E847*'管线假设'!F847*'管线假设'!G847*IF(E3924="USD",'管线假设'!I847,1)-AM3924</x:f>
        <x:v>-0.2281217418953887</x:v>
      </x:c>
      <x:c r="M3924" s="11" t="n">
        <x:f>'管线假设'!H847</x:f>
        <x:v>0.14</x:v>
      </x:c>
      <x:c r="N3924" s="11" t="n">
        <x:f>IF(G3924,L3924*AN3924/(1+M3924)^F3924,0)</x:f>
        <x:v>-0.04734874399272778</x:v>
      </x:c>
      <x:c r="AJ3924" s="42" t="n">
        <x:v>0.1853489152900033</x:v>
      </x:c>
      <x:c r="AK3924" s="42" t="n">
        <x:v>0.2281217418953887</x:v>
      </x:c>
      <x:c r="AL3924" s="42" t="n">
        <x:v>0.32020644371353635</x:v>
      </x:c>
      <x:c r="AM3924" t="n">
        <x:f>CHOOSE('假设'!$B$3,AJ3924,AK3924,AL3924)</x:f>
        <x:v>0.2281217418953887</x:v>
      </x:c>
      <x:c r="AN3924" t="n">
        <x:v>1</x:v>
      </x:c>
    </x:row>
    <x:row r="3925" ht="23" customHeight="1">
      <x:c r="A3925" s="11" t="str">
        <x:v>02162.HK</x:v>
      </x:c>
      <x:c r="B3925" s="11" t="str">
        <x:v>2026年底</x:v>
      </x:c>
      <x:c r="C3925" s="11" t="str">
        <x:v>centralCost</x:v>
      </x:c>
      <x:c r="D3925" s="11" t="str">
        <x:v>2039-12-31</x:v>
      </x:c>
      <x:c r="E3925" s="11" t="str">
        <x:v>CNY</x:v>
      </x:c>
      <x:c r="F3925" s="11" t="n">
        <x:v>12.999315537303216</x:v>
      </x:c>
      <x:c r="G3925" s="26" t="b">
        <x:v>1</x:v>
      </x:c>
      <x:c r="H3925" s="16" t="n">
        <x:v>0</x:v>
      </x:c>
      <x:c r="I3925" s="16" t="n">
        <x:v>0</x:v>
      </x:c>
      <x:c r="J3925" s="16" t="n">
        <x:v>0</x:v>
      </x:c>
      <x:c r="K3925" s="11" t="n">
        <x:f>CHOOSE('假设'!$B$3,H3925,I3925,J3925)</x:f>
        <x:v>0</x:v>
      </x:c>
      <x:c r="L3925" s="11" t="n">
        <x:f>K3925*'管线假设'!E847*'管线假设'!F847*'管线假设'!G847*IF(E3925="USD",'管线假设'!I847,1)-AM3925</x:f>
        <x:v>-0.23496539415225037</x:v>
      </x:c>
      <x:c r="M3925" s="11" t="n">
        <x:f>'管线假设'!H847</x:f>
        <x:v>0.14</x:v>
      </x:c>
      <x:c r="N3925" s="11" t="n">
        <x:f>IF(G3925,L3925*AN3925/(1+M3925)^F3925,0)</x:f>
        <x:v>-0.04278384238955168</x:v>
      </x:c>
      <x:c r="AJ3925" s="42" t="n">
        <x:v>0.19090938274870342</x:v>
      </x:c>
      <x:c r="AK3925" s="42" t="n">
        <x:v>0.23496539415225037</x:v>
      </x:c>
      <x:c r="AL3925" s="42" t="n">
        <x:v>0.3330147014620778</x:v>
      </x:c>
      <x:c r="AM3925" t="n">
        <x:f>CHOOSE('假设'!$B$3,AJ3925,AK3925,AL3925)</x:f>
        <x:v>0.23496539415225037</x:v>
      </x:c>
      <x:c r="AN3925" t="n">
        <x:v>1</x:v>
      </x:c>
    </x:row>
    <x:row r="3926" ht="23" customHeight="1">
      <x:c r="A3926" s="11" t="str">
        <x:v>02162.HK</x:v>
      </x:c>
      <x:c r="B3926" s="11" t="str">
        <x:v>2026年底</x:v>
      </x:c>
      <x:c r="C3926" s="11" t="str">
        <x:v>centralCost</x:v>
      </x:c>
      <x:c r="D3926" s="11" t="str">
        <x:v>2040-12-31</x:v>
      </x:c>
      <x:c r="E3926" s="11" t="str">
        <x:v>CNY</x:v>
      </x:c>
      <x:c r="F3926" s="11" t="n">
        <x:v>14.001368925393566</x:v>
      </x:c>
      <x:c r="G3926" s="26" t="b">
        <x:v>1</x:v>
      </x:c>
      <x:c r="H3926" s="16" t="n">
        <x:v>0</x:v>
      </x:c>
      <x:c r="I3926" s="16" t="n">
        <x:v>0</x:v>
      </x:c>
      <x:c r="J3926" s="16" t="n">
        <x:v>0</x:v>
      </x:c>
      <x:c r="K3926" s="11" t="n">
        <x:f>CHOOSE('假设'!$B$3,H3926,I3926,J3926)</x:f>
        <x:v>0</x:v>
      </x:c>
      <x:c r="L3926" s="11" t="n">
        <x:f>K3926*'管线假设'!E847*'管线假设'!F847*'管线假设'!G847*IF(E3926="USD",'管线假设'!I847,1)-AM3926</x:f>
        <x:v>-0.24201435597681792</x:v>
      </x:c>
      <x:c r="M3926" s="11" t="n">
        <x:f>'管线假设'!H847</x:f>
        <x:v>0.14</x:v>
      </x:c>
      <x:c r="N3926" s="11" t="n">
        <x:f>IF(G3926,L3926*AN3926/(1+M3926)^F3926,0)</x:f>
        <x:v>-0.03864517793942911</x:v>
      </x:c>
      <x:c r="AJ3926" s="42" t="n">
        <x:v>0.19663666423116455</x:v>
      </x:c>
      <x:c r="AK3926" s="42" t="n">
        <x:v>0.24201435597681792</x:v>
      </x:c>
      <x:c r="AL3926" s="42" t="n">
        <x:v>0.3463352895205609</x:v>
      </x:c>
      <x:c r="AM3926" t="n">
        <x:f>CHOOSE('假设'!$B$3,AJ3926,AK3926,AL3926)</x:f>
        <x:v>0.24201435597681792</x:v>
      </x:c>
      <x:c r="AN3926" t="n">
        <x:v>1</x:v>
      </x:c>
    </x:row>
    <x:row r="3927" ht="23" customHeight="1">
      <x:c r="A3927" s="11" t="str">
        <x:v>02162.HK</x:v>
      </x:c>
      <x:c r="B3927" s="11" t="str">
        <x:v>2026年底</x:v>
      </x:c>
      <x:c r="C3927" s="11" t="str">
        <x:v>centralCost</x:v>
      </x:c>
      <x:c r="D3927" s="11" t="str">
        <x:v>2041-12-31</x:v>
      </x:c>
      <x:c r="E3927" s="11" t="str">
        <x:v>CNY</x:v>
      </x:c>
      <x:c r="F3927" s="11" t="n">
        <x:v>15.000684462696784</x:v>
      </x:c>
      <x:c r="G3927" s="26" t="b">
        <x:v>1</x:v>
      </x:c>
      <x:c r="H3927" s="16" t="n">
        <x:v>0</x:v>
      </x:c>
      <x:c r="I3927" s="16" t="n">
        <x:v>0</x:v>
      </x:c>
      <x:c r="J3927" s="16" t="n">
        <x:v>0</x:v>
      </x:c>
      <x:c r="K3927" s="11" t="n">
        <x:f>CHOOSE('假设'!$B$3,H3927,I3927,J3927)</x:f>
        <x:v>0</x:v>
      </x:c>
      <x:c r="L3927" s="11" t="n">
        <x:f>K3927*'管线假设'!E847*'管线假设'!F847*'管线假设'!G847*IF(E3927="USD",'管线假设'!I847,1)-AM3927</x:f>
        <x:v>-0.24927478665612243</x:v>
      </x:c>
      <x:c r="M3927" s="11" t="n">
        <x:f>'管线假设'!H847</x:f>
        <x:v>0.14</x:v>
      </x:c>
      <x:c r="N3927" s="11" t="n">
        <x:f>IF(G3927,L3927*AN3927/(1+M3927)^F3927,0)</x:f>
        <x:v>-0.03491938882963094</x:v>
      </x:c>
      <x:c r="AJ3927" s="42" t="n">
        <x:v>0.20253576415809946</x:v>
      </x:c>
      <x:c r="AK3927" s="42" t="n">
        <x:v>0.24927478665612243</x:v>
      </x:c>
      <x:c r="AL3927" s="42" t="n">
        <x:v>0.36018870110138335</x:v>
      </x:c>
      <x:c r="AM3927" t="n">
        <x:f>CHOOSE('假设'!$B$3,AJ3927,AK3927,AL3927)</x:f>
        <x:v>0.24927478665612243</x:v>
      </x:c>
      <x:c r="AN3927" t="n">
        <x:v>1</x:v>
      </x:c>
    </x:row>
    <x:row r="3928" ht="23" customHeight="1">
      <x:c r="A3928" s="11" t="str">
        <x:v>02162.HK</x:v>
      </x:c>
      <x:c r="B3928" s="11" t="str">
        <x:v>2026年底</x:v>
      </x:c>
      <x:c r="C3928" s="11" t="str">
        <x:v>centralCost</x:v>
      </x:c>
      <x:c r="D3928" s="11" t="str">
        <x:v>2042-12-31</x:v>
      </x:c>
      <x:c r="E3928" s="11" t="str">
        <x:v>CNY</x:v>
      </x:c>
      <x:c r="F3928" s="11" t="n">
        <x:v>16</x:v>
      </x:c>
      <x:c r="G3928" s="26" t="b">
        <x:v>1</x:v>
      </x:c>
      <x:c r="H3928" s="16" t="n">
        <x:v>0</x:v>
      </x:c>
      <x:c r="I3928" s="16" t="n">
        <x:v>0</x:v>
      </x:c>
      <x:c r="J3928" s="16" t="n">
        <x:v>0</x:v>
      </x:c>
      <x:c r="K3928" s="11" t="n">
        <x:f>CHOOSE('假设'!$B$3,H3928,I3928,J3928)</x:f>
        <x:v>0</x:v>
      </x:c>
      <x:c r="L3928" s="11" t="n">
        <x:f>K3928*'管线假设'!E847*'管线假设'!F847*'管线假设'!G847*IF(E3928="USD",'管线假设'!I847,1)-AM3928</x:f>
        <x:v>-0.2567530302558061</x:v>
      </x:c>
      <x:c r="M3928" s="11" t="n">
        <x:f>'管线假设'!H847</x:f>
        <x:v>0.14</x:v>
      </x:c>
      <x:c r="N3928" s="11" t="n">
        <x:f>IF(G3928,L3928*AN3928/(1+M3928)^F3928,0)</x:f>
        <x:v>-0.03155280377143395</x:v>
      </x:c>
      <x:c r="AJ3928" s="42" t="n">
        <x:v>0.20861183708284248</x:v>
      </x:c>
      <x:c r="AK3928" s="42" t="n">
        <x:v>0.2567530302558061</x:v>
      </x:c>
      <x:c r="AL3928" s="42" t="n">
        <x:v>0.37459624914543865</x:v>
      </x:c>
      <x:c r="AM3928" t="n">
        <x:f>CHOOSE('假设'!$B$3,AJ3928,AK3928,AL3928)</x:f>
        <x:v>0.2567530302558061</x:v>
      </x:c>
      <x:c r="AN3928" t="n">
        <x:v>1</x:v>
      </x:c>
    </x:row>
    <x:row r="3929" ht="23" customHeight="1">
      <x:c r="A3929" s="11" t="str">
        <x:v>02162.HK</x:v>
      </x:c>
      <x:c r="B3929" s="11" t="str">
        <x:v>2026年底</x:v>
      </x:c>
      <x:c r="C3929" s="11" t="str">
        <x:v>centralCost</x:v>
      </x:c>
      <x:c r="D3929" s="11" t="str">
        <x:v>2043-12-31</x:v>
      </x:c>
      <x:c r="E3929" s="11" t="str">
        <x:v>CNY</x:v>
      </x:c>
      <x:c r="F3929" s="11" t="n">
        <x:v>16.999315537303218</x:v>
      </x:c>
      <x:c r="G3929" s="26" t="b">
        <x:v>1</x:v>
      </x:c>
      <x:c r="H3929" s="16" t="n">
        <x:v>0</x:v>
      </x:c>
      <x:c r="I3929" s="16" t="n">
        <x:v>0</x:v>
      </x:c>
      <x:c r="J3929" s="16" t="n">
        <x:v>0</x:v>
      </x:c>
      <x:c r="K3929" s="11" t="n">
        <x:f>CHOOSE('假设'!$B$3,H3929,I3929,J3929)</x:f>
        <x:v>0</x:v>
      </x:c>
      <x:c r="L3929" s="11" t="n">
        <x:f>K3929*'管线假设'!E847*'管线假设'!F847*'管线假设'!G847*IF(E3929="USD",'管线假设'!I847,1)-AM3929</x:f>
        <x:v>-0.2644556211634803</x:v>
      </x:c>
      <x:c r="M3929" s="11" t="n">
        <x:f>'管线假设'!H847</x:f>
        <x:v>0.14</x:v>
      </x:c>
      <x:c r="N3929" s="11" t="n">
        <x:f>IF(G3929,L3929*AN3929/(1+M3929)^F3929,0)</x:f>
        <x:v>-0.028510791832467998</x:v>
      </x:c>
      <x:c r="AJ3929" s="42" t="n">
        <x:v>0.21487019219532774</x:v>
      </x:c>
      <x:c r="AK3929" s="42" t="n">
        <x:v>0.2644556211634803</x:v>
      </x:c>
      <x:c r="AL3929" s="42" t="n">
        <x:v>0.38958009911125624</x:v>
      </x:c>
      <x:c r="AM3929" t="n">
        <x:f>CHOOSE('假设'!$B$3,AJ3929,AK3929,AL3929)</x:f>
        <x:v>0.2644556211634803</x:v>
      </x:c>
      <x:c r="AN3929" t="n">
        <x:v>1</x:v>
      </x:c>
    </x:row>
    <x:row r="3930" ht="23" customHeight="1">
      <x:c r="A3930" s="11" t="str">
        <x:v>02162.HK</x:v>
      </x:c>
      <x:c r="B3930" s="11" t="str">
        <x:v>2026年底</x:v>
      </x:c>
      <x:c r="C3930" s="11" t="str">
        <x:v>centralCost</x:v>
      </x:c>
      <x:c r="D3930" s="11" t="str">
        <x:v>2044-12-31</x:v>
      </x:c>
      <x:c r="E3930" s="11" t="str">
        <x:v>CNY</x:v>
      </x:c>
      <x:c r="F3930" s="11" t="n">
        <x:v>18.001368925393567</x:v>
      </x:c>
      <x:c r="G3930" s="26" t="b">
        <x:v>1</x:v>
      </x:c>
      <x:c r="H3930" s="16" t="n">
        <x:v>0</x:v>
      </x:c>
      <x:c r="I3930" s="16" t="n">
        <x:v>0</x:v>
      </x:c>
      <x:c r="J3930" s="16" t="n">
        <x:v>0</x:v>
      </x:c>
      <x:c r="K3930" s="11" t="n">
        <x:f>CHOOSE('假设'!$B$3,H3930,I3930,J3930)</x:f>
        <x:v>0</x:v>
      </x:c>
      <x:c r="L3930" s="11" t="n">
        <x:f>K3930*'管线假设'!E847*'管线假设'!F847*'管线假设'!G847*IF(E3930="USD",'管线假设'!I847,1)-AM3930</x:f>
        <x:v>-0.2723892897983847</x:v>
      </x:c>
      <x:c r="M3930" s="11" t="n">
        <x:f>'管线假设'!H847</x:f>
        <x:v>0.14</x:v>
      </x:c>
      <x:c r="N3930" s="11" t="n">
        <x:f>IF(G3930,L3930*AN3930/(1+M3930)^F3930,0)</x:f>
        <x:v>-0.025752820738438896</x:v>
      </x:c>
      <x:c r="AJ3930" s="42" t="n">
        <x:v>0.2213162979611876</x:v>
      </x:c>
      <x:c r="AK3930" s="42" t="n">
        <x:v>0.2723892897983847</x:v>
      </x:c>
      <x:c r="AL3930" s="42" t="n">
        <x:v>0.4051633030757065</x:v>
      </x:c>
      <x:c r="AM3930" t="n">
        <x:f>CHOOSE('假设'!$B$3,AJ3930,AK3930,AL3930)</x:f>
        <x:v>0.2723892897983847</x:v>
      </x:c>
      <x:c r="AN3930" t="n">
        <x:v>1</x:v>
      </x:c>
    </x:row>
    <x:row r="3931" ht="23" customHeight="1">
      <x:c r="A3931" s="11" t="str">
        <x:v>02162.HK</x:v>
      </x:c>
      <x:c r="B3931" s="11" t="str">
        <x:v>半年</x:v>
      </x:c>
      <x:c r="C3931" s="11" t="str">
        <x:v>CM310_approved</x:v>
      </x:c>
      <x:c r="D3931" s="11" t="str">
        <x:v>2026-12-31</x:v>
      </x:c>
      <x:c r="E3931" s="11" t="str">
        <x:v>CNY</x:v>
      </x:c>
      <x:c r="F3931" s="11" t="n">
        <x:v>-0.27104722792607805</x:v>
      </x:c>
      <x:c r="G3931" s="26" t="b">
        <x:v>0</x:v>
      </x:c>
      <x:c r="H3931" s="16" t="n">
        <x:v>0.75</x:v>
      </x:c>
      <x:c r="I3931" s="16" t="n">
        <x:v>0.85</x:v>
      </x:c>
      <x:c r="J3931" s="16" t="n">
        <x:v>0.95</x:v>
      </x:c>
      <x:c r="K3931" s="11" t="n">
        <x:f>CHOOSE('假设'!$B$3,H3931,I3931,J3931)</x:f>
        <x:v>0.85</x:v>
      </x:c>
      <x:c r="L3931" s="11" t="n">
        <x:f>K3931*'管线假设'!E851*'管线假设'!F851*'管线假设'!G851*IF(E3931="USD",'管线假设'!I851,1)-AM3931</x:f>
        <x:v>0.341025</x:v>
      </x:c>
      <x:c r="M3931" s="11" t="n">
        <x:f>'管线假设'!H851</x:f>
        <x:v>0.14</x:v>
      </x:c>
      <x:c r="N3931" s="11" t="n">
        <x:f>IF(G3931,L3931*AN3931/(1+M3931)^F3931,0)</x:f>
        <x:v>0</x:v>
      </x:c>
      <x:c r="AJ3931" s="42" t="n">
        <x:v>0.025</x:v>
      </x:c>
      <x:c r="AK3931" s="42" t="n">
        <x:v>0.03</x:v>
      </x:c>
      <x:c r="AL3931" s="42" t="n">
        <x:v>0.04</x:v>
      </x:c>
      <x:c r="AM3931" t="n">
        <x:f>CHOOSE('假设'!$B$3,AJ3931,AK3931,AL3931)</x:f>
        <x:v>0.03</x:v>
      </x:c>
      <x:c r="AN3931" t="n">
        <x:v>0</x:v>
      </x:c>
    </x:row>
    <x:row r="3932" ht="23" customHeight="1">
      <x:c r="A3932" s="11" t="str">
        <x:v>02162.HK</x:v>
      </x:c>
      <x:c r="B3932" s="11" t="str">
        <x:v>半年</x:v>
      </x:c>
      <x:c r="C3932" s="11" t="str">
        <x:v>CM310_approved</x:v>
      </x:c>
      <x:c r="D3932" s="11" t="str">
        <x:v>2027-12-31</x:v>
      </x:c>
      <x:c r="E3932" s="11" t="str">
        <x:v>CNY</x:v>
      </x:c>
      <x:c r="F3932" s="11" t="n">
        <x:v>0.7282683093771389</x:v>
      </x:c>
      <x:c r="G3932" s="26" t="b">
        <x:v>1</x:v>
      </x:c>
      <x:c r="H3932" s="16" t="n">
        <x:v>0.88</x:v>
      </x:c>
      <x:c r="I3932" s="16" t="n">
        <x:v>1.35</x:v>
      </x:c>
      <x:c r="J3932" s="16" t="n">
        <x:v>1.75</x:v>
      </x:c>
      <x:c r="K3932" s="11" t="n">
        <x:f>CHOOSE('假设'!$B$3,H3932,I3932,J3932)</x:f>
        <x:v>1.35</x:v>
      </x:c>
      <x:c r="L3932" s="11" t="n">
        <x:f>K3932*'管线假设'!E851*'管线假设'!F851*'管线假设'!G851*IF(E3932="USD",'管线假设'!I851,1)-AM3932</x:f>
        <x:v>0.5592750000000001</x:v>
      </x:c>
      <x:c r="M3932" s="11" t="n">
        <x:f>'管线假设'!H851</x:f>
        <x:v>0.14</x:v>
      </x:c>
      <x:c r="N3932" s="11" t="n">
        <x:f>IF(G3932,L3932*AN3932/(1+M3932)^F3932,0)</x:f>
        <x:v>0.3715041414834545</x:v>
      </x:c>
      <x:c r="AJ3932" s="42" t="n">
        <x:v>0.025</x:v>
      </x:c>
      <x:c r="AK3932" s="42" t="n">
        <x:v>0.03</x:v>
      </x:c>
      <x:c r="AL3932" s="42" t="n">
        <x:v>0.04</x:v>
      </x:c>
      <x:c r="AM3932" t="n">
        <x:f>CHOOSE('假设'!$B$3,AJ3932,AK3932,AL3932)</x:f>
        <x:v>0.03</x:v>
      </x:c>
      <x:c r="AN3932" t="n">
        <x:v>0.7307692307692307</x:v>
      </x:c>
    </x:row>
    <x:row r="3933" ht="23" customHeight="1">
      <x:c r="A3933" s="11" t="str">
        <x:v>02162.HK</x:v>
      </x:c>
      <x:c r="B3933" s="11" t="str">
        <x:v>半年</x:v>
      </x:c>
      <x:c r="C3933" s="11" t="str">
        <x:v>CM310_approved</x:v>
      </x:c>
      <x:c r="D3933" s="11" t="str">
        <x:v>2028-12-31</x:v>
      </x:c>
      <x:c r="E3933" s="11" t="str">
        <x:v>CNY</x:v>
      </x:c>
      <x:c r="F3933" s="11" t="n">
        <x:v>1.730321697467488</x:v>
      </x:c>
      <x:c r="G3933" s="26" t="b">
        <x:v>1</x:v>
      </x:c>
      <x:c r="H3933" s="16" t="n">
        <x:v>1</x:v>
      </x:c>
      <x:c r="I3933" s="16" t="n">
        <x:v>1.9</x:v>
      </x:c>
      <x:c r="J3933" s="16" t="n">
        <x:v>2.6</x:v>
      </x:c>
      <x:c r="K3933" s="11" t="n">
        <x:f>CHOOSE('假设'!$B$3,H3933,I3933,J3933)</x:f>
        <x:v>1.9</x:v>
      </x:c>
      <x:c r="L3933" s="11" t="n">
        <x:f>K3933*'管线假设'!E851*'管线假设'!F851*'管线假设'!G851*IF(E3933="USD",'管线假设'!I851,1)-AM3933</x:f>
        <x:v>0.79935</x:v>
      </x:c>
      <x:c r="M3933" s="11" t="n">
        <x:f>'管线假设'!H851</x:f>
        <x:v>0.14</x:v>
      </x:c>
      <x:c r="N3933" s="11" t="n">
        <x:f>IF(G3933,L3933*AN3933/(1+M3933)^F3933,0)</x:f>
        <x:v>0.6371963513724966</x:v>
      </x:c>
      <x:c r="AJ3933" s="42" t="n">
        <x:v>0.025</x:v>
      </x:c>
      <x:c r="AK3933" s="42" t="n">
        <x:v>0.03</x:v>
      </x:c>
      <x:c r="AL3933" s="42" t="n">
        <x:v>0.04</x:v>
      </x:c>
      <x:c r="AM3933" t="n">
        <x:f>CHOOSE('假设'!$B$3,AJ3933,AK3933,AL3933)</x:f>
        <x:v>0.03</x:v>
      </x:c>
      <x:c r="AN3933" t="n">
        <x:v>1</x:v>
      </x:c>
    </x:row>
    <x:row r="3934" ht="23" customHeight="1">
      <x:c r="A3934" s="11" t="str">
        <x:v>02162.HK</x:v>
      </x:c>
      <x:c r="B3934" s="11" t="str">
        <x:v>半年</x:v>
      </x:c>
      <x:c r="C3934" s="11" t="str">
        <x:v>CM310_approved</x:v>
      </x:c>
      <x:c r="D3934" s="11" t="str">
        <x:v>2029-12-31</x:v>
      </x:c>
      <x:c r="E3934" s="11" t="str">
        <x:v>CNY</x:v>
      </x:c>
      <x:c r="F3934" s="11" t="n">
        <x:v>2.729637234770705</x:v>
      </x:c>
      <x:c r="G3934" s="26" t="b">
        <x:v>1</x:v>
      </x:c>
      <x:c r="H3934" s="16" t="n">
        <x:v>1.2</x:v>
      </x:c>
      <x:c r="I3934" s="16" t="n">
        <x:v>2.6</x:v>
      </x:c>
      <x:c r="J3934" s="16" t="n">
        <x:v>3.65</x:v>
      </x:c>
      <x:c r="K3934" s="11" t="n">
        <x:f>CHOOSE('假设'!$B$3,H3934,I3934,J3934)</x:f>
        <x:v>2.6</x:v>
      </x:c>
      <x:c r="L3934" s="11" t="n">
        <x:f>K3934*'管线假设'!E851*'管线假设'!F851*'管线假设'!G851*IF(E3934="USD",'管线假设'!I851,1)-AM3934</x:f>
        <x:v>1.1049</x:v>
      </x:c>
      <x:c r="M3934" s="11" t="n">
        <x:f>'管线假设'!H851</x:f>
        <x:v>0.14</x:v>
      </x:c>
      <x:c r="N3934" s="11" t="n">
        <x:f>IF(G3934,L3934*AN3934/(1+M3934)^F3934,0)</x:f>
        <x:v>0.7726687938330701</x:v>
      </x:c>
      <x:c r="AJ3934" s="42" t="n">
        <x:v>0.025</x:v>
      </x:c>
      <x:c r="AK3934" s="42" t="n">
        <x:v>0.03</x:v>
      </x:c>
      <x:c r="AL3934" s="42" t="n">
        <x:v>0.04</x:v>
      </x:c>
      <x:c r="AM3934" t="n">
        <x:f>CHOOSE('假设'!$B$3,AJ3934,AK3934,AL3934)</x:f>
        <x:v>0.03</x:v>
      </x:c>
      <x:c r="AN3934" t="n">
        <x:v>1</x:v>
      </x:c>
    </x:row>
    <x:row r="3935" ht="23" customHeight="1">
      <x:c r="A3935" s="11" t="str">
        <x:v>02162.HK</x:v>
      </x:c>
      <x:c r="B3935" s="11" t="str">
        <x:v>半年</x:v>
      </x:c>
      <x:c r="C3935" s="11" t="str">
        <x:v>CM310_approved</x:v>
      </x:c>
      <x:c r="D3935" s="11" t="str">
        <x:v>2030-12-31</x:v>
      </x:c>
      <x:c r="E3935" s="11" t="str">
        <x:v>CNY</x:v>
      </x:c>
      <x:c r="F3935" s="11" t="n">
        <x:v>3.728952772073922</x:v>
      </x:c>
      <x:c r="G3935" s="26" t="b">
        <x:v>1</x:v>
      </x:c>
      <x:c r="H3935" s="16" t="n">
        <x:v>1.3</x:v>
      </x:c>
      <x:c r="I3935" s="16" t="n">
        <x:v>3.25</x:v>
      </x:c>
      <x:c r="J3935" s="16" t="n">
        <x:v>4.8</x:v>
      </x:c>
      <x:c r="K3935" s="11" t="n">
        <x:f>CHOOSE('假设'!$B$3,H3935,I3935,J3935)</x:f>
        <x:v>3.25</x:v>
      </x:c>
      <x:c r="L3935" s="11" t="n">
        <x:f>K3935*'管线假设'!E851*'管线假设'!F851*'管线假设'!G851*IF(E3935="USD",'管线假设'!I851,1)-AM3935</x:f>
        <x:v>1.388625</x:v>
      </x:c>
      <x:c r="M3935" s="11" t="n">
        <x:f>'管线假设'!H851</x:f>
        <x:v>0.14</x:v>
      </x:c>
      <x:c r="N3935" s="11" t="n">
        <x:f>IF(G3935,L3935*AN3935/(1+M3935)^F3935,0)</x:f>
        <x:v>0.8519016838098724</x:v>
      </x:c>
      <x:c r="AJ3935" s="42" t="n">
        <x:v>0.02</x:v>
      </x:c>
      <x:c r="AK3935" s="42" t="n">
        <x:v>0.03</x:v>
      </x:c>
      <x:c r="AL3935" s="42" t="n">
        <x:v>0.04</x:v>
      </x:c>
      <x:c r="AM3935" t="n">
        <x:f>CHOOSE('假设'!$B$3,AJ3935,AK3935,AL3935)</x:f>
        <x:v>0.03</x:v>
      </x:c>
      <x:c r="AN3935" t="n">
        <x:v>1</x:v>
      </x:c>
    </x:row>
    <x:row r="3936" ht="23" customHeight="1">
      <x:c r="A3936" s="11" t="str">
        <x:v>02162.HK</x:v>
      </x:c>
      <x:c r="B3936" s="11" t="str">
        <x:v>半年</x:v>
      </x:c>
      <x:c r="C3936" s="11" t="str">
        <x:v>CM310_approved</x:v>
      </x:c>
      <x:c r="D3936" s="11" t="str">
        <x:v>2031-12-31</x:v>
      </x:c>
      <x:c r="E3936" s="11" t="str">
        <x:v>CNY</x:v>
      </x:c>
      <x:c r="F3936" s="11" t="n">
        <x:v>4.728268309377139</x:v>
      </x:c>
      <x:c r="G3936" s="26" t="b">
        <x:v>1</x:v>
      </x:c>
      <x:c r="H3936" s="16" t="n">
        <x:v>1.4</x:v>
      </x:c>
      <x:c r="I3936" s="16" t="n">
        <x:v>3.9</x:v>
      </x:c>
      <x:c r="J3936" s="16" t="n">
        <x:v>5.7</x:v>
      </x:c>
      <x:c r="K3936" s="11" t="n">
        <x:f>CHOOSE('假设'!$B$3,H3936,I3936,J3936)</x:f>
        <x:v>3.9</x:v>
      </x:c>
      <x:c r="L3936" s="11" t="n">
        <x:f>K3936*'管线假设'!E851*'管线假设'!F851*'管线假设'!G851*IF(E3936="USD",'管线假设'!I851,1)-AM3936</x:f>
        <x:v>1.70235</x:v>
      </x:c>
      <x:c r="M3936" s="11" t="n">
        <x:f>'管线假设'!H851</x:f>
        <x:v>0.14</x:v>
      </x:c>
      <x:c r="N3936" s="11" t="n">
        <x:f>IF(G3936,L3936*AN3936/(1+M3936)^F3936,0)</x:f>
        <x:v>0.9161940137461906</x:v>
      </x:c>
      <x:c r="AJ3936" s="42" t="n">
        <x:v>0</x:v>
      </x:c>
      <x:c r="AK3936" s="42" t="n">
        <x:v>0</x:v>
      </x:c>
      <x:c r="AL3936" s="42" t="n">
        <x:v>0</x:v>
      </x:c>
      <x:c r="AM3936" t="n">
        <x:f>CHOOSE('假设'!$B$3,AJ3936,AK3936,AL3936)</x:f>
        <x:v>0</x:v>
      </x:c>
      <x:c r="AN3936" t="n">
        <x:v>1</x:v>
      </x:c>
    </x:row>
    <x:row r="3937" ht="23" customHeight="1">
      <x:c r="A3937" s="11" t="str">
        <x:v>02162.HK</x:v>
      </x:c>
      <x:c r="B3937" s="11" t="str">
        <x:v>半年</x:v>
      </x:c>
      <x:c r="C3937" s="11" t="str">
        <x:v>CM310_approved</x:v>
      </x:c>
      <x:c r="D3937" s="11" t="str">
        <x:v>2032-12-31</x:v>
      </x:c>
      <x:c r="E3937" s="11" t="str">
        <x:v>CNY</x:v>
      </x:c>
      <x:c r="F3937" s="11" t="n">
        <x:v>5.730321697467488</x:v>
      </x:c>
      <x:c r="G3937" s="26" t="b">
        <x:v>1</x:v>
      </x:c>
      <x:c r="H3937" s="16" t="n">
        <x:v>1.45</x:v>
      </x:c>
      <x:c r="I3937" s="16" t="n">
        <x:v>4.4</x:v>
      </x:c>
      <x:c r="J3937" s="16" t="n">
        <x:v>6.5</x:v>
      </x:c>
      <x:c r="K3937" s="11" t="n">
        <x:f>CHOOSE('假设'!$B$3,H3937,I3937,J3937)</x:f>
        <x:v>4.4</x:v>
      </x:c>
      <x:c r="L3937" s="11" t="n">
        <x:f>K3937*'管线假设'!E851*'管线假设'!F851*'管线假设'!G851*IF(E3937="USD",'管线假设'!I851,1)-AM3937</x:f>
        <x:v>1.9205999999999999</x:v>
      </x:c>
      <x:c r="M3937" s="11" t="n">
        <x:f>'管线假设'!H851</x:f>
        <x:v>0.14</x:v>
      </x:c>
      <x:c r="N3937" s="11" t="n">
        <x:f>IF(G3937,L3937*AN3937/(1+M3937)^F3937,0)</x:f>
        <x:v>0.9064708029755236</x:v>
      </x:c>
      <x:c r="AJ3937" s="42" t="n">
        <x:v>0</x:v>
      </x:c>
      <x:c r="AK3937" s="42" t="n">
        <x:v>0</x:v>
      </x:c>
      <x:c r="AL3937" s="42" t="n">
        <x:v>0</x:v>
      </x:c>
      <x:c r="AM3937" t="n">
        <x:f>CHOOSE('假设'!$B$3,AJ3937,AK3937,AL3937)</x:f>
        <x:v>0</x:v>
      </x:c>
      <x:c r="AN3937" t="n">
        <x:v>1</x:v>
      </x:c>
    </x:row>
    <x:row r="3938" ht="23" customHeight="1">
      <x:c r="A3938" s="11" t="str">
        <x:v>02162.HK</x:v>
      </x:c>
      <x:c r="B3938" s="11" t="str">
        <x:v>半年</x:v>
      </x:c>
      <x:c r="C3938" s="11" t="str">
        <x:v>CM310_approved</x:v>
      </x:c>
      <x:c r="D3938" s="11" t="str">
        <x:v>2033-12-31</x:v>
      </x:c>
      <x:c r="E3938" s="11" t="str">
        <x:v>CNY</x:v>
      </x:c>
      <x:c r="F3938" s="11" t="n">
        <x:v>6.729637234770705</x:v>
      </x:c>
      <x:c r="G3938" s="26" t="b">
        <x:v>1</x:v>
      </x:c>
      <x:c r="H3938" s="16" t="n">
        <x:v>1.45</x:v>
      </x:c>
      <x:c r="I3938" s="16" t="n">
        <x:v>4.8</x:v>
      </x:c>
      <x:c r="J3938" s="16" t="n">
        <x:v>7.1</x:v>
      </x:c>
      <x:c r="K3938" s="11" t="n">
        <x:f>CHOOSE('假设'!$B$3,H3938,I3938,J3938)</x:f>
        <x:v>4.8</x:v>
      </x:c>
      <x:c r="L3938" s="11" t="n">
        <x:f>K3938*'管线假设'!E851*'管线假设'!F851*'管线假设'!G851*IF(E3938="USD",'管线假设'!I851,1)-AM3938</x:f>
        <x:v>2.0951999999999997</x:v>
      </x:c>
      <x:c r="M3938" s="11" t="n">
        <x:f>'管线假设'!H851</x:f>
        <x:v>0.14</x:v>
      </x:c>
      <x:c r="N3938" s="11" t="n">
        <x:f>IF(G3938,L3938*AN3938/(1+M3938)^F3938,0)</x:f>
        <x:v>0.8675139736941432</x:v>
      </x:c>
      <x:c r="AJ3938" s="42" t="n">
        <x:v>0</x:v>
      </x:c>
      <x:c r="AK3938" s="42" t="n">
        <x:v>0</x:v>
      </x:c>
      <x:c r="AL3938" s="42" t="n">
        <x:v>0</x:v>
      </x:c>
      <x:c r="AM3938" t="n">
        <x:f>CHOOSE('假设'!$B$3,AJ3938,AK3938,AL3938)</x:f>
        <x:v>0</x:v>
      </x:c>
      <x:c r="AN3938" t="n">
        <x:v>1</x:v>
      </x:c>
    </x:row>
    <x:row r="3939" ht="23" customHeight="1">
      <x:c r="A3939" s="11" t="str">
        <x:v>02162.HK</x:v>
      </x:c>
      <x:c r="B3939" s="11" t="str">
        <x:v>半年</x:v>
      </x:c>
      <x:c r="C3939" s="11" t="str">
        <x:v>CM310_approved</x:v>
      </x:c>
      <x:c r="D3939" s="11" t="str">
        <x:v>2034-12-31</x:v>
      </x:c>
      <x:c r="E3939" s="11" t="str">
        <x:v>CNY</x:v>
      </x:c>
      <x:c r="F3939" s="11" t="n">
        <x:v>7.728952772073922</x:v>
      </x:c>
      <x:c r="G3939" s="26" t="b">
        <x:v>1</x:v>
      </x:c>
      <x:c r="H3939" s="16" t="n">
        <x:v>1.4</x:v>
      </x:c>
      <x:c r="I3939" s="16" t="n">
        <x:v>5</x:v>
      </x:c>
      <x:c r="J3939" s="16" t="n">
        <x:v>7.5</x:v>
      </x:c>
      <x:c r="K3939" s="11" t="n">
        <x:f>CHOOSE('假设'!$B$3,H3939,I3939,J3939)</x:f>
        <x:v>5</x:v>
      </x:c>
      <x:c r="L3939" s="11" t="n">
        <x:f>K3939*'管线假设'!E851*'管线假设'!F851*'管线假设'!G851*IF(E3939="USD",'管线假设'!I851,1)-AM3939</x:f>
        <x:v>2.1825</x:v>
      </x:c>
      <x:c r="M3939" s="11" t="n">
        <x:f>'管线假设'!H851</x:f>
        <x:v>0.14</x:v>
      </x:c>
      <x:c r="N3939" s="11" t="n">
        <x:f>IF(G3939,L3939*AN3939/(1+M3939)^F3939,0)</x:f>
        <x:v>0.7927556462625098</x:v>
      </x:c>
      <x:c r="AJ3939" s="42" t="n">
        <x:v>0</x:v>
      </x:c>
      <x:c r="AK3939" s="42" t="n">
        <x:v>0</x:v>
      </x:c>
      <x:c r="AL3939" s="42" t="n">
        <x:v>0</x:v>
      </x:c>
      <x:c r="AM3939" t="n">
        <x:f>CHOOSE('假设'!$B$3,AJ3939,AK3939,AL3939)</x:f>
        <x:v>0</x:v>
      </x:c>
      <x:c r="AN3939" t="n">
        <x:v>1</x:v>
      </x:c>
    </x:row>
    <x:row r="3940" ht="23" customHeight="1">
      <x:c r="A3940" s="11" t="str">
        <x:v>02162.HK</x:v>
      </x:c>
      <x:c r="B3940" s="11" t="str">
        <x:v>半年</x:v>
      </x:c>
      <x:c r="C3940" s="11" t="str">
        <x:v>CM310_approved</x:v>
      </x:c>
      <x:c r="D3940" s="11" t="str">
        <x:v>2035-12-31</x:v>
      </x:c>
      <x:c r="E3940" s="11" t="str">
        <x:v>CNY</x:v>
      </x:c>
      <x:c r="F3940" s="11" t="n">
        <x:v>8.728268309377139</x:v>
      </x:c>
      <x:c r="G3940" s="26" t="b">
        <x:v>1</x:v>
      </x:c>
      <x:c r="H3940" s="16" t="n">
        <x:v>1.3</x:v>
      </x:c>
      <x:c r="I3940" s="16" t="n">
        <x:v>5</x:v>
      </x:c>
      <x:c r="J3940" s="16" t="n">
        <x:v>7.5</x:v>
      </x:c>
      <x:c r="K3940" s="11" t="n">
        <x:f>CHOOSE('假设'!$B$3,H3940,I3940,J3940)</x:f>
        <x:v>5</x:v>
      </x:c>
      <x:c r="L3940" s="11" t="n">
        <x:f>K3940*'管线假设'!E851*'管线假设'!F851*'管线假设'!G851*IF(E3940="USD",'管线假设'!I851,1)-AM3940</x:f>
        <x:v>2.1825</x:v>
      </x:c>
      <x:c r="M3940" s="11" t="n">
        <x:f>'管线假设'!H851</x:f>
        <x:v>0.14</x:v>
      </x:c>
      <x:c r="N3940" s="11" t="n">
        <x:f>IF(G3940,L3940*AN3940/(1+M3940)^F3940,0)</x:f>
        <x:v>0.6954620586971175</x:v>
      </x:c>
      <x:c r="AJ3940" s="42" t="n">
        <x:v>0</x:v>
      </x:c>
      <x:c r="AK3940" s="42" t="n">
        <x:v>0</x:v>
      </x:c>
      <x:c r="AL3940" s="42" t="n">
        <x:v>0</x:v>
      </x:c>
      <x:c r="AM3940" t="n">
        <x:f>CHOOSE('假设'!$B$3,AJ3940,AK3940,AL3940)</x:f>
        <x:v>0</x:v>
      </x:c>
      <x:c r="AN3940" t="n">
        <x:v>1</x:v>
      </x:c>
    </x:row>
    <x:row r="3941" ht="23" customHeight="1">
      <x:c r="A3941" s="11" t="str">
        <x:v>02162.HK</x:v>
      </x:c>
      <x:c r="B3941" s="11" t="str">
        <x:v>半年</x:v>
      </x:c>
      <x:c r="C3941" s="11" t="str">
        <x:v>CM310_approved</x:v>
      </x:c>
      <x:c r="D3941" s="11" t="str">
        <x:v>2036-12-31</x:v>
      </x:c>
      <x:c r="E3941" s="11" t="str">
        <x:v>CNY</x:v>
      </x:c>
      <x:c r="F3941" s="11" t="n">
        <x:v>9.730321697467488</x:v>
      </x:c>
      <x:c r="G3941" s="26" t="b">
        <x:v>1</x:v>
      </x:c>
      <x:c r="H3941" s="16" t="n">
        <x:v>1.2</x:v>
      </x:c>
      <x:c r="I3941" s="16" t="n">
        <x:v>4.9</x:v>
      </x:c>
      <x:c r="J3941" s="16" t="n">
        <x:v>7.3</x:v>
      </x:c>
      <x:c r="K3941" s="11" t="n">
        <x:f>CHOOSE('假设'!$B$3,H3941,I3941,J3941)</x:f>
        <x:v>4.9</x:v>
      </x:c>
      <x:c r="L3941" s="11" t="n">
        <x:f>K3941*'管线假设'!E851*'管线假设'!F851*'管线假设'!G851*IF(E3941="USD",'管线假设'!I851,1)-AM3941</x:f>
        <x:v>2.13885</x:v>
      </x:c>
      <x:c r="M3941" s="11" t="n">
        <x:f>'管线假设'!H851</x:f>
        <x:v>0.14</x:v>
      </x:c>
      <x:c r="N3941" s="11" t="n">
        <x:f>IF(G3941,L3941*AN3941/(1+M3941)^F3941,0)</x:f>
        <x:v>0.5976925167780135</x:v>
      </x:c>
      <x:c r="AJ3941" s="42" t="n">
        <x:v>0</x:v>
      </x:c>
      <x:c r="AK3941" s="42" t="n">
        <x:v>0</x:v>
      </x:c>
      <x:c r="AL3941" s="42" t="n">
        <x:v>0</x:v>
      </x:c>
      <x:c r="AM3941" t="n">
        <x:f>CHOOSE('假设'!$B$3,AJ3941,AK3941,AL3941)</x:f>
        <x:v>0</x:v>
      </x:c>
      <x:c r="AN3941" t="n">
        <x:v>1</x:v>
      </x:c>
    </x:row>
    <x:row r="3942" ht="23" customHeight="1">
      <x:c r="A3942" s="11" t="str">
        <x:v>02162.HK</x:v>
      </x:c>
      <x:c r="B3942" s="11" t="str">
        <x:v>半年</x:v>
      </x:c>
      <x:c r="C3942" s="11" t="str">
        <x:v>CM310_approved</x:v>
      </x:c>
      <x:c r="D3942" s="11" t="str">
        <x:v>2037-12-31</x:v>
      </x:c>
      <x:c r="E3942" s="11" t="str">
        <x:v>CNY</x:v>
      </x:c>
      <x:c r="F3942" s="11" t="n">
        <x:v>10.729637234770705</x:v>
      </x:c>
      <x:c r="G3942" s="26" t="b">
        <x:v>1</x:v>
      </x:c>
      <x:c r="H3942" s="16" t="n">
        <x:v>1.1</x:v>
      </x:c>
      <x:c r="I3942" s="16" t="n">
        <x:v>4.6</x:v>
      </x:c>
      <x:c r="J3942" s="16" t="n">
        <x:v>6.9</x:v>
      </x:c>
      <x:c r="K3942" s="11" t="n">
        <x:f>CHOOSE('假设'!$B$3,H3942,I3942,J3942)</x:f>
        <x:v>4.6</x:v>
      </x:c>
      <x:c r="L3942" s="11" t="n">
        <x:f>K3942*'管线假设'!E851*'管线假设'!F851*'管线假设'!G851*IF(E3942="USD",'管线假设'!I851,1)-AM3942</x:f>
        <x:v>2.0079</x:v>
      </x:c>
      <x:c r="M3942" s="11" t="n">
        <x:f>'管线假设'!H851</x:f>
        <x:v>0.14</x:v>
      </x:c>
      <x:c r="N3942" s="11" t="n">
        <x:f>IF(G3942,L3942*AN3942/(1+M3942)^F3942,0)</x:f>
        <x:v>0.49223633441037085</x:v>
      </x:c>
      <x:c r="AJ3942" s="42" t="n">
        <x:v>0</x:v>
      </x:c>
      <x:c r="AK3942" s="42" t="n">
        <x:v>0</x:v>
      </x:c>
      <x:c r="AL3942" s="42" t="n">
        <x:v>0</x:v>
      </x:c>
      <x:c r="AM3942" t="n">
        <x:f>CHOOSE('假设'!$B$3,AJ3942,AK3942,AL3942)</x:f>
        <x:v>0</x:v>
      </x:c>
      <x:c r="AN3942" t="n">
        <x:v>1</x:v>
      </x:c>
    </x:row>
    <x:row r="3943" ht="23" customHeight="1">
      <x:c r="A3943" s="11" t="str">
        <x:v>02162.HK</x:v>
      </x:c>
      <x:c r="B3943" s="11" t="str">
        <x:v>半年</x:v>
      </x:c>
      <x:c r="C3943" s="11" t="str">
        <x:v>CM310_approved</x:v>
      </x:c>
      <x:c r="D3943" s="11" t="str">
        <x:v>2038-12-31</x:v>
      </x:c>
      <x:c r="E3943" s="11" t="str">
        <x:v>CNY</x:v>
      </x:c>
      <x:c r="F3943" s="11" t="n">
        <x:v>11.728952772073923</x:v>
      </x:c>
      <x:c r="G3943" s="26" t="b">
        <x:v>1</x:v>
      </x:c>
      <x:c r="H3943" s="16" t="n">
        <x:v>0.9</x:v>
      </x:c>
      <x:c r="I3943" s="16" t="n">
        <x:v>4.2</x:v>
      </x:c>
      <x:c r="J3943" s="16" t="n">
        <x:v>6.2</x:v>
      </x:c>
      <x:c r="K3943" s="11" t="n">
        <x:f>CHOOSE('假设'!$B$3,H3943,I3943,J3943)</x:f>
        <x:v>4.2</x:v>
      </x:c>
      <x:c r="L3943" s="11" t="n">
        <x:f>K3943*'管线假设'!E851*'管线假设'!F851*'管线假设'!G851*IF(E3943="USD",'管线假设'!I851,1)-AM3943</x:f>
        <x:v>1.8333</x:v>
      </x:c>
      <x:c r="M3943" s="11" t="n">
        <x:f>'管线假设'!H851</x:f>
        <x:v>0.14</x:v>
      </x:c>
      <x:c r="N3943" s="11" t="n">
        <x:f>IF(G3943,L3943*AN3943/(1+M3943)^F3943,0)</x:f>
        <x:v>0.39427498565774804</x:v>
      </x:c>
      <x:c r="AJ3943" s="42" t="n">
        <x:v>0</x:v>
      </x:c>
      <x:c r="AK3943" s="42" t="n">
        <x:v>0</x:v>
      </x:c>
      <x:c r="AL3943" s="42" t="n">
        <x:v>0</x:v>
      </x:c>
      <x:c r="AM3943" t="n">
        <x:f>CHOOSE('假设'!$B$3,AJ3943,AK3943,AL3943)</x:f>
        <x:v>0</x:v>
      </x:c>
      <x:c r="AN3943" t="n">
        <x:v>1</x:v>
      </x:c>
    </x:row>
    <x:row r="3944" ht="23" customHeight="1">
      <x:c r="A3944" s="11" t="str">
        <x:v>02162.HK</x:v>
      </x:c>
      <x:c r="B3944" s="11" t="str">
        <x:v>半年</x:v>
      </x:c>
      <x:c r="C3944" s="11" t="str">
        <x:v>CM310_approved</x:v>
      </x:c>
      <x:c r="D3944" s="11" t="str">
        <x:v>2039-12-31</x:v>
      </x:c>
      <x:c r="E3944" s="11" t="str">
        <x:v>CNY</x:v>
      </x:c>
      <x:c r="F3944" s="11" t="n">
        <x:v>12.728268309377139</x:v>
      </x:c>
      <x:c r="G3944" s="26" t="b">
        <x:v>1</x:v>
      </x:c>
      <x:c r="H3944" s="16" t="n">
        <x:v>0.7</x:v>
      </x:c>
      <x:c r="I3944" s="16" t="n">
        <x:v>3.6</x:v>
      </x:c>
      <x:c r="J3944" s="16" t="n">
        <x:v>5.3</x:v>
      </x:c>
      <x:c r="K3944" s="11" t="n">
        <x:f>CHOOSE('假设'!$B$3,H3944,I3944,J3944)</x:f>
        <x:v>3.6</x:v>
      </x:c>
      <x:c r="L3944" s="11" t="n">
        <x:f>K3944*'管线假设'!E851*'管线假设'!F851*'管线假设'!G851*IF(E3944="USD",'管线假设'!I851,1)-AM3944</x:f>
        <x:v>1.5714000000000001</x:v>
      </x:c>
      <x:c r="M3944" s="11" t="n">
        <x:f>'管线假设'!H851</x:f>
        <x:v>0.14</x:v>
      </x:c>
      <x:c r="N3944" s="11" t="n">
        <x:f>IF(G3944,L3944*AN3944/(1+M3944)^F3944,0)</x:f>
        <x:v>0.2964739454019593</x:v>
      </x:c>
      <x:c r="AJ3944" s="42" t="n">
        <x:v>0</x:v>
      </x:c>
      <x:c r="AK3944" s="42" t="n">
        <x:v>0</x:v>
      </x:c>
      <x:c r="AL3944" s="42" t="n">
        <x:v>0</x:v>
      </x:c>
      <x:c r="AM3944" t="n">
        <x:f>CHOOSE('假设'!$B$3,AJ3944,AK3944,AL3944)</x:f>
        <x:v>0</x:v>
      </x:c>
      <x:c r="AN3944" t="n">
        <x:v>1</x:v>
      </x:c>
    </x:row>
    <x:row r="3945" ht="23" customHeight="1">
      <x:c r="A3945" s="11" t="str">
        <x:v>02162.HK</x:v>
      </x:c>
      <x:c r="B3945" s="11" t="str">
        <x:v>半年</x:v>
      </x:c>
      <x:c r="C3945" s="11" t="str">
        <x:v>CM310_approved</x:v>
      </x:c>
      <x:c r="D3945" s="11" t="str">
        <x:v>2040-12-31</x:v>
      </x:c>
      <x:c r="E3945" s="11" t="str">
        <x:v>CNY</x:v>
      </x:c>
      <x:c r="F3945" s="11" t="n">
        <x:v>13.730321697467488</x:v>
      </x:c>
      <x:c r="G3945" s="26" t="b">
        <x:v>1</x:v>
      </x:c>
      <x:c r="H3945" s="16" t="n">
        <x:v>0.5</x:v>
      </x:c>
      <x:c r="I3945" s="16" t="n">
        <x:v>2.9</x:v>
      </x:c>
      <x:c r="J3945" s="16" t="n">
        <x:v>4.3</x:v>
      </x:c>
      <x:c r="K3945" s="11" t="n">
        <x:f>CHOOSE('假设'!$B$3,H3945,I3945,J3945)</x:f>
        <x:v>2.9</x:v>
      </x:c>
      <x:c r="L3945" s="11" t="n">
        <x:f>K3945*'管线假设'!E851*'管线假设'!F851*'管线假设'!G851*IF(E3945="USD",'管线假设'!I851,1)-AM3945</x:f>
        <x:v>1.26585</x:v>
      </x:c>
      <x:c r="M3945" s="11" t="n">
        <x:f>'管线假设'!H851</x:f>
        <x:v>0.14</x:v>
      </x:c>
      <x:c r="N3945" s="11" t="n">
        <x:f>IF(G3945,L3945*AN3945/(1+M3945)^F3945,0)</x:f>
        <x:v>0.20944033841559945</x:v>
      </x:c>
      <x:c r="AJ3945" s="42" t="n">
        <x:v>0</x:v>
      </x:c>
      <x:c r="AK3945" s="42" t="n">
        <x:v>0</x:v>
      </x:c>
      <x:c r="AL3945" s="42" t="n">
        <x:v>0</x:v>
      </x:c>
      <x:c r="AM3945" t="n">
        <x:f>CHOOSE('假设'!$B$3,AJ3945,AK3945,AL3945)</x:f>
        <x:v>0</x:v>
      </x:c>
      <x:c r="AN3945" t="n">
        <x:v>1</x:v>
      </x:c>
    </x:row>
    <x:row r="3946" ht="23" customHeight="1">
      <x:c r="A3946" s="11" t="str">
        <x:v>02162.HK</x:v>
      </x:c>
      <x:c r="B3946" s="11" t="str">
        <x:v>半年</x:v>
      </x:c>
      <x:c r="C3946" s="11" t="str">
        <x:v>CM310_approved</x:v>
      </x:c>
      <x:c r="D3946" s="11" t="str">
        <x:v>2041-12-31</x:v>
      </x:c>
      <x:c r="E3946" s="11" t="str">
        <x:v>CNY</x:v>
      </x:c>
      <x:c r="F3946" s="11" t="n">
        <x:v>14.729637234770705</x:v>
      </x:c>
      <x:c r="G3946" s="26" t="b">
        <x:v>1</x:v>
      </x:c>
      <x:c r="H3946" s="16" t="n">
        <x:v>0.35</x:v>
      </x:c>
      <x:c r="I3946" s="16" t="n">
        <x:v>2.2</x:v>
      </x:c>
      <x:c r="J3946" s="16" t="n">
        <x:v>3.3</x:v>
      </x:c>
      <x:c r="K3946" s="11" t="n">
        <x:f>CHOOSE('假设'!$B$3,H3946,I3946,J3946)</x:f>
        <x:v>2.2</x:v>
      </x:c>
      <x:c r="L3946" s="11" t="n">
        <x:f>K3946*'管线假设'!E851*'管线假设'!F851*'管线假设'!G851*IF(E3946="USD",'管线假设'!I851,1)-AM3946</x:f>
        <x:v>0.9602999999999999</x:v>
      </x:c>
      <x:c r="M3946" s="11" t="n">
        <x:f>'管线假设'!H851</x:f>
        <x:v>0.14</x:v>
      </x:c>
      <x:c r="N3946" s="11" t="n">
        <x:f>IF(G3946,L3946*AN3946/(1+M3946)^F3946,0)</x:f>
        <x:v>0.13938598606535457</x:v>
      </x:c>
      <x:c r="AJ3946" s="42" t="n">
        <x:v>0</x:v>
      </x:c>
      <x:c r="AK3946" s="42" t="n">
        <x:v>0</x:v>
      </x:c>
      <x:c r="AL3946" s="42" t="n">
        <x:v>0</x:v>
      </x:c>
      <x:c r="AM3946" t="n">
        <x:f>CHOOSE('假设'!$B$3,AJ3946,AK3946,AL3946)</x:f>
        <x:v>0</x:v>
      </x:c>
      <x:c r="AN3946" t="n">
        <x:v>1</x:v>
      </x:c>
    </x:row>
    <x:row r="3947" ht="23" customHeight="1">
      <x:c r="A3947" s="11" t="str">
        <x:v>02162.HK</x:v>
      </x:c>
      <x:c r="B3947" s="11" t="str">
        <x:v>半年</x:v>
      </x:c>
      <x:c r="C3947" s="11" t="str">
        <x:v>CM310_approved</x:v>
      </x:c>
      <x:c r="D3947" s="11" t="str">
        <x:v>2042-12-31</x:v>
      </x:c>
      <x:c r="E3947" s="11" t="str">
        <x:v>CNY</x:v>
      </x:c>
      <x:c r="F3947" s="11" t="n">
        <x:v>15.728952772073923</x:v>
      </x:c>
      <x:c r="G3947" s="26" t="b">
        <x:v>1</x:v>
      </x:c>
      <x:c r="H3947" s="16" t="n">
        <x:v>0.25</x:v>
      </x:c>
      <x:c r="I3947" s="16" t="n">
        <x:v>1.5</x:v>
      </x:c>
      <x:c r="J3947" s="16" t="n">
        <x:v>2.3</x:v>
      </x:c>
      <x:c r="K3947" s="11" t="n">
        <x:f>CHOOSE('假设'!$B$3,H3947,I3947,J3947)</x:f>
        <x:v>1.5</x:v>
      </x:c>
      <x:c r="L3947" s="11" t="n">
        <x:f>K3947*'管线假设'!E851*'管线假设'!F851*'管线假设'!G851*IF(E3947="USD",'管线假设'!I851,1)-AM3947</x:f>
        <x:v>0.65475</x:v>
      </x:c>
      <x:c r="M3947" s="11" t="n">
        <x:f>'管线假设'!H851</x:f>
        <x:v>0.14</x:v>
      </x:c>
      <x:c r="N3947" s="11" t="n">
        <x:f>IF(G3947,L3947*AN3947/(1+M3947)^F3947,0)</x:f>
        <x:v>0.08337230102441677</x:v>
      </x:c>
      <x:c r="AJ3947" s="42" t="n">
        <x:v>0</x:v>
      </x:c>
      <x:c r="AK3947" s="42" t="n">
        <x:v>0</x:v>
      </x:c>
      <x:c r="AL3947" s="42" t="n">
        <x:v>0</x:v>
      </x:c>
      <x:c r="AM3947" t="n">
        <x:f>CHOOSE('假设'!$B$3,AJ3947,AK3947,AL3947)</x:f>
        <x:v>0</x:v>
      </x:c>
      <x:c r="AN3947" t="n">
        <x:v>1</x:v>
      </x:c>
    </x:row>
    <x:row r="3948" ht="23" customHeight="1">
      <x:c r="A3948" s="11" t="str">
        <x:v>02162.HK</x:v>
      </x:c>
      <x:c r="B3948" s="11" t="str">
        <x:v>半年</x:v>
      </x:c>
      <x:c r="C3948" s="11" t="str">
        <x:v>CM310_approved</x:v>
      </x:c>
      <x:c r="D3948" s="11" t="str">
        <x:v>2043-12-31</x:v>
      </x:c>
      <x:c r="E3948" s="11" t="str">
        <x:v>CNY</x:v>
      </x:c>
      <x:c r="F3948" s="11" t="n">
        <x:v>16.72826830937714</x:v>
      </x:c>
      <x:c r="G3948" s="26" t="b">
        <x:v>1</x:v>
      </x:c>
      <x:c r="H3948" s="16" t="n">
        <x:v>0.15</x:v>
      </x:c>
      <x:c r="I3948" s="16" t="n">
        <x:v>0.9</x:v>
      </x:c>
      <x:c r="J3948" s="16" t="n">
        <x:v>1.4</x:v>
      </x:c>
      <x:c r="K3948" s="11" t="n">
        <x:f>CHOOSE('假设'!$B$3,H3948,I3948,J3948)</x:f>
        <x:v>0.9</x:v>
      </x:c>
      <x:c r="L3948" s="11" t="n">
        <x:f>K3948*'管线假设'!E851*'管线假设'!F851*'管线假设'!G851*IF(E3948="USD",'管线假设'!I851,1)-AM3948</x:f>
        <x:v>0.39285000000000003</x:v>
      </x:c>
      <x:c r="M3948" s="11" t="n">
        <x:f>'管线假设'!H851</x:f>
        <x:v>0.14</x:v>
      </x:c>
      <x:c r="N3948" s="11" t="n">
        <x:f>IF(G3948,L3948*AN3948/(1+M3948)^F3948,0)</x:f>
        <x:v>0.04388409395665662</x:v>
      </x:c>
      <x:c r="AJ3948" s="42" t="n">
        <x:v>0</x:v>
      </x:c>
      <x:c r="AK3948" s="42" t="n">
        <x:v>0</x:v>
      </x:c>
      <x:c r="AL3948" s="42" t="n">
        <x:v>0</x:v>
      </x:c>
      <x:c r="AM3948" t="n">
        <x:f>CHOOSE('假设'!$B$3,AJ3948,AK3948,AL3948)</x:f>
        <x:v>0</x:v>
      </x:c>
      <x:c r="AN3948" t="n">
        <x:v>1</x:v>
      </x:c>
    </x:row>
    <x:row r="3949" ht="23" customHeight="1">
      <x:c r="A3949" s="11" t="str">
        <x:v>02162.HK</x:v>
      </x:c>
      <x:c r="B3949" s="11" t="str">
        <x:v>半年</x:v>
      </x:c>
      <x:c r="C3949" s="11" t="str">
        <x:v>CM310_approved</x:v>
      </x:c>
      <x:c r="D3949" s="11" t="str">
        <x:v>2044-12-31</x:v>
      </x:c>
      <x:c r="E3949" s="11" t="str">
        <x:v>CNY</x:v>
      </x:c>
      <x:c r="F3949" s="11" t="n">
        <x:v>17.730321697467488</x:v>
      </x:c>
      <x:c r="G3949" s="26" t="b">
        <x:v>1</x:v>
      </x:c>
      <x:c r="H3949" s="16" t="n">
        <x:v>0.1</x:v>
      </x:c>
      <x:c r="I3949" s="16" t="n">
        <x:v>0.5</x:v>
      </x:c>
      <x:c r="J3949" s="16" t="n">
        <x:v>0.8</x:v>
      </x:c>
      <x:c r="K3949" s="11" t="n">
        <x:f>CHOOSE('假设'!$B$3,H3949,I3949,J3949)</x:f>
        <x:v>0.5</x:v>
      </x:c>
      <x:c r="L3949" s="11" t="n">
        <x:f>K3949*'管线假设'!E851*'管线假设'!F851*'管线假设'!G851*IF(E3949="USD",'管线假设'!I851,1)-AM3949</x:f>
        <x:v>0.21825</x:v>
      </x:c>
      <x:c r="M3949" s="11" t="n">
        <x:f>'管线假设'!H851</x:f>
        <x:v>0.14</x:v>
      </x:c>
      <x:c r="N3949" s="11" t="n">
        <x:f>IF(G3949,L3949*AN3949/(1+M3949)^F3949,0)</x:f>
        <x:v>0.02138025752786456</x:v>
      </x:c>
      <x:c r="AJ3949" s="42" t="n">
        <x:v>0</x:v>
      </x:c>
      <x:c r="AK3949" s="42" t="n">
        <x:v>0</x:v>
      </x:c>
      <x:c r="AL3949" s="42" t="n">
        <x:v>0</x:v>
      </x:c>
      <x:c r="AM3949" t="n">
        <x:f>CHOOSE('假设'!$B$3,AJ3949,AK3949,AL3949)</x:f>
        <x:v>0</x:v>
      </x:c>
      <x:c r="AN3949" t="n">
        <x:v>1</x:v>
      </x:c>
    </x:row>
    <x:row r="3950" ht="23" customHeight="1">
      <x:c r="A3950" s="11" t="str">
        <x:v>02162.HK</x:v>
      </x:c>
      <x:c r="B3950" s="11" t="str">
        <x:v>半年</x:v>
      </x:c>
      <x:c r="C3950" s="11" t="str">
        <x:v>CM310_new</x:v>
      </x:c>
      <x:c r="D3950" s="11" t="str">
        <x:v>2026-12-31</x:v>
      </x:c>
      <x:c r="E3950" s="11" t="str">
        <x:v>CNY</x:v>
      </x:c>
      <x:c r="F3950" s="11" t="n">
        <x:v>-0.27104722792607805</x:v>
      </x:c>
      <x:c r="G3950" s="26" t="b">
        <x:v>0</x:v>
      </x:c>
      <x:c r="H3950" s="16" t="n">
        <x:v>0</x:v>
      </x:c>
      <x:c r="I3950" s="16" t="n">
        <x:v>0</x:v>
      </x:c>
      <x:c r="J3950" s="16" t="n">
        <x:v>0</x:v>
      </x:c>
      <x:c r="K3950" s="11" t="n">
        <x:f>CHOOSE('假设'!$B$3,H3950,I3950,J3950)</x:f>
        <x:v>0</x:v>
      </x:c>
      <x:c r="L3950" s="11" t="n">
        <x:f>K3950*'管线假设'!E855*'管线假设'!F855*'管线假设'!G855*IF(E3950="USD",'管线假设'!I855,1)-AM3950</x:f>
        <x:v>-0.05</x:v>
      </x:c>
      <x:c r="M3950" s="11" t="n">
        <x:f>'管线假设'!H855</x:f>
        <x:v>0.14</x:v>
      </x:c>
      <x:c r="N3950" s="11" t="n">
        <x:f>IF(G3950,L3950*AN3950/(1+M3950)^F3950,0)</x:f>
        <x:v>0</x:v>
      </x:c>
      <x:c r="AJ3950" s="42" t="n">
        <x:v>0.04</x:v>
      </x:c>
      <x:c r="AK3950" s="42" t="n">
        <x:v>0.05</x:v>
      </x:c>
      <x:c r="AL3950" s="42" t="n">
        <x:v>0.06</x:v>
      </x:c>
      <x:c r="AM3950" t="n">
        <x:f>CHOOSE('假设'!$B$3,AJ3950,AK3950,AL3950)</x:f>
        <x:v>0.05</x:v>
      </x:c>
      <x:c r="AN3950" t="n">
        <x:v>0</x:v>
      </x:c>
    </x:row>
    <x:row r="3951" ht="23" customHeight="1">
      <x:c r="A3951" s="11" t="str">
        <x:v>02162.HK</x:v>
      </x:c>
      <x:c r="B3951" s="11" t="str">
        <x:v>半年</x:v>
      </x:c>
      <x:c r="C3951" s="11" t="str">
        <x:v>CM310_new</x:v>
      </x:c>
      <x:c r="D3951" s="11" t="str">
        <x:v>2027-12-31</x:v>
      </x:c>
      <x:c r="E3951" s="11" t="str">
        <x:v>CNY</x:v>
      </x:c>
      <x:c r="F3951" s="11" t="n">
        <x:v>0.7282683093771389</x:v>
      </x:c>
      <x:c r="G3951" s="26" t="b">
        <x:v>1</x:v>
      </x:c>
      <x:c r="H3951" s="16" t="n">
        <x:v>0</x:v>
      </x:c>
      <x:c r="I3951" s="16" t="n">
        <x:v>0.06</x:v>
      </x:c>
      <x:c r="J3951" s="16" t="n">
        <x:v>0.108</x:v>
      </x:c>
      <x:c r="K3951" s="11" t="n">
        <x:f>CHOOSE('假设'!$B$3,H3951,I3951,J3951)</x:f>
        <x:v>0.06</x:v>
      </x:c>
      <x:c r="L3951" s="11" t="n">
        <x:f>K3951*'管线假设'!E855*'管线假设'!F855*'管线假设'!G855*IF(E3951="USD",'管线假设'!I855,1)-AM3951</x:f>
        <x:v>-0.0211</x:v>
      </x:c>
      <x:c r="M3951" s="11" t="n">
        <x:f>'管线假设'!H855</x:f>
        <x:v>0.14</x:v>
      </x:c>
      <x:c r="N3951" s="11" t="n">
        <x:f>IF(G3951,L3951*AN3951/(1+M3951)^F3951,0)</x:f>
        <x:v>-0.014015890903939725</x:v>
      </x:c>
      <x:c r="AJ3951" s="42" t="n">
        <x:v>0.02</x:v>
      </x:c>
      <x:c r="AK3951" s="42" t="n">
        <x:v>0.04</x:v>
      </x:c>
      <x:c r="AL3951" s="42" t="n">
        <x:v>0.05</x:v>
      </x:c>
      <x:c r="AM3951" t="n">
        <x:f>CHOOSE('假设'!$B$3,AJ3951,AK3951,AL3951)</x:f>
        <x:v>0.04</x:v>
      </x:c>
      <x:c r="AN3951" t="n">
        <x:v>0.7307692307692307</x:v>
      </x:c>
    </x:row>
    <x:row r="3952" ht="23" customHeight="1">
      <x:c r="A3952" s="11" t="str">
        <x:v>02162.HK</x:v>
      </x:c>
      <x:c r="B3952" s="11" t="str">
        <x:v>半年</x:v>
      </x:c>
      <x:c r="C3952" s="11" t="str">
        <x:v>CM310_new</x:v>
      </x:c>
      <x:c r="D3952" s="11" t="str">
        <x:v>2028-12-31</x:v>
      </x:c>
      <x:c r="E3952" s="11" t="str">
        <x:v>CNY</x:v>
      </x:c>
      <x:c r="F3952" s="11" t="n">
        <x:v>1.730321697467488</x:v>
      </x:c>
      <x:c r="G3952" s="26" t="b">
        <x:v>1</x:v>
      </x:c>
      <x:c r="H3952" s="16" t="n">
        <x:v>0.024</x:v>
      </x:c>
      <x:c r="I3952" s="16" t="n">
        <x:v>0.18</x:v>
      </x:c>
      <x:c r="J3952" s="16" t="n">
        <x:v>0.324</x:v>
      </x:c>
      <x:c r="K3952" s="11" t="n">
        <x:f>CHOOSE('假设'!$B$3,H3952,I3952,J3952)</x:f>
        <x:v>0.18</x:v>
      </x:c>
      <x:c r="L3952" s="11" t="n">
        <x:f>K3952*'管线假设'!E855*'管线假设'!F855*'管线假设'!G855*IF(E3952="USD",'管线假设'!I855,1)-AM3952</x:f>
        <x:v>0.036699999999999997</x:v>
      </x:c>
      <x:c r="M3952" s="11" t="n">
        <x:f>'管线假设'!H855</x:f>
        <x:v>0.14</x:v>
      </x:c>
      <x:c r="N3952" s="11" t="n">
        <x:f>IF(G3952,L3952*AN3952/(1+M3952)^F3952,0)</x:f>
        <x:v>0.029255152430563112</x:v>
      </x:c>
      <x:c r="AJ3952" s="42" t="n">
        <x:v>0</x:v>
      </x:c>
      <x:c r="AK3952" s="42" t="n">
        <x:v>0.02</x:v>
      </x:c>
      <x:c r="AL3952" s="42" t="n">
        <x:v>0.03</x:v>
      </x:c>
      <x:c r="AM3952" t="n">
        <x:f>CHOOSE('假设'!$B$3,AJ3952,AK3952,AL3952)</x:f>
        <x:v>0.02</x:v>
      </x:c>
      <x:c r="AN3952" t="n">
        <x:v>1</x:v>
      </x:c>
    </x:row>
    <x:row r="3953" ht="23" customHeight="1">
      <x:c r="A3953" s="11" t="str">
        <x:v>02162.HK</x:v>
      </x:c>
      <x:c r="B3953" s="11" t="str">
        <x:v>半年</x:v>
      </x:c>
      <x:c r="C3953" s="11" t="str">
        <x:v>CM310_new</x:v>
      </x:c>
      <x:c r="D3953" s="11" t="str">
        <x:v>2029-12-31</x:v>
      </x:c>
      <x:c r="E3953" s="11" t="str">
        <x:v>CNY</x:v>
      </x:c>
      <x:c r="F3953" s="11" t="n">
        <x:v>2.729637234770705</x:v>
      </x:c>
      <x:c r="G3953" s="26" t="b">
        <x:v>1</x:v>
      </x:c>
      <x:c r="H3953" s="16" t="n">
        <x:v>0.072</x:v>
      </x:c>
      <x:c r="I3953" s="16" t="n">
        <x:v>0.38</x:v>
      </x:c>
      <x:c r="J3953" s="16" t="n">
        <x:v>0.684</x:v>
      </x:c>
      <x:c r="K3953" s="11" t="n">
        <x:f>CHOOSE('假设'!$B$3,H3953,I3953,J3953)</x:f>
        <x:v>0.38</x:v>
      </x:c>
      <x:c r="L3953" s="11" t="n">
        <x:f>K3953*'管线假设'!E855*'管线假设'!F855*'管线假设'!G855*IF(E3953="USD",'管线假设'!I855,1)-AM3953</x:f>
        <x:v>0.11969999999999999</x:v>
      </x:c>
      <x:c r="M3953" s="11" t="n">
        <x:f>'管线假设'!H855</x:f>
        <x:v>0.14</x:v>
      </x:c>
      <x:c r="N3953" s="11" t="n">
        <x:f>IF(G3953,L3953*AN3953/(1+M3953)^F3953,0)</x:f>
        <x:v>0.08370753427624082</x:v>
      </x:c>
      <x:c r="AJ3953" s="42" t="n">
        <x:v>0</x:v>
      </x:c>
      <x:c r="AK3953" s="42" t="n">
        <x:v>0</x:v>
      </x:c>
      <x:c r="AL3953" s="42" t="n">
        <x:v>0</x:v>
      </x:c>
      <x:c r="AM3953" t="n">
        <x:f>CHOOSE('假设'!$B$3,AJ3953,AK3953,AL3953)</x:f>
        <x:v>0</x:v>
      </x:c>
      <x:c r="AN3953" t="n">
        <x:v>1</x:v>
      </x:c>
    </x:row>
    <x:row r="3954" ht="23" customHeight="1">
      <x:c r="A3954" s="11" t="str">
        <x:v>02162.HK</x:v>
      </x:c>
      <x:c r="B3954" s="11" t="str">
        <x:v>半年</x:v>
      </x:c>
      <x:c r="C3954" s="11" t="str">
        <x:v>CM310_new</x:v>
      </x:c>
      <x:c r="D3954" s="11" t="str">
        <x:v>2030-12-31</x:v>
      </x:c>
      <x:c r="E3954" s="11" t="str">
        <x:v>CNY</x:v>
      </x:c>
      <x:c r="F3954" s="11" t="n">
        <x:v>3.728952772073922</x:v>
      </x:c>
      <x:c r="G3954" s="26" t="b">
        <x:v>1</x:v>
      </x:c>
      <x:c r="H3954" s="16" t="n">
        <x:v>0.15200000000000002</x:v>
      </x:c>
      <x:c r="I3954" s="16" t="n">
        <x:v>0.65</x:v>
      </x:c>
      <x:c r="J3954" s="16" t="n">
        <x:v>1.1700000000000002</x:v>
      </x:c>
      <x:c r="K3954" s="11" t="n">
        <x:f>CHOOSE('假设'!$B$3,H3954,I3954,J3954)</x:f>
        <x:v>0.65</x:v>
      </x:c>
      <x:c r="L3954" s="11" t="n">
        <x:f>K3954*'管线假设'!E855*'管线假设'!F855*'管线假设'!G855*IF(E3954="USD",'管线假设'!I855,1)-AM3954</x:f>
        <x:v>0.20475</x:v>
      </x:c>
      <x:c r="M3954" s="11" t="n">
        <x:f>'管线假设'!H855</x:f>
        <x:v>0.14</x:v>
      </x:c>
      <x:c r="N3954" s="11" t="n">
        <x:f>IF(G3954,L3954*AN3954/(1+M3954)^F3954,0)</x:f>
        <x:v>0.12561121235759934</x:v>
      </x:c>
      <x:c r="AJ3954" s="42" t="n">
        <x:v>0</x:v>
      </x:c>
      <x:c r="AK3954" s="42" t="n">
        <x:v>0</x:v>
      </x:c>
      <x:c r="AL3954" s="42" t="n">
        <x:v>0</x:v>
      </x:c>
      <x:c r="AM3954" t="n">
        <x:f>CHOOSE('假设'!$B$3,AJ3954,AK3954,AL3954)</x:f>
        <x:v>0</x:v>
      </x:c>
      <x:c r="AN3954" t="n">
        <x:v>1</x:v>
      </x:c>
    </x:row>
    <x:row r="3955" ht="23" customHeight="1">
      <x:c r="A3955" s="11" t="str">
        <x:v>02162.HK</x:v>
      </x:c>
      <x:c r="B3955" s="11" t="str">
        <x:v>半年</x:v>
      </x:c>
      <x:c r="C3955" s="11" t="str">
        <x:v>CM310_new</x:v>
      </x:c>
      <x:c r="D3955" s="11" t="str">
        <x:v>2031-12-31</x:v>
      </x:c>
      <x:c r="E3955" s="11" t="str">
        <x:v>CNY</x:v>
      </x:c>
      <x:c r="F3955" s="11" t="n">
        <x:v>4.728268309377139</x:v>
      </x:c>
      <x:c r="G3955" s="26" t="b">
        <x:v>1</x:v>
      </x:c>
      <x:c r="H3955" s="16" t="n">
        <x:v>0.26</x:v>
      </x:c>
      <x:c r="I3955" s="16" t="n">
        <x:v>0.85</x:v>
      </x:c>
      <x:c r="J3955" s="16" t="n">
        <x:v>1.53</x:v>
      </x:c>
      <x:c r="K3955" s="11" t="n">
        <x:f>CHOOSE('假设'!$B$3,H3955,I3955,J3955)</x:f>
        <x:v>0.85</x:v>
      </x:c>
      <x:c r="L3955" s="11" t="n">
        <x:f>K3955*'管线假设'!E855*'管线假设'!F855*'管线假设'!G855*IF(E3955="USD",'管线假设'!I855,1)-AM3955</x:f>
        <x:v>0.26775</x:v>
      </x:c>
      <x:c r="M3955" s="11" t="n">
        <x:f>'管线假设'!H855</x:f>
        <x:v>0.14</x:v>
      </x:c>
      <x:c r="N3955" s="11" t="n">
        <x:f>IF(G3955,L3955*AN3955/(1+M3955)^F3955,0)</x:f>
        <x:v>0.1441013582286501</x:v>
      </x:c>
      <x:c r="AJ3955" s="42" t="n">
        <x:v>0</x:v>
      </x:c>
      <x:c r="AK3955" s="42" t="n">
        <x:v>0</x:v>
      </x:c>
      <x:c r="AL3955" s="42" t="n">
        <x:v>0</x:v>
      </x:c>
      <x:c r="AM3955" t="n">
        <x:f>CHOOSE('假设'!$B$3,AJ3955,AK3955,AL3955)</x:f>
        <x:v>0</x:v>
      </x:c>
      <x:c r="AN3955" t="n">
        <x:v>1</x:v>
      </x:c>
    </x:row>
    <x:row r="3956" ht="23" customHeight="1">
      <x:c r="A3956" s="11" t="str">
        <x:v>02162.HK</x:v>
      </x:c>
      <x:c r="B3956" s="11" t="str">
        <x:v>半年</x:v>
      </x:c>
      <x:c r="C3956" s="11" t="str">
        <x:v>CM310_new</x:v>
      </x:c>
      <x:c r="D3956" s="11" t="str">
        <x:v>2032-12-31</x:v>
      </x:c>
      <x:c r="E3956" s="11" t="str">
        <x:v>CNY</x:v>
      </x:c>
      <x:c r="F3956" s="11" t="n">
        <x:v>5.730321697467488</x:v>
      </x:c>
      <x:c r="G3956" s="26" t="b">
        <x:v>1</x:v>
      </x:c>
      <x:c r="H3956" s="16" t="n">
        <x:v>0.34</x:v>
      </x:c>
      <x:c r="I3956" s="16" t="n">
        <x:v>1</x:v>
      </x:c>
      <x:c r="J3956" s="16" t="n">
        <x:v>1.8</x:v>
      </x:c>
      <x:c r="K3956" s="11" t="n">
        <x:f>CHOOSE('假设'!$B$3,H3956,I3956,J3956)</x:f>
        <x:v>1</x:v>
      </x:c>
      <x:c r="L3956" s="11" t="n">
        <x:f>K3956*'管线假设'!E855*'管线假设'!F855*'管线假设'!G855*IF(E3956="USD",'管线假设'!I855,1)-AM3956</x:f>
        <x:v>0.315</x:v>
      </x:c>
      <x:c r="M3956" s="11" t="n">
        <x:f>'管线假设'!H855</x:f>
        <x:v>0.14</x:v>
      </x:c>
      <x:c r="N3956" s="11" t="n">
        <x:f>IF(G3956,L3956*AN3956/(1+M3956)^F3956,0)</x:f>
        <x:v>0.1486714062987035</x:v>
      </x:c>
      <x:c r="AJ3956" s="42" t="n">
        <x:v>0</x:v>
      </x:c>
      <x:c r="AK3956" s="42" t="n">
        <x:v>0</x:v>
      </x:c>
      <x:c r="AL3956" s="42" t="n">
        <x:v>0</x:v>
      </x:c>
      <x:c r="AM3956" t="n">
        <x:f>CHOOSE('假设'!$B$3,AJ3956,AK3956,AL3956)</x:f>
        <x:v>0</x:v>
      </x:c>
      <x:c r="AN3956" t="n">
        <x:v>1</x:v>
      </x:c>
    </x:row>
    <x:row r="3957" ht="23" customHeight="1">
      <x:c r="A3957" s="11" t="str">
        <x:v>02162.HK</x:v>
      </x:c>
      <x:c r="B3957" s="11" t="str">
        <x:v>半年</x:v>
      </x:c>
      <x:c r="C3957" s="11" t="str">
        <x:v>CM310_new</x:v>
      </x:c>
      <x:c r="D3957" s="11" t="str">
        <x:v>2033-12-31</x:v>
      </x:c>
      <x:c r="E3957" s="11" t="str">
        <x:v>CNY</x:v>
      </x:c>
      <x:c r="F3957" s="11" t="n">
        <x:v>6.729637234770705</x:v>
      </x:c>
      <x:c r="G3957" s="26" t="b">
        <x:v>1</x:v>
      </x:c>
      <x:c r="H3957" s="16" t="n">
        <x:v>0.4</x:v>
      </x:c>
      <x:c r="I3957" s="16" t="n">
        <x:v>1</x:v>
      </x:c>
      <x:c r="J3957" s="16" t="n">
        <x:v>1.8</x:v>
      </x:c>
      <x:c r="K3957" s="11" t="n">
        <x:f>CHOOSE('假设'!$B$3,H3957,I3957,J3957)</x:f>
        <x:v>1</x:v>
      </x:c>
      <x:c r="L3957" s="11" t="n">
        <x:f>K3957*'管线假设'!E855*'管线假设'!F855*'管线假设'!G855*IF(E3957="USD",'管线假设'!I855,1)-AM3957</x:f>
        <x:v>0.315</x:v>
      </x:c>
      <x:c r="M3957" s="11" t="n">
        <x:f>'管线假设'!H855</x:f>
        <x:v>0.14</x:v>
      </x:c>
      <x:c r="N3957" s="11" t="n">
        <x:f>IF(G3957,L3957*AN3957/(1+M3957)^F3957,0)</x:f>
        <x:v>0.130425210821714</x:v>
      </x:c>
      <x:c r="AJ3957" s="42" t="n">
        <x:v>0</x:v>
      </x:c>
      <x:c r="AK3957" s="42" t="n">
        <x:v>0</x:v>
      </x:c>
      <x:c r="AL3957" s="42" t="n">
        <x:v>0</x:v>
      </x:c>
      <x:c r="AM3957" t="n">
        <x:f>CHOOSE('假设'!$B$3,AJ3957,AK3957,AL3957)</x:f>
        <x:v>0</x:v>
      </x:c>
      <x:c r="AN3957" t="n">
        <x:v>1</x:v>
      </x:c>
    </x:row>
    <x:row r="3958" ht="23" customHeight="1">
      <x:c r="A3958" s="11" t="str">
        <x:v>02162.HK</x:v>
      </x:c>
      <x:c r="B3958" s="11" t="str">
        <x:v>半年</x:v>
      </x:c>
      <x:c r="C3958" s="11" t="str">
        <x:v>CM310_new</x:v>
      </x:c>
      <x:c r="D3958" s="11" t="str">
        <x:v>2034-12-31</x:v>
      </x:c>
      <x:c r="E3958" s="11" t="str">
        <x:v>CNY</x:v>
      </x:c>
      <x:c r="F3958" s="11" t="n">
        <x:v>7.728952772073922</x:v>
      </x:c>
      <x:c r="G3958" s="26" t="b">
        <x:v>1</x:v>
      </x:c>
      <x:c r="H3958" s="16" t="n">
        <x:v>0.4</x:v>
      </x:c>
      <x:c r="I3958" s="16" t="n">
        <x:v>0.95</x:v>
      </x:c>
      <x:c r="J3958" s="16" t="n">
        <x:v>1.71</x:v>
      </x:c>
      <x:c r="K3958" s="11" t="n">
        <x:f>CHOOSE('假设'!$B$3,H3958,I3958,J3958)</x:f>
        <x:v>0.95</x:v>
      </x:c>
      <x:c r="L3958" s="11" t="n">
        <x:f>K3958*'管线假设'!E855*'管线假设'!F855*'管线假设'!G855*IF(E3958="USD",'管线假设'!I855,1)-AM3958</x:f>
        <x:v>0.29924999999999996</x:v>
      </x:c>
      <x:c r="M3958" s="11" t="n">
        <x:f>'管线假设'!H855</x:f>
        <x:v>0.14</x:v>
      </x:c>
      <x:c r="N3958" s="11" t="n">
        <x:f>IF(G3958,L3958*AN3958/(1+M3958)^F3958,0)</x:f>
        <x:v>0.10869742366279772</x:v>
      </x:c>
      <x:c r="AJ3958" s="42" t="n">
        <x:v>0</x:v>
      </x:c>
      <x:c r="AK3958" s="42" t="n">
        <x:v>0</x:v>
      </x:c>
      <x:c r="AL3958" s="42" t="n">
        <x:v>0</x:v>
      </x:c>
      <x:c r="AM3958" t="n">
        <x:f>CHOOSE('假设'!$B$3,AJ3958,AK3958,AL3958)</x:f>
        <x:v>0</x:v>
      </x:c>
      <x:c r="AN3958" t="n">
        <x:v>1</x:v>
      </x:c>
    </x:row>
    <x:row r="3959" ht="23" customHeight="1">
      <x:c r="A3959" s="11" t="str">
        <x:v>02162.HK</x:v>
      </x:c>
      <x:c r="B3959" s="11" t="str">
        <x:v>半年</x:v>
      </x:c>
      <x:c r="C3959" s="11" t="str">
        <x:v>CM310_new</x:v>
      </x:c>
      <x:c r="D3959" s="11" t="str">
        <x:v>2035-12-31</x:v>
      </x:c>
      <x:c r="E3959" s="11" t="str">
        <x:v>CNY</x:v>
      </x:c>
      <x:c r="F3959" s="11" t="n">
        <x:v>8.728268309377139</x:v>
      </x:c>
      <x:c r="G3959" s="26" t="b">
        <x:v>1</x:v>
      </x:c>
      <x:c r="H3959" s="16" t="n">
        <x:v>0.38</x:v>
      </x:c>
      <x:c r="I3959" s="16" t="n">
        <x:v>0.9</x:v>
      </x:c>
      <x:c r="J3959" s="16" t="n">
        <x:v>1.62</x:v>
      </x:c>
      <x:c r="K3959" s="11" t="n">
        <x:f>CHOOSE('假设'!$B$3,H3959,I3959,J3959)</x:f>
        <x:v>0.9</x:v>
      </x:c>
      <x:c r="L3959" s="11" t="n">
        <x:f>K3959*'管线假设'!E855*'管线假设'!F855*'管线假设'!G855*IF(E3959="USD",'管线假设'!I855,1)-AM3959</x:f>
        <x:v>0.28350000000000003</x:v>
      </x:c>
      <x:c r="M3959" s="11" t="n">
        <x:f>'管线假设'!H855</x:f>
        <x:v>0.14</x:v>
      </x:c>
      <x:c r="N3959" s="11" t="n">
        <x:f>IF(G3959,L3959*AN3959/(1+M3959)^F3959,0)</x:f>
        <x:v>0.09033837051117198</x:v>
      </x:c>
      <x:c r="AJ3959" s="42" t="n">
        <x:v>0</x:v>
      </x:c>
      <x:c r="AK3959" s="42" t="n">
        <x:v>0</x:v>
      </x:c>
      <x:c r="AL3959" s="42" t="n">
        <x:v>0</x:v>
      </x:c>
      <x:c r="AM3959" t="n">
        <x:f>CHOOSE('假设'!$B$3,AJ3959,AK3959,AL3959)</x:f>
        <x:v>0</x:v>
      </x:c>
      <x:c r="AN3959" t="n">
        <x:v>1</x:v>
      </x:c>
    </x:row>
    <x:row r="3960" ht="23" customHeight="1">
      <x:c r="A3960" s="11" t="str">
        <x:v>02162.HK</x:v>
      </x:c>
      <x:c r="B3960" s="11" t="str">
        <x:v>半年</x:v>
      </x:c>
      <x:c r="C3960" s="11" t="str">
        <x:v>CM310_new</x:v>
      </x:c>
      <x:c r="D3960" s="11" t="str">
        <x:v>2036-12-31</x:v>
      </x:c>
      <x:c r="E3960" s="11" t="str">
        <x:v>CNY</x:v>
      </x:c>
      <x:c r="F3960" s="11" t="n">
        <x:v>9.730321697467488</x:v>
      </x:c>
      <x:c r="G3960" s="26" t="b">
        <x:v>1</x:v>
      </x:c>
      <x:c r="H3960" s="16" t="n">
        <x:v>0.36000000000000004</x:v>
      </x:c>
      <x:c r="I3960" s="16" t="n">
        <x:v>0.8</x:v>
      </x:c>
      <x:c r="J3960" s="16" t="n">
        <x:v>1.4400000000000002</x:v>
      </x:c>
      <x:c r="K3960" s="11" t="n">
        <x:f>CHOOSE('假设'!$B$3,H3960,I3960,J3960)</x:f>
        <x:v>0.8</x:v>
      </x:c>
      <x:c r="L3960" s="11" t="n">
        <x:f>K3960*'管线假设'!E855*'管线假设'!F855*'管线假设'!G855*IF(E3960="USD",'管线假设'!I855,1)-AM3960</x:f>
        <x:v>0.252</x:v>
      </x:c>
      <x:c r="M3960" s="11" t="n">
        <x:f>'管线假设'!H855</x:f>
        <x:v>0.14</x:v>
      </x:c>
      <x:c r="N3960" s="11" t="n">
        <x:f>IF(G3960,L3960*AN3960/(1+M3960)^F3960,0)</x:f>
        <x:v>0.07042032598268201</x:v>
      </x:c>
      <x:c r="AJ3960" s="42" t="n">
        <x:v>0</x:v>
      </x:c>
      <x:c r="AK3960" s="42" t="n">
        <x:v>0</x:v>
      </x:c>
      <x:c r="AL3960" s="42" t="n">
        <x:v>0</x:v>
      </x:c>
      <x:c r="AM3960" t="n">
        <x:f>CHOOSE('假设'!$B$3,AJ3960,AK3960,AL3960)</x:f>
        <x:v>0</x:v>
      </x:c>
      <x:c r="AN3960" t="n">
        <x:v>1</x:v>
      </x:c>
    </x:row>
    <x:row r="3961" ht="23" customHeight="1">
      <x:c r="A3961" s="11" t="str">
        <x:v>02162.HK</x:v>
      </x:c>
      <x:c r="B3961" s="11" t="str">
        <x:v>半年</x:v>
      </x:c>
      <x:c r="C3961" s="11" t="str">
        <x:v>CM310_new</x:v>
      </x:c>
      <x:c r="D3961" s="11" t="str">
        <x:v>2037-12-31</x:v>
      </x:c>
      <x:c r="E3961" s="11" t="str">
        <x:v>CNY</x:v>
      </x:c>
      <x:c r="F3961" s="11" t="n">
        <x:v>10.729637234770705</x:v>
      </x:c>
      <x:c r="G3961" s="26" t="b">
        <x:v>1</x:v>
      </x:c>
      <x:c r="H3961" s="16" t="n">
        <x:v>0.32000000000000006</x:v>
      </x:c>
      <x:c r="I3961" s="16" t="n">
        <x:v>0.65</x:v>
      </x:c>
      <x:c r="J3961" s="16" t="n">
        <x:v>1.1700000000000002</x:v>
      </x:c>
      <x:c r="K3961" s="11" t="n">
        <x:f>CHOOSE('假设'!$B$3,H3961,I3961,J3961)</x:f>
        <x:v>0.65</x:v>
      </x:c>
      <x:c r="L3961" s="11" t="n">
        <x:f>K3961*'管线假设'!E855*'管线假设'!F855*'管线假设'!G855*IF(E3961="USD",'管线假设'!I855,1)-AM3961</x:f>
        <x:v>0.20475</x:v>
      </x:c>
      <x:c r="M3961" s="11" t="n">
        <x:f>'管线假设'!H855</x:f>
        <x:v>0.14</x:v>
      </x:c>
      <x:c r="N3961" s="11" t="n">
        <x:f>IF(G3961,L3961*AN3961/(1+M3961)^F3961,0)</x:f>
        <x:v>0.0501944267496008</x:v>
      </x:c>
      <x:c r="AJ3961" s="42" t="n">
        <x:v>0</x:v>
      </x:c>
      <x:c r="AK3961" s="42" t="n">
        <x:v>0</x:v>
      </x:c>
      <x:c r="AL3961" s="42" t="n">
        <x:v>0</x:v>
      </x:c>
      <x:c r="AM3961" t="n">
        <x:f>CHOOSE('假设'!$B$3,AJ3961,AK3961,AL3961)</x:f>
        <x:v>0</x:v>
      </x:c>
      <x:c r="AN3961" t="n">
        <x:v>1</x:v>
      </x:c>
    </x:row>
    <x:row r="3962" ht="23" customHeight="1">
      <x:c r="A3962" s="11" t="str">
        <x:v>02162.HK</x:v>
      </x:c>
      <x:c r="B3962" s="11" t="str">
        <x:v>半年</x:v>
      </x:c>
      <x:c r="C3962" s="11" t="str">
        <x:v>CM310_new</x:v>
      </x:c>
      <x:c r="D3962" s="11" t="str">
        <x:v>2038-12-31</x:v>
      </x:c>
      <x:c r="E3962" s="11" t="str">
        <x:v>CNY</x:v>
      </x:c>
      <x:c r="F3962" s="11" t="n">
        <x:v>11.728952772073923</x:v>
      </x:c>
      <x:c r="G3962" s="26" t="b">
        <x:v>1</x:v>
      </x:c>
      <x:c r="H3962" s="16" t="n">
        <x:v>0.26</x:v>
      </x:c>
      <x:c r="I3962" s="16" t="n">
        <x:v>0.5</x:v>
      </x:c>
      <x:c r="J3962" s="16" t="n">
        <x:v>0.9</x:v>
      </x:c>
      <x:c r="K3962" s="11" t="n">
        <x:f>CHOOSE('假设'!$B$3,H3962,I3962,J3962)</x:f>
        <x:v>0.5</x:v>
      </x:c>
      <x:c r="L3962" s="11" t="n">
        <x:f>K3962*'管线假设'!E855*'管线假设'!F855*'管线假设'!G855*IF(E3962="USD",'管线假设'!I855,1)-AM3962</x:f>
        <x:v>0.1575</x:v>
      </x:c>
      <x:c r="M3962" s="11" t="n">
        <x:f>'管线假设'!H855</x:f>
        <x:v>0.14</x:v>
      </x:c>
      <x:c r="N3962" s="11" t="n">
        <x:f>IF(G3962,L3962*AN3962/(1+M3962)^F3962,0)</x:f>
        <x:v>0.033872421448260144</x:v>
      </x:c>
      <x:c r="AJ3962" s="42" t="n">
        <x:v>0</x:v>
      </x:c>
      <x:c r="AK3962" s="42" t="n">
        <x:v>0</x:v>
      </x:c>
      <x:c r="AL3962" s="42" t="n">
        <x:v>0</x:v>
      </x:c>
      <x:c r="AM3962" t="n">
        <x:f>CHOOSE('假设'!$B$3,AJ3962,AK3962,AL3962)</x:f>
        <x:v>0</x:v>
      </x:c>
      <x:c r="AN3962" t="n">
        <x:v>1</x:v>
      </x:c>
    </x:row>
    <x:row r="3963" ht="23" customHeight="1">
      <x:c r="A3963" s="11" t="str">
        <x:v>02162.HK</x:v>
      </x:c>
      <x:c r="B3963" s="11" t="str">
        <x:v>半年</x:v>
      </x:c>
      <x:c r="C3963" s="11" t="str">
        <x:v>CM310_new</x:v>
      </x:c>
      <x:c r="D3963" s="11" t="str">
        <x:v>2039-12-31</x:v>
      </x:c>
      <x:c r="E3963" s="11" t="str">
        <x:v>CNY</x:v>
      </x:c>
      <x:c r="F3963" s="11" t="n">
        <x:v>12.728268309377139</x:v>
      </x:c>
      <x:c r="G3963" s="26" t="b">
        <x:v>1</x:v>
      </x:c>
      <x:c r="H3963" s="16" t="n">
        <x:v>0.2</x:v>
      </x:c>
      <x:c r="I3963" s="16" t="n">
        <x:v>0.35</x:v>
      </x:c>
      <x:c r="J3963" s="16" t="n">
        <x:v>0.63</x:v>
      </x:c>
      <x:c r="K3963" s="11" t="n">
        <x:f>CHOOSE('假设'!$B$3,H3963,I3963,J3963)</x:f>
        <x:v>0.35</x:v>
      </x:c>
      <x:c r="L3963" s="11" t="n">
        <x:f>K3963*'管线假设'!E855*'管线假设'!F855*'管线假设'!G855*IF(E3963="USD",'管线假设'!I855,1)-AM3963</x:f>
        <x:v>0.11024999999999999</x:v>
      </x:c>
      <x:c r="M3963" s="11" t="n">
        <x:f>'管线假设'!H855</x:f>
        <x:v>0.14</x:v>
      </x:c>
      <x:c r="N3963" s="11" t="n">
        <x:f>IF(G3963,L3963*AN3963/(1+M3963)^F3963,0)</x:f>
        <x:v>0.020800720682554414</x:v>
      </x:c>
      <x:c r="AJ3963" s="42" t="n">
        <x:v>0</x:v>
      </x:c>
      <x:c r="AK3963" s="42" t="n">
        <x:v>0</x:v>
      </x:c>
      <x:c r="AL3963" s="42" t="n">
        <x:v>0</x:v>
      </x:c>
      <x:c r="AM3963" t="n">
        <x:f>CHOOSE('假设'!$B$3,AJ3963,AK3963,AL3963)</x:f>
        <x:v>0</x:v>
      </x:c>
      <x:c r="AN3963" t="n">
        <x:v>1</x:v>
      </x:c>
    </x:row>
    <x:row r="3964" ht="23" customHeight="1">
      <x:c r="A3964" s="11" t="str">
        <x:v>02162.HK</x:v>
      </x:c>
      <x:c r="B3964" s="11" t="str">
        <x:v>半年</x:v>
      </x:c>
      <x:c r="C3964" s="11" t="str">
        <x:v>CM310_new</x:v>
      </x:c>
      <x:c r="D3964" s="11" t="str">
        <x:v>2040-12-31</x:v>
      </x:c>
      <x:c r="E3964" s="11" t="str">
        <x:v>CNY</x:v>
      </x:c>
      <x:c r="F3964" s="11" t="n">
        <x:v>13.730321697467488</x:v>
      </x:c>
      <x:c r="G3964" s="26" t="b">
        <x:v>1</x:v>
      </x:c>
      <x:c r="H3964" s="16" t="n">
        <x:v>0.13999999999999999</x:v>
      </x:c>
      <x:c r="I3964" s="16" t="n">
        <x:v>0.2</x:v>
      </x:c>
      <x:c r="J3964" s="16" t="n">
        <x:v>0.36000000000000004</x:v>
      </x:c>
      <x:c r="K3964" s="11" t="n">
        <x:f>CHOOSE('假设'!$B$3,H3964,I3964,J3964)</x:f>
        <x:v>0.2</x:v>
      </x:c>
      <x:c r="L3964" s="11" t="n">
        <x:f>K3964*'管线假设'!E855*'管线假设'!F855*'管线假设'!G855*IF(E3964="USD",'管线假设'!I855,1)-AM3964</x:f>
        <x:v>0.063</x:v>
      </x:c>
      <x:c r="M3964" s="11" t="n">
        <x:f>'管线假设'!H855</x:f>
        <x:v>0.14</x:v>
      </x:c>
      <x:c r="N3964" s="11" t="n">
        <x:f>IF(G3964,L3964*AN3964/(1+M3964)^F3964,0)</x:f>
        <x:v>0.010423621535081381</x:v>
      </x:c>
      <x:c r="AJ3964" s="42" t="n">
        <x:v>0</x:v>
      </x:c>
      <x:c r="AK3964" s="42" t="n">
        <x:v>0</x:v>
      </x:c>
      <x:c r="AL3964" s="42" t="n">
        <x:v>0</x:v>
      </x:c>
      <x:c r="AM3964" t="n">
        <x:f>CHOOSE('假设'!$B$3,AJ3964,AK3964,AL3964)</x:f>
        <x:v>0</x:v>
      </x:c>
      <x:c r="AN3964" t="n">
        <x:v>1</x:v>
      </x:c>
    </x:row>
    <x:row r="3965" ht="23" customHeight="1">
      <x:c r="A3965" s="11" t="str">
        <x:v>02162.HK</x:v>
      </x:c>
      <x:c r="B3965" s="11" t="str">
        <x:v>半年</x:v>
      </x:c>
      <x:c r="C3965" s="11" t="str">
        <x:v>CM310_new</x:v>
      </x:c>
      <x:c r="D3965" s="11" t="str">
        <x:v>2041-12-31</x:v>
      </x:c>
      <x:c r="E3965" s="11" t="str">
        <x:v>CNY</x:v>
      </x:c>
      <x:c r="F3965" s="11" t="n">
        <x:v>14.729637234770705</x:v>
      </x:c>
      <x:c r="G3965" s="26" t="b">
        <x:v>1</x:v>
      </x:c>
      <x:c r="H3965" s="16" t="n">
        <x:v>0.08000000000000002</x:v>
      </x:c>
      <x:c r="I3965" s="16" t="n">
        <x:v>0.12</x:v>
      </x:c>
      <x:c r="J3965" s="16" t="n">
        <x:v>0.216</x:v>
      </x:c>
      <x:c r="K3965" s="11" t="n">
        <x:f>CHOOSE('假设'!$B$3,H3965,I3965,J3965)</x:f>
        <x:v>0.12</x:v>
      </x:c>
      <x:c r="L3965" s="11" t="n">
        <x:f>K3965*'管线假设'!E855*'管线假设'!F855*'管线假设'!G855*IF(E3965="USD",'管线假设'!I855,1)-AM3965</x:f>
        <x:v>0.0378</x:v>
      </x:c>
      <x:c r="M3965" s="11" t="n">
        <x:f>'管线假设'!H855</x:f>
        <x:v>0.14</x:v>
      </x:c>
      <x:c r="N3965" s="11" t="n">
        <x:f>IF(G3965,L3965*AN3965/(1+M3965)^F3965,0)</x:f>
        <x:v>0.0054866086361245485</x:v>
      </x:c>
      <x:c r="AJ3965" s="42" t="n">
        <x:v>0</x:v>
      </x:c>
      <x:c r="AK3965" s="42" t="n">
        <x:v>0</x:v>
      </x:c>
      <x:c r="AL3965" s="42" t="n">
        <x:v>0</x:v>
      </x:c>
      <x:c r="AM3965" t="n">
        <x:f>CHOOSE('假设'!$B$3,AJ3965,AK3965,AL3965)</x:f>
        <x:v>0</x:v>
      </x:c>
      <x:c r="AN3965" t="n">
        <x:v>1</x:v>
      </x:c>
    </x:row>
    <x:row r="3966" ht="23" customHeight="1">
      <x:c r="A3966" s="11" t="str">
        <x:v>02162.HK</x:v>
      </x:c>
      <x:c r="B3966" s="11" t="str">
        <x:v>半年</x:v>
      </x:c>
      <x:c r="C3966" s="11" t="str">
        <x:v>CM310_new</x:v>
      </x:c>
      <x:c r="D3966" s="11" t="str">
        <x:v>2042-12-31</x:v>
      </x:c>
      <x:c r="E3966" s="11" t="str">
        <x:v>CNY</x:v>
      </x:c>
      <x:c r="F3966" s="11" t="n">
        <x:v>15.728952772073923</x:v>
      </x:c>
      <x:c r="G3966" s="26" t="b">
        <x:v>1</x:v>
      </x:c>
      <x:c r="H3966" s="16" t="n">
        <x:v>0.048</x:v>
      </x:c>
      <x:c r="I3966" s="16" t="n">
        <x:v>0.07</x:v>
      </x:c>
      <x:c r="J3966" s="16" t="n">
        <x:v>0.12600000000000003</x:v>
      </x:c>
      <x:c r="K3966" s="11" t="n">
        <x:f>CHOOSE('假设'!$B$3,H3966,I3966,J3966)</x:f>
        <x:v>0.07</x:v>
      </x:c>
      <x:c r="L3966" s="11" t="n">
        <x:f>K3966*'管线假设'!E855*'管线假设'!F855*'管线假设'!G855*IF(E3966="USD",'管线假设'!I855,1)-AM3966</x:f>
        <x:v>0.02205</x:v>
      </x:c>
      <x:c r="M3966" s="11" t="n">
        <x:f>'管线假设'!H855</x:f>
        <x:v>0.14</x:v>
      </x:c>
      <x:c r="N3966" s="11" t="n">
        <x:f>IF(G3966,L3966*AN3966/(1+M3966)^F3966,0)</x:f>
        <x:v>0.0028077269760800145</x:v>
      </x:c>
      <x:c r="AJ3966" s="42" t="n">
        <x:v>0</x:v>
      </x:c>
      <x:c r="AK3966" s="42" t="n">
        <x:v>0</x:v>
      </x:c>
      <x:c r="AL3966" s="42" t="n">
        <x:v>0</x:v>
      </x:c>
      <x:c r="AM3966" t="n">
        <x:f>CHOOSE('假设'!$B$3,AJ3966,AK3966,AL3966)</x:f>
        <x:v>0</x:v>
      </x:c>
      <x:c r="AN3966" t="n">
        <x:v>1</x:v>
      </x:c>
    </x:row>
    <x:row r="3967" ht="23" customHeight="1">
      <x:c r="A3967" s="11" t="str">
        <x:v>02162.HK</x:v>
      </x:c>
      <x:c r="B3967" s="11" t="str">
        <x:v>半年</x:v>
      </x:c>
      <x:c r="C3967" s="11" t="str">
        <x:v>CM310_new</x:v>
      </x:c>
      <x:c r="D3967" s="11" t="str">
        <x:v>2043-12-31</x:v>
      </x:c>
      <x:c r="E3967" s="11" t="str">
        <x:v>CNY</x:v>
      </x:c>
      <x:c r="F3967" s="11" t="n">
        <x:v>16.72826830937714</x:v>
      </x:c>
      <x:c r="G3967" s="26" t="b">
        <x:v>1</x:v>
      </x:c>
      <x:c r="H3967" s="16" t="n">
        <x:v>0.028000000000000004</x:v>
      </x:c>
      <x:c r="I3967" s="16" t="n">
        <x:v>0.03</x:v>
      </x:c>
      <x:c r="J3967" s="16" t="n">
        <x:v>0.054</x:v>
      </x:c>
      <x:c r="K3967" s="11" t="n">
        <x:f>CHOOSE('假设'!$B$3,H3967,I3967,J3967)</x:f>
        <x:v>0.03</x:v>
      </x:c>
      <x:c r="L3967" s="11" t="n">
        <x:f>K3967*'管线假设'!E855*'管线假设'!F855*'管线假设'!G855*IF(E3967="USD",'管线假设'!I855,1)-AM3967</x:f>
        <x:v>0.00945</x:v>
      </x:c>
      <x:c r="M3967" s="11" t="n">
        <x:f>'管线假设'!H855</x:f>
        <x:v>0.14</x:v>
      </x:c>
      <x:c r="N3967" s="11" t="n">
        <x:f>IF(G3967,L3967*AN3967/(1+M3967)^F3967,0)</x:f>
        <x:v>0.001055631126105142</x:v>
      </x:c>
      <x:c r="AJ3967" s="42" t="n">
        <x:v>0</x:v>
      </x:c>
      <x:c r="AK3967" s="42" t="n">
        <x:v>0</x:v>
      </x:c>
      <x:c r="AL3967" s="42" t="n">
        <x:v>0</x:v>
      </x:c>
      <x:c r="AM3967" t="n">
        <x:f>CHOOSE('假设'!$B$3,AJ3967,AK3967,AL3967)</x:f>
        <x:v>0</x:v>
      </x:c>
      <x:c r="AN3967" t="n">
        <x:v>1</x:v>
      </x:c>
    </x:row>
    <x:row r="3968" ht="23" customHeight="1">
      <x:c r="A3968" s="11" t="str">
        <x:v>02162.HK</x:v>
      </x:c>
      <x:c r="B3968" s="11" t="str">
        <x:v>半年</x:v>
      </x:c>
      <x:c r="C3968" s="11" t="str">
        <x:v>CM310_new</x:v>
      </x:c>
      <x:c r="D3968" s="11" t="str">
        <x:v>2044-12-31</x:v>
      </x:c>
      <x:c r="E3968" s="11" t="str">
        <x:v>CNY</x:v>
      </x:c>
      <x:c r="F3968" s="11" t="n">
        <x:v>17.730321697467488</x:v>
      </x:c>
      <x:c r="G3968" s="26" t="b">
        <x:v>1</x:v>
      </x:c>
      <x:c r="H3968" s="16" t="n">
        <x:v>0.012</x:v>
      </x:c>
      <x:c r="I3968" s="16" t="n">
        <x:v>0.03</x:v>
      </x:c>
      <x:c r="J3968" s="16" t="n">
        <x:v>0.054</x:v>
      </x:c>
      <x:c r="K3968" s="11" t="n">
        <x:f>CHOOSE('假设'!$B$3,H3968,I3968,J3968)</x:f>
        <x:v>0.03</x:v>
      </x:c>
      <x:c r="L3968" s="11" t="n">
        <x:f>K3968*'管线假设'!E855*'管线假设'!F855*'管线假设'!G855*IF(E3968="USD",'管线假设'!I855,1)-AM3968</x:f>
        <x:v>0.00945</x:v>
      </x:c>
      <x:c r="M3968" s="11" t="n">
        <x:f>'管线假设'!H855</x:f>
        <x:v>0.14</x:v>
      </x:c>
      <x:c r="N3968" s="11" t="n">
        <x:f>IF(G3968,L3968*AN3968/(1+M3968)^F3968,0)</x:f>
        <x:v>0.0009257431094539295</x:v>
      </x:c>
      <x:c r="AJ3968" s="42" t="n">
        <x:v>0</x:v>
      </x:c>
      <x:c r="AK3968" s="42" t="n">
        <x:v>0</x:v>
      </x:c>
      <x:c r="AL3968" s="42" t="n">
        <x:v>0</x:v>
      </x:c>
      <x:c r="AM3968" t="n">
        <x:f>CHOOSE('假设'!$B$3,AJ3968,AK3968,AL3968)</x:f>
        <x:v>0</x:v>
      </x:c>
      <x:c r="AN3968" t="n">
        <x:v>1</x:v>
      </x:c>
    </x:row>
    <x:row r="3969" ht="23" customHeight="1">
      <x:c r="A3969" s="11" t="str">
        <x:v>02162.HK</x:v>
      </x:c>
      <x:c r="B3969" s="11" t="str">
        <x:v>半年</x:v>
      </x:c>
      <x:c r="C3969" s="11" t="str">
        <x:v>CM512_CRSwNP</x:v>
      </x:c>
      <x:c r="D3969" s="11" t="str">
        <x:v>2026-12-31</x:v>
      </x:c>
      <x:c r="E3969" s="11" t="str">
        <x:v>CNY</x:v>
      </x:c>
      <x:c r="F3969" s="11" t="n">
        <x:v>-0.27104722792607805</x:v>
      </x:c>
      <x:c r="G3969" s="26" t="b">
        <x:v>0</x:v>
      </x:c>
      <x:c r="H3969" s="16" t="n">
        <x:v>0</x:v>
      </x:c>
      <x:c r="I3969" s="16" t="n">
        <x:v>0</x:v>
      </x:c>
      <x:c r="J3969" s="16" t="n">
        <x:v>0</x:v>
      </x:c>
      <x:c r="K3969" s="11" t="n">
        <x:f>CHOOSE('假设'!$B$3,H3969,I3969,J3969)</x:f>
        <x:v>0</x:v>
      </x:c>
      <x:c r="L3969" s="11" t="n">
        <x:f>K3969*'管线假设'!E859*'管线假设'!F859*'管线假设'!G859*IF(E3969="USD",'管线假设'!I859,1)-AM3969</x:f>
        <x:v>-0.06</x:v>
      </x:c>
      <x:c r="M3969" s="11" t="n">
        <x:f>'管线假设'!H859</x:f>
        <x:v>0.14</x:v>
      </x:c>
      <x:c r="N3969" s="11" t="n">
        <x:f>IF(G3969,L3969*AN3969/(1+M3969)^F3969,0)</x:f>
        <x:v>0</x:v>
      </x:c>
      <x:c r="AJ3969" s="42" t="n">
        <x:v>0.04</x:v>
      </x:c>
      <x:c r="AK3969" s="42" t="n">
        <x:v>0.06</x:v>
      </x:c>
      <x:c r="AL3969" s="42" t="n">
        <x:v>0.1</x:v>
      </x:c>
      <x:c r="AM3969" t="n">
        <x:f>CHOOSE('假设'!$B$3,AJ3969,AK3969,AL3969)</x:f>
        <x:v>0.06</x:v>
      </x:c>
      <x:c r="AN3969" t="n">
        <x:v>0</x:v>
      </x:c>
    </x:row>
    <x:row r="3970" ht="23" customHeight="1">
      <x:c r="A3970" s="11" t="str">
        <x:v>02162.HK</x:v>
      </x:c>
      <x:c r="B3970" s="11" t="str">
        <x:v>半年</x:v>
      </x:c>
      <x:c r="C3970" s="11" t="str">
        <x:v>CM512_CRSwNP</x:v>
      </x:c>
      <x:c r="D3970" s="11" t="str">
        <x:v>2027-12-31</x:v>
      </x:c>
      <x:c r="E3970" s="11" t="str">
        <x:v>CNY</x:v>
      </x:c>
      <x:c r="F3970" s="11" t="n">
        <x:v>0.7282683093771389</x:v>
      </x:c>
      <x:c r="G3970" s="26" t="b">
        <x:v>1</x:v>
      </x:c>
      <x:c r="H3970" s="16" t="n">
        <x:v>0</x:v>
      </x:c>
      <x:c r="I3970" s="16" t="n">
        <x:v>0</x:v>
      </x:c>
      <x:c r="J3970" s="16" t="n">
        <x:v>0</x:v>
      </x:c>
      <x:c r="K3970" s="11" t="n">
        <x:f>CHOOSE('假设'!$B$3,H3970,I3970,J3970)</x:f>
        <x:v>0</x:v>
      </x:c>
      <x:c r="L3970" s="11" t="n">
        <x:f>K3970*'管线假设'!E859*'管线假设'!F859*'管线假设'!G859*IF(E3970="USD",'管线假设'!I859,1)-AM3970</x:f>
        <x:v>-0.1</x:v>
      </x:c>
      <x:c r="M3970" s="11" t="n">
        <x:f>'管线假设'!H859</x:f>
        <x:v>0.14</x:v>
      </x:c>
      <x:c r="N3970" s="11" t="n">
        <x:f>IF(G3970,L3970*AN3970/(1+M3970)^F3970,0)</x:f>
        <x:v>-0.0664260232414205</x:v>
      </x:c>
      <x:c r="AJ3970" s="42" t="n">
        <x:v>0.06</x:v>
      </x:c>
      <x:c r="AK3970" s="42" t="n">
        <x:v>0.1</x:v>
      </x:c>
      <x:c r="AL3970" s="42" t="n">
        <x:v>0.13</x:v>
      </x:c>
      <x:c r="AM3970" t="n">
        <x:f>CHOOSE('假设'!$B$3,AJ3970,AK3970,AL3970)</x:f>
        <x:v>0.1</x:v>
      </x:c>
      <x:c r="AN3970" t="n">
        <x:v>0.7307692307692307</x:v>
      </x:c>
    </x:row>
    <x:row r="3971" ht="23" customHeight="1">
      <x:c r="A3971" s="11" t="str">
        <x:v>02162.HK</x:v>
      </x:c>
      <x:c r="B3971" s="11" t="str">
        <x:v>半年</x:v>
      </x:c>
      <x:c r="C3971" s="11" t="str">
        <x:v>CM512_CRSwNP</x:v>
      </x:c>
      <x:c r="D3971" s="11" t="str">
        <x:v>2028-12-31</x:v>
      </x:c>
      <x:c r="E3971" s="11" t="str">
        <x:v>CNY</x:v>
      </x:c>
      <x:c r="F3971" s="11" t="n">
        <x:v>1.730321697467488</x:v>
      </x:c>
      <x:c r="G3971" s="26" t="b">
        <x:v>1</x:v>
      </x:c>
      <x:c r="H3971" s="16" t="n">
        <x:v>0</x:v>
      </x:c>
      <x:c r="I3971" s="16" t="n">
        <x:v>0</x:v>
      </x:c>
      <x:c r="J3971" s="16" t="n">
        <x:v>0.36</x:v>
      </x:c>
      <x:c r="K3971" s="11" t="n">
        <x:f>CHOOSE('假设'!$B$3,H3971,I3971,J3971)</x:f>
        <x:v>0</x:v>
      </x:c>
      <x:c r="L3971" s="11" t="n">
        <x:f>K3971*'管线假设'!E859*'管线假设'!F859*'管线假设'!G859*IF(E3971="USD",'管线假设'!I859,1)-AM3971</x:f>
        <x:v>-0.13</x:v>
      </x:c>
      <x:c r="M3971" s="11" t="n">
        <x:f>'管线假设'!H859</x:f>
        <x:v>0.14</x:v>
      </x:c>
      <x:c r="N3971" s="11" t="n">
        <x:f>IF(G3971,L3971*AN3971/(1+M3971)^F3971,0)</x:f>
        <x:v>-0.10362860533986935</x:v>
      </x:c>
      <x:c r="AJ3971" s="42" t="n">
        <x:v>0.07</x:v>
      </x:c>
      <x:c r="AK3971" s="42" t="n">
        <x:v>0.13</x:v>
      </x:c>
      <x:c r="AL3971" s="42" t="n">
        <x:v>0.18</x:v>
      </x:c>
      <x:c r="AM3971" t="n">
        <x:f>CHOOSE('假设'!$B$3,AJ3971,AK3971,AL3971)</x:f>
        <x:v>0.13</x:v>
      </x:c>
      <x:c r="AN3971" t="n">
        <x:v>1</x:v>
      </x:c>
    </x:row>
    <x:row r="3972" ht="23" customHeight="1">
      <x:c r="A3972" s="11" t="str">
        <x:v>02162.HK</x:v>
      </x:c>
      <x:c r="B3972" s="11" t="str">
        <x:v>半年</x:v>
      </x:c>
      <x:c r="C3972" s="11" t="str">
        <x:v>CM512_CRSwNP</x:v>
      </x:c>
      <x:c r="D3972" s="11" t="str">
        <x:v>2029-12-31</x:v>
      </x:c>
      <x:c r="E3972" s="11" t="str">
        <x:v>CNY</x:v>
      </x:c>
      <x:c r="F3972" s="11" t="n">
        <x:v>2.729637234770705</x:v>
      </x:c>
      <x:c r="G3972" s="26" t="b">
        <x:v>1</x:v>
      </x:c>
      <x:c r="H3972" s="16" t="n">
        <x:v>0</x:v>
      </x:c>
      <x:c r="I3972" s="16" t="n">
        <x:v>0.21</x:v>
      </x:c>
      <x:c r="J3972" s="16" t="n">
        <x:v>1.08</x:v>
      </x:c>
      <x:c r="K3972" s="11" t="n">
        <x:f>CHOOSE('假设'!$B$3,H3972,I3972,J3972)</x:f>
        <x:v>0.21</x:v>
      </x:c>
      <x:c r="L3972" s="11" t="n">
        <x:f>K3972*'管线假设'!E859*'管线假设'!F859*'管线假设'!G859*IF(E3972="USD",'管线假设'!I859,1)-AM3972</x:f>
        <x:v>-0.04750000000000001</x:v>
      </x:c>
      <x:c r="M3972" s="11" t="n">
        <x:f>'管线假设'!H859</x:f>
        <x:v>0.14</x:v>
      </x:c>
      <x:c r="N3972" s="11" t="n">
        <x:f>IF(G3972,L3972*AN3972/(1+M3972)^F3972,0)</x:f>
        <x:v>-0.03321727550644478</x:v>
      </x:c>
      <x:c r="AJ3972" s="42" t="n">
        <x:v>0.04</x:v>
      </x:c>
      <x:c r="AK3972" s="42" t="n">
        <x:v>0.1</x:v>
      </x:c>
      <x:c r="AL3972" s="42" t="n">
        <x:v>0.12</x:v>
      </x:c>
      <x:c r="AM3972" t="n">
        <x:f>CHOOSE('假设'!$B$3,AJ3972,AK3972,AL3972)</x:f>
        <x:v>0.1</x:v>
      </x:c>
      <x:c r="AN3972" t="n">
        <x:v>1</x:v>
      </x:c>
    </x:row>
    <x:row r="3973" ht="23" customHeight="1">
      <x:c r="A3973" s="11" t="str">
        <x:v>02162.HK</x:v>
      </x:c>
      <x:c r="B3973" s="11" t="str">
        <x:v>半年</x:v>
      </x:c>
      <x:c r="C3973" s="11" t="str">
        <x:v>CM512_CRSwNP</x:v>
      </x:c>
      <x:c r="D3973" s="11" t="str">
        <x:v>2030-12-31</x:v>
      </x:c>
      <x:c r="E3973" s="11" t="str">
        <x:v>CNY</x:v>
      </x:c>
      <x:c r="F3973" s="11" t="n">
        <x:v>3.728952772073922</x:v>
      </x:c>
      <x:c r="G3973" s="26" t="b">
        <x:v>1</x:v>
      </x:c>
      <x:c r="H3973" s="16" t="n">
        <x:v>0.078</x:v>
      </x:c>
      <x:c r="I3973" s="16" t="n">
        <x:v>0.63</x:v>
      </x:c>
      <x:c r="J3973" s="16" t="n">
        <x:v>2.2800000000000002</x:v>
      </x:c>
      <x:c r="K3973" s="11" t="n">
        <x:f>CHOOSE('假设'!$B$3,H3973,I3973,J3973)</x:f>
        <x:v>0.63</x:v>
      </x:c>
      <x:c r="L3973" s="11" t="n">
        <x:f>K3973*'管线假设'!E859*'管线假设'!F859*'管线假设'!G859*IF(E3973="USD",'管线假设'!I859,1)-AM3973</x:f>
        <x:v>0.1175</x:v>
      </x:c>
      <x:c r="M3973" s="11" t="n">
        <x:f>'管线假设'!H859</x:f>
        <x:v>0.14</x:v>
      </x:c>
      <x:c r="N3973" s="11" t="n">
        <x:f>IF(G3973,L3973*AN3973/(1+M3973)^F3973,0)</x:f>
        <x:v>0.07208457852023405</x:v>
      </x:c>
      <x:c r="AJ3973" s="42" t="n">
        <x:v>0</x:v>
      </x:c>
      <x:c r="AK3973" s="42" t="n">
        <x:v>0.04</x:v>
      </x:c>
      <x:c r="AL3973" s="42" t="n">
        <x:v>0.04</x:v>
      </x:c>
      <x:c r="AM3973" t="n">
        <x:f>CHOOSE('假设'!$B$3,AJ3973,AK3973,AL3973)</x:f>
        <x:v>0.04</x:v>
      </x:c>
      <x:c r="AN3973" t="n">
        <x:v>1</x:v>
      </x:c>
    </x:row>
    <x:row r="3974" ht="23" customHeight="1">
      <x:c r="A3974" s="11" t="str">
        <x:v>02162.HK</x:v>
      </x:c>
      <x:c r="B3974" s="11" t="str">
        <x:v>半年</x:v>
      </x:c>
      <x:c r="C3974" s="11" t="str">
        <x:v>CM512_CRSwNP</x:v>
      </x:c>
      <x:c r="D3974" s="11" t="str">
        <x:v>2031-12-31</x:v>
      </x:c>
      <x:c r="E3974" s="11" t="str">
        <x:v>CNY</x:v>
      </x:c>
      <x:c r="F3974" s="11" t="n">
        <x:v>4.728268309377139</x:v>
      </x:c>
      <x:c r="G3974" s="26" t="b">
        <x:v>1</x:v>
      </x:c>
      <x:c r="H3974" s="16" t="n">
        <x:v>0.23399999999999999</x:v>
      </x:c>
      <x:c r="I3974" s="16" t="n">
        <x:v>1.33</x:v>
      </x:c>
      <x:c r="J3974" s="16" t="n">
        <x:v>3.9000000000000004</x:v>
      </x:c>
      <x:c r="K3974" s="11" t="n">
        <x:f>CHOOSE('假设'!$B$3,H3974,I3974,J3974)</x:f>
        <x:v>1.33</x:v>
      </x:c>
      <x:c r="L3974" s="11" t="n">
        <x:f>K3974*'管线假设'!E859*'管线假设'!F859*'管线假设'!G859*IF(E3974="USD",'管线假设'!I859,1)-AM3974</x:f>
        <x:v>0.3325</x:v>
      </x:c>
      <x:c r="M3974" s="11" t="n">
        <x:f>'管线假设'!H859</x:f>
        <x:v>0.14</x:v>
      </x:c>
      <x:c r="N3974" s="11" t="n">
        <x:f>IF(G3974,L3974*AN3974/(1+M3974)^F3974,0)</x:f>
        <x:v>0.178949399107474</x:v>
      </x:c>
      <x:c r="AJ3974" s="42" t="n">
        <x:v>0</x:v>
      </x:c>
      <x:c r="AK3974" s="42" t="n">
        <x:v>0</x:v>
      </x:c>
      <x:c r="AL3974" s="42" t="n">
        <x:v>0</x:v>
      </x:c>
      <x:c r="AM3974" t="n">
        <x:f>CHOOSE('假设'!$B$3,AJ3974,AK3974,AL3974)</x:f>
        <x:v>0</x:v>
      </x:c>
      <x:c r="AN3974" t="n">
        <x:v>1</x:v>
      </x:c>
    </x:row>
    <x:row r="3975" ht="23" customHeight="1">
      <x:c r="A3975" s="11" t="str">
        <x:v>02162.HK</x:v>
      </x:c>
      <x:c r="B3975" s="11" t="str">
        <x:v>半年</x:v>
      </x:c>
      <x:c r="C3975" s="11" t="str">
        <x:v>CM512_CRSwNP</x:v>
      </x:c>
      <x:c r="D3975" s="11" t="str">
        <x:v>2032-12-31</x:v>
      </x:c>
      <x:c r="E3975" s="11" t="str">
        <x:v>CNY</x:v>
      </x:c>
      <x:c r="F3975" s="11" t="n">
        <x:v>5.730321697467488</x:v>
      </x:c>
      <x:c r="G3975" s="26" t="b">
        <x:v>1</x:v>
      </x:c>
      <x:c r="H3975" s="16" t="n">
        <x:v>0.49400000000000005</x:v>
      </x:c>
      <x:c r="I3975" s="16" t="n">
        <x:v>2.275</x:v>
      </x:c>
      <x:c r="J3975" s="16" t="n">
        <x:v>5.1</x:v>
      </x:c>
      <x:c r="K3975" s="11" t="n">
        <x:f>CHOOSE('假设'!$B$3,H3975,I3975,J3975)</x:f>
        <x:v>2.275</x:v>
      </x:c>
      <x:c r="L3975" s="11" t="n">
        <x:f>K3975*'管线假设'!E859*'管线假设'!F859*'管线假设'!G859*IF(E3975="USD",'管线假设'!I859,1)-AM3975</x:f>
        <x:v>0.56875</x:v>
      </x:c>
      <x:c r="M3975" s="11" t="n">
        <x:f>'管线假设'!H859</x:f>
        <x:v>0.14</x:v>
      </x:c>
      <x:c r="N3975" s="11" t="n">
        <x:f>IF(G3975,L3975*AN3975/(1+M3975)^F3975,0)</x:f>
        <x:v>0.2684344835948813</x:v>
      </x:c>
      <x:c r="AJ3975" s="42" t="n">
        <x:v>0</x:v>
      </x:c>
      <x:c r="AK3975" s="42" t="n">
        <x:v>0</x:v>
      </x:c>
      <x:c r="AL3975" s="42" t="n">
        <x:v>0</x:v>
      </x:c>
      <x:c r="AM3975" t="n">
        <x:f>CHOOSE('假设'!$B$3,AJ3975,AK3975,AL3975)</x:f>
        <x:v>0</x:v>
      </x:c>
      <x:c r="AN3975" t="n">
        <x:v>1</x:v>
      </x:c>
    </x:row>
    <x:row r="3976" ht="23" customHeight="1">
      <x:c r="A3976" s="11" t="str">
        <x:v>02162.HK</x:v>
      </x:c>
      <x:c r="B3976" s="11" t="str">
        <x:v>半年</x:v>
      </x:c>
      <x:c r="C3976" s="11" t="str">
        <x:v>CM512_CRSwNP</x:v>
      </x:c>
      <x:c r="D3976" s="11" t="str">
        <x:v>2033-12-31</x:v>
      </x:c>
      <x:c r="E3976" s="11" t="str">
        <x:v>CNY</x:v>
      </x:c>
      <x:c r="F3976" s="11" t="n">
        <x:v>6.729637234770705</x:v>
      </x:c>
      <x:c r="G3976" s="26" t="b">
        <x:v>1</x:v>
      </x:c>
      <x:c r="H3976" s="16" t="n">
        <x:v>0.8450000000000001</x:v>
      </x:c>
      <x:c r="I3976" s="16" t="n">
        <x:v>2.975</x:v>
      </x:c>
      <x:c r="J3976" s="16" t="n">
        <x:v>6</x:v>
      </x:c>
      <x:c r="K3976" s="11" t="n">
        <x:f>CHOOSE('假设'!$B$3,H3976,I3976,J3976)</x:f>
        <x:v>2.975</x:v>
      </x:c>
      <x:c r="L3976" s="11" t="n">
        <x:f>K3976*'管线假设'!E859*'管线假设'!F859*'管线假设'!G859*IF(E3976="USD",'管线假设'!I859,1)-AM3976</x:f>
        <x:v>0.74375</x:v>
      </x:c>
      <x:c r="M3976" s="11" t="n">
        <x:f>'管线假设'!H859</x:f>
        <x:v>0.14</x:v>
      </x:c>
      <x:c r="N3976" s="11" t="n">
        <x:f>IF(G3976,L3976*AN3976/(1+M3976)^F3976,0)</x:f>
        <x:v>0.307948414440158</x:v>
      </x:c>
      <x:c r="AJ3976" s="42" t="n">
        <x:v>0</x:v>
      </x:c>
      <x:c r="AK3976" s="42" t="n">
        <x:v>0</x:v>
      </x:c>
      <x:c r="AL3976" s="42" t="n">
        <x:v>0</x:v>
      </x:c>
      <x:c r="AM3976" t="n">
        <x:f>CHOOSE('假设'!$B$3,AJ3976,AK3976,AL3976)</x:f>
        <x:v>0</x:v>
      </x:c>
      <x:c r="AN3976" t="n">
        <x:v>1</x:v>
      </x:c>
    </x:row>
    <x:row r="3977" ht="23" customHeight="1">
      <x:c r="A3977" s="11" t="str">
        <x:v>02162.HK</x:v>
      </x:c>
      <x:c r="B3977" s="11" t="str">
        <x:v>半年</x:v>
      </x:c>
      <x:c r="C3977" s="11" t="str">
        <x:v>CM512_CRSwNP</x:v>
      </x:c>
      <x:c r="D3977" s="11" t="str">
        <x:v>2034-12-31</x:v>
      </x:c>
      <x:c r="E3977" s="11" t="str">
        <x:v>CNY</x:v>
      </x:c>
      <x:c r="F3977" s="11" t="n">
        <x:v>7.728952772073922</x:v>
      </x:c>
      <x:c r="G3977" s="26" t="b">
        <x:v>1</x:v>
      </x:c>
      <x:c r="H3977" s="16" t="n">
        <x:v>1.105</x:v>
      </x:c>
      <x:c r="I3977" s="16" t="n">
        <x:v>3.5</x:v>
      </x:c>
      <x:c r="J3977" s="16" t="n">
        <x:v>6</x:v>
      </x:c>
      <x:c r="K3977" s="11" t="n">
        <x:f>CHOOSE('假设'!$B$3,H3977,I3977,J3977)</x:f>
        <x:v>3.5</x:v>
      </x:c>
      <x:c r="L3977" s="11" t="n">
        <x:f>K3977*'管线假设'!E859*'管线假设'!F859*'管线假设'!G859*IF(E3977="USD",'管线假设'!I859,1)-AM3977</x:f>
        <x:v>0.875</x:v>
      </x:c>
      <x:c r="M3977" s="11" t="n">
        <x:f>'管线假设'!H859</x:f>
        <x:v>0.14</x:v>
      </x:c>
      <x:c r="N3977" s="11" t="n">
        <x:f>IF(G3977,L3977*AN3977/(1+M3977)^F3977,0)</x:f>
        <x:v>0.3178287241602273</x:v>
      </x:c>
      <x:c r="AJ3977" s="42" t="n">
        <x:v>0</x:v>
      </x:c>
      <x:c r="AK3977" s="42" t="n">
        <x:v>0</x:v>
      </x:c>
      <x:c r="AL3977" s="42" t="n">
        <x:v>0</x:v>
      </x:c>
      <x:c r="AM3977" t="n">
        <x:f>CHOOSE('假设'!$B$3,AJ3977,AK3977,AL3977)</x:f>
        <x:v>0</x:v>
      </x:c>
      <x:c r="AN3977" t="n">
        <x:v>1</x:v>
      </x:c>
    </x:row>
    <x:row r="3978" ht="23" customHeight="1">
      <x:c r="A3978" s="11" t="str">
        <x:v>02162.HK</x:v>
      </x:c>
      <x:c r="B3978" s="11" t="str">
        <x:v>半年</x:v>
      </x:c>
      <x:c r="C3978" s="11" t="str">
        <x:v>CM512_CRSwNP</x:v>
      </x:c>
      <x:c r="D3978" s="11" t="str">
        <x:v>2035-12-31</x:v>
      </x:c>
      <x:c r="E3978" s="11" t="str">
        <x:v>CNY</x:v>
      </x:c>
      <x:c r="F3978" s="11" t="n">
        <x:v>8.728268309377139</x:v>
      </x:c>
      <x:c r="G3978" s="26" t="b">
        <x:v>1</x:v>
      </x:c>
      <x:c r="H3978" s="16" t="n">
        <x:v>1.3</x:v>
      </x:c>
      <x:c r="I3978" s="16" t="n">
        <x:v>3.5</x:v>
      </x:c>
      <x:c r="J3978" s="16" t="n">
        <x:v>5.699999999999999</x:v>
      </x:c>
      <x:c r="K3978" s="11" t="n">
        <x:f>CHOOSE('假设'!$B$3,H3978,I3978,J3978)</x:f>
        <x:v>3.5</x:v>
      </x:c>
      <x:c r="L3978" s="11" t="n">
        <x:f>K3978*'管线假设'!E859*'管线假设'!F859*'管线假设'!G859*IF(E3978="USD",'管线假设'!I859,1)-AM3978</x:f>
        <x:v>0.875</x:v>
      </x:c>
      <x:c r="M3978" s="11" t="n">
        <x:f>'管线假设'!H859</x:f>
        <x:v>0.14</x:v>
      </x:c>
      <x:c r="N3978" s="11" t="n">
        <x:f>IF(G3978,L3978*AN3978/(1+M3978)^F3978,0)</x:f>
        <x:v>0.27882213120732086</x:v>
      </x:c>
      <x:c r="AJ3978" s="42" t="n">
        <x:v>0</x:v>
      </x:c>
      <x:c r="AK3978" s="42" t="n">
        <x:v>0</x:v>
      </x:c>
      <x:c r="AL3978" s="42" t="n">
        <x:v>0</x:v>
      </x:c>
      <x:c r="AM3978" t="n">
        <x:f>CHOOSE('假设'!$B$3,AJ3978,AK3978,AL3978)</x:f>
        <x:v>0</x:v>
      </x:c>
      <x:c r="AN3978" t="n">
        <x:v>1</x:v>
      </x:c>
    </x:row>
    <x:row r="3979" ht="23" customHeight="1">
      <x:c r="A3979" s="11" t="str">
        <x:v>02162.HK</x:v>
      </x:c>
      <x:c r="B3979" s="11" t="str">
        <x:v>半年</x:v>
      </x:c>
      <x:c r="C3979" s="11" t="str">
        <x:v>CM512_CRSwNP</x:v>
      </x:c>
      <x:c r="D3979" s="11" t="str">
        <x:v>2036-12-31</x:v>
      </x:c>
      <x:c r="E3979" s="11" t="str">
        <x:v>CNY</x:v>
      </x:c>
      <x:c r="F3979" s="11" t="n">
        <x:v>9.730321697467488</x:v>
      </x:c>
      <x:c r="G3979" s="26" t="b">
        <x:v>1</x:v>
      </x:c>
      <x:c r="H3979" s="16" t="n">
        <x:v>1.3</x:v>
      </x:c>
      <x:c r="I3979" s="16" t="n">
        <x:v>3.3249999999999997</x:v>
      </x:c>
      <x:c r="J3979" s="16" t="n">
        <x:v>5.4</x:v>
      </x:c>
      <x:c r="K3979" s="11" t="n">
        <x:f>CHOOSE('假设'!$B$3,H3979,I3979,J3979)</x:f>
        <x:v>3.3249999999999997</x:v>
      </x:c>
      <x:c r="L3979" s="11" t="n">
        <x:f>K3979*'管线假设'!E859*'管线假设'!F859*'管线假设'!G859*IF(E3979="USD",'管线假设'!I859,1)-AM3979</x:f>
        <x:v>0.8312499999999999</x:v>
      </x:c>
      <x:c r="M3979" s="11" t="n">
        <x:f>'管线假设'!H859</x:f>
        <x:v>0.14</x:v>
      </x:c>
      <x:c r="N3979" s="11" t="n">
        <x:f>IF(G3979,L3979*AN3979/(1+M3979)^F3979,0)</x:f>
        <x:v>0.2322892697345413</x:v>
      </x:c>
      <x:c r="AJ3979" s="42" t="n">
        <x:v>0</x:v>
      </x:c>
      <x:c r="AK3979" s="42" t="n">
        <x:v>0</x:v>
      </x:c>
      <x:c r="AL3979" s="42" t="n">
        <x:v>0</x:v>
      </x:c>
      <x:c r="AM3979" t="n">
        <x:f>CHOOSE('假设'!$B$3,AJ3979,AK3979,AL3979)</x:f>
        <x:v>0</x:v>
      </x:c>
      <x:c r="AN3979" t="n">
        <x:v>1</x:v>
      </x:c>
    </x:row>
    <x:row r="3980" ht="23" customHeight="1">
      <x:c r="A3980" s="11" t="str">
        <x:v>02162.HK</x:v>
      </x:c>
      <x:c r="B3980" s="11" t="str">
        <x:v>半年</x:v>
      </x:c>
      <x:c r="C3980" s="11" t="str">
        <x:v>CM512_CRSwNP</x:v>
      </x:c>
      <x:c r="D3980" s="11" t="str">
        <x:v>2037-12-31</x:v>
      </x:c>
      <x:c r="E3980" s="11" t="str">
        <x:v>CNY</x:v>
      </x:c>
      <x:c r="F3980" s="11" t="n">
        <x:v>10.729637234770705</x:v>
      </x:c>
      <x:c r="G3980" s="26" t="b">
        <x:v>1</x:v>
      </x:c>
      <x:c r="H3980" s="16" t="n">
        <x:v>1.2349999999999999</x:v>
      </x:c>
      <x:c r="I3980" s="16" t="n">
        <x:v>3.15</x:v>
      </x:c>
      <x:c r="J3980" s="16" t="n">
        <x:v>4.800000000000001</x:v>
      </x:c>
      <x:c r="K3980" s="11" t="n">
        <x:f>CHOOSE('假设'!$B$3,H3980,I3980,J3980)</x:f>
        <x:v>3.15</x:v>
      </x:c>
      <x:c r="L3980" s="11" t="n">
        <x:f>K3980*'管线假设'!E859*'管线假设'!F859*'管线假设'!G859*IF(E3980="USD",'管线假设'!I859,1)-AM3980</x:f>
        <x:v>0.7875</x:v>
      </x:c>
      <x:c r="M3980" s="11" t="n">
        <x:f>'管线假设'!H859</x:f>
        <x:v>0.14</x:v>
      </x:c>
      <x:c r="N3980" s="11" t="n">
        <x:f>IF(G3980,L3980*AN3980/(1+M3980)^F3980,0)</x:f>
        <x:v>0.1930554874984646</x:v>
      </x:c>
      <x:c r="AJ3980" s="42" t="n">
        <x:v>0</x:v>
      </x:c>
      <x:c r="AK3980" s="42" t="n">
        <x:v>0</x:v>
      </x:c>
      <x:c r="AL3980" s="42" t="n">
        <x:v>0</x:v>
      </x:c>
      <x:c r="AM3980" t="n">
        <x:f>CHOOSE('假设'!$B$3,AJ3980,AK3980,AL3980)</x:f>
        <x:v>0</x:v>
      </x:c>
      <x:c r="AN3980" t="n">
        <x:v>1</x:v>
      </x:c>
    </x:row>
    <x:row r="3981" ht="23" customHeight="1">
      <x:c r="A3981" s="11" t="str">
        <x:v>02162.HK</x:v>
      </x:c>
      <x:c r="B3981" s="11" t="str">
        <x:v>半年</x:v>
      </x:c>
      <x:c r="C3981" s="11" t="str">
        <x:v>CM512_CRSwNP</x:v>
      </x:c>
      <x:c r="D3981" s="11" t="str">
        <x:v>2038-12-31</x:v>
      </x:c>
      <x:c r="E3981" s="11" t="str">
        <x:v>CNY</x:v>
      </x:c>
      <x:c r="F3981" s="11" t="n">
        <x:v>11.728952772073923</x:v>
      </x:c>
      <x:c r="G3981" s="26" t="b">
        <x:v>1</x:v>
      </x:c>
      <x:c r="H3981" s="16" t="n">
        <x:v>1.1700000000000002</x:v>
      </x:c>
      <x:c r="I3981" s="16" t="n">
        <x:v>2.8000000000000003</x:v>
      </x:c>
      <x:c r="J3981" s="16" t="n">
        <x:v>3.9000000000000004</x:v>
      </x:c>
      <x:c r="K3981" s="11" t="n">
        <x:f>CHOOSE('假设'!$B$3,H3981,I3981,J3981)</x:f>
        <x:v>2.8000000000000003</x:v>
      </x:c>
      <x:c r="L3981" s="11" t="n">
        <x:f>K3981*'管线假设'!E859*'管线假设'!F859*'管线假设'!G859*IF(E3981="USD",'管线假设'!I859,1)-AM3981</x:f>
        <x:v>0.7000000000000001</x:v>
      </x:c>
      <x:c r="M3981" s="11" t="n">
        <x:f>'管线假设'!H859</x:f>
        <x:v>0.14</x:v>
      </x:c>
      <x:c r="N3981" s="11" t="n">
        <x:f>IF(G3981,L3981*AN3981/(1+M3981)^F3981,0)</x:f>
        <x:v>0.15054409532560065</x:v>
      </x:c>
      <x:c r="AJ3981" s="42" t="n">
        <x:v>0</x:v>
      </x:c>
      <x:c r="AK3981" s="42" t="n">
        <x:v>0</x:v>
      </x:c>
      <x:c r="AL3981" s="42" t="n">
        <x:v>0</x:v>
      </x:c>
      <x:c r="AM3981" t="n">
        <x:f>CHOOSE('假设'!$B$3,AJ3981,AK3981,AL3981)</x:f>
        <x:v>0</x:v>
      </x:c>
      <x:c r="AN3981" t="n">
        <x:v>1</x:v>
      </x:c>
    </x:row>
    <x:row r="3982" ht="23" customHeight="1">
      <x:c r="A3982" s="11" t="str">
        <x:v>02162.HK</x:v>
      </x:c>
      <x:c r="B3982" s="11" t="str">
        <x:v>半年</x:v>
      </x:c>
      <x:c r="C3982" s="11" t="str">
        <x:v>CM512_CRSwNP</x:v>
      </x:c>
      <x:c r="D3982" s="11" t="str">
        <x:v>2039-12-31</x:v>
      </x:c>
      <x:c r="E3982" s="11" t="str">
        <x:v>CNY</x:v>
      </x:c>
      <x:c r="F3982" s="11" t="n">
        <x:v>12.728268309377139</x:v>
      </x:c>
      <x:c r="G3982" s="26" t="b">
        <x:v>1</x:v>
      </x:c>
      <x:c r="H3982" s="16" t="n">
        <x:v>1.04</x:v>
      </x:c>
      <x:c r="I3982" s="16" t="n">
        <x:v>2.275</x:v>
      </x:c>
      <x:c r="J3982" s="16" t="n">
        <x:v>3</x:v>
      </x:c>
      <x:c r="K3982" s="11" t="n">
        <x:f>CHOOSE('假设'!$B$3,H3982,I3982,J3982)</x:f>
        <x:v>2.275</x:v>
      </x:c>
      <x:c r="L3982" s="11" t="n">
        <x:f>K3982*'管线假设'!E859*'管线假设'!F859*'管线假设'!G859*IF(E3982="USD",'管线假设'!I859,1)-AM3982</x:f>
        <x:v>0.56875</x:v>
      </x:c>
      <x:c r="M3982" s="11" t="n">
        <x:f>'管线假设'!H859</x:f>
        <x:v>0.14</x:v>
      </x:c>
      <x:c r="N3982" s="11" t="n">
        <x:f>IF(G3982,L3982*AN3982/(1+M3982)^F3982,0)</x:f>
        <x:v>0.10730530510841563</x:v>
      </x:c>
      <x:c r="AJ3982" s="42" t="n">
        <x:v>0</x:v>
      </x:c>
      <x:c r="AK3982" s="42" t="n">
        <x:v>0</x:v>
      </x:c>
      <x:c r="AL3982" s="42" t="n">
        <x:v>0</x:v>
      </x:c>
      <x:c r="AM3982" t="n">
        <x:f>CHOOSE('假设'!$B$3,AJ3982,AK3982,AL3982)</x:f>
        <x:v>0</x:v>
      </x:c>
      <x:c r="AN3982" t="n">
        <x:v>1</x:v>
      </x:c>
    </x:row>
    <x:row r="3983" ht="23" customHeight="1">
      <x:c r="A3983" s="11" t="str">
        <x:v>02162.HK</x:v>
      </x:c>
      <x:c r="B3983" s="11" t="str">
        <x:v>半年</x:v>
      </x:c>
      <x:c r="C3983" s="11" t="str">
        <x:v>CM512_CRSwNP</x:v>
      </x:c>
      <x:c r="D3983" s="11" t="str">
        <x:v>2040-12-31</x:v>
      </x:c>
      <x:c r="E3983" s="11" t="str">
        <x:v>CNY</x:v>
      </x:c>
      <x:c r="F3983" s="11" t="n">
        <x:v>13.730321697467488</x:v>
      </x:c>
      <x:c r="G3983" s="26" t="b">
        <x:v>1</x:v>
      </x:c>
      <x:c r="H3983" s="16" t="n">
        <x:v>0.8450000000000001</x:v>
      </x:c>
      <x:c r="I3983" s="16" t="n">
        <x:v>1.75</x:v>
      </x:c>
      <x:c r="J3983" s="16" t="n">
        <x:v>2.0999999999999996</x:v>
      </x:c>
      <x:c r="K3983" s="11" t="n">
        <x:f>CHOOSE('假设'!$B$3,H3983,I3983,J3983)</x:f>
        <x:v>1.75</x:v>
      </x:c>
      <x:c r="L3983" s="11" t="n">
        <x:f>K3983*'管线假设'!E859*'管线假设'!F859*'管线假设'!G859*IF(E3983="USD",'管线假设'!I859,1)-AM3983</x:f>
        <x:v>0.4375</x:v>
      </x:c>
      <x:c r="M3983" s="11" t="n">
        <x:f>'管线假设'!H859</x:f>
        <x:v>0.14</x:v>
      </x:c>
      <x:c r="N3983" s="11" t="n">
        <x:f>IF(G3983,L3983*AN3983/(1+M3983)^F3983,0)</x:f>
        <x:v>0.07238626066028736</x:v>
      </x:c>
      <x:c r="AJ3983" s="42" t="n">
        <x:v>0</x:v>
      </x:c>
      <x:c r="AK3983" s="42" t="n">
        <x:v>0</x:v>
      </x:c>
      <x:c r="AL3983" s="42" t="n">
        <x:v>0</x:v>
      </x:c>
      <x:c r="AM3983" t="n">
        <x:f>CHOOSE('假设'!$B$3,AJ3983,AK3983,AL3983)</x:f>
        <x:v>0</x:v>
      </x:c>
      <x:c r="AN3983" t="n">
        <x:v>1</x:v>
      </x:c>
    </x:row>
    <x:row r="3984" ht="23" customHeight="1">
      <x:c r="A3984" s="11" t="str">
        <x:v>02162.HK</x:v>
      </x:c>
      <x:c r="B3984" s="11" t="str">
        <x:v>半年</x:v>
      </x:c>
      <x:c r="C3984" s="11" t="str">
        <x:v>CM512_CRSwNP</x:v>
      </x:c>
      <x:c r="D3984" s="11" t="str">
        <x:v>2041-12-31</x:v>
      </x:c>
      <x:c r="E3984" s="11" t="str">
        <x:v>CNY</x:v>
      </x:c>
      <x:c r="F3984" s="11" t="n">
        <x:v>14.729637234770705</x:v>
      </x:c>
      <x:c r="G3984" s="26" t="b">
        <x:v>1</x:v>
      </x:c>
      <x:c r="H3984" s="16" t="n">
        <x:v>0.65</x:v>
      </x:c>
      <x:c r="I3984" s="16" t="n">
        <x:v>1.2249999999999999</x:v>
      </x:c>
      <x:c r="J3984" s="16" t="n">
        <x:v>1.2000000000000002</x:v>
      </x:c>
      <x:c r="K3984" s="11" t="n">
        <x:f>CHOOSE('假设'!$B$3,H3984,I3984,J3984)</x:f>
        <x:v>1.2249999999999999</x:v>
      </x:c>
      <x:c r="L3984" s="11" t="n">
        <x:f>K3984*'管线假设'!E859*'管线假设'!F859*'管线假设'!G859*IF(E3984="USD",'管线假设'!I859,1)-AM3984</x:f>
        <x:v>0.30624999999999997</x:v>
      </x:c>
      <x:c r="M3984" s="11" t="n">
        <x:f>'管线假设'!H859</x:f>
        <x:v>0.14</x:v>
      </x:c>
      <x:c r="N3984" s="11" t="n">
        <x:f>IF(G3984,L3984*AN3984/(1+M3984)^F3984,0)</x:f>
        <x:v>0.04445169033897203</x:v>
      </x:c>
      <x:c r="AJ3984" s="42" t="n">
        <x:v>0</x:v>
      </x:c>
      <x:c r="AK3984" s="42" t="n">
        <x:v>0</x:v>
      </x:c>
      <x:c r="AL3984" s="42" t="n">
        <x:v>0</x:v>
      </x:c>
      <x:c r="AM3984" t="n">
        <x:f>CHOOSE('假设'!$B$3,AJ3984,AK3984,AL3984)</x:f>
        <x:v>0</x:v>
      </x:c>
      <x:c r="AN3984" t="n">
        <x:v>1</x:v>
      </x:c>
    </x:row>
    <x:row r="3985" ht="23" customHeight="1">
      <x:c r="A3985" s="11" t="str">
        <x:v>02162.HK</x:v>
      </x:c>
      <x:c r="B3985" s="11" t="str">
        <x:v>半年</x:v>
      </x:c>
      <x:c r="C3985" s="11" t="str">
        <x:v>CM512_CRSwNP</x:v>
      </x:c>
      <x:c r="D3985" s="11" t="str">
        <x:v>2042-12-31</x:v>
      </x:c>
      <x:c r="E3985" s="11" t="str">
        <x:v>CNY</x:v>
      </x:c>
      <x:c r="F3985" s="11" t="n">
        <x:v>15.728952772073923</x:v>
      </x:c>
      <x:c r="G3985" s="26" t="b">
        <x:v>1</x:v>
      </x:c>
      <x:c r="H3985" s="16" t="n">
        <x:v>0.45499999999999996</x:v>
      </x:c>
      <x:c r="I3985" s="16" t="n">
        <x:v>0.7000000000000001</x:v>
      </x:c>
      <x:c r="J3985" s="16" t="n">
        <x:v>0.72</x:v>
      </x:c>
      <x:c r="K3985" s="11" t="n">
        <x:f>CHOOSE('假设'!$B$3,H3985,I3985,J3985)</x:f>
        <x:v>0.7000000000000001</x:v>
      </x:c>
      <x:c r="L3985" s="11" t="n">
        <x:f>K3985*'管线假设'!E859*'管线假设'!F859*'管线假设'!G859*IF(E3985="USD",'管线假设'!I859,1)-AM3985</x:f>
        <x:v>0.17500000000000002</x:v>
      </x:c>
      <x:c r="M3985" s="11" t="n">
        <x:f>'管线假设'!H859</x:f>
        <x:v>0.14</x:v>
      </x:c>
      <x:c r="N3985" s="11" t="n">
        <x:f>IF(G3985,L3985*AN3985/(1+M3985)^F3985,0)</x:f>
        <x:v>0.022283547429206466</x:v>
      </x:c>
      <x:c r="AJ3985" s="42" t="n">
        <x:v>0</x:v>
      </x:c>
      <x:c r="AK3985" s="42" t="n">
        <x:v>0</x:v>
      </x:c>
      <x:c r="AL3985" s="42" t="n">
        <x:v>0</x:v>
      </x:c>
      <x:c r="AM3985" t="n">
        <x:f>CHOOSE('假设'!$B$3,AJ3985,AK3985,AL3985)</x:f>
        <x:v>0</x:v>
      </x:c>
      <x:c r="AN3985" t="n">
        <x:v>1</x:v>
      </x:c>
    </x:row>
    <x:row r="3986" ht="23" customHeight="1">
      <x:c r="A3986" s="11" t="str">
        <x:v>02162.HK</x:v>
      </x:c>
      <x:c r="B3986" s="11" t="str">
        <x:v>半年</x:v>
      </x:c>
      <x:c r="C3986" s="11" t="str">
        <x:v>CM512_CRSwNP</x:v>
      </x:c>
      <x:c r="D3986" s="11" t="str">
        <x:v>2043-12-31</x:v>
      </x:c>
      <x:c r="E3986" s="11" t="str">
        <x:v>CNY</x:v>
      </x:c>
      <x:c r="F3986" s="11" t="n">
        <x:v>16.72826830937714</x:v>
      </x:c>
      <x:c r="G3986" s="26" t="b">
        <x:v>1</x:v>
      </x:c>
      <x:c r="H3986" s="16" t="n">
        <x:v>0.26</x:v>
      </x:c>
      <x:c r="I3986" s="16" t="n">
        <x:v>0.42</x:v>
      </x:c>
      <x:c r="J3986" s="16" t="n">
        <x:v>0.42000000000000004</x:v>
      </x:c>
      <x:c r="K3986" s="11" t="n">
        <x:f>CHOOSE('假设'!$B$3,H3986,I3986,J3986)</x:f>
        <x:v>0.42</x:v>
      </x:c>
      <x:c r="L3986" s="11" t="n">
        <x:f>K3986*'管线假设'!E859*'管线假设'!F859*'管线假设'!G859*IF(E3986="USD",'管线假设'!I859,1)-AM3986</x:f>
        <x:v>0.105</x:v>
      </x:c>
      <x:c r="M3986" s="11" t="n">
        <x:f>'管线假设'!H859</x:f>
        <x:v>0.14</x:v>
      </x:c>
      <x:c r="N3986" s="11" t="n">
        <x:f>IF(G3986,L3986*AN3986/(1+M3986)^F3986,0)</x:f>
        <x:v>0.011729234734501577</x:v>
      </x:c>
      <x:c r="AJ3986" s="42" t="n">
        <x:v>0</x:v>
      </x:c>
      <x:c r="AK3986" s="42" t="n">
        <x:v>0</x:v>
      </x:c>
      <x:c r="AL3986" s="42" t="n">
        <x:v>0</x:v>
      </x:c>
      <x:c r="AM3986" t="n">
        <x:f>CHOOSE('假设'!$B$3,AJ3986,AK3986,AL3986)</x:f>
        <x:v>0</x:v>
      </x:c>
      <x:c r="AN3986" t="n">
        <x:v>1</x:v>
      </x:c>
    </x:row>
    <x:row r="3987" ht="23" customHeight="1">
      <x:c r="A3987" s="11" t="str">
        <x:v>02162.HK</x:v>
      </x:c>
      <x:c r="B3987" s="11" t="str">
        <x:v>半年</x:v>
      </x:c>
      <x:c r="C3987" s="11" t="str">
        <x:v>CM512_CRSwNP</x:v>
      </x:c>
      <x:c r="D3987" s="11" t="str">
        <x:v>2044-12-31</x:v>
      </x:c>
      <x:c r="E3987" s="11" t="str">
        <x:v>CNY</x:v>
      </x:c>
      <x:c r="F3987" s="11" t="n">
        <x:v>17.730321697467488</x:v>
      </x:c>
      <x:c r="G3987" s="26" t="b">
        <x:v>1</x:v>
      </x:c>
      <x:c r="H3987" s="16" t="n">
        <x:v>0.156</x:v>
      </x:c>
      <x:c r="I3987" s="16" t="n">
        <x:v>0.24500000000000002</x:v>
      </x:c>
      <x:c r="J3987" s="16" t="n">
        <x:v>0.18</x:v>
      </x:c>
      <x:c r="K3987" s="11" t="n">
        <x:f>CHOOSE('假设'!$B$3,H3987,I3987,J3987)</x:f>
        <x:v>0.24500000000000002</x:v>
      </x:c>
      <x:c r="L3987" s="11" t="n">
        <x:f>K3987*'管线假设'!E859*'管线假设'!F859*'管线假设'!G859*IF(E3987="USD",'管线假设'!I859,1)-AM3987</x:f>
        <x:v>0.061250000000000006</x:v>
      </x:c>
      <x:c r="M3987" s="11" t="n">
        <x:f>'管线假设'!H859</x:f>
        <x:v>0.14</x:v>
      </x:c>
      <x:c r="N3987" s="11" t="n">
        <x:f>IF(G3987,L3987*AN3987/(1+M3987)^F3987,0)</x:f>
        <x:v>0.006000186820534729</x:v>
      </x:c>
      <x:c r="AJ3987" s="42" t="n">
        <x:v>0</x:v>
      </x:c>
      <x:c r="AK3987" s="42" t="n">
        <x:v>0</x:v>
      </x:c>
      <x:c r="AL3987" s="42" t="n">
        <x:v>0</x:v>
      </x:c>
      <x:c r="AM3987" t="n">
        <x:f>CHOOSE('假设'!$B$3,AJ3987,AK3987,AL3987)</x:f>
        <x:v>0</x:v>
      </x:c>
      <x:c r="AN3987" t="n">
        <x:v>1</x:v>
      </x:c>
    </x:row>
    <x:row r="3988" ht="23" customHeight="1">
      <x:c r="A3988" s="11" t="str">
        <x:v>02162.HK</x:v>
      </x:c>
      <x:c r="B3988" s="11" t="str">
        <x:v>半年</x:v>
      </x:c>
      <x:c r="C3988" s="11" t="str">
        <x:v>CM512_other</x:v>
      </x:c>
      <x:c r="D3988" s="11" t="str">
        <x:v>2026-12-31</x:v>
      </x:c>
      <x:c r="E3988" s="11" t="str">
        <x:v>CNY</x:v>
      </x:c>
      <x:c r="F3988" s="11" t="n">
        <x:v>-0.27104722792607805</x:v>
      </x:c>
      <x:c r="G3988" s="26" t="b">
        <x:v>0</x:v>
      </x:c>
      <x:c r="H3988" s="16" t="n">
        <x:v>0</x:v>
      </x:c>
      <x:c r="I3988" s="16" t="n">
        <x:v>0</x:v>
      </x:c>
      <x:c r="J3988" s="16" t="n">
        <x:v>0</x:v>
      </x:c>
      <x:c r="K3988" s="11" t="n">
        <x:f>CHOOSE('假设'!$B$3,H3988,I3988,J3988)</x:f>
        <x:v>0</x:v>
      </x:c>
      <x:c r="L3988" s="11" t="n">
        <x:f>K3988*'管线假设'!E863*'管线假设'!F863*'管线假设'!G863*IF(E3988="USD",'管线假设'!I863,1)-AM3988</x:f>
        <x:v>-0.1</x:v>
      </x:c>
      <x:c r="M3988" s="11" t="n">
        <x:f>'管线假设'!H863</x:f>
        <x:v>0.14</x:v>
      </x:c>
      <x:c r="N3988" s="11" t="n">
        <x:f>IF(G3988,L3988*AN3988/(1+M3988)^F3988,0)</x:f>
        <x:v>0</x:v>
      </x:c>
      <x:c r="AJ3988" s="42" t="n">
        <x:v>0.05</x:v>
      </x:c>
      <x:c r="AK3988" s="42" t="n">
        <x:v>0.1</x:v>
      </x:c>
      <x:c r="AL3988" s="42" t="n">
        <x:v>0.15</x:v>
      </x:c>
      <x:c r="AM3988" t="n">
        <x:f>CHOOSE('假设'!$B$3,AJ3988,AK3988,AL3988)</x:f>
        <x:v>0.1</x:v>
      </x:c>
      <x:c r="AN3988" t="n">
        <x:v>0</x:v>
      </x:c>
    </x:row>
    <x:row r="3989" ht="23" customHeight="1">
      <x:c r="A3989" s="11" t="str">
        <x:v>02162.HK</x:v>
      </x:c>
      <x:c r="B3989" s="11" t="str">
        <x:v>半年</x:v>
      </x:c>
      <x:c r="C3989" s="11" t="str">
        <x:v>CM512_other</x:v>
      </x:c>
      <x:c r="D3989" s="11" t="str">
        <x:v>2027-12-31</x:v>
      </x:c>
      <x:c r="E3989" s="11" t="str">
        <x:v>CNY</x:v>
      </x:c>
      <x:c r="F3989" s="11" t="n">
        <x:v>0.7282683093771389</x:v>
      </x:c>
      <x:c r="G3989" s="26" t="b">
        <x:v>1</x:v>
      </x:c>
      <x:c r="H3989" s="16" t="n">
        <x:v>0</x:v>
      </x:c>
      <x:c r="I3989" s="16" t="n">
        <x:v>0</x:v>
      </x:c>
      <x:c r="J3989" s="16" t="n">
        <x:v>0</x:v>
      </x:c>
      <x:c r="K3989" s="11" t="n">
        <x:f>CHOOSE('假设'!$B$3,H3989,I3989,J3989)</x:f>
        <x:v>0</x:v>
      </x:c>
      <x:c r="L3989" s="11" t="n">
        <x:f>K3989*'管线假设'!E863*'管线假设'!F863*'管线假设'!G863*IF(E3989="USD",'管线假设'!I863,1)-AM3989</x:f>
        <x:v>-0.18</x:v>
      </x:c>
      <x:c r="M3989" s="11" t="n">
        <x:f>'管线假设'!H863</x:f>
        <x:v>0.14</x:v>
      </x:c>
      <x:c r="N3989" s="11" t="n">
        <x:f>IF(G3989,L3989*AN3989/(1+M3989)^F3989,0)</x:f>
        <x:v>-0.11956684183455688</x:v>
      </x:c>
      <x:c r="AJ3989" s="42" t="n">
        <x:v>0.06</x:v>
      </x:c>
      <x:c r="AK3989" s="42" t="n">
        <x:v>0.18</x:v>
      </x:c>
      <x:c r="AL3989" s="42" t="n">
        <x:v>0.24</x:v>
      </x:c>
      <x:c r="AM3989" t="n">
        <x:f>CHOOSE('假设'!$B$3,AJ3989,AK3989,AL3989)</x:f>
        <x:v>0.18</x:v>
      </x:c>
      <x:c r="AN3989" t="n">
        <x:v>0.7307692307692307</x:v>
      </x:c>
    </x:row>
    <x:row r="3990" ht="23" customHeight="1">
      <x:c r="A3990" s="11" t="str">
        <x:v>02162.HK</x:v>
      </x:c>
      <x:c r="B3990" s="11" t="str">
        <x:v>半年</x:v>
      </x:c>
      <x:c r="C3990" s="11" t="str">
        <x:v>CM512_other</x:v>
      </x:c>
      <x:c r="D3990" s="11" t="str">
        <x:v>2028-12-31</x:v>
      </x:c>
      <x:c r="E3990" s="11" t="str">
        <x:v>CNY</x:v>
      </x:c>
      <x:c r="F3990" s="11" t="n">
        <x:v>1.730321697467488</x:v>
      </x:c>
      <x:c r="G3990" s="26" t="b">
        <x:v>1</x:v>
      </x:c>
      <x:c r="H3990" s="16" t="n">
        <x:v>0</x:v>
      </x:c>
      <x:c r="I3990" s="16" t="n">
        <x:v>0</x:v>
      </x:c>
      <x:c r="J3990" s="16" t="n">
        <x:v>0</x:v>
      </x:c>
      <x:c r="K3990" s="11" t="n">
        <x:f>CHOOSE('假设'!$B$3,H3990,I3990,J3990)</x:f>
        <x:v>0</x:v>
      </x:c>
      <x:c r="L3990" s="11" t="n">
        <x:f>K3990*'管线假设'!E863*'管线假设'!F863*'管线假设'!G863*IF(E3990="USD",'管线假设'!I863,1)-AM3990</x:f>
        <x:v>-0.24</x:v>
      </x:c>
      <x:c r="M3990" s="11" t="n">
        <x:f>'管线假设'!H863</x:f>
        <x:v>0.14</x:v>
      </x:c>
      <x:c r="N3990" s="11" t="n">
        <x:f>IF(G3990,L3990*AN3990/(1+M3990)^F3990,0)</x:f>
        <x:v>-0.1913143483197588</x:v>
      </x:c>
      <x:c r="AJ3990" s="42" t="n">
        <x:v>0.05</x:v>
      </x:c>
      <x:c r="AK3990" s="42" t="n">
        <x:v>0.24</x:v>
      </x:c>
      <x:c r="AL3990" s="42" t="n">
        <x:v>0.35</x:v>
      </x:c>
      <x:c r="AM3990" t="n">
        <x:f>CHOOSE('假设'!$B$3,AJ3990,AK3990,AL3990)</x:f>
        <x:v>0.24</x:v>
      </x:c>
      <x:c r="AN3990" t="n">
        <x:v>1</x:v>
      </x:c>
    </x:row>
    <x:row r="3991" ht="23" customHeight="1">
      <x:c r="A3991" s="11" t="str">
        <x:v>02162.HK</x:v>
      </x:c>
      <x:c r="B3991" s="11" t="str">
        <x:v>半年</x:v>
      </x:c>
      <x:c r="C3991" s="11" t="str">
        <x:v>CM512_other</x:v>
      </x:c>
      <x:c r="D3991" s="11" t="str">
        <x:v>2029-12-31</x:v>
      </x:c>
      <x:c r="E3991" s="11" t="str">
        <x:v>CNY</x:v>
      </x:c>
      <x:c r="F3991" s="11" t="n">
        <x:v>2.729637234770705</x:v>
      </x:c>
      <x:c r="G3991" s="26" t="b">
        <x:v>1</x:v>
      </x:c>
      <x:c r="H3991" s="16" t="n">
        <x:v>0</x:v>
      </x:c>
      <x:c r="I3991" s="16" t="n">
        <x:v>0</x:v>
      </x:c>
      <x:c r="J3991" s="16" t="n">
        <x:v>0.48</x:v>
      </x:c>
      <x:c r="K3991" s="11" t="n">
        <x:f>CHOOSE('假设'!$B$3,H3991,I3991,J3991)</x:f>
        <x:v>0</x:v>
      </x:c>
      <x:c r="L3991" s="11" t="n">
        <x:f>K3991*'管线假设'!E863*'管线假设'!F863*'管线假设'!G863*IF(E3991="USD",'管线假设'!I863,1)-AM3991</x:f>
        <x:v>-0.22</x:v>
      </x:c>
      <x:c r="M3991" s="11" t="n">
        <x:f>'管线假设'!H863</x:f>
        <x:v>0.14</x:v>
      </x:c>
      <x:c r="N3991" s="11" t="n">
        <x:f>IF(G3991,L3991*AN3991/(1+M3991)^F3991,0)</x:f>
        <x:v>-0.15384843392458633</x:v>
      </x:c>
      <x:c r="AJ3991" s="42" t="n">
        <x:v>0</x:v>
      </x:c>
      <x:c r="AK3991" s="42" t="n">
        <x:v>0.22</x:v>
      </x:c>
      <x:c r="AL3991" s="42" t="n">
        <x:v>0.3</x:v>
      </x:c>
      <x:c r="AM3991" t="n">
        <x:f>CHOOSE('假设'!$B$3,AJ3991,AK3991,AL3991)</x:f>
        <x:v>0.22</x:v>
      </x:c>
      <x:c r="AN3991" t="n">
        <x:v>1</x:v>
      </x:c>
    </x:row>
    <x:row r="3992" ht="23" customHeight="1">
      <x:c r="A3992" s="11" t="str">
        <x:v>02162.HK</x:v>
      </x:c>
      <x:c r="B3992" s="11" t="str">
        <x:v>半年</x:v>
      </x:c>
      <x:c r="C3992" s="11" t="str">
        <x:v>CM512_other</x:v>
      </x:c>
      <x:c r="D3992" s="11" t="str">
        <x:v>2030-12-31</x:v>
      </x:c>
      <x:c r="E3992" s="11" t="str">
        <x:v>CNY</x:v>
      </x:c>
      <x:c r="F3992" s="11" t="n">
        <x:v>3.728952772073922</x:v>
      </x:c>
      <x:c r="G3992" s="26" t="b">
        <x:v>1</x:v>
      </x:c>
      <x:c r="H3992" s="16" t="n">
        <x:v>0</x:v>
      </x:c>
      <x:c r="I3992" s="16" t="n">
        <x:v>0.24</x:v>
      </x:c>
      <x:c r="J3992" s="16" t="n">
        <x:v>1.44</x:v>
      </x:c>
      <x:c r="K3992" s="11" t="n">
        <x:f>CHOOSE('假设'!$B$3,H3992,I3992,J3992)</x:f>
        <x:v>0.24</x:v>
      </x:c>
      <x:c r="L3992" s="11" t="n">
        <x:f>K3992*'管线假设'!E863*'管线假设'!F863*'管线假设'!G863*IF(E3992="USD",'管线假设'!I863,1)-AM3992</x:f>
        <x:v>-0.08544</x:v>
      </x:c>
      <x:c r="M3992" s="11" t="n">
        <x:f>'管线假设'!H863</x:f>
        <x:v>0.14</x:v>
      </x:c>
      <x:c r="N3992" s="11" t="n">
        <x:f>IF(G3992,L3992*AN3992/(1+M3992)^F3992,0)</x:f>
        <x:v>-0.05241622458526636</x:v>
      </x:c>
      <x:c r="AJ3992" s="42" t="n">
        <x:v>0</x:v>
      </x:c>
      <x:c r="AK3992" s="42" t="n">
        <x:v>0.12</x:v>
      </x:c>
      <x:c r="AL3992" s="42" t="n">
        <x:v>0.15</x:v>
      </x:c>
      <x:c r="AM3992" t="n">
        <x:f>CHOOSE('假设'!$B$3,AJ3992,AK3992,AL3992)</x:f>
        <x:v>0.12</x:v>
      </x:c>
      <x:c r="AN3992" t="n">
        <x:v>1</x:v>
      </x:c>
    </x:row>
    <x:row r="3993" ht="23" customHeight="1">
      <x:c r="A3993" s="11" t="str">
        <x:v>02162.HK</x:v>
      </x:c>
      <x:c r="B3993" s="11" t="str">
        <x:v>半年</x:v>
      </x:c>
      <x:c r="C3993" s="11" t="str">
        <x:v>CM512_other</x:v>
      </x:c>
      <x:c r="D3993" s="11" t="str">
        <x:v>2031-12-31</x:v>
      </x:c>
      <x:c r="E3993" s="11" t="str">
        <x:v>CNY</x:v>
      </x:c>
      <x:c r="F3993" s="11" t="n">
        <x:v>4.728268309377139</x:v>
      </x:c>
      <x:c r="G3993" s="26" t="b">
        <x:v>1</x:v>
      </x:c>
      <x:c r="H3993" s="16" t="n">
        <x:v>0</x:v>
      </x:c>
      <x:c r="I3993" s="16" t="n">
        <x:v>0.72</x:v>
      </x:c>
      <x:c r="J3993" s="16" t="n">
        <x:v>3.04</x:v>
      </x:c>
      <x:c r="K3993" s="11" t="n">
        <x:f>CHOOSE('假设'!$B$3,H3993,I3993,J3993)</x:f>
        <x:v>0.72</x:v>
      </x:c>
      <x:c r="L3993" s="11" t="n">
        <x:f>K3993*'管线假设'!E863*'管线假设'!F863*'管线假设'!G863*IF(E3993="USD",'管线假设'!I863,1)-AM3993</x:f>
        <x:v>0.10368</x:v>
      </x:c>
      <x:c r="M3993" s="11" t="n">
        <x:f>'管线假设'!H863</x:f>
        <x:v>0.14</x:v>
      </x:c>
      <x:c r="N3993" s="11" t="n">
        <x:f>IF(G3993,L3993*AN3993/(1+M3993)^F3993,0)</x:f>
        <x:v>0.05579992090064031</x:v>
      </x:c>
      <x:c r="AJ3993" s="42" t="n">
        <x:v>0</x:v>
      </x:c>
      <x:c r="AK3993" s="42" t="n">
        <x:v>0</x:v>
      </x:c>
      <x:c r="AL3993" s="42" t="n">
        <x:v>0</x:v>
      </x:c>
      <x:c r="AM3993" t="n">
        <x:f>CHOOSE('假设'!$B$3,AJ3993,AK3993,AL3993)</x:f>
        <x:v>0</x:v>
      </x:c>
      <x:c r="AN3993" t="n">
        <x:v>1</x:v>
      </x:c>
    </x:row>
    <x:row r="3994" ht="23" customHeight="1">
      <x:c r="A3994" s="11" t="str">
        <x:v>02162.HK</x:v>
      </x:c>
      <x:c r="B3994" s="11" t="str">
        <x:v>半年</x:v>
      </x:c>
      <x:c r="C3994" s="11" t="str">
        <x:v>CM512_other</x:v>
      </x:c>
      <x:c r="D3994" s="11" t="str">
        <x:v>2032-12-31</x:v>
      </x:c>
      <x:c r="E3994" s="11" t="str">
        <x:v>CNY</x:v>
      </x:c>
      <x:c r="F3994" s="11" t="n">
        <x:v>5.730321697467488</x:v>
      </x:c>
      <x:c r="G3994" s="26" t="b">
        <x:v>1</x:v>
      </x:c>
      <x:c r="H3994" s="16" t="n">
        <x:v>0.06</x:v>
      </x:c>
      <x:c r="I3994" s="16" t="n">
        <x:v>1.52</x:v>
      </x:c>
      <x:c r="J3994" s="16" t="n">
        <x:v>5.2</x:v>
      </x:c>
      <x:c r="K3994" s="11" t="n">
        <x:f>CHOOSE('假设'!$B$3,H3994,I3994,J3994)</x:f>
        <x:v>1.52</x:v>
      </x:c>
      <x:c r="L3994" s="11" t="n">
        <x:f>K3994*'管线假设'!E863*'管线假设'!F863*'管线假设'!G863*IF(E3994="USD",'管线假设'!I863,1)-AM3994</x:f>
        <x:v>0.21887999999999996</x:v>
      </x:c>
      <x:c r="M3994" s="11" t="n">
        <x:f>'管线假设'!H863</x:f>
        <x:v>0.14</x:v>
      </x:c>
      <x:c r="N3994" s="11" t="n">
        <x:f>IF(G3994,L3994*AN3994/(1+M3994)^F3994,0)</x:f>
        <x:v>0.10330538860527054</x:v>
      </x:c>
      <x:c r="AJ3994" s="42" t="n">
        <x:v>0</x:v>
      </x:c>
      <x:c r="AK3994" s="42" t="n">
        <x:v>0</x:v>
      </x:c>
      <x:c r="AL3994" s="42" t="n">
        <x:v>0</x:v>
      </x:c>
      <x:c r="AM3994" t="n">
        <x:f>CHOOSE('假设'!$B$3,AJ3994,AK3994,AL3994)</x:f>
        <x:v>0</x:v>
      </x:c>
      <x:c r="AN3994" t="n">
        <x:v>1</x:v>
      </x:c>
    </x:row>
    <x:row r="3995" ht="23" customHeight="1">
      <x:c r="A3995" s="11" t="str">
        <x:v>02162.HK</x:v>
      </x:c>
      <x:c r="B3995" s="11" t="str">
        <x:v>半年</x:v>
      </x:c>
      <x:c r="C3995" s="11" t="str">
        <x:v>CM512_other</x:v>
      </x:c>
      <x:c r="D3995" s="11" t="str">
        <x:v>2033-12-31</x:v>
      </x:c>
      <x:c r="E3995" s="11" t="str">
        <x:v>CNY</x:v>
      </x:c>
      <x:c r="F3995" s="11" t="n">
        <x:v>6.729637234770705</x:v>
      </x:c>
      <x:c r="G3995" s="26" t="b">
        <x:v>1</x:v>
      </x:c>
      <x:c r="H3995" s="16" t="n">
        <x:v>0.18</x:v>
      </x:c>
      <x:c r="I3995" s="16" t="n">
        <x:v>2.6</x:v>
      </x:c>
      <x:c r="J3995" s="16" t="n">
        <x:v>6.8</x:v>
      </x:c>
      <x:c r="K3995" s="11" t="n">
        <x:f>CHOOSE('假设'!$B$3,H3995,I3995,J3995)</x:f>
        <x:v>2.6</x:v>
      </x:c>
      <x:c r="L3995" s="11" t="n">
        <x:f>K3995*'管线假设'!E863*'管线假设'!F863*'管线假设'!G863*IF(E3995="USD",'管线假设'!I863,1)-AM3995</x:f>
        <x:v>0.3744</x:v>
      </x:c>
      <x:c r="M3995" s="11" t="n">
        <x:f>'管线假设'!H863</x:f>
        <x:v>0.14</x:v>
      </x:c>
      <x:c r="N3995" s="11" t="n">
        <x:f>IF(G3995,L3995*AN3995/(1+M3995)^F3995,0)</x:f>
        <x:v>0.15501967914809434</x:v>
      </x:c>
      <x:c r="AJ3995" s="42" t="n">
        <x:v>0</x:v>
      </x:c>
      <x:c r="AK3995" s="42" t="n">
        <x:v>0</x:v>
      </x:c>
      <x:c r="AL3995" s="42" t="n">
        <x:v>0</x:v>
      </x:c>
      <x:c r="AM3995" t="n">
        <x:f>CHOOSE('假设'!$B$3,AJ3995,AK3995,AL3995)</x:f>
        <x:v>0</x:v>
      </x:c>
      <x:c r="AN3995" t="n">
        <x:v>1</x:v>
      </x:c>
    </x:row>
    <x:row r="3996" ht="23" customHeight="1">
      <x:c r="A3996" s="11" t="str">
        <x:v>02162.HK</x:v>
      </x:c>
      <x:c r="B3996" s="11" t="str">
        <x:v>半年</x:v>
      </x:c>
      <x:c r="C3996" s="11" t="str">
        <x:v>CM512_other</x:v>
      </x:c>
      <x:c r="D3996" s="11" t="str">
        <x:v>2034-12-31</x:v>
      </x:c>
      <x:c r="E3996" s="11" t="str">
        <x:v>CNY</x:v>
      </x:c>
      <x:c r="F3996" s="11" t="n">
        <x:v>7.728952772073922</x:v>
      </x:c>
      <x:c r="G3996" s="26" t="b">
        <x:v>1</x:v>
      </x:c>
      <x:c r="H3996" s="16" t="n">
        <x:v>0.38</x:v>
      </x:c>
      <x:c r="I3996" s="16" t="n">
        <x:v>3.4</x:v>
      </x:c>
      <x:c r="J3996" s="16" t="n">
        <x:v>8</x:v>
      </x:c>
      <x:c r="K3996" s="11" t="n">
        <x:f>CHOOSE('假设'!$B$3,H3996,I3996,J3996)</x:f>
        <x:v>3.4</x:v>
      </x:c>
      <x:c r="L3996" s="11" t="n">
        <x:f>K3996*'管线假设'!E863*'管线假设'!F863*'管线假设'!G863*IF(E3996="USD",'管线假设'!I863,1)-AM3996</x:f>
        <x:v>0.4896</x:v>
      </x:c>
      <x:c r="M3996" s="11" t="n">
        <x:f>'管线假设'!H863</x:f>
        <x:v>0.14</x:v>
      </x:c>
      <x:c r="N3996" s="11" t="n">
        <x:f>IF(G3996,L3996*AN3996/(1+M3996)^F3996,0)</x:f>
        <x:v>0.1778387923986826</x:v>
      </x:c>
      <x:c r="AJ3996" s="42" t="n">
        <x:v>0</x:v>
      </x:c>
      <x:c r="AK3996" s="42" t="n">
        <x:v>0</x:v>
      </x:c>
      <x:c r="AL3996" s="42" t="n">
        <x:v>0</x:v>
      </x:c>
      <x:c r="AM3996" t="n">
        <x:f>CHOOSE('假设'!$B$3,AJ3996,AK3996,AL3996)</x:f>
        <x:v>0</x:v>
      </x:c>
      <x:c r="AN3996" t="n">
        <x:v>1</x:v>
      </x:c>
    </x:row>
    <x:row r="3997" ht="23" customHeight="1">
      <x:c r="A3997" s="11" t="str">
        <x:v>02162.HK</x:v>
      </x:c>
      <x:c r="B3997" s="11" t="str">
        <x:v>半年</x:v>
      </x:c>
      <x:c r="C3997" s="11" t="str">
        <x:v>CM512_other</x:v>
      </x:c>
      <x:c r="D3997" s="11" t="str">
        <x:v>2035-12-31</x:v>
      </x:c>
      <x:c r="E3997" s="11" t="str">
        <x:v>CNY</x:v>
      </x:c>
      <x:c r="F3997" s="11" t="n">
        <x:v>8.728268309377139</x:v>
      </x:c>
      <x:c r="G3997" s="26" t="b">
        <x:v>1</x:v>
      </x:c>
      <x:c r="H3997" s="16" t="n">
        <x:v>0.65</x:v>
      </x:c>
      <x:c r="I3997" s="16" t="n">
        <x:v>4</x:v>
      </x:c>
      <x:c r="J3997" s="16" t="n">
        <x:v>8</x:v>
      </x:c>
      <x:c r="K3997" s="11" t="n">
        <x:f>CHOOSE('假设'!$B$3,H3997,I3997,J3997)</x:f>
        <x:v>4</x:v>
      </x:c>
      <x:c r="L3997" s="11" t="n">
        <x:f>K3997*'管线假设'!E863*'管线假设'!F863*'管线假设'!G863*IF(E3997="USD",'管线假设'!I863,1)-AM3997</x:f>
        <x:v>0.576</x:v>
      </x:c>
      <x:c r="M3997" s="11" t="n">
        <x:f>'管线假设'!H863</x:f>
        <x:v>0.14</x:v>
      </x:c>
      <x:c r="N3997" s="11" t="n">
        <x:f>IF(G3997,L3997*AN3997/(1+M3997)^F3997,0)</x:f>
        <x:v>0.18354462580047637</x:v>
      </x:c>
      <x:c r="AJ3997" s="42" t="n">
        <x:v>0</x:v>
      </x:c>
      <x:c r="AK3997" s="42" t="n">
        <x:v>0</x:v>
      </x:c>
      <x:c r="AL3997" s="42" t="n">
        <x:v>0</x:v>
      </x:c>
      <x:c r="AM3997" t="n">
        <x:f>CHOOSE('假设'!$B$3,AJ3997,AK3997,AL3997)</x:f>
        <x:v>0</x:v>
      </x:c>
      <x:c r="AN3997" t="n">
        <x:v>1</x:v>
      </x:c>
    </x:row>
    <x:row r="3998" ht="23" customHeight="1">
      <x:c r="A3998" s="11" t="str">
        <x:v>02162.HK</x:v>
      </x:c>
      <x:c r="B3998" s="11" t="str">
        <x:v>半年</x:v>
      </x:c>
      <x:c r="C3998" s="11" t="str">
        <x:v>CM512_other</x:v>
      </x:c>
      <x:c r="D3998" s="11" t="str">
        <x:v>2036-12-31</x:v>
      </x:c>
      <x:c r="E3998" s="11" t="str">
        <x:v>CNY</x:v>
      </x:c>
      <x:c r="F3998" s="11" t="n">
        <x:v>9.730321697467488</x:v>
      </x:c>
      <x:c r="G3998" s="26" t="b">
        <x:v>1</x:v>
      </x:c>
      <x:c r="H3998" s="16" t="n">
        <x:v>0.85</x:v>
      </x:c>
      <x:c r="I3998" s="16" t="n">
        <x:v>4</x:v>
      </x:c>
      <x:c r="J3998" s="16" t="n">
        <x:v>7.6</x:v>
      </x:c>
      <x:c r="K3998" s="11" t="n">
        <x:f>CHOOSE('假设'!$B$3,H3998,I3998,J3998)</x:f>
        <x:v>4</x:v>
      </x:c>
      <x:c r="L3998" s="11" t="n">
        <x:f>K3998*'管线假设'!E863*'管线假设'!F863*'管线假设'!G863*IF(E3998="USD",'管线假设'!I863,1)-AM3998</x:f>
        <x:v>0.576</x:v>
      </x:c>
      <x:c r="M3998" s="11" t="n">
        <x:f>'管线假设'!H863</x:f>
        <x:v>0.14</x:v>
      </x:c>
      <x:c r="N3998" s="11" t="n">
        <x:f>IF(G3998,L3998*AN3998/(1+M3998)^F3998,0)</x:f>
        <x:v>0.16096074510327313</x:v>
      </x:c>
      <x:c r="AJ3998" s="42" t="n">
        <x:v>0</x:v>
      </x:c>
      <x:c r="AK3998" s="42" t="n">
        <x:v>0</x:v>
      </x:c>
      <x:c r="AL3998" s="42" t="n">
        <x:v>0</x:v>
      </x:c>
      <x:c r="AM3998" t="n">
        <x:f>CHOOSE('假设'!$B$3,AJ3998,AK3998,AL3998)</x:f>
        <x:v>0</x:v>
      </x:c>
      <x:c r="AN3998" t="n">
        <x:v>1</x:v>
      </x:c>
    </x:row>
    <x:row r="3999" ht="23" customHeight="1">
      <x:c r="A3999" s="11" t="str">
        <x:v>02162.HK</x:v>
      </x:c>
      <x:c r="B3999" s="11" t="str">
        <x:v>半年</x:v>
      </x:c>
      <x:c r="C3999" s="11" t="str">
        <x:v>CM512_other</x:v>
      </x:c>
      <x:c r="D3999" s="11" t="str">
        <x:v>2037-12-31</x:v>
      </x:c>
      <x:c r="E3999" s="11" t="str">
        <x:v>CNY</x:v>
      </x:c>
      <x:c r="F3999" s="11" t="n">
        <x:v>10.729637234770705</x:v>
      </x:c>
      <x:c r="G3999" s="26" t="b">
        <x:v>1</x:v>
      </x:c>
      <x:c r="H3999" s="16" t="n">
        <x:v>1</x:v>
      </x:c>
      <x:c r="I3999" s="16" t="n">
        <x:v>3.8</x:v>
      </x:c>
      <x:c r="J3999" s="16" t="n">
        <x:v>7.2</x:v>
      </x:c>
      <x:c r="K3999" s="11" t="n">
        <x:f>CHOOSE('假设'!$B$3,H3999,I3999,J3999)</x:f>
        <x:v>3.8</x:v>
      </x:c>
      <x:c r="L3999" s="11" t="n">
        <x:f>K3999*'管线假设'!E863*'管线假设'!F863*'管线假设'!G863*IF(E3999="USD",'管线假设'!I863,1)-AM3999</x:f>
        <x:v>0.5471999999999999</x:v>
      </x:c>
      <x:c r="M3999" s="11" t="n">
        <x:f>'管线假设'!H863</x:f>
        <x:v>0.14</x:v>
      </x:c>
      <x:c r="N3999" s="11" t="n">
        <x:f>IF(G3999,L3999*AN3999/(1+M3999)^F3999,0)</x:f>
        <x:v>0.13414598445607595</x:v>
      </x:c>
      <x:c r="AJ3999" s="42" t="n">
        <x:v>0</x:v>
      </x:c>
      <x:c r="AK3999" s="42" t="n">
        <x:v>0</x:v>
      </x:c>
      <x:c r="AL3999" s="42" t="n">
        <x:v>0</x:v>
      </x:c>
      <x:c r="AM3999" t="n">
        <x:f>CHOOSE('假设'!$B$3,AJ3999,AK3999,AL3999)</x:f>
        <x:v>0</x:v>
      </x:c>
      <x:c r="AN3999" t="n">
        <x:v>1</x:v>
      </x:c>
    </x:row>
    <x:row r="4000" ht="23" customHeight="1">
      <x:c r="A4000" s="11" t="str">
        <x:v>02162.HK</x:v>
      </x:c>
      <x:c r="B4000" s="11" t="str">
        <x:v>半年</x:v>
      </x:c>
      <x:c r="C4000" s="11" t="str">
        <x:v>CM512_other</x:v>
      </x:c>
      <x:c r="D4000" s="11" t="str">
        <x:v>2038-12-31</x:v>
      </x:c>
      <x:c r="E4000" s="11" t="str">
        <x:v>CNY</x:v>
      </x:c>
      <x:c r="F4000" s="11" t="n">
        <x:v>11.728952772073923</x:v>
      </x:c>
      <x:c r="G4000" s="26" t="b">
        <x:v>1</x:v>
      </x:c>
      <x:c r="H4000" s="16" t="n">
        <x:v>1</x:v>
      </x:c>
      <x:c r="I4000" s="16" t="n">
        <x:v>3.6</x:v>
      </x:c>
      <x:c r="J4000" s="16" t="n">
        <x:v>6.4</x:v>
      </x:c>
      <x:c r="K4000" s="11" t="n">
        <x:f>CHOOSE('假设'!$B$3,H4000,I4000,J4000)</x:f>
        <x:v>3.6</x:v>
      </x:c>
      <x:c r="L4000" s="11" t="n">
        <x:f>K4000*'管线假设'!E863*'管线假设'!F863*'管线假设'!G863*IF(E4000="USD",'管线假设'!I863,1)-AM4000</x:f>
        <x:v>0.5184</x:v>
      </x:c>
      <x:c r="M4000" s="11" t="n">
        <x:f>'管线假设'!H863</x:f>
        <x:v>0.14</x:v>
      </x:c>
      <x:c r="N4000" s="11" t="n">
        <x:f>IF(G4000,L4000*AN4000/(1+M4000)^F4000,0)</x:f>
        <x:v>0.11148865573827338</x:v>
      </x:c>
      <x:c r="AJ4000" s="42" t="n">
        <x:v>0</x:v>
      </x:c>
      <x:c r="AK4000" s="42" t="n">
        <x:v>0</x:v>
      </x:c>
      <x:c r="AL4000" s="42" t="n">
        <x:v>0</x:v>
      </x:c>
      <x:c r="AM4000" t="n">
        <x:f>CHOOSE('假设'!$B$3,AJ4000,AK4000,AL4000)</x:f>
        <x:v>0</x:v>
      </x:c>
      <x:c r="AN4000" t="n">
        <x:v>1</x:v>
      </x:c>
    </x:row>
    <x:row r="4001" ht="23" customHeight="1">
      <x:c r="A4001" s="11" t="str">
        <x:v>02162.HK</x:v>
      </x:c>
      <x:c r="B4001" s="11" t="str">
        <x:v>半年</x:v>
      </x:c>
      <x:c r="C4001" s="11" t="str">
        <x:v>CM512_other</x:v>
      </x:c>
      <x:c r="D4001" s="11" t="str">
        <x:v>2039-12-31</x:v>
      </x:c>
      <x:c r="E4001" s="11" t="str">
        <x:v>CNY</x:v>
      </x:c>
      <x:c r="F4001" s="11" t="n">
        <x:v>12.728268309377139</x:v>
      </x:c>
      <x:c r="G4001" s="26" t="b">
        <x:v>1</x:v>
      </x:c>
      <x:c r="H4001" s="16" t="n">
        <x:v>0.95</x:v>
      </x:c>
      <x:c r="I4001" s="16" t="n">
        <x:v>3.2</x:v>
      </x:c>
      <x:c r="J4001" s="16" t="n">
        <x:v>5.2</x:v>
      </x:c>
      <x:c r="K4001" s="11" t="n">
        <x:f>CHOOSE('假设'!$B$3,H4001,I4001,J4001)</x:f>
        <x:v>3.2</x:v>
      </x:c>
      <x:c r="L4001" s="11" t="n">
        <x:f>K4001*'管线假设'!E863*'管线假设'!F863*'管线假设'!G863*IF(E4001="USD",'管线假设'!I863,1)-AM4001</x:f>
        <x:v>0.4608</x:v>
      </x:c>
      <x:c r="M4001" s="11" t="n">
        <x:f>'管线假设'!H863</x:f>
        <x:v>0.14</x:v>
      </x:c>
      <x:c r="N4001" s="11" t="n">
        <x:f>IF(G4001,L4001*AN4001/(1+M4001)^F4001,0)</x:f>
        <x:v>0.08693852236300294</x:v>
      </x:c>
      <x:c r="AJ4001" s="42" t="n">
        <x:v>0</x:v>
      </x:c>
      <x:c r="AK4001" s="42" t="n">
        <x:v>0</x:v>
      </x:c>
      <x:c r="AL4001" s="42" t="n">
        <x:v>0</x:v>
      </x:c>
      <x:c r="AM4001" t="n">
        <x:f>CHOOSE('假设'!$B$3,AJ4001,AK4001,AL4001)</x:f>
        <x:v>0</x:v>
      </x:c>
      <x:c r="AN4001" t="n">
        <x:v>1</x:v>
      </x:c>
    </x:row>
    <x:row r="4002" ht="23" customHeight="1">
      <x:c r="A4002" s="11" t="str">
        <x:v>02162.HK</x:v>
      </x:c>
      <x:c r="B4002" s="11" t="str">
        <x:v>半年</x:v>
      </x:c>
      <x:c r="C4002" s="11" t="str">
        <x:v>CM512_other</x:v>
      </x:c>
      <x:c r="D4002" s="11" t="str">
        <x:v>2040-12-31</x:v>
      </x:c>
      <x:c r="E4002" s="11" t="str">
        <x:v>CNY</x:v>
      </x:c>
      <x:c r="F4002" s="11" t="n">
        <x:v>13.730321697467488</x:v>
      </x:c>
      <x:c r="G4002" s="26" t="b">
        <x:v>1</x:v>
      </x:c>
      <x:c r="H4002" s="16" t="n">
        <x:v>0.9</x:v>
      </x:c>
      <x:c r="I4002" s="16" t="n">
        <x:v>2.6</x:v>
      </x:c>
      <x:c r="J4002" s="16" t="n">
        <x:v>4</x:v>
      </x:c>
      <x:c r="K4002" s="11" t="n">
        <x:f>CHOOSE('假设'!$B$3,H4002,I4002,J4002)</x:f>
        <x:v>2.6</x:v>
      </x:c>
      <x:c r="L4002" s="11" t="n">
        <x:f>K4002*'管线假设'!E863*'管线假设'!F863*'管线假设'!G863*IF(E4002="USD",'管线假设'!I863,1)-AM4002</x:f>
        <x:v>0.3744</x:v>
      </x:c>
      <x:c r="M4002" s="11" t="n">
        <x:f>'管线假设'!H863</x:f>
        <x:v>0.14</x:v>
      </x:c>
      <x:c r="N4002" s="11" t="n">
        <x:f>IF(G4002,L4002*AN4002/(1+M4002)^F4002,0)</x:f>
        <x:v>0.06194609369419792</x:v>
      </x:c>
      <x:c r="AJ4002" s="42" t="n">
        <x:v>0</x:v>
      </x:c>
      <x:c r="AK4002" s="42" t="n">
        <x:v>0</x:v>
      </x:c>
      <x:c r="AL4002" s="42" t="n">
        <x:v>0</x:v>
      </x:c>
      <x:c r="AM4002" t="n">
        <x:f>CHOOSE('假设'!$B$3,AJ4002,AK4002,AL4002)</x:f>
        <x:v>0</x:v>
      </x:c>
      <x:c r="AN4002" t="n">
        <x:v>1</x:v>
      </x:c>
    </x:row>
    <x:row r="4003" ht="23" customHeight="1">
      <x:c r="A4003" s="11" t="str">
        <x:v>02162.HK</x:v>
      </x:c>
      <x:c r="B4003" s="11" t="str">
        <x:v>半年</x:v>
      </x:c>
      <x:c r="C4003" s="11" t="str">
        <x:v>CM512_other</x:v>
      </x:c>
      <x:c r="D4003" s="11" t="str">
        <x:v>2041-12-31</x:v>
      </x:c>
      <x:c r="E4003" s="11" t="str">
        <x:v>CNY</x:v>
      </x:c>
      <x:c r="F4003" s="11" t="n">
        <x:v>14.729637234770705</x:v>
      </x:c>
      <x:c r="G4003" s="26" t="b">
        <x:v>1</x:v>
      </x:c>
      <x:c r="H4003" s="16" t="n">
        <x:v>0.8</x:v>
      </x:c>
      <x:c r="I4003" s="16" t="n">
        <x:v>2</x:v>
      </x:c>
      <x:c r="J4003" s="16" t="n">
        <x:v>2.8</x:v>
      </x:c>
      <x:c r="K4003" s="11" t="n">
        <x:f>CHOOSE('假设'!$B$3,H4003,I4003,J4003)</x:f>
        <x:v>2</x:v>
      </x:c>
      <x:c r="L4003" s="11" t="n">
        <x:f>K4003*'管线假设'!E863*'管线假设'!F863*'管线假设'!G863*IF(E4003="USD",'管线假设'!I863,1)-AM4003</x:f>
        <x:v>0.288</x:v>
      </x:c>
      <x:c r="M4003" s="11" t="n">
        <x:f>'管线假设'!H863</x:f>
        <x:v>0.14</x:v>
      </x:c>
      <x:c r="N4003" s="11" t="n">
        <x:f>IF(G4003,L4003*AN4003/(1+M4003)^F4003,0)</x:f>
        <x:v>0.04180273246571084</x:v>
      </x:c>
      <x:c r="AJ4003" s="42" t="n">
        <x:v>0</x:v>
      </x:c>
      <x:c r="AK4003" s="42" t="n">
        <x:v>0</x:v>
      </x:c>
      <x:c r="AL4003" s="42" t="n">
        <x:v>0</x:v>
      </x:c>
      <x:c r="AM4003" t="n">
        <x:f>CHOOSE('假设'!$B$3,AJ4003,AK4003,AL4003)</x:f>
        <x:v>0</x:v>
      </x:c>
      <x:c r="AN4003" t="n">
        <x:v>1</x:v>
      </x:c>
    </x:row>
    <x:row r="4004" ht="23" customHeight="1">
      <x:c r="A4004" s="11" t="str">
        <x:v>02162.HK</x:v>
      </x:c>
      <x:c r="B4004" s="11" t="str">
        <x:v>半年</x:v>
      </x:c>
      <x:c r="C4004" s="11" t="str">
        <x:v>CM512_other</x:v>
      </x:c>
      <x:c r="D4004" s="11" t="str">
        <x:v>2042-12-31</x:v>
      </x:c>
      <x:c r="E4004" s="11" t="str">
        <x:v>CNY</x:v>
      </x:c>
      <x:c r="F4004" s="11" t="n">
        <x:v>15.728952772073923</x:v>
      </x:c>
      <x:c r="G4004" s="26" t="b">
        <x:v>1</x:v>
      </x:c>
      <x:c r="H4004" s="16" t="n">
        <x:v>0.65</x:v>
      </x:c>
      <x:c r="I4004" s="16" t="n">
        <x:v>1.4</x:v>
      </x:c>
      <x:c r="J4004" s="16" t="n">
        <x:v>1.6</x:v>
      </x:c>
      <x:c r="K4004" s="11" t="n">
        <x:f>CHOOSE('假设'!$B$3,H4004,I4004,J4004)</x:f>
        <x:v>1.4</x:v>
      </x:c>
      <x:c r="L4004" s="11" t="n">
        <x:f>K4004*'管线假设'!E863*'管线假设'!F863*'管线假设'!G863*IF(E4004="USD",'管线假设'!I863,1)-AM4004</x:f>
        <x:v>0.20159999999999997</x:v>
      </x:c>
      <x:c r="M4004" s="11" t="n">
        <x:f>'管线假设'!H863</x:f>
        <x:v>0.14</x:v>
      </x:c>
      <x:c r="N4004" s="11" t="n">
        <x:f>IF(G4004,L4004*AN4004/(1+M4004)^F4004,0)</x:f>
        <x:v>0.025670646638445847</x:v>
      </x:c>
      <x:c r="AJ4004" s="42" t="n">
        <x:v>0</x:v>
      </x:c>
      <x:c r="AK4004" s="42" t="n">
        <x:v>0</x:v>
      </x:c>
      <x:c r="AL4004" s="42" t="n">
        <x:v>0</x:v>
      </x:c>
      <x:c r="AM4004" t="n">
        <x:f>CHOOSE('假设'!$B$3,AJ4004,AK4004,AL4004)</x:f>
        <x:v>0</x:v>
      </x:c>
      <x:c r="AN4004" t="n">
        <x:v>1</x:v>
      </x:c>
    </x:row>
    <x:row r="4005" ht="23" customHeight="1">
      <x:c r="A4005" s="11" t="str">
        <x:v>02162.HK</x:v>
      </x:c>
      <x:c r="B4005" s="11" t="str">
        <x:v>半年</x:v>
      </x:c>
      <x:c r="C4005" s="11" t="str">
        <x:v>CM512_other</x:v>
      </x:c>
      <x:c r="D4005" s="11" t="str">
        <x:v>2043-12-31</x:v>
      </x:c>
      <x:c r="E4005" s="11" t="str">
        <x:v>CNY</x:v>
      </x:c>
      <x:c r="F4005" s="11" t="n">
        <x:v>16.72826830937714</x:v>
      </x:c>
      <x:c r="G4005" s="26" t="b">
        <x:v>1</x:v>
      </x:c>
      <x:c r="H4005" s="16" t="n">
        <x:v>0.5</x:v>
      </x:c>
      <x:c r="I4005" s="16" t="n">
        <x:v>0.8</x:v>
      </x:c>
      <x:c r="J4005" s="16" t="n">
        <x:v>0.96</x:v>
      </x:c>
      <x:c r="K4005" s="11" t="n">
        <x:f>CHOOSE('假设'!$B$3,H4005,I4005,J4005)</x:f>
        <x:v>0.8</x:v>
      </x:c>
      <x:c r="L4005" s="11" t="n">
        <x:f>K4005*'管线假设'!E863*'管线假设'!F863*'管线假设'!G863*IF(E4005="USD",'管线假设'!I863,1)-AM4005</x:f>
        <x:v>0.1152</x:v>
      </x:c>
      <x:c r="M4005" s="11" t="n">
        <x:f>'管线假设'!H863</x:f>
        <x:v>0.14</x:v>
      </x:c>
      <x:c r="N4005" s="11" t="n">
        <x:f>IF(G4005,L4005*AN4005/(1+M4005)^F4005,0)</x:f>
        <x:v>0.012868646108710302</x:v>
      </x:c>
      <x:c r="AJ4005" s="42" t="n">
        <x:v>0</x:v>
      </x:c>
      <x:c r="AK4005" s="42" t="n">
        <x:v>0</x:v>
      </x:c>
      <x:c r="AL4005" s="42" t="n">
        <x:v>0</x:v>
      </x:c>
      <x:c r="AM4005" t="n">
        <x:f>CHOOSE('假设'!$B$3,AJ4005,AK4005,AL4005)</x:f>
        <x:v>0</x:v>
      </x:c>
      <x:c r="AN4005" t="n">
        <x:v>1</x:v>
      </x:c>
    </x:row>
    <x:row r="4006" ht="23" customHeight="1">
      <x:c r="A4006" s="11" t="str">
        <x:v>02162.HK</x:v>
      </x:c>
      <x:c r="B4006" s="11" t="str">
        <x:v>半年</x:v>
      </x:c>
      <x:c r="C4006" s="11" t="str">
        <x:v>CM512_other</x:v>
      </x:c>
      <x:c r="D4006" s="11" t="str">
        <x:v>2044-12-31</x:v>
      </x:c>
      <x:c r="E4006" s="11" t="str">
        <x:v>CNY</x:v>
      </x:c>
      <x:c r="F4006" s="11" t="n">
        <x:v>17.730321697467488</x:v>
      </x:c>
      <x:c r="G4006" s="26" t="b">
        <x:v>1</x:v>
      </x:c>
      <x:c r="H4006" s="16" t="n">
        <x:v>0.35</x:v>
      </x:c>
      <x:c r="I4006" s="16" t="n">
        <x:v>0.48</x:v>
      </x:c>
      <x:c r="J4006" s="16" t="n">
        <x:v>0.56</x:v>
      </x:c>
      <x:c r="K4006" s="11" t="n">
        <x:f>CHOOSE('假设'!$B$3,H4006,I4006,J4006)</x:f>
        <x:v>0.48</x:v>
      </x:c>
      <x:c r="L4006" s="11" t="n">
        <x:f>K4006*'管线假设'!E863*'管线假设'!F863*'管线假设'!G863*IF(E4006="USD",'管线假设'!I863,1)-AM4006</x:f>
        <x:v>0.06911999999999999</x:v>
      </x:c>
      <x:c r="M4006" s="11" t="n">
        <x:f>'管线假设'!H863</x:f>
        <x:v>0.14</x:v>
      </x:c>
      <x:c r="N4006" s="11" t="n">
        <x:f>IF(G4006,L4006*AN4006/(1+M4006)^F4006,0)</x:f>
        <x:v>0.006771149600577312</x:v>
      </x:c>
      <x:c r="AJ4006" s="42" t="n">
        <x:v>0</x:v>
      </x:c>
      <x:c r="AK4006" s="42" t="n">
        <x:v>0</x:v>
      </x:c>
      <x:c r="AL4006" s="42" t="n">
        <x:v>0</x:v>
      </x:c>
      <x:c r="AM4006" t="n">
        <x:f>CHOOSE('假设'!$B$3,AJ4006,AK4006,AL4006)</x:f>
        <x:v>0</x:v>
      </x:c>
      <x:c r="AN4006" t="n">
        <x:v>1</x:v>
      </x:c>
    </x:row>
    <x:row r="4007" ht="23" customHeight="1">
      <x:c r="A4007" s="11" t="str">
        <x:v>02162.HK</x:v>
      </x:c>
      <x:c r="B4007" s="11" t="str">
        <x:v>半年</x:v>
      </x:c>
      <x:c r="C4007" s="11" t="str">
        <x:v>CMG901_2Lplus</x:v>
      </x:c>
      <x:c r="D4007" s="11" t="str">
        <x:v>2026-12-31</x:v>
      </x:c>
      <x:c r="E4007" s="11" t="str">
        <x:v>USD</x:v>
      </x:c>
      <x:c r="F4007" s="11" t="n">
        <x:v>-0.27104722792607805</x:v>
      </x:c>
      <x:c r="G4007" s="26" t="b">
        <x:v>0</x:v>
      </x:c>
      <x:c r="H4007" s="16" t="n">
        <x:v>0</x:v>
      </x:c>
      <x:c r="I4007" s="16" t="n">
        <x:v>0</x:v>
      </x:c>
      <x:c r="J4007" s="16" t="n">
        <x:v>0</x:v>
      </x:c>
      <x:c r="K4007" s="11" t="n">
        <x:f>CHOOSE('假设'!$B$3,H4007,I4007,J4007)</x:f>
        <x:v>0</x:v>
      </x:c>
      <x:c r="L4007" s="11" t="n">
        <x:f>K4007*'管线假设'!E867*'管线假设'!F867*'管线假设'!G867*IF(E4007="USD",'管线假设'!I867,1)-AM4007</x:f>
        <x:v>-0.056</x:v>
      </x:c>
      <x:c r="M4007" s="11" t="n">
        <x:f>'管线假设'!H867</x:f>
        <x:v>0.14</x:v>
      </x:c>
      <x:c r="N4007" s="11" t="n">
        <x:f>IF(G4007,L4007*AN4007/(1+M4007)^F4007,0)</x:f>
        <x:v>0</x:v>
      </x:c>
      <x:c r="AJ4007" s="42" t="n">
        <x:v>0.035</x:v>
      </x:c>
      <x:c r="AK4007" s="42" t="n">
        <x:v>0.056</x:v>
      </x:c>
      <x:c r="AL4007" s="42" t="n">
        <x:v>0.084</x:v>
      </x:c>
      <x:c r="AM4007" t="n">
        <x:f>CHOOSE('假设'!$B$3,AJ4007,AK4007,AL4007)</x:f>
        <x:v>0.056</x:v>
      </x:c>
      <x:c r="AN4007" t="n">
        <x:v>0</x:v>
      </x:c>
    </x:row>
    <x:row r="4008" ht="23" customHeight="1">
      <x:c r="A4008" s="11" t="str">
        <x:v>02162.HK</x:v>
      </x:c>
      <x:c r="B4008" s="11" t="str">
        <x:v>半年</x:v>
      </x:c>
      <x:c r="C4008" s="11" t="str">
        <x:v>CMG901_2Lplus</x:v>
      </x:c>
      <x:c r="D4008" s="11" t="str">
        <x:v>2027-12-31</x:v>
      </x:c>
      <x:c r="E4008" s="11" t="str">
        <x:v>USD</x:v>
      </x:c>
      <x:c r="F4008" s="11" t="n">
        <x:v>0.7282683093771389</x:v>
      </x:c>
      <x:c r="G4008" s="26" t="b">
        <x:v>1</x:v>
      </x:c>
      <x:c r="H4008" s="16" t="n">
        <x:v>0</x:v>
      </x:c>
      <x:c r="I4008" s="16" t="n">
        <x:v>0.18</x:v>
      </x:c>
      <x:c r="J4008" s="16" t="n">
        <x:v>0.27</x:v>
      </x:c>
      <x:c r="K4008" s="11" t="n">
        <x:f>CHOOSE('假设'!$B$3,H4008,I4008,J4008)</x:f>
        <x:v>0.18</x:v>
      </x:c>
      <x:c r="L4008" s="11" t="n">
        <x:f>K4008*'管线假设'!E867*'管线假设'!F867*'管线假设'!G867*IF(E4008="USD",'管线假设'!I867,1)-AM4008</x:f>
        <x:v>0.009091599999999998</x:v>
      </x:c>
      <x:c r="M4008" s="11" t="n">
        <x:f>'管线假设'!H867</x:f>
        <x:v>0.14</x:v>
      </x:c>
      <x:c r="N4008" s="11" t="n">
        <x:f>IF(G4008,L4008*AN4008/(1+M4008)^F4008,0)</x:f>
        <x:v>0.006039188329016985</x:v>
      </x:c>
      <x:c r="AJ4008" s="42" t="n">
        <x:v>0.035</x:v>
      </x:c>
      <x:c r="AK4008" s="42" t="n">
        <x:v>0.056</x:v>
      </x:c>
      <x:c r="AL4008" s="42" t="n">
        <x:v>0.07</x:v>
      </x:c>
      <x:c r="AM4008" t="n">
        <x:f>CHOOSE('假设'!$B$3,AJ4008,AK4008,AL4008)</x:f>
        <x:v>0.056</x:v>
      </x:c>
      <x:c r="AN4008" t="n">
        <x:v>0.7307692307692307</x:v>
      </x:c>
    </x:row>
    <x:row r="4009" ht="23" customHeight="1">
      <x:c r="A4009" s="11" t="str">
        <x:v>02162.HK</x:v>
      </x:c>
      <x:c r="B4009" s="11" t="str">
        <x:v>半年</x:v>
      </x:c>
      <x:c r="C4009" s="11" t="str">
        <x:v>CMG901_2Lplus</x:v>
      </x:c>
      <x:c r="D4009" s="11" t="str">
        <x:v>2028-12-31</x:v>
      </x:c>
      <x:c r="E4009" s="11" t="str">
        <x:v>USD</x:v>
      </x:c>
      <x:c r="F4009" s="11" t="n">
        <x:v>1.730321697467488</x:v>
      </x:c>
      <x:c r="G4009" s="26" t="b">
        <x:v>1</x:v>
      </x:c>
      <x:c r="H4009" s="16" t="n">
        <x:v>0.09</x:v>
      </x:c>
      <x:c r="I4009" s="16" t="n">
        <x:v>0.54</x:v>
      </x:c>
      <x:c r="J4009" s="16" t="n">
        <x:v>0.8099999999999999</x:v>
      </x:c>
      <x:c r="K4009" s="11" t="n">
        <x:f>CHOOSE('假设'!$B$3,H4009,I4009,J4009)</x:f>
        <x:v>0.54</x:v>
      </x:c>
      <x:c r="L4009" s="11" t="n">
        <x:f>K4009*'管线假设'!E867*'管线假设'!F867*'管线假设'!G867*IF(E4009="USD",'管线假设'!I867,1)-AM4009</x:f>
        <x:v>0.1952748</x:v>
      </x:c>
      <x:c r="M4009" s="11" t="n">
        <x:f>'管线假设'!H867</x:f>
        <x:v>0.14</x:v>
      </x:c>
      <x:c r="N4009" s="11" t="n">
        <x:f>IF(G4009,L4009*AN4009/(1+M4009)^F4009,0)</x:f>
        <x:v>0.15566196293863013</x:v>
      </x:c>
      <x:c r="AJ4009" s="42" t="n">
        <x:v>0</x:v>
      </x:c>
      <x:c r="AK4009" s="42" t="n">
        <x:v>0</x:v>
      </x:c>
      <x:c r="AL4009" s="42" t="n">
        <x:v>0</x:v>
      </x:c>
      <x:c r="AM4009" t="n">
        <x:f>CHOOSE('假设'!$B$3,AJ4009,AK4009,AL4009)</x:f>
        <x:v>0</x:v>
      </x:c>
      <x:c r="AN4009" t="n">
        <x:v>1</x:v>
      </x:c>
    </x:row>
    <x:row r="4010" ht="23" customHeight="1">
      <x:c r="A4010" s="11" t="str">
        <x:v>02162.HK</x:v>
      </x:c>
      <x:c r="B4010" s="11" t="str">
        <x:v>半年</x:v>
      </x:c>
      <x:c r="C4010" s="11" t="str">
        <x:v>CMG901_2Lplus</x:v>
      </x:c>
      <x:c r="D4010" s="11" t="str">
        <x:v>2029-12-31</x:v>
      </x:c>
      <x:c r="E4010" s="11" t="str">
        <x:v>USD</x:v>
      </x:c>
      <x:c r="F4010" s="11" t="n">
        <x:v>2.729637234770705</x:v>
      </x:c>
      <x:c r="G4010" s="26" t="b">
        <x:v>1</x:v>
      </x:c>
      <x:c r="H4010" s="16" t="n">
        <x:v>0.27</x:v>
      </x:c>
      <x:c r="I4010" s="16" t="n">
        <x:v>1.1400000000000001</x:v>
      </x:c>
      <x:c r="J4010" s="16" t="n">
        <x:v>1.71</x:v>
      </x:c>
      <x:c r="K4010" s="11" t="n">
        <x:f>CHOOSE('假设'!$B$3,H4010,I4010,J4010)</x:f>
        <x:v>1.1400000000000001</x:v>
      </x:c>
      <x:c r="L4010" s="11" t="n">
        <x:f>K4010*'管线假设'!E867*'管线假设'!F867*'管线假设'!G867*IF(E4010="USD",'管线假设'!I867,1)-AM4010</x:f>
        <x:v>0.41224679999999997</x:v>
      </x:c>
      <x:c r="M4010" s="11" t="n">
        <x:f>'管线假设'!H867</x:f>
        <x:v>0.14</x:v>
      </x:c>
      <x:c r="N4010" s="11" t="n">
        <x:f>IF(G4010,L4010*AN4010/(1+M4010)^F4010,0)</x:f>
        <x:v>0.2882887480473734</x:v>
      </x:c>
      <x:c r="AJ4010" s="42" t="n">
        <x:v>0</x:v>
      </x:c>
      <x:c r="AK4010" s="42" t="n">
        <x:v>0</x:v>
      </x:c>
      <x:c r="AL4010" s="42" t="n">
        <x:v>0</x:v>
      </x:c>
      <x:c r="AM4010" t="n">
        <x:f>CHOOSE('假设'!$B$3,AJ4010,AK4010,AL4010)</x:f>
        <x:v>0</x:v>
      </x:c>
      <x:c r="AN4010" t="n">
        <x:v>1</x:v>
      </x:c>
    </x:row>
    <x:row r="4011" ht="23" customHeight="1">
      <x:c r="A4011" s="11" t="str">
        <x:v>02162.HK</x:v>
      </x:c>
      <x:c r="B4011" s="11" t="str">
        <x:v>半年</x:v>
      </x:c>
      <x:c r="C4011" s="11" t="str">
        <x:v>CMG901_2Lplus</x:v>
      </x:c>
      <x:c r="D4011" s="11" t="str">
        <x:v>2030-12-31</x:v>
      </x:c>
      <x:c r="E4011" s="11" t="str">
        <x:v>USD</x:v>
      </x:c>
      <x:c r="F4011" s="11" t="n">
        <x:v>3.728952772073922</x:v>
      </x:c>
      <x:c r="G4011" s="26" t="b">
        <x:v>1</x:v>
      </x:c>
      <x:c r="H4011" s="16" t="n">
        <x:v>0.5700000000000001</x:v>
      </x:c>
      <x:c r="I4011" s="16" t="n">
        <x:v>1.9500000000000002</x:v>
      </x:c>
      <x:c r="J4011" s="16" t="n">
        <x:v>2.9250000000000003</x:v>
      </x:c>
      <x:c r="K4011" s="11" t="n">
        <x:f>CHOOSE('假设'!$B$3,H4011,I4011,J4011)</x:f>
        <x:v>1.9500000000000002</x:v>
      </x:c>
      <x:c r="L4011" s="11" t="n">
        <x:f>K4011*'管线假设'!E867*'管线假设'!F867*'管线假设'!G867*IF(E4011="USD",'管线假设'!I867,1)-AM4011</x:f>
        <x:v>0.7051589999999999</x:v>
      </x:c>
      <x:c r="M4011" s="11" t="n">
        <x:f>'管线假设'!H867</x:f>
        <x:v>0.14</x:v>
      </x:c>
      <x:c r="N4011" s="11" t="n">
        <x:f>IF(G4011,L4011*AN4011/(1+M4011)^F4011,0)</x:f>
        <x:v>0.432605015359572</x:v>
      </x:c>
      <x:c r="AJ4011" s="42" t="n">
        <x:v>0</x:v>
      </x:c>
      <x:c r="AK4011" s="42" t="n">
        <x:v>0</x:v>
      </x:c>
      <x:c r="AL4011" s="42" t="n">
        <x:v>0</x:v>
      </x:c>
      <x:c r="AM4011" t="n">
        <x:f>CHOOSE('假设'!$B$3,AJ4011,AK4011,AL4011)</x:f>
        <x:v>0</x:v>
      </x:c>
      <x:c r="AN4011" t="n">
        <x:v>1</x:v>
      </x:c>
    </x:row>
    <x:row r="4012" ht="23" customHeight="1">
      <x:c r="A4012" s="11" t="str">
        <x:v>02162.HK</x:v>
      </x:c>
      <x:c r="B4012" s="11" t="str">
        <x:v>半年</x:v>
      </x:c>
      <x:c r="C4012" s="11" t="str">
        <x:v>CMG901_2Lplus</x:v>
      </x:c>
      <x:c r="D4012" s="11" t="str">
        <x:v>2031-12-31</x:v>
      </x:c>
      <x:c r="E4012" s="11" t="str">
        <x:v>USD</x:v>
      </x:c>
      <x:c r="F4012" s="11" t="n">
        <x:v>4.728268309377139</x:v>
      </x:c>
      <x:c r="G4012" s="26" t="b">
        <x:v>1</x:v>
      </x:c>
      <x:c r="H4012" s="16" t="n">
        <x:v>0.9750000000000001</x:v>
      </x:c>
      <x:c r="I4012" s="16" t="n">
        <x:v>2.55</x:v>
      </x:c>
      <x:c r="J4012" s="16" t="n">
        <x:v>3.8249999999999997</x:v>
      </x:c>
      <x:c r="K4012" s="11" t="n">
        <x:f>CHOOSE('假设'!$B$3,H4012,I4012,J4012)</x:f>
        <x:v>2.55</x:v>
      </x:c>
      <x:c r="L4012" s="11" t="n">
        <x:f>K4012*'管线假设'!E867*'管线假设'!F867*'管线假设'!G867*IF(E4012="USD",'管线假设'!I867,1)-AM4012</x:f>
        <x:v>0.9221309999999997</x:v>
      </x:c>
      <x:c r="M4012" s="11" t="n">
        <x:f>'管线假设'!H867</x:f>
        <x:v>0.14</x:v>
      </x:c>
      <x:c r="N4012" s="11" t="n">
        <x:f>IF(G4012,L4012*AN4012/(1+M4012)^F4012,0)</x:f>
        <x:v>0.49628507773947084</x:v>
      </x:c>
      <x:c r="AJ4012" s="42" t="n">
        <x:v>0</x:v>
      </x:c>
      <x:c r="AK4012" s="42" t="n">
        <x:v>0</x:v>
      </x:c>
      <x:c r="AL4012" s="42" t="n">
        <x:v>0</x:v>
      </x:c>
      <x:c r="AM4012" t="n">
        <x:f>CHOOSE('假设'!$B$3,AJ4012,AK4012,AL4012)</x:f>
        <x:v>0</x:v>
      </x:c>
      <x:c r="AN4012" t="n">
        <x:v>1</x:v>
      </x:c>
    </x:row>
    <x:row r="4013" ht="23" customHeight="1">
      <x:c r="A4013" s="11" t="str">
        <x:v>02162.HK</x:v>
      </x:c>
      <x:c r="B4013" s="11" t="str">
        <x:v>半年</x:v>
      </x:c>
      <x:c r="C4013" s="11" t="str">
        <x:v>CMG901_2Lplus</x:v>
      </x:c>
      <x:c r="D4013" s="11" t="str">
        <x:v>2032-12-31</x:v>
      </x:c>
      <x:c r="E4013" s="11" t="str">
        <x:v>USD</x:v>
      </x:c>
      <x:c r="F4013" s="11" t="n">
        <x:v>5.730321697467488</x:v>
      </x:c>
      <x:c r="G4013" s="26" t="b">
        <x:v>1</x:v>
      </x:c>
      <x:c r="H4013" s="16" t="n">
        <x:v>1.275</x:v>
      </x:c>
      <x:c r="I4013" s="16" t="n">
        <x:v>3</x:v>
      </x:c>
      <x:c r="J4013" s="16" t="n">
        <x:v>4.5</x:v>
      </x:c>
      <x:c r="K4013" s="11" t="n">
        <x:f>CHOOSE('假设'!$B$3,H4013,I4013,J4013)</x:f>
        <x:v>3</x:v>
      </x:c>
      <x:c r="L4013" s="11" t="n">
        <x:f>K4013*'管线假设'!E867*'管线假设'!F867*'管线假设'!G867*IF(E4013="USD",'管线假设'!I867,1)-AM4013</x:f>
        <x:v>1.08486</x:v>
      </x:c>
      <x:c r="M4013" s="11" t="n">
        <x:f>'管线假设'!H867</x:f>
        <x:v>0.14</x:v>
      </x:c>
      <x:c r="N4013" s="11" t="n">
        <x:f>IF(G4013,L4013*AN4013/(1+M4013)^F4013,0)</x:f>
        <x:v>0.5120243232927348</x:v>
      </x:c>
      <x:c r="AJ4013" s="42" t="n">
        <x:v>0</x:v>
      </x:c>
      <x:c r="AK4013" s="42" t="n">
        <x:v>0</x:v>
      </x:c>
      <x:c r="AL4013" s="42" t="n">
        <x:v>0</x:v>
      </x:c>
      <x:c r="AM4013" t="n">
        <x:f>CHOOSE('假设'!$B$3,AJ4013,AK4013,AL4013)</x:f>
        <x:v>0</x:v>
      </x:c>
      <x:c r="AN4013" t="n">
        <x:v>1</x:v>
      </x:c>
    </x:row>
    <x:row r="4014" ht="23" customHeight="1">
      <x:c r="A4014" s="11" t="str">
        <x:v>02162.HK</x:v>
      </x:c>
      <x:c r="B4014" s="11" t="str">
        <x:v>半年</x:v>
      </x:c>
      <x:c r="C4014" s="11" t="str">
        <x:v>CMG901_2Lplus</x:v>
      </x:c>
      <x:c r="D4014" s="11" t="str">
        <x:v>2033-12-31</x:v>
      </x:c>
      <x:c r="E4014" s="11" t="str">
        <x:v>USD</x:v>
      </x:c>
      <x:c r="F4014" s="11" t="n">
        <x:v>6.729637234770705</x:v>
      </x:c>
      <x:c r="G4014" s="26" t="b">
        <x:v>1</x:v>
      </x:c>
      <x:c r="H4014" s="16" t="n">
        <x:v>1.5</x:v>
      </x:c>
      <x:c r="I4014" s="16" t="n">
        <x:v>3</x:v>
      </x:c>
      <x:c r="J4014" s="16" t="n">
        <x:v>4.5</x:v>
      </x:c>
      <x:c r="K4014" s="11" t="n">
        <x:f>CHOOSE('假设'!$B$3,H4014,I4014,J4014)</x:f>
        <x:v>3</x:v>
      </x:c>
      <x:c r="L4014" s="11" t="n">
        <x:f>K4014*'管线假设'!E867*'管线假设'!F867*'管线假设'!G867*IF(E4014="USD",'管线假设'!I867,1)-AM4014</x:f>
        <x:v>1.08486</x:v>
      </x:c>
      <x:c r="M4014" s="11" t="n">
        <x:f>'管线假设'!H867</x:f>
        <x:v>0.14</x:v>
      </x:c>
      <x:c r="N4014" s="11" t="n">
        <x:f>IF(G4014,L4014*AN4014/(1+M4014)^F4014,0)</x:f>
        <x:v>0.44918442606998293</x:v>
      </x:c>
      <x:c r="AJ4014" s="42" t="n">
        <x:v>0</x:v>
      </x:c>
      <x:c r="AK4014" s="42" t="n">
        <x:v>0</x:v>
      </x:c>
      <x:c r="AL4014" s="42" t="n">
        <x:v>0</x:v>
      </x:c>
      <x:c r="AM4014" t="n">
        <x:f>CHOOSE('假设'!$B$3,AJ4014,AK4014,AL4014)</x:f>
        <x:v>0</x:v>
      </x:c>
      <x:c r="AN4014" t="n">
        <x:v>1</x:v>
      </x:c>
    </x:row>
    <x:row r="4015" ht="23" customHeight="1">
      <x:c r="A4015" s="11" t="str">
        <x:v>02162.HK</x:v>
      </x:c>
      <x:c r="B4015" s="11" t="str">
        <x:v>半年</x:v>
      </x:c>
      <x:c r="C4015" s="11" t="str">
        <x:v>CMG901_2Lplus</x:v>
      </x:c>
      <x:c r="D4015" s="11" t="str">
        <x:v>2034-12-31</x:v>
      </x:c>
      <x:c r="E4015" s="11" t="str">
        <x:v>USD</x:v>
      </x:c>
      <x:c r="F4015" s="11" t="n">
        <x:v>7.728952772073922</x:v>
      </x:c>
      <x:c r="G4015" s="26" t="b">
        <x:v>1</x:v>
      </x:c>
      <x:c r="H4015" s="16" t="n">
        <x:v>1.5</x:v>
      </x:c>
      <x:c r="I4015" s="16" t="n">
        <x:v>2.8499999999999996</x:v>
      </x:c>
      <x:c r="J4015" s="16" t="n">
        <x:v>4.2749999999999995</x:v>
      </x:c>
      <x:c r="K4015" s="11" t="n">
        <x:f>CHOOSE('假设'!$B$3,H4015,I4015,J4015)</x:f>
        <x:v>2.8499999999999996</x:v>
      </x:c>
      <x:c r="L4015" s="11" t="n">
        <x:f>K4015*'管线假设'!E867*'管线假设'!F867*'管线假设'!G867*IF(E4015="USD",'管线假设'!I867,1)-AM4015</x:f>
        <x:v>1.0306169999999997</x:v>
      </x:c>
      <x:c r="M4015" s="11" t="n">
        <x:f>'管线假设'!H867</x:f>
        <x:v>0.14</x:v>
      </x:c>
      <x:c r="N4015" s="11" t="n">
        <x:f>IF(G4015,L4015*AN4015/(1+M4015)^F4015,0)</x:f>
        <x:v>0.37435392709467524</x:v>
      </x:c>
      <x:c r="AJ4015" s="42" t="n">
        <x:v>0</x:v>
      </x:c>
      <x:c r="AK4015" s="42" t="n">
        <x:v>0</x:v>
      </x:c>
      <x:c r="AL4015" s="42" t="n">
        <x:v>0</x:v>
      </x:c>
      <x:c r="AM4015" t="n">
        <x:f>CHOOSE('假设'!$B$3,AJ4015,AK4015,AL4015)</x:f>
        <x:v>0</x:v>
      </x:c>
      <x:c r="AN4015" t="n">
        <x:v>1</x:v>
      </x:c>
    </x:row>
    <x:row r="4016" ht="23" customHeight="1">
      <x:c r="A4016" s="11" t="str">
        <x:v>02162.HK</x:v>
      </x:c>
      <x:c r="B4016" s="11" t="str">
        <x:v>半年</x:v>
      </x:c>
      <x:c r="C4016" s="11" t="str">
        <x:v>CMG901_2Lplus</x:v>
      </x:c>
      <x:c r="D4016" s="11" t="str">
        <x:v>2035-12-31</x:v>
      </x:c>
      <x:c r="E4016" s="11" t="str">
        <x:v>USD</x:v>
      </x:c>
      <x:c r="F4016" s="11" t="n">
        <x:v>8.728268309377139</x:v>
      </x:c>
      <x:c r="G4016" s="26" t="b">
        <x:v>1</x:v>
      </x:c>
      <x:c r="H4016" s="16" t="n">
        <x:v>1.4249999999999998</x:v>
      </x:c>
      <x:c r="I4016" s="16" t="n">
        <x:v>2.7</x:v>
      </x:c>
      <x:c r="J4016" s="16" t="n">
        <x:v>4.05</x:v>
      </x:c>
      <x:c r="K4016" s="11" t="n">
        <x:f>CHOOSE('假设'!$B$3,H4016,I4016,J4016)</x:f>
        <x:v>2.7</x:v>
      </x:c>
      <x:c r="L4016" s="11" t="n">
        <x:f>K4016*'管线假设'!E867*'管线假设'!F867*'管线假设'!G867*IF(E4016="USD",'管线假设'!I867,1)-AM4016</x:f>
        <x:v>0.976374</x:v>
      </x:c>
      <x:c r="M4016" s="11" t="n">
        <x:f>'管线假设'!H867</x:f>
        <x:v>0.14</x:v>
      </x:c>
      <x:c r="N4016" s="11" t="n">
        <x:f>IF(G4016,L4016*AN4016/(1+M4016)^F4016,0)</x:f>
        <x:v>0.31112534804047626</x:v>
      </x:c>
      <x:c r="AJ4016" s="42" t="n">
        <x:v>0</x:v>
      </x:c>
      <x:c r="AK4016" s="42" t="n">
        <x:v>0</x:v>
      </x:c>
      <x:c r="AL4016" s="42" t="n">
        <x:v>0</x:v>
      </x:c>
      <x:c r="AM4016" t="n">
        <x:f>CHOOSE('假设'!$B$3,AJ4016,AK4016,AL4016)</x:f>
        <x:v>0</x:v>
      </x:c>
      <x:c r="AN4016" t="n">
        <x:v>1</x:v>
      </x:c>
    </x:row>
    <x:row r="4017" ht="23" customHeight="1">
      <x:c r="A4017" s="11" t="str">
        <x:v>02162.HK</x:v>
      </x:c>
      <x:c r="B4017" s="11" t="str">
        <x:v>半年</x:v>
      </x:c>
      <x:c r="C4017" s="11" t="str">
        <x:v>CMG901_2Lplus</x:v>
      </x:c>
      <x:c r="D4017" s="11" t="str">
        <x:v>2036-12-31</x:v>
      </x:c>
      <x:c r="E4017" s="11" t="str">
        <x:v>USD</x:v>
      </x:c>
      <x:c r="F4017" s="11" t="n">
        <x:v>9.730321697467488</x:v>
      </x:c>
      <x:c r="G4017" s="26" t="b">
        <x:v>1</x:v>
      </x:c>
      <x:c r="H4017" s="16" t="n">
        <x:v>1.35</x:v>
      </x:c>
      <x:c r="I4017" s="16" t="n">
        <x:v>2.4000000000000004</x:v>
      </x:c>
      <x:c r="J4017" s="16" t="n">
        <x:v>3.6</x:v>
      </x:c>
      <x:c r="K4017" s="11" t="n">
        <x:f>CHOOSE('假设'!$B$3,H4017,I4017,J4017)</x:f>
        <x:v>2.4000000000000004</x:v>
      </x:c>
      <x:c r="L4017" s="11" t="n">
        <x:f>K4017*'管线假设'!E867*'管线假设'!F867*'管线假设'!G867*IF(E4017="USD",'管线假设'!I867,1)-AM4017</x:f>
        <x:v>0.867888</x:v>
      </x:c>
      <x:c r="M4017" s="11" t="n">
        <x:f>'管线假设'!H867</x:f>
        <x:v>0.14</x:v>
      </x:c>
      <x:c r="N4017" s="11" t="n">
        <x:f>IF(G4017,L4017*AN4017/(1+M4017)^F4017,0)</x:f>
        <x:v>0.24252760268435683</x:v>
      </x:c>
      <x:c r="AJ4017" s="42" t="n">
        <x:v>0</x:v>
      </x:c>
      <x:c r="AK4017" s="42" t="n">
        <x:v>0</x:v>
      </x:c>
      <x:c r="AL4017" s="42" t="n">
        <x:v>0</x:v>
      </x:c>
      <x:c r="AM4017" t="n">
        <x:f>CHOOSE('假设'!$B$3,AJ4017,AK4017,AL4017)</x:f>
        <x:v>0</x:v>
      </x:c>
      <x:c r="AN4017" t="n">
        <x:v>1</x:v>
      </x:c>
    </x:row>
    <x:row r="4018" ht="23" customHeight="1">
      <x:c r="A4018" s="11" t="str">
        <x:v>02162.HK</x:v>
      </x:c>
      <x:c r="B4018" s="11" t="str">
        <x:v>半年</x:v>
      </x:c>
      <x:c r="C4018" s="11" t="str">
        <x:v>CMG901_2Lplus</x:v>
      </x:c>
      <x:c r="D4018" s="11" t="str">
        <x:v>2037-12-31</x:v>
      </x:c>
      <x:c r="E4018" s="11" t="str">
        <x:v>USD</x:v>
      </x:c>
      <x:c r="F4018" s="11" t="n">
        <x:v>10.729637234770705</x:v>
      </x:c>
      <x:c r="G4018" s="26" t="b">
        <x:v>1</x:v>
      </x:c>
      <x:c r="H4018" s="16" t="n">
        <x:v>1.2000000000000002</x:v>
      </x:c>
      <x:c r="I4018" s="16" t="n">
        <x:v>1.9500000000000002</x:v>
      </x:c>
      <x:c r="J4018" s="16" t="n">
        <x:v>2.9250000000000003</x:v>
      </x:c>
      <x:c r="K4018" s="11" t="n">
        <x:f>CHOOSE('假设'!$B$3,H4018,I4018,J4018)</x:f>
        <x:v>1.9500000000000002</x:v>
      </x:c>
      <x:c r="L4018" s="11" t="n">
        <x:f>K4018*'管线假设'!E867*'管线假设'!F867*'管线假设'!G867*IF(E4018="USD",'管线假设'!I867,1)-AM4018</x:f>
        <x:v>0.7051589999999999</x:v>
      </x:c>
      <x:c r="M4018" s="11" t="n">
        <x:f>'管线假设'!H867</x:f>
        <x:v>0.14</x:v>
      </x:c>
      <x:c r="N4018" s="11" t="n">
        <x:f>IF(G4018,L4018*AN4018/(1+M4018)^F4018,0)</x:f>
        <x:v>0.17286960572562513</x:v>
      </x:c>
      <x:c r="AJ4018" s="42" t="n">
        <x:v>0</x:v>
      </x:c>
      <x:c r="AK4018" s="42" t="n">
        <x:v>0</x:v>
      </x:c>
      <x:c r="AL4018" s="42" t="n">
        <x:v>0</x:v>
      </x:c>
      <x:c r="AM4018" t="n">
        <x:f>CHOOSE('假设'!$B$3,AJ4018,AK4018,AL4018)</x:f>
        <x:v>0</x:v>
      </x:c>
      <x:c r="AN4018" t="n">
        <x:v>1</x:v>
      </x:c>
    </x:row>
    <x:row r="4019" ht="23" customHeight="1">
      <x:c r="A4019" s="11" t="str">
        <x:v>02162.HK</x:v>
      </x:c>
      <x:c r="B4019" s="11" t="str">
        <x:v>半年</x:v>
      </x:c>
      <x:c r="C4019" s="11" t="str">
        <x:v>CMG901_2Lplus</x:v>
      </x:c>
      <x:c r="D4019" s="11" t="str">
        <x:v>2038-12-31</x:v>
      </x:c>
      <x:c r="E4019" s="11" t="str">
        <x:v>USD</x:v>
      </x:c>
      <x:c r="F4019" s="11" t="n">
        <x:v>11.728952772073923</x:v>
      </x:c>
      <x:c r="G4019" s="26" t="b">
        <x:v>1</x:v>
      </x:c>
      <x:c r="H4019" s="16" t="n">
        <x:v>0.9750000000000001</x:v>
      </x:c>
      <x:c r="I4019" s="16" t="n">
        <x:v>1.5</x:v>
      </x:c>
      <x:c r="J4019" s="16" t="n">
        <x:v>2.25</x:v>
      </x:c>
      <x:c r="K4019" s="11" t="n">
        <x:f>CHOOSE('假设'!$B$3,H4019,I4019,J4019)</x:f>
        <x:v>1.5</x:v>
      </x:c>
      <x:c r="L4019" s="11" t="n">
        <x:f>K4019*'管线假设'!E867*'管线假设'!F867*'管线假设'!G867*IF(E4019="USD",'管线假设'!I867,1)-AM4019</x:f>
        <x:v>0.54243</x:v>
      </x:c>
      <x:c r="M4019" s="11" t="n">
        <x:f>'管线假设'!H867</x:f>
        <x:v>0.14</x:v>
      </x:c>
      <x:c r="N4019" s="11" t="n">
        <x:f>IF(G4019,L4019*AN4019/(1+M4019)^F4019,0)</x:f>
        <x:v>0.11665661946780792</x:v>
      </x:c>
      <x:c r="AJ4019" s="42" t="n">
        <x:v>0</x:v>
      </x:c>
      <x:c r="AK4019" s="42" t="n">
        <x:v>0</x:v>
      </x:c>
      <x:c r="AL4019" s="42" t="n">
        <x:v>0</x:v>
      </x:c>
      <x:c r="AM4019" t="n">
        <x:f>CHOOSE('假设'!$B$3,AJ4019,AK4019,AL4019)</x:f>
        <x:v>0</x:v>
      </x:c>
      <x:c r="AN4019" t="n">
        <x:v>1</x:v>
      </x:c>
    </x:row>
    <x:row r="4020" ht="23" customHeight="1">
      <x:c r="A4020" s="11" t="str">
        <x:v>02162.HK</x:v>
      </x:c>
      <x:c r="B4020" s="11" t="str">
        <x:v>半年</x:v>
      </x:c>
      <x:c r="C4020" s="11" t="str">
        <x:v>CMG901_2Lplus</x:v>
      </x:c>
      <x:c r="D4020" s="11" t="str">
        <x:v>2039-12-31</x:v>
      </x:c>
      <x:c r="E4020" s="11" t="str">
        <x:v>USD</x:v>
      </x:c>
      <x:c r="F4020" s="11" t="n">
        <x:v>12.728268309377139</x:v>
      </x:c>
      <x:c r="G4020" s="26" t="b">
        <x:v>1</x:v>
      </x:c>
      <x:c r="H4020" s="16" t="n">
        <x:v>0.75</x:v>
      </x:c>
      <x:c r="I4020" s="16" t="n">
        <x:v>1.0499999999999998</x:v>
      </x:c>
      <x:c r="J4020" s="16" t="n">
        <x:v>1.575</x:v>
      </x:c>
      <x:c r="K4020" s="11" t="n">
        <x:f>CHOOSE('假设'!$B$3,H4020,I4020,J4020)</x:f>
        <x:v>1.0499999999999998</x:v>
      </x:c>
      <x:c r="L4020" s="11" t="n">
        <x:f>K4020*'管线假设'!E867*'管线假设'!F867*'管线假设'!G867*IF(E4020="USD",'管线假设'!I867,1)-AM4020</x:f>
        <x:v>0.37970099999999984</x:v>
      </x:c>
      <x:c r="M4020" s="11" t="n">
        <x:f>'管线假设'!H867</x:f>
        <x:v>0.14</x:v>
      </x:c>
      <x:c r="N4020" s="11" t="n">
        <x:f>IF(G4020,L4020*AN4020/(1+M4020)^F4020,0)</x:f>
        <x:v>0.07163768203071738</x:v>
      </x:c>
      <x:c r="AJ4020" s="42" t="n">
        <x:v>0</x:v>
      </x:c>
      <x:c r="AK4020" s="42" t="n">
        <x:v>0</x:v>
      </x:c>
      <x:c r="AL4020" s="42" t="n">
        <x:v>0</x:v>
      </x:c>
      <x:c r="AM4020" t="n">
        <x:f>CHOOSE('假设'!$B$3,AJ4020,AK4020,AL4020)</x:f>
        <x:v>0</x:v>
      </x:c>
      <x:c r="AN4020" t="n">
        <x:v>1</x:v>
      </x:c>
    </x:row>
    <x:row r="4021" ht="23" customHeight="1">
      <x:c r="A4021" s="11" t="str">
        <x:v>02162.HK</x:v>
      </x:c>
      <x:c r="B4021" s="11" t="str">
        <x:v>半年</x:v>
      </x:c>
      <x:c r="C4021" s="11" t="str">
        <x:v>CMG901_2Lplus</x:v>
      </x:c>
      <x:c r="D4021" s="11" t="str">
        <x:v>2040-12-31</x:v>
      </x:c>
      <x:c r="E4021" s="11" t="str">
        <x:v>USD</x:v>
      </x:c>
      <x:c r="F4021" s="11" t="n">
        <x:v>13.730321697467488</x:v>
      </x:c>
      <x:c r="G4021" s="26" t="b">
        <x:v>1</x:v>
      </x:c>
      <x:c r="H4021" s="16" t="n">
        <x:v>0.5249999999999999</x:v>
      </x:c>
      <x:c r="I4021" s="16" t="n">
        <x:v>0.6000000000000001</x:v>
      </x:c>
      <x:c r="J4021" s="16" t="n">
        <x:v>0.9</x:v>
      </x:c>
      <x:c r="K4021" s="11" t="n">
        <x:f>CHOOSE('假设'!$B$3,H4021,I4021,J4021)</x:f>
        <x:v>0.6000000000000001</x:v>
      </x:c>
      <x:c r="L4021" s="11" t="n">
        <x:f>K4021*'管线假设'!E867*'管线假设'!F867*'管线假设'!G867*IF(E4021="USD",'管线假设'!I867,1)-AM4021</x:f>
        <x:v>0.216972</x:v>
      </x:c>
      <x:c r="M4021" s="11" t="n">
        <x:f>'管线假设'!H867</x:f>
        <x:v>0.14</x:v>
      </x:c>
      <x:c r="N4021" s="11" t="n">
        <x:f>IF(G4021,L4021*AN4021/(1+M4021)^F4021,0)</x:f>
        <x:v>0.035898952566820276</x:v>
      </x:c>
      <x:c r="AJ4021" s="42" t="n">
        <x:v>0</x:v>
      </x:c>
      <x:c r="AK4021" s="42" t="n">
        <x:v>0</x:v>
      </x:c>
      <x:c r="AL4021" s="42" t="n">
        <x:v>0</x:v>
      </x:c>
      <x:c r="AM4021" t="n">
        <x:f>CHOOSE('假设'!$B$3,AJ4021,AK4021,AL4021)</x:f>
        <x:v>0</x:v>
      </x:c>
      <x:c r="AN4021" t="n">
        <x:v>1</x:v>
      </x:c>
    </x:row>
    <x:row r="4022" ht="23" customHeight="1">
      <x:c r="A4022" s="11" t="str">
        <x:v>02162.HK</x:v>
      </x:c>
      <x:c r="B4022" s="11" t="str">
        <x:v>半年</x:v>
      </x:c>
      <x:c r="C4022" s="11" t="str">
        <x:v>CMG901_2Lplus</x:v>
      </x:c>
      <x:c r="D4022" s="11" t="str">
        <x:v>2041-12-31</x:v>
      </x:c>
      <x:c r="E4022" s="11" t="str">
        <x:v>USD</x:v>
      </x:c>
      <x:c r="F4022" s="11" t="n">
        <x:v>14.729637234770705</x:v>
      </x:c>
      <x:c r="G4022" s="26" t="b">
        <x:v>1</x:v>
      </x:c>
      <x:c r="H4022" s="16" t="n">
        <x:v>0.30000000000000004</x:v>
      </x:c>
      <x:c r="I4022" s="16" t="n">
        <x:v>0.36</x:v>
      </x:c>
      <x:c r="J4022" s="16" t="n">
        <x:v>0.54</x:v>
      </x:c>
      <x:c r="K4022" s="11" t="n">
        <x:f>CHOOSE('假设'!$B$3,H4022,I4022,J4022)</x:f>
        <x:v>0.36</x:v>
      </x:c>
      <x:c r="L4022" s="11" t="n">
        <x:f>K4022*'管线假设'!E867*'管线假设'!F867*'管线假设'!G867*IF(E4022="USD",'管线假设'!I867,1)-AM4022</x:f>
        <x:v>0.1301832</x:v>
      </x:c>
      <x:c r="M4022" s="11" t="n">
        <x:f>'管线假设'!H867</x:f>
        <x:v>0.14</x:v>
      </x:c>
      <x:c r="N4022" s="11" t="n">
        <x:f>IF(G4022,L4022*AN4022/(1+M4022)^F4022,0)</x:f>
        <x:v>0.018895880142812946</x:v>
      </x:c>
      <x:c r="AJ4022" s="42" t="n">
        <x:v>0</x:v>
      </x:c>
      <x:c r="AK4022" s="42" t="n">
        <x:v>0</x:v>
      </x:c>
      <x:c r="AL4022" s="42" t="n">
        <x:v>0</x:v>
      </x:c>
      <x:c r="AM4022" t="n">
        <x:f>CHOOSE('假设'!$B$3,AJ4022,AK4022,AL4022)</x:f>
        <x:v>0</x:v>
      </x:c>
      <x:c r="AN4022" t="n">
        <x:v>1</x:v>
      </x:c>
    </x:row>
    <x:row r="4023" ht="23" customHeight="1">
      <x:c r="A4023" s="11" t="str">
        <x:v>02162.HK</x:v>
      </x:c>
      <x:c r="B4023" s="11" t="str">
        <x:v>半年</x:v>
      </x:c>
      <x:c r="C4023" s="11" t="str">
        <x:v>CMG901_2Lplus</x:v>
      </x:c>
      <x:c r="D4023" s="11" t="str">
        <x:v>2042-12-31</x:v>
      </x:c>
      <x:c r="E4023" s="11" t="str">
        <x:v>USD</x:v>
      </x:c>
      <x:c r="F4023" s="11" t="n">
        <x:v>15.728952772073923</x:v>
      </x:c>
      <x:c r="G4023" s="26" t="b">
        <x:v>1</x:v>
      </x:c>
      <x:c r="H4023" s="16" t="n">
        <x:v>0.18</x:v>
      </x:c>
      <x:c r="I4023" s="16" t="n">
        <x:v>0.21000000000000002</x:v>
      </x:c>
      <x:c r="J4023" s="16" t="n">
        <x:v>0.31500000000000006</x:v>
      </x:c>
      <x:c r="K4023" s="11" t="n">
        <x:f>CHOOSE('假设'!$B$3,H4023,I4023,J4023)</x:f>
        <x:v>0.21000000000000002</x:v>
      </x:c>
      <x:c r="L4023" s="11" t="n">
        <x:f>K4023*'管线假设'!E867*'管线假设'!F867*'管线假设'!G867*IF(E4023="USD",'管线假设'!I867,1)-AM4023</x:f>
        <x:v>0.0759402</x:v>
      </x:c>
      <x:c r="M4023" s="11" t="n">
        <x:f>'管线假设'!H867</x:f>
        <x:v>0.14</x:v>
      </x:c>
      <x:c r="N4023" s="11" t="n">
        <x:f>IF(G4023,L4023*AN4023/(1+M4023)^F4023,0)</x:f>
        <x:v>0.00966981170561957</x:v>
      </x:c>
      <x:c r="AJ4023" s="42" t="n">
        <x:v>0</x:v>
      </x:c>
      <x:c r="AK4023" s="42" t="n">
        <x:v>0</x:v>
      </x:c>
      <x:c r="AL4023" s="42" t="n">
        <x:v>0</x:v>
      </x:c>
      <x:c r="AM4023" t="n">
        <x:f>CHOOSE('假设'!$B$3,AJ4023,AK4023,AL4023)</x:f>
        <x:v>0</x:v>
      </x:c>
      <x:c r="AN4023" t="n">
        <x:v>1</x:v>
      </x:c>
    </x:row>
    <x:row r="4024" ht="23" customHeight="1">
      <x:c r="A4024" s="11" t="str">
        <x:v>02162.HK</x:v>
      </x:c>
      <x:c r="B4024" s="11" t="str">
        <x:v>半年</x:v>
      </x:c>
      <x:c r="C4024" s="11" t="str">
        <x:v>CMG901_2Lplus</x:v>
      </x:c>
      <x:c r="D4024" s="11" t="str">
        <x:v>2043-12-31</x:v>
      </x:c>
      <x:c r="E4024" s="11" t="str">
        <x:v>USD</x:v>
      </x:c>
      <x:c r="F4024" s="11" t="n">
        <x:v>16.72826830937714</x:v>
      </x:c>
      <x:c r="G4024" s="26" t="b">
        <x:v>1</x:v>
      </x:c>
      <x:c r="H4024" s="16" t="n">
        <x:v>0.10500000000000001</x:v>
      </x:c>
      <x:c r="I4024" s="16" t="n">
        <x:v>0.09</x:v>
      </x:c>
      <x:c r="J4024" s="16" t="n">
        <x:v>0.135</x:v>
      </x:c>
      <x:c r="K4024" s="11" t="n">
        <x:f>CHOOSE('假设'!$B$3,H4024,I4024,J4024)</x:f>
        <x:v>0.09</x:v>
      </x:c>
      <x:c r="L4024" s="11" t="n">
        <x:f>K4024*'管线假设'!E867*'管线假设'!F867*'管线假设'!G867*IF(E4024="USD",'管线假设'!I867,1)-AM4024</x:f>
        <x:v>0.0325458</x:v>
      </x:c>
      <x:c r="M4024" s="11" t="n">
        <x:f>'管线假设'!H867</x:f>
        <x:v>0.14</x:v>
      </x:c>
      <x:c r="N4024" s="11" t="n">
        <x:f>IF(G4024,L4024*AN4024/(1+M4024)^F4024,0)</x:f>
        <x:v>0.003635593598306109</x:v>
      </x:c>
      <x:c r="AJ4024" s="42" t="n">
        <x:v>0</x:v>
      </x:c>
      <x:c r="AK4024" s="42" t="n">
        <x:v>0</x:v>
      </x:c>
      <x:c r="AL4024" s="42" t="n">
        <x:v>0</x:v>
      </x:c>
      <x:c r="AM4024" t="n">
        <x:f>CHOOSE('假设'!$B$3,AJ4024,AK4024,AL4024)</x:f>
        <x:v>0</x:v>
      </x:c>
      <x:c r="AN4024" t="n">
        <x:v>1</x:v>
      </x:c>
    </x:row>
    <x:row r="4025" ht="23" customHeight="1">
      <x:c r="A4025" s="11" t="str">
        <x:v>02162.HK</x:v>
      </x:c>
      <x:c r="B4025" s="11" t="str">
        <x:v>半年</x:v>
      </x:c>
      <x:c r="C4025" s="11" t="str">
        <x:v>CMG901_2Lplus</x:v>
      </x:c>
      <x:c r="D4025" s="11" t="str">
        <x:v>2044-12-31</x:v>
      </x:c>
      <x:c r="E4025" s="11" t="str">
        <x:v>USD</x:v>
      </x:c>
      <x:c r="F4025" s="11" t="n">
        <x:v>17.730321697467488</x:v>
      </x:c>
      <x:c r="G4025" s="26" t="b">
        <x:v>1</x:v>
      </x:c>
      <x:c r="H4025" s="16" t="n">
        <x:v>0.045</x:v>
      </x:c>
      <x:c r="I4025" s="16" t="n">
        <x:v>0.09</x:v>
      </x:c>
      <x:c r="J4025" s="16" t="n">
        <x:v>0.135</x:v>
      </x:c>
      <x:c r="K4025" s="11" t="n">
        <x:f>CHOOSE('假设'!$B$3,H4025,I4025,J4025)</x:f>
        <x:v>0.09</x:v>
      </x:c>
      <x:c r="L4025" s="11" t="n">
        <x:f>K4025*'管线假设'!E867*'管线假设'!F867*'管线假设'!G867*IF(E4025="USD",'管线假设'!I867,1)-AM4025</x:f>
        <x:v>0.0325458</x:v>
      </x:c>
      <x:c r="M4025" s="11" t="n">
        <x:f>'管线假设'!H867</x:f>
        <x:v>0.14</x:v>
      </x:c>
      <x:c r="N4025" s="11" t="n">
        <x:f>IF(G4025,L4025*AN4025/(1+M4025)^F4025,0)</x:f>
        <x:v>0.0031882592689593332</x:v>
      </x:c>
      <x:c r="AJ4025" s="42" t="n">
        <x:v>0</x:v>
      </x:c>
      <x:c r="AK4025" s="42" t="n">
        <x:v>0</x:v>
      </x:c>
      <x:c r="AL4025" s="42" t="n">
        <x:v>0</x:v>
      </x:c>
      <x:c r="AM4025" t="n">
        <x:f>CHOOSE('假设'!$B$3,AJ4025,AK4025,AL4025)</x:f>
        <x:v>0</x:v>
      </x:c>
      <x:c r="AN4025" t="n">
        <x:v>1</x:v>
      </x:c>
    </x:row>
    <x:row r="4026" ht="23" customHeight="1">
      <x:c r="A4026" s="11" t="str">
        <x:v>02162.HK</x:v>
      </x:c>
      <x:c r="B4026" s="11" t="str">
        <x:v>半年</x:v>
      </x:c>
      <x:c r="C4026" s="11" t="str">
        <x:v>CMG901_expansion</x:v>
      </x:c>
      <x:c r="D4026" s="11" t="str">
        <x:v>2026-12-31</x:v>
      </x:c>
      <x:c r="E4026" s="11" t="str">
        <x:v>USD</x:v>
      </x:c>
      <x:c r="F4026" s="11" t="n">
        <x:v>-0.27104722792607805</x:v>
      </x:c>
      <x:c r="G4026" s="26" t="b">
        <x:v>0</x:v>
      </x:c>
      <x:c r="H4026" s="16" t="n">
        <x:v>0</x:v>
      </x:c>
      <x:c r="I4026" s="16" t="n">
        <x:v>0</x:v>
      </x:c>
      <x:c r="J4026" s="16" t="n">
        <x:v>0</x:v>
      </x:c>
      <x:c r="K4026" s="11" t="n">
        <x:f>CHOOSE('假设'!$B$3,H4026,I4026,J4026)</x:f>
        <x:v>0</x:v>
      </x:c>
      <x:c r="L4026" s="11" t="n">
        <x:f>K4026*'管线假设'!E871*'管线假设'!F871*'管线假设'!G871*IF(E4026="USD",'管线假设'!I871,1)-AM4026</x:f>
        <x:v>-0.042</x:v>
      </x:c>
      <x:c r="M4026" s="11" t="n">
        <x:f>'管线假设'!H871</x:f>
        <x:v>0.14</x:v>
      </x:c>
      <x:c r="N4026" s="11" t="n">
        <x:f>IF(G4026,L4026*AN4026/(1+M4026)^F4026,0)</x:f>
        <x:v>0</x:v>
      </x:c>
      <x:c r="AJ4026" s="42" t="n">
        <x:v>0.028</x:v>
      </x:c>
      <x:c r="AK4026" s="42" t="n">
        <x:v>0.042</x:v>
      </x:c>
      <x:c r="AL4026" s="42" t="n">
        <x:v>0.056</x:v>
      </x:c>
      <x:c r="AM4026" t="n">
        <x:f>CHOOSE('假设'!$B$3,AJ4026,AK4026,AL4026)</x:f>
        <x:v>0.042</x:v>
      </x:c>
      <x:c r="AN4026" t="n">
        <x:v>0</x:v>
      </x:c>
    </x:row>
    <x:row r="4027" ht="23" customHeight="1">
      <x:c r="A4027" s="11" t="str">
        <x:v>02162.HK</x:v>
      </x:c>
      <x:c r="B4027" s="11" t="str">
        <x:v>半年</x:v>
      </x:c>
      <x:c r="C4027" s="11" t="str">
        <x:v>CMG901_expansion</x:v>
      </x:c>
      <x:c r="D4027" s="11" t="str">
        <x:v>2027-12-31</x:v>
      </x:c>
      <x:c r="E4027" s="11" t="str">
        <x:v>USD</x:v>
      </x:c>
      <x:c r="F4027" s="11" t="n">
        <x:v>0.7282683093771389</x:v>
      </x:c>
      <x:c r="G4027" s="26" t="b">
        <x:v>1</x:v>
      </x:c>
      <x:c r="H4027" s="16" t="n">
        <x:v>0</x:v>
      </x:c>
      <x:c r="I4027" s="16" t="n">
        <x:v>0</x:v>
      </x:c>
      <x:c r="J4027" s="16" t="n">
        <x:v>0</x:v>
      </x:c>
      <x:c r="K4027" s="11" t="n">
        <x:f>CHOOSE('假设'!$B$3,H4027,I4027,J4027)</x:f>
        <x:v>0</x:v>
      </x:c>
      <x:c r="L4027" s="11" t="n">
        <x:f>K4027*'管线假设'!E871*'管线假设'!F871*'管线假设'!G871*IF(E4027="USD",'管线假设'!I871,1)-AM4027</x:f>
        <x:v>-0.042</x:v>
      </x:c>
      <x:c r="M4027" s="11" t="n">
        <x:f>'管线假设'!H871</x:f>
        <x:v>0.14</x:v>
      </x:c>
      <x:c r="N4027" s="11" t="n">
        <x:f>IF(G4027,L4027*AN4027/(1+M4027)^F4027,0)</x:f>
        <x:v>-0.02789892976139661</x:v>
      </x:c>
      <x:c r="AJ4027" s="42" t="n">
        <x:v>0.028</x:v>
      </x:c>
      <x:c r="AK4027" s="42" t="n">
        <x:v>0.042</x:v>
      </x:c>
      <x:c r="AL4027" s="42" t="n">
        <x:v>0.056</x:v>
      </x:c>
      <x:c r="AM4027" t="n">
        <x:f>CHOOSE('假设'!$B$3,AJ4027,AK4027,AL4027)</x:f>
        <x:v>0.042</x:v>
      </x:c>
      <x:c r="AN4027" t="n">
        <x:v>0.7307692307692307</x:v>
      </x:c>
    </x:row>
    <x:row r="4028" ht="23" customHeight="1">
      <x:c r="A4028" s="11" t="str">
        <x:v>02162.HK</x:v>
      </x:c>
      <x:c r="B4028" s="11" t="str">
        <x:v>半年</x:v>
      </x:c>
      <x:c r="C4028" s="11" t="str">
        <x:v>CMG901_expansion</x:v>
      </x:c>
      <x:c r="D4028" s="11" t="str">
        <x:v>2028-12-31</x:v>
      </x:c>
      <x:c r="E4028" s="11" t="str">
        <x:v>USD</x:v>
      </x:c>
      <x:c r="F4028" s="11" t="n">
        <x:v>1.730321697467488</x:v>
      </x:c>
      <x:c r="G4028" s="26" t="b">
        <x:v>1</x:v>
      </x:c>
      <x:c r="H4028" s="16" t="n">
        <x:v>0</x:v>
      </x:c>
      <x:c r="I4028" s="16" t="n">
        <x:v>0</x:v>
      </x:c>
      <x:c r="J4028" s="16" t="n">
        <x:v>0</x:v>
      </x:c>
      <x:c r="K4028" s="11" t="n">
        <x:f>CHOOSE('假设'!$B$3,H4028,I4028,J4028)</x:f>
        <x:v>0</x:v>
      </x:c>
      <x:c r="L4028" s="11" t="n">
        <x:f>K4028*'管线假设'!E871*'管线假设'!F871*'管线假设'!G871*IF(E4028="USD",'管线假设'!I871,1)-AM4028</x:f>
        <x:v>0</x:v>
      </x:c>
      <x:c r="M4028" s="11" t="n">
        <x:f>'管线假设'!H871</x:f>
        <x:v>0.14</x:v>
      </x:c>
      <x:c r="N4028" s="11" t="n">
        <x:f>IF(G4028,L4028*AN4028/(1+M4028)^F4028,0)</x:f>
        <x:v>0</x:v>
      </x:c>
      <x:c r="AJ4028" s="42" t="n">
        <x:v>0</x:v>
      </x:c>
      <x:c r="AK4028" s="42" t="n">
        <x:v>0</x:v>
      </x:c>
      <x:c r="AL4028" s="42" t="n">
        <x:v>0</x:v>
      </x:c>
      <x:c r="AM4028" t="n">
        <x:f>CHOOSE('假设'!$B$3,AJ4028,AK4028,AL4028)</x:f>
        <x:v>0</x:v>
      </x:c>
      <x:c r="AN4028" t="n">
        <x:v>1</x:v>
      </x:c>
    </x:row>
    <x:row r="4029" ht="23" customHeight="1">
      <x:c r="A4029" s="11" t="str">
        <x:v>02162.HK</x:v>
      </x:c>
      <x:c r="B4029" s="11" t="str">
        <x:v>半年</x:v>
      </x:c>
      <x:c r="C4029" s="11" t="str">
        <x:v>CMG901_expansion</x:v>
      </x:c>
      <x:c r="D4029" s="11" t="str">
        <x:v>2029-12-31</x:v>
      </x:c>
      <x:c r="E4029" s="11" t="str">
        <x:v>USD</x:v>
      </x:c>
      <x:c r="F4029" s="11" t="n">
        <x:v>2.729637234770705</x:v>
      </x:c>
      <x:c r="G4029" s="26" t="b">
        <x:v>1</x:v>
      </x:c>
      <x:c r="H4029" s="16" t="n">
        <x:v>0</x:v>
      </x:c>
      <x:c r="I4029" s="16" t="n">
        <x:v>0</x:v>
      </x:c>
      <x:c r="J4029" s="16" t="n">
        <x:v>0.3</x:v>
      </x:c>
      <x:c r="K4029" s="11" t="n">
        <x:f>CHOOSE('假设'!$B$3,H4029,I4029,J4029)</x:f>
        <x:v>0</x:v>
      </x:c>
      <x:c r="L4029" s="11" t="n">
        <x:f>K4029*'管线假设'!E871*'管线假设'!F871*'管线假设'!G871*IF(E4029="USD",'管线假设'!I871,1)-AM4029</x:f>
        <x:v>0</x:v>
      </x:c>
      <x:c r="M4029" s="11" t="n">
        <x:f>'管线假设'!H871</x:f>
        <x:v>0.14</x:v>
      </x:c>
      <x:c r="N4029" s="11" t="n">
        <x:f>IF(G4029,L4029*AN4029/(1+M4029)^F4029,0)</x:f>
        <x:v>0</x:v>
      </x:c>
      <x:c r="AJ4029" s="42" t="n">
        <x:v>0</x:v>
      </x:c>
      <x:c r="AK4029" s="42" t="n">
        <x:v>0</x:v>
      </x:c>
      <x:c r="AL4029" s="42" t="n">
        <x:v>0</x:v>
      </x:c>
      <x:c r="AM4029" t="n">
        <x:f>CHOOSE('假设'!$B$3,AJ4029,AK4029,AL4029)</x:f>
        <x:v>0</x:v>
      </x:c>
      <x:c r="AN4029" t="n">
        <x:v>1</x:v>
      </x:c>
    </x:row>
    <x:row r="4030" ht="23" customHeight="1">
      <x:c r="A4030" s="11" t="str">
        <x:v>02162.HK</x:v>
      </x:c>
      <x:c r="B4030" s="11" t="str">
        <x:v>半年</x:v>
      </x:c>
      <x:c r="C4030" s="11" t="str">
        <x:v>CMG901_expansion</x:v>
      </x:c>
      <x:c r="D4030" s="11" t="str">
        <x:v>2030-12-31</x:v>
      </x:c>
      <x:c r="E4030" s="11" t="str">
        <x:v>USD</x:v>
      </x:c>
      <x:c r="F4030" s="11" t="n">
        <x:v>3.728952772073922</x:v>
      </x:c>
      <x:c r="G4030" s="26" t="b">
        <x:v>1</x:v>
      </x:c>
      <x:c r="H4030" s="16" t="n">
        <x:v>0</x:v>
      </x:c>
      <x:c r="I4030" s="16" t="n">
        <x:v>0.15</x:v>
      </x:c>
      <x:c r="J4030" s="16" t="n">
        <x:v>0.8999999999999999</x:v>
      </x:c>
      <x:c r="K4030" s="11" t="n">
        <x:f>CHOOSE('假设'!$B$3,H4030,I4030,J4030)</x:f>
        <x:v>0.15</x:v>
      </x:c>
      <x:c r="L4030" s="11" t="n">
        <x:f>K4030*'管线假设'!E871*'管线假设'!F871*'管线假设'!G871*IF(E4030="USD",'管线假设'!I871,1)-AM4030</x:f>
        <x:v>0.02531339999999999</x:v>
      </x:c>
      <x:c r="M4030" s="11" t="n">
        <x:f>'管线假设'!H871</x:f>
        <x:v>0.14</x:v>
      </x:c>
      <x:c r="N4030" s="11" t="n">
        <x:f>IF(G4030,L4030*AN4030/(1+M4030)^F4030,0)</x:f>
        <x:v>0.015529410807779505</x:v>
      </x:c>
      <x:c r="AJ4030" s="42" t="n">
        <x:v>0</x:v>
      </x:c>
      <x:c r="AK4030" s="42" t="n">
        <x:v>0</x:v>
      </x:c>
      <x:c r="AL4030" s="42" t="n">
        <x:v>0</x:v>
      </x:c>
      <x:c r="AM4030" t="n">
        <x:f>CHOOSE('假设'!$B$3,AJ4030,AK4030,AL4030)</x:f>
        <x:v>0</x:v>
      </x:c>
      <x:c r="AN4030" t="n">
        <x:v>1</x:v>
      </x:c>
    </x:row>
    <x:row r="4031" ht="23" customHeight="1">
      <x:c r="A4031" s="11" t="str">
        <x:v>02162.HK</x:v>
      </x:c>
      <x:c r="B4031" s="11" t="str">
        <x:v>半年</x:v>
      </x:c>
      <x:c r="C4031" s="11" t="str">
        <x:v>CMG901_expansion</x:v>
      </x:c>
      <x:c r="D4031" s="11" t="str">
        <x:v>2031-12-31</x:v>
      </x:c>
      <x:c r="E4031" s="11" t="str">
        <x:v>USD</x:v>
      </x:c>
      <x:c r="F4031" s="11" t="n">
        <x:v>4.728268309377139</x:v>
      </x:c>
      <x:c r="G4031" s="26" t="b">
        <x:v>1</x:v>
      </x:c>
      <x:c r="H4031" s="16" t="n">
        <x:v>0</x:v>
      </x:c>
      <x:c r="I4031" s="16" t="n">
        <x:v>0.44999999999999996</x:v>
      </x:c>
      <x:c r="J4031" s="16" t="n">
        <x:v>1.9</x:v>
      </x:c>
      <x:c r="K4031" s="11" t="n">
        <x:f>CHOOSE('假设'!$B$3,H4031,I4031,J4031)</x:f>
        <x:v>0.44999999999999996</x:v>
      </x:c>
      <x:c r="L4031" s="11" t="n">
        <x:f>K4031*'管线假设'!E871*'管线假设'!F871*'管线假设'!G871*IF(E4031="USD",'管线假设'!I871,1)-AM4031</x:f>
        <x:v>0.07594019999999997</x:v>
      </x:c>
      <x:c r="M4031" s="11" t="n">
        <x:f>'管线假设'!H871</x:f>
        <x:v>0.14</x:v>
      </x:c>
      <x:c r="N4031" s="11" t="n">
        <x:f>IF(G4031,L4031*AN4031/(1+M4031)^F4031,0)</x:f>
        <x:v>0.040870535813838774</x:v>
      </x:c>
      <x:c r="AJ4031" s="42" t="n">
        <x:v>0</x:v>
      </x:c>
      <x:c r="AK4031" s="42" t="n">
        <x:v>0</x:v>
      </x:c>
      <x:c r="AL4031" s="42" t="n">
        <x:v>0</x:v>
      </x:c>
      <x:c r="AM4031" t="n">
        <x:f>CHOOSE('假设'!$B$3,AJ4031,AK4031,AL4031)</x:f>
        <x:v>0</x:v>
      </x:c>
      <x:c r="AN4031" t="n">
        <x:v>1</x:v>
      </x:c>
    </x:row>
    <x:row r="4032" ht="23" customHeight="1">
      <x:c r="A4032" s="11" t="str">
        <x:v>02162.HK</x:v>
      </x:c>
      <x:c r="B4032" s="11" t="str">
        <x:v>半年</x:v>
      </x:c>
      <x:c r="C4032" s="11" t="str">
        <x:v>CMG901_expansion</x:v>
      </x:c>
      <x:c r="D4032" s="11" t="str">
        <x:v>2032-12-31</x:v>
      </x:c>
      <x:c r="E4032" s="11" t="str">
        <x:v>USD</x:v>
      </x:c>
      <x:c r="F4032" s="11" t="n">
        <x:v>5.730321697467488</x:v>
      </x:c>
      <x:c r="G4032" s="26" t="b">
        <x:v>1</x:v>
      </x:c>
      <x:c r="H4032" s="16" t="n">
        <x:v>0.048</x:v>
      </x:c>
      <x:c r="I4032" s="16" t="n">
        <x:v>0.95</x:v>
      </x:c>
      <x:c r="J4032" s="16" t="n">
        <x:v>3.25</x:v>
      </x:c>
      <x:c r="K4032" s="11" t="n">
        <x:f>CHOOSE('假设'!$B$3,H4032,I4032,J4032)</x:f>
        <x:v>0.95</x:v>
      </x:c>
      <x:c r="L4032" s="11" t="n">
        <x:f>K4032*'管线假设'!E871*'管线假设'!F871*'管线假设'!G871*IF(E4032="USD",'管线假设'!I871,1)-AM4032</x:f>
        <x:v>0.16031819999999994</x:v>
      </x:c>
      <x:c r="M4032" s="11" t="n">
        <x:f>'管线假设'!H871</x:f>
        <x:v>0.14</x:v>
      </x:c>
      <x:c r="N4032" s="11" t="n">
        <x:f>IF(G4032,L4032*AN4032/(1+M4032)^F4032,0)</x:f>
        <x:v>0.07566581666437079</x:v>
      </x:c>
      <x:c r="AJ4032" s="42" t="n">
        <x:v>0</x:v>
      </x:c>
      <x:c r="AK4032" s="42" t="n">
        <x:v>0</x:v>
      </x:c>
      <x:c r="AL4032" s="42" t="n">
        <x:v>0</x:v>
      </x:c>
      <x:c r="AM4032" t="n">
        <x:f>CHOOSE('假设'!$B$3,AJ4032,AK4032,AL4032)</x:f>
        <x:v>0</x:v>
      </x:c>
      <x:c r="AN4032" t="n">
        <x:v>1</x:v>
      </x:c>
    </x:row>
    <x:row r="4033" ht="23" customHeight="1">
      <x:c r="A4033" s="11" t="str">
        <x:v>02162.HK</x:v>
      </x:c>
      <x:c r="B4033" s="11" t="str">
        <x:v>半年</x:v>
      </x:c>
      <x:c r="C4033" s="11" t="str">
        <x:v>CMG901_expansion</x:v>
      </x:c>
      <x:c r="D4033" s="11" t="str">
        <x:v>2033-12-31</x:v>
      </x:c>
      <x:c r="E4033" s="11" t="str">
        <x:v>USD</x:v>
      </x:c>
      <x:c r="F4033" s="11" t="n">
        <x:v>6.729637234770705</x:v>
      </x:c>
      <x:c r="G4033" s="26" t="b">
        <x:v>1</x:v>
      </x:c>
      <x:c r="H4033" s="16" t="n">
        <x:v>0.144</x:v>
      </x:c>
      <x:c r="I4033" s="16" t="n">
        <x:v>1.625</x:v>
      </x:c>
      <x:c r="J4033" s="16" t="n">
        <x:v>4.25</x:v>
      </x:c>
      <x:c r="K4033" s="11" t="n">
        <x:f>CHOOSE('假设'!$B$3,H4033,I4033,J4033)</x:f>
        <x:v>1.625</x:v>
      </x:c>
      <x:c r="L4033" s="11" t="n">
        <x:f>K4033*'管线假设'!E871*'管线假设'!F871*'管线假设'!G871*IF(E4033="USD",'管线假设'!I871,1)-AM4033</x:f>
        <x:v>0.2742285</x:v>
      </x:c>
      <x:c r="M4033" s="11" t="n">
        <x:f>'管线假设'!H871</x:f>
        <x:v>0.14</x:v>
      </x:c>
      <x:c r="N4033" s="11" t="n">
        <x:f>IF(G4033,L4033*AN4033/(1+M4033)^F4033,0)</x:f>
        <x:v>0.1135438410343568</x:v>
      </x:c>
      <x:c r="AJ4033" s="42" t="n">
        <x:v>0</x:v>
      </x:c>
      <x:c r="AK4033" s="42" t="n">
        <x:v>0</x:v>
      </x:c>
      <x:c r="AL4033" s="42" t="n">
        <x:v>0</x:v>
      </x:c>
      <x:c r="AM4033" t="n">
        <x:f>CHOOSE('假设'!$B$3,AJ4033,AK4033,AL4033)</x:f>
        <x:v>0</x:v>
      </x:c>
      <x:c r="AN4033" t="n">
        <x:v>1</x:v>
      </x:c>
    </x:row>
    <x:row r="4034" ht="23" customHeight="1">
      <x:c r="A4034" s="11" t="str">
        <x:v>02162.HK</x:v>
      </x:c>
      <x:c r="B4034" s="11" t="str">
        <x:v>半年</x:v>
      </x:c>
      <x:c r="C4034" s="11" t="str">
        <x:v>CMG901_expansion</x:v>
      </x:c>
      <x:c r="D4034" s="11" t="str">
        <x:v>2034-12-31</x:v>
      </x:c>
      <x:c r="E4034" s="11" t="str">
        <x:v>USD</x:v>
      </x:c>
      <x:c r="F4034" s="11" t="n">
        <x:v>7.728952772073922</x:v>
      </x:c>
      <x:c r="G4034" s="26" t="b">
        <x:v>1</x:v>
      </x:c>
      <x:c r="H4034" s="16" t="n">
        <x:v>0.30400000000000005</x:v>
      </x:c>
      <x:c r="I4034" s="16" t="n">
        <x:v>2.125</x:v>
      </x:c>
      <x:c r="J4034" s="16" t="n">
        <x:v>5</x:v>
      </x:c>
      <x:c r="K4034" s="11" t="n">
        <x:f>CHOOSE('假设'!$B$3,H4034,I4034,J4034)</x:f>
        <x:v>2.125</x:v>
      </x:c>
      <x:c r="L4034" s="11" t="n">
        <x:f>K4034*'管线假设'!E871*'管线假设'!F871*'管线假设'!G871*IF(E4034="USD",'管线假设'!I871,1)-AM4034</x:f>
        <x:v>0.35860649999999994</x:v>
      </x:c>
      <x:c r="M4034" s="11" t="n">
        <x:f>'管线假设'!H871</x:f>
        <x:v>0.14</x:v>
      </x:c>
      <x:c r="N4034" s="11" t="n">
        <x:f>IF(G4034,L4034*AN4034/(1+M4034)^F4034,0)</x:f>
        <x:v>0.1302576529949309</x:v>
      </x:c>
      <x:c r="AJ4034" s="42" t="n">
        <x:v>0</x:v>
      </x:c>
      <x:c r="AK4034" s="42" t="n">
        <x:v>0</x:v>
      </x:c>
      <x:c r="AL4034" s="42" t="n">
        <x:v>0</x:v>
      </x:c>
      <x:c r="AM4034" t="n">
        <x:f>CHOOSE('假设'!$B$3,AJ4034,AK4034,AL4034)</x:f>
        <x:v>0</x:v>
      </x:c>
      <x:c r="AN4034" t="n">
        <x:v>1</x:v>
      </x:c>
    </x:row>
    <x:row r="4035" ht="23" customHeight="1">
      <x:c r="A4035" s="11" t="str">
        <x:v>02162.HK</x:v>
      </x:c>
      <x:c r="B4035" s="11" t="str">
        <x:v>半年</x:v>
      </x:c>
      <x:c r="C4035" s="11" t="str">
        <x:v>CMG901_expansion</x:v>
      </x:c>
      <x:c r="D4035" s="11" t="str">
        <x:v>2035-12-31</x:v>
      </x:c>
      <x:c r="E4035" s="11" t="str">
        <x:v>USD</x:v>
      </x:c>
      <x:c r="F4035" s="11" t="n">
        <x:v>8.728268309377139</x:v>
      </x:c>
      <x:c r="G4035" s="26" t="b">
        <x:v>1</x:v>
      </x:c>
      <x:c r="H4035" s="16" t="n">
        <x:v>0.52</x:v>
      </x:c>
      <x:c r="I4035" s="16" t="n">
        <x:v>2.5</x:v>
      </x:c>
      <x:c r="J4035" s="16" t="n">
        <x:v>5</x:v>
      </x:c>
      <x:c r="K4035" s="11" t="n">
        <x:f>CHOOSE('假设'!$B$3,H4035,I4035,J4035)</x:f>
        <x:v>2.5</x:v>
      </x:c>
      <x:c r="L4035" s="11" t="n">
        <x:f>K4035*'管线假设'!E871*'管线假设'!F871*'管线假设'!G871*IF(E4035="USD",'管线假设'!I871,1)-AM4035</x:f>
        <x:v>0.4218899999999999</x:v>
      </x:c>
      <x:c r="M4035" s="11" t="n">
        <x:f>'管线假设'!H871</x:f>
        <x:v>0.14</x:v>
      </x:c>
      <x:c r="N4035" s="11" t="n">
        <x:f>IF(G4035,L4035*AN4035/(1+M4035)^F4035,0)</x:f>
        <x:v>0.1344368787829218</x:v>
      </x:c>
      <x:c r="AJ4035" s="42" t="n">
        <x:v>0</x:v>
      </x:c>
      <x:c r="AK4035" s="42" t="n">
        <x:v>0</x:v>
      </x:c>
      <x:c r="AL4035" s="42" t="n">
        <x:v>0</x:v>
      </x:c>
      <x:c r="AM4035" t="n">
        <x:f>CHOOSE('假设'!$B$3,AJ4035,AK4035,AL4035)</x:f>
        <x:v>0</x:v>
      </x:c>
      <x:c r="AN4035" t="n">
        <x:v>1</x:v>
      </x:c>
    </x:row>
    <x:row r="4036" ht="23" customHeight="1">
      <x:c r="A4036" s="11" t="str">
        <x:v>02162.HK</x:v>
      </x:c>
      <x:c r="B4036" s="11" t="str">
        <x:v>半年</x:v>
      </x:c>
      <x:c r="C4036" s="11" t="str">
        <x:v>CMG901_expansion</x:v>
      </x:c>
      <x:c r="D4036" s="11" t="str">
        <x:v>2036-12-31</x:v>
      </x:c>
      <x:c r="E4036" s="11" t="str">
        <x:v>USD</x:v>
      </x:c>
      <x:c r="F4036" s="11" t="n">
        <x:v>9.730321697467488</x:v>
      </x:c>
      <x:c r="G4036" s="26" t="b">
        <x:v>1</x:v>
      </x:c>
      <x:c r="H4036" s="16" t="n">
        <x:v>0.68</x:v>
      </x:c>
      <x:c r="I4036" s="16" t="n">
        <x:v>2.5</x:v>
      </x:c>
      <x:c r="J4036" s="16" t="n">
        <x:v>4.75</x:v>
      </x:c>
      <x:c r="K4036" s="11" t="n">
        <x:f>CHOOSE('假设'!$B$3,H4036,I4036,J4036)</x:f>
        <x:v>2.5</x:v>
      </x:c>
      <x:c r="L4036" s="11" t="n">
        <x:f>K4036*'管线假设'!E871*'管线假设'!F871*'管线假设'!G871*IF(E4036="USD",'管线假设'!I871,1)-AM4036</x:f>
        <x:v>0.4218899999999999</x:v>
      </x:c>
      <x:c r="M4036" s="11" t="n">
        <x:f>'管线假设'!H871</x:f>
        <x:v>0.14</x:v>
      </x:c>
      <x:c r="N4036" s="11" t="n">
        <x:f>IF(G4036,L4036*AN4036/(1+M4036)^F4036,0)</x:f>
        <x:v>0.11789536241600675</x:v>
      </x:c>
      <x:c r="AJ4036" s="42" t="n">
        <x:v>0</x:v>
      </x:c>
      <x:c r="AK4036" s="42" t="n">
        <x:v>0</x:v>
      </x:c>
      <x:c r="AL4036" s="42" t="n">
        <x:v>0</x:v>
      </x:c>
      <x:c r="AM4036" t="n">
        <x:f>CHOOSE('假设'!$B$3,AJ4036,AK4036,AL4036)</x:f>
        <x:v>0</x:v>
      </x:c>
      <x:c r="AN4036" t="n">
        <x:v>1</x:v>
      </x:c>
    </x:row>
    <x:row r="4037" ht="23" customHeight="1">
      <x:c r="A4037" s="11" t="str">
        <x:v>02162.HK</x:v>
      </x:c>
      <x:c r="B4037" s="11" t="str">
        <x:v>半年</x:v>
      </x:c>
      <x:c r="C4037" s="11" t="str">
        <x:v>CMG901_expansion</x:v>
      </x:c>
      <x:c r="D4037" s="11" t="str">
        <x:v>2037-12-31</x:v>
      </x:c>
      <x:c r="E4037" s="11" t="str">
        <x:v>USD</x:v>
      </x:c>
      <x:c r="F4037" s="11" t="n">
        <x:v>10.729637234770705</x:v>
      </x:c>
      <x:c r="G4037" s="26" t="b">
        <x:v>1</x:v>
      </x:c>
      <x:c r="H4037" s="16" t="n">
        <x:v>0.8</x:v>
      </x:c>
      <x:c r="I4037" s="16" t="n">
        <x:v>2.375</x:v>
      </x:c>
      <x:c r="J4037" s="16" t="n">
        <x:v>4.5</x:v>
      </x:c>
      <x:c r="K4037" s="11" t="n">
        <x:f>CHOOSE('假设'!$B$3,H4037,I4037,J4037)</x:f>
        <x:v>2.375</x:v>
      </x:c>
      <x:c r="L4037" s="11" t="n">
        <x:f>K4037*'管线假设'!E871*'管线假设'!F871*'管线假设'!G871*IF(E4037="USD",'管线假设'!I871,1)-AM4037</x:f>
        <x:v>0.40079549999999986</x:v>
      </x:c>
      <x:c r="M4037" s="11" t="n">
        <x:f>'管线假设'!H871</x:f>
        <x:v>0.14</x:v>
      </x:c>
      <x:c r="N4037" s="11" t="n">
        <x:f>IF(G4037,L4037*AN4037/(1+M4037)^F4037,0)</x:f>
        <x:v>0.09825494684405187</x:v>
      </x:c>
      <x:c r="AJ4037" s="42" t="n">
        <x:v>0</x:v>
      </x:c>
      <x:c r="AK4037" s="42" t="n">
        <x:v>0</x:v>
      </x:c>
      <x:c r="AL4037" s="42" t="n">
        <x:v>0</x:v>
      </x:c>
      <x:c r="AM4037" t="n">
        <x:f>CHOOSE('假设'!$B$3,AJ4037,AK4037,AL4037)</x:f>
        <x:v>0</x:v>
      </x:c>
      <x:c r="AN4037" t="n">
        <x:v>1</x:v>
      </x:c>
    </x:row>
    <x:row r="4038" ht="23" customHeight="1">
      <x:c r="A4038" s="11" t="str">
        <x:v>02162.HK</x:v>
      </x:c>
      <x:c r="B4038" s="11" t="str">
        <x:v>半年</x:v>
      </x:c>
      <x:c r="C4038" s="11" t="str">
        <x:v>CMG901_expansion</x:v>
      </x:c>
      <x:c r="D4038" s="11" t="str">
        <x:v>2038-12-31</x:v>
      </x:c>
      <x:c r="E4038" s="11" t="str">
        <x:v>USD</x:v>
      </x:c>
      <x:c r="F4038" s="11" t="n">
        <x:v>11.728952772073923</x:v>
      </x:c>
      <x:c r="G4038" s="26" t="b">
        <x:v>1</x:v>
      </x:c>
      <x:c r="H4038" s="16" t="n">
        <x:v>0.8</x:v>
      </x:c>
      <x:c r="I4038" s="16" t="n">
        <x:v>2.25</x:v>
      </x:c>
      <x:c r="J4038" s="16" t="n">
        <x:v>4</x:v>
      </x:c>
      <x:c r="K4038" s="11" t="n">
        <x:f>CHOOSE('假设'!$B$3,H4038,I4038,J4038)</x:f>
        <x:v>2.25</x:v>
      </x:c>
      <x:c r="L4038" s="11" t="n">
        <x:f>K4038*'管线假设'!E871*'管线假设'!F871*'管线假设'!G871*IF(E4038="USD",'管线假设'!I871,1)-AM4038</x:f>
        <x:v>0.37970099999999996</x:v>
      </x:c>
      <x:c r="M4038" s="11" t="n">
        <x:f>'管线假设'!H871</x:f>
        <x:v>0.14</x:v>
      </x:c>
      <x:c r="N4038" s="11" t="n">
        <x:f>IF(G4038,L4038*AN4038/(1+M4038)^F4038,0)</x:f>
        <x:v>0.08165963362746555</x:v>
      </x:c>
      <x:c r="AJ4038" s="42" t="n">
        <x:v>0</x:v>
      </x:c>
      <x:c r="AK4038" s="42" t="n">
        <x:v>0</x:v>
      </x:c>
      <x:c r="AL4038" s="42" t="n">
        <x:v>0</x:v>
      </x:c>
      <x:c r="AM4038" t="n">
        <x:f>CHOOSE('假设'!$B$3,AJ4038,AK4038,AL4038)</x:f>
        <x:v>0</x:v>
      </x:c>
      <x:c r="AN4038" t="n">
        <x:v>1</x:v>
      </x:c>
    </x:row>
    <x:row r="4039" ht="23" customHeight="1">
      <x:c r="A4039" s="11" t="str">
        <x:v>02162.HK</x:v>
      </x:c>
      <x:c r="B4039" s="11" t="str">
        <x:v>半年</x:v>
      </x:c>
      <x:c r="C4039" s="11" t="str">
        <x:v>CMG901_expansion</x:v>
      </x:c>
      <x:c r="D4039" s="11" t="str">
        <x:v>2039-12-31</x:v>
      </x:c>
      <x:c r="E4039" s="11" t="str">
        <x:v>USD</x:v>
      </x:c>
      <x:c r="F4039" s="11" t="n">
        <x:v>12.728268309377139</x:v>
      </x:c>
      <x:c r="G4039" s="26" t="b">
        <x:v>1</x:v>
      </x:c>
      <x:c r="H4039" s="16" t="n">
        <x:v>0.76</x:v>
      </x:c>
      <x:c r="I4039" s="16" t="n">
        <x:v>2</x:v>
      </x:c>
      <x:c r="J4039" s="16" t="n">
        <x:v>3.25</x:v>
      </x:c>
      <x:c r="K4039" s="11" t="n">
        <x:f>CHOOSE('假设'!$B$3,H4039,I4039,J4039)</x:f>
        <x:v>2</x:v>
      </x:c>
      <x:c r="L4039" s="11" t="n">
        <x:f>K4039*'管线假设'!E871*'管线假设'!F871*'管线假设'!G871*IF(E4039="USD",'管线假设'!I871,1)-AM4039</x:f>
        <x:v>0.3375119999999999</x:v>
      </x:c>
      <x:c r="M4039" s="11" t="n">
        <x:f>'管线假设'!H871</x:f>
        <x:v>0.14</x:v>
      </x:c>
      <x:c r="N4039" s="11" t="n">
        <x:f>IF(G4039,L4039*AN4039/(1+M4039)^F4039,0)</x:f>
        <x:v>0.0636779395828599</x:v>
      </x:c>
      <x:c r="AJ4039" s="42" t="n">
        <x:v>0</x:v>
      </x:c>
      <x:c r="AK4039" s="42" t="n">
        <x:v>0</x:v>
      </x:c>
      <x:c r="AL4039" s="42" t="n">
        <x:v>0</x:v>
      </x:c>
      <x:c r="AM4039" t="n">
        <x:f>CHOOSE('假设'!$B$3,AJ4039,AK4039,AL4039)</x:f>
        <x:v>0</x:v>
      </x:c>
      <x:c r="AN4039" t="n">
        <x:v>1</x:v>
      </x:c>
    </x:row>
    <x:row r="4040" ht="23" customHeight="1">
      <x:c r="A4040" s="11" t="str">
        <x:v>02162.HK</x:v>
      </x:c>
      <x:c r="B4040" s="11" t="str">
        <x:v>半年</x:v>
      </x:c>
      <x:c r="C4040" s="11" t="str">
        <x:v>CMG901_expansion</x:v>
      </x:c>
      <x:c r="D4040" s="11" t="str">
        <x:v>2040-12-31</x:v>
      </x:c>
      <x:c r="E4040" s="11" t="str">
        <x:v>USD</x:v>
      </x:c>
      <x:c r="F4040" s="11" t="n">
        <x:v>13.730321697467488</x:v>
      </x:c>
      <x:c r="G4040" s="26" t="b">
        <x:v>1</x:v>
      </x:c>
      <x:c r="H4040" s="16" t="n">
        <x:v>0.7200000000000001</x:v>
      </x:c>
      <x:c r="I4040" s="16" t="n">
        <x:v>1.625</x:v>
      </x:c>
      <x:c r="J4040" s="16" t="n">
        <x:v>2.5</x:v>
      </x:c>
      <x:c r="K4040" s="11" t="n">
        <x:f>CHOOSE('假设'!$B$3,H4040,I4040,J4040)</x:f>
        <x:v>1.625</x:v>
      </x:c>
      <x:c r="L4040" s="11" t="n">
        <x:f>K4040*'管线假设'!E871*'管线假设'!F871*'管线假设'!G871*IF(E4040="USD",'管线假设'!I871,1)-AM4040</x:f>
        <x:v>0.2742285</x:v>
      </x:c>
      <x:c r="M4040" s="11" t="n">
        <x:f>'管线假设'!H871</x:f>
        <x:v>0.14</x:v>
      </x:c>
      <x:c r="N4040" s="11" t="n">
        <x:f>IF(G4040,L4040*AN4040/(1+M4040)^F4040,0)</x:f>
        <x:v>0.0453722872719534</x:v>
      </x:c>
      <x:c r="AJ4040" s="42" t="n">
        <x:v>0</x:v>
      </x:c>
      <x:c r="AK4040" s="42" t="n">
        <x:v>0</x:v>
      </x:c>
      <x:c r="AL4040" s="42" t="n">
        <x:v>0</x:v>
      </x:c>
      <x:c r="AM4040" t="n">
        <x:f>CHOOSE('假设'!$B$3,AJ4040,AK4040,AL4040)</x:f>
        <x:v>0</x:v>
      </x:c>
      <x:c r="AN4040" t="n">
        <x:v>1</x:v>
      </x:c>
    </x:row>
    <x:row r="4041" ht="23" customHeight="1">
      <x:c r="A4041" s="11" t="str">
        <x:v>02162.HK</x:v>
      </x:c>
      <x:c r="B4041" s="11" t="str">
        <x:v>半年</x:v>
      </x:c>
      <x:c r="C4041" s="11" t="str">
        <x:v>CMG901_expansion</x:v>
      </x:c>
      <x:c r="D4041" s="11" t="str">
        <x:v>2041-12-31</x:v>
      </x:c>
      <x:c r="E4041" s="11" t="str">
        <x:v>USD</x:v>
      </x:c>
      <x:c r="F4041" s="11" t="n">
        <x:v>14.729637234770705</x:v>
      </x:c>
      <x:c r="G4041" s="26" t="b">
        <x:v>1</x:v>
      </x:c>
      <x:c r="H4041" s="16" t="n">
        <x:v>0.6400000000000001</x:v>
      </x:c>
      <x:c r="I4041" s="16" t="n">
        <x:v>1.25</x:v>
      </x:c>
      <x:c r="J4041" s="16" t="n">
        <x:v>1.75</x:v>
      </x:c>
      <x:c r="K4041" s="11" t="n">
        <x:f>CHOOSE('假设'!$B$3,H4041,I4041,J4041)</x:f>
        <x:v>1.25</x:v>
      </x:c>
      <x:c r="L4041" s="11" t="n">
        <x:f>K4041*'管线假设'!E871*'管线假设'!F871*'管线假设'!G871*IF(E4041="USD",'管线假设'!I871,1)-AM4041</x:f>
        <x:v>0.21094499999999994</x:v>
      </x:c>
      <x:c r="M4041" s="11" t="n">
        <x:f>'管线假设'!H871</x:f>
        <x:v>0.14</x:v>
      </x:c>
      <x:c r="N4041" s="11" t="n">
        <x:f>IF(G4041,L4041*AN4041/(1+M4041)^F4041,0)</x:f>
        <x:v>0.03061832430548393</x:v>
      </x:c>
      <x:c r="AJ4041" s="42" t="n">
        <x:v>0</x:v>
      </x:c>
      <x:c r="AK4041" s="42" t="n">
        <x:v>0</x:v>
      </x:c>
      <x:c r="AL4041" s="42" t="n">
        <x:v>0</x:v>
      </x:c>
      <x:c r="AM4041" t="n">
        <x:f>CHOOSE('假设'!$B$3,AJ4041,AK4041,AL4041)</x:f>
        <x:v>0</x:v>
      </x:c>
      <x:c r="AN4041" t="n">
        <x:v>1</x:v>
      </x:c>
    </x:row>
    <x:row r="4042" ht="23" customHeight="1">
      <x:c r="A4042" s="11" t="str">
        <x:v>02162.HK</x:v>
      </x:c>
      <x:c r="B4042" s="11" t="str">
        <x:v>半年</x:v>
      </x:c>
      <x:c r="C4042" s="11" t="str">
        <x:v>CMG901_expansion</x:v>
      </x:c>
      <x:c r="D4042" s="11" t="str">
        <x:v>2042-12-31</x:v>
      </x:c>
      <x:c r="E4042" s="11" t="str">
        <x:v>USD</x:v>
      </x:c>
      <x:c r="F4042" s="11" t="n">
        <x:v>15.728952772073923</x:v>
      </x:c>
      <x:c r="G4042" s="26" t="b">
        <x:v>1</x:v>
      </x:c>
      <x:c r="H4042" s="16" t="n">
        <x:v>0.52</x:v>
      </x:c>
      <x:c r="I4042" s="16" t="n">
        <x:v>0.875</x:v>
      </x:c>
      <x:c r="J4042" s="16" t="n">
        <x:v>1</x:v>
      </x:c>
      <x:c r="K4042" s="11" t="n">
        <x:f>CHOOSE('假设'!$B$3,H4042,I4042,J4042)</x:f>
        <x:v>0.875</x:v>
      </x:c>
      <x:c r="L4042" s="11" t="n">
        <x:f>K4042*'管线假设'!E871*'管线假设'!F871*'管线假设'!G871*IF(E4042="USD",'管线假设'!I871,1)-AM4042</x:f>
        <x:v>0.14766149999999995</x:v>
      </x:c>
      <x:c r="M4042" s="11" t="n">
        <x:f>'管线假设'!H871</x:f>
        <x:v>0.14</x:v>
      </x:c>
      <x:c r="N4042" s="11" t="n">
        <x:f>IF(G4042,L4042*AN4042/(1+M4042)^F4042,0)</x:f>
        <x:v>0.018802411649815824</x:v>
      </x:c>
      <x:c r="AJ4042" s="42" t="n">
        <x:v>0</x:v>
      </x:c>
      <x:c r="AK4042" s="42" t="n">
        <x:v>0</x:v>
      </x:c>
      <x:c r="AL4042" s="42" t="n">
        <x:v>0</x:v>
      </x:c>
      <x:c r="AM4042" t="n">
        <x:f>CHOOSE('假设'!$B$3,AJ4042,AK4042,AL4042)</x:f>
        <x:v>0</x:v>
      </x:c>
      <x:c r="AN4042" t="n">
        <x:v>1</x:v>
      </x:c>
    </x:row>
    <x:row r="4043" ht="23" customHeight="1">
      <x:c r="A4043" s="11" t="str">
        <x:v>02162.HK</x:v>
      </x:c>
      <x:c r="B4043" s="11" t="str">
        <x:v>半年</x:v>
      </x:c>
      <x:c r="C4043" s="11" t="str">
        <x:v>CMG901_expansion</x:v>
      </x:c>
      <x:c r="D4043" s="11" t="str">
        <x:v>2043-12-31</x:v>
      </x:c>
      <x:c r="E4043" s="11" t="str">
        <x:v>USD</x:v>
      </x:c>
      <x:c r="F4043" s="11" t="n">
        <x:v>16.72826830937714</x:v>
      </x:c>
      <x:c r="G4043" s="26" t="b">
        <x:v>1</x:v>
      </x:c>
      <x:c r="H4043" s="16" t="n">
        <x:v>0.4</x:v>
      </x:c>
      <x:c r="I4043" s="16" t="n">
        <x:v>0.5</x:v>
      </x:c>
      <x:c r="J4043" s="16" t="n">
        <x:v>0.6</x:v>
      </x:c>
      <x:c r="K4043" s="11" t="n">
        <x:f>CHOOSE('假设'!$B$3,H4043,I4043,J4043)</x:f>
        <x:v>0.5</x:v>
      </x:c>
      <x:c r="L4043" s="11" t="n">
        <x:f>K4043*'管线假设'!E871*'管线假设'!F871*'管线假设'!G871*IF(E4043="USD",'管线假设'!I871,1)-AM4043</x:f>
        <x:v>0.08437799999999998</x:v>
      </x:c>
      <x:c r="M4043" s="11" t="n">
        <x:f>'管线假设'!H871</x:f>
        <x:v>0.14</x:v>
      </x:c>
      <x:c r="N4043" s="11" t="n">
        <x:f>IF(G4043,L4043*AN4043/(1+M4043)^F4043,0)</x:f>
        <x:v>0.009425613032645466</x:v>
      </x:c>
      <x:c r="AJ4043" s="42" t="n">
        <x:v>0</x:v>
      </x:c>
      <x:c r="AK4043" s="42" t="n">
        <x:v>0</x:v>
      </x:c>
      <x:c r="AL4043" s="42" t="n">
        <x:v>0</x:v>
      </x:c>
      <x:c r="AM4043" t="n">
        <x:f>CHOOSE('假设'!$B$3,AJ4043,AK4043,AL4043)</x:f>
        <x:v>0</x:v>
      </x:c>
      <x:c r="AN4043" t="n">
        <x:v>1</x:v>
      </x:c>
    </x:row>
    <x:row r="4044" ht="23" customHeight="1">
      <x:c r="A4044" s="11" t="str">
        <x:v>02162.HK</x:v>
      </x:c>
      <x:c r="B4044" s="11" t="str">
        <x:v>半年</x:v>
      </x:c>
      <x:c r="C4044" s="11" t="str">
        <x:v>CMG901_expansion</x:v>
      </x:c>
      <x:c r="D4044" s="11" t="str">
        <x:v>2044-12-31</x:v>
      </x:c>
      <x:c r="E4044" s="11" t="str">
        <x:v>USD</x:v>
      </x:c>
      <x:c r="F4044" s="11" t="n">
        <x:v>17.730321697467488</x:v>
      </x:c>
      <x:c r="G4044" s="26" t="b">
        <x:v>1</x:v>
      </x:c>
      <x:c r="H4044" s="16" t="n">
        <x:v>0.27999999999999997</x:v>
      </x:c>
      <x:c r="I4044" s="16" t="n">
        <x:v>0.3</x:v>
      </x:c>
      <x:c r="J4044" s="16" t="n">
        <x:v>0.35000000000000003</x:v>
      </x:c>
      <x:c r="K4044" s="11" t="n">
        <x:f>CHOOSE('假设'!$B$3,H4044,I4044,J4044)</x:f>
        <x:v>0.3</x:v>
      </x:c>
      <x:c r="L4044" s="11" t="n">
        <x:f>K4044*'管线假设'!E871*'管线假设'!F871*'管线假设'!G871*IF(E4044="USD",'管线假设'!I871,1)-AM4044</x:f>
        <x:v>0.05062679999999998</x:v>
      </x:c>
      <x:c r="M4044" s="11" t="n">
        <x:f>'管线假设'!H871</x:f>
        <x:v>0.14</x:v>
      </x:c>
      <x:c r="N4044" s="11" t="n">
        <x:f>IF(G4044,L4044*AN4044/(1+M4044)^F4044,0)</x:f>
        <x:v>0.004959514418381183</x:v>
      </x:c>
      <x:c r="AJ4044" s="42" t="n">
        <x:v>0</x:v>
      </x:c>
      <x:c r="AK4044" s="42" t="n">
        <x:v>0</x:v>
      </x:c>
      <x:c r="AL4044" s="42" t="n">
        <x:v>0</x:v>
      </x:c>
      <x:c r="AM4044" t="n">
        <x:f>CHOOSE('假设'!$B$3,AJ4044,AK4044,AL4044)</x:f>
        <x:v>0</x:v>
      </x:c>
      <x:c r="AN4044" t="n">
        <x:v>1</x:v>
      </x:c>
    </x:row>
    <x:row r="4045" ht="23" customHeight="1">
      <x:c r="A4045" s="11" t="str">
        <x:v>02162.HK</x:v>
      </x:c>
      <x:c r="B4045" s="11" t="str">
        <x:v>半年</x:v>
      </x:c>
      <x:c r="C4045" s="11" t="str">
        <x:v>CM336_foreign</x:v>
      </x:c>
      <x:c r="D4045" s="11" t="str">
        <x:v>2026-12-31</x:v>
      </x:c>
      <x:c r="E4045" s="11" t="str">
        <x:v>USD</x:v>
      </x:c>
      <x:c r="F4045" s="11" t="n">
        <x:v>-0.27104722792607805</x:v>
      </x:c>
      <x:c r="G4045" s="26" t="b">
        <x:v>0</x:v>
      </x:c>
      <x:c r="H4045" s="16" t="n">
        <x:v>0</x:v>
      </x:c>
      <x:c r="I4045" s="16" t="n">
        <x:v>0</x:v>
      </x:c>
      <x:c r="J4045" s="16" t="n">
        <x:v>0</x:v>
      </x:c>
      <x:c r="K4045" s="11" t="n">
        <x:f>CHOOSE('假设'!$B$3,H4045,I4045,J4045)</x:f>
        <x:v>0</x:v>
      </x:c>
      <x:c r="L4045" s="11" t="n">
        <x:f>K4045*'管线假设'!E875*'管线假设'!F875*'管线假设'!G875*IF(E4045="USD",'管线假设'!I875,1)-AM4045</x:f>
        <x:v>-0.084</x:v>
      </x:c>
      <x:c r="M4045" s="11" t="n">
        <x:f>'管线假设'!H875</x:f>
        <x:v>0.14</x:v>
      </x:c>
      <x:c r="N4045" s="11" t="n">
        <x:f>IF(G4045,L4045*AN4045/(1+M4045)^F4045,0)</x:f>
        <x:v>0</x:v>
      </x:c>
      <x:c r="AJ4045" s="42" t="n">
        <x:v>0.035</x:v>
      </x:c>
      <x:c r="AK4045" s="42" t="n">
        <x:v>0.084</x:v>
      </x:c>
      <x:c r="AL4045" s="42" t="n">
        <x:v>0.14</x:v>
      </x:c>
      <x:c r="AM4045" t="n">
        <x:f>CHOOSE('假设'!$B$3,AJ4045,AK4045,AL4045)</x:f>
        <x:v>0.084</x:v>
      </x:c>
      <x:c r="AN4045" t="n">
        <x:v>0</x:v>
      </x:c>
    </x:row>
    <x:row r="4046" ht="23" customHeight="1">
      <x:c r="A4046" s="11" t="str">
        <x:v>02162.HK</x:v>
      </x:c>
      <x:c r="B4046" s="11" t="str">
        <x:v>半年</x:v>
      </x:c>
      <x:c r="C4046" s="11" t="str">
        <x:v>CM336_foreign</x:v>
      </x:c>
      <x:c r="D4046" s="11" t="str">
        <x:v>2027-12-31</x:v>
      </x:c>
      <x:c r="E4046" s="11" t="str">
        <x:v>USD</x:v>
      </x:c>
      <x:c r="F4046" s="11" t="n">
        <x:v>0.7282683093771389</x:v>
      </x:c>
      <x:c r="G4046" s="26" t="b">
        <x:v>1</x:v>
      </x:c>
      <x:c r="H4046" s="16" t="n">
        <x:v>0</x:v>
      </x:c>
      <x:c r="I4046" s="16" t="n">
        <x:v>0</x:v>
      </x:c>
      <x:c r="J4046" s="16" t="n">
        <x:v>0</x:v>
      </x:c>
      <x:c r="K4046" s="11" t="n">
        <x:f>CHOOSE('假设'!$B$3,H4046,I4046,J4046)</x:f>
        <x:v>0</x:v>
      </x:c>
      <x:c r="L4046" s="11" t="n">
        <x:f>K4046*'管线假设'!E875*'管线假设'!F875*'管线假设'!G875*IF(E4046="USD",'管线假设'!I875,1)-AM4046</x:f>
        <x:v>-0.084</x:v>
      </x:c>
      <x:c r="M4046" s="11" t="n">
        <x:f>'管线假设'!H875</x:f>
        <x:v>0.14</x:v>
      </x:c>
      <x:c r="N4046" s="11" t="n">
        <x:f>IF(G4046,L4046*AN4046/(1+M4046)^F4046,0)</x:f>
        <x:v>-0.05579785952279322</x:v>
      </x:c>
      <x:c r="AJ4046" s="42" t="n">
        <x:v>0.035</x:v>
      </x:c>
      <x:c r="AK4046" s="42" t="n">
        <x:v>0.084</x:v>
      </x:c>
      <x:c r="AL4046" s="42" t="n">
        <x:v>0.14</x:v>
      </x:c>
      <x:c r="AM4046" t="n">
        <x:f>CHOOSE('假设'!$B$3,AJ4046,AK4046,AL4046)</x:f>
        <x:v>0.084</x:v>
      </x:c>
      <x:c r="AN4046" t="n">
        <x:v>0.7307692307692307</x:v>
      </x:c>
    </x:row>
    <x:row r="4047" ht="23" customHeight="1">
      <x:c r="A4047" s="11" t="str">
        <x:v>02162.HK</x:v>
      </x:c>
      <x:c r="B4047" s="11" t="str">
        <x:v>半年</x:v>
      </x:c>
      <x:c r="C4047" s="11" t="str">
        <x:v>CM336_foreign</x:v>
      </x:c>
      <x:c r="D4047" s="11" t="str">
        <x:v>2028-12-31</x:v>
      </x:c>
      <x:c r="E4047" s="11" t="str">
        <x:v>USD</x:v>
      </x:c>
      <x:c r="F4047" s="11" t="n">
        <x:v>1.730321697467488</x:v>
      </x:c>
      <x:c r="G4047" s="26" t="b">
        <x:v>1</x:v>
      </x:c>
      <x:c r="H4047" s="16" t="n">
        <x:v>0</x:v>
      </x:c>
      <x:c r="I4047" s="16" t="n">
        <x:v>0</x:v>
      </x:c>
      <x:c r="J4047" s="16" t="n">
        <x:v>0</x:v>
      </x:c>
      <x:c r="K4047" s="11" t="n">
        <x:f>CHOOSE('假设'!$B$3,H4047,I4047,J4047)</x:f>
        <x:v>0</x:v>
      </x:c>
      <x:c r="L4047" s="11" t="n">
        <x:f>K4047*'管线假设'!E875*'管线假设'!F875*'管线假设'!G875*IF(E4047="USD",'管线假设'!I875,1)-AM4047</x:f>
        <x:v>0</x:v>
      </x:c>
      <x:c r="M4047" s="11" t="n">
        <x:f>'管线假设'!H875</x:f>
        <x:v>0.14</x:v>
      </x:c>
      <x:c r="N4047" s="11" t="n">
        <x:f>IF(G4047,L4047*AN4047/(1+M4047)^F4047,0)</x:f>
        <x:v>0</x:v>
      </x:c>
      <x:c r="AJ4047" s="42" t="n">
        <x:v>0</x:v>
      </x:c>
      <x:c r="AK4047" s="42" t="n">
        <x:v>0</x:v>
      </x:c>
      <x:c r="AL4047" s="42" t="n">
        <x:v>0</x:v>
      </x:c>
      <x:c r="AM4047" t="n">
        <x:f>CHOOSE('假设'!$B$3,AJ4047,AK4047,AL4047)</x:f>
        <x:v>0</x:v>
      </x:c>
      <x:c r="AN4047" t="n">
        <x:v>1</x:v>
      </x:c>
    </x:row>
    <x:row r="4048" ht="23" customHeight="1">
      <x:c r="A4048" s="11" t="str">
        <x:v>02162.HK</x:v>
      </x:c>
      <x:c r="B4048" s="11" t="str">
        <x:v>半年</x:v>
      </x:c>
      <x:c r="C4048" s="11" t="str">
        <x:v>CM336_foreign</x:v>
      </x:c>
      <x:c r="D4048" s="11" t="str">
        <x:v>2029-12-31</x:v>
      </x:c>
      <x:c r="E4048" s="11" t="str">
        <x:v>USD</x:v>
      </x:c>
      <x:c r="F4048" s="11" t="n">
        <x:v>2.729637234770705</x:v>
      </x:c>
      <x:c r="G4048" s="26" t="b">
        <x:v>1</x:v>
      </x:c>
      <x:c r="H4048" s="16" t="n">
        <x:v>0</x:v>
      </x:c>
      <x:c r="I4048" s="16" t="n">
        <x:v>0</x:v>
      </x:c>
      <x:c r="J4048" s="16" t="n">
        <x:v>0.42</x:v>
      </x:c>
      <x:c r="K4048" s="11" t="n">
        <x:f>CHOOSE('假设'!$B$3,H4048,I4048,J4048)</x:f>
        <x:v>0</x:v>
      </x:c>
      <x:c r="L4048" s="11" t="n">
        <x:f>K4048*'管线假设'!E875*'管线假设'!F875*'管线假设'!G875*IF(E4048="USD",'管线假设'!I875,1)-AM4048</x:f>
        <x:v>0</x:v>
      </x:c>
      <x:c r="M4048" s="11" t="n">
        <x:f>'管线假设'!H875</x:f>
        <x:v>0.14</x:v>
      </x:c>
      <x:c r="N4048" s="11" t="n">
        <x:f>IF(G4048,L4048*AN4048/(1+M4048)^F4048,0)</x:f>
        <x:v>0</x:v>
      </x:c>
      <x:c r="AJ4048" s="42" t="n">
        <x:v>0</x:v>
      </x:c>
      <x:c r="AK4048" s="42" t="n">
        <x:v>0</x:v>
      </x:c>
      <x:c r="AL4048" s="42" t="n">
        <x:v>0</x:v>
      </x:c>
      <x:c r="AM4048" t="n">
        <x:f>CHOOSE('假设'!$B$3,AJ4048,AK4048,AL4048)</x:f>
        <x:v>0</x:v>
      </x:c>
      <x:c r="AN4048" t="n">
        <x:v>1</x:v>
      </x:c>
    </x:row>
    <x:row r="4049" ht="23" customHeight="1">
      <x:c r="A4049" s="11" t="str">
        <x:v>02162.HK</x:v>
      </x:c>
      <x:c r="B4049" s="11" t="str">
        <x:v>半年</x:v>
      </x:c>
      <x:c r="C4049" s="11" t="str">
        <x:v>CM336_foreign</x:v>
      </x:c>
      <x:c r="D4049" s="11" t="str">
        <x:v>2030-12-31</x:v>
      </x:c>
      <x:c r="E4049" s="11" t="str">
        <x:v>USD</x:v>
      </x:c>
      <x:c r="F4049" s="11" t="n">
        <x:v>3.728952772073922</x:v>
      </x:c>
      <x:c r="G4049" s="26" t="b">
        <x:v>1</x:v>
      </x:c>
      <x:c r="H4049" s="16" t="n">
        <x:v>0</x:v>
      </x:c>
      <x:c r="I4049" s="16" t="n">
        <x:v>0.24</x:v>
      </x:c>
      <x:c r="J4049" s="16" t="n">
        <x:v>1.26</x:v>
      </x:c>
      <x:c r="K4049" s="11" t="n">
        <x:f>CHOOSE('假设'!$B$3,H4049,I4049,J4049)</x:f>
        <x:v>0.24</x:v>
      </x:c>
      <x:c r="L4049" s="11" t="n">
        <x:f>K4049*'管线假设'!E875*'管线假设'!F875*'管线假设'!G875*IF(E4049="USD",'管线假设'!I875,1)-AM4049</x:f>
        <x:v>0.038346</x:v>
      </x:c>
      <x:c r="M4049" s="11" t="n">
        <x:f>'管线假设'!H875</x:f>
        <x:v>0.14</x:v>
      </x:c>
      <x:c r="N4049" s="11" t="n">
        <x:f>IF(G4049,L4049*AN4049/(1+M4049)^F4049,0)</x:f>
        <x:v>0.02352472551435655</x:v>
      </x:c>
      <x:c r="AJ4049" s="42" t="n">
        <x:v>0</x:v>
      </x:c>
      <x:c r="AK4049" s="42" t="n">
        <x:v>0</x:v>
      </x:c>
      <x:c r="AL4049" s="42" t="n">
        <x:v>0</x:v>
      </x:c>
      <x:c r="AM4049" t="n">
        <x:f>CHOOSE('假设'!$B$3,AJ4049,AK4049,AL4049)</x:f>
        <x:v>0</x:v>
      </x:c>
      <x:c r="AN4049" t="n">
        <x:v>1</x:v>
      </x:c>
    </x:row>
    <x:row r="4050" ht="23" customHeight="1">
      <x:c r="A4050" s="11" t="str">
        <x:v>02162.HK</x:v>
      </x:c>
      <x:c r="B4050" s="11" t="str">
        <x:v>半年</x:v>
      </x:c>
      <x:c r="C4050" s="11" t="str">
        <x:v>CM336_foreign</x:v>
      </x:c>
      <x:c r="D4050" s="11" t="str">
        <x:v>2031-12-31</x:v>
      </x:c>
      <x:c r="E4050" s="11" t="str">
        <x:v>USD</x:v>
      </x:c>
      <x:c r="F4050" s="11" t="n">
        <x:v>4.728268309377139</x:v>
      </x:c>
      <x:c r="G4050" s="26" t="b">
        <x:v>1</x:v>
      </x:c>
      <x:c r="H4050" s="16" t="n">
        <x:v>0</x:v>
      </x:c>
      <x:c r="I4050" s="16" t="n">
        <x:v>0.72</x:v>
      </x:c>
      <x:c r="J4050" s="16" t="n">
        <x:v>2.66</x:v>
      </x:c>
      <x:c r="K4050" s="11" t="n">
        <x:f>CHOOSE('假设'!$B$3,H4050,I4050,J4050)</x:f>
        <x:v>0.72</x:v>
      </x:c>
      <x:c r="L4050" s="11" t="n">
        <x:f>K4050*'管线假设'!E875*'管线假设'!F875*'管线假设'!G875*IF(E4050="USD",'管线假设'!I875,1)-AM4050</x:f>
        <x:v>0.11503799999999997</x:v>
      </x:c>
      <x:c r="M4050" s="11" t="n">
        <x:f>'管线假设'!H875</x:f>
        <x:v>0.14</x:v>
      </x:c>
      <x:c r="N4050" s="11" t="n">
        <x:f>IF(G4050,L4050*AN4050/(1+M4050)^F4050,0)</x:f>
        <x:v>0.06191272473541531</x:v>
      </x:c>
      <x:c r="AJ4050" s="42" t="n">
        <x:v>0</x:v>
      </x:c>
      <x:c r="AK4050" s="42" t="n">
        <x:v>0</x:v>
      </x:c>
      <x:c r="AL4050" s="42" t="n">
        <x:v>0</x:v>
      </x:c>
      <x:c r="AM4050" t="n">
        <x:f>CHOOSE('假设'!$B$3,AJ4050,AK4050,AL4050)</x:f>
        <x:v>0</x:v>
      </x:c>
      <x:c r="AN4050" t="n">
        <x:v>1</x:v>
      </x:c>
    </x:row>
    <x:row r="4051" ht="23" customHeight="1">
      <x:c r="A4051" s="11" t="str">
        <x:v>02162.HK</x:v>
      </x:c>
      <x:c r="B4051" s="11" t="str">
        <x:v>半年</x:v>
      </x:c>
      <x:c r="C4051" s="11" t="str">
        <x:v>CM336_foreign</x:v>
      </x:c>
      <x:c r="D4051" s="11" t="str">
        <x:v>2032-12-31</x:v>
      </x:c>
      <x:c r="E4051" s="11" t="str">
        <x:v>USD</x:v>
      </x:c>
      <x:c r="F4051" s="11" t="n">
        <x:v>5.730321697467488</x:v>
      </x:c>
      <x:c r="G4051" s="26" t="b">
        <x:v>1</x:v>
      </x:c>
      <x:c r="H4051" s="16" t="n">
        <x:v>0.09</x:v>
      </x:c>
      <x:c r="I4051" s="16" t="n">
        <x:v>1.52</x:v>
      </x:c>
      <x:c r="J4051" s="16" t="n">
        <x:v>4.55</x:v>
      </x:c>
      <x:c r="K4051" s="11" t="n">
        <x:f>CHOOSE('假设'!$B$3,H4051,I4051,J4051)</x:f>
        <x:v>1.52</x:v>
      </x:c>
      <x:c r="L4051" s="11" t="n">
        <x:f>K4051*'管线假设'!E875*'管线假设'!F875*'管线假设'!G875*IF(E4051="USD",'管线假设'!I875,1)-AM4051</x:f>
        <x:v>0.24285799999999996</x:v>
      </x:c>
      <x:c r="M4051" s="11" t="n">
        <x:f>'管线假设'!H875</x:f>
        <x:v>0.14</x:v>
      </x:c>
      <x:c r="N4051" s="11" t="n">
        <x:f>IF(G4051,L4051*AN4051/(1+M4051)^F4051,0)</x:f>
        <x:v>0.11462235044727152</x:v>
      </x:c>
      <x:c r="AJ4051" s="42" t="n">
        <x:v>0</x:v>
      </x:c>
      <x:c r="AK4051" s="42" t="n">
        <x:v>0</x:v>
      </x:c>
      <x:c r="AL4051" s="42" t="n">
        <x:v>0</x:v>
      </x:c>
      <x:c r="AM4051" t="n">
        <x:f>CHOOSE('假设'!$B$3,AJ4051,AK4051,AL4051)</x:f>
        <x:v>0</x:v>
      </x:c>
      <x:c r="AN4051" t="n">
        <x:v>1</x:v>
      </x:c>
    </x:row>
    <x:row r="4052" ht="23" customHeight="1">
      <x:c r="A4052" s="11" t="str">
        <x:v>02162.HK</x:v>
      </x:c>
      <x:c r="B4052" s="11" t="str">
        <x:v>半年</x:v>
      </x:c>
      <x:c r="C4052" s="11" t="str">
        <x:v>CM336_foreign</x:v>
      </x:c>
      <x:c r="D4052" s="11" t="str">
        <x:v>2033-12-31</x:v>
      </x:c>
      <x:c r="E4052" s="11" t="str">
        <x:v>USD</x:v>
      </x:c>
      <x:c r="F4052" s="11" t="n">
        <x:v>6.729637234770705</x:v>
      </x:c>
      <x:c r="G4052" s="26" t="b">
        <x:v>1</x:v>
      </x:c>
      <x:c r="H4052" s="16" t="n">
        <x:v>0.27</x:v>
      </x:c>
      <x:c r="I4052" s="16" t="n">
        <x:v>2.6</x:v>
      </x:c>
      <x:c r="J4052" s="16" t="n">
        <x:v>5.95</x:v>
      </x:c>
      <x:c r="K4052" s="11" t="n">
        <x:f>CHOOSE('假设'!$B$3,H4052,I4052,J4052)</x:f>
        <x:v>2.6</x:v>
      </x:c>
      <x:c r="L4052" s="11" t="n">
        <x:f>K4052*'管线假设'!E875*'管线假设'!F875*'管线假设'!G875*IF(E4052="USD",'管线假设'!I875,1)-AM4052</x:f>
        <x:v>0.415415</x:v>
      </x:c>
      <x:c r="M4052" s="11" t="n">
        <x:f>'管线假设'!H875</x:f>
        <x:v>0.14</x:v>
      </x:c>
      <x:c r="N4052" s="11" t="n">
        <x:f>IF(G4052,L4052*AN4052/(1+M4052)^F4052,0)</x:f>
        <x:v>0.17200186969365813</x:v>
      </x:c>
      <x:c r="AJ4052" s="42" t="n">
        <x:v>0</x:v>
      </x:c>
      <x:c r="AK4052" s="42" t="n">
        <x:v>0</x:v>
      </x:c>
      <x:c r="AL4052" s="42" t="n">
        <x:v>0</x:v>
      </x:c>
      <x:c r="AM4052" t="n">
        <x:f>CHOOSE('假设'!$B$3,AJ4052,AK4052,AL4052)</x:f>
        <x:v>0</x:v>
      </x:c>
      <x:c r="AN4052" t="n">
        <x:v>1</x:v>
      </x:c>
    </x:row>
    <x:row r="4053" ht="23" customHeight="1">
      <x:c r="A4053" s="11" t="str">
        <x:v>02162.HK</x:v>
      </x:c>
      <x:c r="B4053" s="11" t="str">
        <x:v>半年</x:v>
      </x:c>
      <x:c r="C4053" s="11" t="str">
        <x:v>CM336_foreign</x:v>
      </x:c>
      <x:c r="D4053" s="11" t="str">
        <x:v>2034-12-31</x:v>
      </x:c>
      <x:c r="E4053" s="11" t="str">
        <x:v>USD</x:v>
      </x:c>
      <x:c r="F4053" s="11" t="n">
        <x:v>7.728952772073922</x:v>
      </x:c>
      <x:c r="G4053" s="26" t="b">
        <x:v>1</x:v>
      </x:c>
      <x:c r="H4053" s="16" t="n">
        <x:v>0.5700000000000001</x:v>
      </x:c>
      <x:c r="I4053" s="16" t="n">
        <x:v>3.4</x:v>
      </x:c>
      <x:c r="J4053" s="16" t="n">
        <x:v>7</x:v>
      </x:c>
      <x:c r="K4053" s="11" t="n">
        <x:f>CHOOSE('假设'!$B$3,H4053,I4053,J4053)</x:f>
        <x:v>3.4</x:v>
      </x:c>
      <x:c r="L4053" s="11" t="n">
        <x:f>K4053*'管线假设'!E875*'管线假设'!F875*'管线假设'!G875*IF(E4053="USD",'管线假设'!I875,1)-AM4053</x:f>
        <x:v>0.5432349999999999</x:v>
      </x:c>
      <x:c r="M4053" s="11" t="n">
        <x:f>'管线假设'!H875</x:f>
        <x:v>0.14</x:v>
      </x:c>
      <x:c r="N4053" s="11" t="n">
        <x:f>IF(G4053,L4053*AN4053/(1+M4053)^F4053,0)</x:f>
        <x:v>0.19732078510763548</x:v>
      </x:c>
      <x:c r="AJ4053" s="42" t="n">
        <x:v>0</x:v>
      </x:c>
      <x:c r="AK4053" s="42" t="n">
        <x:v>0</x:v>
      </x:c>
      <x:c r="AL4053" s="42" t="n">
        <x:v>0</x:v>
      </x:c>
      <x:c r="AM4053" t="n">
        <x:f>CHOOSE('假设'!$B$3,AJ4053,AK4053,AL4053)</x:f>
        <x:v>0</x:v>
      </x:c>
      <x:c r="AN4053" t="n">
        <x:v>1</x:v>
      </x:c>
    </x:row>
    <x:row r="4054" ht="23" customHeight="1">
      <x:c r="A4054" s="11" t="str">
        <x:v>02162.HK</x:v>
      </x:c>
      <x:c r="B4054" s="11" t="str">
        <x:v>半年</x:v>
      </x:c>
      <x:c r="C4054" s="11" t="str">
        <x:v>CM336_foreign</x:v>
      </x:c>
      <x:c r="D4054" s="11" t="str">
        <x:v>2035-12-31</x:v>
      </x:c>
      <x:c r="E4054" s="11" t="str">
        <x:v>USD</x:v>
      </x:c>
      <x:c r="F4054" s="11" t="n">
        <x:v>8.728268309377139</x:v>
      </x:c>
      <x:c r="G4054" s="26" t="b">
        <x:v>1</x:v>
      </x:c>
      <x:c r="H4054" s="16" t="n">
        <x:v>0.9750000000000001</x:v>
      </x:c>
      <x:c r="I4054" s="16" t="n">
        <x:v>4</x:v>
      </x:c>
      <x:c r="J4054" s="16" t="n">
        <x:v>7</x:v>
      </x:c>
      <x:c r="K4054" s="11" t="n">
        <x:f>CHOOSE('假设'!$B$3,H4054,I4054,J4054)</x:f>
        <x:v>4</x:v>
      </x:c>
      <x:c r="L4054" s="11" t="n">
        <x:f>K4054*'管线假设'!E875*'管线假设'!F875*'管线假设'!G875*IF(E4054="USD",'管线假设'!I875,1)-AM4054</x:f>
        <x:v>0.6391</x:v>
      </x:c>
      <x:c r="M4054" s="11" t="n">
        <x:f>'管线假设'!H875</x:f>
        <x:v>0.14</x:v>
      </x:c>
      <x:c r="N4054" s="11" t="n">
        <x:f>IF(G4054,L4054*AN4054/(1+M4054)^F4054,0)</x:f>
        <x:v>0.20365168463382718</x:v>
      </x:c>
      <x:c r="AJ4054" s="42" t="n">
        <x:v>0</x:v>
      </x:c>
      <x:c r="AK4054" s="42" t="n">
        <x:v>0</x:v>
      </x:c>
      <x:c r="AL4054" s="42" t="n">
        <x:v>0</x:v>
      </x:c>
      <x:c r="AM4054" t="n">
        <x:f>CHOOSE('假设'!$B$3,AJ4054,AK4054,AL4054)</x:f>
        <x:v>0</x:v>
      </x:c>
      <x:c r="AN4054" t="n">
        <x:v>1</x:v>
      </x:c>
    </x:row>
    <x:row r="4055" ht="23" customHeight="1">
      <x:c r="A4055" s="11" t="str">
        <x:v>02162.HK</x:v>
      </x:c>
      <x:c r="B4055" s="11" t="str">
        <x:v>半年</x:v>
      </x:c>
      <x:c r="C4055" s="11" t="str">
        <x:v>CM336_foreign</x:v>
      </x:c>
      <x:c r="D4055" s="11" t="str">
        <x:v>2036-12-31</x:v>
      </x:c>
      <x:c r="E4055" s="11" t="str">
        <x:v>USD</x:v>
      </x:c>
      <x:c r="F4055" s="11" t="n">
        <x:v>9.730321697467488</x:v>
      </x:c>
      <x:c r="G4055" s="26" t="b">
        <x:v>1</x:v>
      </x:c>
      <x:c r="H4055" s="16" t="n">
        <x:v>1.275</x:v>
      </x:c>
      <x:c r="I4055" s="16" t="n">
        <x:v>4</x:v>
      </x:c>
      <x:c r="J4055" s="16" t="n">
        <x:v>6.6499999999999995</x:v>
      </x:c>
      <x:c r="K4055" s="11" t="n">
        <x:f>CHOOSE('假设'!$B$3,H4055,I4055,J4055)</x:f>
        <x:v>4</x:v>
      </x:c>
      <x:c r="L4055" s="11" t="n">
        <x:f>K4055*'管线假设'!E875*'管线假设'!F875*'管线假设'!G875*IF(E4055="USD",'管线假设'!I875,1)-AM4055</x:f>
        <x:v>0.6391</x:v>
      </x:c>
      <x:c r="M4055" s="11" t="n">
        <x:f>'管线假设'!H875</x:f>
        <x:v>0.14</x:v>
      </x:c>
      <x:c r="N4055" s="11" t="n">
        <x:f>IF(G4055,L4055*AN4055/(1+M4055)^F4055,0)</x:f>
        <x:v>0.1785937711727463</x:v>
      </x:c>
      <x:c r="AJ4055" s="42" t="n">
        <x:v>0</x:v>
      </x:c>
      <x:c r="AK4055" s="42" t="n">
        <x:v>0</x:v>
      </x:c>
      <x:c r="AL4055" s="42" t="n">
        <x:v>0</x:v>
      </x:c>
      <x:c r="AM4055" t="n">
        <x:f>CHOOSE('假设'!$B$3,AJ4055,AK4055,AL4055)</x:f>
        <x:v>0</x:v>
      </x:c>
      <x:c r="AN4055" t="n">
        <x:v>1</x:v>
      </x:c>
    </x:row>
    <x:row r="4056" ht="23" customHeight="1">
      <x:c r="A4056" s="11" t="str">
        <x:v>02162.HK</x:v>
      </x:c>
      <x:c r="B4056" s="11" t="str">
        <x:v>半年</x:v>
      </x:c>
      <x:c r="C4056" s="11" t="str">
        <x:v>CM336_foreign</x:v>
      </x:c>
      <x:c r="D4056" s="11" t="str">
        <x:v>2037-12-31</x:v>
      </x:c>
      <x:c r="E4056" s="11" t="str">
        <x:v>USD</x:v>
      </x:c>
      <x:c r="F4056" s="11" t="n">
        <x:v>10.729637234770705</x:v>
      </x:c>
      <x:c r="G4056" s="26" t="b">
        <x:v>1</x:v>
      </x:c>
      <x:c r="H4056" s="16" t="n">
        <x:v>1.5</x:v>
      </x:c>
      <x:c r="I4056" s="16" t="n">
        <x:v>3.8</x:v>
      </x:c>
      <x:c r="J4056" s="16" t="n">
        <x:v>6.3</x:v>
      </x:c>
      <x:c r="K4056" s="11" t="n">
        <x:f>CHOOSE('假设'!$B$3,H4056,I4056,J4056)</x:f>
        <x:v>3.8</x:v>
      </x:c>
      <x:c r="L4056" s="11" t="n">
        <x:f>K4056*'管线假设'!E875*'管线假设'!F875*'管线假设'!G875*IF(E4056="USD",'管线假设'!I875,1)-AM4056</x:f>
        <x:v>0.6071449999999999</x:v>
      </x:c>
      <x:c r="M4056" s="11" t="n">
        <x:f>'管线假设'!H875</x:f>
        <x:v>0.14</x:v>
      </x:c>
      <x:c r="N4056" s="11" t="n">
        <x:f>IF(G4056,L4056*AN4056/(1+M4056)^F4056,0)</x:f>
        <x:v>0.14884149073937178</x:v>
      </x:c>
      <x:c r="AJ4056" s="42" t="n">
        <x:v>0</x:v>
      </x:c>
      <x:c r="AK4056" s="42" t="n">
        <x:v>0</x:v>
      </x:c>
      <x:c r="AL4056" s="42" t="n">
        <x:v>0</x:v>
      </x:c>
      <x:c r="AM4056" t="n">
        <x:f>CHOOSE('假设'!$B$3,AJ4056,AK4056,AL4056)</x:f>
        <x:v>0</x:v>
      </x:c>
      <x:c r="AN4056" t="n">
        <x:v>1</x:v>
      </x:c>
    </x:row>
    <x:row r="4057" ht="23" customHeight="1">
      <x:c r="A4057" s="11" t="str">
        <x:v>02162.HK</x:v>
      </x:c>
      <x:c r="B4057" s="11" t="str">
        <x:v>半年</x:v>
      </x:c>
      <x:c r="C4057" s="11" t="str">
        <x:v>CM336_foreign</x:v>
      </x:c>
      <x:c r="D4057" s="11" t="str">
        <x:v>2038-12-31</x:v>
      </x:c>
      <x:c r="E4057" s="11" t="str">
        <x:v>USD</x:v>
      </x:c>
      <x:c r="F4057" s="11" t="n">
        <x:v>11.728952772073923</x:v>
      </x:c>
      <x:c r="G4057" s="26" t="b">
        <x:v>1</x:v>
      </x:c>
      <x:c r="H4057" s="16" t="n">
        <x:v>1.5</x:v>
      </x:c>
      <x:c r="I4057" s="16" t="n">
        <x:v>3.6</x:v>
      </x:c>
      <x:c r="J4057" s="16" t="n">
        <x:v>5.6000000000000005</x:v>
      </x:c>
      <x:c r="K4057" s="11" t="n">
        <x:f>CHOOSE('假设'!$B$3,H4057,I4057,J4057)</x:f>
        <x:v>3.6</x:v>
      </x:c>
      <x:c r="L4057" s="11" t="n">
        <x:f>K4057*'管线假设'!E875*'管线假设'!F875*'管线假设'!G875*IF(E4057="USD",'管线假设'!I875,1)-AM4057</x:f>
        <x:v>0.57519</x:v>
      </x:c>
      <x:c r="M4057" s="11" t="n">
        <x:f>'管线假设'!H875</x:f>
        <x:v>0.14</x:v>
      </x:c>
      <x:c r="N4057" s="11" t="n">
        <x:f>IF(G4057,L4057*AN4057/(1+M4057)^F4057,0)</x:f>
        <x:v>0.12370208312904603</x:v>
      </x:c>
      <x:c r="AJ4057" s="42" t="n">
        <x:v>0</x:v>
      </x:c>
      <x:c r="AK4057" s="42" t="n">
        <x:v>0</x:v>
      </x:c>
      <x:c r="AL4057" s="42" t="n">
        <x:v>0</x:v>
      </x:c>
      <x:c r="AM4057" t="n">
        <x:f>CHOOSE('假设'!$B$3,AJ4057,AK4057,AL4057)</x:f>
        <x:v>0</x:v>
      </x:c>
      <x:c r="AN4057" t="n">
        <x:v>1</x:v>
      </x:c>
    </x:row>
    <x:row r="4058" ht="23" customHeight="1">
      <x:c r="A4058" s="11" t="str">
        <x:v>02162.HK</x:v>
      </x:c>
      <x:c r="B4058" s="11" t="str">
        <x:v>半年</x:v>
      </x:c>
      <x:c r="C4058" s="11" t="str">
        <x:v>CM336_foreign</x:v>
      </x:c>
      <x:c r="D4058" s="11" t="str">
        <x:v>2039-12-31</x:v>
      </x:c>
      <x:c r="E4058" s="11" t="str">
        <x:v>USD</x:v>
      </x:c>
      <x:c r="F4058" s="11" t="n">
        <x:v>12.728268309377139</x:v>
      </x:c>
      <x:c r="G4058" s="26" t="b">
        <x:v>1</x:v>
      </x:c>
      <x:c r="H4058" s="16" t="n">
        <x:v>1.4249999999999998</x:v>
      </x:c>
      <x:c r="I4058" s="16" t="n">
        <x:v>3.2</x:v>
      </x:c>
      <x:c r="J4058" s="16" t="n">
        <x:v>4.55</x:v>
      </x:c>
      <x:c r="K4058" s="11" t="n">
        <x:f>CHOOSE('假设'!$B$3,H4058,I4058,J4058)</x:f>
        <x:v>3.2</x:v>
      </x:c>
      <x:c r="L4058" s="11" t="n">
        <x:f>K4058*'管线假设'!E875*'管线假设'!F875*'管线假设'!G875*IF(E4058="USD",'管线假设'!I875,1)-AM4058</x:f>
        <x:v>0.51128</x:v>
      </x:c>
      <x:c r="M4058" s="11" t="n">
        <x:f>'管线假设'!H875</x:f>
        <x:v>0.14</x:v>
      </x:c>
      <x:c r="N4058" s="11" t="n">
        <x:f>IF(G4058,L4058*AN4058/(1+M4058)^F4058,0)</x:f>
        <x:v>0.09646251673992218</x:v>
      </x:c>
      <x:c r="AJ4058" s="42" t="n">
        <x:v>0</x:v>
      </x:c>
      <x:c r="AK4058" s="42" t="n">
        <x:v>0</x:v>
      </x:c>
      <x:c r="AL4058" s="42" t="n">
        <x:v>0</x:v>
      </x:c>
      <x:c r="AM4058" t="n">
        <x:f>CHOOSE('假设'!$B$3,AJ4058,AK4058,AL4058)</x:f>
        <x:v>0</x:v>
      </x:c>
      <x:c r="AN4058" t="n">
        <x:v>1</x:v>
      </x:c>
    </x:row>
    <x:row r="4059" ht="23" customHeight="1">
      <x:c r="A4059" s="11" t="str">
        <x:v>02162.HK</x:v>
      </x:c>
      <x:c r="B4059" s="11" t="str">
        <x:v>半年</x:v>
      </x:c>
      <x:c r="C4059" s="11" t="str">
        <x:v>CM336_foreign</x:v>
      </x:c>
      <x:c r="D4059" s="11" t="str">
        <x:v>2040-12-31</x:v>
      </x:c>
      <x:c r="E4059" s="11" t="str">
        <x:v>USD</x:v>
      </x:c>
      <x:c r="F4059" s="11" t="n">
        <x:v>13.730321697467488</x:v>
      </x:c>
      <x:c r="G4059" s="26" t="b">
        <x:v>1</x:v>
      </x:c>
      <x:c r="H4059" s="16" t="n">
        <x:v>1.35</x:v>
      </x:c>
      <x:c r="I4059" s="16" t="n">
        <x:v>2.6</x:v>
      </x:c>
      <x:c r="J4059" s="16" t="n">
        <x:v>3.5</x:v>
      </x:c>
      <x:c r="K4059" s="11" t="n">
        <x:f>CHOOSE('假设'!$B$3,H4059,I4059,J4059)</x:f>
        <x:v>2.6</x:v>
      </x:c>
      <x:c r="L4059" s="11" t="n">
        <x:f>K4059*'管线假设'!E875*'管线假设'!F875*'管线假设'!G875*IF(E4059="USD",'管线假设'!I875,1)-AM4059</x:f>
        <x:v>0.415415</x:v>
      </x:c>
      <x:c r="M4059" s="11" t="n">
        <x:f>'管线假设'!H875</x:f>
        <x:v>0.14</x:v>
      </x:c>
      <x:c r="N4059" s="11" t="n">
        <x:f>IF(G4059,L4059*AN4059/(1+M4059)^F4059,0)</x:f>
        <x:v>0.06873220222215605</x:v>
      </x:c>
      <x:c r="AJ4059" s="42" t="n">
        <x:v>0</x:v>
      </x:c>
      <x:c r="AK4059" s="42" t="n">
        <x:v>0</x:v>
      </x:c>
      <x:c r="AL4059" s="42" t="n">
        <x:v>0</x:v>
      </x:c>
      <x:c r="AM4059" t="n">
        <x:f>CHOOSE('假设'!$B$3,AJ4059,AK4059,AL4059)</x:f>
        <x:v>0</x:v>
      </x:c>
      <x:c r="AN4059" t="n">
        <x:v>1</x:v>
      </x:c>
    </x:row>
    <x:row r="4060" ht="23" customHeight="1">
      <x:c r="A4060" s="11" t="str">
        <x:v>02162.HK</x:v>
      </x:c>
      <x:c r="B4060" s="11" t="str">
        <x:v>半年</x:v>
      </x:c>
      <x:c r="C4060" s="11" t="str">
        <x:v>CM336_foreign</x:v>
      </x:c>
      <x:c r="D4060" s="11" t="str">
        <x:v>2041-12-31</x:v>
      </x:c>
      <x:c r="E4060" s="11" t="str">
        <x:v>USD</x:v>
      </x:c>
      <x:c r="F4060" s="11" t="n">
        <x:v>14.729637234770705</x:v>
      </x:c>
      <x:c r="G4060" s="26" t="b">
        <x:v>1</x:v>
      </x:c>
      <x:c r="H4060" s="16" t="n">
        <x:v>1.2000000000000002</x:v>
      </x:c>
      <x:c r="I4060" s="16" t="n">
        <x:v>2</x:v>
      </x:c>
      <x:c r="J4060" s="16" t="n">
        <x:v>2.4499999999999997</x:v>
      </x:c>
      <x:c r="K4060" s="11" t="n">
        <x:f>CHOOSE('假设'!$B$3,H4060,I4060,J4060)</x:f>
        <x:v>2</x:v>
      </x:c>
      <x:c r="L4060" s="11" t="n">
        <x:f>K4060*'管线假设'!E875*'管线假设'!F875*'管线假设'!G875*IF(E4060="USD",'管线假设'!I875,1)-AM4060</x:f>
        <x:v>0.31955</x:v>
      </x:c>
      <x:c r="M4060" s="11" t="n">
        <x:f>'管线假设'!H875</x:f>
        <x:v>0.14</x:v>
      </x:c>
      <x:c r="N4060" s="11" t="n">
        <x:f>IF(G4060,L4060*AN4060/(1+M4060)^F4060,0)</x:f>
        <x:v>0.04638216374797882</x:v>
      </x:c>
      <x:c r="AJ4060" s="42" t="n">
        <x:v>0</x:v>
      </x:c>
      <x:c r="AK4060" s="42" t="n">
        <x:v>0</x:v>
      </x:c>
      <x:c r="AL4060" s="42" t="n">
        <x:v>0</x:v>
      </x:c>
      <x:c r="AM4060" t="n">
        <x:f>CHOOSE('假设'!$B$3,AJ4060,AK4060,AL4060)</x:f>
        <x:v>0</x:v>
      </x:c>
      <x:c r="AN4060" t="n">
        <x:v>1</x:v>
      </x:c>
    </x:row>
    <x:row r="4061" ht="23" customHeight="1">
      <x:c r="A4061" s="11" t="str">
        <x:v>02162.HK</x:v>
      </x:c>
      <x:c r="B4061" s="11" t="str">
        <x:v>半年</x:v>
      </x:c>
      <x:c r="C4061" s="11" t="str">
        <x:v>CM336_foreign</x:v>
      </x:c>
      <x:c r="D4061" s="11" t="str">
        <x:v>2042-12-31</x:v>
      </x:c>
      <x:c r="E4061" s="11" t="str">
        <x:v>USD</x:v>
      </x:c>
      <x:c r="F4061" s="11" t="n">
        <x:v>15.728952772073923</x:v>
      </x:c>
      <x:c r="G4061" s="26" t="b">
        <x:v>1</x:v>
      </x:c>
      <x:c r="H4061" s="16" t="n">
        <x:v>0.9750000000000001</x:v>
      </x:c>
      <x:c r="I4061" s="16" t="n">
        <x:v>1.4</x:v>
      </x:c>
      <x:c r="J4061" s="16" t="n">
        <x:v>1.4000000000000001</x:v>
      </x:c>
      <x:c r="K4061" s="11" t="n">
        <x:f>CHOOSE('假设'!$B$3,H4061,I4061,J4061)</x:f>
        <x:v>1.4</x:v>
      </x:c>
      <x:c r="L4061" s="11" t="n">
        <x:f>K4061*'管线假设'!E875*'管线假设'!F875*'管线假设'!G875*IF(E4061="USD",'管线假设'!I875,1)-AM4061</x:f>
        <x:v>0.22368499999999997</x:v>
      </x:c>
      <x:c r="M4061" s="11" t="n">
        <x:f>'管线假设'!H875</x:f>
        <x:v>0.14</x:v>
      </x:c>
      <x:c r="N4061" s="11" t="n">
        <x:f>IF(G4061,L4061*AN4061/(1+M4061)^F4061,0)</x:f>
        <x:v>0.0284828303240117</x:v>
      </x:c>
      <x:c r="AJ4061" s="42" t="n">
        <x:v>0</x:v>
      </x:c>
      <x:c r="AK4061" s="42" t="n">
        <x:v>0</x:v>
      </x:c>
      <x:c r="AL4061" s="42" t="n">
        <x:v>0</x:v>
      </x:c>
      <x:c r="AM4061" t="n">
        <x:f>CHOOSE('假设'!$B$3,AJ4061,AK4061,AL4061)</x:f>
        <x:v>0</x:v>
      </x:c>
      <x:c r="AN4061" t="n">
        <x:v>1</x:v>
      </x:c>
    </x:row>
    <x:row r="4062" ht="23" customHeight="1">
      <x:c r="A4062" s="11" t="str">
        <x:v>02162.HK</x:v>
      </x:c>
      <x:c r="B4062" s="11" t="str">
        <x:v>半年</x:v>
      </x:c>
      <x:c r="C4062" s="11" t="str">
        <x:v>CM336_foreign</x:v>
      </x:c>
      <x:c r="D4062" s="11" t="str">
        <x:v>2043-12-31</x:v>
      </x:c>
      <x:c r="E4062" s="11" t="str">
        <x:v>USD</x:v>
      </x:c>
      <x:c r="F4062" s="11" t="n">
        <x:v>16.72826830937714</x:v>
      </x:c>
      <x:c r="G4062" s="26" t="b">
        <x:v>1</x:v>
      </x:c>
      <x:c r="H4062" s="16" t="n">
        <x:v>0.75</x:v>
      </x:c>
      <x:c r="I4062" s="16" t="n">
        <x:v>0.8</x:v>
      </x:c>
      <x:c r="J4062" s="16" t="n">
        <x:v>0.84</x:v>
      </x:c>
      <x:c r="K4062" s="11" t="n">
        <x:f>CHOOSE('假设'!$B$3,H4062,I4062,J4062)</x:f>
        <x:v>0.8</x:v>
      </x:c>
      <x:c r="L4062" s="11" t="n">
        <x:f>K4062*'管线假设'!E875*'管线假设'!F875*'管线假设'!G875*IF(E4062="USD",'管线假设'!I875,1)-AM4062</x:f>
        <x:v>0.12782</x:v>
      </x:c>
      <x:c r="M4062" s="11" t="n">
        <x:f>'管线假设'!H875</x:f>
        <x:v>0.14</x:v>
      </x:c>
      <x:c r="N4062" s="11" t="n">
        <x:f>IF(G4062,L4062*AN4062/(1+M4062)^F4062,0)</x:f>
        <x:v>0.014278388416799919</x:v>
      </x:c>
      <x:c r="AJ4062" s="42" t="n">
        <x:v>0</x:v>
      </x:c>
      <x:c r="AK4062" s="42" t="n">
        <x:v>0</x:v>
      </x:c>
      <x:c r="AL4062" s="42" t="n">
        <x:v>0</x:v>
      </x:c>
      <x:c r="AM4062" t="n">
        <x:f>CHOOSE('假设'!$B$3,AJ4062,AK4062,AL4062)</x:f>
        <x:v>0</x:v>
      </x:c>
      <x:c r="AN4062" t="n">
        <x:v>1</x:v>
      </x:c>
    </x:row>
    <x:row r="4063" ht="23" customHeight="1">
      <x:c r="A4063" s="11" t="str">
        <x:v>02162.HK</x:v>
      </x:c>
      <x:c r="B4063" s="11" t="str">
        <x:v>半年</x:v>
      </x:c>
      <x:c r="C4063" s="11" t="str">
        <x:v>CM336_foreign</x:v>
      </x:c>
      <x:c r="D4063" s="11" t="str">
        <x:v>2044-12-31</x:v>
      </x:c>
      <x:c r="E4063" s="11" t="str">
        <x:v>USD</x:v>
      </x:c>
      <x:c r="F4063" s="11" t="n">
        <x:v>17.730321697467488</x:v>
      </x:c>
      <x:c r="G4063" s="26" t="b">
        <x:v>1</x:v>
      </x:c>
      <x:c r="H4063" s="16" t="n">
        <x:v>0.5249999999999999</x:v>
      </x:c>
      <x:c r="I4063" s="16" t="n">
        <x:v>0.48</x:v>
      </x:c>
      <x:c r="J4063" s="16" t="n">
        <x:v>0.49000000000000005</x:v>
      </x:c>
      <x:c r="K4063" s="11" t="n">
        <x:f>CHOOSE('假设'!$B$3,H4063,I4063,J4063)</x:f>
        <x:v>0.48</x:v>
      </x:c>
      <x:c r="L4063" s="11" t="n">
        <x:f>K4063*'管线假设'!E875*'管线假设'!F875*'管线假设'!G875*IF(E4063="USD",'管线假设'!I875,1)-AM4063</x:f>
        <x:v>0.076692</x:v>
      </x:c>
      <x:c r="M4063" s="11" t="n">
        <x:f>'管线假设'!H875</x:f>
        <x:v>0.14</x:v>
      </x:c>
      <x:c r="N4063" s="11" t="n">
        <x:f>IF(G4063,L4063*AN4063/(1+M4063)^F4063,0)</x:f>
        <x:v>0.007512919634946112</x:v>
      </x:c>
      <x:c r="AJ4063" s="42" t="n">
        <x:v>0</x:v>
      </x:c>
      <x:c r="AK4063" s="42" t="n">
        <x:v>0</x:v>
      </x:c>
      <x:c r="AL4063" s="42" t="n">
        <x:v>0</x:v>
      </x:c>
      <x:c r="AM4063" t="n">
        <x:f>CHOOSE('假设'!$B$3,AJ4063,AK4063,AL4063)</x:f>
        <x:v>0</x:v>
      </x:c>
      <x:c r="AN4063" t="n">
        <x:v>1</x:v>
      </x:c>
    </x:row>
    <x:row r="4064" ht="23" customHeight="1">
      <x:c r="A4064" s="11" t="str">
        <x:v>02162.HK</x:v>
      </x:c>
      <x:c r="B4064" s="11" t="str">
        <x:v>半年</x:v>
      </x:c>
      <x:c r="C4064" s="11" t="str">
        <x:v>CM336_domestic</x:v>
      </x:c>
      <x:c r="D4064" s="11" t="str">
        <x:v>2026-12-31</x:v>
      </x:c>
      <x:c r="E4064" s="11" t="str">
        <x:v>CNY</x:v>
      </x:c>
      <x:c r="F4064" s="11" t="n">
        <x:v>-0.27104722792607805</x:v>
      </x:c>
      <x:c r="G4064" s="26" t="b">
        <x:v>0</x:v>
      </x:c>
      <x:c r="H4064" s="16" t="n">
        <x:v>0</x:v>
      </x:c>
      <x:c r="I4064" s="16" t="n">
        <x:v>0</x:v>
      </x:c>
      <x:c r="J4064" s="16" t="n">
        <x:v>0</x:v>
      </x:c>
      <x:c r="K4064" s="11" t="n">
        <x:f>CHOOSE('假设'!$B$3,H4064,I4064,J4064)</x:f>
        <x:v>0</x:v>
      </x:c>
      <x:c r="L4064" s="11" t="n">
        <x:f>K4064*'管线假设'!E879*'管线假设'!F879*'管线假设'!G879*IF(E4064="USD",'管线假设'!I879,1)-AM4064</x:f>
        <x:v>-0.12</x:v>
      </x:c>
      <x:c r="M4064" s="11" t="n">
        <x:f>'管线假设'!H879</x:f>
        <x:v>0.14</x:v>
      </x:c>
      <x:c r="N4064" s="11" t="n">
        <x:f>IF(G4064,L4064*AN4064/(1+M4064)^F4064,0)</x:f>
        <x:v>0</x:v>
      </x:c>
      <x:c r="AJ4064" s="42" t="n">
        <x:v>0.08</x:v>
      </x:c>
      <x:c r="AK4064" s="42" t="n">
        <x:v>0.12</x:v>
      </x:c>
      <x:c r="AL4064" s="42" t="n">
        <x:v>0.18</x:v>
      </x:c>
      <x:c r="AM4064" t="n">
        <x:f>CHOOSE('假设'!$B$3,AJ4064,AK4064,AL4064)</x:f>
        <x:v>0.12</x:v>
      </x:c>
      <x:c r="AN4064" t="n">
        <x:v>0</x:v>
      </x:c>
    </x:row>
    <x:row r="4065" ht="23" customHeight="1">
      <x:c r="A4065" s="11" t="str">
        <x:v>02162.HK</x:v>
      </x:c>
      <x:c r="B4065" s="11" t="str">
        <x:v>半年</x:v>
      </x:c>
      <x:c r="C4065" s="11" t="str">
        <x:v>CM336_domestic</x:v>
      </x:c>
      <x:c r="D4065" s="11" t="str">
        <x:v>2027-12-31</x:v>
      </x:c>
      <x:c r="E4065" s="11" t="str">
        <x:v>CNY</x:v>
      </x:c>
      <x:c r="F4065" s="11" t="n">
        <x:v>0.7282683093771389</x:v>
      </x:c>
      <x:c r="G4065" s="26" t="b">
        <x:v>1</x:v>
      </x:c>
      <x:c r="H4065" s="16" t="n">
        <x:v>0</x:v>
      </x:c>
      <x:c r="I4065" s="16" t="n">
        <x:v>0</x:v>
      </x:c>
      <x:c r="J4065" s="16" t="n">
        <x:v>0</x:v>
      </x:c>
      <x:c r="K4065" s="11" t="n">
        <x:f>CHOOSE('假设'!$B$3,H4065,I4065,J4065)</x:f>
        <x:v>0</x:v>
      </x:c>
      <x:c r="L4065" s="11" t="n">
        <x:f>K4065*'管线假设'!E879*'管线假设'!F879*'管线假设'!G879*IF(E4065="USD",'管线假设'!I879,1)-AM4065</x:f>
        <x:v>-0.15</x:v>
      </x:c>
      <x:c r="M4065" s="11" t="n">
        <x:f>'管线假设'!H879</x:f>
        <x:v>0.14</x:v>
      </x:c>
      <x:c r="N4065" s="11" t="n">
        <x:f>IF(G4065,L4065*AN4065/(1+M4065)^F4065,0)</x:f>
        <x:v>-0.09963903486213073</x:v>
      </x:c>
      <x:c r="AJ4065" s="42" t="n">
        <x:v>0.08</x:v>
      </x:c>
      <x:c r="AK4065" s="42" t="n">
        <x:v>0.15</x:v>
      </x:c>
      <x:c r="AL4065" s="42" t="n">
        <x:v>0.22</x:v>
      </x:c>
      <x:c r="AM4065" t="n">
        <x:f>CHOOSE('假设'!$B$3,AJ4065,AK4065,AL4065)</x:f>
        <x:v>0.15</x:v>
      </x:c>
      <x:c r="AN4065" t="n">
        <x:v>0.7307692307692307</x:v>
      </x:c>
    </x:row>
    <x:row r="4066" ht="23" customHeight="1">
      <x:c r="A4066" s="11" t="str">
        <x:v>02162.HK</x:v>
      </x:c>
      <x:c r="B4066" s="11" t="str">
        <x:v>半年</x:v>
      </x:c>
      <x:c r="C4066" s="11" t="str">
        <x:v>CM336_domestic</x:v>
      </x:c>
      <x:c r="D4066" s="11" t="str">
        <x:v>2028-12-31</x:v>
      </x:c>
      <x:c r="E4066" s="11" t="str">
        <x:v>CNY</x:v>
      </x:c>
      <x:c r="F4066" s="11" t="n">
        <x:v>1.730321697467488</x:v>
      </x:c>
      <x:c r="G4066" s="26" t="b">
        <x:v>1</x:v>
      </x:c>
      <x:c r="H4066" s="16" t="n">
        <x:v>0</x:v>
      </x:c>
      <x:c r="I4066" s="16" t="n">
        <x:v>0</x:v>
      </x:c>
      <x:c r="J4066" s="16" t="n">
        <x:v>0.18</x:v>
      </x:c>
      <x:c r="K4066" s="11" t="n">
        <x:f>CHOOSE('假设'!$B$3,H4066,I4066,J4066)</x:f>
        <x:v>0</x:v>
      </x:c>
      <x:c r="L4066" s="11" t="n">
        <x:f>K4066*'管线假设'!E879*'管线假设'!F879*'管线假设'!G879*IF(E4066="USD",'管线假设'!I879,1)-AM4066</x:f>
        <x:v>-0.14</x:v>
      </x:c>
      <x:c r="M4066" s="11" t="n">
        <x:f>'管线假设'!H879</x:f>
        <x:v>0.14</x:v>
      </x:c>
      <x:c r="N4066" s="11" t="n">
        <x:f>IF(G4066,L4066*AN4066/(1+M4066)^F4066,0)</x:f>
        <x:v>-0.11160003651985931</x:v>
      </x:c>
      <x:c r="AJ4066" s="42" t="n">
        <x:v>0.06</x:v>
      </x:c>
      <x:c r="AK4066" s="42" t="n">
        <x:v>0.14</x:v>
      </x:c>
      <x:c r="AL4066" s="42" t="n">
        <x:v>0.18</x:v>
      </x:c>
      <x:c r="AM4066" t="n">
        <x:f>CHOOSE('假设'!$B$3,AJ4066,AK4066,AL4066)</x:f>
        <x:v>0.14</x:v>
      </x:c>
      <x:c r="AN4066" t="n">
        <x:v>1</x:v>
      </x:c>
    </x:row>
    <x:row r="4067" ht="23" customHeight="1">
      <x:c r="A4067" s="11" t="str">
        <x:v>02162.HK</x:v>
      </x:c>
      <x:c r="B4067" s="11" t="str">
        <x:v>半年</x:v>
      </x:c>
      <x:c r="C4067" s="11" t="str">
        <x:v>CM336_domestic</x:v>
      </x:c>
      <x:c r="D4067" s="11" t="str">
        <x:v>2029-12-31</x:v>
      </x:c>
      <x:c r="E4067" s="11" t="str">
        <x:v>CNY</x:v>
      </x:c>
      <x:c r="F4067" s="11" t="n">
        <x:v>2.729637234770705</x:v>
      </x:c>
      <x:c r="G4067" s="26" t="b">
        <x:v>1</x:v>
      </x:c>
      <x:c r="H4067" s="16" t="n">
        <x:v>0</x:v>
      </x:c>
      <x:c r="I4067" s="16" t="n">
        <x:v>0.09</x:v>
      </x:c>
      <x:c r="J4067" s="16" t="n">
        <x:v>0.54</x:v>
      </x:c>
      <x:c r="K4067" s="11" t="n">
        <x:f>CHOOSE('假设'!$B$3,H4067,I4067,J4067)</x:f>
        <x:v>0.09</x:v>
      </x:c>
      <x:c r="L4067" s="11" t="n">
        <x:f>K4067*'管线假设'!E879*'管线假设'!F879*'管线假设'!G879*IF(E4067="USD",'管线假设'!I879,1)-AM4067</x:f>
        <x:v>-0.05380000000000001</x:v>
      </x:c>
      <x:c r="M4067" s="11" t="n">
        <x:f>'管线假设'!H879</x:f>
        <x:v>0.14</x:v>
      </x:c>
      <x:c r="N4067" s="11" t="n">
        <x:f>IF(G4067,L4067*AN4067/(1+M4067)^F4067,0)</x:f>
        <x:v>-0.037622935205194295</x:v>
      </x:c>
      <x:c r="AJ4067" s="42" t="n">
        <x:v>0</x:v>
      </x:c>
      <x:c r="AK4067" s="42" t="n">
        <x:v>0.07</x:v>
      </x:c>
      <x:c r="AL4067" s="42" t="n">
        <x:v>0.07</x:v>
      </x:c>
      <x:c r="AM4067" t="n">
        <x:f>CHOOSE('假设'!$B$3,AJ4067,AK4067,AL4067)</x:f>
        <x:v>0.07</x:v>
      </x:c>
      <x:c r="AN4067" t="n">
        <x:v>1</x:v>
      </x:c>
    </x:row>
    <x:row r="4068" ht="23" customHeight="1">
      <x:c r="A4068" s="11" t="str">
        <x:v>02162.HK</x:v>
      </x:c>
      <x:c r="B4068" s="11" t="str">
        <x:v>半年</x:v>
      </x:c>
      <x:c r="C4068" s="11" t="str">
        <x:v>CM336_domestic</x:v>
      </x:c>
      <x:c r="D4068" s="11" t="str">
        <x:v>2030-12-31</x:v>
      </x:c>
      <x:c r="E4068" s="11" t="str">
        <x:v>CNY</x:v>
      </x:c>
      <x:c r="F4068" s="11" t="n">
        <x:v>3.728952772073922</x:v>
      </x:c>
      <x:c r="G4068" s="26" t="b">
        <x:v>1</x:v>
      </x:c>
      <x:c r="H4068" s="16" t="n">
        <x:v>0</x:v>
      </x:c>
      <x:c r="I4068" s="16" t="n">
        <x:v>0.27</x:v>
      </x:c>
      <x:c r="J4068" s="16" t="n">
        <x:v>1.1400000000000001</x:v>
      </x:c>
      <x:c r="K4068" s="11" t="n">
        <x:f>CHOOSE('假设'!$B$3,H4068,I4068,J4068)</x:f>
        <x:v>0.27</x:v>
      </x:c>
      <x:c r="L4068" s="11" t="n">
        <x:f>K4068*'管线假设'!E879*'管线假设'!F879*'管线假设'!G879*IF(E4068="USD",'管线假设'!I879,1)-AM4068</x:f>
        <x:v>0.048600000000000004</x:v>
      </x:c>
      <x:c r="M4068" s="11" t="n">
        <x:f>'管线假设'!H879</x:f>
        <x:v>0.14</x:v>
      </x:c>
      <x:c r="N4068" s="11" t="n">
        <x:f>IF(G4068,L4068*AN4068/(1+M4068)^F4068,0)</x:f>
        <x:v>0.029815408647518086</x:v>
      </x:c>
      <x:c r="AJ4068" s="42" t="n">
        <x:v>0</x:v>
      </x:c>
      <x:c r="AK4068" s="42" t="n">
        <x:v>0</x:v>
      </x:c>
      <x:c r="AL4068" s="42" t="n">
        <x:v>0</x:v>
      </x:c>
      <x:c r="AM4068" t="n">
        <x:f>CHOOSE('假设'!$B$3,AJ4068,AK4068,AL4068)</x:f>
        <x:v>0</x:v>
      </x:c>
      <x:c r="AN4068" t="n">
        <x:v>1</x:v>
      </x:c>
    </x:row>
    <x:row r="4069" ht="23" customHeight="1">
      <x:c r="A4069" s="11" t="str">
        <x:v>02162.HK</x:v>
      </x:c>
      <x:c r="B4069" s="11" t="str">
        <x:v>半年</x:v>
      </x:c>
      <x:c r="C4069" s="11" t="str">
        <x:v>CM336_domestic</x:v>
      </x:c>
      <x:c r="D4069" s="11" t="str">
        <x:v>2031-12-31</x:v>
      </x:c>
      <x:c r="E4069" s="11" t="str">
        <x:v>CNY</x:v>
      </x:c>
      <x:c r="F4069" s="11" t="n">
        <x:v>4.728268309377139</x:v>
      </x:c>
      <x:c r="G4069" s="26" t="b">
        <x:v>1</x:v>
      </x:c>
      <x:c r="H4069" s="16" t="n">
        <x:v>0.03</x:v>
      </x:c>
      <x:c r="I4069" s="16" t="n">
        <x:v>0.5700000000000001</x:v>
      </x:c>
      <x:c r="J4069" s="16" t="n">
        <x:v>1.9500000000000002</x:v>
      </x:c>
      <x:c r="K4069" s="11" t="n">
        <x:f>CHOOSE('假设'!$B$3,H4069,I4069,J4069)</x:f>
        <x:v>0.5700000000000001</x:v>
      </x:c>
      <x:c r="L4069" s="11" t="n">
        <x:f>K4069*'管线假设'!E879*'管线假设'!F879*'管线假设'!G879*IF(E4069="USD",'管线假设'!I879,1)-AM4069</x:f>
        <x:v>0.10260000000000002</x:v>
      </x:c>
      <x:c r="M4069" s="11" t="n">
        <x:f>'管线假设'!H879</x:f>
        <x:v>0.14</x:v>
      </x:c>
      <x:c r="N4069" s="11" t="n">
        <x:f>IF(G4069,L4069*AN4069/(1+M4069)^F4069,0)</x:f>
        <x:v>0.055218671724591994</x:v>
      </x:c>
      <x:c r="AJ4069" s="42" t="n">
        <x:v>0</x:v>
      </x:c>
      <x:c r="AK4069" s="42" t="n">
        <x:v>0</x:v>
      </x:c>
      <x:c r="AL4069" s="42" t="n">
        <x:v>0</x:v>
      </x:c>
      <x:c r="AM4069" t="n">
        <x:f>CHOOSE('假设'!$B$3,AJ4069,AK4069,AL4069)</x:f>
        <x:v>0</x:v>
      </x:c>
      <x:c r="AN4069" t="n">
        <x:v>1</x:v>
      </x:c>
    </x:row>
    <x:row r="4070" ht="23" customHeight="1">
      <x:c r="A4070" s="11" t="str">
        <x:v>02162.HK</x:v>
      </x:c>
      <x:c r="B4070" s="11" t="str">
        <x:v>半年</x:v>
      </x:c>
      <x:c r="C4070" s="11" t="str">
        <x:v>CM336_domestic</x:v>
      </x:c>
      <x:c r="D4070" s="11" t="str">
        <x:v>2032-12-31</x:v>
      </x:c>
      <x:c r="E4070" s="11" t="str">
        <x:v>CNY</x:v>
      </x:c>
      <x:c r="F4070" s="11" t="n">
        <x:v>5.730321697467488</x:v>
      </x:c>
      <x:c r="G4070" s="26" t="b">
        <x:v>1</x:v>
      </x:c>
      <x:c r="H4070" s="16" t="n">
        <x:v>0.09</x:v>
      </x:c>
      <x:c r="I4070" s="16" t="n">
        <x:v>0.9750000000000001</x:v>
      </x:c>
      <x:c r="J4070" s="16" t="n">
        <x:v>2.55</x:v>
      </x:c>
      <x:c r="K4070" s="11" t="n">
        <x:f>CHOOSE('假设'!$B$3,H4070,I4070,J4070)</x:f>
        <x:v>0.9750000000000001</x:v>
      </x:c>
      <x:c r="L4070" s="11" t="n">
        <x:f>K4070*'管线假设'!E879*'管线假设'!F879*'管线假设'!G879*IF(E4070="USD",'管线假设'!I879,1)-AM4070</x:f>
        <x:v>0.17550000000000004</x:v>
      </x:c>
      <x:c r="M4070" s="11" t="n">
        <x:f>'管线假设'!H879</x:f>
        <x:v>0.14</x:v>
      </x:c>
      <x:c r="N4070" s="11" t="n">
        <x:f>IF(G4070,L4070*AN4070/(1+M4070)^F4070,0)</x:f>
        <x:v>0.08283121208070626</x:v>
      </x:c>
      <x:c r="AJ4070" s="42" t="n">
        <x:v>0</x:v>
      </x:c>
      <x:c r="AK4070" s="42" t="n">
        <x:v>0</x:v>
      </x:c>
      <x:c r="AL4070" s="42" t="n">
        <x:v>0</x:v>
      </x:c>
      <x:c r="AM4070" t="n">
        <x:f>CHOOSE('假设'!$B$3,AJ4070,AK4070,AL4070)</x:f>
        <x:v>0</x:v>
      </x:c>
      <x:c r="AN4070" t="n">
        <x:v>1</x:v>
      </x:c>
    </x:row>
    <x:row r="4071" ht="23" customHeight="1">
      <x:c r="A4071" s="11" t="str">
        <x:v>02162.HK</x:v>
      </x:c>
      <x:c r="B4071" s="11" t="str">
        <x:v>半年</x:v>
      </x:c>
      <x:c r="C4071" s="11" t="str">
        <x:v>CM336_domestic</x:v>
      </x:c>
      <x:c r="D4071" s="11" t="str">
        <x:v>2033-12-31</x:v>
      </x:c>
      <x:c r="E4071" s="11" t="str">
        <x:v>CNY</x:v>
      </x:c>
      <x:c r="F4071" s="11" t="n">
        <x:v>6.729637234770705</x:v>
      </x:c>
      <x:c r="G4071" s="26" t="b">
        <x:v>1</x:v>
      </x:c>
      <x:c r="H4071" s="16" t="n">
        <x:v>0.19</x:v>
      </x:c>
      <x:c r="I4071" s="16" t="n">
        <x:v>1.275</x:v>
      </x:c>
      <x:c r="J4071" s="16" t="n">
        <x:v>3</x:v>
      </x:c>
      <x:c r="K4071" s="11" t="n">
        <x:f>CHOOSE('假设'!$B$3,H4071,I4071,J4071)</x:f>
        <x:v>1.275</x:v>
      </x:c>
      <x:c r="L4071" s="11" t="n">
        <x:f>K4071*'管线假设'!E879*'管线假设'!F879*'管线假设'!G879*IF(E4071="USD",'管线假设'!I879,1)-AM4071</x:f>
        <x:v>0.2295</x:v>
      </x:c>
      <x:c r="M4071" s="11" t="n">
        <x:f>'管线假设'!H879</x:f>
        <x:v>0.14</x:v>
      </x:c>
      <x:c r="N4071" s="11" t="n">
        <x:f>IF(G4071,L4071*AN4071/(1+M4071)^F4071,0)</x:f>
        <x:v>0.09502408217010591</x:v>
      </x:c>
      <x:c r="AJ4071" s="42" t="n">
        <x:v>0</x:v>
      </x:c>
      <x:c r="AK4071" s="42" t="n">
        <x:v>0</x:v>
      </x:c>
      <x:c r="AL4071" s="42" t="n">
        <x:v>0</x:v>
      </x:c>
      <x:c r="AM4071" t="n">
        <x:f>CHOOSE('假设'!$B$3,AJ4071,AK4071,AL4071)</x:f>
        <x:v>0</x:v>
      </x:c>
      <x:c r="AN4071" t="n">
        <x:v>1</x:v>
      </x:c>
    </x:row>
    <x:row r="4072" ht="23" customHeight="1">
      <x:c r="A4072" s="11" t="str">
        <x:v>02162.HK</x:v>
      </x:c>
      <x:c r="B4072" s="11" t="str">
        <x:v>半年</x:v>
      </x:c>
      <x:c r="C4072" s="11" t="str">
        <x:v>CM336_domestic</x:v>
      </x:c>
      <x:c r="D4072" s="11" t="str">
        <x:v>2034-12-31</x:v>
      </x:c>
      <x:c r="E4072" s="11" t="str">
        <x:v>CNY</x:v>
      </x:c>
      <x:c r="F4072" s="11" t="n">
        <x:v>7.728952772073922</x:v>
      </x:c>
      <x:c r="G4072" s="26" t="b">
        <x:v>1</x:v>
      </x:c>
      <x:c r="H4072" s="16" t="n">
        <x:v>0.325</x:v>
      </x:c>
      <x:c r="I4072" s="16" t="n">
        <x:v>1.5</x:v>
      </x:c>
      <x:c r="J4072" s="16" t="n">
        <x:v>3</x:v>
      </x:c>
      <x:c r="K4072" s="11" t="n">
        <x:f>CHOOSE('假设'!$B$3,H4072,I4072,J4072)</x:f>
        <x:v>1.5</x:v>
      </x:c>
      <x:c r="L4072" s="11" t="n">
        <x:f>K4072*'管线假设'!E879*'管线假设'!F879*'管线假设'!G879*IF(E4072="USD",'管线假设'!I879,1)-AM4072</x:f>
        <x:v>0.2700000000000001</x:v>
      </x:c>
      <x:c r="M4072" s="11" t="n">
        <x:f>'管线假设'!H879</x:f>
        <x:v>0.14</x:v>
      </x:c>
      <x:c r="N4072" s="11" t="n">
        <x:f>IF(G4072,L4072*AN4072/(1+M4072)^F4072,0)</x:f>
        <x:v>0.09807286345515587</x:v>
      </x:c>
      <x:c r="AJ4072" s="42" t="n">
        <x:v>0</x:v>
      </x:c>
      <x:c r="AK4072" s="42" t="n">
        <x:v>0</x:v>
      </x:c>
      <x:c r="AL4072" s="42" t="n">
        <x:v>0</x:v>
      </x:c>
      <x:c r="AM4072" t="n">
        <x:f>CHOOSE('假设'!$B$3,AJ4072,AK4072,AL4072)</x:f>
        <x:v>0</x:v>
      </x:c>
      <x:c r="AN4072" t="n">
        <x:v>1</x:v>
      </x:c>
    </x:row>
    <x:row r="4073" ht="23" customHeight="1">
      <x:c r="A4073" s="11" t="str">
        <x:v>02162.HK</x:v>
      </x:c>
      <x:c r="B4073" s="11" t="str">
        <x:v>半年</x:v>
      </x:c>
      <x:c r="C4073" s="11" t="str">
        <x:v>CM336_domestic</x:v>
      </x:c>
      <x:c r="D4073" s="11" t="str">
        <x:v>2035-12-31</x:v>
      </x:c>
      <x:c r="E4073" s="11" t="str">
        <x:v>CNY</x:v>
      </x:c>
      <x:c r="F4073" s="11" t="n">
        <x:v>8.728268309377139</x:v>
      </x:c>
      <x:c r="G4073" s="26" t="b">
        <x:v>1</x:v>
      </x:c>
      <x:c r="H4073" s="16" t="n">
        <x:v>0.425</x:v>
      </x:c>
      <x:c r="I4073" s="16" t="n">
        <x:v>1.5</x:v>
      </x:c>
      <x:c r="J4073" s="16" t="n">
        <x:v>2.8499999999999996</x:v>
      </x:c>
      <x:c r="K4073" s="11" t="n">
        <x:f>CHOOSE('假设'!$B$3,H4073,I4073,J4073)</x:f>
        <x:v>1.5</x:v>
      </x:c>
      <x:c r="L4073" s="11" t="n">
        <x:f>K4073*'管线假设'!E879*'管线假设'!F879*'管线假设'!G879*IF(E4073="USD",'管线假设'!I879,1)-AM4073</x:f>
        <x:v>0.2700000000000001</x:v>
      </x:c>
      <x:c r="M4073" s="11" t="n">
        <x:f>'管线假设'!H879</x:f>
        <x:v>0.14</x:v>
      </x:c>
      <x:c r="N4073" s="11" t="n">
        <x:f>IF(G4073,L4073*AN4073/(1+M4073)^F4073,0)</x:f>
        <x:v>0.08603654334397333</x:v>
      </x:c>
      <x:c r="AJ4073" s="42" t="n">
        <x:v>0</x:v>
      </x:c>
      <x:c r="AK4073" s="42" t="n">
        <x:v>0</x:v>
      </x:c>
      <x:c r="AL4073" s="42" t="n">
        <x:v>0</x:v>
      </x:c>
      <x:c r="AM4073" t="n">
        <x:f>CHOOSE('假设'!$B$3,AJ4073,AK4073,AL4073)</x:f>
        <x:v>0</x:v>
      </x:c>
      <x:c r="AN4073" t="n">
        <x:v>1</x:v>
      </x:c>
    </x:row>
    <x:row r="4074" ht="23" customHeight="1">
      <x:c r="A4074" s="11" t="str">
        <x:v>02162.HK</x:v>
      </x:c>
      <x:c r="B4074" s="11" t="str">
        <x:v>半年</x:v>
      </x:c>
      <x:c r="C4074" s="11" t="str">
        <x:v>CM336_domestic</x:v>
      </x:c>
      <x:c r="D4074" s="11" t="str">
        <x:v>2036-12-31</x:v>
      </x:c>
      <x:c r="E4074" s="11" t="str">
        <x:v>CNY</x:v>
      </x:c>
      <x:c r="F4074" s="11" t="n">
        <x:v>9.730321697467488</x:v>
      </x:c>
      <x:c r="G4074" s="26" t="b">
        <x:v>1</x:v>
      </x:c>
      <x:c r="H4074" s="16" t="n">
        <x:v>0.5</x:v>
      </x:c>
      <x:c r="I4074" s="16" t="n">
        <x:v>1.4249999999999998</x:v>
      </x:c>
      <x:c r="J4074" s="16" t="n">
        <x:v>2.7</x:v>
      </x:c>
      <x:c r="K4074" s="11" t="n">
        <x:f>CHOOSE('假设'!$B$3,H4074,I4074,J4074)</x:f>
        <x:v>1.4249999999999998</x:v>
      </x:c>
      <x:c r="L4074" s="11" t="n">
        <x:f>K4074*'管线假设'!E879*'管线假设'!F879*'管线假设'!G879*IF(E4074="USD",'管线假设'!I879,1)-AM4074</x:f>
        <x:v>0.2565</x:v>
      </x:c>
      <x:c r="M4074" s="11" t="n">
        <x:f>'管线假设'!H879</x:f>
        <x:v>0.14</x:v>
      </x:c>
      <x:c r="N4074" s="11" t="n">
        <x:f>IF(G4074,L4074*AN4074/(1+M4074)^F4074,0)</x:f>
        <x:v>0.07167783180380133</x:v>
      </x:c>
      <x:c r="AJ4074" s="42" t="n">
        <x:v>0</x:v>
      </x:c>
      <x:c r="AK4074" s="42" t="n">
        <x:v>0</x:v>
      </x:c>
      <x:c r="AL4074" s="42" t="n">
        <x:v>0</x:v>
      </x:c>
      <x:c r="AM4074" t="n">
        <x:f>CHOOSE('假设'!$B$3,AJ4074,AK4074,AL4074)</x:f>
        <x:v>0</x:v>
      </x:c>
      <x:c r="AN4074" t="n">
        <x:v>1</x:v>
      </x:c>
    </x:row>
    <x:row r="4075" ht="23" customHeight="1">
      <x:c r="A4075" s="11" t="str">
        <x:v>02162.HK</x:v>
      </x:c>
      <x:c r="B4075" s="11" t="str">
        <x:v>半年</x:v>
      </x:c>
      <x:c r="C4075" s="11" t="str">
        <x:v>CM336_domestic</x:v>
      </x:c>
      <x:c r="D4075" s="11" t="str">
        <x:v>2037-12-31</x:v>
      </x:c>
      <x:c r="E4075" s="11" t="str">
        <x:v>CNY</x:v>
      </x:c>
      <x:c r="F4075" s="11" t="n">
        <x:v>10.729637234770705</x:v>
      </x:c>
      <x:c r="G4075" s="26" t="b">
        <x:v>1</x:v>
      </x:c>
      <x:c r="H4075" s="16" t="n">
        <x:v>0.5</x:v>
      </x:c>
      <x:c r="I4075" s="16" t="n">
        <x:v>1.35</x:v>
      </x:c>
      <x:c r="J4075" s="16" t="n">
        <x:v>2.4000000000000004</x:v>
      </x:c>
      <x:c r="K4075" s="11" t="n">
        <x:f>CHOOSE('假设'!$B$3,H4075,I4075,J4075)</x:f>
        <x:v>1.35</x:v>
      </x:c>
      <x:c r="L4075" s="11" t="n">
        <x:f>K4075*'管线假设'!E879*'管线假设'!F879*'管线假设'!G879*IF(E4075="USD",'管线假设'!I879,1)-AM4075</x:f>
        <x:v>0.24300000000000002</x:v>
      </x:c>
      <x:c r="M4075" s="11" t="n">
        <x:f>'管线假设'!H879</x:f>
        <x:v>0.14</x:v>
      </x:c>
      <x:c r="N4075" s="11" t="n">
        <x:f>IF(G4075,L4075*AN4075/(1+M4075)^F4075,0)</x:f>
        <x:v>0.0595714075709548</x:v>
      </x:c>
      <x:c r="AJ4075" s="42" t="n">
        <x:v>0</x:v>
      </x:c>
      <x:c r="AK4075" s="42" t="n">
        <x:v>0</x:v>
      </x:c>
      <x:c r="AL4075" s="42" t="n">
        <x:v>0</x:v>
      </x:c>
      <x:c r="AM4075" t="n">
        <x:f>CHOOSE('假设'!$B$3,AJ4075,AK4075,AL4075)</x:f>
        <x:v>0</x:v>
      </x:c>
      <x:c r="AN4075" t="n">
        <x:v>1</x:v>
      </x:c>
    </x:row>
    <x:row r="4076" ht="23" customHeight="1">
      <x:c r="A4076" s="11" t="str">
        <x:v>02162.HK</x:v>
      </x:c>
      <x:c r="B4076" s="11" t="str">
        <x:v>半年</x:v>
      </x:c>
      <x:c r="C4076" s="11" t="str">
        <x:v>CM336_domestic</x:v>
      </x:c>
      <x:c r="D4076" s="11" t="str">
        <x:v>2038-12-31</x:v>
      </x:c>
      <x:c r="E4076" s="11" t="str">
        <x:v>CNY</x:v>
      </x:c>
      <x:c r="F4076" s="11" t="n">
        <x:v>11.728952772073923</x:v>
      </x:c>
      <x:c r="G4076" s="26" t="b">
        <x:v>1</x:v>
      </x:c>
      <x:c r="H4076" s="16" t="n">
        <x:v>0.475</x:v>
      </x:c>
      <x:c r="I4076" s="16" t="n">
        <x:v>1.2000000000000002</x:v>
      </x:c>
      <x:c r="J4076" s="16" t="n">
        <x:v>1.9500000000000002</x:v>
      </x:c>
      <x:c r="K4076" s="11" t="n">
        <x:f>CHOOSE('假设'!$B$3,H4076,I4076,J4076)</x:f>
        <x:v>1.2000000000000002</x:v>
      </x:c>
      <x:c r="L4076" s="11" t="n">
        <x:f>K4076*'管线假设'!E879*'管线假设'!F879*'管线假设'!G879*IF(E4076="USD",'管线假设'!I879,1)-AM4076</x:f>
        <x:v>0.21600000000000005</x:v>
      </x:c>
      <x:c r="M4076" s="11" t="n">
        <x:f>'管线假设'!H879</x:f>
        <x:v>0.14</x:v>
      </x:c>
      <x:c r="N4076" s="11" t="n">
        <x:f>IF(G4076,L4076*AN4076/(1+M4076)^F4076,0)</x:f>
        <x:v>0.04645360655761392</x:v>
      </x:c>
      <x:c r="AJ4076" s="42" t="n">
        <x:v>0</x:v>
      </x:c>
      <x:c r="AK4076" s="42" t="n">
        <x:v>0</x:v>
      </x:c>
      <x:c r="AL4076" s="42" t="n">
        <x:v>0</x:v>
      </x:c>
      <x:c r="AM4076" t="n">
        <x:f>CHOOSE('假设'!$B$3,AJ4076,AK4076,AL4076)</x:f>
        <x:v>0</x:v>
      </x:c>
      <x:c r="AN4076" t="n">
        <x:v>1</x:v>
      </x:c>
    </x:row>
    <x:row r="4077" ht="23" customHeight="1">
      <x:c r="A4077" s="11" t="str">
        <x:v>02162.HK</x:v>
      </x:c>
      <x:c r="B4077" s="11" t="str">
        <x:v>半年</x:v>
      </x:c>
      <x:c r="C4077" s="11" t="str">
        <x:v>CM336_domestic</x:v>
      </x:c>
      <x:c r="D4077" s="11" t="str">
        <x:v>2039-12-31</x:v>
      </x:c>
      <x:c r="E4077" s="11" t="str">
        <x:v>CNY</x:v>
      </x:c>
      <x:c r="F4077" s="11" t="n">
        <x:v>12.728268309377139</x:v>
      </x:c>
      <x:c r="G4077" s="26" t="b">
        <x:v>1</x:v>
      </x:c>
      <x:c r="H4077" s="16" t="n">
        <x:v>0.45</x:v>
      </x:c>
      <x:c r="I4077" s="16" t="n">
        <x:v>0.9750000000000001</x:v>
      </x:c>
      <x:c r="J4077" s="16" t="n">
        <x:v>1.5</x:v>
      </x:c>
      <x:c r="K4077" s="11" t="n">
        <x:f>CHOOSE('假设'!$B$3,H4077,I4077,J4077)</x:f>
        <x:v>0.9750000000000001</x:v>
      </x:c>
      <x:c r="L4077" s="11" t="n">
        <x:f>K4077*'管线假设'!E879*'管线假设'!F879*'管线假设'!G879*IF(E4077="USD",'管线假设'!I879,1)-AM4077</x:f>
        <x:v>0.17550000000000004</x:v>
      </x:c>
      <x:c r="M4077" s="11" t="n">
        <x:f>'管线假设'!H879</x:f>
        <x:v>0.14</x:v>
      </x:c>
      <x:c r="N4077" s="11" t="n">
        <x:f>IF(G4077,L4077*AN4077/(1+M4077)^F4077,0)</x:f>
        <x:v>0.033111351290596835</x:v>
      </x:c>
      <x:c r="AJ4077" s="42" t="n">
        <x:v>0</x:v>
      </x:c>
      <x:c r="AK4077" s="42" t="n">
        <x:v>0</x:v>
      </x:c>
      <x:c r="AL4077" s="42" t="n">
        <x:v>0</x:v>
      </x:c>
      <x:c r="AM4077" t="n">
        <x:f>CHOOSE('假设'!$B$3,AJ4077,AK4077,AL4077)</x:f>
        <x:v>0</x:v>
      </x:c>
      <x:c r="AN4077" t="n">
        <x:v>1</x:v>
      </x:c>
    </x:row>
    <x:row r="4078" ht="23" customHeight="1">
      <x:c r="A4078" s="11" t="str">
        <x:v>02162.HK</x:v>
      </x:c>
      <x:c r="B4078" s="11" t="str">
        <x:v>半年</x:v>
      </x:c>
      <x:c r="C4078" s="11" t="str">
        <x:v>CM336_domestic</x:v>
      </x:c>
      <x:c r="D4078" s="11" t="str">
        <x:v>2040-12-31</x:v>
      </x:c>
      <x:c r="E4078" s="11" t="str">
        <x:v>CNY</x:v>
      </x:c>
      <x:c r="F4078" s="11" t="n">
        <x:v>13.730321697467488</x:v>
      </x:c>
      <x:c r="G4078" s="26" t="b">
        <x:v>1</x:v>
      </x:c>
      <x:c r="H4078" s="16" t="n">
        <x:v>0.4</x:v>
      </x:c>
      <x:c r="I4078" s="16" t="n">
        <x:v>0.75</x:v>
      </x:c>
      <x:c r="J4078" s="16" t="n">
        <x:v>1.0499999999999998</x:v>
      </x:c>
      <x:c r="K4078" s="11" t="n">
        <x:f>CHOOSE('假设'!$B$3,H4078,I4078,J4078)</x:f>
        <x:v>0.75</x:v>
      </x:c>
      <x:c r="L4078" s="11" t="n">
        <x:f>K4078*'管线假设'!E879*'管线假设'!F879*'管线假设'!G879*IF(E4078="USD",'管线假设'!I879,1)-AM4078</x:f>
        <x:v>0.13500000000000004</x:v>
      </x:c>
      <x:c r="M4078" s="11" t="n">
        <x:f>'管线假设'!H879</x:f>
        <x:v>0.14</x:v>
      </x:c>
      <x:c r="N4078" s="11" t="n">
        <x:f>IF(G4078,L4078*AN4078/(1+M4078)^F4078,0)</x:f>
        <x:v>0.022336331860888677</x:v>
      </x:c>
      <x:c r="AJ4078" s="42" t="n">
        <x:v>0</x:v>
      </x:c>
      <x:c r="AK4078" s="42" t="n">
        <x:v>0</x:v>
      </x:c>
      <x:c r="AL4078" s="42" t="n">
        <x:v>0</x:v>
      </x:c>
      <x:c r="AM4078" t="n">
        <x:f>CHOOSE('假设'!$B$3,AJ4078,AK4078,AL4078)</x:f>
        <x:v>0</x:v>
      </x:c>
      <x:c r="AN4078" t="n">
        <x:v>1</x:v>
      </x:c>
    </x:row>
    <x:row r="4079" ht="23" customHeight="1">
      <x:c r="A4079" s="11" t="str">
        <x:v>02162.HK</x:v>
      </x:c>
      <x:c r="B4079" s="11" t="str">
        <x:v>半年</x:v>
      </x:c>
      <x:c r="C4079" s="11" t="str">
        <x:v>CM336_domestic</x:v>
      </x:c>
      <x:c r="D4079" s="11" t="str">
        <x:v>2041-12-31</x:v>
      </x:c>
      <x:c r="E4079" s="11" t="str">
        <x:v>CNY</x:v>
      </x:c>
      <x:c r="F4079" s="11" t="n">
        <x:v>14.729637234770705</x:v>
      </x:c>
      <x:c r="G4079" s="26" t="b">
        <x:v>1</x:v>
      </x:c>
      <x:c r="H4079" s="16" t="n">
        <x:v>0.325</x:v>
      </x:c>
      <x:c r="I4079" s="16" t="n">
        <x:v>0.5249999999999999</x:v>
      </x:c>
      <x:c r="J4079" s="16" t="n">
        <x:v>0.6000000000000001</x:v>
      </x:c>
      <x:c r="K4079" s="11" t="n">
        <x:f>CHOOSE('假设'!$B$3,H4079,I4079,J4079)</x:f>
        <x:v>0.5249999999999999</x:v>
      </x:c>
      <x:c r="L4079" s="11" t="n">
        <x:f>K4079*'管线假设'!E879*'管线假设'!F879*'管线假设'!G879*IF(E4079="USD",'管线假设'!I879,1)-AM4079</x:f>
        <x:v>0.09449999999999999</x:v>
      </x:c>
      <x:c r="M4079" s="11" t="n">
        <x:f>'管线假设'!H879</x:f>
        <x:v>0.14</x:v>
      </x:c>
      <x:c r="N4079" s="11" t="n">
        <x:f>IF(G4079,L4079*AN4079/(1+M4079)^F4079,0)</x:f>
        <x:v>0.013716521590311368</x:v>
      </x:c>
      <x:c r="AJ4079" s="42" t="n">
        <x:v>0</x:v>
      </x:c>
      <x:c r="AK4079" s="42" t="n">
        <x:v>0</x:v>
      </x:c>
      <x:c r="AL4079" s="42" t="n">
        <x:v>0</x:v>
      </x:c>
      <x:c r="AM4079" t="n">
        <x:f>CHOOSE('假设'!$B$3,AJ4079,AK4079,AL4079)</x:f>
        <x:v>0</x:v>
      </x:c>
      <x:c r="AN4079" t="n">
        <x:v>1</x:v>
      </x:c>
    </x:row>
    <x:row r="4080" ht="23" customHeight="1">
      <x:c r="A4080" s="11" t="str">
        <x:v>02162.HK</x:v>
      </x:c>
      <x:c r="B4080" s="11" t="str">
        <x:v>半年</x:v>
      </x:c>
      <x:c r="C4080" s="11" t="str">
        <x:v>CM336_domestic</x:v>
      </x:c>
      <x:c r="D4080" s="11" t="str">
        <x:v>2042-12-31</x:v>
      </x:c>
      <x:c r="E4080" s="11" t="str">
        <x:v>CNY</x:v>
      </x:c>
      <x:c r="F4080" s="11" t="n">
        <x:v>15.728952772073923</x:v>
      </x:c>
      <x:c r="G4080" s="26" t="b">
        <x:v>1</x:v>
      </x:c>
      <x:c r="H4080" s="16" t="n">
        <x:v>0.25</x:v>
      </x:c>
      <x:c r="I4080" s="16" t="n">
        <x:v>0.30000000000000004</x:v>
      </x:c>
      <x:c r="J4080" s="16" t="n">
        <x:v>0.36</x:v>
      </x:c>
      <x:c r="K4080" s="11" t="n">
        <x:f>CHOOSE('假设'!$B$3,H4080,I4080,J4080)</x:f>
        <x:v>0.30000000000000004</x:v>
      </x:c>
      <x:c r="L4080" s="11" t="n">
        <x:f>K4080*'管线假设'!E879*'管线假设'!F879*'管线假设'!G879*IF(E4080="USD",'管线假设'!I879,1)-AM4080</x:f>
        <x:v>0.05400000000000001</x:v>
      </x:c>
      <x:c r="M4080" s="11" t="n">
        <x:f>'管线假设'!H879</x:f>
        <x:v>0.14</x:v>
      </x:c>
      <x:c r="N4080" s="11" t="n">
        <x:f>IF(G4080,L4080*AN4080/(1+M4080)^F4080,0)</x:f>
        <x:v>0.0068760660638694255</x:v>
      </x:c>
      <x:c r="AJ4080" s="42" t="n">
        <x:v>0</x:v>
      </x:c>
      <x:c r="AK4080" s="42" t="n">
        <x:v>0</x:v>
      </x:c>
      <x:c r="AL4080" s="42" t="n">
        <x:v>0</x:v>
      </x:c>
      <x:c r="AM4080" t="n">
        <x:f>CHOOSE('假设'!$B$3,AJ4080,AK4080,AL4080)</x:f>
        <x:v>0</x:v>
      </x:c>
      <x:c r="AN4080" t="n">
        <x:v>1</x:v>
      </x:c>
    </x:row>
    <x:row r="4081" ht="23" customHeight="1">
      <x:c r="A4081" s="11" t="str">
        <x:v>02162.HK</x:v>
      </x:c>
      <x:c r="B4081" s="11" t="str">
        <x:v>半年</x:v>
      </x:c>
      <x:c r="C4081" s="11" t="str">
        <x:v>CM336_domestic</x:v>
      </x:c>
      <x:c r="D4081" s="11" t="str">
        <x:v>2043-12-31</x:v>
      </x:c>
      <x:c r="E4081" s="11" t="str">
        <x:v>CNY</x:v>
      </x:c>
      <x:c r="F4081" s="11" t="n">
        <x:v>16.72826830937714</x:v>
      </x:c>
      <x:c r="G4081" s="26" t="b">
        <x:v>1</x:v>
      </x:c>
      <x:c r="H4081" s="16" t="n">
        <x:v>0.175</x:v>
      </x:c>
      <x:c r="I4081" s="16" t="n">
        <x:v>0.18</x:v>
      </x:c>
      <x:c r="J4081" s="16" t="n">
        <x:v>0.21000000000000002</x:v>
      </x:c>
      <x:c r="K4081" s="11" t="n">
        <x:f>CHOOSE('假设'!$B$3,H4081,I4081,J4081)</x:f>
        <x:v>0.18</x:v>
      </x:c>
      <x:c r="L4081" s="11" t="n">
        <x:f>K4081*'管线假设'!E879*'管线假设'!F879*'管线假设'!G879*IF(E4081="USD",'管线假设'!I879,1)-AM4081</x:f>
        <x:v>0.0324</x:v>
      </x:c>
      <x:c r="M4081" s="11" t="n">
        <x:f>'管线假设'!H879</x:f>
        <x:v>0.14</x:v>
      </x:c>
      <x:c r="N4081" s="11" t="n">
        <x:f>IF(G4081,L4081*AN4081/(1+M4081)^F4081,0)</x:f>
        <x:v>0.003619306718074772</x:v>
      </x:c>
      <x:c r="AJ4081" s="42" t="n">
        <x:v>0</x:v>
      </x:c>
      <x:c r="AK4081" s="42" t="n">
        <x:v>0</x:v>
      </x:c>
      <x:c r="AL4081" s="42" t="n">
        <x:v>0</x:v>
      </x:c>
      <x:c r="AM4081" t="n">
        <x:f>CHOOSE('假设'!$B$3,AJ4081,AK4081,AL4081)</x:f>
        <x:v>0</x:v>
      </x:c>
      <x:c r="AN4081" t="n">
        <x:v>1</x:v>
      </x:c>
    </x:row>
    <x:row r="4082" ht="23" customHeight="1">
      <x:c r="A4082" s="11" t="str">
        <x:v>02162.HK</x:v>
      </x:c>
      <x:c r="B4082" s="11" t="str">
        <x:v>半年</x:v>
      </x:c>
      <x:c r="C4082" s="11" t="str">
        <x:v>CM336_domestic</x:v>
      </x:c>
      <x:c r="D4082" s="11" t="str">
        <x:v>2044-12-31</x:v>
      </x:c>
      <x:c r="E4082" s="11" t="str">
        <x:v>CNY</x:v>
      </x:c>
      <x:c r="F4082" s="11" t="n">
        <x:v>17.730321697467488</x:v>
      </x:c>
      <x:c r="G4082" s="26" t="b">
        <x:v>1</x:v>
      </x:c>
      <x:c r="H4082" s="16" t="n">
        <x:v>0.1</x:v>
      </x:c>
      <x:c r="I4082" s="16" t="n">
        <x:v>0.10500000000000001</x:v>
      </x:c>
      <x:c r="J4082" s="16" t="n">
        <x:v>0.09</x:v>
      </x:c>
      <x:c r="K4082" s="11" t="n">
        <x:f>CHOOSE('假设'!$B$3,H4082,I4082,J4082)</x:f>
        <x:v>0.10500000000000001</x:v>
      </x:c>
      <x:c r="L4082" s="11" t="n">
        <x:f>K4082*'管线假设'!E879*'管线假设'!F879*'管线假设'!G879*IF(E4082="USD",'管线假设'!I879,1)-AM4082</x:f>
        <x:v>0.018900000000000004</x:v>
      </x:c>
      <x:c r="M4082" s="11" t="n">
        <x:f>'管线假设'!H879</x:f>
        <x:v>0.14</x:v>
      </x:c>
      <x:c r="N4082" s="11" t="n">
        <x:f>IF(G4082,L4082*AN4082/(1+M4082)^F4082,0)</x:f>
        <x:v>0.0018514862189078593</x:v>
      </x:c>
      <x:c r="AJ4082" s="42" t="n">
        <x:v>0</x:v>
      </x:c>
      <x:c r="AK4082" s="42" t="n">
        <x:v>0</x:v>
      </x:c>
      <x:c r="AL4082" s="42" t="n">
        <x:v>0</x:v>
      </x:c>
      <x:c r="AM4082" t="n">
        <x:f>CHOOSE('假设'!$B$3,AJ4082,AK4082,AL4082)</x:f>
        <x:v>0</x:v>
      </x:c>
      <x:c r="AN4082" t="n">
        <x:v>1</x:v>
      </x:c>
    </x:row>
    <x:row r="4083" ht="23" customHeight="1">
      <x:c r="A4083" s="11" t="str">
        <x:v>02162.HK</x:v>
      </x:c>
      <x:c r="B4083" s="11" t="str">
        <x:v>半年</x:v>
      </x:c>
      <x:c r="C4083" s="11" t="str">
        <x:v>CM313_domestic</x:v>
      </x:c>
      <x:c r="D4083" s="11" t="str">
        <x:v>2026-12-31</x:v>
      </x:c>
      <x:c r="E4083" s="11" t="str">
        <x:v>CNY</x:v>
      </x:c>
      <x:c r="F4083" s="11" t="n">
        <x:v>-0.27104722792607805</x:v>
      </x:c>
      <x:c r="G4083" s="26" t="b">
        <x:v>0</x:v>
      </x:c>
      <x:c r="H4083" s="16" t="n">
        <x:v>0</x:v>
      </x:c>
      <x:c r="I4083" s="16" t="n">
        <x:v>0</x:v>
      </x:c>
      <x:c r="J4083" s="16" t="n">
        <x:v>0</x:v>
      </x:c>
      <x:c r="K4083" s="11" t="n">
        <x:f>CHOOSE('假设'!$B$3,H4083,I4083,J4083)</x:f>
        <x:v>0</x:v>
      </x:c>
      <x:c r="L4083" s="11" t="n">
        <x:f>K4083*'管线假设'!E883*'管线假设'!F883*'管线假设'!G883*IF(E4083="USD",'管线假设'!I883,1)-AM4083</x:f>
        <x:v>-0.1</x:v>
      </x:c>
      <x:c r="M4083" s="11" t="n">
        <x:f>'管线假设'!H883</x:f>
        <x:v>0.14</x:v>
      </x:c>
      <x:c r="N4083" s="11" t="n">
        <x:f>IF(G4083,L4083*AN4083/(1+M4083)^F4083,0)</x:f>
        <x:v>0</x:v>
      </x:c>
      <x:c r="AJ4083" s="42" t="n">
        <x:v>0.06</x:v>
      </x:c>
      <x:c r="AK4083" s="42" t="n">
        <x:v>0.1</x:v>
      </x:c>
      <x:c r="AL4083" s="42" t="n">
        <x:v>0.14</x:v>
      </x:c>
      <x:c r="AM4083" t="n">
        <x:f>CHOOSE('假设'!$B$3,AJ4083,AK4083,AL4083)</x:f>
        <x:v>0.1</x:v>
      </x:c>
      <x:c r="AN4083" t="n">
        <x:v>0</x:v>
      </x:c>
    </x:row>
    <x:row r="4084" ht="23" customHeight="1">
      <x:c r="A4084" s="11" t="str">
        <x:v>02162.HK</x:v>
      </x:c>
      <x:c r="B4084" s="11" t="str">
        <x:v>半年</x:v>
      </x:c>
      <x:c r="C4084" s="11" t="str">
        <x:v>CM313_domestic</x:v>
      </x:c>
      <x:c r="D4084" s="11" t="str">
        <x:v>2027-12-31</x:v>
      </x:c>
      <x:c r="E4084" s="11" t="str">
        <x:v>CNY</x:v>
      </x:c>
      <x:c r="F4084" s="11" t="n">
        <x:v>0.7282683093771389</x:v>
      </x:c>
      <x:c r="G4084" s="26" t="b">
        <x:v>1</x:v>
      </x:c>
      <x:c r="H4084" s="16" t="n">
        <x:v>0</x:v>
      </x:c>
      <x:c r="I4084" s="16" t="n">
        <x:v>0</x:v>
      </x:c>
      <x:c r="J4084" s="16" t="n">
        <x:v>0</x:v>
      </x:c>
      <x:c r="K4084" s="11" t="n">
        <x:f>CHOOSE('假设'!$B$3,H4084,I4084,J4084)</x:f>
        <x:v>0</x:v>
      </x:c>
      <x:c r="L4084" s="11" t="n">
        <x:f>K4084*'管线假设'!E883*'管线假设'!F883*'管线假设'!G883*IF(E4084="USD",'管线假设'!I883,1)-AM4084</x:f>
        <x:v>-0.13</x:v>
      </x:c>
      <x:c r="M4084" s="11" t="n">
        <x:f>'管线假设'!H883</x:f>
        <x:v>0.14</x:v>
      </x:c>
      <x:c r="N4084" s="11" t="n">
        <x:f>IF(G4084,L4084*AN4084/(1+M4084)^F4084,0)</x:f>
        <x:v>-0.08635383021384666</x:v>
      </x:c>
      <x:c r="AJ4084" s="42" t="n">
        <x:v>0.06</x:v>
      </x:c>
      <x:c r="AK4084" s="42" t="n">
        <x:v>0.13</x:v>
      </x:c>
      <x:c r="AL4084" s="42" t="n">
        <x:v>0.18</x:v>
      </x:c>
      <x:c r="AM4084" t="n">
        <x:f>CHOOSE('假设'!$B$3,AJ4084,AK4084,AL4084)</x:f>
        <x:v>0.13</x:v>
      </x:c>
      <x:c r="AN4084" t="n">
        <x:v>0.7307692307692307</x:v>
      </x:c>
    </x:row>
    <x:row r="4085" ht="23" customHeight="1">
      <x:c r="A4085" s="11" t="str">
        <x:v>02162.HK</x:v>
      </x:c>
      <x:c r="B4085" s="11" t="str">
        <x:v>半年</x:v>
      </x:c>
      <x:c r="C4085" s="11" t="str">
        <x:v>CM313_domestic</x:v>
      </x:c>
      <x:c r="D4085" s="11" t="str">
        <x:v>2028-12-31</x:v>
      </x:c>
      <x:c r="E4085" s="11" t="str">
        <x:v>CNY</x:v>
      </x:c>
      <x:c r="F4085" s="11" t="n">
        <x:v>1.730321697467488</x:v>
      </x:c>
      <x:c r="G4085" s="26" t="b">
        <x:v>1</x:v>
      </x:c>
      <x:c r="H4085" s="16" t="n">
        <x:v>0</x:v>
      </x:c>
      <x:c r="I4085" s="16" t="n">
        <x:v>0</x:v>
      </x:c>
      <x:c r="J4085" s="16" t="n">
        <x:v>0</x:v>
      </x:c>
      <x:c r="K4085" s="11" t="n">
        <x:f>CHOOSE('假设'!$B$3,H4085,I4085,J4085)</x:f>
        <x:v>0</x:v>
      </x:c>
      <x:c r="L4085" s="11" t="n">
        <x:f>K4085*'管线假设'!E883*'管线假设'!F883*'管线假设'!G883*IF(E4085="USD",'管线假设'!I883,1)-AM4085</x:f>
        <x:v>-0.13</x:v>
      </x:c>
      <x:c r="M4085" s="11" t="n">
        <x:f>'管线假设'!H883</x:f>
        <x:v>0.14</x:v>
      </x:c>
      <x:c r="N4085" s="11" t="n">
        <x:f>IF(G4085,L4085*AN4085/(1+M4085)^F4085,0)</x:f>
        <x:v>-0.10362860533986935</x:v>
      </x:c>
      <x:c r="AJ4085" s="42" t="n">
        <x:v>0.04</x:v>
      </x:c>
      <x:c r="AK4085" s="42" t="n">
        <x:v>0.13</x:v>
      </x:c>
      <x:c r="AL4085" s="42" t="n">
        <x:v>0.18</x:v>
      </x:c>
      <x:c r="AM4085" t="n">
        <x:f>CHOOSE('假设'!$B$3,AJ4085,AK4085,AL4085)</x:f>
        <x:v>0.13</x:v>
      </x:c>
      <x:c r="AN4085" t="n">
        <x:v>1</x:v>
      </x:c>
    </x:row>
    <x:row r="4086" ht="23" customHeight="1">
      <x:c r="A4086" s="11" t="str">
        <x:v>02162.HK</x:v>
      </x:c>
      <x:c r="B4086" s="11" t="str">
        <x:v>半年</x:v>
      </x:c>
      <x:c r="C4086" s="11" t="str">
        <x:v>CM313_domestic</x:v>
      </x:c>
      <x:c r="D4086" s="11" t="str">
        <x:v>2029-12-31</x:v>
      </x:c>
      <x:c r="E4086" s="11" t="str">
        <x:v>CNY</x:v>
      </x:c>
      <x:c r="F4086" s="11" t="n">
        <x:v>2.729637234770705</x:v>
      </x:c>
      <x:c r="G4086" s="26" t="b">
        <x:v>1</x:v>
      </x:c>
      <x:c r="H4086" s="16" t="n">
        <x:v>0</x:v>
      </x:c>
      <x:c r="I4086" s="16" t="n">
        <x:v>0</x:v>
      </x:c>
      <x:c r="J4086" s="16" t="n">
        <x:v>0.15</x:v>
      </x:c>
      <x:c r="K4086" s="11" t="n">
        <x:f>CHOOSE('假设'!$B$3,H4086,I4086,J4086)</x:f>
        <x:v>0</x:v>
      </x:c>
      <x:c r="L4086" s="11" t="n">
        <x:f>K4086*'管线假设'!E883*'管线假设'!F883*'管线假设'!G883*IF(E4086="USD",'管线假设'!I883,1)-AM4086</x:f>
        <x:v>-0.07</x:v>
      </x:c>
      <x:c r="M4086" s="11" t="n">
        <x:f>'管线假设'!H883</x:f>
        <x:v>0.14</x:v>
      </x:c>
      <x:c r="N4086" s="11" t="n">
        <x:f>IF(G4086,L4086*AN4086/(1+M4086)^F4086,0)</x:f>
        <x:v>-0.048951774430550196</x:v>
      </x:c>
      <x:c r="AJ4086" s="42" t="n">
        <x:v>0</x:v>
      </x:c>
      <x:c r="AK4086" s="42" t="n">
        <x:v>0.07</x:v>
      </x:c>
      <x:c r="AL4086" s="42" t="n">
        <x:v>0.09</x:v>
      </x:c>
      <x:c r="AM4086" t="n">
        <x:f>CHOOSE('假设'!$B$3,AJ4086,AK4086,AL4086)</x:f>
        <x:v>0.07</x:v>
      </x:c>
      <x:c r="AN4086" t="n">
        <x:v>1</x:v>
      </x:c>
    </x:row>
    <x:row r="4087" ht="23" customHeight="1">
      <x:c r="A4087" s="11" t="str">
        <x:v>02162.HK</x:v>
      </x:c>
      <x:c r="B4087" s="11" t="str">
        <x:v>半年</x:v>
      </x:c>
      <x:c r="C4087" s="11" t="str">
        <x:v>CM313_domestic</x:v>
      </x:c>
      <x:c r="D4087" s="11" t="str">
        <x:v>2030-12-31</x:v>
      </x:c>
      <x:c r="E4087" s="11" t="str">
        <x:v>CNY</x:v>
      </x:c>
      <x:c r="F4087" s="11" t="n">
        <x:v>3.728952772073922</x:v>
      </x:c>
      <x:c r="G4087" s="26" t="b">
        <x:v>1</x:v>
      </x:c>
      <x:c r="H4087" s="16" t="n">
        <x:v>0</x:v>
      </x:c>
      <x:c r="I4087" s="16" t="n">
        <x:v>0.072</x:v>
      </x:c>
      <x:c r="J4087" s="16" t="n">
        <x:v>0.44999999999999996</x:v>
      </x:c>
      <x:c r="K4087" s="11" t="n">
        <x:f>CHOOSE('假设'!$B$3,H4087,I4087,J4087)</x:f>
        <x:v>0.072</x:v>
      </x:c>
      <x:c r="L4087" s="11" t="n">
        <x:f>K4087*'管线假设'!E883*'管线假设'!F883*'管线假设'!G883*IF(E4087="USD",'管线假设'!I883,1)-AM4087</x:f>
        <x:v>0.00972</x:v>
      </x:c>
      <x:c r="M4087" s="11" t="n">
        <x:f>'管线假设'!H883</x:f>
        <x:v>0.14</x:v>
      </x:c>
      <x:c r="N4087" s="11" t="n">
        <x:f>IF(G4087,L4087*AN4087/(1+M4087)^F4087,0)</x:f>
        <x:v>0.005963081729503617</x:v>
      </x:c>
      <x:c r="AJ4087" s="42" t="n">
        <x:v>0</x:v>
      </x:c>
      <x:c r="AK4087" s="42" t="n">
        <x:v>0</x:v>
      </x:c>
      <x:c r="AL4087" s="42" t="n">
        <x:v>0</x:v>
      </x:c>
      <x:c r="AM4087" t="n">
        <x:f>CHOOSE('假设'!$B$3,AJ4087,AK4087,AL4087)</x:f>
        <x:v>0</x:v>
      </x:c>
      <x:c r="AN4087" t="n">
        <x:v>1</x:v>
      </x:c>
    </x:row>
    <x:row r="4088" ht="23" customHeight="1">
      <x:c r="A4088" s="11" t="str">
        <x:v>02162.HK</x:v>
      </x:c>
      <x:c r="B4088" s="11" t="str">
        <x:v>半年</x:v>
      </x:c>
      <x:c r="C4088" s="11" t="str">
        <x:v>CM313_domestic</x:v>
      </x:c>
      <x:c r="D4088" s="11" t="str">
        <x:v>2031-12-31</x:v>
      </x:c>
      <x:c r="E4088" s="11" t="str">
        <x:v>CNY</x:v>
      </x:c>
      <x:c r="F4088" s="11" t="n">
        <x:v>4.728268309377139</x:v>
      </x:c>
      <x:c r="G4088" s="26" t="b">
        <x:v>1</x:v>
      </x:c>
      <x:c r="H4088" s="16" t="n">
        <x:v>0</x:v>
      </x:c>
      <x:c r="I4088" s="16" t="n">
        <x:v>0.216</x:v>
      </x:c>
      <x:c r="J4088" s="16" t="n">
        <x:v>0.95</x:v>
      </x:c>
      <x:c r="K4088" s="11" t="n">
        <x:f>CHOOSE('假设'!$B$3,H4088,I4088,J4088)</x:f>
        <x:v>0.216</x:v>
      </x:c>
      <x:c r="L4088" s="11" t="n">
        <x:f>K4088*'管线假设'!E883*'管线假设'!F883*'管线假设'!G883*IF(E4088="USD",'管线假设'!I883,1)-AM4088</x:f>
        <x:v>0.02916</x:v>
      </x:c>
      <x:c r="M4088" s="11" t="n">
        <x:f>'管线假设'!H883</x:f>
        <x:v>0.14</x:v>
      </x:c>
      <x:c r="N4088" s="11" t="n">
        <x:f>IF(G4088,L4088*AN4088/(1+M4088)^F4088,0)</x:f>
        <x:v>0.015693727753305086</x:v>
      </x:c>
      <x:c r="AJ4088" s="42" t="n">
        <x:v>0</x:v>
      </x:c>
      <x:c r="AK4088" s="42" t="n">
        <x:v>0</x:v>
      </x:c>
      <x:c r="AL4088" s="42" t="n">
        <x:v>0</x:v>
      </x:c>
      <x:c r="AM4088" t="n">
        <x:f>CHOOSE('假设'!$B$3,AJ4088,AK4088,AL4088)</x:f>
        <x:v>0</x:v>
      </x:c>
      <x:c r="AN4088" t="n">
        <x:v>1</x:v>
      </x:c>
    </x:row>
    <x:row r="4089" ht="23" customHeight="1">
      <x:c r="A4089" s="11" t="str">
        <x:v>02162.HK</x:v>
      </x:c>
      <x:c r="B4089" s="11" t="str">
        <x:v>半年</x:v>
      </x:c>
      <x:c r="C4089" s="11" t="str">
        <x:v>CM313_domestic</x:v>
      </x:c>
      <x:c r="D4089" s="11" t="str">
        <x:v>2032-12-31</x:v>
      </x:c>
      <x:c r="E4089" s="11" t="str">
        <x:v>CNY</x:v>
      </x:c>
      <x:c r="F4089" s="11" t="n">
        <x:v>5.730321697467488</x:v>
      </x:c>
      <x:c r="G4089" s="26" t="b">
        <x:v>1</x:v>
      </x:c>
      <x:c r="H4089" s="16" t="n">
        <x:v>0.024</x:v>
      </x:c>
      <x:c r="I4089" s="16" t="n">
        <x:v>0.45599999999999996</x:v>
      </x:c>
      <x:c r="J4089" s="16" t="n">
        <x:v>1.625</x:v>
      </x:c>
      <x:c r="K4089" s="11" t="n">
        <x:f>CHOOSE('假设'!$B$3,H4089,I4089,J4089)</x:f>
        <x:v>0.45599999999999996</x:v>
      </x:c>
      <x:c r="L4089" s="11" t="n">
        <x:f>K4089*'管线假设'!E883*'管线假设'!F883*'管线假设'!G883*IF(E4089="USD",'管线假设'!I883,1)-AM4089</x:f>
        <x:v>0.06155999999999999</x:v>
      </x:c>
      <x:c r="M4089" s="11" t="n">
        <x:f>'管线假设'!H883</x:f>
        <x:v>0.14</x:v>
      </x:c>
      <x:c r="N4089" s="11" t="n">
        <x:f>IF(G4089,L4089*AN4089/(1+M4089)^F4089,0)</x:f>
        <x:v>0.029054640545232338</x:v>
      </x:c>
      <x:c r="AJ4089" s="42" t="n">
        <x:v>0</x:v>
      </x:c>
      <x:c r="AK4089" s="42" t="n">
        <x:v>0</x:v>
      </x:c>
      <x:c r="AL4089" s="42" t="n">
        <x:v>0</x:v>
      </x:c>
      <x:c r="AM4089" t="n">
        <x:f>CHOOSE('假设'!$B$3,AJ4089,AK4089,AL4089)</x:f>
        <x:v>0</x:v>
      </x:c>
      <x:c r="AN4089" t="n">
        <x:v>1</x:v>
      </x:c>
    </x:row>
    <x:row r="4090" ht="23" customHeight="1">
      <x:c r="A4090" s="11" t="str">
        <x:v>02162.HK</x:v>
      </x:c>
      <x:c r="B4090" s="11" t="str">
        <x:v>半年</x:v>
      </x:c>
      <x:c r="C4090" s="11" t="str">
        <x:v>CM313_domestic</x:v>
      </x:c>
      <x:c r="D4090" s="11" t="str">
        <x:v>2033-12-31</x:v>
      </x:c>
      <x:c r="E4090" s="11" t="str">
        <x:v>CNY</x:v>
      </x:c>
      <x:c r="F4090" s="11" t="n">
        <x:v>6.729637234770705</x:v>
      </x:c>
      <x:c r="G4090" s="26" t="b">
        <x:v>1</x:v>
      </x:c>
      <x:c r="H4090" s="16" t="n">
        <x:v>0.072</x:v>
      </x:c>
      <x:c r="I4090" s="16" t="n">
        <x:v>0.78</x:v>
      </x:c>
      <x:c r="J4090" s="16" t="n">
        <x:v>2.125</x:v>
      </x:c>
      <x:c r="K4090" s="11" t="n">
        <x:f>CHOOSE('假设'!$B$3,H4090,I4090,J4090)</x:f>
        <x:v>0.78</x:v>
      </x:c>
      <x:c r="L4090" s="11" t="n">
        <x:f>K4090*'管线假设'!E883*'管线假设'!F883*'管线假设'!G883*IF(E4090="USD",'管线假设'!I883,1)-AM4090</x:f>
        <x:v>0.10529999999999999</x:v>
      </x:c>
      <x:c r="M4090" s="11" t="n">
        <x:f>'管线假设'!H883</x:f>
        <x:v>0.14</x:v>
      </x:c>
      <x:c r="N4090" s="11" t="n">
        <x:f>IF(G4090,L4090*AN4090/(1+M4090)^F4090,0)</x:f>
        <x:v>0.04359928476040153</x:v>
      </x:c>
      <x:c r="AJ4090" s="42" t="n">
        <x:v>0</x:v>
      </x:c>
      <x:c r="AK4090" s="42" t="n">
        <x:v>0</x:v>
      </x:c>
      <x:c r="AL4090" s="42" t="n">
        <x:v>0</x:v>
      </x:c>
      <x:c r="AM4090" t="n">
        <x:f>CHOOSE('假设'!$B$3,AJ4090,AK4090,AL4090)</x:f>
        <x:v>0</x:v>
      </x:c>
      <x:c r="AN4090" t="n">
        <x:v>1</x:v>
      </x:c>
    </x:row>
    <x:row r="4091" ht="23" customHeight="1">
      <x:c r="A4091" s="11" t="str">
        <x:v>02162.HK</x:v>
      </x:c>
      <x:c r="B4091" s="11" t="str">
        <x:v>半年</x:v>
      </x:c>
      <x:c r="C4091" s="11" t="str">
        <x:v>CM313_domestic</x:v>
      </x:c>
      <x:c r="D4091" s="11" t="str">
        <x:v>2034-12-31</x:v>
      </x:c>
      <x:c r="E4091" s="11" t="str">
        <x:v>CNY</x:v>
      </x:c>
      <x:c r="F4091" s="11" t="n">
        <x:v>7.728952772073922</x:v>
      </x:c>
      <x:c r="G4091" s="26" t="b">
        <x:v>1</x:v>
      </x:c>
      <x:c r="H4091" s="16" t="n">
        <x:v>0.15200000000000002</x:v>
      </x:c>
      <x:c r="I4091" s="16" t="n">
        <x:v>1.02</x:v>
      </x:c>
      <x:c r="J4091" s="16" t="n">
        <x:v>2.5</x:v>
      </x:c>
      <x:c r="K4091" s="11" t="n">
        <x:f>CHOOSE('假设'!$B$3,H4091,I4091,J4091)</x:f>
        <x:v>1.02</x:v>
      </x:c>
      <x:c r="L4091" s="11" t="n">
        <x:f>K4091*'管线假设'!E883*'管线假设'!F883*'管线假设'!G883*IF(E4091="USD",'管线假设'!I883,1)-AM4091</x:f>
        <x:v>0.1377</x:v>
      </x:c>
      <x:c r="M4091" s="11" t="n">
        <x:f>'管线假设'!H883</x:f>
        <x:v>0.14</x:v>
      </x:c>
      <x:c r="N4091" s="11" t="n">
        <x:f>IF(G4091,L4091*AN4091/(1+M4091)^F4091,0)</x:f>
        <x:v>0.05001716036212948</x:v>
      </x:c>
      <x:c r="AJ4091" s="42" t="n">
        <x:v>0</x:v>
      </x:c>
      <x:c r="AK4091" s="42" t="n">
        <x:v>0</x:v>
      </x:c>
      <x:c r="AL4091" s="42" t="n">
        <x:v>0</x:v>
      </x:c>
      <x:c r="AM4091" t="n">
        <x:f>CHOOSE('假设'!$B$3,AJ4091,AK4091,AL4091)</x:f>
        <x:v>0</x:v>
      </x:c>
      <x:c r="AN4091" t="n">
        <x:v>1</x:v>
      </x:c>
    </x:row>
    <x:row r="4092" ht="23" customHeight="1">
      <x:c r="A4092" s="11" t="str">
        <x:v>02162.HK</x:v>
      </x:c>
      <x:c r="B4092" s="11" t="str">
        <x:v>半年</x:v>
      </x:c>
      <x:c r="C4092" s="11" t="str">
        <x:v>CM313_domestic</x:v>
      </x:c>
      <x:c r="D4092" s="11" t="str">
        <x:v>2035-12-31</x:v>
      </x:c>
      <x:c r="E4092" s="11" t="str">
        <x:v>CNY</x:v>
      </x:c>
      <x:c r="F4092" s="11" t="n">
        <x:v>8.728268309377139</x:v>
      </x:c>
      <x:c r="G4092" s="26" t="b">
        <x:v>1</x:v>
      </x:c>
      <x:c r="H4092" s="16" t="n">
        <x:v>0.26</x:v>
      </x:c>
      <x:c r="I4092" s="16" t="n">
        <x:v>1.2</x:v>
      </x:c>
      <x:c r="J4092" s="16" t="n">
        <x:v>2.5</x:v>
      </x:c>
      <x:c r="K4092" s="11" t="n">
        <x:f>CHOOSE('假设'!$B$3,H4092,I4092,J4092)</x:f>
        <x:v>1.2</x:v>
      </x:c>
      <x:c r="L4092" s="11" t="n">
        <x:f>K4092*'管线假设'!E883*'管线假设'!F883*'管线假设'!G883*IF(E4092="USD",'管线假设'!I883,1)-AM4092</x:f>
        <x:v>0.162</x:v>
      </x:c>
      <x:c r="M4092" s="11" t="n">
        <x:f>'管线假设'!H883</x:f>
        <x:v>0.14</x:v>
      </x:c>
      <x:c r="N4092" s="11" t="n">
        <x:f>IF(G4092,L4092*AN4092/(1+M4092)^F4092,0)</x:f>
        <x:v>0.05162192600638398</x:v>
      </x:c>
      <x:c r="AJ4092" s="42" t="n">
        <x:v>0</x:v>
      </x:c>
      <x:c r="AK4092" s="42" t="n">
        <x:v>0</x:v>
      </x:c>
      <x:c r="AL4092" s="42" t="n">
        <x:v>0</x:v>
      </x:c>
      <x:c r="AM4092" t="n">
        <x:f>CHOOSE('假设'!$B$3,AJ4092,AK4092,AL4092)</x:f>
        <x:v>0</x:v>
      </x:c>
      <x:c r="AN4092" t="n">
        <x:v>1</x:v>
      </x:c>
    </x:row>
    <x:row r="4093" ht="23" customHeight="1">
      <x:c r="A4093" s="11" t="str">
        <x:v>02162.HK</x:v>
      </x:c>
      <x:c r="B4093" s="11" t="str">
        <x:v>半年</x:v>
      </x:c>
      <x:c r="C4093" s="11" t="str">
        <x:v>CM313_domestic</x:v>
      </x:c>
      <x:c r="D4093" s="11" t="str">
        <x:v>2036-12-31</x:v>
      </x:c>
      <x:c r="E4093" s="11" t="str">
        <x:v>CNY</x:v>
      </x:c>
      <x:c r="F4093" s="11" t="n">
        <x:v>9.730321697467488</x:v>
      </x:c>
      <x:c r="G4093" s="26" t="b">
        <x:v>1</x:v>
      </x:c>
      <x:c r="H4093" s="16" t="n">
        <x:v>0.34</x:v>
      </x:c>
      <x:c r="I4093" s="16" t="n">
        <x:v>1.2</x:v>
      </x:c>
      <x:c r="J4093" s="16" t="n">
        <x:v>2.375</x:v>
      </x:c>
      <x:c r="K4093" s="11" t="n">
        <x:f>CHOOSE('假设'!$B$3,H4093,I4093,J4093)</x:f>
        <x:v>1.2</x:v>
      </x:c>
      <x:c r="L4093" s="11" t="n">
        <x:f>K4093*'管线假设'!E883*'管线假设'!F883*'管线假设'!G883*IF(E4093="USD",'管线假设'!I883,1)-AM4093</x:f>
        <x:v>0.162</x:v>
      </x:c>
      <x:c r="M4093" s="11" t="n">
        <x:f>'管线假设'!H883</x:f>
        <x:v>0.14</x:v>
      </x:c>
      <x:c r="N4093" s="11" t="n">
        <x:f>IF(G4093,L4093*AN4093/(1+M4093)^F4093,0)</x:f>
        <x:v>0.04527020956029557</x:v>
      </x:c>
      <x:c r="AJ4093" s="42" t="n">
        <x:v>0</x:v>
      </x:c>
      <x:c r="AK4093" s="42" t="n">
        <x:v>0</x:v>
      </x:c>
      <x:c r="AL4093" s="42" t="n">
        <x:v>0</x:v>
      </x:c>
      <x:c r="AM4093" t="n">
        <x:f>CHOOSE('假设'!$B$3,AJ4093,AK4093,AL4093)</x:f>
        <x:v>0</x:v>
      </x:c>
      <x:c r="AN4093" t="n">
        <x:v>1</x:v>
      </x:c>
    </x:row>
    <x:row r="4094" ht="23" customHeight="1">
      <x:c r="A4094" s="11" t="str">
        <x:v>02162.HK</x:v>
      </x:c>
      <x:c r="B4094" s="11" t="str">
        <x:v>半年</x:v>
      </x:c>
      <x:c r="C4094" s="11" t="str">
        <x:v>CM313_domestic</x:v>
      </x:c>
      <x:c r="D4094" s="11" t="str">
        <x:v>2037-12-31</x:v>
      </x:c>
      <x:c r="E4094" s="11" t="str">
        <x:v>CNY</x:v>
      </x:c>
      <x:c r="F4094" s="11" t="n">
        <x:v>10.729637234770705</x:v>
      </x:c>
      <x:c r="G4094" s="26" t="b">
        <x:v>1</x:v>
      </x:c>
      <x:c r="H4094" s="16" t="n">
        <x:v>0.4</x:v>
      </x:c>
      <x:c r="I4094" s="16" t="n">
        <x:v>1.14</x:v>
      </x:c>
      <x:c r="J4094" s="16" t="n">
        <x:v>2.25</x:v>
      </x:c>
      <x:c r="K4094" s="11" t="n">
        <x:f>CHOOSE('假设'!$B$3,H4094,I4094,J4094)</x:f>
        <x:v>1.14</x:v>
      </x:c>
      <x:c r="L4094" s="11" t="n">
        <x:f>K4094*'管线假设'!E883*'管线假设'!F883*'管线假设'!G883*IF(E4094="USD",'管线假设'!I883,1)-AM4094</x:f>
        <x:v>0.15389999999999998</x:v>
      </x:c>
      <x:c r="M4094" s="11" t="n">
        <x:f>'管线假设'!H883</x:f>
        <x:v>0.14</x:v>
      </x:c>
      <x:c r="N4094" s="11" t="n">
        <x:f>IF(G4094,L4094*AN4094/(1+M4094)^F4094,0)</x:f>
        <x:v>0.03772855812827137</x:v>
      </x:c>
      <x:c r="AJ4094" s="42" t="n">
        <x:v>0</x:v>
      </x:c>
      <x:c r="AK4094" s="42" t="n">
        <x:v>0</x:v>
      </x:c>
      <x:c r="AL4094" s="42" t="n">
        <x:v>0</x:v>
      </x:c>
      <x:c r="AM4094" t="n">
        <x:f>CHOOSE('假设'!$B$3,AJ4094,AK4094,AL4094)</x:f>
        <x:v>0</x:v>
      </x:c>
      <x:c r="AN4094" t="n">
        <x:v>1</x:v>
      </x:c>
    </x:row>
    <x:row r="4095" ht="23" customHeight="1">
      <x:c r="A4095" s="11" t="str">
        <x:v>02162.HK</x:v>
      </x:c>
      <x:c r="B4095" s="11" t="str">
        <x:v>半年</x:v>
      </x:c>
      <x:c r="C4095" s="11" t="str">
        <x:v>CM313_domestic</x:v>
      </x:c>
      <x:c r="D4095" s="11" t="str">
        <x:v>2038-12-31</x:v>
      </x:c>
      <x:c r="E4095" s="11" t="str">
        <x:v>CNY</x:v>
      </x:c>
      <x:c r="F4095" s="11" t="n">
        <x:v>11.728952772073923</x:v>
      </x:c>
      <x:c r="G4095" s="26" t="b">
        <x:v>1</x:v>
      </x:c>
      <x:c r="H4095" s="16" t="n">
        <x:v>0.4</x:v>
      </x:c>
      <x:c r="I4095" s="16" t="n">
        <x:v>1.08</x:v>
      </x:c>
      <x:c r="J4095" s="16" t="n">
        <x:v>2</x:v>
      </x:c>
      <x:c r="K4095" s="11" t="n">
        <x:f>CHOOSE('假设'!$B$3,H4095,I4095,J4095)</x:f>
        <x:v>1.08</x:v>
      </x:c>
      <x:c r="L4095" s="11" t="n">
        <x:f>K4095*'管线假设'!E883*'管线假设'!F883*'管线假设'!G883*IF(E4095="USD",'管线假设'!I883,1)-AM4095</x:f>
        <x:v>0.1458</x:v>
      </x:c>
      <x:c r="M4095" s="11" t="n">
        <x:f>'管线假设'!H883</x:f>
        <x:v>0.14</x:v>
      </x:c>
      <x:c r="N4095" s="11" t="n">
        <x:f>IF(G4095,L4095*AN4095/(1+M4095)^F4095,0)</x:f>
        <x:v>0.03135618442638939</x:v>
      </x:c>
      <x:c r="AJ4095" s="42" t="n">
        <x:v>0</x:v>
      </x:c>
      <x:c r="AK4095" s="42" t="n">
        <x:v>0</x:v>
      </x:c>
      <x:c r="AL4095" s="42" t="n">
        <x:v>0</x:v>
      </x:c>
      <x:c r="AM4095" t="n">
        <x:f>CHOOSE('假设'!$B$3,AJ4095,AK4095,AL4095)</x:f>
        <x:v>0</x:v>
      </x:c>
      <x:c r="AN4095" t="n">
        <x:v>1</x:v>
      </x:c>
    </x:row>
    <x:row r="4096" ht="23" customHeight="1">
      <x:c r="A4096" s="11" t="str">
        <x:v>02162.HK</x:v>
      </x:c>
      <x:c r="B4096" s="11" t="str">
        <x:v>半年</x:v>
      </x:c>
      <x:c r="C4096" s="11" t="str">
        <x:v>CM313_domestic</x:v>
      </x:c>
      <x:c r="D4096" s="11" t="str">
        <x:v>2039-12-31</x:v>
      </x:c>
      <x:c r="E4096" s="11" t="str">
        <x:v>CNY</x:v>
      </x:c>
      <x:c r="F4096" s="11" t="n">
        <x:v>12.728268309377139</x:v>
      </x:c>
      <x:c r="G4096" s="26" t="b">
        <x:v>1</x:v>
      </x:c>
      <x:c r="H4096" s="16" t="n">
        <x:v>0.38</x:v>
      </x:c>
      <x:c r="I4096" s="16" t="n">
        <x:v>0.96</x:v>
      </x:c>
      <x:c r="J4096" s="16" t="n">
        <x:v>1.625</x:v>
      </x:c>
      <x:c r="K4096" s="11" t="n">
        <x:f>CHOOSE('假设'!$B$3,H4096,I4096,J4096)</x:f>
        <x:v>0.96</x:v>
      </x:c>
      <x:c r="L4096" s="11" t="n">
        <x:f>K4096*'管线假设'!E883*'管线假设'!F883*'管线假设'!G883*IF(E4096="USD",'管线假设'!I883,1)-AM4096</x:f>
        <x:v>0.1296</x:v>
      </x:c>
      <x:c r="M4096" s="11" t="n">
        <x:f>'管线假设'!H883</x:f>
        <x:v>0.14</x:v>
      </x:c>
      <x:c r="N4096" s="11" t="n">
        <x:f>IF(G4096,L4096*AN4096/(1+M4096)^F4096,0)</x:f>
        <x:v>0.024451459414594576</x:v>
      </x:c>
      <x:c r="AJ4096" s="42" t="n">
        <x:v>0</x:v>
      </x:c>
      <x:c r="AK4096" s="42" t="n">
        <x:v>0</x:v>
      </x:c>
      <x:c r="AL4096" s="42" t="n">
        <x:v>0</x:v>
      </x:c>
      <x:c r="AM4096" t="n">
        <x:f>CHOOSE('假设'!$B$3,AJ4096,AK4096,AL4096)</x:f>
        <x:v>0</x:v>
      </x:c>
      <x:c r="AN4096" t="n">
        <x:v>1</x:v>
      </x:c>
    </x:row>
    <x:row r="4097" ht="23" customHeight="1">
      <x:c r="A4097" s="11" t="str">
        <x:v>02162.HK</x:v>
      </x:c>
      <x:c r="B4097" s="11" t="str">
        <x:v>半年</x:v>
      </x:c>
      <x:c r="C4097" s="11" t="str">
        <x:v>CM313_domestic</x:v>
      </x:c>
      <x:c r="D4097" s="11" t="str">
        <x:v>2040-12-31</x:v>
      </x:c>
      <x:c r="E4097" s="11" t="str">
        <x:v>CNY</x:v>
      </x:c>
      <x:c r="F4097" s="11" t="n">
        <x:v>13.730321697467488</x:v>
      </x:c>
      <x:c r="G4097" s="26" t="b">
        <x:v>1</x:v>
      </x:c>
      <x:c r="H4097" s="16" t="n">
        <x:v>0.36000000000000004</x:v>
      </x:c>
      <x:c r="I4097" s="16" t="n">
        <x:v>0.78</x:v>
      </x:c>
      <x:c r="J4097" s="16" t="n">
        <x:v>1.25</x:v>
      </x:c>
      <x:c r="K4097" s="11" t="n">
        <x:f>CHOOSE('假设'!$B$3,H4097,I4097,J4097)</x:f>
        <x:v>0.78</x:v>
      </x:c>
      <x:c r="L4097" s="11" t="n">
        <x:f>K4097*'管线假设'!E883*'管线假设'!F883*'管线假设'!G883*IF(E4097="USD",'管线假设'!I883,1)-AM4097</x:f>
        <x:v>0.10529999999999999</x:v>
      </x:c>
      <x:c r="M4097" s="11" t="n">
        <x:f>'管线假设'!H883</x:f>
        <x:v>0.14</x:v>
      </x:c>
      <x:c r="N4097" s="11" t="n">
        <x:f>IF(G4097,L4097*AN4097/(1+M4097)^F4097,0)</x:f>
        <x:v>0.017422338851493163</x:v>
      </x:c>
      <x:c r="AJ4097" s="42" t="n">
        <x:v>0</x:v>
      </x:c>
      <x:c r="AK4097" s="42" t="n">
        <x:v>0</x:v>
      </x:c>
      <x:c r="AL4097" s="42" t="n">
        <x:v>0</x:v>
      </x:c>
      <x:c r="AM4097" t="n">
        <x:f>CHOOSE('假设'!$B$3,AJ4097,AK4097,AL4097)</x:f>
        <x:v>0</x:v>
      </x:c>
      <x:c r="AN4097" t="n">
        <x:v>1</x:v>
      </x:c>
    </x:row>
    <x:row r="4098" ht="23" customHeight="1">
      <x:c r="A4098" s="11" t="str">
        <x:v>02162.HK</x:v>
      </x:c>
      <x:c r="B4098" s="11" t="str">
        <x:v>半年</x:v>
      </x:c>
      <x:c r="C4098" s="11" t="str">
        <x:v>CM313_domestic</x:v>
      </x:c>
      <x:c r="D4098" s="11" t="str">
        <x:v>2041-12-31</x:v>
      </x:c>
      <x:c r="E4098" s="11" t="str">
        <x:v>CNY</x:v>
      </x:c>
      <x:c r="F4098" s="11" t="n">
        <x:v>14.729637234770705</x:v>
      </x:c>
      <x:c r="G4098" s="26" t="b">
        <x:v>1</x:v>
      </x:c>
      <x:c r="H4098" s="16" t="n">
        <x:v>0.32000000000000006</x:v>
      </x:c>
      <x:c r="I4098" s="16" t="n">
        <x:v>0.6</x:v>
      </x:c>
      <x:c r="J4098" s="16" t="n">
        <x:v>0.875</x:v>
      </x:c>
      <x:c r="K4098" s="11" t="n">
        <x:f>CHOOSE('假设'!$B$3,H4098,I4098,J4098)</x:f>
        <x:v>0.6</x:v>
      </x:c>
      <x:c r="L4098" s="11" t="n">
        <x:f>K4098*'管线假设'!E883*'管线假设'!F883*'管线假设'!G883*IF(E4098="USD",'管线假设'!I883,1)-AM4098</x:f>
        <x:v>0.081</x:v>
      </x:c>
      <x:c r="M4098" s="11" t="n">
        <x:f>'管线假设'!H883</x:f>
        <x:v>0.14</x:v>
      </x:c>
      <x:c r="N4098" s="11" t="n">
        <x:f>IF(G4098,L4098*AN4098/(1+M4098)^F4098,0)</x:f>
        <x:v>0.011757018505981175</x:v>
      </x:c>
      <x:c r="AJ4098" s="42" t="n">
        <x:v>0</x:v>
      </x:c>
      <x:c r="AK4098" s="42" t="n">
        <x:v>0</x:v>
      </x:c>
      <x:c r="AL4098" s="42" t="n">
        <x:v>0</x:v>
      </x:c>
      <x:c r="AM4098" t="n">
        <x:f>CHOOSE('假设'!$B$3,AJ4098,AK4098,AL4098)</x:f>
        <x:v>0</x:v>
      </x:c>
      <x:c r="AN4098" t="n">
        <x:v>1</x:v>
      </x:c>
    </x:row>
    <x:row r="4099" ht="23" customHeight="1">
      <x:c r="A4099" s="11" t="str">
        <x:v>02162.HK</x:v>
      </x:c>
      <x:c r="B4099" s="11" t="str">
        <x:v>半年</x:v>
      </x:c>
      <x:c r="C4099" s="11" t="str">
        <x:v>CM313_domestic</x:v>
      </x:c>
      <x:c r="D4099" s="11" t="str">
        <x:v>2042-12-31</x:v>
      </x:c>
      <x:c r="E4099" s="11" t="str">
        <x:v>CNY</x:v>
      </x:c>
      <x:c r="F4099" s="11" t="n">
        <x:v>15.728952772073923</x:v>
      </x:c>
      <x:c r="G4099" s="26" t="b">
        <x:v>1</x:v>
      </x:c>
      <x:c r="H4099" s="16" t="n">
        <x:v>0.26</x:v>
      </x:c>
      <x:c r="I4099" s="16" t="n">
        <x:v>0.42</x:v>
      </x:c>
      <x:c r="J4099" s="16" t="n">
        <x:v>0.5</x:v>
      </x:c>
      <x:c r="K4099" s="11" t="n">
        <x:f>CHOOSE('假设'!$B$3,H4099,I4099,J4099)</x:f>
        <x:v>0.42</x:v>
      </x:c>
      <x:c r="L4099" s="11" t="n">
        <x:f>K4099*'管线假设'!E883*'管线假设'!F883*'管线假设'!G883*IF(E4099="USD",'管线假设'!I883,1)-AM4099</x:f>
        <x:v>0.0567</x:v>
      </x:c>
      <x:c r="M4099" s="11" t="n">
        <x:f>'管线假设'!H883</x:f>
        <x:v>0.14</x:v>
      </x:c>
      <x:c r="N4099" s="11" t="n">
        <x:f>IF(G4099,L4099*AN4099/(1+M4099)^F4099,0)</x:f>
        <x:v>0.007219869367062895</x:v>
      </x:c>
      <x:c r="AJ4099" s="42" t="n">
        <x:v>0</x:v>
      </x:c>
      <x:c r="AK4099" s="42" t="n">
        <x:v>0</x:v>
      </x:c>
      <x:c r="AL4099" s="42" t="n">
        <x:v>0</x:v>
      </x:c>
      <x:c r="AM4099" t="n">
        <x:f>CHOOSE('假设'!$B$3,AJ4099,AK4099,AL4099)</x:f>
        <x:v>0</x:v>
      </x:c>
      <x:c r="AN4099" t="n">
        <x:v>1</x:v>
      </x:c>
    </x:row>
    <x:row r="4100" ht="23" customHeight="1">
      <x:c r="A4100" s="11" t="str">
        <x:v>02162.HK</x:v>
      </x:c>
      <x:c r="B4100" s="11" t="str">
        <x:v>半年</x:v>
      </x:c>
      <x:c r="C4100" s="11" t="str">
        <x:v>CM313_domestic</x:v>
      </x:c>
      <x:c r="D4100" s="11" t="str">
        <x:v>2043-12-31</x:v>
      </x:c>
      <x:c r="E4100" s="11" t="str">
        <x:v>CNY</x:v>
      </x:c>
      <x:c r="F4100" s="11" t="n">
        <x:v>16.72826830937714</x:v>
      </x:c>
      <x:c r="G4100" s="26" t="b">
        <x:v>1</x:v>
      </x:c>
      <x:c r="H4100" s="16" t="n">
        <x:v>0.2</x:v>
      </x:c>
      <x:c r="I4100" s="16" t="n">
        <x:v>0.24</x:v>
      </x:c>
      <x:c r="J4100" s="16" t="n">
        <x:v>0.3</x:v>
      </x:c>
      <x:c r="K4100" s="11" t="n">
        <x:f>CHOOSE('假设'!$B$3,H4100,I4100,J4100)</x:f>
        <x:v>0.24</x:v>
      </x:c>
      <x:c r="L4100" s="11" t="n">
        <x:f>K4100*'管线假设'!E883*'管线假设'!F883*'管线假设'!G883*IF(E4100="USD",'管线假设'!I883,1)-AM4100</x:f>
        <x:v>0.0324</x:v>
      </x:c>
      <x:c r="M4100" s="11" t="n">
        <x:f>'管线假设'!H883</x:f>
        <x:v>0.14</x:v>
      </x:c>
      <x:c r="N4100" s="11" t="n">
        <x:f>IF(G4100,L4100*AN4100/(1+M4100)^F4100,0)</x:f>
        <x:v>0.003619306718074772</x:v>
      </x:c>
      <x:c r="AJ4100" s="42" t="n">
        <x:v>0</x:v>
      </x:c>
      <x:c r="AK4100" s="42" t="n">
        <x:v>0</x:v>
      </x:c>
      <x:c r="AL4100" s="42" t="n">
        <x:v>0</x:v>
      </x:c>
      <x:c r="AM4100" t="n">
        <x:f>CHOOSE('假设'!$B$3,AJ4100,AK4100,AL4100)</x:f>
        <x:v>0</x:v>
      </x:c>
      <x:c r="AN4100" t="n">
        <x:v>1</x:v>
      </x:c>
    </x:row>
    <x:row r="4101" ht="23" customHeight="1">
      <x:c r="A4101" s="11" t="str">
        <x:v>02162.HK</x:v>
      </x:c>
      <x:c r="B4101" s="11" t="str">
        <x:v>半年</x:v>
      </x:c>
      <x:c r="C4101" s="11" t="str">
        <x:v>CM313_domestic</x:v>
      </x:c>
      <x:c r="D4101" s="11" t="str">
        <x:v>2044-12-31</x:v>
      </x:c>
      <x:c r="E4101" s="11" t="str">
        <x:v>CNY</x:v>
      </x:c>
      <x:c r="F4101" s="11" t="n">
        <x:v>17.730321697467488</x:v>
      </x:c>
      <x:c r="G4101" s="26" t="b">
        <x:v>1</x:v>
      </x:c>
      <x:c r="H4101" s="16" t="n">
        <x:v>0.13999999999999999</x:v>
      </x:c>
      <x:c r="I4101" s="16" t="n">
        <x:v>0.144</x:v>
      </x:c>
      <x:c r="J4101" s="16" t="n">
        <x:v>0.17500000000000002</x:v>
      </x:c>
      <x:c r="K4101" s="11" t="n">
        <x:f>CHOOSE('假设'!$B$3,H4101,I4101,J4101)</x:f>
        <x:v>0.144</x:v>
      </x:c>
      <x:c r="L4101" s="11" t="n">
        <x:f>K4101*'管线假设'!E883*'管线假设'!F883*'管线假设'!G883*IF(E4101="USD",'管线假设'!I883,1)-AM4101</x:f>
        <x:v>0.01944</x:v>
      </x:c>
      <x:c r="M4101" s="11" t="n">
        <x:f>'管线假设'!H883</x:f>
        <x:v>0.14</x:v>
      </x:c>
      <x:c r="N4101" s="11" t="n">
        <x:f>IF(G4101,L4101*AN4101/(1+M4101)^F4101,0)</x:f>
        <x:v>0.0019043858251623692</x:v>
      </x:c>
      <x:c r="AJ4101" s="42" t="n">
        <x:v>0</x:v>
      </x:c>
      <x:c r="AK4101" s="42" t="n">
        <x:v>0</x:v>
      </x:c>
      <x:c r="AL4101" s="42" t="n">
        <x:v>0</x:v>
      </x:c>
      <x:c r="AM4101" t="n">
        <x:f>CHOOSE('假设'!$B$3,AJ4101,AK4101,AL4101)</x:f>
        <x:v>0</x:v>
      </x:c>
      <x:c r="AN4101" t="n">
        <x:v>1</x:v>
      </x:c>
    </x:row>
    <x:row r="4102" ht="23" customHeight="1">
      <x:c r="A4102" s="11" t="str">
        <x:v>02162.HK</x:v>
      </x:c>
      <x:c r="B4102" s="11" t="str">
        <x:v>半年</x:v>
      </x:c>
      <x:c r="C4102" s="11" t="str">
        <x:v>CM326_China</x:v>
      </x:c>
      <x:c r="D4102" s="11" t="str">
        <x:v>2026-12-31</x:v>
      </x:c>
      <x:c r="E4102" s="11" t="str">
        <x:v>CNY</x:v>
      </x:c>
      <x:c r="F4102" s="11" t="n">
        <x:v>-0.27104722792607805</x:v>
      </x:c>
      <x:c r="G4102" s="26" t="b">
        <x:v>0</x:v>
      </x:c>
      <x:c r="H4102" s="16" t="n">
        <x:v>0</x:v>
      </x:c>
      <x:c r="I4102" s="16" t="n">
        <x:v>0</x:v>
      </x:c>
      <x:c r="J4102" s="16" t="n">
        <x:v>0</x:v>
      </x:c>
      <x:c r="K4102" s="11" t="n">
        <x:f>CHOOSE('假设'!$B$3,H4102,I4102,J4102)</x:f>
        <x:v>0</x:v>
      </x:c>
      <x:c r="L4102" s="11" t="n">
        <x:f>K4102*'管线假设'!E887*'管线假设'!F887*'管线假设'!G887*IF(E4102="USD",'管线假设'!I887,1)-AM4102</x:f>
        <x:v>-0.01</x:v>
      </x:c>
      <x:c r="M4102" s="11" t="n">
        <x:f>'管线假设'!H887</x:f>
        <x:v>0.14</x:v>
      </x:c>
      <x:c r="N4102" s="11" t="n">
        <x:f>IF(G4102,L4102*AN4102/(1+M4102)^F4102,0)</x:f>
        <x:v>0</x:v>
      </x:c>
      <x:c r="AJ4102" s="42" t="n">
        <x:v>0.005</x:v>
      </x:c>
      <x:c r="AK4102" s="42" t="n">
        <x:v>0.01</x:v>
      </x:c>
      <x:c r="AL4102" s="42" t="n">
        <x:v>0.015</x:v>
      </x:c>
      <x:c r="AM4102" t="n">
        <x:f>CHOOSE('假设'!$B$3,AJ4102,AK4102,AL4102)</x:f>
        <x:v>0.01</x:v>
      </x:c>
      <x:c r="AN4102" t="n">
        <x:v>0</x:v>
      </x:c>
    </x:row>
    <x:row r="4103" ht="23" customHeight="1">
      <x:c r="A4103" s="11" t="str">
        <x:v>02162.HK</x:v>
      </x:c>
      <x:c r="B4103" s="11" t="str">
        <x:v>半年</x:v>
      </x:c>
      <x:c r="C4103" s="11" t="str">
        <x:v>CM326_China</x:v>
      </x:c>
      <x:c r="D4103" s="11" t="str">
        <x:v>2027-12-31</x:v>
      </x:c>
      <x:c r="E4103" s="11" t="str">
        <x:v>CNY</x:v>
      </x:c>
      <x:c r="F4103" s="11" t="n">
        <x:v>0.7282683093771389</x:v>
      </x:c>
      <x:c r="G4103" s="26" t="b">
        <x:v>1</x:v>
      </x:c>
      <x:c r="H4103" s="16" t="n">
        <x:v>0</x:v>
      </x:c>
      <x:c r="I4103" s="16" t="n">
        <x:v>0</x:v>
      </x:c>
      <x:c r="J4103" s="16" t="n">
        <x:v>0</x:v>
      </x:c>
      <x:c r="K4103" s="11" t="n">
        <x:f>CHOOSE('假设'!$B$3,H4103,I4103,J4103)</x:f>
        <x:v>0</x:v>
      </x:c>
      <x:c r="L4103" s="11" t="n">
        <x:f>K4103*'管线假设'!E887*'管线假设'!F887*'管线假设'!G887*IF(E4103="USD",'管线假设'!I887,1)-AM4103</x:f>
        <x:v>0</x:v>
      </x:c>
      <x:c r="M4103" s="11" t="n">
        <x:f>'管线假设'!H887</x:f>
        <x:v>0.14</x:v>
      </x:c>
      <x:c r="N4103" s="11" t="n">
        <x:f>IF(G4103,L4103*AN4103/(1+M4103)^F4103,0)</x:f>
        <x:v>0</x:v>
      </x:c>
      <x:c r="AJ4103" s="42" t="n">
        <x:v>0</x:v>
      </x:c>
      <x:c r="AK4103" s="42" t="n">
        <x:v>0</x:v>
      </x:c>
      <x:c r="AL4103" s="42" t="n">
        <x:v>0</x:v>
      </x:c>
      <x:c r="AM4103" t="n">
        <x:f>CHOOSE('假设'!$B$3,AJ4103,AK4103,AL4103)</x:f>
        <x:v>0</x:v>
      </x:c>
      <x:c r="AN4103" t="n">
        <x:v>0.7307692307692307</x:v>
      </x:c>
    </x:row>
    <x:row r="4104" ht="23" customHeight="1">
      <x:c r="A4104" s="11" t="str">
        <x:v>02162.HK</x:v>
      </x:c>
      <x:c r="B4104" s="11" t="str">
        <x:v>半年</x:v>
      </x:c>
      <x:c r="C4104" s="11" t="str">
        <x:v>CM326_China</x:v>
      </x:c>
      <x:c r="D4104" s="11" t="str">
        <x:v>2028-12-31</x:v>
      </x:c>
      <x:c r="E4104" s="11" t="str">
        <x:v>CNY</x:v>
      </x:c>
      <x:c r="F4104" s="11" t="n">
        <x:v>1.730321697467488</x:v>
      </x:c>
      <x:c r="G4104" s="26" t="b">
        <x:v>1</x:v>
      </x:c>
      <x:c r="H4104" s="16" t="n">
        <x:v>0</x:v>
      </x:c>
      <x:c r="I4104" s="16" t="n">
        <x:v>0</x:v>
      </x:c>
      <x:c r="J4104" s="16" t="n">
        <x:v>0.18</x:v>
      </x:c>
      <x:c r="K4104" s="11" t="n">
        <x:f>CHOOSE('假设'!$B$3,H4104,I4104,J4104)</x:f>
        <x:v>0</x:v>
      </x:c>
      <x:c r="L4104" s="11" t="n">
        <x:f>K4104*'管线假设'!E887*'管线假设'!F887*'管线假设'!G887*IF(E4104="USD",'管线假设'!I887,1)-AM4104</x:f>
        <x:v>0</x:v>
      </x:c>
      <x:c r="M4104" s="11" t="n">
        <x:f>'管线假设'!H887</x:f>
        <x:v>0.14</x:v>
      </x:c>
      <x:c r="N4104" s="11" t="n">
        <x:f>IF(G4104,L4104*AN4104/(1+M4104)^F4104,0)</x:f>
        <x:v>0</x:v>
      </x:c>
      <x:c r="AJ4104" s="42" t="n">
        <x:v>0</x:v>
      </x:c>
      <x:c r="AK4104" s="42" t="n">
        <x:v>0</x:v>
      </x:c>
      <x:c r="AL4104" s="42" t="n">
        <x:v>0</x:v>
      </x:c>
      <x:c r="AM4104" t="n">
        <x:f>CHOOSE('假设'!$B$3,AJ4104,AK4104,AL4104)</x:f>
        <x:v>0</x:v>
      </x:c>
      <x:c r="AN4104" t="n">
        <x:v>1</x:v>
      </x:c>
    </x:row>
    <x:row r="4105" ht="23" customHeight="1">
      <x:c r="A4105" s="11" t="str">
        <x:v>02162.HK</x:v>
      </x:c>
      <x:c r="B4105" s="11" t="str">
        <x:v>半年</x:v>
      </x:c>
      <x:c r="C4105" s="11" t="str">
        <x:v>CM326_China</x:v>
      </x:c>
      <x:c r="D4105" s="11" t="str">
        <x:v>2029-12-31</x:v>
      </x:c>
      <x:c r="E4105" s="11" t="str">
        <x:v>CNY</x:v>
      </x:c>
      <x:c r="F4105" s="11" t="n">
        <x:v>2.729637234770705</x:v>
      </x:c>
      <x:c r="G4105" s="26" t="b">
        <x:v>1</x:v>
      </x:c>
      <x:c r="H4105" s="16" t="n">
        <x:v>0</x:v>
      </x:c>
      <x:c r="I4105" s="16" t="n">
        <x:v>0.09</x:v>
      </x:c>
      <x:c r="J4105" s="16" t="n">
        <x:v>0.54</x:v>
      </x:c>
      <x:c r="K4105" s="11" t="n">
        <x:f>CHOOSE('假设'!$B$3,H4105,I4105,J4105)</x:f>
        <x:v>0.09</x:v>
      </x:c>
      <x:c r="L4105" s="11" t="n">
        <x:f>K4105*'管线假设'!E887*'管线假设'!F887*'管线假设'!G887*IF(E4105="USD",'管线假设'!I887,1)-AM4105</x:f>
        <x:v>0.0033615000000000003</x:v>
      </x:c>
      <x:c r="M4105" s="11" t="n">
        <x:f>'管线假设'!H887</x:f>
        <x:v>0.14</x:v>
      </x:c>
      <x:c r="N4105" s="11" t="n">
        <x:f>IF(G4105,L4105*AN4105/(1+M4105)^F4105,0)</x:f>
        <x:v>0.00235073413926135</x:v>
      </x:c>
      <x:c r="AJ4105" s="42" t="n">
        <x:v>0</x:v>
      </x:c>
      <x:c r="AK4105" s="42" t="n">
        <x:v>0</x:v>
      </x:c>
      <x:c r="AL4105" s="42" t="n">
        <x:v>0</x:v>
      </x:c>
      <x:c r="AM4105" t="n">
        <x:f>CHOOSE('假设'!$B$3,AJ4105,AK4105,AL4105)</x:f>
        <x:v>0</x:v>
      </x:c>
      <x:c r="AN4105" t="n">
        <x:v>1</x:v>
      </x:c>
    </x:row>
    <x:row r="4106" ht="23" customHeight="1">
      <x:c r="A4106" s="11" t="str">
        <x:v>02162.HK</x:v>
      </x:c>
      <x:c r="B4106" s="11" t="str">
        <x:v>半年</x:v>
      </x:c>
      <x:c r="C4106" s="11" t="str">
        <x:v>CM326_China</x:v>
      </x:c>
      <x:c r="D4106" s="11" t="str">
        <x:v>2030-12-31</x:v>
      </x:c>
      <x:c r="E4106" s="11" t="str">
        <x:v>CNY</x:v>
      </x:c>
      <x:c r="F4106" s="11" t="n">
        <x:v>3.728952772073922</x:v>
      </x:c>
      <x:c r="G4106" s="26" t="b">
        <x:v>1</x:v>
      </x:c>
      <x:c r="H4106" s="16" t="n">
        <x:v>0</x:v>
      </x:c>
      <x:c r="I4106" s="16" t="n">
        <x:v>0.27</x:v>
      </x:c>
      <x:c r="J4106" s="16" t="n">
        <x:v>1.1400000000000001</x:v>
      </x:c>
      <x:c r="K4106" s="11" t="n">
        <x:f>CHOOSE('假设'!$B$3,H4106,I4106,J4106)</x:f>
        <x:v>0.27</x:v>
      </x:c>
      <x:c r="L4106" s="11" t="n">
        <x:f>K4106*'管线假设'!E887*'管线假设'!F887*'管线假设'!G887*IF(E4106="USD",'管线假设'!I887,1)-AM4106</x:f>
        <x:v>0.010084500000000001</x:v>
      </x:c>
      <x:c r="M4106" s="11" t="n">
        <x:f>'管线假设'!H887</x:f>
        <x:v>0.14</x:v>
      </x:c>
      <x:c r="N4106" s="11" t="n">
        <x:f>IF(G4106,L4106*AN4106/(1+M4106)^F4106,0)</x:f>
        <x:v>0.006186697294360003</x:v>
      </x:c>
      <x:c r="AJ4106" s="42" t="n">
        <x:v>0</x:v>
      </x:c>
      <x:c r="AK4106" s="42" t="n">
        <x:v>0</x:v>
      </x:c>
      <x:c r="AL4106" s="42" t="n">
        <x:v>0</x:v>
      </x:c>
      <x:c r="AM4106" t="n">
        <x:f>CHOOSE('假设'!$B$3,AJ4106,AK4106,AL4106)</x:f>
        <x:v>0</x:v>
      </x:c>
      <x:c r="AN4106" t="n">
        <x:v>1</x:v>
      </x:c>
    </x:row>
    <x:row r="4107" ht="23" customHeight="1">
      <x:c r="A4107" s="11" t="str">
        <x:v>02162.HK</x:v>
      </x:c>
      <x:c r="B4107" s="11" t="str">
        <x:v>半年</x:v>
      </x:c>
      <x:c r="C4107" s="11" t="str">
        <x:v>CM326_China</x:v>
      </x:c>
      <x:c r="D4107" s="11" t="str">
        <x:v>2031-12-31</x:v>
      </x:c>
      <x:c r="E4107" s="11" t="str">
        <x:v>CNY</x:v>
      </x:c>
      <x:c r="F4107" s="11" t="n">
        <x:v>4.728268309377139</x:v>
      </x:c>
      <x:c r="G4107" s="26" t="b">
        <x:v>1</x:v>
      </x:c>
      <x:c r="H4107" s="16" t="n">
        <x:v>0.03</x:v>
      </x:c>
      <x:c r="I4107" s="16" t="n">
        <x:v>0.5700000000000001</x:v>
      </x:c>
      <x:c r="J4107" s="16" t="n">
        <x:v>1.9500000000000002</x:v>
      </x:c>
      <x:c r="K4107" s="11" t="n">
        <x:f>CHOOSE('假设'!$B$3,H4107,I4107,J4107)</x:f>
        <x:v>0.5700000000000001</x:v>
      </x:c>
      <x:c r="L4107" s="11" t="n">
        <x:f>K4107*'管线假设'!E887*'管线假设'!F887*'管线假设'!G887*IF(E4107="USD",'管线假设'!I887,1)-AM4107</x:f>
        <x:v>0.021289500000000006</x:v>
      </x:c>
      <x:c r="M4107" s="11" t="n">
        <x:f>'管线假设'!H887</x:f>
        <x:v>0.14</x:v>
      </x:c>
      <x:c r="N4107" s="11" t="n">
        <x:f>IF(G4107,L4107*AN4107/(1+M4107)^F4107,0)</x:f>
        <x:v>0.01145787438285284</x:v>
      </x:c>
      <x:c r="AJ4107" s="42" t="n">
        <x:v>0</x:v>
      </x:c>
      <x:c r="AK4107" s="42" t="n">
        <x:v>0</x:v>
      </x:c>
      <x:c r="AL4107" s="42" t="n">
        <x:v>0</x:v>
      </x:c>
      <x:c r="AM4107" t="n">
        <x:f>CHOOSE('假设'!$B$3,AJ4107,AK4107,AL4107)</x:f>
        <x:v>0</x:v>
      </x:c>
      <x:c r="AN4107" t="n">
        <x:v>1</x:v>
      </x:c>
    </x:row>
    <x:row r="4108" ht="23" customHeight="1">
      <x:c r="A4108" s="11" t="str">
        <x:v>02162.HK</x:v>
      </x:c>
      <x:c r="B4108" s="11" t="str">
        <x:v>半年</x:v>
      </x:c>
      <x:c r="C4108" s="11" t="str">
        <x:v>CM326_China</x:v>
      </x:c>
      <x:c r="D4108" s="11" t="str">
        <x:v>2032-12-31</x:v>
      </x:c>
      <x:c r="E4108" s="11" t="str">
        <x:v>CNY</x:v>
      </x:c>
      <x:c r="F4108" s="11" t="n">
        <x:v>5.730321697467488</x:v>
      </x:c>
      <x:c r="G4108" s="26" t="b">
        <x:v>1</x:v>
      </x:c>
      <x:c r="H4108" s="16" t="n">
        <x:v>0.09</x:v>
      </x:c>
      <x:c r="I4108" s="16" t="n">
        <x:v>0.9750000000000001</x:v>
      </x:c>
      <x:c r="J4108" s="16" t="n">
        <x:v>2.55</x:v>
      </x:c>
      <x:c r="K4108" s="11" t="n">
        <x:f>CHOOSE('假设'!$B$3,H4108,I4108,J4108)</x:f>
        <x:v>0.9750000000000001</x:v>
      </x:c>
      <x:c r="L4108" s="11" t="n">
        <x:f>K4108*'管线假设'!E887*'管线假设'!F887*'管线假设'!G887*IF(E4108="USD",'管线假设'!I887,1)-AM4108</x:f>
        <x:v>0.036416250000000004</x:v>
      </x:c>
      <x:c r="M4108" s="11" t="n">
        <x:f>'管线假设'!H887</x:f>
        <x:v>0.14</x:v>
      </x:c>
      <x:c r="N4108" s="11" t="n">
        <x:f>IF(G4108,L4108*AN4108/(1+M4108)^F4108,0)</x:f>
        <x:v>0.017187476506746548</x:v>
      </x:c>
      <x:c r="AJ4108" s="42" t="n">
        <x:v>0</x:v>
      </x:c>
      <x:c r="AK4108" s="42" t="n">
        <x:v>0</x:v>
      </x:c>
      <x:c r="AL4108" s="42" t="n">
        <x:v>0</x:v>
      </x:c>
      <x:c r="AM4108" t="n">
        <x:f>CHOOSE('假设'!$B$3,AJ4108,AK4108,AL4108)</x:f>
        <x:v>0</x:v>
      </x:c>
      <x:c r="AN4108" t="n">
        <x:v>1</x:v>
      </x:c>
    </x:row>
    <x:row r="4109" ht="23" customHeight="1">
      <x:c r="A4109" s="11" t="str">
        <x:v>02162.HK</x:v>
      </x:c>
      <x:c r="B4109" s="11" t="str">
        <x:v>半年</x:v>
      </x:c>
      <x:c r="C4109" s="11" t="str">
        <x:v>CM326_China</x:v>
      </x:c>
      <x:c r="D4109" s="11" t="str">
        <x:v>2033-12-31</x:v>
      </x:c>
      <x:c r="E4109" s="11" t="str">
        <x:v>CNY</x:v>
      </x:c>
      <x:c r="F4109" s="11" t="n">
        <x:v>6.729637234770705</x:v>
      </x:c>
      <x:c r="G4109" s="26" t="b">
        <x:v>1</x:v>
      </x:c>
      <x:c r="H4109" s="16" t="n">
        <x:v>0.19</x:v>
      </x:c>
      <x:c r="I4109" s="16" t="n">
        <x:v>1.275</x:v>
      </x:c>
      <x:c r="J4109" s="16" t="n">
        <x:v>3</x:v>
      </x:c>
      <x:c r="K4109" s="11" t="n">
        <x:f>CHOOSE('假设'!$B$3,H4109,I4109,J4109)</x:f>
        <x:v>1.275</x:v>
      </x:c>
      <x:c r="L4109" s="11" t="n">
        <x:f>K4109*'管线假设'!E887*'管线假设'!F887*'管线假设'!G887*IF(E4109="USD",'管线假设'!I887,1)-AM4109</x:f>
        <x:v>0.047621250000000004</x:v>
      </x:c>
      <x:c r="M4109" s="11" t="n">
        <x:f>'管线假设'!H887</x:f>
        <x:v>0.14</x:v>
      </x:c>
      <x:c r="N4109" s="11" t="n">
        <x:f>IF(G4109,L4109*AN4109/(1+M4109)^F4109,0)</x:f>
        <x:v>0.019717497050296975</x:v>
      </x:c>
      <x:c r="AJ4109" s="42" t="n">
        <x:v>0</x:v>
      </x:c>
      <x:c r="AK4109" s="42" t="n">
        <x:v>0</x:v>
      </x:c>
      <x:c r="AL4109" s="42" t="n">
        <x:v>0</x:v>
      </x:c>
      <x:c r="AM4109" t="n">
        <x:f>CHOOSE('假设'!$B$3,AJ4109,AK4109,AL4109)</x:f>
        <x:v>0</x:v>
      </x:c>
      <x:c r="AN4109" t="n">
        <x:v>1</x:v>
      </x:c>
    </x:row>
    <x:row r="4110" ht="23" customHeight="1">
      <x:c r="A4110" s="11" t="str">
        <x:v>02162.HK</x:v>
      </x:c>
      <x:c r="B4110" s="11" t="str">
        <x:v>半年</x:v>
      </x:c>
      <x:c r="C4110" s="11" t="str">
        <x:v>CM326_China</x:v>
      </x:c>
      <x:c r="D4110" s="11" t="str">
        <x:v>2034-12-31</x:v>
      </x:c>
      <x:c r="E4110" s="11" t="str">
        <x:v>CNY</x:v>
      </x:c>
      <x:c r="F4110" s="11" t="n">
        <x:v>7.728952772073922</x:v>
      </x:c>
      <x:c r="G4110" s="26" t="b">
        <x:v>1</x:v>
      </x:c>
      <x:c r="H4110" s="16" t="n">
        <x:v>0.325</x:v>
      </x:c>
      <x:c r="I4110" s="16" t="n">
        <x:v>1.5</x:v>
      </x:c>
      <x:c r="J4110" s="16" t="n">
        <x:v>3</x:v>
      </x:c>
      <x:c r="K4110" s="11" t="n">
        <x:f>CHOOSE('假设'!$B$3,H4110,I4110,J4110)</x:f>
        <x:v>1.5</x:v>
      </x:c>
      <x:c r="L4110" s="11" t="n">
        <x:f>K4110*'管线假设'!E887*'管线假设'!F887*'管线假设'!G887*IF(E4110="USD",'管线假设'!I887,1)-AM4110</x:f>
        <x:v>0.056025000000000005</x:v>
      </x:c>
      <x:c r="M4110" s="11" t="n">
        <x:f>'管线假设'!H887</x:f>
        <x:v>0.14</x:v>
      </x:c>
      <x:c r="N4110" s="11" t="n">
        <x:f>IF(G4110,L4110*AN4110/(1+M4110)^F4110,0)</x:f>
        <x:v>0.02035011916694484</x:v>
      </x:c>
      <x:c r="AJ4110" s="42" t="n">
        <x:v>0</x:v>
      </x:c>
      <x:c r="AK4110" s="42" t="n">
        <x:v>0</x:v>
      </x:c>
      <x:c r="AL4110" s="42" t="n">
        <x:v>0</x:v>
      </x:c>
      <x:c r="AM4110" t="n">
        <x:f>CHOOSE('假设'!$B$3,AJ4110,AK4110,AL4110)</x:f>
        <x:v>0</x:v>
      </x:c>
      <x:c r="AN4110" t="n">
        <x:v>1</x:v>
      </x:c>
    </x:row>
    <x:row r="4111" ht="23" customHeight="1">
      <x:c r="A4111" s="11" t="str">
        <x:v>02162.HK</x:v>
      </x:c>
      <x:c r="B4111" s="11" t="str">
        <x:v>半年</x:v>
      </x:c>
      <x:c r="C4111" s="11" t="str">
        <x:v>CM326_China</x:v>
      </x:c>
      <x:c r="D4111" s="11" t="str">
        <x:v>2035-12-31</x:v>
      </x:c>
      <x:c r="E4111" s="11" t="str">
        <x:v>CNY</x:v>
      </x:c>
      <x:c r="F4111" s="11" t="n">
        <x:v>8.728268309377139</x:v>
      </x:c>
      <x:c r="G4111" s="26" t="b">
        <x:v>1</x:v>
      </x:c>
      <x:c r="H4111" s="16" t="n">
        <x:v>0.425</x:v>
      </x:c>
      <x:c r="I4111" s="16" t="n">
        <x:v>1.5</x:v>
      </x:c>
      <x:c r="J4111" s="16" t="n">
        <x:v>2.8499999999999996</x:v>
      </x:c>
      <x:c r="K4111" s="11" t="n">
        <x:f>CHOOSE('假设'!$B$3,H4111,I4111,J4111)</x:f>
        <x:v>1.5</x:v>
      </x:c>
      <x:c r="L4111" s="11" t="n">
        <x:f>K4111*'管线假设'!E887*'管线假设'!F887*'管线假设'!G887*IF(E4111="USD",'管线假设'!I887,1)-AM4111</x:f>
        <x:v>0.056025000000000005</x:v>
      </x:c>
      <x:c r="M4111" s="11" t="n">
        <x:f>'管线假设'!H887</x:f>
        <x:v>0.14</x:v>
      </x:c>
      <x:c r="N4111" s="11" t="n">
        <x:f>IF(G4111,L4111*AN4111/(1+M4111)^F4111,0)</x:f>
        <x:v>0.01785258274387446</x:v>
      </x:c>
      <x:c r="AJ4111" s="42" t="n">
        <x:v>0</x:v>
      </x:c>
      <x:c r="AK4111" s="42" t="n">
        <x:v>0</x:v>
      </x:c>
      <x:c r="AL4111" s="42" t="n">
        <x:v>0</x:v>
      </x:c>
      <x:c r="AM4111" t="n">
        <x:f>CHOOSE('假设'!$B$3,AJ4111,AK4111,AL4111)</x:f>
        <x:v>0</x:v>
      </x:c>
      <x:c r="AN4111" t="n">
        <x:v>1</x:v>
      </x:c>
    </x:row>
    <x:row r="4112" ht="23" customHeight="1">
      <x:c r="A4112" s="11" t="str">
        <x:v>02162.HK</x:v>
      </x:c>
      <x:c r="B4112" s="11" t="str">
        <x:v>半年</x:v>
      </x:c>
      <x:c r="C4112" s="11" t="str">
        <x:v>CM326_China</x:v>
      </x:c>
      <x:c r="D4112" s="11" t="str">
        <x:v>2036-12-31</x:v>
      </x:c>
      <x:c r="E4112" s="11" t="str">
        <x:v>CNY</x:v>
      </x:c>
      <x:c r="F4112" s="11" t="n">
        <x:v>9.730321697467488</x:v>
      </x:c>
      <x:c r="G4112" s="26" t="b">
        <x:v>1</x:v>
      </x:c>
      <x:c r="H4112" s="16" t="n">
        <x:v>0.5</x:v>
      </x:c>
      <x:c r="I4112" s="16" t="n">
        <x:v>1.4249999999999998</x:v>
      </x:c>
      <x:c r="J4112" s="16" t="n">
        <x:v>2.7</x:v>
      </x:c>
      <x:c r="K4112" s="11" t="n">
        <x:f>CHOOSE('假设'!$B$3,H4112,I4112,J4112)</x:f>
        <x:v>1.4249999999999998</x:v>
      </x:c>
      <x:c r="L4112" s="11" t="n">
        <x:f>K4112*'管线假设'!E887*'管线假设'!F887*'管线假设'!G887*IF(E4112="USD",'管线假设'!I887,1)-AM4112</x:f>
        <x:v>0.05322375</x:v>
      </x:c>
      <x:c r="M4112" s="11" t="n">
        <x:f>'管线假设'!H887</x:f>
        <x:v>0.14</x:v>
      </x:c>
      <x:c r="N4112" s="11" t="n">
        <x:f>IF(G4112,L4112*AN4112/(1+M4112)^F4112,0)</x:f>
        <x:v>0.014873150099288775</x:v>
      </x:c>
      <x:c r="AJ4112" s="42" t="n">
        <x:v>0</x:v>
      </x:c>
      <x:c r="AK4112" s="42" t="n">
        <x:v>0</x:v>
      </x:c>
      <x:c r="AL4112" s="42" t="n">
        <x:v>0</x:v>
      </x:c>
      <x:c r="AM4112" t="n">
        <x:f>CHOOSE('假设'!$B$3,AJ4112,AK4112,AL4112)</x:f>
        <x:v>0</x:v>
      </x:c>
      <x:c r="AN4112" t="n">
        <x:v>1</x:v>
      </x:c>
    </x:row>
    <x:row r="4113" ht="23" customHeight="1">
      <x:c r="A4113" s="11" t="str">
        <x:v>02162.HK</x:v>
      </x:c>
      <x:c r="B4113" s="11" t="str">
        <x:v>半年</x:v>
      </x:c>
      <x:c r="C4113" s="11" t="str">
        <x:v>CM326_China</x:v>
      </x:c>
      <x:c r="D4113" s="11" t="str">
        <x:v>2037-12-31</x:v>
      </x:c>
      <x:c r="E4113" s="11" t="str">
        <x:v>CNY</x:v>
      </x:c>
      <x:c r="F4113" s="11" t="n">
        <x:v>10.729637234770705</x:v>
      </x:c>
      <x:c r="G4113" s="26" t="b">
        <x:v>1</x:v>
      </x:c>
      <x:c r="H4113" s="16" t="n">
        <x:v>0.5</x:v>
      </x:c>
      <x:c r="I4113" s="16" t="n">
        <x:v>1.35</x:v>
      </x:c>
      <x:c r="J4113" s="16" t="n">
        <x:v>2.4000000000000004</x:v>
      </x:c>
      <x:c r="K4113" s="11" t="n">
        <x:f>CHOOSE('假设'!$B$3,H4113,I4113,J4113)</x:f>
        <x:v>1.35</x:v>
      </x:c>
      <x:c r="L4113" s="11" t="n">
        <x:f>K4113*'管线假设'!E887*'管线假设'!F887*'管线假设'!G887*IF(E4113="USD",'管线假设'!I887,1)-AM4113</x:f>
        <x:v>0.05042250000000001</x:v>
      </x:c>
      <x:c r="M4113" s="11" t="n">
        <x:f>'管线假设'!H887</x:f>
        <x:v>0.14</x:v>
      </x:c>
      <x:c r="N4113" s="11" t="n">
        <x:f>IF(G4113,L4113*AN4113/(1+M4113)^F4113,0)</x:f>
        <x:v>0.012361067070973121</x:v>
      </x:c>
      <x:c r="AJ4113" s="42" t="n">
        <x:v>0</x:v>
      </x:c>
      <x:c r="AK4113" s="42" t="n">
        <x:v>0</x:v>
      </x:c>
      <x:c r="AL4113" s="42" t="n">
        <x:v>0</x:v>
      </x:c>
      <x:c r="AM4113" t="n">
        <x:f>CHOOSE('假设'!$B$3,AJ4113,AK4113,AL4113)</x:f>
        <x:v>0</x:v>
      </x:c>
      <x:c r="AN4113" t="n">
        <x:v>1</x:v>
      </x:c>
    </x:row>
    <x:row r="4114" ht="23" customHeight="1">
      <x:c r="A4114" s="11" t="str">
        <x:v>02162.HK</x:v>
      </x:c>
      <x:c r="B4114" s="11" t="str">
        <x:v>半年</x:v>
      </x:c>
      <x:c r="C4114" s="11" t="str">
        <x:v>CM326_China</x:v>
      </x:c>
      <x:c r="D4114" s="11" t="str">
        <x:v>2038-12-31</x:v>
      </x:c>
      <x:c r="E4114" s="11" t="str">
        <x:v>CNY</x:v>
      </x:c>
      <x:c r="F4114" s="11" t="n">
        <x:v>11.728952772073923</x:v>
      </x:c>
      <x:c r="G4114" s="26" t="b">
        <x:v>1</x:v>
      </x:c>
      <x:c r="H4114" s="16" t="n">
        <x:v>0.475</x:v>
      </x:c>
      <x:c r="I4114" s="16" t="n">
        <x:v>1.2000000000000002</x:v>
      </x:c>
      <x:c r="J4114" s="16" t="n">
        <x:v>1.9500000000000002</x:v>
      </x:c>
      <x:c r="K4114" s="11" t="n">
        <x:f>CHOOSE('假设'!$B$3,H4114,I4114,J4114)</x:f>
        <x:v>1.2000000000000002</x:v>
      </x:c>
      <x:c r="L4114" s="11" t="n">
        <x:f>K4114*'管线假设'!E887*'管线假设'!F887*'管线假设'!G887*IF(E4114="USD",'管线假设'!I887,1)-AM4114</x:f>
        <x:v>0.04482000000000001</x:v>
      </x:c>
      <x:c r="M4114" s="11" t="n">
        <x:f>'管线假设'!H887</x:f>
        <x:v>0.14</x:v>
      </x:c>
      <x:c r="N4114" s="11" t="n">
        <x:f>IF(G4114,L4114*AN4114/(1+M4114)^F4114,0)</x:f>
        <x:v>0.009639123360704889</x:v>
      </x:c>
      <x:c r="AJ4114" s="42" t="n">
        <x:v>0</x:v>
      </x:c>
      <x:c r="AK4114" s="42" t="n">
        <x:v>0</x:v>
      </x:c>
      <x:c r="AL4114" s="42" t="n">
        <x:v>0</x:v>
      </x:c>
      <x:c r="AM4114" t="n">
        <x:f>CHOOSE('假设'!$B$3,AJ4114,AK4114,AL4114)</x:f>
        <x:v>0</x:v>
      </x:c>
      <x:c r="AN4114" t="n">
        <x:v>1</x:v>
      </x:c>
    </x:row>
    <x:row r="4115" ht="23" customHeight="1">
      <x:c r="A4115" s="11" t="str">
        <x:v>02162.HK</x:v>
      </x:c>
      <x:c r="B4115" s="11" t="str">
        <x:v>半年</x:v>
      </x:c>
      <x:c r="C4115" s="11" t="str">
        <x:v>CM326_China</x:v>
      </x:c>
      <x:c r="D4115" s="11" t="str">
        <x:v>2039-12-31</x:v>
      </x:c>
      <x:c r="E4115" s="11" t="str">
        <x:v>CNY</x:v>
      </x:c>
      <x:c r="F4115" s="11" t="n">
        <x:v>12.728268309377139</x:v>
      </x:c>
      <x:c r="G4115" s="26" t="b">
        <x:v>1</x:v>
      </x:c>
      <x:c r="H4115" s="16" t="n">
        <x:v>0.45</x:v>
      </x:c>
      <x:c r="I4115" s="16" t="n">
        <x:v>0.9750000000000001</x:v>
      </x:c>
      <x:c r="J4115" s="16" t="n">
        <x:v>1.5</x:v>
      </x:c>
      <x:c r="K4115" s="11" t="n">
        <x:f>CHOOSE('假设'!$B$3,H4115,I4115,J4115)</x:f>
        <x:v>0.9750000000000001</x:v>
      </x:c>
      <x:c r="L4115" s="11" t="n">
        <x:f>K4115*'管线假设'!E887*'管线假设'!F887*'管线假设'!G887*IF(E4115="USD",'管线假设'!I887,1)-AM4115</x:f>
        <x:v>0.036416250000000004</x:v>
      </x:c>
      <x:c r="M4115" s="11" t="n">
        <x:f>'管线假设'!H887</x:f>
        <x:v>0.14</x:v>
      </x:c>
      <x:c r="N4115" s="11" t="n">
        <x:f>IF(G4115,L4115*AN4115/(1+M4115)^F4115,0)</x:f>
        <x:v>0.006870605392798842</x:v>
      </x:c>
      <x:c r="AJ4115" s="42" t="n">
        <x:v>0</x:v>
      </x:c>
      <x:c r="AK4115" s="42" t="n">
        <x:v>0</x:v>
      </x:c>
      <x:c r="AL4115" s="42" t="n">
        <x:v>0</x:v>
      </x:c>
      <x:c r="AM4115" t="n">
        <x:f>CHOOSE('假设'!$B$3,AJ4115,AK4115,AL4115)</x:f>
        <x:v>0</x:v>
      </x:c>
      <x:c r="AN4115" t="n">
        <x:v>1</x:v>
      </x:c>
    </x:row>
    <x:row r="4116" ht="23" customHeight="1">
      <x:c r="A4116" s="11" t="str">
        <x:v>02162.HK</x:v>
      </x:c>
      <x:c r="B4116" s="11" t="str">
        <x:v>半年</x:v>
      </x:c>
      <x:c r="C4116" s="11" t="str">
        <x:v>CM326_China</x:v>
      </x:c>
      <x:c r="D4116" s="11" t="str">
        <x:v>2040-12-31</x:v>
      </x:c>
      <x:c r="E4116" s="11" t="str">
        <x:v>CNY</x:v>
      </x:c>
      <x:c r="F4116" s="11" t="n">
        <x:v>13.730321697467488</x:v>
      </x:c>
      <x:c r="G4116" s="26" t="b">
        <x:v>1</x:v>
      </x:c>
      <x:c r="H4116" s="16" t="n">
        <x:v>0.4</x:v>
      </x:c>
      <x:c r="I4116" s="16" t="n">
        <x:v>0.75</x:v>
      </x:c>
      <x:c r="J4116" s="16" t="n">
        <x:v>1.0499999999999998</x:v>
      </x:c>
      <x:c r="K4116" s="11" t="n">
        <x:f>CHOOSE('假设'!$B$3,H4116,I4116,J4116)</x:f>
        <x:v>0.75</x:v>
      </x:c>
      <x:c r="L4116" s="11" t="n">
        <x:f>K4116*'管线假设'!E887*'管线假设'!F887*'管线假设'!G887*IF(E4116="USD",'管线假设'!I887,1)-AM4116</x:f>
        <x:v>0.028012500000000003</x:v>
      </x:c>
      <x:c r="M4116" s="11" t="n">
        <x:f>'管线假设'!H887</x:f>
        <x:v>0.14</x:v>
      </x:c>
      <x:c r="N4116" s="11" t="n">
        <x:f>IF(G4116,L4116*AN4116/(1+M4116)^F4116,0)</x:f>
        <x:v>0.0046347888611344</x:v>
      </x:c>
      <x:c r="AJ4116" s="42" t="n">
        <x:v>0</x:v>
      </x:c>
      <x:c r="AK4116" s="42" t="n">
        <x:v>0</x:v>
      </x:c>
      <x:c r="AL4116" s="42" t="n">
        <x:v>0</x:v>
      </x:c>
      <x:c r="AM4116" t="n">
        <x:f>CHOOSE('假设'!$B$3,AJ4116,AK4116,AL4116)</x:f>
        <x:v>0</x:v>
      </x:c>
      <x:c r="AN4116" t="n">
        <x:v>1</x:v>
      </x:c>
    </x:row>
    <x:row r="4117" ht="23" customHeight="1">
      <x:c r="A4117" s="11" t="str">
        <x:v>02162.HK</x:v>
      </x:c>
      <x:c r="B4117" s="11" t="str">
        <x:v>半年</x:v>
      </x:c>
      <x:c r="C4117" s="11" t="str">
        <x:v>CM326_China</x:v>
      </x:c>
      <x:c r="D4117" s="11" t="str">
        <x:v>2041-12-31</x:v>
      </x:c>
      <x:c r="E4117" s="11" t="str">
        <x:v>CNY</x:v>
      </x:c>
      <x:c r="F4117" s="11" t="n">
        <x:v>14.729637234770705</x:v>
      </x:c>
      <x:c r="G4117" s="26" t="b">
        <x:v>1</x:v>
      </x:c>
      <x:c r="H4117" s="16" t="n">
        <x:v>0.325</x:v>
      </x:c>
      <x:c r="I4117" s="16" t="n">
        <x:v>0.5249999999999999</x:v>
      </x:c>
      <x:c r="J4117" s="16" t="n">
        <x:v>0.6000000000000001</x:v>
      </x:c>
      <x:c r="K4117" s="11" t="n">
        <x:f>CHOOSE('假设'!$B$3,H4117,I4117,J4117)</x:f>
        <x:v>0.5249999999999999</x:v>
      </x:c>
      <x:c r="L4117" s="11" t="n">
        <x:f>K4117*'管线假设'!E887*'管线假设'!F887*'管线假设'!G887*IF(E4117="USD",'管线假设'!I887,1)-AM4117</x:f>
        <x:v>0.019608749999999998</x:v>
      </x:c>
      <x:c r="M4117" s="11" t="n">
        <x:f>'管线假设'!H887</x:f>
        <x:v>0.14</x:v>
      </x:c>
      <x:c r="N4117" s="11" t="n">
        <x:f>IF(G4117,L4117*AN4117/(1+M4117)^F4117,0)</x:f>
        <x:v>0.002846178229989609</x:v>
      </x:c>
      <x:c r="AJ4117" s="42" t="n">
        <x:v>0</x:v>
      </x:c>
      <x:c r="AK4117" s="42" t="n">
        <x:v>0</x:v>
      </x:c>
      <x:c r="AL4117" s="42" t="n">
        <x:v>0</x:v>
      </x:c>
      <x:c r="AM4117" t="n">
        <x:f>CHOOSE('假设'!$B$3,AJ4117,AK4117,AL4117)</x:f>
        <x:v>0</x:v>
      </x:c>
      <x:c r="AN4117" t="n">
        <x:v>1</x:v>
      </x:c>
    </x:row>
    <x:row r="4118" ht="23" customHeight="1">
      <x:c r="A4118" s="11" t="str">
        <x:v>02162.HK</x:v>
      </x:c>
      <x:c r="B4118" s="11" t="str">
        <x:v>半年</x:v>
      </x:c>
      <x:c r="C4118" s="11" t="str">
        <x:v>CM326_China</x:v>
      </x:c>
      <x:c r="D4118" s="11" t="str">
        <x:v>2042-12-31</x:v>
      </x:c>
      <x:c r="E4118" s="11" t="str">
        <x:v>CNY</x:v>
      </x:c>
      <x:c r="F4118" s="11" t="n">
        <x:v>15.728952772073923</x:v>
      </x:c>
      <x:c r="G4118" s="26" t="b">
        <x:v>1</x:v>
      </x:c>
      <x:c r="H4118" s="16" t="n">
        <x:v>0.25</x:v>
      </x:c>
      <x:c r="I4118" s="16" t="n">
        <x:v>0.30000000000000004</x:v>
      </x:c>
      <x:c r="J4118" s="16" t="n">
        <x:v>0.36</x:v>
      </x:c>
      <x:c r="K4118" s="11" t="n">
        <x:f>CHOOSE('假设'!$B$3,H4118,I4118,J4118)</x:f>
        <x:v>0.30000000000000004</x:v>
      </x:c>
      <x:c r="L4118" s="11" t="n">
        <x:f>K4118*'管线假设'!E887*'管线假设'!F887*'管线假设'!G887*IF(E4118="USD",'管线假设'!I887,1)-AM4118</x:f>
        <x:v>0.011205000000000003</x:v>
      </x:c>
      <x:c r="M4118" s="11" t="n">
        <x:f>'管线假设'!H887</x:f>
        <x:v>0.14</x:v>
      </x:c>
      <x:c r="N4118" s="11" t="n">
        <x:f>IF(G4118,L4118*AN4118/(1+M4118)^F4118,0)</x:f>
        <x:v>0.0014267837082529058</x:v>
      </x:c>
      <x:c r="AJ4118" s="42" t="n">
        <x:v>0</x:v>
      </x:c>
      <x:c r="AK4118" s="42" t="n">
        <x:v>0</x:v>
      </x:c>
      <x:c r="AL4118" s="42" t="n">
        <x:v>0</x:v>
      </x:c>
      <x:c r="AM4118" t="n">
        <x:f>CHOOSE('假设'!$B$3,AJ4118,AK4118,AL4118)</x:f>
        <x:v>0</x:v>
      </x:c>
      <x:c r="AN4118" t="n">
        <x:v>1</x:v>
      </x:c>
    </x:row>
    <x:row r="4119" ht="23" customHeight="1">
      <x:c r="A4119" s="11" t="str">
        <x:v>02162.HK</x:v>
      </x:c>
      <x:c r="B4119" s="11" t="str">
        <x:v>半年</x:v>
      </x:c>
      <x:c r="C4119" s="11" t="str">
        <x:v>CM326_China</x:v>
      </x:c>
      <x:c r="D4119" s="11" t="str">
        <x:v>2043-12-31</x:v>
      </x:c>
      <x:c r="E4119" s="11" t="str">
        <x:v>CNY</x:v>
      </x:c>
      <x:c r="F4119" s="11" t="n">
        <x:v>16.72826830937714</x:v>
      </x:c>
      <x:c r="G4119" s="26" t="b">
        <x:v>1</x:v>
      </x:c>
      <x:c r="H4119" s="16" t="n">
        <x:v>0.175</x:v>
      </x:c>
      <x:c r="I4119" s="16" t="n">
        <x:v>0.18</x:v>
      </x:c>
      <x:c r="J4119" s="16" t="n">
        <x:v>0.21000000000000002</x:v>
      </x:c>
      <x:c r="K4119" s="11" t="n">
        <x:f>CHOOSE('假设'!$B$3,H4119,I4119,J4119)</x:f>
        <x:v>0.18</x:v>
      </x:c>
      <x:c r="L4119" s="11" t="n">
        <x:f>K4119*'管线假设'!E887*'管线假设'!F887*'管线假设'!G887*IF(E4119="USD",'管线假设'!I887,1)-AM4119</x:f>
        <x:v>0.006723000000000001</x:v>
      </x:c>
      <x:c r="M4119" s="11" t="n">
        <x:f>'管线假设'!H887</x:f>
        <x:v>0.14</x:v>
      </x:c>
      <x:c r="N4119" s="11" t="n">
        <x:f>IF(G4119,L4119*AN4119/(1+M4119)^F4119,0)</x:f>
        <x:v>0.0007510061440005153</x:v>
      </x:c>
      <x:c r="AJ4119" s="42" t="n">
        <x:v>0</x:v>
      </x:c>
      <x:c r="AK4119" s="42" t="n">
        <x:v>0</x:v>
      </x:c>
      <x:c r="AL4119" s="42" t="n">
        <x:v>0</x:v>
      </x:c>
      <x:c r="AM4119" t="n">
        <x:f>CHOOSE('假设'!$B$3,AJ4119,AK4119,AL4119)</x:f>
        <x:v>0</x:v>
      </x:c>
      <x:c r="AN4119" t="n">
        <x:v>1</x:v>
      </x:c>
    </x:row>
    <x:row r="4120" ht="23" customHeight="1">
      <x:c r="A4120" s="11" t="str">
        <x:v>02162.HK</x:v>
      </x:c>
      <x:c r="B4120" s="11" t="str">
        <x:v>半年</x:v>
      </x:c>
      <x:c r="C4120" s="11" t="str">
        <x:v>CM326_China</x:v>
      </x:c>
      <x:c r="D4120" s="11" t="str">
        <x:v>2044-12-31</x:v>
      </x:c>
      <x:c r="E4120" s="11" t="str">
        <x:v>CNY</x:v>
      </x:c>
      <x:c r="F4120" s="11" t="n">
        <x:v>17.730321697467488</x:v>
      </x:c>
      <x:c r="G4120" s="26" t="b">
        <x:v>1</x:v>
      </x:c>
      <x:c r="H4120" s="16" t="n">
        <x:v>0.1</x:v>
      </x:c>
      <x:c r="I4120" s="16" t="n">
        <x:v>0.10500000000000001</x:v>
      </x:c>
      <x:c r="J4120" s="16" t="n">
        <x:v>0.09</x:v>
      </x:c>
      <x:c r="K4120" s="11" t="n">
        <x:f>CHOOSE('假设'!$B$3,H4120,I4120,J4120)</x:f>
        <x:v>0.10500000000000001</x:v>
      </x:c>
      <x:c r="L4120" s="11" t="n">
        <x:f>K4120*'管线假设'!E887*'管线假设'!F887*'管线假设'!G887*IF(E4120="USD",'管线假设'!I887,1)-AM4120</x:f>
        <x:v>0.003921750000000001</x:v>
      </x:c>
      <x:c r="M4120" s="11" t="n">
        <x:f>'管线假设'!H887</x:f>
        <x:v>0.14</x:v>
      </x:c>
      <x:c r="N4120" s="11" t="n">
        <x:f>IF(G4120,L4120*AN4120/(1+M4120)^F4120,0)</x:f>
        <x:v>0.0003841833904233808</x:v>
      </x:c>
      <x:c r="AJ4120" s="42" t="n">
        <x:v>0</x:v>
      </x:c>
      <x:c r="AK4120" s="42" t="n">
        <x:v>0</x:v>
      </x:c>
      <x:c r="AL4120" s="42" t="n">
        <x:v>0</x:v>
      </x:c>
      <x:c r="AM4120" t="n">
        <x:f>CHOOSE('假设'!$B$3,AJ4120,AK4120,AL4120)</x:f>
        <x:v>0</x:v>
      </x:c>
      <x:c r="AN4120" t="n">
        <x:v>1</x:v>
      </x:c>
    </x:row>
    <x:row r="4121" ht="23" customHeight="1">
      <x:c r="A4121" s="11" t="str">
        <x:v>02162.HK</x:v>
      </x:c>
      <x:c r="B4121" s="11" t="str">
        <x:v>半年</x:v>
      </x:c>
      <x:c r="C4121" s="11" t="str">
        <x:v>centralCost</x:v>
      </x:c>
      <x:c r="D4121" s="11" t="str">
        <x:v>2026-12-31</x:v>
      </x:c>
      <x:c r="E4121" s="11" t="str">
        <x:v>CNY</x:v>
      </x:c>
      <x:c r="F4121" s="11" t="n">
        <x:v>-0.27104722792607805</x:v>
      </x:c>
      <x:c r="G4121" s="26" t="b">
        <x:v>0</x:v>
      </x:c>
      <x:c r="H4121" s="16" t="n">
        <x:v>0</x:v>
      </x:c>
      <x:c r="I4121" s="16" t="n">
        <x:v>0</x:v>
      </x:c>
      <x:c r="J4121" s="16" t="n">
        <x:v>0</x:v>
      </x:c>
      <x:c r="K4121" s="11" t="n">
        <x:f>CHOOSE('假设'!$B$3,H4121,I4121,J4121)</x:f>
        <x:v>0</x:v>
      </x:c>
      <x:c r="L4121" s="11" t="n">
        <x:f>K4121*'管线假设'!E891*'管线假设'!F891*'管线假设'!G891*IF(E4121="USD",'管线假设'!I891,1)-AM4121</x:f>
        <x:v>-0.16</x:v>
      </x:c>
      <x:c r="M4121" s="11" t="n">
        <x:f>'管线假设'!H891</x:f>
        <x:v>0.14</x:v>
      </x:c>
      <x:c r="N4121" s="11" t="n">
        <x:f>IF(G4121,L4121*AN4121/(1+M4121)^F4121,0)</x:f>
        <x:v>0</x:v>
      </x:c>
      <x:c r="AJ4121" s="42" t="n">
        <x:v>0.13</x:v>
      </x:c>
      <x:c r="AK4121" s="42" t="n">
        <x:v>0.16</x:v>
      </x:c>
      <x:c r="AL4121" s="42" t="n">
        <x:v>0.2</x:v>
      </x:c>
      <x:c r="AM4121" t="n">
        <x:f>CHOOSE('假设'!$B$3,AJ4121,AK4121,AL4121)</x:f>
        <x:v>0.16</x:v>
      </x:c>
      <x:c r="AN4121" t="n">
        <x:v>0</x:v>
      </x:c>
    </x:row>
    <x:row r="4122" ht="23" customHeight="1">
      <x:c r="A4122" s="11" t="str">
        <x:v>02162.HK</x:v>
      </x:c>
      <x:c r="B4122" s="11" t="str">
        <x:v>半年</x:v>
      </x:c>
      <x:c r="C4122" s="11" t="str">
        <x:v>centralCost</x:v>
      </x:c>
      <x:c r="D4122" s="11" t="str">
        <x:v>2027-12-31</x:v>
      </x:c>
      <x:c r="E4122" s="11" t="str">
        <x:v>CNY</x:v>
      </x:c>
      <x:c r="F4122" s="11" t="n">
        <x:v>0.7282683093771389</x:v>
      </x:c>
      <x:c r="G4122" s="26" t="b">
        <x:v>1</x:v>
      </x:c>
      <x:c r="H4122" s="16" t="n">
        <x:v>0</x:v>
      </x:c>
      <x:c r="I4122" s="16" t="n">
        <x:v>0</x:v>
      </x:c>
      <x:c r="J4122" s="16" t="n">
        <x:v>0</x:v>
      </x:c>
      <x:c r="K4122" s="11" t="n">
        <x:f>CHOOSE('假设'!$B$3,H4122,I4122,J4122)</x:f>
        <x:v>0</x:v>
      </x:c>
      <x:c r="L4122" s="11" t="n">
        <x:f>K4122*'管线假设'!E891*'管线假设'!F891*'管线假设'!G891*IF(E4122="USD",'管线假设'!I891,1)-AM4122</x:f>
        <x:v>-0.1648</x:v>
      </x:c>
      <x:c r="M4122" s="11" t="n">
        <x:f>'管线假设'!H891</x:f>
        <x:v>0.14</x:v>
      </x:c>
      <x:c r="N4122" s="11" t="n">
        <x:f>IF(G4122,L4122*AN4122/(1+M4122)^F4122,0)</x:f>
        <x:v>-0.10947008630186097</x:v>
      </x:c>
      <x:c r="AJ4122" s="42" t="n">
        <x:v>0.13390000000000002</x:v>
      </x:c>
      <x:c r="AK4122" s="42" t="n">
        <x:v>0.1648</x:v>
      </x:c>
      <x:c r="AL4122" s="42" t="n">
        <x:v>0.20800000000000002</x:v>
      </x:c>
      <x:c r="AM4122" t="n">
        <x:f>CHOOSE('假设'!$B$3,AJ4122,AK4122,AL4122)</x:f>
        <x:v>0.1648</x:v>
      </x:c>
      <x:c r="AN4122" t="n">
        <x:v>0.7307692307692307</x:v>
      </x:c>
    </x:row>
    <x:row r="4123" ht="23" customHeight="1">
      <x:c r="A4123" s="11" t="str">
        <x:v>02162.HK</x:v>
      </x:c>
      <x:c r="B4123" s="11" t="str">
        <x:v>半年</x:v>
      </x:c>
      <x:c r="C4123" s="11" t="str">
        <x:v>centralCost</x:v>
      </x:c>
      <x:c r="D4123" s="11" t="str">
        <x:v>2028-12-31</x:v>
      </x:c>
      <x:c r="E4123" s="11" t="str">
        <x:v>CNY</x:v>
      </x:c>
      <x:c r="F4123" s="11" t="n">
        <x:v>1.730321697467488</x:v>
      </x:c>
      <x:c r="G4123" s="26" t="b">
        <x:v>1</x:v>
      </x:c>
      <x:c r="H4123" s="16" t="n">
        <x:v>0</x:v>
      </x:c>
      <x:c r="I4123" s="16" t="n">
        <x:v>0</x:v>
      </x:c>
      <x:c r="J4123" s="16" t="n">
        <x:v>0</x:v>
      </x:c>
      <x:c r="K4123" s="11" t="n">
        <x:f>CHOOSE('假设'!$B$3,H4123,I4123,J4123)</x:f>
        <x:v>0</x:v>
      </x:c>
      <x:c r="L4123" s="11" t="n">
        <x:f>K4123*'管线假设'!E891*'管线假设'!F891*'管线假设'!G891*IF(E4123="USD",'管线假设'!I891,1)-AM4123</x:f>
        <x:v>-0.169744</x:v>
      </x:c>
      <x:c r="M4123" s="11" t="n">
        <x:f>'管线假设'!H891</x:f>
        <x:v>0.14</x:v>
      </x:c>
      <x:c r="N4123" s="11" t="n">
        <x:f>IF(G4123,L4123*AN4123/(1+M4123)^F4123,0)</x:f>
        <x:v>-0.13531026142162142</x:v>
      </x:c>
      <x:c r="AJ4123" s="42" t="n">
        <x:v>0.137917</x:v>
      </x:c>
      <x:c r="AK4123" s="42" t="n">
        <x:v>0.169744</x:v>
      </x:c>
      <x:c r="AL4123" s="42" t="n">
        <x:v>0.21632000000000004</x:v>
      </x:c>
      <x:c r="AM4123" t="n">
        <x:f>CHOOSE('假设'!$B$3,AJ4123,AK4123,AL4123)</x:f>
        <x:v>0.169744</x:v>
      </x:c>
      <x:c r="AN4123" t="n">
        <x:v>1</x:v>
      </x:c>
    </x:row>
    <x:row r="4124" ht="23" customHeight="1">
      <x:c r="A4124" s="11" t="str">
        <x:v>02162.HK</x:v>
      </x:c>
      <x:c r="B4124" s="11" t="str">
        <x:v>半年</x:v>
      </x:c>
      <x:c r="C4124" s="11" t="str">
        <x:v>centralCost</x:v>
      </x:c>
      <x:c r="D4124" s="11" t="str">
        <x:v>2029-12-31</x:v>
      </x:c>
      <x:c r="E4124" s="11" t="str">
        <x:v>CNY</x:v>
      </x:c>
      <x:c r="F4124" s="11" t="n">
        <x:v>2.729637234770705</x:v>
      </x:c>
      <x:c r="G4124" s="26" t="b">
        <x:v>1</x:v>
      </x:c>
      <x:c r="H4124" s="16" t="n">
        <x:v>0</x:v>
      </x:c>
      <x:c r="I4124" s="16" t="n">
        <x:v>0</x:v>
      </x:c>
      <x:c r="J4124" s="16" t="n">
        <x:v>0</x:v>
      </x:c>
      <x:c r="K4124" s="11" t="n">
        <x:f>CHOOSE('假设'!$B$3,H4124,I4124,J4124)</x:f>
        <x:v>0</x:v>
      </x:c>
      <x:c r="L4124" s="11" t="n">
        <x:f>K4124*'管线假设'!E891*'管线假设'!F891*'管线假设'!G891*IF(E4124="USD",'管线假设'!I891,1)-AM4124</x:f>
        <x:v>-0.17483632000000002</x:v>
      </x:c>
      <x:c r="M4124" s="11" t="n">
        <x:f>'管线假设'!H891</x:f>
        <x:v>0.14</x:v>
      </x:c>
      <x:c r="N4124" s="11" t="n">
        <x:f>IF(G4124,L4124*AN4124/(1+M4124)^F4124,0)</x:f>
        <x:v>-0.1222649728415356</x:v>
      </x:c>
      <x:c r="AJ4124" s="42" t="n">
        <x:v>0.14205451</x:v>
      </x:c>
      <x:c r="AK4124" s="42" t="n">
        <x:v>0.17483632000000002</x:v>
      </x:c>
      <x:c r="AL4124" s="42" t="n">
        <x:v>0.22497280000000003</x:v>
      </x:c>
      <x:c r="AM4124" t="n">
        <x:f>CHOOSE('假设'!$B$3,AJ4124,AK4124,AL4124)</x:f>
        <x:v>0.17483632000000002</x:v>
      </x:c>
      <x:c r="AN4124" t="n">
        <x:v>1</x:v>
      </x:c>
    </x:row>
    <x:row r="4125" ht="23" customHeight="1">
      <x:c r="A4125" s="11" t="str">
        <x:v>02162.HK</x:v>
      </x:c>
      <x:c r="B4125" s="11" t="str">
        <x:v>半年</x:v>
      </x:c>
      <x:c r="C4125" s="11" t="str">
        <x:v>centralCost</x:v>
      </x:c>
      <x:c r="D4125" s="11" t="str">
        <x:v>2030-12-31</x:v>
      </x:c>
      <x:c r="E4125" s="11" t="str">
        <x:v>CNY</x:v>
      </x:c>
      <x:c r="F4125" s="11" t="n">
        <x:v>3.728952772073922</x:v>
      </x:c>
      <x:c r="G4125" s="26" t="b">
        <x:v>1</x:v>
      </x:c>
      <x:c r="H4125" s="16" t="n">
        <x:v>0</x:v>
      </x:c>
      <x:c r="I4125" s="16" t="n">
        <x:v>0</x:v>
      </x:c>
      <x:c r="J4125" s="16" t="n">
        <x:v>0</x:v>
      </x:c>
      <x:c r="K4125" s="11" t="n">
        <x:f>CHOOSE('假设'!$B$3,H4125,I4125,J4125)</x:f>
        <x:v>0</x:v>
      </x:c>
      <x:c r="L4125" s="11" t="n">
        <x:f>K4125*'管线假设'!E891*'管线假设'!F891*'管线假设'!G891*IF(E4125="USD",'管线假设'!I891,1)-AM4125</x:f>
        <x:v>-0.18008140960000002</x:v>
      </x:c>
      <x:c r="M4125" s="11" t="n">
        <x:f>'管线假设'!H891</x:f>
        <x:v>0.14</x:v>
      </x:c>
      <x:c r="N4125" s="11" t="n">
        <x:f>IF(G4125,L4125*AN4125/(1+M4125)^F4125,0)</x:f>
        <x:v>-0.11047738306677134</x:v>
      </x:c>
      <x:c r="AJ4125" s="42" t="n">
        <x:v>0.14631614530000003</x:v>
      </x:c>
      <x:c r="AK4125" s="42" t="n">
        <x:v>0.18008140960000002</x:v>
      </x:c>
      <x:c r="AL4125" s="42" t="n">
        <x:v>0.23397171200000005</x:v>
      </x:c>
      <x:c r="AM4125" t="n">
        <x:f>CHOOSE('假设'!$B$3,AJ4125,AK4125,AL4125)</x:f>
        <x:v>0.18008140960000002</x:v>
      </x:c>
      <x:c r="AN4125" t="n">
        <x:v>1</x:v>
      </x:c>
    </x:row>
    <x:row r="4126" ht="23" customHeight="1">
      <x:c r="A4126" s="11" t="str">
        <x:v>02162.HK</x:v>
      </x:c>
      <x:c r="B4126" s="11" t="str">
        <x:v>半年</x:v>
      </x:c>
      <x:c r="C4126" s="11" t="str">
        <x:v>centralCost</x:v>
      </x:c>
      <x:c r="D4126" s="11" t="str">
        <x:v>2031-12-31</x:v>
      </x:c>
      <x:c r="E4126" s="11" t="str">
        <x:v>CNY</x:v>
      </x:c>
      <x:c r="F4126" s="11" t="n">
        <x:v>4.728268309377139</x:v>
      </x:c>
      <x:c r="G4126" s="26" t="b">
        <x:v>1</x:v>
      </x:c>
      <x:c r="H4126" s="16" t="n">
        <x:v>0</x:v>
      </x:c>
      <x:c r="I4126" s="16" t="n">
        <x:v>0</x:v>
      </x:c>
      <x:c r="J4126" s="16" t="n">
        <x:v>0</x:v>
      </x:c>
      <x:c r="K4126" s="11" t="n">
        <x:f>CHOOSE('假设'!$B$3,H4126,I4126,J4126)</x:f>
        <x:v>0</x:v>
      </x:c>
      <x:c r="L4126" s="11" t="n">
        <x:f>K4126*'管线假设'!E891*'管线假设'!F891*'管线假设'!G891*IF(E4126="USD",'管线假设'!I891,1)-AM4126</x:f>
        <x:v>-0.185483851888</x:v>
      </x:c>
      <x:c r="M4126" s="11" t="n">
        <x:f>'管线假设'!H891</x:f>
        <x:v>0.14</x:v>
      </x:c>
      <x:c r="N4126" s="11" t="n">
        <x:f>IF(G4126,L4126*AN4126/(1+M4126)^F4126,0)</x:f>
        <x:v>-0.0998262371112701</x:v>
      </x:c>
      <x:c r="AJ4126" s="42" t="n">
        <x:v>0.150705629659</x:v>
      </x:c>
      <x:c r="AK4126" s="42" t="n">
        <x:v>0.185483851888</x:v>
      </x:c>
      <x:c r="AL4126" s="42" t="n">
        <x:v>0.24333058048000003</x:v>
      </x:c>
      <x:c r="AM4126" t="n">
        <x:f>CHOOSE('假设'!$B$3,AJ4126,AK4126,AL4126)</x:f>
        <x:v>0.185483851888</x:v>
      </x:c>
      <x:c r="AN4126" t="n">
        <x:v>1</x:v>
      </x:c>
    </x:row>
    <x:row r="4127" ht="23" customHeight="1">
      <x:c r="A4127" s="11" t="str">
        <x:v>02162.HK</x:v>
      </x:c>
      <x:c r="B4127" s="11" t="str">
        <x:v>半年</x:v>
      </x:c>
      <x:c r="C4127" s="11" t="str">
        <x:v>centralCost</x:v>
      </x:c>
      <x:c r="D4127" s="11" t="str">
        <x:v>2032-12-31</x:v>
      </x:c>
      <x:c r="E4127" s="11" t="str">
        <x:v>CNY</x:v>
      </x:c>
      <x:c r="F4127" s="11" t="n">
        <x:v>5.730321697467488</x:v>
      </x:c>
      <x:c r="G4127" s="26" t="b">
        <x:v>1</x:v>
      </x:c>
      <x:c r="H4127" s="16" t="n">
        <x:v>0</x:v>
      </x:c>
      <x:c r="I4127" s="16" t="n">
        <x:v>0</x:v>
      </x:c>
      <x:c r="J4127" s="16" t="n">
        <x:v>0</x:v>
      </x:c>
      <x:c r="K4127" s="11" t="n">
        <x:f>CHOOSE('假设'!$B$3,H4127,I4127,J4127)</x:f>
        <x:v>0</x:v>
      </x:c>
      <x:c r="L4127" s="11" t="n">
        <x:f>K4127*'管线假设'!E891*'管线假设'!F891*'管线假设'!G891*IF(E4127="USD",'管线假设'!I891,1)-AM4127</x:f>
        <x:v>-0.19104836744464002</x:v>
      </x:c>
      <x:c r="M4127" s="11" t="n">
        <x:f>'管线假设'!H891</x:f>
        <x:v>0.14</x:v>
      </x:c>
      <x:c r="N4127" s="11" t="n">
        <x:f>IF(G4127,L4127*AN4127/(1+M4127)^F4127,0)</x:f>
        <x:v>-0.09016961733036849</x:v>
      </x:c>
      <x:c r="AJ4127" s="42" t="n">
        <x:v>0.15522679854877003</x:v>
      </x:c>
      <x:c r="AK4127" s="42" t="n">
        <x:v>0.19104836744464002</x:v>
      </x:c>
      <x:c r="AL4127" s="42" t="n">
        <x:v>0.25306380369920006</x:v>
      </x:c>
      <x:c r="AM4127" t="n">
        <x:f>CHOOSE('假设'!$B$3,AJ4127,AK4127,AL4127)</x:f>
        <x:v>0.19104836744464002</x:v>
      </x:c>
      <x:c r="AN4127" t="n">
        <x:v>1</x:v>
      </x:c>
    </x:row>
    <x:row r="4128" ht="23" customHeight="1">
      <x:c r="A4128" s="11" t="str">
        <x:v>02162.HK</x:v>
      </x:c>
      <x:c r="B4128" s="11" t="str">
        <x:v>半年</x:v>
      </x:c>
      <x:c r="C4128" s="11" t="str">
        <x:v>centralCost</x:v>
      </x:c>
      <x:c r="D4128" s="11" t="str">
        <x:v>2033-12-31</x:v>
      </x:c>
      <x:c r="E4128" s="11" t="str">
        <x:v>CNY</x:v>
      </x:c>
      <x:c r="F4128" s="11" t="n">
        <x:v>6.729637234770705</x:v>
      </x:c>
      <x:c r="G4128" s="26" t="b">
        <x:v>1</x:v>
      </x:c>
      <x:c r="H4128" s="16" t="n">
        <x:v>0</x:v>
      </x:c>
      <x:c r="I4128" s="16" t="n">
        <x:v>0</x:v>
      </x:c>
      <x:c r="J4128" s="16" t="n">
        <x:v>0</x:v>
      </x:c>
      <x:c r="K4128" s="11" t="n">
        <x:f>CHOOSE('假设'!$B$3,H4128,I4128,J4128)</x:f>
        <x:v>0</x:v>
      </x:c>
      <x:c r="L4128" s="11" t="n">
        <x:f>K4128*'管线假设'!E891*'管线假设'!F891*'管线假设'!G891*IF(E4128="USD",'管线假设'!I891,1)-AM4128</x:f>
        <x:v>-0.19677981846797923</x:v>
      </x:c>
      <x:c r="M4128" s="11" t="n">
        <x:f>'管线假设'!H891</x:f>
        <x:v>0.14</x:v>
      </x:c>
      <x:c r="N4128" s="11" t="n">
        <x:f>IF(G4128,L4128*AN4128/(1+M4128)^F4128,0)</x:f>
        <x:v>-0.08147634701315809</x:v>
      </x:c>
      <x:c r="AJ4128" s="42" t="n">
        <x:v>0.15988360250523312</x:v>
      </x:c>
      <x:c r="AK4128" s="42" t="n">
        <x:v>0.19677981846797923</x:v>
      </x:c>
      <x:c r="AL4128" s="42" t="n">
        <x:v>0.26318635584716804</x:v>
      </x:c>
      <x:c r="AM4128" t="n">
        <x:f>CHOOSE('假设'!$B$3,AJ4128,AK4128,AL4128)</x:f>
        <x:v>0.19677981846797923</x:v>
      </x:c>
      <x:c r="AN4128" t="n">
        <x:v>1</x:v>
      </x:c>
    </x:row>
    <x:row r="4129" ht="23" customHeight="1">
      <x:c r="A4129" s="11" t="str">
        <x:v>02162.HK</x:v>
      </x:c>
      <x:c r="B4129" s="11" t="str">
        <x:v>半年</x:v>
      </x:c>
      <x:c r="C4129" s="11" t="str">
        <x:v>centralCost</x:v>
      </x:c>
      <x:c r="D4129" s="11" t="str">
        <x:v>2034-12-31</x:v>
      </x:c>
      <x:c r="E4129" s="11" t="str">
        <x:v>CNY</x:v>
      </x:c>
      <x:c r="F4129" s="11" t="n">
        <x:v>7.728952772073922</x:v>
      </x:c>
      <x:c r="G4129" s="26" t="b">
        <x:v>1</x:v>
      </x:c>
      <x:c r="H4129" s="16" t="n">
        <x:v>0</x:v>
      </x:c>
      <x:c r="I4129" s="16" t="n">
        <x:v>0</x:v>
      </x:c>
      <x:c r="J4129" s="16" t="n">
        <x:v>0</x:v>
      </x:c>
      <x:c r="K4129" s="11" t="n">
        <x:f>CHOOSE('假设'!$B$3,H4129,I4129,J4129)</x:f>
        <x:v>0</x:v>
      </x:c>
      <x:c r="L4129" s="11" t="n">
        <x:f>K4129*'管线假设'!E891*'管线假设'!F891*'管线假设'!G891*IF(E4129="USD",'管线假设'!I891,1)-AM4129</x:f>
        <x:v>-0.20268321302201864</x:v>
      </x:c>
      <x:c r="M4129" s="11" t="n">
        <x:f>'管线假设'!H891</x:f>
        <x:v>0.14</x:v>
      </x:c>
      <x:c r="N4129" s="11" t="n">
        <x:f>IF(G4129,L4129*AN4129/(1+M4129)^F4129,0)</x:f>
        <x:v>-0.07362119657541</x:v>
      </x:c>
      <x:c r="AJ4129" s="42" t="n">
        <x:v>0.16468011058039014</x:v>
      </x:c>
      <x:c r="AK4129" s="42" t="n">
        <x:v>0.20268321302201864</x:v>
      </x:c>
      <x:c r="AL4129" s="42" t="n">
        <x:v>0.2737138100810548</x:v>
      </x:c>
      <x:c r="AM4129" t="n">
        <x:f>CHOOSE('假设'!$B$3,AJ4129,AK4129,AL4129)</x:f>
        <x:v>0.20268321302201864</x:v>
      </x:c>
      <x:c r="AN4129" t="n">
        <x:v>1</x:v>
      </x:c>
    </x:row>
    <x:row r="4130" ht="23" customHeight="1">
      <x:c r="A4130" s="11" t="str">
        <x:v>02162.HK</x:v>
      </x:c>
      <x:c r="B4130" s="11" t="str">
        <x:v>半年</x:v>
      </x:c>
      <x:c r="C4130" s="11" t="str">
        <x:v>centralCost</x:v>
      </x:c>
      <x:c r="D4130" s="11" t="str">
        <x:v>2035-12-31</x:v>
      </x:c>
      <x:c r="E4130" s="11" t="str">
        <x:v>CNY</x:v>
      </x:c>
      <x:c r="F4130" s="11" t="n">
        <x:v>8.728268309377139</x:v>
      </x:c>
      <x:c r="G4130" s="26" t="b">
        <x:v>1</x:v>
      </x:c>
      <x:c r="H4130" s="16" t="n">
        <x:v>0</x:v>
      </x:c>
      <x:c r="I4130" s="16" t="n">
        <x:v>0</x:v>
      </x:c>
      <x:c r="J4130" s="16" t="n">
        <x:v>0</x:v>
      </x:c>
      <x:c r="K4130" s="11" t="n">
        <x:f>CHOOSE('假设'!$B$3,H4130,I4130,J4130)</x:f>
        <x:v>0</x:v>
      </x:c>
      <x:c r="L4130" s="11" t="n">
        <x:f>K4130*'管线假设'!E891*'管线假设'!F891*'管线假设'!G891*IF(E4130="USD",'管线假设'!I891,1)-AM4130</x:f>
        <x:v>-0.2087637094126792</x:v>
      </x:c>
      <x:c r="M4130" s="11" t="n">
        <x:f>'管线假设'!H891</x:f>
        <x:v>0.14</x:v>
      </x:c>
      <x:c r="N4130" s="11" t="n">
        <x:f>IF(G4130,L4130*AN4130/(1+M4130)^F4130,0)</x:f>
        <x:v>-0.06652336271678748</x:v>
      </x:c>
      <x:c r="AJ4130" s="42" t="n">
        <x:v>0.16962051389780183</x:v>
      </x:c>
      <x:c r="AK4130" s="42" t="n">
        <x:v>0.2087637094126792</x:v>
      </x:c>
      <x:c r="AL4130" s="42" t="n">
        <x:v>0.284662362484297</x:v>
      </x:c>
      <x:c r="AM4130" t="n">
        <x:f>CHOOSE('假设'!$B$3,AJ4130,AK4130,AL4130)</x:f>
        <x:v>0.2087637094126792</x:v>
      </x:c>
      <x:c r="AN4130" t="n">
        <x:v>1</x:v>
      </x:c>
    </x:row>
    <x:row r="4131" ht="23" customHeight="1">
      <x:c r="A4131" s="11" t="str">
        <x:v>02162.HK</x:v>
      </x:c>
      <x:c r="B4131" s="11" t="str">
        <x:v>半年</x:v>
      </x:c>
      <x:c r="C4131" s="11" t="str">
        <x:v>centralCost</x:v>
      </x:c>
      <x:c r="D4131" s="11" t="str">
        <x:v>2036-12-31</x:v>
      </x:c>
      <x:c r="E4131" s="11" t="str">
        <x:v>CNY</x:v>
      </x:c>
      <x:c r="F4131" s="11" t="n">
        <x:v>9.730321697467488</x:v>
      </x:c>
      <x:c r="G4131" s="26" t="b">
        <x:v>1</x:v>
      </x:c>
      <x:c r="H4131" s="16" t="n">
        <x:v>0</x:v>
      </x:c>
      <x:c r="I4131" s="16" t="n">
        <x:v>0</x:v>
      </x:c>
      <x:c r="J4131" s="16" t="n">
        <x:v>0</x:v>
      </x:c>
      <x:c r="K4131" s="11" t="n">
        <x:f>CHOOSE('假设'!$B$3,H4131,I4131,J4131)</x:f>
        <x:v>0</x:v>
      </x:c>
      <x:c r="L4131" s="11" t="n">
        <x:f>K4131*'管线假设'!E891*'管线假设'!F891*'管线假设'!G891*IF(E4131="USD",'管线假设'!I891,1)-AM4131</x:f>
        <x:v>-0.21502662069505957</x:v>
      </x:c>
      <x:c r="M4131" s="11" t="n">
        <x:f>'管线假设'!H891</x:f>
        <x:v>0.14</x:v>
      </x:c>
      <x:c r="N4131" s="11" t="n">
        <x:f>IF(G4131,L4131*AN4131/(1+M4131)^F4131,0)</x:f>
        <x:v>-0.06008827271547862</x:v>
      </x:c>
      <x:c r="AJ4131" s="42" t="n">
        <x:v>0.1747091293147359</x:v>
      </x:c>
      <x:c r="AK4131" s="42" t="n">
        <x:v>0.21502662069505957</x:v>
      </x:c>
      <x:c r="AL4131" s="42" t="n">
        <x:v>0.2960488569836689</x:v>
      </x:c>
      <x:c r="AM4131" t="n">
        <x:f>CHOOSE('假设'!$B$3,AJ4131,AK4131,AL4131)</x:f>
        <x:v>0.21502662069505957</x:v>
      </x:c>
      <x:c r="AN4131" t="n">
        <x:v>1</x:v>
      </x:c>
    </x:row>
    <x:row r="4132" ht="23" customHeight="1">
      <x:c r="A4132" s="11" t="str">
        <x:v>02162.HK</x:v>
      </x:c>
      <x:c r="B4132" s="11" t="str">
        <x:v>半年</x:v>
      </x:c>
      <x:c r="C4132" s="11" t="str">
        <x:v>centralCost</x:v>
      </x:c>
      <x:c r="D4132" s="11" t="str">
        <x:v>2037-12-31</x:v>
      </x:c>
      <x:c r="E4132" s="11" t="str">
        <x:v>CNY</x:v>
      </x:c>
      <x:c r="F4132" s="11" t="n">
        <x:v>10.729637234770705</x:v>
      </x:c>
      <x:c r="G4132" s="26" t="b">
        <x:v>1</x:v>
      </x:c>
      <x:c r="H4132" s="16" t="n">
        <x:v>0</x:v>
      </x:c>
      <x:c r="I4132" s="16" t="n">
        <x:v>0</x:v>
      </x:c>
      <x:c r="J4132" s="16" t="n">
        <x:v>0</x:v>
      </x:c>
      <x:c r="K4132" s="11" t="n">
        <x:f>CHOOSE('假设'!$B$3,H4132,I4132,J4132)</x:f>
        <x:v>0</x:v>
      </x:c>
      <x:c r="L4132" s="11" t="n">
        <x:f>K4132*'管线假设'!E891*'管线假设'!F891*'管线假设'!G891*IF(E4132="USD",'管线假设'!I891,1)-AM4132</x:f>
        <x:v>-0.22147741931591136</x:v>
      </x:c>
      <x:c r="M4132" s="11" t="n">
        <x:f>'管线假设'!H891</x:f>
        <x:v>0.14</x:v>
      </x:c>
      <x:c r="N4132" s="11" t="n">
        <x:f>IF(G4132,L4132*AN4132/(1+M4132)^F4132,0)</x:f>
        <x:v>-0.05429515067420334</x:v>
      </x:c>
      <x:c r="AJ4132" s="42" t="n">
        <x:v>0.179950403194178</x:v>
      </x:c>
      <x:c r="AK4132" s="42" t="n">
        <x:v>0.22147741931591136</x:v>
      </x:c>
      <x:c r="AL4132" s="42" t="n">
        <x:v>0.30789081126301565</x:v>
      </x:c>
      <x:c r="AM4132" t="n">
        <x:f>CHOOSE('假设'!$B$3,AJ4132,AK4132,AL4132)</x:f>
        <x:v>0.22147741931591136</x:v>
      </x:c>
      <x:c r="AN4132" t="n">
        <x:v>1</x:v>
      </x:c>
    </x:row>
    <x:row r="4133" ht="23" customHeight="1">
      <x:c r="A4133" s="11" t="str">
        <x:v>02162.HK</x:v>
      </x:c>
      <x:c r="B4133" s="11" t="str">
        <x:v>半年</x:v>
      </x:c>
      <x:c r="C4133" s="11" t="str">
        <x:v>centralCost</x:v>
      </x:c>
      <x:c r="D4133" s="11" t="str">
        <x:v>2038-12-31</x:v>
      </x:c>
      <x:c r="E4133" s="11" t="str">
        <x:v>CNY</x:v>
      </x:c>
      <x:c r="F4133" s="11" t="n">
        <x:v>11.728952772073923</x:v>
      </x:c>
      <x:c r="G4133" s="26" t="b">
        <x:v>1</x:v>
      </x:c>
      <x:c r="H4133" s="16" t="n">
        <x:v>0</x:v>
      </x:c>
      <x:c r="I4133" s="16" t="n">
        <x:v>0</x:v>
      </x:c>
      <x:c r="J4133" s="16" t="n">
        <x:v>0</x:v>
      </x:c>
      <x:c r="K4133" s="11" t="n">
        <x:f>CHOOSE('假设'!$B$3,H4133,I4133,J4133)</x:f>
        <x:v>0</x:v>
      </x:c>
      <x:c r="L4133" s="11" t="n">
        <x:f>K4133*'管线假设'!E891*'管线假设'!F891*'管线假设'!G891*IF(E4133="USD",'管线假设'!I891,1)-AM4133</x:f>
        <x:v>-0.2281217418953887</x:v>
      </x:c>
      <x:c r="M4133" s="11" t="n">
        <x:f>'管线假设'!H891</x:f>
        <x:v>0.14</x:v>
      </x:c>
      <x:c r="N4133" s="11" t="n">
        <x:f>IF(G4133,L4133*AN4133/(1+M4133)^F4133,0)</x:f>
        <x:v>-0.04906054465391637</x:v>
      </x:c>
      <x:c r="AJ4133" s="42" t="n">
        <x:v>0.1853489152900033</x:v>
      </x:c>
      <x:c r="AK4133" s="42" t="n">
        <x:v>0.2281217418953887</x:v>
      </x:c>
      <x:c r="AL4133" s="42" t="n">
        <x:v>0.32020644371353635</x:v>
      </x:c>
      <x:c r="AM4133" t="n">
        <x:f>CHOOSE('假设'!$B$3,AJ4133,AK4133,AL4133)</x:f>
        <x:v>0.2281217418953887</x:v>
      </x:c>
      <x:c r="AN4133" t="n">
        <x:v>1</x:v>
      </x:c>
    </x:row>
    <x:row r="4134" ht="23" customHeight="1">
      <x:c r="A4134" s="11" t="str">
        <x:v>02162.HK</x:v>
      </x:c>
      <x:c r="B4134" s="11" t="str">
        <x:v>半年</x:v>
      </x:c>
      <x:c r="C4134" s="11" t="str">
        <x:v>centralCost</x:v>
      </x:c>
      <x:c r="D4134" s="11" t="str">
        <x:v>2039-12-31</x:v>
      </x:c>
      <x:c r="E4134" s="11" t="str">
        <x:v>CNY</x:v>
      </x:c>
      <x:c r="F4134" s="11" t="n">
        <x:v>12.728268309377139</x:v>
      </x:c>
      <x:c r="G4134" s="26" t="b">
        <x:v>1</x:v>
      </x:c>
      <x:c r="H4134" s="16" t="n">
        <x:v>0</x:v>
      </x:c>
      <x:c r="I4134" s="16" t="n">
        <x:v>0</x:v>
      </x:c>
      <x:c r="J4134" s="16" t="n">
        <x:v>0</x:v>
      </x:c>
      <x:c r="K4134" s="11" t="n">
        <x:f>CHOOSE('假设'!$B$3,H4134,I4134,J4134)</x:f>
        <x:v>0</x:v>
      </x:c>
      <x:c r="L4134" s="11" t="n">
        <x:f>K4134*'管线假设'!E891*'管线假设'!F891*'管线假设'!G891*IF(E4134="USD",'管线假设'!I891,1)-AM4134</x:f>
        <x:v>-0.23496539415225037</x:v>
      </x:c>
      <x:c r="M4134" s="11" t="n">
        <x:f>'管线假设'!H891</x:f>
        <x:v>0.14</x:v>
      </x:c>
      <x:c r="N4134" s="11" t="n">
        <x:f>IF(G4134,L4134*AN4134/(1+M4134)^F4134,0)</x:f>
        <x:v>-0.044330608016573826</x:v>
      </x:c>
      <x:c r="AJ4134" s="42" t="n">
        <x:v>0.19090938274870342</x:v>
      </x:c>
      <x:c r="AK4134" s="42" t="n">
        <x:v>0.23496539415225037</x:v>
      </x:c>
      <x:c r="AL4134" s="42" t="n">
        <x:v>0.3330147014620778</x:v>
      </x:c>
      <x:c r="AM4134" t="n">
        <x:f>CHOOSE('假设'!$B$3,AJ4134,AK4134,AL4134)</x:f>
        <x:v>0.23496539415225037</x:v>
      </x:c>
      <x:c r="AN4134" t="n">
        <x:v>1</x:v>
      </x:c>
    </x:row>
    <x:row r="4135" ht="23" customHeight="1">
      <x:c r="A4135" s="11" t="str">
        <x:v>02162.HK</x:v>
      </x:c>
      <x:c r="B4135" s="11" t="str">
        <x:v>半年</x:v>
      </x:c>
      <x:c r="C4135" s="11" t="str">
        <x:v>centralCost</x:v>
      </x:c>
      <x:c r="D4135" s="11" t="str">
        <x:v>2040-12-31</x:v>
      </x:c>
      <x:c r="E4135" s="11" t="str">
        <x:v>CNY</x:v>
      </x:c>
      <x:c r="F4135" s="11" t="n">
        <x:v>13.730321697467488</x:v>
      </x:c>
      <x:c r="G4135" s="26" t="b">
        <x:v>1</x:v>
      </x:c>
      <x:c r="H4135" s="16" t="n">
        <x:v>0</x:v>
      </x:c>
      <x:c r="I4135" s="16" t="n">
        <x:v>0</x:v>
      </x:c>
      <x:c r="J4135" s="16" t="n">
        <x:v>0</x:v>
      </x:c>
      <x:c r="K4135" s="11" t="n">
        <x:f>CHOOSE('假设'!$B$3,H4135,I4135,J4135)</x:f>
        <x:v>0</x:v>
      </x:c>
      <x:c r="L4135" s="11" t="n">
        <x:f>K4135*'管线假设'!E891*'管线假设'!F891*'管线假设'!G891*IF(E4135="USD",'管线假设'!I891,1)-AM4135</x:f>
        <x:v>-0.24201435597681792</x:v>
      </x:c>
      <x:c r="M4135" s="11" t="n">
        <x:f>'管线假设'!H891</x:f>
        <x:v>0.14</x:v>
      </x:c>
      <x:c r="N4135" s="11" t="n">
        <x:f>IF(G4135,L4135*AN4135/(1+M4135)^F4135,0)</x:f>
        <x:v>-0.040042318297758894</x:v>
      </x:c>
      <x:c r="AJ4135" s="42" t="n">
        <x:v>0.19663666423116455</x:v>
      </x:c>
      <x:c r="AK4135" s="42" t="n">
        <x:v>0.24201435597681792</x:v>
      </x:c>
      <x:c r="AL4135" s="42" t="n">
        <x:v>0.3463352895205609</x:v>
      </x:c>
      <x:c r="AM4135" t="n">
        <x:f>CHOOSE('假设'!$B$3,AJ4135,AK4135,AL4135)</x:f>
        <x:v>0.24201435597681792</x:v>
      </x:c>
      <x:c r="AN4135" t="n">
        <x:v>1</x:v>
      </x:c>
    </x:row>
    <x:row r="4136" ht="23" customHeight="1">
      <x:c r="A4136" s="11" t="str">
        <x:v>02162.HK</x:v>
      </x:c>
      <x:c r="B4136" s="11" t="str">
        <x:v>半年</x:v>
      </x:c>
      <x:c r="C4136" s="11" t="str">
        <x:v>centralCost</x:v>
      </x:c>
      <x:c r="D4136" s="11" t="str">
        <x:v>2041-12-31</x:v>
      </x:c>
      <x:c r="E4136" s="11" t="str">
        <x:v>CNY</x:v>
      </x:c>
      <x:c r="F4136" s="11" t="n">
        <x:v>14.729637234770705</x:v>
      </x:c>
      <x:c r="G4136" s="26" t="b">
        <x:v>1</x:v>
      </x:c>
      <x:c r="H4136" s="16" t="n">
        <x:v>0</x:v>
      </x:c>
      <x:c r="I4136" s="16" t="n">
        <x:v>0</x:v>
      </x:c>
      <x:c r="J4136" s="16" t="n">
        <x:v>0</x:v>
      </x:c>
      <x:c r="K4136" s="11" t="n">
        <x:f>CHOOSE('假设'!$B$3,H4136,I4136,J4136)</x:f>
        <x:v>0</x:v>
      </x:c>
      <x:c r="L4136" s="11" t="n">
        <x:f>K4136*'管线假设'!E891*'管线假设'!F891*'管线假设'!G891*IF(E4136="USD",'管线假设'!I891,1)-AM4136</x:f>
        <x:v>-0.24927478665612243</x:v>
      </x:c>
      <x:c r="M4136" s="11" t="n">
        <x:f>'管线假设'!H891</x:f>
        <x:v>0.14</x:v>
      </x:c>
      <x:c r="N4136" s="11" t="n">
        <x:f>IF(G4136,L4136*AN4136/(1+M4136)^F4136,0)</x:f>
        <x:v>-0.036181830614698034</x:v>
      </x:c>
      <x:c r="AJ4136" s="42" t="n">
        <x:v>0.20253576415809946</x:v>
      </x:c>
      <x:c r="AK4136" s="42" t="n">
        <x:v>0.24927478665612243</x:v>
      </x:c>
      <x:c r="AL4136" s="42" t="n">
        <x:v>0.36018870110138335</x:v>
      </x:c>
      <x:c r="AM4136" t="n">
        <x:f>CHOOSE('假设'!$B$3,AJ4136,AK4136,AL4136)</x:f>
        <x:v>0.24927478665612243</x:v>
      </x:c>
      <x:c r="AN4136" t="n">
        <x:v>1</x:v>
      </x:c>
    </x:row>
    <x:row r="4137" ht="23" customHeight="1">
      <x:c r="A4137" s="11" t="str">
        <x:v>02162.HK</x:v>
      </x:c>
      <x:c r="B4137" s="11" t="str">
        <x:v>半年</x:v>
      </x:c>
      <x:c r="C4137" s="11" t="str">
        <x:v>centralCost</x:v>
      </x:c>
      <x:c r="D4137" s="11" t="str">
        <x:v>2042-12-31</x:v>
      </x:c>
      <x:c r="E4137" s="11" t="str">
        <x:v>CNY</x:v>
      </x:c>
      <x:c r="F4137" s="11" t="n">
        <x:v>15.728952772073923</x:v>
      </x:c>
      <x:c r="G4137" s="26" t="b">
        <x:v>1</x:v>
      </x:c>
      <x:c r="H4137" s="16" t="n">
        <x:v>0</x:v>
      </x:c>
      <x:c r="I4137" s="16" t="n">
        <x:v>0</x:v>
      </x:c>
      <x:c r="J4137" s="16" t="n">
        <x:v>0</x:v>
      </x:c>
      <x:c r="K4137" s="11" t="n">
        <x:f>CHOOSE('假设'!$B$3,H4137,I4137,J4137)</x:f>
        <x:v>0</x:v>
      </x:c>
      <x:c r="L4137" s="11" t="n">
        <x:f>K4137*'管线假设'!E891*'管线假设'!F891*'管线假设'!G891*IF(E4137="USD",'管线假设'!I891,1)-AM4137</x:f>
        <x:v>-0.2567530302558061</x:v>
      </x:c>
      <x:c r="M4137" s="11" t="n">
        <x:f>'管线假设'!H891</x:f>
        <x:v>0.14</x:v>
      </x:c>
      <x:c r="N4137" s="11" t="n">
        <x:f>IF(G4137,L4137*AN4137/(1+M4137)^F4137,0)</x:f>
        <x:v>-0.03269353329884422</x:v>
      </x:c>
      <x:c r="AJ4137" s="42" t="n">
        <x:v>0.20861183708284248</x:v>
      </x:c>
      <x:c r="AK4137" s="42" t="n">
        <x:v>0.2567530302558061</x:v>
      </x:c>
      <x:c r="AL4137" s="42" t="n">
        <x:v>0.37459624914543865</x:v>
      </x:c>
      <x:c r="AM4137" t="n">
        <x:f>CHOOSE('假设'!$B$3,AJ4137,AK4137,AL4137)</x:f>
        <x:v>0.2567530302558061</x:v>
      </x:c>
      <x:c r="AN4137" t="n">
        <x:v>1</x:v>
      </x:c>
    </x:row>
    <x:row r="4138" ht="23" customHeight="1">
      <x:c r="A4138" s="11" t="str">
        <x:v>02162.HK</x:v>
      </x:c>
      <x:c r="B4138" s="11" t="str">
        <x:v>半年</x:v>
      </x:c>
      <x:c r="C4138" s="11" t="str">
        <x:v>centralCost</x:v>
      </x:c>
      <x:c r="D4138" s="11" t="str">
        <x:v>2043-12-31</x:v>
      </x:c>
      <x:c r="E4138" s="11" t="str">
        <x:v>CNY</x:v>
      </x:c>
      <x:c r="F4138" s="11" t="n">
        <x:v>16.72826830937714</x:v>
      </x:c>
      <x:c r="G4138" s="26" t="b">
        <x:v>1</x:v>
      </x:c>
      <x:c r="H4138" s="16" t="n">
        <x:v>0</x:v>
      </x:c>
      <x:c r="I4138" s="16" t="n">
        <x:v>0</x:v>
      </x:c>
      <x:c r="J4138" s="16" t="n">
        <x:v>0</x:v>
      </x:c>
      <x:c r="K4138" s="11" t="n">
        <x:f>CHOOSE('假设'!$B$3,H4138,I4138,J4138)</x:f>
        <x:v>0</x:v>
      </x:c>
      <x:c r="L4138" s="11" t="n">
        <x:f>K4138*'管线假设'!E891*'管线假设'!F891*'管线假设'!G891*IF(E4138="USD",'管线假设'!I891,1)-AM4138</x:f>
        <x:v>-0.2644556211634803</x:v>
      </x:c>
      <x:c r="M4138" s="11" t="n">
        <x:f>'管线假设'!H891</x:f>
        <x:v>0.14</x:v>
      </x:c>
      <x:c r="N4138" s="11" t="n">
        <x:f>IF(G4138,L4138*AN4138/(1+M4138)^F4138,0)</x:f>
        <x:v>-0.02954154340461794</x:v>
      </x:c>
      <x:c r="AJ4138" s="42" t="n">
        <x:v>0.21487019219532774</x:v>
      </x:c>
      <x:c r="AK4138" s="42" t="n">
        <x:v>0.2644556211634803</x:v>
      </x:c>
      <x:c r="AL4138" s="42" t="n">
        <x:v>0.38958009911125624</x:v>
      </x:c>
      <x:c r="AM4138" t="n">
        <x:f>CHOOSE('假设'!$B$3,AJ4138,AK4138,AL4138)</x:f>
        <x:v>0.2644556211634803</x:v>
      </x:c>
      <x:c r="AN4138" t="n">
        <x:v>1</x:v>
      </x:c>
    </x:row>
    <x:row r="4139" ht="23" customHeight="1">
      <x:c r="A4139" s="11" t="str">
        <x:v>02162.HK</x:v>
      </x:c>
      <x:c r="B4139" s="11" t="str">
        <x:v>半年</x:v>
      </x:c>
      <x:c r="C4139" s="11" t="str">
        <x:v>centralCost</x:v>
      </x:c>
      <x:c r="D4139" s="11" t="str">
        <x:v>2044-12-31</x:v>
      </x:c>
      <x:c r="E4139" s="11" t="str">
        <x:v>CNY</x:v>
      </x:c>
      <x:c r="F4139" s="11" t="n">
        <x:v>17.730321697467488</x:v>
      </x:c>
      <x:c r="G4139" s="26" t="b">
        <x:v>1</x:v>
      </x:c>
      <x:c r="H4139" s="16" t="n">
        <x:v>0</x:v>
      </x:c>
      <x:c r="I4139" s="16" t="n">
        <x:v>0</x:v>
      </x:c>
      <x:c r="J4139" s="16" t="n">
        <x:v>0</x:v>
      </x:c>
      <x:c r="K4139" s="11" t="n">
        <x:f>CHOOSE('假设'!$B$3,H4139,I4139,J4139)</x:f>
        <x:v>0</x:v>
      </x:c>
      <x:c r="L4139" s="11" t="n">
        <x:f>K4139*'管线假设'!E891*'管线假设'!F891*'管线假设'!G891*IF(E4139="USD",'管线假设'!I891,1)-AM4139</x:f>
        <x:v>-0.2723892897983847</x:v>
      </x:c>
      <x:c r="M4139" s="11" t="n">
        <x:f>'管线假设'!H891</x:f>
        <x:v>0.14</x:v>
      </x:c>
      <x:c r="N4139" s="11" t="n">
        <x:f>IF(G4139,L4139*AN4139/(1+M4139)^F4139,0)</x:f>
        <x:v>-0.026683863293111554</x:v>
      </x:c>
      <x:c r="AJ4139" s="42" t="n">
        <x:v>0.2213162979611876</x:v>
      </x:c>
      <x:c r="AK4139" s="42" t="n">
        <x:v>0.2723892897983847</x:v>
      </x:c>
      <x:c r="AL4139" s="42" t="n">
        <x:v>0.4051633030757065</x:v>
      </x:c>
      <x:c r="AM4139" t="n">
        <x:f>CHOOSE('假设'!$B$3,AJ4139,AK4139,AL4139)</x:f>
        <x:v>0.2723892897983847</x:v>
      </x:c>
      <x:c r="AN4139" t="n">
        <x:v>1</x:v>
      </x:c>
    </x:row>
    <x:row r="4140" ht="23" customHeight="1">
      <x:c r="A4140" s="11" t="str">
        <x:v>02162.HK</x:v>
      </x:c>
      <x:c r="B4140" s="11" t="str">
        <x:v>一年</x:v>
      </x:c>
      <x:c r="C4140" s="11" t="str">
        <x:v>CM310_approved</x:v>
      </x:c>
      <x:c r="D4140" s="11" t="str">
        <x:v>2026-12-31</x:v>
      </x:c>
      <x:c r="E4140" s="11" t="str">
        <x:v>CNY</x:v>
      </x:c>
      <x:c r="F4140" s="11" t="n">
        <x:v>-0.7720739219712526</x:v>
      </x:c>
      <x:c r="G4140" s="26" t="b">
        <x:v>0</x:v>
      </x:c>
      <x:c r="H4140" s="16" t="n">
        <x:v>0.75</x:v>
      </x:c>
      <x:c r="I4140" s="16" t="n">
        <x:v>0.85</x:v>
      </x:c>
      <x:c r="J4140" s="16" t="n">
        <x:v>0.95</x:v>
      </x:c>
      <x:c r="K4140" s="11" t="n">
        <x:f>CHOOSE('假设'!$B$3,H4140,I4140,J4140)</x:f>
        <x:v>0.85</x:v>
      </x:c>
      <x:c r="L4140" s="11" t="n">
        <x:f>K4140*'管线假设'!E895*'管线假设'!F895*'管线假设'!G895*IF(E4140="USD",'管线假设'!I895,1)-AM4140</x:f>
        <x:v>0.341025</x:v>
      </x:c>
      <x:c r="M4140" s="11" t="n">
        <x:f>'管线假设'!H895</x:f>
        <x:v>0.14</x:v>
      </x:c>
      <x:c r="N4140" s="11" t="n">
        <x:f>IF(G4140,L4140*AN4140/(1+M4140)^F4140,0)</x:f>
        <x:v>0</x:v>
      </x:c>
      <x:c r="AJ4140" s="42" t="n">
        <x:v>0.025</x:v>
      </x:c>
      <x:c r="AK4140" s="42" t="n">
        <x:v>0.03</x:v>
      </x:c>
      <x:c r="AL4140" s="42" t="n">
        <x:v>0.04</x:v>
      </x:c>
      <x:c r="AM4140" t="n">
        <x:f>CHOOSE('假设'!$B$3,AJ4140,AK4140,AL4140)</x:f>
        <x:v>0.03</x:v>
      </x:c>
      <x:c r="AN4140" t="n">
        <x:v>0</x:v>
      </x:c>
    </x:row>
    <x:row r="4141" ht="23" customHeight="1">
      <x:c r="A4141" s="11" t="str">
        <x:v>02162.HK</x:v>
      </x:c>
      <x:c r="B4141" s="11" t="str">
        <x:v>一年</x:v>
      </x:c>
      <x:c r="C4141" s="11" t="str">
        <x:v>CM310_approved</x:v>
      </x:c>
      <x:c r="D4141" s="11" t="str">
        <x:v>2027-12-31</x:v>
      </x:c>
      <x:c r="E4141" s="11" t="str">
        <x:v>CNY</x:v>
      </x:c>
      <x:c r="F4141" s="11" t="n">
        <x:v>0.2272416153319644</x:v>
      </x:c>
      <x:c r="G4141" s="26" t="b">
        <x:v>1</x:v>
      </x:c>
      <x:c r="H4141" s="16" t="n">
        <x:v>0.88</x:v>
      </x:c>
      <x:c r="I4141" s="16" t="n">
        <x:v>1.35</x:v>
      </x:c>
      <x:c r="J4141" s="16" t="n">
        <x:v>1.75</x:v>
      </x:c>
      <x:c r="K4141" s="11" t="n">
        <x:f>CHOOSE('假设'!$B$3,H4141,I4141,J4141)</x:f>
        <x:v>1.35</x:v>
      </x:c>
      <x:c r="L4141" s="11" t="n">
        <x:f>K4141*'管线假设'!E895*'管线假设'!F895*'管线假设'!G895*IF(E4141="USD",'管线假设'!I895,1)-AM4141</x:f>
        <x:v>0.5592750000000001</x:v>
      </x:c>
      <x:c r="M4141" s="11" t="n">
        <x:f>'管线假设'!H895</x:f>
        <x:v>0.14</x:v>
      </x:c>
      <x:c r="N4141" s="11" t="n">
        <x:f>IF(G4141,L4141*AN4141/(1+M4141)^F4141,0)</x:f>
        <x:v>0.12378583908085336</x:v>
      </x:c>
      <x:c r="AJ4141" s="42" t="n">
        <x:v>0.025</x:v>
      </x:c>
      <x:c r="AK4141" s="42" t="n">
        <x:v>0.03</x:v>
      </x:c>
      <x:c r="AL4141" s="42" t="n">
        <x:v>0.04</x:v>
      </x:c>
      <x:c r="AM4141" t="n">
        <x:f>CHOOSE('假设'!$B$3,AJ4141,AK4141,AL4141)</x:f>
        <x:v>0.03</x:v>
      </x:c>
      <x:c r="AN4141" t="n">
        <x:v>0.22802197802197802</x:v>
      </x:c>
    </x:row>
    <x:row r="4142" ht="23" customHeight="1">
      <x:c r="A4142" s="11" t="str">
        <x:v>02162.HK</x:v>
      </x:c>
      <x:c r="B4142" s="11" t="str">
        <x:v>一年</x:v>
      </x:c>
      <x:c r="C4142" s="11" t="str">
        <x:v>CM310_approved</x:v>
      </x:c>
      <x:c r="D4142" s="11" t="str">
        <x:v>2028-12-31</x:v>
      </x:c>
      <x:c r="E4142" s="11" t="str">
        <x:v>CNY</x:v>
      </x:c>
      <x:c r="F4142" s="11" t="n">
        <x:v>1.2292950034223136</x:v>
      </x:c>
      <x:c r="G4142" s="26" t="b">
        <x:v>1</x:v>
      </x:c>
      <x:c r="H4142" s="16" t="n">
        <x:v>1</x:v>
      </x:c>
      <x:c r="I4142" s="16" t="n">
        <x:v>1.9</x:v>
      </x:c>
      <x:c r="J4142" s="16" t="n">
        <x:v>2.6</x:v>
      </x:c>
      <x:c r="K4142" s="11" t="n">
        <x:f>CHOOSE('假设'!$B$3,H4142,I4142,J4142)</x:f>
        <x:v>1.9</x:v>
      </x:c>
      <x:c r="L4142" s="11" t="n">
        <x:f>K4142*'管线假设'!E895*'管线假设'!F895*'管线假设'!G895*IF(E4142="USD",'管线假设'!I895,1)-AM4142</x:f>
        <x:v>0.79935</x:v>
      </x:c>
      <x:c r="M4142" s="11" t="n">
        <x:f>'管线假设'!H895</x:f>
        <x:v>0.14</x:v>
      </x:c>
      <x:c r="N4142" s="11" t="n">
        <x:f>IF(G4142,L4142*AN4142/(1+M4142)^F4142,0)</x:f>
        <x:v>0.6804310600203681</x:v>
      </x:c>
      <x:c r="AJ4142" s="42" t="n">
        <x:v>0.025</x:v>
      </x:c>
      <x:c r="AK4142" s="42" t="n">
        <x:v>0.03</x:v>
      </x:c>
      <x:c r="AL4142" s="42" t="n">
        <x:v>0.04</x:v>
      </x:c>
      <x:c r="AM4142" t="n">
        <x:f>CHOOSE('假设'!$B$3,AJ4142,AK4142,AL4142)</x:f>
        <x:v>0.03</x:v>
      </x:c>
      <x:c r="AN4142" t="n">
        <x:v>1</x:v>
      </x:c>
    </x:row>
    <x:row r="4143" ht="23" customHeight="1">
      <x:c r="A4143" s="11" t="str">
        <x:v>02162.HK</x:v>
      </x:c>
      <x:c r="B4143" s="11" t="str">
        <x:v>一年</x:v>
      </x:c>
      <x:c r="C4143" s="11" t="str">
        <x:v>CM310_approved</x:v>
      </x:c>
      <x:c r="D4143" s="11" t="str">
        <x:v>2029-12-31</x:v>
      </x:c>
      <x:c r="E4143" s="11" t="str">
        <x:v>CNY</x:v>
      </x:c>
      <x:c r="F4143" s="11" t="n">
        <x:v>2.2286105407255303</x:v>
      </x:c>
      <x:c r="G4143" s="26" t="b">
        <x:v>1</x:v>
      </x:c>
      <x:c r="H4143" s="16" t="n">
        <x:v>1.2</x:v>
      </x:c>
      <x:c r="I4143" s="16" t="n">
        <x:v>2.6</x:v>
      </x:c>
      <x:c r="J4143" s="16" t="n">
        <x:v>3.65</x:v>
      </x:c>
      <x:c r="K4143" s="11" t="n">
        <x:f>CHOOSE('假设'!$B$3,H4143,I4143,J4143)</x:f>
        <x:v>2.6</x:v>
      </x:c>
      <x:c r="L4143" s="11" t="n">
        <x:f>K4143*'管线假设'!E895*'管线假设'!F895*'管线假设'!G895*IF(E4143="USD",'管线假设'!I895,1)-AM4143</x:f>
        <x:v>1.1049</x:v>
      </x:c>
      <x:c r="M4143" s="11" t="n">
        <x:f>'管线假设'!H895</x:f>
        <x:v>0.14</x:v>
      </x:c>
      <x:c r="N4143" s="11" t="n">
        <x:f>IF(G4143,L4143*AN4143/(1+M4143)^F4143,0)</x:f>
        <x:v>0.8250955067461614</x:v>
      </x:c>
      <x:c r="AJ4143" s="42" t="n">
        <x:v>0.025</x:v>
      </x:c>
      <x:c r="AK4143" s="42" t="n">
        <x:v>0.03</x:v>
      </x:c>
      <x:c r="AL4143" s="42" t="n">
        <x:v>0.04</x:v>
      </x:c>
      <x:c r="AM4143" t="n">
        <x:f>CHOOSE('假设'!$B$3,AJ4143,AK4143,AL4143)</x:f>
        <x:v>0.03</x:v>
      </x:c>
      <x:c r="AN4143" t="n">
        <x:v>1</x:v>
      </x:c>
    </x:row>
    <x:row r="4144" ht="23" customHeight="1">
      <x:c r="A4144" s="11" t="str">
        <x:v>02162.HK</x:v>
      </x:c>
      <x:c r="B4144" s="11" t="str">
        <x:v>一年</x:v>
      </x:c>
      <x:c r="C4144" s="11" t="str">
        <x:v>CM310_approved</x:v>
      </x:c>
      <x:c r="D4144" s="11" t="str">
        <x:v>2030-12-31</x:v>
      </x:c>
      <x:c r="E4144" s="11" t="str">
        <x:v>CNY</x:v>
      </x:c>
      <x:c r="F4144" s="11" t="n">
        <x:v>3.2279260780287475</x:v>
      </x:c>
      <x:c r="G4144" s="26" t="b">
        <x:v>1</x:v>
      </x:c>
      <x:c r="H4144" s="16" t="n">
        <x:v>1.3</x:v>
      </x:c>
      <x:c r="I4144" s="16" t="n">
        <x:v>3.25</x:v>
      </x:c>
      <x:c r="J4144" s="16" t="n">
        <x:v>4.8</x:v>
      </x:c>
      <x:c r="K4144" s="11" t="n">
        <x:f>CHOOSE('假设'!$B$3,H4144,I4144,J4144)</x:f>
        <x:v>3.25</x:v>
      </x:c>
      <x:c r="L4144" s="11" t="n">
        <x:f>K4144*'管线假设'!E895*'管线假设'!F895*'管线假设'!G895*IF(E4144="USD",'管线假设'!I895,1)-AM4144</x:f>
        <x:v>1.388625</x:v>
      </x:c>
      <x:c r="M4144" s="11" t="n">
        <x:f>'管线假设'!H895</x:f>
        <x:v>0.14</x:v>
      </x:c>
      <x:c r="N4144" s="11" t="n">
        <x:f>IF(G4144,L4144*AN4144/(1+M4144)^F4144,0)</x:f>
        <x:v>0.9097044647216226</x:v>
      </x:c>
      <x:c r="AJ4144" s="42" t="n">
        <x:v>0.02</x:v>
      </x:c>
      <x:c r="AK4144" s="42" t="n">
        <x:v>0.03</x:v>
      </x:c>
      <x:c r="AL4144" s="42" t="n">
        <x:v>0.04</x:v>
      </x:c>
      <x:c r="AM4144" t="n">
        <x:f>CHOOSE('假设'!$B$3,AJ4144,AK4144,AL4144)</x:f>
        <x:v>0.03</x:v>
      </x:c>
      <x:c r="AN4144" t="n">
        <x:v>1</x:v>
      </x:c>
    </x:row>
    <x:row r="4145" ht="23" customHeight="1">
      <x:c r="A4145" s="11" t="str">
        <x:v>02162.HK</x:v>
      </x:c>
      <x:c r="B4145" s="11" t="str">
        <x:v>一年</x:v>
      </x:c>
      <x:c r="C4145" s="11" t="str">
        <x:v>CM310_approved</x:v>
      </x:c>
      <x:c r="D4145" s="11" t="str">
        <x:v>2031-12-31</x:v>
      </x:c>
      <x:c r="E4145" s="11" t="str">
        <x:v>CNY</x:v>
      </x:c>
      <x:c r="F4145" s="11" t="n">
        <x:v>4.227241615331964</x:v>
      </x:c>
      <x:c r="G4145" s="26" t="b">
        <x:v>1</x:v>
      </x:c>
      <x:c r="H4145" s="16" t="n">
        <x:v>1.4</x:v>
      </x:c>
      <x:c r="I4145" s="16" t="n">
        <x:v>3.9</x:v>
      </x:c>
      <x:c r="J4145" s="16" t="n">
        <x:v>5.7</x:v>
      </x:c>
      <x:c r="K4145" s="11" t="n">
        <x:f>CHOOSE('假设'!$B$3,H4145,I4145,J4145)</x:f>
        <x:v>3.9</x:v>
      </x:c>
      <x:c r="L4145" s="11" t="n">
        <x:f>K4145*'管线假设'!E895*'管线假设'!F895*'管线假设'!G895*IF(E4145="USD",'管线假设'!I895,1)-AM4145</x:f>
        <x:v>1.70235</x:v>
      </x:c>
      <x:c r="M4145" s="11" t="n">
        <x:f>'管线假设'!H895</x:f>
        <x:v>0.14</x:v>
      </x:c>
      <x:c r="N4145" s="11" t="n">
        <x:f>IF(G4145,L4145*AN4145/(1+M4145)^F4145,0)</x:f>
        <x:v>0.9783591237062823</x:v>
      </x:c>
      <x:c r="AJ4145" s="42" t="n">
        <x:v>0</x:v>
      </x:c>
      <x:c r="AK4145" s="42" t="n">
        <x:v>0</x:v>
      </x:c>
      <x:c r="AL4145" s="42" t="n">
        <x:v>0</x:v>
      </x:c>
      <x:c r="AM4145" t="n">
        <x:f>CHOOSE('假设'!$B$3,AJ4145,AK4145,AL4145)</x:f>
        <x:v>0</x:v>
      </x:c>
      <x:c r="AN4145" t="n">
        <x:v>1</x:v>
      </x:c>
    </x:row>
    <x:row r="4146" ht="23" customHeight="1">
      <x:c r="A4146" s="11" t="str">
        <x:v>02162.HK</x:v>
      </x:c>
      <x:c r="B4146" s="11" t="str">
        <x:v>一年</x:v>
      </x:c>
      <x:c r="C4146" s="11" t="str">
        <x:v>CM310_approved</x:v>
      </x:c>
      <x:c r="D4146" s="11" t="str">
        <x:v>2032-12-31</x:v>
      </x:c>
      <x:c r="E4146" s="11" t="str">
        <x:v>CNY</x:v>
      </x:c>
      <x:c r="F4146" s="11" t="n">
        <x:v>5.229295003422314</x:v>
      </x:c>
      <x:c r="G4146" s="26" t="b">
        <x:v>1</x:v>
      </x:c>
      <x:c r="H4146" s="16" t="n">
        <x:v>1.45</x:v>
      </x:c>
      <x:c r="I4146" s="16" t="n">
        <x:v>4.4</x:v>
      </x:c>
      <x:c r="J4146" s="16" t="n">
        <x:v>6.5</x:v>
      </x:c>
      <x:c r="K4146" s="11" t="n">
        <x:f>CHOOSE('假设'!$B$3,H4146,I4146,J4146)</x:f>
        <x:v>4.4</x:v>
      </x:c>
      <x:c r="L4146" s="11" t="n">
        <x:f>K4146*'管线假设'!E895*'管线假设'!F895*'管线假设'!G895*IF(E4146="USD",'管线假设'!I895,1)-AM4146</x:f>
        <x:v>1.9205999999999999</x:v>
      </x:c>
      <x:c r="M4146" s="11" t="n">
        <x:f>'管线假设'!H895</x:f>
        <x:v>0.14</x:v>
      </x:c>
      <x:c r="N4146" s="11" t="n">
        <x:f>IF(G4146,L4146*AN4146/(1+M4146)^F4146,0)</x:f>
        <x:v>0.9679761787988989</x:v>
      </x:c>
      <x:c r="AJ4146" s="42" t="n">
        <x:v>0</x:v>
      </x:c>
      <x:c r="AK4146" s="42" t="n">
        <x:v>0</x:v>
      </x:c>
      <x:c r="AL4146" s="42" t="n">
        <x:v>0</x:v>
      </x:c>
      <x:c r="AM4146" t="n">
        <x:f>CHOOSE('假设'!$B$3,AJ4146,AK4146,AL4146)</x:f>
        <x:v>0</x:v>
      </x:c>
      <x:c r="AN4146" t="n">
        <x:v>1</x:v>
      </x:c>
    </x:row>
    <x:row r="4147" ht="23" customHeight="1">
      <x:c r="A4147" s="11" t="str">
        <x:v>02162.HK</x:v>
      </x:c>
      <x:c r="B4147" s="11" t="str">
        <x:v>一年</x:v>
      </x:c>
      <x:c r="C4147" s="11" t="str">
        <x:v>CM310_approved</x:v>
      </x:c>
      <x:c r="D4147" s="11" t="str">
        <x:v>2033-12-31</x:v>
      </x:c>
      <x:c r="E4147" s="11" t="str">
        <x:v>CNY</x:v>
      </x:c>
      <x:c r="F4147" s="11" t="n">
        <x:v>6.228610540725531</x:v>
      </x:c>
      <x:c r="G4147" s="26" t="b">
        <x:v>1</x:v>
      </x:c>
      <x:c r="H4147" s="16" t="n">
        <x:v>1.45</x:v>
      </x:c>
      <x:c r="I4147" s="16" t="n">
        <x:v>4.8</x:v>
      </x:c>
      <x:c r="J4147" s="16" t="n">
        <x:v>7.1</x:v>
      </x:c>
      <x:c r="K4147" s="11" t="n">
        <x:f>CHOOSE('假设'!$B$3,H4147,I4147,J4147)</x:f>
        <x:v>4.8</x:v>
      </x:c>
      <x:c r="L4147" s="11" t="n">
        <x:f>K4147*'管线假设'!E895*'管线假设'!F895*'管线假设'!G895*IF(E4147="USD",'管线假设'!I895,1)-AM4147</x:f>
        <x:v>2.0951999999999997</x:v>
      </x:c>
      <x:c r="M4147" s="11" t="n">
        <x:f>'管线假设'!H895</x:f>
        <x:v>0.14</x:v>
      </x:c>
      <x:c r="N4147" s="11" t="n">
        <x:f>IF(G4147,L4147*AN4147/(1+M4147)^F4147,0)</x:f>
        <x:v>0.9263760714130574</x:v>
      </x:c>
      <x:c r="AJ4147" s="42" t="n">
        <x:v>0</x:v>
      </x:c>
      <x:c r="AK4147" s="42" t="n">
        <x:v>0</x:v>
      </x:c>
      <x:c r="AL4147" s="42" t="n">
        <x:v>0</x:v>
      </x:c>
      <x:c r="AM4147" t="n">
        <x:f>CHOOSE('假设'!$B$3,AJ4147,AK4147,AL4147)</x:f>
        <x:v>0</x:v>
      </x:c>
      <x:c r="AN4147" t="n">
        <x:v>1</x:v>
      </x:c>
    </x:row>
    <x:row r="4148" ht="23" customHeight="1">
      <x:c r="A4148" s="11" t="str">
        <x:v>02162.HK</x:v>
      </x:c>
      <x:c r="B4148" s="11" t="str">
        <x:v>一年</x:v>
      </x:c>
      <x:c r="C4148" s="11" t="str">
        <x:v>CM310_approved</x:v>
      </x:c>
      <x:c r="D4148" s="11" t="str">
        <x:v>2034-12-31</x:v>
      </x:c>
      <x:c r="E4148" s="11" t="str">
        <x:v>CNY</x:v>
      </x:c>
      <x:c r="F4148" s="11" t="n">
        <x:v>7.227926078028747</x:v>
      </x:c>
      <x:c r="G4148" s="26" t="b">
        <x:v>1</x:v>
      </x:c>
      <x:c r="H4148" s="16" t="n">
        <x:v>1.4</x:v>
      </x:c>
      <x:c r="I4148" s="16" t="n">
        <x:v>5</x:v>
      </x:c>
      <x:c r="J4148" s="16" t="n">
        <x:v>7.5</x:v>
      </x:c>
      <x:c r="K4148" s="11" t="n">
        <x:f>CHOOSE('假设'!$B$3,H4148,I4148,J4148)</x:f>
        <x:v>5</x:v>
      </x:c>
      <x:c r="L4148" s="11" t="n">
        <x:f>K4148*'管线假设'!E895*'管线假设'!F895*'管线假设'!G895*IF(E4148="USD",'管线假设'!I895,1)-AM4148</x:f>
        <x:v>2.1825</x:v>
      </x:c>
      <x:c r="M4148" s="11" t="n">
        <x:f>'管线假设'!H895</x:f>
        <x:v>0.14</x:v>
      </x:c>
      <x:c r="N4148" s="11" t="n">
        <x:f>IF(G4148,L4148*AN4148/(1+M4148)^F4148,0)</x:f>
        <x:v>0.8465452816257516</x:v>
      </x:c>
      <x:c r="AJ4148" s="42" t="n">
        <x:v>0</x:v>
      </x:c>
      <x:c r="AK4148" s="42" t="n">
        <x:v>0</x:v>
      </x:c>
      <x:c r="AL4148" s="42" t="n">
        <x:v>0</x:v>
      </x:c>
      <x:c r="AM4148" t="n">
        <x:f>CHOOSE('假设'!$B$3,AJ4148,AK4148,AL4148)</x:f>
        <x:v>0</x:v>
      </x:c>
      <x:c r="AN4148" t="n">
        <x:v>1</x:v>
      </x:c>
    </x:row>
    <x:row r="4149" ht="23" customHeight="1">
      <x:c r="A4149" s="11" t="str">
        <x:v>02162.HK</x:v>
      </x:c>
      <x:c r="B4149" s="11" t="str">
        <x:v>一年</x:v>
      </x:c>
      <x:c r="C4149" s="11" t="str">
        <x:v>CM310_approved</x:v>
      </x:c>
      <x:c r="D4149" s="11" t="str">
        <x:v>2035-12-31</x:v>
      </x:c>
      <x:c r="E4149" s="11" t="str">
        <x:v>CNY</x:v>
      </x:c>
      <x:c r="F4149" s="11" t="n">
        <x:v>8.227241615331964</x:v>
      </x:c>
      <x:c r="G4149" s="26" t="b">
        <x:v>1</x:v>
      </x:c>
      <x:c r="H4149" s="16" t="n">
        <x:v>1.3</x:v>
      </x:c>
      <x:c r="I4149" s="16" t="n">
        <x:v>5</x:v>
      </x:c>
      <x:c r="J4149" s="16" t="n">
        <x:v>7.5</x:v>
      </x:c>
      <x:c r="K4149" s="11" t="n">
        <x:f>CHOOSE('假设'!$B$3,H4149,I4149,J4149)</x:f>
        <x:v>5</x:v>
      </x:c>
      <x:c r="L4149" s="11" t="n">
        <x:f>K4149*'管线假设'!E895*'管线假设'!F895*'管线假设'!G895*IF(E4149="USD",'管线假设'!I895,1)-AM4149</x:f>
        <x:v>2.1825</x:v>
      </x:c>
      <x:c r="M4149" s="11" t="n">
        <x:f>'管线假设'!H895</x:f>
        <x:v>0.14</x:v>
      </x:c>
      <x:c r="N4149" s="11" t="n">
        <x:f>IF(G4149,L4149*AN4149/(1+M4149)^F4149,0)</x:f>
        <x:v>0.7426501811944501</x:v>
      </x:c>
      <x:c r="AJ4149" s="42" t="n">
        <x:v>0</x:v>
      </x:c>
      <x:c r="AK4149" s="42" t="n">
        <x:v>0</x:v>
      </x:c>
      <x:c r="AL4149" s="42" t="n">
        <x:v>0</x:v>
      </x:c>
      <x:c r="AM4149" t="n">
        <x:f>CHOOSE('假设'!$B$3,AJ4149,AK4149,AL4149)</x:f>
        <x:v>0</x:v>
      </x:c>
      <x:c r="AN4149" t="n">
        <x:v>1</x:v>
      </x:c>
    </x:row>
    <x:row r="4150" ht="23" customHeight="1">
      <x:c r="A4150" s="11" t="str">
        <x:v>02162.HK</x:v>
      </x:c>
      <x:c r="B4150" s="11" t="str">
        <x:v>一年</x:v>
      </x:c>
      <x:c r="C4150" s="11" t="str">
        <x:v>CM310_approved</x:v>
      </x:c>
      <x:c r="D4150" s="11" t="str">
        <x:v>2036-12-31</x:v>
      </x:c>
      <x:c r="E4150" s="11" t="str">
        <x:v>CNY</x:v>
      </x:c>
      <x:c r="F4150" s="11" t="n">
        <x:v>9.229295003422314</x:v>
      </x:c>
      <x:c r="G4150" s="26" t="b">
        <x:v>1</x:v>
      </x:c>
      <x:c r="H4150" s="16" t="n">
        <x:v>1.2</x:v>
      </x:c>
      <x:c r="I4150" s="16" t="n">
        <x:v>4.9</x:v>
      </x:c>
      <x:c r="J4150" s="16" t="n">
        <x:v>7.3</x:v>
      </x:c>
      <x:c r="K4150" s="11" t="n">
        <x:f>CHOOSE('假设'!$B$3,H4150,I4150,J4150)</x:f>
        <x:v>4.9</x:v>
      </x:c>
      <x:c r="L4150" s="11" t="n">
        <x:f>K4150*'管线假设'!E895*'管线假设'!F895*'管线假设'!G895*IF(E4150="USD",'管线假设'!I895,1)-AM4150</x:f>
        <x:v>2.13885</x:v>
      </x:c>
      <x:c r="M4150" s="11" t="n">
        <x:f>'管线假设'!H895</x:f>
        <x:v>0.14</x:v>
      </x:c>
      <x:c r="N4150" s="11" t="n">
        <x:f>IF(G4150,L4150*AN4150/(1+M4150)^F4150,0)</x:f>
        <x:v>0.6382468322072369</x:v>
      </x:c>
      <x:c r="AJ4150" s="42" t="n">
        <x:v>0</x:v>
      </x:c>
      <x:c r="AK4150" s="42" t="n">
        <x:v>0</x:v>
      </x:c>
      <x:c r="AL4150" s="42" t="n">
        <x:v>0</x:v>
      </x:c>
      <x:c r="AM4150" t="n">
        <x:f>CHOOSE('假设'!$B$3,AJ4150,AK4150,AL4150)</x:f>
        <x:v>0</x:v>
      </x:c>
      <x:c r="AN4150" t="n">
        <x:v>1</x:v>
      </x:c>
    </x:row>
    <x:row r="4151" ht="23" customHeight="1">
      <x:c r="A4151" s="11" t="str">
        <x:v>02162.HK</x:v>
      </x:c>
      <x:c r="B4151" s="11" t="str">
        <x:v>一年</x:v>
      </x:c>
      <x:c r="C4151" s="11" t="str">
        <x:v>CM310_approved</x:v>
      </x:c>
      <x:c r="D4151" s="11" t="str">
        <x:v>2037-12-31</x:v>
      </x:c>
      <x:c r="E4151" s="11" t="str">
        <x:v>CNY</x:v>
      </x:c>
      <x:c r="F4151" s="11" t="n">
        <x:v>10.22861054072553</x:v>
      </x:c>
      <x:c r="G4151" s="26" t="b">
        <x:v>1</x:v>
      </x:c>
      <x:c r="H4151" s="16" t="n">
        <x:v>1.1</x:v>
      </x:c>
      <x:c r="I4151" s="16" t="n">
        <x:v>4.6</x:v>
      </x:c>
      <x:c r="J4151" s="16" t="n">
        <x:v>6.9</x:v>
      </x:c>
      <x:c r="K4151" s="11" t="n">
        <x:f>CHOOSE('假设'!$B$3,H4151,I4151,J4151)</x:f>
        <x:v>4.6</x:v>
      </x:c>
      <x:c r="L4151" s="11" t="n">
        <x:f>K4151*'管线假设'!E895*'管线假设'!F895*'管线假设'!G895*IF(E4151="USD",'管线假设'!I895,1)-AM4151</x:f>
        <x:v>2.0079</x:v>
      </x:c>
      <x:c r="M4151" s="11" t="n">
        <x:f>'管线假设'!H895</x:f>
        <x:v>0.14</x:v>
      </x:c>
      <x:c r="N4151" s="11" t="n">
        <x:f>IF(G4151,L4151*AN4151/(1+M4151)^F4151,0)</x:f>
        <x:v>0.5256352929233766</x:v>
      </x:c>
      <x:c r="AJ4151" s="42" t="n">
        <x:v>0</x:v>
      </x:c>
      <x:c r="AK4151" s="42" t="n">
        <x:v>0</x:v>
      </x:c>
      <x:c r="AL4151" s="42" t="n">
        <x:v>0</x:v>
      </x:c>
      <x:c r="AM4151" t="n">
        <x:f>CHOOSE('假设'!$B$3,AJ4151,AK4151,AL4151)</x:f>
        <x:v>0</x:v>
      </x:c>
      <x:c r="AN4151" t="n">
        <x:v>1</x:v>
      </x:c>
    </x:row>
    <x:row r="4152" ht="23" customHeight="1">
      <x:c r="A4152" s="11" t="str">
        <x:v>02162.HK</x:v>
      </x:c>
      <x:c r="B4152" s="11" t="str">
        <x:v>一年</x:v>
      </x:c>
      <x:c r="C4152" s="11" t="str">
        <x:v>CM310_approved</x:v>
      </x:c>
      <x:c r="D4152" s="11" t="str">
        <x:v>2038-12-31</x:v>
      </x:c>
      <x:c r="E4152" s="11" t="str">
        <x:v>CNY</x:v>
      </x:c>
      <x:c r="F4152" s="11" t="n">
        <x:v>11.227926078028748</x:v>
      </x:c>
      <x:c r="G4152" s="26" t="b">
        <x:v>1</x:v>
      </x:c>
      <x:c r="H4152" s="16" t="n">
        <x:v>0.9</x:v>
      </x:c>
      <x:c r="I4152" s="16" t="n">
        <x:v>4.2</x:v>
      </x:c>
      <x:c r="J4152" s="16" t="n">
        <x:v>6.2</x:v>
      </x:c>
      <x:c r="K4152" s="11" t="n">
        <x:f>CHOOSE('假设'!$B$3,H4152,I4152,J4152)</x:f>
        <x:v>4.2</x:v>
      </x:c>
      <x:c r="L4152" s="11" t="n">
        <x:f>K4152*'管线假设'!E895*'管线假设'!F895*'管线假设'!G895*IF(E4152="USD",'管线假设'!I895,1)-AM4152</x:f>
        <x:v>1.8333</x:v>
      </x:c>
      <x:c r="M4152" s="11" t="n">
        <x:f>'管线假设'!H895</x:f>
        <x:v>0.14</x:v>
      </x:c>
      <x:c r="N4152" s="11" t="n">
        <x:f>IF(G4152,L4152*AN4152/(1+M4152)^F4152,0)</x:f>
        <x:v>0.421027122727176</x:v>
      </x:c>
      <x:c r="AJ4152" s="42" t="n">
        <x:v>0</x:v>
      </x:c>
      <x:c r="AK4152" s="42" t="n">
        <x:v>0</x:v>
      </x:c>
      <x:c r="AL4152" s="42" t="n">
        <x:v>0</x:v>
      </x:c>
      <x:c r="AM4152" t="n">
        <x:f>CHOOSE('假设'!$B$3,AJ4152,AK4152,AL4152)</x:f>
        <x:v>0</x:v>
      </x:c>
      <x:c r="AN4152" t="n">
        <x:v>1</x:v>
      </x:c>
    </x:row>
    <x:row r="4153" ht="23" customHeight="1">
      <x:c r="A4153" s="11" t="str">
        <x:v>02162.HK</x:v>
      </x:c>
      <x:c r="B4153" s="11" t="str">
        <x:v>一年</x:v>
      </x:c>
      <x:c r="C4153" s="11" t="str">
        <x:v>CM310_approved</x:v>
      </x:c>
      <x:c r="D4153" s="11" t="str">
        <x:v>2039-12-31</x:v>
      </x:c>
      <x:c r="E4153" s="11" t="str">
        <x:v>CNY</x:v>
      </x:c>
      <x:c r="F4153" s="11" t="n">
        <x:v>12.227241615331964</x:v>
      </x:c>
      <x:c r="G4153" s="26" t="b">
        <x:v>1</x:v>
      </x:c>
      <x:c r="H4153" s="16" t="n">
        <x:v>0.7</x:v>
      </x:c>
      <x:c r="I4153" s="16" t="n">
        <x:v>3.6</x:v>
      </x:c>
      <x:c r="J4153" s="16" t="n">
        <x:v>5.3</x:v>
      </x:c>
      <x:c r="K4153" s="11" t="n">
        <x:f>CHOOSE('假设'!$B$3,H4153,I4153,J4153)</x:f>
        <x:v>3.6</x:v>
      </x:c>
      <x:c r="L4153" s="11" t="n">
        <x:f>K4153*'管线假设'!E895*'管线假设'!F895*'管线假设'!G895*IF(E4153="USD",'管线假设'!I895,1)-AM4153</x:f>
        <x:v>1.5714000000000001</x:v>
      </x:c>
      <x:c r="M4153" s="11" t="n">
        <x:f>'管线假设'!H895</x:f>
        <x:v>0.14</x:v>
      </x:c>
      <x:c r="N4153" s="11" t="n">
        <x:f>IF(G4153,L4153*AN4153/(1+M4153)^F4153,0)</x:f>
        <x:v>0.3165901381948547</x:v>
      </x:c>
      <x:c r="AJ4153" s="42" t="n">
        <x:v>0</x:v>
      </x:c>
      <x:c r="AK4153" s="42" t="n">
        <x:v>0</x:v>
      </x:c>
      <x:c r="AL4153" s="42" t="n">
        <x:v>0</x:v>
      </x:c>
      <x:c r="AM4153" t="n">
        <x:f>CHOOSE('假设'!$B$3,AJ4153,AK4153,AL4153)</x:f>
        <x:v>0</x:v>
      </x:c>
      <x:c r="AN4153" t="n">
        <x:v>1</x:v>
      </x:c>
    </x:row>
    <x:row r="4154" ht="23" customHeight="1">
      <x:c r="A4154" s="11" t="str">
        <x:v>02162.HK</x:v>
      </x:c>
      <x:c r="B4154" s="11" t="str">
        <x:v>一年</x:v>
      </x:c>
      <x:c r="C4154" s="11" t="str">
        <x:v>CM310_approved</x:v>
      </x:c>
      <x:c r="D4154" s="11" t="str">
        <x:v>2040-12-31</x:v>
      </x:c>
      <x:c r="E4154" s="11" t="str">
        <x:v>CNY</x:v>
      </x:c>
      <x:c r="F4154" s="11" t="n">
        <x:v>13.229295003422314</x:v>
      </x:c>
      <x:c r="G4154" s="26" t="b">
        <x:v>1</x:v>
      </x:c>
      <x:c r="H4154" s="16" t="n">
        <x:v>0.5</x:v>
      </x:c>
      <x:c r="I4154" s="16" t="n">
        <x:v>2.9</x:v>
      </x:c>
      <x:c r="J4154" s="16" t="n">
        <x:v>4.3</x:v>
      </x:c>
      <x:c r="K4154" s="11" t="n">
        <x:f>CHOOSE('假设'!$B$3,H4154,I4154,J4154)</x:f>
        <x:v>2.9</x:v>
      </x:c>
      <x:c r="L4154" s="11" t="n">
        <x:f>K4154*'管线假设'!E895*'管线假设'!F895*'管线假设'!G895*IF(E4154="USD",'管线假设'!I895,1)-AM4154</x:f>
        <x:v>1.26585</x:v>
      </x:c>
      <x:c r="M4154" s="11" t="n">
        <x:f>'管线假设'!H895</x:f>
        <x:v>0.14</x:v>
      </x:c>
      <x:c r="N4154" s="11" t="n">
        <x:f>IF(G4154,L4154*AN4154/(1+M4154)^F4154,0)</x:f>
        <x:v>0.22365117309945431</x:v>
      </x:c>
      <x:c r="AJ4154" s="42" t="n">
        <x:v>0</x:v>
      </x:c>
      <x:c r="AK4154" s="42" t="n">
        <x:v>0</x:v>
      </x:c>
      <x:c r="AL4154" s="42" t="n">
        <x:v>0</x:v>
      </x:c>
      <x:c r="AM4154" t="n">
        <x:f>CHOOSE('假设'!$B$3,AJ4154,AK4154,AL4154)</x:f>
        <x:v>0</x:v>
      </x:c>
      <x:c r="AN4154" t="n">
        <x:v>1</x:v>
      </x:c>
    </x:row>
    <x:row r="4155" ht="23" customHeight="1">
      <x:c r="A4155" s="11" t="str">
        <x:v>02162.HK</x:v>
      </x:c>
      <x:c r="B4155" s="11" t="str">
        <x:v>一年</x:v>
      </x:c>
      <x:c r="C4155" s="11" t="str">
        <x:v>CM310_approved</x:v>
      </x:c>
      <x:c r="D4155" s="11" t="str">
        <x:v>2041-12-31</x:v>
      </x:c>
      <x:c r="E4155" s="11" t="str">
        <x:v>CNY</x:v>
      </x:c>
      <x:c r="F4155" s="11" t="n">
        <x:v>14.22861054072553</x:v>
      </x:c>
      <x:c r="G4155" s="26" t="b">
        <x:v>1</x:v>
      </x:c>
      <x:c r="H4155" s="16" t="n">
        <x:v>0.35</x:v>
      </x:c>
      <x:c r="I4155" s="16" t="n">
        <x:v>2.2</x:v>
      </x:c>
      <x:c r="J4155" s="16" t="n">
        <x:v>3.3</x:v>
      </x:c>
      <x:c r="K4155" s="11" t="n">
        <x:f>CHOOSE('假设'!$B$3,H4155,I4155,J4155)</x:f>
        <x:v>2.2</x:v>
      </x:c>
      <x:c r="L4155" s="11" t="n">
        <x:f>K4155*'管线假设'!E895*'管线假设'!F895*'管线假设'!G895*IF(E4155="USD",'管线假设'!I895,1)-AM4155</x:f>
        <x:v>0.9602999999999999</x:v>
      </x:c>
      <x:c r="M4155" s="11" t="n">
        <x:f>'管线假设'!H895</x:f>
        <x:v>0.14</x:v>
      </x:c>
      <x:c r="N4155" s="11" t="n">
        <x:f>IF(G4155,L4155*AN4155/(1+M4155)^F4155,0)</x:f>
        <x:v>0.1488435300141726</x:v>
      </x:c>
      <x:c r="AJ4155" s="42" t="n">
        <x:v>0</x:v>
      </x:c>
      <x:c r="AK4155" s="42" t="n">
        <x:v>0</x:v>
      </x:c>
      <x:c r="AL4155" s="42" t="n">
        <x:v>0</x:v>
      </x:c>
      <x:c r="AM4155" t="n">
        <x:f>CHOOSE('假设'!$B$3,AJ4155,AK4155,AL4155)</x:f>
        <x:v>0</x:v>
      </x:c>
      <x:c r="AN4155" t="n">
        <x:v>1</x:v>
      </x:c>
    </x:row>
    <x:row r="4156" ht="23" customHeight="1">
      <x:c r="A4156" s="11" t="str">
        <x:v>02162.HK</x:v>
      </x:c>
      <x:c r="B4156" s="11" t="str">
        <x:v>一年</x:v>
      </x:c>
      <x:c r="C4156" s="11" t="str">
        <x:v>CM310_approved</x:v>
      </x:c>
      <x:c r="D4156" s="11" t="str">
        <x:v>2042-12-31</x:v>
      </x:c>
      <x:c r="E4156" s="11" t="str">
        <x:v>CNY</x:v>
      </x:c>
      <x:c r="F4156" s="11" t="n">
        <x:v>15.227926078028748</x:v>
      </x:c>
      <x:c r="G4156" s="26" t="b">
        <x:v>1</x:v>
      </x:c>
      <x:c r="H4156" s="16" t="n">
        <x:v>0.25</x:v>
      </x:c>
      <x:c r="I4156" s="16" t="n">
        <x:v>1.5</x:v>
      </x:c>
      <x:c r="J4156" s="16" t="n">
        <x:v>2.3</x:v>
      </x:c>
      <x:c r="K4156" s="11" t="n">
        <x:f>CHOOSE('假设'!$B$3,H4156,I4156,J4156)</x:f>
        <x:v>1.5</x:v>
      </x:c>
      <x:c r="L4156" s="11" t="n">
        <x:f>K4156*'管线假设'!E895*'管线假设'!F895*'管线假设'!G895*IF(E4156="USD",'管线假设'!I895,1)-AM4156</x:f>
        <x:v>0.65475</x:v>
      </x:c>
      <x:c r="M4156" s="11" t="n">
        <x:f>'管线假设'!H895</x:f>
        <x:v>0.14</x:v>
      </x:c>
      <x:c r="N4156" s="11" t="n">
        <x:f>IF(G4156,L4156*AN4156/(1+M4156)^F4156,0)</x:f>
        <x:v>0.08902923414452829</x:v>
      </x:c>
      <x:c r="AJ4156" s="42" t="n">
        <x:v>0</x:v>
      </x:c>
      <x:c r="AK4156" s="42" t="n">
        <x:v>0</x:v>
      </x:c>
      <x:c r="AL4156" s="42" t="n">
        <x:v>0</x:v>
      </x:c>
      <x:c r="AM4156" t="n">
        <x:f>CHOOSE('假设'!$B$3,AJ4156,AK4156,AL4156)</x:f>
        <x:v>0</x:v>
      </x:c>
      <x:c r="AN4156" t="n">
        <x:v>1</x:v>
      </x:c>
    </x:row>
    <x:row r="4157" ht="23" customHeight="1">
      <x:c r="A4157" s="11" t="str">
        <x:v>02162.HK</x:v>
      </x:c>
      <x:c r="B4157" s="11" t="str">
        <x:v>一年</x:v>
      </x:c>
      <x:c r="C4157" s="11" t="str">
        <x:v>CM310_approved</x:v>
      </x:c>
      <x:c r="D4157" s="11" t="str">
        <x:v>2043-12-31</x:v>
      </x:c>
      <x:c r="E4157" s="11" t="str">
        <x:v>CNY</x:v>
      </x:c>
      <x:c r="F4157" s="11" t="n">
        <x:v>16.227241615331966</x:v>
      </x:c>
      <x:c r="G4157" s="26" t="b">
        <x:v>1</x:v>
      </x:c>
      <x:c r="H4157" s="16" t="n">
        <x:v>0.15</x:v>
      </x:c>
      <x:c r="I4157" s="16" t="n">
        <x:v>0.9</x:v>
      </x:c>
      <x:c r="J4157" s="16" t="n">
        <x:v>1.4</x:v>
      </x:c>
      <x:c r="K4157" s="11" t="n">
        <x:f>CHOOSE('假设'!$B$3,H4157,I4157,J4157)</x:f>
        <x:v>0.9</x:v>
      </x:c>
      <x:c r="L4157" s="11" t="n">
        <x:f>K4157*'管线假设'!E895*'管线假设'!F895*'管线假设'!G895*IF(E4157="USD",'管线假设'!I895,1)-AM4157</x:f>
        <x:v>0.39285000000000003</x:v>
      </x:c>
      <x:c r="M4157" s="11" t="n">
        <x:f>'管线假设'!H895</x:f>
        <x:v>0.14</x:v>
      </x:c>
      <x:c r="N4157" s="11" t="n">
        <x:f>IF(G4157,L4157*AN4157/(1+M4157)^F4157,0)</x:f>
        <x:v>0.04686169420876904</x:v>
      </x:c>
      <x:c r="AJ4157" s="42" t="n">
        <x:v>0</x:v>
      </x:c>
      <x:c r="AK4157" s="42" t="n">
        <x:v>0</x:v>
      </x:c>
      <x:c r="AL4157" s="42" t="n">
        <x:v>0</x:v>
      </x:c>
      <x:c r="AM4157" t="n">
        <x:f>CHOOSE('假设'!$B$3,AJ4157,AK4157,AL4157)</x:f>
        <x:v>0</x:v>
      </x:c>
      <x:c r="AN4157" t="n">
        <x:v>1</x:v>
      </x:c>
    </x:row>
    <x:row r="4158" ht="23" customHeight="1">
      <x:c r="A4158" s="11" t="str">
        <x:v>02162.HK</x:v>
      </x:c>
      <x:c r="B4158" s="11" t="str">
        <x:v>一年</x:v>
      </x:c>
      <x:c r="C4158" s="11" t="str">
        <x:v>CM310_approved</x:v>
      </x:c>
      <x:c r="D4158" s="11" t="str">
        <x:v>2044-12-31</x:v>
      </x:c>
      <x:c r="E4158" s="11" t="str">
        <x:v>CNY</x:v>
      </x:c>
      <x:c r="F4158" s="11" t="n">
        <x:v>17.229295003422312</x:v>
      </x:c>
      <x:c r="G4158" s="26" t="b">
        <x:v>1</x:v>
      </x:c>
      <x:c r="H4158" s="16" t="n">
        <x:v>0.1</x:v>
      </x:c>
      <x:c r="I4158" s="16" t="n">
        <x:v>0.5</x:v>
      </x:c>
      <x:c r="J4158" s="16" t="n">
        <x:v>0.8</x:v>
      </x:c>
      <x:c r="K4158" s="11" t="n">
        <x:f>CHOOSE('假设'!$B$3,H4158,I4158,J4158)</x:f>
        <x:v>0.5</x:v>
      </x:c>
      <x:c r="L4158" s="11" t="n">
        <x:f>K4158*'管线假设'!E895*'管线假设'!F895*'管线假设'!G895*IF(E4158="USD",'管线假设'!I895,1)-AM4158</x:f>
        <x:v>0.21825</x:v>
      </x:c>
      <x:c r="M4158" s="11" t="n">
        <x:f>'管线假设'!H895</x:f>
        <x:v>0.14</x:v>
      </x:c>
      <x:c r="N4158" s="11" t="n">
        <x:f>IF(G4158,L4158*AN4158/(1+M4158)^F4158,0)</x:f>
        <x:v>0.02283093941429193</x:v>
      </x:c>
      <x:c r="AJ4158" s="42" t="n">
        <x:v>0</x:v>
      </x:c>
      <x:c r="AK4158" s="42" t="n">
        <x:v>0</x:v>
      </x:c>
      <x:c r="AL4158" s="42" t="n">
        <x:v>0</x:v>
      </x:c>
      <x:c r="AM4158" t="n">
        <x:f>CHOOSE('假设'!$B$3,AJ4158,AK4158,AL4158)</x:f>
        <x:v>0</x:v>
      </x:c>
      <x:c r="AN4158" t="n">
        <x:v>1</x:v>
      </x:c>
    </x:row>
    <x:row r="4159" ht="23" customHeight="1">
      <x:c r="A4159" s="11" t="str">
        <x:v>02162.HK</x:v>
      </x:c>
      <x:c r="B4159" s="11" t="str">
        <x:v>一年</x:v>
      </x:c>
      <x:c r="C4159" s="11" t="str">
        <x:v>CM310_new</x:v>
      </x:c>
      <x:c r="D4159" s="11" t="str">
        <x:v>2026-12-31</x:v>
      </x:c>
      <x:c r="E4159" s="11" t="str">
        <x:v>CNY</x:v>
      </x:c>
      <x:c r="F4159" s="11" t="n">
        <x:v>-0.7720739219712526</x:v>
      </x:c>
      <x:c r="G4159" s="26" t="b">
        <x:v>0</x:v>
      </x:c>
      <x:c r="H4159" s="16" t="n">
        <x:v>0</x:v>
      </x:c>
      <x:c r="I4159" s="16" t="n">
        <x:v>0</x:v>
      </x:c>
      <x:c r="J4159" s="16" t="n">
        <x:v>0</x:v>
      </x:c>
      <x:c r="K4159" s="11" t="n">
        <x:f>CHOOSE('假设'!$B$3,H4159,I4159,J4159)</x:f>
        <x:v>0</x:v>
      </x:c>
      <x:c r="L4159" s="11" t="n">
        <x:f>K4159*'管线假设'!E899*'管线假设'!F899*'管线假设'!G899*IF(E4159="USD",'管线假设'!I899,1)-AM4159</x:f>
        <x:v>-0.05</x:v>
      </x:c>
      <x:c r="M4159" s="11" t="n">
        <x:f>'管线假设'!H899</x:f>
        <x:v>0.14</x:v>
      </x:c>
      <x:c r="N4159" s="11" t="n">
        <x:f>IF(G4159,L4159*AN4159/(1+M4159)^F4159,0)</x:f>
        <x:v>0</x:v>
      </x:c>
      <x:c r="AJ4159" s="42" t="n">
        <x:v>0.04</x:v>
      </x:c>
      <x:c r="AK4159" s="42" t="n">
        <x:v>0.05</x:v>
      </x:c>
      <x:c r="AL4159" s="42" t="n">
        <x:v>0.06</x:v>
      </x:c>
      <x:c r="AM4159" t="n">
        <x:f>CHOOSE('假设'!$B$3,AJ4159,AK4159,AL4159)</x:f>
        <x:v>0.05</x:v>
      </x:c>
      <x:c r="AN4159" t="n">
        <x:v>0</x:v>
      </x:c>
    </x:row>
    <x:row r="4160" ht="23" customHeight="1">
      <x:c r="A4160" s="11" t="str">
        <x:v>02162.HK</x:v>
      </x:c>
      <x:c r="B4160" s="11" t="str">
        <x:v>一年</x:v>
      </x:c>
      <x:c r="C4160" s="11" t="str">
        <x:v>CM310_new</x:v>
      </x:c>
      <x:c r="D4160" s="11" t="str">
        <x:v>2027-12-31</x:v>
      </x:c>
      <x:c r="E4160" s="11" t="str">
        <x:v>CNY</x:v>
      </x:c>
      <x:c r="F4160" s="11" t="n">
        <x:v>0.2272416153319644</x:v>
      </x:c>
      <x:c r="G4160" s="26" t="b">
        <x:v>1</x:v>
      </x:c>
      <x:c r="H4160" s="16" t="n">
        <x:v>0</x:v>
      </x:c>
      <x:c r="I4160" s="16" t="n">
        <x:v>0.06</x:v>
      </x:c>
      <x:c r="J4160" s="16" t="n">
        <x:v>0.108</x:v>
      </x:c>
      <x:c r="K4160" s="11" t="n">
        <x:f>CHOOSE('假设'!$B$3,H4160,I4160,J4160)</x:f>
        <x:v>0.06</x:v>
      </x:c>
      <x:c r="L4160" s="11" t="n">
        <x:f>K4160*'管线假设'!E899*'管线假设'!F899*'管线假设'!G899*IF(E4160="USD",'管线假设'!I899,1)-AM4160</x:f>
        <x:v>-0.0211</x:v>
      </x:c>
      <x:c r="M4160" s="11" t="n">
        <x:f>'管线假设'!H899</x:f>
        <x:v>0.14</x:v>
      </x:c>
      <x:c r="N4160" s="11" t="n">
        <x:f>IF(G4160,L4160*AN4160/(1+M4160)^F4160,0)</x:f>
        <x:v>-0.004670119716786922</x:v>
      </x:c>
      <x:c r="AJ4160" s="42" t="n">
        <x:v>0.02</x:v>
      </x:c>
      <x:c r="AK4160" s="42" t="n">
        <x:v>0.04</x:v>
      </x:c>
      <x:c r="AL4160" s="42" t="n">
        <x:v>0.05</x:v>
      </x:c>
      <x:c r="AM4160" t="n">
        <x:f>CHOOSE('假设'!$B$3,AJ4160,AK4160,AL4160)</x:f>
        <x:v>0.04</x:v>
      </x:c>
      <x:c r="AN4160" t="n">
        <x:v>0.22802197802197802</x:v>
      </x:c>
    </x:row>
    <x:row r="4161" ht="23" customHeight="1">
      <x:c r="A4161" s="11" t="str">
        <x:v>02162.HK</x:v>
      </x:c>
      <x:c r="B4161" s="11" t="str">
        <x:v>一年</x:v>
      </x:c>
      <x:c r="C4161" s="11" t="str">
        <x:v>CM310_new</x:v>
      </x:c>
      <x:c r="D4161" s="11" t="str">
        <x:v>2028-12-31</x:v>
      </x:c>
      <x:c r="E4161" s="11" t="str">
        <x:v>CNY</x:v>
      </x:c>
      <x:c r="F4161" s="11" t="n">
        <x:v>1.2292950034223136</x:v>
      </x:c>
      <x:c r="G4161" s="26" t="b">
        <x:v>1</x:v>
      </x:c>
      <x:c r="H4161" s="16" t="n">
        <x:v>0.024</x:v>
      </x:c>
      <x:c r="I4161" s="16" t="n">
        <x:v>0.18</x:v>
      </x:c>
      <x:c r="J4161" s="16" t="n">
        <x:v>0.324</x:v>
      </x:c>
      <x:c r="K4161" s="11" t="n">
        <x:f>CHOOSE('假设'!$B$3,H4161,I4161,J4161)</x:f>
        <x:v>0.18</x:v>
      </x:c>
      <x:c r="L4161" s="11" t="n">
        <x:f>K4161*'管线假设'!E899*'管线假设'!F899*'管线假设'!G899*IF(E4161="USD",'管线假设'!I899,1)-AM4161</x:f>
        <x:v>0.036699999999999997</x:v>
      </x:c>
      <x:c r="M4161" s="11" t="n">
        <x:f>'管线假设'!H899</x:f>
        <x:v>0.14</x:v>
      </x:c>
      <x:c r="N4161" s="11" t="n">
        <x:f>IF(G4161,L4161*AN4161/(1+M4161)^F4161,0)</x:f>
        <x:v>0.03124015750640834</x:v>
      </x:c>
      <x:c r="AJ4161" s="42" t="n">
        <x:v>0</x:v>
      </x:c>
      <x:c r="AK4161" s="42" t="n">
        <x:v>0.02</x:v>
      </x:c>
      <x:c r="AL4161" s="42" t="n">
        <x:v>0.03</x:v>
      </x:c>
      <x:c r="AM4161" t="n">
        <x:f>CHOOSE('假设'!$B$3,AJ4161,AK4161,AL4161)</x:f>
        <x:v>0.02</x:v>
      </x:c>
      <x:c r="AN4161" t="n">
        <x:v>1</x:v>
      </x:c>
    </x:row>
    <x:row r="4162" ht="23" customHeight="1">
      <x:c r="A4162" s="11" t="str">
        <x:v>02162.HK</x:v>
      </x:c>
      <x:c r="B4162" s="11" t="str">
        <x:v>一年</x:v>
      </x:c>
      <x:c r="C4162" s="11" t="str">
        <x:v>CM310_new</x:v>
      </x:c>
      <x:c r="D4162" s="11" t="str">
        <x:v>2029-12-31</x:v>
      </x:c>
      <x:c r="E4162" s="11" t="str">
        <x:v>CNY</x:v>
      </x:c>
      <x:c r="F4162" s="11" t="n">
        <x:v>2.2286105407255303</x:v>
      </x:c>
      <x:c r="G4162" s="26" t="b">
        <x:v>1</x:v>
      </x:c>
      <x:c r="H4162" s="16" t="n">
        <x:v>0.072</x:v>
      </x:c>
      <x:c r="I4162" s="16" t="n">
        <x:v>0.38</x:v>
      </x:c>
      <x:c r="J4162" s="16" t="n">
        <x:v>0.684</x:v>
      </x:c>
      <x:c r="K4162" s="11" t="n">
        <x:f>CHOOSE('假设'!$B$3,H4162,I4162,J4162)</x:f>
        <x:v>0.38</x:v>
      </x:c>
      <x:c r="L4162" s="11" t="n">
        <x:f>K4162*'管线假设'!E899*'管线假设'!F899*'管线假设'!G899*IF(E4162="USD",'管线假设'!I899,1)-AM4162</x:f>
        <x:v>0.11969999999999999</x:v>
      </x:c>
      <x:c r="M4162" s="11" t="n">
        <x:f>'管线假设'!H899</x:f>
        <x:v>0.14</x:v>
      </x:c>
      <x:c r="N4162" s="11" t="n">
        <x:f>IF(G4162,L4162*AN4162/(1+M4162)^F4162,0)</x:f>
        <x:v>0.08938721346503349</x:v>
      </x:c>
      <x:c r="AJ4162" s="42" t="n">
        <x:v>0</x:v>
      </x:c>
      <x:c r="AK4162" s="42" t="n">
        <x:v>0</x:v>
      </x:c>
      <x:c r="AL4162" s="42" t="n">
        <x:v>0</x:v>
      </x:c>
      <x:c r="AM4162" t="n">
        <x:f>CHOOSE('假设'!$B$3,AJ4162,AK4162,AL4162)</x:f>
        <x:v>0</x:v>
      </x:c>
      <x:c r="AN4162" t="n">
        <x:v>1</x:v>
      </x:c>
    </x:row>
    <x:row r="4163" ht="23" customHeight="1">
      <x:c r="A4163" s="11" t="str">
        <x:v>02162.HK</x:v>
      </x:c>
      <x:c r="B4163" s="11" t="str">
        <x:v>一年</x:v>
      </x:c>
      <x:c r="C4163" s="11" t="str">
        <x:v>CM310_new</x:v>
      </x:c>
      <x:c r="D4163" s="11" t="str">
        <x:v>2030-12-31</x:v>
      </x:c>
      <x:c r="E4163" s="11" t="str">
        <x:v>CNY</x:v>
      </x:c>
      <x:c r="F4163" s="11" t="n">
        <x:v>3.2279260780287475</x:v>
      </x:c>
      <x:c r="G4163" s="26" t="b">
        <x:v>1</x:v>
      </x:c>
      <x:c r="H4163" s="16" t="n">
        <x:v>0.15200000000000002</x:v>
      </x:c>
      <x:c r="I4163" s="16" t="n">
        <x:v>0.65</x:v>
      </x:c>
      <x:c r="J4163" s="16" t="n">
        <x:v>1.1700000000000002</x:v>
      </x:c>
      <x:c r="K4163" s="11" t="n">
        <x:f>CHOOSE('假设'!$B$3,H4163,I4163,J4163)</x:f>
        <x:v>0.65</x:v>
      </x:c>
      <x:c r="L4163" s="11" t="n">
        <x:f>K4163*'管线假设'!E899*'管线假设'!F899*'管线假设'!G899*IF(E4163="USD",'管线假设'!I899,1)-AM4163</x:f>
        <x:v>0.20475</x:v>
      </x:c>
      <x:c r="M4163" s="11" t="n">
        <x:f>'管线假设'!H899</x:f>
        <x:v>0.14</x:v>
      </x:c>
      <x:c r="N4163" s="11" t="n">
        <x:f>IF(G4163,L4163*AN4163/(1+M4163)^F4163,0)</x:f>
        <x:v>0.1341341176716192</x:v>
      </x:c>
      <x:c r="AJ4163" s="42" t="n">
        <x:v>0</x:v>
      </x:c>
      <x:c r="AK4163" s="42" t="n">
        <x:v>0</x:v>
      </x:c>
      <x:c r="AL4163" s="42" t="n">
        <x:v>0</x:v>
      </x:c>
      <x:c r="AM4163" t="n">
        <x:f>CHOOSE('假设'!$B$3,AJ4163,AK4163,AL4163)</x:f>
        <x:v>0</x:v>
      </x:c>
      <x:c r="AN4163" t="n">
        <x:v>1</x:v>
      </x:c>
    </x:row>
    <x:row r="4164" ht="23" customHeight="1">
      <x:c r="A4164" s="11" t="str">
        <x:v>02162.HK</x:v>
      </x:c>
      <x:c r="B4164" s="11" t="str">
        <x:v>一年</x:v>
      </x:c>
      <x:c r="C4164" s="11" t="str">
        <x:v>CM310_new</x:v>
      </x:c>
      <x:c r="D4164" s="11" t="str">
        <x:v>2031-12-31</x:v>
      </x:c>
      <x:c r="E4164" s="11" t="str">
        <x:v>CNY</x:v>
      </x:c>
      <x:c r="F4164" s="11" t="n">
        <x:v>4.227241615331964</x:v>
      </x:c>
      <x:c r="G4164" s="26" t="b">
        <x:v>1</x:v>
      </x:c>
      <x:c r="H4164" s="16" t="n">
        <x:v>0.26</x:v>
      </x:c>
      <x:c r="I4164" s="16" t="n">
        <x:v>0.85</x:v>
      </x:c>
      <x:c r="J4164" s="16" t="n">
        <x:v>1.53</x:v>
      </x:c>
      <x:c r="K4164" s="11" t="n">
        <x:f>CHOOSE('假设'!$B$3,H4164,I4164,J4164)</x:f>
        <x:v>0.85</x:v>
      </x:c>
      <x:c r="L4164" s="11" t="n">
        <x:f>K4164*'管线假设'!E899*'管线假设'!F899*'管线假设'!G899*IF(E4164="USD",'管线假设'!I899,1)-AM4164</x:f>
        <x:v>0.26775</x:v>
      </x:c>
      <x:c r="M4164" s="11" t="n">
        <x:f>'管线假设'!H899</x:f>
        <x:v>0.14</x:v>
      </x:c>
      <x:c r="N4164" s="11" t="n">
        <x:f>IF(G4164,L4164*AN4164/(1+M4164)^F4164,0)</x:f>
        <x:v>0.15387884710685645</x:v>
      </x:c>
      <x:c r="AJ4164" s="42" t="n">
        <x:v>0</x:v>
      </x:c>
      <x:c r="AK4164" s="42" t="n">
        <x:v>0</x:v>
      </x:c>
      <x:c r="AL4164" s="42" t="n">
        <x:v>0</x:v>
      </x:c>
      <x:c r="AM4164" t="n">
        <x:f>CHOOSE('假设'!$B$3,AJ4164,AK4164,AL4164)</x:f>
        <x:v>0</x:v>
      </x:c>
      <x:c r="AN4164" t="n">
        <x:v>1</x:v>
      </x:c>
    </x:row>
    <x:row r="4165" ht="23" customHeight="1">
      <x:c r="A4165" s="11" t="str">
        <x:v>02162.HK</x:v>
      </x:c>
      <x:c r="B4165" s="11" t="str">
        <x:v>一年</x:v>
      </x:c>
      <x:c r="C4165" s="11" t="str">
        <x:v>CM310_new</x:v>
      </x:c>
      <x:c r="D4165" s="11" t="str">
        <x:v>2032-12-31</x:v>
      </x:c>
      <x:c r="E4165" s="11" t="str">
        <x:v>CNY</x:v>
      </x:c>
      <x:c r="F4165" s="11" t="n">
        <x:v>5.229295003422314</x:v>
      </x:c>
      <x:c r="G4165" s="26" t="b">
        <x:v>1</x:v>
      </x:c>
      <x:c r="H4165" s="16" t="n">
        <x:v>0.34</x:v>
      </x:c>
      <x:c r="I4165" s="16" t="n">
        <x:v>1</x:v>
      </x:c>
      <x:c r="J4165" s="16" t="n">
        <x:v>1.8</x:v>
      </x:c>
      <x:c r="K4165" s="11" t="n">
        <x:f>CHOOSE('假设'!$B$3,H4165,I4165,J4165)</x:f>
        <x:v>1</x:v>
      </x:c>
      <x:c r="L4165" s="11" t="n">
        <x:f>K4165*'管线假设'!E899*'管线假设'!F899*'管线假设'!G899*IF(E4165="USD",'管线假设'!I899,1)-AM4165</x:f>
        <x:v>0.315</x:v>
      </x:c>
      <x:c r="M4165" s="11" t="n">
        <x:f>'管线假设'!H899</x:f>
        <x:v>0.14</x:v>
      </x:c>
      <x:c r="N4165" s="11" t="n">
        <x:f>IF(G4165,L4165*AN4165/(1+M4165)^F4165,0)</x:f>
        <x:v>0.15875897965305277</x:v>
      </x:c>
      <x:c r="AJ4165" s="42" t="n">
        <x:v>0</x:v>
      </x:c>
      <x:c r="AK4165" s="42" t="n">
        <x:v>0</x:v>
      </x:c>
      <x:c r="AL4165" s="42" t="n">
        <x:v>0</x:v>
      </x:c>
      <x:c r="AM4165" t="n">
        <x:f>CHOOSE('假设'!$B$3,AJ4165,AK4165,AL4165)</x:f>
        <x:v>0</x:v>
      </x:c>
      <x:c r="AN4165" t="n">
        <x:v>1</x:v>
      </x:c>
    </x:row>
    <x:row r="4166" ht="23" customHeight="1">
      <x:c r="A4166" s="11" t="str">
        <x:v>02162.HK</x:v>
      </x:c>
      <x:c r="B4166" s="11" t="str">
        <x:v>一年</x:v>
      </x:c>
      <x:c r="C4166" s="11" t="str">
        <x:v>CM310_new</x:v>
      </x:c>
      <x:c r="D4166" s="11" t="str">
        <x:v>2033-12-31</x:v>
      </x:c>
      <x:c r="E4166" s="11" t="str">
        <x:v>CNY</x:v>
      </x:c>
      <x:c r="F4166" s="11" t="n">
        <x:v>6.228610540725531</x:v>
      </x:c>
      <x:c r="G4166" s="26" t="b">
        <x:v>1</x:v>
      </x:c>
      <x:c r="H4166" s="16" t="n">
        <x:v>0.4</x:v>
      </x:c>
      <x:c r="I4166" s="16" t="n">
        <x:v>1</x:v>
      </x:c>
      <x:c r="J4166" s="16" t="n">
        <x:v>1.8</x:v>
      </x:c>
      <x:c r="K4166" s="11" t="n">
        <x:f>CHOOSE('假设'!$B$3,H4166,I4166,J4166)</x:f>
        <x:v>1</x:v>
      </x:c>
      <x:c r="L4166" s="11" t="n">
        <x:f>K4166*'管线假设'!E899*'管线假设'!F899*'管线假设'!G899*IF(E4166="USD",'管线假设'!I899,1)-AM4166</x:f>
        <x:v>0.315</x:v>
      </x:c>
      <x:c r="M4166" s="11" t="n">
        <x:f>'管线假设'!H899</x:f>
        <x:v>0.14</x:v>
      </x:c>
      <x:c r="N4166" s="11" t="n">
        <x:f>IF(G4166,L4166*AN4166/(1+M4166)^F4166,0)</x:f>
        <x:v>0.13927475300454045</x:v>
      </x:c>
      <x:c r="AJ4166" s="42" t="n">
        <x:v>0</x:v>
      </x:c>
      <x:c r="AK4166" s="42" t="n">
        <x:v>0</x:v>
      </x:c>
      <x:c r="AL4166" s="42" t="n">
        <x:v>0</x:v>
      </x:c>
      <x:c r="AM4166" t="n">
        <x:f>CHOOSE('假设'!$B$3,AJ4166,AK4166,AL4166)</x:f>
        <x:v>0</x:v>
      </x:c>
      <x:c r="AN4166" t="n">
        <x:v>1</x:v>
      </x:c>
    </x:row>
    <x:row r="4167" ht="23" customHeight="1">
      <x:c r="A4167" s="11" t="str">
        <x:v>02162.HK</x:v>
      </x:c>
      <x:c r="B4167" s="11" t="str">
        <x:v>一年</x:v>
      </x:c>
      <x:c r="C4167" s="11" t="str">
        <x:v>CM310_new</x:v>
      </x:c>
      <x:c r="D4167" s="11" t="str">
        <x:v>2034-12-31</x:v>
      </x:c>
      <x:c r="E4167" s="11" t="str">
        <x:v>CNY</x:v>
      </x:c>
      <x:c r="F4167" s="11" t="n">
        <x:v>7.227926078028747</x:v>
      </x:c>
      <x:c r="G4167" s="26" t="b">
        <x:v>1</x:v>
      </x:c>
      <x:c r="H4167" s="16" t="n">
        <x:v>0.4</x:v>
      </x:c>
      <x:c r="I4167" s="16" t="n">
        <x:v>0.95</x:v>
      </x:c>
      <x:c r="J4167" s="16" t="n">
        <x:v>1.71</x:v>
      </x:c>
      <x:c r="K4167" s="11" t="n">
        <x:f>CHOOSE('假设'!$B$3,H4167,I4167,J4167)</x:f>
        <x:v>0.95</x:v>
      </x:c>
      <x:c r="L4167" s="11" t="n">
        <x:f>K4167*'管线假设'!E899*'管线假设'!F899*'管线假设'!G899*IF(E4167="USD",'管线假设'!I899,1)-AM4167</x:f>
        <x:v>0.29924999999999996</x:v>
      </x:c>
      <x:c r="M4167" s="11" t="n">
        <x:f>'管线假设'!H899</x:f>
        <x:v>0.14</x:v>
      </x:c>
      <x:c r="N4167" s="11" t="n">
        <x:f>IF(G4167,L4167*AN4167/(1+M4167)^F4167,0)</x:f>
        <x:v>0.1160727035631185</x:v>
      </x:c>
      <x:c r="AJ4167" s="42" t="n">
        <x:v>0</x:v>
      </x:c>
      <x:c r="AK4167" s="42" t="n">
        <x:v>0</x:v>
      </x:c>
      <x:c r="AL4167" s="42" t="n">
        <x:v>0</x:v>
      </x:c>
      <x:c r="AM4167" t="n">
        <x:f>CHOOSE('假设'!$B$3,AJ4167,AK4167,AL4167)</x:f>
        <x:v>0</x:v>
      </x:c>
      <x:c r="AN4167" t="n">
        <x:v>1</x:v>
      </x:c>
    </x:row>
    <x:row r="4168" ht="23" customHeight="1">
      <x:c r="A4168" s="11" t="str">
        <x:v>02162.HK</x:v>
      </x:c>
      <x:c r="B4168" s="11" t="str">
        <x:v>一年</x:v>
      </x:c>
      <x:c r="C4168" s="11" t="str">
        <x:v>CM310_new</x:v>
      </x:c>
      <x:c r="D4168" s="11" t="str">
        <x:v>2035-12-31</x:v>
      </x:c>
      <x:c r="E4168" s="11" t="str">
        <x:v>CNY</x:v>
      </x:c>
      <x:c r="F4168" s="11" t="n">
        <x:v>8.227241615331964</x:v>
      </x:c>
      <x:c r="G4168" s="26" t="b">
        <x:v>1</x:v>
      </x:c>
      <x:c r="H4168" s="16" t="n">
        <x:v>0.38</x:v>
      </x:c>
      <x:c r="I4168" s="16" t="n">
        <x:v>0.9</x:v>
      </x:c>
      <x:c r="J4168" s="16" t="n">
        <x:v>1.62</x:v>
      </x:c>
      <x:c r="K4168" s="11" t="n">
        <x:f>CHOOSE('假设'!$B$3,H4168,I4168,J4168)</x:f>
        <x:v>0.9</x:v>
      </x:c>
      <x:c r="L4168" s="11" t="n">
        <x:f>K4168*'管线假设'!E899*'管线假设'!F899*'管线假设'!G899*IF(E4168="USD",'管线假设'!I899,1)-AM4168</x:f>
        <x:v>0.28350000000000003</x:v>
      </x:c>
      <x:c r="M4168" s="11" t="n">
        <x:f>'管线假设'!H899</x:f>
        <x:v>0.14</x:v>
      </x:c>
      <x:c r="N4168" s="11" t="n">
        <x:f>IF(G4168,L4168*AN4168/(1+M4168)^F4168,0)</x:f>
        <x:v>0.09646796168092858</x:v>
      </x:c>
      <x:c r="AJ4168" s="42" t="n">
        <x:v>0</x:v>
      </x:c>
      <x:c r="AK4168" s="42" t="n">
        <x:v>0</x:v>
      </x:c>
      <x:c r="AL4168" s="42" t="n">
        <x:v>0</x:v>
      </x:c>
      <x:c r="AM4168" t="n">
        <x:f>CHOOSE('假设'!$B$3,AJ4168,AK4168,AL4168)</x:f>
        <x:v>0</x:v>
      </x:c>
      <x:c r="AN4168" t="n">
        <x:v>1</x:v>
      </x:c>
    </x:row>
    <x:row r="4169" ht="23" customHeight="1">
      <x:c r="A4169" s="11" t="str">
        <x:v>02162.HK</x:v>
      </x:c>
      <x:c r="B4169" s="11" t="str">
        <x:v>一年</x:v>
      </x:c>
      <x:c r="C4169" s="11" t="str">
        <x:v>CM310_new</x:v>
      </x:c>
      <x:c r="D4169" s="11" t="str">
        <x:v>2036-12-31</x:v>
      </x:c>
      <x:c r="E4169" s="11" t="str">
        <x:v>CNY</x:v>
      </x:c>
      <x:c r="F4169" s="11" t="n">
        <x:v>9.229295003422314</x:v>
      </x:c>
      <x:c r="G4169" s="26" t="b">
        <x:v>1</x:v>
      </x:c>
      <x:c r="H4169" s="16" t="n">
        <x:v>0.36000000000000004</x:v>
      </x:c>
      <x:c r="I4169" s="16" t="n">
        <x:v>0.8</x:v>
      </x:c>
      <x:c r="J4169" s="16" t="n">
        <x:v>1.4400000000000002</x:v>
      </x:c>
      <x:c r="K4169" s="11" t="n">
        <x:f>CHOOSE('假设'!$B$3,H4169,I4169,J4169)</x:f>
        <x:v>0.8</x:v>
      </x:c>
      <x:c r="L4169" s="11" t="n">
        <x:f>K4169*'管线假设'!E899*'管线假设'!F899*'管线假设'!G899*IF(E4169="USD",'管线假设'!I899,1)-AM4169</x:f>
        <x:v>0.252</x:v>
      </x:c>
      <x:c r="M4169" s="11" t="n">
        <x:f>'管线假设'!H899</x:f>
        <x:v>0.14</x:v>
      </x:c>
      <x:c r="N4169" s="11" t="n">
        <x:f>IF(G4169,L4169*AN4169/(1+M4169)^F4169,0)</x:f>
        <x:v>0.0751984485663902</x:v>
      </x:c>
      <x:c r="AJ4169" s="42" t="n">
        <x:v>0</x:v>
      </x:c>
      <x:c r="AK4169" s="42" t="n">
        <x:v>0</x:v>
      </x:c>
      <x:c r="AL4169" s="42" t="n">
        <x:v>0</x:v>
      </x:c>
      <x:c r="AM4169" t="n">
        <x:f>CHOOSE('假设'!$B$3,AJ4169,AK4169,AL4169)</x:f>
        <x:v>0</x:v>
      </x:c>
      <x:c r="AN4169" t="n">
        <x:v>1</x:v>
      </x:c>
    </x:row>
    <x:row r="4170" ht="23" customHeight="1">
      <x:c r="A4170" s="11" t="str">
        <x:v>02162.HK</x:v>
      </x:c>
      <x:c r="B4170" s="11" t="str">
        <x:v>一年</x:v>
      </x:c>
      <x:c r="C4170" s="11" t="str">
        <x:v>CM310_new</x:v>
      </x:c>
      <x:c r="D4170" s="11" t="str">
        <x:v>2037-12-31</x:v>
      </x:c>
      <x:c r="E4170" s="11" t="str">
        <x:v>CNY</x:v>
      </x:c>
      <x:c r="F4170" s="11" t="n">
        <x:v>10.22861054072553</x:v>
      </x:c>
      <x:c r="G4170" s="26" t="b">
        <x:v>1</x:v>
      </x:c>
      <x:c r="H4170" s="16" t="n">
        <x:v>0.32000000000000006</x:v>
      </x:c>
      <x:c r="I4170" s="16" t="n">
        <x:v>0.65</x:v>
      </x:c>
      <x:c r="J4170" s="16" t="n">
        <x:v>1.1700000000000002</x:v>
      </x:c>
      <x:c r="K4170" s="11" t="n">
        <x:f>CHOOSE('假设'!$B$3,H4170,I4170,J4170)</x:f>
        <x:v>0.65</x:v>
      </x:c>
      <x:c r="L4170" s="11" t="n">
        <x:f>K4170*'管线假设'!E899*'管线假设'!F899*'管线假设'!G899*IF(E4170="USD",'管线假设'!I899,1)-AM4170</x:f>
        <x:v>0.20475</x:v>
      </x:c>
      <x:c r="M4170" s="11" t="n">
        <x:f>'管线假设'!H899</x:f>
        <x:v>0.14</x:v>
      </x:c>
      <x:c r="N4170" s="11" t="n">
        <x:f>IF(G4170,L4170*AN4170/(1+M4170)^F4170,0)</x:f>
        <x:v>0.053600192353235404</x:v>
      </x:c>
      <x:c r="AJ4170" s="42" t="n">
        <x:v>0</x:v>
      </x:c>
      <x:c r="AK4170" s="42" t="n">
        <x:v>0</x:v>
      </x:c>
      <x:c r="AL4170" s="42" t="n">
        <x:v>0</x:v>
      </x:c>
      <x:c r="AM4170" t="n">
        <x:f>CHOOSE('假设'!$B$3,AJ4170,AK4170,AL4170)</x:f>
        <x:v>0</x:v>
      </x:c>
      <x:c r="AN4170" t="n">
        <x:v>1</x:v>
      </x:c>
    </x:row>
    <x:row r="4171" ht="23" customHeight="1">
      <x:c r="A4171" s="11" t="str">
        <x:v>02162.HK</x:v>
      </x:c>
      <x:c r="B4171" s="11" t="str">
        <x:v>一年</x:v>
      </x:c>
      <x:c r="C4171" s="11" t="str">
        <x:v>CM310_new</x:v>
      </x:c>
      <x:c r="D4171" s="11" t="str">
        <x:v>2038-12-31</x:v>
      </x:c>
      <x:c r="E4171" s="11" t="str">
        <x:v>CNY</x:v>
      </x:c>
      <x:c r="F4171" s="11" t="n">
        <x:v>11.227926078028748</x:v>
      </x:c>
      <x:c r="G4171" s="26" t="b">
        <x:v>1</x:v>
      </x:c>
      <x:c r="H4171" s="16" t="n">
        <x:v>0.26</x:v>
      </x:c>
      <x:c r="I4171" s="16" t="n">
        <x:v>0.5</x:v>
      </x:c>
      <x:c r="J4171" s="16" t="n">
        <x:v>0.9</x:v>
      </x:c>
      <x:c r="K4171" s="11" t="n">
        <x:f>CHOOSE('假设'!$B$3,H4171,I4171,J4171)</x:f>
        <x:v>0.5</x:v>
      </x:c>
      <x:c r="L4171" s="11" t="n">
        <x:f>K4171*'管线假设'!E899*'管线假设'!F899*'管线假设'!G899*IF(E4171="USD",'管线假设'!I899,1)-AM4171</x:f>
        <x:v>0.1575</x:v>
      </x:c>
      <x:c r="M4171" s="11" t="n">
        <x:f>'管线假设'!H899</x:f>
        <x:v>0.14</x:v>
      </x:c>
      <x:c r="N4171" s="11" t="n">
        <x:f>IF(G4171,L4171*AN4171/(1+M4171)^F4171,0)</x:f>
        <x:v>0.03617071501092577</x:v>
      </x:c>
      <x:c r="AJ4171" s="42" t="n">
        <x:v>0</x:v>
      </x:c>
      <x:c r="AK4171" s="42" t="n">
        <x:v>0</x:v>
      </x:c>
      <x:c r="AL4171" s="42" t="n">
        <x:v>0</x:v>
      </x:c>
      <x:c r="AM4171" t="n">
        <x:f>CHOOSE('假设'!$B$3,AJ4171,AK4171,AL4171)</x:f>
        <x:v>0</x:v>
      </x:c>
      <x:c r="AN4171" t="n">
        <x:v>1</x:v>
      </x:c>
    </x:row>
    <x:row r="4172" ht="23" customHeight="1">
      <x:c r="A4172" s="11" t="str">
        <x:v>02162.HK</x:v>
      </x:c>
      <x:c r="B4172" s="11" t="str">
        <x:v>一年</x:v>
      </x:c>
      <x:c r="C4172" s="11" t="str">
        <x:v>CM310_new</x:v>
      </x:c>
      <x:c r="D4172" s="11" t="str">
        <x:v>2039-12-31</x:v>
      </x:c>
      <x:c r="E4172" s="11" t="str">
        <x:v>CNY</x:v>
      </x:c>
      <x:c r="F4172" s="11" t="n">
        <x:v>12.227241615331964</x:v>
      </x:c>
      <x:c r="G4172" s="26" t="b">
        <x:v>1</x:v>
      </x:c>
      <x:c r="H4172" s="16" t="n">
        <x:v>0.2</x:v>
      </x:c>
      <x:c r="I4172" s="16" t="n">
        <x:v>0.35</x:v>
      </x:c>
      <x:c r="J4172" s="16" t="n">
        <x:v>0.63</x:v>
      </x:c>
      <x:c r="K4172" s="11" t="n">
        <x:f>CHOOSE('假设'!$B$3,H4172,I4172,J4172)</x:f>
        <x:v>0.35</x:v>
      </x:c>
      <x:c r="L4172" s="11" t="n">
        <x:f>K4172*'管线假设'!E899*'管线假设'!F899*'管线假设'!G899*IF(E4172="USD",'管线假设'!I899,1)-AM4172</x:f>
        <x:v>0.11024999999999999</x:v>
      </x:c>
      <x:c r="M4172" s="11" t="n">
        <x:f>'管线假设'!H899</x:f>
        <x:v>0.14</x:v>
      </x:c>
      <x:c r="N4172" s="11" t="n">
        <x:f>IF(G4172,L4172*AN4172/(1+M4172)^F4172,0)</x:f>
        <x:v>0.022212080142537054</x:v>
      </x:c>
      <x:c r="AJ4172" s="42" t="n">
        <x:v>0</x:v>
      </x:c>
      <x:c r="AK4172" s="42" t="n">
        <x:v>0</x:v>
      </x:c>
      <x:c r="AL4172" s="42" t="n">
        <x:v>0</x:v>
      </x:c>
      <x:c r="AM4172" t="n">
        <x:f>CHOOSE('假设'!$B$3,AJ4172,AK4172,AL4172)</x:f>
        <x:v>0</x:v>
      </x:c>
      <x:c r="AN4172" t="n">
        <x:v>1</x:v>
      </x:c>
    </x:row>
    <x:row r="4173" ht="23" customHeight="1">
      <x:c r="A4173" s="11" t="str">
        <x:v>02162.HK</x:v>
      </x:c>
      <x:c r="B4173" s="11" t="str">
        <x:v>一年</x:v>
      </x:c>
      <x:c r="C4173" s="11" t="str">
        <x:v>CM310_new</x:v>
      </x:c>
      <x:c r="D4173" s="11" t="str">
        <x:v>2040-12-31</x:v>
      </x:c>
      <x:c r="E4173" s="11" t="str">
        <x:v>CNY</x:v>
      </x:c>
      <x:c r="F4173" s="11" t="n">
        <x:v>13.229295003422314</x:v>
      </x:c>
      <x:c r="G4173" s="26" t="b">
        <x:v>1</x:v>
      </x:c>
      <x:c r="H4173" s="16" t="n">
        <x:v>0.13999999999999999</x:v>
      </x:c>
      <x:c r="I4173" s="16" t="n">
        <x:v>0.2</x:v>
      </x:c>
      <x:c r="J4173" s="16" t="n">
        <x:v>0.36000000000000004</x:v>
      </x:c>
      <x:c r="K4173" s="11" t="n">
        <x:f>CHOOSE('假设'!$B$3,H4173,I4173,J4173)</x:f>
        <x:v>0.2</x:v>
      </x:c>
      <x:c r="L4173" s="11" t="n">
        <x:f>K4173*'管线假设'!E899*'管线假设'!F899*'管线假设'!G899*IF(E4173="USD",'管线假设'!I899,1)-AM4173</x:f>
        <x:v>0.063</x:v>
      </x:c>
      <x:c r="M4173" s="11" t="n">
        <x:f>'管线假设'!H899</x:f>
        <x:v>0.14</x:v>
      </x:c>
      <x:c r="N4173" s="11" t="n">
        <x:f>IF(G4173,L4173*AN4173/(1+M4173)^F4173,0)</x:f>
        <x:v>0.01113087957124906</x:v>
      </x:c>
      <x:c r="AJ4173" s="42" t="n">
        <x:v>0</x:v>
      </x:c>
      <x:c r="AK4173" s="42" t="n">
        <x:v>0</x:v>
      </x:c>
      <x:c r="AL4173" s="42" t="n">
        <x:v>0</x:v>
      </x:c>
      <x:c r="AM4173" t="n">
        <x:f>CHOOSE('假设'!$B$3,AJ4173,AK4173,AL4173)</x:f>
        <x:v>0</x:v>
      </x:c>
      <x:c r="AN4173" t="n">
        <x:v>1</x:v>
      </x:c>
    </x:row>
    <x:row r="4174" ht="23" customHeight="1">
      <x:c r="A4174" s="11" t="str">
        <x:v>02162.HK</x:v>
      </x:c>
      <x:c r="B4174" s="11" t="str">
        <x:v>一年</x:v>
      </x:c>
      <x:c r="C4174" s="11" t="str">
        <x:v>CM310_new</x:v>
      </x:c>
      <x:c r="D4174" s="11" t="str">
        <x:v>2041-12-31</x:v>
      </x:c>
      <x:c r="E4174" s="11" t="str">
        <x:v>CNY</x:v>
      </x:c>
      <x:c r="F4174" s="11" t="n">
        <x:v>14.22861054072553</x:v>
      </x:c>
      <x:c r="G4174" s="26" t="b">
        <x:v>1</x:v>
      </x:c>
      <x:c r="H4174" s="16" t="n">
        <x:v>0.08000000000000002</x:v>
      </x:c>
      <x:c r="I4174" s="16" t="n">
        <x:v>0.12</x:v>
      </x:c>
      <x:c r="J4174" s="16" t="n">
        <x:v>0.216</x:v>
      </x:c>
      <x:c r="K4174" s="11" t="n">
        <x:f>CHOOSE('假设'!$B$3,H4174,I4174,J4174)</x:f>
        <x:v>0.12</x:v>
      </x:c>
      <x:c r="L4174" s="11" t="n">
        <x:f>K4174*'管线假设'!E899*'管线假设'!F899*'管线假设'!G899*IF(E4174="USD",'管线假设'!I899,1)-AM4174</x:f>
        <x:v>0.0378</x:v>
      </x:c>
      <x:c r="M4174" s="11" t="n">
        <x:f>'管线假设'!H899</x:f>
        <x:v>0.14</x:v>
      </x:c>
      <x:c r="N4174" s="11" t="n">
        <x:f>IF(G4174,L4174*AN4174/(1+M4174)^F4174,0)</x:f>
        <x:v>0.005858883093341378</x:v>
      </x:c>
      <x:c r="AJ4174" s="42" t="n">
        <x:v>0</x:v>
      </x:c>
      <x:c r="AK4174" s="42" t="n">
        <x:v>0</x:v>
      </x:c>
      <x:c r="AL4174" s="42" t="n">
        <x:v>0</x:v>
      </x:c>
      <x:c r="AM4174" t="n">
        <x:f>CHOOSE('假设'!$B$3,AJ4174,AK4174,AL4174)</x:f>
        <x:v>0</x:v>
      </x:c>
      <x:c r="AN4174" t="n">
        <x:v>1</x:v>
      </x:c>
    </x:row>
    <x:row r="4175" ht="23" customHeight="1">
      <x:c r="A4175" s="11" t="str">
        <x:v>02162.HK</x:v>
      </x:c>
      <x:c r="B4175" s="11" t="str">
        <x:v>一年</x:v>
      </x:c>
      <x:c r="C4175" s="11" t="str">
        <x:v>CM310_new</x:v>
      </x:c>
      <x:c r="D4175" s="11" t="str">
        <x:v>2042-12-31</x:v>
      </x:c>
      <x:c r="E4175" s="11" t="str">
        <x:v>CNY</x:v>
      </x:c>
      <x:c r="F4175" s="11" t="n">
        <x:v>15.227926078028748</x:v>
      </x:c>
      <x:c r="G4175" s="26" t="b">
        <x:v>1</x:v>
      </x:c>
      <x:c r="H4175" s="16" t="n">
        <x:v>0.048</x:v>
      </x:c>
      <x:c r="I4175" s="16" t="n">
        <x:v>0.07</x:v>
      </x:c>
      <x:c r="J4175" s="16" t="n">
        <x:v>0.12600000000000003</x:v>
      </x:c>
      <x:c r="K4175" s="11" t="n">
        <x:f>CHOOSE('假设'!$B$3,H4175,I4175,J4175)</x:f>
        <x:v>0.07</x:v>
      </x:c>
      <x:c r="L4175" s="11" t="n">
        <x:f>K4175*'管线假设'!E899*'管线假设'!F899*'管线假设'!G899*IF(E4175="USD",'管线假设'!I899,1)-AM4175</x:f>
        <x:v>0.02205</x:v>
      </x:c>
      <x:c r="M4175" s="11" t="n">
        <x:f>'管线假设'!H899</x:f>
        <x:v>0.14</x:v>
      </x:c>
      <x:c r="N4175" s="11" t="n">
        <x:f>IF(G4175,L4175*AN4175/(1+M4175)^F4175,0)</x:f>
        <x:v>0.0029982353766885815</x:v>
      </x:c>
      <x:c r="AJ4175" s="42" t="n">
        <x:v>0</x:v>
      </x:c>
      <x:c r="AK4175" s="42" t="n">
        <x:v>0</x:v>
      </x:c>
      <x:c r="AL4175" s="42" t="n">
        <x:v>0</x:v>
      </x:c>
      <x:c r="AM4175" t="n">
        <x:f>CHOOSE('假设'!$B$3,AJ4175,AK4175,AL4175)</x:f>
        <x:v>0</x:v>
      </x:c>
      <x:c r="AN4175" t="n">
        <x:v>1</x:v>
      </x:c>
    </x:row>
    <x:row r="4176" ht="23" customHeight="1">
      <x:c r="A4176" s="11" t="str">
        <x:v>02162.HK</x:v>
      </x:c>
      <x:c r="B4176" s="11" t="str">
        <x:v>一年</x:v>
      </x:c>
      <x:c r="C4176" s="11" t="str">
        <x:v>CM310_new</x:v>
      </x:c>
      <x:c r="D4176" s="11" t="str">
        <x:v>2043-12-31</x:v>
      </x:c>
      <x:c r="E4176" s="11" t="str">
        <x:v>CNY</x:v>
      </x:c>
      <x:c r="F4176" s="11" t="n">
        <x:v>16.227241615331966</x:v>
      </x:c>
      <x:c r="G4176" s="26" t="b">
        <x:v>1</x:v>
      </x:c>
      <x:c r="H4176" s="16" t="n">
        <x:v>0.028000000000000004</x:v>
      </x:c>
      <x:c r="I4176" s="16" t="n">
        <x:v>0.03</x:v>
      </x:c>
      <x:c r="J4176" s="16" t="n">
        <x:v>0.054</x:v>
      </x:c>
      <x:c r="K4176" s="11" t="n">
        <x:f>CHOOSE('假设'!$B$3,H4176,I4176,J4176)</x:f>
        <x:v>0.03</x:v>
      </x:c>
      <x:c r="L4176" s="11" t="n">
        <x:f>K4176*'管线假设'!E899*'管线假设'!F899*'管线假设'!G899*IF(E4176="USD",'管线假设'!I899,1)-AM4176</x:f>
        <x:v>0.00945</x:v>
      </x:c>
      <x:c r="M4176" s="11" t="n">
        <x:f>'管线假设'!H899</x:f>
        <x:v>0.14</x:v>
      </x:c>
      <x:c r="N4176" s="11" t="n">
        <x:f>IF(G4176,L4176*AN4176/(1+M4176)^F4176,0)</x:f>
        <x:v>0.00112725724900819</x:v>
      </x:c>
      <x:c r="AJ4176" s="42" t="n">
        <x:v>0</x:v>
      </x:c>
      <x:c r="AK4176" s="42" t="n">
        <x:v>0</x:v>
      </x:c>
      <x:c r="AL4176" s="42" t="n">
        <x:v>0</x:v>
      </x:c>
      <x:c r="AM4176" t="n">
        <x:f>CHOOSE('假设'!$B$3,AJ4176,AK4176,AL4176)</x:f>
        <x:v>0</x:v>
      </x:c>
      <x:c r="AN4176" t="n">
        <x:v>1</x:v>
      </x:c>
    </x:row>
    <x:row r="4177" ht="23" customHeight="1">
      <x:c r="A4177" s="11" t="str">
        <x:v>02162.HK</x:v>
      </x:c>
      <x:c r="B4177" s="11" t="str">
        <x:v>一年</x:v>
      </x:c>
      <x:c r="C4177" s="11" t="str">
        <x:v>CM310_new</x:v>
      </x:c>
      <x:c r="D4177" s="11" t="str">
        <x:v>2044-12-31</x:v>
      </x:c>
      <x:c r="E4177" s="11" t="str">
        <x:v>CNY</x:v>
      </x:c>
      <x:c r="F4177" s="11" t="n">
        <x:v>17.229295003422312</x:v>
      </x:c>
      <x:c r="G4177" s="26" t="b">
        <x:v>1</x:v>
      </x:c>
      <x:c r="H4177" s="16" t="n">
        <x:v>0.012</x:v>
      </x:c>
      <x:c r="I4177" s="16" t="n">
        <x:v>0.03</x:v>
      </x:c>
      <x:c r="J4177" s="16" t="n">
        <x:v>0.054</x:v>
      </x:c>
      <x:c r="K4177" s="11" t="n">
        <x:f>CHOOSE('假设'!$B$3,H4177,I4177,J4177)</x:f>
        <x:v>0.03</x:v>
      </x:c>
      <x:c r="L4177" s="11" t="n">
        <x:f>K4177*'管线假设'!E899*'管线假设'!F899*'管线假设'!G899*IF(E4177="USD",'管线假设'!I899,1)-AM4177</x:f>
        <x:v>0.00945</x:v>
      </x:c>
      <x:c r="M4177" s="11" t="n">
        <x:f>'管线假设'!H899</x:f>
        <x:v>0.14</x:v>
      </x:c>
      <x:c r="N4177" s="11" t="n">
        <x:f>IF(G4177,L4177*AN4177/(1+M4177)^F4177,0)</x:f>
        <x:v>0.000988556139587898</x:v>
      </x:c>
      <x:c r="AJ4177" s="42" t="n">
        <x:v>0</x:v>
      </x:c>
      <x:c r="AK4177" s="42" t="n">
        <x:v>0</x:v>
      </x:c>
      <x:c r="AL4177" s="42" t="n">
        <x:v>0</x:v>
      </x:c>
      <x:c r="AM4177" t="n">
        <x:f>CHOOSE('假设'!$B$3,AJ4177,AK4177,AL4177)</x:f>
        <x:v>0</x:v>
      </x:c>
      <x:c r="AN4177" t="n">
        <x:v>1</x:v>
      </x:c>
    </x:row>
    <x:row r="4178" ht="23" customHeight="1">
      <x:c r="A4178" s="11" t="str">
        <x:v>02162.HK</x:v>
      </x:c>
      <x:c r="B4178" s="11" t="str">
        <x:v>一年</x:v>
      </x:c>
      <x:c r="C4178" s="11" t="str">
        <x:v>CM512_CRSwNP</x:v>
      </x:c>
      <x:c r="D4178" s="11" t="str">
        <x:v>2026-12-31</x:v>
      </x:c>
      <x:c r="E4178" s="11" t="str">
        <x:v>CNY</x:v>
      </x:c>
      <x:c r="F4178" s="11" t="n">
        <x:v>-0.7720739219712526</x:v>
      </x:c>
      <x:c r="G4178" s="26" t="b">
        <x:v>0</x:v>
      </x:c>
      <x:c r="H4178" s="16" t="n">
        <x:v>0</x:v>
      </x:c>
      <x:c r="I4178" s="16" t="n">
        <x:v>0</x:v>
      </x:c>
      <x:c r="J4178" s="16" t="n">
        <x:v>0</x:v>
      </x:c>
      <x:c r="K4178" s="11" t="n">
        <x:f>CHOOSE('假设'!$B$3,H4178,I4178,J4178)</x:f>
        <x:v>0</x:v>
      </x:c>
      <x:c r="L4178" s="11" t="n">
        <x:f>K4178*'管线假设'!E903*'管线假设'!F903*'管线假设'!G903*IF(E4178="USD",'管线假设'!I903,1)-AM4178</x:f>
        <x:v>-0.06</x:v>
      </x:c>
      <x:c r="M4178" s="11" t="n">
        <x:f>'管线假设'!H903</x:f>
        <x:v>0.14</x:v>
      </x:c>
      <x:c r="N4178" s="11" t="n">
        <x:f>IF(G4178,L4178*AN4178/(1+M4178)^F4178,0)</x:f>
        <x:v>0</x:v>
      </x:c>
      <x:c r="AJ4178" s="42" t="n">
        <x:v>0.04</x:v>
      </x:c>
      <x:c r="AK4178" s="42" t="n">
        <x:v>0.06</x:v>
      </x:c>
      <x:c r="AL4178" s="42" t="n">
        <x:v>0.1</x:v>
      </x:c>
      <x:c r="AM4178" t="n">
        <x:f>CHOOSE('假设'!$B$3,AJ4178,AK4178,AL4178)</x:f>
        <x:v>0.06</x:v>
      </x:c>
      <x:c r="AN4178" t="n">
        <x:v>0</x:v>
      </x:c>
    </x:row>
    <x:row r="4179" ht="23" customHeight="1">
      <x:c r="A4179" s="11" t="str">
        <x:v>02162.HK</x:v>
      </x:c>
      <x:c r="B4179" s="11" t="str">
        <x:v>一年</x:v>
      </x:c>
      <x:c r="C4179" s="11" t="str">
        <x:v>CM512_CRSwNP</x:v>
      </x:c>
      <x:c r="D4179" s="11" t="str">
        <x:v>2027-12-31</x:v>
      </x:c>
      <x:c r="E4179" s="11" t="str">
        <x:v>CNY</x:v>
      </x:c>
      <x:c r="F4179" s="11" t="n">
        <x:v>0.2272416153319644</x:v>
      </x:c>
      <x:c r="G4179" s="26" t="b">
        <x:v>1</x:v>
      </x:c>
      <x:c r="H4179" s="16" t="n">
        <x:v>0</x:v>
      </x:c>
      <x:c r="I4179" s="16" t="n">
        <x:v>0</x:v>
      </x:c>
      <x:c r="J4179" s="16" t="n">
        <x:v>0</x:v>
      </x:c>
      <x:c r="K4179" s="11" t="n">
        <x:f>CHOOSE('假设'!$B$3,H4179,I4179,J4179)</x:f>
        <x:v>0</x:v>
      </x:c>
      <x:c r="L4179" s="11" t="n">
        <x:f>K4179*'管线假设'!E903*'管线假设'!F903*'管线假设'!G903*IF(E4179="USD",'管线假设'!I903,1)-AM4179</x:f>
        <x:v>-0.1</x:v>
      </x:c>
      <x:c r="M4179" s="11" t="n">
        <x:f>'管线假设'!H903</x:f>
        <x:v>0.14</x:v>
      </x:c>
      <x:c r="N4179" s="11" t="n">
        <x:f>IF(G4179,L4179*AN4179/(1+M4179)^F4179,0)</x:f>
        <x:v>-0.02213326879993802</x:v>
      </x:c>
      <x:c r="AJ4179" s="42" t="n">
        <x:v>0.06</x:v>
      </x:c>
      <x:c r="AK4179" s="42" t="n">
        <x:v>0.1</x:v>
      </x:c>
      <x:c r="AL4179" s="42" t="n">
        <x:v>0.13</x:v>
      </x:c>
      <x:c r="AM4179" t="n">
        <x:f>CHOOSE('假设'!$B$3,AJ4179,AK4179,AL4179)</x:f>
        <x:v>0.1</x:v>
      </x:c>
      <x:c r="AN4179" t="n">
        <x:v>0.22802197802197802</x:v>
      </x:c>
    </x:row>
    <x:row r="4180" ht="23" customHeight="1">
      <x:c r="A4180" s="11" t="str">
        <x:v>02162.HK</x:v>
      </x:c>
      <x:c r="B4180" s="11" t="str">
        <x:v>一年</x:v>
      </x:c>
      <x:c r="C4180" s="11" t="str">
        <x:v>CM512_CRSwNP</x:v>
      </x:c>
      <x:c r="D4180" s="11" t="str">
        <x:v>2028-12-31</x:v>
      </x:c>
      <x:c r="E4180" s="11" t="str">
        <x:v>CNY</x:v>
      </x:c>
      <x:c r="F4180" s="11" t="n">
        <x:v>1.2292950034223136</x:v>
      </x:c>
      <x:c r="G4180" s="26" t="b">
        <x:v>1</x:v>
      </x:c>
      <x:c r="H4180" s="16" t="n">
        <x:v>0</x:v>
      </x:c>
      <x:c r="I4180" s="16" t="n">
        <x:v>0</x:v>
      </x:c>
      <x:c r="J4180" s="16" t="n">
        <x:v>0.36</x:v>
      </x:c>
      <x:c r="K4180" s="11" t="n">
        <x:f>CHOOSE('假设'!$B$3,H4180,I4180,J4180)</x:f>
        <x:v>0</x:v>
      </x:c>
      <x:c r="L4180" s="11" t="n">
        <x:f>K4180*'管线假设'!E903*'管线假设'!F903*'管线假设'!G903*IF(E4180="USD",'管线假设'!I903,1)-AM4180</x:f>
        <x:v>-0.13</x:v>
      </x:c>
      <x:c r="M4180" s="11" t="n">
        <x:f>'管线假设'!H903</x:f>
        <x:v>0.14</x:v>
      </x:c>
      <x:c r="N4180" s="11" t="n">
        <x:f>IF(G4180,L4180*AN4180/(1+M4180)^F4180,0)</x:f>
        <x:v>-0.11065995846956635</x:v>
      </x:c>
      <x:c r="AJ4180" s="42" t="n">
        <x:v>0.07</x:v>
      </x:c>
      <x:c r="AK4180" s="42" t="n">
        <x:v>0.13</x:v>
      </x:c>
      <x:c r="AL4180" s="42" t="n">
        <x:v>0.18</x:v>
      </x:c>
      <x:c r="AM4180" t="n">
        <x:f>CHOOSE('假设'!$B$3,AJ4180,AK4180,AL4180)</x:f>
        <x:v>0.13</x:v>
      </x:c>
      <x:c r="AN4180" t="n">
        <x:v>1</x:v>
      </x:c>
    </x:row>
    <x:row r="4181" ht="23" customHeight="1">
      <x:c r="A4181" s="11" t="str">
        <x:v>02162.HK</x:v>
      </x:c>
      <x:c r="B4181" s="11" t="str">
        <x:v>一年</x:v>
      </x:c>
      <x:c r="C4181" s="11" t="str">
        <x:v>CM512_CRSwNP</x:v>
      </x:c>
      <x:c r="D4181" s="11" t="str">
        <x:v>2029-12-31</x:v>
      </x:c>
      <x:c r="E4181" s="11" t="str">
        <x:v>CNY</x:v>
      </x:c>
      <x:c r="F4181" s="11" t="n">
        <x:v>2.2286105407255303</x:v>
      </x:c>
      <x:c r="G4181" s="26" t="b">
        <x:v>1</x:v>
      </x:c>
      <x:c r="H4181" s="16" t="n">
        <x:v>0</x:v>
      </x:c>
      <x:c r="I4181" s="16" t="n">
        <x:v>0.21</x:v>
      </x:c>
      <x:c r="J4181" s="16" t="n">
        <x:v>1.08</x:v>
      </x:c>
      <x:c r="K4181" s="11" t="n">
        <x:f>CHOOSE('假设'!$B$3,H4181,I4181,J4181)</x:f>
        <x:v>0.21</x:v>
      </x:c>
      <x:c r="L4181" s="11" t="n">
        <x:f>K4181*'管线假设'!E903*'管线假设'!F903*'管线假设'!G903*IF(E4181="USD",'管线假设'!I903,1)-AM4181</x:f>
        <x:v>-0.04750000000000001</x:v>
      </x:c>
      <x:c r="M4181" s="11" t="n">
        <x:f>'管线假设'!H903</x:f>
        <x:v>0.14</x:v>
      </x:c>
      <x:c r="N4181" s="11" t="n">
        <x:f>IF(G4181,L4181*AN4181/(1+M4181)^F4181,0)</x:f>
        <x:v>-0.03547111645437838</x:v>
      </x:c>
      <x:c r="AJ4181" s="42" t="n">
        <x:v>0.04</x:v>
      </x:c>
      <x:c r="AK4181" s="42" t="n">
        <x:v>0.1</x:v>
      </x:c>
      <x:c r="AL4181" s="42" t="n">
        <x:v>0.12</x:v>
      </x:c>
      <x:c r="AM4181" t="n">
        <x:f>CHOOSE('假设'!$B$3,AJ4181,AK4181,AL4181)</x:f>
        <x:v>0.1</x:v>
      </x:c>
      <x:c r="AN4181" t="n">
        <x:v>1</x:v>
      </x:c>
    </x:row>
    <x:row r="4182" ht="23" customHeight="1">
      <x:c r="A4182" s="11" t="str">
        <x:v>02162.HK</x:v>
      </x:c>
      <x:c r="B4182" s="11" t="str">
        <x:v>一年</x:v>
      </x:c>
      <x:c r="C4182" s="11" t="str">
        <x:v>CM512_CRSwNP</x:v>
      </x:c>
      <x:c r="D4182" s="11" t="str">
        <x:v>2030-12-31</x:v>
      </x:c>
      <x:c r="E4182" s="11" t="str">
        <x:v>CNY</x:v>
      </x:c>
      <x:c r="F4182" s="11" t="n">
        <x:v>3.2279260780287475</x:v>
      </x:c>
      <x:c r="G4182" s="26" t="b">
        <x:v>1</x:v>
      </x:c>
      <x:c r="H4182" s="16" t="n">
        <x:v>0.078</x:v>
      </x:c>
      <x:c r="I4182" s="16" t="n">
        <x:v>0.63</x:v>
      </x:c>
      <x:c r="J4182" s="16" t="n">
        <x:v>2.2800000000000002</x:v>
      </x:c>
      <x:c r="K4182" s="11" t="n">
        <x:f>CHOOSE('假设'!$B$3,H4182,I4182,J4182)</x:f>
        <x:v>0.63</x:v>
      </x:c>
      <x:c r="L4182" s="11" t="n">
        <x:f>K4182*'管线假设'!E903*'管线假设'!F903*'管线假设'!G903*IF(E4182="USD",'管线假设'!I903,1)-AM4182</x:f>
        <x:v>0.1175</x:v>
      </x:c>
      <x:c r="M4182" s="11" t="n">
        <x:f>'管线假设'!H903</x:f>
        <x:v>0.14</x:v>
      </x:c>
      <x:c r="N4182" s="11" t="n">
        <x:f>IF(G4182,L4182*AN4182/(1+M4182)^F4182,0)</x:f>
        <x:v>0.0769756230838352</x:v>
      </x:c>
      <x:c r="AJ4182" s="42" t="n">
        <x:v>0</x:v>
      </x:c>
      <x:c r="AK4182" s="42" t="n">
        <x:v>0.04</x:v>
      </x:c>
      <x:c r="AL4182" s="42" t="n">
        <x:v>0.04</x:v>
      </x:c>
      <x:c r="AM4182" t="n">
        <x:f>CHOOSE('假设'!$B$3,AJ4182,AK4182,AL4182)</x:f>
        <x:v>0.04</x:v>
      </x:c>
      <x:c r="AN4182" t="n">
        <x:v>1</x:v>
      </x:c>
    </x:row>
    <x:row r="4183" ht="23" customHeight="1">
      <x:c r="A4183" s="11" t="str">
        <x:v>02162.HK</x:v>
      </x:c>
      <x:c r="B4183" s="11" t="str">
        <x:v>一年</x:v>
      </x:c>
      <x:c r="C4183" s="11" t="str">
        <x:v>CM512_CRSwNP</x:v>
      </x:c>
      <x:c r="D4183" s="11" t="str">
        <x:v>2031-12-31</x:v>
      </x:c>
      <x:c r="E4183" s="11" t="str">
        <x:v>CNY</x:v>
      </x:c>
      <x:c r="F4183" s="11" t="n">
        <x:v>4.227241615331964</x:v>
      </x:c>
      <x:c r="G4183" s="26" t="b">
        <x:v>1</x:v>
      </x:c>
      <x:c r="H4183" s="16" t="n">
        <x:v>0.23399999999999999</x:v>
      </x:c>
      <x:c r="I4183" s="16" t="n">
        <x:v>1.33</x:v>
      </x:c>
      <x:c r="J4183" s="16" t="n">
        <x:v>3.9000000000000004</x:v>
      </x:c>
      <x:c r="K4183" s="11" t="n">
        <x:f>CHOOSE('假设'!$B$3,H4183,I4183,J4183)</x:f>
        <x:v>1.33</x:v>
      </x:c>
      <x:c r="L4183" s="11" t="n">
        <x:f>K4183*'管线假设'!E903*'管线假设'!F903*'管线假设'!G903*IF(E4183="USD",'管线假设'!I903,1)-AM4183</x:f>
        <x:v>0.3325</x:v>
      </x:c>
      <x:c r="M4183" s="11" t="n">
        <x:f>'管线假设'!H903</x:f>
        <x:v>0.14</x:v>
      </x:c>
      <x:c r="N4183" s="11" t="n">
        <x:f>IF(G4183,L4183*AN4183/(1+M4183)^F4183,0)</x:f>
        <x:v>0.19109137876014853</x:v>
      </x:c>
      <x:c r="AJ4183" s="42" t="n">
        <x:v>0</x:v>
      </x:c>
      <x:c r="AK4183" s="42" t="n">
        <x:v>0</x:v>
      </x:c>
      <x:c r="AL4183" s="42" t="n">
        <x:v>0</x:v>
      </x:c>
      <x:c r="AM4183" t="n">
        <x:f>CHOOSE('假设'!$B$3,AJ4183,AK4183,AL4183)</x:f>
        <x:v>0</x:v>
      </x:c>
      <x:c r="AN4183" t="n">
        <x:v>1</x:v>
      </x:c>
    </x:row>
    <x:row r="4184" ht="23" customHeight="1">
      <x:c r="A4184" s="11" t="str">
        <x:v>02162.HK</x:v>
      </x:c>
      <x:c r="B4184" s="11" t="str">
        <x:v>一年</x:v>
      </x:c>
      <x:c r="C4184" s="11" t="str">
        <x:v>CM512_CRSwNP</x:v>
      </x:c>
      <x:c r="D4184" s="11" t="str">
        <x:v>2032-12-31</x:v>
      </x:c>
      <x:c r="E4184" s="11" t="str">
        <x:v>CNY</x:v>
      </x:c>
      <x:c r="F4184" s="11" t="n">
        <x:v>5.229295003422314</x:v>
      </x:c>
      <x:c r="G4184" s="26" t="b">
        <x:v>1</x:v>
      </x:c>
      <x:c r="H4184" s="16" t="n">
        <x:v>0.49400000000000005</x:v>
      </x:c>
      <x:c r="I4184" s="16" t="n">
        <x:v>2.275</x:v>
      </x:c>
      <x:c r="J4184" s="16" t="n">
        <x:v>5.1</x:v>
      </x:c>
      <x:c r="K4184" s="11" t="n">
        <x:f>CHOOSE('假设'!$B$3,H4184,I4184,J4184)</x:f>
        <x:v>2.275</x:v>
      </x:c>
      <x:c r="L4184" s="11" t="n">
        <x:f>K4184*'管线假设'!E903*'管线假设'!F903*'管线假设'!G903*IF(E4184="USD",'管线假设'!I903,1)-AM4184</x:f>
        <x:v>0.56875</x:v>
      </x:c>
      <x:c r="M4184" s="11" t="n">
        <x:f>'管线假设'!H903</x:f>
        <x:v>0.14</x:v>
      </x:c>
      <x:c r="N4184" s="11" t="n">
        <x:f>IF(G4184,L4184*AN4184/(1+M4184)^F4184,0)</x:f>
        <x:v>0.28664815770690083</x:v>
      </x:c>
      <x:c r="AJ4184" s="42" t="n">
        <x:v>0</x:v>
      </x:c>
      <x:c r="AK4184" s="42" t="n">
        <x:v>0</x:v>
      </x:c>
      <x:c r="AL4184" s="42" t="n">
        <x:v>0</x:v>
      </x:c>
      <x:c r="AM4184" t="n">
        <x:f>CHOOSE('假设'!$B$3,AJ4184,AK4184,AL4184)</x:f>
        <x:v>0</x:v>
      </x:c>
      <x:c r="AN4184" t="n">
        <x:v>1</x:v>
      </x:c>
    </x:row>
    <x:row r="4185" ht="23" customHeight="1">
      <x:c r="A4185" s="11" t="str">
        <x:v>02162.HK</x:v>
      </x:c>
      <x:c r="B4185" s="11" t="str">
        <x:v>一年</x:v>
      </x:c>
      <x:c r="C4185" s="11" t="str">
        <x:v>CM512_CRSwNP</x:v>
      </x:c>
      <x:c r="D4185" s="11" t="str">
        <x:v>2033-12-31</x:v>
      </x:c>
      <x:c r="E4185" s="11" t="str">
        <x:v>CNY</x:v>
      </x:c>
      <x:c r="F4185" s="11" t="n">
        <x:v>6.228610540725531</x:v>
      </x:c>
      <x:c r="G4185" s="26" t="b">
        <x:v>1</x:v>
      </x:c>
      <x:c r="H4185" s="16" t="n">
        <x:v>0.8450000000000001</x:v>
      </x:c>
      <x:c r="I4185" s="16" t="n">
        <x:v>2.975</x:v>
      </x:c>
      <x:c r="J4185" s="16" t="n">
        <x:v>6</x:v>
      </x:c>
      <x:c r="K4185" s="11" t="n">
        <x:f>CHOOSE('假设'!$B$3,H4185,I4185,J4185)</x:f>
        <x:v>2.975</x:v>
      </x:c>
      <x:c r="L4185" s="11" t="n">
        <x:f>K4185*'管线假设'!E903*'管线假设'!F903*'管线假设'!G903*IF(E4185="USD",'管线假设'!I903,1)-AM4185</x:f>
        <x:v>0.74375</x:v>
      </x:c>
      <x:c r="M4185" s="11" t="n">
        <x:f>'管线假设'!H903</x:f>
        <x:v>0.14</x:v>
      </x:c>
      <x:c r="N4185" s="11" t="n">
        <x:f>IF(G4185,L4185*AN4185/(1+M4185)^F4185,0)</x:f>
        <x:v>0.32884316681627607</x:v>
      </x:c>
      <x:c r="AJ4185" s="42" t="n">
        <x:v>0</x:v>
      </x:c>
      <x:c r="AK4185" s="42" t="n">
        <x:v>0</x:v>
      </x:c>
      <x:c r="AL4185" s="42" t="n">
        <x:v>0</x:v>
      </x:c>
      <x:c r="AM4185" t="n">
        <x:f>CHOOSE('假设'!$B$3,AJ4185,AK4185,AL4185)</x:f>
        <x:v>0</x:v>
      </x:c>
      <x:c r="AN4185" t="n">
        <x:v>1</x:v>
      </x:c>
    </x:row>
    <x:row r="4186" ht="23" customHeight="1">
      <x:c r="A4186" s="11" t="str">
        <x:v>02162.HK</x:v>
      </x:c>
      <x:c r="B4186" s="11" t="str">
        <x:v>一年</x:v>
      </x:c>
      <x:c r="C4186" s="11" t="str">
        <x:v>CM512_CRSwNP</x:v>
      </x:c>
      <x:c r="D4186" s="11" t="str">
        <x:v>2034-12-31</x:v>
      </x:c>
      <x:c r="E4186" s="11" t="str">
        <x:v>CNY</x:v>
      </x:c>
      <x:c r="F4186" s="11" t="n">
        <x:v>7.227926078028747</x:v>
      </x:c>
      <x:c r="G4186" s="26" t="b">
        <x:v>1</x:v>
      </x:c>
      <x:c r="H4186" s="16" t="n">
        <x:v>1.105</x:v>
      </x:c>
      <x:c r="I4186" s="16" t="n">
        <x:v>3.5</x:v>
      </x:c>
      <x:c r="J4186" s="16" t="n">
        <x:v>6</x:v>
      </x:c>
      <x:c r="K4186" s="11" t="n">
        <x:f>CHOOSE('假设'!$B$3,H4186,I4186,J4186)</x:f>
        <x:v>3.5</x:v>
      </x:c>
      <x:c r="L4186" s="11" t="n">
        <x:f>K4186*'管线假设'!E903*'管线假设'!F903*'管线假设'!G903*IF(E4186="USD",'管线假设'!I903,1)-AM4186</x:f>
        <x:v>0.875</x:v>
      </x:c>
      <x:c r="M4186" s="11" t="n">
        <x:f>'管线假设'!H903</x:f>
        <x:v>0.14</x:v>
      </x:c>
      <x:c r="N4186" s="11" t="n">
        <x:f>IF(G4186,L4186*AN4186/(1+M4186)^F4186,0)</x:f>
        <x:v>0.33939387006759797</x:v>
      </x:c>
      <x:c r="AJ4186" s="42" t="n">
        <x:v>0</x:v>
      </x:c>
      <x:c r="AK4186" s="42" t="n">
        <x:v>0</x:v>
      </x:c>
      <x:c r="AL4186" s="42" t="n">
        <x:v>0</x:v>
      </x:c>
      <x:c r="AM4186" t="n">
        <x:f>CHOOSE('假设'!$B$3,AJ4186,AK4186,AL4186)</x:f>
        <x:v>0</x:v>
      </x:c>
      <x:c r="AN4186" t="n">
        <x:v>1</x:v>
      </x:c>
    </x:row>
    <x:row r="4187" ht="23" customHeight="1">
      <x:c r="A4187" s="11" t="str">
        <x:v>02162.HK</x:v>
      </x:c>
      <x:c r="B4187" s="11" t="str">
        <x:v>一年</x:v>
      </x:c>
      <x:c r="C4187" s="11" t="str">
        <x:v>CM512_CRSwNP</x:v>
      </x:c>
      <x:c r="D4187" s="11" t="str">
        <x:v>2035-12-31</x:v>
      </x:c>
      <x:c r="E4187" s="11" t="str">
        <x:v>CNY</x:v>
      </x:c>
      <x:c r="F4187" s="11" t="n">
        <x:v>8.227241615331964</x:v>
      </x:c>
      <x:c r="G4187" s="26" t="b">
        <x:v>1</x:v>
      </x:c>
      <x:c r="H4187" s="16" t="n">
        <x:v>1.3</x:v>
      </x:c>
      <x:c r="I4187" s="16" t="n">
        <x:v>3.5</x:v>
      </x:c>
      <x:c r="J4187" s="16" t="n">
        <x:v>5.699999999999999</x:v>
      </x:c>
      <x:c r="K4187" s="11" t="n">
        <x:f>CHOOSE('假设'!$B$3,H4187,I4187,J4187)</x:f>
        <x:v>3.5</x:v>
      </x:c>
      <x:c r="L4187" s="11" t="n">
        <x:f>K4187*'管线假设'!E903*'管线假设'!F903*'管线假设'!G903*IF(E4187="USD",'管线假设'!I903,1)-AM4187</x:f>
        <x:v>0.875</x:v>
      </x:c>
      <x:c r="M4187" s="11" t="n">
        <x:f>'管线假设'!H903</x:f>
        <x:v>0.14</x:v>
      </x:c>
      <x:c r="N4187" s="11" t="n">
        <x:f>IF(G4187,L4187*AN4187/(1+M4187)^F4187,0)</x:f>
        <x:v>0.2977406224720018</x:v>
      </x:c>
      <x:c r="AJ4187" s="42" t="n">
        <x:v>0</x:v>
      </x:c>
      <x:c r="AK4187" s="42" t="n">
        <x:v>0</x:v>
      </x:c>
      <x:c r="AL4187" s="42" t="n">
        <x:v>0</x:v>
      </x:c>
      <x:c r="AM4187" t="n">
        <x:f>CHOOSE('假设'!$B$3,AJ4187,AK4187,AL4187)</x:f>
        <x:v>0</x:v>
      </x:c>
      <x:c r="AN4187" t="n">
        <x:v>1</x:v>
      </x:c>
    </x:row>
    <x:row r="4188" ht="23" customHeight="1">
      <x:c r="A4188" s="11" t="str">
        <x:v>02162.HK</x:v>
      </x:c>
      <x:c r="B4188" s="11" t="str">
        <x:v>一年</x:v>
      </x:c>
      <x:c r="C4188" s="11" t="str">
        <x:v>CM512_CRSwNP</x:v>
      </x:c>
      <x:c r="D4188" s="11" t="str">
        <x:v>2036-12-31</x:v>
      </x:c>
      <x:c r="E4188" s="11" t="str">
        <x:v>CNY</x:v>
      </x:c>
      <x:c r="F4188" s="11" t="n">
        <x:v>9.229295003422314</x:v>
      </x:c>
      <x:c r="G4188" s="26" t="b">
        <x:v>1</x:v>
      </x:c>
      <x:c r="H4188" s="16" t="n">
        <x:v>1.3</x:v>
      </x:c>
      <x:c r="I4188" s="16" t="n">
        <x:v>3.3249999999999997</x:v>
      </x:c>
      <x:c r="J4188" s="16" t="n">
        <x:v>5.4</x:v>
      </x:c>
      <x:c r="K4188" s="11" t="n">
        <x:f>CHOOSE('假设'!$B$3,H4188,I4188,J4188)</x:f>
        <x:v>3.3249999999999997</x:v>
      </x:c>
      <x:c r="L4188" s="11" t="n">
        <x:f>K4188*'管线假设'!E903*'管线假设'!F903*'管线假设'!G903*IF(E4188="USD",'管线假设'!I903,1)-AM4188</x:f>
        <x:v>0.8312499999999999</x:v>
      </x:c>
      <x:c r="M4188" s="11" t="n">
        <x:f>'管线假设'!H903</x:f>
        <x:v>0.14</x:v>
      </x:c>
      <x:c r="N4188" s="11" t="n">
        <x:f>IF(G4188,L4188*AN4188/(1+M4188)^F4188,0)</x:f>
        <x:v>0.2480504379794121</x:v>
      </x:c>
      <x:c r="AJ4188" s="42" t="n">
        <x:v>0</x:v>
      </x:c>
      <x:c r="AK4188" s="42" t="n">
        <x:v>0</x:v>
      </x:c>
      <x:c r="AL4188" s="42" t="n">
        <x:v>0</x:v>
      </x:c>
      <x:c r="AM4188" t="n">
        <x:f>CHOOSE('假设'!$B$3,AJ4188,AK4188,AL4188)</x:f>
        <x:v>0</x:v>
      </x:c>
      <x:c r="AN4188" t="n">
        <x:v>1</x:v>
      </x:c>
    </x:row>
    <x:row r="4189" ht="23" customHeight="1">
      <x:c r="A4189" s="11" t="str">
        <x:v>02162.HK</x:v>
      </x:c>
      <x:c r="B4189" s="11" t="str">
        <x:v>一年</x:v>
      </x:c>
      <x:c r="C4189" s="11" t="str">
        <x:v>CM512_CRSwNP</x:v>
      </x:c>
      <x:c r="D4189" s="11" t="str">
        <x:v>2037-12-31</x:v>
      </x:c>
      <x:c r="E4189" s="11" t="str">
        <x:v>CNY</x:v>
      </x:c>
      <x:c r="F4189" s="11" t="n">
        <x:v>10.22861054072553</x:v>
      </x:c>
      <x:c r="G4189" s="26" t="b">
        <x:v>1</x:v>
      </x:c>
      <x:c r="H4189" s="16" t="n">
        <x:v>1.2349999999999999</x:v>
      </x:c>
      <x:c r="I4189" s="16" t="n">
        <x:v>3.15</x:v>
      </x:c>
      <x:c r="J4189" s="16" t="n">
        <x:v>4.800000000000001</x:v>
      </x:c>
      <x:c r="K4189" s="11" t="n">
        <x:f>CHOOSE('假设'!$B$3,H4189,I4189,J4189)</x:f>
        <x:v>3.15</x:v>
      </x:c>
      <x:c r="L4189" s="11" t="n">
        <x:f>K4189*'管线假设'!E903*'管线假设'!F903*'管线假设'!G903*IF(E4189="USD",'管线假设'!I903,1)-AM4189</x:f>
        <x:v>0.7875</x:v>
      </x:c>
      <x:c r="M4189" s="11" t="n">
        <x:f>'管线假设'!H903</x:f>
        <x:v>0.14</x:v>
      </x:c>
      <x:c r="N4189" s="11" t="n">
        <x:f>IF(G4189,L4189*AN4189/(1+M4189)^F4189,0)</x:f>
        <x:v>0.20615458597398234</x:v>
      </x:c>
      <x:c r="AJ4189" s="42" t="n">
        <x:v>0</x:v>
      </x:c>
      <x:c r="AK4189" s="42" t="n">
        <x:v>0</x:v>
      </x:c>
      <x:c r="AL4189" s="42" t="n">
        <x:v>0</x:v>
      </x:c>
      <x:c r="AM4189" t="n">
        <x:f>CHOOSE('假设'!$B$3,AJ4189,AK4189,AL4189)</x:f>
        <x:v>0</x:v>
      </x:c>
      <x:c r="AN4189" t="n">
        <x:v>1</x:v>
      </x:c>
    </x:row>
    <x:row r="4190" ht="23" customHeight="1">
      <x:c r="A4190" s="11" t="str">
        <x:v>02162.HK</x:v>
      </x:c>
      <x:c r="B4190" s="11" t="str">
        <x:v>一年</x:v>
      </x:c>
      <x:c r="C4190" s="11" t="str">
        <x:v>CM512_CRSwNP</x:v>
      </x:c>
      <x:c r="D4190" s="11" t="str">
        <x:v>2038-12-31</x:v>
      </x:c>
      <x:c r="E4190" s="11" t="str">
        <x:v>CNY</x:v>
      </x:c>
      <x:c r="F4190" s="11" t="n">
        <x:v>11.227926078028748</x:v>
      </x:c>
      <x:c r="G4190" s="26" t="b">
        <x:v>1</x:v>
      </x:c>
      <x:c r="H4190" s="16" t="n">
        <x:v>1.1700000000000002</x:v>
      </x:c>
      <x:c r="I4190" s="16" t="n">
        <x:v>2.8000000000000003</x:v>
      </x:c>
      <x:c r="J4190" s="16" t="n">
        <x:v>3.9000000000000004</x:v>
      </x:c>
      <x:c r="K4190" s="11" t="n">
        <x:f>CHOOSE('假设'!$B$3,H4190,I4190,J4190)</x:f>
        <x:v>2.8000000000000003</x:v>
      </x:c>
      <x:c r="L4190" s="11" t="n">
        <x:f>K4190*'管线假设'!E903*'管线假设'!F903*'管线假设'!G903*IF(E4190="USD",'管线假设'!I903,1)-AM4190</x:f>
        <x:v>0.7000000000000001</x:v>
      </x:c>
      <x:c r="M4190" s="11" t="n">
        <x:f>'管线假设'!H903</x:f>
        <x:v>0.14</x:v>
      </x:c>
      <x:c r="N4190" s="11" t="n">
        <x:f>IF(G4190,L4190*AN4190/(1+M4190)^F4190,0)</x:f>
        <x:v>0.16075873338189237</x:v>
      </x:c>
      <x:c r="AJ4190" s="42" t="n">
        <x:v>0</x:v>
      </x:c>
      <x:c r="AK4190" s="42" t="n">
        <x:v>0</x:v>
      </x:c>
      <x:c r="AL4190" s="42" t="n">
        <x:v>0</x:v>
      </x:c>
      <x:c r="AM4190" t="n">
        <x:f>CHOOSE('假设'!$B$3,AJ4190,AK4190,AL4190)</x:f>
        <x:v>0</x:v>
      </x:c>
      <x:c r="AN4190" t="n">
        <x:v>1</x:v>
      </x:c>
    </x:row>
    <x:row r="4191" ht="23" customHeight="1">
      <x:c r="A4191" s="11" t="str">
        <x:v>02162.HK</x:v>
      </x:c>
      <x:c r="B4191" s="11" t="str">
        <x:v>一年</x:v>
      </x:c>
      <x:c r="C4191" s="11" t="str">
        <x:v>CM512_CRSwNP</x:v>
      </x:c>
      <x:c r="D4191" s="11" t="str">
        <x:v>2039-12-31</x:v>
      </x:c>
      <x:c r="E4191" s="11" t="str">
        <x:v>CNY</x:v>
      </x:c>
      <x:c r="F4191" s="11" t="n">
        <x:v>12.227241615331964</x:v>
      </x:c>
      <x:c r="G4191" s="26" t="b">
        <x:v>1</x:v>
      </x:c>
      <x:c r="H4191" s="16" t="n">
        <x:v>1.04</x:v>
      </x:c>
      <x:c r="I4191" s="16" t="n">
        <x:v>2.275</x:v>
      </x:c>
      <x:c r="J4191" s="16" t="n">
        <x:v>3</x:v>
      </x:c>
      <x:c r="K4191" s="11" t="n">
        <x:f>CHOOSE('假设'!$B$3,H4191,I4191,J4191)</x:f>
        <x:v>2.275</x:v>
      </x:c>
      <x:c r="L4191" s="11" t="n">
        <x:f>K4191*'管线假设'!E903*'管线假设'!F903*'管线假设'!G903*IF(E4191="USD",'管线假设'!I903,1)-AM4191</x:f>
        <x:v>0.56875</x:v>
      </x:c>
      <x:c r="M4191" s="11" t="n">
        <x:f>'管线假设'!H903</x:f>
        <x:v>0.14</x:v>
      </x:c>
      <x:c r="N4191" s="11" t="n">
        <x:f>IF(G4191,L4191*AN4191/(1+M4191)^F4191,0)</x:f>
        <x:v>0.11458612771943719</x:v>
      </x:c>
      <x:c r="AJ4191" s="42" t="n">
        <x:v>0</x:v>
      </x:c>
      <x:c r="AK4191" s="42" t="n">
        <x:v>0</x:v>
      </x:c>
      <x:c r="AL4191" s="42" t="n">
        <x:v>0</x:v>
      </x:c>
      <x:c r="AM4191" t="n">
        <x:f>CHOOSE('假设'!$B$3,AJ4191,AK4191,AL4191)</x:f>
        <x:v>0</x:v>
      </x:c>
      <x:c r="AN4191" t="n">
        <x:v>1</x:v>
      </x:c>
    </x:row>
    <x:row r="4192" ht="23" customHeight="1">
      <x:c r="A4192" s="11" t="str">
        <x:v>02162.HK</x:v>
      </x:c>
      <x:c r="B4192" s="11" t="str">
        <x:v>一年</x:v>
      </x:c>
      <x:c r="C4192" s="11" t="str">
        <x:v>CM512_CRSwNP</x:v>
      </x:c>
      <x:c r="D4192" s="11" t="str">
        <x:v>2040-12-31</x:v>
      </x:c>
      <x:c r="E4192" s="11" t="str">
        <x:v>CNY</x:v>
      </x:c>
      <x:c r="F4192" s="11" t="n">
        <x:v>13.229295003422314</x:v>
      </x:c>
      <x:c r="G4192" s="26" t="b">
        <x:v>1</x:v>
      </x:c>
      <x:c r="H4192" s="16" t="n">
        <x:v>0.8450000000000001</x:v>
      </x:c>
      <x:c r="I4192" s="16" t="n">
        <x:v>1.75</x:v>
      </x:c>
      <x:c r="J4192" s="16" t="n">
        <x:v>2.0999999999999996</x:v>
      </x:c>
      <x:c r="K4192" s="11" t="n">
        <x:f>CHOOSE('假设'!$B$3,H4192,I4192,J4192)</x:f>
        <x:v>1.75</x:v>
      </x:c>
      <x:c r="L4192" s="11" t="n">
        <x:f>K4192*'管线假设'!E903*'管线假设'!F903*'管线假设'!G903*IF(E4192="USD",'管线假设'!I903,1)-AM4192</x:f>
        <x:v>0.4375</x:v>
      </x:c>
      <x:c r="M4192" s="11" t="n">
        <x:f>'管线假设'!H903</x:f>
        <x:v>0.14</x:v>
      </x:c>
      <x:c r="N4192" s="11" t="n">
        <x:f>IF(G4192,L4192*AN4192/(1+M4192)^F4192,0)</x:f>
        <x:v>0.0772977748003407</x:v>
      </x:c>
      <x:c r="AJ4192" s="42" t="n">
        <x:v>0</x:v>
      </x:c>
      <x:c r="AK4192" s="42" t="n">
        <x:v>0</x:v>
      </x:c>
      <x:c r="AL4192" s="42" t="n">
        <x:v>0</x:v>
      </x:c>
      <x:c r="AM4192" t="n">
        <x:f>CHOOSE('假设'!$B$3,AJ4192,AK4192,AL4192)</x:f>
        <x:v>0</x:v>
      </x:c>
      <x:c r="AN4192" t="n">
        <x:v>1</x:v>
      </x:c>
    </x:row>
    <x:row r="4193" ht="23" customHeight="1">
      <x:c r="A4193" s="11" t="str">
        <x:v>02162.HK</x:v>
      </x:c>
      <x:c r="B4193" s="11" t="str">
        <x:v>一年</x:v>
      </x:c>
      <x:c r="C4193" s="11" t="str">
        <x:v>CM512_CRSwNP</x:v>
      </x:c>
      <x:c r="D4193" s="11" t="str">
        <x:v>2041-12-31</x:v>
      </x:c>
      <x:c r="E4193" s="11" t="str">
        <x:v>CNY</x:v>
      </x:c>
      <x:c r="F4193" s="11" t="n">
        <x:v>14.22861054072553</x:v>
      </x:c>
      <x:c r="G4193" s="26" t="b">
        <x:v>1</x:v>
      </x:c>
      <x:c r="H4193" s="16" t="n">
        <x:v>0.65</x:v>
      </x:c>
      <x:c r="I4193" s="16" t="n">
        <x:v>1.2249999999999999</x:v>
      </x:c>
      <x:c r="J4193" s="16" t="n">
        <x:v>1.2000000000000002</x:v>
      </x:c>
      <x:c r="K4193" s="11" t="n">
        <x:f>CHOOSE('假设'!$B$3,H4193,I4193,J4193)</x:f>
        <x:v>1.2249999999999999</x:v>
      </x:c>
      <x:c r="L4193" s="11" t="n">
        <x:f>K4193*'管线假设'!E903*'管线假设'!F903*'管线假设'!G903*IF(E4193="USD",'管线假设'!I903,1)-AM4193</x:f>
        <x:v>0.30624999999999997</x:v>
      </x:c>
      <x:c r="M4193" s="11" t="n">
        <x:f>'管线假设'!H903</x:f>
        <x:v>0.14</x:v>
      </x:c>
      <x:c r="N4193" s="11" t="n">
        <x:f>IF(G4193,L4193*AN4193/(1+M4193)^F4193,0)</x:f>
        <x:v>0.04746780283957134</x:v>
      </x:c>
      <x:c r="AJ4193" s="42" t="n">
        <x:v>0</x:v>
      </x:c>
      <x:c r="AK4193" s="42" t="n">
        <x:v>0</x:v>
      </x:c>
      <x:c r="AL4193" s="42" t="n">
        <x:v>0</x:v>
      </x:c>
      <x:c r="AM4193" t="n">
        <x:f>CHOOSE('假设'!$B$3,AJ4193,AK4193,AL4193)</x:f>
        <x:v>0</x:v>
      </x:c>
      <x:c r="AN4193" t="n">
        <x:v>1</x:v>
      </x:c>
    </x:row>
    <x:row r="4194" ht="23" customHeight="1">
      <x:c r="A4194" s="11" t="str">
        <x:v>02162.HK</x:v>
      </x:c>
      <x:c r="B4194" s="11" t="str">
        <x:v>一年</x:v>
      </x:c>
      <x:c r="C4194" s="11" t="str">
        <x:v>CM512_CRSwNP</x:v>
      </x:c>
      <x:c r="D4194" s="11" t="str">
        <x:v>2042-12-31</x:v>
      </x:c>
      <x:c r="E4194" s="11" t="str">
        <x:v>CNY</x:v>
      </x:c>
      <x:c r="F4194" s="11" t="n">
        <x:v>15.227926078028748</x:v>
      </x:c>
      <x:c r="G4194" s="26" t="b">
        <x:v>1</x:v>
      </x:c>
      <x:c r="H4194" s="16" t="n">
        <x:v>0.45499999999999996</x:v>
      </x:c>
      <x:c r="I4194" s="16" t="n">
        <x:v>0.7000000000000001</x:v>
      </x:c>
      <x:c r="J4194" s="16" t="n">
        <x:v>0.72</x:v>
      </x:c>
      <x:c r="K4194" s="11" t="n">
        <x:f>CHOOSE('假设'!$B$3,H4194,I4194,J4194)</x:f>
        <x:v>0.7000000000000001</x:v>
      </x:c>
      <x:c r="L4194" s="11" t="n">
        <x:f>K4194*'管线假设'!E903*'管线假设'!F903*'管线假设'!G903*IF(E4194="USD",'管线假设'!I903,1)-AM4194</x:f>
        <x:v>0.17500000000000002</x:v>
      </x:c>
      <x:c r="M4194" s="11" t="n">
        <x:f>'管线假设'!H903</x:f>
        <x:v>0.14</x:v>
      </x:c>
      <x:c r="N4194" s="11" t="n">
        <x:f>IF(G4194,L4194*AN4194/(1+M4194)^F4194,0)</x:f>
        <x:v>0.023795518862607792</x:v>
      </x:c>
      <x:c r="AJ4194" s="42" t="n">
        <x:v>0</x:v>
      </x:c>
      <x:c r="AK4194" s="42" t="n">
        <x:v>0</x:v>
      </x:c>
      <x:c r="AL4194" s="42" t="n">
        <x:v>0</x:v>
      </x:c>
      <x:c r="AM4194" t="n">
        <x:f>CHOOSE('假设'!$B$3,AJ4194,AK4194,AL4194)</x:f>
        <x:v>0</x:v>
      </x:c>
      <x:c r="AN4194" t="n">
        <x:v>1</x:v>
      </x:c>
    </x:row>
    <x:row r="4195" ht="23" customHeight="1">
      <x:c r="A4195" s="11" t="str">
        <x:v>02162.HK</x:v>
      </x:c>
      <x:c r="B4195" s="11" t="str">
        <x:v>一年</x:v>
      </x:c>
      <x:c r="C4195" s="11" t="str">
        <x:v>CM512_CRSwNP</x:v>
      </x:c>
      <x:c r="D4195" s="11" t="str">
        <x:v>2043-12-31</x:v>
      </x:c>
      <x:c r="E4195" s="11" t="str">
        <x:v>CNY</x:v>
      </x:c>
      <x:c r="F4195" s="11" t="n">
        <x:v>16.227241615331966</x:v>
      </x:c>
      <x:c r="G4195" s="26" t="b">
        <x:v>1</x:v>
      </x:c>
      <x:c r="H4195" s="16" t="n">
        <x:v>0.26</x:v>
      </x:c>
      <x:c r="I4195" s="16" t="n">
        <x:v>0.42</x:v>
      </x:c>
      <x:c r="J4195" s="16" t="n">
        <x:v>0.42000000000000004</x:v>
      </x:c>
      <x:c r="K4195" s="11" t="n">
        <x:f>CHOOSE('假设'!$B$3,H4195,I4195,J4195)</x:f>
        <x:v>0.42</x:v>
      </x:c>
      <x:c r="L4195" s="11" t="n">
        <x:f>K4195*'管线假设'!E903*'管线假设'!F903*'管线假设'!G903*IF(E4195="USD",'管线假设'!I903,1)-AM4195</x:f>
        <x:v>0.105</x:v>
      </x:c>
      <x:c r="M4195" s="11" t="n">
        <x:f>'管线假设'!H903</x:f>
        <x:v>0.14</x:v>
      </x:c>
      <x:c r="N4195" s="11" t="n">
        <x:f>IF(G4195,L4195*AN4195/(1+M4195)^F4195,0)</x:f>
        <x:v>0.012525080544535442</x:v>
      </x:c>
      <x:c r="AJ4195" s="42" t="n">
        <x:v>0</x:v>
      </x:c>
      <x:c r="AK4195" s="42" t="n">
        <x:v>0</x:v>
      </x:c>
      <x:c r="AL4195" s="42" t="n">
        <x:v>0</x:v>
      </x:c>
      <x:c r="AM4195" t="n">
        <x:f>CHOOSE('假设'!$B$3,AJ4195,AK4195,AL4195)</x:f>
        <x:v>0</x:v>
      </x:c>
      <x:c r="AN4195" t="n">
        <x:v>1</x:v>
      </x:c>
    </x:row>
    <x:row r="4196" ht="23" customHeight="1">
      <x:c r="A4196" s="11" t="str">
        <x:v>02162.HK</x:v>
      </x:c>
      <x:c r="B4196" s="11" t="str">
        <x:v>一年</x:v>
      </x:c>
      <x:c r="C4196" s="11" t="str">
        <x:v>CM512_CRSwNP</x:v>
      </x:c>
      <x:c r="D4196" s="11" t="str">
        <x:v>2044-12-31</x:v>
      </x:c>
      <x:c r="E4196" s="11" t="str">
        <x:v>CNY</x:v>
      </x:c>
      <x:c r="F4196" s="11" t="n">
        <x:v>17.229295003422312</x:v>
      </x:c>
      <x:c r="G4196" s="26" t="b">
        <x:v>1</x:v>
      </x:c>
      <x:c r="H4196" s="16" t="n">
        <x:v>0.156</x:v>
      </x:c>
      <x:c r="I4196" s="16" t="n">
        <x:v>0.24500000000000002</x:v>
      </x:c>
      <x:c r="J4196" s="16" t="n">
        <x:v>0.18</x:v>
      </x:c>
      <x:c r="K4196" s="11" t="n">
        <x:f>CHOOSE('假设'!$B$3,H4196,I4196,J4196)</x:f>
        <x:v>0.24500000000000002</x:v>
      </x:c>
      <x:c r="L4196" s="11" t="n">
        <x:f>K4196*'管线假设'!E903*'管线假设'!F903*'管线假设'!G903*IF(E4196="USD",'管线假设'!I903,1)-AM4196</x:f>
        <x:v>0.061250000000000006</x:v>
      </x:c>
      <x:c r="M4196" s="11" t="n">
        <x:f>'管线假设'!H903</x:f>
        <x:v>0.14</x:v>
      </x:c>
      <x:c r="N4196" s="11" t="n">
        <x:f>IF(G4196,L4196*AN4196/(1+M4196)^F4196,0)</x:f>
        <x:v>0.006407308312143784</x:v>
      </x:c>
      <x:c r="AJ4196" s="42" t="n">
        <x:v>0</x:v>
      </x:c>
      <x:c r="AK4196" s="42" t="n">
        <x:v>0</x:v>
      </x:c>
      <x:c r="AL4196" s="42" t="n">
        <x:v>0</x:v>
      </x:c>
      <x:c r="AM4196" t="n">
        <x:f>CHOOSE('假设'!$B$3,AJ4196,AK4196,AL4196)</x:f>
        <x:v>0</x:v>
      </x:c>
      <x:c r="AN4196" t="n">
        <x:v>1</x:v>
      </x:c>
    </x:row>
    <x:row r="4197" ht="23" customHeight="1">
      <x:c r="A4197" s="11" t="str">
        <x:v>02162.HK</x:v>
      </x:c>
      <x:c r="B4197" s="11" t="str">
        <x:v>一年</x:v>
      </x:c>
      <x:c r="C4197" s="11" t="str">
        <x:v>CM512_other</x:v>
      </x:c>
      <x:c r="D4197" s="11" t="str">
        <x:v>2026-12-31</x:v>
      </x:c>
      <x:c r="E4197" s="11" t="str">
        <x:v>CNY</x:v>
      </x:c>
      <x:c r="F4197" s="11" t="n">
        <x:v>-0.7720739219712526</x:v>
      </x:c>
      <x:c r="G4197" s="26" t="b">
        <x:v>0</x:v>
      </x:c>
      <x:c r="H4197" s="16" t="n">
        <x:v>0</x:v>
      </x:c>
      <x:c r="I4197" s="16" t="n">
        <x:v>0</x:v>
      </x:c>
      <x:c r="J4197" s="16" t="n">
        <x:v>0</x:v>
      </x:c>
      <x:c r="K4197" s="11" t="n">
        <x:f>CHOOSE('假设'!$B$3,H4197,I4197,J4197)</x:f>
        <x:v>0</x:v>
      </x:c>
      <x:c r="L4197" s="11" t="n">
        <x:f>K4197*'管线假设'!E907*'管线假设'!F907*'管线假设'!G907*IF(E4197="USD",'管线假设'!I907,1)-AM4197</x:f>
        <x:v>-0.1</x:v>
      </x:c>
      <x:c r="M4197" s="11" t="n">
        <x:f>'管线假设'!H907</x:f>
        <x:v>0.14</x:v>
      </x:c>
      <x:c r="N4197" s="11" t="n">
        <x:f>IF(G4197,L4197*AN4197/(1+M4197)^F4197,0)</x:f>
        <x:v>0</x:v>
      </x:c>
      <x:c r="AJ4197" s="42" t="n">
        <x:v>0.05</x:v>
      </x:c>
      <x:c r="AK4197" s="42" t="n">
        <x:v>0.1</x:v>
      </x:c>
      <x:c r="AL4197" s="42" t="n">
        <x:v>0.15</x:v>
      </x:c>
      <x:c r="AM4197" t="n">
        <x:f>CHOOSE('假设'!$B$3,AJ4197,AK4197,AL4197)</x:f>
        <x:v>0.1</x:v>
      </x:c>
      <x:c r="AN4197" t="n">
        <x:v>0</x:v>
      </x:c>
    </x:row>
    <x:row r="4198" ht="23" customHeight="1">
      <x:c r="A4198" s="11" t="str">
        <x:v>02162.HK</x:v>
      </x:c>
      <x:c r="B4198" s="11" t="str">
        <x:v>一年</x:v>
      </x:c>
      <x:c r="C4198" s="11" t="str">
        <x:v>CM512_other</x:v>
      </x:c>
      <x:c r="D4198" s="11" t="str">
        <x:v>2027-12-31</x:v>
      </x:c>
      <x:c r="E4198" s="11" t="str">
        <x:v>CNY</x:v>
      </x:c>
      <x:c r="F4198" s="11" t="n">
        <x:v>0.2272416153319644</x:v>
      </x:c>
      <x:c r="G4198" s="26" t="b">
        <x:v>1</x:v>
      </x:c>
      <x:c r="H4198" s="16" t="n">
        <x:v>0</x:v>
      </x:c>
      <x:c r="I4198" s="16" t="n">
        <x:v>0</x:v>
      </x:c>
      <x:c r="J4198" s="16" t="n">
        <x:v>0</x:v>
      </x:c>
      <x:c r="K4198" s="11" t="n">
        <x:f>CHOOSE('假设'!$B$3,H4198,I4198,J4198)</x:f>
        <x:v>0</x:v>
      </x:c>
      <x:c r="L4198" s="11" t="n">
        <x:f>K4198*'管线假设'!E907*'管线假设'!F907*'管线假设'!G907*IF(E4198="USD",'管线假设'!I907,1)-AM4198</x:f>
        <x:v>-0.18</x:v>
      </x:c>
      <x:c r="M4198" s="11" t="n">
        <x:f>'管线假设'!H907</x:f>
        <x:v>0.14</x:v>
      </x:c>
      <x:c r="N4198" s="11" t="n">
        <x:f>IF(G4198,L4198*AN4198/(1+M4198)^F4198,0)</x:f>
        <x:v>-0.03983988383988843</x:v>
      </x:c>
      <x:c r="AJ4198" s="42" t="n">
        <x:v>0.06</x:v>
      </x:c>
      <x:c r="AK4198" s="42" t="n">
        <x:v>0.18</x:v>
      </x:c>
      <x:c r="AL4198" s="42" t="n">
        <x:v>0.24</x:v>
      </x:c>
      <x:c r="AM4198" t="n">
        <x:f>CHOOSE('假设'!$B$3,AJ4198,AK4198,AL4198)</x:f>
        <x:v>0.18</x:v>
      </x:c>
      <x:c r="AN4198" t="n">
        <x:v>0.22802197802197802</x:v>
      </x:c>
    </x:row>
    <x:row r="4199" ht="23" customHeight="1">
      <x:c r="A4199" s="11" t="str">
        <x:v>02162.HK</x:v>
      </x:c>
      <x:c r="B4199" s="11" t="str">
        <x:v>一年</x:v>
      </x:c>
      <x:c r="C4199" s="11" t="str">
        <x:v>CM512_other</x:v>
      </x:c>
      <x:c r="D4199" s="11" t="str">
        <x:v>2028-12-31</x:v>
      </x:c>
      <x:c r="E4199" s="11" t="str">
        <x:v>CNY</x:v>
      </x:c>
      <x:c r="F4199" s="11" t="n">
        <x:v>1.2292950034223136</x:v>
      </x:c>
      <x:c r="G4199" s="26" t="b">
        <x:v>1</x:v>
      </x:c>
      <x:c r="H4199" s="16" t="n">
        <x:v>0</x:v>
      </x:c>
      <x:c r="I4199" s="16" t="n">
        <x:v>0</x:v>
      </x:c>
      <x:c r="J4199" s="16" t="n">
        <x:v>0</x:v>
      </x:c>
      <x:c r="K4199" s="11" t="n">
        <x:f>CHOOSE('假设'!$B$3,H4199,I4199,J4199)</x:f>
        <x:v>0</x:v>
      </x:c>
      <x:c r="L4199" s="11" t="n">
        <x:f>K4199*'管线假设'!E907*'管线假设'!F907*'管线假设'!G907*IF(E4199="USD",'管线假设'!I907,1)-AM4199</x:f>
        <x:v>-0.24</x:v>
      </x:c>
      <x:c r="M4199" s="11" t="n">
        <x:f>'管线假设'!H907</x:f>
        <x:v>0.14</x:v>
      </x:c>
      <x:c r="N4199" s="11" t="n">
        <x:f>IF(G4199,L4199*AN4199/(1+M4199)^F4199,0)</x:f>
        <x:v>-0.20429530794381479</x:v>
      </x:c>
      <x:c r="AJ4199" s="42" t="n">
        <x:v>0.05</x:v>
      </x:c>
      <x:c r="AK4199" s="42" t="n">
        <x:v>0.24</x:v>
      </x:c>
      <x:c r="AL4199" s="42" t="n">
        <x:v>0.35</x:v>
      </x:c>
      <x:c r="AM4199" t="n">
        <x:f>CHOOSE('假设'!$B$3,AJ4199,AK4199,AL4199)</x:f>
        <x:v>0.24</x:v>
      </x:c>
      <x:c r="AN4199" t="n">
        <x:v>1</x:v>
      </x:c>
    </x:row>
    <x:row r="4200" ht="23" customHeight="1">
      <x:c r="A4200" s="11" t="str">
        <x:v>02162.HK</x:v>
      </x:c>
      <x:c r="B4200" s="11" t="str">
        <x:v>一年</x:v>
      </x:c>
      <x:c r="C4200" s="11" t="str">
        <x:v>CM512_other</x:v>
      </x:c>
      <x:c r="D4200" s="11" t="str">
        <x:v>2029-12-31</x:v>
      </x:c>
      <x:c r="E4200" s="11" t="str">
        <x:v>CNY</x:v>
      </x:c>
      <x:c r="F4200" s="11" t="n">
        <x:v>2.2286105407255303</x:v>
      </x:c>
      <x:c r="G4200" s="26" t="b">
        <x:v>1</x:v>
      </x:c>
      <x:c r="H4200" s="16" t="n">
        <x:v>0</x:v>
      </x:c>
      <x:c r="I4200" s="16" t="n">
        <x:v>0</x:v>
      </x:c>
      <x:c r="J4200" s="16" t="n">
        <x:v>0.48</x:v>
      </x:c>
      <x:c r="K4200" s="11" t="n">
        <x:f>CHOOSE('假设'!$B$3,H4200,I4200,J4200)</x:f>
        <x:v>0</x:v>
      </x:c>
      <x:c r="L4200" s="11" t="n">
        <x:f>K4200*'管线假设'!E907*'管线假设'!F907*'管线假设'!G907*IF(E4200="USD",'管线假设'!I907,1)-AM4200</x:f>
        <x:v>-0.22</x:v>
      </x:c>
      <x:c r="M4200" s="11" t="n">
        <x:f>'管线假设'!H907</x:f>
        <x:v>0.14</x:v>
      </x:c>
      <x:c r="N4200" s="11" t="n">
        <x:f>IF(G4200,L4200*AN4200/(1+M4200)^F4200,0)</x:f>
        <x:v>-0.16428727620975248</x:v>
      </x:c>
      <x:c r="AJ4200" s="42" t="n">
        <x:v>0</x:v>
      </x:c>
      <x:c r="AK4200" s="42" t="n">
        <x:v>0.22</x:v>
      </x:c>
      <x:c r="AL4200" s="42" t="n">
        <x:v>0.3</x:v>
      </x:c>
      <x:c r="AM4200" t="n">
        <x:f>CHOOSE('假设'!$B$3,AJ4200,AK4200,AL4200)</x:f>
        <x:v>0.22</x:v>
      </x:c>
      <x:c r="AN4200" t="n">
        <x:v>1</x:v>
      </x:c>
    </x:row>
    <x:row r="4201" ht="23" customHeight="1">
      <x:c r="A4201" s="11" t="str">
        <x:v>02162.HK</x:v>
      </x:c>
      <x:c r="B4201" s="11" t="str">
        <x:v>一年</x:v>
      </x:c>
      <x:c r="C4201" s="11" t="str">
        <x:v>CM512_other</x:v>
      </x:c>
      <x:c r="D4201" s="11" t="str">
        <x:v>2030-12-31</x:v>
      </x:c>
      <x:c r="E4201" s="11" t="str">
        <x:v>CNY</x:v>
      </x:c>
      <x:c r="F4201" s="11" t="n">
        <x:v>3.2279260780287475</x:v>
      </x:c>
      <x:c r="G4201" s="26" t="b">
        <x:v>1</x:v>
      </x:c>
      <x:c r="H4201" s="16" t="n">
        <x:v>0</x:v>
      </x:c>
      <x:c r="I4201" s="16" t="n">
        <x:v>0.24</x:v>
      </x:c>
      <x:c r="J4201" s="16" t="n">
        <x:v>1.44</x:v>
      </x:c>
      <x:c r="K4201" s="11" t="n">
        <x:f>CHOOSE('假设'!$B$3,H4201,I4201,J4201)</x:f>
        <x:v>0.24</x:v>
      </x:c>
      <x:c r="L4201" s="11" t="n">
        <x:f>K4201*'管线假设'!E907*'管线假设'!F907*'管线假设'!G907*IF(E4201="USD",'管线假设'!I907,1)-AM4201</x:f>
        <x:v>-0.08544</x:v>
      </x:c>
      <x:c r="M4201" s="11" t="n">
        <x:f>'管线假设'!H907</x:f>
        <x:v>0.14</x:v>
      </x:c>
      <x:c r="N4201" s="11" t="n">
        <x:f>IF(G4201,L4201*AN4201/(1+M4201)^F4201,0)</x:f>
        <x:v>-0.055972742436450035</x:v>
      </x:c>
      <x:c r="AJ4201" s="42" t="n">
        <x:v>0</x:v>
      </x:c>
      <x:c r="AK4201" s="42" t="n">
        <x:v>0.12</x:v>
      </x:c>
      <x:c r="AL4201" s="42" t="n">
        <x:v>0.15</x:v>
      </x:c>
      <x:c r="AM4201" t="n">
        <x:f>CHOOSE('假设'!$B$3,AJ4201,AK4201,AL4201)</x:f>
        <x:v>0.12</x:v>
      </x:c>
      <x:c r="AN4201" t="n">
        <x:v>1</x:v>
      </x:c>
    </x:row>
    <x:row r="4202" ht="23" customHeight="1">
      <x:c r="A4202" s="11" t="str">
        <x:v>02162.HK</x:v>
      </x:c>
      <x:c r="B4202" s="11" t="str">
        <x:v>一年</x:v>
      </x:c>
      <x:c r="C4202" s="11" t="str">
        <x:v>CM512_other</x:v>
      </x:c>
      <x:c r="D4202" s="11" t="str">
        <x:v>2031-12-31</x:v>
      </x:c>
      <x:c r="E4202" s="11" t="str">
        <x:v>CNY</x:v>
      </x:c>
      <x:c r="F4202" s="11" t="n">
        <x:v>4.227241615331964</x:v>
      </x:c>
      <x:c r="G4202" s="26" t="b">
        <x:v>1</x:v>
      </x:c>
      <x:c r="H4202" s="16" t="n">
        <x:v>0</x:v>
      </x:c>
      <x:c r="I4202" s="16" t="n">
        <x:v>0.72</x:v>
      </x:c>
      <x:c r="J4202" s="16" t="n">
        <x:v>3.04</x:v>
      </x:c>
      <x:c r="K4202" s="11" t="n">
        <x:f>CHOOSE('假设'!$B$3,H4202,I4202,J4202)</x:f>
        <x:v>0.72</x:v>
      </x:c>
      <x:c r="L4202" s="11" t="n">
        <x:f>K4202*'管线假设'!E907*'管线假设'!F907*'管线假设'!G907*IF(E4202="USD",'管线假设'!I907,1)-AM4202</x:f>
        <x:v>0.10368</x:v>
      </x:c>
      <x:c r="M4202" s="11" t="n">
        <x:f>'管线假设'!H907</x:f>
        <x:v>0.14</x:v>
      </x:c>
      <x:c r="N4202" s="11" t="n">
        <x:f>IF(G4202,L4202*AN4202/(1+M4202)^F4202,0)</x:f>
        <x:v>0.05958602751835248</x:v>
      </x:c>
      <x:c r="AJ4202" s="42" t="n">
        <x:v>0</x:v>
      </x:c>
      <x:c r="AK4202" s="42" t="n">
        <x:v>0</x:v>
      </x:c>
      <x:c r="AL4202" s="42" t="n">
        <x:v>0</x:v>
      </x:c>
      <x:c r="AM4202" t="n">
        <x:f>CHOOSE('假设'!$B$3,AJ4202,AK4202,AL4202)</x:f>
        <x:v>0</x:v>
      </x:c>
      <x:c r="AN4202" t="n">
        <x:v>1</x:v>
      </x:c>
    </x:row>
    <x:row r="4203" ht="23" customHeight="1">
      <x:c r="A4203" s="11" t="str">
        <x:v>02162.HK</x:v>
      </x:c>
      <x:c r="B4203" s="11" t="str">
        <x:v>一年</x:v>
      </x:c>
      <x:c r="C4203" s="11" t="str">
        <x:v>CM512_other</x:v>
      </x:c>
      <x:c r="D4203" s="11" t="str">
        <x:v>2032-12-31</x:v>
      </x:c>
      <x:c r="E4203" s="11" t="str">
        <x:v>CNY</x:v>
      </x:c>
      <x:c r="F4203" s="11" t="n">
        <x:v>5.229295003422314</x:v>
      </x:c>
      <x:c r="G4203" s="26" t="b">
        <x:v>1</x:v>
      </x:c>
      <x:c r="H4203" s="16" t="n">
        <x:v>0.06</x:v>
      </x:c>
      <x:c r="I4203" s="16" t="n">
        <x:v>1.52</x:v>
      </x:c>
      <x:c r="J4203" s="16" t="n">
        <x:v>5.2</x:v>
      </x:c>
      <x:c r="K4203" s="11" t="n">
        <x:f>CHOOSE('假设'!$B$3,H4203,I4203,J4203)</x:f>
        <x:v>1.52</x:v>
      </x:c>
      <x:c r="L4203" s="11" t="n">
        <x:f>K4203*'管线假设'!E907*'管线假设'!F907*'管线假设'!G907*IF(E4203="USD",'管线假设'!I907,1)-AM4203</x:f>
        <x:v>0.21887999999999996</x:v>
      </x:c>
      <x:c r="M4203" s="11" t="n">
        <x:f>'管线假设'!H907</x:f>
        <x:v>0.14</x:v>
      </x:c>
      <x:c r="N4203" s="11" t="n">
        <x:f>IF(G4203,L4203*AN4203/(1+M4203)^F4203,0)</x:f>
        <x:v>0.11031481100463551</x:v>
      </x:c>
      <x:c r="AJ4203" s="42" t="n">
        <x:v>0</x:v>
      </x:c>
      <x:c r="AK4203" s="42" t="n">
        <x:v>0</x:v>
      </x:c>
      <x:c r="AL4203" s="42" t="n">
        <x:v>0</x:v>
      </x:c>
      <x:c r="AM4203" t="n">
        <x:f>CHOOSE('假设'!$B$3,AJ4203,AK4203,AL4203)</x:f>
        <x:v>0</x:v>
      </x:c>
      <x:c r="AN4203" t="n">
        <x:v>1</x:v>
      </x:c>
    </x:row>
    <x:row r="4204" ht="23" customHeight="1">
      <x:c r="A4204" s="11" t="str">
        <x:v>02162.HK</x:v>
      </x:c>
      <x:c r="B4204" s="11" t="str">
        <x:v>一年</x:v>
      </x:c>
      <x:c r="C4204" s="11" t="str">
        <x:v>CM512_other</x:v>
      </x:c>
      <x:c r="D4204" s="11" t="str">
        <x:v>2033-12-31</x:v>
      </x:c>
      <x:c r="E4204" s="11" t="str">
        <x:v>CNY</x:v>
      </x:c>
      <x:c r="F4204" s="11" t="n">
        <x:v>6.228610540725531</x:v>
      </x:c>
      <x:c r="G4204" s="26" t="b">
        <x:v>1</x:v>
      </x:c>
      <x:c r="H4204" s="16" t="n">
        <x:v>0.18</x:v>
      </x:c>
      <x:c r="I4204" s="16" t="n">
        <x:v>2.6</x:v>
      </x:c>
      <x:c r="J4204" s="16" t="n">
        <x:v>6.8</x:v>
      </x:c>
      <x:c r="K4204" s="11" t="n">
        <x:f>CHOOSE('假设'!$B$3,H4204,I4204,J4204)</x:f>
        <x:v>2.6</x:v>
      </x:c>
      <x:c r="L4204" s="11" t="n">
        <x:f>K4204*'管线假设'!E907*'管线假设'!F907*'管线假设'!G907*IF(E4204="USD",'管线假设'!I907,1)-AM4204</x:f>
        <x:v>0.3744</x:v>
      </x:c>
      <x:c r="M4204" s="11" t="n">
        <x:f>'管线假设'!H907</x:f>
        <x:v>0.14</x:v>
      </x:c>
      <x:c r="N4204" s="11" t="n">
        <x:f>IF(G4204,L4204*AN4204/(1+M4204)^F4204,0)</x:f>
        <x:v>0.1655379921425395</x:v>
      </x:c>
      <x:c r="AJ4204" s="42" t="n">
        <x:v>0</x:v>
      </x:c>
      <x:c r="AK4204" s="42" t="n">
        <x:v>0</x:v>
      </x:c>
      <x:c r="AL4204" s="42" t="n">
        <x:v>0</x:v>
      </x:c>
      <x:c r="AM4204" t="n">
        <x:f>CHOOSE('假设'!$B$3,AJ4204,AK4204,AL4204)</x:f>
        <x:v>0</x:v>
      </x:c>
      <x:c r="AN4204" t="n">
        <x:v>1</x:v>
      </x:c>
    </x:row>
    <x:row r="4205" ht="23" customHeight="1">
      <x:c r="A4205" s="11" t="str">
        <x:v>02162.HK</x:v>
      </x:c>
      <x:c r="B4205" s="11" t="str">
        <x:v>一年</x:v>
      </x:c>
      <x:c r="C4205" s="11" t="str">
        <x:v>CM512_other</x:v>
      </x:c>
      <x:c r="D4205" s="11" t="str">
        <x:v>2034-12-31</x:v>
      </x:c>
      <x:c r="E4205" s="11" t="str">
        <x:v>CNY</x:v>
      </x:c>
      <x:c r="F4205" s="11" t="n">
        <x:v>7.227926078028747</x:v>
      </x:c>
      <x:c r="G4205" s="26" t="b">
        <x:v>1</x:v>
      </x:c>
      <x:c r="H4205" s="16" t="n">
        <x:v>0.38</x:v>
      </x:c>
      <x:c r="I4205" s="16" t="n">
        <x:v>3.4</x:v>
      </x:c>
      <x:c r="J4205" s="16" t="n">
        <x:v>8</x:v>
      </x:c>
      <x:c r="K4205" s="11" t="n">
        <x:f>CHOOSE('假设'!$B$3,H4205,I4205,J4205)</x:f>
        <x:v>3.4</x:v>
      </x:c>
      <x:c r="L4205" s="11" t="n">
        <x:f>K4205*'管线假设'!E907*'管线假设'!F907*'管线假设'!G907*IF(E4205="USD",'管线假设'!I907,1)-AM4205</x:f>
        <x:v>0.4896</x:v>
      </x:c>
      <x:c r="M4205" s="11" t="n">
        <x:f>'管线假设'!H907</x:f>
        <x:v>0.14</x:v>
      </x:c>
      <x:c r="N4205" s="11" t="n">
        <x:f>IF(G4205,L4205*AN4205/(1+M4205)^F4205,0)</x:f>
        <x:v>0.18990541575439537</x:v>
      </x:c>
      <x:c r="AJ4205" s="42" t="n">
        <x:v>0</x:v>
      </x:c>
      <x:c r="AK4205" s="42" t="n">
        <x:v>0</x:v>
      </x:c>
      <x:c r="AL4205" s="42" t="n">
        <x:v>0</x:v>
      </x:c>
      <x:c r="AM4205" t="n">
        <x:f>CHOOSE('假设'!$B$3,AJ4205,AK4205,AL4205)</x:f>
        <x:v>0</x:v>
      </x:c>
      <x:c r="AN4205" t="n">
        <x:v>1</x:v>
      </x:c>
    </x:row>
    <x:row r="4206" ht="23" customHeight="1">
      <x:c r="A4206" s="11" t="str">
        <x:v>02162.HK</x:v>
      </x:c>
      <x:c r="B4206" s="11" t="str">
        <x:v>一年</x:v>
      </x:c>
      <x:c r="C4206" s="11" t="str">
        <x:v>CM512_other</x:v>
      </x:c>
      <x:c r="D4206" s="11" t="str">
        <x:v>2035-12-31</x:v>
      </x:c>
      <x:c r="E4206" s="11" t="str">
        <x:v>CNY</x:v>
      </x:c>
      <x:c r="F4206" s="11" t="n">
        <x:v>8.227241615331964</x:v>
      </x:c>
      <x:c r="G4206" s="26" t="b">
        <x:v>1</x:v>
      </x:c>
      <x:c r="H4206" s="16" t="n">
        <x:v>0.65</x:v>
      </x:c>
      <x:c r="I4206" s="16" t="n">
        <x:v>4</x:v>
      </x:c>
      <x:c r="J4206" s="16" t="n">
        <x:v>8</x:v>
      </x:c>
      <x:c r="K4206" s="11" t="n">
        <x:f>CHOOSE('假设'!$B$3,H4206,I4206,J4206)</x:f>
        <x:v>4</x:v>
      </x:c>
      <x:c r="L4206" s="11" t="n">
        <x:f>K4206*'管线假设'!E907*'管线假设'!F907*'管线假设'!G907*IF(E4206="USD",'管线假设'!I907,1)-AM4206</x:f>
        <x:v>0.576</x:v>
      </x:c>
      <x:c r="M4206" s="11" t="n">
        <x:f>'管线假设'!H907</x:f>
        <x:v>0.14</x:v>
      </x:c>
      <x:c r="N4206" s="11" t="n">
        <x:f>IF(G4206,L4206*AN4206/(1+M4206)^F4206,0)</x:f>
        <x:v>0.19599839833585486</x:v>
      </x:c>
      <x:c r="AJ4206" s="42" t="n">
        <x:v>0</x:v>
      </x:c>
      <x:c r="AK4206" s="42" t="n">
        <x:v>0</x:v>
      </x:c>
      <x:c r="AL4206" s="42" t="n">
        <x:v>0</x:v>
      </x:c>
      <x:c r="AM4206" t="n">
        <x:f>CHOOSE('假设'!$B$3,AJ4206,AK4206,AL4206)</x:f>
        <x:v>0</x:v>
      </x:c>
      <x:c r="AN4206" t="n">
        <x:v>1</x:v>
      </x:c>
    </x:row>
    <x:row r="4207" ht="23" customHeight="1">
      <x:c r="A4207" s="11" t="str">
        <x:v>02162.HK</x:v>
      </x:c>
      <x:c r="B4207" s="11" t="str">
        <x:v>一年</x:v>
      </x:c>
      <x:c r="C4207" s="11" t="str">
        <x:v>CM512_other</x:v>
      </x:c>
      <x:c r="D4207" s="11" t="str">
        <x:v>2036-12-31</x:v>
      </x:c>
      <x:c r="E4207" s="11" t="str">
        <x:v>CNY</x:v>
      </x:c>
      <x:c r="F4207" s="11" t="n">
        <x:v>9.229295003422314</x:v>
      </x:c>
      <x:c r="G4207" s="26" t="b">
        <x:v>1</x:v>
      </x:c>
      <x:c r="H4207" s="16" t="n">
        <x:v>0.85</x:v>
      </x:c>
      <x:c r="I4207" s="16" t="n">
        <x:v>4</x:v>
      </x:c>
      <x:c r="J4207" s="16" t="n">
        <x:v>7.6</x:v>
      </x:c>
      <x:c r="K4207" s="11" t="n">
        <x:f>CHOOSE('假设'!$B$3,H4207,I4207,J4207)</x:f>
        <x:v>4</x:v>
      </x:c>
      <x:c r="L4207" s="11" t="n">
        <x:f>K4207*'管线假设'!E907*'管线假设'!F907*'管线假设'!G907*IF(E4207="USD",'管线假设'!I907,1)-AM4207</x:f>
        <x:v>0.576</x:v>
      </x:c>
      <x:c r="M4207" s="11" t="n">
        <x:f>'管线假设'!H907</x:f>
        <x:v>0.14</x:v>
      </x:c>
      <x:c r="N4207" s="11" t="n">
        <x:f>IF(G4207,L4207*AN4207/(1+M4207)^F4207,0)</x:f>
        <x:v>0.171882168151749</x:v>
      </x:c>
      <x:c r="AJ4207" s="42" t="n">
        <x:v>0</x:v>
      </x:c>
      <x:c r="AK4207" s="42" t="n">
        <x:v>0</x:v>
      </x:c>
      <x:c r="AL4207" s="42" t="n">
        <x:v>0</x:v>
      </x:c>
      <x:c r="AM4207" t="n">
        <x:f>CHOOSE('假设'!$B$3,AJ4207,AK4207,AL4207)</x:f>
        <x:v>0</x:v>
      </x:c>
      <x:c r="AN4207" t="n">
        <x:v>1</x:v>
      </x:c>
    </x:row>
    <x:row r="4208" ht="23" customHeight="1">
      <x:c r="A4208" s="11" t="str">
        <x:v>02162.HK</x:v>
      </x:c>
      <x:c r="B4208" s="11" t="str">
        <x:v>一年</x:v>
      </x:c>
      <x:c r="C4208" s="11" t="str">
        <x:v>CM512_other</x:v>
      </x:c>
      <x:c r="D4208" s="11" t="str">
        <x:v>2037-12-31</x:v>
      </x:c>
      <x:c r="E4208" s="11" t="str">
        <x:v>CNY</x:v>
      </x:c>
      <x:c r="F4208" s="11" t="n">
        <x:v>10.22861054072553</x:v>
      </x:c>
      <x:c r="G4208" s="26" t="b">
        <x:v>1</x:v>
      </x:c>
      <x:c r="H4208" s="16" t="n">
        <x:v>1</x:v>
      </x:c>
      <x:c r="I4208" s="16" t="n">
        <x:v>3.8</x:v>
      </x:c>
      <x:c r="J4208" s="16" t="n">
        <x:v>7.2</x:v>
      </x:c>
      <x:c r="K4208" s="11" t="n">
        <x:f>CHOOSE('假设'!$B$3,H4208,I4208,J4208)</x:f>
        <x:v>3.8</x:v>
      </x:c>
      <x:c r="L4208" s="11" t="n">
        <x:f>K4208*'管线假设'!E907*'管线假设'!F907*'管线假设'!G907*IF(E4208="USD",'管线假设'!I907,1)-AM4208</x:f>
        <x:v>0.5471999999999999</x:v>
      </x:c>
      <x:c r="M4208" s="11" t="n">
        <x:f>'管线假设'!H907</x:f>
        <x:v>0.14</x:v>
      </x:c>
      <x:c r="N4208" s="11" t="n">
        <x:f>IF(G4208,L4208*AN4208/(1+M4208)^F4208,0)</x:f>
        <x:v>0.14324798659677856</x:v>
      </x:c>
      <x:c r="AJ4208" s="42" t="n">
        <x:v>0</x:v>
      </x:c>
      <x:c r="AK4208" s="42" t="n">
        <x:v>0</x:v>
      </x:c>
      <x:c r="AL4208" s="42" t="n">
        <x:v>0</x:v>
      </x:c>
      <x:c r="AM4208" t="n">
        <x:f>CHOOSE('假设'!$B$3,AJ4208,AK4208,AL4208)</x:f>
        <x:v>0</x:v>
      </x:c>
      <x:c r="AN4208" t="n">
        <x:v>1</x:v>
      </x:c>
    </x:row>
    <x:row r="4209" ht="23" customHeight="1">
      <x:c r="A4209" s="11" t="str">
        <x:v>02162.HK</x:v>
      </x:c>
      <x:c r="B4209" s="11" t="str">
        <x:v>一年</x:v>
      </x:c>
      <x:c r="C4209" s="11" t="str">
        <x:v>CM512_other</x:v>
      </x:c>
      <x:c r="D4209" s="11" t="str">
        <x:v>2038-12-31</x:v>
      </x:c>
      <x:c r="E4209" s="11" t="str">
        <x:v>CNY</x:v>
      </x:c>
      <x:c r="F4209" s="11" t="n">
        <x:v>11.227926078028748</x:v>
      </x:c>
      <x:c r="G4209" s="26" t="b">
        <x:v>1</x:v>
      </x:c>
      <x:c r="H4209" s="16" t="n">
        <x:v>1</x:v>
      </x:c>
      <x:c r="I4209" s="16" t="n">
        <x:v>3.6</x:v>
      </x:c>
      <x:c r="J4209" s="16" t="n">
        <x:v>6.4</x:v>
      </x:c>
      <x:c r="K4209" s="11" t="n">
        <x:f>CHOOSE('假设'!$B$3,H4209,I4209,J4209)</x:f>
        <x:v>3.6</x:v>
      </x:c>
      <x:c r="L4209" s="11" t="n">
        <x:f>K4209*'管线假设'!E907*'管线假设'!F907*'管线假设'!G907*IF(E4209="USD",'管线假设'!I907,1)-AM4209</x:f>
        <x:v>0.5184</x:v>
      </x:c>
      <x:c r="M4209" s="11" t="n">
        <x:f>'管线假设'!H907</x:f>
        <x:v>0.14</x:v>
      </x:c>
      <x:c r="N4209" s="11" t="n">
        <x:f>IF(G4209,L4209*AN4209/(1+M4209)^F4209,0)</x:f>
        <x:v>0.11905332483596141</x:v>
      </x:c>
      <x:c r="AJ4209" s="42" t="n">
        <x:v>0</x:v>
      </x:c>
      <x:c r="AK4209" s="42" t="n">
        <x:v>0</x:v>
      </x:c>
      <x:c r="AL4209" s="42" t="n">
        <x:v>0</x:v>
      </x:c>
      <x:c r="AM4209" t="n">
        <x:f>CHOOSE('假设'!$B$3,AJ4209,AK4209,AL4209)</x:f>
        <x:v>0</x:v>
      </x:c>
      <x:c r="AN4209" t="n">
        <x:v>1</x:v>
      </x:c>
    </x:row>
    <x:row r="4210" ht="23" customHeight="1">
      <x:c r="A4210" s="11" t="str">
        <x:v>02162.HK</x:v>
      </x:c>
      <x:c r="B4210" s="11" t="str">
        <x:v>一年</x:v>
      </x:c>
      <x:c r="C4210" s="11" t="str">
        <x:v>CM512_other</x:v>
      </x:c>
      <x:c r="D4210" s="11" t="str">
        <x:v>2039-12-31</x:v>
      </x:c>
      <x:c r="E4210" s="11" t="str">
        <x:v>CNY</x:v>
      </x:c>
      <x:c r="F4210" s="11" t="n">
        <x:v>12.227241615331964</x:v>
      </x:c>
      <x:c r="G4210" s="26" t="b">
        <x:v>1</x:v>
      </x:c>
      <x:c r="H4210" s="16" t="n">
        <x:v>0.95</x:v>
      </x:c>
      <x:c r="I4210" s="16" t="n">
        <x:v>3.2</x:v>
      </x:c>
      <x:c r="J4210" s="16" t="n">
        <x:v>5.2</x:v>
      </x:c>
      <x:c r="K4210" s="11" t="n">
        <x:f>CHOOSE('假设'!$B$3,H4210,I4210,J4210)</x:f>
        <x:v>3.2</x:v>
      </x:c>
      <x:c r="L4210" s="11" t="n">
        <x:f>K4210*'管线假设'!E907*'管线假设'!F907*'管线假设'!G907*IF(E4210="USD",'管线假设'!I907,1)-AM4210</x:f>
        <x:v>0.4608</x:v>
      </x:c>
      <x:c r="M4210" s="11" t="n">
        <x:f>'管线假设'!H907</x:f>
        <x:v>0.14</x:v>
      </x:c>
      <x:c r="N4210" s="11" t="n">
        <x:f>IF(G4210,L4210*AN4210/(1+M4210)^F4210,0)</x:f>
        <x:v>0.09283742884064468</x:v>
      </x:c>
      <x:c r="AJ4210" s="42" t="n">
        <x:v>0</x:v>
      </x:c>
      <x:c r="AK4210" s="42" t="n">
        <x:v>0</x:v>
      </x:c>
      <x:c r="AL4210" s="42" t="n">
        <x:v>0</x:v>
      </x:c>
      <x:c r="AM4210" t="n">
        <x:f>CHOOSE('假设'!$B$3,AJ4210,AK4210,AL4210)</x:f>
        <x:v>0</x:v>
      </x:c>
      <x:c r="AN4210" t="n">
        <x:v>1</x:v>
      </x:c>
    </x:row>
    <x:row r="4211" ht="23" customHeight="1">
      <x:c r="A4211" s="11" t="str">
        <x:v>02162.HK</x:v>
      </x:c>
      <x:c r="B4211" s="11" t="str">
        <x:v>一年</x:v>
      </x:c>
      <x:c r="C4211" s="11" t="str">
        <x:v>CM512_other</x:v>
      </x:c>
      <x:c r="D4211" s="11" t="str">
        <x:v>2040-12-31</x:v>
      </x:c>
      <x:c r="E4211" s="11" t="str">
        <x:v>CNY</x:v>
      </x:c>
      <x:c r="F4211" s="11" t="n">
        <x:v>13.229295003422314</x:v>
      </x:c>
      <x:c r="G4211" s="26" t="b">
        <x:v>1</x:v>
      </x:c>
      <x:c r="H4211" s="16" t="n">
        <x:v>0.9</x:v>
      </x:c>
      <x:c r="I4211" s="16" t="n">
        <x:v>2.6</x:v>
      </x:c>
      <x:c r="J4211" s="16" t="n">
        <x:v>4</x:v>
      </x:c>
      <x:c r="K4211" s="11" t="n">
        <x:f>CHOOSE('假设'!$B$3,H4211,I4211,J4211)</x:f>
        <x:v>2.6</x:v>
      </x:c>
      <x:c r="L4211" s="11" t="n">
        <x:f>K4211*'管线假设'!E907*'管线假设'!F907*'管线假设'!G907*IF(E4211="USD",'管线假设'!I907,1)-AM4211</x:f>
        <x:v>0.3744</x:v>
      </x:c>
      <x:c r="M4211" s="11" t="n">
        <x:f>'管线假设'!H907</x:f>
        <x:v>0.14</x:v>
      </x:c>
      <x:c r="N4211" s="11" t="n">
        <x:f>IF(G4211,L4211*AN4211/(1+M4211)^F4211,0)</x:f>
        <x:v>0.06614922716628013</x:v>
      </x:c>
      <x:c r="AJ4211" s="42" t="n">
        <x:v>0</x:v>
      </x:c>
      <x:c r="AK4211" s="42" t="n">
        <x:v>0</x:v>
      </x:c>
      <x:c r="AL4211" s="42" t="n">
        <x:v>0</x:v>
      </x:c>
      <x:c r="AM4211" t="n">
        <x:f>CHOOSE('假设'!$B$3,AJ4211,AK4211,AL4211)</x:f>
        <x:v>0</x:v>
      </x:c>
      <x:c r="AN4211" t="n">
        <x:v>1</x:v>
      </x:c>
    </x:row>
    <x:row r="4212" ht="23" customHeight="1">
      <x:c r="A4212" s="11" t="str">
        <x:v>02162.HK</x:v>
      </x:c>
      <x:c r="B4212" s="11" t="str">
        <x:v>一年</x:v>
      </x:c>
      <x:c r="C4212" s="11" t="str">
        <x:v>CM512_other</x:v>
      </x:c>
      <x:c r="D4212" s="11" t="str">
        <x:v>2041-12-31</x:v>
      </x:c>
      <x:c r="E4212" s="11" t="str">
        <x:v>CNY</x:v>
      </x:c>
      <x:c r="F4212" s="11" t="n">
        <x:v>14.22861054072553</x:v>
      </x:c>
      <x:c r="G4212" s="26" t="b">
        <x:v>1</x:v>
      </x:c>
      <x:c r="H4212" s="16" t="n">
        <x:v>0.8</x:v>
      </x:c>
      <x:c r="I4212" s="16" t="n">
        <x:v>2</x:v>
      </x:c>
      <x:c r="J4212" s="16" t="n">
        <x:v>2.8</x:v>
      </x:c>
      <x:c r="K4212" s="11" t="n">
        <x:f>CHOOSE('假设'!$B$3,H4212,I4212,J4212)</x:f>
        <x:v>2</x:v>
      </x:c>
      <x:c r="L4212" s="11" t="n">
        <x:f>K4212*'管线假设'!E907*'管线假设'!F907*'管线假设'!G907*IF(E4212="USD",'管线假设'!I907,1)-AM4212</x:f>
        <x:v>0.288</x:v>
      </x:c>
      <x:c r="M4212" s="11" t="n">
        <x:f>'管线假设'!H907</x:f>
        <x:v>0.14</x:v>
      </x:c>
      <x:c r="N4212" s="11" t="n">
        <x:f>IF(G4212,L4212*AN4212/(1+M4212)^F4212,0)</x:f>
        <x:v>0.04463910928260097</x:v>
      </x:c>
      <x:c r="AJ4212" s="42" t="n">
        <x:v>0</x:v>
      </x:c>
      <x:c r="AK4212" s="42" t="n">
        <x:v>0</x:v>
      </x:c>
      <x:c r="AL4212" s="42" t="n">
        <x:v>0</x:v>
      </x:c>
      <x:c r="AM4212" t="n">
        <x:f>CHOOSE('假设'!$B$3,AJ4212,AK4212,AL4212)</x:f>
        <x:v>0</x:v>
      </x:c>
      <x:c r="AN4212" t="n">
        <x:v>1</x:v>
      </x:c>
    </x:row>
    <x:row r="4213" ht="23" customHeight="1">
      <x:c r="A4213" s="11" t="str">
        <x:v>02162.HK</x:v>
      </x:c>
      <x:c r="B4213" s="11" t="str">
        <x:v>一年</x:v>
      </x:c>
      <x:c r="C4213" s="11" t="str">
        <x:v>CM512_other</x:v>
      </x:c>
      <x:c r="D4213" s="11" t="str">
        <x:v>2042-12-31</x:v>
      </x:c>
      <x:c r="E4213" s="11" t="str">
        <x:v>CNY</x:v>
      </x:c>
      <x:c r="F4213" s="11" t="n">
        <x:v>15.227926078028748</x:v>
      </x:c>
      <x:c r="G4213" s="26" t="b">
        <x:v>1</x:v>
      </x:c>
      <x:c r="H4213" s="16" t="n">
        <x:v>0.65</x:v>
      </x:c>
      <x:c r="I4213" s="16" t="n">
        <x:v>1.4</x:v>
      </x:c>
      <x:c r="J4213" s="16" t="n">
        <x:v>1.6</x:v>
      </x:c>
      <x:c r="K4213" s="11" t="n">
        <x:f>CHOOSE('假设'!$B$3,H4213,I4213,J4213)</x:f>
        <x:v>1.4</x:v>
      </x:c>
      <x:c r="L4213" s="11" t="n">
        <x:f>K4213*'管线假设'!E907*'管线假设'!F907*'管线假设'!G907*IF(E4213="USD",'管线假设'!I907,1)-AM4213</x:f>
        <x:v>0.20159999999999997</x:v>
      </x:c>
      <x:c r="M4213" s="11" t="n">
        <x:f>'管线假设'!H907</x:f>
        <x:v>0.14</x:v>
      </x:c>
      <x:c r="N4213" s="11" t="n">
        <x:f>IF(G4213,L4213*AN4213/(1+M4213)^F4213,0)</x:f>
        <x:v>0.02741243772972417</x:v>
      </x:c>
      <x:c r="AJ4213" s="42" t="n">
        <x:v>0</x:v>
      </x:c>
      <x:c r="AK4213" s="42" t="n">
        <x:v>0</x:v>
      </x:c>
      <x:c r="AL4213" s="42" t="n">
        <x:v>0</x:v>
      </x:c>
      <x:c r="AM4213" t="n">
        <x:f>CHOOSE('假设'!$B$3,AJ4213,AK4213,AL4213)</x:f>
        <x:v>0</x:v>
      </x:c>
      <x:c r="AN4213" t="n">
        <x:v>1</x:v>
      </x:c>
    </x:row>
    <x:row r="4214" ht="23" customHeight="1">
      <x:c r="A4214" s="11" t="str">
        <x:v>02162.HK</x:v>
      </x:c>
      <x:c r="B4214" s="11" t="str">
        <x:v>一年</x:v>
      </x:c>
      <x:c r="C4214" s="11" t="str">
        <x:v>CM512_other</x:v>
      </x:c>
      <x:c r="D4214" s="11" t="str">
        <x:v>2043-12-31</x:v>
      </x:c>
      <x:c r="E4214" s="11" t="str">
        <x:v>CNY</x:v>
      </x:c>
      <x:c r="F4214" s="11" t="n">
        <x:v>16.227241615331966</x:v>
      </x:c>
      <x:c r="G4214" s="26" t="b">
        <x:v>1</x:v>
      </x:c>
      <x:c r="H4214" s="16" t="n">
        <x:v>0.5</x:v>
      </x:c>
      <x:c r="I4214" s="16" t="n">
        <x:v>0.8</x:v>
      </x:c>
      <x:c r="J4214" s="16" t="n">
        <x:v>0.96</x:v>
      </x:c>
      <x:c r="K4214" s="11" t="n">
        <x:f>CHOOSE('假设'!$B$3,H4214,I4214,J4214)</x:f>
        <x:v>0.8</x:v>
      </x:c>
      <x:c r="L4214" s="11" t="n">
        <x:f>K4214*'管线假设'!E907*'管线假设'!F907*'管线假设'!G907*IF(E4214="USD",'管线假设'!I907,1)-AM4214</x:f>
        <x:v>0.1152</x:v>
      </x:c>
      <x:c r="M4214" s="11" t="n">
        <x:f>'管线假设'!H907</x:f>
        <x:v>0.14</x:v>
      </x:c>
      <x:c r="N4214" s="11" t="n">
        <x:f>IF(G4214,L4214*AN4214/(1+M4214)^F4214,0)</x:f>
        <x:v>0.013741802654576028</x:v>
      </x:c>
      <x:c r="AJ4214" s="42" t="n">
        <x:v>0</x:v>
      </x:c>
      <x:c r="AK4214" s="42" t="n">
        <x:v>0</x:v>
      </x:c>
      <x:c r="AL4214" s="42" t="n">
        <x:v>0</x:v>
      </x:c>
      <x:c r="AM4214" t="n">
        <x:f>CHOOSE('假设'!$B$3,AJ4214,AK4214,AL4214)</x:f>
        <x:v>0</x:v>
      </x:c>
      <x:c r="AN4214" t="n">
        <x:v>1</x:v>
      </x:c>
    </x:row>
    <x:row r="4215" ht="23" customHeight="1">
      <x:c r="A4215" s="11" t="str">
        <x:v>02162.HK</x:v>
      </x:c>
      <x:c r="B4215" s="11" t="str">
        <x:v>一年</x:v>
      </x:c>
      <x:c r="C4215" s="11" t="str">
        <x:v>CM512_other</x:v>
      </x:c>
      <x:c r="D4215" s="11" t="str">
        <x:v>2044-12-31</x:v>
      </x:c>
      <x:c r="E4215" s="11" t="str">
        <x:v>CNY</x:v>
      </x:c>
      <x:c r="F4215" s="11" t="n">
        <x:v>17.229295003422312</x:v>
      </x:c>
      <x:c r="G4215" s="26" t="b">
        <x:v>1</x:v>
      </x:c>
      <x:c r="H4215" s="16" t="n">
        <x:v>0.35</x:v>
      </x:c>
      <x:c r="I4215" s="16" t="n">
        <x:v>0.48</x:v>
      </x:c>
      <x:c r="J4215" s="16" t="n">
        <x:v>0.56</x:v>
      </x:c>
      <x:c r="K4215" s="11" t="n">
        <x:f>CHOOSE('假设'!$B$3,H4215,I4215,J4215)</x:f>
        <x:v>0.48</x:v>
      </x:c>
      <x:c r="L4215" s="11" t="n">
        <x:f>K4215*'管线假设'!E907*'管线假设'!F907*'管线假设'!G907*IF(E4215="USD",'管线假设'!I907,1)-AM4215</x:f>
        <x:v>0.06911999999999999</x:v>
      </x:c>
      <x:c r="M4215" s="11" t="n">
        <x:f>'管线假设'!H907</x:f>
        <x:v>0.14</x:v>
      </x:c>
      <x:c r="N4215" s="11" t="n">
        <x:f>IF(G4215,L4215*AN4215/(1+M4215)^F4215,0)</x:f>
        <x:v>0.007230582049557195</x:v>
      </x:c>
      <x:c r="AJ4215" s="42" t="n">
        <x:v>0</x:v>
      </x:c>
      <x:c r="AK4215" s="42" t="n">
        <x:v>0</x:v>
      </x:c>
      <x:c r="AL4215" s="42" t="n">
        <x:v>0</x:v>
      </x:c>
      <x:c r="AM4215" t="n">
        <x:f>CHOOSE('假设'!$B$3,AJ4215,AK4215,AL4215)</x:f>
        <x:v>0</x:v>
      </x:c>
      <x:c r="AN4215" t="n">
        <x:v>1</x:v>
      </x:c>
    </x:row>
    <x:row r="4216" ht="23" customHeight="1">
      <x:c r="A4216" s="11" t="str">
        <x:v>02162.HK</x:v>
      </x:c>
      <x:c r="B4216" s="11" t="str">
        <x:v>一年</x:v>
      </x:c>
      <x:c r="C4216" s="11" t="str">
        <x:v>CMG901_2Lplus</x:v>
      </x:c>
      <x:c r="D4216" s="11" t="str">
        <x:v>2026-12-31</x:v>
      </x:c>
      <x:c r="E4216" s="11" t="str">
        <x:v>USD</x:v>
      </x:c>
      <x:c r="F4216" s="11" t="n">
        <x:v>-0.7720739219712526</x:v>
      </x:c>
      <x:c r="G4216" s="26" t="b">
        <x:v>0</x:v>
      </x:c>
      <x:c r="H4216" s="16" t="n">
        <x:v>0</x:v>
      </x:c>
      <x:c r="I4216" s="16" t="n">
        <x:v>0</x:v>
      </x:c>
      <x:c r="J4216" s="16" t="n">
        <x:v>0</x:v>
      </x:c>
      <x:c r="K4216" s="11" t="n">
        <x:f>CHOOSE('假设'!$B$3,H4216,I4216,J4216)</x:f>
        <x:v>0</x:v>
      </x:c>
      <x:c r="L4216" s="11" t="n">
        <x:f>K4216*'管线假设'!E911*'管线假设'!F911*'管线假设'!G911*IF(E4216="USD",'管线假设'!I911,1)-AM4216</x:f>
        <x:v>-0.056</x:v>
      </x:c>
      <x:c r="M4216" s="11" t="n">
        <x:f>'管线假设'!H911</x:f>
        <x:v>0.14</x:v>
      </x:c>
      <x:c r="N4216" s="11" t="n">
        <x:f>IF(G4216,L4216*AN4216/(1+M4216)^F4216,0)</x:f>
        <x:v>0</x:v>
      </x:c>
      <x:c r="AJ4216" s="42" t="n">
        <x:v>0.035</x:v>
      </x:c>
      <x:c r="AK4216" s="42" t="n">
        <x:v>0.056</x:v>
      </x:c>
      <x:c r="AL4216" s="42" t="n">
        <x:v>0.084</x:v>
      </x:c>
      <x:c r="AM4216" t="n">
        <x:f>CHOOSE('假设'!$B$3,AJ4216,AK4216,AL4216)</x:f>
        <x:v>0.056</x:v>
      </x:c>
      <x:c r="AN4216" t="n">
        <x:v>0</x:v>
      </x:c>
    </x:row>
    <x:row r="4217" ht="23" customHeight="1">
      <x:c r="A4217" s="11" t="str">
        <x:v>02162.HK</x:v>
      </x:c>
      <x:c r="B4217" s="11" t="str">
        <x:v>一年</x:v>
      </x:c>
      <x:c r="C4217" s="11" t="str">
        <x:v>CMG901_2Lplus</x:v>
      </x:c>
      <x:c r="D4217" s="11" t="str">
        <x:v>2027-12-31</x:v>
      </x:c>
      <x:c r="E4217" s="11" t="str">
        <x:v>USD</x:v>
      </x:c>
      <x:c r="F4217" s="11" t="n">
        <x:v>0.2272416153319644</x:v>
      </x:c>
      <x:c r="G4217" s="26" t="b">
        <x:v>1</x:v>
      </x:c>
      <x:c r="H4217" s="16" t="n">
        <x:v>0</x:v>
      </x:c>
      <x:c r="I4217" s="16" t="n">
        <x:v>0.18</x:v>
      </x:c>
      <x:c r="J4217" s="16" t="n">
        <x:v>0.27</x:v>
      </x:c>
      <x:c r="K4217" s="11" t="n">
        <x:f>CHOOSE('假设'!$B$3,H4217,I4217,J4217)</x:f>
        <x:v>0.18</x:v>
      </x:c>
      <x:c r="L4217" s="11" t="n">
        <x:f>K4217*'管线假设'!E911*'管线假设'!F911*'管线假设'!G911*IF(E4217="USD",'管线假设'!I911,1)-AM4217</x:f>
        <x:v>0.009091599999999998</x:v>
      </x:c>
      <x:c r="M4217" s="11" t="n">
        <x:f>'管线假设'!H911</x:f>
        <x:v>0.14</x:v>
      </x:c>
      <x:c r="N4217" s="11" t="n">
        <x:f>IF(G4217,L4217*AN4217/(1+M4217)^F4217,0)</x:f>
        <x:v>0.0020122682662151643</x:v>
      </x:c>
      <x:c r="AJ4217" s="42" t="n">
        <x:v>0.035</x:v>
      </x:c>
      <x:c r="AK4217" s="42" t="n">
        <x:v>0.056</x:v>
      </x:c>
      <x:c r="AL4217" s="42" t="n">
        <x:v>0.07</x:v>
      </x:c>
      <x:c r="AM4217" t="n">
        <x:f>CHOOSE('假设'!$B$3,AJ4217,AK4217,AL4217)</x:f>
        <x:v>0.056</x:v>
      </x:c>
      <x:c r="AN4217" t="n">
        <x:v>0.22802197802197802</x:v>
      </x:c>
    </x:row>
    <x:row r="4218" ht="23" customHeight="1">
      <x:c r="A4218" s="11" t="str">
        <x:v>02162.HK</x:v>
      </x:c>
      <x:c r="B4218" s="11" t="str">
        <x:v>一年</x:v>
      </x:c>
      <x:c r="C4218" s="11" t="str">
        <x:v>CMG901_2Lplus</x:v>
      </x:c>
      <x:c r="D4218" s="11" t="str">
        <x:v>2028-12-31</x:v>
      </x:c>
      <x:c r="E4218" s="11" t="str">
        <x:v>USD</x:v>
      </x:c>
      <x:c r="F4218" s="11" t="n">
        <x:v>1.2292950034223136</x:v>
      </x:c>
      <x:c r="G4218" s="26" t="b">
        <x:v>1</x:v>
      </x:c>
      <x:c r="H4218" s="16" t="n">
        <x:v>0.09</x:v>
      </x:c>
      <x:c r="I4218" s="16" t="n">
        <x:v>0.54</x:v>
      </x:c>
      <x:c r="J4218" s="16" t="n">
        <x:v>0.8099999999999999</x:v>
      </x:c>
      <x:c r="K4218" s="11" t="n">
        <x:f>CHOOSE('假设'!$B$3,H4218,I4218,J4218)</x:f>
        <x:v>0.54</x:v>
      </x:c>
      <x:c r="L4218" s="11" t="n">
        <x:f>K4218*'管线假设'!E911*'管线假设'!F911*'管线假设'!G911*IF(E4218="USD",'管线假设'!I911,1)-AM4218</x:f>
        <x:v>0.1952748</x:v>
      </x:c>
      <x:c r="M4218" s="11" t="n">
        <x:f>'管线假设'!H911</x:f>
        <x:v>0.14</x:v>
      </x:c>
      <x:c r="N4218" s="11" t="n">
        <x:f>IF(G4218,L4218*AN4218/(1+M4218)^F4218,0)</x:f>
        <x:v>0.16622385583194518</x:v>
      </x:c>
      <x:c r="AJ4218" s="42" t="n">
        <x:v>0</x:v>
      </x:c>
      <x:c r="AK4218" s="42" t="n">
        <x:v>0</x:v>
      </x:c>
      <x:c r="AL4218" s="42" t="n">
        <x:v>0</x:v>
      </x:c>
      <x:c r="AM4218" t="n">
        <x:f>CHOOSE('假设'!$B$3,AJ4218,AK4218,AL4218)</x:f>
        <x:v>0</x:v>
      </x:c>
      <x:c r="AN4218" t="n">
        <x:v>1</x:v>
      </x:c>
    </x:row>
    <x:row r="4219" ht="23" customHeight="1">
      <x:c r="A4219" s="11" t="str">
        <x:v>02162.HK</x:v>
      </x:c>
      <x:c r="B4219" s="11" t="str">
        <x:v>一年</x:v>
      </x:c>
      <x:c r="C4219" s="11" t="str">
        <x:v>CMG901_2Lplus</x:v>
      </x:c>
      <x:c r="D4219" s="11" t="str">
        <x:v>2029-12-31</x:v>
      </x:c>
      <x:c r="E4219" s="11" t="str">
        <x:v>USD</x:v>
      </x:c>
      <x:c r="F4219" s="11" t="n">
        <x:v>2.2286105407255303</x:v>
      </x:c>
      <x:c r="G4219" s="26" t="b">
        <x:v>1</x:v>
      </x:c>
      <x:c r="H4219" s="16" t="n">
        <x:v>0.27</x:v>
      </x:c>
      <x:c r="I4219" s="16" t="n">
        <x:v>1.1400000000000001</x:v>
      </x:c>
      <x:c r="J4219" s="16" t="n">
        <x:v>1.71</x:v>
      </x:c>
      <x:c r="K4219" s="11" t="n">
        <x:f>CHOOSE('假设'!$B$3,H4219,I4219,J4219)</x:f>
        <x:v>1.1400000000000001</x:v>
      </x:c>
      <x:c r="L4219" s="11" t="n">
        <x:f>K4219*'管线假设'!E911*'管线假设'!F911*'管线假设'!G911*IF(E4219="USD",'管线假设'!I911,1)-AM4219</x:f>
        <x:v>0.41224679999999997</x:v>
      </x:c>
      <x:c r="M4219" s="11" t="n">
        <x:f>'管线假设'!H911</x:f>
        <x:v>0.14</x:v>
      </x:c>
      <x:c r="N4219" s="11" t="n">
        <x:f>IF(G4219,L4219*AN4219/(1+M4219)^F4219,0)</x:f>
        <x:v>0.30784956317357537</x:v>
      </x:c>
      <x:c r="AJ4219" s="42" t="n">
        <x:v>0</x:v>
      </x:c>
      <x:c r="AK4219" s="42" t="n">
        <x:v>0</x:v>
      </x:c>
      <x:c r="AL4219" s="42" t="n">
        <x:v>0</x:v>
      </x:c>
      <x:c r="AM4219" t="n">
        <x:f>CHOOSE('假设'!$B$3,AJ4219,AK4219,AL4219)</x:f>
        <x:v>0</x:v>
      </x:c>
      <x:c r="AN4219" t="n">
        <x:v>1</x:v>
      </x:c>
    </x:row>
    <x:row r="4220" ht="23" customHeight="1">
      <x:c r="A4220" s="11" t="str">
        <x:v>02162.HK</x:v>
      </x:c>
      <x:c r="B4220" s="11" t="str">
        <x:v>一年</x:v>
      </x:c>
      <x:c r="C4220" s="11" t="str">
        <x:v>CMG901_2Lplus</x:v>
      </x:c>
      <x:c r="D4220" s="11" t="str">
        <x:v>2030-12-31</x:v>
      </x:c>
      <x:c r="E4220" s="11" t="str">
        <x:v>USD</x:v>
      </x:c>
      <x:c r="F4220" s="11" t="n">
        <x:v>3.2279260780287475</x:v>
      </x:c>
      <x:c r="G4220" s="26" t="b">
        <x:v>1</x:v>
      </x:c>
      <x:c r="H4220" s="16" t="n">
        <x:v>0.5700000000000001</x:v>
      </x:c>
      <x:c r="I4220" s="16" t="n">
        <x:v>1.9500000000000002</x:v>
      </x:c>
      <x:c r="J4220" s="16" t="n">
        <x:v>2.9250000000000003</x:v>
      </x:c>
      <x:c r="K4220" s="11" t="n">
        <x:f>CHOOSE('假设'!$B$3,H4220,I4220,J4220)</x:f>
        <x:v>1.9500000000000002</x:v>
      </x:c>
      <x:c r="L4220" s="11" t="n">
        <x:f>K4220*'管线假设'!E911*'管线假设'!F911*'管线假设'!G911*IF(E4220="USD",'管线假设'!I911,1)-AM4220</x:f>
        <x:v>0.7051589999999999</x:v>
      </x:c>
      <x:c r="M4220" s="11" t="n">
        <x:f>'管线假设'!H911</x:f>
        <x:v>0.14</x:v>
      </x:c>
      <x:c r="N4220" s="11" t="n">
        <x:f>IF(G4220,L4220*AN4220/(1+M4220)^F4220,0)</x:f>
        <x:v>0.46195790126105646</x:v>
      </x:c>
      <x:c r="AJ4220" s="42" t="n">
        <x:v>0</x:v>
      </x:c>
      <x:c r="AK4220" s="42" t="n">
        <x:v>0</x:v>
      </x:c>
      <x:c r="AL4220" s="42" t="n">
        <x:v>0</x:v>
      </x:c>
      <x:c r="AM4220" t="n">
        <x:f>CHOOSE('假设'!$B$3,AJ4220,AK4220,AL4220)</x:f>
        <x:v>0</x:v>
      </x:c>
      <x:c r="AN4220" t="n">
        <x:v>1</x:v>
      </x:c>
    </x:row>
    <x:row r="4221" ht="23" customHeight="1">
      <x:c r="A4221" s="11" t="str">
        <x:v>02162.HK</x:v>
      </x:c>
      <x:c r="B4221" s="11" t="str">
        <x:v>一年</x:v>
      </x:c>
      <x:c r="C4221" s="11" t="str">
        <x:v>CMG901_2Lplus</x:v>
      </x:c>
      <x:c r="D4221" s="11" t="str">
        <x:v>2031-12-31</x:v>
      </x:c>
      <x:c r="E4221" s="11" t="str">
        <x:v>USD</x:v>
      </x:c>
      <x:c r="F4221" s="11" t="n">
        <x:v>4.227241615331964</x:v>
      </x:c>
      <x:c r="G4221" s="26" t="b">
        <x:v>1</x:v>
      </x:c>
      <x:c r="H4221" s="16" t="n">
        <x:v>0.9750000000000001</x:v>
      </x:c>
      <x:c r="I4221" s="16" t="n">
        <x:v>2.55</x:v>
      </x:c>
      <x:c r="J4221" s="16" t="n">
        <x:v>3.8249999999999997</x:v>
      </x:c>
      <x:c r="K4221" s="11" t="n">
        <x:f>CHOOSE('假设'!$B$3,H4221,I4221,J4221)</x:f>
        <x:v>2.55</x:v>
      </x:c>
      <x:c r="L4221" s="11" t="n">
        <x:f>K4221*'管线假设'!E911*'管线假设'!F911*'管线假设'!G911*IF(E4221="USD",'管线假设'!I911,1)-AM4221</x:f>
        <x:v>0.9221309999999997</x:v>
      </x:c>
      <x:c r="M4221" s="11" t="n">
        <x:f>'管线假设'!H911</x:f>
        <x:v>0.14</x:v>
      </x:c>
      <x:c r="N4221" s="11" t="n">
        <x:f>IF(G4221,L4221*AN4221/(1+M4221)^F4221,0)</x:f>
        <x:v>0.5299587494360134</x:v>
      </x:c>
      <x:c r="AJ4221" s="42" t="n">
        <x:v>0</x:v>
      </x:c>
      <x:c r="AK4221" s="42" t="n">
        <x:v>0</x:v>
      </x:c>
      <x:c r="AL4221" s="42" t="n">
        <x:v>0</x:v>
      </x:c>
      <x:c r="AM4221" t="n">
        <x:f>CHOOSE('假设'!$B$3,AJ4221,AK4221,AL4221)</x:f>
        <x:v>0</x:v>
      </x:c>
      <x:c r="AN4221" t="n">
        <x:v>1</x:v>
      </x:c>
    </x:row>
    <x:row r="4222" ht="23" customHeight="1">
      <x:c r="A4222" s="11" t="str">
        <x:v>02162.HK</x:v>
      </x:c>
      <x:c r="B4222" s="11" t="str">
        <x:v>一年</x:v>
      </x:c>
      <x:c r="C4222" s="11" t="str">
        <x:v>CMG901_2Lplus</x:v>
      </x:c>
      <x:c r="D4222" s="11" t="str">
        <x:v>2032-12-31</x:v>
      </x:c>
      <x:c r="E4222" s="11" t="str">
        <x:v>USD</x:v>
      </x:c>
      <x:c r="F4222" s="11" t="n">
        <x:v>5.229295003422314</x:v>
      </x:c>
      <x:c r="G4222" s="26" t="b">
        <x:v>1</x:v>
      </x:c>
      <x:c r="H4222" s="16" t="n">
        <x:v>1.275</x:v>
      </x:c>
      <x:c r="I4222" s="16" t="n">
        <x:v>3</x:v>
      </x:c>
      <x:c r="J4222" s="16" t="n">
        <x:v>4.5</x:v>
      </x:c>
      <x:c r="K4222" s="11" t="n">
        <x:f>CHOOSE('假设'!$B$3,H4222,I4222,J4222)</x:f>
        <x:v>3</x:v>
      </x:c>
      <x:c r="L4222" s="11" t="n">
        <x:f>K4222*'管线假设'!E911*'管线假设'!F911*'管线假设'!G911*IF(E4222="USD",'管线假设'!I911,1)-AM4222</x:f>
        <x:v>1.08486</x:v>
      </x:c>
      <x:c r="M4222" s="11" t="n">
        <x:f>'管线假设'!H911</x:f>
        <x:v>0.14</x:v>
      </x:c>
      <x:c r="N4222" s="11" t="n">
        <x:f>IF(G4222,L4222*AN4222/(1+M4222)^F4222,0)</x:f>
        <x:v>0.5467659259251137</x:v>
      </x:c>
      <x:c r="AJ4222" s="42" t="n">
        <x:v>0</x:v>
      </x:c>
      <x:c r="AK4222" s="42" t="n">
        <x:v>0</x:v>
      </x:c>
      <x:c r="AL4222" s="42" t="n">
        <x:v>0</x:v>
      </x:c>
      <x:c r="AM4222" t="n">
        <x:f>CHOOSE('假设'!$B$3,AJ4222,AK4222,AL4222)</x:f>
        <x:v>0</x:v>
      </x:c>
      <x:c r="AN4222" t="n">
        <x:v>1</x:v>
      </x:c>
    </x:row>
    <x:row r="4223" ht="23" customHeight="1">
      <x:c r="A4223" s="11" t="str">
        <x:v>02162.HK</x:v>
      </x:c>
      <x:c r="B4223" s="11" t="str">
        <x:v>一年</x:v>
      </x:c>
      <x:c r="C4223" s="11" t="str">
        <x:v>CMG901_2Lplus</x:v>
      </x:c>
      <x:c r="D4223" s="11" t="str">
        <x:v>2033-12-31</x:v>
      </x:c>
      <x:c r="E4223" s="11" t="str">
        <x:v>USD</x:v>
      </x:c>
      <x:c r="F4223" s="11" t="n">
        <x:v>6.228610540725531</x:v>
      </x:c>
      <x:c r="G4223" s="26" t="b">
        <x:v>1</x:v>
      </x:c>
      <x:c r="H4223" s="16" t="n">
        <x:v>1.5</x:v>
      </x:c>
      <x:c r="I4223" s="16" t="n">
        <x:v>3</x:v>
      </x:c>
      <x:c r="J4223" s="16" t="n">
        <x:v>4.5</x:v>
      </x:c>
      <x:c r="K4223" s="11" t="n">
        <x:f>CHOOSE('假设'!$B$3,H4223,I4223,J4223)</x:f>
        <x:v>3</x:v>
      </x:c>
      <x:c r="L4223" s="11" t="n">
        <x:f>K4223*'管线假设'!E911*'管线假设'!F911*'管线假设'!G911*IF(E4223="USD",'管线假设'!I911,1)-AM4223</x:f>
        <x:v>1.08486</x:v>
      </x:c>
      <x:c r="M4223" s="11" t="n">
        <x:f>'管线假设'!H911</x:f>
        <x:v>0.14</x:v>
      </x:c>
      <x:c r="N4223" s="11" t="n">
        <x:f>IF(G4223,L4223*AN4223/(1+M4223)^F4223,0)</x:f>
        <x:v>0.47966224934763724</x:v>
      </x:c>
      <x:c r="AJ4223" s="42" t="n">
        <x:v>0</x:v>
      </x:c>
      <x:c r="AK4223" s="42" t="n">
        <x:v>0</x:v>
      </x:c>
      <x:c r="AL4223" s="42" t="n">
        <x:v>0</x:v>
      </x:c>
      <x:c r="AM4223" t="n">
        <x:f>CHOOSE('假设'!$B$3,AJ4223,AK4223,AL4223)</x:f>
        <x:v>0</x:v>
      </x:c>
      <x:c r="AN4223" t="n">
        <x:v>1</x:v>
      </x:c>
    </x:row>
    <x:row r="4224" ht="23" customHeight="1">
      <x:c r="A4224" s="11" t="str">
        <x:v>02162.HK</x:v>
      </x:c>
      <x:c r="B4224" s="11" t="str">
        <x:v>一年</x:v>
      </x:c>
      <x:c r="C4224" s="11" t="str">
        <x:v>CMG901_2Lplus</x:v>
      </x:c>
      <x:c r="D4224" s="11" t="str">
        <x:v>2034-12-31</x:v>
      </x:c>
      <x:c r="E4224" s="11" t="str">
        <x:v>USD</x:v>
      </x:c>
      <x:c r="F4224" s="11" t="n">
        <x:v>7.227926078028747</x:v>
      </x:c>
      <x:c r="G4224" s="26" t="b">
        <x:v>1</x:v>
      </x:c>
      <x:c r="H4224" s="16" t="n">
        <x:v>1.5</x:v>
      </x:c>
      <x:c r="I4224" s="16" t="n">
        <x:v>2.8499999999999996</x:v>
      </x:c>
      <x:c r="J4224" s="16" t="n">
        <x:v>4.2749999999999995</x:v>
      </x:c>
      <x:c r="K4224" s="11" t="n">
        <x:f>CHOOSE('假设'!$B$3,H4224,I4224,J4224)</x:f>
        <x:v>2.8499999999999996</x:v>
      </x:c>
      <x:c r="L4224" s="11" t="n">
        <x:f>K4224*'管线假设'!E911*'管线假设'!F911*'管线假设'!G911*IF(E4224="USD",'管线假设'!I911,1)-AM4224</x:f>
        <x:v>1.0306169999999997</x:v>
      </x:c>
      <x:c r="M4224" s="11" t="n">
        <x:f>'管线假设'!H911</x:f>
        <x:v>0.14</x:v>
      </x:c>
      <x:c r="N4224" s="11" t="n">
        <x:f>IF(G4224,L4224*AN4224/(1+M4224)^F4224,0)</x:f>
        <x:v>0.39975439107138</x:v>
      </x:c>
      <x:c r="AJ4224" s="42" t="n">
        <x:v>0</x:v>
      </x:c>
      <x:c r="AK4224" s="42" t="n">
        <x:v>0</x:v>
      </x:c>
      <x:c r="AL4224" s="42" t="n">
        <x:v>0</x:v>
      </x:c>
      <x:c r="AM4224" t="n">
        <x:f>CHOOSE('假设'!$B$3,AJ4224,AK4224,AL4224)</x:f>
        <x:v>0</x:v>
      </x:c>
      <x:c r="AN4224" t="n">
        <x:v>1</x:v>
      </x:c>
    </x:row>
    <x:row r="4225" ht="23" customHeight="1">
      <x:c r="A4225" s="11" t="str">
        <x:v>02162.HK</x:v>
      </x:c>
      <x:c r="B4225" s="11" t="str">
        <x:v>一年</x:v>
      </x:c>
      <x:c r="C4225" s="11" t="str">
        <x:v>CMG901_2Lplus</x:v>
      </x:c>
      <x:c r="D4225" s="11" t="str">
        <x:v>2035-12-31</x:v>
      </x:c>
      <x:c r="E4225" s="11" t="str">
        <x:v>USD</x:v>
      </x:c>
      <x:c r="F4225" s="11" t="n">
        <x:v>8.227241615331964</x:v>
      </x:c>
      <x:c r="G4225" s="26" t="b">
        <x:v>1</x:v>
      </x:c>
      <x:c r="H4225" s="16" t="n">
        <x:v>1.4249999999999998</x:v>
      </x:c>
      <x:c r="I4225" s="16" t="n">
        <x:v>2.7</x:v>
      </x:c>
      <x:c r="J4225" s="16" t="n">
        <x:v>4.05</x:v>
      </x:c>
      <x:c r="K4225" s="11" t="n">
        <x:f>CHOOSE('假设'!$B$3,H4225,I4225,J4225)</x:f>
        <x:v>2.7</x:v>
      </x:c>
      <x:c r="L4225" s="11" t="n">
        <x:f>K4225*'管线假设'!E911*'管线假设'!F911*'管线假设'!G911*IF(E4225="USD",'管线假设'!I911,1)-AM4225</x:f>
        <x:v>0.976374</x:v>
      </x:c>
      <x:c r="M4225" s="11" t="n">
        <x:f>'管线假设'!H911</x:f>
        <x:v>0.14</x:v>
      </x:c>
      <x:c r="N4225" s="11" t="n">
        <x:f>IF(G4225,L4225*AN4225/(1+M4225)^F4225,0)</x:f>
        <x:v>0.33223566002911803</x:v>
      </x:c>
      <x:c r="AJ4225" s="42" t="n">
        <x:v>0</x:v>
      </x:c>
      <x:c r="AK4225" s="42" t="n">
        <x:v>0</x:v>
      </x:c>
      <x:c r="AL4225" s="42" t="n">
        <x:v>0</x:v>
      </x:c>
      <x:c r="AM4225" t="n">
        <x:f>CHOOSE('假设'!$B$3,AJ4225,AK4225,AL4225)</x:f>
        <x:v>0</x:v>
      </x:c>
      <x:c r="AN4225" t="n">
        <x:v>1</x:v>
      </x:c>
    </x:row>
    <x:row r="4226" ht="23" customHeight="1">
      <x:c r="A4226" s="11" t="str">
        <x:v>02162.HK</x:v>
      </x:c>
      <x:c r="B4226" s="11" t="str">
        <x:v>一年</x:v>
      </x:c>
      <x:c r="C4226" s="11" t="str">
        <x:v>CMG901_2Lplus</x:v>
      </x:c>
      <x:c r="D4226" s="11" t="str">
        <x:v>2036-12-31</x:v>
      </x:c>
      <x:c r="E4226" s="11" t="str">
        <x:v>USD</x:v>
      </x:c>
      <x:c r="F4226" s="11" t="n">
        <x:v>9.229295003422314</x:v>
      </x:c>
      <x:c r="G4226" s="26" t="b">
        <x:v>1</x:v>
      </x:c>
      <x:c r="H4226" s="16" t="n">
        <x:v>1.35</x:v>
      </x:c>
      <x:c r="I4226" s="16" t="n">
        <x:v>2.4000000000000004</x:v>
      </x:c>
      <x:c r="J4226" s="16" t="n">
        <x:v>3.6</x:v>
      </x:c>
      <x:c r="K4226" s="11" t="n">
        <x:f>CHOOSE('假设'!$B$3,H4226,I4226,J4226)</x:f>
        <x:v>2.4000000000000004</x:v>
      </x:c>
      <x:c r="L4226" s="11" t="n">
        <x:f>K4226*'管线假设'!E911*'管线假设'!F911*'管线假设'!G911*IF(E4226="USD",'管线假设'!I911,1)-AM4226</x:f>
        <x:v>0.867888</x:v>
      </x:c>
      <x:c r="M4226" s="11" t="n">
        <x:f>'管线假设'!H911</x:f>
        <x:v>0.14</x:v>
      </x:c>
      <x:c r="N4226" s="11" t="n">
        <x:f>IF(G4226,L4226*AN4226/(1+M4226)^F4226,0)</x:f>
        <x:v>0.25898345686264784</x:v>
      </x:c>
      <x:c r="AJ4226" s="42" t="n">
        <x:v>0</x:v>
      </x:c>
      <x:c r="AK4226" s="42" t="n">
        <x:v>0</x:v>
      </x:c>
      <x:c r="AL4226" s="42" t="n">
        <x:v>0</x:v>
      </x:c>
      <x:c r="AM4226" t="n">
        <x:f>CHOOSE('假设'!$B$3,AJ4226,AK4226,AL4226)</x:f>
        <x:v>0</x:v>
      </x:c>
      <x:c r="AN4226" t="n">
        <x:v>1</x:v>
      </x:c>
    </x:row>
    <x:row r="4227" ht="23" customHeight="1">
      <x:c r="A4227" s="11" t="str">
        <x:v>02162.HK</x:v>
      </x:c>
      <x:c r="B4227" s="11" t="str">
        <x:v>一年</x:v>
      </x:c>
      <x:c r="C4227" s="11" t="str">
        <x:v>CMG901_2Lplus</x:v>
      </x:c>
      <x:c r="D4227" s="11" t="str">
        <x:v>2037-12-31</x:v>
      </x:c>
      <x:c r="E4227" s="11" t="str">
        <x:v>USD</x:v>
      </x:c>
      <x:c r="F4227" s="11" t="n">
        <x:v>10.22861054072553</x:v>
      </x:c>
      <x:c r="G4227" s="26" t="b">
        <x:v>1</x:v>
      </x:c>
      <x:c r="H4227" s="16" t="n">
        <x:v>1.2000000000000002</x:v>
      </x:c>
      <x:c r="I4227" s="16" t="n">
        <x:v>1.9500000000000002</x:v>
      </x:c>
      <x:c r="J4227" s="16" t="n">
        <x:v>2.9250000000000003</x:v>
      </x:c>
      <x:c r="K4227" s="11" t="n">
        <x:f>CHOOSE('假设'!$B$3,H4227,I4227,J4227)</x:f>
        <x:v>1.9500000000000002</x:v>
      </x:c>
      <x:c r="L4227" s="11" t="n">
        <x:f>K4227*'管线假设'!E911*'管线假设'!F911*'管线假设'!G911*IF(E4227="USD",'管线假设'!I911,1)-AM4227</x:f>
        <x:v>0.7051589999999999</x:v>
      </x:c>
      <x:c r="M4227" s="11" t="n">
        <x:f>'管线假设'!H911</x:f>
        <x:v>0.14</x:v>
      </x:c>
      <x:c r="N4227" s="11" t="n">
        <x:f>IF(G4227,L4227*AN4227/(1+M4227)^F4227,0)</x:f>
        <x:v>0.18459906246454272</x:v>
      </x:c>
      <x:c r="AJ4227" s="42" t="n">
        <x:v>0</x:v>
      </x:c>
      <x:c r="AK4227" s="42" t="n">
        <x:v>0</x:v>
      </x:c>
      <x:c r="AL4227" s="42" t="n">
        <x:v>0</x:v>
      </x:c>
      <x:c r="AM4227" t="n">
        <x:f>CHOOSE('假设'!$B$3,AJ4227,AK4227,AL4227)</x:f>
        <x:v>0</x:v>
      </x:c>
      <x:c r="AN4227" t="n">
        <x:v>1</x:v>
      </x:c>
    </x:row>
    <x:row r="4228" ht="23" customHeight="1">
      <x:c r="A4228" s="11" t="str">
        <x:v>02162.HK</x:v>
      </x:c>
      <x:c r="B4228" s="11" t="str">
        <x:v>一年</x:v>
      </x:c>
      <x:c r="C4228" s="11" t="str">
        <x:v>CMG901_2Lplus</x:v>
      </x:c>
      <x:c r="D4228" s="11" t="str">
        <x:v>2038-12-31</x:v>
      </x:c>
      <x:c r="E4228" s="11" t="str">
        <x:v>USD</x:v>
      </x:c>
      <x:c r="F4228" s="11" t="n">
        <x:v>11.227926078028748</x:v>
      </x:c>
      <x:c r="G4228" s="26" t="b">
        <x:v>1</x:v>
      </x:c>
      <x:c r="H4228" s="16" t="n">
        <x:v>0.9750000000000001</x:v>
      </x:c>
      <x:c r="I4228" s="16" t="n">
        <x:v>1.5</x:v>
      </x:c>
      <x:c r="J4228" s="16" t="n">
        <x:v>2.25</x:v>
      </x:c>
      <x:c r="K4228" s="11" t="n">
        <x:f>CHOOSE('假设'!$B$3,H4228,I4228,J4228)</x:f>
        <x:v>1.5</x:v>
      </x:c>
      <x:c r="L4228" s="11" t="n">
        <x:f>K4228*'管线假设'!E911*'管线假设'!F911*'管线假设'!G911*IF(E4228="USD",'管线假设'!I911,1)-AM4228</x:f>
        <x:v>0.54243</x:v>
      </x:c>
      <x:c r="M4228" s="11" t="n">
        <x:f>'管线假设'!H911</x:f>
        <x:v>0.14</x:v>
      </x:c>
      <x:c r="N4228" s="11" t="n">
        <x:f>IF(G4228,L4228*AN4228/(1+M4228)^F4228,0)</x:f>
        <x:v>0.12457194249762836</x:v>
      </x:c>
      <x:c r="AJ4228" s="42" t="n">
        <x:v>0</x:v>
      </x:c>
      <x:c r="AK4228" s="42" t="n">
        <x:v>0</x:v>
      </x:c>
      <x:c r="AL4228" s="42" t="n">
        <x:v>0</x:v>
      </x:c>
      <x:c r="AM4228" t="n">
        <x:f>CHOOSE('假设'!$B$3,AJ4228,AK4228,AL4228)</x:f>
        <x:v>0</x:v>
      </x:c>
      <x:c r="AN4228" t="n">
        <x:v>1</x:v>
      </x:c>
    </x:row>
    <x:row r="4229" ht="23" customHeight="1">
      <x:c r="A4229" s="11" t="str">
        <x:v>02162.HK</x:v>
      </x:c>
      <x:c r="B4229" s="11" t="str">
        <x:v>一年</x:v>
      </x:c>
      <x:c r="C4229" s="11" t="str">
        <x:v>CMG901_2Lplus</x:v>
      </x:c>
      <x:c r="D4229" s="11" t="str">
        <x:v>2039-12-31</x:v>
      </x:c>
      <x:c r="E4229" s="11" t="str">
        <x:v>USD</x:v>
      </x:c>
      <x:c r="F4229" s="11" t="n">
        <x:v>12.227241615331964</x:v>
      </x:c>
      <x:c r="G4229" s="26" t="b">
        <x:v>1</x:v>
      </x:c>
      <x:c r="H4229" s="16" t="n">
        <x:v>0.75</x:v>
      </x:c>
      <x:c r="I4229" s="16" t="n">
        <x:v>1.0499999999999998</x:v>
      </x:c>
      <x:c r="J4229" s="16" t="n">
        <x:v>1.575</x:v>
      </x:c>
      <x:c r="K4229" s="11" t="n">
        <x:f>CHOOSE('假设'!$B$3,H4229,I4229,J4229)</x:f>
        <x:v>1.0499999999999998</x:v>
      </x:c>
      <x:c r="L4229" s="11" t="n">
        <x:f>K4229*'管线假设'!E911*'管线假设'!F911*'管线假设'!G911*IF(E4229="USD",'管线假设'!I911,1)-AM4229</x:f>
        <x:v>0.37970099999999984</x:v>
      </x:c>
      <x:c r="M4229" s="11" t="n">
        <x:f>'管线假设'!H911</x:f>
        <x:v>0.14</x:v>
      </x:c>
      <x:c r="N4229" s="11" t="n">
        <x:f>IF(G4229,L4229*AN4229/(1+M4229)^F4229,0)</x:f>
        <x:v>0.0764984040108976</x:v>
      </x:c>
      <x:c r="AJ4229" s="42" t="n">
        <x:v>0</x:v>
      </x:c>
      <x:c r="AK4229" s="42" t="n">
        <x:v>0</x:v>
      </x:c>
      <x:c r="AL4229" s="42" t="n">
        <x:v>0</x:v>
      </x:c>
      <x:c r="AM4229" t="n">
        <x:f>CHOOSE('假设'!$B$3,AJ4229,AK4229,AL4229)</x:f>
        <x:v>0</x:v>
      </x:c>
      <x:c r="AN4229" t="n">
        <x:v>1</x:v>
      </x:c>
    </x:row>
    <x:row r="4230" ht="23" customHeight="1">
      <x:c r="A4230" s="11" t="str">
        <x:v>02162.HK</x:v>
      </x:c>
      <x:c r="B4230" s="11" t="str">
        <x:v>一年</x:v>
      </x:c>
      <x:c r="C4230" s="11" t="str">
        <x:v>CMG901_2Lplus</x:v>
      </x:c>
      <x:c r="D4230" s="11" t="str">
        <x:v>2040-12-31</x:v>
      </x:c>
      <x:c r="E4230" s="11" t="str">
        <x:v>USD</x:v>
      </x:c>
      <x:c r="F4230" s="11" t="n">
        <x:v>13.229295003422314</x:v>
      </x:c>
      <x:c r="G4230" s="26" t="b">
        <x:v>1</x:v>
      </x:c>
      <x:c r="H4230" s="16" t="n">
        <x:v>0.5249999999999999</x:v>
      </x:c>
      <x:c r="I4230" s="16" t="n">
        <x:v>0.6000000000000001</x:v>
      </x:c>
      <x:c r="J4230" s="16" t="n">
        <x:v>0.9</x:v>
      </x:c>
      <x:c r="K4230" s="11" t="n">
        <x:f>CHOOSE('假设'!$B$3,H4230,I4230,J4230)</x:f>
        <x:v>0.6000000000000001</x:v>
      </x:c>
      <x:c r="L4230" s="11" t="n">
        <x:f>K4230*'管线假设'!E911*'管线假设'!F911*'管线假设'!G911*IF(E4230="USD",'管线假设'!I911,1)-AM4230</x:f>
        <x:v>0.216972</x:v>
      </x:c>
      <x:c r="M4230" s="11" t="n">
        <x:f>'管线假设'!H911</x:f>
        <x:v>0.14</x:v>
      </x:c>
      <x:c r="N4230" s="11" t="n">
        <x:f>IF(G4230,L4230*AN4230/(1+M4230)^F4230,0)</x:f>
        <x:v>0.03833474924338176</x:v>
      </x:c>
      <x:c r="AJ4230" s="42" t="n">
        <x:v>0</x:v>
      </x:c>
      <x:c r="AK4230" s="42" t="n">
        <x:v>0</x:v>
      </x:c>
      <x:c r="AL4230" s="42" t="n">
        <x:v>0</x:v>
      </x:c>
      <x:c r="AM4230" t="n">
        <x:f>CHOOSE('假设'!$B$3,AJ4230,AK4230,AL4230)</x:f>
        <x:v>0</x:v>
      </x:c>
      <x:c r="AN4230" t="n">
        <x:v>1</x:v>
      </x:c>
    </x:row>
    <x:row r="4231" ht="23" customHeight="1">
      <x:c r="A4231" s="11" t="str">
        <x:v>02162.HK</x:v>
      </x:c>
      <x:c r="B4231" s="11" t="str">
        <x:v>一年</x:v>
      </x:c>
      <x:c r="C4231" s="11" t="str">
        <x:v>CMG901_2Lplus</x:v>
      </x:c>
      <x:c r="D4231" s="11" t="str">
        <x:v>2041-12-31</x:v>
      </x:c>
      <x:c r="E4231" s="11" t="str">
        <x:v>USD</x:v>
      </x:c>
      <x:c r="F4231" s="11" t="n">
        <x:v>14.22861054072553</x:v>
      </x:c>
      <x:c r="G4231" s="26" t="b">
        <x:v>1</x:v>
      </x:c>
      <x:c r="H4231" s="16" t="n">
        <x:v>0.30000000000000004</x:v>
      </x:c>
      <x:c r="I4231" s="16" t="n">
        <x:v>0.36</x:v>
      </x:c>
      <x:c r="J4231" s="16" t="n">
        <x:v>0.54</x:v>
      </x:c>
      <x:c r="K4231" s="11" t="n">
        <x:f>CHOOSE('假设'!$B$3,H4231,I4231,J4231)</x:f>
        <x:v>0.36</x:v>
      </x:c>
      <x:c r="L4231" s="11" t="n">
        <x:f>K4231*'管线假设'!E911*'管线假设'!F911*'管线假设'!G911*IF(E4231="USD",'管线假设'!I911,1)-AM4231</x:f>
        <x:v>0.1301832</x:v>
      </x:c>
      <x:c r="M4231" s="11" t="n">
        <x:f>'管线假设'!H911</x:f>
        <x:v>0.14</x:v>
      </x:c>
      <x:c r="N4231" s="11" t="n">
        <x:f>IF(G4231,L4231*AN4231/(1+M4231)^F4231,0)</x:f>
        <x:v>0.020177993373467703</x:v>
      </x:c>
      <x:c r="AJ4231" s="42" t="n">
        <x:v>0</x:v>
      </x:c>
      <x:c r="AK4231" s="42" t="n">
        <x:v>0</x:v>
      </x:c>
      <x:c r="AL4231" s="42" t="n">
        <x:v>0</x:v>
      </x:c>
      <x:c r="AM4231" t="n">
        <x:f>CHOOSE('假设'!$B$3,AJ4231,AK4231,AL4231)</x:f>
        <x:v>0</x:v>
      </x:c>
      <x:c r="AN4231" t="n">
        <x:v>1</x:v>
      </x:c>
    </x:row>
    <x:row r="4232" ht="23" customHeight="1">
      <x:c r="A4232" s="11" t="str">
        <x:v>02162.HK</x:v>
      </x:c>
      <x:c r="B4232" s="11" t="str">
        <x:v>一年</x:v>
      </x:c>
      <x:c r="C4232" s="11" t="str">
        <x:v>CMG901_2Lplus</x:v>
      </x:c>
      <x:c r="D4232" s="11" t="str">
        <x:v>2042-12-31</x:v>
      </x:c>
      <x:c r="E4232" s="11" t="str">
        <x:v>USD</x:v>
      </x:c>
      <x:c r="F4232" s="11" t="n">
        <x:v>15.227926078028748</x:v>
      </x:c>
      <x:c r="G4232" s="26" t="b">
        <x:v>1</x:v>
      </x:c>
      <x:c r="H4232" s="16" t="n">
        <x:v>0.18</x:v>
      </x:c>
      <x:c r="I4232" s="16" t="n">
        <x:v>0.21000000000000002</x:v>
      </x:c>
      <x:c r="J4232" s="16" t="n">
        <x:v>0.31500000000000006</x:v>
      </x:c>
      <x:c r="K4232" s="11" t="n">
        <x:f>CHOOSE('假设'!$B$3,H4232,I4232,J4232)</x:f>
        <x:v>0.21000000000000002</x:v>
      </x:c>
      <x:c r="L4232" s="11" t="n">
        <x:f>K4232*'管线假设'!E911*'管线假设'!F911*'管线假设'!G911*IF(E4232="USD",'管线假设'!I911,1)-AM4232</x:f>
        <x:v>0.0759402</x:v>
      </x:c>
      <x:c r="M4232" s="11" t="n">
        <x:f>'管线假设'!H911</x:f>
        <x:v>0.14</x:v>
      </x:c>
      <x:c r="N4232" s="11" t="n">
        <x:f>IF(G4232,L4232*AN4232/(1+M4232)^F4232,0)</x:f>
        <x:v>0.010325922637315474</x:v>
      </x:c>
      <x:c r="AJ4232" s="42" t="n">
        <x:v>0</x:v>
      </x:c>
      <x:c r="AK4232" s="42" t="n">
        <x:v>0</x:v>
      </x:c>
      <x:c r="AL4232" s="42" t="n">
        <x:v>0</x:v>
      </x:c>
      <x:c r="AM4232" t="n">
        <x:f>CHOOSE('假设'!$B$3,AJ4232,AK4232,AL4232)</x:f>
        <x:v>0</x:v>
      </x:c>
      <x:c r="AN4232" t="n">
        <x:v>1</x:v>
      </x:c>
    </x:row>
    <x:row r="4233" ht="23" customHeight="1">
      <x:c r="A4233" s="11" t="str">
        <x:v>02162.HK</x:v>
      </x:c>
      <x:c r="B4233" s="11" t="str">
        <x:v>一年</x:v>
      </x:c>
      <x:c r="C4233" s="11" t="str">
        <x:v>CMG901_2Lplus</x:v>
      </x:c>
      <x:c r="D4233" s="11" t="str">
        <x:v>2043-12-31</x:v>
      </x:c>
      <x:c r="E4233" s="11" t="str">
        <x:v>USD</x:v>
      </x:c>
      <x:c r="F4233" s="11" t="n">
        <x:v>16.227241615331966</x:v>
      </x:c>
      <x:c r="G4233" s="26" t="b">
        <x:v>1</x:v>
      </x:c>
      <x:c r="H4233" s="16" t="n">
        <x:v>0.10500000000000001</x:v>
      </x:c>
      <x:c r="I4233" s="16" t="n">
        <x:v>0.09</x:v>
      </x:c>
      <x:c r="J4233" s="16" t="n">
        <x:v>0.135</x:v>
      </x:c>
      <x:c r="K4233" s="11" t="n">
        <x:f>CHOOSE('假设'!$B$3,H4233,I4233,J4233)</x:f>
        <x:v>0.09</x:v>
      </x:c>
      <x:c r="L4233" s="11" t="n">
        <x:f>K4233*'管线假设'!E911*'管线假设'!F911*'管线假设'!G911*IF(E4233="USD",'管线假设'!I911,1)-AM4233</x:f>
        <x:v>0.0325458</x:v>
      </x:c>
      <x:c r="M4233" s="11" t="n">
        <x:f>'管线假设'!H911</x:f>
        <x:v>0.14</x:v>
      </x:c>
      <x:c r="N4233" s="11" t="n">
        <x:f>IF(G4233,L4233*AN4233/(1+M4233)^F4233,0)</x:f>
        <x:v>0.003882273965584206</x:v>
      </x:c>
      <x:c r="AJ4233" s="42" t="n">
        <x:v>0</x:v>
      </x:c>
      <x:c r="AK4233" s="42" t="n">
        <x:v>0</x:v>
      </x:c>
      <x:c r="AL4233" s="42" t="n">
        <x:v>0</x:v>
      </x:c>
      <x:c r="AM4233" t="n">
        <x:f>CHOOSE('假设'!$B$3,AJ4233,AK4233,AL4233)</x:f>
        <x:v>0</x:v>
      </x:c>
      <x:c r="AN4233" t="n">
        <x:v>1</x:v>
      </x:c>
    </x:row>
    <x:row r="4234" ht="23" customHeight="1">
      <x:c r="A4234" s="11" t="str">
        <x:v>02162.HK</x:v>
      </x:c>
      <x:c r="B4234" s="11" t="str">
        <x:v>一年</x:v>
      </x:c>
      <x:c r="C4234" s="11" t="str">
        <x:v>CMG901_2Lplus</x:v>
      </x:c>
      <x:c r="D4234" s="11" t="str">
        <x:v>2044-12-31</x:v>
      </x:c>
      <x:c r="E4234" s="11" t="str">
        <x:v>USD</x:v>
      </x:c>
      <x:c r="F4234" s="11" t="n">
        <x:v>17.229295003422312</x:v>
      </x:c>
      <x:c r="G4234" s="26" t="b">
        <x:v>1</x:v>
      </x:c>
      <x:c r="H4234" s="16" t="n">
        <x:v>0.045</x:v>
      </x:c>
      <x:c r="I4234" s="16" t="n">
        <x:v>0.09</x:v>
      </x:c>
      <x:c r="J4234" s="16" t="n">
        <x:v>0.135</x:v>
      </x:c>
      <x:c r="K4234" s="11" t="n">
        <x:f>CHOOSE('假设'!$B$3,H4234,I4234,J4234)</x:f>
        <x:v>0.09</x:v>
      </x:c>
      <x:c r="L4234" s="11" t="n">
        <x:f>K4234*'管线假设'!E911*'管线假设'!F911*'管线假设'!G911*IF(E4234="USD",'管线假设'!I911,1)-AM4234</x:f>
        <x:v>0.0325458</x:v>
      </x:c>
      <x:c r="M4234" s="11" t="n">
        <x:f>'管线假设'!H911</x:f>
        <x:v>0.14</x:v>
      </x:c>
      <x:c r="N4234" s="11" t="n">
        <x:f>IF(G4234,L4234*AN4234/(1+M4234)^F4234,0)</x:f>
        <x:v>0.0034045873447407205</x:v>
      </x:c>
      <x:c r="AJ4234" s="42" t="n">
        <x:v>0</x:v>
      </x:c>
      <x:c r="AK4234" s="42" t="n">
        <x:v>0</x:v>
      </x:c>
      <x:c r="AL4234" s="42" t="n">
        <x:v>0</x:v>
      </x:c>
      <x:c r="AM4234" t="n">
        <x:f>CHOOSE('假设'!$B$3,AJ4234,AK4234,AL4234)</x:f>
        <x:v>0</x:v>
      </x:c>
      <x:c r="AN4234" t="n">
        <x:v>1</x:v>
      </x:c>
    </x:row>
    <x:row r="4235" ht="23" customHeight="1">
      <x:c r="A4235" s="11" t="str">
        <x:v>02162.HK</x:v>
      </x:c>
      <x:c r="B4235" s="11" t="str">
        <x:v>一年</x:v>
      </x:c>
      <x:c r="C4235" s="11" t="str">
        <x:v>CMG901_expansion</x:v>
      </x:c>
      <x:c r="D4235" s="11" t="str">
        <x:v>2026-12-31</x:v>
      </x:c>
      <x:c r="E4235" s="11" t="str">
        <x:v>USD</x:v>
      </x:c>
      <x:c r="F4235" s="11" t="n">
        <x:v>-0.7720739219712526</x:v>
      </x:c>
      <x:c r="G4235" s="26" t="b">
        <x:v>0</x:v>
      </x:c>
      <x:c r="H4235" s="16" t="n">
        <x:v>0</x:v>
      </x:c>
      <x:c r="I4235" s="16" t="n">
        <x:v>0</x:v>
      </x:c>
      <x:c r="J4235" s="16" t="n">
        <x:v>0</x:v>
      </x:c>
      <x:c r="K4235" s="11" t="n">
        <x:f>CHOOSE('假设'!$B$3,H4235,I4235,J4235)</x:f>
        <x:v>0</x:v>
      </x:c>
      <x:c r="L4235" s="11" t="n">
        <x:f>K4235*'管线假设'!E915*'管线假设'!F915*'管线假设'!G915*IF(E4235="USD",'管线假设'!I915,1)-AM4235</x:f>
        <x:v>-0.042</x:v>
      </x:c>
      <x:c r="M4235" s="11" t="n">
        <x:f>'管线假设'!H915</x:f>
        <x:v>0.14</x:v>
      </x:c>
      <x:c r="N4235" s="11" t="n">
        <x:f>IF(G4235,L4235*AN4235/(1+M4235)^F4235,0)</x:f>
        <x:v>0</x:v>
      </x:c>
      <x:c r="AJ4235" s="42" t="n">
        <x:v>0.028</x:v>
      </x:c>
      <x:c r="AK4235" s="42" t="n">
        <x:v>0.042</x:v>
      </x:c>
      <x:c r="AL4235" s="42" t="n">
        <x:v>0.056</x:v>
      </x:c>
      <x:c r="AM4235" t="n">
        <x:f>CHOOSE('假设'!$B$3,AJ4235,AK4235,AL4235)</x:f>
        <x:v>0.042</x:v>
      </x:c>
      <x:c r="AN4235" t="n">
        <x:v>0</x:v>
      </x:c>
    </x:row>
    <x:row r="4236" ht="23" customHeight="1">
      <x:c r="A4236" s="11" t="str">
        <x:v>02162.HK</x:v>
      </x:c>
      <x:c r="B4236" s="11" t="str">
        <x:v>一年</x:v>
      </x:c>
      <x:c r="C4236" s="11" t="str">
        <x:v>CMG901_expansion</x:v>
      </x:c>
      <x:c r="D4236" s="11" t="str">
        <x:v>2027-12-31</x:v>
      </x:c>
      <x:c r="E4236" s="11" t="str">
        <x:v>USD</x:v>
      </x:c>
      <x:c r="F4236" s="11" t="n">
        <x:v>0.2272416153319644</x:v>
      </x:c>
      <x:c r="G4236" s="26" t="b">
        <x:v>1</x:v>
      </x:c>
      <x:c r="H4236" s="16" t="n">
        <x:v>0</x:v>
      </x:c>
      <x:c r="I4236" s="16" t="n">
        <x:v>0</x:v>
      </x:c>
      <x:c r="J4236" s="16" t="n">
        <x:v>0</x:v>
      </x:c>
      <x:c r="K4236" s="11" t="n">
        <x:f>CHOOSE('假设'!$B$3,H4236,I4236,J4236)</x:f>
        <x:v>0</x:v>
      </x:c>
      <x:c r="L4236" s="11" t="n">
        <x:f>K4236*'管线假设'!E915*'管线假设'!F915*'管线假设'!G915*IF(E4236="USD",'管线假设'!I915,1)-AM4236</x:f>
        <x:v>-0.042</x:v>
      </x:c>
      <x:c r="M4236" s="11" t="n">
        <x:f>'管线假设'!H915</x:f>
        <x:v>0.14</x:v>
      </x:c>
      <x:c r="N4236" s="11" t="n">
        <x:f>IF(G4236,L4236*AN4236/(1+M4236)^F4236,0)</x:f>
        <x:v>-0.009295972895973966</x:v>
      </x:c>
      <x:c r="AJ4236" s="42" t="n">
        <x:v>0.028</x:v>
      </x:c>
      <x:c r="AK4236" s="42" t="n">
        <x:v>0.042</x:v>
      </x:c>
      <x:c r="AL4236" s="42" t="n">
        <x:v>0.056</x:v>
      </x:c>
      <x:c r="AM4236" t="n">
        <x:f>CHOOSE('假设'!$B$3,AJ4236,AK4236,AL4236)</x:f>
        <x:v>0.042</x:v>
      </x:c>
      <x:c r="AN4236" t="n">
        <x:v>0.22802197802197802</x:v>
      </x:c>
    </x:row>
    <x:row r="4237" ht="23" customHeight="1">
      <x:c r="A4237" s="11" t="str">
        <x:v>02162.HK</x:v>
      </x:c>
      <x:c r="B4237" s="11" t="str">
        <x:v>一年</x:v>
      </x:c>
      <x:c r="C4237" s="11" t="str">
        <x:v>CMG901_expansion</x:v>
      </x:c>
      <x:c r="D4237" s="11" t="str">
        <x:v>2028-12-31</x:v>
      </x:c>
      <x:c r="E4237" s="11" t="str">
        <x:v>USD</x:v>
      </x:c>
      <x:c r="F4237" s="11" t="n">
        <x:v>1.2292950034223136</x:v>
      </x:c>
      <x:c r="G4237" s="26" t="b">
        <x:v>1</x:v>
      </x:c>
      <x:c r="H4237" s="16" t="n">
        <x:v>0</x:v>
      </x:c>
      <x:c r="I4237" s="16" t="n">
        <x:v>0</x:v>
      </x:c>
      <x:c r="J4237" s="16" t="n">
        <x:v>0</x:v>
      </x:c>
      <x:c r="K4237" s="11" t="n">
        <x:f>CHOOSE('假设'!$B$3,H4237,I4237,J4237)</x:f>
        <x:v>0</x:v>
      </x:c>
      <x:c r="L4237" s="11" t="n">
        <x:f>K4237*'管线假设'!E915*'管线假设'!F915*'管线假设'!G915*IF(E4237="USD",'管线假设'!I915,1)-AM4237</x:f>
        <x:v>0</x:v>
      </x:c>
      <x:c r="M4237" s="11" t="n">
        <x:f>'管线假设'!H915</x:f>
        <x:v>0.14</x:v>
      </x:c>
      <x:c r="N4237" s="11" t="n">
        <x:f>IF(G4237,L4237*AN4237/(1+M4237)^F4237,0)</x:f>
        <x:v>0</x:v>
      </x:c>
      <x:c r="AJ4237" s="42" t="n">
        <x:v>0</x:v>
      </x:c>
      <x:c r="AK4237" s="42" t="n">
        <x:v>0</x:v>
      </x:c>
      <x:c r="AL4237" s="42" t="n">
        <x:v>0</x:v>
      </x:c>
      <x:c r="AM4237" t="n">
        <x:f>CHOOSE('假设'!$B$3,AJ4237,AK4237,AL4237)</x:f>
        <x:v>0</x:v>
      </x:c>
      <x:c r="AN4237" t="n">
        <x:v>1</x:v>
      </x:c>
    </x:row>
    <x:row r="4238" ht="23" customHeight="1">
      <x:c r="A4238" s="11" t="str">
        <x:v>02162.HK</x:v>
      </x:c>
      <x:c r="B4238" s="11" t="str">
        <x:v>一年</x:v>
      </x:c>
      <x:c r="C4238" s="11" t="str">
        <x:v>CMG901_expansion</x:v>
      </x:c>
      <x:c r="D4238" s="11" t="str">
        <x:v>2029-12-31</x:v>
      </x:c>
      <x:c r="E4238" s="11" t="str">
        <x:v>USD</x:v>
      </x:c>
      <x:c r="F4238" s="11" t="n">
        <x:v>2.2286105407255303</x:v>
      </x:c>
      <x:c r="G4238" s="26" t="b">
        <x:v>1</x:v>
      </x:c>
      <x:c r="H4238" s="16" t="n">
        <x:v>0</x:v>
      </x:c>
      <x:c r="I4238" s="16" t="n">
        <x:v>0</x:v>
      </x:c>
      <x:c r="J4238" s="16" t="n">
        <x:v>0.3</x:v>
      </x:c>
      <x:c r="K4238" s="11" t="n">
        <x:f>CHOOSE('假设'!$B$3,H4238,I4238,J4238)</x:f>
        <x:v>0</x:v>
      </x:c>
      <x:c r="L4238" s="11" t="n">
        <x:f>K4238*'管线假设'!E915*'管线假设'!F915*'管线假设'!G915*IF(E4238="USD",'管线假设'!I915,1)-AM4238</x:f>
        <x:v>0</x:v>
      </x:c>
      <x:c r="M4238" s="11" t="n">
        <x:f>'管线假设'!H915</x:f>
        <x:v>0.14</x:v>
      </x:c>
      <x:c r="N4238" s="11" t="n">
        <x:f>IF(G4238,L4238*AN4238/(1+M4238)^F4238,0)</x:f>
        <x:v>0</x:v>
      </x:c>
      <x:c r="AJ4238" s="42" t="n">
        <x:v>0</x:v>
      </x:c>
      <x:c r="AK4238" s="42" t="n">
        <x:v>0</x:v>
      </x:c>
      <x:c r="AL4238" s="42" t="n">
        <x:v>0</x:v>
      </x:c>
      <x:c r="AM4238" t="n">
        <x:f>CHOOSE('假设'!$B$3,AJ4238,AK4238,AL4238)</x:f>
        <x:v>0</x:v>
      </x:c>
      <x:c r="AN4238" t="n">
        <x:v>1</x:v>
      </x:c>
    </x:row>
    <x:row r="4239" ht="23" customHeight="1">
      <x:c r="A4239" s="11" t="str">
        <x:v>02162.HK</x:v>
      </x:c>
      <x:c r="B4239" s="11" t="str">
        <x:v>一年</x:v>
      </x:c>
      <x:c r="C4239" s="11" t="str">
        <x:v>CMG901_expansion</x:v>
      </x:c>
      <x:c r="D4239" s="11" t="str">
        <x:v>2030-12-31</x:v>
      </x:c>
      <x:c r="E4239" s="11" t="str">
        <x:v>USD</x:v>
      </x:c>
      <x:c r="F4239" s="11" t="n">
        <x:v>3.2279260780287475</x:v>
      </x:c>
      <x:c r="G4239" s="26" t="b">
        <x:v>1</x:v>
      </x:c>
      <x:c r="H4239" s="16" t="n">
        <x:v>0</x:v>
      </x:c>
      <x:c r="I4239" s="16" t="n">
        <x:v>0.15</x:v>
      </x:c>
      <x:c r="J4239" s="16" t="n">
        <x:v>0.8999999999999999</x:v>
      </x:c>
      <x:c r="K4239" s="11" t="n">
        <x:f>CHOOSE('假设'!$B$3,H4239,I4239,J4239)</x:f>
        <x:v>0.15</x:v>
      </x:c>
      <x:c r="L4239" s="11" t="n">
        <x:f>K4239*'管线假设'!E915*'管线假设'!F915*'管线假设'!G915*IF(E4239="USD",'管线假设'!I915,1)-AM4239</x:f>
        <x:v>0.02531339999999999</x:v>
      </x:c>
      <x:c r="M4239" s="11" t="n">
        <x:f>'管线假设'!H915</x:f>
        <x:v>0.14</x:v>
      </x:c>
      <x:c r="N4239" s="11" t="n">
        <x:f>IF(G4239,L4239*AN4239/(1+M4239)^F4239,0)</x:f>
        <x:v>0.016583104147832792</x:v>
      </x:c>
      <x:c r="AJ4239" s="42" t="n">
        <x:v>0</x:v>
      </x:c>
      <x:c r="AK4239" s="42" t="n">
        <x:v>0</x:v>
      </x:c>
      <x:c r="AL4239" s="42" t="n">
        <x:v>0</x:v>
      </x:c>
      <x:c r="AM4239" t="n">
        <x:f>CHOOSE('假设'!$B$3,AJ4239,AK4239,AL4239)</x:f>
        <x:v>0</x:v>
      </x:c>
      <x:c r="AN4239" t="n">
        <x:v>1</x:v>
      </x:c>
    </x:row>
    <x:row r="4240" ht="23" customHeight="1">
      <x:c r="A4240" s="11" t="str">
        <x:v>02162.HK</x:v>
      </x:c>
      <x:c r="B4240" s="11" t="str">
        <x:v>一年</x:v>
      </x:c>
      <x:c r="C4240" s="11" t="str">
        <x:v>CMG901_expansion</x:v>
      </x:c>
      <x:c r="D4240" s="11" t="str">
        <x:v>2031-12-31</x:v>
      </x:c>
      <x:c r="E4240" s="11" t="str">
        <x:v>USD</x:v>
      </x:c>
      <x:c r="F4240" s="11" t="n">
        <x:v>4.227241615331964</x:v>
      </x:c>
      <x:c r="G4240" s="26" t="b">
        <x:v>1</x:v>
      </x:c>
      <x:c r="H4240" s="16" t="n">
        <x:v>0</x:v>
      </x:c>
      <x:c r="I4240" s="16" t="n">
        <x:v>0.44999999999999996</x:v>
      </x:c>
      <x:c r="J4240" s="16" t="n">
        <x:v>1.9</x:v>
      </x:c>
      <x:c r="K4240" s="11" t="n">
        <x:f>CHOOSE('假设'!$B$3,H4240,I4240,J4240)</x:f>
        <x:v>0.44999999999999996</x:v>
      </x:c>
      <x:c r="L4240" s="11" t="n">
        <x:f>K4240*'管线假设'!E915*'管线假设'!F915*'管线假设'!G915*IF(E4240="USD",'管线假设'!I915,1)-AM4240</x:f>
        <x:v>0.07594019999999997</x:v>
      </x:c>
      <x:c r="M4240" s="11" t="n">
        <x:f>'管线假设'!H915</x:f>
        <x:v>0.14</x:v>
      </x:c>
      <x:c r="N4240" s="11" t="n">
        <x:f>IF(G4240,L4240*AN4240/(1+M4240)^F4240,0)</x:f>
        <x:v>0.04364366171825993</x:v>
      </x:c>
      <x:c r="AJ4240" s="42" t="n">
        <x:v>0</x:v>
      </x:c>
      <x:c r="AK4240" s="42" t="n">
        <x:v>0</x:v>
      </x:c>
      <x:c r="AL4240" s="42" t="n">
        <x:v>0</x:v>
      </x:c>
      <x:c r="AM4240" t="n">
        <x:f>CHOOSE('假设'!$B$3,AJ4240,AK4240,AL4240)</x:f>
        <x:v>0</x:v>
      </x:c>
      <x:c r="AN4240" t="n">
        <x:v>1</x:v>
      </x:c>
    </x:row>
    <x:row r="4241" ht="23" customHeight="1">
      <x:c r="A4241" s="11" t="str">
        <x:v>02162.HK</x:v>
      </x:c>
      <x:c r="B4241" s="11" t="str">
        <x:v>一年</x:v>
      </x:c>
      <x:c r="C4241" s="11" t="str">
        <x:v>CMG901_expansion</x:v>
      </x:c>
      <x:c r="D4241" s="11" t="str">
        <x:v>2032-12-31</x:v>
      </x:c>
      <x:c r="E4241" s="11" t="str">
        <x:v>USD</x:v>
      </x:c>
      <x:c r="F4241" s="11" t="n">
        <x:v>5.229295003422314</x:v>
      </x:c>
      <x:c r="G4241" s="26" t="b">
        <x:v>1</x:v>
      </x:c>
      <x:c r="H4241" s="16" t="n">
        <x:v>0.048</x:v>
      </x:c>
      <x:c r="I4241" s="16" t="n">
        <x:v>0.95</x:v>
      </x:c>
      <x:c r="J4241" s="16" t="n">
        <x:v>3.25</x:v>
      </x:c>
      <x:c r="K4241" s="11" t="n">
        <x:f>CHOOSE('假设'!$B$3,H4241,I4241,J4241)</x:f>
        <x:v>0.95</x:v>
      </x:c>
      <x:c r="L4241" s="11" t="n">
        <x:f>K4241*'管线假设'!E915*'管线假设'!F915*'管线假设'!G915*IF(E4241="USD",'管线假设'!I915,1)-AM4241</x:f>
        <x:v>0.16031819999999994</x:v>
      </x:c>
      <x:c r="M4241" s="11" t="n">
        <x:f>'管线假设'!H915</x:f>
        <x:v>0.14</x:v>
      </x:c>
      <x:c r="N4241" s="11" t="n">
        <x:f>IF(G4241,L4241*AN4241/(1+M4241)^F4241,0)</x:f>
        <x:v>0.08079985349782233</x:v>
      </x:c>
      <x:c r="AJ4241" s="42" t="n">
        <x:v>0</x:v>
      </x:c>
      <x:c r="AK4241" s="42" t="n">
        <x:v>0</x:v>
      </x:c>
      <x:c r="AL4241" s="42" t="n">
        <x:v>0</x:v>
      </x:c>
      <x:c r="AM4241" t="n">
        <x:f>CHOOSE('假设'!$B$3,AJ4241,AK4241,AL4241)</x:f>
        <x:v>0</x:v>
      </x:c>
      <x:c r="AN4241" t="n">
        <x:v>1</x:v>
      </x:c>
    </x:row>
    <x:row r="4242" ht="23" customHeight="1">
      <x:c r="A4242" s="11" t="str">
        <x:v>02162.HK</x:v>
      </x:c>
      <x:c r="B4242" s="11" t="str">
        <x:v>一年</x:v>
      </x:c>
      <x:c r="C4242" s="11" t="str">
        <x:v>CMG901_expansion</x:v>
      </x:c>
      <x:c r="D4242" s="11" t="str">
        <x:v>2033-12-31</x:v>
      </x:c>
      <x:c r="E4242" s="11" t="str">
        <x:v>USD</x:v>
      </x:c>
      <x:c r="F4242" s="11" t="n">
        <x:v>6.228610540725531</x:v>
      </x:c>
      <x:c r="G4242" s="26" t="b">
        <x:v>1</x:v>
      </x:c>
      <x:c r="H4242" s="16" t="n">
        <x:v>0.144</x:v>
      </x:c>
      <x:c r="I4242" s="16" t="n">
        <x:v>1.625</x:v>
      </x:c>
      <x:c r="J4242" s="16" t="n">
        <x:v>4.25</x:v>
      </x:c>
      <x:c r="K4242" s="11" t="n">
        <x:f>CHOOSE('假设'!$B$3,H4242,I4242,J4242)</x:f>
        <x:v>1.625</x:v>
      </x:c>
      <x:c r="L4242" s="11" t="n">
        <x:f>K4242*'管线假设'!E915*'管线假设'!F915*'管线假设'!G915*IF(E4242="USD",'管线假设'!I915,1)-AM4242</x:f>
        <x:v>0.2742285</x:v>
      </x:c>
      <x:c r="M4242" s="11" t="n">
        <x:f>'管线假设'!H915</x:f>
        <x:v>0.14</x:v>
      </x:c>
      <x:c r="N4242" s="11" t="n">
        <x:f>IF(G4242,L4242*AN4242/(1+M4242)^F4242,0)</x:f>
        <x:v>0.12124795747398608</x:v>
      </x:c>
      <x:c r="AJ4242" s="42" t="n">
        <x:v>0</x:v>
      </x:c>
      <x:c r="AK4242" s="42" t="n">
        <x:v>0</x:v>
      </x:c>
      <x:c r="AL4242" s="42" t="n">
        <x:v>0</x:v>
      </x:c>
      <x:c r="AM4242" t="n">
        <x:f>CHOOSE('假设'!$B$3,AJ4242,AK4242,AL4242)</x:f>
        <x:v>0</x:v>
      </x:c>
      <x:c r="AN4242" t="n">
        <x:v>1</x:v>
      </x:c>
    </x:row>
    <x:row r="4243" ht="23" customHeight="1">
      <x:c r="A4243" s="11" t="str">
        <x:v>02162.HK</x:v>
      </x:c>
      <x:c r="B4243" s="11" t="str">
        <x:v>一年</x:v>
      </x:c>
      <x:c r="C4243" s="11" t="str">
        <x:v>CMG901_expansion</x:v>
      </x:c>
      <x:c r="D4243" s="11" t="str">
        <x:v>2034-12-31</x:v>
      </x:c>
      <x:c r="E4243" s="11" t="str">
        <x:v>USD</x:v>
      </x:c>
      <x:c r="F4243" s="11" t="n">
        <x:v>7.227926078028747</x:v>
      </x:c>
      <x:c r="G4243" s="26" t="b">
        <x:v>1</x:v>
      </x:c>
      <x:c r="H4243" s="16" t="n">
        <x:v>0.30400000000000005</x:v>
      </x:c>
      <x:c r="I4243" s="16" t="n">
        <x:v>2.125</x:v>
      </x:c>
      <x:c r="J4243" s="16" t="n">
        <x:v>5</x:v>
      </x:c>
      <x:c r="K4243" s="11" t="n">
        <x:f>CHOOSE('假设'!$B$3,H4243,I4243,J4243)</x:f>
        <x:v>2.125</x:v>
      </x:c>
      <x:c r="L4243" s="11" t="n">
        <x:f>K4243*'管线假设'!E915*'管线假设'!F915*'管线假设'!G915*IF(E4243="USD",'管线假设'!I915,1)-AM4243</x:f>
        <x:v>0.35860649999999994</x:v>
      </x:c>
      <x:c r="M4243" s="11" t="n">
        <x:f>'管线假设'!H915</x:f>
        <x:v>0.14</x:v>
      </x:c>
      <x:c r="N4243" s="11" t="n">
        <x:f>IF(G4243,L4243*AN4243/(1+M4243)^F4243,0)</x:f>
        <x:v>0.13909582613302407</x:v>
      </x:c>
      <x:c r="AJ4243" s="42" t="n">
        <x:v>0</x:v>
      </x:c>
      <x:c r="AK4243" s="42" t="n">
        <x:v>0</x:v>
      </x:c>
      <x:c r="AL4243" s="42" t="n">
        <x:v>0</x:v>
      </x:c>
      <x:c r="AM4243" t="n">
        <x:f>CHOOSE('假设'!$B$3,AJ4243,AK4243,AL4243)</x:f>
        <x:v>0</x:v>
      </x:c>
      <x:c r="AN4243" t="n">
        <x:v>1</x:v>
      </x:c>
    </x:row>
    <x:row r="4244" ht="23" customHeight="1">
      <x:c r="A4244" s="11" t="str">
        <x:v>02162.HK</x:v>
      </x:c>
      <x:c r="B4244" s="11" t="str">
        <x:v>一年</x:v>
      </x:c>
      <x:c r="C4244" s="11" t="str">
        <x:v>CMG901_expansion</x:v>
      </x:c>
      <x:c r="D4244" s="11" t="str">
        <x:v>2035-12-31</x:v>
      </x:c>
      <x:c r="E4244" s="11" t="str">
        <x:v>USD</x:v>
      </x:c>
      <x:c r="F4244" s="11" t="n">
        <x:v>8.227241615331964</x:v>
      </x:c>
      <x:c r="G4244" s="26" t="b">
        <x:v>1</x:v>
      </x:c>
      <x:c r="H4244" s="16" t="n">
        <x:v>0.52</x:v>
      </x:c>
      <x:c r="I4244" s="16" t="n">
        <x:v>2.5</x:v>
      </x:c>
      <x:c r="J4244" s="16" t="n">
        <x:v>5</x:v>
      </x:c>
      <x:c r="K4244" s="11" t="n">
        <x:f>CHOOSE('假设'!$B$3,H4244,I4244,J4244)</x:f>
        <x:v>2.5</x:v>
      </x:c>
      <x:c r="L4244" s="11" t="n">
        <x:f>K4244*'管线假设'!E915*'管线假设'!F915*'管线假设'!G915*IF(E4244="USD",'管线假设'!I915,1)-AM4244</x:f>
        <x:v>0.4218899999999999</x:v>
      </x:c>
      <x:c r="M4244" s="11" t="n">
        <x:f>'管线假设'!H915</x:f>
        <x:v>0.14</x:v>
      </x:c>
      <x:c r="N4244" s="11" t="n">
        <x:f>IF(G4244,L4244*AN4244/(1+M4244)^F4244,0)</x:f>
        <x:v>0.14355861853110033</x:v>
      </x:c>
      <x:c r="AJ4244" s="42" t="n">
        <x:v>0</x:v>
      </x:c>
      <x:c r="AK4244" s="42" t="n">
        <x:v>0</x:v>
      </x:c>
      <x:c r="AL4244" s="42" t="n">
        <x:v>0</x:v>
      </x:c>
      <x:c r="AM4244" t="n">
        <x:f>CHOOSE('假设'!$B$3,AJ4244,AK4244,AL4244)</x:f>
        <x:v>0</x:v>
      </x:c>
      <x:c r="AN4244" t="n">
        <x:v>1</x:v>
      </x:c>
    </x:row>
    <x:row r="4245" ht="23" customHeight="1">
      <x:c r="A4245" s="11" t="str">
        <x:v>02162.HK</x:v>
      </x:c>
      <x:c r="B4245" s="11" t="str">
        <x:v>一年</x:v>
      </x:c>
      <x:c r="C4245" s="11" t="str">
        <x:v>CMG901_expansion</x:v>
      </x:c>
      <x:c r="D4245" s="11" t="str">
        <x:v>2036-12-31</x:v>
      </x:c>
      <x:c r="E4245" s="11" t="str">
        <x:v>USD</x:v>
      </x:c>
      <x:c r="F4245" s="11" t="n">
        <x:v>9.229295003422314</x:v>
      </x:c>
      <x:c r="G4245" s="26" t="b">
        <x:v>1</x:v>
      </x:c>
      <x:c r="H4245" s="16" t="n">
        <x:v>0.68</x:v>
      </x:c>
      <x:c r="I4245" s="16" t="n">
        <x:v>2.5</x:v>
      </x:c>
      <x:c r="J4245" s="16" t="n">
        <x:v>4.75</x:v>
      </x:c>
      <x:c r="K4245" s="11" t="n">
        <x:f>CHOOSE('假设'!$B$3,H4245,I4245,J4245)</x:f>
        <x:v>2.5</x:v>
      </x:c>
      <x:c r="L4245" s="11" t="n">
        <x:f>K4245*'管线假设'!E915*'管线假设'!F915*'管线假设'!G915*IF(E4245="USD",'管线假设'!I915,1)-AM4245</x:f>
        <x:v>0.4218899999999999</x:v>
      </x:c>
      <x:c r="M4245" s="11" t="n">
        <x:f>'管线假设'!H915</x:f>
        <x:v>0.14</x:v>
      </x:c>
      <x:c r="N4245" s="11" t="n">
        <x:f>IF(G4245,L4245*AN4245/(1+M4245)^F4245,0)</x:f>
        <x:v>0.12589473597489823</x:v>
      </x:c>
      <x:c r="AJ4245" s="42" t="n">
        <x:v>0</x:v>
      </x:c>
      <x:c r="AK4245" s="42" t="n">
        <x:v>0</x:v>
      </x:c>
      <x:c r="AL4245" s="42" t="n">
        <x:v>0</x:v>
      </x:c>
      <x:c r="AM4245" t="n">
        <x:f>CHOOSE('假设'!$B$3,AJ4245,AK4245,AL4245)</x:f>
        <x:v>0</x:v>
      </x:c>
      <x:c r="AN4245" t="n">
        <x:v>1</x:v>
      </x:c>
    </x:row>
    <x:row r="4246" ht="23" customHeight="1">
      <x:c r="A4246" s="11" t="str">
        <x:v>02162.HK</x:v>
      </x:c>
      <x:c r="B4246" s="11" t="str">
        <x:v>一年</x:v>
      </x:c>
      <x:c r="C4246" s="11" t="str">
        <x:v>CMG901_expansion</x:v>
      </x:c>
      <x:c r="D4246" s="11" t="str">
        <x:v>2037-12-31</x:v>
      </x:c>
      <x:c r="E4246" s="11" t="str">
        <x:v>USD</x:v>
      </x:c>
      <x:c r="F4246" s="11" t="n">
        <x:v>10.22861054072553</x:v>
      </x:c>
      <x:c r="G4246" s="26" t="b">
        <x:v>1</x:v>
      </x:c>
      <x:c r="H4246" s="16" t="n">
        <x:v>0.8</x:v>
      </x:c>
      <x:c r="I4246" s="16" t="n">
        <x:v>2.375</x:v>
      </x:c>
      <x:c r="J4246" s="16" t="n">
        <x:v>4.5</x:v>
      </x:c>
      <x:c r="K4246" s="11" t="n">
        <x:f>CHOOSE('假设'!$B$3,H4246,I4246,J4246)</x:f>
        <x:v>2.375</x:v>
      </x:c>
      <x:c r="L4246" s="11" t="n">
        <x:f>K4246*'管线假设'!E915*'管线假设'!F915*'管线假设'!G915*IF(E4246="USD",'管线假设'!I915,1)-AM4246</x:f>
        <x:v>0.40079549999999986</x:v>
      </x:c>
      <x:c r="M4246" s="11" t="n">
        <x:f>'管线假设'!H915</x:f>
        <x:v>0.14</x:v>
      </x:c>
      <x:c r="N4246" s="11" t="n">
        <x:f>IF(G4246,L4246*AN4246/(1+M4246)^F4246,0)</x:f>
        <x:v>0.10492168934950503</x:v>
      </x:c>
      <x:c r="AJ4246" s="42" t="n">
        <x:v>0</x:v>
      </x:c>
      <x:c r="AK4246" s="42" t="n">
        <x:v>0</x:v>
      </x:c>
      <x:c r="AL4246" s="42" t="n">
        <x:v>0</x:v>
      </x:c>
      <x:c r="AM4246" t="n">
        <x:f>CHOOSE('假设'!$B$3,AJ4246,AK4246,AL4246)</x:f>
        <x:v>0</x:v>
      </x:c>
      <x:c r="AN4246" t="n">
        <x:v>1</x:v>
      </x:c>
    </x:row>
    <x:row r="4247" ht="23" customHeight="1">
      <x:c r="A4247" s="11" t="str">
        <x:v>02162.HK</x:v>
      </x:c>
      <x:c r="B4247" s="11" t="str">
        <x:v>一年</x:v>
      </x:c>
      <x:c r="C4247" s="11" t="str">
        <x:v>CMG901_expansion</x:v>
      </x:c>
      <x:c r="D4247" s="11" t="str">
        <x:v>2038-12-31</x:v>
      </x:c>
      <x:c r="E4247" s="11" t="str">
        <x:v>USD</x:v>
      </x:c>
      <x:c r="F4247" s="11" t="n">
        <x:v>11.227926078028748</x:v>
      </x:c>
      <x:c r="G4247" s="26" t="b">
        <x:v>1</x:v>
      </x:c>
      <x:c r="H4247" s="16" t="n">
        <x:v>0.8</x:v>
      </x:c>
      <x:c r="I4247" s="16" t="n">
        <x:v>2.25</x:v>
      </x:c>
      <x:c r="J4247" s="16" t="n">
        <x:v>4</x:v>
      </x:c>
      <x:c r="K4247" s="11" t="n">
        <x:f>CHOOSE('假设'!$B$3,H4247,I4247,J4247)</x:f>
        <x:v>2.25</x:v>
      </x:c>
      <x:c r="L4247" s="11" t="n">
        <x:f>K4247*'管线假设'!E915*'管线假设'!F915*'管线假设'!G915*IF(E4247="USD",'管线假设'!I915,1)-AM4247</x:f>
        <x:v>0.37970099999999996</x:v>
      </x:c>
      <x:c r="M4247" s="11" t="n">
        <x:f>'管线假设'!H915</x:f>
        <x:v>0.14</x:v>
      </x:c>
      <x:c r="N4247" s="11" t="n">
        <x:f>IF(G4247,L4247*AN4247/(1+M4247)^F4247,0)</x:f>
        <x:v>0.08720035974833985</x:v>
      </x:c>
      <x:c r="AJ4247" s="42" t="n">
        <x:v>0</x:v>
      </x:c>
      <x:c r="AK4247" s="42" t="n">
        <x:v>0</x:v>
      </x:c>
      <x:c r="AL4247" s="42" t="n">
        <x:v>0</x:v>
      </x:c>
      <x:c r="AM4247" t="n">
        <x:f>CHOOSE('假设'!$B$3,AJ4247,AK4247,AL4247)</x:f>
        <x:v>0</x:v>
      </x:c>
      <x:c r="AN4247" t="n">
        <x:v>1</x:v>
      </x:c>
    </x:row>
    <x:row r="4248" ht="23" customHeight="1">
      <x:c r="A4248" s="11" t="str">
        <x:v>02162.HK</x:v>
      </x:c>
      <x:c r="B4248" s="11" t="str">
        <x:v>一年</x:v>
      </x:c>
      <x:c r="C4248" s="11" t="str">
        <x:v>CMG901_expansion</x:v>
      </x:c>
      <x:c r="D4248" s="11" t="str">
        <x:v>2039-12-31</x:v>
      </x:c>
      <x:c r="E4248" s="11" t="str">
        <x:v>USD</x:v>
      </x:c>
      <x:c r="F4248" s="11" t="n">
        <x:v>12.227241615331964</x:v>
      </x:c>
      <x:c r="G4248" s="26" t="b">
        <x:v>1</x:v>
      </x:c>
      <x:c r="H4248" s="16" t="n">
        <x:v>0.76</x:v>
      </x:c>
      <x:c r="I4248" s="16" t="n">
        <x:v>2</x:v>
      </x:c>
      <x:c r="J4248" s="16" t="n">
        <x:v>3.25</x:v>
      </x:c>
      <x:c r="K4248" s="11" t="n">
        <x:f>CHOOSE('假设'!$B$3,H4248,I4248,J4248)</x:f>
        <x:v>2</x:v>
      </x:c>
      <x:c r="L4248" s="11" t="n">
        <x:f>K4248*'管线假设'!E915*'管线假设'!F915*'管线假设'!G915*IF(E4248="USD",'管线假设'!I915,1)-AM4248</x:f>
        <x:v>0.3375119999999999</x:v>
      </x:c>
      <x:c r="M4248" s="11" t="n">
        <x:f>'管线假设'!H915</x:f>
        <x:v>0.14</x:v>
      </x:c>
      <x:c r="N4248" s="11" t="n">
        <x:f>IF(G4248,L4248*AN4248/(1+M4248)^F4248,0)</x:f>
        <x:v>0.06799858134302009</x:v>
      </x:c>
      <x:c r="AJ4248" s="42" t="n">
        <x:v>0</x:v>
      </x:c>
      <x:c r="AK4248" s="42" t="n">
        <x:v>0</x:v>
      </x:c>
      <x:c r="AL4248" s="42" t="n">
        <x:v>0</x:v>
      </x:c>
      <x:c r="AM4248" t="n">
        <x:f>CHOOSE('假设'!$B$3,AJ4248,AK4248,AL4248)</x:f>
        <x:v>0</x:v>
      </x:c>
      <x:c r="AN4248" t="n">
        <x:v>1</x:v>
      </x:c>
    </x:row>
    <x:row r="4249" ht="23" customHeight="1">
      <x:c r="A4249" s="11" t="str">
        <x:v>02162.HK</x:v>
      </x:c>
      <x:c r="B4249" s="11" t="str">
        <x:v>一年</x:v>
      </x:c>
      <x:c r="C4249" s="11" t="str">
        <x:v>CMG901_expansion</x:v>
      </x:c>
      <x:c r="D4249" s="11" t="str">
        <x:v>2040-12-31</x:v>
      </x:c>
      <x:c r="E4249" s="11" t="str">
        <x:v>USD</x:v>
      </x:c>
      <x:c r="F4249" s="11" t="n">
        <x:v>13.229295003422314</x:v>
      </x:c>
      <x:c r="G4249" s="26" t="b">
        <x:v>1</x:v>
      </x:c>
      <x:c r="H4249" s="16" t="n">
        <x:v>0.7200000000000001</x:v>
      </x:c>
      <x:c r="I4249" s="16" t="n">
        <x:v>1.625</x:v>
      </x:c>
      <x:c r="J4249" s="16" t="n">
        <x:v>2.5</x:v>
      </x:c>
      <x:c r="K4249" s="11" t="n">
        <x:f>CHOOSE('假设'!$B$3,H4249,I4249,J4249)</x:f>
        <x:v>1.625</x:v>
      </x:c>
      <x:c r="L4249" s="11" t="n">
        <x:f>K4249*'管线假设'!E915*'管线假设'!F915*'管线假设'!G915*IF(E4249="USD",'管线假设'!I915,1)-AM4249</x:f>
        <x:v>0.2742285</x:v>
      </x:c>
      <x:c r="M4249" s="11" t="n">
        <x:f>'管线假设'!H915</x:f>
        <x:v>0.14</x:v>
      </x:c>
      <x:c r="N4249" s="11" t="n">
        <x:f>IF(G4249,L4249*AN4249/(1+M4249)^F4249,0)</x:f>
        <x:v>0.04845086362705195</x:v>
      </x:c>
      <x:c r="AJ4249" s="42" t="n">
        <x:v>0</x:v>
      </x:c>
      <x:c r="AK4249" s="42" t="n">
        <x:v>0</x:v>
      </x:c>
      <x:c r="AL4249" s="42" t="n">
        <x:v>0</x:v>
      </x:c>
      <x:c r="AM4249" t="n">
        <x:f>CHOOSE('假设'!$B$3,AJ4249,AK4249,AL4249)</x:f>
        <x:v>0</x:v>
      </x:c>
      <x:c r="AN4249" t="n">
        <x:v>1</x:v>
      </x:c>
    </x:row>
    <x:row r="4250" ht="23" customHeight="1">
      <x:c r="A4250" s="11" t="str">
        <x:v>02162.HK</x:v>
      </x:c>
      <x:c r="B4250" s="11" t="str">
        <x:v>一年</x:v>
      </x:c>
      <x:c r="C4250" s="11" t="str">
        <x:v>CMG901_expansion</x:v>
      </x:c>
      <x:c r="D4250" s="11" t="str">
        <x:v>2041-12-31</x:v>
      </x:c>
      <x:c r="E4250" s="11" t="str">
        <x:v>USD</x:v>
      </x:c>
      <x:c r="F4250" s="11" t="n">
        <x:v>14.22861054072553</x:v>
      </x:c>
      <x:c r="G4250" s="26" t="b">
        <x:v>1</x:v>
      </x:c>
      <x:c r="H4250" s="16" t="n">
        <x:v>0.6400000000000001</x:v>
      </x:c>
      <x:c r="I4250" s="16" t="n">
        <x:v>1.25</x:v>
      </x:c>
      <x:c r="J4250" s="16" t="n">
        <x:v>1.75</x:v>
      </x:c>
      <x:c r="K4250" s="11" t="n">
        <x:f>CHOOSE('假设'!$B$3,H4250,I4250,J4250)</x:f>
        <x:v>1.25</x:v>
      </x:c>
      <x:c r="L4250" s="11" t="n">
        <x:f>K4250*'管线假设'!E915*'管线假设'!F915*'管线假设'!G915*IF(E4250="USD",'管线假设'!I915,1)-AM4250</x:f>
        <x:v>0.21094499999999994</x:v>
      </x:c>
      <x:c r="M4250" s="11" t="n">
        <x:f>'管线假设'!H915</x:f>
        <x:v>0.14</x:v>
      </x:c>
      <x:c r="N4250" s="11" t="n">
        <x:f>IF(G4250,L4250*AN4250/(1+M4250)^F4250,0)</x:f>
        <x:v>0.032695822595896734</x:v>
      </x:c>
      <x:c r="AJ4250" s="42" t="n">
        <x:v>0</x:v>
      </x:c>
      <x:c r="AK4250" s="42" t="n">
        <x:v>0</x:v>
      </x:c>
      <x:c r="AL4250" s="42" t="n">
        <x:v>0</x:v>
      </x:c>
      <x:c r="AM4250" t="n">
        <x:f>CHOOSE('假设'!$B$3,AJ4250,AK4250,AL4250)</x:f>
        <x:v>0</x:v>
      </x:c>
      <x:c r="AN4250" t="n">
        <x:v>1</x:v>
      </x:c>
    </x:row>
    <x:row r="4251" ht="23" customHeight="1">
      <x:c r="A4251" s="11" t="str">
        <x:v>02162.HK</x:v>
      </x:c>
      <x:c r="B4251" s="11" t="str">
        <x:v>一年</x:v>
      </x:c>
      <x:c r="C4251" s="11" t="str">
        <x:v>CMG901_expansion</x:v>
      </x:c>
      <x:c r="D4251" s="11" t="str">
        <x:v>2042-12-31</x:v>
      </x:c>
      <x:c r="E4251" s="11" t="str">
        <x:v>USD</x:v>
      </x:c>
      <x:c r="F4251" s="11" t="n">
        <x:v>15.227926078028748</x:v>
      </x:c>
      <x:c r="G4251" s="26" t="b">
        <x:v>1</x:v>
      </x:c>
      <x:c r="H4251" s="16" t="n">
        <x:v>0.52</x:v>
      </x:c>
      <x:c r="I4251" s="16" t="n">
        <x:v>0.875</x:v>
      </x:c>
      <x:c r="J4251" s="16" t="n">
        <x:v>1</x:v>
      </x:c>
      <x:c r="K4251" s="11" t="n">
        <x:f>CHOOSE('假设'!$B$3,H4251,I4251,J4251)</x:f>
        <x:v>0.875</x:v>
      </x:c>
      <x:c r="L4251" s="11" t="n">
        <x:f>K4251*'管线假设'!E915*'管线假设'!F915*'管线假设'!G915*IF(E4251="USD",'管线假设'!I915,1)-AM4251</x:f>
        <x:v>0.14766149999999995</x:v>
      </x:c>
      <x:c r="M4251" s="11" t="n">
        <x:f>'管线假设'!H915</x:f>
        <x:v>0.14</x:v>
      </x:c>
      <x:c r="N4251" s="11" t="n">
        <x:f>IF(G4251,L4251*AN4251/(1+M4251)^F4251,0)</x:f>
        <x:v>0.020078182905891192</x:v>
      </x:c>
      <x:c r="AJ4251" s="42" t="n">
        <x:v>0</x:v>
      </x:c>
      <x:c r="AK4251" s="42" t="n">
        <x:v>0</x:v>
      </x:c>
      <x:c r="AL4251" s="42" t="n">
        <x:v>0</x:v>
      </x:c>
      <x:c r="AM4251" t="n">
        <x:f>CHOOSE('假设'!$B$3,AJ4251,AK4251,AL4251)</x:f>
        <x:v>0</x:v>
      </x:c>
      <x:c r="AN4251" t="n">
        <x:v>1</x:v>
      </x:c>
    </x:row>
    <x:row r="4252" ht="23" customHeight="1">
      <x:c r="A4252" s="11" t="str">
        <x:v>02162.HK</x:v>
      </x:c>
      <x:c r="B4252" s="11" t="str">
        <x:v>一年</x:v>
      </x:c>
      <x:c r="C4252" s="11" t="str">
        <x:v>CMG901_expansion</x:v>
      </x:c>
      <x:c r="D4252" s="11" t="str">
        <x:v>2043-12-31</x:v>
      </x:c>
      <x:c r="E4252" s="11" t="str">
        <x:v>USD</x:v>
      </x:c>
      <x:c r="F4252" s="11" t="n">
        <x:v>16.227241615331966</x:v>
      </x:c>
      <x:c r="G4252" s="26" t="b">
        <x:v>1</x:v>
      </x:c>
      <x:c r="H4252" s="16" t="n">
        <x:v>0.4</x:v>
      </x:c>
      <x:c r="I4252" s="16" t="n">
        <x:v>0.5</x:v>
      </x:c>
      <x:c r="J4252" s="16" t="n">
        <x:v>0.6</x:v>
      </x:c>
      <x:c r="K4252" s="11" t="n">
        <x:f>CHOOSE('假设'!$B$3,H4252,I4252,J4252)</x:f>
        <x:v>0.5</x:v>
      </x:c>
      <x:c r="L4252" s="11" t="n">
        <x:f>K4252*'管线假设'!E915*'管线假设'!F915*'管线假设'!G915*IF(E4252="USD",'管线假设'!I915,1)-AM4252</x:f>
        <x:v>0.08437799999999998</x:v>
      </x:c>
      <x:c r="M4252" s="11" t="n">
        <x:f>'管线假设'!H915</x:f>
        <x:v>0.14</x:v>
      </x:c>
      <x:c r="N4252" s="11" t="n">
        <x:f>IF(G4252,L4252*AN4252/(1+M4252)^F4252,0)</x:f>
        <x:v>0.01006515472558868</x:v>
      </x:c>
      <x:c r="AJ4252" s="42" t="n">
        <x:v>0</x:v>
      </x:c>
      <x:c r="AK4252" s="42" t="n">
        <x:v>0</x:v>
      </x:c>
      <x:c r="AL4252" s="42" t="n">
        <x:v>0</x:v>
      </x:c>
      <x:c r="AM4252" t="n">
        <x:f>CHOOSE('假设'!$B$3,AJ4252,AK4252,AL4252)</x:f>
        <x:v>0</x:v>
      </x:c>
      <x:c r="AN4252" t="n">
        <x:v>1</x:v>
      </x:c>
    </x:row>
    <x:row r="4253" ht="23" customHeight="1">
      <x:c r="A4253" s="11" t="str">
        <x:v>02162.HK</x:v>
      </x:c>
      <x:c r="B4253" s="11" t="str">
        <x:v>一年</x:v>
      </x:c>
      <x:c r="C4253" s="11" t="str">
        <x:v>CMG901_expansion</x:v>
      </x:c>
      <x:c r="D4253" s="11" t="str">
        <x:v>2044-12-31</x:v>
      </x:c>
      <x:c r="E4253" s="11" t="str">
        <x:v>USD</x:v>
      </x:c>
      <x:c r="F4253" s="11" t="n">
        <x:v>17.229295003422312</x:v>
      </x:c>
      <x:c r="G4253" s="26" t="b">
        <x:v>1</x:v>
      </x:c>
      <x:c r="H4253" s="16" t="n">
        <x:v>0.27999999999999997</x:v>
      </x:c>
      <x:c r="I4253" s="16" t="n">
        <x:v>0.3</x:v>
      </x:c>
      <x:c r="J4253" s="16" t="n">
        <x:v>0.35000000000000003</x:v>
      </x:c>
      <x:c r="K4253" s="11" t="n">
        <x:f>CHOOSE('假设'!$B$3,H4253,I4253,J4253)</x:f>
        <x:v>0.3</x:v>
      </x:c>
      <x:c r="L4253" s="11" t="n">
        <x:f>K4253*'管线假设'!E915*'管线假设'!F915*'管线假设'!G915*IF(E4253="USD",'管线假设'!I915,1)-AM4253</x:f>
        <x:v>0.05062679999999998</x:v>
      </x:c>
      <x:c r="M4253" s="11" t="n">
        <x:f>'管线假设'!H915</x:f>
        <x:v>0.14</x:v>
      </x:c>
      <x:c r="N4253" s="11" t="n">
        <x:f>IF(G4253,L4253*AN4253/(1+M4253)^F4253,0)</x:f>
        <x:v>0.005296024758485563</x:v>
      </x:c>
      <x:c r="AJ4253" s="42" t="n">
        <x:v>0</x:v>
      </x:c>
      <x:c r="AK4253" s="42" t="n">
        <x:v>0</x:v>
      </x:c>
      <x:c r="AL4253" s="42" t="n">
        <x:v>0</x:v>
      </x:c>
      <x:c r="AM4253" t="n">
        <x:f>CHOOSE('假设'!$B$3,AJ4253,AK4253,AL4253)</x:f>
        <x:v>0</x:v>
      </x:c>
      <x:c r="AN4253" t="n">
        <x:v>1</x:v>
      </x:c>
    </x:row>
    <x:row r="4254" ht="23" customHeight="1">
      <x:c r="A4254" s="11" t="str">
        <x:v>02162.HK</x:v>
      </x:c>
      <x:c r="B4254" s="11" t="str">
        <x:v>一年</x:v>
      </x:c>
      <x:c r="C4254" s="11" t="str">
        <x:v>CM336_foreign</x:v>
      </x:c>
      <x:c r="D4254" s="11" t="str">
        <x:v>2026-12-31</x:v>
      </x:c>
      <x:c r="E4254" s="11" t="str">
        <x:v>USD</x:v>
      </x:c>
      <x:c r="F4254" s="11" t="n">
        <x:v>-0.7720739219712526</x:v>
      </x:c>
      <x:c r="G4254" s="26" t="b">
        <x:v>0</x:v>
      </x:c>
      <x:c r="H4254" s="16" t="n">
        <x:v>0</x:v>
      </x:c>
      <x:c r="I4254" s="16" t="n">
        <x:v>0</x:v>
      </x:c>
      <x:c r="J4254" s="16" t="n">
        <x:v>0</x:v>
      </x:c>
      <x:c r="K4254" s="11" t="n">
        <x:f>CHOOSE('假设'!$B$3,H4254,I4254,J4254)</x:f>
        <x:v>0</x:v>
      </x:c>
      <x:c r="L4254" s="11" t="n">
        <x:f>K4254*'管线假设'!E919*'管线假设'!F919*'管线假设'!G919*IF(E4254="USD",'管线假设'!I919,1)-AM4254</x:f>
        <x:v>-0.084</x:v>
      </x:c>
      <x:c r="M4254" s="11" t="n">
        <x:f>'管线假设'!H919</x:f>
        <x:v>0.14</x:v>
      </x:c>
      <x:c r="N4254" s="11" t="n">
        <x:f>IF(G4254,L4254*AN4254/(1+M4254)^F4254,0)</x:f>
        <x:v>0</x:v>
      </x:c>
      <x:c r="AJ4254" s="42" t="n">
        <x:v>0.035</x:v>
      </x:c>
      <x:c r="AK4254" s="42" t="n">
        <x:v>0.084</x:v>
      </x:c>
      <x:c r="AL4254" s="42" t="n">
        <x:v>0.14</x:v>
      </x:c>
      <x:c r="AM4254" t="n">
        <x:f>CHOOSE('假设'!$B$3,AJ4254,AK4254,AL4254)</x:f>
        <x:v>0.084</x:v>
      </x:c>
      <x:c r="AN4254" t="n">
        <x:v>0</x:v>
      </x:c>
    </x:row>
    <x:row r="4255" ht="23" customHeight="1">
      <x:c r="A4255" s="11" t="str">
        <x:v>02162.HK</x:v>
      </x:c>
      <x:c r="B4255" s="11" t="str">
        <x:v>一年</x:v>
      </x:c>
      <x:c r="C4255" s="11" t="str">
        <x:v>CM336_foreign</x:v>
      </x:c>
      <x:c r="D4255" s="11" t="str">
        <x:v>2027-12-31</x:v>
      </x:c>
      <x:c r="E4255" s="11" t="str">
        <x:v>USD</x:v>
      </x:c>
      <x:c r="F4255" s="11" t="n">
        <x:v>0.2272416153319644</x:v>
      </x:c>
      <x:c r="G4255" s="26" t="b">
        <x:v>1</x:v>
      </x:c>
      <x:c r="H4255" s="16" t="n">
        <x:v>0</x:v>
      </x:c>
      <x:c r="I4255" s="16" t="n">
        <x:v>0</x:v>
      </x:c>
      <x:c r="J4255" s="16" t="n">
        <x:v>0</x:v>
      </x:c>
      <x:c r="K4255" s="11" t="n">
        <x:f>CHOOSE('假设'!$B$3,H4255,I4255,J4255)</x:f>
        <x:v>0</x:v>
      </x:c>
      <x:c r="L4255" s="11" t="n">
        <x:f>K4255*'管线假设'!E919*'管线假设'!F919*'管线假设'!G919*IF(E4255="USD",'管线假设'!I919,1)-AM4255</x:f>
        <x:v>-0.084</x:v>
      </x:c>
      <x:c r="M4255" s="11" t="n">
        <x:f>'管线假设'!H919</x:f>
        <x:v>0.14</x:v>
      </x:c>
      <x:c r="N4255" s="11" t="n">
        <x:f>IF(G4255,L4255*AN4255/(1+M4255)^F4255,0)</x:f>
        <x:v>-0.018591945791947933</x:v>
      </x:c>
      <x:c r="AJ4255" s="42" t="n">
        <x:v>0.035</x:v>
      </x:c>
      <x:c r="AK4255" s="42" t="n">
        <x:v>0.084</x:v>
      </x:c>
      <x:c r="AL4255" s="42" t="n">
        <x:v>0.14</x:v>
      </x:c>
      <x:c r="AM4255" t="n">
        <x:f>CHOOSE('假设'!$B$3,AJ4255,AK4255,AL4255)</x:f>
        <x:v>0.084</x:v>
      </x:c>
      <x:c r="AN4255" t="n">
        <x:v>0.22802197802197802</x:v>
      </x:c>
    </x:row>
    <x:row r="4256" ht="23" customHeight="1">
      <x:c r="A4256" s="11" t="str">
        <x:v>02162.HK</x:v>
      </x:c>
      <x:c r="B4256" s="11" t="str">
        <x:v>一年</x:v>
      </x:c>
      <x:c r="C4256" s="11" t="str">
        <x:v>CM336_foreign</x:v>
      </x:c>
      <x:c r="D4256" s="11" t="str">
        <x:v>2028-12-31</x:v>
      </x:c>
      <x:c r="E4256" s="11" t="str">
        <x:v>USD</x:v>
      </x:c>
      <x:c r="F4256" s="11" t="n">
        <x:v>1.2292950034223136</x:v>
      </x:c>
      <x:c r="G4256" s="26" t="b">
        <x:v>1</x:v>
      </x:c>
      <x:c r="H4256" s="16" t="n">
        <x:v>0</x:v>
      </x:c>
      <x:c r="I4256" s="16" t="n">
        <x:v>0</x:v>
      </x:c>
      <x:c r="J4256" s="16" t="n">
        <x:v>0</x:v>
      </x:c>
      <x:c r="K4256" s="11" t="n">
        <x:f>CHOOSE('假设'!$B$3,H4256,I4256,J4256)</x:f>
        <x:v>0</x:v>
      </x:c>
      <x:c r="L4256" s="11" t="n">
        <x:f>K4256*'管线假设'!E919*'管线假设'!F919*'管线假设'!G919*IF(E4256="USD",'管线假设'!I919,1)-AM4256</x:f>
        <x:v>0</x:v>
      </x:c>
      <x:c r="M4256" s="11" t="n">
        <x:f>'管线假设'!H919</x:f>
        <x:v>0.14</x:v>
      </x:c>
      <x:c r="N4256" s="11" t="n">
        <x:f>IF(G4256,L4256*AN4256/(1+M4256)^F4256,0)</x:f>
        <x:v>0</x:v>
      </x:c>
      <x:c r="AJ4256" s="42" t="n">
        <x:v>0</x:v>
      </x:c>
      <x:c r="AK4256" s="42" t="n">
        <x:v>0</x:v>
      </x:c>
      <x:c r="AL4256" s="42" t="n">
        <x:v>0</x:v>
      </x:c>
      <x:c r="AM4256" t="n">
        <x:f>CHOOSE('假设'!$B$3,AJ4256,AK4256,AL4256)</x:f>
        <x:v>0</x:v>
      </x:c>
      <x:c r="AN4256" t="n">
        <x:v>1</x:v>
      </x:c>
    </x:row>
    <x:row r="4257" ht="23" customHeight="1">
      <x:c r="A4257" s="11" t="str">
        <x:v>02162.HK</x:v>
      </x:c>
      <x:c r="B4257" s="11" t="str">
        <x:v>一年</x:v>
      </x:c>
      <x:c r="C4257" s="11" t="str">
        <x:v>CM336_foreign</x:v>
      </x:c>
      <x:c r="D4257" s="11" t="str">
        <x:v>2029-12-31</x:v>
      </x:c>
      <x:c r="E4257" s="11" t="str">
        <x:v>USD</x:v>
      </x:c>
      <x:c r="F4257" s="11" t="n">
        <x:v>2.2286105407255303</x:v>
      </x:c>
      <x:c r="G4257" s="26" t="b">
        <x:v>1</x:v>
      </x:c>
      <x:c r="H4257" s="16" t="n">
        <x:v>0</x:v>
      </x:c>
      <x:c r="I4257" s="16" t="n">
        <x:v>0</x:v>
      </x:c>
      <x:c r="J4257" s="16" t="n">
        <x:v>0.42</x:v>
      </x:c>
      <x:c r="K4257" s="11" t="n">
        <x:f>CHOOSE('假设'!$B$3,H4257,I4257,J4257)</x:f>
        <x:v>0</x:v>
      </x:c>
      <x:c r="L4257" s="11" t="n">
        <x:f>K4257*'管线假设'!E919*'管线假设'!F919*'管线假设'!G919*IF(E4257="USD",'管线假设'!I919,1)-AM4257</x:f>
        <x:v>0</x:v>
      </x:c>
      <x:c r="M4257" s="11" t="n">
        <x:f>'管线假设'!H919</x:f>
        <x:v>0.14</x:v>
      </x:c>
      <x:c r="N4257" s="11" t="n">
        <x:f>IF(G4257,L4257*AN4257/(1+M4257)^F4257,0)</x:f>
        <x:v>0</x:v>
      </x:c>
      <x:c r="AJ4257" s="42" t="n">
        <x:v>0</x:v>
      </x:c>
      <x:c r="AK4257" s="42" t="n">
        <x:v>0</x:v>
      </x:c>
      <x:c r="AL4257" s="42" t="n">
        <x:v>0</x:v>
      </x:c>
      <x:c r="AM4257" t="n">
        <x:f>CHOOSE('假设'!$B$3,AJ4257,AK4257,AL4257)</x:f>
        <x:v>0</x:v>
      </x:c>
      <x:c r="AN4257" t="n">
        <x:v>1</x:v>
      </x:c>
    </x:row>
    <x:row r="4258" ht="23" customHeight="1">
      <x:c r="A4258" s="11" t="str">
        <x:v>02162.HK</x:v>
      </x:c>
      <x:c r="B4258" s="11" t="str">
        <x:v>一年</x:v>
      </x:c>
      <x:c r="C4258" s="11" t="str">
        <x:v>CM336_foreign</x:v>
      </x:c>
      <x:c r="D4258" s="11" t="str">
        <x:v>2030-12-31</x:v>
      </x:c>
      <x:c r="E4258" s="11" t="str">
        <x:v>USD</x:v>
      </x:c>
      <x:c r="F4258" s="11" t="n">
        <x:v>3.2279260780287475</x:v>
      </x:c>
      <x:c r="G4258" s="26" t="b">
        <x:v>1</x:v>
      </x:c>
      <x:c r="H4258" s="16" t="n">
        <x:v>0</x:v>
      </x:c>
      <x:c r="I4258" s="16" t="n">
        <x:v>0.24</x:v>
      </x:c>
      <x:c r="J4258" s="16" t="n">
        <x:v>1.26</x:v>
      </x:c>
      <x:c r="K4258" s="11" t="n">
        <x:f>CHOOSE('假设'!$B$3,H4258,I4258,J4258)</x:f>
        <x:v>0.24</x:v>
      </x:c>
      <x:c r="L4258" s="11" t="n">
        <x:f>K4258*'管线假设'!E919*'管线假设'!F919*'管线假设'!G919*IF(E4258="USD",'管线假设'!I919,1)-AM4258</x:f>
        <x:v>0.038346</x:v>
      </x:c>
      <x:c r="M4258" s="11" t="n">
        <x:f>'管线假设'!H919</x:f>
        <x:v>0.14</x:v>
      </x:c>
      <x:c r="N4258" s="11" t="n">
        <x:f>IF(G4258,L4258*AN4258/(1+M4258)^F4258,0)</x:f>
        <x:v>0.025120912704448887</x:v>
      </x:c>
      <x:c r="AJ4258" s="42" t="n">
        <x:v>0</x:v>
      </x:c>
      <x:c r="AK4258" s="42" t="n">
        <x:v>0</x:v>
      </x:c>
      <x:c r="AL4258" s="42" t="n">
        <x:v>0</x:v>
      </x:c>
      <x:c r="AM4258" t="n">
        <x:f>CHOOSE('假设'!$B$3,AJ4258,AK4258,AL4258)</x:f>
        <x:v>0</x:v>
      </x:c>
      <x:c r="AN4258" t="n">
        <x:v>1</x:v>
      </x:c>
    </x:row>
    <x:row r="4259" ht="23" customHeight="1">
      <x:c r="A4259" s="11" t="str">
        <x:v>02162.HK</x:v>
      </x:c>
      <x:c r="B4259" s="11" t="str">
        <x:v>一年</x:v>
      </x:c>
      <x:c r="C4259" s="11" t="str">
        <x:v>CM336_foreign</x:v>
      </x:c>
      <x:c r="D4259" s="11" t="str">
        <x:v>2031-12-31</x:v>
      </x:c>
      <x:c r="E4259" s="11" t="str">
        <x:v>USD</x:v>
      </x:c>
      <x:c r="F4259" s="11" t="n">
        <x:v>4.227241615331964</x:v>
      </x:c>
      <x:c r="G4259" s="26" t="b">
        <x:v>1</x:v>
      </x:c>
      <x:c r="H4259" s="16" t="n">
        <x:v>0</x:v>
      </x:c>
      <x:c r="I4259" s="16" t="n">
        <x:v>0.72</x:v>
      </x:c>
      <x:c r="J4259" s="16" t="n">
        <x:v>2.66</x:v>
      </x:c>
      <x:c r="K4259" s="11" t="n">
        <x:f>CHOOSE('假设'!$B$3,H4259,I4259,J4259)</x:f>
        <x:v>0.72</x:v>
      </x:c>
      <x:c r="L4259" s="11" t="n">
        <x:f>K4259*'管线假设'!E919*'管线假设'!F919*'管线假设'!G919*IF(E4259="USD",'管线假设'!I919,1)-AM4259</x:f>
        <x:v>0.11503799999999997</x:v>
      </x:c>
      <x:c r="M4259" s="11" t="n">
        <x:f>'管线假设'!H919</x:f>
        <x:v>0.14</x:v>
      </x:c>
      <x:c r="N4259" s="11" t="n">
        <x:f>IF(G4259,L4259*AN4259/(1+M4259)^F4259,0)</x:f>
        <x:v>0.06611359407461642</x:v>
      </x:c>
      <x:c r="AJ4259" s="42" t="n">
        <x:v>0</x:v>
      </x:c>
      <x:c r="AK4259" s="42" t="n">
        <x:v>0</x:v>
      </x:c>
      <x:c r="AL4259" s="42" t="n">
        <x:v>0</x:v>
      </x:c>
      <x:c r="AM4259" t="n">
        <x:f>CHOOSE('假设'!$B$3,AJ4259,AK4259,AL4259)</x:f>
        <x:v>0</x:v>
      </x:c>
      <x:c r="AN4259" t="n">
        <x:v>1</x:v>
      </x:c>
    </x:row>
    <x:row r="4260" ht="23" customHeight="1">
      <x:c r="A4260" s="11" t="str">
        <x:v>02162.HK</x:v>
      </x:c>
      <x:c r="B4260" s="11" t="str">
        <x:v>一年</x:v>
      </x:c>
      <x:c r="C4260" s="11" t="str">
        <x:v>CM336_foreign</x:v>
      </x:c>
      <x:c r="D4260" s="11" t="str">
        <x:v>2032-12-31</x:v>
      </x:c>
      <x:c r="E4260" s="11" t="str">
        <x:v>USD</x:v>
      </x:c>
      <x:c r="F4260" s="11" t="n">
        <x:v>5.229295003422314</x:v>
      </x:c>
      <x:c r="G4260" s="26" t="b">
        <x:v>1</x:v>
      </x:c>
      <x:c r="H4260" s="16" t="n">
        <x:v>0.09</x:v>
      </x:c>
      <x:c r="I4260" s="16" t="n">
        <x:v>1.52</x:v>
      </x:c>
      <x:c r="J4260" s="16" t="n">
        <x:v>4.55</x:v>
      </x:c>
      <x:c r="K4260" s="11" t="n">
        <x:f>CHOOSE('假设'!$B$3,H4260,I4260,J4260)</x:f>
        <x:v>1.52</x:v>
      </x:c>
      <x:c r="L4260" s="11" t="n">
        <x:f>K4260*'管线假设'!E919*'管线假设'!F919*'管线假设'!G919*IF(E4260="USD",'管线假设'!I919,1)-AM4260</x:f>
        <x:v>0.24285799999999996</x:v>
      </x:c>
      <x:c r="M4260" s="11" t="n">
        <x:f>'管线假设'!H919</x:f>
        <x:v>0.14</x:v>
      </x:c>
      <x:c r="N4260" s="11" t="n">
        <x:f>IF(G4260,L4260*AN4260/(1+M4260)^F4260,0)</x:f>
        <x:v>0.12239964533517805</x:v>
      </x:c>
      <x:c r="AJ4260" s="42" t="n">
        <x:v>0</x:v>
      </x:c>
      <x:c r="AK4260" s="42" t="n">
        <x:v>0</x:v>
      </x:c>
      <x:c r="AL4260" s="42" t="n">
        <x:v>0</x:v>
      </x:c>
      <x:c r="AM4260" t="n">
        <x:f>CHOOSE('假设'!$B$3,AJ4260,AK4260,AL4260)</x:f>
        <x:v>0</x:v>
      </x:c>
      <x:c r="AN4260" t="n">
        <x:v>1</x:v>
      </x:c>
    </x:row>
    <x:row r="4261" ht="23" customHeight="1">
      <x:c r="A4261" s="11" t="str">
        <x:v>02162.HK</x:v>
      </x:c>
      <x:c r="B4261" s="11" t="str">
        <x:v>一年</x:v>
      </x:c>
      <x:c r="C4261" s="11" t="str">
        <x:v>CM336_foreign</x:v>
      </x:c>
      <x:c r="D4261" s="11" t="str">
        <x:v>2033-12-31</x:v>
      </x:c>
      <x:c r="E4261" s="11" t="str">
        <x:v>USD</x:v>
      </x:c>
      <x:c r="F4261" s="11" t="n">
        <x:v>6.228610540725531</x:v>
      </x:c>
      <x:c r="G4261" s="26" t="b">
        <x:v>1</x:v>
      </x:c>
      <x:c r="H4261" s="16" t="n">
        <x:v>0.27</x:v>
      </x:c>
      <x:c r="I4261" s="16" t="n">
        <x:v>2.6</x:v>
      </x:c>
      <x:c r="J4261" s="16" t="n">
        <x:v>5.95</x:v>
      </x:c>
      <x:c r="K4261" s="11" t="n">
        <x:f>CHOOSE('假设'!$B$3,H4261,I4261,J4261)</x:f>
        <x:v>2.6</x:v>
      </x:c>
      <x:c r="L4261" s="11" t="n">
        <x:f>K4261*'管线假设'!E919*'管线假设'!F919*'管线假设'!G919*IF(E4261="USD",'管线假设'!I919,1)-AM4261</x:f>
        <x:v>0.415415</x:v>
      </x:c>
      <x:c r="M4261" s="11" t="n">
        <x:f>'管线假设'!H919</x:f>
        <x:v>0.14</x:v>
      </x:c>
      <x:c r="N4261" s="11" t="n">
        <x:f>IF(G4261,L4261*AN4261/(1+M4261)^F4261,0)</x:f>
        <x:v>0.1836724492678767</x:v>
      </x:c>
      <x:c r="AJ4261" s="42" t="n">
        <x:v>0</x:v>
      </x:c>
      <x:c r="AK4261" s="42" t="n">
        <x:v>0</x:v>
      </x:c>
      <x:c r="AL4261" s="42" t="n">
        <x:v>0</x:v>
      </x:c>
      <x:c r="AM4261" t="n">
        <x:f>CHOOSE('假设'!$B$3,AJ4261,AK4261,AL4261)</x:f>
        <x:v>0</x:v>
      </x:c>
      <x:c r="AN4261" t="n">
        <x:v>1</x:v>
      </x:c>
    </x:row>
    <x:row r="4262" ht="23" customHeight="1">
      <x:c r="A4262" s="11" t="str">
        <x:v>02162.HK</x:v>
      </x:c>
      <x:c r="B4262" s="11" t="str">
        <x:v>一年</x:v>
      </x:c>
      <x:c r="C4262" s="11" t="str">
        <x:v>CM336_foreign</x:v>
      </x:c>
      <x:c r="D4262" s="11" t="str">
        <x:v>2034-12-31</x:v>
      </x:c>
      <x:c r="E4262" s="11" t="str">
        <x:v>USD</x:v>
      </x:c>
      <x:c r="F4262" s="11" t="n">
        <x:v>7.227926078028747</x:v>
      </x:c>
      <x:c r="G4262" s="26" t="b">
        <x:v>1</x:v>
      </x:c>
      <x:c r="H4262" s="16" t="n">
        <x:v>0.5700000000000001</x:v>
      </x:c>
      <x:c r="I4262" s="16" t="n">
        <x:v>3.4</x:v>
      </x:c>
      <x:c r="J4262" s="16" t="n">
        <x:v>7</x:v>
      </x:c>
      <x:c r="K4262" s="11" t="n">
        <x:f>CHOOSE('假设'!$B$3,H4262,I4262,J4262)</x:f>
        <x:v>3.4</x:v>
      </x:c>
      <x:c r="L4262" s="11" t="n">
        <x:f>K4262*'管线假设'!E919*'管线假设'!F919*'管线假设'!G919*IF(E4262="USD",'管线假设'!I919,1)-AM4262</x:f>
        <x:v>0.5432349999999999</x:v>
      </x:c>
      <x:c r="M4262" s="11" t="n">
        <x:f>'管线假设'!H919</x:f>
        <x:v>0.14</x:v>
      </x:c>
      <x:c r="N4262" s="11" t="n">
        <x:f>IF(G4262,L4262*AN4262/(1+M4262)^F4262,0)</x:f>
        <x:v>0.2107092902927675</x:v>
      </x:c>
      <x:c r="AJ4262" s="42" t="n">
        <x:v>0</x:v>
      </x:c>
      <x:c r="AK4262" s="42" t="n">
        <x:v>0</x:v>
      </x:c>
      <x:c r="AL4262" s="42" t="n">
        <x:v>0</x:v>
      </x:c>
      <x:c r="AM4262" t="n">
        <x:f>CHOOSE('假设'!$B$3,AJ4262,AK4262,AL4262)</x:f>
        <x:v>0</x:v>
      </x:c>
      <x:c r="AN4262" t="n">
        <x:v>1</x:v>
      </x:c>
    </x:row>
    <x:row r="4263" ht="23" customHeight="1">
      <x:c r="A4263" s="11" t="str">
        <x:v>02162.HK</x:v>
      </x:c>
      <x:c r="B4263" s="11" t="str">
        <x:v>一年</x:v>
      </x:c>
      <x:c r="C4263" s="11" t="str">
        <x:v>CM336_foreign</x:v>
      </x:c>
      <x:c r="D4263" s="11" t="str">
        <x:v>2035-12-31</x:v>
      </x:c>
      <x:c r="E4263" s="11" t="str">
        <x:v>USD</x:v>
      </x:c>
      <x:c r="F4263" s="11" t="n">
        <x:v>8.227241615331964</x:v>
      </x:c>
      <x:c r="G4263" s="26" t="b">
        <x:v>1</x:v>
      </x:c>
      <x:c r="H4263" s="16" t="n">
        <x:v>0.9750000000000001</x:v>
      </x:c>
      <x:c r="I4263" s="16" t="n">
        <x:v>4</x:v>
      </x:c>
      <x:c r="J4263" s="16" t="n">
        <x:v>7</x:v>
      </x:c>
      <x:c r="K4263" s="11" t="n">
        <x:f>CHOOSE('假设'!$B$3,H4263,I4263,J4263)</x:f>
        <x:v>4</x:v>
      </x:c>
      <x:c r="L4263" s="11" t="n">
        <x:f>K4263*'管线假设'!E919*'管线假设'!F919*'管线假设'!G919*IF(E4263="USD",'管线假设'!I919,1)-AM4263</x:f>
        <x:v>0.6391</x:v>
      </x:c>
      <x:c r="M4263" s="11" t="n">
        <x:f>'管线假设'!H919</x:f>
        <x:v>0.14</x:v>
      </x:c>
      <x:c r="N4263" s="11" t="n">
        <x:f>IF(G4263,L4263*AN4263/(1+M4263)^F4263,0)</x:f>
        <x:v>0.2174697506535501</x:v>
      </x:c>
      <x:c r="AJ4263" s="42" t="n">
        <x:v>0</x:v>
      </x:c>
      <x:c r="AK4263" s="42" t="n">
        <x:v>0</x:v>
      </x:c>
      <x:c r="AL4263" s="42" t="n">
        <x:v>0</x:v>
      </x:c>
      <x:c r="AM4263" t="n">
        <x:f>CHOOSE('假设'!$B$3,AJ4263,AK4263,AL4263)</x:f>
        <x:v>0</x:v>
      </x:c>
      <x:c r="AN4263" t="n">
        <x:v>1</x:v>
      </x:c>
    </x:row>
    <x:row r="4264" ht="23" customHeight="1">
      <x:c r="A4264" s="11" t="str">
        <x:v>02162.HK</x:v>
      </x:c>
      <x:c r="B4264" s="11" t="str">
        <x:v>一年</x:v>
      </x:c>
      <x:c r="C4264" s="11" t="str">
        <x:v>CM336_foreign</x:v>
      </x:c>
      <x:c r="D4264" s="11" t="str">
        <x:v>2036-12-31</x:v>
      </x:c>
      <x:c r="E4264" s="11" t="str">
        <x:v>USD</x:v>
      </x:c>
      <x:c r="F4264" s="11" t="n">
        <x:v>9.229295003422314</x:v>
      </x:c>
      <x:c r="G4264" s="26" t="b">
        <x:v>1</x:v>
      </x:c>
      <x:c r="H4264" s="16" t="n">
        <x:v>1.275</x:v>
      </x:c>
      <x:c r="I4264" s="16" t="n">
        <x:v>4</x:v>
      </x:c>
      <x:c r="J4264" s="16" t="n">
        <x:v>6.6499999999999995</x:v>
      </x:c>
      <x:c r="K4264" s="11" t="n">
        <x:f>CHOOSE('假设'!$B$3,H4264,I4264,J4264)</x:f>
        <x:v>4</x:v>
      </x:c>
      <x:c r="L4264" s="11" t="n">
        <x:f>K4264*'管线假设'!E919*'管线假设'!F919*'管线假设'!G919*IF(E4264="USD",'管线假设'!I919,1)-AM4264</x:f>
        <x:v>0.6391</x:v>
      </x:c>
      <x:c r="M4264" s="11" t="n">
        <x:f>'管线假设'!H919</x:f>
        <x:v>0.14</x:v>
      </x:c>
      <x:c r="N4264" s="11" t="n">
        <x:f>IF(G4264,L4264*AN4264/(1+M4264)^F4264,0)</x:f>
        <x:v>0.1907116209475396</x:v>
      </x:c>
      <x:c r="AJ4264" s="42" t="n">
        <x:v>0</x:v>
      </x:c>
      <x:c r="AK4264" s="42" t="n">
        <x:v>0</x:v>
      </x:c>
      <x:c r="AL4264" s="42" t="n">
        <x:v>0</x:v>
      </x:c>
      <x:c r="AM4264" t="n">
        <x:f>CHOOSE('假设'!$B$3,AJ4264,AK4264,AL4264)</x:f>
        <x:v>0</x:v>
      </x:c>
      <x:c r="AN4264" t="n">
        <x:v>1</x:v>
      </x:c>
    </x:row>
    <x:row r="4265" ht="23" customHeight="1">
      <x:c r="A4265" s="11" t="str">
        <x:v>02162.HK</x:v>
      </x:c>
      <x:c r="B4265" s="11" t="str">
        <x:v>一年</x:v>
      </x:c>
      <x:c r="C4265" s="11" t="str">
        <x:v>CM336_foreign</x:v>
      </x:c>
      <x:c r="D4265" s="11" t="str">
        <x:v>2037-12-31</x:v>
      </x:c>
      <x:c r="E4265" s="11" t="str">
        <x:v>USD</x:v>
      </x:c>
      <x:c r="F4265" s="11" t="n">
        <x:v>10.22861054072553</x:v>
      </x:c>
      <x:c r="G4265" s="26" t="b">
        <x:v>1</x:v>
      </x:c>
      <x:c r="H4265" s="16" t="n">
        <x:v>1.5</x:v>
      </x:c>
      <x:c r="I4265" s="16" t="n">
        <x:v>3.8</x:v>
      </x:c>
      <x:c r="J4265" s="16" t="n">
        <x:v>6.3</x:v>
      </x:c>
      <x:c r="K4265" s="11" t="n">
        <x:f>CHOOSE('假设'!$B$3,H4265,I4265,J4265)</x:f>
        <x:v>3.8</x:v>
      </x:c>
      <x:c r="L4265" s="11" t="n">
        <x:f>K4265*'管线假设'!E919*'管线假设'!F919*'管线假设'!G919*IF(E4265="USD",'管线假设'!I919,1)-AM4265</x:f>
        <x:v>0.6071449999999999</x:v>
      </x:c>
      <x:c r="M4265" s="11" t="n">
        <x:f>'管线假设'!H919</x:f>
        <x:v>0.14</x:v>
      </x:c>
      <x:c r="N4265" s="11" t="n">
        <x:f>IF(G4265,L4265*AN4265/(1+M4265)^F4265,0)</x:f>
        <x:v>0.15894060457291873</x:v>
      </x:c>
      <x:c r="AJ4265" s="42" t="n">
        <x:v>0</x:v>
      </x:c>
      <x:c r="AK4265" s="42" t="n">
        <x:v>0</x:v>
      </x:c>
      <x:c r="AL4265" s="42" t="n">
        <x:v>0</x:v>
      </x:c>
      <x:c r="AM4265" t="n">
        <x:f>CHOOSE('假设'!$B$3,AJ4265,AK4265,AL4265)</x:f>
        <x:v>0</x:v>
      </x:c>
      <x:c r="AN4265" t="n">
        <x:v>1</x:v>
      </x:c>
    </x:row>
    <x:row r="4266" ht="23" customHeight="1">
      <x:c r="A4266" s="11" t="str">
        <x:v>02162.HK</x:v>
      </x:c>
      <x:c r="B4266" s="11" t="str">
        <x:v>一年</x:v>
      </x:c>
      <x:c r="C4266" s="11" t="str">
        <x:v>CM336_foreign</x:v>
      </x:c>
      <x:c r="D4266" s="11" t="str">
        <x:v>2038-12-31</x:v>
      </x:c>
      <x:c r="E4266" s="11" t="str">
        <x:v>USD</x:v>
      </x:c>
      <x:c r="F4266" s="11" t="n">
        <x:v>11.227926078028748</x:v>
      </x:c>
      <x:c r="G4266" s="26" t="b">
        <x:v>1</x:v>
      </x:c>
      <x:c r="H4266" s="16" t="n">
        <x:v>1.5</x:v>
      </x:c>
      <x:c r="I4266" s="16" t="n">
        <x:v>3.6</x:v>
      </x:c>
      <x:c r="J4266" s="16" t="n">
        <x:v>5.6000000000000005</x:v>
      </x:c>
      <x:c r="K4266" s="11" t="n">
        <x:f>CHOOSE('假设'!$B$3,H4266,I4266,J4266)</x:f>
        <x:v>3.6</x:v>
      </x:c>
      <x:c r="L4266" s="11" t="n">
        <x:f>K4266*'管线假设'!E919*'管线假设'!F919*'管线假设'!G919*IF(E4266="USD",'管线假设'!I919,1)-AM4266</x:f>
        <x:v>0.57519</x:v>
      </x:c>
      <x:c r="M4266" s="11" t="n">
        <x:f>'管线假设'!H919</x:f>
        <x:v>0.14</x:v>
      </x:c>
      <x:c r="N4266" s="11" t="n">
        <x:f>IF(G4266,L4266*AN4266/(1+M4266)^F4266,0)</x:f>
        <x:v>0.13209545121990093</x:v>
      </x:c>
      <x:c r="AJ4266" s="42" t="n">
        <x:v>0</x:v>
      </x:c>
      <x:c r="AK4266" s="42" t="n">
        <x:v>0</x:v>
      </x:c>
      <x:c r="AL4266" s="42" t="n">
        <x:v>0</x:v>
      </x:c>
      <x:c r="AM4266" t="n">
        <x:f>CHOOSE('假设'!$B$3,AJ4266,AK4266,AL4266)</x:f>
        <x:v>0</x:v>
      </x:c>
      <x:c r="AN4266" t="n">
        <x:v>1</x:v>
      </x:c>
    </x:row>
    <x:row r="4267" ht="23" customHeight="1">
      <x:c r="A4267" s="11" t="str">
        <x:v>02162.HK</x:v>
      </x:c>
      <x:c r="B4267" s="11" t="str">
        <x:v>一年</x:v>
      </x:c>
      <x:c r="C4267" s="11" t="str">
        <x:v>CM336_foreign</x:v>
      </x:c>
      <x:c r="D4267" s="11" t="str">
        <x:v>2039-12-31</x:v>
      </x:c>
      <x:c r="E4267" s="11" t="str">
        <x:v>USD</x:v>
      </x:c>
      <x:c r="F4267" s="11" t="n">
        <x:v>12.227241615331964</x:v>
      </x:c>
      <x:c r="G4267" s="26" t="b">
        <x:v>1</x:v>
      </x:c>
      <x:c r="H4267" s="16" t="n">
        <x:v>1.4249999999999998</x:v>
      </x:c>
      <x:c r="I4267" s="16" t="n">
        <x:v>3.2</x:v>
      </x:c>
      <x:c r="J4267" s="16" t="n">
        <x:v>4.55</x:v>
      </x:c>
      <x:c r="K4267" s="11" t="n">
        <x:f>CHOOSE('假设'!$B$3,H4267,I4267,J4267)</x:f>
        <x:v>3.2</x:v>
      </x:c>
      <x:c r="L4267" s="11" t="n">
        <x:f>K4267*'管线假设'!E919*'管线假设'!F919*'管线假设'!G919*IF(E4267="USD",'管线假设'!I919,1)-AM4267</x:f>
        <x:v>0.51128</x:v>
      </x:c>
      <x:c r="M4267" s="11" t="n">
        <x:f>'管线假设'!H919</x:f>
        <x:v>0.14</x:v>
      </x:c>
      <x:c r="N4267" s="11" t="n">
        <x:f>IF(G4267,L4267*AN4267/(1+M4267)^F4267,0)</x:f>
        <x:v>0.1030076402292639</x:v>
      </x:c>
      <x:c r="AJ4267" s="42" t="n">
        <x:v>0</x:v>
      </x:c>
      <x:c r="AK4267" s="42" t="n">
        <x:v>0</x:v>
      </x:c>
      <x:c r="AL4267" s="42" t="n">
        <x:v>0</x:v>
      </x:c>
      <x:c r="AM4267" t="n">
        <x:f>CHOOSE('假设'!$B$3,AJ4267,AK4267,AL4267)</x:f>
        <x:v>0</x:v>
      </x:c>
      <x:c r="AN4267" t="n">
        <x:v>1</x:v>
      </x:c>
    </x:row>
    <x:row r="4268" ht="23" customHeight="1">
      <x:c r="A4268" s="11" t="str">
        <x:v>02162.HK</x:v>
      </x:c>
      <x:c r="B4268" s="11" t="str">
        <x:v>一年</x:v>
      </x:c>
      <x:c r="C4268" s="11" t="str">
        <x:v>CM336_foreign</x:v>
      </x:c>
      <x:c r="D4268" s="11" t="str">
        <x:v>2040-12-31</x:v>
      </x:c>
      <x:c r="E4268" s="11" t="str">
        <x:v>USD</x:v>
      </x:c>
      <x:c r="F4268" s="11" t="n">
        <x:v>13.229295003422314</x:v>
      </x:c>
      <x:c r="G4268" s="26" t="b">
        <x:v>1</x:v>
      </x:c>
      <x:c r="H4268" s="16" t="n">
        <x:v>1.35</x:v>
      </x:c>
      <x:c r="I4268" s="16" t="n">
        <x:v>2.6</x:v>
      </x:c>
      <x:c r="J4268" s="16" t="n">
        <x:v>3.5</x:v>
      </x:c>
      <x:c r="K4268" s="11" t="n">
        <x:f>CHOOSE('假设'!$B$3,H4268,I4268,J4268)</x:f>
        <x:v>2.6</x:v>
      </x:c>
      <x:c r="L4268" s="11" t="n">
        <x:f>K4268*'管线假设'!E919*'管线假设'!F919*'管线假设'!G919*IF(E4268="USD",'管线假设'!I919,1)-AM4268</x:f>
        <x:v>0.415415</x:v>
      </x:c>
      <x:c r="M4268" s="11" t="n">
        <x:f>'管线假设'!H919</x:f>
        <x:v>0.14</x:v>
      </x:c>
      <x:c r="N4268" s="11" t="n">
        <x:f>IF(G4268,L4268*AN4268/(1+M4268)^F4268,0)</x:f>
        <x:v>0.07339578312841949</x:v>
      </x:c>
      <x:c r="AJ4268" s="42" t="n">
        <x:v>0</x:v>
      </x:c>
      <x:c r="AK4268" s="42" t="n">
        <x:v>0</x:v>
      </x:c>
      <x:c r="AL4268" s="42" t="n">
        <x:v>0</x:v>
      </x:c>
      <x:c r="AM4268" t="n">
        <x:f>CHOOSE('假设'!$B$3,AJ4268,AK4268,AL4268)</x:f>
        <x:v>0</x:v>
      </x:c>
      <x:c r="AN4268" t="n">
        <x:v>1</x:v>
      </x:c>
    </x:row>
    <x:row r="4269" ht="23" customHeight="1">
      <x:c r="A4269" s="11" t="str">
        <x:v>02162.HK</x:v>
      </x:c>
      <x:c r="B4269" s="11" t="str">
        <x:v>一年</x:v>
      </x:c>
      <x:c r="C4269" s="11" t="str">
        <x:v>CM336_foreign</x:v>
      </x:c>
      <x:c r="D4269" s="11" t="str">
        <x:v>2041-12-31</x:v>
      </x:c>
      <x:c r="E4269" s="11" t="str">
        <x:v>USD</x:v>
      </x:c>
      <x:c r="F4269" s="11" t="n">
        <x:v>14.22861054072553</x:v>
      </x:c>
      <x:c r="G4269" s="26" t="b">
        <x:v>1</x:v>
      </x:c>
      <x:c r="H4269" s="16" t="n">
        <x:v>1.2000000000000002</x:v>
      </x:c>
      <x:c r="I4269" s="16" t="n">
        <x:v>2</x:v>
      </x:c>
      <x:c r="J4269" s="16" t="n">
        <x:v>2.4499999999999997</x:v>
      </x:c>
      <x:c r="K4269" s="11" t="n">
        <x:f>CHOOSE('假设'!$B$3,H4269,I4269,J4269)</x:f>
        <x:v>2</x:v>
      </x:c>
      <x:c r="L4269" s="11" t="n">
        <x:f>K4269*'管线假设'!E919*'管线假设'!F919*'管线假设'!G919*IF(E4269="USD",'管线假设'!I919,1)-AM4269</x:f>
        <x:v>0.31955</x:v>
      </x:c>
      <x:c r="M4269" s="11" t="n">
        <x:f>'管线假设'!H919</x:f>
        <x:v>0.14</x:v>
      </x:c>
      <x:c r="N4269" s="11" t="n">
        <x:f>IF(G4269,L4269*AN4269/(1+M4269)^F4269,0)</x:f>
        <x:v>0.049529261705747014</x:v>
      </x:c>
      <x:c r="AJ4269" s="42" t="n">
        <x:v>0</x:v>
      </x:c>
      <x:c r="AK4269" s="42" t="n">
        <x:v>0</x:v>
      </x:c>
      <x:c r="AL4269" s="42" t="n">
        <x:v>0</x:v>
      </x:c>
      <x:c r="AM4269" t="n">
        <x:f>CHOOSE('假设'!$B$3,AJ4269,AK4269,AL4269)</x:f>
        <x:v>0</x:v>
      </x:c>
      <x:c r="AN4269" t="n">
        <x:v>1</x:v>
      </x:c>
    </x:row>
    <x:row r="4270" ht="23" customHeight="1">
      <x:c r="A4270" s="11" t="str">
        <x:v>02162.HK</x:v>
      </x:c>
      <x:c r="B4270" s="11" t="str">
        <x:v>一年</x:v>
      </x:c>
      <x:c r="C4270" s="11" t="str">
        <x:v>CM336_foreign</x:v>
      </x:c>
      <x:c r="D4270" s="11" t="str">
        <x:v>2042-12-31</x:v>
      </x:c>
      <x:c r="E4270" s="11" t="str">
        <x:v>USD</x:v>
      </x:c>
      <x:c r="F4270" s="11" t="n">
        <x:v>15.227926078028748</x:v>
      </x:c>
      <x:c r="G4270" s="26" t="b">
        <x:v>1</x:v>
      </x:c>
      <x:c r="H4270" s="16" t="n">
        <x:v>0.9750000000000001</x:v>
      </x:c>
      <x:c r="I4270" s="16" t="n">
        <x:v>1.4</x:v>
      </x:c>
      <x:c r="J4270" s="16" t="n">
        <x:v>1.4000000000000001</x:v>
      </x:c>
      <x:c r="K4270" s="11" t="n">
        <x:f>CHOOSE('假设'!$B$3,H4270,I4270,J4270)</x:f>
        <x:v>1.4</x:v>
      </x:c>
      <x:c r="L4270" s="11" t="n">
        <x:f>K4270*'管线假设'!E919*'管线假设'!F919*'管线假设'!G919*IF(E4270="USD",'管线假设'!I919,1)-AM4270</x:f>
        <x:v>0.22368499999999997</x:v>
      </x:c>
      <x:c r="M4270" s="11" t="n">
        <x:f>'管线假设'!H919</x:f>
        <x:v>0.14</x:v>
      </x:c>
      <x:c r="N4270" s="11" t="n">
        <x:f>IF(G4270,L4270*AN4270/(1+M4270)^F4270,0)</x:f>
        <x:v>0.03041543221018527</x:v>
      </x:c>
      <x:c r="AJ4270" s="42" t="n">
        <x:v>0</x:v>
      </x:c>
      <x:c r="AK4270" s="42" t="n">
        <x:v>0</x:v>
      </x:c>
      <x:c r="AL4270" s="42" t="n">
        <x:v>0</x:v>
      </x:c>
      <x:c r="AM4270" t="n">
        <x:f>CHOOSE('假设'!$B$3,AJ4270,AK4270,AL4270)</x:f>
        <x:v>0</x:v>
      </x:c>
      <x:c r="AN4270" t="n">
        <x:v>1</x:v>
      </x:c>
    </x:row>
    <x:row r="4271" ht="23" customHeight="1">
      <x:c r="A4271" s="11" t="str">
        <x:v>02162.HK</x:v>
      </x:c>
      <x:c r="B4271" s="11" t="str">
        <x:v>一年</x:v>
      </x:c>
      <x:c r="C4271" s="11" t="str">
        <x:v>CM336_foreign</x:v>
      </x:c>
      <x:c r="D4271" s="11" t="str">
        <x:v>2043-12-31</x:v>
      </x:c>
      <x:c r="E4271" s="11" t="str">
        <x:v>USD</x:v>
      </x:c>
      <x:c r="F4271" s="11" t="n">
        <x:v>16.227241615331966</x:v>
      </x:c>
      <x:c r="G4271" s="26" t="b">
        <x:v>1</x:v>
      </x:c>
      <x:c r="H4271" s="16" t="n">
        <x:v>0.75</x:v>
      </x:c>
      <x:c r="I4271" s="16" t="n">
        <x:v>0.8</x:v>
      </x:c>
      <x:c r="J4271" s="16" t="n">
        <x:v>0.84</x:v>
      </x:c>
      <x:c r="K4271" s="11" t="n">
        <x:f>CHOOSE('假设'!$B$3,H4271,I4271,J4271)</x:f>
        <x:v>0.8</x:v>
      </x:c>
      <x:c r="L4271" s="11" t="n">
        <x:f>K4271*'管线假设'!E919*'管线假设'!F919*'管线假设'!G919*IF(E4271="USD",'管线假设'!I919,1)-AM4271</x:f>
        <x:v>0.12782</x:v>
      </x:c>
      <x:c r="M4271" s="11" t="n">
        <x:f>'管线假设'!H919</x:f>
        <x:v>0.14</x:v>
      </x:c>
      <x:c r="N4271" s="11" t="n">
        <x:f>IF(G4271,L4271*AN4271/(1+M4271)^F4271,0)</x:f>
        <x:v>0.015247198049547812</x:v>
      </x:c>
      <x:c r="AJ4271" s="42" t="n">
        <x:v>0</x:v>
      </x:c>
      <x:c r="AK4271" s="42" t="n">
        <x:v>0</x:v>
      </x:c>
      <x:c r="AL4271" s="42" t="n">
        <x:v>0</x:v>
      </x:c>
      <x:c r="AM4271" t="n">
        <x:f>CHOOSE('假设'!$B$3,AJ4271,AK4271,AL4271)</x:f>
        <x:v>0</x:v>
      </x:c>
      <x:c r="AN4271" t="n">
        <x:v>1</x:v>
      </x:c>
    </x:row>
    <x:row r="4272" ht="23" customHeight="1">
      <x:c r="A4272" s="11" t="str">
        <x:v>02162.HK</x:v>
      </x:c>
      <x:c r="B4272" s="11" t="str">
        <x:v>一年</x:v>
      </x:c>
      <x:c r="C4272" s="11" t="str">
        <x:v>CM336_foreign</x:v>
      </x:c>
      <x:c r="D4272" s="11" t="str">
        <x:v>2044-12-31</x:v>
      </x:c>
      <x:c r="E4272" s="11" t="str">
        <x:v>USD</x:v>
      </x:c>
      <x:c r="F4272" s="11" t="n">
        <x:v>17.229295003422312</x:v>
      </x:c>
      <x:c r="G4272" s="26" t="b">
        <x:v>1</x:v>
      </x:c>
      <x:c r="H4272" s="16" t="n">
        <x:v>0.5249999999999999</x:v>
      </x:c>
      <x:c r="I4272" s="16" t="n">
        <x:v>0.48</x:v>
      </x:c>
      <x:c r="J4272" s="16" t="n">
        <x:v>0.49000000000000005</x:v>
      </x:c>
      <x:c r="K4272" s="11" t="n">
        <x:f>CHOOSE('假设'!$B$3,H4272,I4272,J4272)</x:f>
        <x:v>0.48</x:v>
      </x:c>
      <x:c r="L4272" s="11" t="n">
        <x:f>K4272*'管线假设'!E919*'管线假设'!F919*'管线假设'!G919*IF(E4272="USD",'管线假设'!I919,1)-AM4272</x:f>
        <x:v>0.076692</x:v>
      </x:c>
      <x:c r="M4272" s="11" t="n">
        <x:f>'管线假设'!H919</x:f>
        <x:v>0.14</x:v>
      </x:c>
      <x:c r="N4272" s="11" t="n">
        <x:f>IF(G4272,L4272*AN4272/(1+M4272)^F4272,0)</x:f>
        <x:v>0.008022682270611118</x:v>
      </x:c>
      <x:c r="AJ4272" s="42" t="n">
        <x:v>0</x:v>
      </x:c>
      <x:c r="AK4272" s="42" t="n">
        <x:v>0</x:v>
      </x:c>
      <x:c r="AL4272" s="42" t="n">
        <x:v>0</x:v>
      </x:c>
      <x:c r="AM4272" t="n">
        <x:f>CHOOSE('假设'!$B$3,AJ4272,AK4272,AL4272)</x:f>
        <x:v>0</x:v>
      </x:c>
      <x:c r="AN4272" t="n">
        <x:v>1</x:v>
      </x:c>
    </x:row>
    <x:row r="4273" ht="23" customHeight="1">
      <x:c r="A4273" s="11" t="str">
        <x:v>02162.HK</x:v>
      </x:c>
      <x:c r="B4273" s="11" t="str">
        <x:v>一年</x:v>
      </x:c>
      <x:c r="C4273" s="11" t="str">
        <x:v>CM336_domestic</x:v>
      </x:c>
      <x:c r="D4273" s="11" t="str">
        <x:v>2026-12-31</x:v>
      </x:c>
      <x:c r="E4273" s="11" t="str">
        <x:v>CNY</x:v>
      </x:c>
      <x:c r="F4273" s="11" t="n">
        <x:v>-0.7720739219712526</x:v>
      </x:c>
      <x:c r="G4273" s="26" t="b">
        <x:v>0</x:v>
      </x:c>
      <x:c r="H4273" s="16" t="n">
        <x:v>0</x:v>
      </x:c>
      <x:c r="I4273" s="16" t="n">
        <x:v>0</x:v>
      </x:c>
      <x:c r="J4273" s="16" t="n">
        <x:v>0</x:v>
      </x:c>
      <x:c r="K4273" s="11" t="n">
        <x:f>CHOOSE('假设'!$B$3,H4273,I4273,J4273)</x:f>
        <x:v>0</x:v>
      </x:c>
      <x:c r="L4273" s="11" t="n">
        <x:f>K4273*'管线假设'!E923*'管线假设'!F923*'管线假设'!G923*IF(E4273="USD",'管线假设'!I923,1)-AM4273</x:f>
        <x:v>-0.12</x:v>
      </x:c>
      <x:c r="M4273" s="11" t="n">
        <x:f>'管线假设'!H923</x:f>
        <x:v>0.14</x:v>
      </x:c>
      <x:c r="N4273" s="11" t="n">
        <x:f>IF(G4273,L4273*AN4273/(1+M4273)^F4273,0)</x:f>
        <x:v>0</x:v>
      </x:c>
      <x:c r="AJ4273" s="42" t="n">
        <x:v>0.08</x:v>
      </x:c>
      <x:c r="AK4273" s="42" t="n">
        <x:v>0.12</x:v>
      </x:c>
      <x:c r="AL4273" s="42" t="n">
        <x:v>0.18</x:v>
      </x:c>
      <x:c r="AM4273" t="n">
        <x:f>CHOOSE('假设'!$B$3,AJ4273,AK4273,AL4273)</x:f>
        <x:v>0.12</x:v>
      </x:c>
      <x:c r="AN4273" t="n">
        <x:v>0</x:v>
      </x:c>
    </x:row>
    <x:row r="4274" ht="23" customHeight="1">
      <x:c r="A4274" s="11" t="str">
        <x:v>02162.HK</x:v>
      </x:c>
      <x:c r="B4274" s="11" t="str">
        <x:v>一年</x:v>
      </x:c>
      <x:c r="C4274" s="11" t="str">
        <x:v>CM336_domestic</x:v>
      </x:c>
      <x:c r="D4274" s="11" t="str">
        <x:v>2027-12-31</x:v>
      </x:c>
      <x:c r="E4274" s="11" t="str">
        <x:v>CNY</x:v>
      </x:c>
      <x:c r="F4274" s="11" t="n">
        <x:v>0.2272416153319644</x:v>
      </x:c>
      <x:c r="G4274" s="26" t="b">
        <x:v>1</x:v>
      </x:c>
      <x:c r="H4274" s="16" t="n">
        <x:v>0</x:v>
      </x:c>
      <x:c r="I4274" s="16" t="n">
        <x:v>0</x:v>
      </x:c>
      <x:c r="J4274" s="16" t="n">
        <x:v>0</x:v>
      </x:c>
      <x:c r="K4274" s="11" t="n">
        <x:f>CHOOSE('假设'!$B$3,H4274,I4274,J4274)</x:f>
        <x:v>0</x:v>
      </x:c>
      <x:c r="L4274" s="11" t="n">
        <x:f>K4274*'管线假设'!E923*'管线假设'!F923*'管线假设'!G923*IF(E4274="USD",'管线假设'!I923,1)-AM4274</x:f>
        <x:v>-0.15</x:v>
      </x:c>
      <x:c r="M4274" s="11" t="n">
        <x:f>'管线假设'!H923</x:f>
        <x:v>0.14</x:v>
      </x:c>
      <x:c r="N4274" s="11" t="n">
        <x:f>IF(G4274,L4274*AN4274/(1+M4274)^F4274,0)</x:f>
        <x:v>-0.033199903199907024</x:v>
      </x:c>
      <x:c r="AJ4274" s="42" t="n">
        <x:v>0.08</x:v>
      </x:c>
      <x:c r="AK4274" s="42" t="n">
        <x:v>0.15</x:v>
      </x:c>
      <x:c r="AL4274" s="42" t="n">
        <x:v>0.22</x:v>
      </x:c>
      <x:c r="AM4274" t="n">
        <x:f>CHOOSE('假设'!$B$3,AJ4274,AK4274,AL4274)</x:f>
        <x:v>0.15</x:v>
      </x:c>
      <x:c r="AN4274" t="n">
        <x:v>0.22802197802197802</x:v>
      </x:c>
    </x:row>
    <x:row r="4275" ht="23" customHeight="1">
      <x:c r="A4275" s="11" t="str">
        <x:v>02162.HK</x:v>
      </x:c>
      <x:c r="B4275" s="11" t="str">
        <x:v>一年</x:v>
      </x:c>
      <x:c r="C4275" s="11" t="str">
        <x:v>CM336_domestic</x:v>
      </x:c>
      <x:c r="D4275" s="11" t="str">
        <x:v>2028-12-31</x:v>
      </x:c>
      <x:c r="E4275" s="11" t="str">
        <x:v>CNY</x:v>
      </x:c>
      <x:c r="F4275" s="11" t="n">
        <x:v>1.2292950034223136</x:v>
      </x:c>
      <x:c r="G4275" s="26" t="b">
        <x:v>1</x:v>
      </x:c>
      <x:c r="H4275" s="16" t="n">
        <x:v>0</x:v>
      </x:c>
      <x:c r="I4275" s="16" t="n">
        <x:v>0</x:v>
      </x:c>
      <x:c r="J4275" s="16" t="n">
        <x:v>0.18</x:v>
      </x:c>
      <x:c r="K4275" s="11" t="n">
        <x:f>CHOOSE('假设'!$B$3,H4275,I4275,J4275)</x:f>
        <x:v>0</x:v>
      </x:c>
      <x:c r="L4275" s="11" t="n">
        <x:f>K4275*'管线假设'!E923*'管线假设'!F923*'管线假设'!G923*IF(E4275="USD",'管线假设'!I923,1)-AM4275</x:f>
        <x:v>-0.14</x:v>
      </x:c>
      <x:c r="M4275" s="11" t="n">
        <x:f>'管线假设'!H923</x:f>
        <x:v>0.14</x:v>
      </x:c>
      <x:c r="N4275" s="11" t="n">
        <x:f>IF(G4275,L4275*AN4275/(1+M4275)^F4275,0)</x:f>
        <x:v>-0.1191722629672253</x:v>
      </x:c>
      <x:c r="AJ4275" s="42" t="n">
        <x:v>0.06</x:v>
      </x:c>
      <x:c r="AK4275" s="42" t="n">
        <x:v>0.14</x:v>
      </x:c>
      <x:c r="AL4275" s="42" t="n">
        <x:v>0.18</x:v>
      </x:c>
      <x:c r="AM4275" t="n">
        <x:f>CHOOSE('假设'!$B$3,AJ4275,AK4275,AL4275)</x:f>
        <x:v>0.14</x:v>
      </x:c>
      <x:c r="AN4275" t="n">
        <x:v>1</x:v>
      </x:c>
    </x:row>
    <x:row r="4276" ht="23" customHeight="1">
      <x:c r="A4276" s="11" t="str">
        <x:v>02162.HK</x:v>
      </x:c>
      <x:c r="B4276" s="11" t="str">
        <x:v>一年</x:v>
      </x:c>
      <x:c r="C4276" s="11" t="str">
        <x:v>CM336_domestic</x:v>
      </x:c>
      <x:c r="D4276" s="11" t="str">
        <x:v>2029-12-31</x:v>
      </x:c>
      <x:c r="E4276" s="11" t="str">
        <x:v>CNY</x:v>
      </x:c>
      <x:c r="F4276" s="11" t="n">
        <x:v>2.2286105407255303</x:v>
      </x:c>
      <x:c r="G4276" s="26" t="b">
        <x:v>1</x:v>
      </x:c>
      <x:c r="H4276" s="16" t="n">
        <x:v>0</x:v>
      </x:c>
      <x:c r="I4276" s="16" t="n">
        <x:v>0.09</x:v>
      </x:c>
      <x:c r="J4276" s="16" t="n">
        <x:v>0.54</x:v>
      </x:c>
      <x:c r="K4276" s="11" t="n">
        <x:f>CHOOSE('假设'!$B$3,H4276,I4276,J4276)</x:f>
        <x:v>0.09</x:v>
      </x:c>
      <x:c r="L4276" s="11" t="n">
        <x:f>K4276*'管线假设'!E923*'管线假设'!F923*'管线假设'!G923*IF(E4276="USD",'管线假设'!I923,1)-AM4276</x:f>
        <x:v>-0.05380000000000001</x:v>
      </x:c>
      <x:c r="M4276" s="11" t="n">
        <x:f>'管线假设'!H923</x:f>
        <x:v>0.14</x:v>
      </x:c>
      <x:c r="N4276" s="11" t="n">
        <x:f>IF(G4276,L4276*AN4276/(1+M4276)^F4276,0)</x:f>
        <x:v>-0.04017570663674856</x:v>
      </x:c>
      <x:c r="AJ4276" s="42" t="n">
        <x:v>0</x:v>
      </x:c>
      <x:c r="AK4276" s="42" t="n">
        <x:v>0.07</x:v>
      </x:c>
      <x:c r="AL4276" s="42" t="n">
        <x:v>0.07</x:v>
      </x:c>
      <x:c r="AM4276" t="n">
        <x:f>CHOOSE('假设'!$B$3,AJ4276,AK4276,AL4276)</x:f>
        <x:v>0.07</x:v>
      </x:c>
      <x:c r="AN4276" t="n">
        <x:v>1</x:v>
      </x:c>
    </x:row>
    <x:row r="4277" ht="23" customHeight="1">
      <x:c r="A4277" s="11" t="str">
        <x:v>02162.HK</x:v>
      </x:c>
      <x:c r="B4277" s="11" t="str">
        <x:v>一年</x:v>
      </x:c>
      <x:c r="C4277" s="11" t="str">
        <x:v>CM336_domestic</x:v>
      </x:c>
      <x:c r="D4277" s="11" t="str">
        <x:v>2030-12-31</x:v>
      </x:c>
      <x:c r="E4277" s="11" t="str">
        <x:v>CNY</x:v>
      </x:c>
      <x:c r="F4277" s="11" t="n">
        <x:v>3.2279260780287475</x:v>
      </x:c>
      <x:c r="G4277" s="26" t="b">
        <x:v>1</x:v>
      </x:c>
      <x:c r="H4277" s="16" t="n">
        <x:v>0</x:v>
      </x:c>
      <x:c r="I4277" s="16" t="n">
        <x:v>0.27</x:v>
      </x:c>
      <x:c r="J4277" s="16" t="n">
        <x:v>1.1400000000000001</x:v>
      </x:c>
      <x:c r="K4277" s="11" t="n">
        <x:f>CHOOSE('假设'!$B$3,H4277,I4277,J4277)</x:f>
        <x:v>0.27</x:v>
      </x:c>
      <x:c r="L4277" s="11" t="n">
        <x:f>K4277*'管线假设'!E923*'管线假设'!F923*'管线假设'!G923*IF(E4277="USD",'管线假设'!I923,1)-AM4277</x:f>
        <x:v>0.048600000000000004</x:v>
      </x:c>
      <x:c r="M4277" s="11" t="n">
        <x:f>'管线假设'!H923</x:f>
        <x:v>0.14</x:v>
      </x:c>
      <x:c r="N4277" s="11" t="n">
        <x:f>IF(G4277,L4277*AN4277/(1+M4277)^F4277,0)</x:f>
        <x:v>0.03183842793084588</x:v>
      </x:c>
      <x:c r="AJ4277" s="42" t="n">
        <x:v>0</x:v>
      </x:c>
      <x:c r="AK4277" s="42" t="n">
        <x:v>0</x:v>
      </x:c>
      <x:c r="AL4277" s="42" t="n">
        <x:v>0</x:v>
      </x:c>
      <x:c r="AM4277" t="n">
        <x:f>CHOOSE('假设'!$B$3,AJ4277,AK4277,AL4277)</x:f>
        <x:v>0</x:v>
      </x:c>
      <x:c r="AN4277" t="n">
        <x:v>1</x:v>
      </x:c>
    </x:row>
    <x:row r="4278" ht="23" customHeight="1">
      <x:c r="A4278" s="11" t="str">
        <x:v>02162.HK</x:v>
      </x:c>
      <x:c r="B4278" s="11" t="str">
        <x:v>一年</x:v>
      </x:c>
      <x:c r="C4278" s="11" t="str">
        <x:v>CM336_domestic</x:v>
      </x:c>
      <x:c r="D4278" s="11" t="str">
        <x:v>2031-12-31</x:v>
      </x:c>
      <x:c r="E4278" s="11" t="str">
        <x:v>CNY</x:v>
      </x:c>
      <x:c r="F4278" s="11" t="n">
        <x:v>4.227241615331964</x:v>
      </x:c>
      <x:c r="G4278" s="26" t="b">
        <x:v>1</x:v>
      </x:c>
      <x:c r="H4278" s="16" t="n">
        <x:v>0.03</x:v>
      </x:c>
      <x:c r="I4278" s="16" t="n">
        <x:v>0.5700000000000001</x:v>
      </x:c>
      <x:c r="J4278" s="16" t="n">
        <x:v>1.9500000000000002</x:v>
      </x:c>
      <x:c r="K4278" s="11" t="n">
        <x:f>CHOOSE('假设'!$B$3,H4278,I4278,J4278)</x:f>
        <x:v>0.5700000000000001</x:v>
      </x:c>
      <x:c r="L4278" s="11" t="n">
        <x:f>K4278*'管线假设'!E923*'管线假设'!F923*'管线假设'!G923*IF(E4278="USD",'管线假设'!I923,1)-AM4278</x:f>
        <x:v>0.10260000000000002</x:v>
      </x:c>
      <x:c r="M4278" s="11" t="n">
        <x:f>'管线假设'!H923</x:f>
        <x:v>0.14</x:v>
      </x:c>
      <x:c r="N4278" s="11" t="n">
        <x:f>IF(G4278,L4278*AN4278/(1+M4278)^F4278,0)</x:f>
        <x:v>0.05896533973170299</x:v>
      </x:c>
      <x:c r="AJ4278" s="42" t="n">
        <x:v>0</x:v>
      </x:c>
      <x:c r="AK4278" s="42" t="n">
        <x:v>0</x:v>
      </x:c>
      <x:c r="AL4278" s="42" t="n">
        <x:v>0</x:v>
      </x:c>
      <x:c r="AM4278" t="n">
        <x:f>CHOOSE('假设'!$B$3,AJ4278,AK4278,AL4278)</x:f>
        <x:v>0</x:v>
      </x:c>
      <x:c r="AN4278" t="n">
        <x:v>1</x:v>
      </x:c>
    </x:row>
    <x:row r="4279" ht="23" customHeight="1">
      <x:c r="A4279" s="11" t="str">
        <x:v>02162.HK</x:v>
      </x:c>
      <x:c r="B4279" s="11" t="str">
        <x:v>一年</x:v>
      </x:c>
      <x:c r="C4279" s="11" t="str">
        <x:v>CM336_domestic</x:v>
      </x:c>
      <x:c r="D4279" s="11" t="str">
        <x:v>2032-12-31</x:v>
      </x:c>
      <x:c r="E4279" s="11" t="str">
        <x:v>CNY</x:v>
      </x:c>
      <x:c r="F4279" s="11" t="n">
        <x:v>5.229295003422314</x:v>
      </x:c>
      <x:c r="G4279" s="26" t="b">
        <x:v>1</x:v>
      </x:c>
      <x:c r="H4279" s="16" t="n">
        <x:v>0.09</x:v>
      </x:c>
      <x:c r="I4279" s="16" t="n">
        <x:v>0.9750000000000001</x:v>
      </x:c>
      <x:c r="J4279" s="16" t="n">
        <x:v>2.55</x:v>
      </x:c>
      <x:c r="K4279" s="11" t="n">
        <x:f>CHOOSE('假设'!$B$3,H4279,I4279,J4279)</x:f>
        <x:v>0.9750000000000001</x:v>
      </x:c>
      <x:c r="L4279" s="11" t="n">
        <x:f>K4279*'管线假设'!E923*'管线假设'!F923*'管线假设'!G923*IF(E4279="USD",'管线假设'!I923,1)-AM4279</x:f>
        <x:v>0.17550000000000004</x:v>
      </x:c>
      <x:c r="M4279" s="11" t="n">
        <x:f>'管线假设'!H923</x:f>
        <x:v>0.14</x:v>
      </x:c>
      <x:c r="N4279" s="11" t="n">
        <x:f>IF(G4279,L4279*AN4279/(1+M4279)^F4279,0)</x:f>
        <x:v>0.08845143152098657</x:v>
      </x:c>
      <x:c r="AJ4279" s="42" t="n">
        <x:v>0</x:v>
      </x:c>
      <x:c r="AK4279" s="42" t="n">
        <x:v>0</x:v>
      </x:c>
      <x:c r="AL4279" s="42" t="n">
        <x:v>0</x:v>
      </x:c>
      <x:c r="AM4279" t="n">
        <x:f>CHOOSE('假设'!$B$3,AJ4279,AK4279,AL4279)</x:f>
        <x:v>0</x:v>
      </x:c>
      <x:c r="AN4279" t="n">
        <x:v>1</x:v>
      </x:c>
    </x:row>
    <x:row r="4280" ht="23" customHeight="1">
      <x:c r="A4280" s="11" t="str">
        <x:v>02162.HK</x:v>
      </x:c>
      <x:c r="B4280" s="11" t="str">
        <x:v>一年</x:v>
      </x:c>
      <x:c r="C4280" s="11" t="str">
        <x:v>CM336_domestic</x:v>
      </x:c>
      <x:c r="D4280" s="11" t="str">
        <x:v>2033-12-31</x:v>
      </x:c>
      <x:c r="E4280" s="11" t="str">
        <x:v>CNY</x:v>
      </x:c>
      <x:c r="F4280" s="11" t="n">
        <x:v>6.228610540725531</x:v>
      </x:c>
      <x:c r="G4280" s="26" t="b">
        <x:v>1</x:v>
      </x:c>
      <x:c r="H4280" s="16" t="n">
        <x:v>0.19</x:v>
      </x:c>
      <x:c r="I4280" s="16" t="n">
        <x:v>1.275</x:v>
      </x:c>
      <x:c r="J4280" s="16" t="n">
        <x:v>3</x:v>
      </x:c>
      <x:c r="K4280" s="11" t="n">
        <x:f>CHOOSE('假设'!$B$3,H4280,I4280,J4280)</x:f>
        <x:v>1.275</x:v>
      </x:c>
      <x:c r="L4280" s="11" t="n">
        <x:f>K4280*'管线假设'!E923*'管线假设'!F923*'管线假设'!G923*IF(E4280="USD",'管线假设'!I923,1)-AM4280</x:f>
        <x:v>0.2295</x:v>
      </x:c>
      <x:c r="M4280" s="11" t="n">
        <x:f>'管线假设'!H923</x:f>
        <x:v>0.14</x:v>
      </x:c>
      <x:c r="N4280" s="11" t="n">
        <x:f>IF(G4280,L4280*AN4280/(1+M4280)^F4280,0)</x:f>
        <x:v>0.10147160576045089</x:v>
      </x:c>
      <x:c r="AJ4280" s="42" t="n">
        <x:v>0</x:v>
      </x:c>
      <x:c r="AK4280" s="42" t="n">
        <x:v>0</x:v>
      </x:c>
      <x:c r="AL4280" s="42" t="n">
        <x:v>0</x:v>
      </x:c>
      <x:c r="AM4280" t="n">
        <x:f>CHOOSE('假设'!$B$3,AJ4280,AK4280,AL4280)</x:f>
        <x:v>0</x:v>
      </x:c>
      <x:c r="AN4280" t="n">
        <x:v>1</x:v>
      </x:c>
    </x:row>
    <x:row r="4281" ht="23" customHeight="1">
      <x:c r="A4281" s="11" t="str">
        <x:v>02162.HK</x:v>
      </x:c>
      <x:c r="B4281" s="11" t="str">
        <x:v>一年</x:v>
      </x:c>
      <x:c r="C4281" s="11" t="str">
        <x:v>CM336_domestic</x:v>
      </x:c>
      <x:c r="D4281" s="11" t="str">
        <x:v>2034-12-31</x:v>
      </x:c>
      <x:c r="E4281" s="11" t="str">
        <x:v>CNY</x:v>
      </x:c>
      <x:c r="F4281" s="11" t="n">
        <x:v>7.227926078028747</x:v>
      </x:c>
      <x:c r="G4281" s="26" t="b">
        <x:v>1</x:v>
      </x:c>
      <x:c r="H4281" s="16" t="n">
        <x:v>0.325</x:v>
      </x:c>
      <x:c r="I4281" s="16" t="n">
        <x:v>1.5</x:v>
      </x:c>
      <x:c r="J4281" s="16" t="n">
        <x:v>3</x:v>
      </x:c>
      <x:c r="K4281" s="11" t="n">
        <x:f>CHOOSE('假设'!$B$3,H4281,I4281,J4281)</x:f>
        <x:v>1.5</x:v>
      </x:c>
      <x:c r="L4281" s="11" t="n">
        <x:f>K4281*'管线假设'!E923*'管线假设'!F923*'管线假设'!G923*IF(E4281="USD",'管线假设'!I923,1)-AM4281</x:f>
        <x:v>0.2700000000000001</x:v>
      </x:c>
      <x:c r="M4281" s="11" t="n">
        <x:f>'管线假设'!H923</x:f>
        <x:v>0.14</x:v>
      </x:c>
      <x:c r="N4281" s="11" t="n">
        <x:f>IF(G4281,L4281*AN4281/(1+M4281)^F4281,0)</x:f>
        <x:v>0.10472725133514454</x:v>
      </x:c>
      <x:c r="AJ4281" s="42" t="n">
        <x:v>0</x:v>
      </x:c>
      <x:c r="AK4281" s="42" t="n">
        <x:v>0</x:v>
      </x:c>
      <x:c r="AL4281" s="42" t="n">
        <x:v>0</x:v>
      </x:c>
      <x:c r="AM4281" t="n">
        <x:f>CHOOSE('假设'!$B$3,AJ4281,AK4281,AL4281)</x:f>
        <x:v>0</x:v>
      </x:c>
      <x:c r="AN4281" t="n">
        <x:v>1</x:v>
      </x:c>
    </x:row>
    <x:row r="4282" ht="23" customHeight="1">
      <x:c r="A4282" s="11" t="str">
        <x:v>02162.HK</x:v>
      </x:c>
      <x:c r="B4282" s="11" t="str">
        <x:v>一年</x:v>
      </x:c>
      <x:c r="C4282" s="11" t="str">
        <x:v>CM336_domestic</x:v>
      </x:c>
      <x:c r="D4282" s="11" t="str">
        <x:v>2035-12-31</x:v>
      </x:c>
      <x:c r="E4282" s="11" t="str">
        <x:v>CNY</x:v>
      </x:c>
      <x:c r="F4282" s="11" t="n">
        <x:v>8.227241615331964</x:v>
      </x:c>
      <x:c r="G4282" s="26" t="b">
        <x:v>1</x:v>
      </x:c>
      <x:c r="H4282" s="16" t="n">
        <x:v>0.425</x:v>
      </x:c>
      <x:c r="I4282" s="16" t="n">
        <x:v>1.5</x:v>
      </x:c>
      <x:c r="J4282" s="16" t="n">
        <x:v>2.8499999999999996</x:v>
      </x:c>
      <x:c r="K4282" s="11" t="n">
        <x:f>CHOOSE('假设'!$B$3,H4282,I4282,J4282)</x:f>
        <x:v>1.5</x:v>
      </x:c>
      <x:c r="L4282" s="11" t="n">
        <x:f>K4282*'管线假设'!E923*'管线假设'!F923*'管线假设'!G923*IF(E4282="USD",'管线假设'!I923,1)-AM4282</x:f>
        <x:v>0.2700000000000001</x:v>
      </x:c>
      <x:c r="M4282" s="11" t="n">
        <x:f>'管线假设'!H923</x:f>
        <x:v>0.14</x:v>
      </x:c>
      <x:c r="N4282" s="11" t="n">
        <x:f>IF(G4282,L4282*AN4282/(1+M4282)^F4282,0)</x:f>
        <x:v>0.09187424921993201</x:v>
      </x:c>
      <x:c r="AJ4282" s="42" t="n">
        <x:v>0</x:v>
      </x:c>
      <x:c r="AK4282" s="42" t="n">
        <x:v>0</x:v>
      </x:c>
      <x:c r="AL4282" s="42" t="n">
        <x:v>0</x:v>
      </x:c>
      <x:c r="AM4282" t="n">
        <x:f>CHOOSE('假设'!$B$3,AJ4282,AK4282,AL4282)</x:f>
        <x:v>0</x:v>
      </x:c>
      <x:c r="AN4282" t="n">
        <x:v>1</x:v>
      </x:c>
    </x:row>
    <x:row r="4283" ht="23" customHeight="1">
      <x:c r="A4283" s="11" t="str">
        <x:v>02162.HK</x:v>
      </x:c>
      <x:c r="B4283" s="11" t="str">
        <x:v>一年</x:v>
      </x:c>
      <x:c r="C4283" s="11" t="str">
        <x:v>CM336_domestic</x:v>
      </x:c>
      <x:c r="D4283" s="11" t="str">
        <x:v>2036-12-31</x:v>
      </x:c>
      <x:c r="E4283" s="11" t="str">
        <x:v>CNY</x:v>
      </x:c>
      <x:c r="F4283" s="11" t="n">
        <x:v>9.229295003422314</x:v>
      </x:c>
      <x:c r="G4283" s="26" t="b">
        <x:v>1</x:v>
      </x:c>
      <x:c r="H4283" s="16" t="n">
        <x:v>0.5</x:v>
      </x:c>
      <x:c r="I4283" s="16" t="n">
        <x:v>1.4249999999999998</x:v>
      </x:c>
      <x:c r="J4283" s="16" t="n">
        <x:v>2.7</x:v>
      </x:c>
      <x:c r="K4283" s="11" t="n">
        <x:f>CHOOSE('假设'!$B$3,H4283,I4283,J4283)</x:f>
        <x:v>1.4249999999999998</x:v>
      </x:c>
      <x:c r="L4283" s="11" t="n">
        <x:f>K4283*'管线假设'!E923*'管线假设'!F923*'管线假设'!G923*IF(E4283="USD",'管线假设'!I923,1)-AM4283</x:f>
        <x:v>0.2565</x:v>
      </x:c>
      <x:c r="M4283" s="11" t="n">
        <x:f>'管线假设'!H923</x:f>
        <x:v>0.14</x:v>
      </x:c>
      <x:c r="N4283" s="11" t="n">
        <x:f>IF(G4283,L4283*AN4283/(1+M4283)^F4283,0)</x:f>
        <x:v>0.07654127800507574</x:v>
      </x:c>
      <x:c r="AJ4283" s="42" t="n">
        <x:v>0</x:v>
      </x:c>
      <x:c r="AK4283" s="42" t="n">
        <x:v>0</x:v>
      </x:c>
      <x:c r="AL4283" s="42" t="n">
        <x:v>0</x:v>
      </x:c>
      <x:c r="AM4283" t="n">
        <x:f>CHOOSE('假设'!$B$3,AJ4283,AK4283,AL4283)</x:f>
        <x:v>0</x:v>
      </x:c>
      <x:c r="AN4283" t="n">
        <x:v>1</x:v>
      </x:c>
    </x:row>
    <x:row r="4284" ht="23" customHeight="1">
      <x:c r="A4284" s="11" t="str">
        <x:v>02162.HK</x:v>
      </x:c>
      <x:c r="B4284" s="11" t="str">
        <x:v>一年</x:v>
      </x:c>
      <x:c r="C4284" s="11" t="str">
        <x:v>CM336_domestic</x:v>
      </x:c>
      <x:c r="D4284" s="11" t="str">
        <x:v>2037-12-31</x:v>
      </x:c>
      <x:c r="E4284" s="11" t="str">
        <x:v>CNY</x:v>
      </x:c>
      <x:c r="F4284" s="11" t="n">
        <x:v>10.22861054072553</x:v>
      </x:c>
      <x:c r="G4284" s="26" t="b">
        <x:v>1</x:v>
      </x:c>
      <x:c r="H4284" s="16" t="n">
        <x:v>0.5</x:v>
      </x:c>
      <x:c r="I4284" s="16" t="n">
        <x:v>1.35</x:v>
      </x:c>
      <x:c r="J4284" s="16" t="n">
        <x:v>2.4000000000000004</x:v>
      </x:c>
      <x:c r="K4284" s="11" t="n">
        <x:f>CHOOSE('假设'!$B$3,H4284,I4284,J4284)</x:f>
        <x:v>1.35</x:v>
      </x:c>
      <x:c r="L4284" s="11" t="n">
        <x:f>K4284*'管线假设'!E923*'管线假设'!F923*'管线假设'!G923*IF(E4284="USD",'管线假设'!I923,1)-AM4284</x:f>
        <x:v>0.24300000000000002</x:v>
      </x:c>
      <x:c r="M4284" s="11" t="n">
        <x:f>'管线假设'!H923</x:f>
        <x:v>0.14</x:v>
      </x:c>
      <x:c r="N4284" s="11" t="n">
        <x:f>IF(G4284,L4284*AN4284/(1+M4284)^F4284,0)</x:f>
        <x:v>0.06361341510054312</x:v>
      </x:c>
      <x:c r="AJ4284" s="42" t="n">
        <x:v>0</x:v>
      </x:c>
      <x:c r="AK4284" s="42" t="n">
        <x:v>0</x:v>
      </x:c>
      <x:c r="AL4284" s="42" t="n">
        <x:v>0</x:v>
      </x:c>
      <x:c r="AM4284" t="n">
        <x:f>CHOOSE('假设'!$B$3,AJ4284,AK4284,AL4284)</x:f>
        <x:v>0</x:v>
      </x:c>
      <x:c r="AN4284" t="n">
        <x:v>1</x:v>
      </x:c>
    </x:row>
    <x:row r="4285" ht="23" customHeight="1">
      <x:c r="A4285" s="11" t="str">
        <x:v>02162.HK</x:v>
      </x:c>
      <x:c r="B4285" s="11" t="str">
        <x:v>一年</x:v>
      </x:c>
      <x:c r="C4285" s="11" t="str">
        <x:v>CM336_domestic</x:v>
      </x:c>
      <x:c r="D4285" s="11" t="str">
        <x:v>2038-12-31</x:v>
      </x:c>
      <x:c r="E4285" s="11" t="str">
        <x:v>CNY</x:v>
      </x:c>
      <x:c r="F4285" s="11" t="n">
        <x:v>11.227926078028748</x:v>
      </x:c>
      <x:c r="G4285" s="26" t="b">
        <x:v>1</x:v>
      </x:c>
      <x:c r="H4285" s="16" t="n">
        <x:v>0.475</x:v>
      </x:c>
      <x:c r="I4285" s="16" t="n">
        <x:v>1.2000000000000002</x:v>
      </x:c>
      <x:c r="J4285" s="16" t="n">
        <x:v>1.9500000000000002</x:v>
      </x:c>
      <x:c r="K4285" s="11" t="n">
        <x:f>CHOOSE('假设'!$B$3,H4285,I4285,J4285)</x:f>
        <x:v>1.2000000000000002</x:v>
      </x:c>
      <x:c r="L4285" s="11" t="n">
        <x:f>K4285*'管线假设'!E923*'管线假设'!F923*'管线假设'!G923*IF(E4285="USD",'管线假设'!I923,1)-AM4285</x:f>
        <x:v>0.21600000000000005</x:v>
      </x:c>
      <x:c r="M4285" s="11" t="n">
        <x:f>'管线假设'!H923</x:f>
        <x:v>0.14</x:v>
      </x:c>
      <x:c r="N4285" s="11" t="n">
        <x:f>IF(G4285,L4285*AN4285/(1+M4285)^F4285,0)</x:f>
        <x:v>0.049605552014983935</x:v>
      </x:c>
      <x:c r="AJ4285" s="42" t="n">
        <x:v>0</x:v>
      </x:c>
      <x:c r="AK4285" s="42" t="n">
        <x:v>0</x:v>
      </x:c>
      <x:c r="AL4285" s="42" t="n">
        <x:v>0</x:v>
      </x:c>
      <x:c r="AM4285" t="n">
        <x:f>CHOOSE('假设'!$B$3,AJ4285,AK4285,AL4285)</x:f>
        <x:v>0</x:v>
      </x:c>
      <x:c r="AN4285" t="n">
        <x:v>1</x:v>
      </x:c>
    </x:row>
    <x:row r="4286" ht="23" customHeight="1">
      <x:c r="A4286" s="11" t="str">
        <x:v>02162.HK</x:v>
      </x:c>
      <x:c r="B4286" s="11" t="str">
        <x:v>一年</x:v>
      </x:c>
      <x:c r="C4286" s="11" t="str">
        <x:v>CM336_domestic</x:v>
      </x:c>
      <x:c r="D4286" s="11" t="str">
        <x:v>2039-12-31</x:v>
      </x:c>
      <x:c r="E4286" s="11" t="str">
        <x:v>CNY</x:v>
      </x:c>
      <x:c r="F4286" s="11" t="n">
        <x:v>12.227241615331964</x:v>
      </x:c>
      <x:c r="G4286" s="26" t="b">
        <x:v>1</x:v>
      </x:c>
      <x:c r="H4286" s="16" t="n">
        <x:v>0.45</x:v>
      </x:c>
      <x:c r="I4286" s="16" t="n">
        <x:v>0.9750000000000001</x:v>
      </x:c>
      <x:c r="J4286" s="16" t="n">
        <x:v>1.5</x:v>
      </x:c>
      <x:c r="K4286" s="11" t="n">
        <x:f>CHOOSE('假设'!$B$3,H4286,I4286,J4286)</x:f>
        <x:v>0.9750000000000001</x:v>
      </x:c>
      <x:c r="L4286" s="11" t="n">
        <x:f>K4286*'管线假设'!E923*'管线假设'!F923*'管线假设'!G923*IF(E4286="USD",'管线假设'!I923,1)-AM4286</x:f>
        <x:v>0.17550000000000004</x:v>
      </x:c>
      <x:c r="M4286" s="11" t="n">
        <x:f>'管线假设'!H923</x:f>
        <x:v>0.14</x:v>
      </x:c>
      <x:c r="N4286" s="11" t="n">
        <x:f>IF(G4286,L4286*AN4286/(1+M4286)^F4286,0)</x:f>
        <x:v>0.035358005124854916</x:v>
      </x:c>
      <x:c r="AJ4286" s="42" t="n">
        <x:v>0</x:v>
      </x:c>
      <x:c r="AK4286" s="42" t="n">
        <x:v>0</x:v>
      </x:c>
      <x:c r="AL4286" s="42" t="n">
        <x:v>0</x:v>
      </x:c>
      <x:c r="AM4286" t="n">
        <x:f>CHOOSE('假设'!$B$3,AJ4286,AK4286,AL4286)</x:f>
        <x:v>0</x:v>
      </x:c>
      <x:c r="AN4286" t="n">
        <x:v>1</x:v>
      </x:c>
    </x:row>
    <x:row r="4287" ht="23" customHeight="1">
      <x:c r="A4287" s="11" t="str">
        <x:v>02162.HK</x:v>
      </x:c>
      <x:c r="B4287" s="11" t="str">
        <x:v>一年</x:v>
      </x:c>
      <x:c r="C4287" s="11" t="str">
        <x:v>CM336_domestic</x:v>
      </x:c>
      <x:c r="D4287" s="11" t="str">
        <x:v>2040-12-31</x:v>
      </x:c>
      <x:c r="E4287" s="11" t="str">
        <x:v>CNY</x:v>
      </x:c>
      <x:c r="F4287" s="11" t="n">
        <x:v>13.229295003422314</x:v>
      </x:c>
      <x:c r="G4287" s="26" t="b">
        <x:v>1</x:v>
      </x:c>
      <x:c r="H4287" s="16" t="n">
        <x:v>0.4</x:v>
      </x:c>
      <x:c r="I4287" s="16" t="n">
        <x:v>0.75</x:v>
      </x:c>
      <x:c r="J4287" s="16" t="n">
        <x:v>1.0499999999999998</x:v>
      </x:c>
      <x:c r="K4287" s="11" t="n">
        <x:f>CHOOSE('假设'!$B$3,H4287,I4287,J4287)</x:f>
        <x:v>0.75</x:v>
      </x:c>
      <x:c r="L4287" s="11" t="n">
        <x:f>K4287*'管线假设'!E923*'管线假设'!F923*'管线假设'!G923*IF(E4287="USD",'管线假设'!I923,1)-AM4287</x:f>
        <x:v>0.13500000000000004</x:v>
      </x:c>
      <x:c r="M4287" s="11" t="n">
        <x:f>'管线假设'!H923</x:f>
        <x:v>0.14</x:v>
      </x:c>
      <x:c r="N4287" s="11" t="n">
        <x:f>IF(G4287,L4287*AN4287/(1+M4287)^F4287,0)</x:f>
        <x:v>0.023851884795533705</x:v>
      </x:c>
      <x:c r="AJ4287" s="42" t="n">
        <x:v>0</x:v>
      </x:c>
      <x:c r="AK4287" s="42" t="n">
        <x:v>0</x:v>
      </x:c>
      <x:c r="AL4287" s="42" t="n">
        <x:v>0</x:v>
      </x:c>
      <x:c r="AM4287" t="n">
        <x:f>CHOOSE('假设'!$B$3,AJ4287,AK4287,AL4287)</x:f>
        <x:v>0</x:v>
      </x:c>
      <x:c r="AN4287" t="n">
        <x:v>1</x:v>
      </x:c>
    </x:row>
    <x:row r="4288" ht="23" customHeight="1">
      <x:c r="A4288" s="11" t="str">
        <x:v>02162.HK</x:v>
      </x:c>
      <x:c r="B4288" s="11" t="str">
        <x:v>一年</x:v>
      </x:c>
      <x:c r="C4288" s="11" t="str">
        <x:v>CM336_domestic</x:v>
      </x:c>
      <x:c r="D4288" s="11" t="str">
        <x:v>2041-12-31</x:v>
      </x:c>
      <x:c r="E4288" s="11" t="str">
        <x:v>CNY</x:v>
      </x:c>
      <x:c r="F4288" s="11" t="n">
        <x:v>14.22861054072553</x:v>
      </x:c>
      <x:c r="G4288" s="26" t="b">
        <x:v>1</x:v>
      </x:c>
      <x:c r="H4288" s="16" t="n">
        <x:v>0.325</x:v>
      </x:c>
      <x:c r="I4288" s="16" t="n">
        <x:v>0.5249999999999999</x:v>
      </x:c>
      <x:c r="J4288" s="16" t="n">
        <x:v>0.6000000000000001</x:v>
      </x:c>
      <x:c r="K4288" s="11" t="n">
        <x:f>CHOOSE('假设'!$B$3,H4288,I4288,J4288)</x:f>
        <x:v>0.5249999999999999</x:v>
      </x:c>
      <x:c r="L4288" s="11" t="n">
        <x:f>K4288*'管线假设'!E923*'管线假设'!F923*'管线假设'!G923*IF(E4288="USD",'管线假设'!I923,1)-AM4288</x:f>
        <x:v>0.09449999999999999</x:v>
      </x:c>
      <x:c r="M4288" s="11" t="n">
        <x:f>'管线假设'!H923</x:f>
        <x:v>0.14</x:v>
      </x:c>
      <x:c r="N4288" s="11" t="n">
        <x:f>IF(G4288,L4288*AN4288/(1+M4288)^F4288,0)</x:f>
        <x:v>0.014647207733353441</x:v>
      </x:c>
      <x:c r="AJ4288" s="42" t="n">
        <x:v>0</x:v>
      </x:c>
      <x:c r="AK4288" s="42" t="n">
        <x:v>0</x:v>
      </x:c>
      <x:c r="AL4288" s="42" t="n">
        <x:v>0</x:v>
      </x:c>
      <x:c r="AM4288" t="n">
        <x:f>CHOOSE('假设'!$B$3,AJ4288,AK4288,AL4288)</x:f>
        <x:v>0</x:v>
      </x:c>
      <x:c r="AN4288" t="n">
        <x:v>1</x:v>
      </x:c>
    </x:row>
    <x:row r="4289" ht="23" customHeight="1">
      <x:c r="A4289" s="11" t="str">
        <x:v>02162.HK</x:v>
      </x:c>
      <x:c r="B4289" s="11" t="str">
        <x:v>一年</x:v>
      </x:c>
      <x:c r="C4289" s="11" t="str">
        <x:v>CM336_domestic</x:v>
      </x:c>
      <x:c r="D4289" s="11" t="str">
        <x:v>2042-12-31</x:v>
      </x:c>
      <x:c r="E4289" s="11" t="str">
        <x:v>CNY</x:v>
      </x:c>
      <x:c r="F4289" s="11" t="n">
        <x:v>15.227926078028748</x:v>
      </x:c>
      <x:c r="G4289" s="26" t="b">
        <x:v>1</x:v>
      </x:c>
      <x:c r="H4289" s="16" t="n">
        <x:v>0.25</x:v>
      </x:c>
      <x:c r="I4289" s="16" t="n">
        <x:v>0.30000000000000004</x:v>
      </x:c>
      <x:c r="J4289" s="16" t="n">
        <x:v>0.36</x:v>
      </x:c>
      <x:c r="K4289" s="11" t="n">
        <x:f>CHOOSE('假设'!$B$3,H4289,I4289,J4289)</x:f>
        <x:v>0.30000000000000004</x:v>
      </x:c>
      <x:c r="L4289" s="11" t="n">
        <x:f>K4289*'管线假设'!E923*'管线假设'!F923*'管线假设'!G923*IF(E4289="USD",'管线假设'!I923,1)-AM4289</x:f>
        <x:v>0.05400000000000001</x:v>
      </x:c>
      <x:c r="M4289" s="11" t="n">
        <x:f>'管线假设'!H923</x:f>
        <x:v>0.14</x:v>
      </x:c>
      <x:c r="N4289" s="11" t="n">
        <x:f>IF(G4289,L4289*AN4289/(1+M4289)^F4289,0)</x:f>
        <x:v>0.007342617249033263</x:v>
      </x:c>
      <x:c r="AJ4289" s="42" t="n">
        <x:v>0</x:v>
      </x:c>
      <x:c r="AK4289" s="42" t="n">
        <x:v>0</x:v>
      </x:c>
      <x:c r="AL4289" s="42" t="n">
        <x:v>0</x:v>
      </x:c>
      <x:c r="AM4289" t="n">
        <x:f>CHOOSE('假设'!$B$3,AJ4289,AK4289,AL4289)</x:f>
        <x:v>0</x:v>
      </x:c>
      <x:c r="AN4289" t="n">
        <x:v>1</x:v>
      </x:c>
    </x:row>
    <x:row r="4290" ht="23" customHeight="1">
      <x:c r="A4290" s="11" t="str">
        <x:v>02162.HK</x:v>
      </x:c>
      <x:c r="B4290" s="11" t="str">
        <x:v>一年</x:v>
      </x:c>
      <x:c r="C4290" s="11" t="str">
        <x:v>CM336_domestic</x:v>
      </x:c>
      <x:c r="D4290" s="11" t="str">
        <x:v>2043-12-31</x:v>
      </x:c>
      <x:c r="E4290" s="11" t="str">
        <x:v>CNY</x:v>
      </x:c>
      <x:c r="F4290" s="11" t="n">
        <x:v>16.227241615331966</x:v>
      </x:c>
      <x:c r="G4290" s="26" t="b">
        <x:v>1</x:v>
      </x:c>
      <x:c r="H4290" s="16" t="n">
        <x:v>0.175</x:v>
      </x:c>
      <x:c r="I4290" s="16" t="n">
        <x:v>0.18</x:v>
      </x:c>
      <x:c r="J4290" s="16" t="n">
        <x:v>0.21000000000000002</x:v>
      </x:c>
      <x:c r="K4290" s="11" t="n">
        <x:f>CHOOSE('假设'!$B$3,H4290,I4290,J4290)</x:f>
        <x:v>0.18</x:v>
      </x:c>
      <x:c r="L4290" s="11" t="n">
        <x:f>K4290*'管线假设'!E923*'管线假设'!F923*'管线假设'!G923*IF(E4290="USD",'管线假设'!I923,1)-AM4290</x:f>
        <x:v>0.0324</x:v>
      </x:c>
      <x:c r="M4290" s="11" t="n">
        <x:f>'管线假设'!H923</x:f>
        <x:v>0.14</x:v>
      </x:c>
      <x:c r="N4290" s="11" t="n">
        <x:f>IF(G4290,L4290*AN4290/(1+M4290)^F4290,0)</x:f>
        <x:v>0.003864881996599508</x:v>
      </x:c>
      <x:c r="AJ4290" s="42" t="n">
        <x:v>0</x:v>
      </x:c>
      <x:c r="AK4290" s="42" t="n">
        <x:v>0</x:v>
      </x:c>
      <x:c r="AL4290" s="42" t="n">
        <x:v>0</x:v>
      </x:c>
      <x:c r="AM4290" t="n">
        <x:f>CHOOSE('假设'!$B$3,AJ4290,AK4290,AL4290)</x:f>
        <x:v>0</x:v>
      </x:c>
      <x:c r="AN4290" t="n">
        <x:v>1</x:v>
      </x:c>
    </x:row>
    <x:row r="4291" ht="23" customHeight="1">
      <x:c r="A4291" s="11" t="str">
        <x:v>02162.HK</x:v>
      </x:c>
      <x:c r="B4291" s="11" t="str">
        <x:v>一年</x:v>
      </x:c>
      <x:c r="C4291" s="11" t="str">
        <x:v>CM336_domestic</x:v>
      </x:c>
      <x:c r="D4291" s="11" t="str">
        <x:v>2044-12-31</x:v>
      </x:c>
      <x:c r="E4291" s="11" t="str">
        <x:v>CNY</x:v>
      </x:c>
      <x:c r="F4291" s="11" t="n">
        <x:v>17.229295003422312</x:v>
      </x:c>
      <x:c r="G4291" s="26" t="b">
        <x:v>1</x:v>
      </x:c>
      <x:c r="H4291" s="16" t="n">
        <x:v>0.1</x:v>
      </x:c>
      <x:c r="I4291" s="16" t="n">
        <x:v>0.10500000000000001</x:v>
      </x:c>
      <x:c r="J4291" s="16" t="n">
        <x:v>0.09</x:v>
      </x:c>
      <x:c r="K4291" s="11" t="n">
        <x:f>CHOOSE('假设'!$B$3,H4291,I4291,J4291)</x:f>
        <x:v>0.10500000000000001</x:v>
      </x:c>
      <x:c r="L4291" s="11" t="n">
        <x:f>K4291*'管线假设'!E923*'管线假设'!F923*'管线假设'!G923*IF(E4291="USD",'管线假设'!I923,1)-AM4291</x:f>
        <x:v>0.018900000000000004</x:v>
      </x:c>
      <x:c r="M4291" s="11" t="n">
        <x:f>'管线假设'!H923</x:f>
        <x:v>0.14</x:v>
      </x:c>
      <x:c r="N4291" s="11" t="n">
        <x:f>IF(G4291,L4291*AN4291/(1+M4291)^F4291,0)</x:f>
        <x:v>0.0019771122791757962</x:v>
      </x:c>
      <x:c r="AJ4291" s="42" t="n">
        <x:v>0</x:v>
      </x:c>
      <x:c r="AK4291" s="42" t="n">
        <x:v>0</x:v>
      </x:c>
      <x:c r="AL4291" s="42" t="n">
        <x:v>0</x:v>
      </x:c>
      <x:c r="AM4291" t="n">
        <x:f>CHOOSE('假设'!$B$3,AJ4291,AK4291,AL4291)</x:f>
        <x:v>0</x:v>
      </x:c>
      <x:c r="AN4291" t="n">
        <x:v>1</x:v>
      </x:c>
    </x:row>
    <x:row r="4292" ht="23" customHeight="1">
      <x:c r="A4292" s="11" t="str">
        <x:v>02162.HK</x:v>
      </x:c>
      <x:c r="B4292" s="11" t="str">
        <x:v>一年</x:v>
      </x:c>
      <x:c r="C4292" s="11" t="str">
        <x:v>CM313_domestic</x:v>
      </x:c>
      <x:c r="D4292" s="11" t="str">
        <x:v>2026-12-31</x:v>
      </x:c>
      <x:c r="E4292" s="11" t="str">
        <x:v>CNY</x:v>
      </x:c>
      <x:c r="F4292" s="11" t="n">
        <x:v>-0.7720739219712526</x:v>
      </x:c>
      <x:c r="G4292" s="26" t="b">
        <x:v>0</x:v>
      </x:c>
      <x:c r="H4292" s="16" t="n">
        <x:v>0</x:v>
      </x:c>
      <x:c r="I4292" s="16" t="n">
        <x:v>0</x:v>
      </x:c>
      <x:c r="J4292" s="16" t="n">
        <x:v>0</x:v>
      </x:c>
      <x:c r="K4292" s="11" t="n">
        <x:f>CHOOSE('假设'!$B$3,H4292,I4292,J4292)</x:f>
        <x:v>0</x:v>
      </x:c>
      <x:c r="L4292" s="11" t="n">
        <x:f>K4292*'管线假设'!E927*'管线假设'!F927*'管线假设'!G927*IF(E4292="USD",'管线假设'!I927,1)-AM4292</x:f>
        <x:v>-0.1</x:v>
      </x:c>
      <x:c r="M4292" s="11" t="n">
        <x:f>'管线假设'!H927</x:f>
        <x:v>0.14</x:v>
      </x:c>
      <x:c r="N4292" s="11" t="n">
        <x:f>IF(G4292,L4292*AN4292/(1+M4292)^F4292,0)</x:f>
        <x:v>0</x:v>
      </x:c>
      <x:c r="AJ4292" s="42" t="n">
        <x:v>0.06</x:v>
      </x:c>
      <x:c r="AK4292" s="42" t="n">
        <x:v>0.1</x:v>
      </x:c>
      <x:c r="AL4292" s="42" t="n">
        <x:v>0.14</x:v>
      </x:c>
      <x:c r="AM4292" t="n">
        <x:f>CHOOSE('假设'!$B$3,AJ4292,AK4292,AL4292)</x:f>
        <x:v>0.1</x:v>
      </x:c>
      <x:c r="AN4292" t="n">
        <x:v>0</x:v>
      </x:c>
    </x:row>
    <x:row r="4293" ht="23" customHeight="1">
      <x:c r="A4293" s="11" t="str">
        <x:v>02162.HK</x:v>
      </x:c>
      <x:c r="B4293" s="11" t="str">
        <x:v>一年</x:v>
      </x:c>
      <x:c r="C4293" s="11" t="str">
        <x:v>CM313_domestic</x:v>
      </x:c>
      <x:c r="D4293" s="11" t="str">
        <x:v>2027-12-31</x:v>
      </x:c>
      <x:c r="E4293" s="11" t="str">
        <x:v>CNY</x:v>
      </x:c>
      <x:c r="F4293" s="11" t="n">
        <x:v>0.2272416153319644</x:v>
      </x:c>
      <x:c r="G4293" s="26" t="b">
        <x:v>1</x:v>
      </x:c>
      <x:c r="H4293" s="16" t="n">
        <x:v>0</x:v>
      </x:c>
      <x:c r="I4293" s="16" t="n">
        <x:v>0</x:v>
      </x:c>
      <x:c r="J4293" s="16" t="n">
        <x:v>0</x:v>
      </x:c>
      <x:c r="K4293" s="11" t="n">
        <x:f>CHOOSE('假设'!$B$3,H4293,I4293,J4293)</x:f>
        <x:v>0</x:v>
      </x:c>
      <x:c r="L4293" s="11" t="n">
        <x:f>K4293*'管线假设'!E927*'管线假设'!F927*'管线假设'!G927*IF(E4293="USD",'管线假设'!I927,1)-AM4293</x:f>
        <x:v>-0.13</x:v>
      </x:c>
      <x:c r="M4293" s="11" t="n">
        <x:f>'管线假设'!H927</x:f>
        <x:v>0.14</x:v>
      </x:c>
      <x:c r="N4293" s="11" t="n">
        <x:f>IF(G4293,L4293*AN4293/(1+M4293)^F4293,0)</x:f>
        <x:v>-0.028773249439919425</x:v>
      </x:c>
      <x:c r="AJ4293" s="42" t="n">
        <x:v>0.06</x:v>
      </x:c>
      <x:c r="AK4293" s="42" t="n">
        <x:v>0.13</x:v>
      </x:c>
      <x:c r="AL4293" s="42" t="n">
        <x:v>0.18</x:v>
      </x:c>
      <x:c r="AM4293" t="n">
        <x:f>CHOOSE('假设'!$B$3,AJ4293,AK4293,AL4293)</x:f>
        <x:v>0.13</x:v>
      </x:c>
      <x:c r="AN4293" t="n">
        <x:v>0.22802197802197802</x:v>
      </x:c>
    </x:row>
    <x:row r="4294" ht="23" customHeight="1">
      <x:c r="A4294" s="11" t="str">
        <x:v>02162.HK</x:v>
      </x:c>
      <x:c r="B4294" s="11" t="str">
        <x:v>一年</x:v>
      </x:c>
      <x:c r="C4294" s="11" t="str">
        <x:v>CM313_domestic</x:v>
      </x:c>
      <x:c r="D4294" s="11" t="str">
        <x:v>2028-12-31</x:v>
      </x:c>
      <x:c r="E4294" s="11" t="str">
        <x:v>CNY</x:v>
      </x:c>
      <x:c r="F4294" s="11" t="n">
        <x:v>1.2292950034223136</x:v>
      </x:c>
      <x:c r="G4294" s="26" t="b">
        <x:v>1</x:v>
      </x:c>
      <x:c r="H4294" s="16" t="n">
        <x:v>0</x:v>
      </x:c>
      <x:c r="I4294" s="16" t="n">
        <x:v>0</x:v>
      </x:c>
      <x:c r="J4294" s="16" t="n">
        <x:v>0</x:v>
      </x:c>
      <x:c r="K4294" s="11" t="n">
        <x:f>CHOOSE('假设'!$B$3,H4294,I4294,J4294)</x:f>
        <x:v>0</x:v>
      </x:c>
      <x:c r="L4294" s="11" t="n">
        <x:f>K4294*'管线假设'!E927*'管线假设'!F927*'管线假设'!G927*IF(E4294="USD",'管线假设'!I927,1)-AM4294</x:f>
        <x:v>-0.13</x:v>
      </x:c>
      <x:c r="M4294" s="11" t="n">
        <x:f>'管线假设'!H927</x:f>
        <x:v>0.14</x:v>
      </x:c>
      <x:c r="N4294" s="11" t="n">
        <x:f>IF(G4294,L4294*AN4294/(1+M4294)^F4294,0)</x:f>
        <x:v>-0.11065995846956635</x:v>
      </x:c>
      <x:c r="AJ4294" s="42" t="n">
        <x:v>0.04</x:v>
      </x:c>
      <x:c r="AK4294" s="42" t="n">
        <x:v>0.13</x:v>
      </x:c>
      <x:c r="AL4294" s="42" t="n">
        <x:v>0.18</x:v>
      </x:c>
      <x:c r="AM4294" t="n">
        <x:f>CHOOSE('假设'!$B$3,AJ4294,AK4294,AL4294)</x:f>
        <x:v>0.13</x:v>
      </x:c>
      <x:c r="AN4294" t="n">
        <x:v>1</x:v>
      </x:c>
    </x:row>
    <x:row r="4295" ht="23" customHeight="1">
      <x:c r="A4295" s="11" t="str">
        <x:v>02162.HK</x:v>
      </x:c>
      <x:c r="B4295" s="11" t="str">
        <x:v>一年</x:v>
      </x:c>
      <x:c r="C4295" s="11" t="str">
        <x:v>CM313_domestic</x:v>
      </x:c>
      <x:c r="D4295" s="11" t="str">
        <x:v>2029-12-31</x:v>
      </x:c>
      <x:c r="E4295" s="11" t="str">
        <x:v>CNY</x:v>
      </x:c>
      <x:c r="F4295" s="11" t="n">
        <x:v>2.2286105407255303</x:v>
      </x:c>
      <x:c r="G4295" s="26" t="b">
        <x:v>1</x:v>
      </x:c>
      <x:c r="H4295" s="16" t="n">
        <x:v>0</x:v>
      </x:c>
      <x:c r="I4295" s="16" t="n">
        <x:v>0</x:v>
      </x:c>
      <x:c r="J4295" s="16" t="n">
        <x:v>0.15</x:v>
      </x:c>
      <x:c r="K4295" s="11" t="n">
        <x:f>CHOOSE('假设'!$B$3,H4295,I4295,J4295)</x:f>
        <x:v>0</x:v>
      </x:c>
      <x:c r="L4295" s="11" t="n">
        <x:f>K4295*'管线假设'!E927*'管线假设'!F927*'管线假设'!G927*IF(E4295="USD",'管线假设'!I927,1)-AM4295</x:f>
        <x:v>-0.07</x:v>
      </x:c>
      <x:c r="M4295" s="11" t="n">
        <x:f>'管线假设'!H927</x:f>
        <x:v>0.14</x:v>
      </x:c>
      <x:c r="N4295" s="11" t="n">
        <x:f>IF(G4295,L4295*AN4295/(1+M4295)^F4295,0)</x:f>
        <x:v>-0.05227322424855761</x:v>
      </x:c>
      <x:c r="AJ4295" s="42" t="n">
        <x:v>0</x:v>
      </x:c>
      <x:c r="AK4295" s="42" t="n">
        <x:v>0.07</x:v>
      </x:c>
      <x:c r="AL4295" s="42" t="n">
        <x:v>0.09</x:v>
      </x:c>
      <x:c r="AM4295" t="n">
        <x:f>CHOOSE('假设'!$B$3,AJ4295,AK4295,AL4295)</x:f>
        <x:v>0.07</x:v>
      </x:c>
      <x:c r="AN4295" t="n">
        <x:v>1</x:v>
      </x:c>
    </x:row>
    <x:row r="4296" ht="23" customHeight="1">
      <x:c r="A4296" s="11" t="str">
        <x:v>02162.HK</x:v>
      </x:c>
      <x:c r="B4296" s="11" t="str">
        <x:v>一年</x:v>
      </x:c>
      <x:c r="C4296" s="11" t="str">
        <x:v>CM313_domestic</x:v>
      </x:c>
      <x:c r="D4296" s="11" t="str">
        <x:v>2030-12-31</x:v>
      </x:c>
      <x:c r="E4296" s="11" t="str">
        <x:v>CNY</x:v>
      </x:c>
      <x:c r="F4296" s="11" t="n">
        <x:v>3.2279260780287475</x:v>
      </x:c>
      <x:c r="G4296" s="26" t="b">
        <x:v>1</x:v>
      </x:c>
      <x:c r="H4296" s="16" t="n">
        <x:v>0</x:v>
      </x:c>
      <x:c r="I4296" s="16" t="n">
        <x:v>0.072</x:v>
      </x:c>
      <x:c r="J4296" s="16" t="n">
        <x:v>0.44999999999999996</x:v>
      </x:c>
      <x:c r="K4296" s="11" t="n">
        <x:f>CHOOSE('假设'!$B$3,H4296,I4296,J4296)</x:f>
        <x:v>0.072</x:v>
      </x:c>
      <x:c r="L4296" s="11" t="n">
        <x:f>K4296*'管线假设'!E927*'管线假设'!F927*'管线假设'!G927*IF(E4296="USD",'管线假设'!I927,1)-AM4296</x:f>
        <x:v>0.00972</x:v>
      </x:c>
      <x:c r="M4296" s="11" t="n">
        <x:f>'管线假设'!H927</x:f>
        <x:v>0.14</x:v>
      </x:c>
      <x:c r="N4296" s="11" t="n">
        <x:f>IF(G4296,L4296*AN4296/(1+M4296)^F4296,0)</x:f>
        <x:v>0.006367685586169175</x:v>
      </x:c>
      <x:c r="AJ4296" s="42" t="n">
        <x:v>0</x:v>
      </x:c>
      <x:c r="AK4296" s="42" t="n">
        <x:v>0</x:v>
      </x:c>
      <x:c r="AL4296" s="42" t="n">
        <x:v>0</x:v>
      </x:c>
      <x:c r="AM4296" t="n">
        <x:f>CHOOSE('假设'!$B$3,AJ4296,AK4296,AL4296)</x:f>
        <x:v>0</x:v>
      </x:c>
      <x:c r="AN4296" t="n">
        <x:v>1</x:v>
      </x:c>
    </x:row>
    <x:row r="4297" ht="23" customHeight="1">
      <x:c r="A4297" s="11" t="str">
        <x:v>02162.HK</x:v>
      </x:c>
      <x:c r="B4297" s="11" t="str">
        <x:v>一年</x:v>
      </x:c>
      <x:c r="C4297" s="11" t="str">
        <x:v>CM313_domestic</x:v>
      </x:c>
      <x:c r="D4297" s="11" t="str">
        <x:v>2031-12-31</x:v>
      </x:c>
      <x:c r="E4297" s="11" t="str">
        <x:v>CNY</x:v>
      </x:c>
      <x:c r="F4297" s="11" t="n">
        <x:v>4.227241615331964</x:v>
      </x:c>
      <x:c r="G4297" s="26" t="b">
        <x:v>1</x:v>
      </x:c>
      <x:c r="H4297" s="16" t="n">
        <x:v>0</x:v>
      </x:c>
      <x:c r="I4297" s="16" t="n">
        <x:v>0.216</x:v>
      </x:c>
      <x:c r="J4297" s="16" t="n">
        <x:v>0.95</x:v>
      </x:c>
      <x:c r="K4297" s="11" t="n">
        <x:f>CHOOSE('假设'!$B$3,H4297,I4297,J4297)</x:f>
        <x:v>0.216</x:v>
      </x:c>
      <x:c r="L4297" s="11" t="n">
        <x:f>K4297*'管线假设'!E927*'管线假设'!F927*'管线假设'!G927*IF(E4297="USD",'管线假设'!I927,1)-AM4297</x:f>
        <x:v>0.02916</x:v>
      </x:c>
      <x:c r="M4297" s="11" t="n">
        <x:f>'管线假设'!H927</x:f>
        <x:v>0.14</x:v>
      </x:c>
      <x:c r="N4297" s="11" t="n">
        <x:f>IF(G4297,L4297*AN4297/(1+M4297)^F4297,0)</x:f>
        <x:v>0.016758570239536634</x:v>
      </x:c>
      <x:c r="AJ4297" s="42" t="n">
        <x:v>0</x:v>
      </x:c>
      <x:c r="AK4297" s="42" t="n">
        <x:v>0</x:v>
      </x:c>
      <x:c r="AL4297" s="42" t="n">
        <x:v>0</x:v>
      </x:c>
      <x:c r="AM4297" t="n">
        <x:f>CHOOSE('假设'!$B$3,AJ4297,AK4297,AL4297)</x:f>
        <x:v>0</x:v>
      </x:c>
      <x:c r="AN4297" t="n">
        <x:v>1</x:v>
      </x:c>
    </x:row>
    <x:row r="4298" ht="23" customHeight="1">
      <x:c r="A4298" s="11" t="str">
        <x:v>02162.HK</x:v>
      </x:c>
      <x:c r="B4298" s="11" t="str">
        <x:v>一年</x:v>
      </x:c>
      <x:c r="C4298" s="11" t="str">
        <x:v>CM313_domestic</x:v>
      </x:c>
      <x:c r="D4298" s="11" t="str">
        <x:v>2032-12-31</x:v>
      </x:c>
      <x:c r="E4298" s="11" t="str">
        <x:v>CNY</x:v>
      </x:c>
      <x:c r="F4298" s="11" t="n">
        <x:v>5.229295003422314</x:v>
      </x:c>
      <x:c r="G4298" s="26" t="b">
        <x:v>1</x:v>
      </x:c>
      <x:c r="H4298" s="16" t="n">
        <x:v>0.024</x:v>
      </x:c>
      <x:c r="I4298" s="16" t="n">
        <x:v>0.45599999999999996</x:v>
      </x:c>
      <x:c r="J4298" s="16" t="n">
        <x:v>1.625</x:v>
      </x:c>
      <x:c r="K4298" s="11" t="n">
        <x:f>CHOOSE('假设'!$B$3,H4298,I4298,J4298)</x:f>
        <x:v>0.45599999999999996</x:v>
      </x:c>
      <x:c r="L4298" s="11" t="n">
        <x:f>K4298*'管线假设'!E927*'管线假设'!F927*'管线假设'!G927*IF(E4298="USD",'管线假设'!I927,1)-AM4298</x:f>
        <x:v>0.06155999999999999</x:v>
      </x:c>
      <x:c r="M4298" s="11" t="n">
        <x:f>'管线假设'!H927</x:f>
        <x:v>0.14</x:v>
      </x:c>
      <x:c r="N4298" s="11" t="n">
        <x:f>IF(G4298,L4298*AN4298/(1+M4298)^F4298,0)</x:f>
        <x:v>0.031026040595053737</x:v>
      </x:c>
      <x:c r="AJ4298" s="42" t="n">
        <x:v>0</x:v>
      </x:c>
      <x:c r="AK4298" s="42" t="n">
        <x:v>0</x:v>
      </x:c>
      <x:c r="AL4298" s="42" t="n">
        <x:v>0</x:v>
      </x:c>
      <x:c r="AM4298" t="n">
        <x:f>CHOOSE('假设'!$B$3,AJ4298,AK4298,AL4298)</x:f>
        <x:v>0</x:v>
      </x:c>
      <x:c r="AN4298" t="n">
        <x:v>1</x:v>
      </x:c>
    </x:row>
    <x:row r="4299" ht="23" customHeight="1">
      <x:c r="A4299" s="11" t="str">
        <x:v>02162.HK</x:v>
      </x:c>
      <x:c r="B4299" s="11" t="str">
        <x:v>一年</x:v>
      </x:c>
      <x:c r="C4299" s="11" t="str">
        <x:v>CM313_domestic</x:v>
      </x:c>
      <x:c r="D4299" s="11" t="str">
        <x:v>2033-12-31</x:v>
      </x:c>
      <x:c r="E4299" s="11" t="str">
        <x:v>CNY</x:v>
      </x:c>
      <x:c r="F4299" s="11" t="n">
        <x:v>6.228610540725531</x:v>
      </x:c>
      <x:c r="G4299" s="26" t="b">
        <x:v>1</x:v>
      </x:c>
      <x:c r="H4299" s="16" t="n">
        <x:v>0.072</x:v>
      </x:c>
      <x:c r="I4299" s="16" t="n">
        <x:v>0.78</x:v>
      </x:c>
      <x:c r="J4299" s="16" t="n">
        <x:v>2.125</x:v>
      </x:c>
      <x:c r="K4299" s="11" t="n">
        <x:f>CHOOSE('假设'!$B$3,H4299,I4299,J4299)</x:f>
        <x:v>0.78</x:v>
      </x:c>
      <x:c r="L4299" s="11" t="n">
        <x:f>K4299*'管线假设'!E927*'管线假设'!F927*'管线假设'!G927*IF(E4299="USD",'管线假设'!I927,1)-AM4299</x:f>
        <x:v>0.10529999999999999</x:v>
      </x:c>
      <x:c r="M4299" s="11" t="n">
        <x:f>'管线假设'!H927</x:f>
        <x:v>0.14</x:v>
      </x:c>
      <x:c r="N4299" s="11" t="n">
        <x:f>IF(G4299,L4299*AN4299/(1+M4299)^F4299,0)</x:f>
        <x:v>0.04655756029008923</x:v>
      </x:c>
      <x:c r="AJ4299" s="42" t="n">
        <x:v>0</x:v>
      </x:c>
      <x:c r="AK4299" s="42" t="n">
        <x:v>0</x:v>
      </x:c>
      <x:c r="AL4299" s="42" t="n">
        <x:v>0</x:v>
      </x:c>
      <x:c r="AM4299" t="n">
        <x:f>CHOOSE('假设'!$B$3,AJ4299,AK4299,AL4299)</x:f>
        <x:v>0</x:v>
      </x:c>
      <x:c r="AN4299" t="n">
        <x:v>1</x:v>
      </x:c>
    </x:row>
    <x:row r="4300" ht="23" customHeight="1">
      <x:c r="A4300" s="11" t="str">
        <x:v>02162.HK</x:v>
      </x:c>
      <x:c r="B4300" s="11" t="str">
        <x:v>一年</x:v>
      </x:c>
      <x:c r="C4300" s="11" t="str">
        <x:v>CM313_domestic</x:v>
      </x:c>
      <x:c r="D4300" s="11" t="str">
        <x:v>2034-12-31</x:v>
      </x:c>
      <x:c r="E4300" s="11" t="str">
        <x:v>CNY</x:v>
      </x:c>
      <x:c r="F4300" s="11" t="n">
        <x:v>7.227926078028747</x:v>
      </x:c>
      <x:c r="G4300" s="26" t="b">
        <x:v>1</x:v>
      </x:c>
      <x:c r="H4300" s="16" t="n">
        <x:v>0.15200000000000002</x:v>
      </x:c>
      <x:c r="I4300" s="16" t="n">
        <x:v>1.02</x:v>
      </x:c>
      <x:c r="J4300" s="16" t="n">
        <x:v>2.5</x:v>
      </x:c>
      <x:c r="K4300" s="11" t="n">
        <x:f>CHOOSE('假设'!$B$3,H4300,I4300,J4300)</x:f>
        <x:v>1.02</x:v>
      </x:c>
      <x:c r="L4300" s="11" t="n">
        <x:f>K4300*'管线假设'!E927*'管线假设'!F927*'管线假设'!G927*IF(E4300="USD",'管线假设'!I927,1)-AM4300</x:f>
        <x:v>0.1377</x:v>
      </x:c>
      <x:c r="M4300" s="11" t="n">
        <x:f>'管线假设'!H927</x:f>
        <x:v>0.14</x:v>
      </x:c>
      <x:c r="N4300" s="11" t="n">
        <x:f>IF(G4300,L4300*AN4300/(1+M4300)^F4300,0)</x:f>
        <x:v>0.0534108981809237</x:v>
      </x:c>
      <x:c r="AJ4300" s="42" t="n">
        <x:v>0</x:v>
      </x:c>
      <x:c r="AK4300" s="42" t="n">
        <x:v>0</x:v>
      </x:c>
      <x:c r="AL4300" s="42" t="n">
        <x:v>0</x:v>
      </x:c>
      <x:c r="AM4300" t="n">
        <x:f>CHOOSE('假设'!$B$3,AJ4300,AK4300,AL4300)</x:f>
        <x:v>0</x:v>
      </x:c>
      <x:c r="AN4300" t="n">
        <x:v>1</x:v>
      </x:c>
    </x:row>
    <x:row r="4301" ht="23" customHeight="1">
      <x:c r="A4301" s="11" t="str">
        <x:v>02162.HK</x:v>
      </x:c>
      <x:c r="B4301" s="11" t="str">
        <x:v>一年</x:v>
      </x:c>
      <x:c r="C4301" s="11" t="str">
        <x:v>CM313_domestic</x:v>
      </x:c>
      <x:c r="D4301" s="11" t="str">
        <x:v>2035-12-31</x:v>
      </x:c>
      <x:c r="E4301" s="11" t="str">
        <x:v>CNY</x:v>
      </x:c>
      <x:c r="F4301" s="11" t="n">
        <x:v>8.227241615331964</x:v>
      </x:c>
      <x:c r="G4301" s="26" t="b">
        <x:v>1</x:v>
      </x:c>
      <x:c r="H4301" s="16" t="n">
        <x:v>0.26</x:v>
      </x:c>
      <x:c r="I4301" s="16" t="n">
        <x:v>1.2</x:v>
      </x:c>
      <x:c r="J4301" s="16" t="n">
        <x:v>2.5</x:v>
      </x:c>
      <x:c r="K4301" s="11" t="n">
        <x:f>CHOOSE('假设'!$B$3,H4301,I4301,J4301)</x:f>
        <x:v>1.2</x:v>
      </x:c>
      <x:c r="L4301" s="11" t="n">
        <x:f>K4301*'管线假设'!E927*'管线假设'!F927*'管线假设'!G927*IF(E4301="USD",'管线假设'!I927,1)-AM4301</x:f>
        <x:v>0.162</x:v>
      </x:c>
      <x:c r="M4301" s="11" t="n">
        <x:f>'管线假设'!H927</x:f>
        <x:v>0.14</x:v>
      </x:c>
      <x:c r="N4301" s="11" t="n">
        <x:f>IF(G4301,L4301*AN4301/(1+M4301)^F4301,0)</x:f>
        <x:v>0.05512454953195919</x:v>
      </x:c>
      <x:c r="AJ4301" s="42" t="n">
        <x:v>0</x:v>
      </x:c>
      <x:c r="AK4301" s="42" t="n">
        <x:v>0</x:v>
      </x:c>
      <x:c r="AL4301" s="42" t="n">
        <x:v>0</x:v>
      </x:c>
      <x:c r="AM4301" t="n">
        <x:f>CHOOSE('假设'!$B$3,AJ4301,AK4301,AL4301)</x:f>
        <x:v>0</x:v>
      </x:c>
      <x:c r="AN4301" t="n">
        <x:v>1</x:v>
      </x:c>
    </x:row>
    <x:row r="4302" ht="23" customHeight="1">
      <x:c r="A4302" s="11" t="str">
        <x:v>02162.HK</x:v>
      </x:c>
      <x:c r="B4302" s="11" t="str">
        <x:v>一年</x:v>
      </x:c>
      <x:c r="C4302" s="11" t="str">
        <x:v>CM313_domestic</x:v>
      </x:c>
      <x:c r="D4302" s="11" t="str">
        <x:v>2036-12-31</x:v>
      </x:c>
      <x:c r="E4302" s="11" t="str">
        <x:v>CNY</x:v>
      </x:c>
      <x:c r="F4302" s="11" t="n">
        <x:v>9.229295003422314</x:v>
      </x:c>
      <x:c r="G4302" s="26" t="b">
        <x:v>1</x:v>
      </x:c>
      <x:c r="H4302" s="16" t="n">
        <x:v>0.34</x:v>
      </x:c>
      <x:c r="I4302" s="16" t="n">
        <x:v>1.2</x:v>
      </x:c>
      <x:c r="J4302" s="16" t="n">
        <x:v>2.375</x:v>
      </x:c>
      <x:c r="K4302" s="11" t="n">
        <x:f>CHOOSE('假设'!$B$3,H4302,I4302,J4302)</x:f>
        <x:v>1.2</x:v>
      </x:c>
      <x:c r="L4302" s="11" t="n">
        <x:f>K4302*'管线假设'!E927*'管线假设'!F927*'管线假设'!G927*IF(E4302="USD",'管线假设'!I927,1)-AM4302</x:f>
        <x:v>0.162</x:v>
      </x:c>
      <x:c r="M4302" s="11" t="n">
        <x:f>'管线假设'!H927</x:f>
        <x:v>0.14</x:v>
      </x:c>
      <x:c r="N4302" s="11" t="n">
        <x:f>IF(G4302,L4302*AN4302/(1+M4302)^F4302,0)</x:f>
        <x:v>0.048341859792679416</x:v>
      </x:c>
      <x:c r="AJ4302" s="42" t="n">
        <x:v>0</x:v>
      </x:c>
      <x:c r="AK4302" s="42" t="n">
        <x:v>0</x:v>
      </x:c>
      <x:c r="AL4302" s="42" t="n">
        <x:v>0</x:v>
      </x:c>
      <x:c r="AM4302" t="n">
        <x:f>CHOOSE('假设'!$B$3,AJ4302,AK4302,AL4302)</x:f>
        <x:v>0</x:v>
      </x:c>
      <x:c r="AN4302" t="n">
        <x:v>1</x:v>
      </x:c>
    </x:row>
    <x:row r="4303" ht="23" customHeight="1">
      <x:c r="A4303" s="11" t="str">
        <x:v>02162.HK</x:v>
      </x:c>
      <x:c r="B4303" s="11" t="str">
        <x:v>一年</x:v>
      </x:c>
      <x:c r="C4303" s="11" t="str">
        <x:v>CM313_domestic</x:v>
      </x:c>
      <x:c r="D4303" s="11" t="str">
        <x:v>2037-12-31</x:v>
      </x:c>
      <x:c r="E4303" s="11" t="str">
        <x:v>CNY</x:v>
      </x:c>
      <x:c r="F4303" s="11" t="n">
        <x:v>10.22861054072553</x:v>
      </x:c>
      <x:c r="G4303" s="26" t="b">
        <x:v>1</x:v>
      </x:c>
      <x:c r="H4303" s="16" t="n">
        <x:v>0.4</x:v>
      </x:c>
      <x:c r="I4303" s="16" t="n">
        <x:v>1.14</x:v>
      </x:c>
      <x:c r="J4303" s="16" t="n">
        <x:v>2.25</x:v>
      </x:c>
      <x:c r="K4303" s="11" t="n">
        <x:f>CHOOSE('假设'!$B$3,H4303,I4303,J4303)</x:f>
        <x:v>1.14</x:v>
      </x:c>
      <x:c r="L4303" s="11" t="n">
        <x:f>K4303*'管线假设'!E927*'管线假设'!F927*'管线假设'!G927*IF(E4303="USD",'管线假设'!I927,1)-AM4303</x:f>
        <x:v>0.15389999999999998</x:v>
      </x:c>
      <x:c r="M4303" s="11" t="n">
        <x:f>'管线假设'!H927</x:f>
        <x:v>0.14</x:v>
      </x:c>
      <x:c r="N4303" s="11" t="n">
        <x:f>IF(G4303,L4303*AN4303/(1+M4303)^F4303,0)</x:f>
        <x:v>0.04028849623034397</x:v>
      </x:c>
      <x:c r="AJ4303" s="42" t="n">
        <x:v>0</x:v>
      </x:c>
      <x:c r="AK4303" s="42" t="n">
        <x:v>0</x:v>
      </x:c>
      <x:c r="AL4303" s="42" t="n">
        <x:v>0</x:v>
      </x:c>
      <x:c r="AM4303" t="n">
        <x:f>CHOOSE('假设'!$B$3,AJ4303,AK4303,AL4303)</x:f>
        <x:v>0</x:v>
      </x:c>
      <x:c r="AN4303" t="n">
        <x:v>1</x:v>
      </x:c>
    </x:row>
    <x:row r="4304" ht="23" customHeight="1">
      <x:c r="A4304" s="11" t="str">
        <x:v>02162.HK</x:v>
      </x:c>
      <x:c r="B4304" s="11" t="str">
        <x:v>一年</x:v>
      </x:c>
      <x:c r="C4304" s="11" t="str">
        <x:v>CM313_domestic</x:v>
      </x:c>
      <x:c r="D4304" s="11" t="str">
        <x:v>2038-12-31</x:v>
      </x:c>
      <x:c r="E4304" s="11" t="str">
        <x:v>CNY</x:v>
      </x:c>
      <x:c r="F4304" s="11" t="n">
        <x:v>11.227926078028748</x:v>
      </x:c>
      <x:c r="G4304" s="26" t="b">
        <x:v>1</x:v>
      </x:c>
      <x:c r="H4304" s="16" t="n">
        <x:v>0.4</x:v>
      </x:c>
      <x:c r="I4304" s="16" t="n">
        <x:v>1.08</x:v>
      </x:c>
      <x:c r="J4304" s="16" t="n">
        <x:v>2</x:v>
      </x:c>
      <x:c r="K4304" s="11" t="n">
        <x:f>CHOOSE('假设'!$B$3,H4304,I4304,J4304)</x:f>
        <x:v>1.08</x:v>
      </x:c>
      <x:c r="L4304" s="11" t="n">
        <x:f>K4304*'管线假设'!E927*'管线假设'!F927*'管线假设'!G927*IF(E4304="USD",'管线假设'!I927,1)-AM4304</x:f>
        <x:v>0.1458</x:v>
      </x:c>
      <x:c r="M4304" s="11" t="n">
        <x:f>'管线假设'!H927</x:f>
        <x:v>0.14</x:v>
      </x:c>
      <x:c r="N4304" s="11" t="n">
        <x:f>IF(G4304,L4304*AN4304/(1+M4304)^F4304,0)</x:f>
        <x:v>0.03348374761011415</x:v>
      </x:c>
      <x:c r="AJ4304" s="42" t="n">
        <x:v>0</x:v>
      </x:c>
      <x:c r="AK4304" s="42" t="n">
        <x:v>0</x:v>
      </x:c>
      <x:c r="AL4304" s="42" t="n">
        <x:v>0</x:v>
      </x:c>
      <x:c r="AM4304" t="n">
        <x:f>CHOOSE('假设'!$B$3,AJ4304,AK4304,AL4304)</x:f>
        <x:v>0</x:v>
      </x:c>
      <x:c r="AN4304" t="n">
        <x:v>1</x:v>
      </x:c>
    </x:row>
    <x:row r="4305" ht="23" customHeight="1">
      <x:c r="A4305" s="11" t="str">
        <x:v>02162.HK</x:v>
      </x:c>
      <x:c r="B4305" s="11" t="str">
        <x:v>一年</x:v>
      </x:c>
      <x:c r="C4305" s="11" t="str">
        <x:v>CM313_domestic</x:v>
      </x:c>
      <x:c r="D4305" s="11" t="str">
        <x:v>2039-12-31</x:v>
      </x:c>
      <x:c r="E4305" s="11" t="str">
        <x:v>CNY</x:v>
      </x:c>
      <x:c r="F4305" s="11" t="n">
        <x:v>12.227241615331964</x:v>
      </x:c>
      <x:c r="G4305" s="26" t="b">
        <x:v>1</x:v>
      </x:c>
      <x:c r="H4305" s="16" t="n">
        <x:v>0.38</x:v>
      </x:c>
      <x:c r="I4305" s="16" t="n">
        <x:v>0.96</x:v>
      </x:c>
      <x:c r="J4305" s="16" t="n">
        <x:v>1.625</x:v>
      </x:c>
      <x:c r="K4305" s="11" t="n">
        <x:f>CHOOSE('假设'!$B$3,H4305,I4305,J4305)</x:f>
        <x:v>0.96</x:v>
      </x:c>
      <x:c r="L4305" s="11" t="n">
        <x:f>K4305*'管线假设'!E927*'管线假设'!F927*'管线假设'!G927*IF(E4305="USD",'管线假设'!I927,1)-AM4305</x:f>
        <x:v>0.1296</x:v>
      </x:c>
      <x:c r="M4305" s="11" t="n">
        <x:f>'管线假设'!H927</x:f>
        <x:v>0.14</x:v>
      </x:c>
      <x:c r="N4305" s="11" t="n">
        <x:f>IF(G4305,L4305*AN4305/(1+M4305)^F4305,0)</x:f>
        <x:v>0.026110526861431314</x:v>
      </x:c>
      <x:c r="AJ4305" s="42" t="n">
        <x:v>0</x:v>
      </x:c>
      <x:c r="AK4305" s="42" t="n">
        <x:v>0</x:v>
      </x:c>
      <x:c r="AL4305" s="42" t="n">
        <x:v>0</x:v>
      </x:c>
      <x:c r="AM4305" t="n">
        <x:f>CHOOSE('假设'!$B$3,AJ4305,AK4305,AL4305)</x:f>
        <x:v>0</x:v>
      </x:c>
      <x:c r="AN4305" t="n">
        <x:v>1</x:v>
      </x:c>
    </x:row>
    <x:row r="4306" ht="23" customHeight="1">
      <x:c r="A4306" s="11" t="str">
        <x:v>02162.HK</x:v>
      </x:c>
      <x:c r="B4306" s="11" t="str">
        <x:v>一年</x:v>
      </x:c>
      <x:c r="C4306" s="11" t="str">
        <x:v>CM313_domestic</x:v>
      </x:c>
      <x:c r="D4306" s="11" t="str">
        <x:v>2040-12-31</x:v>
      </x:c>
      <x:c r="E4306" s="11" t="str">
        <x:v>CNY</x:v>
      </x:c>
      <x:c r="F4306" s="11" t="n">
        <x:v>13.229295003422314</x:v>
      </x:c>
      <x:c r="G4306" s="26" t="b">
        <x:v>1</x:v>
      </x:c>
      <x:c r="H4306" s="16" t="n">
        <x:v>0.36000000000000004</x:v>
      </x:c>
      <x:c r="I4306" s="16" t="n">
        <x:v>0.78</x:v>
      </x:c>
      <x:c r="J4306" s="16" t="n">
        <x:v>1.25</x:v>
      </x:c>
      <x:c r="K4306" s="11" t="n">
        <x:f>CHOOSE('假设'!$B$3,H4306,I4306,J4306)</x:f>
        <x:v>0.78</x:v>
      </x:c>
      <x:c r="L4306" s="11" t="n">
        <x:f>K4306*'管线假设'!E927*'管线假设'!F927*'管线假设'!G927*IF(E4306="USD",'管线假设'!I927,1)-AM4306</x:f>
        <x:v>0.10529999999999999</x:v>
      </x:c>
      <x:c r="M4306" s="11" t="n">
        <x:f>'管线假设'!H927</x:f>
        <x:v>0.14</x:v>
      </x:c>
      <x:c r="N4306" s="11" t="n">
        <x:f>IF(G4306,L4306*AN4306/(1+M4306)^F4306,0)</x:f>
        <x:v>0.018604470140516284</x:v>
      </x:c>
      <x:c r="AJ4306" s="42" t="n">
        <x:v>0</x:v>
      </x:c>
      <x:c r="AK4306" s="42" t="n">
        <x:v>0</x:v>
      </x:c>
      <x:c r="AL4306" s="42" t="n">
        <x:v>0</x:v>
      </x:c>
      <x:c r="AM4306" t="n">
        <x:f>CHOOSE('假设'!$B$3,AJ4306,AK4306,AL4306)</x:f>
        <x:v>0</x:v>
      </x:c>
      <x:c r="AN4306" t="n">
        <x:v>1</x:v>
      </x:c>
    </x:row>
    <x:row r="4307" ht="23" customHeight="1">
      <x:c r="A4307" s="11" t="str">
        <x:v>02162.HK</x:v>
      </x:c>
      <x:c r="B4307" s="11" t="str">
        <x:v>一年</x:v>
      </x:c>
      <x:c r="C4307" s="11" t="str">
        <x:v>CM313_domestic</x:v>
      </x:c>
      <x:c r="D4307" s="11" t="str">
        <x:v>2041-12-31</x:v>
      </x:c>
      <x:c r="E4307" s="11" t="str">
        <x:v>CNY</x:v>
      </x:c>
      <x:c r="F4307" s="11" t="n">
        <x:v>14.22861054072553</x:v>
      </x:c>
      <x:c r="G4307" s="26" t="b">
        <x:v>1</x:v>
      </x:c>
      <x:c r="H4307" s="16" t="n">
        <x:v>0.32000000000000006</x:v>
      </x:c>
      <x:c r="I4307" s="16" t="n">
        <x:v>0.6</x:v>
      </x:c>
      <x:c r="J4307" s="16" t="n">
        <x:v>0.875</x:v>
      </x:c>
      <x:c r="K4307" s="11" t="n">
        <x:f>CHOOSE('假设'!$B$3,H4307,I4307,J4307)</x:f>
        <x:v>0.6</x:v>
      </x:c>
      <x:c r="L4307" s="11" t="n">
        <x:f>K4307*'管线假设'!E927*'管线假设'!F927*'管线假设'!G927*IF(E4307="USD",'管线假设'!I927,1)-AM4307</x:f>
        <x:v>0.081</x:v>
      </x:c>
      <x:c r="M4307" s="11" t="n">
        <x:f>'管线假设'!H927</x:f>
        <x:v>0.14</x:v>
      </x:c>
      <x:c r="N4307" s="11" t="n">
        <x:f>IF(G4307,L4307*AN4307/(1+M4307)^F4307,0)</x:f>
        <x:v>0.012554749485731523</x:v>
      </x:c>
      <x:c r="AJ4307" s="42" t="n">
        <x:v>0</x:v>
      </x:c>
      <x:c r="AK4307" s="42" t="n">
        <x:v>0</x:v>
      </x:c>
      <x:c r="AL4307" s="42" t="n">
        <x:v>0</x:v>
      </x:c>
      <x:c r="AM4307" t="n">
        <x:f>CHOOSE('假设'!$B$3,AJ4307,AK4307,AL4307)</x:f>
        <x:v>0</x:v>
      </x:c>
      <x:c r="AN4307" t="n">
        <x:v>1</x:v>
      </x:c>
    </x:row>
    <x:row r="4308" ht="23" customHeight="1">
      <x:c r="A4308" s="11" t="str">
        <x:v>02162.HK</x:v>
      </x:c>
      <x:c r="B4308" s="11" t="str">
        <x:v>一年</x:v>
      </x:c>
      <x:c r="C4308" s="11" t="str">
        <x:v>CM313_domestic</x:v>
      </x:c>
      <x:c r="D4308" s="11" t="str">
        <x:v>2042-12-31</x:v>
      </x:c>
      <x:c r="E4308" s="11" t="str">
        <x:v>CNY</x:v>
      </x:c>
      <x:c r="F4308" s="11" t="n">
        <x:v>15.227926078028748</x:v>
      </x:c>
      <x:c r="G4308" s="26" t="b">
        <x:v>1</x:v>
      </x:c>
      <x:c r="H4308" s="16" t="n">
        <x:v>0.26</x:v>
      </x:c>
      <x:c r="I4308" s="16" t="n">
        <x:v>0.42</x:v>
      </x:c>
      <x:c r="J4308" s="16" t="n">
        <x:v>0.5</x:v>
      </x:c>
      <x:c r="K4308" s="11" t="n">
        <x:f>CHOOSE('假设'!$B$3,H4308,I4308,J4308)</x:f>
        <x:v>0.42</x:v>
      </x:c>
      <x:c r="L4308" s="11" t="n">
        <x:f>K4308*'管线假设'!E927*'管线假设'!F927*'管线假设'!G927*IF(E4308="USD",'管线假设'!I927,1)-AM4308</x:f>
        <x:v>0.0567</x:v>
      </x:c>
      <x:c r="M4308" s="11" t="n">
        <x:f>'管线假设'!H927</x:f>
        <x:v>0.14</x:v>
      </x:c>
      <x:c r="N4308" s="11" t="n">
        <x:f>IF(G4308,L4308*AN4308/(1+M4308)^F4308,0)</x:f>
        <x:v>0.007709748111484924</x:v>
      </x:c>
      <x:c r="AJ4308" s="42" t="n">
        <x:v>0</x:v>
      </x:c>
      <x:c r="AK4308" s="42" t="n">
        <x:v>0</x:v>
      </x:c>
      <x:c r="AL4308" s="42" t="n">
        <x:v>0</x:v>
      </x:c>
      <x:c r="AM4308" t="n">
        <x:f>CHOOSE('假设'!$B$3,AJ4308,AK4308,AL4308)</x:f>
        <x:v>0</x:v>
      </x:c>
      <x:c r="AN4308" t="n">
        <x:v>1</x:v>
      </x:c>
    </x:row>
    <x:row r="4309" ht="23" customHeight="1">
      <x:c r="A4309" s="11" t="str">
        <x:v>02162.HK</x:v>
      </x:c>
      <x:c r="B4309" s="11" t="str">
        <x:v>一年</x:v>
      </x:c>
      <x:c r="C4309" s="11" t="str">
        <x:v>CM313_domestic</x:v>
      </x:c>
      <x:c r="D4309" s="11" t="str">
        <x:v>2043-12-31</x:v>
      </x:c>
      <x:c r="E4309" s="11" t="str">
        <x:v>CNY</x:v>
      </x:c>
      <x:c r="F4309" s="11" t="n">
        <x:v>16.227241615331966</x:v>
      </x:c>
      <x:c r="G4309" s="26" t="b">
        <x:v>1</x:v>
      </x:c>
      <x:c r="H4309" s="16" t="n">
        <x:v>0.2</x:v>
      </x:c>
      <x:c r="I4309" s="16" t="n">
        <x:v>0.24</x:v>
      </x:c>
      <x:c r="J4309" s="16" t="n">
        <x:v>0.3</x:v>
      </x:c>
      <x:c r="K4309" s="11" t="n">
        <x:f>CHOOSE('假设'!$B$3,H4309,I4309,J4309)</x:f>
        <x:v>0.24</x:v>
      </x:c>
      <x:c r="L4309" s="11" t="n">
        <x:f>K4309*'管线假设'!E927*'管线假设'!F927*'管线假设'!G927*IF(E4309="USD",'管线假设'!I927,1)-AM4309</x:f>
        <x:v>0.0324</x:v>
      </x:c>
      <x:c r="M4309" s="11" t="n">
        <x:f>'管线假设'!H927</x:f>
        <x:v>0.14</x:v>
      </x:c>
      <x:c r="N4309" s="11" t="n">
        <x:f>IF(G4309,L4309*AN4309/(1+M4309)^F4309,0)</x:f>
        <x:v>0.003864881996599508</x:v>
      </x:c>
      <x:c r="AJ4309" s="42" t="n">
        <x:v>0</x:v>
      </x:c>
      <x:c r="AK4309" s="42" t="n">
        <x:v>0</x:v>
      </x:c>
      <x:c r="AL4309" s="42" t="n">
        <x:v>0</x:v>
      </x:c>
      <x:c r="AM4309" t="n">
        <x:f>CHOOSE('假设'!$B$3,AJ4309,AK4309,AL4309)</x:f>
        <x:v>0</x:v>
      </x:c>
      <x:c r="AN4309" t="n">
        <x:v>1</x:v>
      </x:c>
    </x:row>
    <x:row r="4310" ht="23" customHeight="1">
      <x:c r="A4310" s="11" t="str">
        <x:v>02162.HK</x:v>
      </x:c>
      <x:c r="B4310" s="11" t="str">
        <x:v>一年</x:v>
      </x:c>
      <x:c r="C4310" s="11" t="str">
        <x:v>CM313_domestic</x:v>
      </x:c>
      <x:c r="D4310" s="11" t="str">
        <x:v>2044-12-31</x:v>
      </x:c>
      <x:c r="E4310" s="11" t="str">
        <x:v>CNY</x:v>
      </x:c>
      <x:c r="F4310" s="11" t="n">
        <x:v>17.229295003422312</x:v>
      </x:c>
      <x:c r="G4310" s="26" t="b">
        <x:v>1</x:v>
      </x:c>
      <x:c r="H4310" s="16" t="n">
        <x:v>0.13999999999999999</x:v>
      </x:c>
      <x:c r="I4310" s="16" t="n">
        <x:v>0.144</x:v>
      </x:c>
      <x:c r="J4310" s="16" t="n">
        <x:v>0.17500000000000002</x:v>
      </x:c>
      <x:c r="K4310" s="11" t="n">
        <x:f>CHOOSE('假设'!$B$3,H4310,I4310,J4310)</x:f>
        <x:v>0.144</x:v>
      </x:c>
      <x:c r="L4310" s="11" t="n">
        <x:f>K4310*'管线假设'!E927*'管线假设'!F927*'管线假设'!G927*IF(E4310="USD",'管线假设'!I927,1)-AM4310</x:f>
        <x:v>0.01944</x:v>
      </x:c>
      <x:c r="M4310" s="11" t="n">
        <x:f>'管线假设'!H927</x:f>
        <x:v>0.14</x:v>
      </x:c>
      <x:c r="N4310" s="11" t="n">
        <x:f>IF(G4310,L4310*AN4310/(1+M4310)^F4310,0)</x:f>
        <x:v>0.0020336012014379617</x:v>
      </x:c>
      <x:c r="AJ4310" s="42" t="n">
        <x:v>0</x:v>
      </x:c>
      <x:c r="AK4310" s="42" t="n">
        <x:v>0</x:v>
      </x:c>
      <x:c r="AL4310" s="42" t="n">
        <x:v>0</x:v>
      </x:c>
      <x:c r="AM4310" t="n">
        <x:f>CHOOSE('假设'!$B$3,AJ4310,AK4310,AL4310)</x:f>
        <x:v>0</x:v>
      </x:c>
      <x:c r="AN4310" t="n">
        <x:v>1</x:v>
      </x:c>
    </x:row>
    <x:row r="4311" ht="23" customHeight="1">
      <x:c r="A4311" s="11" t="str">
        <x:v>02162.HK</x:v>
      </x:c>
      <x:c r="B4311" s="11" t="str">
        <x:v>一年</x:v>
      </x:c>
      <x:c r="C4311" s="11" t="str">
        <x:v>CM326_China</x:v>
      </x:c>
      <x:c r="D4311" s="11" t="str">
        <x:v>2026-12-31</x:v>
      </x:c>
      <x:c r="E4311" s="11" t="str">
        <x:v>CNY</x:v>
      </x:c>
      <x:c r="F4311" s="11" t="n">
        <x:v>-0.7720739219712526</x:v>
      </x:c>
      <x:c r="G4311" s="26" t="b">
        <x:v>0</x:v>
      </x:c>
      <x:c r="H4311" s="16" t="n">
        <x:v>0</x:v>
      </x:c>
      <x:c r="I4311" s="16" t="n">
        <x:v>0</x:v>
      </x:c>
      <x:c r="J4311" s="16" t="n">
        <x:v>0</x:v>
      </x:c>
      <x:c r="K4311" s="11" t="n">
        <x:f>CHOOSE('假设'!$B$3,H4311,I4311,J4311)</x:f>
        <x:v>0</x:v>
      </x:c>
      <x:c r="L4311" s="11" t="n">
        <x:f>K4311*'管线假设'!E931*'管线假设'!F931*'管线假设'!G931*IF(E4311="USD",'管线假设'!I931,1)-AM4311</x:f>
        <x:v>-0.01</x:v>
      </x:c>
      <x:c r="M4311" s="11" t="n">
        <x:f>'管线假设'!H931</x:f>
        <x:v>0.14</x:v>
      </x:c>
      <x:c r="N4311" s="11" t="n">
        <x:f>IF(G4311,L4311*AN4311/(1+M4311)^F4311,0)</x:f>
        <x:v>0</x:v>
      </x:c>
      <x:c r="AJ4311" s="42" t="n">
        <x:v>0.005</x:v>
      </x:c>
      <x:c r="AK4311" s="42" t="n">
        <x:v>0.01</x:v>
      </x:c>
      <x:c r="AL4311" s="42" t="n">
        <x:v>0.015</x:v>
      </x:c>
      <x:c r="AM4311" t="n">
        <x:f>CHOOSE('假设'!$B$3,AJ4311,AK4311,AL4311)</x:f>
        <x:v>0.01</x:v>
      </x:c>
      <x:c r="AN4311" t="n">
        <x:v>0</x:v>
      </x:c>
    </x:row>
    <x:row r="4312" ht="23" customHeight="1">
      <x:c r="A4312" s="11" t="str">
        <x:v>02162.HK</x:v>
      </x:c>
      <x:c r="B4312" s="11" t="str">
        <x:v>一年</x:v>
      </x:c>
      <x:c r="C4312" s="11" t="str">
        <x:v>CM326_China</x:v>
      </x:c>
      <x:c r="D4312" s="11" t="str">
        <x:v>2027-12-31</x:v>
      </x:c>
      <x:c r="E4312" s="11" t="str">
        <x:v>CNY</x:v>
      </x:c>
      <x:c r="F4312" s="11" t="n">
        <x:v>0.2272416153319644</x:v>
      </x:c>
      <x:c r="G4312" s="26" t="b">
        <x:v>1</x:v>
      </x:c>
      <x:c r="H4312" s="16" t="n">
        <x:v>0</x:v>
      </x:c>
      <x:c r="I4312" s="16" t="n">
        <x:v>0</x:v>
      </x:c>
      <x:c r="J4312" s="16" t="n">
        <x:v>0</x:v>
      </x:c>
      <x:c r="K4312" s="11" t="n">
        <x:f>CHOOSE('假设'!$B$3,H4312,I4312,J4312)</x:f>
        <x:v>0</x:v>
      </x:c>
      <x:c r="L4312" s="11" t="n">
        <x:f>K4312*'管线假设'!E931*'管线假设'!F931*'管线假设'!G931*IF(E4312="USD",'管线假设'!I931,1)-AM4312</x:f>
        <x:v>0</x:v>
      </x:c>
      <x:c r="M4312" s="11" t="n">
        <x:f>'管线假设'!H931</x:f>
        <x:v>0.14</x:v>
      </x:c>
      <x:c r="N4312" s="11" t="n">
        <x:f>IF(G4312,L4312*AN4312/(1+M4312)^F4312,0)</x:f>
        <x:v>0</x:v>
      </x:c>
      <x:c r="AJ4312" s="42" t="n">
        <x:v>0</x:v>
      </x:c>
      <x:c r="AK4312" s="42" t="n">
        <x:v>0</x:v>
      </x:c>
      <x:c r="AL4312" s="42" t="n">
        <x:v>0</x:v>
      </x:c>
      <x:c r="AM4312" t="n">
        <x:f>CHOOSE('假设'!$B$3,AJ4312,AK4312,AL4312)</x:f>
        <x:v>0</x:v>
      </x:c>
      <x:c r="AN4312" t="n">
        <x:v>0.22802197802197802</x:v>
      </x:c>
    </x:row>
    <x:row r="4313" ht="23" customHeight="1">
      <x:c r="A4313" s="11" t="str">
        <x:v>02162.HK</x:v>
      </x:c>
      <x:c r="B4313" s="11" t="str">
        <x:v>一年</x:v>
      </x:c>
      <x:c r="C4313" s="11" t="str">
        <x:v>CM326_China</x:v>
      </x:c>
      <x:c r="D4313" s="11" t="str">
        <x:v>2028-12-31</x:v>
      </x:c>
      <x:c r="E4313" s="11" t="str">
        <x:v>CNY</x:v>
      </x:c>
      <x:c r="F4313" s="11" t="n">
        <x:v>1.2292950034223136</x:v>
      </x:c>
      <x:c r="G4313" s="26" t="b">
        <x:v>1</x:v>
      </x:c>
      <x:c r="H4313" s="16" t="n">
        <x:v>0</x:v>
      </x:c>
      <x:c r="I4313" s="16" t="n">
        <x:v>0</x:v>
      </x:c>
      <x:c r="J4313" s="16" t="n">
        <x:v>0.18</x:v>
      </x:c>
      <x:c r="K4313" s="11" t="n">
        <x:f>CHOOSE('假设'!$B$3,H4313,I4313,J4313)</x:f>
        <x:v>0</x:v>
      </x:c>
      <x:c r="L4313" s="11" t="n">
        <x:f>K4313*'管线假设'!E931*'管线假设'!F931*'管线假设'!G931*IF(E4313="USD",'管线假设'!I931,1)-AM4313</x:f>
        <x:v>0</x:v>
      </x:c>
      <x:c r="M4313" s="11" t="n">
        <x:f>'管线假设'!H931</x:f>
        <x:v>0.14</x:v>
      </x:c>
      <x:c r="N4313" s="11" t="n">
        <x:f>IF(G4313,L4313*AN4313/(1+M4313)^F4313,0)</x:f>
        <x:v>0</x:v>
      </x:c>
      <x:c r="AJ4313" s="42" t="n">
        <x:v>0</x:v>
      </x:c>
      <x:c r="AK4313" s="42" t="n">
        <x:v>0</x:v>
      </x:c>
      <x:c r="AL4313" s="42" t="n">
        <x:v>0</x:v>
      </x:c>
      <x:c r="AM4313" t="n">
        <x:f>CHOOSE('假设'!$B$3,AJ4313,AK4313,AL4313)</x:f>
        <x:v>0</x:v>
      </x:c>
      <x:c r="AN4313" t="n">
        <x:v>1</x:v>
      </x:c>
    </x:row>
    <x:row r="4314" ht="23" customHeight="1">
      <x:c r="A4314" s="11" t="str">
        <x:v>02162.HK</x:v>
      </x:c>
      <x:c r="B4314" s="11" t="str">
        <x:v>一年</x:v>
      </x:c>
      <x:c r="C4314" s="11" t="str">
        <x:v>CM326_China</x:v>
      </x:c>
      <x:c r="D4314" s="11" t="str">
        <x:v>2029-12-31</x:v>
      </x:c>
      <x:c r="E4314" s="11" t="str">
        <x:v>CNY</x:v>
      </x:c>
      <x:c r="F4314" s="11" t="n">
        <x:v>2.2286105407255303</x:v>
      </x:c>
      <x:c r="G4314" s="26" t="b">
        <x:v>1</x:v>
      </x:c>
      <x:c r="H4314" s="16" t="n">
        <x:v>0</x:v>
      </x:c>
      <x:c r="I4314" s="16" t="n">
        <x:v>0.09</x:v>
      </x:c>
      <x:c r="J4314" s="16" t="n">
        <x:v>0.54</x:v>
      </x:c>
      <x:c r="K4314" s="11" t="n">
        <x:f>CHOOSE('假设'!$B$3,H4314,I4314,J4314)</x:f>
        <x:v>0.09</x:v>
      </x:c>
      <x:c r="L4314" s="11" t="n">
        <x:f>K4314*'管线假设'!E931*'管线假设'!F931*'管线假设'!G931*IF(E4314="USD",'管线假设'!I931,1)-AM4314</x:f>
        <x:v>0.0033615000000000003</x:v>
      </x:c>
      <x:c r="M4314" s="11" t="n">
        <x:f>'管线假设'!H931</x:f>
        <x:v>0.14</x:v>
      </x:c>
      <x:c r="N4314" s="11" t="n">
        <x:f>IF(G4314,L4314*AN4314/(1+M4314)^F4314,0)</x:f>
        <x:v>0.002510234904450377</x:v>
      </x:c>
      <x:c r="AJ4314" s="42" t="n">
        <x:v>0</x:v>
      </x:c>
      <x:c r="AK4314" s="42" t="n">
        <x:v>0</x:v>
      </x:c>
      <x:c r="AL4314" s="42" t="n">
        <x:v>0</x:v>
      </x:c>
      <x:c r="AM4314" t="n">
        <x:f>CHOOSE('假设'!$B$3,AJ4314,AK4314,AL4314)</x:f>
        <x:v>0</x:v>
      </x:c>
      <x:c r="AN4314" t="n">
        <x:v>1</x:v>
      </x:c>
    </x:row>
    <x:row r="4315" ht="23" customHeight="1">
      <x:c r="A4315" s="11" t="str">
        <x:v>02162.HK</x:v>
      </x:c>
      <x:c r="B4315" s="11" t="str">
        <x:v>一年</x:v>
      </x:c>
      <x:c r="C4315" s="11" t="str">
        <x:v>CM326_China</x:v>
      </x:c>
      <x:c r="D4315" s="11" t="str">
        <x:v>2030-12-31</x:v>
      </x:c>
      <x:c r="E4315" s="11" t="str">
        <x:v>CNY</x:v>
      </x:c>
      <x:c r="F4315" s="11" t="n">
        <x:v>3.2279260780287475</x:v>
      </x:c>
      <x:c r="G4315" s="26" t="b">
        <x:v>1</x:v>
      </x:c>
      <x:c r="H4315" s="16" t="n">
        <x:v>0</x:v>
      </x:c>
      <x:c r="I4315" s="16" t="n">
        <x:v>0.27</x:v>
      </x:c>
      <x:c r="J4315" s="16" t="n">
        <x:v>1.1400000000000001</x:v>
      </x:c>
      <x:c r="K4315" s="11" t="n">
        <x:f>CHOOSE('假设'!$B$3,H4315,I4315,J4315)</x:f>
        <x:v>0.27</x:v>
      </x:c>
      <x:c r="L4315" s="11" t="n">
        <x:f>K4315*'管线假设'!E931*'管线假设'!F931*'管线假设'!G931*IF(E4315="USD",'管线假设'!I931,1)-AM4315</x:f>
        <x:v>0.010084500000000001</x:v>
      </x:c>
      <x:c r="M4315" s="11" t="n">
        <x:f>'管线假设'!H931</x:f>
        <x:v>0.14</x:v>
      </x:c>
      <x:c r="N4315" s="11" t="n">
        <x:f>IF(G4315,L4315*AN4315/(1+M4315)^F4315,0)</x:f>
        <x:v>0.00660647379565052</x:v>
      </x:c>
      <x:c r="AJ4315" s="42" t="n">
        <x:v>0</x:v>
      </x:c>
      <x:c r="AK4315" s="42" t="n">
        <x:v>0</x:v>
      </x:c>
      <x:c r="AL4315" s="42" t="n">
        <x:v>0</x:v>
      </x:c>
      <x:c r="AM4315" t="n">
        <x:f>CHOOSE('假设'!$B$3,AJ4315,AK4315,AL4315)</x:f>
        <x:v>0</x:v>
      </x:c>
      <x:c r="AN4315" t="n">
        <x:v>1</x:v>
      </x:c>
    </x:row>
    <x:row r="4316" ht="23" customHeight="1">
      <x:c r="A4316" s="11" t="str">
        <x:v>02162.HK</x:v>
      </x:c>
      <x:c r="B4316" s="11" t="str">
        <x:v>一年</x:v>
      </x:c>
      <x:c r="C4316" s="11" t="str">
        <x:v>CM326_China</x:v>
      </x:c>
      <x:c r="D4316" s="11" t="str">
        <x:v>2031-12-31</x:v>
      </x:c>
      <x:c r="E4316" s="11" t="str">
        <x:v>CNY</x:v>
      </x:c>
      <x:c r="F4316" s="11" t="n">
        <x:v>4.227241615331964</x:v>
      </x:c>
      <x:c r="G4316" s="26" t="b">
        <x:v>1</x:v>
      </x:c>
      <x:c r="H4316" s="16" t="n">
        <x:v>0.03</x:v>
      </x:c>
      <x:c r="I4316" s="16" t="n">
        <x:v>0.5700000000000001</x:v>
      </x:c>
      <x:c r="J4316" s="16" t="n">
        <x:v>1.9500000000000002</x:v>
      </x:c>
      <x:c r="K4316" s="11" t="n">
        <x:f>CHOOSE('假设'!$B$3,H4316,I4316,J4316)</x:f>
        <x:v>0.5700000000000001</x:v>
      </x:c>
      <x:c r="L4316" s="11" t="n">
        <x:f>K4316*'管线假设'!E931*'管线假设'!F931*'管线假设'!G931*IF(E4316="USD",'管线假设'!I931,1)-AM4316</x:f>
        <x:v>0.021289500000000006</x:v>
      </x:c>
      <x:c r="M4316" s="11" t="n">
        <x:f>'管线假设'!H931</x:f>
        <x:v>0.14</x:v>
      </x:c>
      <x:c r="N4316" s="11" t="n">
        <x:f>IF(G4316,L4316*AN4316/(1+M4316)^F4316,0)</x:f>
        <x:v>0.01223530799432837</x:v>
      </x:c>
      <x:c r="AJ4316" s="42" t="n">
        <x:v>0</x:v>
      </x:c>
      <x:c r="AK4316" s="42" t="n">
        <x:v>0</x:v>
      </x:c>
      <x:c r="AL4316" s="42" t="n">
        <x:v>0</x:v>
      </x:c>
      <x:c r="AM4316" t="n">
        <x:f>CHOOSE('假设'!$B$3,AJ4316,AK4316,AL4316)</x:f>
        <x:v>0</x:v>
      </x:c>
      <x:c r="AN4316" t="n">
        <x:v>1</x:v>
      </x:c>
    </x:row>
    <x:row r="4317" ht="23" customHeight="1">
      <x:c r="A4317" s="11" t="str">
        <x:v>02162.HK</x:v>
      </x:c>
      <x:c r="B4317" s="11" t="str">
        <x:v>一年</x:v>
      </x:c>
      <x:c r="C4317" s="11" t="str">
        <x:v>CM326_China</x:v>
      </x:c>
      <x:c r="D4317" s="11" t="str">
        <x:v>2032-12-31</x:v>
      </x:c>
      <x:c r="E4317" s="11" t="str">
        <x:v>CNY</x:v>
      </x:c>
      <x:c r="F4317" s="11" t="n">
        <x:v>5.229295003422314</x:v>
      </x:c>
      <x:c r="G4317" s="26" t="b">
        <x:v>1</x:v>
      </x:c>
      <x:c r="H4317" s="16" t="n">
        <x:v>0.09</x:v>
      </x:c>
      <x:c r="I4317" s="16" t="n">
        <x:v>0.9750000000000001</x:v>
      </x:c>
      <x:c r="J4317" s="16" t="n">
        <x:v>2.55</x:v>
      </x:c>
      <x:c r="K4317" s="11" t="n">
        <x:f>CHOOSE('假设'!$B$3,H4317,I4317,J4317)</x:f>
        <x:v>0.9750000000000001</x:v>
      </x:c>
      <x:c r="L4317" s="11" t="n">
        <x:f>K4317*'管线假设'!E931*'管线假设'!F931*'管线假设'!G931*IF(E4317="USD",'管线假设'!I931,1)-AM4317</x:f>
        <x:v>0.036416250000000004</x:v>
      </x:c>
      <x:c r="M4317" s="11" t="n">
        <x:f>'管线假设'!H931</x:f>
        <x:v>0.14</x:v>
      </x:c>
      <x:c r="N4317" s="11" t="n">
        <x:f>IF(G4317,L4317*AN4317/(1+M4317)^F4317,0)</x:f>
        <x:v>0.018353672040604712</x:v>
      </x:c>
      <x:c r="AJ4317" s="42" t="n">
        <x:v>0</x:v>
      </x:c>
      <x:c r="AK4317" s="42" t="n">
        <x:v>0</x:v>
      </x:c>
      <x:c r="AL4317" s="42" t="n">
        <x:v>0</x:v>
      </x:c>
      <x:c r="AM4317" t="n">
        <x:f>CHOOSE('假设'!$B$3,AJ4317,AK4317,AL4317)</x:f>
        <x:v>0</x:v>
      </x:c>
      <x:c r="AN4317" t="n">
        <x:v>1</x:v>
      </x:c>
    </x:row>
    <x:row r="4318" ht="23" customHeight="1">
      <x:c r="A4318" s="11" t="str">
        <x:v>02162.HK</x:v>
      </x:c>
      <x:c r="B4318" s="11" t="str">
        <x:v>一年</x:v>
      </x:c>
      <x:c r="C4318" s="11" t="str">
        <x:v>CM326_China</x:v>
      </x:c>
      <x:c r="D4318" s="11" t="str">
        <x:v>2033-12-31</x:v>
      </x:c>
      <x:c r="E4318" s="11" t="str">
        <x:v>CNY</x:v>
      </x:c>
      <x:c r="F4318" s="11" t="n">
        <x:v>6.228610540725531</x:v>
      </x:c>
      <x:c r="G4318" s="26" t="b">
        <x:v>1</x:v>
      </x:c>
      <x:c r="H4318" s="16" t="n">
        <x:v>0.19</x:v>
      </x:c>
      <x:c r="I4318" s="16" t="n">
        <x:v>1.275</x:v>
      </x:c>
      <x:c r="J4318" s="16" t="n">
        <x:v>3</x:v>
      </x:c>
      <x:c r="K4318" s="11" t="n">
        <x:f>CHOOSE('假设'!$B$3,H4318,I4318,J4318)</x:f>
        <x:v>1.275</x:v>
      </x:c>
      <x:c r="L4318" s="11" t="n">
        <x:f>K4318*'管线假设'!E931*'管线假设'!F931*'管线假设'!G931*IF(E4318="USD",'管线假设'!I931,1)-AM4318</x:f>
        <x:v>0.047621250000000004</x:v>
      </x:c>
      <x:c r="M4318" s="11" t="n">
        <x:f>'管线假设'!H931</x:f>
        <x:v>0.14</x:v>
      </x:c>
      <x:c r="N4318" s="11" t="n">
        <x:f>IF(G4318,L4318*AN4318/(1+M4318)^F4318,0)</x:f>
        <x:v>0.021055358195293562</x:v>
      </x:c>
      <x:c r="AJ4318" s="42" t="n">
        <x:v>0</x:v>
      </x:c>
      <x:c r="AK4318" s="42" t="n">
        <x:v>0</x:v>
      </x:c>
      <x:c r="AL4318" s="42" t="n">
        <x:v>0</x:v>
      </x:c>
      <x:c r="AM4318" t="n">
        <x:f>CHOOSE('假设'!$B$3,AJ4318,AK4318,AL4318)</x:f>
        <x:v>0</x:v>
      </x:c>
      <x:c r="AN4318" t="n">
        <x:v>1</x:v>
      </x:c>
    </x:row>
    <x:row r="4319" ht="23" customHeight="1">
      <x:c r="A4319" s="11" t="str">
        <x:v>02162.HK</x:v>
      </x:c>
      <x:c r="B4319" s="11" t="str">
        <x:v>一年</x:v>
      </x:c>
      <x:c r="C4319" s="11" t="str">
        <x:v>CM326_China</x:v>
      </x:c>
      <x:c r="D4319" s="11" t="str">
        <x:v>2034-12-31</x:v>
      </x:c>
      <x:c r="E4319" s="11" t="str">
        <x:v>CNY</x:v>
      </x:c>
      <x:c r="F4319" s="11" t="n">
        <x:v>7.227926078028747</x:v>
      </x:c>
      <x:c r="G4319" s="26" t="b">
        <x:v>1</x:v>
      </x:c>
      <x:c r="H4319" s="16" t="n">
        <x:v>0.325</x:v>
      </x:c>
      <x:c r="I4319" s="16" t="n">
        <x:v>1.5</x:v>
      </x:c>
      <x:c r="J4319" s="16" t="n">
        <x:v>3</x:v>
      </x:c>
      <x:c r="K4319" s="11" t="n">
        <x:f>CHOOSE('假设'!$B$3,H4319,I4319,J4319)</x:f>
        <x:v>1.5</x:v>
      </x:c>
      <x:c r="L4319" s="11" t="n">
        <x:f>K4319*'管线假设'!E931*'管线假设'!F931*'管线假设'!G931*IF(E4319="USD",'管线假设'!I931,1)-AM4319</x:f>
        <x:v>0.056025000000000005</x:v>
      </x:c>
      <x:c r="M4319" s="11" t="n">
        <x:f>'管线假设'!H931</x:f>
        <x:v>0.14</x:v>
      </x:c>
      <x:c r="N4319" s="11" t="n">
        <x:f>IF(G4319,L4319*AN4319/(1+M4319)^F4319,0)</x:f>
        <x:v>0.021730904652042488</x:v>
      </x:c>
      <x:c r="AJ4319" s="42" t="n">
        <x:v>0</x:v>
      </x:c>
      <x:c r="AK4319" s="42" t="n">
        <x:v>0</x:v>
      </x:c>
      <x:c r="AL4319" s="42" t="n">
        <x:v>0</x:v>
      </x:c>
      <x:c r="AM4319" t="n">
        <x:f>CHOOSE('假设'!$B$3,AJ4319,AK4319,AL4319)</x:f>
        <x:v>0</x:v>
      </x:c>
      <x:c r="AN4319" t="n">
        <x:v>1</x:v>
      </x:c>
    </x:row>
    <x:row r="4320" ht="23" customHeight="1">
      <x:c r="A4320" s="11" t="str">
        <x:v>02162.HK</x:v>
      </x:c>
      <x:c r="B4320" s="11" t="str">
        <x:v>一年</x:v>
      </x:c>
      <x:c r="C4320" s="11" t="str">
        <x:v>CM326_China</x:v>
      </x:c>
      <x:c r="D4320" s="11" t="str">
        <x:v>2035-12-31</x:v>
      </x:c>
      <x:c r="E4320" s="11" t="str">
        <x:v>CNY</x:v>
      </x:c>
      <x:c r="F4320" s="11" t="n">
        <x:v>8.227241615331964</x:v>
      </x:c>
      <x:c r="G4320" s="26" t="b">
        <x:v>1</x:v>
      </x:c>
      <x:c r="H4320" s="16" t="n">
        <x:v>0.425</x:v>
      </x:c>
      <x:c r="I4320" s="16" t="n">
        <x:v>1.5</x:v>
      </x:c>
      <x:c r="J4320" s="16" t="n">
        <x:v>2.8499999999999996</x:v>
      </x:c>
      <x:c r="K4320" s="11" t="n">
        <x:f>CHOOSE('假设'!$B$3,H4320,I4320,J4320)</x:f>
        <x:v>1.5</x:v>
      </x:c>
      <x:c r="L4320" s="11" t="n">
        <x:f>K4320*'管线假设'!E931*'管线假设'!F931*'管线假设'!G931*IF(E4320="USD",'管线假设'!I931,1)-AM4320</x:f>
        <x:v>0.056025000000000005</x:v>
      </x:c>
      <x:c r="M4320" s="11" t="n">
        <x:f>'管线假设'!H931</x:f>
        <x:v>0.14</x:v>
      </x:c>
      <x:c r="N4320" s="11" t="n">
        <x:f>IF(G4320,L4320*AN4320/(1+M4320)^F4320,0)</x:f>
        <x:v>0.019063906713135886</x:v>
      </x:c>
      <x:c r="AJ4320" s="42" t="n">
        <x:v>0</x:v>
      </x:c>
      <x:c r="AK4320" s="42" t="n">
        <x:v>0</x:v>
      </x:c>
      <x:c r="AL4320" s="42" t="n">
        <x:v>0</x:v>
      </x:c>
      <x:c r="AM4320" t="n">
        <x:f>CHOOSE('假设'!$B$3,AJ4320,AK4320,AL4320)</x:f>
        <x:v>0</x:v>
      </x:c>
      <x:c r="AN4320" t="n">
        <x:v>1</x:v>
      </x:c>
    </x:row>
    <x:row r="4321" ht="23" customHeight="1">
      <x:c r="A4321" s="11" t="str">
        <x:v>02162.HK</x:v>
      </x:c>
      <x:c r="B4321" s="11" t="str">
        <x:v>一年</x:v>
      </x:c>
      <x:c r="C4321" s="11" t="str">
        <x:v>CM326_China</x:v>
      </x:c>
      <x:c r="D4321" s="11" t="str">
        <x:v>2036-12-31</x:v>
      </x:c>
      <x:c r="E4321" s="11" t="str">
        <x:v>CNY</x:v>
      </x:c>
      <x:c r="F4321" s="11" t="n">
        <x:v>9.229295003422314</x:v>
      </x:c>
      <x:c r="G4321" s="26" t="b">
        <x:v>1</x:v>
      </x:c>
      <x:c r="H4321" s="16" t="n">
        <x:v>0.5</x:v>
      </x:c>
      <x:c r="I4321" s="16" t="n">
        <x:v>1.4249999999999998</x:v>
      </x:c>
      <x:c r="J4321" s="16" t="n">
        <x:v>2.7</x:v>
      </x:c>
      <x:c r="K4321" s="11" t="n">
        <x:f>CHOOSE('假设'!$B$3,H4321,I4321,J4321)</x:f>
        <x:v>1.4249999999999998</x:v>
      </x:c>
      <x:c r="L4321" s="11" t="n">
        <x:f>K4321*'管线假设'!E931*'管线假设'!F931*'管线假设'!G931*IF(E4321="USD",'管线假设'!I931,1)-AM4321</x:f>
        <x:v>0.05322375</x:v>
      </x:c>
      <x:c r="M4321" s="11" t="n">
        <x:f>'管线假设'!H931</x:f>
        <x:v>0.14</x:v>
      </x:c>
      <x:c r="N4321" s="11" t="n">
        <x:f>IF(G4321,L4321*AN4321/(1+M4321)^F4321,0)</x:f>
        <x:v>0.015882315186053216</x:v>
      </x:c>
      <x:c r="AJ4321" s="42" t="n">
        <x:v>0</x:v>
      </x:c>
      <x:c r="AK4321" s="42" t="n">
        <x:v>0</x:v>
      </x:c>
      <x:c r="AL4321" s="42" t="n">
        <x:v>0</x:v>
      </x:c>
      <x:c r="AM4321" t="n">
        <x:f>CHOOSE('假设'!$B$3,AJ4321,AK4321,AL4321)</x:f>
        <x:v>0</x:v>
      </x:c>
      <x:c r="AN4321" t="n">
        <x:v>1</x:v>
      </x:c>
    </x:row>
    <x:row r="4322" ht="23" customHeight="1">
      <x:c r="A4322" s="11" t="str">
        <x:v>02162.HK</x:v>
      </x:c>
      <x:c r="B4322" s="11" t="str">
        <x:v>一年</x:v>
      </x:c>
      <x:c r="C4322" s="11" t="str">
        <x:v>CM326_China</x:v>
      </x:c>
      <x:c r="D4322" s="11" t="str">
        <x:v>2037-12-31</x:v>
      </x:c>
      <x:c r="E4322" s="11" t="str">
        <x:v>CNY</x:v>
      </x:c>
      <x:c r="F4322" s="11" t="n">
        <x:v>10.22861054072553</x:v>
      </x:c>
      <x:c r="G4322" s="26" t="b">
        <x:v>1</x:v>
      </x:c>
      <x:c r="H4322" s="16" t="n">
        <x:v>0.5</x:v>
      </x:c>
      <x:c r="I4322" s="16" t="n">
        <x:v>1.35</x:v>
      </x:c>
      <x:c r="J4322" s="16" t="n">
        <x:v>2.4000000000000004</x:v>
      </x:c>
      <x:c r="K4322" s="11" t="n">
        <x:f>CHOOSE('假设'!$B$3,H4322,I4322,J4322)</x:f>
        <x:v>1.35</x:v>
      </x:c>
      <x:c r="L4322" s="11" t="n">
        <x:f>K4322*'管线假设'!E931*'管线假设'!F931*'管线假设'!G931*IF(E4322="USD",'管线假设'!I931,1)-AM4322</x:f>
        <x:v>0.05042250000000001</x:v>
      </x:c>
      <x:c r="M4322" s="11" t="n">
        <x:f>'管线假设'!H931</x:f>
        <x:v>0.14</x:v>
      </x:c>
      <x:c r="N4322" s="11" t="n">
        <x:f>IF(G4322,L4322*AN4322/(1+M4322)^F4322,0)</x:f>
        <x:v>0.0131997836333627</x:v>
      </x:c>
      <x:c r="AJ4322" s="42" t="n">
        <x:v>0</x:v>
      </x:c>
      <x:c r="AK4322" s="42" t="n">
        <x:v>0</x:v>
      </x:c>
      <x:c r="AL4322" s="42" t="n">
        <x:v>0</x:v>
      </x:c>
      <x:c r="AM4322" t="n">
        <x:f>CHOOSE('假设'!$B$3,AJ4322,AK4322,AL4322)</x:f>
        <x:v>0</x:v>
      </x:c>
      <x:c r="AN4322" t="n">
        <x:v>1</x:v>
      </x:c>
    </x:row>
    <x:row r="4323" ht="23" customHeight="1">
      <x:c r="A4323" s="11" t="str">
        <x:v>02162.HK</x:v>
      </x:c>
      <x:c r="B4323" s="11" t="str">
        <x:v>一年</x:v>
      </x:c>
      <x:c r="C4323" s="11" t="str">
        <x:v>CM326_China</x:v>
      </x:c>
      <x:c r="D4323" s="11" t="str">
        <x:v>2038-12-31</x:v>
      </x:c>
      <x:c r="E4323" s="11" t="str">
        <x:v>CNY</x:v>
      </x:c>
      <x:c r="F4323" s="11" t="n">
        <x:v>11.227926078028748</x:v>
      </x:c>
      <x:c r="G4323" s="26" t="b">
        <x:v>1</x:v>
      </x:c>
      <x:c r="H4323" s="16" t="n">
        <x:v>0.475</x:v>
      </x:c>
      <x:c r="I4323" s="16" t="n">
        <x:v>1.2000000000000002</x:v>
      </x:c>
      <x:c r="J4323" s="16" t="n">
        <x:v>1.9500000000000002</x:v>
      </x:c>
      <x:c r="K4323" s="11" t="n">
        <x:f>CHOOSE('假设'!$B$3,H4323,I4323,J4323)</x:f>
        <x:v>1.2000000000000002</x:v>
      </x:c>
      <x:c r="L4323" s="11" t="n">
        <x:f>K4323*'管线假设'!E931*'管线假设'!F931*'管线假设'!G931*IF(E4323="USD",'管线假设'!I931,1)-AM4323</x:f>
        <x:v>0.04482000000000001</x:v>
      </x:c>
      <x:c r="M4323" s="11" t="n">
        <x:f>'管线假设'!H931</x:f>
        <x:v>0.14</x:v>
      </x:c>
      <x:c r="N4323" s="11" t="n">
        <x:f>IF(G4323,L4323*AN4323/(1+M4323)^F4323,0)</x:f>
        <x:v>0.010293152043109167</x:v>
      </x:c>
      <x:c r="AJ4323" s="42" t="n">
        <x:v>0</x:v>
      </x:c>
      <x:c r="AK4323" s="42" t="n">
        <x:v>0</x:v>
      </x:c>
      <x:c r="AL4323" s="42" t="n">
        <x:v>0</x:v>
      </x:c>
      <x:c r="AM4323" t="n">
        <x:f>CHOOSE('假设'!$B$3,AJ4323,AK4323,AL4323)</x:f>
        <x:v>0</x:v>
      </x:c>
      <x:c r="AN4323" t="n">
        <x:v>1</x:v>
      </x:c>
    </x:row>
    <x:row r="4324" ht="23" customHeight="1">
      <x:c r="A4324" s="11" t="str">
        <x:v>02162.HK</x:v>
      </x:c>
      <x:c r="B4324" s="11" t="str">
        <x:v>一年</x:v>
      </x:c>
      <x:c r="C4324" s="11" t="str">
        <x:v>CM326_China</x:v>
      </x:c>
      <x:c r="D4324" s="11" t="str">
        <x:v>2039-12-31</x:v>
      </x:c>
      <x:c r="E4324" s="11" t="str">
        <x:v>CNY</x:v>
      </x:c>
      <x:c r="F4324" s="11" t="n">
        <x:v>12.227241615331964</x:v>
      </x:c>
      <x:c r="G4324" s="26" t="b">
        <x:v>1</x:v>
      </x:c>
      <x:c r="H4324" s="16" t="n">
        <x:v>0.45</x:v>
      </x:c>
      <x:c r="I4324" s="16" t="n">
        <x:v>0.9750000000000001</x:v>
      </x:c>
      <x:c r="J4324" s="16" t="n">
        <x:v>1.5</x:v>
      </x:c>
      <x:c r="K4324" s="11" t="n">
        <x:f>CHOOSE('假设'!$B$3,H4324,I4324,J4324)</x:f>
        <x:v>0.9750000000000001</x:v>
      </x:c>
      <x:c r="L4324" s="11" t="n">
        <x:f>K4324*'管线假设'!E931*'管线假设'!F931*'管线假设'!G931*IF(E4324="USD",'管线假设'!I931,1)-AM4324</x:f>
        <x:v>0.036416250000000004</x:v>
      </x:c>
      <x:c r="M4324" s="11" t="n">
        <x:f>'管线假设'!H931</x:f>
        <x:v>0.14</x:v>
      </x:c>
      <x:c r="N4324" s="11" t="n">
        <x:f>IF(G4324,L4324*AN4324/(1+M4324)^F4324,0)</x:f>
        <x:v>0.007336786063407394</x:v>
      </x:c>
      <x:c r="AJ4324" s="42" t="n">
        <x:v>0</x:v>
      </x:c>
      <x:c r="AK4324" s="42" t="n">
        <x:v>0</x:v>
      </x:c>
      <x:c r="AL4324" s="42" t="n">
        <x:v>0</x:v>
      </x:c>
      <x:c r="AM4324" t="n">
        <x:f>CHOOSE('假设'!$B$3,AJ4324,AK4324,AL4324)</x:f>
        <x:v>0</x:v>
      </x:c>
      <x:c r="AN4324" t="n">
        <x:v>1</x:v>
      </x:c>
    </x:row>
    <x:row r="4325" ht="23" customHeight="1">
      <x:c r="A4325" s="11" t="str">
        <x:v>02162.HK</x:v>
      </x:c>
      <x:c r="B4325" s="11" t="str">
        <x:v>一年</x:v>
      </x:c>
      <x:c r="C4325" s="11" t="str">
        <x:v>CM326_China</x:v>
      </x:c>
      <x:c r="D4325" s="11" t="str">
        <x:v>2040-12-31</x:v>
      </x:c>
      <x:c r="E4325" s="11" t="str">
        <x:v>CNY</x:v>
      </x:c>
      <x:c r="F4325" s="11" t="n">
        <x:v>13.229295003422314</x:v>
      </x:c>
      <x:c r="G4325" s="26" t="b">
        <x:v>1</x:v>
      </x:c>
      <x:c r="H4325" s="16" t="n">
        <x:v>0.4</x:v>
      </x:c>
      <x:c r="I4325" s="16" t="n">
        <x:v>0.75</x:v>
      </x:c>
      <x:c r="J4325" s="16" t="n">
        <x:v>1.0499999999999998</x:v>
      </x:c>
      <x:c r="K4325" s="11" t="n">
        <x:f>CHOOSE('假设'!$B$3,H4325,I4325,J4325)</x:f>
        <x:v>0.75</x:v>
      </x:c>
      <x:c r="L4325" s="11" t="n">
        <x:f>K4325*'管线假设'!E931*'管线假设'!F931*'管线假设'!G931*IF(E4325="USD",'管线假设'!I931,1)-AM4325</x:f>
        <x:v>0.028012500000000003</x:v>
      </x:c>
      <x:c r="M4325" s="11" t="n">
        <x:f>'管线假设'!H931</x:f>
        <x:v>0.14</x:v>
      </x:c>
      <x:c r="N4325" s="11" t="n">
        <x:f>IF(G4325,L4325*AN4325/(1+M4325)^F4325,0)</x:f>
        <x:v>0.0049492660950732435</x:v>
      </x:c>
      <x:c r="AJ4325" s="42" t="n">
        <x:v>0</x:v>
      </x:c>
      <x:c r="AK4325" s="42" t="n">
        <x:v>0</x:v>
      </x:c>
      <x:c r="AL4325" s="42" t="n">
        <x:v>0</x:v>
      </x:c>
      <x:c r="AM4325" t="n">
        <x:f>CHOOSE('假设'!$B$3,AJ4325,AK4325,AL4325)</x:f>
        <x:v>0</x:v>
      </x:c>
      <x:c r="AN4325" t="n">
        <x:v>1</x:v>
      </x:c>
    </x:row>
    <x:row r="4326" ht="23" customHeight="1">
      <x:c r="A4326" s="11" t="str">
        <x:v>02162.HK</x:v>
      </x:c>
      <x:c r="B4326" s="11" t="str">
        <x:v>一年</x:v>
      </x:c>
      <x:c r="C4326" s="11" t="str">
        <x:v>CM326_China</x:v>
      </x:c>
      <x:c r="D4326" s="11" t="str">
        <x:v>2041-12-31</x:v>
      </x:c>
      <x:c r="E4326" s="11" t="str">
        <x:v>CNY</x:v>
      </x:c>
      <x:c r="F4326" s="11" t="n">
        <x:v>14.22861054072553</x:v>
      </x:c>
      <x:c r="G4326" s="26" t="b">
        <x:v>1</x:v>
      </x:c>
      <x:c r="H4326" s="16" t="n">
        <x:v>0.325</x:v>
      </x:c>
      <x:c r="I4326" s="16" t="n">
        <x:v>0.5249999999999999</x:v>
      </x:c>
      <x:c r="J4326" s="16" t="n">
        <x:v>0.6000000000000001</x:v>
      </x:c>
      <x:c r="K4326" s="11" t="n">
        <x:f>CHOOSE('假设'!$B$3,H4326,I4326,J4326)</x:f>
        <x:v>0.5249999999999999</x:v>
      </x:c>
      <x:c r="L4326" s="11" t="n">
        <x:f>K4326*'管线假设'!E931*'管线假设'!F931*'管线假设'!G931*IF(E4326="USD",'管线假设'!I931,1)-AM4326</x:f>
        <x:v>0.019608749999999998</x:v>
      </x:c>
      <x:c r="M4326" s="11" t="n">
        <x:f>'管线假设'!H931</x:f>
        <x:v>0.14</x:v>
      </x:c>
      <x:c r="N4326" s="11" t="n">
        <x:f>IF(G4326,L4326*AN4326/(1+M4326)^F4326,0)</x:f>
        <x:v>0.003039295604670839</x:v>
      </x:c>
      <x:c r="AJ4326" s="42" t="n">
        <x:v>0</x:v>
      </x:c>
      <x:c r="AK4326" s="42" t="n">
        <x:v>0</x:v>
      </x:c>
      <x:c r="AL4326" s="42" t="n">
        <x:v>0</x:v>
      </x:c>
      <x:c r="AM4326" t="n">
        <x:f>CHOOSE('假设'!$B$3,AJ4326,AK4326,AL4326)</x:f>
        <x:v>0</x:v>
      </x:c>
      <x:c r="AN4326" t="n">
        <x:v>1</x:v>
      </x:c>
    </x:row>
    <x:row r="4327" ht="23" customHeight="1">
      <x:c r="A4327" s="11" t="str">
        <x:v>02162.HK</x:v>
      </x:c>
      <x:c r="B4327" s="11" t="str">
        <x:v>一年</x:v>
      </x:c>
      <x:c r="C4327" s="11" t="str">
        <x:v>CM326_China</x:v>
      </x:c>
      <x:c r="D4327" s="11" t="str">
        <x:v>2042-12-31</x:v>
      </x:c>
      <x:c r="E4327" s="11" t="str">
        <x:v>CNY</x:v>
      </x:c>
      <x:c r="F4327" s="11" t="n">
        <x:v>15.227926078028748</x:v>
      </x:c>
      <x:c r="G4327" s="26" t="b">
        <x:v>1</x:v>
      </x:c>
      <x:c r="H4327" s="16" t="n">
        <x:v>0.25</x:v>
      </x:c>
      <x:c r="I4327" s="16" t="n">
        <x:v>0.30000000000000004</x:v>
      </x:c>
      <x:c r="J4327" s="16" t="n">
        <x:v>0.36</x:v>
      </x:c>
      <x:c r="K4327" s="11" t="n">
        <x:f>CHOOSE('假设'!$B$3,H4327,I4327,J4327)</x:f>
        <x:v>0.30000000000000004</x:v>
      </x:c>
      <x:c r="L4327" s="11" t="n">
        <x:f>K4327*'管线假设'!E931*'管线假设'!F931*'管线假设'!G931*IF(E4327="USD",'管线假设'!I931,1)-AM4327</x:f>
        <x:v>0.011205000000000003</x:v>
      </x:c>
      <x:c r="M4327" s="11" t="n">
        <x:f>'管线假设'!H931</x:f>
        <x:v>0.14</x:v>
      </x:c>
      <x:c r="N4327" s="11" t="n">
        <x:f>IF(G4327,L4327*AN4327/(1+M4327)^F4327,0)</x:f>
        <x:v>0.001523593079174402</x:v>
      </x:c>
      <x:c r="AJ4327" s="42" t="n">
        <x:v>0</x:v>
      </x:c>
      <x:c r="AK4327" s="42" t="n">
        <x:v>0</x:v>
      </x:c>
      <x:c r="AL4327" s="42" t="n">
        <x:v>0</x:v>
      </x:c>
      <x:c r="AM4327" t="n">
        <x:f>CHOOSE('假设'!$B$3,AJ4327,AK4327,AL4327)</x:f>
        <x:v>0</x:v>
      </x:c>
      <x:c r="AN4327" t="n">
        <x:v>1</x:v>
      </x:c>
    </x:row>
    <x:row r="4328" ht="23" customHeight="1">
      <x:c r="A4328" s="11" t="str">
        <x:v>02162.HK</x:v>
      </x:c>
      <x:c r="B4328" s="11" t="str">
        <x:v>一年</x:v>
      </x:c>
      <x:c r="C4328" s="11" t="str">
        <x:v>CM326_China</x:v>
      </x:c>
      <x:c r="D4328" s="11" t="str">
        <x:v>2043-12-31</x:v>
      </x:c>
      <x:c r="E4328" s="11" t="str">
        <x:v>CNY</x:v>
      </x:c>
      <x:c r="F4328" s="11" t="n">
        <x:v>16.227241615331966</x:v>
      </x:c>
      <x:c r="G4328" s="26" t="b">
        <x:v>1</x:v>
      </x:c>
      <x:c r="H4328" s="16" t="n">
        <x:v>0.175</x:v>
      </x:c>
      <x:c r="I4328" s="16" t="n">
        <x:v>0.18</x:v>
      </x:c>
      <x:c r="J4328" s="16" t="n">
        <x:v>0.21000000000000002</x:v>
      </x:c>
      <x:c r="K4328" s="11" t="n">
        <x:f>CHOOSE('假设'!$B$3,H4328,I4328,J4328)</x:f>
        <x:v>0.18</x:v>
      </x:c>
      <x:c r="L4328" s="11" t="n">
        <x:f>K4328*'管线假设'!E931*'管线假设'!F931*'管线假设'!G931*IF(E4328="USD",'管线假设'!I931,1)-AM4328</x:f>
        <x:v>0.006723000000000001</x:v>
      </x:c>
      <x:c r="M4328" s="11" t="n">
        <x:f>'管线假设'!H931</x:f>
        <x:v>0.14</x:v>
      </x:c>
      <x:c r="N4328" s="11" t="n">
        <x:f>IF(G4328,L4328*AN4328/(1+M4328)^F4328,0)</x:f>
        <x:v>0.000801963014294398</x:v>
      </x:c>
      <x:c r="AJ4328" s="42" t="n">
        <x:v>0</x:v>
      </x:c>
      <x:c r="AK4328" s="42" t="n">
        <x:v>0</x:v>
      </x:c>
      <x:c r="AL4328" s="42" t="n">
        <x:v>0</x:v>
      </x:c>
      <x:c r="AM4328" t="n">
        <x:f>CHOOSE('假设'!$B$3,AJ4328,AK4328,AL4328)</x:f>
        <x:v>0</x:v>
      </x:c>
      <x:c r="AN4328" t="n">
        <x:v>1</x:v>
      </x:c>
    </x:row>
    <x:row r="4329" ht="23" customHeight="1">
      <x:c r="A4329" s="11" t="str">
        <x:v>02162.HK</x:v>
      </x:c>
      <x:c r="B4329" s="11" t="str">
        <x:v>一年</x:v>
      </x:c>
      <x:c r="C4329" s="11" t="str">
        <x:v>CM326_China</x:v>
      </x:c>
      <x:c r="D4329" s="11" t="str">
        <x:v>2044-12-31</x:v>
      </x:c>
      <x:c r="E4329" s="11" t="str">
        <x:v>CNY</x:v>
      </x:c>
      <x:c r="F4329" s="11" t="n">
        <x:v>17.229295003422312</x:v>
      </x:c>
      <x:c r="G4329" s="26" t="b">
        <x:v>1</x:v>
      </x:c>
      <x:c r="H4329" s="16" t="n">
        <x:v>0.1</x:v>
      </x:c>
      <x:c r="I4329" s="16" t="n">
        <x:v>0.10500000000000001</x:v>
      </x:c>
      <x:c r="J4329" s="16" t="n">
        <x:v>0.09</x:v>
      </x:c>
      <x:c r="K4329" s="11" t="n">
        <x:f>CHOOSE('假设'!$B$3,H4329,I4329,J4329)</x:f>
        <x:v>0.10500000000000001</x:v>
      </x:c>
      <x:c r="L4329" s="11" t="n">
        <x:f>K4329*'管线假设'!E931*'管线假设'!F931*'管线假设'!G931*IF(E4329="USD",'管线假设'!I931,1)-AM4329</x:f>
        <x:v>0.003921750000000001</x:v>
      </x:c>
      <x:c r="M4329" s="11" t="n">
        <x:f>'管线假设'!H931</x:f>
        <x:v>0.14</x:v>
      </x:c>
      <x:c r="N4329" s="11" t="n">
        <x:f>IF(G4329,L4329*AN4329/(1+M4329)^F4329,0)</x:f>
        <x:v>0.00041025079792897774</x:v>
      </x:c>
      <x:c r="AJ4329" s="42" t="n">
        <x:v>0</x:v>
      </x:c>
      <x:c r="AK4329" s="42" t="n">
        <x:v>0</x:v>
      </x:c>
      <x:c r="AL4329" s="42" t="n">
        <x:v>0</x:v>
      </x:c>
      <x:c r="AM4329" t="n">
        <x:f>CHOOSE('假设'!$B$3,AJ4329,AK4329,AL4329)</x:f>
        <x:v>0</x:v>
      </x:c>
      <x:c r="AN4329" t="n">
        <x:v>1</x:v>
      </x:c>
    </x:row>
    <x:row r="4330" ht="23" customHeight="1">
      <x:c r="A4330" s="11" t="str">
        <x:v>02162.HK</x:v>
      </x:c>
      <x:c r="B4330" s="11" t="str">
        <x:v>一年</x:v>
      </x:c>
      <x:c r="C4330" s="11" t="str">
        <x:v>centralCost</x:v>
      </x:c>
      <x:c r="D4330" s="11" t="str">
        <x:v>2026-12-31</x:v>
      </x:c>
      <x:c r="E4330" s="11" t="str">
        <x:v>CNY</x:v>
      </x:c>
      <x:c r="F4330" s="11" t="n">
        <x:v>-0.7720739219712526</x:v>
      </x:c>
      <x:c r="G4330" s="26" t="b">
        <x:v>0</x:v>
      </x:c>
      <x:c r="H4330" s="16" t="n">
        <x:v>0</x:v>
      </x:c>
      <x:c r="I4330" s="16" t="n">
        <x:v>0</x:v>
      </x:c>
      <x:c r="J4330" s="16" t="n">
        <x:v>0</x:v>
      </x:c>
      <x:c r="K4330" s="11" t="n">
        <x:f>CHOOSE('假设'!$B$3,H4330,I4330,J4330)</x:f>
        <x:v>0</x:v>
      </x:c>
      <x:c r="L4330" s="11" t="n">
        <x:f>K4330*'管线假设'!E935*'管线假设'!F935*'管线假设'!G935*IF(E4330="USD",'管线假设'!I935,1)-AM4330</x:f>
        <x:v>-0.16</x:v>
      </x:c>
      <x:c r="M4330" s="11" t="n">
        <x:f>'管线假设'!H935</x:f>
        <x:v>0.14</x:v>
      </x:c>
      <x:c r="N4330" s="11" t="n">
        <x:f>IF(G4330,L4330*AN4330/(1+M4330)^F4330,0)</x:f>
        <x:v>0</x:v>
      </x:c>
      <x:c r="AJ4330" s="42" t="n">
        <x:v>0.13</x:v>
      </x:c>
      <x:c r="AK4330" s="42" t="n">
        <x:v>0.16</x:v>
      </x:c>
      <x:c r="AL4330" s="42" t="n">
        <x:v>0.2</x:v>
      </x:c>
      <x:c r="AM4330" t="n">
        <x:f>CHOOSE('假设'!$B$3,AJ4330,AK4330,AL4330)</x:f>
        <x:v>0.16</x:v>
      </x:c>
      <x:c r="AN4330" t="n">
        <x:v>0</x:v>
      </x:c>
    </x:row>
    <x:row r="4331" ht="23" customHeight="1">
      <x:c r="A4331" s="11" t="str">
        <x:v>02162.HK</x:v>
      </x:c>
      <x:c r="B4331" s="11" t="str">
        <x:v>一年</x:v>
      </x:c>
      <x:c r="C4331" s="11" t="str">
        <x:v>centralCost</x:v>
      </x:c>
      <x:c r="D4331" s="11" t="str">
        <x:v>2027-12-31</x:v>
      </x:c>
      <x:c r="E4331" s="11" t="str">
        <x:v>CNY</x:v>
      </x:c>
      <x:c r="F4331" s="11" t="n">
        <x:v>0.2272416153319644</x:v>
      </x:c>
      <x:c r="G4331" s="26" t="b">
        <x:v>1</x:v>
      </x:c>
      <x:c r="H4331" s="16" t="n">
        <x:v>0</x:v>
      </x:c>
      <x:c r="I4331" s="16" t="n">
        <x:v>0</x:v>
      </x:c>
      <x:c r="J4331" s="16" t="n">
        <x:v>0</x:v>
      </x:c>
      <x:c r="K4331" s="11" t="n">
        <x:f>CHOOSE('假设'!$B$3,H4331,I4331,J4331)</x:f>
        <x:v>0</x:v>
      </x:c>
      <x:c r="L4331" s="11" t="n">
        <x:f>K4331*'管线假设'!E935*'管线假设'!F935*'管线假设'!G935*IF(E4331="USD",'管线假设'!I935,1)-AM4331</x:f>
        <x:v>-0.1648</x:v>
      </x:c>
      <x:c r="M4331" s="11" t="n">
        <x:f>'管线假设'!H935</x:f>
        <x:v>0.14</x:v>
      </x:c>
      <x:c r="N4331" s="11" t="n">
        <x:f>IF(G4331,L4331*AN4331/(1+M4331)^F4331,0)</x:f>
        <x:v>-0.03647562698229785</x:v>
      </x:c>
      <x:c r="AJ4331" s="42" t="n">
        <x:v>0.13390000000000002</x:v>
      </x:c>
      <x:c r="AK4331" s="42" t="n">
        <x:v>0.1648</x:v>
      </x:c>
      <x:c r="AL4331" s="42" t="n">
        <x:v>0.20800000000000002</x:v>
      </x:c>
      <x:c r="AM4331" t="n">
        <x:f>CHOOSE('假设'!$B$3,AJ4331,AK4331,AL4331)</x:f>
        <x:v>0.1648</x:v>
      </x:c>
      <x:c r="AN4331" t="n">
        <x:v>0.22802197802197802</x:v>
      </x:c>
    </x:row>
    <x:row r="4332" ht="23" customHeight="1">
      <x:c r="A4332" s="11" t="str">
        <x:v>02162.HK</x:v>
      </x:c>
      <x:c r="B4332" s="11" t="str">
        <x:v>一年</x:v>
      </x:c>
      <x:c r="C4332" s="11" t="str">
        <x:v>centralCost</x:v>
      </x:c>
      <x:c r="D4332" s="11" t="str">
        <x:v>2028-12-31</x:v>
      </x:c>
      <x:c r="E4332" s="11" t="str">
        <x:v>CNY</x:v>
      </x:c>
      <x:c r="F4332" s="11" t="n">
        <x:v>1.2292950034223136</x:v>
      </x:c>
      <x:c r="G4332" s="26" t="b">
        <x:v>1</x:v>
      </x:c>
      <x:c r="H4332" s="16" t="n">
        <x:v>0</x:v>
      </x:c>
      <x:c r="I4332" s="16" t="n">
        <x:v>0</x:v>
      </x:c>
      <x:c r="J4332" s="16" t="n">
        <x:v>0</x:v>
      </x:c>
      <x:c r="K4332" s="11" t="n">
        <x:f>CHOOSE('假设'!$B$3,H4332,I4332,J4332)</x:f>
        <x:v>0</x:v>
      </x:c>
      <x:c r="L4332" s="11" t="n">
        <x:f>K4332*'管线假设'!E935*'管线假设'!F935*'管线假设'!G935*IF(E4332="USD",'管线假设'!I935,1)-AM4332</x:f>
        <x:v>-0.169744</x:v>
      </x:c>
      <x:c r="M4332" s="11" t="n">
        <x:f>'管线假设'!H935</x:f>
        <x:v>0.14</x:v>
      </x:c>
      <x:c r="N4332" s="11" t="n">
        <x:f>IF(G4332,L4332*AN4332/(1+M4332)^F4332,0)</x:f>
        <x:v>-0.14449126146506208</x:v>
      </x:c>
      <x:c r="AJ4332" s="42" t="n">
        <x:v>0.137917</x:v>
      </x:c>
      <x:c r="AK4332" s="42" t="n">
        <x:v>0.169744</x:v>
      </x:c>
      <x:c r="AL4332" s="42" t="n">
        <x:v>0.21632000000000004</x:v>
      </x:c>
      <x:c r="AM4332" t="n">
        <x:f>CHOOSE('假设'!$B$3,AJ4332,AK4332,AL4332)</x:f>
        <x:v>0.169744</x:v>
      </x:c>
      <x:c r="AN4332" t="n">
        <x:v>1</x:v>
      </x:c>
    </x:row>
    <x:row r="4333" ht="23" customHeight="1">
      <x:c r="A4333" s="11" t="str">
        <x:v>02162.HK</x:v>
      </x:c>
      <x:c r="B4333" s="11" t="str">
        <x:v>一年</x:v>
      </x:c>
      <x:c r="C4333" s="11" t="str">
        <x:v>centralCost</x:v>
      </x:c>
      <x:c r="D4333" s="11" t="str">
        <x:v>2029-12-31</x:v>
      </x:c>
      <x:c r="E4333" s="11" t="str">
        <x:v>CNY</x:v>
      </x:c>
      <x:c r="F4333" s="11" t="n">
        <x:v>2.2286105407255303</x:v>
      </x:c>
      <x:c r="G4333" s="26" t="b">
        <x:v>1</x:v>
      </x:c>
      <x:c r="H4333" s="16" t="n">
        <x:v>0</x:v>
      </x:c>
      <x:c r="I4333" s="16" t="n">
        <x:v>0</x:v>
      </x:c>
      <x:c r="J4333" s="16" t="n">
        <x:v>0</x:v>
      </x:c>
      <x:c r="K4333" s="11" t="n">
        <x:f>CHOOSE('假设'!$B$3,H4333,I4333,J4333)</x:f>
        <x:v>0</x:v>
      </x:c>
      <x:c r="L4333" s="11" t="n">
        <x:f>K4333*'管线假设'!E935*'管线假设'!F935*'管线假设'!G935*IF(E4333="USD",'管线假设'!I935,1)-AM4333</x:f>
        <x:v>-0.17483632000000002</x:v>
      </x:c>
      <x:c r="M4333" s="11" t="n">
        <x:f>'管线假设'!H935</x:f>
        <x:v>0.14</x:v>
      </x:c>
      <x:c r="N4333" s="11" t="n">
        <x:f>IF(G4333,L4333*AN4333/(1+M4333)^F4333,0)</x:f>
        <x:v>-0.13056083088789397</x:v>
      </x:c>
      <x:c r="AJ4333" s="42" t="n">
        <x:v>0.14205451</x:v>
      </x:c>
      <x:c r="AK4333" s="42" t="n">
        <x:v>0.17483632000000002</x:v>
      </x:c>
      <x:c r="AL4333" s="42" t="n">
        <x:v>0.22497280000000003</x:v>
      </x:c>
      <x:c r="AM4333" t="n">
        <x:f>CHOOSE('假设'!$B$3,AJ4333,AK4333,AL4333)</x:f>
        <x:v>0.17483632000000002</x:v>
      </x:c>
      <x:c r="AN4333" t="n">
        <x:v>1</x:v>
      </x:c>
    </x:row>
    <x:row r="4334" ht="23" customHeight="1">
      <x:c r="A4334" s="11" t="str">
        <x:v>02162.HK</x:v>
      </x:c>
      <x:c r="B4334" s="11" t="str">
        <x:v>一年</x:v>
      </x:c>
      <x:c r="C4334" s="11" t="str">
        <x:v>centralCost</x:v>
      </x:c>
      <x:c r="D4334" s="11" t="str">
        <x:v>2030-12-31</x:v>
      </x:c>
      <x:c r="E4334" s="11" t="str">
        <x:v>CNY</x:v>
      </x:c>
      <x:c r="F4334" s="11" t="n">
        <x:v>3.2279260780287475</x:v>
      </x:c>
      <x:c r="G4334" s="26" t="b">
        <x:v>1</x:v>
      </x:c>
      <x:c r="H4334" s="16" t="n">
        <x:v>0</x:v>
      </x:c>
      <x:c r="I4334" s="16" t="n">
        <x:v>0</x:v>
      </x:c>
      <x:c r="J4334" s="16" t="n">
        <x:v>0</x:v>
      </x:c>
      <x:c r="K4334" s="11" t="n">
        <x:f>CHOOSE('假设'!$B$3,H4334,I4334,J4334)</x:f>
        <x:v>0</x:v>
      </x:c>
      <x:c r="L4334" s="11" t="n">
        <x:f>K4334*'管线假设'!E935*'管线假设'!F935*'管线假设'!G935*IF(E4334="USD",'管线假设'!I935,1)-AM4334</x:f>
        <x:v>-0.18008140960000002</x:v>
      </x:c>
      <x:c r="M4334" s="11" t="n">
        <x:f>'管线假设'!H935</x:f>
        <x:v>0.14</x:v>
      </x:c>
      <x:c r="N4334" s="11" t="n">
        <x:f>IF(G4334,L4334*AN4334/(1+M4334)^F4334,0)</x:f>
        <x:v>-0.11797343582787526</x:v>
      </x:c>
      <x:c r="AJ4334" s="42" t="n">
        <x:v>0.14631614530000003</x:v>
      </x:c>
      <x:c r="AK4334" s="42" t="n">
        <x:v>0.18008140960000002</x:v>
      </x:c>
      <x:c r="AL4334" s="42" t="n">
        <x:v>0.23397171200000005</x:v>
      </x:c>
      <x:c r="AM4334" t="n">
        <x:f>CHOOSE('假设'!$B$3,AJ4334,AK4334,AL4334)</x:f>
        <x:v>0.18008140960000002</x:v>
      </x:c>
      <x:c r="AN4334" t="n">
        <x:v>1</x:v>
      </x:c>
    </x:row>
    <x:row r="4335" ht="23" customHeight="1">
      <x:c r="A4335" s="11" t="str">
        <x:v>02162.HK</x:v>
      </x:c>
      <x:c r="B4335" s="11" t="str">
        <x:v>一年</x:v>
      </x:c>
      <x:c r="C4335" s="11" t="str">
        <x:v>centralCost</x:v>
      </x:c>
      <x:c r="D4335" s="11" t="str">
        <x:v>2031-12-31</x:v>
      </x:c>
      <x:c r="E4335" s="11" t="str">
        <x:v>CNY</x:v>
      </x:c>
      <x:c r="F4335" s="11" t="n">
        <x:v>4.227241615331964</x:v>
      </x:c>
      <x:c r="G4335" s="26" t="b">
        <x:v>1</x:v>
      </x:c>
      <x:c r="H4335" s="16" t="n">
        <x:v>0</x:v>
      </x:c>
      <x:c r="I4335" s="16" t="n">
        <x:v>0</x:v>
      </x:c>
      <x:c r="J4335" s="16" t="n">
        <x:v>0</x:v>
      </x:c>
      <x:c r="K4335" s="11" t="n">
        <x:f>CHOOSE('假设'!$B$3,H4335,I4335,J4335)</x:f>
        <x:v>0</x:v>
      </x:c>
      <x:c r="L4335" s="11" t="n">
        <x:f>K4335*'管线假设'!E935*'管线假设'!F935*'管线假设'!G935*IF(E4335="USD",'管线假设'!I935,1)-AM4335</x:f>
        <x:v>-0.185483851888</x:v>
      </x:c>
      <x:c r="M4335" s="11" t="n">
        <x:f>'管线假设'!H935</x:f>
        <x:v>0.14</x:v>
      </x:c>
      <x:c r="N4335" s="11" t="n">
        <x:f>IF(G4335,L4335*AN4335/(1+M4335)^F4335,0)</x:f>
        <x:v>-0.10659959396998828</x:v>
      </x:c>
      <x:c r="AJ4335" s="42" t="n">
        <x:v>0.150705629659</x:v>
      </x:c>
      <x:c r="AK4335" s="42" t="n">
        <x:v>0.185483851888</x:v>
      </x:c>
      <x:c r="AL4335" s="42" t="n">
        <x:v>0.24333058048000003</x:v>
      </x:c>
      <x:c r="AM4335" t="n">
        <x:f>CHOOSE('假设'!$B$3,AJ4335,AK4335,AL4335)</x:f>
        <x:v>0.185483851888</x:v>
      </x:c>
      <x:c r="AN4335" t="n">
        <x:v>1</x:v>
      </x:c>
    </x:row>
    <x:row r="4336" ht="23" customHeight="1">
      <x:c r="A4336" s="11" t="str">
        <x:v>02162.HK</x:v>
      </x:c>
      <x:c r="B4336" s="11" t="str">
        <x:v>一年</x:v>
      </x:c>
      <x:c r="C4336" s="11" t="str">
        <x:v>centralCost</x:v>
      </x:c>
      <x:c r="D4336" s="11" t="str">
        <x:v>2032-12-31</x:v>
      </x:c>
      <x:c r="E4336" s="11" t="str">
        <x:v>CNY</x:v>
      </x:c>
      <x:c r="F4336" s="11" t="n">
        <x:v>5.229295003422314</x:v>
      </x:c>
      <x:c r="G4336" s="26" t="b">
        <x:v>1</x:v>
      </x:c>
      <x:c r="H4336" s="16" t="n">
        <x:v>0</x:v>
      </x:c>
      <x:c r="I4336" s="16" t="n">
        <x:v>0</x:v>
      </x:c>
      <x:c r="J4336" s="16" t="n">
        <x:v>0</x:v>
      </x:c>
      <x:c r="K4336" s="11" t="n">
        <x:f>CHOOSE('假设'!$B$3,H4336,I4336,J4336)</x:f>
        <x:v>0</x:v>
      </x:c>
      <x:c r="L4336" s="11" t="n">
        <x:f>K4336*'管线假设'!E935*'管线假设'!F935*'管线假设'!G935*IF(E4336="USD",'管线假设'!I935,1)-AM4336</x:f>
        <x:v>-0.19104836744464002</x:v>
      </x:c>
      <x:c r="M4336" s="11" t="n">
        <x:f>'管线假设'!H935</x:f>
        <x:v>0.14</x:v>
      </x:c>
      <x:c r="N4336" s="11" t="n">
        <x:f>IF(G4336,L4336*AN4336/(1+M4336)^F4336,0)</x:f>
        <x:v>-0.09628775834886526</x:v>
      </x:c>
      <x:c r="AJ4336" s="42" t="n">
        <x:v>0.15522679854877003</x:v>
      </x:c>
      <x:c r="AK4336" s="42" t="n">
        <x:v>0.19104836744464002</x:v>
      </x:c>
      <x:c r="AL4336" s="42" t="n">
        <x:v>0.25306380369920006</x:v>
      </x:c>
      <x:c r="AM4336" t="n">
        <x:f>CHOOSE('假设'!$B$3,AJ4336,AK4336,AL4336)</x:f>
        <x:v>0.19104836744464002</x:v>
      </x:c>
      <x:c r="AN4336" t="n">
        <x:v>1</x:v>
      </x:c>
    </x:row>
    <x:row r="4337" ht="23" customHeight="1">
      <x:c r="A4337" s="11" t="str">
        <x:v>02162.HK</x:v>
      </x:c>
      <x:c r="B4337" s="11" t="str">
        <x:v>一年</x:v>
      </x:c>
      <x:c r="C4337" s="11" t="str">
        <x:v>centralCost</x:v>
      </x:c>
      <x:c r="D4337" s="11" t="str">
        <x:v>2033-12-31</x:v>
      </x:c>
      <x:c r="E4337" s="11" t="str">
        <x:v>CNY</x:v>
      </x:c>
      <x:c r="F4337" s="11" t="n">
        <x:v>6.228610540725531</x:v>
      </x:c>
      <x:c r="G4337" s="26" t="b">
        <x:v>1</x:v>
      </x:c>
      <x:c r="H4337" s="16" t="n">
        <x:v>0</x:v>
      </x:c>
      <x:c r="I4337" s="16" t="n">
        <x:v>0</x:v>
      </x:c>
      <x:c r="J4337" s="16" t="n">
        <x:v>0</x:v>
      </x:c>
      <x:c r="K4337" s="11" t="n">
        <x:f>CHOOSE('假设'!$B$3,H4337,I4337,J4337)</x:f>
        <x:v>0</x:v>
      </x:c>
      <x:c r="L4337" s="11" t="n">
        <x:f>K4337*'管线假设'!E935*'管线假设'!F935*'管线假设'!G935*IF(E4337="USD",'管线假设'!I935,1)-AM4337</x:f>
        <x:v>-0.19677981846797923</x:v>
      </x:c>
      <x:c r="M4337" s="11" t="n">
        <x:f>'管线假设'!H935</x:f>
        <x:v>0.14</x:v>
      </x:c>
      <x:c r="N4337" s="11" t="n">
        <x:f>IF(G4337,L4337*AN4337/(1+M4337)^F4337,0)</x:f>
        <x:v>-0.08700463686795591</x:v>
      </x:c>
      <x:c r="AJ4337" s="42" t="n">
        <x:v>0.15988360250523312</x:v>
      </x:c>
      <x:c r="AK4337" s="42" t="n">
        <x:v>0.19677981846797923</x:v>
      </x:c>
      <x:c r="AL4337" s="42" t="n">
        <x:v>0.26318635584716804</x:v>
      </x:c>
      <x:c r="AM4337" t="n">
        <x:f>CHOOSE('假设'!$B$3,AJ4337,AK4337,AL4337)</x:f>
        <x:v>0.19677981846797923</x:v>
      </x:c>
      <x:c r="AN4337" t="n">
        <x:v>1</x:v>
      </x:c>
    </x:row>
    <x:row r="4338" ht="23" customHeight="1">
      <x:c r="A4338" s="11" t="str">
        <x:v>02162.HK</x:v>
      </x:c>
      <x:c r="B4338" s="11" t="str">
        <x:v>一年</x:v>
      </x:c>
      <x:c r="C4338" s="11" t="str">
        <x:v>centralCost</x:v>
      </x:c>
      <x:c r="D4338" s="11" t="str">
        <x:v>2034-12-31</x:v>
      </x:c>
      <x:c r="E4338" s="11" t="str">
        <x:v>CNY</x:v>
      </x:c>
      <x:c r="F4338" s="11" t="n">
        <x:v>7.227926078028747</x:v>
      </x:c>
      <x:c r="G4338" s="26" t="b">
        <x:v>1</x:v>
      </x:c>
      <x:c r="H4338" s="16" t="n">
        <x:v>0</x:v>
      </x:c>
      <x:c r="I4338" s="16" t="n">
        <x:v>0</x:v>
      </x:c>
      <x:c r="J4338" s="16" t="n">
        <x:v>0</x:v>
      </x:c>
      <x:c r="K4338" s="11" t="n">
        <x:f>CHOOSE('假设'!$B$3,H4338,I4338,J4338)</x:f>
        <x:v>0</x:v>
      </x:c>
      <x:c r="L4338" s="11" t="n">
        <x:f>K4338*'管线假设'!E935*'管线假设'!F935*'管线假设'!G935*IF(E4338="USD",'管线假设'!I935,1)-AM4338</x:f>
        <x:v>-0.20268321302201864</x:v>
      </x:c>
      <x:c r="M4338" s="11" t="n">
        <x:f>'管线假设'!H935</x:f>
        <x:v>0.14</x:v>
      </x:c>
      <x:c r="N4338" s="11" t="n">
        <x:f>IF(G4338,L4338*AN4338/(1+M4338)^F4338,0)</x:f>
        <x:v>-0.0786165029317466</x:v>
      </x:c>
      <x:c r="AJ4338" s="42" t="n">
        <x:v>0.16468011058039014</x:v>
      </x:c>
      <x:c r="AK4338" s="42" t="n">
        <x:v>0.20268321302201864</x:v>
      </x:c>
      <x:c r="AL4338" s="42" t="n">
        <x:v>0.2737138100810548</x:v>
      </x:c>
      <x:c r="AM4338" t="n">
        <x:f>CHOOSE('假设'!$B$3,AJ4338,AK4338,AL4338)</x:f>
        <x:v>0.20268321302201864</x:v>
      </x:c>
      <x:c r="AN4338" t="n">
        <x:v>1</x:v>
      </x:c>
    </x:row>
    <x:row r="4339" ht="23" customHeight="1">
      <x:c r="A4339" s="11" t="str">
        <x:v>02162.HK</x:v>
      </x:c>
      <x:c r="B4339" s="11" t="str">
        <x:v>一年</x:v>
      </x:c>
      <x:c r="C4339" s="11" t="str">
        <x:v>centralCost</x:v>
      </x:c>
      <x:c r="D4339" s="11" t="str">
        <x:v>2035-12-31</x:v>
      </x:c>
      <x:c r="E4339" s="11" t="str">
        <x:v>CNY</x:v>
      </x:c>
      <x:c r="F4339" s="11" t="n">
        <x:v>8.227241615331964</x:v>
      </x:c>
      <x:c r="G4339" s="26" t="b">
        <x:v>1</x:v>
      </x:c>
      <x:c r="H4339" s="16" t="n">
        <x:v>0</x:v>
      </x:c>
      <x:c r="I4339" s="16" t="n">
        <x:v>0</x:v>
      </x:c>
      <x:c r="J4339" s="16" t="n">
        <x:v>0</x:v>
      </x:c>
      <x:c r="K4339" s="11" t="n">
        <x:f>CHOOSE('假设'!$B$3,H4339,I4339,J4339)</x:f>
        <x:v>0</x:v>
      </x:c>
      <x:c r="L4339" s="11" t="n">
        <x:f>K4339*'管线假设'!E935*'管线假设'!F935*'管线假设'!G935*IF(E4339="USD",'管线假设'!I935,1)-AM4339</x:f>
        <x:v>-0.2087637094126792</x:v>
      </x:c>
      <x:c r="M4339" s="11" t="n">
        <x:f>'管线假设'!H935</x:f>
        <x:v>0.14</x:v>
      </x:c>
      <x:c r="N4339" s="11" t="n">
        <x:f>IF(G4339,L4339*AN4339/(1+M4339)^F4339,0)</x:f>
        <x:v>-0.07103707061725166</x:v>
      </x:c>
      <x:c r="AJ4339" s="42" t="n">
        <x:v>0.16962051389780183</x:v>
      </x:c>
      <x:c r="AK4339" s="42" t="n">
        <x:v>0.2087637094126792</x:v>
      </x:c>
      <x:c r="AL4339" s="42" t="n">
        <x:v>0.284662362484297</x:v>
      </x:c>
      <x:c r="AM4339" t="n">
        <x:f>CHOOSE('假设'!$B$3,AJ4339,AK4339,AL4339)</x:f>
        <x:v>0.2087637094126792</x:v>
      </x:c>
      <x:c r="AN4339" t="n">
        <x:v>1</x:v>
      </x:c>
    </x:row>
    <x:row r="4340" ht="23" customHeight="1">
      <x:c r="A4340" s="11" t="str">
        <x:v>02162.HK</x:v>
      </x:c>
      <x:c r="B4340" s="11" t="str">
        <x:v>一年</x:v>
      </x:c>
      <x:c r="C4340" s="11" t="str">
        <x:v>centralCost</x:v>
      </x:c>
      <x:c r="D4340" s="11" t="str">
        <x:v>2036-12-31</x:v>
      </x:c>
      <x:c r="E4340" s="11" t="str">
        <x:v>CNY</x:v>
      </x:c>
      <x:c r="F4340" s="11" t="n">
        <x:v>9.229295003422314</x:v>
      </x:c>
      <x:c r="G4340" s="26" t="b">
        <x:v>1</x:v>
      </x:c>
      <x:c r="H4340" s="16" t="n">
        <x:v>0</x:v>
      </x:c>
      <x:c r="I4340" s="16" t="n">
        <x:v>0</x:v>
      </x:c>
      <x:c r="J4340" s="16" t="n">
        <x:v>0</x:v>
      </x:c>
      <x:c r="K4340" s="11" t="n">
        <x:f>CHOOSE('假设'!$B$3,H4340,I4340,J4340)</x:f>
        <x:v>0</x:v>
      </x:c>
      <x:c r="L4340" s="11" t="n">
        <x:f>K4340*'管线假设'!E935*'管线假设'!F935*'管线假设'!G935*IF(E4340="USD",'管线假设'!I935,1)-AM4340</x:f>
        <x:v>-0.21502662069505957</x:v>
      </x:c>
      <x:c r="M4340" s="11" t="n">
        <x:f>'管线假设'!H935</x:f>
        <x:v>0.14</x:v>
      </x:c>
      <x:c r="N4340" s="11" t="n">
        <x:f>IF(G4340,L4340*AN4340/(1+M4340)^F4340,0)</x:f>
        <x:v>-0.06416535030453227</x:v>
      </x:c>
      <x:c r="AJ4340" s="42" t="n">
        <x:v>0.1747091293147359</x:v>
      </x:c>
      <x:c r="AK4340" s="42" t="n">
        <x:v>0.21502662069505957</x:v>
      </x:c>
      <x:c r="AL4340" s="42" t="n">
        <x:v>0.2960488569836689</x:v>
      </x:c>
      <x:c r="AM4340" t="n">
        <x:f>CHOOSE('假设'!$B$3,AJ4340,AK4340,AL4340)</x:f>
        <x:v>0.21502662069505957</x:v>
      </x:c>
      <x:c r="AN4340" t="n">
        <x:v>1</x:v>
      </x:c>
    </x:row>
    <x:row r="4341" ht="23" customHeight="1">
      <x:c r="A4341" s="11" t="str">
        <x:v>02162.HK</x:v>
      </x:c>
      <x:c r="B4341" s="11" t="str">
        <x:v>一年</x:v>
      </x:c>
      <x:c r="C4341" s="11" t="str">
        <x:v>centralCost</x:v>
      </x:c>
      <x:c r="D4341" s="11" t="str">
        <x:v>2037-12-31</x:v>
      </x:c>
      <x:c r="E4341" s="11" t="str">
        <x:v>CNY</x:v>
      </x:c>
      <x:c r="F4341" s="11" t="n">
        <x:v>10.22861054072553</x:v>
      </x:c>
      <x:c r="G4341" s="26" t="b">
        <x:v>1</x:v>
      </x:c>
      <x:c r="H4341" s="16" t="n">
        <x:v>0</x:v>
      </x:c>
      <x:c r="I4341" s="16" t="n">
        <x:v>0</x:v>
      </x:c>
      <x:c r="J4341" s="16" t="n">
        <x:v>0</x:v>
      </x:c>
      <x:c r="K4341" s="11" t="n">
        <x:f>CHOOSE('假设'!$B$3,H4341,I4341,J4341)</x:f>
        <x:v>0</x:v>
      </x:c>
      <x:c r="L4341" s="11" t="n">
        <x:f>K4341*'管线假设'!E935*'管线假设'!F935*'管线假设'!G935*IF(E4341="USD",'管线假设'!I935,1)-AM4341</x:f>
        <x:v>-0.22147741931591136</x:v>
      </x:c>
      <x:c r="M4341" s="11" t="n">
        <x:f>'管线假设'!H935</x:f>
        <x:v>0.14</x:v>
      </x:c>
      <x:c r="N4341" s="11" t="n">
        <x:f>IF(G4341,L4341*AN4341/(1+M4341)^F4341,0)</x:f>
        <x:v>-0.05797915642115274</x:v>
      </x:c>
      <x:c r="AJ4341" s="42" t="n">
        <x:v>0.179950403194178</x:v>
      </x:c>
      <x:c r="AK4341" s="42" t="n">
        <x:v>0.22147741931591136</x:v>
      </x:c>
      <x:c r="AL4341" s="42" t="n">
        <x:v>0.30789081126301565</x:v>
      </x:c>
      <x:c r="AM4341" t="n">
        <x:f>CHOOSE('假设'!$B$3,AJ4341,AK4341,AL4341)</x:f>
        <x:v>0.22147741931591136</x:v>
      </x:c>
      <x:c r="AN4341" t="n">
        <x:v>1</x:v>
      </x:c>
    </x:row>
    <x:row r="4342" ht="23" customHeight="1">
      <x:c r="A4342" s="11" t="str">
        <x:v>02162.HK</x:v>
      </x:c>
      <x:c r="B4342" s="11" t="str">
        <x:v>一年</x:v>
      </x:c>
      <x:c r="C4342" s="11" t="str">
        <x:v>centralCost</x:v>
      </x:c>
      <x:c r="D4342" s="11" t="str">
        <x:v>2038-12-31</x:v>
      </x:c>
      <x:c r="E4342" s="11" t="str">
        <x:v>CNY</x:v>
      </x:c>
      <x:c r="F4342" s="11" t="n">
        <x:v>11.227926078028748</x:v>
      </x:c>
      <x:c r="G4342" s="26" t="b">
        <x:v>1</x:v>
      </x:c>
      <x:c r="H4342" s="16" t="n">
        <x:v>0</x:v>
      </x:c>
      <x:c r="I4342" s="16" t="n">
        <x:v>0</x:v>
      </x:c>
      <x:c r="J4342" s="16" t="n">
        <x:v>0</x:v>
      </x:c>
      <x:c r="K4342" s="11" t="n">
        <x:f>CHOOSE('假设'!$B$3,H4342,I4342,J4342)</x:f>
        <x:v>0</x:v>
      </x:c>
      <x:c r="L4342" s="11" t="n">
        <x:f>K4342*'管线假设'!E935*'管线假设'!F935*'管线假设'!G935*IF(E4342="USD",'管线假设'!I935,1)-AM4342</x:f>
        <x:v>-0.2281217418953887</x:v>
      </x:c>
      <x:c r="M4342" s="11" t="n">
        <x:f>'管线假设'!H935</x:f>
        <x:v>0.14</x:v>
      </x:c>
      <x:c r="N4342" s="11" t="n">
        <x:f>IF(G4342,L4342*AN4342/(1+M4342)^F4342,0)</x:f>
        <x:v>-0.05238937469139093</x:v>
      </x:c>
      <x:c r="AJ4342" s="42" t="n">
        <x:v>0.1853489152900033</x:v>
      </x:c>
      <x:c r="AK4342" s="42" t="n">
        <x:v>0.2281217418953887</x:v>
      </x:c>
      <x:c r="AL4342" s="42" t="n">
        <x:v>0.32020644371353635</x:v>
      </x:c>
      <x:c r="AM4342" t="n">
        <x:f>CHOOSE('假设'!$B$3,AJ4342,AK4342,AL4342)</x:f>
        <x:v>0.2281217418953887</x:v>
      </x:c>
      <x:c r="AN4342" t="n">
        <x:v>1</x:v>
      </x:c>
    </x:row>
    <x:row r="4343" ht="23" customHeight="1">
      <x:c r="A4343" s="11" t="str">
        <x:v>02162.HK</x:v>
      </x:c>
      <x:c r="B4343" s="11" t="str">
        <x:v>一年</x:v>
      </x:c>
      <x:c r="C4343" s="11" t="str">
        <x:v>centralCost</x:v>
      </x:c>
      <x:c r="D4343" s="11" t="str">
        <x:v>2039-12-31</x:v>
      </x:c>
      <x:c r="E4343" s="11" t="str">
        <x:v>CNY</x:v>
      </x:c>
      <x:c r="F4343" s="11" t="n">
        <x:v>12.227241615331964</x:v>
      </x:c>
      <x:c r="G4343" s="26" t="b">
        <x:v>1</x:v>
      </x:c>
      <x:c r="H4343" s="16" t="n">
        <x:v>0</x:v>
      </x:c>
      <x:c r="I4343" s="16" t="n">
        <x:v>0</x:v>
      </x:c>
      <x:c r="J4343" s="16" t="n">
        <x:v>0</x:v>
      </x:c>
      <x:c r="K4343" s="11" t="n">
        <x:f>CHOOSE('假设'!$B$3,H4343,I4343,J4343)</x:f>
        <x:v>0</x:v>
      </x:c>
      <x:c r="L4343" s="11" t="n">
        <x:f>K4343*'管线假设'!E935*'管线假设'!F935*'管线假设'!G935*IF(E4343="USD",'管线假设'!I935,1)-AM4343</x:f>
        <x:v>-0.23496539415225037</x:v>
      </x:c>
      <x:c r="M4343" s="11" t="n">
        <x:f>'管线假设'!H935</x:f>
        <x:v>0.14</x:v>
      </x:c>
      <x:c r="N4343" s="11" t="n">
        <x:f>IF(G4343,L4343*AN4343/(1+M4343)^F4343,0)</x:f>
        <x:v>-0.04733850490369699</x:v>
      </x:c>
      <x:c r="AJ4343" s="42" t="n">
        <x:v>0.19090938274870342</x:v>
      </x:c>
      <x:c r="AK4343" s="42" t="n">
        <x:v>0.23496539415225037</x:v>
      </x:c>
      <x:c r="AL4343" s="42" t="n">
        <x:v>0.3330147014620778</x:v>
      </x:c>
      <x:c r="AM4343" t="n">
        <x:f>CHOOSE('假设'!$B$3,AJ4343,AK4343,AL4343)</x:f>
        <x:v>0.23496539415225037</x:v>
      </x:c>
      <x:c r="AN4343" t="n">
        <x:v>1</x:v>
      </x:c>
    </x:row>
    <x:row r="4344" ht="23" customHeight="1">
      <x:c r="A4344" s="11" t="str">
        <x:v>02162.HK</x:v>
      </x:c>
      <x:c r="B4344" s="11" t="str">
        <x:v>一年</x:v>
      </x:c>
      <x:c r="C4344" s="11" t="str">
        <x:v>centralCost</x:v>
      </x:c>
      <x:c r="D4344" s="11" t="str">
        <x:v>2040-12-31</x:v>
      </x:c>
      <x:c r="E4344" s="11" t="str">
        <x:v>CNY</x:v>
      </x:c>
      <x:c r="F4344" s="11" t="n">
        <x:v>13.229295003422314</x:v>
      </x:c>
      <x:c r="G4344" s="26" t="b">
        <x:v>1</x:v>
      </x:c>
      <x:c r="H4344" s="16" t="n">
        <x:v>0</x:v>
      </x:c>
      <x:c r="I4344" s="16" t="n">
        <x:v>0</x:v>
      </x:c>
      <x:c r="J4344" s="16" t="n">
        <x:v>0</x:v>
      </x:c>
      <x:c r="K4344" s="11" t="n">
        <x:f>CHOOSE('假设'!$B$3,H4344,I4344,J4344)</x:f>
        <x:v>0</x:v>
      </x:c>
      <x:c r="L4344" s="11" t="n">
        <x:f>K4344*'管线假设'!E935*'管线假设'!F935*'管线假设'!G935*IF(E4344="USD",'管线假设'!I935,1)-AM4344</x:f>
        <x:v>-0.24201435597681792</x:v>
      </x:c>
      <x:c r="M4344" s="11" t="n">
        <x:f>'管线假设'!H935</x:f>
        <x:v>0.14</x:v>
      </x:c>
      <x:c r="N4344" s="11" t="n">
        <x:f>IF(G4344,L4344*AN4344/(1+M4344)^F4344,0)</x:f>
        <x:v>-0.04275924842684699</x:v>
      </x:c>
      <x:c r="AJ4344" s="42" t="n">
        <x:v>0.19663666423116455</x:v>
      </x:c>
      <x:c r="AK4344" s="42" t="n">
        <x:v>0.24201435597681792</x:v>
      </x:c>
      <x:c r="AL4344" s="42" t="n">
        <x:v>0.3463352895205609</x:v>
      </x:c>
      <x:c r="AM4344" t="n">
        <x:f>CHOOSE('假设'!$B$3,AJ4344,AK4344,AL4344)</x:f>
        <x:v>0.24201435597681792</x:v>
      </x:c>
      <x:c r="AN4344" t="n">
        <x:v>1</x:v>
      </x:c>
    </x:row>
    <x:row r="4345" ht="23" customHeight="1">
      <x:c r="A4345" s="11" t="str">
        <x:v>02162.HK</x:v>
      </x:c>
      <x:c r="B4345" s="11" t="str">
        <x:v>一年</x:v>
      </x:c>
      <x:c r="C4345" s="11" t="str">
        <x:v>centralCost</x:v>
      </x:c>
      <x:c r="D4345" s="11" t="str">
        <x:v>2041-12-31</x:v>
      </x:c>
      <x:c r="E4345" s="11" t="str">
        <x:v>CNY</x:v>
      </x:c>
      <x:c r="F4345" s="11" t="n">
        <x:v>14.22861054072553</x:v>
      </x:c>
      <x:c r="G4345" s="26" t="b">
        <x:v>1</x:v>
      </x:c>
      <x:c r="H4345" s="16" t="n">
        <x:v>0</x:v>
      </x:c>
      <x:c r="I4345" s="16" t="n">
        <x:v>0</x:v>
      </x:c>
      <x:c r="J4345" s="16" t="n">
        <x:v>0</x:v>
      </x:c>
      <x:c r="K4345" s="11" t="n">
        <x:f>CHOOSE('假设'!$B$3,H4345,I4345,J4345)</x:f>
        <x:v>0</x:v>
      </x:c>
      <x:c r="L4345" s="11" t="n">
        <x:f>K4345*'管线假设'!E935*'管线假设'!F935*'管线假设'!G935*IF(E4345="USD",'管线假设'!I935,1)-AM4345</x:f>
        <x:v>-0.24927478665612243</x:v>
      </x:c>
      <x:c r="M4345" s="11" t="n">
        <x:f>'管线假设'!H935</x:f>
        <x:v>0.14</x:v>
      </x:c>
      <x:c r="N4345" s="11" t="n">
        <x:f>IF(G4345,L4345*AN4345/(1+M4345)^F4345,0)</x:f>
        <x:v>-0.03863682098242949</x:v>
      </x:c>
      <x:c r="AJ4345" s="42" t="n">
        <x:v>0.20253576415809946</x:v>
      </x:c>
      <x:c r="AK4345" s="42" t="n">
        <x:v>0.24927478665612243</x:v>
      </x:c>
      <x:c r="AL4345" s="42" t="n">
        <x:v>0.36018870110138335</x:v>
      </x:c>
      <x:c r="AM4345" t="n">
        <x:f>CHOOSE('假设'!$B$3,AJ4345,AK4345,AL4345)</x:f>
        <x:v>0.24927478665612243</x:v>
      </x:c>
      <x:c r="AN4345" t="n">
        <x:v>1</x:v>
      </x:c>
    </x:row>
    <x:row r="4346" ht="23" customHeight="1">
      <x:c r="A4346" s="11" t="str">
        <x:v>02162.HK</x:v>
      </x:c>
      <x:c r="B4346" s="11" t="str">
        <x:v>一年</x:v>
      </x:c>
      <x:c r="C4346" s="11" t="str">
        <x:v>centralCost</x:v>
      </x:c>
      <x:c r="D4346" s="11" t="str">
        <x:v>2042-12-31</x:v>
      </x:c>
      <x:c r="E4346" s="11" t="str">
        <x:v>CNY</x:v>
      </x:c>
      <x:c r="F4346" s="11" t="n">
        <x:v>15.227926078028748</x:v>
      </x:c>
      <x:c r="G4346" s="26" t="b">
        <x:v>1</x:v>
      </x:c>
      <x:c r="H4346" s="16" t="n">
        <x:v>0</x:v>
      </x:c>
      <x:c r="I4346" s="16" t="n">
        <x:v>0</x:v>
      </x:c>
      <x:c r="J4346" s="16" t="n">
        <x:v>0</x:v>
      </x:c>
      <x:c r="K4346" s="11" t="n">
        <x:f>CHOOSE('假设'!$B$3,H4346,I4346,J4346)</x:f>
        <x:v>0</x:v>
      </x:c>
      <x:c r="L4346" s="11" t="n">
        <x:f>K4346*'管线假设'!E935*'管线假设'!F935*'管线假设'!G935*IF(E4346="USD",'管线假设'!I935,1)-AM4346</x:f>
        <x:v>-0.2567530302558061</x:v>
      </x:c>
      <x:c r="M4346" s="11" t="n">
        <x:f>'管线假设'!H935</x:f>
        <x:v>0.14</x:v>
      </x:c>
      <x:c r="N4346" s="11" t="n">
        <x:f>IF(G4346,L4346*AN4346/(1+M4346)^F4346,0)</x:f>
        <x:v>-0.03491183756847853</x:v>
      </x:c>
      <x:c r="AJ4346" s="42" t="n">
        <x:v>0.20861183708284248</x:v>
      </x:c>
      <x:c r="AK4346" s="42" t="n">
        <x:v>0.2567530302558061</x:v>
      </x:c>
      <x:c r="AL4346" s="42" t="n">
        <x:v>0.37459624914543865</x:v>
      </x:c>
      <x:c r="AM4346" t="n">
        <x:f>CHOOSE('假设'!$B$3,AJ4346,AK4346,AL4346)</x:f>
        <x:v>0.2567530302558061</x:v>
      </x:c>
      <x:c r="AN4346" t="n">
        <x:v>1</x:v>
      </x:c>
    </x:row>
    <x:row r="4347" ht="23" customHeight="1">
      <x:c r="A4347" s="11" t="str">
        <x:v>02162.HK</x:v>
      </x:c>
      <x:c r="B4347" s="11" t="str">
        <x:v>一年</x:v>
      </x:c>
      <x:c r="C4347" s="11" t="str">
        <x:v>centralCost</x:v>
      </x:c>
      <x:c r="D4347" s="11" t="str">
        <x:v>2043-12-31</x:v>
      </x:c>
      <x:c r="E4347" s="11" t="str">
        <x:v>CNY</x:v>
      </x:c>
      <x:c r="F4347" s="11" t="n">
        <x:v>16.227241615331966</x:v>
      </x:c>
      <x:c r="G4347" s="26" t="b">
        <x:v>1</x:v>
      </x:c>
      <x:c r="H4347" s="16" t="n">
        <x:v>0</x:v>
      </x:c>
      <x:c r="I4347" s="16" t="n">
        <x:v>0</x:v>
      </x:c>
      <x:c r="J4347" s="16" t="n">
        <x:v>0</x:v>
      </x:c>
      <x:c r="K4347" s="11" t="n">
        <x:f>CHOOSE('假设'!$B$3,H4347,I4347,J4347)</x:f>
        <x:v>0</x:v>
      </x:c>
      <x:c r="L4347" s="11" t="n">
        <x:f>K4347*'管线假设'!E935*'管线假设'!F935*'管线假设'!G935*IF(E4347="USD",'管线假设'!I935,1)-AM4347</x:f>
        <x:v>-0.2644556211634803</x:v>
      </x:c>
      <x:c r="M4347" s="11" t="n">
        <x:f>'管线假设'!H935</x:f>
        <x:v>0.14</x:v>
      </x:c>
      <x:c r="N4347" s="11" t="n">
        <x:f>IF(G4347,L4347*AN4347/(1+M4347)^F4347,0)</x:f>
        <x:v>-0.03154598052883564</x:v>
      </x:c>
      <x:c r="AJ4347" s="42" t="n">
        <x:v>0.21487019219532774</x:v>
      </x:c>
      <x:c r="AK4347" s="42" t="n">
        <x:v>0.2644556211634803</x:v>
      </x:c>
      <x:c r="AL4347" s="42" t="n">
        <x:v>0.38958009911125624</x:v>
      </x:c>
      <x:c r="AM4347" t="n">
        <x:f>CHOOSE('假设'!$B$3,AJ4347,AK4347,AL4347)</x:f>
        <x:v>0.2644556211634803</x:v>
      </x:c>
      <x:c r="AN4347" t="n">
        <x:v>1</x:v>
      </x:c>
    </x:row>
    <x:row r="4348" ht="23" customHeight="1">
      <x:c r="A4348" s="11" t="str">
        <x:v>02162.HK</x:v>
      </x:c>
      <x:c r="B4348" s="11" t="str">
        <x:v>一年</x:v>
      </x:c>
      <x:c r="C4348" s="11" t="str">
        <x:v>centralCost</x:v>
      </x:c>
      <x:c r="D4348" s="11" t="str">
        <x:v>2044-12-31</x:v>
      </x:c>
      <x:c r="E4348" s="11" t="str">
        <x:v>CNY</x:v>
      </x:c>
      <x:c r="F4348" s="11" t="n">
        <x:v>17.229295003422312</x:v>
      </x:c>
      <x:c r="G4348" s="26" t="b">
        <x:v>1</x:v>
      </x:c>
      <x:c r="H4348" s="16" t="n">
        <x:v>0</x:v>
      </x:c>
      <x:c r="I4348" s="16" t="n">
        <x:v>0</x:v>
      </x:c>
      <x:c r="J4348" s="16" t="n">
        <x:v>0</x:v>
      </x:c>
      <x:c r="K4348" s="11" t="n">
        <x:f>CHOOSE('假设'!$B$3,H4348,I4348,J4348)</x:f>
        <x:v>0</x:v>
      </x:c>
      <x:c r="L4348" s="11" t="n">
        <x:f>K4348*'管线假设'!E935*'管线假设'!F935*'管线假设'!G935*IF(E4348="USD",'管线假设'!I935,1)-AM4348</x:f>
        <x:v>-0.2723892897983847</x:v>
      </x:c>
      <x:c r="M4348" s="11" t="n">
        <x:f>'管线假设'!H935</x:f>
        <x:v>0.14</x:v>
      </x:c>
      <x:c r="N4348" s="11" t="n">
        <x:f>IF(G4348,L4348*AN4348/(1+M4348)^F4348,0)</x:f>
        <x:v>-0.028494402623087875</x:v>
      </x:c>
      <x:c r="AJ4348" s="42" t="n">
        <x:v>0.2213162979611876</x:v>
      </x:c>
      <x:c r="AK4348" s="42" t="n">
        <x:v>0.2723892897983847</x:v>
      </x:c>
      <x:c r="AL4348" s="42" t="n">
        <x:v>0.4051633030757065</x:v>
      </x:c>
      <x:c r="AM4348" t="n">
        <x:f>CHOOSE('假设'!$B$3,AJ4348,AK4348,AL4348)</x:f>
        <x:v>0.2723892897983847</x:v>
      </x:c>
      <x:c r="AN4348" t="n">
        <x:v>1</x:v>
      </x:c>
    </x:row>
    <x:row r="4349" ht="23" customHeight="1">
      <x:c r="A4349" s="11" t="str">
        <x:v>02162.HK</x:v>
      </x:c>
      <x:c r="B4349" s="11" t="str">
        <x:v>三年</x:v>
      </x:c>
      <x:c r="C4349" s="11" t="str">
        <x:v>CM310_approved</x:v>
      </x:c>
      <x:c r="D4349" s="11" t="str">
        <x:v>2026-12-31</x:v>
      </x:c>
      <x:c r="E4349" s="11" t="str">
        <x:v>CNY</x:v>
      </x:c>
      <x:c r="F4349" s="11" t="n">
        <x:v>-2.7734428473648185</x:v>
      </x:c>
      <x:c r="G4349" s="26" t="b">
        <x:v>0</x:v>
      </x:c>
      <x:c r="H4349" s="16" t="n">
        <x:v>0.75</x:v>
      </x:c>
      <x:c r="I4349" s="16" t="n">
        <x:v>0.85</x:v>
      </x:c>
      <x:c r="J4349" s="16" t="n">
        <x:v>0.95</x:v>
      </x:c>
      <x:c r="K4349" s="11" t="n">
        <x:f>CHOOSE('假设'!$B$3,H4349,I4349,J4349)</x:f>
        <x:v>0.85</x:v>
      </x:c>
      <x:c r="L4349" s="11" t="n">
        <x:f>K4349*'管线假设'!E939*'管线假设'!F939*'管线假设'!G939*IF(E4349="USD",'管线假设'!I939,1)-AM4349</x:f>
        <x:v>0.331025</x:v>
      </x:c>
      <x:c r="M4349" s="11" t="n">
        <x:f>'管线假设'!H939</x:f>
        <x:v>0.14</x:v>
      </x:c>
      <x:c r="N4349" s="11" t="n">
        <x:f>IF(G4349,L4349*AN4349/(1+M4349)^F4349,0)</x:f>
        <x:v>0</x:v>
      </x:c>
      <x:c r="AJ4349" s="42" t="n">
        <x:v>0.025</x:v>
      </x:c>
      <x:c r="AK4349" s="42" t="n">
        <x:v>0.04</x:v>
      </x:c>
      <x:c r="AL4349" s="42" t="n">
        <x:v>0.04</x:v>
      </x:c>
      <x:c r="AM4349" t="n">
        <x:f>CHOOSE('假设'!$B$3,AJ4349,AK4349,AL4349)</x:f>
        <x:v>0.04</x:v>
      </x:c>
      <x:c r="AN4349" t="n">
        <x:v>0</x:v>
      </x:c>
    </x:row>
    <x:row r="4350" ht="23" customHeight="1">
      <x:c r="A4350" s="11" t="str">
        <x:v>02162.HK</x:v>
      </x:c>
      <x:c r="B4350" s="11" t="str">
        <x:v>三年</x:v>
      </x:c>
      <x:c r="C4350" s="11" t="str">
        <x:v>CM310_approved</x:v>
      </x:c>
      <x:c r="D4350" s="11" t="str">
        <x:v>2027-12-31</x:v>
      </x:c>
      <x:c r="E4350" s="11" t="str">
        <x:v>CNY</x:v>
      </x:c>
      <x:c r="F4350" s="11" t="n">
        <x:v>-1.7741273100616017</x:v>
      </x:c>
      <x:c r="G4350" s="26" t="b">
        <x:v>0</x:v>
      </x:c>
      <x:c r="H4350" s="16" t="n">
        <x:v>0.88</x:v>
      </x:c>
      <x:c r="I4350" s="16" t="n">
        <x:v>1.35</x:v>
      </x:c>
      <x:c r="J4350" s="16" t="n">
        <x:v>1.75</x:v>
      </x:c>
      <x:c r="K4350" s="11" t="n">
        <x:f>CHOOSE('假设'!$B$3,H4350,I4350,J4350)</x:f>
        <x:v>1.35</x:v>
      </x:c>
      <x:c r="L4350" s="11" t="n">
        <x:f>K4350*'管线假设'!E939*'管线假设'!F939*'管线假设'!G939*IF(E4350="USD",'管线假设'!I939,1)-AM4350</x:f>
        <x:v>0.5592750000000001</x:v>
      </x:c>
      <x:c r="M4350" s="11" t="n">
        <x:f>'管线假设'!H939</x:f>
        <x:v>0.14</x:v>
      </x:c>
      <x:c r="N4350" s="11" t="n">
        <x:f>IF(G4350,L4350*AN4350/(1+M4350)^F4350,0)</x:f>
        <x:v>0</x:v>
      </x:c>
      <x:c r="AJ4350" s="42" t="n">
        <x:v>0.025</x:v>
      </x:c>
      <x:c r="AK4350" s="42" t="n">
        <x:v>0.03</x:v>
      </x:c>
      <x:c r="AL4350" s="42" t="n">
        <x:v>0.04</x:v>
      </x:c>
      <x:c r="AM4350" t="n">
        <x:f>CHOOSE('假设'!$B$3,AJ4350,AK4350,AL4350)</x:f>
        <x:v>0.03</x:v>
      </x:c>
      <x:c r="AN4350" t="n">
        <x:v>0</x:v>
      </x:c>
    </x:row>
    <x:row r="4351" ht="23" customHeight="1">
      <x:c r="A4351" s="11" t="str">
        <x:v>02162.HK</x:v>
      </x:c>
      <x:c r="B4351" s="11" t="str">
        <x:v>三年</x:v>
      </x:c>
      <x:c r="C4351" s="11" t="str">
        <x:v>CM310_approved</x:v>
      </x:c>
      <x:c r="D4351" s="11" t="str">
        <x:v>2028-12-31</x:v>
      </x:c>
      <x:c r="E4351" s="11" t="str">
        <x:v>CNY</x:v>
      </x:c>
      <x:c r="F4351" s="11" t="n">
        <x:v>-0.7720739219712526</x:v>
      </x:c>
      <x:c r="G4351" s="26" t="b">
        <x:v>0</x:v>
      </x:c>
      <x:c r="H4351" s="16" t="n">
        <x:v>1</x:v>
      </x:c>
      <x:c r="I4351" s="16" t="n">
        <x:v>1.9</x:v>
      </x:c>
      <x:c r="J4351" s="16" t="n">
        <x:v>2.6</x:v>
      </x:c>
      <x:c r="K4351" s="11" t="n">
        <x:f>CHOOSE('假设'!$B$3,H4351,I4351,J4351)</x:f>
        <x:v>1.9</x:v>
      </x:c>
      <x:c r="L4351" s="11" t="n">
        <x:f>K4351*'管线假设'!E939*'管线假设'!F939*'管线假设'!G939*IF(E4351="USD",'管线假设'!I939,1)-AM4351</x:f>
        <x:v>0.79935</x:v>
      </x:c>
      <x:c r="M4351" s="11" t="n">
        <x:f>'管线假设'!H939</x:f>
        <x:v>0.14</x:v>
      </x:c>
      <x:c r="N4351" s="11" t="n">
        <x:f>IF(G4351,L4351*AN4351/(1+M4351)^F4351,0)</x:f>
        <x:v>0</x:v>
      </x:c>
      <x:c r="AJ4351" s="42" t="n">
        <x:v>0.025</x:v>
      </x:c>
      <x:c r="AK4351" s="42" t="n">
        <x:v>0.03</x:v>
      </x:c>
      <x:c r="AL4351" s="42" t="n">
        <x:v>0.04</x:v>
      </x:c>
      <x:c r="AM4351" t="n">
        <x:f>CHOOSE('假设'!$B$3,AJ4351,AK4351,AL4351)</x:f>
        <x:v>0.03</x:v>
      </x:c>
      <x:c r="AN4351" t="n">
        <x:v>0</x:v>
      </x:c>
    </x:row>
    <x:row r="4352" ht="23" customHeight="1">
      <x:c r="A4352" s="11" t="str">
        <x:v>02162.HK</x:v>
      </x:c>
      <x:c r="B4352" s="11" t="str">
        <x:v>三年</x:v>
      </x:c>
      <x:c r="C4352" s="11" t="str">
        <x:v>CM310_approved</x:v>
      </x:c>
      <x:c r="D4352" s="11" t="str">
        <x:v>2029-12-31</x:v>
      </x:c>
      <x:c r="E4352" s="11" t="str">
        <x:v>CNY</x:v>
      </x:c>
      <x:c r="F4352" s="11" t="n">
        <x:v>0.2272416153319644</x:v>
      </x:c>
      <x:c r="G4352" s="26" t="b">
        <x:v>1</x:v>
      </x:c>
      <x:c r="H4352" s="16" t="n">
        <x:v>1.2</x:v>
      </x:c>
      <x:c r="I4352" s="16" t="n">
        <x:v>2.6</x:v>
      </x:c>
      <x:c r="J4352" s="16" t="n">
        <x:v>3.65</x:v>
      </x:c>
      <x:c r="K4352" s="11" t="n">
        <x:f>CHOOSE('假设'!$B$3,H4352,I4352,J4352)</x:f>
        <x:v>2.6</x:v>
      </x:c>
      <x:c r="L4352" s="11" t="n">
        <x:f>K4352*'管线假设'!E939*'管线假设'!F939*'管线假设'!G939*IF(E4352="USD",'管线假设'!I939,1)-AM4352</x:f>
        <x:v>1.1049</x:v>
      </x:c>
      <x:c r="M4352" s="11" t="n">
        <x:f>'管线假设'!H939</x:f>
        <x:v>0.14</x:v>
      </x:c>
      <x:c r="N4352" s="11" t="n">
        <x:f>IF(G4352,L4352*AN4352/(1+M4352)^F4352,0)</x:f>
        <x:v>0.24455048697051512</x:v>
      </x:c>
      <x:c r="AJ4352" s="42" t="n">
        <x:v>0.025</x:v>
      </x:c>
      <x:c r="AK4352" s="42" t="n">
        <x:v>0.03</x:v>
      </x:c>
      <x:c r="AL4352" s="42" t="n">
        <x:v>0.04</x:v>
      </x:c>
      <x:c r="AM4352" t="n">
        <x:f>CHOOSE('假设'!$B$3,AJ4352,AK4352,AL4352)</x:f>
        <x:v>0.03</x:v>
      </x:c>
      <x:c r="AN4352" t="n">
        <x:v>0.22802197802197802</x:v>
      </x:c>
    </x:row>
    <x:row r="4353" ht="23" customHeight="1">
      <x:c r="A4353" s="11" t="str">
        <x:v>02162.HK</x:v>
      </x:c>
      <x:c r="B4353" s="11" t="str">
        <x:v>三年</x:v>
      </x:c>
      <x:c r="C4353" s="11" t="str">
        <x:v>CM310_approved</x:v>
      </x:c>
      <x:c r="D4353" s="11" t="str">
        <x:v>2030-12-31</x:v>
      </x:c>
      <x:c r="E4353" s="11" t="str">
        <x:v>CNY</x:v>
      </x:c>
      <x:c r="F4353" s="11" t="n">
        <x:v>1.2265571526351813</x:v>
      </x:c>
      <x:c r="G4353" s="26" t="b">
        <x:v>1</x:v>
      </x:c>
      <x:c r="H4353" s="16" t="n">
        <x:v>1.3</x:v>
      </x:c>
      <x:c r="I4353" s="16" t="n">
        <x:v>3.25</x:v>
      </x:c>
      <x:c r="J4353" s="16" t="n">
        <x:v>4.8</x:v>
      </x:c>
      <x:c r="K4353" s="11" t="n">
        <x:f>CHOOSE('假设'!$B$3,H4353,I4353,J4353)</x:f>
        <x:v>3.25</x:v>
      </x:c>
      <x:c r="L4353" s="11" t="n">
        <x:f>K4353*'管线假设'!E939*'管线假设'!F939*'管线假设'!G939*IF(E4353="USD",'管线假设'!I939,1)-AM4353</x:f>
        <x:v>1.388625</x:v>
      </x:c>
      <x:c r="M4353" s="11" t="n">
        <x:f>'管线假设'!H939</x:f>
        <x:v>0.14</x:v>
      </x:c>
      <x:c r="N4353" s="11" t="n">
        <x:f>IF(G4353,L4353*AN4353/(1+M4353)^F4353,0)</x:f>
        <x:v>1.1824639994346888</x:v>
      </x:c>
      <x:c r="AJ4353" s="42" t="n">
        <x:v>0.02</x:v>
      </x:c>
      <x:c r="AK4353" s="42" t="n">
        <x:v>0.03</x:v>
      </x:c>
      <x:c r="AL4353" s="42" t="n">
        <x:v>0.04</x:v>
      </x:c>
      <x:c r="AM4353" t="n">
        <x:f>CHOOSE('假设'!$B$3,AJ4353,AK4353,AL4353)</x:f>
        <x:v>0.03</x:v>
      </x:c>
      <x:c r="AN4353" t="n">
        <x:v>1</x:v>
      </x:c>
    </x:row>
    <x:row r="4354" ht="23" customHeight="1">
      <x:c r="A4354" s="11" t="str">
        <x:v>02162.HK</x:v>
      </x:c>
      <x:c r="B4354" s="11" t="str">
        <x:v>三年</x:v>
      </x:c>
      <x:c r="C4354" s="11" t="str">
        <x:v>CM310_approved</x:v>
      </x:c>
      <x:c r="D4354" s="11" t="str">
        <x:v>2031-12-31</x:v>
      </x:c>
      <x:c r="E4354" s="11" t="str">
        <x:v>CNY</x:v>
      </x:c>
      <x:c r="F4354" s="11" t="n">
        <x:v>2.2258726899383983</x:v>
      </x:c>
      <x:c r="G4354" s="26" t="b">
        <x:v>1</x:v>
      </x:c>
      <x:c r="H4354" s="16" t="n">
        <x:v>1.4</x:v>
      </x:c>
      <x:c r="I4354" s="16" t="n">
        <x:v>3.9</x:v>
      </x:c>
      <x:c r="J4354" s="16" t="n">
        <x:v>5.7</x:v>
      </x:c>
      <x:c r="K4354" s="11" t="n">
        <x:f>CHOOSE('假设'!$B$3,H4354,I4354,J4354)</x:f>
        <x:v>3.9</x:v>
      </x:c>
      <x:c r="L4354" s="11" t="n">
        <x:f>K4354*'管线假设'!E939*'管线假设'!F939*'管线假设'!G939*IF(E4354="USD",'管线假设'!I939,1)-AM4354</x:f>
        <x:v>1.70235</x:v>
      </x:c>
      <x:c r="M4354" s="11" t="n">
        <x:f>'管线假设'!H939</x:f>
        <x:v>0.14</x:v>
      </x:c>
      <x:c r="N4354" s="11" t="n">
        <x:f>IF(G4354,L4354*AN4354/(1+M4354)^F4354,0)</x:f>
        <x:v>1.2717035995367592</x:v>
      </x:c>
      <x:c r="AJ4354" s="42" t="n">
        <x:v>0</x:v>
      </x:c>
      <x:c r="AK4354" s="42" t="n">
        <x:v>0</x:v>
      </x:c>
      <x:c r="AL4354" s="42" t="n">
        <x:v>0</x:v>
      </x:c>
      <x:c r="AM4354" t="n">
        <x:f>CHOOSE('假设'!$B$3,AJ4354,AK4354,AL4354)</x:f>
        <x:v>0</x:v>
      </x:c>
      <x:c r="AN4354" t="n">
        <x:v>1</x:v>
      </x:c>
    </x:row>
    <x:row r="4355" ht="23" customHeight="1">
      <x:c r="A4355" s="11" t="str">
        <x:v>02162.HK</x:v>
      </x:c>
      <x:c r="B4355" s="11" t="str">
        <x:v>三年</x:v>
      </x:c>
      <x:c r="C4355" s="11" t="str">
        <x:v>CM310_approved</x:v>
      </x:c>
      <x:c r="D4355" s="11" t="str">
        <x:v>2032-12-31</x:v>
      </x:c>
      <x:c r="E4355" s="11" t="str">
        <x:v>CNY</x:v>
      </x:c>
      <x:c r="F4355" s="11" t="n">
        <x:v>3.2279260780287475</x:v>
      </x:c>
      <x:c r="G4355" s="26" t="b">
        <x:v>1</x:v>
      </x:c>
      <x:c r="H4355" s="16" t="n">
        <x:v>1.45</x:v>
      </x:c>
      <x:c r="I4355" s="16" t="n">
        <x:v>4.4</x:v>
      </x:c>
      <x:c r="J4355" s="16" t="n">
        <x:v>6.5</x:v>
      </x:c>
      <x:c r="K4355" s="11" t="n">
        <x:f>CHOOSE('假设'!$B$3,H4355,I4355,J4355)</x:f>
        <x:v>4.4</x:v>
      </x:c>
      <x:c r="L4355" s="11" t="n">
        <x:f>K4355*'管线假设'!E939*'管线假设'!F939*'管线假设'!G939*IF(E4355="USD",'管线假设'!I939,1)-AM4355</x:f>
        <x:v>1.9205999999999999</x:v>
      </x:c>
      <x:c r="M4355" s="11" t="n">
        <x:f>'管线假设'!H939</x:f>
        <x:v>0.14</x:v>
      </x:c>
      <x:c r="N4355" s="11" t="n">
        <x:f>IF(G4355,L4355*AN4355/(1+M4355)^F4355,0)</x:f>
        <x:v>1.25820750378565</x:v>
      </x:c>
      <x:c r="AJ4355" s="42" t="n">
        <x:v>0</x:v>
      </x:c>
      <x:c r="AK4355" s="42" t="n">
        <x:v>0</x:v>
      </x:c>
      <x:c r="AL4355" s="42" t="n">
        <x:v>0</x:v>
      </x:c>
      <x:c r="AM4355" t="n">
        <x:f>CHOOSE('假设'!$B$3,AJ4355,AK4355,AL4355)</x:f>
        <x:v>0</x:v>
      </x:c>
      <x:c r="AN4355" t="n">
        <x:v>1</x:v>
      </x:c>
    </x:row>
    <x:row r="4356" ht="23" customHeight="1">
      <x:c r="A4356" s="11" t="str">
        <x:v>02162.HK</x:v>
      </x:c>
      <x:c r="B4356" s="11" t="str">
        <x:v>三年</x:v>
      </x:c>
      <x:c r="C4356" s="11" t="str">
        <x:v>CM310_approved</x:v>
      </x:c>
      <x:c r="D4356" s="11" t="str">
        <x:v>2033-12-31</x:v>
      </x:c>
      <x:c r="E4356" s="11" t="str">
        <x:v>CNY</x:v>
      </x:c>
      <x:c r="F4356" s="11" t="n">
        <x:v>4.227241615331964</x:v>
      </x:c>
      <x:c r="G4356" s="26" t="b">
        <x:v>1</x:v>
      </x:c>
      <x:c r="H4356" s="16" t="n">
        <x:v>1.45</x:v>
      </x:c>
      <x:c r="I4356" s="16" t="n">
        <x:v>4.8</x:v>
      </x:c>
      <x:c r="J4356" s="16" t="n">
        <x:v>7.1</x:v>
      </x:c>
      <x:c r="K4356" s="11" t="n">
        <x:f>CHOOSE('假设'!$B$3,H4356,I4356,J4356)</x:f>
        <x:v>4.8</x:v>
      </x:c>
      <x:c r="L4356" s="11" t="n">
        <x:f>K4356*'管线假设'!E939*'管线假设'!F939*'管线假设'!G939*IF(E4356="USD",'管线假设'!I939,1)-AM4356</x:f>
        <x:v>2.0951999999999997</x:v>
      </x:c>
      <x:c r="M4356" s="11" t="n">
        <x:f>'管线假设'!H939</x:f>
        <x:v>0.14</x:v>
      </x:c>
      <x:c r="N4356" s="11" t="n">
        <x:f>IF(G4356,L4356*AN4356/(1+M4356)^F4356,0)</x:f>
        <x:v>1.2041343061000396</x:v>
      </x:c>
      <x:c r="AJ4356" s="42" t="n">
        <x:v>0</x:v>
      </x:c>
      <x:c r="AK4356" s="42" t="n">
        <x:v>0</x:v>
      </x:c>
      <x:c r="AL4356" s="42" t="n">
        <x:v>0</x:v>
      </x:c>
      <x:c r="AM4356" t="n">
        <x:f>CHOOSE('假设'!$B$3,AJ4356,AK4356,AL4356)</x:f>
        <x:v>0</x:v>
      </x:c>
      <x:c r="AN4356" t="n">
        <x:v>1</x:v>
      </x:c>
    </x:row>
    <x:row r="4357" ht="23" customHeight="1">
      <x:c r="A4357" s="11" t="str">
        <x:v>02162.HK</x:v>
      </x:c>
      <x:c r="B4357" s="11" t="str">
        <x:v>三年</x:v>
      </x:c>
      <x:c r="C4357" s="11" t="str">
        <x:v>CM310_approved</x:v>
      </x:c>
      <x:c r="D4357" s="11" t="str">
        <x:v>2034-12-31</x:v>
      </x:c>
      <x:c r="E4357" s="11" t="str">
        <x:v>CNY</x:v>
      </x:c>
      <x:c r="F4357" s="11" t="n">
        <x:v>5.2265571526351815</x:v>
      </x:c>
      <x:c r="G4357" s="26" t="b">
        <x:v>1</x:v>
      </x:c>
      <x:c r="H4357" s="16" t="n">
        <x:v>1.4</x:v>
      </x:c>
      <x:c r="I4357" s="16" t="n">
        <x:v>5</x:v>
      </x:c>
      <x:c r="J4357" s="16" t="n">
        <x:v>7.5</x:v>
      </x:c>
      <x:c r="K4357" s="11" t="n">
        <x:f>CHOOSE('假设'!$B$3,H4357,I4357,J4357)</x:f>
        <x:v>5</x:v>
      </x:c>
      <x:c r="L4357" s="11" t="n">
        <x:f>K4357*'管线假设'!E939*'管线假设'!F939*'管线假设'!G939*IF(E4357="USD",'管线假设'!I939,1)-AM4357</x:f>
        <x:v>2.1825</x:v>
      </x:c>
      <x:c r="M4357" s="11" t="n">
        <x:f>'管线假设'!H939</x:f>
        <x:v>0.14</x:v>
      </x:c>
      <x:c r="N4357" s="11" t="n">
        <x:f>IF(G4357,L4357*AN4357/(1+M4357)^F4357,0)</x:f>
        <x:v>1.1003676009439713</x:v>
      </x:c>
      <x:c r="AJ4357" s="42" t="n">
        <x:v>0</x:v>
      </x:c>
      <x:c r="AK4357" s="42" t="n">
        <x:v>0</x:v>
      </x:c>
      <x:c r="AL4357" s="42" t="n">
        <x:v>0</x:v>
      </x:c>
      <x:c r="AM4357" t="n">
        <x:f>CHOOSE('假设'!$B$3,AJ4357,AK4357,AL4357)</x:f>
        <x:v>0</x:v>
      </x:c>
      <x:c r="AN4357" t="n">
        <x:v>1</x:v>
      </x:c>
    </x:row>
    <x:row r="4358" ht="23" customHeight="1">
      <x:c r="A4358" s="11" t="str">
        <x:v>02162.HK</x:v>
      </x:c>
      <x:c r="B4358" s="11" t="str">
        <x:v>三年</x:v>
      </x:c>
      <x:c r="C4358" s="11" t="str">
        <x:v>CM310_approved</x:v>
      </x:c>
      <x:c r="D4358" s="11" t="str">
        <x:v>2035-12-31</x:v>
      </x:c>
      <x:c r="E4358" s="11" t="str">
        <x:v>CNY</x:v>
      </x:c>
      <x:c r="F4358" s="11" t="n">
        <x:v>6.225872689938399</x:v>
      </x:c>
      <x:c r="G4358" s="26" t="b">
        <x:v>1</x:v>
      </x:c>
      <x:c r="H4358" s="16" t="n">
        <x:v>1.3</x:v>
      </x:c>
      <x:c r="I4358" s="16" t="n">
        <x:v>5</x:v>
      </x:c>
      <x:c r="J4358" s="16" t="n">
        <x:v>7.5</x:v>
      </x:c>
      <x:c r="K4358" s="11" t="n">
        <x:f>CHOOSE('假设'!$B$3,H4358,I4358,J4358)</x:f>
        <x:v>5</x:v>
      </x:c>
      <x:c r="L4358" s="11" t="n">
        <x:f>K4358*'管线假设'!E939*'管线假设'!F939*'管线假设'!G939*IF(E4358="USD",'管线假设'!I939,1)-AM4358</x:f>
        <x:v>2.1825</x:v>
      </x:c>
      <x:c r="M4358" s="11" t="n">
        <x:f>'管线假设'!H939</x:f>
        <x:v>0.14</x:v>
      </x:c>
      <x:c r="N4358" s="11" t="n">
        <x:f>IF(G4358,L4358*AN4358/(1+M4358)^F4358,0)</x:f>
        <x:v>0.9653213076235804</x:v>
      </x:c>
      <x:c r="AJ4358" s="42" t="n">
        <x:v>0</x:v>
      </x:c>
      <x:c r="AK4358" s="42" t="n">
        <x:v>0</x:v>
      </x:c>
      <x:c r="AL4358" s="42" t="n">
        <x:v>0</x:v>
      </x:c>
      <x:c r="AM4358" t="n">
        <x:f>CHOOSE('假设'!$B$3,AJ4358,AK4358,AL4358)</x:f>
        <x:v>0</x:v>
      </x:c>
      <x:c r="AN4358" t="n">
        <x:v>1</x:v>
      </x:c>
    </x:row>
    <x:row r="4359" ht="23" customHeight="1">
      <x:c r="A4359" s="11" t="str">
        <x:v>02162.HK</x:v>
      </x:c>
      <x:c r="B4359" s="11" t="str">
        <x:v>三年</x:v>
      </x:c>
      <x:c r="C4359" s="11" t="str">
        <x:v>CM310_approved</x:v>
      </x:c>
      <x:c r="D4359" s="11" t="str">
        <x:v>2036-12-31</x:v>
      </x:c>
      <x:c r="E4359" s="11" t="str">
        <x:v>CNY</x:v>
      </x:c>
      <x:c r="F4359" s="11" t="n">
        <x:v>7.227926078028747</x:v>
      </x:c>
      <x:c r="G4359" s="26" t="b">
        <x:v>1</x:v>
      </x:c>
      <x:c r="H4359" s="16" t="n">
        <x:v>1.2</x:v>
      </x:c>
      <x:c r="I4359" s="16" t="n">
        <x:v>4.9</x:v>
      </x:c>
      <x:c r="J4359" s="16" t="n">
        <x:v>7.3</x:v>
      </x:c>
      <x:c r="K4359" s="11" t="n">
        <x:f>CHOOSE('假设'!$B$3,H4359,I4359,J4359)</x:f>
        <x:v>4.9</x:v>
      </x:c>
      <x:c r="L4359" s="11" t="n">
        <x:f>K4359*'管线假设'!E939*'管线假设'!F939*'管线假设'!G939*IF(E4359="USD",'管线假设'!I939,1)-AM4359</x:f>
        <x:v>2.13885</x:v>
      </x:c>
      <x:c r="M4359" s="11" t="n">
        <x:f>'管线假设'!H939</x:f>
        <x:v>0.14</x:v>
      </x:c>
      <x:c r="N4359" s="11" t="n">
        <x:f>IF(G4359,L4359*AN4359/(1+M4359)^F4359,0)</x:f>
        <x:v>0.8296143759932365</x:v>
      </x:c>
      <x:c r="AJ4359" s="42" t="n">
        <x:v>0</x:v>
      </x:c>
      <x:c r="AK4359" s="42" t="n">
        <x:v>0</x:v>
      </x:c>
      <x:c r="AL4359" s="42" t="n">
        <x:v>0</x:v>
      </x:c>
      <x:c r="AM4359" t="n">
        <x:f>CHOOSE('假设'!$B$3,AJ4359,AK4359,AL4359)</x:f>
        <x:v>0</x:v>
      </x:c>
      <x:c r="AN4359" t="n">
        <x:v>1</x:v>
      </x:c>
    </x:row>
    <x:row r="4360" ht="23" customHeight="1">
      <x:c r="A4360" s="11" t="str">
        <x:v>02162.HK</x:v>
      </x:c>
      <x:c r="B4360" s="11" t="str">
        <x:v>三年</x:v>
      </x:c>
      <x:c r="C4360" s="11" t="str">
        <x:v>CM310_approved</x:v>
      </x:c>
      <x:c r="D4360" s="11" t="str">
        <x:v>2037-12-31</x:v>
      </x:c>
      <x:c r="E4360" s="11" t="str">
        <x:v>CNY</x:v>
      </x:c>
      <x:c r="F4360" s="11" t="n">
        <x:v>8.227241615331964</x:v>
      </x:c>
      <x:c r="G4360" s="26" t="b">
        <x:v>1</x:v>
      </x:c>
      <x:c r="H4360" s="16" t="n">
        <x:v>1.1</x:v>
      </x:c>
      <x:c r="I4360" s="16" t="n">
        <x:v>4.6</x:v>
      </x:c>
      <x:c r="J4360" s="16" t="n">
        <x:v>6.9</x:v>
      </x:c>
      <x:c r="K4360" s="11" t="n">
        <x:f>CHOOSE('假设'!$B$3,H4360,I4360,J4360)</x:f>
        <x:v>4.6</x:v>
      </x:c>
      <x:c r="L4360" s="11" t="n">
        <x:f>K4360*'管线假设'!E939*'管线假设'!F939*'管线假设'!G939*IF(E4360="USD",'管线假设'!I939,1)-AM4360</x:f>
        <x:v>2.0079</x:v>
      </x:c>
      <x:c r="M4360" s="11" t="n">
        <x:f>'管线假设'!H939</x:f>
        <x:v>0.14</x:v>
      </x:c>
      <x:c r="N4360" s="11" t="n">
        <x:f>IF(G4360,L4360*AN4360/(1+M4360)^F4360,0)</x:f>
        <x:v>0.683238166698894</x:v>
      </x:c>
      <x:c r="AJ4360" s="42" t="n">
        <x:v>0</x:v>
      </x:c>
      <x:c r="AK4360" s="42" t="n">
        <x:v>0</x:v>
      </x:c>
      <x:c r="AL4360" s="42" t="n">
        <x:v>0</x:v>
      </x:c>
      <x:c r="AM4360" t="n">
        <x:f>CHOOSE('假设'!$B$3,AJ4360,AK4360,AL4360)</x:f>
        <x:v>0</x:v>
      </x:c>
      <x:c r="AN4360" t="n">
        <x:v>1</x:v>
      </x:c>
    </x:row>
    <x:row r="4361" ht="23" customHeight="1">
      <x:c r="A4361" s="11" t="str">
        <x:v>02162.HK</x:v>
      </x:c>
      <x:c r="B4361" s="11" t="str">
        <x:v>三年</x:v>
      </x:c>
      <x:c r="C4361" s="11" t="str">
        <x:v>CM310_approved</x:v>
      </x:c>
      <x:c r="D4361" s="11" t="str">
        <x:v>2038-12-31</x:v>
      </x:c>
      <x:c r="E4361" s="11" t="str">
        <x:v>CNY</x:v>
      </x:c>
      <x:c r="F4361" s="11" t="n">
        <x:v>9.22655715263518</x:v>
      </x:c>
      <x:c r="G4361" s="26" t="b">
        <x:v>1</x:v>
      </x:c>
      <x:c r="H4361" s="16" t="n">
        <x:v>0.9</x:v>
      </x:c>
      <x:c r="I4361" s="16" t="n">
        <x:v>4.2</x:v>
      </x:c>
      <x:c r="J4361" s="16" t="n">
        <x:v>6.2</x:v>
      </x:c>
      <x:c r="K4361" s="11" t="n">
        <x:f>CHOOSE('假设'!$B$3,H4361,I4361,J4361)</x:f>
        <x:v>4.2</x:v>
      </x:c>
      <x:c r="L4361" s="11" t="n">
        <x:f>K4361*'管线假设'!E939*'管线假设'!F939*'管线假设'!G939*IF(E4361="USD",'管线假设'!I939,1)-AM4361</x:f>
        <x:v>1.8333</x:v>
      </x:c>
      <x:c r="M4361" s="11" t="n">
        <x:f>'管线假设'!H939</x:f>
        <x:v>0.14</x:v>
      </x:c>
      <x:c r="N4361" s="11" t="n">
        <x:f>IF(G4361,L4361*AN4361/(1+M4361)^F4361,0)</x:f>
        <x:v>0.5472650016759042</x:v>
      </x:c>
      <x:c r="AJ4361" s="42" t="n">
        <x:v>0</x:v>
      </x:c>
      <x:c r="AK4361" s="42" t="n">
        <x:v>0</x:v>
      </x:c>
      <x:c r="AL4361" s="42" t="n">
        <x:v>0</x:v>
      </x:c>
      <x:c r="AM4361" t="n">
        <x:f>CHOOSE('假设'!$B$3,AJ4361,AK4361,AL4361)</x:f>
        <x:v>0</x:v>
      </x:c>
      <x:c r="AN4361" t="n">
        <x:v>1</x:v>
      </x:c>
    </x:row>
    <x:row r="4362" ht="23" customHeight="1">
      <x:c r="A4362" s="11" t="str">
        <x:v>02162.HK</x:v>
      </x:c>
      <x:c r="B4362" s="11" t="str">
        <x:v>三年</x:v>
      </x:c>
      <x:c r="C4362" s="11" t="str">
        <x:v>CM310_approved</x:v>
      </x:c>
      <x:c r="D4362" s="11" t="str">
        <x:v>2039-12-31</x:v>
      </x:c>
      <x:c r="E4362" s="11" t="str">
        <x:v>CNY</x:v>
      </x:c>
      <x:c r="F4362" s="11" t="n">
        <x:v>10.225872689938399</x:v>
      </x:c>
      <x:c r="G4362" s="26" t="b">
        <x:v>1</x:v>
      </x:c>
      <x:c r="H4362" s="16" t="n">
        <x:v>0.7</x:v>
      </x:c>
      <x:c r="I4362" s="16" t="n">
        <x:v>3.6</x:v>
      </x:c>
      <x:c r="J4362" s="16" t="n">
        <x:v>5.3</x:v>
      </x:c>
      <x:c r="K4362" s="11" t="n">
        <x:f>CHOOSE('假设'!$B$3,H4362,I4362,J4362)</x:f>
        <x:v>3.6</x:v>
      </x:c>
      <x:c r="L4362" s="11" t="n">
        <x:f>K4362*'管线假设'!E939*'管线假设'!F939*'管线假设'!G939*IF(E4362="USD",'管线假设'!I939,1)-AM4362</x:f>
        <x:v>1.5714000000000001</x:v>
      </x:c>
      <x:c r="M4362" s="11" t="n">
        <x:f>'管线假设'!H939</x:f>
        <x:v>0.14</x:v>
      </x:c>
      <x:c r="N4362" s="11" t="n">
        <x:f>IF(G4362,L4362*AN4362/(1+M4362)^F4362,0)</x:f>
        <x:v>0.41151434944976895</x:v>
      </x:c>
      <x:c r="AJ4362" s="42" t="n">
        <x:v>0</x:v>
      </x:c>
      <x:c r="AK4362" s="42" t="n">
        <x:v>0</x:v>
      </x:c>
      <x:c r="AL4362" s="42" t="n">
        <x:v>0</x:v>
      </x:c>
      <x:c r="AM4362" t="n">
        <x:f>CHOOSE('假设'!$B$3,AJ4362,AK4362,AL4362)</x:f>
        <x:v>0</x:v>
      </x:c>
      <x:c r="AN4362" t="n">
        <x:v>1</x:v>
      </x:c>
    </x:row>
    <x:row r="4363" ht="23" customHeight="1">
      <x:c r="A4363" s="11" t="str">
        <x:v>02162.HK</x:v>
      </x:c>
      <x:c r="B4363" s="11" t="str">
        <x:v>三年</x:v>
      </x:c>
      <x:c r="C4363" s="11" t="str">
        <x:v>CM310_approved</x:v>
      </x:c>
      <x:c r="D4363" s="11" t="str">
        <x:v>2040-12-31</x:v>
      </x:c>
      <x:c r="E4363" s="11" t="str">
        <x:v>CNY</x:v>
      </x:c>
      <x:c r="F4363" s="11" t="n">
        <x:v>11.227926078028748</x:v>
      </x:c>
      <x:c r="G4363" s="26" t="b">
        <x:v>1</x:v>
      </x:c>
      <x:c r="H4363" s="16" t="n">
        <x:v>0.5</x:v>
      </x:c>
      <x:c r="I4363" s="16" t="n">
        <x:v>2.9</x:v>
      </x:c>
      <x:c r="J4363" s="16" t="n">
        <x:v>4.3</x:v>
      </x:c>
      <x:c r="K4363" s="11" t="n">
        <x:f>CHOOSE('假设'!$B$3,H4363,I4363,J4363)</x:f>
        <x:v>2.9</x:v>
      </x:c>
      <x:c r="L4363" s="11" t="n">
        <x:f>K4363*'管线假设'!E939*'管线假设'!F939*'管线假设'!G939*IF(E4363="USD",'管线假设'!I939,1)-AM4363</x:f>
        <x:v>1.26585</x:v>
      </x:c>
      <x:c r="M4363" s="11" t="n">
        <x:f>'管线假设'!H939</x:f>
        <x:v>0.14</x:v>
      </x:c>
      <x:c r="N4363" s="11" t="n">
        <x:f>IF(G4363,L4363*AN4363/(1+M4363)^F4363,0)</x:f>
        <x:v>0.290709203787812</x:v>
      </x:c>
      <x:c r="AJ4363" s="42" t="n">
        <x:v>0</x:v>
      </x:c>
      <x:c r="AK4363" s="42" t="n">
        <x:v>0</x:v>
      </x:c>
      <x:c r="AL4363" s="42" t="n">
        <x:v>0</x:v>
      </x:c>
      <x:c r="AM4363" t="n">
        <x:f>CHOOSE('假设'!$B$3,AJ4363,AK4363,AL4363)</x:f>
        <x:v>0</x:v>
      </x:c>
      <x:c r="AN4363" t="n">
        <x:v>1</x:v>
      </x:c>
    </x:row>
    <x:row r="4364" ht="23" customHeight="1">
      <x:c r="A4364" s="11" t="str">
        <x:v>02162.HK</x:v>
      </x:c>
      <x:c r="B4364" s="11" t="str">
        <x:v>三年</x:v>
      </x:c>
      <x:c r="C4364" s="11" t="str">
        <x:v>CM310_approved</x:v>
      </x:c>
      <x:c r="D4364" s="11" t="str">
        <x:v>2041-12-31</x:v>
      </x:c>
      <x:c r="E4364" s="11" t="str">
        <x:v>CNY</x:v>
      </x:c>
      <x:c r="F4364" s="11" t="n">
        <x:v>12.227241615331964</x:v>
      </x:c>
      <x:c r="G4364" s="26" t="b">
        <x:v>1</x:v>
      </x:c>
      <x:c r="H4364" s="16" t="n">
        <x:v>0.35</x:v>
      </x:c>
      <x:c r="I4364" s="16" t="n">
        <x:v>2.2</x:v>
      </x:c>
      <x:c r="J4364" s="16" t="n">
        <x:v>3.3</x:v>
      </x:c>
      <x:c r="K4364" s="11" t="n">
        <x:f>CHOOSE('假设'!$B$3,H4364,I4364,J4364)</x:f>
        <x:v>2.2</x:v>
      </x:c>
      <x:c r="L4364" s="11" t="n">
        <x:f>K4364*'管线假设'!E939*'管线假设'!F939*'管线假设'!G939*IF(E4364="USD",'管线假设'!I939,1)-AM4364</x:f>
        <x:v>0.9602999999999999</x:v>
      </x:c>
      <x:c r="M4364" s="11" t="n">
        <x:f>'管线假设'!H939</x:f>
        <x:v>0.14</x:v>
      </x:c>
      <x:c r="N4364" s="11" t="n">
        <x:f>IF(G4364,L4364*AN4364/(1+M4364)^F4364,0)</x:f>
        <x:v>0.19347175111907786</x:v>
      </x:c>
      <x:c r="AJ4364" s="42" t="n">
        <x:v>0</x:v>
      </x:c>
      <x:c r="AK4364" s="42" t="n">
        <x:v>0</x:v>
      </x:c>
      <x:c r="AL4364" s="42" t="n">
        <x:v>0</x:v>
      </x:c>
      <x:c r="AM4364" t="n">
        <x:f>CHOOSE('假设'!$B$3,AJ4364,AK4364,AL4364)</x:f>
        <x:v>0</x:v>
      </x:c>
      <x:c r="AN4364" t="n">
        <x:v>1</x:v>
      </x:c>
    </x:row>
    <x:row r="4365" ht="23" customHeight="1">
      <x:c r="A4365" s="11" t="str">
        <x:v>02162.HK</x:v>
      </x:c>
      <x:c r="B4365" s="11" t="str">
        <x:v>三年</x:v>
      </x:c>
      <x:c r="C4365" s="11" t="str">
        <x:v>CM310_approved</x:v>
      </x:c>
      <x:c r="D4365" s="11" t="str">
        <x:v>2042-12-31</x:v>
      </x:c>
      <x:c r="E4365" s="11" t="str">
        <x:v>CNY</x:v>
      </x:c>
      <x:c r="F4365" s="11" t="n">
        <x:v>13.22655715263518</x:v>
      </x:c>
      <x:c r="G4365" s="26" t="b">
        <x:v>1</x:v>
      </x:c>
      <x:c r="H4365" s="16" t="n">
        <x:v>0.25</x:v>
      </x:c>
      <x:c r="I4365" s="16" t="n">
        <x:v>1.5</x:v>
      </x:c>
      <x:c r="J4365" s="16" t="n">
        <x:v>2.3</x:v>
      </x:c>
      <x:c r="K4365" s="11" t="n">
        <x:f>CHOOSE('假设'!$B$3,H4365,I4365,J4365)</x:f>
        <x:v>1.5</x:v>
      </x:c>
      <x:c r="L4365" s="11" t="n">
        <x:f>K4365*'管线假设'!E939*'管线假设'!F939*'管线假设'!G939*IF(E4365="USD",'管线假设'!I939,1)-AM4365</x:f>
        <x:v>0.65475</x:v>
      </x:c>
      <x:c r="M4365" s="11" t="n">
        <x:f>'管线假设'!H939</x:f>
        <x:v>0.14</x:v>
      </x:c>
      <x:c r="N4365" s="11" t="n">
        <x:f>IF(G4365,L4365*AN4365/(1+M4365)^F4365,0)</x:f>
        <x:v>0.11572314785259522</x:v>
      </x:c>
      <x:c r="AJ4365" s="42" t="n">
        <x:v>0</x:v>
      </x:c>
      <x:c r="AK4365" s="42" t="n">
        <x:v>0</x:v>
      </x:c>
      <x:c r="AL4365" s="42" t="n">
        <x:v>0</x:v>
      </x:c>
      <x:c r="AM4365" t="n">
        <x:f>CHOOSE('假设'!$B$3,AJ4365,AK4365,AL4365)</x:f>
        <x:v>0</x:v>
      </x:c>
      <x:c r="AN4365" t="n">
        <x:v>1</x:v>
      </x:c>
    </x:row>
    <x:row r="4366" ht="23" customHeight="1">
      <x:c r="A4366" s="11" t="str">
        <x:v>02162.HK</x:v>
      </x:c>
      <x:c r="B4366" s="11" t="str">
        <x:v>三年</x:v>
      </x:c>
      <x:c r="C4366" s="11" t="str">
        <x:v>CM310_approved</x:v>
      </x:c>
      <x:c r="D4366" s="11" t="str">
        <x:v>2043-12-31</x:v>
      </x:c>
      <x:c r="E4366" s="11" t="str">
        <x:v>CNY</x:v>
      </x:c>
      <x:c r="F4366" s="11" t="n">
        <x:v>14.225872689938399</x:v>
      </x:c>
      <x:c r="G4366" s="26" t="b">
        <x:v>1</x:v>
      </x:c>
      <x:c r="H4366" s="16" t="n">
        <x:v>0.15</x:v>
      </x:c>
      <x:c r="I4366" s="16" t="n">
        <x:v>0.9</x:v>
      </x:c>
      <x:c r="J4366" s="16" t="n">
        <x:v>1.4</x:v>
      </x:c>
      <x:c r="K4366" s="11" t="n">
        <x:f>CHOOSE('假设'!$B$3,H4366,I4366,J4366)</x:f>
        <x:v>0.9</x:v>
      </x:c>
      <x:c r="L4366" s="11" t="n">
        <x:f>K4366*'管线假设'!E939*'管线假设'!F939*'管线假设'!G939*IF(E4366="USD",'管线假设'!I939,1)-AM4366</x:f>
        <x:v>0.39285000000000003</x:v>
      </x:c>
      <x:c r="M4366" s="11" t="n">
        <x:f>'管线假设'!H939</x:f>
        <x:v>0.14</x:v>
      </x:c>
      <x:c r="N4366" s="11" t="n">
        <x:f>IF(G4366,L4366*AN4366/(1+M4366)^F4366,0)</x:f>
        <x:v>0.06091238254100806</x:v>
      </x:c>
      <x:c r="AJ4366" s="42" t="n">
        <x:v>0</x:v>
      </x:c>
      <x:c r="AK4366" s="42" t="n">
        <x:v>0</x:v>
      </x:c>
      <x:c r="AL4366" s="42" t="n">
        <x:v>0</x:v>
      </x:c>
      <x:c r="AM4366" t="n">
        <x:f>CHOOSE('假设'!$B$3,AJ4366,AK4366,AL4366)</x:f>
        <x:v>0</x:v>
      </x:c>
      <x:c r="AN4366" t="n">
        <x:v>1</x:v>
      </x:c>
    </x:row>
    <x:row r="4367" ht="23" customHeight="1">
      <x:c r="A4367" s="11" t="str">
        <x:v>02162.HK</x:v>
      </x:c>
      <x:c r="B4367" s="11" t="str">
        <x:v>三年</x:v>
      </x:c>
      <x:c r="C4367" s="11" t="str">
        <x:v>CM310_approved</x:v>
      </x:c>
      <x:c r="D4367" s="11" t="str">
        <x:v>2044-12-31</x:v>
      </x:c>
      <x:c r="E4367" s="11" t="str">
        <x:v>CNY</x:v>
      </x:c>
      <x:c r="F4367" s="11" t="n">
        <x:v>15.227926078028748</x:v>
      </x:c>
      <x:c r="G4367" s="26" t="b">
        <x:v>1</x:v>
      </x:c>
      <x:c r="H4367" s="16" t="n">
        <x:v>0.1</x:v>
      </x:c>
      <x:c r="I4367" s="16" t="n">
        <x:v>0.5</x:v>
      </x:c>
      <x:c r="J4367" s="16" t="n">
        <x:v>0.8</x:v>
      </x:c>
      <x:c r="K4367" s="11" t="n">
        <x:f>CHOOSE('假设'!$B$3,H4367,I4367,J4367)</x:f>
        <x:v>0.5</x:v>
      </x:c>
      <x:c r="L4367" s="11" t="n">
        <x:f>K4367*'管线假设'!E939*'管线假设'!F939*'管线假设'!G939*IF(E4367="USD",'管线假设'!I939,1)-AM4367</x:f>
        <x:v>0.21825</x:v>
      </x:c>
      <x:c r="M4367" s="11" t="n">
        <x:f>'管线假设'!H939</x:f>
        <x:v>0.14</x:v>
      </x:c>
      <x:c r="N4367" s="11" t="n">
        <x:f>IF(G4367,L4367*AN4367/(1+M4367)^F4367,0)</x:f>
        <x:v>0.029676411381509428</x:v>
      </x:c>
      <x:c r="AJ4367" s="42" t="n">
        <x:v>0</x:v>
      </x:c>
      <x:c r="AK4367" s="42" t="n">
        <x:v>0</x:v>
      </x:c>
      <x:c r="AL4367" s="42" t="n">
        <x:v>0</x:v>
      </x:c>
      <x:c r="AM4367" t="n">
        <x:f>CHOOSE('假设'!$B$3,AJ4367,AK4367,AL4367)</x:f>
        <x:v>0</x:v>
      </x:c>
      <x:c r="AN4367" t="n">
        <x:v>1</x:v>
      </x:c>
    </x:row>
    <x:row r="4368" ht="23" customHeight="1">
      <x:c r="A4368" s="11" t="str">
        <x:v>02162.HK</x:v>
      </x:c>
      <x:c r="B4368" s="11" t="str">
        <x:v>三年</x:v>
      </x:c>
      <x:c r="C4368" s="11" t="str">
        <x:v>CM310_new</x:v>
      </x:c>
      <x:c r="D4368" s="11" t="str">
        <x:v>2026-12-31</x:v>
      </x:c>
      <x:c r="E4368" s="11" t="str">
        <x:v>CNY</x:v>
      </x:c>
      <x:c r="F4368" s="11" t="n">
        <x:v>-2.7734428473648185</x:v>
      </x:c>
      <x:c r="G4368" s="26" t="b">
        <x:v>0</x:v>
      </x:c>
      <x:c r="H4368" s="16" t="n">
        <x:v>0</x:v>
      </x:c>
      <x:c r="I4368" s="16" t="n">
        <x:v>0</x:v>
      </x:c>
      <x:c r="J4368" s="16" t="n">
        <x:v>0</x:v>
      </x:c>
      <x:c r="K4368" s="11" t="n">
        <x:f>CHOOSE('假设'!$B$3,H4368,I4368,J4368)</x:f>
        <x:v>0</x:v>
      </x:c>
      <x:c r="L4368" s="11" t="n">
        <x:f>K4368*'管线假设'!E943*'管线假设'!F943*'管线假设'!G943*IF(E4368="USD",'管线假设'!I943,1)-AM4368</x:f>
        <x:v>-0.05</x:v>
      </x:c>
      <x:c r="M4368" s="11" t="n">
        <x:f>'管线假设'!H943</x:f>
        <x:v>0.14</x:v>
      </x:c>
      <x:c r="N4368" s="11" t="n">
        <x:f>IF(G4368,L4368*AN4368/(1+M4368)^F4368,0)</x:f>
        <x:v>0</x:v>
      </x:c>
      <x:c r="AJ4368" s="42" t="n">
        <x:v>0.04</x:v>
      </x:c>
      <x:c r="AK4368" s="42" t="n">
        <x:v>0.05</x:v>
      </x:c>
      <x:c r="AL4368" s="42" t="n">
        <x:v>0.06</x:v>
      </x:c>
      <x:c r="AM4368" t="n">
        <x:f>CHOOSE('假设'!$B$3,AJ4368,AK4368,AL4368)</x:f>
        <x:v>0.05</x:v>
      </x:c>
      <x:c r="AN4368" t="n">
        <x:v>0</x:v>
      </x:c>
    </x:row>
    <x:row r="4369" ht="23" customHeight="1">
      <x:c r="A4369" s="11" t="str">
        <x:v>02162.HK</x:v>
      </x:c>
      <x:c r="B4369" s="11" t="str">
        <x:v>三年</x:v>
      </x:c>
      <x:c r="C4369" s="11" t="str">
        <x:v>CM310_new</x:v>
      </x:c>
      <x:c r="D4369" s="11" t="str">
        <x:v>2027-12-31</x:v>
      </x:c>
      <x:c r="E4369" s="11" t="str">
        <x:v>CNY</x:v>
      </x:c>
      <x:c r="F4369" s="11" t="n">
        <x:v>-1.7741273100616017</x:v>
      </x:c>
      <x:c r="G4369" s="26" t="b">
        <x:v>0</x:v>
      </x:c>
      <x:c r="H4369" s="16" t="n">
        <x:v>0</x:v>
      </x:c>
      <x:c r="I4369" s="16" t="n">
        <x:v>0.06</x:v>
      </x:c>
      <x:c r="J4369" s="16" t="n">
        <x:v>0.108</x:v>
      </x:c>
      <x:c r="K4369" s="11" t="n">
        <x:f>CHOOSE('假设'!$B$3,H4369,I4369,J4369)</x:f>
        <x:v>0.06</x:v>
      </x:c>
      <x:c r="L4369" s="11" t="n">
        <x:f>K4369*'管线假设'!E943*'管线假设'!F943*'管线假设'!G943*IF(E4369="USD",'管线假设'!I943,1)-AM4369</x:f>
        <x:v>-0.0211</x:v>
      </x:c>
      <x:c r="M4369" s="11" t="n">
        <x:f>'管线假设'!H943</x:f>
        <x:v>0.14</x:v>
      </x:c>
      <x:c r="N4369" s="11" t="n">
        <x:f>IF(G4369,L4369*AN4369/(1+M4369)^F4369,0)</x:f>
        <x:v>0</x:v>
      </x:c>
      <x:c r="AJ4369" s="42" t="n">
        <x:v>0.02</x:v>
      </x:c>
      <x:c r="AK4369" s="42" t="n">
        <x:v>0.04</x:v>
      </x:c>
      <x:c r="AL4369" s="42" t="n">
        <x:v>0.05</x:v>
      </x:c>
      <x:c r="AM4369" t="n">
        <x:f>CHOOSE('假设'!$B$3,AJ4369,AK4369,AL4369)</x:f>
        <x:v>0.04</x:v>
      </x:c>
      <x:c r="AN4369" t="n">
        <x:v>0</x:v>
      </x:c>
    </x:row>
    <x:row r="4370" ht="23" customHeight="1">
      <x:c r="A4370" s="11" t="str">
        <x:v>02162.HK</x:v>
      </x:c>
      <x:c r="B4370" s="11" t="str">
        <x:v>三年</x:v>
      </x:c>
      <x:c r="C4370" s="11" t="str">
        <x:v>CM310_new</x:v>
      </x:c>
      <x:c r="D4370" s="11" t="str">
        <x:v>2028-12-31</x:v>
      </x:c>
      <x:c r="E4370" s="11" t="str">
        <x:v>CNY</x:v>
      </x:c>
      <x:c r="F4370" s="11" t="n">
        <x:v>-0.7720739219712526</x:v>
      </x:c>
      <x:c r="G4370" s="26" t="b">
        <x:v>0</x:v>
      </x:c>
      <x:c r="H4370" s="16" t="n">
        <x:v>0.024</x:v>
      </x:c>
      <x:c r="I4370" s="16" t="n">
        <x:v>0.18</x:v>
      </x:c>
      <x:c r="J4370" s="16" t="n">
        <x:v>0.324</x:v>
      </x:c>
      <x:c r="K4370" s="11" t="n">
        <x:f>CHOOSE('假设'!$B$3,H4370,I4370,J4370)</x:f>
        <x:v>0.18</x:v>
      </x:c>
      <x:c r="L4370" s="11" t="n">
        <x:f>K4370*'管线假设'!E943*'管线假设'!F943*'管线假设'!G943*IF(E4370="USD",'管线假设'!I943,1)-AM4370</x:f>
        <x:v>0.036699999999999997</x:v>
      </x:c>
      <x:c r="M4370" s="11" t="n">
        <x:f>'管线假设'!H943</x:f>
        <x:v>0.14</x:v>
      </x:c>
      <x:c r="N4370" s="11" t="n">
        <x:f>IF(G4370,L4370*AN4370/(1+M4370)^F4370,0)</x:f>
        <x:v>0</x:v>
      </x:c>
      <x:c r="AJ4370" s="42" t="n">
        <x:v>0</x:v>
      </x:c>
      <x:c r="AK4370" s="42" t="n">
        <x:v>0.02</x:v>
      </x:c>
      <x:c r="AL4370" s="42" t="n">
        <x:v>0.03</x:v>
      </x:c>
      <x:c r="AM4370" t="n">
        <x:f>CHOOSE('假设'!$B$3,AJ4370,AK4370,AL4370)</x:f>
        <x:v>0.02</x:v>
      </x:c>
      <x:c r="AN4370" t="n">
        <x:v>0</x:v>
      </x:c>
    </x:row>
    <x:row r="4371" ht="23" customHeight="1">
      <x:c r="A4371" s="11" t="str">
        <x:v>02162.HK</x:v>
      </x:c>
      <x:c r="B4371" s="11" t="str">
        <x:v>三年</x:v>
      </x:c>
      <x:c r="C4371" s="11" t="str">
        <x:v>CM310_new</x:v>
      </x:c>
      <x:c r="D4371" s="11" t="str">
        <x:v>2029-12-31</x:v>
      </x:c>
      <x:c r="E4371" s="11" t="str">
        <x:v>CNY</x:v>
      </x:c>
      <x:c r="F4371" s="11" t="n">
        <x:v>0.2272416153319644</x:v>
      </x:c>
      <x:c r="G4371" s="26" t="b">
        <x:v>1</x:v>
      </x:c>
      <x:c r="H4371" s="16" t="n">
        <x:v>0.072</x:v>
      </x:c>
      <x:c r="I4371" s="16" t="n">
        <x:v>0.38</x:v>
      </x:c>
      <x:c r="J4371" s="16" t="n">
        <x:v>0.684</x:v>
      </x:c>
      <x:c r="K4371" s="11" t="n">
        <x:f>CHOOSE('假设'!$B$3,H4371,I4371,J4371)</x:f>
        <x:v>0.38</x:v>
      </x:c>
      <x:c r="L4371" s="11" t="n">
        <x:f>K4371*'管线假设'!E943*'管线假设'!F943*'管线假设'!G943*IF(E4371="USD",'管线假设'!I943,1)-AM4371</x:f>
        <x:v>0.11969999999999999</x:v>
      </x:c>
      <x:c r="M4371" s="11" t="n">
        <x:f>'管线假设'!H943</x:f>
        <x:v>0.14</x:v>
      </x:c>
      <x:c r="N4371" s="11" t="n">
        <x:f>IF(G4371,L4371*AN4371/(1+M4371)^F4371,0)</x:f>
        <x:v>0.026493522753525803</x:v>
      </x:c>
      <x:c r="AJ4371" s="42" t="n">
        <x:v>0</x:v>
      </x:c>
      <x:c r="AK4371" s="42" t="n">
        <x:v>0</x:v>
      </x:c>
      <x:c r="AL4371" s="42" t="n">
        <x:v>0</x:v>
      </x:c>
      <x:c r="AM4371" t="n">
        <x:f>CHOOSE('假设'!$B$3,AJ4371,AK4371,AL4371)</x:f>
        <x:v>0</x:v>
      </x:c>
      <x:c r="AN4371" t="n">
        <x:v>0.22802197802197802</x:v>
      </x:c>
    </x:row>
    <x:row r="4372" ht="23" customHeight="1">
      <x:c r="A4372" s="11" t="str">
        <x:v>02162.HK</x:v>
      </x:c>
      <x:c r="B4372" s="11" t="str">
        <x:v>三年</x:v>
      </x:c>
      <x:c r="C4372" s="11" t="str">
        <x:v>CM310_new</x:v>
      </x:c>
      <x:c r="D4372" s="11" t="str">
        <x:v>2030-12-31</x:v>
      </x:c>
      <x:c r="E4372" s="11" t="str">
        <x:v>CNY</x:v>
      </x:c>
      <x:c r="F4372" s="11" t="n">
        <x:v>1.2265571526351813</x:v>
      </x:c>
      <x:c r="G4372" s="26" t="b">
        <x:v>1</x:v>
      </x:c>
      <x:c r="H4372" s="16" t="n">
        <x:v>0.15200000000000002</x:v>
      </x:c>
      <x:c r="I4372" s="16" t="n">
        <x:v>0.65</x:v>
      </x:c>
      <x:c r="J4372" s="16" t="n">
        <x:v>1.1700000000000002</x:v>
      </x:c>
      <x:c r="K4372" s="11" t="n">
        <x:f>CHOOSE('假设'!$B$3,H4372,I4372,J4372)</x:f>
        <x:v>0.65</x:v>
      </x:c>
      <x:c r="L4372" s="11" t="n">
        <x:f>K4372*'管线假设'!E943*'管线假设'!F943*'管线假设'!G943*IF(E4372="USD",'管线假设'!I943,1)-AM4372</x:f>
        <x:v>0.20475</x:v>
      </x:c>
      <x:c r="M4372" s="11" t="n">
        <x:f>'管线假设'!H943</x:f>
        <x:v>0.14</x:v>
      </x:c>
      <x:c r="N4372" s="11" t="n">
        <x:f>IF(G4372,L4372*AN4372/(1+M4372)^F4372,0)</x:f>
        <x:v>0.1743519696708993</x:v>
      </x:c>
      <x:c r="AJ4372" s="42" t="n">
        <x:v>0</x:v>
      </x:c>
      <x:c r="AK4372" s="42" t="n">
        <x:v>0</x:v>
      </x:c>
      <x:c r="AL4372" s="42" t="n">
        <x:v>0</x:v>
      </x:c>
      <x:c r="AM4372" t="n">
        <x:f>CHOOSE('假设'!$B$3,AJ4372,AK4372,AL4372)</x:f>
        <x:v>0</x:v>
      </x:c>
      <x:c r="AN4372" t="n">
        <x:v>1</x:v>
      </x:c>
    </x:row>
    <x:row r="4373" ht="23" customHeight="1">
      <x:c r="A4373" s="11" t="str">
        <x:v>02162.HK</x:v>
      </x:c>
      <x:c r="B4373" s="11" t="str">
        <x:v>三年</x:v>
      </x:c>
      <x:c r="C4373" s="11" t="str">
        <x:v>CM310_new</x:v>
      </x:c>
      <x:c r="D4373" s="11" t="str">
        <x:v>2031-12-31</x:v>
      </x:c>
      <x:c r="E4373" s="11" t="str">
        <x:v>CNY</x:v>
      </x:c>
      <x:c r="F4373" s="11" t="n">
        <x:v>2.2258726899383983</x:v>
      </x:c>
      <x:c r="G4373" s="26" t="b">
        <x:v>1</x:v>
      </x:c>
      <x:c r="H4373" s="16" t="n">
        <x:v>0.26</x:v>
      </x:c>
      <x:c r="I4373" s="16" t="n">
        <x:v>0.85</x:v>
      </x:c>
      <x:c r="J4373" s="16" t="n">
        <x:v>1.53</x:v>
      </x:c>
      <x:c r="K4373" s="11" t="n">
        <x:f>CHOOSE('假设'!$B$3,H4373,I4373,J4373)</x:f>
        <x:v>0.85</x:v>
      </x:c>
      <x:c r="L4373" s="11" t="n">
        <x:f>K4373*'管线假设'!E943*'管线假设'!F943*'管线假设'!G943*IF(E4373="USD",'管线假设'!I943,1)-AM4373</x:f>
        <x:v>0.26775</x:v>
      </x:c>
      <x:c r="M4373" s="11" t="n">
        <x:f>'管线假设'!H943</x:f>
        <x:v>0.14</x:v>
      </x:c>
      <x:c r="N4373" s="11" t="n">
        <x:f>IF(G4373,L4373*AN4373/(1+M4373)^F4373,0)</x:f>
        <x:v>0.2000168230833655</x:v>
      </x:c>
      <x:c r="AJ4373" s="42" t="n">
        <x:v>0</x:v>
      </x:c>
      <x:c r="AK4373" s="42" t="n">
        <x:v>0</x:v>
      </x:c>
      <x:c r="AL4373" s="42" t="n">
        <x:v>0</x:v>
      </x:c>
      <x:c r="AM4373" t="n">
        <x:f>CHOOSE('假设'!$B$3,AJ4373,AK4373,AL4373)</x:f>
        <x:v>0</x:v>
      </x:c>
      <x:c r="AN4373" t="n">
        <x:v>1</x:v>
      </x:c>
    </x:row>
    <x:row r="4374" ht="23" customHeight="1">
      <x:c r="A4374" s="11" t="str">
        <x:v>02162.HK</x:v>
      </x:c>
      <x:c r="B4374" s="11" t="str">
        <x:v>三年</x:v>
      </x:c>
      <x:c r="C4374" s="11" t="str">
        <x:v>CM310_new</x:v>
      </x:c>
      <x:c r="D4374" s="11" t="str">
        <x:v>2032-12-31</x:v>
      </x:c>
      <x:c r="E4374" s="11" t="str">
        <x:v>CNY</x:v>
      </x:c>
      <x:c r="F4374" s="11" t="n">
        <x:v>3.2279260780287475</x:v>
      </x:c>
      <x:c r="G4374" s="26" t="b">
        <x:v>1</x:v>
      </x:c>
      <x:c r="H4374" s="16" t="n">
        <x:v>0.34</x:v>
      </x:c>
      <x:c r="I4374" s="16" t="n">
        <x:v>1</x:v>
      </x:c>
      <x:c r="J4374" s="16" t="n">
        <x:v>1.8</x:v>
      </x:c>
      <x:c r="K4374" s="11" t="n">
        <x:f>CHOOSE('假设'!$B$3,H4374,I4374,J4374)</x:f>
        <x:v>1</x:v>
      </x:c>
      <x:c r="L4374" s="11" t="n">
        <x:f>K4374*'管线假设'!E943*'管线假设'!F943*'管线假设'!G943*IF(E4374="USD",'管线假设'!I943,1)-AM4374</x:f>
        <x:v>0.315</x:v>
      </x:c>
      <x:c r="M4374" s="11" t="n">
        <x:f>'管线假设'!H943</x:f>
        <x:v>0.14</x:v>
      </x:c>
      <x:c r="N4374" s="11" t="n">
        <x:f>IF(G4374,L4374*AN4374/(1+M4374)^F4374,0)</x:f>
        <x:v>0.20636018103326031</x:v>
      </x:c>
      <x:c r="AJ4374" s="42" t="n">
        <x:v>0</x:v>
      </x:c>
      <x:c r="AK4374" s="42" t="n">
        <x:v>0</x:v>
      </x:c>
      <x:c r="AL4374" s="42" t="n">
        <x:v>0</x:v>
      </x:c>
      <x:c r="AM4374" t="n">
        <x:f>CHOOSE('假设'!$B$3,AJ4374,AK4374,AL4374)</x:f>
        <x:v>0</x:v>
      </x:c>
      <x:c r="AN4374" t="n">
        <x:v>1</x:v>
      </x:c>
    </x:row>
    <x:row r="4375" ht="23" customHeight="1">
      <x:c r="A4375" s="11" t="str">
        <x:v>02162.HK</x:v>
      </x:c>
      <x:c r="B4375" s="11" t="str">
        <x:v>三年</x:v>
      </x:c>
      <x:c r="C4375" s="11" t="str">
        <x:v>CM310_new</x:v>
      </x:c>
      <x:c r="D4375" s="11" t="str">
        <x:v>2033-12-31</x:v>
      </x:c>
      <x:c r="E4375" s="11" t="str">
        <x:v>CNY</x:v>
      </x:c>
      <x:c r="F4375" s="11" t="n">
        <x:v>4.227241615331964</x:v>
      </x:c>
      <x:c r="G4375" s="26" t="b">
        <x:v>1</x:v>
      </x:c>
      <x:c r="H4375" s="16" t="n">
        <x:v>0.4</x:v>
      </x:c>
      <x:c r="I4375" s="16" t="n">
        <x:v>1</x:v>
      </x:c>
      <x:c r="J4375" s="16" t="n">
        <x:v>1.8</x:v>
      </x:c>
      <x:c r="K4375" s="11" t="n">
        <x:f>CHOOSE('假设'!$B$3,H4375,I4375,J4375)</x:f>
        <x:v>1</x:v>
      </x:c>
      <x:c r="L4375" s="11" t="n">
        <x:f>K4375*'管线假设'!E943*'管线假设'!F943*'管线假设'!G943*IF(E4375="USD",'管线假设'!I943,1)-AM4375</x:f>
        <x:v>0.315</x:v>
      </x:c>
      <x:c r="M4375" s="11" t="n">
        <x:f>'管线假设'!H943</x:f>
        <x:v>0.14</x:v>
      </x:c>
      <x:c r="N4375" s="11" t="n">
        <x:f>IF(G4375,L4375*AN4375/(1+M4375)^F4375,0)</x:f>
        <x:v>0.1810339377727723</x:v>
      </x:c>
      <x:c r="AJ4375" s="42" t="n">
        <x:v>0</x:v>
      </x:c>
      <x:c r="AK4375" s="42" t="n">
        <x:v>0</x:v>
      </x:c>
      <x:c r="AL4375" s="42" t="n">
        <x:v>0</x:v>
      </x:c>
      <x:c r="AM4375" t="n">
        <x:f>CHOOSE('假设'!$B$3,AJ4375,AK4375,AL4375)</x:f>
        <x:v>0</x:v>
      </x:c>
      <x:c r="AN4375" t="n">
        <x:v>1</x:v>
      </x:c>
    </x:row>
    <x:row r="4376" ht="23" customHeight="1">
      <x:c r="A4376" s="11" t="str">
        <x:v>02162.HK</x:v>
      </x:c>
      <x:c r="B4376" s="11" t="str">
        <x:v>三年</x:v>
      </x:c>
      <x:c r="C4376" s="11" t="str">
        <x:v>CM310_new</x:v>
      </x:c>
      <x:c r="D4376" s="11" t="str">
        <x:v>2034-12-31</x:v>
      </x:c>
      <x:c r="E4376" s="11" t="str">
        <x:v>CNY</x:v>
      </x:c>
      <x:c r="F4376" s="11" t="n">
        <x:v>5.2265571526351815</x:v>
      </x:c>
      <x:c r="G4376" s="26" t="b">
        <x:v>1</x:v>
      </x:c>
      <x:c r="H4376" s="16" t="n">
        <x:v>0.4</x:v>
      </x:c>
      <x:c r="I4376" s="16" t="n">
        <x:v>0.95</x:v>
      </x:c>
      <x:c r="J4376" s="16" t="n">
        <x:v>1.71</x:v>
      </x:c>
      <x:c r="K4376" s="11" t="n">
        <x:f>CHOOSE('假设'!$B$3,H4376,I4376,J4376)</x:f>
        <x:v>0.95</x:v>
      </x:c>
      <x:c r="L4376" s="11" t="n">
        <x:f>K4376*'管线假设'!E943*'管线假设'!F943*'管线假设'!G943*IF(E4376="USD",'管线假设'!I943,1)-AM4376</x:f>
        <x:v>0.29924999999999996</x:v>
      </x:c>
      <x:c r="M4376" s="11" t="n">
        <x:f>'管线假设'!H943</x:f>
        <x:v>0.14</x:v>
      </x:c>
      <x:c r="N4376" s="11" t="n">
        <x:f>IF(G4376,L4376*AN4376/(1+M4376)^F4376,0)</x:f>
        <x:v>0.15087514528407026</x:v>
      </x:c>
      <x:c r="AJ4376" s="42" t="n">
        <x:v>0</x:v>
      </x:c>
      <x:c r="AK4376" s="42" t="n">
        <x:v>0</x:v>
      </x:c>
      <x:c r="AL4376" s="42" t="n">
        <x:v>0</x:v>
      </x:c>
      <x:c r="AM4376" t="n">
        <x:f>CHOOSE('假设'!$B$3,AJ4376,AK4376,AL4376)</x:f>
        <x:v>0</x:v>
      </x:c>
      <x:c r="AN4376" t="n">
        <x:v>1</x:v>
      </x:c>
    </x:row>
    <x:row r="4377" ht="23" customHeight="1">
      <x:c r="A4377" s="11" t="str">
        <x:v>02162.HK</x:v>
      </x:c>
      <x:c r="B4377" s="11" t="str">
        <x:v>三年</x:v>
      </x:c>
      <x:c r="C4377" s="11" t="str">
        <x:v>CM310_new</x:v>
      </x:c>
      <x:c r="D4377" s="11" t="str">
        <x:v>2035-12-31</x:v>
      </x:c>
      <x:c r="E4377" s="11" t="str">
        <x:v>CNY</x:v>
      </x:c>
      <x:c r="F4377" s="11" t="n">
        <x:v>6.225872689938399</x:v>
      </x:c>
      <x:c r="G4377" s="26" t="b">
        <x:v>1</x:v>
      </x:c>
      <x:c r="H4377" s="16" t="n">
        <x:v>0.38</x:v>
      </x:c>
      <x:c r="I4377" s="16" t="n">
        <x:v>0.9</x:v>
      </x:c>
      <x:c r="J4377" s="16" t="n">
        <x:v>1.62</x:v>
      </x:c>
      <x:c r="K4377" s="11" t="n">
        <x:f>CHOOSE('假设'!$B$3,H4377,I4377,J4377)</x:f>
        <x:v>0.9</x:v>
      </x:c>
      <x:c r="L4377" s="11" t="n">
        <x:f>K4377*'管线假设'!E943*'管线假设'!F943*'管线假设'!G943*IF(E4377="USD",'管线假设'!I943,1)-AM4377</x:f>
        <x:v>0.28350000000000003</x:v>
      </x:c>
      <x:c r="M4377" s="11" t="n">
        <x:f>'管线假设'!H943</x:f>
        <x:v>0.14</x:v>
      </x:c>
      <x:c r="N4377" s="11" t="n">
        <x:f>IF(G4377,L4377*AN4377/(1+M4377)^F4377,0)</x:f>
        <x:v>0.1253922523304857</x:v>
      </x:c>
      <x:c r="AJ4377" s="42" t="n">
        <x:v>0</x:v>
      </x:c>
      <x:c r="AK4377" s="42" t="n">
        <x:v>0</x:v>
      </x:c>
      <x:c r="AL4377" s="42" t="n">
        <x:v>0</x:v>
      </x:c>
      <x:c r="AM4377" t="n">
        <x:f>CHOOSE('假设'!$B$3,AJ4377,AK4377,AL4377)</x:f>
        <x:v>0</x:v>
      </x:c>
      <x:c r="AN4377" t="n">
        <x:v>1</x:v>
      </x:c>
    </x:row>
    <x:row r="4378" ht="23" customHeight="1">
      <x:c r="A4378" s="11" t="str">
        <x:v>02162.HK</x:v>
      </x:c>
      <x:c r="B4378" s="11" t="str">
        <x:v>三年</x:v>
      </x:c>
      <x:c r="C4378" s="11" t="str">
        <x:v>CM310_new</x:v>
      </x:c>
      <x:c r="D4378" s="11" t="str">
        <x:v>2036-12-31</x:v>
      </x:c>
      <x:c r="E4378" s="11" t="str">
        <x:v>CNY</x:v>
      </x:c>
      <x:c r="F4378" s="11" t="n">
        <x:v>7.227926078028747</x:v>
      </x:c>
      <x:c r="G4378" s="26" t="b">
        <x:v>1</x:v>
      </x:c>
      <x:c r="H4378" s="16" t="n">
        <x:v>0.36000000000000004</x:v>
      </x:c>
      <x:c r="I4378" s="16" t="n">
        <x:v>0.8</x:v>
      </x:c>
      <x:c r="J4378" s="16" t="n">
        <x:v>1.4400000000000002</x:v>
      </x:c>
      <x:c r="K4378" s="11" t="n">
        <x:f>CHOOSE('假设'!$B$3,H4378,I4378,J4378)</x:f>
        <x:v>0.8</x:v>
      </x:c>
      <x:c r="L4378" s="11" t="n">
        <x:f>K4378*'管线假设'!E943*'管线假设'!F943*'管线假设'!G943*IF(E4378="USD",'管线假设'!I943,1)-AM4378</x:f>
        <x:v>0.252</x:v>
      </x:c>
      <x:c r="M4378" s="11" t="n">
        <x:f>'管线假设'!H943</x:f>
        <x:v>0.14</x:v>
      </x:c>
      <x:c r="N4378" s="11" t="n">
        <x:f>IF(G4378,L4378*AN4378/(1+M4378)^F4378,0)</x:f>
        <x:v>0.09774543457946822</x:v>
      </x:c>
      <x:c r="AJ4378" s="42" t="n">
        <x:v>0</x:v>
      </x:c>
      <x:c r="AK4378" s="42" t="n">
        <x:v>0</x:v>
      </x:c>
      <x:c r="AL4378" s="42" t="n">
        <x:v>0</x:v>
      </x:c>
      <x:c r="AM4378" t="n">
        <x:f>CHOOSE('假设'!$B$3,AJ4378,AK4378,AL4378)</x:f>
        <x:v>0</x:v>
      </x:c>
      <x:c r="AN4378" t="n">
        <x:v>1</x:v>
      </x:c>
    </x:row>
    <x:row r="4379" ht="23" customHeight="1">
      <x:c r="A4379" s="11" t="str">
        <x:v>02162.HK</x:v>
      </x:c>
      <x:c r="B4379" s="11" t="str">
        <x:v>三年</x:v>
      </x:c>
      <x:c r="C4379" s="11" t="str">
        <x:v>CM310_new</x:v>
      </x:c>
      <x:c r="D4379" s="11" t="str">
        <x:v>2037-12-31</x:v>
      </x:c>
      <x:c r="E4379" s="11" t="str">
        <x:v>CNY</x:v>
      </x:c>
      <x:c r="F4379" s="11" t="n">
        <x:v>8.227241615331964</x:v>
      </x:c>
      <x:c r="G4379" s="26" t="b">
        <x:v>1</x:v>
      </x:c>
      <x:c r="H4379" s="16" t="n">
        <x:v>0.32000000000000006</x:v>
      </x:c>
      <x:c r="I4379" s="16" t="n">
        <x:v>0.65</x:v>
      </x:c>
      <x:c r="J4379" s="16" t="n">
        <x:v>1.1700000000000002</x:v>
      </x:c>
      <x:c r="K4379" s="11" t="n">
        <x:f>CHOOSE('假设'!$B$3,H4379,I4379,J4379)</x:f>
        <x:v>0.65</x:v>
      </x:c>
      <x:c r="L4379" s="11" t="n">
        <x:f>K4379*'管线假设'!E943*'管线假设'!F943*'管线假设'!G943*IF(E4379="USD",'管线假设'!I943,1)-AM4379</x:f>
        <x:v>0.20475</x:v>
      </x:c>
      <x:c r="M4379" s="11" t="n">
        <x:f>'管线假设'!H943</x:f>
        <x:v>0.14</x:v>
      </x:c>
      <x:c r="N4379" s="11" t="n">
        <x:f>IF(G4379,L4379*AN4379/(1+M4379)^F4379,0)</x:f>
        <x:v>0.06967130565844841</x:v>
      </x:c>
      <x:c r="AJ4379" s="42" t="n">
        <x:v>0</x:v>
      </x:c>
      <x:c r="AK4379" s="42" t="n">
        <x:v>0</x:v>
      </x:c>
      <x:c r="AL4379" s="42" t="n">
        <x:v>0</x:v>
      </x:c>
      <x:c r="AM4379" t="n">
        <x:f>CHOOSE('假设'!$B$3,AJ4379,AK4379,AL4379)</x:f>
        <x:v>0</x:v>
      </x:c>
      <x:c r="AN4379" t="n">
        <x:v>1</x:v>
      </x:c>
    </x:row>
    <x:row r="4380" ht="23" customHeight="1">
      <x:c r="A4380" s="11" t="str">
        <x:v>02162.HK</x:v>
      </x:c>
      <x:c r="B4380" s="11" t="str">
        <x:v>三年</x:v>
      </x:c>
      <x:c r="C4380" s="11" t="str">
        <x:v>CM310_new</x:v>
      </x:c>
      <x:c r="D4380" s="11" t="str">
        <x:v>2038-12-31</x:v>
      </x:c>
      <x:c r="E4380" s="11" t="str">
        <x:v>CNY</x:v>
      </x:c>
      <x:c r="F4380" s="11" t="n">
        <x:v>9.22655715263518</x:v>
      </x:c>
      <x:c r="G4380" s="26" t="b">
        <x:v>1</x:v>
      </x:c>
      <x:c r="H4380" s="16" t="n">
        <x:v>0.26</x:v>
      </x:c>
      <x:c r="I4380" s="16" t="n">
        <x:v>0.5</x:v>
      </x:c>
      <x:c r="J4380" s="16" t="n">
        <x:v>0.9</x:v>
      </x:c>
      <x:c r="K4380" s="11" t="n">
        <x:f>CHOOSE('假设'!$B$3,H4380,I4380,J4380)</x:f>
        <x:v>0.5</x:v>
      </x:c>
      <x:c r="L4380" s="11" t="n">
        <x:f>K4380*'管线假设'!E943*'管线假设'!F943*'管线假设'!G943*IF(E4380="USD",'管线假设'!I943,1)-AM4380</x:f>
        <x:v>0.1575</x:v>
      </x:c>
      <x:c r="M4380" s="11" t="n">
        <x:f>'管线假设'!H943</x:f>
        <x:v>0.14</x:v>
      </x:c>
      <x:c r="N4380" s="11" t="n">
        <x:f>IF(G4380,L4380*AN4380/(1+M4380)^F4380,0)</x:f>
        <x:v>0.047015893614768406</x:v>
      </x:c>
      <x:c r="AJ4380" s="42" t="n">
        <x:v>0</x:v>
      </x:c>
      <x:c r="AK4380" s="42" t="n">
        <x:v>0</x:v>
      </x:c>
      <x:c r="AL4380" s="42" t="n">
        <x:v>0</x:v>
      </x:c>
      <x:c r="AM4380" t="n">
        <x:f>CHOOSE('假设'!$B$3,AJ4380,AK4380,AL4380)</x:f>
        <x:v>0</x:v>
      </x:c>
      <x:c r="AN4380" t="n">
        <x:v>1</x:v>
      </x:c>
    </x:row>
    <x:row r="4381" ht="23" customHeight="1">
      <x:c r="A4381" s="11" t="str">
        <x:v>02162.HK</x:v>
      </x:c>
      <x:c r="B4381" s="11" t="str">
        <x:v>三年</x:v>
      </x:c>
      <x:c r="C4381" s="11" t="str">
        <x:v>CM310_new</x:v>
      </x:c>
      <x:c r="D4381" s="11" t="str">
        <x:v>2039-12-31</x:v>
      </x:c>
      <x:c r="E4381" s="11" t="str">
        <x:v>CNY</x:v>
      </x:c>
      <x:c r="F4381" s="11" t="n">
        <x:v>10.225872689938399</x:v>
      </x:c>
      <x:c r="G4381" s="26" t="b">
        <x:v>1</x:v>
      </x:c>
      <x:c r="H4381" s="16" t="n">
        <x:v>0.2</x:v>
      </x:c>
      <x:c r="I4381" s="16" t="n">
        <x:v>0.35</x:v>
      </x:c>
      <x:c r="J4381" s="16" t="n">
        <x:v>0.63</x:v>
      </x:c>
      <x:c r="K4381" s="11" t="n">
        <x:f>CHOOSE('假设'!$B$3,H4381,I4381,J4381)</x:f>
        <x:v>0.35</x:v>
      </x:c>
      <x:c r="L4381" s="11" t="n">
        <x:f>K4381*'管线假设'!E943*'管线假设'!F943*'管线假设'!G943*IF(E4381="USD",'管线假设'!I943,1)-AM4381</x:f>
        <x:v>0.11024999999999999</x:v>
      </x:c>
      <x:c r="M4381" s="11" t="n">
        <x:f>'管线假设'!H943</x:f>
        <x:v>0.14</x:v>
      </x:c>
      <x:c r="N4381" s="11" t="n">
        <x:f>IF(G4381,L4381*AN4381/(1+M4381)^F4381,0)</x:f>
        <x:v>0.028871997598852624</x:v>
      </x:c>
      <x:c r="AJ4381" s="42" t="n">
        <x:v>0</x:v>
      </x:c>
      <x:c r="AK4381" s="42" t="n">
        <x:v>0</x:v>
      </x:c>
      <x:c r="AL4381" s="42" t="n">
        <x:v>0</x:v>
      </x:c>
      <x:c r="AM4381" t="n">
        <x:f>CHOOSE('假设'!$B$3,AJ4381,AK4381,AL4381)</x:f>
        <x:v>0</x:v>
      </x:c>
      <x:c r="AN4381" t="n">
        <x:v>1</x:v>
      </x:c>
    </x:row>
    <x:row r="4382" ht="23" customHeight="1">
      <x:c r="A4382" s="11" t="str">
        <x:v>02162.HK</x:v>
      </x:c>
      <x:c r="B4382" s="11" t="str">
        <x:v>三年</x:v>
      </x:c>
      <x:c r="C4382" s="11" t="str">
        <x:v>CM310_new</x:v>
      </x:c>
      <x:c r="D4382" s="11" t="str">
        <x:v>2040-12-31</x:v>
      </x:c>
      <x:c r="E4382" s="11" t="str">
        <x:v>CNY</x:v>
      </x:c>
      <x:c r="F4382" s="11" t="n">
        <x:v>11.227926078028748</x:v>
      </x:c>
      <x:c r="G4382" s="26" t="b">
        <x:v>1</x:v>
      </x:c>
      <x:c r="H4382" s="16" t="n">
        <x:v>0.13999999999999999</x:v>
      </x:c>
      <x:c r="I4382" s="16" t="n">
        <x:v>0.2</x:v>
      </x:c>
      <x:c r="J4382" s="16" t="n">
        <x:v>0.36000000000000004</x:v>
      </x:c>
      <x:c r="K4382" s="11" t="n">
        <x:f>CHOOSE('假设'!$B$3,H4382,I4382,J4382)</x:f>
        <x:v>0.2</x:v>
      </x:c>
      <x:c r="L4382" s="11" t="n">
        <x:f>K4382*'管线假设'!E943*'管线假设'!F943*'管线假设'!G943*IF(E4382="USD",'管线假设'!I943,1)-AM4382</x:f>
        <x:v>0.063</x:v>
      </x:c>
      <x:c r="M4382" s="11" t="n">
        <x:f>'管线假设'!H943</x:f>
        <x:v>0.14</x:v>
      </x:c>
      <x:c r="N4382" s="11" t="n">
        <x:f>IF(G4382,L4382*AN4382/(1+M4382)^F4382,0)</x:f>
        <x:v>0.01446828600437031</x:v>
      </x:c>
      <x:c r="AJ4382" s="42" t="n">
        <x:v>0</x:v>
      </x:c>
      <x:c r="AK4382" s="42" t="n">
        <x:v>0</x:v>
      </x:c>
      <x:c r="AL4382" s="42" t="n">
        <x:v>0</x:v>
      </x:c>
      <x:c r="AM4382" t="n">
        <x:f>CHOOSE('假设'!$B$3,AJ4382,AK4382,AL4382)</x:f>
        <x:v>0</x:v>
      </x:c>
      <x:c r="AN4382" t="n">
        <x:v>1</x:v>
      </x:c>
    </x:row>
    <x:row r="4383" ht="23" customHeight="1">
      <x:c r="A4383" s="11" t="str">
        <x:v>02162.HK</x:v>
      </x:c>
      <x:c r="B4383" s="11" t="str">
        <x:v>三年</x:v>
      </x:c>
      <x:c r="C4383" s="11" t="str">
        <x:v>CM310_new</x:v>
      </x:c>
      <x:c r="D4383" s="11" t="str">
        <x:v>2041-12-31</x:v>
      </x:c>
      <x:c r="E4383" s="11" t="str">
        <x:v>CNY</x:v>
      </x:c>
      <x:c r="F4383" s="11" t="n">
        <x:v>12.227241615331964</x:v>
      </x:c>
      <x:c r="G4383" s="26" t="b">
        <x:v>1</x:v>
      </x:c>
      <x:c r="H4383" s="16" t="n">
        <x:v>0.08000000000000002</x:v>
      </x:c>
      <x:c r="I4383" s="16" t="n">
        <x:v>0.12</x:v>
      </x:c>
      <x:c r="J4383" s="16" t="n">
        <x:v>0.216</x:v>
      </x:c>
      <x:c r="K4383" s="11" t="n">
        <x:f>CHOOSE('假设'!$B$3,H4383,I4383,J4383)</x:f>
        <x:v>0.12</x:v>
      </x:c>
      <x:c r="L4383" s="11" t="n">
        <x:f>K4383*'管线假设'!E943*'管线假设'!F943*'管线假设'!G943*IF(E4383="USD",'管线假设'!I943,1)-AM4383</x:f>
        <x:v>0.0378</x:v>
      </x:c>
      <x:c r="M4383" s="11" t="n">
        <x:f>'管线假设'!H943</x:f>
        <x:v>0.14</x:v>
      </x:c>
      <x:c r="N4383" s="11" t="n">
        <x:f>IF(G4383,L4383*AN4383/(1+M4383)^F4383,0)</x:f>
        <x:v>0.007615570334584133</x:v>
      </x:c>
      <x:c r="AJ4383" s="42" t="n">
        <x:v>0</x:v>
      </x:c>
      <x:c r="AK4383" s="42" t="n">
        <x:v>0</x:v>
      </x:c>
      <x:c r="AL4383" s="42" t="n">
        <x:v>0</x:v>
      </x:c>
      <x:c r="AM4383" t="n">
        <x:f>CHOOSE('假设'!$B$3,AJ4383,AK4383,AL4383)</x:f>
        <x:v>0</x:v>
      </x:c>
      <x:c r="AN4383" t="n">
        <x:v>1</x:v>
      </x:c>
    </x:row>
    <x:row r="4384" ht="23" customHeight="1">
      <x:c r="A4384" s="11" t="str">
        <x:v>02162.HK</x:v>
      </x:c>
      <x:c r="B4384" s="11" t="str">
        <x:v>三年</x:v>
      </x:c>
      <x:c r="C4384" s="11" t="str">
        <x:v>CM310_new</x:v>
      </x:c>
      <x:c r="D4384" s="11" t="str">
        <x:v>2042-12-31</x:v>
      </x:c>
      <x:c r="E4384" s="11" t="str">
        <x:v>CNY</x:v>
      </x:c>
      <x:c r="F4384" s="11" t="n">
        <x:v>13.22655715263518</x:v>
      </x:c>
      <x:c r="G4384" s="26" t="b">
        <x:v>1</x:v>
      </x:c>
      <x:c r="H4384" s="16" t="n">
        <x:v>0.048</x:v>
      </x:c>
      <x:c r="I4384" s="16" t="n">
        <x:v>0.07</x:v>
      </x:c>
      <x:c r="J4384" s="16" t="n">
        <x:v>0.12600000000000003</x:v>
      </x:c>
      <x:c r="K4384" s="11" t="n">
        <x:f>CHOOSE('假设'!$B$3,H4384,I4384,J4384)</x:f>
        <x:v>0.07</x:v>
      </x:c>
      <x:c r="L4384" s="11" t="n">
        <x:f>K4384*'管线假设'!E943*'管线假设'!F943*'管线假设'!G943*IF(E4384="USD",'管线假设'!I943,1)-AM4384</x:f>
        <x:v>0.02205</x:v>
      </x:c>
      <x:c r="M4384" s="11" t="n">
        <x:f>'管线假设'!H943</x:f>
        <x:v>0.14</x:v>
      </x:c>
      <x:c r="N4384" s="11" t="n">
        <x:f>IF(G4384,L4384*AN4384/(1+M4384)^F4384,0)</x:f>
        <x:v>0.0038972056665135158</x:v>
      </x:c>
      <x:c r="AJ4384" s="42" t="n">
        <x:v>0</x:v>
      </x:c>
      <x:c r="AK4384" s="42" t="n">
        <x:v>0</x:v>
      </x:c>
      <x:c r="AL4384" s="42" t="n">
        <x:v>0</x:v>
      </x:c>
      <x:c r="AM4384" t="n">
        <x:f>CHOOSE('假设'!$B$3,AJ4384,AK4384,AL4384)</x:f>
        <x:v>0</x:v>
      </x:c>
      <x:c r="AN4384" t="n">
        <x:v>1</x:v>
      </x:c>
    </x:row>
    <x:row r="4385" ht="23" customHeight="1">
      <x:c r="A4385" s="11" t="str">
        <x:v>02162.HK</x:v>
      </x:c>
      <x:c r="B4385" s="11" t="str">
        <x:v>三年</x:v>
      </x:c>
      <x:c r="C4385" s="11" t="str">
        <x:v>CM310_new</x:v>
      </x:c>
      <x:c r="D4385" s="11" t="str">
        <x:v>2043-12-31</x:v>
      </x:c>
      <x:c r="E4385" s="11" t="str">
        <x:v>CNY</x:v>
      </x:c>
      <x:c r="F4385" s="11" t="n">
        <x:v>14.225872689938399</x:v>
      </x:c>
      <x:c r="G4385" s="26" t="b">
        <x:v>1</x:v>
      </x:c>
      <x:c r="H4385" s="16" t="n">
        <x:v>0.028000000000000004</x:v>
      </x:c>
      <x:c r="I4385" s="16" t="n">
        <x:v>0.03</x:v>
      </x:c>
      <x:c r="J4385" s="16" t="n">
        <x:v>0.054</x:v>
      </x:c>
      <x:c r="K4385" s="11" t="n">
        <x:f>CHOOSE('假设'!$B$3,H4385,I4385,J4385)</x:f>
        <x:v>0.03</x:v>
      </x:c>
      <x:c r="L4385" s="11" t="n">
        <x:f>K4385*'管线假设'!E943*'管线假设'!F943*'管线假设'!G943*IF(E4385="USD",'管线假设'!I943,1)-AM4385</x:f>
        <x:v>0.00945</x:v>
      </x:c>
      <x:c r="M4385" s="11" t="n">
        <x:f>'管线假设'!H943</x:f>
        <x:v>0.14</x:v>
      </x:c>
      <x:c r="N4385" s="11" t="n">
        <x:f>IF(G4385,L4385*AN4385/(1+M4385)^F4385,0)</x:f>
        <x:v>0.0014652463154194379</x:v>
      </x:c>
      <x:c r="AJ4385" s="42" t="n">
        <x:v>0</x:v>
      </x:c>
      <x:c r="AK4385" s="42" t="n">
        <x:v>0</x:v>
      </x:c>
      <x:c r="AL4385" s="42" t="n">
        <x:v>0</x:v>
      </x:c>
      <x:c r="AM4385" t="n">
        <x:f>CHOOSE('假设'!$B$3,AJ4385,AK4385,AL4385)</x:f>
        <x:v>0</x:v>
      </x:c>
      <x:c r="AN4385" t="n">
        <x:v>1</x:v>
      </x:c>
    </x:row>
    <x:row r="4386" ht="23" customHeight="1">
      <x:c r="A4386" s="11" t="str">
        <x:v>02162.HK</x:v>
      </x:c>
      <x:c r="B4386" s="11" t="str">
        <x:v>三年</x:v>
      </x:c>
      <x:c r="C4386" s="11" t="str">
        <x:v>CM310_new</x:v>
      </x:c>
      <x:c r="D4386" s="11" t="str">
        <x:v>2044-12-31</x:v>
      </x:c>
      <x:c r="E4386" s="11" t="str">
        <x:v>CNY</x:v>
      </x:c>
      <x:c r="F4386" s="11" t="n">
        <x:v>15.227926078028748</x:v>
      </x:c>
      <x:c r="G4386" s="26" t="b">
        <x:v>1</x:v>
      </x:c>
      <x:c r="H4386" s="16" t="n">
        <x:v>0.012</x:v>
      </x:c>
      <x:c r="I4386" s="16" t="n">
        <x:v>0.03</x:v>
      </x:c>
      <x:c r="J4386" s="16" t="n">
        <x:v>0.054</x:v>
      </x:c>
      <x:c r="K4386" s="11" t="n">
        <x:f>CHOOSE('假设'!$B$3,H4386,I4386,J4386)</x:f>
        <x:v>0.03</x:v>
      </x:c>
      <x:c r="L4386" s="11" t="n">
        <x:f>K4386*'管线假设'!E943*'管线假设'!F943*'管线假设'!G943*IF(E4386="USD",'管线假设'!I943,1)-AM4386</x:f>
        <x:v>0.00945</x:v>
      </x:c>
      <x:c r="M4386" s="11" t="n">
        <x:f>'管线假设'!H943</x:f>
        <x:v>0.14</x:v>
      </x:c>
      <x:c r="N4386" s="11" t="n">
        <x:f>IF(G4386,L4386*AN4386/(1+M4386)^F4386,0)</x:f>
        <x:v>0.0012849580185808206</x:v>
      </x:c>
      <x:c r="AJ4386" s="42" t="n">
        <x:v>0</x:v>
      </x:c>
      <x:c r="AK4386" s="42" t="n">
        <x:v>0</x:v>
      </x:c>
      <x:c r="AL4386" s="42" t="n">
        <x:v>0</x:v>
      </x:c>
      <x:c r="AM4386" t="n">
        <x:f>CHOOSE('假设'!$B$3,AJ4386,AK4386,AL4386)</x:f>
        <x:v>0</x:v>
      </x:c>
      <x:c r="AN4386" t="n">
        <x:v>1</x:v>
      </x:c>
    </x:row>
    <x:row r="4387" ht="23" customHeight="1">
      <x:c r="A4387" s="11" t="str">
        <x:v>02162.HK</x:v>
      </x:c>
      <x:c r="B4387" s="11" t="str">
        <x:v>三年</x:v>
      </x:c>
      <x:c r="C4387" s="11" t="str">
        <x:v>CM512_CRSwNP</x:v>
      </x:c>
      <x:c r="D4387" s="11" t="str">
        <x:v>2026-12-31</x:v>
      </x:c>
      <x:c r="E4387" s="11" t="str">
        <x:v>CNY</x:v>
      </x:c>
      <x:c r="F4387" s="11" t="n">
        <x:v>-2.7734428473648185</x:v>
      </x:c>
      <x:c r="G4387" s="26" t="b">
        <x:v>0</x:v>
      </x:c>
      <x:c r="H4387" s="16" t="n">
        <x:v>0</x:v>
      </x:c>
      <x:c r="I4387" s="16" t="n">
        <x:v>0</x:v>
      </x:c>
      <x:c r="J4387" s="16" t="n">
        <x:v>0</x:v>
      </x:c>
      <x:c r="K4387" s="11" t="n">
        <x:f>CHOOSE('假设'!$B$3,H4387,I4387,J4387)</x:f>
        <x:v>0</x:v>
      </x:c>
      <x:c r="L4387" s="11" t="n">
        <x:f>K4387*'管线假设'!E947*'管线假设'!F947*'管线假设'!G947*IF(E4387="USD",'管线假设'!I947,1)-AM4387</x:f>
        <x:v>-0.06</x:v>
      </x:c>
      <x:c r="M4387" s="11" t="n">
        <x:f>'管线假设'!H947</x:f>
        <x:v>0.14</x:v>
      </x:c>
      <x:c r="N4387" s="11" t="n">
        <x:f>IF(G4387,L4387*AN4387/(1+M4387)^F4387,0)</x:f>
        <x:v>0</x:v>
      </x:c>
      <x:c r="AJ4387" s="42" t="n">
        <x:v>0.04</x:v>
      </x:c>
      <x:c r="AK4387" s="42" t="n">
        <x:v>0.06</x:v>
      </x:c>
      <x:c r="AL4387" s="42" t="n">
        <x:v>0.1</x:v>
      </x:c>
      <x:c r="AM4387" t="n">
        <x:f>CHOOSE('假设'!$B$3,AJ4387,AK4387,AL4387)</x:f>
        <x:v>0.06</x:v>
      </x:c>
      <x:c r="AN4387" t="n">
        <x:v>0</x:v>
      </x:c>
    </x:row>
    <x:row r="4388" ht="23" customHeight="1">
      <x:c r="A4388" s="11" t="str">
        <x:v>02162.HK</x:v>
      </x:c>
      <x:c r="B4388" s="11" t="str">
        <x:v>三年</x:v>
      </x:c>
      <x:c r="C4388" s="11" t="str">
        <x:v>CM512_CRSwNP</x:v>
      </x:c>
      <x:c r="D4388" s="11" t="str">
        <x:v>2027-12-31</x:v>
      </x:c>
      <x:c r="E4388" s="11" t="str">
        <x:v>CNY</x:v>
      </x:c>
      <x:c r="F4388" s="11" t="n">
        <x:v>-1.7741273100616017</x:v>
      </x:c>
      <x:c r="G4388" s="26" t="b">
        <x:v>0</x:v>
      </x:c>
      <x:c r="H4388" s="16" t="n">
        <x:v>0</x:v>
      </x:c>
      <x:c r="I4388" s="16" t="n">
        <x:v>0</x:v>
      </x:c>
      <x:c r="J4388" s="16" t="n">
        <x:v>0</x:v>
      </x:c>
      <x:c r="K4388" s="11" t="n">
        <x:f>CHOOSE('假设'!$B$3,H4388,I4388,J4388)</x:f>
        <x:v>0</x:v>
      </x:c>
      <x:c r="L4388" s="11" t="n">
        <x:f>K4388*'管线假设'!E947*'管线假设'!F947*'管线假设'!G947*IF(E4388="USD",'管线假设'!I947,1)-AM4388</x:f>
        <x:v>-0.1</x:v>
      </x:c>
      <x:c r="M4388" s="11" t="n">
        <x:f>'管线假设'!H947</x:f>
        <x:v>0.14</x:v>
      </x:c>
      <x:c r="N4388" s="11" t="n">
        <x:f>IF(G4388,L4388*AN4388/(1+M4388)^F4388,0)</x:f>
        <x:v>0</x:v>
      </x:c>
      <x:c r="AJ4388" s="42" t="n">
        <x:v>0.06</x:v>
      </x:c>
      <x:c r="AK4388" s="42" t="n">
        <x:v>0.1</x:v>
      </x:c>
      <x:c r="AL4388" s="42" t="n">
        <x:v>0.13</x:v>
      </x:c>
      <x:c r="AM4388" t="n">
        <x:f>CHOOSE('假设'!$B$3,AJ4388,AK4388,AL4388)</x:f>
        <x:v>0.1</x:v>
      </x:c>
      <x:c r="AN4388" t="n">
        <x:v>0</x:v>
      </x:c>
    </x:row>
    <x:row r="4389" ht="23" customHeight="1">
      <x:c r="A4389" s="11" t="str">
        <x:v>02162.HK</x:v>
      </x:c>
      <x:c r="B4389" s="11" t="str">
        <x:v>三年</x:v>
      </x:c>
      <x:c r="C4389" s="11" t="str">
        <x:v>CM512_CRSwNP</x:v>
      </x:c>
      <x:c r="D4389" s="11" t="str">
        <x:v>2028-12-31</x:v>
      </x:c>
      <x:c r="E4389" s="11" t="str">
        <x:v>CNY</x:v>
      </x:c>
      <x:c r="F4389" s="11" t="n">
        <x:v>-0.7720739219712526</x:v>
      </x:c>
      <x:c r="G4389" s="26" t="b">
        <x:v>0</x:v>
      </x:c>
      <x:c r="H4389" s="16" t="n">
        <x:v>0</x:v>
      </x:c>
      <x:c r="I4389" s="16" t="n">
        <x:v>0</x:v>
      </x:c>
      <x:c r="J4389" s="16" t="n">
        <x:v>0.36</x:v>
      </x:c>
      <x:c r="K4389" s="11" t="n">
        <x:f>CHOOSE('假设'!$B$3,H4389,I4389,J4389)</x:f>
        <x:v>0</x:v>
      </x:c>
      <x:c r="L4389" s="11" t="n">
        <x:f>K4389*'管线假设'!E947*'管线假设'!F947*'管线假设'!G947*IF(E4389="USD",'管线假设'!I947,1)-AM4389</x:f>
        <x:v>-0.13</x:v>
      </x:c>
      <x:c r="M4389" s="11" t="n">
        <x:f>'管线假设'!H947</x:f>
        <x:v>0.14</x:v>
      </x:c>
      <x:c r="N4389" s="11" t="n">
        <x:f>IF(G4389,L4389*AN4389/(1+M4389)^F4389,0)</x:f>
        <x:v>0</x:v>
      </x:c>
      <x:c r="AJ4389" s="42" t="n">
        <x:v>0.07</x:v>
      </x:c>
      <x:c r="AK4389" s="42" t="n">
        <x:v>0.13</x:v>
      </x:c>
      <x:c r="AL4389" s="42" t="n">
        <x:v>0.18</x:v>
      </x:c>
      <x:c r="AM4389" t="n">
        <x:f>CHOOSE('假设'!$B$3,AJ4389,AK4389,AL4389)</x:f>
        <x:v>0.13</x:v>
      </x:c>
      <x:c r="AN4389" t="n">
        <x:v>0</x:v>
      </x:c>
    </x:row>
    <x:row r="4390" ht="23" customHeight="1">
      <x:c r="A4390" s="11" t="str">
        <x:v>02162.HK</x:v>
      </x:c>
      <x:c r="B4390" s="11" t="str">
        <x:v>三年</x:v>
      </x:c>
      <x:c r="C4390" s="11" t="str">
        <x:v>CM512_CRSwNP</x:v>
      </x:c>
      <x:c r="D4390" s="11" t="str">
        <x:v>2029-12-31</x:v>
      </x:c>
      <x:c r="E4390" s="11" t="str">
        <x:v>CNY</x:v>
      </x:c>
      <x:c r="F4390" s="11" t="n">
        <x:v>0.2272416153319644</x:v>
      </x:c>
      <x:c r="G4390" s="26" t="b">
        <x:v>1</x:v>
      </x:c>
      <x:c r="H4390" s="16" t="n">
        <x:v>0</x:v>
      </x:c>
      <x:c r="I4390" s="16" t="n">
        <x:v>0.21</x:v>
      </x:c>
      <x:c r="J4390" s="16" t="n">
        <x:v>1.08</x:v>
      </x:c>
      <x:c r="K4390" s="11" t="n">
        <x:f>CHOOSE('假设'!$B$3,H4390,I4390,J4390)</x:f>
        <x:v>0.21</x:v>
      </x:c>
      <x:c r="L4390" s="11" t="n">
        <x:f>K4390*'管线假设'!E947*'管线假设'!F947*'管线假设'!G947*IF(E4390="USD",'管线假设'!I947,1)-AM4390</x:f>
        <x:v>-0.04750000000000001</x:v>
      </x:c>
      <x:c r="M4390" s="11" t="n">
        <x:f>'管线假设'!H947</x:f>
        <x:v>0.14</x:v>
      </x:c>
      <x:c r="N4390" s="11" t="n">
        <x:f>IF(G4390,L4390*AN4390/(1+M4390)^F4390,0)</x:f>
        <x:v>-0.01051330267997056</x:v>
      </x:c>
      <x:c r="AJ4390" s="42" t="n">
        <x:v>0.04</x:v>
      </x:c>
      <x:c r="AK4390" s="42" t="n">
        <x:v>0.1</x:v>
      </x:c>
      <x:c r="AL4390" s="42" t="n">
        <x:v>0.12</x:v>
      </x:c>
      <x:c r="AM4390" t="n">
        <x:f>CHOOSE('假设'!$B$3,AJ4390,AK4390,AL4390)</x:f>
        <x:v>0.1</x:v>
      </x:c>
      <x:c r="AN4390" t="n">
        <x:v>0.22802197802197802</x:v>
      </x:c>
    </x:row>
    <x:row r="4391" ht="23" customHeight="1">
      <x:c r="A4391" s="11" t="str">
        <x:v>02162.HK</x:v>
      </x:c>
      <x:c r="B4391" s="11" t="str">
        <x:v>三年</x:v>
      </x:c>
      <x:c r="C4391" s="11" t="str">
        <x:v>CM512_CRSwNP</x:v>
      </x:c>
      <x:c r="D4391" s="11" t="str">
        <x:v>2030-12-31</x:v>
      </x:c>
      <x:c r="E4391" s="11" t="str">
        <x:v>CNY</x:v>
      </x:c>
      <x:c r="F4391" s="11" t="n">
        <x:v>1.2265571526351813</x:v>
      </x:c>
      <x:c r="G4391" s="26" t="b">
        <x:v>1</x:v>
      </x:c>
      <x:c r="H4391" s="16" t="n">
        <x:v>0.078</x:v>
      </x:c>
      <x:c r="I4391" s="16" t="n">
        <x:v>0.63</x:v>
      </x:c>
      <x:c r="J4391" s="16" t="n">
        <x:v>2.2800000000000002</x:v>
      </x:c>
      <x:c r="K4391" s="11" t="n">
        <x:f>CHOOSE('假设'!$B$3,H4391,I4391,J4391)</x:f>
        <x:v>0.63</x:v>
      </x:c>
      <x:c r="L4391" s="11" t="n">
        <x:f>K4391*'管线假设'!E947*'管线假设'!F947*'管线假设'!G947*IF(E4391="USD",'管线假设'!I947,1)-AM4391</x:f>
        <x:v>0.1175</x:v>
      </x:c>
      <x:c r="M4391" s="11" t="n">
        <x:f>'管线假设'!H947</x:f>
        <x:v>0.14</x:v>
      </x:c>
      <x:c r="N4391" s="11" t="n">
        <x:f>IF(G4391,L4391*AN4391/(1+M4391)^F4391,0)</x:f>
        <x:v>0.10005546489050388</x:v>
      </x:c>
      <x:c r="AJ4391" s="42" t="n">
        <x:v>0</x:v>
      </x:c>
      <x:c r="AK4391" s="42" t="n">
        <x:v>0.04</x:v>
      </x:c>
      <x:c r="AL4391" s="42" t="n">
        <x:v>0.04</x:v>
      </x:c>
      <x:c r="AM4391" t="n">
        <x:f>CHOOSE('假设'!$B$3,AJ4391,AK4391,AL4391)</x:f>
        <x:v>0.04</x:v>
      </x:c>
      <x:c r="AN4391" t="n">
        <x:v>1</x:v>
      </x:c>
    </x:row>
    <x:row r="4392" ht="23" customHeight="1">
      <x:c r="A4392" s="11" t="str">
        <x:v>02162.HK</x:v>
      </x:c>
      <x:c r="B4392" s="11" t="str">
        <x:v>三年</x:v>
      </x:c>
      <x:c r="C4392" s="11" t="str">
        <x:v>CM512_CRSwNP</x:v>
      </x:c>
      <x:c r="D4392" s="11" t="str">
        <x:v>2031-12-31</x:v>
      </x:c>
      <x:c r="E4392" s="11" t="str">
        <x:v>CNY</x:v>
      </x:c>
      <x:c r="F4392" s="11" t="n">
        <x:v>2.2258726899383983</x:v>
      </x:c>
      <x:c r="G4392" s="26" t="b">
        <x:v>1</x:v>
      </x:c>
      <x:c r="H4392" s="16" t="n">
        <x:v>0.23399999999999999</x:v>
      </x:c>
      <x:c r="I4392" s="16" t="n">
        <x:v>1.33</x:v>
      </x:c>
      <x:c r="J4392" s="16" t="n">
        <x:v>3.9000000000000004</x:v>
      </x:c>
      <x:c r="K4392" s="11" t="n">
        <x:f>CHOOSE('假设'!$B$3,H4392,I4392,J4392)</x:f>
        <x:v>1.33</x:v>
      </x:c>
      <x:c r="L4392" s="11" t="n">
        <x:f>K4392*'管线假设'!E947*'管线假设'!F947*'管线假设'!G947*IF(E4392="USD",'管线假设'!I947,1)-AM4392</x:f>
        <x:v>0.3325</x:v>
      </x:c>
      <x:c r="M4392" s="11" t="n">
        <x:f>'管线假设'!H947</x:f>
        <x:v>0.14</x:v>
      </x:c>
      <x:c r="N4392" s="11" t="n">
        <x:f>IF(G4392,L4392*AN4392/(1+M4392)^F4392,0)</x:f>
        <x:v>0.24838690448261078</x:v>
      </x:c>
      <x:c r="AJ4392" s="42" t="n">
        <x:v>0</x:v>
      </x:c>
      <x:c r="AK4392" s="42" t="n">
        <x:v>0</x:v>
      </x:c>
      <x:c r="AL4392" s="42" t="n">
        <x:v>0</x:v>
      </x:c>
      <x:c r="AM4392" t="n">
        <x:f>CHOOSE('假设'!$B$3,AJ4392,AK4392,AL4392)</x:f>
        <x:v>0</x:v>
      </x:c>
      <x:c r="AN4392" t="n">
        <x:v>1</x:v>
      </x:c>
    </x:row>
    <x:row r="4393" ht="23" customHeight="1">
      <x:c r="A4393" s="11" t="str">
        <x:v>02162.HK</x:v>
      </x:c>
      <x:c r="B4393" s="11" t="str">
        <x:v>三年</x:v>
      </x:c>
      <x:c r="C4393" s="11" t="str">
        <x:v>CM512_CRSwNP</x:v>
      </x:c>
      <x:c r="D4393" s="11" t="str">
        <x:v>2032-12-31</x:v>
      </x:c>
      <x:c r="E4393" s="11" t="str">
        <x:v>CNY</x:v>
      </x:c>
      <x:c r="F4393" s="11" t="n">
        <x:v>3.2279260780287475</x:v>
      </x:c>
      <x:c r="G4393" s="26" t="b">
        <x:v>1</x:v>
      </x:c>
      <x:c r="H4393" s="16" t="n">
        <x:v>0.49400000000000005</x:v>
      </x:c>
      <x:c r="I4393" s="16" t="n">
        <x:v>2.275</x:v>
      </x:c>
      <x:c r="J4393" s="16" t="n">
        <x:v>5.1</x:v>
      </x:c>
      <x:c r="K4393" s="11" t="n">
        <x:f>CHOOSE('假设'!$B$3,H4393,I4393,J4393)</x:f>
        <x:v>2.275</x:v>
      </x:c>
      <x:c r="L4393" s="11" t="n">
        <x:f>K4393*'管线假设'!E947*'管线假设'!F947*'管线假设'!G947*IF(E4393="USD",'管线假设'!I947,1)-AM4393</x:f>
        <x:v>0.56875</x:v>
      </x:c>
      <x:c r="M4393" s="11" t="n">
        <x:f>'管线假设'!H947</x:f>
        <x:v>0.14</x:v>
      </x:c>
      <x:c r="N4393" s="11" t="n">
        <x:f>IF(G4393,L4393*AN4393/(1+M4393)^F4393,0)</x:f>
        <x:v>0.3725947713100533</x:v>
      </x:c>
      <x:c r="AJ4393" s="42" t="n">
        <x:v>0</x:v>
      </x:c>
      <x:c r="AK4393" s="42" t="n">
        <x:v>0</x:v>
      </x:c>
      <x:c r="AL4393" s="42" t="n">
        <x:v>0</x:v>
      </x:c>
      <x:c r="AM4393" t="n">
        <x:f>CHOOSE('假设'!$B$3,AJ4393,AK4393,AL4393)</x:f>
        <x:v>0</x:v>
      </x:c>
      <x:c r="AN4393" t="n">
        <x:v>1</x:v>
      </x:c>
    </x:row>
    <x:row r="4394" ht="23" customHeight="1">
      <x:c r="A4394" s="11" t="str">
        <x:v>02162.HK</x:v>
      </x:c>
      <x:c r="B4394" s="11" t="str">
        <x:v>三年</x:v>
      </x:c>
      <x:c r="C4394" s="11" t="str">
        <x:v>CM512_CRSwNP</x:v>
      </x:c>
      <x:c r="D4394" s="11" t="str">
        <x:v>2033-12-31</x:v>
      </x:c>
      <x:c r="E4394" s="11" t="str">
        <x:v>CNY</x:v>
      </x:c>
      <x:c r="F4394" s="11" t="n">
        <x:v>4.227241615331964</x:v>
      </x:c>
      <x:c r="G4394" s="26" t="b">
        <x:v>1</x:v>
      </x:c>
      <x:c r="H4394" s="16" t="n">
        <x:v>0.8450000000000001</x:v>
      </x:c>
      <x:c r="I4394" s="16" t="n">
        <x:v>2.975</x:v>
      </x:c>
      <x:c r="J4394" s="16" t="n">
        <x:v>6</x:v>
      </x:c>
      <x:c r="K4394" s="11" t="n">
        <x:f>CHOOSE('假设'!$B$3,H4394,I4394,J4394)</x:f>
        <x:v>2.975</x:v>
      </x:c>
      <x:c r="L4394" s="11" t="n">
        <x:f>K4394*'管线假设'!E947*'管线假设'!F947*'管线假设'!G947*IF(E4394="USD",'管线假设'!I947,1)-AM4394</x:f>
        <x:v>0.74375</x:v>
      </x:c>
      <x:c r="M4394" s="11" t="n">
        <x:f>'管线假设'!H947</x:f>
        <x:v>0.14</x:v>
      </x:c>
      <x:c r="N4394" s="11" t="n">
        <x:f>IF(G4394,L4394*AN4394/(1+M4394)^F4394,0)</x:f>
        <x:v>0.42744124196349015</x:v>
      </x:c>
      <x:c r="AJ4394" s="42" t="n">
        <x:v>0</x:v>
      </x:c>
      <x:c r="AK4394" s="42" t="n">
        <x:v>0</x:v>
      </x:c>
      <x:c r="AL4394" s="42" t="n">
        <x:v>0</x:v>
      </x:c>
      <x:c r="AM4394" t="n">
        <x:f>CHOOSE('假设'!$B$3,AJ4394,AK4394,AL4394)</x:f>
        <x:v>0</x:v>
      </x:c>
      <x:c r="AN4394" t="n">
        <x:v>1</x:v>
      </x:c>
    </x:row>
    <x:row r="4395" ht="23" customHeight="1">
      <x:c r="A4395" s="11" t="str">
        <x:v>02162.HK</x:v>
      </x:c>
      <x:c r="B4395" s="11" t="str">
        <x:v>三年</x:v>
      </x:c>
      <x:c r="C4395" s="11" t="str">
        <x:v>CM512_CRSwNP</x:v>
      </x:c>
      <x:c r="D4395" s="11" t="str">
        <x:v>2034-12-31</x:v>
      </x:c>
      <x:c r="E4395" s="11" t="str">
        <x:v>CNY</x:v>
      </x:c>
      <x:c r="F4395" s="11" t="n">
        <x:v>5.2265571526351815</x:v>
      </x:c>
      <x:c r="G4395" s="26" t="b">
        <x:v>1</x:v>
      </x:c>
      <x:c r="H4395" s="16" t="n">
        <x:v>1.105</x:v>
      </x:c>
      <x:c r="I4395" s="16" t="n">
        <x:v>3.5</x:v>
      </x:c>
      <x:c r="J4395" s="16" t="n">
        <x:v>6</x:v>
      </x:c>
      <x:c r="K4395" s="11" t="n">
        <x:f>CHOOSE('假设'!$B$3,H4395,I4395,J4395)</x:f>
        <x:v>3.5</x:v>
      </x:c>
      <x:c r="L4395" s="11" t="n">
        <x:f>K4395*'管线假设'!E947*'管线假设'!F947*'管线假设'!G947*IF(E4395="USD",'管线假设'!I947,1)-AM4395</x:f>
        <x:v>0.875</x:v>
      </x:c>
      <x:c r="M4395" s="11" t="n">
        <x:f>'管线假设'!H947</x:f>
        <x:v>0.14</x:v>
      </x:c>
      <x:c r="N4395" s="11" t="n">
        <x:f>IF(G4395,L4395*AN4395/(1+M4395)^F4395,0)</x:f>
        <x:v>0.441155395567457</x:v>
      </x:c>
      <x:c r="AJ4395" s="42" t="n">
        <x:v>0</x:v>
      </x:c>
      <x:c r="AK4395" s="42" t="n">
        <x:v>0</x:v>
      </x:c>
      <x:c r="AL4395" s="42" t="n">
        <x:v>0</x:v>
      </x:c>
      <x:c r="AM4395" t="n">
        <x:f>CHOOSE('假设'!$B$3,AJ4395,AK4395,AL4395)</x:f>
        <x:v>0</x:v>
      </x:c>
      <x:c r="AN4395" t="n">
        <x:v>1</x:v>
      </x:c>
    </x:row>
    <x:row r="4396" ht="23" customHeight="1">
      <x:c r="A4396" s="11" t="str">
        <x:v>02162.HK</x:v>
      </x:c>
      <x:c r="B4396" s="11" t="str">
        <x:v>三年</x:v>
      </x:c>
      <x:c r="C4396" s="11" t="str">
        <x:v>CM512_CRSwNP</x:v>
      </x:c>
      <x:c r="D4396" s="11" t="str">
        <x:v>2035-12-31</x:v>
      </x:c>
      <x:c r="E4396" s="11" t="str">
        <x:v>CNY</x:v>
      </x:c>
      <x:c r="F4396" s="11" t="n">
        <x:v>6.225872689938399</x:v>
      </x:c>
      <x:c r="G4396" s="26" t="b">
        <x:v>1</x:v>
      </x:c>
      <x:c r="H4396" s="16" t="n">
        <x:v>1.3</x:v>
      </x:c>
      <x:c r="I4396" s="16" t="n">
        <x:v>3.5</x:v>
      </x:c>
      <x:c r="J4396" s="16" t="n">
        <x:v>5.699999999999999</x:v>
      </x:c>
      <x:c r="K4396" s="11" t="n">
        <x:f>CHOOSE('假设'!$B$3,H4396,I4396,J4396)</x:f>
        <x:v>3.5</x:v>
      </x:c>
      <x:c r="L4396" s="11" t="n">
        <x:f>K4396*'管线假设'!E947*'管线假设'!F947*'管线假设'!G947*IF(E4396="USD",'管线假设'!I947,1)-AM4396</x:f>
        <x:v>0.875</x:v>
      </x:c>
      <x:c r="M4396" s="11" t="n">
        <x:f>'管线假设'!H947</x:f>
        <x:v>0.14</x:v>
      </x:c>
      <x:c r="N4396" s="11" t="n">
        <x:f>IF(G4396,L4396*AN4396/(1+M4396)^F4396,0)</x:f>
        <x:v>0.3870131244768077</x:v>
      </x:c>
      <x:c r="AJ4396" s="42" t="n">
        <x:v>0</x:v>
      </x:c>
      <x:c r="AK4396" s="42" t="n">
        <x:v>0</x:v>
      </x:c>
      <x:c r="AL4396" s="42" t="n">
        <x:v>0</x:v>
      </x:c>
      <x:c r="AM4396" t="n">
        <x:f>CHOOSE('假设'!$B$3,AJ4396,AK4396,AL4396)</x:f>
        <x:v>0</x:v>
      </x:c>
      <x:c r="AN4396" t="n">
        <x:v>1</x:v>
      </x:c>
    </x:row>
    <x:row r="4397" ht="23" customHeight="1">
      <x:c r="A4397" s="11" t="str">
        <x:v>02162.HK</x:v>
      </x:c>
      <x:c r="B4397" s="11" t="str">
        <x:v>三年</x:v>
      </x:c>
      <x:c r="C4397" s="11" t="str">
        <x:v>CM512_CRSwNP</x:v>
      </x:c>
      <x:c r="D4397" s="11" t="str">
        <x:v>2036-12-31</x:v>
      </x:c>
      <x:c r="E4397" s="11" t="str">
        <x:v>CNY</x:v>
      </x:c>
      <x:c r="F4397" s="11" t="n">
        <x:v>7.227926078028747</x:v>
      </x:c>
      <x:c r="G4397" s="26" t="b">
        <x:v>1</x:v>
      </x:c>
      <x:c r="H4397" s="16" t="n">
        <x:v>1.3</x:v>
      </x:c>
      <x:c r="I4397" s="16" t="n">
        <x:v>3.3249999999999997</x:v>
      </x:c>
      <x:c r="J4397" s="16" t="n">
        <x:v>5.4</x:v>
      </x:c>
      <x:c r="K4397" s="11" t="n">
        <x:f>CHOOSE('假设'!$B$3,H4397,I4397,J4397)</x:f>
        <x:v>3.3249999999999997</x:v>
      </x:c>
      <x:c r="L4397" s="11" t="n">
        <x:f>K4397*'管线假设'!E947*'管线假设'!F947*'管线假设'!G947*IF(E4397="USD",'管线假设'!I947,1)-AM4397</x:f>
        <x:v>0.8312499999999999</x:v>
      </x:c>
      <x:c r="M4397" s="11" t="n">
        <x:f>'管线假设'!H947</x:f>
        <x:v>0.14</x:v>
      </x:c>
      <x:c r="N4397" s="11" t="n">
        <x:f>IF(G4397,L4397*AN4397/(1+M4397)^F4397,0)</x:f>
        <x:v>0.32242417656421807</x:v>
      </x:c>
      <x:c r="AJ4397" s="42" t="n">
        <x:v>0</x:v>
      </x:c>
      <x:c r="AK4397" s="42" t="n">
        <x:v>0</x:v>
      </x:c>
      <x:c r="AL4397" s="42" t="n">
        <x:v>0</x:v>
      </x:c>
      <x:c r="AM4397" t="n">
        <x:f>CHOOSE('假设'!$B$3,AJ4397,AK4397,AL4397)</x:f>
        <x:v>0</x:v>
      </x:c>
      <x:c r="AN4397" t="n">
        <x:v>1</x:v>
      </x:c>
    </x:row>
    <x:row r="4398" ht="23" customHeight="1">
      <x:c r="A4398" s="11" t="str">
        <x:v>02162.HK</x:v>
      </x:c>
      <x:c r="B4398" s="11" t="str">
        <x:v>三年</x:v>
      </x:c>
      <x:c r="C4398" s="11" t="str">
        <x:v>CM512_CRSwNP</x:v>
      </x:c>
      <x:c r="D4398" s="11" t="str">
        <x:v>2037-12-31</x:v>
      </x:c>
      <x:c r="E4398" s="11" t="str">
        <x:v>CNY</x:v>
      </x:c>
      <x:c r="F4398" s="11" t="n">
        <x:v>8.227241615331964</x:v>
      </x:c>
      <x:c r="G4398" s="26" t="b">
        <x:v>1</x:v>
      </x:c>
      <x:c r="H4398" s="16" t="n">
        <x:v>1.2349999999999999</x:v>
      </x:c>
      <x:c r="I4398" s="16" t="n">
        <x:v>3.15</x:v>
      </x:c>
      <x:c r="J4398" s="16" t="n">
        <x:v>4.800000000000001</x:v>
      </x:c>
      <x:c r="K4398" s="11" t="n">
        <x:f>CHOOSE('假设'!$B$3,H4398,I4398,J4398)</x:f>
        <x:v>3.15</x:v>
      </x:c>
      <x:c r="L4398" s="11" t="n">
        <x:f>K4398*'管线假设'!E947*'管线假设'!F947*'管线假设'!G947*IF(E4398="USD",'管线假设'!I947,1)-AM4398</x:f>
        <x:v>0.7875</x:v>
      </x:c>
      <x:c r="M4398" s="11" t="n">
        <x:f>'管线假设'!H947</x:f>
        <x:v>0.14</x:v>
      </x:c>
      <x:c r="N4398" s="11" t="n">
        <x:f>IF(G4398,L4398*AN4398/(1+M4398)^F4398,0)</x:f>
        <x:v>0.2679665602248016</x:v>
      </x:c>
      <x:c r="AJ4398" s="42" t="n">
        <x:v>0</x:v>
      </x:c>
      <x:c r="AK4398" s="42" t="n">
        <x:v>0</x:v>
      </x:c>
      <x:c r="AL4398" s="42" t="n">
        <x:v>0</x:v>
      </x:c>
      <x:c r="AM4398" t="n">
        <x:f>CHOOSE('假设'!$B$3,AJ4398,AK4398,AL4398)</x:f>
        <x:v>0</x:v>
      </x:c>
      <x:c r="AN4398" t="n">
        <x:v>1</x:v>
      </x:c>
    </x:row>
    <x:row r="4399" ht="23" customHeight="1">
      <x:c r="A4399" s="11" t="str">
        <x:v>02162.HK</x:v>
      </x:c>
      <x:c r="B4399" s="11" t="str">
        <x:v>三年</x:v>
      </x:c>
      <x:c r="C4399" s="11" t="str">
        <x:v>CM512_CRSwNP</x:v>
      </x:c>
      <x:c r="D4399" s="11" t="str">
        <x:v>2038-12-31</x:v>
      </x:c>
      <x:c r="E4399" s="11" t="str">
        <x:v>CNY</x:v>
      </x:c>
      <x:c r="F4399" s="11" t="n">
        <x:v>9.22655715263518</x:v>
      </x:c>
      <x:c r="G4399" s="26" t="b">
        <x:v>1</x:v>
      </x:c>
      <x:c r="H4399" s="16" t="n">
        <x:v>1.1700000000000002</x:v>
      </x:c>
      <x:c r="I4399" s="16" t="n">
        <x:v>2.8000000000000003</x:v>
      </x:c>
      <x:c r="J4399" s="16" t="n">
        <x:v>3.9000000000000004</x:v>
      </x:c>
      <x:c r="K4399" s="11" t="n">
        <x:f>CHOOSE('假设'!$B$3,H4399,I4399,J4399)</x:f>
        <x:v>2.8000000000000003</x:v>
      </x:c>
      <x:c r="L4399" s="11" t="n">
        <x:f>K4399*'管线假设'!E947*'管线假设'!F947*'管线假设'!G947*IF(E4399="USD",'管线假设'!I947,1)-AM4399</x:f>
        <x:v>0.7000000000000001</x:v>
      </x:c>
      <x:c r="M4399" s="11" t="n">
        <x:f>'管线假设'!H947</x:f>
        <x:v>0.14</x:v>
      </x:c>
      <x:c r="N4399" s="11" t="n">
        <x:f>IF(G4399,L4399*AN4399/(1+M4399)^F4399,0)</x:f>
        <x:v>0.20895952717674848</x:v>
      </x:c>
      <x:c r="AJ4399" s="42" t="n">
        <x:v>0</x:v>
      </x:c>
      <x:c r="AK4399" s="42" t="n">
        <x:v>0</x:v>
      </x:c>
      <x:c r="AL4399" s="42" t="n">
        <x:v>0</x:v>
      </x:c>
      <x:c r="AM4399" t="n">
        <x:f>CHOOSE('假设'!$B$3,AJ4399,AK4399,AL4399)</x:f>
        <x:v>0</x:v>
      </x:c>
      <x:c r="AN4399" t="n">
        <x:v>1</x:v>
      </x:c>
    </x:row>
    <x:row r="4400" ht="23" customHeight="1">
      <x:c r="A4400" s="11" t="str">
        <x:v>02162.HK</x:v>
      </x:c>
      <x:c r="B4400" s="11" t="str">
        <x:v>三年</x:v>
      </x:c>
      <x:c r="C4400" s="11" t="str">
        <x:v>CM512_CRSwNP</x:v>
      </x:c>
      <x:c r="D4400" s="11" t="str">
        <x:v>2039-12-31</x:v>
      </x:c>
      <x:c r="E4400" s="11" t="str">
        <x:v>CNY</x:v>
      </x:c>
      <x:c r="F4400" s="11" t="n">
        <x:v>10.225872689938399</x:v>
      </x:c>
      <x:c r="G4400" s="26" t="b">
        <x:v>1</x:v>
      </x:c>
      <x:c r="H4400" s="16" t="n">
        <x:v>1.04</x:v>
      </x:c>
      <x:c r="I4400" s="16" t="n">
        <x:v>2.275</x:v>
      </x:c>
      <x:c r="J4400" s="16" t="n">
        <x:v>3</x:v>
      </x:c>
      <x:c r="K4400" s="11" t="n">
        <x:f>CHOOSE('假设'!$B$3,H4400,I4400,J4400)</x:f>
        <x:v>2.275</x:v>
      </x:c>
      <x:c r="L4400" s="11" t="n">
        <x:f>K4400*'管线假设'!E947*'管线假设'!F947*'管线假设'!G947*IF(E4400="USD",'管线假设'!I947,1)-AM4400</x:f>
        <x:v>0.56875</x:v>
      </x:c>
      <x:c r="M4400" s="11" t="n">
        <x:f>'管线假设'!H947</x:f>
        <x:v>0.14</x:v>
      </x:c>
      <x:c r="N4400" s="11" t="n">
        <x:f>IF(G4400,L4400*AN4400/(1+M4400)^F4400,0)</x:f>
        <x:v>0.14894284475598576</x:v>
      </x:c>
      <x:c r="AJ4400" s="42" t="n">
        <x:v>0</x:v>
      </x:c>
      <x:c r="AK4400" s="42" t="n">
        <x:v>0</x:v>
      </x:c>
      <x:c r="AL4400" s="42" t="n">
        <x:v>0</x:v>
      </x:c>
      <x:c r="AM4400" t="n">
        <x:f>CHOOSE('假设'!$B$3,AJ4400,AK4400,AL4400)</x:f>
        <x:v>0</x:v>
      </x:c>
      <x:c r="AN4400" t="n">
        <x:v>1</x:v>
      </x:c>
    </x:row>
    <x:row r="4401" ht="23" customHeight="1">
      <x:c r="A4401" s="11" t="str">
        <x:v>02162.HK</x:v>
      </x:c>
      <x:c r="B4401" s="11" t="str">
        <x:v>三年</x:v>
      </x:c>
      <x:c r="C4401" s="11" t="str">
        <x:v>CM512_CRSwNP</x:v>
      </x:c>
      <x:c r="D4401" s="11" t="str">
        <x:v>2040-12-31</x:v>
      </x:c>
      <x:c r="E4401" s="11" t="str">
        <x:v>CNY</x:v>
      </x:c>
      <x:c r="F4401" s="11" t="n">
        <x:v>11.227926078028748</x:v>
      </x:c>
      <x:c r="G4401" s="26" t="b">
        <x:v>1</x:v>
      </x:c>
      <x:c r="H4401" s="16" t="n">
        <x:v>0.8450000000000001</x:v>
      </x:c>
      <x:c r="I4401" s="16" t="n">
        <x:v>1.75</x:v>
      </x:c>
      <x:c r="J4401" s="16" t="n">
        <x:v>2.0999999999999996</x:v>
      </x:c>
      <x:c r="K4401" s="11" t="n">
        <x:f>CHOOSE('假设'!$B$3,H4401,I4401,J4401)</x:f>
        <x:v>1.75</x:v>
      </x:c>
      <x:c r="L4401" s="11" t="n">
        <x:f>K4401*'管线假设'!E947*'管线假设'!F947*'管线假设'!G947*IF(E4401="USD",'管线假设'!I947,1)-AM4401</x:f>
        <x:v>0.4375</x:v>
      </x:c>
      <x:c r="M4401" s="11" t="n">
        <x:f>'管线假设'!H947</x:f>
        <x:v>0.14</x:v>
      </x:c>
      <x:c r="N4401" s="11" t="n">
        <x:f>IF(G4401,L4401*AN4401/(1+M4401)^F4401,0)</x:f>
        <x:v>0.10047420836368272</x:v>
      </x:c>
      <x:c r="AJ4401" s="42" t="n">
        <x:v>0</x:v>
      </x:c>
      <x:c r="AK4401" s="42" t="n">
        <x:v>0</x:v>
      </x:c>
      <x:c r="AL4401" s="42" t="n">
        <x:v>0</x:v>
      </x:c>
      <x:c r="AM4401" t="n">
        <x:f>CHOOSE('假设'!$B$3,AJ4401,AK4401,AL4401)</x:f>
        <x:v>0</x:v>
      </x:c>
      <x:c r="AN4401" t="n">
        <x:v>1</x:v>
      </x:c>
    </x:row>
    <x:row r="4402" ht="23" customHeight="1">
      <x:c r="A4402" s="11" t="str">
        <x:v>02162.HK</x:v>
      </x:c>
      <x:c r="B4402" s="11" t="str">
        <x:v>三年</x:v>
      </x:c>
      <x:c r="C4402" s="11" t="str">
        <x:v>CM512_CRSwNP</x:v>
      </x:c>
      <x:c r="D4402" s="11" t="str">
        <x:v>2041-12-31</x:v>
      </x:c>
      <x:c r="E4402" s="11" t="str">
        <x:v>CNY</x:v>
      </x:c>
      <x:c r="F4402" s="11" t="n">
        <x:v>12.227241615331964</x:v>
      </x:c>
      <x:c r="G4402" s="26" t="b">
        <x:v>1</x:v>
      </x:c>
      <x:c r="H4402" s="16" t="n">
        <x:v>0.65</x:v>
      </x:c>
      <x:c r="I4402" s="16" t="n">
        <x:v>1.2249999999999999</x:v>
      </x:c>
      <x:c r="J4402" s="16" t="n">
        <x:v>1.2000000000000002</x:v>
      </x:c>
      <x:c r="K4402" s="11" t="n">
        <x:f>CHOOSE('假设'!$B$3,H4402,I4402,J4402)</x:f>
        <x:v>1.2249999999999999</x:v>
      </x:c>
      <x:c r="L4402" s="11" t="n">
        <x:f>K4402*'管线假设'!E947*'管线假设'!F947*'管线假设'!G947*IF(E4402="USD",'管线假设'!I947,1)-AM4402</x:f>
        <x:v>0.30624999999999997</x:v>
      </x:c>
      <x:c r="M4402" s="11" t="n">
        <x:f>'管线假设'!H947</x:f>
        <x:v>0.14</x:v>
      </x:c>
      <x:c r="N4402" s="11" t="n">
        <x:f>IF(G4402,L4402*AN4402/(1+M4402)^F4402,0)</x:f>
        <x:v>0.06170022261815848</x:v>
      </x:c>
      <x:c r="AJ4402" s="42" t="n">
        <x:v>0</x:v>
      </x:c>
      <x:c r="AK4402" s="42" t="n">
        <x:v>0</x:v>
      </x:c>
      <x:c r="AL4402" s="42" t="n">
        <x:v>0</x:v>
      </x:c>
      <x:c r="AM4402" t="n">
        <x:f>CHOOSE('假设'!$B$3,AJ4402,AK4402,AL4402)</x:f>
        <x:v>0</x:v>
      </x:c>
      <x:c r="AN4402" t="n">
        <x:v>1</x:v>
      </x:c>
    </x:row>
    <x:row r="4403" ht="23" customHeight="1">
      <x:c r="A4403" s="11" t="str">
        <x:v>02162.HK</x:v>
      </x:c>
      <x:c r="B4403" s="11" t="str">
        <x:v>三年</x:v>
      </x:c>
      <x:c r="C4403" s="11" t="str">
        <x:v>CM512_CRSwNP</x:v>
      </x:c>
      <x:c r="D4403" s="11" t="str">
        <x:v>2042-12-31</x:v>
      </x:c>
      <x:c r="E4403" s="11" t="str">
        <x:v>CNY</x:v>
      </x:c>
      <x:c r="F4403" s="11" t="n">
        <x:v>13.22655715263518</x:v>
      </x:c>
      <x:c r="G4403" s="26" t="b">
        <x:v>1</x:v>
      </x:c>
      <x:c r="H4403" s="16" t="n">
        <x:v>0.45499999999999996</x:v>
      </x:c>
      <x:c r="I4403" s="16" t="n">
        <x:v>0.7000000000000001</x:v>
      </x:c>
      <x:c r="J4403" s="16" t="n">
        <x:v>0.72</x:v>
      </x:c>
      <x:c r="K4403" s="11" t="n">
        <x:f>CHOOSE('假设'!$B$3,H4403,I4403,J4403)</x:f>
        <x:v>0.7000000000000001</x:v>
      </x:c>
      <x:c r="L4403" s="11" t="n">
        <x:f>K4403*'管线假设'!E947*'管线假设'!F947*'管线假设'!G947*IF(E4403="USD",'管线假设'!I947,1)-AM4403</x:f>
        <x:v>0.17500000000000002</x:v>
      </x:c>
      <x:c r="M4403" s="11" t="n">
        <x:f>'管线假设'!H947</x:f>
        <x:v>0.14</x:v>
      </x:c>
      <x:c r="N4403" s="11" t="n">
        <x:f>IF(G4403,L4403*AN4403/(1+M4403)^F4403,0)</x:f>
        <x:v>0.030930203702488224</x:v>
      </x:c>
      <x:c r="AJ4403" s="42" t="n">
        <x:v>0</x:v>
      </x:c>
      <x:c r="AK4403" s="42" t="n">
        <x:v>0</x:v>
      </x:c>
      <x:c r="AL4403" s="42" t="n">
        <x:v>0</x:v>
      </x:c>
      <x:c r="AM4403" t="n">
        <x:f>CHOOSE('假设'!$B$3,AJ4403,AK4403,AL4403)</x:f>
        <x:v>0</x:v>
      </x:c>
      <x:c r="AN4403" t="n">
        <x:v>1</x:v>
      </x:c>
    </x:row>
    <x:row r="4404" ht="23" customHeight="1">
      <x:c r="A4404" s="11" t="str">
        <x:v>02162.HK</x:v>
      </x:c>
      <x:c r="B4404" s="11" t="str">
        <x:v>三年</x:v>
      </x:c>
      <x:c r="C4404" s="11" t="str">
        <x:v>CM512_CRSwNP</x:v>
      </x:c>
      <x:c r="D4404" s="11" t="str">
        <x:v>2043-12-31</x:v>
      </x:c>
      <x:c r="E4404" s="11" t="str">
        <x:v>CNY</x:v>
      </x:c>
      <x:c r="F4404" s="11" t="n">
        <x:v>14.225872689938399</x:v>
      </x:c>
      <x:c r="G4404" s="26" t="b">
        <x:v>1</x:v>
      </x:c>
      <x:c r="H4404" s="16" t="n">
        <x:v>0.26</x:v>
      </x:c>
      <x:c r="I4404" s="16" t="n">
        <x:v>0.42</x:v>
      </x:c>
      <x:c r="J4404" s="16" t="n">
        <x:v>0.42000000000000004</x:v>
      </x:c>
      <x:c r="K4404" s="11" t="n">
        <x:f>CHOOSE('假设'!$B$3,H4404,I4404,J4404)</x:f>
        <x:v>0.42</x:v>
      </x:c>
      <x:c r="L4404" s="11" t="n">
        <x:f>K4404*'管线假设'!E947*'管线假设'!F947*'管线假设'!G947*IF(E4404="USD",'管线假设'!I947,1)-AM4404</x:f>
        <x:v>0.105</x:v>
      </x:c>
      <x:c r="M4404" s="11" t="n">
        <x:f>'管线假设'!H947</x:f>
        <x:v>0.14</x:v>
      </x:c>
      <x:c r="N4404" s="11" t="n">
        <x:f>IF(G4404,L4404*AN4404/(1+M4404)^F4404,0)</x:f>
        <x:v>0.01628051461577153</x:v>
      </x:c>
      <x:c r="AJ4404" s="42" t="n">
        <x:v>0</x:v>
      </x:c>
      <x:c r="AK4404" s="42" t="n">
        <x:v>0</x:v>
      </x:c>
      <x:c r="AL4404" s="42" t="n">
        <x:v>0</x:v>
      </x:c>
      <x:c r="AM4404" t="n">
        <x:f>CHOOSE('假设'!$B$3,AJ4404,AK4404,AL4404)</x:f>
        <x:v>0</x:v>
      </x:c>
      <x:c r="AN4404" t="n">
        <x:v>1</x:v>
      </x:c>
    </x:row>
    <x:row r="4405" ht="23" customHeight="1">
      <x:c r="A4405" s="11" t="str">
        <x:v>02162.HK</x:v>
      </x:c>
      <x:c r="B4405" s="11" t="str">
        <x:v>三年</x:v>
      </x:c>
      <x:c r="C4405" s="11" t="str">
        <x:v>CM512_CRSwNP</x:v>
      </x:c>
      <x:c r="D4405" s="11" t="str">
        <x:v>2044-12-31</x:v>
      </x:c>
      <x:c r="E4405" s="11" t="str">
        <x:v>CNY</x:v>
      </x:c>
      <x:c r="F4405" s="11" t="n">
        <x:v>15.227926078028748</x:v>
      </x:c>
      <x:c r="G4405" s="26" t="b">
        <x:v>1</x:v>
      </x:c>
      <x:c r="H4405" s="16" t="n">
        <x:v>0.156</x:v>
      </x:c>
      <x:c r="I4405" s="16" t="n">
        <x:v>0.24500000000000002</x:v>
      </x:c>
      <x:c r="J4405" s="16" t="n">
        <x:v>0.18</x:v>
      </x:c>
      <x:c r="K4405" s="11" t="n">
        <x:f>CHOOSE('假设'!$B$3,H4405,I4405,J4405)</x:f>
        <x:v>0.24500000000000002</x:v>
      </x:c>
      <x:c r="L4405" s="11" t="n">
        <x:f>K4405*'管线假设'!E947*'管线假设'!F947*'管线假设'!G947*IF(E4405="USD",'管线假设'!I947,1)-AM4405</x:f>
        <x:v>0.061250000000000006</x:v>
      </x:c>
      <x:c r="M4405" s="11" t="n">
        <x:f>'管线假设'!H947</x:f>
        <x:v>0.14</x:v>
      </x:c>
      <x:c r="N4405" s="11" t="n">
        <x:f>IF(G4405,L4405*AN4405/(1+M4405)^F4405,0)</x:f>
        <x:v>0.008328431601912727</x:v>
      </x:c>
      <x:c r="AJ4405" s="42" t="n">
        <x:v>0</x:v>
      </x:c>
      <x:c r="AK4405" s="42" t="n">
        <x:v>0</x:v>
      </x:c>
      <x:c r="AL4405" s="42" t="n">
        <x:v>0</x:v>
      </x:c>
      <x:c r="AM4405" t="n">
        <x:f>CHOOSE('假设'!$B$3,AJ4405,AK4405,AL4405)</x:f>
        <x:v>0</x:v>
      </x:c>
      <x:c r="AN4405" t="n">
        <x:v>1</x:v>
      </x:c>
    </x:row>
    <x:row r="4406" ht="23" customHeight="1">
      <x:c r="A4406" s="11" t="str">
        <x:v>02162.HK</x:v>
      </x:c>
      <x:c r="B4406" s="11" t="str">
        <x:v>三年</x:v>
      </x:c>
      <x:c r="C4406" s="11" t="str">
        <x:v>CM512_other</x:v>
      </x:c>
      <x:c r="D4406" s="11" t="str">
        <x:v>2026-12-31</x:v>
      </x:c>
      <x:c r="E4406" s="11" t="str">
        <x:v>CNY</x:v>
      </x:c>
      <x:c r="F4406" s="11" t="n">
        <x:v>-2.7734428473648185</x:v>
      </x:c>
      <x:c r="G4406" s="26" t="b">
        <x:v>0</x:v>
      </x:c>
      <x:c r="H4406" s="16" t="n">
        <x:v>0</x:v>
      </x:c>
      <x:c r="I4406" s="16" t="n">
        <x:v>0</x:v>
      </x:c>
      <x:c r="J4406" s="16" t="n">
        <x:v>0</x:v>
      </x:c>
      <x:c r="K4406" s="11" t="n">
        <x:f>CHOOSE('假设'!$B$3,H4406,I4406,J4406)</x:f>
        <x:v>0</x:v>
      </x:c>
      <x:c r="L4406" s="11" t="n">
        <x:f>K4406*'管线假设'!E951*'管线假设'!F951*'管线假设'!G951*IF(E4406="USD",'管线假设'!I951,1)-AM4406</x:f>
        <x:v>-0.1</x:v>
      </x:c>
      <x:c r="M4406" s="11" t="n">
        <x:f>'管线假设'!H951</x:f>
        <x:v>0.14</x:v>
      </x:c>
      <x:c r="N4406" s="11" t="n">
        <x:f>IF(G4406,L4406*AN4406/(1+M4406)^F4406,0)</x:f>
        <x:v>0</x:v>
      </x:c>
      <x:c r="AJ4406" s="42" t="n">
        <x:v>0.05</x:v>
      </x:c>
      <x:c r="AK4406" s="42" t="n">
        <x:v>0.1</x:v>
      </x:c>
      <x:c r="AL4406" s="42" t="n">
        <x:v>0.15</x:v>
      </x:c>
      <x:c r="AM4406" t="n">
        <x:f>CHOOSE('假设'!$B$3,AJ4406,AK4406,AL4406)</x:f>
        <x:v>0.1</x:v>
      </x:c>
      <x:c r="AN4406" t="n">
        <x:v>0</x:v>
      </x:c>
    </x:row>
    <x:row r="4407" ht="23" customHeight="1">
      <x:c r="A4407" s="11" t="str">
        <x:v>02162.HK</x:v>
      </x:c>
      <x:c r="B4407" s="11" t="str">
        <x:v>三年</x:v>
      </x:c>
      <x:c r="C4407" s="11" t="str">
        <x:v>CM512_other</x:v>
      </x:c>
      <x:c r="D4407" s="11" t="str">
        <x:v>2027-12-31</x:v>
      </x:c>
      <x:c r="E4407" s="11" t="str">
        <x:v>CNY</x:v>
      </x:c>
      <x:c r="F4407" s="11" t="n">
        <x:v>-1.7741273100616017</x:v>
      </x:c>
      <x:c r="G4407" s="26" t="b">
        <x:v>0</x:v>
      </x:c>
      <x:c r="H4407" s="16" t="n">
        <x:v>0</x:v>
      </x:c>
      <x:c r="I4407" s="16" t="n">
        <x:v>0</x:v>
      </x:c>
      <x:c r="J4407" s="16" t="n">
        <x:v>0</x:v>
      </x:c>
      <x:c r="K4407" s="11" t="n">
        <x:f>CHOOSE('假设'!$B$3,H4407,I4407,J4407)</x:f>
        <x:v>0</x:v>
      </x:c>
      <x:c r="L4407" s="11" t="n">
        <x:f>K4407*'管线假设'!E951*'管线假设'!F951*'管线假设'!G951*IF(E4407="USD",'管线假设'!I951,1)-AM4407</x:f>
        <x:v>-0.18</x:v>
      </x:c>
      <x:c r="M4407" s="11" t="n">
        <x:f>'管线假设'!H951</x:f>
        <x:v>0.14</x:v>
      </x:c>
      <x:c r="N4407" s="11" t="n">
        <x:f>IF(G4407,L4407*AN4407/(1+M4407)^F4407,0)</x:f>
        <x:v>0</x:v>
      </x:c>
      <x:c r="AJ4407" s="42" t="n">
        <x:v>0.06</x:v>
      </x:c>
      <x:c r="AK4407" s="42" t="n">
        <x:v>0.18</x:v>
      </x:c>
      <x:c r="AL4407" s="42" t="n">
        <x:v>0.24</x:v>
      </x:c>
      <x:c r="AM4407" t="n">
        <x:f>CHOOSE('假设'!$B$3,AJ4407,AK4407,AL4407)</x:f>
        <x:v>0.18</x:v>
      </x:c>
      <x:c r="AN4407" t="n">
        <x:v>0</x:v>
      </x:c>
    </x:row>
    <x:row r="4408" ht="23" customHeight="1">
      <x:c r="A4408" s="11" t="str">
        <x:v>02162.HK</x:v>
      </x:c>
      <x:c r="B4408" s="11" t="str">
        <x:v>三年</x:v>
      </x:c>
      <x:c r="C4408" s="11" t="str">
        <x:v>CM512_other</x:v>
      </x:c>
      <x:c r="D4408" s="11" t="str">
        <x:v>2028-12-31</x:v>
      </x:c>
      <x:c r="E4408" s="11" t="str">
        <x:v>CNY</x:v>
      </x:c>
      <x:c r="F4408" s="11" t="n">
        <x:v>-0.7720739219712526</x:v>
      </x:c>
      <x:c r="G4408" s="26" t="b">
        <x:v>0</x:v>
      </x:c>
      <x:c r="H4408" s="16" t="n">
        <x:v>0</x:v>
      </x:c>
      <x:c r="I4408" s="16" t="n">
        <x:v>0</x:v>
      </x:c>
      <x:c r="J4408" s="16" t="n">
        <x:v>0</x:v>
      </x:c>
      <x:c r="K4408" s="11" t="n">
        <x:f>CHOOSE('假设'!$B$3,H4408,I4408,J4408)</x:f>
        <x:v>0</x:v>
      </x:c>
      <x:c r="L4408" s="11" t="n">
        <x:f>K4408*'管线假设'!E951*'管线假设'!F951*'管线假设'!G951*IF(E4408="USD",'管线假设'!I951,1)-AM4408</x:f>
        <x:v>-0.24</x:v>
      </x:c>
      <x:c r="M4408" s="11" t="n">
        <x:f>'管线假设'!H951</x:f>
        <x:v>0.14</x:v>
      </x:c>
      <x:c r="N4408" s="11" t="n">
        <x:f>IF(G4408,L4408*AN4408/(1+M4408)^F4408,0)</x:f>
        <x:v>0</x:v>
      </x:c>
      <x:c r="AJ4408" s="42" t="n">
        <x:v>0.05</x:v>
      </x:c>
      <x:c r="AK4408" s="42" t="n">
        <x:v>0.24</x:v>
      </x:c>
      <x:c r="AL4408" s="42" t="n">
        <x:v>0.35</x:v>
      </x:c>
      <x:c r="AM4408" t="n">
        <x:f>CHOOSE('假设'!$B$3,AJ4408,AK4408,AL4408)</x:f>
        <x:v>0.24</x:v>
      </x:c>
      <x:c r="AN4408" t="n">
        <x:v>0</x:v>
      </x:c>
    </x:row>
    <x:row r="4409" ht="23" customHeight="1">
      <x:c r="A4409" s="11" t="str">
        <x:v>02162.HK</x:v>
      </x:c>
      <x:c r="B4409" s="11" t="str">
        <x:v>三年</x:v>
      </x:c>
      <x:c r="C4409" s="11" t="str">
        <x:v>CM512_other</x:v>
      </x:c>
      <x:c r="D4409" s="11" t="str">
        <x:v>2029-12-31</x:v>
      </x:c>
      <x:c r="E4409" s="11" t="str">
        <x:v>CNY</x:v>
      </x:c>
      <x:c r="F4409" s="11" t="n">
        <x:v>0.2272416153319644</x:v>
      </x:c>
      <x:c r="G4409" s="26" t="b">
        <x:v>1</x:v>
      </x:c>
      <x:c r="H4409" s="16" t="n">
        <x:v>0</x:v>
      </x:c>
      <x:c r="I4409" s="16" t="n">
        <x:v>0</x:v>
      </x:c>
      <x:c r="J4409" s="16" t="n">
        <x:v>0.48</x:v>
      </x:c>
      <x:c r="K4409" s="11" t="n">
        <x:f>CHOOSE('假设'!$B$3,H4409,I4409,J4409)</x:f>
        <x:v>0</x:v>
      </x:c>
      <x:c r="L4409" s="11" t="n">
        <x:f>K4409*'管线假设'!E951*'管线假设'!F951*'管线假设'!G951*IF(E4409="USD",'管线假设'!I951,1)-AM4409</x:f>
        <x:v>-0.22</x:v>
      </x:c>
      <x:c r="M4409" s="11" t="n">
        <x:f>'管线假设'!H951</x:f>
        <x:v>0.14</x:v>
      </x:c>
      <x:c r="N4409" s="11" t="n">
        <x:f>IF(G4409,L4409*AN4409/(1+M4409)^F4409,0)</x:f>
        <x:v>-0.048693191359863636</x:v>
      </x:c>
      <x:c r="AJ4409" s="42" t="n">
        <x:v>0</x:v>
      </x:c>
      <x:c r="AK4409" s="42" t="n">
        <x:v>0.22</x:v>
      </x:c>
      <x:c r="AL4409" s="42" t="n">
        <x:v>0.3</x:v>
      </x:c>
      <x:c r="AM4409" t="n">
        <x:f>CHOOSE('假设'!$B$3,AJ4409,AK4409,AL4409)</x:f>
        <x:v>0.22</x:v>
      </x:c>
      <x:c r="AN4409" t="n">
        <x:v>0.22802197802197802</x:v>
      </x:c>
    </x:row>
    <x:row r="4410" ht="23" customHeight="1">
      <x:c r="A4410" s="11" t="str">
        <x:v>02162.HK</x:v>
      </x:c>
      <x:c r="B4410" s="11" t="str">
        <x:v>三年</x:v>
      </x:c>
      <x:c r="C4410" s="11" t="str">
        <x:v>CM512_other</x:v>
      </x:c>
      <x:c r="D4410" s="11" t="str">
        <x:v>2030-12-31</x:v>
      </x:c>
      <x:c r="E4410" s="11" t="str">
        <x:v>CNY</x:v>
      </x:c>
      <x:c r="F4410" s="11" t="n">
        <x:v>1.2265571526351813</x:v>
      </x:c>
      <x:c r="G4410" s="26" t="b">
        <x:v>1</x:v>
      </x:c>
      <x:c r="H4410" s="16" t="n">
        <x:v>0</x:v>
      </x:c>
      <x:c r="I4410" s="16" t="n">
        <x:v>0.24</x:v>
      </x:c>
      <x:c r="J4410" s="16" t="n">
        <x:v>1.44</x:v>
      </x:c>
      <x:c r="K4410" s="11" t="n">
        <x:f>CHOOSE('假设'!$B$3,H4410,I4410,J4410)</x:f>
        <x:v>0.24</x:v>
      </x:c>
      <x:c r="L4410" s="11" t="n">
        <x:f>K4410*'管线假设'!E951*'管线假设'!F951*'管线假设'!G951*IF(E4410="USD",'管线假设'!I951,1)-AM4410</x:f>
        <x:v>-0.08544</x:v>
      </x:c>
      <x:c r="M4410" s="11" t="n">
        <x:f>'管线假设'!H951</x:f>
        <x:v>0.14</x:v>
      </x:c>
      <x:c r="N4410" s="11" t="n">
        <x:f>IF(G4410,L4410*AN4410/(1+M4410)^F4410,0)</x:f>
        <x:v>-0.07275522485314596</x:v>
      </x:c>
      <x:c r="AJ4410" s="42" t="n">
        <x:v>0</x:v>
      </x:c>
      <x:c r="AK4410" s="42" t="n">
        <x:v>0.12</x:v>
      </x:c>
      <x:c r="AL4410" s="42" t="n">
        <x:v>0.15</x:v>
      </x:c>
      <x:c r="AM4410" t="n">
        <x:f>CHOOSE('假设'!$B$3,AJ4410,AK4410,AL4410)</x:f>
        <x:v>0.12</x:v>
      </x:c>
      <x:c r="AN4410" t="n">
        <x:v>1</x:v>
      </x:c>
    </x:row>
    <x:row r="4411" ht="23" customHeight="1">
      <x:c r="A4411" s="11" t="str">
        <x:v>02162.HK</x:v>
      </x:c>
      <x:c r="B4411" s="11" t="str">
        <x:v>三年</x:v>
      </x:c>
      <x:c r="C4411" s="11" t="str">
        <x:v>CM512_other</x:v>
      </x:c>
      <x:c r="D4411" s="11" t="str">
        <x:v>2031-12-31</x:v>
      </x:c>
      <x:c r="E4411" s="11" t="str">
        <x:v>CNY</x:v>
      </x:c>
      <x:c r="F4411" s="11" t="n">
        <x:v>2.2258726899383983</x:v>
      </x:c>
      <x:c r="G4411" s="26" t="b">
        <x:v>1</x:v>
      </x:c>
      <x:c r="H4411" s="16" t="n">
        <x:v>0</x:v>
      </x:c>
      <x:c r="I4411" s="16" t="n">
        <x:v>0.72</x:v>
      </x:c>
      <x:c r="J4411" s="16" t="n">
        <x:v>3.04</x:v>
      </x:c>
      <x:c r="K4411" s="11" t="n">
        <x:f>CHOOSE('假设'!$B$3,H4411,I4411,J4411)</x:f>
        <x:v>0.72</x:v>
      </x:c>
      <x:c r="L4411" s="11" t="n">
        <x:f>K4411*'管线假设'!E951*'管线假设'!F951*'管线假设'!G951*IF(E4411="USD",'管线假设'!I951,1)-AM4411</x:f>
        <x:v>0.10368</x:v>
      </x:c>
      <x:c r="M4411" s="11" t="n">
        <x:f>'管线假设'!H951</x:f>
        <x:v>0.14</x:v>
      </x:c>
      <x:c r="N4411" s="11" t="n">
        <x:f>IF(G4411,L4411*AN4411/(1+M4411)^F4411,0)</x:f>
        <x:v>0.07745189250152505</x:v>
      </x:c>
      <x:c r="AJ4411" s="42" t="n">
        <x:v>0</x:v>
      </x:c>
      <x:c r="AK4411" s="42" t="n">
        <x:v>0</x:v>
      </x:c>
      <x:c r="AL4411" s="42" t="n">
        <x:v>0</x:v>
      </x:c>
      <x:c r="AM4411" t="n">
        <x:f>CHOOSE('假设'!$B$3,AJ4411,AK4411,AL4411)</x:f>
        <x:v>0</x:v>
      </x:c>
      <x:c r="AN4411" t="n">
        <x:v>1</x:v>
      </x:c>
    </x:row>
    <x:row r="4412" ht="23" customHeight="1">
      <x:c r="A4412" s="11" t="str">
        <x:v>02162.HK</x:v>
      </x:c>
      <x:c r="B4412" s="11" t="str">
        <x:v>三年</x:v>
      </x:c>
      <x:c r="C4412" s="11" t="str">
        <x:v>CM512_other</x:v>
      </x:c>
      <x:c r="D4412" s="11" t="str">
        <x:v>2032-12-31</x:v>
      </x:c>
      <x:c r="E4412" s="11" t="str">
        <x:v>CNY</x:v>
      </x:c>
      <x:c r="F4412" s="11" t="n">
        <x:v>3.2279260780287475</x:v>
      </x:c>
      <x:c r="G4412" s="26" t="b">
        <x:v>1</x:v>
      </x:c>
      <x:c r="H4412" s="16" t="n">
        <x:v>0.06</x:v>
      </x:c>
      <x:c r="I4412" s="16" t="n">
        <x:v>1.52</x:v>
      </x:c>
      <x:c r="J4412" s="16" t="n">
        <x:v>5.2</x:v>
      </x:c>
      <x:c r="K4412" s="11" t="n">
        <x:f>CHOOSE('假设'!$B$3,H4412,I4412,J4412)</x:f>
        <x:v>1.52</x:v>
      </x:c>
      <x:c r="L4412" s="11" t="n">
        <x:f>K4412*'管线假设'!E951*'管线假设'!F951*'管线假设'!G951*IF(E4412="USD",'管线假设'!I951,1)-AM4412</x:f>
        <x:v>0.21887999999999996</x:v>
      </x:c>
      <x:c r="M4412" s="11" t="n">
        <x:f>'管线假设'!H951</x:f>
        <x:v>0.14</x:v>
      </x:c>
      <x:c r="N4412" s="11" t="n">
        <x:f>IF(G4412,L4412*AN4412/(1+M4412)^F4412,0)</x:f>
        <x:v>0.143390845792254</x:v>
      </x:c>
      <x:c r="AJ4412" s="42" t="n">
        <x:v>0</x:v>
      </x:c>
      <x:c r="AK4412" s="42" t="n">
        <x:v>0</x:v>
      </x:c>
      <x:c r="AL4412" s="42" t="n">
        <x:v>0</x:v>
      </x:c>
      <x:c r="AM4412" t="n">
        <x:f>CHOOSE('假设'!$B$3,AJ4412,AK4412,AL4412)</x:f>
        <x:v>0</x:v>
      </x:c>
      <x:c r="AN4412" t="n">
        <x:v>1</x:v>
      </x:c>
    </x:row>
    <x:row r="4413" ht="23" customHeight="1">
      <x:c r="A4413" s="11" t="str">
        <x:v>02162.HK</x:v>
      </x:c>
      <x:c r="B4413" s="11" t="str">
        <x:v>三年</x:v>
      </x:c>
      <x:c r="C4413" s="11" t="str">
        <x:v>CM512_other</x:v>
      </x:c>
      <x:c r="D4413" s="11" t="str">
        <x:v>2033-12-31</x:v>
      </x:c>
      <x:c r="E4413" s="11" t="str">
        <x:v>CNY</x:v>
      </x:c>
      <x:c r="F4413" s="11" t="n">
        <x:v>4.227241615331964</x:v>
      </x:c>
      <x:c r="G4413" s="26" t="b">
        <x:v>1</x:v>
      </x:c>
      <x:c r="H4413" s="16" t="n">
        <x:v>0.18</x:v>
      </x:c>
      <x:c r="I4413" s="16" t="n">
        <x:v>2.6</x:v>
      </x:c>
      <x:c r="J4413" s="16" t="n">
        <x:v>6.8</x:v>
      </x:c>
      <x:c r="K4413" s="11" t="n">
        <x:f>CHOOSE('假设'!$B$3,H4413,I4413,J4413)</x:f>
        <x:v>2.6</x:v>
      </x:c>
      <x:c r="L4413" s="11" t="n">
        <x:f>K4413*'管线假设'!E951*'管线假设'!F951*'管线假设'!G951*IF(E4413="USD",'管线假设'!I951,1)-AM4413</x:f>
        <x:v>0.3744</x:v>
      </x:c>
      <x:c r="M4413" s="11" t="n">
        <x:f>'管线假设'!H951</x:f>
        <x:v>0.14</x:v>
      </x:c>
      <x:c r="N4413" s="11" t="n">
        <x:f>IF(G4413,L4413*AN4413/(1+M4413)^F4413,0)</x:f>
        <x:v>0.21517176603849508</x:v>
      </x:c>
      <x:c r="AJ4413" s="42" t="n">
        <x:v>0</x:v>
      </x:c>
      <x:c r="AK4413" s="42" t="n">
        <x:v>0</x:v>
      </x:c>
      <x:c r="AL4413" s="42" t="n">
        <x:v>0</x:v>
      </x:c>
      <x:c r="AM4413" t="n">
        <x:f>CHOOSE('假设'!$B$3,AJ4413,AK4413,AL4413)</x:f>
        <x:v>0</x:v>
      </x:c>
      <x:c r="AN4413" t="n">
        <x:v>1</x:v>
      </x:c>
    </x:row>
    <x:row r="4414" ht="23" customHeight="1">
      <x:c r="A4414" s="11" t="str">
        <x:v>02162.HK</x:v>
      </x:c>
      <x:c r="B4414" s="11" t="str">
        <x:v>三年</x:v>
      </x:c>
      <x:c r="C4414" s="11" t="str">
        <x:v>CM512_other</x:v>
      </x:c>
      <x:c r="D4414" s="11" t="str">
        <x:v>2034-12-31</x:v>
      </x:c>
      <x:c r="E4414" s="11" t="str">
        <x:v>CNY</x:v>
      </x:c>
      <x:c r="F4414" s="11" t="n">
        <x:v>5.2265571526351815</x:v>
      </x:c>
      <x:c r="G4414" s="26" t="b">
        <x:v>1</x:v>
      </x:c>
      <x:c r="H4414" s="16" t="n">
        <x:v>0.38</x:v>
      </x:c>
      <x:c r="I4414" s="16" t="n">
        <x:v>3.4</x:v>
      </x:c>
      <x:c r="J4414" s="16" t="n">
        <x:v>8</x:v>
      </x:c>
      <x:c r="K4414" s="11" t="n">
        <x:f>CHOOSE('假设'!$B$3,H4414,I4414,J4414)</x:f>
        <x:v>3.4</x:v>
      </x:c>
      <x:c r="L4414" s="11" t="n">
        <x:f>K4414*'管线假设'!E951*'管线假设'!F951*'管线假设'!G951*IF(E4414="USD",'管线假设'!I951,1)-AM4414</x:f>
        <x:v>0.4896</x:v>
      </x:c>
      <x:c r="M4414" s="11" t="n">
        <x:f>'管线假设'!H951</x:f>
        <x:v>0.14</x:v>
      </x:c>
      <x:c r="N4414" s="11" t="n">
        <x:f>IF(G4414,L4414*AN4414/(1+M4414)^F4414,0)</x:f>
        <x:v>0.2468453504798022</x:v>
      </x:c>
      <x:c r="AJ4414" s="42" t="n">
        <x:v>0</x:v>
      </x:c>
      <x:c r="AK4414" s="42" t="n">
        <x:v>0</x:v>
      </x:c>
      <x:c r="AL4414" s="42" t="n">
        <x:v>0</x:v>
      </x:c>
      <x:c r="AM4414" t="n">
        <x:f>CHOOSE('假设'!$B$3,AJ4414,AK4414,AL4414)</x:f>
        <x:v>0</x:v>
      </x:c>
      <x:c r="AN4414" t="n">
        <x:v>1</x:v>
      </x:c>
    </x:row>
    <x:row r="4415" ht="23" customHeight="1">
      <x:c r="A4415" s="11" t="str">
        <x:v>02162.HK</x:v>
      </x:c>
      <x:c r="B4415" s="11" t="str">
        <x:v>三年</x:v>
      </x:c>
      <x:c r="C4415" s="11" t="str">
        <x:v>CM512_other</x:v>
      </x:c>
      <x:c r="D4415" s="11" t="str">
        <x:v>2035-12-31</x:v>
      </x:c>
      <x:c r="E4415" s="11" t="str">
        <x:v>CNY</x:v>
      </x:c>
      <x:c r="F4415" s="11" t="n">
        <x:v>6.225872689938399</x:v>
      </x:c>
      <x:c r="G4415" s="26" t="b">
        <x:v>1</x:v>
      </x:c>
      <x:c r="H4415" s="16" t="n">
        <x:v>0.65</x:v>
      </x:c>
      <x:c r="I4415" s="16" t="n">
        <x:v>4</x:v>
      </x:c>
      <x:c r="J4415" s="16" t="n">
        <x:v>8</x:v>
      </x:c>
      <x:c r="K4415" s="11" t="n">
        <x:f>CHOOSE('假设'!$B$3,H4415,I4415,J4415)</x:f>
        <x:v>4</x:v>
      </x:c>
      <x:c r="L4415" s="11" t="n">
        <x:f>K4415*'管线假设'!E951*'管线假设'!F951*'管线假设'!G951*IF(E4415="USD",'管线假设'!I951,1)-AM4415</x:f>
        <x:v>0.576</x:v>
      </x:c>
      <x:c r="M4415" s="11" t="n">
        <x:f>'管线假设'!H951</x:f>
        <x:v>0.14</x:v>
      </x:c>
      <x:c r="N4415" s="11" t="n">
        <x:f>IF(G4415,L4415*AN4415/(1+M4415)^F4415,0)</x:f>
        <x:v>0.2547652110841614</x:v>
      </x:c>
      <x:c r="AJ4415" s="42" t="n">
        <x:v>0</x:v>
      </x:c>
      <x:c r="AK4415" s="42" t="n">
        <x:v>0</x:v>
      </x:c>
      <x:c r="AL4415" s="42" t="n">
        <x:v>0</x:v>
      </x:c>
      <x:c r="AM4415" t="n">
        <x:f>CHOOSE('假设'!$B$3,AJ4415,AK4415,AL4415)</x:f>
        <x:v>0</x:v>
      </x:c>
      <x:c r="AN4415" t="n">
        <x:v>1</x:v>
      </x:c>
    </x:row>
    <x:row r="4416" ht="23" customHeight="1">
      <x:c r="A4416" s="11" t="str">
        <x:v>02162.HK</x:v>
      </x:c>
      <x:c r="B4416" s="11" t="str">
        <x:v>三年</x:v>
      </x:c>
      <x:c r="C4416" s="11" t="str">
        <x:v>CM512_other</x:v>
      </x:c>
      <x:c r="D4416" s="11" t="str">
        <x:v>2036-12-31</x:v>
      </x:c>
      <x:c r="E4416" s="11" t="str">
        <x:v>CNY</x:v>
      </x:c>
      <x:c r="F4416" s="11" t="n">
        <x:v>7.227926078028747</x:v>
      </x:c>
      <x:c r="G4416" s="26" t="b">
        <x:v>1</x:v>
      </x:c>
      <x:c r="H4416" s="16" t="n">
        <x:v>0.85</x:v>
      </x:c>
      <x:c r="I4416" s="16" t="n">
        <x:v>4</x:v>
      </x:c>
      <x:c r="J4416" s="16" t="n">
        <x:v>7.6</x:v>
      </x:c>
      <x:c r="K4416" s="11" t="n">
        <x:f>CHOOSE('假设'!$B$3,H4416,I4416,J4416)</x:f>
        <x:v>4</x:v>
      </x:c>
      <x:c r="L4416" s="11" t="n">
        <x:f>K4416*'管线假设'!E951*'管线假设'!F951*'管线假设'!G951*IF(E4416="USD",'管线假设'!I951,1)-AM4416</x:f>
        <x:v>0.576</x:v>
      </x:c>
      <x:c r="M4416" s="11" t="n">
        <x:f>'管线假设'!H951</x:f>
        <x:v>0.14</x:v>
      </x:c>
      <x:c r="N4416" s="11" t="n">
        <x:f>IF(G4416,L4416*AN4416/(1+M4416)^F4416,0)</x:f>
        <x:v>0.22341813618164164</x:v>
      </x:c>
      <x:c r="AJ4416" s="42" t="n">
        <x:v>0</x:v>
      </x:c>
      <x:c r="AK4416" s="42" t="n">
        <x:v>0</x:v>
      </x:c>
      <x:c r="AL4416" s="42" t="n">
        <x:v>0</x:v>
      </x:c>
      <x:c r="AM4416" t="n">
        <x:f>CHOOSE('假设'!$B$3,AJ4416,AK4416,AL4416)</x:f>
        <x:v>0</x:v>
      </x:c>
      <x:c r="AN4416" t="n">
        <x:v>1</x:v>
      </x:c>
    </x:row>
    <x:row r="4417" ht="23" customHeight="1">
      <x:c r="A4417" s="11" t="str">
        <x:v>02162.HK</x:v>
      </x:c>
      <x:c r="B4417" s="11" t="str">
        <x:v>三年</x:v>
      </x:c>
      <x:c r="C4417" s="11" t="str">
        <x:v>CM512_other</x:v>
      </x:c>
      <x:c r="D4417" s="11" t="str">
        <x:v>2037-12-31</x:v>
      </x:c>
      <x:c r="E4417" s="11" t="str">
        <x:v>CNY</x:v>
      </x:c>
      <x:c r="F4417" s="11" t="n">
        <x:v>8.227241615331964</x:v>
      </x:c>
      <x:c r="G4417" s="26" t="b">
        <x:v>1</x:v>
      </x:c>
      <x:c r="H4417" s="16" t="n">
        <x:v>1</x:v>
      </x:c>
      <x:c r="I4417" s="16" t="n">
        <x:v>3.8</x:v>
      </x:c>
      <x:c r="J4417" s="16" t="n">
        <x:v>7.2</x:v>
      </x:c>
      <x:c r="K4417" s="11" t="n">
        <x:f>CHOOSE('假设'!$B$3,H4417,I4417,J4417)</x:f>
        <x:v>3.8</x:v>
      </x:c>
      <x:c r="L4417" s="11" t="n">
        <x:f>K4417*'管线假设'!E951*'管线假设'!F951*'管线假设'!G951*IF(E4417="USD",'管线假设'!I951,1)-AM4417</x:f>
        <x:v>0.5471999999999999</x:v>
      </x:c>
      <x:c r="M4417" s="11" t="n">
        <x:f>'管线假设'!H951</x:f>
        <x:v>0.14</x:v>
      </x:c>
      <x:c r="N4417" s="11" t="n">
        <x:f>IF(G4417,L4417*AN4417/(1+M4417)^F4417,0)</x:f>
        <x:v>0.18619847841906212</x:v>
      </x:c>
      <x:c r="AJ4417" s="42" t="n">
        <x:v>0</x:v>
      </x:c>
      <x:c r="AK4417" s="42" t="n">
        <x:v>0</x:v>
      </x:c>
      <x:c r="AL4417" s="42" t="n">
        <x:v>0</x:v>
      </x:c>
      <x:c r="AM4417" t="n">
        <x:f>CHOOSE('假设'!$B$3,AJ4417,AK4417,AL4417)</x:f>
        <x:v>0</x:v>
      </x:c>
      <x:c r="AN4417" t="n">
        <x:v>1</x:v>
      </x:c>
    </x:row>
    <x:row r="4418" ht="23" customHeight="1">
      <x:c r="A4418" s="11" t="str">
        <x:v>02162.HK</x:v>
      </x:c>
      <x:c r="B4418" s="11" t="str">
        <x:v>三年</x:v>
      </x:c>
      <x:c r="C4418" s="11" t="str">
        <x:v>CM512_other</x:v>
      </x:c>
      <x:c r="D4418" s="11" t="str">
        <x:v>2038-12-31</x:v>
      </x:c>
      <x:c r="E4418" s="11" t="str">
        <x:v>CNY</x:v>
      </x:c>
      <x:c r="F4418" s="11" t="n">
        <x:v>9.22655715263518</x:v>
      </x:c>
      <x:c r="G4418" s="26" t="b">
        <x:v>1</x:v>
      </x:c>
      <x:c r="H4418" s="16" t="n">
        <x:v>1</x:v>
      </x:c>
      <x:c r="I4418" s="16" t="n">
        <x:v>3.6</x:v>
      </x:c>
      <x:c r="J4418" s="16" t="n">
        <x:v>6.4</x:v>
      </x:c>
      <x:c r="K4418" s="11" t="n">
        <x:f>CHOOSE('假设'!$B$3,H4418,I4418,J4418)</x:f>
        <x:v>3.6</x:v>
      </x:c>
      <x:c r="L4418" s="11" t="n">
        <x:f>K4418*'管线假设'!E951*'管线假设'!F951*'管线假设'!G951*IF(E4418="USD",'管线假设'!I951,1)-AM4418</x:f>
        <x:v>0.5184</x:v>
      </x:c>
      <x:c r="M4418" s="11" t="n">
        <x:f>'管线假设'!H951</x:f>
        <x:v>0.14</x:v>
      </x:c>
      <x:c r="N4418" s="11" t="n">
        <x:f>IF(G4418,L4418*AN4418/(1+M4418)^F4418,0)</x:f>
        <x:v>0.15474945555489486</x:v>
      </x:c>
      <x:c r="AJ4418" s="42" t="n">
        <x:v>0</x:v>
      </x:c>
      <x:c r="AK4418" s="42" t="n">
        <x:v>0</x:v>
      </x:c>
      <x:c r="AL4418" s="42" t="n">
        <x:v>0</x:v>
      </x:c>
      <x:c r="AM4418" t="n">
        <x:f>CHOOSE('假设'!$B$3,AJ4418,AK4418,AL4418)</x:f>
        <x:v>0</x:v>
      </x:c>
      <x:c r="AN4418" t="n">
        <x:v>1</x:v>
      </x:c>
    </x:row>
    <x:row r="4419" ht="23" customHeight="1">
      <x:c r="A4419" s="11" t="str">
        <x:v>02162.HK</x:v>
      </x:c>
      <x:c r="B4419" s="11" t="str">
        <x:v>三年</x:v>
      </x:c>
      <x:c r="C4419" s="11" t="str">
        <x:v>CM512_other</x:v>
      </x:c>
      <x:c r="D4419" s="11" t="str">
        <x:v>2039-12-31</x:v>
      </x:c>
      <x:c r="E4419" s="11" t="str">
        <x:v>CNY</x:v>
      </x:c>
      <x:c r="F4419" s="11" t="n">
        <x:v>10.225872689938399</x:v>
      </x:c>
      <x:c r="G4419" s="26" t="b">
        <x:v>1</x:v>
      </x:c>
      <x:c r="H4419" s="16" t="n">
        <x:v>0.95</x:v>
      </x:c>
      <x:c r="I4419" s="16" t="n">
        <x:v>3.2</x:v>
      </x:c>
      <x:c r="J4419" s="16" t="n">
        <x:v>5.2</x:v>
      </x:c>
      <x:c r="K4419" s="11" t="n">
        <x:f>CHOOSE('假设'!$B$3,H4419,I4419,J4419)</x:f>
        <x:v>3.2</x:v>
      </x:c>
      <x:c r="L4419" s="11" t="n">
        <x:f>K4419*'管线假设'!E951*'管线假设'!F951*'管线假设'!G951*IF(E4419="USD",'管线假设'!I951,1)-AM4419</x:f>
        <x:v>0.4608</x:v>
      </x:c>
      <x:c r="M4419" s="11" t="n">
        <x:f>'管线假设'!H951</x:f>
        <x:v>0.14</x:v>
      </x:c>
      <x:c r="N4419" s="11" t="n">
        <x:f>IF(G4419,L4419*AN4419/(1+M4419)^F4419,0)</x:f>
        <x:v>0.12067316547438812</x:v>
      </x:c>
      <x:c r="AJ4419" s="42" t="n">
        <x:v>0</x:v>
      </x:c>
      <x:c r="AK4419" s="42" t="n">
        <x:v>0</x:v>
      </x:c>
      <x:c r="AL4419" s="42" t="n">
        <x:v>0</x:v>
      </x:c>
      <x:c r="AM4419" t="n">
        <x:f>CHOOSE('假设'!$B$3,AJ4419,AK4419,AL4419)</x:f>
        <x:v>0</x:v>
      </x:c>
      <x:c r="AN4419" t="n">
        <x:v>1</x:v>
      </x:c>
    </x:row>
    <x:row r="4420" ht="23" customHeight="1">
      <x:c r="A4420" s="11" t="str">
        <x:v>02162.HK</x:v>
      </x:c>
      <x:c r="B4420" s="11" t="str">
        <x:v>三年</x:v>
      </x:c>
      <x:c r="C4420" s="11" t="str">
        <x:v>CM512_other</x:v>
      </x:c>
      <x:c r="D4420" s="11" t="str">
        <x:v>2040-12-31</x:v>
      </x:c>
      <x:c r="E4420" s="11" t="str">
        <x:v>CNY</x:v>
      </x:c>
      <x:c r="F4420" s="11" t="n">
        <x:v>11.227926078028748</x:v>
      </x:c>
      <x:c r="G4420" s="26" t="b">
        <x:v>1</x:v>
      </x:c>
      <x:c r="H4420" s="16" t="n">
        <x:v>0.9</x:v>
      </x:c>
      <x:c r="I4420" s="16" t="n">
        <x:v>2.6</x:v>
      </x:c>
      <x:c r="J4420" s="16" t="n">
        <x:v>4</x:v>
      </x:c>
      <x:c r="K4420" s="11" t="n">
        <x:f>CHOOSE('假设'!$B$3,H4420,I4420,J4420)</x:f>
        <x:v>2.6</x:v>
      </x:c>
      <x:c r="L4420" s="11" t="n">
        <x:f>K4420*'管线假设'!E951*'管线假设'!F951*'管线假设'!G951*IF(E4420="USD",'管线假设'!I951,1)-AM4420</x:f>
        <x:v>0.3744</x:v>
      </x:c>
      <x:c r="M4420" s="11" t="n">
        <x:f>'管线假设'!H951</x:f>
        <x:v>0.14</x:v>
      </x:c>
      <x:c r="N4420" s="11" t="n">
        <x:f>IF(G4420,L4420*AN4420/(1+M4420)^F4420,0)</x:f>
        <x:v>0.08598295682597214</x:v>
      </x:c>
      <x:c r="AJ4420" s="42" t="n">
        <x:v>0</x:v>
      </x:c>
      <x:c r="AK4420" s="42" t="n">
        <x:v>0</x:v>
      </x:c>
      <x:c r="AL4420" s="42" t="n">
        <x:v>0</x:v>
      </x:c>
      <x:c r="AM4420" t="n">
        <x:f>CHOOSE('假设'!$B$3,AJ4420,AK4420,AL4420)</x:f>
        <x:v>0</x:v>
      </x:c>
      <x:c r="AN4420" t="n">
        <x:v>1</x:v>
      </x:c>
    </x:row>
    <x:row r="4421" ht="23" customHeight="1">
      <x:c r="A4421" s="11" t="str">
        <x:v>02162.HK</x:v>
      </x:c>
      <x:c r="B4421" s="11" t="str">
        <x:v>三年</x:v>
      </x:c>
      <x:c r="C4421" s="11" t="str">
        <x:v>CM512_other</x:v>
      </x:c>
      <x:c r="D4421" s="11" t="str">
        <x:v>2041-12-31</x:v>
      </x:c>
      <x:c r="E4421" s="11" t="str">
        <x:v>CNY</x:v>
      </x:c>
      <x:c r="F4421" s="11" t="n">
        <x:v>12.227241615331964</x:v>
      </x:c>
      <x:c r="G4421" s="26" t="b">
        <x:v>1</x:v>
      </x:c>
      <x:c r="H4421" s="16" t="n">
        <x:v>0.8</x:v>
      </x:c>
      <x:c r="I4421" s="16" t="n">
        <x:v>2</x:v>
      </x:c>
      <x:c r="J4421" s="16" t="n">
        <x:v>2.8</x:v>
      </x:c>
      <x:c r="K4421" s="11" t="n">
        <x:f>CHOOSE('假设'!$B$3,H4421,I4421,J4421)</x:f>
        <x:v>2</x:v>
      </x:c>
      <x:c r="L4421" s="11" t="n">
        <x:f>K4421*'管线假设'!E951*'管线假设'!F951*'管线假设'!G951*IF(E4421="USD",'管线假设'!I951,1)-AM4421</x:f>
        <x:v>0.288</x:v>
      </x:c>
      <x:c r="M4421" s="11" t="n">
        <x:f>'管线假设'!H951</x:f>
        <x:v>0.14</x:v>
      </x:c>
      <x:c r="N4421" s="11" t="n">
        <x:f>IF(G4421,L4421*AN4421/(1+M4421)^F4421,0)</x:f>
        <x:v>0.058023393025402915</x:v>
      </x:c>
      <x:c r="AJ4421" s="42" t="n">
        <x:v>0</x:v>
      </x:c>
      <x:c r="AK4421" s="42" t="n">
        <x:v>0</x:v>
      </x:c>
      <x:c r="AL4421" s="42" t="n">
        <x:v>0</x:v>
      </x:c>
      <x:c r="AM4421" t="n">
        <x:f>CHOOSE('假设'!$B$3,AJ4421,AK4421,AL4421)</x:f>
        <x:v>0</x:v>
      </x:c>
      <x:c r="AN4421" t="n">
        <x:v>1</x:v>
      </x:c>
    </x:row>
    <x:row r="4422" ht="23" customHeight="1">
      <x:c r="A4422" s="11" t="str">
        <x:v>02162.HK</x:v>
      </x:c>
      <x:c r="B4422" s="11" t="str">
        <x:v>三年</x:v>
      </x:c>
      <x:c r="C4422" s="11" t="str">
        <x:v>CM512_other</x:v>
      </x:c>
      <x:c r="D4422" s="11" t="str">
        <x:v>2042-12-31</x:v>
      </x:c>
      <x:c r="E4422" s="11" t="str">
        <x:v>CNY</x:v>
      </x:c>
      <x:c r="F4422" s="11" t="n">
        <x:v>13.22655715263518</x:v>
      </x:c>
      <x:c r="G4422" s="26" t="b">
        <x:v>1</x:v>
      </x:c>
      <x:c r="H4422" s="16" t="n">
        <x:v>0.65</x:v>
      </x:c>
      <x:c r="I4422" s="16" t="n">
        <x:v>1.4</x:v>
      </x:c>
      <x:c r="J4422" s="16" t="n">
        <x:v>1.6</x:v>
      </x:c>
      <x:c r="K4422" s="11" t="n">
        <x:f>CHOOSE('假设'!$B$3,H4422,I4422,J4422)</x:f>
        <x:v>1.4</x:v>
      </x:c>
      <x:c r="L4422" s="11" t="n">
        <x:f>K4422*'管线假设'!E951*'管线假设'!F951*'管线假设'!G951*IF(E4422="USD",'管线假设'!I951,1)-AM4422</x:f>
        <x:v>0.20159999999999997</x:v>
      </x:c>
      <x:c r="M4422" s="11" t="n">
        <x:f>'管线假设'!H951</x:f>
        <x:v>0.14</x:v>
      </x:c>
      <x:c r="N4422" s="11" t="n">
        <x:f>IF(G4422,L4422*AN4422/(1+M4422)^F4422,0)</x:f>
        <x:v>0.03563159466526643</x:v>
      </x:c>
      <x:c r="AJ4422" s="42" t="n">
        <x:v>0</x:v>
      </x:c>
      <x:c r="AK4422" s="42" t="n">
        <x:v>0</x:v>
      </x:c>
      <x:c r="AL4422" s="42" t="n">
        <x:v>0</x:v>
      </x:c>
      <x:c r="AM4422" t="n">
        <x:f>CHOOSE('假设'!$B$3,AJ4422,AK4422,AL4422)</x:f>
        <x:v>0</x:v>
      </x:c>
      <x:c r="AN4422" t="n">
        <x:v>1</x:v>
      </x:c>
    </x:row>
    <x:row r="4423" ht="23" customHeight="1">
      <x:c r="A4423" s="11" t="str">
        <x:v>02162.HK</x:v>
      </x:c>
      <x:c r="B4423" s="11" t="str">
        <x:v>三年</x:v>
      </x:c>
      <x:c r="C4423" s="11" t="str">
        <x:v>CM512_other</x:v>
      </x:c>
      <x:c r="D4423" s="11" t="str">
        <x:v>2043-12-31</x:v>
      </x:c>
      <x:c r="E4423" s="11" t="str">
        <x:v>CNY</x:v>
      </x:c>
      <x:c r="F4423" s="11" t="n">
        <x:v>14.225872689938399</x:v>
      </x:c>
      <x:c r="G4423" s="26" t="b">
        <x:v>1</x:v>
      </x:c>
      <x:c r="H4423" s="16" t="n">
        <x:v>0.5</x:v>
      </x:c>
      <x:c r="I4423" s="16" t="n">
        <x:v>0.8</x:v>
      </x:c>
      <x:c r="J4423" s="16" t="n">
        <x:v>0.96</x:v>
      </x:c>
      <x:c r="K4423" s="11" t="n">
        <x:f>CHOOSE('假设'!$B$3,H4423,I4423,J4423)</x:f>
        <x:v>0.8</x:v>
      </x:c>
      <x:c r="L4423" s="11" t="n">
        <x:f>K4423*'管线假设'!E951*'管线假设'!F951*'管线假设'!G951*IF(E4423="USD",'管线假设'!I951,1)-AM4423</x:f>
        <x:v>0.1152</x:v>
      </x:c>
      <x:c r="M4423" s="11" t="n">
        <x:f>'管线假设'!H951</x:f>
        <x:v>0.14</x:v>
      </x:c>
      <x:c r="N4423" s="11" t="n">
        <x:f>IF(G4423,L4423*AN4423/(1+M4423)^F4423,0)</x:f>
        <x:v>0.017862050321303623</x:v>
      </x:c>
      <x:c r="AJ4423" s="42" t="n">
        <x:v>0</x:v>
      </x:c>
      <x:c r="AK4423" s="42" t="n">
        <x:v>0</x:v>
      </x:c>
      <x:c r="AL4423" s="42" t="n">
        <x:v>0</x:v>
      </x:c>
      <x:c r="AM4423" t="n">
        <x:f>CHOOSE('假设'!$B$3,AJ4423,AK4423,AL4423)</x:f>
        <x:v>0</x:v>
      </x:c>
      <x:c r="AN4423" t="n">
        <x:v>1</x:v>
      </x:c>
    </x:row>
    <x:row r="4424" ht="23" customHeight="1">
      <x:c r="A4424" s="11" t="str">
        <x:v>02162.HK</x:v>
      </x:c>
      <x:c r="B4424" s="11" t="str">
        <x:v>三年</x:v>
      </x:c>
      <x:c r="C4424" s="11" t="str">
        <x:v>CM512_other</x:v>
      </x:c>
      <x:c r="D4424" s="11" t="str">
        <x:v>2044-12-31</x:v>
      </x:c>
      <x:c r="E4424" s="11" t="str">
        <x:v>CNY</x:v>
      </x:c>
      <x:c r="F4424" s="11" t="n">
        <x:v>15.227926078028748</x:v>
      </x:c>
      <x:c r="G4424" s="26" t="b">
        <x:v>1</x:v>
      </x:c>
      <x:c r="H4424" s="16" t="n">
        <x:v>0.35</x:v>
      </x:c>
      <x:c r="I4424" s="16" t="n">
        <x:v>0.48</x:v>
      </x:c>
      <x:c r="J4424" s="16" t="n">
        <x:v>0.56</x:v>
      </x:c>
      <x:c r="K4424" s="11" t="n">
        <x:f>CHOOSE('假设'!$B$3,H4424,I4424,J4424)</x:f>
        <x:v>0.48</x:v>
      </x:c>
      <x:c r="L4424" s="11" t="n">
        <x:f>K4424*'管线假设'!E951*'管线假设'!F951*'管线假设'!G951*IF(E4424="USD",'管线假设'!I951,1)-AM4424</x:f>
        <x:v>0.06911999999999999</x:v>
      </x:c>
      <x:c r="M4424" s="11" t="n">
        <x:f>'管线假设'!H951</x:f>
        <x:v>0.14</x:v>
      </x:c>
      <x:c r="N4424" s="11" t="n">
        <x:f>IF(G4424,L4424*AN4424/(1+M4424)^F4424,0)</x:f>
        <x:v>0.009398550078762571</x:v>
      </x:c>
      <x:c r="AJ4424" s="42" t="n">
        <x:v>0</x:v>
      </x:c>
      <x:c r="AK4424" s="42" t="n">
        <x:v>0</x:v>
      </x:c>
      <x:c r="AL4424" s="42" t="n">
        <x:v>0</x:v>
      </x:c>
      <x:c r="AM4424" t="n">
        <x:f>CHOOSE('假设'!$B$3,AJ4424,AK4424,AL4424)</x:f>
        <x:v>0</x:v>
      </x:c>
      <x:c r="AN4424" t="n">
        <x:v>1</x:v>
      </x:c>
    </x:row>
    <x:row r="4425" ht="23" customHeight="1">
      <x:c r="A4425" s="11" t="str">
        <x:v>02162.HK</x:v>
      </x:c>
      <x:c r="B4425" s="11" t="str">
        <x:v>三年</x:v>
      </x:c>
      <x:c r="C4425" s="11" t="str">
        <x:v>CMG901_2Lplus</x:v>
      </x:c>
      <x:c r="D4425" s="11" t="str">
        <x:v>2026-12-31</x:v>
      </x:c>
      <x:c r="E4425" s="11" t="str">
        <x:v>USD</x:v>
      </x:c>
      <x:c r="F4425" s="11" t="n">
        <x:v>-2.7734428473648185</x:v>
      </x:c>
      <x:c r="G4425" s="26" t="b">
        <x:v>0</x:v>
      </x:c>
      <x:c r="H4425" s="16" t="n">
        <x:v>0</x:v>
      </x:c>
      <x:c r="I4425" s="16" t="n">
        <x:v>0</x:v>
      </x:c>
      <x:c r="J4425" s="16" t="n">
        <x:v>0</x:v>
      </x:c>
      <x:c r="K4425" s="11" t="n">
        <x:f>CHOOSE('假设'!$B$3,H4425,I4425,J4425)</x:f>
        <x:v>0</x:v>
      </x:c>
      <x:c r="L4425" s="11" t="n">
        <x:f>K4425*'管线假设'!E955*'管线假设'!F955*'管线假设'!G955*IF(E4425="USD",'管线假设'!I955,1)-AM4425</x:f>
        <x:v>-0.056</x:v>
      </x:c>
      <x:c r="M4425" s="11" t="n">
        <x:f>'管线假设'!H955</x:f>
        <x:v>0.14</x:v>
      </x:c>
      <x:c r="N4425" s="11" t="n">
        <x:f>IF(G4425,L4425*AN4425/(1+M4425)^F4425,0)</x:f>
        <x:v>0</x:v>
      </x:c>
      <x:c r="AJ4425" s="42" t="n">
        <x:v>0.035</x:v>
      </x:c>
      <x:c r="AK4425" s="42" t="n">
        <x:v>0.056</x:v>
      </x:c>
      <x:c r="AL4425" s="42" t="n">
        <x:v>0.084</x:v>
      </x:c>
      <x:c r="AM4425" t="n">
        <x:f>CHOOSE('假设'!$B$3,AJ4425,AK4425,AL4425)</x:f>
        <x:v>0.056</x:v>
      </x:c>
      <x:c r="AN4425" t="n">
        <x:v>0</x:v>
      </x:c>
    </x:row>
    <x:row r="4426" ht="23" customHeight="1">
      <x:c r="A4426" s="11" t="str">
        <x:v>02162.HK</x:v>
      </x:c>
      <x:c r="B4426" s="11" t="str">
        <x:v>三年</x:v>
      </x:c>
      <x:c r="C4426" s="11" t="str">
        <x:v>CMG901_2Lplus</x:v>
      </x:c>
      <x:c r="D4426" s="11" t="str">
        <x:v>2027-12-31</x:v>
      </x:c>
      <x:c r="E4426" s="11" t="str">
        <x:v>USD</x:v>
      </x:c>
      <x:c r="F4426" s="11" t="n">
        <x:v>-1.7741273100616017</x:v>
      </x:c>
      <x:c r="G4426" s="26" t="b">
        <x:v>0</x:v>
      </x:c>
      <x:c r="H4426" s="16" t="n">
        <x:v>0</x:v>
      </x:c>
      <x:c r="I4426" s="16" t="n">
        <x:v>0.18</x:v>
      </x:c>
      <x:c r="J4426" s="16" t="n">
        <x:v>0.27</x:v>
      </x:c>
      <x:c r="K4426" s="11" t="n">
        <x:f>CHOOSE('假设'!$B$3,H4426,I4426,J4426)</x:f>
        <x:v>0.18</x:v>
      </x:c>
      <x:c r="L4426" s="11" t="n">
        <x:f>K4426*'管线假设'!E955*'管线假设'!F955*'管线假设'!G955*IF(E4426="USD",'管线假设'!I955,1)-AM4426</x:f>
        <x:v>0.009091599999999998</x:v>
      </x:c>
      <x:c r="M4426" s="11" t="n">
        <x:f>'管线假设'!H955</x:f>
        <x:v>0.14</x:v>
      </x:c>
      <x:c r="N4426" s="11" t="n">
        <x:f>IF(G4426,L4426*AN4426/(1+M4426)^F4426,0)</x:f>
        <x:v>0</x:v>
      </x:c>
      <x:c r="AJ4426" s="42" t="n">
        <x:v>0.035</x:v>
      </x:c>
      <x:c r="AK4426" s="42" t="n">
        <x:v>0.056</x:v>
      </x:c>
      <x:c r="AL4426" s="42" t="n">
        <x:v>0.07</x:v>
      </x:c>
      <x:c r="AM4426" t="n">
        <x:f>CHOOSE('假设'!$B$3,AJ4426,AK4426,AL4426)</x:f>
        <x:v>0.056</x:v>
      </x:c>
      <x:c r="AN4426" t="n">
        <x:v>0</x:v>
      </x:c>
    </x:row>
    <x:row r="4427" ht="23" customHeight="1">
      <x:c r="A4427" s="11" t="str">
        <x:v>02162.HK</x:v>
      </x:c>
      <x:c r="B4427" s="11" t="str">
        <x:v>三年</x:v>
      </x:c>
      <x:c r="C4427" s="11" t="str">
        <x:v>CMG901_2Lplus</x:v>
      </x:c>
      <x:c r="D4427" s="11" t="str">
        <x:v>2028-12-31</x:v>
      </x:c>
      <x:c r="E4427" s="11" t="str">
        <x:v>USD</x:v>
      </x:c>
      <x:c r="F4427" s="11" t="n">
        <x:v>-0.7720739219712526</x:v>
      </x:c>
      <x:c r="G4427" s="26" t="b">
        <x:v>0</x:v>
      </x:c>
      <x:c r="H4427" s="16" t="n">
        <x:v>0.09</x:v>
      </x:c>
      <x:c r="I4427" s="16" t="n">
        <x:v>0.54</x:v>
      </x:c>
      <x:c r="J4427" s="16" t="n">
        <x:v>0.8099999999999999</x:v>
      </x:c>
      <x:c r="K4427" s="11" t="n">
        <x:f>CHOOSE('假设'!$B$3,H4427,I4427,J4427)</x:f>
        <x:v>0.54</x:v>
      </x:c>
      <x:c r="L4427" s="11" t="n">
        <x:f>K4427*'管线假设'!E955*'管线假设'!F955*'管线假设'!G955*IF(E4427="USD",'管线假设'!I955,1)-AM4427</x:f>
        <x:v>0.1952748</x:v>
      </x:c>
      <x:c r="M4427" s="11" t="n">
        <x:f>'管线假设'!H955</x:f>
        <x:v>0.14</x:v>
      </x:c>
      <x:c r="N4427" s="11" t="n">
        <x:f>IF(G4427,L4427*AN4427/(1+M4427)^F4427,0)</x:f>
        <x:v>0</x:v>
      </x:c>
      <x:c r="AJ4427" s="42" t="n">
        <x:v>0</x:v>
      </x:c>
      <x:c r="AK4427" s="42" t="n">
        <x:v>0</x:v>
      </x:c>
      <x:c r="AL4427" s="42" t="n">
        <x:v>0</x:v>
      </x:c>
      <x:c r="AM4427" t="n">
        <x:f>CHOOSE('假设'!$B$3,AJ4427,AK4427,AL4427)</x:f>
        <x:v>0</x:v>
      </x:c>
      <x:c r="AN4427" t="n">
        <x:v>0</x:v>
      </x:c>
    </x:row>
    <x:row r="4428" ht="23" customHeight="1">
      <x:c r="A4428" s="11" t="str">
        <x:v>02162.HK</x:v>
      </x:c>
      <x:c r="B4428" s="11" t="str">
        <x:v>三年</x:v>
      </x:c>
      <x:c r="C4428" s="11" t="str">
        <x:v>CMG901_2Lplus</x:v>
      </x:c>
      <x:c r="D4428" s="11" t="str">
        <x:v>2029-12-31</x:v>
      </x:c>
      <x:c r="E4428" s="11" t="str">
        <x:v>USD</x:v>
      </x:c>
      <x:c r="F4428" s="11" t="n">
        <x:v>0.2272416153319644</x:v>
      </x:c>
      <x:c r="G4428" s="26" t="b">
        <x:v>1</x:v>
      </x:c>
      <x:c r="H4428" s="16" t="n">
        <x:v>0.27</x:v>
      </x:c>
      <x:c r="I4428" s="16" t="n">
        <x:v>1.1400000000000001</x:v>
      </x:c>
      <x:c r="J4428" s="16" t="n">
        <x:v>1.71</x:v>
      </x:c>
      <x:c r="K4428" s="11" t="n">
        <x:f>CHOOSE('假设'!$B$3,H4428,I4428,J4428)</x:f>
        <x:v>1.1400000000000001</x:v>
      </x:c>
      <x:c r="L4428" s="11" t="n">
        <x:f>K4428*'管线假设'!E955*'管线假设'!F955*'管线假设'!G955*IF(E4428="USD",'管线假设'!I955,1)-AM4428</x:f>
        <x:v>0.41224679999999997</x:v>
      </x:c>
      <x:c r="M4428" s="11" t="n">
        <x:f>'管线假设'!H955</x:f>
        <x:v>0.14</x:v>
      </x:c>
      <x:c r="N4428" s="11" t="n">
        <x:f>IF(G4428,L4428*AN4428/(1+M4428)^F4428,0)</x:f>
        <x:v>0.09124369236314286</x:v>
      </x:c>
      <x:c r="AJ4428" s="42" t="n">
        <x:v>0</x:v>
      </x:c>
      <x:c r="AK4428" s="42" t="n">
        <x:v>0</x:v>
      </x:c>
      <x:c r="AL4428" s="42" t="n">
        <x:v>0</x:v>
      </x:c>
      <x:c r="AM4428" t="n">
        <x:f>CHOOSE('假设'!$B$3,AJ4428,AK4428,AL4428)</x:f>
        <x:v>0</x:v>
      </x:c>
      <x:c r="AN4428" t="n">
        <x:v>0.22802197802197802</x:v>
      </x:c>
    </x:row>
    <x:row r="4429" ht="23" customHeight="1">
      <x:c r="A4429" s="11" t="str">
        <x:v>02162.HK</x:v>
      </x:c>
      <x:c r="B4429" s="11" t="str">
        <x:v>三年</x:v>
      </x:c>
      <x:c r="C4429" s="11" t="str">
        <x:v>CMG901_2Lplus</x:v>
      </x:c>
      <x:c r="D4429" s="11" t="str">
        <x:v>2030-12-31</x:v>
      </x:c>
      <x:c r="E4429" s="11" t="str">
        <x:v>USD</x:v>
      </x:c>
      <x:c r="F4429" s="11" t="n">
        <x:v>1.2265571526351813</x:v>
      </x:c>
      <x:c r="G4429" s="26" t="b">
        <x:v>1</x:v>
      </x:c>
      <x:c r="H4429" s="16" t="n">
        <x:v>0.5700000000000001</x:v>
      </x:c>
      <x:c r="I4429" s="16" t="n">
        <x:v>1.9500000000000002</x:v>
      </x:c>
      <x:c r="J4429" s="16" t="n">
        <x:v>2.9250000000000003</x:v>
      </x:c>
      <x:c r="K4429" s="11" t="n">
        <x:f>CHOOSE('假设'!$B$3,H4429,I4429,J4429)</x:f>
        <x:v>1.9500000000000002</x:v>
      </x:c>
      <x:c r="L4429" s="11" t="n">
        <x:f>K4429*'管线假设'!E955*'管线假设'!F955*'管线假设'!G955*IF(E4429="USD",'管线假设'!I955,1)-AM4429</x:f>
        <x:v>0.7051589999999999</x:v>
      </x:c>
      <x:c r="M4429" s="11" t="n">
        <x:f>'管线假设'!H955</x:f>
        <x:v>0.14</x:v>
      </x:c>
      <x:c r="N4429" s="11" t="n">
        <x:f>IF(G4429,L4429*AN4429/(1+M4429)^F4429,0)</x:f>
        <x:v>0.6004681835465772</x:v>
      </x:c>
      <x:c r="AJ4429" s="42" t="n">
        <x:v>0</x:v>
      </x:c>
      <x:c r="AK4429" s="42" t="n">
        <x:v>0</x:v>
      </x:c>
      <x:c r="AL4429" s="42" t="n">
        <x:v>0</x:v>
      </x:c>
      <x:c r="AM4429" t="n">
        <x:f>CHOOSE('假设'!$B$3,AJ4429,AK4429,AL4429)</x:f>
        <x:v>0</x:v>
      </x:c>
      <x:c r="AN4429" t="n">
        <x:v>1</x:v>
      </x:c>
    </x:row>
    <x:row r="4430" ht="23" customHeight="1">
      <x:c r="A4430" s="11" t="str">
        <x:v>02162.HK</x:v>
      </x:c>
      <x:c r="B4430" s="11" t="str">
        <x:v>三年</x:v>
      </x:c>
      <x:c r="C4430" s="11" t="str">
        <x:v>CMG901_2Lplus</x:v>
      </x:c>
      <x:c r="D4430" s="11" t="str">
        <x:v>2031-12-31</x:v>
      </x:c>
      <x:c r="E4430" s="11" t="str">
        <x:v>USD</x:v>
      </x:c>
      <x:c r="F4430" s="11" t="n">
        <x:v>2.2258726899383983</x:v>
      </x:c>
      <x:c r="G4430" s="26" t="b">
        <x:v>1</x:v>
      </x:c>
      <x:c r="H4430" s="16" t="n">
        <x:v>0.9750000000000001</x:v>
      </x:c>
      <x:c r="I4430" s="16" t="n">
        <x:v>2.55</x:v>
      </x:c>
      <x:c r="J4430" s="16" t="n">
        <x:v>3.8249999999999997</x:v>
      </x:c>
      <x:c r="K4430" s="11" t="n">
        <x:f>CHOOSE('假设'!$B$3,H4430,I4430,J4430)</x:f>
        <x:v>2.55</x:v>
      </x:c>
      <x:c r="L4430" s="11" t="n">
        <x:f>K4430*'管线假设'!E955*'管线假设'!F955*'管线假设'!G955*IF(E4430="USD",'管线假设'!I955,1)-AM4430</x:f>
        <x:v>0.9221309999999997</x:v>
      </x:c>
      <x:c r="M4430" s="11" t="n">
        <x:f>'管线假设'!H955</x:f>
        <x:v>0.14</x:v>
      </x:c>
      <x:c r="N4430" s="11" t="n">
        <x:f>IF(G4430,L4430*AN4430/(1+M4430)^F4430,0)</x:f>
        <x:v>0.6888579386991106</x:v>
      </x:c>
      <x:c r="AJ4430" s="42" t="n">
        <x:v>0</x:v>
      </x:c>
      <x:c r="AK4430" s="42" t="n">
        <x:v>0</x:v>
      </x:c>
      <x:c r="AL4430" s="42" t="n">
        <x:v>0</x:v>
      </x:c>
      <x:c r="AM4430" t="n">
        <x:f>CHOOSE('假设'!$B$3,AJ4430,AK4430,AL4430)</x:f>
        <x:v>0</x:v>
      </x:c>
      <x:c r="AN4430" t="n">
        <x:v>1</x:v>
      </x:c>
    </x:row>
    <x:row r="4431" ht="23" customHeight="1">
      <x:c r="A4431" s="11" t="str">
        <x:v>02162.HK</x:v>
      </x:c>
      <x:c r="B4431" s="11" t="str">
        <x:v>三年</x:v>
      </x:c>
      <x:c r="C4431" s="11" t="str">
        <x:v>CMG901_2Lplus</x:v>
      </x:c>
      <x:c r="D4431" s="11" t="str">
        <x:v>2032-12-31</x:v>
      </x:c>
      <x:c r="E4431" s="11" t="str">
        <x:v>USD</x:v>
      </x:c>
      <x:c r="F4431" s="11" t="n">
        <x:v>3.2279260780287475</x:v>
      </x:c>
      <x:c r="G4431" s="26" t="b">
        <x:v>1</x:v>
      </x:c>
      <x:c r="H4431" s="16" t="n">
        <x:v>1.275</x:v>
      </x:c>
      <x:c r="I4431" s="16" t="n">
        <x:v>3</x:v>
      </x:c>
      <x:c r="J4431" s="16" t="n">
        <x:v>4.5</x:v>
      </x:c>
      <x:c r="K4431" s="11" t="n">
        <x:f>CHOOSE('假设'!$B$3,H4431,I4431,J4431)</x:f>
        <x:v>3</x:v>
      </x:c>
      <x:c r="L4431" s="11" t="n">
        <x:f>K4431*'管线假设'!E955*'管线假设'!F955*'管线假设'!G955*IF(E4431="USD",'管线假设'!I955,1)-AM4431</x:f>
        <x:v>1.08486</x:v>
      </x:c>
      <x:c r="M4431" s="11" t="n">
        <x:f>'管线假设'!H955</x:f>
        <x:v>0.14</x:v>
      </x:c>
      <x:c r="N4431" s="11" t="n">
        <x:f>IF(G4431,L4431*AN4431/(1+M4431)^F4431,0)</x:f>
        <x:v>0.7107044634785484</x:v>
      </x:c>
      <x:c r="AJ4431" s="42" t="n">
        <x:v>0</x:v>
      </x:c>
      <x:c r="AK4431" s="42" t="n">
        <x:v>0</x:v>
      </x:c>
      <x:c r="AL4431" s="42" t="n">
        <x:v>0</x:v>
      </x:c>
      <x:c r="AM4431" t="n">
        <x:f>CHOOSE('假设'!$B$3,AJ4431,AK4431,AL4431)</x:f>
        <x:v>0</x:v>
      </x:c>
      <x:c r="AN4431" t="n">
        <x:v>1</x:v>
      </x:c>
    </x:row>
    <x:row r="4432" ht="23" customHeight="1">
      <x:c r="A4432" s="11" t="str">
        <x:v>02162.HK</x:v>
      </x:c>
      <x:c r="B4432" s="11" t="str">
        <x:v>三年</x:v>
      </x:c>
      <x:c r="C4432" s="11" t="str">
        <x:v>CMG901_2Lplus</x:v>
      </x:c>
      <x:c r="D4432" s="11" t="str">
        <x:v>2033-12-31</x:v>
      </x:c>
      <x:c r="E4432" s="11" t="str">
        <x:v>USD</x:v>
      </x:c>
      <x:c r="F4432" s="11" t="n">
        <x:v>4.227241615331964</x:v>
      </x:c>
      <x:c r="G4432" s="26" t="b">
        <x:v>1</x:v>
      </x:c>
      <x:c r="H4432" s="16" t="n">
        <x:v>1.5</x:v>
      </x:c>
      <x:c r="I4432" s="16" t="n">
        <x:v>3</x:v>
      </x:c>
      <x:c r="J4432" s="16" t="n">
        <x:v>4.5</x:v>
      </x:c>
      <x:c r="K4432" s="11" t="n">
        <x:f>CHOOSE('假设'!$B$3,H4432,I4432,J4432)</x:f>
        <x:v>3</x:v>
      </x:c>
      <x:c r="L4432" s="11" t="n">
        <x:f>K4432*'管线假设'!E955*'管线假设'!F955*'管线假设'!G955*IF(E4432="USD",'管线假设'!I955,1)-AM4432</x:f>
        <x:v>1.08486</x:v>
      </x:c>
      <x:c r="M4432" s="11" t="n">
        <x:f>'管线假设'!H955</x:f>
        <x:v>0.14</x:v>
      </x:c>
      <x:c r="N4432" s="11" t="n">
        <x:f>IF(G4432,L4432*AN4432/(1+M4432)^F4432,0)</x:f>
        <x:v>0.6234808816894277</x:v>
      </x:c>
      <x:c r="AJ4432" s="42" t="n">
        <x:v>0</x:v>
      </x:c>
      <x:c r="AK4432" s="42" t="n">
        <x:v>0</x:v>
      </x:c>
      <x:c r="AL4432" s="42" t="n">
        <x:v>0</x:v>
      </x:c>
      <x:c r="AM4432" t="n">
        <x:f>CHOOSE('假设'!$B$3,AJ4432,AK4432,AL4432)</x:f>
        <x:v>0</x:v>
      </x:c>
      <x:c r="AN4432" t="n">
        <x:v>1</x:v>
      </x:c>
    </x:row>
    <x:row r="4433" ht="23" customHeight="1">
      <x:c r="A4433" s="11" t="str">
        <x:v>02162.HK</x:v>
      </x:c>
      <x:c r="B4433" s="11" t="str">
        <x:v>三年</x:v>
      </x:c>
      <x:c r="C4433" s="11" t="str">
        <x:v>CMG901_2Lplus</x:v>
      </x:c>
      <x:c r="D4433" s="11" t="str">
        <x:v>2034-12-31</x:v>
      </x:c>
      <x:c r="E4433" s="11" t="str">
        <x:v>USD</x:v>
      </x:c>
      <x:c r="F4433" s="11" t="n">
        <x:v>5.2265571526351815</x:v>
      </x:c>
      <x:c r="G4433" s="26" t="b">
        <x:v>1</x:v>
      </x:c>
      <x:c r="H4433" s="16" t="n">
        <x:v>1.5</x:v>
      </x:c>
      <x:c r="I4433" s="16" t="n">
        <x:v>2.8499999999999996</x:v>
      </x:c>
      <x:c r="J4433" s="16" t="n">
        <x:v>4.2749999999999995</x:v>
      </x:c>
      <x:c r="K4433" s="11" t="n">
        <x:f>CHOOSE('假设'!$B$3,H4433,I4433,J4433)</x:f>
        <x:v>2.8499999999999996</x:v>
      </x:c>
      <x:c r="L4433" s="11" t="n">
        <x:f>K4433*'管线假设'!E955*'管线假设'!F955*'管线假设'!G955*IF(E4433="USD",'管线假设'!I955,1)-AM4433</x:f>
        <x:v>1.0306169999999997</x:v>
      </x:c>
      <x:c r="M4433" s="11" t="n">
        <x:f>'管线假设'!H955</x:f>
        <x:v>0.14</x:v>
      </x:c>
      <x:c r="N4433" s="11" t="n">
        <x:f>IF(G4433,L4433*AN4433/(1+M4433)^F4433,0)</x:f>
        <x:v>0.5196140003583379</x:v>
      </x:c>
      <x:c r="AJ4433" s="42" t="n">
        <x:v>0</x:v>
      </x:c>
      <x:c r="AK4433" s="42" t="n">
        <x:v>0</x:v>
      </x:c>
      <x:c r="AL4433" s="42" t="n">
        <x:v>0</x:v>
      </x:c>
      <x:c r="AM4433" t="n">
        <x:f>CHOOSE('假设'!$B$3,AJ4433,AK4433,AL4433)</x:f>
        <x:v>0</x:v>
      </x:c>
      <x:c r="AN4433" t="n">
        <x:v>1</x:v>
      </x:c>
    </x:row>
    <x:row r="4434" ht="23" customHeight="1">
      <x:c r="A4434" s="11" t="str">
        <x:v>02162.HK</x:v>
      </x:c>
      <x:c r="B4434" s="11" t="str">
        <x:v>三年</x:v>
      </x:c>
      <x:c r="C4434" s="11" t="str">
        <x:v>CMG901_2Lplus</x:v>
      </x:c>
      <x:c r="D4434" s="11" t="str">
        <x:v>2035-12-31</x:v>
      </x:c>
      <x:c r="E4434" s="11" t="str">
        <x:v>USD</x:v>
      </x:c>
      <x:c r="F4434" s="11" t="n">
        <x:v>6.225872689938399</x:v>
      </x:c>
      <x:c r="G4434" s="26" t="b">
        <x:v>1</x:v>
      </x:c>
      <x:c r="H4434" s="16" t="n">
        <x:v>1.4249999999999998</x:v>
      </x:c>
      <x:c r="I4434" s="16" t="n">
        <x:v>2.7</x:v>
      </x:c>
      <x:c r="J4434" s="16" t="n">
        <x:v>4.05</x:v>
      </x:c>
      <x:c r="K4434" s="11" t="n">
        <x:f>CHOOSE('假设'!$B$3,H4434,I4434,J4434)</x:f>
        <x:v>2.7</x:v>
      </x:c>
      <x:c r="L4434" s="11" t="n">
        <x:f>K4434*'管线假设'!E955*'管线假设'!F955*'管线假设'!G955*IF(E4434="USD",'管线假设'!I955,1)-AM4434</x:f>
        <x:v>0.976374</x:v>
      </x:c>
      <x:c r="M4434" s="11" t="n">
        <x:f>'管线假设'!H955</x:f>
        <x:v>0.14</x:v>
      </x:c>
      <x:c r="N4434" s="11" t="n">
        <x:f>IF(G4434,L4434*AN4434/(1+M4434)^F4434,0)</x:f>
        <x:v>0.4318509170261927</x:v>
      </x:c>
      <x:c r="AJ4434" s="42" t="n">
        <x:v>0</x:v>
      </x:c>
      <x:c r="AK4434" s="42" t="n">
        <x:v>0</x:v>
      </x:c>
      <x:c r="AL4434" s="42" t="n">
        <x:v>0</x:v>
      </x:c>
      <x:c r="AM4434" t="n">
        <x:f>CHOOSE('假设'!$B$3,AJ4434,AK4434,AL4434)</x:f>
        <x:v>0</x:v>
      </x:c>
      <x:c r="AN4434" t="n">
        <x:v>1</x:v>
      </x:c>
    </x:row>
    <x:row r="4435" ht="23" customHeight="1">
      <x:c r="A4435" s="11" t="str">
        <x:v>02162.HK</x:v>
      </x:c>
      <x:c r="B4435" s="11" t="str">
        <x:v>三年</x:v>
      </x:c>
      <x:c r="C4435" s="11" t="str">
        <x:v>CMG901_2Lplus</x:v>
      </x:c>
      <x:c r="D4435" s="11" t="str">
        <x:v>2036-12-31</x:v>
      </x:c>
      <x:c r="E4435" s="11" t="str">
        <x:v>USD</x:v>
      </x:c>
      <x:c r="F4435" s="11" t="n">
        <x:v>7.227926078028747</x:v>
      </x:c>
      <x:c r="G4435" s="26" t="b">
        <x:v>1</x:v>
      </x:c>
      <x:c r="H4435" s="16" t="n">
        <x:v>1.35</x:v>
      </x:c>
      <x:c r="I4435" s="16" t="n">
        <x:v>2.4000000000000004</x:v>
      </x:c>
      <x:c r="J4435" s="16" t="n">
        <x:v>3.6</x:v>
      </x:c>
      <x:c r="K4435" s="11" t="n">
        <x:f>CHOOSE('假设'!$B$3,H4435,I4435,J4435)</x:f>
        <x:v>2.4000000000000004</x:v>
      </x:c>
      <x:c r="L4435" s="11" t="n">
        <x:f>K4435*'管线假设'!E955*'管线假设'!F955*'管线假设'!G955*IF(E4435="USD",'管线假设'!I955,1)-AM4435</x:f>
        <x:v>0.867888</x:v>
      </x:c>
      <x:c r="M4435" s="11" t="n">
        <x:f>'管线假设'!H955</x:f>
        <x:v>0.14</x:v>
      </x:c>
      <x:c r="N4435" s="11" t="n">
        <x:f>IF(G4435,L4435*AN4435/(1+M4435)^F4435,0)</x:f>
        <x:v>0.3366352766916885</x:v>
      </x:c>
      <x:c r="AJ4435" s="42" t="n">
        <x:v>0</x:v>
      </x:c>
      <x:c r="AK4435" s="42" t="n">
        <x:v>0</x:v>
      </x:c>
      <x:c r="AL4435" s="42" t="n">
        <x:v>0</x:v>
      </x:c>
      <x:c r="AM4435" t="n">
        <x:f>CHOOSE('假设'!$B$3,AJ4435,AK4435,AL4435)</x:f>
        <x:v>0</x:v>
      </x:c>
      <x:c r="AN4435" t="n">
        <x:v>1</x:v>
      </x:c>
    </x:row>
    <x:row r="4436" ht="23" customHeight="1">
      <x:c r="A4436" s="11" t="str">
        <x:v>02162.HK</x:v>
      </x:c>
      <x:c r="B4436" s="11" t="str">
        <x:v>三年</x:v>
      </x:c>
      <x:c r="C4436" s="11" t="str">
        <x:v>CMG901_2Lplus</x:v>
      </x:c>
      <x:c r="D4436" s="11" t="str">
        <x:v>2037-12-31</x:v>
      </x:c>
      <x:c r="E4436" s="11" t="str">
        <x:v>USD</x:v>
      </x:c>
      <x:c r="F4436" s="11" t="n">
        <x:v>8.227241615331964</x:v>
      </x:c>
      <x:c r="G4436" s="26" t="b">
        <x:v>1</x:v>
      </x:c>
      <x:c r="H4436" s="16" t="n">
        <x:v>1.2000000000000002</x:v>
      </x:c>
      <x:c r="I4436" s="16" t="n">
        <x:v>1.9500000000000002</x:v>
      </x:c>
      <x:c r="J4436" s="16" t="n">
        <x:v>2.9250000000000003</x:v>
      </x:c>
      <x:c r="K4436" s="11" t="n">
        <x:f>CHOOSE('假设'!$B$3,H4436,I4436,J4436)</x:f>
        <x:v>1.9500000000000002</x:v>
      </x:c>
      <x:c r="L4436" s="11" t="n">
        <x:f>K4436*'管线假设'!E955*'管线假设'!F955*'管线假设'!G955*IF(E4436="USD",'管线假设'!I955,1)-AM4436</x:f>
        <x:v>0.7051589999999999</x:v>
      </x:c>
      <x:c r="M4436" s="11" t="n">
        <x:f>'管线假设'!H955</x:f>
        <x:v>0.14</x:v>
      </x:c>
      <x:c r="N4436" s="11" t="n">
        <x:f>IF(G4436,L4436*AN4436/(1+M4436)^F4436,0)</x:f>
        <x:v>0.2399479766876963</x:v>
      </x:c>
      <x:c r="AJ4436" s="42" t="n">
        <x:v>0</x:v>
      </x:c>
      <x:c r="AK4436" s="42" t="n">
        <x:v>0</x:v>
      </x:c>
      <x:c r="AL4436" s="42" t="n">
        <x:v>0</x:v>
      </x:c>
      <x:c r="AM4436" t="n">
        <x:f>CHOOSE('假设'!$B$3,AJ4436,AK4436,AL4436)</x:f>
        <x:v>0</x:v>
      </x:c>
      <x:c r="AN4436" t="n">
        <x:v>1</x:v>
      </x:c>
    </x:row>
    <x:row r="4437" ht="23" customHeight="1">
      <x:c r="A4437" s="11" t="str">
        <x:v>02162.HK</x:v>
      </x:c>
      <x:c r="B4437" s="11" t="str">
        <x:v>三年</x:v>
      </x:c>
      <x:c r="C4437" s="11" t="str">
        <x:v>CMG901_2Lplus</x:v>
      </x:c>
      <x:c r="D4437" s="11" t="str">
        <x:v>2038-12-31</x:v>
      </x:c>
      <x:c r="E4437" s="11" t="str">
        <x:v>USD</x:v>
      </x:c>
      <x:c r="F4437" s="11" t="n">
        <x:v>9.22655715263518</x:v>
      </x:c>
      <x:c r="G4437" s="26" t="b">
        <x:v>1</x:v>
      </x:c>
      <x:c r="H4437" s="16" t="n">
        <x:v>0.9750000000000001</x:v>
      </x:c>
      <x:c r="I4437" s="16" t="n">
        <x:v>1.5</x:v>
      </x:c>
      <x:c r="J4437" s="16" t="n">
        <x:v>2.25</x:v>
      </x:c>
      <x:c r="K4437" s="11" t="n">
        <x:f>CHOOSE('假设'!$B$3,H4437,I4437,J4437)</x:f>
        <x:v>1.5</x:v>
      </x:c>
      <x:c r="L4437" s="11" t="n">
        <x:f>K4437*'管线假设'!E955*'管线假设'!F955*'管线假设'!G955*IF(E4437="USD",'管线假设'!I955,1)-AM4437</x:f>
        <x:v>0.54243</x:v>
      </x:c>
      <x:c r="M4437" s="11" t="n">
        <x:f>'管线假设'!H955</x:f>
        <x:v>0.14</x:v>
      </x:c>
      <x:c r="N4437" s="11" t="n">
        <x:f>IF(G4437,L4437*AN4437/(1+M4437)^F4437,0)</x:f>
        <x:v>0.16192273760926237</x:v>
      </x:c>
      <x:c r="AJ4437" s="42" t="n">
        <x:v>0</x:v>
      </x:c>
      <x:c r="AK4437" s="42" t="n">
        <x:v>0</x:v>
      </x:c>
      <x:c r="AL4437" s="42" t="n">
        <x:v>0</x:v>
      </x:c>
      <x:c r="AM4437" t="n">
        <x:f>CHOOSE('假设'!$B$3,AJ4437,AK4437,AL4437)</x:f>
        <x:v>0</x:v>
      </x:c>
      <x:c r="AN4437" t="n">
        <x:v>1</x:v>
      </x:c>
    </x:row>
    <x:row r="4438" ht="23" customHeight="1">
      <x:c r="A4438" s="11" t="str">
        <x:v>02162.HK</x:v>
      </x:c>
      <x:c r="B4438" s="11" t="str">
        <x:v>三年</x:v>
      </x:c>
      <x:c r="C4438" s="11" t="str">
        <x:v>CMG901_2Lplus</x:v>
      </x:c>
      <x:c r="D4438" s="11" t="str">
        <x:v>2039-12-31</x:v>
      </x:c>
      <x:c r="E4438" s="11" t="str">
        <x:v>USD</x:v>
      </x:c>
      <x:c r="F4438" s="11" t="n">
        <x:v>10.225872689938399</x:v>
      </x:c>
      <x:c r="G4438" s="26" t="b">
        <x:v>1</x:v>
      </x:c>
      <x:c r="H4438" s="16" t="n">
        <x:v>0.75</x:v>
      </x:c>
      <x:c r="I4438" s="16" t="n">
        <x:v>1.0499999999999998</x:v>
      </x:c>
      <x:c r="J4438" s="16" t="n">
        <x:v>1.575</x:v>
      </x:c>
      <x:c r="K4438" s="11" t="n">
        <x:f>CHOOSE('假设'!$B$3,H4438,I4438,J4438)</x:f>
        <x:v>1.0499999999999998</x:v>
      </x:c>
      <x:c r="L4438" s="11" t="n">
        <x:f>K4438*'管线假设'!E955*'管线假设'!F955*'管线假设'!G955*IF(E4438="USD",'管线假设'!I955,1)-AM4438</x:f>
        <x:v>0.37970099999999984</x:v>
      </x:c>
      <x:c r="M4438" s="11" t="n">
        <x:f>'管线假设'!H955</x:f>
        <x:v>0.14</x:v>
      </x:c>
      <x:c r="N4438" s="11" t="n">
        <x:f>IF(G4438,L4438*AN4438/(1+M4438)^F4438,0)</x:f>
        <x:v>0.09943515973044842</x:v>
      </x:c>
      <x:c r="AJ4438" s="42" t="n">
        <x:v>0</x:v>
      </x:c>
      <x:c r="AK4438" s="42" t="n">
        <x:v>0</x:v>
      </x:c>
      <x:c r="AL4438" s="42" t="n">
        <x:v>0</x:v>
      </x:c>
      <x:c r="AM4438" t="n">
        <x:f>CHOOSE('假设'!$B$3,AJ4438,AK4438,AL4438)</x:f>
        <x:v>0</x:v>
      </x:c>
      <x:c r="AN4438" t="n">
        <x:v>1</x:v>
      </x:c>
    </x:row>
    <x:row r="4439" ht="23" customHeight="1">
      <x:c r="A4439" s="11" t="str">
        <x:v>02162.HK</x:v>
      </x:c>
      <x:c r="B4439" s="11" t="str">
        <x:v>三年</x:v>
      </x:c>
      <x:c r="C4439" s="11" t="str">
        <x:v>CMG901_2Lplus</x:v>
      </x:c>
      <x:c r="D4439" s="11" t="str">
        <x:v>2040-12-31</x:v>
      </x:c>
      <x:c r="E4439" s="11" t="str">
        <x:v>USD</x:v>
      </x:c>
      <x:c r="F4439" s="11" t="n">
        <x:v>11.227926078028748</x:v>
      </x:c>
      <x:c r="G4439" s="26" t="b">
        <x:v>1</x:v>
      </x:c>
      <x:c r="H4439" s="16" t="n">
        <x:v>0.5249999999999999</x:v>
      </x:c>
      <x:c r="I4439" s="16" t="n">
        <x:v>0.6000000000000001</x:v>
      </x:c>
      <x:c r="J4439" s="16" t="n">
        <x:v>0.9</x:v>
      </x:c>
      <x:c r="K4439" s="11" t="n">
        <x:f>CHOOSE('假设'!$B$3,H4439,I4439,J4439)</x:f>
        <x:v>0.6000000000000001</x:v>
      </x:c>
      <x:c r="L4439" s="11" t="n">
        <x:f>K4439*'管线假设'!E955*'管线假设'!F955*'管线假设'!G955*IF(E4439="USD",'管线假设'!I955,1)-AM4439</x:f>
        <x:v>0.216972</x:v>
      </x:c>
      <x:c r="M4439" s="11" t="n">
        <x:f>'管线假设'!H955</x:f>
        <x:v>0.14</x:v>
      </x:c>
      <x:c r="N4439" s="11" t="n">
        <x:f>IF(G4439,L4439*AN4439/(1+M4439)^F4439,0)</x:f>
        <x:v>0.04982877699905135</x:v>
      </x:c>
      <x:c r="AJ4439" s="42" t="n">
        <x:v>0</x:v>
      </x:c>
      <x:c r="AK4439" s="42" t="n">
        <x:v>0</x:v>
      </x:c>
      <x:c r="AL4439" s="42" t="n">
        <x:v>0</x:v>
      </x:c>
      <x:c r="AM4439" t="n">
        <x:f>CHOOSE('假设'!$B$3,AJ4439,AK4439,AL4439)</x:f>
        <x:v>0</x:v>
      </x:c>
      <x:c r="AN4439" t="n">
        <x:v>1</x:v>
      </x:c>
    </x:row>
    <x:row r="4440" ht="23" customHeight="1">
      <x:c r="A4440" s="11" t="str">
        <x:v>02162.HK</x:v>
      </x:c>
      <x:c r="B4440" s="11" t="str">
        <x:v>三年</x:v>
      </x:c>
      <x:c r="C4440" s="11" t="str">
        <x:v>CMG901_2Lplus</x:v>
      </x:c>
      <x:c r="D4440" s="11" t="str">
        <x:v>2041-12-31</x:v>
      </x:c>
      <x:c r="E4440" s="11" t="str">
        <x:v>USD</x:v>
      </x:c>
      <x:c r="F4440" s="11" t="n">
        <x:v>12.227241615331964</x:v>
      </x:c>
      <x:c r="G4440" s="26" t="b">
        <x:v>1</x:v>
      </x:c>
      <x:c r="H4440" s="16" t="n">
        <x:v>0.30000000000000004</x:v>
      </x:c>
      <x:c r="I4440" s="16" t="n">
        <x:v>0.36</x:v>
      </x:c>
      <x:c r="J4440" s="16" t="n">
        <x:v>0.54</x:v>
      </x:c>
      <x:c r="K4440" s="11" t="n">
        <x:f>CHOOSE('假设'!$B$3,H4440,I4440,J4440)</x:f>
        <x:v>0.36</x:v>
      </x:c>
      <x:c r="L4440" s="11" t="n">
        <x:f>K4440*'管线假设'!E955*'管线假设'!F955*'管线假设'!G955*IF(E4440="USD",'管线假设'!I955,1)-AM4440</x:f>
        <x:v>0.1301832</x:v>
      </x:c>
      <x:c r="M4440" s="11" t="n">
        <x:f>'管线假设'!H955</x:f>
        <x:v>0.14</x:v>
      </x:c>
      <x:c r="N4440" s="11" t="n">
        <x:f>IF(G4440,L4440*AN4440/(1+M4440)^F4440,0)</x:f>
        <x:v>0.026228024232307755</x:v>
      </x:c>
      <x:c r="AJ4440" s="42" t="n">
        <x:v>0</x:v>
      </x:c>
      <x:c r="AK4440" s="42" t="n">
        <x:v>0</x:v>
      </x:c>
      <x:c r="AL4440" s="42" t="n">
        <x:v>0</x:v>
      </x:c>
      <x:c r="AM4440" t="n">
        <x:f>CHOOSE('假设'!$B$3,AJ4440,AK4440,AL4440)</x:f>
        <x:v>0</x:v>
      </x:c>
      <x:c r="AN4440" t="n">
        <x:v>1</x:v>
      </x:c>
    </x:row>
    <x:row r="4441" ht="23" customHeight="1">
      <x:c r="A4441" s="11" t="str">
        <x:v>02162.HK</x:v>
      </x:c>
      <x:c r="B4441" s="11" t="str">
        <x:v>三年</x:v>
      </x:c>
      <x:c r="C4441" s="11" t="str">
        <x:v>CMG901_2Lplus</x:v>
      </x:c>
      <x:c r="D4441" s="11" t="str">
        <x:v>2042-12-31</x:v>
      </x:c>
      <x:c r="E4441" s="11" t="str">
        <x:v>USD</x:v>
      </x:c>
      <x:c r="F4441" s="11" t="n">
        <x:v>13.22655715263518</x:v>
      </x:c>
      <x:c r="G4441" s="26" t="b">
        <x:v>1</x:v>
      </x:c>
      <x:c r="H4441" s="16" t="n">
        <x:v>0.18</x:v>
      </x:c>
      <x:c r="I4441" s="16" t="n">
        <x:v>0.21000000000000002</x:v>
      </x:c>
      <x:c r="J4441" s="16" t="n">
        <x:v>0.31500000000000006</x:v>
      </x:c>
      <x:c r="K4441" s="11" t="n">
        <x:f>CHOOSE('假设'!$B$3,H4441,I4441,J4441)</x:f>
        <x:v>0.21000000000000002</x:v>
      </x:c>
      <x:c r="L4441" s="11" t="n">
        <x:f>K4441*'管线假设'!E955*'管线假设'!F955*'管线假设'!G955*IF(E4441="USD",'管线假设'!I955,1)-AM4441</x:f>
        <x:v>0.0759402</x:v>
      </x:c>
      <x:c r="M4441" s="11" t="n">
        <x:f>'管线假设'!H955</x:f>
        <x:v>0.14</x:v>
      </x:c>
      <x:c r="N4441" s="11" t="n">
        <x:f>IF(G4441,L4441*AN4441/(1+M4441)^F4441,0)</x:f>
        <x:v>0.013421976315472548</x:v>
      </x:c>
      <x:c r="AJ4441" s="42" t="n">
        <x:v>0</x:v>
      </x:c>
      <x:c r="AK4441" s="42" t="n">
        <x:v>0</x:v>
      </x:c>
      <x:c r="AL4441" s="42" t="n">
        <x:v>0</x:v>
      </x:c>
      <x:c r="AM4441" t="n">
        <x:f>CHOOSE('假设'!$B$3,AJ4441,AK4441,AL4441)</x:f>
        <x:v>0</x:v>
      </x:c>
      <x:c r="AN4441" t="n">
        <x:v>1</x:v>
      </x:c>
    </x:row>
    <x:row r="4442" ht="23" customHeight="1">
      <x:c r="A4442" s="11" t="str">
        <x:v>02162.HK</x:v>
      </x:c>
      <x:c r="B4442" s="11" t="str">
        <x:v>三年</x:v>
      </x:c>
      <x:c r="C4442" s="11" t="str">
        <x:v>CMG901_2Lplus</x:v>
      </x:c>
      <x:c r="D4442" s="11" t="str">
        <x:v>2043-12-31</x:v>
      </x:c>
      <x:c r="E4442" s="11" t="str">
        <x:v>USD</x:v>
      </x:c>
      <x:c r="F4442" s="11" t="n">
        <x:v>14.225872689938399</x:v>
      </x:c>
      <x:c r="G4442" s="26" t="b">
        <x:v>1</x:v>
      </x:c>
      <x:c r="H4442" s="16" t="n">
        <x:v>0.10500000000000001</x:v>
      </x:c>
      <x:c r="I4442" s="16" t="n">
        <x:v>0.09</x:v>
      </x:c>
      <x:c r="J4442" s="16" t="n">
        <x:v>0.135</x:v>
      </x:c>
      <x:c r="K4442" s="11" t="n">
        <x:f>CHOOSE('假设'!$B$3,H4442,I4442,J4442)</x:f>
        <x:v>0.09</x:v>
      </x:c>
      <x:c r="L4442" s="11" t="n">
        <x:f>K4442*'管线假设'!E955*'管线假设'!F955*'管线假设'!G955*IF(E4442="USD",'管线假设'!I955,1)-AM4442</x:f>
        <x:v>0.0325458</x:v>
      </x:c>
      <x:c r="M4442" s="11" t="n">
        <x:f>'管线假设'!H955</x:f>
        <x:v>0.14</x:v>
      </x:c>
      <x:c r="N4442" s="11" t="n">
        <x:f>IF(G4442,L4442*AN4442/(1+M4442)^F4442,0)</x:f>
        <x:v>0.0050463083103045436</x:v>
      </x:c>
      <x:c r="AJ4442" s="42" t="n">
        <x:v>0</x:v>
      </x:c>
      <x:c r="AK4442" s="42" t="n">
        <x:v>0</x:v>
      </x:c>
      <x:c r="AL4442" s="42" t="n">
        <x:v>0</x:v>
      </x:c>
      <x:c r="AM4442" t="n">
        <x:f>CHOOSE('假设'!$B$3,AJ4442,AK4442,AL4442)</x:f>
        <x:v>0</x:v>
      </x:c>
      <x:c r="AN4442" t="n">
        <x:v>1</x:v>
      </x:c>
    </x:row>
    <x:row r="4443" ht="23" customHeight="1">
      <x:c r="A4443" s="11" t="str">
        <x:v>02162.HK</x:v>
      </x:c>
      <x:c r="B4443" s="11" t="str">
        <x:v>三年</x:v>
      </x:c>
      <x:c r="C4443" s="11" t="str">
        <x:v>CMG901_2Lplus</x:v>
      </x:c>
      <x:c r="D4443" s="11" t="str">
        <x:v>2044-12-31</x:v>
      </x:c>
      <x:c r="E4443" s="11" t="str">
        <x:v>USD</x:v>
      </x:c>
      <x:c r="F4443" s="11" t="n">
        <x:v>15.227926078028748</x:v>
      </x:c>
      <x:c r="G4443" s="26" t="b">
        <x:v>1</x:v>
      </x:c>
      <x:c r="H4443" s="16" t="n">
        <x:v>0.045</x:v>
      </x:c>
      <x:c r="I4443" s="16" t="n">
        <x:v>0.09</x:v>
      </x:c>
      <x:c r="J4443" s="16" t="n">
        <x:v>0.135</x:v>
      </x:c>
      <x:c r="K4443" s="11" t="n">
        <x:f>CHOOSE('假设'!$B$3,H4443,I4443,J4443)</x:f>
        <x:v>0.09</x:v>
      </x:c>
      <x:c r="L4443" s="11" t="n">
        <x:f>K4443*'管线假设'!E955*'管线假设'!F955*'管线假设'!G955*IF(E4443="USD",'管线假设'!I955,1)-AM4443</x:f>
        <x:v>0.0325458</x:v>
      </x:c>
      <x:c r="M4443" s="11" t="n">
        <x:f>'管线假设'!H955</x:f>
        <x:v>0.14</x:v>
      </x:c>
      <x:c r="N4443" s="11" t="n">
        <x:f>IF(G4443,L4443*AN4443/(1+M4443)^F4443,0)</x:f>
        <x:v>0.004425395415992346</x:v>
      </x:c>
      <x:c r="AJ4443" s="42" t="n">
        <x:v>0</x:v>
      </x:c>
      <x:c r="AK4443" s="42" t="n">
        <x:v>0</x:v>
      </x:c>
      <x:c r="AL4443" s="42" t="n">
        <x:v>0</x:v>
      </x:c>
      <x:c r="AM4443" t="n">
        <x:f>CHOOSE('假设'!$B$3,AJ4443,AK4443,AL4443)</x:f>
        <x:v>0</x:v>
      </x:c>
      <x:c r="AN4443" t="n">
        <x:v>1</x:v>
      </x:c>
    </x:row>
    <x:row r="4444" ht="23" customHeight="1">
      <x:c r="A4444" s="11" t="str">
        <x:v>02162.HK</x:v>
      </x:c>
      <x:c r="B4444" s="11" t="str">
        <x:v>三年</x:v>
      </x:c>
      <x:c r="C4444" s="11" t="str">
        <x:v>CMG901_expansion</x:v>
      </x:c>
      <x:c r="D4444" s="11" t="str">
        <x:v>2026-12-31</x:v>
      </x:c>
      <x:c r="E4444" s="11" t="str">
        <x:v>USD</x:v>
      </x:c>
      <x:c r="F4444" s="11" t="n">
        <x:v>-2.7734428473648185</x:v>
      </x:c>
      <x:c r="G4444" s="26" t="b">
        <x:v>0</x:v>
      </x:c>
      <x:c r="H4444" s="16" t="n">
        <x:v>0</x:v>
      </x:c>
      <x:c r="I4444" s="16" t="n">
        <x:v>0</x:v>
      </x:c>
      <x:c r="J4444" s="16" t="n">
        <x:v>0</x:v>
      </x:c>
      <x:c r="K4444" s="11" t="n">
        <x:f>CHOOSE('假设'!$B$3,H4444,I4444,J4444)</x:f>
        <x:v>0</x:v>
      </x:c>
      <x:c r="L4444" s="11" t="n">
        <x:f>K4444*'管线假设'!E959*'管线假设'!F959*'管线假设'!G959*IF(E4444="USD",'管线假设'!I959,1)-AM4444</x:f>
        <x:v>-0.042</x:v>
      </x:c>
      <x:c r="M4444" s="11" t="n">
        <x:f>'管线假设'!H959</x:f>
        <x:v>0.14</x:v>
      </x:c>
      <x:c r="N4444" s="11" t="n">
        <x:f>IF(G4444,L4444*AN4444/(1+M4444)^F4444,0)</x:f>
        <x:v>0</x:v>
      </x:c>
      <x:c r="AJ4444" s="42" t="n">
        <x:v>0.028</x:v>
      </x:c>
      <x:c r="AK4444" s="42" t="n">
        <x:v>0.042</x:v>
      </x:c>
      <x:c r="AL4444" s="42" t="n">
        <x:v>0.056</x:v>
      </x:c>
      <x:c r="AM4444" t="n">
        <x:f>CHOOSE('假设'!$B$3,AJ4444,AK4444,AL4444)</x:f>
        <x:v>0.042</x:v>
      </x:c>
      <x:c r="AN4444" t="n">
        <x:v>0</x:v>
      </x:c>
    </x:row>
    <x:row r="4445" ht="23" customHeight="1">
      <x:c r="A4445" s="11" t="str">
        <x:v>02162.HK</x:v>
      </x:c>
      <x:c r="B4445" s="11" t="str">
        <x:v>三年</x:v>
      </x:c>
      <x:c r="C4445" s="11" t="str">
        <x:v>CMG901_expansion</x:v>
      </x:c>
      <x:c r="D4445" s="11" t="str">
        <x:v>2027-12-31</x:v>
      </x:c>
      <x:c r="E4445" s="11" t="str">
        <x:v>USD</x:v>
      </x:c>
      <x:c r="F4445" s="11" t="n">
        <x:v>-1.7741273100616017</x:v>
      </x:c>
      <x:c r="G4445" s="26" t="b">
        <x:v>0</x:v>
      </x:c>
      <x:c r="H4445" s="16" t="n">
        <x:v>0</x:v>
      </x:c>
      <x:c r="I4445" s="16" t="n">
        <x:v>0</x:v>
      </x:c>
      <x:c r="J4445" s="16" t="n">
        <x:v>0</x:v>
      </x:c>
      <x:c r="K4445" s="11" t="n">
        <x:f>CHOOSE('假设'!$B$3,H4445,I4445,J4445)</x:f>
        <x:v>0</x:v>
      </x:c>
      <x:c r="L4445" s="11" t="n">
        <x:f>K4445*'管线假设'!E959*'管线假设'!F959*'管线假设'!G959*IF(E4445="USD",'管线假设'!I959,1)-AM4445</x:f>
        <x:v>-0.042</x:v>
      </x:c>
      <x:c r="M4445" s="11" t="n">
        <x:f>'管线假设'!H959</x:f>
        <x:v>0.14</x:v>
      </x:c>
      <x:c r="N4445" s="11" t="n">
        <x:f>IF(G4445,L4445*AN4445/(1+M4445)^F4445,0)</x:f>
        <x:v>0</x:v>
      </x:c>
      <x:c r="AJ4445" s="42" t="n">
        <x:v>0.028</x:v>
      </x:c>
      <x:c r="AK4445" s="42" t="n">
        <x:v>0.042</x:v>
      </x:c>
      <x:c r="AL4445" s="42" t="n">
        <x:v>0.056</x:v>
      </x:c>
      <x:c r="AM4445" t="n">
        <x:f>CHOOSE('假设'!$B$3,AJ4445,AK4445,AL4445)</x:f>
        <x:v>0.042</x:v>
      </x:c>
      <x:c r="AN4445" t="n">
        <x:v>0</x:v>
      </x:c>
    </x:row>
    <x:row r="4446" ht="23" customHeight="1">
      <x:c r="A4446" s="11" t="str">
        <x:v>02162.HK</x:v>
      </x:c>
      <x:c r="B4446" s="11" t="str">
        <x:v>三年</x:v>
      </x:c>
      <x:c r="C4446" s="11" t="str">
        <x:v>CMG901_expansion</x:v>
      </x:c>
      <x:c r="D4446" s="11" t="str">
        <x:v>2028-12-31</x:v>
      </x:c>
      <x:c r="E4446" s="11" t="str">
        <x:v>USD</x:v>
      </x:c>
      <x:c r="F4446" s="11" t="n">
        <x:v>-0.7720739219712526</x:v>
      </x:c>
      <x:c r="G4446" s="26" t="b">
        <x:v>0</x:v>
      </x:c>
      <x:c r="H4446" s="16" t="n">
        <x:v>0</x:v>
      </x:c>
      <x:c r="I4446" s="16" t="n">
        <x:v>0</x:v>
      </x:c>
      <x:c r="J4446" s="16" t="n">
        <x:v>0</x:v>
      </x:c>
      <x:c r="K4446" s="11" t="n">
        <x:f>CHOOSE('假设'!$B$3,H4446,I4446,J4446)</x:f>
        <x:v>0</x:v>
      </x:c>
      <x:c r="L4446" s="11" t="n">
        <x:f>K4446*'管线假设'!E959*'管线假设'!F959*'管线假设'!G959*IF(E4446="USD",'管线假设'!I959,1)-AM4446</x:f>
        <x:v>0</x:v>
      </x:c>
      <x:c r="M4446" s="11" t="n">
        <x:f>'管线假设'!H959</x:f>
        <x:v>0.14</x:v>
      </x:c>
      <x:c r="N4446" s="11" t="n">
        <x:f>IF(G4446,L4446*AN4446/(1+M4446)^F4446,0)</x:f>
        <x:v>0</x:v>
      </x:c>
      <x:c r="AJ4446" s="42" t="n">
        <x:v>0</x:v>
      </x:c>
      <x:c r="AK4446" s="42" t="n">
        <x:v>0</x:v>
      </x:c>
      <x:c r="AL4446" s="42" t="n">
        <x:v>0</x:v>
      </x:c>
      <x:c r="AM4446" t="n">
        <x:f>CHOOSE('假设'!$B$3,AJ4446,AK4446,AL4446)</x:f>
        <x:v>0</x:v>
      </x:c>
      <x:c r="AN4446" t="n">
        <x:v>0</x:v>
      </x:c>
    </x:row>
    <x:row r="4447" ht="23" customHeight="1">
      <x:c r="A4447" s="11" t="str">
        <x:v>02162.HK</x:v>
      </x:c>
      <x:c r="B4447" s="11" t="str">
        <x:v>三年</x:v>
      </x:c>
      <x:c r="C4447" s="11" t="str">
        <x:v>CMG901_expansion</x:v>
      </x:c>
      <x:c r="D4447" s="11" t="str">
        <x:v>2029-12-31</x:v>
      </x:c>
      <x:c r="E4447" s="11" t="str">
        <x:v>USD</x:v>
      </x:c>
      <x:c r="F4447" s="11" t="n">
        <x:v>0.2272416153319644</x:v>
      </x:c>
      <x:c r="G4447" s="26" t="b">
        <x:v>1</x:v>
      </x:c>
      <x:c r="H4447" s="16" t="n">
        <x:v>0</x:v>
      </x:c>
      <x:c r="I4447" s="16" t="n">
        <x:v>0</x:v>
      </x:c>
      <x:c r="J4447" s="16" t="n">
        <x:v>0.3</x:v>
      </x:c>
      <x:c r="K4447" s="11" t="n">
        <x:f>CHOOSE('假设'!$B$3,H4447,I4447,J4447)</x:f>
        <x:v>0</x:v>
      </x:c>
      <x:c r="L4447" s="11" t="n">
        <x:f>K4447*'管线假设'!E959*'管线假设'!F959*'管线假设'!G959*IF(E4447="USD",'管线假设'!I959,1)-AM4447</x:f>
        <x:v>0</x:v>
      </x:c>
      <x:c r="M4447" s="11" t="n">
        <x:f>'管线假设'!H959</x:f>
        <x:v>0.14</x:v>
      </x:c>
      <x:c r="N4447" s="11" t="n">
        <x:f>IF(G4447,L4447*AN4447/(1+M4447)^F4447,0)</x:f>
        <x:v>0</x:v>
      </x:c>
      <x:c r="AJ4447" s="42" t="n">
        <x:v>0</x:v>
      </x:c>
      <x:c r="AK4447" s="42" t="n">
        <x:v>0</x:v>
      </x:c>
      <x:c r="AL4447" s="42" t="n">
        <x:v>0</x:v>
      </x:c>
      <x:c r="AM4447" t="n">
        <x:f>CHOOSE('假设'!$B$3,AJ4447,AK4447,AL4447)</x:f>
        <x:v>0</x:v>
      </x:c>
      <x:c r="AN4447" t="n">
        <x:v>0.22802197802197802</x:v>
      </x:c>
    </x:row>
    <x:row r="4448" ht="23" customHeight="1">
      <x:c r="A4448" s="11" t="str">
        <x:v>02162.HK</x:v>
      </x:c>
      <x:c r="B4448" s="11" t="str">
        <x:v>三年</x:v>
      </x:c>
      <x:c r="C4448" s="11" t="str">
        <x:v>CMG901_expansion</x:v>
      </x:c>
      <x:c r="D4448" s="11" t="str">
        <x:v>2030-12-31</x:v>
      </x:c>
      <x:c r="E4448" s="11" t="str">
        <x:v>USD</x:v>
      </x:c>
      <x:c r="F4448" s="11" t="n">
        <x:v>1.2265571526351813</x:v>
      </x:c>
      <x:c r="G4448" s="26" t="b">
        <x:v>1</x:v>
      </x:c>
      <x:c r="H4448" s="16" t="n">
        <x:v>0</x:v>
      </x:c>
      <x:c r="I4448" s="16" t="n">
        <x:v>0.15</x:v>
      </x:c>
      <x:c r="J4448" s="16" t="n">
        <x:v>0.8999999999999999</x:v>
      </x:c>
      <x:c r="K4448" s="11" t="n">
        <x:f>CHOOSE('假设'!$B$3,H4448,I4448,J4448)</x:f>
        <x:v>0.15</x:v>
      </x:c>
      <x:c r="L4448" s="11" t="n">
        <x:f>K4448*'管线假设'!E959*'管线假设'!F959*'管线假设'!G959*IF(E4448="USD",'管线假设'!I959,1)-AM4448</x:f>
        <x:v>0.02531339999999999</x:v>
      </x:c>
      <x:c r="M4448" s="11" t="n">
        <x:f>'管线假设'!H959</x:f>
        <x:v>0.14</x:v>
      </x:c>
      <x:c r="N4448" s="11" t="n">
        <x:f>IF(G4448,L4448*AN4448/(1+M4448)^F4448,0)</x:f>
        <x:v>0.02155526812731302</x:v>
      </x:c>
      <x:c r="AJ4448" s="42" t="n">
        <x:v>0</x:v>
      </x:c>
      <x:c r="AK4448" s="42" t="n">
        <x:v>0</x:v>
      </x:c>
      <x:c r="AL4448" s="42" t="n">
        <x:v>0</x:v>
      </x:c>
      <x:c r="AM4448" t="n">
        <x:f>CHOOSE('假设'!$B$3,AJ4448,AK4448,AL4448)</x:f>
        <x:v>0</x:v>
      </x:c>
      <x:c r="AN4448" t="n">
        <x:v>1</x:v>
      </x:c>
    </x:row>
    <x:row r="4449" ht="23" customHeight="1">
      <x:c r="A4449" s="11" t="str">
        <x:v>02162.HK</x:v>
      </x:c>
      <x:c r="B4449" s="11" t="str">
        <x:v>三年</x:v>
      </x:c>
      <x:c r="C4449" s="11" t="str">
        <x:v>CMG901_expansion</x:v>
      </x:c>
      <x:c r="D4449" s="11" t="str">
        <x:v>2031-12-31</x:v>
      </x:c>
      <x:c r="E4449" s="11" t="str">
        <x:v>USD</x:v>
      </x:c>
      <x:c r="F4449" s="11" t="n">
        <x:v>2.2258726899383983</x:v>
      </x:c>
      <x:c r="G4449" s="26" t="b">
        <x:v>1</x:v>
      </x:c>
      <x:c r="H4449" s="16" t="n">
        <x:v>0</x:v>
      </x:c>
      <x:c r="I4449" s="16" t="n">
        <x:v>0.44999999999999996</x:v>
      </x:c>
      <x:c r="J4449" s="16" t="n">
        <x:v>1.9</x:v>
      </x:c>
      <x:c r="K4449" s="11" t="n">
        <x:f>CHOOSE('假设'!$B$3,H4449,I4449,J4449)</x:f>
        <x:v>0.44999999999999996</x:v>
      </x:c>
      <x:c r="L4449" s="11" t="n">
        <x:f>K4449*'管线假设'!E959*'管线假设'!F959*'管线假设'!G959*IF(E4449="USD",'管线假设'!I959,1)-AM4449</x:f>
        <x:v>0.07594019999999997</x:v>
      </x:c>
      <x:c r="M4449" s="11" t="n">
        <x:f>'管线假设'!H959</x:f>
        <x:v>0.14</x:v>
      </x:c>
      <x:c r="N4449" s="11" t="n">
        <x:f>IF(G4449,L4449*AN4449/(1+M4449)^F4449,0)</x:f>
        <x:v>0.05672947730463263</x:v>
      </x:c>
      <x:c r="AJ4449" s="42" t="n">
        <x:v>0</x:v>
      </x:c>
      <x:c r="AK4449" s="42" t="n">
        <x:v>0</x:v>
      </x:c>
      <x:c r="AL4449" s="42" t="n">
        <x:v>0</x:v>
      </x:c>
      <x:c r="AM4449" t="n">
        <x:f>CHOOSE('假设'!$B$3,AJ4449,AK4449,AL4449)</x:f>
        <x:v>0</x:v>
      </x:c>
      <x:c r="AN4449" t="n">
        <x:v>1</x:v>
      </x:c>
    </x:row>
    <x:row r="4450" ht="23" customHeight="1">
      <x:c r="A4450" s="11" t="str">
        <x:v>02162.HK</x:v>
      </x:c>
      <x:c r="B4450" s="11" t="str">
        <x:v>三年</x:v>
      </x:c>
      <x:c r="C4450" s="11" t="str">
        <x:v>CMG901_expansion</x:v>
      </x:c>
      <x:c r="D4450" s="11" t="str">
        <x:v>2032-12-31</x:v>
      </x:c>
      <x:c r="E4450" s="11" t="str">
        <x:v>USD</x:v>
      </x:c>
      <x:c r="F4450" s="11" t="n">
        <x:v>3.2279260780287475</x:v>
      </x:c>
      <x:c r="G4450" s="26" t="b">
        <x:v>1</x:v>
      </x:c>
      <x:c r="H4450" s="16" t="n">
        <x:v>0.048</x:v>
      </x:c>
      <x:c r="I4450" s="16" t="n">
        <x:v>0.95</x:v>
      </x:c>
      <x:c r="J4450" s="16" t="n">
        <x:v>3.25</x:v>
      </x:c>
      <x:c r="K4450" s="11" t="n">
        <x:f>CHOOSE('假设'!$B$3,H4450,I4450,J4450)</x:f>
        <x:v>0.95</x:v>
      </x:c>
      <x:c r="L4450" s="11" t="n">
        <x:f>K4450*'管线假设'!E959*'管线假设'!F959*'管线假设'!G959*IF(E4450="USD",'管线假设'!I959,1)-AM4450</x:f>
        <x:v>0.16031819999999994</x:v>
      </x:c>
      <x:c r="M4450" s="11" t="n">
        <x:f>'管线假设'!H959</x:f>
        <x:v>0.14</x:v>
      </x:c>
      <x:c r="N4450" s="11" t="n">
        <x:f>IF(G4450,L4450*AN4450/(1+M4450)^F4450,0)</x:f>
        <x:v>0.10502632626960769</x:v>
      </x:c>
      <x:c r="AJ4450" s="42" t="n">
        <x:v>0</x:v>
      </x:c>
      <x:c r="AK4450" s="42" t="n">
        <x:v>0</x:v>
      </x:c>
      <x:c r="AL4450" s="42" t="n">
        <x:v>0</x:v>
      </x:c>
      <x:c r="AM4450" t="n">
        <x:f>CHOOSE('假设'!$B$3,AJ4450,AK4450,AL4450)</x:f>
        <x:v>0</x:v>
      </x:c>
      <x:c r="AN4450" t="n">
        <x:v>1</x:v>
      </x:c>
    </x:row>
    <x:row r="4451" ht="23" customHeight="1">
      <x:c r="A4451" s="11" t="str">
        <x:v>02162.HK</x:v>
      </x:c>
      <x:c r="B4451" s="11" t="str">
        <x:v>三年</x:v>
      </x:c>
      <x:c r="C4451" s="11" t="str">
        <x:v>CMG901_expansion</x:v>
      </x:c>
      <x:c r="D4451" s="11" t="str">
        <x:v>2033-12-31</x:v>
      </x:c>
      <x:c r="E4451" s="11" t="str">
        <x:v>USD</x:v>
      </x:c>
      <x:c r="F4451" s="11" t="n">
        <x:v>4.227241615331964</x:v>
      </x:c>
      <x:c r="G4451" s="26" t="b">
        <x:v>1</x:v>
      </x:c>
      <x:c r="H4451" s="16" t="n">
        <x:v>0.144</x:v>
      </x:c>
      <x:c r="I4451" s="16" t="n">
        <x:v>1.625</x:v>
      </x:c>
      <x:c r="J4451" s="16" t="n">
        <x:v>4.25</x:v>
      </x:c>
      <x:c r="K4451" s="11" t="n">
        <x:f>CHOOSE('假设'!$B$3,H4451,I4451,J4451)</x:f>
        <x:v>1.625</x:v>
      </x:c>
      <x:c r="L4451" s="11" t="n">
        <x:f>K4451*'管线假设'!E959*'管线假设'!F959*'管线假设'!G959*IF(E4451="USD",'管线假设'!I959,1)-AM4451</x:f>
        <x:v>0.2742285</x:v>
      </x:c>
      <x:c r="M4451" s="11" t="n">
        <x:f>'管线假设'!H959</x:f>
        <x:v>0.14</x:v>
      </x:c>
      <x:c r="N4451" s="11" t="n">
        <x:f>IF(G4451,L4451*AN4451/(1+M4451)^F4451,0)</x:f>
        <x:v>0.15760211176038313</x:v>
      </x:c>
      <x:c r="AJ4451" s="42" t="n">
        <x:v>0</x:v>
      </x:c>
      <x:c r="AK4451" s="42" t="n">
        <x:v>0</x:v>
      </x:c>
      <x:c r="AL4451" s="42" t="n">
        <x:v>0</x:v>
      </x:c>
      <x:c r="AM4451" t="n">
        <x:f>CHOOSE('假设'!$B$3,AJ4451,AK4451,AL4451)</x:f>
        <x:v>0</x:v>
      </x:c>
      <x:c r="AN4451" t="n">
        <x:v>1</x:v>
      </x:c>
    </x:row>
    <x:row r="4452" ht="23" customHeight="1">
      <x:c r="A4452" s="11" t="str">
        <x:v>02162.HK</x:v>
      </x:c>
      <x:c r="B4452" s="11" t="str">
        <x:v>三年</x:v>
      </x:c>
      <x:c r="C4452" s="11" t="str">
        <x:v>CMG901_expansion</x:v>
      </x:c>
      <x:c r="D4452" s="11" t="str">
        <x:v>2034-12-31</x:v>
      </x:c>
      <x:c r="E4452" s="11" t="str">
        <x:v>USD</x:v>
      </x:c>
      <x:c r="F4452" s="11" t="n">
        <x:v>5.2265571526351815</x:v>
      </x:c>
      <x:c r="G4452" s="26" t="b">
        <x:v>1</x:v>
      </x:c>
      <x:c r="H4452" s="16" t="n">
        <x:v>0.30400000000000005</x:v>
      </x:c>
      <x:c r="I4452" s="16" t="n">
        <x:v>2.125</x:v>
      </x:c>
      <x:c r="J4452" s="16" t="n">
        <x:v>5</x:v>
      </x:c>
      <x:c r="K4452" s="11" t="n">
        <x:f>CHOOSE('假设'!$B$3,H4452,I4452,J4452)</x:f>
        <x:v>2.125</x:v>
      </x:c>
      <x:c r="L4452" s="11" t="n">
        <x:f>K4452*'管线假设'!E959*'管线假设'!F959*'管线假设'!G959*IF(E4452="USD",'管线假设'!I959,1)-AM4452</x:f>
        <x:v>0.35860649999999994</x:v>
      </x:c>
      <x:c r="M4452" s="11" t="n">
        <x:f>'管线假设'!H959</x:f>
        <x:v>0.14</x:v>
      </x:c>
      <x:c r="N4452" s="11" t="n">
        <x:f>IF(G4452,L4452*AN4452/(1+M4452)^F4452,0)</x:f>
        <x:v>0.18080136269778427</x:v>
      </x:c>
      <x:c r="AJ4452" s="42" t="n">
        <x:v>0</x:v>
      </x:c>
      <x:c r="AK4452" s="42" t="n">
        <x:v>0</x:v>
      </x:c>
      <x:c r="AL4452" s="42" t="n">
        <x:v>0</x:v>
      </x:c>
      <x:c r="AM4452" t="n">
        <x:f>CHOOSE('假设'!$B$3,AJ4452,AK4452,AL4452)</x:f>
        <x:v>0</x:v>
      </x:c>
      <x:c r="AN4452" t="n">
        <x:v>1</x:v>
      </x:c>
    </x:row>
    <x:row r="4453" ht="23" customHeight="1">
      <x:c r="A4453" s="11" t="str">
        <x:v>02162.HK</x:v>
      </x:c>
      <x:c r="B4453" s="11" t="str">
        <x:v>三年</x:v>
      </x:c>
      <x:c r="C4453" s="11" t="str">
        <x:v>CMG901_expansion</x:v>
      </x:c>
      <x:c r="D4453" s="11" t="str">
        <x:v>2035-12-31</x:v>
      </x:c>
      <x:c r="E4453" s="11" t="str">
        <x:v>USD</x:v>
      </x:c>
      <x:c r="F4453" s="11" t="n">
        <x:v>6.225872689938399</x:v>
      </x:c>
      <x:c r="G4453" s="26" t="b">
        <x:v>1</x:v>
      </x:c>
      <x:c r="H4453" s="16" t="n">
        <x:v>0.52</x:v>
      </x:c>
      <x:c r="I4453" s="16" t="n">
        <x:v>2.5</x:v>
      </x:c>
      <x:c r="J4453" s="16" t="n">
        <x:v>5</x:v>
      </x:c>
      <x:c r="K4453" s="11" t="n">
        <x:f>CHOOSE('假设'!$B$3,H4453,I4453,J4453)</x:f>
        <x:v>2.5</x:v>
      </x:c>
      <x:c r="L4453" s="11" t="n">
        <x:f>K4453*'管线假设'!E959*'管线假设'!F959*'管线假设'!G959*IF(E4453="USD",'管线假设'!I959,1)-AM4453</x:f>
        <x:v>0.4218899999999999</x:v>
      </x:c>
      <x:c r="M4453" s="11" t="n">
        <x:f>'管线假设'!H959</x:f>
        <x:v>0.14</x:v>
      </x:c>
      <x:c r="N4453" s="11" t="n">
        <x:f>IF(G4453,L4453*AN4453/(1+M4453)^F4453,0)</x:f>
        <x:v>0.18660224809773754</x:v>
      </x:c>
      <x:c r="AJ4453" s="42" t="n">
        <x:v>0</x:v>
      </x:c>
      <x:c r="AK4453" s="42" t="n">
        <x:v>0</x:v>
      </x:c>
      <x:c r="AL4453" s="42" t="n">
        <x:v>0</x:v>
      </x:c>
      <x:c r="AM4453" t="n">
        <x:f>CHOOSE('假设'!$B$3,AJ4453,AK4453,AL4453)</x:f>
        <x:v>0</x:v>
      </x:c>
      <x:c r="AN4453" t="n">
        <x:v>1</x:v>
      </x:c>
    </x:row>
    <x:row r="4454" ht="23" customHeight="1">
      <x:c r="A4454" s="11" t="str">
        <x:v>02162.HK</x:v>
      </x:c>
      <x:c r="B4454" s="11" t="str">
        <x:v>三年</x:v>
      </x:c>
      <x:c r="C4454" s="11" t="str">
        <x:v>CMG901_expansion</x:v>
      </x:c>
      <x:c r="D4454" s="11" t="str">
        <x:v>2036-12-31</x:v>
      </x:c>
      <x:c r="E4454" s="11" t="str">
        <x:v>USD</x:v>
      </x:c>
      <x:c r="F4454" s="11" t="n">
        <x:v>7.227926078028747</x:v>
      </x:c>
      <x:c r="G4454" s="26" t="b">
        <x:v>1</x:v>
      </x:c>
      <x:c r="H4454" s="16" t="n">
        <x:v>0.68</x:v>
      </x:c>
      <x:c r="I4454" s="16" t="n">
        <x:v>2.5</x:v>
      </x:c>
      <x:c r="J4454" s="16" t="n">
        <x:v>4.75</x:v>
      </x:c>
      <x:c r="K4454" s="11" t="n">
        <x:f>CHOOSE('假设'!$B$3,H4454,I4454,J4454)</x:f>
        <x:v>2.5</x:v>
      </x:c>
      <x:c r="L4454" s="11" t="n">
        <x:f>K4454*'管线假设'!E959*'管线假设'!F959*'管线假设'!G959*IF(E4454="USD",'管线假设'!I959,1)-AM4454</x:f>
        <x:v>0.4218899999999999</x:v>
      </x:c>
      <x:c r="M4454" s="11" t="n">
        <x:f>'管线假设'!H959</x:f>
        <x:v>0.14</x:v>
      </x:c>
      <x:c r="N4454" s="11" t="n">
        <x:f>IF(G4454,L4454*AN4454/(1+M4454)^F4454,0)</x:f>
        <x:v>0.163642148391793</x:v>
      </x:c>
      <x:c r="AJ4454" s="42" t="n">
        <x:v>0</x:v>
      </x:c>
      <x:c r="AK4454" s="42" t="n">
        <x:v>0</x:v>
      </x:c>
      <x:c r="AL4454" s="42" t="n">
        <x:v>0</x:v>
      </x:c>
      <x:c r="AM4454" t="n">
        <x:f>CHOOSE('假设'!$B$3,AJ4454,AK4454,AL4454)</x:f>
        <x:v>0</x:v>
      </x:c>
      <x:c r="AN4454" t="n">
        <x:v>1</x:v>
      </x:c>
    </x:row>
    <x:row r="4455" ht="23" customHeight="1">
      <x:c r="A4455" s="11" t="str">
        <x:v>02162.HK</x:v>
      </x:c>
      <x:c r="B4455" s="11" t="str">
        <x:v>三年</x:v>
      </x:c>
      <x:c r="C4455" s="11" t="str">
        <x:v>CMG901_expansion</x:v>
      </x:c>
      <x:c r="D4455" s="11" t="str">
        <x:v>2037-12-31</x:v>
      </x:c>
      <x:c r="E4455" s="11" t="str">
        <x:v>USD</x:v>
      </x:c>
      <x:c r="F4455" s="11" t="n">
        <x:v>8.227241615331964</x:v>
      </x:c>
      <x:c r="G4455" s="26" t="b">
        <x:v>1</x:v>
      </x:c>
      <x:c r="H4455" s="16" t="n">
        <x:v>0.8</x:v>
      </x:c>
      <x:c r="I4455" s="16" t="n">
        <x:v>2.375</x:v>
      </x:c>
      <x:c r="J4455" s="16" t="n">
        <x:v>4.5</x:v>
      </x:c>
      <x:c r="K4455" s="11" t="n">
        <x:f>CHOOSE('假设'!$B$3,H4455,I4455,J4455)</x:f>
        <x:v>2.375</x:v>
      </x:c>
      <x:c r="L4455" s="11" t="n">
        <x:f>K4455*'管线假设'!E959*'管线假设'!F959*'管线假设'!G959*IF(E4455="USD",'管线假设'!I959,1)-AM4455</x:f>
        <x:v>0.40079549999999986</x:v>
      </x:c>
      <x:c r="M4455" s="11" t="n">
        <x:f>'管线假设'!H959</x:f>
        <x:v>0.14</x:v>
      </x:c>
      <x:c r="N4455" s="11" t="n">
        <x:f>IF(G4455,L4455*AN4455/(1+M4455)^F4455,0)</x:f>
        <x:v>0.1363806876045453</x:v>
      </x:c>
      <x:c r="AJ4455" s="42" t="n">
        <x:v>0</x:v>
      </x:c>
      <x:c r="AK4455" s="42" t="n">
        <x:v>0</x:v>
      </x:c>
      <x:c r="AL4455" s="42" t="n">
        <x:v>0</x:v>
      </x:c>
      <x:c r="AM4455" t="n">
        <x:f>CHOOSE('假设'!$B$3,AJ4455,AK4455,AL4455)</x:f>
        <x:v>0</x:v>
      </x:c>
      <x:c r="AN4455" t="n">
        <x:v>1</x:v>
      </x:c>
    </x:row>
    <x:row r="4456" ht="23" customHeight="1">
      <x:c r="A4456" s="11" t="str">
        <x:v>02162.HK</x:v>
      </x:c>
      <x:c r="B4456" s="11" t="str">
        <x:v>三年</x:v>
      </x:c>
      <x:c r="C4456" s="11" t="str">
        <x:v>CMG901_expansion</x:v>
      </x:c>
      <x:c r="D4456" s="11" t="str">
        <x:v>2038-12-31</x:v>
      </x:c>
      <x:c r="E4456" s="11" t="str">
        <x:v>USD</x:v>
      </x:c>
      <x:c r="F4456" s="11" t="n">
        <x:v>9.22655715263518</x:v>
      </x:c>
      <x:c r="G4456" s="26" t="b">
        <x:v>1</x:v>
      </x:c>
      <x:c r="H4456" s="16" t="n">
        <x:v>0.8</x:v>
      </x:c>
      <x:c r="I4456" s="16" t="n">
        <x:v>2.25</x:v>
      </x:c>
      <x:c r="J4456" s="16" t="n">
        <x:v>4</x:v>
      </x:c>
      <x:c r="K4456" s="11" t="n">
        <x:f>CHOOSE('假设'!$B$3,H4456,I4456,J4456)</x:f>
        <x:v>2.25</x:v>
      </x:c>
      <x:c r="L4456" s="11" t="n">
        <x:f>K4456*'管线假设'!E959*'管线假设'!F959*'管线假设'!G959*IF(E4456="USD",'管线假设'!I959,1)-AM4456</x:f>
        <x:v>0.37970099999999996</x:v>
      </x:c>
      <x:c r="M4456" s="11" t="n">
        <x:f>'管线假设'!H959</x:f>
        <x:v>0.14</x:v>
      </x:c>
      <x:c r="N4456" s="11" t="n">
        <x:f>IF(G4456,L4456*AN4456/(1+M4456)^F4456,0)</x:f>
        <x:v>0.11334591632648365</x:v>
      </x:c>
      <x:c r="AJ4456" s="42" t="n">
        <x:v>0</x:v>
      </x:c>
      <x:c r="AK4456" s="42" t="n">
        <x:v>0</x:v>
      </x:c>
      <x:c r="AL4456" s="42" t="n">
        <x:v>0</x:v>
      </x:c>
      <x:c r="AM4456" t="n">
        <x:f>CHOOSE('假设'!$B$3,AJ4456,AK4456,AL4456)</x:f>
        <x:v>0</x:v>
      </x:c>
      <x:c r="AN4456" t="n">
        <x:v>1</x:v>
      </x:c>
    </x:row>
    <x:row r="4457" ht="23" customHeight="1">
      <x:c r="A4457" s="11" t="str">
        <x:v>02162.HK</x:v>
      </x:c>
      <x:c r="B4457" s="11" t="str">
        <x:v>三年</x:v>
      </x:c>
      <x:c r="C4457" s="11" t="str">
        <x:v>CMG901_expansion</x:v>
      </x:c>
      <x:c r="D4457" s="11" t="str">
        <x:v>2039-12-31</x:v>
      </x:c>
      <x:c r="E4457" s="11" t="str">
        <x:v>USD</x:v>
      </x:c>
      <x:c r="F4457" s="11" t="n">
        <x:v>10.225872689938399</x:v>
      </x:c>
      <x:c r="G4457" s="26" t="b">
        <x:v>1</x:v>
      </x:c>
      <x:c r="H4457" s="16" t="n">
        <x:v>0.76</x:v>
      </x:c>
      <x:c r="I4457" s="16" t="n">
        <x:v>2</x:v>
      </x:c>
      <x:c r="J4457" s="16" t="n">
        <x:v>3.25</x:v>
      </x:c>
      <x:c r="K4457" s="11" t="n">
        <x:f>CHOOSE('假设'!$B$3,H4457,I4457,J4457)</x:f>
        <x:v>2</x:v>
      </x:c>
      <x:c r="L4457" s="11" t="n">
        <x:f>K4457*'管线假设'!E959*'管线假设'!F959*'管线假设'!G959*IF(E4457="USD",'管线假设'!I959,1)-AM4457</x:f>
        <x:v>0.3375119999999999</x:v>
      </x:c>
      <x:c r="M4457" s="11" t="n">
        <x:f>'管线假设'!H959</x:f>
        <x:v>0.14</x:v>
      </x:c>
      <x:c r="N4457" s="11" t="n">
        <x:f>IF(G4457,L4457*AN4457/(1+M4457)^F4457,0)</x:f>
        <x:v>0.0883868086492875</x:v>
      </x:c>
      <x:c r="AJ4457" s="42" t="n">
        <x:v>0</x:v>
      </x:c>
      <x:c r="AK4457" s="42" t="n">
        <x:v>0</x:v>
      </x:c>
      <x:c r="AL4457" s="42" t="n">
        <x:v>0</x:v>
      </x:c>
      <x:c r="AM4457" t="n">
        <x:f>CHOOSE('假设'!$B$3,AJ4457,AK4457,AL4457)</x:f>
        <x:v>0</x:v>
      </x:c>
      <x:c r="AN4457" t="n">
        <x:v>1</x:v>
      </x:c>
    </x:row>
    <x:row r="4458" ht="23" customHeight="1">
      <x:c r="A4458" s="11" t="str">
        <x:v>02162.HK</x:v>
      </x:c>
      <x:c r="B4458" s="11" t="str">
        <x:v>三年</x:v>
      </x:c>
      <x:c r="C4458" s="11" t="str">
        <x:v>CMG901_expansion</x:v>
      </x:c>
      <x:c r="D4458" s="11" t="str">
        <x:v>2040-12-31</x:v>
      </x:c>
      <x:c r="E4458" s="11" t="str">
        <x:v>USD</x:v>
      </x:c>
      <x:c r="F4458" s="11" t="n">
        <x:v>11.227926078028748</x:v>
      </x:c>
      <x:c r="G4458" s="26" t="b">
        <x:v>1</x:v>
      </x:c>
      <x:c r="H4458" s="16" t="n">
        <x:v>0.7200000000000001</x:v>
      </x:c>
      <x:c r="I4458" s="16" t="n">
        <x:v>1.625</x:v>
      </x:c>
      <x:c r="J4458" s="16" t="n">
        <x:v>2.5</x:v>
      </x:c>
      <x:c r="K4458" s="11" t="n">
        <x:f>CHOOSE('假设'!$B$3,H4458,I4458,J4458)</x:f>
        <x:v>1.625</x:v>
      </x:c>
      <x:c r="L4458" s="11" t="n">
        <x:f>K4458*'管线假设'!E959*'管线假设'!F959*'管线假设'!G959*IF(E4458="USD",'管线假设'!I959,1)-AM4458</x:f>
        <x:v>0.2742285</x:v>
      </x:c>
      <x:c r="M4458" s="11" t="n">
        <x:f>'管线假设'!H959</x:f>
        <x:v>0.14</x:v>
      </x:c>
      <x:c r="N4458" s="11" t="n">
        <x:f>IF(G4458,L4458*AN4458/(1+M4458)^F4458,0)</x:f>
        <x:v>0.06297803759602323</x:v>
      </x:c>
      <x:c r="AJ4458" s="42" t="n">
        <x:v>0</x:v>
      </x:c>
      <x:c r="AK4458" s="42" t="n">
        <x:v>0</x:v>
      </x:c>
      <x:c r="AL4458" s="42" t="n">
        <x:v>0</x:v>
      </x:c>
      <x:c r="AM4458" t="n">
        <x:f>CHOOSE('假设'!$B$3,AJ4458,AK4458,AL4458)</x:f>
        <x:v>0</x:v>
      </x:c>
      <x:c r="AN4458" t="n">
        <x:v>1</x:v>
      </x:c>
    </x:row>
    <x:row r="4459" ht="23" customHeight="1">
      <x:c r="A4459" s="11" t="str">
        <x:v>02162.HK</x:v>
      </x:c>
      <x:c r="B4459" s="11" t="str">
        <x:v>三年</x:v>
      </x:c>
      <x:c r="C4459" s="11" t="str">
        <x:v>CMG901_expansion</x:v>
      </x:c>
      <x:c r="D4459" s="11" t="str">
        <x:v>2041-12-31</x:v>
      </x:c>
      <x:c r="E4459" s="11" t="str">
        <x:v>USD</x:v>
      </x:c>
      <x:c r="F4459" s="11" t="n">
        <x:v>12.227241615331964</x:v>
      </x:c>
      <x:c r="G4459" s="26" t="b">
        <x:v>1</x:v>
      </x:c>
      <x:c r="H4459" s="16" t="n">
        <x:v>0.6400000000000001</x:v>
      </x:c>
      <x:c r="I4459" s="16" t="n">
        <x:v>1.25</x:v>
      </x:c>
      <x:c r="J4459" s="16" t="n">
        <x:v>1.75</x:v>
      </x:c>
      <x:c r="K4459" s="11" t="n">
        <x:f>CHOOSE('假设'!$B$3,H4459,I4459,J4459)</x:f>
        <x:v>1.25</x:v>
      </x:c>
      <x:c r="L4459" s="11" t="n">
        <x:f>K4459*'管线假设'!E959*'管线假设'!F959*'管线假设'!G959*IF(E4459="USD",'管线假设'!I959,1)-AM4459</x:f>
        <x:v>0.21094499999999994</x:v>
      </x:c>
      <x:c r="M4459" s="11" t="n">
        <x:f>'管线假设'!H959</x:f>
        <x:v>0.14</x:v>
      </x:c>
      <x:c r="N4459" s="11" t="n">
        <x:f>IF(G4459,L4459*AN4459/(1+M4459)^F4459,0)</x:f>
        <x:v>0.04249911333938756</x:v>
      </x:c>
      <x:c r="AJ4459" s="42" t="n">
        <x:v>0</x:v>
      </x:c>
      <x:c r="AK4459" s="42" t="n">
        <x:v>0</x:v>
      </x:c>
      <x:c r="AL4459" s="42" t="n">
        <x:v>0</x:v>
      </x:c>
      <x:c r="AM4459" t="n">
        <x:f>CHOOSE('假设'!$B$3,AJ4459,AK4459,AL4459)</x:f>
        <x:v>0</x:v>
      </x:c>
      <x:c r="AN4459" t="n">
        <x:v>1</x:v>
      </x:c>
    </x:row>
    <x:row r="4460" ht="23" customHeight="1">
      <x:c r="A4460" s="11" t="str">
        <x:v>02162.HK</x:v>
      </x:c>
      <x:c r="B4460" s="11" t="str">
        <x:v>三年</x:v>
      </x:c>
      <x:c r="C4460" s="11" t="str">
        <x:v>CMG901_expansion</x:v>
      </x:c>
      <x:c r="D4460" s="11" t="str">
        <x:v>2042-12-31</x:v>
      </x:c>
      <x:c r="E4460" s="11" t="str">
        <x:v>USD</x:v>
      </x:c>
      <x:c r="F4460" s="11" t="n">
        <x:v>13.22655715263518</x:v>
      </x:c>
      <x:c r="G4460" s="26" t="b">
        <x:v>1</x:v>
      </x:c>
      <x:c r="H4460" s="16" t="n">
        <x:v>0.52</x:v>
      </x:c>
      <x:c r="I4460" s="16" t="n">
        <x:v>0.875</x:v>
      </x:c>
      <x:c r="J4460" s="16" t="n">
        <x:v>1</x:v>
      </x:c>
      <x:c r="K4460" s="11" t="n">
        <x:f>CHOOSE('假设'!$B$3,H4460,I4460,J4460)</x:f>
        <x:v>0.875</x:v>
      </x:c>
      <x:c r="L4460" s="11" t="n">
        <x:f>K4460*'管线假设'!E959*'管线假设'!F959*'管线假设'!G959*IF(E4460="USD",'管线假设'!I959,1)-AM4460</x:f>
        <x:v>0.14766149999999995</x:v>
      </x:c>
      <x:c r="M4460" s="11" t="n">
        <x:f>'管线假设'!H959</x:f>
        <x:v>0.14</x:v>
      </x:c>
      <x:c r="N4460" s="11" t="n">
        <x:f>IF(G4460,L4460*AN4460/(1+M4460)^F4460,0)</x:f>
        <x:v>0.0260982872800855</x:v>
      </x:c>
      <x:c r="AJ4460" s="42" t="n">
        <x:v>0</x:v>
      </x:c>
      <x:c r="AK4460" s="42" t="n">
        <x:v>0</x:v>
      </x:c>
      <x:c r="AL4460" s="42" t="n">
        <x:v>0</x:v>
      </x:c>
      <x:c r="AM4460" t="n">
        <x:f>CHOOSE('假设'!$B$3,AJ4460,AK4460,AL4460)</x:f>
        <x:v>0</x:v>
      </x:c>
      <x:c r="AN4460" t="n">
        <x:v>1</x:v>
      </x:c>
    </x:row>
    <x:row r="4461" ht="23" customHeight="1">
      <x:c r="A4461" s="11" t="str">
        <x:v>02162.HK</x:v>
      </x:c>
      <x:c r="B4461" s="11" t="str">
        <x:v>三年</x:v>
      </x:c>
      <x:c r="C4461" s="11" t="str">
        <x:v>CMG901_expansion</x:v>
      </x:c>
      <x:c r="D4461" s="11" t="str">
        <x:v>2043-12-31</x:v>
      </x:c>
      <x:c r="E4461" s="11" t="str">
        <x:v>USD</x:v>
      </x:c>
      <x:c r="F4461" s="11" t="n">
        <x:v>14.225872689938399</x:v>
      </x:c>
      <x:c r="G4461" s="26" t="b">
        <x:v>1</x:v>
      </x:c>
      <x:c r="H4461" s="16" t="n">
        <x:v>0.4</x:v>
      </x:c>
      <x:c r="I4461" s="16" t="n">
        <x:v>0.5</x:v>
      </x:c>
      <x:c r="J4461" s="16" t="n">
        <x:v>0.6</x:v>
      </x:c>
      <x:c r="K4461" s="11" t="n">
        <x:f>CHOOSE('假设'!$B$3,H4461,I4461,J4461)</x:f>
        <x:v>0.5</x:v>
      </x:c>
      <x:c r="L4461" s="11" t="n">
        <x:f>K4461*'管线假设'!E959*'管线假设'!F959*'管线假设'!G959*IF(E4461="USD",'管线假设'!I959,1)-AM4461</x:f>
        <x:v>0.08437799999999998</x:v>
      </x:c>
      <x:c r="M4461" s="11" t="n">
        <x:f>'管线假设'!H959</x:f>
        <x:v>0.14</x:v>
      </x:c>
      <x:c r="N4461" s="11" t="n">
        <x:f>IF(G4461,L4461*AN4461/(1+M4461)^F4461,0)</x:f>
        <x:v>0.013083021545233999</x:v>
      </x:c>
      <x:c r="AJ4461" s="42" t="n">
        <x:v>0</x:v>
      </x:c>
      <x:c r="AK4461" s="42" t="n">
        <x:v>0</x:v>
      </x:c>
      <x:c r="AL4461" s="42" t="n">
        <x:v>0</x:v>
      </x:c>
      <x:c r="AM4461" t="n">
        <x:f>CHOOSE('假设'!$B$3,AJ4461,AK4461,AL4461)</x:f>
        <x:v>0</x:v>
      </x:c>
      <x:c r="AN4461" t="n">
        <x:v>1</x:v>
      </x:c>
    </x:row>
    <x:row r="4462" ht="23" customHeight="1">
      <x:c r="A4462" s="11" t="str">
        <x:v>02162.HK</x:v>
      </x:c>
      <x:c r="B4462" s="11" t="str">
        <x:v>三年</x:v>
      </x:c>
      <x:c r="C4462" s="11" t="str">
        <x:v>CMG901_expansion</x:v>
      </x:c>
      <x:c r="D4462" s="11" t="str">
        <x:v>2044-12-31</x:v>
      </x:c>
      <x:c r="E4462" s="11" t="str">
        <x:v>USD</x:v>
      </x:c>
      <x:c r="F4462" s="11" t="n">
        <x:v>15.227926078028748</x:v>
      </x:c>
      <x:c r="G4462" s="26" t="b">
        <x:v>1</x:v>
      </x:c>
      <x:c r="H4462" s="16" t="n">
        <x:v>0.27999999999999997</x:v>
      </x:c>
      <x:c r="I4462" s="16" t="n">
        <x:v>0.3</x:v>
      </x:c>
      <x:c r="J4462" s="16" t="n">
        <x:v>0.35000000000000003</x:v>
      </x:c>
      <x:c r="K4462" s="11" t="n">
        <x:f>CHOOSE('假设'!$B$3,H4462,I4462,J4462)</x:f>
        <x:v>0.3</x:v>
      </x:c>
      <x:c r="L4462" s="11" t="n">
        <x:f>K4462*'管线假设'!E959*'管线假设'!F959*'管线假设'!G959*IF(E4462="USD",'管线假设'!I959,1)-AM4462</x:f>
        <x:v>0.05062679999999998</x:v>
      </x:c>
      <x:c r="M4462" s="11" t="n">
        <x:f>'管线假设'!H959</x:f>
        <x:v>0.14</x:v>
      </x:c>
      <x:c r="N4462" s="11" t="n">
        <x:f>IF(G4462,L4462*AN4462/(1+M4462)^F4462,0)</x:f>
        <x:v>0.00688394842487698</x:v>
      </x:c>
      <x:c r="AJ4462" s="42" t="n">
        <x:v>0</x:v>
      </x:c>
      <x:c r="AK4462" s="42" t="n">
        <x:v>0</x:v>
      </x:c>
      <x:c r="AL4462" s="42" t="n">
        <x:v>0</x:v>
      </x:c>
      <x:c r="AM4462" t="n">
        <x:f>CHOOSE('假设'!$B$3,AJ4462,AK4462,AL4462)</x:f>
        <x:v>0</x:v>
      </x:c>
      <x:c r="AN4462" t="n">
        <x:v>1</x:v>
      </x:c>
    </x:row>
    <x:row r="4463" ht="23" customHeight="1">
      <x:c r="A4463" s="11" t="str">
        <x:v>02162.HK</x:v>
      </x:c>
      <x:c r="B4463" s="11" t="str">
        <x:v>三年</x:v>
      </x:c>
      <x:c r="C4463" s="11" t="str">
        <x:v>CM336_foreign</x:v>
      </x:c>
      <x:c r="D4463" s="11" t="str">
        <x:v>2026-12-31</x:v>
      </x:c>
      <x:c r="E4463" s="11" t="str">
        <x:v>USD</x:v>
      </x:c>
      <x:c r="F4463" s="11" t="n">
        <x:v>-2.7734428473648185</x:v>
      </x:c>
      <x:c r="G4463" s="26" t="b">
        <x:v>0</x:v>
      </x:c>
      <x:c r="H4463" s="16" t="n">
        <x:v>0</x:v>
      </x:c>
      <x:c r="I4463" s="16" t="n">
        <x:v>0</x:v>
      </x:c>
      <x:c r="J4463" s="16" t="n">
        <x:v>0</x:v>
      </x:c>
      <x:c r="K4463" s="11" t="n">
        <x:f>CHOOSE('假设'!$B$3,H4463,I4463,J4463)</x:f>
        <x:v>0</x:v>
      </x:c>
      <x:c r="L4463" s="11" t="n">
        <x:f>K4463*'管线假设'!E963*'管线假设'!F963*'管线假设'!G963*IF(E4463="USD",'管线假设'!I963,1)-AM4463</x:f>
        <x:v>-0.084</x:v>
      </x:c>
      <x:c r="M4463" s="11" t="n">
        <x:f>'管线假设'!H963</x:f>
        <x:v>0.14</x:v>
      </x:c>
      <x:c r="N4463" s="11" t="n">
        <x:f>IF(G4463,L4463*AN4463/(1+M4463)^F4463,0)</x:f>
        <x:v>0</x:v>
      </x:c>
      <x:c r="AJ4463" s="42" t="n">
        <x:v>0.035</x:v>
      </x:c>
      <x:c r="AK4463" s="42" t="n">
        <x:v>0.084</x:v>
      </x:c>
      <x:c r="AL4463" s="42" t="n">
        <x:v>0.14</x:v>
      </x:c>
      <x:c r="AM4463" t="n">
        <x:f>CHOOSE('假设'!$B$3,AJ4463,AK4463,AL4463)</x:f>
        <x:v>0.084</x:v>
      </x:c>
      <x:c r="AN4463" t="n">
        <x:v>0</x:v>
      </x:c>
    </x:row>
    <x:row r="4464" ht="23" customHeight="1">
      <x:c r="A4464" s="11" t="str">
        <x:v>02162.HK</x:v>
      </x:c>
      <x:c r="B4464" s="11" t="str">
        <x:v>三年</x:v>
      </x:c>
      <x:c r="C4464" s="11" t="str">
        <x:v>CM336_foreign</x:v>
      </x:c>
      <x:c r="D4464" s="11" t="str">
        <x:v>2027-12-31</x:v>
      </x:c>
      <x:c r="E4464" s="11" t="str">
        <x:v>USD</x:v>
      </x:c>
      <x:c r="F4464" s="11" t="n">
        <x:v>-1.7741273100616017</x:v>
      </x:c>
      <x:c r="G4464" s="26" t="b">
        <x:v>0</x:v>
      </x:c>
      <x:c r="H4464" s="16" t="n">
        <x:v>0</x:v>
      </x:c>
      <x:c r="I4464" s="16" t="n">
        <x:v>0</x:v>
      </x:c>
      <x:c r="J4464" s="16" t="n">
        <x:v>0</x:v>
      </x:c>
      <x:c r="K4464" s="11" t="n">
        <x:f>CHOOSE('假设'!$B$3,H4464,I4464,J4464)</x:f>
        <x:v>0</x:v>
      </x:c>
      <x:c r="L4464" s="11" t="n">
        <x:f>K4464*'管线假设'!E963*'管线假设'!F963*'管线假设'!G963*IF(E4464="USD",'管线假设'!I963,1)-AM4464</x:f>
        <x:v>-0.084</x:v>
      </x:c>
      <x:c r="M4464" s="11" t="n">
        <x:f>'管线假设'!H963</x:f>
        <x:v>0.14</x:v>
      </x:c>
      <x:c r="N4464" s="11" t="n">
        <x:f>IF(G4464,L4464*AN4464/(1+M4464)^F4464,0)</x:f>
        <x:v>0</x:v>
      </x:c>
      <x:c r="AJ4464" s="42" t="n">
        <x:v>0.035</x:v>
      </x:c>
      <x:c r="AK4464" s="42" t="n">
        <x:v>0.084</x:v>
      </x:c>
      <x:c r="AL4464" s="42" t="n">
        <x:v>0.14</x:v>
      </x:c>
      <x:c r="AM4464" t="n">
        <x:f>CHOOSE('假设'!$B$3,AJ4464,AK4464,AL4464)</x:f>
        <x:v>0.084</x:v>
      </x:c>
      <x:c r="AN4464" t="n">
        <x:v>0</x:v>
      </x:c>
    </x:row>
    <x:row r="4465" ht="23" customHeight="1">
      <x:c r="A4465" s="11" t="str">
        <x:v>02162.HK</x:v>
      </x:c>
      <x:c r="B4465" s="11" t="str">
        <x:v>三年</x:v>
      </x:c>
      <x:c r="C4465" s="11" t="str">
        <x:v>CM336_foreign</x:v>
      </x:c>
      <x:c r="D4465" s="11" t="str">
        <x:v>2028-12-31</x:v>
      </x:c>
      <x:c r="E4465" s="11" t="str">
        <x:v>USD</x:v>
      </x:c>
      <x:c r="F4465" s="11" t="n">
        <x:v>-0.7720739219712526</x:v>
      </x:c>
      <x:c r="G4465" s="26" t="b">
        <x:v>0</x:v>
      </x:c>
      <x:c r="H4465" s="16" t="n">
        <x:v>0</x:v>
      </x:c>
      <x:c r="I4465" s="16" t="n">
        <x:v>0</x:v>
      </x:c>
      <x:c r="J4465" s="16" t="n">
        <x:v>0</x:v>
      </x:c>
      <x:c r="K4465" s="11" t="n">
        <x:f>CHOOSE('假设'!$B$3,H4465,I4465,J4465)</x:f>
        <x:v>0</x:v>
      </x:c>
      <x:c r="L4465" s="11" t="n">
        <x:f>K4465*'管线假设'!E963*'管线假设'!F963*'管线假设'!G963*IF(E4465="USD",'管线假设'!I963,1)-AM4465</x:f>
        <x:v>0</x:v>
      </x:c>
      <x:c r="M4465" s="11" t="n">
        <x:f>'管线假设'!H963</x:f>
        <x:v>0.14</x:v>
      </x:c>
      <x:c r="N4465" s="11" t="n">
        <x:f>IF(G4465,L4465*AN4465/(1+M4465)^F4465,0)</x:f>
        <x:v>0</x:v>
      </x:c>
      <x:c r="AJ4465" s="42" t="n">
        <x:v>0</x:v>
      </x:c>
      <x:c r="AK4465" s="42" t="n">
        <x:v>0</x:v>
      </x:c>
      <x:c r="AL4465" s="42" t="n">
        <x:v>0</x:v>
      </x:c>
      <x:c r="AM4465" t="n">
        <x:f>CHOOSE('假设'!$B$3,AJ4465,AK4465,AL4465)</x:f>
        <x:v>0</x:v>
      </x:c>
      <x:c r="AN4465" t="n">
        <x:v>0</x:v>
      </x:c>
    </x:row>
    <x:row r="4466" ht="23" customHeight="1">
      <x:c r="A4466" s="11" t="str">
        <x:v>02162.HK</x:v>
      </x:c>
      <x:c r="B4466" s="11" t="str">
        <x:v>三年</x:v>
      </x:c>
      <x:c r="C4466" s="11" t="str">
        <x:v>CM336_foreign</x:v>
      </x:c>
      <x:c r="D4466" s="11" t="str">
        <x:v>2029-12-31</x:v>
      </x:c>
      <x:c r="E4466" s="11" t="str">
        <x:v>USD</x:v>
      </x:c>
      <x:c r="F4466" s="11" t="n">
        <x:v>0.2272416153319644</x:v>
      </x:c>
      <x:c r="G4466" s="26" t="b">
        <x:v>1</x:v>
      </x:c>
      <x:c r="H4466" s="16" t="n">
        <x:v>0</x:v>
      </x:c>
      <x:c r="I4466" s="16" t="n">
        <x:v>0</x:v>
      </x:c>
      <x:c r="J4466" s="16" t="n">
        <x:v>0.42</x:v>
      </x:c>
      <x:c r="K4466" s="11" t="n">
        <x:f>CHOOSE('假设'!$B$3,H4466,I4466,J4466)</x:f>
        <x:v>0</x:v>
      </x:c>
      <x:c r="L4466" s="11" t="n">
        <x:f>K4466*'管线假设'!E963*'管线假设'!F963*'管线假设'!G963*IF(E4466="USD",'管线假设'!I963,1)-AM4466</x:f>
        <x:v>0</x:v>
      </x:c>
      <x:c r="M4466" s="11" t="n">
        <x:f>'管线假设'!H963</x:f>
        <x:v>0.14</x:v>
      </x:c>
      <x:c r="N4466" s="11" t="n">
        <x:f>IF(G4466,L4466*AN4466/(1+M4466)^F4466,0)</x:f>
        <x:v>0</x:v>
      </x:c>
      <x:c r="AJ4466" s="42" t="n">
        <x:v>0</x:v>
      </x:c>
      <x:c r="AK4466" s="42" t="n">
        <x:v>0</x:v>
      </x:c>
      <x:c r="AL4466" s="42" t="n">
        <x:v>0</x:v>
      </x:c>
      <x:c r="AM4466" t="n">
        <x:f>CHOOSE('假设'!$B$3,AJ4466,AK4466,AL4466)</x:f>
        <x:v>0</x:v>
      </x:c>
      <x:c r="AN4466" t="n">
        <x:v>0.22802197802197802</x:v>
      </x:c>
    </x:row>
    <x:row r="4467" ht="23" customHeight="1">
      <x:c r="A4467" s="11" t="str">
        <x:v>02162.HK</x:v>
      </x:c>
      <x:c r="B4467" s="11" t="str">
        <x:v>三年</x:v>
      </x:c>
      <x:c r="C4467" s="11" t="str">
        <x:v>CM336_foreign</x:v>
      </x:c>
      <x:c r="D4467" s="11" t="str">
        <x:v>2030-12-31</x:v>
      </x:c>
      <x:c r="E4467" s="11" t="str">
        <x:v>USD</x:v>
      </x:c>
      <x:c r="F4467" s="11" t="n">
        <x:v>1.2265571526351813</x:v>
      </x:c>
      <x:c r="G4467" s="26" t="b">
        <x:v>1</x:v>
      </x:c>
      <x:c r="H4467" s="16" t="n">
        <x:v>0</x:v>
      </x:c>
      <x:c r="I4467" s="16" t="n">
        <x:v>0.24</x:v>
      </x:c>
      <x:c r="J4467" s="16" t="n">
        <x:v>1.26</x:v>
      </x:c>
      <x:c r="K4467" s="11" t="n">
        <x:f>CHOOSE('假设'!$B$3,H4467,I4467,J4467)</x:f>
        <x:v>0.24</x:v>
      </x:c>
      <x:c r="L4467" s="11" t="n">
        <x:f>K4467*'管线假设'!E963*'管线假设'!F963*'管线假设'!G963*IF(E4467="USD",'管线假设'!I963,1)-AM4467</x:f>
        <x:v>0.038346</x:v>
      </x:c>
      <x:c r="M4467" s="11" t="n">
        <x:f>'管线假设'!H963</x:f>
        <x:v>0.14</x:v>
      </x:c>
      <x:c r="N4467" s="11" t="n">
        <x:f>IF(G4467,L4467*AN4467/(1+M4467)^F4467,0)</x:f>
        <x:v>0.032652994525032016</x:v>
      </x:c>
      <x:c r="AJ4467" s="42" t="n">
        <x:v>0</x:v>
      </x:c>
      <x:c r="AK4467" s="42" t="n">
        <x:v>0</x:v>
      </x:c>
      <x:c r="AL4467" s="42" t="n">
        <x:v>0</x:v>
      </x:c>
      <x:c r="AM4467" t="n">
        <x:f>CHOOSE('假设'!$B$3,AJ4467,AK4467,AL4467)</x:f>
        <x:v>0</x:v>
      </x:c>
      <x:c r="AN4467" t="n">
        <x:v>1</x:v>
      </x:c>
    </x:row>
    <x:row r="4468" ht="23" customHeight="1">
      <x:c r="A4468" s="11" t="str">
        <x:v>02162.HK</x:v>
      </x:c>
      <x:c r="B4468" s="11" t="str">
        <x:v>三年</x:v>
      </x:c>
      <x:c r="C4468" s="11" t="str">
        <x:v>CM336_foreign</x:v>
      </x:c>
      <x:c r="D4468" s="11" t="str">
        <x:v>2031-12-31</x:v>
      </x:c>
      <x:c r="E4468" s="11" t="str">
        <x:v>USD</x:v>
      </x:c>
      <x:c r="F4468" s="11" t="n">
        <x:v>2.2258726899383983</x:v>
      </x:c>
      <x:c r="G4468" s="26" t="b">
        <x:v>1</x:v>
      </x:c>
      <x:c r="H4468" s="16" t="n">
        <x:v>0</x:v>
      </x:c>
      <x:c r="I4468" s="16" t="n">
        <x:v>0.72</x:v>
      </x:c>
      <x:c r="J4468" s="16" t="n">
        <x:v>2.66</x:v>
      </x:c>
      <x:c r="K4468" s="11" t="n">
        <x:f>CHOOSE('假设'!$B$3,H4468,I4468,J4468)</x:f>
        <x:v>0.72</x:v>
      </x:c>
      <x:c r="L4468" s="11" t="n">
        <x:f>K4468*'管线假设'!E963*'管线假设'!F963*'管线假设'!G963*IF(E4468="USD",'管线假设'!I963,1)-AM4468</x:f>
        <x:v>0.11503799999999997</x:v>
      </x:c>
      <x:c r="M4468" s="11" t="n">
        <x:f>'管线假设'!H963</x:f>
        <x:v>0.14</x:v>
      </x:c>
      <x:c r="N4468" s="11" t="n">
        <x:f>IF(G4468,L4468*AN4468/(1+M4468)^F4468,0)</x:f>
        <x:v>0.08593663975299419</x:v>
      </x:c>
      <x:c r="AJ4468" s="42" t="n">
        <x:v>0</x:v>
      </x:c>
      <x:c r="AK4468" s="42" t="n">
        <x:v>0</x:v>
      </x:c>
      <x:c r="AL4468" s="42" t="n">
        <x:v>0</x:v>
      </x:c>
      <x:c r="AM4468" t="n">
        <x:f>CHOOSE('假设'!$B$3,AJ4468,AK4468,AL4468)</x:f>
        <x:v>0</x:v>
      </x:c>
      <x:c r="AN4468" t="n">
        <x:v>1</x:v>
      </x:c>
    </x:row>
    <x:row r="4469" ht="23" customHeight="1">
      <x:c r="A4469" s="11" t="str">
        <x:v>02162.HK</x:v>
      </x:c>
      <x:c r="B4469" s="11" t="str">
        <x:v>三年</x:v>
      </x:c>
      <x:c r="C4469" s="11" t="str">
        <x:v>CM336_foreign</x:v>
      </x:c>
      <x:c r="D4469" s="11" t="str">
        <x:v>2032-12-31</x:v>
      </x:c>
      <x:c r="E4469" s="11" t="str">
        <x:v>USD</x:v>
      </x:c>
      <x:c r="F4469" s="11" t="n">
        <x:v>3.2279260780287475</x:v>
      </x:c>
      <x:c r="G4469" s="26" t="b">
        <x:v>1</x:v>
      </x:c>
      <x:c r="H4469" s="16" t="n">
        <x:v>0.09</x:v>
      </x:c>
      <x:c r="I4469" s="16" t="n">
        <x:v>1.52</x:v>
      </x:c>
      <x:c r="J4469" s="16" t="n">
        <x:v>4.55</x:v>
      </x:c>
      <x:c r="K4469" s="11" t="n">
        <x:f>CHOOSE('假设'!$B$3,H4469,I4469,J4469)</x:f>
        <x:v>1.52</x:v>
      </x:c>
      <x:c r="L4469" s="11" t="n">
        <x:f>K4469*'管线假设'!E963*'管线假设'!F963*'管线假设'!G963*IF(E4469="USD",'管线假设'!I963,1)-AM4469</x:f>
        <x:v>0.24285799999999996</x:v>
      </x:c>
      <x:c r="M4469" s="11" t="n">
        <x:f>'管线假设'!H963</x:f>
        <x:v>0.14</x:v>
      </x:c>
      <x:c r="N4469" s="11" t="n">
        <x:f>IF(G4469,L4469*AN4469/(1+M4469)^F4469,0)</x:f>
        <x:v>0.15909911379484293</x:v>
      </x:c>
      <x:c r="AJ4469" s="42" t="n">
        <x:v>0</x:v>
      </x:c>
      <x:c r="AK4469" s="42" t="n">
        <x:v>0</x:v>
      </x:c>
      <x:c r="AL4469" s="42" t="n">
        <x:v>0</x:v>
      </x:c>
      <x:c r="AM4469" t="n">
        <x:f>CHOOSE('假设'!$B$3,AJ4469,AK4469,AL4469)</x:f>
        <x:v>0</x:v>
      </x:c>
      <x:c r="AN4469" t="n">
        <x:v>1</x:v>
      </x:c>
    </x:row>
    <x:row r="4470" ht="23" customHeight="1">
      <x:c r="A4470" s="11" t="str">
        <x:v>02162.HK</x:v>
      </x:c>
      <x:c r="B4470" s="11" t="str">
        <x:v>三年</x:v>
      </x:c>
      <x:c r="C4470" s="11" t="str">
        <x:v>CM336_foreign</x:v>
      </x:c>
      <x:c r="D4470" s="11" t="str">
        <x:v>2033-12-31</x:v>
      </x:c>
      <x:c r="E4470" s="11" t="str">
        <x:v>USD</x:v>
      </x:c>
      <x:c r="F4470" s="11" t="n">
        <x:v>4.227241615331964</x:v>
      </x:c>
      <x:c r="G4470" s="26" t="b">
        <x:v>1</x:v>
      </x:c>
      <x:c r="H4470" s="16" t="n">
        <x:v>0.27</x:v>
      </x:c>
      <x:c r="I4470" s="16" t="n">
        <x:v>2.6</x:v>
      </x:c>
      <x:c r="J4470" s="16" t="n">
        <x:v>5.95</x:v>
      </x:c>
      <x:c r="K4470" s="11" t="n">
        <x:f>CHOOSE('假设'!$B$3,H4470,I4470,J4470)</x:f>
        <x:v>2.6</x:v>
      </x:c>
      <x:c r="L4470" s="11" t="n">
        <x:f>K4470*'管线假设'!E963*'管线假设'!F963*'管线假设'!G963*IF(E4470="USD",'管线假设'!I963,1)-AM4470</x:f>
        <x:v>0.415415</x:v>
      </x:c>
      <x:c r="M4470" s="11" t="n">
        <x:f>'管线假设'!H963</x:f>
        <x:v>0.14</x:v>
      </x:c>
      <x:c r="N4470" s="11" t="n">
        <x:f>IF(G4470,L4470*AN4470/(1+M4470)^F4470,0)</x:f>
        <x:v>0.23874353415833713</x:v>
      </x:c>
      <x:c r="AJ4470" s="42" t="n">
        <x:v>0</x:v>
      </x:c>
      <x:c r="AK4470" s="42" t="n">
        <x:v>0</x:v>
      </x:c>
      <x:c r="AL4470" s="42" t="n">
        <x:v>0</x:v>
      </x:c>
      <x:c r="AM4470" t="n">
        <x:f>CHOOSE('假设'!$B$3,AJ4470,AK4470,AL4470)</x:f>
        <x:v>0</x:v>
      </x:c>
      <x:c r="AN4470" t="n">
        <x:v>1</x:v>
      </x:c>
    </x:row>
    <x:row r="4471" ht="23" customHeight="1">
      <x:c r="A4471" s="11" t="str">
        <x:v>02162.HK</x:v>
      </x:c>
      <x:c r="B4471" s="11" t="str">
        <x:v>三年</x:v>
      </x:c>
      <x:c r="C4471" s="11" t="str">
        <x:v>CM336_foreign</x:v>
      </x:c>
      <x:c r="D4471" s="11" t="str">
        <x:v>2034-12-31</x:v>
      </x:c>
      <x:c r="E4471" s="11" t="str">
        <x:v>USD</x:v>
      </x:c>
      <x:c r="F4471" s="11" t="n">
        <x:v>5.2265571526351815</x:v>
      </x:c>
      <x:c r="G4471" s="26" t="b">
        <x:v>1</x:v>
      </x:c>
      <x:c r="H4471" s="16" t="n">
        <x:v>0.5700000000000001</x:v>
      </x:c>
      <x:c r="I4471" s="16" t="n">
        <x:v>3.4</x:v>
      </x:c>
      <x:c r="J4471" s="16" t="n">
        <x:v>7</x:v>
      </x:c>
      <x:c r="K4471" s="11" t="n">
        <x:f>CHOOSE('假设'!$B$3,H4471,I4471,J4471)</x:f>
        <x:v>3.4</x:v>
      </x:c>
      <x:c r="L4471" s="11" t="n">
        <x:f>K4471*'管线假设'!E963*'管线假设'!F963*'管线假设'!G963*IF(E4471="USD",'管线假设'!I963,1)-AM4471</x:f>
        <x:v>0.5432349999999999</x:v>
      </x:c>
      <x:c r="M4471" s="11" t="n">
        <x:f>'管线假设'!H963</x:f>
        <x:v>0.14</x:v>
      </x:c>
      <x:c r="N4471" s="11" t="n">
        <x:f>IF(G4471,L4471*AN4471/(1+M4471)^F4471,0)</x:f>
        <x:v>0.27388691578409996</x:v>
      </x:c>
      <x:c r="AJ4471" s="42" t="n">
        <x:v>0</x:v>
      </x:c>
      <x:c r="AK4471" s="42" t="n">
        <x:v>0</x:v>
      </x:c>
      <x:c r="AL4471" s="42" t="n">
        <x:v>0</x:v>
      </x:c>
      <x:c r="AM4471" t="n">
        <x:f>CHOOSE('假设'!$B$3,AJ4471,AK4471,AL4471)</x:f>
        <x:v>0</x:v>
      </x:c>
      <x:c r="AN4471" t="n">
        <x:v>1</x:v>
      </x:c>
    </x:row>
    <x:row r="4472" ht="23" customHeight="1">
      <x:c r="A4472" s="11" t="str">
        <x:v>02162.HK</x:v>
      </x:c>
      <x:c r="B4472" s="11" t="str">
        <x:v>三年</x:v>
      </x:c>
      <x:c r="C4472" s="11" t="str">
        <x:v>CM336_foreign</x:v>
      </x:c>
      <x:c r="D4472" s="11" t="str">
        <x:v>2035-12-31</x:v>
      </x:c>
      <x:c r="E4472" s="11" t="str">
        <x:v>USD</x:v>
      </x:c>
      <x:c r="F4472" s="11" t="n">
        <x:v>6.225872689938399</x:v>
      </x:c>
      <x:c r="G4472" s="26" t="b">
        <x:v>1</x:v>
      </x:c>
      <x:c r="H4472" s="16" t="n">
        <x:v>0.9750000000000001</x:v>
      </x:c>
      <x:c r="I4472" s="16" t="n">
        <x:v>4</x:v>
      </x:c>
      <x:c r="J4472" s="16" t="n">
        <x:v>7</x:v>
      </x:c>
      <x:c r="K4472" s="11" t="n">
        <x:f>CHOOSE('假设'!$B$3,H4472,I4472,J4472)</x:f>
        <x:v>4</x:v>
      </x:c>
      <x:c r="L4472" s="11" t="n">
        <x:f>K4472*'管线假设'!E963*'管线假设'!F963*'管线假设'!G963*IF(E4472="USD",'管线假设'!I963,1)-AM4472</x:f>
        <x:v>0.6391</x:v>
      </x:c>
      <x:c r="M4472" s="11" t="n">
        <x:f>'管线假设'!H963</x:f>
        <x:v>0.14</x:v>
      </x:c>
      <x:c r="N4472" s="11" t="n">
        <x:f>IF(G4472,L4472*AN4472/(1+M4472)^F4472,0)</x:f>
        <x:v>0.28267438611786033</x:v>
      </x:c>
      <x:c r="AJ4472" s="42" t="n">
        <x:v>0</x:v>
      </x:c>
      <x:c r="AK4472" s="42" t="n">
        <x:v>0</x:v>
      </x:c>
      <x:c r="AL4472" s="42" t="n">
        <x:v>0</x:v>
      </x:c>
      <x:c r="AM4472" t="n">
        <x:f>CHOOSE('假设'!$B$3,AJ4472,AK4472,AL4472)</x:f>
        <x:v>0</x:v>
      </x:c>
      <x:c r="AN4472" t="n">
        <x:v>1</x:v>
      </x:c>
    </x:row>
    <x:row r="4473" ht="23" customHeight="1">
      <x:c r="A4473" s="11" t="str">
        <x:v>02162.HK</x:v>
      </x:c>
      <x:c r="B4473" s="11" t="str">
        <x:v>三年</x:v>
      </x:c>
      <x:c r="C4473" s="11" t="str">
        <x:v>CM336_foreign</x:v>
      </x:c>
      <x:c r="D4473" s="11" t="str">
        <x:v>2036-12-31</x:v>
      </x:c>
      <x:c r="E4473" s="11" t="str">
        <x:v>USD</x:v>
      </x:c>
      <x:c r="F4473" s="11" t="n">
        <x:v>7.227926078028747</x:v>
      </x:c>
      <x:c r="G4473" s="26" t="b">
        <x:v>1</x:v>
      </x:c>
      <x:c r="H4473" s="16" t="n">
        <x:v>1.275</x:v>
      </x:c>
      <x:c r="I4473" s="16" t="n">
        <x:v>4</x:v>
      </x:c>
      <x:c r="J4473" s="16" t="n">
        <x:v>6.6499999999999995</x:v>
      </x:c>
      <x:c r="K4473" s="11" t="n">
        <x:f>CHOOSE('假设'!$B$3,H4473,I4473,J4473)</x:f>
        <x:v>4</x:v>
      </x:c>
      <x:c r="L4473" s="11" t="n">
        <x:f>K4473*'管线假设'!E963*'管线假设'!F963*'管线假设'!G963*IF(E4473="USD",'管线假设'!I963,1)-AM4473</x:f>
        <x:v>0.6391</x:v>
      </x:c>
      <x:c r="M4473" s="11" t="n">
        <x:f>'管线假设'!H963</x:f>
        <x:v>0.14</x:v>
      </x:c>
      <x:c r="N4473" s="11" t="n">
        <x:f>IF(G4473,L4473*AN4473/(1+M4473)^F4473,0)</x:f>
        <x:v>0.24789328269737357</x:v>
      </x:c>
      <x:c r="AJ4473" s="42" t="n">
        <x:v>0</x:v>
      </x:c>
      <x:c r="AK4473" s="42" t="n">
        <x:v>0</x:v>
      </x:c>
      <x:c r="AL4473" s="42" t="n">
        <x:v>0</x:v>
      </x:c>
      <x:c r="AM4473" t="n">
        <x:f>CHOOSE('假设'!$B$3,AJ4473,AK4473,AL4473)</x:f>
        <x:v>0</x:v>
      </x:c>
      <x:c r="AN4473" t="n">
        <x:v>1</x:v>
      </x:c>
    </x:row>
    <x:row r="4474" ht="23" customHeight="1">
      <x:c r="A4474" s="11" t="str">
        <x:v>02162.HK</x:v>
      </x:c>
      <x:c r="B4474" s="11" t="str">
        <x:v>三年</x:v>
      </x:c>
      <x:c r="C4474" s="11" t="str">
        <x:v>CM336_foreign</x:v>
      </x:c>
      <x:c r="D4474" s="11" t="str">
        <x:v>2037-12-31</x:v>
      </x:c>
      <x:c r="E4474" s="11" t="str">
        <x:v>USD</x:v>
      </x:c>
      <x:c r="F4474" s="11" t="n">
        <x:v>8.227241615331964</x:v>
      </x:c>
      <x:c r="G4474" s="26" t="b">
        <x:v>1</x:v>
      </x:c>
      <x:c r="H4474" s="16" t="n">
        <x:v>1.5</x:v>
      </x:c>
      <x:c r="I4474" s="16" t="n">
        <x:v>3.8</x:v>
      </x:c>
      <x:c r="J4474" s="16" t="n">
        <x:v>6.3</x:v>
      </x:c>
      <x:c r="K4474" s="11" t="n">
        <x:f>CHOOSE('假设'!$B$3,H4474,I4474,J4474)</x:f>
        <x:v>3.8</x:v>
      </x:c>
      <x:c r="L4474" s="11" t="n">
        <x:f>K4474*'管线假设'!E963*'管线假设'!F963*'管线假设'!G963*IF(E4474="USD",'管线假设'!I963,1)-AM4474</x:f>
        <x:v>0.6071449999999999</x:v>
      </x:c>
      <x:c r="M4474" s="11" t="n">
        <x:f>'管线假设'!H963</x:f>
        <x:v>0.14</x:v>
      </x:c>
      <x:c r="N4474" s="11" t="n">
        <x:f>IF(G4474,L4474*AN4474/(1+M4474)^F4474,0)</x:f>
        <x:v>0.20659626312087256</x:v>
      </x:c>
      <x:c r="AJ4474" s="42" t="n">
        <x:v>0</x:v>
      </x:c>
      <x:c r="AK4474" s="42" t="n">
        <x:v>0</x:v>
      </x:c>
      <x:c r="AL4474" s="42" t="n">
        <x:v>0</x:v>
      </x:c>
      <x:c r="AM4474" t="n">
        <x:f>CHOOSE('假设'!$B$3,AJ4474,AK4474,AL4474)</x:f>
        <x:v>0</x:v>
      </x:c>
      <x:c r="AN4474" t="n">
        <x:v>1</x:v>
      </x:c>
    </x:row>
    <x:row r="4475" ht="23" customHeight="1">
      <x:c r="A4475" s="11" t="str">
        <x:v>02162.HK</x:v>
      </x:c>
      <x:c r="B4475" s="11" t="str">
        <x:v>三年</x:v>
      </x:c>
      <x:c r="C4475" s="11" t="str">
        <x:v>CM336_foreign</x:v>
      </x:c>
      <x:c r="D4475" s="11" t="str">
        <x:v>2038-12-31</x:v>
      </x:c>
      <x:c r="E4475" s="11" t="str">
        <x:v>USD</x:v>
      </x:c>
      <x:c r="F4475" s="11" t="n">
        <x:v>9.22655715263518</x:v>
      </x:c>
      <x:c r="G4475" s="26" t="b">
        <x:v>1</x:v>
      </x:c>
      <x:c r="H4475" s="16" t="n">
        <x:v>1.5</x:v>
      </x:c>
      <x:c r="I4475" s="16" t="n">
        <x:v>3.6</x:v>
      </x:c>
      <x:c r="J4475" s="16" t="n">
        <x:v>5.6000000000000005</x:v>
      </x:c>
      <x:c r="K4475" s="11" t="n">
        <x:f>CHOOSE('假设'!$B$3,H4475,I4475,J4475)</x:f>
        <x:v>3.6</x:v>
      </x:c>
      <x:c r="L4475" s="11" t="n">
        <x:f>K4475*'管线假设'!E963*'管线假设'!F963*'管线假设'!G963*IF(E4475="USD",'管线假设'!I963,1)-AM4475</x:f>
        <x:v>0.57519</x:v>
      </x:c>
      <x:c r="M4475" s="11" t="n">
        <x:f>'管线假设'!H963</x:f>
        <x:v>0.14</x:v>
      </x:c>
      <x:c r="N4475" s="11" t="n">
        <x:f>IF(G4475,L4475*AN4475/(1+M4475)^F4475,0)</x:f>
        <x:v>0.17170204348113421</x:v>
      </x:c>
      <x:c r="AJ4475" s="42" t="n">
        <x:v>0</x:v>
      </x:c>
      <x:c r="AK4475" s="42" t="n">
        <x:v>0</x:v>
      </x:c>
      <x:c r="AL4475" s="42" t="n">
        <x:v>0</x:v>
      </x:c>
      <x:c r="AM4475" t="n">
        <x:f>CHOOSE('假设'!$B$3,AJ4475,AK4475,AL4475)</x:f>
        <x:v>0</x:v>
      </x:c>
      <x:c r="AN4475" t="n">
        <x:v>1</x:v>
      </x:c>
    </x:row>
    <x:row r="4476" ht="23" customHeight="1">
      <x:c r="A4476" s="11" t="str">
        <x:v>02162.HK</x:v>
      </x:c>
      <x:c r="B4476" s="11" t="str">
        <x:v>三年</x:v>
      </x:c>
      <x:c r="C4476" s="11" t="str">
        <x:v>CM336_foreign</x:v>
      </x:c>
      <x:c r="D4476" s="11" t="str">
        <x:v>2039-12-31</x:v>
      </x:c>
      <x:c r="E4476" s="11" t="str">
        <x:v>USD</x:v>
      </x:c>
      <x:c r="F4476" s="11" t="n">
        <x:v>10.225872689938399</x:v>
      </x:c>
      <x:c r="G4476" s="26" t="b">
        <x:v>1</x:v>
      </x:c>
      <x:c r="H4476" s="16" t="n">
        <x:v>1.4249999999999998</x:v>
      </x:c>
      <x:c r="I4476" s="16" t="n">
        <x:v>3.2</x:v>
      </x:c>
      <x:c r="J4476" s="16" t="n">
        <x:v>4.55</x:v>
      </x:c>
      <x:c r="K4476" s="11" t="n">
        <x:f>CHOOSE('假设'!$B$3,H4476,I4476,J4476)</x:f>
        <x:v>3.2</x:v>
      </x:c>
      <x:c r="L4476" s="11" t="n">
        <x:f>K4476*'管线假设'!E963*'管线假设'!F963*'管线假设'!G963*IF(E4476="USD",'管线假设'!I963,1)-AM4476</x:f>
        <x:v>0.51128</x:v>
      </x:c>
      <x:c r="M4476" s="11" t="n">
        <x:f>'管线假设'!H963</x:f>
        <x:v>0.14</x:v>
      </x:c>
      <x:c r="N4476" s="11" t="n">
        <x:f>IF(G4476,L4476*AN4476/(1+M4476)^F4476,0)</x:f>
        <x:v>0.13389274315048863</x:v>
      </x:c>
      <x:c r="AJ4476" s="42" t="n">
        <x:v>0</x:v>
      </x:c>
      <x:c r="AK4476" s="42" t="n">
        <x:v>0</x:v>
      </x:c>
      <x:c r="AL4476" s="42" t="n">
        <x:v>0</x:v>
      </x:c>
      <x:c r="AM4476" t="n">
        <x:f>CHOOSE('假设'!$B$3,AJ4476,AK4476,AL4476)</x:f>
        <x:v>0</x:v>
      </x:c>
      <x:c r="AN4476" t="n">
        <x:v>1</x:v>
      </x:c>
    </x:row>
    <x:row r="4477" ht="23" customHeight="1">
      <x:c r="A4477" s="11" t="str">
        <x:v>02162.HK</x:v>
      </x:c>
      <x:c r="B4477" s="11" t="str">
        <x:v>三年</x:v>
      </x:c>
      <x:c r="C4477" s="11" t="str">
        <x:v>CM336_foreign</x:v>
      </x:c>
      <x:c r="D4477" s="11" t="str">
        <x:v>2040-12-31</x:v>
      </x:c>
      <x:c r="E4477" s="11" t="str">
        <x:v>USD</x:v>
      </x:c>
      <x:c r="F4477" s="11" t="n">
        <x:v>11.227926078028748</x:v>
      </x:c>
      <x:c r="G4477" s="26" t="b">
        <x:v>1</x:v>
      </x:c>
      <x:c r="H4477" s="16" t="n">
        <x:v>1.35</x:v>
      </x:c>
      <x:c r="I4477" s="16" t="n">
        <x:v>2.6</x:v>
      </x:c>
      <x:c r="J4477" s="16" t="n">
        <x:v>3.5</x:v>
      </x:c>
      <x:c r="K4477" s="11" t="n">
        <x:f>CHOOSE('假设'!$B$3,H4477,I4477,J4477)</x:f>
        <x:v>2.6</x:v>
      </x:c>
      <x:c r="L4477" s="11" t="n">
        <x:f>K4477*'管线假设'!E963*'管线假设'!F963*'管线假设'!G963*IF(E4477="USD",'管线假设'!I963,1)-AM4477</x:f>
        <x:v>0.415415</x:v>
      </x:c>
      <x:c r="M4477" s="11" t="n">
        <x:f>'管线假设'!H963</x:f>
        <x:v>0.14</x:v>
      </x:c>
      <x:c r="N4477" s="11" t="n">
        <x:f>IF(G4477,L4477*AN4477/(1+M4477)^F4477,0)</x:f>
        <x:v>0.095402270325484</x:v>
      </x:c>
      <x:c r="AJ4477" s="42" t="n">
        <x:v>0</x:v>
      </x:c>
      <x:c r="AK4477" s="42" t="n">
        <x:v>0</x:v>
      </x:c>
      <x:c r="AL4477" s="42" t="n">
        <x:v>0</x:v>
      </x:c>
      <x:c r="AM4477" t="n">
        <x:f>CHOOSE('假设'!$B$3,AJ4477,AK4477,AL4477)</x:f>
        <x:v>0</x:v>
      </x:c>
      <x:c r="AN4477" t="n">
        <x:v>1</x:v>
      </x:c>
    </x:row>
    <x:row r="4478" ht="23" customHeight="1">
      <x:c r="A4478" s="11" t="str">
        <x:v>02162.HK</x:v>
      </x:c>
      <x:c r="B4478" s="11" t="str">
        <x:v>三年</x:v>
      </x:c>
      <x:c r="C4478" s="11" t="str">
        <x:v>CM336_foreign</x:v>
      </x:c>
      <x:c r="D4478" s="11" t="str">
        <x:v>2041-12-31</x:v>
      </x:c>
      <x:c r="E4478" s="11" t="str">
        <x:v>USD</x:v>
      </x:c>
      <x:c r="F4478" s="11" t="n">
        <x:v>12.227241615331964</x:v>
      </x:c>
      <x:c r="G4478" s="26" t="b">
        <x:v>1</x:v>
      </x:c>
      <x:c r="H4478" s="16" t="n">
        <x:v>1.2000000000000002</x:v>
      </x:c>
      <x:c r="I4478" s="16" t="n">
        <x:v>2</x:v>
      </x:c>
      <x:c r="J4478" s="16" t="n">
        <x:v>2.4499999999999997</x:v>
      </x:c>
      <x:c r="K4478" s="11" t="n">
        <x:f>CHOOSE('假设'!$B$3,H4478,I4478,J4478)</x:f>
        <x:v>2</x:v>
      </x:c>
      <x:c r="L4478" s="11" t="n">
        <x:f>K4478*'管线假设'!E963*'管线假设'!F963*'管线假设'!G963*IF(E4478="USD",'管线假设'!I963,1)-AM4478</x:f>
        <x:v>0.31955</x:v>
      </x:c>
      <x:c r="M4478" s="11" t="n">
        <x:f>'管线假设'!H963</x:f>
        <x:v>0.14</x:v>
      </x:c>
      <x:c r="N4478" s="11" t="n">
        <x:f>IF(G4478,L4478*AN4478/(1+M4478)^F4478,0)</x:f>
        <x:v>0.06437977514328995</x:v>
      </x:c>
      <x:c r="AJ4478" s="42" t="n">
        <x:v>0</x:v>
      </x:c>
      <x:c r="AK4478" s="42" t="n">
        <x:v>0</x:v>
      </x:c>
      <x:c r="AL4478" s="42" t="n">
        <x:v>0</x:v>
      </x:c>
      <x:c r="AM4478" t="n">
        <x:f>CHOOSE('假设'!$B$3,AJ4478,AK4478,AL4478)</x:f>
        <x:v>0</x:v>
      </x:c>
      <x:c r="AN4478" t="n">
        <x:v>1</x:v>
      </x:c>
    </x:row>
    <x:row r="4479" ht="23" customHeight="1">
      <x:c r="A4479" s="11" t="str">
        <x:v>02162.HK</x:v>
      </x:c>
      <x:c r="B4479" s="11" t="str">
        <x:v>三年</x:v>
      </x:c>
      <x:c r="C4479" s="11" t="str">
        <x:v>CM336_foreign</x:v>
      </x:c>
      <x:c r="D4479" s="11" t="str">
        <x:v>2042-12-31</x:v>
      </x:c>
      <x:c r="E4479" s="11" t="str">
        <x:v>USD</x:v>
      </x:c>
      <x:c r="F4479" s="11" t="n">
        <x:v>13.22655715263518</x:v>
      </x:c>
      <x:c r="G4479" s="26" t="b">
        <x:v>1</x:v>
      </x:c>
      <x:c r="H4479" s="16" t="n">
        <x:v>0.9750000000000001</x:v>
      </x:c>
      <x:c r="I4479" s="16" t="n">
        <x:v>1.4</x:v>
      </x:c>
      <x:c r="J4479" s="16" t="n">
        <x:v>1.4000000000000001</x:v>
      </x:c>
      <x:c r="K4479" s="11" t="n">
        <x:f>CHOOSE('假设'!$B$3,H4479,I4479,J4479)</x:f>
        <x:v>1.4</x:v>
      </x:c>
      <x:c r="L4479" s="11" t="n">
        <x:f>K4479*'管线假设'!E963*'管线假设'!F963*'管线假设'!G963*IF(E4479="USD",'管线假设'!I963,1)-AM4479</x:f>
        <x:v>0.22368499999999997</x:v>
      </x:c>
      <x:c r="M4479" s="11" t="n">
        <x:f>'管线假设'!H963</x:f>
        <x:v>0.14</x:v>
      </x:c>
      <x:c r="N4479" s="11" t="n">
        <x:f>IF(G4479,L4479*AN4479/(1+M4479)^F4479,0)</x:f>
        <x:v>0.03953498637252044</x:v>
      </x:c>
      <x:c r="AJ4479" s="42" t="n">
        <x:v>0</x:v>
      </x:c>
      <x:c r="AK4479" s="42" t="n">
        <x:v>0</x:v>
      </x:c>
      <x:c r="AL4479" s="42" t="n">
        <x:v>0</x:v>
      </x:c>
      <x:c r="AM4479" t="n">
        <x:f>CHOOSE('假设'!$B$3,AJ4479,AK4479,AL4479)</x:f>
        <x:v>0</x:v>
      </x:c>
      <x:c r="AN4479" t="n">
        <x:v>1</x:v>
      </x:c>
    </x:row>
    <x:row r="4480" ht="23" customHeight="1">
      <x:c r="A4480" s="11" t="str">
        <x:v>02162.HK</x:v>
      </x:c>
      <x:c r="B4480" s="11" t="str">
        <x:v>三年</x:v>
      </x:c>
      <x:c r="C4480" s="11" t="str">
        <x:v>CM336_foreign</x:v>
      </x:c>
      <x:c r="D4480" s="11" t="str">
        <x:v>2043-12-31</x:v>
      </x:c>
      <x:c r="E4480" s="11" t="str">
        <x:v>USD</x:v>
      </x:c>
      <x:c r="F4480" s="11" t="n">
        <x:v>14.225872689938399</x:v>
      </x:c>
      <x:c r="G4480" s="26" t="b">
        <x:v>1</x:v>
      </x:c>
      <x:c r="H4480" s="16" t="n">
        <x:v>0.75</x:v>
      </x:c>
      <x:c r="I4480" s="16" t="n">
        <x:v>0.8</x:v>
      </x:c>
      <x:c r="J4480" s="16" t="n">
        <x:v>0.84</x:v>
      </x:c>
      <x:c r="K4480" s="11" t="n">
        <x:f>CHOOSE('假设'!$B$3,H4480,I4480,J4480)</x:f>
        <x:v>0.8</x:v>
      </x:c>
      <x:c r="L4480" s="11" t="n">
        <x:f>K4480*'管线假设'!E963*'管线假设'!F963*'管线假设'!G963*IF(E4480="USD",'管线假设'!I963,1)-AM4480</x:f>
        <x:v>0.12782</x:v>
      </x:c>
      <x:c r="M4480" s="11" t="n">
        <x:f>'管线假设'!H963</x:f>
        <x:v>0.14</x:v>
      </x:c>
      <x:c r="N4480" s="11" t="n">
        <x:f>IF(G4480,L4480*AN4480/(1+M4480)^F4480,0)</x:f>
        <x:v>0.01981881312559921</x:v>
      </x:c>
      <x:c r="AJ4480" s="42" t="n">
        <x:v>0</x:v>
      </x:c>
      <x:c r="AK4480" s="42" t="n">
        <x:v>0</x:v>
      </x:c>
      <x:c r="AL4480" s="42" t="n">
        <x:v>0</x:v>
      </x:c>
      <x:c r="AM4480" t="n">
        <x:f>CHOOSE('假设'!$B$3,AJ4480,AK4480,AL4480)</x:f>
        <x:v>0</x:v>
      </x:c>
      <x:c r="AN4480" t="n">
        <x:v>1</x:v>
      </x:c>
    </x:row>
    <x:row r="4481" ht="23" customHeight="1">
      <x:c r="A4481" s="11" t="str">
        <x:v>02162.HK</x:v>
      </x:c>
      <x:c r="B4481" s="11" t="str">
        <x:v>三年</x:v>
      </x:c>
      <x:c r="C4481" s="11" t="str">
        <x:v>CM336_foreign</x:v>
      </x:c>
      <x:c r="D4481" s="11" t="str">
        <x:v>2044-12-31</x:v>
      </x:c>
      <x:c r="E4481" s="11" t="str">
        <x:v>USD</x:v>
      </x:c>
      <x:c r="F4481" s="11" t="n">
        <x:v>15.227926078028748</x:v>
      </x:c>
      <x:c r="G4481" s="26" t="b">
        <x:v>1</x:v>
      </x:c>
      <x:c r="H4481" s="16" t="n">
        <x:v>0.5249999999999999</x:v>
      </x:c>
      <x:c r="I4481" s="16" t="n">
        <x:v>0.48</x:v>
      </x:c>
      <x:c r="J4481" s="16" t="n">
        <x:v>0.49000000000000005</x:v>
      </x:c>
      <x:c r="K4481" s="11" t="n">
        <x:f>CHOOSE('假设'!$B$3,H4481,I4481,J4481)</x:f>
        <x:v>0.48</x:v>
      </x:c>
      <x:c r="L4481" s="11" t="n">
        <x:f>K4481*'管线假设'!E963*'管线假设'!F963*'管线假设'!G963*IF(E4481="USD",'管线假设'!I963,1)-AM4481</x:f>
        <x:v>0.076692</x:v>
      </x:c>
      <x:c r="M4481" s="11" t="n">
        <x:f>'管线假设'!H963</x:f>
        <x:v>0.14</x:v>
      </x:c>
      <x:c r="N4481" s="11" t="n">
        <x:f>IF(G4481,L4481*AN4481/(1+M4481)^F4481,0)</x:f>
        <x:v>0.010428148186349238</x:v>
      </x:c>
      <x:c r="AJ4481" s="42" t="n">
        <x:v>0</x:v>
      </x:c>
      <x:c r="AK4481" s="42" t="n">
        <x:v>0</x:v>
      </x:c>
      <x:c r="AL4481" s="42" t="n">
        <x:v>0</x:v>
      </x:c>
      <x:c r="AM4481" t="n">
        <x:f>CHOOSE('假设'!$B$3,AJ4481,AK4481,AL4481)</x:f>
        <x:v>0</x:v>
      </x:c>
      <x:c r="AN4481" t="n">
        <x:v>1</x:v>
      </x:c>
    </x:row>
    <x:row r="4482" ht="23" customHeight="1">
      <x:c r="A4482" s="11" t="str">
        <x:v>02162.HK</x:v>
      </x:c>
      <x:c r="B4482" s="11" t="str">
        <x:v>三年</x:v>
      </x:c>
      <x:c r="C4482" s="11" t="str">
        <x:v>CM336_domestic</x:v>
      </x:c>
      <x:c r="D4482" s="11" t="str">
        <x:v>2026-12-31</x:v>
      </x:c>
      <x:c r="E4482" s="11" t="str">
        <x:v>CNY</x:v>
      </x:c>
      <x:c r="F4482" s="11" t="n">
        <x:v>-2.7734428473648185</x:v>
      </x:c>
      <x:c r="G4482" s="26" t="b">
        <x:v>0</x:v>
      </x:c>
      <x:c r="H4482" s="16" t="n">
        <x:v>0</x:v>
      </x:c>
      <x:c r="I4482" s="16" t="n">
        <x:v>0</x:v>
      </x:c>
      <x:c r="J4482" s="16" t="n">
        <x:v>0</x:v>
      </x:c>
      <x:c r="K4482" s="11" t="n">
        <x:f>CHOOSE('假设'!$B$3,H4482,I4482,J4482)</x:f>
        <x:v>0</x:v>
      </x:c>
      <x:c r="L4482" s="11" t="n">
        <x:f>K4482*'管线假设'!E967*'管线假设'!F967*'管线假设'!G967*IF(E4482="USD",'管线假设'!I967,1)-AM4482</x:f>
        <x:v>-0.12</x:v>
      </x:c>
      <x:c r="M4482" s="11" t="n">
        <x:f>'管线假设'!H967</x:f>
        <x:v>0.14</x:v>
      </x:c>
      <x:c r="N4482" s="11" t="n">
        <x:f>IF(G4482,L4482*AN4482/(1+M4482)^F4482,0)</x:f>
        <x:v>0</x:v>
      </x:c>
      <x:c r="AJ4482" s="42" t="n">
        <x:v>0.08</x:v>
      </x:c>
      <x:c r="AK4482" s="42" t="n">
        <x:v>0.12</x:v>
      </x:c>
      <x:c r="AL4482" s="42" t="n">
        <x:v>0.18</x:v>
      </x:c>
      <x:c r="AM4482" t="n">
        <x:f>CHOOSE('假设'!$B$3,AJ4482,AK4482,AL4482)</x:f>
        <x:v>0.12</x:v>
      </x:c>
      <x:c r="AN4482" t="n">
        <x:v>0</x:v>
      </x:c>
    </x:row>
    <x:row r="4483" ht="23" customHeight="1">
      <x:c r="A4483" s="11" t="str">
        <x:v>02162.HK</x:v>
      </x:c>
      <x:c r="B4483" s="11" t="str">
        <x:v>三年</x:v>
      </x:c>
      <x:c r="C4483" s="11" t="str">
        <x:v>CM336_domestic</x:v>
      </x:c>
      <x:c r="D4483" s="11" t="str">
        <x:v>2027-12-31</x:v>
      </x:c>
      <x:c r="E4483" s="11" t="str">
        <x:v>CNY</x:v>
      </x:c>
      <x:c r="F4483" s="11" t="n">
        <x:v>-1.7741273100616017</x:v>
      </x:c>
      <x:c r="G4483" s="26" t="b">
        <x:v>0</x:v>
      </x:c>
      <x:c r="H4483" s="16" t="n">
        <x:v>0</x:v>
      </x:c>
      <x:c r="I4483" s="16" t="n">
        <x:v>0</x:v>
      </x:c>
      <x:c r="J4483" s="16" t="n">
        <x:v>0</x:v>
      </x:c>
      <x:c r="K4483" s="11" t="n">
        <x:f>CHOOSE('假设'!$B$3,H4483,I4483,J4483)</x:f>
        <x:v>0</x:v>
      </x:c>
      <x:c r="L4483" s="11" t="n">
        <x:f>K4483*'管线假设'!E967*'管线假设'!F967*'管线假设'!G967*IF(E4483="USD",'管线假设'!I967,1)-AM4483</x:f>
        <x:v>-0.15</x:v>
      </x:c>
      <x:c r="M4483" s="11" t="n">
        <x:f>'管线假设'!H967</x:f>
        <x:v>0.14</x:v>
      </x:c>
      <x:c r="N4483" s="11" t="n">
        <x:f>IF(G4483,L4483*AN4483/(1+M4483)^F4483,0)</x:f>
        <x:v>0</x:v>
      </x:c>
      <x:c r="AJ4483" s="42" t="n">
        <x:v>0.08</x:v>
      </x:c>
      <x:c r="AK4483" s="42" t="n">
        <x:v>0.15</x:v>
      </x:c>
      <x:c r="AL4483" s="42" t="n">
        <x:v>0.22</x:v>
      </x:c>
      <x:c r="AM4483" t="n">
        <x:f>CHOOSE('假设'!$B$3,AJ4483,AK4483,AL4483)</x:f>
        <x:v>0.15</x:v>
      </x:c>
      <x:c r="AN4483" t="n">
        <x:v>0</x:v>
      </x:c>
    </x:row>
    <x:row r="4484" ht="23" customHeight="1">
      <x:c r="A4484" s="11" t="str">
        <x:v>02162.HK</x:v>
      </x:c>
      <x:c r="B4484" s="11" t="str">
        <x:v>三年</x:v>
      </x:c>
      <x:c r="C4484" s="11" t="str">
        <x:v>CM336_domestic</x:v>
      </x:c>
      <x:c r="D4484" s="11" t="str">
        <x:v>2028-12-31</x:v>
      </x:c>
      <x:c r="E4484" s="11" t="str">
        <x:v>CNY</x:v>
      </x:c>
      <x:c r="F4484" s="11" t="n">
        <x:v>-0.7720739219712526</x:v>
      </x:c>
      <x:c r="G4484" s="26" t="b">
        <x:v>0</x:v>
      </x:c>
      <x:c r="H4484" s="16" t="n">
        <x:v>0</x:v>
      </x:c>
      <x:c r="I4484" s="16" t="n">
        <x:v>0</x:v>
      </x:c>
      <x:c r="J4484" s="16" t="n">
        <x:v>0.18</x:v>
      </x:c>
      <x:c r="K4484" s="11" t="n">
        <x:f>CHOOSE('假设'!$B$3,H4484,I4484,J4484)</x:f>
        <x:v>0</x:v>
      </x:c>
      <x:c r="L4484" s="11" t="n">
        <x:f>K4484*'管线假设'!E967*'管线假设'!F967*'管线假设'!G967*IF(E4484="USD",'管线假设'!I967,1)-AM4484</x:f>
        <x:v>-0.14</x:v>
      </x:c>
      <x:c r="M4484" s="11" t="n">
        <x:f>'管线假设'!H967</x:f>
        <x:v>0.14</x:v>
      </x:c>
      <x:c r="N4484" s="11" t="n">
        <x:f>IF(G4484,L4484*AN4484/(1+M4484)^F4484,0)</x:f>
        <x:v>0</x:v>
      </x:c>
      <x:c r="AJ4484" s="42" t="n">
        <x:v>0.06</x:v>
      </x:c>
      <x:c r="AK4484" s="42" t="n">
        <x:v>0.14</x:v>
      </x:c>
      <x:c r="AL4484" s="42" t="n">
        <x:v>0.18</x:v>
      </x:c>
      <x:c r="AM4484" t="n">
        <x:f>CHOOSE('假设'!$B$3,AJ4484,AK4484,AL4484)</x:f>
        <x:v>0.14</x:v>
      </x:c>
      <x:c r="AN4484" t="n">
        <x:v>0</x:v>
      </x:c>
    </x:row>
    <x:row r="4485" ht="23" customHeight="1">
      <x:c r="A4485" s="11" t="str">
        <x:v>02162.HK</x:v>
      </x:c>
      <x:c r="B4485" s="11" t="str">
        <x:v>三年</x:v>
      </x:c>
      <x:c r="C4485" s="11" t="str">
        <x:v>CM336_domestic</x:v>
      </x:c>
      <x:c r="D4485" s="11" t="str">
        <x:v>2029-12-31</x:v>
      </x:c>
      <x:c r="E4485" s="11" t="str">
        <x:v>CNY</x:v>
      </x:c>
      <x:c r="F4485" s="11" t="n">
        <x:v>0.2272416153319644</x:v>
      </x:c>
      <x:c r="G4485" s="26" t="b">
        <x:v>1</x:v>
      </x:c>
      <x:c r="H4485" s="16" t="n">
        <x:v>0</x:v>
      </x:c>
      <x:c r="I4485" s="16" t="n">
        <x:v>0.09</x:v>
      </x:c>
      <x:c r="J4485" s="16" t="n">
        <x:v>0.54</x:v>
      </x:c>
      <x:c r="K4485" s="11" t="n">
        <x:f>CHOOSE('假设'!$B$3,H4485,I4485,J4485)</x:f>
        <x:v>0.09</x:v>
      </x:c>
      <x:c r="L4485" s="11" t="n">
        <x:f>K4485*'管线假设'!E967*'管线假设'!F967*'管线假设'!G967*IF(E4485="USD",'管线假设'!I967,1)-AM4485</x:f>
        <x:v>-0.05380000000000001</x:v>
      </x:c>
      <x:c r="M4485" s="11" t="n">
        <x:f>'管线假设'!H967</x:f>
        <x:v>0.14</x:v>
      </x:c>
      <x:c r="N4485" s="11" t="n">
        <x:f>IF(G4485,L4485*AN4485/(1+M4485)^F4485,0)</x:f>
        <x:v>-0.011907698614366654</x:v>
      </x:c>
      <x:c r="AJ4485" s="42" t="n">
        <x:v>0</x:v>
      </x:c>
      <x:c r="AK4485" s="42" t="n">
        <x:v>0.07</x:v>
      </x:c>
      <x:c r="AL4485" s="42" t="n">
        <x:v>0.07</x:v>
      </x:c>
      <x:c r="AM4485" t="n">
        <x:f>CHOOSE('假设'!$B$3,AJ4485,AK4485,AL4485)</x:f>
        <x:v>0.07</x:v>
      </x:c>
      <x:c r="AN4485" t="n">
        <x:v>0.22802197802197802</x:v>
      </x:c>
    </x:row>
    <x:row r="4486" ht="23" customHeight="1">
      <x:c r="A4486" s="11" t="str">
        <x:v>02162.HK</x:v>
      </x:c>
      <x:c r="B4486" s="11" t="str">
        <x:v>三年</x:v>
      </x:c>
      <x:c r="C4486" s="11" t="str">
        <x:v>CM336_domestic</x:v>
      </x:c>
      <x:c r="D4486" s="11" t="str">
        <x:v>2030-12-31</x:v>
      </x:c>
      <x:c r="E4486" s="11" t="str">
        <x:v>CNY</x:v>
      </x:c>
      <x:c r="F4486" s="11" t="n">
        <x:v>1.2265571526351813</x:v>
      </x:c>
      <x:c r="G4486" s="26" t="b">
        <x:v>1</x:v>
      </x:c>
      <x:c r="H4486" s="16" t="n">
        <x:v>0</x:v>
      </x:c>
      <x:c r="I4486" s="16" t="n">
        <x:v>0.27</x:v>
      </x:c>
      <x:c r="J4486" s="16" t="n">
        <x:v>1.1400000000000001</x:v>
      </x:c>
      <x:c r="K4486" s="11" t="n">
        <x:f>CHOOSE('假设'!$B$3,H4486,I4486,J4486)</x:f>
        <x:v>0.27</x:v>
      </x:c>
      <x:c r="L4486" s="11" t="n">
        <x:f>K4486*'管线假设'!E967*'管线假设'!F967*'管线假设'!G967*IF(E4486="USD",'管线假设'!I967,1)-AM4486</x:f>
        <x:v>0.048600000000000004</x:v>
      </x:c>
      <x:c r="M4486" s="11" t="n">
        <x:f>'管线假设'!H967</x:f>
        <x:v>0.14</x:v>
      </x:c>
      <x:c r="N4486" s="11" t="n">
        <x:f>IF(G4486,L4486*AN4486/(1+M4486)^F4486,0)</x:f>
        <x:v>0.041384643350455226</x:v>
      </x:c>
      <x:c r="AJ4486" s="42" t="n">
        <x:v>0</x:v>
      </x:c>
      <x:c r="AK4486" s="42" t="n">
        <x:v>0</x:v>
      </x:c>
      <x:c r="AL4486" s="42" t="n">
        <x:v>0</x:v>
      </x:c>
      <x:c r="AM4486" t="n">
        <x:f>CHOOSE('假设'!$B$3,AJ4486,AK4486,AL4486)</x:f>
        <x:v>0</x:v>
      </x:c>
      <x:c r="AN4486" t="n">
        <x:v>1</x:v>
      </x:c>
    </x:row>
    <x:row r="4487" ht="23" customHeight="1">
      <x:c r="A4487" s="11" t="str">
        <x:v>02162.HK</x:v>
      </x:c>
      <x:c r="B4487" s="11" t="str">
        <x:v>三年</x:v>
      </x:c>
      <x:c r="C4487" s="11" t="str">
        <x:v>CM336_domestic</x:v>
      </x:c>
      <x:c r="D4487" s="11" t="str">
        <x:v>2031-12-31</x:v>
      </x:c>
      <x:c r="E4487" s="11" t="str">
        <x:v>CNY</x:v>
      </x:c>
      <x:c r="F4487" s="11" t="n">
        <x:v>2.2258726899383983</x:v>
      </x:c>
      <x:c r="G4487" s="26" t="b">
        <x:v>1</x:v>
      </x:c>
      <x:c r="H4487" s="16" t="n">
        <x:v>0.03</x:v>
      </x:c>
      <x:c r="I4487" s="16" t="n">
        <x:v>0.5700000000000001</x:v>
      </x:c>
      <x:c r="J4487" s="16" t="n">
        <x:v>1.9500000000000002</x:v>
      </x:c>
      <x:c r="K4487" s="11" t="n">
        <x:f>CHOOSE('假设'!$B$3,H4487,I4487,J4487)</x:f>
        <x:v>0.5700000000000001</x:v>
      </x:c>
      <x:c r="L4487" s="11" t="n">
        <x:f>K4487*'管线假设'!E967*'管线假设'!F967*'管线假设'!G967*IF(E4487="USD",'管线假设'!I967,1)-AM4487</x:f>
        <x:v>0.10260000000000002</x:v>
      </x:c>
      <x:c r="M4487" s="11" t="n">
        <x:f>'管线假设'!H967</x:f>
        <x:v>0.14</x:v>
      </x:c>
      <x:c r="N4487" s="11" t="n">
        <x:f>IF(G4487,L4487*AN4487/(1+M4487)^F4487,0)</x:f>
        <x:v>0.0766451019546342</x:v>
      </x:c>
      <x:c r="AJ4487" s="42" t="n">
        <x:v>0</x:v>
      </x:c>
      <x:c r="AK4487" s="42" t="n">
        <x:v>0</x:v>
      </x:c>
      <x:c r="AL4487" s="42" t="n">
        <x:v>0</x:v>
      </x:c>
      <x:c r="AM4487" t="n">
        <x:f>CHOOSE('假设'!$B$3,AJ4487,AK4487,AL4487)</x:f>
        <x:v>0</x:v>
      </x:c>
      <x:c r="AN4487" t="n">
        <x:v>1</x:v>
      </x:c>
    </x:row>
    <x:row r="4488" ht="23" customHeight="1">
      <x:c r="A4488" s="11" t="str">
        <x:v>02162.HK</x:v>
      </x:c>
      <x:c r="B4488" s="11" t="str">
        <x:v>三年</x:v>
      </x:c>
      <x:c r="C4488" s="11" t="str">
        <x:v>CM336_domestic</x:v>
      </x:c>
      <x:c r="D4488" s="11" t="str">
        <x:v>2032-12-31</x:v>
      </x:c>
      <x:c r="E4488" s="11" t="str">
        <x:v>CNY</x:v>
      </x:c>
      <x:c r="F4488" s="11" t="n">
        <x:v>3.2279260780287475</x:v>
      </x:c>
      <x:c r="G4488" s="26" t="b">
        <x:v>1</x:v>
      </x:c>
      <x:c r="H4488" s="16" t="n">
        <x:v>0.09</x:v>
      </x:c>
      <x:c r="I4488" s="16" t="n">
        <x:v>0.9750000000000001</x:v>
      </x:c>
      <x:c r="J4488" s="16" t="n">
        <x:v>2.55</x:v>
      </x:c>
      <x:c r="K4488" s="11" t="n">
        <x:f>CHOOSE('假设'!$B$3,H4488,I4488,J4488)</x:f>
        <x:v>0.9750000000000001</x:v>
      </x:c>
      <x:c r="L4488" s="11" t="n">
        <x:f>K4488*'管线假设'!E967*'管线假设'!F967*'管线假设'!G967*IF(E4488="USD",'管线假设'!I967,1)-AM4488</x:f>
        <x:v>0.17550000000000004</x:v>
      </x:c>
      <x:c r="M4488" s="11" t="n">
        <x:f>'管线假设'!H967</x:f>
        <x:v>0.14</x:v>
      </x:c>
      <x:c r="N4488" s="11" t="n">
        <x:f>IF(G4488,L4488*AN4488/(1+M4488)^F4488,0)</x:f>
        <x:v>0.11497210086138791</x:v>
      </x:c>
      <x:c r="AJ4488" s="42" t="n">
        <x:v>0</x:v>
      </x:c>
      <x:c r="AK4488" s="42" t="n">
        <x:v>0</x:v>
      </x:c>
      <x:c r="AL4488" s="42" t="n">
        <x:v>0</x:v>
      </x:c>
      <x:c r="AM4488" t="n">
        <x:f>CHOOSE('假设'!$B$3,AJ4488,AK4488,AL4488)</x:f>
        <x:v>0</x:v>
      </x:c>
      <x:c r="AN4488" t="n">
        <x:v>1</x:v>
      </x:c>
    </x:row>
    <x:row r="4489" ht="23" customHeight="1">
      <x:c r="A4489" s="11" t="str">
        <x:v>02162.HK</x:v>
      </x:c>
      <x:c r="B4489" s="11" t="str">
        <x:v>三年</x:v>
      </x:c>
      <x:c r="C4489" s="11" t="str">
        <x:v>CM336_domestic</x:v>
      </x:c>
      <x:c r="D4489" s="11" t="str">
        <x:v>2033-12-31</x:v>
      </x:c>
      <x:c r="E4489" s="11" t="str">
        <x:v>CNY</x:v>
      </x:c>
      <x:c r="F4489" s="11" t="n">
        <x:v>4.227241615331964</x:v>
      </x:c>
      <x:c r="G4489" s="26" t="b">
        <x:v>1</x:v>
      </x:c>
      <x:c r="H4489" s="16" t="n">
        <x:v>0.19</x:v>
      </x:c>
      <x:c r="I4489" s="16" t="n">
        <x:v>1.275</x:v>
      </x:c>
      <x:c r="J4489" s="16" t="n">
        <x:v>3</x:v>
      </x:c>
      <x:c r="K4489" s="11" t="n">
        <x:f>CHOOSE('假设'!$B$3,H4489,I4489,J4489)</x:f>
        <x:v>1.275</x:v>
      </x:c>
      <x:c r="L4489" s="11" t="n">
        <x:f>K4489*'管线假设'!E967*'管线假设'!F967*'管线假设'!G967*IF(E4489="USD",'管线假设'!I967,1)-AM4489</x:f>
        <x:v>0.2295</x:v>
      </x:c>
      <x:c r="M4489" s="11" t="n">
        <x:f>'管线假设'!H967</x:f>
        <x:v>0.14</x:v>
      </x:c>
      <x:c r="N4489" s="11" t="n">
        <x:f>IF(G4489,L4489*AN4489/(1+M4489)^F4489,0)</x:f>
        <x:v>0.13189615466301982</x:v>
      </x:c>
      <x:c r="AJ4489" s="42" t="n">
        <x:v>0</x:v>
      </x:c>
      <x:c r="AK4489" s="42" t="n">
        <x:v>0</x:v>
      </x:c>
      <x:c r="AL4489" s="42" t="n">
        <x:v>0</x:v>
      </x:c>
      <x:c r="AM4489" t="n">
        <x:f>CHOOSE('假设'!$B$3,AJ4489,AK4489,AL4489)</x:f>
        <x:v>0</x:v>
      </x:c>
      <x:c r="AN4489" t="n">
        <x:v>1</x:v>
      </x:c>
    </x:row>
    <x:row r="4490" ht="23" customHeight="1">
      <x:c r="A4490" s="11" t="str">
        <x:v>02162.HK</x:v>
      </x:c>
      <x:c r="B4490" s="11" t="str">
        <x:v>三年</x:v>
      </x:c>
      <x:c r="C4490" s="11" t="str">
        <x:v>CM336_domestic</x:v>
      </x:c>
      <x:c r="D4490" s="11" t="str">
        <x:v>2034-12-31</x:v>
      </x:c>
      <x:c r="E4490" s="11" t="str">
        <x:v>CNY</x:v>
      </x:c>
      <x:c r="F4490" s="11" t="n">
        <x:v>5.2265571526351815</x:v>
      </x:c>
      <x:c r="G4490" s="26" t="b">
        <x:v>1</x:v>
      </x:c>
      <x:c r="H4490" s="16" t="n">
        <x:v>0.325</x:v>
      </x:c>
      <x:c r="I4490" s="16" t="n">
        <x:v>1.5</x:v>
      </x:c>
      <x:c r="J4490" s="16" t="n">
        <x:v>3</x:v>
      </x:c>
      <x:c r="K4490" s="11" t="n">
        <x:f>CHOOSE('假设'!$B$3,H4490,I4490,J4490)</x:f>
        <x:v>1.5</x:v>
      </x:c>
      <x:c r="L4490" s="11" t="n">
        <x:f>K4490*'管线假设'!E967*'管线假设'!F967*'管线假设'!G967*IF(E4490="USD",'管线假设'!I967,1)-AM4490</x:f>
        <x:v>0.2700000000000001</x:v>
      </x:c>
      <x:c r="M4490" s="11" t="n">
        <x:f>'管线假设'!H967</x:f>
        <x:v>0.14</x:v>
      </x:c>
      <x:c r="N4490" s="11" t="n">
        <x:f>IF(G4490,L4490*AN4490/(1+M4490)^F4490,0)</x:f>
        <x:v>0.1361279506322439</x:v>
      </x:c>
      <x:c r="AJ4490" s="42" t="n">
        <x:v>0</x:v>
      </x:c>
      <x:c r="AK4490" s="42" t="n">
        <x:v>0</x:v>
      </x:c>
      <x:c r="AL4490" s="42" t="n">
        <x:v>0</x:v>
      </x:c>
      <x:c r="AM4490" t="n">
        <x:f>CHOOSE('假设'!$B$3,AJ4490,AK4490,AL4490)</x:f>
        <x:v>0</x:v>
      </x:c>
      <x:c r="AN4490" t="n">
        <x:v>1</x:v>
      </x:c>
    </x:row>
    <x:row r="4491" ht="23" customHeight="1">
      <x:c r="A4491" s="11" t="str">
        <x:v>02162.HK</x:v>
      </x:c>
      <x:c r="B4491" s="11" t="str">
        <x:v>三年</x:v>
      </x:c>
      <x:c r="C4491" s="11" t="str">
        <x:v>CM336_domestic</x:v>
      </x:c>
      <x:c r="D4491" s="11" t="str">
        <x:v>2035-12-31</x:v>
      </x:c>
      <x:c r="E4491" s="11" t="str">
        <x:v>CNY</x:v>
      </x:c>
      <x:c r="F4491" s="11" t="n">
        <x:v>6.225872689938399</x:v>
      </x:c>
      <x:c r="G4491" s="26" t="b">
        <x:v>1</x:v>
      </x:c>
      <x:c r="H4491" s="16" t="n">
        <x:v>0.425</x:v>
      </x:c>
      <x:c r="I4491" s="16" t="n">
        <x:v>1.5</x:v>
      </x:c>
      <x:c r="J4491" s="16" t="n">
        <x:v>2.8499999999999996</x:v>
      </x:c>
      <x:c r="K4491" s="11" t="n">
        <x:f>CHOOSE('假设'!$B$3,H4491,I4491,J4491)</x:f>
        <x:v>1.5</x:v>
      </x:c>
      <x:c r="L4491" s="11" t="n">
        <x:f>K4491*'管线假设'!E967*'管线假设'!F967*'管线假设'!G967*IF(E4491="USD",'管线假设'!I967,1)-AM4491</x:f>
        <x:v>0.2700000000000001</x:v>
      </x:c>
      <x:c r="M4491" s="11" t="n">
        <x:f>'管线假设'!H967</x:f>
        <x:v>0.14</x:v>
      </x:c>
      <x:c r="N4491" s="11" t="n">
        <x:f>IF(G4491,L4491*AN4491/(1+M4491)^F4491,0)</x:f>
        <x:v>0.11942119269570069</x:v>
      </x:c>
      <x:c r="AJ4491" s="42" t="n">
        <x:v>0</x:v>
      </x:c>
      <x:c r="AK4491" s="42" t="n">
        <x:v>0</x:v>
      </x:c>
      <x:c r="AL4491" s="42" t="n">
        <x:v>0</x:v>
      </x:c>
      <x:c r="AM4491" t="n">
        <x:f>CHOOSE('假设'!$B$3,AJ4491,AK4491,AL4491)</x:f>
        <x:v>0</x:v>
      </x:c>
      <x:c r="AN4491" t="n">
        <x:v>1</x:v>
      </x:c>
    </x:row>
    <x:row r="4492" ht="23" customHeight="1">
      <x:c r="A4492" s="11" t="str">
        <x:v>02162.HK</x:v>
      </x:c>
      <x:c r="B4492" s="11" t="str">
        <x:v>三年</x:v>
      </x:c>
      <x:c r="C4492" s="11" t="str">
        <x:v>CM336_domestic</x:v>
      </x:c>
      <x:c r="D4492" s="11" t="str">
        <x:v>2036-12-31</x:v>
      </x:c>
      <x:c r="E4492" s="11" t="str">
        <x:v>CNY</x:v>
      </x:c>
      <x:c r="F4492" s="11" t="n">
        <x:v>7.227926078028747</x:v>
      </x:c>
      <x:c r="G4492" s="26" t="b">
        <x:v>1</x:v>
      </x:c>
      <x:c r="H4492" s="16" t="n">
        <x:v>0.5</x:v>
      </x:c>
      <x:c r="I4492" s="16" t="n">
        <x:v>1.4249999999999998</x:v>
      </x:c>
      <x:c r="J4492" s="16" t="n">
        <x:v>2.7</x:v>
      </x:c>
      <x:c r="K4492" s="11" t="n">
        <x:f>CHOOSE('假设'!$B$3,H4492,I4492,J4492)</x:f>
        <x:v>1.4249999999999998</x:v>
      </x:c>
      <x:c r="L4492" s="11" t="n">
        <x:f>K4492*'管线假设'!E967*'管线假设'!F967*'管线假设'!G967*IF(E4492="USD",'管线假设'!I967,1)-AM4492</x:f>
        <x:v>0.2565</x:v>
      </x:c>
      <x:c r="M4492" s="11" t="n">
        <x:f>'管线假设'!H967</x:f>
        <x:v>0.14</x:v>
      </x:c>
      <x:c r="N4492" s="11" t="n">
        <x:f>IF(G4492,L4492*AN4492/(1+M4492)^F4492,0)</x:f>
        <x:v>0.0994908887683873</x:v>
      </x:c>
      <x:c r="AJ4492" s="42" t="n">
        <x:v>0</x:v>
      </x:c>
      <x:c r="AK4492" s="42" t="n">
        <x:v>0</x:v>
      </x:c>
      <x:c r="AL4492" s="42" t="n">
        <x:v>0</x:v>
      </x:c>
      <x:c r="AM4492" t="n">
        <x:f>CHOOSE('假设'!$B$3,AJ4492,AK4492,AL4492)</x:f>
        <x:v>0</x:v>
      </x:c>
      <x:c r="AN4492" t="n">
        <x:v>1</x:v>
      </x:c>
    </x:row>
    <x:row r="4493" ht="23" customHeight="1">
      <x:c r="A4493" s="11" t="str">
        <x:v>02162.HK</x:v>
      </x:c>
      <x:c r="B4493" s="11" t="str">
        <x:v>三年</x:v>
      </x:c>
      <x:c r="C4493" s="11" t="str">
        <x:v>CM336_domestic</x:v>
      </x:c>
      <x:c r="D4493" s="11" t="str">
        <x:v>2037-12-31</x:v>
      </x:c>
      <x:c r="E4493" s="11" t="str">
        <x:v>CNY</x:v>
      </x:c>
      <x:c r="F4493" s="11" t="n">
        <x:v>8.227241615331964</x:v>
      </x:c>
      <x:c r="G4493" s="26" t="b">
        <x:v>1</x:v>
      </x:c>
      <x:c r="H4493" s="16" t="n">
        <x:v>0.5</x:v>
      </x:c>
      <x:c r="I4493" s="16" t="n">
        <x:v>1.35</x:v>
      </x:c>
      <x:c r="J4493" s="16" t="n">
        <x:v>2.4000000000000004</x:v>
      </x:c>
      <x:c r="K4493" s="11" t="n">
        <x:f>CHOOSE('假设'!$B$3,H4493,I4493,J4493)</x:f>
        <x:v>1.35</x:v>
      </x:c>
      <x:c r="L4493" s="11" t="n">
        <x:f>K4493*'管线假设'!E967*'管线假设'!F967*'管线假设'!G967*IF(E4493="USD",'管线假设'!I967,1)-AM4493</x:f>
        <x:v>0.24300000000000002</x:v>
      </x:c>
      <x:c r="M4493" s="11" t="n">
        <x:f>'管线假设'!H967</x:f>
        <x:v>0.14</x:v>
      </x:c>
      <x:c r="N4493" s="11" t="n">
        <x:f>IF(G4493,L4493*AN4493/(1+M4493)^F4493,0)</x:f>
        <x:v>0.08268682429793879</x:v>
      </x:c>
      <x:c r="AJ4493" s="42" t="n">
        <x:v>0</x:v>
      </x:c>
      <x:c r="AK4493" s="42" t="n">
        <x:v>0</x:v>
      </x:c>
      <x:c r="AL4493" s="42" t="n">
        <x:v>0</x:v>
      </x:c>
      <x:c r="AM4493" t="n">
        <x:f>CHOOSE('假设'!$B$3,AJ4493,AK4493,AL4493)</x:f>
        <x:v>0</x:v>
      </x:c>
      <x:c r="AN4493" t="n">
        <x:v>1</x:v>
      </x:c>
    </x:row>
    <x:row r="4494" ht="23" customHeight="1">
      <x:c r="A4494" s="11" t="str">
        <x:v>02162.HK</x:v>
      </x:c>
      <x:c r="B4494" s="11" t="str">
        <x:v>三年</x:v>
      </x:c>
      <x:c r="C4494" s="11" t="str">
        <x:v>CM336_domestic</x:v>
      </x:c>
      <x:c r="D4494" s="11" t="str">
        <x:v>2038-12-31</x:v>
      </x:c>
      <x:c r="E4494" s="11" t="str">
        <x:v>CNY</x:v>
      </x:c>
      <x:c r="F4494" s="11" t="n">
        <x:v>9.22655715263518</x:v>
      </x:c>
      <x:c r="G4494" s="26" t="b">
        <x:v>1</x:v>
      </x:c>
      <x:c r="H4494" s="16" t="n">
        <x:v>0.475</x:v>
      </x:c>
      <x:c r="I4494" s="16" t="n">
        <x:v>1.2000000000000002</x:v>
      </x:c>
      <x:c r="J4494" s="16" t="n">
        <x:v>1.9500000000000002</x:v>
      </x:c>
      <x:c r="K4494" s="11" t="n">
        <x:f>CHOOSE('假设'!$B$3,H4494,I4494,J4494)</x:f>
        <x:v>1.2000000000000002</x:v>
      </x:c>
      <x:c r="L4494" s="11" t="n">
        <x:f>K4494*'管线假设'!E967*'管线假设'!F967*'管线假设'!G967*IF(E4494="USD",'管线假设'!I967,1)-AM4494</x:f>
        <x:v>0.21600000000000005</x:v>
      </x:c>
      <x:c r="M4494" s="11" t="n">
        <x:f>'管线假设'!H967</x:f>
        <x:v>0.14</x:v>
      </x:c>
      <x:c r="N4494" s="11" t="n">
        <x:f>IF(G4494,L4494*AN4494/(1+M4494)^F4494,0)</x:f>
        <x:v>0.06447893981453955</x:v>
      </x:c>
      <x:c r="AJ4494" s="42" t="n">
        <x:v>0</x:v>
      </x:c>
      <x:c r="AK4494" s="42" t="n">
        <x:v>0</x:v>
      </x:c>
      <x:c r="AL4494" s="42" t="n">
        <x:v>0</x:v>
      </x:c>
      <x:c r="AM4494" t="n">
        <x:f>CHOOSE('假设'!$B$3,AJ4494,AK4494,AL4494)</x:f>
        <x:v>0</x:v>
      </x:c>
      <x:c r="AN4494" t="n">
        <x:v>1</x:v>
      </x:c>
    </x:row>
    <x:row r="4495" ht="23" customHeight="1">
      <x:c r="A4495" s="11" t="str">
        <x:v>02162.HK</x:v>
      </x:c>
      <x:c r="B4495" s="11" t="str">
        <x:v>三年</x:v>
      </x:c>
      <x:c r="C4495" s="11" t="str">
        <x:v>CM336_domestic</x:v>
      </x:c>
      <x:c r="D4495" s="11" t="str">
        <x:v>2039-12-31</x:v>
      </x:c>
      <x:c r="E4495" s="11" t="str">
        <x:v>CNY</x:v>
      </x:c>
      <x:c r="F4495" s="11" t="n">
        <x:v>10.225872689938399</x:v>
      </x:c>
      <x:c r="G4495" s="26" t="b">
        <x:v>1</x:v>
      </x:c>
      <x:c r="H4495" s="16" t="n">
        <x:v>0.45</x:v>
      </x:c>
      <x:c r="I4495" s="16" t="n">
        <x:v>0.9750000000000001</x:v>
      </x:c>
      <x:c r="J4495" s="16" t="n">
        <x:v>1.5</x:v>
      </x:c>
      <x:c r="K4495" s="11" t="n">
        <x:f>CHOOSE('假设'!$B$3,H4495,I4495,J4495)</x:f>
        <x:v>0.9750000000000001</x:v>
      </x:c>
      <x:c r="L4495" s="11" t="n">
        <x:f>K4495*'管线假设'!E967*'管线假设'!F967*'管线假设'!G967*IF(E4495="USD",'管线假设'!I967,1)-AM4495</x:f>
        <x:v>0.17550000000000004</x:v>
      </x:c>
      <x:c r="M4495" s="11" t="n">
        <x:f>'管线假设'!H967</x:f>
        <x:v>0.14</x:v>
      </x:c>
      <x:c r="N4495" s="11" t="n">
        <x:f>IF(G4495,L4495*AN4495/(1+M4495)^F4495,0)</x:f>
        <x:v>0.04595950638184705</x:v>
      </x:c>
      <x:c r="AJ4495" s="42" t="n">
        <x:v>0</x:v>
      </x:c>
      <x:c r="AK4495" s="42" t="n">
        <x:v>0</x:v>
      </x:c>
      <x:c r="AL4495" s="42" t="n">
        <x:v>0</x:v>
      </x:c>
      <x:c r="AM4495" t="n">
        <x:f>CHOOSE('假设'!$B$3,AJ4495,AK4495,AL4495)</x:f>
        <x:v>0</x:v>
      </x:c>
      <x:c r="AN4495" t="n">
        <x:v>1</x:v>
      </x:c>
    </x:row>
    <x:row r="4496" ht="23" customHeight="1">
      <x:c r="A4496" s="11" t="str">
        <x:v>02162.HK</x:v>
      </x:c>
      <x:c r="B4496" s="11" t="str">
        <x:v>三年</x:v>
      </x:c>
      <x:c r="C4496" s="11" t="str">
        <x:v>CM336_domestic</x:v>
      </x:c>
      <x:c r="D4496" s="11" t="str">
        <x:v>2040-12-31</x:v>
      </x:c>
      <x:c r="E4496" s="11" t="str">
        <x:v>CNY</x:v>
      </x:c>
      <x:c r="F4496" s="11" t="n">
        <x:v>11.227926078028748</x:v>
      </x:c>
      <x:c r="G4496" s="26" t="b">
        <x:v>1</x:v>
      </x:c>
      <x:c r="H4496" s="16" t="n">
        <x:v>0.4</x:v>
      </x:c>
      <x:c r="I4496" s="16" t="n">
        <x:v>0.75</x:v>
      </x:c>
      <x:c r="J4496" s="16" t="n">
        <x:v>1.0499999999999998</x:v>
      </x:c>
      <x:c r="K4496" s="11" t="n">
        <x:f>CHOOSE('假设'!$B$3,H4496,I4496,J4496)</x:f>
        <x:v>0.75</x:v>
      </x:c>
      <x:c r="L4496" s="11" t="n">
        <x:f>K4496*'管线假设'!E967*'管线假设'!F967*'管线假设'!G967*IF(E4496="USD",'管线假设'!I967,1)-AM4496</x:f>
        <x:v>0.13500000000000004</x:v>
      </x:c>
      <x:c r="M4496" s="11" t="n">
        <x:f>'管线假设'!H967</x:f>
        <x:v>0.14</x:v>
      </x:c>
      <x:c r="N4496" s="11" t="n">
        <x:f>IF(G4496,L4496*AN4496/(1+M4496)^F4496,0)</x:f>
        <x:v>0.03100347000936496</x:v>
      </x:c>
      <x:c r="AJ4496" s="42" t="n">
        <x:v>0</x:v>
      </x:c>
      <x:c r="AK4496" s="42" t="n">
        <x:v>0</x:v>
      </x:c>
      <x:c r="AL4496" s="42" t="n">
        <x:v>0</x:v>
      </x:c>
      <x:c r="AM4496" t="n">
        <x:f>CHOOSE('假设'!$B$3,AJ4496,AK4496,AL4496)</x:f>
        <x:v>0</x:v>
      </x:c>
      <x:c r="AN4496" t="n">
        <x:v>1</x:v>
      </x:c>
    </x:row>
    <x:row r="4497" ht="23" customHeight="1">
      <x:c r="A4497" s="11" t="str">
        <x:v>02162.HK</x:v>
      </x:c>
      <x:c r="B4497" s="11" t="str">
        <x:v>三年</x:v>
      </x:c>
      <x:c r="C4497" s="11" t="str">
        <x:v>CM336_domestic</x:v>
      </x:c>
      <x:c r="D4497" s="11" t="str">
        <x:v>2041-12-31</x:v>
      </x:c>
      <x:c r="E4497" s="11" t="str">
        <x:v>CNY</x:v>
      </x:c>
      <x:c r="F4497" s="11" t="n">
        <x:v>12.227241615331964</x:v>
      </x:c>
      <x:c r="G4497" s="26" t="b">
        <x:v>1</x:v>
      </x:c>
      <x:c r="H4497" s="16" t="n">
        <x:v>0.325</x:v>
      </x:c>
      <x:c r="I4497" s="16" t="n">
        <x:v>0.5249999999999999</x:v>
      </x:c>
      <x:c r="J4497" s="16" t="n">
        <x:v>0.6000000000000001</x:v>
      </x:c>
      <x:c r="K4497" s="11" t="n">
        <x:f>CHOOSE('假设'!$B$3,H4497,I4497,J4497)</x:f>
        <x:v>0.5249999999999999</x:v>
      </x:c>
      <x:c r="L4497" s="11" t="n">
        <x:f>K4497*'管线假设'!E967*'管线假设'!F967*'管线假设'!G967*IF(E4497="USD",'管线假设'!I967,1)-AM4497</x:f>
        <x:v>0.09449999999999999</x:v>
      </x:c>
      <x:c r="M4497" s="11" t="n">
        <x:f>'管线假设'!H967</x:f>
        <x:v>0.14</x:v>
      </x:c>
      <x:c r="N4497" s="11" t="n">
        <x:f>IF(G4497,L4497*AN4497/(1+M4497)^F4497,0)</x:f>
        <x:v>0.01903892583646033</x:v>
      </x:c>
      <x:c r="AJ4497" s="42" t="n">
        <x:v>0</x:v>
      </x:c>
      <x:c r="AK4497" s="42" t="n">
        <x:v>0</x:v>
      </x:c>
      <x:c r="AL4497" s="42" t="n">
        <x:v>0</x:v>
      </x:c>
      <x:c r="AM4497" t="n">
        <x:f>CHOOSE('假设'!$B$3,AJ4497,AK4497,AL4497)</x:f>
        <x:v>0</x:v>
      </x:c>
      <x:c r="AN4497" t="n">
        <x:v>1</x:v>
      </x:c>
    </x:row>
    <x:row r="4498" ht="23" customHeight="1">
      <x:c r="A4498" s="11" t="str">
        <x:v>02162.HK</x:v>
      </x:c>
      <x:c r="B4498" s="11" t="str">
        <x:v>三年</x:v>
      </x:c>
      <x:c r="C4498" s="11" t="str">
        <x:v>CM336_domestic</x:v>
      </x:c>
      <x:c r="D4498" s="11" t="str">
        <x:v>2042-12-31</x:v>
      </x:c>
      <x:c r="E4498" s="11" t="str">
        <x:v>CNY</x:v>
      </x:c>
      <x:c r="F4498" s="11" t="n">
        <x:v>13.22655715263518</x:v>
      </x:c>
      <x:c r="G4498" s="26" t="b">
        <x:v>1</x:v>
      </x:c>
      <x:c r="H4498" s="16" t="n">
        <x:v>0.25</x:v>
      </x:c>
      <x:c r="I4498" s="16" t="n">
        <x:v>0.30000000000000004</x:v>
      </x:c>
      <x:c r="J4498" s="16" t="n">
        <x:v>0.36</x:v>
      </x:c>
      <x:c r="K4498" s="11" t="n">
        <x:f>CHOOSE('假设'!$B$3,H4498,I4498,J4498)</x:f>
        <x:v>0.30000000000000004</x:v>
      </x:c>
      <x:c r="L4498" s="11" t="n">
        <x:f>K4498*'管线假设'!E967*'管线假设'!F967*'管线假设'!G967*IF(E4498="USD",'管线假设'!I967,1)-AM4498</x:f>
        <x:v>0.05400000000000001</x:v>
      </x:c>
      <x:c r="M4498" s="11" t="n">
        <x:f>'管线假设'!H967</x:f>
        <x:v>0.14</x:v>
      </x:c>
      <x:c r="N4498" s="11" t="n">
        <x:f>IF(G4498,L4498*AN4498/(1+M4498)^F4498,0)</x:f>
        <x:v>0.00954417714248208</x:v>
      </x:c>
      <x:c r="AJ4498" s="42" t="n">
        <x:v>0</x:v>
      </x:c>
      <x:c r="AK4498" s="42" t="n">
        <x:v>0</x:v>
      </x:c>
      <x:c r="AL4498" s="42" t="n">
        <x:v>0</x:v>
      </x:c>
      <x:c r="AM4498" t="n">
        <x:f>CHOOSE('假设'!$B$3,AJ4498,AK4498,AL4498)</x:f>
        <x:v>0</x:v>
      </x:c>
      <x:c r="AN4498" t="n">
        <x:v>1</x:v>
      </x:c>
    </x:row>
    <x:row r="4499" ht="23" customHeight="1">
      <x:c r="A4499" s="11" t="str">
        <x:v>02162.HK</x:v>
      </x:c>
      <x:c r="B4499" s="11" t="str">
        <x:v>三年</x:v>
      </x:c>
      <x:c r="C4499" s="11" t="str">
        <x:v>CM336_domestic</x:v>
      </x:c>
      <x:c r="D4499" s="11" t="str">
        <x:v>2043-12-31</x:v>
      </x:c>
      <x:c r="E4499" s="11" t="str">
        <x:v>CNY</x:v>
      </x:c>
      <x:c r="F4499" s="11" t="n">
        <x:v>14.225872689938399</x:v>
      </x:c>
      <x:c r="G4499" s="26" t="b">
        <x:v>1</x:v>
      </x:c>
      <x:c r="H4499" s="16" t="n">
        <x:v>0.175</x:v>
      </x:c>
      <x:c r="I4499" s="16" t="n">
        <x:v>0.18</x:v>
      </x:c>
      <x:c r="J4499" s="16" t="n">
        <x:v>0.21000000000000002</x:v>
      </x:c>
      <x:c r="K4499" s="11" t="n">
        <x:f>CHOOSE('假设'!$B$3,H4499,I4499,J4499)</x:f>
        <x:v>0.18</x:v>
      </x:c>
      <x:c r="L4499" s="11" t="n">
        <x:f>K4499*'管线假设'!E967*'管线假设'!F967*'管线假设'!G967*IF(E4499="USD",'管线假设'!I967,1)-AM4499</x:f>
        <x:v>0.0324</x:v>
      </x:c>
      <x:c r="M4499" s="11" t="n">
        <x:f>'管线假设'!H967</x:f>
        <x:v>0.14</x:v>
      </x:c>
      <x:c r="N4499" s="11" t="n">
        <x:f>IF(G4499,L4499*AN4499/(1+M4499)^F4499,0)</x:f>
        <x:v>0.005023701652866644</x:v>
      </x:c>
      <x:c r="AJ4499" s="42" t="n">
        <x:v>0</x:v>
      </x:c>
      <x:c r="AK4499" s="42" t="n">
        <x:v>0</x:v>
      </x:c>
      <x:c r="AL4499" s="42" t="n">
        <x:v>0</x:v>
      </x:c>
      <x:c r="AM4499" t="n">
        <x:f>CHOOSE('假设'!$B$3,AJ4499,AK4499,AL4499)</x:f>
        <x:v>0</x:v>
      </x:c>
      <x:c r="AN4499" t="n">
        <x:v>1</x:v>
      </x:c>
    </x:row>
    <x:row r="4500" ht="23" customHeight="1">
      <x:c r="A4500" s="11" t="str">
        <x:v>02162.HK</x:v>
      </x:c>
      <x:c r="B4500" s="11" t="str">
        <x:v>三年</x:v>
      </x:c>
      <x:c r="C4500" s="11" t="str">
        <x:v>CM336_domestic</x:v>
      </x:c>
      <x:c r="D4500" s="11" t="str">
        <x:v>2044-12-31</x:v>
      </x:c>
      <x:c r="E4500" s="11" t="str">
        <x:v>CNY</x:v>
      </x:c>
      <x:c r="F4500" s="11" t="n">
        <x:v>15.227926078028748</x:v>
      </x:c>
      <x:c r="G4500" s="26" t="b">
        <x:v>1</x:v>
      </x:c>
      <x:c r="H4500" s="16" t="n">
        <x:v>0.1</x:v>
      </x:c>
      <x:c r="I4500" s="16" t="n">
        <x:v>0.10500000000000001</x:v>
      </x:c>
      <x:c r="J4500" s="16" t="n">
        <x:v>0.09</x:v>
      </x:c>
      <x:c r="K4500" s="11" t="n">
        <x:f>CHOOSE('假设'!$B$3,H4500,I4500,J4500)</x:f>
        <x:v>0.10500000000000001</x:v>
      </x:c>
      <x:c r="L4500" s="11" t="n">
        <x:f>K4500*'管线假设'!E967*'管线假设'!F967*'管线假设'!G967*IF(E4500="USD",'管线假设'!I967,1)-AM4500</x:f>
        <x:v>0.018900000000000004</x:v>
      </x:c>
      <x:c r="M4500" s="11" t="n">
        <x:f>'管线假设'!H967</x:f>
        <x:v>0.14</x:v>
      </x:c>
      <x:c r="N4500" s="11" t="n">
        <x:f>IF(G4500,L4500*AN4500/(1+M4500)^F4500,0)</x:f>
        <x:v>0.0025699160371616416</x:v>
      </x:c>
      <x:c r="AJ4500" s="42" t="n">
        <x:v>0</x:v>
      </x:c>
      <x:c r="AK4500" s="42" t="n">
        <x:v>0</x:v>
      </x:c>
      <x:c r="AL4500" s="42" t="n">
        <x:v>0</x:v>
      </x:c>
      <x:c r="AM4500" t="n">
        <x:f>CHOOSE('假设'!$B$3,AJ4500,AK4500,AL4500)</x:f>
        <x:v>0</x:v>
      </x:c>
      <x:c r="AN4500" t="n">
        <x:v>1</x:v>
      </x:c>
    </x:row>
    <x:row r="4501" ht="23" customHeight="1">
      <x:c r="A4501" s="11" t="str">
        <x:v>02162.HK</x:v>
      </x:c>
      <x:c r="B4501" s="11" t="str">
        <x:v>三年</x:v>
      </x:c>
      <x:c r="C4501" s="11" t="str">
        <x:v>CM313_domestic</x:v>
      </x:c>
      <x:c r="D4501" s="11" t="str">
        <x:v>2026-12-31</x:v>
      </x:c>
      <x:c r="E4501" s="11" t="str">
        <x:v>CNY</x:v>
      </x:c>
      <x:c r="F4501" s="11" t="n">
        <x:v>-2.7734428473648185</x:v>
      </x:c>
      <x:c r="G4501" s="26" t="b">
        <x:v>0</x:v>
      </x:c>
      <x:c r="H4501" s="16" t="n">
        <x:v>0</x:v>
      </x:c>
      <x:c r="I4501" s="16" t="n">
        <x:v>0</x:v>
      </x:c>
      <x:c r="J4501" s="16" t="n">
        <x:v>0</x:v>
      </x:c>
      <x:c r="K4501" s="11" t="n">
        <x:f>CHOOSE('假设'!$B$3,H4501,I4501,J4501)</x:f>
        <x:v>0</x:v>
      </x:c>
      <x:c r="L4501" s="11" t="n">
        <x:f>K4501*'管线假设'!E971*'管线假设'!F971*'管线假设'!G971*IF(E4501="USD",'管线假设'!I971,1)-AM4501</x:f>
        <x:v>-0.1</x:v>
      </x:c>
      <x:c r="M4501" s="11" t="n">
        <x:f>'管线假设'!H971</x:f>
        <x:v>0.14</x:v>
      </x:c>
      <x:c r="N4501" s="11" t="n">
        <x:f>IF(G4501,L4501*AN4501/(1+M4501)^F4501,0)</x:f>
        <x:v>0</x:v>
      </x:c>
      <x:c r="AJ4501" s="42" t="n">
        <x:v>0.06</x:v>
      </x:c>
      <x:c r="AK4501" s="42" t="n">
        <x:v>0.1</x:v>
      </x:c>
      <x:c r="AL4501" s="42" t="n">
        <x:v>0.14</x:v>
      </x:c>
      <x:c r="AM4501" t="n">
        <x:f>CHOOSE('假设'!$B$3,AJ4501,AK4501,AL4501)</x:f>
        <x:v>0.1</x:v>
      </x:c>
      <x:c r="AN4501" t="n">
        <x:v>0</x:v>
      </x:c>
    </x:row>
    <x:row r="4502" ht="23" customHeight="1">
      <x:c r="A4502" s="11" t="str">
        <x:v>02162.HK</x:v>
      </x:c>
      <x:c r="B4502" s="11" t="str">
        <x:v>三年</x:v>
      </x:c>
      <x:c r="C4502" s="11" t="str">
        <x:v>CM313_domestic</x:v>
      </x:c>
      <x:c r="D4502" s="11" t="str">
        <x:v>2027-12-31</x:v>
      </x:c>
      <x:c r="E4502" s="11" t="str">
        <x:v>CNY</x:v>
      </x:c>
      <x:c r="F4502" s="11" t="n">
        <x:v>-1.7741273100616017</x:v>
      </x:c>
      <x:c r="G4502" s="26" t="b">
        <x:v>0</x:v>
      </x:c>
      <x:c r="H4502" s="16" t="n">
        <x:v>0</x:v>
      </x:c>
      <x:c r="I4502" s="16" t="n">
        <x:v>0</x:v>
      </x:c>
      <x:c r="J4502" s="16" t="n">
        <x:v>0</x:v>
      </x:c>
      <x:c r="K4502" s="11" t="n">
        <x:f>CHOOSE('假设'!$B$3,H4502,I4502,J4502)</x:f>
        <x:v>0</x:v>
      </x:c>
      <x:c r="L4502" s="11" t="n">
        <x:f>K4502*'管线假设'!E971*'管线假设'!F971*'管线假设'!G971*IF(E4502="USD",'管线假设'!I971,1)-AM4502</x:f>
        <x:v>-0.13</x:v>
      </x:c>
      <x:c r="M4502" s="11" t="n">
        <x:f>'管线假设'!H971</x:f>
        <x:v>0.14</x:v>
      </x:c>
      <x:c r="N4502" s="11" t="n">
        <x:f>IF(G4502,L4502*AN4502/(1+M4502)^F4502,0)</x:f>
        <x:v>0</x:v>
      </x:c>
      <x:c r="AJ4502" s="42" t="n">
        <x:v>0.06</x:v>
      </x:c>
      <x:c r="AK4502" s="42" t="n">
        <x:v>0.13</x:v>
      </x:c>
      <x:c r="AL4502" s="42" t="n">
        <x:v>0.18</x:v>
      </x:c>
      <x:c r="AM4502" t="n">
        <x:f>CHOOSE('假设'!$B$3,AJ4502,AK4502,AL4502)</x:f>
        <x:v>0.13</x:v>
      </x:c>
      <x:c r="AN4502" t="n">
        <x:v>0</x:v>
      </x:c>
    </x:row>
    <x:row r="4503" ht="23" customHeight="1">
      <x:c r="A4503" s="11" t="str">
        <x:v>02162.HK</x:v>
      </x:c>
      <x:c r="B4503" s="11" t="str">
        <x:v>三年</x:v>
      </x:c>
      <x:c r="C4503" s="11" t="str">
        <x:v>CM313_domestic</x:v>
      </x:c>
      <x:c r="D4503" s="11" t="str">
        <x:v>2028-12-31</x:v>
      </x:c>
      <x:c r="E4503" s="11" t="str">
        <x:v>CNY</x:v>
      </x:c>
      <x:c r="F4503" s="11" t="n">
        <x:v>-0.7720739219712526</x:v>
      </x:c>
      <x:c r="G4503" s="26" t="b">
        <x:v>0</x:v>
      </x:c>
      <x:c r="H4503" s="16" t="n">
        <x:v>0</x:v>
      </x:c>
      <x:c r="I4503" s="16" t="n">
        <x:v>0</x:v>
      </x:c>
      <x:c r="J4503" s="16" t="n">
        <x:v>0</x:v>
      </x:c>
      <x:c r="K4503" s="11" t="n">
        <x:f>CHOOSE('假设'!$B$3,H4503,I4503,J4503)</x:f>
        <x:v>0</x:v>
      </x:c>
      <x:c r="L4503" s="11" t="n">
        <x:f>K4503*'管线假设'!E971*'管线假设'!F971*'管线假设'!G971*IF(E4503="USD",'管线假设'!I971,1)-AM4503</x:f>
        <x:v>-0.13</x:v>
      </x:c>
      <x:c r="M4503" s="11" t="n">
        <x:f>'管线假设'!H971</x:f>
        <x:v>0.14</x:v>
      </x:c>
      <x:c r="N4503" s="11" t="n">
        <x:f>IF(G4503,L4503*AN4503/(1+M4503)^F4503,0)</x:f>
        <x:v>0</x:v>
      </x:c>
      <x:c r="AJ4503" s="42" t="n">
        <x:v>0.04</x:v>
      </x:c>
      <x:c r="AK4503" s="42" t="n">
        <x:v>0.13</x:v>
      </x:c>
      <x:c r="AL4503" s="42" t="n">
        <x:v>0.18</x:v>
      </x:c>
      <x:c r="AM4503" t="n">
        <x:f>CHOOSE('假设'!$B$3,AJ4503,AK4503,AL4503)</x:f>
        <x:v>0.13</x:v>
      </x:c>
      <x:c r="AN4503" t="n">
        <x:v>0</x:v>
      </x:c>
    </x:row>
    <x:row r="4504" ht="23" customHeight="1">
      <x:c r="A4504" s="11" t="str">
        <x:v>02162.HK</x:v>
      </x:c>
      <x:c r="B4504" s="11" t="str">
        <x:v>三年</x:v>
      </x:c>
      <x:c r="C4504" s="11" t="str">
        <x:v>CM313_domestic</x:v>
      </x:c>
      <x:c r="D4504" s="11" t="str">
        <x:v>2029-12-31</x:v>
      </x:c>
      <x:c r="E4504" s="11" t="str">
        <x:v>CNY</x:v>
      </x:c>
      <x:c r="F4504" s="11" t="n">
        <x:v>0.2272416153319644</x:v>
      </x:c>
      <x:c r="G4504" s="26" t="b">
        <x:v>1</x:v>
      </x:c>
      <x:c r="H4504" s="16" t="n">
        <x:v>0</x:v>
      </x:c>
      <x:c r="I4504" s="16" t="n">
        <x:v>0</x:v>
      </x:c>
      <x:c r="J4504" s="16" t="n">
        <x:v>0.15</x:v>
      </x:c>
      <x:c r="K4504" s="11" t="n">
        <x:f>CHOOSE('假设'!$B$3,H4504,I4504,J4504)</x:f>
        <x:v>0</x:v>
      </x:c>
      <x:c r="L4504" s="11" t="n">
        <x:f>K4504*'管线假设'!E971*'管线假设'!F971*'管线假设'!G971*IF(E4504="USD",'管线假设'!I971,1)-AM4504</x:f>
        <x:v>-0.07</x:v>
      </x:c>
      <x:c r="M4504" s="11" t="n">
        <x:f>'管线假设'!H971</x:f>
        <x:v>0.14</x:v>
      </x:c>
      <x:c r="N4504" s="11" t="n">
        <x:f>IF(G4504,L4504*AN4504/(1+M4504)^F4504,0)</x:f>
        <x:v>-0.015493288159956611</x:v>
      </x:c>
      <x:c r="AJ4504" s="42" t="n">
        <x:v>0</x:v>
      </x:c>
      <x:c r="AK4504" s="42" t="n">
        <x:v>0.07</x:v>
      </x:c>
      <x:c r="AL4504" s="42" t="n">
        <x:v>0.09</x:v>
      </x:c>
      <x:c r="AM4504" t="n">
        <x:f>CHOOSE('假设'!$B$3,AJ4504,AK4504,AL4504)</x:f>
        <x:v>0.07</x:v>
      </x:c>
      <x:c r="AN4504" t="n">
        <x:v>0.22802197802197802</x:v>
      </x:c>
    </x:row>
    <x:row r="4505" ht="23" customHeight="1">
      <x:c r="A4505" s="11" t="str">
        <x:v>02162.HK</x:v>
      </x:c>
      <x:c r="B4505" s="11" t="str">
        <x:v>三年</x:v>
      </x:c>
      <x:c r="C4505" s="11" t="str">
        <x:v>CM313_domestic</x:v>
      </x:c>
      <x:c r="D4505" s="11" t="str">
        <x:v>2030-12-31</x:v>
      </x:c>
      <x:c r="E4505" s="11" t="str">
        <x:v>CNY</x:v>
      </x:c>
      <x:c r="F4505" s="11" t="n">
        <x:v>1.2265571526351813</x:v>
      </x:c>
      <x:c r="G4505" s="26" t="b">
        <x:v>1</x:v>
      </x:c>
      <x:c r="H4505" s="16" t="n">
        <x:v>0</x:v>
      </x:c>
      <x:c r="I4505" s="16" t="n">
        <x:v>0.072</x:v>
      </x:c>
      <x:c r="J4505" s="16" t="n">
        <x:v>0.44999999999999996</x:v>
      </x:c>
      <x:c r="K4505" s="11" t="n">
        <x:f>CHOOSE('假设'!$B$3,H4505,I4505,J4505)</x:f>
        <x:v>0.072</x:v>
      </x:c>
      <x:c r="L4505" s="11" t="n">
        <x:f>K4505*'管线假设'!E971*'管线假设'!F971*'管线假设'!G971*IF(E4505="USD",'管线假设'!I971,1)-AM4505</x:f>
        <x:v>0.00972</x:v>
      </x:c>
      <x:c r="M4505" s="11" t="n">
        <x:f>'管线假设'!H971</x:f>
        <x:v>0.14</x:v>
      </x:c>
      <x:c r="N4505" s="11" t="n">
        <x:f>IF(G4505,L4505*AN4505/(1+M4505)^F4505,0)</x:f>
        <x:v>0.008276928670091045</x:v>
      </x:c>
      <x:c r="AJ4505" s="42" t="n">
        <x:v>0</x:v>
      </x:c>
      <x:c r="AK4505" s="42" t="n">
        <x:v>0</x:v>
      </x:c>
      <x:c r="AL4505" s="42" t="n">
        <x:v>0</x:v>
      </x:c>
      <x:c r="AM4505" t="n">
        <x:f>CHOOSE('假设'!$B$3,AJ4505,AK4505,AL4505)</x:f>
        <x:v>0</x:v>
      </x:c>
      <x:c r="AN4505" t="n">
        <x:v>1</x:v>
      </x:c>
    </x:row>
    <x:row r="4506" ht="23" customHeight="1">
      <x:c r="A4506" s="11" t="str">
        <x:v>02162.HK</x:v>
      </x:c>
      <x:c r="B4506" s="11" t="str">
        <x:v>三年</x:v>
      </x:c>
      <x:c r="C4506" s="11" t="str">
        <x:v>CM313_domestic</x:v>
      </x:c>
      <x:c r="D4506" s="11" t="str">
        <x:v>2031-12-31</x:v>
      </x:c>
      <x:c r="E4506" s="11" t="str">
        <x:v>CNY</x:v>
      </x:c>
      <x:c r="F4506" s="11" t="n">
        <x:v>2.2258726899383983</x:v>
      </x:c>
      <x:c r="G4506" s="26" t="b">
        <x:v>1</x:v>
      </x:c>
      <x:c r="H4506" s="16" t="n">
        <x:v>0</x:v>
      </x:c>
      <x:c r="I4506" s="16" t="n">
        <x:v>0.216</x:v>
      </x:c>
      <x:c r="J4506" s="16" t="n">
        <x:v>0.95</x:v>
      </x:c>
      <x:c r="K4506" s="11" t="n">
        <x:f>CHOOSE('假设'!$B$3,H4506,I4506,J4506)</x:f>
        <x:v>0.216</x:v>
      </x:c>
      <x:c r="L4506" s="11" t="n">
        <x:f>K4506*'管线假设'!E971*'管线假设'!F971*'管线假设'!G971*IF(E4506="USD",'管线假设'!I971,1)-AM4506</x:f>
        <x:v>0.02916</x:v>
      </x:c>
      <x:c r="M4506" s="11" t="n">
        <x:f>'管线假设'!H971</x:f>
        <x:v>0.14</x:v>
      </x:c>
      <x:c r="N4506" s="11" t="n">
        <x:f>IF(G4506,L4506*AN4506/(1+M4506)^F4506,0)</x:f>
        <x:v>0.02178334476605392</x:v>
      </x:c>
      <x:c r="AJ4506" s="42" t="n">
        <x:v>0</x:v>
      </x:c>
      <x:c r="AK4506" s="42" t="n">
        <x:v>0</x:v>
      </x:c>
      <x:c r="AL4506" s="42" t="n">
        <x:v>0</x:v>
      </x:c>
      <x:c r="AM4506" t="n">
        <x:f>CHOOSE('假设'!$B$3,AJ4506,AK4506,AL4506)</x:f>
        <x:v>0</x:v>
      </x:c>
      <x:c r="AN4506" t="n">
        <x:v>1</x:v>
      </x:c>
    </x:row>
    <x:row r="4507" ht="23" customHeight="1">
      <x:c r="A4507" s="11" t="str">
        <x:v>02162.HK</x:v>
      </x:c>
      <x:c r="B4507" s="11" t="str">
        <x:v>三年</x:v>
      </x:c>
      <x:c r="C4507" s="11" t="str">
        <x:v>CM313_domestic</x:v>
      </x:c>
      <x:c r="D4507" s="11" t="str">
        <x:v>2032-12-31</x:v>
      </x:c>
      <x:c r="E4507" s="11" t="str">
        <x:v>CNY</x:v>
      </x:c>
      <x:c r="F4507" s="11" t="n">
        <x:v>3.2279260780287475</x:v>
      </x:c>
      <x:c r="G4507" s="26" t="b">
        <x:v>1</x:v>
      </x:c>
      <x:c r="H4507" s="16" t="n">
        <x:v>0.024</x:v>
      </x:c>
      <x:c r="I4507" s="16" t="n">
        <x:v>0.45599999999999996</x:v>
      </x:c>
      <x:c r="J4507" s="16" t="n">
        <x:v>1.625</x:v>
      </x:c>
      <x:c r="K4507" s="11" t="n">
        <x:f>CHOOSE('假设'!$B$3,H4507,I4507,J4507)</x:f>
        <x:v>0.45599999999999996</x:v>
      </x:c>
      <x:c r="L4507" s="11" t="n">
        <x:f>K4507*'管线假设'!E971*'管线假设'!F971*'管线假设'!G971*IF(E4507="USD",'管线假设'!I971,1)-AM4507</x:f>
        <x:v>0.06155999999999999</x:v>
      </x:c>
      <x:c r="M4507" s="11" t="n">
        <x:f>'管线假设'!H971</x:f>
        <x:v>0.14</x:v>
      </x:c>
      <x:c r="N4507" s="11" t="n">
        <x:f>IF(G4507,L4507*AN4507/(1+M4507)^F4507,0)</x:f>
        <x:v>0.040328675379071435</x:v>
      </x:c>
      <x:c r="AJ4507" s="42" t="n">
        <x:v>0</x:v>
      </x:c>
      <x:c r="AK4507" s="42" t="n">
        <x:v>0</x:v>
      </x:c>
      <x:c r="AL4507" s="42" t="n">
        <x:v>0</x:v>
      </x:c>
      <x:c r="AM4507" t="n">
        <x:f>CHOOSE('假设'!$B$3,AJ4507,AK4507,AL4507)</x:f>
        <x:v>0</x:v>
      </x:c>
      <x:c r="AN4507" t="n">
        <x:v>1</x:v>
      </x:c>
    </x:row>
    <x:row r="4508" ht="23" customHeight="1">
      <x:c r="A4508" s="11" t="str">
        <x:v>02162.HK</x:v>
      </x:c>
      <x:c r="B4508" s="11" t="str">
        <x:v>三年</x:v>
      </x:c>
      <x:c r="C4508" s="11" t="str">
        <x:v>CM313_domestic</x:v>
      </x:c>
      <x:c r="D4508" s="11" t="str">
        <x:v>2033-12-31</x:v>
      </x:c>
      <x:c r="E4508" s="11" t="str">
        <x:v>CNY</x:v>
      </x:c>
      <x:c r="F4508" s="11" t="n">
        <x:v>4.227241615331964</x:v>
      </x:c>
      <x:c r="G4508" s="26" t="b">
        <x:v>1</x:v>
      </x:c>
      <x:c r="H4508" s="16" t="n">
        <x:v>0.072</x:v>
      </x:c>
      <x:c r="I4508" s="16" t="n">
        <x:v>0.78</x:v>
      </x:c>
      <x:c r="J4508" s="16" t="n">
        <x:v>2.125</x:v>
      </x:c>
      <x:c r="K4508" s="11" t="n">
        <x:f>CHOOSE('假设'!$B$3,H4508,I4508,J4508)</x:f>
        <x:v>0.78</x:v>
      </x:c>
      <x:c r="L4508" s="11" t="n">
        <x:f>K4508*'管线假设'!E971*'管线假设'!F971*'管线假设'!G971*IF(E4508="USD",'管线假设'!I971,1)-AM4508</x:f>
        <x:v>0.10529999999999999</x:v>
      </x:c>
      <x:c r="M4508" s="11" t="n">
        <x:f>'管线假设'!H971</x:f>
        <x:v>0.14</x:v>
      </x:c>
      <x:c r="N4508" s="11" t="n">
        <x:f>IF(G4508,L4508*AN4508/(1+M4508)^F4508,0)</x:f>
        <x:v>0.060517059198326735</x:v>
      </x:c>
      <x:c r="AJ4508" s="42" t="n">
        <x:v>0</x:v>
      </x:c>
      <x:c r="AK4508" s="42" t="n">
        <x:v>0</x:v>
      </x:c>
      <x:c r="AL4508" s="42" t="n">
        <x:v>0</x:v>
      </x:c>
      <x:c r="AM4508" t="n">
        <x:f>CHOOSE('假设'!$B$3,AJ4508,AK4508,AL4508)</x:f>
        <x:v>0</x:v>
      </x:c>
      <x:c r="AN4508" t="n">
        <x:v>1</x:v>
      </x:c>
    </x:row>
    <x:row r="4509" ht="23" customHeight="1">
      <x:c r="A4509" s="11" t="str">
        <x:v>02162.HK</x:v>
      </x:c>
      <x:c r="B4509" s="11" t="str">
        <x:v>三年</x:v>
      </x:c>
      <x:c r="C4509" s="11" t="str">
        <x:v>CM313_domestic</x:v>
      </x:c>
      <x:c r="D4509" s="11" t="str">
        <x:v>2034-12-31</x:v>
      </x:c>
      <x:c r="E4509" s="11" t="str">
        <x:v>CNY</x:v>
      </x:c>
      <x:c r="F4509" s="11" t="n">
        <x:v>5.2265571526351815</x:v>
      </x:c>
      <x:c r="G4509" s="26" t="b">
        <x:v>1</x:v>
      </x:c>
      <x:c r="H4509" s="16" t="n">
        <x:v>0.15200000000000002</x:v>
      </x:c>
      <x:c r="I4509" s="16" t="n">
        <x:v>1.02</x:v>
      </x:c>
      <x:c r="J4509" s="16" t="n">
        <x:v>2.5</x:v>
      </x:c>
      <x:c r="K4509" s="11" t="n">
        <x:f>CHOOSE('假设'!$B$3,H4509,I4509,J4509)</x:f>
        <x:v>1.02</x:v>
      </x:c>
      <x:c r="L4509" s="11" t="n">
        <x:f>K4509*'管线假设'!E971*'管线假设'!F971*'管线假设'!G971*IF(E4509="USD",'管线假设'!I971,1)-AM4509</x:f>
        <x:v>0.1377</x:v>
      </x:c>
      <x:c r="M4509" s="11" t="n">
        <x:f>'管线假设'!H971</x:f>
        <x:v>0.14</x:v>
      </x:c>
      <x:c r="N4509" s="11" t="n">
        <x:f>IF(G4509,L4509*AN4509/(1+M4509)^F4509,0)</x:f>
        <x:v>0.06942525482244437</x:v>
      </x:c>
      <x:c r="AJ4509" s="42" t="n">
        <x:v>0</x:v>
      </x:c>
      <x:c r="AK4509" s="42" t="n">
        <x:v>0</x:v>
      </x:c>
      <x:c r="AL4509" s="42" t="n">
        <x:v>0</x:v>
      </x:c>
      <x:c r="AM4509" t="n">
        <x:f>CHOOSE('假设'!$B$3,AJ4509,AK4509,AL4509)</x:f>
        <x:v>0</x:v>
      </x:c>
      <x:c r="AN4509" t="n">
        <x:v>1</x:v>
      </x:c>
    </x:row>
    <x:row r="4510" ht="23" customHeight="1">
      <x:c r="A4510" s="11" t="str">
        <x:v>02162.HK</x:v>
      </x:c>
      <x:c r="B4510" s="11" t="str">
        <x:v>三年</x:v>
      </x:c>
      <x:c r="C4510" s="11" t="str">
        <x:v>CM313_domestic</x:v>
      </x:c>
      <x:c r="D4510" s="11" t="str">
        <x:v>2035-12-31</x:v>
      </x:c>
      <x:c r="E4510" s="11" t="str">
        <x:v>CNY</x:v>
      </x:c>
      <x:c r="F4510" s="11" t="n">
        <x:v>6.225872689938399</x:v>
      </x:c>
      <x:c r="G4510" s="26" t="b">
        <x:v>1</x:v>
      </x:c>
      <x:c r="H4510" s="16" t="n">
        <x:v>0.26</x:v>
      </x:c>
      <x:c r="I4510" s="16" t="n">
        <x:v>1.2</x:v>
      </x:c>
      <x:c r="J4510" s="16" t="n">
        <x:v>2.5</x:v>
      </x:c>
      <x:c r="K4510" s="11" t="n">
        <x:f>CHOOSE('假设'!$B$3,H4510,I4510,J4510)</x:f>
        <x:v>1.2</x:v>
      </x:c>
      <x:c r="L4510" s="11" t="n">
        <x:f>K4510*'管线假设'!E971*'管线假设'!F971*'管线假设'!G971*IF(E4510="USD",'管线假设'!I971,1)-AM4510</x:f>
        <x:v>0.162</x:v>
      </x:c>
      <x:c r="M4510" s="11" t="n">
        <x:f>'管线假设'!H971</x:f>
        <x:v>0.14</x:v>
      </x:c>
      <x:c r="N4510" s="11" t="n">
        <x:f>IF(G4510,L4510*AN4510/(1+M4510)^F4510,0)</x:f>
        <x:v>0.0716527156174204</x:v>
      </x:c>
      <x:c r="AJ4510" s="42" t="n">
        <x:v>0</x:v>
      </x:c>
      <x:c r="AK4510" s="42" t="n">
        <x:v>0</x:v>
      </x:c>
      <x:c r="AL4510" s="42" t="n">
        <x:v>0</x:v>
      </x:c>
      <x:c r="AM4510" t="n">
        <x:f>CHOOSE('假设'!$B$3,AJ4510,AK4510,AL4510)</x:f>
        <x:v>0</x:v>
      </x:c>
      <x:c r="AN4510" t="n">
        <x:v>1</x:v>
      </x:c>
    </x:row>
    <x:row r="4511" ht="23" customHeight="1">
      <x:c r="A4511" s="11" t="str">
        <x:v>02162.HK</x:v>
      </x:c>
      <x:c r="B4511" s="11" t="str">
        <x:v>三年</x:v>
      </x:c>
      <x:c r="C4511" s="11" t="str">
        <x:v>CM313_domestic</x:v>
      </x:c>
      <x:c r="D4511" s="11" t="str">
        <x:v>2036-12-31</x:v>
      </x:c>
      <x:c r="E4511" s="11" t="str">
        <x:v>CNY</x:v>
      </x:c>
      <x:c r="F4511" s="11" t="n">
        <x:v>7.227926078028747</x:v>
      </x:c>
      <x:c r="G4511" s="26" t="b">
        <x:v>1</x:v>
      </x:c>
      <x:c r="H4511" s="16" t="n">
        <x:v>0.34</x:v>
      </x:c>
      <x:c r="I4511" s="16" t="n">
        <x:v>1.2</x:v>
      </x:c>
      <x:c r="J4511" s="16" t="n">
        <x:v>2.375</x:v>
      </x:c>
      <x:c r="K4511" s="11" t="n">
        <x:f>CHOOSE('假设'!$B$3,H4511,I4511,J4511)</x:f>
        <x:v>1.2</x:v>
      </x:c>
      <x:c r="L4511" s="11" t="n">
        <x:f>K4511*'管线假设'!E971*'管线假设'!F971*'管线假设'!G971*IF(E4511="USD",'管线假设'!I971,1)-AM4511</x:f>
        <x:v>0.162</x:v>
      </x:c>
      <x:c r="M4511" s="11" t="n">
        <x:f>'管线假设'!H971</x:f>
        <x:v>0.14</x:v>
      </x:c>
      <x:c r="N4511" s="11" t="n">
        <x:f>IF(G4511,L4511*AN4511/(1+M4511)^F4511,0)</x:f>
        <x:v>0.06283635080108671</x:v>
      </x:c>
      <x:c r="AJ4511" s="42" t="n">
        <x:v>0</x:v>
      </x:c>
      <x:c r="AK4511" s="42" t="n">
        <x:v>0</x:v>
      </x:c>
      <x:c r="AL4511" s="42" t="n">
        <x:v>0</x:v>
      </x:c>
      <x:c r="AM4511" t="n">
        <x:f>CHOOSE('假设'!$B$3,AJ4511,AK4511,AL4511)</x:f>
        <x:v>0</x:v>
      </x:c>
      <x:c r="AN4511" t="n">
        <x:v>1</x:v>
      </x:c>
    </x:row>
    <x:row r="4512" ht="23" customHeight="1">
      <x:c r="A4512" s="11" t="str">
        <x:v>02162.HK</x:v>
      </x:c>
      <x:c r="B4512" s="11" t="str">
        <x:v>三年</x:v>
      </x:c>
      <x:c r="C4512" s="11" t="str">
        <x:v>CM313_domestic</x:v>
      </x:c>
      <x:c r="D4512" s="11" t="str">
        <x:v>2037-12-31</x:v>
      </x:c>
      <x:c r="E4512" s="11" t="str">
        <x:v>CNY</x:v>
      </x:c>
      <x:c r="F4512" s="11" t="n">
        <x:v>8.227241615331964</x:v>
      </x:c>
      <x:c r="G4512" s="26" t="b">
        <x:v>1</x:v>
      </x:c>
      <x:c r="H4512" s="16" t="n">
        <x:v>0.4</x:v>
      </x:c>
      <x:c r="I4512" s="16" t="n">
        <x:v>1.14</x:v>
      </x:c>
      <x:c r="J4512" s="16" t="n">
        <x:v>2.25</x:v>
      </x:c>
      <x:c r="K4512" s="11" t="n">
        <x:f>CHOOSE('假设'!$B$3,H4512,I4512,J4512)</x:f>
        <x:v>1.14</x:v>
      </x:c>
      <x:c r="L4512" s="11" t="n">
        <x:f>K4512*'管线假设'!E971*'管线假设'!F971*'管线假设'!G971*IF(E4512="USD",'管线假设'!I971,1)-AM4512</x:f>
        <x:v>0.15389999999999998</x:v>
      </x:c>
      <x:c r="M4512" s="11" t="n">
        <x:f>'管线假设'!H971</x:f>
        <x:v>0.14</x:v>
      </x:c>
      <x:c r="N4512" s="11" t="n">
        <x:f>IF(G4512,L4512*AN4512/(1+M4512)^F4512,0)</x:f>
        <x:v>0.052368322055361224</x:v>
      </x:c>
      <x:c r="AJ4512" s="42" t="n">
        <x:v>0</x:v>
      </x:c>
      <x:c r="AK4512" s="42" t="n">
        <x:v>0</x:v>
      </x:c>
      <x:c r="AL4512" s="42" t="n">
        <x:v>0</x:v>
      </x:c>
      <x:c r="AM4512" t="n">
        <x:f>CHOOSE('假设'!$B$3,AJ4512,AK4512,AL4512)</x:f>
        <x:v>0</x:v>
      </x:c>
      <x:c r="AN4512" t="n">
        <x:v>1</x:v>
      </x:c>
    </x:row>
    <x:row r="4513" ht="23" customHeight="1">
      <x:c r="A4513" s="11" t="str">
        <x:v>02162.HK</x:v>
      </x:c>
      <x:c r="B4513" s="11" t="str">
        <x:v>三年</x:v>
      </x:c>
      <x:c r="C4513" s="11" t="str">
        <x:v>CM313_domestic</x:v>
      </x:c>
      <x:c r="D4513" s="11" t="str">
        <x:v>2038-12-31</x:v>
      </x:c>
      <x:c r="E4513" s="11" t="str">
        <x:v>CNY</x:v>
      </x:c>
      <x:c r="F4513" s="11" t="n">
        <x:v>9.22655715263518</x:v>
      </x:c>
      <x:c r="G4513" s="26" t="b">
        <x:v>1</x:v>
      </x:c>
      <x:c r="H4513" s="16" t="n">
        <x:v>0.4</x:v>
      </x:c>
      <x:c r="I4513" s="16" t="n">
        <x:v>1.08</x:v>
      </x:c>
      <x:c r="J4513" s="16" t="n">
        <x:v>2</x:v>
      </x:c>
      <x:c r="K4513" s="11" t="n">
        <x:f>CHOOSE('假设'!$B$3,H4513,I4513,J4513)</x:f>
        <x:v>1.08</x:v>
      </x:c>
      <x:c r="L4513" s="11" t="n">
        <x:f>K4513*'管线假设'!E971*'管线假设'!F971*'管线假设'!G971*IF(E4513="USD",'管线假设'!I971,1)-AM4513</x:f>
        <x:v>0.1458</x:v>
      </x:c>
      <x:c r="M4513" s="11" t="n">
        <x:f>'管线假设'!H971</x:f>
        <x:v>0.14</x:v>
      </x:c>
      <x:c r="N4513" s="11" t="n">
        <x:f>IF(G4513,L4513*AN4513/(1+M4513)^F4513,0)</x:f>
        <x:v>0.04352328437481418</x:v>
      </x:c>
      <x:c r="AJ4513" s="42" t="n">
        <x:v>0</x:v>
      </x:c>
      <x:c r="AK4513" s="42" t="n">
        <x:v>0</x:v>
      </x:c>
      <x:c r="AL4513" s="42" t="n">
        <x:v>0</x:v>
      </x:c>
      <x:c r="AM4513" t="n">
        <x:f>CHOOSE('假设'!$B$3,AJ4513,AK4513,AL4513)</x:f>
        <x:v>0</x:v>
      </x:c>
      <x:c r="AN4513" t="n">
        <x:v>1</x:v>
      </x:c>
    </x:row>
    <x:row r="4514" ht="23" customHeight="1">
      <x:c r="A4514" s="11" t="str">
        <x:v>02162.HK</x:v>
      </x:c>
      <x:c r="B4514" s="11" t="str">
        <x:v>三年</x:v>
      </x:c>
      <x:c r="C4514" s="11" t="str">
        <x:v>CM313_domestic</x:v>
      </x:c>
      <x:c r="D4514" s="11" t="str">
        <x:v>2039-12-31</x:v>
      </x:c>
      <x:c r="E4514" s="11" t="str">
        <x:v>CNY</x:v>
      </x:c>
      <x:c r="F4514" s="11" t="n">
        <x:v>10.225872689938399</x:v>
      </x:c>
      <x:c r="G4514" s="26" t="b">
        <x:v>1</x:v>
      </x:c>
      <x:c r="H4514" s="16" t="n">
        <x:v>0.38</x:v>
      </x:c>
      <x:c r="I4514" s="16" t="n">
        <x:v>0.96</x:v>
      </x:c>
      <x:c r="J4514" s="16" t="n">
        <x:v>1.625</x:v>
      </x:c>
      <x:c r="K4514" s="11" t="n">
        <x:f>CHOOSE('假设'!$B$3,H4514,I4514,J4514)</x:f>
        <x:v>0.96</x:v>
      </x:c>
      <x:c r="L4514" s="11" t="n">
        <x:f>K4514*'管线假设'!E971*'管线假设'!F971*'管线假设'!G971*IF(E4514="USD",'管线假设'!I971,1)-AM4514</x:f>
        <x:v>0.1296</x:v>
      </x:c>
      <x:c r="M4514" s="11" t="n">
        <x:f>'管线假设'!H971</x:f>
        <x:v>0.14</x:v>
      </x:c>
      <x:c r="N4514" s="11" t="n">
        <x:f>IF(G4514,L4514*AN4514/(1+M4514)^F4514,0)</x:f>
        <x:v>0.03393932778967166</x:v>
      </x:c>
      <x:c r="AJ4514" s="42" t="n">
        <x:v>0</x:v>
      </x:c>
      <x:c r="AK4514" s="42" t="n">
        <x:v>0</x:v>
      </x:c>
      <x:c r="AL4514" s="42" t="n">
        <x:v>0</x:v>
      </x:c>
      <x:c r="AM4514" t="n">
        <x:f>CHOOSE('假设'!$B$3,AJ4514,AK4514,AL4514)</x:f>
        <x:v>0</x:v>
      </x:c>
      <x:c r="AN4514" t="n">
        <x:v>1</x:v>
      </x:c>
    </x:row>
    <x:row r="4515" ht="23" customHeight="1">
      <x:c r="A4515" s="11" t="str">
        <x:v>02162.HK</x:v>
      </x:c>
      <x:c r="B4515" s="11" t="str">
        <x:v>三年</x:v>
      </x:c>
      <x:c r="C4515" s="11" t="str">
        <x:v>CM313_domestic</x:v>
      </x:c>
      <x:c r="D4515" s="11" t="str">
        <x:v>2040-12-31</x:v>
      </x:c>
      <x:c r="E4515" s="11" t="str">
        <x:v>CNY</x:v>
      </x:c>
      <x:c r="F4515" s="11" t="n">
        <x:v>11.227926078028748</x:v>
      </x:c>
      <x:c r="G4515" s="26" t="b">
        <x:v>1</x:v>
      </x:c>
      <x:c r="H4515" s="16" t="n">
        <x:v>0.36000000000000004</x:v>
      </x:c>
      <x:c r="I4515" s="16" t="n">
        <x:v>0.78</x:v>
      </x:c>
      <x:c r="J4515" s="16" t="n">
        <x:v>1.25</x:v>
      </x:c>
      <x:c r="K4515" s="11" t="n">
        <x:f>CHOOSE('假设'!$B$3,H4515,I4515,J4515)</x:f>
        <x:v>0.78</x:v>
      </x:c>
      <x:c r="L4515" s="11" t="n">
        <x:f>K4515*'管线假设'!E971*'管线假设'!F971*'管线假设'!G971*IF(E4515="USD",'管线假设'!I971,1)-AM4515</x:f>
        <x:v>0.10529999999999999</x:v>
      </x:c>
      <x:c r="M4515" s="11" t="n">
        <x:f>'管线假设'!H971</x:f>
        <x:v>0.14</x:v>
      </x:c>
      <x:c r="N4515" s="11" t="n">
        <x:f>IF(G4515,L4515*AN4515/(1+M4515)^F4515,0)</x:f>
        <x:v>0.02418270660730466</x:v>
      </x:c>
      <x:c r="AJ4515" s="42" t="n">
        <x:v>0</x:v>
      </x:c>
      <x:c r="AK4515" s="42" t="n">
        <x:v>0</x:v>
      </x:c>
      <x:c r="AL4515" s="42" t="n">
        <x:v>0</x:v>
      </x:c>
      <x:c r="AM4515" t="n">
        <x:f>CHOOSE('假设'!$B$3,AJ4515,AK4515,AL4515)</x:f>
        <x:v>0</x:v>
      </x:c>
      <x:c r="AN4515" t="n">
        <x:v>1</x:v>
      </x:c>
    </x:row>
    <x:row r="4516" ht="23" customHeight="1">
      <x:c r="A4516" s="11" t="str">
        <x:v>02162.HK</x:v>
      </x:c>
      <x:c r="B4516" s="11" t="str">
        <x:v>三年</x:v>
      </x:c>
      <x:c r="C4516" s="11" t="str">
        <x:v>CM313_domestic</x:v>
      </x:c>
      <x:c r="D4516" s="11" t="str">
        <x:v>2041-12-31</x:v>
      </x:c>
      <x:c r="E4516" s="11" t="str">
        <x:v>CNY</x:v>
      </x:c>
      <x:c r="F4516" s="11" t="n">
        <x:v>12.227241615331964</x:v>
      </x:c>
      <x:c r="G4516" s="26" t="b">
        <x:v>1</x:v>
      </x:c>
      <x:c r="H4516" s="16" t="n">
        <x:v>0.32000000000000006</x:v>
      </x:c>
      <x:c r="I4516" s="16" t="n">
        <x:v>0.6</x:v>
      </x:c>
      <x:c r="J4516" s="16" t="n">
        <x:v>0.875</x:v>
      </x:c>
      <x:c r="K4516" s="11" t="n">
        <x:f>CHOOSE('假设'!$B$3,H4516,I4516,J4516)</x:f>
        <x:v>0.6</x:v>
      </x:c>
      <x:c r="L4516" s="11" t="n">
        <x:f>K4516*'管线假设'!E971*'管线假设'!F971*'管线假设'!G971*IF(E4516="USD",'管线假设'!I971,1)-AM4516</x:f>
        <x:v>0.081</x:v>
      </x:c>
      <x:c r="M4516" s="11" t="n">
        <x:f>'管线假设'!H971</x:f>
        <x:v>0.14</x:v>
      </x:c>
      <x:c r="N4516" s="11" t="n">
        <x:f>IF(G4516,L4516*AN4516/(1+M4516)^F4516,0)</x:f>
        <x:v>0.016319079288394572</x:v>
      </x:c>
      <x:c r="AJ4516" s="42" t="n">
        <x:v>0</x:v>
      </x:c>
      <x:c r="AK4516" s="42" t="n">
        <x:v>0</x:v>
      </x:c>
      <x:c r="AL4516" s="42" t="n">
        <x:v>0</x:v>
      </x:c>
      <x:c r="AM4516" t="n">
        <x:f>CHOOSE('假设'!$B$3,AJ4516,AK4516,AL4516)</x:f>
        <x:v>0</x:v>
      </x:c>
      <x:c r="AN4516" t="n">
        <x:v>1</x:v>
      </x:c>
    </x:row>
    <x:row r="4517" ht="23" customHeight="1">
      <x:c r="A4517" s="11" t="str">
        <x:v>02162.HK</x:v>
      </x:c>
      <x:c r="B4517" s="11" t="str">
        <x:v>三年</x:v>
      </x:c>
      <x:c r="C4517" s="11" t="str">
        <x:v>CM313_domestic</x:v>
      </x:c>
      <x:c r="D4517" s="11" t="str">
        <x:v>2042-12-31</x:v>
      </x:c>
      <x:c r="E4517" s="11" t="str">
        <x:v>CNY</x:v>
      </x:c>
      <x:c r="F4517" s="11" t="n">
        <x:v>13.22655715263518</x:v>
      </x:c>
      <x:c r="G4517" s="26" t="b">
        <x:v>1</x:v>
      </x:c>
      <x:c r="H4517" s="16" t="n">
        <x:v>0.26</x:v>
      </x:c>
      <x:c r="I4517" s="16" t="n">
        <x:v>0.42</x:v>
      </x:c>
      <x:c r="J4517" s="16" t="n">
        <x:v>0.5</x:v>
      </x:c>
      <x:c r="K4517" s="11" t="n">
        <x:f>CHOOSE('假设'!$B$3,H4517,I4517,J4517)</x:f>
        <x:v>0.42</x:v>
      </x:c>
      <x:c r="L4517" s="11" t="n">
        <x:f>K4517*'管线假设'!E971*'管线假设'!F971*'管线假设'!G971*IF(E4517="USD",'管线假设'!I971,1)-AM4517</x:f>
        <x:v>0.0567</x:v>
      </x:c>
      <x:c r="M4517" s="11" t="n">
        <x:f>'管线假设'!H971</x:f>
        <x:v>0.14</x:v>
      </x:c>
      <x:c r="N4517" s="11" t="n">
        <x:f>IF(G4517,L4517*AN4517/(1+M4517)^F4517,0)</x:f>
        <x:v>0.010021385999606183</x:v>
      </x:c>
      <x:c r="AJ4517" s="42" t="n">
        <x:v>0</x:v>
      </x:c>
      <x:c r="AK4517" s="42" t="n">
        <x:v>0</x:v>
      </x:c>
      <x:c r="AL4517" s="42" t="n">
        <x:v>0</x:v>
      </x:c>
      <x:c r="AM4517" t="n">
        <x:f>CHOOSE('假设'!$B$3,AJ4517,AK4517,AL4517)</x:f>
        <x:v>0</x:v>
      </x:c>
      <x:c r="AN4517" t="n">
        <x:v>1</x:v>
      </x:c>
    </x:row>
    <x:row r="4518" ht="23" customHeight="1">
      <x:c r="A4518" s="11" t="str">
        <x:v>02162.HK</x:v>
      </x:c>
      <x:c r="B4518" s="11" t="str">
        <x:v>三年</x:v>
      </x:c>
      <x:c r="C4518" s="11" t="str">
        <x:v>CM313_domestic</x:v>
      </x:c>
      <x:c r="D4518" s="11" t="str">
        <x:v>2043-12-31</x:v>
      </x:c>
      <x:c r="E4518" s="11" t="str">
        <x:v>CNY</x:v>
      </x:c>
      <x:c r="F4518" s="11" t="n">
        <x:v>14.225872689938399</x:v>
      </x:c>
      <x:c r="G4518" s="26" t="b">
        <x:v>1</x:v>
      </x:c>
      <x:c r="H4518" s="16" t="n">
        <x:v>0.2</x:v>
      </x:c>
      <x:c r="I4518" s="16" t="n">
        <x:v>0.24</x:v>
      </x:c>
      <x:c r="J4518" s="16" t="n">
        <x:v>0.3</x:v>
      </x:c>
      <x:c r="K4518" s="11" t="n">
        <x:f>CHOOSE('假设'!$B$3,H4518,I4518,J4518)</x:f>
        <x:v>0.24</x:v>
      </x:c>
      <x:c r="L4518" s="11" t="n">
        <x:f>K4518*'管线假设'!E971*'管线假设'!F971*'管线假设'!G971*IF(E4518="USD",'管线假设'!I971,1)-AM4518</x:f>
        <x:v>0.0324</x:v>
      </x:c>
      <x:c r="M4518" s="11" t="n">
        <x:f>'管线假设'!H971</x:f>
        <x:v>0.14</x:v>
      </x:c>
      <x:c r="N4518" s="11" t="n">
        <x:f>IF(G4518,L4518*AN4518/(1+M4518)^F4518,0)</x:f>
        <x:v>0.005023701652866644</x:v>
      </x:c>
      <x:c r="AJ4518" s="42" t="n">
        <x:v>0</x:v>
      </x:c>
      <x:c r="AK4518" s="42" t="n">
        <x:v>0</x:v>
      </x:c>
      <x:c r="AL4518" s="42" t="n">
        <x:v>0</x:v>
      </x:c>
      <x:c r="AM4518" t="n">
        <x:f>CHOOSE('假设'!$B$3,AJ4518,AK4518,AL4518)</x:f>
        <x:v>0</x:v>
      </x:c>
      <x:c r="AN4518" t="n">
        <x:v>1</x:v>
      </x:c>
    </x:row>
    <x:row r="4519" ht="23" customHeight="1">
      <x:c r="A4519" s="11" t="str">
        <x:v>02162.HK</x:v>
      </x:c>
      <x:c r="B4519" s="11" t="str">
        <x:v>三年</x:v>
      </x:c>
      <x:c r="C4519" s="11" t="str">
        <x:v>CM313_domestic</x:v>
      </x:c>
      <x:c r="D4519" s="11" t="str">
        <x:v>2044-12-31</x:v>
      </x:c>
      <x:c r="E4519" s="11" t="str">
        <x:v>CNY</x:v>
      </x:c>
      <x:c r="F4519" s="11" t="n">
        <x:v>15.227926078028748</x:v>
      </x:c>
      <x:c r="G4519" s="26" t="b">
        <x:v>1</x:v>
      </x:c>
      <x:c r="H4519" s="16" t="n">
        <x:v>0.13999999999999999</x:v>
      </x:c>
      <x:c r="I4519" s="16" t="n">
        <x:v>0.144</x:v>
      </x:c>
      <x:c r="J4519" s="16" t="n">
        <x:v>0.17500000000000002</x:v>
      </x:c>
      <x:c r="K4519" s="11" t="n">
        <x:f>CHOOSE('假设'!$B$3,H4519,I4519,J4519)</x:f>
        <x:v>0.144</x:v>
      </x:c>
      <x:c r="L4519" s="11" t="n">
        <x:f>K4519*'管线假设'!E971*'管线假设'!F971*'管线假设'!G971*IF(E4519="USD",'管线假设'!I971,1)-AM4519</x:f>
        <x:v>0.01944</x:v>
      </x:c>
      <x:c r="M4519" s="11" t="n">
        <x:f>'管线假设'!H971</x:f>
        <x:v>0.14</x:v>
      </x:c>
      <x:c r="N4519" s="11" t="n">
        <x:f>IF(G4519,L4519*AN4519/(1+M4519)^F4519,0)</x:f>
        <x:v>0.0026433422096519736</x:v>
      </x:c>
      <x:c r="AJ4519" s="42" t="n">
        <x:v>0</x:v>
      </x:c>
      <x:c r="AK4519" s="42" t="n">
        <x:v>0</x:v>
      </x:c>
      <x:c r="AL4519" s="42" t="n">
        <x:v>0</x:v>
      </x:c>
      <x:c r="AM4519" t="n">
        <x:f>CHOOSE('假设'!$B$3,AJ4519,AK4519,AL4519)</x:f>
        <x:v>0</x:v>
      </x:c>
      <x:c r="AN4519" t="n">
        <x:v>1</x:v>
      </x:c>
    </x:row>
    <x:row r="4520" ht="23" customHeight="1">
      <x:c r="A4520" s="11" t="str">
        <x:v>02162.HK</x:v>
      </x:c>
      <x:c r="B4520" s="11" t="str">
        <x:v>三年</x:v>
      </x:c>
      <x:c r="C4520" s="11" t="str">
        <x:v>CM326_China</x:v>
      </x:c>
      <x:c r="D4520" s="11" t="str">
        <x:v>2026-12-31</x:v>
      </x:c>
      <x:c r="E4520" s="11" t="str">
        <x:v>CNY</x:v>
      </x:c>
      <x:c r="F4520" s="11" t="n">
        <x:v>-2.7734428473648185</x:v>
      </x:c>
      <x:c r="G4520" s="26" t="b">
        <x:v>0</x:v>
      </x:c>
      <x:c r="H4520" s="16" t="n">
        <x:v>0</x:v>
      </x:c>
      <x:c r="I4520" s="16" t="n">
        <x:v>0</x:v>
      </x:c>
      <x:c r="J4520" s="16" t="n">
        <x:v>0</x:v>
      </x:c>
      <x:c r="K4520" s="11" t="n">
        <x:f>CHOOSE('假设'!$B$3,H4520,I4520,J4520)</x:f>
        <x:v>0</x:v>
      </x:c>
      <x:c r="L4520" s="11" t="n">
        <x:f>K4520*'管线假设'!E975*'管线假设'!F975*'管线假设'!G975*IF(E4520="USD",'管线假设'!I975,1)-AM4520</x:f>
        <x:v>-0.01</x:v>
      </x:c>
      <x:c r="M4520" s="11" t="n">
        <x:f>'管线假设'!H975</x:f>
        <x:v>0.14</x:v>
      </x:c>
      <x:c r="N4520" s="11" t="n">
        <x:f>IF(G4520,L4520*AN4520/(1+M4520)^F4520,0)</x:f>
        <x:v>0</x:v>
      </x:c>
      <x:c r="AJ4520" s="42" t="n">
        <x:v>0.005</x:v>
      </x:c>
      <x:c r="AK4520" s="42" t="n">
        <x:v>0.01</x:v>
      </x:c>
      <x:c r="AL4520" s="42" t="n">
        <x:v>0.015</x:v>
      </x:c>
      <x:c r="AM4520" t="n">
        <x:f>CHOOSE('假设'!$B$3,AJ4520,AK4520,AL4520)</x:f>
        <x:v>0.01</x:v>
      </x:c>
      <x:c r="AN4520" t="n">
        <x:v>0</x:v>
      </x:c>
    </x:row>
    <x:row r="4521" ht="23" customHeight="1">
      <x:c r="A4521" s="11" t="str">
        <x:v>02162.HK</x:v>
      </x:c>
      <x:c r="B4521" s="11" t="str">
        <x:v>三年</x:v>
      </x:c>
      <x:c r="C4521" s="11" t="str">
        <x:v>CM326_China</x:v>
      </x:c>
      <x:c r="D4521" s="11" t="str">
        <x:v>2027-12-31</x:v>
      </x:c>
      <x:c r="E4521" s="11" t="str">
        <x:v>CNY</x:v>
      </x:c>
      <x:c r="F4521" s="11" t="n">
        <x:v>-1.7741273100616017</x:v>
      </x:c>
      <x:c r="G4521" s="26" t="b">
        <x:v>0</x:v>
      </x:c>
      <x:c r="H4521" s="16" t="n">
        <x:v>0</x:v>
      </x:c>
      <x:c r="I4521" s="16" t="n">
        <x:v>0</x:v>
      </x:c>
      <x:c r="J4521" s="16" t="n">
        <x:v>0</x:v>
      </x:c>
      <x:c r="K4521" s="11" t="n">
        <x:f>CHOOSE('假设'!$B$3,H4521,I4521,J4521)</x:f>
        <x:v>0</x:v>
      </x:c>
      <x:c r="L4521" s="11" t="n">
        <x:f>K4521*'管线假设'!E975*'管线假设'!F975*'管线假设'!G975*IF(E4521="USD",'管线假设'!I975,1)-AM4521</x:f>
        <x:v>0</x:v>
      </x:c>
      <x:c r="M4521" s="11" t="n">
        <x:f>'管线假设'!H975</x:f>
        <x:v>0.14</x:v>
      </x:c>
      <x:c r="N4521" s="11" t="n">
        <x:f>IF(G4521,L4521*AN4521/(1+M4521)^F4521,0)</x:f>
        <x:v>0</x:v>
      </x:c>
      <x:c r="AJ4521" s="42" t="n">
        <x:v>0</x:v>
      </x:c>
      <x:c r="AK4521" s="42" t="n">
        <x:v>0</x:v>
      </x:c>
      <x:c r="AL4521" s="42" t="n">
        <x:v>0</x:v>
      </x:c>
      <x:c r="AM4521" t="n">
        <x:f>CHOOSE('假设'!$B$3,AJ4521,AK4521,AL4521)</x:f>
        <x:v>0</x:v>
      </x:c>
      <x:c r="AN4521" t="n">
        <x:v>0</x:v>
      </x:c>
    </x:row>
    <x:row r="4522" ht="23" customHeight="1">
      <x:c r="A4522" s="11" t="str">
        <x:v>02162.HK</x:v>
      </x:c>
      <x:c r="B4522" s="11" t="str">
        <x:v>三年</x:v>
      </x:c>
      <x:c r="C4522" s="11" t="str">
        <x:v>CM326_China</x:v>
      </x:c>
      <x:c r="D4522" s="11" t="str">
        <x:v>2028-12-31</x:v>
      </x:c>
      <x:c r="E4522" s="11" t="str">
        <x:v>CNY</x:v>
      </x:c>
      <x:c r="F4522" s="11" t="n">
        <x:v>-0.7720739219712526</x:v>
      </x:c>
      <x:c r="G4522" s="26" t="b">
        <x:v>0</x:v>
      </x:c>
      <x:c r="H4522" s="16" t="n">
        <x:v>0</x:v>
      </x:c>
      <x:c r="I4522" s="16" t="n">
        <x:v>0</x:v>
      </x:c>
      <x:c r="J4522" s="16" t="n">
        <x:v>0.18</x:v>
      </x:c>
      <x:c r="K4522" s="11" t="n">
        <x:f>CHOOSE('假设'!$B$3,H4522,I4522,J4522)</x:f>
        <x:v>0</x:v>
      </x:c>
      <x:c r="L4522" s="11" t="n">
        <x:f>K4522*'管线假设'!E975*'管线假设'!F975*'管线假设'!G975*IF(E4522="USD",'管线假设'!I975,1)-AM4522</x:f>
        <x:v>0</x:v>
      </x:c>
      <x:c r="M4522" s="11" t="n">
        <x:f>'管线假设'!H975</x:f>
        <x:v>0.14</x:v>
      </x:c>
      <x:c r="N4522" s="11" t="n">
        <x:f>IF(G4522,L4522*AN4522/(1+M4522)^F4522,0)</x:f>
        <x:v>0</x:v>
      </x:c>
      <x:c r="AJ4522" s="42" t="n">
        <x:v>0</x:v>
      </x:c>
      <x:c r="AK4522" s="42" t="n">
        <x:v>0</x:v>
      </x:c>
      <x:c r="AL4522" s="42" t="n">
        <x:v>0</x:v>
      </x:c>
      <x:c r="AM4522" t="n">
        <x:f>CHOOSE('假设'!$B$3,AJ4522,AK4522,AL4522)</x:f>
        <x:v>0</x:v>
      </x:c>
      <x:c r="AN4522" t="n">
        <x:v>0</x:v>
      </x:c>
    </x:row>
    <x:row r="4523" ht="23" customHeight="1">
      <x:c r="A4523" s="11" t="str">
        <x:v>02162.HK</x:v>
      </x:c>
      <x:c r="B4523" s="11" t="str">
        <x:v>三年</x:v>
      </x:c>
      <x:c r="C4523" s="11" t="str">
        <x:v>CM326_China</x:v>
      </x:c>
      <x:c r="D4523" s="11" t="str">
        <x:v>2029-12-31</x:v>
      </x:c>
      <x:c r="E4523" s="11" t="str">
        <x:v>CNY</x:v>
      </x:c>
      <x:c r="F4523" s="11" t="n">
        <x:v>0.2272416153319644</x:v>
      </x:c>
      <x:c r="G4523" s="26" t="b">
        <x:v>1</x:v>
      </x:c>
      <x:c r="H4523" s="16" t="n">
        <x:v>0</x:v>
      </x:c>
      <x:c r="I4523" s="16" t="n">
        <x:v>0.09</x:v>
      </x:c>
      <x:c r="J4523" s="16" t="n">
        <x:v>0.54</x:v>
      </x:c>
      <x:c r="K4523" s="11" t="n">
        <x:f>CHOOSE('假设'!$B$3,H4523,I4523,J4523)</x:f>
        <x:v>0.09</x:v>
      </x:c>
      <x:c r="L4523" s="11" t="n">
        <x:f>K4523*'管线假设'!E975*'管线假设'!F975*'管线假设'!G975*IF(E4523="USD",'管线假设'!I975,1)-AM4523</x:f>
        <x:v>0.0033615000000000003</x:v>
      </x:c>
      <x:c r="M4523" s="11" t="n">
        <x:f>'管线假设'!H975</x:f>
        <x:v>0.14</x:v>
      </x:c>
      <x:c r="N4523" s="11" t="n">
        <x:f>IF(G4523,L4523*AN4523/(1+M4523)^F4523,0)</x:f>
        <x:v>0.0007440098307099164</x:v>
      </x:c>
      <x:c r="AJ4523" s="42" t="n">
        <x:v>0</x:v>
      </x:c>
      <x:c r="AK4523" s="42" t="n">
        <x:v>0</x:v>
      </x:c>
      <x:c r="AL4523" s="42" t="n">
        <x:v>0</x:v>
      </x:c>
      <x:c r="AM4523" t="n">
        <x:f>CHOOSE('假设'!$B$3,AJ4523,AK4523,AL4523)</x:f>
        <x:v>0</x:v>
      </x:c>
      <x:c r="AN4523" t="n">
        <x:v>0.22802197802197802</x:v>
      </x:c>
    </x:row>
    <x:row r="4524" ht="23" customHeight="1">
      <x:c r="A4524" s="11" t="str">
        <x:v>02162.HK</x:v>
      </x:c>
      <x:c r="B4524" s="11" t="str">
        <x:v>三年</x:v>
      </x:c>
      <x:c r="C4524" s="11" t="str">
        <x:v>CM326_China</x:v>
      </x:c>
      <x:c r="D4524" s="11" t="str">
        <x:v>2030-12-31</x:v>
      </x:c>
      <x:c r="E4524" s="11" t="str">
        <x:v>CNY</x:v>
      </x:c>
      <x:c r="F4524" s="11" t="n">
        <x:v>1.2265571526351813</x:v>
      </x:c>
      <x:c r="G4524" s="26" t="b">
        <x:v>1</x:v>
      </x:c>
      <x:c r="H4524" s="16" t="n">
        <x:v>0</x:v>
      </x:c>
      <x:c r="I4524" s="16" t="n">
        <x:v>0.27</x:v>
      </x:c>
      <x:c r="J4524" s="16" t="n">
        <x:v>1.1400000000000001</x:v>
      </x:c>
      <x:c r="K4524" s="11" t="n">
        <x:f>CHOOSE('假设'!$B$3,H4524,I4524,J4524)</x:f>
        <x:v>0.27</x:v>
      </x:c>
      <x:c r="L4524" s="11" t="n">
        <x:f>K4524*'管线假设'!E975*'管线假设'!F975*'管线假设'!G975*IF(E4524="USD",'管线假设'!I975,1)-AM4524</x:f>
        <x:v>0.010084500000000001</x:v>
      </x:c>
      <x:c r="M4524" s="11" t="n">
        <x:f>'管线假设'!H975</x:f>
        <x:v>0.14</x:v>
      </x:c>
      <x:c r="N4524" s="11" t="n">
        <x:f>IF(G4524,L4524*AN4524/(1+M4524)^F4524,0)</x:f>
        <x:v>0.00858731349521946</x:v>
      </x:c>
      <x:c r="AJ4524" s="42" t="n">
        <x:v>0</x:v>
      </x:c>
      <x:c r="AK4524" s="42" t="n">
        <x:v>0</x:v>
      </x:c>
      <x:c r="AL4524" s="42" t="n">
        <x:v>0</x:v>
      </x:c>
      <x:c r="AM4524" t="n">
        <x:f>CHOOSE('假设'!$B$3,AJ4524,AK4524,AL4524)</x:f>
        <x:v>0</x:v>
      </x:c>
      <x:c r="AN4524" t="n">
        <x:v>1</x:v>
      </x:c>
    </x:row>
    <x:row r="4525" ht="23" customHeight="1">
      <x:c r="A4525" s="11" t="str">
        <x:v>02162.HK</x:v>
      </x:c>
      <x:c r="B4525" s="11" t="str">
        <x:v>三年</x:v>
      </x:c>
      <x:c r="C4525" s="11" t="str">
        <x:v>CM326_China</x:v>
      </x:c>
      <x:c r="D4525" s="11" t="str">
        <x:v>2031-12-31</x:v>
      </x:c>
      <x:c r="E4525" s="11" t="str">
        <x:v>CNY</x:v>
      </x:c>
      <x:c r="F4525" s="11" t="n">
        <x:v>2.2258726899383983</x:v>
      </x:c>
      <x:c r="G4525" s="26" t="b">
        <x:v>1</x:v>
      </x:c>
      <x:c r="H4525" s="16" t="n">
        <x:v>0.03</x:v>
      </x:c>
      <x:c r="I4525" s="16" t="n">
        <x:v>0.5700000000000001</x:v>
      </x:c>
      <x:c r="J4525" s="16" t="n">
        <x:v>1.9500000000000002</x:v>
      </x:c>
      <x:c r="K4525" s="11" t="n">
        <x:f>CHOOSE('假设'!$B$3,H4525,I4525,J4525)</x:f>
        <x:v>0.5700000000000001</x:v>
      </x:c>
      <x:c r="L4525" s="11" t="n">
        <x:f>K4525*'管线假设'!E975*'管线假设'!F975*'管线假设'!G975*IF(E4525="USD",'管线假设'!I975,1)-AM4525</x:f>
        <x:v>0.021289500000000006</x:v>
      </x:c>
      <x:c r="M4525" s="11" t="n">
        <x:f>'管线假设'!H975</x:f>
        <x:v>0.14</x:v>
      </x:c>
      <x:c r="N4525" s="11" t="n">
        <x:f>IF(G4525,L4525*AN4525/(1+M4525)^F4525,0)</x:f>
        <x:v>0.015903858655586595</x:v>
      </x:c>
      <x:c r="AJ4525" s="42" t="n">
        <x:v>0</x:v>
      </x:c>
      <x:c r="AK4525" s="42" t="n">
        <x:v>0</x:v>
      </x:c>
      <x:c r="AL4525" s="42" t="n">
        <x:v>0</x:v>
      </x:c>
      <x:c r="AM4525" t="n">
        <x:f>CHOOSE('假设'!$B$3,AJ4525,AK4525,AL4525)</x:f>
        <x:v>0</x:v>
      </x:c>
      <x:c r="AN4525" t="n">
        <x:v>1</x:v>
      </x:c>
    </x:row>
    <x:row r="4526" ht="23" customHeight="1">
      <x:c r="A4526" s="11" t="str">
        <x:v>02162.HK</x:v>
      </x:c>
      <x:c r="B4526" s="11" t="str">
        <x:v>三年</x:v>
      </x:c>
      <x:c r="C4526" s="11" t="str">
        <x:v>CM326_China</x:v>
      </x:c>
      <x:c r="D4526" s="11" t="str">
        <x:v>2032-12-31</x:v>
      </x:c>
      <x:c r="E4526" s="11" t="str">
        <x:v>CNY</x:v>
      </x:c>
      <x:c r="F4526" s="11" t="n">
        <x:v>3.2279260780287475</x:v>
      </x:c>
      <x:c r="G4526" s="26" t="b">
        <x:v>1</x:v>
      </x:c>
      <x:c r="H4526" s="16" t="n">
        <x:v>0.09</x:v>
      </x:c>
      <x:c r="I4526" s="16" t="n">
        <x:v>0.9750000000000001</x:v>
      </x:c>
      <x:c r="J4526" s="16" t="n">
        <x:v>2.55</x:v>
      </x:c>
      <x:c r="K4526" s="11" t="n">
        <x:f>CHOOSE('假设'!$B$3,H4526,I4526,J4526)</x:f>
        <x:v>0.9750000000000001</x:v>
      </x:c>
      <x:c r="L4526" s="11" t="n">
        <x:f>K4526*'管线假设'!E975*'管线假设'!F975*'管线假设'!G975*IF(E4526="USD",'管线假设'!I975,1)-AM4526</x:f>
        <x:v>0.036416250000000004</x:v>
      </x:c>
      <x:c r="M4526" s="11" t="n">
        <x:f>'管线假设'!H975</x:f>
        <x:v>0.14</x:v>
      </x:c>
      <x:c r="N4526" s="11" t="n">
        <x:f>IF(G4526,L4526*AN4526/(1+M4526)^F4526,0)</x:f>
        <x:v>0.02385671092873799</x:v>
      </x:c>
      <x:c r="AJ4526" s="42" t="n">
        <x:v>0</x:v>
      </x:c>
      <x:c r="AK4526" s="42" t="n">
        <x:v>0</x:v>
      </x:c>
      <x:c r="AL4526" s="42" t="n">
        <x:v>0</x:v>
      </x:c>
      <x:c r="AM4526" t="n">
        <x:f>CHOOSE('假设'!$B$3,AJ4526,AK4526,AL4526)</x:f>
        <x:v>0</x:v>
      </x:c>
      <x:c r="AN4526" t="n">
        <x:v>1</x:v>
      </x:c>
    </x:row>
    <x:row r="4527" ht="23" customHeight="1">
      <x:c r="A4527" s="11" t="str">
        <x:v>02162.HK</x:v>
      </x:c>
      <x:c r="B4527" s="11" t="str">
        <x:v>三年</x:v>
      </x:c>
      <x:c r="C4527" s="11" t="str">
        <x:v>CM326_China</x:v>
      </x:c>
      <x:c r="D4527" s="11" t="str">
        <x:v>2033-12-31</x:v>
      </x:c>
      <x:c r="E4527" s="11" t="str">
        <x:v>CNY</x:v>
      </x:c>
      <x:c r="F4527" s="11" t="n">
        <x:v>4.227241615331964</x:v>
      </x:c>
      <x:c r="G4527" s="26" t="b">
        <x:v>1</x:v>
      </x:c>
      <x:c r="H4527" s="16" t="n">
        <x:v>0.19</x:v>
      </x:c>
      <x:c r="I4527" s="16" t="n">
        <x:v>1.275</x:v>
      </x:c>
      <x:c r="J4527" s="16" t="n">
        <x:v>3</x:v>
      </x:c>
      <x:c r="K4527" s="11" t="n">
        <x:f>CHOOSE('假设'!$B$3,H4527,I4527,J4527)</x:f>
        <x:v>1.275</x:v>
      </x:c>
      <x:c r="L4527" s="11" t="n">
        <x:f>K4527*'管线假设'!E975*'管线假设'!F975*'管线假设'!G975*IF(E4527="USD",'管线假设'!I975,1)-AM4527</x:f>
        <x:v>0.047621250000000004</x:v>
      </x:c>
      <x:c r="M4527" s="11" t="n">
        <x:f>'管线假设'!H975</x:f>
        <x:v>0.14</x:v>
      </x:c>
      <x:c r="N4527" s="11" t="n">
        <x:f>IF(G4527,L4527*AN4527/(1+M4527)^F4527,0)</x:f>
        <x:v>0.027368452092576614</x:v>
      </x:c>
      <x:c r="AJ4527" s="42" t="n">
        <x:v>0</x:v>
      </x:c>
      <x:c r="AK4527" s="42" t="n">
        <x:v>0</x:v>
      </x:c>
      <x:c r="AL4527" s="42" t="n">
        <x:v>0</x:v>
      </x:c>
      <x:c r="AM4527" t="n">
        <x:f>CHOOSE('假设'!$B$3,AJ4527,AK4527,AL4527)</x:f>
        <x:v>0</x:v>
      </x:c>
      <x:c r="AN4527" t="n">
        <x:v>1</x:v>
      </x:c>
    </x:row>
    <x:row r="4528" ht="23" customHeight="1">
      <x:c r="A4528" s="11" t="str">
        <x:v>02162.HK</x:v>
      </x:c>
      <x:c r="B4528" s="11" t="str">
        <x:v>三年</x:v>
      </x:c>
      <x:c r="C4528" s="11" t="str">
        <x:v>CM326_China</x:v>
      </x:c>
      <x:c r="D4528" s="11" t="str">
        <x:v>2034-12-31</x:v>
      </x:c>
      <x:c r="E4528" s="11" t="str">
        <x:v>CNY</x:v>
      </x:c>
      <x:c r="F4528" s="11" t="n">
        <x:v>5.2265571526351815</x:v>
      </x:c>
      <x:c r="G4528" s="26" t="b">
        <x:v>1</x:v>
      </x:c>
      <x:c r="H4528" s="16" t="n">
        <x:v>0.325</x:v>
      </x:c>
      <x:c r="I4528" s="16" t="n">
        <x:v>1.5</x:v>
      </x:c>
      <x:c r="J4528" s="16" t="n">
        <x:v>3</x:v>
      </x:c>
      <x:c r="K4528" s="11" t="n">
        <x:f>CHOOSE('假设'!$B$3,H4528,I4528,J4528)</x:f>
        <x:v>1.5</x:v>
      </x:c>
      <x:c r="L4528" s="11" t="n">
        <x:f>K4528*'管线假设'!E975*'管线假设'!F975*'管线假设'!G975*IF(E4528="USD",'管线假设'!I975,1)-AM4528</x:f>
        <x:v>0.056025000000000005</x:v>
      </x:c>
      <x:c r="M4528" s="11" t="n">
        <x:f>'管线假设'!H975</x:f>
        <x:v>0.14</x:v>
      </x:c>
      <x:c r="N4528" s="11" t="n">
        <x:f>IF(G4528,L4528*AN4528/(1+M4528)^F4528,0)</x:f>
        <x:v>0.028246549756190602</x:v>
      </x:c>
      <x:c r="AJ4528" s="42" t="n">
        <x:v>0</x:v>
      </x:c>
      <x:c r="AK4528" s="42" t="n">
        <x:v>0</x:v>
      </x:c>
      <x:c r="AL4528" s="42" t="n">
        <x:v>0</x:v>
      </x:c>
      <x:c r="AM4528" t="n">
        <x:f>CHOOSE('假设'!$B$3,AJ4528,AK4528,AL4528)</x:f>
        <x:v>0</x:v>
      </x:c>
      <x:c r="AN4528" t="n">
        <x:v>1</x:v>
      </x:c>
    </x:row>
    <x:row r="4529" ht="23" customHeight="1">
      <x:c r="A4529" s="11" t="str">
        <x:v>02162.HK</x:v>
      </x:c>
      <x:c r="B4529" s="11" t="str">
        <x:v>三年</x:v>
      </x:c>
      <x:c r="C4529" s="11" t="str">
        <x:v>CM326_China</x:v>
      </x:c>
      <x:c r="D4529" s="11" t="str">
        <x:v>2035-12-31</x:v>
      </x:c>
      <x:c r="E4529" s="11" t="str">
        <x:v>CNY</x:v>
      </x:c>
      <x:c r="F4529" s="11" t="n">
        <x:v>6.225872689938399</x:v>
      </x:c>
      <x:c r="G4529" s="26" t="b">
        <x:v>1</x:v>
      </x:c>
      <x:c r="H4529" s="16" t="n">
        <x:v>0.425</x:v>
      </x:c>
      <x:c r="I4529" s="16" t="n">
        <x:v>1.5</x:v>
      </x:c>
      <x:c r="J4529" s="16" t="n">
        <x:v>2.8499999999999996</x:v>
      </x:c>
      <x:c r="K4529" s="11" t="n">
        <x:f>CHOOSE('假设'!$B$3,H4529,I4529,J4529)</x:f>
        <x:v>1.5</x:v>
      </x:c>
      <x:c r="L4529" s="11" t="n">
        <x:f>K4529*'管线假设'!E975*'管线假设'!F975*'管线假设'!G975*IF(E4529="USD",'管线假设'!I975,1)-AM4529</x:f>
        <x:v>0.056025000000000005</x:v>
      </x:c>
      <x:c r="M4529" s="11" t="n">
        <x:f>'管线假设'!H975</x:f>
        <x:v>0.14</x:v>
      </x:c>
      <x:c r="N4529" s="11" t="n">
        <x:f>IF(G4529,L4529*AN4529/(1+M4529)^F4529,0)</x:f>
        <x:v>0.02477989748435789</x:v>
      </x:c>
      <x:c r="AJ4529" s="42" t="n">
        <x:v>0</x:v>
      </x:c>
      <x:c r="AK4529" s="42" t="n">
        <x:v>0</x:v>
      </x:c>
      <x:c r="AL4529" s="42" t="n">
        <x:v>0</x:v>
      </x:c>
      <x:c r="AM4529" t="n">
        <x:f>CHOOSE('假设'!$B$3,AJ4529,AK4529,AL4529)</x:f>
        <x:v>0</x:v>
      </x:c>
      <x:c r="AN4529" t="n">
        <x:v>1</x:v>
      </x:c>
    </x:row>
    <x:row r="4530" ht="23" customHeight="1">
      <x:c r="A4530" s="11" t="str">
        <x:v>02162.HK</x:v>
      </x:c>
      <x:c r="B4530" s="11" t="str">
        <x:v>三年</x:v>
      </x:c>
      <x:c r="C4530" s="11" t="str">
        <x:v>CM326_China</x:v>
      </x:c>
      <x:c r="D4530" s="11" t="str">
        <x:v>2036-12-31</x:v>
      </x:c>
      <x:c r="E4530" s="11" t="str">
        <x:v>CNY</x:v>
      </x:c>
      <x:c r="F4530" s="11" t="n">
        <x:v>7.227926078028747</x:v>
      </x:c>
      <x:c r="G4530" s="26" t="b">
        <x:v>1</x:v>
      </x:c>
      <x:c r="H4530" s="16" t="n">
        <x:v>0.5</x:v>
      </x:c>
      <x:c r="I4530" s="16" t="n">
        <x:v>1.4249999999999998</x:v>
      </x:c>
      <x:c r="J4530" s="16" t="n">
        <x:v>2.7</x:v>
      </x:c>
      <x:c r="K4530" s="11" t="n">
        <x:f>CHOOSE('假设'!$B$3,H4530,I4530,J4530)</x:f>
        <x:v>1.4249999999999998</x:v>
      </x:c>
      <x:c r="L4530" s="11" t="n">
        <x:f>K4530*'管线假设'!E975*'管线假设'!F975*'管线假设'!G975*IF(E4530="USD",'管线假设'!I975,1)-AM4530</x:f>
        <x:v>0.05322375</x:v>
      </x:c>
      <x:c r="M4530" s="11" t="n">
        <x:f>'管线假设'!H975</x:f>
        <x:v>0.14</x:v>
      </x:c>
      <x:c r="N4530" s="11" t="n">
        <x:f>IF(G4530,L4530*AN4530/(1+M4530)^F4530,0)</x:f>
        <x:v>0.020644359419440362</x:v>
      </x:c>
      <x:c r="AJ4530" s="42" t="n">
        <x:v>0</x:v>
      </x:c>
      <x:c r="AK4530" s="42" t="n">
        <x:v>0</x:v>
      </x:c>
      <x:c r="AL4530" s="42" t="n">
        <x:v>0</x:v>
      </x:c>
      <x:c r="AM4530" t="n">
        <x:f>CHOOSE('假设'!$B$3,AJ4530,AK4530,AL4530)</x:f>
        <x:v>0</x:v>
      </x:c>
      <x:c r="AN4530" t="n">
        <x:v>1</x:v>
      </x:c>
    </x:row>
    <x:row r="4531" ht="23" customHeight="1">
      <x:c r="A4531" s="11" t="str">
        <x:v>02162.HK</x:v>
      </x:c>
      <x:c r="B4531" s="11" t="str">
        <x:v>三年</x:v>
      </x:c>
      <x:c r="C4531" s="11" t="str">
        <x:v>CM326_China</x:v>
      </x:c>
      <x:c r="D4531" s="11" t="str">
        <x:v>2037-12-31</x:v>
      </x:c>
      <x:c r="E4531" s="11" t="str">
        <x:v>CNY</x:v>
      </x:c>
      <x:c r="F4531" s="11" t="n">
        <x:v>8.227241615331964</x:v>
      </x:c>
      <x:c r="G4531" s="26" t="b">
        <x:v>1</x:v>
      </x:c>
      <x:c r="H4531" s="16" t="n">
        <x:v>0.5</x:v>
      </x:c>
      <x:c r="I4531" s="16" t="n">
        <x:v>1.35</x:v>
      </x:c>
      <x:c r="J4531" s="16" t="n">
        <x:v>2.4000000000000004</x:v>
      </x:c>
      <x:c r="K4531" s="11" t="n">
        <x:f>CHOOSE('假设'!$B$3,H4531,I4531,J4531)</x:f>
        <x:v>1.35</x:v>
      </x:c>
      <x:c r="L4531" s="11" t="n">
        <x:f>K4531*'管线假设'!E975*'管线假设'!F975*'管线假设'!G975*IF(E4531="USD",'管线假设'!I975,1)-AM4531</x:f>
        <x:v>0.05042250000000001</x:v>
      </x:c>
      <x:c r="M4531" s="11" t="n">
        <x:f>'管线假设'!H975</x:f>
        <x:v>0.14</x:v>
      </x:c>
      <x:c r="N4531" s="11" t="n">
        <x:f>IF(G4531,L4531*AN4531/(1+M4531)^F4531,0)</x:f>
        <x:v>0.0171575160418223</x:v>
      </x:c>
      <x:c r="AJ4531" s="42" t="n">
        <x:v>0</x:v>
      </x:c>
      <x:c r="AK4531" s="42" t="n">
        <x:v>0</x:v>
      </x:c>
      <x:c r="AL4531" s="42" t="n">
        <x:v>0</x:v>
      </x:c>
      <x:c r="AM4531" t="n">
        <x:f>CHOOSE('假设'!$B$3,AJ4531,AK4531,AL4531)</x:f>
        <x:v>0</x:v>
      </x:c>
      <x:c r="AN4531" t="n">
        <x:v>1</x:v>
      </x:c>
    </x:row>
    <x:row r="4532" ht="23" customHeight="1">
      <x:c r="A4532" s="11" t="str">
        <x:v>02162.HK</x:v>
      </x:c>
      <x:c r="B4532" s="11" t="str">
        <x:v>三年</x:v>
      </x:c>
      <x:c r="C4532" s="11" t="str">
        <x:v>CM326_China</x:v>
      </x:c>
      <x:c r="D4532" s="11" t="str">
        <x:v>2038-12-31</x:v>
      </x:c>
      <x:c r="E4532" s="11" t="str">
        <x:v>CNY</x:v>
      </x:c>
      <x:c r="F4532" s="11" t="n">
        <x:v>9.22655715263518</x:v>
      </x:c>
      <x:c r="G4532" s="26" t="b">
        <x:v>1</x:v>
      </x:c>
      <x:c r="H4532" s="16" t="n">
        <x:v>0.475</x:v>
      </x:c>
      <x:c r="I4532" s="16" t="n">
        <x:v>1.2000000000000002</x:v>
      </x:c>
      <x:c r="J4532" s="16" t="n">
        <x:v>1.9500000000000002</x:v>
      </x:c>
      <x:c r="K4532" s="11" t="n">
        <x:f>CHOOSE('假设'!$B$3,H4532,I4532,J4532)</x:f>
        <x:v>1.2000000000000002</x:v>
      </x:c>
      <x:c r="L4532" s="11" t="n">
        <x:f>K4532*'管线假设'!E975*'管线假设'!F975*'管线假设'!G975*IF(E4532="USD",'管线假设'!I975,1)-AM4532</x:f>
        <x:v>0.04482000000000001</x:v>
      </x:c>
      <x:c r="M4532" s="11" t="n">
        <x:f>'管线假设'!H975</x:f>
        <x:v>0.14</x:v>
      </x:c>
      <x:c r="N4532" s="11" t="n">
        <x:f>IF(G4532,L4532*AN4532/(1+M4532)^F4532,0)</x:f>
        <x:v>0.013379380011516956</x:v>
      </x:c>
      <x:c r="AJ4532" s="42" t="n">
        <x:v>0</x:v>
      </x:c>
      <x:c r="AK4532" s="42" t="n">
        <x:v>0</x:v>
      </x:c>
      <x:c r="AL4532" s="42" t="n">
        <x:v>0</x:v>
      </x:c>
      <x:c r="AM4532" t="n">
        <x:f>CHOOSE('假设'!$B$3,AJ4532,AK4532,AL4532)</x:f>
        <x:v>0</x:v>
      </x:c>
      <x:c r="AN4532" t="n">
        <x:v>1</x:v>
      </x:c>
    </x:row>
    <x:row r="4533" ht="23" customHeight="1">
      <x:c r="A4533" s="11" t="str">
        <x:v>02162.HK</x:v>
      </x:c>
      <x:c r="B4533" s="11" t="str">
        <x:v>三年</x:v>
      </x:c>
      <x:c r="C4533" s="11" t="str">
        <x:v>CM326_China</x:v>
      </x:c>
      <x:c r="D4533" s="11" t="str">
        <x:v>2039-12-31</x:v>
      </x:c>
      <x:c r="E4533" s="11" t="str">
        <x:v>CNY</x:v>
      </x:c>
      <x:c r="F4533" s="11" t="n">
        <x:v>10.225872689938399</x:v>
      </x:c>
      <x:c r="G4533" s="26" t="b">
        <x:v>1</x:v>
      </x:c>
      <x:c r="H4533" s="16" t="n">
        <x:v>0.45</x:v>
      </x:c>
      <x:c r="I4533" s="16" t="n">
        <x:v>0.9750000000000001</x:v>
      </x:c>
      <x:c r="J4533" s="16" t="n">
        <x:v>1.5</x:v>
      </x:c>
      <x:c r="K4533" s="11" t="n">
        <x:f>CHOOSE('假设'!$B$3,H4533,I4533,J4533)</x:f>
        <x:v>0.9750000000000001</x:v>
      </x:c>
      <x:c r="L4533" s="11" t="n">
        <x:f>K4533*'管线假设'!E975*'管线假设'!F975*'管线假设'!G975*IF(E4533="USD",'管线假设'!I975,1)-AM4533</x:f>
        <x:v>0.036416250000000004</x:v>
      </x:c>
      <x:c r="M4533" s="11" t="n">
        <x:f>'管线假设'!H975</x:f>
        <x:v>0.14</x:v>
      </x:c>
      <x:c r="N4533" s="11" t="n">
        <x:f>IF(G4533,L4533*AN4533/(1+M4533)^F4533,0)</x:f>
        <x:v>0.009536597574233262</x:v>
      </x:c>
      <x:c r="AJ4533" s="42" t="n">
        <x:v>0</x:v>
      </x:c>
      <x:c r="AK4533" s="42" t="n">
        <x:v>0</x:v>
      </x:c>
      <x:c r="AL4533" s="42" t="n">
        <x:v>0</x:v>
      </x:c>
      <x:c r="AM4533" t="n">
        <x:f>CHOOSE('假设'!$B$3,AJ4533,AK4533,AL4533)</x:f>
        <x:v>0</x:v>
      </x:c>
      <x:c r="AN4533" t="n">
        <x:v>1</x:v>
      </x:c>
    </x:row>
    <x:row r="4534" ht="23" customHeight="1">
      <x:c r="A4534" s="11" t="str">
        <x:v>02162.HK</x:v>
      </x:c>
      <x:c r="B4534" s="11" t="str">
        <x:v>三年</x:v>
      </x:c>
      <x:c r="C4534" s="11" t="str">
        <x:v>CM326_China</x:v>
      </x:c>
      <x:c r="D4534" s="11" t="str">
        <x:v>2040-12-31</x:v>
      </x:c>
      <x:c r="E4534" s="11" t="str">
        <x:v>CNY</x:v>
      </x:c>
      <x:c r="F4534" s="11" t="n">
        <x:v>11.227926078028748</x:v>
      </x:c>
      <x:c r="G4534" s="26" t="b">
        <x:v>1</x:v>
      </x:c>
      <x:c r="H4534" s="16" t="n">
        <x:v>0.4</x:v>
      </x:c>
      <x:c r="I4534" s="16" t="n">
        <x:v>0.75</x:v>
      </x:c>
      <x:c r="J4534" s="16" t="n">
        <x:v>1.0499999999999998</x:v>
      </x:c>
      <x:c r="K4534" s="11" t="n">
        <x:f>CHOOSE('假设'!$B$3,H4534,I4534,J4534)</x:f>
        <x:v>0.75</x:v>
      </x:c>
      <x:c r="L4534" s="11" t="n">
        <x:f>K4534*'管线假设'!E975*'管线假设'!F975*'管线假设'!G975*IF(E4534="USD",'管线假设'!I975,1)-AM4534</x:f>
        <x:v>0.028012500000000003</x:v>
      </x:c>
      <x:c r="M4534" s="11" t="n">
        <x:f>'管线假设'!H975</x:f>
        <x:v>0.14</x:v>
      </x:c>
      <x:c r="N4534" s="11" t="n">
        <x:f>IF(G4534,L4534*AN4534/(1+M4534)^F4534,0)</x:f>
        <x:v>0.006433220026943228</x:v>
      </x:c>
      <x:c r="AJ4534" s="42" t="n">
        <x:v>0</x:v>
      </x:c>
      <x:c r="AK4534" s="42" t="n">
        <x:v>0</x:v>
      </x:c>
      <x:c r="AL4534" s="42" t="n">
        <x:v>0</x:v>
      </x:c>
      <x:c r="AM4534" t="n">
        <x:f>CHOOSE('假设'!$B$3,AJ4534,AK4534,AL4534)</x:f>
        <x:v>0</x:v>
      </x:c>
      <x:c r="AN4534" t="n">
        <x:v>1</x:v>
      </x:c>
    </x:row>
    <x:row r="4535" ht="23" customHeight="1">
      <x:c r="A4535" s="11" t="str">
        <x:v>02162.HK</x:v>
      </x:c>
      <x:c r="B4535" s="11" t="str">
        <x:v>三年</x:v>
      </x:c>
      <x:c r="C4535" s="11" t="str">
        <x:v>CM326_China</x:v>
      </x:c>
      <x:c r="D4535" s="11" t="str">
        <x:v>2041-12-31</x:v>
      </x:c>
      <x:c r="E4535" s="11" t="str">
        <x:v>CNY</x:v>
      </x:c>
      <x:c r="F4535" s="11" t="n">
        <x:v>12.227241615331964</x:v>
      </x:c>
      <x:c r="G4535" s="26" t="b">
        <x:v>1</x:v>
      </x:c>
      <x:c r="H4535" s="16" t="n">
        <x:v>0.325</x:v>
      </x:c>
      <x:c r="I4535" s="16" t="n">
        <x:v>0.5249999999999999</x:v>
      </x:c>
      <x:c r="J4535" s="16" t="n">
        <x:v>0.6000000000000001</x:v>
      </x:c>
      <x:c r="K4535" s="11" t="n">
        <x:f>CHOOSE('假设'!$B$3,H4535,I4535,J4535)</x:f>
        <x:v>0.5249999999999999</x:v>
      </x:c>
      <x:c r="L4535" s="11" t="n">
        <x:f>K4535*'管线假设'!E975*'管线假设'!F975*'管线假设'!G975*IF(E4535="USD",'管线假设'!I975,1)-AM4535</x:f>
        <x:v>0.019608749999999998</x:v>
      </x:c>
      <x:c r="M4535" s="11" t="n">
        <x:f>'管线假设'!H975</x:f>
        <x:v>0.14</x:v>
      </x:c>
      <x:c r="N4535" s="11" t="n">
        <x:f>IF(G4535,L4535*AN4535/(1+M4535)^F4535,0)</x:f>
        <x:v>0.003950577111065519</x:v>
      </x:c>
      <x:c r="AJ4535" s="42" t="n">
        <x:v>0</x:v>
      </x:c>
      <x:c r="AK4535" s="42" t="n">
        <x:v>0</x:v>
      </x:c>
      <x:c r="AL4535" s="42" t="n">
        <x:v>0</x:v>
      </x:c>
      <x:c r="AM4535" t="n">
        <x:f>CHOOSE('假设'!$B$3,AJ4535,AK4535,AL4535)</x:f>
        <x:v>0</x:v>
      </x:c>
      <x:c r="AN4535" t="n">
        <x:v>1</x:v>
      </x:c>
    </x:row>
    <x:row r="4536" ht="23" customHeight="1">
      <x:c r="A4536" s="11" t="str">
        <x:v>02162.HK</x:v>
      </x:c>
      <x:c r="B4536" s="11" t="str">
        <x:v>三年</x:v>
      </x:c>
      <x:c r="C4536" s="11" t="str">
        <x:v>CM326_China</x:v>
      </x:c>
      <x:c r="D4536" s="11" t="str">
        <x:v>2042-12-31</x:v>
      </x:c>
      <x:c r="E4536" s="11" t="str">
        <x:v>CNY</x:v>
      </x:c>
      <x:c r="F4536" s="11" t="n">
        <x:v>13.22655715263518</x:v>
      </x:c>
      <x:c r="G4536" s="26" t="b">
        <x:v>1</x:v>
      </x:c>
      <x:c r="H4536" s="16" t="n">
        <x:v>0.25</x:v>
      </x:c>
      <x:c r="I4536" s="16" t="n">
        <x:v>0.30000000000000004</x:v>
      </x:c>
      <x:c r="J4536" s="16" t="n">
        <x:v>0.36</x:v>
      </x:c>
      <x:c r="K4536" s="11" t="n">
        <x:f>CHOOSE('假设'!$B$3,H4536,I4536,J4536)</x:f>
        <x:v>0.30000000000000004</x:v>
      </x:c>
      <x:c r="L4536" s="11" t="n">
        <x:f>K4536*'管线假设'!E975*'管线假设'!F975*'管线假设'!G975*IF(E4536="USD",'管线假设'!I975,1)-AM4536</x:f>
        <x:v>0.011205000000000003</x:v>
      </x:c>
      <x:c r="M4536" s="11" t="n">
        <x:f>'管线假设'!H975</x:f>
        <x:v>0.14</x:v>
      </x:c>
      <x:c r="N4536" s="11" t="n">
        <x:f>IF(G4536,L4536*AN4536/(1+M4536)^F4536,0)</x:f>
        <x:v>0.0019804167570650322</x:v>
      </x:c>
      <x:c r="AJ4536" s="42" t="n">
        <x:v>0</x:v>
      </x:c>
      <x:c r="AK4536" s="42" t="n">
        <x:v>0</x:v>
      </x:c>
      <x:c r="AL4536" s="42" t="n">
        <x:v>0</x:v>
      </x:c>
      <x:c r="AM4536" t="n">
        <x:f>CHOOSE('假设'!$B$3,AJ4536,AK4536,AL4536)</x:f>
        <x:v>0</x:v>
      </x:c>
      <x:c r="AN4536" t="n">
        <x:v>1</x:v>
      </x:c>
    </x:row>
    <x:row r="4537" ht="23" customHeight="1">
      <x:c r="A4537" s="11" t="str">
        <x:v>02162.HK</x:v>
      </x:c>
      <x:c r="B4537" s="11" t="str">
        <x:v>三年</x:v>
      </x:c>
      <x:c r="C4537" s="11" t="str">
        <x:v>CM326_China</x:v>
      </x:c>
      <x:c r="D4537" s="11" t="str">
        <x:v>2043-12-31</x:v>
      </x:c>
      <x:c r="E4537" s="11" t="str">
        <x:v>CNY</x:v>
      </x:c>
      <x:c r="F4537" s="11" t="n">
        <x:v>14.225872689938399</x:v>
      </x:c>
      <x:c r="G4537" s="26" t="b">
        <x:v>1</x:v>
      </x:c>
      <x:c r="H4537" s="16" t="n">
        <x:v>0.175</x:v>
      </x:c>
      <x:c r="I4537" s="16" t="n">
        <x:v>0.18</x:v>
      </x:c>
      <x:c r="J4537" s="16" t="n">
        <x:v>0.21000000000000002</x:v>
      </x:c>
      <x:c r="K4537" s="11" t="n">
        <x:f>CHOOSE('假设'!$B$3,H4537,I4537,J4537)</x:f>
        <x:v>0.18</x:v>
      </x:c>
      <x:c r="L4537" s="11" t="n">
        <x:f>K4537*'管线假设'!E975*'管线假设'!F975*'管线假设'!G975*IF(E4537="USD",'管线假设'!I975,1)-AM4537</x:f>
        <x:v>0.006723000000000001</x:v>
      </x:c>
      <x:c r="M4537" s="11" t="n">
        <x:f>'管线假设'!H975</x:f>
        <x:v>0.14</x:v>
      </x:c>
      <x:c r="N4537" s="11" t="n">
        <x:f>IF(G4537,L4537*AN4537/(1+M4537)^F4537,0)</x:f>
        <x:v>0.0010424180929698287</x:v>
      </x:c>
      <x:c r="AJ4537" s="42" t="n">
        <x:v>0</x:v>
      </x:c>
      <x:c r="AK4537" s="42" t="n">
        <x:v>0</x:v>
      </x:c>
      <x:c r="AL4537" s="42" t="n">
        <x:v>0</x:v>
      </x:c>
      <x:c r="AM4537" t="n">
        <x:f>CHOOSE('假设'!$B$3,AJ4537,AK4537,AL4537)</x:f>
        <x:v>0</x:v>
      </x:c>
      <x:c r="AN4537" t="n">
        <x:v>1</x:v>
      </x:c>
    </x:row>
    <x:row r="4538" ht="23" customHeight="1">
      <x:c r="A4538" s="11" t="str">
        <x:v>02162.HK</x:v>
      </x:c>
      <x:c r="B4538" s="11" t="str">
        <x:v>三年</x:v>
      </x:c>
      <x:c r="C4538" s="11" t="str">
        <x:v>CM326_China</x:v>
      </x:c>
      <x:c r="D4538" s="11" t="str">
        <x:v>2044-12-31</x:v>
      </x:c>
      <x:c r="E4538" s="11" t="str">
        <x:v>CNY</x:v>
      </x:c>
      <x:c r="F4538" s="11" t="n">
        <x:v>15.227926078028748</x:v>
      </x:c>
      <x:c r="G4538" s="26" t="b">
        <x:v>1</x:v>
      </x:c>
      <x:c r="H4538" s="16" t="n">
        <x:v>0.1</x:v>
      </x:c>
      <x:c r="I4538" s="16" t="n">
        <x:v>0.10500000000000001</x:v>
      </x:c>
      <x:c r="J4538" s="16" t="n">
        <x:v>0.09</x:v>
      </x:c>
      <x:c r="K4538" s="11" t="n">
        <x:f>CHOOSE('假设'!$B$3,H4538,I4538,J4538)</x:f>
        <x:v>0.10500000000000001</x:v>
      </x:c>
      <x:c r="L4538" s="11" t="n">
        <x:f>K4538*'管线假设'!E975*'管线假设'!F975*'管线假设'!G975*IF(E4538="USD",'管线假设'!I975,1)-AM4538</x:f>
        <x:v>0.003921750000000001</x:v>
      </x:c>
      <x:c r="M4538" s="11" t="n">
        <x:f>'管线假设'!H975</x:f>
        <x:v>0.14</x:v>
      </x:c>
      <x:c r="N4538" s="11" t="n">
        <x:f>IF(G4538,L4538*AN4538/(1+M4538)^F4538,0)</x:f>
        <x:v>0.0005332575777110407</x:v>
      </x:c>
      <x:c r="AJ4538" s="42" t="n">
        <x:v>0</x:v>
      </x:c>
      <x:c r="AK4538" s="42" t="n">
        <x:v>0</x:v>
      </x:c>
      <x:c r="AL4538" s="42" t="n">
        <x:v>0</x:v>
      </x:c>
      <x:c r="AM4538" t="n">
        <x:f>CHOOSE('假设'!$B$3,AJ4538,AK4538,AL4538)</x:f>
        <x:v>0</x:v>
      </x:c>
      <x:c r="AN4538" t="n">
        <x:v>1</x:v>
      </x:c>
    </x:row>
    <x:row r="4539" ht="23" customHeight="1">
      <x:c r="A4539" s="11" t="str">
        <x:v>02162.HK</x:v>
      </x:c>
      <x:c r="B4539" s="11" t="str">
        <x:v>三年</x:v>
      </x:c>
      <x:c r="C4539" s="11" t="str">
        <x:v>centralCost</x:v>
      </x:c>
      <x:c r="D4539" s="11" t="str">
        <x:v>2026-12-31</x:v>
      </x:c>
      <x:c r="E4539" s="11" t="str">
        <x:v>CNY</x:v>
      </x:c>
      <x:c r="F4539" s="11" t="n">
        <x:v>-2.7734428473648185</x:v>
      </x:c>
      <x:c r="G4539" s="26" t="b">
        <x:v>0</x:v>
      </x:c>
      <x:c r="H4539" s="16" t="n">
        <x:v>0</x:v>
      </x:c>
      <x:c r="I4539" s="16" t="n">
        <x:v>0</x:v>
      </x:c>
      <x:c r="J4539" s="16" t="n">
        <x:v>0</x:v>
      </x:c>
      <x:c r="K4539" s="11" t="n">
        <x:f>CHOOSE('假设'!$B$3,H4539,I4539,J4539)</x:f>
        <x:v>0</x:v>
      </x:c>
      <x:c r="L4539" s="11" t="n">
        <x:f>K4539*'管线假设'!E979*'管线假设'!F979*'管线假设'!G979*IF(E4539="USD",'管线假设'!I979,1)-AM4539</x:f>
        <x:v>-0.16</x:v>
      </x:c>
      <x:c r="M4539" s="11" t="n">
        <x:f>'管线假设'!H979</x:f>
        <x:v>0.14</x:v>
      </x:c>
      <x:c r="N4539" s="11" t="n">
        <x:f>IF(G4539,L4539*AN4539/(1+M4539)^F4539,0)</x:f>
        <x:v>0</x:v>
      </x:c>
      <x:c r="AJ4539" s="42" t="n">
        <x:v>0.13</x:v>
      </x:c>
      <x:c r="AK4539" s="42" t="n">
        <x:v>0.16</x:v>
      </x:c>
      <x:c r="AL4539" s="42" t="n">
        <x:v>0.2</x:v>
      </x:c>
      <x:c r="AM4539" t="n">
        <x:f>CHOOSE('假设'!$B$3,AJ4539,AK4539,AL4539)</x:f>
        <x:v>0.16</x:v>
      </x:c>
      <x:c r="AN4539" t="n">
        <x:v>0</x:v>
      </x:c>
    </x:row>
    <x:row r="4540" ht="23" customHeight="1">
      <x:c r="A4540" s="11" t="str">
        <x:v>02162.HK</x:v>
      </x:c>
      <x:c r="B4540" s="11" t="str">
        <x:v>三年</x:v>
      </x:c>
      <x:c r="C4540" s="11" t="str">
        <x:v>centralCost</x:v>
      </x:c>
      <x:c r="D4540" s="11" t="str">
        <x:v>2027-12-31</x:v>
      </x:c>
      <x:c r="E4540" s="11" t="str">
        <x:v>CNY</x:v>
      </x:c>
      <x:c r="F4540" s="11" t="n">
        <x:v>-1.7741273100616017</x:v>
      </x:c>
      <x:c r="G4540" s="26" t="b">
        <x:v>0</x:v>
      </x:c>
      <x:c r="H4540" s="16" t="n">
        <x:v>0</x:v>
      </x:c>
      <x:c r="I4540" s="16" t="n">
        <x:v>0</x:v>
      </x:c>
      <x:c r="J4540" s="16" t="n">
        <x:v>0</x:v>
      </x:c>
      <x:c r="K4540" s="11" t="n">
        <x:f>CHOOSE('假设'!$B$3,H4540,I4540,J4540)</x:f>
        <x:v>0</x:v>
      </x:c>
      <x:c r="L4540" s="11" t="n">
        <x:f>K4540*'管线假设'!E979*'管线假设'!F979*'管线假设'!G979*IF(E4540="USD",'管线假设'!I979,1)-AM4540</x:f>
        <x:v>-0.1648</x:v>
      </x:c>
      <x:c r="M4540" s="11" t="n">
        <x:f>'管线假设'!H979</x:f>
        <x:v>0.14</x:v>
      </x:c>
      <x:c r="N4540" s="11" t="n">
        <x:f>IF(G4540,L4540*AN4540/(1+M4540)^F4540,0)</x:f>
        <x:v>0</x:v>
      </x:c>
      <x:c r="AJ4540" s="42" t="n">
        <x:v>0.13390000000000002</x:v>
      </x:c>
      <x:c r="AK4540" s="42" t="n">
        <x:v>0.1648</x:v>
      </x:c>
      <x:c r="AL4540" s="42" t="n">
        <x:v>0.20800000000000002</x:v>
      </x:c>
      <x:c r="AM4540" t="n">
        <x:f>CHOOSE('假设'!$B$3,AJ4540,AK4540,AL4540)</x:f>
        <x:v>0.1648</x:v>
      </x:c>
      <x:c r="AN4540" t="n">
        <x:v>0</x:v>
      </x:c>
    </x:row>
    <x:row r="4541" ht="23" customHeight="1">
      <x:c r="A4541" s="11" t="str">
        <x:v>02162.HK</x:v>
      </x:c>
      <x:c r="B4541" s="11" t="str">
        <x:v>三年</x:v>
      </x:c>
      <x:c r="C4541" s="11" t="str">
        <x:v>centralCost</x:v>
      </x:c>
      <x:c r="D4541" s="11" t="str">
        <x:v>2028-12-31</x:v>
      </x:c>
      <x:c r="E4541" s="11" t="str">
        <x:v>CNY</x:v>
      </x:c>
      <x:c r="F4541" s="11" t="n">
        <x:v>-0.7720739219712526</x:v>
      </x:c>
      <x:c r="G4541" s="26" t="b">
        <x:v>0</x:v>
      </x:c>
      <x:c r="H4541" s="16" t="n">
        <x:v>0</x:v>
      </x:c>
      <x:c r="I4541" s="16" t="n">
        <x:v>0</x:v>
      </x:c>
      <x:c r="J4541" s="16" t="n">
        <x:v>0</x:v>
      </x:c>
      <x:c r="K4541" s="11" t="n">
        <x:f>CHOOSE('假设'!$B$3,H4541,I4541,J4541)</x:f>
        <x:v>0</x:v>
      </x:c>
      <x:c r="L4541" s="11" t="n">
        <x:f>K4541*'管线假设'!E979*'管线假设'!F979*'管线假设'!G979*IF(E4541="USD",'管线假设'!I979,1)-AM4541</x:f>
        <x:v>-0.169744</x:v>
      </x:c>
      <x:c r="M4541" s="11" t="n">
        <x:f>'管线假设'!H979</x:f>
        <x:v>0.14</x:v>
      </x:c>
      <x:c r="N4541" s="11" t="n">
        <x:f>IF(G4541,L4541*AN4541/(1+M4541)^F4541,0)</x:f>
        <x:v>0</x:v>
      </x:c>
      <x:c r="AJ4541" s="42" t="n">
        <x:v>0.137917</x:v>
      </x:c>
      <x:c r="AK4541" s="42" t="n">
        <x:v>0.169744</x:v>
      </x:c>
      <x:c r="AL4541" s="42" t="n">
        <x:v>0.21632000000000004</x:v>
      </x:c>
      <x:c r="AM4541" t="n">
        <x:f>CHOOSE('假设'!$B$3,AJ4541,AK4541,AL4541)</x:f>
        <x:v>0.169744</x:v>
      </x:c>
      <x:c r="AN4541" t="n">
        <x:v>0</x:v>
      </x:c>
    </x:row>
    <x:row r="4542" ht="23" customHeight="1">
      <x:c r="A4542" s="11" t="str">
        <x:v>02162.HK</x:v>
      </x:c>
      <x:c r="B4542" s="11" t="str">
        <x:v>三年</x:v>
      </x:c>
      <x:c r="C4542" s="11" t="str">
        <x:v>centralCost</x:v>
      </x:c>
      <x:c r="D4542" s="11" t="str">
        <x:v>2029-12-31</x:v>
      </x:c>
      <x:c r="E4542" s="11" t="str">
        <x:v>CNY</x:v>
      </x:c>
      <x:c r="F4542" s="11" t="n">
        <x:v>0.2272416153319644</x:v>
      </x:c>
      <x:c r="G4542" s="26" t="b">
        <x:v>1</x:v>
      </x:c>
      <x:c r="H4542" s="16" t="n">
        <x:v>0</x:v>
      </x:c>
      <x:c r="I4542" s="16" t="n">
        <x:v>0</x:v>
      </x:c>
      <x:c r="J4542" s="16" t="n">
        <x:v>0</x:v>
      </x:c>
      <x:c r="K4542" s="11" t="n">
        <x:f>CHOOSE('假设'!$B$3,H4542,I4542,J4542)</x:f>
        <x:v>0</x:v>
      </x:c>
      <x:c r="L4542" s="11" t="n">
        <x:f>K4542*'管线假设'!E979*'管线假设'!F979*'管线假设'!G979*IF(E4542="USD",'管线假设'!I979,1)-AM4542</x:f>
        <x:v>-0.17483632000000002</x:v>
      </x:c>
      <x:c r="M4542" s="11" t="n">
        <x:f>'管线假设'!H979</x:f>
        <x:v>0.14</x:v>
      </x:c>
      <x:c r="N4542" s="11" t="n">
        <x:f>IF(G4542,L4542*AN4542/(1+M4542)^F4542,0)</x:f>
        <x:v>-0.03869699266551979</x:v>
      </x:c>
      <x:c r="AJ4542" s="42" t="n">
        <x:v>0.14205451</x:v>
      </x:c>
      <x:c r="AK4542" s="42" t="n">
        <x:v>0.17483632000000002</x:v>
      </x:c>
      <x:c r="AL4542" s="42" t="n">
        <x:v>0.22497280000000003</x:v>
      </x:c>
      <x:c r="AM4542" t="n">
        <x:f>CHOOSE('假设'!$B$3,AJ4542,AK4542,AL4542)</x:f>
        <x:v>0.17483632000000002</x:v>
      </x:c>
      <x:c r="AN4542" t="n">
        <x:v>0.22802197802197802</x:v>
      </x:c>
    </x:row>
    <x:row r="4543" ht="23" customHeight="1">
      <x:c r="A4543" s="11" t="str">
        <x:v>02162.HK</x:v>
      </x:c>
      <x:c r="B4543" s="11" t="str">
        <x:v>三年</x:v>
      </x:c>
      <x:c r="C4543" s="11" t="str">
        <x:v>centralCost</x:v>
      </x:c>
      <x:c r="D4543" s="11" t="str">
        <x:v>2030-12-31</x:v>
      </x:c>
      <x:c r="E4543" s="11" t="str">
        <x:v>CNY</x:v>
      </x:c>
      <x:c r="F4543" s="11" t="n">
        <x:v>1.2265571526351813</x:v>
      </x:c>
      <x:c r="G4543" s="26" t="b">
        <x:v>1</x:v>
      </x:c>
      <x:c r="H4543" s="16" t="n">
        <x:v>0</x:v>
      </x:c>
      <x:c r="I4543" s="16" t="n">
        <x:v>0</x:v>
      </x:c>
      <x:c r="J4543" s="16" t="n">
        <x:v>0</x:v>
      </x:c>
      <x:c r="K4543" s="11" t="n">
        <x:f>CHOOSE('假设'!$B$3,H4543,I4543,J4543)</x:f>
        <x:v>0</x:v>
      </x:c>
      <x:c r="L4543" s="11" t="n">
        <x:f>K4543*'管线假设'!E979*'管线假设'!F979*'管线假设'!G979*IF(E4543="USD",'管线假设'!I979,1)-AM4543</x:f>
        <x:v>-0.18008140960000002</x:v>
      </x:c>
      <x:c r="M4543" s="11" t="n">
        <x:f>'管线假设'!H979</x:f>
        <x:v>0.14</x:v>
      </x:c>
      <x:c r="N4543" s="11" t="n">
        <x:f>IF(G4543,L4543*AN4543/(1+M4543)^F4543,0)</x:f>
        <x:v>-0.1533457800482149</x:v>
      </x:c>
      <x:c r="AJ4543" s="42" t="n">
        <x:v>0.14631614530000003</x:v>
      </x:c>
      <x:c r="AK4543" s="42" t="n">
        <x:v>0.18008140960000002</x:v>
      </x:c>
      <x:c r="AL4543" s="42" t="n">
        <x:v>0.23397171200000005</x:v>
      </x:c>
      <x:c r="AM4543" t="n">
        <x:f>CHOOSE('假设'!$B$3,AJ4543,AK4543,AL4543)</x:f>
        <x:v>0.18008140960000002</x:v>
      </x:c>
      <x:c r="AN4543" t="n">
        <x:v>1</x:v>
      </x:c>
    </x:row>
    <x:row r="4544" ht="23" customHeight="1">
      <x:c r="A4544" s="11" t="str">
        <x:v>02162.HK</x:v>
      </x:c>
      <x:c r="B4544" s="11" t="str">
        <x:v>三年</x:v>
      </x:c>
      <x:c r="C4544" s="11" t="str">
        <x:v>centralCost</x:v>
      </x:c>
      <x:c r="D4544" s="11" t="str">
        <x:v>2031-12-31</x:v>
      </x:c>
      <x:c r="E4544" s="11" t="str">
        <x:v>CNY</x:v>
      </x:c>
      <x:c r="F4544" s="11" t="n">
        <x:v>2.2258726899383983</x:v>
      </x:c>
      <x:c r="G4544" s="26" t="b">
        <x:v>1</x:v>
      </x:c>
      <x:c r="H4544" s="16" t="n">
        <x:v>0</x:v>
      </x:c>
      <x:c r="I4544" s="16" t="n">
        <x:v>0</x:v>
      </x:c>
      <x:c r="J4544" s="16" t="n">
        <x:v>0</x:v>
      </x:c>
      <x:c r="K4544" s="11" t="n">
        <x:f>CHOOSE('假设'!$B$3,H4544,I4544,J4544)</x:f>
        <x:v>0</x:v>
      </x:c>
      <x:c r="L4544" s="11" t="n">
        <x:f>K4544*'管线假设'!E979*'管线假设'!F979*'管线假设'!G979*IF(E4544="USD",'管线假设'!I979,1)-AM4544</x:f>
        <x:v>-0.185483851888</x:v>
      </x:c>
      <x:c r="M4544" s="11" t="n">
        <x:f>'管线假设'!H979</x:f>
        <x:v>0.14</x:v>
      </x:c>
      <x:c r="N4544" s="11" t="n">
        <x:f>IF(G4544,L4544*AN4544/(1+M4544)^F4544,0)</x:f>
        <x:v>-0.13856168361495153</x:v>
      </x:c>
      <x:c r="AJ4544" s="42" t="n">
        <x:v>0.150705629659</x:v>
      </x:c>
      <x:c r="AK4544" s="42" t="n">
        <x:v>0.185483851888</x:v>
      </x:c>
      <x:c r="AL4544" s="42" t="n">
        <x:v>0.24333058048000003</x:v>
      </x:c>
      <x:c r="AM4544" t="n">
        <x:f>CHOOSE('假设'!$B$3,AJ4544,AK4544,AL4544)</x:f>
        <x:v>0.185483851888</x:v>
      </x:c>
      <x:c r="AN4544" t="n">
        <x:v>1</x:v>
      </x:c>
    </x:row>
    <x:row r="4545" ht="23" customHeight="1">
      <x:c r="A4545" s="11" t="str">
        <x:v>02162.HK</x:v>
      </x:c>
      <x:c r="B4545" s="11" t="str">
        <x:v>三年</x:v>
      </x:c>
      <x:c r="C4545" s="11" t="str">
        <x:v>centralCost</x:v>
      </x:c>
      <x:c r="D4545" s="11" t="str">
        <x:v>2032-12-31</x:v>
      </x:c>
      <x:c r="E4545" s="11" t="str">
        <x:v>CNY</x:v>
      </x:c>
      <x:c r="F4545" s="11" t="n">
        <x:v>3.2279260780287475</x:v>
      </x:c>
      <x:c r="G4545" s="26" t="b">
        <x:v>1</x:v>
      </x:c>
      <x:c r="H4545" s="16" t="n">
        <x:v>0</x:v>
      </x:c>
      <x:c r="I4545" s="16" t="n">
        <x:v>0</x:v>
      </x:c>
      <x:c r="J4545" s="16" t="n">
        <x:v>0</x:v>
      </x:c>
      <x:c r="K4545" s="11" t="n">
        <x:f>CHOOSE('假设'!$B$3,H4545,I4545,J4545)</x:f>
        <x:v>0</x:v>
      </x:c>
      <x:c r="L4545" s="11" t="n">
        <x:f>K4545*'管线假设'!E979*'管线假设'!F979*'管线假设'!G979*IF(E4545="USD",'管线假设'!I979,1)-AM4545</x:f>
        <x:v>-0.19104836744464002</x:v>
      </x:c>
      <x:c r="M4545" s="11" t="n">
        <x:f>'管线假设'!H979</x:f>
        <x:v>0.14</x:v>
      </x:c>
      <x:c r="N4545" s="11" t="n">
        <x:f>IF(G4545,L4545*AN4545/(1+M4545)^F4545,0)</x:f>
        <x:v>-0.12515801806979285</x:v>
      </x:c>
      <x:c r="AJ4545" s="42" t="n">
        <x:v>0.15522679854877003</x:v>
      </x:c>
      <x:c r="AK4545" s="42" t="n">
        <x:v>0.19104836744464002</x:v>
      </x:c>
      <x:c r="AL4545" s="42" t="n">
        <x:v>0.25306380369920006</x:v>
      </x:c>
      <x:c r="AM4545" t="n">
        <x:f>CHOOSE('假设'!$B$3,AJ4545,AK4545,AL4545)</x:f>
        <x:v>0.19104836744464002</x:v>
      </x:c>
      <x:c r="AN4545" t="n">
        <x:v>1</x:v>
      </x:c>
    </x:row>
    <x:row r="4546" ht="23" customHeight="1">
      <x:c r="A4546" s="11" t="str">
        <x:v>02162.HK</x:v>
      </x:c>
      <x:c r="B4546" s="11" t="str">
        <x:v>三年</x:v>
      </x:c>
      <x:c r="C4546" s="11" t="str">
        <x:v>centralCost</x:v>
      </x:c>
      <x:c r="D4546" s="11" t="str">
        <x:v>2033-12-31</x:v>
      </x:c>
      <x:c r="E4546" s="11" t="str">
        <x:v>CNY</x:v>
      </x:c>
      <x:c r="F4546" s="11" t="n">
        <x:v>4.227241615331964</x:v>
      </x:c>
      <x:c r="G4546" s="26" t="b">
        <x:v>1</x:v>
      </x:c>
      <x:c r="H4546" s="16" t="n">
        <x:v>0</x:v>
      </x:c>
      <x:c r="I4546" s="16" t="n">
        <x:v>0</x:v>
      </x:c>
      <x:c r="J4546" s="16" t="n">
        <x:v>0</x:v>
      </x:c>
      <x:c r="K4546" s="11" t="n">
        <x:f>CHOOSE('假设'!$B$3,H4546,I4546,J4546)</x:f>
        <x:v>0</x:v>
      </x:c>
      <x:c r="L4546" s="11" t="n">
        <x:f>K4546*'管线假设'!E979*'管线假设'!F979*'管线假设'!G979*IF(E4546="USD",'管线假设'!I979,1)-AM4546</x:f>
        <x:v>-0.19677981846797923</x:v>
      </x:c>
      <x:c r="M4546" s="11" t="n">
        <x:f>'管线假设'!H979</x:f>
        <x:v>0.14</x:v>
      </x:c>
      <x:c r="N4546" s="11" t="n">
        <x:f>IF(G4546,L4546*AN4546/(1+M4546)^F4546,0)</x:f>
        <x:v>-0.11309150924276057</x:v>
      </x:c>
      <x:c r="AJ4546" s="42" t="n">
        <x:v>0.15988360250523312</x:v>
      </x:c>
      <x:c r="AK4546" s="42" t="n">
        <x:v>0.19677981846797923</x:v>
      </x:c>
      <x:c r="AL4546" s="42" t="n">
        <x:v>0.26318635584716804</x:v>
      </x:c>
      <x:c r="AM4546" t="n">
        <x:f>CHOOSE('假设'!$B$3,AJ4546,AK4546,AL4546)</x:f>
        <x:v>0.19677981846797923</x:v>
      </x:c>
      <x:c r="AN4546" t="n">
        <x:v>1</x:v>
      </x:c>
    </x:row>
    <x:row r="4547" ht="23" customHeight="1">
      <x:c r="A4547" s="11" t="str">
        <x:v>02162.HK</x:v>
      </x:c>
      <x:c r="B4547" s="11" t="str">
        <x:v>三年</x:v>
      </x:c>
      <x:c r="C4547" s="11" t="str">
        <x:v>centralCost</x:v>
      </x:c>
      <x:c r="D4547" s="11" t="str">
        <x:v>2034-12-31</x:v>
      </x:c>
      <x:c r="E4547" s="11" t="str">
        <x:v>CNY</x:v>
      </x:c>
      <x:c r="F4547" s="11" t="n">
        <x:v>5.2265571526351815</x:v>
      </x:c>
      <x:c r="G4547" s="26" t="b">
        <x:v>1</x:v>
      </x:c>
      <x:c r="H4547" s="16" t="n">
        <x:v>0</x:v>
      </x:c>
      <x:c r="I4547" s="16" t="n">
        <x:v>0</x:v>
      </x:c>
      <x:c r="J4547" s="16" t="n">
        <x:v>0</x:v>
      </x:c>
      <x:c r="K4547" s="11" t="n">
        <x:f>CHOOSE('假设'!$B$3,H4547,I4547,J4547)</x:f>
        <x:v>0</x:v>
      </x:c>
      <x:c r="L4547" s="11" t="n">
        <x:f>K4547*'管线假设'!E979*'管线假设'!F979*'管线假设'!G979*IF(E4547="USD",'管线假设'!I979,1)-AM4547</x:f>
        <x:v>-0.20268321302201864</x:v>
      </x:c>
      <x:c r="M4547" s="11" t="n">
        <x:f>'管线假设'!H979</x:f>
        <x:v>0.14</x:v>
      </x:c>
      <x:c r="N4547" s="11" t="n">
        <x:f>IF(G4547,L4547*AN4547/(1+M4547)^F4547,0)</x:f>
        <x:v>-0.10218833487498488</x:v>
      </x:c>
      <x:c r="AJ4547" s="42" t="n">
        <x:v>0.16468011058039014</x:v>
      </x:c>
      <x:c r="AK4547" s="42" t="n">
        <x:v>0.20268321302201864</x:v>
      </x:c>
      <x:c r="AL4547" s="42" t="n">
        <x:v>0.2737138100810548</x:v>
      </x:c>
      <x:c r="AM4547" t="n">
        <x:f>CHOOSE('假设'!$B$3,AJ4547,AK4547,AL4547)</x:f>
        <x:v>0.20268321302201864</x:v>
      </x:c>
      <x:c r="AN4547" t="n">
        <x:v>1</x:v>
      </x:c>
    </x:row>
    <x:row r="4548" ht="23" customHeight="1">
      <x:c r="A4548" s="11" t="str">
        <x:v>02162.HK</x:v>
      </x:c>
      <x:c r="B4548" s="11" t="str">
        <x:v>三年</x:v>
      </x:c>
      <x:c r="C4548" s="11" t="str">
        <x:v>centralCost</x:v>
      </x:c>
      <x:c r="D4548" s="11" t="str">
        <x:v>2035-12-31</x:v>
      </x:c>
      <x:c r="E4548" s="11" t="str">
        <x:v>CNY</x:v>
      </x:c>
      <x:c r="F4548" s="11" t="n">
        <x:v>6.225872689938399</x:v>
      </x:c>
      <x:c r="G4548" s="26" t="b">
        <x:v>1</x:v>
      </x:c>
      <x:c r="H4548" s="16" t="n">
        <x:v>0</x:v>
      </x:c>
      <x:c r="I4548" s="16" t="n">
        <x:v>0</x:v>
      </x:c>
      <x:c r="J4548" s="16" t="n">
        <x:v>0</x:v>
      </x:c>
      <x:c r="K4548" s="11" t="n">
        <x:f>CHOOSE('假设'!$B$3,H4548,I4548,J4548)</x:f>
        <x:v>0</x:v>
      </x:c>
      <x:c r="L4548" s="11" t="n">
        <x:f>K4548*'管线假设'!E979*'管线假设'!F979*'管线假设'!G979*IF(E4548="USD",'管线假设'!I979,1)-AM4548</x:f>
        <x:v>-0.2087637094126792</x:v>
      </x:c>
      <x:c r="M4548" s="11" t="n">
        <x:f>'管线假设'!H979</x:f>
        <x:v>0.14</x:v>
      </x:c>
      <x:c r="N4548" s="11" t="n">
        <x:f>IF(G4548,L4548*AN4548/(1+M4548)^F4548,0)</x:f>
        <x:v>-0.09233633766533636</x:v>
      </x:c>
      <x:c r="AJ4548" s="42" t="n">
        <x:v>0.16962051389780183</x:v>
      </x:c>
      <x:c r="AK4548" s="42" t="n">
        <x:v>0.2087637094126792</x:v>
      </x:c>
      <x:c r="AL4548" s="42" t="n">
        <x:v>0.284662362484297</x:v>
      </x:c>
      <x:c r="AM4548" t="n">
        <x:f>CHOOSE('假设'!$B$3,AJ4548,AK4548,AL4548)</x:f>
        <x:v>0.2087637094126792</x:v>
      </x:c>
      <x:c r="AN4548" t="n">
        <x:v>1</x:v>
      </x:c>
    </x:row>
    <x:row r="4549" ht="23" customHeight="1">
      <x:c r="A4549" s="11" t="str">
        <x:v>02162.HK</x:v>
      </x:c>
      <x:c r="B4549" s="11" t="str">
        <x:v>三年</x:v>
      </x:c>
      <x:c r="C4549" s="11" t="str">
        <x:v>centralCost</x:v>
      </x:c>
      <x:c r="D4549" s="11" t="str">
        <x:v>2036-12-31</x:v>
      </x:c>
      <x:c r="E4549" s="11" t="str">
        <x:v>CNY</x:v>
      </x:c>
      <x:c r="F4549" s="11" t="n">
        <x:v>7.227926078028747</x:v>
      </x:c>
      <x:c r="G4549" s="26" t="b">
        <x:v>1</x:v>
      </x:c>
      <x:c r="H4549" s="16" t="n">
        <x:v>0</x:v>
      </x:c>
      <x:c r="I4549" s="16" t="n">
        <x:v>0</x:v>
      </x:c>
      <x:c r="J4549" s="16" t="n">
        <x:v>0</x:v>
      </x:c>
      <x:c r="K4549" s="11" t="n">
        <x:f>CHOOSE('假设'!$B$3,H4549,I4549,J4549)</x:f>
        <x:v>0</x:v>
      </x:c>
      <x:c r="L4549" s="11" t="n">
        <x:f>K4549*'管线假设'!E979*'管线假设'!F979*'管线假设'!G979*IF(E4549="USD",'管线假设'!I979,1)-AM4549</x:f>
        <x:v>-0.21502662069505957</x:v>
      </x:c>
      <x:c r="M4549" s="11" t="n">
        <x:f>'管线假设'!H979</x:f>
        <x:v>0.14</x:v>
      </x:c>
      <x:c r="N4549" s="11" t="n">
        <x:f>IF(G4549,L4549*AN4549/(1+M4549)^F4549,0)</x:f>
        <x:v>-0.08340424796028997</x:v>
      </x:c>
      <x:c r="AJ4549" s="42" t="n">
        <x:v>0.1747091293147359</x:v>
      </x:c>
      <x:c r="AK4549" s="42" t="n">
        <x:v>0.21502662069505957</x:v>
      </x:c>
      <x:c r="AL4549" s="42" t="n">
        <x:v>0.2960488569836689</x:v>
      </x:c>
      <x:c r="AM4549" t="n">
        <x:f>CHOOSE('假设'!$B$3,AJ4549,AK4549,AL4549)</x:f>
        <x:v>0.21502662069505957</x:v>
      </x:c>
      <x:c r="AN4549" t="n">
        <x:v>1</x:v>
      </x:c>
    </x:row>
    <x:row r="4550" ht="23" customHeight="1">
      <x:c r="A4550" s="11" t="str">
        <x:v>02162.HK</x:v>
      </x:c>
      <x:c r="B4550" s="11" t="str">
        <x:v>三年</x:v>
      </x:c>
      <x:c r="C4550" s="11" t="str">
        <x:v>centralCost</x:v>
      </x:c>
      <x:c r="D4550" s="11" t="str">
        <x:v>2037-12-31</x:v>
      </x:c>
      <x:c r="E4550" s="11" t="str">
        <x:v>CNY</x:v>
      </x:c>
      <x:c r="F4550" s="11" t="n">
        <x:v>8.227241615331964</x:v>
      </x:c>
      <x:c r="G4550" s="26" t="b">
        <x:v>1</x:v>
      </x:c>
      <x:c r="H4550" s="16" t="n">
        <x:v>0</x:v>
      </x:c>
      <x:c r="I4550" s="16" t="n">
        <x:v>0</x:v>
      </x:c>
      <x:c r="J4550" s="16" t="n">
        <x:v>0</x:v>
      </x:c>
      <x:c r="K4550" s="11" t="n">
        <x:f>CHOOSE('假设'!$B$3,H4550,I4550,J4550)</x:f>
        <x:v>0</x:v>
      </x:c>
      <x:c r="L4550" s="11" t="n">
        <x:f>K4550*'管线假设'!E979*'管线假设'!F979*'管线假设'!G979*IF(E4550="USD",'管线假设'!I979,1)-AM4550</x:f>
        <x:v>-0.22147741931591136</x:v>
      </x:c>
      <x:c r="M4550" s="11" t="n">
        <x:f>'管线假设'!H979</x:f>
        <x:v>0.14</x:v>
      </x:c>
      <x:c r="N4550" s="11" t="n">
        <x:f>IF(G4550,L4550*AN4550/(1+M4550)^F4550,0)</x:f>
        <x:v>-0.07536322821784229</x:v>
      </x:c>
      <x:c r="AJ4550" s="42" t="n">
        <x:v>0.179950403194178</x:v>
      </x:c>
      <x:c r="AK4550" s="42" t="n">
        <x:v>0.22147741931591136</x:v>
      </x:c>
      <x:c r="AL4550" s="42" t="n">
        <x:v>0.30789081126301565</x:v>
      </x:c>
      <x:c r="AM4550" t="n">
        <x:f>CHOOSE('假设'!$B$3,AJ4550,AK4550,AL4550)</x:f>
        <x:v>0.22147741931591136</x:v>
      </x:c>
      <x:c r="AN4550" t="n">
        <x:v>1</x:v>
      </x:c>
    </x:row>
    <x:row r="4551" ht="23" customHeight="1">
      <x:c r="A4551" s="11" t="str">
        <x:v>02162.HK</x:v>
      </x:c>
      <x:c r="B4551" s="11" t="str">
        <x:v>三年</x:v>
      </x:c>
      <x:c r="C4551" s="11" t="str">
        <x:v>centralCost</x:v>
      </x:c>
      <x:c r="D4551" s="11" t="str">
        <x:v>2038-12-31</x:v>
      </x:c>
      <x:c r="E4551" s="11" t="str">
        <x:v>CNY</x:v>
      </x:c>
      <x:c r="F4551" s="11" t="n">
        <x:v>9.22655715263518</x:v>
      </x:c>
      <x:c r="G4551" s="26" t="b">
        <x:v>1</x:v>
      </x:c>
      <x:c r="H4551" s="16" t="n">
        <x:v>0</x:v>
      </x:c>
      <x:c r="I4551" s="16" t="n">
        <x:v>0</x:v>
      </x:c>
      <x:c r="J4551" s="16" t="n">
        <x:v>0</x:v>
      </x:c>
      <x:c r="K4551" s="11" t="n">
        <x:f>CHOOSE('假设'!$B$3,H4551,I4551,J4551)</x:f>
        <x:v>0</x:v>
      </x:c>
      <x:c r="L4551" s="11" t="n">
        <x:f>K4551*'管线假设'!E979*'管线假设'!F979*'管线假设'!G979*IF(E4551="USD",'管线假设'!I979,1)-AM4551</x:f>
        <x:v>-0.2281217418953887</x:v>
      </x:c>
      <x:c r="M4551" s="11" t="n">
        <x:f>'管线假设'!H979</x:f>
        <x:v>0.14</x:v>
      </x:c>
      <x:c r="N4551" s="11" t="n">
        <x:f>IF(G4551,L4551*AN4551/(1+M4551)^F4551,0)</x:f>
        <x:v>-0.06809744475028096</x:v>
      </x:c>
      <x:c r="AJ4551" s="42" t="n">
        <x:v>0.1853489152900033</x:v>
      </x:c>
      <x:c r="AK4551" s="42" t="n">
        <x:v>0.2281217418953887</x:v>
      </x:c>
      <x:c r="AL4551" s="42" t="n">
        <x:v>0.32020644371353635</x:v>
      </x:c>
      <x:c r="AM4551" t="n">
        <x:f>CHOOSE('假设'!$B$3,AJ4551,AK4551,AL4551)</x:f>
        <x:v>0.2281217418953887</x:v>
      </x:c>
      <x:c r="AN4551" t="n">
        <x:v>1</x:v>
      </x:c>
    </x:row>
    <x:row r="4552" ht="23" customHeight="1">
      <x:c r="A4552" s="11" t="str">
        <x:v>02162.HK</x:v>
      </x:c>
      <x:c r="B4552" s="11" t="str">
        <x:v>三年</x:v>
      </x:c>
      <x:c r="C4552" s="11" t="str">
        <x:v>centralCost</x:v>
      </x:c>
      <x:c r="D4552" s="11" t="str">
        <x:v>2039-12-31</x:v>
      </x:c>
      <x:c r="E4552" s="11" t="str">
        <x:v>CNY</x:v>
      </x:c>
      <x:c r="F4552" s="11" t="n">
        <x:v>10.225872689938399</x:v>
      </x:c>
      <x:c r="G4552" s="26" t="b">
        <x:v>1</x:v>
      </x:c>
      <x:c r="H4552" s="16" t="n">
        <x:v>0</x:v>
      </x:c>
      <x:c r="I4552" s="16" t="n">
        <x:v>0</x:v>
      </x:c>
      <x:c r="J4552" s="16" t="n">
        <x:v>0</x:v>
      </x:c>
      <x:c r="K4552" s="11" t="n">
        <x:f>CHOOSE('假设'!$B$3,H4552,I4552,J4552)</x:f>
        <x:v>0</x:v>
      </x:c>
      <x:c r="L4552" s="11" t="n">
        <x:f>K4552*'管线假设'!E979*'管线假设'!F979*'管线假设'!G979*IF(E4552="USD",'管线假设'!I979,1)-AM4552</x:f>
        <x:v>-0.23496539415225037</x:v>
      </x:c>
      <x:c r="M4552" s="11" t="n">
        <x:f>'管线假设'!H979</x:f>
        <x:v>0.14</x:v>
      </x:c>
      <x:c r="N4552" s="11" t="n">
        <x:f>IF(G4552,L4552*AN4552/(1+M4552)^F4552,0)</x:f>
        <x:v>-0.06153215687779804</x:v>
      </x:c>
      <x:c r="AJ4552" s="42" t="n">
        <x:v>0.19090938274870342</x:v>
      </x:c>
      <x:c r="AK4552" s="42" t="n">
        <x:v>0.23496539415225037</x:v>
      </x:c>
      <x:c r="AL4552" s="42" t="n">
        <x:v>0.3330147014620778</x:v>
      </x:c>
      <x:c r="AM4552" t="n">
        <x:f>CHOOSE('假设'!$B$3,AJ4552,AK4552,AL4552)</x:f>
        <x:v>0.23496539415225037</x:v>
      </x:c>
      <x:c r="AN4552" t="n">
        <x:v>1</x:v>
      </x:c>
    </x:row>
    <x:row r="4553" ht="23" customHeight="1">
      <x:c r="A4553" s="11" t="str">
        <x:v>02162.HK</x:v>
      </x:c>
      <x:c r="B4553" s="11" t="str">
        <x:v>三年</x:v>
      </x:c>
      <x:c r="C4553" s="11" t="str">
        <x:v>centralCost</x:v>
      </x:c>
      <x:c r="D4553" s="11" t="str">
        <x:v>2040-12-31</x:v>
      </x:c>
      <x:c r="E4553" s="11" t="str">
        <x:v>CNY</x:v>
      </x:c>
      <x:c r="F4553" s="11" t="n">
        <x:v>11.227926078028748</x:v>
      </x:c>
      <x:c r="G4553" s="26" t="b">
        <x:v>1</x:v>
      </x:c>
      <x:c r="H4553" s="16" t="n">
        <x:v>0</x:v>
      </x:c>
      <x:c r="I4553" s="16" t="n">
        <x:v>0</x:v>
      </x:c>
      <x:c r="J4553" s="16" t="n">
        <x:v>0</x:v>
      </x:c>
      <x:c r="K4553" s="11" t="n">
        <x:f>CHOOSE('假设'!$B$3,H4553,I4553,J4553)</x:f>
        <x:v>0</x:v>
      </x:c>
      <x:c r="L4553" s="11" t="n">
        <x:f>K4553*'管线假设'!E979*'管线假设'!F979*'管线假设'!G979*IF(E4553="USD",'管线假设'!I979,1)-AM4553</x:f>
        <x:v>-0.24201435597681792</x:v>
      </x:c>
      <x:c r="M4553" s="11" t="n">
        <x:f>'管线假设'!H979</x:f>
        <x:v>0.14</x:v>
      </x:c>
      <x:c r="N4553" s="11" t="n">
        <x:f>IF(G4553,L4553*AN4553/(1+M4553)^F4553,0)</x:f>
        <x:v>-0.05557988761009665</x:v>
      </x:c>
      <x:c r="AJ4553" s="42" t="n">
        <x:v>0.19663666423116455</x:v>
      </x:c>
      <x:c r="AK4553" s="42" t="n">
        <x:v>0.24201435597681792</x:v>
      </x:c>
      <x:c r="AL4553" s="42" t="n">
        <x:v>0.3463352895205609</x:v>
      </x:c>
      <x:c r="AM4553" t="n">
        <x:f>CHOOSE('假设'!$B$3,AJ4553,AK4553,AL4553)</x:f>
        <x:v>0.24201435597681792</x:v>
      </x:c>
      <x:c r="AN4553" t="n">
        <x:v>1</x:v>
      </x:c>
    </x:row>
    <x:row r="4554" ht="23" customHeight="1">
      <x:c r="A4554" s="11" t="str">
        <x:v>02162.HK</x:v>
      </x:c>
      <x:c r="B4554" s="11" t="str">
        <x:v>三年</x:v>
      </x:c>
      <x:c r="C4554" s="11" t="str">
        <x:v>centralCost</x:v>
      </x:c>
      <x:c r="D4554" s="11" t="str">
        <x:v>2041-12-31</x:v>
      </x:c>
      <x:c r="E4554" s="11" t="str">
        <x:v>CNY</x:v>
      </x:c>
      <x:c r="F4554" s="11" t="n">
        <x:v>12.227241615331964</x:v>
      </x:c>
      <x:c r="G4554" s="26" t="b">
        <x:v>1</x:v>
      </x:c>
      <x:c r="H4554" s="16" t="n">
        <x:v>0</x:v>
      </x:c>
      <x:c r="I4554" s="16" t="n">
        <x:v>0</x:v>
      </x:c>
      <x:c r="J4554" s="16" t="n">
        <x:v>0</x:v>
      </x:c>
      <x:c r="K4554" s="11" t="n">
        <x:f>CHOOSE('假设'!$B$3,H4554,I4554,J4554)</x:f>
        <x:v>0</x:v>
      </x:c>
      <x:c r="L4554" s="11" t="n">
        <x:f>K4554*'管线假设'!E979*'管线假设'!F979*'管线假设'!G979*IF(E4554="USD",'管线假设'!I979,1)-AM4554</x:f>
        <x:v>-0.24927478665612243</x:v>
      </x:c>
      <x:c r="M4554" s="11" t="n">
        <x:f>'管线假设'!H979</x:f>
        <x:v>0.14</x:v>
      </x:c>
      <x:c r="N4554" s="11" t="n">
        <x:f>IF(G4554,L4554*AN4554/(1+M4554)^F4554,0)</x:f>
        <x:v>-0.05022141985233214</x:v>
      </x:c>
      <x:c r="AJ4554" s="42" t="n">
        <x:v>0.20253576415809946</x:v>
      </x:c>
      <x:c r="AK4554" s="42" t="n">
        <x:v>0.24927478665612243</x:v>
      </x:c>
      <x:c r="AL4554" s="42" t="n">
        <x:v>0.36018870110138335</x:v>
      </x:c>
      <x:c r="AM4554" t="n">
        <x:f>CHOOSE('假设'!$B$3,AJ4554,AK4554,AL4554)</x:f>
        <x:v>0.24927478665612243</x:v>
      </x:c>
      <x:c r="AN4554" t="n">
        <x:v>1</x:v>
      </x:c>
    </x:row>
    <x:row r="4555" ht="23" customHeight="1">
      <x:c r="A4555" s="11" t="str">
        <x:v>02162.HK</x:v>
      </x:c>
      <x:c r="B4555" s="11" t="str">
        <x:v>三年</x:v>
      </x:c>
      <x:c r="C4555" s="11" t="str">
        <x:v>centralCost</x:v>
      </x:c>
      <x:c r="D4555" s="11" t="str">
        <x:v>2042-12-31</x:v>
      </x:c>
      <x:c r="E4555" s="11" t="str">
        <x:v>CNY</x:v>
      </x:c>
      <x:c r="F4555" s="11" t="n">
        <x:v>13.22655715263518</x:v>
      </x:c>
      <x:c r="G4555" s="26" t="b">
        <x:v>1</x:v>
      </x:c>
      <x:c r="H4555" s="16" t="n">
        <x:v>0</x:v>
      </x:c>
      <x:c r="I4555" s="16" t="n">
        <x:v>0</x:v>
      </x:c>
      <x:c r="J4555" s="16" t="n">
        <x:v>0</x:v>
      </x:c>
      <x:c r="K4555" s="11" t="n">
        <x:f>CHOOSE('假设'!$B$3,H4555,I4555,J4555)</x:f>
        <x:v>0</x:v>
      </x:c>
      <x:c r="L4555" s="11" t="n">
        <x:f>K4555*'管线假设'!E979*'管线假设'!F979*'管线假设'!G979*IF(E4555="USD",'管线假设'!I979,1)-AM4555</x:f>
        <x:v>-0.2567530302558061</x:v>
      </x:c>
      <x:c r="M4555" s="11" t="n">
        <x:f>'管线假设'!H979</x:f>
        <x:v>0.14</x:v>
      </x:c>
      <x:c r="N4555" s="11" t="n">
        <x:f>IF(G4555,L4555*AN4555/(1+M4555)^F4555,0)</x:f>
        <x:v>-0.04537956301167545</x:v>
      </x:c>
      <x:c r="AJ4555" s="42" t="n">
        <x:v>0.20861183708284248</x:v>
      </x:c>
      <x:c r="AK4555" s="42" t="n">
        <x:v>0.2567530302558061</x:v>
      </x:c>
      <x:c r="AL4555" s="42" t="n">
        <x:v>0.37459624914543865</x:v>
      </x:c>
      <x:c r="AM4555" t="n">
        <x:f>CHOOSE('假设'!$B$3,AJ4555,AK4555,AL4555)</x:f>
        <x:v>0.2567530302558061</x:v>
      </x:c>
      <x:c r="AN4555" t="n">
        <x:v>1</x:v>
      </x:c>
    </x:row>
    <x:row r="4556" ht="23" customHeight="1">
      <x:c r="A4556" s="11" t="str">
        <x:v>02162.HK</x:v>
      </x:c>
      <x:c r="B4556" s="11" t="str">
        <x:v>三年</x:v>
      </x:c>
      <x:c r="C4556" s="11" t="str">
        <x:v>centralCost</x:v>
      </x:c>
      <x:c r="D4556" s="11" t="str">
        <x:v>2043-12-31</x:v>
      </x:c>
      <x:c r="E4556" s="11" t="str">
        <x:v>CNY</x:v>
      </x:c>
      <x:c r="F4556" s="11" t="n">
        <x:v>14.225872689938399</x:v>
      </x:c>
      <x:c r="G4556" s="26" t="b">
        <x:v>1</x:v>
      </x:c>
      <x:c r="H4556" s="16" t="n">
        <x:v>0</x:v>
      </x:c>
      <x:c r="I4556" s="16" t="n">
        <x:v>0</x:v>
      </x:c>
      <x:c r="J4556" s="16" t="n">
        <x:v>0</x:v>
      </x:c>
      <x:c r="K4556" s="11" t="n">
        <x:f>CHOOSE('假设'!$B$3,H4556,I4556,J4556)</x:f>
        <x:v>0</x:v>
      </x:c>
      <x:c r="L4556" s="11" t="n">
        <x:f>K4556*'管线假设'!E979*'管线假设'!F979*'管线假设'!G979*IF(E4556="USD",'管线假设'!I979,1)-AM4556</x:f>
        <x:v>-0.2644556211634803</x:v>
      </x:c>
      <x:c r="M4556" s="11" t="n">
        <x:f>'管线假设'!H979</x:f>
        <x:v>0.14</x:v>
      </x:c>
      <x:c r="N4556" s="11" t="n">
        <x:f>IF(G4556,L4556*AN4556/(1+M4556)^F4556,0)</x:f>
        <x:v>-0.041004510529285526</x:v>
      </x:c>
      <x:c r="AJ4556" s="42" t="n">
        <x:v>0.21487019219532774</x:v>
      </x:c>
      <x:c r="AK4556" s="42" t="n">
        <x:v>0.2644556211634803</x:v>
      </x:c>
      <x:c r="AL4556" s="42" t="n">
        <x:v>0.38958009911125624</x:v>
      </x:c>
      <x:c r="AM4556" t="n">
        <x:f>CHOOSE('假设'!$B$3,AJ4556,AK4556,AL4556)</x:f>
        <x:v>0.2644556211634803</x:v>
      </x:c>
      <x:c r="AN4556" t="n">
        <x:v>1</x:v>
      </x:c>
    </x:row>
    <x:row r="4557" ht="23" customHeight="1">
      <x:c r="A4557" s="11" t="str">
        <x:v>02162.HK</x:v>
      </x:c>
      <x:c r="B4557" s="11" t="str">
        <x:v>三年</x:v>
      </x:c>
      <x:c r="C4557" s="11" t="str">
        <x:v>centralCost</x:v>
      </x:c>
      <x:c r="D4557" s="11" t="str">
        <x:v>2044-12-31</x:v>
      </x:c>
      <x:c r="E4557" s="11" t="str">
        <x:v>CNY</x:v>
      </x:c>
      <x:c r="F4557" s="11" t="n">
        <x:v>15.227926078028748</x:v>
      </x:c>
      <x:c r="G4557" s="26" t="b">
        <x:v>1</x:v>
      </x:c>
      <x:c r="H4557" s="16" t="n">
        <x:v>0</x:v>
      </x:c>
      <x:c r="I4557" s="16" t="n">
        <x:v>0</x:v>
      </x:c>
      <x:c r="J4557" s="16" t="n">
        <x:v>0</x:v>
      </x:c>
      <x:c r="K4557" s="11" t="n">
        <x:f>CHOOSE('假设'!$B$3,H4557,I4557,J4557)</x:f>
        <x:v>0</x:v>
      </x:c>
      <x:c r="L4557" s="11" t="n">
        <x:f>K4557*'管线假设'!E979*'管线假设'!F979*'管线假设'!G979*IF(E4557="USD",'管线假设'!I979,1)-AM4557</x:f>
        <x:v>-0.2723892897983847</x:v>
      </x:c>
      <x:c r="M4557" s="11" t="n">
        <x:f>'管线假设'!H979</x:f>
        <x:v>0.14</x:v>
      </x:c>
      <x:c r="N4557" s="11" t="n">
        <x:f>IF(G4557,L4557*AN4557/(1+M4557)^F4557,0)</x:f>
        <x:v>-0.037037968476398876</x:v>
      </x:c>
      <x:c r="AJ4557" s="42" t="n">
        <x:v>0.2213162979611876</x:v>
      </x:c>
      <x:c r="AK4557" s="42" t="n">
        <x:v>0.2723892897983847</x:v>
      </x:c>
      <x:c r="AL4557" s="42" t="n">
        <x:v>0.4051633030757065</x:v>
      </x:c>
      <x:c r="AM4557" t="n">
        <x:f>CHOOSE('假设'!$B$3,AJ4557,AK4557,AL4557)</x:f>
        <x:v>0.2723892897983847</x:v>
      </x:c>
      <x:c r="AN4557" t="n">
        <x:v>1</x:v>
      </x:c>
    </x:row>
    <x:row r="4558" ht="23" customHeight="1">
      <x:c r="A4558" s="11" t="str">
        <x:v>02162.HK</x:v>
      </x:c>
      <x:c r="B4558" s="11" t="str">
        <x:v>五年</x:v>
      </x:c>
      <x:c r="C4558" s="11" t="str">
        <x:v>CM310_approved</x:v>
      </x:c>
      <x:c r="D4558" s="11" t="str">
        <x:v>2026-12-31</x:v>
      </x:c>
      <x:c r="E4558" s="11" t="str">
        <x:v>CNY</x:v>
      </x:c>
      <x:c r="F4558" s="11" t="n">
        <x:v>-4.772073921971253</x:v>
      </x:c>
      <x:c r="G4558" s="26" t="b">
        <x:v>0</x:v>
      </x:c>
      <x:c r="H4558" s="16" t="n">
        <x:v>0.75</x:v>
      </x:c>
      <x:c r="I4558" s="16" t="n">
        <x:v>0.85</x:v>
      </x:c>
      <x:c r="J4558" s="16" t="n">
        <x:v>0.95</x:v>
      </x:c>
      <x:c r="K4558" s="11" t="n">
        <x:f>CHOOSE('假设'!$B$3,H4558,I4558,J4558)</x:f>
        <x:v>0.85</x:v>
      </x:c>
      <x:c r="L4558" s="11" t="n">
        <x:f>K4558*'管线假设'!E983*'管线假设'!F983*'管线假设'!G983*IF(E4558="USD",'管线假设'!I983,1)-AM4558</x:f>
        <x:v>0.341025</x:v>
      </x:c>
      <x:c r="M4558" s="11" t="n">
        <x:f>'管线假设'!H983</x:f>
        <x:v>0.14</x:v>
      </x:c>
      <x:c r="N4558" s="11" t="n">
        <x:f>IF(G4558,L4558*AN4558/(1+M4558)^F4558,0)</x:f>
        <x:v>0</x:v>
      </x:c>
      <x:c r="AJ4558" s="42" t="n">
        <x:v>0.025</x:v>
      </x:c>
      <x:c r="AK4558" s="42" t="n">
        <x:v>0.03</x:v>
      </x:c>
      <x:c r="AL4558" s="42" t="n">
        <x:v>0.04</x:v>
      </x:c>
      <x:c r="AM4558" t="n">
        <x:f>CHOOSE('假设'!$B$3,AJ4558,AK4558,AL4558)</x:f>
        <x:v>0.03</x:v>
      </x:c>
      <x:c r="AN4558" t="n">
        <x:v>0</x:v>
      </x:c>
    </x:row>
    <x:row r="4559" ht="23" customHeight="1">
      <x:c r="A4559" s="11" t="str">
        <x:v>02162.HK</x:v>
      </x:c>
      <x:c r="B4559" s="11" t="str">
        <x:v>五年</x:v>
      </x:c>
      <x:c r="C4559" s="11" t="str">
        <x:v>CM310_approved</x:v>
      </x:c>
      <x:c r="D4559" s="11" t="str">
        <x:v>2027-12-31</x:v>
      </x:c>
      <x:c r="E4559" s="11" t="str">
        <x:v>CNY</x:v>
      </x:c>
      <x:c r="F4559" s="11" t="n">
        <x:v>-3.7727583846680357</x:v>
      </x:c>
      <x:c r="G4559" s="26" t="b">
        <x:v>0</x:v>
      </x:c>
      <x:c r="H4559" s="16" t="n">
        <x:v>0.88</x:v>
      </x:c>
      <x:c r="I4559" s="16" t="n">
        <x:v>1.35</x:v>
      </x:c>
      <x:c r="J4559" s="16" t="n">
        <x:v>1.75</x:v>
      </x:c>
      <x:c r="K4559" s="11" t="n">
        <x:f>CHOOSE('假设'!$B$3,H4559,I4559,J4559)</x:f>
        <x:v>1.35</x:v>
      </x:c>
      <x:c r="L4559" s="11" t="n">
        <x:f>K4559*'管线假设'!E983*'管线假设'!F983*'管线假设'!G983*IF(E4559="USD",'管线假设'!I983,1)-AM4559</x:f>
        <x:v>0.5592750000000001</x:v>
      </x:c>
      <x:c r="M4559" s="11" t="n">
        <x:f>'管线假设'!H983</x:f>
        <x:v>0.14</x:v>
      </x:c>
      <x:c r="N4559" s="11" t="n">
        <x:f>IF(G4559,L4559*AN4559/(1+M4559)^F4559,0)</x:f>
        <x:v>0</x:v>
      </x:c>
      <x:c r="AJ4559" s="42" t="n">
        <x:v>0.025</x:v>
      </x:c>
      <x:c r="AK4559" s="42" t="n">
        <x:v>0.03</x:v>
      </x:c>
      <x:c r="AL4559" s="42" t="n">
        <x:v>0.04</x:v>
      </x:c>
      <x:c r="AM4559" t="n">
        <x:f>CHOOSE('假设'!$B$3,AJ4559,AK4559,AL4559)</x:f>
        <x:v>0.03</x:v>
      </x:c>
      <x:c r="AN4559" t="n">
        <x:v>0</x:v>
      </x:c>
    </x:row>
    <x:row r="4560" ht="23" customHeight="1">
      <x:c r="A4560" s="11" t="str">
        <x:v>02162.HK</x:v>
      </x:c>
      <x:c r="B4560" s="11" t="str">
        <x:v>五年</x:v>
      </x:c>
      <x:c r="C4560" s="11" t="str">
        <x:v>CM310_approved</x:v>
      </x:c>
      <x:c r="D4560" s="11" t="str">
        <x:v>2028-12-31</x:v>
      </x:c>
      <x:c r="E4560" s="11" t="str">
        <x:v>CNY</x:v>
      </x:c>
      <x:c r="F4560" s="11" t="n">
        <x:v>-2.7707049965776864</x:v>
      </x:c>
      <x:c r="G4560" s="26" t="b">
        <x:v>0</x:v>
      </x:c>
      <x:c r="H4560" s="16" t="n">
        <x:v>1</x:v>
      </x:c>
      <x:c r="I4560" s="16" t="n">
        <x:v>1.9</x:v>
      </x:c>
      <x:c r="J4560" s="16" t="n">
        <x:v>2.6</x:v>
      </x:c>
      <x:c r="K4560" s="11" t="n">
        <x:f>CHOOSE('假设'!$B$3,H4560,I4560,J4560)</x:f>
        <x:v>1.9</x:v>
      </x:c>
      <x:c r="L4560" s="11" t="n">
        <x:f>K4560*'管线假设'!E983*'管线假设'!F983*'管线假设'!G983*IF(E4560="USD",'管线假设'!I983,1)-AM4560</x:f>
        <x:v>0.79935</x:v>
      </x:c>
      <x:c r="M4560" s="11" t="n">
        <x:f>'管线假设'!H983</x:f>
        <x:v>0.14</x:v>
      </x:c>
      <x:c r="N4560" s="11" t="n">
        <x:f>IF(G4560,L4560*AN4560/(1+M4560)^F4560,0)</x:f>
        <x:v>0</x:v>
      </x:c>
      <x:c r="AJ4560" s="42" t="n">
        <x:v>0.025</x:v>
      </x:c>
      <x:c r="AK4560" s="42" t="n">
        <x:v>0.03</x:v>
      </x:c>
      <x:c r="AL4560" s="42" t="n">
        <x:v>0.04</x:v>
      </x:c>
      <x:c r="AM4560" t="n">
        <x:f>CHOOSE('假设'!$B$3,AJ4560,AK4560,AL4560)</x:f>
        <x:v>0.03</x:v>
      </x:c>
      <x:c r="AN4560" t="n">
        <x:v>0</x:v>
      </x:c>
    </x:row>
    <x:row r="4561" ht="23" customHeight="1">
      <x:c r="A4561" s="11" t="str">
        <x:v>02162.HK</x:v>
      </x:c>
      <x:c r="B4561" s="11" t="str">
        <x:v>五年</x:v>
      </x:c>
      <x:c r="C4561" s="11" t="str">
        <x:v>CM310_approved</x:v>
      </x:c>
      <x:c r="D4561" s="11" t="str">
        <x:v>2029-12-31</x:v>
      </x:c>
      <x:c r="E4561" s="11" t="str">
        <x:v>CNY</x:v>
      </x:c>
      <x:c r="F4561" s="11" t="n">
        <x:v>-1.7713894592744694</x:v>
      </x:c>
      <x:c r="G4561" s="26" t="b">
        <x:v>0</x:v>
      </x:c>
      <x:c r="H4561" s="16" t="n">
        <x:v>1.2</x:v>
      </x:c>
      <x:c r="I4561" s="16" t="n">
        <x:v>2.6</x:v>
      </x:c>
      <x:c r="J4561" s="16" t="n">
        <x:v>3.65</x:v>
      </x:c>
      <x:c r="K4561" s="11" t="n">
        <x:f>CHOOSE('假设'!$B$3,H4561,I4561,J4561)</x:f>
        <x:v>2.6</x:v>
      </x:c>
      <x:c r="L4561" s="11" t="n">
        <x:f>K4561*'管线假设'!E983*'管线假设'!F983*'管线假设'!G983*IF(E4561="USD",'管线假设'!I983,1)-AM4561</x:f>
        <x:v>1.1049</x:v>
      </x:c>
      <x:c r="M4561" s="11" t="n">
        <x:f>'管线假设'!H983</x:f>
        <x:v>0.14</x:v>
      </x:c>
      <x:c r="N4561" s="11" t="n">
        <x:f>IF(G4561,L4561*AN4561/(1+M4561)^F4561,0)</x:f>
        <x:v>0</x:v>
      </x:c>
      <x:c r="AJ4561" s="42" t="n">
        <x:v>0.025</x:v>
      </x:c>
      <x:c r="AK4561" s="42" t="n">
        <x:v>0.03</x:v>
      </x:c>
      <x:c r="AL4561" s="42" t="n">
        <x:v>0.04</x:v>
      </x:c>
      <x:c r="AM4561" t="n">
        <x:f>CHOOSE('假设'!$B$3,AJ4561,AK4561,AL4561)</x:f>
        <x:v>0.03</x:v>
      </x:c>
      <x:c r="AN4561" t="n">
        <x:v>0</x:v>
      </x:c>
    </x:row>
    <x:row r="4562" ht="23" customHeight="1">
      <x:c r="A4562" s="11" t="str">
        <x:v>02162.HK</x:v>
      </x:c>
      <x:c r="B4562" s="11" t="str">
        <x:v>五年</x:v>
      </x:c>
      <x:c r="C4562" s="11" t="str">
        <x:v>CM310_approved</x:v>
      </x:c>
      <x:c r="D4562" s="11" t="str">
        <x:v>2030-12-31</x:v>
      </x:c>
      <x:c r="E4562" s="11" t="str">
        <x:v>CNY</x:v>
      </x:c>
      <x:c r="F4562" s="11" t="n">
        <x:v>-0.7720739219712526</x:v>
      </x:c>
      <x:c r="G4562" s="26" t="b">
        <x:v>0</x:v>
      </x:c>
      <x:c r="H4562" s="16" t="n">
        <x:v>1.3</x:v>
      </x:c>
      <x:c r="I4562" s="16" t="n">
        <x:v>3.25</x:v>
      </x:c>
      <x:c r="J4562" s="16" t="n">
        <x:v>4.8</x:v>
      </x:c>
      <x:c r="K4562" s="11" t="n">
        <x:f>CHOOSE('假设'!$B$3,H4562,I4562,J4562)</x:f>
        <x:v>3.25</x:v>
      </x:c>
      <x:c r="L4562" s="11" t="n">
        <x:f>K4562*'管线假设'!E983*'管线假设'!F983*'管线假设'!G983*IF(E4562="USD",'管线假设'!I983,1)-AM4562</x:f>
        <x:v>1.388625</x:v>
      </x:c>
      <x:c r="M4562" s="11" t="n">
        <x:f>'管线假设'!H983</x:f>
        <x:v>0.14</x:v>
      </x:c>
      <x:c r="N4562" s="11" t="n">
        <x:f>IF(G4562,L4562*AN4562/(1+M4562)^F4562,0)</x:f>
        <x:v>0</x:v>
      </x:c>
      <x:c r="AJ4562" s="42" t="n">
        <x:v>0.02</x:v>
      </x:c>
      <x:c r="AK4562" s="42" t="n">
        <x:v>0.03</x:v>
      </x:c>
      <x:c r="AL4562" s="42" t="n">
        <x:v>0.04</x:v>
      </x:c>
      <x:c r="AM4562" t="n">
        <x:f>CHOOSE('假设'!$B$3,AJ4562,AK4562,AL4562)</x:f>
        <x:v>0.03</x:v>
      </x:c>
      <x:c r="AN4562" t="n">
        <x:v>0</x:v>
      </x:c>
    </x:row>
    <x:row r="4563" ht="23" customHeight="1">
      <x:c r="A4563" s="11" t="str">
        <x:v>02162.HK</x:v>
      </x:c>
      <x:c r="B4563" s="11" t="str">
        <x:v>五年</x:v>
      </x:c>
      <x:c r="C4563" s="11" t="str">
        <x:v>CM310_approved</x:v>
      </x:c>
      <x:c r="D4563" s="11" t="str">
        <x:v>2031-12-31</x:v>
      </x:c>
      <x:c r="E4563" s="11" t="str">
        <x:v>CNY</x:v>
      </x:c>
      <x:c r="F4563" s="11" t="n">
        <x:v>0.2272416153319644</x:v>
      </x:c>
      <x:c r="G4563" s="26" t="b">
        <x:v>1</x:v>
      </x:c>
      <x:c r="H4563" s="16" t="n">
        <x:v>1.4</x:v>
      </x:c>
      <x:c r="I4563" s="16" t="n">
        <x:v>3.9</x:v>
      </x:c>
      <x:c r="J4563" s="16" t="n">
        <x:v>5.7</x:v>
      </x:c>
      <x:c r="K4563" s="11" t="n">
        <x:f>CHOOSE('假设'!$B$3,H4563,I4563,J4563)</x:f>
        <x:v>3.9</x:v>
      </x:c>
      <x:c r="L4563" s="11" t="n">
        <x:f>K4563*'管线假设'!E983*'管线假设'!F983*'管线假设'!G983*IF(E4563="USD",'管线假设'!I983,1)-AM4563</x:f>
        <x:v>1.70235</x:v>
      </x:c>
      <x:c r="M4563" s="11" t="n">
        <x:f>'管线假设'!H983</x:f>
        <x:v>0.14</x:v>
      </x:c>
      <x:c r="N4563" s="11" t="n">
        <x:f>IF(G4563,L4563*AN4563/(1+M4563)^F4563,0)</x:f>
        <x:v>0.3767857014157448</x:v>
      </x:c>
      <x:c r="AJ4563" s="42" t="n">
        <x:v>0</x:v>
      </x:c>
      <x:c r="AK4563" s="42" t="n">
        <x:v>0</x:v>
      </x:c>
      <x:c r="AL4563" s="42" t="n">
        <x:v>0</x:v>
      </x:c>
      <x:c r="AM4563" t="n">
        <x:f>CHOOSE('假设'!$B$3,AJ4563,AK4563,AL4563)</x:f>
        <x:v>0</x:v>
      </x:c>
      <x:c r="AN4563" t="n">
        <x:v>0.22802197802197802</x:v>
      </x:c>
    </x:row>
    <x:row r="4564" ht="23" customHeight="1">
      <x:c r="A4564" s="11" t="str">
        <x:v>02162.HK</x:v>
      </x:c>
      <x:c r="B4564" s="11" t="str">
        <x:v>五年</x:v>
      </x:c>
      <x:c r="C4564" s="11" t="str">
        <x:v>CM310_approved</x:v>
      </x:c>
      <x:c r="D4564" s="11" t="str">
        <x:v>2032-12-31</x:v>
      </x:c>
      <x:c r="E4564" s="11" t="str">
        <x:v>CNY</x:v>
      </x:c>
      <x:c r="F4564" s="11" t="n">
        <x:v>1.2292950034223136</x:v>
      </x:c>
      <x:c r="G4564" s="26" t="b">
        <x:v>1</x:v>
      </x:c>
      <x:c r="H4564" s="16" t="n">
        <x:v>1.45</x:v>
      </x:c>
      <x:c r="I4564" s="16" t="n">
        <x:v>4.4</x:v>
      </x:c>
      <x:c r="J4564" s="16" t="n">
        <x:v>6.5</x:v>
      </x:c>
      <x:c r="K4564" s="11" t="n">
        <x:f>CHOOSE('假设'!$B$3,H4564,I4564,J4564)</x:f>
        <x:v>4.4</x:v>
      </x:c>
      <x:c r="L4564" s="11" t="n">
        <x:f>K4564*'管线假设'!E983*'管线假设'!F983*'管线假设'!G983*IF(E4564="USD",'管线假设'!I983,1)-AM4564</x:f>
        <x:v>1.9205999999999999</x:v>
      </x:c>
      <x:c r="M4564" s="11" t="n">
        <x:f>'管线假设'!H983</x:f>
        <x:v>0.14</x:v>
      </x:c>
      <x:c r="N4564" s="11" t="n">
        <x:f>IF(G4564,L4564*AN4564/(1+M4564)^F4564,0)</x:f>
        <x:v>1.6348732018203778</x:v>
      </x:c>
      <x:c r="AJ4564" s="42" t="n">
        <x:v>0</x:v>
      </x:c>
      <x:c r="AK4564" s="42" t="n">
        <x:v>0</x:v>
      </x:c>
      <x:c r="AL4564" s="42" t="n">
        <x:v>0</x:v>
      </x:c>
      <x:c r="AM4564" t="n">
        <x:f>CHOOSE('假设'!$B$3,AJ4564,AK4564,AL4564)</x:f>
        <x:v>0</x:v>
      </x:c>
      <x:c r="AN4564" t="n">
        <x:v>1</x:v>
      </x:c>
    </x:row>
    <x:row r="4565" ht="23" customHeight="1">
      <x:c r="A4565" s="11" t="str">
        <x:v>02162.HK</x:v>
      </x:c>
      <x:c r="B4565" s="11" t="str">
        <x:v>五年</x:v>
      </x:c>
      <x:c r="C4565" s="11" t="str">
        <x:v>CM310_approved</x:v>
      </x:c>
      <x:c r="D4565" s="11" t="str">
        <x:v>2033-12-31</x:v>
      </x:c>
      <x:c r="E4565" s="11" t="str">
        <x:v>CNY</x:v>
      </x:c>
      <x:c r="F4565" s="11" t="n">
        <x:v>2.2286105407255303</x:v>
      </x:c>
      <x:c r="G4565" s="26" t="b">
        <x:v>1</x:v>
      </x:c>
      <x:c r="H4565" s="16" t="n">
        <x:v>1.45</x:v>
      </x:c>
      <x:c r="I4565" s="16" t="n">
        <x:v>4.8</x:v>
      </x:c>
      <x:c r="J4565" s="16" t="n">
        <x:v>7.1</x:v>
      </x:c>
      <x:c r="K4565" s="11" t="n">
        <x:f>CHOOSE('假设'!$B$3,H4565,I4565,J4565)</x:f>
        <x:v>4.8</x:v>
      </x:c>
      <x:c r="L4565" s="11" t="n">
        <x:f>K4565*'管线假设'!E983*'管线假设'!F983*'管线假设'!G983*IF(E4565="USD",'管线假设'!I983,1)-AM4565</x:f>
        <x:v>2.0951999999999997</x:v>
      </x:c>
      <x:c r="M4565" s="11" t="n">
        <x:f>'管线假设'!H983</x:f>
        <x:v>0.14</x:v>
      </x:c>
      <x:c r="N4565" s="11" t="n">
        <x:f>IF(G4565,L4565*AN4565/(1+M4565)^F4565,0)</x:f>
        <x:v>1.5646122777939697</x:v>
      </x:c>
      <x:c r="AJ4565" s="42" t="n">
        <x:v>0</x:v>
      </x:c>
      <x:c r="AK4565" s="42" t="n">
        <x:v>0</x:v>
      </x:c>
      <x:c r="AL4565" s="42" t="n">
        <x:v>0</x:v>
      </x:c>
      <x:c r="AM4565" t="n">
        <x:f>CHOOSE('假设'!$B$3,AJ4565,AK4565,AL4565)</x:f>
        <x:v>0</x:v>
      </x:c>
      <x:c r="AN4565" t="n">
        <x:v>1</x:v>
      </x:c>
    </x:row>
    <x:row r="4566" ht="23" customHeight="1">
      <x:c r="A4566" s="11" t="str">
        <x:v>02162.HK</x:v>
      </x:c>
      <x:c r="B4566" s="11" t="str">
        <x:v>五年</x:v>
      </x:c>
      <x:c r="C4566" s="11" t="str">
        <x:v>CM310_approved</x:v>
      </x:c>
      <x:c r="D4566" s="11" t="str">
        <x:v>2034-12-31</x:v>
      </x:c>
      <x:c r="E4566" s="11" t="str">
        <x:v>CNY</x:v>
      </x:c>
      <x:c r="F4566" s="11" t="n">
        <x:v>3.2279260780287475</x:v>
      </x:c>
      <x:c r="G4566" s="26" t="b">
        <x:v>1</x:v>
      </x:c>
      <x:c r="H4566" s="16" t="n">
        <x:v>1.4</x:v>
      </x:c>
      <x:c r="I4566" s="16" t="n">
        <x:v>5</x:v>
      </x:c>
      <x:c r="J4566" s="16" t="n">
        <x:v>7.5</x:v>
      </x:c>
      <x:c r="K4566" s="11" t="n">
        <x:f>CHOOSE('假设'!$B$3,H4566,I4566,J4566)</x:f>
        <x:v>5</x:v>
      </x:c>
      <x:c r="L4566" s="11" t="n">
        <x:f>K4566*'管线假设'!E983*'管线假设'!F983*'管线假设'!G983*IF(E4566="USD",'管线假设'!I983,1)-AM4566</x:f>
        <x:v>2.1825</x:v>
      </x:c>
      <x:c r="M4566" s="11" t="n">
        <x:f>'管线假设'!H983</x:f>
        <x:v>0.14</x:v>
      </x:c>
      <x:c r="N4566" s="11" t="n">
        <x:f>IF(G4566,L4566*AN4566/(1+M4566)^F4566,0)</x:f>
        <x:v>1.429781254301875</x:v>
      </x:c>
      <x:c r="AJ4566" s="42" t="n">
        <x:v>0</x:v>
      </x:c>
      <x:c r="AK4566" s="42" t="n">
        <x:v>0</x:v>
      </x:c>
      <x:c r="AL4566" s="42" t="n">
        <x:v>0</x:v>
      </x:c>
      <x:c r="AM4566" t="n">
        <x:f>CHOOSE('假设'!$B$3,AJ4566,AK4566,AL4566)</x:f>
        <x:v>0</x:v>
      </x:c>
      <x:c r="AN4566" t="n">
        <x:v>1</x:v>
      </x:c>
    </x:row>
    <x:row r="4567" ht="23" customHeight="1">
      <x:c r="A4567" s="11" t="str">
        <x:v>02162.HK</x:v>
      </x:c>
      <x:c r="B4567" s="11" t="str">
        <x:v>五年</x:v>
      </x:c>
      <x:c r="C4567" s="11" t="str">
        <x:v>CM310_approved</x:v>
      </x:c>
      <x:c r="D4567" s="11" t="str">
        <x:v>2035-12-31</x:v>
      </x:c>
      <x:c r="E4567" s="11" t="str">
        <x:v>CNY</x:v>
      </x:c>
      <x:c r="F4567" s="11" t="n">
        <x:v>4.227241615331964</x:v>
      </x:c>
      <x:c r="G4567" s="26" t="b">
        <x:v>1</x:v>
      </x:c>
      <x:c r="H4567" s="16" t="n">
        <x:v>1.3</x:v>
      </x:c>
      <x:c r="I4567" s="16" t="n">
        <x:v>5</x:v>
      </x:c>
      <x:c r="J4567" s="16" t="n">
        <x:v>7.5</x:v>
      </x:c>
      <x:c r="K4567" s="11" t="n">
        <x:f>CHOOSE('假设'!$B$3,H4567,I4567,J4567)</x:f>
        <x:v>5</x:v>
      </x:c>
      <x:c r="L4567" s="11" t="n">
        <x:f>K4567*'管线假设'!E983*'管线假设'!F983*'管线假设'!G983*IF(E4567="USD",'管线假设'!I983,1)-AM4567</x:f>
        <x:v>2.1825</x:v>
      </x:c>
      <x:c r="M4567" s="11" t="n">
        <x:f>'管线假设'!H983</x:f>
        <x:v>0.14</x:v>
      </x:c>
      <x:c r="N4567" s="11" t="n">
        <x:f>IF(G4567,L4567*AN4567/(1+M4567)^F4567,0)</x:f>
        <x:v>1.254306568854208</x:v>
      </x:c>
      <x:c r="AJ4567" s="42" t="n">
        <x:v>0</x:v>
      </x:c>
      <x:c r="AK4567" s="42" t="n">
        <x:v>0</x:v>
      </x:c>
      <x:c r="AL4567" s="42" t="n">
        <x:v>0</x:v>
      </x:c>
      <x:c r="AM4567" t="n">
        <x:f>CHOOSE('假设'!$B$3,AJ4567,AK4567,AL4567)</x:f>
        <x:v>0</x:v>
      </x:c>
      <x:c r="AN4567" t="n">
        <x:v>1</x:v>
      </x:c>
    </x:row>
    <x:row r="4568" ht="23" customHeight="1">
      <x:c r="A4568" s="11" t="str">
        <x:v>02162.HK</x:v>
      </x:c>
      <x:c r="B4568" s="11" t="str">
        <x:v>五年</x:v>
      </x:c>
      <x:c r="C4568" s="11" t="str">
        <x:v>CM310_approved</x:v>
      </x:c>
      <x:c r="D4568" s="11" t="str">
        <x:v>2036-12-31</x:v>
      </x:c>
      <x:c r="E4568" s="11" t="str">
        <x:v>CNY</x:v>
      </x:c>
      <x:c r="F4568" s="11" t="n">
        <x:v>5.229295003422314</x:v>
      </x:c>
      <x:c r="G4568" s="26" t="b">
        <x:v>1</x:v>
      </x:c>
      <x:c r="H4568" s="16" t="n">
        <x:v>1.2</x:v>
      </x:c>
      <x:c r="I4568" s="16" t="n">
        <x:v>4.9</x:v>
      </x:c>
      <x:c r="J4568" s="16" t="n">
        <x:v>7.3</x:v>
      </x:c>
      <x:c r="K4568" s="11" t="n">
        <x:f>CHOOSE('假设'!$B$3,H4568,I4568,J4568)</x:f>
        <x:v>4.9</x:v>
      </x:c>
      <x:c r="L4568" s="11" t="n">
        <x:f>K4568*'管线假设'!E983*'管线假设'!F983*'管线假设'!G983*IF(E4568="USD",'管线假设'!I983,1)-AM4568</x:f>
        <x:v>2.13885</x:v>
      </x:c>
      <x:c r="M4568" s="11" t="n">
        <x:f>'管线假设'!H983</x:f>
        <x:v>0.14</x:v>
      </x:c>
      <x:c r="N4568" s="11" t="n">
        <x:f>IF(G4568,L4568*AN4568/(1+M4568)^F4568,0)</x:f>
        <x:v>1.0779734718442284</x:v>
      </x:c>
      <x:c r="AJ4568" s="42" t="n">
        <x:v>0</x:v>
      </x:c>
      <x:c r="AK4568" s="42" t="n">
        <x:v>0</x:v>
      </x:c>
      <x:c r="AL4568" s="42" t="n">
        <x:v>0</x:v>
      </x:c>
      <x:c r="AM4568" t="n">
        <x:f>CHOOSE('假设'!$B$3,AJ4568,AK4568,AL4568)</x:f>
        <x:v>0</x:v>
      </x:c>
      <x:c r="AN4568" t="n">
        <x:v>1</x:v>
      </x:c>
    </x:row>
    <x:row r="4569" ht="23" customHeight="1">
      <x:c r="A4569" s="11" t="str">
        <x:v>02162.HK</x:v>
      </x:c>
      <x:c r="B4569" s="11" t="str">
        <x:v>五年</x:v>
      </x:c>
      <x:c r="C4569" s="11" t="str">
        <x:v>CM310_approved</x:v>
      </x:c>
      <x:c r="D4569" s="11" t="str">
        <x:v>2037-12-31</x:v>
      </x:c>
      <x:c r="E4569" s="11" t="str">
        <x:v>CNY</x:v>
      </x:c>
      <x:c r="F4569" s="11" t="n">
        <x:v>6.228610540725531</x:v>
      </x:c>
      <x:c r="G4569" s="26" t="b">
        <x:v>1</x:v>
      </x:c>
      <x:c r="H4569" s="16" t="n">
        <x:v>1.1</x:v>
      </x:c>
      <x:c r="I4569" s="16" t="n">
        <x:v>4.6</x:v>
      </x:c>
      <x:c r="J4569" s="16" t="n">
        <x:v>6.9</x:v>
      </x:c>
      <x:c r="K4569" s="11" t="n">
        <x:f>CHOOSE('假设'!$B$3,H4569,I4569,J4569)</x:f>
        <x:v>4.6</x:v>
      </x:c>
      <x:c r="L4569" s="11" t="n">
        <x:f>K4569*'管线假设'!E983*'管线假设'!F983*'管线假设'!G983*IF(E4569="USD",'管线假设'!I983,1)-AM4569</x:f>
        <x:v>2.0079</x:v>
      </x:c>
      <x:c r="M4569" s="11" t="n">
        <x:f>'管线假设'!H983</x:f>
        <x:v>0.14</x:v>
      </x:c>
      <x:c r="N4569" s="11" t="n">
        <x:f>IF(G4569,L4569*AN4569/(1+M4569)^F4569,0)</x:f>
        <x:v>0.8877770684375134</x:v>
      </x:c>
      <x:c r="AJ4569" s="42" t="n">
        <x:v>0</x:v>
      </x:c>
      <x:c r="AK4569" s="42" t="n">
        <x:v>0</x:v>
      </x:c>
      <x:c r="AL4569" s="42" t="n">
        <x:v>0</x:v>
      </x:c>
      <x:c r="AM4569" t="n">
        <x:f>CHOOSE('假设'!$B$3,AJ4569,AK4569,AL4569)</x:f>
        <x:v>0</x:v>
      </x:c>
      <x:c r="AN4569" t="n">
        <x:v>1</x:v>
      </x:c>
    </x:row>
    <x:row r="4570" ht="23" customHeight="1">
      <x:c r="A4570" s="11" t="str">
        <x:v>02162.HK</x:v>
      </x:c>
      <x:c r="B4570" s="11" t="str">
        <x:v>五年</x:v>
      </x:c>
      <x:c r="C4570" s="11" t="str">
        <x:v>CM310_approved</x:v>
      </x:c>
      <x:c r="D4570" s="11" t="str">
        <x:v>2038-12-31</x:v>
      </x:c>
      <x:c r="E4570" s="11" t="str">
        <x:v>CNY</x:v>
      </x:c>
      <x:c r="F4570" s="11" t="n">
        <x:v>7.227926078028747</x:v>
      </x:c>
      <x:c r="G4570" s="26" t="b">
        <x:v>1</x:v>
      </x:c>
      <x:c r="H4570" s="16" t="n">
        <x:v>0.9</x:v>
      </x:c>
      <x:c r="I4570" s="16" t="n">
        <x:v>4.2</x:v>
      </x:c>
      <x:c r="J4570" s="16" t="n">
        <x:v>6.2</x:v>
      </x:c>
      <x:c r="K4570" s="11" t="n">
        <x:f>CHOOSE('假设'!$B$3,H4570,I4570,J4570)</x:f>
        <x:v>4.2</x:v>
      </x:c>
      <x:c r="L4570" s="11" t="n">
        <x:f>K4570*'管线假设'!E983*'管线假设'!F983*'管线假设'!G983*IF(E4570="USD",'管线假设'!I983,1)-AM4570</x:f>
        <x:v>1.8333</x:v>
      </x:c>
      <x:c r="M4570" s="11" t="n">
        <x:f>'管线假设'!H983</x:f>
        <x:v>0.14</x:v>
      </x:c>
      <x:c r="N4570" s="11" t="n">
        <x:f>IF(G4570,L4570*AN4570/(1+M4570)^F4570,0)</x:f>
        <x:v>0.7110980365656313</x:v>
      </x:c>
      <x:c r="AJ4570" s="42" t="n">
        <x:v>0</x:v>
      </x:c>
      <x:c r="AK4570" s="42" t="n">
        <x:v>0</x:v>
      </x:c>
      <x:c r="AL4570" s="42" t="n">
        <x:v>0</x:v>
      </x:c>
      <x:c r="AM4570" t="n">
        <x:f>CHOOSE('假设'!$B$3,AJ4570,AK4570,AL4570)</x:f>
        <x:v>0</x:v>
      </x:c>
      <x:c r="AN4570" t="n">
        <x:v>1</x:v>
      </x:c>
    </x:row>
    <x:row r="4571" ht="23" customHeight="1">
      <x:c r="A4571" s="11" t="str">
        <x:v>02162.HK</x:v>
      </x:c>
      <x:c r="B4571" s="11" t="str">
        <x:v>五年</x:v>
      </x:c>
      <x:c r="C4571" s="11" t="str">
        <x:v>CM310_approved</x:v>
      </x:c>
      <x:c r="D4571" s="11" t="str">
        <x:v>2039-12-31</x:v>
      </x:c>
      <x:c r="E4571" s="11" t="str">
        <x:v>CNY</x:v>
      </x:c>
      <x:c r="F4571" s="11" t="n">
        <x:v>8.227241615331964</x:v>
      </x:c>
      <x:c r="G4571" s="26" t="b">
        <x:v>1</x:v>
      </x:c>
      <x:c r="H4571" s="16" t="n">
        <x:v>0.7</x:v>
      </x:c>
      <x:c r="I4571" s="16" t="n">
        <x:v>3.6</x:v>
      </x:c>
      <x:c r="J4571" s="16" t="n">
        <x:v>5.3</x:v>
      </x:c>
      <x:c r="K4571" s="11" t="n">
        <x:f>CHOOSE('假设'!$B$3,H4571,I4571,J4571)</x:f>
        <x:v>3.6</x:v>
      </x:c>
      <x:c r="L4571" s="11" t="n">
        <x:f>K4571*'管线假设'!E983*'管线假设'!F983*'管线假设'!G983*IF(E4571="USD",'管线假设'!I983,1)-AM4571</x:f>
        <x:v>1.5714000000000001</x:v>
      </x:c>
      <x:c r="M4571" s="11" t="n">
        <x:f>'管线假设'!H983</x:f>
        <x:v>0.14</x:v>
      </x:c>
      <x:c r="N4571" s="11" t="n">
        <x:f>IF(G4571,L4571*AN4571/(1+M4571)^F4571,0)</x:f>
        <x:v>0.5347081304600042</x:v>
      </x:c>
      <x:c r="AJ4571" s="42" t="n">
        <x:v>0</x:v>
      </x:c>
      <x:c r="AK4571" s="42" t="n">
        <x:v>0</x:v>
      </x:c>
      <x:c r="AL4571" s="42" t="n">
        <x:v>0</x:v>
      </x:c>
      <x:c r="AM4571" t="n">
        <x:f>CHOOSE('假设'!$B$3,AJ4571,AK4571,AL4571)</x:f>
        <x:v>0</x:v>
      </x:c>
      <x:c r="AN4571" t="n">
        <x:v>1</x:v>
      </x:c>
    </x:row>
    <x:row r="4572" ht="23" customHeight="1">
      <x:c r="A4572" s="11" t="str">
        <x:v>02162.HK</x:v>
      </x:c>
      <x:c r="B4572" s="11" t="str">
        <x:v>五年</x:v>
      </x:c>
      <x:c r="C4572" s="11" t="str">
        <x:v>CM310_approved</x:v>
      </x:c>
      <x:c r="D4572" s="11" t="str">
        <x:v>2040-12-31</x:v>
      </x:c>
      <x:c r="E4572" s="11" t="str">
        <x:v>CNY</x:v>
      </x:c>
      <x:c r="F4572" s="11" t="n">
        <x:v>9.229295003422314</x:v>
      </x:c>
      <x:c r="G4572" s="26" t="b">
        <x:v>1</x:v>
      </x:c>
      <x:c r="H4572" s="16" t="n">
        <x:v>0.5</x:v>
      </x:c>
      <x:c r="I4572" s="16" t="n">
        <x:v>2.9</x:v>
      </x:c>
      <x:c r="J4572" s="16" t="n">
        <x:v>4.3</x:v>
      </x:c>
      <x:c r="K4572" s="11" t="n">
        <x:f>CHOOSE('假设'!$B$3,H4572,I4572,J4572)</x:f>
        <x:v>2.9</x:v>
      </x:c>
      <x:c r="L4572" s="11" t="n">
        <x:f>K4572*'管线假设'!E983*'管线假设'!F983*'管线假设'!G983*IF(E4572="USD",'管线假设'!I983,1)-AM4572</x:f>
        <x:v>1.26585</x:v>
      </x:c>
      <x:c r="M4572" s="11" t="n">
        <x:f>'管线假设'!H983</x:f>
        <x:v>0.14</x:v>
      </x:c>
      <x:c r="N4572" s="11" t="n">
        <x:f>IF(G4572,L4572*AN4572/(1+M4572)^F4572,0)</x:f>
        <x:v>0.3777379211022422</x:v>
      </x:c>
      <x:c r="AJ4572" s="42" t="n">
        <x:v>0</x:v>
      </x:c>
      <x:c r="AK4572" s="42" t="n">
        <x:v>0</x:v>
      </x:c>
      <x:c r="AL4572" s="42" t="n">
        <x:v>0</x:v>
      </x:c>
      <x:c r="AM4572" t="n">
        <x:f>CHOOSE('假设'!$B$3,AJ4572,AK4572,AL4572)</x:f>
        <x:v>0</x:v>
      </x:c>
      <x:c r="AN4572" t="n">
        <x:v>1</x:v>
      </x:c>
    </x:row>
    <x:row r="4573" ht="23" customHeight="1">
      <x:c r="A4573" s="11" t="str">
        <x:v>02162.HK</x:v>
      </x:c>
      <x:c r="B4573" s="11" t="str">
        <x:v>五年</x:v>
      </x:c>
      <x:c r="C4573" s="11" t="str">
        <x:v>CM310_approved</x:v>
      </x:c>
      <x:c r="D4573" s="11" t="str">
        <x:v>2041-12-31</x:v>
      </x:c>
      <x:c r="E4573" s="11" t="str">
        <x:v>CNY</x:v>
      </x:c>
      <x:c r="F4573" s="11" t="n">
        <x:v>10.22861054072553</x:v>
      </x:c>
      <x:c r="G4573" s="26" t="b">
        <x:v>1</x:v>
      </x:c>
      <x:c r="H4573" s="16" t="n">
        <x:v>0.35</x:v>
      </x:c>
      <x:c r="I4573" s="16" t="n">
        <x:v>2.2</x:v>
      </x:c>
      <x:c r="J4573" s="16" t="n">
        <x:v>3.3</x:v>
      </x:c>
      <x:c r="K4573" s="11" t="n">
        <x:f>CHOOSE('假设'!$B$3,H4573,I4573,J4573)</x:f>
        <x:v>2.2</x:v>
      </x:c>
      <x:c r="L4573" s="11" t="n">
        <x:f>K4573*'管线假设'!E983*'管线假设'!F983*'管线假设'!G983*IF(E4573="USD",'管线假设'!I983,1)-AM4573</x:f>
        <x:v>0.9602999999999999</x:v>
      </x:c>
      <x:c r="M4573" s="11" t="n">
        <x:f>'管线假设'!H983</x:f>
        <x:v>0.14</x:v>
      </x:c>
      <x:c r="N4573" s="11" t="n">
        <x:f>IF(G4573,L4573*AN4573/(1+M4573)^F4573,0)</x:f>
        <x:v>0.2513907922677019</x:v>
      </x:c>
      <x:c r="AJ4573" s="42" t="n">
        <x:v>0</x:v>
      </x:c>
      <x:c r="AK4573" s="42" t="n">
        <x:v>0</x:v>
      </x:c>
      <x:c r="AL4573" s="42" t="n">
        <x:v>0</x:v>
      </x:c>
      <x:c r="AM4573" t="n">
        <x:f>CHOOSE('假设'!$B$3,AJ4573,AK4573,AL4573)</x:f>
        <x:v>0</x:v>
      </x:c>
      <x:c r="AN4573" t="n">
        <x:v>1</x:v>
      </x:c>
    </x:row>
    <x:row r="4574" ht="23" customHeight="1">
      <x:c r="A4574" s="11" t="str">
        <x:v>02162.HK</x:v>
      </x:c>
      <x:c r="B4574" s="11" t="str">
        <x:v>五年</x:v>
      </x:c>
      <x:c r="C4574" s="11" t="str">
        <x:v>CM310_approved</x:v>
      </x:c>
      <x:c r="D4574" s="11" t="str">
        <x:v>2042-12-31</x:v>
      </x:c>
      <x:c r="E4574" s="11" t="str">
        <x:v>CNY</x:v>
      </x:c>
      <x:c r="F4574" s="11" t="n">
        <x:v>11.227926078028748</x:v>
      </x:c>
      <x:c r="G4574" s="26" t="b">
        <x:v>1</x:v>
      </x:c>
      <x:c r="H4574" s="16" t="n">
        <x:v>0.25</x:v>
      </x:c>
      <x:c r="I4574" s="16" t="n">
        <x:v>1.5</x:v>
      </x:c>
      <x:c r="J4574" s="16" t="n">
        <x:v>2.3</x:v>
      </x:c>
      <x:c r="K4574" s="11" t="n">
        <x:f>CHOOSE('假设'!$B$3,H4574,I4574,J4574)</x:f>
        <x:v>1.5</x:v>
      </x:c>
      <x:c r="L4574" s="11" t="n">
        <x:f>K4574*'管线假设'!E983*'管线假设'!F983*'管线假设'!G983*IF(E4574="USD",'管线假设'!I983,1)-AM4574</x:f>
        <x:v>0.65475</x:v>
      </x:c>
      <x:c r="M4574" s="11" t="n">
        <x:f>'管线假设'!H983</x:f>
        <x:v>0.14</x:v>
      </x:c>
      <x:c r="N4574" s="11" t="n">
        <x:f>IF(G4574,L4574*AN4574/(1+M4574)^F4574,0)</x:f>
        <x:v>0.15036682954542002</x:v>
      </x:c>
      <x:c r="AJ4574" s="42" t="n">
        <x:v>0</x:v>
      </x:c>
      <x:c r="AK4574" s="42" t="n">
        <x:v>0</x:v>
      </x:c>
      <x:c r="AL4574" s="42" t="n">
        <x:v>0</x:v>
      </x:c>
      <x:c r="AM4574" t="n">
        <x:f>CHOOSE('假设'!$B$3,AJ4574,AK4574,AL4574)</x:f>
        <x:v>0</x:v>
      </x:c>
      <x:c r="AN4574" t="n">
        <x:v>1</x:v>
      </x:c>
    </x:row>
    <x:row r="4575" ht="23" customHeight="1">
      <x:c r="A4575" s="11" t="str">
        <x:v>02162.HK</x:v>
      </x:c>
      <x:c r="B4575" s="11" t="str">
        <x:v>五年</x:v>
      </x:c>
      <x:c r="C4575" s="11" t="str">
        <x:v>CM310_approved</x:v>
      </x:c>
      <x:c r="D4575" s="11" t="str">
        <x:v>2043-12-31</x:v>
      </x:c>
      <x:c r="E4575" s="11" t="str">
        <x:v>CNY</x:v>
      </x:c>
      <x:c r="F4575" s="11" t="n">
        <x:v>12.227241615331964</x:v>
      </x:c>
      <x:c r="G4575" s="26" t="b">
        <x:v>1</x:v>
      </x:c>
      <x:c r="H4575" s="16" t="n">
        <x:v>0.15</x:v>
      </x:c>
      <x:c r="I4575" s="16" t="n">
        <x:v>0.9</x:v>
      </x:c>
      <x:c r="J4575" s="16" t="n">
        <x:v>1.4</x:v>
      </x:c>
      <x:c r="K4575" s="11" t="n">
        <x:f>CHOOSE('假设'!$B$3,H4575,I4575,J4575)</x:f>
        <x:v>0.9</x:v>
      </x:c>
      <x:c r="L4575" s="11" t="n">
        <x:f>K4575*'管线假设'!E983*'管线假设'!F983*'管线假设'!G983*IF(E4575="USD",'管线假设'!I983,1)-AM4575</x:f>
        <x:v>0.39285000000000003</x:v>
      </x:c>
      <x:c r="M4575" s="11" t="n">
        <x:f>'管线假设'!H983</x:f>
        <x:v>0.14</x:v>
      </x:c>
      <x:c r="N4575" s="11" t="n">
        <x:f>IF(G4575,L4575*AN4575/(1+M4575)^F4575,0)</x:f>
        <x:v>0.07914753454871368</x:v>
      </x:c>
      <x:c r="AJ4575" s="42" t="n">
        <x:v>0</x:v>
      </x:c>
      <x:c r="AK4575" s="42" t="n">
        <x:v>0</x:v>
      </x:c>
      <x:c r="AL4575" s="42" t="n">
        <x:v>0</x:v>
      </x:c>
      <x:c r="AM4575" t="n">
        <x:f>CHOOSE('假设'!$B$3,AJ4575,AK4575,AL4575)</x:f>
        <x:v>0</x:v>
      </x:c>
      <x:c r="AN4575" t="n">
        <x:v>1</x:v>
      </x:c>
    </x:row>
    <x:row r="4576" ht="23" customHeight="1">
      <x:c r="A4576" s="11" t="str">
        <x:v>02162.HK</x:v>
      </x:c>
      <x:c r="B4576" s="11" t="str">
        <x:v>五年</x:v>
      </x:c>
      <x:c r="C4576" s="11" t="str">
        <x:v>CM310_approved</x:v>
      </x:c>
      <x:c r="D4576" s="11" t="str">
        <x:v>2044-12-31</x:v>
      </x:c>
      <x:c r="E4576" s="11" t="str">
        <x:v>CNY</x:v>
      </x:c>
      <x:c r="F4576" s="11" t="n">
        <x:v>13.229295003422314</x:v>
      </x:c>
      <x:c r="G4576" s="26" t="b">
        <x:v>1</x:v>
      </x:c>
      <x:c r="H4576" s="16" t="n">
        <x:v>0.1</x:v>
      </x:c>
      <x:c r="I4576" s="16" t="n">
        <x:v>0.5</x:v>
      </x:c>
      <x:c r="J4576" s="16" t="n">
        <x:v>0.8</x:v>
      </x:c>
      <x:c r="K4576" s="11" t="n">
        <x:f>CHOOSE('假设'!$B$3,H4576,I4576,J4576)</x:f>
        <x:v>0.5</x:v>
      </x:c>
      <x:c r="L4576" s="11" t="n">
        <x:f>K4576*'管线假设'!E983*'管线假设'!F983*'管线假设'!G983*IF(E4576="USD",'管线假设'!I983,1)-AM4576</x:f>
        <x:v>0.21825</x:v>
      </x:c>
      <x:c r="M4576" s="11" t="n">
        <x:f>'管线假设'!H983</x:f>
        <x:v>0.14</x:v>
      </x:c>
      <x:c r="N4576" s="11" t="n">
        <x:f>IF(G4576,L4576*AN4576/(1+M4576)^F4576,0)</x:f>
        <x:v>0.03856054708611281</x:v>
      </x:c>
      <x:c r="AJ4576" s="42" t="n">
        <x:v>0</x:v>
      </x:c>
      <x:c r="AK4576" s="42" t="n">
        <x:v>0</x:v>
      </x:c>
      <x:c r="AL4576" s="42" t="n">
        <x:v>0</x:v>
      </x:c>
      <x:c r="AM4576" t="n">
        <x:f>CHOOSE('假设'!$B$3,AJ4576,AK4576,AL4576)</x:f>
        <x:v>0</x:v>
      </x:c>
      <x:c r="AN4576" t="n">
        <x:v>1</x:v>
      </x:c>
    </x:row>
    <x:row r="4577" ht="23" customHeight="1">
      <x:c r="A4577" s="11" t="str">
        <x:v>02162.HK</x:v>
      </x:c>
      <x:c r="B4577" s="11" t="str">
        <x:v>五年</x:v>
      </x:c>
      <x:c r="C4577" s="11" t="str">
        <x:v>CM310_new</x:v>
      </x:c>
      <x:c r="D4577" s="11" t="str">
        <x:v>2026-12-31</x:v>
      </x:c>
      <x:c r="E4577" s="11" t="str">
        <x:v>CNY</x:v>
      </x:c>
      <x:c r="F4577" s="11" t="n">
        <x:v>-4.772073921971253</x:v>
      </x:c>
      <x:c r="G4577" s="26" t="b">
        <x:v>0</x:v>
      </x:c>
      <x:c r="H4577" s="16" t="n">
        <x:v>0</x:v>
      </x:c>
      <x:c r="I4577" s="16" t="n">
        <x:v>0</x:v>
      </x:c>
      <x:c r="J4577" s="16" t="n">
        <x:v>0</x:v>
      </x:c>
      <x:c r="K4577" s="11" t="n">
        <x:f>CHOOSE('假设'!$B$3,H4577,I4577,J4577)</x:f>
        <x:v>0</x:v>
      </x:c>
      <x:c r="L4577" s="11" t="n">
        <x:f>K4577*'管线假设'!E987*'管线假设'!F987*'管线假设'!G987*IF(E4577="USD",'管线假设'!I987,1)-AM4577</x:f>
        <x:v>-0.05</x:v>
      </x:c>
      <x:c r="M4577" s="11" t="n">
        <x:f>'管线假设'!H987</x:f>
        <x:v>0.14</x:v>
      </x:c>
      <x:c r="N4577" s="11" t="n">
        <x:f>IF(G4577,L4577*AN4577/(1+M4577)^F4577,0)</x:f>
        <x:v>0</x:v>
      </x:c>
      <x:c r="AJ4577" s="42" t="n">
        <x:v>0.04</x:v>
      </x:c>
      <x:c r="AK4577" s="42" t="n">
        <x:v>0.05</x:v>
      </x:c>
      <x:c r="AL4577" s="42" t="n">
        <x:v>0.06</x:v>
      </x:c>
      <x:c r="AM4577" t="n">
        <x:f>CHOOSE('假设'!$B$3,AJ4577,AK4577,AL4577)</x:f>
        <x:v>0.05</x:v>
      </x:c>
      <x:c r="AN4577" t="n">
        <x:v>0</x:v>
      </x:c>
    </x:row>
    <x:row r="4578" ht="23" customHeight="1">
      <x:c r="A4578" s="11" t="str">
        <x:v>02162.HK</x:v>
      </x:c>
      <x:c r="B4578" s="11" t="str">
        <x:v>五年</x:v>
      </x:c>
      <x:c r="C4578" s="11" t="str">
        <x:v>CM310_new</x:v>
      </x:c>
      <x:c r="D4578" s="11" t="str">
        <x:v>2027-12-31</x:v>
      </x:c>
      <x:c r="E4578" s="11" t="str">
        <x:v>CNY</x:v>
      </x:c>
      <x:c r="F4578" s="11" t="n">
        <x:v>-3.7727583846680357</x:v>
      </x:c>
      <x:c r="G4578" s="26" t="b">
        <x:v>0</x:v>
      </x:c>
      <x:c r="H4578" s="16" t="n">
        <x:v>0</x:v>
      </x:c>
      <x:c r="I4578" s="16" t="n">
        <x:v>0.06</x:v>
      </x:c>
      <x:c r="J4578" s="16" t="n">
        <x:v>0.108</x:v>
      </x:c>
      <x:c r="K4578" s="11" t="n">
        <x:f>CHOOSE('假设'!$B$3,H4578,I4578,J4578)</x:f>
        <x:v>0.06</x:v>
      </x:c>
      <x:c r="L4578" s="11" t="n">
        <x:f>K4578*'管线假设'!E987*'管线假设'!F987*'管线假设'!G987*IF(E4578="USD",'管线假设'!I987,1)-AM4578</x:f>
        <x:v>-0.0211</x:v>
      </x:c>
      <x:c r="M4578" s="11" t="n">
        <x:f>'管线假设'!H987</x:f>
        <x:v>0.14</x:v>
      </x:c>
      <x:c r="N4578" s="11" t="n">
        <x:f>IF(G4578,L4578*AN4578/(1+M4578)^F4578,0)</x:f>
        <x:v>0</x:v>
      </x:c>
      <x:c r="AJ4578" s="42" t="n">
        <x:v>0.02</x:v>
      </x:c>
      <x:c r="AK4578" s="42" t="n">
        <x:v>0.04</x:v>
      </x:c>
      <x:c r="AL4578" s="42" t="n">
        <x:v>0.05</x:v>
      </x:c>
      <x:c r="AM4578" t="n">
        <x:f>CHOOSE('假设'!$B$3,AJ4578,AK4578,AL4578)</x:f>
        <x:v>0.04</x:v>
      </x:c>
      <x:c r="AN4578" t="n">
        <x:v>0</x:v>
      </x:c>
    </x:row>
    <x:row r="4579" ht="23" customHeight="1">
      <x:c r="A4579" s="11" t="str">
        <x:v>02162.HK</x:v>
      </x:c>
      <x:c r="B4579" s="11" t="str">
        <x:v>五年</x:v>
      </x:c>
      <x:c r="C4579" s="11" t="str">
        <x:v>CM310_new</x:v>
      </x:c>
      <x:c r="D4579" s="11" t="str">
        <x:v>2028-12-31</x:v>
      </x:c>
      <x:c r="E4579" s="11" t="str">
        <x:v>CNY</x:v>
      </x:c>
      <x:c r="F4579" s="11" t="n">
        <x:v>-2.7707049965776864</x:v>
      </x:c>
      <x:c r="G4579" s="26" t="b">
        <x:v>0</x:v>
      </x:c>
      <x:c r="H4579" s="16" t="n">
        <x:v>0.024</x:v>
      </x:c>
      <x:c r="I4579" s="16" t="n">
        <x:v>0.18</x:v>
      </x:c>
      <x:c r="J4579" s="16" t="n">
        <x:v>0.324</x:v>
      </x:c>
      <x:c r="K4579" s="11" t="n">
        <x:f>CHOOSE('假设'!$B$3,H4579,I4579,J4579)</x:f>
        <x:v>0.18</x:v>
      </x:c>
      <x:c r="L4579" s="11" t="n">
        <x:f>K4579*'管线假设'!E987*'管线假设'!F987*'管线假设'!G987*IF(E4579="USD",'管线假设'!I987,1)-AM4579</x:f>
        <x:v>0.036699999999999997</x:v>
      </x:c>
      <x:c r="M4579" s="11" t="n">
        <x:f>'管线假设'!H987</x:f>
        <x:v>0.14</x:v>
      </x:c>
      <x:c r="N4579" s="11" t="n">
        <x:f>IF(G4579,L4579*AN4579/(1+M4579)^F4579,0)</x:f>
        <x:v>0</x:v>
      </x:c>
      <x:c r="AJ4579" s="42" t="n">
        <x:v>0</x:v>
      </x:c>
      <x:c r="AK4579" s="42" t="n">
        <x:v>0.02</x:v>
      </x:c>
      <x:c r="AL4579" s="42" t="n">
        <x:v>0.03</x:v>
      </x:c>
      <x:c r="AM4579" t="n">
        <x:f>CHOOSE('假设'!$B$3,AJ4579,AK4579,AL4579)</x:f>
        <x:v>0.02</x:v>
      </x:c>
      <x:c r="AN4579" t="n">
        <x:v>0</x:v>
      </x:c>
    </x:row>
    <x:row r="4580" ht="23" customHeight="1">
      <x:c r="A4580" s="11" t="str">
        <x:v>02162.HK</x:v>
      </x:c>
      <x:c r="B4580" s="11" t="str">
        <x:v>五年</x:v>
      </x:c>
      <x:c r="C4580" s="11" t="str">
        <x:v>CM310_new</x:v>
      </x:c>
      <x:c r="D4580" s="11" t="str">
        <x:v>2029-12-31</x:v>
      </x:c>
      <x:c r="E4580" s="11" t="str">
        <x:v>CNY</x:v>
      </x:c>
      <x:c r="F4580" s="11" t="n">
        <x:v>-1.7713894592744694</x:v>
      </x:c>
      <x:c r="G4580" s="26" t="b">
        <x:v>0</x:v>
      </x:c>
      <x:c r="H4580" s="16" t="n">
        <x:v>0.072</x:v>
      </x:c>
      <x:c r="I4580" s="16" t="n">
        <x:v>0.38</x:v>
      </x:c>
      <x:c r="J4580" s="16" t="n">
        <x:v>0.684</x:v>
      </x:c>
      <x:c r="K4580" s="11" t="n">
        <x:f>CHOOSE('假设'!$B$3,H4580,I4580,J4580)</x:f>
        <x:v>0.38</x:v>
      </x:c>
      <x:c r="L4580" s="11" t="n">
        <x:f>K4580*'管线假设'!E987*'管线假设'!F987*'管线假设'!G987*IF(E4580="USD",'管线假设'!I987,1)-AM4580</x:f>
        <x:v>0.11969999999999999</x:v>
      </x:c>
      <x:c r="M4580" s="11" t="n">
        <x:f>'管线假设'!H987</x:f>
        <x:v>0.14</x:v>
      </x:c>
      <x:c r="N4580" s="11" t="n">
        <x:f>IF(G4580,L4580*AN4580/(1+M4580)^F4580,0)</x:f>
        <x:v>0</x:v>
      </x:c>
      <x:c r="AJ4580" s="42" t="n">
        <x:v>0</x:v>
      </x:c>
      <x:c r="AK4580" s="42" t="n">
        <x:v>0</x:v>
      </x:c>
      <x:c r="AL4580" s="42" t="n">
        <x:v>0</x:v>
      </x:c>
      <x:c r="AM4580" t="n">
        <x:f>CHOOSE('假设'!$B$3,AJ4580,AK4580,AL4580)</x:f>
        <x:v>0</x:v>
      </x:c>
      <x:c r="AN4580" t="n">
        <x:v>0</x:v>
      </x:c>
    </x:row>
    <x:row r="4581" ht="23" customHeight="1">
      <x:c r="A4581" s="11" t="str">
        <x:v>02162.HK</x:v>
      </x:c>
      <x:c r="B4581" s="11" t="str">
        <x:v>五年</x:v>
      </x:c>
      <x:c r="C4581" s="11" t="str">
        <x:v>CM310_new</x:v>
      </x:c>
      <x:c r="D4581" s="11" t="str">
        <x:v>2030-12-31</x:v>
      </x:c>
      <x:c r="E4581" s="11" t="str">
        <x:v>CNY</x:v>
      </x:c>
      <x:c r="F4581" s="11" t="n">
        <x:v>-0.7720739219712526</x:v>
      </x:c>
      <x:c r="G4581" s="26" t="b">
        <x:v>0</x:v>
      </x:c>
      <x:c r="H4581" s="16" t="n">
        <x:v>0.15200000000000002</x:v>
      </x:c>
      <x:c r="I4581" s="16" t="n">
        <x:v>0.65</x:v>
      </x:c>
      <x:c r="J4581" s="16" t="n">
        <x:v>1.1700000000000002</x:v>
      </x:c>
      <x:c r="K4581" s="11" t="n">
        <x:f>CHOOSE('假设'!$B$3,H4581,I4581,J4581)</x:f>
        <x:v>0.65</x:v>
      </x:c>
      <x:c r="L4581" s="11" t="n">
        <x:f>K4581*'管线假设'!E987*'管线假设'!F987*'管线假设'!G987*IF(E4581="USD",'管线假设'!I987,1)-AM4581</x:f>
        <x:v>0.20475</x:v>
      </x:c>
      <x:c r="M4581" s="11" t="n">
        <x:f>'管线假设'!H987</x:f>
        <x:v>0.14</x:v>
      </x:c>
      <x:c r="N4581" s="11" t="n">
        <x:f>IF(G4581,L4581*AN4581/(1+M4581)^F4581,0)</x:f>
        <x:v>0</x:v>
      </x:c>
      <x:c r="AJ4581" s="42" t="n">
        <x:v>0</x:v>
      </x:c>
      <x:c r="AK4581" s="42" t="n">
        <x:v>0</x:v>
      </x:c>
      <x:c r="AL4581" s="42" t="n">
        <x:v>0</x:v>
      </x:c>
      <x:c r="AM4581" t="n">
        <x:f>CHOOSE('假设'!$B$3,AJ4581,AK4581,AL4581)</x:f>
        <x:v>0</x:v>
      </x:c>
      <x:c r="AN4581" t="n">
        <x:v>0</x:v>
      </x:c>
    </x:row>
    <x:row r="4582" ht="23" customHeight="1">
      <x:c r="A4582" s="11" t="str">
        <x:v>02162.HK</x:v>
      </x:c>
      <x:c r="B4582" s="11" t="str">
        <x:v>五年</x:v>
      </x:c>
      <x:c r="C4582" s="11" t="str">
        <x:v>CM310_new</x:v>
      </x:c>
      <x:c r="D4582" s="11" t="str">
        <x:v>2031-12-31</x:v>
      </x:c>
      <x:c r="E4582" s="11" t="str">
        <x:v>CNY</x:v>
      </x:c>
      <x:c r="F4582" s="11" t="n">
        <x:v>0.2272416153319644</x:v>
      </x:c>
      <x:c r="G4582" s="26" t="b">
        <x:v>1</x:v>
      </x:c>
      <x:c r="H4582" s="16" t="n">
        <x:v>0.26</x:v>
      </x:c>
      <x:c r="I4582" s="16" t="n">
        <x:v>0.85</x:v>
      </x:c>
      <x:c r="J4582" s="16" t="n">
        <x:v>1.53</x:v>
      </x:c>
      <x:c r="K4582" s="11" t="n">
        <x:f>CHOOSE('假设'!$B$3,H4582,I4582,J4582)</x:f>
        <x:v>0.85</x:v>
      </x:c>
      <x:c r="L4582" s="11" t="n">
        <x:f>K4582*'管线假设'!E987*'管线假设'!F987*'管线假设'!G987*IF(E4582="USD",'管线假设'!I987,1)-AM4582</x:f>
        <x:v>0.26775</x:v>
      </x:c>
      <x:c r="M4582" s="11" t="n">
        <x:f>'管线假设'!H987</x:f>
        <x:v>0.14</x:v>
      </x:c>
      <x:c r="N4582" s="11" t="n">
        <x:f>IF(G4582,L4582*AN4582/(1+M4582)^F4582,0)</x:f>
        <x:v>0.05926182721183404</x:v>
      </x:c>
      <x:c r="AJ4582" s="42" t="n">
        <x:v>0</x:v>
      </x:c>
      <x:c r="AK4582" s="42" t="n">
        <x:v>0</x:v>
      </x:c>
      <x:c r="AL4582" s="42" t="n">
        <x:v>0</x:v>
      </x:c>
      <x:c r="AM4582" t="n">
        <x:f>CHOOSE('假设'!$B$3,AJ4582,AK4582,AL4582)</x:f>
        <x:v>0</x:v>
      </x:c>
      <x:c r="AN4582" t="n">
        <x:v>0.22802197802197802</x:v>
      </x:c>
    </x:row>
    <x:row r="4583" ht="23" customHeight="1">
      <x:c r="A4583" s="11" t="str">
        <x:v>02162.HK</x:v>
      </x:c>
      <x:c r="B4583" s="11" t="str">
        <x:v>五年</x:v>
      </x:c>
      <x:c r="C4583" s="11" t="str">
        <x:v>CM310_new</x:v>
      </x:c>
      <x:c r="D4583" s="11" t="str">
        <x:v>2032-12-31</x:v>
      </x:c>
      <x:c r="E4583" s="11" t="str">
        <x:v>CNY</x:v>
      </x:c>
      <x:c r="F4583" s="11" t="n">
        <x:v>1.2292950034223136</x:v>
      </x:c>
      <x:c r="G4583" s="26" t="b">
        <x:v>1</x:v>
      </x:c>
      <x:c r="H4583" s="16" t="n">
        <x:v>0.34</x:v>
      </x:c>
      <x:c r="I4583" s="16" t="n">
        <x:v>1</x:v>
      </x:c>
      <x:c r="J4583" s="16" t="n">
        <x:v>1.8</x:v>
      </x:c>
      <x:c r="K4583" s="11" t="n">
        <x:f>CHOOSE('假设'!$B$3,H4583,I4583,J4583)</x:f>
        <x:v>1</x:v>
      </x:c>
      <x:c r="L4583" s="11" t="n">
        <x:f>K4583*'管线假设'!E987*'管线假设'!F987*'管线假设'!G987*IF(E4583="USD",'管线假设'!I987,1)-AM4583</x:f>
        <x:v>0.315</x:v>
      </x:c>
      <x:c r="M4583" s="11" t="n">
        <x:f>'管线假设'!H987</x:f>
        <x:v>0.14</x:v>
      </x:c>
      <x:c r="N4583" s="11" t="n">
        <x:f>IF(G4583,L4583*AN4583/(1+M4583)^F4583,0)</x:f>
        <x:v>0.2681375916762569</x:v>
      </x:c>
      <x:c r="AJ4583" s="42" t="n">
        <x:v>0</x:v>
      </x:c>
      <x:c r="AK4583" s="42" t="n">
        <x:v>0</x:v>
      </x:c>
      <x:c r="AL4583" s="42" t="n">
        <x:v>0</x:v>
      </x:c>
      <x:c r="AM4583" t="n">
        <x:f>CHOOSE('假设'!$B$3,AJ4583,AK4583,AL4583)</x:f>
        <x:v>0</x:v>
      </x:c>
      <x:c r="AN4583" t="n">
        <x:v>1</x:v>
      </x:c>
    </x:row>
    <x:row r="4584" ht="23" customHeight="1">
      <x:c r="A4584" s="11" t="str">
        <x:v>02162.HK</x:v>
      </x:c>
      <x:c r="B4584" s="11" t="str">
        <x:v>五年</x:v>
      </x:c>
      <x:c r="C4584" s="11" t="str">
        <x:v>CM310_new</x:v>
      </x:c>
      <x:c r="D4584" s="11" t="str">
        <x:v>2033-12-31</x:v>
      </x:c>
      <x:c r="E4584" s="11" t="str">
        <x:v>CNY</x:v>
      </x:c>
      <x:c r="F4584" s="11" t="n">
        <x:v>2.2286105407255303</x:v>
      </x:c>
      <x:c r="G4584" s="26" t="b">
        <x:v>1</x:v>
      </x:c>
      <x:c r="H4584" s="16" t="n">
        <x:v>0.4</x:v>
      </x:c>
      <x:c r="I4584" s="16" t="n">
        <x:v>1</x:v>
      </x:c>
      <x:c r="J4584" s="16" t="n">
        <x:v>1.8</x:v>
      </x:c>
      <x:c r="K4584" s="11" t="n">
        <x:f>CHOOSE('假设'!$B$3,H4584,I4584,J4584)</x:f>
        <x:v>1</x:v>
      </x:c>
      <x:c r="L4584" s="11" t="n">
        <x:f>K4584*'管线假设'!E987*'管线假设'!F987*'管线假设'!G987*IF(E4584="USD",'管线假设'!I987,1)-AM4584</x:f>
        <x:v>0.315</x:v>
      </x:c>
      <x:c r="M4584" s="11" t="n">
        <x:f>'管线假设'!H987</x:f>
        <x:v>0.14</x:v>
      </x:c>
      <x:c r="N4584" s="11" t="n">
        <x:f>IF(G4584,L4584*AN4584/(1+M4584)^F4584,0)</x:f>
        <x:v>0.23522950911850923</x:v>
      </x:c>
      <x:c r="AJ4584" s="42" t="n">
        <x:v>0</x:v>
      </x:c>
      <x:c r="AK4584" s="42" t="n">
        <x:v>0</x:v>
      </x:c>
      <x:c r="AL4584" s="42" t="n">
        <x:v>0</x:v>
      </x:c>
      <x:c r="AM4584" t="n">
        <x:f>CHOOSE('假设'!$B$3,AJ4584,AK4584,AL4584)</x:f>
        <x:v>0</x:v>
      </x:c>
      <x:c r="AN4584" t="n">
        <x:v>1</x:v>
      </x:c>
    </x:row>
    <x:row r="4585" ht="23" customHeight="1">
      <x:c r="A4585" s="11" t="str">
        <x:v>02162.HK</x:v>
      </x:c>
      <x:c r="B4585" s="11" t="str">
        <x:v>五年</x:v>
      </x:c>
      <x:c r="C4585" s="11" t="str">
        <x:v>CM310_new</x:v>
      </x:c>
      <x:c r="D4585" s="11" t="str">
        <x:v>2034-12-31</x:v>
      </x:c>
      <x:c r="E4585" s="11" t="str">
        <x:v>CNY</x:v>
      </x:c>
      <x:c r="F4585" s="11" t="n">
        <x:v>3.2279260780287475</x:v>
      </x:c>
      <x:c r="G4585" s="26" t="b">
        <x:v>1</x:v>
      </x:c>
      <x:c r="H4585" s="16" t="n">
        <x:v>0.4</x:v>
      </x:c>
      <x:c r="I4585" s="16" t="n">
        <x:v>0.95</x:v>
      </x:c>
      <x:c r="J4585" s="16" t="n">
        <x:v>1.71</x:v>
      </x:c>
      <x:c r="K4585" s="11" t="n">
        <x:f>CHOOSE('假设'!$B$3,H4585,I4585,J4585)</x:f>
        <x:v>0.95</x:v>
      </x:c>
      <x:c r="L4585" s="11" t="n">
        <x:f>K4585*'管线假设'!E987*'管线假设'!F987*'管线假设'!G987*IF(E4585="USD",'管线假设'!I987,1)-AM4585</x:f>
        <x:v>0.29924999999999996</x:v>
      </x:c>
      <x:c r="M4585" s="11" t="n">
        <x:f>'管线假设'!H987</x:f>
        <x:v>0.14</x:v>
      </x:c>
      <x:c r="N4585" s="11" t="n">
        <x:f>IF(G4585,L4585*AN4585/(1+M4585)^F4585,0)</x:f>
        <x:v>0.19604217198159726</x:v>
      </x:c>
      <x:c r="AJ4585" s="42" t="n">
        <x:v>0</x:v>
      </x:c>
      <x:c r="AK4585" s="42" t="n">
        <x:v>0</x:v>
      </x:c>
      <x:c r="AL4585" s="42" t="n">
        <x:v>0</x:v>
      </x:c>
      <x:c r="AM4585" t="n">
        <x:f>CHOOSE('假设'!$B$3,AJ4585,AK4585,AL4585)</x:f>
        <x:v>0</x:v>
      </x:c>
      <x:c r="AN4585" t="n">
        <x:v>1</x:v>
      </x:c>
    </x:row>
    <x:row r="4586" ht="23" customHeight="1">
      <x:c r="A4586" s="11" t="str">
        <x:v>02162.HK</x:v>
      </x:c>
      <x:c r="B4586" s="11" t="str">
        <x:v>五年</x:v>
      </x:c>
      <x:c r="C4586" s="11" t="str">
        <x:v>CM310_new</x:v>
      </x:c>
      <x:c r="D4586" s="11" t="str">
        <x:v>2035-12-31</x:v>
      </x:c>
      <x:c r="E4586" s="11" t="str">
        <x:v>CNY</x:v>
      </x:c>
      <x:c r="F4586" s="11" t="n">
        <x:v>4.227241615331964</x:v>
      </x:c>
      <x:c r="G4586" s="26" t="b">
        <x:v>1</x:v>
      </x:c>
      <x:c r="H4586" s="16" t="n">
        <x:v>0.38</x:v>
      </x:c>
      <x:c r="I4586" s="16" t="n">
        <x:v>0.9</x:v>
      </x:c>
      <x:c r="J4586" s="16" t="n">
        <x:v>1.62</x:v>
      </x:c>
      <x:c r="K4586" s="11" t="n">
        <x:f>CHOOSE('假设'!$B$3,H4586,I4586,J4586)</x:f>
        <x:v>0.9</x:v>
      </x:c>
      <x:c r="L4586" s="11" t="n">
        <x:f>K4586*'管线假设'!E987*'管线假设'!F987*'管线假设'!G987*IF(E4586="USD",'管线假设'!I987,1)-AM4586</x:f>
        <x:v>0.28350000000000003</x:v>
      </x:c>
      <x:c r="M4586" s="11" t="n">
        <x:f>'管线假设'!H987</x:f>
        <x:v>0.14</x:v>
      </x:c>
      <x:c r="N4586" s="11" t="n">
        <x:f>IF(G4586,L4586*AN4586/(1+M4586)^F4586,0)</x:f>
        <x:v>0.1629305439954951</x:v>
      </x:c>
      <x:c r="AJ4586" s="42" t="n">
        <x:v>0</x:v>
      </x:c>
      <x:c r="AK4586" s="42" t="n">
        <x:v>0</x:v>
      </x:c>
      <x:c r="AL4586" s="42" t="n">
        <x:v>0</x:v>
      </x:c>
      <x:c r="AM4586" t="n">
        <x:f>CHOOSE('假设'!$B$3,AJ4586,AK4586,AL4586)</x:f>
        <x:v>0</x:v>
      </x:c>
      <x:c r="AN4586" t="n">
        <x:v>1</x:v>
      </x:c>
    </x:row>
    <x:row r="4587" ht="23" customHeight="1">
      <x:c r="A4587" s="11" t="str">
        <x:v>02162.HK</x:v>
      </x:c>
      <x:c r="B4587" s="11" t="str">
        <x:v>五年</x:v>
      </x:c>
      <x:c r="C4587" s="11" t="str">
        <x:v>CM310_new</x:v>
      </x:c>
      <x:c r="D4587" s="11" t="str">
        <x:v>2036-12-31</x:v>
      </x:c>
      <x:c r="E4587" s="11" t="str">
        <x:v>CNY</x:v>
      </x:c>
      <x:c r="F4587" s="11" t="n">
        <x:v>5.229295003422314</x:v>
      </x:c>
      <x:c r="G4587" s="26" t="b">
        <x:v>1</x:v>
      </x:c>
      <x:c r="H4587" s="16" t="n">
        <x:v>0.36000000000000004</x:v>
      </x:c>
      <x:c r="I4587" s="16" t="n">
        <x:v>0.8</x:v>
      </x:c>
      <x:c r="J4587" s="16" t="n">
        <x:v>1.4400000000000002</x:v>
      </x:c>
      <x:c r="K4587" s="11" t="n">
        <x:f>CHOOSE('假设'!$B$3,H4587,I4587,J4587)</x:f>
        <x:v>0.8</x:v>
      </x:c>
      <x:c r="L4587" s="11" t="n">
        <x:f>K4587*'管线假设'!E987*'管线假设'!F987*'管线假设'!G987*IF(E4587="USD",'管线假设'!I987,1)-AM4587</x:f>
        <x:v>0.252</x:v>
      </x:c>
      <x:c r="M4587" s="11" t="n">
        <x:f>'管线假设'!H987</x:f>
        <x:v>0.14</x:v>
      </x:c>
      <x:c r="N4587" s="11" t="n">
        <x:f>IF(G4587,L4587*AN4587/(1+M4587)^F4587,0)</x:f>
        <x:v>0.1270071837224422</x:v>
      </x:c>
      <x:c r="AJ4587" s="42" t="n">
        <x:v>0</x:v>
      </x:c>
      <x:c r="AK4587" s="42" t="n">
        <x:v>0</x:v>
      </x:c>
      <x:c r="AL4587" s="42" t="n">
        <x:v>0</x:v>
      </x:c>
      <x:c r="AM4587" t="n">
        <x:f>CHOOSE('假设'!$B$3,AJ4587,AK4587,AL4587)</x:f>
        <x:v>0</x:v>
      </x:c>
      <x:c r="AN4587" t="n">
        <x:v>1</x:v>
      </x:c>
    </x:row>
    <x:row r="4588" ht="23" customHeight="1">
      <x:c r="A4588" s="11" t="str">
        <x:v>02162.HK</x:v>
      </x:c>
      <x:c r="B4588" s="11" t="str">
        <x:v>五年</x:v>
      </x:c>
      <x:c r="C4588" s="11" t="str">
        <x:v>CM310_new</x:v>
      </x:c>
      <x:c r="D4588" s="11" t="str">
        <x:v>2037-12-31</x:v>
      </x:c>
      <x:c r="E4588" s="11" t="str">
        <x:v>CNY</x:v>
      </x:c>
      <x:c r="F4588" s="11" t="n">
        <x:v>6.228610540725531</x:v>
      </x:c>
      <x:c r="G4588" s="26" t="b">
        <x:v>1</x:v>
      </x:c>
      <x:c r="H4588" s="16" t="n">
        <x:v>0.32000000000000006</x:v>
      </x:c>
      <x:c r="I4588" s="16" t="n">
        <x:v>0.65</x:v>
      </x:c>
      <x:c r="J4588" s="16" t="n">
        <x:v>1.1700000000000002</x:v>
      </x:c>
      <x:c r="K4588" s="11" t="n">
        <x:f>CHOOSE('假设'!$B$3,H4588,I4588,J4588)</x:f>
        <x:v>0.65</x:v>
      </x:c>
      <x:c r="L4588" s="11" t="n">
        <x:f>K4588*'管线假设'!E987*'管线假设'!F987*'管线假设'!G987*IF(E4588="USD",'管线假设'!I987,1)-AM4588</x:f>
        <x:v>0.20475</x:v>
      </x:c>
      <x:c r="M4588" s="11" t="n">
        <x:f>'管线假设'!H987</x:f>
        <x:v>0.14</x:v>
      </x:c>
      <x:c r="N4588" s="11" t="n">
        <x:f>IF(G4588,L4588*AN4588/(1+M4588)^F4588,0)</x:f>
        <x:v>0.09052858945295128</x:v>
      </x:c>
      <x:c r="AJ4588" s="42" t="n">
        <x:v>0</x:v>
      </x:c>
      <x:c r="AK4588" s="42" t="n">
        <x:v>0</x:v>
      </x:c>
      <x:c r="AL4588" s="42" t="n">
        <x:v>0</x:v>
      </x:c>
      <x:c r="AM4588" t="n">
        <x:f>CHOOSE('假设'!$B$3,AJ4588,AK4588,AL4588)</x:f>
        <x:v>0</x:v>
      </x:c>
      <x:c r="AN4588" t="n">
        <x:v>1</x:v>
      </x:c>
    </x:row>
    <x:row r="4589" ht="23" customHeight="1">
      <x:c r="A4589" s="11" t="str">
        <x:v>02162.HK</x:v>
      </x:c>
      <x:c r="B4589" s="11" t="str">
        <x:v>五年</x:v>
      </x:c>
      <x:c r="C4589" s="11" t="str">
        <x:v>CM310_new</x:v>
      </x:c>
      <x:c r="D4589" s="11" t="str">
        <x:v>2038-12-31</x:v>
      </x:c>
      <x:c r="E4589" s="11" t="str">
        <x:v>CNY</x:v>
      </x:c>
      <x:c r="F4589" s="11" t="n">
        <x:v>7.227926078028747</x:v>
      </x:c>
      <x:c r="G4589" s="26" t="b">
        <x:v>1</x:v>
      </x:c>
      <x:c r="H4589" s="16" t="n">
        <x:v>0.26</x:v>
      </x:c>
      <x:c r="I4589" s="16" t="n">
        <x:v>0.5</x:v>
      </x:c>
      <x:c r="J4589" s="16" t="n">
        <x:v>0.9</x:v>
      </x:c>
      <x:c r="K4589" s="11" t="n">
        <x:f>CHOOSE('假设'!$B$3,H4589,I4589,J4589)</x:f>
        <x:v>0.5</x:v>
      </x:c>
      <x:c r="L4589" s="11" t="n">
        <x:f>K4589*'管线假设'!E987*'管线假设'!F987*'管线假设'!G987*IF(E4589="USD",'管线假设'!I987,1)-AM4589</x:f>
        <x:v>0.1575</x:v>
      </x:c>
      <x:c r="M4589" s="11" t="n">
        <x:f>'管线假设'!H987</x:f>
        <x:v>0.14</x:v>
      </x:c>
      <x:c r="N4589" s="11" t="n">
        <x:f>IF(G4589,L4589*AN4589/(1+M4589)^F4589,0)</x:f>
        <x:v>0.061090896612167635</x:v>
      </x:c>
      <x:c r="AJ4589" s="42" t="n">
        <x:v>0</x:v>
      </x:c>
      <x:c r="AK4589" s="42" t="n">
        <x:v>0</x:v>
      </x:c>
      <x:c r="AL4589" s="42" t="n">
        <x:v>0</x:v>
      </x:c>
      <x:c r="AM4589" t="n">
        <x:f>CHOOSE('假设'!$B$3,AJ4589,AK4589,AL4589)</x:f>
        <x:v>0</x:v>
      </x:c>
      <x:c r="AN4589" t="n">
        <x:v>1</x:v>
      </x:c>
    </x:row>
    <x:row r="4590" ht="23" customHeight="1">
      <x:c r="A4590" s="11" t="str">
        <x:v>02162.HK</x:v>
      </x:c>
      <x:c r="B4590" s="11" t="str">
        <x:v>五年</x:v>
      </x:c>
      <x:c r="C4590" s="11" t="str">
        <x:v>CM310_new</x:v>
      </x:c>
      <x:c r="D4590" s="11" t="str">
        <x:v>2039-12-31</x:v>
      </x:c>
      <x:c r="E4590" s="11" t="str">
        <x:v>CNY</x:v>
      </x:c>
      <x:c r="F4590" s="11" t="n">
        <x:v>8.227241615331964</x:v>
      </x:c>
      <x:c r="G4590" s="26" t="b">
        <x:v>1</x:v>
      </x:c>
      <x:c r="H4590" s="16" t="n">
        <x:v>0.2</x:v>
      </x:c>
      <x:c r="I4590" s="16" t="n">
        <x:v>0.35</x:v>
      </x:c>
      <x:c r="J4590" s="16" t="n">
        <x:v>0.63</x:v>
      </x:c>
      <x:c r="K4590" s="11" t="n">
        <x:f>CHOOSE('假设'!$B$3,H4590,I4590,J4590)</x:f>
        <x:v>0.35</x:v>
      </x:c>
      <x:c r="L4590" s="11" t="n">
        <x:f>K4590*'管线假设'!E987*'管线假设'!F987*'管线假设'!G987*IF(E4590="USD",'管线假设'!I987,1)-AM4590</x:f>
        <x:v>0.11024999999999999</x:v>
      </x:c>
      <x:c r="M4590" s="11" t="n">
        <x:f>'管线假设'!H987</x:f>
        <x:v>0.14</x:v>
      </x:c>
      <x:c r="N4590" s="11" t="n">
        <x:f>IF(G4590,L4590*AN4590/(1+M4590)^F4590,0)</x:f>
        <x:v>0.03751531843147222</x:v>
      </x:c>
      <x:c r="AJ4590" s="42" t="n">
        <x:v>0</x:v>
      </x:c>
      <x:c r="AK4590" s="42" t="n">
        <x:v>0</x:v>
      </x:c>
      <x:c r="AL4590" s="42" t="n">
        <x:v>0</x:v>
      </x:c>
      <x:c r="AM4590" t="n">
        <x:f>CHOOSE('假设'!$B$3,AJ4590,AK4590,AL4590)</x:f>
        <x:v>0</x:v>
      </x:c>
      <x:c r="AN4590" t="n">
        <x:v>1</x:v>
      </x:c>
    </x:row>
    <x:row r="4591" ht="23" customHeight="1">
      <x:c r="A4591" s="11" t="str">
        <x:v>02162.HK</x:v>
      </x:c>
      <x:c r="B4591" s="11" t="str">
        <x:v>五年</x:v>
      </x:c>
      <x:c r="C4591" s="11" t="str">
        <x:v>CM310_new</x:v>
      </x:c>
      <x:c r="D4591" s="11" t="str">
        <x:v>2040-12-31</x:v>
      </x:c>
      <x:c r="E4591" s="11" t="str">
        <x:v>CNY</x:v>
      </x:c>
      <x:c r="F4591" s="11" t="n">
        <x:v>9.229295003422314</x:v>
      </x:c>
      <x:c r="G4591" s="26" t="b">
        <x:v>1</x:v>
      </x:c>
      <x:c r="H4591" s="16" t="n">
        <x:v>0.13999999999999999</x:v>
      </x:c>
      <x:c r="I4591" s="16" t="n">
        <x:v>0.2</x:v>
      </x:c>
      <x:c r="J4591" s="16" t="n">
        <x:v>0.36000000000000004</x:v>
      </x:c>
      <x:c r="K4591" s="11" t="n">
        <x:f>CHOOSE('假设'!$B$3,H4591,I4591,J4591)</x:f>
        <x:v>0.2</x:v>
      </x:c>
      <x:c r="L4591" s="11" t="n">
        <x:f>K4591*'管线假设'!E987*'管线假设'!F987*'管线假设'!G987*IF(E4591="USD",'管线假设'!I987,1)-AM4591</x:f>
        <x:v>0.063</x:v>
      </x:c>
      <x:c r="M4591" s="11" t="n">
        <x:f>'管线假设'!H987</x:f>
        <x:v>0.14</x:v>
      </x:c>
      <x:c r="N4591" s="11" t="n">
        <x:f>IF(G4591,L4591*AN4591/(1+M4591)^F4591,0)</x:f>
        <x:v>0.01879961214159755</x:v>
      </x:c>
      <x:c r="AJ4591" s="42" t="n">
        <x:v>0</x:v>
      </x:c>
      <x:c r="AK4591" s="42" t="n">
        <x:v>0</x:v>
      </x:c>
      <x:c r="AL4591" s="42" t="n">
        <x:v>0</x:v>
      </x:c>
      <x:c r="AM4591" t="n">
        <x:f>CHOOSE('假设'!$B$3,AJ4591,AK4591,AL4591)</x:f>
        <x:v>0</x:v>
      </x:c>
      <x:c r="AN4591" t="n">
        <x:v>1</x:v>
      </x:c>
    </x:row>
    <x:row r="4592" ht="23" customHeight="1">
      <x:c r="A4592" s="11" t="str">
        <x:v>02162.HK</x:v>
      </x:c>
      <x:c r="B4592" s="11" t="str">
        <x:v>五年</x:v>
      </x:c>
      <x:c r="C4592" s="11" t="str">
        <x:v>CM310_new</x:v>
      </x:c>
      <x:c r="D4592" s="11" t="str">
        <x:v>2041-12-31</x:v>
      </x:c>
      <x:c r="E4592" s="11" t="str">
        <x:v>CNY</x:v>
      </x:c>
      <x:c r="F4592" s="11" t="n">
        <x:v>10.22861054072553</x:v>
      </x:c>
      <x:c r="G4592" s="26" t="b">
        <x:v>1</x:v>
      </x:c>
      <x:c r="H4592" s="16" t="n">
        <x:v>0.08000000000000002</x:v>
      </x:c>
      <x:c r="I4592" s="16" t="n">
        <x:v>0.12</x:v>
      </x:c>
      <x:c r="J4592" s="16" t="n">
        <x:v>0.216</x:v>
      </x:c>
      <x:c r="K4592" s="11" t="n">
        <x:f>CHOOSE('假设'!$B$3,H4592,I4592,J4592)</x:f>
        <x:v>0.12</x:v>
      </x:c>
      <x:c r="L4592" s="11" t="n">
        <x:f>K4592*'管线假设'!E987*'管线假设'!F987*'管线假设'!G987*IF(E4592="USD",'管线假设'!I987,1)-AM4592</x:f>
        <x:v>0.0378</x:v>
      </x:c>
      <x:c r="M4592" s="11" t="n">
        <x:f>'管线假设'!H987</x:f>
        <x:v>0.14</x:v>
      </x:c>
      <x:c r="N4592" s="11" t="n">
        <x:f>IF(G4592,L4592*AN4592/(1+M4592)^F4592,0)</x:f>
        <x:v>0.009895420126751153</x:v>
      </x:c>
      <x:c r="AJ4592" s="42" t="n">
        <x:v>0</x:v>
      </x:c>
      <x:c r="AK4592" s="42" t="n">
        <x:v>0</x:v>
      </x:c>
      <x:c r="AL4592" s="42" t="n">
        <x:v>0</x:v>
      </x:c>
      <x:c r="AM4592" t="n">
        <x:f>CHOOSE('假设'!$B$3,AJ4592,AK4592,AL4592)</x:f>
        <x:v>0</x:v>
      </x:c>
      <x:c r="AN4592" t="n">
        <x:v>1</x:v>
      </x:c>
    </x:row>
    <x:row r="4593" ht="23" customHeight="1">
      <x:c r="A4593" s="11" t="str">
        <x:v>02162.HK</x:v>
      </x:c>
      <x:c r="B4593" s="11" t="str">
        <x:v>五年</x:v>
      </x:c>
      <x:c r="C4593" s="11" t="str">
        <x:v>CM310_new</x:v>
      </x:c>
      <x:c r="D4593" s="11" t="str">
        <x:v>2042-12-31</x:v>
      </x:c>
      <x:c r="E4593" s="11" t="str">
        <x:v>CNY</x:v>
      </x:c>
      <x:c r="F4593" s="11" t="n">
        <x:v>11.227926078028748</x:v>
      </x:c>
      <x:c r="G4593" s="26" t="b">
        <x:v>1</x:v>
      </x:c>
      <x:c r="H4593" s="16" t="n">
        <x:v>0.048</x:v>
      </x:c>
      <x:c r="I4593" s="16" t="n">
        <x:v>0.07</x:v>
      </x:c>
      <x:c r="J4593" s="16" t="n">
        <x:v>0.12600000000000003</x:v>
      </x:c>
      <x:c r="K4593" s="11" t="n">
        <x:f>CHOOSE('假设'!$B$3,H4593,I4593,J4593)</x:f>
        <x:v>0.07</x:v>
      </x:c>
      <x:c r="L4593" s="11" t="n">
        <x:f>K4593*'管线假设'!E987*'管线假设'!F987*'管线假设'!G987*IF(E4593="USD",'管线假设'!I987,1)-AM4593</x:f>
        <x:v>0.02205</x:v>
      </x:c>
      <x:c r="M4593" s="11" t="n">
        <x:f>'管线假设'!H987</x:f>
        <x:v>0.14</x:v>
      </x:c>
      <x:c r="N4593" s="11" t="n">
        <x:f>IF(G4593,L4593*AN4593/(1+M4593)^F4593,0)</x:f>
        <x:v>0.005063900101529609</x:v>
      </x:c>
      <x:c r="AJ4593" s="42" t="n">
        <x:v>0</x:v>
      </x:c>
      <x:c r="AK4593" s="42" t="n">
        <x:v>0</x:v>
      </x:c>
      <x:c r="AL4593" s="42" t="n">
        <x:v>0</x:v>
      </x:c>
      <x:c r="AM4593" t="n">
        <x:f>CHOOSE('假设'!$B$3,AJ4593,AK4593,AL4593)</x:f>
        <x:v>0</x:v>
      </x:c>
      <x:c r="AN4593" t="n">
        <x:v>1</x:v>
      </x:c>
    </x:row>
    <x:row r="4594" ht="23" customHeight="1">
      <x:c r="A4594" s="11" t="str">
        <x:v>02162.HK</x:v>
      </x:c>
      <x:c r="B4594" s="11" t="str">
        <x:v>五年</x:v>
      </x:c>
      <x:c r="C4594" s="11" t="str">
        <x:v>CM310_new</x:v>
      </x:c>
      <x:c r="D4594" s="11" t="str">
        <x:v>2043-12-31</x:v>
      </x:c>
      <x:c r="E4594" s="11" t="str">
        <x:v>CNY</x:v>
      </x:c>
      <x:c r="F4594" s="11" t="n">
        <x:v>12.227241615331964</x:v>
      </x:c>
      <x:c r="G4594" s="26" t="b">
        <x:v>1</x:v>
      </x:c>
      <x:c r="H4594" s="16" t="n">
        <x:v>0.028000000000000004</x:v>
      </x:c>
      <x:c r="I4594" s="16" t="n">
        <x:v>0.03</x:v>
      </x:c>
      <x:c r="J4594" s="16" t="n">
        <x:v>0.054</x:v>
      </x:c>
      <x:c r="K4594" s="11" t="n">
        <x:f>CHOOSE('假设'!$B$3,H4594,I4594,J4594)</x:f>
        <x:v>0.03</x:v>
      </x:c>
      <x:c r="L4594" s="11" t="n">
        <x:f>K4594*'管线假设'!E987*'管线假设'!F987*'管线假设'!G987*IF(E4594="USD",'管线假设'!I987,1)-AM4594</x:f>
        <x:v>0.00945</x:v>
      </x:c>
      <x:c r="M4594" s="11" t="n">
        <x:f>'管线假设'!H987</x:f>
        <x:v>0.14</x:v>
      </x:c>
      <x:c r="N4594" s="11" t="n">
        <x:f>IF(G4594,L4594*AN4594/(1+M4594)^F4594,0)</x:f>
        <x:v>0.0019038925836460333</x:v>
      </x:c>
      <x:c r="AJ4594" s="42" t="n">
        <x:v>0</x:v>
      </x:c>
      <x:c r="AK4594" s="42" t="n">
        <x:v>0</x:v>
      </x:c>
      <x:c r="AL4594" s="42" t="n">
        <x:v>0</x:v>
      </x:c>
      <x:c r="AM4594" t="n">
        <x:f>CHOOSE('假设'!$B$3,AJ4594,AK4594,AL4594)</x:f>
        <x:v>0</x:v>
      </x:c>
      <x:c r="AN4594" t="n">
        <x:v>1</x:v>
      </x:c>
    </x:row>
    <x:row r="4595" ht="23" customHeight="1">
      <x:c r="A4595" s="11" t="str">
        <x:v>02162.HK</x:v>
      </x:c>
      <x:c r="B4595" s="11" t="str">
        <x:v>五年</x:v>
      </x:c>
      <x:c r="C4595" s="11" t="str">
        <x:v>CM310_new</x:v>
      </x:c>
      <x:c r="D4595" s="11" t="str">
        <x:v>2044-12-31</x:v>
      </x:c>
      <x:c r="E4595" s="11" t="str">
        <x:v>CNY</x:v>
      </x:c>
      <x:c r="F4595" s="11" t="n">
        <x:v>13.229295003422314</x:v>
      </x:c>
      <x:c r="G4595" s="26" t="b">
        <x:v>1</x:v>
      </x:c>
      <x:c r="H4595" s="16" t="n">
        <x:v>0.012</x:v>
      </x:c>
      <x:c r="I4595" s="16" t="n">
        <x:v>0.03</x:v>
      </x:c>
      <x:c r="J4595" s="16" t="n">
        <x:v>0.054</x:v>
      </x:c>
      <x:c r="K4595" s="11" t="n">
        <x:f>CHOOSE('假设'!$B$3,H4595,I4595,J4595)</x:f>
        <x:v>0.03</x:v>
      </x:c>
      <x:c r="L4595" s="11" t="n">
        <x:f>K4595*'管线假设'!E987*'管线假设'!F987*'管线假设'!G987*IF(E4595="USD",'管线假设'!I987,1)-AM4595</x:f>
        <x:v>0.00945</x:v>
      </x:c>
      <x:c r="M4595" s="11" t="n">
        <x:f>'管线假设'!H987</x:f>
        <x:v>0.14</x:v>
      </x:c>
      <x:c r="N4595" s="11" t="n">
        <x:f>IF(G4595,L4595*AN4595/(1+M4595)^F4595,0)</x:f>
        <x:v>0.001669631935687359</x:v>
      </x:c>
      <x:c r="AJ4595" s="42" t="n">
        <x:v>0</x:v>
      </x:c>
      <x:c r="AK4595" s="42" t="n">
        <x:v>0</x:v>
      </x:c>
      <x:c r="AL4595" s="42" t="n">
        <x:v>0</x:v>
      </x:c>
      <x:c r="AM4595" t="n">
        <x:f>CHOOSE('假设'!$B$3,AJ4595,AK4595,AL4595)</x:f>
        <x:v>0</x:v>
      </x:c>
      <x:c r="AN4595" t="n">
        <x:v>1</x:v>
      </x:c>
    </x:row>
    <x:row r="4596" ht="23" customHeight="1">
      <x:c r="A4596" s="11" t="str">
        <x:v>02162.HK</x:v>
      </x:c>
      <x:c r="B4596" s="11" t="str">
        <x:v>五年</x:v>
      </x:c>
      <x:c r="C4596" s="11" t="str">
        <x:v>CM512_CRSwNP</x:v>
      </x:c>
      <x:c r="D4596" s="11" t="str">
        <x:v>2026-12-31</x:v>
      </x:c>
      <x:c r="E4596" s="11" t="str">
        <x:v>CNY</x:v>
      </x:c>
      <x:c r="F4596" s="11" t="n">
        <x:v>-4.772073921971253</x:v>
      </x:c>
      <x:c r="G4596" s="26" t="b">
        <x:v>0</x:v>
      </x:c>
      <x:c r="H4596" s="16" t="n">
        <x:v>0</x:v>
      </x:c>
      <x:c r="I4596" s="16" t="n">
        <x:v>0</x:v>
      </x:c>
      <x:c r="J4596" s="16" t="n">
        <x:v>0</x:v>
      </x:c>
      <x:c r="K4596" s="11" t="n">
        <x:f>CHOOSE('假设'!$B$3,H4596,I4596,J4596)</x:f>
        <x:v>0</x:v>
      </x:c>
      <x:c r="L4596" s="11" t="n">
        <x:f>K4596*'管线假设'!E991*'管线假设'!F991*'管线假设'!G991*IF(E4596="USD",'管线假设'!I991,1)-AM4596</x:f>
        <x:v>-0.06</x:v>
      </x:c>
      <x:c r="M4596" s="11" t="n">
        <x:f>'管线假设'!H991</x:f>
        <x:v>0.14</x:v>
      </x:c>
      <x:c r="N4596" s="11" t="n">
        <x:f>IF(G4596,L4596*AN4596/(1+M4596)^F4596,0)</x:f>
        <x:v>0</x:v>
      </x:c>
      <x:c r="AJ4596" s="42" t="n">
        <x:v>0.04</x:v>
      </x:c>
      <x:c r="AK4596" s="42" t="n">
        <x:v>0.06</x:v>
      </x:c>
      <x:c r="AL4596" s="42" t="n">
        <x:v>0.1</x:v>
      </x:c>
      <x:c r="AM4596" t="n">
        <x:f>CHOOSE('假设'!$B$3,AJ4596,AK4596,AL4596)</x:f>
        <x:v>0.06</x:v>
      </x:c>
      <x:c r="AN4596" t="n">
        <x:v>0</x:v>
      </x:c>
    </x:row>
    <x:row r="4597" ht="23" customHeight="1">
      <x:c r="A4597" s="11" t="str">
        <x:v>02162.HK</x:v>
      </x:c>
      <x:c r="B4597" s="11" t="str">
        <x:v>五年</x:v>
      </x:c>
      <x:c r="C4597" s="11" t="str">
        <x:v>CM512_CRSwNP</x:v>
      </x:c>
      <x:c r="D4597" s="11" t="str">
        <x:v>2027-12-31</x:v>
      </x:c>
      <x:c r="E4597" s="11" t="str">
        <x:v>CNY</x:v>
      </x:c>
      <x:c r="F4597" s="11" t="n">
        <x:v>-3.7727583846680357</x:v>
      </x:c>
      <x:c r="G4597" s="26" t="b">
        <x:v>0</x:v>
      </x:c>
      <x:c r="H4597" s="16" t="n">
        <x:v>0</x:v>
      </x:c>
      <x:c r="I4597" s="16" t="n">
        <x:v>0</x:v>
      </x:c>
      <x:c r="J4597" s="16" t="n">
        <x:v>0</x:v>
      </x:c>
      <x:c r="K4597" s="11" t="n">
        <x:f>CHOOSE('假设'!$B$3,H4597,I4597,J4597)</x:f>
        <x:v>0</x:v>
      </x:c>
      <x:c r="L4597" s="11" t="n">
        <x:f>K4597*'管线假设'!E991*'管线假设'!F991*'管线假设'!G991*IF(E4597="USD",'管线假设'!I991,1)-AM4597</x:f>
        <x:v>-0.1</x:v>
      </x:c>
      <x:c r="M4597" s="11" t="n">
        <x:f>'管线假设'!H991</x:f>
        <x:v>0.14</x:v>
      </x:c>
      <x:c r="N4597" s="11" t="n">
        <x:f>IF(G4597,L4597*AN4597/(1+M4597)^F4597,0)</x:f>
        <x:v>0</x:v>
      </x:c>
      <x:c r="AJ4597" s="42" t="n">
        <x:v>0.06</x:v>
      </x:c>
      <x:c r="AK4597" s="42" t="n">
        <x:v>0.1</x:v>
      </x:c>
      <x:c r="AL4597" s="42" t="n">
        <x:v>0.13</x:v>
      </x:c>
      <x:c r="AM4597" t="n">
        <x:f>CHOOSE('假设'!$B$3,AJ4597,AK4597,AL4597)</x:f>
        <x:v>0.1</x:v>
      </x:c>
      <x:c r="AN4597" t="n">
        <x:v>0</x:v>
      </x:c>
    </x:row>
    <x:row r="4598" ht="23" customHeight="1">
      <x:c r="A4598" s="11" t="str">
        <x:v>02162.HK</x:v>
      </x:c>
      <x:c r="B4598" s="11" t="str">
        <x:v>五年</x:v>
      </x:c>
      <x:c r="C4598" s="11" t="str">
        <x:v>CM512_CRSwNP</x:v>
      </x:c>
      <x:c r="D4598" s="11" t="str">
        <x:v>2028-12-31</x:v>
      </x:c>
      <x:c r="E4598" s="11" t="str">
        <x:v>CNY</x:v>
      </x:c>
      <x:c r="F4598" s="11" t="n">
        <x:v>-2.7707049965776864</x:v>
      </x:c>
      <x:c r="G4598" s="26" t="b">
        <x:v>0</x:v>
      </x:c>
      <x:c r="H4598" s="16" t="n">
        <x:v>0</x:v>
      </x:c>
      <x:c r="I4598" s="16" t="n">
        <x:v>0</x:v>
      </x:c>
      <x:c r="J4598" s="16" t="n">
        <x:v>0.36</x:v>
      </x:c>
      <x:c r="K4598" s="11" t="n">
        <x:f>CHOOSE('假设'!$B$3,H4598,I4598,J4598)</x:f>
        <x:v>0</x:v>
      </x:c>
      <x:c r="L4598" s="11" t="n">
        <x:f>K4598*'管线假设'!E991*'管线假设'!F991*'管线假设'!G991*IF(E4598="USD",'管线假设'!I991,1)-AM4598</x:f>
        <x:v>-0.13</x:v>
      </x:c>
      <x:c r="M4598" s="11" t="n">
        <x:f>'管线假设'!H991</x:f>
        <x:v>0.14</x:v>
      </x:c>
      <x:c r="N4598" s="11" t="n">
        <x:f>IF(G4598,L4598*AN4598/(1+M4598)^F4598,0)</x:f>
        <x:v>0</x:v>
      </x:c>
      <x:c r="AJ4598" s="42" t="n">
        <x:v>0.07</x:v>
      </x:c>
      <x:c r="AK4598" s="42" t="n">
        <x:v>0.13</x:v>
      </x:c>
      <x:c r="AL4598" s="42" t="n">
        <x:v>0.18</x:v>
      </x:c>
      <x:c r="AM4598" t="n">
        <x:f>CHOOSE('假设'!$B$3,AJ4598,AK4598,AL4598)</x:f>
        <x:v>0.13</x:v>
      </x:c>
      <x:c r="AN4598" t="n">
        <x:v>0</x:v>
      </x:c>
    </x:row>
    <x:row r="4599" ht="23" customHeight="1">
      <x:c r="A4599" s="11" t="str">
        <x:v>02162.HK</x:v>
      </x:c>
      <x:c r="B4599" s="11" t="str">
        <x:v>五年</x:v>
      </x:c>
      <x:c r="C4599" s="11" t="str">
        <x:v>CM512_CRSwNP</x:v>
      </x:c>
      <x:c r="D4599" s="11" t="str">
        <x:v>2029-12-31</x:v>
      </x:c>
      <x:c r="E4599" s="11" t="str">
        <x:v>CNY</x:v>
      </x:c>
      <x:c r="F4599" s="11" t="n">
        <x:v>-1.7713894592744694</x:v>
      </x:c>
      <x:c r="G4599" s="26" t="b">
        <x:v>0</x:v>
      </x:c>
      <x:c r="H4599" s="16" t="n">
        <x:v>0</x:v>
      </x:c>
      <x:c r="I4599" s="16" t="n">
        <x:v>0.21</x:v>
      </x:c>
      <x:c r="J4599" s="16" t="n">
        <x:v>1.08</x:v>
      </x:c>
      <x:c r="K4599" s="11" t="n">
        <x:f>CHOOSE('假设'!$B$3,H4599,I4599,J4599)</x:f>
        <x:v>0.21</x:v>
      </x:c>
      <x:c r="L4599" s="11" t="n">
        <x:f>K4599*'管线假设'!E991*'管线假设'!F991*'管线假设'!G991*IF(E4599="USD",'管线假设'!I991,1)-AM4599</x:f>
        <x:v>-0.04750000000000001</x:v>
      </x:c>
      <x:c r="M4599" s="11" t="n">
        <x:f>'管线假设'!H991</x:f>
        <x:v>0.14</x:v>
      </x:c>
      <x:c r="N4599" s="11" t="n">
        <x:f>IF(G4599,L4599*AN4599/(1+M4599)^F4599,0)</x:f>
        <x:v>0</x:v>
      </x:c>
      <x:c r="AJ4599" s="42" t="n">
        <x:v>0.04</x:v>
      </x:c>
      <x:c r="AK4599" s="42" t="n">
        <x:v>0.1</x:v>
      </x:c>
      <x:c r="AL4599" s="42" t="n">
        <x:v>0.12</x:v>
      </x:c>
      <x:c r="AM4599" t="n">
        <x:f>CHOOSE('假设'!$B$3,AJ4599,AK4599,AL4599)</x:f>
        <x:v>0.1</x:v>
      </x:c>
      <x:c r="AN4599" t="n">
        <x:v>0</x:v>
      </x:c>
    </x:row>
    <x:row r="4600" ht="23" customHeight="1">
      <x:c r="A4600" s="11" t="str">
        <x:v>02162.HK</x:v>
      </x:c>
      <x:c r="B4600" s="11" t="str">
        <x:v>五年</x:v>
      </x:c>
      <x:c r="C4600" s="11" t="str">
        <x:v>CM512_CRSwNP</x:v>
      </x:c>
      <x:c r="D4600" s="11" t="str">
        <x:v>2030-12-31</x:v>
      </x:c>
      <x:c r="E4600" s="11" t="str">
        <x:v>CNY</x:v>
      </x:c>
      <x:c r="F4600" s="11" t="n">
        <x:v>-0.7720739219712526</x:v>
      </x:c>
      <x:c r="G4600" s="26" t="b">
        <x:v>0</x:v>
      </x:c>
      <x:c r="H4600" s="16" t="n">
        <x:v>0.078</x:v>
      </x:c>
      <x:c r="I4600" s="16" t="n">
        <x:v>0.63</x:v>
      </x:c>
      <x:c r="J4600" s="16" t="n">
        <x:v>2.2800000000000002</x:v>
      </x:c>
      <x:c r="K4600" s="11" t="n">
        <x:f>CHOOSE('假设'!$B$3,H4600,I4600,J4600)</x:f>
        <x:v>0.63</x:v>
      </x:c>
      <x:c r="L4600" s="11" t="n">
        <x:f>K4600*'管线假设'!E991*'管线假设'!F991*'管线假设'!G991*IF(E4600="USD",'管线假设'!I991,1)-AM4600</x:f>
        <x:v>0.1175</x:v>
      </x:c>
      <x:c r="M4600" s="11" t="n">
        <x:f>'管线假设'!H991</x:f>
        <x:v>0.14</x:v>
      </x:c>
      <x:c r="N4600" s="11" t="n">
        <x:f>IF(G4600,L4600*AN4600/(1+M4600)^F4600,0)</x:f>
        <x:v>0</x:v>
      </x:c>
      <x:c r="AJ4600" s="42" t="n">
        <x:v>0</x:v>
      </x:c>
      <x:c r="AK4600" s="42" t="n">
        <x:v>0.04</x:v>
      </x:c>
      <x:c r="AL4600" s="42" t="n">
        <x:v>0.04</x:v>
      </x:c>
      <x:c r="AM4600" t="n">
        <x:f>CHOOSE('假设'!$B$3,AJ4600,AK4600,AL4600)</x:f>
        <x:v>0.04</x:v>
      </x:c>
      <x:c r="AN4600" t="n">
        <x:v>0</x:v>
      </x:c>
    </x:row>
    <x:row r="4601" ht="23" customHeight="1">
      <x:c r="A4601" s="11" t="str">
        <x:v>02162.HK</x:v>
      </x:c>
      <x:c r="B4601" s="11" t="str">
        <x:v>五年</x:v>
      </x:c>
      <x:c r="C4601" s="11" t="str">
        <x:v>CM512_CRSwNP</x:v>
      </x:c>
      <x:c r="D4601" s="11" t="str">
        <x:v>2031-12-31</x:v>
      </x:c>
      <x:c r="E4601" s="11" t="str">
        <x:v>CNY</x:v>
      </x:c>
      <x:c r="F4601" s="11" t="n">
        <x:v>0.2272416153319644</x:v>
      </x:c>
      <x:c r="G4601" s="26" t="b">
        <x:v>1</x:v>
      </x:c>
      <x:c r="H4601" s="16" t="n">
        <x:v>0.23399999999999999</x:v>
      </x:c>
      <x:c r="I4601" s="16" t="n">
        <x:v>1.33</x:v>
      </x:c>
      <x:c r="J4601" s="16" t="n">
        <x:v>3.9000000000000004</x:v>
      </x:c>
      <x:c r="K4601" s="11" t="n">
        <x:f>CHOOSE('假设'!$B$3,H4601,I4601,J4601)</x:f>
        <x:v>1.33</x:v>
      </x:c>
      <x:c r="L4601" s="11" t="n">
        <x:f>K4601*'管线假设'!E991*'管线假设'!F991*'管线假设'!G991*IF(E4601="USD",'管线假设'!I991,1)-AM4601</x:f>
        <x:v>0.3325</x:v>
      </x:c>
      <x:c r="M4601" s="11" t="n">
        <x:f>'管线假设'!H991</x:f>
        <x:v>0.14</x:v>
      </x:c>
      <x:c r="N4601" s="11" t="n">
        <x:f>IF(G4601,L4601*AN4601/(1+M4601)^F4601,0)</x:f>
        <x:v>0.07359311875979391</x:v>
      </x:c>
      <x:c r="AJ4601" s="42" t="n">
        <x:v>0</x:v>
      </x:c>
      <x:c r="AK4601" s="42" t="n">
        <x:v>0</x:v>
      </x:c>
      <x:c r="AL4601" s="42" t="n">
        <x:v>0</x:v>
      </x:c>
      <x:c r="AM4601" t="n">
        <x:f>CHOOSE('假设'!$B$3,AJ4601,AK4601,AL4601)</x:f>
        <x:v>0</x:v>
      </x:c>
      <x:c r="AN4601" t="n">
        <x:v>0.22802197802197802</x:v>
      </x:c>
    </x:row>
    <x:row r="4602" ht="23" customHeight="1">
      <x:c r="A4602" s="11" t="str">
        <x:v>02162.HK</x:v>
      </x:c>
      <x:c r="B4602" s="11" t="str">
        <x:v>五年</x:v>
      </x:c>
      <x:c r="C4602" s="11" t="str">
        <x:v>CM512_CRSwNP</x:v>
      </x:c>
      <x:c r="D4602" s="11" t="str">
        <x:v>2032-12-31</x:v>
      </x:c>
      <x:c r="E4602" s="11" t="str">
        <x:v>CNY</x:v>
      </x:c>
      <x:c r="F4602" s="11" t="n">
        <x:v>1.2292950034223136</x:v>
      </x:c>
      <x:c r="G4602" s="26" t="b">
        <x:v>1</x:v>
      </x:c>
      <x:c r="H4602" s="16" t="n">
        <x:v>0.49400000000000005</x:v>
      </x:c>
      <x:c r="I4602" s="16" t="n">
        <x:v>2.275</x:v>
      </x:c>
      <x:c r="J4602" s="16" t="n">
        <x:v>5.1</x:v>
      </x:c>
      <x:c r="K4602" s="11" t="n">
        <x:f>CHOOSE('假设'!$B$3,H4602,I4602,J4602)</x:f>
        <x:v>2.275</x:v>
      </x:c>
      <x:c r="L4602" s="11" t="n">
        <x:f>K4602*'管线假设'!E991*'管线假设'!F991*'管线假设'!G991*IF(E4602="USD",'管线假设'!I991,1)-AM4602</x:f>
        <x:v>0.56875</x:v>
      </x:c>
      <x:c r="M4602" s="11" t="n">
        <x:f>'管线假设'!H991</x:f>
        <x:v>0.14</x:v>
      </x:c>
      <x:c r="N4602" s="11" t="n">
        <x:f>IF(G4602,L4602*AN4602/(1+M4602)^F4602,0)</x:f>
        <x:v>0.48413731830435275</x:v>
      </x:c>
      <x:c r="AJ4602" s="42" t="n">
        <x:v>0</x:v>
      </x:c>
      <x:c r="AK4602" s="42" t="n">
        <x:v>0</x:v>
      </x:c>
      <x:c r="AL4602" s="42" t="n">
        <x:v>0</x:v>
      </x:c>
      <x:c r="AM4602" t="n">
        <x:f>CHOOSE('假设'!$B$3,AJ4602,AK4602,AL4602)</x:f>
        <x:v>0</x:v>
      </x:c>
      <x:c r="AN4602" t="n">
        <x:v>1</x:v>
      </x:c>
    </x:row>
    <x:row r="4603" ht="23" customHeight="1">
      <x:c r="A4603" s="11" t="str">
        <x:v>02162.HK</x:v>
      </x:c>
      <x:c r="B4603" s="11" t="str">
        <x:v>五年</x:v>
      </x:c>
      <x:c r="C4603" s="11" t="str">
        <x:v>CM512_CRSwNP</x:v>
      </x:c>
      <x:c r="D4603" s="11" t="str">
        <x:v>2033-12-31</x:v>
      </x:c>
      <x:c r="E4603" s="11" t="str">
        <x:v>CNY</x:v>
      </x:c>
      <x:c r="F4603" s="11" t="n">
        <x:v>2.2286105407255303</x:v>
      </x:c>
      <x:c r="G4603" s="26" t="b">
        <x:v>1</x:v>
      </x:c>
      <x:c r="H4603" s="16" t="n">
        <x:v>0.8450000000000001</x:v>
      </x:c>
      <x:c r="I4603" s="16" t="n">
        <x:v>2.975</x:v>
      </x:c>
      <x:c r="J4603" s="16" t="n">
        <x:v>6</x:v>
      </x:c>
      <x:c r="K4603" s="11" t="n">
        <x:f>CHOOSE('假设'!$B$3,H4603,I4603,J4603)</x:f>
        <x:v>2.975</x:v>
      </x:c>
      <x:c r="L4603" s="11" t="n">
        <x:f>K4603*'管线假设'!E991*'管线假设'!F991*'管线假设'!G991*IF(E4603="USD",'管线假设'!I991,1)-AM4603</x:f>
        <x:v>0.74375</x:v>
      </x:c>
      <x:c r="M4603" s="11" t="n">
        <x:f>'管线假设'!H991</x:f>
        <x:v>0.14</x:v>
      </x:c>
      <x:c r="N4603" s="11" t="n">
        <x:f>IF(G4603,L4603*AN4603/(1+M4603)^F4603,0)</x:f>
        <x:v>0.5554030076409245</x:v>
      </x:c>
      <x:c r="AJ4603" s="42" t="n">
        <x:v>0</x:v>
      </x:c>
      <x:c r="AK4603" s="42" t="n">
        <x:v>0</x:v>
      </x:c>
      <x:c r="AL4603" s="42" t="n">
        <x:v>0</x:v>
      </x:c>
      <x:c r="AM4603" t="n">
        <x:f>CHOOSE('假设'!$B$3,AJ4603,AK4603,AL4603)</x:f>
        <x:v>0</x:v>
      </x:c>
      <x:c r="AN4603" t="n">
        <x:v>1</x:v>
      </x:c>
    </x:row>
    <x:row r="4604" ht="23" customHeight="1">
      <x:c r="A4604" s="11" t="str">
        <x:v>02162.HK</x:v>
      </x:c>
      <x:c r="B4604" s="11" t="str">
        <x:v>五年</x:v>
      </x:c>
      <x:c r="C4604" s="11" t="str">
        <x:v>CM512_CRSwNP</x:v>
      </x:c>
      <x:c r="D4604" s="11" t="str">
        <x:v>2034-12-31</x:v>
      </x:c>
      <x:c r="E4604" s="11" t="str">
        <x:v>CNY</x:v>
      </x:c>
      <x:c r="F4604" s="11" t="n">
        <x:v>3.2279260780287475</x:v>
      </x:c>
      <x:c r="G4604" s="26" t="b">
        <x:v>1</x:v>
      </x:c>
      <x:c r="H4604" s="16" t="n">
        <x:v>1.105</x:v>
      </x:c>
      <x:c r="I4604" s="16" t="n">
        <x:v>3.5</x:v>
      </x:c>
      <x:c r="J4604" s="16" t="n">
        <x:v>6</x:v>
      </x:c>
      <x:c r="K4604" s="11" t="n">
        <x:f>CHOOSE('假设'!$B$3,H4604,I4604,J4604)</x:f>
        <x:v>3.5</x:v>
      </x:c>
      <x:c r="L4604" s="11" t="n">
        <x:f>K4604*'管线假设'!E991*'管线假设'!F991*'管线假设'!G991*IF(E4604="USD",'管线假设'!I991,1)-AM4604</x:f>
        <x:v>0.875</x:v>
      </x:c>
      <x:c r="M4604" s="11" t="n">
        <x:f>'管线假设'!H991</x:f>
        <x:v>0.14</x:v>
      </x:c>
      <x:c r="N4604" s="11" t="n">
        <x:f>IF(G4604,L4604*AN4604/(1+M4604)^F4604,0)</x:f>
        <x:v>0.5732227250923898</x:v>
      </x:c>
      <x:c r="AJ4604" s="42" t="n">
        <x:v>0</x:v>
      </x:c>
      <x:c r="AK4604" s="42" t="n">
        <x:v>0</x:v>
      </x:c>
      <x:c r="AL4604" s="42" t="n">
        <x:v>0</x:v>
      </x:c>
      <x:c r="AM4604" t="n">
        <x:f>CHOOSE('假设'!$B$3,AJ4604,AK4604,AL4604)</x:f>
        <x:v>0</x:v>
      </x:c>
      <x:c r="AN4604" t="n">
        <x:v>1</x:v>
      </x:c>
    </x:row>
    <x:row r="4605" ht="23" customHeight="1">
      <x:c r="A4605" s="11" t="str">
        <x:v>02162.HK</x:v>
      </x:c>
      <x:c r="B4605" s="11" t="str">
        <x:v>五年</x:v>
      </x:c>
      <x:c r="C4605" s="11" t="str">
        <x:v>CM512_CRSwNP</x:v>
      </x:c>
      <x:c r="D4605" s="11" t="str">
        <x:v>2035-12-31</x:v>
      </x:c>
      <x:c r="E4605" s="11" t="str">
        <x:v>CNY</x:v>
      </x:c>
      <x:c r="F4605" s="11" t="n">
        <x:v>4.227241615331964</x:v>
      </x:c>
      <x:c r="G4605" s="26" t="b">
        <x:v>1</x:v>
      </x:c>
      <x:c r="H4605" s="16" t="n">
        <x:v>1.3</x:v>
      </x:c>
      <x:c r="I4605" s="16" t="n">
        <x:v>3.5</x:v>
      </x:c>
      <x:c r="J4605" s="16" t="n">
        <x:v>5.699999999999999</x:v>
      </x:c>
      <x:c r="K4605" s="11" t="n">
        <x:f>CHOOSE('假设'!$B$3,H4605,I4605,J4605)</x:f>
        <x:v>3.5</x:v>
      </x:c>
      <x:c r="L4605" s="11" t="n">
        <x:f>K4605*'管线假设'!E991*'管线假设'!F991*'管线假设'!G991*IF(E4605="USD",'管线假设'!I991,1)-AM4605</x:f>
        <x:v>0.875</x:v>
      </x:c>
      <x:c r="M4605" s="11" t="n">
        <x:f>'管线假设'!H991</x:f>
        <x:v>0.14</x:v>
      </x:c>
      <x:c r="N4605" s="11" t="n">
        <x:f>IF(G4605,L4605*AN4605/(1+M4605)^F4605,0)</x:f>
        <x:v>0.5028720493688119</x:v>
      </x:c>
      <x:c r="AJ4605" s="42" t="n">
        <x:v>0</x:v>
      </x:c>
      <x:c r="AK4605" s="42" t="n">
        <x:v>0</x:v>
      </x:c>
      <x:c r="AL4605" s="42" t="n">
        <x:v>0</x:v>
      </x:c>
      <x:c r="AM4605" t="n">
        <x:f>CHOOSE('假设'!$B$3,AJ4605,AK4605,AL4605)</x:f>
        <x:v>0</x:v>
      </x:c>
      <x:c r="AN4605" t="n">
        <x:v>1</x:v>
      </x:c>
    </x:row>
    <x:row r="4606" ht="23" customHeight="1">
      <x:c r="A4606" s="11" t="str">
        <x:v>02162.HK</x:v>
      </x:c>
      <x:c r="B4606" s="11" t="str">
        <x:v>五年</x:v>
      </x:c>
      <x:c r="C4606" s="11" t="str">
        <x:v>CM512_CRSwNP</x:v>
      </x:c>
      <x:c r="D4606" s="11" t="str">
        <x:v>2036-12-31</x:v>
      </x:c>
      <x:c r="E4606" s="11" t="str">
        <x:v>CNY</x:v>
      </x:c>
      <x:c r="F4606" s="11" t="n">
        <x:v>5.229295003422314</x:v>
      </x:c>
      <x:c r="G4606" s="26" t="b">
        <x:v>1</x:v>
      </x:c>
      <x:c r="H4606" s="16" t="n">
        <x:v>1.3</x:v>
      </x:c>
      <x:c r="I4606" s="16" t="n">
        <x:v>3.3249999999999997</x:v>
      </x:c>
      <x:c r="J4606" s="16" t="n">
        <x:v>5.4</x:v>
      </x:c>
      <x:c r="K4606" s="11" t="n">
        <x:f>CHOOSE('假设'!$B$3,H4606,I4606,J4606)</x:f>
        <x:v>3.3249999999999997</x:v>
      </x:c>
      <x:c r="L4606" s="11" t="n">
        <x:f>K4606*'管线假设'!E991*'管线假设'!F991*'管线假设'!G991*IF(E4606="USD",'管线假设'!I991,1)-AM4606</x:f>
        <x:v>0.8312499999999999</x:v>
      </x:c>
      <x:c r="M4606" s="11" t="n">
        <x:f>'管线假设'!H991</x:f>
        <x:v>0.14</x:v>
      </x:c>
      <x:c r="N4606" s="11" t="n">
        <x:f>IF(G4606,L4606*AN4606/(1+M4606)^F4606,0)</x:f>
        <x:v>0.41894730741777814</x:v>
      </x:c>
      <x:c r="AJ4606" s="42" t="n">
        <x:v>0</x:v>
      </x:c>
      <x:c r="AK4606" s="42" t="n">
        <x:v>0</x:v>
      </x:c>
      <x:c r="AL4606" s="42" t="n">
        <x:v>0</x:v>
      </x:c>
      <x:c r="AM4606" t="n">
        <x:f>CHOOSE('假设'!$B$3,AJ4606,AK4606,AL4606)</x:f>
        <x:v>0</x:v>
      </x:c>
      <x:c r="AN4606" t="n">
        <x:v>1</x:v>
      </x:c>
    </x:row>
    <x:row r="4607" ht="23" customHeight="1">
      <x:c r="A4607" s="11" t="str">
        <x:v>02162.HK</x:v>
      </x:c>
      <x:c r="B4607" s="11" t="str">
        <x:v>五年</x:v>
      </x:c>
      <x:c r="C4607" s="11" t="str">
        <x:v>CM512_CRSwNP</x:v>
      </x:c>
      <x:c r="D4607" s="11" t="str">
        <x:v>2037-12-31</x:v>
      </x:c>
      <x:c r="E4607" s="11" t="str">
        <x:v>CNY</x:v>
      </x:c>
      <x:c r="F4607" s="11" t="n">
        <x:v>6.228610540725531</x:v>
      </x:c>
      <x:c r="G4607" s="26" t="b">
        <x:v>1</x:v>
      </x:c>
      <x:c r="H4607" s="16" t="n">
        <x:v>1.2349999999999999</x:v>
      </x:c>
      <x:c r="I4607" s="16" t="n">
        <x:v>3.15</x:v>
      </x:c>
      <x:c r="J4607" s="16" t="n">
        <x:v>4.800000000000001</x:v>
      </x:c>
      <x:c r="K4607" s="11" t="n">
        <x:f>CHOOSE('假设'!$B$3,H4607,I4607,J4607)</x:f>
        <x:v>3.15</x:v>
      </x:c>
      <x:c r="L4607" s="11" t="n">
        <x:f>K4607*'管线假设'!E991*'管线假设'!F991*'管线假设'!G991*IF(E4607="USD",'管线假设'!I991,1)-AM4607</x:f>
        <x:v>0.7875</x:v>
      </x:c>
      <x:c r="M4607" s="11" t="n">
        <x:f>'管线假设'!H991</x:f>
        <x:v>0.14</x:v>
      </x:c>
      <x:c r="N4607" s="11" t="n">
        <x:f>IF(G4607,L4607*AN4607/(1+M4607)^F4607,0)</x:f>
        <x:v>0.3481868825113511</x:v>
      </x:c>
      <x:c r="AJ4607" s="42" t="n">
        <x:v>0</x:v>
      </x:c>
      <x:c r="AK4607" s="42" t="n">
        <x:v>0</x:v>
      </x:c>
      <x:c r="AL4607" s="42" t="n">
        <x:v>0</x:v>
      </x:c>
      <x:c r="AM4607" t="n">
        <x:f>CHOOSE('假设'!$B$3,AJ4607,AK4607,AL4607)</x:f>
        <x:v>0</x:v>
      </x:c>
      <x:c r="AN4607" t="n">
        <x:v>1</x:v>
      </x:c>
    </x:row>
    <x:row r="4608" ht="23" customHeight="1">
      <x:c r="A4608" s="11" t="str">
        <x:v>02162.HK</x:v>
      </x:c>
      <x:c r="B4608" s="11" t="str">
        <x:v>五年</x:v>
      </x:c>
      <x:c r="C4608" s="11" t="str">
        <x:v>CM512_CRSwNP</x:v>
      </x:c>
      <x:c r="D4608" s="11" t="str">
        <x:v>2038-12-31</x:v>
      </x:c>
      <x:c r="E4608" s="11" t="str">
        <x:v>CNY</x:v>
      </x:c>
      <x:c r="F4608" s="11" t="n">
        <x:v>7.227926078028747</x:v>
      </x:c>
      <x:c r="G4608" s="26" t="b">
        <x:v>1</x:v>
      </x:c>
      <x:c r="H4608" s="16" t="n">
        <x:v>1.1700000000000002</x:v>
      </x:c>
      <x:c r="I4608" s="16" t="n">
        <x:v>2.8000000000000003</x:v>
      </x:c>
      <x:c r="J4608" s="16" t="n">
        <x:v>3.9000000000000004</x:v>
      </x:c>
      <x:c r="K4608" s="11" t="n">
        <x:f>CHOOSE('假设'!$B$3,H4608,I4608,J4608)</x:f>
        <x:v>2.8000000000000003</x:v>
      </x:c>
      <x:c r="L4608" s="11" t="n">
        <x:f>K4608*'管线假设'!E991*'管线假设'!F991*'管线假设'!G991*IF(E4608="USD",'管线假设'!I991,1)-AM4608</x:f>
        <x:v>0.7000000000000001</x:v>
      </x:c>
      <x:c r="M4608" s="11" t="n">
        <x:f>'管线假设'!H991</x:f>
        <x:v>0.14</x:v>
      </x:c>
      <x:c r="N4608" s="11" t="n">
        <x:f>IF(G4608,L4608*AN4608/(1+M4608)^F4608,0)</x:f>
        <x:v>0.2715150960540784</x:v>
      </x:c>
      <x:c r="AJ4608" s="42" t="n">
        <x:v>0</x:v>
      </x:c>
      <x:c r="AK4608" s="42" t="n">
        <x:v>0</x:v>
      </x:c>
      <x:c r="AL4608" s="42" t="n">
        <x:v>0</x:v>
      </x:c>
      <x:c r="AM4608" t="n">
        <x:f>CHOOSE('假设'!$B$3,AJ4608,AK4608,AL4608)</x:f>
        <x:v>0</x:v>
      </x:c>
      <x:c r="AN4608" t="n">
        <x:v>1</x:v>
      </x:c>
    </x:row>
    <x:row r="4609" ht="23" customHeight="1">
      <x:c r="A4609" s="11" t="str">
        <x:v>02162.HK</x:v>
      </x:c>
      <x:c r="B4609" s="11" t="str">
        <x:v>五年</x:v>
      </x:c>
      <x:c r="C4609" s="11" t="str">
        <x:v>CM512_CRSwNP</x:v>
      </x:c>
      <x:c r="D4609" s="11" t="str">
        <x:v>2039-12-31</x:v>
      </x:c>
      <x:c r="E4609" s="11" t="str">
        <x:v>CNY</x:v>
      </x:c>
      <x:c r="F4609" s="11" t="n">
        <x:v>8.227241615331964</x:v>
      </x:c>
      <x:c r="G4609" s="26" t="b">
        <x:v>1</x:v>
      </x:c>
      <x:c r="H4609" s="16" t="n">
        <x:v>1.04</x:v>
      </x:c>
      <x:c r="I4609" s="16" t="n">
        <x:v>2.275</x:v>
      </x:c>
      <x:c r="J4609" s="16" t="n">
        <x:v>3</x:v>
      </x:c>
      <x:c r="K4609" s="11" t="n">
        <x:f>CHOOSE('假设'!$B$3,H4609,I4609,J4609)</x:f>
        <x:v>2.275</x:v>
      </x:c>
      <x:c r="L4609" s="11" t="n">
        <x:f>K4609*'管线假设'!E991*'管线假设'!F991*'管线假设'!G991*IF(E4609="USD",'管线假设'!I991,1)-AM4609</x:f>
        <x:v>0.56875</x:v>
      </x:c>
      <x:c r="M4609" s="11" t="n">
        <x:f>'管线假设'!H991</x:f>
        <x:v>0.14</x:v>
      </x:c>
      <x:c r="N4609" s="11" t="n">
        <x:f>IF(G4609,L4609*AN4609/(1+M4609)^F4609,0)</x:f>
        <x:v>0.19353140460680116</x:v>
      </x:c>
      <x:c r="AJ4609" s="42" t="n">
        <x:v>0</x:v>
      </x:c>
      <x:c r="AK4609" s="42" t="n">
        <x:v>0</x:v>
      </x:c>
      <x:c r="AL4609" s="42" t="n">
        <x:v>0</x:v>
      </x:c>
      <x:c r="AM4609" t="n">
        <x:f>CHOOSE('假设'!$B$3,AJ4609,AK4609,AL4609)</x:f>
        <x:v>0</x:v>
      </x:c>
      <x:c r="AN4609" t="n">
        <x:v>1</x:v>
      </x:c>
    </x:row>
    <x:row r="4610" ht="23" customHeight="1">
      <x:c r="A4610" s="11" t="str">
        <x:v>02162.HK</x:v>
      </x:c>
      <x:c r="B4610" s="11" t="str">
        <x:v>五年</x:v>
      </x:c>
      <x:c r="C4610" s="11" t="str">
        <x:v>CM512_CRSwNP</x:v>
      </x:c>
      <x:c r="D4610" s="11" t="str">
        <x:v>2040-12-31</x:v>
      </x:c>
      <x:c r="E4610" s="11" t="str">
        <x:v>CNY</x:v>
      </x:c>
      <x:c r="F4610" s="11" t="n">
        <x:v>9.229295003422314</x:v>
      </x:c>
      <x:c r="G4610" s="26" t="b">
        <x:v>1</x:v>
      </x:c>
      <x:c r="H4610" s="16" t="n">
        <x:v>0.8450000000000001</x:v>
      </x:c>
      <x:c r="I4610" s="16" t="n">
        <x:v>1.75</x:v>
      </x:c>
      <x:c r="J4610" s="16" t="n">
        <x:v>2.0999999999999996</x:v>
      </x:c>
      <x:c r="K4610" s="11" t="n">
        <x:f>CHOOSE('假设'!$B$3,H4610,I4610,J4610)</x:f>
        <x:v>1.75</x:v>
      </x:c>
      <x:c r="L4610" s="11" t="n">
        <x:f>K4610*'管线假设'!E991*'管线假设'!F991*'管线假设'!G991*IF(E4610="USD",'管线假设'!I991,1)-AM4610</x:f>
        <x:v>0.4375</x:v>
      </x:c>
      <x:c r="M4610" s="11" t="n">
        <x:f>'管线假设'!H991</x:f>
        <x:v>0.14</x:v>
      </x:c>
      <x:c r="N4610" s="11" t="n">
        <x:f>IF(G4610,L4610*AN4610/(1+M4610)^F4610,0)</x:f>
        <x:v>0.13055286209442743</x:v>
      </x:c>
      <x:c r="AJ4610" s="42" t="n">
        <x:v>0</x:v>
      </x:c>
      <x:c r="AK4610" s="42" t="n">
        <x:v>0</x:v>
      </x:c>
      <x:c r="AL4610" s="42" t="n">
        <x:v>0</x:v>
      </x:c>
      <x:c r="AM4610" t="n">
        <x:f>CHOOSE('假设'!$B$3,AJ4610,AK4610,AL4610)</x:f>
        <x:v>0</x:v>
      </x:c>
      <x:c r="AN4610" t="n">
        <x:v>1</x:v>
      </x:c>
    </x:row>
    <x:row r="4611" ht="23" customHeight="1">
      <x:c r="A4611" s="11" t="str">
        <x:v>02162.HK</x:v>
      </x:c>
      <x:c r="B4611" s="11" t="str">
        <x:v>五年</x:v>
      </x:c>
      <x:c r="C4611" s="11" t="str">
        <x:v>CM512_CRSwNP</x:v>
      </x:c>
      <x:c r="D4611" s="11" t="str">
        <x:v>2041-12-31</x:v>
      </x:c>
      <x:c r="E4611" s="11" t="str">
        <x:v>CNY</x:v>
      </x:c>
      <x:c r="F4611" s="11" t="n">
        <x:v>10.22861054072553</x:v>
      </x:c>
      <x:c r="G4611" s="26" t="b">
        <x:v>1</x:v>
      </x:c>
      <x:c r="H4611" s="16" t="n">
        <x:v>0.65</x:v>
      </x:c>
      <x:c r="I4611" s="16" t="n">
        <x:v>1.2249999999999999</x:v>
      </x:c>
      <x:c r="J4611" s="16" t="n">
        <x:v>1.2000000000000002</x:v>
      </x:c>
      <x:c r="K4611" s="11" t="n">
        <x:f>CHOOSE('假设'!$B$3,H4611,I4611,J4611)</x:f>
        <x:v>1.2249999999999999</x:v>
      </x:c>
      <x:c r="L4611" s="11" t="n">
        <x:f>K4611*'管线假设'!E991*'管线假设'!F991*'管线假设'!G991*IF(E4611="USD",'管线假设'!I991,1)-AM4611</x:f>
        <x:v>0.30624999999999997</x:v>
      </x:c>
      <x:c r="M4611" s="11" t="n">
        <x:f>'管线假设'!H991</x:f>
        <x:v>0.14</x:v>
      </x:c>
      <x:c r="N4611" s="11" t="n">
        <x:f>IF(G4611,L4611*AN4611/(1+M4611)^F4611,0)</x:f>
        <x:v>0.0801712278787709</x:v>
      </x:c>
      <x:c r="AJ4611" s="42" t="n">
        <x:v>0</x:v>
      </x:c>
      <x:c r="AK4611" s="42" t="n">
        <x:v>0</x:v>
      </x:c>
      <x:c r="AL4611" s="42" t="n">
        <x:v>0</x:v>
      </x:c>
      <x:c r="AM4611" t="n">
        <x:f>CHOOSE('假设'!$B$3,AJ4611,AK4611,AL4611)</x:f>
        <x:v>0</x:v>
      </x:c>
      <x:c r="AN4611" t="n">
        <x:v>1</x:v>
      </x:c>
    </x:row>
    <x:row r="4612" ht="23" customHeight="1">
      <x:c r="A4612" s="11" t="str">
        <x:v>02162.HK</x:v>
      </x:c>
      <x:c r="B4612" s="11" t="str">
        <x:v>五年</x:v>
      </x:c>
      <x:c r="C4612" s="11" t="str">
        <x:v>CM512_CRSwNP</x:v>
      </x:c>
      <x:c r="D4612" s="11" t="str">
        <x:v>2042-12-31</x:v>
      </x:c>
      <x:c r="E4612" s="11" t="str">
        <x:v>CNY</x:v>
      </x:c>
      <x:c r="F4612" s="11" t="n">
        <x:v>11.227926078028748</x:v>
      </x:c>
      <x:c r="G4612" s="26" t="b">
        <x:v>1</x:v>
      </x:c>
      <x:c r="H4612" s="16" t="n">
        <x:v>0.45499999999999996</x:v>
      </x:c>
      <x:c r="I4612" s="16" t="n">
        <x:v>0.7000000000000001</x:v>
      </x:c>
      <x:c r="J4612" s="16" t="n">
        <x:v>0.72</x:v>
      </x:c>
      <x:c r="K4612" s="11" t="n">
        <x:f>CHOOSE('假设'!$B$3,H4612,I4612,J4612)</x:f>
        <x:v>0.7000000000000001</x:v>
      </x:c>
      <x:c r="L4612" s="11" t="n">
        <x:f>K4612*'管线假设'!E991*'管线假设'!F991*'管线假设'!G991*IF(E4612="USD",'管线假设'!I991,1)-AM4612</x:f>
        <x:v>0.17500000000000002</x:v>
      </x:c>
      <x:c r="M4612" s="11" t="n">
        <x:f>'管线假设'!H991</x:f>
        <x:v>0.14</x:v>
      </x:c>
      <x:c r="N4612" s="11" t="n">
        <x:f>IF(G4612,L4612*AN4612/(1+M4612)^F4612,0)</x:f>
        <x:v>0.04018968334547309</x:v>
      </x:c>
      <x:c r="AJ4612" s="42" t="n">
        <x:v>0</x:v>
      </x:c>
      <x:c r="AK4612" s="42" t="n">
        <x:v>0</x:v>
      </x:c>
      <x:c r="AL4612" s="42" t="n">
        <x:v>0</x:v>
      </x:c>
      <x:c r="AM4612" t="n">
        <x:f>CHOOSE('假设'!$B$3,AJ4612,AK4612,AL4612)</x:f>
        <x:v>0</x:v>
      </x:c>
      <x:c r="AN4612" t="n">
        <x:v>1</x:v>
      </x:c>
    </x:row>
    <x:row r="4613" ht="23" customHeight="1">
      <x:c r="A4613" s="11" t="str">
        <x:v>02162.HK</x:v>
      </x:c>
      <x:c r="B4613" s="11" t="str">
        <x:v>五年</x:v>
      </x:c>
      <x:c r="C4613" s="11" t="str">
        <x:v>CM512_CRSwNP</x:v>
      </x:c>
      <x:c r="D4613" s="11" t="str">
        <x:v>2043-12-31</x:v>
      </x:c>
      <x:c r="E4613" s="11" t="str">
        <x:v>CNY</x:v>
      </x:c>
      <x:c r="F4613" s="11" t="n">
        <x:v>12.227241615331964</x:v>
      </x:c>
      <x:c r="G4613" s="26" t="b">
        <x:v>1</x:v>
      </x:c>
      <x:c r="H4613" s="16" t="n">
        <x:v>0.26</x:v>
      </x:c>
      <x:c r="I4613" s="16" t="n">
        <x:v>0.42</x:v>
      </x:c>
      <x:c r="J4613" s="16" t="n">
        <x:v>0.42000000000000004</x:v>
      </x:c>
      <x:c r="K4613" s="11" t="n">
        <x:f>CHOOSE('假设'!$B$3,H4613,I4613,J4613)</x:f>
        <x:v>0.42</x:v>
      </x:c>
      <x:c r="L4613" s="11" t="n">
        <x:f>K4613*'管线假设'!E991*'管线假设'!F991*'管线假设'!G991*IF(E4613="USD",'管线假设'!I991,1)-AM4613</x:f>
        <x:v>0.105</x:v>
      </x:c>
      <x:c r="M4613" s="11" t="n">
        <x:f>'管线假设'!H991</x:f>
        <x:v>0.14</x:v>
      </x:c>
      <x:c r="N4613" s="11" t="n">
        <x:f>IF(G4613,L4613*AN4613/(1+M4613)^F4613,0)</x:f>
        <x:v>0.021154362040511483</x:v>
      </x:c>
      <x:c r="AJ4613" s="42" t="n">
        <x:v>0</x:v>
      </x:c>
      <x:c r="AK4613" s="42" t="n">
        <x:v>0</x:v>
      </x:c>
      <x:c r="AL4613" s="42" t="n">
        <x:v>0</x:v>
      </x:c>
      <x:c r="AM4613" t="n">
        <x:f>CHOOSE('假设'!$B$3,AJ4613,AK4613,AL4613)</x:f>
        <x:v>0</x:v>
      </x:c>
      <x:c r="AN4613" t="n">
        <x:v>1</x:v>
      </x:c>
    </x:row>
    <x:row r="4614" ht="23" customHeight="1">
      <x:c r="A4614" s="11" t="str">
        <x:v>02162.HK</x:v>
      </x:c>
      <x:c r="B4614" s="11" t="str">
        <x:v>五年</x:v>
      </x:c>
      <x:c r="C4614" s="11" t="str">
        <x:v>CM512_CRSwNP</x:v>
      </x:c>
      <x:c r="D4614" s="11" t="str">
        <x:v>2044-12-31</x:v>
      </x:c>
      <x:c r="E4614" s="11" t="str">
        <x:v>CNY</x:v>
      </x:c>
      <x:c r="F4614" s="11" t="n">
        <x:v>13.229295003422314</x:v>
      </x:c>
      <x:c r="G4614" s="26" t="b">
        <x:v>1</x:v>
      </x:c>
      <x:c r="H4614" s="16" t="n">
        <x:v>0.156</x:v>
      </x:c>
      <x:c r="I4614" s="16" t="n">
        <x:v>0.24500000000000002</x:v>
      </x:c>
      <x:c r="J4614" s="16" t="n">
        <x:v>0.18</x:v>
      </x:c>
      <x:c r="K4614" s="11" t="n">
        <x:f>CHOOSE('假设'!$B$3,H4614,I4614,J4614)</x:f>
        <x:v>0.24500000000000002</x:v>
      </x:c>
      <x:c r="L4614" s="11" t="n">
        <x:f>K4614*'管线假设'!E991*'管线假设'!F991*'管线假设'!G991*IF(E4614="USD",'管线假设'!I991,1)-AM4614</x:f>
        <x:v>0.061250000000000006</x:v>
      </x:c>
      <x:c r="M4614" s="11" t="n">
        <x:f>'管线假设'!H991</x:f>
        <x:v>0.14</x:v>
      </x:c>
      <x:c r="N4614" s="11" t="n">
        <x:f>IF(G4614,L4614*AN4614/(1+M4614)^F4614,0)</x:f>
        <x:v>0.010821688472047699</x:v>
      </x:c>
      <x:c r="AJ4614" s="42" t="n">
        <x:v>0</x:v>
      </x:c>
      <x:c r="AK4614" s="42" t="n">
        <x:v>0</x:v>
      </x:c>
      <x:c r="AL4614" s="42" t="n">
        <x:v>0</x:v>
      </x:c>
      <x:c r="AM4614" t="n">
        <x:f>CHOOSE('假设'!$B$3,AJ4614,AK4614,AL4614)</x:f>
        <x:v>0</x:v>
      </x:c>
      <x:c r="AN4614" t="n">
        <x:v>1</x:v>
      </x:c>
    </x:row>
    <x:row r="4615" ht="23" customHeight="1">
      <x:c r="A4615" s="11" t="str">
        <x:v>02162.HK</x:v>
      </x:c>
      <x:c r="B4615" s="11" t="str">
        <x:v>五年</x:v>
      </x:c>
      <x:c r="C4615" s="11" t="str">
        <x:v>CM512_other</x:v>
      </x:c>
      <x:c r="D4615" s="11" t="str">
        <x:v>2026-12-31</x:v>
      </x:c>
      <x:c r="E4615" s="11" t="str">
        <x:v>CNY</x:v>
      </x:c>
      <x:c r="F4615" s="11" t="n">
        <x:v>-4.772073921971253</x:v>
      </x:c>
      <x:c r="G4615" s="26" t="b">
        <x:v>0</x:v>
      </x:c>
      <x:c r="H4615" s="16" t="n">
        <x:v>0</x:v>
      </x:c>
      <x:c r="I4615" s="16" t="n">
        <x:v>0</x:v>
      </x:c>
      <x:c r="J4615" s="16" t="n">
        <x:v>0</x:v>
      </x:c>
      <x:c r="K4615" s="11" t="n">
        <x:f>CHOOSE('假设'!$B$3,H4615,I4615,J4615)</x:f>
        <x:v>0</x:v>
      </x:c>
      <x:c r="L4615" s="11" t="n">
        <x:f>K4615*'管线假设'!E995*'管线假设'!F995*'管线假设'!G995*IF(E4615="USD",'管线假设'!I995,1)-AM4615</x:f>
        <x:v>-0.1</x:v>
      </x:c>
      <x:c r="M4615" s="11" t="n">
        <x:f>'管线假设'!H995</x:f>
        <x:v>0.14</x:v>
      </x:c>
      <x:c r="N4615" s="11" t="n">
        <x:f>IF(G4615,L4615*AN4615/(1+M4615)^F4615,0)</x:f>
        <x:v>0</x:v>
      </x:c>
      <x:c r="AJ4615" s="42" t="n">
        <x:v>0.05</x:v>
      </x:c>
      <x:c r="AK4615" s="42" t="n">
        <x:v>0.1</x:v>
      </x:c>
      <x:c r="AL4615" s="42" t="n">
        <x:v>0.15</x:v>
      </x:c>
      <x:c r="AM4615" t="n">
        <x:f>CHOOSE('假设'!$B$3,AJ4615,AK4615,AL4615)</x:f>
        <x:v>0.1</x:v>
      </x:c>
      <x:c r="AN4615" t="n">
        <x:v>0</x:v>
      </x:c>
    </x:row>
    <x:row r="4616" ht="23" customHeight="1">
      <x:c r="A4616" s="11" t="str">
        <x:v>02162.HK</x:v>
      </x:c>
      <x:c r="B4616" s="11" t="str">
        <x:v>五年</x:v>
      </x:c>
      <x:c r="C4616" s="11" t="str">
        <x:v>CM512_other</x:v>
      </x:c>
      <x:c r="D4616" s="11" t="str">
        <x:v>2027-12-31</x:v>
      </x:c>
      <x:c r="E4616" s="11" t="str">
        <x:v>CNY</x:v>
      </x:c>
      <x:c r="F4616" s="11" t="n">
        <x:v>-3.7727583846680357</x:v>
      </x:c>
      <x:c r="G4616" s="26" t="b">
        <x:v>0</x:v>
      </x:c>
      <x:c r="H4616" s="16" t="n">
        <x:v>0</x:v>
      </x:c>
      <x:c r="I4616" s="16" t="n">
        <x:v>0</x:v>
      </x:c>
      <x:c r="J4616" s="16" t="n">
        <x:v>0</x:v>
      </x:c>
      <x:c r="K4616" s="11" t="n">
        <x:f>CHOOSE('假设'!$B$3,H4616,I4616,J4616)</x:f>
        <x:v>0</x:v>
      </x:c>
      <x:c r="L4616" s="11" t="n">
        <x:f>K4616*'管线假设'!E995*'管线假设'!F995*'管线假设'!G995*IF(E4616="USD",'管线假设'!I995,1)-AM4616</x:f>
        <x:v>-0.18</x:v>
      </x:c>
      <x:c r="M4616" s="11" t="n">
        <x:f>'管线假设'!H995</x:f>
        <x:v>0.14</x:v>
      </x:c>
      <x:c r="N4616" s="11" t="n">
        <x:f>IF(G4616,L4616*AN4616/(1+M4616)^F4616,0)</x:f>
        <x:v>0</x:v>
      </x:c>
      <x:c r="AJ4616" s="42" t="n">
        <x:v>0.06</x:v>
      </x:c>
      <x:c r="AK4616" s="42" t="n">
        <x:v>0.18</x:v>
      </x:c>
      <x:c r="AL4616" s="42" t="n">
        <x:v>0.24</x:v>
      </x:c>
      <x:c r="AM4616" t="n">
        <x:f>CHOOSE('假设'!$B$3,AJ4616,AK4616,AL4616)</x:f>
        <x:v>0.18</x:v>
      </x:c>
      <x:c r="AN4616" t="n">
        <x:v>0</x:v>
      </x:c>
    </x:row>
    <x:row r="4617" ht="23" customHeight="1">
      <x:c r="A4617" s="11" t="str">
        <x:v>02162.HK</x:v>
      </x:c>
      <x:c r="B4617" s="11" t="str">
        <x:v>五年</x:v>
      </x:c>
      <x:c r="C4617" s="11" t="str">
        <x:v>CM512_other</x:v>
      </x:c>
      <x:c r="D4617" s="11" t="str">
        <x:v>2028-12-31</x:v>
      </x:c>
      <x:c r="E4617" s="11" t="str">
        <x:v>CNY</x:v>
      </x:c>
      <x:c r="F4617" s="11" t="n">
        <x:v>-2.7707049965776864</x:v>
      </x:c>
      <x:c r="G4617" s="26" t="b">
        <x:v>0</x:v>
      </x:c>
      <x:c r="H4617" s="16" t="n">
        <x:v>0</x:v>
      </x:c>
      <x:c r="I4617" s="16" t="n">
        <x:v>0</x:v>
      </x:c>
      <x:c r="J4617" s="16" t="n">
        <x:v>0</x:v>
      </x:c>
      <x:c r="K4617" s="11" t="n">
        <x:f>CHOOSE('假设'!$B$3,H4617,I4617,J4617)</x:f>
        <x:v>0</x:v>
      </x:c>
      <x:c r="L4617" s="11" t="n">
        <x:f>K4617*'管线假设'!E995*'管线假设'!F995*'管线假设'!G995*IF(E4617="USD",'管线假设'!I995,1)-AM4617</x:f>
        <x:v>-0.24</x:v>
      </x:c>
      <x:c r="M4617" s="11" t="n">
        <x:f>'管线假设'!H995</x:f>
        <x:v>0.14</x:v>
      </x:c>
      <x:c r="N4617" s="11" t="n">
        <x:f>IF(G4617,L4617*AN4617/(1+M4617)^F4617,0)</x:f>
        <x:v>0</x:v>
      </x:c>
      <x:c r="AJ4617" s="42" t="n">
        <x:v>0.05</x:v>
      </x:c>
      <x:c r="AK4617" s="42" t="n">
        <x:v>0.24</x:v>
      </x:c>
      <x:c r="AL4617" s="42" t="n">
        <x:v>0.35</x:v>
      </x:c>
      <x:c r="AM4617" t="n">
        <x:f>CHOOSE('假设'!$B$3,AJ4617,AK4617,AL4617)</x:f>
        <x:v>0.24</x:v>
      </x:c>
      <x:c r="AN4617" t="n">
        <x:v>0</x:v>
      </x:c>
    </x:row>
    <x:row r="4618" ht="23" customHeight="1">
      <x:c r="A4618" s="11" t="str">
        <x:v>02162.HK</x:v>
      </x:c>
      <x:c r="B4618" s="11" t="str">
        <x:v>五年</x:v>
      </x:c>
      <x:c r="C4618" s="11" t="str">
        <x:v>CM512_other</x:v>
      </x:c>
      <x:c r="D4618" s="11" t="str">
        <x:v>2029-12-31</x:v>
      </x:c>
      <x:c r="E4618" s="11" t="str">
        <x:v>CNY</x:v>
      </x:c>
      <x:c r="F4618" s="11" t="n">
        <x:v>-1.7713894592744694</x:v>
      </x:c>
      <x:c r="G4618" s="26" t="b">
        <x:v>0</x:v>
      </x:c>
      <x:c r="H4618" s="16" t="n">
        <x:v>0</x:v>
      </x:c>
      <x:c r="I4618" s="16" t="n">
        <x:v>0</x:v>
      </x:c>
      <x:c r="J4618" s="16" t="n">
        <x:v>0.48</x:v>
      </x:c>
      <x:c r="K4618" s="11" t="n">
        <x:f>CHOOSE('假设'!$B$3,H4618,I4618,J4618)</x:f>
        <x:v>0</x:v>
      </x:c>
      <x:c r="L4618" s="11" t="n">
        <x:f>K4618*'管线假设'!E995*'管线假设'!F995*'管线假设'!G995*IF(E4618="USD",'管线假设'!I995,1)-AM4618</x:f>
        <x:v>-0.22</x:v>
      </x:c>
      <x:c r="M4618" s="11" t="n">
        <x:f>'管线假设'!H995</x:f>
        <x:v>0.14</x:v>
      </x:c>
      <x:c r="N4618" s="11" t="n">
        <x:f>IF(G4618,L4618*AN4618/(1+M4618)^F4618,0)</x:f>
        <x:v>0</x:v>
      </x:c>
      <x:c r="AJ4618" s="42" t="n">
        <x:v>0</x:v>
      </x:c>
      <x:c r="AK4618" s="42" t="n">
        <x:v>0.22</x:v>
      </x:c>
      <x:c r="AL4618" s="42" t="n">
        <x:v>0.3</x:v>
      </x:c>
      <x:c r="AM4618" t="n">
        <x:f>CHOOSE('假设'!$B$3,AJ4618,AK4618,AL4618)</x:f>
        <x:v>0.22</x:v>
      </x:c>
      <x:c r="AN4618" t="n">
        <x:v>0</x:v>
      </x:c>
    </x:row>
    <x:row r="4619" ht="23" customHeight="1">
      <x:c r="A4619" s="11" t="str">
        <x:v>02162.HK</x:v>
      </x:c>
      <x:c r="B4619" s="11" t="str">
        <x:v>五年</x:v>
      </x:c>
      <x:c r="C4619" s="11" t="str">
        <x:v>CM512_other</x:v>
      </x:c>
      <x:c r="D4619" s="11" t="str">
        <x:v>2030-12-31</x:v>
      </x:c>
      <x:c r="E4619" s="11" t="str">
        <x:v>CNY</x:v>
      </x:c>
      <x:c r="F4619" s="11" t="n">
        <x:v>-0.7720739219712526</x:v>
      </x:c>
      <x:c r="G4619" s="26" t="b">
        <x:v>0</x:v>
      </x:c>
      <x:c r="H4619" s="16" t="n">
        <x:v>0</x:v>
      </x:c>
      <x:c r="I4619" s="16" t="n">
        <x:v>0.24</x:v>
      </x:c>
      <x:c r="J4619" s="16" t="n">
        <x:v>1.44</x:v>
      </x:c>
      <x:c r="K4619" s="11" t="n">
        <x:f>CHOOSE('假设'!$B$3,H4619,I4619,J4619)</x:f>
        <x:v>0.24</x:v>
      </x:c>
      <x:c r="L4619" s="11" t="n">
        <x:f>K4619*'管线假设'!E995*'管线假设'!F995*'管线假设'!G995*IF(E4619="USD",'管线假设'!I995,1)-AM4619</x:f>
        <x:v>-0.08544</x:v>
      </x:c>
      <x:c r="M4619" s="11" t="n">
        <x:f>'管线假设'!H995</x:f>
        <x:v>0.14</x:v>
      </x:c>
      <x:c r="N4619" s="11" t="n">
        <x:f>IF(G4619,L4619*AN4619/(1+M4619)^F4619,0)</x:f>
        <x:v>0</x:v>
      </x:c>
      <x:c r="AJ4619" s="42" t="n">
        <x:v>0</x:v>
      </x:c>
      <x:c r="AK4619" s="42" t="n">
        <x:v>0.12</x:v>
      </x:c>
      <x:c r="AL4619" s="42" t="n">
        <x:v>0.15</x:v>
      </x:c>
      <x:c r="AM4619" t="n">
        <x:f>CHOOSE('假设'!$B$3,AJ4619,AK4619,AL4619)</x:f>
        <x:v>0.12</x:v>
      </x:c>
      <x:c r="AN4619" t="n">
        <x:v>0</x:v>
      </x:c>
    </x:row>
    <x:row r="4620" ht="23" customHeight="1">
      <x:c r="A4620" s="11" t="str">
        <x:v>02162.HK</x:v>
      </x:c>
      <x:c r="B4620" s="11" t="str">
        <x:v>五年</x:v>
      </x:c>
      <x:c r="C4620" s="11" t="str">
        <x:v>CM512_other</x:v>
      </x:c>
      <x:c r="D4620" s="11" t="str">
        <x:v>2031-12-31</x:v>
      </x:c>
      <x:c r="E4620" s="11" t="str">
        <x:v>CNY</x:v>
      </x:c>
      <x:c r="F4620" s="11" t="n">
        <x:v>0.2272416153319644</x:v>
      </x:c>
      <x:c r="G4620" s="26" t="b">
        <x:v>1</x:v>
      </x:c>
      <x:c r="H4620" s="16" t="n">
        <x:v>0</x:v>
      </x:c>
      <x:c r="I4620" s="16" t="n">
        <x:v>0.72</x:v>
      </x:c>
      <x:c r="J4620" s="16" t="n">
        <x:v>3.04</x:v>
      </x:c>
      <x:c r="K4620" s="11" t="n">
        <x:f>CHOOSE('假设'!$B$3,H4620,I4620,J4620)</x:f>
        <x:v>0.72</x:v>
      </x:c>
      <x:c r="L4620" s="11" t="n">
        <x:f>K4620*'管线假设'!E995*'管线假设'!F995*'管线假设'!G995*IF(E4620="USD",'管线假设'!I995,1)-AM4620</x:f>
        <x:v>0.10368</x:v>
      </x:c>
      <x:c r="M4620" s="11" t="n">
        <x:f>'管线假设'!H995</x:f>
        <x:v>0.14</x:v>
      </x:c>
      <x:c r="N4620" s="11" t="n">
        <x:f>IF(G4620,L4620*AN4620/(1+M4620)^F4620,0)</x:f>
        <x:v>0.022947773091775734</x:v>
      </x:c>
      <x:c r="AJ4620" s="42" t="n">
        <x:v>0</x:v>
      </x:c>
      <x:c r="AK4620" s="42" t="n">
        <x:v>0</x:v>
      </x:c>
      <x:c r="AL4620" s="42" t="n">
        <x:v>0</x:v>
      </x:c>
      <x:c r="AM4620" t="n">
        <x:f>CHOOSE('假设'!$B$3,AJ4620,AK4620,AL4620)</x:f>
        <x:v>0</x:v>
      </x:c>
      <x:c r="AN4620" t="n">
        <x:v>0.22802197802197802</x:v>
      </x:c>
    </x:row>
    <x:row r="4621" ht="23" customHeight="1">
      <x:c r="A4621" s="11" t="str">
        <x:v>02162.HK</x:v>
      </x:c>
      <x:c r="B4621" s="11" t="str">
        <x:v>五年</x:v>
      </x:c>
      <x:c r="C4621" s="11" t="str">
        <x:v>CM512_other</x:v>
      </x:c>
      <x:c r="D4621" s="11" t="str">
        <x:v>2032-12-31</x:v>
      </x:c>
      <x:c r="E4621" s="11" t="str">
        <x:v>CNY</x:v>
      </x:c>
      <x:c r="F4621" s="11" t="n">
        <x:v>1.2292950034223136</x:v>
      </x:c>
      <x:c r="G4621" s="26" t="b">
        <x:v>1</x:v>
      </x:c>
      <x:c r="H4621" s="16" t="n">
        <x:v>0.06</x:v>
      </x:c>
      <x:c r="I4621" s="16" t="n">
        <x:v>1.52</x:v>
      </x:c>
      <x:c r="J4621" s="16" t="n">
        <x:v>5.2</x:v>
      </x:c>
      <x:c r="K4621" s="11" t="n">
        <x:f>CHOOSE('假设'!$B$3,H4621,I4621,J4621)</x:f>
        <x:v>1.52</x:v>
      </x:c>
      <x:c r="L4621" s="11" t="n">
        <x:f>K4621*'管线假设'!E995*'管线假设'!F995*'管线假设'!G995*IF(E4621="USD",'管线假设'!I995,1)-AM4621</x:f>
        <x:v>0.21887999999999996</x:v>
      </x:c>
      <x:c r="M4621" s="11" t="n">
        <x:f>'管线假设'!H995</x:f>
        <x:v>0.14</x:v>
      </x:c>
      <x:c r="N4621" s="11" t="n">
        <x:f>IF(G4621,L4621*AN4621/(1+M4621)^F4621,0)</x:f>
        <x:v>0.18631732084475905</x:v>
      </x:c>
      <x:c r="AJ4621" s="42" t="n">
        <x:v>0</x:v>
      </x:c>
      <x:c r="AK4621" s="42" t="n">
        <x:v>0</x:v>
      </x:c>
      <x:c r="AL4621" s="42" t="n">
        <x:v>0</x:v>
      </x:c>
      <x:c r="AM4621" t="n">
        <x:f>CHOOSE('假设'!$B$3,AJ4621,AK4621,AL4621)</x:f>
        <x:v>0</x:v>
      </x:c>
      <x:c r="AN4621" t="n">
        <x:v>1</x:v>
      </x:c>
    </x:row>
    <x:row r="4622" ht="23" customHeight="1">
      <x:c r="A4622" s="11" t="str">
        <x:v>02162.HK</x:v>
      </x:c>
      <x:c r="B4622" s="11" t="str">
        <x:v>五年</x:v>
      </x:c>
      <x:c r="C4622" s="11" t="str">
        <x:v>CM512_other</x:v>
      </x:c>
      <x:c r="D4622" s="11" t="str">
        <x:v>2033-12-31</x:v>
      </x:c>
      <x:c r="E4622" s="11" t="str">
        <x:v>CNY</x:v>
      </x:c>
      <x:c r="F4622" s="11" t="n">
        <x:v>2.2286105407255303</x:v>
      </x:c>
      <x:c r="G4622" s="26" t="b">
        <x:v>1</x:v>
      </x:c>
      <x:c r="H4622" s="16" t="n">
        <x:v>0.18</x:v>
      </x:c>
      <x:c r="I4622" s="16" t="n">
        <x:v>2.6</x:v>
      </x:c>
      <x:c r="J4622" s="16" t="n">
        <x:v>6.8</x:v>
      </x:c>
      <x:c r="K4622" s="11" t="n">
        <x:f>CHOOSE('假设'!$B$3,H4622,I4622,J4622)</x:f>
        <x:v>2.6</x:v>
      </x:c>
      <x:c r="L4622" s="11" t="n">
        <x:f>K4622*'管线假设'!E995*'管线假设'!F995*'管线假设'!G995*IF(E4622="USD",'管线假设'!I995,1)-AM4622</x:f>
        <x:v>0.3744</x:v>
      </x:c>
      <x:c r="M4622" s="11" t="n">
        <x:f>'管线假设'!H995</x:f>
        <x:v>0.14</x:v>
      </x:c>
      <x:c r="N4622" s="11" t="n">
        <x:f>IF(G4622,L4622*AN4622/(1+M4622)^F4622,0)</x:f>
        <x:v>0.2795870736951424</x:v>
      </x:c>
      <x:c r="AJ4622" s="42" t="n">
        <x:v>0</x:v>
      </x:c>
      <x:c r="AK4622" s="42" t="n">
        <x:v>0</x:v>
      </x:c>
      <x:c r="AL4622" s="42" t="n">
        <x:v>0</x:v>
      </x:c>
      <x:c r="AM4622" t="n">
        <x:f>CHOOSE('假设'!$B$3,AJ4622,AK4622,AL4622)</x:f>
        <x:v>0</x:v>
      </x:c>
      <x:c r="AN4622" t="n">
        <x:v>1</x:v>
      </x:c>
    </x:row>
    <x:row r="4623" ht="23" customHeight="1">
      <x:c r="A4623" s="11" t="str">
        <x:v>02162.HK</x:v>
      </x:c>
      <x:c r="B4623" s="11" t="str">
        <x:v>五年</x:v>
      </x:c>
      <x:c r="C4623" s="11" t="str">
        <x:v>CM512_other</x:v>
      </x:c>
      <x:c r="D4623" s="11" t="str">
        <x:v>2034-12-31</x:v>
      </x:c>
      <x:c r="E4623" s="11" t="str">
        <x:v>CNY</x:v>
      </x:c>
      <x:c r="F4623" s="11" t="n">
        <x:v>3.2279260780287475</x:v>
      </x:c>
      <x:c r="G4623" s="26" t="b">
        <x:v>1</x:v>
      </x:c>
      <x:c r="H4623" s="16" t="n">
        <x:v>0.38</x:v>
      </x:c>
      <x:c r="I4623" s="16" t="n">
        <x:v>3.4</x:v>
      </x:c>
      <x:c r="J4623" s="16" t="n">
        <x:v>8</x:v>
      </x:c>
      <x:c r="K4623" s="11" t="n">
        <x:f>CHOOSE('假设'!$B$3,H4623,I4623,J4623)</x:f>
        <x:v>3.4</x:v>
      </x:c>
      <x:c r="L4623" s="11" t="n">
        <x:f>K4623*'管线假设'!E995*'管线假设'!F995*'管线假设'!G995*IF(E4623="USD",'管线假设'!I995,1)-AM4623</x:f>
        <x:v>0.4896</x:v>
      </x:c>
      <x:c r="M4623" s="11" t="n">
        <x:f>'管线假设'!H995</x:f>
        <x:v>0.14</x:v>
      </x:c>
      <x:c r="N4623" s="11" t="n">
        <x:f>IF(G4623,L4623*AN4623/(1+M4623)^F4623,0)</x:f>
        <x:v>0.3207426813774103</x:v>
      </x:c>
      <x:c r="AJ4623" s="42" t="n">
        <x:v>0</x:v>
      </x:c>
      <x:c r="AK4623" s="42" t="n">
        <x:v>0</x:v>
      </x:c>
      <x:c r="AL4623" s="42" t="n">
        <x:v>0</x:v>
      </x:c>
      <x:c r="AM4623" t="n">
        <x:f>CHOOSE('假设'!$B$3,AJ4623,AK4623,AL4623)</x:f>
        <x:v>0</x:v>
      </x:c>
      <x:c r="AN4623" t="n">
        <x:v>1</x:v>
      </x:c>
    </x:row>
    <x:row r="4624" ht="23" customHeight="1">
      <x:c r="A4624" s="11" t="str">
        <x:v>02162.HK</x:v>
      </x:c>
      <x:c r="B4624" s="11" t="str">
        <x:v>五年</x:v>
      </x:c>
      <x:c r="C4624" s="11" t="str">
        <x:v>CM512_other</x:v>
      </x:c>
      <x:c r="D4624" s="11" t="str">
        <x:v>2035-12-31</x:v>
      </x:c>
      <x:c r="E4624" s="11" t="str">
        <x:v>CNY</x:v>
      </x:c>
      <x:c r="F4624" s="11" t="n">
        <x:v>4.227241615331964</x:v>
      </x:c>
      <x:c r="G4624" s="26" t="b">
        <x:v>1</x:v>
      </x:c>
      <x:c r="H4624" s="16" t="n">
        <x:v>0.65</x:v>
      </x:c>
      <x:c r="I4624" s="16" t="n">
        <x:v>4</x:v>
      </x:c>
      <x:c r="J4624" s="16" t="n">
        <x:v>8</x:v>
      </x:c>
      <x:c r="K4624" s="11" t="n">
        <x:f>CHOOSE('假设'!$B$3,H4624,I4624,J4624)</x:f>
        <x:v>4</x:v>
      </x:c>
      <x:c r="L4624" s="11" t="n">
        <x:f>K4624*'管线假设'!E995*'管线假设'!F995*'管线假设'!G995*IF(E4624="USD",'管线假设'!I995,1)-AM4624</x:f>
        <x:v>0.576</x:v>
      </x:c>
      <x:c r="M4624" s="11" t="n">
        <x:f>'管线假设'!H995</x:f>
        <x:v>0.14</x:v>
      </x:c>
      <x:c r="N4624" s="11" t="n">
        <x:f>IF(G4624,L4624*AN4624/(1+M4624)^F4624,0)</x:f>
        <x:v>0.33103348621306933</x:v>
      </x:c>
      <x:c r="AJ4624" s="42" t="n">
        <x:v>0</x:v>
      </x:c>
      <x:c r="AK4624" s="42" t="n">
        <x:v>0</x:v>
      </x:c>
      <x:c r="AL4624" s="42" t="n">
        <x:v>0</x:v>
      </x:c>
      <x:c r="AM4624" t="n">
        <x:f>CHOOSE('假设'!$B$3,AJ4624,AK4624,AL4624)</x:f>
        <x:v>0</x:v>
      </x:c>
      <x:c r="AN4624" t="n">
        <x:v>1</x:v>
      </x:c>
    </x:row>
    <x:row r="4625" ht="23" customHeight="1">
      <x:c r="A4625" s="11" t="str">
        <x:v>02162.HK</x:v>
      </x:c>
      <x:c r="B4625" s="11" t="str">
        <x:v>五年</x:v>
      </x:c>
      <x:c r="C4625" s="11" t="str">
        <x:v>CM512_other</x:v>
      </x:c>
      <x:c r="D4625" s="11" t="str">
        <x:v>2036-12-31</x:v>
      </x:c>
      <x:c r="E4625" s="11" t="str">
        <x:v>CNY</x:v>
      </x:c>
      <x:c r="F4625" s="11" t="n">
        <x:v>5.229295003422314</x:v>
      </x:c>
      <x:c r="G4625" s="26" t="b">
        <x:v>1</x:v>
      </x:c>
      <x:c r="H4625" s="16" t="n">
        <x:v>0.85</x:v>
      </x:c>
      <x:c r="I4625" s="16" t="n">
        <x:v>4</x:v>
      </x:c>
      <x:c r="J4625" s="16" t="n">
        <x:v>7.6</x:v>
      </x:c>
      <x:c r="K4625" s="11" t="n">
        <x:f>CHOOSE('假设'!$B$3,H4625,I4625,J4625)</x:f>
        <x:v>4</x:v>
      </x:c>
      <x:c r="L4625" s="11" t="n">
        <x:f>K4625*'管线假设'!E995*'管线假设'!F995*'管线假设'!G995*IF(E4625="USD",'管线假设'!I995,1)-AM4625</x:f>
        <x:v>0.576</x:v>
      </x:c>
      <x:c r="M4625" s="11" t="n">
        <x:f>'管线假设'!H995</x:f>
        <x:v>0.14</x:v>
      </x:c>
      <x:c r="N4625" s="11" t="n">
        <x:f>IF(G4625,L4625*AN4625/(1+M4625)^F4625,0)</x:f>
        <x:v>0.29030213422272505</x:v>
      </x:c>
      <x:c r="AJ4625" s="42" t="n">
        <x:v>0</x:v>
      </x:c>
      <x:c r="AK4625" s="42" t="n">
        <x:v>0</x:v>
      </x:c>
      <x:c r="AL4625" s="42" t="n">
        <x:v>0</x:v>
      </x:c>
      <x:c r="AM4625" t="n">
        <x:f>CHOOSE('假设'!$B$3,AJ4625,AK4625,AL4625)</x:f>
        <x:v>0</x:v>
      </x:c>
      <x:c r="AN4625" t="n">
        <x:v>1</x:v>
      </x:c>
    </x:row>
    <x:row r="4626" ht="23" customHeight="1">
      <x:c r="A4626" s="11" t="str">
        <x:v>02162.HK</x:v>
      </x:c>
      <x:c r="B4626" s="11" t="str">
        <x:v>五年</x:v>
      </x:c>
      <x:c r="C4626" s="11" t="str">
        <x:v>CM512_other</x:v>
      </x:c>
      <x:c r="D4626" s="11" t="str">
        <x:v>2037-12-31</x:v>
      </x:c>
      <x:c r="E4626" s="11" t="str">
        <x:v>CNY</x:v>
      </x:c>
      <x:c r="F4626" s="11" t="n">
        <x:v>6.228610540725531</x:v>
      </x:c>
      <x:c r="G4626" s="26" t="b">
        <x:v>1</x:v>
      </x:c>
      <x:c r="H4626" s="16" t="n">
        <x:v>1</x:v>
      </x:c>
      <x:c r="I4626" s="16" t="n">
        <x:v>3.8</x:v>
      </x:c>
      <x:c r="J4626" s="16" t="n">
        <x:v>7.2</x:v>
      </x:c>
      <x:c r="K4626" s="11" t="n">
        <x:f>CHOOSE('假设'!$B$3,H4626,I4626,J4626)</x:f>
        <x:v>3.8</x:v>
      </x:c>
      <x:c r="L4626" s="11" t="n">
        <x:f>K4626*'管线假设'!E995*'管线假设'!F995*'管线假设'!G995*IF(E4626="USD",'管线假设'!I995,1)-AM4626</x:f>
        <x:v>0.5471999999999999</x:v>
      </x:c>
      <x:c r="M4626" s="11" t="n">
        <x:f>'管线假设'!H995</x:f>
        <x:v>0.14</x:v>
      </x:c>
      <x:c r="N4626" s="11" t="n">
        <x:f>IF(G4626,L4626*AN4626/(1+M4626)^F4626,0)</x:f>
        <x:v>0.24194014236217307</x:v>
      </x:c>
      <x:c r="AJ4626" s="42" t="n">
        <x:v>0</x:v>
      </x:c>
      <x:c r="AK4626" s="42" t="n">
        <x:v>0</x:v>
      </x:c>
      <x:c r="AL4626" s="42" t="n">
        <x:v>0</x:v>
      </x:c>
      <x:c r="AM4626" t="n">
        <x:f>CHOOSE('假设'!$B$3,AJ4626,AK4626,AL4626)</x:f>
        <x:v>0</x:v>
      </x:c>
      <x:c r="AN4626" t="n">
        <x:v>1</x:v>
      </x:c>
    </x:row>
    <x:row r="4627" ht="23" customHeight="1">
      <x:c r="A4627" s="11" t="str">
        <x:v>02162.HK</x:v>
      </x:c>
      <x:c r="B4627" s="11" t="str">
        <x:v>五年</x:v>
      </x:c>
      <x:c r="C4627" s="11" t="str">
        <x:v>CM512_other</x:v>
      </x:c>
      <x:c r="D4627" s="11" t="str">
        <x:v>2038-12-31</x:v>
      </x:c>
      <x:c r="E4627" s="11" t="str">
        <x:v>CNY</x:v>
      </x:c>
      <x:c r="F4627" s="11" t="n">
        <x:v>7.227926078028747</x:v>
      </x:c>
      <x:c r="G4627" s="26" t="b">
        <x:v>1</x:v>
      </x:c>
      <x:c r="H4627" s="16" t="n">
        <x:v>1</x:v>
      </x:c>
      <x:c r="I4627" s="16" t="n">
        <x:v>3.6</x:v>
      </x:c>
      <x:c r="J4627" s="16" t="n">
        <x:v>6.4</x:v>
      </x:c>
      <x:c r="K4627" s="11" t="n">
        <x:f>CHOOSE('假设'!$B$3,H4627,I4627,J4627)</x:f>
        <x:v>3.6</x:v>
      </x:c>
      <x:c r="L4627" s="11" t="n">
        <x:f>K4627*'管线假设'!E995*'管线假设'!F995*'管线假设'!G995*IF(E4627="USD",'管线假设'!I995,1)-AM4627</x:f>
        <x:v>0.5184</x:v>
      </x:c>
      <x:c r="M4627" s="11" t="n">
        <x:f>'管线假设'!H995</x:f>
        <x:v>0.14</x:v>
      </x:c>
      <x:c r="N4627" s="11" t="n">
        <x:f>IF(G4627,L4627*AN4627/(1+M4627)^F4627,0)</x:f>
        <x:v>0.20107632256347746</x:v>
      </x:c>
      <x:c r="AJ4627" s="42" t="n">
        <x:v>0</x:v>
      </x:c>
      <x:c r="AK4627" s="42" t="n">
        <x:v>0</x:v>
      </x:c>
      <x:c r="AL4627" s="42" t="n">
        <x:v>0</x:v>
      </x:c>
      <x:c r="AM4627" t="n">
        <x:f>CHOOSE('假设'!$B$3,AJ4627,AK4627,AL4627)</x:f>
        <x:v>0</x:v>
      </x:c>
      <x:c r="AN4627" t="n">
        <x:v>1</x:v>
      </x:c>
    </x:row>
    <x:row r="4628" ht="23" customHeight="1">
      <x:c r="A4628" s="11" t="str">
        <x:v>02162.HK</x:v>
      </x:c>
      <x:c r="B4628" s="11" t="str">
        <x:v>五年</x:v>
      </x:c>
      <x:c r="C4628" s="11" t="str">
        <x:v>CM512_other</x:v>
      </x:c>
      <x:c r="D4628" s="11" t="str">
        <x:v>2039-12-31</x:v>
      </x:c>
      <x:c r="E4628" s="11" t="str">
        <x:v>CNY</x:v>
      </x:c>
      <x:c r="F4628" s="11" t="n">
        <x:v>8.227241615331964</x:v>
      </x:c>
      <x:c r="G4628" s="26" t="b">
        <x:v>1</x:v>
      </x:c>
      <x:c r="H4628" s="16" t="n">
        <x:v>0.95</x:v>
      </x:c>
      <x:c r="I4628" s="16" t="n">
        <x:v>3.2</x:v>
      </x:c>
      <x:c r="J4628" s="16" t="n">
        <x:v>5.2</x:v>
      </x:c>
      <x:c r="K4628" s="11" t="n">
        <x:f>CHOOSE('假设'!$B$3,H4628,I4628,J4628)</x:f>
        <x:v>3.2</x:v>
      </x:c>
      <x:c r="L4628" s="11" t="n">
        <x:f>K4628*'管线假设'!E995*'管线假设'!F995*'管线假设'!G995*IF(E4628="USD",'管线假设'!I995,1)-AM4628</x:f>
        <x:v>0.4608</x:v>
      </x:c>
      <x:c r="M4628" s="11" t="n">
        <x:f>'管线假设'!H995</x:f>
        <x:v>0.14</x:v>
      </x:c>
      <x:c r="N4628" s="11" t="n">
        <x:f>IF(G4628,L4628*AN4628/(1+M4628)^F4628,0)</x:f>
        <x:v>0.15679871866868392</x:v>
      </x:c>
      <x:c r="AJ4628" s="42" t="n">
        <x:v>0</x:v>
      </x:c>
      <x:c r="AK4628" s="42" t="n">
        <x:v>0</x:v>
      </x:c>
      <x:c r="AL4628" s="42" t="n">
        <x:v>0</x:v>
      </x:c>
      <x:c r="AM4628" t="n">
        <x:f>CHOOSE('假设'!$B$3,AJ4628,AK4628,AL4628)</x:f>
        <x:v>0</x:v>
      </x:c>
      <x:c r="AN4628" t="n">
        <x:v>1</x:v>
      </x:c>
    </x:row>
    <x:row r="4629" ht="23" customHeight="1">
      <x:c r="A4629" s="11" t="str">
        <x:v>02162.HK</x:v>
      </x:c>
      <x:c r="B4629" s="11" t="str">
        <x:v>五年</x:v>
      </x:c>
      <x:c r="C4629" s="11" t="str">
        <x:v>CM512_other</x:v>
      </x:c>
      <x:c r="D4629" s="11" t="str">
        <x:v>2040-12-31</x:v>
      </x:c>
      <x:c r="E4629" s="11" t="str">
        <x:v>CNY</x:v>
      </x:c>
      <x:c r="F4629" s="11" t="n">
        <x:v>9.229295003422314</x:v>
      </x:c>
      <x:c r="G4629" s="26" t="b">
        <x:v>1</x:v>
      </x:c>
      <x:c r="H4629" s="16" t="n">
        <x:v>0.9</x:v>
      </x:c>
      <x:c r="I4629" s="16" t="n">
        <x:v>2.6</x:v>
      </x:c>
      <x:c r="J4629" s="16" t="n">
        <x:v>4</x:v>
      </x:c>
      <x:c r="K4629" s="11" t="n">
        <x:f>CHOOSE('假设'!$B$3,H4629,I4629,J4629)</x:f>
        <x:v>2.6</x:v>
      </x:c>
      <x:c r="L4629" s="11" t="n">
        <x:f>K4629*'管线假设'!E995*'管线假设'!F995*'管线假设'!G995*IF(E4629="USD",'管线假设'!I995,1)-AM4629</x:f>
        <x:v>0.3744</x:v>
      </x:c>
      <x:c r="M4629" s="11" t="n">
        <x:f>'管线假设'!H995</x:f>
        <x:v>0.14</x:v>
      </x:c>
      <x:c r="N4629" s="11" t="n">
        <x:f>IF(G4629,L4629*AN4629/(1+M4629)^F4629,0)</x:f>
        <x:v>0.11172340929863687</x:v>
      </x:c>
      <x:c r="AJ4629" s="42" t="n">
        <x:v>0</x:v>
      </x:c>
      <x:c r="AK4629" s="42" t="n">
        <x:v>0</x:v>
      </x:c>
      <x:c r="AL4629" s="42" t="n">
        <x:v>0</x:v>
      </x:c>
      <x:c r="AM4629" t="n">
        <x:f>CHOOSE('假设'!$B$3,AJ4629,AK4629,AL4629)</x:f>
        <x:v>0</x:v>
      </x:c>
      <x:c r="AN4629" t="n">
        <x:v>1</x:v>
      </x:c>
    </x:row>
    <x:row r="4630" ht="23" customHeight="1">
      <x:c r="A4630" s="11" t="str">
        <x:v>02162.HK</x:v>
      </x:c>
      <x:c r="B4630" s="11" t="str">
        <x:v>五年</x:v>
      </x:c>
      <x:c r="C4630" s="11" t="str">
        <x:v>CM512_other</x:v>
      </x:c>
      <x:c r="D4630" s="11" t="str">
        <x:v>2041-12-31</x:v>
      </x:c>
      <x:c r="E4630" s="11" t="str">
        <x:v>CNY</x:v>
      </x:c>
      <x:c r="F4630" s="11" t="n">
        <x:v>10.22861054072553</x:v>
      </x:c>
      <x:c r="G4630" s="26" t="b">
        <x:v>1</x:v>
      </x:c>
      <x:c r="H4630" s="16" t="n">
        <x:v>0.8</x:v>
      </x:c>
      <x:c r="I4630" s="16" t="n">
        <x:v>2</x:v>
      </x:c>
      <x:c r="J4630" s="16" t="n">
        <x:v>2.8</x:v>
      </x:c>
      <x:c r="K4630" s="11" t="n">
        <x:f>CHOOSE('假设'!$B$3,H4630,I4630,J4630)</x:f>
        <x:v>2</x:v>
      </x:c>
      <x:c r="L4630" s="11" t="n">
        <x:f>K4630*'管线假设'!E995*'管线假设'!F995*'管线假设'!G995*IF(E4630="USD",'管线假设'!I995,1)-AM4630</x:f>
        <x:v>0.288</x:v>
      </x:c>
      <x:c r="M4630" s="11" t="n">
        <x:f>'管线假设'!H995</x:f>
        <x:v>0.14</x:v>
      </x:c>
      <x:c r="N4630" s="11" t="n">
        <x:f>IF(G4630,L4630*AN4630/(1+M4630)^F4630,0)</x:f>
        <x:v>0.07539367715619925</x:v>
      </x:c>
      <x:c r="AJ4630" s="42" t="n">
        <x:v>0</x:v>
      </x:c>
      <x:c r="AK4630" s="42" t="n">
        <x:v>0</x:v>
      </x:c>
      <x:c r="AL4630" s="42" t="n">
        <x:v>0</x:v>
      </x:c>
      <x:c r="AM4630" t="n">
        <x:f>CHOOSE('假设'!$B$3,AJ4630,AK4630,AL4630)</x:f>
        <x:v>0</x:v>
      </x:c>
      <x:c r="AN4630" t="n">
        <x:v>1</x:v>
      </x:c>
    </x:row>
    <x:row r="4631" ht="23" customHeight="1">
      <x:c r="A4631" s="11" t="str">
        <x:v>02162.HK</x:v>
      </x:c>
      <x:c r="B4631" s="11" t="str">
        <x:v>五年</x:v>
      </x:c>
      <x:c r="C4631" s="11" t="str">
        <x:v>CM512_other</x:v>
      </x:c>
      <x:c r="D4631" s="11" t="str">
        <x:v>2042-12-31</x:v>
      </x:c>
      <x:c r="E4631" s="11" t="str">
        <x:v>CNY</x:v>
      </x:c>
      <x:c r="F4631" s="11" t="n">
        <x:v>11.227926078028748</x:v>
      </x:c>
      <x:c r="G4631" s="26" t="b">
        <x:v>1</x:v>
      </x:c>
      <x:c r="H4631" s="16" t="n">
        <x:v>0.65</x:v>
      </x:c>
      <x:c r="I4631" s="16" t="n">
        <x:v>1.4</x:v>
      </x:c>
      <x:c r="J4631" s="16" t="n">
        <x:v>1.6</x:v>
      </x:c>
      <x:c r="K4631" s="11" t="n">
        <x:f>CHOOSE('假设'!$B$3,H4631,I4631,J4631)</x:f>
        <x:v>1.4</x:v>
      </x:c>
      <x:c r="L4631" s="11" t="n">
        <x:f>K4631*'管线假设'!E995*'管线假设'!F995*'管线假设'!G995*IF(E4631="USD",'管线假设'!I995,1)-AM4631</x:f>
        <x:v>0.20159999999999997</x:v>
      </x:c>
      <x:c r="M4631" s="11" t="n">
        <x:f>'管线假设'!H995</x:f>
        <x:v>0.14</x:v>
      </x:c>
      <x:c r="N4631" s="11" t="n">
        <x:f>IF(G4631,L4631*AN4631/(1+M4631)^F4631,0)</x:f>
        <x:v>0.04629851521398499</x:v>
      </x:c>
      <x:c r="AJ4631" s="42" t="n">
        <x:v>0</x:v>
      </x:c>
      <x:c r="AK4631" s="42" t="n">
        <x:v>0</x:v>
      </x:c>
      <x:c r="AL4631" s="42" t="n">
        <x:v>0</x:v>
      </x:c>
      <x:c r="AM4631" t="n">
        <x:f>CHOOSE('假设'!$B$3,AJ4631,AK4631,AL4631)</x:f>
        <x:v>0</x:v>
      </x:c>
      <x:c r="AN4631" t="n">
        <x:v>1</x:v>
      </x:c>
    </x:row>
    <x:row r="4632" ht="23" customHeight="1">
      <x:c r="A4632" s="11" t="str">
        <x:v>02162.HK</x:v>
      </x:c>
      <x:c r="B4632" s="11" t="str">
        <x:v>五年</x:v>
      </x:c>
      <x:c r="C4632" s="11" t="str">
        <x:v>CM512_other</x:v>
      </x:c>
      <x:c r="D4632" s="11" t="str">
        <x:v>2043-12-31</x:v>
      </x:c>
      <x:c r="E4632" s="11" t="str">
        <x:v>CNY</x:v>
      </x:c>
      <x:c r="F4632" s="11" t="n">
        <x:v>12.227241615331964</x:v>
      </x:c>
      <x:c r="G4632" s="26" t="b">
        <x:v>1</x:v>
      </x:c>
      <x:c r="H4632" s="16" t="n">
        <x:v>0.5</x:v>
      </x:c>
      <x:c r="I4632" s="16" t="n">
        <x:v>0.8</x:v>
      </x:c>
      <x:c r="J4632" s="16" t="n">
        <x:v>0.96</x:v>
      </x:c>
      <x:c r="K4632" s="11" t="n">
        <x:f>CHOOSE('假设'!$B$3,H4632,I4632,J4632)</x:f>
        <x:v>0.8</x:v>
      </x:c>
      <x:c r="L4632" s="11" t="n">
        <x:f>K4632*'管线假设'!E995*'管线假设'!F995*'管线假设'!G995*IF(E4632="USD",'管线假设'!I995,1)-AM4632</x:f>
        <x:v>0.1152</x:v>
      </x:c>
      <x:c r="M4632" s="11" t="n">
        <x:f>'管线假设'!H995</x:f>
        <x:v>0.14</x:v>
      </x:c>
      <x:c r="N4632" s="11" t="n">
        <x:f>IF(G4632,L4632*AN4632/(1+M4632)^F4632,0)</x:f>
        <x:v>0.02320935721016117</x:v>
      </x:c>
      <x:c r="AJ4632" s="42" t="n">
        <x:v>0</x:v>
      </x:c>
      <x:c r="AK4632" s="42" t="n">
        <x:v>0</x:v>
      </x:c>
      <x:c r="AL4632" s="42" t="n">
        <x:v>0</x:v>
      </x:c>
      <x:c r="AM4632" t="n">
        <x:f>CHOOSE('假设'!$B$3,AJ4632,AK4632,AL4632)</x:f>
        <x:v>0</x:v>
      </x:c>
      <x:c r="AN4632" t="n">
        <x:v>1</x:v>
      </x:c>
    </x:row>
    <x:row r="4633" ht="23" customHeight="1">
      <x:c r="A4633" s="11" t="str">
        <x:v>02162.HK</x:v>
      </x:c>
      <x:c r="B4633" s="11" t="str">
        <x:v>五年</x:v>
      </x:c>
      <x:c r="C4633" s="11" t="str">
        <x:v>CM512_other</x:v>
      </x:c>
      <x:c r="D4633" s="11" t="str">
        <x:v>2044-12-31</x:v>
      </x:c>
      <x:c r="E4633" s="11" t="str">
        <x:v>CNY</x:v>
      </x:c>
      <x:c r="F4633" s="11" t="n">
        <x:v>13.229295003422314</x:v>
      </x:c>
      <x:c r="G4633" s="26" t="b">
        <x:v>1</x:v>
      </x:c>
      <x:c r="H4633" s="16" t="n">
        <x:v>0.35</x:v>
      </x:c>
      <x:c r="I4633" s="16" t="n">
        <x:v>0.48</x:v>
      </x:c>
      <x:c r="J4633" s="16" t="n">
        <x:v>0.56</x:v>
      </x:c>
      <x:c r="K4633" s="11" t="n">
        <x:f>CHOOSE('假设'!$B$3,H4633,I4633,J4633)</x:f>
        <x:v>0.48</x:v>
      </x:c>
      <x:c r="L4633" s="11" t="n">
        <x:f>K4633*'管线假设'!E995*'管线假设'!F995*'管线假设'!G995*IF(E4633="USD",'管线假设'!I995,1)-AM4633</x:f>
        <x:v>0.06911999999999999</x:v>
      </x:c>
      <x:c r="M4633" s="11" t="n">
        <x:f>'管线假设'!H995</x:f>
        <x:v>0.14</x:v>
      </x:c>
      <x:c r="N4633" s="11" t="n">
        <x:f>IF(G4633,L4633*AN4633/(1+M4633)^F4633,0)</x:f>
        <x:v>0.012212165015313253</x:v>
      </x:c>
      <x:c r="AJ4633" s="42" t="n">
        <x:v>0</x:v>
      </x:c>
      <x:c r="AK4633" s="42" t="n">
        <x:v>0</x:v>
      </x:c>
      <x:c r="AL4633" s="42" t="n">
        <x:v>0</x:v>
      </x:c>
      <x:c r="AM4633" t="n">
        <x:f>CHOOSE('假设'!$B$3,AJ4633,AK4633,AL4633)</x:f>
        <x:v>0</x:v>
      </x:c>
      <x:c r="AN4633" t="n">
        <x:v>1</x:v>
      </x:c>
    </x:row>
    <x:row r="4634" ht="23" customHeight="1">
      <x:c r="A4634" s="11" t="str">
        <x:v>02162.HK</x:v>
      </x:c>
      <x:c r="B4634" s="11" t="str">
        <x:v>五年</x:v>
      </x:c>
      <x:c r="C4634" s="11" t="str">
        <x:v>CMG901_2Lplus</x:v>
      </x:c>
      <x:c r="D4634" s="11" t="str">
        <x:v>2026-12-31</x:v>
      </x:c>
      <x:c r="E4634" s="11" t="str">
        <x:v>USD</x:v>
      </x:c>
      <x:c r="F4634" s="11" t="n">
        <x:v>-4.772073921971253</x:v>
      </x:c>
      <x:c r="G4634" s="26" t="b">
        <x:v>0</x:v>
      </x:c>
      <x:c r="H4634" s="16" t="n">
        <x:v>0</x:v>
      </x:c>
      <x:c r="I4634" s="16" t="n">
        <x:v>0</x:v>
      </x:c>
      <x:c r="J4634" s="16" t="n">
        <x:v>0</x:v>
      </x:c>
      <x:c r="K4634" s="11" t="n">
        <x:f>CHOOSE('假设'!$B$3,H4634,I4634,J4634)</x:f>
        <x:v>0</x:v>
      </x:c>
      <x:c r="L4634" s="11" t="n">
        <x:f>K4634*'管线假设'!E999*'管线假设'!F999*'管线假设'!G999*IF(E4634="USD",'管线假设'!I999,1)-AM4634</x:f>
        <x:v>-0.056</x:v>
      </x:c>
      <x:c r="M4634" s="11" t="n">
        <x:f>'管线假设'!H999</x:f>
        <x:v>0.14</x:v>
      </x:c>
      <x:c r="N4634" s="11" t="n">
        <x:f>IF(G4634,L4634*AN4634/(1+M4634)^F4634,0)</x:f>
        <x:v>0</x:v>
      </x:c>
      <x:c r="AJ4634" s="42" t="n">
        <x:v>0.035</x:v>
      </x:c>
      <x:c r="AK4634" s="42" t="n">
        <x:v>0.056</x:v>
      </x:c>
      <x:c r="AL4634" s="42" t="n">
        <x:v>0.084</x:v>
      </x:c>
      <x:c r="AM4634" t="n">
        <x:f>CHOOSE('假设'!$B$3,AJ4634,AK4634,AL4634)</x:f>
        <x:v>0.056</x:v>
      </x:c>
      <x:c r="AN4634" t="n">
        <x:v>0</x:v>
      </x:c>
    </x:row>
    <x:row r="4635" ht="23" customHeight="1">
      <x:c r="A4635" s="11" t="str">
        <x:v>02162.HK</x:v>
      </x:c>
      <x:c r="B4635" s="11" t="str">
        <x:v>五年</x:v>
      </x:c>
      <x:c r="C4635" s="11" t="str">
        <x:v>CMG901_2Lplus</x:v>
      </x:c>
      <x:c r="D4635" s="11" t="str">
        <x:v>2027-12-31</x:v>
      </x:c>
      <x:c r="E4635" s="11" t="str">
        <x:v>USD</x:v>
      </x:c>
      <x:c r="F4635" s="11" t="n">
        <x:v>-3.7727583846680357</x:v>
      </x:c>
      <x:c r="G4635" s="26" t="b">
        <x:v>0</x:v>
      </x:c>
      <x:c r="H4635" s="16" t="n">
        <x:v>0</x:v>
      </x:c>
      <x:c r="I4635" s="16" t="n">
        <x:v>0.18</x:v>
      </x:c>
      <x:c r="J4635" s="16" t="n">
        <x:v>0.27</x:v>
      </x:c>
      <x:c r="K4635" s="11" t="n">
        <x:f>CHOOSE('假设'!$B$3,H4635,I4635,J4635)</x:f>
        <x:v>0.18</x:v>
      </x:c>
      <x:c r="L4635" s="11" t="n">
        <x:f>K4635*'管线假设'!E999*'管线假设'!F999*'管线假设'!G999*IF(E4635="USD",'管线假设'!I999,1)-AM4635</x:f>
        <x:v>0.009091599999999998</x:v>
      </x:c>
      <x:c r="M4635" s="11" t="n">
        <x:f>'管线假设'!H999</x:f>
        <x:v>0.14</x:v>
      </x:c>
      <x:c r="N4635" s="11" t="n">
        <x:f>IF(G4635,L4635*AN4635/(1+M4635)^F4635,0)</x:f>
        <x:v>0</x:v>
      </x:c>
      <x:c r="AJ4635" s="42" t="n">
        <x:v>0.035</x:v>
      </x:c>
      <x:c r="AK4635" s="42" t="n">
        <x:v>0.056</x:v>
      </x:c>
      <x:c r="AL4635" s="42" t="n">
        <x:v>0.07</x:v>
      </x:c>
      <x:c r="AM4635" t="n">
        <x:f>CHOOSE('假设'!$B$3,AJ4635,AK4635,AL4635)</x:f>
        <x:v>0.056</x:v>
      </x:c>
      <x:c r="AN4635" t="n">
        <x:v>0</x:v>
      </x:c>
    </x:row>
    <x:row r="4636" ht="23" customHeight="1">
      <x:c r="A4636" s="11" t="str">
        <x:v>02162.HK</x:v>
      </x:c>
      <x:c r="B4636" s="11" t="str">
        <x:v>五年</x:v>
      </x:c>
      <x:c r="C4636" s="11" t="str">
        <x:v>CMG901_2Lplus</x:v>
      </x:c>
      <x:c r="D4636" s="11" t="str">
        <x:v>2028-12-31</x:v>
      </x:c>
      <x:c r="E4636" s="11" t="str">
        <x:v>USD</x:v>
      </x:c>
      <x:c r="F4636" s="11" t="n">
        <x:v>-2.7707049965776864</x:v>
      </x:c>
      <x:c r="G4636" s="26" t="b">
        <x:v>0</x:v>
      </x:c>
      <x:c r="H4636" s="16" t="n">
        <x:v>0.09</x:v>
      </x:c>
      <x:c r="I4636" s="16" t="n">
        <x:v>0.54</x:v>
      </x:c>
      <x:c r="J4636" s="16" t="n">
        <x:v>0.8099999999999999</x:v>
      </x:c>
      <x:c r="K4636" s="11" t="n">
        <x:f>CHOOSE('假设'!$B$3,H4636,I4636,J4636)</x:f>
        <x:v>0.54</x:v>
      </x:c>
      <x:c r="L4636" s="11" t="n">
        <x:f>K4636*'管线假设'!E999*'管线假设'!F999*'管线假设'!G999*IF(E4636="USD",'管线假设'!I999,1)-AM4636</x:f>
        <x:v>0.1952748</x:v>
      </x:c>
      <x:c r="M4636" s="11" t="n">
        <x:f>'管线假设'!H999</x:f>
        <x:v>0.14</x:v>
      </x:c>
      <x:c r="N4636" s="11" t="n">
        <x:f>IF(G4636,L4636*AN4636/(1+M4636)^F4636,0)</x:f>
        <x:v>0</x:v>
      </x:c>
      <x:c r="AJ4636" s="42" t="n">
        <x:v>0</x:v>
      </x:c>
      <x:c r="AK4636" s="42" t="n">
        <x:v>0</x:v>
      </x:c>
      <x:c r="AL4636" s="42" t="n">
        <x:v>0</x:v>
      </x:c>
      <x:c r="AM4636" t="n">
        <x:f>CHOOSE('假设'!$B$3,AJ4636,AK4636,AL4636)</x:f>
        <x:v>0</x:v>
      </x:c>
      <x:c r="AN4636" t="n">
        <x:v>0</x:v>
      </x:c>
    </x:row>
    <x:row r="4637" ht="23" customHeight="1">
      <x:c r="A4637" s="11" t="str">
        <x:v>02162.HK</x:v>
      </x:c>
      <x:c r="B4637" s="11" t="str">
        <x:v>五年</x:v>
      </x:c>
      <x:c r="C4637" s="11" t="str">
        <x:v>CMG901_2Lplus</x:v>
      </x:c>
      <x:c r="D4637" s="11" t="str">
        <x:v>2029-12-31</x:v>
      </x:c>
      <x:c r="E4637" s="11" t="str">
        <x:v>USD</x:v>
      </x:c>
      <x:c r="F4637" s="11" t="n">
        <x:v>-1.7713894592744694</x:v>
      </x:c>
      <x:c r="G4637" s="26" t="b">
        <x:v>0</x:v>
      </x:c>
      <x:c r="H4637" s="16" t="n">
        <x:v>0.27</x:v>
      </x:c>
      <x:c r="I4637" s="16" t="n">
        <x:v>1.1400000000000001</x:v>
      </x:c>
      <x:c r="J4637" s="16" t="n">
        <x:v>1.71</x:v>
      </x:c>
      <x:c r="K4637" s="11" t="n">
        <x:f>CHOOSE('假设'!$B$3,H4637,I4637,J4637)</x:f>
        <x:v>1.1400000000000001</x:v>
      </x:c>
      <x:c r="L4637" s="11" t="n">
        <x:f>K4637*'管线假设'!E999*'管线假设'!F999*'管线假设'!G999*IF(E4637="USD",'管线假设'!I999,1)-AM4637</x:f>
        <x:v>0.41224679999999997</x:v>
      </x:c>
      <x:c r="M4637" s="11" t="n">
        <x:f>'管线假设'!H999</x:f>
        <x:v>0.14</x:v>
      </x:c>
      <x:c r="N4637" s="11" t="n">
        <x:f>IF(G4637,L4637*AN4637/(1+M4637)^F4637,0)</x:f>
        <x:v>0</x:v>
      </x:c>
      <x:c r="AJ4637" s="42" t="n">
        <x:v>0</x:v>
      </x:c>
      <x:c r="AK4637" s="42" t="n">
        <x:v>0</x:v>
      </x:c>
      <x:c r="AL4637" s="42" t="n">
        <x:v>0</x:v>
      </x:c>
      <x:c r="AM4637" t="n">
        <x:f>CHOOSE('假设'!$B$3,AJ4637,AK4637,AL4637)</x:f>
        <x:v>0</x:v>
      </x:c>
      <x:c r="AN4637" t="n">
        <x:v>0</x:v>
      </x:c>
    </x:row>
    <x:row r="4638" ht="23" customHeight="1">
      <x:c r="A4638" s="11" t="str">
        <x:v>02162.HK</x:v>
      </x:c>
      <x:c r="B4638" s="11" t="str">
        <x:v>五年</x:v>
      </x:c>
      <x:c r="C4638" s="11" t="str">
        <x:v>CMG901_2Lplus</x:v>
      </x:c>
      <x:c r="D4638" s="11" t="str">
        <x:v>2030-12-31</x:v>
      </x:c>
      <x:c r="E4638" s="11" t="str">
        <x:v>USD</x:v>
      </x:c>
      <x:c r="F4638" s="11" t="n">
        <x:v>-0.7720739219712526</x:v>
      </x:c>
      <x:c r="G4638" s="26" t="b">
        <x:v>0</x:v>
      </x:c>
      <x:c r="H4638" s="16" t="n">
        <x:v>0.5700000000000001</x:v>
      </x:c>
      <x:c r="I4638" s="16" t="n">
        <x:v>1.9500000000000002</x:v>
      </x:c>
      <x:c r="J4638" s="16" t="n">
        <x:v>2.9250000000000003</x:v>
      </x:c>
      <x:c r="K4638" s="11" t="n">
        <x:f>CHOOSE('假设'!$B$3,H4638,I4638,J4638)</x:f>
        <x:v>1.9500000000000002</x:v>
      </x:c>
      <x:c r="L4638" s="11" t="n">
        <x:f>K4638*'管线假设'!E999*'管线假设'!F999*'管线假设'!G999*IF(E4638="USD",'管线假设'!I999,1)-AM4638</x:f>
        <x:v>0.7051589999999999</x:v>
      </x:c>
      <x:c r="M4638" s="11" t="n">
        <x:f>'管线假设'!H999</x:f>
        <x:v>0.14</x:v>
      </x:c>
      <x:c r="N4638" s="11" t="n">
        <x:f>IF(G4638,L4638*AN4638/(1+M4638)^F4638,0)</x:f>
        <x:v>0</x:v>
      </x:c>
      <x:c r="AJ4638" s="42" t="n">
        <x:v>0</x:v>
      </x:c>
      <x:c r="AK4638" s="42" t="n">
        <x:v>0</x:v>
      </x:c>
      <x:c r="AL4638" s="42" t="n">
        <x:v>0</x:v>
      </x:c>
      <x:c r="AM4638" t="n">
        <x:f>CHOOSE('假设'!$B$3,AJ4638,AK4638,AL4638)</x:f>
        <x:v>0</x:v>
      </x:c>
      <x:c r="AN4638" t="n">
        <x:v>0</x:v>
      </x:c>
    </x:row>
    <x:row r="4639" ht="23" customHeight="1">
      <x:c r="A4639" s="11" t="str">
        <x:v>02162.HK</x:v>
      </x:c>
      <x:c r="B4639" s="11" t="str">
        <x:v>五年</x:v>
      </x:c>
      <x:c r="C4639" s="11" t="str">
        <x:v>CMG901_2Lplus</x:v>
      </x:c>
      <x:c r="D4639" s="11" t="str">
        <x:v>2031-12-31</x:v>
      </x:c>
      <x:c r="E4639" s="11" t="str">
        <x:v>USD</x:v>
      </x:c>
      <x:c r="F4639" s="11" t="n">
        <x:v>0.2272416153319644</x:v>
      </x:c>
      <x:c r="G4639" s="26" t="b">
        <x:v>1</x:v>
      </x:c>
      <x:c r="H4639" s="16" t="n">
        <x:v>0.9750000000000001</x:v>
      </x:c>
      <x:c r="I4639" s="16" t="n">
        <x:v>2.55</x:v>
      </x:c>
      <x:c r="J4639" s="16" t="n">
        <x:v>3.8249999999999997</x:v>
      </x:c>
      <x:c r="K4639" s="11" t="n">
        <x:f>CHOOSE('假设'!$B$3,H4639,I4639,J4639)</x:f>
        <x:v>2.55</x:v>
      </x:c>
      <x:c r="L4639" s="11" t="n">
        <x:f>K4639*'管线假设'!E999*'管线假设'!F999*'管线假设'!G999*IF(E4639="USD",'管线假设'!I999,1)-AM4639</x:f>
        <x:v>0.9221309999999997</x:v>
      </x:c>
      <x:c r="M4639" s="11" t="n">
        <x:f>'管线假设'!H999</x:f>
        <x:v>0.14</x:v>
      </x:c>
      <x:c r="N4639" s="11" t="n">
        <x:f>IF(G4639,L4639*AN4639/(1+M4639)^F4639,0)</x:f>
        <x:v>0.20409773291755637</x:v>
      </x:c>
      <x:c r="AJ4639" s="42" t="n">
        <x:v>0</x:v>
      </x:c>
      <x:c r="AK4639" s="42" t="n">
        <x:v>0</x:v>
      </x:c>
      <x:c r="AL4639" s="42" t="n">
        <x:v>0</x:v>
      </x:c>
      <x:c r="AM4639" t="n">
        <x:f>CHOOSE('假设'!$B$3,AJ4639,AK4639,AL4639)</x:f>
        <x:v>0</x:v>
      </x:c>
      <x:c r="AN4639" t="n">
        <x:v>0.22802197802197802</x:v>
      </x:c>
    </x:row>
    <x:row r="4640" ht="23" customHeight="1">
      <x:c r="A4640" s="11" t="str">
        <x:v>02162.HK</x:v>
      </x:c>
      <x:c r="B4640" s="11" t="str">
        <x:v>五年</x:v>
      </x:c>
      <x:c r="C4640" s="11" t="str">
        <x:v>CMG901_2Lplus</x:v>
      </x:c>
      <x:c r="D4640" s="11" t="str">
        <x:v>2032-12-31</x:v>
      </x:c>
      <x:c r="E4640" s="11" t="str">
        <x:v>USD</x:v>
      </x:c>
      <x:c r="F4640" s="11" t="n">
        <x:v>1.2292950034223136</x:v>
      </x:c>
      <x:c r="G4640" s="26" t="b">
        <x:v>1</x:v>
      </x:c>
      <x:c r="H4640" s="16" t="n">
        <x:v>1.275</x:v>
      </x:c>
      <x:c r="I4640" s="16" t="n">
        <x:v>3</x:v>
      </x:c>
      <x:c r="J4640" s="16" t="n">
        <x:v>4.5</x:v>
      </x:c>
      <x:c r="K4640" s="11" t="n">
        <x:f>CHOOSE('假设'!$B$3,H4640,I4640,J4640)</x:f>
        <x:v>3</x:v>
      </x:c>
      <x:c r="L4640" s="11" t="n">
        <x:f>K4640*'管线假设'!E999*'管线假设'!F999*'管线假设'!G999*IF(E4640="USD",'管线假设'!I999,1)-AM4640</x:f>
        <x:v>1.08486</x:v>
      </x:c>
      <x:c r="M4640" s="11" t="n">
        <x:f>'管线假设'!H999</x:f>
        <x:v>0.14</x:v>
      </x:c>
      <x:c r="N4640" s="11" t="n">
        <x:f>IF(G4640,L4640*AN4640/(1+M4640)^F4640,0)</x:f>
        <x:v>0.9234658657330287</x:v>
      </x:c>
      <x:c r="AJ4640" s="42" t="n">
        <x:v>0</x:v>
      </x:c>
      <x:c r="AK4640" s="42" t="n">
        <x:v>0</x:v>
      </x:c>
      <x:c r="AL4640" s="42" t="n">
        <x:v>0</x:v>
      </x:c>
      <x:c r="AM4640" t="n">
        <x:f>CHOOSE('假设'!$B$3,AJ4640,AK4640,AL4640)</x:f>
        <x:v>0</x:v>
      </x:c>
      <x:c r="AN4640" t="n">
        <x:v>1</x:v>
      </x:c>
    </x:row>
    <x:row r="4641" ht="23" customHeight="1">
      <x:c r="A4641" s="11" t="str">
        <x:v>02162.HK</x:v>
      </x:c>
      <x:c r="B4641" s="11" t="str">
        <x:v>五年</x:v>
      </x:c>
      <x:c r="C4641" s="11" t="str">
        <x:v>CMG901_2Lplus</x:v>
      </x:c>
      <x:c r="D4641" s="11" t="str">
        <x:v>2033-12-31</x:v>
      </x:c>
      <x:c r="E4641" s="11" t="str">
        <x:v>USD</x:v>
      </x:c>
      <x:c r="F4641" s="11" t="n">
        <x:v>2.2286105407255303</x:v>
      </x:c>
      <x:c r="G4641" s="26" t="b">
        <x:v>1</x:v>
      </x:c>
      <x:c r="H4641" s="16" t="n">
        <x:v>1.5</x:v>
      </x:c>
      <x:c r="I4641" s="16" t="n">
        <x:v>3</x:v>
      </x:c>
      <x:c r="J4641" s="16" t="n">
        <x:v>4.5</x:v>
      </x:c>
      <x:c r="K4641" s="11" t="n">
        <x:f>CHOOSE('假设'!$B$3,H4641,I4641,J4641)</x:f>
        <x:v>3</x:v>
      </x:c>
      <x:c r="L4641" s="11" t="n">
        <x:f>K4641*'管线假设'!E999*'管线假设'!F999*'管线假设'!G999*IF(E4641="USD",'管线假设'!I999,1)-AM4641</x:f>
        <x:v>1.08486</x:v>
      </x:c>
      <x:c r="M4641" s="11" t="n">
        <x:f>'管线假设'!H999</x:f>
        <x:v>0.14</x:v>
      </x:c>
      <x:c r="N4641" s="11" t="n">
        <x:f>IF(G4641,L4641*AN4641/(1+M4641)^F4641,0)</x:f>
        <x:v>0.8101304294041457</x:v>
      </x:c>
      <x:c r="AJ4641" s="42" t="n">
        <x:v>0</x:v>
      </x:c>
      <x:c r="AK4641" s="42" t="n">
        <x:v>0</x:v>
      </x:c>
      <x:c r="AL4641" s="42" t="n">
        <x:v>0</x:v>
      </x:c>
      <x:c r="AM4641" t="n">
        <x:f>CHOOSE('假设'!$B$3,AJ4641,AK4641,AL4641)</x:f>
        <x:v>0</x:v>
      </x:c>
      <x:c r="AN4641" t="n">
        <x:v>1</x:v>
      </x:c>
    </x:row>
    <x:row r="4642" ht="23" customHeight="1">
      <x:c r="A4642" s="11" t="str">
        <x:v>02162.HK</x:v>
      </x:c>
      <x:c r="B4642" s="11" t="str">
        <x:v>五年</x:v>
      </x:c>
      <x:c r="C4642" s="11" t="str">
        <x:v>CMG901_2Lplus</x:v>
      </x:c>
      <x:c r="D4642" s="11" t="str">
        <x:v>2034-12-31</x:v>
      </x:c>
      <x:c r="E4642" s="11" t="str">
        <x:v>USD</x:v>
      </x:c>
      <x:c r="F4642" s="11" t="n">
        <x:v>3.2279260780287475</x:v>
      </x:c>
      <x:c r="G4642" s="26" t="b">
        <x:v>1</x:v>
      </x:c>
      <x:c r="H4642" s="16" t="n">
        <x:v>1.5</x:v>
      </x:c>
      <x:c r="I4642" s="16" t="n">
        <x:v>2.8499999999999996</x:v>
      </x:c>
      <x:c r="J4642" s="16" t="n">
        <x:v>4.2749999999999995</x:v>
      </x:c>
      <x:c r="K4642" s="11" t="n">
        <x:f>CHOOSE('假设'!$B$3,H4642,I4642,J4642)</x:f>
        <x:v>2.8499999999999996</x:v>
      </x:c>
      <x:c r="L4642" s="11" t="n">
        <x:f>K4642*'管线假设'!E999*'管线假设'!F999*'管线假设'!G999*IF(E4642="USD",'管线假设'!I999,1)-AM4642</x:f>
        <x:v>1.0306169999999997</x:v>
      </x:c>
      <x:c r="M4642" s="11" t="n">
        <x:f>'管线假设'!H999</x:f>
        <x:v>0.14</x:v>
      </x:c>
      <x:c r="N4642" s="11" t="n">
        <x:f>IF(G4642,L4642*AN4642/(1+M4642)^F4642,0)</x:f>
        <x:v>0.6751692403046209</x:v>
      </x:c>
      <x:c r="AJ4642" s="42" t="n">
        <x:v>0</x:v>
      </x:c>
      <x:c r="AK4642" s="42" t="n">
        <x:v>0</x:v>
      </x:c>
      <x:c r="AL4642" s="42" t="n">
        <x:v>0</x:v>
      </x:c>
      <x:c r="AM4642" t="n">
        <x:f>CHOOSE('假设'!$B$3,AJ4642,AK4642,AL4642)</x:f>
        <x:v>0</x:v>
      </x:c>
      <x:c r="AN4642" t="n">
        <x:v>1</x:v>
      </x:c>
    </x:row>
    <x:row r="4643" ht="23" customHeight="1">
      <x:c r="A4643" s="11" t="str">
        <x:v>02162.HK</x:v>
      </x:c>
      <x:c r="B4643" s="11" t="str">
        <x:v>五年</x:v>
      </x:c>
      <x:c r="C4643" s="11" t="str">
        <x:v>CMG901_2Lplus</x:v>
      </x:c>
      <x:c r="D4643" s="11" t="str">
        <x:v>2035-12-31</x:v>
      </x:c>
      <x:c r="E4643" s="11" t="str">
        <x:v>USD</x:v>
      </x:c>
      <x:c r="F4643" s="11" t="n">
        <x:v>4.227241615331964</x:v>
      </x:c>
      <x:c r="G4643" s="26" t="b">
        <x:v>1</x:v>
      </x:c>
      <x:c r="H4643" s="16" t="n">
        <x:v>1.4249999999999998</x:v>
      </x:c>
      <x:c r="I4643" s="16" t="n">
        <x:v>2.7</x:v>
      </x:c>
      <x:c r="J4643" s="16" t="n">
        <x:v>4.05</x:v>
      </x:c>
      <x:c r="K4643" s="11" t="n">
        <x:f>CHOOSE('假设'!$B$3,H4643,I4643,J4643)</x:f>
        <x:v>2.7</x:v>
      </x:c>
      <x:c r="L4643" s="11" t="n">
        <x:f>K4643*'管线假设'!E999*'管线假设'!F999*'管线假设'!G999*IF(E4643="USD",'管线假设'!I999,1)-AM4643</x:f>
        <x:v>0.976374</x:v>
      </x:c>
      <x:c r="M4643" s="11" t="n">
        <x:f>'管线假设'!H999</x:f>
        <x:v>0.14</x:v>
      </x:c>
      <x:c r="N4643" s="11" t="n">
        <x:f>IF(G4643,L4643*AN4643/(1+M4643)^F4643,0)</x:f>
        <x:v>0.561132793520485</x:v>
      </x:c>
      <x:c r="AJ4643" s="42" t="n">
        <x:v>0</x:v>
      </x:c>
      <x:c r="AK4643" s="42" t="n">
        <x:v>0</x:v>
      </x:c>
      <x:c r="AL4643" s="42" t="n">
        <x:v>0</x:v>
      </x:c>
      <x:c r="AM4643" t="n">
        <x:f>CHOOSE('假设'!$B$3,AJ4643,AK4643,AL4643)</x:f>
        <x:v>0</x:v>
      </x:c>
      <x:c r="AN4643" t="n">
        <x:v>1</x:v>
      </x:c>
    </x:row>
    <x:row r="4644" ht="23" customHeight="1">
      <x:c r="A4644" s="11" t="str">
        <x:v>02162.HK</x:v>
      </x:c>
      <x:c r="B4644" s="11" t="str">
        <x:v>五年</x:v>
      </x:c>
      <x:c r="C4644" s="11" t="str">
        <x:v>CMG901_2Lplus</x:v>
      </x:c>
      <x:c r="D4644" s="11" t="str">
        <x:v>2036-12-31</x:v>
      </x:c>
      <x:c r="E4644" s="11" t="str">
        <x:v>USD</x:v>
      </x:c>
      <x:c r="F4644" s="11" t="n">
        <x:v>5.229295003422314</x:v>
      </x:c>
      <x:c r="G4644" s="26" t="b">
        <x:v>1</x:v>
      </x:c>
      <x:c r="H4644" s="16" t="n">
        <x:v>1.35</x:v>
      </x:c>
      <x:c r="I4644" s="16" t="n">
        <x:v>2.4000000000000004</x:v>
      </x:c>
      <x:c r="J4644" s="16" t="n">
        <x:v>3.6</x:v>
      </x:c>
      <x:c r="K4644" s="11" t="n">
        <x:f>CHOOSE('假设'!$B$3,H4644,I4644,J4644)</x:f>
        <x:v>2.4000000000000004</x:v>
      </x:c>
      <x:c r="L4644" s="11" t="n">
        <x:f>K4644*'管线假设'!E999*'管线假设'!F999*'管线假设'!G999*IF(E4644="USD",'管线假设'!I999,1)-AM4644</x:f>
        <x:v>0.867888</x:v>
      </x:c>
      <x:c r="M4644" s="11" t="n">
        <x:f>'管线假设'!H999</x:f>
        <x:v>0.14</x:v>
      </x:c>
      <x:c r="N4644" s="11" t="n">
        <x:f>IF(G4644,L4644*AN4644/(1+M4644)^F4644,0)</x:f>
        <x:v>0.437412740740091</x:v>
      </x:c>
      <x:c r="AJ4644" s="42" t="n">
        <x:v>0</x:v>
      </x:c>
      <x:c r="AK4644" s="42" t="n">
        <x:v>0</x:v>
      </x:c>
      <x:c r="AL4644" s="42" t="n">
        <x:v>0</x:v>
      </x:c>
      <x:c r="AM4644" t="n">
        <x:f>CHOOSE('假设'!$B$3,AJ4644,AK4644,AL4644)</x:f>
        <x:v>0</x:v>
      </x:c>
      <x:c r="AN4644" t="n">
        <x:v>1</x:v>
      </x:c>
    </x:row>
    <x:row r="4645" ht="23" customHeight="1">
      <x:c r="A4645" s="11" t="str">
        <x:v>02162.HK</x:v>
      </x:c>
      <x:c r="B4645" s="11" t="str">
        <x:v>五年</x:v>
      </x:c>
      <x:c r="C4645" s="11" t="str">
        <x:v>CMG901_2Lplus</x:v>
      </x:c>
      <x:c r="D4645" s="11" t="str">
        <x:v>2037-12-31</x:v>
      </x:c>
      <x:c r="E4645" s="11" t="str">
        <x:v>USD</x:v>
      </x:c>
      <x:c r="F4645" s="11" t="n">
        <x:v>6.228610540725531</x:v>
      </x:c>
      <x:c r="G4645" s="26" t="b">
        <x:v>1</x:v>
      </x:c>
      <x:c r="H4645" s="16" t="n">
        <x:v>1.2000000000000002</x:v>
      </x:c>
      <x:c r="I4645" s="16" t="n">
        <x:v>1.9500000000000002</x:v>
      </x:c>
      <x:c r="J4645" s="16" t="n">
        <x:v>2.9250000000000003</x:v>
      </x:c>
      <x:c r="K4645" s="11" t="n">
        <x:f>CHOOSE('假设'!$B$3,H4645,I4645,J4645)</x:f>
        <x:v>1.9500000000000002</x:v>
      </x:c>
      <x:c r="L4645" s="11" t="n">
        <x:f>K4645*'管线假设'!E999*'管线假设'!F999*'管线假设'!G999*IF(E4645="USD",'管线假设'!I999,1)-AM4645</x:f>
        <x:v>0.7051589999999999</x:v>
      </x:c>
      <x:c r="M4645" s="11" t="n">
        <x:f>'管线假设'!H999</x:f>
        <x:v>0.14</x:v>
      </x:c>
      <x:c r="N4645" s="11" t="n">
        <x:f>IF(G4645,L4645*AN4645/(1+M4645)^F4645,0)</x:f>
        <x:v>0.31178046207596416</x:v>
      </x:c>
      <x:c r="AJ4645" s="42" t="n">
        <x:v>0</x:v>
      </x:c>
      <x:c r="AK4645" s="42" t="n">
        <x:v>0</x:v>
      </x:c>
      <x:c r="AL4645" s="42" t="n">
        <x:v>0</x:v>
      </x:c>
      <x:c r="AM4645" t="n">
        <x:f>CHOOSE('假设'!$B$3,AJ4645,AK4645,AL4645)</x:f>
        <x:v>0</x:v>
      </x:c>
      <x:c r="AN4645" t="n">
        <x:v>1</x:v>
      </x:c>
    </x:row>
    <x:row r="4646" ht="23" customHeight="1">
      <x:c r="A4646" s="11" t="str">
        <x:v>02162.HK</x:v>
      </x:c>
      <x:c r="B4646" s="11" t="str">
        <x:v>五年</x:v>
      </x:c>
      <x:c r="C4646" s="11" t="str">
        <x:v>CMG901_2Lplus</x:v>
      </x:c>
      <x:c r="D4646" s="11" t="str">
        <x:v>2038-12-31</x:v>
      </x:c>
      <x:c r="E4646" s="11" t="str">
        <x:v>USD</x:v>
      </x:c>
      <x:c r="F4646" s="11" t="n">
        <x:v>7.227926078028747</x:v>
      </x:c>
      <x:c r="G4646" s="26" t="b">
        <x:v>1</x:v>
      </x:c>
      <x:c r="H4646" s="16" t="n">
        <x:v>0.9750000000000001</x:v>
      </x:c>
      <x:c r="I4646" s="16" t="n">
        <x:v>1.5</x:v>
      </x:c>
      <x:c r="J4646" s="16" t="n">
        <x:v>2.25</x:v>
      </x:c>
      <x:c r="K4646" s="11" t="n">
        <x:f>CHOOSE('假设'!$B$3,H4646,I4646,J4646)</x:f>
        <x:v>1.5</x:v>
      </x:c>
      <x:c r="L4646" s="11" t="n">
        <x:f>K4646*'管线假设'!E999*'管线假设'!F999*'管线假设'!G999*IF(E4646="USD",'管线假设'!I999,1)-AM4646</x:f>
        <x:v>0.54243</x:v>
      </x:c>
      <x:c r="M4646" s="11" t="n">
        <x:f>'管线假设'!H999</x:f>
        <x:v>0.14</x:v>
      </x:c>
      <x:c r="N4646" s="11" t="n">
        <x:f>IF(G4646,L4646*AN4646/(1+M4646)^F4646,0)</x:f>
        <x:v>0.21039704793230532</x:v>
      </x:c>
      <x:c r="AJ4646" s="42" t="n">
        <x:v>0</x:v>
      </x:c>
      <x:c r="AK4646" s="42" t="n">
        <x:v>0</x:v>
      </x:c>
      <x:c r="AL4646" s="42" t="n">
        <x:v>0</x:v>
      </x:c>
      <x:c r="AM4646" t="n">
        <x:f>CHOOSE('假设'!$B$3,AJ4646,AK4646,AL4646)</x:f>
        <x:v>0</x:v>
      </x:c>
      <x:c r="AN4646" t="n">
        <x:v>1</x:v>
      </x:c>
    </x:row>
    <x:row r="4647" ht="23" customHeight="1">
      <x:c r="A4647" s="11" t="str">
        <x:v>02162.HK</x:v>
      </x:c>
      <x:c r="B4647" s="11" t="str">
        <x:v>五年</x:v>
      </x:c>
      <x:c r="C4647" s="11" t="str">
        <x:v>CMG901_2Lplus</x:v>
      </x:c>
      <x:c r="D4647" s="11" t="str">
        <x:v>2039-12-31</x:v>
      </x:c>
      <x:c r="E4647" s="11" t="str">
        <x:v>USD</x:v>
      </x:c>
      <x:c r="F4647" s="11" t="n">
        <x:v>8.227241615331964</x:v>
      </x:c>
      <x:c r="G4647" s="26" t="b">
        <x:v>1</x:v>
      </x:c>
      <x:c r="H4647" s="16" t="n">
        <x:v>0.75</x:v>
      </x:c>
      <x:c r="I4647" s="16" t="n">
        <x:v>1.0499999999999998</x:v>
      </x:c>
      <x:c r="J4647" s="16" t="n">
        <x:v>1.575</x:v>
      </x:c>
      <x:c r="K4647" s="11" t="n">
        <x:f>CHOOSE('假设'!$B$3,H4647,I4647,J4647)</x:f>
        <x:v>1.0499999999999998</x:v>
      </x:c>
      <x:c r="L4647" s="11" t="n">
        <x:f>K4647*'管线假设'!E999*'管线假设'!F999*'管线假设'!G999*IF(E4647="USD",'管线假设'!I999,1)-AM4647</x:f>
        <x:v>0.37970099999999984</x:v>
      </x:c>
      <x:c r="M4647" s="11" t="n">
        <x:f>'管线假设'!H999</x:f>
        <x:v>0.14</x:v>
      </x:c>
      <x:c r="N4647" s="11" t="n">
        <x:f>IF(G4647,L4647*AN4647/(1+M4647)^F4647,0)</x:f>
        <x:v>0.12920275667799028</x:v>
      </x:c>
      <x:c r="AJ4647" s="42" t="n">
        <x:v>0</x:v>
      </x:c>
      <x:c r="AK4647" s="42" t="n">
        <x:v>0</x:v>
      </x:c>
      <x:c r="AL4647" s="42" t="n">
        <x:v>0</x:v>
      </x:c>
      <x:c r="AM4647" t="n">
        <x:f>CHOOSE('假设'!$B$3,AJ4647,AK4647,AL4647)</x:f>
        <x:v>0</x:v>
      </x:c>
      <x:c r="AN4647" t="n">
        <x:v>1</x:v>
      </x:c>
    </x:row>
    <x:row r="4648" ht="23" customHeight="1">
      <x:c r="A4648" s="11" t="str">
        <x:v>02162.HK</x:v>
      </x:c>
      <x:c r="B4648" s="11" t="str">
        <x:v>五年</x:v>
      </x:c>
      <x:c r="C4648" s="11" t="str">
        <x:v>CMG901_2Lplus</x:v>
      </x:c>
      <x:c r="D4648" s="11" t="str">
        <x:v>2040-12-31</x:v>
      </x:c>
      <x:c r="E4648" s="11" t="str">
        <x:v>USD</x:v>
      </x:c>
      <x:c r="F4648" s="11" t="n">
        <x:v>9.229295003422314</x:v>
      </x:c>
      <x:c r="G4648" s="26" t="b">
        <x:v>1</x:v>
      </x:c>
      <x:c r="H4648" s="16" t="n">
        <x:v>0.5249999999999999</x:v>
      </x:c>
      <x:c r="I4648" s="16" t="n">
        <x:v>0.6000000000000001</x:v>
      </x:c>
      <x:c r="J4648" s="16" t="n">
        <x:v>0.9</x:v>
      </x:c>
      <x:c r="K4648" s="11" t="n">
        <x:f>CHOOSE('假设'!$B$3,H4648,I4648,J4648)</x:f>
        <x:v>0.6000000000000001</x:v>
      </x:c>
      <x:c r="L4648" s="11" t="n">
        <x:f>K4648*'管线假设'!E999*'管线假设'!F999*'管线假设'!G999*IF(E4648="USD",'管线假设'!I999,1)-AM4648</x:f>
        <x:v>0.216972</x:v>
      </x:c>
      <x:c r="M4648" s="11" t="n">
        <x:f>'管线假设'!H999</x:f>
        <x:v>0.14</x:v>
      </x:c>
      <x:c r="N4648" s="11" t="n">
        <x:f>IF(G4648,L4648*AN4648/(1+M4648)^F4648,0)</x:f>
        <x:v>0.06474586421566196</x:v>
      </x:c>
      <x:c r="AJ4648" s="42" t="n">
        <x:v>0</x:v>
      </x:c>
      <x:c r="AK4648" s="42" t="n">
        <x:v>0</x:v>
      </x:c>
      <x:c r="AL4648" s="42" t="n">
        <x:v>0</x:v>
      </x:c>
      <x:c r="AM4648" t="n">
        <x:f>CHOOSE('假设'!$B$3,AJ4648,AK4648,AL4648)</x:f>
        <x:v>0</x:v>
      </x:c>
      <x:c r="AN4648" t="n">
        <x:v>1</x:v>
      </x:c>
    </x:row>
    <x:row r="4649" ht="23" customHeight="1">
      <x:c r="A4649" s="11" t="str">
        <x:v>02162.HK</x:v>
      </x:c>
      <x:c r="B4649" s="11" t="str">
        <x:v>五年</x:v>
      </x:c>
      <x:c r="C4649" s="11" t="str">
        <x:v>CMG901_2Lplus</x:v>
      </x:c>
      <x:c r="D4649" s="11" t="str">
        <x:v>2041-12-31</x:v>
      </x:c>
      <x:c r="E4649" s="11" t="str">
        <x:v>USD</x:v>
      </x:c>
      <x:c r="F4649" s="11" t="n">
        <x:v>10.22861054072553</x:v>
      </x:c>
      <x:c r="G4649" s="26" t="b">
        <x:v>1</x:v>
      </x:c>
      <x:c r="H4649" s="16" t="n">
        <x:v>0.30000000000000004</x:v>
      </x:c>
      <x:c r="I4649" s="16" t="n">
        <x:v>0.36</x:v>
      </x:c>
      <x:c r="J4649" s="16" t="n">
        <x:v>0.54</x:v>
      </x:c>
      <x:c r="K4649" s="11" t="n">
        <x:f>CHOOSE('假设'!$B$3,H4649,I4649,J4649)</x:f>
        <x:v>0.36</x:v>
      </x:c>
      <x:c r="L4649" s="11" t="n">
        <x:f>K4649*'管线假设'!E999*'管线假设'!F999*'管线假设'!G999*IF(E4649="USD",'管线假设'!I999,1)-AM4649</x:f>
        <x:v>0.1301832</x:v>
      </x:c>
      <x:c r="M4649" s="11" t="n">
        <x:f>'管线假设'!H999</x:f>
        <x:v>0.14</x:v>
      </x:c>
      <x:c r="N4649" s="11" t="n">
        <x:f>IF(G4649,L4649*AN4649/(1+M4649)^F4649,0)</x:f>
        <x:v>0.03407982691653097</x:v>
      </x:c>
      <x:c r="AJ4649" s="42" t="n">
        <x:v>0</x:v>
      </x:c>
      <x:c r="AK4649" s="42" t="n">
        <x:v>0</x:v>
      </x:c>
      <x:c r="AL4649" s="42" t="n">
        <x:v>0</x:v>
      </x:c>
      <x:c r="AM4649" t="n">
        <x:f>CHOOSE('假设'!$B$3,AJ4649,AK4649,AL4649)</x:f>
        <x:v>0</x:v>
      </x:c>
      <x:c r="AN4649" t="n">
        <x:v>1</x:v>
      </x:c>
    </x:row>
    <x:row r="4650" ht="23" customHeight="1">
      <x:c r="A4650" s="11" t="str">
        <x:v>02162.HK</x:v>
      </x:c>
      <x:c r="B4650" s="11" t="str">
        <x:v>五年</x:v>
      </x:c>
      <x:c r="C4650" s="11" t="str">
        <x:v>CMG901_2Lplus</x:v>
      </x:c>
      <x:c r="D4650" s="11" t="str">
        <x:v>2042-12-31</x:v>
      </x:c>
      <x:c r="E4650" s="11" t="str">
        <x:v>USD</x:v>
      </x:c>
      <x:c r="F4650" s="11" t="n">
        <x:v>11.227926078028748</x:v>
      </x:c>
      <x:c r="G4650" s="26" t="b">
        <x:v>1</x:v>
      </x:c>
      <x:c r="H4650" s="16" t="n">
        <x:v>0.18</x:v>
      </x:c>
      <x:c r="I4650" s="16" t="n">
        <x:v>0.21000000000000002</x:v>
      </x:c>
      <x:c r="J4650" s="16" t="n">
        <x:v>0.31500000000000006</x:v>
      </x:c>
      <x:c r="K4650" s="11" t="n">
        <x:f>CHOOSE('假设'!$B$3,H4650,I4650,J4650)</x:f>
        <x:v>0.21000000000000002</x:v>
      </x:c>
      <x:c r="L4650" s="11" t="n">
        <x:f>K4650*'管线假设'!E999*'管线假设'!F999*'管线假设'!G999*IF(E4650="USD",'管线假设'!I999,1)-AM4650</x:f>
        <x:v>0.0759402</x:v>
      </x:c>
      <x:c r="M4650" s="11" t="n">
        <x:f>'管线假设'!H999</x:f>
        <x:v>0.14</x:v>
      </x:c>
      <x:c r="N4650" s="11" t="n">
        <x:f>IF(G4650,L4650*AN4650/(1+M4650)^F4650,0)</x:f>
        <x:v>0.01744007194966797</x:v>
      </x:c>
      <x:c r="AJ4650" s="42" t="n">
        <x:v>0</x:v>
      </x:c>
      <x:c r="AK4650" s="42" t="n">
        <x:v>0</x:v>
      </x:c>
      <x:c r="AL4650" s="42" t="n">
        <x:v>0</x:v>
      </x:c>
      <x:c r="AM4650" t="n">
        <x:f>CHOOSE('假设'!$B$3,AJ4650,AK4650,AL4650)</x:f>
        <x:v>0</x:v>
      </x:c>
      <x:c r="AN4650" t="n">
        <x:v>1</x:v>
      </x:c>
    </x:row>
    <x:row r="4651" ht="23" customHeight="1">
      <x:c r="A4651" s="11" t="str">
        <x:v>02162.HK</x:v>
      </x:c>
      <x:c r="B4651" s="11" t="str">
        <x:v>五年</x:v>
      </x:c>
      <x:c r="C4651" s="11" t="str">
        <x:v>CMG901_2Lplus</x:v>
      </x:c>
      <x:c r="D4651" s="11" t="str">
        <x:v>2043-12-31</x:v>
      </x:c>
      <x:c r="E4651" s="11" t="str">
        <x:v>USD</x:v>
      </x:c>
      <x:c r="F4651" s="11" t="n">
        <x:v>12.227241615331964</x:v>
      </x:c>
      <x:c r="G4651" s="26" t="b">
        <x:v>1</x:v>
      </x:c>
      <x:c r="H4651" s="16" t="n">
        <x:v>0.10500000000000001</x:v>
      </x:c>
      <x:c r="I4651" s="16" t="n">
        <x:v>0.09</x:v>
      </x:c>
      <x:c r="J4651" s="16" t="n">
        <x:v>0.135</x:v>
      </x:c>
      <x:c r="K4651" s="11" t="n">
        <x:f>CHOOSE('假设'!$B$3,H4651,I4651,J4651)</x:f>
        <x:v>0.09</x:v>
      </x:c>
      <x:c r="L4651" s="11" t="n">
        <x:f>K4651*'管线假设'!E999*'管线假设'!F999*'管线假设'!G999*IF(E4651="USD",'管线假设'!I999,1)-AM4651</x:f>
        <x:v>0.0325458</x:v>
      </x:c>
      <x:c r="M4651" s="11" t="n">
        <x:f>'管线假设'!H999</x:f>
        <x:v>0.14</x:v>
      </x:c>
      <x:c r="N4651" s="11" t="n">
        <x:f>IF(G4651,L4651*AN4651/(1+M4651)^F4651,0)</x:f>
        <x:v>0.006557006058076939</x:v>
      </x:c>
      <x:c r="AJ4651" s="42" t="n">
        <x:v>0</x:v>
      </x:c>
      <x:c r="AK4651" s="42" t="n">
        <x:v>0</x:v>
      </x:c>
      <x:c r="AL4651" s="42" t="n">
        <x:v>0</x:v>
      </x:c>
      <x:c r="AM4651" t="n">
        <x:f>CHOOSE('假设'!$B$3,AJ4651,AK4651,AL4651)</x:f>
        <x:v>0</x:v>
      </x:c>
      <x:c r="AN4651" t="n">
        <x:v>1</x:v>
      </x:c>
    </x:row>
    <x:row r="4652" ht="23" customHeight="1">
      <x:c r="A4652" s="11" t="str">
        <x:v>02162.HK</x:v>
      </x:c>
      <x:c r="B4652" s="11" t="str">
        <x:v>五年</x:v>
      </x:c>
      <x:c r="C4652" s="11" t="str">
        <x:v>CMG901_2Lplus</x:v>
      </x:c>
      <x:c r="D4652" s="11" t="str">
        <x:v>2044-12-31</x:v>
      </x:c>
      <x:c r="E4652" s="11" t="str">
        <x:v>USD</x:v>
      </x:c>
      <x:c r="F4652" s="11" t="n">
        <x:v>13.229295003422314</x:v>
      </x:c>
      <x:c r="G4652" s="26" t="b">
        <x:v>1</x:v>
      </x:c>
      <x:c r="H4652" s="16" t="n">
        <x:v>0.045</x:v>
      </x:c>
      <x:c r="I4652" s="16" t="n">
        <x:v>0.09</x:v>
      </x:c>
      <x:c r="J4652" s="16" t="n">
        <x:v>0.135</x:v>
      </x:c>
      <x:c r="K4652" s="11" t="n">
        <x:f>CHOOSE('假设'!$B$3,H4652,I4652,J4652)</x:f>
        <x:v>0.09</x:v>
      </x:c>
      <x:c r="L4652" s="11" t="n">
        <x:f>K4652*'管线假设'!E999*'管线假设'!F999*'管线假设'!G999*IF(E4652="USD",'管线假设'!I999,1)-AM4652</x:f>
        <x:v>0.0325458</x:v>
      </x:c>
      <x:c r="M4652" s="11" t="n">
        <x:f>'管线假设'!H999</x:f>
        <x:v>0.14</x:v>
      </x:c>
      <x:c r="N4652" s="11" t="n">
        <x:f>IF(G4652,L4652*AN4652/(1+M4652)^F4652,0)</x:f>
        <x:v>0.005750212386507265</x:v>
      </x:c>
      <x:c r="AJ4652" s="42" t="n">
        <x:v>0</x:v>
      </x:c>
      <x:c r="AK4652" s="42" t="n">
        <x:v>0</x:v>
      </x:c>
      <x:c r="AL4652" s="42" t="n">
        <x:v>0</x:v>
      </x:c>
      <x:c r="AM4652" t="n">
        <x:f>CHOOSE('假设'!$B$3,AJ4652,AK4652,AL4652)</x:f>
        <x:v>0</x:v>
      </x:c>
      <x:c r="AN4652" t="n">
        <x:v>1</x:v>
      </x:c>
    </x:row>
    <x:row r="4653" ht="23" customHeight="1">
      <x:c r="A4653" s="11" t="str">
        <x:v>02162.HK</x:v>
      </x:c>
      <x:c r="B4653" s="11" t="str">
        <x:v>五年</x:v>
      </x:c>
      <x:c r="C4653" s="11" t="str">
        <x:v>CMG901_expansion</x:v>
      </x:c>
      <x:c r="D4653" s="11" t="str">
        <x:v>2026-12-31</x:v>
      </x:c>
      <x:c r="E4653" s="11" t="str">
        <x:v>USD</x:v>
      </x:c>
      <x:c r="F4653" s="11" t="n">
        <x:v>-4.772073921971253</x:v>
      </x:c>
      <x:c r="G4653" s="26" t="b">
        <x:v>0</x:v>
      </x:c>
      <x:c r="H4653" s="16" t="n">
        <x:v>0</x:v>
      </x:c>
      <x:c r="I4653" s="16" t="n">
        <x:v>0</x:v>
      </x:c>
      <x:c r="J4653" s="16" t="n">
        <x:v>0</x:v>
      </x:c>
      <x:c r="K4653" s="11" t="n">
        <x:f>CHOOSE('假设'!$B$3,H4653,I4653,J4653)</x:f>
        <x:v>0</x:v>
      </x:c>
      <x:c r="L4653" s="11" t="n">
        <x:f>K4653*'管线假设'!E1003*'管线假设'!F1003*'管线假设'!G1003*IF(E4653="USD",'管线假设'!I1003,1)-AM4653</x:f>
        <x:v>-0.042</x:v>
      </x:c>
      <x:c r="M4653" s="11" t="n">
        <x:f>'管线假设'!H1003</x:f>
        <x:v>0.14</x:v>
      </x:c>
      <x:c r="N4653" s="11" t="n">
        <x:f>IF(G4653,L4653*AN4653/(1+M4653)^F4653,0)</x:f>
        <x:v>0</x:v>
      </x:c>
      <x:c r="AJ4653" s="42" t="n">
        <x:v>0.028</x:v>
      </x:c>
      <x:c r="AK4653" s="42" t="n">
        <x:v>0.042</x:v>
      </x:c>
      <x:c r="AL4653" s="42" t="n">
        <x:v>0.056</x:v>
      </x:c>
      <x:c r="AM4653" t="n">
        <x:f>CHOOSE('假设'!$B$3,AJ4653,AK4653,AL4653)</x:f>
        <x:v>0.042</x:v>
      </x:c>
      <x:c r="AN4653" t="n">
        <x:v>0</x:v>
      </x:c>
    </x:row>
    <x:row r="4654" ht="23" customHeight="1">
      <x:c r="A4654" s="11" t="str">
        <x:v>02162.HK</x:v>
      </x:c>
      <x:c r="B4654" s="11" t="str">
        <x:v>五年</x:v>
      </x:c>
      <x:c r="C4654" s="11" t="str">
        <x:v>CMG901_expansion</x:v>
      </x:c>
      <x:c r="D4654" s="11" t="str">
        <x:v>2027-12-31</x:v>
      </x:c>
      <x:c r="E4654" s="11" t="str">
        <x:v>USD</x:v>
      </x:c>
      <x:c r="F4654" s="11" t="n">
        <x:v>-3.7727583846680357</x:v>
      </x:c>
      <x:c r="G4654" s="26" t="b">
        <x:v>0</x:v>
      </x:c>
      <x:c r="H4654" s="16" t="n">
        <x:v>0</x:v>
      </x:c>
      <x:c r="I4654" s="16" t="n">
        <x:v>0</x:v>
      </x:c>
      <x:c r="J4654" s="16" t="n">
        <x:v>0</x:v>
      </x:c>
      <x:c r="K4654" s="11" t="n">
        <x:f>CHOOSE('假设'!$B$3,H4654,I4654,J4654)</x:f>
        <x:v>0</x:v>
      </x:c>
      <x:c r="L4654" s="11" t="n">
        <x:f>K4654*'管线假设'!E1003*'管线假设'!F1003*'管线假设'!G1003*IF(E4654="USD",'管线假设'!I1003,1)-AM4654</x:f>
        <x:v>-0.042</x:v>
      </x:c>
      <x:c r="M4654" s="11" t="n">
        <x:f>'管线假设'!H1003</x:f>
        <x:v>0.14</x:v>
      </x:c>
      <x:c r="N4654" s="11" t="n">
        <x:f>IF(G4654,L4654*AN4654/(1+M4654)^F4654,0)</x:f>
        <x:v>0</x:v>
      </x:c>
      <x:c r="AJ4654" s="42" t="n">
        <x:v>0.028</x:v>
      </x:c>
      <x:c r="AK4654" s="42" t="n">
        <x:v>0.042</x:v>
      </x:c>
      <x:c r="AL4654" s="42" t="n">
        <x:v>0.056</x:v>
      </x:c>
      <x:c r="AM4654" t="n">
        <x:f>CHOOSE('假设'!$B$3,AJ4654,AK4654,AL4654)</x:f>
        <x:v>0.042</x:v>
      </x:c>
      <x:c r="AN4654" t="n">
        <x:v>0</x:v>
      </x:c>
    </x:row>
    <x:row r="4655" ht="23" customHeight="1">
      <x:c r="A4655" s="11" t="str">
        <x:v>02162.HK</x:v>
      </x:c>
      <x:c r="B4655" s="11" t="str">
        <x:v>五年</x:v>
      </x:c>
      <x:c r="C4655" s="11" t="str">
        <x:v>CMG901_expansion</x:v>
      </x:c>
      <x:c r="D4655" s="11" t="str">
        <x:v>2028-12-31</x:v>
      </x:c>
      <x:c r="E4655" s="11" t="str">
        <x:v>USD</x:v>
      </x:c>
      <x:c r="F4655" s="11" t="n">
        <x:v>-2.7707049965776864</x:v>
      </x:c>
      <x:c r="G4655" s="26" t="b">
        <x:v>0</x:v>
      </x:c>
      <x:c r="H4655" s="16" t="n">
        <x:v>0</x:v>
      </x:c>
      <x:c r="I4655" s="16" t="n">
        <x:v>0</x:v>
      </x:c>
      <x:c r="J4655" s="16" t="n">
        <x:v>0</x:v>
      </x:c>
      <x:c r="K4655" s="11" t="n">
        <x:f>CHOOSE('假设'!$B$3,H4655,I4655,J4655)</x:f>
        <x:v>0</x:v>
      </x:c>
      <x:c r="L4655" s="11" t="n">
        <x:f>K4655*'管线假设'!E1003*'管线假设'!F1003*'管线假设'!G1003*IF(E4655="USD",'管线假设'!I1003,1)-AM4655</x:f>
        <x:v>0</x:v>
      </x:c>
      <x:c r="M4655" s="11" t="n">
        <x:f>'管线假设'!H1003</x:f>
        <x:v>0.14</x:v>
      </x:c>
      <x:c r="N4655" s="11" t="n">
        <x:f>IF(G4655,L4655*AN4655/(1+M4655)^F4655,0)</x:f>
        <x:v>0</x:v>
      </x:c>
      <x:c r="AJ4655" s="42" t="n">
        <x:v>0</x:v>
      </x:c>
      <x:c r="AK4655" s="42" t="n">
        <x:v>0</x:v>
      </x:c>
      <x:c r="AL4655" s="42" t="n">
        <x:v>0</x:v>
      </x:c>
      <x:c r="AM4655" t="n">
        <x:f>CHOOSE('假设'!$B$3,AJ4655,AK4655,AL4655)</x:f>
        <x:v>0</x:v>
      </x:c>
      <x:c r="AN4655" t="n">
        <x:v>0</x:v>
      </x:c>
    </x:row>
    <x:row r="4656" ht="23" customHeight="1">
      <x:c r="A4656" s="11" t="str">
        <x:v>02162.HK</x:v>
      </x:c>
      <x:c r="B4656" s="11" t="str">
        <x:v>五年</x:v>
      </x:c>
      <x:c r="C4656" s="11" t="str">
        <x:v>CMG901_expansion</x:v>
      </x:c>
      <x:c r="D4656" s="11" t="str">
        <x:v>2029-12-31</x:v>
      </x:c>
      <x:c r="E4656" s="11" t="str">
        <x:v>USD</x:v>
      </x:c>
      <x:c r="F4656" s="11" t="n">
        <x:v>-1.7713894592744694</x:v>
      </x:c>
      <x:c r="G4656" s="26" t="b">
        <x:v>0</x:v>
      </x:c>
      <x:c r="H4656" s="16" t="n">
        <x:v>0</x:v>
      </x:c>
      <x:c r="I4656" s="16" t="n">
        <x:v>0</x:v>
      </x:c>
      <x:c r="J4656" s="16" t="n">
        <x:v>0.3</x:v>
      </x:c>
      <x:c r="K4656" s="11" t="n">
        <x:f>CHOOSE('假设'!$B$3,H4656,I4656,J4656)</x:f>
        <x:v>0</x:v>
      </x:c>
      <x:c r="L4656" s="11" t="n">
        <x:f>K4656*'管线假设'!E1003*'管线假设'!F1003*'管线假设'!G1003*IF(E4656="USD",'管线假设'!I1003,1)-AM4656</x:f>
        <x:v>0</x:v>
      </x:c>
      <x:c r="M4656" s="11" t="n">
        <x:f>'管线假设'!H1003</x:f>
        <x:v>0.14</x:v>
      </x:c>
      <x:c r="N4656" s="11" t="n">
        <x:f>IF(G4656,L4656*AN4656/(1+M4656)^F4656,0)</x:f>
        <x:v>0</x:v>
      </x:c>
      <x:c r="AJ4656" s="42" t="n">
        <x:v>0</x:v>
      </x:c>
      <x:c r="AK4656" s="42" t="n">
        <x:v>0</x:v>
      </x:c>
      <x:c r="AL4656" s="42" t="n">
        <x:v>0</x:v>
      </x:c>
      <x:c r="AM4656" t="n">
        <x:f>CHOOSE('假设'!$B$3,AJ4656,AK4656,AL4656)</x:f>
        <x:v>0</x:v>
      </x:c>
      <x:c r="AN4656" t="n">
        <x:v>0</x:v>
      </x:c>
    </x:row>
    <x:row r="4657" ht="23" customHeight="1">
      <x:c r="A4657" s="11" t="str">
        <x:v>02162.HK</x:v>
      </x:c>
      <x:c r="B4657" s="11" t="str">
        <x:v>五年</x:v>
      </x:c>
      <x:c r="C4657" s="11" t="str">
        <x:v>CMG901_expansion</x:v>
      </x:c>
      <x:c r="D4657" s="11" t="str">
        <x:v>2030-12-31</x:v>
      </x:c>
      <x:c r="E4657" s="11" t="str">
        <x:v>USD</x:v>
      </x:c>
      <x:c r="F4657" s="11" t="n">
        <x:v>-0.7720739219712526</x:v>
      </x:c>
      <x:c r="G4657" s="26" t="b">
        <x:v>0</x:v>
      </x:c>
      <x:c r="H4657" s="16" t="n">
        <x:v>0</x:v>
      </x:c>
      <x:c r="I4657" s="16" t="n">
        <x:v>0.15</x:v>
      </x:c>
      <x:c r="J4657" s="16" t="n">
        <x:v>0.8999999999999999</x:v>
      </x:c>
      <x:c r="K4657" s="11" t="n">
        <x:f>CHOOSE('假设'!$B$3,H4657,I4657,J4657)</x:f>
        <x:v>0.15</x:v>
      </x:c>
      <x:c r="L4657" s="11" t="n">
        <x:f>K4657*'管线假设'!E1003*'管线假设'!F1003*'管线假设'!G1003*IF(E4657="USD",'管线假设'!I1003,1)-AM4657</x:f>
        <x:v>0.02531339999999999</x:v>
      </x:c>
      <x:c r="M4657" s="11" t="n">
        <x:f>'管线假设'!H1003</x:f>
        <x:v>0.14</x:v>
      </x:c>
      <x:c r="N4657" s="11" t="n">
        <x:f>IF(G4657,L4657*AN4657/(1+M4657)^F4657,0)</x:f>
        <x:v>0</x:v>
      </x:c>
      <x:c r="AJ4657" s="42" t="n">
        <x:v>0</x:v>
      </x:c>
      <x:c r="AK4657" s="42" t="n">
        <x:v>0</x:v>
      </x:c>
      <x:c r="AL4657" s="42" t="n">
        <x:v>0</x:v>
      </x:c>
      <x:c r="AM4657" t="n">
        <x:f>CHOOSE('假设'!$B$3,AJ4657,AK4657,AL4657)</x:f>
        <x:v>0</x:v>
      </x:c>
      <x:c r="AN4657" t="n">
        <x:v>0</x:v>
      </x:c>
    </x:row>
    <x:row r="4658" ht="23" customHeight="1">
      <x:c r="A4658" s="11" t="str">
        <x:v>02162.HK</x:v>
      </x:c>
      <x:c r="B4658" s="11" t="str">
        <x:v>五年</x:v>
      </x:c>
      <x:c r="C4658" s="11" t="str">
        <x:v>CMG901_expansion</x:v>
      </x:c>
      <x:c r="D4658" s="11" t="str">
        <x:v>2031-12-31</x:v>
      </x:c>
      <x:c r="E4658" s="11" t="str">
        <x:v>USD</x:v>
      </x:c>
      <x:c r="F4658" s="11" t="n">
        <x:v>0.2272416153319644</x:v>
      </x:c>
      <x:c r="G4658" s="26" t="b">
        <x:v>1</x:v>
      </x:c>
      <x:c r="H4658" s="16" t="n">
        <x:v>0</x:v>
      </x:c>
      <x:c r="I4658" s="16" t="n">
        <x:v>0.44999999999999996</x:v>
      </x:c>
      <x:c r="J4658" s="16" t="n">
        <x:v>1.9</x:v>
      </x:c>
      <x:c r="K4658" s="11" t="n">
        <x:f>CHOOSE('假设'!$B$3,H4658,I4658,J4658)</x:f>
        <x:v>0.44999999999999996</x:v>
      </x:c>
      <x:c r="L4658" s="11" t="n">
        <x:f>K4658*'管线假设'!E1003*'管线假设'!F1003*'管线假设'!G1003*IF(E4658="USD",'管线假设'!I1003,1)-AM4658</x:f>
        <x:v>0.07594019999999997</x:v>
      </x:c>
      <x:c r="M4658" s="11" t="n">
        <x:f>'管线假设'!H1003</x:f>
        <x:v>0.14</x:v>
      </x:c>
      <x:c r="N4658" s="11" t="n">
        <x:f>IF(G4658,L4658*AN4658/(1+M4658)^F4658,0)</x:f>
        <x:v>0.016808048593210525</x:v>
      </x:c>
      <x:c r="AJ4658" s="42" t="n">
        <x:v>0</x:v>
      </x:c>
      <x:c r="AK4658" s="42" t="n">
        <x:v>0</x:v>
      </x:c>
      <x:c r="AL4658" s="42" t="n">
        <x:v>0</x:v>
      </x:c>
      <x:c r="AM4658" t="n">
        <x:f>CHOOSE('假设'!$B$3,AJ4658,AK4658,AL4658)</x:f>
        <x:v>0</x:v>
      </x:c>
      <x:c r="AN4658" t="n">
        <x:v>0.22802197802197802</x:v>
      </x:c>
    </x:row>
    <x:row r="4659" ht="23" customHeight="1">
      <x:c r="A4659" s="11" t="str">
        <x:v>02162.HK</x:v>
      </x:c>
      <x:c r="B4659" s="11" t="str">
        <x:v>五年</x:v>
      </x:c>
      <x:c r="C4659" s="11" t="str">
        <x:v>CMG901_expansion</x:v>
      </x:c>
      <x:c r="D4659" s="11" t="str">
        <x:v>2032-12-31</x:v>
      </x:c>
      <x:c r="E4659" s="11" t="str">
        <x:v>USD</x:v>
      </x:c>
      <x:c r="F4659" s="11" t="n">
        <x:v>1.2292950034223136</x:v>
      </x:c>
      <x:c r="G4659" s="26" t="b">
        <x:v>1</x:v>
      </x:c>
      <x:c r="H4659" s="16" t="n">
        <x:v>0.048</x:v>
      </x:c>
      <x:c r="I4659" s="16" t="n">
        <x:v>0.95</x:v>
      </x:c>
      <x:c r="J4659" s="16" t="n">
        <x:v>3.25</x:v>
      </x:c>
      <x:c r="K4659" s="11" t="n">
        <x:f>CHOOSE('假设'!$B$3,H4659,I4659,J4659)</x:f>
        <x:v>0.95</x:v>
      </x:c>
      <x:c r="L4659" s="11" t="n">
        <x:f>K4659*'管线假设'!E1003*'管线假设'!F1003*'管线假设'!G1003*IF(E4659="USD",'管线假设'!I1003,1)-AM4659</x:f>
        <x:v>0.16031819999999994</x:v>
      </x:c>
      <x:c r="M4659" s="11" t="n">
        <x:f>'管线假设'!H1003</x:f>
        <x:v>0.14</x:v>
      </x:c>
      <x:c r="N4659" s="11" t="n">
        <x:f>IF(G4659,L4659*AN4659/(1+M4659)^F4659,0)</x:f>
        <x:v>0.13646773349165864</x:v>
      </x:c>
      <x:c r="AJ4659" s="42" t="n">
        <x:v>0</x:v>
      </x:c>
      <x:c r="AK4659" s="42" t="n">
        <x:v>0</x:v>
      </x:c>
      <x:c r="AL4659" s="42" t="n">
        <x:v>0</x:v>
      </x:c>
      <x:c r="AM4659" t="n">
        <x:f>CHOOSE('假设'!$B$3,AJ4659,AK4659,AL4659)</x:f>
        <x:v>0</x:v>
      </x:c>
      <x:c r="AN4659" t="n">
        <x:v>1</x:v>
      </x:c>
    </x:row>
    <x:row r="4660" ht="23" customHeight="1">
      <x:c r="A4660" s="11" t="str">
        <x:v>02162.HK</x:v>
      </x:c>
      <x:c r="B4660" s="11" t="str">
        <x:v>五年</x:v>
      </x:c>
      <x:c r="C4660" s="11" t="str">
        <x:v>CMG901_expansion</x:v>
      </x:c>
      <x:c r="D4660" s="11" t="str">
        <x:v>2033-12-31</x:v>
      </x:c>
      <x:c r="E4660" s="11" t="str">
        <x:v>USD</x:v>
      </x:c>
      <x:c r="F4660" s="11" t="n">
        <x:v>2.2286105407255303</x:v>
      </x:c>
      <x:c r="G4660" s="26" t="b">
        <x:v>1</x:v>
      </x:c>
      <x:c r="H4660" s="16" t="n">
        <x:v>0.144</x:v>
      </x:c>
      <x:c r="I4660" s="16" t="n">
        <x:v>1.625</x:v>
      </x:c>
      <x:c r="J4660" s="16" t="n">
        <x:v>4.25</x:v>
      </x:c>
      <x:c r="K4660" s="11" t="n">
        <x:f>CHOOSE('假设'!$B$3,H4660,I4660,J4660)</x:f>
        <x:v>1.625</x:v>
      </x:c>
      <x:c r="L4660" s="11" t="n">
        <x:f>K4660*'管线假设'!E1003*'管线假设'!F1003*'管线假设'!G1003*IF(E4660="USD",'管线假设'!I1003,1)-AM4660</x:f>
        <x:v>0.2742285</x:v>
      </x:c>
      <x:c r="M4660" s="11" t="n">
        <x:f>'管线假设'!H1003</x:f>
        <x:v>0.14</x:v>
      </x:c>
      <x:c r="N4660" s="11" t="n">
        <x:f>IF(G4660,L4660*AN4660/(1+M4660)^F4660,0)</x:f>
        <x:v>0.20478296965493684</x:v>
      </x:c>
      <x:c r="AJ4660" s="42" t="n">
        <x:v>0</x:v>
      </x:c>
      <x:c r="AK4660" s="42" t="n">
        <x:v>0</x:v>
      </x:c>
      <x:c r="AL4660" s="42" t="n">
        <x:v>0</x:v>
      </x:c>
      <x:c r="AM4660" t="n">
        <x:f>CHOOSE('假设'!$B$3,AJ4660,AK4660,AL4660)</x:f>
        <x:v>0</x:v>
      </x:c>
      <x:c r="AN4660" t="n">
        <x:v>1</x:v>
      </x:c>
    </x:row>
    <x:row r="4661" ht="23" customHeight="1">
      <x:c r="A4661" s="11" t="str">
        <x:v>02162.HK</x:v>
      </x:c>
      <x:c r="B4661" s="11" t="str">
        <x:v>五年</x:v>
      </x:c>
      <x:c r="C4661" s="11" t="str">
        <x:v>CMG901_expansion</x:v>
      </x:c>
      <x:c r="D4661" s="11" t="str">
        <x:v>2034-12-31</x:v>
      </x:c>
      <x:c r="E4661" s="11" t="str">
        <x:v>USD</x:v>
      </x:c>
      <x:c r="F4661" s="11" t="n">
        <x:v>3.2279260780287475</x:v>
      </x:c>
      <x:c r="G4661" s="26" t="b">
        <x:v>1</x:v>
      </x:c>
      <x:c r="H4661" s="16" t="n">
        <x:v>0.30400000000000005</x:v>
      </x:c>
      <x:c r="I4661" s="16" t="n">
        <x:v>2.125</x:v>
      </x:c>
      <x:c r="J4661" s="16" t="n">
        <x:v>5</x:v>
      </x:c>
      <x:c r="K4661" s="11" t="n">
        <x:f>CHOOSE('假设'!$B$3,H4661,I4661,J4661)</x:f>
        <x:v>2.125</x:v>
      </x:c>
      <x:c r="L4661" s="11" t="n">
        <x:f>K4661*'管线假设'!E1003*'管线假设'!F1003*'管线假设'!G1003*IF(E4661="USD",'管线假设'!I1003,1)-AM4661</x:f>
        <x:v>0.35860649999999994</x:v>
      </x:c>
      <x:c r="M4661" s="11" t="n">
        <x:f>'管线假设'!H1003</x:f>
        <x:v>0.14</x:v>
      </x:c>
      <x:c r="N4661" s="11" t="n">
        <x:f>IF(G4661,L4661*AN4661/(1+M4661)^F4661,0)</x:f>
        <x:v>0.2349273087609646</x:v>
      </x:c>
      <x:c r="AJ4661" s="42" t="n">
        <x:v>0</x:v>
      </x:c>
      <x:c r="AK4661" s="42" t="n">
        <x:v>0</x:v>
      </x:c>
      <x:c r="AL4661" s="42" t="n">
        <x:v>0</x:v>
      </x:c>
      <x:c r="AM4661" t="n">
        <x:f>CHOOSE('假设'!$B$3,AJ4661,AK4661,AL4661)</x:f>
        <x:v>0</x:v>
      </x:c>
      <x:c r="AN4661" t="n">
        <x:v>1</x:v>
      </x:c>
    </x:row>
    <x:row r="4662" ht="23" customHeight="1">
      <x:c r="A4662" s="11" t="str">
        <x:v>02162.HK</x:v>
      </x:c>
      <x:c r="B4662" s="11" t="str">
        <x:v>五年</x:v>
      </x:c>
      <x:c r="C4662" s="11" t="str">
        <x:v>CMG901_expansion</x:v>
      </x:c>
      <x:c r="D4662" s="11" t="str">
        <x:v>2035-12-31</x:v>
      </x:c>
      <x:c r="E4662" s="11" t="str">
        <x:v>USD</x:v>
      </x:c>
      <x:c r="F4662" s="11" t="n">
        <x:v>4.227241615331964</x:v>
      </x:c>
      <x:c r="G4662" s="26" t="b">
        <x:v>1</x:v>
      </x:c>
      <x:c r="H4662" s="16" t="n">
        <x:v>0.52</x:v>
      </x:c>
      <x:c r="I4662" s="16" t="n">
        <x:v>2.5</x:v>
      </x:c>
      <x:c r="J4662" s="16" t="n">
        <x:v>5</x:v>
      </x:c>
      <x:c r="K4662" s="11" t="n">
        <x:f>CHOOSE('假设'!$B$3,H4662,I4662,J4662)</x:f>
        <x:v>2.5</x:v>
      </x:c>
      <x:c r="L4662" s="11" t="n">
        <x:f>K4662*'管线假设'!E1003*'管线假设'!F1003*'管线假设'!G1003*IF(E4662="USD",'管线假设'!I1003,1)-AM4662</x:f>
        <x:v>0.4218899999999999</x:v>
      </x:c>
      <x:c r="M4662" s="11" t="n">
        <x:f>'管线假设'!H1003</x:f>
        <x:v>0.14</x:v>
      </x:c>
      <x:c r="N4662" s="11" t="n">
        <x:f>IF(G4662,L4662*AN4662/(1+M4662)^F4662,0)</x:f>
        <x:v>0.24246478732366628</x:v>
      </x:c>
      <x:c r="AJ4662" s="42" t="n">
        <x:v>0</x:v>
      </x:c>
      <x:c r="AK4662" s="42" t="n">
        <x:v>0</x:v>
      </x:c>
      <x:c r="AL4662" s="42" t="n">
        <x:v>0</x:v>
      </x:c>
      <x:c r="AM4662" t="n">
        <x:f>CHOOSE('假设'!$B$3,AJ4662,AK4662,AL4662)</x:f>
        <x:v>0</x:v>
      </x:c>
      <x:c r="AN4662" t="n">
        <x:v>1</x:v>
      </x:c>
    </x:row>
    <x:row r="4663" ht="23" customHeight="1">
      <x:c r="A4663" s="11" t="str">
        <x:v>02162.HK</x:v>
      </x:c>
      <x:c r="B4663" s="11" t="str">
        <x:v>五年</x:v>
      </x:c>
      <x:c r="C4663" s="11" t="str">
        <x:v>CMG901_expansion</x:v>
      </x:c>
      <x:c r="D4663" s="11" t="str">
        <x:v>2036-12-31</x:v>
      </x:c>
      <x:c r="E4663" s="11" t="str">
        <x:v>USD</x:v>
      </x:c>
      <x:c r="F4663" s="11" t="n">
        <x:v>5.229295003422314</x:v>
      </x:c>
      <x:c r="G4663" s="26" t="b">
        <x:v>1</x:v>
      </x:c>
      <x:c r="H4663" s="16" t="n">
        <x:v>0.68</x:v>
      </x:c>
      <x:c r="I4663" s="16" t="n">
        <x:v>2.5</x:v>
      </x:c>
      <x:c r="J4663" s="16" t="n">
        <x:v>4.75</x:v>
      </x:c>
      <x:c r="K4663" s="11" t="n">
        <x:f>CHOOSE('假设'!$B$3,H4663,I4663,J4663)</x:f>
        <x:v>2.5</x:v>
      </x:c>
      <x:c r="L4663" s="11" t="n">
        <x:f>K4663*'管线假设'!E1003*'管线假设'!F1003*'管线假设'!G1003*IF(E4663="USD",'管线假设'!I1003,1)-AM4663</x:f>
        <x:v>0.4218899999999999</x:v>
      </x:c>
      <x:c r="M4663" s="11" t="n">
        <x:f>'管线假设'!H1003</x:f>
        <x:v>0.14</x:v>
      </x:c>
      <x:c r="N4663" s="11" t="n">
        <x:f>IF(G4663,L4663*AN4663/(1+M4663)^F4663,0)</x:f>
        <x:v>0.21263119341532197</x:v>
      </x:c>
      <x:c r="AJ4663" s="42" t="n">
        <x:v>0</x:v>
      </x:c>
      <x:c r="AK4663" s="42" t="n">
        <x:v>0</x:v>
      </x:c>
      <x:c r="AL4663" s="42" t="n">
        <x:v>0</x:v>
      </x:c>
      <x:c r="AM4663" t="n">
        <x:f>CHOOSE('假设'!$B$3,AJ4663,AK4663,AL4663)</x:f>
        <x:v>0</x:v>
      </x:c>
      <x:c r="AN4663" t="n">
        <x:v>1</x:v>
      </x:c>
    </x:row>
    <x:row r="4664" ht="23" customHeight="1">
      <x:c r="A4664" s="11" t="str">
        <x:v>02162.HK</x:v>
      </x:c>
      <x:c r="B4664" s="11" t="str">
        <x:v>五年</x:v>
      </x:c>
      <x:c r="C4664" s="11" t="str">
        <x:v>CMG901_expansion</x:v>
      </x:c>
      <x:c r="D4664" s="11" t="str">
        <x:v>2037-12-31</x:v>
      </x:c>
      <x:c r="E4664" s="11" t="str">
        <x:v>USD</x:v>
      </x:c>
      <x:c r="F4664" s="11" t="n">
        <x:v>6.228610540725531</x:v>
      </x:c>
      <x:c r="G4664" s="26" t="b">
        <x:v>1</x:v>
      </x:c>
      <x:c r="H4664" s="16" t="n">
        <x:v>0.8</x:v>
      </x:c>
      <x:c r="I4664" s="16" t="n">
        <x:v>2.375</x:v>
      </x:c>
      <x:c r="J4664" s="16" t="n">
        <x:v>4.5</x:v>
      </x:c>
      <x:c r="K4664" s="11" t="n">
        <x:f>CHOOSE('假设'!$B$3,H4664,I4664,J4664)</x:f>
        <x:v>2.375</x:v>
      </x:c>
      <x:c r="L4664" s="11" t="n">
        <x:f>K4664*'管线假设'!E1003*'管线假设'!F1003*'管线假设'!G1003*IF(E4664="USD",'管线假设'!I1003,1)-AM4664</x:f>
        <x:v>0.40079549999999986</x:v>
      </x:c>
      <x:c r="M4664" s="11" t="n">
        <x:f>'管线假设'!H1003</x:f>
        <x:v>0.14</x:v>
      </x:c>
      <x:c r="N4664" s="11" t="n">
        <x:f>IF(G4664,L4664*AN4664/(1+M4664)^F4664,0)</x:f>
        <x:v>0.17720855323121038</x:v>
      </x:c>
      <x:c r="AJ4664" s="42" t="n">
        <x:v>0</x:v>
      </x:c>
      <x:c r="AK4664" s="42" t="n">
        <x:v>0</x:v>
      </x:c>
      <x:c r="AL4664" s="42" t="n">
        <x:v>0</x:v>
      </x:c>
      <x:c r="AM4664" t="n">
        <x:f>CHOOSE('假设'!$B$3,AJ4664,AK4664,AL4664)</x:f>
        <x:v>0</x:v>
      </x:c>
      <x:c r="AN4664" t="n">
        <x:v>1</x:v>
      </x:c>
    </x:row>
    <x:row r="4665" ht="23" customHeight="1">
      <x:c r="A4665" s="11" t="str">
        <x:v>02162.HK</x:v>
      </x:c>
      <x:c r="B4665" s="11" t="str">
        <x:v>五年</x:v>
      </x:c>
      <x:c r="C4665" s="11" t="str">
        <x:v>CMG901_expansion</x:v>
      </x:c>
      <x:c r="D4665" s="11" t="str">
        <x:v>2038-12-31</x:v>
      </x:c>
      <x:c r="E4665" s="11" t="str">
        <x:v>USD</x:v>
      </x:c>
      <x:c r="F4665" s="11" t="n">
        <x:v>7.227926078028747</x:v>
      </x:c>
      <x:c r="G4665" s="26" t="b">
        <x:v>1</x:v>
      </x:c>
      <x:c r="H4665" s="16" t="n">
        <x:v>0.8</x:v>
      </x:c>
      <x:c r="I4665" s="16" t="n">
        <x:v>2.25</x:v>
      </x:c>
      <x:c r="J4665" s="16" t="n">
        <x:v>4</x:v>
      </x:c>
      <x:c r="K4665" s="11" t="n">
        <x:f>CHOOSE('假设'!$B$3,H4665,I4665,J4665)</x:f>
        <x:v>2.25</x:v>
      </x:c>
      <x:c r="L4665" s="11" t="n">
        <x:f>K4665*'管线假设'!E1003*'管线假设'!F1003*'管线假设'!G1003*IF(E4665="USD",'管线假设'!I1003,1)-AM4665</x:f>
        <x:v>0.37970099999999996</x:v>
      </x:c>
      <x:c r="M4665" s="11" t="n">
        <x:f>'管线假设'!H1003</x:f>
        <x:v>0.14</x:v>
      </x:c>
      <x:c r="N4665" s="11" t="n">
        <x:f>IF(G4665,L4665*AN4665/(1+M4665)^F4665,0)</x:f>
        <x:v>0.14727793355261373</x:v>
      </x:c>
      <x:c r="AJ4665" s="42" t="n">
        <x:v>0</x:v>
      </x:c>
      <x:c r="AK4665" s="42" t="n">
        <x:v>0</x:v>
      </x:c>
      <x:c r="AL4665" s="42" t="n">
        <x:v>0</x:v>
      </x:c>
      <x:c r="AM4665" t="n">
        <x:f>CHOOSE('假设'!$B$3,AJ4665,AK4665,AL4665)</x:f>
        <x:v>0</x:v>
      </x:c>
      <x:c r="AN4665" t="n">
        <x:v>1</x:v>
      </x:c>
    </x:row>
    <x:row r="4666" ht="23" customHeight="1">
      <x:c r="A4666" s="11" t="str">
        <x:v>02162.HK</x:v>
      </x:c>
      <x:c r="B4666" s="11" t="str">
        <x:v>五年</x:v>
      </x:c>
      <x:c r="C4666" s="11" t="str">
        <x:v>CMG901_expansion</x:v>
      </x:c>
      <x:c r="D4666" s="11" t="str">
        <x:v>2039-12-31</x:v>
      </x:c>
      <x:c r="E4666" s="11" t="str">
        <x:v>USD</x:v>
      </x:c>
      <x:c r="F4666" s="11" t="n">
        <x:v>8.227241615331964</x:v>
      </x:c>
      <x:c r="G4666" s="26" t="b">
        <x:v>1</x:v>
      </x:c>
      <x:c r="H4666" s="16" t="n">
        <x:v>0.76</x:v>
      </x:c>
      <x:c r="I4666" s="16" t="n">
        <x:v>2</x:v>
      </x:c>
      <x:c r="J4666" s="16" t="n">
        <x:v>3.25</x:v>
      </x:c>
      <x:c r="K4666" s="11" t="n">
        <x:f>CHOOSE('假设'!$B$3,H4666,I4666,J4666)</x:f>
        <x:v>2</x:v>
      </x:c>
      <x:c r="L4666" s="11" t="n">
        <x:f>K4666*'管线假设'!E1003*'管线假设'!F1003*'管线假设'!G1003*IF(E4666="USD",'管线假设'!I1003,1)-AM4666</x:f>
        <x:v>0.3375119999999999</x:v>
      </x:c>
      <x:c r="M4666" s="11" t="n">
        <x:f>'管线假设'!H1003</x:f>
        <x:v>0.14</x:v>
      </x:c>
      <x:c r="N4666" s="11" t="n">
        <x:f>IF(G4666,L4666*AN4666/(1+M4666)^F4666,0)</x:f>
        <x:v>0.11484689482488028</x:v>
      </x:c>
      <x:c r="AJ4666" s="42" t="n">
        <x:v>0</x:v>
      </x:c>
      <x:c r="AK4666" s="42" t="n">
        <x:v>0</x:v>
      </x:c>
      <x:c r="AL4666" s="42" t="n">
        <x:v>0</x:v>
      </x:c>
      <x:c r="AM4666" t="n">
        <x:f>CHOOSE('假设'!$B$3,AJ4666,AK4666,AL4666)</x:f>
        <x:v>0</x:v>
      </x:c>
      <x:c r="AN4666" t="n">
        <x:v>1</x:v>
      </x:c>
    </x:row>
    <x:row r="4667" ht="23" customHeight="1">
      <x:c r="A4667" s="11" t="str">
        <x:v>02162.HK</x:v>
      </x:c>
      <x:c r="B4667" s="11" t="str">
        <x:v>五年</x:v>
      </x:c>
      <x:c r="C4667" s="11" t="str">
        <x:v>CMG901_expansion</x:v>
      </x:c>
      <x:c r="D4667" s="11" t="str">
        <x:v>2040-12-31</x:v>
      </x:c>
      <x:c r="E4667" s="11" t="str">
        <x:v>USD</x:v>
      </x:c>
      <x:c r="F4667" s="11" t="n">
        <x:v>9.229295003422314</x:v>
      </x:c>
      <x:c r="G4667" s="26" t="b">
        <x:v>1</x:v>
      </x:c>
      <x:c r="H4667" s="16" t="n">
        <x:v>0.7200000000000001</x:v>
      </x:c>
      <x:c r="I4667" s="16" t="n">
        <x:v>1.625</x:v>
      </x:c>
      <x:c r="J4667" s="16" t="n">
        <x:v>2.5</x:v>
      </x:c>
      <x:c r="K4667" s="11" t="n">
        <x:f>CHOOSE('假设'!$B$3,H4667,I4667,J4667)</x:f>
        <x:v>1.625</x:v>
      </x:c>
      <x:c r="L4667" s="11" t="n">
        <x:f>K4667*'管线假设'!E1003*'管线假设'!F1003*'管线假设'!G1003*IF(E4667="USD",'管线假设'!I1003,1)-AM4667</x:f>
        <x:v>0.2742285</x:v>
      </x:c>
      <x:c r="M4667" s="11" t="n">
        <x:f>'管线假设'!H1003</x:f>
        <x:v>0.14</x:v>
      </x:c>
      <x:c r="N4667" s="11" t="n">
        <x:f>IF(G4667,L4667*AN4667/(1+M4667)^F4667,0)</x:f>
        <x:v>0.08183157838368386</x:v>
      </x:c>
      <x:c r="AJ4667" s="42" t="n">
        <x:v>0</x:v>
      </x:c>
      <x:c r="AK4667" s="42" t="n">
        <x:v>0</x:v>
      </x:c>
      <x:c r="AL4667" s="42" t="n">
        <x:v>0</x:v>
      </x:c>
      <x:c r="AM4667" t="n">
        <x:f>CHOOSE('假设'!$B$3,AJ4667,AK4667,AL4667)</x:f>
        <x:v>0</x:v>
      </x:c>
      <x:c r="AN4667" t="n">
        <x:v>1</x:v>
      </x:c>
    </x:row>
    <x:row r="4668" ht="23" customHeight="1">
      <x:c r="A4668" s="11" t="str">
        <x:v>02162.HK</x:v>
      </x:c>
      <x:c r="B4668" s="11" t="str">
        <x:v>五年</x:v>
      </x:c>
      <x:c r="C4668" s="11" t="str">
        <x:v>CMG901_expansion</x:v>
      </x:c>
      <x:c r="D4668" s="11" t="str">
        <x:v>2041-12-31</x:v>
      </x:c>
      <x:c r="E4668" s="11" t="str">
        <x:v>USD</x:v>
      </x:c>
      <x:c r="F4668" s="11" t="n">
        <x:v>10.22861054072553</x:v>
      </x:c>
      <x:c r="G4668" s="26" t="b">
        <x:v>1</x:v>
      </x:c>
      <x:c r="H4668" s="16" t="n">
        <x:v>0.6400000000000001</x:v>
      </x:c>
      <x:c r="I4668" s="16" t="n">
        <x:v>1.25</x:v>
      </x:c>
      <x:c r="J4668" s="16" t="n">
        <x:v>1.75</x:v>
      </x:c>
      <x:c r="K4668" s="11" t="n">
        <x:f>CHOOSE('假设'!$B$3,H4668,I4668,J4668)</x:f>
        <x:v>1.25</x:v>
      </x:c>
      <x:c r="L4668" s="11" t="n">
        <x:f>K4668*'管线假设'!E1003*'管线假设'!F1003*'管线假设'!G1003*IF(E4668="USD",'管线假设'!I1003,1)-AM4668</x:f>
        <x:v>0.21094499999999994</x:v>
      </x:c>
      <x:c r="M4668" s="11" t="n">
        <x:f>'管线假设'!H1003</x:f>
        <x:v>0.14</x:v>
      </x:c>
      <x:c r="N4668" s="11" t="n">
        <x:f>IF(G4668,L4668*AN4668/(1+M4668)^F4668,0)</x:f>
        <x:v>0.05522194176289739</x:v>
      </x:c>
      <x:c r="AJ4668" s="42" t="n">
        <x:v>0</x:v>
      </x:c>
      <x:c r="AK4668" s="42" t="n">
        <x:v>0</x:v>
      </x:c>
      <x:c r="AL4668" s="42" t="n">
        <x:v>0</x:v>
      </x:c>
      <x:c r="AM4668" t="n">
        <x:f>CHOOSE('假设'!$B$3,AJ4668,AK4668,AL4668)</x:f>
        <x:v>0</x:v>
      </x:c>
      <x:c r="AN4668" t="n">
        <x:v>1</x:v>
      </x:c>
    </x:row>
    <x:row r="4669" ht="23" customHeight="1">
      <x:c r="A4669" s="11" t="str">
        <x:v>02162.HK</x:v>
      </x:c>
      <x:c r="B4669" s="11" t="str">
        <x:v>五年</x:v>
      </x:c>
      <x:c r="C4669" s="11" t="str">
        <x:v>CMG901_expansion</x:v>
      </x:c>
      <x:c r="D4669" s="11" t="str">
        <x:v>2042-12-31</x:v>
      </x:c>
      <x:c r="E4669" s="11" t="str">
        <x:v>USD</x:v>
      </x:c>
      <x:c r="F4669" s="11" t="n">
        <x:v>11.227926078028748</x:v>
      </x:c>
      <x:c r="G4669" s="26" t="b">
        <x:v>1</x:v>
      </x:c>
      <x:c r="H4669" s="16" t="n">
        <x:v>0.52</x:v>
      </x:c>
      <x:c r="I4669" s="16" t="n">
        <x:v>0.875</x:v>
      </x:c>
      <x:c r="J4669" s="16" t="n">
        <x:v>1</x:v>
      </x:c>
      <x:c r="K4669" s="11" t="n">
        <x:f>CHOOSE('假设'!$B$3,H4669,I4669,J4669)</x:f>
        <x:v>0.875</x:v>
      </x:c>
      <x:c r="L4669" s="11" t="n">
        <x:f>K4669*'管线假设'!E1003*'管线假设'!F1003*'管线假设'!G1003*IF(E4669="USD",'管线假设'!I1003,1)-AM4669</x:f>
        <x:v>0.14766149999999995</x:v>
      </x:c>
      <x:c r="M4669" s="11" t="n">
        <x:f>'管线假设'!H1003</x:f>
        <x:v>0.14</x:v>
      </x:c>
      <x:c r="N4669" s="11" t="n">
        <x:f>IF(G4669,L4669*AN4669/(1+M4669)^F4669,0)</x:f>
        <x:v>0.033911251013243264</x:v>
      </x:c>
      <x:c r="AJ4669" s="42" t="n">
        <x:v>0</x:v>
      </x:c>
      <x:c r="AK4669" s="42" t="n">
        <x:v>0</x:v>
      </x:c>
      <x:c r="AL4669" s="42" t="n">
        <x:v>0</x:v>
      </x:c>
      <x:c r="AM4669" t="n">
        <x:f>CHOOSE('假设'!$B$3,AJ4669,AK4669,AL4669)</x:f>
        <x:v>0</x:v>
      </x:c>
      <x:c r="AN4669" t="n">
        <x:v>1</x:v>
      </x:c>
    </x:row>
    <x:row r="4670" ht="23" customHeight="1">
      <x:c r="A4670" s="11" t="str">
        <x:v>02162.HK</x:v>
      </x:c>
      <x:c r="B4670" s="11" t="str">
        <x:v>五年</x:v>
      </x:c>
      <x:c r="C4670" s="11" t="str">
        <x:v>CMG901_expansion</x:v>
      </x:c>
      <x:c r="D4670" s="11" t="str">
        <x:v>2043-12-31</x:v>
      </x:c>
      <x:c r="E4670" s="11" t="str">
        <x:v>USD</x:v>
      </x:c>
      <x:c r="F4670" s="11" t="n">
        <x:v>12.227241615331964</x:v>
      </x:c>
      <x:c r="G4670" s="26" t="b">
        <x:v>1</x:v>
      </x:c>
      <x:c r="H4670" s="16" t="n">
        <x:v>0.4</x:v>
      </x:c>
      <x:c r="I4670" s="16" t="n">
        <x:v>0.5</x:v>
      </x:c>
      <x:c r="J4670" s="16" t="n">
        <x:v>0.6</x:v>
      </x:c>
      <x:c r="K4670" s="11" t="n">
        <x:f>CHOOSE('假设'!$B$3,H4670,I4670,J4670)</x:f>
        <x:v>0.5</x:v>
      </x:c>
      <x:c r="L4670" s="11" t="n">
        <x:f>K4670*'管线假设'!E1003*'管线假设'!F1003*'管线假设'!G1003*IF(E4670="USD",'管线假设'!I1003,1)-AM4670</x:f>
        <x:v>0.08437799999999998</x:v>
      </x:c>
      <x:c r="M4670" s="11" t="n">
        <x:f>'管线假设'!H1003</x:f>
        <x:v>0.14</x:v>
      </x:c>
      <x:c r="N4670" s="11" t="n">
        <x:f>IF(G4670,L4670*AN4670/(1+M4670)^F4670,0)</x:f>
        <x:v>0.016999645335755022</x:v>
      </x:c>
      <x:c r="AJ4670" s="42" t="n">
        <x:v>0</x:v>
      </x:c>
      <x:c r="AK4670" s="42" t="n">
        <x:v>0</x:v>
      </x:c>
      <x:c r="AL4670" s="42" t="n">
        <x:v>0</x:v>
      </x:c>
      <x:c r="AM4670" t="n">
        <x:f>CHOOSE('假设'!$B$3,AJ4670,AK4670,AL4670)</x:f>
        <x:v>0</x:v>
      </x:c>
      <x:c r="AN4670" t="n">
        <x:v>1</x:v>
      </x:c>
    </x:row>
    <x:row r="4671" ht="23" customHeight="1">
      <x:c r="A4671" s="11" t="str">
        <x:v>02162.HK</x:v>
      </x:c>
      <x:c r="B4671" s="11" t="str">
        <x:v>五年</x:v>
      </x:c>
      <x:c r="C4671" s="11" t="str">
        <x:v>CMG901_expansion</x:v>
      </x:c>
      <x:c r="D4671" s="11" t="str">
        <x:v>2044-12-31</x:v>
      </x:c>
      <x:c r="E4671" s="11" t="str">
        <x:v>USD</x:v>
      </x:c>
      <x:c r="F4671" s="11" t="n">
        <x:v>13.229295003422314</x:v>
      </x:c>
      <x:c r="G4671" s="26" t="b">
        <x:v>1</x:v>
      </x:c>
      <x:c r="H4671" s="16" t="n">
        <x:v>0.27999999999999997</x:v>
      </x:c>
      <x:c r="I4671" s="16" t="n">
        <x:v>0.3</x:v>
      </x:c>
      <x:c r="J4671" s="16" t="n">
        <x:v>0.35000000000000003</x:v>
      </x:c>
      <x:c r="K4671" s="11" t="n">
        <x:f>CHOOSE('假设'!$B$3,H4671,I4671,J4671)</x:f>
        <x:v>0.3</x:v>
      </x:c>
      <x:c r="L4671" s="11" t="n">
        <x:f>K4671*'管线假设'!E1003*'管线假设'!F1003*'管线假设'!G1003*IF(E4671="USD",'管线假设'!I1003,1)-AM4671</x:f>
        <x:v>0.05062679999999998</x:v>
      </x:c>
      <x:c r="M4671" s="11" t="n">
        <x:f>'管线假设'!H1003</x:f>
        <x:v>0.14</x:v>
      </x:c>
      <x:c r="N4671" s="11" t="n">
        <x:f>IF(G4671,L4671*AN4671/(1+M4671)^F4671,0)</x:f>
        <x:v>0.00894477482345574</x:v>
      </x:c>
      <x:c r="AJ4671" s="42" t="n">
        <x:v>0</x:v>
      </x:c>
      <x:c r="AK4671" s="42" t="n">
        <x:v>0</x:v>
      </x:c>
      <x:c r="AL4671" s="42" t="n">
        <x:v>0</x:v>
      </x:c>
      <x:c r="AM4671" t="n">
        <x:f>CHOOSE('假设'!$B$3,AJ4671,AK4671,AL4671)</x:f>
        <x:v>0</x:v>
      </x:c>
      <x:c r="AN4671" t="n">
        <x:v>1</x:v>
      </x:c>
    </x:row>
    <x:row r="4672" ht="23" customHeight="1">
      <x:c r="A4672" s="11" t="str">
        <x:v>02162.HK</x:v>
      </x:c>
      <x:c r="B4672" s="11" t="str">
        <x:v>五年</x:v>
      </x:c>
      <x:c r="C4672" s="11" t="str">
        <x:v>CM336_foreign</x:v>
      </x:c>
      <x:c r="D4672" s="11" t="str">
        <x:v>2026-12-31</x:v>
      </x:c>
      <x:c r="E4672" s="11" t="str">
        <x:v>USD</x:v>
      </x:c>
      <x:c r="F4672" s="11" t="n">
        <x:v>-4.772073921971253</x:v>
      </x:c>
      <x:c r="G4672" s="26" t="b">
        <x:v>0</x:v>
      </x:c>
      <x:c r="H4672" s="16" t="n">
        <x:v>0</x:v>
      </x:c>
      <x:c r="I4672" s="16" t="n">
        <x:v>0</x:v>
      </x:c>
      <x:c r="J4672" s="16" t="n">
        <x:v>0</x:v>
      </x:c>
      <x:c r="K4672" s="11" t="n">
        <x:f>CHOOSE('假设'!$B$3,H4672,I4672,J4672)</x:f>
        <x:v>0</x:v>
      </x:c>
      <x:c r="L4672" s="11" t="n">
        <x:f>K4672*'管线假设'!E1007*'管线假设'!F1007*'管线假设'!G1007*IF(E4672="USD",'管线假设'!I1007,1)-AM4672</x:f>
        <x:v>-0.084</x:v>
      </x:c>
      <x:c r="M4672" s="11" t="n">
        <x:f>'管线假设'!H1007</x:f>
        <x:v>0.14</x:v>
      </x:c>
      <x:c r="N4672" s="11" t="n">
        <x:f>IF(G4672,L4672*AN4672/(1+M4672)^F4672,0)</x:f>
        <x:v>0</x:v>
      </x:c>
      <x:c r="AJ4672" s="42" t="n">
        <x:v>0.035</x:v>
      </x:c>
      <x:c r="AK4672" s="42" t="n">
        <x:v>0.084</x:v>
      </x:c>
      <x:c r="AL4672" s="42" t="n">
        <x:v>0.14</x:v>
      </x:c>
      <x:c r="AM4672" t="n">
        <x:f>CHOOSE('假设'!$B$3,AJ4672,AK4672,AL4672)</x:f>
        <x:v>0.084</x:v>
      </x:c>
      <x:c r="AN4672" t="n">
        <x:v>0</x:v>
      </x:c>
    </x:row>
    <x:row r="4673" ht="23" customHeight="1">
      <x:c r="A4673" s="11" t="str">
        <x:v>02162.HK</x:v>
      </x:c>
      <x:c r="B4673" s="11" t="str">
        <x:v>五年</x:v>
      </x:c>
      <x:c r="C4673" s="11" t="str">
        <x:v>CM336_foreign</x:v>
      </x:c>
      <x:c r="D4673" s="11" t="str">
        <x:v>2027-12-31</x:v>
      </x:c>
      <x:c r="E4673" s="11" t="str">
        <x:v>USD</x:v>
      </x:c>
      <x:c r="F4673" s="11" t="n">
        <x:v>-3.7727583846680357</x:v>
      </x:c>
      <x:c r="G4673" s="26" t="b">
        <x:v>0</x:v>
      </x:c>
      <x:c r="H4673" s="16" t="n">
        <x:v>0</x:v>
      </x:c>
      <x:c r="I4673" s="16" t="n">
        <x:v>0</x:v>
      </x:c>
      <x:c r="J4673" s="16" t="n">
        <x:v>0</x:v>
      </x:c>
      <x:c r="K4673" s="11" t="n">
        <x:f>CHOOSE('假设'!$B$3,H4673,I4673,J4673)</x:f>
        <x:v>0</x:v>
      </x:c>
      <x:c r="L4673" s="11" t="n">
        <x:f>K4673*'管线假设'!E1007*'管线假设'!F1007*'管线假设'!G1007*IF(E4673="USD",'管线假设'!I1007,1)-AM4673</x:f>
        <x:v>-0.084</x:v>
      </x:c>
      <x:c r="M4673" s="11" t="n">
        <x:f>'管线假设'!H1007</x:f>
        <x:v>0.14</x:v>
      </x:c>
      <x:c r="N4673" s="11" t="n">
        <x:f>IF(G4673,L4673*AN4673/(1+M4673)^F4673,0)</x:f>
        <x:v>0</x:v>
      </x:c>
      <x:c r="AJ4673" s="42" t="n">
        <x:v>0.035</x:v>
      </x:c>
      <x:c r="AK4673" s="42" t="n">
        <x:v>0.084</x:v>
      </x:c>
      <x:c r="AL4673" s="42" t="n">
        <x:v>0.14</x:v>
      </x:c>
      <x:c r="AM4673" t="n">
        <x:f>CHOOSE('假设'!$B$3,AJ4673,AK4673,AL4673)</x:f>
        <x:v>0.084</x:v>
      </x:c>
      <x:c r="AN4673" t="n">
        <x:v>0</x:v>
      </x:c>
    </x:row>
    <x:row r="4674" ht="23" customHeight="1">
      <x:c r="A4674" s="11" t="str">
        <x:v>02162.HK</x:v>
      </x:c>
      <x:c r="B4674" s="11" t="str">
        <x:v>五年</x:v>
      </x:c>
      <x:c r="C4674" s="11" t="str">
        <x:v>CM336_foreign</x:v>
      </x:c>
      <x:c r="D4674" s="11" t="str">
        <x:v>2028-12-31</x:v>
      </x:c>
      <x:c r="E4674" s="11" t="str">
        <x:v>USD</x:v>
      </x:c>
      <x:c r="F4674" s="11" t="n">
        <x:v>-2.7707049965776864</x:v>
      </x:c>
      <x:c r="G4674" s="26" t="b">
        <x:v>0</x:v>
      </x:c>
      <x:c r="H4674" s="16" t="n">
        <x:v>0</x:v>
      </x:c>
      <x:c r="I4674" s="16" t="n">
        <x:v>0</x:v>
      </x:c>
      <x:c r="J4674" s="16" t="n">
        <x:v>0</x:v>
      </x:c>
      <x:c r="K4674" s="11" t="n">
        <x:f>CHOOSE('假设'!$B$3,H4674,I4674,J4674)</x:f>
        <x:v>0</x:v>
      </x:c>
      <x:c r="L4674" s="11" t="n">
        <x:f>K4674*'管线假设'!E1007*'管线假设'!F1007*'管线假设'!G1007*IF(E4674="USD",'管线假设'!I1007,1)-AM4674</x:f>
        <x:v>0</x:v>
      </x:c>
      <x:c r="M4674" s="11" t="n">
        <x:f>'管线假设'!H1007</x:f>
        <x:v>0.14</x:v>
      </x:c>
      <x:c r="N4674" s="11" t="n">
        <x:f>IF(G4674,L4674*AN4674/(1+M4674)^F4674,0)</x:f>
        <x:v>0</x:v>
      </x:c>
      <x:c r="AJ4674" s="42" t="n">
        <x:v>0</x:v>
      </x:c>
      <x:c r="AK4674" s="42" t="n">
        <x:v>0</x:v>
      </x:c>
      <x:c r="AL4674" s="42" t="n">
        <x:v>0</x:v>
      </x:c>
      <x:c r="AM4674" t="n">
        <x:f>CHOOSE('假设'!$B$3,AJ4674,AK4674,AL4674)</x:f>
        <x:v>0</x:v>
      </x:c>
      <x:c r="AN4674" t="n">
        <x:v>0</x:v>
      </x:c>
    </x:row>
    <x:row r="4675" ht="23" customHeight="1">
      <x:c r="A4675" s="11" t="str">
        <x:v>02162.HK</x:v>
      </x:c>
      <x:c r="B4675" s="11" t="str">
        <x:v>五年</x:v>
      </x:c>
      <x:c r="C4675" s="11" t="str">
        <x:v>CM336_foreign</x:v>
      </x:c>
      <x:c r="D4675" s="11" t="str">
        <x:v>2029-12-31</x:v>
      </x:c>
      <x:c r="E4675" s="11" t="str">
        <x:v>USD</x:v>
      </x:c>
      <x:c r="F4675" s="11" t="n">
        <x:v>-1.7713894592744694</x:v>
      </x:c>
      <x:c r="G4675" s="26" t="b">
        <x:v>0</x:v>
      </x:c>
      <x:c r="H4675" s="16" t="n">
        <x:v>0</x:v>
      </x:c>
      <x:c r="I4675" s="16" t="n">
        <x:v>0</x:v>
      </x:c>
      <x:c r="J4675" s="16" t="n">
        <x:v>0.42</x:v>
      </x:c>
      <x:c r="K4675" s="11" t="n">
        <x:f>CHOOSE('假设'!$B$3,H4675,I4675,J4675)</x:f>
        <x:v>0</x:v>
      </x:c>
      <x:c r="L4675" s="11" t="n">
        <x:f>K4675*'管线假设'!E1007*'管线假设'!F1007*'管线假设'!G1007*IF(E4675="USD",'管线假设'!I1007,1)-AM4675</x:f>
        <x:v>0</x:v>
      </x:c>
      <x:c r="M4675" s="11" t="n">
        <x:f>'管线假设'!H1007</x:f>
        <x:v>0.14</x:v>
      </x:c>
      <x:c r="N4675" s="11" t="n">
        <x:f>IF(G4675,L4675*AN4675/(1+M4675)^F4675,0)</x:f>
        <x:v>0</x:v>
      </x:c>
      <x:c r="AJ4675" s="42" t="n">
        <x:v>0</x:v>
      </x:c>
      <x:c r="AK4675" s="42" t="n">
        <x:v>0</x:v>
      </x:c>
      <x:c r="AL4675" s="42" t="n">
        <x:v>0</x:v>
      </x:c>
      <x:c r="AM4675" t="n">
        <x:f>CHOOSE('假设'!$B$3,AJ4675,AK4675,AL4675)</x:f>
        <x:v>0</x:v>
      </x:c>
      <x:c r="AN4675" t="n">
        <x:v>0</x:v>
      </x:c>
    </x:row>
    <x:row r="4676" ht="23" customHeight="1">
      <x:c r="A4676" s="11" t="str">
        <x:v>02162.HK</x:v>
      </x:c>
      <x:c r="B4676" s="11" t="str">
        <x:v>五年</x:v>
      </x:c>
      <x:c r="C4676" s="11" t="str">
        <x:v>CM336_foreign</x:v>
      </x:c>
      <x:c r="D4676" s="11" t="str">
        <x:v>2030-12-31</x:v>
      </x:c>
      <x:c r="E4676" s="11" t="str">
        <x:v>USD</x:v>
      </x:c>
      <x:c r="F4676" s="11" t="n">
        <x:v>-0.7720739219712526</x:v>
      </x:c>
      <x:c r="G4676" s="26" t="b">
        <x:v>0</x:v>
      </x:c>
      <x:c r="H4676" s="16" t="n">
        <x:v>0</x:v>
      </x:c>
      <x:c r="I4676" s="16" t="n">
        <x:v>0.24</x:v>
      </x:c>
      <x:c r="J4676" s="16" t="n">
        <x:v>1.26</x:v>
      </x:c>
      <x:c r="K4676" s="11" t="n">
        <x:f>CHOOSE('假设'!$B$3,H4676,I4676,J4676)</x:f>
        <x:v>0.24</x:v>
      </x:c>
      <x:c r="L4676" s="11" t="n">
        <x:f>K4676*'管线假设'!E1007*'管线假设'!F1007*'管线假设'!G1007*IF(E4676="USD",'管线假设'!I1007,1)-AM4676</x:f>
        <x:v>0.038346</x:v>
      </x:c>
      <x:c r="M4676" s="11" t="n">
        <x:f>'管线假设'!H1007</x:f>
        <x:v>0.14</x:v>
      </x:c>
      <x:c r="N4676" s="11" t="n">
        <x:f>IF(G4676,L4676*AN4676/(1+M4676)^F4676,0)</x:f>
        <x:v>0</x:v>
      </x:c>
      <x:c r="AJ4676" s="42" t="n">
        <x:v>0</x:v>
      </x:c>
      <x:c r="AK4676" s="42" t="n">
        <x:v>0</x:v>
      </x:c>
      <x:c r="AL4676" s="42" t="n">
        <x:v>0</x:v>
      </x:c>
      <x:c r="AM4676" t="n">
        <x:f>CHOOSE('假设'!$B$3,AJ4676,AK4676,AL4676)</x:f>
        <x:v>0</x:v>
      </x:c>
      <x:c r="AN4676" t="n">
        <x:v>0</x:v>
      </x:c>
    </x:row>
    <x:row r="4677" ht="23" customHeight="1">
      <x:c r="A4677" s="11" t="str">
        <x:v>02162.HK</x:v>
      </x:c>
      <x:c r="B4677" s="11" t="str">
        <x:v>五年</x:v>
      </x:c>
      <x:c r="C4677" s="11" t="str">
        <x:v>CM336_foreign</x:v>
      </x:c>
      <x:c r="D4677" s="11" t="str">
        <x:v>2031-12-31</x:v>
      </x:c>
      <x:c r="E4677" s="11" t="str">
        <x:v>USD</x:v>
      </x:c>
      <x:c r="F4677" s="11" t="n">
        <x:v>0.2272416153319644</x:v>
      </x:c>
      <x:c r="G4677" s="26" t="b">
        <x:v>1</x:v>
      </x:c>
      <x:c r="H4677" s="16" t="n">
        <x:v>0</x:v>
      </x:c>
      <x:c r="I4677" s="16" t="n">
        <x:v>0.72</x:v>
      </x:c>
      <x:c r="J4677" s="16" t="n">
        <x:v>2.66</x:v>
      </x:c>
      <x:c r="K4677" s="11" t="n">
        <x:f>CHOOSE('假设'!$B$3,H4677,I4677,J4677)</x:f>
        <x:v>0.72</x:v>
      </x:c>
      <x:c r="L4677" s="11" t="n">
        <x:f>K4677*'管线假设'!E1007*'管线假设'!F1007*'管线假设'!G1007*IF(E4677="USD",'管线假设'!I1007,1)-AM4677</x:f>
        <x:v>0.11503799999999997</x:v>
      </x:c>
      <x:c r="M4677" s="11" t="n">
        <x:f>'管线假设'!H1007</x:f>
        <x:v>0.14</x:v>
      </x:c>
      <x:c r="N4677" s="11" t="n">
        <x:f>IF(G4677,L4677*AN4677/(1+M4677)^F4677,0)</x:f>
        <x:v>0.025461669762072692</x:v>
      </x:c>
      <x:c r="AJ4677" s="42" t="n">
        <x:v>0</x:v>
      </x:c>
      <x:c r="AK4677" s="42" t="n">
        <x:v>0</x:v>
      </x:c>
      <x:c r="AL4677" s="42" t="n">
        <x:v>0</x:v>
      </x:c>
      <x:c r="AM4677" t="n">
        <x:f>CHOOSE('假设'!$B$3,AJ4677,AK4677,AL4677)</x:f>
        <x:v>0</x:v>
      </x:c>
      <x:c r="AN4677" t="n">
        <x:v>0.22802197802197802</x:v>
      </x:c>
    </x:row>
    <x:row r="4678" ht="23" customHeight="1">
      <x:c r="A4678" s="11" t="str">
        <x:v>02162.HK</x:v>
      </x:c>
      <x:c r="B4678" s="11" t="str">
        <x:v>五年</x:v>
      </x:c>
      <x:c r="C4678" s="11" t="str">
        <x:v>CM336_foreign</x:v>
      </x:c>
      <x:c r="D4678" s="11" t="str">
        <x:v>2032-12-31</x:v>
      </x:c>
      <x:c r="E4678" s="11" t="str">
        <x:v>USD</x:v>
      </x:c>
      <x:c r="F4678" s="11" t="n">
        <x:v>1.2292950034223136</x:v>
      </x:c>
      <x:c r="G4678" s="26" t="b">
        <x:v>1</x:v>
      </x:c>
      <x:c r="H4678" s="16" t="n">
        <x:v>0.09</x:v>
      </x:c>
      <x:c r="I4678" s="16" t="n">
        <x:v>1.52</x:v>
      </x:c>
      <x:c r="J4678" s="16" t="n">
        <x:v>4.55</x:v>
      </x:c>
      <x:c r="K4678" s="11" t="n">
        <x:f>CHOOSE('假设'!$B$3,H4678,I4678,J4678)</x:f>
        <x:v>1.52</x:v>
      </x:c>
      <x:c r="L4678" s="11" t="n">
        <x:f>K4678*'管线假设'!E1007*'管线假设'!F1007*'管线假设'!G1007*IF(E4678="USD",'管线假设'!I1007,1)-AM4678</x:f>
        <x:v>0.24285799999999996</x:v>
      </x:c>
      <x:c r="M4678" s="11" t="n">
        <x:f>'管线假设'!H1007</x:f>
        <x:v>0.14</x:v>
      </x:c>
      <x:c r="N4678" s="11" t="n">
        <x:f>IF(G4678,L4678*AN4678/(1+M4678)^F4678,0)</x:f>
        <x:v>0.2067281245692457</x:v>
      </x:c>
      <x:c r="AJ4678" s="42" t="n">
        <x:v>0</x:v>
      </x:c>
      <x:c r="AK4678" s="42" t="n">
        <x:v>0</x:v>
      </x:c>
      <x:c r="AL4678" s="42" t="n">
        <x:v>0</x:v>
      </x:c>
      <x:c r="AM4678" t="n">
        <x:f>CHOOSE('假设'!$B$3,AJ4678,AK4678,AL4678)</x:f>
        <x:v>0</x:v>
      </x:c>
      <x:c r="AN4678" t="n">
        <x:v>1</x:v>
      </x:c>
    </x:row>
    <x:row r="4679" ht="23" customHeight="1">
      <x:c r="A4679" s="11" t="str">
        <x:v>02162.HK</x:v>
      </x:c>
      <x:c r="B4679" s="11" t="str">
        <x:v>五年</x:v>
      </x:c>
      <x:c r="C4679" s="11" t="str">
        <x:v>CM336_foreign</x:v>
      </x:c>
      <x:c r="D4679" s="11" t="str">
        <x:v>2033-12-31</x:v>
      </x:c>
      <x:c r="E4679" s="11" t="str">
        <x:v>USD</x:v>
      </x:c>
      <x:c r="F4679" s="11" t="n">
        <x:v>2.2286105407255303</x:v>
      </x:c>
      <x:c r="G4679" s="26" t="b">
        <x:v>1</x:v>
      </x:c>
      <x:c r="H4679" s="16" t="n">
        <x:v>0.27</x:v>
      </x:c>
      <x:c r="I4679" s="16" t="n">
        <x:v>2.6</x:v>
      </x:c>
      <x:c r="J4679" s="16" t="n">
        <x:v>5.95</x:v>
      </x:c>
      <x:c r="K4679" s="11" t="n">
        <x:f>CHOOSE('假设'!$B$3,H4679,I4679,J4679)</x:f>
        <x:v>2.6</x:v>
      </x:c>
      <x:c r="L4679" s="11" t="n">
        <x:f>K4679*'管线假设'!E1007*'管线假设'!F1007*'管线假设'!G1007*IF(E4679="USD",'管线假设'!I1007,1)-AM4679</x:f>
        <x:v>0.415415</x:v>
      </x:c>
      <x:c r="M4679" s="11" t="n">
        <x:f>'管线假设'!H1007</x:f>
        <x:v>0.14</x:v>
      </x:c>
      <x:c r="N4679" s="11" t="n">
        <x:f>IF(G4679,L4679*AN4679/(1+M4679)^F4679,0)</x:f>
        <x:v>0.3102154493030651</x:v>
      </x:c>
      <x:c r="AJ4679" s="42" t="n">
        <x:v>0</x:v>
      </x:c>
      <x:c r="AK4679" s="42" t="n">
        <x:v>0</x:v>
      </x:c>
      <x:c r="AL4679" s="42" t="n">
        <x:v>0</x:v>
      </x:c>
      <x:c r="AM4679" t="n">
        <x:f>CHOOSE('假设'!$B$3,AJ4679,AK4679,AL4679)</x:f>
        <x:v>0</x:v>
      </x:c>
      <x:c r="AN4679" t="n">
        <x:v>1</x:v>
      </x:c>
    </x:row>
    <x:row r="4680" ht="23" customHeight="1">
      <x:c r="A4680" s="11" t="str">
        <x:v>02162.HK</x:v>
      </x:c>
      <x:c r="B4680" s="11" t="str">
        <x:v>五年</x:v>
      </x:c>
      <x:c r="C4680" s="11" t="str">
        <x:v>CM336_foreign</x:v>
      </x:c>
      <x:c r="D4680" s="11" t="str">
        <x:v>2034-12-31</x:v>
      </x:c>
      <x:c r="E4680" s="11" t="str">
        <x:v>USD</x:v>
      </x:c>
      <x:c r="F4680" s="11" t="n">
        <x:v>3.2279260780287475</x:v>
      </x:c>
      <x:c r="G4680" s="26" t="b">
        <x:v>1</x:v>
      </x:c>
      <x:c r="H4680" s="16" t="n">
        <x:v>0.5700000000000001</x:v>
      </x:c>
      <x:c r="I4680" s="16" t="n">
        <x:v>3.4</x:v>
      </x:c>
      <x:c r="J4680" s="16" t="n">
        <x:v>7</x:v>
      </x:c>
      <x:c r="K4680" s="11" t="n">
        <x:f>CHOOSE('假设'!$B$3,H4680,I4680,J4680)</x:f>
        <x:v>3.4</x:v>
      </x:c>
      <x:c r="L4680" s="11" t="n">
        <x:f>K4680*'管线假设'!E1007*'管线假设'!F1007*'管线假设'!G1007*IF(E4680="USD",'管线假设'!I1007,1)-AM4680</x:f>
        <x:v>0.5432349999999999</x:v>
      </x:c>
      <x:c r="M4680" s="11" t="n">
        <x:f>'管线假设'!H1007</x:f>
        <x:v>0.14</x:v>
      </x:c>
      <x:c r="N4680" s="11" t="n">
        <x:f>IF(G4680,L4680*AN4680/(1+M4680)^F4680,0)</x:f>
        <x:v>0.3558795966463592</x:v>
      </x:c>
      <x:c r="AJ4680" s="42" t="n">
        <x:v>0</x:v>
      </x:c>
      <x:c r="AK4680" s="42" t="n">
        <x:v>0</x:v>
      </x:c>
      <x:c r="AL4680" s="42" t="n">
        <x:v>0</x:v>
      </x:c>
      <x:c r="AM4680" t="n">
        <x:f>CHOOSE('假设'!$B$3,AJ4680,AK4680,AL4680)</x:f>
        <x:v>0</x:v>
      </x:c>
      <x:c r="AN4680" t="n">
        <x:v>1</x:v>
      </x:c>
    </x:row>
    <x:row r="4681" ht="23" customHeight="1">
      <x:c r="A4681" s="11" t="str">
        <x:v>02162.HK</x:v>
      </x:c>
      <x:c r="B4681" s="11" t="str">
        <x:v>五年</x:v>
      </x:c>
      <x:c r="C4681" s="11" t="str">
        <x:v>CM336_foreign</x:v>
      </x:c>
      <x:c r="D4681" s="11" t="str">
        <x:v>2035-12-31</x:v>
      </x:c>
      <x:c r="E4681" s="11" t="str">
        <x:v>USD</x:v>
      </x:c>
      <x:c r="F4681" s="11" t="n">
        <x:v>4.227241615331964</x:v>
      </x:c>
      <x:c r="G4681" s="26" t="b">
        <x:v>1</x:v>
      </x:c>
      <x:c r="H4681" s="16" t="n">
        <x:v>0.9750000000000001</x:v>
      </x:c>
      <x:c r="I4681" s="16" t="n">
        <x:v>4</x:v>
      </x:c>
      <x:c r="J4681" s="16" t="n">
        <x:v>7</x:v>
      </x:c>
      <x:c r="K4681" s="11" t="n">
        <x:f>CHOOSE('假设'!$B$3,H4681,I4681,J4681)</x:f>
        <x:v>4</x:v>
      </x:c>
      <x:c r="L4681" s="11" t="n">
        <x:f>K4681*'管线假设'!E1007*'管线假设'!F1007*'管线假设'!G1007*IF(E4681="USD",'管线假设'!I1007,1)-AM4681</x:f>
        <x:v>0.6391</x:v>
      </x:c>
      <x:c r="M4681" s="11" t="n">
        <x:f>'管线假设'!H1007</x:f>
        <x:v>0.14</x:v>
      </x:c>
      <x:c r="N4681" s="11" t="n">
        <x:f>IF(G4681,L4681*AN4681/(1+M4681)^F4681,0)</x:f>
        <x:v>0.36729774485898026</x:v>
      </x:c>
      <x:c r="AJ4681" s="42" t="n">
        <x:v>0</x:v>
      </x:c>
      <x:c r="AK4681" s="42" t="n">
        <x:v>0</x:v>
      </x:c>
      <x:c r="AL4681" s="42" t="n">
        <x:v>0</x:v>
      </x:c>
      <x:c r="AM4681" t="n">
        <x:f>CHOOSE('假设'!$B$3,AJ4681,AK4681,AL4681)</x:f>
        <x:v>0</x:v>
      </x:c>
      <x:c r="AN4681" t="n">
        <x:v>1</x:v>
      </x:c>
    </x:row>
    <x:row r="4682" ht="23" customHeight="1">
      <x:c r="A4682" s="11" t="str">
        <x:v>02162.HK</x:v>
      </x:c>
      <x:c r="B4682" s="11" t="str">
        <x:v>五年</x:v>
      </x:c>
      <x:c r="C4682" s="11" t="str">
        <x:v>CM336_foreign</x:v>
      </x:c>
      <x:c r="D4682" s="11" t="str">
        <x:v>2036-12-31</x:v>
      </x:c>
      <x:c r="E4682" s="11" t="str">
        <x:v>USD</x:v>
      </x:c>
      <x:c r="F4682" s="11" t="n">
        <x:v>5.229295003422314</x:v>
      </x:c>
      <x:c r="G4682" s="26" t="b">
        <x:v>1</x:v>
      </x:c>
      <x:c r="H4682" s="16" t="n">
        <x:v>1.275</x:v>
      </x:c>
      <x:c r="I4682" s="16" t="n">
        <x:v>4</x:v>
      </x:c>
      <x:c r="J4682" s="16" t="n">
        <x:v>6.6499999999999995</x:v>
      </x:c>
      <x:c r="K4682" s="11" t="n">
        <x:f>CHOOSE('假设'!$B$3,H4682,I4682,J4682)</x:f>
        <x:v>4</x:v>
      </x:c>
      <x:c r="L4682" s="11" t="n">
        <x:f>K4682*'管线假设'!E1007*'管线假设'!F1007*'管线假设'!G1007*IF(E4682="USD",'管线假设'!I1007,1)-AM4682</x:f>
        <x:v>0.6391</x:v>
      </x:c>
      <x:c r="M4682" s="11" t="n">
        <x:f>'管线假设'!H1007</x:f>
        <x:v>0.14</x:v>
      </x:c>
      <x:c r="N4682" s="11" t="n">
        <x:f>IF(G4682,L4682*AN4682/(1+M4682)^F4682,0)</x:f>
        <x:v>0.32210432982941595</x:v>
      </x:c>
      <x:c r="AJ4682" s="42" t="n">
        <x:v>0</x:v>
      </x:c>
      <x:c r="AK4682" s="42" t="n">
        <x:v>0</x:v>
      </x:c>
      <x:c r="AL4682" s="42" t="n">
        <x:v>0</x:v>
      </x:c>
      <x:c r="AM4682" t="n">
        <x:f>CHOOSE('假设'!$B$3,AJ4682,AK4682,AL4682)</x:f>
        <x:v>0</x:v>
      </x:c>
      <x:c r="AN4682" t="n">
        <x:v>1</x:v>
      </x:c>
    </x:row>
    <x:row r="4683" ht="23" customHeight="1">
      <x:c r="A4683" s="11" t="str">
        <x:v>02162.HK</x:v>
      </x:c>
      <x:c r="B4683" s="11" t="str">
        <x:v>五年</x:v>
      </x:c>
      <x:c r="C4683" s="11" t="str">
        <x:v>CM336_foreign</x:v>
      </x:c>
      <x:c r="D4683" s="11" t="str">
        <x:v>2037-12-31</x:v>
      </x:c>
      <x:c r="E4683" s="11" t="str">
        <x:v>USD</x:v>
      </x:c>
      <x:c r="F4683" s="11" t="n">
        <x:v>6.228610540725531</x:v>
      </x:c>
      <x:c r="G4683" s="26" t="b">
        <x:v>1</x:v>
      </x:c>
      <x:c r="H4683" s="16" t="n">
        <x:v>1.5</x:v>
      </x:c>
      <x:c r="I4683" s="16" t="n">
        <x:v>3.8</x:v>
      </x:c>
      <x:c r="J4683" s="16" t="n">
        <x:v>6.3</x:v>
      </x:c>
      <x:c r="K4683" s="11" t="n">
        <x:f>CHOOSE('假设'!$B$3,H4683,I4683,J4683)</x:f>
        <x:v>3.8</x:v>
      </x:c>
      <x:c r="L4683" s="11" t="n">
        <x:f>K4683*'管线假设'!E1007*'管线假设'!F1007*'管线假设'!G1007*IF(E4683="USD",'管线假设'!I1007,1)-AM4683</x:f>
        <x:v>0.6071449999999999</x:v>
      </x:c>
      <x:c r="M4683" s="11" t="n">
        <x:f>'管线假设'!H1007</x:f>
        <x:v>0.14</x:v>
      </x:c>
      <x:c r="N4683" s="11" t="n">
        <x:f>IF(G4683,L4683*AN4683/(1+M4683)^F4683,0)</x:f>
        <x:v>0.26844434892997365</x:v>
      </x:c>
      <x:c r="AJ4683" s="42" t="n">
        <x:v>0</x:v>
      </x:c>
      <x:c r="AK4683" s="42" t="n">
        <x:v>0</x:v>
      </x:c>
      <x:c r="AL4683" s="42" t="n">
        <x:v>0</x:v>
      </x:c>
      <x:c r="AM4683" t="n">
        <x:f>CHOOSE('假设'!$B$3,AJ4683,AK4683,AL4683)</x:f>
        <x:v>0</x:v>
      </x:c>
      <x:c r="AN4683" t="n">
        <x:v>1</x:v>
      </x:c>
    </x:row>
    <x:row r="4684" ht="23" customHeight="1">
      <x:c r="A4684" s="11" t="str">
        <x:v>02162.HK</x:v>
      </x:c>
      <x:c r="B4684" s="11" t="str">
        <x:v>五年</x:v>
      </x:c>
      <x:c r="C4684" s="11" t="str">
        <x:v>CM336_foreign</x:v>
      </x:c>
      <x:c r="D4684" s="11" t="str">
        <x:v>2038-12-31</x:v>
      </x:c>
      <x:c r="E4684" s="11" t="str">
        <x:v>USD</x:v>
      </x:c>
      <x:c r="F4684" s="11" t="n">
        <x:v>7.227926078028747</x:v>
      </x:c>
      <x:c r="G4684" s="26" t="b">
        <x:v>1</x:v>
      </x:c>
      <x:c r="H4684" s="16" t="n">
        <x:v>1.5</x:v>
      </x:c>
      <x:c r="I4684" s="16" t="n">
        <x:v>3.6</x:v>
      </x:c>
      <x:c r="J4684" s="16" t="n">
        <x:v>5.6000000000000005</x:v>
      </x:c>
      <x:c r="K4684" s="11" t="n">
        <x:f>CHOOSE('假设'!$B$3,H4684,I4684,J4684)</x:f>
        <x:v>3.6</x:v>
      </x:c>
      <x:c r="L4684" s="11" t="n">
        <x:f>K4684*'管线假设'!E1007*'管线假设'!F1007*'管线假设'!G1007*IF(E4684="USD",'管线假设'!I1007,1)-AM4684</x:f>
        <x:v>0.57519</x:v>
      </x:c>
      <x:c r="M4684" s="11" t="n">
        <x:f>'管线假设'!H1007</x:f>
        <x:v>0.14</x:v>
      </x:c>
      <x:c r="N4684" s="11" t="n">
        <x:f>IF(G4684,L4684*AN4684/(1+M4684)^F4684,0)</x:f>
        <x:v>0.2231039544276362</x:v>
      </x:c>
      <x:c r="AJ4684" s="42" t="n">
        <x:v>0</x:v>
      </x:c>
      <x:c r="AK4684" s="42" t="n">
        <x:v>0</x:v>
      </x:c>
      <x:c r="AL4684" s="42" t="n">
        <x:v>0</x:v>
      </x:c>
      <x:c r="AM4684" t="n">
        <x:f>CHOOSE('假设'!$B$3,AJ4684,AK4684,AL4684)</x:f>
        <x:v>0</x:v>
      </x:c>
      <x:c r="AN4684" t="n">
        <x:v>1</x:v>
      </x:c>
    </x:row>
    <x:row r="4685" ht="23" customHeight="1">
      <x:c r="A4685" s="11" t="str">
        <x:v>02162.HK</x:v>
      </x:c>
      <x:c r="B4685" s="11" t="str">
        <x:v>五年</x:v>
      </x:c>
      <x:c r="C4685" s="11" t="str">
        <x:v>CM336_foreign</x:v>
      </x:c>
      <x:c r="D4685" s="11" t="str">
        <x:v>2039-12-31</x:v>
      </x:c>
      <x:c r="E4685" s="11" t="str">
        <x:v>USD</x:v>
      </x:c>
      <x:c r="F4685" s="11" t="n">
        <x:v>8.227241615331964</x:v>
      </x:c>
      <x:c r="G4685" s="26" t="b">
        <x:v>1</x:v>
      </x:c>
      <x:c r="H4685" s="16" t="n">
        <x:v>1.4249999999999998</x:v>
      </x:c>
      <x:c r="I4685" s="16" t="n">
        <x:v>3.2</x:v>
      </x:c>
      <x:c r="J4685" s="16" t="n">
        <x:v>4.55</x:v>
      </x:c>
      <x:c r="K4685" s="11" t="n">
        <x:f>CHOOSE('假设'!$B$3,H4685,I4685,J4685)</x:f>
        <x:v>3.2</x:v>
      </x:c>
      <x:c r="L4685" s="11" t="n">
        <x:f>K4685*'管线假设'!E1007*'管线假设'!F1007*'管线假设'!G1007*IF(E4685="USD",'管线假设'!I1007,1)-AM4685</x:f>
        <x:v>0.51128</x:v>
      </x:c>
      <x:c r="M4685" s="11" t="n">
        <x:f>'管线假设'!H1007</x:f>
        <x:v>0.14</x:v>
      </x:c>
      <x:c r="N4685" s="11" t="n">
        <x:f>IF(G4685,L4685*AN4685/(1+M4685)^F4685,0)</x:f>
        <x:v>0.17397580052284006</x:v>
      </x:c>
      <x:c r="AJ4685" s="42" t="n">
        <x:v>0</x:v>
      </x:c>
      <x:c r="AK4685" s="42" t="n">
        <x:v>0</x:v>
      </x:c>
      <x:c r="AL4685" s="42" t="n">
        <x:v>0</x:v>
      </x:c>
      <x:c r="AM4685" t="n">
        <x:f>CHOOSE('假设'!$B$3,AJ4685,AK4685,AL4685)</x:f>
        <x:v>0</x:v>
      </x:c>
      <x:c r="AN4685" t="n">
        <x:v>1</x:v>
      </x:c>
    </x:row>
    <x:row r="4686" ht="23" customHeight="1">
      <x:c r="A4686" s="11" t="str">
        <x:v>02162.HK</x:v>
      </x:c>
      <x:c r="B4686" s="11" t="str">
        <x:v>五年</x:v>
      </x:c>
      <x:c r="C4686" s="11" t="str">
        <x:v>CM336_foreign</x:v>
      </x:c>
      <x:c r="D4686" s="11" t="str">
        <x:v>2040-12-31</x:v>
      </x:c>
      <x:c r="E4686" s="11" t="str">
        <x:v>USD</x:v>
      </x:c>
      <x:c r="F4686" s="11" t="n">
        <x:v>9.229295003422314</x:v>
      </x:c>
      <x:c r="G4686" s="26" t="b">
        <x:v>1</x:v>
      </x:c>
      <x:c r="H4686" s="16" t="n">
        <x:v>1.35</x:v>
      </x:c>
      <x:c r="I4686" s="16" t="n">
        <x:v>2.6</x:v>
      </x:c>
      <x:c r="J4686" s="16" t="n">
        <x:v>3.5</x:v>
      </x:c>
      <x:c r="K4686" s="11" t="n">
        <x:f>CHOOSE('假设'!$B$3,H4686,I4686,J4686)</x:f>
        <x:v>2.6</x:v>
      </x:c>
      <x:c r="L4686" s="11" t="n">
        <x:f>K4686*'管线假设'!E1007*'管线假设'!F1007*'管线假设'!G1007*IF(E4686="USD",'管线假设'!I1007,1)-AM4686</x:f>
        <x:v>0.415415</x:v>
      </x:c>
      <x:c r="M4686" s="11" t="n">
        <x:f>'管线假设'!H1007</x:f>
        <x:v>0.14</x:v>
      </x:c>
      <x:c r="N4686" s="11" t="n">
        <x:f>IF(G4686,L4686*AN4686/(1+M4686)^F4686,0)</x:f>
        <x:v>0.12396255361590072</x:v>
      </x:c>
      <x:c r="AJ4686" s="42" t="n">
        <x:v>0</x:v>
      </x:c>
      <x:c r="AK4686" s="42" t="n">
        <x:v>0</x:v>
      </x:c>
      <x:c r="AL4686" s="42" t="n">
        <x:v>0</x:v>
      </x:c>
      <x:c r="AM4686" t="n">
        <x:f>CHOOSE('假设'!$B$3,AJ4686,AK4686,AL4686)</x:f>
        <x:v>0</x:v>
      </x:c>
      <x:c r="AN4686" t="n">
        <x:v>1</x:v>
      </x:c>
    </x:row>
    <x:row r="4687" ht="23" customHeight="1">
      <x:c r="A4687" s="11" t="str">
        <x:v>02162.HK</x:v>
      </x:c>
      <x:c r="B4687" s="11" t="str">
        <x:v>五年</x:v>
      </x:c>
      <x:c r="C4687" s="11" t="str">
        <x:v>CM336_foreign</x:v>
      </x:c>
      <x:c r="D4687" s="11" t="str">
        <x:v>2041-12-31</x:v>
      </x:c>
      <x:c r="E4687" s="11" t="str">
        <x:v>USD</x:v>
      </x:c>
      <x:c r="F4687" s="11" t="n">
        <x:v>10.22861054072553</x:v>
      </x:c>
      <x:c r="G4687" s="26" t="b">
        <x:v>1</x:v>
      </x:c>
      <x:c r="H4687" s="16" t="n">
        <x:v>1.2000000000000002</x:v>
      </x:c>
      <x:c r="I4687" s="16" t="n">
        <x:v>2</x:v>
      </x:c>
      <x:c r="J4687" s="16" t="n">
        <x:v>2.4499999999999997</x:v>
      </x:c>
      <x:c r="K4687" s="11" t="n">
        <x:f>CHOOSE('假设'!$B$3,H4687,I4687,J4687)</x:f>
        <x:v>2</x:v>
      </x:c>
      <x:c r="L4687" s="11" t="n">
        <x:f>K4687*'管线假设'!E1007*'管线假设'!F1007*'管线假设'!G1007*IF(E4687="USD",'管线假设'!I1007,1)-AM4687</x:f>
        <x:v>0.31955</x:v>
      </x:c>
      <x:c r="M4687" s="11" t="n">
        <x:f>'管线假设'!H1007</x:f>
        <x:v>0.14</x:v>
      </x:c>
      <x:c r="N4687" s="11" t="n">
        <x:f>IF(G4687,L4687*AN4687/(1+M4687)^F4687,0)</x:f>
        <x:v>0.08365294977522039</x:v>
      </x:c>
      <x:c r="AJ4687" s="42" t="n">
        <x:v>0</x:v>
      </x:c>
      <x:c r="AK4687" s="42" t="n">
        <x:v>0</x:v>
      </x:c>
      <x:c r="AL4687" s="42" t="n">
        <x:v>0</x:v>
      </x:c>
      <x:c r="AM4687" t="n">
        <x:f>CHOOSE('假设'!$B$3,AJ4687,AK4687,AL4687)</x:f>
        <x:v>0</x:v>
      </x:c>
      <x:c r="AN4687" t="n">
        <x:v>1</x:v>
      </x:c>
    </x:row>
    <x:row r="4688" ht="23" customHeight="1">
      <x:c r="A4688" s="11" t="str">
        <x:v>02162.HK</x:v>
      </x:c>
      <x:c r="B4688" s="11" t="str">
        <x:v>五年</x:v>
      </x:c>
      <x:c r="C4688" s="11" t="str">
        <x:v>CM336_foreign</x:v>
      </x:c>
      <x:c r="D4688" s="11" t="str">
        <x:v>2042-12-31</x:v>
      </x:c>
      <x:c r="E4688" s="11" t="str">
        <x:v>USD</x:v>
      </x:c>
      <x:c r="F4688" s="11" t="n">
        <x:v>11.227926078028748</x:v>
      </x:c>
      <x:c r="G4688" s="26" t="b">
        <x:v>1</x:v>
      </x:c>
      <x:c r="H4688" s="16" t="n">
        <x:v>0.9750000000000001</x:v>
      </x:c>
      <x:c r="I4688" s="16" t="n">
        <x:v>1.4</x:v>
      </x:c>
      <x:c r="J4688" s="16" t="n">
        <x:v>1.4000000000000001</x:v>
      </x:c>
      <x:c r="K4688" s="11" t="n">
        <x:f>CHOOSE('假设'!$B$3,H4688,I4688,J4688)</x:f>
        <x:v>1.4</x:v>
      </x:c>
      <x:c r="L4688" s="11" t="n">
        <x:f>K4688*'管线假设'!E1007*'管线假设'!F1007*'管线假设'!G1007*IF(E4688="USD",'管线假设'!I1007,1)-AM4688</x:f>
        <x:v>0.22368499999999997</x:v>
      </x:c>
      <x:c r="M4688" s="11" t="n">
        <x:f>'管线假设'!H1007</x:f>
        <x:v>0.14</x:v>
      </x:c>
      <x:c r="N4688" s="11" t="n">
        <x:f>IF(G4688,L4688*AN4688/(1+M4688)^F4688,0)</x:f>
        <x:v>0.05137045325218369</x:v>
      </x:c>
      <x:c r="AJ4688" s="42" t="n">
        <x:v>0</x:v>
      </x:c>
      <x:c r="AK4688" s="42" t="n">
        <x:v>0</x:v>
      </x:c>
      <x:c r="AL4688" s="42" t="n">
        <x:v>0</x:v>
      </x:c>
      <x:c r="AM4688" t="n">
        <x:f>CHOOSE('假设'!$B$3,AJ4688,AK4688,AL4688)</x:f>
        <x:v>0</x:v>
      </x:c>
      <x:c r="AN4688" t="n">
        <x:v>1</x:v>
      </x:c>
    </x:row>
    <x:row r="4689" ht="23" customHeight="1">
      <x:c r="A4689" s="11" t="str">
        <x:v>02162.HK</x:v>
      </x:c>
      <x:c r="B4689" s="11" t="str">
        <x:v>五年</x:v>
      </x:c>
      <x:c r="C4689" s="11" t="str">
        <x:v>CM336_foreign</x:v>
      </x:c>
      <x:c r="D4689" s="11" t="str">
        <x:v>2043-12-31</x:v>
      </x:c>
      <x:c r="E4689" s="11" t="str">
        <x:v>USD</x:v>
      </x:c>
      <x:c r="F4689" s="11" t="n">
        <x:v>12.227241615331964</x:v>
      </x:c>
      <x:c r="G4689" s="26" t="b">
        <x:v>1</x:v>
      </x:c>
      <x:c r="H4689" s="16" t="n">
        <x:v>0.75</x:v>
      </x:c>
      <x:c r="I4689" s="16" t="n">
        <x:v>0.8</x:v>
      </x:c>
      <x:c r="J4689" s="16" t="n">
        <x:v>0.84</x:v>
      </x:c>
      <x:c r="K4689" s="11" t="n">
        <x:f>CHOOSE('假设'!$B$3,H4689,I4689,J4689)</x:f>
        <x:v>0.8</x:v>
      </x:c>
      <x:c r="L4689" s="11" t="n">
        <x:f>K4689*'管线假设'!E1007*'管线假设'!F1007*'管线假设'!G1007*IF(E4689="USD",'管线假设'!I1007,1)-AM4689</x:f>
        <x:v>0.12782</x:v>
      </x:c>
      <x:c r="M4689" s="11" t="n">
        <x:f>'管线假设'!H1007</x:f>
        <x:v>0.14</x:v>
      </x:c>
      <x:c r="N4689" s="11" t="n">
        <x:f>IF(G4689,L4689*AN4689/(1+M4689)^F4689,0)</x:f>
        <x:v>0.025751910057315974</x:v>
      </x:c>
      <x:c r="AJ4689" s="42" t="n">
        <x:v>0</x:v>
      </x:c>
      <x:c r="AK4689" s="42" t="n">
        <x:v>0</x:v>
      </x:c>
      <x:c r="AL4689" s="42" t="n">
        <x:v>0</x:v>
      </x:c>
      <x:c r="AM4689" t="n">
        <x:f>CHOOSE('假设'!$B$3,AJ4689,AK4689,AL4689)</x:f>
        <x:v>0</x:v>
      </x:c>
      <x:c r="AN4689" t="n">
        <x:v>1</x:v>
      </x:c>
    </x:row>
    <x:row r="4690" ht="23" customHeight="1">
      <x:c r="A4690" s="11" t="str">
        <x:v>02162.HK</x:v>
      </x:c>
      <x:c r="B4690" s="11" t="str">
        <x:v>五年</x:v>
      </x:c>
      <x:c r="C4690" s="11" t="str">
        <x:v>CM336_foreign</x:v>
      </x:c>
      <x:c r="D4690" s="11" t="str">
        <x:v>2044-12-31</x:v>
      </x:c>
      <x:c r="E4690" s="11" t="str">
        <x:v>USD</x:v>
      </x:c>
      <x:c r="F4690" s="11" t="n">
        <x:v>13.229295003422314</x:v>
      </x:c>
      <x:c r="G4690" s="26" t="b">
        <x:v>1</x:v>
      </x:c>
      <x:c r="H4690" s="16" t="n">
        <x:v>0.5249999999999999</x:v>
      </x:c>
      <x:c r="I4690" s="16" t="n">
        <x:v>0.48</x:v>
      </x:c>
      <x:c r="J4690" s="16" t="n">
        <x:v>0.49000000000000005</x:v>
      </x:c>
      <x:c r="K4690" s="11" t="n">
        <x:f>CHOOSE('假设'!$B$3,H4690,I4690,J4690)</x:f>
        <x:v>0.48</x:v>
      </x:c>
      <x:c r="L4690" s="11" t="n">
        <x:f>K4690*'管线假设'!E1007*'管线假设'!F1007*'管线假设'!G1007*IF(E4690="USD",'管线假设'!I1007,1)-AM4690</x:f>
        <x:v>0.076692</x:v>
      </x:c>
      <x:c r="M4690" s="11" t="n">
        <x:f>'管线假设'!H1007</x:f>
        <x:v>0.14</x:v>
      </x:c>
      <x:c r="N4690" s="11" t="n">
        <x:f>IF(G4690,L4690*AN4690/(1+M4690)^F4690,0)</x:f>
        <x:v>0.013549990731400521</x:v>
      </x:c>
      <x:c r="AJ4690" s="42" t="n">
        <x:v>0</x:v>
      </x:c>
      <x:c r="AK4690" s="42" t="n">
        <x:v>0</x:v>
      </x:c>
      <x:c r="AL4690" s="42" t="n">
        <x:v>0</x:v>
      </x:c>
      <x:c r="AM4690" t="n">
        <x:f>CHOOSE('假设'!$B$3,AJ4690,AK4690,AL4690)</x:f>
        <x:v>0</x:v>
      </x:c>
      <x:c r="AN4690" t="n">
        <x:v>1</x:v>
      </x:c>
    </x:row>
    <x:row r="4691" ht="23" customHeight="1">
      <x:c r="A4691" s="11" t="str">
        <x:v>02162.HK</x:v>
      </x:c>
      <x:c r="B4691" s="11" t="str">
        <x:v>五年</x:v>
      </x:c>
      <x:c r="C4691" s="11" t="str">
        <x:v>CM336_domestic</x:v>
      </x:c>
      <x:c r="D4691" s="11" t="str">
        <x:v>2026-12-31</x:v>
      </x:c>
      <x:c r="E4691" s="11" t="str">
        <x:v>CNY</x:v>
      </x:c>
      <x:c r="F4691" s="11" t="n">
        <x:v>-4.772073921971253</x:v>
      </x:c>
      <x:c r="G4691" s="26" t="b">
        <x:v>0</x:v>
      </x:c>
      <x:c r="H4691" s="16" t="n">
        <x:v>0</x:v>
      </x:c>
      <x:c r="I4691" s="16" t="n">
        <x:v>0</x:v>
      </x:c>
      <x:c r="J4691" s="16" t="n">
        <x:v>0</x:v>
      </x:c>
      <x:c r="K4691" s="11" t="n">
        <x:f>CHOOSE('假设'!$B$3,H4691,I4691,J4691)</x:f>
        <x:v>0</x:v>
      </x:c>
      <x:c r="L4691" s="11" t="n">
        <x:f>K4691*'管线假设'!E1011*'管线假设'!F1011*'管线假设'!G1011*IF(E4691="USD",'管线假设'!I1011,1)-AM4691</x:f>
        <x:v>-0.12</x:v>
      </x:c>
      <x:c r="M4691" s="11" t="n">
        <x:f>'管线假设'!H1011</x:f>
        <x:v>0.14</x:v>
      </x:c>
      <x:c r="N4691" s="11" t="n">
        <x:f>IF(G4691,L4691*AN4691/(1+M4691)^F4691,0)</x:f>
        <x:v>0</x:v>
      </x:c>
      <x:c r="AJ4691" s="42" t="n">
        <x:v>0.08</x:v>
      </x:c>
      <x:c r="AK4691" s="42" t="n">
        <x:v>0.12</x:v>
      </x:c>
      <x:c r="AL4691" s="42" t="n">
        <x:v>0.18</x:v>
      </x:c>
      <x:c r="AM4691" t="n">
        <x:f>CHOOSE('假设'!$B$3,AJ4691,AK4691,AL4691)</x:f>
        <x:v>0.12</x:v>
      </x:c>
      <x:c r="AN4691" t="n">
        <x:v>0</x:v>
      </x:c>
    </x:row>
    <x:row r="4692" ht="23" customHeight="1">
      <x:c r="A4692" s="11" t="str">
        <x:v>02162.HK</x:v>
      </x:c>
      <x:c r="B4692" s="11" t="str">
        <x:v>五年</x:v>
      </x:c>
      <x:c r="C4692" s="11" t="str">
        <x:v>CM336_domestic</x:v>
      </x:c>
      <x:c r="D4692" s="11" t="str">
        <x:v>2027-12-31</x:v>
      </x:c>
      <x:c r="E4692" s="11" t="str">
        <x:v>CNY</x:v>
      </x:c>
      <x:c r="F4692" s="11" t="n">
        <x:v>-3.7727583846680357</x:v>
      </x:c>
      <x:c r="G4692" s="26" t="b">
        <x:v>0</x:v>
      </x:c>
      <x:c r="H4692" s="16" t="n">
        <x:v>0</x:v>
      </x:c>
      <x:c r="I4692" s="16" t="n">
        <x:v>0</x:v>
      </x:c>
      <x:c r="J4692" s="16" t="n">
        <x:v>0</x:v>
      </x:c>
      <x:c r="K4692" s="11" t="n">
        <x:f>CHOOSE('假设'!$B$3,H4692,I4692,J4692)</x:f>
        <x:v>0</x:v>
      </x:c>
      <x:c r="L4692" s="11" t="n">
        <x:f>K4692*'管线假设'!E1011*'管线假设'!F1011*'管线假设'!G1011*IF(E4692="USD",'管线假设'!I1011,1)-AM4692</x:f>
        <x:v>-0.15</x:v>
      </x:c>
      <x:c r="M4692" s="11" t="n">
        <x:f>'管线假设'!H1011</x:f>
        <x:v>0.14</x:v>
      </x:c>
      <x:c r="N4692" s="11" t="n">
        <x:f>IF(G4692,L4692*AN4692/(1+M4692)^F4692,0)</x:f>
        <x:v>0</x:v>
      </x:c>
      <x:c r="AJ4692" s="42" t="n">
        <x:v>0.08</x:v>
      </x:c>
      <x:c r="AK4692" s="42" t="n">
        <x:v>0.15</x:v>
      </x:c>
      <x:c r="AL4692" s="42" t="n">
        <x:v>0.22</x:v>
      </x:c>
      <x:c r="AM4692" t="n">
        <x:f>CHOOSE('假设'!$B$3,AJ4692,AK4692,AL4692)</x:f>
        <x:v>0.15</x:v>
      </x:c>
      <x:c r="AN4692" t="n">
        <x:v>0</x:v>
      </x:c>
    </x:row>
    <x:row r="4693" ht="23" customHeight="1">
      <x:c r="A4693" s="11" t="str">
        <x:v>02162.HK</x:v>
      </x:c>
      <x:c r="B4693" s="11" t="str">
        <x:v>五年</x:v>
      </x:c>
      <x:c r="C4693" s="11" t="str">
        <x:v>CM336_domestic</x:v>
      </x:c>
      <x:c r="D4693" s="11" t="str">
        <x:v>2028-12-31</x:v>
      </x:c>
      <x:c r="E4693" s="11" t="str">
        <x:v>CNY</x:v>
      </x:c>
      <x:c r="F4693" s="11" t="n">
        <x:v>-2.7707049965776864</x:v>
      </x:c>
      <x:c r="G4693" s="26" t="b">
        <x:v>0</x:v>
      </x:c>
      <x:c r="H4693" s="16" t="n">
        <x:v>0</x:v>
      </x:c>
      <x:c r="I4693" s="16" t="n">
        <x:v>0</x:v>
      </x:c>
      <x:c r="J4693" s="16" t="n">
        <x:v>0.18</x:v>
      </x:c>
      <x:c r="K4693" s="11" t="n">
        <x:f>CHOOSE('假设'!$B$3,H4693,I4693,J4693)</x:f>
        <x:v>0</x:v>
      </x:c>
      <x:c r="L4693" s="11" t="n">
        <x:f>K4693*'管线假设'!E1011*'管线假设'!F1011*'管线假设'!G1011*IF(E4693="USD",'管线假设'!I1011,1)-AM4693</x:f>
        <x:v>-0.14</x:v>
      </x:c>
      <x:c r="M4693" s="11" t="n">
        <x:f>'管线假设'!H1011</x:f>
        <x:v>0.14</x:v>
      </x:c>
      <x:c r="N4693" s="11" t="n">
        <x:f>IF(G4693,L4693*AN4693/(1+M4693)^F4693,0)</x:f>
        <x:v>0</x:v>
      </x:c>
      <x:c r="AJ4693" s="42" t="n">
        <x:v>0.06</x:v>
      </x:c>
      <x:c r="AK4693" s="42" t="n">
        <x:v>0.14</x:v>
      </x:c>
      <x:c r="AL4693" s="42" t="n">
        <x:v>0.18</x:v>
      </x:c>
      <x:c r="AM4693" t="n">
        <x:f>CHOOSE('假设'!$B$3,AJ4693,AK4693,AL4693)</x:f>
        <x:v>0.14</x:v>
      </x:c>
      <x:c r="AN4693" t="n">
        <x:v>0</x:v>
      </x:c>
    </x:row>
    <x:row r="4694" ht="23" customHeight="1">
      <x:c r="A4694" s="11" t="str">
        <x:v>02162.HK</x:v>
      </x:c>
      <x:c r="B4694" s="11" t="str">
        <x:v>五年</x:v>
      </x:c>
      <x:c r="C4694" s="11" t="str">
        <x:v>CM336_domestic</x:v>
      </x:c>
      <x:c r="D4694" s="11" t="str">
        <x:v>2029-12-31</x:v>
      </x:c>
      <x:c r="E4694" s="11" t="str">
        <x:v>CNY</x:v>
      </x:c>
      <x:c r="F4694" s="11" t="n">
        <x:v>-1.7713894592744694</x:v>
      </x:c>
      <x:c r="G4694" s="26" t="b">
        <x:v>0</x:v>
      </x:c>
      <x:c r="H4694" s="16" t="n">
        <x:v>0</x:v>
      </x:c>
      <x:c r="I4694" s="16" t="n">
        <x:v>0.09</x:v>
      </x:c>
      <x:c r="J4694" s="16" t="n">
        <x:v>0.54</x:v>
      </x:c>
      <x:c r="K4694" s="11" t="n">
        <x:f>CHOOSE('假设'!$B$3,H4694,I4694,J4694)</x:f>
        <x:v>0.09</x:v>
      </x:c>
      <x:c r="L4694" s="11" t="n">
        <x:f>K4694*'管线假设'!E1011*'管线假设'!F1011*'管线假设'!G1011*IF(E4694="USD",'管线假设'!I1011,1)-AM4694</x:f>
        <x:v>-0.05380000000000001</x:v>
      </x:c>
      <x:c r="M4694" s="11" t="n">
        <x:f>'管线假设'!H1011</x:f>
        <x:v>0.14</x:v>
      </x:c>
      <x:c r="N4694" s="11" t="n">
        <x:f>IF(G4694,L4694*AN4694/(1+M4694)^F4694,0)</x:f>
        <x:v>0</x:v>
      </x:c>
      <x:c r="AJ4694" s="42" t="n">
        <x:v>0</x:v>
      </x:c>
      <x:c r="AK4694" s="42" t="n">
        <x:v>0.07</x:v>
      </x:c>
      <x:c r="AL4694" s="42" t="n">
        <x:v>0.07</x:v>
      </x:c>
      <x:c r="AM4694" t="n">
        <x:f>CHOOSE('假设'!$B$3,AJ4694,AK4694,AL4694)</x:f>
        <x:v>0.07</x:v>
      </x:c>
      <x:c r="AN4694" t="n">
        <x:v>0</x:v>
      </x:c>
    </x:row>
    <x:row r="4695" ht="23" customHeight="1">
      <x:c r="A4695" s="11" t="str">
        <x:v>02162.HK</x:v>
      </x:c>
      <x:c r="B4695" s="11" t="str">
        <x:v>五年</x:v>
      </x:c>
      <x:c r="C4695" s="11" t="str">
        <x:v>CM336_domestic</x:v>
      </x:c>
      <x:c r="D4695" s="11" t="str">
        <x:v>2030-12-31</x:v>
      </x:c>
      <x:c r="E4695" s="11" t="str">
        <x:v>CNY</x:v>
      </x:c>
      <x:c r="F4695" s="11" t="n">
        <x:v>-0.7720739219712526</x:v>
      </x:c>
      <x:c r="G4695" s="26" t="b">
        <x:v>0</x:v>
      </x:c>
      <x:c r="H4695" s="16" t="n">
        <x:v>0</x:v>
      </x:c>
      <x:c r="I4695" s="16" t="n">
        <x:v>0.27</x:v>
      </x:c>
      <x:c r="J4695" s="16" t="n">
        <x:v>1.1400000000000001</x:v>
      </x:c>
      <x:c r="K4695" s="11" t="n">
        <x:f>CHOOSE('假设'!$B$3,H4695,I4695,J4695)</x:f>
        <x:v>0.27</x:v>
      </x:c>
      <x:c r="L4695" s="11" t="n">
        <x:f>K4695*'管线假设'!E1011*'管线假设'!F1011*'管线假设'!G1011*IF(E4695="USD",'管线假设'!I1011,1)-AM4695</x:f>
        <x:v>0.048600000000000004</x:v>
      </x:c>
      <x:c r="M4695" s="11" t="n">
        <x:f>'管线假设'!H1011</x:f>
        <x:v>0.14</x:v>
      </x:c>
      <x:c r="N4695" s="11" t="n">
        <x:f>IF(G4695,L4695*AN4695/(1+M4695)^F4695,0)</x:f>
        <x:v>0</x:v>
      </x:c>
      <x:c r="AJ4695" s="42" t="n">
        <x:v>0</x:v>
      </x:c>
      <x:c r="AK4695" s="42" t="n">
        <x:v>0</x:v>
      </x:c>
      <x:c r="AL4695" s="42" t="n">
        <x:v>0</x:v>
      </x:c>
      <x:c r="AM4695" t="n">
        <x:f>CHOOSE('假设'!$B$3,AJ4695,AK4695,AL4695)</x:f>
        <x:v>0</x:v>
      </x:c>
      <x:c r="AN4695" t="n">
        <x:v>0</x:v>
      </x:c>
    </x:row>
    <x:row r="4696" ht="23" customHeight="1">
      <x:c r="A4696" s="11" t="str">
        <x:v>02162.HK</x:v>
      </x:c>
      <x:c r="B4696" s="11" t="str">
        <x:v>五年</x:v>
      </x:c>
      <x:c r="C4696" s="11" t="str">
        <x:v>CM336_domestic</x:v>
      </x:c>
      <x:c r="D4696" s="11" t="str">
        <x:v>2031-12-31</x:v>
      </x:c>
      <x:c r="E4696" s="11" t="str">
        <x:v>CNY</x:v>
      </x:c>
      <x:c r="F4696" s="11" t="n">
        <x:v>0.2272416153319644</x:v>
      </x:c>
      <x:c r="G4696" s="26" t="b">
        <x:v>1</x:v>
      </x:c>
      <x:c r="H4696" s="16" t="n">
        <x:v>0.03</x:v>
      </x:c>
      <x:c r="I4696" s="16" t="n">
        <x:v>0.5700000000000001</x:v>
      </x:c>
      <x:c r="J4696" s="16" t="n">
        <x:v>1.9500000000000002</x:v>
      </x:c>
      <x:c r="K4696" s="11" t="n">
        <x:f>CHOOSE('假设'!$B$3,H4696,I4696,J4696)</x:f>
        <x:v>0.5700000000000001</x:v>
      </x:c>
      <x:c r="L4696" s="11" t="n">
        <x:f>K4696*'管线假设'!E1011*'管线假设'!F1011*'管线假设'!G1011*IF(E4696="USD",'管线假设'!I1011,1)-AM4696</x:f>
        <x:v>0.10260000000000002</x:v>
      </x:c>
      <x:c r="M4696" s="11" t="n">
        <x:f>'管线假设'!H1011</x:f>
        <x:v>0.14</x:v>
      </x:c>
      <x:c r="N4696" s="11" t="n">
        <x:f>IF(G4696,L4696*AN4696/(1+M4696)^F4696,0)</x:f>
        <x:v>0.02270873378873641</x:v>
      </x:c>
      <x:c r="AJ4696" s="42" t="n">
        <x:v>0</x:v>
      </x:c>
      <x:c r="AK4696" s="42" t="n">
        <x:v>0</x:v>
      </x:c>
      <x:c r="AL4696" s="42" t="n">
        <x:v>0</x:v>
      </x:c>
      <x:c r="AM4696" t="n">
        <x:f>CHOOSE('假设'!$B$3,AJ4696,AK4696,AL4696)</x:f>
        <x:v>0</x:v>
      </x:c>
      <x:c r="AN4696" t="n">
        <x:v>0.22802197802197802</x:v>
      </x:c>
    </x:row>
    <x:row r="4697" ht="23" customHeight="1">
      <x:c r="A4697" s="11" t="str">
        <x:v>02162.HK</x:v>
      </x:c>
      <x:c r="B4697" s="11" t="str">
        <x:v>五年</x:v>
      </x:c>
      <x:c r="C4697" s="11" t="str">
        <x:v>CM336_domestic</x:v>
      </x:c>
      <x:c r="D4697" s="11" t="str">
        <x:v>2032-12-31</x:v>
      </x:c>
      <x:c r="E4697" s="11" t="str">
        <x:v>CNY</x:v>
      </x:c>
      <x:c r="F4697" s="11" t="n">
        <x:v>1.2292950034223136</x:v>
      </x:c>
      <x:c r="G4697" s="26" t="b">
        <x:v>1</x:v>
      </x:c>
      <x:c r="H4697" s="16" t="n">
        <x:v>0.09</x:v>
      </x:c>
      <x:c r="I4697" s="16" t="n">
        <x:v>0.9750000000000001</x:v>
      </x:c>
      <x:c r="J4697" s="16" t="n">
        <x:v>2.55</x:v>
      </x:c>
      <x:c r="K4697" s="11" t="n">
        <x:f>CHOOSE('假设'!$B$3,H4697,I4697,J4697)</x:f>
        <x:v>0.9750000000000001</x:v>
      </x:c>
      <x:c r="L4697" s="11" t="n">
        <x:f>K4697*'管线假设'!E1011*'管线假设'!F1011*'管线假设'!G1011*IF(E4697="USD",'管线假设'!I1011,1)-AM4697</x:f>
        <x:v>0.17550000000000004</x:v>
      </x:c>
      <x:c r="M4697" s="11" t="n">
        <x:f>'管线假设'!H1011</x:f>
        <x:v>0.14</x:v>
      </x:c>
      <x:c r="N4697" s="11" t="n">
        <x:f>IF(G4697,L4697*AN4697/(1+M4697)^F4697,0)</x:f>
        <x:v>0.1493909439339146</x:v>
      </x:c>
      <x:c r="AJ4697" s="42" t="n">
        <x:v>0</x:v>
      </x:c>
      <x:c r="AK4697" s="42" t="n">
        <x:v>0</x:v>
      </x:c>
      <x:c r="AL4697" s="42" t="n">
        <x:v>0</x:v>
      </x:c>
      <x:c r="AM4697" t="n">
        <x:f>CHOOSE('假设'!$B$3,AJ4697,AK4697,AL4697)</x:f>
        <x:v>0</x:v>
      </x:c>
      <x:c r="AN4697" t="n">
        <x:v>1</x:v>
      </x:c>
    </x:row>
    <x:row r="4698" ht="23" customHeight="1">
      <x:c r="A4698" s="11" t="str">
        <x:v>02162.HK</x:v>
      </x:c>
      <x:c r="B4698" s="11" t="str">
        <x:v>五年</x:v>
      </x:c>
      <x:c r="C4698" s="11" t="str">
        <x:v>CM336_domestic</x:v>
      </x:c>
      <x:c r="D4698" s="11" t="str">
        <x:v>2033-12-31</x:v>
      </x:c>
      <x:c r="E4698" s="11" t="str">
        <x:v>CNY</x:v>
      </x:c>
      <x:c r="F4698" s="11" t="n">
        <x:v>2.2286105407255303</x:v>
      </x:c>
      <x:c r="G4698" s="26" t="b">
        <x:v>1</x:v>
      </x:c>
      <x:c r="H4698" s="16" t="n">
        <x:v>0.19</x:v>
      </x:c>
      <x:c r="I4698" s="16" t="n">
        <x:v>1.275</x:v>
      </x:c>
      <x:c r="J4698" s="16" t="n">
        <x:v>3</x:v>
      </x:c>
      <x:c r="K4698" s="11" t="n">
        <x:f>CHOOSE('假设'!$B$3,H4698,I4698,J4698)</x:f>
        <x:v>1.275</x:v>
      </x:c>
      <x:c r="L4698" s="11" t="n">
        <x:f>K4698*'管线假设'!E1011*'管线假设'!F1011*'管线假设'!G1011*IF(E4698="USD",'管线假设'!I1011,1)-AM4698</x:f>
        <x:v>0.2295</x:v>
      </x:c>
      <x:c r="M4698" s="11" t="n">
        <x:f>'管线假设'!H1011</x:f>
        <x:v>0.14</x:v>
      </x:c>
      <x:c r="N4698" s="11" t="n">
        <x:f>IF(G4698,L4698*AN4698/(1+M4698)^F4698,0)</x:f>
        <x:v>0.17138149950062814</x:v>
      </x:c>
      <x:c r="AJ4698" s="42" t="n">
        <x:v>0</x:v>
      </x:c>
      <x:c r="AK4698" s="42" t="n">
        <x:v>0</x:v>
      </x:c>
      <x:c r="AL4698" s="42" t="n">
        <x:v>0</x:v>
      </x:c>
      <x:c r="AM4698" t="n">
        <x:f>CHOOSE('假设'!$B$3,AJ4698,AK4698,AL4698)</x:f>
        <x:v>0</x:v>
      </x:c>
      <x:c r="AN4698" t="n">
        <x:v>1</x:v>
      </x:c>
    </x:row>
    <x:row r="4699" ht="23" customHeight="1">
      <x:c r="A4699" s="11" t="str">
        <x:v>02162.HK</x:v>
      </x:c>
      <x:c r="B4699" s="11" t="str">
        <x:v>五年</x:v>
      </x:c>
      <x:c r="C4699" s="11" t="str">
        <x:v>CM336_domestic</x:v>
      </x:c>
      <x:c r="D4699" s="11" t="str">
        <x:v>2034-12-31</x:v>
      </x:c>
      <x:c r="E4699" s="11" t="str">
        <x:v>CNY</x:v>
      </x:c>
      <x:c r="F4699" s="11" t="n">
        <x:v>3.2279260780287475</x:v>
      </x:c>
      <x:c r="G4699" s="26" t="b">
        <x:v>1</x:v>
      </x:c>
      <x:c r="H4699" s="16" t="n">
        <x:v>0.325</x:v>
      </x:c>
      <x:c r="I4699" s="16" t="n">
        <x:v>1.5</x:v>
      </x:c>
      <x:c r="J4699" s="16" t="n">
        <x:v>3</x:v>
      </x:c>
      <x:c r="K4699" s="11" t="n">
        <x:f>CHOOSE('假设'!$B$3,H4699,I4699,J4699)</x:f>
        <x:v>1.5</x:v>
      </x:c>
      <x:c r="L4699" s="11" t="n">
        <x:f>K4699*'管线假设'!E1011*'管线假设'!F1011*'管线假设'!G1011*IF(E4699="USD",'管线假设'!I1011,1)-AM4699</x:f>
        <x:v>0.2700000000000001</x:v>
      </x:c>
      <x:c r="M4699" s="11" t="n">
        <x:f>'管线假设'!H1011</x:f>
        <x:v>0.14</x:v>
      </x:c>
      <x:c r="N4699" s="11" t="n">
        <x:f>IF(G4699,L4699*AN4699/(1+M4699)^F4699,0)</x:f>
        <x:v>0.17688015517136604</x:v>
      </x:c>
      <x:c r="AJ4699" s="42" t="n">
        <x:v>0</x:v>
      </x:c>
      <x:c r="AK4699" s="42" t="n">
        <x:v>0</x:v>
      </x:c>
      <x:c r="AL4699" s="42" t="n">
        <x:v>0</x:v>
      </x:c>
      <x:c r="AM4699" t="n">
        <x:f>CHOOSE('假设'!$B$3,AJ4699,AK4699,AL4699)</x:f>
        <x:v>0</x:v>
      </x:c>
      <x:c r="AN4699" t="n">
        <x:v>1</x:v>
      </x:c>
    </x:row>
    <x:row r="4700" ht="23" customHeight="1">
      <x:c r="A4700" s="11" t="str">
        <x:v>02162.HK</x:v>
      </x:c>
      <x:c r="B4700" s="11" t="str">
        <x:v>五年</x:v>
      </x:c>
      <x:c r="C4700" s="11" t="str">
        <x:v>CM336_domestic</x:v>
      </x:c>
      <x:c r="D4700" s="11" t="str">
        <x:v>2035-12-31</x:v>
      </x:c>
      <x:c r="E4700" s="11" t="str">
        <x:v>CNY</x:v>
      </x:c>
      <x:c r="F4700" s="11" t="n">
        <x:v>4.227241615331964</x:v>
      </x:c>
      <x:c r="G4700" s="26" t="b">
        <x:v>1</x:v>
      </x:c>
      <x:c r="H4700" s="16" t="n">
        <x:v>0.425</x:v>
      </x:c>
      <x:c r="I4700" s="16" t="n">
        <x:v>1.5</x:v>
      </x:c>
      <x:c r="J4700" s="16" t="n">
        <x:v>2.8499999999999996</x:v>
      </x:c>
      <x:c r="K4700" s="11" t="n">
        <x:f>CHOOSE('假设'!$B$3,H4700,I4700,J4700)</x:f>
        <x:v>1.5</x:v>
      </x:c>
      <x:c r="L4700" s="11" t="n">
        <x:f>K4700*'管线假设'!E1011*'管线假设'!F1011*'管线假设'!G1011*IF(E4700="USD",'管线假设'!I1011,1)-AM4700</x:f>
        <x:v>0.2700000000000001</x:v>
      </x:c>
      <x:c r="M4700" s="11" t="n">
        <x:f>'管线假设'!H1011</x:f>
        <x:v>0.14</x:v>
      </x:c>
      <x:c r="N4700" s="11" t="n">
        <x:f>IF(G4700,L4700*AN4700/(1+M4700)^F4700,0)</x:f>
        <x:v>0.1551719466623763</x:v>
      </x:c>
      <x:c r="AJ4700" s="42" t="n">
        <x:v>0</x:v>
      </x:c>
      <x:c r="AK4700" s="42" t="n">
        <x:v>0</x:v>
      </x:c>
      <x:c r="AL4700" s="42" t="n">
        <x:v>0</x:v>
      </x:c>
      <x:c r="AM4700" t="n">
        <x:f>CHOOSE('假设'!$B$3,AJ4700,AK4700,AL4700)</x:f>
        <x:v>0</x:v>
      </x:c>
      <x:c r="AN4700" t="n">
        <x:v>1</x:v>
      </x:c>
    </x:row>
    <x:row r="4701" ht="23" customHeight="1">
      <x:c r="A4701" s="11" t="str">
        <x:v>02162.HK</x:v>
      </x:c>
      <x:c r="B4701" s="11" t="str">
        <x:v>五年</x:v>
      </x:c>
      <x:c r="C4701" s="11" t="str">
        <x:v>CM336_domestic</x:v>
      </x:c>
      <x:c r="D4701" s="11" t="str">
        <x:v>2036-12-31</x:v>
      </x:c>
      <x:c r="E4701" s="11" t="str">
        <x:v>CNY</x:v>
      </x:c>
      <x:c r="F4701" s="11" t="n">
        <x:v>5.229295003422314</x:v>
      </x:c>
      <x:c r="G4701" s="26" t="b">
        <x:v>1</x:v>
      </x:c>
      <x:c r="H4701" s="16" t="n">
        <x:v>0.5</x:v>
      </x:c>
      <x:c r="I4701" s="16" t="n">
        <x:v>1.4249999999999998</x:v>
      </x:c>
      <x:c r="J4701" s="16" t="n">
        <x:v>2.7</x:v>
      </x:c>
      <x:c r="K4701" s="11" t="n">
        <x:f>CHOOSE('假设'!$B$3,H4701,I4701,J4701)</x:f>
        <x:v>1.4249999999999998</x:v>
      </x:c>
      <x:c r="L4701" s="11" t="n">
        <x:f>K4701*'管线假设'!E1011*'管线假设'!F1011*'管线假设'!G1011*IF(E4701="USD",'管线假设'!I1011,1)-AM4701</x:f>
        <x:v>0.2565</x:v>
      </x:c>
      <x:c r="M4701" s="11" t="n">
        <x:f>'管线假设'!H1011</x:f>
        <x:v>0.14</x:v>
      </x:c>
      <x:c r="N4701" s="11" t="n">
        <x:f>IF(G4701,L4701*AN4701/(1+M4701)^F4701,0)</x:f>
        <x:v>0.12927516914605727</x:v>
      </x:c>
      <x:c r="AJ4701" s="42" t="n">
        <x:v>0</x:v>
      </x:c>
      <x:c r="AK4701" s="42" t="n">
        <x:v>0</x:v>
      </x:c>
      <x:c r="AL4701" s="42" t="n">
        <x:v>0</x:v>
      </x:c>
      <x:c r="AM4701" t="n">
        <x:f>CHOOSE('假设'!$B$3,AJ4701,AK4701,AL4701)</x:f>
        <x:v>0</x:v>
      </x:c>
      <x:c r="AN4701" t="n">
        <x:v>1</x:v>
      </x:c>
    </x:row>
    <x:row r="4702" ht="23" customHeight="1">
      <x:c r="A4702" s="11" t="str">
        <x:v>02162.HK</x:v>
      </x:c>
      <x:c r="B4702" s="11" t="str">
        <x:v>五年</x:v>
      </x:c>
      <x:c r="C4702" s="11" t="str">
        <x:v>CM336_domestic</x:v>
      </x:c>
      <x:c r="D4702" s="11" t="str">
        <x:v>2037-12-31</x:v>
      </x:c>
      <x:c r="E4702" s="11" t="str">
        <x:v>CNY</x:v>
      </x:c>
      <x:c r="F4702" s="11" t="n">
        <x:v>6.228610540725531</x:v>
      </x:c>
      <x:c r="G4702" s="26" t="b">
        <x:v>1</x:v>
      </x:c>
      <x:c r="H4702" s="16" t="n">
        <x:v>0.5</x:v>
      </x:c>
      <x:c r="I4702" s="16" t="n">
        <x:v>1.35</x:v>
      </x:c>
      <x:c r="J4702" s="16" t="n">
        <x:v>2.4000000000000004</x:v>
      </x:c>
      <x:c r="K4702" s="11" t="n">
        <x:f>CHOOSE('假设'!$B$3,H4702,I4702,J4702)</x:f>
        <x:v>1.35</x:v>
      </x:c>
      <x:c r="L4702" s="11" t="n">
        <x:f>K4702*'管线假设'!E1011*'管线假设'!F1011*'管线假设'!G1011*IF(E4702="USD",'管线假设'!I1011,1)-AM4702</x:f>
        <x:v>0.24300000000000002</x:v>
      </x:c>
      <x:c r="M4702" s="11" t="n">
        <x:f>'管线假设'!H1011</x:f>
        <x:v>0.14</x:v>
      </x:c>
      <x:c r="N4702" s="11" t="n">
        <x:f>IF(G4702,L4702*AN4702/(1+M4702)^F4702,0)</x:f>
        <x:v>0.10744052374635978</x:v>
      </x:c>
      <x:c r="AJ4702" s="42" t="n">
        <x:v>0</x:v>
      </x:c>
      <x:c r="AK4702" s="42" t="n">
        <x:v>0</x:v>
      </x:c>
      <x:c r="AL4702" s="42" t="n">
        <x:v>0</x:v>
      </x:c>
      <x:c r="AM4702" t="n">
        <x:f>CHOOSE('假设'!$B$3,AJ4702,AK4702,AL4702)</x:f>
        <x:v>0</x:v>
      </x:c>
      <x:c r="AN4702" t="n">
        <x:v>1</x:v>
      </x:c>
    </x:row>
    <x:row r="4703" ht="23" customHeight="1">
      <x:c r="A4703" s="11" t="str">
        <x:v>02162.HK</x:v>
      </x:c>
      <x:c r="B4703" s="11" t="str">
        <x:v>五年</x:v>
      </x:c>
      <x:c r="C4703" s="11" t="str">
        <x:v>CM336_domestic</x:v>
      </x:c>
      <x:c r="D4703" s="11" t="str">
        <x:v>2038-12-31</x:v>
      </x:c>
      <x:c r="E4703" s="11" t="str">
        <x:v>CNY</x:v>
      </x:c>
      <x:c r="F4703" s="11" t="n">
        <x:v>7.227926078028747</x:v>
      </x:c>
      <x:c r="G4703" s="26" t="b">
        <x:v>1</x:v>
      </x:c>
      <x:c r="H4703" s="16" t="n">
        <x:v>0.475</x:v>
      </x:c>
      <x:c r="I4703" s="16" t="n">
        <x:v>1.2000000000000002</x:v>
      </x:c>
      <x:c r="J4703" s="16" t="n">
        <x:v>1.9500000000000002</x:v>
      </x:c>
      <x:c r="K4703" s="11" t="n">
        <x:f>CHOOSE('假设'!$B$3,H4703,I4703,J4703)</x:f>
        <x:v>1.2000000000000002</x:v>
      </x:c>
      <x:c r="L4703" s="11" t="n">
        <x:f>K4703*'管线假设'!E1011*'管线假设'!F1011*'管线假设'!G1011*IF(E4703="USD",'管线假设'!I1011,1)-AM4703</x:f>
        <x:v>0.21600000000000005</x:v>
      </x:c>
      <x:c r="M4703" s="11" t="n">
        <x:f>'管线假设'!H1011</x:f>
        <x:v>0.14</x:v>
      </x:c>
      <x:c r="N4703" s="11" t="n">
        <x:f>IF(G4703,L4703*AN4703/(1+M4703)^F4703,0)</x:f>
        <x:v>0.08378180106811564</x:v>
      </x:c>
      <x:c r="AJ4703" s="42" t="n">
        <x:v>0</x:v>
      </x:c>
      <x:c r="AK4703" s="42" t="n">
        <x:v>0</x:v>
      </x:c>
      <x:c r="AL4703" s="42" t="n">
        <x:v>0</x:v>
      </x:c>
      <x:c r="AM4703" t="n">
        <x:f>CHOOSE('假设'!$B$3,AJ4703,AK4703,AL4703)</x:f>
        <x:v>0</x:v>
      </x:c>
      <x:c r="AN4703" t="n">
        <x:v>1</x:v>
      </x:c>
    </x:row>
    <x:row r="4704" ht="23" customHeight="1">
      <x:c r="A4704" s="11" t="str">
        <x:v>02162.HK</x:v>
      </x:c>
      <x:c r="B4704" s="11" t="str">
        <x:v>五年</x:v>
      </x:c>
      <x:c r="C4704" s="11" t="str">
        <x:v>CM336_domestic</x:v>
      </x:c>
      <x:c r="D4704" s="11" t="str">
        <x:v>2039-12-31</x:v>
      </x:c>
      <x:c r="E4704" s="11" t="str">
        <x:v>CNY</x:v>
      </x:c>
      <x:c r="F4704" s="11" t="n">
        <x:v>8.227241615331964</x:v>
      </x:c>
      <x:c r="G4704" s="26" t="b">
        <x:v>1</x:v>
      </x:c>
      <x:c r="H4704" s="16" t="n">
        <x:v>0.45</x:v>
      </x:c>
      <x:c r="I4704" s="16" t="n">
        <x:v>0.9750000000000001</x:v>
      </x:c>
      <x:c r="J4704" s="16" t="n">
        <x:v>1.5</x:v>
      </x:c>
      <x:c r="K4704" s="11" t="n">
        <x:f>CHOOSE('假设'!$B$3,H4704,I4704,J4704)</x:f>
        <x:v>0.9750000000000001</x:v>
      </x:c>
      <x:c r="L4704" s="11" t="n">
        <x:f>K4704*'管线假设'!E1011*'管线假设'!F1011*'管线假设'!G1011*IF(E4704="USD",'管线假设'!I1011,1)-AM4704</x:f>
        <x:v>0.17550000000000004</x:v>
      </x:c>
      <x:c r="M4704" s="11" t="n">
        <x:f>'管线假设'!H1011</x:f>
        <x:v>0.14</x:v>
      </x:c>
      <x:c r="N4704" s="11" t="n">
        <x:f>IF(G4704,L4704*AN4704/(1+M4704)^F4704,0)</x:f>
        <x:v>0.0597182619929558</x:v>
      </x:c>
      <x:c r="AJ4704" s="42" t="n">
        <x:v>0</x:v>
      </x:c>
      <x:c r="AK4704" s="42" t="n">
        <x:v>0</x:v>
      </x:c>
      <x:c r="AL4704" s="42" t="n">
        <x:v>0</x:v>
      </x:c>
      <x:c r="AM4704" t="n">
        <x:f>CHOOSE('假设'!$B$3,AJ4704,AK4704,AL4704)</x:f>
        <x:v>0</x:v>
      </x:c>
      <x:c r="AN4704" t="n">
        <x:v>1</x:v>
      </x:c>
    </x:row>
    <x:row r="4705" ht="23" customHeight="1">
      <x:c r="A4705" s="11" t="str">
        <x:v>02162.HK</x:v>
      </x:c>
      <x:c r="B4705" s="11" t="str">
        <x:v>五年</x:v>
      </x:c>
      <x:c r="C4705" s="11" t="str">
        <x:v>CM336_domestic</x:v>
      </x:c>
      <x:c r="D4705" s="11" t="str">
        <x:v>2040-12-31</x:v>
      </x:c>
      <x:c r="E4705" s="11" t="str">
        <x:v>CNY</x:v>
      </x:c>
      <x:c r="F4705" s="11" t="n">
        <x:v>9.229295003422314</x:v>
      </x:c>
      <x:c r="G4705" s="26" t="b">
        <x:v>1</x:v>
      </x:c>
      <x:c r="H4705" s="16" t="n">
        <x:v>0.4</x:v>
      </x:c>
      <x:c r="I4705" s="16" t="n">
        <x:v>0.75</x:v>
      </x:c>
      <x:c r="J4705" s="16" t="n">
        <x:v>1.0499999999999998</x:v>
      </x:c>
      <x:c r="K4705" s="11" t="n">
        <x:f>CHOOSE('假设'!$B$3,H4705,I4705,J4705)</x:f>
        <x:v>0.75</x:v>
      </x:c>
      <x:c r="L4705" s="11" t="n">
        <x:f>K4705*'管线假设'!E1011*'管线假设'!F1011*'管线假设'!G1011*IF(E4705="USD",'管线假设'!I1011,1)-AM4705</x:f>
        <x:v>0.13500000000000004</x:v>
      </x:c>
      <x:c r="M4705" s="11" t="n">
        <x:f>'管线假设'!H1011</x:f>
        <x:v>0.14</x:v>
      </x:c>
      <x:c r="N4705" s="11" t="n">
        <x:f>IF(G4705,L4705*AN4705/(1+M4705)^F4705,0)</x:f>
        <x:v>0.04028488316056619</x:v>
      </x:c>
      <x:c r="AJ4705" s="42" t="n">
        <x:v>0</x:v>
      </x:c>
      <x:c r="AK4705" s="42" t="n">
        <x:v>0</x:v>
      </x:c>
      <x:c r="AL4705" s="42" t="n">
        <x:v>0</x:v>
      </x:c>
      <x:c r="AM4705" t="n">
        <x:f>CHOOSE('假设'!$B$3,AJ4705,AK4705,AL4705)</x:f>
        <x:v>0</x:v>
      </x:c>
      <x:c r="AN4705" t="n">
        <x:v>1</x:v>
      </x:c>
    </x:row>
    <x:row r="4706" ht="23" customHeight="1">
      <x:c r="A4706" s="11" t="str">
        <x:v>02162.HK</x:v>
      </x:c>
      <x:c r="B4706" s="11" t="str">
        <x:v>五年</x:v>
      </x:c>
      <x:c r="C4706" s="11" t="str">
        <x:v>CM336_domestic</x:v>
      </x:c>
      <x:c r="D4706" s="11" t="str">
        <x:v>2041-12-31</x:v>
      </x:c>
      <x:c r="E4706" s="11" t="str">
        <x:v>CNY</x:v>
      </x:c>
      <x:c r="F4706" s="11" t="n">
        <x:v>10.22861054072553</x:v>
      </x:c>
      <x:c r="G4706" s="26" t="b">
        <x:v>1</x:v>
      </x:c>
      <x:c r="H4706" s="16" t="n">
        <x:v>0.325</x:v>
      </x:c>
      <x:c r="I4706" s="16" t="n">
        <x:v>0.5249999999999999</x:v>
      </x:c>
      <x:c r="J4706" s="16" t="n">
        <x:v>0.6000000000000001</x:v>
      </x:c>
      <x:c r="K4706" s="11" t="n">
        <x:f>CHOOSE('假设'!$B$3,H4706,I4706,J4706)</x:f>
        <x:v>0.5249999999999999</x:v>
      </x:c>
      <x:c r="L4706" s="11" t="n">
        <x:f>K4706*'管线假设'!E1011*'管线假设'!F1011*'管线假设'!G1011*IF(E4706="USD",'管线假设'!I1011,1)-AM4706</x:f>
        <x:v>0.09449999999999999</x:v>
      </x:c>
      <x:c r="M4706" s="11" t="n">
        <x:f>'管线假设'!H1011</x:f>
        <x:v>0.14</x:v>
      </x:c>
      <x:c r="N4706" s="11" t="n">
        <x:f>IF(G4706,L4706*AN4706/(1+M4706)^F4706,0)</x:f>
        <x:v>0.024738550316877876</x:v>
      </x:c>
      <x:c r="AJ4706" s="42" t="n">
        <x:v>0</x:v>
      </x:c>
      <x:c r="AK4706" s="42" t="n">
        <x:v>0</x:v>
      </x:c>
      <x:c r="AL4706" s="42" t="n">
        <x:v>0</x:v>
      </x:c>
      <x:c r="AM4706" t="n">
        <x:f>CHOOSE('假设'!$B$3,AJ4706,AK4706,AL4706)</x:f>
        <x:v>0</x:v>
      </x:c>
      <x:c r="AN4706" t="n">
        <x:v>1</x:v>
      </x:c>
    </x:row>
    <x:row r="4707" ht="23" customHeight="1">
      <x:c r="A4707" s="11" t="str">
        <x:v>02162.HK</x:v>
      </x:c>
      <x:c r="B4707" s="11" t="str">
        <x:v>五年</x:v>
      </x:c>
      <x:c r="C4707" s="11" t="str">
        <x:v>CM336_domestic</x:v>
      </x:c>
      <x:c r="D4707" s="11" t="str">
        <x:v>2042-12-31</x:v>
      </x:c>
      <x:c r="E4707" s="11" t="str">
        <x:v>CNY</x:v>
      </x:c>
      <x:c r="F4707" s="11" t="n">
        <x:v>11.227926078028748</x:v>
      </x:c>
      <x:c r="G4707" s="26" t="b">
        <x:v>1</x:v>
      </x:c>
      <x:c r="H4707" s="16" t="n">
        <x:v>0.25</x:v>
      </x:c>
      <x:c r="I4707" s="16" t="n">
        <x:v>0.30000000000000004</x:v>
      </x:c>
      <x:c r="J4707" s="16" t="n">
        <x:v>0.36</x:v>
      </x:c>
      <x:c r="K4707" s="11" t="n">
        <x:f>CHOOSE('假设'!$B$3,H4707,I4707,J4707)</x:f>
        <x:v>0.30000000000000004</x:v>
      </x:c>
      <x:c r="L4707" s="11" t="n">
        <x:f>K4707*'管线假设'!E1011*'管线假设'!F1011*'管线假设'!G1011*IF(E4707="USD",'管线假设'!I1011,1)-AM4707</x:f>
        <x:v>0.05400000000000001</x:v>
      </x:c>
      <x:c r="M4707" s="11" t="n">
        <x:f>'管线假设'!H1011</x:f>
        <x:v>0.14</x:v>
      </x:c>
      <x:c r="N4707" s="11" t="n">
        <x:f>IF(G4707,L4707*AN4707/(1+M4707)^F4707,0)</x:f>
        <x:v>0.012401388003745984</x:v>
      </x:c>
      <x:c r="AJ4707" s="42" t="n">
        <x:v>0</x:v>
      </x:c>
      <x:c r="AK4707" s="42" t="n">
        <x:v>0</x:v>
      </x:c>
      <x:c r="AL4707" s="42" t="n">
        <x:v>0</x:v>
      </x:c>
      <x:c r="AM4707" t="n">
        <x:f>CHOOSE('假设'!$B$3,AJ4707,AK4707,AL4707)</x:f>
        <x:v>0</x:v>
      </x:c>
      <x:c r="AN4707" t="n">
        <x:v>1</x:v>
      </x:c>
    </x:row>
    <x:row r="4708" ht="23" customHeight="1">
      <x:c r="A4708" s="11" t="str">
        <x:v>02162.HK</x:v>
      </x:c>
      <x:c r="B4708" s="11" t="str">
        <x:v>五年</x:v>
      </x:c>
      <x:c r="C4708" s="11" t="str">
        <x:v>CM336_domestic</x:v>
      </x:c>
      <x:c r="D4708" s="11" t="str">
        <x:v>2043-12-31</x:v>
      </x:c>
      <x:c r="E4708" s="11" t="str">
        <x:v>CNY</x:v>
      </x:c>
      <x:c r="F4708" s="11" t="n">
        <x:v>12.227241615331964</x:v>
      </x:c>
      <x:c r="G4708" s="26" t="b">
        <x:v>1</x:v>
      </x:c>
      <x:c r="H4708" s="16" t="n">
        <x:v>0.175</x:v>
      </x:c>
      <x:c r="I4708" s="16" t="n">
        <x:v>0.18</x:v>
      </x:c>
      <x:c r="J4708" s="16" t="n">
        <x:v>0.21000000000000002</x:v>
      </x:c>
      <x:c r="K4708" s="11" t="n">
        <x:f>CHOOSE('假设'!$B$3,H4708,I4708,J4708)</x:f>
        <x:v>0.18</x:v>
      </x:c>
      <x:c r="L4708" s="11" t="n">
        <x:f>K4708*'管线假设'!E1011*'管线假设'!F1011*'管线假设'!G1011*IF(E4708="USD",'管线假设'!I1011,1)-AM4708</x:f>
        <x:v>0.0324</x:v>
      </x:c>
      <x:c r="M4708" s="11" t="n">
        <x:f>'管线假设'!H1011</x:f>
        <x:v>0.14</x:v>
      </x:c>
      <x:c r="N4708" s="11" t="n">
        <x:f>IF(G4708,L4708*AN4708/(1+M4708)^F4708,0)</x:f>
        <x:v>0.006527631715357828</x:v>
      </x:c>
      <x:c r="AJ4708" s="42" t="n">
        <x:v>0</x:v>
      </x:c>
      <x:c r="AK4708" s="42" t="n">
        <x:v>0</x:v>
      </x:c>
      <x:c r="AL4708" s="42" t="n">
        <x:v>0</x:v>
      </x:c>
      <x:c r="AM4708" t="n">
        <x:f>CHOOSE('假设'!$B$3,AJ4708,AK4708,AL4708)</x:f>
        <x:v>0</x:v>
      </x:c>
      <x:c r="AN4708" t="n">
        <x:v>1</x:v>
      </x:c>
    </x:row>
    <x:row r="4709" ht="23" customHeight="1">
      <x:c r="A4709" s="11" t="str">
        <x:v>02162.HK</x:v>
      </x:c>
      <x:c r="B4709" s="11" t="str">
        <x:v>五年</x:v>
      </x:c>
      <x:c r="C4709" s="11" t="str">
        <x:v>CM336_domestic</x:v>
      </x:c>
      <x:c r="D4709" s="11" t="str">
        <x:v>2044-12-31</x:v>
      </x:c>
      <x:c r="E4709" s="11" t="str">
        <x:v>CNY</x:v>
      </x:c>
      <x:c r="F4709" s="11" t="n">
        <x:v>13.229295003422314</x:v>
      </x:c>
      <x:c r="G4709" s="26" t="b">
        <x:v>1</x:v>
      </x:c>
      <x:c r="H4709" s="16" t="n">
        <x:v>0.1</x:v>
      </x:c>
      <x:c r="I4709" s="16" t="n">
        <x:v>0.10500000000000001</x:v>
      </x:c>
      <x:c r="J4709" s="16" t="n">
        <x:v>0.09</x:v>
      </x:c>
      <x:c r="K4709" s="11" t="n">
        <x:f>CHOOSE('假设'!$B$3,H4709,I4709,J4709)</x:f>
        <x:v>0.10500000000000001</x:v>
      </x:c>
      <x:c r="L4709" s="11" t="n">
        <x:f>K4709*'管线假设'!E1011*'管线假设'!F1011*'管线假设'!G1011*IF(E4709="USD",'管线假设'!I1011,1)-AM4709</x:f>
        <x:v>0.018900000000000004</x:v>
      </x:c>
      <x:c r="M4709" s="11" t="n">
        <x:f>'管线假设'!H1011</x:f>
        <x:v>0.14</x:v>
      </x:c>
      <x:c r="N4709" s="11" t="n">
        <x:f>IF(G4709,L4709*AN4709/(1+M4709)^F4709,0)</x:f>
        <x:v>0.0033392638713747188</x:v>
      </x:c>
      <x:c r="AJ4709" s="42" t="n">
        <x:v>0</x:v>
      </x:c>
      <x:c r="AK4709" s="42" t="n">
        <x:v>0</x:v>
      </x:c>
      <x:c r="AL4709" s="42" t="n">
        <x:v>0</x:v>
      </x:c>
      <x:c r="AM4709" t="n">
        <x:f>CHOOSE('假设'!$B$3,AJ4709,AK4709,AL4709)</x:f>
        <x:v>0</x:v>
      </x:c>
      <x:c r="AN4709" t="n">
        <x:v>1</x:v>
      </x:c>
    </x:row>
    <x:row r="4710" ht="23" customHeight="1">
      <x:c r="A4710" s="11" t="str">
        <x:v>02162.HK</x:v>
      </x:c>
      <x:c r="B4710" s="11" t="str">
        <x:v>五年</x:v>
      </x:c>
      <x:c r="C4710" s="11" t="str">
        <x:v>CM313_domestic</x:v>
      </x:c>
      <x:c r="D4710" s="11" t="str">
        <x:v>2026-12-31</x:v>
      </x:c>
      <x:c r="E4710" s="11" t="str">
        <x:v>CNY</x:v>
      </x:c>
      <x:c r="F4710" s="11" t="n">
        <x:v>-4.772073921971253</x:v>
      </x:c>
      <x:c r="G4710" s="26" t="b">
        <x:v>0</x:v>
      </x:c>
      <x:c r="H4710" s="16" t="n">
        <x:v>0</x:v>
      </x:c>
      <x:c r="I4710" s="16" t="n">
        <x:v>0</x:v>
      </x:c>
      <x:c r="J4710" s="16" t="n">
        <x:v>0</x:v>
      </x:c>
      <x:c r="K4710" s="11" t="n">
        <x:f>CHOOSE('假设'!$B$3,H4710,I4710,J4710)</x:f>
        <x:v>0</x:v>
      </x:c>
      <x:c r="L4710" s="11" t="n">
        <x:f>K4710*'管线假设'!E1015*'管线假设'!F1015*'管线假设'!G1015*IF(E4710="USD",'管线假设'!I1015,1)-AM4710</x:f>
        <x:v>-0.1</x:v>
      </x:c>
      <x:c r="M4710" s="11" t="n">
        <x:f>'管线假设'!H1015</x:f>
        <x:v>0.14</x:v>
      </x:c>
      <x:c r="N4710" s="11" t="n">
        <x:f>IF(G4710,L4710*AN4710/(1+M4710)^F4710,0)</x:f>
        <x:v>0</x:v>
      </x:c>
      <x:c r="AJ4710" s="42" t="n">
        <x:v>0.06</x:v>
      </x:c>
      <x:c r="AK4710" s="42" t="n">
        <x:v>0.1</x:v>
      </x:c>
      <x:c r="AL4710" s="42" t="n">
        <x:v>0.14</x:v>
      </x:c>
      <x:c r="AM4710" t="n">
        <x:f>CHOOSE('假设'!$B$3,AJ4710,AK4710,AL4710)</x:f>
        <x:v>0.1</x:v>
      </x:c>
      <x:c r="AN4710" t="n">
        <x:v>0</x:v>
      </x:c>
    </x:row>
    <x:row r="4711" ht="23" customHeight="1">
      <x:c r="A4711" s="11" t="str">
        <x:v>02162.HK</x:v>
      </x:c>
      <x:c r="B4711" s="11" t="str">
        <x:v>五年</x:v>
      </x:c>
      <x:c r="C4711" s="11" t="str">
        <x:v>CM313_domestic</x:v>
      </x:c>
      <x:c r="D4711" s="11" t="str">
        <x:v>2027-12-31</x:v>
      </x:c>
      <x:c r="E4711" s="11" t="str">
        <x:v>CNY</x:v>
      </x:c>
      <x:c r="F4711" s="11" t="n">
        <x:v>-3.7727583846680357</x:v>
      </x:c>
      <x:c r="G4711" s="26" t="b">
        <x:v>0</x:v>
      </x:c>
      <x:c r="H4711" s="16" t="n">
        <x:v>0</x:v>
      </x:c>
      <x:c r="I4711" s="16" t="n">
        <x:v>0</x:v>
      </x:c>
      <x:c r="J4711" s="16" t="n">
        <x:v>0</x:v>
      </x:c>
      <x:c r="K4711" s="11" t="n">
        <x:f>CHOOSE('假设'!$B$3,H4711,I4711,J4711)</x:f>
        <x:v>0</x:v>
      </x:c>
      <x:c r="L4711" s="11" t="n">
        <x:f>K4711*'管线假设'!E1015*'管线假设'!F1015*'管线假设'!G1015*IF(E4711="USD",'管线假设'!I1015,1)-AM4711</x:f>
        <x:v>-0.13</x:v>
      </x:c>
      <x:c r="M4711" s="11" t="n">
        <x:f>'管线假设'!H1015</x:f>
        <x:v>0.14</x:v>
      </x:c>
      <x:c r="N4711" s="11" t="n">
        <x:f>IF(G4711,L4711*AN4711/(1+M4711)^F4711,0)</x:f>
        <x:v>0</x:v>
      </x:c>
      <x:c r="AJ4711" s="42" t="n">
        <x:v>0.06</x:v>
      </x:c>
      <x:c r="AK4711" s="42" t="n">
        <x:v>0.13</x:v>
      </x:c>
      <x:c r="AL4711" s="42" t="n">
        <x:v>0.18</x:v>
      </x:c>
      <x:c r="AM4711" t="n">
        <x:f>CHOOSE('假设'!$B$3,AJ4711,AK4711,AL4711)</x:f>
        <x:v>0.13</x:v>
      </x:c>
      <x:c r="AN4711" t="n">
        <x:v>0</x:v>
      </x:c>
    </x:row>
    <x:row r="4712" ht="23" customHeight="1">
      <x:c r="A4712" s="11" t="str">
        <x:v>02162.HK</x:v>
      </x:c>
      <x:c r="B4712" s="11" t="str">
        <x:v>五年</x:v>
      </x:c>
      <x:c r="C4712" s="11" t="str">
        <x:v>CM313_domestic</x:v>
      </x:c>
      <x:c r="D4712" s="11" t="str">
        <x:v>2028-12-31</x:v>
      </x:c>
      <x:c r="E4712" s="11" t="str">
        <x:v>CNY</x:v>
      </x:c>
      <x:c r="F4712" s="11" t="n">
        <x:v>-2.7707049965776864</x:v>
      </x:c>
      <x:c r="G4712" s="26" t="b">
        <x:v>0</x:v>
      </x:c>
      <x:c r="H4712" s="16" t="n">
        <x:v>0</x:v>
      </x:c>
      <x:c r="I4712" s="16" t="n">
        <x:v>0</x:v>
      </x:c>
      <x:c r="J4712" s="16" t="n">
        <x:v>0</x:v>
      </x:c>
      <x:c r="K4712" s="11" t="n">
        <x:f>CHOOSE('假设'!$B$3,H4712,I4712,J4712)</x:f>
        <x:v>0</x:v>
      </x:c>
      <x:c r="L4712" s="11" t="n">
        <x:f>K4712*'管线假设'!E1015*'管线假设'!F1015*'管线假设'!G1015*IF(E4712="USD",'管线假设'!I1015,1)-AM4712</x:f>
        <x:v>-0.13</x:v>
      </x:c>
      <x:c r="M4712" s="11" t="n">
        <x:f>'管线假设'!H1015</x:f>
        <x:v>0.14</x:v>
      </x:c>
      <x:c r="N4712" s="11" t="n">
        <x:f>IF(G4712,L4712*AN4712/(1+M4712)^F4712,0)</x:f>
        <x:v>0</x:v>
      </x:c>
      <x:c r="AJ4712" s="42" t="n">
        <x:v>0.04</x:v>
      </x:c>
      <x:c r="AK4712" s="42" t="n">
        <x:v>0.13</x:v>
      </x:c>
      <x:c r="AL4712" s="42" t="n">
        <x:v>0.18</x:v>
      </x:c>
      <x:c r="AM4712" t="n">
        <x:f>CHOOSE('假设'!$B$3,AJ4712,AK4712,AL4712)</x:f>
        <x:v>0.13</x:v>
      </x:c>
      <x:c r="AN4712" t="n">
        <x:v>0</x:v>
      </x:c>
    </x:row>
    <x:row r="4713" ht="23" customHeight="1">
      <x:c r="A4713" s="11" t="str">
        <x:v>02162.HK</x:v>
      </x:c>
      <x:c r="B4713" s="11" t="str">
        <x:v>五年</x:v>
      </x:c>
      <x:c r="C4713" s="11" t="str">
        <x:v>CM313_domestic</x:v>
      </x:c>
      <x:c r="D4713" s="11" t="str">
        <x:v>2029-12-31</x:v>
      </x:c>
      <x:c r="E4713" s="11" t="str">
        <x:v>CNY</x:v>
      </x:c>
      <x:c r="F4713" s="11" t="n">
        <x:v>-1.7713894592744694</x:v>
      </x:c>
      <x:c r="G4713" s="26" t="b">
        <x:v>0</x:v>
      </x:c>
      <x:c r="H4713" s="16" t="n">
        <x:v>0</x:v>
      </x:c>
      <x:c r="I4713" s="16" t="n">
        <x:v>0</x:v>
      </x:c>
      <x:c r="J4713" s="16" t="n">
        <x:v>0.15</x:v>
      </x:c>
      <x:c r="K4713" s="11" t="n">
        <x:f>CHOOSE('假设'!$B$3,H4713,I4713,J4713)</x:f>
        <x:v>0</x:v>
      </x:c>
      <x:c r="L4713" s="11" t="n">
        <x:f>K4713*'管线假设'!E1015*'管线假设'!F1015*'管线假设'!G1015*IF(E4713="USD",'管线假设'!I1015,1)-AM4713</x:f>
        <x:v>-0.07</x:v>
      </x:c>
      <x:c r="M4713" s="11" t="n">
        <x:f>'管线假设'!H1015</x:f>
        <x:v>0.14</x:v>
      </x:c>
      <x:c r="N4713" s="11" t="n">
        <x:f>IF(G4713,L4713*AN4713/(1+M4713)^F4713,0)</x:f>
        <x:v>0</x:v>
      </x:c>
      <x:c r="AJ4713" s="42" t="n">
        <x:v>0</x:v>
      </x:c>
      <x:c r="AK4713" s="42" t="n">
        <x:v>0.07</x:v>
      </x:c>
      <x:c r="AL4713" s="42" t="n">
        <x:v>0.09</x:v>
      </x:c>
      <x:c r="AM4713" t="n">
        <x:f>CHOOSE('假设'!$B$3,AJ4713,AK4713,AL4713)</x:f>
        <x:v>0.07</x:v>
      </x:c>
      <x:c r="AN4713" t="n">
        <x:v>0</x:v>
      </x:c>
    </x:row>
    <x:row r="4714" ht="23" customHeight="1">
      <x:c r="A4714" s="11" t="str">
        <x:v>02162.HK</x:v>
      </x:c>
      <x:c r="B4714" s="11" t="str">
        <x:v>五年</x:v>
      </x:c>
      <x:c r="C4714" s="11" t="str">
        <x:v>CM313_domestic</x:v>
      </x:c>
      <x:c r="D4714" s="11" t="str">
        <x:v>2030-12-31</x:v>
      </x:c>
      <x:c r="E4714" s="11" t="str">
        <x:v>CNY</x:v>
      </x:c>
      <x:c r="F4714" s="11" t="n">
        <x:v>-0.7720739219712526</x:v>
      </x:c>
      <x:c r="G4714" s="26" t="b">
        <x:v>0</x:v>
      </x:c>
      <x:c r="H4714" s="16" t="n">
        <x:v>0</x:v>
      </x:c>
      <x:c r="I4714" s="16" t="n">
        <x:v>0.072</x:v>
      </x:c>
      <x:c r="J4714" s="16" t="n">
        <x:v>0.44999999999999996</x:v>
      </x:c>
      <x:c r="K4714" s="11" t="n">
        <x:f>CHOOSE('假设'!$B$3,H4714,I4714,J4714)</x:f>
        <x:v>0.072</x:v>
      </x:c>
      <x:c r="L4714" s="11" t="n">
        <x:f>K4714*'管线假设'!E1015*'管线假设'!F1015*'管线假设'!G1015*IF(E4714="USD",'管线假设'!I1015,1)-AM4714</x:f>
        <x:v>0.00972</x:v>
      </x:c>
      <x:c r="M4714" s="11" t="n">
        <x:f>'管线假设'!H1015</x:f>
        <x:v>0.14</x:v>
      </x:c>
      <x:c r="N4714" s="11" t="n">
        <x:f>IF(G4714,L4714*AN4714/(1+M4714)^F4714,0)</x:f>
        <x:v>0</x:v>
      </x:c>
      <x:c r="AJ4714" s="42" t="n">
        <x:v>0</x:v>
      </x:c>
      <x:c r="AK4714" s="42" t="n">
        <x:v>0</x:v>
      </x:c>
      <x:c r="AL4714" s="42" t="n">
        <x:v>0</x:v>
      </x:c>
      <x:c r="AM4714" t="n">
        <x:f>CHOOSE('假设'!$B$3,AJ4714,AK4714,AL4714)</x:f>
        <x:v>0</x:v>
      </x:c>
      <x:c r="AN4714" t="n">
        <x:v>0</x:v>
      </x:c>
    </x:row>
    <x:row r="4715" ht="23" customHeight="1">
      <x:c r="A4715" s="11" t="str">
        <x:v>02162.HK</x:v>
      </x:c>
      <x:c r="B4715" s="11" t="str">
        <x:v>五年</x:v>
      </x:c>
      <x:c r="C4715" s="11" t="str">
        <x:v>CM313_domestic</x:v>
      </x:c>
      <x:c r="D4715" s="11" t="str">
        <x:v>2031-12-31</x:v>
      </x:c>
      <x:c r="E4715" s="11" t="str">
        <x:v>CNY</x:v>
      </x:c>
      <x:c r="F4715" s="11" t="n">
        <x:v>0.2272416153319644</x:v>
      </x:c>
      <x:c r="G4715" s="26" t="b">
        <x:v>1</x:v>
      </x:c>
      <x:c r="H4715" s="16" t="n">
        <x:v>0</x:v>
      </x:c>
      <x:c r="I4715" s="16" t="n">
        <x:v>0.216</x:v>
      </x:c>
      <x:c r="J4715" s="16" t="n">
        <x:v>0.95</x:v>
      </x:c>
      <x:c r="K4715" s="11" t="n">
        <x:f>CHOOSE('假设'!$B$3,H4715,I4715,J4715)</x:f>
        <x:v>0.216</x:v>
      </x:c>
      <x:c r="L4715" s="11" t="n">
        <x:f>K4715*'管线假设'!E1015*'管线假设'!F1015*'管线假设'!G1015*IF(E4715="USD",'管线假设'!I1015,1)-AM4715</x:f>
        <x:v>0.02916</x:v>
      </x:c>
      <x:c r="M4715" s="11" t="n">
        <x:f>'管线假设'!H1015</x:f>
        <x:v>0.14</x:v>
      </x:c>
      <x:c r="N4715" s="11" t="n">
        <x:f>IF(G4715,L4715*AN4715/(1+M4715)^F4715,0)</x:f>
        <x:v>0.006454061182061925</x:v>
      </x:c>
      <x:c r="AJ4715" s="42" t="n">
        <x:v>0</x:v>
      </x:c>
      <x:c r="AK4715" s="42" t="n">
        <x:v>0</x:v>
      </x:c>
      <x:c r="AL4715" s="42" t="n">
        <x:v>0</x:v>
      </x:c>
      <x:c r="AM4715" t="n">
        <x:f>CHOOSE('假设'!$B$3,AJ4715,AK4715,AL4715)</x:f>
        <x:v>0</x:v>
      </x:c>
      <x:c r="AN4715" t="n">
        <x:v>0.22802197802197802</x:v>
      </x:c>
    </x:row>
    <x:row r="4716" ht="23" customHeight="1">
      <x:c r="A4716" s="11" t="str">
        <x:v>02162.HK</x:v>
      </x:c>
      <x:c r="B4716" s="11" t="str">
        <x:v>五年</x:v>
      </x:c>
      <x:c r="C4716" s="11" t="str">
        <x:v>CM313_domestic</x:v>
      </x:c>
      <x:c r="D4716" s="11" t="str">
        <x:v>2032-12-31</x:v>
      </x:c>
      <x:c r="E4716" s="11" t="str">
        <x:v>CNY</x:v>
      </x:c>
      <x:c r="F4716" s="11" t="n">
        <x:v>1.2292950034223136</x:v>
      </x:c>
      <x:c r="G4716" s="26" t="b">
        <x:v>1</x:v>
      </x:c>
      <x:c r="H4716" s="16" t="n">
        <x:v>0.024</x:v>
      </x:c>
      <x:c r="I4716" s="16" t="n">
        <x:v>0.45599999999999996</x:v>
      </x:c>
      <x:c r="J4716" s="16" t="n">
        <x:v>1.625</x:v>
      </x:c>
      <x:c r="K4716" s="11" t="n">
        <x:f>CHOOSE('假设'!$B$3,H4716,I4716,J4716)</x:f>
        <x:v>0.45599999999999996</x:v>
      </x:c>
      <x:c r="L4716" s="11" t="n">
        <x:f>K4716*'管线假设'!E1015*'管线假设'!F1015*'管线假设'!G1015*IF(E4716="USD",'管线假设'!I1015,1)-AM4716</x:f>
        <x:v>0.06155999999999999</x:v>
      </x:c>
      <x:c r="M4716" s="11" t="n">
        <x:f>'管线假设'!H1015</x:f>
        <x:v>0.14</x:v>
      </x:c>
      <x:c r="N4716" s="11" t="n">
        <x:f>IF(G4716,L4716*AN4716/(1+M4716)^F4716,0)</x:f>
        <x:v>0.05240174648758848</x:v>
      </x:c>
      <x:c r="AJ4716" s="42" t="n">
        <x:v>0</x:v>
      </x:c>
      <x:c r="AK4716" s="42" t="n">
        <x:v>0</x:v>
      </x:c>
      <x:c r="AL4716" s="42" t="n">
        <x:v>0</x:v>
      </x:c>
      <x:c r="AM4716" t="n">
        <x:f>CHOOSE('假设'!$B$3,AJ4716,AK4716,AL4716)</x:f>
        <x:v>0</x:v>
      </x:c>
      <x:c r="AN4716" t="n">
        <x:v>1</x:v>
      </x:c>
    </x:row>
    <x:row r="4717" ht="23" customHeight="1">
      <x:c r="A4717" s="11" t="str">
        <x:v>02162.HK</x:v>
      </x:c>
      <x:c r="B4717" s="11" t="str">
        <x:v>五年</x:v>
      </x:c>
      <x:c r="C4717" s="11" t="str">
        <x:v>CM313_domestic</x:v>
      </x:c>
      <x:c r="D4717" s="11" t="str">
        <x:v>2033-12-31</x:v>
      </x:c>
      <x:c r="E4717" s="11" t="str">
        <x:v>CNY</x:v>
      </x:c>
      <x:c r="F4717" s="11" t="n">
        <x:v>2.2286105407255303</x:v>
      </x:c>
      <x:c r="G4717" s="26" t="b">
        <x:v>1</x:v>
      </x:c>
      <x:c r="H4717" s="16" t="n">
        <x:v>0.072</x:v>
      </x:c>
      <x:c r="I4717" s="16" t="n">
        <x:v>0.78</x:v>
      </x:c>
      <x:c r="J4717" s="16" t="n">
        <x:v>2.125</x:v>
      </x:c>
      <x:c r="K4717" s="11" t="n">
        <x:f>CHOOSE('假设'!$B$3,H4717,I4717,J4717)</x:f>
        <x:v>0.78</x:v>
      </x:c>
      <x:c r="L4717" s="11" t="n">
        <x:f>K4717*'管线假设'!E1015*'管线假设'!F1015*'管线假设'!G1015*IF(E4717="USD",'管线假设'!I1015,1)-AM4717</x:f>
        <x:v>0.10529999999999999</x:v>
      </x:c>
      <x:c r="M4717" s="11" t="n">
        <x:f>'管线假设'!H1015</x:f>
        <x:v>0.14</x:v>
      </x:c>
      <x:c r="N4717" s="11" t="n">
        <x:f>IF(G4717,L4717*AN4717/(1+M4717)^F4717,0)</x:f>
        <x:v>0.07863386447675878</x:v>
      </x:c>
      <x:c r="AJ4717" s="42" t="n">
        <x:v>0</x:v>
      </x:c>
      <x:c r="AK4717" s="42" t="n">
        <x:v>0</x:v>
      </x:c>
      <x:c r="AL4717" s="42" t="n">
        <x:v>0</x:v>
      </x:c>
      <x:c r="AM4717" t="n">
        <x:f>CHOOSE('假设'!$B$3,AJ4717,AK4717,AL4717)</x:f>
        <x:v>0</x:v>
      </x:c>
      <x:c r="AN4717" t="n">
        <x:v>1</x:v>
      </x:c>
    </x:row>
    <x:row r="4718" ht="23" customHeight="1">
      <x:c r="A4718" s="11" t="str">
        <x:v>02162.HK</x:v>
      </x:c>
      <x:c r="B4718" s="11" t="str">
        <x:v>五年</x:v>
      </x:c>
      <x:c r="C4718" s="11" t="str">
        <x:v>CM313_domestic</x:v>
      </x:c>
      <x:c r="D4718" s="11" t="str">
        <x:v>2034-12-31</x:v>
      </x:c>
      <x:c r="E4718" s="11" t="str">
        <x:v>CNY</x:v>
      </x:c>
      <x:c r="F4718" s="11" t="n">
        <x:v>3.2279260780287475</x:v>
      </x:c>
      <x:c r="G4718" s="26" t="b">
        <x:v>1</x:v>
      </x:c>
      <x:c r="H4718" s="16" t="n">
        <x:v>0.15200000000000002</x:v>
      </x:c>
      <x:c r="I4718" s="16" t="n">
        <x:v>1.02</x:v>
      </x:c>
      <x:c r="J4718" s="16" t="n">
        <x:v>2.5</x:v>
      </x:c>
      <x:c r="K4718" s="11" t="n">
        <x:f>CHOOSE('假设'!$B$3,H4718,I4718,J4718)</x:f>
        <x:v>1.02</x:v>
      </x:c>
      <x:c r="L4718" s="11" t="n">
        <x:f>K4718*'管线假设'!E1015*'管线假设'!F1015*'管线假设'!G1015*IF(E4718="USD",'管线假设'!I1015,1)-AM4718</x:f>
        <x:v>0.1377</x:v>
      </x:c>
      <x:c r="M4718" s="11" t="n">
        <x:f>'管线假设'!H1015</x:f>
        <x:v>0.14</x:v>
      </x:c>
      <x:c r="N4718" s="11" t="n">
        <x:f>IF(G4718,L4718*AN4718/(1+M4718)^F4718,0)</x:f>
        <x:v>0.09020887913739664</x:v>
      </x:c>
      <x:c r="AJ4718" s="42" t="n">
        <x:v>0</x:v>
      </x:c>
      <x:c r="AK4718" s="42" t="n">
        <x:v>0</x:v>
      </x:c>
      <x:c r="AL4718" s="42" t="n">
        <x:v>0</x:v>
      </x:c>
      <x:c r="AM4718" t="n">
        <x:f>CHOOSE('假设'!$B$3,AJ4718,AK4718,AL4718)</x:f>
        <x:v>0</x:v>
      </x:c>
      <x:c r="AN4718" t="n">
        <x:v>1</x:v>
      </x:c>
    </x:row>
    <x:row r="4719" ht="23" customHeight="1">
      <x:c r="A4719" s="11" t="str">
        <x:v>02162.HK</x:v>
      </x:c>
      <x:c r="B4719" s="11" t="str">
        <x:v>五年</x:v>
      </x:c>
      <x:c r="C4719" s="11" t="str">
        <x:v>CM313_domestic</x:v>
      </x:c>
      <x:c r="D4719" s="11" t="str">
        <x:v>2035-12-31</x:v>
      </x:c>
      <x:c r="E4719" s="11" t="str">
        <x:v>CNY</x:v>
      </x:c>
      <x:c r="F4719" s="11" t="n">
        <x:v>4.227241615331964</x:v>
      </x:c>
      <x:c r="G4719" s="26" t="b">
        <x:v>1</x:v>
      </x:c>
      <x:c r="H4719" s="16" t="n">
        <x:v>0.26</x:v>
      </x:c>
      <x:c r="I4719" s="16" t="n">
        <x:v>1.2</x:v>
      </x:c>
      <x:c r="J4719" s="16" t="n">
        <x:v>2.5</x:v>
      </x:c>
      <x:c r="K4719" s="11" t="n">
        <x:f>CHOOSE('假设'!$B$3,H4719,I4719,J4719)</x:f>
        <x:v>1.2</x:v>
      </x:c>
      <x:c r="L4719" s="11" t="n">
        <x:f>K4719*'管线假设'!E1015*'管线假设'!F1015*'管线假设'!G1015*IF(E4719="USD",'管线假设'!I1015,1)-AM4719</x:f>
        <x:v>0.162</x:v>
      </x:c>
      <x:c r="M4719" s="11" t="n">
        <x:f>'管线假设'!H1015</x:f>
        <x:v>0.14</x:v>
      </x:c>
      <x:c r="N4719" s="11" t="n">
        <x:f>IF(G4719,L4719*AN4719/(1+M4719)^F4719,0)</x:f>
        <x:v>0.09310316799742575</x:v>
      </x:c>
      <x:c r="AJ4719" s="42" t="n">
        <x:v>0</x:v>
      </x:c>
      <x:c r="AK4719" s="42" t="n">
        <x:v>0</x:v>
      </x:c>
      <x:c r="AL4719" s="42" t="n">
        <x:v>0</x:v>
      </x:c>
      <x:c r="AM4719" t="n">
        <x:f>CHOOSE('假设'!$B$3,AJ4719,AK4719,AL4719)</x:f>
        <x:v>0</x:v>
      </x:c>
      <x:c r="AN4719" t="n">
        <x:v>1</x:v>
      </x:c>
    </x:row>
    <x:row r="4720" ht="23" customHeight="1">
      <x:c r="A4720" s="11" t="str">
        <x:v>02162.HK</x:v>
      </x:c>
      <x:c r="B4720" s="11" t="str">
        <x:v>五年</x:v>
      </x:c>
      <x:c r="C4720" s="11" t="str">
        <x:v>CM313_domestic</x:v>
      </x:c>
      <x:c r="D4720" s="11" t="str">
        <x:v>2036-12-31</x:v>
      </x:c>
      <x:c r="E4720" s="11" t="str">
        <x:v>CNY</x:v>
      </x:c>
      <x:c r="F4720" s="11" t="n">
        <x:v>5.229295003422314</x:v>
      </x:c>
      <x:c r="G4720" s="26" t="b">
        <x:v>1</x:v>
      </x:c>
      <x:c r="H4720" s="16" t="n">
        <x:v>0.34</x:v>
      </x:c>
      <x:c r="I4720" s="16" t="n">
        <x:v>1.2</x:v>
      </x:c>
      <x:c r="J4720" s="16" t="n">
        <x:v>2.375</x:v>
      </x:c>
      <x:c r="K4720" s="11" t="n">
        <x:f>CHOOSE('假设'!$B$3,H4720,I4720,J4720)</x:f>
        <x:v>1.2</x:v>
      </x:c>
      <x:c r="L4720" s="11" t="n">
        <x:f>K4720*'管线假设'!E1015*'管线假设'!F1015*'管线假设'!G1015*IF(E4720="USD",'管线假设'!I1015,1)-AM4720</x:f>
        <x:v>0.162</x:v>
      </x:c>
      <x:c r="M4720" s="11" t="n">
        <x:f>'管线假设'!H1015</x:f>
        <x:v>0.14</x:v>
      </x:c>
      <x:c r="N4720" s="11" t="n">
        <x:f>IF(G4720,L4720*AN4720/(1+M4720)^F4720,0)</x:f>
        <x:v>0.08164747525014143</x:v>
      </x:c>
      <x:c r="AJ4720" s="42" t="n">
        <x:v>0</x:v>
      </x:c>
      <x:c r="AK4720" s="42" t="n">
        <x:v>0</x:v>
      </x:c>
      <x:c r="AL4720" s="42" t="n">
        <x:v>0</x:v>
      </x:c>
      <x:c r="AM4720" t="n">
        <x:f>CHOOSE('假设'!$B$3,AJ4720,AK4720,AL4720)</x:f>
        <x:v>0</x:v>
      </x:c>
      <x:c r="AN4720" t="n">
        <x:v>1</x:v>
      </x:c>
    </x:row>
    <x:row r="4721" ht="23" customHeight="1">
      <x:c r="A4721" s="11" t="str">
        <x:v>02162.HK</x:v>
      </x:c>
      <x:c r="B4721" s="11" t="str">
        <x:v>五年</x:v>
      </x:c>
      <x:c r="C4721" s="11" t="str">
        <x:v>CM313_domestic</x:v>
      </x:c>
      <x:c r="D4721" s="11" t="str">
        <x:v>2037-12-31</x:v>
      </x:c>
      <x:c r="E4721" s="11" t="str">
        <x:v>CNY</x:v>
      </x:c>
      <x:c r="F4721" s="11" t="n">
        <x:v>6.228610540725531</x:v>
      </x:c>
      <x:c r="G4721" s="26" t="b">
        <x:v>1</x:v>
      </x:c>
      <x:c r="H4721" s="16" t="n">
        <x:v>0.4</x:v>
      </x:c>
      <x:c r="I4721" s="16" t="n">
        <x:v>1.14</x:v>
      </x:c>
      <x:c r="J4721" s="16" t="n">
        <x:v>2.25</x:v>
      </x:c>
      <x:c r="K4721" s="11" t="n">
        <x:f>CHOOSE('假设'!$B$3,H4721,I4721,J4721)</x:f>
        <x:v>1.14</x:v>
      </x:c>
      <x:c r="L4721" s="11" t="n">
        <x:f>K4721*'管线假设'!E1015*'管线假设'!F1015*'管线假设'!G1015*IF(E4721="USD",'管线假设'!I1015,1)-AM4721</x:f>
        <x:v>0.15389999999999998</x:v>
      </x:c>
      <x:c r="M4721" s="11" t="n">
        <x:f>'管线假设'!H1015</x:f>
        <x:v>0.14</x:v>
      </x:c>
      <x:c r="N4721" s="11" t="n">
        <x:f>IF(G4721,L4721*AN4721/(1+M4721)^F4721,0)</x:f>
        <x:v>0.06804566503936117</x:v>
      </x:c>
      <x:c r="AJ4721" s="42" t="n">
        <x:v>0</x:v>
      </x:c>
      <x:c r="AK4721" s="42" t="n">
        <x:v>0</x:v>
      </x:c>
      <x:c r="AL4721" s="42" t="n">
        <x:v>0</x:v>
      </x:c>
      <x:c r="AM4721" t="n">
        <x:f>CHOOSE('假设'!$B$3,AJ4721,AK4721,AL4721)</x:f>
        <x:v>0</x:v>
      </x:c>
      <x:c r="AN4721" t="n">
        <x:v>1</x:v>
      </x:c>
    </x:row>
    <x:row r="4722" ht="23" customHeight="1">
      <x:c r="A4722" s="11" t="str">
        <x:v>02162.HK</x:v>
      </x:c>
      <x:c r="B4722" s="11" t="str">
        <x:v>五年</x:v>
      </x:c>
      <x:c r="C4722" s="11" t="str">
        <x:v>CM313_domestic</x:v>
      </x:c>
      <x:c r="D4722" s="11" t="str">
        <x:v>2038-12-31</x:v>
      </x:c>
      <x:c r="E4722" s="11" t="str">
        <x:v>CNY</x:v>
      </x:c>
      <x:c r="F4722" s="11" t="n">
        <x:v>7.227926078028747</x:v>
      </x:c>
      <x:c r="G4722" s="26" t="b">
        <x:v>1</x:v>
      </x:c>
      <x:c r="H4722" s="16" t="n">
        <x:v>0.4</x:v>
      </x:c>
      <x:c r="I4722" s="16" t="n">
        <x:v>1.08</x:v>
      </x:c>
      <x:c r="J4722" s="16" t="n">
        <x:v>2</x:v>
      </x:c>
      <x:c r="K4722" s="11" t="n">
        <x:f>CHOOSE('假设'!$B$3,H4722,I4722,J4722)</x:f>
        <x:v>1.08</x:v>
      </x:c>
      <x:c r="L4722" s="11" t="n">
        <x:f>K4722*'管线假设'!E1015*'管线假设'!F1015*'管线假设'!G1015*IF(E4722="USD",'管线假设'!I1015,1)-AM4722</x:f>
        <x:v>0.1458</x:v>
      </x:c>
      <x:c r="M4722" s="11" t="n">
        <x:f>'管线假设'!H1015</x:f>
        <x:v>0.14</x:v>
      </x:c>
      <x:c r="N4722" s="11" t="n">
        <x:f>IF(G4722,L4722*AN4722/(1+M4722)^F4722,0)</x:f>
        <x:v>0.056552715720978045</x:v>
      </x:c>
      <x:c r="AJ4722" s="42" t="n">
        <x:v>0</x:v>
      </x:c>
      <x:c r="AK4722" s="42" t="n">
        <x:v>0</x:v>
      </x:c>
      <x:c r="AL4722" s="42" t="n">
        <x:v>0</x:v>
      </x:c>
      <x:c r="AM4722" t="n">
        <x:f>CHOOSE('假设'!$B$3,AJ4722,AK4722,AL4722)</x:f>
        <x:v>0</x:v>
      </x:c>
      <x:c r="AN4722" t="n">
        <x:v>1</x:v>
      </x:c>
    </x:row>
    <x:row r="4723" ht="23" customHeight="1">
      <x:c r="A4723" s="11" t="str">
        <x:v>02162.HK</x:v>
      </x:c>
      <x:c r="B4723" s="11" t="str">
        <x:v>五年</x:v>
      </x:c>
      <x:c r="C4723" s="11" t="str">
        <x:v>CM313_domestic</x:v>
      </x:c>
      <x:c r="D4723" s="11" t="str">
        <x:v>2039-12-31</x:v>
      </x:c>
      <x:c r="E4723" s="11" t="str">
        <x:v>CNY</x:v>
      </x:c>
      <x:c r="F4723" s="11" t="n">
        <x:v>8.227241615331964</x:v>
      </x:c>
      <x:c r="G4723" s="26" t="b">
        <x:v>1</x:v>
      </x:c>
      <x:c r="H4723" s="16" t="n">
        <x:v>0.38</x:v>
      </x:c>
      <x:c r="I4723" s="16" t="n">
        <x:v>0.96</x:v>
      </x:c>
      <x:c r="J4723" s="16" t="n">
        <x:v>1.625</x:v>
      </x:c>
      <x:c r="K4723" s="11" t="n">
        <x:f>CHOOSE('假设'!$B$3,H4723,I4723,J4723)</x:f>
        <x:v>0.96</x:v>
      </x:c>
      <x:c r="L4723" s="11" t="n">
        <x:f>K4723*'管线假设'!E1015*'管线假设'!F1015*'管线假设'!G1015*IF(E4723="USD",'管线假设'!I1015,1)-AM4723</x:f>
        <x:v>0.1296</x:v>
      </x:c>
      <x:c r="M4723" s="11" t="n">
        <x:f>'管线假设'!H1015</x:f>
        <x:v>0.14</x:v>
      </x:c>
      <x:c r="N4723" s="11" t="n">
        <x:f>IF(G4723,L4723*AN4723/(1+M4723)^F4723,0)</x:f>
        <x:v>0.044099639625567344</x:v>
      </x:c>
      <x:c r="AJ4723" s="42" t="n">
        <x:v>0</x:v>
      </x:c>
      <x:c r="AK4723" s="42" t="n">
        <x:v>0</x:v>
      </x:c>
      <x:c r="AL4723" s="42" t="n">
        <x:v>0</x:v>
      </x:c>
      <x:c r="AM4723" t="n">
        <x:f>CHOOSE('假设'!$B$3,AJ4723,AK4723,AL4723)</x:f>
        <x:v>0</x:v>
      </x:c>
      <x:c r="AN4723" t="n">
        <x:v>1</x:v>
      </x:c>
    </x:row>
    <x:row r="4724" ht="23" customHeight="1">
      <x:c r="A4724" s="11" t="str">
        <x:v>02162.HK</x:v>
      </x:c>
      <x:c r="B4724" s="11" t="str">
        <x:v>五年</x:v>
      </x:c>
      <x:c r="C4724" s="11" t="str">
        <x:v>CM313_domestic</x:v>
      </x:c>
      <x:c r="D4724" s="11" t="str">
        <x:v>2040-12-31</x:v>
      </x:c>
      <x:c r="E4724" s="11" t="str">
        <x:v>CNY</x:v>
      </x:c>
      <x:c r="F4724" s="11" t="n">
        <x:v>9.229295003422314</x:v>
      </x:c>
      <x:c r="G4724" s="26" t="b">
        <x:v>1</x:v>
      </x:c>
      <x:c r="H4724" s="16" t="n">
        <x:v>0.36000000000000004</x:v>
      </x:c>
      <x:c r="I4724" s="16" t="n">
        <x:v>0.78</x:v>
      </x:c>
      <x:c r="J4724" s="16" t="n">
        <x:v>1.25</x:v>
      </x:c>
      <x:c r="K4724" s="11" t="n">
        <x:f>CHOOSE('假设'!$B$3,H4724,I4724,J4724)</x:f>
        <x:v>0.78</x:v>
      </x:c>
      <x:c r="L4724" s="11" t="n">
        <x:f>K4724*'管线假设'!E1015*'管线假设'!F1015*'管线假设'!G1015*IF(E4724="USD",'管线假设'!I1015,1)-AM4724</x:f>
        <x:v>0.10529999999999999</x:v>
      </x:c>
      <x:c r="M4724" s="11" t="n">
        <x:f>'管线假设'!H1015</x:f>
        <x:v>0.14</x:v>
      </x:c>
      <x:c r="N4724" s="11" t="n">
        <x:f>IF(G4724,L4724*AN4724/(1+M4724)^F4724,0)</x:f>
        <x:v>0.031422208865241615</x:v>
      </x:c>
      <x:c r="AJ4724" s="42" t="n">
        <x:v>0</x:v>
      </x:c>
      <x:c r="AK4724" s="42" t="n">
        <x:v>0</x:v>
      </x:c>
      <x:c r="AL4724" s="42" t="n">
        <x:v>0</x:v>
      </x:c>
      <x:c r="AM4724" t="n">
        <x:f>CHOOSE('假设'!$B$3,AJ4724,AK4724,AL4724)</x:f>
        <x:v>0</x:v>
      </x:c>
      <x:c r="AN4724" t="n">
        <x:v>1</x:v>
      </x:c>
    </x:row>
    <x:row r="4725" ht="23" customHeight="1">
      <x:c r="A4725" s="11" t="str">
        <x:v>02162.HK</x:v>
      </x:c>
      <x:c r="B4725" s="11" t="str">
        <x:v>五年</x:v>
      </x:c>
      <x:c r="C4725" s="11" t="str">
        <x:v>CM313_domestic</x:v>
      </x:c>
      <x:c r="D4725" s="11" t="str">
        <x:v>2041-12-31</x:v>
      </x:c>
      <x:c r="E4725" s="11" t="str">
        <x:v>CNY</x:v>
      </x:c>
      <x:c r="F4725" s="11" t="n">
        <x:v>10.22861054072553</x:v>
      </x:c>
      <x:c r="G4725" s="26" t="b">
        <x:v>1</x:v>
      </x:c>
      <x:c r="H4725" s="16" t="n">
        <x:v>0.32000000000000006</x:v>
      </x:c>
      <x:c r="I4725" s="16" t="n">
        <x:v>0.6</x:v>
      </x:c>
      <x:c r="J4725" s="16" t="n">
        <x:v>0.875</x:v>
      </x:c>
      <x:c r="K4725" s="11" t="n">
        <x:f>CHOOSE('假设'!$B$3,H4725,I4725,J4725)</x:f>
        <x:v>0.6</x:v>
      </x:c>
      <x:c r="L4725" s="11" t="n">
        <x:f>K4725*'管线假设'!E1015*'管线假设'!F1015*'管线假设'!G1015*IF(E4725="USD",'管线假设'!I1015,1)-AM4725</x:f>
        <x:v>0.081</x:v>
      </x:c>
      <x:c r="M4725" s="11" t="n">
        <x:f>'管线假设'!H1015</x:f>
        <x:v>0.14</x:v>
      </x:c>
      <x:c r="N4725" s="11" t="n">
        <x:f>IF(G4725,L4725*AN4725/(1+M4725)^F4725,0)</x:f>
        <x:v>0.02120447170018104</x:v>
      </x:c>
      <x:c r="AJ4725" s="42" t="n">
        <x:v>0</x:v>
      </x:c>
      <x:c r="AK4725" s="42" t="n">
        <x:v>0</x:v>
      </x:c>
      <x:c r="AL4725" s="42" t="n">
        <x:v>0</x:v>
      </x:c>
      <x:c r="AM4725" t="n">
        <x:f>CHOOSE('假设'!$B$3,AJ4725,AK4725,AL4725)</x:f>
        <x:v>0</x:v>
      </x:c>
      <x:c r="AN4725" t="n">
        <x:v>1</x:v>
      </x:c>
    </x:row>
    <x:row r="4726" ht="23" customHeight="1">
      <x:c r="A4726" s="11" t="str">
        <x:v>02162.HK</x:v>
      </x:c>
      <x:c r="B4726" s="11" t="str">
        <x:v>五年</x:v>
      </x:c>
      <x:c r="C4726" s="11" t="str">
        <x:v>CM313_domestic</x:v>
      </x:c>
      <x:c r="D4726" s="11" t="str">
        <x:v>2042-12-31</x:v>
      </x:c>
      <x:c r="E4726" s="11" t="str">
        <x:v>CNY</x:v>
      </x:c>
      <x:c r="F4726" s="11" t="n">
        <x:v>11.227926078028748</x:v>
      </x:c>
      <x:c r="G4726" s="26" t="b">
        <x:v>1</x:v>
      </x:c>
      <x:c r="H4726" s="16" t="n">
        <x:v>0.26</x:v>
      </x:c>
      <x:c r="I4726" s="16" t="n">
        <x:v>0.42</x:v>
      </x:c>
      <x:c r="J4726" s="16" t="n">
        <x:v>0.5</x:v>
      </x:c>
      <x:c r="K4726" s="11" t="n">
        <x:f>CHOOSE('假设'!$B$3,H4726,I4726,J4726)</x:f>
        <x:v>0.42</x:v>
      </x:c>
      <x:c r="L4726" s="11" t="n">
        <x:f>K4726*'管线假设'!E1015*'管线假设'!F1015*'管线假设'!G1015*IF(E4726="USD",'管线假设'!I1015,1)-AM4726</x:f>
        <x:v>0.0567</x:v>
      </x:c>
      <x:c r="M4726" s="11" t="n">
        <x:f>'管线假设'!H1015</x:f>
        <x:v>0.14</x:v>
      </x:c>
      <x:c r="N4726" s="11" t="n">
        <x:f>IF(G4726,L4726*AN4726/(1+M4726)^F4726,0)</x:f>
        <x:v>0.01302145740393328</x:v>
      </x:c>
      <x:c r="AJ4726" s="42" t="n">
        <x:v>0</x:v>
      </x:c>
      <x:c r="AK4726" s="42" t="n">
        <x:v>0</x:v>
      </x:c>
      <x:c r="AL4726" s="42" t="n">
        <x:v>0</x:v>
      </x:c>
      <x:c r="AM4726" t="n">
        <x:f>CHOOSE('假设'!$B$3,AJ4726,AK4726,AL4726)</x:f>
        <x:v>0</x:v>
      </x:c>
      <x:c r="AN4726" t="n">
        <x:v>1</x:v>
      </x:c>
    </x:row>
    <x:row r="4727" ht="23" customHeight="1">
      <x:c r="A4727" s="11" t="str">
        <x:v>02162.HK</x:v>
      </x:c>
      <x:c r="B4727" s="11" t="str">
        <x:v>五年</x:v>
      </x:c>
      <x:c r="C4727" s="11" t="str">
        <x:v>CM313_domestic</x:v>
      </x:c>
      <x:c r="D4727" s="11" t="str">
        <x:v>2043-12-31</x:v>
      </x:c>
      <x:c r="E4727" s="11" t="str">
        <x:v>CNY</x:v>
      </x:c>
      <x:c r="F4727" s="11" t="n">
        <x:v>12.227241615331964</x:v>
      </x:c>
      <x:c r="G4727" s="26" t="b">
        <x:v>1</x:v>
      </x:c>
      <x:c r="H4727" s="16" t="n">
        <x:v>0.2</x:v>
      </x:c>
      <x:c r="I4727" s="16" t="n">
        <x:v>0.24</x:v>
      </x:c>
      <x:c r="J4727" s="16" t="n">
        <x:v>0.3</x:v>
      </x:c>
      <x:c r="K4727" s="11" t="n">
        <x:f>CHOOSE('假设'!$B$3,H4727,I4727,J4727)</x:f>
        <x:v>0.24</x:v>
      </x:c>
      <x:c r="L4727" s="11" t="n">
        <x:f>K4727*'管线假设'!E1015*'管线假设'!F1015*'管线假设'!G1015*IF(E4727="USD",'管线假设'!I1015,1)-AM4727</x:f>
        <x:v>0.0324</x:v>
      </x:c>
      <x:c r="M4727" s="11" t="n">
        <x:f>'管线假设'!H1015</x:f>
        <x:v>0.14</x:v>
      </x:c>
      <x:c r="N4727" s="11" t="n">
        <x:f>IF(G4727,L4727*AN4727/(1+M4727)^F4727,0)</x:f>
        <x:v>0.006527631715357828</x:v>
      </x:c>
      <x:c r="AJ4727" s="42" t="n">
        <x:v>0</x:v>
      </x:c>
      <x:c r="AK4727" s="42" t="n">
        <x:v>0</x:v>
      </x:c>
      <x:c r="AL4727" s="42" t="n">
        <x:v>0</x:v>
      </x:c>
      <x:c r="AM4727" t="n">
        <x:f>CHOOSE('假设'!$B$3,AJ4727,AK4727,AL4727)</x:f>
        <x:v>0</x:v>
      </x:c>
      <x:c r="AN4727" t="n">
        <x:v>1</x:v>
      </x:c>
    </x:row>
    <x:row r="4728" ht="23" customHeight="1">
      <x:c r="A4728" s="11" t="str">
        <x:v>02162.HK</x:v>
      </x:c>
      <x:c r="B4728" s="11" t="str">
        <x:v>五年</x:v>
      </x:c>
      <x:c r="C4728" s="11" t="str">
        <x:v>CM313_domestic</x:v>
      </x:c>
      <x:c r="D4728" s="11" t="str">
        <x:v>2044-12-31</x:v>
      </x:c>
      <x:c r="E4728" s="11" t="str">
        <x:v>CNY</x:v>
      </x:c>
      <x:c r="F4728" s="11" t="n">
        <x:v>13.229295003422314</x:v>
      </x:c>
      <x:c r="G4728" s="26" t="b">
        <x:v>1</x:v>
      </x:c>
      <x:c r="H4728" s="16" t="n">
        <x:v>0.13999999999999999</x:v>
      </x:c>
      <x:c r="I4728" s="16" t="n">
        <x:v>0.144</x:v>
      </x:c>
      <x:c r="J4728" s="16" t="n">
        <x:v>0.17500000000000002</x:v>
      </x:c>
      <x:c r="K4728" s="11" t="n">
        <x:f>CHOOSE('假设'!$B$3,H4728,I4728,J4728)</x:f>
        <x:v>0.144</x:v>
      </x:c>
      <x:c r="L4728" s="11" t="n">
        <x:f>K4728*'管线假设'!E1015*'管线假设'!F1015*'管线假设'!G1015*IF(E4728="USD",'管线假设'!I1015,1)-AM4728</x:f>
        <x:v>0.01944</x:v>
      </x:c>
      <x:c r="M4728" s="11" t="n">
        <x:f>'管线假设'!H1015</x:f>
        <x:v>0.14</x:v>
      </x:c>
      <x:c r="N4728" s="11" t="n">
        <x:f>IF(G4728,L4728*AN4728/(1+M4728)^F4728,0)</x:f>
        <x:v>0.0034346714105568527</x:v>
      </x:c>
      <x:c r="AJ4728" s="42" t="n">
        <x:v>0</x:v>
      </x:c>
      <x:c r="AK4728" s="42" t="n">
        <x:v>0</x:v>
      </x:c>
      <x:c r="AL4728" s="42" t="n">
        <x:v>0</x:v>
      </x:c>
      <x:c r="AM4728" t="n">
        <x:f>CHOOSE('假设'!$B$3,AJ4728,AK4728,AL4728)</x:f>
        <x:v>0</x:v>
      </x:c>
      <x:c r="AN4728" t="n">
        <x:v>1</x:v>
      </x:c>
    </x:row>
    <x:row r="4729" ht="23" customHeight="1">
      <x:c r="A4729" s="11" t="str">
        <x:v>02162.HK</x:v>
      </x:c>
      <x:c r="B4729" s="11" t="str">
        <x:v>五年</x:v>
      </x:c>
      <x:c r="C4729" s="11" t="str">
        <x:v>CM326_China</x:v>
      </x:c>
      <x:c r="D4729" s="11" t="str">
        <x:v>2026-12-31</x:v>
      </x:c>
      <x:c r="E4729" s="11" t="str">
        <x:v>CNY</x:v>
      </x:c>
      <x:c r="F4729" s="11" t="n">
        <x:v>-4.772073921971253</x:v>
      </x:c>
      <x:c r="G4729" s="26" t="b">
        <x:v>0</x:v>
      </x:c>
      <x:c r="H4729" s="16" t="n">
        <x:v>0</x:v>
      </x:c>
      <x:c r="I4729" s="16" t="n">
        <x:v>0</x:v>
      </x:c>
      <x:c r="J4729" s="16" t="n">
        <x:v>0</x:v>
      </x:c>
      <x:c r="K4729" s="11" t="n">
        <x:f>CHOOSE('假设'!$B$3,H4729,I4729,J4729)</x:f>
        <x:v>0</x:v>
      </x:c>
      <x:c r="L4729" s="11" t="n">
        <x:f>K4729*'管线假设'!E1019*'管线假设'!F1019*'管线假设'!G1019*IF(E4729="USD",'管线假设'!I1019,1)-AM4729</x:f>
        <x:v>-0.01</x:v>
      </x:c>
      <x:c r="M4729" s="11" t="n">
        <x:f>'管线假设'!H1019</x:f>
        <x:v>0.14</x:v>
      </x:c>
      <x:c r="N4729" s="11" t="n">
        <x:f>IF(G4729,L4729*AN4729/(1+M4729)^F4729,0)</x:f>
        <x:v>0</x:v>
      </x:c>
      <x:c r="AJ4729" s="42" t="n">
        <x:v>0.005</x:v>
      </x:c>
      <x:c r="AK4729" s="42" t="n">
        <x:v>0.01</x:v>
      </x:c>
      <x:c r="AL4729" s="42" t="n">
        <x:v>0.015</x:v>
      </x:c>
      <x:c r="AM4729" t="n">
        <x:f>CHOOSE('假设'!$B$3,AJ4729,AK4729,AL4729)</x:f>
        <x:v>0.01</x:v>
      </x:c>
      <x:c r="AN4729" t="n">
        <x:v>0</x:v>
      </x:c>
    </x:row>
    <x:row r="4730" ht="23" customHeight="1">
      <x:c r="A4730" s="11" t="str">
        <x:v>02162.HK</x:v>
      </x:c>
      <x:c r="B4730" s="11" t="str">
        <x:v>五年</x:v>
      </x:c>
      <x:c r="C4730" s="11" t="str">
        <x:v>CM326_China</x:v>
      </x:c>
      <x:c r="D4730" s="11" t="str">
        <x:v>2027-12-31</x:v>
      </x:c>
      <x:c r="E4730" s="11" t="str">
        <x:v>CNY</x:v>
      </x:c>
      <x:c r="F4730" s="11" t="n">
        <x:v>-3.7727583846680357</x:v>
      </x:c>
      <x:c r="G4730" s="26" t="b">
        <x:v>0</x:v>
      </x:c>
      <x:c r="H4730" s="16" t="n">
        <x:v>0</x:v>
      </x:c>
      <x:c r="I4730" s="16" t="n">
        <x:v>0</x:v>
      </x:c>
      <x:c r="J4730" s="16" t="n">
        <x:v>0</x:v>
      </x:c>
      <x:c r="K4730" s="11" t="n">
        <x:f>CHOOSE('假设'!$B$3,H4730,I4730,J4730)</x:f>
        <x:v>0</x:v>
      </x:c>
      <x:c r="L4730" s="11" t="n">
        <x:f>K4730*'管线假设'!E1019*'管线假设'!F1019*'管线假设'!G1019*IF(E4730="USD",'管线假设'!I1019,1)-AM4730</x:f>
        <x:v>0</x:v>
      </x:c>
      <x:c r="M4730" s="11" t="n">
        <x:f>'管线假设'!H1019</x:f>
        <x:v>0.14</x:v>
      </x:c>
      <x:c r="N4730" s="11" t="n">
        <x:f>IF(G4730,L4730*AN4730/(1+M4730)^F4730,0)</x:f>
        <x:v>0</x:v>
      </x:c>
      <x:c r="AJ4730" s="42" t="n">
        <x:v>0</x:v>
      </x:c>
      <x:c r="AK4730" s="42" t="n">
        <x:v>0</x:v>
      </x:c>
      <x:c r="AL4730" s="42" t="n">
        <x:v>0</x:v>
      </x:c>
      <x:c r="AM4730" t="n">
        <x:f>CHOOSE('假设'!$B$3,AJ4730,AK4730,AL4730)</x:f>
        <x:v>0</x:v>
      </x:c>
      <x:c r="AN4730" t="n">
        <x:v>0</x:v>
      </x:c>
    </x:row>
    <x:row r="4731" ht="23" customHeight="1">
      <x:c r="A4731" s="11" t="str">
        <x:v>02162.HK</x:v>
      </x:c>
      <x:c r="B4731" s="11" t="str">
        <x:v>五年</x:v>
      </x:c>
      <x:c r="C4731" s="11" t="str">
        <x:v>CM326_China</x:v>
      </x:c>
      <x:c r="D4731" s="11" t="str">
        <x:v>2028-12-31</x:v>
      </x:c>
      <x:c r="E4731" s="11" t="str">
        <x:v>CNY</x:v>
      </x:c>
      <x:c r="F4731" s="11" t="n">
        <x:v>-2.7707049965776864</x:v>
      </x:c>
      <x:c r="G4731" s="26" t="b">
        <x:v>0</x:v>
      </x:c>
      <x:c r="H4731" s="16" t="n">
        <x:v>0</x:v>
      </x:c>
      <x:c r="I4731" s="16" t="n">
        <x:v>0</x:v>
      </x:c>
      <x:c r="J4731" s="16" t="n">
        <x:v>0.18</x:v>
      </x:c>
      <x:c r="K4731" s="11" t="n">
        <x:f>CHOOSE('假设'!$B$3,H4731,I4731,J4731)</x:f>
        <x:v>0</x:v>
      </x:c>
      <x:c r="L4731" s="11" t="n">
        <x:f>K4731*'管线假设'!E1019*'管线假设'!F1019*'管线假设'!G1019*IF(E4731="USD",'管线假设'!I1019,1)-AM4731</x:f>
        <x:v>0</x:v>
      </x:c>
      <x:c r="M4731" s="11" t="n">
        <x:f>'管线假设'!H1019</x:f>
        <x:v>0.14</x:v>
      </x:c>
      <x:c r="N4731" s="11" t="n">
        <x:f>IF(G4731,L4731*AN4731/(1+M4731)^F4731,0)</x:f>
        <x:v>0</x:v>
      </x:c>
      <x:c r="AJ4731" s="42" t="n">
        <x:v>0</x:v>
      </x:c>
      <x:c r="AK4731" s="42" t="n">
        <x:v>0</x:v>
      </x:c>
      <x:c r="AL4731" s="42" t="n">
        <x:v>0</x:v>
      </x:c>
      <x:c r="AM4731" t="n">
        <x:f>CHOOSE('假设'!$B$3,AJ4731,AK4731,AL4731)</x:f>
        <x:v>0</x:v>
      </x:c>
      <x:c r="AN4731" t="n">
        <x:v>0</x:v>
      </x:c>
    </x:row>
    <x:row r="4732" ht="23" customHeight="1">
      <x:c r="A4732" s="11" t="str">
        <x:v>02162.HK</x:v>
      </x:c>
      <x:c r="B4732" s="11" t="str">
        <x:v>五年</x:v>
      </x:c>
      <x:c r="C4732" s="11" t="str">
        <x:v>CM326_China</x:v>
      </x:c>
      <x:c r="D4732" s="11" t="str">
        <x:v>2029-12-31</x:v>
      </x:c>
      <x:c r="E4732" s="11" t="str">
        <x:v>CNY</x:v>
      </x:c>
      <x:c r="F4732" s="11" t="n">
        <x:v>-1.7713894592744694</x:v>
      </x:c>
      <x:c r="G4732" s="26" t="b">
        <x:v>0</x:v>
      </x:c>
      <x:c r="H4732" s="16" t="n">
        <x:v>0</x:v>
      </x:c>
      <x:c r="I4732" s="16" t="n">
        <x:v>0.09</x:v>
      </x:c>
      <x:c r="J4732" s="16" t="n">
        <x:v>0.54</x:v>
      </x:c>
      <x:c r="K4732" s="11" t="n">
        <x:f>CHOOSE('假设'!$B$3,H4732,I4732,J4732)</x:f>
        <x:v>0.09</x:v>
      </x:c>
      <x:c r="L4732" s="11" t="n">
        <x:f>K4732*'管线假设'!E1019*'管线假设'!F1019*'管线假设'!G1019*IF(E4732="USD",'管线假设'!I1019,1)-AM4732</x:f>
        <x:v>0.0033615000000000003</x:v>
      </x:c>
      <x:c r="M4732" s="11" t="n">
        <x:f>'管线假设'!H1019</x:f>
        <x:v>0.14</x:v>
      </x:c>
      <x:c r="N4732" s="11" t="n">
        <x:f>IF(G4732,L4732*AN4732/(1+M4732)^F4732,0)</x:f>
        <x:v>0</x:v>
      </x:c>
      <x:c r="AJ4732" s="42" t="n">
        <x:v>0</x:v>
      </x:c>
      <x:c r="AK4732" s="42" t="n">
        <x:v>0</x:v>
      </x:c>
      <x:c r="AL4732" s="42" t="n">
        <x:v>0</x:v>
      </x:c>
      <x:c r="AM4732" t="n">
        <x:f>CHOOSE('假设'!$B$3,AJ4732,AK4732,AL4732)</x:f>
        <x:v>0</x:v>
      </x:c>
      <x:c r="AN4732" t="n">
        <x:v>0</x:v>
      </x:c>
    </x:row>
    <x:row r="4733" ht="23" customHeight="1">
      <x:c r="A4733" s="11" t="str">
        <x:v>02162.HK</x:v>
      </x:c>
      <x:c r="B4733" s="11" t="str">
        <x:v>五年</x:v>
      </x:c>
      <x:c r="C4733" s="11" t="str">
        <x:v>CM326_China</x:v>
      </x:c>
      <x:c r="D4733" s="11" t="str">
        <x:v>2030-12-31</x:v>
      </x:c>
      <x:c r="E4733" s="11" t="str">
        <x:v>CNY</x:v>
      </x:c>
      <x:c r="F4733" s="11" t="n">
        <x:v>-0.7720739219712526</x:v>
      </x:c>
      <x:c r="G4733" s="26" t="b">
        <x:v>0</x:v>
      </x:c>
      <x:c r="H4733" s="16" t="n">
        <x:v>0</x:v>
      </x:c>
      <x:c r="I4733" s="16" t="n">
        <x:v>0.27</x:v>
      </x:c>
      <x:c r="J4733" s="16" t="n">
        <x:v>1.1400000000000001</x:v>
      </x:c>
      <x:c r="K4733" s="11" t="n">
        <x:f>CHOOSE('假设'!$B$3,H4733,I4733,J4733)</x:f>
        <x:v>0.27</x:v>
      </x:c>
      <x:c r="L4733" s="11" t="n">
        <x:f>K4733*'管线假设'!E1019*'管线假设'!F1019*'管线假设'!G1019*IF(E4733="USD",'管线假设'!I1019,1)-AM4733</x:f>
        <x:v>0.010084500000000001</x:v>
      </x:c>
      <x:c r="M4733" s="11" t="n">
        <x:f>'管线假设'!H1019</x:f>
        <x:v>0.14</x:v>
      </x:c>
      <x:c r="N4733" s="11" t="n">
        <x:f>IF(G4733,L4733*AN4733/(1+M4733)^F4733,0)</x:f>
        <x:v>0</x:v>
      </x:c>
      <x:c r="AJ4733" s="42" t="n">
        <x:v>0</x:v>
      </x:c>
      <x:c r="AK4733" s="42" t="n">
        <x:v>0</x:v>
      </x:c>
      <x:c r="AL4733" s="42" t="n">
        <x:v>0</x:v>
      </x:c>
      <x:c r="AM4733" t="n">
        <x:f>CHOOSE('假设'!$B$3,AJ4733,AK4733,AL4733)</x:f>
        <x:v>0</x:v>
      </x:c>
      <x:c r="AN4733" t="n">
        <x:v>0</x:v>
      </x:c>
    </x:row>
    <x:row r="4734" ht="23" customHeight="1">
      <x:c r="A4734" s="11" t="str">
        <x:v>02162.HK</x:v>
      </x:c>
      <x:c r="B4734" s="11" t="str">
        <x:v>五年</x:v>
      </x:c>
      <x:c r="C4734" s="11" t="str">
        <x:v>CM326_China</x:v>
      </x:c>
      <x:c r="D4734" s="11" t="str">
        <x:v>2031-12-31</x:v>
      </x:c>
      <x:c r="E4734" s="11" t="str">
        <x:v>CNY</x:v>
      </x:c>
      <x:c r="F4734" s="11" t="n">
        <x:v>0.2272416153319644</x:v>
      </x:c>
      <x:c r="G4734" s="26" t="b">
        <x:v>1</x:v>
      </x:c>
      <x:c r="H4734" s="16" t="n">
        <x:v>0.03</x:v>
      </x:c>
      <x:c r="I4734" s="16" t="n">
        <x:v>0.5700000000000001</x:v>
      </x:c>
      <x:c r="J4734" s="16" t="n">
        <x:v>1.9500000000000002</x:v>
      </x:c>
      <x:c r="K4734" s="11" t="n">
        <x:f>CHOOSE('假设'!$B$3,H4734,I4734,J4734)</x:f>
        <x:v>0.5700000000000001</x:v>
      </x:c>
      <x:c r="L4734" s="11" t="n">
        <x:f>K4734*'管线假设'!E1019*'管线假设'!F1019*'管线假设'!G1019*IF(E4734="USD",'管线假设'!I1019,1)-AM4734</x:f>
        <x:v>0.021289500000000006</x:v>
      </x:c>
      <x:c r="M4734" s="11" t="n">
        <x:f>'管线假设'!H1019</x:f>
        <x:v>0.14</x:v>
      </x:c>
      <x:c r="N4734" s="11" t="n">
        <x:f>IF(G4734,L4734*AN4734/(1+M4734)^F4734,0)</x:f>
        <x:v>0.004712062261162805</x:v>
      </x:c>
      <x:c r="AJ4734" s="42" t="n">
        <x:v>0</x:v>
      </x:c>
      <x:c r="AK4734" s="42" t="n">
        <x:v>0</x:v>
      </x:c>
      <x:c r="AL4734" s="42" t="n">
        <x:v>0</x:v>
      </x:c>
      <x:c r="AM4734" t="n">
        <x:f>CHOOSE('假设'!$B$3,AJ4734,AK4734,AL4734)</x:f>
        <x:v>0</x:v>
      </x:c>
      <x:c r="AN4734" t="n">
        <x:v>0.22802197802197802</x:v>
      </x:c>
    </x:row>
    <x:row r="4735" ht="23" customHeight="1">
      <x:c r="A4735" s="11" t="str">
        <x:v>02162.HK</x:v>
      </x:c>
      <x:c r="B4735" s="11" t="str">
        <x:v>五年</x:v>
      </x:c>
      <x:c r="C4735" s="11" t="str">
        <x:v>CM326_China</x:v>
      </x:c>
      <x:c r="D4735" s="11" t="str">
        <x:v>2032-12-31</x:v>
      </x:c>
      <x:c r="E4735" s="11" t="str">
        <x:v>CNY</x:v>
      </x:c>
      <x:c r="F4735" s="11" t="n">
        <x:v>1.2292950034223136</x:v>
      </x:c>
      <x:c r="G4735" s="26" t="b">
        <x:v>1</x:v>
      </x:c>
      <x:c r="H4735" s="16" t="n">
        <x:v>0.09</x:v>
      </x:c>
      <x:c r="I4735" s="16" t="n">
        <x:v>0.9750000000000001</x:v>
      </x:c>
      <x:c r="J4735" s="16" t="n">
        <x:v>2.55</x:v>
      </x:c>
      <x:c r="K4735" s="11" t="n">
        <x:f>CHOOSE('假设'!$B$3,H4735,I4735,J4735)</x:f>
        <x:v>0.9750000000000001</x:v>
      </x:c>
      <x:c r="L4735" s="11" t="n">
        <x:f>K4735*'管线假设'!E1019*'管线假设'!F1019*'管线假设'!G1019*IF(E4735="USD",'管线假设'!I1019,1)-AM4735</x:f>
        <x:v>0.036416250000000004</x:v>
      </x:c>
      <x:c r="M4735" s="11" t="n">
        <x:f>'管线假设'!H1019</x:f>
        <x:v>0.14</x:v>
      </x:c>
      <x:c r="N4735" s="11" t="n">
        <x:f>IF(G4735,L4735*AN4735/(1+M4735)^F4735,0)</x:f>
        <x:v>0.030998620866287276</x:v>
      </x:c>
      <x:c r="AJ4735" s="42" t="n">
        <x:v>0</x:v>
      </x:c>
      <x:c r="AK4735" s="42" t="n">
        <x:v>0</x:v>
      </x:c>
      <x:c r="AL4735" s="42" t="n">
        <x:v>0</x:v>
      </x:c>
      <x:c r="AM4735" t="n">
        <x:f>CHOOSE('假设'!$B$3,AJ4735,AK4735,AL4735)</x:f>
        <x:v>0</x:v>
      </x:c>
      <x:c r="AN4735" t="n">
        <x:v>1</x:v>
      </x:c>
    </x:row>
    <x:row r="4736" ht="23" customHeight="1">
      <x:c r="A4736" s="11" t="str">
        <x:v>02162.HK</x:v>
      </x:c>
      <x:c r="B4736" s="11" t="str">
        <x:v>五年</x:v>
      </x:c>
      <x:c r="C4736" s="11" t="str">
        <x:v>CM326_China</x:v>
      </x:c>
      <x:c r="D4736" s="11" t="str">
        <x:v>2033-12-31</x:v>
      </x:c>
      <x:c r="E4736" s="11" t="str">
        <x:v>CNY</x:v>
      </x:c>
      <x:c r="F4736" s="11" t="n">
        <x:v>2.2286105407255303</x:v>
      </x:c>
      <x:c r="G4736" s="26" t="b">
        <x:v>1</x:v>
      </x:c>
      <x:c r="H4736" s="16" t="n">
        <x:v>0.19</x:v>
      </x:c>
      <x:c r="I4736" s="16" t="n">
        <x:v>1.275</x:v>
      </x:c>
      <x:c r="J4736" s="16" t="n">
        <x:v>3</x:v>
      </x:c>
      <x:c r="K4736" s="11" t="n">
        <x:f>CHOOSE('假设'!$B$3,H4736,I4736,J4736)</x:f>
        <x:v>1.275</x:v>
      </x:c>
      <x:c r="L4736" s="11" t="n">
        <x:f>K4736*'管线假设'!E1019*'管线假设'!F1019*'管线假设'!G1019*IF(E4736="USD",'管线假设'!I1019,1)-AM4736</x:f>
        <x:v>0.047621250000000004</x:v>
      </x:c>
      <x:c r="M4736" s="11" t="n">
        <x:f>'管线假设'!H1019</x:f>
        <x:v>0.14</x:v>
      </x:c>
      <x:c r="N4736" s="11" t="n">
        <x:f>IF(G4736,L4736*AN4736/(1+M4736)^F4736,0)</x:f>
        <x:v>0.03556166114638035</x:v>
      </x:c>
      <x:c r="AJ4736" s="42" t="n">
        <x:v>0</x:v>
      </x:c>
      <x:c r="AK4736" s="42" t="n">
        <x:v>0</x:v>
      </x:c>
      <x:c r="AL4736" s="42" t="n">
        <x:v>0</x:v>
      </x:c>
      <x:c r="AM4736" t="n">
        <x:f>CHOOSE('假设'!$B$3,AJ4736,AK4736,AL4736)</x:f>
        <x:v>0</x:v>
      </x:c>
      <x:c r="AN4736" t="n">
        <x:v>1</x:v>
      </x:c>
    </x:row>
    <x:row r="4737" ht="23" customHeight="1">
      <x:c r="A4737" s="11" t="str">
        <x:v>02162.HK</x:v>
      </x:c>
      <x:c r="B4737" s="11" t="str">
        <x:v>五年</x:v>
      </x:c>
      <x:c r="C4737" s="11" t="str">
        <x:v>CM326_China</x:v>
      </x:c>
      <x:c r="D4737" s="11" t="str">
        <x:v>2034-12-31</x:v>
      </x:c>
      <x:c r="E4737" s="11" t="str">
        <x:v>CNY</x:v>
      </x:c>
      <x:c r="F4737" s="11" t="n">
        <x:v>3.2279260780287475</x:v>
      </x:c>
      <x:c r="G4737" s="26" t="b">
        <x:v>1</x:v>
      </x:c>
      <x:c r="H4737" s="16" t="n">
        <x:v>0.325</x:v>
      </x:c>
      <x:c r="I4737" s="16" t="n">
        <x:v>1.5</x:v>
      </x:c>
      <x:c r="J4737" s="16" t="n">
        <x:v>3</x:v>
      </x:c>
      <x:c r="K4737" s="11" t="n">
        <x:f>CHOOSE('假设'!$B$3,H4737,I4737,J4737)</x:f>
        <x:v>1.5</x:v>
      </x:c>
      <x:c r="L4737" s="11" t="n">
        <x:f>K4737*'管线假设'!E1019*'管线假设'!F1019*'管线假设'!G1019*IF(E4737="USD",'管线假设'!I1019,1)-AM4737</x:f>
        <x:v>0.056025000000000005</x:v>
      </x:c>
      <x:c r="M4737" s="11" t="n">
        <x:f>'管线假设'!H1019</x:f>
        <x:v>0.14</x:v>
      </x:c>
      <x:c r="N4737" s="11" t="n">
        <x:f>IF(G4737,L4737*AN4737/(1+M4737)^F4737,0)</x:f>
        <x:v>0.036702632198058444</x:v>
      </x:c>
      <x:c r="AJ4737" s="42" t="n">
        <x:v>0</x:v>
      </x:c>
      <x:c r="AK4737" s="42" t="n">
        <x:v>0</x:v>
      </x:c>
      <x:c r="AL4737" s="42" t="n">
        <x:v>0</x:v>
      </x:c>
      <x:c r="AM4737" t="n">
        <x:f>CHOOSE('假设'!$B$3,AJ4737,AK4737,AL4737)</x:f>
        <x:v>0</x:v>
      </x:c>
      <x:c r="AN4737" t="n">
        <x:v>1</x:v>
      </x:c>
    </x:row>
    <x:row r="4738" ht="23" customHeight="1">
      <x:c r="A4738" s="11" t="str">
        <x:v>02162.HK</x:v>
      </x:c>
      <x:c r="B4738" s="11" t="str">
        <x:v>五年</x:v>
      </x:c>
      <x:c r="C4738" s="11" t="str">
        <x:v>CM326_China</x:v>
      </x:c>
      <x:c r="D4738" s="11" t="str">
        <x:v>2035-12-31</x:v>
      </x:c>
      <x:c r="E4738" s="11" t="str">
        <x:v>CNY</x:v>
      </x:c>
      <x:c r="F4738" s="11" t="n">
        <x:v>4.227241615331964</x:v>
      </x:c>
      <x:c r="G4738" s="26" t="b">
        <x:v>1</x:v>
      </x:c>
      <x:c r="H4738" s="16" t="n">
        <x:v>0.425</x:v>
      </x:c>
      <x:c r="I4738" s="16" t="n">
        <x:v>1.5</x:v>
      </x:c>
      <x:c r="J4738" s="16" t="n">
        <x:v>2.8499999999999996</x:v>
      </x:c>
      <x:c r="K4738" s="11" t="n">
        <x:f>CHOOSE('假设'!$B$3,H4738,I4738,J4738)</x:f>
        <x:v>1.5</x:v>
      </x:c>
      <x:c r="L4738" s="11" t="n">
        <x:f>K4738*'管线假设'!E1019*'管线假设'!F1019*'管线假设'!G1019*IF(E4738="USD",'管线假设'!I1019,1)-AM4738</x:f>
        <x:v>0.056025000000000005</x:v>
      </x:c>
      <x:c r="M4738" s="11" t="n">
        <x:f>'管线假设'!H1019</x:f>
        <x:v>0.14</x:v>
      </x:c>
      <x:c r="N4738" s="11" t="n">
        <x:f>IF(G4738,L4738*AN4738/(1+M4738)^F4738,0)</x:f>
        <x:v>0.032198178932443075</x:v>
      </x:c>
      <x:c r="AJ4738" s="42" t="n">
        <x:v>0</x:v>
      </x:c>
      <x:c r="AK4738" s="42" t="n">
        <x:v>0</x:v>
      </x:c>
      <x:c r="AL4738" s="42" t="n">
        <x:v>0</x:v>
      </x:c>
      <x:c r="AM4738" t="n">
        <x:f>CHOOSE('假设'!$B$3,AJ4738,AK4738,AL4738)</x:f>
        <x:v>0</x:v>
      </x:c>
      <x:c r="AN4738" t="n">
        <x:v>1</x:v>
      </x:c>
    </x:row>
    <x:row r="4739" ht="23" customHeight="1">
      <x:c r="A4739" s="11" t="str">
        <x:v>02162.HK</x:v>
      </x:c>
      <x:c r="B4739" s="11" t="str">
        <x:v>五年</x:v>
      </x:c>
      <x:c r="C4739" s="11" t="str">
        <x:v>CM326_China</x:v>
      </x:c>
      <x:c r="D4739" s="11" t="str">
        <x:v>2036-12-31</x:v>
      </x:c>
      <x:c r="E4739" s="11" t="str">
        <x:v>CNY</x:v>
      </x:c>
      <x:c r="F4739" s="11" t="n">
        <x:v>5.229295003422314</x:v>
      </x:c>
      <x:c r="G4739" s="26" t="b">
        <x:v>1</x:v>
      </x:c>
      <x:c r="H4739" s="16" t="n">
        <x:v>0.5</x:v>
      </x:c>
      <x:c r="I4739" s="16" t="n">
        <x:v>1.4249999999999998</x:v>
      </x:c>
      <x:c r="J4739" s="16" t="n">
        <x:v>2.7</x:v>
      </x:c>
      <x:c r="K4739" s="11" t="n">
        <x:f>CHOOSE('假设'!$B$3,H4739,I4739,J4739)</x:f>
        <x:v>1.4249999999999998</x:v>
      </x:c>
      <x:c r="L4739" s="11" t="n">
        <x:f>K4739*'管线假设'!E1019*'管线假设'!F1019*'管线假设'!G1019*IF(E4739="USD",'管线假设'!I1019,1)-AM4739</x:f>
        <x:v>0.05322375</x:v>
      </x:c>
      <x:c r="M4739" s="11" t="n">
        <x:f>'管线假设'!H1019</x:f>
        <x:v>0.14</x:v>
      </x:c>
      <x:c r="N4739" s="11" t="n">
        <x:f>IF(G4739,L4739*AN4739/(1+M4739)^F4739,0)</x:f>
        <x:v>0.026824597597806882</x:v>
      </x:c>
      <x:c r="AJ4739" s="42" t="n">
        <x:v>0</x:v>
      </x:c>
      <x:c r="AK4739" s="42" t="n">
        <x:v>0</x:v>
      </x:c>
      <x:c r="AL4739" s="42" t="n">
        <x:v>0</x:v>
      </x:c>
      <x:c r="AM4739" t="n">
        <x:f>CHOOSE('假设'!$B$3,AJ4739,AK4739,AL4739)</x:f>
        <x:v>0</x:v>
      </x:c>
      <x:c r="AN4739" t="n">
        <x:v>1</x:v>
      </x:c>
    </x:row>
    <x:row r="4740" ht="23" customHeight="1">
      <x:c r="A4740" s="11" t="str">
        <x:v>02162.HK</x:v>
      </x:c>
      <x:c r="B4740" s="11" t="str">
        <x:v>五年</x:v>
      </x:c>
      <x:c r="C4740" s="11" t="str">
        <x:v>CM326_China</x:v>
      </x:c>
      <x:c r="D4740" s="11" t="str">
        <x:v>2037-12-31</x:v>
      </x:c>
      <x:c r="E4740" s="11" t="str">
        <x:v>CNY</x:v>
      </x:c>
      <x:c r="F4740" s="11" t="n">
        <x:v>6.228610540725531</x:v>
      </x:c>
      <x:c r="G4740" s="26" t="b">
        <x:v>1</x:v>
      </x:c>
      <x:c r="H4740" s="16" t="n">
        <x:v>0.5</x:v>
      </x:c>
      <x:c r="I4740" s="16" t="n">
        <x:v>1.35</x:v>
      </x:c>
      <x:c r="J4740" s="16" t="n">
        <x:v>2.4000000000000004</x:v>
      </x:c>
      <x:c r="K4740" s="11" t="n">
        <x:f>CHOOSE('假设'!$B$3,H4740,I4740,J4740)</x:f>
        <x:v>1.35</x:v>
      </x:c>
      <x:c r="L4740" s="11" t="n">
        <x:f>K4740*'管线假设'!E1019*'管线假设'!F1019*'管线假设'!G1019*IF(E4740="USD",'管线假设'!I1019,1)-AM4740</x:f>
        <x:v>0.05042250000000001</x:v>
      </x:c>
      <x:c r="M4740" s="11" t="n">
        <x:f>'管线假设'!H1019</x:f>
        <x:v>0.14</x:v>
      </x:c>
      <x:c r="N4740" s="11" t="n">
        <x:f>IF(G4740,L4740*AN4740/(1+M4740)^F4740,0)</x:f>
        <x:v>0.022293908677369655</x:v>
      </x:c>
      <x:c r="AJ4740" s="42" t="n">
        <x:v>0</x:v>
      </x:c>
      <x:c r="AK4740" s="42" t="n">
        <x:v>0</x:v>
      </x:c>
      <x:c r="AL4740" s="42" t="n">
        <x:v>0</x:v>
      </x:c>
      <x:c r="AM4740" t="n">
        <x:f>CHOOSE('假设'!$B$3,AJ4740,AK4740,AL4740)</x:f>
        <x:v>0</x:v>
      </x:c>
      <x:c r="AN4740" t="n">
        <x:v>1</x:v>
      </x:c>
    </x:row>
    <x:row r="4741" ht="23" customHeight="1">
      <x:c r="A4741" s="11" t="str">
        <x:v>02162.HK</x:v>
      </x:c>
      <x:c r="B4741" s="11" t="str">
        <x:v>五年</x:v>
      </x:c>
      <x:c r="C4741" s="11" t="str">
        <x:v>CM326_China</x:v>
      </x:c>
      <x:c r="D4741" s="11" t="str">
        <x:v>2038-12-31</x:v>
      </x:c>
      <x:c r="E4741" s="11" t="str">
        <x:v>CNY</x:v>
      </x:c>
      <x:c r="F4741" s="11" t="n">
        <x:v>7.227926078028747</x:v>
      </x:c>
      <x:c r="G4741" s="26" t="b">
        <x:v>1</x:v>
      </x:c>
      <x:c r="H4741" s="16" t="n">
        <x:v>0.475</x:v>
      </x:c>
      <x:c r="I4741" s="16" t="n">
        <x:v>1.2000000000000002</x:v>
      </x:c>
      <x:c r="J4741" s="16" t="n">
        <x:v>1.9500000000000002</x:v>
      </x:c>
      <x:c r="K4741" s="11" t="n">
        <x:f>CHOOSE('假设'!$B$3,H4741,I4741,J4741)</x:f>
        <x:v>1.2000000000000002</x:v>
      </x:c>
      <x:c r="L4741" s="11" t="n">
        <x:f>K4741*'管线假设'!E1019*'管线假设'!F1019*'管线假设'!G1019*IF(E4741="USD",'管线假设'!I1019,1)-AM4741</x:f>
        <x:v>0.04482000000000001</x:v>
      </x:c>
      <x:c r="M4741" s="11" t="n">
        <x:f>'管线假设'!H1019</x:f>
        <x:v>0.14</x:v>
      </x:c>
      <x:c r="N4741" s="11" t="n">
        <x:f>IF(G4741,L4741*AN4741/(1+M4741)^F4741,0)</x:f>
        <x:v>0.017384723721633993</x:v>
      </x:c>
      <x:c r="AJ4741" s="42" t="n">
        <x:v>0</x:v>
      </x:c>
      <x:c r="AK4741" s="42" t="n">
        <x:v>0</x:v>
      </x:c>
      <x:c r="AL4741" s="42" t="n">
        <x:v>0</x:v>
      </x:c>
      <x:c r="AM4741" t="n">
        <x:f>CHOOSE('假设'!$B$3,AJ4741,AK4741,AL4741)</x:f>
        <x:v>0</x:v>
      </x:c>
      <x:c r="AN4741" t="n">
        <x:v>1</x:v>
      </x:c>
    </x:row>
    <x:row r="4742" ht="23" customHeight="1">
      <x:c r="A4742" s="11" t="str">
        <x:v>02162.HK</x:v>
      </x:c>
      <x:c r="B4742" s="11" t="str">
        <x:v>五年</x:v>
      </x:c>
      <x:c r="C4742" s="11" t="str">
        <x:v>CM326_China</x:v>
      </x:c>
      <x:c r="D4742" s="11" t="str">
        <x:v>2039-12-31</x:v>
      </x:c>
      <x:c r="E4742" s="11" t="str">
        <x:v>CNY</x:v>
      </x:c>
      <x:c r="F4742" s="11" t="n">
        <x:v>8.227241615331964</x:v>
      </x:c>
      <x:c r="G4742" s="26" t="b">
        <x:v>1</x:v>
      </x:c>
      <x:c r="H4742" s="16" t="n">
        <x:v>0.45</x:v>
      </x:c>
      <x:c r="I4742" s="16" t="n">
        <x:v>0.9750000000000001</x:v>
      </x:c>
      <x:c r="J4742" s="16" t="n">
        <x:v>1.5</x:v>
      </x:c>
      <x:c r="K4742" s="11" t="n">
        <x:f>CHOOSE('假设'!$B$3,H4742,I4742,J4742)</x:f>
        <x:v>0.9750000000000001</x:v>
      </x:c>
      <x:c r="L4742" s="11" t="n">
        <x:f>K4742*'管线假设'!E1019*'管线假设'!F1019*'管线假设'!G1019*IF(E4742="USD",'管线假设'!I1019,1)-AM4742</x:f>
        <x:v>0.036416250000000004</x:v>
      </x:c>
      <x:c r="M4742" s="11" t="n">
        <x:f>'管线假设'!H1019</x:f>
        <x:v>0.14</x:v>
      </x:c>
      <x:c r="N4742" s="11" t="n">
        <x:f>IF(G4742,L4742*AN4742/(1+M4742)^F4742,0)</x:f>
        <x:v>0.012391539363538326</x:v>
      </x:c>
      <x:c r="AJ4742" s="42" t="n">
        <x:v>0</x:v>
      </x:c>
      <x:c r="AK4742" s="42" t="n">
        <x:v>0</x:v>
      </x:c>
      <x:c r="AL4742" s="42" t="n">
        <x:v>0</x:v>
      </x:c>
      <x:c r="AM4742" t="n">
        <x:f>CHOOSE('假设'!$B$3,AJ4742,AK4742,AL4742)</x:f>
        <x:v>0</x:v>
      </x:c>
      <x:c r="AN4742" t="n">
        <x:v>1</x:v>
      </x:c>
    </x:row>
    <x:row r="4743" ht="23" customHeight="1">
      <x:c r="A4743" s="11" t="str">
        <x:v>02162.HK</x:v>
      </x:c>
      <x:c r="B4743" s="11" t="str">
        <x:v>五年</x:v>
      </x:c>
      <x:c r="C4743" s="11" t="str">
        <x:v>CM326_China</x:v>
      </x:c>
      <x:c r="D4743" s="11" t="str">
        <x:v>2040-12-31</x:v>
      </x:c>
      <x:c r="E4743" s="11" t="str">
        <x:v>CNY</x:v>
      </x:c>
      <x:c r="F4743" s="11" t="n">
        <x:v>9.229295003422314</x:v>
      </x:c>
      <x:c r="G4743" s="26" t="b">
        <x:v>1</x:v>
      </x:c>
      <x:c r="H4743" s="16" t="n">
        <x:v>0.4</x:v>
      </x:c>
      <x:c r="I4743" s="16" t="n">
        <x:v>0.75</x:v>
      </x:c>
      <x:c r="J4743" s="16" t="n">
        <x:v>1.0499999999999998</x:v>
      </x:c>
      <x:c r="K4743" s="11" t="n">
        <x:f>CHOOSE('假设'!$B$3,H4743,I4743,J4743)</x:f>
        <x:v>0.75</x:v>
      </x:c>
      <x:c r="L4743" s="11" t="n">
        <x:f>K4743*'管线假设'!E1019*'管线假设'!F1019*'管线假设'!G1019*IF(E4743="USD",'管线假设'!I1019,1)-AM4743</x:f>
        <x:v>0.028012500000000003</x:v>
      </x:c>
      <x:c r="M4743" s="11" t="n">
        <x:f>'管线假设'!H1019</x:f>
        <x:v>0.14</x:v>
      </x:c>
      <x:c r="N4743" s="11" t="n">
        <x:f>IF(G4743,L4743*AN4743/(1+M4743)^F4743,0)</x:f>
        <x:v>0.008359113255817483</x:v>
      </x:c>
      <x:c r="AJ4743" s="42" t="n">
        <x:v>0</x:v>
      </x:c>
      <x:c r="AK4743" s="42" t="n">
        <x:v>0</x:v>
      </x:c>
      <x:c r="AL4743" s="42" t="n">
        <x:v>0</x:v>
      </x:c>
      <x:c r="AM4743" t="n">
        <x:f>CHOOSE('假设'!$B$3,AJ4743,AK4743,AL4743)</x:f>
        <x:v>0</x:v>
      </x:c>
      <x:c r="AN4743" t="n">
        <x:v>1</x:v>
      </x:c>
    </x:row>
    <x:row r="4744" ht="23" customHeight="1">
      <x:c r="A4744" s="11" t="str">
        <x:v>02162.HK</x:v>
      </x:c>
      <x:c r="B4744" s="11" t="str">
        <x:v>五年</x:v>
      </x:c>
      <x:c r="C4744" s="11" t="str">
        <x:v>CM326_China</x:v>
      </x:c>
      <x:c r="D4744" s="11" t="str">
        <x:v>2041-12-31</x:v>
      </x:c>
      <x:c r="E4744" s="11" t="str">
        <x:v>CNY</x:v>
      </x:c>
      <x:c r="F4744" s="11" t="n">
        <x:v>10.22861054072553</x:v>
      </x:c>
      <x:c r="G4744" s="26" t="b">
        <x:v>1</x:v>
      </x:c>
      <x:c r="H4744" s="16" t="n">
        <x:v>0.325</x:v>
      </x:c>
      <x:c r="I4744" s="16" t="n">
        <x:v>0.5249999999999999</x:v>
      </x:c>
      <x:c r="J4744" s="16" t="n">
        <x:v>0.6000000000000001</x:v>
      </x:c>
      <x:c r="K4744" s="11" t="n">
        <x:f>CHOOSE('假设'!$B$3,H4744,I4744,J4744)</x:f>
        <x:v>0.5249999999999999</x:v>
      </x:c>
      <x:c r="L4744" s="11" t="n">
        <x:f>K4744*'管线假设'!E1019*'管线假设'!F1019*'管线假设'!G1019*IF(E4744="USD",'管线假设'!I1019,1)-AM4744</x:f>
        <x:v>0.019608749999999998</x:v>
      </x:c>
      <x:c r="M4744" s="11" t="n">
        <x:f>'管线假设'!H1019</x:f>
        <x:v>0.14</x:v>
      </x:c>
      <x:c r="N4744" s="11" t="n">
        <x:f>IF(G4744,L4744*AN4744/(1+M4744)^F4744,0)</x:f>
        <x:v>0.00513324919075216</x:v>
      </x:c>
      <x:c r="AJ4744" s="42" t="n">
        <x:v>0</x:v>
      </x:c>
      <x:c r="AK4744" s="42" t="n">
        <x:v>0</x:v>
      </x:c>
      <x:c r="AL4744" s="42" t="n">
        <x:v>0</x:v>
      </x:c>
      <x:c r="AM4744" t="n">
        <x:f>CHOOSE('假设'!$B$3,AJ4744,AK4744,AL4744)</x:f>
        <x:v>0</x:v>
      </x:c>
      <x:c r="AN4744" t="n">
        <x:v>1</x:v>
      </x:c>
    </x:row>
    <x:row r="4745" ht="23" customHeight="1">
      <x:c r="A4745" s="11" t="str">
        <x:v>02162.HK</x:v>
      </x:c>
      <x:c r="B4745" s="11" t="str">
        <x:v>五年</x:v>
      </x:c>
      <x:c r="C4745" s="11" t="str">
        <x:v>CM326_China</x:v>
      </x:c>
      <x:c r="D4745" s="11" t="str">
        <x:v>2042-12-31</x:v>
      </x:c>
      <x:c r="E4745" s="11" t="str">
        <x:v>CNY</x:v>
      </x:c>
      <x:c r="F4745" s="11" t="n">
        <x:v>11.227926078028748</x:v>
      </x:c>
      <x:c r="G4745" s="26" t="b">
        <x:v>1</x:v>
      </x:c>
      <x:c r="H4745" s="16" t="n">
        <x:v>0.25</x:v>
      </x:c>
      <x:c r="I4745" s="16" t="n">
        <x:v>0.30000000000000004</x:v>
      </x:c>
      <x:c r="J4745" s="16" t="n">
        <x:v>0.36</x:v>
      </x:c>
      <x:c r="K4745" s="11" t="n">
        <x:f>CHOOSE('假设'!$B$3,H4745,I4745,J4745)</x:f>
        <x:v>0.30000000000000004</x:v>
      </x:c>
      <x:c r="L4745" s="11" t="n">
        <x:f>K4745*'管线假设'!E1019*'管线假设'!F1019*'管线假设'!G1019*IF(E4745="USD",'管线假设'!I1019,1)-AM4745</x:f>
        <x:v>0.011205000000000003</x:v>
      </x:c>
      <x:c r="M4745" s="11" t="n">
        <x:f>'管线假设'!H1019</x:f>
        <x:v>0.14</x:v>
      </x:c>
      <x:c r="N4745" s="11" t="n">
        <x:f>IF(G4745,L4745*AN4745/(1+M4745)^F4745,0)</x:f>
        <x:v>0.002573288010777292</x:v>
      </x:c>
      <x:c r="AJ4745" s="42" t="n">
        <x:v>0</x:v>
      </x:c>
      <x:c r="AK4745" s="42" t="n">
        <x:v>0</x:v>
      </x:c>
      <x:c r="AL4745" s="42" t="n">
        <x:v>0</x:v>
      </x:c>
      <x:c r="AM4745" t="n">
        <x:f>CHOOSE('假设'!$B$3,AJ4745,AK4745,AL4745)</x:f>
        <x:v>0</x:v>
      </x:c>
      <x:c r="AN4745" t="n">
        <x:v>1</x:v>
      </x:c>
    </x:row>
    <x:row r="4746" ht="23" customHeight="1">
      <x:c r="A4746" s="11" t="str">
        <x:v>02162.HK</x:v>
      </x:c>
      <x:c r="B4746" s="11" t="str">
        <x:v>五年</x:v>
      </x:c>
      <x:c r="C4746" s="11" t="str">
        <x:v>CM326_China</x:v>
      </x:c>
      <x:c r="D4746" s="11" t="str">
        <x:v>2043-12-31</x:v>
      </x:c>
      <x:c r="E4746" s="11" t="str">
        <x:v>CNY</x:v>
      </x:c>
      <x:c r="F4746" s="11" t="n">
        <x:v>12.227241615331964</x:v>
      </x:c>
      <x:c r="G4746" s="26" t="b">
        <x:v>1</x:v>
      </x:c>
      <x:c r="H4746" s="16" t="n">
        <x:v>0.175</x:v>
      </x:c>
      <x:c r="I4746" s="16" t="n">
        <x:v>0.18</x:v>
      </x:c>
      <x:c r="J4746" s="16" t="n">
        <x:v>0.21000000000000002</x:v>
      </x:c>
      <x:c r="K4746" s="11" t="n">
        <x:f>CHOOSE('假设'!$B$3,H4746,I4746,J4746)</x:f>
        <x:v>0.18</x:v>
      </x:c>
      <x:c r="L4746" s="11" t="n">
        <x:f>K4746*'管线假设'!E1019*'管线假设'!F1019*'管线假设'!G1019*IF(E4746="USD",'管线假设'!I1019,1)-AM4746</x:f>
        <x:v>0.006723000000000001</x:v>
      </x:c>
      <x:c r="M4746" s="11" t="n">
        <x:f>'管线假设'!H1019</x:f>
        <x:v>0.14</x:v>
      </x:c>
      <x:c r="N4746" s="11" t="n">
        <x:f>IF(G4746,L4746*AN4746/(1+M4746)^F4746,0)</x:f>
        <x:v>0.0013544835809367495</x:v>
      </x:c>
      <x:c r="AJ4746" s="42" t="n">
        <x:v>0</x:v>
      </x:c>
      <x:c r="AK4746" s="42" t="n">
        <x:v>0</x:v>
      </x:c>
      <x:c r="AL4746" s="42" t="n">
        <x:v>0</x:v>
      </x:c>
      <x:c r="AM4746" t="n">
        <x:f>CHOOSE('假设'!$B$3,AJ4746,AK4746,AL4746)</x:f>
        <x:v>0</x:v>
      </x:c>
      <x:c r="AN4746" t="n">
        <x:v>1</x:v>
      </x:c>
    </x:row>
    <x:row r="4747" ht="23" customHeight="1">
      <x:c r="A4747" s="11" t="str">
        <x:v>02162.HK</x:v>
      </x:c>
      <x:c r="B4747" s="11" t="str">
        <x:v>五年</x:v>
      </x:c>
      <x:c r="C4747" s="11" t="str">
        <x:v>CM326_China</x:v>
      </x:c>
      <x:c r="D4747" s="11" t="str">
        <x:v>2044-12-31</x:v>
      </x:c>
      <x:c r="E4747" s="11" t="str">
        <x:v>CNY</x:v>
      </x:c>
      <x:c r="F4747" s="11" t="n">
        <x:v>13.229295003422314</x:v>
      </x:c>
      <x:c r="G4747" s="26" t="b">
        <x:v>1</x:v>
      </x:c>
      <x:c r="H4747" s="16" t="n">
        <x:v>0.1</x:v>
      </x:c>
      <x:c r="I4747" s="16" t="n">
        <x:v>0.10500000000000001</x:v>
      </x:c>
      <x:c r="J4747" s="16" t="n">
        <x:v>0.09</x:v>
      </x:c>
      <x:c r="K4747" s="11" t="n">
        <x:f>CHOOSE('假设'!$B$3,H4747,I4747,J4747)</x:f>
        <x:v>0.10500000000000001</x:v>
      </x:c>
      <x:c r="L4747" s="11" t="n">
        <x:f>K4747*'管线假设'!E1019*'管线假设'!F1019*'管线假设'!G1019*IF(E4747="USD",'管线假设'!I1019,1)-AM4747</x:f>
        <x:v>0.003921750000000001</x:v>
      </x:c>
      <x:c r="M4747" s="11" t="n">
        <x:f>'管线假设'!H1019</x:f>
        <x:v>0.14</x:v>
      </x:c>
      <x:c r="N4747" s="11" t="n">
        <x:f>IF(G4747,L4747*AN4747/(1+M4747)^F4747,0)</x:f>
        <x:v>0.0006928972533102541</x:v>
      </x:c>
      <x:c r="AJ4747" s="42" t="n">
        <x:v>0</x:v>
      </x:c>
      <x:c r="AK4747" s="42" t="n">
        <x:v>0</x:v>
      </x:c>
      <x:c r="AL4747" s="42" t="n">
        <x:v>0</x:v>
      </x:c>
      <x:c r="AM4747" t="n">
        <x:f>CHOOSE('假设'!$B$3,AJ4747,AK4747,AL4747)</x:f>
        <x:v>0</x:v>
      </x:c>
      <x:c r="AN4747" t="n">
        <x:v>1</x:v>
      </x:c>
    </x:row>
    <x:row r="4748" ht="23" customHeight="1">
      <x:c r="A4748" s="11" t="str">
        <x:v>02162.HK</x:v>
      </x:c>
      <x:c r="B4748" s="11" t="str">
        <x:v>五年</x:v>
      </x:c>
      <x:c r="C4748" s="11" t="str">
        <x:v>centralCost</x:v>
      </x:c>
      <x:c r="D4748" s="11" t="str">
        <x:v>2026-12-31</x:v>
      </x:c>
      <x:c r="E4748" s="11" t="str">
        <x:v>CNY</x:v>
      </x:c>
      <x:c r="F4748" s="11" t="n">
        <x:v>-4.772073921971253</x:v>
      </x:c>
      <x:c r="G4748" s="26" t="b">
        <x:v>0</x:v>
      </x:c>
      <x:c r="H4748" s="16" t="n">
        <x:v>0</x:v>
      </x:c>
      <x:c r="I4748" s="16" t="n">
        <x:v>0</x:v>
      </x:c>
      <x:c r="J4748" s="16" t="n">
        <x:v>0</x:v>
      </x:c>
      <x:c r="K4748" s="11" t="n">
        <x:f>CHOOSE('假设'!$B$3,H4748,I4748,J4748)</x:f>
        <x:v>0</x:v>
      </x:c>
      <x:c r="L4748" s="11" t="n">
        <x:f>K4748*'管线假设'!E1023*'管线假设'!F1023*'管线假设'!G1023*IF(E4748="USD",'管线假设'!I1023,1)-AM4748</x:f>
        <x:v>-0.16</x:v>
      </x:c>
      <x:c r="M4748" s="11" t="n">
        <x:f>'管线假设'!H1023</x:f>
        <x:v>0.14</x:v>
      </x:c>
      <x:c r="N4748" s="11" t="n">
        <x:f>IF(G4748,L4748*AN4748/(1+M4748)^F4748,0)</x:f>
        <x:v>0</x:v>
      </x:c>
      <x:c r="AJ4748" s="42" t="n">
        <x:v>0.13</x:v>
      </x:c>
      <x:c r="AK4748" s="42" t="n">
        <x:v>0.16</x:v>
      </x:c>
      <x:c r="AL4748" s="42" t="n">
        <x:v>0.2</x:v>
      </x:c>
      <x:c r="AM4748" t="n">
        <x:f>CHOOSE('假设'!$B$3,AJ4748,AK4748,AL4748)</x:f>
        <x:v>0.16</x:v>
      </x:c>
      <x:c r="AN4748" t="n">
        <x:v>0</x:v>
      </x:c>
    </x:row>
    <x:row r="4749" ht="23" customHeight="1">
      <x:c r="A4749" s="11" t="str">
        <x:v>02162.HK</x:v>
      </x:c>
      <x:c r="B4749" s="11" t="str">
        <x:v>五年</x:v>
      </x:c>
      <x:c r="C4749" s="11" t="str">
        <x:v>centralCost</x:v>
      </x:c>
      <x:c r="D4749" s="11" t="str">
        <x:v>2027-12-31</x:v>
      </x:c>
      <x:c r="E4749" s="11" t="str">
        <x:v>CNY</x:v>
      </x:c>
      <x:c r="F4749" s="11" t="n">
        <x:v>-3.7727583846680357</x:v>
      </x:c>
      <x:c r="G4749" s="26" t="b">
        <x:v>0</x:v>
      </x:c>
      <x:c r="H4749" s="16" t="n">
        <x:v>0</x:v>
      </x:c>
      <x:c r="I4749" s="16" t="n">
        <x:v>0</x:v>
      </x:c>
      <x:c r="J4749" s="16" t="n">
        <x:v>0</x:v>
      </x:c>
      <x:c r="K4749" s="11" t="n">
        <x:f>CHOOSE('假设'!$B$3,H4749,I4749,J4749)</x:f>
        <x:v>0</x:v>
      </x:c>
      <x:c r="L4749" s="11" t="n">
        <x:f>K4749*'管线假设'!E1023*'管线假设'!F1023*'管线假设'!G1023*IF(E4749="USD",'管线假设'!I1023,1)-AM4749</x:f>
        <x:v>-0.1648</x:v>
      </x:c>
      <x:c r="M4749" s="11" t="n">
        <x:f>'管线假设'!H1023</x:f>
        <x:v>0.14</x:v>
      </x:c>
      <x:c r="N4749" s="11" t="n">
        <x:f>IF(G4749,L4749*AN4749/(1+M4749)^F4749,0)</x:f>
        <x:v>0</x:v>
      </x:c>
      <x:c r="AJ4749" s="42" t="n">
        <x:v>0.13390000000000002</x:v>
      </x:c>
      <x:c r="AK4749" s="42" t="n">
        <x:v>0.1648</x:v>
      </x:c>
      <x:c r="AL4749" s="42" t="n">
        <x:v>0.20800000000000002</x:v>
      </x:c>
      <x:c r="AM4749" t="n">
        <x:f>CHOOSE('假设'!$B$3,AJ4749,AK4749,AL4749)</x:f>
        <x:v>0.1648</x:v>
      </x:c>
      <x:c r="AN4749" t="n">
        <x:v>0</x:v>
      </x:c>
    </x:row>
    <x:row r="4750" ht="23" customHeight="1">
      <x:c r="A4750" s="11" t="str">
        <x:v>02162.HK</x:v>
      </x:c>
      <x:c r="B4750" s="11" t="str">
        <x:v>五年</x:v>
      </x:c>
      <x:c r="C4750" s="11" t="str">
        <x:v>centralCost</x:v>
      </x:c>
      <x:c r="D4750" s="11" t="str">
        <x:v>2028-12-31</x:v>
      </x:c>
      <x:c r="E4750" s="11" t="str">
        <x:v>CNY</x:v>
      </x:c>
      <x:c r="F4750" s="11" t="n">
        <x:v>-2.7707049965776864</x:v>
      </x:c>
      <x:c r="G4750" s="26" t="b">
        <x:v>0</x:v>
      </x:c>
      <x:c r="H4750" s="16" t="n">
        <x:v>0</x:v>
      </x:c>
      <x:c r="I4750" s="16" t="n">
        <x:v>0</x:v>
      </x:c>
      <x:c r="J4750" s="16" t="n">
        <x:v>0</x:v>
      </x:c>
      <x:c r="K4750" s="11" t="n">
        <x:f>CHOOSE('假设'!$B$3,H4750,I4750,J4750)</x:f>
        <x:v>0</x:v>
      </x:c>
      <x:c r="L4750" s="11" t="n">
        <x:f>K4750*'管线假设'!E1023*'管线假设'!F1023*'管线假设'!G1023*IF(E4750="USD",'管线假设'!I1023,1)-AM4750</x:f>
        <x:v>-0.169744</x:v>
      </x:c>
      <x:c r="M4750" s="11" t="n">
        <x:f>'管线假设'!H1023</x:f>
        <x:v>0.14</x:v>
      </x:c>
      <x:c r="N4750" s="11" t="n">
        <x:f>IF(G4750,L4750*AN4750/(1+M4750)^F4750,0)</x:f>
        <x:v>0</x:v>
      </x:c>
      <x:c r="AJ4750" s="42" t="n">
        <x:v>0.137917</x:v>
      </x:c>
      <x:c r="AK4750" s="42" t="n">
        <x:v>0.169744</x:v>
      </x:c>
      <x:c r="AL4750" s="42" t="n">
        <x:v>0.21632000000000004</x:v>
      </x:c>
      <x:c r="AM4750" t="n">
        <x:f>CHOOSE('假设'!$B$3,AJ4750,AK4750,AL4750)</x:f>
        <x:v>0.169744</x:v>
      </x:c>
      <x:c r="AN4750" t="n">
        <x:v>0</x:v>
      </x:c>
    </x:row>
    <x:row r="4751" ht="23" customHeight="1">
      <x:c r="A4751" s="11" t="str">
        <x:v>02162.HK</x:v>
      </x:c>
      <x:c r="B4751" s="11" t="str">
        <x:v>五年</x:v>
      </x:c>
      <x:c r="C4751" s="11" t="str">
        <x:v>centralCost</x:v>
      </x:c>
      <x:c r="D4751" s="11" t="str">
        <x:v>2029-12-31</x:v>
      </x:c>
      <x:c r="E4751" s="11" t="str">
        <x:v>CNY</x:v>
      </x:c>
      <x:c r="F4751" s="11" t="n">
        <x:v>-1.7713894592744694</x:v>
      </x:c>
      <x:c r="G4751" s="26" t="b">
        <x:v>0</x:v>
      </x:c>
      <x:c r="H4751" s="16" t="n">
        <x:v>0</x:v>
      </x:c>
      <x:c r="I4751" s="16" t="n">
        <x:v>0</x:v>
      </x:c>
      <x:c r="J4751" s="16" t="n">
        <x:v>0</x:v>
      </x:c>
      <x:c r="K4751" s="11" t="n">
        <x:f>CHOOSE('假设'!$B$3,H4751,I4751,J4751)</x:f>
        <x:v>0</x:v>
      </x:c>
      <x:c r="L4751" s="11" t="n">
        <x:f>K4751*'管线假设'!E1023*'管线假设'!F1023*'管线假设'!G1023*IF(E4751="USD",'管线假设'!I1023,1)-AM4751</x:f>
        <x:v>-0.17483632000000002</x:v>
      </x:c>
      <x:c r="M4751" s="11" t="n">
        <x:f>'管线假设'!H1023</x:f>
        <x:v>0.14</x:v>
      </x:c>
      <x:c r="N4751" s="11" t="n">
        <x:f>IF(G4751,L4751*AN4751/(1+M4751)^F4751,0)</x:f>
        <x:v>0</x:v>
      </x:c>
      <x:c r="AJ4751" s="42" t="n">
        <x:v>0.14205451</x:v>
      </x:c>
      <x:c r="AK4751" s="42" t="n">
        <x:v>0.17483632000000002</x:v>
      </x:c>
      <x:c r="AL4751" s="42" t="n">
        <x:v>0.22497280000000003</x:v>
      </x:c>
      <x:c r="AM4751" t="n">
        <x:f>CHOOSE('假设'!$B$3,AJ4751,AK4751,AL4751)</x:f>
        <x:v>0.17483632000000002</x:v>
      </x:c>
      <x:c r="AN4751" t="n">
        <x:v>0</x:v>
      </x:c>
    </x:row>
    <x:row r="4752" ht="23" customHeight="1">
      <x:c r="A4752" s="11" t="str">
        <x:v>02162.HK</x:v>
      </x:c>
      <x:c r="B4752" s="11" t="str">
        <x:v>五年</x:v>
      </x:c>
      <x:c r="C4752" s="11" t="str">
        <x:v>centralCost</x:v>
      </x:c>
      <x:c r="D4752" s="11" t="str">
        <x:v>2030-12-31</x:v>
      </x:c>
      <x:c r="E4752" s="11" t="str">
        <x:v>CNY</x:v>
      </x:c>
      <x:c r="F4752" s="11" t="n">
        <x:v>-0.7720739219712526</x:v>
      </x:c>
      <x:c r="G4752" s="26" t="b">
        <x:v>0</x:v>
      </x:c>
      <x:c r="H4752" s="16" t="n">
        <x:v>0</x:v>
      </x:c>
      <x:c r="I4752" s="16" t="n">
        <x:v>0</x:v>
      </x:c>
      <x:c r="J4752" s="16" t="n">
        <x:v>0</x:v>
      </x:c>
      <x:c r="K4752" s="11" t="n">
        <x:f>CHOOSE('假设'!$B$3,H4752,I4752,J4752)</x:f>
        <x:v>0</x:v>
      </x:c>
      <x:c r="L4752" s="11" t="n">
        <x:f>K4752*'管线假设'!E1023*'管线假设'!F1023*'管线假设'!G1023*IF(E4752="USD",'管线假设'!I1023,1)-AM4752</x:f>
        <x:v>-0.18008140960000002</x:v>
      </x:c>
      <x:c r="M4752" s="11" t="n">
        <x:f>'管线假设'!H1023</x:f>
        <x:v>0.14</x:v>
      </x:c>
      <x:c r="N4752" s="11" t="n">
        <x:f>IF(G4752,L4752*AN4752/(1+M4752)^F4752,0)</x:f>
        <x:v>0</x:v>
      </x:c>
      <x:c r="AJ4752" s="42" t="n">
        <x:v>0.14631614530000003</x:v>
      </x:c>
      <x:c r="AK4752" s="42" t="n">
        <x:v>0.18008140960000002</x:v>
      </x:c>
      <x:c r="AL4752" s="42" t="n">
        <x:v>0.23397171200000005</x:v>
      </x:c>
      <x:c r="AM4752" t="n">
        <x:f>CHOOSE('假设'!$B$3,AJ4752,AK4752,AL4752)</x:f>
        <x:v>0.18008140960000002</x:v>
      </x:c>
      <x:c r="AN4752" t="n">
        <x:v>0</x:v>
      </x:c>
    </x:row>
    <x:row r="4753" ht="23" customHeight="1">
      <x:c r="A4753" s="11" t="str">
        <x:v>02162.HK</x:v>
      </x:c>
      <x:c r="B4753" s="11" t="str">
        <x:v>五年</x:v>
      </x:c>
      <x:c r="C4753" s="11" t="str">
        <x:v>centralCost</x:v>
      </x:c>
      <x:c r="D4753" s="11" t="str">
        <x:v>2031-12-31</x:v>
      </x:c>
      <x:c r="E4753" s="11" t="str">
        <x:v>CNY</x:v>
      </x:c>
      <x:c r="F4753" s="11" t="n">
        <x:v>0.2272416153319644</x:v>
      </x:c>
      <x:c r="G4753" s="26" t="b">
        <x:v>1</x:v>
      </x:c>
      <x:c r="H4753" s="16" t="n">
        <x:v>0</x:v>
      </x:c>
      <x:c r="I4753" s="16" t="n">
        <x:v>0</x:v>
      </x:c>
      <x:c r="J4753" s="16" t="n">
        <x:v>0</x:v>
      </x:c>
      <x:c r="K4753" s="11" t="n">
        <x:f>CHOOSE('假设'!$B$3,H4753,I4753,J4753)</x:f>
        <x:v>0</x:v>
      </x:c>
      <x:c r="L4753" s="11" t="n">
        <x:f>K4753*'管线假设'!E1023*'管线假设'!F1023*'管线假设'!G1023*IF(E4753="USD",'管线假设'!I1023,1)-AM4753</x:f>
        <x:v>-0.185483851888</x:v>
      </x:c>
      <x:c r="M4753" s="11" t="n">
        <x:f>'管线假设'!H1023</x:f>
        <x:v>0.14</x:v>
      </x:c>
      <x:c r="N4753" s="11" t="n">
        <x:f>IF(G4753,L4753*AN4753/(1+M4753)^F4753,0)</x:f>
        <x:v>-0.041053639518849945</x:v>
      </x:c>
      <x:c r="AJ4753" s="42" t="n">
        <x:v>0.150705629659</x:v>
      </x:c>
      <x:c r="AK4753" s="42" t="n">
        <x:v>0.185483851888</x:v>
      </x:c>
      <x:c r="AL4753" s="42" t="n">
        <x:v>0.24333058048000003</x:v>
      </x:c>
      <x:c r="AM4753" t="n">
        <x:f>CHOOSE('假设'!$B$3,AJ4753,AK4753,AL4753)</x:f>
        <x:v>0.185483851888</x:v>
      </x:c>
      <x:c r="AN4753" t="n">
        <x:v>0.22802197802197802</x:v>
      </x:c>
    </x:row>
    <x:row r="4754" ht="23" customHeight="1">
      <x:c r="A4754" s="11" t="str">
        <x:v>02162.HK</x:v>
      </x:c>
      <x:c r="B4754" s="11" t="str">
        <x:v>五年</x:v>
      </x:c>
      <x:c r="C4754" s="11" t="str">
        <x:v>centralCost</x:v>
      </x:c>
      <x:c r="D4754" s="11" t="str">
        <x:v>2032-12-31</x:v>
      </x:c>
      <x:c r="E4754" s="11" t="str">
        <x:v>CNY</x:v>
      </x:c>
      <x:c r="F4754" s="11" t="n">
        <x:v>1.2292950034223136</x:v>
      </x:c>
      <x:c r="G4754" s="26" t="b">
        <x:v>1</x:v>
      </x:c>
      <x:c r="H4754" s="16" t="n">
        <x:v>0</x:v>
      </x:c>
      <x:c r="I4754" s="16" t="n">
        <x:v>0</x:v>
      </x:c>
      <x:c r="J4754" s="16" t="n">
        <x:v>0</x:v>
      </x:c>
      <x:c r="K4754" s="11" t="n">
        <x:f>CHOOSE('假设'!$B$3,H4754,I4754,J4754)</x:f>
        <x:v>0</x:v>
      </x:c>
      <x:c r="L4754" s="11" t="n">
        <x:f>K4754*'管线假设'!E1023*'管线假设'!F1023*'管线假设'!G1023*IF(E4754="USD",'管线假设'!I1023,1)-AM4754</x:f>
        <x:v>-0.19104836744464002</x:v>
      </x:c>
      <x:c r="M4754" s="11" t="n">
        <x:f>'管线假设'!H1023</x:f>
        <x:v>0.14</x:v>
      </x:c>
      <x:c r="N4754" s="11" t="n">
        <x:f>IF(G4754,L4754*AN4754/(1+M4754)^F4754,0)</x:f>
        <x:v>-0.16262618774694088</x:v>
      </x:c>
      <x:c r="AJ4754" s="42" t="n">
        <x:v>0.15522679854877003</x:v>
      </x:c>
      <x:c r="AK4754" s="42" t="n">
        <x:v>0.19104836744464002</x:v>
      </x:c>
      <x:c r="AL4754" s="42" t="n">
        <x:v>0.25306380369920006</x:v>
      </x:c>
      <x:c r="AM4754" t="n">
        <x:f>CHOOSE('假设'!$B$3,AJ4754,AK4754,AL4754)</x:f>
        <x:v>0.19104836744464002</x:v>
      </x:c>
      <x:c r="AN4754" t="n">
        <x:v>1</x:v>
      </x:c>
    </x:row>
    <x:row r="4755" ht="23" customHeight="1">
      <x:c r="A4755" s="11" t="str">
        <x:v>02162.HK</x:v>
      </x:c>
      <x:c r="B4755" s="11" t="str">
        <x:v>五年</x:v>
      </x:c>
      <x:c r="C4755" s="11" t="str">
        <x:v>centralCost</x:v>
      </x:c>
      <x:c r="D4755" s="11" t="str">
        <x:v>2033-12-31</x:v>
      </x:c>
      <x:c r="E4755" s="11" t="str">
        <x:v>CNY</x:v>
      </x:c>
      <x:c r="F4755" s="11" t="n">
        <x:v>2.2286105407255303</x:v>
      </x:c>
      <x:c r="G4755" s="26" t="b">
        <x:v>1</x:v>
      </x:c>
      <x:c r="H4755" s="16" t="n">
        <x:v>0</x:v>
      </x:c>
      <x:c r="I4755" s="16" t="n">
        <x:v>0</x:v>
      </x:c>
      <x:c r="J4755" s="16" t="n">
        <x:v>0</x:v>
      </x:c>
      <x:c r="K4755" s="11" t="n">
        <x:f>CHOOSE('假设'!$B$3,H4755,I4755,J4755)</x:f>
        <x:v>0</x:v>
      </x:c>
      <x:c r="L4755" s="11" t="n">
        <x:f>K4755*'管线假设'!E1023*'管线假设'!F1023*'管线假设'!G1023*IF(E4755="USD",'管线假设'!I1023,1)-AM4755</x:f>
        <x:v>-0.19677981846797923</x:v>
      </x:c>
      <x:c r="M4755" s="11" t="n">
        <x:f>'管线假设'!H1023</x:f>
        <x:v>0.14</x:v>
      </x:c>
      <x:c r="N4755" s="11" t="n">
        <x:f>IF(G4755,L4755*AN4755/(1+M4755)^F4755,0)</x:f>
        <x:v>-0.1469473654052448</x:v>
      </x:c>
      <x:c r="AJ4755" s="42" t="n">
        <x:v>0.15988360250523312</x:v>
      </x:c>
      <x:c r="AK4755" s="42" t="n">
        <x:v>0.19677981846797923</x:v>
      </x:c>
      <x:c r="AL4755" s="42" t="n">
        <x:v>0.26318635584716804</x:v>
      </x:c>
      <x:c r="AM4755" t="n">
        <x:f>CHOOSE('假设'!$B$3,AJ4755,AK4755,AL4755)</x:f>
        <x:v>0.19677981846797923</x:v>
      </x:c>
      <x:c r="AN4755" t="n">
        <x:v>1</x:v>
      </x:c>
    </x:row>
    <x:row r="4756" ht="23" customHeight="1">
      <x:c r="A4756" s="11" t="str">
        <x:v>02162.HK</x:v>
      </x:c>
      <x:c r="B4756" s="11" t="str">
        <x:v>五年</x:v>
      </x:c>
      <x:c r="C4756" s="11" t="str">
        <x:v>centralCost</x:v>
      </x:c>
      <x:c r="D4756" s="11" t="str">
        <x:v>2034-12-31</x:v>
      </x:c>
      <x:c r="E4756" s="11" t="str">
        <x:v>CNY</x:v>
      </x:c>
      <x:c r="F4756" s="11" t="n">
        <x:v>3.2279260780287475</x:v>
      </x:c>
      <x:c r="G4756" s="26" t="b">
        <x:v>1</x:v>
      </x:c>
      <x:c r="H4756" s="16" t="n">
        <x:v>0</x:v>
      </x:c>
      <x:c r="I4756" s="16" t="n">
        <x:v>0</x:v>
      </x:c>
      <x:c r="J4756" s="16" t="n">
        <x:v>0</x:v>
      </x:c>
      <x:c r="K4756" s="11" t="n">
        <x:f>CHOOSE('假设'!$B$3,H4756,I4756,J4756)</x:f>
        <x:v>0</x:v>
      </x:c>
      <x:c r="L4756" s="11" t="n">
        <x:f>K4756*'管线假设'!E1023*'管线假设'!F1023*'管线假设'!G1023*IF(E4756="USD",'管线假设'!I1023,1)-AM4756</x:f>
        <x:v>-0.20268321302201864</x:v>
      </x:c>
      <x:c r="M4756" s="11" t="n">
        <x:f>'管线假设'!H1023</x:f>
        <x:v>0.14</x:v>
      </x:c>
      <x:c r="N4756" s="11" t="n">
        <x:f>IF(G4756,L4756*AN4756/(1+M4756)^F4756,0)</x:f>
        <x:v>-0.13278014137024327</x:v>
      </x:c>
      <x:c r="AJ4756" s="42" t="n">
        <x:v>0.16468011058039014</x:v>
      </x:c>
      <x:c r="AK4756" s="42" t="n">
        <x:v>0.20268321302201864</x:v>
      </x:c>
      <x:c r="AL4756" s="42" t="n">
        <x:v>0.2737138100810548</x:v>
      </x:c>
      <x:c r="AM4756" t="n">
        <x:f>CHOOSE('假设'!$B$3,AJ4756,AK4756,AL4756)</x:f>
        <x:v>0.20268321302201864</x:v>
      </x:c>
      <x:c r="AN4756" t="n">
        <x:v>1</x:v>
      </x:c>
    </x:row>
    <x:row r="4757" ht="23" customHeight="1">
      <x:c r="A4757" s="11" t="str">
        <x:v>02162.HK</x:v>
      </x:c>
      <x:c r="B4757" s="11" t="str">
        <x:v>五年</x:v>
      </x:c>
      <x:c r="C4757" s="11" t="str">
        <x:v>centralCost</x:v>
      </x:c>
      <x:c r="D4757" s="11" t="str">
        <x:v>2035-12-31</x:v>
      </x:c>
      <x:c r="E4757" s="11" t="str">
        <x:v>CNY</x:v>
      </x:c>
      <x:c r="F4757" s="11" t="n">
        <x:v>4.227241615331964</x:v>
      </x:c>
      <x:c r="G4757" s="26" t="b">
        <x:v>1</x:v>
      </x:c>
      <x:c r="H4757" s="16" t="n">
        <x:v>0</x:v>
      </x:c>
      <x:c r="I4757" s="16" t="n">
        <x:v>0</x:v>
      </x:c>
      <x:c r="J4757" s="16" t="n">
        <x:v>0</x:v>
      </x:c>
      <x:c r="K4757" s="11" t="n">
        <x:f>CHOOSE('假设'!$B$3,H4757,I4757,J4757)</x:f>
        <x:v>0</x:v>
      </x:c>
      <x:c r="L4757" s="11" t="n">
        <x:f>K4757*'管线假设'!E1023*'管线假设'!F1023*'管线假设'!G1023*IF(E4757="USD",'管线假设'!I1023,1)-AM4757</x:f>
        <x:v>-0.2087637094126792</x:v>
      </x:c>
      <x:c r="M4757" s="11" t="n">
        <x:f>'管线假设'!H1023</x:f>
        <x:v>0.14</x:v>
      </x:c>
      <x:c r="N4757" s="11" t="n">
        <x:f>IF(G4757,L4757*AN4757/(1+M4757)^F4757,0)</x:f>
        <x:v>-0.1199787821556447</x:v>
      </x:c>
      <x:c r="AJ4757" s="42" t="n">
        <x:v>0.16962051389780183</x:v>
      </x:c>
      <x:c r="AK4757" s="42" t="n">
        <x:v>0.2087637094126792</x:v>
      </x:c>
      <x:c r="AL4757" s="42" t="n">
        <x:v>0.284662362484297</x:v>
      </x:c>
      <x:c r="AM4757" t="n">
        <x:f>CHOOSE('假设'!$B$3,AJ4757,AK4757,AL4757)</x:f>
        <x:v>0.2087637094126792</x:v>
      </x:c>
      <x:c r="AN4757" t="n">
        <x:v>1</x:v>
      </x:c>
    </x:row>
    <x:row r="4758" ht="23" customHeight="1">
      <x:c r="A4758" s="11" t="str">
        <x:v>02162.HK</x:v>
      </x:c>
      <x:c r="B4758" s="11" t="str">
        <x:v>五年</x:v>
      </x:c>
      <x:c r="C4758" s="11" t="str">
        <x:v>centralCost</x:v>
      </x:c>
      <x:c r="D4758" s="11" t="str">
        <x:v>2036-12-31</x:v>
      </x:c>
      <x:c r="E4758" s="11" t="str">
        <x:v>CNY</x:v>
      </x:c>
      <x:c r="F4758" s="11" t="n">
        <x:v>5.229295003422314</x:v>
      </x:c>
      <x:c r="G4758" s="26" t="b">
        <x:v>1</x:v>
      </x:c>
      <x:c r="H4758" s="16" t="n">
        <x:v>0</x:v>
      </x:c>
      <x:c r="I4758" s="16" t="n">
        <x:v>0</x:v>
      </x:c>
      <x:c r="J4758" s="16" t="n">
        <x:v>0</x:v>
      </x:c>
      <x:c r="K4758" s="11" t="n">
        <x:f>CHOOSE('假设'!$B$3,H4758,I4758,J4758)</x:f>
        <x:v>0</x:v>
      </x:c>
      <x:c r="L4758" s="11" t="n">
        <x:f>K4758*'管线假设'!E1023*'管线假设'!F1023*'管线假设'!G1023*IF(E4758="USD",'管线假设'!I1023,1)-AM4758</x:f>
        <x:v>-0.21502662069505957</x:v>
      </x:c>
      <x:c r="M4758" s="11" t="n">
        <x:f>'管线假设'!H1023</x:f>
        <x:v>0.14</x:v>
      </x:c>
      <x:c r="N4758" s="11" t="n">
        <x:f>IF(G4758,L4758*AN4758/(1+M4758)^F4758,0)</x:f>
        <x:v>-0.10837272031679891</x:v>
      </x:c>
      <x:c r="AJ4758" s="42" t="n">
        <x:v>0.1747091293147359</x:v>
      </x:c>
      <x:c r="AK4758" s="42" t="n">
        <x:v>0.21502662069505957</x:v>
      </x:c>
      <x:c r="AL4758" s="42" t="n">
        <x:v>0.2960488569836689</x:v>
      </x:c>
      <x:c r="AM4758" t="n">
        <x:f>CHOOSE('假设'!$B$3,AJ4758,AK4758,AL4758)</x:f>
        <x:v>0.21502662069505957</x:v>
      </x:c>
      <x:c r="AN4758" t="n">
        <x:v>1</x:v>
      </x:c>
    </x:row>
    <x:row r="4759" ht="23" customHeight="1">
      <x:c r="A4759" s="11" t="str">
        <x:v>02162.HK</x:v>
      </x:c>
      <x:c r="B4759" s="11" t="str">
        <x:v>五年</x:v>
      </x:c>
      <x:c r="C4759" s="11" t="str">
        <x:v>centralCost</x:v>
      </x:c>
      <x:c r="D4759" s="11" t="str">
        <x:v>2037-12-31</x:v>
      </x:c>
      <x:c r="E4759" s="11" t="str">
        <x:v>CNY</x:v>
      </x:c>
      <x:c r="F4759" s="11" t="n">
        <x:v>6.228610540725531</x:v>
      </x:c>
      <x:c r="G4759" s="26" t="b">
        <x:v>1</x:v>
      </x:c>
      <x:c r="H4759" s="16" t="n">
        <x:v>0</x:v>
      </x:c>
      <x:c r="I4759" s="16" t="n">
        <x:v>0</x:v>
      </x:c>
      <x:c r="J4759" s="16" t="n">
        <x:v>0</x:v>
      </x:c>
      <x:c r="K4759" s="11" t="n">
        <x:f>CHOOSE('假设'!$B$3,H4759,I4759,J4759)</x:f>
        <x:v>0</x:v>
      </x:c>
      <x:c r="L4759" s="11" t="n">
        <x:f>K4759*'管线假设'!E1023*'管线假设'!F1023*'管线假设'!G1023*IF(E4759="USD",'管线假设'!I1023,1)-AM4759</x:f>
        <x:v>-0.22147741931591136</x:v>
      </x:c>
      <x:c r="M4759" s="11" t="n">
        <x:f>'管线假设'!H1023</x:f>
        <x:v>0.14</x:v>
      </x:c>
      <x:c r="N4759" s="11" t="n">
        <x:f>IF(G4759,L4759*AN4759/(1+M4759)^F4759,0)</x:f>
        <x:v>-0.0979244853057352</x:v>
      </x:c>
      <x:c r="AJ4759" s="42" t="n">
        <x:v>0.179950403194178</x:v>
      </x:c>
      <x:c r="AK4759" s="42" t="n">
        <x:v>0.22147741931591136</x:v>
      </x:c>
      <x:c r="AL4759" s="42" t="n">
        <x:v>0.30789081126301565</x:v>
      </x:c>
      <x:c r="AM4759" t="n">
        <x:f>CHOOSE('假设'!$B$3,AJ4759,AK4759,AL4759)</x:f>
        <x:v>0.22147741931591136</x:v>
      </x:c>
      <x:c r="AN4759" t="n">
        <x:v>1</x:v>
      </x:c>
    </x:row>
    <x:row r="4760" ht="23" customHeight="1">
      <x:c r="A4760" s="11" t="str">
        <x:v>02162.HK</x:v>
      </x:c>
      <x:c r="B4760" s="11" t="str">
        <x:v>五年</x:v>
      </x:c>
      <x:c r="C4760" s="11" t="str">
        <x:v>centralCost</x:v>
      </x:c>
      <x:c r="D4760" s="11" t="str">
        <x:v>2038-12-31</x:v>
      </x:c>
      <x:c r="E4760" s="11" t="str">
        <x:v>CNY</x:v>
      </x:c>
      <x:c r="F4760" s="11" t="n">
        <x:v>7.227926078028747</x:v>
      </x:c>
      <x:c r="G4760" s="26" t="b">
        <x:v>1</x:v>
      </x:c>
      <x:c r="H4760" s="16" t="n">
        <x:v>0</x:v>
      </x:c>
      <x:c r="I4760" s="16" t="n">
        <x:v>0</x:v>
      </x:c>
      <x:c r="J4760" s="16" t="n">
        <x:v>0</x:v>
      </x:c>
      <x:c r="K4760" s="11" t="n">
        <x:f>CHOOSE('假设'!$B$3,H4760,I4760,J4760)</x:f>
        <x:v>0</x:v>
      </x:c>
      <x:c r="L4760" s="11" t="n">
        <x:f>K4760*'管线假设'!E1023*'管线假设'!F1023*'管线假设'!G1023*IF(E4760="USD",'管线假设'!I1023,1)-AM4760</x:f>
        <x:v>-0.2281217418953887</x:v>
      </x:c>
      <x:c r="M4760" s="11" t="n">
        <x:f>'管线假设'!H1023</x:f>
        <x:v>0.14</x:v>
      </x:c>
      <x:c r="N4760" s="11" t="n">
        <x:f>IF(G4760,L4760*AN4760/(1+M4760)^F4760,0)</x:f>
        <x:v>-0.08848356666107163</x:v>
      </x:c>
      <x:c r="AJ4760" s="42" t="n">
        <x:v>0.1853489152900033</x:v>
      </x:c>
      <x:c r="AK4760" s="42" t="n">
        <x:v>0.2281217418953887</x:v>
      </x:c>
      <x:c r="AL4760" s="42" t="n">
        <x:v>0.32020644371353635</x:v>
      </x:c>
      <x:c r="AM4760" t="n">
        <x:f>CHOOSE('假设'!$B$3,AJ4760,AK4760,AL4760)</x:f>
        <x:v>0.2281217418953887</x:v>
      </x:c>
      <x:c r="AN4760" t="n">
        <x:v>1</x:v>
      </x:c>
    </x:row>
    <x:row r="4761" ht="23" customHeight="1">
      <x:c r="A4761" s="11" t="str">
        <x:v>02162.HK</x:v>
      </x:c>
      <x:c r="B4761" s="11" t="str">
        <x:v>五年</x:v>
      </x:c>
      <x:c r="C4761" s="11" t="str">
        <x:v>centralCost</x:v>
      </x:c>
      <x:c r="D4761" s="11" t="str">
        <x:v>2039-12-31</x:v>
      </x:c>
      <x:c r="E4761" s="11" t="str">
        <x:v>CNY</x:v>
      </x:c>
      <x:c r="F4761" s="11" t="n">
        <x:v>8.227241615331964</x:v>
      </x:c>
      <x:c r="G4761" s="26" t="b">
        <x:v>1</x:v>
      </x:c>
      <x:c r="H4761" s="16" t="n">
        <x:v>0</x:v>
      </x:c>
      <x:c r="I4761" s="16" t="n">
        <x:v>0</x:v>
      </x:c>
      <x:c r="J4761" s="16" t="n">
        <x:v>0</x:v>
      </x:c>
      <x:c r="K4761" s="11" t="n">
        <x:f>CHOOSE('假设'!$B$3,H4761,I4761,J4761)</x:f>
        <x:v>0</x:v>
      </x:c>
      <x:c r="L4761" s="11" t="n">
        <x:f>K4761*'管线假设'!E1023*'管线假设'!F1023*'管线假设'!G1023*IF(E4761="USD",'管线假设'!I1023,1)-AM4761</x:f>
        <x:v>-0.23496539415225037</x:v>
      </x:c>
      <x:c r="M4761" s="11" t="n">
        <x:f>'管线假设'!H1023</x:f>
        <x:v>0.14</x:v>
      </x:c>
      <x:c r="N4761" s="11" t="n">
        <x:f>IF(G4761,L4761*AN4761/(1+M4761)^F4761,0)</x:f>
        <x:v>-0.07995284881630889</x:v>
      </x:c>
      <x:c r="AJ4761" s="42" t="n">
        <x:v>0.19090938274870342</x:v>
      </x:c>
      <x:c r="AK4761" s="42" t="n">
        <x:v>0.23496539415225037</x:v>
      </x:c>
      <x:c r="AL4761" s="42" t="n">
        <x:v>0.3330147014620778</x:v>
      </x:c>
      <x:c r="AM4761" t="n">
        <x:f>CHOOSE('假设'!$B$3,AJ4761,AK4761,AL4761)</x:f>
        <x:v>0.23496539415225037</x:v>
      </x:c>
      <x:c r="AN4761" t="n">
        <x:v>1</x:v>
      </x:c>
    </x:row>
    <x:row r="4762" ht="23" customHeight="1">
      <x:c r="A4762" s="11" t="str">
        <x:v>02162.HK</x:v>
      </x:c>
      <x:c r="B4762" s="11" t="str">
        <x:v>五年</x:v>
      </x:c>
      <x:c r="C4762" s="11" t="str">
        <x:v>centralCost</x:v>
      </x:c>
      <x:c r="D4762" s="11" t="str">
        <x:v>2040-12-31</x:v>
      </x:c>
      <x:c r="E4762" s="11" t="str">
        <x:v>CNY</x:v>
      </x:c>
      <x:c r="F4762" s="11" t="n">
        <x:v>9.229295003422314</x:v>
      </x:c>
      <x:c r="G4762" s="26" t="b">
        <x:v>1</x:v>
      </x:c>
      <x:c r="H4762" s="16" t="n">
        <x:v>0</x:v>
      </x:c>
      <x:c r="I4762" s="16" t="n">
        <x:v>0</x:v>
      </x:c>
      <x:c r="J4762" s="16" t="n">
        <x:v>0</x:v>
      </x:c>
      <x:c r="K4762" s="11" t="n">
        <x:f>CHOOSE('假设'!$B$3,H4762,I4762,J4762)</x:f>
        <x:v>0</x:v>
      </x:c>
      <x:c r="L4762" s="11" t="n">
        <x:f>K4762*'管线假设'!E1023*'管线假设'!F1023*'管线假设'!G1023*IF(E4762="USD",'管线假设'!I1023,1)-AM4762</x:f>
        <x:v>-0.24201435597681792</x:v>
      </x:c>
      <x:c r="M4762" s="11" t="n">
        <x:f>'管线假设'!H1023</x:f>
        <x:v>0.14</x:v>
      </x:c>
      <x:c r="N4762" s="11" t="n">
        <x:f>IF(G4762,L4762*AN4762/(1+M4762)^F4762,0)</x:f>
        <x:v>-0.07221866706448726</x:v>
      </x:c>
      <x:c r="AJ4762" s="42" t="n">
        <x:v>0.19663666423116455</x:v>
      </x:c>
      <x:c r="AK4762" s="42" t="n">
        <x:v>0.24201435597681792</x:v>
      </x:c>
      <x:c r="AL4762" s="42" t="n">
        <x:v>0.3463352895205609</x:v>
      </x:c>
      <x:c r="AM4762" t="n">
        <x:f>CHOOSE('假设'!$B$3,AJ4762,AK4762,AL4762)</x:f>
        <x:v>0.24201435597681792</x:v>
      </x:c>
      <x:c r="AN4762" t="n">
        <x:v>1</x:v>
      </x:c>
    </x:row>
    <x:row r="4763" ht="23" customHeight="1">
      <x:c r="A4763" s="11" t="str">
        <x:v>02162.HK</x:v>
      </x:c>
      <x:c r="B4763" s="11" t="str">
        <x:v>五年</x:v>
      </x:c>
      <x:c r="C4763" s="11" t="str">
        <x:v>centralCost</x:v>
      </x:c>
      <x:c r="D4763" s="11" t="str">
        <x:v>2041-12-31</x:v>
      </x:c>
      <x:c r="E4763" s="11" t="str">
        <x:v>CNY</x:v>
      </x:c>
      <x:c r="F4763" s="11" t="n">
        <x:v>10.22861054072553</x:v>
      </x:c>
      <x:c r="G4763" s="26" t="b">
        <x:v>1</x:v>
      </x:c>
      <x:c r="H4763" s="16" t="n">
        <x:v>0</x:v>
      </x:c>
      <x:c r="I4763" s="16" t="n">
        <x:v>0</x:v>
      </x:c>
      <x:c r="J4763" s="16" t="n">
        <x:v>0</x:v>
      </x:c>
      <x:c r="K4763" s="11" t="n">
        <x:f>CHOOSE('假设'!$B$3,H4763,I4763,J4763)</x:f>
        <x:v>0</x:v>
      </x:c>
      <x:c r="L4763" s="11" t="n">
        <x:f>K4763*'管线假设'!E1023*'管线假设'!F1023*'管线假设'!G1023*IF(E4763="USD",'管线假设'!I1023,1)-AM4763</x:f>
        <x:v>-0.24927478665612243</x:v>
      </x:c>
      <x:c r="M4763" s="11" t="n">
        <x:f>'管线假设'!H1023</x:f>
        <x:v>0.14</x:v>
      </x:c>
      <x:c r="N4763" s="11" t="n">
        <x:f>IF(G4763,L4763*AN4763/(1+M4763)^F4763,0)</x:f>
        <x:v>-0.06525605134837549</x:v>
      </x:c>
      <x:c r="AJ4763" s="42" t="n">
        <x:v>0.20253576415809946</x:v>
      </x:c>
      <x:c r="AK4763" s="42" t="n">
        <x:v>0.24927478665612243</x:v>
      </x:c>
      <x:c r="AL4763" s="42" t="n">
        <x:v>0.36018870110138335</x:v>
      </x:c>
      <x:c r="AM4763" t="n">
        <x:f>CHOOSE('假设'!$B$3,AJ4763,AK4763,AL4763)</x:f>
        <x:v>0.24927478665612243</x:v>
      </x:c>
      <x:c r="AN4763" t="n">
        <x:v>1</x:v>
      </x:c>
    </x:row>
    <x:row r="4764" ht="23" customHeight="1">
      <x:c r="A4764" s="11" t="str">
        <x:v>02162.HK</x:v>
      </x:c>
      <x:c r="B4764" s="11" t="str">
        <x:v>五年</x:v>
      </x:c>
      <x:c r="C4764" s="11" t="str">
        <x:v>centralCost</x:v>
      </x:c>
      <x:c r="D4764" s="11" t="str">
        <x:v>2042-12-31</x:v>
      </x:c>
      <x:c r="E4764" s="11" t="str">
        <x:v>CNY</x:v>
      </x:c>
      <x:c r="F4764" s="11" t="n">
        <x:v>11.227926078028748</x:v>
      </x:c>
      <x:c r="G4764" s="26" t="b">
        <x:v>1</x:v>
      </x:c>
      <x:c r="H4764" s="16" t="n">
        <x:v>0</x:v>
      </x:c>
      <x:c r="I4764" s="16" t="n">
        <x:v>0</x:v>
      </x:c>
      <x:c r="J4764" s="16" t="n">
        <x:v>0</x:v>
      </x:c>
      <x:c r="K4764" s="11" t="n">
        <x:f>CHOOSE('假设'!$B$3,H4764,I4764,J4764)</x:f>
        <x:v>0</x:v>
      </x:c>
      <x:c r="L4764" s="11" t="n">
        <x:f>K4764*'管线假设'!E1023*'管线假设'!F1023*'管线假设'!G1023*IF(E4764="USD",'管线假设'!I1023,1)-AM4764</x:f>
        <x:v>-0.2567530302558061</x:v>
      </x:c>
      <x:c r="M4764" s="11" t="n">
        <x:f>'管线假设'!H1023</x:f>
        <x:v>0.14</x:v>
      </x:c>
      <x:c r="N4764" s="11" t="n">
        <x:f>IF(G4764,L4764*AN4764/(1+M4764)^F4764,0)</x:f>
        <x:v>-0.058964702765551526</x:v>
      </x:c>
      <x:c r="AJ4764" s="42" t="n">
        <x:v>0.20861183708284248</x:v>
      </x:c>
      <x:c r="AK4764" s="42" t="n">
        <x:v>0.2567530302558061</x:v>
      </x:c>
      <x:c r="AL4764" s="42" t="n">
        <x:v>0.37459624914543865</x:v>
      </x:c>
      <x:c r="AM4764" t="n">
        <x:f>CHOOSE('假设'!$B$3,AJ4764,AK4764,AL4764)</x:f>
        <x:v>0.2567530302558061</x:v>
      </x:c>
      <x:c r="AN4764" t="n">
        <x:v>1</x:v>
      </x:c>
    </x:row>
    <x:row r="4765" ht="23" customHeight="1">
      <x:c r="A4765" s="11" t="str">
        <x:v>02162.HK</x:v>
      </x:c>
      <x:c r="B4765" s="11" t="str">
        <x:v>五年</x:v>
      </x:c>
      <x:c r="C4765" s="11" t="str">
        <x:v>centralCost</x:v>
      </x:c>
      <x:c r="D4765" s="11" t="str">
        <x:v>2043-12-31</x:v>
      </x:c>
      <x:c r="E4765" s="11" t="str">
        <x:v>CNY</x:v>
      </x:c>
      <x:c r="F4765" s="11" t="n">
        <x:v>12.227241615331964</x:v>
      </x:c>
      <x:c r="G4765" s="26" t="b">
        <x:v>1</x:v>
      </x:c>
      <x:c r="H4765" s="16" t="n">
        <x:v>0</x:v>
      </x:c>
      <x:c r="I4765" s="16" t="n">
        <x:v>0</x:v>
      </x:c>
      <x:c r="J4765" s="16" t="n">
        <x:v>0</x:v>
      </x:c>
      <x:c r="K4765" s="11" t="n">
        <x:f>CHOOSE('假设'!$B$3,H4765,I4765,J4765)</x:f>
        <x:v>0</x:v>
      </x:c>
      <x:c r="L4765" s="11" t="n">
        <x:f>K4765*'管线假设'!E1023*'管线假设'!F1023*'管线假设'!G1023*IF(E4765="USD",'管线假设'!I1023,1)-AM4765</x:f>
        <x:v>-0.2644556211634803</x:v>
      </x:c>
      <x:c r="M4765" s="11" t="n">
        <x:f>'管线假设'!H1023</x:f>
        <x:v>0.14</x:v>
      </x:c>
      <x:c r="N4765" s="11" t="n">
        <x:f>IF(G4765,L4765*AN4765/(1+M4765)^F4765,0)</x:f>
        <x:v>-0.053279904321339173</x:v>
      </x:c>
      <x:c r="AJ4765" s="42" t="n">
        <x:v>0.21487019219532774</x:v>
      </x:c>
      <x:c r="AK4765" s="42" t="n">
        <x:v>0.2644556211634803</x:v>
      </x:c>
      <x:c r="AL4765" s="42" t="n">
        <x:v>0.38958009911125624</x:v>
      </x:c>
      <x:c r="AM4765" t="n">
        <x:f>CHOOSE('假设'!$B$3,AJ4765,AK4765,AL4765)</x:f>
        <x:v>0.2644556211634803</x:v>
      </x:c>
      <x:c r="AN4765" t="n">
        <x:v>1</x:v>
      </x:c>
    </x:row>
    <x:row r="4766" ht="23" customHeight="1">
      <x:c r="A4766" s="11" t="str">
        <x:v>02162.HK</x:v>
      </x:c>
      <x:c r="B4766" s="11" t="str">
        <x:v>五年</x:v>
      </x:c>
      <x:c r="C4766" s="11" t="str">
        <x:v>centralCost</x:v>
      </x:c>
      <x:c r="D4766" s="11" t="str">
        <x:v>2044-12-31</x:v>
      </x:c>
      <x:c r="E4766" s="11" t="str">
        <x:v>CNY</x:v>
      </x:c>
      <x:c r="F4766" s="11" t="n">
        <x:v>13.229295003422314</x:v>
      </x:c>
      <x:c r="G4766" s="26" t="b">
        <x:v>1</x:v>
      </x:c>
      <x:c r="H4766" s="16" t="n">
        <x:v>0</x:v>
      </x:c>
      <x:c r="I4766" s="16" t="n">
        <x:v>0</x:v>
      </x:c>
      <x:c r="J4766" s="16" t="n">
        <x:v>0</x:v>
      </x:c>
      <x:c r="K4766" s="11" t="n">
        <x:f>CHOOSE('假设'!$B$3,H4766,I4766,J4766)</x:f>
        <x:v>0</x:v>
      </x:c>
      <x:c r="L4766" s="11" t="n">
        <x:f>K4766*'管线假设'!E1023*'管线假设'!F1023*'管线假设'!G1023*IF(E4766="USD",'管线假设'!I1023,1)-AM4766</x:f>
        <x:v>-0.2723892897983847</x:v>
      </x:c>
      <x:c r="M4766" s="11" t="n">
        <x:f>'管线假设'!H1023</x:f>
        <x:v>0.14</x:v>
      </x:c>
      <x:c r="N4766" s="11" t="n">
        <x:f>IF(G4766,L4766*AN4766/(1+M4766)^F4766,0)</x:f>
        <x:v>-0.04812591081339493</x:v>
      </x:c>
      <x:c r="AJ4766" s="42" t="n">
        <x:v>0.2213162979611876</x:v>
      </x:c>
      <x:c r="AK4766" s="42" t="n">
        <x:v>0.2723892897983847</x:v>
      </x:c>
      <x:c r="AL4766" s="42" t="n">
        <x:v>0.4051633030757065</x:v>
      </x:c>
      <x:c r="AM4766" t="n">
        <x:f>CHOOSE('假设'!$B$3,AJ4766,AK4766,AL4766)</x:f>
        <x:v>0.2723892897983847</x:v>
      </x:c>
      <x:c r="AN4766" t="n">
        <x:v>1</x:v>
      </x:c>
    </x:row>
    <x:row r="4767" ht="23" customHeight="1">
      <x:c r="A4767" s="11" t="str">
        <x:v>688062.SH</x:v>
      </x:c>
      <x:c r="B4767" s="11" t="str">
        <x:v>2026年底</x:v>
      </x:c>
      <x:c r="C4767" s="11" t="str">
        <x:v>biosim</x:v>
      </x:c>
      <x:c r="D4767" s="11" t="str">
        <x:v>2027-12-31</x:v>
      </x:c>
      <x:c r="E4767" s="11" t="str">
        <x:v>CNY</x:v>
      </x:c>
      <x:c r="F4767" s="11" t="n">
        <x:v>0.999315537303217</x:v>
      </x:c>
      <x:c r="G4767" s="26" t="b">
        <x:v>1</x:v>
      </x:c>
      <x:c r="H4767" s="16" t="n">
        <x:v>0.13999999999999999</x:v>
      </x:c>
      <x:c r="I4767" s="16" t="n">
        <x:v>0.30000000000000004</x:v>
      </x:c>
      <x:c r="J4767" s="16" t="n">
        <x:v>0.575</x:v>
      </x:c>
      <x:c r="K4767" s="11" t="n">
        <x:f>CHOOSE('假设'!$B$3,H4767,I4767,J4767)</x:f>
        <x:v>0.30000000000000004</x:v>
      </x:c>
      <x:c r="L4767" s="11" t="n">
        <x:f>K4767*'管线假设'!E1027*'管线假设'!F1027*'管线假设'!G1027*IF(E4767="USD",'管线假设'!I1027,1)-AM4767</x:f>
        <x:v>0.06417000000000002</x:v>
      </x:c>
      <x:c r="M4767" s="11" t="n">
        <x:f>'管线假设'!H1027</x:f>
        <x:v>0.14</x:v>
      </x:c>
      <x:c r="N4767" s="11" t="n">
        <x:f>IF(G4767,L4767*AN4767/(1+M4767)^F4767,0)</x:f>
        <x:v>0.05629452217337621</x:v>
      </x:c>
      <x:c r="AJ4767" t="n">
        <x:v>0</x:v>
      </x:c>
      <x:c r="AK4767" t="n">
        <x:v>0</x:v>
      </x:c>
      <x:c r="AL4767" t="n">
        <x:v>0</x:v>
      </x:c>
      <x:c r="AM4767" t="n">
        <x:f>CHOOSE('假设'!$B$3,AJ4767,AK4767,AL4767)</x:f>
        <x:v>0</x:v>
      </x:c>
      <x:c r="AN4767" t="n">
        <x:v>1</x:v>
      </x:c>
    </x:row>
    <x:row r="4768" ht="23" customHeight="1">
      <x:c r="A4768" s="11" t="str">
        <x:v>688062.SH</x:v>
      </x:c>
      <x:c r="B4768" s="11" t="str">
        <x:v>2026年底</x:v>
      </x:c>
      <x:c r="C4768" s="11" t="str">
        <x:v>biosim</x:v>
      </x:c>
      <x:c r="D4768" s="11" t="str">
        <x:v>2028-12-31</x:v>
      </x:c>
      <x:c r="E4768" s="11" t="str">
        <x:v>CNY</x:v>
      </x:c>
      <x:c r="F4768" s="11" t="n">
        <x:v>2.001368925393566</x:v>
      </x:c>
      <x:c r="G4768" s="26" t="b">
        <x:v>1</x:v>
      </x:c>
      <x:c r="H4768" s="16" t="n">
        <x:v>0.27999999999999997</x:v>
      </x:c>
      <x:c r="I4768" s="16" t="n">
        <x:v>0.6000000000000001</x:v>
      </x:c>
      <x:c r="J4768" s="16" t="n">
        <x:v>1.15</x:v>
      </x:c>
      <x:c r="K4768" s="11" t="n">
        <x:f>CHOOSE('假设'!$B$3,H4768,I4768,J4768)</x:f>
        <x:v>0.6000000000000001</x:v>
      </x:c>
      <x:c r="L4768" s="11" t="n">
        <x:f>K4768*'管线假设'!E1027*'管线假设'!F1027*'管线假设'!G1027*IF(E4768="USD",'管线假设'!I1027,1)-AM4768</x:f>
        <x:v>0.12834000000000004</x:v>
      </x:c>
      <x:c r="M4768" s="11" t="n">
        <x:f>'管线假设'!H1027</x:f>
        <x:v>0.14</x:v>
      </x:c>
      <x:c r="N4768" s="11" t="n">
        <x:f>IF(G4768,L4768*AN4768/(1+M4768)^F4768,0)</x:f>
        <x:v>0.09873575098961954</x:v>
      </x:c>
      <x:c r="AJ4768" t="n">
        <x:v>0</x:v>
      </x:c>
      <x:c r="AK4768" t="n">
        <x:v>0</x:v>
      </x:c>
      <x:c r="AL4768" t="n">
        <x:v>0</x:v>
      </x:c>
      <x:c r="AM4768" t="n">
        <x:f>CHOOSE('假设'!$B$3,AJ4768,AK4768,AL4768)</x:f>
        <x:v>0</x:v>
      </x:c>
      <x:c r="AN4768" t="n">
        <x:v>1</x:v>
      </x:c>
    </x:row>
    <x:row r="4769" ht="23" customHeight="1">
      <x:c r="A4769" s="11" t="str">
        <x:v>688062.SH</x:v>
      </x:c>
      <x:c r="B4769" s="11" t="str">
        <x:v>2026年底</x:v>
      </x:c>
      <x:c r="C4769" s="11" t="str">
        <x:v>biosim</x:v>
      </x:c>
      <x:c r="D4769" s="11" t="str">
        <x:v>2029-12-31</x:v>
      </x:c>
      <x:c r="E4769" s="11" t="str">
        <x:v>CNY</x:v>
      </x:c>
      <x:c r="F4769" s="11" t="n">
        <x:v>3.0006844626967832</x:v>
      </x:c>
      <x:c r="G4769" s="26" t="b">
        <x:v>1</x:v>
      </x:c>
      <x:c r="H4769" s="16" t="n">
        <x:v>0.42</x:v>
      </x:c>
      <x:c r="I4769" s="16" t="n">
        <x:v>0.8999999999999999</x:v>
      </x:c>
      <x:c r="J4769" s="16" t="n">
        <x:v>1.7249999999999999</x:v>
      </x:c>
      <x:c r="K4769" s="11" t="n">
        <x:f>CHOOSE('假设'!$B$3,H4769,I4769,J4769)</x:f>
        <x:v>0.8999999999999999</x:v>
      </x:c>
      <x:c r="L4769" s="11" t="n">
        <x:f>K4769*'管线假设'!E1027*'管线假设'!F1027*'管线假设'!G1027*IF(E4769="USD",'管线假设'!I1027,1)-AM4769</x:f>
        <x:v>0.19251000000000001</x:v>
      </x:c>
      <x:c r="M4769" s="11" t="n">
        <x:f>'管线假设'!H1027</x:f>
        <x:v>0.14</x:v>
      </x:c>
      <x:c r="N4769" s="11" t="n">
        <x:f>IF(G4769,L4769*AN4769/(1+M4769)^F4769,0)</x:f>
        <x:v>0.12992711368373275</x:v>
      </x:c>
      <x:c r="AJ4769" t="n">
        <x:v>0</x:v>
      </x:c>
      <x:c r="AK4769" t="n">
        <x:v>0</x:v>
      </x:c>
      <x:c r="AL4769" t="n">
        <x:v>0</x:v>
      </x:c>
      <x:c r="AM4769" t="n">
        <x:f>CHOOSE('假设'!$B$3,AJ4769,AK4769,AL4769)</x:f>
        <x:v>0</x:v>
      </x:c>
      <x:c r="AN4769" t="n">
        <x:v>1</x:v>
      </x:c>
    </x:row>
    <x:row r="4770" ht="23" customHeight="1">
      <x:c r="A4770" s="11" t="str">
        <x:v>688062.SH</x:v>
      </x:c>
      <x:c r="B4770" s="11" t="str">
        <x:v>2026年底</x:v>
      </x:c>
      <x:c r="C4770" s="11" t="str">
        <x:v>biosim</x:v>
      </x:c>
      <x:c r="D4770" s="11" t="str">
        <x:v>2030-12-31</x:v>
      </x:c>
      <x:c r="E4770" s="11" t="str">
        <x:v>CNY</x:v>
      </x:c>
      <x:c r="F4770" s="11" t="n">
        <x:v>4</x:v>
      </x:c>
      <x:c r="G4770" s="26" t="b">
        <x:v>1</x:v>
      </x:c>
      <x:c r="H4770" s="16" t="n">
        <x:v>0.5599999999999999</x:v>
      </x:c>
      <x:c r="I4770" s="16" t="n">
        <x:v>1.2000000000000002</x:v>
      </x:c>
      <x:c r="J4770" s="16" t="n">
        <x:v>2.3</x:v>
      </x:c>
      <x:c r="K4770" s="11" t="n">
        <x:f>CHOOSE('假设'!$B$3,H4770,I4770,J4770)</x:f>
        <x:v>1.2000000000000002</x:v>
      </x:c>
      <x:c r="L4770" s="11" t="n">
        <x:f>K4770*'管线假设'!E1027*'管线假设'!F1027*'管线假设'!G1027*IF(E4770="USD",'管线假设'!I1027,1)-AM4770</x:f>
        <x:v>0.2566800000000001</x:v>
      </x:c>
      <x:c r="M4770" s="11" t="n">
        <x:f>'管线假设'!H1027</x:f>
        <x:v>0.14</x:v>
      </x:c>
      <x:c r="N4770" s="11" t="n">
        <x:f>IF(G4770,L4770*AN4770/(1+M4770)^F4770,0)</x:f>
        <x:v>0.15197516559538027</x:v>
      </x:c>
      <x:c r="AJ4770" t="n">
        <x:v>0</x:v>
      </x:c>
      <x:c r="AK4770" t="n">
        <x:v>0</x:v>
      </x:c>
      <x:c r="AL4770" t="n">
        <x:v>0</x:v>
      </x:c>
      <x:c r="AM4770" t="n">
        <x:f>CHOOSE('假设'!$B$3,AJ4770,AK4770,AL4770)</x:f>
        <x:v>0</x:v>
      </x:c>
      <x:c r="AN4770" t="n">
        <x:v>1</x:v>
      </x:c>
    </x:row>
    <x:row r="4771" ht="23" customHeight="1">
      <x:c r="A4771" s="11" t="str">
        <x:v>688062.SH</x:v>
      </x:c>
      <x:c r="B4771" s="11" t="str">
        <x:v>2026年底</x:v>
      </x:c>
      <x:c r="C4771" s="11" t="str">
        <x:v>biosim</x:v>
      </x:c>
      <x:c r="D4771" s="11" t="str">
        <x:v>2031-12-31</x:v>
      </x:c>
      <x:c r="E4771" s="11" t="str">
        <x:v>CNY</x:v>
      </x:c>
      <x:c r="F4771" s="11" t="n">
        <x:v>4.999315537303217</x:v>
      </x:c>
      <x:c r="G4771" s="26" t="b">
        <x:v>1</x:v>
      </x:c>
      <x:c r="H4771" s="16" t="n">
        <x:v>0.7</x:v>
      </x:c>
      <x:c r="I4771" s="16" t="n">
        <x:v>1.5</x:v>
      </x:c>
      <x:c r="J4771" s="16" t="n">
        <x:v>2.001</x:v>
      </x:c>
      <x:c r="K4771" s="11" t="n">
        <x:f>CHOOSE('假设'!$B$3,H4771,I4771,J4771)</x:f>
        <x:v>1.5</x:v>
      </x:c>
      <x:c r="L4771" s="11" t="n">
        <x:f>K4771*'管线假设'!E1027*'管线假设'!F1027*'管线假设'!G1027*IF(E4771="USD",'管线假设'!I1027,1)-AM4771</x:f>
        <x:v>0.32085</x:v>
      </x:c>
      <x:c r="M4771" s="11" t="n">
        <x:f>'管线假设'!H1027</x:f>
        <x:v>0.14</x:v>
      </x:c>
      <x:c r="N4771" s="11" t="n">
        <x:f>IF(G4771,L4771*AN4771/(1+M4771)^F4771,0)</x:f>
        <x:v>0.1666543815141743</x:v>
      </x:c>
      <x:c r="AJ4771" t="n">
        <x:v>0</x:v>
      </x:c>
      <x:c r="AK4771" t="n">
        <x:v>0</x:v>
      </x:c>
      <x:c r="AL4771" t="n">
        <x:v>0</x:v>
      </x:c>
      <x:c r="AM4771" t="n">
        <x:f>CHOOSE('假设'!$B$3,AJ4771,AK4771,AL4771)</x:f>
        <x:v>0</x:v>
      </x:c>
      <x:c r="AN4771" t="n">
        <x:v>1</x:v>
      </x:c>
    </x:row>
    <x:row r="4772" ht="23" customHeight="1">
      <x:c r="A4772" s="11" t="str">
        <x:v>688062.SH</x:v>
      </x:c>
      <x:c r="B4772" s="11" t="str">
        <x:v>2026年底</x:v>
      </x:c>
      <x:c r="C4772" s="11" t="str">
        <x:v>biosim</x:v>
      </x:c>
      <x:c r="D4772" s="11" t="str">
        <x:v>2032-12-31</x:v>
      </x:c>
      <x:c r="E4772" s="11" t="str">
        <x:v>CNY</x:v>
      </x:c>
      <x:c r="F4772" s="11" t="n">
        <x:v>6.0013689253935665</x:v>
      </x:c>
      <x:c r="G4772" s="26" t="b">
        <x:v>1</x:v>
      </x:c>
      <x:c r="H4772" s="16" t="n">
        <x:v>0.609</x:v>
      </x:c>
      <x:c r="I4772" s="16" t="n">
        <x:v>1.305</x:v>
      </x:c>
      <x:c r="J4772" s="16" t="n">
        <x:v>1.702</x:v>
      </x:c>
      <x:c r="K4772" s="11" t="n">
        <x:f>CHOOSE('假设'!$B$3,H4772,I4772,J4772)</x:f>
        <x:v>1.305</x:v>
      </x:c>
      <x:c r="L4772" s="11" t="n">
        <x:f>K4772*'管线假设'!E1027*'管线假设'!F1027*'管线假设'!G1027*IF(E4772="USD",'管线假设'!I1027,1)-AM4772</x:f>
        <x:v>0.2791395</x:v>
      </x:c>
      <x:c r="M4772" s="11" t="n">
        <x:f>'管线假设'!H1027</x:f>
        <x:v>0.14</x:v>
      </x:c>
      <x:c r="N4772" s="11" t="n">
        <x:f>IF(G4772,L4772*AN4772/(1+M4772)^F4772,0)</x:f>
        <x:v>0.12714939256022612</x:v>
      </x:c>
      <x:c r="AJ4772" t="n">
        <x:v>0</x:v>
      </x:c>
      <x:c r="AK4772" t="n">
        <x:v>0</x:v>
      </x:c>
      <x:c r="AL4772" t="n">
        <x:v>0</x:v>
      </x:c>
      <x:c r="AM4772" t="n">
        <x:f>CHOOSE('假设'!$B$3,AJ4772,AK4772,AL4772)</x:f>
        <x:v>0</x:v>
      </x:c>
      <x:c r="AN4772" t="n">
        <x:v>1</x:v>
      </x:c>
    </x:row>
    <x:row r="4773" ht="23" customHeight="1">
      <x:c r="A4773" s="11" t="str">
        <x:v>688062.SH</x:v>
      </x:c>
      <x:c r="B4773" s="11" t="str">
        <x:v>2026年底</x:v>
      </x:c>
      <x:c r="C4773" s="11" t="str">
        <x:v>biosim</x:v>
      </x:c>
      <x:c r="D4773" s="11" t="str">
        <x:v>2033-12-31</x:v>
      </x:c>
      <x:c r="E4773" s="11" t="str">
        <x:v>CNY</x:v>
      </x:c>
      <x:c r="F4773" s="11" t="n">
        <x:v>7.000684462696783</x:v>
      </x:c>
      <x:c r="G4773" s="26" t="b">
        <x:v>1</x:v>
      </x:c>
      <x:c r="H4773" s="16" t="n">
        <x:v>0.518</x:v>
      </x:c>
      <x:c r="I4773" s="16" t="n">
        <x:v>1.1099999999999999</x:v>
      </x:c>
      <x:c r="J4773" s="16" t="n">
        <x:v>1.4029999999999998</x:v>
      </x:c>
      <x:c r="K4773" s="11" t="n">
        <x:f>CHOOSE('假设'!$B$3,H4773,I4773,J4773)</x:f>
        <x:v>1.1099999999999999</x:v>
      </x:c>
      <x:c r="L4773" s="11" t="n">
        <x:f>K4773*'管线假设'!E1027*'管线假设'!F1027*'管线假设'!G1027*IF(E4773="USD",'管线假设'!I1027,1)-AM4773</x:f>
        <x:v>0.237429</x:v>
      </x:c>
      <x:c r="M4773" s="11" t="n">
        <x:f>'管线假设'!H1027</x:f>
        <x:v>0.14</x:v>
      </x:c>
      <x:c r="N4773" s="11" t="n">
        <x:f>IF(G4773,L4773*AN4773/(1+M4773)^F4773,0)</x:f>
        <x:v>0.0948769805262529</x:v>
      </x:c>
      <x:c r="AJ4773" t="n">
        <x:v>0</x:v>
      </x:c>
      <x:c r="AK4773" t="n">
        <x:v>0</x:v>
      </x:c>
      <x:c r="AL4773" t="n">
        <x:v>0</x:v>
      </x:c>
      <x:c r="AM4773" t="n">
        <x:f>CHOOSE('假设'!$B$3,AJ4773,AK4773,AL4773)</x:f>
        <x:v>0</x:v>
      </x:c>
      <x:c r="AN4773" t="n">
        <x:v>1</x:v>
      </x:c>
    </x:row>
    <x:row r="4774" ht="23" customHeight="1">
      <x:c r="A4774" s="11" t="str">
        <x:v>688062.SH</x:v>
      </x:c>
      <x:c r="B4774" s="11" t="str">
        <x:v>2026年底</x:v>
      </x:c>
      <x:c r="C4774" s="11" t="str">
        <x:v>biosim</x:v>
      </x:c>
      <x:c r="D4774" s="11" t="str">
        <x:v>2034-12-31</x:v>
      </x:c>
      <x:c r="E4774" s="11" t="str">
        <x:v>CNY</x:v>
      </x:c>
      <x:c r="F4774" s="11" t="n">
        <x:v>8</x:v>
      </x:c>
      <x:c r="G4774" s="26" t="b">
        <x:v>1</x:v>
      </x:c>
      <x:c r="H4774" s="16" t="n">
        <x:v>0.427</x:v>
      </x:c>
      <x:c r="I4774" s="16" t="n">
        <x:v>0.915</x:v>
      </x:c>
      <x:c r="J4774" s="16" t="n">
        <x:v>1.1039999999999999</x:v>
      </x:c>
      <x:c r="K4774" s="11" t="n">
        <x:f>CHOOSE('假设'!$B$3,H4774,I4774,J4774)</x:f>
        <x:v>0.915</x:v>
      </x:c>
      <x:c r="L4774" s="11" t="n">
        <x:f>K4774*'管线假设'!E1027*'管线假设'!F1027*'管线假设'!G1027*IF(E4774="USD",'管线假设'!I1027,1)-AM4774</x:f>
        <x:v>0.19571850000000002</x:v>
      </x:c>
      <x:c r="M4774" s="11" t="n">
        <x:f>'管线假设'!H1027</x:f>
        <x:v>0.14</x:v>
      </x:c>
      <x:c r="N4774" s="11" t="n">
        <x:f>IF(G4774,L4774*AN4774/(1+M4774)^F4774,0)</x:f>
        <x:v>0.06861089237680858</x:v>
      </x:c>
      <x:c r="AJ4774" t="n">
        <x:v>0</x:v>
      </x:c>
      <x:c r="AK4774" t="n">
        <x:v>0</x:v>
      </x:c>
      <x:c r="AL4774" t="n">
        <x:v>0</x:v>
      </x:c>
      <x:c r="AM4774" t="n">
        <x:f>CHOOSE('假设'!$B$3,AJ4774,AK4774,AL4774)</x:f>
        <x:v>0</x:v>
      </x:c>
      <x:c r="AN4774" t="n">
        <x:v>1</x:v>
      </x:c>
    </x:row>
    <x:row r="4775" ht="23" customHeight="1">
      <x:c r="A4775" s="11" t="str">
        <x:v>688062.SH</x:v>
      </x:c>
      <x:c r="B4775" s="11" t="str">
        <x:v>2026年底</x:v>
      </x:c>
      <x:c r="C4775" s="11" t="str">
        <x:v>biosim</x:v>
      </x:c>
      <x:c r="D4775" s="11" t="str">
        <x:v>2035-12-31</x:v>
      </x:c>
      <x:c r="E4775" s="11" t="str">
        <x:v>CNY</x:v>
      </x:c>
      <x:c r="F4775" s="11" t="n">
        <x:v>8.999315537303216</x:v>
      </x:c>
      <x:c r="G4775" s="26" t="b">
        <x:v>1</x:v>
      </x:c>
      <x:c r="H4775" s="16" t="n">
        <x:v>0.33599999999999997</x:v>
      </x:c>
      <x:c r="I4775" s="16" t="n">
        <x:v>0.72</x:v>
      </x:c>
      <x:c r="J4775" s="16" t="n">
        <x:v>0.8049999999999999</x:v>
      </x:c>
      <x:c r="K4775" s="11" t="n">
        <x:f>CHOOSE('假设'!$B$3,H4775,I4775,J4775)</x:f>
        <x:v>0.72</x:v>
      </x:c>
      <x:c r="L4775" s="11" t="n">
        <x:f>K4775*'管线假设'!E1027*'管线假设'!F1027*'管线假设'!G1027*IF(E4775="USD",'管线假设'!I1027,1)-AM4775</x:f>
        <x:v>0.154008</x:v>
      </x:c>
      <x:c r="M4775" s="11" t="n">
        <x:f>'管线假设'!H1027</x:f>
        <x:v>0.14</x:v>
      </x:c>
      <x:c r="N4775" s="11" t="n">
        <x:f>IF(G4775,L4775*AN4775/(1+M4775)^F4775,0)</x:f>
        <x:v>0.04736293076729746</x:v>
      </x:c>
      <x:c r="AJ4775" t="n">
        <x:v>0</x:v>
      </x:c>
      <x:c r="AK4775" t="n">
        <x:v>0</x:v>
      </x:c>
      <x:c r="AL4775" t="n">
        <x:v>0</x:v>
      </x:c>
      <x:c r="AM4775" t="n">
        <x:f>CHOOSE('假设'!$B$3,AJ4775,AK4775,AL4775)</x:f>
        <x:v>0</x:v>
      </x:c>
      <x:c r="AN4775" t="n">
        <x:v>1</x:v>
      </x:c>
    </x:row>
    <x:row r="4776" ht="23" customHeight="1">
      <x:c r="A4776" s="11" t="str">
        <x:v>688062.SH</x:v>
      </x:c>
      <x:c r="B4776" s="11" t="str">
        <x:v>2026年底</x:v>
      </x:c>
      <x:c r="C4776" s="11" t="str">
        <x:v>biosim</x:v>
      </x:c>
      <x:c r="D4776" s="11" t="str">
        <x:v>2036-12-31</x:v>
      </x:c>
      <x:c r="E4776" s="11" t="str">
        <x:v>CNY</x:v>
      </x:c>
      <x:c r="F4776" s="11" t="n">
        <x:v>10.001368925393566</x:v>
      </x:c>
      <x:c r="G4776" s="26" t="b">
        <x:v>1</x:v>
      </x:c>
      <x:c r="H4776" s="16" t="n">
        <x:v>0.24499999999999997</x:v>
      </x:c>
      <x:c r="I4776" s="16" t="n">
        <x:v>0.5249999999999999</x:v>
      </x:c>
      <x:c r="J4776" s="16" t="n">
        <x:v>0.5059999999999999</x:v>
      </x:c>
      <x:c r="K4776" s="11" t="n">
        <x:f>CHOOSE('假设'!$B$3,H4776,I4776,J4776)</x:f>
        <x:v>0.5249999999999999</x:v>
      </x:c>
      <x:c r="L4776" s="11" t="n">
        <x:f>K4776*'管线假设'!E1027*'管线假设'!F1027*'管线假设'!G1027*IF(E4776="USD",'管线假设'!I1027,1)-AM4776</x:f>
        <x:v>0.1122975</x:v>
      </x:c>
      <x:c r="M4776" s="11" t="n">
        <x:f>'管线假设'!H1027</x:f>
        <x:v>0.14</x:v>
      </x:c>
      <x:c r="N4776" s="11" t="n">
        <x:f>IF(G4776,L4776*AN4776/(1+M4776)^F4776,0)</x:f>
        <x:v>0.030286122603538423</x:v>
      </x:c>
      <x:c r="AJ4776" t="n">
        <x:v>0</x:v>
      </x:c>
      <x:c r="AK4776" t="n">
        <x:v>0</x:v>
      </x:c>
      <x:c r="AL4776" t="n">
        <x:v>0</x:v>
      </x:c>
      <x:c r="AM4776" t="n">
        <x:f>CHOOSE('假设'!$B$3,AJ4776,AK4776,AL4776)</x:f>
        <x:v>0</x:v>
      </x:c>
      <x:c r="AN4776" t="n">
        <x:v>1</x:v>
      </x:c>
    </x:row>
    <x:row r="4777" ht="23" customHeight="1">
      <x:c r="A4777" s="11" t="str">
        <x:v>688062.SH</x:v>
      </x:c>
      <x:c r="B4777" s="11" t="str">
        <x:v>2026年底</x:v>
      </x:c>
      <x:c r="C4777" s="11" t="str">
        <x:v>biosim</x:v>
      </x:c>
      <x:c r="D4777" s="11" t="str">
        <x:v>2037-12-31</x:v>
      </x:c>
      <x:c r="E4777" s="11" t="str">
        <x:v>CNY</x:v>
      </x:c>
      <x:c r="F4777" s="11" t="n">
        <x:v>11.000684462696784</x:v>
      </x:c>
      <x:c r="G4777" s="26" t="b">
        <x:v>1</x:v>
      </x:c>
      <x:c r="H4777" s="16" t="n">
        <x:v>0.15399999999999997</x:v>
      </x:c>
      <x:c r="I4777" s="16" t="n">
        <x:v>0.32999999999999996</x:v>
      </x:c>
      <x:c r="J4777" s="16" t="n">
        <x:v>0.2069999999999999</x:v>
      </x:c>
      <x:c r="K4777" s="11" t="n">
        <x:f>CHOOSE('假设'!$B$3,H4777,I4777,J4777)</x:f>
        <x:v>0.32999999999999996</x:v>
      </x:c>
      <x:c r="L4777" s="11" t="n">
        <x:f>K4777*'管线假设'!E1027*'管线假设'!F1027*'管线假设'!G1027*IF(E4777="USD",'管线假设'!I1027,1)-AM4777</x:f>
        <x:v>0.07058700000000001</x:v>
      </x:c>
      <x:c r="M4777" s="11" t="n">
        <x:f>'管线假设'!H1027</x:f>
        <x:v>0.14</x:v>
      </x:c>
      <x:c r="N4777" s="11" t="n">
        <x:f>IF(G4777,L4777*AN4777/(1+M4777)^F4777,0)</x:f>
        <x:v>0.016700612929900778</x:v>
      </x:c>
      <x:c r="AJ4777" t="n">
        <x:v>0</x:v>
      </x:c>
      <x:c r="AK4777" t="n">
        <x:v>0</x:v>
      </x:c>
      <x:c r="AL4777" t="n">
        <x:v>0</x:v>
      </x:c>
      <x:c r="AM4777" t="n">
        <x:f>CHOOSE('假设'!$B$3,AJ4777,AK4777,AL4777)</x:f>
        <x:v>0</x:v>
      </x:c>
      <x:c r="AN4777" t="n">
        <x:v>1</x:v>
      </x:c>
    </x:row>
    <x:row r="4778" ht="23" customHeight="1">
      <x:c r="A4778" s="11" t="str">
        <x:v>688062.SH</x:v>
      </x:c>
      <x:c r="B4778" s="11" t="str">
        <x:v>2026年底</x:v>
      </x:c>
      <x:c r="C4778" s="11" t="str">
        <x:v>biosim</x:v>
      </x:c>
      <x:c r="D4778" s="11" t="str">
        <x:v>2038-12-31</x:v>
      </x:c>
      <x:c r="E4778" s="11" t="str">
        <x:v>CNY</x:v>
      </x:c>
      <x:c r="F4778" s="11" t="n">
        <x:v>12</x:v>
      </x:c>
      <x:c r="G4778" s="26" t="b">
        <x:v>1</x:v>
      </x:c>
      <x:c r="H4778" s="16" t="n">
        <x:v>0.06299999999999997</x:v>
      </x:c>
      <x:c r="I4778" s="16" t="n">
        <x:v>0.13499999999999995</x:v>
      </x:c>
      <x:c r="J4778" s="16" t="n">
        <x:v>0</x:v>
      </x:c>
      <x:c r="K4778" s="11" t="n">
        <x:f>CHOOSE('假设'!$B$3,H4778,I4778,J4778)</x:f>
        <x:v>0.13499999999999995</x:v>
      </x:c>
      <x:c r="L4778" s="11" t="n">
        <x:f>K4778*'管线假设'!E1027*'管线假设'!F1027*'管线假设'!G1027*IF(E4778="USD",'管线假设'!I1027,1)-AM4778</x:f>
        <x:v>0.028876499999999992</x:v>
      </x:c>
      <x:c r="M4778" s="11" t="n">
        <x:f>'管线假设'!H1027</x:f>
        <x:v>0.14</x:v>
      </x:c>
      <x:c r="N4778" s="11" t="n">
        <x:f>IF(G4778,L4778*AN4778/(1+M4778)^F4778,0)</x:f>
        <x:v>0.005993580421339233</x:v>
      </x:c>
      <x:c r="AJ4778" t="n">
        <x:v>0</x:v>
      </x:c>
      <x:c r="AK4778" t="n">
        <x:v>0</x:v>
      </x:c>
      <x:c r="AL4778" t="n">
        <x:v>0</x:v>
      </x:c>
      <x:c r="AM4778" t="n">
        <x:f>CHOOSE('假设'!$B$3,AJ4778,AK4778,AL4778)</x:f>
        <x:v>0</x:v>
      </x:c>
      <x:c r="AN4778" t="n">
        <x:v>1</x:v>
      </x:c>
    </x:row>
    <x:row r="4779" ht="23" customHeight="1">
      <x:c r="A4779" s="11" t="str">
        <x:v>688062.SH</x:v>
      </x:c>
      <x:c r="B4779" s="11" t="str">
        <x:v>2026年底</x:v>
      </x:c>
      <x:c r="C4779" s="11" t="str">
        <x:v>biosim</x:v>
      </x:c>
      <x:c r="D4779" s="11" t="str">
        <x:v>2039-12-31</x:v>
      </x:c>
      <x:c r="E4779" s="11" t="str">
        <x:v>CNY</x:v>
      </x:c>
      <x:c r="F4779" s="11" t="n">
        <x:v>12.999315537303216</x:v>
      </x:c>
      <x:c r="G4779" s="26" t="b">
        <x:v>1</x:v>
      </x:c>
      <x:c r="H4779" s="16" t="n">
        <x:v>0</x:v>
      </x:c>
      <x:c r="I4779" s="16" t="n">
        <x:v>0</x:v>
      </x:c>
      <x:c r="J4779" s="16" t="n">
        <x:v>0</x:v>
      </x:c>
      <x:c r="K4779" s="11" t="n">
        <x:f>CHOOSE('假设'!$B$3,H4779,I4779,J4779)</x:f>
        <x:v>0</x:v>
      </x:c>
      <x:c r="L4779" s="11" t="n">
        <x:f>K4779*'管线假设'!E1027*'管线假设'!F1027*'管线假设'!G1027*IF(E4779="USD",'管线假设'!I1027,1)-AM4779</x:f>
        <x:v>0</x:v>
      </x:c>
      <x:c r="M4779" s="11" t="n">
        <x:f>'管线假设'!H1027</x:f>
        <x:v>0.14</x:v>
      </x:c>
      <x:c r="N4779" s="11" t="n">
        <x:f>IF(G4779,L4779*AN4779/(1+M4779)^F4779,0)</x:f>
        <x:v>0</x:v>
      </x:c>
      <x:c r="AJ4779" t="n">
        <x:v>0</x:v>
      </x:c>
      <x:c r="AK4779" t="n">
        <x:v>0</x:v>
      </x:c>
      <x:c r="AL4779" t="n">
        <x:v>0</x:v>
      </x:c>
      <x:c r="AM4779" t="n">
        <x:f>CHOOSE('假设'!$B$3,AJ4779,AK4779,AL4779)</x:f>
        <x:v>0</x:v>
      </x:c>
      <x:c r="AN4779" t="n">
        <x:v>1</x:v>
      </x:c>
    </x:row>
    <x:row r="4780" ht="23" customHeight="1">
      <x:c r="A4780" s="11" t="str">
        <x:v>688062.SH</x:v>
      </x:c>
      <x:c r="B4780" s="11" t="str">
        <x:v>2026年底</x:v>
      </x:c>
      <x:c r="C4780" s="11" t="str">
        <x:v>biosim</x:v>
      </x:c>
      <x:c r="D4780" s="11" t="str">
        <x:v>2040-12-31</x:v>
      </x:c>
      <x:c r="E4780" s="11" t="str">
        <x:v>CNY</x:v>
      </x:c>
      <x:c r="F4780" s="11" t="n">
        <x:v>14.001368925393566</x:v>
      </x:c>
      <x:c r="G4780" s="26" t="b">
        <x:v>1</x:v>
      </x:c>
      <x:c r="H4780" s="16" t="n">
        <x:v>0</x:v>
      </x:c>
      <x:c r="I4780" s="16" t="n">
        <x:v>0</x:v>
      </x:c>
      <x:c r="J4780" s="16" t="n">
        <x:v>0</x:v>
      </x:c>
      <x:c r="K4780" s="11" t="n">
        <x:f>CHOOSE('假设'!$B$3,H4780,I4780,J4780)</x:f>
        <x:v>0</x:v>
      </x:c>
      <x:c r="L4780" s="11" t="n">
        <x:f>K4780*'管线假设'!E1027*'管线假设'!F1027*'管线假设'!G1027*IF(E4780="USD",'管线假设'!I1027,1)-AM4780</x:f>
        <x:v>0</x:v>
      </x:c>
      <x:c r="M4780" s="11" t="n">
        <x:f>'管线假设'!H1027</x:f>
        <x:v>0.14</x:v>
      </x:c>
      <x:c r="N4780" s="11" t="n">
        <x:f>IF(G4780,L4780*AN4780/(1+M4780)^F4780,0)</x:f>
        <x:v>0</x:v>
      </x:c>
      <x:c r="AJ4780" t="n">
        <x:v>0</x:v>
      </x:c>
      <x:c r="AK4780" t="n">
        <x:v>0</x:v>
      </x:c>
      <x:c r="AL4780" t="n">
        <x:v>0</x:v>
      </x:c>
      <x:c r="AM4780" t="n">
        <x:f>CHOOSE('假设'!$B$3,AJ4780,AK4780,AL4780)</x:f>
        <x:v>0</x:v>
      </x:c>
      <x:c r="AN4780" t="n">
        <x:v>1</x:v>
      </x:c>
    </x:row>
    <x:row r="4781" ht="23" customHeight="1">
      <x:c r="A4781" s="11" t="str">
        <x:v>688062.SH</x:v>
      </x:c>
      <x:c r="B4781" s="11" t="str">
        <x:v>2026年底</x:v>
      </x:c>
      <x:c r="C4781" s="11" t="str">
        <x:v>biosim</x:v>
      </x:c>
      <x:c r="D4781" s="11" t="str">
        <x:v>2041-12-31</x:v>
      </x:c>
      <x:c r="E4781" s="11" t="str">
        <x:v>CNY</x:v>
      </x:c>
      <x:c r="F4781" s="11" t="n">
        <x:v>15.000684462696784</x:v>
      </x:c>
      <x:c r="G4781" s="26" t="b">
        <x:v>1</x:v>
      </x:c>
      <x:c r="H4781" s="16" t="n">
        <x:v>0</x:v>
      </x:c>
      <x:c r="I4781" s="16" t="n">
        <x:v>0</x:v>
      </x:c>
      <x:c r="J4781" s="16" t="n">
        <x:v>0</x:v>
      </x:c>
      <x:c r="K4781" s="11" t="n">
        <x:f>CHOOSE('假设'!$B$3,H4781,I4781,J4781)</x:f>
        <x:v>0</x:v>
      </x:c>
      <x:c r="L4781" s="11" t="n">
        <x:f>K4781*'管线假设'!E1027*'管线假设'!F1027*'管线假设'!G1027*IF(E4781="USD",'管线假设'!I1027,1)-AM4781</x:f>
        <x:v>0</x:v>
      </x:c>
      <x:c r="M4781" s="11" t="n">
        <x:f>'管线假设'!H1027</x:f>
        <x:v>0.14</x:v>
      </x:c>
      <x:c r="N4781" s="11" t="n">
        <x:f>IF(G4781,L4781*AN4781/(1+M4781)^F4781,0)</x:f>
        <x:v>0</x:v>
      </x:c>
      <x:c r="AJ4781" t="n">
        <x:v>0</x:v>
      </x:c>
      <x:c r="AK4781" t="n">
        <x:v>0</x:v>
      </x:c>
      <x:c r="AL4781" t="n">
        <x:v>0</x:v>
      </x:c>
      <x:c r="AM4781" t="n">
        <x:f>CHOOSE('假设'!$B$3,AJ4781,AK4781,AL4781)</x:f>
        <x:v>0</x:v>
      </x:c>
      <x:c r="AN4781" t="n">
        <x:v>1</x:v>
      </x:c>
    </x:row>
    <x:row r="4782" ht="23" customHeight="1">
      <x:c r="A4782" s="11" t="str">
        <x:v>688062.SH</x:v>
      </x:c>
      <x:c r="B4782" s="11" t="str">
        <x:v>2026年底</x:v>
      </x:c>
      <x:c r="C4782" s="11" t="str">
        <x:v>biosim</x:v>
      </x:c>
      <x:c r="D4782" s="11" t="str">
        <x:v>2042-12-31</x:v>
      </x:c>
      <x:c r="E4782" s="11" t="str">
        <x:v>CNY</x:v>
      </x:c>
      <x:c r="F4782" s="11" t="n">
        <x:v>16</x:v>
      </x:c>
      <x:c r="G4782" s="26" t="b">
        <x:v>1</x:v>
      </x:c>
      <x:c r="H4782" s="16" t="n">
        <x:v>0</x:v>
      </x:c>
      <x:c r="I4782" s="16" t="n">
        <x:v>0</x:v>
      </x:c>
      <x:c r="J4782" s="16" t="n">
        <x:v>0</x:v>
      </x:c>
      <x:c r="K4782" s="11" t="n">
        <x:f>CHOOSE('假设'!$B$3,H4782,I4782,J4782)</x:f>
        <x:v>0</x:v>
      </x:c>
      <x:c r="L4782" s="11" t="n">
        <x:f>K4782*'管线假设'!E1027*'管线假设'!F1027*'管线假设'!G1027*IF(E4782="USD",'管线假设'!I1027,1)-AM4782</x:f>
        <x:v>0</x:v>
      </x:c>
      <x:c r="M4782" s="11" t="n">
        <x:f>'管线假设'!H1027</x:f>
        <x:v>0.14</x:v>
      </x:c>
      <x:c r="N4782" s="11" t="n">
        <x:f>IF(G4782,L4782*AN4782/(1+M4782)^F4782,0)</x:f>
        <x:v>0</x:v>
      </x:c>
      <x:c r="AJ4782" t="n">
        <x:v>0</x:v>
      </x:c>
      <x:c r="AK4782" t="n">
        <x:v>0</x:v>
      </x:c>
      <x:c r="AL4782" t="n">
        <x:v>0</x:v>
      </x:c>
      <x:c r="AM4782" t="n">
        <x:f>CHOOSE('假设'!$B$3,AJ4782,AK4782,AL4782)</x:f>
        <x:v>0</x:v>
      </x:c>
      <x:c r="AN4782" t="n">
        <x:v>1</x:v>
      </x:c>
    </x:row>
    <x:row r="4783" ht="23" customHeight="1">
      <x:c r="A4783" s="11" t="str">
        <x:v>688062.SH</x:v>
      </x:c>
      <x:c r="B4783" s="11" t="str">
        <x:v>2026年底</x:v>
      </x:c>
      <x:c r="C4783" s="11" t="str">
        <x:v>biosim</x:v>
      </x:c>
      <x:c r="D4783" s="11" t="str">
        <x:v>2043-12-31</x:v>
      </x:c>
      <x:c r="E4783" s="11" t="str">
        <x:v>CNY</x:v>
      </x:c>
      <x:c r="F4783" s="11" t="n">
        <x:v>16.999315537303218</x:v>
      </x:c>
      <x:c r="G4783" s="26" t="b">
        <x:v>1</x:v>
      </x:c>
      <x:c r="H4783" s="16" t="n">
        <x:v>0</x:v>
      </x:c>
      <x:c r="I4783" s="16" t="n">
        <x:v>0</x:v>
      </x:c>
      <x:c r="J4783" s="16" t="n">
        <x:v>0</x:v>
      </x:c>
      <x:c r="K4783" s="11" t="n">
        <x:f>CHOOSE('假设'!$B$3,H4783,I4783,J4783)</x:f>
        <x:v>0</x:v>
      </x:c>
      <x:c r="L4783" s="11" t="n">
        <x:f>K4783*'管线假设'!E1027*'管线假设'!F1027*'管线假设'!G1027*IF(E4783="USD",'管线假设'!I1027,1)-AM4783</x:f>
        <x:v>0</x:v>
      </x:c>
      <x:c r="M4783" s="11" t="n">
        <x:f>'管线假设'!H1027</x:f>
        <x:v>0.14</x:v>
      </x:c>
      <x:c r="N4783" s="11" t="n">
        <x:f>IF(G4783,L4783*AN4783/(1+M4783)^F4783,0)</x:f>
        <x:v>0</x:v>
      </x:c>
      <x:c r="AJ4783" t="n">
        <x:v>0</x:v>
      </x:c>
      <x:c r="AK4783" t="n">
        <x:v>0</x:v>
      </x:c>
      <x:c r="AL4783" t="n">
        <x:v>0</x:v>
      </x:c>
      <x:c r="AM4783" t="n">
        <x:f>CHOOSE('假设'!$B$3,AJ4783,AK4783,AL4783)</x:f>
        <x:v>0</x:v>
      </x:c>
      <x:c r="AN4783" t="n">
        <x:v>1</x:v>
      </x:c>
    </x:row>
    <x:row r="4784" ht="23" customHeight="1">
      <x:c r="A4784" s="11" t="str">
        <x:v>688062.SH</x:v>
      </x:c>
      <x:c r="B4784" s="11" t="str">
        <x:v>2026年底</x:v>
      </x:c>
      <x:c r="C4784" s="11" t="str">
        <x:v>biosim</x:v>
      </x:c>
      <x:c r="D4784" s="11" t="str">
        <x:v>2044-12-31</x:v>
      </x:c>
      <x:c r="E4784" s="11" t="str">
        <x:v>CNY</x:v>
      </x:c>
      <x:c r="F4784" s="11" t="n">
        <x:v>18.001368925393567</x:v>
      </x:c>
      <x:c r="G4784" s="26" t="b">
        <x:v>1</x:v>
      </x:c>
      <x:c r="H4784" s="16" t="n">
        <x:v>0</x:v>
      </x:c>
      <x:c r="I4784" s="16" t="n">
        <x:v>0</x:v>
      </x:c>
      <x:c r="J4784" s="16" t="n">
        <x:v>0</x:v>
      </x:c>
      <x:c r="K4784" s="11" t="n">
        <x:f>CHOOSE('假设'!$B$3,H4784,I4784,J4784)</x:f>
        <x:v>0</x:v>
      </x:c>
      <x:c r="L4784" s="11" t="n">
        <x:f>K4784*'管线假设'!E1027*'管线假设'!F1027*'管线假设'!G1027*IF(E4784="USD",'管线假设'!I1027,1)-AM4784</x:f>
        <x:v>0</x:v>
      </x:c>
      <x:c r="M4784" s="11" t="n">
        <x:f>'管线假设'!H1027</x:f>
        <x:v>0.14</x:v>
      </x:c>
      <x:c r="N4784" s="11" t="n">
        <x:f>IF(G4784,L4784*AN4784/(1+M4784)^F4784,0)</x:f>
        <x:v>0</x:v>
      </x:c>
      <x:c r="AJ4784" t="n">
        <x:v>0</x:v>
      </x:c>
      <x:c r="AK4784" t="n">
        <x:v>0</x:v>
      </x:c>
      <x:c r="AL4784" t="n">
        <x:v>0</x:v>
      </x:c>
      <x:c r="AM4784" t="n">
        <x:f>CHOOSE('假设'!$B$3,AJ4784,AK4784,AL4784)</x:f>
        <x:v>0</x:v>
      </x:c>
      <x:c r="AN4784" t="n">
        <x:v>1</x:v>
      </x:c>
    </x:row>
    <x:row r="4785" ht="23" customHeight="1">
      <x:c r="A4785" s="11" t="str">
        <x:v>688062.SH</x:v>
      </x:c>
      <x:c r="B4785" s="11" t="str">
        <x:v>2026年底</x:v>
      </x:c>
      <x:c r="C4785" s="11" t="str">
        <x:v>biosim</x:v>
      </x:c>
      <x:c r="D4785" s="11" t="str">
        <x:v>2045-12-31</x:v>
      </x:c>
      <x:c r="E4785" s="11" t="str">
        <x:v>CNY</x:v>
      </x:c>
      <x:c r="F4785" s="11" t="n">
        <x:v>19.000684462696782</x:v>
      </x:c>
      <x:c r="G4785" s="26" t="b">
        <x:v>1</x:v>
      </x:c>
      <x:c r="H4785" s="16" t="n">
        <x:v>0</x:v>
      </x:c>
      <x:c r="I4785" s="16" t="n">
        <x:v>0</x:v>
      </x:c>
      <x:c r="J4785" s="16" t="n">
        <x:v>0</x:v>
      </x:c>
      <x:c r="K4785" s="11" t="n">
        <x:f>CHOOSE('假设'!$B$3,H4785,I4785,J4785)</x:f>
        <x:v>0</x:v>
      </x:c>
      <x:c r="L4785" s="11" t="n">
        <x:f>K4785*'管线假设'!E1027*'管线假设'!F1027*'管线假设'!G1027*IF(E4785="USD",'管线假设'!I1027,1)-AM4785</x:f>
        <x:v>0</x:v>
      </x:c>
      <x:c r="M4785" s="11" t="n">
        <x:f>'管线假设'!H1027</x:f>
        <x:v>0.14</x:v>
      </x:c>
      <x:c r="N4785" s="11" t="n">
        <x:f>IF(G4785,L4785*AN4785/(1+M4785)^F4785,0)</x:f>
        <x:v>0</x:v>
      </x:c>
      <x:c r="AJ4785" t="n">
        <x:v>0</x:v>
      </x:c>
      <x:c r="AK4785" t="n">
        <x:v>0</x:v>
      </x:c>
      <x:c r="AL4785" t="n">
        <x:v>0</x:v>
      </x:c>
      <x:c r="AM4785" t="n">
        <x:f>CHOOSE('假设'!$B$3,AJ4785,AK4785,AL4785)</x:f>
        <x:v>0</x:v>
      </x:c>
      <x:c r="AN4785" t="n">
        <x:v>1</x:v>
      </x:c>
    </x:row>
    <x:row r="4786" ht="23" customHeight="1">
      <x:c r="A4786" s="11" t="str">
        <x:v>688062.SH</x:v>
      </x:c>
      <x:c r="B4786" s="11" t="str">
        <x:v>2026年底</x:v>
      </x:c>
      <x:c r="C4786" s="11" t="str">
        <x:v>gcsf</x:v>
      </x:c>
      <x:c r="D4786" s="11" t="str">
        <x:v>2027-12-31</x:v>
      </x:c>
      <x:c r="E4786" s="11" t="str">
        <x:v>CNY</x:v>
      </x:c>
      <x:c r="F4786" s="11" t="n">
        <x:v>0.999315537303217</x:v>
      </x:c>
      <x:c r="G4786" s="26" t="b">
        <x:v>1</x:v>
      </x:c>
      <x:c r="H4786" s="16" t="n">
        <x:v>0.12</x:v>
      </x:c>
      <x:c r="I4786" s="16" t="n">
        <x:v>0.24</x:v>
      </x:c>
      <x:c r="J4786" s="16" t="n">
        <x:v>0.5</x:v>
      </x:c>
      <x:c r="K4786" s="11" t="n">
        <x:f>CHOOSE('假设'!$B$3,H4786,I4786,J4786)</x:f>
        <x:v>0.24</x:v>
      </x:c>
      <x:c r="L4786" s="11" t="n">
        <x:f>K4786*'管线假设'!E1031*'管线假设'!F1031*'管线假设'!G1031*IF(E4786="USD",'管线假设'!I1031,1)-AM4786</x:f>
        <x:v>0.019200000000000002</x:v>
      </x:c>
      <x:c r="M4786" s="11" t="n">
        <x:f>'管线假设'!H1031</x:f>
        <x:v>0.14</x:v>
      </x:c>
      <x:c r="N4786" s="11" t="n">
        <x:f>IF(G4786,L4786*AN4786/(1+M4786)^F4786,0)</x:f>
        <x:v>0.016843615797550615</x:v>
      </x:c>
      <x:c r="AJ4786" t="n">
        <x:v>0</x:v>
      </x:c>
      <x:c r="AK4786" t="n">
        <x:v>0</x:v>
      </x:c>
      <x:c r="AL4786" t="n">
        <x:v>0</x:v>
      </x:c>
      <x:c r="AM4786" t="n">
        <x:f>CHOOSE('假设'!$B$3,AJ4786,AK4786,AL4786)</x:f>
        <x:v>0</x:v>
      </x:c>
      <x:c r="AN4786" t="n">
        <x:v>1</x:v>
      </x:c>
    </x:row>
    <x:row r="4787" ht="23" customHeight="1">
      <x:c r="A4787" s="11" t="str">
        <x:v>688062.SH</x:v>
      </x:c>
      <x:c r="B4787" s="11" t="str">
        <x:v>2026年底</x:v>
      </x:c>
      <x:c r="C4787" s="11" t="str">
        <x:v>gcsf</x:v>
      </x:c>
      <x:c r="D4787" s="11" t="str">
        <x:v>2028-12-31</x:v>
      </x:c>
      <x:c r="E4787" s="11" t="str">
        <x:v>CNY</x:v>
      </x:c>
      <x:c r="F4787" s="11" t="n">
        <x:v>2.001368925393566</x:v>
      </x:c>
      <x:c r="G4787" s="26" t="b">
        <x:v>1</x:v>
      </x:c>
      <x:c r="H4787" s="16" t="n">
        <x:v>0.24</x:v>
      </x:c>
      <x:c r="I4787" s="16" t="n">
        <x:v>0.48</x:v>
      </x:c>
      <x:c r="J4787" s="16" t="n">
        <x:v>1</x:v>
      </x:c>
      <x:c r="K4787" s="11" t="n">
        <x:f>CHOOSE('假设'!$B$3,H4787,I4787,J4787)</x:f>
        <x:v>0.48</x:v>
      </x:c>
      <x:c r="L4787" s="11" t="n">
        <x:f>K4787*'管线假设'!E1031*'管线假设'!F1031*'管线假设'!G1031*IF(E4787="USD",'管线假设'!I1031,1)-AM4787</x:f>
        <x:v>0.038400000000000004</x:v>
      </x:c>
      <x:c r="M4787" s="11" t="n">
        <x:f>'管线假设'!H1031</x:f>
        <x:v>0.14</x:v>
      </x:c>
      <x:c r="N4787" s="11" t="n">
        <x:f>IF(G4787,L4787*AN4787/(1+M4787)^F4787,0)</x:f>
        <x:v>0.029542253685533655</x:v>
      </x:c>
      <x:c r="AJ4787" t="n">
        <x:v>0</x:v>
      </x:c>
      <x:c r="AK4787" t="n">
        <x:v>0</x:v>
      </x:c>
      <x:c r="AL4787" t="n">
        <x:v>0</x:v>
      </x:c>
      <x:c r="AM4787" t="n">
        <x:f>CHOOSE('假设'!$B$3,AJ4787,AK4787,AL4787)</x:f>
        <x:v>0</x:v>
      </x:c>
      <x:c r="AN4787" t="n">
        <x:v>1</x:v>
      </x:c>
    </x:row>
    <x:row r="4788" ht="23" customHeight="1">
      <x:c r="A4788" s="11" t="str">
        <x:v>688062.SH</x:v>
      </x:c>
      <x:c r="B4788" s="11" t="str">
        <x:v>2026年底</x:v>
      </x:c>
      <x:c r="C4788" s="11" t="str">
        <x:v>gcsf</x:v>
      </x:c>
      <x:c r="D4788" s="11" t="str">
        <x:v>2029-12-31</x:v>
      </x:c>
      <x:c r="E4788" s="11" t="str">
        <x:v>CNY</x:v>
      </x:c>
      <x:c r="F4788" s="11" t="n">
        <x:v>3.0006844626967832</x:v>
      </x:c>
      <x:c r="G4788" s="26" t="b">
        <x:v>1</x:v>
      </x:c>
      <x:c r="H4788" s="16" t="n">
        <x:v>0.36</x:v>
      </x:c>
      <x:c r="I4788" s="16" t="n">
        <x:v>0.72</x:v>
      </x:c>
      <x:c r="J4788" s="16" t="n">
        <x:v>1.5</x:v>
      </x:c>
      <x:c r="K4788" s="11" t="n">
        <x:f>CHOOSE('假设'!$B$3,H4788,I4788,J4788)</x:f>
        <x:v>0.72</x:v>
      </x:c>
      <x:c r="L4788" s="11" t="n">
        <x:f>K4788*'管线假设'!E1031*'管线假设'!F1031*'管线假设'!G1031*IF(E4788="USD",'管线假设'!I1031,1)-AM4788</x:f>
        <x:v>0.05760000000000001</x:v>
      </x:c>
      <x:c r="M4788" s="11" t="n">
        <x:f>'管线假设'!H1031</x:f>
        <x:v>0.14</x:v>
      </x:c>
      <x:c r="N4788" s="11" t="n">
        <x:f>IF(G4788,L4788*AN4788/(1+M4788)^F4788,0)</x:f>
        <x:v>0.03887487272444552</x:v>
      </x:c>
      <x:c r="AJ4788" t="n">
        <x:v>0</x:v>
      </x:c>
      <x:c r="AK4788" t="n">
        <x:v>0</x:v>
      </x:c>
      <x:c r="AL4788" t="n">
        <x:v>0</x:v>
      </x:c>
      <x:c r="AM4788" t="n">
        <x:f>CHOOSE('假设'!$B$3,AJ4788,AK4788,AL4788)</x:f>
        <x:v>0</x:v>
      </x:c>
      <x:c r="AN4788" t="n">
        <x:v>1</x:v>
      </x:c>
    </x:row>
    <x:row r="4789" ht="23" customHeight="1">
      <x:c r="A4789" s="11" t="str">
        <x:v>688062.SH</x:v>
      </x:c>
      <x:c r="B4789" s="11" t="str">
        <x:v>2026年底</x:v>
      </x:c>
      <x:c r="C4789" s="11" t="str">
        <x:v>gcsf</x:v>
      </x:c>
      <x:c r="D4789" s="11" t="str">
        <x:v>2030-12-31</x:v>
      </x:c>
      <x:c r="E4789" s="11" t="str">
        <x:v>CNY</x:v>
      </x:c>
      <x:c r="F4789" s="11" t="n">
        <x:v>4</x:v>
      </x:c>
      <x:c r="G4789" s="26" t="b">
        <x:v>1</x:v>
      </x:c>
      <x:c r="H4789" s="16" t="n">
        <x:v>0.48</x:v>
      </x:c>
      <x:c r="I4789" s="16" t="n">
        <x:v>0.96</x:v>
      </x:c>
      <x:c r="J4789" s="16" t="n">
        <x:v>2</x:v>
      </x:c>
      <x:c r="K4789" s="11" t="n">
        <x:f>CHOOSE('假设'!$B$3,H4789,I4789,J4789)</x:f>
        <x:v>0.96</x:v>
      </x:c>
      <x:c r="L4789" s="11" t="n">
        <x:f>K4789*'管线假设'!E1031*'管线假设'!F1031*'管线假设'!G1031*IF(E4789="USD",'管线假设'!I1031,1)-AM4789</x:f>
        <x:v>0.07680000000000001</x:v>
      </x:c>
      <x:c r="M4789" s="11" t="n">
        <x:f>'管线假设'!H1031</x:f>
        <x:v>0.14</x:v>
      </x:c>
      <x:c r="N4789" s="11" t="n">
        <x:f>IF(G4789,L4789*AN4789/(1+M4789)^F4789,0)</x:f>
        <x:v>0.04547176530203055</x:v>
      </x:c>
      <x:c r="AJ4789" t="n">
        <x:v>0</x:v>
      </x:c>
      <x:c r="AK4789" t="n">
        <x:v>0</x:v>
      </x:c>
      <x:c r="AL4789" t="n">
        <x:v>0</x:v>
      </x:c>
      <x:c r="AM4789" t="n">
        <x:f>CHOOSE('假设'!$B$3,AJ4789,AK4789,AL4789)</x:f>
        <x:v>0</x:v>
      </x:c>
      <x:c r="AN4789" t="n">
        <x:v>1</x:v>
      </x:c>
    </x:row>
    <x:row r="4790" ht="23" customHeight="1">
      <x:c r="A4790" s="11" t="str">
        <x:v>688062.SH</x:v>
      </x:c>
      <x:c r="B4790" s="11" t="str">
        <x:v>2026年底</x:v>
      </x:c>
      <x:c r="C4790" s="11" t="str">
        <x:v>gcsf</x:v>
      </x:c>
      <x:c r="D4790" s="11" t="str">
        <x:v>2031-12-31</x:v>
      </x:c>
      <x:c r="E4790" s="11" t="str">
        <x:v>CNY</x:v>
      </x:c>
      <x:c r="F4790" s="11" t="n">
        <x:v>4.999315537303217</x:v>
      </x:c>
      <x:c r="G4790" s="26" t="b">
        <x:v>1</x:v>
      </x:c>
      <x:c r="H4790" s="16" t="n">
        <x:v>0.6</x:v>
      </x:c>
      <x:c r="I4790" s="16" t="n">
        <x:v>1.2</x:v>
      </x:c>
      <x:c r="J4790" s="16" t="n">
        <x:v>1.74</x:v>
      </x:c>
      <x:c r="K4790" s="11" t="n">
        <x:f>CHOOSE('假设'!$B$3,H4790,I4790,J4790)</x:f>
        <x:v>1.2</x:v>
      </x:c>
      <x:c r="L4790" s="11" t="n">
        <x:f>K4790*'管线假设'!E1031*'管线假设'!F1031*'管线假设'!G1031*IF(E4790="USD",'管线假设'!I1031,1)-AM4790</x:f>
        <x:v>0.09600000000000002</x:v>
      </x:c>
      <x:c r="M4790" s="11" t="n">
        <x:f>'管线假设'!H1031</x:f>
        <x:v>0.14</x:v>
      </x:c>
      <x:c r="N4790" s="11" t="n">
        <x:f>IF(G4790,L4790*AN4790/(1+M4790)^F4790,0)</x:f>
        <x:v>0.04986386356665337</x:v>
      </x:c>
      <x:c r="AJ4790" t="n">
        <x:v>0</x:v>
      </x:c>
      <x:c r="AK4790" t="n">
        <x:v>0</x:v>
      </x:c>
      <x:c r="AL4790" t="n">
        <x:v>0</x:v>
      </x:c>
      <x:c r="AM4790" t="n">
        <x:f>CHOOSE('假设'!$B$3,AJ4790,AK4790,AL4790)</x:f>
        <x:v>0</x:v>
      </x:c>
      <x:c r="AN4790" t="n">
        <x:v>1</x:v>
      </x:c>
    </x:row>
    <x:row r="4791" ht="23" customHeight="1">
      <x:c r="A4791" s="11" t="str">
        <x:v>688062.SH</x:v>
      </x:c>
      <x:c r="B4791" s="11" t="str">
        <x:v>2026年底</x:v>
      </x:c>
      <x:c r="C4791" s="11" t="str">
        <x:v>gcsf</x:v>
      </x:c>
      <x:c r="D4791" s="11" t="str">
        <x:v>2032-12-31</x:v>
      </x:c>
      <x:c r="E4791" s="11" t="str">
        <x:v>CNY</x:v>
      </x:c>
      <x:c r="F4791" s="11" t="n">
        <x:v>6.0013689253935665</x:v>
      </x:c>
      <x:c r="G4791" s="26" t="b">
        <x:v>1</x:v>
      </x:c>
      <x:c r="H4791" s="16" t="n">
        <x:v>0.522</x:v>
      </x:c>
      <x:c r="I4791" s="16" t="n">
        <x:v>1.044</x:v>
      </x:c>
      <x:c r="J4791" s="16" t="n">
        <x:v>1.48</x:v>
      </x:c>
      <x:c r="K4791" s="11" t="n">
        <x:f>CHOOSE('假设'!$B$3,H4791,I4791,J4791)</x:f>
        <x:v>1.044</x:v>
      </x:c>
      <x:c r="L4791" s="11" t="n">
        <x:f>K4791*'管线假设'!E1031*'管线假设'!F1031*'管线假设'!G1031*IF(E4791="USD",'管线假设'!I1031,1)-AM4791</x:f>
        <x:v>0.08352000000000002</x:v>
      </x:c>
      <x:c r="M4791" s="11" t="n">
        <x:f>'管线假设'!H1031</x:f>
        <x:v>0.14</x:v>
      </x:c>
      <x:c r="N4791" s="11" t="n">
        <x:f>IF(G4791,L4791*AN4791/(1+M4791)^F4791,0)</x:f>
        <x:v>0.038043764019890014</x:v>
      </x:c>
      <x:c r="AJ4791" t="n">
        <x:v>0</x:v>
      </x:c>
      <x:c r="AK4791" t="n">
        <x:v>0</x:v>
      </x:c>
      <x:c r="AL4791" t="n">
        <x:v>0</x:v>
      </x:c>
      <x:c r="AM4791" t="n">
        <x:f>CHOOSE('假设'!$B$3,AJ4791,AK4791,AL4791)</x:f>
        <x:v>0</x:v>
      </x:c>
      <x:c r="AN4791" t="n">
        <x:v>1</x:v>
      </x:c>
    </x:row>
    <x:row r="4792" ht="23" customHeight="1">
      <x:c r="A4792" s="11" t="str">
        <x:v>688062.SH</x:v>
      </x:c>
      <x:c r="B4792" s="11" t="str">
        <x:v>2026年底</x:v>
      </x:c>
      <x:c r="C4792" s="11" t="str">
        <x:v>gcsf</x:v>
      </x:c>
      <x:c r="D4792" s="11" t="str">
        <x:v>2033-12-31</x:v>
      </x:c>
      <x:c r="E4792" s="11" t="str">
        <x:v>CNY</x:v>
      </x:c>
      <x:c r="F4792" s="11" t="n">
        <x:v>7.000684462696783</x:v>
      </x:c>
      <x:c r="G4792" s="26" t="b">
        <x:v>1</x:v>
      </x:c>
      <x:c r="H4792" s="16" t="n">
        <x:v>0.444</x:v>
      </x:c>
      <x:c r="I4792" s="16" t="n">
        <x:v>0.888</x:v>
      </x:c>
      <x:c r="J4792" s="16" t="n">
        <x:v>1.22</x:v>
      </x:c>
      <x:c r="K4792" s="11" t="n">
        <x:f>CHOOSE('假设'!$B$3,H4792,I4792,J4792)</x:f>
        <x:v>0.888</x:v>
      </x:c>
      <x:c r="L4792" s="11" t="n">
        <x:f>K4792*'管线假设'!E1031*'管线假设'!F1031*'管线假设'!G1031*IF(E4792="USD",'管线假设'!I1031,1)-AM4792</x:f>
        <x:v>0.07104000000000002</x:v>
      </x:c>
      <x:c r="M4792" s="11" t="n">
        <x:f>'管线假设'!H1031</x:f>
        <x:v>0.14</x:v>
      </x:c>
      <x:c r="N4792" s="11" t="n">
        <x:f>IF(G4792,L4792*AN4792/(1+M4792)^F4792,0)</x:f>
        <x:v>0.02838768935801864</x:v>
      </x:c>
      <x:c r="AJ4792" t="n">
        <x:v>0</x:v>
      </x:c>
      <x:c r="AK4792" t="n">
        <x:v>0</x:v>
      </x:c>
      <x:c r="AL4792" t="n">
        <x:v>0</x:v>
      </x:c>
      <x:c r="AM4792" t="n">
        <x:f>CHOOSE('假设'!$B$3,AJ4792,AK4792,AL4792)</x:f>
        <x:v>0</x:v>
      </x:c>
      <x:c r="AN4792" t="n">
        <x:v>1</x:v>
      </x:c>
    </x:row>
    <x:row r="4793" ht="23" customHeight="1">
      <x:c r="A4793" s="11" t="str">
        <x:v>688062.SH</x:v>
      </x:c>
      <x:c r="B4793" s="11" t="str">
        <x:v>2026年底</x:v>
      </x:c>
      <x:c r="C4793" s="11" t="str">
        <x:v>gcsf</x:v>
      </x:c>
      <x:c r="D4793" s="11" t="str">
        <x:v>2034-12-31</x:v>
      </x:c>
      <x:c r="E4793" s="11" t="str">
        <x:v>CNY</x:v>
      </x:c>
      <x:c r="F4793" s="11" t="n">
        <x:v>8</x:v>
      </x:c>
      <x:c r="G4793" s="26" t="b">
        <x:v>1</x:v>
      </x:c>
      <x:c r="H4793" s="16" t="n">
        <x:v>0.366</x:v>
      </x:c>
      <x:c r="I4793" s="16" t="n">
        <x:v>0.732</x:v>
      </x:c>
      <x:c r="J4793" s="16" t="n">
        <x:v>0.96</x:v>
      </x:c>
      <x:c r="K4793" s="11" t="n">
        <x:f>CHOOSE('假设'!$B$3,H4793,I4793,J4793)</x:f>
        <x:v>0.732</x:v>
      </x:c>
      <x:c r="L4793" s="11" t="n">
        <x:f>K4793*'管线假设'!E1031*'管线假设'!F1031*'管线假设'!G1031*IF(E4793="USD",'管线假设'!I1031,1)-AM4793</x:f>
        <x:v>0.05856000000000001</x:v>
      </x:c>
      <x:c r="M4793" s="11" t="n">
        <x:f>'管线假设'!H1031</x:f>
        <x:v>0.14</x:v>
      </x:c>
      <x:c r="N4793" s="11" t="n">
        <x:f>IF(G4793,L4793*AN4793/(1+M4793)^F4793,0)</x:f>
        <x:v>0.020528738252060537</x:v>
      </x:c>
      <x:c r="AJ4793" t="n">
        <x:v>0</x:v>
      </x:c>
      <x:c r="AK4793" t="n">
        <x:v>0</x:v>
      </x:c>
      <x:c r="AL4793" t="n">
        <x:v>0</x:v>
      </x:c>
      <x:c r="AM4793" t="n">
        <x:f>CHOOSE('假设'!$B$3,AJ4793,AK4793,AL4793)</x:f>
        <x:v>0</x:v>
      </x:c>
      <x:c r="AN4793" t="n">
        <x:v>1</x:v>
      </x:c>
    </x:row>
    <x:row r="4794" ht="23" customHeight="1">
      <x:c r="A4794" s="11" t="str">
        <x:v>688062.SH</x:v>
      </x:c>
      <x:c r="B4794" s="11" t="str">
        <x:v>2026年底</x:v>
      </x:c>
      <x:c r="C4794" s="11" t="str">
        <x:v>gcsf</x:v>
      </x:c>
      <x:c r="D4794" s="11" t="str">
        <x:v>2035-12-31</x:v>
      </x:c>
      <x:c r="E4794" s="11" t="str">
        <x:v>CNY</x:v>
      </x:c>
      <x:c r="F4794" s="11" t="n">
        <x:v>8.999315537303216</x:v>
      </x:c>
      <x:c r="G4794" s="26" t="b">
        <x:v>1</x:v>
      </x:c>
      <x:c r="H4794" s="16" t="n">
        <x:v>0.288</x:v>
      </x:c>
      <x:c r="I4794" s="16" t="n">
        <x:v>0.576</x:v>
      </x:c>
      <x:c r="J4794" s="16" t="n">
        <x:v>0.7</x:v>
      </x:c>
      <x:c r="K4794" s="11" t="n">
        <x:f>CHOOSE('假设'!$B$3,H4794,I4794,J4794)</x:f>
        <x:v>0.576</x:v>
      </x:c>
      <x:c r="L4794" s="11" t="n">
        <x:f>K4794*'管线假设'!E1031*'管线假设'!F1031*'管线假设'!G1031*IF(E4794="USD",'管线假设'!I1031,1)-AM4794</x:f>
        <x:v>0.04608</x:v>
      </x:c>
      <x:c r="M4794" s="11" t="n">
        <x:f>'管线假设'!H1031</x:f>
        <x:v>0.14</x:v>
      </x:c>
      <x:c r="N4794" s="11" t="n">
        <x:f>IF(G4794,L4794*AN4794/(1+M4794)^F4794,0)</x:f>
        <x:v>0.014171236882220838</x:v>
      </x:c>
      <x:c r="AJ4794" t="n">
        <x:v>0</x:v>
      </x:c>
      <x:c r="AK4794" t="n">
        <x:v>0</x:v>
      </x:c>
      <x:c r="AL4794" t="n">
        <x:v>0</x:v>
      </x:c>
      <x:c r="AM4794" t="n">
        <x:f>CHOOSE('假设'!$B$3,AJ4794,AK4794,AL4794)</x:f>
        <x:v>0</x:v>
      </x:c>
      <x:c r="AN4794" t="n">
        <x:v>1</x:v>
      </x:c>
    </x:row>
    <x:row r="4795" ht="23" customHeight="1">
      <x:c r="A4795" s="11" t="str">
        <x:v>688062.SH</x:v>
      </x:c>
      <x:c r="B4795" s="11" t="str">
        <x:v>2026年底</x:v>
      </x:c>
      <x:c r="C4795" s="11" t="str">
        <x:v>gcsf</x:v>
      </x:c>
      <x:c r="D4795" s="11" t="str">
        <x:v>2036-12-31</x:v>
      </x:c>
      <x:c r="E4795" s="11" t="str">
        <x:v>CNY</x:v>
      </x:c>
      <x:c r="F4795" s="11" t="n">
        <x:v>10.001368925393566</x:v>
      </x:c>
      <x:c r="G4795" s="26" t="b">
        <x:v>1</x:v>
      </x:c>
      <x:c r="H4795" s="16" t="n">
        <x:v>0.21</x:v>
      </x:c>
      <x:c r="I4795" s="16" t="n">
        <x:v>0.42</x:v>
      </x:c>
      <x:c r="J4795" s="16" t="n">
        <x:v>0.43999999999999995</x:v>
      </x:c>
      <x:c r="K4795" s="11" t="n">
        <x:f>CHOOSE('假设'!$B$3,H4795,I4795,J4795)</x:f>
        <x:v>0.42</x:v>
      </x:c>
      <x:c r="L4795" s="11" t="n">
        <x:f>K4795*'管线假设'!E1031*'管线假设'!F1031*'管线假设'!G1031*IF(E4795="USD",'管线假设'!I1031,1)-AM4795</x:f>
        <x:v>0.033600000000000005</x:v>
      </x:c>
      <x:c r="M4795" s="11" t="n">
        <x:f>'管线假设'!H1031</x:f>
        <x:v>0.14</x:v>
      </x:c>
      <x:c r="N4795" s="11" t="n">
        <x:f>IF(G4795,L4795*AN4795/(1+M4795)^F4795,0)</x:f>
        <x:v>0.009061766463891816</x:v>
      </x:c>
      <x:c r="AJ4795" t="n">
        <x:v>0</x:v>
      </x:c>
      <x:c r="AK4795" t="n">
        <x:v>0</x:v>
      </x:c>
      <x:c r="AL4795" t="n">
        <x:v>0</x:v>
      </x:c>
      <x:c r="AM4795" t="n">
        <x:f>CHOOSE('假设'!$B$3,AJ4795,AK4795,AL4795)</x:f>
        <x:v>0</x:v>
      </x:c>
      <x:c r="AN4795" t="n">
        <x:v>1</x:v>
      </x:c>
    </x:row>
    <x:row r="4796" ht="23" customHeight="1">
      <x:c r="A4796" s="11" t="str">
        <x:v>688062.SH</x:v>
      </x:c>
      <x:c r="B4796" s="11" t="str">
        <x:v>2026年底</x:v>
      </x:c>
      <x:c r="C4796" s="11" t="str">
        <x:v>gcsf</x:v>
      </x:c>
      <x:c r="D4796" s="11" t="str">
        <x:v>2037-12-31</x:v>
      </x:c>
      <x:c r="E4796" s="11" t="str">
        <x:v>CNY</x:v>
      </x:c>
      <x:c r="F4796" s="11" t="n">
        <x:v>11.000684462696784</x:v>
      </x:c>
      <x:c r="G4796" s="26" t="b">
        <x:v>1</x:v>
      </x:c>
      <x:c r="H4796" s="16" t="n">
        <x:v>0.13199999999999998</x:v>
      </x:c>
      <x:c r="I4796" s="16" t="n">
        <x:v>0.26399999999999996</x:v>
      </x:c>
      <x:c r="J4796" s="16" t="n">
        <x:v>0.17999999999999994</x:v>
      </x:c>
      <x:c r="K4796" s="11" t="n">
        <x:f>CHOOSE('假设'!$B$3,H4796,I4796,J4796)</x:f>
        <x:v>0.26399999999999996</x:v>
      </x:c>
      <x:c r="L4796" s="11" t="n">
        <x:f>K4796*'管线假设'!E1031*'管线假设'!F1031*'管线假设'!G1031*IF(E4796="USD",'管线假设'!I1031,1)-AM4796</x:f>
        <x:v>0.02112</x:v>
      </x:c>
      <x:c r="M4796" s="11" t="n">
        <x:f>'管线假设'!H1031</x:f>
        <x:v>0.14</x:v>
      </x:c>
      <x:c r="N4796" s="11" t="n">
        <x:f>IF(G4796,L4796*AN4796/(1+M4796)^F4796,0)</x:f>
        <x:v>0.004996910834565917</x:v>
      </x:c>
      <x:c r="AJ4796" t="n">
        <x:v>0</x:v>
      </x:c>
      <x:c r="AK4796" t="n">
        <x:v>0</x:v>
      </x:c>
      <x:c r="AL4796" t="n">
        <x:v>0</x:v>
      </x:c>
      <x:c r="AM4796" t="n">
        <x:f>CHOOSE('假设'!$B$3,AJ4796,AK4796,AL4796)</x:f>
        <x:v>0</x:v>
      </x:c>
      <x:c r="AN4796" t="n">
        <x:v>1</x:v>
      </x:c>
    </x:row>
    <x:row r="4797" ht="23" customHeight="1">
      <x:c r="A4797" s="11" t="str">
        <x:v>688062.SH</x:v>
      </x:c>
      <x:c r="B4797" s="11" t="str">
        <x:v>2026年底</x:v>
      </x:c>
      <x:c r="C4797" s="11" t="str">
        <x:v>gcsf</x:v>
      </x:c>
      <x:c r="D4797" s="11" t="str">
        <x:v>2038-12-31</x:v>
      </x:c>
      <x:c r="E4797" s="11" t="str">
        <x:v>CNY</x:v>
      </x:c>
      <x:c r="F4797" s="11" t="n">
        <x:v>12</x:v>
      </x:c>
      <x:c r="G4797" s="26" t="b">
        <x:v>1</x:v>
      </x:c>
      <x:c r="H4797" s="16" t="n">
        <x:v>0.05399999999999998</x:v>
      </x:c>
      <x:c r="I4797" s="16" t="n">
        <x:v>0.10799999999999996</x:v>
      </x:c>
      <x:c r="J4797" s="16" t="n">
        <x:v>0</x:v>
      </x:c>
      <x:c r="K4797" s="11" t="n">
        <x:f>CHOOSE('假设'!$B$3,H4797,I4797,J4797)</x:f>
        <x:v>0.10799999999999996</x:v>
      </x:c>
      <x:c r="L4797" s="11" t="n">
        <x:f>K4797*'管线假设'!E1031*'管线假设'!F1031*'管线假设'!G1031*IF(E4797="USD",'管线假设'!I1031,1)-AM4797</x:f>
        <x:v>0.008639999999999998</x:v>
      </x:c>
      <x:c r="M4797" s="11" t="n">
        <x:f>'管线假设'!H1031</x:f>
        <x:v>0.14</x:v>
      </x:c>
      <x:c r="N4797" s="11" t="n">
        <x:f>IF(G4797,L4797*AN4797/(1+M4797)^F4797,0)</x:f>
        <x:v>0.001793310645000986</x:v>
      </x:c>
      <x:c r="AJ4797" t="n">
        <x:v>0</x:v>
      </x:c>
      <x:c r="AK4797" t="n">
        <x:v>0</x:v>
      </x:c>
      <x:c r="AL4797" t="n">
        <x:v>0</x:v>
      </x:c>
      <x:c r="AM4797" t="n">
        <x:f>CHOOSE('假设'!$B$3,AJ4797,AK4797,AL4797)</x:f>
        <x:v>0</x:v>
      </x:c>
      <x:c r="AN4797" t="n">
        <x:v>1</x:v>
      </x:c>
    </x:row>
    <x:row r="4798" ht="23" customHeight="1">
      <x:c r="A4798" s="11" t="str">
        <x:v>688062.SH</x:v>
      </x:c>
      <x:c r="B4798" s="11" t="str">
        <x:v>2026年底</x:v>
      </x:c>
      <x:c r="C4798" s="11" t="str">
        <x:v>gcsf</x:v>
      </x:c>
      <x:c r="D4798" s="11" t="str">
        <x:v>2039-12-31</x:v>
      </x:c>
      <x:c r="E4798" s="11" t="str">
        <x:v>CNY</x:v>
      </x:c>
      <x:c r="F4798" s="11" t="n">
        <x:v>12.999315537303216</x:v>
      </x:c>
      <x:c r="G4798" s="26" t="b">
        <x:v>1</x:v>
      </x:c>
      <x:c r="H4798" s="16" t="n">
        <x:v>0</x:v>
      </x:c>
      <x:c r="I4798" s="16" t="n">
        <x:v>0</x:v>
      </x:c>
      <x:c r="J4798" s="16" t="n">
        <x:v>0</x:v>
      </x:c>
      <x:c r="K4798" s="11" t="n">
        <x:f>CHOOSE('假设'!$B$3,H4798,I4798,J4798)</x:f>
        <x:v>0</x:v>
      </x:c>
      <x:c r="L4798" s="11" t="n">
        <x:f>K4798*'管线假设'!E1031*'管线假设'!F1031*'管线假设'!G1031*IF(E4798="USD",'管线假设'!I1031,1)-AM4798</x:f>
        <x:v>0</x:v>
      </x:c>
      <x:c r="M4798" s="11" t="n">
        <x:f>'管线假设'!H1031</x:f>
        <x:v>0.14</x:v>
      </x:c>
      <x:c r="N4798" s="11" t="n">
        <x:f>IF(G4798,L4798*AN4798/(1+M4798)^F4798,0)</x:f>
        <x:v>0</x:v>
      </x:c>
      <x:c r="AJ4798" t="n">
        <x:v>0</x:v>
      </x:c>
      <x:c r="AK4798" t="n">
        <x:v>0</x:v>
      </x:c>
      <x:c r="AL4798" t="n">
        <x:v>0</x:v>
      </x:c>
      <x:c r="AM4798" t="n">
        <x:f>CHOOSE('假设'!$B$3,AJ4798,AK4798,AL4798)</x:f>
        <x:v>0</x:v>
      </x:c>
      <x:c r="AN4798" t="n">
        <x:v>1</x:v>
      </x:c>
    </x:row>
    <x:row r="4799" ht="23" customHeight="1">
      <x:c r="A4799" s="11" t="str">
        <x:v>688062.SH</x:v>
      </x:c>
      <x:c r="B4799" s="11" t="str">
        <x:v>2026年底</x:v>
      </x:c>
      <x:c r="C4799" s="11" t="str">
        <x:v>gcsf</x:v>
      </x:c>
      <x:c r="D4799" s="11" t="str">
        <x:v>2040-12-31</x:v>
      </x:c>
      <x:c r="E4799" s="11" t="str">
        <x:v>CNY</x:v>
      </x:c>
      <x:c r="F4799" s="11" t="n">
        <x:v>14.001368925393566</x:v>
      </x:c>
      <x:c r="G4799" s="26" t="b">
        <x:v>1</x:v>
      </x:c>
      <x:c r="H4799" s="16" t="n">
        <x:v>0</x:v>
      </x:c>
      <x:c r="I4799" s="16" t="n">
        <x:v>0</x:v>
      </x:c>
      <x:c r="J4799" s="16" t="n">
        <x:v>0</x:v>
      </x:c>
      <x:c r="K4799" s="11" t="n">
        <x:f>CHOOSE('假设'!$B$3,H4799,I4799,J4799)</x:f>
        <x:v>0</x:v>
      </x:c>
      <x:c r="L4799" s="11" t="n">
        <x:f>K4799*'管线假设'!E1031*'管线假设'!F1031*'管线假设'!G1031*IF(E4799="USD",'管线假设'!I1031,1)-AM4799</x:f>
        <x:v>0</x:v>
      </x:c>
      <x:c r="M4799" s="11" t="n">
        <x:f>'管线假设'!H1031</x:f>
        <x:v>0.14</x:v>
      </x:c>
      <x:c r="N4799" s="11" t="n">
        <x:f>IF(G4799,L4799*AN4799/(1+M4799)^F4799,0)</x:f>
        <x:v>0</x:v>
      </x:c>
      <x:c r="AJ4799" t="n">
        <x:v>0</x:v>
      </x:c>
      <x:c r="AK4799" t="n">
        <x:v>0</x:v>
      </x:c>
      <x:c r="AL4799" t="n">
        <x:v>0</x:v>
      </x:c>
      <x:c r="AM4799" t="n">
        <x:f>CHOOSE('假设'!$B$3,AJ4799,AK4799,AL4799)</x:f>
        <x:v>0</x:v>
      </x:c>
      <x:c r="AN4799" t="n">
        <x:v>1</x:v>
      </x:c>
    </x:row>
    <x:row r="4800" ht="23" customHeight="1">
      <x:c r="A4800" s="11" t="str">
        <x:v>688062.SH</x:v>
      </x:c>
      <x:c r="B4800" s="11" t="str">
        <x:v>2026年底</x:v>
      </x:c>
      <x:c r="C4800" s="11" t="str">
        <x:v>gcsf</x:v>
      </x:c>
      <x:c r="D4800" s="11" t="str">
        <x:v>2041-12-31</x:v>
      </x:c>
      <x:c r="E4800" s="11" t="str">
        <x:v>CNY</x:v>
      </x:c>
      <x:c r="F4800" s="11" t="n">
        <x:v>15.000684462696784</x:v>
      </x:c>
      <x:c r="G4800" s="26" t="b">
        <x:v>1</x:v>
      </x:c>
      <x:c r="H4800" s="16" t="n">
        <x:v>0</x:v>
      </x:c>
      <x:c r="I4800" s="16" t="n">
        <x:v>0</x:v>
      </x:c>
      <x:c r="J4800" s="16" t="n">
        <x:v>0</x:v>
      </x:c>
      <x:c r="K4800" s="11" t="n">
        <x:f>CHOOSE('假设'!$B$3,H4800,I4800,J4800)</x:f>
        <x:v>0</x:v>
      </x:c>
      <x:c r="L4800" s="11" t="n">
        <x:f>K4800*'管线假设'!E1031*'管线假设'!F1031*'管线假设'!G1031*IF(E4800="USD",'管线假设'!I1031,1)-AM4800</x:f>
        <x:v>0</x:v>
      </x:c>
      <x:c r="M4800" s="11" t="n">
        <x:f>'管线假设'!H1031</x:f>
        <x:v>0.14</x:v>
      </x:c>
      <x:c r="N4800" s="11" t="n">
        <x:f>IF(G4800,L4800*AN4800/(1+M4800)^F4800,0)</x:f>
        <x:v>0</x:v>
      </x:c>
      <x:c r="AJ4800" t="n">
        <x:v>0</x:v>
      </x:c>
      <x:c r="AK4800" t="n">
        <x:v>0</x:v>
      </x:c>
      <x:c r="AL4800" t="n">
        <x:v>0</x:v>
      </x:c>
      <x:c r="AM4800" t="n">
        <x:f>CHOOSE('假设'!$B$3,AJ4800,AK4800,AL4800)</x:f>
        <x:v>0</x:v>
      </x:c>
      <x:c r="AN4800" t="n">
        <x:v>1</x:v>
      </x:c>
    </x:row>
    <x:row r="4801" ht="23" customHeight="1">
      <x:c r="A4801" s="11" t="str">
        <x:v>688062.SH</x:v>
      </x:c>
      <x:c r="B4801" s="11" t="str">
        <x:v>2026年底</x:v>
      </x:c>
      <x:c r="C4801" s="11" t="str">
        <x:v>gcsf</x:v>
      </x:c>
      <x:c r="D4801" s="11" t="str">
        <x:v>2042-12-31</x:v>
      </x:c>
      <x:c r="E4801" s="11" t="str">
        <x:v>CNY</x:v>
      </x:c>
      <x:c r="F4801" s="11" t="n">
        <x:v>16</x:v>
      </x:c>
      <x:c r="G4801" s="26" t="b">
        <x:v>1</x:v>
      </x:c>
      <x:c r="H4801" s="16" t="n">
        <x:v>0</x:v>
      </x:c>
      <x:c r="I4801" s="16" t="n">
        <x:v>0</x:v>
      </x:c>
      <x:c r="J4801" s="16" t="n">
        <x:v>0</x:v>
      </x:c>
      <x:c r="K4801" s="11" t="n">
        <x:f>CHOOSE('假设'!$B$3,H4801,I4801,J4801)</x:f>
        <x:v>0</x:v>
      </x:c>
      <x:c r="L4801" s="11" t="n">
        <x:f>K4801*'管线假设'!E1031*'管线假设'!F1031*'管线假设'!G1031*IF(E4801="USD",'管线假设'!I1031,1)-AM4801</x:f>
        <x:v>0</x:v>
      </x:c>
      <x:c r="M4801" s="11" t="n">
        <x:f>'管线假设'!H1031</x:f>
        <x:v>0.14</x:v>
      </x:c>
      <x:c r="N4801" s="11" t="n">
        <x:f>IF(G4801,L4801*AN4801/(1+M4801)^F4801,0)</x:f>
        <x:v>0</x:v>
      </x:c>
      <x:c r="AJ4801" t="n">
        <x:v>0</x:v>
      </x:c>
      <x:c r="AK4801" t="n">
        <x:v>0</x:v>
      </x:c>
      <x:c r="AL4801" t="n">
        <x:v>0</x:v>
      </x:c>
      <x:c r="AM4801" t="n">
        <x:f>CHOOSE('假设'!$B$3,AJ4801,AK4801,AL4801)</x:f>
        <x:v>0</x:v>
      </x:c>
      <x:c r="AN4801" t="n">
        <x:v>1</x:v>
      </x:c>
    </x:row>
    <x:row r="4802" ht="23" customHeight="1">
      <x:c r="A4802" s="11" t="str">
        <x:v>688062.SH</x:v>
      </x:c>
      <x:c r="B4802" s="11" t="str">
        <x:v>2026年底</x:v>
      </x:c>
      <x:c r="C4802" s="11" t="str">
        <x:v>gcsf</x:v>
      </x:c>
      <x:c r="D4802" s="11" t="str">
        <x:v>2043-12-31</x:v>
      </x:c>
      <x:c r="E4802" s="11" t="str">
        <x:v>CNY</x:v>
      </x:c>
      <x:c r="F4802" s="11" t="n">
        <x:v>16.999315537303218</x:v>
      </x:c>
      <x:c r="G4802" s="26" t="b">
        <x:v>1</x:v>
      </x:c>
      <x:c r="H4802" s="16" t="n">
        <x:v>0</x:v>
      </x:c>
      <x:c r="I4802" s="16" t="n">
        <x:v>0</x:v>
      </x:c>
      <x:c r="J4802" s="16" t="n">
        <x:v>0</x:v>
      </x:c>
      <x:c r="K4802" s="11" t="n">
        <x:f>CHOOSE('假设'!$B$3,H4802,I4802,J4802)</x:f>
        <x:v>0</x:v>
      </x:c>
      <x:c r="L4802" s="11" t="n">
        <x:f>K4802*'管线假设'!E1031*'管线假设'!F1031*'管线假设'!G1031*IF(E4802="USD",'管线假设'!I1031,1)-AM4802</x:f>
        <x:v>0</x:v>
      </x:c>
      <x:c r="M4802" s="11" t="n">
        <x:f>'管线假设'!H1031</x:f>
        <x:v>0.14</x:v>
      </x:c>
      <x:c r="N4802" s="11" t="n">
        <x:f>IF(G4802,L4802*AN4802/(1+M4802)^F4802,0)</x:f>
        <x:v>0</x:v>
      </x:c>
      <x:c r="AJ4802" t="n">
        <x:v>0</x:v>
      </x:c>
      <x:c r="AK4802" t="n">
        <x:v>0</x:v>
      </x:c>
      <x:c r="AL4802" t="n">
        <x:v>0</x:v>
      </x:c>
      <x:c r="AM4802" t="n">
        <x:f>CHOOSE('假设'!$B$3,AJ4802,AK4802,AL4802)</x:f>
        <x:v>0</x:v>
      </x:c>
      <x:c r="AN4802" t="n">
        <x:v>1</x:v>
      </x:c>
    </x:row>
    <x:row r="4803" ht="23" customHeight="1">
      <x:c r="A4803" s="11" t="str">
        <x:v>688062.SH</x:v>
      </x:c>
      <x:c r="B4803" s="11" t="str">
        <x:v>2026年底</x:v>
      </x:c>
      <x:c r="C4803" s="11" t="str">
        <x:v>gcsf</x:v>
      </x:c>
      <x:c r="D4803" s="11" t="str">
        <x:v>2044-12-31</x:v>
      </x:c>
      <x:c r="E4803" s="11" t="str">
        <x:v>CNY</x:v>
      </x:c>
      <x:c r="F4803" s="11" t="n">
        <x:v>18.001368925393567</x:v>
      </x:c>
      <x:c r="G4803" s="26" t="b">
        <x:v>1</x:v>
      </x:c>
      <x:c r="H4803" s="16" t="n">
        <x:v>0</x:v>
      </x:c>
      <x:c r="I4803" s="16" t="n">
        <x:v>0</x:v>
      </x:c>
      <x:c r="J4803" s="16" t="n">
        <x:v>0</x:v>
      </x:c>
      <x:c r="K4803" s="11" t="n">
        <x:f>CHOOSE('假设'!$B$3,H4803,I4803,J4803)</x:f>
        <x:v>0</x:v>
      </x:c>
      <x:c r="L4803" s="11" t="n">
        <x:f>K4803*'管线假设'!E1031*'管线假设'!F1031*'管线假设'!G1031*IF(E4803="USD",'管线假设'!I1031,1)-AM4803</x:f>
        <x:v>0</x:v>
      </x:c>
      <x:c r="M4803" s="11" t="n">
        <x:f>'管线假设'!H1031</x:f>
        <x:v>0.14</x:v>
      </x:c>
      <x:c r="N4803" s="11" t="n">
        <x:f>IF(G4803,L4803*AN4803/(1+M4803)^F4803,0)</x:f>
        <x:v>0</x:v>
      </x:c>
      <x:c r="AJ4803" t="n">
        <x:v>0</x:v>
      </x:c>
      <x:c r="AK4803" t="n">
        <x:v>0</x:v>
      </x:c>
      <x:c r="AL4803" t="n">
        <x:v>0</x:v>
      </x:c>
      <x:c r="AM4803" t="n">
        <x:f>CHOOSE('假设'!$B$3,AJ4803,AK4803,AL4803)</x:f>
        <x:v>0</x:v>
      </x:c>
      <x:c r="AN4803" t="n">
        <x:v>1</x:v>
      </x:c>
    </x:row>
    <x:row r="4804" ht="23" customHeight="1">
      <x:c r="A4804" s="11" t="str">
        <x:v>688062.SH</x:v>
      </x:c>
      <x:c r="B4804" s="11" t="str">
        <x:v>2026年底</x:v>
      </x:c>
      <x:c r="C4804" s="11" t="str">
        <x:v>gcsf</x:v>
      </x:c>
      <x:c r="D4804" s="11" t="str">
        <x:v>2045-12-31</x:v>
      </x:c>
      <x:c r="E4804" s="11" t="str">
        <x:v>CNY</x:v>
      </x:c>
      <x:c r="F4804" s="11" t="n">
        <x:v>19.000684462696782</x:v>
      </x:c>
      <x:c r="G4804" s="26" t="b">
        <x:v>1</x:v>
      </x:c>
      <x:c r="H4804" s="16" t="n">
        <x:v>0</x:v>
      </x:c>
      <x:c r="I4804" s="16" t="n">
        <x:v>0</x:v>
      </x:c>
      <x:c r="J4804" s="16" t="n">
        <x:v>0</x:v>
      </x:c>
      <x:c r="K4804" s="11" t="n">
        <x:f>CHOOSE('假设'!$B$3,H4804,I4804,J4804)</x:f>
        <x:v>0</x:v>
      </x:c>
      <x:c r="L4804" s="11" t="n">
        <x:f>K4804*'管线假设'!E1031*'管线假设'!F1031*'管线假设'!G1031*IF(E4804="USD",'管线假设'!I1031,1)-AM4804</x:f>
        <x:v>0</x:v>
      </x:c>
      <x:c r="M4804" s="11" t="n">
        <x:f>'管线假设'!H1031</x:f>
        <x:v>0.14</x:v>
      </x:c>
      <x:c r="N4804" s="11" t="n">
        <x:f>IF(G4804,L4804*AN4804/(1+M4804)^F4804,0)</x:f>
        <x:v>0</x:v>
      </x:c>
      <x:c r="AJ4804" t="n">
        <x:v>0</x:v>
      </x:c>
      <x:c r="AK4804" t="n">
        <x:v>0</x:v>
      </x:c>
      <x:c r="AL4804" t="n">
        <x:v>0</x:v>
      </x:c>
      <x:c r="AM4804" t="n">
        <x:f>CHOOSE('假设'!$B$3,AJ4804,AK4804,AL4804)</x:f>
        <x:v>0</x:v>
      </x:c>
      <x:c r="AN4804" t="n">
        <x:v>1</x:v>
      </x:c>
    </x:row>
    <x:row r="4805" ht="23" customHeight="1">
      <x:c r="A4805" s="11" t="str">
        <x:v>688062.SH</x:v>
      </x:c>
      <x:c r="B4805" s="11" t="str">
        <x:v>2026年底</x:v>
      </x:c>
      <x:c r="C4805" s="11" t="str">
        <x:v>bfv_uc_later</x:v>
      </x:c>
      <x:c r="D4805" s="11" t="str">
        <x:v>2027-12-31</x:v>
      </x:c>
      <x:c r="E4805" s="11" t="str">
        <x:v>CNY</x:v>
      </x:c>
      <x:c r="F4805" s="11" t="n">
        <x:v>0.999315537303217</x:v>
      </x:c>
      <x:c r="G4805" s="26" t="b">
        <x:v>1</x:v>
      </x:c>
      <x:c r="H4805" s="16" t="n">
        <x:v>0</x:v>
      </x:c>
      <x:c r="I4805" s="16" t="n">
        <x:v>0</x:v>
      </x:c>
      <x:c r="J4805" s="16" t="n">
        <x:v>0.36000000000000004</x:v>
      </x:c>
      <x:c r="K4805" s="11" t="n">
        <x:f>CHOOSE('假设'!$B$3,H4805,I4805,J4805)</x:f>
        <x:v>0</x:v>
      </x:c>
      <x:c r="L4805" s="11" t="n">
        <x:f>K4805*'管线假设'!E1035*'管线假设'!F1035*'管线假设'!G1035*IF(E4805="USD",'管线假设'!I1035,1)-AM4805</x:f>
        <x:v>0</x:v>
      </x:c>
      <x:c r="M4805" s="11" t="n">
        <x:f>'管线假设'!H1035</x:f>
        <x:v>0.14</x:v>
      </x:c>
      <x:c r="N4805" s="11" t="n">
        <x:f>IF(G4805,L4805*AN4805/(1+M4805)^F4805,0)</x:f>
        <x:v>0</x:v>
      </x:c>
      <x:c r="AJ4805" t="n">
        <x:v>0</x:v>
      </x:c>
      <x:c r="AK4805" t="n">
        <x:v>0</x:v>
      </x:c>
      <x:c r="AL4805" t="n">
        <x:v>0</x:v>
      </x:c>
      <x:c r="AM4805" t="n">
        <x:f>CHOOSE('假设'!$B$3,AJ4805,AK4805,AL4805)</x:f>
        <x:v>0</x:v>
      </x:c>
      <x:c r="AN4805" t="n">
        <x:v>1</x:v>
      </x:c>
    </x:row>
    <x:row r="4806" ht="23" customHeight="1">
      <x:c r="A4806" s="11" t="str">
        <x:v>688062.SH</x:v>
      </x:c>
      <x:c r="B4806" s="11" t="str">
        <x:v>2026年底</x:v>
      </x:c>
      <x:c r="C4806" s="11" t="str">
        <x:v>bfv_uc_later</x:v>
      </x:c>
      <x:c r="D4806" s="11" t="str">
        <x:v>2028-12-31</x:v>
      </x:c>
      <x:c r="E4806" s="11" t="str">
        <x:v>CNY</x:v>
      </x:c>
      <x:c r="F4806" s="11" t="n">
        <x:v>2.001368925393566</x:v>
      </x:c>
      <x:c r="G4806" s="26" t="b">
        <x:v>1</x:v>
      </x:c>
      <x:c r="H4806" s="16" t="n">
        <x:v>0</x:v>
      </x:c>
      <x:c r="I4806" s="16" t="n">
        <x:v>0.22000000000000003</x:v>
      </x:c>
      <x:c r="J4806" s="16" t="n">
        <x:v>0.7200000000000001</x:v>
      </x:c>
      <x:c r="K4806" s="11" t="n">
        <x:f>CHOOSE('假设'!$B$3,H4806,I4806,J4806)</x:f>
        <x:v>0.22000000000000003</x:v>
      </x:c>
      <x:c r="L4806" s="11" t="n">
        <x:f>K4806*'管线假设'!E1035*'管线假设'!F1035*'管线假设'!G1035*IF(E4806="USD",'管线假设'!I1035,1)-AM4806</x:f>
        <x:v>0.040920000000000005</x:v>
      </x:c>
      <x:c r="M4806" s="11" t="n">
        <x:f>'管线假设'!H1035</x:f>
        <x:v>0.14</x:v>
      </x:c>
      <x:c r="N4806" s="11" t="n">
        <x:f>IF(G4806,L4806*AN4806/(1+M4806)^F4806,0)</x:f>
        <x:v>0.031480964083646805</x:v>
      </x:c>
      <x:c r="AJ4806" t="n">
        <x:v>0</x:v>
      </x:c>
      <x:c r="AK4806" t="n">
        <x:v>0</x:v>
      </x:c>
      <x:c r="AL4806" t="n">
        <x:v>0</x:v>
      </x:c>
      <x:c r="AM4806" t="n">
        <x:f>CHOOSE('假设'!$B$3,AJ4806,AK4806,AL4806)</x:f>
        <x:v>0</x:v>
      </x:c>
      <x:c r="AN4806" t="n">
        <x:v>1</x:v>
      </x:c>
    </x:row>
    <x:row r="4807" ht="23" customHeight="1">
      <x:c r="A4807" s="11" t="str">
        <x:v>688062.SH</x:v>
      </x:c>
      <x:c r="B4807" s="11" t="str">
        <x:v>2026年底</x:v>
      </x:c>
      <x:c r="C4807" s="11" t="str">
        <x:v>bfv_uc_later</x:v>
      </x:c>
      <x:c r="D4807" s="11" t="str">
        <x:v>2029-12-31</x:v>
      </x:c>
      <x:c r="E4807" s="11" t="str">
        <x:v>CNY</x:v>
      </x:c>
      <x:c r="F4807" s="11" t="n">
        <x:v>3.0006844626967832</x:v>
      </x:c>
      <x:c r="G4807" s="26" t="b">
        <x:v>1</x:v>
      </x:c>
      <x:c r="H4807" s="16" t="n">
        <x:v>0.09000000000000001</x:v>
      </x:c>
      <x:c r="I4807" s="16" t="n">
        <x:v>0.44000000000000006</x:v>
      </x:c>
      <x:c r="J4807" s="16" t="n">
        <x:v>1.08</x:v>
      </x:c>
      <x:c r="K4807" s="11" t="n">
        <x:f>CHOOSE('假设'!$B$3,H4807,I4807,J4807)</x:f>
        <x:v>0.44000000000000006</x:v>
      </x:c>
      <x:c r="L4807" s="11" t="n">
        <x:f>K4807*'管线假设'!E1035*'管线假设'!F1035*'管线假设'!G1035*IF(E4807="USD",'管线假设'!I1035,1)-AM4807</x:f>
        <x:v>0.08184000000000001</x:v>
      </x:c>
      <x:c r="M4807" s="11" t="n">
        <x:f>'管线假设'!H1035</x:f>
        <x:v>0.14</x:v>
      </x:c>
      <x:c r="N4807" s="11" t="n">
        <x:f>IF(G4807,L4807*AN4807/(1+M4807)^F4807,0)</x:f>
        <x:v>0.05523471499598301</x:v>
      </x:c>
      <x:c r="AJ4807" t="n">
        <x:v>0</x:v>
      </x:c>
      <x:c r="AK4807" t="n">
        <x:v>0</x:v>
      </x:c>
      <x:c r="AL4807" t="n">
        <x:v>0</x:v>
      </x:c>
      <x:c r="AM4807" t="n">
        <x:f>CHOOSE('假设'!$B$3,AJ4807,AK4807,AL4807)</x:f>
        <x:v>0</x:v>
      </x:c>
      <x:c r="AN4807" t="n">
        <x:v>1</x:v>
      </x:c>
    </x:row>
    <x:row r="4808" ht="23" customHeight="1">
      <x:c r="A4808" s="11" t="str">
        <x:v>688062.SH</x:v>
      </x:c>
      <x:c r="B4808" s="11" t="str">
        <x:v>2026年底</x:v>
      </x:c>
      <x:c r="C4808" s="11" t="str">
        <x:v>bfv_uc_later</x:v>
      </x:c>
      <x:c r="D4808" s="11" t="str">
        <x:v>2030-12-31</x:v>
      </x:c>
      <x:c r="E4808" s="11" t="str">
        <x:v>CNY</x:v>
      </x:c>
      <x:c r="F4808" s="11" t="n">
        <x:v>4</x:v>
      </x:c>
      <x:c r="G4808" s="26" t="b">
        <x:v>1</x:v>
      </x:c>
      <x:c r="H4808" s="16" t="n">
        <x:v>0.18000000000000002</x:v>
      </x:c>
      <x:c r="I4808" s="16" t="n">
        <x:v>0.66</x:v>
      </x:c>
      <x:c r="J4808" s="16" t="n">
        <x:v>1.4400000000000002</x:v>
      </x:c>
      <x:c r="K4808" s="11" t="n">
        <x:f>CHOOSE('假设'!$B$3,H4808,I4808,J4808)</x:f>
        <x:v>0.66</x:v>
      </x:c>
      <x:c r="L4808" s="11" t="n">
        <x:f>K4808*'管线假设'!E1035*'管线假设'!F1035*'管线假设'!G1035*IF(E4808="USD",'管线假设'!I1035,1)-AM4808</x:f>
        <x:v>0.12276</x:v>
      </x:c>
      <x:c r="M4808" s="11" t="n">
        <x:f>'管线假设'!H1035</x:f>
        <x:v>0.14</x:v>
      </x:c>
      <x:c r="N4808" s="11" t="n">
        <x:f>IF(G4808,L4808*AN4808/(1+M4808)^F4808,0)</x:f>
        <x:v>0.07268377484996445</x:v>
      </x:c>
      <x:c r="AJ4808" t="n">
        <x:v>0</x:v>
      </x:c>
      <x:c r="AK4808" t="n">
        <x:v>0</x:v>
      </x:c>
      <x:c r="AL4808" t="n">
        <x:v>0</x:v>
      </x:c>
      <x:c r="AM4808" t="n">
        <x:f>CHOOSE('假设'!$B$3,AJ4808,AK4808,AL4808)</x:f>
        <x:v>0</x:v>
      </x:c>
      <x:c r="AN4808" t="n">
        <x:v>1</x:v>
      </x:c>
    </x:row>
    <x:row r="4809" ht="23" customHeight="1">
      <x:c r="A4809" s="11" t="str">
        <x:v>688062.SH</x:v>
      </x:c>
      <x:c r="B4809" s="11" t="str">
        <x:v>2026年底</x:v>
      </x:c>
      <x:c r="C4809" s="11" t="str">
        <x:v>bfv_uc_later</x:v>
      </x:c>
      <x:c r="D4809" s="11" t="str">
        <x:v>2031-12-31</x:v>
      </x:c>
      <x:c r="E4809" s="11" t="str">
        <x:v>CNY</x:v>
      </x:c>
      <x:c r="F4809" s="11" t="n">
        <x:v>4.999315537303217</x:v>
      </x:c>
      <x:c r="G4809" s="26" t="b">
        <x:v>1</x:v>
      </x:c>
      <x:c r="H4809" s="16" t="n">
        <x:v>0.27</x:v>
      </x:c>
      <x:c r="I4809" s="16" t="n">
        <x:v>0.8800000000000001</x:v>
      </x:c>
      <x:c r="J4809" s="16" t="n">
        <x:v>1.8</x:v>
      </x:c>
      <x:c r="K4809" s="11" t="n">
        <x:f>CHOOSE('假设'!$B$3,H4809,I4809,J4809)</x:f>
        <x:v>0.8800000000000001</x:v>
      </x:c>
      <x:c r="L4809" s="11" t="n">
        <x:f>K4809*'管线假设'!E1035*'管线假设'!F1035*'管线假设'!G1035*IF(E4809="USD",'管线假设'!I1035,1)-AM4809</x:f>
        <x:v>0.16368000000000002</x:v>
      </x:c>
      <x:c r="M4809" s="11" t="n">
        <x:f>'管线假设'!H1035</x:f>
        <x:v>0.14</x:v>
      </x:c>
      <x:c r="N4809" s="11" t="n">
        <x:f>IF(G4809,L4809*AN4809/(1+M4809)^F4809,0)</x:f>
        <x:v>0.08501788738114399</x:v>
      </x:c>
      <x:c r="AJ4809" t="n">
        <x:v>0</x:v>
      </x:c>
      <x:c r="AK4809" t="n">
        <x:v>0</x:v>
      </x:c>
      <x:c r="AL4809" t="n">
        <x:v>0</x:v>
      </x:c>
      <x:c r="AM4809" t="n">
        <x:f>CHOOSE('假设'!$B$3,AJ4809,AK4809,AL4809)</x:f>
        <x:v>0</x:v>
      </x:c>
      <x:c r="AN4809" t="n">
        <x:v>1</x:v>
      </x:c>
    </x:row>
    <x:row r="4810" ht="23" customHeight="1">
      <x:c r="A4810" s="11" t="str">
        <x:v>688062.SH</x:v>
      </x:c>
      <x:c r="B4810" s="11" t="str">
        <x:v>2026年底</x:v>
      </x:c>
      <x:c r="C4810" s="11" t="str">
        <x:v>bfv_uc_later</x:v>
      </x:c>
      <x:c r="D4810" s="11" t="str">
        <x:v>2032-12-31</x:v>
      </x:c>
      <x:c r="E4810" s="11" t="str">
        <x:v>CNY</x:v>
      </x:c>
      <x:c r="F4810" s="11" t="n">
        <x:v>6.0013689253935665</x:v>
      </x:c>
      <x:c r="G4810" s="26" t="b">
        <x:v>1</x:v>
      </x:c>
      <x:c r="H4810" s="16" t="n">
        <x:v>0.36000000000000004</x:v>
      </x:c>
      <x:c r="I4810" s="16" t="n">
        <x:v>1.1</x:v>
      </x:c>
      <x:c r="J4810" s="16" t="n">
        <x:v>1.566</x:v>
      </x:c>
      <x:c r="K4810" s="11" t="n">
        <x:f>CHOOSE('假设'!$B$3,H4810,I4810,J4810)</x:f>
        <x:v>1.1</x:v>
      </x:c>
      <x:c r="L4810" s="11" t="n">
        <x:f>K4810*'管线假设'!E1035*'管线假设'!F1035*'管线假设'!G1035*IF(E4810="USD",'管线假设'!I1035,1)-AM4810</x:f>
        <x:v>0.2046</x:v>
      </x:c>
      <x:c r="M4810" s="11" t="n">
        <x:f>'管线假设'!H1035</x:f>
        <x:v>0.14</x:v>
      </x:c>
      <x:c r="N4810" s="11" t="n">
        <x:f>IF(G4810,L4810*AN4810/(1+M4810)^F4810,0)</x:f>
        <x:v>0.09319628973263284</x:v>
      </x:c>
      <x:c r="AJ4810" t="n">
        <x:v>0</x:v>
      </x:c>
      <x:c r="AK4810" t="n">
        <x:v>0</x:v>
      </x:c>
      <x:c r="AL4810" t="n">
        <x:v>0</x:v>
      </x:c>
      <x:c r="AM4810" t="n">
        <x:f>CHOOSE('假设'!$B$3,AJ4810,AK4810,AL4810)</x:f>
        <x:v>0</x:v>
      </x:c>
      <x:c r="AN4810" t="n">
        <x:v>1</x:v>
      </x:c>
    </x:row>
    <x:row r="4811" ht="23" customHeight="1">
      <x:c r="A4811" s="11" t="str">
        <x:v>688062.SH</x:v>
      </x:c>
      <x:c r="B4811" s="11" t="str">
        <x:v>2026年底</x:v>
      </x:c>
      <x:c r="C4811" s="11" t="str">
        <x:v>bfv_uc_later</x:v>
      </x:c>
      <x:c r="D4811" s="11" t="str">
        <x:v>2033-12-31</x:v>
      </x:c>
      <x:c r="E4811" s="11" t="str">
        <x:v>CNY</x:v>
      </x:c>
      <x:c r="F4811" s="11" t="n">
        <x:v>7.000684462696783</x:v>
      </x:c>
      <x:c r="G4811" s="26" t="b">
        <x:v>1</x:v>
      </x:c>
      <x:c r="H4811" s="16" t="n">
        <x:v>0.45</x:v>
      </x:c>
      <x:c r="I4811" s="16" t="n">
        <x:v>0.9570000000000001</x:v>
      </x:c>
      <x:c r="J4811" s="16" t="n">
        <x:v>1.332</x:v>
      </x:c>
      <x:c r="K4811" s="11" t="n">
        <x:f>CHOOSE('假设'!$B$3,H4811,I4811,J4811)</x:f>
        <x:v>0.9570000000000001</x:v>
      </x:c>
      <x:c r="L4811" s="11" t="n">
        <x:f>K4811*'管线假设'!E1035*'管线假设'!F1035*'管线假设'!G1035*IF(E4811="USD",'管线假设'!I1035,1)-AM4811</x:f>
        <x:v>0.17800200000000002</x:v>
      </x:c>
      <x:c r="M4811" s="11" t="n">
        <x:f>'管线假设'!H1035</x:f>
        <x:v>0.14</x:v>
      </x:c>
      <x:c r="N4811" s="11" t="n">
        <x:f>IF(G4811,L4811*AN4811/(1+M4811)^F4811,0)</x:f>
        <x:v>0.07112986319124484</x:v>
      </x:c>
      <x:c r="AJ4811" t="n">
        <x:v>0</x:v>
      </x:c>
      <x:c r="AK4811" t="n">
        <x:v>0</x:v>
      </x:c>
      <x:c r="AL4811" t="n">
        <x:v>0</x:v>
      </x:c>
      <x:c r="AM4811" t="n">
        <x:f>CHOOSE('假设'!$B$3,AJ4811,AK4811,AL4811)</x:f>
        <x:v>0</x:v>
      </x:c>
      <x:c r="AN4811" t="n">
        <x:v>1</x:v>
      </x:c>
    </x:row>
    <x:row r="4812" ht="23" customHeight="1">
      <x:c r="A4812" s="11" t="str">
        <x:v>688062.SH</x:v>
      </x:c>
      <x:c r="B4812" s="11" t="str">
        <x:v>2026年底</x:v>
      </x:c>
      <x:c r="C4812" s="11" t="str">
        <x:v>bfv_uc_later</x:v>
      </x:c>
      <x:c r="D4812" s="11" t="str">
        <x:v>2034-12-31</x:v>
      </x:c>
      <x:c r="E4812" s="11" t="str">
        <x:v>CNY</x:v>
      </x:c>
      <x:c r="F4812" s="11" t="n">
        <x:v>8</x:v>
      </x:c>
      <x:c r="G4812" s="26" t="b">
        <x:v>1</x:v>
      </x:c>
      <x:c r="H4812" s="16" t="n">
        <x:v>0.3915</x:v>
      </x:c>
      <x:c r="I4812" s="16" t="n">
        <x:v>0.8140000000000001</x:v>
      </x:c>
      <x:c r="J4812" s="16" t="n">
        <x:v>1.098</x:v>
      </x:c>
      <x:c r="K4812" s="11" t="n">
        <x:f>CHOOSE('假设'!$B$3,H4812,I4812,J4812)</x:f>
        <x:v>0.8140000000000001</x:v>
      </x:c>
      <x:c r="L4812" s="11" t="n">
        <x:f>K4812*'管线假设'!E1035*'管线假设'!F1035*'管线假设'!G1035*IF(E4812="USD",'管线假设'!I1035,1)-AM4812</x:f>
        <x:v>0.151404</x:v>
      </x:c>
      <x:c r="M4812" s="11" t="n">
        <x:f>'管线假设'!H1035</x:f>
        <x:v>0.14</x:v>
      </x:c>
      <x:c r="N4812" s="11" t="n">
        <x:f>IF(G4812,L4812*AN4812/(1+M4812)^F4812,0)</x:f>
        <x:v>0.05307604314062455</x:v>
      </x:c>
      <x:c r="AJ4812" t="n">
        <x:v>0</x:v>
      </x:c>
      <x:c r="AK4812" t="n">
        <x:v>0</x:v>
      </x:c>
      <x:c r="AL4812" t="n">
        <x:v>0</x:v>
      </x:c>
      <x:c r="AM4812" t="n">
        <x:f>CHOOSE('假设'!$B$3,AJ4812,AK4812,AL4812)</x:f>
        <x:v>0</x:v>
      </x:c>
      <x:c r="AN4812" t="n">
        <x:v>1</x:v>
      </x:c>
    </x:row>
    <x:row r="4813" ht="23" customHeight="1">
      <x:c r="A4813" s="11" t="str">
        <x:v>688062.SH</x:v>
      </x:c>
      <x:c r="B4813" s="11" t="str">
        <x:v>2026年底</x:v>
      </x:c>
      <x:c r="C4813" s="11" t="str">
        <x:v>bfv_uc_later</x:v>
      </x:c>
      <x:c r="D4813" s="11" t="str">
        <x:v>2035-12-31</x:v>
      </x:c>
      <x:c r="E4813" s="11" t="str">
        <x:v>CNY</x:v>
      </x:c>
      <x:c r="F4813" s="11" t="n">
        <x:v>8.999315537303216</x:v>
      </x:c>
      <x:c r="G4813" s="26" t="b">
        <x:v>1</x:v>
      </x:c>
      <x:c r="H4813" s="16" t="n">
        <x:v>0.333</x:v>
      </x:c>
      <x:c r="I4813" s="16" t="n">
        <x:v>0.671</x:v>
      </x:c>
      <x:c r="J4813" s="16" t="n">
        <x:v>0.864</x:v>
      </x:c>
      <x:c r="K4813" s="11" t="n">
        <x:f>CHOOSE('假设'!$B$3,H4813,I4813,J4813)</x:f>
        <x:v>0.671</x:v>
      </x:c>
      <x:c r="L4813" s="11" t="n">
        <x:f>K4813*'管线假设'!E1035*'管线假设'!F1035*'管线假设'!G1035*IF(E4813="USD",'管线假设'!I1035,1)-AM4813</x:f>
        <x:v>0.124806</x:v>
      </x:c>
      <x:c r="M4813" s="11" t="n">
        <x:f>'管线假设'!H1035</x:f>
        <x:v>0.14</x:v>
      </x:c>
      <x:c r="N4813" s="11" t="n">
        <x:f>IF(G4813,L4813*AN4813/(1+M4813)^F4813,0)</x:f>
        <x:v>0.03838227843581714</x:v>
      </x:c>
      <x:c r="AJ4813" t="n">
        <x:v>0</x:v>
      </x:c>
      <x:c r="AK4813" t="n">
        <x:v>0</x:v>
      </x:c>
      <x:c r="AL4813" t="n">
        <x:v>0</x:v>
      </x:c>
      <x:c r="AM4813" t="n">
        <x:f>CHOOSE('假设'!$B$3,AJ4813,AK4813,AL4813)</x:f>
        <x:v>0</x:v>
      </x:c>
      <x:c r="AN4813" t="n">
        <x:v>1</x:v>
      </x:c>
    </x:row>
    <x:row r="4814" ht="23" customHeight="1">
      <x:c r="A4814" s="11" t="str">
        <x:v>688062.SH</x:v>
      </x:c>
      <x:c r="B4814" s="11" t="str">
        <x:v>2026年底</x:v>
      </x:c>
      <x:c r="C4814" s="11" t="str">
        <x:v>bfv_uc_later</x:v>
      </x:c>
      <x:c r="D4814" s="11" t="str">
        <x:v>2036-12-31</x:v>
      </x:c>
      <x:c r="E4814" s="11" t="str">
        <x:v>CNY</x:v>
      </x:c>
      <x:c r="F4814" s="11" t="n">
        <x:v>10.001368925393566</x:v>
      </x:c>
      <x:c r="G4814" s="26" t="b">
        <x:v>1</x:v>
      </x:c>
      <x:c r="H4814" s="16" t="n">
        <x:v>0.2745</x:v>
      </x:c>
      <x:c r="I4814" s="16" t="n">
        <x:v>0.528</x:v>
      </x:c>
      <x:c r="J4814" s="16" t="n">
        <x:v>0.63</x:v>
      </x:c>
      <x:c r="K4814" s="11" t="n">
        <x:f>CHOOSE('假设'!$B$3,H4814,I4814,J4814)</x:f>
        <x:v>0.528</x:v>
      </x:c>
      <x:c r="L4814" s="11" t="n">
        <x:f>K4814*'管线假设'!E1035*'管线假设'!F1035*'管线假设'!G1035*IF(E4814="USD",'管线假设'!I1035,1)-AM4814</x:f>
        <x:v>0.098208</x:v>
      </x:c>
      <x:c r="M4814" s="11" t="n">
        <x:f>'管线假设'!H1035</x:f>
        <x:v>0.14</x:v>
      </x:c>
      <x:c r="N4814" s="11" t="n">
        <x:f>IF(G4814,L4814*AN4814/(1+M4814)^F4814,0)</x:f>
        <x:v>0.026486248835889504</x:v>
      </x:c>
      <x:c r="AJ4814" t="n">
        <x:v>0</x:v>
      </x:c>
      <x:c r="AK4814" t="n">
        <x:v>0</x:v>
      </x:c>
      <x:c r="AL4814" t="n">
        <x:v>0</x:v>
      </x:c>
      <x:c r="AM4814" t="n">
        <x:f>CHOOSE('假设'!$B$3,AJ4814,AK4814,AL4814)</x:f>
        <x:v>0</x:v>
      </x:c>
      <x:c r="AN4814" t="n">
        <x:v>1</x:v>
      </x:c>
    </x:row>
    <x:row r="4815" ht="23" customHeight="1">
      <x:c r="A4815" s="11" t="str">
        <x:v>688062.SH</x:v>
      </x:c>
      <x:c r="B4815" s="11" t="str">
        <x:v>2026年底</x:v>
      </x:c>
      <x:c r="C4815" s="11" t="str">
        <x:v>bfv_uc_later</x:v>
      </x:c>
      <x:c r="D4815" s="11" t="str">
        <x:v>2037-12-31</x:v>
      </x:c>
      <x:c r="E4815" s="11" t="str">
        <x:v>CNY</x:v>
      </x:c>
      <x:c r="F4815" s="11" t="n">
        <x:v>11.000684462696784</x:v>
      </x:c>
      <x:c r="G4815" s="26" t="b">
        <x:v>1</x:v>
      </x:c>
      <x:c r="H4815" s="16" t="n">
        <x:v>0.216</x:v>
      </x:c>
      <x:c r="I4815" s="16" t="n">
        <x:v>0.385</x:v>
      </x:c>
      <x:c r="J4815" s="16" t="n">
        <x:v>0.39599999999999996</x:v>
      </x:c>
      <x:c r="K4815" s="11" t="n">
        <x:f>CHOOSE('假设'!$B$3,H4815,I4815,J4815)</x:f>
        <x:v>0.385</x:v>
      </x:c>
      <x:c r="L4815" s="11" t="n">
        <x:f>K4815*'管线假设'!E1035*'管线假设'!F1035*'管线假设'!G1035*IF(E4815="USD",'管线假设'!I1035,1)-AM4815</x:f>
        <x:v>0.07161</x:v>
      </x:c>
      <x:c r="M4815" s="11" t="n">
        <x:f>'管线假设'!H1035</x:f>
        <x:v>0.14</x:v>
      </x:c>
      <x:c r="N4815" s="11" t="n">
        <x:f>IF(G4815,L4815*AN4815/(1+M4815)^F4815,0)</x:f>
        <x:v>0.01694265079845006</x:v>
      </x:c>
      <x:c r="AJ4815" t="n">
        <x:v>0</x:v>
      </x:c>
      <x:c r="AK4815" t="n">
        <x:v>0</x:v>
      </x:c>
      <x:c r="AL4815" t="n">
        <x:v>0</x:v>
      </x:c>
      <x:c r="AM4815" t="n">
        <x:f>CHOOSE('假设'!$B$3,AJ4815,AK4815,AL4815)</x:f>
        <x:v>0</x:v>
      </x:c>
      <x:c r="AN4815" t="n">
        <x:v>1</x:v>
      </x:c>
    </x:row>
    <x:row r="4816" ht="23" customHeight="1">
      <x:c r="A4816" s="11" t="str">
        <x:v>688062.SH</x:v>
      </x:c>
      <x:c r="B4816" s="11" t="str">
        <x:v>2026年底</x:v>
      </x:c>
      <x:c r="C4816" s="11" t="str">
        <x:v>bfv_uc_later</x:v>
      </x:c>
      <x:c r="D4816" s="11" t="str">
        <x:v>2038-12-31</x:v>
      </x:c>
      <x:c r="E4816" s="11" t="str">
        <x:v>CNY</x:v>
      </x:c>
      <x:c r="F4816" s="11" t="n">
        <x:v>12</x:v>
      </x:c>
      <x:c r="G4816" s="26" t="b">
        <x:v>1</x:v>
      </x:c>
      <x:c r="H4816" s="16" t="n">
        <x:v>0.1575</x:v>
      </x:c>
      <x:c r="I4816" s="16" t="n">
        <x:v>0.242</x:v>
      </x:c>
      <x:c r="J4816" s="16" t="n">
        <x:v>0.16199999999999995</x:v>
      </x:c>
      <x:c r="K4816" s="11" t="n">
        <x:f>CHOOSE('假设'!$B$3,H4816,I4816,J4816)</x:f>
        <x:v>0.242</x:v>
      </x:c>
      <x:c r="L4816" s="11" t="n">
        <x:f>K4816*'管线假设'!E1035*'管线假设'!F1035*'管线假设'!G1035*IF(E4816="USD",'管线假设'!I1035,1)-AM4816</x:f>
        <x:v>0.045012</x:v>
      </x:c>
      <x:c r="M4816" s="11" t="n">
        <x:f>'管线假设'!H1035</x:f>
        <x:v>0.14</x:v>
      </x:c>
      <x:c r="N4816" s="11" t="n">
        <x:f>IF(G4816,L4816*AN4816/(1+M4816)^F4816,0)</x:f>
        <x:v>0.009342650318609307</x:v>
      </x:c>
      <x:c r="AJ4816" t="n">
        <x:v>0</x:v>
      </x:c>
      <x:c r="AK4816" t="n">
        <x:v>0</x:v>
      </x:c>
      <x:c r="AL4816" t="n">
        <x:v>0</x:v>
      </x:c>
      <x:c r="AM4816" t="n">
        <x:f>CHOOSE('假设'!$B$3,AJ4816,AK4816,AL4816)</x:f>
        <x:v>0</x:v>
      </x:c>
      <x:c r="AN4816" t="n">
        <x:v>1</x:v>
      </x:c>
    </x:row>
    <x:row r="4817" ht="23" customHeight="1">
      <x:c r="A4817" s="11" t="str">
        <x:v>688062.SH</x:v>
      </x:c>
      <x:c r="B4817" s="11" t="str">
        <x:v>2026年底</x:v>
      </x:c>
      <x:c r="C4817" s="11" t="str">
        <x:v>bfv_uc_later</x:v>
      </x:c>
      <x:c r="D4817" s="11" t="str">
        <x:v>2039-12-31</x:v>
      </x:c>
      <x:c r="E4817" s="11" t="str">
        <x:v>CNY</x:v>
      </x:c>
      <x:c r="F4817" s="11" t="n">
        <x:v>12.999315537303216</x:v>
      </x:c>
      <x:c r="G4817" s="26" t="b">
        <x:v>1</x:v>
      </x:c>
      <x:c r="H4817" s="16" t="n">
        <x:v>0.09899999999999999</x:v>
      </x:c>
      <x:c r="I4817" s="16" t="n">
        <x:v>0.09899999999999998</x:v>
      </x:c>
      <x:c r="J4817" s="16" t="n">
        <x:v>0</x:v>
      </x:c>
      <x:c r="K4817" s="11" t="n">
        <x:f>CHOOSE('假设'!$B$3,H4817,I4817,J4817)</x:f>
        <x:v>0.09899999999999998</x:v>
      </x:c>
      <x:c r="L4817" s="11" t="n">
        <x:f>K4817*'管线假设'!E1035*'管线假设'!F1035*'管线假设'!G1035*IF(E4817="USD",'管线假设'!I1035,1)-AM4817</x:f>
        <x:v>0.018413999999999993</x:v>
      </x:c>
      <x:c r="M4817" s="11" t="n">
        <x:f>'管线假设'!H1035</x:f>
        <x:v>0.14</x:v>
      </x:c>
      <x:c r="N4817" s="11" t="n">
        <x:f>IF(G4817,L4817*AN4817/(1+M4817)^F4817,0)</x:f>
        <x:v>0.0033529264026460003</x:v>
      </x:c>
      <x:c r="AJ4817" t="n">
        <x:v>0</x:v>
      </x:c>
      <x:c r="AK4817" t="n">
        <x:v>0</x:v>
      </x:c>
      <x:c r="AL4817" t="n">
        <x:v>0</x:v>
      </x:c>
      <x:c r="AM4817" t="n">
        <x:f>CHOOSE('假设'!$B$3,AJ4817,AK4817,AL4817)</x:f>
        <x:v>0</x:v>
      </x:c>
      <x:c r="AN4817" t="n">
        <x:v>1</x:v>
      </x:c>
    </x:row>
    <x:row r="4818" ht="23" customHeight="1">
      <x:c r="A4818" s="11" t="str">
        <x:v>688062.SH</x:v>
      </x:c>
      <x:c r="B4818" s="11" t="str">
        <x:v>2026年底</x:v>
      </x:c>
      <x:c r="C4818" s="11" t="str">
        <x:v>bfv_uc_later</x:v>
      </x:c>
      <x:c r="D4818" s="11" t="str">
        <x:v>2040-12-31</x:v>
      </x:c>
      <x:c r="E4818" s="11" t="str">
        <x:v>CNY</x:v>
      </x:c>
      <x:c r="F4818" s="11" t="n">
        <x:v>14.001368925393566</x:v>
      </x:c>
      <x:c r="G4818" s="26" t="b">
        <x:v>1</x:v>
      </x:c>
      <x:c r="H4818" s="16" t="n">
        <x:v>0.04049999999999999</x:v>
      </x:c>
      <x:c r="I4818" s="16" t="n">
        <x:v>0</x:v>
      </x:c>
      <x:c r="J4818" s="16" t="n">
        <x:v>0</x:v>
      </x:c>
      <x:c r="K4818" s="11" t="n">
        <x:f>CHOOSE('假设'!$B$3,H4818,I4818,J4818)</x:f>
        <x:v>0</x:v>
      </x:c>
      <x:c r="L4818" s="11" t="n">
        <x:f>K4818*'管线假设'!E1035*'管线假设'!F1035*'管线假设'!G1035*IF(E4818="USD",'管线假设'!I1035,1)-AM4818</x:f>
        <x:v>0</x:v>
      </x:c>
      <x:c r="M4818" s="11" t="n">
        <x:f>'管线假设'!H1035</x:f>
        <x:v>0.14</x:v>
      </x:c>
      <x:c r="N4818" s="11" t="n">
        <x:f>IF(G4818,L4818*AN4818/(1+M4818)^F4818,0)</x:f>
        <x:v>0</x:v>
      </x:c>
      <x:c r="AJ4818" t="n">
        <x:v>0</x:v>
      </x:c>
      <x:c r="AK4818" t="n">
        <x:v>0</x:v>
      </x:c>
      <x:c r="AL4818" t="n">
        <x:v>0</x:v>
      </x:c>
      <x:c r="AM4818" t="n">
        <x:f>CHOOSE('假设'!$B$3,AJ4818,AK4818,AL4818)</x:f>
        <x:v>0</x:v>
      </x:c>
      <x:c r="AN4818" t="n">
        <x:v>1</x:v>
      </x:c>
    </x:row>
    <x:row r="4819" ht="23" customHeight="1">
      <x:c r="A4819" s="11" t="str">
        <x:v>688062.SH</x:v>
      </x:c>
      <x:c r="B4819" s="11" t="str">
        <x:v>2026年底</x:v>
      </x:c>
      <x:c r="C4819" s="11" t="str">
        <x:v>bfv_uc_later</x:v>
      </x:c>
      <x:c r="D4819" s="11" t="str">
        <x:v>2041-12-31</x:v>
      </x:c>
      <x:c r="E4819" s="11" t="str">
        <x:v>CNY</x:v>
      </x:c>
      <x:c r="F4819" s="11" t="n">
        <x:v>15.000684462696784</x:v>
      </x:c>
      <x:c r="G4819" s="26" t="b">
        <x:v>1</x:v>
      </x:c>
      <x:c r="H4819" s="16" t="n">
        <x:v>0</x:v>
      </x:c>
      <x:c r="I4819" s="16" t="n">
        <x:v>0</x:v>
      </x:c>
      <x:c r="J4819" s="16" t="n">
        <x:v>0</x:v>
      </x:c>
      <x:c r="K4819" s="11" t="n">
        <x:f>CHOOSE('假设'!$B$3,H4819,I4819,J4819)</x:f>
        <x:v>0</x:v>
      </x:c>
      <x:c r="L4819" s="11" t="n">
        <x:f>K4819*'管线假设'!E1035*'管线假设'!F1035*'管线假设'!G1035*IF(E4819="USD",'管线假设'!I1035,1)-AM4819</x:f>
        <x:v>0</x:v>
      </x:c>
      <x:c r="M4819" s="11" t="n">
        <x:f>'管线假设'!H1035</x:f>
        <x:v>0.14</x:v>
      </x:c>
      <x:c r="N4819" s="11" t="n">
        <x:f>IF(G4819,L4819*AN4819/(1+M4819)^F4819,0)</x:f>
        <x:v>0</x:v>
      </x:c>
      <x:c r="AJ4819" t="n">
        <x:v>0</x:v>
      </x:c>
      <x:c r="AK4819" t="n">
        <x:v>0</x:v>
      </x:c>
      <x:c r="AL4819" t="n">
        <x:v>0</x:v>
      </x:c>
      <x:c r="AM4819" t="n">
        <x:f>CHOOSE('假设'!$B$3,AJ4819,AK4819,AL4819)</x:f>
        <x:v>0</x:v>
      </x:c>
      <x:c r="AN4819" t="n">
        <x:v>1</x:v>
      </x:c>
    </x:row>
    <x:row r="4820" ht="23" customHeight="1">
      <x:c r="A4820" s="11" t="str">
        <x:v>688062.SH</x:v>
      </x:c>
      <x:c r="B4820" s="11" t="str">
        <x:v>2026年底</x:v>
      </x:c>
      <x:c r="C4820" s="11" t="str">
        <x:v>bfv_uc_later</x:v>
      </x:c>
      <x:c r="D4820" s="11" t="str">
        <x:v>2042-12-31</x:v>
      </x:c>
      <x:c r="E4820" s="11" t="str">
        <x:v>CNY</x:v>
      </x:c>
      <x:c r="F4820" s="11" t="n">
        <x:v>16</x:v>
      </x:c>
      <x:c r="G4820" s="26" t="b">
        <x:v>1</x:v>
      </x:c>
      <x:c r="H4820" s="16" t="n">
        <x:v>0</x:v>
      </x:c>
      <x:c r="I4820" s="16" t="n">
        <x:v>0</x:v>
      </x:c>
      <x:c r="J4820" s="16" t="n">
        <x:v>0</x:v>
      </x:c>
      <x:c r="K4820" s="11" t="n">
        <x:f>CHOOSE('假设'!$B$3,H4820,I4820,J4820)</x:f>
        <x:v>0</x:v>
      </x:c>
      <x:c r="L4820" s="11" t="n">
        <x:f>K4820*'管线假设'!E1035*'管线假设'!F1035*'管线假设'!G1035*IF(E4820="USD",'管线假设'!I1035,1)-AM4820</x:f>
        <x:v>0</x:v>
      </x:c>
      <x:c r="M4820" s="11" t="n">
        <x:f>'管线假设'!H1035</x:f>
        <x:v>0.14</x:v>
      </x:c>
      <x:c r="N4820" s="11" t="n">
        <x:f>IF(G4820,L4820*AN4820/(1+M4820)^F4820,0)</x:f>
        <x:v>0</x:v>
      </x:c>
      <x:c r="AJ4820" t="n">
        <x:v>0</x:v>
      </x:c>
      <x:c r="AK4820" t="n">
        <x:v>0</x:v>
      </x:c>
      <x:c r="AL4820" t="n">
        <x:v>0</x:v>
      </x:c>
      <x:c r="AM4820" t="n">
        <x:f>CHOOSE('假设'!$B$3,AJ4820,AK4820,AL4820)</x:f>
        <x:v>0</x:v>
      </x:c>
      <x:c r="AN4820" t="n">
        <x:v>1</x:v>
      </x:c>
    </x:row>
    <x:row r="4821" ht="23" customHeight="1">
      <x:c r="A4821" s="11" t="str">
        <x:v>688062.SH</x:v>
      </x:c>
      <x:c r="B4821" s="11" t="str">
        <x:v>2026年底</x:v>
      </x:c>
      <x:c r="C4821" s="11" t="str">
        <x:v>bfv_uc_later</x:v>
      </x:c>
      <x:c r="D4821" s="11" t="str">
        <x:v>2043-12-31</x:v>
      </x:c>
      <x:c r="E4821" s="11" t="str">
        <x:v>CNY</x:v>
      </x:c>
      <x:c r="F4821" s="11" t="n">
        <x:v>16.999315537303218</x:v>
      </x:c>
      <x:c r="G4821" s="26" t="b">
        <x:v>1</x:v>
      </x:c>
      <x:c r="H4821" s="16" t="n">
        <x:v>0</x:v>
      </x:c>
      <x:c r="I4821" s="16" t="n">
        <x:v>0</x:v>
      </x:c>
      <x:c r="J4821" s="16" t="n">
        <x:v>0</x:v>
      </x:c>
      <x:c r="K4821" s="11" t="n">
        <x:f>CHOOSE('假设'!$B$3,H4821,I4821,J4821)</x:f>
        <x:v>0</x:v>
      </x:c>
      <x:c r="L4821" s="11" t="n">
        <x:f>K4821*'管线假设'!E1035*'管线假设'!F1035*'管线假设'!G1035*IF(E4821="USD",'管线假设'!I1035,1)-AM4821</x:f>
        <x:v>0</x:v>
      </x:c>
      <x:c r="M4821" s="11" t="n">
        <x:f>'管线假设'!H1035</x:f>
        <x:v>0.14</x:v>
      </x:c>
      <x:c r="N4821" s="11" t="n">
        <x:f>IF(G4821,L4821*AN4821/(1+M4821)^F4821,0)</x:f>
        <x:v>0</x:v>
      </x:c>
      <x:c r="AJ4821" t="n">
        <x:v>0</x:v>
      </x:c>
      <x:c r="AK4821" t="n">
        <x:v>0</x:v>
      </x:c>
      <x:c r="AL4821" t="n">
        <x:v>0</x:v>
      </x:c>
      <x:c r="AM4821" t="n">
        <x:f>CHOOSE('假设'!$B$3,AJ4821,AK4821,AL4821)</x:f>
        <x:v>0</x:v>
      </x:c>
      <x:c r="AN4821" t="n">
        <x:v>1</x:v>
      </x:c>
    </x:row>
    <x:row r="4822" ht="23" customHeight="1">
      <x:c r="A4822" s="11" t="str">
        <x:v>688062.SH</x:v>
      </x:c>
      <x:c r="B4822" s="11" t="str">
        <x:v>2026年底</x:v>
      </x:c>
      <x:c r="C4822" s="11" t="str">
        <x:v>bfv_uc_later</x:v>
      </x:c>
      <x:c r="D4822" s="11" t="str">
        <x:v>2044-12-31</x:v>
      </x:c>
      <x:c r="E4822" s="11" t="str">
        <x:v>CNY</x:v>
      </x:c>
      <x:c r="F4822" s="11" t="n">
        <x:v>18.001368925393567</x:v>
      </x:c>
      <x:c r="G4822" s="26" t="b">
        <x:v>1</x:v>
      </x:c>
      <x:c r="H4822" s="16" t="n">
        <x:v>0</x:v>
      </x:c>
      <x:c r="I4822" s="16" t="n">
        <x:v>0</x:v>
      </x:c>
      <x:c r="J4822" s="16" t="n">
        <x:v>0</x:v>
      </x:c>
      <x:c r="K4822" s="11" t="n">
        <x:f>CHOOSE('假设'!$B$3,H4822,I4822,J4822)</x:f>
        <x:v>0</x:v>
      </x:c>
      <x:c r="L4822" s="11" t="n">
        <x:f>K4822*'管线假设'!E1035*'管线假设'!F1035*'管线假设'!G1035*IF(E4822="USD",'管线假设'!I1035,1)-AM4822</x:f>
        <x:v>0</x:v>
      </x:c>
      <x:c r="M4822" s="11" t="n">
        <x:f>'管线假设'!H1035</x:f>
        <x:v>0.14</x:v>
      </x:c>
      <x:c r="N4822" s="11" t="n">
        <x:f>IF(G4822,L4822*AN4822/(1+M4822)^F4822,0)</x:f>
        <x:v>0</x:v>
      </x:c>
      <x:c r="AJ4822" t="n">
        <x:v>0</x:v>
      </x:c>
      <x:c r="AK4822" t="n">
        <x:v>0</x:v>
      </x:c>
      <x:c r="AL4822" t="n">
        <x:v>0</x:v>
      </x:c>
      <x:c r="AM4822" t="n">
        <x:f>CHOOSE('假设'!$B$3,AJ4822,AK4822,AL4822)</x:f>
        <x:v>0</x:v>
      </x:c>
      <x:c r="AN4822" t="n">
        <x:v>1</x:v>
      </x:c>
    </x:row>
    <x:row r="4823" ht="23" customHeight="1">
      <x:c r="A4823" s="11" t="str">
        <x:v>688062.SH</x:v>
      </x:c>
      <x:c r="B4823" s="11" t="str">
        <x:v>2026年底</x:v>
      </x:c>
      <x:c r="C4823" s="11" t="str">
        <x:v>bfv_uc_later</x:v>
      </x:c>
      <x:c r="D4823" s="11" t="str">
        <x:v>2045-12-31</x:v>
      </x:c>
      <x:c r="E4823" s="11" t="str">
        <x:v>CNY</x:v>
      </x:c>
      <x:c r="F4823" s="11" t="n">
        <x:v>19.000684462696782</x:v>
      </x:c>
      <x:c r="G4823" s="26" t="b">
        <x:v>1</x:v>
      </x:c>
      <x:c r="H4823" s="16" t="n">
        <x:v>0</x:v>
      </x:c>
      <x:c r="I4823" s="16" t="n">
        <x:v>0</x:v>
      </x:c>
      <x:c r="J4823" s="16" t="n">
        <x:v>0</x:v>
      </x:c>
      <x:c r="K4823" s="11" t="n">
        <x:f>CHOOSE('假设'!$B$3,H4823,I4823,J4823)</x:f>
        <x:v>0</x:v>
      </x:c>
      <x:c r="L4823" s="11" t="n">
        <x:f>K4823*'管线假设'!E1035*'管线假设'!F1035*'管线假设'!G1035*IF(E4823="USD",'管线假设'!I1035,1)-AM4823</x:f>
        <x:v>0</x:v>
      </x:c>
      <x:c r="M4823" s="11" t="n">
        <x:f>'管线假设'!H1035</x:f>
        <x:v>0.14</x:v>
      </x:c>
      <x:c r="N4823" s="11" t="n">
        <x:f>IF(G4823,L4823*AN4823/(1+M4823)^F4823,0)</x:f>
        <x:v>0</x:v>
      </x:c>
      <x:c r="AJ4823" t="n">
        <x:v>0</x:v>
      </x:c>
      <x:c r="AK4823" t="n">
        <x:v>0</x:v>
      </x:c>
      <x:c r="AL4823" t="n">
        <x:v>0</x:v>
      </x:c>
      <x:c r="AM4823" t="n">
        <x:f>CHOOSE('假设'!$B$3,AJ4823,AK4823,AL4823)</x:f>
        <x:v>0</x:v>
      </x:c>
      <x:c r="AN4823" t="n">
        <x:v>1</x:v>
      </x:c>
    </x:row>
    <x:row r="4824" ht="23" customHeight="1">
      <x:c r="A4824" s="11" t="str">
        <x:v>688062.SH</x:v>
      </x:c>
      <x:c r="B4824" s="11" t="str">
        <x:v>2026年底</x:v>
      </x:c>
      <x:c r="C4824" s="11" t="str">
        <x:v>bfv_uc_first</x:v>
      </x:c>
      <x:c r="D4824" s="11" t="str">
        <x:v>2027-12-31</x:v>
      </x:c>
      <x:c r="E4824" s="11" t="str">
        <x:v>CNY</x:v>
      </x:c>
      <x:c r="F4824" s="11" t="n">
        <x:v>0.999315537303217</x:v>
      </x:c>
      <x:c r="G4824" s="26" t="b">
        <x:v>1</x:v>
      </x:c>
      <x:c r="H4824" s="16" t="n">
        <x:v>0</x:v>
      </x:c>
      <x:c r="I4824" s="16" t="n">
        <x:v>0</x:v>
      </x:c>
      <x:c r="J4824" s="16" t="n">
        <x:v>0.6</x:v>
      </x:c>
      <x:c r="K4824" s="11" t="n">
        <x:f>CHOOSE('假设'!$B$3,H4824,I4824,J4824)</x:f>
        <x:v>0</x:v>
      </x:c>
      <x:c r="L4824" s="11" t="n">
        <x:f>K4824*'管线假设'!E1039*'管线假设'!F1039*'管线假设'!G1039*IF(E4824="USD",'管线假设'!I1039,1)-AM4824</x:f>
        <x:v>0</x:v>
      </x:c>
      <x:c r="M4824" s="11" t="n">
        <x:f>'管线假设'!H1039</x:f>
        <x:v>0.14</x:v>
      </x:c>
      <x:c r="N4824" s="11" t="n">
        <x:f>IF(G4824,L4824*AN4824/(1+M4824)^F4824,0)</x:f>
        <x:v>0</x:v>
      </x:c>
      <x:c r="AJ4824" t="n">
        <x:v>0</x:v>
      </x:c>
      <x:c r="AK4824" t="n">
        <x:v>0</x:v>
      </x:c>
      <x:c r="AL4824" t="n">
        <x:v>0</x:v>
      </x:c>
      <x:c r="AM4824" t="n">
        <x:f>CHOOSE('假设'!$B$3,AJ4824,AK4824,AL4824)</x:f>
        <x:v>0</x:v>
      </x:c>
      <x:c r="AN4824" t="n">
        <x:v>1</x:v>
      </x:c>
    </x:row>
    <x:row r="4825" ht="23" customHeight="1">
      <x:c r="A4825" s="11" t="str">
        <x:v>688062.SH</x:v>
      </x:c>
      <x:c r="B4825" s="11" t="str">
        <x:v>2026年底</x:v>
      </x:c>
      <x:c r="C4825" s="11" t="str">
        <x:v>bfv_uc_first</x:v>
      </x:c>
      <x:c r="D4825" s="11" t="str">
        <x:v>2028-12-31</x:v>
      </x:c>
      <x:c r="E4825" s="11" t="str">
        <x:v>CNY</x:v>
      </x:c>
      <x:c r="F4825" s="11" t="n">
        <x:v>2.001368925393566</x:v>
      </x:c>
      <x:c r="G4825" s="26" t="b">
        <x:v>1</x:v>
      </x:c>
      <x:c r="H4825" s="16" t="n">
        <x:v>0</x:v>
      </x:c>
      <x:c r="I4825" s="16" t="n">
        <x:v>0.3333333333333333</x:v>
      </x:c>
      <x:c r="J4825" s="16" t="n">
        <x:v>1.2</x:v>
      </x:c>
      <x:c r="K4825" s="11" t="n">
        <x:f>CHOOSE('假设'!$B$3,H4825,I4825,J4825)</x:f>
        <x:v>0.3333333333333333</x:v>
      </x:c>
      <x:c r="L4825" s="11" t="n">
        <x:f>K4825*'管线假设'!E1039*'管线假设'!F1039*'管线假设'!G1039*IF(E4825="USD",'管线假设'!I1039,1)-AM4825</x:f>
        <x:v>0.055</x:v>
      </x:c>
      <x:c r="M4825" s="11" t="n">
        <x:f>'管线假设'!H1039</x:f>
        <x:v>0.14</x:v>
      </x:c>
      <x:c r="N4825" s="11" t="n">
        <x:f>IF(G4825,L4825*AN4825/(1+M4825)^F4825,0)</x:f>
        <x:v>0.042313123768342474</x:v>
      </x:c>
      <x:c r="AJ4825" t="n">
        <x:v>0</x:v>
      </x:c>
      <x:c r="AK4825" t="n">
        <x:v>0</x:v>
      </x:c>
      <x:c r="AL4825" t="n">
        <x:v>0</x:v>
      </x:c>
      <x:c r="AM4825" t="n">
        <x:f>CHOOSE('假设'!$B$3,AJ4825,AK4825,AL4825)</x:f>
        <x:v>0</x:v>
      </x:c>
      <x:c r="AN4825" t="n">
        <x:v>1</x:v>
      </x:c>
    </x:row>
    <x:row r="4826" ht="23" customHeight="1">
      <x:c r="A4826" s="11" t="str">
        <x:v>688062.SH</x:v>
      </x:c>
      <x:c r="B4826" s="11" t="str">
        <x:v>2026年底</x:v>
      </x:c>
      <x:c r="C4826" s="11" t="str">
        <x:v>bfv_uc_first</x:v>
      </x:c>
      <x:c r="D4826" s="11" t="str">
        <x:v>2029-12-31</x:v>
      </x:c>
      <x:c r="E4826" s="11" t="str">
        <x:v>CNY</x:v>
      </x:c>
      <x:c r="F4826" s="11" t="n">
        <x:v>3.0006844626967832</x:v>
      </x:c>
      <x:c r="G4826" s="26" t="b">
        <x:v>1</x:v>
      </x:c>
      <x:c r="H4826" s="16" t="n">
        <x:v>0</x:v>
      </x:c>
      <x:c r="I4826" s="16" t="n">
        <x:v>0.6666666666666666</x:v>
      </x:c>
      <x:c r="J4826" s="16" t="n">
        <x:v>1.8</x:v>
      </x:c>
      <x:c r="K4826" s="11" t="n">
        <x:f>CHOOSE('假设'!$B$3,H4826,I4826,J4826)</x:f>
        <x:v>0.6666666666666666</x:v>
      </x:c>
      <x:c r="L4826" s="11" t="n">
        <x:f>K4826*'管线假设'!E1039*'管线假设'!F1039*'管线假设'!G1039*IF(E4826="USD",'管线假设'!I1039,1)-AM4826</x:f>
        <x:v>0.11</x:v>
      </x:c>
      <x:c r="M4826" s="11" t="n">
        <x:f>'管线假设'!H1039</x:f>
        <x:v>0.14</x:v>
      </x:c>
      <x:c r="N4826" s="11" t="n">
        <x:f>IF(G4826,L4826*AN4826/(1+M4826)^F4826,0)</x:f>
        <x:v>0.07424020832793414</x:v>
      </x:c>
      <x:c r="AJ4826" t="n">
        <x:v>0</x:v>
      </x:c>
      <x:c r="AK4826" t="n">
        <x:v>0</x:v>
      </x:c>
      <x:c r="AL4826" t="n">
        <x:v>0</x:v>
      </x:c>
      <x:c r="AM4826" t="n">
        <x:f>CHOOSE('假设'!$B$3,AJ4826,AK4826,AL4826)</x:f>
        <x:v>0</x:v>
      </x:c>
      <x:c r="AN4826" t="n">
        <x:v>1</x:v>
      </x:c>
    </x:row>
    <x:row r="4827" ht="23" customHeight="1">
      <x:c r="A4827" s="11" t="str">
        <x:v>688062.SH</x:v>
      </x:c>
      <x:c r="B4827" s="11" t="str">
        <x:v>2026年底</x:v>
      </x:c>
      <x:c r="C4827" s="11" t="str">
        <x:v>bfv_uc_first</x:v>
      </x:c>
      <x:c r="D4827" s="11" t="str">
        <x:v>2030-12-31</x:v>
      </x:c>
      <x:c r="E4827" s="11" t="str">
        <x:v>CNY</x:v>
      </x:c>
      <x:c r="F4827" s="11" t="n">
        <x:v>4</x:v>
      </x:c>
      <x:c r="G4827" s="26" t="b">
        <x:v>1</x:v>
      </x:c>
      <x:c r="H4827" s="16" t="n">
        <x:v>0.16000000000000003</x:v>
      </x:c>
      <x:c r="I4827" s="16" t="n">
        <x:v>1</x:v>
      </x:c>
      <x:c r="J4827" s="16" t="n">
        <x:v>2.4</x:v>
      </x:c>
      <x:c r="K4827" s="11" t="n">
        <x:f>CHOOSE('假设'!$B$3,H4827,I4827,J4827)</x:f>
        <x:v>1</x:v>
      </x:c>
      <x:c r="L4827" s="11" t="n">
        <x:f>K4827*'管线假设'!E1039*'管线假设'!F1039*'管线假设'!G1039*IF(E4827="USD",'管线假设'!I1039,1)-AM4827</x:f>
        <x:v>0.165</x:v>
      </x:c>
      <x:c r="M4827" s="11" t="n">
        <x:f>'管线假设'!H1039</x:f>
        <x:v>0.14</x:v>
      </x:c>
      <x:c r="N4827" s="11" t="n">
        <x:f>IF(G4827,L4827*AN4827/(1+M4827)^F4827,0)</x:f>
        <x:v>0.09769324576608127</x:v>
      </x:c>
      <x:c r="AJ4827" t="n">
        <x:v>0</x:v>
      </x:c>
      <x:c r="AK4827" t="n">
        <x:v>0</x:v>
      </x:c>
      <x:c r="AL4827" t="n">
        <x:v>0</x:v>
      </x:c>
      <x:c r="AM4827" t="n">
        <x:f>CHOOSE('假设'!$B$3,AJ4827,AK4827,AL4827)</x:f>
        <x:v>0</x:v>
      </x:c>
      <x:c r="AN4827" t="n">
        <x:v>1</x:v>
      </x:c>
    </x:row>
    <x:row r="4828" ht="23" customHeight="1">
      <x:c r="A4828" s="11" t="str">
        <x:v>688062.SH</x:v>
      </x:c>
      <x:c r="B4828" s="11" t="str">
        <x:v>2026年底</x:v>
      </x:c>
      <x:c r="C4828" s="11" t="str">
        <x:v>bfv_uc_first</x:v>
      </x:c>
      <x:c r="D4828" s="11" t="str">
        <x:v>2031-12-31</x:v>
      </x:c>
      <x:c r="E4828" s="11" t="str">
        <x:v>CNY</x:v>
      </x:c>
      <x:c r="F4828" s="11" t="n">
        <x:v>4.999315537303217</x:v>
      </x:c>
      <x:c r="G4828" s="26" t="b">
        <x:v>1</x:v>
      </x:c>
      <x:c r="H4828" s="16" t="n">
        <x:v>0.32000000000000006</x:v>
      </x:c>
      <x:c r="I4828" s="16" t="n">
        <x:v>1.3333333333333333</x:v>
      </x:c>
      <x:c r="J4828" s="16" t="n">
        <x:v>3</x:v>
      </x:c>
      <x:c r="K4828" s="11" t="n">
        <x:f>CHOOSE('假设'!$B$3,H4828,I4828,J4828)</x:f>
        <x:v>1.3333333333333333</x:v>
      </x:c>
      <x:c r="L4828" s="11" t="n">
        <x:f>K4828*'管线假设'!E1039*'管线假设'!F1039*'管线假设'!G1039*IF(E4828="USD",'管线假设'!I1039,1)-AM4828</x:f>
        <x:v>0.22</x:v>
      </x:c>
      <x:c r="M4828" s="11" t="n">
        <x:f>'管线假设'!H1039</x:f>
        <x:v>0.14</x:v>
      </x:c>
      <x:c r="N4828" s="11" t="n">
        <x:f>IF(G4828,L4828*AN4828/(1+M4828)^F4828,0)</x:f>
        <x:v>0.11427135400691396</x:v>
      </x:c>
      <x:c r="AJ4828" t="n">
        <x:v>0</x:v>
      </x:c>
      <x:c r="AK4828" t="n">
        <x:v>0</x:v>
      </x:c>
      <x:c r="AL4828" t="n">
        <x:v>0</x:v>
      </x:c>
      <x:c r="AM4828" t="n">
        <x:f>CHOOSE('假设'!$B$3,AJ4828,AK4828,AL4828)</x:f>
        <x:v>0</x:v>
      </x:c>
      <x:c r="AN4828" t="n">
        <x:v>1</x:v>
      </x:c>
    </x:row>
    <x:row r="4829" ht="23" customHeight="1">
      <x:c r="A4829" s="11" t="str">
        <x:v>688062.SH</x:v>
      </x:c>
      <x:c r="B4829" s="11" t="str">
        <x:v>2026年底</x:v>
      </x:c>
      <x:c r="C4829" s="11" t="str">
        <x:v>bfv_uc_first</x:v>
      </x:c>
      <x:c r="D4829" s="11" t="str">
        <x:v>2032-12-31</x:v>
      </x:c>
      <x:c r="E4829" s="11" t="str">
        <x:v>CNY</x:v>
      </x:c>
      <x:c r="F4829" s="11" t="n">
        <x:v>6.0013689253935665</x:v>
      </x:c>
      <x:c r="G4829" s="26" t="b">
        <x:v>1</x:v>
      </x:c>
      <x:c r="H4829" s="16" t="n">
        <x:v>0.48</x:v>
      </x:c>
      <x:c r="I4829" s="16" t="n">
        <x:v>1.6666666666666667</x:v>
      </x:c>
      <x:c r="J4829" s="16" t="n">
        <x:v>3.6</x:v>
      </x:c>
      <x:c r="K4829" s="11" t="n">
        <x:f>CHOOSE('假设'!$B$3,H4829,I4829,J4829)</x:f>
        <x:v>1.6666666666666667</x:v>
      </x:c>
      <x:c r="L4829" s="11" t="n">
        <x:f>K4829*'管线假设'!E1039*'管线假设'!F1039*'管线假设'!G1039*IF(E4829="USD",'管线假设'!I1039,1)-AM4829</x:f>
        <x:v>0.275</x:v>
      </x:c>
      <x:c r="M4829" s="11" t="n">
        <x:f>'管线假设'!H1039</x:f>
        <x:v>0.14</x:v>
      </x:c>
      <x:c r="N4829" s="11" t="n">
        <x:f>IF(G4829,L4829*AN4829/(1+M4829)^F4829,0)</x:f>
        <x:v>0.12526383028579685</x:v>
      </x:c>
      <x:c r="AJ4829" t="n">
        <x:v>0</x:v>
      </x:c>
      <x:c r="AK4829" t="n">
        <x:v>0</x:v>
      </x:c>
      <x:c r="AL4829" t="n">
        <x:v>0</x:v>
      </x:c>
      <x:c r="AM4829" t="n">
        <x:f>CHOOSE('假设'!$B$3,AJ4829,AK4829,AL4829)</x:f>
        <x:v>0</x:v>
      </x:c>
      <x:c r="AN4829" t="n">
        <x:v>1</x:v>
      </x:c>
    </x:row>
    <x:row r="4830" ht="23" customHeight="1">
      <x:c r="A4830" s="11" t="str">
        <x:v>688062.SH</x:v>
      </x:c>
      <x:c r="B4830" s="11" t="str">
        <x:v>2026年底</x:v>
      </x:c>
      <x:c r="C4830" s="11" t="str">
        <x:v>bfv_uc_first</x:v>
      </x:c>
      <x:c r="D4830" s="11" t="str">
        <x:v>2033-12-31</x:v>
      </x:c>
      <x:c r="E4830" s="11" t="str">
        <x:v>CNY</x:v>
      </x:c>
      <x:c r="F4830" s="11" t="n">
        <x:v>7.000684462696783</x:v>
      </x:c>
      <x:c r="G4830" s="26" t="b">
        <x:v>1</x:v>
      </x:c>
      <x:c r="H4830" s="16" t="n">
        <x:v>0.6400000000000001</x:v>
      </x:c>
      <x:c r="I4830" s="16" t="n">
        <x:v>2</x:v>
      </x:c>
      <x:c r="J4830" s="16" t="n">
        <x:v>3.132</x:v>
      </x:c>
      <x:c r="K4830" s="11" t="n">
        <x:f>CHOOSE('假设'!$B$3,H4830,I4830,J4830)</x:f>
        <x:v>2</x:v>
      </x:c>
      <x:c r="L4830" s="11" t="n">
        <x:f>K4830*'管线假设'!E1039*'管线假设'!F1039*'管线假设'!G1039*IF(E4830="USD",'管线假设'!I1039,1)-AM4830</x:f>
        <x:v>0.33</x:v>
      </x:c>
      <x:c r="M4830" s="11" t="n">
        <x:f>'管线假设'!H1039</x:f>
        <x:v>0.14</x:v>
      </x:c>
      <x:c r="N4830" s="11" t="n">
        <x:f>IF(G4830,L4830*AN4830/(1+M4830)^F4830,0)</x:f>
        <x:v>0.1318684894164717</x:v>
      </x:c>
      <x:c r="AJ4830" t="n">
        <x:v>0</x:v>
      </x:c>
      <x:c r="AK4830" t="n">
        <x:v>0</x:v>
      </x:c>
      <x:c r="AL4830" t="n">
        <x:v>0</x:v>
      </x:c>
      <x:c r="AM4830" t="n">
        <x:f>CHOOSE('假设'!$B$3,AJ4830,AK4830,AL4830)</x:f>
        <x:v>0</x:v>
      </x:c>
      <x:c r="AN4830" t="n">
        <x:v>1</x:v>
      </x:c>
    </x:row>
    <x:row r="4831" ht="23" customHeight="1">
      <x:c r="A4831" s="11" t="str">
        <x:v>688062.SH</x:v>
      </x:c>
      <x:c r="B4831" s="11" t="str">
        <x:v>2026年底</x:v>
      </x:c>
      <x:c r="C4831" s="11" t="str">
        <x:v>bfv_uc_first</x:v>
      </x:c>
      <x:c r="D4831" s="11" t="str">
        <x:v>2034-12-31</x:v>
      </x:c>
      <x:c r="E4831" s="11" t="str">
        <x:v>CNY</x:v>
      </x:c>
      <x:c r="F4831" s="11" t="n">
        <x:v>8</x:v>
      </x:c>
      <x:c r="G4831" s="26" t="b">
        <x:v>1</x:v>
      </x:c>
      <x:c r="H4831" s="16" t="n">
        <x:v>0.8</x:v>
      </x:c>
      <x:c r="I4831" s="16" t="n">
        <x:v>1.74</x:v>
      </x:c>
      <x:c r="J4831" s="16" t="n">
        <x:v>2.664</x:v>
      </x:c>
      <x:c r="K4831" s="11" t="n">
        <x:f>CHOOSE('假设'!$B$3,H4831,I4831,J4831)</x:f>
        <x:v>1.74</x:v>
      </x:c>
      <x:c r="L4831" s="11" t="n">
        <x:f>K4831*'管线假设'!E1039*'管线假设'!F1039*'管线假设'!G1039*IF(E4831="USD",'管线假设'!I1039,1)-AM4831</x:f>
        <x:v>0.2871</x:v>
      </x:c>
      <x:c r="M4831" s="11" t="n">
        <x:f>'管线假设'!H1039</x:f>
        <x:v>0.14</x:v>
      </x:c>
      <x:c r="N4831" s="11" t="n">
        <x:f>IF(G4831,L4831*AN4831/(1+M4831)^F4831,0)</x:f>
        <x:v>0.10064550464765334</x:v>
      </x:c>
      <x:c r="AJ4831" t="n">
        <x:v>0</x:v>
      </x:c>
      <x:c r="AK4831" t="n">
        <x:v>0</x:v>
      </x:c>
      <x:c r="AL4831" t="n">
        <x:v>0</x:v>
      </x:c>
      <x:c r="AM4831" t="n">
        <x:f>CHOOSE('假设'!$B$3,AJ4831,AK4831,AL4831)</x:f>
        <x:v>0</x:v>
      </x:c>
      <x:c r="AN4831" t="n">
        <x:v>1</x:v>
      </x:c>
    </x:row>
    <x:row r="4832" ht="23" customHeight="1">
      <x:c r="A4832" s="11" t="str">
        <x:v>688062.SH</x:v>
      </x:c>
      <x:c r="B4832" s="11" t="str">
        <x:v>2026年底</x:v>
      </x:c>
      <x:c r="C4832" s="11" t="str">
        <x:v>bfv_uc_first</x:v>
      </x:c>
      <x:c r="D4832" s="11" t="str">
        <x:v>2035-12-31</x:v>
      </x:c>
      <x:c r="E4832" s="11" t="str">
        <x:v>CNY</x:v>
      </x:c>
      <x:c r="F4832" s="11" t="n">
        <x:v>8.999315537303216</x:v>
      </x:c>
      <x:c r="G4832" s="26" t="b">
        <x:v>1</x:v>
      </x:c>
      <x:c r="H4832" s="16" t="n">
        <x:v>0.6960000000000001</x:v>
      </x:c>
      <x:c r="I4832" s="16" t="n">
        <x:v>1.48</x:v>
      </x:c>
      <x:c r="J4832" s="16" t="n">
        <x:v>2.196</x:v>
      </x:c>
      <x:c r="K4832" s="11" t="n">
        <x:f>CHOOSE('假设'!$B$3,H4832,I4832,J4832)</x:f>
        <x:v>1.48</x:v>
      </x:c>
      <x:c r="L4832" s="11" t="n">
        <x:f>K4832*'管线假设'!E1039*'管线假设'!F1039*'管线假设'!G1039*IF(E4832="USD",'管线假设'!I1039,1)-AM4832</x:f>
        <x:v>0.2442</x:v>
      </x:c>
      <x:c r="M4832" s="11" t="n">
        <x:f>'管线假设'!H1039</x:f>
        <x:v>0.14</x:v>
      </x:c>
      <x:c r="N4832" s="11" t="n">
        <x:f>IF(G4832,L4832*AN4832/(1+M4832)^F4832,0)</x:f>
        <x:v>0.07510017462322761</x:v>
      </x:c>
      <x:c r="AJ4832" t="n">
        <x:v>0</x:v>
      </x:c>
      <x:c r="AK4832" t="n">
        <x:v>0</x:v>
      </x:c>
      <x:c r="AL4832" t="n">
        <x:v>0</x:v>
      </x:c>
      <x:c r="AM4832" t="n">
        <x:f>CHOOSE('假设'!$B$3,AJ4832,AK4832,AL4832)</x:f>
        <x:v>0</x:v>
      </x:c>
      <x:c r="AN4832" t="n">
        <x:v>1</x:v>
      </x:c>
    </x:row>
    <x:row r="4833" ht="23" customHeight="1">
      <x:c r="A4833" s="11" t="str">
        <x:v>688062.SH</x:v>
      </x:c>
      <x:c r="B4833" s="11" t="str">
        <x:v>2026年底</x:v>
      </x:c>
      <x:c r="C4833" s="11" t="str">
        <x:v>bfv_uc_first</x:v>
      </x:c>
      <x:c r="D4833" s="11" t="str">
        <x:v>2036-12-31</x:v>
      </x:c>
      <x:c r="E4833" s="11" t="str">
        <x:v>CNY</x:v>
      </x:c>
      <x:c r="F4833" s="11" t="n">
        <x:v>10.001368925393566</x:v>
      </x:c>
      <x:c r="G4833" s="26" t="b">
        <x:v>1</x:v>
      </x:c>
      <x:c r="H4833" s="16" t="n">
        <x:v>0.592</x:v>
      </x:c>
      <x:c r="I4833" s="16" t="n">
        <x:v>1.22</x:v>
      </x:c>
      <x:c r="J4833" s="16" t="n">
        <x:v>1.728</x:v>
      </x:c>
      <x:c r="K4833" s="11" t="n">
        <x:f>CHOOSE('假设'!$B$3,H4833,I4833,J4833)</x:f>
        <x:v>1.22</x:v>
      </x:c>
      <x:c r="L4833" s="11" t="n">
        <x:f>K4833*'管线假设'!E1039*'管线假设'!F1039*'管线假设'!G1039*IF(E4833="USD",'管线假设'!I1039,1)-AM4833</x:f>
        <x:v>0.2013</x:v>
      </x:c>
      <x:c r="M4833" s="11" t="n">
        <x:f>'管线假设'!H1039</x:f>
        <x:v>0.14</x:v>
      </x:c>
      <x:c r="N4833" s="11" t="n">
        <x:f>IF(G4833,L4833*AN4833/(1+M4833)^F4833,0)</x:f>
        <x:v>0.054289690154209</x:v>
      </x:c>
      <x:c r="AJ4833" t="n">
        <x:v>0</x:v>
      </x:c>
      <x:c r="AK4833" t="n">
        <x:v>0</x:v>
      </x:c>
      <x:c r="AL4833" t="n">
        <x:v>0</x:v>
      </x:c>
      <x:c r="AM4833" t="n">
        <x:f>CHOOSE('假设'!$B$3,AJ4833,AK4833,AL4833)</x:f>
        <x:v>0</x:v>
      </x:c>
      <x:c r="AN4833" t="n">
        <x:v>1</x:v>
      </x:c>
    </x:row>
    <x:row r="4834" ht="23" customHeight="1">
      <x:c r="A4834" s="11" t="str">
        <x:v>688062.SH</x:v>
      </x:c>
      <x:c r="B4834" s="11" t="str">
        <x:v>2026年底</x:v>
      </x:c>
      <x:c r="C4834" s="11" t="str">
        <x:v>bfv_uc_first</x:v>
      </x:c>
      <x:c r="D4834" s="11" t="str">
        <x:v>2037-12-31</x:v>
      </x:c>
      <x:c r="E4834" s="11" t="str">
        <x:v>CNY</x:v>
      </x:c>
      <x:c r="F4834" s="11" t="n">
        <x:v>11.000684462696784</x:v>
      </x:c>
      <x:c r="G4834" s="26" t="b">
        <x:v>1</x:v>
      </x:c>
      <x:c r="H4834" s="16" t="n">
        <x:v>0.488</x:v>
      </x:c>
      <x:c r="I4834" s="16" t="n">
        <x:v>0.96</x:v>
      </x:c>
      <x:c r="J4834" s="16" t="n">
        <x:v>1.26</x:v>
      </x:c>
      <x:c r="K4834" s="11" t="n">
        <x:f>CHOOSE('假设'!$B$3,H4834,I4834,J4834)</x:f>
        <x:v>0.96</x:v>
      </x:c>
      <x:c r="L4834" s="11" t="n">
        <x:f>K4834*'管线假设'!E1039*'管线假设'!F1039*'管线假设'!G1039*IF(E4834="USD",'管线假设'!I1039,1)-AM4834</x:f>
        <x:v>0.1584</x:v>
      </x:c>
      <x:c r="M4834" s="11" t="n">
        <x:f>'管线假设'!H1039</x:f>
        <x:v>0.14</x:v>
      </x:c>
      <x:c r="N4834" s="11" t="n">
        <x:f>IF(G4834,L4834*AN4834/(1+M4834)^F4834,0)</x:f>
        <x:v>0.03747683125924438</x:v>
      </x:c>
      <x:c r="AJ4834" t="n">
        <x:v>0</x:v>
      </x:c>
      <x:c r="AK4834" t="n">
        <x:v>0</x:v>
      </x:c>
      <x:c r="AL4834" t="n">
        <x:v>0</x:v>
      </x:c>
      <x:c r="AM4834" t="n">
        <x:f>CHOOSE('假设'!$B$3,AJ4834,AK4834,AL4834)</x:f>
        <x:v>0</x:v>
      </x:c>
      <x:c r="AN4834" t="n">
        <x:v>1</x:v>
      </x:c>
    </x:row>
    <x:row r="4835" ht="23" customHeight="1">
      <x:c r="A4835" s="11" t="str">
        <x:v>688062.SH</x:v>
      </x:c>
      <x:c r="B4835" s="11" t="str">
        <x:v>2026年底</x:v>
      </x:c>
      <x:c r="C4835" s="11" t="str">
        <x:v>bfv_uc_first</x:v>
      </x:c>
      <x:c r="D4835" s="11" t="str">
        <x:v>2038-12-31</x:v>
      </x:c>
      <x:c r="E4835" s="11" t="str">
        <x:v>CNY</x:v>
      </x:c>
      <x:c r="F4835" s="11" t="n">
        <x:v>12</x:v>
      </x:c>
      <x:c r="G4835" s="26" t="b">
        <x:v>1</x:v>
      </x:c>
      <x:c r="H4835" s="16" t="n">
        <x:v>0.384</x:v>
      </x:c>
      <x:c r="I4835" s="16" t="n">
        <x:v>0.7</x:v>
      </x:c>
      <x:c r="J4835" s="16" t="n">
        <x:v>0.7919999999999999</x:v>
      </x:c>
      <x:c r="K4835" s="11" t="n">
        <x:f>CHOOSE('假设'!$B$3,H4835,I4835,J4835)</x:f>
        <x:v>0.7</x:v>
      </x:c>
      <x:c r="L4835" s="11" t="n">
        <x:f>K4835*'管线假设'!E1039*'管线假设'!F1039*'管线假设'!G1039*IF(E4835="USD",'管线假设'!I1039,1)-AM4835</x:f>
        <x:v>0.11549999999999999</x:v>
      </x:c>
      <x:c r="M4835" s="11" t="n">
        <x:f>'管线假设'!H1039</x:f>
        <x:v>0.14</x:v>
      </x:c>
      <x:c r="N4835" s="11" t="n">
        <x:f>IF(G4835,L4835*AN4835/(1+M4835)^F4835,0)</x:f>
        <x:v>0.02397307633074235</x:v>
      </x:c>
      <x:c r="AJ4835" t="n">
        <x:v>0</x:v>
      </x:c>
      <x:c r="AK4835" t="n">
        <x:v>0</x:v>
      </x:c>
      <x:c r="AL4835" t="n">
        <x:v>0</x:v>
      </x:c>
      <x:c r="AM4835" t="n">
        <x:f>CHOOSE('假设'!$B$3,AJ4835,AK4835,AL4835)</x:f>
        <x:v>0</x:v>
      </x:c>
      <x:c r="AN4835" t="n">
        <x:v>1</x:v>
      </x:c>
    </x:row>
    <x:row r="4836" ht="23" customHeight="1">
      <x:c r="A4836" s="11" t="str">
        <x:v>688062.SH</x:v>
      </x:c>
      <x:c r="B4836" s="11" t="str">
        <x:v>2026年底</x:v>
      </x:c>
      <x:c r="C4836" s="11" t="str">
        <x:v>bfv_uc_first</x:v>
      </x:c>
      <x:c r="D4836" s="11" t="str">
        <x:v>2039-12-31</x:v>
      </x:c>
      <x:c r="E4836" s="11" t="str">
        <x:v>CNY</x:v>
      </x:c>
      <x:c r="F4836" s="11" t="n">
        <x:v>12.999315537303216</x:v>
      </x:c>
      <x:c r="G4836" s="26" t="b">
        <x:v>1</x:v>
      </x:c>
      <x:c r="H4836" s="16" t="n">
        <x:v>0.27999999999999997</x:v>
      </x:c>
      <x:c r="I4836" s="16" t="n">
        <x:v>0.43999999999999995</x:v>
      </x:c>
      <x:c r="J4836" s="16" t="n">
        <x:v>0.3239999999999999</x:v>
      </x:c>
      <x:c r="K4836" s="11" t="n">
        <x:f>CHOOSE('假设'!$B$3,H4836,I4836,J4836)</x:f>
        <x:v>0.43999999999999995</x:v>
      </x:c>
      <x:c r="L4836" s="11" t="n">
        <x:f>K4836*'管线假设'!E1039*'管线假设'!F1039*'管线假设'!G1039*IF(E4836="USD",'管线假设'!I1039,1)-AM4836</x:f>
        <x:v>0.0726</x:v>
      </x:c>
      <x:c r="M4836" s="11" t="n">
        <x:f>'管线假设'!H1039</x:f>
        <x:v>0.14</x:v>
      </x:c>
      <x:c r="N4836" s="11" t="n">
        <x:f>IF(G4836,L4836*AN4836/(1+M4836)^F4836,0)</x:f>
        <x:v>0.01321942309286954</x:v>
      </x:c>
      <x:c r="AJ4836" t="n">
        <x:v>0</x:v>
      </x:c>
      <x:c r="AK4836" t="n">
        <x:v>0</x:v>
      </x:c>
      <x:c r="AL4836" t="n">
        <x:v>0</x:v>
      </x:c>
      <x:c r="AM4836" t="n">
        <x:f>CHOOSE('假设'!$B$3,AJ4836,AK4836,AL4836)</x:f>
        <x:v>0</x:v>
      </x:c>
      <x:c r="AN4836" t="n">
        <x:v>1</x:v>
      </x:c>
    </x:row>
    <x:row r="4837" ht="23" customHeight="1">
      <x:c r="A4837" s="11" t="str">
        <x:v>688062.SH</x:v>
      </x:c>
      <x:c r="B4837" s="11" t="str">
        <x:v>2026年底</x:v>
      </x:c>
      <x:c r="C4837" s="11" t="str">
        <x:v>bfv_uc_first</x:v>
      </x:c>
      <x:c r="D4837" s="11" t="str">
        <x:v>2040-12-31</x:v>
      </x:c>
      <x:c r="E4837" s="11" t="str">
        <x:v>CNY</x:v>
      </x:c>
      <x:c r="F4837" s="11" t="n">
        <x:v>14.001368925393566</x:v>
      </x:c>
      <x:c r="G4837" s="26" t="b">
        <x:v>1</x:v>
      </x:c>
      <x:c r="H4837" s="16" t="n">
        <x:v>0.176</x:v>
      </x:c>
      <x:c r="I4837" s="16" t="n">
        <x:v>0.17999999999999994</x:v>
      </x:c>
      <x:c r="J4837" s="16" t="n">
        <x:v>0</x:v>
      </x:c>
      <x:c r="K4837" s="11" t="n">
        <x:f>CHOOSE('假设'!$B$3,H4837,I4837,J4837)</x:f>
        <x:v>0.17999999999999994</x:v>
      </x:c>
      <x:c r="L4837" s="11" t="n">
        <x:f>K4837*'管线假设'!E1039*'管线假设'!F1039*'管线假设'!G1039*IF(E4837="USD",'管线假设'!I1039,1)-AM4837</x:f>
        <x:v>0.02969999999999999</x:v>
      </x:c>
      <x:c r="M4837" s="11" t="n">
        <x:f>'管线假设'!H1039</x:f>
        <x:v>0.14</x:v>
      </x:c>
      <x:c r="N4837" s="11" t="n">
        <x:f>IF(G4837,L4837*AN4837/(1+M4837)^F4837,0)</x:f>
        <x:v>0.0047425359548133</x:v>
      </x:c>
      <x:c r="AJ4837" t="n">
        <x:v>0</x:v>
      </x:c>
      <x:c r="AK4837" t="n">
        <x:v>0</x:v>
      </x:c>
      <x:c r="AL4837" t="n">
        <x:v>0</x:v>
      </x:c>
      <x:c r="AM4837" t="n">
        <x:f>CHOOSE('假设'!$B$3,AJ4837,AK4837,AL4837)</x:f>
        <x:v>0</x:v>
      </x:c>
      <x:c r="AN4837" t="n">
        <x:v>1</x:v>
      </x:c>
    </x:row>
    <x:row r="4838" ht="23" customHeight="1">
      <x:c r="A4838" s="11" t="str">
        <x:v>688062.SH</x:v>
      </x:c>
      <x:c r="B4838" s="11" t="str">
        <x:v>2026年底</x:v>
      </x:c>
      <x:c r="C4838" s="11" t="str">
        <x:v>bfv_uc_first</x:v>
      </x:c>
      <x:c r="D4838" s="11" t="str">
        <x:v>2041-12-31</x:v>
      </x:c>
      <x:c r="E4838" s="11" t="str">
        <x:v>CNY</x:v>
      </x:c>
      <x:c r="F4838" s="11" t="n">
        <x:v>15.000684462696784</x:v>
      </x:c>
      <x:c r="G4838" s="26" t="b">
        <x:v>1</x:v>
      </x:c>
      <x:c r="H4838" s="16" t="n">
        <x:v>0.07199999999999998</x:v>
      </x:c>
      <x:c r="I4838" s="16" t="n">
        <x:v>0</x:v>
      </x:c>
      <x:c r="J4838" s="16" t="n">
        <x:v>0</x:v>
      </x:c>
      <x:c r="K4838" s="11" t="n">
        <x:f>CHOOSE('假设'!$B$3,H4838,I4838,J4838)</x:f>
        <x:v>0</x:v>
      </x:c>
      <x:c r="L4838" s="11" t="n">
        <x:f>K4838*'管线假设'!E1039*'管线假设'!F1039*'管线假设'!G1039*IF(E4838="USD",'管线假设'!I1039,1)-AM4838</x:f>
        <x:v>0</x:v>
      </x:c>
      <x:c r="M4838" s="11" t="n">
        <x:f>'管线假设'!H1039</x:f>
        <x:v>0.14</x:v>
      </x:c>
      <x:c r="N4838" s="11" t="n">
        <x:f>IF(G4838,L4838*AN4838/(1+M4838)^F4838,0)</x:f>
        <x:v>0</x:v>
      </x:c>
      <x:c r="AJ4838" t="n">
        <x:v>0</x:v>
      </x:c>
      <x:c r="AK4838" t="n">
        <x:v>0</x:v>
      </x:c>
      <x:c r="AL4838" t="n">
        <x:v>0</x:v>
      </x:c>
      <x:c r="AM4838" t="n">
        <x:f>CHOOSE('假设'!$B$3,AJ4838,AK4838,AL4838)</x:f>
        <x:v>0</x:v>
      </x:c>
      <x:c r="AN4838" t="n">
        <x:v>1</x:v>
      </x:c>
    </x:row>
    <x:row r="4839" ht="23" customHeight="1">
      <x:c r="A4839" s="11" t="str">
        <x:v>688062.SH</x:v>
      </x:c>
      <x:c r="B4839" s="11" t="str">
        <x:v>2026年底</x:v>
      </x:c>
      <x:c r="C4839" s="11" t="str">
        <x:v>bfv_uc_first</x:v>
      </x:c>
      <x:c r="D4839" s="11" t="str">
        <x:v>2042-12-31</x:v>
      </x:c>
      <x:c r="E4839" s="11" t="str">
        <x:v>CNY</x:v>
      </x:c>
      <x:c r="F4839" s="11" t="n">
        <x:v>16</x:v>
      </x:c>
      <x:c r="G4839" s="26" t="b">
        <x:v>1</x:v>
      </x:c>
      <x:c r="H4839" s="16" t="n">
        <x:v>0</x:v>
      </x:c>
      <x:c r="I4839" s="16" t="n">
        <x:v>0</x:v>
      </x:c>
      <x:c r="J4839" s="16" t="n">
        <x:v>0</x:v>
      </x:c>
      <x:c r="K4839" s="11" t="n">
        <x:f>CHOOSE('假设'!$B$3,H4839,I4839,J4839)</x:f>
        <x:v>0</x:v>
      </x:c>
      <x:c r="L4839" s="11" t="n">
        <x:f>K4839*'管线假设'!E1039*'管线假设'!F1039*'管线假设'!G1039*IF(E4839="USD",'管线假设'!I1039,1)-AM4839</x:f>
        <x:v>0</x:v>
      </x:c>
      <x:c r="M4839" s="11" t="n">
        <x:f>'管线假设'!H1039</x:f>
        <x:v>0.14</x:v>
      </x:c>
      <x:c r="N4839" s="11" t="n">
        <x:f>IF(G4839,L4839*AN4839/(1+M4839)^F4839,0)</x:f>
        <x:v>0</x:v>
      </x:c>
      <x:c r="AJ4839" t="n">
        <x:v>0</x:v>
      </x:c>
      <x:c r="AK4839" t="n">
        <x:v>0</x:v>
      </x:c>
      <x:c r="AL4839" t="n">
        <x:v>0</x:v>
      </x:c>
      <x:c r="AM4839" t="n">
        <x:f>CHOOSE('假设'!$B$3,AJ4839,AK4839,AL4839)</x:f>
        <x:v>0</x:v>
      </x:c>
      <x:c r="AN4839" t="n">
        <x:v>1</x:v>
      </x:c>
    </x:row>
    <x:row r="4840" ht="23" customHeight="1">
      <x:c r="A4840" s="11" t="str">
        <x:v>688062.SH</x:v>
      </x:c>
      <x:c r="B4840" s="11" t="str">
        <x:v>2026年底</x:v>
      </x:c>
      <x:c r="C4840" s="11" t="str">
        <x:v>bfv_uc_first</x:v>
      </x:c>
      <x:c r="D4840" s="11" t="str">
        <x:v>2043-12-31</x:v>
      </x:c>
      <x:c r="E4840" s="11" t="str">
        <x:v>CNY</x:v>
      </x:c>
      <x:c r="F4840" s="11" t="n">
        <x:v>16.999315537303218</x:v>
      </x:c>
      <x:c r="G4840" s="26" t="b">
        <x:v>1</x:v>
      </x:c>
      <x:c r="H4840" s="16" t="n">
        <x:v>0</x:v>
      </x:c>
      <x:c r="I4840" s="16" t="n">
        <x:v>0</x:v>
      </x:c>
      <x:c r="J4840" s="16" t="n">
        <x:v>0</x:v>
      </x:c>
      <x:c r="K4840" s="11" t="n">
        <x:f>CHOOSE('假设'!$B$3,H4840,I4840,J4840)</x:f>
        <x:v>0</x:v>
      </x:c>
      <x:c r="L4840" s="11" t="n">
        <x:f>K4840*'管线假设'!E1039*'管线假设'!F1039*'管线假设'!G1039*IF(E4840="USD",'管线假设'!I1039,1)-AM4840</x:f>
        <x:v>0</x:v>
      </x:c>
      <x:c r="M4840" s="11" t="n">
        <x:f>'管线假设'!H1039</x:f>
        <x:v>0.14</x:v>
      </x:c>
      <x:c r="N4840" s="11" t="n">
        <x:f>IF(G4840,L4840*AN4840/(1+M4840)^F4840,0)</x:f>
        <x:v>0</x:v>
      </x:c>
      <x:c r="AJ4840" t="n">
        <x:v>0</x:v>
      </x:c>
      <x:c r="AK4840" t="n">
        <x:v>0</x:v>
      </x:c>
      <x:c r="AL4840" t="n">
        <x:v>0</x:v>
      </x:c>
      <x:c r="AM4840" t="n">
        <x:f>CHOOSE('假设'!$B$3,AJ4840,AK4840,AL4840)</x:f>
        <x:v>0</x:v>
      </x:c>
      <x:c r="AN4840" t="n">
        <x:v>1</x:v>
      </x:c>
    </x:row>
    <x:row r="4841" ht="23" customHeight="1">
      <x:c r="A4841" s="11" t="str">
        <x:v>688062.SH</x:v>
      </x:c>
      <x:c r="B4841" s="11" t="str">
        <x:v>2026年底</x:v>
      </x:c>
      <x:c r="C4841" s="11" t="str">
        <x:v>bfv_uc_first</x:v>
      </x:c>
      <x:c r="D4841" s="11" t="str">
        <x:v>2044-12-31</x:v>
      </x:c>
      <x:c r="E4841" s="11" t="str">
        <x:v>CNY</x:v>
      </x:c>
      <x:c r="F4841" s="11" t="n">
        <x:v>18.001368925393567</x:v>
      </x:c>
      <x:c r="G4841" s="26" t="b">
        <x:v>1</x:v>
      </x:c>
      <x:c r="H4841" s="16" t="n">
        <x:v>0</x:v>
      </x:c>
      <x:c r="I4841" s="16" t="n">
        <x:v>0</x:v>
      </x:c>
      <x:c r="J4841" s="16" t="n">
        <x:v>0</x:v>
      </x:c>
      <x:c r="K4841" s="11" t="n">
        <x:f>CHOOSE('假设'!$B$3,H4841,I4841,J4841)</x:f>
        <x:v>0</x:v>
      </x:c>
      <x:c r="L4841" s="11" t="n">
        <x:f>K4841*'管线假设'!E1039*'管线假设'!F1039*'管线假设'!G1039*IF(E4841="USD",'管线假设'!I1039,1)-AM4841</x:f>
        <x:v>0</x:v>
      </x:c>
      <x:c r="M4841" s="11" t="n">
        <x:f>'管线假设'!H1039</x:f>
        <x:v>0.14</x:v>
      </x:c>
      <x:c r="N4841" s="11" t="n">
        <x:f>IF(G4841,L4841*AN4841/(1+M4841)^F4841,0)</x:f>
        <x:v>0</x:v>
      </x:c>
      <x:c r="AJ4841" t="n">
        <x:v>0</x:v>
      </x:c>
      <x:c r="AK4841" t="n">
        <x:v>0</x:v>
      </x:c>
      <x:c r="AL4841" t="n">
        <x:v>0</x:v>
      </x:c>
      <x:c r="AM4841" t="n">
        <x:f>CHOOSE('假设'!$B$3,AJ4841,AK4841,AL4841)</x:f>
        <x:v>0</x:v>
      </x:c>
      <x:c r="AN4841" t="n">
        <x:v>1</x:v>
      </x:c>
    </x:row>
    <x:row r="4842" ht="23" customHeight="1">
      <x:c r="A4842" s="11" t="str">
        <x:v>688062.SH</x:v>
      </x:c>
      <x:c r="B4842" s="11" t="str">
        <x:v>2026年底</x:v>
      </x:c>
      <x:c r="C4842" s="11" t="str">
        <x:v>bfv_uc_first</x:v>
      </x:c>
      <x:c r="D4842" s="11" t="str">
        <x:v>2045-12-31</x:v>
      </x:c>
      <x:c r="E4842" s="11" t="str">
        <x:v>CNY</x:v>
      </x:c>
      <x:c r="F4842" s="11" t="n">
        <x:v>19.000684462696782</x:v>
      </x:c>
      <x:c r="G4842" s="26" t="b">
        <x:v>1</x:v>
      </x:c>
      <x:c r="H4842" s="16" t="n">
        <x:v>0</x:v>
      </x:c>
      <x:c r="I4842" s="16" t="n">
        <x:v>0</x:v>
      </x:c>
      <x:c r="J4842" s="16" t="n">
        <x:v>0</x:v>
      </x:c>
      <x:c r="K4842" s="11" t="n">
        <x:f>CHOOSE('假设'!$B$3,H4842,I4842,J4842)</x:f>
        <x:v>0</x:v>
      </x:c>
      <x:c r="L4842" s="11" t="n">
        <x:f>K4842*'管线假设'!E1039*'管线假设'!F1039*'管线假设'!G1039*IF(E4842="USD",'管线假设'!I1039,1)-AM4842</x:f>
        <x:v>0</x:v>
      </x:c>
      <x:c r="M4842" s="11" t="n">
        <x:f>'管线假设'!H1039</x:f>
        <x:v>0.14</x:v>
      </x:c>
      <x:c r="N4842" s="11" t="n">
        <x:f>IF(G4842,L4842*AN4842/(1+M4842)^F4842,0)</x:f>
        <x:v>0</x:v>
      </x:c>
      <x:c r="AJ4842" t="n">
        <x:v>0</x:v>
      </x:c>
      <x:c r="AK4842" t="n">
        <x:v>0</x:v>
      </x:c>
      <x:c r="AL4842" t="n">
        <x:v>0</x:v>
      </x:c>
      <x:c r="AM4842" t="n">
        <x:f>CHOOSE('假设'!$B$3,AJ4842,AK4842,AL4842)</x:f>
        <x:v>0</x:v>
      </x:c>
      <x:c r="AN4842" t="n">
        <x:v>1</x:v>
      </x:c>
    </x:row>
    <x:row r="4843" ht="23" customHeight="1">
      <x:c r="A4843" s="11" t="str">
        <x:v>688062.SH</x:v>
      </x:c>
      <x:c r="B4843" s="11" t="str">
        <x:v>2026年底</x:v>
      </x:c>
      <x:c r="C4843" s="11" t="str">
        <x:v>bfv_cervix</x:v>
      </x:c>
      <x:c r="D4843" s="11" t="str">
        <x:v>2027-12-31</x:v>
      </x:c>
      <x:c r="E4843" s="11" t="str">
        <x:v>CNY</x:v>
      </x:c>
      <x:c r="F4843" s="11" t="n">
        <x:v>0.999315537303217</x:v>
      </x:c>
      <x:c r="G4843" s="26" t="b">
        <x:v>1</x:v>
      </x:c>
      <x:c r="H4843" s="16" t="n">
        <x:v>0</x:v>
      </x:c>
      <x:c r="I4843" s="16" t="n">
        <x:v>0</x:v>
      </x:c>
      <x:c r="J4843" s="16" t="n">
        <x:v>0.39999999999999997</x:v>
      </x:c>
      <x:c r="K4843" s="11" t="n">
        <x:f>CHOOSE('假设'!$B$3,H4843,I4843,J4843)</x:f>
        <x:v>0</x:v>
      </x:c>
      <x:c r="L4843" s="11" t="n">
        <x:f>K4843*'管线假设'!E1043*'管线假设'!F1043*'管线假设'!G1043*IF(E4843="USD",'管线假设'!I1043,1)-AM4843</x:f>
        <x:v>0</x:v>
      </x:c>
      <x:c r="M4843" s="11" t="n">
        <x:f>'管线假设'!H1043</x:f>
        <x:v>0.14</x:v>
      </x:c>
      <x:c r="N4843" s="11" t="n">
        <x:f>IF(G4843,L4843*AN4843/(1+M4843)^F4843,0)</x:f>
        <x:v>0</x:v>
      </x:c>
      <x:c r="AJ4843" t="n">
        <x:v>0</x:v>
      </x:c>
      <x:c r="AK4843" t="n">
        <x:v>0</x:v>
      </x:c>
      <x:c r="AL4843" t="n">
        <x:v>0</x:v>
      </x:c>
      <x:c r="AM4843" t="n">
        <x:f>CHOOSE('假设'!$B$3,AJ4843,AK4843,AL4843)</x:f>
        <x:v>0</x:v>
      </x:c>
      <x:c r="AN4843" t="n">
        <x:v>1</x:v>
      </x:c>
    </x:row>
    <x:row r="4844" ht="23" customHeight="1">
      <x:c r="A4844" s="11" t="str">
        <x:v>688062.SH</x:v>
      </x:c>
      <x:c r="B4844" s="11" t="str">
        <x:v>2026年底</x:v>
      </x:c>
      <x:c r="C4844" s="11" t="str">
        <x:v>bfv_cervix</x:v>
      </x:c>
      <x:c r="D4844" s="11" t="str">
        <x:v>2028-12-31</x:v>
      </x:c>
      <x:c r="E4844" s="11" t="str">
        <x:v>CNY</x:v>
      </x:c>
      <x:c r="F4844" s="11" t="n">
        <x:v>2.001368925393566</x:v>
      </x:c>
      <x:c r="G4844" s="26" t="b">
        <x:v>1</x:v>
      </x:c>
      <x:c r="H4844" s="16" t="n">
        <x:v>0</x:v>
      </x:c>
      <x:c r="I4844" s="16" t="n">
        <x:v>0.2333333333333333</x:v>
      </x:c>
      <x:c r="J4844" s="16" t="n">
        <x:v>0.7999999999999999</x:v>
      </x:c>
      <x:c r="K4844" s="11" t="n">
        <x:f>CHOOSE('假设'!$B$3,H4844,I4844,J4844)</x:f>
        <x:v>0.2333333333333333</x:v>
      </x:c>
      <x:c r="L4844" s="11" t="n">
        <x:f>K4844*'管线假设'!E1043*'管线假设'!F1043*'管线假设'!G1043*IF(E4844="USD",'管线假设'!I1043,1)-AM4844</x:f>
        <x:v>0.0336</x:v>
      </x:c>
      <x:c r="M4844" s="11" t="n">
        <x:f>'管线假设'!H1043</x:f>
        <x:v>0.14</x:v>
      </x:c>
      <x:c r="N4844" s="11" t="n">
        <x:f>IF(G4844,L4844*AN4844/(1+M4844)^F4844,0)</x:f>
        <x:v>0.025849471974841946</x:v>
      </x:c>
      <x:c r="AJ4844" t="n">
        <x:v>0</x:v>
      </x:c>
      <x:c r="AK4844" t="n">
        <x:v>0</x:v>
      </x:c>
      <x:c r="AL4844" t="n">
        <x:v>0</x:v>
      </x:c>
      <x:c r="AM4844" t="n">
        <x:f>CHOOSE('假设'!$B$3,AJ4844,AK4844,AL4844)</x:f>
        <x:v>0</x:v>
      </x:c>
      <x:c r="AN4844" t="n">
        <x:v>1</x:v>
      </x:c>
    </x:row>
    <x:row r="4845" ht="23" customHeight="1">
      <x:c r="A4845" s="11" t="str">
        <x:v>688062.SH</x:v>
      </x:c>
      <x:c r="B4845" s="11" t="str">
        <x:v>2026年底</x:v>
      </x:c>
      <x:c r="C4845" s="11" t="str">
        <x:v>bfv_cervix</x:v>
      </x:c>
      <x:c r="D4845" s="11" t="str">
        <x:v>2029-12-31</x:v>
      </x:c>
      <x:c r="E4845" s="11" t="str">
        <x:v>CNY</x:v>
      </x:c>
      <x:c r="F4845" s="11" t="n">
        <x:v>3.0006844626967832</x:v>
      </x:c>
      <x:c r="G4845" s="26" t="b">
        <x:v>1</x:v>
      </x:c>
      <x:c r="H4845" s="16" t="n">
        <x:v>0</x:v>
      </x:c>
      <x:c r="I4845" s="16" t="n">
        <x:v>0.4666666666666666</x:v>
      </x:c>
      <x:c r="J4845" s="16" t="n">
        <x:v>1.2</x:v>
      </x:c>
      <x:c r="K4845" s="11" t="n">
        <x:f>CHOOSE('假设'!$B$3,H4845,I4845,J4845)</x:f>
        <x:v>0.4666666666666666</x:v>
      </x:c>
      <x:c r="L4845" s="11" t="n">
        <x:f>K4845*'管线假设'!E1043*'管线假设'!F1043*'管线假设'!G1043*IF(E4845="USD",'管线假设'!I1043,1)-AM4845</x:f>
        <x:v>0.0672</x:v>
      </x:c>
      <x:c r="M4845" s="11" t="n">
        <x:f>'管线假设'!H1043</x:f>
        <x:v>0.14</x:v>
      </x:c>
      <x:c r="N4845" s="11" t="n">
        <x:f>IF(G4845,L4845*AN4845/(1+M4845)^F4845,0)</x:f>
        <x:v>0.045354018178519764</x:v>
      </x:c>
      <x:c r="AJ4845" t="n">
        <x:v>0</x:v>
      </x:c>
      <x:c r="AK4845" t="n">
        <x:v>0</x:v>
      </x:c>
      <x:c r="AL4845" t="n">
        <x:v>0</x:v>
      </x:c>
      <x:c r="AM4845" t="n">
        <x:f>CHOOSE('假设'!$B$3,AJ4845,AK4845,AL4845)</x:f>
        <x:v>0</x:v>
      </x:c>
      <x:c r="AN4845" t="n">
        <x:v>1</x:v>
      </x:c>
    </x:row>
    <x:row r="4846" ht="23" customHeight="1">
      <x:c r="A4846" s="11" t="str">
        <x:v>688062.SH</x:v>
      </x:c>
      <x:c r="B4846" s="11" t="str">
        <x:v>2026年底</x:v>
      </x:c>
      <x:c r="C4846" s="11" t="str">
        <x:v>bfv_cervix</x:v>
      </x:c>
      <x:c r="D4846" s="11" t="str">
        <x:v>2030-12-31</x:v>
      </x:c>
      <x:c r="E4846" s="11" t="str">
        <x:v>CNY</x:v>
      </x:c>
      <x:c r="F4846" s="11" t="n">
        <x:v>4</x:v>
      </x:c>
      <x:c r="G4846" s="26" t="b">
        <x:v>1</x:v>
      </x:c>
      <x:c r="H4846" s="16" t="n">
        <x:v>0.12</x:v>
      </x:c>
      <x:c r="I4846" s="16" t="n">
        <x:v>0.7</x:v>
      </x:c>
      <x:c r="J4846" s="16" t="n">
        <x:v>1.5999999999999999</x:v>
      </x:c>
      <x:c r="K4846" s="11" t="n">
        <x:f>CHOOSE('假设'!$B$3,H4846,I4846,J4846)</x:f>
        <x:v>0.7</x:v>
      </x:c>
      <x:c r="L4846" s="11" t="n">
        <x:f>K4846*'管线假设'!E1043*'管线假设'!F1043*'管线假设'!G1043*IF(E4846="USD",'管线假设'!I1043,1)-AM4846</x:f>
        <x:v>0.10079999999999999</x:v>
      </x:c>
      <x:c r="M4846" s="11" t="n">
        <x:f>'管线假设'!H1043</x:f>
        <x:v>0.14</x:v>
      </x:c>
      <x:c r="N4846" s="11" t="n">
        <x:f>IF(G4846,L4846*AN4846/(1+M4846)^F4846,0)</x:f>
        <x:v>0.05968169195891509</x:v>
      </x:c>
      <x:c r="AJ4846" t="n">
        <x:v>0</x:v>
      </x:c>
      <x:c r="AK4846" t="n">
        <x:v>0</x:v>
      </x:c>
      <x:c r="AL4846" t="n">
        <x:v>0</x:v>
      </x:c>
      <x:c r="AM4846" t="n">
        <x:f>CHOOSE('假设'!$B$3,AJ4846,AK4846,AL4846)</x:f>
        <x:v>0</x:v>
      </x:c>
      <x:c r="AN4846" t="n">
        <x:v>1</x:v>
      </x:c>
    </x:row>
    <x:row r="4847" ht="23" customHeight="1">
      <x:c r="A4847" s="11" t="str">
        <x:v>688062.SH</x:v>
      </x:c>
      <x:c r="B4847" s="11" t="str">
        <x:v>2026年底</x:v>
      </x:c>
      <x:c r="C4847" s="11" t="str">
        <x:v>bfv_cervix</x:v>
      </x:c>
      <x:c r="D4847" s="11" t="str">
        <x:v>2031-12-31</x:v>
      </x:c>
      <x:c r="E4847" s="11" t="str">
        <x:v>CNY</x:v>
      </x:c>
      <x:c r="F4847" s="11" t="n">
        <x:v>4.999315537303217</x:v>
      </x:c>
      <x:c r="G4847" s="26" t="b">
        <x:v>1</x:v>
      </x:c>
      <x:c r="H4847" s="16" t="n">
        <x:v>0.24</x:v>
      </x:c>
      <x:c r="I4847" s="16" t="n">
        <x:v>0.9333333333333332</x:v>
      </x:c>
      <x:c r="J4847" s="16" t="n">
        <x:v>2</x:v>
      </x:c>
      <x:c r="K4847" s="11" t="n">
        <x:f>CHOOSE('假设'!$B$3,H4847,I4847,J4847)</x:f>
        <x:v>0.9333333333333332</x:v>
      </x:c>
      <x:c r="L4847" s="11" t="n">
        <x:f>K4847*'管线假设'!E1043*'管线假设'!F1043*'管线假设'!G1043*IF(E4847="USD",'管线假设'!I1043,1)-AM4847</x:f>
        <x:v>0.1344</x:v>
      </x:c>
      <x:c r="M4847" s="11" t="n">
        <x:f>'管线假设'!H1043</x:f>
        <x:v>0.14</x:v>
      </x:c>
      <x:c r="N4847" s="11" t="n">
        <x:f>IF(G4847,L4847*AN4847/(1+M4847)^F4847,0)</x:f>
        <x:v>0.0698094089933147</x:v>
      </x:c>
      <x:c r="AJ4847" t="n">
        <x:v>0</x:v>
      </x:c>
      <x:c r="AK4847" t="n">
        <x:v>0</x:v>
      </x:c>
      <x:c r="AL4847" t="n">
        <x:v>0</x:v>
      </x:c>
      <x:c r="AM4847" t="n">
        <x:f>CHOOSE('假设'!$B$3,AJ4847,AK4847,AL4847)</x:f>
        <x:v>0</x:v>
      </x:c>
      <x:c r="AN4847" t="n">
        <x:v>1</x:v>
      </x:c>
    </x:row>
    <x:row r="4848" ht="23" customHeight="1">
      <x:c r="A4848" s="11" t="str">
        <x:v>688062.SH</x:v>
      </x:c>
      <x:c r="B4848" s="11" t="str">
        <x:v>2026年底</x:v>
      </x:c>
      <x:c r="C4848" s="11" t="str">
        <x:v>bfv_cervix</x:v>
      </x:c>
      <x:c r="D4848" s="11" t="str">
        <x:v>2032-12-31</x:v>
      </x:c>
      <x:c r="E4848" s="11" t="str">
        <x:v>CNY</x:v>
      </x:c>
      <x:c r="F4848" s="11" t="n">
        <x:v>6.0013689253935665</x:v>
      </x:c>
      <x:c r="G4848" s="26" t="b">
        <x:v>1</x:v>
      </x:c>
      <x:c r="H4848" s="16" t="n">
        <x:v>0.36</x:v>
      </x:c>
      <x:c r="I4848" s="16" t="n">
        <x:v>1.1666666666666667</x:v>
      </x:c>
      <x:c r="J4848" s="16" t="n">
        <x:v>2.4</x:v>
      </x:c>
      <x:c r="K4848" s="11" t="n">
        <x:f>CHOOSE('假设'!$B$3,H4848,I4848,J4848)</x:f>
        <x:v>1.1666666666666667</x:v>
      </x:c>
      <x:c r="L4848" s="11" t="n">
        <x:f>K4848*'管线假设'!E1043*'管线假设'!F1043*'管线假设'!G1043*IF(E4848="USD",'管线假设'!I1043,1)-AM4848</x:f>
        <x:v>0.168</x:v>
      </x:c>
      <x:c r="M4848" s="11" t="n">
        <x:f>'管线假设'!H1043</x:f>
        <x:v>0.14</x:v>
      </x:c>
      <x:c r="N4848" s="11" t="n">
        <x:f>IF(G4848,L4848*AN4848/(1+M4848)^F4848,0)</x:f>
        <x:v>0.0765248126836868</x:v>
      </x:c>
      <x:c r="AJ4848" t="n">
        <x:v>0</x:v>
      </x:c>
      <x:c r="AK4848" t="n">
        <x:v>0</x:v>
      </x:c>
      <x:c r="AL4848" t="n">
        <x:v>0</x:v>
      </x:c>
      <x:c r="AM4848" t="n">
        <x:f>CHOOSE('假设'!$B$3,AJ4848,AK4848,AL4848)</x:f>
        <x:v>0</x:v>
      </x:c>
      <x:c r="AN4848" t="n">
        <x:v>1</x:v>
      </x:c>
    </x:row>
    <x:row r="4849" ht="23" customHeight="1">
      <x:c r="A4849" s="11" t="str">
        <x:v>688062.SH</x:v>
      </x:c>
      <x:c r="B4849" s="11" t="str">
        <x:v>2026年底</x:v>
      </x:c>
      <x:c r="C4849" s="11" t="str">
        <x:v>bfv_cervix</x:v>
      </x:c>
      <x:c r="D4849" s="11" t="str">
        <x:v>2033-12-31</x:v>
      </x:c>
      <x:c r="E4849" s="11" t="str">
        <x:v>CNY</x:v>
      </x:c>
      <x:c r="F4849" s="11" t="n">
        <x:v>7.000684462696783</x:v>
      </x:c>
      <x:c r="G4849" s="26" t="b">
        <x:v>1</x:v>
      </x:c>
      <x:c r="H4849" s="16" t="n">
        <x:v>0.48</x:v>
      </x:c>
      <x:c r="I4849" s="16" t="n">
        <x:v>1.4</x:v>
      </x:c>
      <x:c r="J4849" s="16" t="n">
        <x:v>2.088</x:v>
      </x:c>
      <x:c r="K4849" s="11" t="n">
        <x:f>CHOOSE('假设'!$B$3,H4849,I4849,J4849)</x:f>
        <x:v>1.4</x:v>
      </x:c>
      <x:c r="L4849" s="11" t="n">
        <x:f>K4849*'管线假设'!E1043*'管线假设'!F1043*'管线假设'!G1043*IF(E4849="USD",'管线假设'!I1043,1)-AM4849</x:f>
        <x:v>0.20159999999999997</x:v>
      </x:c>
      <x:c r="M4849" s="11" t="n">
        <x:f>'管线假设'!H1043</x:f>
        <x:v>0.14</x:v>
      </x:c>
      <x:c r="N4849" s="11" t="n">
        <x:f>IF(G4849,L4849*AN4849/(1+M4849)^F4849,0)</x:f>
        <x:v>0.08055965898897179</x:v>
      </x:c>
      <x:c r="AJ4849" t="n">
        <x:v>0</x:v>
      </x:c>
      <x:c r="AK4849" t="n">
        <x:v>0</x:v>
      </x:c>
      <x:c r="AL4849" t="n">
        <x:v>0</x:v>
      </x:c>
      <x:c r="AM4849" t="n">
        <x:f>CHOOSE('假设'!$B$3,AJ4849,AK4849,AL4849)</x:f>
        <x:v>0</x:v>
      </x:c>
      <x:c r="AN4849" t="n">
        <x:v>1</x:v>
      </x:c>
    </x:row>
    <x:row r="4850" ht="23" customHeight="1">
      <x:c r="A4850" s="11" t="str">
        <x:v>688062.SH</x:v>
      </x:c>
      <x:c r="B4850" s="11" t="str">
        <x:v>2026年底</x:v>
      </x:c>
      <x:c r="C4850" s="11" t="str">
        <x:v>bfv_cervix</x:v>
      </x:c>
      <x:c r="D4850" s="11" t="str">
        <x:v>2034-12-31</x:v>
      </x:c>
      <x:c r="E4850" s="11" t="str">
        <x:v>CNY</x:v>
      </x:c>
      <x:c r="F4850" s="11" t="n">
        <x:v>8</x:v>
      </x:c>
      <x:c r="G4850" s="26" t="b">
        <x:v>1</x:v>
      </x:c>
      <x:c r="H4850" s="16" t="n">
        <x:v>0.6</x:v>
      </x:c>
      <x:c r="I4850" s="16" t="n">
        <x:v>1.218</x:v>
      </x:c>
      <x:c r="J4850" s="16" t="n">
        <x:v>1.776</x:v>
      </x:c>
      <x:c r="K4850" s="11" t="n">
        <x:f>CHOOSE('假设'!$B$3,H4850,I4850,J4850)</x:f>
        <x:v>1.218</x:v>
      </x:c>
      <x:c r="L4850" s="11" t="n">
        <x:f>K4850*'管线假设'!E1043*'管线假设'!F1043*'管线假设'!G1043*IF(E4850="USD",'管线假设'!I1043,1)-AM4850</x:f>
        <x:v>0.17539199999999996</x:v>
      </x:c>
      <x:c r="M4850" s="11" t="n">
        <x:f>'管线假设'!H1043</x:f>
        <x:v>0.14</x:v>
      </x:c>
      <x:c r="N4850" s="11" t="n">
        <x:f>IF(G4850,L4850*AN4850/(1+M4850)^F4850,0)</x:f>
        <x:v>0.06148525374838457</x:v>
      </x:c>
      <x:c r="AJ4850" t="n">
        <x:v>0</x:v>
      </x:c>
      <x:c r="AK4850" t="n">
        <x:v>0</x:v>
      </x:c>
      <x:c r="AL4850" t="n">
        <x:v>0</x:v>
      </x:c>
      <x:c r="AM4850" t="n">
        <x:f>CHOOSE('假设'!$B$3,AJ4850,AK4850,AL4850)</x:f>
        <x:v>0</x:v>
      </x:c>
      <x:c r="AN4850" t="n">
        <x:v>1</x:v>
      </x:c>
    </x:row>
    <x:row r="4851" ht="23" customHeight="1">
      <x:c r="A4851" s="11" t="str">
        <x:v>688062.SH</x:v>
      </x:c>
      <x:c r="B4851" s="11" t="str">
        <x:v>2026年底</x:v>
      </x:c>
      <x:c r="C4851" s="11" t="str">
        <x:v>bfv_cervix</x:v>
      </x:c>
      <x:c r="D4851" s="11" t="str">
        <x:v>2035-12-31</x:v>
      </x:c>
      <x:c r="E4851" s="11" t="str">
        <x:v>CNY</x:v>
      </x:c>
      <x:c r="F4851" s="11" t="n">
        <x:v>8.999315537303216</x:v>
      </x:c>
      <x:c r="G4851" s="26" t="b">
        <x:v>1</x:v>
      </x:c>
      <x:c r="H4851" s="16" t="n">
        <x:v>0.522</x:v>
      </x:c>
      <x:c r="I4851" s="16" t="n">
        <x:v>1.036</x:v>
      </x:c>
      <x:c r="J4851" s="16" t="n">
        <x:v>1.464</x:v>
      </x:c>
      <x:c r="K4851" s="11" t="n">
        <x:f>CHOOSE('假设'!$B$3,H4851,I4851,J4851)</x:f>
        <x:v>1.036</x:v>
      </x:c>
      <x:c r="L4851" s="11" t="n">
        <x:f>K4851*'管线假设'!E1043*'管线假设'!F1043*'管线假设'!G1043*IF(E4851="USD",'管线假设'!I1043,1)-AM4851</x:f>
        <x:v>0.14918399999999998</x:v>
      </x:c>
      <x:c r="M4851" s="11" t="n">
        <x:f>'管线假设'!H1043</x:f>
        <x:v>0.14</x:v>
      </x:c>
      <x:c r="N4851" s="11" t="n">
        <x:f>IF(G4851,L4851*AN4851/(1+M4851)^F4851,0)</x:f>
        <x:v>0.045879379406189955</x:v>
      </x:c>
      <x:c r="AJ4851" t="n">
        <x:v>0</x:v>
      </x:c>
      <x:c r="AK4851" t="n">
        <x:v>0</x:v>
      </x:c>
      <x:c r="AL4851" t="n">
        <x:v>0</x:v>
      </x:c>
      <x:c r="AM4851" t="n">
        <x:f>CHOOSE('假设'!$B$3,AJ4851,AK4851,AL4851)</x:f>
        <x:v>0</x:v>
      </x:c>
      <x:c r="AN4851" t="n">
        <x:v>1</x:v>
      </x:c>
    </x:row>
    <x:row r="4852" ht="23" customHeight="1">
      <x:c r="A4852" s="11" t="str">
        <x:v>688062.SH</x:v>
      </x:c>
      <x:c r="B4852" s="11" t="str">
        <x:v>2026年底</x:v>
      </x:c>
      <x:c r="C4852" s="11" t="str">
        <x:v>bfv_cervix</x:v>
      </x:c>
      <x:c r="D4852" s="11" t="str">
        <x:v>2036-12-31</x:v>
      </x:c>
      <x:c r="E4852" s="11" t="str">
        <x:v>CNY</x:v>
      </x:c>
      <x:c r="F4852" s="11" t="n">
        <x:v>10.001368925393566</x:v>
      </x:c>
      <x:c r="G4852" s="26" t="b">
        <x:v>1</x:v>
      </x:c>
      <x:c r="H4852" s="16" t="n">
        <x:v>0.444</x:v>
      </x:c>
      <x:c r="I4852" s="16" t="n">
        <x:v>0.854</x:v>
      </x:c>
      <x:c r="J4852" s="16" t="n">
        <x:v>1.152</x:v>
      </x:c>
      <x:c r="K4852" s="11" t="n">
        <x:f>CHOOSE('假设'!$B$3,H4852,I4852,J4852)</x:f>
        <x:v>0.854</x:v>
      </x:c>
      <x:c r="L4852" s="11" t="n">
        <x:f>K4852*'管线假设'!E1043*'管线假设'!F1043*'管线假设'!G1043*IF(E4852="USD",'管线假设'!I1043,1)-AM4852</x:f>
        <x:v>0.12297599999999997</x:v>
      </x:c>
      <x:c r="M4852" s="11" t="n">
        <x:f>'管线假设'!H1043</x:f>
        <x:v>0.14</x:v>
      </x:c>
      <x:c r="N4852" s="11" t="n">
        <x:f>IF(G4852,L4852*AN4852/(1+M4852)^F4852,0)</x:f>
        <x:v>0.03316606525784403</x:v>
      </x:c>
      <x:c r="AJ4852" t="n">
        <x:v>0</x:v>
      </x:c>
      <x:c r="AK4852" t="n">
        <x:v>0</x:v>
      </x:c>
      <x:c r="AL4852" t="n">
        <x:v>0</x:v>
      </x:c>
      <x:c r="AM4852" t="n">
        <x:f>CHOOSE('假设'!$B$3,AJ4852,AK4852,AL4852)</x:f>
        <x:v>0</x:v>
      </x:c>
      <x:c r="AN4852" t="n">
        <x:v>1</x:v>
      </x:c>
    </x:row>
    <x:row r="4853" ht="23" customHeight="1">
      <x:c r="A4853" s="11" t="str">
        <x:v>688062.SH</x:v>
      </x:c>
      <x:c r="B4853" s="11" t="str">
        <x:v>2026年底</x:v>
      </x:c>
      <x:c r="C4853" s="11" t="str">
        <x:v>bfv_cervix</x:v>
      </x:c>
      <x:c r="D4853" s="11" t="str">
        <x:v>2037-12-31</x:v>
      </x:c>
      <x:c r="E4853" s="11" t="str">
        <x:v>CNY</x:v>
      </x:c>
      <x:c r="F4853" s="11" t="n">
        <x:v>11.000684462696784</x:v>
      </x:c>
      <x:c r="G4853" s="26" t="b">
        <x:v>1</x:v>
      </x:c>
      <x:c r="H4853" s="16" t="n">
        <x:v>0.366</x:v>
      </x:c>
      <x:c r="I4853" s="16" t="n">
        <x:v>0.6719999999999999</x:v>
      </x:c>
      <x:c r="J4853" s="16" t="n">
        <x:v>0.84</x:v>
      </x:c>
      <x:c r="K4853" s="11" t="n">
        <x:f>CHOOSE('假设'!$B$3,H4853,I4853,J4853)</x:f>
        <x:v>0.6719999999999999</x:v>
      </x:c>
      <x:c r="L4853" s="11" t="n">
        <x:f>K4853*'管线假设'!E1043*'管线假设'!F1043*'管线假设'!G1043*IF(E4853="USD",'管线假设'!I1043,1)-AM4853</x:f>
        <x:v>0.09676799999999998</x:v>
      </x:c>
      <x:c r="M4853" s="11" t="n">
        <x:f>'管线假设'!H1043</x:f>
        <x:v>0.14</x:v>
      </x:c>
      <x:c r="N4853" s="11" t="n">
        <x:f>IF(G4853,L4853*AN4853/(1+M4853)^F4853,0)</x:f>
        <x:v>0.022894936914738376</x:v>
      </x:c>
      <x:c r="AJ4853" t="n">
        <x:v>0</x:v>
      </x:c>
      <x:c r="AK4853" t="n">
        <x:v>0</x:v>
      </x:c>
      <x:c r="AL4853" t="n">
        <x:v>0</x:v>
      </x:c>
      <x:c r="AM4853" t="n">
        <x:f>CHOOSE('假设'!$B$3,AJ4853,AK4853,AL4853)</x:f>
        <x:v>0</x:v>
      </x:c>
      <x:c r="AN4853" t="n">
        <x:v>1</x:v>
      </x:c>
    </x:row>
    <x:row r="4854" ht="23" customHeight="1">
      <x:c r="A4854" s="11" t="str">
        <x:v>688062.SH</x:v>
      </x:c>
      <x:c r="B4854" s="11" t="str">
        <x:v>2026年底</x:v>
      </x:c>
      <x:c r="C4854" s="11" t="str">
        <x:v>bfv_cervix</x:v>
      </x:c>
      <x:c r="D4854" s="11" t="str">
        <x:v>2038-12-31</x:v>
      </x:c>
      <x:c r="E4854" s="11" t="str">
        <x:v>CNY</x:v>
      </x:c>
      <x:c r="F4854" s="11" t="n">
        <x:v>12</x:v>
      </x:c>
      <x:c r="G4854" s="26" t="b">
        <x:v>1</x:v>
      </x:c>
      <x:c r="H4854" s="16" t="n">
        <x:v>0.288</x:v>
      </x:c>
      <x:c r="I4854" s="16" t="n">
        <x:v>0.48999999999999994</x:v>
      </x:c>
      <x:c r="J4854" s="16" t="n">
        <x:v>0.5279999999999999</x:v>
      </x:c>
      <x:c r="K4854" s="11" t="n">
        <x:f>CHOOSE('假设'!$B$3,H4854,I4854,J4854)</x:f>
        <x:v>0.48999999999999994</x:v>
      </x:c>
      <x:c r="L4854" s="11" t="n">
        <x:f>K4854*'管线假设'!E1043*'管线假设'!F1043*'管线假设'!G1043*IF(E4854="USD",'管线假设'!I1043,1)-AM4854</x:f>
        <x:v>0.07055999999999998</x:v>
      </x:c>
      <x:c r="M4854" s="11" t="n">
        <x:f>'管线假设'!H1043</x:f>
        <x:v>0.14</x:v>
      </x:c>
      <x:c r="N4854" s="11" t="n">
        <x:f>IF(G4854,L4854*AN4854/(1+M4854)^F4854,0)</x:f>
        <x:v>0.014645370267508052</x:v>
      </x:c>
      <x:c r="AJ4854" t="n">
        <x:v>0</x:v>
      </x:c>
      <x:c r="AK4854" t="n">
        <x:v>0</x:v>
      </x:c>
      <x:c r="AL4854" t="n">
        <x:v>0</x:v>
      </x:c>
      <x:c r="AM4854" t="n">
        <x:f>CHOOSE('假设'!$B$3,AJ4854,AK4854,AL4854)</x:f>
        <x:v>0</x:v>
      </x:c>
      <x:c r="AN4854" t="n">
        <x:v>1</x:v>
      </x:c>
    </x:row>
    <x:row r="4855" ht="23" customHeight="1">
      <x:c r="A4855" s="11" t="str">
        <x:v>688062.SH</x:v>
      </x:c>
      <x:c r="B4855" s="11" t="str">
        <x:v>2026年底</x:v>
      </x:c>
      <x:c r="C4855" s="11" t="str">
        <x:v>bfv_cervix</x:v>
      </x:c>
      <x:c r="D4855" s="11" t="str">
        <x:v>2039-12-31</x:v>
      </x:c>
      <x:c r="E4855" s="11" t="str">
        <x:v>CNY</x:v>
      </x:c>
      <x:c r="F4855" s="11" t="n">
        <x:v>12.999315537303216</x:v>
      </x:c>
      <x:c r="G4855" s="26" t="b">
        <x:v>1</x:v>
      </x:c>
      <x:c r="H4855" s="16" t="n">
        <x:v>0.21</x:v>
      </x:c>
      <x:c r="I4855" s="16" t="n">
        <x:v>0.30799999999999994</x:v>
      </x:c>
      <x:c r="J4855" s="16" t="n">
        <x:v>0.21599999999999991</x:v>
      </x:c>
      <x:c r="K4855" s="11" t="n">
        <x:f>CHOOSE('假设'!$B$3,H4855,I4855,J4855)</x:f>
        <x:v>0.30799999999999994</x:v>
      </x:c>
      <x:c r="L4855" s="11" t="n">
        <x:f>K4855*'管线假设'!E1043*'管线假设'!F1043*'管线假设'!G1043*IF(E4855="USD",'管线假设'!I1043,1)-AM4855</x:f>
        <x:v>0.04435199999999999</x:v>
      </x:c>
      <x:c r="M4855" s="11" t="n">
        <x:f>'管线假设'!H1043</x:f>
        <x:v>0.14</x:v>
      </x:c>
      <x:c r="N4855" s="11" t="n">
        <x:f>IF(G4855,L4855*AN4855/(1+M4855)^F4855,0)</x:f>
        <x:v>0.00807586574400757</x:v>
      </x:c>
      <x:c r="AJ4855" t="n">
        <x:v>0</x:v>
      </x:c>
      <x:c r="AK4855" t="n">
        <x:v>0</x:v>
      </x:c>
      <x:c r="AL4855" t="n">
        <x:v>0</x:v>
      </x:c>
      <x:c r="AM4855" t="n">
        <x:f>CHOOSE('假设'!$B$3,AJ4855,AK4855,AL4855)</x:f>
        <x:v>0</x:v>
      </x:c>
      <x:c r="AN4855" t="n">
        <x:v>1</x:v>
      </x:c>
    </x:row>
    <x:row r="4856" ht="23" customHeight="1">
      <x:c r="A4856" s="11" t="str">
        <x:v>688062.SH</x:v>
      </x:c>
      <x:c r="B4856" s="11" t="str">
        <x:v>2026年底</x:v>
      </x:c>
      <x:c r="C4856" s="11" t="str">
        <x:v>bfv_cervix</x:v>
      </x:c>
      <x:c r="D4856" s="11" t="str">
        <x:v>2040-12-31</x:v>
      </x:c>
      <x:c r="E4856" s="11" t="str">
        <x:v>CNY</x:v>
      </x:c>
      <x:c r="F4856" s="11" t="n">
        <x:v>14.001368925393566</x:v>
      </x:c>
      <x:c r="G4856" s="26" t="b">
        <x:v>1</x:v>
      </x:c>
      <x:c r="H4856" s="16" t="n">
        <x:v>0.13199999999999998</x:v>
      </x:c>
      <x:c r="I4856" s="16" t="n">
        <x:v>0.12599999999999995</x:v>
      </x:c>
      <x:c r="J4856" s="16" t="n">
        <x:v>0</x:v>
      </x:c>
      <x:c r="K4856" s="11" t="n">
        <x:f>CHOOSE('假设'!$B$3,H4856,I4856,J4856)</x:f>
        <x:v>0.12599999999999995</x:v>
      </x:c>
      <x:c r="L4856" s="11" t="n">
        <x:f>K4856*'管线假设'!E1043*'管线假设'!F1043*'管线假设'!G1043*IF(E4856="USD",'管线假设'!I1043,1)-AM4856</x:f>
        <x:v>0.01814399999999999</x:v>
      </x:c>
      <x:c r="M4856" s="11" t="n">
        <x:f>'管线假设'!H1043</x:f>
        <x:v>0.14</x:v>
      </x:c>
      <x:c r="N4856" s="11" t="n">
        <x:f>IF(G4856,L4856*AN4856/(1+M4856)^F4856,0)</x:f>
        <x:v>0.00289725832875867</x:v>
      </x:c>
      <x:c r="AJ4856" t="n">
        <x:v>0</x:v>
      </x:c>
      <x:c r="AK4856" t="n">
        <x:v>0</x:v>
      </x:c>
      <x:c r="AL4856" t="n">
        <x:v>0</x:v>
      </x:c>
      <x:c r="AM4856" t="n">
        <x:f>CHOOSE('假设'!$B$3,AJ4856,AK4856,AL4856)</x:f>
        <x:v>0</x:v>
      </x:c>
      <x:c r="AN4856" t="n">
        <x:v>1</x:v>
      </x:c>
    </x:row>
    <x:row r="4857" ht="23" customHeight="1">
      <x:c r="A4857" s="11" t="str">
        <x:v>688062.SH</x:v>
      </x:c>
      <x:c r="B4857" s="11" t="str">
        <x:v>2026年底</x:v>
      </x:c>
      <x:c r="C4857" s="11" t="str">
        <x:v>bfv_cervix</x:v>
      </x:c>
      <x:c r="D4857" s="11" t="str">
        <x:v>2041-12-31</x:v>
      </x:c>
      <x:c r="E4857" s="11" t="str">
        <x:v>CNY</x:v>
      </x:c>
      <x:c r="F4857" s="11" t="n">
        <x:v>15.000684462696784</x:v>
      </x:c>
      <x:c r="G4857" s="26" t="b">
        <x:v>1</x:v>
      </x:c>
      <x:c r="H4857" s="16" t="n">
        <x:v>0.05399999999999998</x:v>
      </x:c>
      <x:c r="I4857" s="16" t="n">
        <x:v>0</x:v>
      </x:c>
      <x:c r="J4857" s="16" t="n">
        <x:v>0</x:v>
      </x:c>
      <x:c r="K4857" s="11" t="n">
        <x:f>CHOOSE('假设'!$B$3,H4857,I4857,J4857)</x:f>
        <x:v>0</x:v>
      </x:c>
      <x:c r="L4857" s="11" t="n">
        <x:f>K4857*'管线假设'!E1043*'管线假设'!F1043*'管线假设'!G1043*IF(E4857="USD",'管线假设'!I1043,1)-AM4857</x:f>
        <x:v>0</x:v>
      </x:c>
      <x:c r="M4857" s="11" t="n">
        <x:f>'管线假设'!H1043</x:f>
        <x:v>0.14</x:v>
      </x:c>
      <x:c r="N4857" s="11" t="n">
        <x:f>IF(G4857,L4857*AN4857/(1+M4857)^F4857,0)</x:f>
        <x:v>0</x:v>
      </x:c>
      <x:c r="AJ4857" t="n">
        <x:v>0</x:v>
      </x:c>
      <x:c r="AK4857" t="n">
        <x:v>0</x:v>
      </x:c>
      <x:c r="AL4857" t="n">
        <x:v>0</x:v>
      </x:c>
      <x:c r="AM4857" t="n">
        <x:f>CHOOSE('假设'!$B$3,AJ4857,AK4857,AL4857)</x:f>
        <x:v>0</x:v>
      </x:c>
      <x:c r="AN4857" t="n">
        <x:v>1</x:v>
      </x:c>
    </x:row>
    <x:row r="4858" ht="23" customHeight="1">
      <x:c r="A4858" s="11" t="str">
        <x:v>688062.SH</x:v>
      </x:c>
      <x:c r="B4858" s="11" t="str">
        <x:v>2026年底</x:v>
      </x:c>
      <x:c r="C4858" s="11" t="str">
        <x:v>bfv_cervix</x:v>
      </x:c>
      <x:c r="D4858" s="11" t="str">
        <x:v>2042-12-31</x:v>
      </x:c>
      <x:c r="E4858" s="11" t="str">
        <x:v>CNY</x:v>
      </x:c>
      <x:c r="F4858" s="11" t="n">
        <x:v>16</x:v>
      </x:c>
      <x:c r="G4858" s="26" t="b">
        <x:v>1</x:v>
      </x:c>
      <x:c r="H4858" s="16" t="n">
        <x:v>0</x:v>
      </x:c>
      <x:c r="I4858" s="16" t="n">
        <x:v>0</x:v>
      </x:c>
      <x:c r="J4858" s="16" t="n">
        <x:v>0</x:v>
      </x:c>
      <x:c r="K4858" s="11" t="n">
        <x:f>CHOOSE('假设'!$B$3,H4858,I4858,J4858)</x:f>
        <x:v>0</x:v>
      </x:c>
      <x:c r="L4858" s="11" t="n">
        <x:f>K4858*'管线假设'!E1043*'管线假设'!F1043*'管线假设'!G1043*IF(E4858="USD",'管线假设'!I1043,1)-AM4858</x:f>
        <x:v>0</x:v>
      </x:c>
      <x:c r="M4858" s="11" t="n">
        <x:f>'管线假设'!H1043</x:f>
        <x:v>0.14</x:v>
      </x:c>
      <x:c r="N4858" s="11" t="n">
        <x:f>IF(G4858,L4858*AN4858/(1+M4858)^F4858,0)</x:f>
        <x:v>0</x:v>
      </x:c>
      <x:c r="AJ4858" t="n">
        <x:v>0</x:v>
      </x:c>
      <x:c r="AK4858" t="n">
        <x:v>0</x:v>
      </x:c>
      <x:c r="AL4858" t="n">
        <x:v>0</x:v>
      </x:c>
      <x:c r="AM4858" t="n">
        <x:f>CHOOSE('假设'!$B$3,AJ4858,AK4858,AL4858)</x:f>
        <x:v>0</x:v>
      </x:c>
      <x:c r="AN4858" t="n">
        <x:v>1</x:v>
      </x:c>
    </x:row>
    <x:row r="4859" ht="23" customHeight="1">
      <x:c r="A4859" s="11" t="str">
        <x:v>688062.SH</x:v>
      </x:c>
      <x:c r="B4859" s="11" t="str">
        <x:v>2026年底</x:v>
      </x:c>
      <x:c r="C4859" s="11" t="str">
        <x:v>bfv_cervix</x:v>
      </x:c>
      <x:c r="D4859" s="11" t="str">
        <x:v>2043-12-31</x:v>
      </x:c>
      <x:c r="E4859" s="11" t="str">
        <x:v>CNY</x:v>
      </x:c>
      <x:c r="F4859" s="11" t="n">
        <x:v>16.999315537303218</x:v>
      </x:c>
      <x:c r="G4859" s="26" t="b">
        <x:v>1</x:v>
      </x:c>
      <x:c r="H4859" s="16" t="n">
        <x:v>0</x:v>
      </x:c>
      <x:c r="I4859" s="16" t="n">
        <x:v>0</x:v>
      </x:c>
      <x:c r="J4859" s="16" t="n">
        <x:v>0</x:v>
      </x:c>
      <x:c r="K4859" s="11" t="n">
        <x:f>CHOOSE('假设'!$B$3,H4859,I4859,J4859)</x:f>
        <x:v>0</x:v>
      </x:c>
      <x:c r="L4859" s="11" t="n">
        <x:f>K4859*'管线假设'!E1043*'管线假设'!F1043*'管线假设'!G1043*IF(E4859="USD",'管线假设'!I1043,1)-AM4859</x:f>
        <x:v>0</x:v>
      </x:c>
      <x:c r="M4859" s="11" t="n">
        <x:f>'管线假设'!H1043</x:f>
        <x:v>0.14</x:v>
      </x:c>
      <x:c r="N4859" s="11" t="n">
        <x:f>IF(G4859,L4859*AN4859/(1+M4859)^F4859,0)</x:f>
        <x:v>0</x:v>
      </x:c>
      <x:c r="AJ4859" t="n">
        <x:v>0</x:v>
      </x:c>
      <x:c r="AK4859" t="n">
        <x:v>0</x:v>
      </x:c>
      <x:c r="AL4859" t="n">
        <x:v>0</x:v>
      </x:c>
      <x:c r="AM4859" t="n">
        <x:f>CHOOSE('假设'!$B$3,AJ4859,AK4859,AL4859)</x:f>
        <x:v>0</x:v>
      </x:c>
      <x:c r="AN4859" t="n">
        <x:v>1</x:v>
      </x:c>
    </x:row>
    <x:row r="4860" ht="23" customHeight="1">
      <x:c r="A4860" s="11" t="str">
        <x:v>688062.SH</x:v>
      </x:c>
      <x:c r="B4860" s="11" t="str">
        <x:v>2026年底</x:v>
      </x:c>
      <x:c r="C4860" s="11" t="str">
        <x:v>bfv_cervix</x:v>
      </x:c>
      <x:c r="D4860" s="11" t="str">
        <x:v>2044-12-31</x:v>
      </x:c>
      <x:c r="E4860" s="11" t="str">
        <x:v>CNY</x:v>
      </x:c>
      <x:c r="F4860" s="11" t="n">
        <x:v>18.001368925393567</x:v>
      </x:c>
      <x:c r="G4860" s="26" t="b">
        <x:v>1</x:v>
      </x:c>
      <x:c r="H4860" s="16" t="n">
        <x:v>0</x:v>
      </x:c>
      <x:c r="I4860" s="16" t="n">
        <x:v>0</x:v>
      </x:c>
      <x:c r="J4860" s="16" t="n">
        <x:v>0</x:v>
      </x:c>
      <x:c r="K4860" s="11" t="n">
        <x:f>CHOOSE('假设'!$B$3,H4860,I4860,J4860)</x:f>
        <x:v>0</x:v>
      </x:c>
      <x:c r="L4860" s="11" t="n">
        <x:f>K4860*'管线假设'!E1043*'管线假设'!F1043*'管线假设'!G1043*IF(E4860="USD",'管线假设'!I1043,1)-AM4860</x:f>
        <x:v>0</x:v>
      </x:c>
      <x:c r="M4860" s="11" t="n">
        <x:f>'管线假设'!H1043</x:f>
        <x:v>0.14</x:v>
      </x:c>
      <x:c r="N4860" s="11" t="n">
        <x:f>IF(G4860,L4860*AN4860/(1+M4860)^F4860,0)</x:f>
        <x:v>0</x:v>
      </x:c>
      <x:c r="AJ4860" t="n">
        <x:v>0</x:v>
      </x:c>
      <x:c r="AK4860" t="n">
        <x:v>0</x:v>
      </x:c>
      <x:c r="AL4860" t="n">
        <x:v>0</x:v>
      </x:c>
      <x:c r="AM4860" t="n">
        <x:f>CHOOSE('假设'!$B$3,AJ4860,AK4860,AL4860)</x:f>
        <x:v>0</x:v>
      </x:c>
      <x:c r="AN4860" t="n">
        <x:v>1</x:v>
      </x:c>
    </x:row>
    <x:row r="4861" ht="23" customHeight="1">
      <x:c r="A4861" s="11" t="str">
        <x:v>688062.SH</x:v>
      </x:c>
      <x:c r="B4861" s="11" t="str">
        <x:v>2026年底</x:v>
      </x:c>
      <x:c r="C4861" s="11" t="str">
        <x:v>bfv_cervix</x:v>
      </x:c>
      <x:c r="D4861" s="11" t="str">
        <x:v>2045-12-31</x:v>
      </x:c>
      <x:c r="E4861" s="11" t="str">
        <x:v>CNY</x:v>
      </x:c>
      <x:c r="F4861" s="11" t="n">
        <x:v>19.000684462696782</x:v>
      </x:c>
      <x:c r="G4861" s="26" t="b">
        <x:v>1</x:v>
      </x:c>
      <x:c r="H4861" s="16" t="n">
        <x:v>0</x:v>
      </x:c>
      <x:c r="I4861" s="16" t="n">
        <x:v>0</x:v>
      </x:c>
      <x:c r="J4861" s="16" t="n">
        <x:v>0</x:v>
      </x:c>
      <x:c r="K4861" s="11" t="n">
        <x:f>CHOOSE('假设'!$B$3,H4861,I4861,J4861)</x:f>
        <x:v>0</x:v>
      </x:c>
      <x:c r="L4861" s="11" t="n">
        <x:f>K4861*'管线假设'!E1043*'管线假设'!F1043*'管线假设'!G1043*IF(E4861="USD",'管线假设'!I1043,1)-AM4861</x:f>
        <x:v>0</x:v>
      </x:c>
      <x:c r="M4861" s="11" t="n">
        <x:f>'管线假设'!H1043</x:f>
        <x:v>0.14</x:v>
      </x:c>
      <x:c r="N4861" s="11" t="n">
        <x:f>IF(G4861,L4861*AN4861/(1+M4861)^F4861,0)</x:f>
        <x:v>0</x:v>
      </x:c>
      <x:c r="AJ4861" t="n">
        <x:v>0</x:v>
      </x:c>
      <x:c r="AK4861" t="n">
        <x:v>0</x:v>
      </x:c>
      <x:c r="AL4861" t="n">
        <x:v>0</x:v>
      </x:c>
      <x:c r="AM4861" t="n">
        <x:f>CHOOSE('假设'!$B$3,AJ4861,AK4861,AL4861)</x:f>
        <x:v>0</x:v>
      </x:c>
      <x:c r="AN4861" t="n">
        <x:v>1</x:v>
      </x:c>
    </x:row>
    <x:row r="4862" ht="23" customHeight="1">
      <x:c r="A4862" s="11" t="str">
        <x:v>688062.SH</x:v>
      </x:c>
      <x:c r="B4862" s="11" t="str">
        <x:v>2026年底</x:v>
      </x:c>
      <x:c r="C4862" s="11" t="str">
        <x:v>bfv_tnbc</x:v>
      </x:c>
      <x:c r="D4862" s="11" t="str">
        <x:v>2027-12-31</x:v>
      </x:c>
      <x:c r="E4862" s="11" t="str">
        <x:v>CNY</x:v>
      </x:c>
      <x:c r="F4862" s="11" t="n">
        <x:v>0.999315537303217</x:v>
      </x:c>
      <x:c r="G4862" s="26" t="b">
        <x:v>1</x:v>
      </x:c>
      <x:c r="H4862" s="16" t="n">
        <x:v>0</x:v>
      </x:c>
      <x:c r="I4862" s="16" t="n">
        <x:v>0</x:v>
      </x:c>
      <x:c r="J4862" s="16" t="n">
        <x:v>0</x:v>
      </x:c>
      <x:c r="K4862" s="11" t="n">
        <x:f>CHOOSE('假设'!$B$3,H4862,I4862,J4862)</x:f>
        <x:v>0</x:v>
      </x:c>
      <x:c r="L4862" s="11" t="n">
        <x:f>K4862*'管线假设'!E1047*'管线假设'!F1047*'管线假设'!G1047*IF(E4862="USD",'管线假设'!I1047,1)-AM4862</x:f>
        <x:v>0</x:v>
      </x:c>
      <x:c r="M4862" s="11" t="n">
        <x:f>'管线假设'!H1047</x:f>
        <x:v>0.14</x:v>
      </x:c>
      <x:c r="N4862" s="11" t="n">
        <x:f>IF(G4862,L4862*AN4862/(1+M4862)^F4862,0)</x:f>
        <x:v>0</x:v>
      </x:c>
      <x:c r="AJ4862" t="n">
        <x:v>0</x:v>
      </x:c>
      <x:c r="AK4862" t="n">
        <x:v>0</x:v>
      </x:c>
      <x:c r="AL4862" t="n">
        <x:v>0</x:v>
      </x:c>
      <x:c r="AM4862" t="n">
        <x:f>CHOOSE('假设'!$B$3,AJ4862,AK4862,AL4862)</x:f>
        <x:v>0</x:v>
      </x:c>
      <x:c r="AN4862" t="n">
        <x:v>1</x:v>
      </x:c>
    </x:row>
    <x:row r="4863" ht="23" customHeight="1">
      <x:c r="A4863" s="11" t="str">
        <x:v>688062.SH</x:v>
      </x:c>
      <x:c r="B4863" s="11" t="str">
        <x:v>2026年底</x:v>
      </x:c>
      <x:c r="C4863" s="11" t="str">
        <x:v>bfv_tnbc</x:v>
      </x:c>
      <x:c r="D4863" s="11" t="str">
        <x:v>2028-12-31</x:v>
      </x:c>
      <x:c r="E4863" s="11" t="str">
        <x:v>CNY</x:v>
      </x:c>
      <x:c r="F4863" s="11" t="n">
        <x:v>2.001368925393566</x:v>
      </x:c>
      <x:c r="G4863" s="26" t="b">
        <x:v>1</x:v>
      </x:c>
      <x:c r="H4863" s="16" t="n">
        <x:v>0</x:v>
      </x:c>
      <x:c r="I4863" s="16" t="n">
        <x:v>0</x:v>
      </x:c>
      <x:c r="J4863" s="16" t="n">
        <x:v>0</x:v>
      </x:c>
      <x:c r="K4863" s="11" t="n">
        <x:f>CHOOSE('假设'!$B$3,H4863,I4863,J4863)</x:f>
        <x:v>0</x:v>
      </x:c>
      <x:c r="L4863" s="11" t="n">
        <x:f>K4863*'管线假设'!E1047*'管线假设'!F1047*'管线假设'!G1047*IF(E4863="USD",'管线假设'!I1047,1)-AM4863</x:f>
        <x:v>0</x:v>
      </x:c>
      <x:c r="M4863" s="11" t="n">
        <x:f>'管线假设'!H1047</x:f>
        <x:v>0.14</x:v>
      </x:c>
      <x:c r="N4863" s="11" t="n">
        <x:f>IF(G4863,L4863*AN4863/(1+M4863)^F4863,0)</x:f>
        <x:v>0</x:v>
      </x:c>
      <x:c r="AJ4863" t="n">
        <x:v>0</x:v>
      </x:c>
      <x:c r="AK4863" t="n">
        <x:v>0</x:v>
      </x:c>
      <x:c r="AL4863" t="n">
        <x:v>0</x:v>
      </x:c>
      <x:c r="AM4863" t="n">
        <x:f>CHOOSE('假设'!$B$3,AJ4863,AK4863,AL4863)</x:f>
        <x:v>0</x:v>
      </x:c>
      <x:c r="AN4863" t="n">
        <x:v>1</x:v>
      </x:c>
    </x:row>
    <x:row r="4864" ht="23" customHeight="1">
      <x:c r="A4864" s="11" t="str">
        <x:v>688062.SH</x:v>
      </x:c>
      <x:c r="B4864" s="11" t="str">
        <x:v>2026年底</x:v>
      </x:c>
      <x:c r="C4864" s="11" t="str">
        <x:v>bfv_tnbc</x:v>
      </x:c>
      <x:c r="D4864" s="11" t="str">
        <x:v>2029-12-31</x:v>
      </x:c>
      <x:c r="E4864" s="11" t="str">
        <x:v>CNY</x:v>
      </x:c>
      <x:c r="F4864" s="11" t="n">
        <x:v>3.0006844626967832</x:v>
      </x:c>
      <x:c r="G4864" s="26" t="b">
        <x:v>1</x:v>
      </x:c>
      <x:c r="H4864" s="16" t="n">
        <x:v>0</x:v>
      </x:c>
      <x:c r="I4864" s="16" t="n">
        <x:v>0</x:v>
      </x:c>
      <x:c r="J4864" s="16" t="n">
        <x:v>0.6000000000000001</x:v>
      </x:c>
      <x:c r="K4864" s="11" t="n">
        <x:f>CHOOSE('假设'!$B$3,H4864,I4864,J4864)</x:f>
        <x:v>0</x:v>
      </x:c>
      <x:c r="L4864" s="11" t="n">
        <x:f>K4864*'管线假设'!E1047*'管线假设'!F1047*'管线假设'!G1047*IF(E4864="USD",'管线假设'!I1047,1)-AM4864</x:f>
        <x:v>0</x:v>
      </x:c>
      <x:c r="M4864" s="11" t="n">
        <x:f>'管线假设'!H1047</x:f>
        <x:v>0.14</x:v>
      </x:c>
      <x:c r="N4864" s="11" t="n">
        <x:f>IF(G4864,L4864*AN4864/(1+M4864)^F4864,0)</x:f>
        <x:v>0</x:v>
      </x:c>
      <x:c r="AJ4864" t="n">
        <x:v>0</x:v>
      </x:c>
      <x:c r="AK4864" t="n">
        <x:v>0</x:v>
      </x:c>
      <x:c r="AL4864" t="n">
        <x:v>0</x:v>
      </x:c>
      <x:c r="AM4864" t="n">
        <x:f>CHOOSE('假设'!$B$3,AJ4864,AK4864,AL4864)</x:f>
        <x:v>0</x:v>
      </x:c>
      <x:c r="AN4864" t="n">
        <x:v>1</x:v>
      </x:c>
    </x:row>
    <x:row r="4865" ht="23" customHeight="1">
      <x:c r="A4865" s="11" t="str">
        <x:v>688062.SH</x:v>
      </x:c>
      <x:c r="B4865" s="11" t="str">
        <x:v>2026年底</x:v>
      </x:c>
      <x:c r="C4865" s="11" t="str">
        <x:v>bfv_tnbc</x:v>
      </x:c>
      <x:c r="D4865" s="11" t="str">
        <x:v>2030-12-31</x:v>
      </x:c>
      <x:c r="E4865" s="11" t="str">
        <x:v>CNY</x:v>
      </x:c>
      <x:c r="F4865" s="11" t="n">
        <x:v>4</x:v>
      </x:c>
      <x:c r="G4865" s="26" t="b">
        <x:v>1</x:v>
      </x:c>
      <x:c r="H4865" s="16" t="n">
        <x:v>0</x:v>
      </x:c>
      <x:c r="I4865" s="16" t="n">
        <x:v>0.25</x:v>
      </x:c>
      <x:c r="J4865" s="16" t="n">
        <x:v>1.2000000000000002</x:v>
      </x:c>
      <x:c r="K4865" s="11" t="n">
        <x:f>CHOOSE('假设'!$B$3,H4865,I4865,J4865)</x:f>
        <x:v>0.25</x:v>
      </x:c>
      <x:c r="L4865" s="11" t="n">
        <x:f>K4865*'管线假设'!E1047*'管线假设'!F1047*'管线假设'!G1047*IF(E4865="USD",'管线假设'!I1047,1)-AM4865</x:f>
        <x:v>0.022500000000000003</x:v>
      </x:c>
      <x:c r="M4865" s="11" t="n">
        <x:f>'管线假设'!H1047</x:f>
        <x:v>0.14</x:v>
      </x:c>
      <x:c r="N4865" s="11" t="n">
        <x:f>IF(G4865,L4865*AN4865/(1+M4865)^F4865,0)</x:f>
        <x:v>0.013321806240829263</x:v>
      </x:c>
      <x:c r="AJ4865" t="n">
        <x:v>0</x:v>
      </x:c>
      <x:c r="AK4865" t="n">
        <x:v>0</x:v>
      </x:c>
      <x:c r="AL4865" t="n">
        <x:v>0</x:v>
      </x:c>
      <x:c r="AM4865" t="n">
        <x:f>CHOOSE('假设'!$B$3,AJ4865,AK4865,AL4865)</x:f>
        <x:v>0</x:v>
      </x:c>
      <x:c r="AN4865" t="n">
        <x:v>1</x:v>
      </x:c>
    </x:row>
    <x:row r="4866" ht="23" customHeight="1">
      <x:c r="A4866" s="11" t="str">
        <x:v>688062.SH</x:v>
      </x:c>
      <x:c r="B4866" s="11" t="str">
        <x:v>2026年底</x:v>
      </x:c>
      <x:c r="C4866" s="11" t="str">
        <x:v>bfv_tnbc</x:v>
      </x:c>
      <x:c r="D4866" s="11" t="str">
        <x:v>2031-12-31</x:v>
      </x:c>
      <x:c r="E4866" s="11" t="str">
        <x:v>CNY</x:v>
      </x:c>
      <x:c r="F4866" s="11" t="n">
        <x:v>4.999315537303217</x:v>
      </x:c>
      <x:c r="G4866" s="26" t="b">
        <x:v>1</x:v>
      </x:c>
      <x:c r="H4866" s="16" t="n">
        <x:v>0</x:v>
      </x:c>
      <x:c r="I4866" s="16" t="n">
        <x:v>0.5</x:v>
      </x:c>
      <x:c r="J4866" s="16" t="n">
        <x:v>1.7999999999999998</x:v>
      </x:c>
      <x:c r="K4866" s="11" t="n">
        <x:f>CHOOSE('假设'!$B$3,H4866,I4866,J4866)</x:f>
        <x:v>0.5</x:v>
      </x:c>
      <x:c r="L4866" s="11" t="n">
        <x:f>K4866*'管线假设'!E1047*'管线假设'!F1047*'管线假设'!G1047*IF(E4866="USD",'管线假设'!I1047,1)-AM4866</x:f>
        <x:v>0.045000000000000005</x:v>
      </x:c>
      <x:c r="M4866" s="11" t="n">
        <x:f>'管线假设'!H1047</x:f>
        <x:v>0.14</x:v>
      </x:c>
      <x:c r="N4866" s="11" t="n">
        <x:f>IF(G4866,L4866*AN4866/(1+M4866)^F4866,0)</x:f>
        <x:v>0.023373686046868767</x:v>
      </x:c>
      <x:c r="AJ4866" t="n">
        <x:v>0</x:v>
      </x:c>
      <x:c r="AK4866" t="n">
        <x:v>0</x:v>
      </x:c>
      <x:c r="AL4866" t="n">
        <x:v>0</x:v>
      </x:c>
      <x:c r="AM4866" t="n">
        <x:f>CHOOSE('假设'!$B$3,AJ4866,AK4866,AL4866)</x:f>
        <x:v>0</x:v>
      </x:c>
      <x:c r="AN4866" t="n">
        <x:v>1</x:v>
      </x:c>
    </x:row>
    <x:row r="4867" ht="23" customHeight="1">
      <x:c r="A4867" s="11" t="str">
        <x:v>688062.SH</x:v>
      </x:c>
      <x:c r="B4867" s="11" t="str">
        <x:v>2026年底</x:v>
      </x:c>
      <x:c r="C4867" s="11" t="str">
        <x:v>bfv_tnbc</x:v>
      </x:c>
      <x:c r="D4867" s="11" t="str">
        <x:v>2032-12-31</x:v>
      </x:c>
      <x:c r="E4867" s="11" t="str">
        <x:v>CNY</x:v>
      </x:c>
      <x:c r="F4867" s="11" t="n">
        <x:v>6.0013689253935665</x:v>
      </x:c>
      <x:c r="G4867" s="26" t="b">
        <x:v>1</x:v>
      </x:c>
      <x:c r="H4867" s="16" t="n">
        <x:v>0.11000000000000001</x:v>
      </x:c>
      <x:c r="I4867" s="16" t="n">
        <x:v>0.75</x:v>
      </x:c>
      <x:c r="J4867" s="16" t="n">
        <x:v>2.4000000000000004</x:v>
      </x:c>
      <x:c r="K4867" s="11" t="n">
        <x:f>CHOOSE('假设'!$B$3,H4867,I4867,J4867)</x:f>
        <x:v>0.75</x:v>
      </x:c>
      <x:c r="L4867" s="11" t="n">
        <x:f>K4867*'管线假设'!E1047*'管线假设'!F1047*'管线假设'!G1047*IF(E4867="USD",'管线假设'!I1047,1)-AM4867</x:f>
        <x:v>0.0675</x:v>
      </x:c>
      <x:c r="M4867" s="11" t="n">
        <x:f>'管线假设'!H1047</x:f>
        <x:v>0.14</x:v>
      </x:c>
      <x:c r="N4867" s="11" t="n">
        <x:f>IF(G4867,L4867*AN4867/(1+M4867)^F4867,0)</x:f>
        <x:v>0.030746576524695587</x:v>
      </x:c>
      <x:c r="AJ4867" t="n">
        <x:v>0</x:v>
      </x:c>
      <x:c r="AK4867" t="n">
        <x:v>0</x:v>
      </x:c>
      <x:c r="AL4867" t="n">
        <x:v>0</x:v>
      </x:c>
      <x:c r="AM4867" t="n">
        <x:f>CHOOSE('假设'!$B$3,AJ4867,AK4867,AL4867)</x:f>
        <x:v>0</x:v>
      </x:c>
      <x:c r="AN4867" t="n">
        <x:v>1</x:v>
      </x:c>
    </x:row>
    <x:row r="4868" ht="23" customHeight="1">
      <x:c r="A4868" s="11" t="str">
        <x:v>688062.SH</x:v>
      </x:c>
      <x:c r="B4868" s="11" t="str">
        <x:v>2026年底</x:v>
      </x:c>
      <x:c r="C4868" s="11" t="str">
        <x:v>bfv_tnbc</x:v>
      </x:c>
      <x:c r="D4868" s="11" t="str">
        <x:v>2033-12-31</x:v>
      </x:c>
      <x:c r="E4868" s="11" t="str">
        <x:v>CNY</x:v>
      </x:c>
      <x:c r="F4868" s="11" t="n">
        <x:v>7.000684462696783</x:v>
      </x:c>
      <x:c r="G4868" s="26" t="b">
        <x:v>1</x:v>
      </x:c>
      <x:c r="H4868" s="16" t="n">
        <x:v>0.22000000000000003</x:v>
      </x:c>
      <x:c r="I4868" s="16" t="n">
        <x:v>1</x:v>
      </x:c>
      <x:c r="J4868" s="16" t="n">
        <x:v>3</x:v>
      </x:c>
      <x:c r="K4868" s="11" t="n">
        <x:f>CHOOSE('假设'!$B$3,H4868,I4868,J4868)</x:f>
        <x:v>1</x:v>
      </x:c>
      <x:c r="L4868" s="11" t="n">
        <x:f>K4868*'管线假设'!E1047*'管线假设'!F1047*'管线假设'!G1047*IF(E4868="USD",'管线假设'!I1047,1)-AM4868</x:f>
        <x:v>0.09000000000000001</x:v>
      </x:c>
      <x:c r="M4868" s="11" t="n">
        <x:f>'管线假设'!H1047</x:f>
        <x:v>0.14</x:v>
      </x:c>
      <x:c r="N4868" s="11" t="n">
        <x:f>IF(G4868,L4868*AN4868/(1+M4868)^F4868,0)</x:f>
        <x:v>0.03596413347721956</x:v>
      </x:c>
      <x:c r="AJ4868" t="n">
        <x:v>0</x:v>
      </x:c>
      <x:c r="AK4868" t="n">
        <x:v>0</x:v>
      </x:c>
      <x:c r="AL4868" t="n">
        <x:v>0</x:v>
      </x:c>
      <x:c r="AM4868" t="n">
        <x:f>CHOOSE('假设'!$B$3,AJ4868,AK4868,AL4868)</x:f>
        <x:v>0</x:v>
      </x:c>
      <x:c r="AN4868" t="n">
        <x:v>1</x:v>
      </x:c>
    </x:row>
    <x:row r="4869" ht="23" customHeight="1">
      <x:c r="A4869" s="11" t="str">
        <x:v>688062.SH</x:v>
      </x:c>
      <x:c r="B4869" s="11" t="str">
        <x:v>2026年底</x:v>
      </x:c>
      <x:c r="C4869" s="11" t="str">
        <x:v>bfv_tnbc</x:v>
      </x:c>
      <x:c r="D4869" s="11" t="str">
        <x:v>2034-12-31</x:v>
      </x:c>
      <x:c r="E4869" s="11" t="str">
        <x:v>CNY</x:v>
      </x:c>
      <x:c r="F4869" s="11" t="n">
        <x:v>8</x:v>
      </x:c>
      <x:c r="G4869" s="26" t="b">
        <x:v>1</x:v>
      </x:c>
      <x:c r="H4869" s="16" t="n">
        <x:v>0.33</x:v>
      </x:c>
      <x:c r="I4869" s="16" t="n">
        <x:v>1.25</x:v>
      </x:c>
      <x:c r="J4869" s="16" t="n">
        <x:v>2.61</x:v>
      </x:c>
      <x:c r="K4869" s="11" t="n">
        <x:f>CHOOSE('假设'!$B$3,H4869,I4869,J4869)</x:f>
        <x:v>1.25</x:v>
      </x:c>
      <x:c r="L4869" s="11" t="n">
        <x:f>K4869*'管线假设'!E1047*'管线假设'!F1047*'管线假设'!G1047*IF(E4869="USD",'管线假设'!I1047,1)-AM4869</x:f>
        <x:v>0.11250000000000002</x:v>
      </x:c>
      <x:c r="M4869" s="11" t="n">
        <x:f>'管线假设'!H1047</x:f>
        <x:v>0.14</x:v>
      </x:c>
      <x:c r="N4869" s="11" t="n">
        <x:f>IF(G4869,L4869*AN4869/(1+M4869)^F4869,0)</x:f>
        <x:v>0.039437893670710565</x:v>
      </x:c>
      <x:c r="AJ4869" t="n">
        <x:v>0</x:v>
      </x:c>
      <x:c r="AK4869" t="n">
        <x:v>0</x:v>
      </x:c>
      <x:c r="AL4869" t="n">
        <x:v>0</x:v>
      </x:c>
      <x:c r="AM4869" t="n">
        <x:f>CHOOSE('假设'!$B$3,AJ4869,AK4869,AL4869)</x:f>
        <x:v>0</x:v>
      </x:c>
      <x:c r="AN4869" t="n">
        <x:v>1</x:v>
      </x:c>
    </x:row>
    <x:row r="4870" ht="23" customHeight="1">
      <x:c r="A4870" s="11" t="str">
        <x:v>688062.SH</x:v>
      </x:c>
      <x:c r="B4870" s="11" t="str">
        <x:v>2026年底</x:v>
      </x:c>
      <x:c r="C4870" s="11" t="str">
        <x:v>bfv_tnbc</x:v>
      </x:c>
      <x:c r="D4870" s="11" t="str">
        <x:v>2035-12-31</x:v>
      </x:c>
      <x:c r="E4870" s="11" t="str">
        <x:v>CNY</x:v>
      </x:c>
      <x:c r="F4870" s="11" t="n">
        <x:v>8.999315537303216</x:v>
      </x:c>
      <x:c r="G4870" s="26" t="b">
        <x:v>1</x:v>
      </x:c>
      <x:c r="H4870" s="16" t="n">
        <x:v>0.44000000000000006</x:v>
      </x:c>
      <x:c r="I4870" s="16" t="n">
        <x:v>1.5</x:v>
      </x:c>
      <x:c r="J4870" s="16" t="n">
        <x:v>2.2199999999999998</x:v>
      </x:c>
      <x:c r="K4870" s="11" t="n">
        <x:f>CHOOSE('假设'!$B$3,H4870,I4870,J4870)</x:f>
        <x:v>1.5</x:v>
      </x:c>
      <x:c r="L4870" s="11" t="n">
        <x:f>K4870*'管线假设'!E1047*'管线假设'!F1047*'管线假设'!G1047*IF(E4870="USD",'管线假设'!I1047,1)-AM4870</x:f>
        <x:v>0.135</x:v>
      </x:c>
      <x:c r="M4870" s="11" t="n">
        <x:f>'管线假设'!H1047</x:f>
        <x:v>0.14</x:v>
      </x:c>
      <x:c r="N4870" s="11" t="n">
        <x:f>IF(G4870,L4870*AN4870/(1+M4870)^F4870,0)</x:f>
        <x:v>0.041517295553381364</x:v>
      </x:c>
      <x:c r="AJ4870" t="n">
        <x:v>0</x:v>
      </x:c>
      <x:c r="AK4870" t="n">
        <x:v>0</x:v>
      </x:c>
      <x:c r="AL4870" t="n">
        <x:v>0</x:v>
      </x:c>
      <x:c r="AM4870" t="n">
        <x:f>CHOOSE('假设'!$B$3,AJ4870,AK4870,AL4870)</x:f>
        <x:v>0</x:v>
      </x:c>
      <x:c r="AN4870" t="n">
        <x:v>1</x:v>
      </x:c>
    </x:row>
    <x:row r="4871" ht="23" customHeight="1">
      <x:c r="A4871" s="11" t="str">
        <x:v>688062.SH</x:v>
      </x:c>
      <x:c r="B4871" s="11" t="str">
        <x:v>2026年底</x:v>
      </x:c>
      <x:c r="C4871" s="11" t="str">
        <x:v>bfv_tnbc</x:v>
      </x:c>
      <x:c r="D4871" s="11" t="str">
        <x:v>2036-12-31</x:v>
      </x:c>
      <x:c r="E4871" s="11" t="str">
        <x:v>CNY</x:v>
      </x:c>
      <x:c r="F4871" s="11" t="n">
        <x:v>10.001368925393566</x:v>
      </x:c>
      <x:c r="G4871" s="26" t="b">
        <x:v>1</x:v>
      </x:c>
      <x:c r="H4871" s="16" t="n">
        <x:v>0.55</x:v>
      </x:c>
      <x:c r="I4871" s="16" t="n">
        <x:v>1.305</x:v>
      </x:c>
      <x:c r="J4871" s="16" t="n">
        <x:v>1.83</x:v>
      </x:c>
      <x:c r="K4871" s="11" t="n">
        <x:f>CHOOSE('假设'!$B$3,H4871,I4871,J4871)</x:f>
        <x:v>1.305</x:v>
      </x:c>
      <x:c r="L4871" s="11" t="n">
        <x:f>K4871*'管线假设'!E1047*'管线假设'!F1047*'管线假设'!G1047*IF(E4871="USD",'管线假设'!I1047,1)-AM4871</x:f>
        <x:v>0.11745</x:v>
      </x:c>
      <x:c r="M4871" s="11" t="n">
        <x:f>'管线假设'!H1047</x:f>
        <x:v>0.14</x:v>
      </x:c>
      <x:c r="N4871" s="11" t="n">
        <x:f>IF(G4871,L4871*AN4871/(1+M4871)^F4871,0)</x:f>
        <x:v>0.031675728309050404</x:v>
      </x:c>
      <x:c r="AJ4871" t="n">
        <x:v>0</x:v>
      </x:c>
      <x:c r="AK4871" t="n">
        <x:v>0</x:v>
      </x:c>
      <x:c r="AL4871" t="n">
        <x:v>0</x:v>
      </x:c>
      <x:c r="AM4871" t="n">
        <x:f>CHOOSE('假设'!$B$3,AJ4871,AK4871,AL4871)</x:f>
        <x:v>0</x:v>
      </x:c>
      <x:c r="AN4871" t="n">
        <x:v>1</x:v>
      </x:c>
    </x:row>
    <x:row r="4872" ht="23" customHeight="1">
      <x:c r="A4872" s="11" t="str">
        <x:v>688062.SH</x:v>
      </x:c>
      <x:c r="B4872" s="11" t="str">
        <x:v>2026年底</x:v>
      </x:c>
      <x:c r="C4872" s="11" t="str">
        <x:v>bfv_tnbc</x:v>
      </x:c>
      <x:c r="D4872" s="11" t="str">
        <x:v>2037-12-31</x:v>
      </x:c>
      <x:c r="E4872" s="11" t="str">
        <x:v>CNY</x:v>
      </x:c>
      <x:c r="F4872" s="11" t="n">
        <x:v>11.000684462696784</x:v>
      </x:c>
      <x:c r="G4872" s="26" t="b">
        <x:v>1</x:v>
      </x:c>
      <x:c r="H4872" s="16" t="n">
        <x:v>0.47850000000000004</x:v>
      </x:c>
      <x:c r="I4872" s="16" t="n">
        <x:v>1.1099999999999999</x:v>
      </x:c>
      <x:c r="J4872" s="16" t="n">
        <x:v>1.44</x:v>
      </x:c>
      <x:c r="K4872" s="11" t="n">
        <x:f>CHOOSE('假设'!$B$3,H4872,I4872,J4872)</x:f>
        <x:v>1.1099999999999999</x:v>
      </x:c>
      <x:c r="L4872" s="11" t="n">
        <x:f>K4872*'管线假设'!E1047*'管线假设'!F1047*'管线假设'!G1047*IF(E4872="USD",'管线假设'!I1047,1)-AM4872</x:f>
        <x:v>0.0999</x:v>
      </x:c>
      <x:c r="M4872" s="11" t="n">
        <x:f>'管线假设'!H1047</x:f>
        <x:v>0.14</x:v>
      </x:c>
      <x:c r="N4872" s="11" t="n">
        <x:f>IF(G4872,L4872*AN4872/(1+M4872)^F4872,0)</x:f>
        <x:v>0.02363595607827344</x:v>
      </x:c>
      <x:c r="AJ4872" t="n">
        <x:v>0</x:v>
      </x:c>
      <x:c r="AK4872" t="n">
        <x:v>0</x:v>
      </x:c>
      <x:c r="AL4872" t="n">
        <x:v>0</x:v>
      </x:c>
      <x:c r="AM4872" t="n">
        <x:f>CHOOSE('假设'!$B$3,AJ4872,AK4872,AL4872)</x:f>
        <x:v>0</x:v>
      </x:c>
      <x:c r="AN4872" t="n">
        <x:v>1</x:v>
      </x:c>
    </x:row>
    <x:row r="4873" ht="23" customHeight="1">
      <x:c r="A4873" s="11" t="str">
        <x:v>688062.SH</x:v>
      </x:c>
      <x:c r="B4873" s="11" t="str">
        <x:v>2026年底</x:v>
      </x:c>
      <x:c r="C4873" s="11" t="str">
        <x:v>bfv_tnbc</x:v>
      </x:c>
      <x:c r="D4873" s="11" t="str">
        <x:v>2038-12-31</x:v>
      </x:c>
      <x:c r="E4873" s="11" t="str">
        <x:v>CNY</x:v>
      </x:c>
      <x:c r="F4873" s="11" t="n">
        <x:v>12</x:v>
      </x:c>
      <x:c r="G4873" s="26" t="b">
        <x:v>1</x:v>
      </x:c>
      <x:c r="H4873" s="16" t="n">
        <x:v>0.40700000000000003</x:v>
      </x:c>
      <x:c r="I4873" s="16" t="n">
        <x:v>0.915</x:v>
      </x:c>
      <x:c r="J4873" s="16" t="n">
        <x:v>1.0499999999999998</x:v>
      </x:c>
      <x:c r="K4873" s="11" t="n">
        <x:f>CHOOSE('假设'!$B$3,H4873,I4873,J4873)</x:f>
        <x:v>0.915</x:v>
      </x:c>
      <x:c r="L4873" s="11" t="n">
        <x:f>K4873*'管线假设'!E1047*'管线假设'!F1047*'管线假设'!G1047*IF(E4873="USD",'管线假设'!I1047,1)-AM4873</x:f>
        <x:v>0.08235000000000002</x:v>
      </x:c>
      <x:c r="M4873" s="11" t="n">
        <x:f>'管线假设'!H1047</x:f>
        <x:v>0.14</x:v>
      </x:c>
      <x:c r="N4873" s="11" t="n">
        <x:f>IF(G4873,L4873*AN4873/(1+M4873)^F4873,0)</x:f>
        <x:v>0.017092492085165657</x:v>
      </x:c>
      <x:c r="AJ4873" t="n">
        <x:v>0</x:v>
      </x:c>
      <x:c r="AK4873" t="n">
        <x:v>0</x:v>
      </x:c>
      <x:c r="AL4873" t="n">
        <x:v>0</x:v>
      </x:c>
      <x:c r="AM4873" t="n">
        <x:f>CHOOSE('假设'!$B$3,AJ4873,AK4873,AL4873)</x:f>
        <x:v>0</x:v>
      </x:c>
      <x:c r="AN4873" t="n">
        <x:v>1</x:v>
      </x:c>
    </x:row>
    <x:row r="4874" ht="23" customHeight="1">
      <x:c r="A4874" s="11" t="str">
        <x:v>688062.SH</x:v>
      </x:c>
      <x:c r="B4874" s="11" t="str">
        <x:v>2026年底</x:v>
      </x:c>
      <x:c r="C4874" s="11" t="str">
        <x:v>bfv_tnbc</x:v>
      </x:c>
      <x:c r="D4874" s="11" t="str">
        <x:v>2039-12-31</x:v>
      </x:c>
      <x:c r="E4874" s="11" t="str">
        <x:v>CNY</x:v>
      </x:c>
      <x:c r="F4874" s="11" t="n">
        <x:v>12.999315537303216</x:v>
      </x:c>
      <x:c r="G4874" s="26" t="b">
        <x:v>1</x:v>
      </x:c>
      <x:c r="H4874" s="16" t="n">
        <x:v>0.3355</x:v>
      </x:c>
      <x:c r="I4874" s="16" t="n">
        <x:v>0.72</x:v>
      </x:c>
      <x:c r="J4874" s="16" t="n">
        <x:v>0.6599999999999999</x:v>
      </x:c>
      <x:c r="K4874" s="11" t="n">
        <x:f>CHOOSE('假设'!$B$3,H4874,I4874,J4874)</x:f>
        <x:v>0.72</x:v>
      </x:c>
      <x:c r="L4874" s="11" t="n">
        <x:f>K4874*'管线假设'!E1047*'管线假设'!F1047*'管线假设'!G1047*IF(E4874="USD",'管线假设'!I1047,1)-AM4874</x:f>
        <x:v>0.06480000000000001</x:v>
      </x:c>
      <x:c r="M4874" s="11" t="n">
        <x:f>'管线假设'!H1047</x:f>
        <x:v>0.14</x:v>
      </x:c>
      <x:c r="N4874" s="11" t="n">
        <x:f>IF(G4874,L4874*AN4874/(1+M4874)^F4874,0)</x:f>
        <x:v>0.011799154496114963</x:v>
      </x:c>
      <x:c r="AJ4874" t="n">
        <x:v>0</x:v>
      </x:c>
      <x:c r="AK4874" t="n">
        <x:v>0</x:v>
      </x:c>
      <x:c r="AL4874" t="n">
        <x:v>0</x:v>
      </x:c>
      <x:c r="AM4874" t="n">
        <x:f>CHOOSE('假设'!$B$3,AJ4874,AK4874,AL4874)</x:f>
        <x:v>0</x:v>
      </x:c>
      <x:c r="AN4874" t="n">
        <x:v>1</x:v>
      </x:c>
    </x:row>
    <x:row r="4875" ht="23" customHeight="1">
      <x:c r="A4875" s="11" t="str">
        <x:v>688062.SH</x:v>
      </x:c>
      <x:c r="B4875" s="11" t="str">
        <x:v>2026年底</x:v>
      </x:c>
      <x:c r="C4875" s="11" t="str">
        <x:v>bfv_tnbc</x:v>
      </x:c>
      <x:c r="D4875" s="11" t="str">
        <x:v>2040-12-31</x:v>
      </x:c>
      <x:c r="E4875" s="11" t="str">
        <x:v>CNY</x:v>
      </x:c>
      <x:c r="F4875" s="11" t="n">
        <x:v>14.001368925393566</x:v>
      </x:c>
      <x:c r="G4875" s="26" t="b">
        <x:v>1</x:v>
      </x:c>
      <x:c r="H4875" s="16" t="n">
        <x:v>0.264</x:v>
      </x:c>
      <x:c r="I4875" s="16" t="n">
        <x:v>0.5249999999999999</x:v>
      </x:c>
      <x:c r="J4875" s="16" t="n">
        <x:v>0.2699999999999999</x:v>
      </x:c>
      <x:c r="K4875" s="11" t="n">
        <x:f>CHOOSE('假设'!$B$3,H4875,I4875,J4875)</x:f>
        <x:v>0.5249999999999999</x:v>
      </x:c>
      <x:c r="L4875" s="11" t="n">
        <x:f>K4875*'管线假设'!E1047*'管线假设'!F1047*'管线假设'!G1047*IF(E4875="USD",'管线假设'!I1047,1)-AM4875</x:f>
        <x:v>0.04725</x:v>
      </x:c>
      <x:c r="M4875" s="11" t="n">
        <x:f>'管线假设'!H1047</x:f>
        <x:v>0.14</x:v>
      </x:c>
      <x:c r="N4875" s="11" t="n">
        <x:f>IF(G4875,L4875*AN4875/(1+M4875)^F4875,0)</x:f>
        <x:v>0.007544943564475707</x:v>
      </x:c>
      <x:c r="AJ4875" t="n">
        <x:v>0</x:v>
      </x:c>
      <x:c r="AK4875" t="n">
        <x:v>0</x:v>
      </x:c>
      <x:c r="AL4875" t="n">
        <x:v>0</x:v>
      </x:c>
      <x:c r="AM4875" t="n">
        <x:f>CHOOSE('假设'!$B$3,AJ4875,AK4875,AL4875)</x:f>
        <x:v>0</x:v>
      </x:c>
      <x:c r="AN4875" t="n">
        <x:v>1</x:v>
      </x:c>
    </x:row>
    <x:row r="4876" ht="23" customHeight="1">
      <x:c r="A4876" s="11" t="str">
        <x:v>688062.SH</x:v>
      </x:c>
      <x:c r="B4876" s="11" t="str">
        <x:v>2026年底</x:v>
      </x:c>
      <x:c r="C4876" s="11" t="str">
        <x:v>bfv_tnbc</x:v>
      </x:c>
      <x:c r="D4876" s="11" t="str">
        <x:v>2041-12-31</x:v>
      </x:c>
      <x:c r="E4876" s="11" t="str">
        <x:v>CNY</x:v>
      </x:c>
      <x:c r="F4876" s="11" t="n">
        <x:v>15.000684462696784</x:v>
      </x:c>
      <x:c r="G4876" s="26" t="b">
        <x:v>1</x:v>
      </x:c>
      <x:c r="H4876" s="16" t="n">
        <x:v>0.1925</x:v>
      </x:c>
      <x:c r="I4876" s="16" t="n">
        <x:v>0.32999999999999996</x:v>
      </x:c>
      <x:c r="J4876" s="16" t="n">
        <x:v>0</x:v>
      </x:c>
      <x:c r="K4876" s="11" t="n">
        <x:f>CHOOSE('假设'!$B$3,H4876,I4876,J4876)</x:f>
        <x:v>0.32999999999999996</x:v>
      </x:c>
      <x:c r="L4876" s="11" t="n">
        <x:f>K4876*'管线假设'!E1047*'管线假设'!F1047*'管线假设'!G1047*IF(E4876="USD",'管线假设'!I1047,1)-AM4876</x:f>
        <x:v>0.0297</x:v>
      </x:c>
      <x:c r="M4876" s="11" t="n">
        <x:f>'管线假设'!H1047</x:f>
        <x:v>0.14</x:v>
      </x:c>
      <x:c r="N4876" s="11" t="n">
        <x:f>IF(G4876,L4876*AN4876/(1+M4876)^F4876,0)</x:f>
        <x:v>0.004160492371299224</x:v>
      </x:c>
      <x:c r="AJ4876" t="n">
        <x:v>0</x:v>
      </x:c>
      <x:c r="AK4876" t="n">
        <x:v>0</x:v>
      </x:c>
      <x:c r="AL4876" t="n">
        <x:v>0</x:v>
      </x:c>
      <x:c r="AM4876" t="n">
        <x:f>CHOOSE('假设'!$B$3,AJ4876,AK4876,AL4876)</x:f>
        <x:v>0</x:v>
      </x:c>
      <x:c r="AN4876" t="n">
        <x:v>1</x:v>
      </x:c>
    </x:row>
    <x:row r="4877" ht="23" customHeight="1">
      <x:c r="A4877" s="11" t="str">
        <x:v>688062.SH</x:v>
      </x:c>
      <x:c r="B4877" s="11" t="str">
        <x:v>2026年底</x:v>
      </x:c>
      <x:c r="C4877" s="11" t="str">
        <x:v>bfv_tnbc</x:v>
      </x:c>
      <x:c r="D4877" s="11" t="str">
        <x:v>2042-12-31</x:v>
      </x:c>
      <x:c r="E4877" s="11" t="str">
        <x:v>CNY</x:v>
      </x:c>
      <x:c r="F4877" s="11" t="n">
        <x:v>16</x:v>
      </x:c>
      <x:c r="G4877" s="26" t="b">
        <x:v>1</x:v>
      </x:c>
      <x:c r="H4877" s="16" t="n">
        <x:v>0.121</x:v>
      </x:c>
      <x:c r="I4877" s="16" t="n">
        <x:v>0.13499999999999995</x:v>
      </x:c>
      <x:c r="J4877" s="16" t="n">
        <x:v>0</x:v>
      </x:c>
      <x:c r="K4877" s="11" t="n">
        <x:f>CHOOSE('假设'!$B$3,H4877,I4877,J4877)</x:f>
        <x:v>0.13499999999999995</x:v>
      </x:c>
      <x:c r="L4877" s="11" t="n">
        <x:f>K4877*'管线假设'!E1047*'管线假设'!F1047*'管线假设'!G1047*IF(E4877="USD",'管线假设'!I1047,1)-AM4877</x:f>
        <x:v>0.012149999999999998</x:v>
      </x:c>
      <x:c r="M4877" s="11" t="n">
        <x:f>'管线假设'!H1047</x:f>
        <x:v>0.14</x:v>
      </x:c>
      <x:c r="N4877" s="11" t="n">
        <x:f>IF(G4877,L4877*AN4877/(1+M4877)^F4877,0)</x:f>
        <x:v>0.0014931335588949804</x:v>
      </x:c>
      <x:c r="AJ4877" t="n">
        <x:v>0</x:v>
      </x:c>
      <x:c r="AK4877" t="n">
        <x:v>0</x:v>
      </x:c>
      <x:c r="AL4877" t="n">
        <x:v>0</x:v>
      </x:c>
      <x:c r="AM4877" t="n">
        <x:f>CHOOSE('假设'!$B$3,AJ4877,AK4877,AL4877)</x:f>
        <x:v>0</x:v>
      </x:c>
      <x:c r="AN4877" t="n">
        <x:v>1</x:v>
      </x:c>
    </x:row>
    <x:row r="4878" ht="23" customHeight="1">
      <x:c r="A4878" s="11" t="str">
        <x:v>688062.SH</x:v>
      </x:c>
      <x:c r="B4878" s="11" t="str">
        <x:v>2026年底</x:v>
      </x:c>
      <x:c r="C4878" s="11" t="str">
        <x:v>bfv_tnbc</x:v>
      </x:c>
      <x:c r="D4878" s="11" t="str">
        <x:v>2043-12-31</x:v>
      </x:c>
      <x:c r="E4878" s="11" t="str">
        <x:v>CNY</x:v>
      </x:c>
      <x:c r="F4878" s="11" t="n">
        <x:v>16.999315537303218</x:v>
      </x:c>
      <x:c r="G4878" s="26" t="b">
        <x:v>1</x:v>
      </x:c>
      <x:c r="H4878" s="16" t="n">
        <x:v>0.04949999999999999</x:v>
      </x:c>
      <x:c r="I4878" s="16" t="n">
        <x:v>0</x:v>
      </x:c>
      <x:c r="J4878" s="16" t="n">
        <x:v>0</x:v>
      </x:c>
      <x:c r="K4878" s="11" t="n">
        <x:f>CHOOSE('假设'!$B$3,H4878,I4878,J4878)</x:f>
        <x:v>0</x:v>
      </x:c>
      <x:c r="L4878" s="11" t="n">
        <x:f>K4878*'管线假设'!E1047*'管线假设'!F1047*'管线假设'!G1047*IF(E4878="USD",'管线假设'!I1047,1)-AM4878</x:f>
        <x:v>0</x:v>
      </x:c>
      <x:c r="M4878" s="11" t="n">
        <x:f>'管线假设'!H1047</x:f>
        <x:v>0.14</x:v>
      </x:c>
      <x:c r="N4878" s="11" t="n">
        <x:f>IF(G4878,L4878*AN4878/(1+M4878)^F4878,0)</x:f>
        <x:v>0</x:v>
      </x:c>
      <x:c r="AJ4878" t="n">
        <x:v>0</x:v>
      </x:c>
      <x:c r="AK4878" t="n">
        <x:v>0</x:v>
      </x:c>
      <x:c r="AL4878" t="n">
        <x:v>0</x:v>
      </x:c>
      <x:c r="AM4878" t="n">
        <x:f>CHOOSE('假设'!$B$3,AJ4878,AK4878,AL4878)</x:f>
        <x:v>0</x:v>
      </x:c>
      <x:c r="AN4878" t="n">
        <x:v>1</x:v>
      </x:c>
    </x:row>
    <x:row r="4879" ht="23" customHeight="1">
      <x:c r="A4879" s="11" t="str">
        <x:v>688062.SH</x:v>
      </x:c>
      <x:c r="B4879" s="11" t="str">
        <x:v>2026年底</x:v>
      </x:c>
      <x:c r="C4879" s="11" t="str">
        <x:v>bfv_tnbc</x:v>
      </x:c>
      <x:c r="D4879" s="11" t="str">
        <x:v>2044-12-31</x:v>
      </x:c>
      <x:c r="E4879" s="11" t="str">
        <x:v>CNY</x:v>
      </x:c>
      <x:c r="F4879" s="11" t="n">
        <x:v>18.001368925393567</x:v>
      </x:c>
      <x:c r="G4879" s="26" t="b">
        <x:v>1</x:v>
      </x:c>
      <x:c r="H4879" s="16" t="n">
        <x:v>0</x:v>
      </x:c>
      <x:c r="I4879" s="16" t="n">
        <x:v>0</x:v>
      </x:c>
      <x:c r="J4879" s="16" t="n">
        <x:v>0</x:v>
      </x:c>
      <x:c r="K4879" s="11" t="n">
        <x:f>CHOOSE('假设'!$B$3,H4879,I4879,J4879)</x:f>
        <x:v>0</x:v>
      </x:c>
      <x:c r="L4879" s="11" t="n">
        <x:f>K4879*'管线假设'!E1047*'管线假设'!F1047*'管线假设'!G1047*IF(E4879="USD",'管线假设'!I1047,1)-AM4879</x:f>
        <x:v>0</x:v>
      </x:c>
      <x:c r="M4879" s="11" t="n">
        <x:f>'管线假设'!H1047</x:f>
        <x:v>0.14</x:v>
      </x:c>
      <x:c r="N4879" s="11" t="n">
        <x:f>IF(G4879,L4879*AN4879/(1+M4879)^F4879,0)</x:f>
        <x:v>0</x:v>
      </x:c>
      <x:c r="AJ4879" t="n">
        <x:v>0</x:v>
      </x:c>
      <x:c r="AK4879" t="n">
        <x:v>0</x:v>
      </x:c>
      <x:c r="AL4879" t="n">
        <x:v>0</x:v>
      </x:c>
      <x:c r="AM4879" t="n">
        <x:f>CHOOSE('假设'!$B$3,AJ4879,AK4879,AL4879)</x:f>
        <x:v>0</x:v>
      </x:c>
      <x:c r="AN4879" t="n">
        <x:v>1</x:v>
      </x:c>
    </x:row>
    <x:row r="4880" ht="23" customHeight="1">
      <x:c r="A4880" s="11" t="str">
        <x:v>688062.SH</x:v>
      </x:c>
      <x:c r="B4880" s="11" t="str">
        <x:v>2026年底</x:v>
      </x:c>
      <x:c r="C4880" s="11" t="str">
        <x:v>bfv_tnbc</x:v>
      </x:c>
      <x:c r="D4880" s="11" t="str">
        <x:v>2045-12-31</x:v>
      </x:c>
      <x:c r="E4880" s="11" t="str">
        <x:v>CNY</x:v>
      </x:c>
      <x:c r="F4880" s="11" t="n">
        <x:v>19.000684462696782</x:v>
      </x:c>
      <x:c r="G4880" s="26" t="b">
        <x:v>1</x:v>
      </x:c>
      <x:c r="H4880" s="16" t="n">
        <x:v>0</x:v>
      </x:c>
      <x:c r="I4880" s="16" t="n">
        <x:v>0</x:v>
      </x:c>
      <x:c r="J4880" s="16" t="n">
        <x:v>0</x:v>
      </x:c>
      <x:c r="K4880" s="11" t="n">
        <x:f>CHOOSE('假设'!$B$3,H4880,I4880,J4880)</x:f>
        <x:v>0</x:v>
      </x:c>
      <x:c r="L4880" s="11" t="n">
        <x:f>K4880*'管线假设'!E1047*'管线假设'!F1047*'管线假设'!G1047*IF(E4880="USD",'管线假设'!I1047,1)-AM4880</x:f>
        <x:v>0</x:v>
      </x:c>
      <x:c r="M4880" s="11" t="n">
        <x:f>'管线假设'!H1047</x:f>
        <x:v>0.14</x:v>
      </x:c>
      <x:c r="N4880" s="11" t="n">
        <x:f>IF(G4880,L4880*AN4880/(1+M4880)^F4880,0)</x:f>
        <x:v>0</x:v>
      </x:c>
      <x:c r="AJ4880" t="n">
        <x:v>0</x:v>
      </x:c>
      <x:c r="AK4880" t="n">
        <x:v>0</x:v>
      </x:c>
      <x:c r="AL4880" t="n">
        <x:v>0</x:v>
      </x:c>
      <x:c r="AM4880" t="n">
        <x:f>CHOOSE('假设'!$B$3,AJ4880,AK4880,AL4880)</x:f>
        <x:v>0</x:v>
      </x:c>
      <x:c r="AN4880" t="n">
        <x:v>1</x:v>
      </x:c>
    </x:row>
    <x:row r="4881" ht="23" customHeight="1">
      <x:c r="A4881" s="11" t="str">
        <x:v>688062.SH</x:v>
      </x:c>
      <x:c r="B4881" s="11" t="str">
        <x:v>2026年底</x:v>
      </x:c>
      <x:c r="C4881" s="11" t="str">
        <x:v>bfv_escc</x:v>
      </x:c>
      <x:c r="D4881" s="11" t="str">
        <x:v>2027-12-31</x:v>
      </x:c>
      <x:c r="E4881" s="11" t="str">
        <x:v>CNY</x:v>
      </x:c>
      <x:c r="F4881" s="11" t="n">
        <x:v>0.999315537303217</x:v>
      </x:c>
      <x:c r="G4881" s="26" t="b">
        <x:v>1</x:v>
      </x:c>
      <x:c r="H4881" s="16" t="n">
        <x:v>0</x:v>
      </x:c>
      <x:c r="I4881" s="16" t="n">
        <x:v>0</x:v>
      </x:c>
      <x:c r="J4881" s="16" t="n">
        <x:v>0</x:v>
      </x:c>
      <x:c r="K4881" s="11" t="n">
        <x:f>CHOOSE('假设'!$B$3,H4881,I4881,J4881)</x:f>
        <x:v>0</x:v>
      </x:c>
      <x:c r="L4881" s="11" t="n">
        <x:f>K4881*'管线假设'!E1051*'管线假设'!F1051*'管线假设'!G1051*IF(E4881="USD",'管线假设'!I1051,1)-AM4881</x:f>
        <x:v>0</x:v>
      </x:c>
      <x:c r="M4881" s="11" t="n">
        <x:f>'管线假设'!H1051</x:f>
        <x:v>0.14</x:v>
      </x:c>
      <x:c r="N4881" s="11" t="n">
        <x:f>IF(G4881,L4881*AN4881/(1+M4881)^F4881,0)</x:f>
        <x:v>0</x:v>
      </x:c>
      <x:c r="AJ4881" t="n">
        <x:v>0</x:v>
      </x:c>
      <x:c r="AK4881" t="n">
        <x:v>0</x:v>
      </x:c>
      <x:c r="AL4881" t="n">
        <x:v>0</x:v>
      </x:c>
      <x:c r="AM4881" t="n">
        <x:f>CHOOSE('假设'!$B$3,AJ4881,AK4881,AL4881)</x:f>
        <x:v>0</x:v>
      </x:c>
      <x:c r="AN4881" t="n">
        <x:v>1</x:v>
      </x:c>
    </x:row>
    <x:row r="4882" ht="23" customHeight="1">
      <x:c r="A4882" s="11" t="str">
        <x:v>688062.SH</x:v>
      </x:c>
      <x:c r="B4882" s="11" t="str">
        <x:v>2026年底</x:v>
      </x:c>
      <x:c r="C4882" s="11" t="str">
        <x:v>bfv_escc</x:v>
      </x:c>
      <x:c r="D4882" s="11" t="str">
        <x:v>2028-12-31</x:v>
      </x:c>
      <x:c r="E4882" s="11" t="str">
        <x:v>CNY</x:v>
      </x:c>
      <x:c r="F4882" s="11" t="n">
        <x:v>2.001368925393566</x:v>
      </x:c>
      <x:c r="G4882" s="26" t="b">
        <x:v>1</x:v>
      </x:c>
      <x:c r="H4882" s="16" t="n">
        <x:v>0</x:v>
      </x:c>
      <x:c r="I4882" s="16" t="n">
        <x:v>0</x:v>
      </x:c>
      <x:c r="J4882" s="16" t="n">
        <x:v>0</x:v>
      </x:c>
      <x:c r="K4882" s="11" t="n">
        <x:f>CHOOSE('假设'!$B$3,H4882,I4882,J4882)</x:f>
        <x:v>0</x:v>
      </x:c>
      <x:c r="L4882" s="11" t="n">
        <x:f>K4882*'管线假设'!E1051*'管线假设'!F1051*'管线假设'!G1051*IF(E4882="USD",'管线假设'!I1051,1)-AM4882</x:f>
        <x:v>0</x:v>
      </x:c>
      <x:c r="M4882" s="11" t="n">
        <x:f>'管线假设'!H1051</x:f>
        <x:v>0.14</x:v>
      </x:c>
      <x:c r="N4882" s="11" t="n">
        <x:f>IF(G4882,L4882*AN4882/(1+M4882)^F4882,0)</x:f>
        <x:v>0</x:v>
      </x:c>
      <x:c r="AJ4882" t="n">
        <x:v>0</x:v>
      </x:c>
      <x:c r="AK4882" t="n">
        <x:v>0</x:v>
      </x:c>
      <x:c r="AL4882" t="n">
        <x:v>0</x:v>
      </x:c>
      <x:c r="AM4882" t="n">
        <x:f>CHOOSE('假设'!$B$3,AJ4882,AK4882,AL4882)</x:f>
        <x:v>0</x:v>
      </x:c>
      <x:c r="AN4882" t="n">
        <x:v>1</x:v>
      </x:c>
    </x:row>
    <x:row r="4883" ht="23" customHeight="1">
      <x:c r="A4883" s="11" t="str">
        <x:v>688062.SH</x:v>
      </x:c>
      <x:c r="B4883" s="11" t="str">
        <x:v>2026年底</x:v>
      </x:c>
      <x:c r="C4883" s="11" t="str">
        <x:v>bfv_escc</x:v>
      </x:c>
      <x:c r="D4883" s="11" t="str">
        <x:v>2029-12-31</x:v>
      </x:c>
      <x:c r="E4883" s="11" t="str">
        <x:v>CNY</x:v>
      </x:c>
      <x:c r="F4883" s="11" t="n">
        <x:v>3.0006844626967832</x:v>
      </x:c>
      <x:c r="G4883" s="26" t="b">
        <x:v>1</x:v>
      </x:c>
      <x:c r="H4883" s="16" t="n">
        <x:v>0</x:v>
      </x:c>
      <x:c r="I4883" s="16" t="n">
        <x:v>0</x:v>
      </x:c>
      <x:c r="J4883" s="16" t="n">
        <x:v>0.16666666666666666</x:v>
      </x:c>
      <x:c r="K4883" s="11" t="n">
        <x:f>CHOOSE('假设'!$B$3,H4883,I4883,J4883)</x:f>
        <x:v>0</x:v>
      </x:c>
      <x:c r="L4883" s="11" t="n">
        <x:f>K4883*'管线假设'!E1051*'管线假设'!F1051*'管线假设'!G1051*IF(E4883="USD",'管线假设'!I1051,1)-AM4883</x:f>
        <x:v>0</x:v>
      </x:c>
      <x:c r="M4883" s="11" t="n">
        <x:f>'管线假设'!H1051</x:f>
        <x:v>0.14</x:v>
      </x:c>
      <x:c r="N4883" s="11" t="n">
        <x:f>IF(G4883,L4883*AN4883/(1+M4883)^F4883,0)</x:f>
        <x:v>0</x:v>
      </x:c>
      <x:c r="AJ4883" t="n">
        <x:v>0</x:v>
      </x:c>
      <x:c r="AK4883" t="n">
        <x:v>0</x:v>
      </x:c>
      <x:c r="AL4883" t="n">
        <x:v>0</x:v>
      </x:c>
      <x:c r="AM4883" t="n">
        <x:f>CHOOSE('假设'!$B$3,AJ4883,AK4883,AL4883)</x:f>
        <x:v>0</x:v>
      </x:c>
      <x:c r="AN4883" t="n">
        <x:v>1</x:v>
      </x:c>
    </x:row>
    <x:row r="4884" ht="23" customHeight="1">
      <x:c r="A4884" s="11" t="str">
        <x:v>688062.SH</x:v>
      </x:c>
      <x:c r="B4884" s="11" t="str">
        <x:v>2026年底</x:v>
      </x:c>
      <x:c r="C4884" s="11" t="str">
        <x:v>bfv_escc</x:v>
      </x:c>
      <x:c r="D4884" s="11" t="str">
        <x:v>2030-12-31</x:v>
      </x:c>
      <x:c r="E4884" s="11" t="str">
        <x:v>CNY</x:v>
      </x:c>
      <x:c r="F4884" s="11" t="n">
        <x:v>4</x:v>
      </x:c>
      <x:c r="G4884" s="26" t="b">
        <x:v>1</x:v>
      </x:c>
      <x:c r="H4884" s="16" t="n">
        <x:v>0</x:v>
      </x:c>
      <x:c r="I4884" s="16" t="n">
        <x:v>0</x:v>
      </x:c>
      <x:c r="J4884" s="16" t="n">
        <x:v>0.3333333333333333</x:v>
      </x:c>
      <x:c r="K4884" s="11" t="n">
        <x:f>CHOOSE('假设'!$B$3,H4884,I4884,J4884)</x:f>
        <x:v>0</x:v>
      </x:c>
      <x:c r="L4884" s="11" t="n">
        <x:f>K4884*'管线假设'!E1051*'管线假设'!F1051*'管线假设'!G1051*IF(E4884="USD",'管线假设'!I1051,1)-AM4884</x:f>
        <x:v>0</x:v>
      </x:c>
      <x:c r="M4884" s="11" t="n">
        <x:f>'管线假设'!H1051</x:f>
        <x:v>0.14</x:v>
      </x:c>
      <x:c r="N4884" s="11" t="n">
        <x:f>IF(G4884,L4884*AN4884/(1+M4884)^F4884,0)</x:f>
        <x:v>0</x:v>
      </x:c>
      <x:c r="AJ4884" t="n">
        <x:v>0</x:v>
      </x:c>
      <x:c r="AK4884" t="n">
        <x:v>0</x:v>
      </x:c>
      <x:c r="AL4884" t="n">
        <x:v>0</x:v>
      </x:c>
      <x:c r="AM4884" t="n">
        <x:f>CHOOSE('假设'!$B$3,AJ4884,AK4884,AL4884)</x:f>
        <x:v>0</x:v>
      </x:c>
      <x:c r="AN4884" t="n">
        <x:v>1</x:v>
      </x:c>
    </x:row>
    <x:row r="4885" ht="23" customHeight="1">
      <x:c r="A4885" s="11" t="str">
        <x:v>688062.SH</x:v>
      </x:c>
      <x:c r="B4885" s="11" t="str">
        <x:v>2026年底</x:v>
      </x:c>
      <x:c r="C4885" s="11" t="str">
        <x:v>bfv_escc</x:v>
      </x:c>
      <x:c r="D4885" s="11" t="str">
        <x:v>2031-12-31</x:v>
      </x:c>
      <x:c r="E4885" s="11" t="str">
        <x:v>CNY</x:v>
      </x:c>
      <x:c r="F4885" s="11" t="n">
        <x:v>4.999315537303217</x:v>
      </x:c>
      <x:c r="G4885" s="26" t="b">
        <x:v>1</x:v>
      </x:c>
      <x:c r="H4885" s="16" t="n">
        <x:v>0</x:v>
      </x:c>
      <x:c r="I4885" s="16" t="n">
        <x:v>0.1</x:v>
      </x:c>
      <x:c r="J4885" s="16" t="n">
        <x:v>0.5</x:v>
      </x:c>
      <x:c r="K4885" s="11" t="n">
        <x:f>CHOOSE('假设'!$B$3,H4885,I4885,J4885)</x:f>
        <x:v>0.1</x:v>
      </x:c>
      <x:c r="L4885" s="11" t="n">
        <x:f>K4885*'管线假设'!E1051*'管线假设'!F1051*'管线假设'!G1051*IF(E4885="USD",'管线假设'!I1051,1)-AM4885</x:f>
        <x:v>0.004800000000000001</x:v>
      </x:c>
      <x:c r="M4885" s="11" t="n">
        <x:f>'管线假设'!H1051</x:f>
        <x:v>0.14</x:v>
      </x:c>
      <x:c r="N4885" s="11" t="n">
        <x:f>IF(G4885,L4885*AN4885/(1+M4885)^F4885,0)</x:f>
        <x:v>0.002493193178332669</x:v>
      </x:c>
      <x:c r="AJ4885" t="n">
        <x:v>0</x:v>
      </x:c>
      <x:c r="AK4885" t="n">
        <x:v>0</x:v>
      </x:c>
      <x:c r="AL4885" t="n">
        <x:v>0</x:v>
      </x:c>
      <x:c r="AM4885" t="n">
        <x:f>CHOOSE('假设'!$B$3,AJ4885,AK4885,AL4885)</x:f>
        <x:v>0</x:v>
      </x:c>
      <x:c r="AN4885" t="n">
        <x:v>1</x:v>
      </x:c>
    </x:row>
    <x:row r="4886" ht="23" customHeight="1">
      <x:c r="A4886" s="11" t="str">
        <x:v>688062.SH</x:v>
      </x:c>
      <x:c r="B4886" s="11" t="str">
        <x:v>2026年底</x:v>
      </x:c>
      <x:c r="C4886" s="11" t="str">
        <x:v>bfv_escc</x:v>
      </x:c>
      <x:c r="D4886" s="11" t="str">
        <x:v>2032-12-31</x:v>
      </x:c>
      <x:c r="E4886" s="11" t="str">
        <x:v>CNY</x:v>
      </x:c>
      <x:c r="F4886" s="11" t="n">
        <x:v>6.0013689253935665</x:v>
      </x:c>
      <x:c r="G4886" s="26" t="b">
        <x:v>1</x:v>
      </x:c>
      <x:c r="H4886" s="16" t="n">
        <x:v>0</x:v>
      </x:c>
      <x:c r="I4886" s="16" t="n">
        <x:v>0.2</x:v>
      </x:c>
      <x:c r="J4886" s="16" t="n">
        <x:v>0.6666666666666666</x:v>
      </x:c>
      <x:c r="K4886" s="11" t="n">
        <x:f>CHOOSE('假设'!$B$3,H4886,I4886,J4886)</x:f>
        <x:v>0.2</x:v>
      </x:c>
      <x:c r="L4886" s="11" t="n">
        <x:f>K4886*'管线假设'!E1051*'管线假设'!F1051*'管线假设'!G1051*IF(E4886="USD",'管线假设'!I1051,1)-AM4886</x:f>
        <x:v>0.009600000000000003</x:v>
      </x:c>
      <x:c r="M4886" s="11" t="n">
        <x:f>'管线假设'!H1051</x:f>
        <x:v>0.14</x:v>
      </x:c>
      <x:c r="N4886" s="11" t="n">
        <x:f>IF(G4886,L4886*AN4886/(1+M4886)^F4886,0)</x:f>
        <x:v>0.004372846439067818</x:v>
      </x:c>
      <x:c r="AJ4886" t="n">
        <x:v>0</x:v>
      </x:c>
      <x:c r="AK4886" t="n">
        <x:v>0</x:v>
      </x:c>
      <x:c r="AL4886" t="n">
        <x:v>0</x:v>
      </x:c>
      <x:c r="AM4886" t="n">
        <x:f>CHOOSE('假设'!$B$3,AJ4886,AK4886,AL4886)</x:f>
        <x:v>0</x:v>
      </x:c>
      <x:c r="AN4886" t="n">
        <x:v>1</x:v>
      </x:c>
    </x:row>
    <x:row r="4887" ht="23" customHeight="1">
      <x:c r="A4887" s="11" t="str">
        <x:v>688062.SH</x:v>
      </x:c>
      <x:c r="B4887" s="11" t="str">
        <x:v>2026年底</x:v>
      </x:c>
      <x:c r="C4887" s="11" t="str">
        <x:v>bfv_escc</x:v>
      </x:c>
      <x:c r="D4887" s="11" t="str">
        <x:v>2033-12-31</x:v>
      </x:c>
      <x:c r="E4887" s="11" t="str">
        <x:v>CNY</x:v>
      </x:c>
      <x:c r="F4887" s="11" t="n">
        <x:v>7.000684462696783</x:v>
      </x:c>
      <x:c r="G4887" s="26" t="b">
        <x:v>1</x:v>
      </x:c>
      <x:c r="H4887" s="16" t="n">
        <x:v>0.04000000000000001</x:v>
      </x:c>
      <x:c r="I4887" s="16" t="n">
        <x:v>0.3</x:v>
      </x:c>
      <x:c r="J4887" s="16" t="n">
        <x:v>0.8333333333333334</x:v>
      </x:c>
      <x:c r="K4887" s="11" t="n">
        <x:f>CHOOSE('假设'!$B$3,H4887,I4887,J4887)</x:f>
        <x:v>0.3</x:v>
      </x:c>
      <x:c r="L4887" s="11" t="n">
        <x:f>K4887*'管线假设'!E1051*'管线假设'!F1051*'管线假设'!G1051*IF(E4887="USD",'管线假设'!I1051,1)-AM4887</x:f>
        <x:v>0.014400000000000001</x:v>
      </x:c>
      <x:c r="M4887" s="11" t="n">
        <x:f>'管线假设'!H1051</x:f>
        <x:v>0.14</x:v>
      </x:c>
      <x:c r="N4887" s="11" t="n">
        <x:f>IF(G4887,L4887*AN4887/(1+M4887)^F4887,0)</x:f>
        <x:v>0.005754261356355129</x:v>
      </x:c>
      <x:c r="AJ4887" t="n">
        <x:v>0</x:v>
      </x:c>
      <x:c r="AK4887" t="n">
        <x:v>0</x:v>
      </x:c>
      <x:c r="AL4887" t="n">
        <x:v>0</x:v>
      </x:c>
      <x:c r="AM4887" t="n">
        <x:f>CHOOSE('假设'!$B$3,AJ4887,AK4887,AL4887)</x:f>
        <x:v>0</x:v>
      </x:c>
      <x:c r="AN4887" t="n">
        <x:v>1</x:v>
      </x:c>
    </x:row>
    <x:row r="4888" ht="23" customHeight="1">
      <x:c r="A4888" s="11" t="str">
        <x:v>688062.SH</x:v>
      </x:c>
      <x:c r="B4888" s="11" t="str">
        <x:v>2026年底</x:v>
      </x:c>
      <x:c r="C4888" s="11" t="str">
        <x:v>bfv_escc</x:v>
      </x:c>
      <x:c r="D4888" s="11" t="str">
        <x:v>2034-12-31</x:v>
      </x:c>
      <x:c r="E4888" s="11" t="str">
        <x:v>CNY</x:v>
      </x:c>
      <x:c r="F4888" s="11" t="n">
        <x:v>8</x:v>
      </x:c>
      <x:c r="G4888" s="26" t="b">
        <x:v>1</x:v>
      </x:c>
      <x:c r="H4888" s="16" t="n">
        <x:v>0.08000000000000002</x:v>
      </x:c>
      <x:c r="I4888" s="16" t="n">
        <x:v>0.4</x:v>
      </x:c>
      <x:c r="J4888" s="16" t="n">
        <x:v>1</x:v>
      </x:c>
      <x:c r="K4888" s="11" t="n">
        <x:f>CHOOSE('假设'!$B$3,H4888,I4888,J4888)</x:f>
        <x:v>0.4</x:v>
      </x:c>
      <x:c r="L4888" s="11" t="n">
        <x:f>K4888*'管线假设'!E1051*'管线假设'!F1051*'管线假设'!G1051*IF(E4888="USD",'管线假设'!I1051,1)-AM4888</x:f>
        <x:v>0.019200000000000005</x:v>
      </x:c>
      <x:c r="M4888" s="11" t="n">
        <x:f>'管线假设'!H1051</x:f>
        <x:v>0.14</x:v>
      </x:c>
      <x:c r="N4888" s="11" t="n">
        <x:f>IF(G4888,L4888*AN4888/(1+M4888)^F4888,0)</x:f>
        <x:v>0.006730733853134604</x:v>
      </x:c>
      <x:c r="AJ4888" t="n">
        <x:v>0</x:v>
      </x:c>
      <x:c r="AK4888" t="n">
        <x:v>0</x:v>
      </x:c>
      <x:c r="AL4888" t="n">
        <x:v>0</x:v>
      </x:c>
      <x:c r="AM4888" t="n">
        <x:f>CHOOSE('假设'!$B$3,AJ4888,AK4888,AL4888)</x:f>
        <x:v>0</x:v>
      </x:c>
      <x:c r="AN4888" t="n">
        <x:v>1</x:v>
      </x:c>
    </x:row>
    <x:row r="4889" ht="23" customHeight="1">
      <x:c r="A4889" s="11" t="str">
        <x:v>688062.SH</x:v>
      </x:c>
      <x:c r="B4889" s="11" t="str">
        <x:v>2026年底</x:v>
      </x:c>
      <x:c r="C4889" s="11" t="str">
        <x:v>bfv_escc</x:v>
      </x:c>
      <x:c r="D4889" s="11" t="str">
        <x:v>2035-12-31</x:v>
      </x:c>
      <x:c r="E4889" s="11" t="str">
        <x:v>CNY</x:v>
      </x:c>
      <x:c r="F4889" s="11" t="n">
        <x:v>8.999315537303216</x:v>
      </x:c>
      <x:c r="G4889" s="26" t="b">
        <x:v>1</x:v>
      </x:c>
      <x:c r="H4889" s="16" t="n">
        <x:v>0.12</x:v>
      </x:c>
      <x:c r="I4889" s="16" t="n">
        <x:v>0.5</x:v>
      </x:c>
      <x:c r="J4889" s="16" t="n">
        <x:v>0.87</x:v>
      </x:c>
      <x:c r="K4889" s="11" t="n">
        <x:f>CHOOSE('假设'!$B$3,H4889,I4889,J4889)</x:f>
        <x:v>0.5</x:v>
      </x:c>
      <x:c r="L4889" s="11" t="n">
        <x:f>K4889*'管线假设'!E1051*'管线假设'!F1051*'管线假设'!G1051*IF(E4889="USD",'管线假设'!I1051,1)-AM4889</x:f>
        <x:v>0.024000000000000004</x:v>
      </x:c>
      <x:c r="M4889" s="11" t="n">
        <x:f>'管线假设'!H1051</x:f>
        <x:v>0.14</x:v>
      </x:c>
      <x:c r="N4889" s="11" t="n">
        <x:f>IF(G4889,L4889*AN4889/(1+M4889)^F4889,0)</x:f>
        <x:v>0.007380852542823354</x:v>
      </x:c>
      <x:c r="AJ4889" t="n">
        <x:v>0</x:v>
      </x:c>
      <x:c r="AK4889" t="n">
        <x:v>0</x:v>
      </x:c>
      <x:c r="AL4889" t="n">
        <x:v>0</x:v>
      </x:c>
      <x:c r="AM4889" t="n">
        <x:f>CHOOSE('假设'!$B$3,AJ4889,AK4889,AL4889)</x:f>
        <x:v>0</x:v>
      </x:c>
      <x:c r="AN4889" t="n">
        <x:v>1</x:v>
      </x:c>
    </x:row>
    <x:row r="4890" ht="23" customHeight="1">
      <x:c r="A4890" s="11" t="str">
        <x:v>688062.SH</x:v>
      </x:c>
      <x:c r="B4890" s="11" t="str">
        <x:v>2026年底</x:v>
      </x:c>
      <x:c r="C4890" s="11" t="str">
        <x:v>bfv_escc</x:v>
      </x:c>
      <x:c r="D4890" s="11" t="str">
        <x:v>2036-12-31</x:v>
      </x:c>
      <x:c r="E4890" s="11" t="str">
        <x:v>CNY</x:v>
      </x:c>
      <x:c r="F4890" s="11" t="n">
        <x:v>10.001368925393566</x:v>
      </x:c>
      <x:c r="G4890" s="26" t="b">
        <x:v>1</x:v>
      </x:c>
      <x:c r="H4890" s="16" t="n">
        <x:v>0.16000000000000003</x:v>
      </x:c>
      <x:c r="I4890" s="16" t="n">
        <x:v>0.435</x:v>
      </x:c>
      <x:c r="J4890" s="16" t="n">
        <x:v>0.74</x:v>
      </x:c>
      <x:c r="K4890" s="11" t="n">
        <x:f>CHOOSE('假设'!$B$3,H4890,I4890,J4890)</x:f>
        <x:v>0.435</x:v>
      </x:c>
      <x:c r="L4890" s="11" t="n">
        <x:f>K4890*'管线假设'!E1051*'管线假设'!F1051*'管线假设'!G1051*IF(E4890="USD",'管线假设'!I1051,1)-AM4890</x:f>
        <x:v>0.020880000000000003</x:v>
      </x:c>
      <x:c r="M4890" s="11" t="n">
        <x:f>'管线假设'!H1051</x:f>
        <x:v>0.14</x:v>
      </x:c>
      <x:c r="N4890" s="11" t="n">
        <x:f>IF(G4890,L4890*AN4890/(1+M4890)^F4890,0)</x:f>
        <x:v>0.005631240588275629</x:v>
      </x:c>
      <x:c r="AJ4890" t="n">
        <x:v>0</x:v>
      </x:c>
      <x:c r="AK4890" t="n">
        <x:v>0</x:v>
      </x:c>
      <x:c r="AL4890" t="n">
        <x:v>0</x:v>
      </x:c>
      <x:c r="AM4890" t="n">
        <x:f>CHOOSE('假设'!$B$3,AJ4890,AK4890,AL4890)</x:f>
        <x:v>0</x:v>
      </x:c>
      <x:c r="AN4890" t="n">
        <x:v>1</x:v>
      </x:c>
    </x:row>
    <x:row r="4891" ht="23" customHeight="1">
      <x:c r="A4891" s="11" t="str">
        <x:v>688062.SH</x:v>
      </x:c>
      <x:c r="B4891" s="11" t="str">
        <x:v>2026年底</x:v>
      </x:c>
      <x:c r="C4891" s="11" t="str">
        <x:v>bfv_escc</x:v>
      </x:c>
      <x:c r="D4891" s="11" t="str">
        <x:v>2037-12-31</x:v>
      </x:c>
      <x:c r="E4891" s="11" t="str">
        <x:v>CNY</x:v>
      </x:c>
      <x:c r="F4891" s="11" t="n">
        <x:v>11.000684462696784</x:v>
      </x:c>
      <x:c r="G4891" s="26" t="b">
        <x:v>1</x:v>
      </x:c>
      <x:c r="H4891" s="16" t="n">
        <x:v>0.2</x:v>
      </x:c>
      <x:c r="I4891" s="16" t="n">
        <x:v>0.37</x:v>
      </x:c>
      <x:c r="J4891" s="16" t="n">
        <x:v>0.61</x:v>
      </x:c>
      <x:c r="K4891" s="11" t="n">
        <x:f>CHOOSE('假设'!$B$3,H4891,I4891,J4891)</x:f>
        <x:v>0.37</x:v>
      </x:c>
      <x:c r="L4891" s="11" t="n">
        <x:f>K4891*'管线假设'!E1051*'管线假设'!F1051*'管线假设'!G1051*IF(E4891="USD",'管线假设'!I1051,1)-AM4891</x:f>
        <x:v>0.01776</x:v>
      </x:c>
      <x:c r="M4891" s="11" t="n">
        <x:f>'管线假设'!H1051</x:f>
        <x:v>0.14</x:v>
      </x:c>
      <x:c r="N4891" s="11" t="n">
        <x:f>IF(G4891,L4891*AN4891/(1+M4891)^F4891,0)</x:f>
        <x:v>0.004201947747248612</x:v>
      </x:c>
      <x:c r="AJ4891" t="n">
        <x:v>0</x:v>
      </x:c>
      <x:c r="AK4891" t="n">
        <x:v>0</x:v>
      </x:c>
      <x:c r="AL4891" t="n">
        <x:v>0</x:v>
      </x:c>
      <x:c r="AM4891" t="n">
        <x:f>CHOOSE('假设'!$B$3,AJ4891,AK4891,AL4891)</x:f>
        <x:v>0</x:v>
      </x:c>
      <x:c r="AN4891" t="n">
        <x:v>1</x:v>
      </x:c>
    </x:row>
    <x:row r="4892" ht="23" customHeight="1">
      <x:c r="A4892" s="11" t="str">
        <x:v>688062.SH</x:v>
      </x:c>
      <x:c r="B4892" s="11" t="str">
        <x:v>2026年底</x:v>
      </x:c>
      <x:c r="C4892" s="11" t="str">
        <x:v>bfv_escc</x:v>
      </x:c>
      <x:c r="D4892" s="11" t="str">
        <x:v>2038-12-31</x:v>
      </x:c>
      <x:c r="E4892" s="11" t="str">
        <x:v>CNY</x:v>
      </x:c>
      <x:c r="F4892" s="11" t="n">
        <x:v>12</x:v>
      </x:c>
      <x:c r="G4892" s="26" t="b">
        <x:v>1</x:v>
      </x:c>
      <x:c r="H4892" s="16" t="n">
        <x:v>0.17400000000000002</x:v>
      </x:c>
      <x:c r="I4892" s="16" t="n">
        <x:v>0.305</x:v>
      </x:c>
      <x:c r="J4892" s="16" t="n">
        <x:v>0.48</x:v>
      </x:c>
      <x:c r="K4892" s="11" t="n">
        <x:f>CHOOSE('假设'!$B$3,H4892,I4892,J4892)</x:f>
        <x:v>0.305</x:v>
      </x:c>
      <x:c r="L4892" s="11" t="n">
        <x:f>K4892*'管线假设'!E1051*'管线假设'!F1051*'管线假设'!G1051*IF(E4892="USD",'管线假设'!I1051,1)-AM4892</x:f>
        <x:v>0.014640000000000002</x:v>
      </x:c>
      <x:c r="M4892" s="11" t="n">
        <x:f>'管线假设'!H1051</x:f>
        <x:v>0.14</x:v>
      </x:c>
      <x:c r="N4892" s="11" t="n">
        <x:f>IF(G4892,L4892*AN4892/(1+M4892)^F4892,0)</x:f>
        <x:v>0.0030386652595850053</x:v>
      </x:c>
      <x:c r="AJ4892" t="n">
        <x:v>0</x:v>
      </x:c>
      <x:c r="AK4892" t="n">
        <x:v>0</x:v>
      </x:c>
      <x:c r="AL4892" t="n">
        <x:v>0</x:v>
      </x:c>
      <x:c r="AM4892" t="n">
        <x:f>CHOOSE('假设'!$B$3,AJ4892,AK4892,AL4892)</x:f>
        <x:v>0</x:v>
      </x:c>
      <x:c r="AN4892" t="n">
        <x:v>1</x:v>
      </x:c>
    </x:row>
    <x:row r="4893" ht="23" customHeight="1">
      <x:c r="A4893" s="11" t="str">
        <x:v>688062.SH</x:v>
      </x:c>
      <x:c r="B4893" s="11" t="str">
        <x:v>2026年底</x:v>
      </x:c>
      <x:c r="C4893" s="11" t="str">
        <x:v>bfv_escc</x:v>
      </x:c>
      <x:c r="D4893" s="11" t="str">
        <x:v>2039-12-31</x:v>
      </x:c>
      <x:c r="E4893" s="11" t="str">
        <x:v>CNY</x:v>
      </x:c>
      <x:c r="F4893" s="11" t="n">
        <x:v>12.999315537303216</x:v>
      </x:c>
      <x:c r="G4893" s="26" t="b">
        <x:v>1</x:v>
      </x:c>
      <x:c r="H4893" s="16" t="n">
        <x:v>0.148</x:v>
      </x:c>
      <x:c r="I4893" s="16" t="n">
        <x:v>0.24</x:v>
      </x:c>
      <x:c r="J4893" s="16" t="n">
        <x:v>0.35</x:v>
      </x:c>
      <x:c r="K4893" s="11" t="n">
        <x:f>CHOOSE('假设'!$B$3,H4893,I4893,J4893)</x:f>
        <x:v>0.24</x:v>
      </x:c>
      <x:c r="L4893" s="11" t="n">
        <x:f>K4893*'管线假设'!E1051*'管线假设'!F1051*'管线假设'!G1051*IF(E4893="USD",'管线假设'!I1051,1)-AM4893</x:f>
        <x:v>0.01152</x:v>
      </x:c>
      <x:c r="M4893" s="11" t="n">
        <x:f>'管线假设'!H1051</x:f>
        <x:v>0.14</x:v>
      </x:c>
      <x:c r="N4893" s="11" t="n">
        <x:f>IF(G4893,L4893*AN4893/(1+M4893)^F4893,0)</x:f>
        <x:v>0.0020976274659759934</x:v>
      </x:c>
      <x:c r="AJ4893" t="n">
        <x:v>0</x:v>
      </x:c>
      <x:c r="AK4893" t="n">
        <x:v>0</x:v>
      </x:c>
      <x:c r="AL4893" t="n">
        <x:v>0</x:v>
      </x:c>
      <x:c r="AM4893" t="n">
        <x:f>CHOOSE('假设'!$B$3,AJ4893,AK4893,AL4893)</x:f>
        <x:v>0</x:v>
      </x:c>
      <x:c r="AN4893" t="n">
        <x:v>1</x:v>
      </x:c>
    </x:row>
    <x:row r="4894" ht="23" customHeight="1">
      <x:c r="A4894" s="11" t="str">
        <x:v>688062.SH</x:v>
      </x:c>
      <x:c r="B4894" s="11" t="str">
        <x:v>2026年底</x:v>
      </x:c>
      <x:c r="C4894" s="11" t="str">
        <x:v>bfv_escc</x:v>
      </x:c>
      <x:c r="D4894" s="11" t="str">
        <x:v>2040-12-31</x:v>
      </x:c>
      <x:c r="E4894" s="11" t="str">
        <x:v>CNY</x:v>
      </x:c>
      <x:c r="F4894" s="11" t="n">
        <x:v>14.001368925393566</x:v>
      </x:c>
      <x:c r="G4894" s="26" t="b">
        <x:v>1</x:v>
      </x:c>
      <x:c r="H4894" s="16" t="n">
        <x:v>0.122</x:v>
      </x:c>
      <x:c r="I4894" s="16" t="n">
        <x:v>0.175</x:v>
      </x:c>
      <x:c r="J4894" s="16" t="n">
        <x:v>0.21999999999999997</x:v>
      </x:c>
      <x:c r="K4894" s="11" t="n">
        <x:f>CHOOSE('假设'!$B$3,H4894,I4894,J4894)</x:f>
        <x:v>0.175</x:v>
      </x:c>
      <x:c r="L4894" s="11" t="n">
        <x:f>K4894*'管线假设'!E1051*'管线假设'!F1051*'管线假设'!G1051*IF(E4894="USD",'管线假设'!I1051,1)-AM4894</x:f>
        <x:v>0.008400000000000001</x:v>
      </x:c>
      <x:c r="M4894" s="11" t="n">
        <x:f>'管线假设'!H1051</x:f>
        <x:v>0.14</x:v>
      </x:c>
      <x:c r="N4894" s="11" t="n">
        <x:f>IF(G4894,L4894*AN4894/(1+M4894)^F4894,0)</x:f>
        <x:v>0.0013413233003512369</x:v>
      </x:c>
      <x:c r="AJ4894" t="n">
        <x:v>0</x:v>
      </x:c>
      <x:c r="AK4894" t="n">
        <x:v>0</x:v>
      </x:c>
      <x:c r="AL4894" t="n">
        <x:v>0</x:v>
      </x:c>
      <x:c r="AM4894" t="n">
        <x:f>CHOOSE('假设'!$B$3,AJ4894,AK4894,AL4894)</x:f>
        <x:v>0</x:v>
      </x:c>
      <x:c r="AN4894" t="n">
        <x:v>1</x:v>
      </x:c>
    </x:row>
    <x:row r="4895" ht="23" customHeight="1">
      <x:c r="A4895" s="11" t="str">
        <x:v>688062.SH</x:v>
      </x:c>
      <x:c r="B4895" s="11" t="str">
        <x:v>2026年底</x:v>
      </x:c>
      <x:c r="C4895" s="11" t="str">
        <x:v>bfv_escc</x:v>
      </x:c>
      <x:c r="D4895" s="11" t="str">
        <x:v>2041-12-31</x:v>
      </x:c>
      <x:c r="E4895" s="11" t="str">
        <x:v>CNY</x:v>
      </x:c>
      <x:c r="F4895" s="11" t="n">
        <x:v>15.000684462696784</x:v>
      </x:c>
      <x:c r="G4895" s="26" t="b">
        <x:v>1</x:v>
      </x:c>
      <x:c r="H4895" s="16" t="n">
        <x:v>0.096</x:v>
      </x:c>
      <x:c r="I4895" s="16" t="n">
        <x:v>0.10999999999999999</x:v>
      </x:c>
      <x:c r="J4895" s="16" t="n">
        <x:v>0.08999999999999997</x:v>
      </x:c>
      <x:c r="K4895" s="11" t="n">
        <x:f>CHOOSE('假设'!$B$3,H4895,I4895,J4895)</x:f>
        <x:v>0.10999999999999999</x:v>
      </x:c>
      <x:c r="L4895" s="11" t="n">
        <x:f>K4895*'管线假设'!E1051*'管线假设'!F1051*'管线假设'!G1051*IF(E4895="USD",'管线假设'!I1051,1)-AM4895</x:f>
        <x:v>0.00528</x:v>
      </x:c>
      <x:c r="M4895" s="11" t="n">
        <x:f>'管线假设'!H1051</x:f>
        <x:v>0.14</x:v>
      </x:c>
      <x:c r="N4895" s="11" t="n">
        <x:f>IF(G4895,L4895*AN4895/(1+M4895)^F4895,0)</x:f>
        <x:v>0.0007396430882309731</x:v>
      </x:c>
      <x:c r="AJ4895" t="n">
        <x:v>0</x:v>
      </x:c>
      <x:c r="AK4895" t="n">
        <x:v>0</x:v>
      </x:c>
      <x:c r="AL4895" t="n">
        <x:v>0</x:v>
      </x:c>
      <x:c r="AM4895" t="n">
        <x:f>CHOOSE('假设'!$B$3,AJ4895,AK4895,AL4895)</x:f>
        <x:v>0</x:v>
      </x:c>
      <x:c r="AN4895" t="n">
        <x:v>1</x:v>
      </x:c>
    </x:row>
    <x:row r="4896" ht="23" customHeight="1">
      <x:c r="A4896" s="11" t="str">
        <x:v>688062.SH</x:v>
      </x:c>
      <x:c r="B4896" s="11" t="str">
        <x:v>2026年底</x:v>
      </x:c>
      <x:c r="C4896" s="11" t="str">
        <x:v>bfv_escc</x:v>
      </x:c>
      <x:c r="D4896" s="11" t="str">
        <x:v>2042-12-31</x:v>
      </x:c>
      <x:c r="E4896" s="11" t="str">
        <x:v>CNY</x:v>
      </x:c>
      <x:c r="F4896" s="11" t="n">
        <x:v>16</x:v>
      </x:c>
      <x:c r="G4896" s="26" t="b">
        <x:v>1</x:v>
      </x:c>
      <x:c r="H4896" s="16" t="n">
        <x:v>0.06999999999999999</x:v>
      </x:c>
      <x:c r="I4896" s="16" t="n">
        <x:v>0.044999999999999984</x:v>
      </x:c>
      <x:c r="J4896" s="16" t="n">
        <x:v>0</x:v>
      </x:c>
      <x:c r="K4896" s="11" t="n">
        <x:f>CHOOSE('假设'!$B$3,H4896,I4896,J4896)</x:f>
        <x:v>0.044999999999999984</x:v>
      </x:c>
      <x:c r="L4896" s="11" t="n">
        <x:f>K4896*'管线假设'!E1051*'管线假设'!F1051*'管线假设'!G1051*IF(E4896="USD",'管线假设'!I1051,1)-AM4896</x:f>
        <x:v>0.0021599999999999996</x:v>
      </x:c>
      <x:c r="M4896" s="11" t="n">
        <x:f>'管线假设'!H1051</x:f>
        <x:v>0.14</x:v>
      </x:c>
      <x:c r="N4896" s="11" t="n">
        <x:f>IF(G4896,L4896*AN4896/(1+M4896)^F4896,0)</x:f>
        <x:v>0.0002654459660257743</x:v>
      </x:c>
      <x:c r="AJ4896" t="n">
        <x:v>0</x:v>
      </x:c>
      <x:c r="AK4896" t="n">
        <x:v>0</x:v>
      </x:c>
      <x:c r="AL4896" t="n">
        <x:v>0</x:v>
      </x:c>
      <x:c r="AM4896" t="n">
        <x:f>CHOOSE('假设'!$B$3,AJ4896,AK4896,AL4896)</x:f>
        <x:v>0</x:v>
      </x:c>
      <x:c r="AN4896" t="n">
        <x:v>1</x:v>
      </x:c>
    </x:row>
    <x:row r="4897" ht="23" customHeight="1">
      <x:c r="A4897" s="11" t="str">
        <x:v>688062.SH</x:v>
      </x:c>
      <x:c r="B4897" s="11" t="str">
        <x:v>2026年底</x:v>
      </x:c>
      <x:c r="C4897" s="11" t="str">
        <x:v>bfv_escc</x:v>
      </x:c>
      <x:c r="D4897" s="11" t="str">
        <x:v>2043-12-31</x:v>
      </x:c>
      <x:c r="E4897" s="11" t="str">
        <x:v>CNY</x:v>
      </x:c>
      <x:c r="F4897" s="11" t="n">
        <x:v>16.999315537303218</x:v>
      </x:c>
      <x:c r="G4897" s="26" t="b">
        <x:v>1</x:v>
      </x:c>
      <x:c r="H4897" s="16" t="n">
        <x:v>0.044</x:v>
      </x:c>
      <x:c r="I4897" s="16" t="n">
        <x:v>0</x:v>
      </x:c>
      <x:c r="J4897" s="16" t="n">
        <x:v>0</x:v>
      </x:c>
      <x:c r="K4897" s="11" t="n">
        <x:f>CHOOSE('假设'!$B$3,H4897,I4897,J4897)</x:f>
        <x:v>0</x:v>
      </x:c>
      <x:c r="L4897" s="11" t="n">
        <x:f>K4897*'管线假设'!E1051*'管线假设'!F1051*'管线假设'!G1051*IF(E4897="USD",'管线假设'!I1051,1)-AM4897</x:f>
        <x:v>0</x:v>
      </x:c>
      <x:c r="M4897" s="11" t="n">
        <x:f>'管线假设'!H1051</x:f>
        <x:v>0.14</x:v>
      </x:c>
      <x:c r="N4897" s="11" t="n">
        <x:f>IF(G4897,L4897*AN4897/(1+M4897)^F4897,0)</x:f>
        <x:v>0</x:v>
      </x:c>
      <x:c r="AJ4897" t="n">
        <x:v>0</x:v>
      </x:c>
      <x:c r="AK4897" t="n">
        <x:v>0</x:v>
      </x:c>
      <x:c r="AL4897" t="n">
        <x:v>0</x:v>
      </x:c>
      <x:c r="AM4897" t="n">
        <x:f>CHOOSE('假设'!$B$3,AJ4897,AK4897,AL4897)</x:f>
        <x:v>0</x:v>
      </x:c>
      <x:c r="AN4897" t="n">
        <x:v>1</x:v>
      </x:c>
    </x:row>
    <x:row r="4898" ht="23" customHeight="1">
      <x:c r="A4898" s="11" t="str">
        <x:v>688062.SH</x:v>
      </x:c>
      <x:c r="B4898" s="11" t="str">
        <x:v>2026年底</x:v>
      </x:c>
      <x:c r="C4898" s="11" t="str">
        <x:v>bfv_escc</x:v>
      </x:c>
      <x:c r="D4898" s="11" t="str">
        <x:v>2044-12-31</x:v>
      </x:c>
      <x:c r="E4898" s="11" t="str">
        <x:v>CNY</x:v>
      </x:c>
      <x:c r="F4898" s="11" t="n">
        <x:v>18.001368925393567</x:v>
      </x:c>
      <x:c r="G4898" s="26" t="b">
        <x:v>1</x:v>
      </x:c>
      <x:c r="H4898" s="16" t="n">
        <x:v>0.017999999999999995</x:v>
      </x:c>
      <x:c r="I4898" s="16" t="n">
        <x:v>0</x:v>
      </x:c>
      <x:c r="J4898" s="16" t="n">
        <x:v>0</x:v>
      </x:c>
      <x:c r="K4898" s="11" t="n">
        <x:f>CHOOSE('假设'!$B$3,H4898,I4898,J4898)</x:f>
        <x:v>0</x:v>
      </x:c>
      <x:c r="L4898" s="11" t="n">
        <x:f>K4898*'管线假设'!E1051*'管线假设'!F1051*'管线假设'!G1051*IF(E4898="USD",'管线假设'!I1051,1)-AM4898</x:f>
        <x:v>0</x:v>
      </x:c>
      <x:c r="M4898" s="11" t="n">
        <x:f>'管线假设'!H1051</x:f>
        <x:v>0.14</x:v>
      </x:c>
      <x:c r="N4898" s="11" t="n">
        <x:f>IF(G4898,L4898*AN4898/(1+M4898)^F4898,0)</x:f>
        <x:v>0</x:v>
      </x:c>
      <x:c r="AJ4898" t="n">
        <x:v>0</x:v>
      </x:c>
      <x:c r="AK4898" t="n">
        <x:v>0</x:v>
      </x:c>
      <x:c r="AL4898" t="n">
        <x:v>0</x:v>
      </x:c>
      <x:c r="AM4898" t="n">
        <x:f>CHOOSE('假设'!$B$3,AJ4898,AK4898,AL4898)</x:f>
        <x:v>0</x:v>
      </x:c>
      <x:c r="AN4898" t="n">
        <x:v>1</x:v>
      </x:c>
    </x:row>
    <x:row r="4899" ht="23" customHeight="1">
      <x:c r="A4899" s="11" t="str">
        <x:v>688062.SH</x:v>
      </x:c>
      <x:c r="B4899" s="11" t="str">
        <x:v>2026年底</x:v>
      </x:c>
      <x:c r="C4899" s="11" t="str">
        <x:v>bfv_escc</x:v>
      </x:c>
      <x:c r="D4899" s="11" t="str">
        <x:v>2045-12-31</x:v>
      </x:c>
      <x:c r="E4899" s="11" t="str">
        <x:v>CNY</x:v>
      </x:c>
      <x:c r="F4899" s="11" t="n">
        <x:v>19.000684462696782</x:v>
      </x:c>
      <x:c r="G4899" s="26" t="b">
        <x:v>1</x:v>
      </x:c>
      <x:c r="H4899" s="16" t="n">
        <x:v>0</x:v>
      </x:c>
      <x:c r="I4899" s="16" t="n">
        <x:v>0</x:v>
      </x:c>
      <x:c r="J4899" s="16" t="n">
        <x:v>0</x:v>
      </x:c>
      <x:c r="K4899" s="11" t="n">
        <x:f>CHOOSE('假设'!$B$3,H4899,I4899,J4899)</x:f>
        <x:v>0</x:v>
      </x:c>
      <x:c r="L4899" s="11" t="n">
        <x:f>K4899*'管线假设'!E1051*'管线假设'!F1051*'管线假设'!G1051*IF(E4899="USD",'管线假设'!I1051,1)-AM4899</x:f>
        <x:v>0</x:v>
      </x:c>
      <x:c r="M4899" s="11" t="n">
        <x:f>'管线假设'!H1051</x:f>
        <x:v>0.14</x:v>
      </x:c>
      <x:c r="N4899" s="11" t="n">
        <x:f>IF(G4899,L4899*AN4899/(1+M4899)^F4899,0)</x:f>
        <x:v>0</x:v>
      </x:c>
      <x:c r="AJ4899" t="n">
        <x:v>0</x:v>
      </x:c>
      <x:c r="AK4899" t="n">
        <x:v>0</x:v>
      </x:c>
      <x:c r="AL4899" t="n">
        <x:v>0</x:v>
      </x:c>
      <x:c r="AM4899" t="n">
        <x:f>CHOOSE('假设'!$B$3,AJ4899,AK4899,AL4899)</x:f>
        <x:v>0</x:v>
      </x:c>
      <x:c r="AN4899" t="n">
        <x:v>1</x:v>
      </x:c>
    </x:row>
    <x:row r="4900" ht="23" customHeight="1">
      <x:c r="A4900" s="11" t="str">
        <x:v>688062.SH</x:v>
      </x:c>
      <x:c r="B4900" s="11" t="str">
        <x:v>2026年底</x:v>
      </x:c>
      <x:c r="C4900" s="11" t="str">
        <x:v>bfv_global</x:v>
      </x:c>
      <x:c r="D4900" s="11" t="str">
        <x:v>2027-12-31</x:v>
      </x:c>
      <x:c r="E4900" s="11" t="str">
        <x:v>USD</x:v>
      </x:c>
      <x:c r="F4900" s="11" t="n">
        <x:v>0.999315537303217</x:v>
      </x:c>
      <x:c r="G4900" s="26" t="b">
        <x:v>1</x:v>
      </x:c>
      <x:c r="H4900" s="16" t="n">
        <x:v>0</x:v>
      </x:c>
      <x:c r="I4900" s="16" t="n">
        <x:v>0</x:v>
      </x:c>
      <x:c r="J4900" s="16" t="n">
        <x:v>0</x:v>
      </x:c>
      <x:c r="K4900" s="11" t="n">
        <x:f>CHOOSE('假设'!$B$3,H4900,I4900,J4900)</x:f>
        <x:v>0</x:v>
      </x:c>
      <x:c r="L4900" s="11" t="n">
        <x:f>K4900*'管线假设'!E1055*'管线假设'!F1055*'管线假设'!G1055*IF(E4900="USD",'管线假设'!I1055,1)-AM4900</x:f>
        <x:v>0</x:v>
      </x:c>
      <x:c r="M4900" s="11" t="n">
        <x:f>'管线假设'!H1055</x:f>
        <x:v>0.14</x:v>
      </x:c>
      <x:c r="N4900" s="11" t="n">
        <x:f>IF(G4900,L4900*AN4900/(1+M4900)^F4900,0)</x:f>
        <x:v>0</x:v>
      </x:c>
      <x:c r="AJ4900" t="n">
        <x:v>0</x:v>
      </x:c>
      <x:c r="AK4900" t="n">
        <x:v>0</x:v>
      </x:c>
      <x:c r="AL4900" t="n">
        <x:v>0</x:v>
      </x:c>
      <x:c r="AM4900" t="n">
        <x:f>CHOOSE('假设'!$B$3,AJ4900,AK4900,AL4900)</x:f>
        <x:v>0</x:v>
      </x:c>
      <x:c r="AN4900" t="n">
        <x:v>1</x:v>
      </x:c>
    </x:row>
    <x:row r="4901" ht="23" customHeight="1">
      <x:c r="A4901" s="11" t="str">
        <x:v>688062.SH</x:v>
      </x:c>
      <x:c r="B4901" s="11" t="str">
        <x:v>2026年底</x:v>
      </x:c>
      <x:c r="C4901" s="11" t="str">
        <x:v>bfv_global</x:v>
      </x:c>
      <x:c r="D4901" s="11" t="str">
        <x:v>2028-12-31</x:v>
      </x:c>
      <x:c r="E4901" s="11" t="str">
        <x:v>USD</x:v>
      </x:c>
      <x:c r="F4901" s="11" t="n">
        <x:v>2.001368925393566</x:v>
      </x:c>
      <x:c r="G4901" s="26" t="b">
        <x:v>1</x:v>
      </x:c>
      <x:c r="H4901" s="16" t="n">
        <x:v>0</x:v>
      </x:c>
      <x:c r="I4901" s="16" t="n">
        <x:v>0</x:v>
      </x:c>
      <x:c r="J4901" s="16" t="n">
        <x:v>0</x:v>
      </x:c>
      <x:c r="K4901" s="11" t="n">
        <x:f>CHOOSE('假设'!$B$3,H4901,I4901,J4901)</x:f>
        <x:v>0</x:v>
      </x:c>
      <x:c r="L4901" s="11" t="n">
        <x:f>K4901*'管线假设'!E1055*'管线假设'!F1055*'管线假设'!G1055*IF(E4901="USD",'管线假设'!I1055,1)-AM4901</x:f>
        <x:v>0</x:v>
      </x:c>
      <x:c r="M4901" s="11" t="n">
        <x:f>'管线假设'!H1055</x:f>
        <x:v>0.14</x:v>
      </x:c>
      <x:c r="N4901" s="11" t="n">
        <x:f>IF(G4901,L4901*AN4901/(1+M4901)^F4901,0)</x:f>
        <x:v>0</x:v>
      </x:c>
      <x:c r="AJ4901" t="n">
        <x:v>0</x:v>
      </x:c>
      <x:c r="AK4901" t="n">
        <x:v>0</x:v>
      </x:c>
      <x:c r="AL4901" t="n">
        <x:v>0</x:v>
      </x:c>
      <x:c r="AM4901" t="n">
        <x:f>CHOOSE('假设'!$B$3,AJ4901,AK4901,AL4901)</x:f>
        <x:v>0</x:v>
      </x:c>
      <x:c r="AN4901" t="n">
        <x:v>1</x:v>
      </x:c>
    </x:row>
    <x:row r="4902" ht="23" customHeight="1">
      <x:c r="A4902" s="11" t="str">
        <x:v>688062.SH</x:v>
      </x:c>
      <x:c r="B4902" s="11" t="str">
        <x:v>2026年底</x:v>
      </x:c>
      <x:c r="C4902" s="11" t="str">
        <x:v>bfv_global</x:v>
      </x:c>
      <x:c r="D4902" s="11" t="str">
        <x:v>2029-12-31</x:v>
      </x:c>
      <x:c r="E4902" s="11" t="str">
        <x:v>USD</x:v>
      </x:c>
      <x:c r="F4902" s="11" t="n">
        <x:v>3.0006844626967832</x:v>
      </x:c>
      <x:c r="G4902" s="26" t="b">
        <x:v>1</x:v>
      </x:c>
      <x:c r="H4902" s="16" t="n">
        <x:v>0</x:v>
      </x:c>
      <x:c r="I4902" s="16" t="n">
        <x:v>0</x:v>
      </x:c>
      <x:c r="J4902" s="16" t="n">
        <x:v>0</x:v>
      </x:c>
      <x:c r="K4902" s="11" t="n">
        <x:f>CHOOSE('假设'!$B$3,H4902,I4902,J4902)</x:f>
        <x:v>0</x:v>
      </x:c>
      <x:c r="L4902" s="11" t="n">
        <x:f>K4902*'管线假设'!E1055*'管线假设'!F1055*'管线假设'!G1055*IF(E4902="USD",'管线假设'!I1055,1)-AM4902</x:f>
        <x:v>0</x:v>
      </x:c>
      <x:c r="M4902" s="11" t="n">
        <x:f>'管线假设'!H1055</x:f>
        <x:v>0.14</x:v>
      </x:c>
      <x:c r="N4902" s="11" t="n">
        <x:f>IF(G4902,L4902*AN4902/(1+M4902)^F4902,0)</x:f>
        <x:v>0</x:v>
      </x:c>
      <x:c r="AJ4902" t="n">
        <x:v>0</x:v>
      </x:c>
      <x:c r="AK4902" t="n">
        <x:v>0</x:v>
      </x:c>
      <x:c r="AL4902" t="n">
        <x:v>0</x:v>
      </x:c>
      <x:c r="AM4902" t="n">
        <x:f>CHOOSE('假设'!$B$3,AJ4902,AK4902,AL4902)</x:f>
        <x:v>0</x:v>
      </x:c>
      <x:c r="AN4902" t="n">
        <x:v>1</x:v>
      </x:c>
    </x:row>
    <x:row r="4903" ht="23" customHeight="1">
      <x:c r="A4903" s="11" t="str">
        <x:v>688062.SH</x:v>
      </x:c>
      <x:c r="B4903" s="11" t="str">
        <x:v>2026年底</x:v>
      </x:c>
      <x:c r="C4903" s="11" t="str">
        <x:v>bfv_global</x:v>
      </x:c>
      <x:c r="D4903" s="11" t="str">
        <x:v>2030-12-31</x:v>
      </x:c>
      <x:c r="E4903" s="11" t="str">
        <x:v>USD</x:v>
      </x:c>
      <x:c r="F4903" s="11" t="n">
        <x:v>4</x:v>
      </x:c>
      <x:c r="G4903" s="26" t="b">
        <x:v>1</x:v>
      </x:c>
      <x:c r="H4903" s="16" t="n">
        <x:v>0</x:v>
      </x:c>
      <x:c r="I4903" s="16" t="n">
        <x:v>0</x:v>
      </x:c>
      <x:c r="J4903" s="16" t="n">
        <x:v>0.48</x:v>
      </x:c>
      <x:c r="K4903" s="11" t="n">
        <x:f>CHOOSE('假设'!$B$3,H4903,I4903,J4903)</x:f>
        <x:v>0</x:v>
      </x:c>
      <x:c r="L4903" s="11" t="n">
        <x:f>K4903*'管线假设'!E1055*'管线假设'!F1055*'管线假设'!G1055*IF(E4903="USD",'管线假设'!I1055,1)-AM4903</x:f>
        <x:v>0</x:v>
      </x:c>
      <x:c r="M4903" s="11" t="n">
        <x:f>'管线假设'!H1055</x:f>
        <x:v>0.14</x:v>
      </x:c>
      <x:c r="N4903" s="11" t="n">
        <x:f>IF(G4903,L4903*AN4903/(1+M4903)^F4903,0)</x:f>
        <x:v>0</x:v>
      </x:c>
      <x:c r="AJ4903" t="n">
        <x:v>0</x:v>
      </x:c>
      <x:c r="AK4903" t="n">
        <x:v>0</x:v>
      </x:c>
      <x:c r="AL4903" t="n">
        <x:v>0</x:v>
      </x:c>
      <x:c r="AM4903" t="n">
        <x:f>CHOOSE('假设'!$B$3,AJ4903,AK4903,AL4903)</x:f>
        <x:v>0</x:v>
      </x:c>
      <x:c r="AN4903" t="n">
        <x:v>1</x:v>
      </x:c>
    </x:row>
    <x:row r="4904" ht="23" customHeight="1">
      <x:c r="A4904" s="11" t="str">
        <x:v>688062.SH</x:v>
      </x:c>
      <x:c r="B4904" s="11" t="str">
        <x:v>2026年底</x:v>
      </x:c>
      <x:c r="C4904" s="11" t="str">
        <x:v>bfv_global</x:v>
      </x:c>
      <x:c r="D4904" s="11" t="str">
        <x:v>2031-12-31</x:v>
      </x:c>
      <x:c r="E4904" s="11" t="str">
        <x:v>USD</x:v>
      </x:c>
      <x:c r="F4904" s="11" t="n">
        <x:v>4.999315537303217</x:v>
      </x:c>
      <x:c r="G4904" s="26" t="b">
        <x:v>1</x:v>
      </x:c>
      <x:c r="H4904" s="16" t="n">
        <x:v>0</x:v>
      </x:c>
      <x:c r="I4904" s="16" t="n">
        <x:v>0</x:v>
      </x:c>
      <x:c r="J4904" s="16" t="n">
        <x:v>0.96</x:v>
      </x:c>
      <x:c r="K4904" s="11" t="n">
        <x:f>CHOOSE('假设'!$B$3,H4904,I4904,J4904)</x:f>
        <x:v>0</x:v>
      </x:c>
      <x:c r="L4904" s="11" t="n">
        <x:f>K4904*'管线假设'!E1055*'管线假设'!F1055*'管线假设'!G1055*IF(E4904="USD",'管线假设'!I1055,1)-AM4904</x:f>
        <x:v>0</x:v>
      </x:c>
      <x:c r="M4904" s="11" t="n">
        <x:f>'管线假设'!H1055</x:f>
        <x:v>0.14</x:v>
      </x:c>
      <x:c r="N4904" s="11" t="n">
        <x:f>IF(G4904,L4904*AN4904/(1+M4904)^F4904,0)</x:f>
        <x:v>0</x:v>
      </x:c>
      <x:c r="AJ4904" t="n">
        <x:v>0</x:v>
      </x:c>
      <x:c r="AK4904" t="n">
        <x:v>0</x:v>
      </x:c>
      <x:c r="AL4904" t="n">
        <x:v>0</x:v>
      </x:c>
      <x:c r="AM4904" t="n">
        <x:f>CHOOSE('假设'!$B$3,AJ4904,AK4904,AL4904)</x:f>
        <x:v>0</x:v>
      </x:c>
      <x:c r="AN4904" t="n">
        <x:v>1</x:v>
      </x:c>
    </x:row>
    <x:row r="4905" ht="23" customHeight="1">
      <x:c r="A4905" s="11" t="str">
        <x:v>688062.SH</x:v>
      </x:c>
      <x:c r="B4905" s="11" t="str">
        <x:v>2026年底</x:v>
      </x:c>
      <x:c r="C4905" s="11" t="str">
        <x:v>bfv_global</x:v>
      </x:c>
      <x:c r="D4905" s="11" t="str">
        <x:v>2032-12-31</x:v>
      </x:c>
      <x:c r="E4905" s="11" t="str">
        <x:v>USD</x:v>
      </x:c>
      <x:c r="F4905" s="11" t="n">
        <x:v>6.0013689253935665</x:v>
      </x:c>
      <x:c r="G4905" s="26" t="b">
        <x:v>1</x:v>
      </x:c>
      <x:c r="H4905" s="16" t="n">
        <x:v>0</x:v>
      </x:c>
      <x:c r="I4905" s="16" t="n">
        <x:v>0.22000000000000003</x:v>
      </x:c>
      <x:c r="J4905" s="16" t="n">
        <x:v>1.44</x:v>
      </x:c>
      <x:c r="K4905" s="11" t="n">
        <x:f>CHOOSE('假设'!$B$3,H4905,I4905,J4905)</x:f>
        <x:v>0.22000000000000003</x:v>
      </x:c>
      <x:c r="L4905" s="11" t="n">
        <x:f>K4905*'管线假设'!E1055*'管线假设'!F1055*'管线假设'!G1055*IF(E4905="USD",'管线假设'!I1055,1)-AM4905</x:f>
        <x:v>0.068816</x:v>
      </x:c>
      <x:c r="M4905" s="11" t="n">
        <x:f>'管线假设'!H1055</x:f>
        <x:v>0.14</x:v>
      </x:c>
      <x:c r="N4905" s="11" t="n">
        <x:f>IF(G4905,L4905*AN4905/(1+M4905)^F4905,0)</x:f>
        <x:v>0.0313460208907178</x:v>
      </x:c>
      <x:c r="AJ4905" t="n">
        <x:v>0</x:v>
      </x:c>
      <x:c r="AK4905" t="n">
        <x:v>0</x:v>
      </x:c>
      <x:c r="AL4905" t="n">
        <x:v>0</x:v>
      </x:c>
      <x:c r="AM4905" t="n">
        <x:f>CHOOSE('假设'!$B$3,AJ4905,AK4905,AL4905)</x:f>
        <x:v>0</x:v>
      </x:c>
      <x:c r="AN4905" t="n">
        <x:v>1</x:v>
      </x:c>
    </x:row>
    <x:row r="4906" ht="23" customHeight="1">
      <x:c r="A4906" s="11" t="str">
        <x:v>688062.SH</x:v>
      </x:c>
      <x:c r="B4906" s="11" t="str">
        <x:v>2026年底</x:v>
      </x:c>
      <x:c r="C4906" s="11" t="str">
        <x:v>bfv_global</x:v>
      </x:c>
      <x:c r="D4906" s="11" t="str">
        <x:v>2033-12-31</x:v>
      </x:c>
      <x:c r="E4906" s="11" t="str">
        <x:v>USD</x:v>
      </x:c>
      <x:c r="F4906" s="11" t="n">
        <x:v>7.000684462696783</x:v>
      </x:c>
      <x:c r="G4906" s="26" t="b">
        <x:v>1</x:v>
      </x:c>
      <x:c r="H4906" s="16" t="n">
        <x:v>0</x:v>
      </x:c>
      <x:c r="I4906" s="16" t="n">
        <x:v>0.44000000000000006</x:v>
      </x:c>
      <x:c r="J4906" s="16" t="n">
        <x:v>1.92</x:v>
      </x:c>
      <x:c r="K4906" s="11" t="n">
        <x:f>CHOOSE('假设'!$B$3,H4906,I4906,J4906)</x:f>
        <x:v>0.44000000000000006</x:v>
      </x:c>
      <x:c r="L4906" s="11" t="n">
        <x:f>K4906*'管线假设'!E1055*'管线假设'!F1055*'管线假设'!G1055*IF(E4906="USD",'管线假设'!I1055,1)-AM4906</x:f>
        <x:v>0.137632</x:v>
      </x:c>
      <x:c r="M4906" s="11" t="n">
        <x:f>'管线假设'!H1055</x:f>
        <x:v>0.14</x:v>
      </x:c>
      <x:c r="N4906" s="11" t="n">
        <x:f>IF(G4906,L4906*AN4906/(1+M4906)^F4906,0)</x:f>
        <x:v>0.05499795131929646</x:v>
      </x:c>
      <x:c r="AJ4906" t="n">
        <x:v>0</x:v>
      </x:c>
      <x:c r="AK4906" t="n">
        <x:v>0</x:v>
      </x:c>
      <x:c r="AL4906" t="n">
        <x:v>0</x:v>
      </x:c>
      <x:c r="AM4906" t="n">
        <x:f>CHOOSE('假设'!$B$3,AJ4906,AK4906,AL4906)</x:f>
        <x:v>0</x:v>
      </x:c>
      <x:c r="AN4906" t="n">
        <x:v>1</x:v>
      </x:c>
    </x:row>
    <x:row r="4907" ht="23" customHeight="1">
      <x:c r="A4907" s="11" t="str">
        <x:v>688062.SH</x:v>
      </x:c>
      <x:c r="B4907" s="11" t="str">
        <x:v>2026年底</x:v>
      </x:c>
      <x:c r="C4907" s="11" t="str">
        <x:v>bfv_global</x:v>
      </x:c>
      <x:c r="D4907" s="11" t="str">
        <x:v>2034-12-31</x:v>
      </x:c>
      <x:c r="E4907" s="11" t="str">
        <x:v>USD</x:v>
      </x:c>
      <x:c r="F4907" s="11" t="n">
        <x:v>8</x:v>
      </x:c>
      <x:c r="G4907" s="26" t="b">
        <x:v>1</x:v>
      </x:c>
      <x:c r="H4907" s="16" t="n">
        <x:v>0.08000000000000002</x:v>
      </x:c>
      <x:c r="I4907" s="16" t="n">
        <x:v>0.66</x:v>
      </x:c>
      <x:c r="J4907" s="16" t="n">
        <x:v>2.4</x:v>
      </x:c>
      <x:c r="K4907" s="11" t="n">
        <x:f>CHOOSE('假设'!$B$3,H4907,I4907,J4907)</x:f>
        <x:v>0.66</x:v>
      </x:c>
      <x:c r="L4907" s="11" t="n">
        <x:f>K4907*'管线假设'!E1055*'管线假设'!F1055*'管线假设'!G1055*IF(E4907="USD",'管线假设'!I1055,1)-AM4907</x:f>
        <x:v>0.206448</x:v>
      </x:c>
      <x:c r="M4907" s="11" t="n">
        <x:f>'管线假设'!H1055</x:f>
        <x:v>0.14</x:v>
      </x:c>
      <x:c r="N4907" s="11" t="n">
        <x:f>IF(G4907,L4907*AN4907/(1+M4907)^F4907,0)</x:f>
        <x:v>0.0723722157558298</x:v>
      </x:c>
      <x:c r="AJ4907" t="n">
        <x:v>0</x:v>
      </x:c>
      <x:c r="AK4907" t="n">
        <x:v>0</x:v>
      </x:c>
      <x:c r="AL4907" t="n">
        <x:v>0</x:v>
      </x:c>
      <x:c r="AM4907" t="n">
        <x:f>CHOOSE('假设'!$B$3,AJ4907,AK4907,AL4907)</x:f>
        <x:v>0</x:v>
      </x:c>
      <x:c r="AN4907" t="n">
        <x:v>1</x:v>
      </x:c>
    </x:row>
    <x:row r="4908" ht="23" customHeight="1">
      <x:c r="A4908" s="11" t="str">
        <x:v>688062.SH</x:v>
      </x:c>
      <x:c r="B4908" s="11" t="str">
        <x:v>2026年底</x:v>
      </x:c>
      <x:c r="C4908" s="11" t="str">
        <x:v>bfv_global</x:v>
      </x:c>
      <x:c r="D4908" s="11" t="str">
        <x:v>2035-12-31</x:v>
      </x:c>
      <x:c r="E4908" s="11" t="str">
        <x:v>USD</x:v>
      </x:c>
      <x:c r="F4908" s="11" t="n">
        <x:v>8.999315537303216</x:v>
      </x:c>
      <x:c r="G4908" s="26" t="b">
        <x:v>1</x:v>
      </x:c>
      <x:c r="H4908" s="16" t="n">
        <x:v>0.16000000000000003</x:v>
      </x:c>
      <x:c r="I4908" s="16" t="n">
        <x:v>0.8800000000000001</x:v>
      </x:c>
      <x:c r="J4908" s="16" t="n">
        <x:v>2.088</x:v>
      </x:c>
      <x:c r="K4908" s="11" t="n">
        <x:f>CHOOSE('假设'!$B$3,H4908,I4908,J4908)</x:f>
        <x:v>0.8800000000000001</x:v>
      </x:c>
      <x:c r="L4908" s="11" t="n">
        <x:f>K4908*'管线假设'!E1055*'管线假设'!F1055*'管线假设'!G1055*IF(E4908="USD",'管线假设'!I1055,1)-AM4908</x:f>
        <x:v>0.275264</x:v>
      </x:c>
      <x:c r="M4908" s="11" t="n">
        <x:f>'管线假设'!H1055</x:f>
        <x:v>0.14</x:v>
      </x:c>
      <x:c r="N4908" s="11" t="n">
        <x:f>IF(G4908,L4908*AN4908/(1+M4908)^F4908,0)</x:f>
        <x:v>0.08465345809782197</x:v>
      </x:c>
      <x:c r="AJ4908" t="n">
        <x:v>0</x:v>
      </x:c>
      <x:c r="AK4908" t="n">
        <x:v>0</x:v>
      </x:c>
      <x:c r="AL4908" t="n">
        <x:v>0</x:v>
      </x:c>
      <x:c r="AM4908" t="n">
        <x:f>CHOOSE('假设'!$B$3,AJ4908,AK4908,AL4908)</x:f>
        <x:v>0</x:v>
      </x:c>
      <x:c r="AN4908" t="n">
        <x:v>1</x:v>
      </x:c>
    </x:row>
    <x:row r="4909" ht="23" customHeight="1">
      <x:c r="A4909" s="11" t="str">
        <x:v>688062.SH</x:v>
      </x:c>
      <x:c r="B4909" s="11" t="str">
        <x:v>2026年底</x:v>
      </x:c>
      <x:c r="C4909" s="11" t="str">
        <x:v>bfv_global</x:v>
      </x:c>
      <x:c r="D4909" s="11" t="str">
        <x:v>2036-12-31</x:v>
      </x:c>
      <x:c r="E4909" s="11" t="str">
        <x:v>USD</x:v>
      </x:c>
      <x:c r="F4909" s="11" t="n">
        <x:v>10.001368925393566</x:v>
      </x:c>
      <x:c r="G4909" s="26" t="b">
        <x:v>1</x:v>
      </x:c>
      <x:c r="H4909" s="16" t="n">
        <x:v>0.24</x:v>
      </x:c>
      <x:c r="I4909" s="16" t="n">
        <x:v>1.1</x:v>
      </x:c>
      <x:c r="J4909" s="16" t="n">
        <x:v>1.776</x:v>
      </x:c>
      <x:c r="K4909" s="11" t="n">
        <x:f>CHOOSE('假设'!$B$3,H4909,I4909,J4909)</x:f>
        <x:v>1.1</x:v>
      </x:c>
      <x:c r="L4909" s="11" t="n">
        <x:f>K4909*'管线假设'!E1055*'管线假设'!F1055*'管线假设'!G1055*IF(E4909="USD",'管线假设'!I1055,1)-AM4909</x:f>
        <x:v>0.34408</x:v>
      </x:c>
      <x:c r="M4909" s="11" t="n">
        <x:f>'管线假设'!H1055</x:f>
        <x:v>0.14</x:v>
      </x:c>
      <x:c r="N4909" s="11" t="n">
        <x:f>IF(G4909,L4909*AN4909/(1+M4909)^F4909,0)</x:f>
        <x:v>0.09279680371713975</x:v>
      </x:c>
      <x:c r="AJ4909" t="n">
        <x:v>0</x:v>
      </x:c>
      <x:c r="AK4909" t="n">
        <x:v>0</x:v>
      </x:c>
      <x:c r="AL4909" t="n">
        <x:v>0</x:v>
      </x:c>
      <x:c r="AM4909" t="n">
        <x:f>CHOOSE('假设'!$B$3,AJ4909,AK4909,AL4909)</x:f>
        <x:v>0</x:v>
      </x:c>
      <x:c r="AN4909" t="n">
        <x:v>1</x:v>
      </x:c>
    </x:row>
    <x:row r="4910" ht="23" customHeight="1">
      <x:c r="A4910" s="11" t="str">
        <x:v>688062.SH</x:v>
      </x:c>
      <x:c r="B4910" s="11" t="str">
        <x:v>2026年底</x:v>
      </x:c>
      <x:c r="C4910" s="11" t="str">
        <x:v>bfv_global</x:v>
      </x:c>
      <x:c r="D4910" s="11" t="str">
        <x:v>2037-12-31</x:v>
      </x:c>
      <x:c r="E4910" s="11" t="str">
        <x:v>USD</x:v>
      </x:c>
      <x:c r="F4910" s="11" t="n">
        <x:v>11.000684462696784</x:v>
      </x:c>
      <x:c r="G4910" s="26" t="b">
        <x:v>1</x:v>
      </x:c>
      <x:c r="H4910" s="16" t="n">
        <x:v>0.32000000000000006</x:v>
      </x:c>
      <x:c r="I4910" s="16" t="n">
        <x:v>0.9570000000000001</x:v>
      </x:c>
      <x:c r="J4910" s="16" t="n">
        <x:v>1.464</x:v>
      </x:c>
      <x:c r="K4910" s="11" t="n">
        <x:f>CHOOSE('假设'!$B$3,H4910,I4910,J4910)</x:f>
        <x:v>0.9570000000000001</x:v>
      </x:c>
      <x:c r="L4910" s="11" t="n">
        <x:f>K4910*'管线假设'!E1055*'管线假设'!F1055*'管线假设'!G1055*IF(E4910="USD",'管线假设'!I1055,1)-AM4910</x:f>
        <x:v>0.29934959999999994</x:v>
      </x:c>
      <x:c r="M4910" s="11" t="n">
        <x:f>'管线假设'!H1055</x:f>
        <x:v>0.14</x:v>
      </x:c>
      <x:c r="N4910" s="11" t="n">
        <x:f>IF(G4910,L4910*AN4910/(1+M4910)^F4910,0)</x:f>
        <x:v>0.07082496494142865</x:v>
      </x:c>
      <x:c r="AJ4910" t="n">
        <x:v>0</x:v>
      </x:c>
      <x:c r="AK4910" t="n">
        <x:v>0</x:v>
      </x:c>
      <x:c r="AL4910" t="n">
        <x:v>0</x:v>
      </x:c>
      <x:c r="AM4910" t="n">
        <x:f>CHOOSE('假设'!$B$3,AJ4910,AK4910,AL4910)</x:f>
        <x:v>0</x:v>
      </x:c>
      <x:c r="AN4910" t="n">
        <x:v>1</x:v>
      </x:c>
    </x:row>
    <x:row r="4911" ht="23" customHeight="1">
      <x:c r="A4911" s="11" t="str">
        <x:v>688062.SH</x:v>
      </x:c>
      <x:c r="B4911" s="11" t="str">
        <x:v>2026年底</x:v>
      </x:c>
      <x:c r="C4911" s="11" t="str">
        <x:v>bfv_global</x:v>
      </x:c>
      <x:c r="D4911" s="11" t="str">
        <x:v>2038-12-31</x:v>
      </x:c>
      <x:c r="E4911" s="11" t="str">
        <x:v>USD</x:v>
      </x:c>
      <x:c r="F4911" s="11" t="n">
        <x:v>12</x:v>
      </x:c>
      <x:c r="G4911" s="26" t="b">
        <x:v>1</x:v>
      </x:c>
      <x:c r="H4911" s="16" t="n">
        <x:v>0.4</x:v>
      </x:c>
      <x:c r="I4911" s="16" t="n">
        <x:v>0.8140000000000001</x:v>
      </x:c>
      <x:c r="J4911" s="16" t="n">
        <x:v>1.152</x:v>
      </x:c>
      <x:c r="K4911" s="11" t="n">
        <x:f>CHOOSE('假设'!$B$3,H4911,I4911,J4911)</x:f>
        <x:v>0.8140000000000001</x:v>
      </x:c>
      <x:c r="L4911" s="11" t="n">
        <x:f>K4911*'管线假设'!E1055*'管线假设'!F1055*'管线假设'!G1055*IF(E4911="USD",'管线假设'!I1055,1)-AM4911</x:f>
        <x:v>0.2546192</x:v>
      </x:c>
      <x:c r="M4911" s="11" t="n">
        <x:f>'管线假设'!H1055</x:f>
        <x:v>0.14</x:v>
      </x:c>
      <x:c r="N4911" s="11" t="n">
        <x:f>IF(G4911,L4911*AN4911/(1+M4911)^F4911,0)</x:f>
        <x:v>0.052848532613615176</x:v>
      </x:c>
      <x:c r="AJ4911" t="n">
        <x:v>0</x:v>
      </x:c>
      <x:c r="AK4911" t="n">
        <x:v>0</x:v>
      </x:c>
      <x:c r="AL4911" t="n">
        <x:v>0</x:v>
      </x:c>
      <x:c r="AM4911" t="n">
        <x:f>CHOOSE('假设'!$B$3,AJ4911,AK4911,AL4911)</x:f>
        <x:v>0</x:v>
      </x:c>
      <x:c r="AN4911" t="n">
        <x:v>1</x:v>
      </x:c>
    </x:row>
    <x:row r="4912" ht="23" customHeight="1">
      <x:c r="A4912" s="11" t="str">
        <x:v>688062.SH</x:v>
      </x:c>
      <x:c r="B4912" s="11" t="str">
        <x:v>2026年底</x:v>
      </x:c>
      <x:c r="C4912" s="11" t="str">
        <x:v>bfv_global</x:v>
      </x:c>
      <x:c r="D4912" s="11" t="str">
        <x:v>2039-12-31</x:v>
      </x:c>
      <x:c r="E4912" s="11" t="str">
        <x:v>USD</x:v>
      </x:c>
      <x:c r="F4912" s="11" t="n">
        <x:v>12.999315537303216</x:v>
      </x:c>
      <x:c r="G4912" s="26" t="b">
        <x:v>1</x:v>
      </x:c>
      <x:c r="H4912" s="16" t="n">
        <x:v>0.34800000000000003</x:v>
      </x:c>
      <x:c r="I4912" s="16" t="n">
        <x:v>0.671</x:v>
      </x:c>
      <x:c r="J4912" s="16" t="n">
        <x:v>0.84</x:v>
      </x:c>
      <x:c r="K4912" s="11" t="n">
        <x:f>CHOOSE('假设'!$B$3,H4912,I4912,J4912)</x:f>
        <x:v>0.671</x:v>
      </x:c>
      <x:c r="L4912" s="11" t="n">
        <x:f>K4912*'管线假设'!E1055*'管线假设'!F1055*'管线假设'!G1055*IF(E4912="USD",'管线假设'!I1055,1)-AM4912</x:f>
        <x:v>0.2098888</x:v>
      </x:c>
      <x:c r="M4912" s="11" t="n">
        <x:f>'管线假设'!H1055</x:f>
        <x:v>0.14</x:v>
      </x:c>
      <x:c r="N4912" s="11" t="n">
        <x:f>IF(G4912,L4912*AN4912/(1+M4912)^F4912,0)</x:f>
        <x:v>0.03821775275006441</x:v>
      </x:c>
      <x:c r="AJ4912" t="n">
        <x:v>0</x:v>
      </x:c>
      <x:c r="AK4912" t="n">
        <x:v>0</x:v>
      </x:c>
      <x:c r="AL4912" t="n">
        <x:v>0</x:v>
      </x:c>
      <x:c r="AM4912" t="n">
        <x:f>CHOOSE('假设'!$B$3,AJ4912,AK4912,AL4912)</x:f>
        <x:v>0</x:v>
      </x:c>
      <x:c r="AN4912" t="n">
        <x:v>1</x:v>
      </x:c>
    </x:row>
    <x:row r="4913" ht="23" customHeight="1">
      <x:c r="A4913" s="11" t="str">
        <x:v>688062.SH</x:v>
      </x:c>
      <x:c r="B4913" s="11" t="str">
        <x:v>2026年底</x:v>
      </x:c>
      <x:c r="C4913" s="11" t="str">
        <x:v>bfv_global</x:v>
      </x:c>
      <x:c r="D4913" s="11" t="str">
        <x:v>2040-12-31</x:v>
      </x:c>
      <x:c r="E4913" s="11" t="str">
        <x:v>USD</x:v>
      </x:c>
      <x:c r="F4913" s="11" t="n">
        <x:v>14.001368925393566</x:v>
      </x:c>
      <x:c r="G4913" s="26" t="b">
        <x:v>1</x:v>
      </x:c>
      <x:c r="H4913" s="16" t="n">
        <x:v>0.296</x:v>
      </x:c>
      <x:c r="I4913" s="16" t="n">
        <x:v>0.528</x:v>
      </x:c>
      <x:c r="J4913" s="16" t="n">
        <x:v>0.5279999999999999</x:v>
      </x:c>
      <x:c r="K4913" s="11" t="n">
        <x:f>CHOOSE('假设'!$B$3,H4913,I4913,J4913)</x:f>
        <x:v>0.528</x:v>
      </x:c>
      <x:c r="L4913" s="11" t="n">
        <x:f>K4913*'管线假设'!E1055*'管线假设'!F1055*'管线假设'!G1055*IF(E4913="USD",'管线假设'!I1055,1)-AM4913</x:f>
        <x:v>0.16515839999999998</x:v>
      </x:c>
      <x:c r="M4913" s="11" t="n">
        <x:f>'管线假设'!H1055</x:f>
        <x:v>0.14</x:v>
      </x:c>
      <x:c r="N4913" s="11" t="n">
        <x:f>IF(G4913,L4913*AN4913/(1+M4913)^F4913,0)</x:f>
        <x:v>0.026372715496277344</x:v>
      </x:c>
      <x:c r="AJ4913" t="n">
        <x:v>0</x:v>
      </x:c>
      <x:c r="AK4913" t="n">
        <x:v>0</x:v>
      </x:c>
      <x:c r="AL4913" t="n">
        <x:v>0</x:v>
      </x:c>
      <x:c r="AM4913" t="n">
        <x:f>CHOOSE('假设'!$B$3,AJ4913,AK4913,AL4913)</x:f>
        <x:v>0</x:v>
      </x:c>
      <x:c r="AN4913" t="n">
        <x:v>1</x:v>
      </x:c>
    </x:row>
    <x:row r="4914" ht="23" customHeight="1">
      <x:c r="A4914" s="11" t="str">
        <x:v>688062.SH</x:v>
      </x:c>
      <x:c r="B4914" s="11" t="str">
        <x:v>2026年底</x:v>
      </x:c>
      <x:c r="C4914" s="11" t="str">
        <x:v>bfv_global</x:v>
      </x:c>
      <x:c r="D4914" s="11" t="str">
        <x:v>2041-12-31</x:v>
      </x:c>
      <x:c r="E4914" s="11" t="str">
        <x:v>USD</x:v>
      </x:c>
      <x:c r="F4914" s="11" t="n">
        <x:v>15.000684462696784</x:v>
      </x:c>
      <x:c r="G4914" s="26" t="b">
        <x:v>1</x:v>
      </x:c>
      <x:c r="H4914" s="16" t="n">
        <x:v>0.244</x:v>
      </x:c>
      <x:c r="I4914" s="16" t="n">
        <x:v>0.385</x:v>
      </x:c>
      <x:c r="J4914" s="16" t="n">
        <x:v>0.21599999999999991</x:v>
      </x:c>
      <x:c r="K4914" s="11" t="n">
        <x:f>CHOOSE('假设'!$B$3,H4914,I4914,J4914)</x:f>
        <x:v>0.385</x:v>
      </x:c>
      <x:c r="L4914" s="11" t="n">
        <x:f>K4914*'管线假设'!E1055*'管线假设'!F1055*'管线假设'!G1055*IF(E4914="USD",'管线假设'!I1055,1)-AM4914</x:f>
        <x:v>0.12042799999999998</x:v>
      </x:c>
      <x:c r="M4914" s="11" t="n">
        <x:f>'管线假设'!H1055</x:f>
        <x:v>0.14</x:v>
      </x:c>
      <x:c r="N4914" s="11" t="n">
        <x:f>IF(G4914,L4914*AN4914/(1+M4914)^F4914,0)</x:f>
        <x:v>0.016870026104068108</x:v>
      </x:c>
      <x:c r="AJ4914" t="n">
        <x:v>0</x:v>
      </x:c>
      <x:c r="AK4914" t="n">
        <x:v>0</x:v>
      </x:c>
      <x:c r="AL4914" t="n">
        <x:v>0</x:v>
      </x:c>
      <x:c r="AM4914" t="n">
        <x:f>CHOOSE('假设'!$B$3,AJ4914,AK4914,AL4914)</x:f>
        <x:v>0</x:v>
      </x:c>
      <x:c r="AN4914" t="n">
        <x:v>1</x:v>
      </x:c>
    </x:row>
    <x:row r="4915" ht="23" customHeight="1">
      <x:c r="A4915" s="11" t="str">
        <x:v>688062.SH</x:v>
      </x:c>
      <x:c r="B4915" s="11" t="str">
        <x:v>2026年底</x:v>
      </x:c>
      <x:c r="C4915" s="11" t="str">
        <x:v>bfv_global</x:v>
      </x:c>
      <x:c r="D4915" s="11" t="str">
        <x:v>2042-12-31</x:v>
      </x:c>
      <x:c r="E4915" s="11" t="str">
        <x:v>USD</x:v>
      </x:c>
      <x:c r="F4915" s="11" t="n">
        <x:v>16</x:v>
      </x:c>
      <x:c r="G4915" s="26" t="b">
        <x:v>1</x:v>
      </x:c>
      <x:c r="H4915" s="16" t="n">
        <x:v>0.192</x:v>
      </x:c>
      <x:c r="I4915" s="16" t="n">
        <x:v>0.242</x:v>
      </x:c>
      <x:c r="J4915" s="16" t="n">
        <x:v>0</x:v>
      </x:c>
      <x:c r="K4915" s="11" t="n">
        <x:f>CHOOSE('假设'!$B$3,H4915,I4915,J4915)</x:f>
        <x:v>0.242</x:v>
      </x:c>
      <x:c r="L4915" s="11" t="n">
        <x:f>K4915*'管线假设'!E1055*'管线假设'!F1055*'管线假设'!G1055*IF(E4915="USD",'管线假设'!I1055,1)-AM4915</x:f>
        <x:v>0.07569759999999999</x:v>
      </x:c>
      <x:c r="M4915" s="11" t="n">
        <x:f>'管线假设'!H1055</x:f>
        <x:v>0.14</x:v>
      </x:c>
      <x:c r="N4915" s="11" t="n">
        <x:f>IF(G4915,L4915*AN4915/(1+M4915)^F4915,0)</x:f>
        <x:v>0.009302603036033637</x:v>
      </x:c>
      <x:c r="AJ4915" t="n">
        <x:v>0</x:v>
      </x:c>
      <x:c r="AK4915" t="n">
        <x:v>0</x:v>
      </x:c>
      <x:c r="AL4915" t="n">
        <x:v>0</x:v>
      </x:c>
      <x:c r="AM4915" t="n">
        <x:f>CHOOSE('假设'!$B$3,AJ4915,AK4915,AL4915)</x:f>
        <x:v>0</x:v>
      </x:c>
      <x:c r="AN4915" t="n">
        <x:v>1</x:v>
      </x:c>
    </x:row>
    <x:row r="4916" ht="23" customHeight="1">
      <x:c r="A4916" s="11" t="str">
        <x:v>688062.SH</x:v>
      </x:c>
      <x:c r="B4916" s="11" t="str">
        <x:v>2026年底</x:v>
      </x:c>
      <x:c r="C4916" s="11" t="str">
        <x:v>bfv_global</x:v>
      </x:c>
      <x:c r="D4916" s="11" t="str">
        <x:v>2043-12-31</x:v>
      </x:c>
      <x:c r="E4916" s="11" t="str">
        <x:v>USD</x:v>
      </x:c>
      <x:c r="F4916" s="11" t="n">
        <x:v>16.999315537303218</x:v>
      </x:c>
      <x:c r="G4916" s="26" t="b">
        <x:v>1</x:v>
      </x:c>
      <x:c r="H4916" s="16" t="n">
        <x:v>0.13999999999999999</x:v>
      </x:c>
      <x:c r="I4916" s="16" t="n">
        <x:v>0.09899999999999998</x:v>
      </x:c>
      <x:c r="J4916" s="16" t="n">
        <x:v>0</x:v>
      </x:c>
      <x:c r="K4916" s="11" t="n">
        <x:f>CHOOSE('假设'!$B$3,H4916,I4916,J4916)</x:f>
        <x:v>0.09899999999999998</x:v>
      </x:c>
      <x:c r="L4916" s="11" t="n">
        <x:f>K4916*'管线假设'!E1055*'管线假设'!F1055*'管线假设'!G1055*IF(E4916="USD",'管线假设'!I1055,1)-AM4916</x:f>
        <x:v>0.030967199999999986</x:v>
      </x:c>
      <x:c r="M4916" s="11" t="n">
        <x:f>'管线假设'!H1055</x:f>
        <x:v>0.14</x:v>
      </x:c>
      <x:c r="N4916" s="11" t="n">
        <x:f>IF(G4916,L4916*AN4916/(1+M4916)^F4916,0)</x:f>
        <x:v>0.003338554079319852</x:v>
      </x:c>
      <x:c r="AJ4916" t="n">
        <x:v>0</x:v>
      </x:c>
      <x:c r="AK4916" t="n">
        <x:v>0</x:v>
      </x:c>
      <x:c r="AL4916" t="n">
        <x:v>0</x:v>
      </x:c>
      <x:c r="AM4916" t="n">
        <x:f>CHOOSE('假设'!$B$3,AJ4916,AK4916,AL4916)</x:f>
        <x:v>0</x:v>
      </x:c>
      <x:c r="AN4916" t="n">
        <x:v>1</x:v>
      </x:c>
    </x:row>
    <x:row r="4917" ht="23" customHeight="1">
      <x:c r="A4917" s="11" t="str">
        <x:v>688062.SH</x:v>
      </x:c>
      <x:c r="B4917" s="11" t="str">
        <x:v>2026年底</x:v>
      </x:c>
      <x:c r="C4917" s="11" t="str">
        <x:v>bfv_global</x:v>
      </x:c>
      <x:c r="D4917" s="11" t="str">
        <x:v>2044-12-31</x:v>
      </x:c>
      <x:c r="E4917" s="11" t="str">
        <x:v>USD</x:v>
      </x:c>
      <x:c r="F4917" s="11" t="n">
        <x:v>18.001368925393567</x:v>
      </x:c>
      <x:c r="G4917" s="26" t="b">
        <x:v>1</x:v>
      </x:c>
      <x:c r="H4917" s="16" t="n">
        <x:v>0.088</x:v>
      </x:c>
      <x:c r="I4917" s="16" t="n">
        <x:v>0</x:v>
      </x:c>
      <x:c r="J4917" s="16" t="n">
        <x:v>0</x:v>
      </x:c>
      <x:c r="K4917" s="11" t="n">
        <x:f>CHOOSE('假设'!$B$3,H4917,I4917,J4917)</x:f>
        <x:v>0</x:v>
      </x:c>
      <x:c r="L4917" s="11" t="n">
        <x:f>K4917*'管线假设'!E1055*'管线假设'!F1055*'管线假设'!G1055*IF(E4917="USD",'管线假设'!I1055,1)-AM4917</x:f>
        <x:v>0</x:v>
      </x:c>
      <x:c r="M4917" s="11" t="n">
        <x:f>'管线假设'!H1055</x:f>
        <x:v>0.14</x:v>
      </x:c>
      <x:c r="N4917" s="11" t="n">
        <x:f>IF(G4917,L4917*AN4917/(1+M4917)^F4917,0)</x:f>
        <x:v>0</x:v>
      </x:c>
      <x:c r="AJ4917" t="n">
        <x:v>0</x:v>
      </x:c>
      <x:c r="AK4917" t="n">
        <x:v>0</x:v>
      </x:c>
      <x:c r="AL4917" t="n">
        <x:v>0</x:v>
      </x:c>
      <x:c r="AM4917" t="n">
        <x:f>CHOOSE('假设'!$B$3,AJ4917,AK4917,AL4917)</x:f>
        <x:v>0</x:v>
      </x:c>
      <x:c r="AN4917" t="n">
        <x:v>1</x:v>
      </x:c>
    </x:row>
    <x:row r="4918" ht="23" customHeight="1">
      <x:c r="A4918" s="11" t="str">
        <x:v>688062.SH</x:v>
      </x:c>
      <x:c r="B4918" s="11" t="str">
        <x:v>2026年底</x:v>
      </x:c>
      <x:c r="C4918" s="11" t="str">
        <x:v>bfv_global</x:v>
      </x:c>
      <x:c r="D4918" s="11" t="str">
        <x:v>2045-12-31</x:v>
      </x:c>
      <x:c r="E4918" s="11" t="str">
        <x:v>USD</x:v>
      </x:c>
      <x:c r="F4918" s="11" t="n">
        <x:v>19.000684462696782</x:v>
      </x:c>
      <x:c r="G4918" s="26" t="b">
        <x:v>1</x:v>
      </x:c>
      <x:c r="H4918" s="16" t="n">
        <x:v>0.03599999999999999</x:v>
      </x:c>
      <x:c r="I4918" s="16" t="n">
        <x:v>0</x:v>
      </x:c>
      <x:c r="J4918" s="16" t="n">
        <x:v>0</x:v>
      </x:c>
      <x:c r="K4918" s="11" t="n">
        <x:f>CHOOSE('假设'!$B$3,H4918,I4918,J4918)</x:f>
        <x:v>0</x:v>
      </x:c>
      <x:c r="L4918" s="11" t="n">
        <x:f>K4918*'管线假设'!E1055*'管线假设'!F1055*'管线假设'!G1055*IF(E4918="USD",'管线假设'!I1055,1)-AM4918</x:f>
        <x:v>0</x:v>
      </x:c>
      <x:c r="M4918" s="11" t="n">
        <x:f>'管线假设'!H1055</x:f>
        <x:v>0.14</x:v>
      </x:c>
      <x:c r="N4918" s="11" t="n">
        <x:f>IF(G4918,L4918*AN4918/(1+M4918)^F4918,0)</x:f>
        <x:v>0</x:v>
      </x:c>
      <x:c r="AJ4918" t="n">
        <x:v>0</x:v>
      </x:c>
      <x:c r="AK4918" t="n">
        <x:v>0</x:v>
      </x:c>
      <x:c r="AL4918" t="n">
        <x:v>0</x:v>
      </x:c>
      <x:c r="AM4918" t="n">
        <x:f>CHOOSE('假设'!$B$3,AJ4918,AK4918,AL4918)</x:f>
        <x:v>0</x:v>
      </x:c>
      <x:c r="AN4918" t="n">
        <x:v>1</x:v>
      </x:c>
    </x:row>
    <x:row r="4919" ht="23" customHeight="1">
      <x:c r="A4919" s="11" t="str">
        <x:v>688062.SH</x:v>
      </x:c>
      <x:c r="B4919" s="11" t="str">
        <x:v>2026年底</x:v>
      </x:c>
      <x:c r="C4919" s="11" t="str">
        <x:v>b7h3</x:v>
      </x:c>
      <x:c r="D4919" s="11" t="str">
        <x:v>2027-12-31</x:v>
      </x:c>
      <x:c r="E4919" s="11" t="str">
        <x:v>CNY</x:v>
      </x:c>
      <x:c r="F4919" s="11" t="n">
        <x:v>0.999315537303217</x:v>
      </x:c>
      <x:c r="G4919" s="26" t="b">
        <x:v>1</x:v>
      </x:c>
      <x:c r="H4919" s="16" t="n">
        <x:v>0</x:v>
      </x:c>
      <x:c r="I4919" s="16" t="n">
        <x:v>0</x:v>
      </x:c>
      <x:c r="J4919" s="16" t="n">
        <x:v>0</x:v>
      </x:c>
      <x:c r="K4919" s="11" t="n">
        <x:f>CHOOSE('假设'!$B$3,H4919,I4919,J4919)</x:f>
        <x:v>0</x:v>
      </x:c>
      <x:c r="L4919" s="11" t="n">
        <x:f>K4919*'管线假设'!E1059*'管线假设'!F1059*'管线假设'!G1059*IF(E4919="USD",'管线假设'!I1059,1)-AM4919</x:f>
        <x:v>0</x:v>
      </x:c>
      <x:c r="M4919" s="11" t="n">
        <x:f>'管线假设'!H1059</x:f>
        <x:v>0.14</x:v>
      </x:c>
      <x:c r="N4919" s="11" t="n">
        <x:f>IF(G4919,L4919*AN4919/(1+M4919)^F4919,0)</x:f>
        <x:v>0</x:v>
      </x:c>
      <x:c r="AJ4919" t="n">
        <x:v>0</x:v>
      </x:c>
      <x:c r="AK4919" t="n">
        <x:v>0</x:v>
      </x:c>
      <x:c r="AL4919" t="n">
        <x:v>0</x:v>
      </x:c>
      <x:c r="AM4919" t="n">
        <x:f>CHOOSE('假设'!$B$3,AJ4919,AK4919,AL4919)</x:f>
        <x:v>0</x:v>
      </x:c>
      <x:c r="AN4919" t="n">
        <x:v>1</x:v>
      </x:c>
    </x:row>
    <x:row r="4920" ht="23" customHeight="1">
      <x:c r="A4920" s="11" t="str">
        <x:v>688062.SH</x:v>
      </x:c>
      <x:c r="B4920" s="11" t="str">
        <x:v>2026年底</x:v>
      </x:c>
      <x:c r="C4920" s="11" t="str">
        <x:v>b7h3</x:v>
      </x:c>
      <x:c r="D4920" s="11" t="str">
        <x:v>2028-12-31</x:v>
      </x:c>
      <x:c r="E4920" s="11" t="str">
        <x:v>CNY</x:v>
      </x:c>
      <x:c r="F4920" s="11" t="n">
        <x:v>2.001368925393566</x:v>
      </x:c>
      <x:c r="G4920" s="26" t="b">
        <x:v>1</x:v>
      </x:c>
      <x:c r="H4920" s="16" t="n">
        <x:v>0</x:v>
      </x:c>
      <x:c r="I4920" s="16" t="n">
        <x:v>0</x:v>
      </x:c>
      <x:c r="J4920" s="16" t="n">
        <x:v>0</x:v>
      </x:c>
      <x:c r="K4920" s="11" t="n">
        <x:f>CHOOSE('假设'!$B$3,H4920,I4920,J4920)</x:f>
        <x:v>0</x:v>
      </x:c>
      <x:c r="L4920" s="11" t="n">
        <x:f>K4920*'管线假设'!E1059*'管线假设'!F1059*'管线假设'!G1059*IF(E4920="USD",'管线假设'!I1059,1)-AM4920</x:f>
        <x:v>0</x:v>
      </x:c>
      <x:c r="M4920" s="11" t="n">
        <x:f>'管线假设'!H1059</x:f>
        <x:v>0.14</x:v>
      </x:c>
      <x:c r="N4920" s="11" t="n">
        <x:f>IF(G4920,L4920*AN4920/(1+M4920)^F4920,0)</x:f>
        <x:v>0</x:v>
      </x:c>
      <x:c r="AJ4920" t="n">
        <x:v>0</x:v>
      </x:c>
      <x:c r="AK4920" t="n">
        <x:v>0</x:v>
      </x:c>
      <x:c r="AL4920" t="n">
        <x:v>0</x:v>
      </x:c>
      <x:c r="AM4920" t="n">
        <x:f>CHOOSE('假设'!$B$3,AJ4920,AK4920,AL4920)</x:f>
        <x:v>0</x:v>
      </x:c>
      <x:c r="AN4920" t="n">
        <x:v>1</x:v>
      </x:c>
    </x:row>
    <x:row r="4921" ht="23" customHeight="1">
      <x:c r="A4921" s="11" t="str">
        <x:v>688062.SH</x:v>
      </x:c>
      <x:c r="B4921" s="11" t="str">
        <x:v>2026年底</x:v>
      </x:c>
      <x:c r="C4921" s="11" t="str">
        <x:v>b7h3</x:v>
      </x:c>
      <x:c r="D4921" s="11" t="str">
        <x:v>2029-12-31</x:v>
      </x:c>
      <x:c r="E4921" s="11" t="str">
        <x:v>CNY</x:v>
      </x:c>
      <x:c r="F4921" s="11" t="n">
        <x:v>3.0006844626967832</x:v>
      </x:c>
      <x:c r="G4921" s="26" t="b">
        <x:v>1</x:v>
      </x:c>
      <x:c r="H4921" s="16" t="n">
        <x:v>0</x:v>
      </x:c>
      <x:c r="I4921" s="16" t="n">
        <x:v>0</x:v>
      </x:c>
      <x:c r="J4921" s="16" t="n">
        <x:v>0.5</x:v>
      </x:c>
      <x:c r="K4921" s="11" t="n">
        <x:f>CHOOSE('假设'!$B$3,H4921,I4921,J4921)</x:f>
        <x:v>0</x:v>
      </x:c>
      <x:c r="L4921" s="11" t="n">
        <x:f>K4921*'管线假设'!E1059*'管线假设'!F1059*'管线假设'!G1059*IF(E4921="USD",'管线假设'!I1059,1)-AM4921</x:f>
        <x:v>0</x:v>
      </x:c>
      <x:c r="M4921" s="11" t="n">
        <x:f>'管线假设'!H1059</x:f>
        <x:v>0.14</x:v>
      </x:c>
      <x:c r="N4921" s="11" t="n">
        <x:f>IF(G4921,L4921*AN4921/(1+M4921)^F4921,0)</x:f>
        <x:v>0</x:v>
      </x:c>
      <x:c r="AJ4921" t="n">
        <x:v>0</x:v>
      </x:c>
      <x:c r="AK4921" t="n">
        <x:v>0</x:v>
      </x:c>
      <x:c r="AL4921" t="n">
        <x:v>0</x:v>
      </x:c>
      <x:c r="AM4921" t="n">
        <x:f>CHOOSE('假设'!$B$3,AJ4921,AK4921,AL4921)</x:f>
        <x:v>0</x:v>
      </x:c>
      <x:c r="AN4921" t="n">
        <x:v>1</x:v>
      </x:c>
    </x:row>
    <x:row r="4922" ht="23" customHeight="1">
      <x:c r="A4922" s="11" t="str">
        <x:v>688062.SH</x:v>
      </x:c>
      <x:c r="B4922" s="11" t="str">
        <x:v>2026年底</x:v>
      </x:c>
      <x:c r="C4922" s="11" t="str">
        <x:v>b7h3</x:v>
      </x:c>
      <x:c r="D4922" s="11" t="str">
        <x:v>2030-12-31</x:v>
      </x:c>
      <x:c r="E4922" s="11" t="str">
        <x:v>CNY</x:v>
      </x:c>
      <x:c r="F4922" s="11" t="n">
        <x:v>4</x:v>
      </x:c>
      <x:c r="G4922" s="26" t="b">
        <x:v>1</x:v>
      </x:c>
      <x:c r="H4922" s="16" t="n">
        <x:v>0</x:v>
      </x:c>
      <x:c r="I4922" s="16" t="n">
        <x:v>0</x:v>
      </x:c>
      <x:c r="J4922" s="16" t="n">
        <x:v>1</x:v>
      </x:c>
      <x:c r="K4922" s="11" t="n">
        <x:f>CHOOSE('假设'!$B$3,H4922,I4922,J4922)</x:f>
        <x:v>0</x:v>
      </x:c>
      <x:c r="L4922" s="11" t="n">
        <x:f>K4922*'管线假设'!E1059*'管线假设'!F1059*'管线假设'!G1059*IF(E4922="USD",'管线假设'!I1059,1)-AM4922</x:f>
        <x:v>0</x:v>
      </x:c>
      <x:c r="M4922" s="11" t="n">
        <x:f>'管线假设'!H1059</x:f>
        <x:v>0.14</x:v>
      </x:c>
      <x:c r="N4922" s="11" t="n">
        <x:f>IF(G4922,L4922*AN4922/(1+M4922)^F4922,0)</x:f>
        <x:v>0</x:v>
      </x:c>
      <x:c r="AJ4922" t="n">
        <x:v>0</x:v>
      </x:c>
      <x:c r="AK4922" t="n">
        <x:v>0</x:v>
      </x:c>
      <x:c r="AL4922" t="n">
        <x:v>0</x:v>
      </x:c>
      <x:c r="AM4922" t="n">
        <x:f>CHOOSE('假设'!$B$3,AJ4922,AK4922,AL4922)</x:f>
        <x:v>0</x:v>
      </x:c>
      <x:c r="AN4922" t="n">
        <x:v>1</x:v>
      </x:c>
    </x:row>
    <x:row r="4923" ht="23" customHeight="1">
      <x:c r="A4923" s="11" t="str">
        <x:v>688062.SH</x:v>
      </x:c>
      <x:c r="B4923" s="11" t="str">
        <x:v>2026年底</x:v>
      </x:c>
      <x:c r="C4923" s="11" t="str">
        <x:v>b7h3</x:v>
      </x:c>
      <x:c r="D4923" s="11" t="str">
        <x:v>2031-12-31</x:v>
      </x:c>
      <x:c r="E4923" s="11" t="str">
        <x:v>CNY</x:v>
      </x:c>
      <x:c r="F4923" s="11" t="n">
        <x:v>4.999315537303217</x:v>
      </x:c>
      <x:c r="G4923" s="26" t="b">
        <x:v>1</x:v>
      </x:c>
      <x:c r="H4923" s="16" t="n">
        <x:v>0</x:v>
      </x:c>
      <x:c r="I4923" s="16" t="n">
        <x:v>0.3</x:v>
      </x:c>
      <x:c r="J4923" s="16" t="n">
        <x:v>1.5</x:v>
      </x:c>
      <x:c r="K4923" s="11" t="n">
        <x:f>CHOOSE('假设'!$B$3,H4923,I4923,J4923)</x:f>
        <x:v>0.3</x:v>
      </x:c>
      <x:c r="L4923" s="11" t="n">
        <x:f>K4923*'管线假设'!E1059*'管线假设'!F1059*'管线假设'!G1059*IF(E4923="USD",'管线假设'!I1059,1)-AM4923</x:f>
        <x:v>0.019799999999999995</x:v>
      </x:c>
      <x:c r="M4923" s="11" t="n">
        <x:f>'管线假设'!H1059</x:f>
        <x:v>0.14</x:v>
      </x:c>
      <x:c r="N4923" s="11" t="n">
        <x:f>IF(G4923,L4923*AN4923/(1+M4923)^F4923,0)</x:f>
        <x:v>0.010284421860622252</x:v>
      </x:c>
      <x:c r="AJ4923" t="n">
        <x:v>0</x:v>
      </x:c>
      <x:c r="AK4923" t="n">
        <x:v>0</x:v>
      </x:c>
      <x:c r="AL4923" t="n">
        <x:v>0</x:v>
      </x:c>
      <x:c r="AM4923" t="n">
        <x:f>CHOOSE('假设'!$B$3,AJ4923,AK4923,AL4923)</x:f>
        <x:v>0</x:v>
      </x:c>
      <x:c r="AN4923" t="n">
        <x:v>1</x:v>
      </x:c>
    </x:row>
    <x:row r="4924" ht="23" customHeight="1">
      <x:c r="A4924" s="11" t="str">
        <x:v>688062.SH</x:v>
      </x:c>
      <x:c r="B4924" s="11" t="str">
        <x:v>2026年底</x:v>
      </x:c>
      <x:c r="C4924" s="11" t="str">
        <x:v>b7h3</x:v>
      </x:c>
      <x:c r="D4924" s="11" t="str">
        <x:v>2032-12-31</x:v>
      </x:c>
      <x:c r="E4924" s="11" t="str">
        <x:v>CNY</x:v>
      </x:c>
      <x:c r="F4924" s="11" t="n">
        <x:v>6.0013689253935665</x:v>
      </x:c>
      <x:c r="G4924" s="26" t="b">
        <x:v>1</x:v>
      </x:c>
      <x:c r="H4924" s="16" t="n">
        <x:v>0</x:v>
      </x:c>
      <x:c r="I4924" s="16" t="n">
        <x:v>0.6</x:v>
      </x:c>
      <x:c r="J4924" s="16" t="n">
        <x:v>2</x:v>
      </x:c>
      <x:c r="K4924" s="11" t="n">
        <x:f>CHOOSE('假设'!$B$3,H4924,I4924,J4924)</x:f>
        <x:v>0.6</x:v>
      </x:c>
      <x:c r="L4924" s="11" t="n">
        <x:f>K4924*'管线假设'!E1059*'管线假设'!F1059*'管线假设'!G1059*IF(E4924="USD",'管线假设'!I1059,1)-AM4924</x:f>
        <x:v>0.03959999999999999</x:v>
      </x:c>
      <x:c r="M4924" s="11" t="n">
        <x:f>'管线假设'!H1059</x:f>
        <x:v>0.14</x:v>
      </x:c>
      <x:c r="N4924" s="11" t="n">
        <x:f>IF(G4924,L4924*AN4924/(1+M4924)^F4924,0)</x:f>
        <x:v>0.01803799156115474</x:v>
      </x:c>
      <x:c r="AJ4924" t="n">
        <x:v>0</x:v>
      </x:c>
      <x:c r="AK4924" t="n">
        <x:v>0</x:v>
      </x:c>
      <x:c r="AL4924" t="n">
        <x:v>0</x:v>
      </x:c>
      <x:c r="AM4924" t="n">
        <x:f>CHOOSE('假设'!$B$3,AJ4924,AK4924,AL4924)</x:f>
        <x:v>0</x:v>
      </x:c>
      <x:c r="AN4924" t="n">
        <x:v>1</x:v>
      </x:c>
    </x:row>
    <x:row r="4925" ht="23" customHeight="1">
      <x:c r="A4925" s="11" t="str">
        <x:v>688062.SH</x:v>
      </x:c>
      <x:c r="B4925" s="11" t="str">
        <x:v>2026年底</x:v>
      </x:c>
      <x:c r="C4925" s="11" t="str">
        <x:v>b7h3</x:v>
      </x:c>
      <x:c r="D4925" s="11" t="str">
        <x:v>2033-12-31</x:v>
      </x:c>
      <x:c r="E4925" s="11" t="str">
        <x:v>CNY</x:v>
      </x:c>
      <x:c r="F4925" s="11" t="n">
        <x:v>7.000684462696783</x:v>
      </x:c>
      <x:c r="G4925" s="26" t="b">
        <x:v>1</x:v>
      </x:c>
      <x:c r="H4925" s="16" t="n">
        <x:v>0</x:v>
      </x:c>
      <x:c r="I4925" s="16" t="n">
        <x:v>0.9</x:v>
      </x:c>
      <x:c r="J4925" s="16" t="n">
        <x:v>2.5</x:v>
      </x:c>
      <x:c r="K4925" s="11" t="n">
        <x:f>CHOOSE('假设'!$B$3,H4925,I4925,J4925)</x:f>
        <x:v>0.9</x:v>
      </x:c>
      <x:c r="L4925" s="11" t="n">
        <x:f>K4925*'管线假设'!E1059*'管线假设'!F1059*'管线假设'!G1059*IF(E4925="USD",'管线假设'!I1059,1)-AM4925</x:f>
        <x:v>0.059399999999999994</x:v>
      </x:c>
      <x:c r="M4925" s="11" t="n">
        <x:f>'管线假设'!H1059</x:f>
        <x:v>0.14</x:v>
      </x:c>
      <x:c r="N4925" s="11" t="n">
        <x:f>IF(G4925,L4925*AN4925/(1+M4925)^F4925,0)</x:f>
        <x:v>0.0237363280949649</x:v>
      </x:c>
      <x:c r="AJ4925" t="n">
        <x:v>0</x:v>
      </x:c>
      <x:c r="AK4925" t="n">
        <x:v>0</x:v>
      </x:c>
      <x:c r="AL4925" t="n">
        <x:v>0</x:v>
      </x:c>
      <x:c r="AM4925" t="n">
        <x:f>CHOOSE('假设'!$B$3,AJ4925,AK4925,AL4925)</x:f>
        <x:v>0</x:v>
      </x:c>
      <x:c r="AN4925" t="n">
        <x:v>1</x:v>
      </x:c>
    </x:row>
    <x:row r="4926" ht="23" customHeight="1">
      <x:c r="A4926" s="11" t="str">
        <x:v>688062.SH</x:v>
      </x:c>
      <x:c r="B4926" s="11" t="str">
        <x:v>2026年底</x:v>
      </x:c>
      <x:c r="C4926" s="11" t="str">
        <x:v>b7h3</x:v>
      </x:c>
      <x:c r="D4926" s="11" t="str">
        <x:v>2034-12-31</x:v>
      </x:c>
      <x:c r="E4926" s="11" t="str">
        <x:v>CNY</x:v>
      </x:c>
      <x:c r="F4926" s="11" t="n">
        <x:v>8</x:v>
      </x:c>
      <x:c r="G4926" s="26" t="b">
        <x:v>1</x:v>
      </x:c>
      <x:c r="H4926" s="16" t="n">
        <x:v>0.13999999999999999</x:v>
      </x:c>
      <x:c r="I4926" s="16" t="n">
        <x:v>1.2</x:v>
      </x:c>
      <x:c r="J4926" s="16" t="n">
        <x:v>3</x:v>
      </x:c>
      <x:c r="K4926" s="11" t="n">
        <x:f>CHOOSE('假设'!$B$3,H4926,I4926,J4926)</x:f>
        <x:v>1.2</x:v>
      </x:c>
      <x:c r="L4926" s="11" t="n">
        <x:f>K4926*'管线假设'!E1059*'管线假设'!F1059*'管线假设'!G1059*IF(E4926="USD",'管线假设'!I1059,1)-AM4926</x:f>
        <x:v>0.07919999999999998</x:v>
      </x:c>
      <x:c r="M4926" s="11" t="n">
        <x:f>'管线假设'!H1059</x:f>
        <x:v>0.14</x:v>
      </x:c>
      <x:c r="N4926" s="11" t="n">
        <x:f>IF(G4926,L4926*AN4926/(1+M4926)^F4926,0)</x:f>
        <x:v>0.027764277144180224</x:v>
      </x:c>
      <x:c r="AJ4926" t="n">
        <x:v>0</x:v>
      </x:c>
      <x:c r="AK4926" t="n">
        <x:v>0</x:v>
      </x:c>
      <x:c r="AL4926" t="n">
        <x:v>0</x:v>
      </x:c>
      <x:c r="AM4926" t="n">
        <x:f>CHOOSE('假设'!$B$3,AJ4926,AK4926,AL4926)</x:f>
        <x:v>0</x:v>
      </x:c>
      <x:c r="AN4926" t="n">
        <x:v>1</x:v>
      </x:c>
    </x:row>
    <x:row r="4927" ht="23" customHeight="1">
      <x:c r="A4927" s="11" t="str">
        <x:v>688062.SH</x:v>
      </x:c>
      <x:c r="B4927" s="11" t="str">
        <x:v>2026年底</x:v>
      </x:c>
      <x:c r="C4927" s="11" t="str">
        <x:v>b7h3</x:v>
      </x:c>
      <x:c r="D4927" s="11" t="str">
        <x:v>2035-12-31</x:v>
      </x:c>
      <x:c r="E4927" s="11" t="str">
        <x:v>CNY</x:v>
      </x:c>
      <x:c r="F4927" s="11" t="n">
        <x:v>8.999315537303216</x:v>
      </x:c>
      <x:c r="G4927" s="26" t="b">
        <x:v>1</x:v>
      </x:c>
      <x:c r="H4927" s="16" t="n">
        <x:v>0.27999999999999997</x:v>
      </x:c>
      <x:c r="I4927" s="16" t="n">
        <x:v>1.5</x:v>
      </x:c>
      <x:c r="J4927" s="16" t="n">
        <x:v>2.61</x:v>
      </x:c>
      <x:c r="K4927" s="11" t="n">
        <x:f>CHOOSE('假设'!$B$3,H4927,I4927,J4927)</x:f>
        <x:v>1.5</x:v>
      </x:c>
      <x:c r="L4927" s="11" t="n">
        <x:f>K4927*'管线假设'!E1059*'管线假设'!F1059*'管线假设'!G1059*IF(E4927="USD",'管线假设'!I1059,1)-AM4927</x:f>
        <x:v>0.09899999999999999</x:v>
      </x:c>
      <x:c r="M4927" s="11" t="n">
        <x:f>'管线假设'!H1059</x:f>
        <x:v>0.14</x:v>
      </x:c>
      <x:c r="N4927" s="11" t="n">
        <x:f>IF(G4927,L4927*AN4927/(1+M4927)^F4927,0)</x:f>
        <x:v>0.030446016739146327</x:v>
      </x:c>
      <x:c r="AJ4927" t="n">
        <x:v>0</x:v>
      </x:c>
      <x:c r="AK4927" t="n">
        <x:v>0</x:v>
      </x:c>
      <x:c r="AL4927" t="n">
        <x:v>0</x:v>
      </x:c>
      <x:c r="AM4927" t="n">
        <x:f>CHOOSE('假设'!$B$3,AJ4927,AK4927,AL4927)</x:f>
        <x:v>0</x:v>
      </x:c>
      <x:c r="AN4927" t="n">
        <x:v>1</x:v>
      </x:c>
    </x:row>
    <x:row r="4928" ht="23" customHeight="1">
      <x:c r="A4928" s="11" t="str">
        <x:v>688062.SH</x:v>
      </x:c>
      <x:c r="B4928" s="11" t="str">
        <x:v>2026年底</x:v>
      </x:c>
      <x:c r="C4928" s="11" t="str">
        <x:v>b7h3</x:v>
      </x:c>
      <x:c r="D4928" s="11" t="str">
        <x:v>2036-12-31</x:v>
      </x:c>
      <x:c r="E4928" s="11" t="str">
        <x:v>CNY</x:v>
      </x:c>
      <x:c r="F4928" s="11" t="n">
        <x:v>10.001368925393566</x:v>
      </x:c>
      <x:c r="G4928" s="26" t="b">
        <x:v>1</x:v>
      </x:c>
      <x:c r="H4928" s="16" t="n">
        <x:v>0.42</x:v>
      </x:c>
      <x:c r="I4928" s="16" t="n">
        <x:v>1.8</x:v>
      </x:c>
      <x:c r="J4928" s="16" t="n">
        <x:v>2.2199999999999998</x:v>
      </x:c>
      <x:c r="K4928" s="11" t="n">
        <x:f>CHOOSE('假设'!$B$3,H4928,I4928,J4928)</x:f>
        <x:v>1.8</x:v>
      </x:c>
      <x:c r="L4928" s="11" t="n">
        <x:f>K4928*'管线假设'!E1059*'管线假设'!F1059*'管线假设'!G1059*IF(E4928="USD",'管线假设'!I1059,1)-AM4928</x:f>
        <x:v>0.11879999999999999</x:v>
      </x:c>
      <x:c r="M4928" s="11" t="n">
        <x:f>'管线假设'!H1059</x:f>
        <x:v>0.14</x:v>
      </x:c>
      <x:c r="N4928" s="11" t="n">
        <x:f>IF(G4928,L4928*AN4928/(1+M4928)^F4928,0)</x:f>
        <x:v>0.032039817140188914</x:v>
      </x:c>
      <x:c r="AJ4928" t="n">
        <x:v>0</x:v>
      </x:c>
      <x:c r="AK4928" t="n">
        <x:v>0</x:v>
      </x:c>
      <x:c r="AL4928" t="n">
        <x:v>0</x:v>
      </x:c>
      <x:c r="AM4928" t="n">
        <x:f>CHOOSE('假设'!$B$3,AJ4928,AK4928,AL4928)</x:f>
        <x:v>0</x:v>
      </x:c>
      <x:c r="AN4928" t="n">
        <x:v>1</x:v>
      </x:c>
    </x:row>
    <x:row r="4929" ht="23" customHeight="1">
      <x:c r="A4929" s="11" t="str">
        <x:v>688062.SH</x:v>
      </x:c>
      <x:c r="B4929" s="11" t="str">
        <x:v>2026年底</x:v>
      </x:c>
      <x:c r="C4929" s="11" t="str">
        <x:v>b7h3</x:v>
      </x:c>
      <x:c r="D4929" s="11" t="str">
        <x:v>2037-12-31</x:v>
      </x:c>
      <x:c r="E4929" s="11" t="str">
        <x:v>CNY</x:v>
      </x:c>
      <x:c r="F4929" s="11" t="n">
        <x:v>11.000684462696784</x:v>
      </x:c>
      <x:c r="G4929" s="26" t="b">
        <x:v>1</x:v>
      </x:c>
      <x:c r="H4929" s="16" t="n">
        <x:v>0.5599999999999999</x:v>
      </x:c>
      <x:c r="I4929" s="16" t="n">
        <x:v>1.566</x:v>
      </x:c>
      <x:c r="J4929" s="16" t="n">
        <x:v>1.83</x:v>
      </x:c>
      <x:c r="K4929" s="11" t="n">
        <x:f>CHOOSE('假设'!$B$3,H4929,I4929,J4929)</x:f>
        <x:v>1.566</x:v>
      </x:c>
      <x:c r="L4929" s="11" t="n">
        <x:f>K4929*'管线假设'!E1059*'管线假设'!F1059*'管线假设'!G1059*IF(E4929="USD",'管线假设'!I1059,1)-AM4929</x:f>
        <x:v>0.10335599999999999</x:v>
      </x:c>
      <x:c r="M4929" s="11" t="n">
        <x:f>'管线假设'!H1059</x:f>
        <x:v>0.14</x:v>
      </x:c>
      <x:c r="N4929" s="11" t="n">
        <x:f>IF(G4929,L4929*AN4929/(1+M4929)^F4929,0)</x:f>
        <x:v>0.02445363239665695</x:v>
      </x:c>
      <x:c r="AJ4929" t="n">
        <x:v>0</x:v>
      </x:c>
      <x:c r="AK4929" t="n">
        <x:v>0</x:v>
      </x:c>
      <x:c r="AL4929" t="n">
        <x:v>0</x:v>
      </x:c>
      <x:c r="AM4929" t="n">
        <x:f>CHOOSE('假设'!$B$3,AJ4929,AK4929,AL4929)</x:f>
        <x:v>0</x:v>
      </x:c>
      <x:c r="AN4929" t="n">
        <x:v>1</x:v>
      </x:c>
    </x:row>
    <x:row r="4930" ht="23" customHeight="1">
      <x:c r="A4930" s="11" t="str">
        <x:v>688062.SH</x:v>
      </x:c>
      <x:c r="B4930" s="11" t="str">
        <x:v>2026年底</x:v>
      </x:c>
      <x:c r="C4930" s="11" t="str">
        <x:v>b7h3</x:v>
      </x:c>
      <x:c r="D4930" s="11" t="str">
        <x:v>2038-12-31</x:v>
      </x:c>
      <x:c r="E4930" s="11" t="str">
        <x:v>CNY</x:v>
      </x:c>
      <x:c r="F4930" s="11" t="n">
        <x:v>12</x:v>
      </x:c>
      <x:c r="G4930" s="26" t="b">
        <x:v>1</x:v>
      </x:c>
      <x:c r="H4930" s="16" t="n">
        <x:v>0.7</x:v>
      </x:c>
      <x:c r="I4930" s="16" t="n">
        <x:v>1.332</x:v>
      </x:c>
      <x:c r="J4930" s="16" t="n">
        <x:v>1.44</x:v>
      </x:c>
      <x:c r="K4930" s="11" t="n">
        <x:f>CHOOSE('假设'!$B$3,H4930,I4930,J4930)</x:f>
        <x:v>1.332</x:v>
      </x:c>
      <x:c r="L4930" s="11" t="n">
        <x:f>K4930*'管线假设'!E1059*'管线假设'!F1059*'管线假设'!G1059*IF(E4930="USD",'管线假设'!I1059,1)-AM4930</x:f>
        <x:v>0.08791199999999999</x:v>
      </x:c>
      <x:c r="M4930" s="11" t="n">
        <x:f>'管线假设'!H1059</x:f>
        <x:v>0.14</x:v>
      </x:c>
      <x:c r="N4930" s="11" t="n">
        <x:f>IF(G4930,L4930*AN4930/(1+M4930)^F4930,0)</x:f>
        <x:v>0.018246935812885036</x:v>
      </x:c>
      <x:c r="AJ4930" t="n">
        <x:v>0</x:v>
      </x:c>
      <x:c r="AK4930" t="n">
        <x:v>0</x:v>
      </x:c>
      <x:c r="AL4930" t="n">
        <x:v>0</x:v>
      </x:c>
      <x:c r="AM4930" t="n">
        <x:f>CHOOSE('假设'!$B$3,AJ4930,AK4930,AL4930)</x:f>
        <x:v>0</x:v>
      </x:c>
      <x:c r="AN4930" t="n">
        <x:v>1</x:v>
      </x:c>
    </x:row>
    <x:row r="4931" ht="23" customHeight="1">
      <x:c r="A4931" s="11" t="str">
        <x:v>688062.SH</x:v>
      </x:c>
      <x:c r="B4931" s="11" t="str">
        <x:v>2026年底</x:v>
      </x:c>
      <x:c r="C4931" s="11" t="str">
        <x:v>b7h3</x:v>
      </x:c>
      <x:c r="D4931" s="11" t="str">
        <x:v>2039-12-31</x:v>
      </x:c>
      <x:c r="E4931" s="11" t="str">
        <x:v>CNY</x:v>
      </x:c>
      <x:c r="F4931" s="11" t="n">
        <x:v>12.999315537303216</x:v>
      </x:c>
      <x:c r="G4931" s="26" t="b">
        <x:v>1</x:v>
      </x:c>
      <x:c r="H4931" s="16" t="n">
        <x:v>0.609</x:v>
      </x:c>
      <x:c r="I4931" s="16" t="n">
        <x:v>1.098</x:v>
      </x:c>
      <x:c r="J4931" s="16" t="n">
        <x:v>1.0499999999999998</x:v>
      </x:c>
      <x:c r="K4931" s="11" t="n">
        <x:f>CHOOSE('假设'!$B$3,H4931,I4931,J4931)</x:f>
        <x:v>1.098</x:v>
      </x:c>
      <x:c r="L4931" s="11" t="n">
        <x:f>K4931*'管线假设'!E1059*'管线假设'!F1059*'管线假设'!G1059*IF(E4931="USD",'管线假设'!I1059,1)-AM4931</x:f>
        <x:v>0.07246799999999999</x:v>
      </x:c>
      <x:c r="M4931" s="11" t="n">
        <x:f>'管线假设'!H1059</x:f>
        <x:v>0.14</x:v>
      </x:c>
      <x:c r="N4931" s="11" t="n">
        <x:f>IF(G4931,L4931*AN4931/(1+M4931)^F4931,0)</x:f>
        <x:v>0.013195387778155229</x:v>
      </x:c>
      <x:c r="AJ4931" t="n">
        <x:v>0</x:v>
      </x:c>
      <x:c r="AK4931" t="n">
        <x:v>0</x:v>
      </x:c>
      <x:c r="AL4931" t="n">
        <x:v>0</x:v>
      </x:c>
      <x:c r="AM4931" t="n">
        <x:f>CHOOSE('假设'!$B$3,AJ4931,AK4931,AL4931)</x:f>
        <x:v>0</x:v>
      </x:c>
      <x:c r="AN4931" t="n">
        <x:v>1</x:v>
      </x:c>
    </x:row>
    <x:row r="4932" ht="23" customHeight="1">
      <x:c r="A4932" s="11" t="str">
        <x:v>688062.SH</x:v>
      </x:c>
      <x:c r="B4932" s="11" t="str">
        <x:v>2026年底</x:v>
      </x:c>
      <x:c r="C4932" s="11" t="str">
        <x:v>b7h3</x:v>
      </x:c>
      <x:c r="D4932" s="11" t="str">
        <x:v>2040-12-31</x:v>
      </x:c>
      <x:c r="E4932" s="11" t="str">
        <x:v>CNY</x:v>
      </x:c>
      <x:c r="F4932" s="11" t="n">
        <x:v>14.001368925393566</x:v>
      </x:c>
      <x:c r="G4932" s="26" t="b">
        <x:v>1</x:v>
      </x:c>
      <x:c r="H4932" s="16" t="n">
        <x:v>0.518</x:v>
      </x:c>
      <x:c r="I4932" s="16" t="n">
        <x:v>0.864</x:v>
      </x:c>
      <x:c r="J4932" s="16" t="n">
        <x:v>0.6599999999999999</x:v>
      </x:c>
      <x:c r="K4932" s="11" t="n">
        <x:f>CHOOSE('假设'!$B$3,H4932,I4932,J4932)</x:f>
        <x:v>0.864</x:v>
      </x:c>
      <x:c r="L4932" s="11" t="n">
        <x:f>K4932*'管线假设'!E1059*'管线假设'!F1059*'管线假设'!G1059*IF(E4932="USD",'管线假设'!I1059,1)-AM4932</x:f>
        <x:v>0.05702399999999999</x:v>
      </x:c>
      <x:c r="M4932" s="11" t="n">
        <x:f>'管线假设'!H1059</x:f>
        <x:v>0.14</x:v>
      </x:c>
      <x:c r="N4932" s="11" t="n">
        <x:f>IF(G4932,L4932*AN4932/(1+M4932)^F4932,0)</x:f>
        <x:v>0.009105669033241537</x:v>
      </x:c>
      <x:c r="AJ4932" t="n">
        <x:v>0</x:v>
      </x:c>
      <x:c r="AK4932" t="n">
        <x:v>0</x:v>
      </x:c>
      <x:c r="AL4932" t="n">
        <x:v>0</x:v>
      </x:c>
      <x:c r="AM4932" t="n">
        <x:f>CHOOSE('假设'!$B$3,AJ4932,AK4932,AL4932)</x:f>
        <x:v>0</x:v>
      </x:c>
      <x:c r="AN4932" t="n">
        <x:v>1</x:v>
      </x:c>
    </x:row>
    <x:row r="4933" ht="23" customHeight="1">
      <x:c r="A4933" s="11" t="str">
        <x:v>688062.SH</x:v>
      </x:c>
      <x:c r="B4933" s="11" t="str">
        <x:v>2026年底</x:v>
      </x:c>
      <x:c r="C4933" s="11" t="str">
        <x:v>b7h3</x:v>
      </x:c>
      <x:c r="D4933" s="11" t="str">
        <x:v>2041-12-31</x:v>
      </x:c>
      <x:c r="E4933" s="11" t="str">
        <x:v>CNY</x:v>
      </x:c>
      <x:c r="F4933" s="11" t="n">
        <x:v>15.000684462696784</x:v>
      </x:c>
      <x:c r="G4933" s="26" t="b">
        <x:v>1</x:v>
      </x:c>
      <x:c r="H4933" s="16" t="n">
        <x:v>0.427</x:v>
      </x:c>
      <x:c r="I4933" s="16" t="n">
        <x:v>0.63</x:v>
      </x:c>
      <x:c r="J4933" s="16" t="n">
        <x:v>0.2699999999999999</x:v>
      </x:c>
      <x:c r="K4933" s="11" t="n">
        <x:f>CHOOSE('假设'!$B$3,H4933,I4933,J4933)</x:f>
        <x:v>0.63</x:v>
      </x:c>
      <x:c r="L4933" s="11" t="n">
        <x:f>K4933*'管线假设'!E1059*'管线假设'!F1059*'管线假设'!G1059*IF(E4933="USD",'管线假设'!I1059,1)-AM4933</x:f>
        <x:v>0.04157999999999999</x:v>
      </x:c>
      <x:c r="M4933" s="11" t="n">
        <x:f>'管线假设'!H1059</x:f>
        <x:v>0.14</x:v>
      </x:c>
      <x:c r="N4933" s="11" t="n">
        <x:f>IF(G4933,L4933*AN4933/(1+M4933)^F4933,0)</x:f>
        <x:v>0.005824689319818913</x:v>
      </x:c>
      <x:c r="AJ4933" t="n">
        <x:v>0</x:v>
      </x:c>
      <x:c r="AK4933" t="n">
        <x:v>0</x:v>
      </x:c>
      <x:c r="AL4933" t="n">
        <x:v>0</x:v>
      </x:c>
      <x:c r="AM4933" t="n">
        <x:f>CHOOSE('假设'!$B$3,AJ4933,AK4933,AL4933)</x:f>
        <x:v>0</x:v>
      </x:c>
      <x:c r="AN4933" t="n">
        <x:v>1</x:v>
      </x:c>
    </x:row>
    <x:row r="4934" ht="23" customHeight="1">
      <x:c r="A4934" s="11" t="str">
        <x:v>688062.SH</x:v>
      </x:c>
      <x:c r="B4934" s="11" t="str">
        <x:v>2026年底</x:v>
      </x:c>
      <x:c r="C4934" s="11" t="str">
        <x:v>b7h3</x:v>
      </x:c>
      <x:c r="D4934" s="11" t="str">
        <x:v>2042-12-31</x:v>
      </x:c>
      <x:c r="E4934" s="11" t="str">
        <x:v>CNY</x:v>
      </x:c>
      <x:c r="F4934" s="11" t="n">
        <x:v>16</x:v>
      </x:c>
      <x:c r="G4934" s="26" t="b">
        <x:v>1</x:v>
      </x:c>
      <x:c r="H4934" s="16" t="n">
        <x:v>0.33599999999999997</x:v>
      </x:c>
      <x:c r="I4934" s="16" t="n">
        <x:v>0.39599999999999996</x:v>
      </x:c>
      <x:c r="J4934" s="16" t="n">
        <x:v>0</x:v>
      </x:c>
      <x:c r="K4934" s="11" t="n">
        <x:f>CHOOSE('假设'!$B$3,H4934,I4934,J4934)</x:f>
        <x:v>0.39599999999999996</x:v>
      </x:c>
      <x:c r="L4934" s="11" t="n">
        <x:f>K4934*'管线假设'!E1059*'管线假设'!F1059*'管线假设'!G1059*IF(E4934="USD",'管线假设'!I1059,1)-AM4934</x:f>
        <x:v>0.026135999999999993</x:v>
      </x:c>
      <x:c r="M4934" s="11" t="n">
        <x:f>'管线假设'!H1059</x:f>
        <x:v>0.14</x:v>
      </x:c>
      <x:c r="N4934" s="11" t="n">
        <x:f>IF(G4934,L4934*AN4934/(1+M4934)^F4934,0)</x:f>
        <x:v>0.003211896188911869</x:v>
      </x:c>
      <x:c r="AJ4934" t="n">
        <x:v>0</x:v>
      </x:c>
      <x:c r="AK4934" t="n">
        <x:v>0</x:v>
      </x:c>
      <x:c r="AL4934" t="n">
        <x:v>0</x:v>
      </x:c>
      <x:c r="AM4934" t="n">
        <x:f>CHOOSE('假设'!$B$3,AJ4934,AK4934,AL4934)</x:f>
        <x:v>0</x:v>
      </x:c>
      <x:c r="AN4934" t="n">
        <x:v>1</x:v>
      </x:c>
    </x:row>
    <x:row r="4935" ht="23" customHeight="1">
      <x:c r="A4935" s="11" t="str">
        <x:v>688062.SH</x:v>
      </x:c>
      <x:c r="B4935" s="11" t="str">
        <x:v>2026年底</x:v>
      </x:c>
      <x:c r="C4935" s="11" t="str">
        <x:v>b7h3</x:v>
      </x:c>
      <x:c r="D4935" s="11" t="str">
        <x:v>2043-12-31</x:v>
      </x:c>
      <x:c r="E4935" s="11" t="str">
        <x:v>CNY</x:v>
      </x:c>
      <x:c r="F4935" s="11" t="n">
        <x:v>16.999315537303218</x:v>
      </x:c>
      <x:c r="G4935" s="26" t="b">
        <x:v>1</x:v>
      </x:c>
      <x:c r="H4935" s="16" t="n">
        <x:v>0.24499999999999997</x:v>
      </x:c>
      <x:c r="I4935" s="16" t="n">
        <x:v>0.16199999999999995</x:v>
      </x:c>
      <x:c r="J4935" s="16" t="n">
        <x:v>0</x:v>
      </x:c>
      <x:c r="K4935" s="11" t="n">
        <x:f>CHOOSE('假设'!$B$3,H4935,I4935,J4935)</x:f>
        <x:v>0.16199999999999995</x:v>
      </x:c>
      <x:c r="L4935" s="11" t="n">
        <x:f>K4935*'管线假设'!E1059*'管线假设'!F1059*'管线假设'!G1059*IF(E4935="USD",'管线假设'!I1059,1)-AM4935</x:f>
        <x:v>0.010691999999999995</x:v>
      </x:c>
      <x:c r="M4935" s="11" t="n">
        <x:f>'管线假设'!H1059</x:f>
        <x:v>0.14</x:v>
      </x:c>
      <x:c r="N4935" s="11" t="n">
        <x:f>IF(G4935,L4935*AN4935/(1+M4935)^F4935,0)</x:f>
        <x:v>0.0011526977000209208</x:v>
      </x:c>
      <x:c r="AJ4935" t="n">
        <x:v>0</x:v>
      </x:c>
      <x:c r="AK4935" t="n">
        <x:v>0</x:v>
      </x:c>
      <x:c r="AL4935" t="n">
        <x:v>0</x:v>
      </x:c>
      <x:c r="AM4935" t="n">
        <x:f>CHOOSE('假设'!$B$3,AJ4935,AK4935,AL4935)</x:f>
        <x:v>0</x:v>
      </x:c>
      <x:c r="AN4935" t="n">
        <x:v>1</x:v>
      </x:c>
    </x:row>
    <x:row r="4936" ht="23" customHeight="1">
      <x:c r="A4936" s="11" t="str">
        <x:v>688062.SH</x:v>
      </x:c>
      <x:c r="B4936" s="11" t="str">
        <x:v>2026年底</x:v>
      </x:c>
      <x:c r="C4936" s="11" t="str">
        <x:v>b7h3</x:v>
      </x:c>
      <x:c r="D4936" s="11" t="str">
        <x:v>2044-12-31</x:v>
      </x:c>
      <x:c r="E4936" s="11" t="str">
        <x:v>CNY</x:v>
      </x:c>
      <x:c r="F4936" s="11" t="n">
        <x:v>18.001368925393567</x:v>
      </x:c>
      <x:c r="G4936" s="26" t="b">
        <x:v>1</x:v>
      </x:c>
      <x:c r="H4936" s="16" t="n">
        <x:v>0.15399999999999997</x:v>
      </x:c>
      <x:c r="I4936" s="16" t="n">
        <x:v>0</x:v>
      </x:c>
      <x:c r="J4936" s="16" t="n">
        <x:v>0</x:v>
      </x:c>
      <x:c r="K4936" s="11" t="n">
        <x:f>CHOOSE('假设'!$B$3,H4936,I4936,J4936)</x:f>
        <x:v>0</x:v>
      </x:c>
      <x:c r="L4936" s="11" t="n">
        <x:f>K4936*'管线假设'!E1059*'管线假设'!F1059*'管线假设'!G1059*IF(E4936="USD",'管线假设'!I1059,1)-AM4936</x:f>
        <x:v>0</x:v>
      </x:c>
      <x:c r="M4936" s="11" t="n">
        <x:f>'管线假设'!H1059</x:f>
        <x:v>0.14</x:v>
      </x:c>
      <x:c r="N4936" s="11" t="n">
        <x:f>IF(G4936,L4936*AN4936/(1+M4936)^F4936,0)</x:f>
        <x:v>0</x:v>
      </x:c>
      <x:c r="AJ4936" t="n">
        <x:v>0</x:v>
      </x:c>
      <x:c r="AK4936" t="n">
        <x:v>0</x:v>
      </x:c>
      <x:c r="AL4936" t="n">
        <x:v>0</x:v>
      </x:c>
      <x:c r="AM4936" t="n">
        <x:f>CHOOSE('假设'!$B$3,AJ4936,AK4936,AL4936)</x:f>
        <x:v>0</x:v>
      </x:c>
      <x:c r="AN4936" t="n">
        <x:v>1</x:v>
      </x:c>
    </x:row>
    <x:row r="4937" ht="23" customHeight="1">
      <x:c r="A4937" s="11" t="str">
        <x:v>688062.SH</x:v>
      </x:c>
      <x:c r="B4937" s="11" t="str">
        <x:v>2026年底</x:v>
      </x:c>
      <x:c r="C4937" s="11" t="str">
        <x:v>b7h3</x:v>
      </x:c>
      <x:c r="D4937" s="11" t="str">
        <x:v>2045-12-31</x:v>
      </x:c>
      <x:c r="E4937" s="11" t="str">
        <x:v>CNY</x:v>
      </x:c>
      <x:c r="F4937" s="11" t="n">
        <x:v>19.000684462696782</x:v>
      </x:c>
      <x:c r="G4937" s="26" t="b">
        <x:v>1</x:v>
      </x:c>
      <x:c r="H4937" s="16" t="n">
        <x:v>0.06299999999999997</x:v>
      </x:c>
      <x:c r="I4937" s="16" t="n">
        <x:v>0</x:v>
      </x:c>
      <x:c r="J4937" s="16" t="n">
        <x:v>0</x:v>
      </x:c>
      <x:c r="K4937" s="11" t="n">
        <x:f>CHOOSE('假设'!$B$3,H4937,I4937,J4937)</x:f>
        <x:v>0</x:v>
      </x:c>
      <x:c r="L4937" s="11" t="n">
        <x:f>K4937*'管线假设'!E1059*'管线假设'!F1059*'管线假设'!G1059*IF(E4937="USD",'管线假设'!I1059,1)-AM4937</x:f>
        <x:v>0</x:v>
      </x:c>
      <x:c r="M4937" s="11" t="n">
        <x:f>'管线假设'!H1059</x:f>
        <x:v>0.14</x:v>
      </x:c>
      <x:c r="N4937" s="11" t="n">
        <x:f>IF(G4937,L4937*AN4937/(1+M4937)^F4937,0)</x:f>
        <x:v>0</x:v>
      </x:c>
      <x:c r="AJ4937" t="n">
        <x:v>0</x:v>
      </x:c>
      <x:c r="AK4937" t="n">
        <x:v>0</x:v>
      </x:c>
      <x:c r="AL4937" t="n">
        <x:v>0</x:v>
      </x:c>
      <x:c r="AM4937" t="n">
        <x:f>CHOOSE('假设'!$B$3,AJ4937,AK4937,AL4937)</x:f>
        <x:v>0</x:v>
      </x:c>
      <x:c r="AN4937" t="n">
        <x:v>1</x:v>
      </x:c>
    </x:row>
    <x:row r="4938" ht="23" customHeight="1">
      <x:c r="A4938" s="11" t="str">
        <x:v>688062.SH</x:v>
      </x:c>
      <x:c r="B4938" s="11" t="str">
        <x:v>2026年底</x:v>
      </x:c>
      <x:c r="C4938" s="11" t="str">
        <x:v>cdh17</x:v>
      </x:c>
      <x:c r="D4938" s="11" t="str">
        <x:v>2027-12-31</x:v>
      </x:c>
      <x:c r="E4938" s="11" t="str">
        <x:v>CNY</x:v>
      </x:c>
      <x:c r="F4938" s="11" t="n">
        <x:v>0.999315537303217</x:v>
      </x:c>
      <x:c r="G4938" s="26" t="b">
        <x:v>1</x:v>
      </x:c>
      <x:c r="H4938" s="16" t="n">
        <x:v>0</x:v>
      </x:c>
      <x:c r="I4938" s="16" t="n">
        <x:v>0</x:v>
      </x:c>
      <x:c r="J4938" s="16" t="n">
        <x:v>0</x:v>
      </x:c>
      <x:c r="K4938" s="11" t="n">
        <x:f>CHOOSE('假设'!$B$3,H4938,I4938,J4938)</x:f>
        <x:v>0</x:v>
      </x:c>
      <x:c r="L4938" s="11" t="n">
        <x:f>K4938*'管线假设'!E1063*'管线假设'!F1063*'管线假设'!G1063*IF(E4938="USD",'管线假设'!I1063,1)-AM4938</x:f>
        <x:v>0</x:v>
      </x:c>
      <x:c r="M4938" s="11" t="n">
        <x:f>'管线假设'!H1063</x:f>
        <x:v>0.14</x:v>
      </x:c>
      <x:c r="N4938" s="11" t="n">
        <x:f>IF(G4938,L4938*AN4938/(1+M4938)^F4938,0)</x:f>
        <x:v>0</x:v>
      </x:c>
      <x:c r="AJ4938" t="n">
        <x:v>0</x:v>
      </x:c>
      <x:c r="AK4938" t="n">
        <x:v>0</x:v>
      </x:c>
      <x:c r="AL4938" t="n">
        <x:v>0</x:v>
      </x:c>
      <x:c r="AM4938" t="n">
        <x:f>CHOOSE('假设'!$B$3,AJ4938,AK4938,AL4938)</x:f>
        <x:v>0</x:v>
      </x:c>
      <x:c r="AN4938" t="n">
        <x:v>1</x:v>
      </x:c>
    </x:row>
    <x:row r="4939" ht="23" customHeight="1">
      <x:c r="A4939" s="11" t="str">
        <x:v>688062.SH</x:v>
      </x:c>
      <x:c r="B4939" s="11" t="str">
        <x:v>2026年底</x:v>
      </x:c>
      <x:c r="C4939" s="11" t="str">
        <x:v>cdh17</x:v>
      </x:c>
      <x:c r="D4939" s="11" t="str">
        <x:v>2028-12-31</x:v>
      </x:c>
      <x:c r="E4939" s="11" t="str">
        <x:v>CNY</x:v>
      </x:c>
      <x:c r="F4939" s="11" t="n">
        <x:v>2.001368925393566</x:v>
      </x:c>
      <x:c r="G4939" s="26" t="b">
        <x:v>1</x:v>
      </x:c>
      <x:c r="H4939" s="16" t="n">
        <x:v>0</x:v>
      </x:c>
      <x:c r="I4939" s="16" t="n">
        <x:v>0</x:v>
      </x:c>
      <x:c r="J4939" s="16" t="n">
        <x:v>0</x:v>
      </x:c>
      <x:c r="K4939" s="11" t="n">
        <x:f>CHOOSE('假设'!$B$3,H4939,I4939,J4939)</x:f>
        <x:v>0</x:v>
      </x:c>
      <x:c r="L4939" s="11" t="n">
        <x:f>K4939*'管线假设'!E1063*'管线假设'!F1063*'管线假设'!G1063*IF(E4939="USD",'管线假设'!I1063,1)-AM4939</x:f>
        <x:v>0</x:v>
      </x:c>
      <x:c r="M4939" s="11" t="n">
        <x:f>'管线假设'!H1063</x:f>
        <x:v>0.14</x:v>
      </x:c>
      <x:c r="N4939" s="11" t="n">
        <x:f>IF(G4939,L4939*AN4939/(1+M4939)^F4939,0)</x:f>
        <x:v>0</x:v>
      </x:c>
      <x:c r="AJ4939" t="n">
        <x:v>0</x:v>
      </x:c>
      <x:c r="AK4939" t="n">
        <x:v>0</x:v>
      </x:c>
      <x:c r="AL4939" t="n">
        <x:v>0</x:v>
      </x:c>
      <x:c r="AM4939" t="n">
        <x:f>CHOOSE('假设'!$B$3,AJ4939,AK4939,AL4939)</x:f>
        <x:v>0</x:v>
      </x:c>
      <x:c r="AN4939" t="n">
        <x:v>1</x:v>
      </x:c>
    </x:row>
    <x:row r="4940" ht="23" customHeight="1">
      <x:c r="A4940" s="11" t="str">
        <x:v>688062.SH</x:v>
      </x:c>
      <x:c r="B4940" s="11" t="str">
        <x:v>2026年底</x:v>
      </x:c>
      <x:c r="C4940" s="11" t="str">
        <x:v>cdh17</x:v>
      </x:c>
      <x:c r="D4940" s="11" t="str">
        <x:v>2029-12-31</x:v>
      </x:c>
      <x:c r="E4940" s="11" t="str">
        <x:v>CNY</x:v>
      </x:c>
      <x:c r="F4940" s="11" t="n">
        <x:v>3.0006844626967832</x:v>
      </x:c>
      <x:c r="G4940" s="26" t="b">
        <x:v>1</x:v>
      </x:c>
      <x:c r="H4940" s="16" t="n">
        <x:v>0</x:v>
      </x:c>
      <x:c r="I4940" s="16" t="n">
        <x:v>0</x:v>
      </x:c>
      <x:c r="J4940" s="16" t="n">
        <x:v>0</x:v>
      </x:c>
      <x:c r="K4940" s="11" t="n">
        <x:f>CHOOSE('假设'!$B$3,H4940,I4940,J4940)</x:f>
        <x:v>0</x:v>
      </x:c>
      <x:c r="L4940" s="11" t="n">
        <x:f>K4940*'管线假设'!E1063*'管线假设'!F1063*'管线假设'!G1063*IF(E4940="USD",'管线假设'!I1063,1)-AM4940</x:f>
        <x:v>0</x:v>
      </x:c>
      <x:c r="M4940" s="11" t="n">
        <x:f>'管线假设'!H1063</x:f>
        <x:v>0.14</x:v>
      </x:c>
      <x:c r="N4940" s="11" t="n">
        <x:f>IF(G4940,L4940*AN4940/(1+M4940)^F4940,0)</x:f>
        <x:v>0</x:v>
      </x:c>
      <x:c r="AJ4940" t="n">
        <x:v>0</x:v>
      </x:c>
      <x:c r="AK4940" t="n">
        <x:v>0</x:v>
      </x:c>
      <x:c r="AL4940" t="n">
        <x:v>0</x:v>
      </x:c>
      <x:c r="AM4940" t="n">
        <x:f>CHOOSE('假设'!$B$3,AJ4940,AK4940,AL4940)</x:f>
        <x:v>0</x:v>
      </x:c>
      <x:c r="AN4940" t="n">
        <x:v>1</x:v>
      </x:c>
    </x:row>
    <x:row r="4941" ht="23" customHeight="1">
      <x:c r="A4941" s="11" t="str">
        <x:v>688062.SH</x:v>
      </x:c>
      <x:c r="B4941" s="11" t="str">
        <x:v>2026年底</x:v>
      </x:c>
      <x:c r="C4941" s="11" t="str">
        <x:v>cdh17</x:v>
      </x:c>
      <x:c r="D4941" s="11" t="str">
        <x:v>2030-12-31</x:v>
      </x:c>
      <x:c r="E4941" s="11" t="str">
        <x:v>CNY</x:v>
      </x:c>
      <x:c r="F4941" s="11" t="n">
        <x:v>4</x:v>
      </x:c>
      <x:c r="G4941" s="26" t="b">
        <x:v>1</x:v>
      </x:c>
      <x:c r="H4941" s="16" t="n">
        <x:v>0</x:v>
      </x:c>
      <x:c r="I4941" s="16" t="n">
        <x:v>0</x:v>
      </x:c>
      <x:c r="J4941" s="16" t="n">
        <x:v>0</x:v>
      </x:c>
      <x:c r="K4941" s="11" t="n">
        <x:f>CHOOSE('假设'!$B$3,H4941,I4941,J4941)</x:f>
        <x:v>0</x:v>
      </x:c>
      <x:c r="L4941" s="11" t="n">
        <x:f>K4941*'管线假设'!E1063*'管线假设'!F1063*'管线假设'!G1063*IF(E4941="USD",'管线假设'!I1063,1)-AM4941</x:f>
        <x:v>0</x:v>
      </x:c>
      <x:c r="M4941" s="11" t="n">
        <x:f>'管线假设'!H1063</x:f>
        <x:v>0.14</x:v>
      </x:c>
      <x:c r="N4941" s="11" t="n">
        <x:f>IF(G4941,L4941*AN4941/(1+M4941)^F4941,0)</x:f>
        <x:v>0</x:v>
      </x:c>
      <x:c r="AJ4941" t="n">
        <x:v>0</x:v>
      </x:c>
      <x:c r="AK4941" t="n">
        <x:v>0</x:v>
      </x:c>
      <x:c r="AL4941" t="n">
        <x:v>0</x:v>
      </x:c>
      <x:c r="AM4941" t="n">
        <x:f>CHOOSE('假设'!$B$3,AJ4941,AK4941,AL4941)</x:f>
        <x:v>0</x:v>
      </x:c>
      <x:c r="AN4941" t="n">
        <x:v>1</x:v>
      </x:c>
    </x:row>
    <x:row r="4942" ht="23" customHeight="1">
      <x:c r="A4942" s="11" t="str">
        <x:v>688062.SH</x:v>
      </x:c>
      <x:c r="B4942" s="11" t="str">
        <x:v>2026年底</x:v>
      </x:c>
      <x:c r="C4942" s="11" t="str">
        <x:v>cdh17</x:v>
      </x:c>
      <x:c r="D4942" s="11" t="str">
        <x:v>2031-12-31</x:v>
      </x:c>
      <x:c r="E4942" s="11" t="str">
        <x:v>CNY</x:v>
      </x:c>
      <x:c r="F4942" s="11" t="n">
        <x:v>4.999315537303217</x:v>
      </x:c>
      <x:c r="G4942" s="26" t="b">
        <x:v>1</x:v>
      </x:c>
      <x:c r="H4942" s="16" t="n">
        <x:v>0</x:v>
      </x:c>
      <x:c r="I4942" s="16" t="n">
        <x:v>0</x:v>
      </x:c>
      <x:c r="J4942" s="16" t="n">
        <x:v>0.6000000000000001</x:v>
      </x:c>
      <x:c r="K4942" s="11" t="n">
        <x:f>CHOOSE('假设'!$B$3,H4942,I4942,J4942)</x:f>
        <x:v>0</x:v>
      </x:c>
      <x:c r="L4942" s="11" t="n">
        <x:f>K4942*'管线假设'!E1063*'管线假设'!F1063*'管线假设'!G1063*IF(E4942="USD",'管线假设'!I1063,1)-AM4942</x:f>
        <x:v>0</x:v>
      </x:c>
      <x:c r="M4942" s="11" t="n">
        <x:f>'管线假设'!H1063</x:f>
        <x:v>0.14</x:v>
      </x:c>
      <x:c r="N4942" s="11" t="n">
        <x:f>IF(G4942,L4942*AN4942/(1+M4942)^F4942,0)</x:f>
        <x:v>0</x:v>
      </x:c>
      <x:c r="AJ4942" t="n">
        <x:v>0</x:v>
      </x:c>
      <x:c r="AK4942" t="n">
        <x:v>0</x:v>
      </x:c>
      <x:c r="AL4942" t="n">
        <x:v>0</x:v>
      </x:c>
      <x:c r="AM4942" t="n">
        <x:f>CHOOSE('假设'!$B$3,AJ4942,AK4942,AL4942)</x:f>
        <x:v>0</x:v>
      </x:c>
      <x:c r="AN4942" t="n">
        <x:v>1</x:v>
      </x:c>
    </x:row>
    <x:row r="4943" ht="23" customHeight="1">
      <x:c r="A4943" s="11" t="str">
        <x:v>688062.SH</x:v>
      </x:c>
      <x:c r="B4943" s="11" t="str">
        <x:v>2026年底</x:v>
      </x:c>
      <x:c r="C4943" s="11" t="str">
        <x:v>cdh17</x:v>
      </x:c>
      <x:c r="D4943" s="11" t="str">
        <x:v>2032-12-31</x:v>
      </x:c>
      <x:c r="E4943" s="11" t="str">
        <x:v>CNY</x:v>
      </x:c>
      <x:c r="F4943" s="11" t="n">
        <x:v>6.0013689253935665</x:v>
      </x:c>
      <x:c r="G4943" s="26" t="b">
        <x:v>1</x:v>
      </x:c>
      <x:c r="H4943" s="16" t="n">
        <x:v>0</x:v>
      </x:c>
      <x:c r="I4943" s="16" t="n">
        <x:v>0</x:v>
      </x:c>
      <x:c r="J4943" s="16" t="n">
        <x:v>1.2000000000000002</x:v>
      </x:c>
      <x:c r="K4943" s="11" t="n">
        <x:f>CHOOSE('假设'!$B$3,H4943,I4943,J4943)</x:f>
        <x:v>0</x:v>
      </x:c>
      <x:c r="L4943" s="11" t="n">
        <x:f>K4943*'管线假设'!E1063*'管线假设'!F1063*'管线假设'!G1063*IF(E4943="USD",'管线假设'!I1063,1)-AM4943</x:f>
        <x:v>0</x:v>
      </x:c>
      <x:c r="M4943" s="11" t="n">
        <x:f>'管线假设'!H1063</x:f>
        <x:v>0.14</x:v>
      </x:c>
      <x:c r="N4943" s="11" t="n">
        <x:f>IF(G4943,L4943*AN4943/(1+M4943)^F4943,0)</x:f>
        <x:v>0</x:v>
      </x:c>
      <x:c r="AJ4943" t="n">
        <x:v>0</x:v>
      </x:c>
      <x:c r="AK4943" t="n">
        <x:v>0</x:v>
      </x:c>
      <x:c r="AL4943" t="n">
        <x:v>0</x:v>
      </x:c>
      <x:c r="AM4943" t="n">
        <x:f>CHOOSE('假设'!$B$3,AJ4943,AK4943,AL4943)</x:f>
        <x:v>0</x:v>
      </x:c>
      <x:c r="AN4943" t="n">
        <x:v>1</x:v>
      </x:c>
    </x:row>
    <x:row r="4944" ht="23" customHeight="1">
      <x:c r="A4944" s="11" t="str">
        <x:v>688062.SH</x:v>
      </x:c>
      <x:c r="B4944" s="11" t="str">
        <x:v>2026年底</x:v>
      </x:c>
      <x:c r="C4944" s="11" t="str">
        <x:v>cdh17</x:v>
      </x:c>
      <x:c r="D4944" s="11" t="str">
        <x:v>2033-12-31</x:v>
      </x:c>
      <x:c r="E4944" s="11" t="str">
        <x:v>CNY</x:v>
      </x:c>
      <x:c r="F4944" s="11" t="n">
        <x:v>7.000684462696783</x:v>
      </x:c>
      <x:c r="G4944" s="26" t="b">
        <x:v>1</x:v>
      </x:c>
      <x:c r="H4944" s="16" t="n">
        <x:v>0</x:v>
      </x:c>
      <x:c r="I4944" s="16" t="n">
        <x:v>0.30000000000000004</x:v>
      </x:c>
      <x:c r="J4944" s="16" t="n">
        <x:v>1.7999999999999998</x:v>
      </x:c>
      <x:c r="K4944" s="11" t="n">
        <x:f>CHOOSE('假设'!$B$3,H4944,I4944,J4944)</x:f>
        <x:v>0.30000000000000004</x:v>
      </x:c>
      <x:c r="L4944" s="11" t="n">
        <x:f>K4944*'管线假设'!E1063*'管线假设'!F1063*'管线假设'!G1063*IF(E4944="USD",'管线假设'!I1063,1)-AM4944</x:f>
        <x:v>0.009</x:v>
      </x:c>
      <x:c r="M4944" s="11" t="n">
        <x:f>'管线假设'!H1063</x:f>
        <x:v>0.14</x:v>
      </x:c>
      <x:c r="N4944" s="11" t="n">
        <x:f>IF(G4944,L4944*AN4944/(1+M4944)^F4944,0)</x:f>
        <x:v>0.0035964133477219547</x:v>
      </x:c>
      <x:c r="AJ4944" t="n">
        <x:v>0</x:v>
      </x:c>
      <x:c r="AK4944" t="n">
        <x:v>0</x:v>
      </x:c>
      <x:c r="AL4944" t="n">
        <x:v>0</x:v>
      </x:c>
      <x:c r="AM4944" t="n">
        <x:f>CHOOSE('假设'!$B$3,AJ4944,AK4944,AL4944)</x:f>
        <x:v>0</x:v>
      </x:c>
      <x:c r="AN4944" t="n">
        <x:v>1</x:v>
      </x:c>
    </x:row>
    <x:row r="4945" ht="23" customHeight="1">
      <x:c r="A4945" s="11" t="str">
        <x:v>688062.SH</x:v>
      </x:c>
      <x:c r="B4945" s="11" t="str">
        <x:v>2026年底</x:v>
      </x:c>
      <x:c r="C4945" s="11" t="str">
        <x:v>cdh17</x:v>
      </x:c>
      <x:c r="D4945" s="11" t="str">
        <x:v>2034-12-31</x:v>
      </x:c>
      <x:c r="E4945" s="11" t="str">
        <x:v>CNY</x:v>
      </x:c>
      <x:c r="F4945" s="11" t="n">
        <x:v>8</x:v>
      </x:c>
      <x:c r="G4945" s="26" t="b">
        <x:v>1</x:v>
      </x:c>
      <x:c r="H4945" s="16" t="n">
        <x:v>0</x:v>
      </x:c>
      <x:c r="I4945" s="16" t="n">
        <x:v>0.6000000000000001</x:v>
      </x:c>
      <x:c r="J4945" s="16" t="n">
        <x:v>2.4000000000000004</x:v>
      </x:c>
      <x:c r="K4945" s="11" t="n">
        <x:f>CHOOSE('假设'!$B$3,H4945,I4945,J4945)</x:f>
        <x:v>0.6000000000000001</x:v>
      </x:c>
      <x:c r="L4945" s="11" t="n">
        <x:f>K4945*'管线假设'!E1063*'管线假设'!F1063*'管线假设'!G1063*IF(E4945="USD",'管线假设'!I1063,1)-AM4945</x:f>
        <x:v>0.018</x:v>
      </x:c>
      <x:c r="M4945" s="11" t="n">
        <x:f>'管线假设'!H1063</x:f>
        <x:v>0.14</x:v>
      </x:c>
      <x:c r="N4945" s="11" t="n">
        <x:f>IF(G4945,L4945*AN4945/(1+M4945)^F4945,0)</x:f>
        <x:v>0.006310062987313688</x:v>
      </x:c>
      <x:c r="AJ4945" t="n">
        <x:v>0</x:v>
      </x:c>
      <x:c r="AK4945" t="n">
        <x:v>0</x:v>
      </x:c>
      <x:c r="AL4945" t="n">
        <x:v>0</x:v>
      </x:c>
      <x:c r="AM4945" t="n">
        <x:f>CHOOSE('假设'!$B$3,AJ4945,AK4945,AL4945)</x:f>
        <x:v>0</x:v>
      </x:c>
      <x:c r="AN4945" t="n">
        <x:v>1</x:v>
      </x:c>
    </x:row>
    <x:row r="4946" ht="23" customHeight="1">
      <x:c r="A4946" s="11" t="str">
        <x:v>688062.SH</x:v>
      </x:c>
      <x:c r="B4946" s="11" t="str">
        <x:v>2026年底</x:v>
      </x:c>
      <x:c r="C4946" s="11" t="str">
        <x:v>cdh17</x:v>
      </x:c>
      <x:c r="D4946" s="11" t="str">
        <x:v>2035-12-31</x:v>
      </x:c>
      <x:c r="E4946" s="11" t="str">
        <x:v>CNY</x:v>
      </x:c>
      <x:c r="F4946" s="11" t="n">
        <x:v>8.999315537303216</x:v>
      </x:c>
      <x:c r="G4946" s="26" t="b">
        <x:v>1</x:v>
      </x:c>
      <x:c r="H4946" s="16" t="n">
        <x:v>0.1</x:v>
      </x:c>
      <x:c r="I4946" s="16" t="n">
        <x:v>0.8999999999999999</x:v>
      </x:c>
      <x:c r="J4946" s="16" t="n">
        <x:v>3</x:v>
      </x:c>
      <x:c r="K4946" s="11" t="n">
        <x:f>CHOOSE('假设'!$B$3,H4946,I4946,J4946)</x:f>
        <x:v>0.8999999999999999</x:v>
      </x:c>
      <x:c r="L4946" s="11" t="n">
        <x:f>K4946*'管线假设'!E1063*'管线假设'!F1063*'管线假设'!G1063*IF(E4946="USD",'管线假设'!I1063,1)-AM4946</x:f>
        <x:v>0.02699999999999999</x:v>
      </x:c>
      <x:c r="M4946" s="11" t="n">
        <x:f>'管线假设'!H1063</x:f>
        <x:v>0.14</x:v>
      </x:c>
      <x:c r="N4946" s="11" t="n">
        <x:f>IF(G4946,L4946*AN4946/(1+M4946)^F4946,0)</x:f>
        <x:v>0.00830345911067627</x:v>
      </x:c>
      <x:c r="AJ4946" t="n">
        <x:v>0</x:v>
      </x:c>
      <x:c r="AK4946" t="n">
        <x:v>0</x:v>
      </x:c>
      <x:c r="AL4946" t="n">
        <x:v>0</x:v>
      </x:c>
      <x:c r="AM4946" t="n">
        <x:f>CHOOSE('假设'!$B$3,AJ4946,AK4946,AL4946)</x:f>
        <x:v>0</x:v>
      </x:c>
      <x:c r="AN4946" t="n">
        <x:v>1</x:v>
      </x:c>
    </x:row>
    <x:row r="4947" ht="23" customHeight="1">
      <x:c r="A4947" s="11" t="str">
        <x:v>688062.SH</x:v>
      </x:c>
      <x:c r="B4947" s="11" t="str">
        <x:v>2026年底</x:v>
      </x:c>
      <x:c r="C4947" s="11" t="str">
        <x:v>cdh17</x:v>
      </x:c>
      <x:c r="D4947" s="11" t="str">
        <x:v>2036-12-31</x:v>
      </x:c>
      <x:c r="E4947" s="11" t="str">
        <x:v>CNY</x:v>
      </x:c>
      <x:c r="F4947" s="11" t="n">
        <x:v>10.001368925393566</x:v>
      </x:c>
      <x:c r="G4947" s="26" t="b">
        <x:v>1</x:v>
      </x:c>
      <x:c r="H4947" s="16" t="n">
        <x:v>0.2</x:v>
      </x:c>
      <x:c r="I4947" s="16" t="n">
        <x:v>1.2000000000000002</x:v>
      </x:c>
      <x:c r="J4947" s="16" t="n">
        <x:v>2.61</x:v>
      </x:c>
      <x:c r="K4947" s="11" t="n">
        <x:f>CHOOSE('假设'!$B$3,H4947,I4947,J4947)</x:f>
        <x:v>1.2000000000000002</x:v>
      </x:c>
      <x:c r="L4947" s="11" t="n">
        <x:f>K4947*'管线假设'!E1063*'管线假设'!F1063*'管线假设'!G1063*IF(E4947="USD",'管线假设'!I1063,1)-AM4947</x:f>
        <x:v>0.036</x:v>
      </x:c>
      <x:c r="M4947" s="11" t="n">
        <x:f>'管线假设'!H1063</x:f>
        <x:v>0.14</x:v>
      </x:c>
      <x:c r="N4947" s="11" t="n">
        <x:f>IF(G4947,L4947*AN4947/(1+M4947)^F4947,0)</x:f>
        <x:v>0.009709035497026943</x:v>
      </x:c>
      <x:c r="AJ4947" t="n">
        <x:v>0</x:v>
      </x:c>
      <x:c r="AK4947" t="n">
        <x:v>0</x:v>
      </x:c>
      <x:c r="AL4947" t="n">
        <x:v>0</x:v>
      </x:c>
      <x:c r="AM4947" t="n">
        <x:f>CHOOSE('假设'!$B$3,AJ4947,AK4947,AL4947)</x:f>
        <x:v>0</x:v>
      </x:c>
      <x:c r="AN4947" t="n">
        <x:v>1</x:v>
      </x:c>
    </x:row>
    <x:row r="4948" ht="23" customHeight="1">
      <x:c r="A4948" s="11" t="str">
        <x:v>688062.SH</x:v>
      </x:c>
      <x:c r="B4948" s="11" t="str">
        <x:v>2026年底</x:v>
      </x:c>
      <x:c r="C4948" s="11" t="str">
        <x:v>cdh17</x:v>
      </x:c>
      <x:c r="D4948" s="11" t="str">
        <x:v>2037-12-31</x:v>
      </x:c>
      <x:c r="E4948" s="11" t="str">
        <x:v>CNY</x:v>
      </x:c>
      <x:c r="F4948" s="11" t="n">
        <x:v>11.000684462696784</x:v>
      </x:c>
      <x:c r="G4948" s="26" t="b">
        <x:v>1</x:v>
      </x:c>
      <x:c r="H4948" s="16" t="n">
        <x:v>0.3</x:v>
      </x:c>
      <x:c r="I4948" s="16" t="n">
        <x:v>1.5</x:v>
      </x:c>
      <x:c r="J4948" s="16" t="n">
        <x:v>2.2199999999999998</x:v>
      </x:c>
      <x:c r="K4948" s="11" t="n">
        <x:f>CHOOSE('假设'!$B$3,H4948,I4948,J4948)</x:f>
        <x:v>1.5</x:v>
      </x:c>
      <x:c r="L4948" s="11" t="n">
        <x:f>K4948*'管线假设'!E1063*'管线假设'!F1063*'管线假设'!G1063*IF(E4948="USD",'管线假设'!I1063,1)-AM4948</x:f>
        <x:v>0.04499999999999999</x:v>
      </x:c>
      <x:c r="M4948" s="11" t="n">
        <x:f>'管线假设'!H1063</x:f>
        <x:v>0.14</x:v>
      </x:c>
      <x:c r="N4948" s="11" t="n">
        <x:f>IF(G4948,L4948*AN4948/(1+M4948)^F4948,0)</x:f>
        <x:v>0.01064682706228533</x:v>
      </x:c>
      <x:c r="AJ4948" t="n">
        <x:v>0</x:v>
      </x:c>
      <x:c r="AK4948" t="n">
        <x:v>0</x:v>
      </x:c>
      <x:c r="AL4948" t="n">
        <x:v>0</x:v>
      </x:c>
      <x:c r="AM4948" t="n">
        <x:f>CHOOSE('假设'!$B$3,AJ4948,AK4948,AL4948)</x:f>
        <x:v>0</x:v>
      </x:c>
      <x:c r="AN4948" t="n">
        <x:v>1</x:v>
      </x:c>
    </x:row>
    <x:row r="4949" ht="23" customHeight="1">
      <x:c r="A4949" s="11" t="str">
        <x:v>688062.SH</x:v>
      </x:c>
      <x:c r="B4949" s="11" t="str">
        <x:v>2026年底</x:v>
      </x:c>
      <x:c r="C4949" s="11" t="str">
        <x:v>cdh17</x:v>
      </x:c>
      <x:c r="D4949" s="11" t="str">
        <x:v>2038-12-31</x:v>
      </x:c>
      <x:c r="E4949" s="11" t="str">
        <x:v>CNY</x:v>
      </x:c>
      <x:c r="F4949" s="11" t="n">
        <x:v>12</x:v>
      </x:c>
      <x:c r="G4949" s="26" t="b">
        <x:v>1</x:v>
      </x:c>
      <x:c r="H4949" s="16" t="n">
        <x:v>0.4</x:v>
      </x:c>
      <x:c r="I4949" s="16" t="n">
        <x:v>1.305</x:v>
      </x:c>
      <x:c r="J4949" s="16" t="n">
        <x:v>1.83</x:v>
      </x:c>
      <x:c r="K4949" s="11" t="n">
        <x:f>CHOOSE('假设'!$B$3,H4949,I4949,J4949)</x:f>
        <x:v>1.305</x:v>
      </x:c>
      <x:c r="L4949" s="11" t="n">
        <x:f>K4949*'管线假设'!E1063*'管线假设'!F1063*'管线假设'!G1063*IF(E4949="USD",'管线假设'!I1063,1)-AM4949</x:f>
        <x:v>0.03914999999999999</x:v>
      </x:c>
      <x:c r="M4949" s="11" t="n">
        <x:f>'管线假设'!H1063</x:f>
        <x:v>0.14</x:v>
      </x:c>
      <x:c r="N4949" s="11" t="n">
        <x:f>IF(G4949,L4949*AN4949/(1+M4949)^F4949,0)</x:f>
        <x:v>0.008125938860160718</x:v>
      </x:c>
      <x:c r="AJ4949" t="n">
        <x:v>0</x:v>
      </x:c>
      <x:c r="AK4949" t="n">
        <x:v>0</x:v>
      </x:c>
      <x:c r="AL4949" t="n">
        <x:v>0</x:v>
      </x:c>
      <x:c r="AM4949" t="n">
        <x:f>CHOOSE('假设'!$B$3,AJ4949,AK4949,AL4949)</x:f>
        <x:v>0</x:v>
      </x:c>
      <x:c r="AN4949" t="n">
        <x:v>1</x:v>
      </x:c>
    </x:row>
    <x:row r="4950" ht="23" customHeight="1">
      <x:c r="A4950" s="11" t="str">
        <x:v>688062.SH</x:v>
      </x:c>
      <x:c r="B4950" s="11" t="str">
        <x:v>2026年底</x:v>
      </x:c>
      <x:c r="C4950" s="11" t="str">
        <x:v>cdh17</x:v>
      </x:c>
      <x:c r="D4950" s="11" t="str">
        <x:v>2039-12-31</x:v>
      </x:c>
      <x:c r="E4950" s="11" t="str">
        <x:v>CNY</x:v>
      </x:c>
      <x:c r="F4950" s="11" t="n">
        <x:v>12.999315537303216</x:v>
      </x:c>
      <x:c r="G4950" s="26" t="b">
        <x:v>1</x:v>
      </x:c>
      <x:c r="H4950" s="16" t="n">
        <x:v>0.5</x:v>
      </x:c>
      <x:c r="I4950" s="16" t="n">
        <x:v>1.1099999999999999</x:v>
      </x:c>
      <x:c r="J4950" s="16" t="n">
        <x:v>1.44</x:v>
      </x:c>
      <x:c r="K4950" s="11" t="n">
        <x:f>CHOOSE('假设'!$B$3,H4950,I4950,J4950)</x:f>
        <x:v>1.1099999999999999</x:v>
      </x:c>
      <x:c r="L4950" s="11" t="n">
        <x:f>K4950*'管线假设'!E1063*'管线假设'!F1063*'管线假设'!G1063*IF(E4950="USD",'管线假设'!I1063,1)-AM4950</x:f>
        <x:v>0.03329999999999999</x:v>
      </x:c>
      <x:c r="M4950" s="11" t="n">
        <x:f>'管线假设'!H1063</x:f>
        <x:v>0.14</x:v>
      </x:c>
      <x:c r="N4950" s="11" t="n">
        <x:f>IF(G4950,L4950*AN4950/(1+M4950)^F4950,0)</x:f>
        <x:v>0.006063454393836853</x:v>
      </x:c>
      <x:c r="AJ4950" t="n">
        <x:v>0</x:v>
      </x:c>
      <x:c r="AK4950" t="n">
        <x:v>0</x:v>
      </x:c>
      <x:c r="AL4950" t="n">
        <x:v>0</x:v>
      </x:c>
      <x:c r="AM4950" t="n">
        <x:f>CHOOSE('假设'!$B$3,AJ4950,AK4950,AL4950)</x:f>
        <x:v>0</x:v>
      </x:c>
      <x:c r="AN4950" t="n">
        <x:v>1</x:v>
      </x:c>
    </x:row>
    <x:row r="4951" ht="23" customHeight="1">
      <x:c r="A4951" s="11" t="str">
        <x:v>688062.SH</x:v>
      </x:c>
      <x:c r="B4951" s="11" t="str">
        <x:v>2026年底</x:v>
      </x:c>
      <x:c r="C4951" s="11" t="str">
        <x:v>cdh17</x:v>
      </x:c>
      <x:c r="D4951" s="11" t="str">
        <x:v>2040-12-31</x:v>
      </x:c>
      <x:c r="E4951" s="11" t="str">
        <x:v>CNY</x:v>
      </x:c>
      <x:c r="F4951" s="11" t="n">
        <x:v>14.001368925393566</x:v>
      </x:c>
      <x:c r="G4951" s="26" t="b">
        <x:v>1</x:v>
      </x:c>
      <x:c r="H4951" s="16" t="n">
        <x:v>0.435</x:v>
      </x:c>
      <x:c r="I4951" s="16" t="n">
        <x:v>0.915</x:v>
      </x:c>
      <x:c r="J4951" s="16" t="n">
        <x:v>1.0499999999999998</x:v>
      </x:c>
      <x:c r="K4951" s="11" t="n">
        <x:f>CHOOSE('假设'!$B$3,H4951,I4951,J4951)</x:f>
        <x:v>0.915</x:v>
      </x:c>
      <x:c r="L4951" s="11" t="n">
        <x:f>K4951*'管线假设'!E1063*'管线假设'!F1063*'管线假设'!G1063*IF(E4951="USD",'管线假设'!I1063,1)-AM4951</x:f>
        <x:v>0.027449999999999995</x:v>
      </x:c>
      <x:c r="M4951" s="11" t="n">
        <x:f>'管线假设'!H1063</x:f>
        <x:v>0.14</x:v>
      </x:c>
      <x:c r="N4951" s="11" t="n">
        <x:f>IF(G4951,L4951*AN4951/(1+M4951)^F4951,0)</x:f>
        <x:v>0.004383252927933505</x:v>
      </x:c>
      <x:c r="AJ4951" t="n">
        <x:v>0</x:v>
      </x:c>
      <x:c r="AK4951" t="n">
        <x:v>0</x:v>
      </x:c>
      <x:c r="AL4951" t="n">
        <x:v>0</x:v>
      </x:c>
      <x:c r="AM4951" t="n">
        <x:f>CHOOSE('假设'!$B$3,AJ4951,AK4951,AL4951)</x:f>
        <x:v>0</x:v>
      </x:c>
      <x:c r="AN4951" t="n">
        <x:v>1</x:v>
      </x:c>
    </x:row>
    <x:row r="4952" ht="23" customHeight="1">
      <x:c r="A4952" s="11" t="str">
        <x:v>688062.SH</x:v>
      </x:c>
      <x:c r="B4952" s="11" t="str">
        <x:v>2026年底</x:v>
      </x:c>
      <x:c r="C4952" s="11" t="str">
        <x:v>cdh17</x:v>
      </x:c>
      <x:c r="D4952" s="11" t="str">
        <x:v>2041-12-31</x:v>
      </x:c>
      <x:c r="E4952" s="11" t="str">
        <x:v>CNY</x:v>
      </x:c>
      <x:c r="F4952" s="11" t="n">
        <x:v>15.000684462696784</x:v>
      </x:c>
      <x:c r="G4952" s="26" t="b">
        <x:v>1</x:v>
      </x:c>
      <x:c r="H4952" s="16" t="n">
        <x:v>0.37</x:v>
      </x:c>
      <x:c r="I4952" s="16" t="n">
        <x:v>0.72</x:v>
      </x:c>
      <x:c r="J4952" s="16" t="n">
        <x:v>0.6599999999999999</x:v>
      </x:c>
      <x:c r="K4952" s="11" t="n">
        <x:f>CHOOSE('假设'!$B$3,H4952,I4952,J4952)</x:f>
        <x:v>0.72</x:v>
      </x:c>
      <x:c r="L4952" s="11" t="n">
        <x:f>K4952*'管线假设'!E1063*'管线假设'!F1063*'管线假设'!G1063*IF(E4952="USD",'管线假设'!I1063,1)-AM4952</x:f>
        <x:v>0.021599999999999994</x:v>
      </x:c>
      <x:c r="M4952" s="11" t="n">
        <x:f>'管线假设'!H1063</x:f>
        <x:v>0.14</x:v>
      </x:c>
      <x:c r="N4952" s="11" t="n">
        <x:f>IF(G4952,L4952*AN4952/(1+M4952)^F4952,0)</x:f>
        <x:v>0.003025812633672162</x:v>
      </x:c>
      <x:c r="AJ4952" t="n">
        <x:v>0</x:v>
      </x:c>
      <x:c r="AK4952" t="n">
        <x:v>0</x:v>
      </x:c>
      <x:c r="AL4952" t="n">
        <x:v>0</x:v>
      </x:c>
      <x:c r="AM4952" t="n">
        <x:f>CHOOSE('假设'!$B$3,AJ4952,AK4952,AL4952)</x:f>
        <x:v>0</x:v>
      </x:c>
      <x:c r="AN4952" t="n">
        <x:v>1</x:v>
      </x:c>
    </x:row>
    <x:row r="4953" ht="23" customHeight="1">
      <x:c r="A4953" s="11" t="str">
        <x:v>688062.SH</x:v>
      </x:c>
      <x:c r="B4953" s="11" t="str">
        <x:v>2026年底</x:v>
      </x:c>
      <x:c r="C4953" s="11" t="str">
        <x:v>cdh17</x:v>
      </x:c>
      <x:c r="D4953" s="11" t="str">
        <x:v>2042-12-31</x:v>
      </x:c>
      <x:c r="E4953" s="11" t="str">
        <x:v>CNY</x:v>
      </x:c>
      <x:c r="F4953" s="11" t="n">
        <x:v>16</x:v>
      </x:c>
      <x:c r="G4953" s="26" t="b">
        <x:v>1</x:v>
      </x:c>
      <x:c r="H4953" s="16" t="n">
        <x:v>0.305</x:v>
      </x:c>
      <x:c r="I4953" s="16" t="n">
        <x:v>0.5249999999999999</x:v>
      </x:c>
      <x:c r="J4953" s="16" t="n">
        <x:v>0.2699999999999999</x:v>
      </x:c>
      <x:c r="K4953" s="11" t="n">
        <x:f>CHOOSE('假设'!$B$3,H4953,I4953,J4953)</x:f>
        <x:v>0.5249999999999999</x:v>
      </x:c>
      <x:c r="L4953" s="11" t="n">
        <x:f>K4953*'管线假设'!E1063*'管线假设'!F1063*'管线假设'!G1063*IF(E4953="USD",'管线假设'!I1063,1)-AM4953</x:f>
        <x:v>0.015749999999999993</x:v>
      </x:c>
      <x:c r="M4953" s="11" t="n">
        <x:f>'管线假设'!H1063</x:f>
        <x:v>0.14</x:v>
      </x:c>
      <x:c r="N4953" s="11" t="n">
        <x:f>IF(G4953,L4953*AN4953/(1+M4953)^F4953,0)</x:f>
        <x:v>0.0019355435022712707</x:v>
      </x:c>
      <x:c r="AJ4953" t="n">
        <x:v>0</x:v>
      </x:c>
      <x:c r="AK4953" t="n">
        <x:v>0</x:v>
      </x:c>
      <x:c r="AL4953" t="n">
        <x:v>0</x:v>
      </x:c>
      <x:c r="AM4953" t="n">
        <x:f>CHOOSE('假设'!$B$3,AJ4953,AK4953,AL4953)</x:f>
        <x:v>0</x:v>
      </x:c>
      <x:c r="AN4953" t="n">
        <x:v>1</x:v>
      </x:c>
    </x:row>
    <x:row r="4954" ht="23" customHeight="1">
      <x:c r="A4954" s="11" t="str">
        <x:v>688062.SH</x:v>
      </x:c>
      <x:c r="B4954" s="11" t="str">
        <x:v>2026年底</x:v>
      </x:c>
      <x:c r="C4954" s="11" t="str">
        <x:v>cdh17</x:v>
      </x:c>
      <x:c r="D4954" s="11" t="str">
        <x:v>2043-12-31</x:v>
      </x:c>
      <x:c r="E4954" s="11" t="str">
        <x:v>CNY</x:v>
      </x:c>
      <x:c r="F4954" s="11" t="n">
        <x:v>16.999315537303218</x:v>
      </x:c>
      <x:c r="G4954" s="26" t="b">
        <x:v>1</x:v>
      </x:c>
      <x:c r="H4954" s="16" t="n">
        <x:v>0.24</x:v>
      </x:c>
      <x:c r="I4954" s="16" t="n">
        <x:v>0.32999999999999996</x:v>
      </x:c>
      <x:c r="J4954" s="16" t="n">
        <x:v>0</x:v>
      </x:c>
      <x:c r="K4954" s="11" t="n">
        <x:f>CHOOSE('假设'!$B$3,H4954,I4954,J4954)</x:f>
        <x:v>0.32999999999999996</x:v>
      </x:c>
      <x:c r="L4954" s="11" t="n">
        <x:f>K4954*'管线假设'!E1063*'管线假设'!F1063*'管线假设'!G1063*IF(E4954="USD",'管线假设'!I1063,1)-AM4954</x:f>
        <x:v>0.009899999999999996</x:v>
      </x:c>
      <x:c r="M4954" s="11" t="n">
        <x:f>'管线假设'!H1063</x:f>
        <x:v>0.14</x:v>
      </x:c>
      <x:c r="N4954" s="11" t="n">
        <x:f>IF(G4954,L4954*AN4954/(1+M4954)^F4954,0)</x:f>
        <x:v>0.0010673126852045562</x:v>
      </x:c>
      <x:c r="AJ4954" t="n">
        <x:v>0</x:v>
      </x:c>
      <x:c r="AK4954" t="n">
        <x:v>0</x:v>
      </x:c>
      <x:c r="AL4954" t="n">
        <x:v>0</x:v>
      </x:c>
      <x:c r="AM4954" t="n">
        <x:f>CHOOSE('假设'!$B$3,AJ4954,AK4954,AL4954)</x:f>
        <x:v>0</x:v>
      </x:c>
      <x:c r="AN4954" t="n">
        <x:v>1</x:v>
      </x:c>
    </x:row>
    <x:row r="4955" ht="23" customHeight="1">
      <x:c r="A4955" s="11" t="str">
        <x:v>688062.SH</x:v>
      </x:c>
      <x:c r="B4955" s="11" t="str">
        <x:v>2026年底</x:v>
      </x:c>
      <x:c r="C4955" s="11" t="str">
        <x:v>cdh17</x:v>
      </x:c>
      <x:c r="D4955" s="11" t="str">
        <x:v>2044-12-31</x:v>
      </x:c>
      <x:c r="E4955" s="11" t="str">
        <x:v>CNY</x:v>
      </x:c>
      <x:c r="F4955" s="11" t="n">
        <x:v>18.001368925393567</x:v>
      </x:c>
      <x:c r="G4955" s="26" t="b">
        <x:v>1</x:v>
      </x:c>
      <x:c r="H4955" s="16" t="n">
        <x:v>0.175</x:v>
      </x:c>
      <x:c r="I4955" s="16" t="n">
        <x:v>0.13499999999999995</x:v>
      </x:c>
      <x:c r="J4955" s="16" t="n">
        <x:v>0</x:v>
      </x:c>
      <x:c r="K4955" s="11" t="n">
        <x:f>CHOOSE('假设'!$B$3,H4955,I4955,J4955)</x:f>
        <x:v>0.13499999999999995</x:v>
      </x:c>
      <x:c r="L4955" s="11" t="n">
        <x:f>K4955*'管线假设'!E1063*'管线假设'!F1063*'管线假设'!G1063*IF(E4955="USD",'管线假设'!I1063,1)-AM4955</x:f>
        <x:v>0.004049999999999998</x:v>
      </x:c>
      <x:c r="M4955" s="11" t="n">
        <x:f>'管线假设'!H1063</x:f>
        <x:v>0.14</x:v>
      </x:c>
      <x:c r="N4955" s="11" t="n">
        <x:f>IF(G4955,L4955*AN4955/(1+M4955)^F4955,0)</x:f>
        <x:v>0.0003829039095769028</x:v>
      </x:c>
      <x:c r="AJ4955" t="n">
        <x:v>0</x:v>
      </x:c>
      <x:c r="AK4955" t="n">
        <x:v>0</x:v>
      </x:c>
      <x:c r="AL4955" t="n">
        <x:v>0</x:v>
      </x:c>
      <x:c r="AM4955" t="n">
        <x:f>CHOOSE('假设'!$B$3,AJ4955,AK4955,AL4955)</x:f>
        <x:v>0</x:v>
      </x:c>
      <x:c r="AN4955" t="n">
        <x:v>1</x:v>
      </x:c>
    </x:row>
    <x:row r="4956" ht="23" customHeight="1">
      <x:c r="A4956" s="11" t="str">
        <x:v>688062.SH</x:v>
      </x:c>
      <x:c r="B4956" s="11" t="str">
        <x:v>2026年底</x:v>
      </x:c>
      <x:c r="C4956" s="11" t="str">
        <x:v>cdh17</x:v>
      </x:c>
      <x:c r="D4956" s="11" t="str">
        <x:v>2045-12-31</x:v>
      </x:c>
      <x:c r="E4956" s="11" t="str">
        <x:v>CNY</x:v>
      </x:c>
      <x:c r="F4956" s="11" t="n">
        <x:v>19.000684462696782</x:v>
      </x:c>
      <x:c r="G4956" s="26" t="b">
        <x:v>1</x:v>
      </x:c>
      <x:c r="H4956" s="16" t="n">
        <x:v>0.10999999999999999</x:v>
      </x:c>
      <x:c r="I4956" s="16" t="n">
        <x:v>0</x:v>
      </x:c>
      <x:c r="J4956" s="16" t="n">
        <x:v>0</x:v>
      </x:c>
      <x:c r="K4956" s="11" t="n">
        <x:f>CHOOSE('假设'!$B$3,H4956,I4956,J4956)</x:f>
        <x:v>0</x:v>
      </x:c>
      <x:c r="L4956" s="11" t="n">
        <x:f>K4956*'管线假设'!E1063*'管线假设'!F1063*'管线假设'!G1063*IF(E4956="USD",'管线假设'!I1063,1)-AM4956</x:f>
        <x:v>0</x:v>
      </x:c>
      <x:c r="M4956" s="11" t="n">
        <x:f>'管线假设'!H1063</x:f>
        <x:v>0.14</x:v>
      </x:c>
      <x:c r="N4956" s="11" t="n">
        <x:f>IF(G4956,L4956*AN4956/(1+M4956)^F4956,0)</x:f>
        <x:v>0</x:v>
      </x:c>
      <x:c r="AJ4956" t="n">
        <x:v>0</x:v>
      </x:c>
      <x:c r="AK4956" t="n">
        <x:v>0</x:v>
      </x:c>
      <x:c r="AL4956" t="n">
        <x:v>0</x:v>
      </x:c>
      <x:c r="AM4956" t="n">
        <x:f>CHOOSE('假设'!$B$3,AJ4956,AK4956,AL4956)</x:f>
        <x:v>0</x:v>
      </x:c>
      <x:c r="AN4956" t="n">
        <x:v>1</x:v>
      </x:c>
    </x:row>
    <x:row r="4957" ht="23" customHeight="1">
      <x:c r="A4957" s="11" t="str">
        <x:v>688062.SH</x:v>
      </x:c>
      <x:c r="B4957" s="11" t="str">
        <x:v>2026年底</x:v>
      </x:c>
      <x:c r="C4957" s="11" t="str">
        <x:v>st2</x:v>
      </x:c>
      <x:c r="D4957" s="11" t="str">
        <x:v>2027-12-31</x:v>
      </x:c>
      <x:c r="E4957" s="11" t="str">
        <x:v>CNY</x:v>
      </x:c>
      <x:c r="F4957" s="11" t="n">
        <x:v>0.999315537303217</x:v>
      </x:c>
      <x:c r="G4957" s="26" t="b">
        <x:v>1</x:v>
      </x:c>
      <x:c r="H4957" s="16" t="n">
        <x:v>0</x:v>
      </x:c>
      <x:c r="I4957" s="16" t="n">
        <x:v>0</x:v>
      </x:c>
      <x:c r="J4957" s="16" t="n">
        <x:v>0</x:v>
      </x:c>
      <x:c r="K4957" s="11" t="n">
        <x:f>CHOOSE('假设'!$B$3,H4957,I4957,J4957)</x:f>
        <x:v>0</x:v>
      </x:c>
      <x:c r="L4957" s="11" t="n">
        <x:f>K4957*'管线假设'!E1067*'管线假设'!F1067*'管线假设'!G1067*IF(E4957="USD",'管线假设'!I1067,1)-AM4957</x:f>
        <x:v>0</x:v>
      </x:c>
      <x:c r="M4957" s="11" t="n">
        <x:f>'管线假设'!H1067</x:f>
        <x:v>0.14</x:v>
      </x:c>
      <x:c r="N4957" s="11" t="n">
        <x:f>IF(G4957,L4957*AN4957/(1+M4957)^F4957,0)</x:f>
        <x:v>0</x:v>
      </x:c>
      <x:c r="AJ4957" t="n">
        <x:v>0</x:v>
      </x:c>
      <x:c r="AK4957" t="n">
        <x:v>0</x:v>
      </x:c>
      <x:c r="AL4957" t="n">
        <x:v>0</x:v>
      </x:c>
      <x:c r="AM4957" t="n">
        <x:f>CHOOSE('假设'!$B$3,AJ4957,AK4957,AL4957)</x:f>
        <x:v>0</x:v>
      </x:c>
      <x:c r="AN4957" t="n">
        <x:v>1</x:v>
      </x:c>
    </x:row>
    <x:row r="4958" ht="23" customHeight="1">
      <x:c r="A4958" s="11" t="str">
        <x:v>688062.SH</x:v>
      </x:c>
      <x:c r="B4958" s="11" t="str">
        <x:v>2026年底</x:v>
      </x:c>
      <x:c r="C4958" s="11" t="str">
        <x:v>st2</x:v>
      </x:c>
      <x:c r="D4958" s="11" t="str">
        <x:v>2028-12-31</x:v>
      </x:c>
      <x:c r="E4958" s="11" t="str">
        <x:v>CNY</x:v>
      </x:c>
      <x:c r="F4958" s="11" t="n">
        <x:v>2.001368925393566</x:v>
      </x:c>
      <x:c r="G4958" s="26" t="b">
        <x:v>1</x:v>
      </x:c>
      <x:c r="H4958" s="16" t="n">
        <x:v>0</x:v>
      </x:c>
      <x:c r="I4958" s="16" t="n">
        <x:v>0</x:v>
      </x:c>
      <x:c r="J4958" s="16" t="n">
        <x:v>0</x:v>
      </x:c>
      <x:c r="K4958" s="11" t="n">
        <x:f>CHOOSE('假设'!$B$3,H4958,I4958,J4958)</x:f>
        <x:v>0</x:v>
      </x:c>
      <x:c r="L4958" s="11" t="n">
        <x:f>K4958*'管线假设'!E1067*'管线假设'!F1067*'管线假设'!G1067*IF(E4958="USD",'管线假设'!I1067,1)-AM4958</x:f>
        <x:v>0</x:v>
      </x:c>
      <x:c r="M4958" s="11" t="n">
        <x:f>'管线假设'!H1067</x:f>
        <x:v>0.14</x:v>
      </x:c>
      <x:c r="N4958" s="11" t="n">
        <x:f>IF(G4958,L4958*AN4958/(1+M4958)^F4958,0)</x:f>
        <x:v>0</x:v>
      </x:c>
      <x:c r="AJ4958" t="n">
        <x:v>0</x:v>
      </x:c>
      <x:c r="AK4958" t="n">
        <x:v>0</x:v>
      </x:c>
      <x:c r="AL4958" t="n">
        <x:v>0</x:v>
      </x:c>
      <x:c r="AM4958" t="n">
        <x:f>CHOOSE('假设'!$B$3,AJ4958,AK4958,AL4958)</x:f>
        <x:v>0</x:v>
      </x:c>
      <x:c r="AN4958" t="n">
        <x:v>1</x:v>
      </x:c>
    </x:row>
    <x:row r="4959" ht="23" customHeight="1">
      <x:c r="A4959" s="11" t="str">
        <x:v>688062.SH</x:v>
      </x:c>
      <x:c r="B4959" s="11" t="str">
        <x:v>2026年底</x:v>
      </x:c>
      <x:c r="C4959" s="11" t="str">
        <x:v>st2</x:v>
      </x:c>
      <x:c r="D4959" s="11" t="str">
        <x:v>2029-12-31</x:v>
      </x:c>
      <x:c r="E4959" s="11" t="str">
        <x:v>CNY</x:v>
      </x:c>
      <x:c r="F4959" s="11" t="n">
        <x:v>3.0006844626967832</x:v>
      </x:c>
      <x:c r="G4959" s="26" t="b">
        <x:v>1</x:v>
      </x:c>
      <x:c r="H4959" s="16" t="n">
        <x:v>0</x:v>
      </x:c>
      <x:c r="I4959" s="16" t="n">
        <x:v>0</x:v>
      </x:c>
      <x:c r="J4959" s="16" t="n">
        <x:v>0.5833333333333333</x:v>
      </x:c>
      <x:c r="K4959" s="11" t="n">
        <x:f>CHOOSE('假设'!$B$3,H4959,I4959,J4959)</x:f>
        <x:v>0</x:v>
      </x:c>
      <x:c r="L4959" s="11" t="n">
        <x:f>K4959*'管线假设'!E1067*'管线假设'!F1067*'管线假设'!G1067*IF(E4959="USD",'管线假设'!I1067,1)-AM4959</x:f>
        <x:v>0</x:v>
      </x:c>
      <x:c r="M4959" s="11" t="n">
        <x:f>'管线假设'!H1067</x:f>
        <x:v>0.14</x:v>
      </x:c>
      <x:c r="N4959" s="11" t="n">
        <x:f>IF(G4959,L4959*AN4959/(1+M4959)^F4959,0)</x:f>
        <x:v>0</x:v>
      </x:c>
      <x:c r="AJ4959" t="n">
        <x:v>0</x:v>
      </x:c>
      <x:c r="AK4959" t="n">
        <x:v>0</x:v>
      </x:c>
      <x:c r="AL4959" t="n">
        <x:v>0</x:v>
      </x:c>
      <x:c r="AM4959" t="n">
        <x:f>CHOOSE('假设'!$B$3,AJ4959,AK4959,AL4959)</x:f>
        <x:v>0</x:v>
      </x:c>
      <x:c r="AN4959" t="n">
        <x:v>1</x:v>
      </x:c>
    </x:row>
    <x:row r="4960" ht="23" customHeight="1">
      <x:c r="A4960" s="11" t="str">
        <x:v>688062.SH</x:v>
      </x:c>
      <x:c r="B4960" s="11" t="str">
        <x:v>2026年底</x:v>
      </x:c>
      <x:c r="C4960" s="11" t="str">
        <x:v>st2</x:v>
      </x:c>
      <x:c r="D4960" s="11" t="str">
        <x:v>2030-12-31</x:v>
      </x:c>
      <x:c r="E4960" s="11" t="str">
        <x:v>CNY</x:v>
      </x:c>
      <x:c r="F4960" s="11" t="n">
        <x:v>4</x:v>
      </x:c>
      <x:c r="G4960" s="26" t="b">
        <x:v>1</x:v>
      </x:c>
      <x:c r="H4960" s="16" t="n">
        <x:v>0</x:v>
      </x:c>
      <x:c r="I4960" s="16" t="n">
        <x:v>0</x:v>
      </x:c>
      <x:c r="J4960" s="16" t="n">
        <x:v>1.1666666666666665</x:v>
      </x:c>
      <x:c r="K4960" s="11" t="n">
        <x:f>CHOOSE('假设'!$B$3,H4960,I4960,J4960)</x:f>
        <x:v>0</x:v>
      </x:c>
      <x:c r="L4960" s="11" t="n">
        <x:f>K4960*'管线假设'!E1067*'管线假设'!F1067*'管线假设'!G1067*IF(E4960="USD",'管线假设'!I1067,1)-AM4960</x:f>
        <x:v>0</x:v>
      </x:c>
      <x:c r="M4960" s="11" t="n">
        <x:f>'管线假设'!H1067</x:f>
        <x:v>0.14</x:v>
      </x:c>
      <x:c r="N4960" s="11" t="n">
        <x:f>IF(G4960,L4960*AN4960/(1+M4960)^F4960,0)</x:f>
        <x:v>0</x:v>
      </x:c>
      <x:c r="AJ4960" t="n">
        <x:v>0</x:v>
      </x:c>
      <x:c r="AK4960" t="n">
        <x:v>0</x:v>
      </x:c>
      <x:c r="AL4960" t="n">
        <x:v>0</x:v>
      </x:c>
      <x:c r="AM4960" t="n">
        <x:f>CHOOSE('假设'!$B$3,AJ4960,AK4960,AL4960)</x:f>
        <x:v>0</x:v>
      </x:c>
      <x:c r="AN4960" t="n">
        <x:v>1</x:v>
      </x:c>
    </x:row>
    <x:row r="4961" ht="23" customHeight="1">
      <x:c r="A4961" s="11" t="str">
        <x:v>688062.SH</x:v>
      </x:c>
      <x:c r="B4961" s="11" t="str">
        <x:v>2026年底</x:v>
      </x:c>
      <x:c r="C4961" s="11" t="str">
        <x:v>st2</x:v>
      </x:c>
      <x:c r="D4961" s="11" t="str">
        <x:v>2031-12-31</x:v>
      </x:c>
      <x:c r="E4961" s="11" t="str">
        <x:v>CNY</x:v>
      </x:c>
      <x:c r="F4961" s="11" t="n">
        <x:v>4.999315537303217</x:v>
      </x:c>
      <x:c r="G4961" s="26" t="b">
        <x:v>1</x:v>
      </x:c>
      <x:c r="H4961" s="16" t="n">
        <x:v>0</x:v>
      </x:c>
      <x:c r="I4961" s="16" t="n">
        <x:v>0.3333333333333333</x:v>
      </x:c>
      <x:c r="J4961" s="16" t="n">
        <x:v>1.75</x:v>
      </x:c>
      <x:c r="K4961" s="11" t="n">
        <x:f>CHOOSE('假设'!$B$3,H4961,I4961,J4961)</x:f>
        <x:v>0.3333333333333333</x:v>
      </x:c>
      <x:c r="L4961" s="11" t="n">
        <x:f>K4961*'管线假设'!E1067*'管线假设'!F1067*'管线假设'!G1067*IF(E4961="USD",'管线假设'!I1067,1)-AM4961</x:f>
        <x:v>0.024999999999999998</x:v>
      </x:c>
      <x:c r="M4961" s="11" t="n">
        <x:f>'管线假设'!H1067</x:f>
        <x:v>0.14</x:v>
      </x:c>
      <x:c r="N4961" s="11" t="n">
        <x:f>IF(G4961,L4961*AN4961/(1+M4961)^F4961,0)</x:f>
        <x:v>0.012985381137149312</x:v>
      </x:c>
      <x:c r="AJ4961" t="n">
        <x:v>0</x:v>
      </x:c>
      <x:c r="AK4961" t="n">
        <x:v>0</x:v>
      </x:c>
      <x:c r="AL4961" t="n">
        <x:v>0</x:v>
      </x:c>
      <x:c r="AM4961" t="n">
        <x:f>CHOOSE('假设'!$B$3,AJ4961,AK4961,AL4961)</x:f>
        <x:v>0</x:v>
      </x:c>
      <x:c r="AN4961" t="n">
        <x:v>1</x:v>
      </x:c>
    </x:row>
    <x:row r="4962" ht="23" customHeight="1">
      <x:c r="A4962" s="11" t="str">
        <x:v>688062.SH</x:v>
      </x:c>
      <x:c r="B4962" s="11" t="str">
        <x:v>2026年底</x:v>
      </x:c>
      <x:c r="C4962" s="11" t="str">
        <x:v>st2</x:v>
      </x:c>
      <x:c r="D4962" s="11" t="str">
        <x:v>2032-12-31</x:v>
      </x:c>
      <x:c r="E4962" s="11" t="str">
        <x:v>CNY</x:v>
      </x:c>
      <x:c r="F4962" s="11" t="n">
        <x:v>6.0013689253935665</x:v>
      </x:c>
      <x:c r="G4962" s="26" t="b">
        <x:v>1</x:v>
      </x:c>
      <x:c r="H4962" s="16" t="n">
        <x:v>0</x:v>
      </x:c>
      <x:c r="I4962" s="16" t="n">
        <x:v>0.6666666666666666</x:v>
      </x:c>
      <x:c r="J4962" s="16" t="n">
        <x:v>2.333333333333333</x:v>
      </x:c>
      <x:c r="K4962" s="11" t="n">
        <x:f>CHOOSE('假设'!$B$3,H4962,I4962,J4962)</x:f>
        <x:v>0.6666666666666666</x:v>
      </x:c>
      <x:c r="L4962" s="11" t="n">
        <x:f>K4962*'管线假设'!E1067*'管线假设'!F1067*'管线假设'!G1067*IF(E4962="USD",'管线假设'!I1067,1)-AM4962</x:f>
        <x:v>0.049999999999999996</x:v>
      </x:c>
      <x:c r="M4962" s="11" t="n">
        <x:f>'管线假设'!H1067</x:f>
        <x:v>0.14</x:v>
      </x:c>
      <x:c r="N4962" s="11" t="n">
        <x:f>IF(G4962,L4962*AN4962/(1+M4962)^F4962,0)</x:f>
        <x:v>0.022775241870144878</x:v>
      </x:c>
      <x:c r="AJ4962" t="n">
        <x:v>0</x:v>
      </x:c>
      <x:c r="AK4962" t="n">
        <x:v>0</x:v>
      </x:c>
      <x:c r="AL4962" t="n">
        <x:v>0</x:v>
      </x:c>
      <x:c r="AM4962" t="n">
        <x:f>CHOOSE('假设'!$B$3,AJ4962,AK4962,AL4962)</x:f>
        <x:v>0</x:v>
      </x:c>
      <x:c r="AN4962" t="n">
        <x:v>1</x:v>
      </x:c>
    </x:row>
    <x:row r="4963" ht="23" customHeight="1">
      <x:c r="A4963" s="11" t="str">
        <x:v>688062.SH</x:v>
      </x:c>
      <x:c r="B4963" s="11" t="str">
        <x:v>2026年底</x:v>
      </x:c>
      <x:c r="C4963" s="11" t="str">
        <x:v>st2</x:v>
      </x:c>
      <x:c r="D4963" s="11" t="str">
        <x:v>2033-12-31</x:v>
      </x:c>
      <x:c r="E4963" s="11" t="str">
        <x:v>CNY</x:v>
      </x:c>
      <x:c r="F4963" s="11" t="n">
        <x:v>7.000684462696783</x:v>
      </x:c>
      <x:c r="G4963" s="26" t="b">
        <x:v>1</x:v>
      </x:c>
      <x:c r="H4963" s="16" t="n">
        <x:v>0</x:v>
      </x:c>
      <x:c r="I4963" s="16" t="n">
        <x:v>1</x:v>
      </x:c>
      <x:c r="J4963" s="16" t="n">
        <x:v>2.916666666666667</x:v>
      </x:c>
      <x:c r="K4963" s="11" t="n">
        <x:f>CHOOSE('假设'!$B$3,H4963,I4963,J4963)</x:f>
        <x:v>1</x:v>
      </x:c>
      <x:c r="L4963" s="11" t="n">
        <x:f>K4963*'管线假设'!E1067*'管线假设'!F1067*'管线假设'!G1067*IF(E4963="USD",'管线假设'!I1067,1)-AM4963</x:f>
        <x:v>0.075</x:v>
      </x:c>
      <x:c r="M4963" s="11" t="n">
        <x:f>'管线假设'!H1067</x:f>
        <x:v>0.14</x:v>
      </x:c>
      <x:c r="N4963" s="11" t="n">
        <x:f>IF(G4963,L4963*AN4963/(1+M4963)^F4963,0)</x:f>
        <x:v>0.02997011123101629</x:v>
      </x:c>
      <x:c r="AJ4963" t="n">
        <x:v>0</x:v>
      </x:c>
      <x:c r="AK4963" t="n">
        <x:v>0</x:v>
      </x:c>
      <x:c r="AL4963" t="n">
        <x:v>0</x:v>
      </x:c>
      <x:c r="AM4963" t="n">
        <x:f>CHOOSE('假设'!$B$3,AJ4963,AK4963,AL4963)</x:f>
        <x:v>0</x:v>
      </x:c>
      <x:c r="AN4963" t="n">
        <x:v>1</x:v>
      </x:c>
    </x:row>
    <x:row r="4964" ht="23" customHeight="1">
      <x:c r="A4964" s="11" t="str">
        <x:v>688062.SH</x:v>
      </x:c>
      <x:c r="B4964" s="11" t="str">
        <x:v>2026年底</x:v>
      </x:c>
      <x:c r="C4964" s="11" t="str">
        <x:v>st2</x:v>
      </x:c>
      <x:c r="D4964" s="11" t="str">
        <x:v>2034-12-31</x:v>
      </x:c>
      <x:c r="E4964" s="11" t="str">
        <x:v>CNY</x:v>
      </x:c>
      <x:c r="F4964" s="11" t="n">
        <x:v>8</x:v>
      </x:c>
      <x:c r="G4964" s="26" t="b">
        <x:v>1</x:v>
      </x:c>
      <x:c r="H4964" s="16" t="n">
        <x:v>0.12</x:v>
      </x:c>
      <x:c r="I4964" s="16" t="n">
        <x:v>1.3333333333333333</x:v>
      </x:c>
      <x:c r="J4964" s="16" t="n">
        <x:v>3.5</x:v>
      </x:c>
      <x:c r="K4964" s="11" t="n">
        <x:f>CHOOSE('假设'!$B$3,H4964,I4964,J4964)</x:f>
        <x:v>1.3333333333333333</x:v>
      </x:c>
      <x:c r="L4964" s="11" t="n">
        <x:f>K4964*'管线假设'!E1067*'管线假设'!F1067*'管线假设'!G1067*IF(E4964="USD",'管线假设'!I1067,1)-AM4964</x:f>
        <x:v>0.09999999999999999</x:v>
      </x:c>
      <x:c r="M4964" s="11" t="n">
        <x:f>'管线假设'!H1067</x:f>
        <x:v>0.14</x:v>
      </x:c>
      <x:c r="N4964" s="11" t="n">
        <x:f>IF(G4964,L4964*AN4964/(1+M4964)^F4964,0)</x:f>
        <x:v>0.03505590548507605</x:v>
      </x:c>
      <x:c r="AJ4964" t="n">
        <x:v>0</x:v>
      </x:c>
      <x:c r="AK4964" t="n">
        <x:v>0</x:v>
      </x:c>
      <x:c r="AL4964" t="n">
        <x:v>0</x:v>
      </x:c>
      <x:c r="AM4964" t="n">
        <x:f>CHOOSE('假设'!$B$3,AJ4964,AK4964,AL4964)</x:f>
        <x:v>0</x:v>
      </x:c>
      <x:c r="AN4964" t="n">
        <x:v>1</x:v>
      </x:c>
    </x:row>
    <x:row r="4965" ht="23" customHeight="1">
      <x:c r="A4965" s="11" t="str">
        <x:v>688062.SH</x:v>
      </x:c>
      <x:c r="B4965" s="11" t="str">
        <x:v>2026年底</x:v>
      </x:c>
      <x:c r="C4965" s="11" t="str">
        <x:v>st2</x:v>
      </x:c>
      <x:c r="D4965" s="11" t="str">
        <x:v>2035-12-31</x:v>
      </x:c>
      <x:c r="E4965" s="11" t="str">
        <x:v>CNY</x:v>
      </x:c>
      <x:c r="F4965" s="11" t="n">
        <x:v>8.999315537303216</x:v>
      </x:c>
      <x:c r="G4965" s="26" t="b">
        <x:v>1</x:v>
      </x:c>
      <x:c r="H4965" s="16" t="n">
        <x:v>0.24</x:v>
      </x:c>
      <x:c r="I4965" s="16" t="n">
        <x:v>1.6666666666666667</x:v>
      </x:c>
      <x:c r="J4965" s="16" t="n">
        <x:v>3.045</x:v>
      </x:c>
      <x:c r="K4965" s="11" t="n">
        <x:f>CHOOSE('假设'!$B$3,H4965,I4965,J4965)</x:f>
        <x:v>1.6666666666666667</x:v>
      </x:c>
      <x:c r="L4965" s="11" t="n">
        <x:f>K4965*'管线假设'!E1067*'管线假设'!F1067*'管线假设'!G1067*IF(E4965="USD",'管线假设'!I1067,1)-AM4965</x:f>
        <x:v>0.125</x:v>
      </x:c>
      <x:c r="M4965" s="11" t="n">
        <x:f>'管线假设'!H1067</x:f>
        <x:v>0.14</x:v>
      </x:c>
      <x:c r="N4965" s="11" t="n">
        <x:f>IF(G4965,L4965*AN4965/(1+M4965)^F4965,0)</x:f>
        <x:v>0.038441940327204965</x:v>
      </x:c>
      <x:c r="AJ4965" t="n">
        <x:v>0</x:v>
      </x:c>
      <x:c r="AK4965" t="n">
        <x:v>0</x:v>
      </x:c>
      <x:c r="AL4965" t="n">
        <x:v>0</x:v>
      </x:c>
      <x:c r="AM4965" t="n">
        <x:f>CHOOSE('假设'!$B$3,AJ4965,AK4965,AL4965)</x:f>
        <x:v>0</x:v>
      </x:c>
      <x:c r="AN4965" t="n">
        <x:v>1</x:v>
      </x:c>
    </x:row>
    <x:row r="4966" ht="23" customHeight="1">
      <x:c r="A4966" s="11" t="str">
        <x:v>688062.SH</x:v>
      </x:c>
      <x:c r="B4966" s="11" t="str">
        <x:v>2026年底</x:v>
      </x:c>
      <x:c r="C4966" s="11" t="str">
        <x:v>st2</x:v>
      </x:c>
      <x:c r="D4966" s="11" t="str">
        <x:v>2036-12-31</x:v>
      </x:c>
      <x:c r="E4966" s="11" t="str">
        <x:v>CNY</x:v>
      </x:c>
      <x:c r="F4966" s="11" t="n">
        <x:v>10.001368925393566</x:v>
      </x:c>
      <x:c r="G4966" s="26" t="b">
        <x:v>1</x:v>
      </x:c>
      <x:c r="H4966" s="16" t="n">
        <x:v>0.36</x:v>
      </x:c>
      <x:c r="I4966" s="16" t="n">
        <x:v>2</x:v>
      </x:c>
      <x:c r="J4966" s="16" t="n">
        <x:v>2.59</x:v>
      </x:c>
      <x:c r="K4966" s="11" t="n">
        <x:f>CHOOSE('假设'!$B$3,H4966,I4966,J4966)</x:f>
        <x:v>2</x:v>
      </x:c>
      <x:c r="L4966" s="11" t="n">
        <x:f>K4966*'管线假设'!E1067*'管线假设'!F1067*'管线假设'!G1067*IF(E4966="USD",'管线假设'!I1067,1)-AM4966</x:f>
        <x:v>0.15</x:v>
      </x:c>
      <x:c r="M4966" s="11" t="n">
        <x:f>'管线假设'!H1067</x:f>
        <x:v>0.14</x:v>
      </x:c>
      <x:c r="N4966" s="11" t="n">
        <x:f>IF(G4966,L4966*AN4966/(1+M4966)^F4966,0)</x:f>
        <x:v>0.0404543145709456</x:v>
      </x:c>
      <x:c r="AJ4966" t="n">
        <x:v>0</x:v>
      </x:c>
      <x:c r="AK4966" t="n">
        <x:v>0</x:v>
      </x:c>
      <x:c r="AL4966" t="n">
        <x:v>0</x:v>
      </x:c>
      <x:c r="AM4966" t="n">
        <x:f>CHOOSE('假设'!$B$3,AJ4966,AK4966,AL4966)</x:f>
        <x:v>0</x:v>
      </x:c>
      <x:c r="AN4966" t="n">
        <x:v>1</x:v>
      </x:c>
    </x:row>
    <x:row r="4967" ht="23" customHeight="1">
      <x:c r="A4967" s="11" t="str">
        <x:v>688062.SH</x:v>
      </x:c>
      <x:c r="B4967" s="11" t="str">
        <x:v>2026年底</x:v>
      </x:c>
      <x:c r="C4967" s="11" t="str">
        <x:v>st2</x:v>
      </x:c>
      <x:c r="D4967" s="11" t="str">
        <x:v>2037-12-31</x:v>
      </x:c>
      <x:c r="E4967" s="11" t="str">
        <x:v>CNY</x:v>
      </x:c>
      <x:c r="F4967" s="11" t="n">
        <x:v>11.000684462696784</x:v>
      </x:c>
      <x:c r="G4967" s="26" t="b">
        <x:v>1</x:v>
      </x:c>
      <x:c r="H4967" s="16" t="n">
        <x:v>0.48</x:v>
      </x:c>
      <x:c r="I4967" s="16" t="n">
        <x:v>1.74</x:v>
      </x:c>
      <x:c r="J4967" s="16" t="n">
        <x:v>2.135</x:v>
      </x:c>
      <x:c r="K4967" s="11" t="n">
        <x:f>CHOOSE('假设'!$B$3,H4967,I4967,J4967)</x:f>
        <x:v>1.74</x:v>
      </x:c>
      <x:c r="L4967" s="11" t="n">
        <x:f>K4967*'管线假设'!E1067*'管线假设'!F1067*'管线假设'!G1067*IF(E4967="USD",'管线假设'!I1067,1)-AM4967</x:f>
        <x:v>0.1305</x:v>
      </x:c>
      <x:c r="M4967" s="11" t="n">
        <x:f>'管线假设'!H1067</x:f>
        <x:v>0.14</x:v>
      </x:c>
      <x:c r="N4967" s="11" t="n">
        <x:f>IF(G4967,L4967*AN4967/(1+M4967)^F4967,0)</x:f>
        <x:v>0.030875798480627468</x:v>
      </x:c>
      <x:c r="AJ4967" t="n">
        <x:v>0</x:v>
      </x:c>
      <x:c r="AK4967" t="n">
        <x:v>0</x:v>
      </x:c>
      <x:c r="AL4967" t="n">
        <x:v>0</x:v>
      </x:c>
      <x:c r="AM4967" t="n">
        <x:f>CHOOSE('假设'!$B$3,AJ4967,AK4967,AL4967)</x:f>
        <x:v>0</x:v>
      </x:c>
      <x:c r="AN4967" t="n">
        <x:v>1</x:v>
      </x:c>
    </x:row>
    <x:row r="4968" ht="23" customHeight="1">
      <x:c r="A4968" s="11" t="str">
        <x:v>688062.SH</x:v>
      </x:c>
      <x:c r="B4968" s="11" t="str">
        <x:v>2026年底</x:v>
      </x:c>
      <x:c r="C4968" s="11" t="str">
        <x:v>st2</x:v>
      </x:c>
      <x:c r="D4968" s="11" t="str">
        <x:v>2038-12-31</x:v>
      </x:c>
      <x:c r="E4968" s="11" t="str">
        <x:v>CNY</x:v>
      </x:c>
      <x:c r="F4968" s="11" t="n">
        <x:v>12</x:v>
      </x:c>
      <x:c r="G4968" s="26" t="b">
        <x:v>1</x:v>
      </x:c>
      <x:c r="H4968" s="16" t="n">
        <x:v>0.6</x:v>
      </x:c>
      <x:c r="I4968" s="16" t="n">
        <x:v>1.48</x:v>
      </x:c>
      <x:c r="J4968" s="16" t="n">
        <x:v>1.68</x:v>
      </x:c>
      <x:c r="K4968" s="11" t="n">
        <x:f>CHOOSE('假设'!$B$3,H4968,I4968,J4968)</x:f>
        <x:v>1.48</x:v>
      </x:c>
      <x:c r="L4968" s="11" t="n">
        <x:f>K4968*'管线假设'!E1067*'管线假设'!F1067*'管线假设'!G1067*IF(E4968="USD",'管线假设'!I1067,1)-AM4968</x:f>
        <x:v>0.111</x:v>
      </x:c>
      <x:c r="M4968" s="11" t="n">
        <x:f>'管线假设'!H1067</x:f>
        <x:v>0.14</x:v>
      </x:c>
      <x:c r="N4968" s="11" t="n">
        <x:f>IF(G4968,L4968*AN4968/(1+M4968)^F4968,0)</x:f>
        <x:v>0.02303906036980434</x:v>
      </x:c>
      <x:c r="AJ4968" t="n">
        <x:v>0</x:v>
      </x:c>
      <x:c r="AK4968" t="n">
        <x:v>0</x:v>
      </x:c>
      <x:c r="AL4968" t="n">
        <x:v>0</x:v>
      </x:c>
      <x:c r="AM4968" t="n">
        <x:f>CHOOSE('假设'!$B$3,AJ4968,AK4968,AL4968)</x:f>
        <x:v>0</x:v>
      </x:c>
      <x:c r="AN4968" t="n">
        <x:v>1</x:v>
      </x:c>
    </x:row>
    <x:row r="4969" ht="23" customHeight="1">
      <x:c r="A4969" s="11" t="str">
        <x:v>688062.SH</x:v>
      </x:c>
      <x:c r="B4969" s="11" t="str">
        <x:v>2026年底</x:v>
      </x:c>
      <x:c r="C4969" s="11" t="str">
        <x:v>st2</x:v>
      </x:c>
      <x:c r="D4969" s="11" t="str">
        <x:v>2039-12-31</x:v>
      </x:c>
      <x:c r="E4969" s="11" t="str">
        <x:v>CNY</x:v>
      </x:c>
      <x:c r="F4969" s="11" t="n">
        <x:v>12.999315537303216</x:v>
      </x:c>
      <x:c r="G4969" s="26" t="b">
        <x:v>1</x:v>
      </x:c>
      <x:c r="H4969" s="16" t="n">
        <x:v>0.522</x:v>
      </x:c>
      <x:c r="I4969" s="16" t="n">
        <x:v>1.22</x:v>
      </x:c>
      <x:c r="J4969" s="16" t="n">
        <x:v>1.2249999999999999</x:v>
      </x:c>
      <x:c r="K4969" s="11" t="n">
        <x:f>CHOOSE('假设'!$B$3,H4969,I4969,J4969)</x:f>
        <x:v>1.22</x:v>
      </x:c>
      <x:c r="L4969" s="11" t="n">
        <x:f>K4969*'管线假设'!E1067*'管线假设'!F1067*'管线假设'!G1067*IF(E4969="USD",'管线假设'!I1067,1)-AM4969</x:f>
        <x:v>0.0915</x:v>
      </x:c>
      <x:c r="M4969" s="11" t="n">
        <x:f>'管线假设'!H1067</x:f>
        <x:v>0.14</x:v>
      </x:c>
      <x:c r="N4969" s="11" t="n">
        <x:f>IF(G4969,L4969*AN4969/(1+M4969)^F4969,0)</x:f>
        <x:v>0.016660843154236403</x:v>
      </x:c>
      <x:c r="AJ4969" t="n">
        <x:v>0</x:v>
      </x:c>
      <x:c r="AK4969" t="n">
        <x:v>0</x:v>
      </x:c>
      <x:c r="AL4969" t="n">
        <x:v>0</x:v>
      </x:c>
      <x:c r="AM4969" t="n">
        <x:f>CHOOSE('假设'!$B$3,AJ4969,AK4969,AL4969)</x:f>
        <x:v>0</x:v>
      </x:c>
      <x:c r="AN4969" t="n">
        <x:v>1</x:v>
      </x:c>
    </x:row>
    <x:row r="4970" ht="23" customHeight="1">
      <x:c r="A4970" s="11" t="str">
        <x:v>688062.SH</x:v>
      </x:c>
      <x:c r="B4970" s="11" t="str">
        <x:v>2026年底</x:v>
      </x:c>
      <x:c r="C4970" s="11" t="str">
        <x:v>st2</x:v>
      </x:c>
      <x:c r="D4970" s="11" t="str">
        <x:v>2040-12-31</x:v>
      </x:c>
      <x:c r="E4970" s="11" t="str">
        <x:v>CNY</x:v>
      </x:c>
      <x:c r="F4970" s="11" t="n">
        <x:v>14.001368925393566</x:v>
      </x:c>
      <x:c r="G4970" s="26" t="b">
        <x:v>1</x:v>
      </x:c>
      <x:c r="H4970" s="16" t="n">
        <x:v>0.444</x:v>
      </x:c>
      <x:c r="I4970" s="16" t="n">
        <x:v>0.96</x:v>
      </x:c>
      <x:c r="J4970" s="16" t="n">
        <x:v>0.7699999999999999</x:v>
      </x:c>
      <x:c r="K4970" s="11" t="n">
        <x:f>CHOOSE('假设'!$B$3,H4970,I4970,J4970)</x:f>
        <x:v>0.96</x:v>
      </x:c>
      <x:c r="L4970" s="11" t="n">
        <x:f>K4970*'管线假设'!E1067*'管线假设'!F1067*'管线假设'!G1067*IF(E4970="USD",'管线假设'!I1067,1)-AM4970</x:f>
        <x:v>0.072</x:v>
      </x:c>
      <x:c r="M4970" s="11" t="n">
        <x:f>'管线假设'!H1067</x:f>
        <x:v>0.14</x:v>
      </x:c>
      <x:c r="N4970" s="11" t="n">
        <x:f>IF(G4970,L4970*AN4970/(1+M4970)^F4970,0)</x:f>
        <x:v>0.011497056860153457</x:v>
      </x:c>
      <x:c r="AJ4970" t="n">
        <x:v>0</x:v>
      </x:c>
      <x:c r="AK4970" t="n">
        <x:v>0</x:v>
      </x:c>
      <x:c r="AL4970" t="n">
        <x:v>0</x:v>
      </x:c>
      <x:c r="AM4970" t="n">
        <x:f>CHOOSE('假设'!$B$3,AJ4970,AK4970,AL4970)</x:f>
        <x:v>0</x:v>
      </x:c>
      <x:c r="AN4970" t="n">
        <x:v>1</x:v>
      </x:c>
    </x:row>
    <x:row r="4971" ht="23" customHeight="1">
      <x:c r="A4971" s="11" t="str">
        <x:v>688062.SH</x:v>
      </x:c>
      <x:c r="B4971" s="11" t="str">
        <x:v>2026年底</x:v>
      </x:c>
      <x:c r="C4971" s="11" t="str">
        <x:v>st2</x:v>
      </x:c>
      <x:c r="D4971" s="11" t="str">
        <x:v>2041-12-31</x:v>
      </x:c>
      <x:c r="E4971" s="11" t="str">
        <x:v>CNY</x:v>
      </x:c>
      <x:c r="F4971" s="11" t="n">
        <x:v>15.000684462696784</x:v>
      </x:c>
      <x:c r="G4971" s="26" t="b">
        <x:v>1</x:v>
      </x:c>
      <x:c r="H4971" s="16" t="n">
        <x:v>0.366</x:v>
      </x:c>
      <x:c r="I4971" s="16" t="n">
        <x:v>0.7</x:v>
      </x:c>
      <x:c r="J4971" s="16" t="n">
        <x:v>0.3149999999999999</x:v>
      </x:c>
      <x:c r="K4971" s="11" t="n">
        <x:f>CHOOSE('假设'!$B$3,H4971,I4971,J4971)</x:f>
        <x:v>0.7</x:v>
      </x:c>
      <x:c r="L4971" s="11" t="n">
        <x:f>K4971*'管线假设'!E1067*'管线假设'!F1067*'管线假设'!G1067*IF(E4971="USD",'管线假设'!I1067,1)-AM4971</x:f>
        <x:v>0.0525</x:v>
      </x:c>
      <x:c r="M4971" s="11" t="n">
        <x:f>'管线假设'!H1067</x:f>
        <x:v>0.14</x:v>
      </x:c>
      <x:c r="N4971" s="11" t="n">
        <x:f>IF(G4971,L4971*AN4971/(1+M4971)^F4971,0)</x:f>
        <x:v>0.007354405706842062</x:v>
      </x:c>
      <x:c r="AJ4971" t="n">
        <x:v>0</x:v>
      </x:c>
      <x:c r="AK4971" t="n">
        <x:v>0</x:v>
      </x:c>
      <x:c r="AL4971" t="n">
        <x:v>0</x:v>
      </x:c>
      <x:c r="AM4971" t="n">
        <x:f>CHOOSE('假设'!$B$3,AJ4971,AK4971,AL4971)</x:f>
        <x:v>0</x:v>
      </x:c>
      <x:c r="AN4971" t="n">
        <x:v>1</x:v>
      </x:c>
    </x:row>
    <x:row r="4972" ht="23" customHeight="1">
      <x:c r="A4972" s="11" t="str">
        <x:v>688062.SH</x:v>
      </x:c>
      <x:c r="B4972" s="11" t="str">
        <x:v>2026年底</x:v>
      </x:c>
      <x:c r="C4972" s="11" t="str">
        <x:v>st2</x:v>
      </x:c>
      <x:c r="D4972" s="11" t="str">
        <x:v>2042-12-31</x:v>
      </x:c>
      <x:c r="E4972" s="11" t="str">
        <x:v>CNY</x:v>
      </x:c>
      <x:c r="F4972" s="11" t="n">
        <x:v>16</x:v>
      </x:c>
      <x:c r="G4972" s="26" t="b">
        <x:v>1</x:v>
      </x:c>
      <x:c r="H4972" s="16" t="n">
        <x:v>0.288</x:v>
      </x:c>
      <x:c r="I4972" s="16" t="n">
        <x:v>0.43999999999999995</x:v>
      </x:c>
      <x:c r="J4972" s="16" t="n">
        <x:v>0</x:v>
      </x:c>
      <x:c r="K4972" s="11" t="n">
        <x:f>CHOOSE('假设'!$B$3,H4972,I4972,J4972)</x:f>
        <x:v>0.43999999999999995</x:v>
      </x:c>
      <x:c r="L4972" s="11" t="n">
        <x:f>K4972*'管线假设'!E1067*'管线假设'!F1067*'管线假设'!G1067*IF(E4972="USD",'管线假设'!I1067,1)-AM4972</x:f>
        <x:v>0.032999999999999995</x:v>
      </x:c>
      <x:c r="M4972" s="11" t="n">
        <x:f>'管线假设'!H1067</x:f>
        <x:v>0.14</x:v>
      </x:c>
      <x:c r="N4972" s="11" t="n">
        <x:f>IF(G4972,L4972*AN4972/(1+M4972)^F4972,0)</x:f>
        <x:v>0.00405542448094933</x:v>
      </x:c>
      <x:c r="AJ4972" t="n">
        <x:v>0</x:v>
      </x:c>
      <x:c r="AK4972" t="n">
        <x:v>0</x:v>
      </x:c>
      <x:c r="AL4972" t="n">
        <x:v>0</x:v>
      </x:c>
      <x:c r="AM4972" t="n">
        <x:f>CHOOSE('假设'!$B$3,AJ4972,AK4972,AL4972)</x:f>
        <x:v>0</x:v>
      </x:c>
      <x:c r="AN4972" t="n">
        <x:v>1</x:v>
      </x:c>
    </x:row>
    <x:row r="4973" ht="23" customHeight="1">
      <x:c r="A4973" s="11" t="str">
        <x:v>688062.SH</x:v>
      </x:c>
      <x:c r="B4973" s="11" t="str">
        <x:v>2026年底</x:v>
      </x:c>
      <x:c r="C4973" s="11" t="str">
        <x:v>st2</x:v>
      </x:c>
      <x:c r="D4973" s="11" t="str">
        <x:v>2043-12-31</x:v>
      </x:c>
      <x:c r="E4973" s="11" t="str">
        <x:v>CNY</x:v>
      </x:c>
      <x:c r="F4973" s="11" t="n">
        <x:v>16.999315537303218</x:v>
      </x:c>
      <x:c r="G4973" s="26" t="b">
        <x:v>1</x:v>
      </x:c>
      <x:c r="H4973" s="16" t="n">
        <x:v>0.21</x:v>
      </x:c>
      <x:c r="I4973" s="16" t="n">
        <x:v>0.17999999999999994</x:v>
      </x:c>
      <x:c r="J4973" s="16" t="n">
        <x:v>0</x:v>
      </x:c>
      <x:c r="K4973" s="11" t="n">
        <x:f>CHOOSE('假设'!$B$3,H4973,I4973,J4973)</x:f>
        <x:v>0.17999999999999994</x:v>
      </x:c>
      <x:c r="L4973" s="11" t="n">
        <x:f>K4973*'管线假设'!E1067*'管线假设'!F1067*'管线假设'!G1067*IF(E4973="USD",'管线假设'!I1067,1)-AM4973</x:f>
        <x:v>0.013499999999999995</x:v>
      </x:c>
      <x:c r="M4973" s="11" t="n">
        <x:f>'管线假设'!H1067</x:f>
        <x:v>0.14</x:v>
      </x:c>
      <x:c r="N4973" s="11" t="n">
        <x:f>IF(G4973,L4973*AN4973/(1+M4973)^F4973,0)</x:f>
        <x:v>0.0014554263889153042</x:v>
      </x:c>
      <x:c r="AJ4973" t="n">
        <x:v>0</x:v>
      </x:c>
      <x:c r="AK4973" t="n">
        <x:v>0</x:v>
      </x:c>
      <x:c r="AL4973" t="n">
        <x:v>0</x:v>
      </x:c>
      <x:c r="AM4973" t="n">
        <x:f>CHOOSE('假设'!$B$3,AJ4973,AK4973,AL4973)</x:f>
        <x:v>0</x:v>
      </x:c>
      <x:c r="AN4973" t="n">
        <x:v>1</x:v>
      </x:c>
    </x:row>
    <x:row r="4974" ht="23" customHeight="1">
      <x:c r="A4974" s="11" t="str">
        <x:v>688062.SH</x:v>
      </x:c>
      <x:c r="B4974" s="11" t="str">
        <x:v>2026年底</x:v>
      </x:c>
      <x:c r="C4974" s="11" t="str">
        <x:v>st2</x:v>
      </x:c>
      <x:c r="D4974" s="11" t="str">
        <x:v>2044-12-31</x:v>
      </x:c>
      <x:c r="E4974" s="11" t="str">
        <x:v>CNY</x:v>
      </x:c>
      <x:c r="F4974" s="11" t="n">
        <x:v>18.001368925393567</x:v>
      </x:c>
      <x:c r="G4974" s="26" t="b">
        <x:v>1</x:v>
      </x:c>
      <x:c r="H4974" s="16" t="n">
        <x:v>0.13199999999999998</x:v>
      </x:c>
      <x:c r="I4974" s="16" t="n">
        <x:v>0</x:v>
      </x:c>
      <x:c r="J4974" s="16" t="n">
        <x:v>0</x:v>
      </x:c>
      <x:c r="K4974" s="11" t="n">
        <x:f>CHOOSE('假设'!$B$3,H4974,I4974,J4974)</x:f>
        <x:v>0</x:v>
      </x:c>
      <x:c r="L4974" s="11" t="n">
        <x:f>K4974*'管线假设'!E1067*'管线假设'!F1067*'管线假设'!G1067*IF(E4974="USD",'管线假设'!I1067,1)-AM4974</x:f>
        <x:v>0</x:v>
      </x:c>
      <x:c r="M4974" s="11" t="n">
        <x:f>'管线假设'!H1067</x:f>
        <x:v>0.14</x:v>
      </x:c>
      <x:c r="N4974" s="11" t="n">
        <x:f>IF(G4974,L4974*AN4974/(1+M4974)^F4974,0)</x:f>
        <x:v>0</x:v>
      </x:c>
      <x:c r="AJ4974" t="n">
        <x:v>0</x:v>
      </x:c>
      <x:c r="AK4974" t="n">
        <x:v>0</x:v>
      </x:c>
      <x:c r="AL4974" t="n">
        <x:v>0</x:v>
      </x:c>
      <x:c r="AM4974" t="n">
        <x:f>CHOOSE('假设'!$B$3,AJ4974,AK4974,AL4974)</x:f>
        <x:v>0</x:v>
      </x:c>
      <x:c r="AN4974" t="n">
        <x:v>1</x:v>
      </x:c>
    </x:row>
    <x:row r="4975" ht="23" customHeight="1">
      <x:c r="A4975" s="11" t="str">
        <x:v>688062.SH</x:v>
      </x:c>
      <x:c r="B4975" s="11" t="str">
        <x:v>2026年底</x:v>
      </x:c>
      <x:c r="C4975" s="11" t="str">
        <x:v>st2</x:v>
      </x:c>
      <x:c r="D4975" s="11" t="str">
        <x:v>2045-12-31</x:v>
      </x:c>
      <x:c r="E4975" s="11" t="str">
        <x:v>CNY</x:v>
      </x:c>
      <x:c r="F4975" s="11" t="n">
        <x:v>19.000684462696782</x:v>
      </x:c>
      <x:c r="G4975" s="26" t="b">
        <x:v>1</x:v>
      </x:c>
      <x:c r="H4975" s="16" t="n">
        <x:v>0.05399999999999998</x:v>
      </x:c>
      <x:c r="I4975" s="16" t="n">
        <x:v>0</x:v>
      </x:c>
      <x:c r="J4975" s="16" t="n">
        <x:v>0</x:v>
      </x:c>
      <x:c r="K4975" s="11" t="n">
        <x:f>CHOOSE('假设'!$B$3,H4975,I4975,J4975)</x:f>
        <x:v>0</x:v>
      </x:c>
      <x:c r="L4975" s="11" t="n">
        <x:f>K4975*'管线假设'!E1067*'管线假设'!F1067*'管线假设'!G1067*IF(E4975="USD",'管线假设'!I1067,1)-AM4975</x:f>
        <x:v>0</x:v>
      </x:c>
      <x:c r="M4975" s="11" t="n">
        <x:f>'管线假设'!H1067</x:f>
        <x:v>0.14</x:v>
      </x:c>
      <x:c r="N4975" s="11" t="n">
        <x:f>IF(G4975,L4975*AN4975/(1+M4975)^F4975,0)</x:f>
        <x:v>0</x:v>
      </x:c>
      <x:c r="AJ4975" t="n">
        <x:v>0</x:v>
      </x:c>
      <x:c r="AK4975" t="n">
        <x:v>0</x:v>
      </x:c>
      <x:c r="AL4975" t="n">
        <x:v>0</x:v>
      </x:c>
      <x:c r="AM4975" t="n">
        <x:f>CHOOSE('假设'!$B$3,AJ4975,AK4975,AL4975)</x:f>
        <x:v>0</x:v>
      </x:c>
      <x:c r="AN4975" t="n">
        <x:v>1</x:v>
      </x:c>
    </x:row>
    <x:row r="4976" ht="23" customHeight="1">
      <x:c r="A4976" s="11" t="str">
        <x:v>688062.SH</x:v>
      </x:c>
      <x:c r="B4976" s="11" t="str">
        <x:v>2026年底</x:v>
      </x:c>
      <x:c r="C4976" s="11" t="str">
        <x:v>il11_global</x:v>
      </x:c>
      <x:c r="D4976" s="11" t="str">
        <x:v>2027-12-31</x:v>
      </x:c>
      <x:c r="E4976" s="11" t="str">
        <x:v>USD</x:v>
      </x:c>
      <x:c r="F4976" s="11" t="n">
        <x:v>0.999315537303217</x:v>
      </x:c>
      <x:c r="G4976" s="26" t="b">
        <x:v>1</x:v>
      </x:c>
      <x:c r="H4976" s="16" t="n">
        <x:v>0</x:v>
      </x:c>
      <x:c r="I4976" s="16" t="n">
        <x:v>0</x:v>
      </x:c>
      <x:c r="J4976" s="16" t="n">
        <x:v>0</x:v>
      </x:c>
      <x:c r="K4976" s="11" t="n">
        <x:f>CHOOSE('假设'!$B$3,H4976,I4976,J4976)</x:f>
        <x:v>0</x:v>
      </x:c>
      <x:c r="L4976" s="11" t="n">
        <x:f>K4976*'管线假设'!E1071*'管线假设'!F1071*'管线假设'!G1071*IF(E4976="USD",'管线假设'!I1071,1)-AM4976</x:f>
        <x:v>0</x:v>
      </x:c>
      <x:c r="M4976" s="11" t="n">
        <x:f>'管线假设'!H1071</x:f>
        <x:v>0.14</x:v>
      </x:c>
      <x:c r="N4976" s="11" t="n">
        <x:f>IF(G4976,L4976*AN4976/(1+M4976)^F4976,0)</x:f>
        <x:v>0</x:v>
      </x:c>
      <x:c r="AJ4976" t="n">
        <x:v>0</x:v>
      </x:c>
      <x:c r="AK4976" t="n">
        <x:v>0</x:v>
      </x:c>
      <x:c r="AL4976" t="n">
        <x:v>0</x:v>
      </x:c>
      <x:c r="AM4976" t="n">
        <x:f>CHOOSE('假设'!$B$3,AJ4976,AK4976,AL4976)</x:f>
        <x:v>0</x:v>
      </x:c>
      <x:c r="AN4976" t="n">
        <x:v>1</x:v>
      </x:c>
    </x:row>
    <x:row r="4977" ht="23" customHeight="1">
      <x:c r="A4977" s="11" t="str">
        <x:v>688062.SH</x:v>
      </x:c>
      <x:c r="B4977" s="11" t="str">
        <x:v>2026年底</x:v>
      </x:c>
      <x:c r="C4977" s="11" t="str">
        <x:v>il11_global</x:v>
      </x:c>
      <x:c r="D4977" s="11" t="str">
        <x:v>2028-12-31</x:v>
      </x:c>
      <x:c r="E4977" s="11" t="str">
        <x:v>USD</x:v>
      </x:c>
      <x:c r="F4977" s="11" t="n">
        <x:v>2.001368925393566</x:v>
      </x:c>
      <x:c r="G4977" s="26" t="b">
        <x:v>1</x:v>
      </x:c>
      <x:c r="H4977" s="16" t="n">
        <x:v>0</x:v>
      </x:c>
      <x:c r="I4977" s="16" t="n">
        <x:v>0</x:v>
      </x:c>
      <x:c r="J4977" s="16" t="n">
        <x:v>0</x:v>
      </x:c>
      <x:c r="K4977" s="11" t="n">
        <x:f>CHOOSE('假设'!$B$3,H4977,I4977,J4977)</x:f>
        <x:v>0</x:v>
      </x:c>
      <x:c r="L4977" s="11" t="n">
        <x:f>K4977*'管线假设'!E1071*'管线假设'!F1071*'管线假设'!G1071*IF(E4977="USD",'管线假设'!I1071,1)-AM4977</x:f>
        <x:v>0</x:v>
      </x:c>
      <x:c r="M4977" s="11" t="n">
        <x:f>'管线假设'!H1071</x:f>
        <x:v>0.14</x:v>
      </x:c>
      <x:c r="N4977" s="11" t="n">
        <x:f>IF(G4977,L4977*AN4977/(1+M4977)^F4977,0)</x:f>
        <x:v>0</x:v>
      </x:c>
      <x:c r="AJ4977" t="n">
        <x:v>0</x:v>
      </x:c>
      <x:c r="AK4977" t="n">
        <x:v>0</x:v>
      </x:c>
      <x:c r="AL4977" t="n">
        <x:v>0</x:v>
      </x:c>
      <x:c r="AM4977" t="n">
        <x:f>CHOOSE('假设'!$B$3,AJ4977,AK4977,AL4977)</x:f>
        <x:v>0</x:v>
      </x:c>
      <x:c r="AN4977" t="n">
        <x:v>1</x:v>
      </x:c>
    </x:row>
    <x:row r="4978" ht="23" customHeight="1">
      <x:c r="A4978" s="11" t="str">
        <x:v>688062.SH</x:v>
      </x:c>
      <x:c r="B4978" s="11" t="str">
        <x:v>2026年底</x:v>
      </x:c>
      <x:c r="C4978" s="11" t="str">
        <x:v>il11_global</x:v>
      </x:c>
      <x:c r="D4978" s="11" t="str">
        <x:v>2029-12-31</x:v>
      </x:c>
      <x:c r="E4978" s="11" t="str">
        <x:v>USD</x:v>
      </x:c>
      <x:c r="F4978" s="11" t="n">
        <x:v>3.0006844626967832</x:v>
      </x:c>
      <x:c r="G4978" s="26" t="b">
        <x:v>1</x:v>
      </x:c>
      <x:c r="H4978" s="16" t="n">
        <x:v>0</x:v>
      </x:c>
      <x:c r="I4978" s="16" t="n">
        <x:v>0</x:v>
      </x:c>
      <x:c r="J4978" s="16" t="n">
        <x:v>0</x:v>
      </x:c>
      <x:c r="K4978" s="11" t="n">
        <x:f>CHOOSE('假设'!$B$3,H4978,I4978,J4978)</x:f>
        <x:v>0</x:v>
      </x:c>
      <x:c r="L4978" s="11" t="n">
        <x:f>K4978*'管线假设'!E1071*'管线假设'!F1071*'管线假设'!G1071*IF(E4978="USD",'管线假设'!I1071,1)-AM4978</x:f>
        <x:v>0</x:v>
      </x:c>
      <x:c r="M4978" s="11" t="n">
        <x:f>'管线假设'!H1071</x:f>
        <x:v>0.14</x:v>
      </x:c>
      <x:c r="N4978" s="11" t="n">
        <x:f>IF(G4978,L4978*AN4978/(1+M4978)^F4978,0)</x:f>
        <x:v>0</x:v>
      </x:c>
      <x:c r="AJ4978" t="n">
        <x:v>0</x:v>
      </x:c>
      <x:c r="AK4978" t="n">
        <x:v>0</x:v>
      </x:c>
      <x:c r="AL4978" t="n">
        <x:v>0</x:v>
      </x:c>
      <x:c r="AM4978" t="n">
        <x:f>CHOOSE('假设'!$B$3,AJ4978,AK4978,AL4978)</x:f>
        <x:v>0</x:v>
      </x:c>
      <x:c r="AN4978" t="n">
        <x:v>1</x:v>
      </x:c>
    </x:row>
    <x:row r="4979" ht="23" customHeight="1">
      <x:c r="A4979" s="11" t="str">
        <x:v>688062.SH</x:v>
      </x:c>
      <x:c r="B4979" s="11" t="str">
        <x:v>2026年底</x:v>
      </x:c>
      <x:c r="C4979" s="11" t="str">
        <x:v>il11_global</x:v>
      </x:c>
      <x:c r="D4979" s="11" t="str">
        <x:v>2030-12-31</x:v>
      </x:c>
      <x:c r="E4979" s="11" t="str">
        <x:v>USD</x:v>
      </x:c>
      <x:c r="F4979" s="11" t="n">
        <x:v>4</x:v>
      </x:c>
      <x:c r="G4979" s="26" t="b">
        <x:v>1</x:v>
      </x:c>
      <x:c r="H4979" s="16" t="n">
        <x:v>0</x:v>
      </x:c>
      <x:c r="I4979" s="16" t="n">
        <x:v>0</x:v>
      </x:c>
      <x:c r="J4979" s="16" t="n">
        <x:v>0</x:v>
      </x:c>
      <x:c r="K4979" s="11" t="n">
        <x:f>CHOOSE('假设'!$B$3,H4979,I4979,J4979)</x:f>
        <x:v>0</x:v>
      </x:c>
      <x:c r="L4979" s="11" t="n">
        <x:f>K4979*'管线假设'!E1071*'管线假设'!F1071*'管线假设'!G1071*IF(E4979="USD",'管线假设'!I1071,1)-AM4979</x:f>
        <x:v>0</x:v>
      </x:c>
      <x:c r="M4979" s="11" t="n">
        <x:f>'管线假设'!H1071</x:f>
        <x:v>0.14</x:v>
      </x:c>
      <x:c r="N4979" s="11" t="n">
        <x:f>IF(G4979,L4979*AN4979/(1+M4979)^F4979,0)</x:f>
        <x:v>0</x:v>
      </x:c>
      <x:c r="AJ4979" t="n">
        <x:v>0</x:v>
      </x:c>
      <x:c r="AK4979" t="n">
        <x:v>0</x:v>
      </x:c>
      <x:c r="AL4979" t="n">
        <x:v>0</x:v>
      </x:c>
      <x:c r="AM4979" t="n">
        <x:f>CHOOSE('假设'!$B$3,AJ4979,AK4979,AL4979)</x:f>
        <x:v>0</x:v>
      </x:c>
      <x:c r="AN4979" t="n">
        <x:v>1</x:v>
      </x:c>
    </x:row>
    <x:row r="4980" ht="23" customHeight="1">
      <x:c r="A4980" s="11" t="str">
        <x:v>688062.SH</x:v>
      </x:c>
      <x:c r="B4980" s="11" t="str">
        <x:v>2026年底</x:v>
      </x:c>
      <x:c r="C4980" s="11" t="str">
        <x:v>il11_global</x:v>
      </x:c>
      <x:c r="D4980" s="11" t="str">
        <x:v>2031-12-31</x:v>
      </x:c>
      <x:c r="E4980" s="11" t="str">
        <x:v>USD</x:v>
      </x:c>
      <x:c r="F4980" s="11" t="n">
        <x:v>4.999315537303217</x:v>
      </x:c>
      <x:c r="G4980" s="26" t="b">
        <x:v>1</x:v>
      </x:c>
      <x:c r="H4980" s="16" t="n">
        <x:v>0</x:v>
      </x:c>
      <x:c r="I4980" s="16" t="n">
        <x:v>0</x:v>
      </x:c>
      <x:c r="J4980" s="16" t="n">
        <x:v>0.5833333333333333</x:v>
      </x:c>
      <x:c r="K4980" s="11" t="n">
        <x:f>CHOOSE('假设'!$B$3,H4980,I4980,J4980)</x:f>
        <x:v>0</x:v>
      </x:c>
      <x:c r="L4980" s="11" t="n">
        <x:f>K4980*'管线假设'!E1071*'管线假设'!F1071*'管线假设'!G1071*IF(E4980="USD",'管线假设'!I1071,1)-AM4980</x:f>
        <x:v>0</x:v>
      </x:c>
      <x:c r="M4980" s="11" t="n">
        <x:f>'管线假设'!H1071</x:f>
        <x:v>0.14</x:v>
      </x:c>
      <x:c r="N4980" s="11" t="n">
        <x:f>IF(G4980,L4980*AN4980/(1+M4980)^F4980,0)</x:f>
        <x:v>0</x:v>
      </x:c>
      <x:c r="AJ4980" t="n">
        <x:v>0</x:v>
      </x:c>
      <x:c r="AK4980" t="n">
        <x:v>0</x:v>
      </x:c>
      <x:c r="AL4980" t="n">
        <x:v>0</x:v>
      </x:c>
      <x:c r="AM4980" t="n">
        <x:f>CHOOSE('假设'!$B$3,AJ4980,AK4980,AL4980)</x:f>
        <x:v>0</x:v>
      </x:c>
      <x:c r="AN4980" t="n">
        <x:v>1</x:v>
      </x:c>
    </x:row>
    <x:row r="4981" ht="23" customHeight="1">
      <x:c r="A4981" s="11" t="str">
        <x:v>688062.SH</x:v>
      </x:c>
      <x:c r="B4981" s="11" t="str">
        <x:v>2026年底</x:v>
      </x:c>
      <x:c r="C4981" s="11" t="str">
        <x:v>il11_global</x:v>
      </x:c>
      <x:c r="D4981" s="11" t="str">
        <x:v>2032-12-31</x:v>
      </x:c>
      <x:c r="E4981" s="11" t="str">
        <x:v>USD</x:v>
      </x:c>
      <x:c r="F4981" s="11" t="n">
        <x:v>6.0013689253935665</x:v>
      </x:c>
      <x:c r="G4981" s="26" t="b">
        <x:v>1</x:v>
      </x:c>
      <x:c r="H4981" s="16" t="n">
        <x:v>0</x:v>
      </x:c>
      <x:c r="I4981" s="16" t="n">
        <x:v>0</x:v>
      </x:c>
      <x:c r="J4981" s="16" t="n">
        <x:v>1.1666666666666665</x:v>
      </x:c>
      <x:c r="K4981" s="11" t="n">
        <x:f>CHOOSE('假设'!$B$3,H4981,I4981,J4981)</x:f>
        <x:v>0</x:v>
      </x:c>
      <x:c r="L4981" s="11" t="n">
        <x:f>K4981*'管线假设'!E1071*'管线假设'!F1071*'管线假设'!G1071*IF(E4981="USD",'管线假设'!I1071,1)-AM4981</x:f>
        <x:v>0</x:v>
      </x:c>
      <x:c r="M4981" s="11" t="n">
        <x:f>'管线假设'!H1071</x:f>
        <x:v>0.14</x:v>
      </x:c>
      <x:c r="N4981" s="11" t="n">
        <x:f>IF(G4981,L4981*AN4981/(1+M4981)^F4981,0)</x:f>
        <x:v>0</x:v>
      </x:c>
      <x:c r="AJ4981" t="n">
        <x:v>0</x:v>
      </x:c>
      <x:c r="AK4981" t="n">
        <x:v>0</x:v>
      </x:c>
      <x:c r="AL4981" t="n">
        <x:v>0</x:v>
      </x:c>
      <x:c r="AM4981" t="n">
        <x:f>CHOOSE('假设'!$B$3,AJ4981,AK4981,AL4981)</x:f>
        <x:v>0</x:v>
      </x:c>
      <x:c r="AN4981" t="n">
        <x:v>1</x:v>
      </x:c>
    </x:row>
    <x:row r="4982" ht="23" customHeight="1">
      <x:c r="A4982" s="11" t="str">
        <x:v>688062.SH</x:v>
      </x:c>
      <x:c r="B4982" s="11" t="str">
        <x:v>2026年底</x:v>
      </x:c>
      <x:c r="C4982" s="11" t="str">
        <x:v>il11_global</x:v>
      </x:c>
      <x:c r="D4982" s="11" t="str">
        <x:v>2033-12-31</x:v>
      </x:c>
      <x:c r="E4982" s="11" t="str">
        <x:v>USD</x:v>
      </x:c>
      <x:c r="F4982" s="11" t="n">
        <x:v>7.000684462696783</x:v>
      </x:c>
      <x:c r="G4982" s="26" t="b">
        <x:v>1</x:v>
      </x:c>
      <x:c r="H4982" s="16" t="n">
        <x:v>0</x:v>
      </x:c>
      <x:c r="I4982" s="16" t="n">
        <x:v>0.3</x:v>
      </x:c>
      <x:c r="J4982" s="16" t="n">
        <x:v>1.75</x:v>
      </x:c>
      <x:c r="K4982" s="11" t="n">
        <x:f>CHOOSE('假设'!$B$3,H4982,I4982,J4982)</x:f>
        <x:v>0.3</x:v>
      </x:c>
      <x:c r="L4982" s="11" t="n">
        <x:f>K4982*'管线假设'!E1071*'管线假设'!F1071*'管线假设'!G1071*IF(E4982="USD",'管线假设'!I1071,1)-AM4982</x:f>
        <x:v>0.0156672</x:v>
      </x:c>
      <x:c r="M4982" s="11" t="n">
        <x:f>'管线假设'!H1071</x:f>
        <x:v>0.14</x:v>
      </x:c>
      <x:c r="N4982" s="11" t="n">
        <x:f>IF(G4982,L4982*AN4982/(1+M4982)^F4982,0)</x:f>
        <x:v>0.006260636355714379</x:v>
      </x:c>
      <x:c r="AJ4982" t="n">
        <x:v>0</x:v>
      </x:c>
      <x:c r="AK4982" t="n">
        <x:v>0</x:v>
      </x:c>
      <x:c r="AL4982" t="n">
        <x:v>0</x:v>
      </x:c>
      <x:c r="AM4982" t="n">
        <x:f>CHOOSE('假设'!$B$3,AJ4982,AK4982,AL4982)</x:f>
        <x:v>0</x:v>
      </x:c>
      <x:c r="AN4982" t="n">
        <x:v>1</x:v>
      </x:c>
    </x:row>
    <x:row r="4983" ht="23" customHeight="1">
      <x:c r="A4983" s="11" t="str">
        <x:v>688062.SH</x:v>
      </x:c>
      <x:c r="B4983" s="11" t="str">
        <x:v>2026年底</x:v>
      </x:c>
      <x:c r="C4983" s="11" t="str">
        <x:v>il11_global</x:v>
      </x:c>
      <x:c r="D4983" s="11" t="str">
        <x:v>2034-12-31</x:v>
      </x:c>
      <x:c r="E4983" s="11" t="str">
        <x:v>USD</x:v>
      </x:c>
      <x:c r="F4983" s="11" t="n">
        <x:v>8</x:v>
      </x:c>
      <x:c r="G4983" s="26" t="b">
        <x:v>1</x:v>
      </x:c>
      <x:c r="H4983" s="16" t="n">
        <x:v>0</x:v>
      </x:c>
      <x:c r="I4983" s="16" t="n">
        <x:v>0.6</x:v>
      </x:c>
      <x:c r="J4983" s="16" t="n">
        <x:v>2.333333333333333</x:v>
      </x:c>
      <x:c r="K4983" s="11" t="n">
        <x:f>CHOOSE('假设'!$B$3,H4983,I4983,J4983)</x:f>
        <x:v>0.6</x:v>
      </x:c>
      <x:c r="L4983" s="11" t="n">
        <x:f>K4983*'管线假设'!E1071*'管线假设'!F1071*'管线假设'!G1071*IF(E4983="USD",'管线假设'!I1071,1)-AM4983</x:f>
        <x:v>0.0313344</x:v>
      </x:c>
      <x:c r="M4983" s="11" t="n">
        <x:f>'管线假设'!H1071</x:f>
        <x:v>0.14</x:v>
      </x:c>
      <x:c r="N4983" s="11" t="n">
        <x:f>IF(G4983,L4983*AN4983/(1+M4983)^F4983,0)</x:f>
        <x:v>0.01098455764831567</x:v>
      </x:c>
      <x:c r="AJ4983" t="n">
        <x:v>0</x:v>
      </x:c>
      <x:c r="AK4983" t="n">
        <x:v>0</x:v>
      </x:c>
      <x:c r="AL4983" t="n">
        <x:v>0</x:v>
      </x:c>
      <x:c r="AM4983" t="n">
        <x:f>CHOOSE('假设'!$B$3,AJ4983,AK4983,AL4983)</x:f>
        <x:v>0</x:v>
      </x:c>
      <x:c r="AN4983" t="n">
        <x:v>1</x:v>
      </x:c>
    </x:row>
    <x:row r="4984" ht="23" customHeight="1">
      <x:c r="A4984" s="11" t="str">
        <x:v>688062.SH</x:v>
      </x:c>
      <x:c r="B4984" s="11" t="str">
        <x:v>2026年底</x:v>
      </x:c>
      <x:c r="C4984" s="11" t="str">
        <x:v>il11_global</x:v>
      </x:c>
      <x:c r="D4984" s="11" t="str">
        <x:v>2035-12-31</x:v>
      </x:c>
      <x:c r="E4984" s="11" t="str">
        <x:v>USD</x:v>
      </x:c>
      <x:c r="F4984" s="11" t="n">
        <x:v>8.999315537303216</x:v>
      </x:c>
      <x:c r="G4984" s="26" t="b">
        <x:v>1</x:v>
      </x:c>
      <x:c r="H4984" s="16" t="n">
        <x:v>0</x:v>
      </x:c>
      <x:c r="I4984" s="16" t="n">
        <x:v>0.9</x:v>
      </x:c>
      <x:c r="J4984" s="16" t="n">
        <x:v>2.916666666666667</x:v>
      </x:c>
      <x:c r="K4984" s="11" t="n">
        <x:f>CHOOSE('假设'!$B$3,H4984,I4984,J4984)</x:f>
        <x:v>0.9</x:v>
      </x:c>
      <x:c r="L4984" s="11" t="n">
        <x:f>K4984*'管线假设'!E1071*'管线假设'!F1071*'管线假设'!G1071*IF(E4984="USD",'管线假设'!I1071,1)-AM4984</x:f>
        <x:v>0.0470016</x:v>
      </x:c>
      <x:c r="M4984" s="11" t="n">
        <x:f>'管线假设'!H1071</x:f>
        <x:v>0.14</x:v>
      </x:c>
      <x:c r="N4984" s="11" t="n">
        <x:f>IF(G4984,L4984*AN4984/(1+M4984)^F4984,0)</x:f>
        <x:v>0.014454661619865253</x:v>
      </x:c>
      <x:c r="AJ4984" t="n">
        <x:v>0</x:v>
      </x:c>
      <x:c r="AK4984" t="n">
        <x:v>0</x:v>
      </x:c>
      <x:c r="AL4984" t="n">
        <x:v>0</x:v>
      </x:c>
      <x:c r="AM4984" t="n">
        <x:f>CHOOSE('假设'!$B$3,AJ4984,AK4984,AL4984)</x:f>
        <x:v>0</x:v>
      </x:c>
      <x:c r="AN4984" t="n">
        <x:v>1</x:v>
      </x:c>
    </x:row>
    <x:row r="4985" ht="23" customHeight="1">
      <x:c r="A4985" s="11" t="str">
        <x:v>688062.SH</x:v>
      </x:c>
      <x:c r="B4985" s="11" t="str">
        <x:v>2026年底</x:v>
      </x:c>
      <x:c r="C4985" s="11" t="str">
        <x:v>il11_global</x:v>
      </x:c>
      <x:c r="D4985" s="11" t="str">
        <x:v>2036-12-31</x:v>
      </x:c>
      <x:c r="E4985" s="11" t="str">
        <x:v>USD</x:v>
      </x:c>
      <x:c r="F4985" s="11" t="n">
        <x:v>10.001368925393566</x:v>
      </x:c>
      <x:c r="G4985" s="26" t="b">
        <x:v>1</x:v>
      </x:c>
      <x:c r="H4985" s="16" t="n">
        <x:v>0.12</x:v>
      </x:c>
      <x:c r="I4985" s="16" t="n">
        <x:v>1.2</x:v>
      </x:c>
      <x:c r="J4985" s="16" t="n">
        <x:v>3.5</x:v>
      </x:c>
      <x:c r="K4985" s="11" t="n">
        <x:f>CHOOSE('假设'!$B$3,H4985,I4985,J4985)</x:f>
        <x:v>1.2</x:v>
      </x:c>
      <x:c r="L4985" s="11" t="n">
        <x:f>K4985*'管线假设'!E1071*'管线假设'!F1071*'管线假设'!G1071*IF(E4985="USD",'管线假设'!I1071,1)-AM4985</x:f>
        <x:v>0.0626688</x:v>
      </x:c>
      <x:c r="M4985" s="11" t="n">
        <x:f>'管线假设'!H1071</x:f>
        <x:v>0.14</x:v>
      </x:c>
      <x:c r="N4985" s="11" t="n">
        <x:f>IF(G4985,L4985*AN4985/(1+M4985)^F4985,0)</x:f>
        <x:v>0.016901488993224505</x:v>
      </x:c>
      <x:c r="AJ4985" t="n">
        <x:v>0</x:v>
      </x:c>
      <x:c r="AK4985" t="n">
        <x:v>0</x:v>
      </x:c>
      <x:c r="AL4985" t="n">
        <x:v>0</x:v>
      </x:c>
      <x:c r="AM4985" t="n">
        <x:f>CHOOSE('假设'!$B$3,AJ4985,AK4985,AL4985)</x:f>
        <x:v>0</x:v>
      </x:c>
      <x:c r="AN4985" t="n">
        <x:v>1</x:v>
      </x:c>
    </x:row>
    <x:row r="4986" ht="23" customHeight="1">
      <x:c r="A4986" s="11" t="str">
        <x:v>688062.SH</x:v>
      </x:c>
      <x:c r="B4986" s="11" t="str">
        <x:v>2026年底</x:v>
      </x:c>
      <x:c r="C4986" s="11" t="str">
        <x:v>il11_global</x:v>
      </x:c>
      <x:c r="D4986" s="11" t="str">
        <x:v>2037-12-31</x:v>
      </x:c>
      <x:c r="E4986" s="11" t="str">
        <x:v>USD</x:v>
      </x:c>
      <x:c r="F4986" s="11" t="n">
        <x:v>11.000684462696784</x:v>
      </x:c>
      <x:c r="G4986" s="26" t="b">
        <x:v>1</x:v>
      </x:c>
      <x:c r="H4986" s="16" t="n">
        <x:v>0.24</x:v>
      </x:c>
      <x:c r="I4986" s="16" t="n">
        <x:v>1.5</x:v>
      </x:c>
      <x:c r="J4986" s="16" t="n">
        <x:v>3.045</x:v>
      </x:c>
      <x:c r="K4986" s="11" t="n">
        <x:f>CHOOSE('假设'!$B$3,H4986,I4986,J4986)</x:f>
        <x:v>1.5</x:v>
      </x:c>
      <x:c r="L4986" s="11" t="n">
        <x:f>K4986*'管线假设'!E1071*'管线假设'!F1071*'管线假设'!G1071*IF(E4986="USD",'管线假设'!I1071,1)-AM4986</x:f>
        <x:v>0.07833599999999999</x:v>
      </x:c>
      <x:c r="M4986" s="11" t="n">
        <x:f>'管线假设'!H1071</x:f>
        <x:v>0.14</x:v>
      </x:c>
      <x:c r="N4986" s="11" t="n">
        <x:f>IF(G4986,L4986*AN4986/(1+M4986)^F4986,0)</x:f>
        <x:v>0.018533996550026306</x:v>
      </x:c>
      <x:c r="AJ4986" t="n">
        <x:v>0</x:v>
      </x:c>
      <x:c r="AK4986" t="n">
        <x:v>0</x:v>
      </x:c>
      <x:c r="AL4986" t="n">
        <x:v>0</x:v>
      </x:c>
      <x:c r="AM4986" t="n">
        <x:f>CHOOSE('假设'!$B$3,AJ4986,AK4986,AL4986)</x:f>
        <x:v>0</x:v>
      </x:c>
      <x:c r="AN4986" t="n">
        <x:v>1</x:v>
      </x:c>
    </x:row>
    <x:row r="4987" ht="23" customHeight="1">
      <x:c r="A4987" s="11" t="str">
        <x:v>688062.SH</x:v>
      </x:c>
      <x:c r="B4987" s="11" t="str">
        <x:v>2026年底</x:v>
      </x:c>
      <x:c r="C4987" s="11" t="str">
        <x:v>il11_global</x:v>
      </x:c>
      <x:c r="D4987" s="11" t="str">
        <x:v>2038-12-31</x:v>
      </x:c>
      <x:c r="E4987" s="11" t="str">
        <x:v>USD</x:v>
      </x:c>
      <x:c r="F4987" s="11" t="n">
        <x:v>12</x:v>
      </x:c>
      <x:c r="G4987" s="26" t="b">
        <x:v>1</x:v>
      </x:c>
      <x:c r="H4987" s="16" t="n">
        <x:v>0.36</x:v>
      </x:c>
      <x:c r="I4987" s="16" t="n">
        <x:v>1.8</x:v>
      </x:c>
      <x:c r="J4987" s="16" t="n">
        <x:v>2.59</x:v>
      </x:c>
      <x:c r="K4987" s="11" t="n">
        <x:f>CHOOSE('假设'!$B$3,H4987,I4987,J4987)</x:f>
        <x:v>1.8</x:v>
      </x:c>
      <x:c r="L4987" s="11" t="n">
        <x:f>K4987*'管线假设'!E1071*'管线假设'!F1071*'管线假设'!G1071*IF(E4987="USD",'管线假设'!I1071,1)-AM4987</x:f>
        <x:v>0.0940032</x:v>
      </x:c>
      <x:c r="M4987" s="11" t="n">
        <x:f>'管线假设'!H1071</x:f>
        <x:v>0.14</x:v>
      </x:c>
      <x:c r="N4987" s="11" t="n">
        <x:f>IF(G4987,L4987*AN4987/(1+M4987)^F4987,0)</x:f>
        <x:v>0.019511219817610732</x:v>
      </x:c>
      <x:c r="AJ4987" t="n">
        <x:v>0</x:v>
      </x:c>
      <x:c r="AK4987" t="n">
        <x:v>0</x:v>
      </x:c>
      <x:c r="AL4987" t="n">
        <x:v>0</x:v>
      </x:c>
      <x:c r="AM4987" t="n">
        <x:f>CHOOSE('假设'!$B$3,AJ4987,AK4987,AL4987)</x:f>
        <x:v>0</x:v>
      </x:c>
      <x:c r="AN4987" t="n">
        <x:v>1</x:v>
      </x:c>
    </x:row>
    <x:row r="4988" ht="23" customHeight="1">
      <x:c r="A4988" s="11" t="str">
        <x:v>688062.SH</x:v>
      </x:c>
      <x:c r="B4988" s="11" t="str">
        <x:v>2026年底</x:v>
      </x:c>
      <x:c r="C4988" s="11" t="str">
        <x:v>il11_global</x:v>
      </x:c>
      <x:c r="D4988" s="11" t="str">
        <x:v>2039-12-31</x:v>
      </x:c>
      <x:c r="E4988" s="11" t="str">
        <x:v>USD</x:v>
      </x:c>
      <x:c r="F4988" s="11" t="n">
        <x:v>12.999315537303216</x:v>
      </x:c>
      <x:c r="G4988" s="26" t="b">
        <x:v>1</x:v>
      </x:c>
      <x:c r="H4988" s="16" t="n">
        <x:v>0.48</x:v>
      </x:c>
      <x:c r="I4988" s="16" t="n">
        <x:v>1.566</x:v>
      </x:c>
      <x:c r="J4988" s="16" t="n">
        <x:v>2.135</x:v>
      </x:c>
      <x:c r="K4988" s="11" t="n">
        <x:f>CHOOSE('假设'!$B$3,H4988,I4988,J4988)</x:f>
        <x:v>1.566</x:v>
      </x:c>
      <x:c r="L4988" s="11" t="n">
        <x:f>K4988*'管线假设'!E1071*'管线假设'!F1071*'管线假设'!G1071*IF(E4988="USD",'管线假设'!I1071,1)-AM4988</x:f>
        <x:v>0.081782784</x:v>
      </x:c>
      <x:c r="M4988" s="11" t="n">
        <x:f>'管线假设'!H1071</x:f>
        <x:v>0.14</x:v>
      </x:c>
      <x:c r="N4988" s="11" t="n">
        <x:f>IF(G4988,L4988*AN4988/(1+M4988)^F4988,0)</x:f>
        <x:v>0.01489147690645677</x:v>
      </x:c>
      <x:c r="AJ4988" t="n">
        <x:v>0</x:v>
      </x:c>
      <x:c r="AK4988" t="n">
        <x:v>0</x:v>
      </x:c>
      <x:c r="AL4988" t="n">
        <x:v>0</x:v>
      </x:c>
      <x:c r="AM4988" t="n">
        <x:f>CHOOSE('假设'!$B$3,AJ4988,AK4988,AL4988)</x:f>
        <x:v>0</x:v>
      </x:c>
      <x:c r="AN4988" t="n">
        <x:v>1</x:v>
      </x:c>
    </x:row>
    <x:row r="4989" ht="23" customHeight="1">
      <x:c r="A4989" s="11" t="str">
        <x:v>688062.SH</x:v>
      </x:c>
      <x:c r="B4989" s="11" t="str">
        <x:v>2026年底</x:v>
      </x:c>
      <x:c r="C4989" s="11" t="str">
        <x:v>il11_global</x:v>
      </x:c>
      <x:c r="D4989" s="11" t="str">
        <x:v>2040-12-31</x:v>
      </x:c>
      <x:c r="E4989" s="11" t="str">
        <x:v>USD</x:v>
      </x:c>
      <x:c r="F4989" s="11" t="n">
        <x:v>14.001368925393566</x:v>
      </x:c>
      <x:c r="G4989" s="26" t="b">
        <x:v>1</x:v>
      </x:c>
      <x:c r="H4989" s="16" t="n">
        <x:v>0.6</x:v>
      </x:c>
      <x:c r="I4989" s="16" t="n">
        <x:v>1.332</x:v>
      </x:c>
      <x:c r="J4989" s="16" t="n">
        <x:v>1.68</x:v>
      </x:c>
      <x:c r="K4989" s="11" t="n">
        <x:f>CHOOSE('假设'!$B$3,H4989,I4989,J4989)</x:f>
        <x:v>1.332</x:v>
      </x:c>
      <x:c r="L4989" s="11" t="n">
        <x:f>K4989*'管线假设'!E1071*'管线假设'!F1071*'管线假设'!G1071*IF(E4989="USD",'管线假设'!I1071,1)-AM4989</x:f>
        <x:v>0.069562368</x:v>
      </x:c>
      <x:c r="M4989" s="11" t="n">
        <x:f>'管线假设'!H1071</x:f>
        <x:v>0.14</x:v>
      </x:c>
      <x:c r="N4989" s="11" t="n">
        <x:f>IF(G4989,L4989*AN4989/(1+M4989)^F4989,0)</x:f>
        <x:v>0.011107812503096103</x:v>
      </x:c>
      <x:c r="AJ4989" t="n">
        <x:v>0</x:v>
      </x:c>
      <x:c r="AK4989" t="n">
        <x:v>0</x:v>
      </x:c>
      <x:c r="AL4989" t="n">
        <x:v>0</x:v>
      </x:c>
      <x:c r="AM4989" t="n">
        <x:f>CHOOSE('假设'!$B$3,AJ4989,AK4989,AL4989)</x:f>
        <x:v>0</x:v>
      </x:c>
      <x:c r="AN4989" t="n">
        <x:v>1</x:v>
      </x:c>
    </x:row>
    <x:row r="4990" ht="23" customHeight="1">
      <x:c r="A4990" s="11" t="str">
        <x:v>688062.SH</x:v>
      </x:c>
      <x:c r="B4990" s="11" t="str">
        <x:v>2026年底</x:v>
      </x:c>
      <x:c r="C4990" s="11" t="str">
        <x:v>il11_global</x:v>
      </x:c>
      <x:c r="D4990" s="11" t="str">
        <x:v>2041-12-31</x:v>
      </x:c>
      <x:c r="E4990" s="11" t="str">
        <x:v>USD</x:v>
      </x:c>
      <x:c r="F4990" s="11" t="n">
        <x:v>15.000684462696784</x:v>
      </x:c>
      <x:c r="G4990" s="26" t="b">
        <x:v>1</x:v>
      </x:c>
      <x:c r="H4990" s="16" t="n">
        <x:v>0.522</x:v>
      </x:c>
      <x:c r="I4990" s="16" t="n">
        <x:v>1.098</x:v>
      </x:c>
      <x:c r="J4990" s="16" t="n">
        <x:v>1.2249999999999999</x:v>
      </x:c>
      <x:c r="K4990" s="11" t="n">
        <x:f>CHOOSE('假设'!$B$3,H4990,I4990,J4990)</x:f>
        <x:v>1.098</x:v>
      </x:c>
      <x:c r="L4990" s="11" t="n">
        <x:f>K4990*'管线假设'!E1071*'管线假设'!F1071*'管线假设'!G1071*IF(E4990="USD",'管线假设'!I1071,1)-AM4990</x:f>
        <x:v>0.05734195200000001</x:v>
      </x:c>
      <x:c r="M4990" s="11" t="n">
        <x:f>'管线假设'!H1071</x:f>
        <x:v>0.14</x:v>
      </x:c>
      <x:c r="N4990" s="11" t="n">
        <x:f>IF(G4990,L4990*AN4990/(1+M4990)^F4990,0)</x:f>
        <x:v>0.008032685314862165</x:v>
      </x:c>
      <x:c r="AJ4990" t="n">
        <x:v>0</x:v>
      </x:c>
      <x:c r="AK4990" t="n">
        <x:v>0</x:v>
      </x:c>
      <x:c r="AL4990" t="n">
        <x:v>0</x:v>
      </x:c>
      <x:c r="AM4990" t="n">
        <x:f>CHOOSE('假设'!$B$3,AJ4990,AK4990,AL4990)</x:f>
        <x:v>0</x:v>
      </x:c>
      <x:c r="AN4990" t="n">
        <x:v>1</x:v>
      </x:c>
    </x:row>
    <x:row r="4991" ht="23" customHeight="1">
      <x:c r="A4991" s="11" t="str">
        <x:v>688062.SH</x:v>
      </x:c>
      <x:c r="B4991" s="11" t="str">
        <x:v>2026年底</x:v>
      </x:c>
      <x:c r="C4991" s="11" t="str">
        <x:v>il11_global</x:v>
      </x:c>
      <x:c r="D4991" s="11" t="str">
        <x:v>2042-12-31</x:v>
      </x:c>
      <x:c r="E4991" s="11" t="str">
        <x:v>USD</x:v>
      </x:c>
      <x:c r="F4991" s="11" t="n">
        <x:v>16</x:v>
      </x:c>
      <x:c r="G4991" s="26" t="b">
        <x:v>1</x:v>
      </x:c>
      <x:c r="H4991" s="16" t="n">
        <x:v>0.444</x:v>
      </x:c>
      <x:c r="I4991" s="16" t="n">
        <x:v>0.864</x:v>
      </x:c>
      <x:c r="J4991" s="16" t="n">
        <x:v>0.7699999999999999</x:v>
      </x:c>
      <x:c r="K4991" s="11" t="n">
        <x:f>CHOOSE('假设'!$B$3,H4991,I4991,J4991)</x:f>
        <x:v>0.864</x:v>
      </x:c>
      <x:c r="L4991" s="11" t="n">
        <x:f>K4991*'管线假设'!E1071*'管线假设'!F1071*'管线假设'!G1071*IF(E4991="USD",'管线假设'!I1071,1)-AM4991</x:f>
        <x:v>0.045121536</x:v>
      </x:c>
      <x:c r="M4991" s="11" t="n">
        <x:f>'管线假设'!H1071</x:f>
        <x:v>0.14</x:v>
      </x:c>
      <x:c r="N4991" s="11" t="n">
        <x:f>IF(G4991,L4991*AN4991/(1+M4991)^F4991,0)</x:f>
        <x:v>0.005545060051892016</x:v>
      </x:c>
      <x:c r="AJ4991" t="n">
        <x:v>0</x:v>
      </x:c>
      <x:c r="AK4991" t="n">
        <x:v>0</x:v>
      </x:c>
      <x:c r="AL4991" t="n">
        <x:v>0</x:v>
      </x:c>
      <x:c r="AM4991" t="n">
        <x:f>CHOOSE('假设'!$B$3,AJ4991,AK4991,AL4991)</x:f>
        <x:v>0</x:v>
      </x:c>
      <x:c r="AN4991" t="n">
        <x:v>1</x:v>
      </x:c>
    </x:row>
    <x:row r="4992" ht="23" customHeight="1">
      <x:c r="A4992" s="11" t="str">
        <x:v>688062.SH</x:v>
      </x:c>
      <x:c r="B4992" s="11" t="str">
        <x:v>2026年底</x:v>
      </x:c>
      <x:c r="C4992" s="11" t="str">
        <x:v>il11_global</x:v>
      </x:c>
      <x:c r="D4992" s="11" t="str">
        <x:v>2043-12-31</x:v>
      </x:c>
      <x:c r="E4992" s="11" t="str">
        <x:v>USD</x:v>
      </x:c>
      <x:c r="F4992" s="11" t="n">
        <x:v>16.999315537303218</x:v>
      </x:c>
      <x:c r="G4992" s="26" t="b">
        <x:v>1</x:v>
      </x:c>
      <x:c r="H4992" s="16" t="n">
        <x:v>0.366</x:v>
      </x:c>
      <x:c r="I4992" s="16" t="n">
        <x:v>0.63</x:v>
      </x:c>
      <x:c r="J4992" s="16" t="n">
        <x:v>0.3149999999999999</x:v>
      </x:c>
      <x:c r="K4992" s="11" t="n">
        <x:f>CHOOSE('假设'!$B$3,H4992,I4992,J4992)</x:f>
        <x:v>0.63</x:v>
      </x:c>
      <x:c r="L4992" s="11" t="n">
        <x:f>K4992*'管线假设'!E1071*'管线假设'!F1071*'管线假设'!G1071*IF(E4992="USD",'管线假设'!I1071,1)-AM4992</x:f>
        <x:v>0.032901120000000006</x:v>
      </x:c>
      <x:c r="M4992" s="11" t="n">
        <x:f>'管线假设'!H1071</x:f>
        <x:v>0.14</x:v>
      </x:c>
      <x:c r="N4992" s="11" t="n">
        <x:f>IF(G4992,L4992*AN4992/(1+M4992)^F4992,0)</x:f>
        <x:v>0.003547048760953268</x:v>
      </x:c>
      <x:c r="AJ4992" t="n">
        <x:v>0</x:v>
      </x:c>
      <x:c r="AK4992" t="n">
        <x:v>0</x:v>
      </x:c>
      <x:c r="AL4992" t="n">
        <x:v>0</x:v>
      </x:c>
      <x:c r="AM4992" t="n">
        <x:f>CHOOSE('假设'!$B$3,AJ4992,AK4992,AL4992)</x:f>
        <x:v>0</x:v>
      </x:c>
      <x:c r="AN4992" t="n">
        <x:v>1</x:v>
      </x:c>
    </x:row>
    <x:row r="4993" ht="23" customHeight="1">
      <x:c r="A4993" s="11" t="str">
        <x:v>688062.SH</x:v>
      </x:c>
      <x:c r="B4993" s="11" t="str">
        <x:v>2026年底</x:v>
      </x:c>
      <x:c r="C4993" s="11" t="str">
        <x:v>il11_global</x:v>
      </x:c>
      <x:c r="D4993" s="11" t="str">
        <x:v>2044-12-31</x:v>
      </x:c>
      <x:c r="E4993" s="11" t="str">
        <x:v>USD</x:v>
      </x:c>
      <x:c r="F4993" s="11" t="n">
        <x:v>18.001368925393567</x:v>
      </x:c>
      <x:c r="G4993" s="26" t="b">
        <x:v>1</x:v>
      </x:c>
      <x:c r="H4993" s="16" t="n">
        <x:v>0.288</x:v>
      </x:c>
      <x:c r="I4993" s="16" t="n">
        <x:v>0.39599999999999996</x:v>
      </x:c>
      <x:c r="J4993" s="16" t="n">
        <x:v>0</x:v>
      </x:c>
      <x:c r="K4993" s="11" t="n">
        <x:f>CHOOSE('假设'!$B$3,H4993,I4993,J4993)</x:f>
        <x:v>0.39599999999999996</x:v>
      </x:c>
      <x:c r="L4993" s="11" t="n">
        <x:f>K4993*'管线假设'!E1071*'管线假设'!F1071*'管线假设'!G1071*IF(E4993="USD",'管线假设'!I1071,1)-AM4993</x:f>
        <x:v>0.020680703999999998</x:v>
      </x:c>
      <x:c r="M4993" s="11" t="n">
        <x:f>'管线假设'!H1071</x:f>
        <x:v>0.14</x:v>
      </x:c>
      <x:c r="N4993" s="11" t="n">
        <x:f>IF(G4993,L4993*AN4993/(1+M4993)^F4993,0)</x:f>
        <x:v>0.001955240102321653</x:v>
      </x:c>
      <x:c r="AJ4993" t="n">
        <x:v>0</x:v>
      </x:c>
      <x:c r="AK4993" t="n">
        <x:v>0</x:v>
      </x:c>
      <x:c r="AL4993" t="n">
        <x:v>0</x:v>
      </x:c>
      <x:c r="AM4993" t="n">
        <x:f>CHOOSE('假设'!$B$3,AJ4993,AK4993,AL4993)</x:f>
        <x:v>0</x:v>
      </x:c>
      <x:c r="AN4993" t="n">
        <x:v>1</x:v>
      </x:c>
    </x:row>
    <x:row r="4994" ht="23" customHeight="1">
      <x:c r="A4994" s="11" t="str">
        <x:v>688062.SH</x:v>
      </x:c>
      <x:c r="B4994" s="11" t="str">
        <x:v>2026年底</x:v>
      </x:c>
      <x:c r="C4994" s="11" t="str">
        <x:v>il11_global</x:v>
      </x:c>
      <x:c r="D4994" s="11" t="str">
        <x:v>2045-12-31</x:v>
      </x:c>
      <x:c r="E4994" s="11" t="str">
        <x:v>USD</x:v>
      </x:c>
      <x:c r="F4994" s="11" t="n">
        <x:v>19.000684462696782</x:v>
      </x:c>
      <x:c r="G4994" s="26" t="b">
        <x:v>1</x:v>
      </x:c>
      <x:c r="H4994" s="16" t="n">
        <x:v>0.21</x:v>
      </x:c>
      <x:c r="I4994" s="16" t="n">
        <x:v>0.16199999999999995</x:v>
      </x:c>
      <x:c r="J4994" s="16" t="n">
        <x:v>0</x:v>
      </x:c>
      <x:c r="K4994" s="11" t="n">
        <x:f>CHOOSE('假设'!$B$3,H4994,I4994,J4994)</x:f>
        <x:v>0.16199999999999995</x:v>
      </x:c>
      <x:c r="L4994" s="11" t="n">
        <x:f>K4994*'管线假设'!E1071*'管线假设'!F1071*'管线假设'!G1071*IF(E4994="USD",'管线假设'!I1071,1)-AM4994</x:f>
        <x:v>0.008460287999999996</x:v>
      </x:c>
      <x:c r="M4994" s="11" t="n">
        <x:f>'管线假设'!H1071</x:f>
        <x:v>0.14</x:v>
      </x:c>
      <x:c r="N4994" s="11" t="n">
        <x:f>IF(G4994,L4994*AN4994/(1+M4994)^F4994,0)</x:f>
        <x:v>0.0007017041138239234</x:v>
      </x:c>
      <x:c r="AJ4994" t="n">
        <x:v>0</x:v>
      </x:c>
      <x:c r="AK4994" t="n">
        <x:v>0</x:v>
      </x:c>
      <x:c r="AL4994" t="n">
        <x:v>0</x:v>
      </x:c>
      <x:c r="AM4994" t="n">
        <x:f>CHOOSE('假设'!$B$3,AJ4994,AK4994,AL4994)</x:f>
        <x:v>0</x:v>
      </x:c>
      <x:c r="AN4994" t="n">
        <x:v>1</x:v>
      </x:c>
    </x:row>
    <x:row r="4995" ht="23" customHeight="1">
      <x:c r="A4995" s="11" t="str">
        <x:v>688062.SH</x:v>
      </x:c>
      <x:c r="B4995" s="11" t="str">
        <x:v>2026年底</x:v>
      </x:c>
      <x:c r="C4995" s="11" t="str">
        <x:v>il11_cn</x:v>
      </x:c>
      <x:c r="D4995" s="11" t="str">
        <x:v>2027-12-31</x:v>
      </x:c>
      <x:c r="E4995" s="11" t="str">
        <x:v>CNY</x:v>
      </x:c>
      <x:c r="F4995" s="11" t="n">
        <x:v>0.999315537303217</x:v>
      </x:c>
      <x:c r="G4995" s="26" t="b">
        <x:v>1</x:v>
      </x:c>
      <x:c r="H4995" s="16" t="n">
        <x:v>0</x:v>
      </x:c>
      <x:c r="I4995" s="16" t="n">
        <x:v>0</x:v>
      </x:c>
      <x:c r="J4995" s="16" t="n">
        <x:v>0</x:v>
      </x:c>
      <x:c r="K4995" s="11" t="n">
        <x:f>CHOOSE('假设'!$B$3,H4995,I4995,J4995)</x:f>
        <x:v>0</x:v>
      </x:c>
      <x:c r="L4995" s="11" t="n">
        <x:f>K4995*'管线假设'!E1075*'管线假设'!F1075*'管线假设'!G1075*IF(E4995="USD",'管线假设'!I1075,1)-AM4995</x:f>
        <x:v>0</x:v>
      </x:c>
      <x:c r="M4995" s="11" t="n">
        <x:f>'管线假设'!H1075</x:f>
        <x:v>0.14</x:v>
      </x:c>
      <x:c r="N4995" s="11" t="n">
        <x:f>IF(G4995,L4995*AN4995/(1+M4995)^F4995,0)</x:f>
        <x:v>0</x:v>
      </x:c>
      <x:c r="AJ4995" t="n">
        <x:v>0</x:v>
      </x:c>
      <x:c r="AK4995" t="n">
        <x:v>0</x:v>
      </x:c>
      <x:c r="AL4995" t="n">
        <x:v>0</x:v>
      </x:c>
      <x:c r="AM4995" t="n">
        <x:f>CHOOSE('假设'!$B$3,AJ4995,AK4995,AL4995)</x:f>
        <x:v>0</x:v>
      </x:c>
      <x:c r="AN4995" t="n">
        <x:v>1</x:v>
      </x:c>
    </x:row>
    <x:row r="4996" ht="23" customHeight="1">
      <x:c r="A4996" s="11" t="str">
        <x:v>688062.SH</x:v>
      </x:c>
      <x:c r="B4996" s="11" t="str">
        <x:v>2026年底</x:v>
      </x:c>
      <x:c r="C4996" s="11" t="str">
        <x:v>il11_cn</x:v>
      </x:c>
      <x:c r="D4996" s="11" t="str">
        <x:v>2028-12-31</x:v>
      </x:c>
      <x:c r="E4996" s="11" t="str">
        <x:v>CNY</x:v>
      </x:c>
      <x:c r="F4996" s="11" t="n">
        <x:v>2.001368925393566</x:v>
      </x:c>
      <x:c r="G4996" s="26" t="b">
        <x:v>1</x:v>
      </x:c>
      <x:c r="H4996" s="16" t="n">
        <x:v>0</x:v>
      </x:c>
      <x:c r="I4996" s="16" t="n">
        <x:v>0</x:v>
      </x:c>
      <x:c r="J4996" s="16" t="n">
        <x:v>0</x:v>
      </x:c>
      <x:c r="K4996" s="11" t="n">
        <x:f>CHOOSE('假设'!$B$3,H4996,I4996,J4996)</x:f>
        <x:v>0</x:v>
      </x:c>
      <x:c r="L4996" s="11" t="n">
        <x:f>K4996*'管线假设'!E1075*'管线假设'!F1075*'管线假设'!G1075*IF(E4996="USD",'管线假设'!I1075,1)-AM4996</x:f>
        <x:v>0</x:v>
      </x:c>
      <x:c r="M4996" s="11" t="n">
        <x:f>'管线假设'!H1075</x:f>
        <x:v>0.14</x:v>
      </x:c>
      <x:c r="N4996" s="11" t="n">
        <x:f>IF(G4996,L4996*AN4996/(1+M4996)^F4996,0)</x:f>
        <x:v>0</x:v>
      </x:c>
      <x:c r="AJ4996" t="n">
        <x:v>0</x:v>
      </x:c>
      <x:c r="AK4996" t="n">
        <x:v>0</x:v>
      </x:c>
      <x:c r="AL4996" t="n">
        <x:v>0</x:v>
      </x:c>
      <x:c r="AM4996" t="n">
        <x:f>CHOOSE('假设'!$B$3,AJ4996,AK4996,AL4996)</x:f>
        <x:v>0</x:v>
      </x:c>
      <x:c r="AN4996" t="n">
        <x:v>1</x:v>
      </x:c>
    </x:row>
    <x:row r="4997" ht="23" customHeight="1">
      <x:c r="A4997" s="11" t="str">
        <x:v>688062.SH</x:v>
      </x:c>
      <x:c r="B4997" s="11" t="str">
        <x:v>2026年底</x:v>
      </x:c>
      <x:c r="C4997" s="11" t="str">
        <x:v>il11_cn</x:v>
      </x:c>
      <x:c r="D4997" s="11" t="str">
        <x:v>2029-12-31</x:v>
      </x:c>
      <x:c r="E4997" s="11" t="str">
        <x:v>CNY</x:v>
      </x:c>
      <x:c r="F4997" s="11" t="n">
        <x:v>3.0006844626967832</x:v>
      </x:c>
      <x:c r="G4997" s="26" t="b">
        <x:v>1</x:v>
      </x:c>
      <x:c r="H4997" s="16" t="n">
        <x:v>0</x:v>
      </x:c>
      <x:c r="I4997" s="16" t="n">
        <x:v>0</x:v>
      </x:c>
      <x:c r="J4997" s="16" t="n">
        <x:v>0</x:v>
      </x:c>
      <x:c r="K4997" s="11" t="n">
        <x:f>CHOOSE('假设'!$B$3,H4997,I4997,J4997)</x:f>
        <x:v>0</x:v>
      </x:c>
      <x:c r="L4997" s="11" t="n">
        <x:f>K4997*'管线假设'!E1075*'管线假设'!F1075*'管线假设'!G1075*IF(E4997="USD",'管线假设'!I1075,1)-AM4997</x:f>
        <x:v>0</x:v>
      </x:c>
      <x:c r="M4997" s="11" t="n">
        <x:f>'管线假设'!H1075</x:f>
        <x:v>0.14</x:v>
      </x:c>
      <x:c r="N4997" s="11" t="n">
        <x:f>IF(G4997,L4997*AN4997/(1+M4997)^F4997,0)</x:f>
        <x:v>0</x:v>
      </x:c>
      <x:c r="AJ4997" t="n">
        <x:v>0</x:v>
      </x:c>
      <x:c r="AK4997" t="n">
        <x:v>0</x:v>
      </x:c>
      <x:c r="AL4997" t="n">
        <x:v>0</x:v>
      </x:c>
      <x:c r="AM4997" t="n">
        <x:f>CHOOSE('假设'!$B$3,AJ4997,AK4997,AL4997)</x:f>
        <x:v>0</x:v>
      </x:c>
      <x:c r="AN4997" t="n">
        <x:v>1</x:v>
      </x:c>
    </x:row>
    <x:row r="4998" ht="23" customHeight="1">
      <x:c r="A4998" s="11" t="str">
        <x:v>688062.SH</x:v>
      </x:c>
      <x:c r="B4998" s="11" t="str">
        <x:v>2026年底</x:v>
      </x:c>
      <x:c r="C4998" s="11" t="str">
        <x:v>il11_cn</x:v>
      </x:c>
      <x:c r="D4998" s="11" t="str">
        <x:v>2030-12-31</x:v>
      </x:c>
      <x:c r="E4998" s="11" t="str">
        <x:v>CNY</x:v>
      </x:c>
      <x:c r="F4998" s="11" t="n">
        <x:v>4</x:v>
      </x:c>
      <x:c r="G4998" s="26" t="b">
        <x:v>1</x:v>
      </x:c>
      <x:c r="H4998" s="16" t="n">
        <x:v>0</x:v>
      </x:c>
      <x:c r="I4998" s="16" t="n">
        <x:v>0</x:v>
      </x:c>
      <x:c r="J4998" s="16" t="n">
        <x:v>0.25</x:v>
      </x:c>
      <x:c r="K4998" s="11" t="n">
        <x:f>CHOOSE('假设'!$B$3,H4998,I4998,J4998)</x:f>
        <x:v>0</x:v>
      </x:c>
      <x:c r="L4998" s="11" t="n">
        <x:f>K4998*'管线假设'!E1075*'管线假设'!F1075*'管线假设'!G1075*IF(E4998="USD",'管线假设'!I1075,1)-AM4998</x:f>
        <x:v>0</x:v>
      </x:c>
      <x:c r="M4998" s="11" t="n">
        <x:f>'管线假设'!H1075</x:f>
        <x:v>0.14</x:v>
      </x:c>
      <x:c r="N4998" s="11" t="n">
        <x:f>IF(G4998,L4998*AN4998/(1+M4998)^F4998,0)</x:f>
        <x:v>0</x:v>
      </x:c>
      <x:c r="AJ4998" t="n">
        <x:v>0</x:v>
      </x:c>
      <x:c r="AK4998" t="n">
        <x:v>0</x:v>
      </x:c>
      <x:c r="AL4998" t="n">
        <x:v>0</x:v>
      </x:c>
      <x:c r="AM4998" t="n">
        <x:f>CHOOSE('假设'!$B$3,AJ4998,AK4998,AL4998)</x:f>
        <x:v>0</x:v>
      </x:c>
      <x:c r="AN4998" t="n">
        <x:v>1</x:v>
      </x:c>
    </x:row>
    <x:row r="4999" ht="23" customHeight="1">
      <x:c r="A4999" s="11" t="str">
        <x:v>688062.SH</x:v>
      </x:c>
      <x:c r="B4999" s="11" t="str">
        <x:v>2026年底</x:v>
      </x:c>
      <x:c r="C4999" s="11" t="str">
        <x:v>il11_cn</x:v>
      </x:c>
      <x:c r="D4999" s="11" t="str">
        <x:v>2031-12-31</x:v>
      </x:c>
      <x:c r="E4999" s="11" t="str">
        <x:v>CNY</x:v>
      </x:c>
      <x:c r="F4999" s="11" t="n">
        <x:v>4.999315537303217</x:v>
      </x:c>
      <x:c r="G4999" s="26" t="b">
        <x:v>1</x:v>
      </x:c>
      <x:c r="H4999" s="16" t="n">
        <x:v>0</x:v>
      </x:c>
      <x:c r="I4999" s="16" t="n">
        <x:v>0</x:v>
      </x:c>
      <x:c r="J4999" s="16" t="n">
        <x:v>0.5</x:v>
      </x:c>
      <x:c r="K4999" s="11" t="n">
        <x:f>CHOOSE('假设'!$B$3,H4999,I4999,J4999)</x:f>
        <x:v>0</x:v>
      </x:c>
      <x:c r="L4999" s="11" t="n">
        <x:f>K4999*'管线假设'!E1075*'管线假设'!F1075*'管线假设'!G1075*IF(E4999="USD",'管线假设'!I1075,1)-AM4999</x:f>
        <x:v>0</x:v>
      </x:c>
      <x:c r="M4999" s="11" t="n">
        <x:f>'管线假设'!H1075</x:f>
        <x:v>0.14</x:v>
      </x:c>
      <x:c r="N4999" s="11" t="n">
        <x:f>IF(G4999,L4999*AN4999/(1+M4999)^F4999,0)</x:f>
        <x:v>0</x:v>
      </x:c>
      <x:c r="AJ4999" t="n">
        <x:v>0</x:v>
      </x:c>
      <x:c r="AK4999" t="n">
        <x:v>0</x:v>
      </x:c>
      <x:c r="AL4999" t="n">
        <x:v>0</x:v>
      </x:c>
      <x:c r="AM4999" t="n">
        <x:f>CHOOSE('假设'!$B$3,AJ4999,AK4999,AL4999)</x:f>
        <x:v>0</x:v>
      </x:c>
      <x:c r="AN4999" t="n">
        <x:v>1</x:v>
      </x:c>
    </x:row>
    <x:row r="5000" ht="23" customHeight="1">
      <x:c r="A5000" s="11" t="str">
        <x:v>688062.SH</x:v>
      </x:c>
      <x:c r="B5000" s="11" t="str">
        <x:v>2026年底</x:v>
      </x:c>
      <x:c r="C5000" s="11" t="str">
        <x:v>il11_cn</x:v>
      </x:c>
      <x:c r="D5000" s="11" t="str">
        <x:v>2032-12-31</x:v>
      </x:c>
      <x:c r="E5000" s="11" t="str">
        <x:v>CNY</x:v>
      </x:c>
      <x:c r="F5000" s="11" t="n">
        <x:v>6.0013689253935665</x:v>
      </x:c>
      <x:c r="G5000" s="26" t="b">
        <x:v>1</x:v>
      </x:c>
      <x:c r="H5000" s="16" t="n">
        <x:v>0</x:v>
      </x:c>
      <x:c r="I5000" s="16" t="n">
        <x:v>0.13333333333333333</x:v>
      </x:c>
      <x:c r="J5000" s="16" t="n">
        <x:v>0.75</x:v>
      </x:c>
      <x:c r="K5000" s="11" t="n">
        <x:f>CHOOSE('假设'!$B$3,H5000,I5000,J5000)</x:f>
        <x:v>0.13333333333333333</x:v>
      </x:c>
      <x:c r="L5000" s="11" t="n">
        <x:f>K5000*'管线假设'!E1075*'管线假设'!F1075*'管线假设'!G1075*IF(E5000="USD",'管线假设'!I1075,1)-AM5000</x:f>
        <x:v>0.0048</x:v>
      </x:c>
      <x:c r="M5000" s="11" t="n">
        <x:f>'管线假设'!H1075</x:f>
        <x:v>0.14</x:v>
      </x:c>
      <x:c r="N5000" s="11" t="n">
        <x:f>IF(G5000,L5000*AN5000/(1+M5000)^F5000,0)</x:f>
        <x:v>0.0021864232195339083</x:v>
      </x:c>
      <x:c r="AJ5000" t="n">
        <x:v>0</x:v>
      </x:c>
      <x:c r="AK5000" t="n">
        <x:v>0</x:v>
      </x:c>
      <x:c r="AL5000" t="n">
        <x:v>0</x:v>
      </x:c>
      <x:c r="AM5000" t="n">
        <x:f>CHOOSE('假设'!$B$3,AJ5000,AK5000,AL5000)</x:f>
        <x:v>0</x:v>
      </x:c>
      <x:c r="AN5000" t="n">
        <x:v>1</x:v>
      </x:c>
    </x:row>
    <x:row r="5001" ht="23" customHeight="1">
      <x:c r="A5001" s="11" t="str">
        <x:v>688062.SH</x:v>
      </x:c>
      <x:c r="B5001" s="11" t="str">
        <x:v>2026年底</x:v>
      </x:c>
      <x:c r="C5001" s="11" t="str">
        <x:v>il11_cn</x:v>
      </x:c>
      <x:c r="D5001" s="11" t="str">
        <x:v>2033-12-31</x:v>
      </x:c>
      <x:c r="E5001" s="11" t="str">
        <x:v>CNY</x:v>
      </x:c>
      <x:c r="F5001" s="11" t="n">
        <x:v>7.000684462696783</x:v>
      </x:c>
      <x:c r="G5001" s="26" t="b">
        <x:v>1</x:v>
      </x:c>
      <x:c r="H5001" s="16" t="n">
        <x:v>0</x:v>
      </x:c>
      <x:c r="I5001" s="16" t="n">
        <x:v>0.26666666666666666</x:v>
      </x:c>
      <x:c r="J5001" s="16" t="n">
        <x:v>1</x:v>
      </x:c>
      <x:c r="K5001" s="11" t="n">
        <x:f>CHOOSE('假设'!$B$3,H5001,I5001,J5001)</x:f>
        <x:v>0.26666666666666666</x:v>
      </x:c>
      <x:c r="L5001" s="11" t="n">
        <x:f>K5001*'管线假设'!E1075*'管线假设'!F1075*'管线假设'!G1075*IF(E5001="USD",'管线假设'!I1075,1)-AM5001</x:f>
        <x:v>0.0096</x:v>
      </x:c>
      <x:c r="M5001" s="11" t="n">
        <x:f>'管线假设'!H1075</x:f>
        <x:v>0.14</x:v>
      </x:c>
      <x:c r="N5001" s="11" t="n">
        <x:f>IF(G5001,L5001*AN5001/(1+M5001)^F5001,0)</x:f>
        <x:v>0.003836174237570085</x:v>
      </x:c>
      <x:c r="AJ5001" t="n">
        <x:v>0</x:v>
      </x:c>
      <x:c r="AK5001" t="n">
        <x:v>0</x:v>
      </x:c>
      <x:c r="AL5001" t="n">
        <x:v>0</x:v>
      </x:c>
      <x:c r="AM5001" t="n">
        <x:f>CHOOSE('假设'!$B$3,AJ5001,AK5001,AL5001)</x:f>
        <x:v>0</x:v>
      </x:c>
      <x:c r="AN5001" t="n">
        <x:v>1</x:v>
      </x:c>
    </x:row>
    <x:row r="5002" ht="23" customHeight="1">
      <x:c r="A5002" s="11" t="str">
        <x:v>688062.SH</x:v>
      </x:c>
      <x:c r="B5002" s="11" t="str">
        <x:v>2026年底</x:v>
      </x:c>
      <x:c r="C5002" s="11" t="str">
        <x:v>il11_cn</x:v>
      </x:c>
      <x:c r="D5002" s="11" t="str">
        <x:v>2034-12-31</x:v>
      </x:c>
      <x:c r="E5002" s="11" t="str">
        <x:v>CNY</x:v>
      </x:c>
      <x:c r="F5002" s="11" t="n">
        <x:v>8</x:v>
      </x:c>
      <x:c r="G5002" s="26" t="b">
        <x:v>1</x:v>
      </x:c>
      <x:c r="H5002" s="16" t="n">
        <x:v>0</x:v>
      </x:c>
      <x:c r="I5002" s="16" t="n">
        <x:v>0.4</x:v>
      </x:c>
      <x:c r="J5002" s="16" t="n">
        <x:v>1.25</x:v>
      </x:c>
      <x:c r="K5002" s="11" t="n">
        <x:f>CHOOSE('假设'!$B$3,H5002,I5002,J5002)</x:f>
        <x:v>0.4</x:v>
      </x:c>
      <x:c r="L5002" s="11" t="n">
        <x:f>K5002*'管线假设'!E1075*'管线假设'!F1075*'管线假设'!G1075*IF(E5002="USD",'管线假设'!I1075,1)-AM5002</x:f>
        <x:v>0.0144</x:v>
      </x:c>
      <x:c r="M5002" s="11" t="n">
        <x:f>'管线假设'!H1075</x:f>
        <x:v>0.14</x:v>
      </x:c>
      <x:c r="N5002" s="11" t="n">
        <x:f>IF(G5002,L5002*AN5002/(1+M5002)^F5002,0)</x:f>
        <x:v>0.005048050389850951</x:v>
      </x:c>
      <x:c r="AJ5002" t="n">
        <x:v>0</x:v>
      </x:c>
      <x:c r="AK5002" t="n">
        <x:v>0</x:v>
      </x:c>
      <x:c r="AL5002" t="n">
        <x:v>0</x:v>
      </x:c>
      <x:c r="AM5002" t="n">
        <x:f>CHOOSE('假设'!$B$3,AJ5002,AK5002,AL5002)</x:f>
        <x:v>0</x:v>
      </x:c>
      <x:c r="AN5002" t="n">
        <x:v>1</x:v>
      </x:c>
    </x:row>
    <x:row r="5003" ht="23" customHeight="1">
      <x:c r="A5003" s="11" t="str">
        <x:v>688062.SH</x:v>
      </x:c>
      <x:c r="B5003" s="11" t="str">
        <x:v>2026年底</x:v>
      </x:c>
      <x:c r="C5003" s="11" t="str">
        <x:v>il11_cn</x:v>
      </x:c>
      <x:c r="D5003" s="11" t="str">
        <x:v>2035-12-31</x:v>
      </x:c>
      <x:c r="E5003" s="11" t="str">
        <x:v>CNY</x:v>
      </x:c>
      <x:c r="F5003" s="11" t="n">
        <x:v>8.999315537303216</x:v>
      </x:c>
      <x:c r="G5003" s="26" t="b">
        <x:v>1</x:v>
      </x:c>
      <x:c r="H5003" s="16" t="n">
        <x:v>0.06</x:v>
      </x:c>
      <x:c r="I5003" s="16" t="n">
        <x:v>0.5333333333333333</x:v>
      </x:c>
      <x:c r="J5003" s="16" t="n">
        <x:v>1.5</x:v>
      </x:c>
      <x:c r="K5003" s="11" t="n">
        <x:f>CHOOSE('假设'!$B$3,H5003,I5003,J5003)</x:f>
        <x:v>0.5333333333333333</x:v>
      </x:c>
      <x:c r="L5003" s="11" t="n">
        <x:f>K5003*'管线假设'!E1075*'管线假设'!F1075*'管线假设'!G1075*IF(E5003="USD",'管线假设'!I1075,1)-AM5003</x:f>
        <x:v>0.0192</x:v>
      </x:c>
      <x:c r="M5003" s="11" t="n">
        <x:f>'管线假设'!H1075</x:f>
        <x:v>0.14</x:v>
      </x:c>
      <x:c r="N5003" s="11" t="n">
        <x:f>IF(G5003,L5003*AN5003/(1+M5003)^F5003,0)</x:f>
        <x:v>0.0059046820342586815</x:v>
      </x:c>
      <x:c r="AJ5003" t="n">
        <x:v>0</x:v>
      </x:c>
      <x:c r="AK5003" t="n">
        <x:v>0</x:v>
      </x:c>
      <x:c r="AL5003" t="n">
        <x:v>0</x:v>
      </x:c>
      <x:c r="AM5003" t="n">
        <x:f>CHOOSE('假设'!$B$3,AJ5003,AK5003,AL5003)</x:f>
        <x:v>0</x:v>
      </x:c>
      <x:c r="AN5003" t="n">
        <x:v>1</x:v>
      </x:c>
    </x:row>
    <x:row r="5004" ht="23" customHeight="1">
      <x:c r="A5004" s="11" t="str">
        <x:v>688062.SH</x:v>
      </x:c>
      <x:c r="B5004" s="11" t="str">
        <x:v>2026年底</x:v>
      </x:c>
      <x:c r="C5004" s="11" t="str">
        <x:v>il11_cn</x:v>
      </x:c>
      <x:c r="D5004" s="11" t="str">
        <x:v>2036-12-31</x:v>
      </x:c>
      <x:c r="E5004" s="11" t="str">
        <x:v>CNY</x:v>
      </x:c>
      <x:c r="F5004" s="11" t="n">
        <x:v>10.001368925393566</x:v>
      </x:c>
      <x:c r="G5004" s="26" t="b">
        <x:v>1</x:v>
      </x:c>
      <x:c r="H5004" s="16" t="n">
        <x:v>0.12</x:v>
      </x:c>
      <x:c r="I5004" s="16" t="n">
        <x:v>0.6666666666666667</x:v>
      </x:c>
      <x:c r="J5004" s="16" t="n">
        <x:v>1.305</x:v>
      </x:c>
      <x:c r="K5004" s="11" t="n">
        <x:f>CHOOSE('假设'!$B$3,H5004,I5004,J5004)</x:f>
        <x:v>0.6666666666666667</x:v>
      </x:c>
      <x:c r="L5004" s="11" t="n">
        <x:f>K5004*'管线假设'!E1075*'管线假设'!F1075*'管线假设'!G1075*IF(E5004="USD",'管线假设'!I1075,1)-AM5004</x:f>
        <x:v>0.024</x:v>
      </x:c>
      <x:c r="M5004" s="11" t="n">
        <x:f>'管线假设'!H1075</x:f>
        <x:v>0.14</x:v>
      </x:c>
      <x:c r="N5004" s="11" t="n">
        <x:f>IF(G5004,L5004*AN5004/(1+M5004)^F5004,0)</x:f>
        <x:v>0.006472690331351297</x:v>
      </x:c>
      <x:c r="AJ5004" t="n">
        <x:v>0</x:v>
      </x:c>
      <x:c r="AK5004" t="n">
        <x:v>0</x:v>
      </x:c>
      <x:c r="AL5004" t="n">
        <x:v>0</x:v>
      </x:c>
      <x:c r="AM5004" t="n">
        <x:f>CHOOSE('假设'!$B$3,AJ5004,AK5004,AL5004)</x:f>
        <x:v>0</x:v>
      </x:c>
      <x:c r="AN5004" t="n">
        <x:v>1</x:v>
      </x:c>
    </x:row>
    <x:row r="5005" ht="23" customHeight="1">
      <x:c r="A5005" s="11" t="str">
        <x:v>688062.SH</x:v>
      </x:c>
      <x:c r="B5005" s="11" t="str">
        <x:v>2026年底</x:v>
      </x:c>
      <x:c r="C5005" s="11" t="str">
        <x:v>il11_cn</x:v>
      </x:c>
      <x:c r="D5005" s="11" t="str">
        <x:v>2037-12-31</x:v>
      </x:c>
      <x:c r="E5005" s="11" t="str">
        <x:v>CNY</x:v>
      </x:c>
      <x:c r="F5005" s="11" t="n">
        <x:v>11.000684462696784</x:v>
      </x:c>
      <x:c r="G5005" s="26" t="b">
        <x:v>1</x:v>
      </x:c>
      <x:c r="H5005" s="16" t="n">
        <x:v>0.18</x:v>
      </x:c>
      <x:c r="I5005" s="16" t="n">
        <x:v>0.8</x:v>
      </x:c>
      <x:c r="J5005" s="16" t="n">
        <x:v>1.1099999999999999</x:v>
      </x:c>
      <x:c r="K5005" s="11" t="n">
        <x:f>CHOOSE('假设'!$B$3,H5005,I5005,J5005)</x:f>
        <x:v>0.8</x:v>
      </x:c>
      <x:c r="L5005" s="11" t="n">
        <x:f>K5005*'管线假设'!E1075*'管线假设'!F1075*'管线假设'!G1075*IF(E5005="USD",'管线假设'!I1075,1)-AM5005</x:f>
        <x:v>0.0288</x:v>
      </x:c>
      <x:c r="M5005" s="11" t="n">
        <x:f>'管线假设'!H1075</x:f>
        <x:v>0.14</x:v>
      </x:c>
      <x:c r="N5005" s="11" t="n">
        <x:f>IF(G5005,L5005*AN5005/(1+M5005)^F5005,0)</x:f>
        <x:v>0.006813969319862613</x:v>
      </x:c>
      <x:c r="AJ5005" t="n">
        <x:v>0</x:v>
      </x:c>
      <x:c r="AK5005" t="n">
        <x:v>0</x:v>
      </x:c>
      <x:c r="AL5005" t="n">
        <x:v>0</x:v>
      </x:c>
      <x:c r="AM5005" t="n">
        <x:f>CHOOSE('假设'!$B$3,AJ5005,AK5005,AL5005)</x:f>
        <x:v>0</x:v>
      </x:c>
      <x:c r="AN5005" t="n">
        <x:v>1</x:v>
      </x:c>
    </x:row>
    <x:row r="5006" ht="23" customHeight="1">
      <x:c r="A5006" s="11" t="str">
        <x:v>688062.SH</x:v>
      </x:c>
      <x:c r="B5006" s="11" t="str">
        <x:v>2026年底</x:v>
      </x:c>
      <x:c r="C5006" s="11" t="str">
        <x:v>il11_cn</x:v>
      </x:c>
      <x:c r="D5006" s="11" t="str">
        <x:v>2038-12-31</x:v>
      </x:c>
      <x:c r="E5006" s="11" t="str">
        <x:v>CNY</x:v>
      </x:c>
      <x:c r="F5006" s="11" t="n">
        <x:v>12</x:v>
      </x:c>
      <x:c r="G5006" s="26" t="b">
        <x:v>1</x:v>
      </x:c>
      <x:c r="H5006" s="16" t="n">
        <x:v>0.24</x:v>
      </x:c>
      <x:c r="I5006" s="16" t="n">
        <x:v>0.6960000000000001</x:v>
      </x:c>
      <x:c r="J5006" s="16" t="n">
        <x:v>0.915</x:v>
      </x:c>
      <x:c r="K5006" s="11" t="n">
        <x:f>CHOOSE('假设'!$B$3,H5006,I5006,J5006)</x:f>
        <x:v>0.6960000000000001</x:v>
      </x:c>
      <x:c r="L5006" s="11" t="n">
        <x:f>K5006*'管线假设'!E1075*'管线假设'!F1075*'管线假设'!G1075*IF(E5006="USD",'管线假设'!I1075,1)-AM5006</x:f>
        <x:v>0.025056000000000002</x:v>
      </x:c>
      <x:c r="M5006" s="11" t="n">
        <x:f>'管线假设'!H1075</x:f>
        <x:v>0.14</x:v>
      </x:c>
      <x:c r="N5006" s="11" t="n">
        <x:f>IF(G5006,L5006*AN5006/(1+M5006)^F5006,0)</x:f>
        <x:v>0.005200600870502861</x:v>
      </x:c>
      <x:c r="AJ5006" t="n">
        <x:v>0</x:v>
      </x:c>
      <x:c r="AK5006" t="n">
        <x:v>0</x:v>
      </x:c>
      <x:c r="AL5006" t="n">
        <x:v>0</x:v>
      </x:c>
      <x:c r="AM5006" t="n">
        <x:f>CHOOSE('假设'!$B$3,AJ5006,AK5006,AL5006)</x:f>
        <x:v>0</x:v>
      </x:c>
      <x:c r="AN5006" t="n">
        <x:v>1</x:v>
      </x:c>
    </x:row>
    <x:row r="5007" ht="23" customHeight="1">
      <x:c r="A5007" s="11" t="str">
        <x:v>688062.SH</x:v>
      </x:c>
      <x:c r="B5007" s="11" t="str">
        <x:v>2026年底</x:v>
      </x:c>
      <x:c r="C5007" s="11" t="str">
        <x:v>il11_cn</x:v>
      </x:c>
      <x:c r="D5007" s="11" t="str">
        <x:v>2039-12-31</x:v>
      </x:c>
      <x:c r="E5007" s="11" t="str">
        <x:v>CNY</x:v>
      </x:c>
      <x:c r="F5007" s="11" t="n">
        <x:v>12.999315537303216</x:v>
      </x:c>
      <x:c r="G5007" s="26" t="b">
        <x:v>1</x:v>
      </x:c>
      <x:c r="H5007" s="16" t="n">
        <x:v>0.3</x:v>
      </x:c>
      <x:c r="I5007" s="16" t="n">
        <x:v>0.592</x:v>
      </x:c>
      <x:c r="J5007" s="16" t="n">
        <x:v>0.72</x:v>
      </x:c>
      <x:c r="K5007" s="11" t="n">
        <x:f>CHOOSE('假设'!$B$3,H5007,I5007,J5007)</x:f>
        <x:v>0.592</x:v>
      </x:c>
      <x:c r="L5007" s="11" t="n">
        <x:f>K5007*'管线假设'!E1075*'管线假设'!F1075*'管线假设'!G1075*IF(E5007="USD",'管线假设'!I1075,1)-AM5007</x:f>
        <x:v>0.021311999999999998</x:v>
      </x:c>
      <x:c r="M5007" s="11" t="n">
        <x:f>'管线假设'!H1075</x:f>
        <x:v>0.14</x:v>
      </x:c>
      <x:c r="N5007" s="11" t="n">
        <x:f>IF(G5007,L5007*AN5007/(1+M5007)^F5007,0)</x:f>
        <x:v>0.003880610812055587</x:v>
      </x:c>
      <x:c r="AJ5007" t="n">
        <x:v>0</x:v>
      </x:c>
      <x:c r="AK5007" t="n">
        <x:v>0</x:v>
      </x:c>
      <x:c r="AL5007" t="n">
        <x:v>0</x:v>
      </x:c>
      <x:c r="AM5007" t="n">
        <x:f>CHOOSE('假设'!$B$3,AJ5007,AK5007,AL5007)</x:f>
        <x:v>0</x:v>
      </x:c>
      <x:c r="AN5007" t="n">
        <x:v>1</x:v>
      </x:c>
    </x:row>
    <x:row r="5008" ht="23" customHeight="1">
      <x:c r="A5008" s="11" t="str">
        <x:v>688062.SH</x:v>
      </x:c>
      <x:c r="B5008" s="11" t="str">
        <x:v>2026年底</x:v>
      </x:c>
      <x:c r="C5008" s="11" t="str">
        <x:v>il11_cn</x:v>
      </x:c>
      <x:c r="D5008" s="11" t="str">
        <x:v>2040-12-31</x:v>
      </x:c>
      <x:c r="E5008" s="11" t="str">
        <x:v>CNY</x:v>
      </x:c>
      <x:c r="F5008" s="11" t="n">
        <x:v>14.001368925393566</x:v>
      </x:c>
      <x:c r="G5008" s="26" t="b">
        <x:v>1</x:v>
      </x:c>
      <x:c r="H5008" s="16" t="n">
        <x:v>0.261</x:v>
      </x:c>
      <x:c r="I5008" s="16" t="n">
        <x:v>0.488</x:v>
      </x:c>
      <x:c r="J5008" s="16" t="n">
        <x:v>0.5249999999999999</x:v>
      </x:c>
      <x:c r="K5008" s="11" t="n">
        <x:f>CHOOSE('假设'!$B$3,H5008,I5008,J5008)</x:f>
        <x:v>0.488</x:v>
      </x:c>
      <x:c r="L5008" s="11" t="n">
        <x:f>K5008*'管线假设'!E1075*'管线假设'!F1075*'管线假设'!G1075*IF(E5008="USD",'管线假设'!I1075,1)-AM5008</x:f>
        <x:v>0.017567999999999997</x:v>
      </x:c>
      <x:c r="M5008" s="11" t="n">
        <x:f>'管线假设'!H1075</x:f>
        <x:v>0.14</x:v>
      </x:c>
      <x:c r="N5008" s="11" t="n">
        <x:f>IF(G5008,L5008*AN5008/(1+M5008)^F5008,0)</x:f>
        <x:v>0.0028052818738774432</x:v>
      </x:c>
      <x:c r="AJ5008" t="n">
        <x:v>0</x:v>
      </x:c>
      <x:c r="AK5008" t="n">
        <x:v>0</x:v>
      </x:c>
      <x:c r="AL5008" t="n">
        <x:v>0</x:v>
      </x:c>
      <x:c r="AM5008" t="n">
        <x:f>CHOOSE('假设'!$B$3,AJ5008,AK5008,AL5008)</x:f>
        <x:v>0</x:v>
      </x:c>
      <x:c r="AN5008" t="n">
        <x:v>1</x:v>
      </x:c>
    </x:row>
    <x:row r="5009" ht="23" customHeight="1">
      <x:c r="A5009" s="11" t="str">
        <x:v>688062.SH</x:v>
      </x:c>
      <x:c r="B5009" s="11" t="str">
        <x:v>2026年底</x:v>
      </x:c>
      <x:c r="C5009" s="11" t="str">
        <x:v>il11_cn</x:v>
      </x:c>
      <x:c r="D5009" s="11" t="str">
        <x:v>2041-12-31</x:v>
      </x:c>
      <x:c r="E5009" s="11" t="str">
        <x:v>CNY</x:v>
      </x:c>
      <x:c r="F5009" s="11" t="n">
        <x:v>15.000684462696784</x:v>
      </x:c>
      <x:c r="G5009" s="26" t="b">
        <x:v>1</x:v>
      </x:c>
      <x:c r="H5009" s="16" t="n">
        <x:v>0.222</x:v>
      </x:c>
      <x:c r="I5009" s="16" t="n">
        <x:v>0.384</x:v>
      </x:c>
      <x:c r="J5009" s="16" t="n">
        <x:v>0.32999999999999996</x:v>
      </x:c>
      <x:c r="K5009" s="11" t="n">
        <x:f>CHOOSE('假设'!$B$3,H5009,I5009,J5009)</x:f>
        <x:v>0.384</x:v>
      </x:c>
      <x:c r="L5009" s="11" t="n">
        <x:f>K5009*'管线假设'!E1075*'管线假设'!F1075*'管线假设'!G1075*IF(E5009="USD",'管线假设'!I1075,1)-AM5009</x:f>
        <x:v>0.013823999999999998</x:v>
      </x:c>
      <x:c r="M5009" s="11" t="n">
        <x:f>'管线假设'!H1075</x:f>
        <x:v>0.14</x:v>
      </x:c>
      <x:c r="N5009" s="11" t="n">
        <x:f>IF(G5009,L5009*AN5009/(1+M5009)^F5009,0)</x:f>
        <x:v>0.0019365200855501839</x:v>
      </x:c>
      <x:c r="AJ5009" t="n">
        <x:v>0</x:v>
      </x:c>
      <x:c r="AK5009" t="n">
        <x:v>0</x:v>
      </x:c>
      <x:c r="AL5009" t="n">
        <x:v>0</x:v>
      </x:c>
      <x:c r="AM5009" t="n">
        <x:f>CHOOSE('假设'!$B$3,AJ5009,AK5009,AL5009)</x:f>
        <x:v>0</x:v>
      </x:c>
      <x:c r="AN5009" t="n">
        <x:v>1</x:v>
      </x:c>
    </x:row>
    <x:row r="5010" ht="23" customHeight="1">
      <x:c r="A5010" s="11" t="str">
        <x:v>688062.SH</x:v>
      </x:c>
      <x:c r="B5010" s="11" t="str">
        <x:v>2026年底</x:v>
      </x:c>
      <x:c r="C5010" s="11" t="str">
        <x:v>il11_cn</x:v>
      </x:c>
      <x:c r="D5010" s="11" t="str">
        <x:v>2042-12-31</x:v>
      </x:c>
      <x:c r="E5010" s="11" t="str">
        <x:v>CNY</x:v>
      </x:c>
      <x:c r="F5010" s="11" t="n">
        <x:v>16</x:v>
      </x:c>
      <x:c r="G5010" s="26" t="b">
        <x:v>1</x:v>
      </x:c>
      <x:c r="H5010" s="16" t="n">
        <x:v>0.183</x:v>
      </x:c>
      <x:c r="I5010" s="16" t="n">
        <x:v>0.27999999999999997</x:v>
      </x:c>
      <x:c r="J5010" s="16" t="n">
        <x:v>0.13499999999999995</x:v>
      </x:c>
      <x:c r="K5010" s="11" t="n">
        <x:f>CHOOSE('假设'!$B$3,H5010,I5010,J5010)</x:f>
        <x:v>0.27999999999999997</x:v>
      </x:c>
      <x:c r="L5010" s="11" t="n">
        <x:f>K5010*'管线假设'!E1075*'管线假设'!F1075*'管线假设'!G1075*IF(E5010="USD",'管线假设'!I1075,1)-AM5010</x:f>
        <x:v>0.010079999999999999</x:v>
      </x:c>
      <x:c r="M5010" s="11" t="n">
        <x:f>'管线假设'!H1075</x:f>
        <x:v>0.14</x:v>
      </x:c>
      <x:c r="N5010" s="11" t="n">
        <x:f>IF(G5010,L5010*AN5010/(1+M5010)^F5010,0)</x:f>
        <x:v>0.0012387478414536135</x:v>
      </x:c>
      <x:c r="AJ5010" t="n">
        <x:v>0</x:v>
      </x:c>
      <x:c r="AK5010" t="n">
        <x:v>0</x:v>
      </x:c>
      <x:c r="AL5010" t="n">
        <x:v>0</x:v>
      </x:c>
      <x:c r="AM5010" t="n">
        <x:f>CHOOSE('假设'!$B$3,AJ5010,AK5010,AL5010)</x:f>
        <x:v>0</x:v>
      </x:c>
      <x:c r="AN5010" t="n">
        <x:v>1</x:v>
      </x:c>
    </x:row>
    <x:row r="5011" ht="23" customHeight="1">
      <x:c r="A5011" s="11" t="str">
        <x:v>688062.SH</x:v>
      </x:c>
      <x:c r="B5011" s="11" t="str">
        <x:v>2026年底</x:v>
      </x:c>
      <x:c r="C5011" s="11" t="str">
        <x:v>il11_cn</x:v>
      </x:c>
      <x:c r="D5011" s="11" t="str">
        <x:v>2043-12-31</x:v>
      </x:c>
      <x:c r="E5011" s="11" t="str">
        <x:v>CNY</x:v>
      </x:c>
      <x:c r="F5011" s="11" t="n">
        <x:v>16.999315537303218</x:v>
      </x:c>
      <x:c r="G5011" s="26" t="b">
        <x:v>1</x:v>
      </x:c>
      <x:c r="H5011" s="16" t="n">
        <x:v>0.144</x:v>
      </x:c>
      <x:c r="I5011" s="16" t="n">
        <x:v>0.176</x:v>
      </x:c>
      <x:c r="J5011" s="16" t="n">
        <x:v>0</x:v>
      </x:c>
      <x:c r="K5011" s="11" t="n">
        <x:f>CHOOSE('假设'!$B$3,H5011,I5011,J5011)</x:f>
        <x:v>0.176</x:v>
      </x:c>
      <x:c r="L5011" s="11" t="n">
        <x:f>K5011*'管线假设'!E1075*'管线假设'!F1075*'管线假设'!G1075*IF(E5011="USD",'管线假设'!I1075,1)-AM5011</x:f>
        <x:v>0.006335999999999999</x:v>
      </x:c>
      <x:c r="M5011" s="11" t="n">
        <x:f>'管线假设'!H1075</x:f>
        <x:v>0.14</x:v>
      </x:c>
      <x:c r="N5011" s="11" t="n">
        <x:f>IF(G5011,L5011*AN5011/(1+M5011)^F5011,0)</x:f>
        <x:v>0.0006830801185309162</x:v>
      </x:c>
      <x:c r="AJ5011" t="n">
        <x:v>0</x:v>
      </x:c>
      <x:c r="AK5011" t="n">
        <x:v>0</x:v>
      </x:c>
      <x:c r="AL5011" t="n">
        <x:v>0</x:v>
      </x:c>
      <x:c r="AM5011" t="n">
        <x:f>CHOOSE('假设'!$B$3,AJ5011,AK5011,AL5011)</x:f>
        <x:v>0</x:v>
      </x:c>
      <x:c r="AN5011" t="n">
        <x:v>1</x:v>
      </x:c>
    </x:row>
    <x:row r="5012" ht="23" customHeight="1">
      <x:c r="A5012" s="11" t="str">
        <x:v>688062.SH</x:v>
      </x:c>
      <x:c r="B5012" s="11" t="str">
        <x:v>2026年底</x:v>
      </x:c>
      <x:c r="C5012" s="11" t="str">
        <x:v>il11_cn</x:v>
      </x:c>
      <x:c r="D5012" s="11" t="str">
        <x:v>2044-12-31</x:v>
      </x:c>
      <x:c r="E5012" s="11" t="str">
        <x:v>CNY</x:v>
      </x:c>
      <x:c r="F5012" s="11" t="n">
        <x:v>18.001368925393567</x:v>
      </x:c>
      <x:c r="G5012" s="26" t="b">
        <x:v>1</x:v>
      </x:c>
      <x:c r="H5012" s="16" t="n">
        <x:v>0.105</x:v>
      </x:c>
      <x:c r="I5012" s="16" t="n">
        <x:v>0.07199999999999998</x:v>
      </x:c>
      <x:c r="J5012" s="16" t="n">
        <x:v>0</x:v>
      </x:c>
      <x:c r="K5012" s="11" t="n">
        <x:f>CHOOSE('假设'!$B$3,H5012,I5012,J5012)</x:f>
        <x:v>0.07199999999999998</x:v>
      </x:c>
      <x:c r="L5012" s="11" t="n">
        <x:f>K5012*'管线假设'!E1075*'管线假设'!F1075*'管线假设'!G1075*IF(E5012="USD",'管线假设'!I1075,1)-AM5012</x:f>
        <x:v>0.002591999999999999</x:v>
      </x:c>
      <x:c r="M5012" s="11" t="n">
        <x:f>'管线假设'!H1075</x:f>
        <x:v>0.14</x:v>
      </x:c>
      <x:c r="N5012" s="11" t="n">
        <x:f>IF(G5012,L5012*AN5012/(1+M5012)^F5012,0)</x:f>
        <x:v>0.0002450585021292178</x:v>
      </x:c>
      <x:c r="AJ5012" t="n">
        <x:v>0</x:v>
      </x:c>
      <x:c r="AK5012" t="n">
        <x:v>0</x:v>
      </x:c>
      <x:c r="AL5012" t="n">
        <x:v>0</x:v>
      </x:c>
      <x:c r="AM5012" t="n">
        <x:f>CHOOSE('假设'!$B$3,AJ5012,AK5012,AL5012)</x:f>
        <x:v>0</x:v>
      </x:c>
      <x:c r="AN5012" t="n">
        <x:v>1</x:v>
      </x:c>
    </x:row>
    <x:row r="5013" ht="23" customHeight="1">
      <x:c r="A5013" s="11" t="str">
        <x:v>688062.SH</x:v>
      </x:c>
      <x:c r="B5013" s="11" t="str">
        <x:v>2026年底</x:v>
      </x:c>
      <x:c r="C5013" s="11" t="str">
        <x:v>il11_cn</x:v>
      </x:c>
      <x:c r="D5013" s="11" t="str">
        <x:v>2045-12-31</x:v>
      </x:c>
      <x:c r="E5013" s="11" t="str">
        <x:v>CNY</x:v>
      </x:c>
      <x:c r="F5013" s="11" t="n">
        <x:v>19.000684462696782</x:v>
      </x:c>
      <x:c r="G5013" s="26" t="b">
        <x:v>1</x:v>
      </x:c>
      <x:c r="H5013" s="16" t="n">
        <x:v>0.06599999999999999</x:v>
      </x:c>
      <x:c r="I5013" s="16" t="n">
        <x:v>0</x:v>
      </x:c>
      <x:c r="J5013" s="16" t="n">
        <x:v>0</x:v>
      </x:c>
      <x:c r="K5013" s="11" t="n">
        <x:f>CHOOSE('假设'!$B$3,H5013,I5013,J5013)</x:f>
        <x:v>0</x:v>
      </x:c>
      <x:c r="L5013" s="11" t="n">
        <x:f>K5013*'管线假设'!E1075*'管线假设'!F1075*'管线假设'!G1075*IF(E5013="USD",'管线假设'!I1075,1)-AM5013</x:f>
        <x:v>0</x:v>
      </x:c>
      <x:c r="M5013" s="11" t="n">
        <x:f>'管线假设'!H1075</x:f>
        <x:v>0.14</x:v>
      </x:c>
      <x:c r="N5013" s="11" t="n">
        <x:f>IF(G5013,L5013*AN5013/(1+M5013)^F5013,0)</x:f>
        <x:v>0</x:v>
      </x:c>
      <x:c r="AJ5013" t="n">
        <x:v>0</x:v>
      </x:c>
      <x:c r="AK5013" t="n">
        <x:v>0</x:v>
      </x:c>
      <x:c r="AL5013" t="n">
        <x:v>0</x:v>
      </x:c>
      <x:c r="AM5013" t="n">
        <x:f>CHOOSE('假设'!$B$3,AJ5013,AK5013,AL5013)</x:f>
        <x:v>0</x:v>
      </x:c>
      <x:c r="AN5013" t="n">
        <x:v>1</x:v>
      </x:c>
    </x:row>
    <x:row r="5014" ht="23" customHeight="1">
      <x:c r="A5014" s="11" t="str">
        <x:v>688062.SH</x:v>
      </x:c>
      <x:c r="B5014" s="11" t="str">
        <x:v>2026年底</x:v>
      </x:c>
      <x:c r="C5014" s="11" t="str">
        <x:v>tmprss_pv_global</x:v>
      </x:c>
      <x:c r="D5014" s="11" t="str">
        <x:v>2027-12-31</x:v>
      </x:c>
      <x:c r="E5014" s="11" t="str">
        <x:v>USD</x:v>
      </x:c>
      <x:c r="F5014" s="11" t="n">
        <x:v>0.999315537303217</x:v>
      </x:c>
      <x:c r="G5014" s="26" t="b">
        <x:v>1</x:v>
      </x:c>
      <x:c r="H5014" s="16" t="n">
        <x:v>0</x:v>
      </x:c>
      <x:c r="I5014" s="16" t="n">
        <x:v>0</x:v>
      </x:c>
      <x:c r="J5014" s="16" t="n">
        <x:v>0</x:v>
      </x:c>
      <x:c r="K5014" s="11" t="n">
        <x:f>CHOOSE('假设'!$B$3,H5014,I5014,J5014)</x:f>
        <x:v>0</x:v>
      </x:c>
      <x:c r="L5014" s="11" t="n">
        <x:f>K5014*'管线假设'!E1079*'管线假设'!F1079*'管线假设'!G1079*IF(E5014="USD",'管线假设'!I1079,1)-AM5014</x:f>
        <x:v>0</x:v>
      </x:c>
      <x:c r="M5014" s="11" t="n">
        <x:f>'管线假设'!H1079</x:f>
        <x:v>0.14</x:v>
      </x:c>
      <x:c r="N5014" s="11" t="n">
        <x:f>IF(G5014,L5014*AN5014/(1+M5014)^F5014,0)</x:f>
        <x:v>0</x:v>
      </x:c>
      <x:c r="AJ5014" t="n">
        <x:v>0</x:v>
      </x:c>
      <x:c r="AK5014" t="n">
        <x:v>0</x:v>
      </x:c>
      <x:c r="AL5014" t="n">
        <x:v>0</x:v>
      </x:c>
      <x:c r="AM5014" t="n">
        <x:f>CHOOSE('假设'!$B$3,AJ5014,AK5014,AL5014)</x:f>
        <x:v>0</x:v>
      </x:c>
      <x:c r="AN5014" t="n">
        <x:v>1</x:v>
      </x:c>
    </x:row>
    <x:row r="5015" ht="23" customHeight="1">
      <x:c r="A5015" s="11" t="str">
        <x:v>688062.SH</x:v>
      </x:c>
      <x:c r="B5015" s="11" t="str">
        <x:v>2026年底</x:v>
      </x:c>
      <x:c r="C5015" s="11" t="str">
        <x:v>tmprss_pv_global</x:v>
      </x:c>
      <x:c r="D5015" s="11" t="str">
        <x:v>2028-12-31</x:v>
      </x:c>
      <x:c r="E5015" s="11" t="str">
        <x:v>USD</x:v>
      </x:c>
      <x:c r="F5015" s="11" t="n">
        <x:v>2.001368925393566</x:v>
      </x:c>
      <x:c r="G5015" s="26" t="b">
        <x:v>1</x:v>
      </x:c>
      <x:c r="H5015" s="16" t="n">
        <x:v>0</x:v>
      </x:c>
      <x:c r="I5015" s="16" t="n">
        <x:v>0</x:v>
      </x:c>
      <x:c r="J5015" s="16" t="n">
        <x:v>0</x:v>
      </x:c>
      <x:c r="K5015" s="11" t="n">
        <x:f>CHOOSE('假设'!$B$3,H5015,I5015,J5015)</x:f>
        <x:v>0</x:v>
      </x:c>
      <x:c r="L5015" s="11" t="n">
        <x:f>K5015*'管线假设'!E1079*'管线假设'!F1079*'管线假设'!G1079*IF(E5015="USD",'管线假设'!I1079,1)-AM5015</x:f>
        <x:v>0</x:v>
      </x:c>
      <x:c r="M5015" s="11" t="n">
        <x:f>'管线假设'!H1079</x:f>
        <x:v>0.14</x:v>
      </x:c>
      <x:c r="N5015" s="11" t="n">
        <x:f>IF(G5015,L5015*AN5015/(1+M5015)^F5015,0)</x:f>
        <x:v>0</x:v>
      </x:c>
      <x:c r="AJ5015" t="n">
        <x:v>0</x:v>
      </x:c>
      <x:c r="AK5015" t="n">
        <x:v>0</x:v>
      </x:c>
      <x:c r="AL5015" t="n">
        <x:v>0</x:v>
      </x:c>
      <x:c r="AM5015" t="n">
        <x:f>CHOOSE('假设'!$B$3,AJ5015,AK5015,AL5015)</x:f>
        <x:v>0</x:v>
      </x:c>
      <x:c r="AN5015" t="n">
        <x:v>1</x:v>
      </x:c>
    </x:row>
    <x:row r="5016" ht="23" customHeight="1">
      <x:c r="A5016" s="11" t="str">
        <x:v>688062.SH</x:v>
      </x:c>
      <x:c r="B5016" s="11" t="str">
        <x:v>2026年底</x:v>
      </x:c>
      <x:c r="C5016" s="11" t="str">
        <x:v>tmprss_pv_global</x:v>
      </x:c>
      <x:c r="D5016" s="11" t="str">
        <x:v>2029-12-31</x:v>
      </x:c>
      <x:c r="E5016" s="11" t="str">
        <x:v>USD</x:v>
      </x:c>
      <x:c r="F5016" s="11" t="n">
        <x:v>3.0006844626967832</x:v>
      </x:c>
      <x:c r="G5016" s="26" t="b">
        <x:v>1</x:v>
      </x:c>
      <x:c r="H5016" s="16" t="n">
        <x:v>0</x:v>
      </x:c>
      <x:c r="I5016" s="16" t="n">
        <x:v>0</x:v>
      </x:c>
      <x:c r="J5016" s="16" t="n">
        <x:v>0.2833333333333333</x:v>
      </x:c>
      <x:c r="K5016" s="11" t="n">
        <x:f>CHOOSE('假设'!$B$3,H5016,I5016,J5016)</x:f>
        <x:v>0</x:v>
      </x:c>
      <x:c r="L5016" s="11" t="n">
        <x:f>K5016*'管线假设'!E1079*'管线假设'!F1079*'管线假设'!G1079*IF(E5016="USD",'管线假设'!I1079,1)-AM5016</x:f>
        <x:v>0</x:v>
      </x:c>
      <x:c r="M5016" s="11" t="n">
        <x:f>'管线假设'!H1079</x:f>
        <x:v>0.14</x:v>
      </x:c>
      <x:c r="N5016" s="11" t="n">
        <x:f>IF(G5016,L5016*AN5016/(1+M5016)^F5016,0)</x:f>
        <x:v>0</x:v>
      </x:c>
      <x:c r="AJ5016" t="n">
        <x:v>0</x:v>
      </x:c>
      <x:c r="AK5016" t="n">
        <x:v>0</x:v>
      </x:c>
      <x:c r="AL5016" t="n">
        <x:v>0</x:v>
      </x:c>
      <x:c r="AM5016" t="n">
        <x:f>CHOOSE('假设'!$B$3,AJ5016,AK5016,AL5016)</x:f>
        <x:v>0</x:v>
      </x:c>
      <x:c r="AN5016" t="n">
        <x:v>1</x:v>
      </x:c>
    </x:row>
    <x:row r="5017" ht="23" customHeight="1">
      <x:c r="A5017" s="11" t="str">
        <x:v>688062.SH</x:v>
      </x:c>
      <x:c r="B5017" s="11" t="str">
        <x:v>2026年底</x:v>
      </x:c>
      <x:c r="C5017" s="11" t="str">
        <x:v>tmprss_pv_global</x:v>
      </x:c>
      <x:c r="D5017" s="11" t="str">
        <x:v>2030-12-31</x:v>
      </x:c>
      <x:c r="E5017" s="11" t="str">
        <x:v>USD</x:v>
      </x:c>
      <x:c r="F5017" s="11" t="n">
        <x:v>4</x:v>
      </x:c>
      <x:c r="G5017" s="26" t="b">
        <x:v>1</x:v>
      </x:c>
      <x:c r="H5017" s="16" t="n">
        <x:v>0</x:v>
      </x:c>
      <x:c r="I5017" s="16" t="n">
        <x:v>0</x:v>
      </x:c>
      <x:c r="J5017" s="16" t="n">
        <x:v>0.5666666666666667</x:v>
      </x:c>
      <x:c r="K5017" s="11" t="n">
        <x:f>CHOOSE('假设'!$B$3,H5017,I5017,J5017)</x:f>
        <x:v>0</x:v>
      </x:c>
      <x:c r="L5017" s="11" t="n">
        <x:f>K5017*'管线假设'!E1079*'管线假设'!F1079*'管线假设'!G1079*IF(E5017="USD",'管线假设'!I1079,1)-AM5017</x:f>
        <x:v>0</x:v>
      </x:c>
      <x:c r="M5017" s="11" t="n">
        <x:f>'管线假设'!H1079</x:f>
        <x:v>0.14</x:v>
      </x:c>
      <x:c r="N5017" s="11" t="n">
        <x:f>IF(G5017,L5017*AN5017/(1+M5017)^F5017,0)</x:f>
        <x:v>0</x:v>
      </x:c>
      <x:c r="AJ5017" t="n">
        <x:v>0</x:v>
      </x:c>
      <x:c r="AK5017" t="n">
        <x:v>0</x:v>
      </x:c>
      <x:c r="AL5017" t="n">
        <x:v>0</x:v>
      </x:c>
      <x:c r="AM5017" t="n">
        <x:f>CHOOSE('假设'!$B$3,AJ5017,AK5017,AL5017)</x:f>
        <x:v>0</x:v>
      </x:c>
      <x:c r="AN5017" t="n">
        <x:v>1</x:v>
      </x:c>
    </x:row>
    <x:row r="5018" ht="23" customHeight="1">
      <x:c r="A5018" s="11" t="str">
        <x:v>688062.SH</x:v>
      </x:c>
      <x:c r="B5018" s="11" t="str">
        <x:v>2026年底</x:v>
      </x:c>
      <x:c r="C5018" s="11" t="str">
        <x:v>tmprss_pv_global</x:v>
      </x:c>
      <x:c r="D5018" s="11" t="str">
        <x:v>2031-12-31</x:v>
      </x:c>
      <x:c r="E5018" s="11" t="str">
        <x:v>USD</x:v>
      </x:c>
      <x:c r="F5018" s="11" t="n">
        <x:v>4.999315537303217</x:v>
      </x:c>
      <x:c r="G5018" s="26" t="b">
        <x:v>1</x:v>
      </x:c>
      <x:c r="H5018" s="16" t="n">
        <x:v>0</x:v>
      </x:c>
      <x:c r="I5018" s="16" t="n">
        <x:v>0.16666666666666666</x:v>
      </x:c>
      <x:c r="J5018" s="16" t="n">
        <x:v>0.85</x:v>
      </x:c>
      <x:c r="K5018" s="11" t="n">
        <x:f>CHOOSE('假设'!$B$3,H5018,I5018,J5018)</x:f>
        <x:v>0.16666666666666666</x:v>
      </x:c>
      <x:c r="L5018" s="11" t="n">
        <x:f>K5018*'管线假设'!E1079*'管线假设'!F1079*'管线假设'!G1079*IF(E5018="USD",'管线假设'!I1079,1)-AM5018</x:f>
        <x:v>0.03236799999999999</x:v>
      </x:c>
      <x:c r="M5018" s="11" t="n">
        <x:f>'管线假设'!H1079</x:f>
        <x:v>0.14</x:v>
      </x:c>
      <x:c r="N5018" s="11" t="n">
        <x:f>IF(G5018,L5018*AN5018/(1+M5018)^F5018,0)</x:f>
        <x:v>0.016812432665889953</x:v>
      </x:c>
      <x:c r="AJ5018" t="n">
        <x:v>0</x:v>
      </x:c>
      <x:c r="AK5018" t="n">
        <x:v>0</x:v>
      </x:c>
      <x:c r="AL5018" t="n">
        <x:v>0</x:v>
      </x:c>
      <x:c r="AM5018" t="n">
        <x:f>CHOOSE('假设'!$B$3,AJ5018,AK5018,AL5018)</x:f>
        <x:v>0</x:v>
      </x:c>
      <x:c r="AN5018" t="n">
        <x:v>1</x:v>
      </x:c>
    </x:row>
    <x:row r="5019" ht="23" customHeight="1">
      <x:c r="A5019" s="11" t="str">
        <x:v>688062.SH</x:v>
      </x:c>
      <x:c r="B5019" s="11" t="str">
        <x:v>2026年底</x:v>
      </x:c>
      <x:c r="C5019" s="11" t="str">
        <x:v>tmprss_pv_global</x:v>
      </x:c>
      <x:c r="D5019" s="11" t="str">
        <x:v>2032-12-31</x:v>
      </x:c>
      <x:c r="E5019" s="11" t="str">
        <x:v>USD</x:v>
      </x:c>
      <x:c r="F5019" s="11" t="n">
        <x:v>6.0013689253935665</x:v>
      </x:c>
      <x:c r="G5019" s="26" t="b">
        <x:v>1</x:v>
      </x:c>
      <x:c r="H5019" s="16" t="n">
        <x:v>0</x:v>
      </x:c>
      <x:c r="I5019" s="16" t="n">
        <x:v>0.3333333333333333</x:v>
      </x:c>
      <x:c r="J5019" s="16" t="n">
        <x:v>1.1333333333333333</x:v>
      </x:c>
      <x:c r="K5019" s="11" t="n">
        <x:f>CHOOSE('假设'!$B$3,H5019,I5019,J5019)</x:f>
        <x:v>0.3333333333333333</x:v>
      </x:c>
      <x:c r="L5019" s="11" t="n">
        <x:f>K5019*'管线假设'!E1079*'管线假设'!F1079*'管线假设'!G1079*IF(E5019="USD",'管线假设'!I1079,1)-AM5019</x:f>
        <x:v>0.06473599999999997</x:v>
      </x:c>
      <x:c r="M5019" s="11" t="n">
        <x:f>'管线假设'!H1079</x:f>
        <x:v>0.14</x:v>
      </x:c>
      <x:c r="N5019" s="11" t="n">
        <x:f>IF(G5019,L5019*AN5019/(1+M5019)^F5019,0)</x:f>
        <x:v>0.029487561154113967</x:v>
      </x:c>
      <x:c r="AJ5019" t="n">
        <x:v>0</x:v>
      </x:c>
      <x:c r="AK5019" t="n">
        <x:v>0</x:v>
      </x:c>
      <x:c r="AL5019" t="n">
        <x:v>0</x:v>
      </x:c>
      <x:c r="AM5019" t="n">
        <x:f>CHOOSE('假设'!$B$3,AJ5019,AK5019,AL5019)</x:f>
        <x:v>0</x:v>
      </x:c>
      <x:c r="AN5019" t="n">
        <x:v>1</x:v>
      </x:c>
    </x:row>
    <x:row r="5020" ht="23" customHeight="1">
      <x:c r="A5020" s="11" t="str">
        <x:v>688062.SH</x:v>
      </x:c>
      <x:c r="B5020" s="11" t="str">
        <x:v>2026年底</x:v>
      </x:c>
      <x:c r="C5020" s="11" t="str">
        <x:v>tmprss_pv_global</x:v>
      </x:c>
      <x:c r="D5020" s="11" t="str">
        <x:v>2033-12-31</x:v>
      </x:c>
      <x:c r="E5020" s="11" t="str">
        <x:v>USD</x:v>
      </x:c>
      <x:c r="F5020" s="11" t="n">
        <x:v>7.000684462696783</x:v>
      </x:c>
      <x:c r="G5020" s="26" t="b">
        <x:v>1</x:v>
      </x:c>
      <x:c r="H5020" s="16" t="n">
        <x:v>0</x:v>
      </x:c>
      <x:c r="I5020" s="16" t="n">
        <x:v>0.5</x:v>
      </x:c>
      <x:c r="J5020" s="16" t="n">
        <x:v>1.4166666666666667</x:v>
      </x:c>
      <x:c r="K5020" s="11" t="n">
        <x:f>CHOOSE('假设'!$B$3,H5020,I5020,J5020)</x:f>
        <x:v>0.5</x:v>
      </x:c>
      <x:c r="L5020" s="11" t="n">
        <x:f>K5020*'管线假设'!E1079*'管线假设'!F1079*'管线假设'!G1079*IF(E5020="USD",'管线假设'!I1079,1)-AM5020</x:f>
        <x:v>0.097104</x:v>
      </x:c>
      <x:c r="M5020" s="11" t="n">
        <x:f>'管线假设'!H1079</x:f>
        <x:v>0.14</x:v>
      </x:c>
      <x:c r="N5020" s="11" t="n">
        <x:f>IF(G5020,L5020*AN5020/(1+M5020)^F5020,0)</x:f>
        <x:v>0.038802902413021416</x:v>
      </x:c>
      <x:c r="AJ5020" t="n">
        <x:v>0</x:v>
      </x:c>
      <x:c r="AK5020" t="n">
        <x:v>0</x:v>
      </x:c>
      <x:c r="AL5020" t="n">
        <x:v>0</x:v>
      </x:c>
      <x:c r="AM5020" t="n">
        <x:f>CHOOSE('假设'!$B$3,AJ5020,AK5020,AL5020)</x:f>
        <x:v>0</x:v>
      </x:c>
      <x:c r="AN5020" t="n">
        <x:v>1</x:v>
      </x:c>
    </x:row>
    <x:row r="5021" ht="23" customHeight="1">
      <x:c r="A5021" s="11" t="str">
        <x:v>688062.SH</x:v>
      </x:c>
      <x:c r="B5021" s="11" t="str">
        <x:v>2026年底</x:v>
      </x:c>
      <x:c r="C5021" s="11" t="str">
        <x:v>tmprss_pv_global</x:v>
      </x:c>
      <x:c r="D5021" s="11" t="str">
        <x:v>2034-12-31</x:v>
      </x:c>
      <x:c r="E5021" s="11" t="str">
        <x:v>USD</x:v>
      </x:c>
      <x:c r="F5021" s="11" t="n">
        <x:v>8</x:v>
      </x:c>
      <x:c r="G5021" s="26" t="b">
        <x:v>1</x:v>
      </x:c>
      <x:c r="H5021" s="16" t="n">
        <x:v>0.08000000000000002</x:v>
      </x:c>
      <x:c r="I5021" s="16" t="n">
        <x:v>0.6666666666666666</x:v>
      </x:c>
      <x:c r="J5021" s="16" t="n">
        <x:v>1.7</x:v>
      </x:c>
      <x:c r="K5021" s="11" t="n">
        <x:f>CHOOSE('假设'!$B$3,H5021,I5021,J5021)</x:f>
        <x:v>0.6666666666666666</x:v>
      </x:c>
      <x:c r="L5021" s="11" t="n">
        <x:f>K5021*'管线假设'!E1079*'管线假设'!F1079*'管线假设'!G1079*IF(E5021="USD",'管线假设'!I1079,1)-AM5021</x:f>
        <x:v>0.12947199999999995</x:v>
      </x:c>
      <x:c r="M5021" s="11" t="n">
        <x:f>'管线假设'!H1079</x:f>
        <x:v>0.14</x:v>
      </x:c>
      <x:c r="N5021" s="11" t="n">
        <x:f>IF(G5021,L5021*AN5021/(1+M5021)^F5021,0)</x:f>
        <x:v>0.04538758194963764</x:v>
      </x:c>
      <x:c r="AJ5021" t="n">
        <x:v>0</x:v>
      </x:c>
      <x:c r="AK5021" t="n">
        <x:v>0</x:v>
      </x:c>
      <x:c r="AL5021" t="n">
        <x:v>0</x:v>
      </x:c>
      <x:c r="AM5021" t="n">
        <x:f>CHOOSE('假设'!$B$3,AJ5021,AK5021,AL5021)</x:f>
        <x:v>0</x:v>
      </x:c>
      <x:c r="AN5021" t="n">
        <x:v>1</x:v>
      </x:c>
    </x:row>
    <x:row r="5022" ht="23" customHeight="1">
      <x:c r="A5022" s="11" t="str">
        <x:v>688062.SH</x:v>
      </x:c>
      <x:c r="B5022" s="11" t="str">
        <x:v>2026年底</x:v>
      </x:c>
      <x:c r="C5022" s="11" t="str">
        <x:v>tmprss_pv_global</x:v>
      </x:c>
      <x:c r="D5022" s="11" t="str">
        <x:v>2035-12-31</x:v>
      </x:c>
      <x:c r="E5022" s="11" t="str">
        <x:v>USD</x:v>
      </x:c>
      <x:c r="F5022" s="11" t="n">
        <x:v>8.999315537303216</x:v>
      </x:c>
      <x:c r="G5022" s="26" t="b">
        <x:v>1</x:v>
      </x:c>
      <x:c r="H5022" s="16" t="n">
        <x:v>0.16000000000000003</x:v>
      </x:c>
      <x:c r="I5022" s="16" t="n">
        <x:v>0.8333333333333334</x:v>
      </x:c>
      <x:c r="J5022" s="16" t="n">
        <x:v>1.4789999999999999</x:v>
      </x:c>
      <x:c r="K5022" s="11" t="n">
        <x:f>CHOOSE('假设'!$B$3,H5022,I5022,J5022)</x:f>
        <x:v>0.8333333333333334</x:v>
      </x:c>
      <x:c r="L5022" s="11" t="n">
        <x:f>K5022*'管线假设'!E1079*'管线假设'!F1079*'管线假设'!G1079*IF(E5022="USD",'管线假设'!I1079,1)-AM5022</x:f>
        <x:v>0.16184</x:v>
      </x:c>
      <x:c r="M5022" s="11" t="n">
        <x:f>'管线假设'!H1079</x:f>
        <x:v>0.14</x:v>
      </x:c>
      <x:c r="N5022" s="11" t="n">
        <x:f>IF(G5022,L5022*AN5022/(1+M5022)^F5022,0)</x:f>
        <x:v>0.04977154898043881</x:v>
      </x:c>
      <x:c r="AJ5022" t="n">
        <x:v>0</x:v>
      </x:c>
      <x:c r="AK5022" t="n">
        <x:v>0</x:v>
      </x:c>
      <x:c r="AL5022" t="n">
        <x:v>0</x:v>
      </x:c>
      <x:c r="AM5022" t="n">
        <x:f>CHOOSE('假设'!$B$3,AJ5022,AK5022,AL5022)</x:f>
        <x:v>0</x:v>
      </x:c>
      <x:c r="AN5022" t="n">
        <x:v>1</x:v>
      </x:c>
    </x:row>
    <x:row r="5023" ht="23" customHeight="1">
      <x:c r="A5023" s="11" t="str">
        <x:v>688062.SH</x:v>
      </x:c>
      <x:c r="B5023" s="11" t="str">
        <x:v>2026年底</x:v>
      </x:c>
      <x:c r="C5023" s="11" t="str">
        <x:v>tmprss_pv_global</x:v>
      </x:c>
      <x:c r="D5023" s="11" t="str">
        <x:v>2036-12-31</x:v>
      </x:c>
      <x:c r="E5023" s="11" t="str">
        <x:v>USD</x:v>
      </x:c>
      <x:c r="F5023" s="11" t="n">
        <x:v>10.001368925393566</x:v>
      </x:c>
      <x:c r="G5023" s="26" t="b">
        <x:v>1</x:v>
      </x:c>
      <x:c r="H5023" s="16" t="n">
        <x:v>0.24</x:v>
      </x:c>
      <x:c r="I5023" s="16" t="n">
        <x:v>1</x:v>
      </x:c>
      <x:c r="J5023" s="16" t="n">
        <x:v>1.258</x:v>
      </x:c>
      <x:c r="K5023" s="11" t="n">
        <x:f>CHOOSE('假设'!$B$3,H5023,I5023,J5023)</x:f>
        <x:v>1</x:v>
      </x:c>
      <x:c r="L5023" s="11" t="n">
        <x:f>K5023*'管线假设'!E1079*'管线假设'!F1079*'管线假设'!G1079*IF(E5023="USD",'管线假设'!I1079,1)-AM5023</x:f>
        <x:v>0.194208</x:v>
      </x:c>
      <x:c r="M5023" s="11" t="n">
        <x:f>'管线假设'!H1079</x:f>
        <x:v>0.14</x:v>
      </x:c>
      <x:c r="N5023" s="11" t="n">
        <x:f>IF(G5023,L5023*AN5023/(1+M5023)^F5023,0)</x:f>
        <x:v>0.05237701016129469</x:v>
      </x:c>
      <x:c r="AJ5023" t="n">
        <x:v>0</x:v>
      </x:c>
      <x:c r="AK5023" t="n">
        <x:v>0</x:v>
      </x:c>
      <x:c r="AL5023" t="n">
        <x:v>0</x:v>
      </x:c>
      <x:c r="AM5023" t="n">
        <x:f>CHOOSE('假设'!$B$3,AJ5023,AK5023,AL5023)</x:f>
        <x:v>0</x:v>
      </x:c>
      <x:c r="AN5023" t="n">
        <x:v>1</x:v>
      </x:c>
    </x:row>
    <x:row r="5024" ht="23" customHeight="1">
      <x:c r="A5024" s="11" t="str">
        <x:v>688062.SH</x:v>
      </x:c>
      <x:c r="B5024" s="11" t="str">
        <x:v>2026年底</x:v>
      </x:c>
      <x:c r="C5024" s="11" t="str">
        <x:v>tmprss_pv_global</x:v>
      </x:c>
      <x:c r="D5024" s="11" t="str">
        <x:v>2037-12-31</x:v>
      </x:c>
      <x:c r="E5024" s="11" t="str">
        <x:v>USD</x:v>
      </x:c>
      <x:c r="F5024" s="11" t="n">
        <x:v>11.000684462696784</x:v>
      </x:c>
      <x:c r="G5024" s="26" t="b">
        <x:v>1</x:v>
      </x:c>
      <x:c r="H5024" s="16" t="n">
        <x:v>0.32000000000000006</x:v>
      </x:c>
      <x:c r="I5024" s="16" t="n">
        <x:v>0.87</x:v>
      </x:c>
      <x:c r="J5024" s="16" t="n">
        <x:v>1.037</x:v>
      </x:c>
      <x:c r="K5024" s="11" t="n">
        <x:f>CHOOSE('假设'!$B$3,H5024,I5024,J5024)</x:f>
        <x:v>0.87</x:v>
      </x:c>
      <x:c r="L5024" s="11" t="n">
        <x:f>K5024*'管线假设'!E1079*'管线假设'!F1079*'管线假设'!G1079*IF(E5024="USD",'管线假设'!I1079,1)-AM5024</x:f>
        <x:v>0.16896096</x:v>
      </x:c>
      <x:c r="M5024" s="11" t="n">
        <x:f>'管线假设'!H1079</x:f>
        <x:v>0.14</x:v>
      </x:c>
      <x:c r="N5024" s="11" t="n">
        <x:f>IF(G5024,L5024*AN5024/(1+M5024)^F5024,0)</x:f>
        <x:v>0.039975513808837994</x:v>
      </x:c>
      <x:c r="AJ5024" t="n">
        <x:v>0</x:v>
      </x:c>
      <x:c r="AK5024" t="n">
        <x:v>0</x:v>
      </x:c>
      <x:c r="AL5024" t="n">
        <x:v>0</x:v>
      </x:c>
      <x:c r="AM5024" t="n">
        <x:f>CHOOSE('假设'!$B$3,AJ5024,AK5024,AL5024)</x:f>
        <x:v>0</x:v>
      </x:c>
      <x:c r="AN5024" t="n">
        <x:v>1</x:v>
      </x:c>
    </x:row>
    <x:row r="5025" ht="23" customHeight="1">
      <x:c r="A5025" s="11" t="str">
        <x:v>688062.SH</x:v>
      </x:c>
      <x:c r="B5025" s="11" t="str">
        <x:v>2026年底</x:v>
      </x:c>
      <x:c r="C5025" s="11" t="str">
        <x:v>tmprss_pv_global</x:v>
      </x:c>
      <x:c r="D5025" s="11" t="str">
        <x:v>2038-12-31</x:v>
      </x:c>
      <x:c r="E5025" s="11" t="str">
        <x:v>USD</x:v>
      </x:c>
      <x:c r="F5025" s="11" t="n">
        <x:v>12</x:v>
      </x:c>
      <x:c r="G5025" s="26" t="b">
        <x:v>1</x:v>
      </x:c>
      <x:c r="H5025" s="16" t="n">
        <x:v>0.4</x:v>
      </x:c>
      <x:c r="I5025" s="16" t="n">
        <x:v>0.74</x:v>
      </x:c>
      <x:c r="J5025" s="16" t="n">
        <x:v>0.816</x:v>
      </x:c>
      <x:c r="K5025" s="11" t="n">
        <x:f>CHOOSE('假设'!$B$3,H5025,I5025,J5025)</x:f>
        <x:v>0.74</x:v>
      </x:c>
      <x:c r="L5025" s="11" t="n">
        <x:f>K5025*'管线假设'!E1079*'管线假设'!F1079*'管线假设'!G1079*IF(E5025="USD",'管线假设'!I1079,1)-AM5025</x:f>
        <x:v>0.14371391999999997</x:v>
      </x:c>
      <x:c r="M5025" s="11" t="n">
        <x:f>'管线假设'!H1079</x:f>
        <x:v>0.14</x:v>
      </x:c>
      <x:c r="N5025" s="11" t="n">
        <x:f>IF(G5025,L5025*AN5025/(1+M5025)^F5025,0)</x:f>
        <x:v>0.029829132241993066</x:v>
      </x:c>
      <x:c r="AJ5025" t="n">
        <x:v>0</x:v>
      </x:c>
      <x:c r="AK5025" t="n">
        <x:v>0</x:v>
      </x:c>
      <x:c r="AL5025" t="n">
        <x:v>0</x:v>
      </x:c>
      <x:c r="AM5025" t="n">
        <x:f>CHOOSE('假设'!$B$3,AJ5025,AK5025,AL5025)</x:f>
        <x:v>0</x:v>
      </x:c>
      <x:c r="AN5025" t="n">
        <x:v>1</x:v>
      </x:c>
    </x:row>
    <x:row r="5026" ht="23" customHeight="1">
      <x:c r="A5026" s="11" t="str">
        <x:v>688062.SH</x:v>
      </x:c>
      <x:c r="B5026" s="11" t="str">
        <x:v>2026年底</x:v>
      </x:c>
      <x:c r="C5026" s="11" t="str">
        <x:v>tmprss_pv_global</x:v>
      </x:c>
      <x:c r="D5026" s="11" t="str">
        <x:v>2039-12-31</x:v>
      </x:c>
      <x:c r="E5026" s="11" t="str">
        <x:v>USD</x:v>
      </x:c>
      <x:c r="F5026" s="11" t="n">
        <x:v>12.999315537303216</x:v>
      </x:c>
      <x:c r="G5026" s="26" t="b">
        <x:v>1</x:v>
      </x:c>
      <x:c r="H5026" s="16" t="n">
        <x:v>0.34800000000000003</x:v>
      </x:c>
      <x:c r="I5026" s="16" t="n">
        <x:v>0.61</x:v>
      </x:c>
      <x:c r="J5026" s="16" t="n">
        <x:v>0.595</x:v>
      </x:c>
      <x:c r="K5026" s="11" t="n">
        <x:f>CHOOSE('假设'!$B$3,H5026,I5026,J5026)</x:f>
        <x:v>0.61</x:v>
      </x:c>
      <x:c r="L5026" s="11" t="n">
        <x:f>K5026*'管线假设'!E1079*'管线假设'!F1079*'管线假设'!G1079*IF(E5026="USD",'管线假设'!I1079,1)-AM5026</x:f>
        <x:v>0.11846687999999997</x:v>
      </x:c>
      <x:c r="M5026" s="11" t="n">
        <x:f>'管线假设'!H1079</x:f>
        <x:v>0.14</x:v>
      </x:c>
      <x:c r="N5026" s="11" t="n">
        <x:f>IF(G5026,L5026*AN5026/(1+M5026)^F5026,0)</x:f>
        <x:v>0.02157112684865295</x:v>
      </x:c>
      <x:c r="AJ5026" t="n">
        <x:v>0</x:v>
      </x:c>
      <x:c r="AK5026" t="n">
        <x:v>0</x:v>
      </x:c>
      <x:c r="AL5026" t="n">
        <x:v>0</x:v>
      </x:c>
      <x:c r="AM5026" t="n">
        <x:f>CHOOSE('假设'!$B$3,AJ5026,AK5026,AL5026)</x:f>
        <x:v>0</x:v>
      </x:c>
      <x:c r="AN5026" t="n">
        <x:v>1</x:v>
      </x:c>
    </x:row>
    <x:row r="5027" ht="23" customHeight="1">
      <x:c r="A5027" s="11" t="str">
        <x:v>688062.SH</x:v>
      </x:c>
      <x:c r="B5027" s="11" t="str">
        <x:v>2026年底</x:v>
      </x:c>
      <x:c r="C5027" s="11" t="str">
        <x:v>tmprss_pv_global</x:v>
      </x:c>
      <x:c r="D5027" s="11" t="str">
        <x:v>2040-12-31</x:v>
      </x:c>
      <x:c r="E5027" s="11" t="str">
        <x:v>USD</x:v>
      </x:c>
      <x:c r="F5027" s="11" t="n">
        <x:v>14.001368925393566</x:v>
      </x:c>
      <x:c r="G5027" s="26" t="b">
        <x:v>1</x:v>
      </x:c>
      <x:c r="H5027" s="16" t="n">
        <x:v>0.296</x:v>
      </x:c>
      <x:c r="I5027" s="16" t="n">
        <x:v>0.48</x:v>
      </x:c>
      <x:c r="J5027" s="16" t="n">
        <x:v>0.37399999999999994</x:v>
      </x:c>
      <x:c r="K5027" s="11" t="n">
        <x:f>CHOOSE('假设'!$B$3,H5027,I5027,J5027)</x:f>
        <x:v>0.48</x:v>
      </x:c>
      <x:c r="L5027" s="11" t="n">
        <x:f>K5027*'管线假设'!E1079*'管线假设'!F1079*'管线假设'!G1079*IF(E5027="USD",'管线假设'!I1079,1)-AM5027</x:f>
        <x:v>0.09321983999999997</x:v>
      </x:c>
      <x:c r="M5027" s="11" t="n">
        <x:f>'管线假设'!H1079</x:f>
        <x:v>0.14</x:v>
      </x:c>
      <x:c r="N5027" s="11" t="n">
        <x:f>IF(G5027,L5027*AN5027/(1+M5027)^F5027,0)</x:f>
        <x:v>0.01488546945797788</x:v>
      </x:c>
      <x:c r="AJ5027" t="n">
        <x:v>0</x:v>
      </x:c>
      <x:c r="AK5027" t="n">
        <x:v>0</x:v>
      </x:c>
      <x:c r="AL5027" t="n">
        <x:v>0</x:v>
      </x:c>
      <x:c r="AM5027" t="n">
        <x:f>CHOOSE('假设'!$B$3,AJ5027,AK5027,AL5027)</x:f>
        <x:v>0</x:v>
      </x:c>
      <x:c r="AN5027" t="n">
        <x:v>1</x:v>
      </x:c>
    </x:row>
    <x:row r="5028" ht="23" customHeight="1">
      <x:c r="A5028" s="11" t="str">
        <x:v>688062.SH</x:v>
      </x:c>
      <x:c r="B5028" s="11" t="str">
        <x:v>2026年底</x:v>
      </x:c>
      <x:c r="C5028" s="11" t="str">
        <x:v>tmprss_pv_global</x:v>
      </x:c>
      <x:c r="D5028" s="11" t="str">
        <x:v>2041-12-31</x:v>
      </x:c>
      <x:c r="E5028" s="11" t="str">
        <x:v>USD</x:v>
      </x:c>
      <x:c r="F5028" s="11" t="n">
        <x:v>15.000684462696784</x:v>
      </x:c>
      <x:c r="G5028" s="26" t="b">
        <x:v>1</x:v>
      </x:c>
      <x:c r="H5028" s="16" t="n">
        <x:v>0.244</x:v>
      </x:c>
      <x:c r="I5028" s="16" t="n">
        <x:v>0.35</x:v>
      </x:c>
      <x:c r="J5028" s="16" t="n">
        <x:v>0.15299999999999994</x:v>
      </x:c>
      <x:c r="K5028" s="11" t="n">
        <x:f>CHOOSE('假设'!$B$3,H5028,I5028,J5028)</x:f>
        <x:v>0.35</x:v>
      </x:c>
      <x:c r="L5028" s="11" t="n">
        <x:f>K5028*'管线假设'!E1079*'管线假设'!F1079*'管线假设'!G1079*IF(E5028="USD",'管线假设'!I1079,1)-AM5028</x:f>
        <x:v>0.06797279999999999</x:v>
      </x:c>
      <x:c r="M5028" s="11" t="n">
        <x:f>'管线假设'!H1079</x:f>
        <x:v>0.14</x:v>
      </x:c>
      <x:c r="N5028" s="11" t="n">
        <x:f>IF(G5028,L5028*AN5028/(1+M5028)^F5028,0)</x:f>
        <x:v>0.009521896156762553</x:v>
      </x:c>
      <x:c r="AJ5028" t="n">
        <x:v>0</x:v>
      </x:c>
      <x:c r="AK5028" t="n">
        <x:v>0</x:v>
      </x:c>
      <x:c r="AL5028" t="n">
        <x:v>0</x:v>
      </x:c>
      <x:c r="AM5028" t="n">
        <x:f>CHOOSE('假设'!$B$3,AJ5028,AK5028,AL5028)</x:f>
        <x:v>0</x:v>
      </x:c>
      <x:c r="AN5028" t="n">
        <x:v>1</x:v>
      </x:c>
    </x:row>
    <x:row r="5029" ht="23" customHeight="1">
      <x:c r="A5029" s="11" t="str">
        <x:v>688062.SH</x:v>
      </x:c>
      <x:c r="B5029" s="11" t="str">
        <x:v>2026年底</x:v>
      </x:c>
      <x:c r="C5029" s="11" t="str">
        <x:v>tmprss_pv_global</x:v>
      </x:c>
      <x:c r="D5029" s="11" t="str">
        <x:v>2042-12-31</x:v>
      </x:c>
      <x:c r="E5029" s="11" t="str">
        <x:v>USD</x:v>
      </x:c>
      <x:c r="F5029" s="11" t="n">
        <x:v>16</x:v>
      </x:c>
      <x:c r="G5029" s="26" t="b">
        <x:v>1</x:v>
      </x:c>
      <x:c r="H5029" s="16" t="n">
        <x:v>0.192</x:v>
      </x:c>
      <x:c r="I5029" s="16" t="n">
        <x:v>0.21999999999999997</x:v>
      </x:c>
      <x:c r="J5029" s="16" t="n">
        <x:v>0</x:v>
      </x:c>
      <x:c r="K5029" s="11" t="n">
        <x:f>CHOOSE('假设'!$B$3,H5029,I5029,J5029)</x:f>
        <x:v>0.21999999999999997</x:v>
      </x:c>
      <x:c r="L5029" s="11" t="n">
        <x:f>K5029*'管线假设'!E1079*'管线假设'!F1079*'管线假设'!G1079*IF(E5029="USD",'管线假设'!I1079,1)-AM5029</x:f>
        <x:v>0.04272575999999999</x:v>
      </x:c>
      <x:c r="M5029" s="11" t="n">
        <x:f>'管线假设'!H1079</x:f>
        <x:v>0.14</x:v>
      </x:c>
      <x:c r="N5029" s="11" t="n">
        <x:f>IF(G5029,L5029*AN5029/(1+M5029)^F5029,0)</x:f>
        <x:v>0.005250639183974716</x:v>
      </x:c>
      <x:c r="AJ5029" t="n">
        <x:v>0</x:v>
      </x:c>
      <x:c r="AK5029" t="n">
        <x:v>0</x:v>
      </x:c>
      <x:c r="AL5029" t="n">
        <x:v>0</x:v>
      </x:c>
      <x:c r="AM5029" t="n">
        <x:f>CHOOSE('假设'!$B$3,AJ5029,AK5029,AL5029)</x:f>
        <x:v>0</x:v>
      </x:c>
      <x:c r="AN5029" t="n">
        <x:v>1</x:v>
      </x:c>
    </x:row>
    <x:row r="5030" ht="23" customHeight="1">
      <x:c r="A5030" s="11" t="str">
        <x:v>688062.SH</x:v>
      </x:c>
      <x:c r="B5030" s="11" t="str">
        <x:v>2026年底</x:v>
      </x:c>
      <x:c r="C5030" s="11" t="str">
        <x:v>tmprss_pv_global</x:v>
      </x:c>
      <x:c r="D5030" s="11" t="str">
        <x:v>2043-12-31</x:v>
      </x:c>
      <x:c r="E5030" s="11" t="str">
        <x:v>USD</x:v>
      </x:c>
      <x:c r="F5030" s="11" t="n">
        <x:v>16.999315537303218</x:v>
      </x:c>
      <x:c r="G5030" s="26" t="b">
        <x:v>1</x:v>
      </x:c>
      <x:c r="H5030" s="16" t="n">
        <x:v>0.13999999999999999</x:v>
      </x:c>
      <x:c r="I5030" s="16" t="n">
        <x:v>0.08999999999999997</x:v>
      </x:c>
      <x:c r="J5030" s="16" t="n">
        <x:v>0</x:v>
      </x:c>
      <x:c r="K5030" s="11" t="n">
        <x:f>CHOOSE('假设'!$B$3,H5030,I5030,J5030)</x:f>
        <x:v>0.08999999999999997</x:v>
      </x:c>
      <x:c r="L5030" s="11" t="n">
        <x:f>K5030*'管线假设'!E1079*'管线假设'!F1079*'管线假设'!G1079*IF(E5030="USD",'管线假设'!I1079,1)-AM5030</x:f>
        <x:v>0.01747871999999999</x:v>
      </x:c>
      <x:c r="M5030" s="11" t="n">
        <x:f>'管线假设'!H1079</x:f>
        <x:v>0.14</x:v>
      </x:c>
      <x:c r="N5030" s="11" t="n">
        <x:f>IF(G5030,L5030*AN5030/(1+M5030)^F5030,0)</x:f>
        <x:v>0.0018843696542564221</x:v>
      </x:c>
      <x:c r="AJ5030" t="n">
        <x:v>0</x:v>
      </x:c>
      <x:c r="AK5030" t="n">
        <x:v>0</x:v>
      </x:c>
      <x:c r="AL5030" t="n">
        <x:v>0</x:v>
      </x:c>
      <x:c r="AM5030" t="n">
        <x:f>CHOOSE('假设'!$B$3,AJ5030,AK5030,AL5030)</x:f>
        <x:v>0</x:v>
      </x:c>
      <x:c r="AN5030" t="n">
        <x:v>1</x:v>
      </x:c>
    </x:row>
    <x:row r="5031" ht="23" customHeight="1">
      <x:c r="A5031" s="11" t="str">
        <x:v>688062.SH</x:v>
      </x:c>
      <x:c r="B5031" s="11" t="str">
        <x:v>2026年底</x:v>
      </x:c>
      <x:c r="C5031" s="11" t="str">
        <x:v>tmprss_pv_global</x:v>
      </x:c>
      <x:c r="D5031" s="11" t="str">
        <x:v>2044-12-31</x:v>
      </x:c>
      <x:c r="E5031" s="11" t="str">
        <x:v>USD</x:v>
      </x:c>
      <x:c r="F5031" s="11" t="n">
        <x:v>18.001368925393567</x:v>
      </x:c>
      <x:c r="G5031" s="26" t="b">
        <x:v>1</x:v>
      </x:c>
      <x:c r="H5031" s="16" t="n">
        <x:v>0.088</x:v>
      </x:c>
      <x:c r="I5031" s="16" t="n">
        <x:v>0</x:v>
      </x:c>
      <x:c r="J5031" s="16" t="n">
        <x:v>0</x:v>
      </x:c>
      <x:c r="K5031" s="11" t="n">
        <x:f>CHOOSE('假设'!$B$3,H5031,I5031,J5031)</x:f>
        <x:v>0</x:v>
      </x:c>
      <x:c r="L5031" s="11" t="n">
        <x:f>K5031*'管线假设'!E1079*'管线假设'!F1079*'管线假设'!G1079*IF(E5031="USD",'管线假设'!I1079,1)-AM5031</x:f>
        <x:v>0</x:v>
      </x:c>
      <x:c r="M5031" s="11" t="n">
        <x:f>'管线假设'!H1079</x:f>
        <x:v>0.14</x:v>
      </x:c>
      <x:c r="N5031" s="11" t="n">
        <x:f>IF(G5031,L5031*AN5031/(1+M5031)^F5031,0)</x:f>
        <x:v>0</x:v>
      </x:c>
      <x:c r="AJ5031" t="n">
        <x:v>0</x:v>
      </x:c>
      <x:c r="AK5031" t="n">
        <x:v>0</x:v>
      </x:c>
      <x:c r="AL5031" t="n">
        <x:v>0</x:v>
      </x:c>
      <x:c r="AM5031" t="n">
        <x:f>CHOOSE('假设'!$B$3,AJ5031,AK5031,AL5031)</x:f>
        <x:v>0</x:v>
      </x:c>
      <x:c r="AN5031" t="n">
        <x:v>1</x:v>
      </x:c>
    </x:row>
    <x:row r="5032" ht="23" customHeight="1">
      <x:c r="A5032" s="11" t="str">
        <x:v>688062.SH</x:v>
      </x:c>
      <x:c r="B5032" s="11" t="str">
        <x:v>2026年底</x:v>
      </x:c>
      <x:c r="C5032" s="11" t="str">
        <x:v>tmprss_pv_global</x:v>
      </x:c>
      <x:c r="D5032" s="11" t="str">
        <x:v>2045-12-31</x:v>
      </x:c>
      <x:c r="E5032" s="11" t="str">
        <x:v>USD</x:v>
      </x:c>
      <x:c r="F5032" s="11" t="n">
        <x:v>19.000684462696782</x:v>
      </x:c>
      <x:c r="G5032" s="26" t="b">
        <x:v>1</x:v>
      </x:c>
      <x:c r="H5032" s="16" t="n">
        <x:v>0.03599999999999999</x:v>
      </x:c>
      <x:c r="I5032" s="16" t="n">
        <x:v>0</x:v>
      </x:c>
      <x:c r="J5032" s="16" t="n">
        <x:v>0</x:v>
      </x:c>
      <x:c r="K5032" s="11" t="n">
        <x:f>CHOOSE('假设'!$B$3,H5032,I5032,J5032)</x:f>
        <x:v>0</x:v>
      </x:c>
      <x:c r="L5032" s="11" t="n">
        <x:f>K5032*'管线假设'!E1079*'管线假设'!F1079*'管线假设'!G1079*IF(E5032="USD",'管线假设'!I1079,1)-AM5032</x:f>
        <x:v>0</x:v>
      </x:c>
      <x:c r="M5032" s="11" t="n">
        <x:f>'管线假设'!H1079</x:f>
        <x:v>0.14</x:v>
      </x:c>
      <x:c r="N5032" s="11" t="n">
        <x:f>IF(G5032,L5032*AN5032/(1+M5032)^F5032,0)</x:f>
        <x:v>0</x:v>
      </x:c>
      <x:c r="AJ5032" t="n">
        <x:v>0</x:v>
      </x:c>
      <x:c r="AK5032" t="n">
        <x:v>0</x:v>
      </x:c>
      <x:c r="AL5032" t="n">
        <x:v>0</x:v>
      </x:c>
      <x:c r="AM5032" t="n">
        <x:f>CHOOSE('假设'!$B$3,AJ5032,AK5032,AL5032)</x:f>
        <x:v>0</x:v>
      </x:c>
      <x:c r="AN5032" t="n">
        <x:v>1</x:v>
      </x:c>
    </x:row>
    <x:row r="5033" ht="23" customHeight="1">
      <x:c r="A5033" s="11" t="str">
        <x:v>688062.SH</x:v>
      </x:c>
      <x:c r="B5033" s="11" t="str">
        <x:v>2026年底</x:v>
      </x:c>
      <x:c r="C5033" s="11" t="str">
        <x:v>tmprss_pv_cn</x:v>
      </x:c>
      <x:c r="D5033" s="11" t="str">
        <x:v>2027-12-31</x:v>
      </x:c>
      <x:c r="E5033" s="11" t="str">
        <x:v>CNY</x:v>
      </x:c>
      <x:c r="F5033" s="11" t="n">
        <x:v>0.999315537303217</x:v>
      </x:c>
      <x:c r="G5033" s="26" t="b">
        <x:v>1</x:v>
      </x:c>
      <x:c r="H5033" s="16" t="n">
        <x:v>0</x:v>
      </x:c>
      <x:c r="I5033" s="16" t="n">
        <x:v>0</x:v>
      </x:c>
      <x:c r="J5033" s="16" t="n">
        <x:v>0</x:v>
      </x:c>
      <x:c r="K5033" s="11" t="n">
        <x:f>CHOOSE('假设'!$B$3,H5033,I5033,J5033)</x:f>
        <x:v>0</x:v>
      </x:c>
      <x:c r="L5033" s="11" t="n">
        <x:f>K5033*'管线假设'!E1083*'管线假设'!F1083*'管线假设'!G1083*IF(E5033="USD",'管线假设'!I1083,1)-AM5033</x:f>
        <x:v>0</x:v>
      </x:c>
      <x:c r="M5033" s="11" t="n">
        <x:f>'管线假设'!H1083</x:f>
        <x:v>0.14</x:v>
      </x:c>
      <x:c r="N5033" s="11" t="n">
        <x:f>IF(G5033,L5033*AN5033/(1+M5033)^F5033,0)</x:f>
        <x:v>0</x:v>
      </x:c>
      <x:c r="AJ5033" t="n">
        <x:v>0</x:v>
      </x:c>
      <x:c r="AK5033" t="n">
        <x:v>0</x:v>
      </x:c>
      <x:c r="AL5033" t="n">
        <x:v>0</x:v>
      </x:c>
      <x:c r="AM5033" t="n">
        <x:f>CHOOSE('假设'!$B$3,AJ5033,AK5033,AL5033)</x:f>
        <x:v>0</x:v>
      </x:c>
      <x:c r="AN5033" t="n">
        <x:v>1</x:v>
      </x:c>
    </x:row>
    <x:row r="5034" ht="23" customHeight="1">
      <x:c r="A5034" s="11" t="str">
        <x:v>688062.SH</x:v>
      </x:c>
      <x:c r="B5034" s="11" t="str">
        <x:v>2026年底</x:v>
      </x:c>
      <x:c r="C5034" s="11" t="str">
        <x:v>tmprss_pv_cn</x:v>
      </x:c>
      <x:c r="D5034" s="11" t="str">
        <x:v>2028-12-31</x:v>
      </x:c>
      <x:c r="E5034" s="11" t="str">
        <x:v>CNY</x:v>
      </x:c>
      <x:c r="F5034" s="11" t="n">
        <x:v>2.001368925393566</x:v>
      </x:c>
      <x:c r="G5034" s="26" t="b">
        <x:v>1</x:v>
      </x:c>
      <x:c r="H5034" s="16" t="n">
        <x:v>0</x:v>
      </x:c>
      <x:c r="I5034" s="16" t="n">
        <x:v>0</x:v>
      </x:c>
      <x:c r="J5034" s="16" t="n">
        <x:v>0</x:v>
      </x:c>
      <x:c r="K5034" s="11" t="n">
        <x:f>CHOOSE('假设'!$B$3,H5034,I5034,J5034)</x:f>
        <x:v>0</x:v>
      </x:c>
      <x:c r="L5034" s="11" t="n">
        <x:f>K5034*'管线假设'!E1083*'管线假设'!F1083*'管线假设'!G1083*IF(E5034="USD",'管线假设'!I1083,1)-AM5034</x:f>
        <x:v>0</x:v>
      </x:c>
      <x:c r="M5034" s="11" t="n">
        <x:f>'管线假设'!H1083</x:f>
        <x:v>0.14</x:v>
      </x:c>
      <x:c r="N5034" s="11" t="n">
        <x:f>IF(G5034,L5034*AN5034/(1+M5034)^F5034,0)</x:f>
        <x:v>0</x:v>
      </x:c>
      <x:c r="AJ5034" t="n">
        <x:v>0</x:v>
      </x:c>
      <x:c r="AK5034" t="n">
        <x:v>0</x:v>
      </x:c>
      <x:c r="AL5034" t="n">
        <x:v>0</x:v>
      </x:c>
      <x:c r="AM5034" t="n">
        <x:f>CHOOSE('假设'!$B$3,AJ5034,AK5034,AL5034)</x:f>
        <x:v>0</x:v>
      </x:c>
      <x:c r="AN5034" t="n">
        <x:v>1</x:v>
      </x:c>
    </x:row>
    <x:row r="5035" ht="23" customHeight="1">
      <x:c r="A5035" s="11" t="str">
        <x:v>688062.SH</x:v>
      </x:c>
      <x:c r="B5035" s="11" t="str">
        <x:v>2026年底</x:v>
      </x:c>
      <x:c r="C5035" s="11" t="str">
        <x:v>tmprss_pv_cn</x:v>
      </x:c>
      <x:c r="D5035" s="11" t="str">
        <x:v>2029-12-31</x:v>
      </x:c>
      <x:c r="E5035" s="11" t="str">
        <x:v>CNY</x:v>
      </x:c>
      <x:c r="F5035" s="11" t="n">
        <x:v>3.0006844626967832</x:v>
      </x:c>
      <x:c r="G5035" s="26" t="b">
        <x:v>1</x:v>
      </x:c>
      <x:c r="H5035" s="16" t="n">
        <x:v>0</x:v>
      </x:c>
      <x:c r="I5035" s="16" t="n">
        <x:v>0</x:v>
      </x:c>
      <x:c r="J5035" s="16" t="n">
        <x:v>0.16666666666666666</x:v>
      </x:c>
      <x:c r="K5035" s="11" t="n">
        <x:f>CHOOSE('假设'!$B$3,H5035,I5035,J5035)</x:f>
        <x:v>0</x:v>
      </x:c>
      <x:c r="L5035" s="11" t="n">
        <x:f>K5035*'管线假设'!E1083*'管线假设'!F1083*'管线假设'!G1083*IF(E5035="USD",'管线假设'!I1083,1)-AM5035</x:f>
        <x:v>0</x:v>
      </x:c>
      <x:c r="M5035" s="11" t="n">
        <x:f>'管线假设'!H1083</x:f>
        <x:v>0.14</x:v>
      </x:c>
      <x:c r="N5035" s="11" t="n">
        <x:f>IF(G5035,L5035*AN5035/(1+M5035)^F5035,0)</x:f>
        <x:v>0</x:v>
      </x:c>
      <x:c r="AJ5035" t="n">
        <x:v>0</x:v>
      </x:c>
      <x:c r="AK5035" t="n">
        <x:v>0</x:v>
      </x:c>
      <x:c r="AL5035" t="n">
        <x:v>0</x:v>
      </x:c>
      <x:c r="AM5035" t="n">
        <x:f>CHOOSE('假设'!$B$3,AJ5035,AK5035,AL5035)</x:f>
        <x:v>0</x:v>
      </x:c>
      <x:c r="AN5035" t="n">
        <x:v>1</x:v>
      </x:c>
    </x:row>
    <x:row r="5036" ht="23" customHeight="1">
      <x:c r="A5036" s="11" t="str">
        <x:v>688062.SH</x:v>
      </x:c>
      <x:c r="B5036" s="11" t="str">
        <x:v>2026年底</x:v>
      </x:c>
      <x:c r="C5036" s="11" t="str">
        <x:v>tmprss_pv_cn</x:v>
      </x:c>
      <x:c r="D5036" s="11" t="str">
        <x:v>2030-12-31</x:v>
      </x:c>
      <x:c r="E5036" s="11" t="str">
        <x:v>CNY</x:v>
      </x:c>
      <x:c r="F5036" s="11" t="n">
        <x:v>4</x:v>
      </x:c>
      <x:c r="G5036" s="26" t="b">
        <x:v>1</x:v>
      </x:c>
      <x:c r="H5036" s="16" t="n">
        <x:v>0</x:v>
      </x:c>
      <x:c r="I5036" s="16" t="n">
        <x:v>0</x:v>
      </x:c>
      <x:c r="J5036" s="16" t="n">
        <x:v>0.3333333333333333</x:v>
      </x:c>
      <x:c r="K5036" s="11" t="n">
        <x:f>CHOOSE('假设'!$B$3,H5036,I5036,J5036)</x:f>
        <x:v>0</x:v>
      </x:c>
      <x:c r="L5036" s="11" t="n">
        <x:f>K5036*'管线假设'!E1083*'管线假设'!F1083*'管线假设'!G1083*IF(E5036="USD",'管线假设'!I1083,1)-AM5036</x:f>
        <x:v>0</x:v>
      </x:c>
      <x:c r="M5036" s="11" t="n">
        <x:f>'管线假设'!H1083</x:f>
        <x:v>0.14</x:v>
      </x:c>
      <x:c r="N5036" s="11" t="n">
        <x:f>IF(G5036,L5036*AN5036/(1+M5036)^F5036,0)</x:f>
        <x:v>0</x:v>
      </x:c>
      <x:c r="AJ5036" t="n">
        <x:v>0</x:v>
      </x:c>
      <x:c r="AK5036" t="n">
        <x:v>0</x:v>
      </x:c>
      <x:c r="AL5036" t="n">
        <x:v>0</x:v>
      </x:c>
      <x:c r="AM5036" t="n">
        <x:f>CHOOSE('假设'!$B$3,AJ5036,AK5036,AL5036)</x:f>
        <x:v>0</x:v>
      </x:c>
      <x:c r="AN5036" t="n">
        <x:v>1</x:v>
      </x:c>
    </x:row>
    <x:row r="5037" ht="23" customHeight="1">
      <x:c r="A5037" s="11" t="str">
        <x:v>688062.SH</x:v>
      </x:c>
      <x:c r="B5037" s="11" t="str">
        <x:v>2026年底</x:v>
      </x:c>
      <x:c r="C5037" s="11" t="str">
        <x:v>tmprss_pv_cn</x:v>
      </x:c>
      <x:c r="D5037" s="11" t="str">
        <x:v>2031-12-31</x:v>
      </x:c>
      <x:c r="E5037" s="11" t="str">
        <x:v>CNY</x:v>
      </x:c>
      <x:c r="F5037" s="11" t="n">
        <x:v>4.999315537303217</x:v>
      </x:c>
      <x:c r="G5037" s="26" t="b">
        <x:v>1</x:v>
      </x:c>
      <x:c r="H5037" s="16" t="n">
        <x:v>0</x:v>
      </x:c>
      <x:c r="I5037" s="16" t="n">
        <x:v>0.09999999999999999</x:v>
      </x:c>
      <x:c r="J5037" s="16" t="n">
        <x:v>0.5</x:v>
      </x:c>
      <x:c r="K5037" s="11" t="n">
        <x:f>CHOOSE('假设'!$B$3,H5037,I5037,J5037)</x:f>
        <x:v>0.09999999999999999</x:v>
      </x:c>
      <x:c r="L5037" s="11" t="n">
        <x:f>K5037*'管线假设'!E1083*'管线假设'!F1083*'管线假设'!G1083*IF(E5037="USD",'管线假设'!I1083,1)-AM5037</x:f>
        <x:v>0.010499999999999999</x:v>
      </x:c>
      <x:c r="M5037" s="11" t="n">
        <x:f>'管线假设'!H1083</x:f>
        <x:v>0.14</x:v>
      </x:c>
      <x:c r="N5037" s="11" t="n">
        <x:f>IF(G5037,L5037*AN5037/(1+M5037)^F5037,0)</x:f>
        <x:v>0.005453860077602711</x:v>
      </x:c>
      <x:c r="AJ5037" t="n">
        <x:v>0</x:v>
      </x:c>
      <x:c r="AK5037" t="n">
        <x:v>0</x:v>
      </x:c>
      <x:c r="AL5037" t="n">
        <x:v>0</x:v>
      </x:c>
      <x:c r="AM5037" t="n">
        <x:f>CHOOSE('假设'!$B$3,AJ5037,AK5037,AL5037)</x:f>
        <x:v>0</x:v>
      </x:c>
      <x:c r="AN5037" t="n">
        <x:v>1</x:v>
      </x:c>
    </x:row>
    <x:row r="5038" ht="23" customHeight="1">
      <x:c r="A5038" s="11" t="str">
        <x:v>688062.SH</x:v>
      </x:c>
      <x:c r="B5038" s="11" t="str">
        <x:v>2026年底</x:v>
      </x:c>
      <x:c r="C5038" s="11" t="str">
        <x:v>tmprss_pv_cn</x:v>
      </x:c>
      <x:c r="D5038" s="11" t="str">
        <x:v>2032-12-31</x:v>
      </x:c>
      <x:c r="E5038" s="11" t="str">
        <x:v>CNY</x:v>
      </x:c>
      <x:c r="F5038" s="11" t="n">
        <x:v>6.0013689253935665</x:v>
      </x:c>
      <x:c r="G5038" s="26" t="b">
        <x:v>1</x:v>
      </x:c>
      <x:c r="H5038" s="16" t="n">
        <x:v>0</x:v>
      </x:c>
      <x:c r="I5038" s="16" t="n">
        <x:v>0.19999999999999998</x:v>
      </x:c>
      <x:c r="J5038" s="16" t="n">
        <x:v>0.6666666666666666</x:v>
      </x:c>
      <x:c r="K5038" s="11" t="n">
        <x:f>CHOOSE('假设'!$B$3,H5038,I5038,J5038)</x:f>
        <x:v>0.19999999999999998</x:v>
      </x:c>
      <x:c r="L5038" s="11" t="n">
        <x:f>K5038*'管线假设'!E1083*'管线假设'!F1083*'管线假设'!G1083*IF(E5038="USD",'管线假设'!I1083,1)-AM5038</x:f>
        <x:v>0.020999999999999998</x:v>
      </x:c>
      <x:c r="M5038" s="11" t="n">
        <x:f>'管线假设'!H1083</x:f>
        <x:v>0.14</x:v>
      </x:c>
      <x:c r="N5038" s="11" t="n">
        <x:f>IF(G5038,L5038*AN5038/(1+M5038)^F5038,0)</x:f>
        <x:v>0.009565601585460848</x:v>
      </x:c>
      <x:c r="AJ5038" t="n">
        <x:v>0</x:v>
      </x:c>
      <x:c r="AK5038" t="n">
        <x:v>0</x:v>
      </x:c>
      <x:c r="AL5038" t="n">
        <x:v>0</x:v>
      </x:c>
      <x:c r="AM5038" t="n">
        <x:f>CHOOSE('假设'!$B$3,AJ5038,AK5038,AL5038)</x:f>
        <x:v>0</x:v>
      </x:c>
      <x:c r="AN5038" t="n">
        <x:v>1</x:v>
      </x:c>
    </x:row>
    <x:row r="5039" ht="23" customHeight="1">
      <x:c r="A5039" s="11" t="str">
        <x:v>688062.SH</x:v>
      </x:c>
      <x:c r="B5039" s="11" t="str">
        <x:v>2026年底</x:v>
      </x:c>
      <x:c r="C5039" s="11" t="str">
        <x:v>tmprss_pv_cn</x:v>
      </x:c>
      <x:c r="D5039" s="11" t="str">
        <x:v>2033-12-31</x:v>
      </x:c>
      <x:c r="E5039" s="11" t="str">
        <x:v>CNY</x:v>
      </x:c>
      <x:c r="F5039" s="11" t="n">
        <x:v>7.000684462696783</x:v>
      </x:c>
      <x:c r="G5039" s="26" t="b">
        <x:v>1</x:v>
      </x:c>
      <x:c r="H5039" s="16" t="n">
        <x:v>0</x:v>
      </x:c>
      <x:c r="I5039" s="16" t="n">
        <x:v>0.3</x:v>
      </x:c>
      <x:c r="J5039" s="16" t="n">
        <x:v>0.8333333333333334</x:v>
      </x:c>
      <x:c r="K5039" s="11" t="n">
        <x:f>CHOOSE('假设'!$B$3,H5039,I5039,J5039)</x:f>
        <x:v>0.3</x:v>
      </x:c>
      <x:c r="L5039" s="11" t="n">
        <x:f>K5039*'管线假设'!E1083*'管线假设'!F1083*'管线假设'!G1083*IF(E5039="USD",'管线假设'!I1083,1)-AM5039</x:f>
        <x:v>0.0315</x:v>
      </x:c>
      <x:c r="M5039" s="11" t="n">
        <x:f>'管线假设'!H1083</x:f>
        <x:v>0.14</x:v>
      </x:c>
      <x:c r="N5039" s="11" t="n">
        <x:f>IF(G5039,L5039*AN5039/(1+M5039)^F5039,0)</x:f>
        <x:v>0.012587446717026843</x:v>
      </x:c>
      <x:c r="AJ5039" t="n">
        <x:v>0</x:v>
      </x:c>
      <x:c r="AK5039" t="n">
        <x:v>0</x:v>
      </x:c>
      <x:c r="AL5039" t="n">
        <x:v>0</x:v>
      </x:c>
      <x:c r="AM5039" t="n">
        <x:f>CHOOSE('假设'!$B$3,AJ5039,AK5039,AL5039)</x:f>
        <x:v>0</x:v>
      </x:c>
      <x:c r="AN5039" t="n">
        <x:v>1</x:v>
      </x:c>
    </x:row>
    <x:row r="5040" ht="23" customHeight="1">
      <x:c r="A5040" s="11" t="str">
        <x:v>688062.SH</x:v>
      </x:c>
      <x:c r="B5040" s="11" t="str">
        <x:v>2026年底</x:v>
      </x:c>
      <x:c r="C5040" s="11" t="str">
        <x:v>tmprss_pv_cn</x:v>
      </x:c>
      <x:c r="D5040" s="11" t="str">
        <x:v>2034-12-31</x:v>
      </x:c>
      <x:c r="E5040" s="11" t="str">
        <x:v>CNY</x:v>
      </x:c>
      <x:c r="F5040" s="11" t="n">
        <x:v>8</x:v>
      </x:c>
      <x:c r="G5040" s="26" t="b">
        <x:v>1</x:v>
      </x:c>
      <x:c r="H5040" s="16" t="n">
        <x:v>0.06</x:v>
      </x:c>
      <x:c r="I5040" s="16" t="n">
        <x:v>0.39999999999999997</x:v>
      </x:c>
      <x:c r="J5040" s="16" t="n">
        <x:v>1</x:v>
      </x:c>
      <x:c r="K5040" s="11" t="n">
        <x:f>CHOOSE('假设'!$B$3,H5040,I5040,J5040)</x:f>
        <x:v>0.39999999999999997</x:v>
      </x:c>
      <x:c r="L5040" s="11" t="n">
        <x:f>K5040*'管线假设'!E1083*'管线假设'!F1083*'管线假设'!G1083*IF(E5040="USD",'管线假设'!I1083,1)-AM5040</x:f>
        <x:v>0.041999999999999996</x:v>
      </x:c>
      <x:c r="M5040" s="11" t="n">
        <x:f>'管线假设'!H1083</x:f>
        <x:v>0.14</x:v>
      </x:c>
      <x:c r="N5040" s="11" t="n">
        <x:f>IF(G5040,L5040*AN5040/(1+M5040)^F5040,0)</x:f>
        <x:v>0.01472348030373194</x:v>
      </x:c>
      <x:c r="AJ5040" t="n">
        <x:v>0</x:v>
      </x:c>
      <x:c r="AK5040" t="n">
        <x:v>0</x:v>
      </x:c>
      <x:c r="AL5040" t="n">
        <x:v>0</x:v>
      </x:c>
      <x:c r="AM5040" t="n">
        <x:f>CHOOSE('假设'!$B$3,AJ5040,AK5040,AL5040)</x:f>
        <x:v>0</x:v>
      </x:c>
      <x:c r="AN5040" t="n">
        <x:v>1</x:v>
      </x:c>
    </x:row>
    <x:row r="5041" ht="23" customHeight="1">
      <x:c r="A5041" s="11" t="str">
        <x:v>688062.SH</x:v>
      </x:c>
      <x:c r="B5041" s="11" t="str">
        <x:v>2026年底</x:v>
      </x:c>
      <x:c r="C5041" s="11" t="str">
        <x:v>tmprss_pv_cn</x:v>
      </x:c>
      <x:c r="D5041" s="11" t="str">
        <x:v>2035-12-31</x:v>
      </x:c>
      <x:c r="E5041" s="11" t="str">
        <x:v>CNY</x:v>
      </x:c>
      <x:c r="F5041" s="11" t="n">
        <x:v>8.999315537303216</x:v>
      </x:c>
      <x:c r="G5041" s="26" t="b">
        <x:v>1</x:v>
      </x:c>
      <x:c r="H5041" s="16" t="n">
        <x:v>0.12</x:v>
      </x:c>
      <x:c r="I5041" s="16" t="n">
        <x:v>0.5</x:v>
      </x:c>
      <x:c r="J5041" s="16" t="n">
        <x:v>0.87</x:v>
      </x:c>
      <x:c r="K5041" s="11" t="n">
        <x:f>CHOOSE('假设'!$B$3,H5041,I5041,J5041)</x:f>
        <x:v>0.5</x:v>
      </x:c>
      <x:c r="L5041" s="11" t="n">
        <x:f>K5041*'管线假设'!E1083*'管线假设'!F1083*'管线假设'!G1083*IF(E5041="USD",'管线假设'!I1083,1)-AM5041</x:f>
        <x:v>0.0525</x:v>
      </x:c>
      <x:c r="M5041" s="11" t="n">
        <x:f>'管线假设'!H1083</x:f>
        <x:v>0.14</x:v>
      </x:c>
      <x:c r="N5041" s="11" t="n">
        <x:f>IF(G5041,L5041*AN5041/(1+M5041)^F5041,0)</x:f>
        <x:v>0.016145614937426084</x:v>
      </x:c>
      <x:c r="AJ5041" t="n">
        <x:v>0</x:v>
      </x:c>
      <x:c r="AK5041" t="n">
        <x:v>0</x:v>
      </x:c>
      <x:c r="AL5041" t="n">
        <x:v>0</x:v>
      </x:c>
      <x:c r="AM5041" t="n">
        <x:f>CHOOSE('假设'!$B$3,AJ5041,AK5041,AL5041)</x:f>
        <x:v>0</x:v>
      </x:c>
      <x:c r="AN5041" t="n">
        <x:v>1</x:v>
      </x:c>
    </x:row>
    <x:row r="5042" ht="23" customHeight="1">
      <x:c r="A5042" s="11" t="str">
        <x:v>688062.SH</x:v>
      </x:c>
      <x:c r="B5042" s="11" t="str">
        <x:v>2026年底</x:v>
      </x:c>
      <x:c r="C5042" s="11" t="str">
        <x:v>tmprss_pv_cn</x:v>
      </x:c>
      <x:c r="D5042" s="11" t="str">
        <x:v>2036-12-31</x:v>
      </x:c>
      <x:c r="E5042" s="11" t="str">
        <x:v>CNY</x:v>
      </x:c>
      <x:c r="F5042" s="11" t="n">
        <x:v>10.001368925393566</x:v>
      </x:c>
      <x:c r="G5042" s="26" t="b">
        <x:v>1</x:v>
      </x:c>
      <x:c r="H5042" s="16" t="n">
        <x:v>0.18</x:v>
      </x:c>
      <x:c r="I5042" s="16" t="n">
        <x:v>0.6</x:v>
      </x:c>
      <x:c r="J5042" s="16" t="n">
        <x:v>0.74</x:v>
      </x:c>
      <x:c r="K5042" s="11" t="n">
        <x:f>CHOOSE('假设'!$B$3,H5042,I5042,J5042)</x:f>
        <x:v>0.6</x:v>
      </x:c>
      <x:c r="L5042" s="11" t="n">
        <x:f>K5042*'管线假设'!E1083*'管线假设'!F1083*'管线假设'!G1083*IF(E5042="USD",'管线假设'!I1083,1)-AM5042</x:f>
        <x:v>0.063</x:v>
      </x:c>
      <x:c r="M5042" s="11" t="n">
        <x:f>'管线假设'!H1083</x:f>
        <x:v>0.14</x:v>
      </x:c>
      <x:c r="N5042" s="11" t="n">
        <x:f>IF(G5042,L5042*AN5042/(1+M5042)^F5042,0)</x:f>
        <x:v>0.016990812119797152</x:v>
      </x:c>
      <x:c r="AJ5042" t="n">
        <x:v>0</x:v>
      </x:c>
      <x:c r="AK5042" t="n">
        <x:v>0</x:v>
      </x:c>
      <x:c r="AL5042" t="n">
        <x:v>0</x:v>
      </x:c>
      <x:c r="AM5042" t="n">
        <x:f>CHOOSE('假设'!$B$3,AJ5042,AK5042,AL5042)</x:f>
        <x:v>0</x:v>
      </x:c>
      <x:c r="AN5042" t="n">
        <x:v>1</x:v>
      </x:c>
    </x:row>
    <x:row r="5043" ht="23" customHeight="1">
      <x:c r="A5043" s="11" t="str">
        <x:v>688062.SH</x:v>
      </x:c>
      <x:c r="B5043" s="11" t="str">
        <x:v>2026年底</x:v>
      </x:c>
      <x:c r="C5043" s="11" t="str">
        <x:v>tmprss_pv_cn</x:v>
      </x:c>
      <x:c r="D5043" s="11" t="str">
        <x:v>2037-12-31</x:v>
      </x:c>
      <x:c r="E5043" s="11" t="str">
        <x:v>CNY</x:v>
      </x:c>
      <x:c r="F5043" s="11" t="n">
        <x:v>11.000684462696784</x:v>
      </x:c>
      <x:c r="G5043" s="26" t="b">
        <x:v>1</x:v>
      </x:c>
      <x:c r="H5043" s="16" t="n">
        <x:v>0.24</x:v>
      </x:c>
      <x:c r="I5043" s="16" t="n">
        <x:v>0.522</x:v>
      </x:c>
      <x:c r="J5043" s="16" t="n">
        <x:v>0.61</x:v>
      </x:c>
      <x:c r="K5043" s="11" t="n">
        <x:f>CHOOSE('假设'!$B$3,H5043,I5043,J5043)</x:f>
        <x:v>0.522</x:v>
      </x:c>
      <x:c r="L5043" s="11" t="n">
        <x:f>K5043*'管线假设'!E1083*'管线假设'!F1083*'管线假设'!G1083*IF(E5043="USD",'管线假设'!I1083,1)-AM5043</x:f>
        <x:v>0.05481</x:v>
      </x:c>
      <x:c r="M5043" s="11" t="n">
        <x:f>'管线假设'!H1083</x:f>
        <x:v>0.14</x:v>
      </x:c>
      <x:c r="N5043" s="11" t="n">
        <x:f>IF(G5043,L5043*AN5043/(1+M5043)^F5043,0)</x:f>
        <x:v>0.012967835361863536</x:v>
      </x:c>
      <x:c r="AJ5043" t="n">
        <x:v>0</x:v>
      </x:c>
      <x:c r="AK5043" t="n">
        <x:v>0</x:v>
      </x:c>
      <x:c r="AL5043" t="n">
        <x:v>0</x:v>
      </x:c>
      <x:c r="AM5043" t="n">
        <x:f>CHOOSE('假设'!$B$3,AJ5043,AK5043,AL5043)</x:f>
        <x:v>0</x:v>
      </x:c>
      <x:c r="AN5043" t="n">
        <x:v>1</x:v>
      </x:c>
    </x:row>
    <x:row r="5044" ht="23" customHeight="1">
      <x:c r="A5044" s="11" t="str">
        <x:v>688062.SH</x:v>
      </x:c>
      <x:c r="B5044" s="11" t="str">
        <x:v>2026年底</x:v>
      </x:c>
      <x:c r="C5044" s="11" t="str">
        <x:v>tmprss_pv_cn</x:v>
      </x:c>
      <x:c r="D5044" s="11" t="str">
        <x:v>2038-12-31</x:v>
      </x:c>
      <x:c r="E5044" s="11" t="str">
        <x:v>CNY</x:v>
      </x:c>
      <x:c r="F5044" s="11" t="n">
        <x:v>12</x:v>
      </x:c>
      <x:c r="G5044" s="26" t="b">
        <x:v>1</x:v>
      </x:c>
      <x:c r="H5044" s="16" t="n">
        <x:v>0.3</x:v>
      </x:c>
      <x:c r="I5044" s="16" t="n">
        <x:v>0.444</x:v>
      </x:c>
      <x:c r="J5044" s="16" t="n">
        <x:v>0.48</x:v>
      </x:c>
      <x:c r="K5044" s="11" t="n">
        <x:f>CHOOSE('假设'!$B$3,H5044,I5044,J5044)</x:f>
        <x:v>0.444</x:v>
      </x:c>
      <x:c r="L5044" s="11" t="n">
        <x:f>K5044*'管线假设'!E1083*'管线假设'!F1083*'管线假设'!G1083*IF(E5044="USD",'管线假设'!I1083,1)-AM5044</x:f>
        <x:v>0.046619999999999995</x:v>
      </x:c>
      <x:c r="M5044" s="11" t="n">
        <x:f>'管线假设'!H1083</x:f>
        <x:v>0.14</x:v>
      </x:c>
      <x:c r="N5044" s="11" t="n">
        <x:f>IF(G5044,L5044*AN5044/(1+M5044)^F5044,0)</x:f>
        <x:v>0.009676405355317821</x:v>
      </x:c>
      <x:c r="AJ5044" t="n">
        <x:v>0</x:v>
      </x:c>
      <x:c r="AK5044" t="n">
        <x:v>0</x:v>
      </x:c>
      <x:c r="AL5044" t="n">
        <x:v>0</x:v>
      </x:c>
      <x:c r="AM5044" t="n">
        <x:f>CHOOSE('假设'!$B$3,AJ5044,AK5044,AL5044)</x:f>
        <x:v>0</x:v>
      </x:c>
      <x:c r="AN5044" t="n">
        <x:v>1</x:v>
      </x:c>
    </x:row>
    <x:row r="5045" ht="23" customHeight="1">
      <x:c r="A5045" s="11" t="str">
        <x:v>688062.SH</x:v>
      </x:c>
      <x:c r="B5045" s="11" t="str">
        <x:v>2026年底</x:v>
      </x:c>
      <x:c r="C5045" s="11" t="str">
        <x:v>tmprss_pv_cn</x:v>
      </x:c>
      <x:c r="D5045" s="11" t="str">
        <x:v>2039-12-31</x:v>
      </x:c>
      <x:c r="E5045" s="11" t="str">
        <x:v>CNY</x:v>
      </x:c>
      <x:c r="F5045" s="11" t="n">
        <x:v>12.999315537303216</x:v>
      </x:c>
      <x:c r="G5045" s="26" t="b">
        <x:v>1</x:v>
      </x:c>
      <x:c r="H5045" s="16" t="n">
        <x:v>0.261</x:v>
      </x:c>
      <x:c r="I5045" s="16" t="n">
        <x:v>0.366</x:v>
      </x:c>
      <x:c r="J5045" s="16" t="n">
        <x:v>0.35</x:v>
      </x:c>
      <x:c r="K5045" s="11" t="n">
        <x:f>CHOOSE('假设'!$B$3,H5045,I5045,J5045)</x:f>
        <x:v>0.366</x:v>
      </x:c>
      <x:c r="L5045" s="11" t="n">
        <x:f>K5045*'管线假设'!E1083*'管线假设'!F1083*'管线假设'!G1083*IF(E5045="USD",'管线假设'!I1083,1)-AM5045</x:f>
        <x:v>0.03843</x:v>
      </x:c>
      <x:c r="M5045" s="11" t="n">
        <x:f>'管线假设'!H1083</x:f>
        <x:v>0.14</x:v>
      </x:c>
      <x:c r="N5045" s="11" t="n">
        <x:f>IF(G5045,L5045*AN5045/(1+M5045)^F5045,0)</x:f>
        <x:v>0.006997554124779289</x:v>
      </x:c>
      <x:c r="AJ5045" t="n">
        <x:v>0</x:v>
      </x:c>
      <x:c r="AK5045" t="n">
        <x:v>0</x:v>
      </x:c>
      <x:c r="AL5045" t="n">
        <x:v>0</x:v>
      </x:c>
      <x:c r="AM5045" t="n">
        <x:f>CHOOSE('假设'!$B$3,AJ5045,AK5045,AL5045)</x:f>
        <x:v>0</x:v>
      </x:c>
      <x:c r="AN5045" t="n">
        <x:v>1</x:v>
      </x:c>
    </x:row>
    <x:row r="5046" ht="23" customHeight="1">
      <x:c r="A5046" s="11" t="str">
        <x:v>688062.SH</x:v>
      </x:c>
      <x:c r="B5046" s="11" t="str">
        <x:v>2026年底</x:v>
      </x:c>
      <x:c r="C5046" s="11" t="str">
        <x:v>tmprss_pv_cn</x:v>
      </x:c>
      <x:c r="D5046" s="11" t="str">
        <x:v>2040-12-31</x:v>
      </x:c>
      <x:c r="E5046" s="11" t="str">
        <x:v>CNY</x:v>
      </x:c>
      <x:c r="F5046" s="11" t="n">
        <x:v>14.001368925393566</x:v>
      </x:c>
      <x:c r="G5046" s="26" t="b">
        <x:v>1</x:v>
      </x:c>
      <x:c r="H5046" s="16" t="n">
        <x:v>0.222</x:v>
      </x:c>
      <x:c r="I5046" s="16" t="n">
        <x:v>0.288</x:v>
      </x:c>
      <x:c r="J5046" s="16" t="n">
        <x:v>0.21999999999999997</x:v>
      </x:c>
      <x:c r="K5046" s="11" t="n">
        <x:f>CHOOSE('假设'!$B$3,H5046,I5046,J5046)</x:f>
        <x:v>0.288</x:v>
      </x:c>
      <x:c r="L5046" s="11" t="n">
        <x:f>K5046*'管线假设'!E1083*'管线假设'!F1083*'管线假设'!G1083*IF(E5046="USD",'管线假设'!I1083,1)-AM5046</x:f>
        <x:v>0.030239999999999996</x:v>
      </x:c>
      <x:c r="M5046" s="11" t="n">
        <x:f>'管线假设'!H1083</x:f>
        <x:v>0.14</x:v>
      </x:c>
      <x:c r="N5046" s="11" t="n">
        <x:f>IF(G5046,L5046*AN5046/(1+M5046)^F5046,0)</x:f>
        <x:v>0.004828763881264452</x:v>
      </x:c>
      <x:c r="AJ5046" t="n">
        <x:v>0</x:v>
      </x:c>
      <x:c r="AK5046" t="n">
        <x:v>0</x:v>
      </x:c>
      <x:c r="AL5046" t="n">
        <x:v>0</x:v>
      </x:c>
      <x:c r="AM5046" t="n">
        <x:f>CHOOSE('假设'!$B$3,AJ5046,AK5046,AL5046)</x:f>
        <x:v>0</x:v>
      </x:c>
      <x:c r="AN5046" t="n">
        <x:v>1</x:v>
      </x:c>
    </x:row>
    <x:row r="5047" ht="23" customHeight="1">
      <x:c r="A5047" s="11" t="str">
        <x:v>688062.SH</x:v>
      </x:c>
      <x:c r="B5047" s="11" t="str">
        <x:v>2026年底</x:v>
      </x:c>
      <x:c r="C5047" s="11" t="str">
        <x:v>tmprss_pv_cn</x:v>
      </x:c>
      <x:c r="D5047" s="11" t="str">
        <x:v>2041-12-31</x:v>
      </x:c>
      <x:c r="E5047" s="11" t="str">
        <x:v>CNY</x:v>
      </x:c>
      <x:c r="F5047" s="11" t="n">
        <x:v>15.000684462696784</x:v>
      </x:c>
      <x:c r="G5047" s="26" t="b">
        <x:v>1</x:v>
      </x:c>
      <x:c r="H5047" s="16" t="n">
        <x:v>0.183</x:v>
      </x:c>
      <x:c r="I5047" s="16" t="n">
        <x:v>0.21</x:v>
      </x:c>
      <x:c r="J5047" s="16" t="n">
        <x:v>0.08999999999999997</x:v>
      </x:c>
      <x:c r="K5047" s="11" t="n">
        <x:f>CHOOSE('假设'!$B$3,H5047,I5047,J5047)</x:f>
        <x:v>0.21</x:v>
      </x:c>
      <x:c r="L5047" s="11" t="n">
        <x:f>K5047*'管线假设'!E1083*'管线假设'!F1083*'管线假设'!G1083*IF(E5047="USD",'管线假设'!I1083,1)-AM5047</x:f>
        <x:v>0.022049999999999997</x:v>
      </x:c>
      <x:c r="M5047" s="11" t="n">
        <x:f>'管线假设'!H1083</x:f>
        <x:v>0.14</x:v>
      </x:c>
      <x:c r="N5047" s="11" t="n">
        <x:f>IF(G5047,L5047*AN5047/(1+M5047)^F5047,0)</x:f>
        <x:v>0.0030888503968736656</x:v>
      </x:c>
      <x:c r="AJ5047" t="n">
        <x:v>0</x:v>
      </x:c>
      <x:c r="AK5047" t="n">
        <x:v>0</x:v>
      </x:c>
      <x:c r="AL5047" t="n">
        <x:v>0</x:v>
      </x:c>
      <x:c r="AM5047" t="n">
        <x:f>CHOOSE('假设'!$B$3,AJ5047,AK5047,AL5047)</x:f>
        <x:v>0</x:v>
      </x:c>
      <x:c r="AN5047" t="n">
        <x:v>1</x:v>
      </x:c>
    </x:row>
    <x:row r="5048" ht="23" customHeight="1">
      <x:c r="A5048" s="11" t="str">
        <x:v>688062.SH</x:v>
      </x:c>
      <x:c r="B5048" s="11" t="str">
        <x:v>2026年底</x:v>
      </x:c>
      <x:c r="C5048" s="11" t="str">
        <x:v>tmprss_pv_cn</x:v>
      </x:c>
      <x:c r="D5048" s="11" t="str">
        <x:v>2042-12-31</x:v>
      </x:c>
      <x:c r="E5048" s="11" t="str">
        <x:v>CNY</x:v>
      </x:c>
      <x:c r="F5048" s="11" t="n">
        <x:v>16</x:v>
      </x:c>
      <x:c r="G5048" s="26" t="b">
        <x:v>1</x:v>
      </x:c>
      <x:c r="H5048" s="16" t="n">
        <x:v>0.144</x:v>
      </x:c>
      <x:c r="I5048" s="16" t="n">
        <x:v>0.13199999999999998</x:v>
      </x:c>
      <x:c r="J5048" s="16" t="n">
        <x:v>0</x:v>
      </x:c>
      <x:c r="K5048" s="11" t="n">
        <x:f>CHOOSE('假设'!$B$3,H5048,I5048,J5048)</x:f>
        <x:v>0.13199999999999998</x:v>
      </x:c>
      <x:c r="L5048" s="11" t="n">
        <x:f>K5048*'管线假设'!E1083*'管线假设'!F1083*'管线假设'!G1083*IF(E5048="USD",'管线假设'!I1083,1)-AM5048</x:f>
        <x:v>0.013859999999999997</x:v>
      </x:c>
      <x:c r="M5048" s="11" t="n">
        <x:f>'管线假设'!H1083</x:f>
        <x:v>0.14</x:v>
      </x:c>
      <x:c r="N5048" s="11" t="n">
        <x:f>IF(G5048,L5048*AN5048/(1+M5048)^F5048,0)</x:f>
        <x:v>0.0017032782819987186</x:v>
      </x:c>
      <x:c r="AJ5048" t="n">
        <x:v>0</x:v>
      </x:c>
      <x:c r="AK5048" t="n">
        <x:v>0</x:v>
      </x:c>
      <x:c r="AL5048" t="n">
        <x:v>0</x:v>
      </x:c>
      <x:c r="AM5048" t="n">
        <x:f>CHOOSE('假设'!$B$3,AJ5048,AK5048,AL5048)</x:f>
        <x:v>0</x:v>
      </x:c>
      <x:c r="AN5048" t="n">
        <x:v>1</x:v>
      </x:c>
    </x:row>
    <x:row r="5049" ht="23" customHeight="1">
      <x:c r="A5049" s="11" t="str">
        <x:v>688062.SH</x:v>
      </x:c>
      <x:c r="B5049" s="11" t="str">
        <x:v>2026年底</x:v>
      </x:c>
      <x:c r="C5049" s="11" t="str">
        <x:v>tmprss_pv_cn</x:v>
      </x:c>
      <x:c r="D5049" s="11" t="str">
        <x:v>2043-12-31</x:v>
      </x:c>
      <x:c r="E5049" s="11" t="str">
        <x:v>CNY</x:v>
      </x:c>
      <x:c r="F5049" s="11" t="n">
        <x:v>16.999315537303218</x:v>
      </x:c>
      <x:c r="G5049" s="26" t="b">
        <x:v>1</x:v>
      </x:c>
      <x:c r="H5049" s="16" t="n">
        <x:v>0.105</x:v>
      </x:c>
      <x:c r="I5049" s="16" t="n">
        <x:v>0.05399999999999998</x:v>
      </x:c>
      <x:c r="J5049" s="16" t="n">
        <x:v>0</x:v>
      </x:c>
      <x:c r="K5049" s="11" t="n">
        <x:f>CHOOSE('假设'!$B$3,H5049,I5049,J5049)</x:f>
        <x:v>0.05399999999999998</x:v>
      </x:c>
      <x:c r="L5049" s="11" t="n">
        <x:f>K5049*'管线假设'!E1083*'管线假设'!F1083*'管线假设'!G1083*IF(E5049="USD",'管线假设'!I1083,1)-AM5049</x:f>
        <x:v>0.005669999999999997</x:v>
      </x:c>
      <x:c r="M5049" s="11" t="n">
        <x:f>'管线假设'!H1083</x:f>
        <x:v>0.14</x:v>
      </x:c>
      <x:c r="N5049" s="11" t="n">
        <x:f>IF(G5049,L5049*AN5049/(1+M5049)^F5049,0)</x:f>
        <x:v>0.0006112790833444277</x:v>
      </x:c>
      <x:c r="AJ5049" t="n">
        <x:v>0</x:v>
      </x:c>
      <x:c r="AK5049" t="n">
        <x:v>0</x:v>
      </x:c>
      <x:c r="AL5049" t="n">
        <x:v>0</x:v>
      </x:c>
      <x:c r="AM5049" t="n">
        <x:f>CHOOSE('假设'!$B$3,AJ5049,AK5049,AL5049)</x:f>
        <x:v>0</x:v>
      </x:c>
      <x:c r="AN5049" t="n">
        <x:v>1</x:v>
      </x:c>
    </x:row>
    <x:row r="5050" ht="23" customHeight="1">
      <x:c r="A5050" s="11" t="str">
        <x:v>688062.SH</x:v>
      </x:c>
      <x:c r="B5050" s="11" t="str">
        <x:v>2026年底</x:v>
      </x:c>
      <x:c r="C5050" s="11" t="str">
        <x:v>tmprss_pv_cn</x:v>
      </x:c>
      <x:c r="D5050" s="11" t="str">
        <x:v>2044-12-31</x:v>
      </x:c>
      <x:c r="E5050" s="11" t="str">
        <x:v>CNY</x:v>
      </x:c>
      <x:c r="F5050" s="11" t="n">
        <x:v>18.001368925393567</x:v>
      </x:c>
      <x:c r="G5050" s="26" t="b">
        <x:v>1</x:v>
      </x:c>
      <x:c r="H5050" s="16" t="n">
        <x:v>0.06599999999999999</x:v>
      </x:c>
      <x:c r="I5050" s="16" t="n">
        <x:v>0</x:v>
      </x:c>
      <x:c r="J5050" s="16" t="n">
        <x:v>0</x:v>
      </x:c>
      <x:c r="K5050" s="11" t="n">
        <x:f>CHOOSE('假设'!$B$3,H5050,I5050,J5050)</x:f>
        <x:v>0</x:v>
      </x:c>
      <x:c r="L5050" s="11" t="n">
        <x:f>K5050*'管线假设'!E1083*'管线假设'!F1083*'管线假设'!G1083*IF(E5050="USD",'管线假设'!I1083,1)-AM5050</x:f>
        <x:v>0</x:v>
      </x:c>
      <x:c r="M5050" s="11" t="n">
        <x:f>'管线假设'!H1083</x:f>
        <x:v>0.14</x:v>
      </x:c>
      <x:c r="N5050" s="11" t="n">
        <x:f>IF(G5050,L5050*AN5050/(1+M5050)^F5050,0)</x:f>
        <x:v>0</x:v>
      </x:c>
      <x:c r="AJ5050" t="n">
        <x:v>0</x:v>
      </x:c>
      <x:c r="AK5050" t="n">
        <x:v>0</x:v>
      </x:c>
      <x:c r="AL5050" t="n">
        <x:v>0</x:v>
      </x:c>
      <x:c r="AM5050" t="n">
        <x:f>CHOOSE('假设'!$B$3,AJ5050,AK5050,AL5050)</x:f>
        <x:v>0</x:v>
      </x:c>
      <x:c r="AN5050" t="n">
        <x:v>1</x:v>
      </x:c>
    </x:row>
    <x:row r="5051" ht="23" customHeight="1">
      <x:c r="A5051" s="11" t="str">
        <x:v>688062.SH</x:v>
      </x:c>
      <x:c r="B5051" s="11" t="str">
        <x:v>2026年底</x:v>
      </x:c>
      <x:c r="C5051" s="11" t="str">
        <x:v>tmprss_pv_cn</x:v>
      </x:c>
      <x:c r="D5051" s="11" t="str">
        <x:v>2045-12-31</x:v>
      </x:c>
      <x:c r="E5051" s="11" t="str">
        <x:v>CNY</x:v>
      </x:c>
      <x:c r="F5051" s="11" t="n">
        <x:v>19.000684462696782</x:v>
      </x:c>
      <x:c r="G5051" s="26" t="b">
        <x:v>1</x:v>
      </x:c>
      <x:c r="H5051" s="16" t="n">
        <x:v>0.02699999999999999</x:v>
      </x:c>
      <x:c r="I5051" s="16" t="n">
        <x:v>0</x:v>
      </x:c>
      <x:c r="J5051" s="16" t="n">
        <x:v>0</x:v>
      </x:c>
      <x:c r="K5051" s="11" t="n">
        <x:f>CHOOSE('假设'!$B$3,H5051,I5051,J5051)</x:f>
        <x:v>0</x:v>
      </x:c>
      <x:c r="L5051" s="11" t="n">
        <x:f>K5051*'管线假设'!E1083*'管线假设'!F1083*'管线假设'!G1083*IF(E5051="USD",'管线假设'!I1083,1)-AM5051</x:f>
        <x:v>0</x:v>
      </x:c>
      <x:c r="M5051" s="11" t="n">
        <x:f>'管线假设'!H1083</x:f>
        <x:v>0.14</x:v>
      </x:c>
      <x:c r="N5051" s="11" t="n">
        <x:f>IF(G5051,L5051*AN5051/(1+M5051)^F5051,0)</x:f>
        <x:v>0</x:v>
      </x:c>
      <x:c r="AJ5051" t="n">
        <x:v>0</x:v>
      </x:c>
      <x:c r="AK5051" t="n">
        <x:v>0</x:v>
      </x:c>
      <x:c r="AL5051" t="n">
        <x:v>0</x:v>
      </x:c>
      <x:c r="AM5051" t="n">
        <x:f>CHOOSE('假设'!$B$3,AJ5051,AK5051,AL5051)</x:f>
        <x:v>0</x:v>
      </x:c>
      <x:c r="AN5051" t="n">
        <x:v>1</x:v>
      </x:c>
    </x:row>
    <x:row r="5052" ht="23" customHeight="1">
      <x:c r="A5052" s="11" t="str">
        <x:v>688062.SH</x:v>
      </x:c>
      <x:c r="B5052" s="11" t="str">
        <x:v>2026年底</x:v>
      </x:c>
      <x:c r="C5052" s="11" t="str">
        <x:v>tmprss_scd</x:v>
      </x:c>
      <x:c r="D5052" s="11" t="str">
        <x:v>2027-12-31</x:v>
      </x:c>
      <x:c r="E5052" s="11" t="str">
        <x:v>USD</x:v>
      </x:c>
      <x:c r="F5052" s="11" t="n">
        <x:v>0.999315537303217</x:v>
      </x:c>
      <x:c r="G5052" s="26" t="b">
        <x:v>1</x:v>
      </x:c>
      <x:c r="H5052" s="16" t="n">
        <x:v>0</x:v>
      </x:c>
      <x:c r="I5052" s="16" t="n">
        <x:v>0</x:v>
      </x:c>
      <x:c r="J5052" s="16" t="n">
        <x:v>0</x:v>
      </x:c>
      <x:c r="K5052" s="11" t="n">
        <x:f>CHOOSE('假设'!$B$3,H5052,I5052,J5052)</x:f>
        <x:v>0</x:v>
      </x:c>
      <x:c r="L5052" s="11" t="n">
        <x:f>K5052*'管线假设'!E1087*'管线假设'!F1087*'管线假设'!G1087*IF(E5052="USD",'管线假设'!I1087,1)-AM5052</x:f>
        <x:v>0</x:v>
      </x:c>
      <x:c r="M5052" s="11" t="n">
        <x:f>'管线假设'!H1087</x:f>
        <x:v>0.14</x:v>
      </x:c>
      <x:c r="N5052" s="11" t="n">
        <x:f>IF(G5052,L5052*AN5052/(1+M5052)^F5052,0)</x:f>
        <x:v>0</x:v>
      </x:c>
      <x:c r="AJ5052" t="n">
        <x:v>0</x:v>
      </x:c>
      <x:c r="AK5052" t="n">
        <x:v>0</x:v>
      </x:c>
      <x:c r="AL5052" t="n">
        <x:v>0</x:v>
      </x:c>
      <x:c r="AM5052" t="n">
        <x:f>CHOOSE('假设'!$B$3,AJ5052,AK5052,AL5052)</x:f>
        <x:v>0</x:v>
      </x:c>
      <x:c r="AN5052" t="n">
        <x:v>1</x:v>
      </x:c>
    </x:row>
    <x:row r="5053" ht="23" customHeight="1">
      <x:c r="A5053" s="11" t="str">
        <x:v>688062.SH</x:v>
      </x:c>
      <x:c r="B5053" s="11" t="str">
        <x:v>2026年底</x:v>
      </x:c>
      <x:c r="C5053" s="11" t="str">
        <x:v>tmprss_scd</x:v>
      </x:c>
      <x:c r="D5053" s="11" t="str">
        <x:v>2028-12-31</x:v>
      </x:c>
      <x:c r="E5053" s="11" t="str">
        <x:v>USD</x:v>
      </x:c>
      <x:c r="F5053" s="11" t="n">
        <x:v>2.001368925393566</x:v>
      </x:c>
      <x:c r="G5053" s="26" t="b">
        <x:v>1</x:v>
      </x:c>
      <x:c r="H5053" s="16" t="n">
        <x:v>0</x:v>
      </x:c>
      <x:c r="I5053" s="16" t="n">
        <x:v>0</x:v>
      </x:c>
      <x:c r="J5053" s="16" t="n">
        <x:v>0</x:v>
      </x:c>
      <x:c r="K5053" s="11" t="n">
        <x:f>CHOOSE('假设'!$B$3,H5053,I5053,J5053)</x:f>
        <x:v>0</x:v>
      </x:c>
      <x:c r="L5053" s="11" t="n">
        <x:f>K5053*'管线假设'!E1087*'管线假设'!F1087*'管线假设'!G1087*IF(E5053="USD",'管线假设'!I1087,1)-AM5053</x:f>
        <x:v>0</x:v>
      </x:c>
      <x:c r="M5053" s="11" t="n">
        <x:f>'管线假设'!H1087</x:f>
        <x:v>0.14</x:v>
      </x:c>
      <x:c r="N5053" s="11" t="n">
        <x:f>IF(G5053,L5053*AN5053/(1+M5053)^F5053,0)</x:f>
        <x:v>0</x:v>
      </x:c>
      <x:c r="AJ5053" t="n">
        <x:v>0</x:v>
      </x:c>
      <x:c r="AK5053" t="n">
        <x:v>0</x:v>
      </x:c>
      <x:c r="AL5053" t="n">
        <x:v>0</x:v>
      </x:c>
      <x:c r="AM5053" t="n">
        <x:f>CHOOSE('假设'!$B$3,AJ5053,AK5053,AL5053)</x:f>
        <x:v>0</x:v>
      </x:c>
      <x:c r="AN5053" t="n">
        <x:v>1</x:v>
      </x:c>
    </x:row>
    <x:row r="5054" ht="23" customHeight="1">
      <x:c r="A5054" s="11" t="str">
        <x:v>688062.SH</x:v>
      </x:c>
      <x:c r="B5054" s="11" t="str">
        <x:v>2026年底</x:v>
      </x:c>
      <x:c r="C5054" s="11" t="str">
        <x:v>tmprss_scd</x:v>
      </x:c>
      <x:c r="D5054" s="11" t="str">
        <x:v>2029-12-31</x:v>
      </x:c>
      <x:c r="E5054" s="11" t="str">
        <x:v>USD</x:v>
      </x:c>
      <x:c r="F5054" s="11" t="n">
        <x:v>3.0006844626967832</x:v>
      </x:c>
      <x:c r="G5054" s="26" t="b">
        <x:v>1</x:v>
      </x:c>
      <x:c r="H5054" s="16" t="n">
        <x:v>0</x:v>
      </x:c>
      <x:c r="I5054" s="16" t="n">
        <x:v>0</x:v>
      </x:c>
      <x:c r="J5054" s="16" t="n">
        <x:v>0</x:v>
      </x:c>
      <x:c r="K5054" s="11" t="n">
        <x:f>CHOOSE('假设'!$B$3,H5054,I5054,J5054)</x:f>
        <x:v>0</x:v>
      </x:c>
      <x:c r="L5054" s="11" t="n">
        <x:f>K5054*'管线假设'!E1087*'管线假设'!F1087*'管线假设'!G1087*IF(E5054="USD",'管线假设'!I1087,1)-AM5054</x:f>
        <x:v>0</x:v>
      </x:c>
      <x:c r="M5054" s="11" t="n">
        <x:f>'管线假设'!H1087</x:f>
        <x:v>0.14</x:v>
      </x:c>
      <x:c r="N5054" s="11" t="n">
        <x:f>IF(G5054,L5054*AN5054/(1+M5054)^F5054,0)</x:f>
        <x:v>0</x:v>
      </x:c>
      <x:c r="AJ5054" t="n">
        <x:v>0</x:v>
      </x:c>
      <x:c r="AK5054" t="n">
        <x:v>0</x:v>
      </x:c>
      <x:c r="AL5054" t="n">
        <x:v>0</x:v>
      </x:c>
      <x:c r="AM5054" t="n">
        <x:f>CHOOSE('假设'!$B$3,AJ5054,AK5054,AL5054)</x:f>
        <x:v>0</x:v>
      </x:c>
      <x:c r="AN5054" t="n">
        <x:v>1</x:v>
      </x:c>
    </x:row>
    <x:row r="5055" ht="23" customHeight="1">
      <x:c r="A5055" s="11" t="str">
        <x:v>688062.SH</x:v>
      </x:c>
      <x:c r="B5055" s="11" t="str">
        <x:v>2026年底</x:v>
      </x:c>
      <x:c r="C5055" s="11" t="str">
        <x:v>tmprss_scd</x:v>
      </x:c>
      <x:c r="D5055" s="11" t="str">
        <x:v>2030-12-31</x:v>
      </x:c>
      <x:c r="E5055" s="11" t="str">
        <x:v>USD</x:v>
      </x:c>
      <x:c r="F5055" s="11" t="n">
        <x:v>4</x:v>
      </x:c>
      <x:c r="G5055" s="26" t="b">
        <x:v>1</x:v>
      </x:c>
      <x:c r="H5055" s="16" t="n">
        <x:v>0</x:v>
      </x:c>
      <x:c r="I5055" s="16" t="n">
        <x:v>0</x:v>
      </x:c>
      <x:c r="J5055" s="16" t="n">
        <x:v>0</x:v>
      </x:c>
      <x:c r="K5055" s="11" t="n">
        <x:f>CHOOSE('假设'!$B$3,H5055,I5055,J5055)</x:f>
        <x:v>0</x:v>
      </x:c>
      <x:c r="L5055" s="11" t="n">
        <x:f>K5055*'管线假设'!E1087*'管线假设'!F1087*'管线假设'!G1087*IF(E5055="USD",'管线假设'!I1087,1)-AM5055</x:f>
        <x:v>0</x:v>
      </x:c>
      <x:c r="M5055" s="11" t="n">
        <x:f>'管线假设'!H1087</x:f>
        <x:v>0.14</x:v>
      </x:c>
      <x:c r="N5055" s="11" t="n">
        <x:f>IF(G5055,L5055*AN5055/(1+M5055)^F5055,0)</x:f>
        <x:v>0</x:v>
      </x:c>
      <x:c r="AJ5055" t="n">
        <x:v>0</x:v>
      </x:c>
      <x:c r="AK5055" t="n">
        <x:v>0</x:v>
      </x:c>
      <x:c r="AL5055" t="n">
        <x:v>0</x:v>
      </x:c>
      <x:c r="AM5055" t="n">
        <x:f>CHOOSE('假设'!$B$3,AJ5055,AK5055,AL5055)</x:f>
        <x:v>0</x:v>
      </x:c>
      <x:c r="AN5055" t="n">
        <x:v>1</x:v>
      </x:c>
    </x:row>
    <x:row r="5056" ht="23" customHeight="1">
      <x:c r="A5056" s="11" t="str">
        <x:v>688062.SH</x:v>
      </x:c>
      <x:c r="B5056" s="11" t="str">
        <x:v>2026年底</x:v>
      </x:c>
      <x:c r="C5056" s="11" t="str">
        <x:v>tmprss_scd</x:v>
      </x:c>
      <x:c r="D5056" s="11" t="str">
        <x:v>2031-12-31</x:v>
      </x:c>
      <x:c r="E5056" s="11" t="str">
        <x:v>USD</x:v>
      </x:c>
      <x:c r="F5056" s="11" t="n">
        <x:v>4.999315537303217</x:v>
      </x:c>
      <x:c r="G5056" s="26" t="b">
        <x:v>1</x:v>
      </x:c>
      <x:c r="H5056" s="16" t="n">
        <x:v>0</x:v>
      </x:c>
      <x:c r="I5056" s="16" t="n">
        <x:v>0</x:v>
      </x:c>
      <x:c r="J5056" s="16" t="n">
        <x:v>0.3333333333333333</x:v>
      </x:c>
      <x:c r="K5056" s="11" t="n">
        <x:f>CHOOSE('假设'!$B$3,H5056,I5056,J5056)</x:f>
        <x:v>0</x:v>
      </x:c>
      <x:c r="L5056" s="11" t="n">
        <x:f>K5056*'管线假设'!E1087*'管线假设'!F1087*'管线假设'!G1087*IF(E5056="USD",'管线假设'!I1087,1)-AM5056</x:f>
        <x:v>0</x:v>
      </x:c>
      <x:c r="M5056" s="11" t="n">
        <x:f>'管线假设'!H1087</x:f>
        <x:v>0.14</x:v>
      </x:c>
      <x:c r="N5056" s="11" t="n">
        <x:f>IF(G5056,L5056*AN5056/(1+M5056)^F5056,0)</x:f>
        <x:v>0</x:v>
      </x:c>
      <x:c r="AJ5056" t="n">
        <x:v>0</x:v>
      </x:c>
      <x:c r="AK5056" t="n">
        <x:v>0</x:v>
      </x:c>
      <x:c r="AL5056" t="n">
        <x:v>0</x:v>
      </x:c>
      <x:c r="AM5056" t="n">
        <x:f>CHOOSE('假设'!$B$3,AJ5056,AK5056,AL5056)</x:f>
        <x:v>0</x:v>
      </x:c>
      <x:c r="AN5056" t="n">
        <x:v>1</x:v>
      </x:c>
    </x:row>
    <x:row r="5057" ht="23" customHeight="1">
      <x:c r="A5057" s="11" t="str">
        <x:v>688062.SH</x:v>
      </x:c>
      <x:c r="B5057" s="11" t="str">
        <x:v>2026年底</x:v>
      </x:c>
      <x:c r="C5057" s="11" t="str">
        <x:v>tmprss_scd</x:v>
      </x:c>
      <x:c r="D5057" s="11" t="str">
        <x:v>2032-12-31</x:v>
      </x:c>
      <x:c r="E5057" s="11" t="str">
        <x:v>USD</x:v>
      </x:c>
      <x:c r="F5057" s="11" t="n">
        <x:v>6.0013689253935665</x:v>
      </x:c>
      <x:c r="G5057" s="26" t="b">
        <x:v>1</x:v>
      </x:c>
      <x:c r="H5057" s="16" t="n">
        <x:v>0</x:v>
      </x:c>
      <x:c r="I5057" s="16" t="n">
        <x:v>0</x:v>
      </x:c>
      <x:c r="J5057" s="16" t="n">
        <x:v>0.6666666666666666</x:v>
      </x:c>
      <x:c r="K5057" s="11" t="n">
        <x:f>CHOOSE('假设'!$B$3,H5057,I5057,J5057)</x:f>
        <x:v>0</x:v>
      </x:c>
      <x:c r="L5057" s="11" t="n">
        <x:f>K5057*'管线假设'!E1087*'管线假设'!F1087*'管线假设'!G1087*IF(E5057="USD",'管线假设'!I1087,1)-AM5057</x:f>
        <x:v>0</x:v>
      </x:c>
      <x:c r="M5057" s="11" t="n">
        <x:f>'管线假设'!H1087</x:f>
        <x:v>0.14</x:v>
      </x:c>
      <x:c r="N5057" s="11" t="n">
        <x:f>IF(G5057,L5057*AN5057/(1+M5057)^F5057,0)</x:f>
        <x:v>0</x:v>
      </x:c>
      <x:c r="AJ5057" t="n">
        <x:v>0</x:v>
      </x:c>
      <x:c r="AK5057" t="n">
        <x:v>0</x:v>
      </x:c>
      <x:c r="AL5057" t="n">
        <x:v>0</x:v>
      </x:c>
      <x:c r="AM5057" t="n">
        <x:f>CHOOSE('假设'!$B$3,AJ5057,AK5057,AL5057)</x:f>
        <x:v>0</x:v>
      </x:c>
      <x:c r="AN5057" t="n">
        <x:v>1</x:v>
      </x:c>
    </x:row>
    <x:row r="5058" ht="23" customHeight="1">
      <x:c r="A5058" s="11" t="str">
        <x:v>688062.SH</x:v>
      </x:c>
      <x:c r="B5058" s="11" t="str">
        <x:v>2026年底</x:v>
      </x:c>
      <x:c r="C5058" s="11" t="str">
        <x:v>tmprss_scd</x:v>
      </x:c>
      <x:c r="D5058" s="11" t="str">
        <x:v>2033-12-31</x:v>
      </x:c>
      <x:c r="E5058" s="11" t="str">
        <x:v>USD</x:v>
      </x:c>
      <x:c r="F5058" s="11" t="n">
        <x:v>7.000684462696783</x:v>
      </x:c>
      <x:c r="G5058" s="26" t="b">
        <x:v>1</x:v>
      </x:c>
      <x:c r="H5058" s="16" t="n">
        <x:v>0</x:v>
      </x:c>
      <x:c r="I5058" s="16" t="n">
        <x:v>0.16666666666666666</x:v>
      </x:c>
      <x:c r="J5058" s="16" t="n">
        <x:v>1</x:v>
      </x:c>
      <x:c r="K5058" s="11" t="n">
        <x:f>CHOOSE('假设'!$B$3,H5058,I5058,J5058)</x:f>
        <x:v>0.16666666666666666</x:v>
      </x:c>
      <x:c r="L5058" s="11" t="n">
        <x:f>K5058*'管线假设'!E1087*'管线假设'!F1087*'管线假设'!G1087*IF(E5058="USD",'管线假设'!I1087,1)-AM5058</x:f>
        <x:v>0.01156</x:v>
      </x:c>
      <x:c r="M5058" s="11" t="n">
        <x:f>'管线假设'!H1087</x:f>
        <x:v>0.14</x:v>
      </x:c>
      <x:c r="N5058" s="11" t="n">
        <x:f>IF(G5058,L5058*AN5058/(1+M5058)^F5058,0)</x:f>
        <x:v>0.004619393144407312</x:v>
      </x:c>
      <x:c r="AJ5058" t="n">
        <x:v>0</x:v>
      </x:c>
      <x:c r="AK5058" t="n">
        <x:v>0</x:v>
      </x:c>
      <x:c r="AL5058" t="n">
        <x:v>0</x:v>
      </x:c>
      <x:c r="AM5058" t="n">
        <x:f>CHOOSE('假设'!$B$3,AJ5058,AK5058,AL5058)</x:f>
        <x:v>0</x:v>
      </x:c>
      <x:c r="AN5058" t="n">
        <x:v>1</x:v>
      </x:c>
    </x:row>
    <x:row r="5059" ht="23" customHeight="1">
      <x:c r="A5059" s="11" t="str">
        <x:v>688062.SH</x:v>
      </x:c>
      <x:c r="B5059" s="11" t="str">
        <x:v>2026年底</x:v>
      </x:c>
      <x:c r="C5059" s="11" t="str">
        <x:v>tmprss_scd</x:v>
      </x:c>
      <x:c r="D5059" s="11" t="str">
        <x:v>2034-12-31</x:v>
      </x:c>
      <x:c r="E5059" s="11" t="str">
        <x:v>USD</x:v>
      </x:c>
      <x:c r="F5059" s="11" t="n">
        <x:v>8</x:v>
      </x:c>
      <x:c r="G5059" s="26" t="b">
        <x:v>1</x:v>
      </x:c>
      <x:c r="H5059" s="16" t="n">
        <x:v>0</x:v>
      </x:c>
      <x:c r="I5059" s="16" t="n">
        <x:v>0.3333333333333333</x:v>
      </x:c>
      <x:c r="J5059" s="16" t="n">
        <x:v>1.3333333333333333</x:v>
      </x:c>
      <x:c r="K5059" s="11" t="n">
        <x:f>CHOOSE('假设'!$B$3,H5059,I5059,J5059)</x:f>
        <x:v>0.3333333333333333</x:v>
      </x:c>
      <x:c r="L5059" s="11" t="n">
        <x:f>K5059*'管线假设'!E1087*'管线假设'!F1087*'管线假设'!G1087*IF(E5059="USD",'管线假设'!I1087,1)-AM5059</x:f>
        <x:v>0.02312</x:v>
      </x:c>
      <x:c r="M5059" s="11" t="n">
        <x:f>'管线假设'!H1087</x:f>
        <x:v>0.14</x:v>
      </x:c>
      <x:c r="N5059" s="11" t="n">
        <x:f>IF(G5059,L5059*AN5059/(1+M5059)^F5059,0)</x:f>
        <x:v>0.008104925348149583</x:v>
      </x:c>
      <x:c r="AJ5059" t="n">
        <x:v>0</x:v>
      </x:c>
      <x:c r="AK5059" t="n">
        <x:v>0</x:v>
      </x:c>
      <x:c r="AL5059" t="n">
        <x:v>0</x:v>
      </x:c>
      <x:c r="AM5059" t="n">
        <x:f>CHOOSE('假设'!$B$3,AJ5059,AK5059,AL5059)</x:f>
        <x:v>0</x:v>
      </x:c>
      <x:c r="AN5059" t="n">
        <x:v>1</x:v>
      </x:c>
    </x:row>
    <x:row r="5060" ht="23" customHeight="1">
      <x:c r="A5060" s="11" t="str">
        <x:v>688062.SH</x:v>
      </x:c>
      <x:c r="B5060" s="11" t="str">
        <x:v>2026年底</x:v>
      </x:c>
      <x:c r="C5060" s="11" t="str">
        <x:v>tmprss_scd</x:v>
      </x:c>
      <x:c r="D5060" s="11" t="str">
        <x:v>2035-12-31</x:v>
      </x:c>
      <x:c r="E5060" s="11" t="str">
        <x:v>USD</x:v>
      </x:c>
      <x:c r="F5060" s="11" t="n">
        <x:v>8.999315537303216</x:v>
      </x:c>
      <x:c r="G5060" s="26" t="b">
        <x:v>1</x:v>
      </x:c>
      <x:c r="H5060" s="16" t="n">
        <x:v>0</x:v>
      </x:c>
      <x:c r="I5060" s="16" t="n">
        <x:v>0.5</x:v>
      </x:c>
      <x:c r="J5060" s="16" t="n">
        <x:v>1.6666666666666667</x:v>
      </x:c>
      <x:c r="K5060" s="11" t="n">
        <x:f>CHOOSE('假设'!$B$3,H5060,I5060,J5060)</x:f>
        <x:v>0.5</x:v>
      </x:c>
      <x:c r="L5060" s="11" t="n">
        <x:f>K5060*'管线假设'!E1087*'管线假设'!F1087*'管线假设'!G1087*IF(E5060="USD",'管线假设'!I1087,1)-AM5060</x:f>
        <x:v>0.03468000000000001</x:v>
      </x:c>
      <x:c r="M5060" s="11" t="n">
        <x:f>'管线假设'!H1087</x:f>
        <x:v>0.14</x:v>
      </x:c>
      <x:c r="N5060" s="11" t="n">
        <x:f>IF(G5060,L5060*AN5060/(1+M5060)^F5060,0)</x:f>
        <x:v>0.010665331924379748</x:v>
      </x:c>
      <x:c r="AJ5060" t="n">
        <x:v>0</x:v>
      </x:c>
      <x:c r="AK5060" t="n">
        <x:v>0</x:v>
      </x:c>
      <x:c r="AL5060" t="n">
        <x:v>0</x:v>
      </x:c>
      <x:c r="AM5060" t="n">
        <x:f>CHOOSE('假设'!$B$3,AJ5060,AK5060,AL5060)</x:f>
        <x:v>0</x:v>
      </x:c>
      <x:c r="AN5060" t="n">
        <x:v>1</x:v>
      </x:c>
    </x:row>
    <x:row r="5061" ht="23" customHeight="1">
      <x:c r="A5061" s="11" t="str">
        <x:v>688062.SH</x:v>
      </x:c>
      <x:c r="B5061" s="11" t="str">
        <x:v>2026年底</x:v>
      </x:c>
      <x:c r="C5061" s="11" t="str">
        <x:v>tmprss_scd</x:v>
      </x:c>
      <x:c r="D5061" s="11" t="str">
        <x:v>2036-12-31</x:v>
      </x:c>
      <x:c r="E5061" s="11" t="str">
        <x:v>USD</x:v>
      </x:c>
      <x:c r="F5061" s="11" t="n">
        <x:v>10.001368925393566</x:v>
      </x:c>
      <x:c r="G5061" s="26" t="b">
        <x:v>1</x:v>
      </x:c>
      <x:c r="H5061" s="16" t="n">
        <x:v>0.08000000000000002</x:v>
      </x:c>
      <x:c r="I5061" s="16" t="n">
        <x:v>0.6666666666666666</x:v>
      </x:c>
      <x:c r="J5061" s="16" t="n">
        <x:v>2</x:v>
      </x:c>
      <x:c r="K5061" s="11" t="n">
        <x:f>CHOOSE('假设'!$B$3,H5061,I5061,J5061)</x:f>
        <x:v>0.6666666666666666</x:v>
      </x:c>
      <x:c r="L5061" s="11" t="n">
        <x:f>K5061*'管线假设'!E1087*'管线假设'!F1087*'管线假设'!G1087*IF(E5061="USD",'管线假设'!I1087,1)-AM5061</x:f>
        <x:v>0.04624</x:v>
      </x:c>
      <x:c r="M5061" s="11" t="n">
        <x:f>'管线假设'!H1087</x:f>
        <x:v>0.14</x:v>
      </x:c>
      <x:c r="N5061" s="11" t="n">
        <x:f>IF(G5061,L5061*AN5061/(1+M5061)^F5061,0)</x:f>
        <x:v>0.012470716705070165</x:v>
      </x:c>
      <x:c r="AJ5061" t="n">
        <x:v>0</x:v>
      </x:c>
      <x:c r="AK5061" t="n">
        <x:v>0</x:v>
      </x:c>
      <x:c r="AL5061" t="n">
        <x:v>0</x:v>
      </x:c>
      <x:c r="AM5061" t="n">
        <x:f>CHOOSE('假设'!$B$3,AJ5061,AK5061,AL5061)</x:f>
        <x:v>0</x:v>
      </x:c>
      <x:c r="AN5061" t="n">
        <x:v>1</x:v>
      </x:c>
    </x:row>
    <x:row r="5062" ht="23" customHeight="1">
      <x:c r="A5062" s="11" t="str">
        <x:v>688062.SH</x:v>
      </x:c>
      <x:c r="B5062" s="11" t="str">
        <x:v>2026年底</x:v>
      </x:c>
      <x:c r="C5062" s="11" t="str">
        <x:v>tmprss_scd</x:v>
      </x:c>
      <x:c r="D5062" s="11" t="str">
        <x:v>2037-12-31</x:v>
      </x:c>
      <x:c r="E5062" s="11" t="str">
        <x:v>USD</x:v>
      </x:c>
      <x:c r="F5062" s="11" t="n">
        <x:v>11.000684462696784</x:v>
      </x:c>
      <x:c r="G5062" s="26" t="b">
        <x:v>1</x:v>
      </x:c>
      <x:c r="H5062" s="16" t="n">
        <x:v>0.16000000000000003</x:v>
      </x:c>
      <x:c r="I5062" s="16" t="n">
        <x:v>0.8333333333333334</x:v>
      </x:c>
      <x:c r="J5062" s="16" t="n">
        <x:v>1.74</x:v>
      </x:c>
      <x:c r="K5062" s="11" t="n">
        <x:f>CHOOSE('假设'!$B$3,H5062,I5062,J5062)</x:f>
        <x:v>0.8333333333333334</x:v>
      </x:c>
      <x:c r="L5062" s="11" t="n">
        <x:f>K5062*'管线假设'!E1087*'管线假设'!F1087*'管线假设'!G1087*IF(E5062="USD",'管线假设'!I1087,1)-AM5062</x:f>
        <x:v>0.05780000000000001</x:v>
      </x:c>
      <x:c r="M5062" s="11" t="n">
        <x:f>'管线假设'!H1087</x:f>
        <x:v>0.14</x:v>
      </x:c>
      <x:c r="N5062" s="11" t="n">
        <x:f>IF(G5062,L5062*AN5062/(1+M5062)^F5062,0)</x:f>
        <x:v>0.013675257871113164</x:v>
      </x:c>
      <x:c r="AJ5062" t="n">
        <x:v>0</x:v>
      </x:c>
      <x:c r="AK5062" t="n">
        <x:v>0</x:v>
      </x:c>
      <x:c r="AL5062" t="n">
        <x:v>0</x:v>
      </x:c>
      <x:c r="AM5062" t="n">
        <x:f>CHOOSE('假设'!$B$3,AJ5062,AK5062,AL5062)</x:f>
        <x:v>0</x:v>
      </x:c>
      <x:c r="AN5062" t="n">
        <x:v>1</x:v>
      </x:c>
    </x:row>
    <x:row r="5063" ht="23" customHeight="1">
      <x:c r="A5063" s="11" t="str">
        <x:v>688062.SH</x:v>
      </x:c>
      <x:c r="B5063" s="11" t="str">
        <x:v>2026年底</x:v>
      </x:c>
      <x:c r="C5063" s="11" t="str">
        <x:v>tmprss_scd</x:v>
      </x:c>
      <x:c r="D5063" s="11" t="str">
        <x:v>2038-12-31</x:v>
      </x:c>
      <x:c r="E5063" s="11" t="str">
        <x:v>USD</x:v>
      </x:c>
      <x:c r="F5063" s="11" t="n">
        <x:v>12</x:v>
      </x:c>
      <x:c r="G5063" s="26" t="b">
        <x:v>1</x:v>
      </x:c>
      <x:c r="H5063" s="16" t="n">
        <x:v>0.24</x:v>
      </x:c>
      <x:c r="I5063" s="16" t="n">
        <x:v>1</x:v>
      </x:c>
      <x:c r="J5063" s="16" t="n">
        <x:v>1.48</x:v>
      </x:c>
      <x:c r="K5063" s="11" t="n">
        <x:f>CHOOSE('假设'!$B$3,H5063,I5063,J5063)</x:f>
        <x:v>1</x:v>
      </x:c>
      <x:c r="L5063" s="11" t="n">
        <x:f>K5063*'管线假设'!E1087*'管线假设'!F1087*'管线假设'!G1087*IF(E5063="USD",'管线假设'!I1087,1)-AM5063</x:f>
        <x:v>0.06936000000000002</x:v>
      </x:c>
      <x:c r="M5063" s="11" t="n">
        <x:f>'管线假设'!H1087</x:f>
        <x:v>0.14</x:v>
      </x:c>
      <x:c r="N5063" s="11" t="n">
        <x:f>IF(G5063,L5063*AN5063/(1+M5063)^F5063,0)</x:f>
        <x:v>0.014396299344591256</x:v>
      </x:c>
      <x:c r="AJ5063" t="n">
        <x:v>0</x:v>
      </x:c>
      <x:c r="AK5063" t="n">
        <x:v>0</x:v>
      </x:c>
      <x:c r="AL5063" t="n">
        <x:v>0</x:v>
      </x:c>
      <x:c r="AM5063" t="n">
        <x:f>CHOOSE('假设'!$B$3,AJ5063,AK5063,AL5063)</x:f>
        <x:v>0</x:v>
      </x:c>
      <x:c r="AN5063" t="n">
        <x:v>1</x:v>
      </x:c>
    </x:row>
    <x:row r="5064" ht="23" customHeight="1">
      <x:c r="A5064" s="11" t="str">
        <x:v>688062.SH</x:v>
      </x:c>
      <x:c r="B5064" s="11" t="str">
        <x:v>2026年底</x:v>
      </x:c>
      <x:c r="C5064" s="11" t="str">
        <x:v>tmprss_scd</x:v>
      </x:c>
      <x:c r="D5064" s="11" t="str">
        <x:v>2039-12-31</x:v>
      </x:c>
      <x:c r="E5064" s="11" t="str">
        <x:v>USD</x:v>
      </x:c>
      <x:c r="F5064" s="11" t="n">
        <x:v>12.999315537303216</x:v>
      </x:c>
      <x:c r="G5064" s="26" t="b">
        <x:v>1</x:v>
      </x:c>
      <x:c r="H5064" s="16" t="n">
        <x:v>0.32000000000000006</x:v>
      </x:c>
      <x:c r="I5064" s="16" t="n">
        <x:v>0.87</x:v>
      </x:c>
      <x:c r="J5064" s="16" t="n">
        <x:v>1.22</x:v>
      </x:c>
      <x:c r="K5064" s="11" t="n">
        <x:f>CHOOSE('假设'!$B$3,H5064,I5064,J5064)</x:f>
        <x:v>0.87</x:v>
      </x:c>
      <x:c r="L5064" s="11" t="n">
        <x:f>K5064*'管线假设'!E1087*'管线假设'!F1087*'管线假设'!G1087*IF(E5064="USD",'管线假设'!I1087,1)-AM5064</x:f>
        <x:v>0.06034320000000001</x:v>
      </x:c>
      <x:c r="M5064" s="11" t="n">
        <x:f>'管线假设'!H1087</x:f>
        <x:v>0.14</x:v>
      </x:c>
      <x:c r="N5064" s="11" t="n">
        <x:f>IF(G5064,L5064*AN5064/(1+M5064)^F5064,0)</x:f>
        <x:v>0.0109876348702155</x:v>
      </x:c>
      <x:c r="AJ5064" t="n">
        <x:v>0</x:v>
      </x:c>
      <x:c r="AK5064" t="n">
        <x:v>0</x:v>
      </x:c>
      <x:c r="AL5064" t="n">
        <x:v>0</x:v>
      </x:c>
      <x:c r="AM5064" t="n">
        <x:f>CHOOSE('假设'!$B$3,AJ5064,AK5064,AL5064)</x:f>
        <x:v>0</x:v>
      </x:c>
      <x:c r="AN5064" t="n">
        <x:v>1</x:v>
      </x:c>
    </x:row>
    <x:row r="5065" ht="23" customHeight="1">
      <x:c r="A5065" s="11" t="str">
        <x:v>688062.SH</x:v>
      </x:c>
      <x:c r="B5065" s="11" t="str">
        <x:v>2026年底</x:v>
      </x:c>
      <x:c r="C5065" s="11" t="str">
        <x:v>tmprss_scd</x:v>
      </x:c>
      <x:c r="D5065" s="11" t="str">
        <x:v>2040-12-31</x:v>
      </x:c>
      <x:c r="E5065" s="11" t="str">
        <x:v>USD</x:v>
      </x:c>
      <x:c r="F5065" s="11" t="n">
        <x:v>14.001368925393566</x:v>
      </x:c>
      <x:c r="G5065" s="26" t="b">
        <x:v>1</x:v>
      </x:c>
      <x:c r="H5065" s="16" t="n">
        <x:v>0.4</x:v>
      </x:c>
      <x:c r="I5065" s="16" t="n">
        <x:v>0.74</x:v>
      </x:c>
      <x:c r="J5065" s="16" t="n">
        <x:v>0.96</x:v>
      </x:c>
      <x:c r="K5065" s="11" t="n">
        <x:f>CHOOSE('假设'!$B$3,H5065,I5065,J5065)</x:f>
        <x:v>0.74</x:v>
      </x:c>
      <x:c r="L5065" s="11" t="n">
        <x:f>K5065*'管线假设'!E1087*'管线假设'!F1087*'管线假设'!G1087*IF(E5065="USD",'管线假设'!I1087,1)-AM5065</x:f>
        <x:v>0.05132640000000001</x:v>
      </x:c>
      <x:c r="M5065" s="11" t="n">
        <x:f>'管线假设'!H1087</x:f>
        <x:v>0.14</x:v>
      </x:c>
      <x:c r="N5065" s="11" t="n">
        <x:f>IF(G5065,L5065*AN5065/(1+M5065)^F5065,0)</x:f>
        <x:v>0.00819586860037473</x:v>
      </x:c>
      <x:c r="AJ5065" t="n">
        <x:v>0</x:v>
      </x:c>
      <x:c r="AK5065" t="n">
        <x:v>0</x:v>
      </x:c>
      <x:c r="AL5065" t="n">
        <x:v>0</x:v>
      </x:c>
      <x:c r="AM5065" t="n">
        <x:f>CHOOSE('假设'!$B$3,AJ5065,AK5065,AL5065)</x:f>
        <x:v>0</x:v>
      </x:c>
      <x:c r="AN5065" t="n">
        <x:v>1</x:v>
      </x:c>
    </x:row>
    <x:row r="5066" ht="23" customHeight="1">
      <x:c r="A5066" s="11" t="str">
        <x:v>688062.SH</x:v>
      </x:c>
      <x:c r="B5066" s="11" t="str">
        <x:v>2026年底</x:v>
      </x:c>
      <x:c r="C5066" s="11" t="str">
        <x:v>tmprss_scd</x:v>
      </x:c>
      <x:c r="D5066" s="11" t="str">
        <x:v>2041-12-31</x:v>
      </x:c>
      <x:c r="E5066" s="11" t="str">
        <x:v>USD</x:v>
      </x:c>
      <x:c r="F5066" s="11" t="n">
        <x:v>15.000684462696784</x:v>
      </x:c>
      <x:c r="G5066" s="26" t="b">
        <x:v>1</x:v>
      </x:c>
      <x:c r="H5066" s="16" t="n">
        <x:v>0.34800000000000003</x:v>
      </x:c>
      <x:c r="I5066" s="16" t="n">
        <x:v>0.61</x:v>
      </x:c>
      <x:c r="J5066" s="16" t="n">
        <x:v>0.7</x:v>
      </x:c>
      <x:c r="K5066" s="11" t="n">
        <x:f>CHOOSE('假设'!$B$3,H5066,I5066,J5066)</x:f>
        <x:v>0.61</x:v>
      </x:c>
      <x:c r="L5066" s="11" t="n">
        <x:f>K5066*'管线假设'!E1087*'管线假设'!F1087*'管线假设'!G1087*IF(E5066="USD",'管线假设'!I1087,1)-AM5066</x:f>
        <x:v>0.0423096</x:v>
      </x:c>
      <x:c r="M5066" s="11" t="n">
        <x:f>'管线假设'!H1087</x:f>
        <x:v>0.14</x:v>
      </x:c>
      <x:c r="N5066" s="11" t="n">
        <x:f>IF(G5066,L5066*AN5066/(1+M5066)^F5066,0)</x:f>
        <x:v>0.005926894546556285</x:v>
      </x:c>
      <x:c r="AJ5066" t="n">
        <x:v>0</x:v>
      </x:c>
      <x:c r="AK5066" t="n">
        <x:v>0</x:v>
      </x:c>
      <x:c r="AL5066" t="n">
        <x:v>0</x:v>
      </x:c>
      <x:c r="AM5066" t="n">
        <x:f>CHOOSE('假设'!$B$3,AJ5066,AK5066,AL5066)</x:f>
        <x:v>0</x:v>
      </x:c>
      <x:c r="AN5066" t="n">
        <x:v>1</x:v>
      </x:c>
    </x:row>
    <x:row r="5067" ht="23" customHeight="1">
      <x:c r="A5067" s="11" t="str">
        <x:v>688062.SH</x:v>
      </x:c>
      <x:c r="B5067" s="11" t="str">
        <x:v>2026年底</x:v>
      </x:c>
      <x:c r="C5067" s="11" t="str">
        <x:v>tmprss_scd</x:v>
      </x:c>
      <x:c r="D5067" s="11" t="str">
        <x:v>2042-12-31</x:v>
      </x:c>
      <x:c r="E5067" s="11" t="str">
        <x:v>USD</x:v>
      </x:c>
      <x:c r="F5067" s="11" t="n">
        <x:v>16</x:v>
      </x:c>
      <x:c r="G5067" s="26" t="b">
        <x:v>1</x:v>
      </x:c>
      <x:c r="H5067" s="16" t="n">
        <x:v>0.296</x:v>
      </x:c>
      <x:c r="I5067" s="16" t="n">
        <x:v>0.48</x:v>
      </x:c>
      <x:c r="J5067" s="16" t="n">
        <x:v>0.43999999999999995</x:v>
      </x:c>
      <x:c r="K5067" s="11" t="n">
        <x:f>CHOOSE('假设'!$B$3,H5067,I5067,J5067)</x:f>
        <x:v>0.48</x:v>
      </x:c>
      <x:c r="L5067" s="11" t="n">
        <x:f>K5067*'管线假设'!E1087*'管线假设'!F1087*'管线假设'!G1087*IF(E5067="USD",'管线假设'!I1087,1)-AM5067</x:f>
        <x:v>0.033292800000000004</x:v>
      </x:c>
      <x:c r="M5067" s="11" t="n">
        <x:f>'管线假设'!H1087</x:f>
        <x:v>0.14</x:v>
      </x:c>
      <x:c r="N5067" s="11" t="n">
        <x:f>IF(G5067,L5067*AN5067/(1+M5067)^F5067,0)</x:f>
        <x:v>0.004091407156343936</x:v>
      </x:c>
      <x:c r="AJ5067" t="n">
        <x:v>0</x:v>
      </x:c>
      <x:c r="AK5067" t="n">
        <x:v>0</x:v>
      </x:c>
      <x:c r="AL5067" t="n">
        <x:v>0</x:v>
      </x:c>
      <x:c r="AM5067" t="n">
        <x:f>CHOOSE('假设'!$B$3,AJ5067,AK5067,AL5067)</x:f>
        <x:v>0</x:v>
      </x:c>
      <x:c r="AN5067" t="n">
        <x:v>1</x:v>
      </x:c>
    </x:row>
    <x:row r="5068" ht="23" customHeight="1">
      <x:c r="A5068" s="11" t="str">
        <x:v>688062.SH</x:v>
      </x:c>
      <x:c r="B5068" s="11" t="str">
        <x:v>2026年底</x:v>
      </x:c>
      <x:c r="C5068" s="11" t="str">
        <x:v>tmprss_scd</x:v>
      </x:c>
      <x:c r="D5068" s="11" t="str">
        <x:v>2043-12-31</x:v>
      </x:c>
      <x:c r="E5068" s="11" t="str">
        <x:v>USD</x:v>
      </x:c>
      <x:c r="F5068" s="11" t="n">
        <x:v>16.999315537303218</x:v>
      </x:c>
      <x:c r="G5068" s="26" t="b">
        <x:v>1</x:v>
      </x:c>
      <x:c r="H5068" s="16" t="n">
        <x:v>0.244</x:v>
      </x:c>
      <x:c r="I5068" s="16" t="n">
        <x:v>0.35</x:v>
      </x:c>
      <x:c r="J5068" s="16" t="n">
        <x:v>0.17999999999999994</x:v>
      </x:c>
      <x:c r="K5068" s="11" t="n">
        <x:f>CHOOSE('假设'!$B$3,H5068,I5068,J5068)</x:f>
        <x:v>0.35</x:v>
      </x:c>
      <x:c r="L5068" s="11" t="n">
        <x:f>K5068*'管线假设'!E1087*'管线假设'!F1087*'管线假设'!G1087*IF(E5068="USD",'管线假设'!I1087,1)-AM5068</x:f>
        <x:v>0.024276000000000002</x:v>
      </x:c>
      <x:c r="M5068" s="11" t="n">
        <x:f>'管线假设'!H1087</x:f>
        <x:v>0.14</x:v>
      </x:c>
      <x:c r="N5068" s="11" t="n">
        <x:f>IF(G5068,L5068*AN5068/(1+M5068)^F5068,0)</x:f>
        <x:v>0.002617180075356144</x:v>
      </x:c>
      <x:c r="AJ5068" t="n">
        <x:v>0</x:v>
      </x:c>
      <x:c r="AK5068" t="n">
        <x:v>0</x:v>
      </x:c>
      <x:c r="AL5068" t="n">
        <x:v>0</x:v>
      </x:c>
      <x:c r="AM5068" t="n">
        <x:f>CHOOSE('假设'!$B$3,AJ5068,AK5068,AL5068)</x:f>
        <x:v>0</x:v>
      </x:c>
      <x:c r="AN5068" t="n">
        <x:v>1</x:v>
      </x:c>
    </x:row>
    <x:row r="5069" ht="23" customHeight="1">
      <x:c r="A5069" s="11" t="str">
        <x:v>688062.SH</x:v>
      </x:c>
      <x:c r="B5069" s="11" t="str">
        <x:v>2026年底</x:v>
      </x:c>
      <x:c r="C5069" s="11" t="str">
        <x:v>tmprss_scd</x:v>
      </x:c>
      <x:c r="D5069" s="11" t="str">
        <x:v>2044-12-31</x:v>
      </x:c>
      <x:c r="E5069" s="11" t="str">
        <x:v>USD</x:v>
      </x:c>
      <x:c r="F5069" s="11" t="n">
        <x:v>18.001368925393567</x:v>
      </x:c>
      <x:c r="G5069" s="26" t="b">
        <x:v>1</x:v>
      </x:c>
      <x:c r="H5069" s="16" t="n">
        <x:v>0.192</x:v>
      </x:c>
      <x:c r="I5069" s="16" t="n">
        <x:v>0.21999999999999997</x:v>
      </x:c>
      <x:c r="J5069" s="16" t="n">
        <x:v>0</x:v>
      </x:c>
      <x:c r="K5069" s="11" t="n">
        <x:f>CHOOSE('假设'!$B$3,H5069,I5069,J5069)</x:f>
        <x:v>0.21999999999999997</x:v>
      </x:c>
      <x:c r="L5069" s="11" t="n">
        <x:f>K5069*'管线假设'!E1087*'管线假设'!F1087*'管线假设'!G1087*IF(E5069="USD",'管线假设'!I1087,1)-AM5069</x:f>
        <x:v>0.015259200000000002</x:v>
      </x:c>
      <x:c r="M5069" s="11" t="n">
        <x:f>'管线假设'!H1087</x:f>
        <x:v>0.14</x:v>
      </x:c>
      <x:c r="N5069" s="11" t="n">
        <x:f>IF(G5069,L5069*AN5069/(1+M5069)^F5069,0)</x:f>
        <x:v>0.0014426684782755256</x:v>
      </x:c>
      <x:c r="AJ5069" t="n">
        <x:v>0</x:v>
      </x:c>
      <x:c r="AK5069" t="n">
        <x:v>0</x:v>
      </x:c>
      <x:c r="AL5069" t="n">
        <x:v>0</x:v>
      </x:c>
      <x:c r="AM5069" t="n">
        <x:f>CHOOSE('假设'!$B$3,AJ5069,AK5069,AL5069)</x:f>
        <x:v>0</x:v>
      </x:c>
      <x:c r="AN5069" t="n">
        <x:v>1</x:v>
      </x:c>
    </x:row>
    <x:row r="5070" ht="23" customHeight="1">
      <x:c r="A5070" s="11" t="str">
        <x:v>688062.SH</x:v>
      </x:c>
      <x:c r="B5070" s="11" t="str">
        <x:v>2026年底</x:v>
      </x:c>
      <x:c r="C5070" s="11" t="str">
        <x:v>tmprss_scd</x:v>
      </x:c>
      <x:c r="D5070" s="11" t="str">
        <x:v>2045-12-31</x:v>
      </x:c>
      <x:c r="E5070" s="11" t="str">
        <x:v>USD</x:v>
      </x:c>
      <x:c r="F5070" s="11" t="n">
        <x:v>19.000684462696782</x:v>
      </x:c>
      <x:c r="G5070" s="26" t="b">
        <x:v>1</x:v>
      </x:c>
      <x:c r="H5070" s="16" t="n">
        <x:v>0.13999999999999999</x:v>
      </x:c>
      <x:c r="I5070" s="16" t="n">
        <x:v>0.08999999999999997</x:v>
      </x:c>
      <x:c r="J5070" s="16" t="n">
        <x:v>0</x:v>
      </x:c>
      <x:c r="K5070" s="11" t="n">
        <x:f>CHOOSE('假设'!$B$3,H5070,I5070,J5070)</x:f>
        <x:v>0.08999999999999997</x:v>
      </x:c>
      <x:c r="L5070" s="11" t="n">
        <x:f>K5070*'管线假设'!E1087*'管线假设'!F1087*'管线假设'!G1087*IF(E5070="USD",'管线假设'!I1087,1)-AM5070</x:f>
        <x:v>0.0062423999999999995</x:v>
      </x:c>
      <x:c r="M5070" s="11" t="n">
        <x:f>'管线假设'!H1087</x:f>
        <x:v>0.14</x:v>
      </x:c>
      <x:c r="N5070" s="11" t="n">
        <x:f>IF(G5070,L5070*AN5070/(1+M5070)^F5070,0)</x:f>
        <x:v>0.0005177504312068881</x:v>
      </x:c>
      <x:c r="AJ5070" t="n">
        <x:v>0</x:v>
      </x:c>
      <x:c r="AK5070" t="n">
        <x:v>0</x:v>
      </x:c>
      <x:c r="AL5070" t="n">
        <x:v>0</x:v>
      </x:c>
      <x:c r="AM5070" t="n">
        <x:f>CHOOSE('假设'!$B$3,AJ5070,AK5070,AL5070)</x:f>
        <x:v>0</x:v>
      </x:c>
      <x:c r="AN5070" t="n">
        <x:v>1</x:v>
      </x:c>
    </x:row>
    <x:row r="5071" ht="23" customHeight="1">
      <x:c r="A5071" s="11" t="str">
        <x:v>688062.SH</x:v>
      </x:c>
      <x:c r="B5071" s="11" t="str">
        <x:v>半年</x:v>
      </x:c>
      <x:c r="C5071" s="11" t="str">
        <x:v>biosim</x:v>
      </x:c>
      <x:c r="D5071" s="11" t="str">
        <x:v>2027-12-31</x:v>
      </x:c>
      <x:c r="E5071" s="11" t="str">
        <x:v>CNY</x:v>
      </x:c>
      <x:c r="F5071" s="11" t="n">
        <x:v>0.7282683093771389</x:v>
      </x:c>
      <x:c r="G5071" s="26" t="b">
        <x:v>1</x:v>
      </x:c>
      <x:c r="H5071" s="16" t="n">
        <x:v>0.13999999999999999</x:v>
      </x:c>
      <x:c r="I5071" s="16" t="n">
        <x:v>0.30000000000000004</x:v>
      </x:c>
      <x:c r="J5071" s="16" t="n">
        <x:v>0.575</x:v>
      </x:c>
      <x:c r="K5071" s="11" t="n">
        <x:f>CHOOSE('假设'!$B$3,H5071,I5071,J5071)</x:f>
        <x:v>0.30000000000000004</x:v>
      </x:c>
      <x:c r="L5071" s="11" t="n">
        <x:f>K5071*'管线假设'!E1091*'管线假设'!F1091*'管线假设'!G1091*IF(E5071="USD",'管线假设'!I1091,1)-AM5071</x:f>
        <x:v>0.06426660000000002</x:v>
      </x:c>
      <x:c r="M5071" s="11" t="n">
        <x:f>'管线假设'!H1091</x:f>
        <x:v>0.14</x:v>
      </x:c>
      <x:c r="N5071" s="11" t="n">
        <x:f>IF(G5071,L5071*AN5071/(1+M5071)^F5071,0)</x:f>
        <x:v>0.05841754805074946</x:v>
      </x:c>
      <x:c r="AJ5071" t="n">
        <x:v>0</x:v>
      </x:c>
      <x:c r="AK5071" t="n">
        <x:v>0</x:v>
      </x:c>
      <x:c r="AL5071" t="n">
        <x:v>0</x:v>
      </x:c>
      <x:c r="AM5071" t="n">
        <x:f>CHOOSE('假设'!$B$3,AJ5071,AK5071,AL5071)</x:f>
        <x:v>0</x:v>
      </x:c>
      <x:c r="AN5071" t="n">
        <x:v>1</x:v>
      </x:c>
    </x:row>
    <x:row r="5072" ht="23" customHeight="1">
      <x:c r="A5072" s="11" t="str">
        <x:v>688062.SH</x:v>
      </x:c>
      <x:c r="B5072" s="11" t="str">
        <x:v>半年</x:v>
      </x:c>
      <x:c r="C5072" s="11" t="str">
        <x:v>biosim</x:v>
      </x:c>
      <x:c r="D5072" s="11" t="str">
        <x:v>2028-12-31</x:v>
      </x:c>
      <x:c r="E5072" s="11" t="str">
        <x:v>CNY</x:v>
      </x:c>
      <x:c r="F5072" s="11" t="n">
        <x:v>1.730321697467488</x:v>
      </x:c>
      <x:c r="G5072" s="26" t="b">
        <x:v>1</x:v>
      </x:c>
      <x:c r="H5072" s="16" t="n">
        <x:v>0.27999999999999997</x:v>
      </x:c>
      <x:c r="I5072" s="16" t="n">
        <x:v>0.6000000000000001</x:v>
      </x:c>
      <x:c r="J5072" s="16" t="n">
        <x:v>1.15</x:v>
      </x:c>
      <x:c r="K5072" s="11" t="n">
        <x:f>CHOOSE('假设'!$B$3,H5072,I5072,J5072)</x:f>
        <x:v>0.6000000000000001</x:v>
      </x:c>
      <x:c r="L5072" s="11" t="n">
        <x:f>K5072*'管线假设'!E1091*'管线假设'!F1091*'管线假设'!G1091*IF(E5072="USD",'管线假设'!I1091,1)-AM5072</x:f>
        <x:v>0.12853320000000004</x:v>
      </x:c>
      <x:c r="M5072" s="11" t="n">
        <x:f>'管线假设'!H1091</x:f>
        <x:v>0.14</x:v>
      </x:c>
      <x:c r="N5072" s="11" t="n">
        <x:f>IF(G5072,L5072*AN5072/(1+M5072)^F5072,0)</x:f>
        <x:v>0.10245935581438845</x:v>
      </x:c>
      <x:c r="AJ5072" t="n">
        <x:v>0</x:v>
      </x:c>
      <x:c r="AK5072" t="n">
        <x:v>0</x:v>
      </x:c>
      <x:c r="AL5072" t="n">
        <x:v>0</x:v>
      </x:c>
      <x:c r="AM5072" t="n">
        <x:f>CHOOSE('假设'!$B$3,AJ5072,AK5072,AL5072)</x:f>
        <x:v>0</x:v>
      </x:c>
      <x:c r="AN5072" t="n">
        <x:v>1</x:v>
      </x:c>
    </x:row>
    <x:row r="5073" ht="23" customHeight="1">
      <x:c r="A5073" s="11" t="str">
        <x:v>688062.SH</x:v>
      </x:c>
      <x:c r="B5073" s="11" t="str">
        <x:v>半年</x:v>
      </x:c>
      <x:c r="C5073" s="11" t="str">
        <x:v>biosim</x:v>
      </x:c>
      <x:c r="D5073" s="11" t="str">
        <x:v>2029-12-31</x:v>
      </x:c>
      <x:c r="E5073" s="11" t="str">
        <x:v>CNY</x:v>
      </x:c>
      <x:c r="F5073" s="11" t="n">
        <x:v>2.729637234770705</x:v>
      </x:c>
      <x:c r="G5073" s="26" t="b">
        <x:v>1</x:v>
      </x:c>
      <x:c r="H5073" s="16" t="n">
        <x:v>0.42</x:v>
      </x:c>
      <x:c r="I5073" s="16" t="n">
        <x:v>0.8999999999999999</x:v>
      </x:c>
      <x:c r="J5073" s="16" t="n">
        <x:v>1.7249999999999999</x:v>
      </x:c>
      <x:c r="K5073" s="11" t="n">
        <x:f>CHOOSE('假设'!$B$3,H5073,I5073,J5073)</x:f>
        <x:v>0.8999999999999999</x:v>
      </x:c>
      <x:c r="L5073" s="11" t="n">
        <x:f>K5073*'管线假设'!E1091*'管线假设'!F1091*'管线假设'!G1091*IF(E5073="USD",'管线假设'!I1091,1)-AM5073</x:f>
        <x:v>0.1927998</x:v>
      </x:c>
      <x:c r="M5073" s="11" t="n">
        <x:f>'管线假设'!H1091</x:f>
        <x:v>0.14</x:v>
      </x:c>
      <x:c r="N5073" s="11" t="n">
        <x:f>IF(G5073,L5073*AN5073/(1+M5073)^F5073,0)</x:f>
        <x:v>0.13482703314078845</x:v>
      </x:c>
      <x:c r="AJ5073" t="n">
        <x:v>0</x:v>
      </x:c>
      <x:c r="AK5073" t="n">
        <x:v>0</x:v>
      </x:c>
      <x:c r="AL5073" t="n">
        <x:v>0</x:v>
      </x:c>
      <x:c r="AM5073" t="n">
        <x:f>CHOOSE('假设'!$B$3,AJ5073,AK5073,AL5073)</x:f>
        <x:v>0</x:v>
      </x:c>
      <x:c r="AN5073" t="n">
        <x:v>1</x:v>
      </x:c>
    </x:row>
    <x:row r="5074" ht="23" customHeight="1">
      <x:c r="A5074" s="11" t="str">
        <x:v>688062.SH</x:v>
      </x:c>
      <x:c r="B5074" s="11" t="str">
        <x:v>半年</x:v>
      </x:c>
      <x:c r="C5074" s="11" t="str">
        <x:v>biosim</x:v>
      </x:c>
      <x:c r="D5074" s="11" t="str">
        <x:v>2030-12-31</x:v>
      </x:c>
      <x:c r="E5074" s="11" t="str">
        <x:v>CNY</x:v>
      </x:c>
      <x:c r="F5074" s="11" t="n">
        <x:v>3.728952772073922</x:v>
      </x:c>
      <x:c r="G5074" s="26" t="b">
        <x:v>1</x:v>
      </x:c>
      <x:c r="H5074" s="16" t="n">
        <x:v>0.5599999999999999</x:v>
      </x:c>
      <x:c r="I5074" s="16" t="n">
        <x:v>1.2000000000000002</x:v>
      </x:c>
      <x:c r="J5074" s="16" t="n">
        <x:v>2.3</x:v>
      </x:c>
      <x:c r="K5074" s="11" t="n">
        <x:f>CHOOSE('假设'!$B$3,H5074,I5074,J5074)</x:f>
        <x:v>1.2000000000000002</x:v>
      </x:c>
      <x:c r="L5074" s="11" t="n">
        <x:f>K5074*'管线假设'!E1091*'管线假设'!F1091*'管线假设'!G1091*IF(E5074="USD",'管线假设'!I1091,1)-AM5074</x:f>
        <x:v>0.2570664000000001</x:v>
      </x:c>
      <x:c r="M5074" s="11" t="n">
        <x:f>'管线假设'!H1091</x:f>
        <x:v>0.14</x:v>
      </x:c>
      <x:c r="N5074" s="11" t="n">
        <x:f>IF(G5074,L5074*AN5074/(1+M5074)^F5074,0)</x:f>
        <x:v>0.15770657953799064</x:v>
      </x:c>
      <x:c r="AJ5074" t="n">
        <x:v>0</x:v>
      </x:c>
      <x:c r="AK5074" t="n">
        <x:v>0</x:v>
      </x:c>
      <x:c r="AL5074" t="n">
        <x:v>0</x:v>
      </x:c>
      <x:c r="AM5074" t="n">
        <x:f>CHOOSE('假设'!$B$3,AJ5074,AK5074,AL5074)</x:f>
        <x:v>0</x:v>
      </x:c>
      <x:c r="AN5074" t="n">
        <x:v>1</x:v>
      </x:c>
    </x:row>
    <x:row r="5075" ht="23" customHeight="1">
      <x:c r="A5075" s="11" t="str">
        <x:v>688062.SH</x:v>
      </x:c>
      <x:c r="B5075" s="11" t="str">
        <x:v>半年</x:v>
      </x:c>
      <x:c r="C5075" s="11" t="str">
        <x:v>biosim</x:v>
      </x:c>
      <x:c r="D5075" s="11" t="str">
        <x:v>2031-12-31</x:v>
      </x:c>
      <x:c r="E5075" s="11" t="str">
        <x:v>CNY</x:v>
      </x:c>
      <x:c r="F5075" s="11" t="n">
        <x:v>4.728268309377139</x:v>
      </x:c>
      <x:c r="G5075" s="26" t="b">
        <x:v>1</x:v>
      </x:c>
      <x:c r="H5075" s="16" t="n">
        <x:v>0.7</x:v>
      </x:c>
      <x:c r="I5075" s="16" t="n">
        <x:v>1.5</x:v>
      </x:c>
      <x:c r="J5075" s="16" t="n">
        <x:v>2.001</x:v>
      </x:c>
      <x:c r="K5075" s="11" t="n">
        <x:f>CHOOSE('假设'!$B$3,H5075,I5075,J5075)</x:f>
        <x:v>1.5</x:v>
      </x:c>
      <x:c r="L5075" s="11" t="n">
        <x:f>K5075*'管线假设'!E1091*'管线假设'!F1091*'管线假设'!G1091*IF(E5075="USD",'管线假设'!I1091,1)-AM5075</x:f>
        <x:v>0.32133300000000004</x:v>
      </x:c>
      <x:c r="M5075" s="11" t="n">
        <x:f>'管线假设'!H1091</x:f>
        <x:v>0.14</x:v>
      </x:c>
      <x:c r="N5075" s="11" t="n">
        <x:f>IF(G5075,L5075*AN5075/(1+M5075)^F5075,0)</x:f>
        <x:v>0.17293939026587052</x:v>
      </x:c>
      <x:c r="AJ5075" t="n">
        <x:v>0</x:v>
      </x:c>
      <x:c r="AK5075" t="n">
        <x:v>0</x:v>
      </x:c>
      <x:c r="AL5075" t="n">
        <x:v>0</x:v>
      </x:c>
      <x:c r="AM5075" t="n">
        <x:f>CHOOSE('假设'!$B$3,AJ5075,AK5075,AL5075)</x:f>
        <x:v>0</x:v>
      </x:c>
      <x:c r="AN5075" t="n">
        <x:v>1</x:v>
      </x:c>
    </x:row>
    <x:row r="5076" ht="23" customHeight="1">
      <x:c r="A5076" s="11" t="str">
        <x:v>688062.SH</x:v>
      </x:c>
      <x:c r="B5076" s="11" t="str">
        <x:v>半年</x:v>
      </x:c>
      <x:c r="C5076" s="11" t="str">
        <x:v>biosim</x:v>
      </x:c>
      <x:c r="D5076" s="11" t="str">
        <x:v>2032-12-31</x:v>
      </x:c>
      <x:c r="E5076" s="11" t="str">
        <x:v>CNY</x:v>
      </x:c>
      <x:c r="F5076" s="11" t="n">
        <x:v>5.730321697467488</x:v>
      </x:c>
      <x:c r="G5076" s="26" t="b">
        <x:v>1</x:v>
      </x:c>
      <x:c r="H5076" s="16" t="n">
        <x:v>0.609</x:v>
      </x:c>
      <x:c r="I5076" s="16" t="n">
        <x:v>1.305</x:v>
      </x:c>
      <x:c r="J5076" s="16" t="n">
        <x:v>1.702</x:v>
      </x:c>
      <x:c r="K5076" s="11" t="n">
        <x:f>CHOOSE('假设'!$B$3,H5076,I5076,J5076)</x:f>
        <x:v>1.305</x:v>
      </x:c>
      <x:c r="L5076" s="11" t="n">
        <x:f>K5076*'管线假设'!E1091*'管线假设'!F1091*'管线假设'!G1091*IF(E5076="USD",'管线假设'!I1091,1)-AM5076</x:f>
        <x:v>0.27955971</x:v>
      </x:c>
      <x:c r="M5076" s="11" t="n">
        <x:f>'管线假设'!H1091</x:f>
        <x:v>0.14</x:v>
      </x:c>
      <x:c r="N5076" s="11" t="n">
        <x:f>IF(G5076,L5076*AN5076/(1+M5076)^F5076,0)</x:f>
        <x:v>0.13194455628621501</x:v>
      </x:c>
      <x:c r="AJ5076" t="n">
        <x:v>0</x:v>
      </x:c>
      <x:c r="AK5076" t="n">
        <x:v>0</x:v>
      </x:c>
      <x:c r="AL5076" t="n">
        <x:v>0</x:v>
      </x:c>
      <x:c r="AM5076" t="n">
        <x:f>CHOOSE('假设'!$B$3,AJ5076,AK5076,AL5076)</x:f>
        <x:v>0</x:v>
      </x:c>
      <x:c r="AN5076" t="n">
        <x:v>1</x:v>
      </x:c>
    </x:row>
    <x:row r="5077" ht="23" customHeight="1">
      <x:c r="A5077" s="11" t="str">
        <x:v>688062.SH</x:v>
      </x:c>
      <x:c r="B5077" s="11" t="str">
        <x:v>半年</x:v>
      </x:c>
      <x:c r="C5077" s="11" t="str">
        <x:v>biosim</x:v>
      </x:c>
      <x:c r="D5077" s="11" t="str">
        <x:v>2033-12-31</x:v>
      </x:c>
      <x:c r="E5077" s="11" t="str">
        <x:v>CNY</x:v>
      </x:c>
      <x:c r="F5077" s="11" t="n">
        <x:v>6.729637234770705</x:v>
      </x:c>
      <x:c r="G5077" s="26" t="b">
        <x:v>1</x:v>
      </x:c>
      <x:c r="H5077" s="16" t="n">
        <x:v>0.518</x:v>
      </x:c>
      <x:c r="I5077" s="16" t="n">
        <x:v>1.1099999999999999</x:v>
      </x:c>
      <x:c r="J5077" s="16" t="n">
        <x:v>1.4029999999999998</x:v>
      </x:c>
      <x:c r="K5077" s="11" t="n">
        <x:f>CHOOSE('假设'!$B$3,H5077,I5077,J5077)</x:f>
        <x:v>1.1099999999999999</x:v>
      </x:c>
      <x:c r="L5077" s="11" t="n">
        <x:f>K5077*'管线假设'!E1091*'管线假设'!F1091*'管线假设'!G1091*IF(E5077="USD",'管线假设'!I1091,1)-AM5077</x:f>
        <x:v>0.23778641999999997</x:v>
      </x:c>
      <x:c r="M5077" s="11" t="n">
        <x:f>'管线假设'!H1091</x:f>
        <x:v>0.14</x:v>
      </x:c>
      <x:c r="N5077" s="11" t="n">
        <x:f>IF(G5077,L5077*AN5077/(1+M5077)^F5077,0)</x:f>
        <x:v>0.09845506018743055</x:v>
      </x:c>
      <x:c r="AJ5077" t="n">
        <x:v>0</x:v>
      </x:c>
      <x:c r="AK5077" t="n">
        <x:v>0</x:v>
      </x:c>
      <x:c r="AL5077" t="n">
        <x:v>0</x:v>
      </x:c>
      <x:c r="AM5077" t="n">
        <x:f>CHOOSE('假设'!$B$3,AJ5077,AK5077,AL5077)</x:f>
        <x:v>0</x:v>
      </x:c>
      <x:c r="AN5077" t="n">
        <x:v>1</x:v>
      </x:c>
    </x:row>
    <x:row r="5078" ht="23" customHeight="1">
      <x:c r="A5078" s="11" t="str">
        <x:v>688062.SH</x:v>
      </x:c>
      <x:c r="B5078" s="11" t="str">
        <x:v>半年</x:v>
      </x:c>
      <x:c r="C5078" s="11" t="str">
        <x:v>biosim</x:v>
      </x:c>
      <x:c r="D5078" s="11" t="str">
        <x:v>2034-12-31</x:v>
      </x:c>
      <x:c r="E5078" s="11" t="str">
        <x:v>CNY</x:v>
      </x:c>
      <x:c r="F5078" s="11" t="n">
        <x:v>7.728952772073922</x:v>
      </x:c>
      <x:c r="G5078" s="26" t="b">
        <x:v>1</x:v>
      </x:c>
      <x:c r="H5078" s="16" t="n">
        <x:v>0.427</x:v>
      </x:c>
      <x:c r="I5078" s="16" t="n">
        <x:v>0.915</x:v>
      </x:c>
      <x:c r="J5078" s="16" t="n">
        <x:v>1.1039999999999999</x:v>
      </x:c>
      <x:c r="K5078" s="11" t="n">
        <x:f>CHOOSE('假设'!$B$3,H5078,I5078,J5078)</x:f>
        <x:v>0.915</x:v>
      </x:c>
      <x:c r="L5078" s="11" t="n">
        <x:f>K5078*'管线假设'!E1091*'管线假设'!F1091*'管线假设'!G1091*IF(E5078="USD",'管线假设'!I1091,1)-AM5078</x:f>
        <x:v>0.19601313000000004</x:v>
      </x:c>
      <x:c r="M5078" s="11" t="n">
        <x:f>'管线假设'!H1091</x:f>
        <x:v>0.14</x:v>
      </x:c>
      <x:c r="N5078" s="11" t="n">
        <x:f>IF(G5078,L5078*AN5078/(1+M5078)^F5078,0)</x:f>
        <x:v>0.07119840345891747</x:v>
      </x:c>
      <x:c r="AJ5078" t="n">
        <x:v>0</x:v>
      </x:c>
      <x:c r="AK5078" t="n">
        <x:v>0</x:v>
      </x:c>
      <x:c r="AL5078" t="n">
        <x:v>0</x:v>
      </x:c>
      <x:c r="AM5078" t="n">
        <x:f>CHOOSE('假设'!$B$3,AJ5078,AK5078,AL5078)</x:f>
        <x:v>0</x:v>
      </x:c>
      <x:c r="AN5078" t="n">
        <x:v>1</x:v>
      </x:c>
    </x:row>
    <x:row r="5079" ht="23" customHeight="1">
      <x:c r="A5079" s="11" t="str">
        <x:v>688062.SH</x:v>
      </x:c>
      <x:c r="B5079" s="11" t="str">
        <x:v>半年</x:v>
      </x:c>
      <x:c r="C5079" s="11" t="str">
        <x:v>biosim</x:v>
      </x:c>
      <x:c r="D5079" s="11" t="str">
        <x:v>2035-12-31</x:v>
      </x:c>
      <x:c r="E5079" s="11" t="str">
        <x:v>CNY</x:v>
      </x:c>
      <x:c r="F5079" s="11" t="n">
        <x:v>8.728268309377139</x:v>
      </x:c>
      <x:c r="G5079" s="26" t="b">
        <x:v>1</x:v>
      </x:c>
      <x:c r="H5079" s="16" t="n">
        <x:v>0.33599999999999997</x:v>
      </x:c>
      <x:c r="I5079" s="16" t="n">
        <x:v>0.72</x:v>
      </x:c>
      <x:c r="J5079" s="16" t="n">
        <x:v>0.8049999999999999</x:v>
      </x:c>
      <x:c r="K5079" s="11" t="n">
        <x:f>CHOOSE('假设'!$B$3,H5079,I5079,J5079)</x:f>
        <x:v>0.72</x:v>
      </x:c>
      <x:c r="L5079" s="11" t="n">
        <x:f>K5079*'管线假设'!E1091*'管线假设'!F1091*'管线假设'!G1091*IF(E5079="USD",'管线假设'!I1091,1)-AM5079</x:f>
        <x:v>0.15423984</x:v>
      </x:c>
      <x:c r="M5079" s="11" t="n">
        <x:f>'管线假设'!H1091</x:f>
        <x:v>0.14</x:v>
      </x:c>
      <x:c r="N5079" s="11" t="n">
        <x:f>IF(G5079,L5079*AN5079/(1+M5079)^F5079,0)</x:f>
        <x:v>0.04914912103528706</x:v>
      </x:c>
      <x:c r="AJ5079" t="n">
        <x:v>0</x:v>
      </x:c>
      <x:c r="AK5079" t="n">
        <x:v>0</x:v>
      </x:c>
      <x:c r="AL5079" t="n">
        <x:v>0</x:v>
      </x:c>
      <x:c r="AM5079" t="n">
        <x:f>CHOOSE('假设'!$B$3,AJ5079,AK5079,AL5079)</x:f>
        <x:v>0</x:v>
      </x:c>
      <x:c r="AN5079" t="n">
        <x:v>1</x:v>
      </x:c>
    </x:row>
    <x:row r="5080" ht="23" customHeight="1">
      <x:c r="A5080" s="11" t="str">
        <x:v>688062.SH</x:v>
      </x:c>
      <x:c r="B5080" s="11" t="str">
        <x:v>半年</x:v>
      </x:c>
      <x:c r="C5080" s="11" t="str">
        <x:v>biosim</x:v>
      </x:c>
      <x:c r="D5080" s="11" t="str">
        <x:v>2036-12-31</x:v>
      </x:c>
      <x:c r="E5080" s="11" t="str">
        <x:v>CNY</x:v>
      </x:c>
      <x:c r="F5080" s="11" t="n">
        <x:v>9.730321697467488</x:v>
      </x:c>
      <x:c r="G5080" s="26" t="b">
        <x:v>1</x:v>
      </x:c>
      <x:c r="H5080" s="16" t="n">
        <x:v>0.24499999999999997</x:v>
      </x:c>
      <x:c r="I5080" s="16" t="n">
        <x:v>0.5249999999999999</x:v>
      </x:c>
      <x:c r="J5080" s="16" t="n">
        <x:v>0.5059999999999999</x:v>
      </x:c>
      <x:c r="K5080" s="11" t="n">
        <x:f>CHOOSE('假设'!$B$3,H5080,I5080,J5080)</x:f>
        <x:v>0.5249999999999999</x:v>
      </x:c>
      <x:c r="L5080" s="11" t="n">
        <x:f>K5080*'管线假设'!E1091*'管线假设'!F1091*'管线假设'!G1091*IF(E5080="USD",'管线假设'!I1091,1)-AM5080</x:f>
        <x:v>0.11246655</x:v>
      </x:c>
      <x:c r="M5080" s="11" t="n">
        <x:f>'管线假设'!H1091</x:f>
        <x:v>0.14</x:v>
      </x:c>
      <x:c r="N5080" s="11" t="n">
        <x:f>IF(G5080,L5080*AN5080/(1+M5080)^F5080,0)</x:f>
        <x:v>0.03142829806804605</x:v>
      </x:c>
      <x:c r="AJ5080" t="n">
        <x:v>0</x:v>
      </x:c>
      <x:c r="AK5080" t="n">
        <x:v>0</x:v>
      </x:c>
      <x:c r="AL5080" t="n">
        <x:v>0</x:v>
      </x:c>
      <x:c r="AM5080" t="n">
        <x:f>CHOOSE('假设'!$B$3,AJ5080,AK5080,AL5080)</x:f>
        <x:v>0</x:v>
      </x:c>
      <x:c r="AN5080" t="n">
        <x:v>1</x:v>
      </x:c>
    </x:row>
    <x:row r="5081" ht="23" customHeight="1">
      <x:c r="A5081" s="11" t="str">
        <x:v>688062.SH</x:v>
      </x:c>
      <x:c r="B5081" s="11" t="str">
        <x:v>半年</x:v>
      </x:c>
      <x:c r="C5081" s="11" t="str">
        <x:v>biosim</x:v>
      </x:c>
      <x:c r="D5081" s="11" t="str">
        <x:v>2037-12-31</x:v>
      </x:c>
      <x:c r="E5081" s="11" t="str">
        <x:v>CNY</x:v>
      </x:c>
      <x:c r="F5081" s="11" t="n">
        <x:v>10.729637234770705</x:v>
      </x:c>
      <x:c r="G5081" s="26" t="b">
        <x:v>1</x:v>
      </x:c>
      <x:c r="H5081" s="16" t="n">
        <x:v>0.15399999999999997</x:v>
      </x:c>
      <x:c r="I5081" s="16" t="n">
        <x:v>0.32999999999999996</x:v>
      </x:c>
      <x:c r="J5081" s="16" t="n">
        <x:v>0.2069999999999999</x:v>
      </x:c>
      <x:c r="K5081" s="11" t="n">
        <x:f>CHOOSE('假设'!$B$3,H5081,I5081,J5081)</x:f>
        <x:v>0.32999999999999996</x:v>
      </x:c>
      <x:c r="L5081" s="11" t="n">
        <x:f>K5081*'管线假设'!E1091*'管线假设'!F1091*'管线假设'!G1091*IF(E5081="USD",'管线假设'!I1091,1)-AM5081</x:f>
        <x:v>0.07069326</x:v>
      </x:c>
      <x:c r="M5081" s="11" t="n">
        <x:f>'管线假设'!H1091</x:f>
        <x:v>0.14</x:v>
      </x:c>
      <x:c r="N5081" s="11" t="n">
        <x:f>IF(G5081,L5081*AN5081/(1+M5081)^F5081,0)</x:f>
        <x:v>0.01733044034559455</x:v>
      </x:c>
      <x:c r="AJ5081" t="n">
        <x:v>0</x:v>
      </x:c>
      <x:c r="AK5081" t="n">
        <x:v>0</x:v>
      </x:c>
      <x:c r="AL5081" t="n">
        <x:v>0</x:v>
      </x:c>
      <x:c r="AM5081" t="n">
        <x:f>CHOOSE('假设'!$B$3,AJ5081,AK5081,AL5081)</x:f>
        <x:v>0</x:v>
      </x:c>
      <x:c r="AN5081" t="n">
        <x:v>1</x:v>
      </x:c>
    </x:row>
    <x:row r="5082" ht="23" customHeight="1">
      <x:c r="A5082" s="11" t="str">
        <x:v>688062.SH</x:v>
      </x:c>
      <x:c r="B5082" s="11" t="str">
        <x:v>半年</x:v>
      </x:c>
      <x:c r="C5082" s="11" t="str">
        <x:v>biosim</x:v>
      </x:c>
      <x:c r="D5082" s="11" t="str">
        <x:v>2038-12-31</x:v>
      </x:c>
      <x:c r="E5082" s="11" t="str">
        <x:v>CNY</x:v>
      </x:c>
      <x:c r="F5082" s="11" t="n">
        <x:v>11.728952772073923</x:v>
      </x:c>
      <x:c r="G5082" s="26" t="b">
        <x:v>1</x:v>
      </x:c>
      <x:c r="H5082" s="16" t="n">
        <x:v>0.06299999999999997</x:v>
      </x:c>
      <x:c r="I5082" s="16" t="n">
        <x:v>0.13499999999999995</x:v>
      </x:c>
      <x:c r="J5082" s="16" t="n">
        <x:v>0</x:v>
      </x:c>
      <x:c r="K5082" s="11" t="n">
        <x:f>CHOOSE('假设'!$B$3,H5082,I5082,J5082)</x:f>
        <x:v>0.13499999999999995</x:v>
      </x:c>
      <x:c r="L5082" s="11" t="n">
        <x:f>K5082*'管线假设'!E1091*'管线假设'!F1091*'管线假设'!G1091*IF(E5082="USD",'管线假设'!I1091,1)-AM5082</x:f>
        <x:v>0.028919969999999993</x:v>
      </x:c>
      <x:c r="M5082" s="11" t="n">
        <x:f>'管线假设'!H1091</x:f>
        <x:v>0.14</x:v>
      </x:c>
      <x:c r="N5082" s="11" t="n">
        <x:f>IF(G5082,L5082*AN5082/(1+M5082)^F5082,0)</x:f>
        <x:v>0.0062196153149907275</x:v>
      </x:c>
      <x:c r="AJ5082" t="n">
        <x:v>0</x:v>
      </x:c>
      <x:c r="AK5082" t="n">
        <x:v>0</x:v>
      </x:c>
      <x:c r="AL5082" t="n">
        <x:v>0</x:v>
      </x:c>
      <x:c r="AM5082" t="n">
        <x:f>CHOOSE('假设'!$B$3,AJ5082,AK5082,AL5082)</x:f>
        <x:v>0</x:v>
      </x:c>
      <x:c r="AN5082" t="n">
        <x:v>1</x:v>
      </x:c>
    </x:row>
    <x:row r="5083" ht="23" customHeight="1">
      <x:c r="A5083" s="11" t="str">
        <x:v>688062.SH</x:v>
      </x:c>
      <x:c r="B5083" s="11" t="str">
        <x:v>半年</x:v>
      </x:c>
      <x:c r="C5083" s="11" t="str">
        <x:v>biosim</x:v>
      </x:c>
      <x:c r="D5083" s="11" t="str">
        <x:v>2039-12-31</x:v>
      </x:c>
      <x:c r="E5083" s="11" t="str">
        <x:v>CNY</x:v>
      </x:c>
      <x:c r="F5083" s="11" t="n">
        <x:v>12.728268309377139</x:v>
      </x:c>
      <x:c r="G5083" s="26" t="b">
        <x:v>1</x:v>
      </x:c>
      <x:c r="H5083" s="16" t="n">
        <x:v>0</x:v>
      </x:c>
      <x:c r="I5083" s="16" t="n">
        <x:v>0</x:v>
      </x:c>
      <x:c r="J5083" s="16" t="n">
        <x:v>0</x:v>
      </x:c>
      <x:c r="K5083" s="11" t="n">
        <x:f>CHOOSE('假设'!$B$3,H5083,I5083,J5083)</x:f>
        <x:v>0</x:v>
      </x:c>
      <x:c r="L5083" s="11" t="n">
        <x:f>K5083*'管线假设'!E1091*'管线假设'!F1091*'管线假设'!G1091*IF(E5083="USD",'管线假设'!I1091,1)-AM5083</x:f>
        <x:v>0</x:v>
      </x:c>
      <x:c r="M5083" s="11" t="n">
        <x:f>'管线假设'!H1091</x:f>
        <x:v>0.14</x:v>
      </x:c>
      <x:c r="N5083" s="11" t="n">
        <x:f>IF(G5083,L5083*AN5083/(1+M5083)^F5083,0)</x:f>
        <x:v>0</x:v>
      </x:c>
      <x:c r="AJ5083" t="n">
        <x:v>0</x:v>
      </x:c>
      <x:c r="AK5083" t="n">
        <x:v>0</x:v>
      </x:c>
      <x:c r="AL5083" t="n">
        <x:v>0</x:v>
      </x:c>
      <x:c r="AM5083" t="n">
        <x:f>CHOOSE('假设'!$B$3,AJ5083,AK5083,AL5083)</x:f>
        <x:v>0</x:v>
      </x:c>
      <x:c r="AN5083" t="n">
        <x:v>1</x:v>
      </x:c>
    </x:row>
    <x:row r="5084" ht="23" customHeight="1">
      <x:c r="A5084" s="11" t="str">
        <x:v>688062.SH</x:v>
      </x:c>
      <x:c r="B5084" s="11" t="str">
        <x:v>半年</x:v>
      </x:c>
      <x:c r="C5084" s="11" t="str">
        <x:v>biosim</x:v>
      </x:c>
      <x:c r="D5084" s="11" t="str">
        <x:v>2040-12-31</x:v>
      </x:c>
      <x:c r="E5084" s="11" t="str">
        <x:v>CNY</x:v>
      </x:c>
      <x:c r="F5084" s="11" t="n">
        <x:v>13.730321697467488</x:v>
      </x:c>
      <x:c r="G5084" s="26" t="b">
        <x:v>1</x:v>
      </x:c>
      <x:c r="H5084" s="16" t="n">
        <x:v>0</x:v>
      </x:c>
      <x:c r="I5084" s="16" t="n">
        <x:v>0</x:v>
      </x:c>
      <x:c r="J5084" s="16" t="n">
        <x:v>0</x:v>
      </x:c>
      <x:c r="K5084" s="11" t="n">
        <x:f>CHOOSE('假设'!$B$3,H5084,I5084,J5084)</x:f>
        <x:v>0</x:v>
      </x:c>
      <x:c r="L5084" s="11" t="n">
        <x:f>K5084*'管线假设'!E1091*'管线假设'!F1091*'管线假设'!G1091*IF(E5084="USD",'管线假设'!I1091,1)-AM5084</x:f>
        <x:v>0</x:v>
      </x:c>
      <x:c r="M5084" s="11" t="n">
        <x:f>'管线假设'!H1091</x:f>
        <x:v>0.14</x:v>
      </x:c>
      <x:c r="N5084" s="11" t="n">
        <x:f>IF(G5084,L5084*AN5084/(1+M5084)^F5084,0)</x:f>
        <x:v>0</x:v>
      </x:c>
      <x:c r="AJ5084" t="n">
        <x:v>0</x:v>
      </x:c>
      <x:c r="AK5084" t="n">
        <x:v>0</x:v>
      </x:c>
      <x:c r="AL5084" t="n">
        <x:v>0</x:v>
      </x:c>
      <x:c r="AM5084" t="n">
        <x:f>CHOOSE('假设'!$B$3,AJ5084,AK5084,AL5084)</x:f>
        <x:v>0</x:v>
      </x:c>
      <x:c r="AN5084" t="n">
        <x:v>1</x:v>
      </x:c>
    </x:row>
    <x:row r="5085" ht="23" customHeight="1">
      <x:c r="A5085" s="11" t="str">
        <x:v>688062.SH</x:v>
      </x:c>
      <x:c r="B5085" s="11" t="str">
        <x:v>半年</x:v>
      </x:c>
      <x:c r="C5085" s="11" t="str">
        <x:v>biosim</x:v>
      </x:c>
      <x:c r="D5085" s="11" t="str">
        <x:v>2041-12-31</x:v>
      </x:c>
      <x:c r="E5085" s="11" t="str">
        <x:v>CNY</x:v>
      </x:c>
      <x:c r="F5085" s="11" t="n">
        <x:v>14.729637234770705</x:v>
      </x:c>
      <x:c r="G5085" s="26" t="b">
        <x:v>1</x:v>
      </x:c>
      <x:c r="H5085" s="16" t="n">
        <x:v>0</x:v>
      </x:c>
      <x:c r="I5085" s="16" t="n">
        <x:v>0</x:v>
      </x:c>
      <x:c r="J5085" s="16" t="n">
        <x:v>0</x:v>
      </x:c>
      <x:c r="K5085" s="11" t="n">
        <x:f>CHOOSE('假设'!$B$3,H5085,I5085,J5085)</x:f>
        <x:v>0</x:v>
      </x:c>
      <x:c r="L5085" s="11" t="n">
        <x:f>K5085*'管线假设'!E1091*'管线假设'!F1091*'管线假设'!G1091*IF(E5085="USD",'管线假设'!I1091,1)-AM5085</x:f>
        <x:v>0</x:v>
      </x:c>
      <x:c r="M5085" s="11" t="n">
        <x:f>'管线假设'!H1091</x:f>
        <x:v>0.14</x:v>
      </x:c>
      <x:c r="N5085" s="11" t="n">
        <x:f>IF(G5085,L5085*AN5085/(1+M5085)^F5085,0)</x:f>
        <x:v>0</x:v>
      </x:c>
      <x:c r="AJ5085" t="n">
        <x:v>0</x:v>
      </x:c>
      <x:c r="AK5085" t="n">
        <x:v>0</x:v>
      </x:c>
      <x:c r="AL5085" t="n">
        <x:v>0</x:v>
      </x:c>
      <x:c r="AM5085" t="n">
        <x:f>CHOOSE('假设'!$B$3,AJ5085,AK5085,AL5085)</x:f>
        <x:v>0</x:v>
      </x:c>
      <x:c r="AN5085" t="n">
        <x:v>1</x:v>
      </x:c>
    </x:row>
    <x:row r="5086" ht="23" customHeight="1">
      <x:c r="A5086" s="11" t="str">
        <x:v>688062.SH</x:v>
      </x:c>
      <x:c r="B5086" s="11" t="str">
        <x:v>半年</x:v>
      </x:c>
      <x:c r="C5086" s="11" t="str">
        <x:v>biosim</x:v>
      </x:c>
      <x:c r="D5086" s="11" t="str">
        <x:v>2042-12-31</x:v>
      </x:c>
      <x:c r="E5086" s="11" t="str">
        <x:v>CNY</x:v>
      </x:c>
      <x:c r="F5086" s="11" t="n">
        <x:v>15.728952772073923</x:v>
      </x:c>
      <x:c r="G5086" s="26" t="b">
        <x:v>1</x:v>
      </x:c>
      <x:c r="H5086" s="16" t="n">
        <x:v>0</x:v>
      </x:c>
      <x:c r="I5086" s="16" t="n">
        <x:v>0</x:v>
      </x:c>
      <x:c r="J5086" s="16" t="n">
        <x:v>0</x:v>
      </x:c>
      <x:c r="K5086" s="11" t="n">
        <x:f>CHOOSE('假设'!$B$3,H5086,I5086,J5086)</x:f>
        <x:v>0</x:v>
      </x:c>
      <x:c r="L5086" s="11" t="n">
        <x:f>K5086*'管线假设'!E1091*'管线假设'!F1091*'管线假设'!G1091*IF(E5086="USD",'管线假设'!I1091,1)-AM5086</x:f>
        <x:v>0</x:v>
      </x:c>
      <x:c r="M5086" s="11" t="n">
        <x:f>'管线假设'!H1091</x:f>
        <x:v>0.14</x:v>
      </x:c>
      <x:c r="N5086" s="11" t="n">
        <x:f>IF(G5086,L5086*AN5086/(1+M5086)^F5086,0)</x:f>
        <x:v>0</x:v>
      </x:c>
      <x:c r="AJ5086" t="n">
        <x:v>0</x:v>
      </x:c>
      <x:c r="AK5086" t="n">
        <x:v>0</x:v>
      </x:c>
      <x:c r="AL5086" t="n">
        <x:v>0</x:v>
      </x:c>
      <x:c r="AM5086" t="n">
        <x:f>CHOOSE('假设'!$B$3,AJ5086,AK5086,AL5086)</x:f>
        <x:v>0</x:v>
      </x:c>
      <x:c r="AN5086" t="n">
        <x:v>1</x:v>
      </x:c>
    </x:row>
    <x:row r="5087" ht="23" customHeight="1">
      <x:c r="A5087" s="11" t="str">
        <x:v>688062.SH</x:v>
      </x:c>
      <x:c r="B5087" s="11" t="str">
        <x:v>半年</x:v>
      </x:c>
      <x:c r="C5087" s="11" t="str">
        <x:v>biosim</x:v>
      </x:c>
      <x:c r="D5087" s="11" t="str">
        <x:v>2043-12-31</x:v>
      </x:c>
      <x:c r="E5087" s="11" t="str">
        <x:v>CNY</x:v>
      </x:c>
      <x:c r="F5087" s="11" t="n">
        <x:v>16.72826830937714</x:v>
      </x:c>
      <x:c r="G5087" s="26" t="b">
        <x:v>1</x:v>
      </x:c>
      <x:c r="H5087" s="16" t="n">
        <x:v>0</x:v>
      </x:c>
      <x:c r="I5087" s="16" t="n">
        <x:v>0</x:v>
      </x:c>
      <x:c r="J5087" s="16" t="n">
        <x:v>0</x:v>
      </x:c>
      <x:c r="K5087" s="11" t="n">
        <x:f>CHOOSE('假设'!$B$3,H5087,I5087,J5087)</x:f>
        <x:v>0</x:v>
      </x:c>
      <x:c r="L5087" s="11" t="n">
        <x:f>K5087*'管线假设'!E1091*'管线假设'!F1091*'管线假设'!G1091*IF(E5087="USD",'管线假设'!I1091,1)-AM5087</x:f>
        <x:v>0</x:v>
      </x:c>
      <x:c r="M5087" s="11" t="n">
        <x:f>'管线假设'!H1091</x:f>
        <x:v>0.14</x:v>
      </x:c>
      <x:c r="N5087" s="11" t="n">
        <x:f>IF(G5087,L5087*AN5087/(1+M5087)^F5087,0)</x:f>
        <x:v>0</x:v>
      </x:c>
      <x:c r="AJ5087" t="n">
        <x:v>0</x:v>
      </x:c>
      <x:c r="AK5087" t="n">
        <x:v>0</x:v>
      </x:c>
      <x:c r="AL5087" t="n">
        <x:v>0</x:v>
      </x:c>
      <x:c r="AM5087" t="n">
        <x:f>CHOOSE('假设'!$B$3,AJ5087,AK5087,AL5087)</x:f>
        <x:v>0</x:v>
      </x:c>
      <x:c r="AN5087" t="n">
        <x:v>1</x:v>
      </x:c>
    </x:row>
    <x:row r="5088" ht="23" customHeight="1">
      <x:c r="A5088" s="11" t="str">
        <x:v>688062.SH</x:v>
      </x:c>
      <x:c r="B5088" s="11" t="str">
        <x:v>半年</x:v>
      </x:c>
      <x:c r="C5088" s="11" t="str">
        <x:v>biosim</x:v>
      </x:c>
      <x:c r="D5088" s="11" t="str">
        <x:v>2044-12-31</x:v>
      </x:c>
      <x:c r="E5088" s="11" t="str">
        <x:v>CNY</x:v>
      </x:c>
      <x:c r="F5088" s="11" t="n">
        <x:v>17.730321697467488</x:v>
      </x:c>
      <x:c r="G5088" s="26" t="b">
        <x:v>1</x:v>
      </x:c>
      <x:c r="H5088" s="16" t="n">
        <x:v>0</x:v>
      </x:c>
      <x:c r="I5088" s="16" t="n">
        <x:v>0</x:v>
      </x:c>
      <x:c r="J5088" s="16" t="n">
        <x:v>0</x:v>
      </x:c>
      <x:c r="K5088" s="11" t="n">
        <x:f>CHOOSE('假设'!$B$3,H5088,I5088,J5088)</x:f>
        <x:v>0</x:v>
      </x:c>
      <x:c r="L5088" s="11" t="n">
        <x:f>K5088*'管线假设'!E1091*'管线假设'!F1091*'管线假设'!G1091*IF(E5088="USD",'管线假设'!I1091,1)-AM5088</x:f>
        <x:v>0</x:v>
      </x:c>
      <x:c r="M5088" s="11" t="n">
        <x:f>'管线假设'!H1091</x:f>
        <x:v>0.14</x:v>
      </x:c>
      <x:c r="N5088" s="11" t="n">
        <x:f>IF(G5088,L5088*AN5088/(1+M5088)^F5088,0)</x:f>
        <x:v>0</x:v>
      </x:c>
      <x:c r="AJ5088" t="n">
        <x:v>0</x:v>
      </x:c>
      <x:c r="AK5088" t="n">
        <x:v>0</x:v>
      </x:c>
      <x:c r="AL5088" t="n">
        <x:v>0</x:v>
      </x:c>
      <x:c r="AM5088" t="n">
        <x:f>CHOOSE('假设'!$B$3,AJ5088,AK5088,AL5088)</x:f>
        <x:v>0</x:v>
      </x:c>
      <x:c r="AN5088" t="n">
        <x:v>1</x:v>
      </x:c>
    </x:row>
    <x:row r="5089" ht="23" customHeight="1">
      <x:c r="A5089" s="11" t="str">
        <x:v>688062.SH</x:v>
      </x:c>
      <x:c r="B5089" s="11" t="str">
        <x:v>半年</x:v>
      </x:c>
      <x:c r="C5089" s="11" t="str">
        <x:v>biosim</x:v>
      </x:c>
      <x:c r="D5089" s="11" t="str">
        <x:v>2045-12-31</x:v>
      </x:c>
      <x:c r="E5089" s="11" t="str">
        <x:v>CNY</x:v>
      </x:c>
      <x:c r="F5089" s="11" t="n">
        <x:v>18.729637234770706</x:v>
      </x:c>
      <x:c r="G5089" s="26" t="b">
        <x:v>1</x:v>
      </x:c>
      <x:c r="H5089" s="16" t="n">
        <x:v>0</x:v>
      </x:c>
      <x:c r="I5089" s="16" t="n">
        <x:v>0</x:v>
      </x:c>
      <x:c r="J5089" s="16" t="n">
        <x:v>0</x:v>
      </x:c>
      <x:c r="K5089" s="11" t="n">
        <x:f>CHOOSE('假设'!$B$3,H5089,I5089,J5089)</x:f>
        <x:v>0</x:v>
      </x:c>
      <x:c r="L5089" s="11" t="n">
        <x:f>K5089*'管线假设'!E1091*'管线假设'!F1091*'管线假设'!G1091*IF(E5089="USD",'管线假设'!I1091,1)-AM5089</x:f>
        <x:v>0</x:v>
      </x:c>
      <x:c r="M5089" s="11" t="n">
        <x:f>'管线假设'!H1091</x:f>
        <x:v>0.14</x:v>
      </x:c>
      <x:c r="N5089" s="11" t="n">
        <x:f>IF(G5089,L5089*AN5089/(1+M5089)^F5089,0)</x:f>
        <x:v>0</x:v>
      </x:c>
      <x:c r="AJ5089" t="n">
        <x:v>0</x:v>
      </x:c>
      <x:c r="AK5089" t="n">
        <x:v>0</x:v>
      </x:c>
      <x:c r="AL5089" t="n">
        <x:v>0</x:v>
      </x:c>
      <x:c r="AM5089" t="n">
        <x:f>CHOOSE('假设'!$B$3,AJ5089,AK5089,AL5089)</x:f>
        <x:v>0</x:v>
      </x:c>
      <x:c r="AN5089" t="n">
        <x:v>1</x:v>
      </x:c>
    </x:row>
    <x:row r="5090" ht="23" customHeight="1">
      <x:c r="A5090" s="11" t="str">
        <x:v>688062.SH</x:v>
      </x:c>
      <x:c r="B5090" s="11" t="str">
        <x:v>半年</x:v>
      </x:c>
      <x:c r="C5090" s="11" t="str">
        <x:v>gcsf</x:v>
      </x:c>
      <x:c r="D5090" s="11" t="str">
        <x:v>2027-12-31</x:v>
      </x:c>
      <x:c r="E5090" s="11" t="str">
        <x:v>CNY</x:v>
      </x:c>
      <x:c r="F5090" s="11" t="n">
        <x:v>0.7282683093771389</x:v>
      </x:c>
      <x:c r="G5090" s="26" t="b">
        <x:v>1</x:v>
      </x:c>
      <x:c r="H5090" s="16" t="n">
        <x:v>0.12</x:v>
      </x:c>
      <x:c r="I5090" s="16" t="n">
        <x:v>0.24</x:v>
      </x:c>
      <x:c r="J5090" s="16" t="n">
        <x:v>0.5</x:v>
      </x:c>
      <x:c r="K5090" s="11" t="n">
        <x:f>CHOOSE('假设'!$B$3,H5090,I5090,J5090)</x:f>
        <x:v>0.24</x:v>
      </x:c>
      <x:c r="L5090" s="11" t="n">
        <x:f>K5090*'管线假设'!E1095*'管线假设'!F1095*'管线假设'!G1095*IF(E5090="USD",'管线假设'!I1095,1)-AM5090</x:f>
        <x:v>0.019200000000000002</x:v>
      </x:c>
      <x:c r="M5090" s="11" t="n">
        <x:f>'管线假设'!H1095</x:f>
        <x:v>0.14</x:v>
      </x:c>
      <x:c r="N5090" s="11" t="n">
        <x:f>IF(G5090,L5090*AN5090/(1+M5090)^F5090,0)</x:f>
        <x:v>0.01745256358006164</x:v>
      </x:c>
      <x:c r="AJ5090" t="n">
        <x:v>0</x:v>
      </x:c>
      <x:c r="AK5090" t="n">
        <x:v>0</x:v>
      </x:c>
      <x:c r="AL5090" t="n">
        <x:v>0</x:v>
      </x:c>
      <x:c r="AM5090" t="n">
        <x:f>CHOOSE('假设'!$B$3,AJ5090,AK5090,AL5090)</x:f>
        <x:v>0</x:v>
      </x:c>
      <x:c r="AN5090" t="n">
        <x:v>1</x:v>
      </x:c>
    </x:row>
    <x:row r="5091" ht="23" customHeight="1">
      <x:c r="A5091" s="11" t="str">
        <x:v>688062.SH</x:v>
      </x:c>
      <x:c r="B5091" s="11" t="str">
        <x:v>半年</x:v>
      </x:c>
      <x:c r="C5091" s="11" t="str">
        <x:v>gcsf</x:v>
      </x:c>
      <x:c r="D5091" s="11" t="str">
        <x:v>2028-12-31</x:v>
      </x:c>
      <x:c r="E5091" s="11" t="str">
        <x:v>CNY</x:v>
      </x:c>
      <x:c r="F5091" s="11" t="n">
        <x:v>1.730321697467488</x:v>
      </x:c>
      <x:c r="G5091" s="26" t="b">
        <x:v>1</x:v>
      </x:c>
      <x:c r="H5091" s="16" t="n">
        <x:v>0.24</x:v>
      </x:c>
      <x:c r="I5091" s="16" t="n">
        <x:v>0.48</x:v>
      </x:c>
      <x:c r="J5091" s="16" t="n">
        <x:v>1</x:v>
      </x:c>
      <x:c r="K5091" s="11" t="n">
        <x:f>CHOOSE('假设'!$B$3,H5091,I5091,J5091)</x:f>
        <x:v>0.48</x:v>
      </x:c>
      <x:c r="L5091" s="11" t="n">
        <x:f>K5091*'管线假设'!E1095*'管线假设'!F1095*'管线假设'!G1095*IF(E5091="USD",'管线假设'!I1095,1)-AM5091</x:f>
        <x:v>0.038400000000000004</x:v>
      </x:c>
      <x:c r="M5091" s="11" t="n">
        <x:f>'管线假设'!H1095</x:f>
        <x:v>0.14</x:v>
      </x:c>
      <x:c r="N5091" s="11" t="n">
        <x:f>IF(G5091,L5091*AN5091/(1+M5091)^F5091,0)</x:f>
        <x:v>0.03061029573116141</x:v>
      </x:c>
      <x:c r="AJ5091" t="n">
        <x:v>0</x:v>
      </x:c>
      <x:c r="AK5091" t="n">
        <x:v>0</x:v>
      </x:c>
      <x:c r="AL5091" t="n">
        <x:v>0</x:v>
      </x:c>
      <x:c r="AM5091" t="n">
        <x:f>CHOOSE('假设'!$B$3,AJ5091,AK5091,AL5091)</x:f>
        <x:v>0</x:v>
      </x:c>
      <x:c r="AN5091" t="n">
        <x:v>1</x:v>
      </x:c>
    </x:row>
    <x:row r="5092" ht="23" customHeight="1">
      <x:c r="A5092" s="11" t="str">
        <x:v>688062.SH</x:v>
      </x:c>
      <x:c r="B5092" s="11" t="str">
        <x:v>半年</x:v>
      </x:c>
      <x:c r="C5092" s="11" t="str">
        <x:v>gcsf</x:v>
      </x:c>
      <x:c r="D5092" s="11" t="str">
        <x:v>2029-12-31</x:v>
      </x:c>
      <x:c r="E5092" s="11" t="str">
        <x:v>CNY</x:v>
      </x:c>
      <x:c r="F5092" s="11" t="n">
        <x:v>2.729637234770705</x:v>
      </x:c>
      <x:c r="G5092" s="26" t="b">
        <x:v>1</x:v>
      </x:c>
      <x:c r="H5092" s="16" t="n">
        <x:v>0.36</x:v>
      </x:c>
      <x:c r="I5092" s="16" t="n">
        <x:v>0.72</x:v>
      </x:c>
      <x:c r="J5092" s="16" t="n">
        <x:v>1.5</x:v>
      </x:c>
      <x:c r="K5092" s="11" t="n">
        <x:f>CHOOSE('假设'!$B$3,H5092,I5092,J5092)</x:f>
        <x:v>0.72</x:v>
      </x:c>
      <x:c r="L5092" s="11" t="n">
        <x:f>K5092*'管线假设'!E1095*'管线假设'!F1095*'管线假设'!G1095*IF(E5092="USD",'管线假设'!I1095,1)-AM5092</x:f>
        <x:v>0.05760000000000001</x:v>
      </x:c>
      <x:c r="M5092" s="11" t="n">
        <x:f>'管线假设'!H1095</x:f>
        <x:v>0.14</x:v>
      </x:c>
      <x:c r="N5092" s="11" t="n">
        <x:f>IF(G5092,L5092*AN5092/(1+M5092)^F5092,0)</x:f>
        <x:v>0.04028031724570988</x:v>
      </x:c>
      <x:c r="AJ5092" t="n">
        <x:v>0</x:v>
      </x:c>
      <x:c r="AK5092" t="n">
        <x:v>0</x:v>
      </x:c>
      <x:c r="AL5092" t="n">
        <x:v>0</x:v>
      </x:c>
      <x:c r="AM5092" t="n">
        <x:f>CHOOSE('假设'!$B$3,AJ5092,AK5092,AL5092)</x:f>
        <x:v>0</x:v>
      </x:c>
      <x:c r="AN5092" t="n">
        <x:v>1</x:v>
      </x:c>
    </x:row>
    <x:row r="5093" ht="23" customHeight="1">
      <x:c r="A5093" s="11" t="str">
        <x:v>688062.SH</x:v>
      </x:c>
      <x:c r="B5093" s="11" t="str">
        <x:v>半年</x:v>
      </x:c>
      <x:c r="C5093" s="11" t="str">
        <x:v>gcsf</x:v>
      </x:c>
      <x:c r="D5093" s="11" t="str">
        <x:v>2030-12-31</x:v>
      </x:c>
      <x:c r="E5093" s="11" t="str">
        <x:v>CNY</x:v>
      </x:c>
      <x:c r="F5093" s="11" t="n">
        <x:v>3.728952772073922</x:v>
      </x:c>
      <x:c r="G5093" s="26" t="b">
        <x:v>1</x:v>
      </x:c>
      <x:c r="H5093" s="16" t="n">
        <x:v>0.48</x:v>
      </x:c>
      <x:c r="I5093" s="16" t="n">
        <x:v>0.96</x:v>
      </x:c>
      <x:c r="J5093" s="16" t="n">
        <x:v>2</x:v>
      </x:c>
      <x:c r="K5093" s="11" t="n">
        <x:f>CHOOSE('假设'!$B$3,H5093,I5093,J5093)</x:f>
        <x:v>0.96</x:v>
      </x:c>
      <x:c r="L5093" s="11" t="n">
        <x:f>K5093*'管线假设'!E1095*'管线假设'!F1095*'管线假设'!G1095*IF(E5093="USD",'管线假设'!I1095,1)-AM5093</x:f>
        <x:v>0.07680000000000001</x:v>
      </x:c>
      <x:c r="M5093" s="11" t="n">
        <x:f>'管线假设'!H1095</x:f>
        <x:v>0.14</x:v>
      </x:c>
      <x:c r="N5093" s="11" t="n">
        <x:f>IF(G5093,L5093*AN5093/(1+M5093)^F5093,0)</x:f>
        <x:v>0.04711570749237426</x:v>
      </x:c>
      <x:c r="AJ5093" t="n">
        <x:v>0</x:v>
      </x:c>
      <x:c r="AK5093" t="n">
        <x:v>0</x:v>
      </x:c>
      <x:c r="AL5093" t="n">
        <x:v>0</x:v>
      </x:c>
      <x:c r="AM5093" t="n">
        <x:f>CHOOSE('假设'!$B$3,AJ5093,AK5093,AL5093)</x:f>
        <x:v>0</x:v>
      </x:c>
      <x:c r="AN5093" t="n">
        <x:v>1</x:v>
      </x:c>
    </x:row>
    <x:row r="5094" ht="23" customHeight="1">
      <x:c r="A5094" s="11" t="str">
        <x:v>688062.SH</x:v>
      </x:c>
      <x:c r="B5094" s="11" t="str">
        <x:v>半年</x:v>
      </x:c>
      <x:c r="C5094" s="11" t="str">
        <x:v>gcsf</x:v>
      </x:c>
      <x:c r="D5094" s="11" t="str">
        <x:v>2031-12-31</x:v>
      </x:c>
      <x:c r="E5094" s="11" t="str">
        <x:v>CNY</x:v>
      </x:c>
      <x:c r="F5094" s="11" t="n">
        <x:v>4.728268309377139</x:v>
      </x:c>
      <x:c r="G5094" s="26" t="b">
        <x:v>1</x:v>
      </x:c>
      <x:c r="H5094" s="16" t="n">
        <x:v>0.6</x:v>
      </x:c>
      <x:c r="I5094" s="16" t="n">
        <x:v>1.2</x:v>
      </x:c>
      <x:c r="J5094" s="16" t="n">
        <x:v>1.74</x:v>
      </x:c>
      <x:c r="K5094" s="11" t="n">
        <x:f>CHOOSE('假设'!$B$3,H5094,I5094,J5094)</x:f>
        <x:v>1.2</x:v>
      </x:c>
      <x:c r="L5094" s="11" t="n">
        <x:f>K5094*'管线假设'!E1095*'管线假设'!F1095*'管线假设'!G1095*IF(E5094="USD",'管线假设'!I1095,1)-AM5094</x:f>
        <x:v>0.09600000000000002</x:v>
      </x:c>
      <x:c r="M5094" s="11" t="n">
        <x:f>'管线假设'!H1095</x:f>
        <x:v>0.14</x:v>
      </x:c>
      <x:c r="N5094" s="11" t="n">
        <x:f>IF(G5094,L5094*AN5094/(1+M5094)^F5094,0)</x:f>
        <x:v>0.05166659342651882</x:v>
      </x:c>
      <x:c r="AJ5094" t="n">
        <x:v>0</x:v>
      </x:c>
      <x:c r="AK5094" t="n">
        <x:v>0</x:v>
      </x:c>
      <x:c r="AL5094" t="n">
        <x:v>0</x:v>
      </x:c>
      <x:c r="AM5094" t="n">
        <x:f>CHOOSE('假设'!$B$3,AJ5094,AK5094,AL5094)</x:f>
        <x:v>0</x:v>
      </x:c>
      <x:c r="AN5094" t="n">
        <x:v>1</x:v>
      </x:c>
    </x:row>
    <x:row r="5095" ht="23" customHeight="1">
      <x:c r="A5095" s="11" t="str">
        <x:v>688062.SH</x:v>
      </x:c>
      <x:c r="B5095" s="11" t="str">
        <x:v>半年</x:v>
      </x:c>
      <x:c r="C5095" s="11" t="str">
        <x:v>gcsf</x:v>
      </x:c>
      <x:c r="D5095" s="11" t="str">
        <x:v>2032-12-31</x:v>
      </x:c>
      <x:c r="E5095" s="11" t="str">
        <x:v>CNY</x:v>
      </x:c>
      <x:c r="F5095" s="11" t="n">
        <x:v>5.730321697467488</x:v>
      </x:c>
      <x:c r="G5095" s="26" t="b">
        <x:v>1</x:v>
      </x:c>
      <x:c r="H5095" s="16" t="n">
        <x:v>0.522</x:v>
      </x:c>
      <x:c r="I5095" s="16" t="n">
        <x:v>1.044</x:v>
      </x:c>
      <x:c r="J5095" s="16" t="n">
        <x:v>1.48</x:v>
      </x:c>
      <x:c r="K5095" s="11" t="n">
        <x:f>CHOOSE('假设'!$B$3,H5095,I5095,J5095)</x:f>
        <x:v>1.044</x:v>
      </x:c>
      <x:c r="L5095" s="11" t="n">
        <x:f>K5095*'管线假设'!E1095*'管线假设'!F1095*'管线假设'!G1095*IF(E5095="USD",'管线假设'!I1095,1)-AM5095</x:f>
        <x:v>0.08352000000000002</x:v>
      </x:c>
      <x:c r="M5095" s="11" t="n">
        <x:f>'管线假设'!H1095</x:f>
        <x:v>0.14</x:v>
      </x:c>
      <x:c r="N5095" s="11" t="n">
        <x:f>IF(G5095,L5095*AN5095/(1+M5095)^F5095,0)</x:f>
        <x:v>0.03941916144148483</x:v>
      </x:c>
      <x:c r="AJ5095" t="n">
        <x:v>0</x:v>
      </x:c>
      <x:c r="AK5095" t="n">
        <x:v>0</x:v>
      </x:c>
      <x:c r="AL5095" t="n">
        <x:v>0</x:v>
      </x:c>
      <x:c r="AM5095" t="n">
        <x:f>CHOOSE('假设'!$B$3,AJ5095,AK5095,AL5095)</x:f>
        <x:v>0</x:v>
      </x:c>
      <x:c r="AN5095" t="n">
        <x:v>1</x:v>
      </x:c>
    </x:row>
    <x:row r="5096" ht="23" customHeight="1">
      <x:c r="A5096" s="11" t="str">
        <x:v>688062.SH</x:v>
      </x:c>
      <x:c r="B5096" s="11" t="str">
        <x:v>半年</x:v>
      </x:c>
      <x:c r="C5096" s="11" t="str">
        <x:v>gcsf</x:v>
      </x:c>
      <x:c r="D5096" s="11" t="str">
        <x:v>2033-12-31</x:v>
      </x:c>
      <x:c r="E5096" s="11" t="str">
        <x:v>CNY</x:v>
      </x:c>
      <x:c r="F5096" s="11" t="n">
        <x:v>6.729637234770705</x:v>
      </x:c>
      <x:c r="G5096" s="26" t="b">
        <x:v>1</x:v>
      </x:c>
      <x:c r="H5096" s="16" t="n">
        <x:v>0.444</x:v>
      </x:c>
      <x:c r="I5096" s="16" t="n">
        <x:v>0.888</x:v>
      </x:c>
      <x:c r="J5096" s="16" t="n">
        <x:v>1.22</x:v>
      </x:c>
      <x:c r="K5096" s="11" t="n">
        <x:f>CHOOSE('假设'!$B$3,H5096,I5096,J5096)</x:f>
        <x:v>0.888</x:v>
      </x:c>
      <x:c r="L5096" s="11" t="n">
        <x:f>K5096*'管线假设'!E1095*'管线假设'!F1095*'管线假设'!G1095*IF(E5096="USD",'管线假设'!I1095,1)-AM5096</x:f>
        <x:v>0.07104000000000002</x:v>
      </x:c>
      <x:c r="M5096" s="11" t="n">
        <x:f>'管线假设'!H1095</x:f>
        <x:v>0.14</x:v>
      </x:c>
      <x:c r="N5096" s="11" t="n">
        <x:f>IF(G5096,L5096*AN5096/(1+M5096)^F5096,0)</x:f>
        <x:v>0.02941399040245893</x:v>
      </x:c>
      <x:c r="AJ5096" t="n">
        <x:v>0</x:v>
      </x:c>
      <x:c r="AK5096" t="n">
        <x:v>0</x:v>
      </x:c>
      <x:c r="AL5096" t="n">
        <x:v>0</x:v>
      </x:c>
      <x:c r="AM5096" t="n">
        <x:f>CHOOSE('假设'!$B$3,AJ5096,AK5096,AL5096)</x:f>
        <x:v>0</x:v>
      </x:c>
      <x:c r="AN5096" t="n">
        <x:v>1</x:v>
      </x:c>
    </x:row>
    <x:row r="5097" ht="23" customHeight="1">
      <x:c r="A5097" s="11" t="str">
        <x:v>688062.SH</x:v>
      </x:c>
      <x:c r="B5097" s="11" t="str">
        <x:v>半年</x:v>
      </x:c>
      <x:c r="C5097" s="11" t="str">
        <x:v>gcsf</x:v>
      </x:c>
      <x:c r="D5097" s="11" t="str">
        <x:v>2034-12-31</x:v>
      </x:c>
      <x:c r="E5097" s="11" t="str">
        <x:v>CNY</x:v>
      </x:c>
      <x:c r="F5097" s="11" t="n">
        <x:v>7.728952772073922</x:v>
      </x:c>
      <x:c r="G5097" s="26" t="b">
        <x:v>1</x:v>
      </x:c>
      <x:c r="H5097" s="16" t="n">
        <x:v>0.366</x:v>
      </x:c>
      <x:c r="I5097" s="16" t="n">
        <x:v>0.732</x:v>
      </x:c>
      <x:c r="J5097" s="16" t="n">
        <x:v>0.96</x:v>
      </x:c>
      <x:c r="K5097" s="11" t="n">
        <x:f>CHOOSE('假设'!$B$3,H5097,I5097,J5097)</x:f>
        <x:v>0.732</x:v>
      </x:c>
      <x:c r="L5097" s="11" t="n">
        <x:f>K5097*'管线假设'!E1095*'管线假设'!F1095*'管线假设'!G1095*IF(E5097="USD",'管线假设'!I1095,1)-AM5097</x:f>
        <x:v>0.05856000000000001</x:v>
      </x:c>
      <x:c r="M5097" s="11" t="n">
        <x:f>'管线假设'!H1095</x:f>
        <x:v>0.14</x:v>
      </x:c>
      <x:c r="N5097" s="11" t="n">
        <x:f>IF(G5097,L5097*AN5097/(1+M5097)^F5097,0)</x:f>
        <x:v>0.02127091438494047</x:v>
      </x:c>
      <x:c r="AJ5097" t="n">
        <x:v>0</x:v>
      </x:c>
      <x:c r="AK5097" t="n">
        <x:v>0</x:v>
      </x:c>
      <x:c r="AL5097" t="n">
        <x:v>0</x:v>
      </x:c>
      <x:c r="AM5097" t="n">
        <x:f>CHOOSE('假设'!$B$3,AJ5097,AK5097,AL5097)</x:f>
        <x:v>0</x:v>
      </x:c>
      <x:c r="AN5097" t="n">
        <x:v>1</x:v>
      </x:c>
    </x:row>
    <x:row r="5098" ht="23" customHeight="1">
      <x:c r="A5098" s="11" t="str">
        <x:v>688062.SH</x:v>
      </x:c>
      <x:c r="B5098" s="11" t="str">
        <x:v>半年</x:v>
      </x:c>
      <x:c r="C5098" s="11" t="str">
        <x:v>gcsf</x:v>
      </x:c>
      <x:c r="D5098" s="11" t="str">
        <x:v>2035-12-31</x:v>
      </x:c>
      <x:c r="E5098" s="11" t="str">
        <x:v>CNY</x:v>
      </x:c>
      <x:c r="F5098" s="11" t="n">
        <x:v>8.728268309377139</x:v>
      </x:c>
      <x:c r="G5098" s="26" t="b">
        <x:v>1</x:v>
      </x:c>
      <x:c r="H5098" s="16" t="n">
        <x:v>0.288</x:v>
      </x:c>
      <x:c r="I5098" s="16" t="n">
        <x:v>0.576</x:v>
      </x:c>
      <x:c r="J5098" s="16" t="n">
        <x:v>0.7</x:v>
      </x:c>
      <x:c r="K5098" s="11" t="n">
        <x:f>CHOOSE('假设'!$B$3,H5098,I5098,J5098)</x:f>
        <x:v>0.576</x:v>
      </x:c>
      <x:c r="L5098" s="11" t="n">
        <x:f>K5098*'管线假设'!E1095*'管线假设'!F1095*'管线假设'!G1095*IF(E5098="USD",'管线假设'!I1095,1)-AM5098</x:f>
        <x:v>0.04608</x:v>
      </x:c>
      <x:c r="M5098" s="11" t="n">
        <x:f>'管线假设'!H1095</x:f>
        <x:v>0.14</x:v>
      </x:c>
      <x:c r="N5098" s="11" t="n">
        <x:f>IF(G5098,L5098*AN5098/(1+M5098)^F5098,0)</x:f>
        <x:v>0.014683570064038112</x:v>
      </x:c>
      <x:c r="AJ5098" t="n">
        <x:v>0</x:v>
      </x:c>
      <x:c r="AK5098" t="n">
        <x:v>0</x:v>
      </x:c>
      <x:c r="AL5098" t="n">
        <x:v>0</x:v>
      </x:c>
      <x:c r="AM5098" t="n">
        <x:f>CHOOSE('假设'!$B$3,AJ5098,AK5098,AL5098)</x:f>
        <x:v>0</x:v>
      </x:c>
      <x:c r="AN5098" t="n">
        <x:v>1</x:v>
      </x:c>
    </x:row>
    <x:row r="5099" ht="23" customHeight="1">
      <x:c r="A5099" s="11" t="str">
        <x:v>688062.SH</x:v>
      </x:c>
      <x:c r="B5099" s="11" t="str">
        <x:v>半年</x:v>
      </x:c>
      <x:c r="C5099" s="11" t="str">
        <x:v>gcsf</x:v>
      </x:c>
      <x:c r="D5099" s="11" t="str">
        <x:v>2036-12-31</x:v>
      </x:c>
      <x:c r="E5099" s="11" t="str">
        <x:v>CNY</x:v>
      </x:c>
      <x:c r="F5099" s="11" t="n">
        <x:v>9.730321697467488</x:v>
      </x:c>
      <x:c r="G5099" s="26" t="b">
        <x:v>1</x:v>
      </x:c>
      <x:c r="H5099" s="16" t="n">
        <x:v>0.21</x:v>
      </x:c>
      <x:c r="I5099" s="16" t="n">
        <x:v>0.42</x:v>
      </x:c>
      <x:c r="J5099" s="16" t="n">
        <x:v>0.43999999999999995</x:v>
      </x:c>
      <x:c r="K5099" s="11" t="n">
        <x:f>CHOOSE('假设'!$B$3,H5099,I5099,J5099)</x:f>
        <x:v>0.42</x:v>
      </x:c>
      <x:c r="L5099" s="11" t="n">
        <x:f>K5099*'管线假设'!E1095*'管线假设'!F1095*'管线假设'!G1095*IF(E5099="USD",'管线假设'!I1095,1)-AM5099</x:f>
        <x:v>0.033600000000000005</x:v>
      </x:c>
      <x:c r="M5099" s="11" t="n">
        <x:f>'管线假设'!H1095</x:f>
        <x:v>0.14</x:v>
      </x:c>
      <x:c r="N5099" s="11" t="n">
        <x:f>IF(G5099,L5099*AN5099/(1+M5099)^F5099,0)</x:f>
        <x:v>0.009389376797690935</x:v>
      </x:c>
      <x:c r="AJ5099" t="n">
        <x:v>0</x:v>
      </x:c>
      <x:c r="AK5099" t="n">
        <x:v>0</x:v>
      </x:c>
      <x:c r="AL5099" t="n">
        <x:v>0</x:v>
      </x:c>
      <x:c r="AM5099" t="n">
        <x:f>CHOOSE('假设'!$B$3,AJ5099,AK5099,AL5099)</x:f>
        <x:v>0</x:v>
      </x:c>
      <x:c r="AN5099" t="n">
        <x:v>1</x:v>
      </x:c>
    </x:row>
    <x:row r="5100" ht="23" customHeight="1">
      <x:c r="A5100" s="11" t="str">
        <x:v>688062.SH</x:v>
      </x:c>
      <x:c r="B5100" s="11" t="str">
        <x:v>半年</x:v>
      </x:c>
      <x:c r="C5100" s="11" t="str">
        <x:v>gcsf</x:v>
      </x:c>
      <x:c r="D5100" s="11" t="str">
        <x:v>2037-12-31</x:v>
      </x:c>
      <x:c r="E5100" s="11" t="str">
        <x:v>CNY</x:v>
      </x:c>
      <x:c r="F5100" s="11" t="n">
        <x:v>10.729637234770705</x:v>
      </x:c>
      <x:c r="G5100" s="26" t="b">
        <x:v>1</x:v>
      </x:c>
      <x:c r="H5100" s="16" t="n">
        <x:v>0.13199999999999998</x:v>
      </x:c>
      <x:c r="I5100" s="16" t="n">
        <x:v>0.26399999999999996</x:v>
      </x:c>
      <x:c r="J5100" s="16" t="n">
        <x:v>0.17999999999999994</x:v>
      </x:c>
      <x:c r="K5100" s="11" t="n">
        <x:f>CHOOSE('假设'!$B$3,H5100,I5100,J5100)</x:f>
        <x:v>0.26399999999999996</x:v>
      </x:c>
      <x:c r="L5100" s="11" t="n">
        <x:f>K5100*'管线假设'!E1095*'管线假设'!F1095*'管线假设'!G1095*IF(E5100="USD",'管线假设'!I1095,1)-AM5100</x:f>
        <x:v>0.02112</x:v>
      </x:c>
      <x:c r="M5100" s="11" t="n">
        <x:f>'管线假设'!H1095</x:f>
        <x:v>0.14</x:v>
      </x:c>
      <x:c r="N5100" s="11" t="n">
        <x:f>IF(G5100,L5100*AN5100/(1+M5100)^F5100,0)</x:f>
        <x:v>0.005177564312339775</x:v>
      </x:c>
      <x:c r="AJ5100" t="n">
        <x:v>0</x:v>
      </x:c>
      <x:c r="AK5100" t="n">
        <x:v>0</x:v>
      </x:c>
      <x:c r="AL5100" t="n">
        <x:v>0</x:v>
      </x:c>
      <x:c r="AM5100" t="n">
        <x:f>CHOOSE('假设'!$B$3,AJ5100,AK5100,AL5100)</x:f>
        <x:v>0</x:v>
      </x:c>
      <x:c r="AN5100" t="n">
        <x:v>1</x:v>
      </x:c>
    </x:row>
    <x:row r="5101" ht="23" customHeight="1">
      <x:c r="A5101" s="11" t="str">
        <x:v>688062.SH</x:v>
      </x:c>
      <x:c r="B5101" s="11" t="str">
        <x:v>半年</x:v>
      </x:c>
      <x:c r="C5101" s="11" t="str">
        <x:v>gcsf</x:v>
      </x:c>
      <x:c r="D5101" s="11" t="str">
        <x:v>2038-12-31</x:v>
      </x:c>
      <x:c r="E5101" s="11" t="str">
        <x:v>CNY</x:v>
      </x:c>
      <x:c r="F5101" s="11" t="n">
        <x:v>11.728952772073923</x:v>
      </x:c>
      <x:c r="G5101" s="26" t="b">
        <x:v>1</x:v>
      </x:c>
      <x:c r="H5101" s="16" t="n">
        <x:v>0.05399999999999998</x:v>
      </x:c>
      <x:c r="I5101" s="16" t="n">
        <x:v>0.10799999999999996</x:v>
      </x:c>
      <x:c r="J5101" s="16" t="n">
        <x:v>0</x:v>
      </x:c>
      <x:c r="K5101" s="11" t="n">
        <x:f>CHOOSE('假设'!$B$3,H5101,I5101,J5101)</x:f>
        <x:v>0.10799999999999996</x:v>
      </x:c>
      <x:c r="L5101" s="11" t="n">
        <x:f>K5101*'管线假设'!E1095*'管线假设'!F1095*'管线假设'!G1095*IF(E5101="USD",'管线假设'!I1095,1)-AM5101</x:f>
        <x:v>0.008639999999999998</x:v>
      </x:c>
      <x:c r="M5101" s="11" t="n">
        <x:f>'管线假设'!H1095</x:f>
        <x:v>0.14</x:v>
      </x:c>
      <x:c r="N5101" s="11" t="n">
        <x:f>IF(G5101,L5101*AN5101/(1+M5101)^F5101,0)</x:f>
        <x:v>0.001858144262304556</x:v>
      </x:c>
      <x:c r="AJ5101" t="n">
        <x:v>0</x:v>
      </x:c>
      <x:c r="AK5101" t="n">
        <x:v>0</x:v>
      </x:c>
      <x:c r="AL5101" t="n">
        <x:v>0</x:v>
      </x:c>
      <x:c r="AM5101" t="n">
        <x:f>CHOOSE('假设'!$B$3,AJ5101,AK5101,AL5101)</x:f>
        <x:v>0</x:v>
      </x:c>
      <x:c r="AN5101" t="n">
        <x:v>1</x:v>
      </x:c>
    </x:row>
    <x:row r="5102" ht="23" customHeight="1">
      <x:c r="A5102" s="11" t="str">
        <x:v>688062.SH</x:v>
      </x:c>
      <x:c r="B5102" s="11" t="str">
        <x:v>半年</x:v>
      </x:c>
      <x:c r="C5102" s="11" t="str">
        <x:v>gcsf</x:v>
      </x:c>
      <x:c r="D5102" s="11" t="str">
        <x:v>2039-12-31</x:v>
      </x:c>
      <x:c r="E5102" s="11" t="str">
        <x:v>CNY</x:v>
      </x:c>
      <x:c r="F5102" s="11" t="n">
        <x:v>12.728268309377139</x:v>
      </x:c>
      <x:c r="G5102" s="26" t="b">
        <x:v>1</x:v>
      </x:c>
      <x:c r="H5102" s="16" t="n">
        <x:v>0</x:v>
      </x:c>
      <x:c r="I5102" s="16" t="n">
        <x:v>0</x:v>
      </x:c>
      <x:c r="J5102" s="16" t="n">
        <x:v>0</x:v>
      </x:c>
      <x:c r="K5102" s="11" t="n">
        <x:f>CHOOSE('假设'!$B$3,H5102,I5102,J5102)</x:f>
        <x:v>0</x:v>
      </x:c>
      <x:c r="L5102" s="11" t="n">
        <x:f>K5102*'管线假设'!E1095*'管线假设'!F1095*'管线假设'!G1095*IF(E5102="USD",'管线假设'!I1095,1)-AM5102</x:f>
        <x:v>0</x:v>
      </x:c>
      <x:c r="M5102" s="11" t="n">
        <x:f>'管线假设'!H1095</x:f>
        <x:v>0.14</x:v>
      </x:c>
      <x:c r="N5102" s="11" t="n">
        <x:f>IF(G5102,L5102*AN5102/(1+M5102)^F5102,0)</x:f>
        <x:v>0</x:v>
      </x:c>
      <x:c r="AJ5102" t="n">
        <x:v>0</x:v>
      </x:c>
      <x:c r="AK5102" t="n">
        <x:v>0</x:v>
      </x:c>
      <x:c r="AL5102" t="n">
        <x:v>0</x:v>
      </x:c>
      <x:c r="AM5102" t="n">
        <x:f>CHOOSE('假设'!$B$3,AJ5102,AK5102,AL5102)</x:f>
        <x:v>0</x:v>
      </x:c>
      <x:c r="AN5102" t="n">
        <x:v>1</x:v>
      </x:c>
    </x:row>
    <x:row r="5103" ht="23" customHeight="1">
      <x:c r="A5103" s="11" t="str">
        <x:v>688062.SH</x:v>
      </x:c>
      <x:c r="B5103" s="11" t="str">
        <x:v>半年</x:v>
      </x:c>
      <x:c r="C5103" s="11" t="str">
        <x:v>gcsf</x:v>
      </x:c>
      <x:c r="D5103" s="11" t="str">
        <x:v>2040-12-31</x:v>
      </x:c>
      <x:c r="E5103" s="11" t="str">
        <x:v>CNY</x:v>
      </x:c>
      <x:c r="F5103" s="11" t="n">
        <x:v>13.730321697467488</x:v>
      </x:c>
      <x:c r="G5103" s="26" t="b">
        <x:v>1</x:v>
      </x:c>
      <x:c r="H5103" s="16" t="n">
        <x:v>0</x:v>
      </x:c>
      <x:c r="I5103" s="16" t="n">
        <x:v>0</x:v>
      </x:c>
      <x:c r="J5103" s="16" t="n">
        <x:v>0</x:v>
      </x:c>
      <x:c r="K5103" s="11" t="n">
        <x:f>CHOOSE('假设'!$B$3,H5103,I5103,J5103)</x:f>
        <x:v>0</x:v>
      </x:c>
      <x:c r="L5103" s="11" t="n">
        <x:f>K5103*'管线假设'!E1095*'管线假设'!F1095*'管线假设'!G1095*IF(E5103="USD",'管线假设'!I1095,1)-AM5103</x:f>
        <x:v>0</x:v>
      </x:c>
      <x:c r="M5103" s="11" t="n">
        <x:f>'管线假设'!H1095</x:f>
        <x:v>0.14</x:v>
      </x:c>
      <x:c r="N5103" s="11" t="n">
        <x:f>IF(G5103,L5103*AN5103/(1+M5103)^F5103,0)</x:f>
        <x:v>0</x:v>
      </x:c>
      <x:c r="AJ5103" t="n">
        <x:v>0</x:v>
      </x:c>
      <x:c r="AK5103" t="n">
        <x:v>0</x:v>
      </x:c>
      <x:c r="AL5103" t="n">
        <x:v>0</x:v>
      </x:c>
      <x:c r="AM5103" t="n">
        <x:f>CHOOSE('假设'!$B$3,AJ5103,AK5103,AL5103)</x:f>
        <x:v>0</x:v>
      </x:c>
      <x:c r="AN5103" t="n">
        <x:v>1</x:v>
      </x:c>
    </x:row>
    <x:row r="5104" ht="23" customHeight="1">
      <x:c r="A5104" s="11" t="str">
        <x:v>688062.SH</x:v>
      </x:c>
      <x:c r="B5104" s="11" t="str">
        <x:v>半年</x:v>
      </x:c>
      <x:c r="C5104" s="11" t="str">
        <x:v>gcsf</x:v>
      </x:c>
      <x:c r="D5104" s="11" t="str">
        <x:v>2041-12-31</x:v>
      </x:c>
      <x:c r="E5104" s="11" t="str">
        <x:v>CNY</x:v>
      </x:c>
      <x:c r="F5104" s="11" t="n">
        <x:v>14.729637234770705</x:v>
      </x:c>
      <x:c r="G5104" s="26" t="b">
        <x:v>1</x:v>
      </x:c>
      <x:c r="H5104" s="16" t="n">
        <x:v>0</x:v>
      </x:c>
      <x:c r="I5104" s="16" t="n">
        <x:v>0</x:v>
      </x:c>
      <x:c r="J5104" s="16" t="n">
        <x:v>0</x:v>
      </x:c>
      <x:c r="K5104" s="11" t="n">
        <x:f>CHOOSE('假设'!$B$3,H5104,I5104,J5104)</x:f>
        <x:v>0</x:v>
      </x:c>
      <x:c r="L5104" s="11" t="n">
        <x:f>K5104*'管线假设'!E1095*'管线假设'!F1095*'管线假设'!G1095*IF(E5104="USD",'管线假设'!I1095,1)-AM5104</x:f>
        <x:v>0</x:v>
      </x:c>
      <x:c r="M5104" s="11" t="n">
        <x:f>'管线假设'!H1095</x:f>
        <x:v>0.14</x:v>
      </x:c>
      <x:c r="N5104" s="11" t="n">
        <x:f>IF(G5104,L5104*AN5104/(1+M5104)^F5104,0)</x:f>
        <x:v>0</x:v>
      </x:c>
      <x:c r="AJ5104" t="n">
        <x:v>0</x:v>
      </x:c>
      <x:c r="AK5104" t="n">
        <x:v>0</x:v>
      </x:c>
      <x:c r="AL5104" t="n">
        <x:v>0</x:v>
      </x:c>
      <x:c r="AM5104" t="n">
        <x:f>CHOOSE('假设'!$B$3,AJ5104,AK5104,AL5104)</x:f>
        <x:v>0</x:v>
      </x:c>
      <x:c r="AN5104" t="n">
        <x:v>1</x:v>
      </x:c>
    </x:row>
    <x:row r="5105" ht="23" customHeight="1">
      <x:c r="A5105" s="11" t="str">
        <x:v>688062.SH</x:v>
      </x:c>
      <x:c r="B5105" s="11" t="str">
        <x:v>半年</x:v>
      </x:c>
      <x:c r="C5105" s="11" t="str">
        <x:v>gcsf</x:v>
      </x:c>
      <x:c r="D5105" s="11" t="str">
        <x:v>2042-12-31</x:v>
      </x:c>
      <x:c r="E5105" s="11" t="str">
        <x:v>CNY</x:v>
      </x:c>
      <x:c r="F5105" s="11" t="n">
        <x:v>15.728952772073923</x:v>
      </x:c>
      <x:c r="G5105" s="26" t="b">
        <x:v>1</x:v>
      </x:c>
      <x:c r="H5105" s="16" t="n">
        <x:v>0</x:v>
      </x:c>
      <x:c r="I5105" s="16" t="n">
        <x:v>0</x:v>
      </x:c>
      <x:c r="J5105" s="16" t="n">
        <x:v>0</x:v>
      </x:c>
      <x:c r="K5105" s="11" t="n">
        <x:f>CHOOSE('假设'!$B$3,H5105,I5105,J5105)</x:f>
        <x:v>0</x:v>
      </x:c>
      <x:c r="L5105" s="11" t="n">
        <x:f>K5105*'管线假设'!E1095*'管线假设'!F1095*'管线假设'!G1095*IF(E5105="USD",'管线假设'!I1095,1)-AM5105</x:f>
        <x:v>0</x:v>
      </x:c>
      <x:c r="M5105" s="11" t="n">
        <x:f>'管线假设'!H1095</x:f>
        <x:v>0.14</x:v>
      </x:c>
      <x:c r="N5105" s="11" t="n">
        <x:f>IF(G5105,L5105*AN5105/(1+M5105)^F5105,0)</x:f>
        <x:v>0</x:v>
      </x:c>
      <x:c r="AJ5105" t="n">
        <x:v>0</x:v>
      </x:c>
      <x:c r="AK5105" t="n">
        <x:v>0</x:v>
      </x:c>
      <x:c r="AL5105" t="n">
        <x:v>0</x:v>
      </x:c>
      <x:c r="AM5105" t="n">
        <x:f>CHOOSE('假设'!$B$3,AJ5105,AK5105,AL5105)</x:f>
        <x:v>0</x:v>
      </x:c>
      <x:c r="AN5105" t="n">
        <x:v>1</x:v>
      </x:c>
    </x:row>
    <x:row r="5106" ht="23" customHeight="1">
      <x:c r="A5106" s="11" t="str">
        <x:v>688062.SH</x:v>
      </x:c>
      <x:c r="B5106" s="11" t="str">
        <x:v>半年</x:v>
      </x:c>
      <x:c r="C5106" s="11" t="str">
        <x:v>gcsf</x:v>
      </x:c>
      <x:c r="D5106" s="11" t="str">
        <x:v>2043-12-31</x:v>
      </x:c>
      <x:c r="E5106" s="11" t="str">
        <x:v>CNY</x:v>
      </x:c>
      <x:c r="F5106" s="11" t="n">
        <x:v>16.72826830937714</x:v>
      </x:c>
      <x:c r="G5106" s="26" t="b">
        <x:v>1</x:v>
      </x:c>
      <x:c r="H5106" s="16" t="n">
        <x:v>0</x:v>
      </x:c>
      <x:c r="I5106" s="16" t="n">
        <x:v>0</x:v>
      </x:c>
      <x:c r="J5106" s="16" t="n">
        <x:v>0</x:v>
      </x:c>
      <x:c r="K5106" s="11" t="n">
        <x:f>CHOOSE('假设'!$B$3,H5106,I5106,J5106)</x:f>
        <x:v>0</x:v>
      </x:c>
      <x:c r="L5106" s="11" t="n">
        <x:f>K5106*'管线假设'!E1095*'管线假设'!F1095*'管线假设'!G1095*IF(E5106="USD",'管线假设'!I1095,1)-AM5106</x:f>
        <x:v>0</x:v>
      </x:c>
      <x:c r="M5106" s="11" t="n">
        <x:f>'管线假设'!H1095</x:f>
        <x:v>0.14</x:v>
      </x:c>
      <x:c r="N5106" s="11" t="n">
        <x:f>IF(G5106,L5106*AN5106/(1+M5106)^F5106,0)</x:f>
        <x:v>0</x:v>
      </x:c>
      <x:c r="AJ5106" t="n">
        <x:v>0</x:v>
      </x:c>
      <x:c r="AK5106" t="n">
        <x:v>0</x:v>
      </x:c>
      <x:c r="AL5106" t="n">
        <x:v>0</x:v>
      </x:c>
      <x:c r="AM5106" t="n">
        <x:f>CHOOSE('假设'!$B$3,AJ5106,AK5106,AL5106)</x:f>
        <x:v>0</x:v>
      </x:c>
      <x:c r="AN5106" t="n">
        <x:v>1</x:v>
      </x:c>
    </x:row>
    <x:row r="5107" ht="23" customHeight="1">
      <x:c r="A5107" s="11" t="str">
        <x:v>688062.SH</x:v>
      </x:c>
      <x:c r="B5107" s="11" t="str">
        <x:v>半年</x:v>
      </x:c>
      <x:c r="C5107" s="11" t="str">
        <x:v>gcsf</x:v>
      </x:c>
      <x:c r="D5107" s="11" t="str">
        <x:v>2044-12-31</x:v>
      </x:c>
      <x:c r="E5107" s="11" t="str">
        <x:v>CNY</x:v>
      </x:c>
      <x:c r="F5107" s="11" t="n">
        <x:v>17.730321697467488</x:v>
      </x:c>
      <x:c r="G5107" s="26" t="b">
        <x:v>1</x:v>
      </x:c>
      <x:c r="H5107" s="16" t="n">
        <x:v>0</x:v>
      </x:c>
      <x:c r="I5107" s="16" t="n">
        <x:v>0</x:v>
      </x:c>
      <x:c r="J5107" s="16" t="n">
        <x:v>0</x:v>
      </x:c>
      <x:c r="K5107" s="11" t="n">
        <x:f>CHOOSE('假设'!$B$3,H5107,I5107,J5107)</x:f>
        <x:v>0</x:v>
      </x:c>
      <x:c r="L5107" s="11" t="n">
        <x:f>K5107*'管线假设'!E1095*'管线假设'!F1095*'管线假设'!G1095*IF(E5107="USD",'管线假设'!I1095,1)-AM5107</x:f>
        <x:v>0</x:v>
      </x:c>
      <x:c r="M5107" s="11" t="n">
        <x:f>'管线假设'!H1095</x:f>
        <x:v>0.14</x:v>
      </x:c>
      <x:c r="N5107" s="11" t="n">
        <x:f>IF(G5107,L5107*AN5107/(1+M5107)^F5107,0)</x:f>
        <x:v>0</x:v>
      </x:c>
      <x:c r="AJ5107" t="n">
        <x:v>0</x:v>
      </x:c>
      <x:c r="AK5107" t="n">
        <x:v>0</x:v>
      </x:c>
      <x:c r="AL5107" t="n">
        <x:v>0</x:v>
      </x:c>
      <x:c r="AM5107" t="n">
        <x:f>CHOOSE('假设'!$B$3,AJ5107,AK5107,AL5107)</x:f>
        <x:v>0</x:v>
      </x:c>
      <x:c r="AN5107" t="n">
        <x:v>1</x:v>
      </x:c>
    </x:row>
    <x:row r="5108" ht="23" customHeight="1">
      <x:c r="A5108" s="11" t="str">
        <x:v>688062.SH</x:v>
      </x:c>
      <x:c r="B5108" s="11" t="str">
        <x:v>半年</x:v>
      </x:c>
      <x:c r="C5108" s="11" t="str">
        <x:v>gcsf</x:v>
      </x:c>
      <x:c r="D5108" s="11" t="str">
        <x:v>2045-12-31</x:v>
      </x:c>
      <x:c r="E5108" s="11" t="str">
        <x:v>CNY</x:v>
      </x:c>
      <x:c r="F5108" s="11" t="n">
        <x:v>18.729637234770706</x:v>
      </x:c>
      <x:c r="G5108" s="26" t="b">
        <x:v>1</x:v>
      </x:c>
      <x:c r="H5108" s="16" t="n">
        <x:v>0</x:v>
      </x:c>
      <x:c r="I5108" s="16" t="n">
        <x:v>0</x:v>
      </x:c>
      <x:c r="J5108" s="16" t="n">
        <x:v>0</x:v>
      </x:c>
      <x:c r="K5108" s="11" t="n">
        <x:f>CHOOSE('假设'!$B$3,H5108,I5108,J5108)</x:f>
        <x:v>0</x:v>
      </x:c>
      <x:c r="L5108" s="11" t="n">
        <x:f>K5108*'管线假设'!E1095*'管线假设'!F1095*'管线假设'!G1095*IF(E5108="USD",'管线假设'!I1095,1)-AM5108</x:f>
        <x:v>0</x:v>
      </x:c>
      <x:c r="M5108" s="11" t="n">
        <x:f>'管线假设'!H1095</x:f>
        <x:v>0.14</x:v>
      </x:c>
      <x:c r="N5108" s="11" t="n">
        <x:f>IF(G5108,L5108*AN5108/(1+M5108)^F5108,0)</x:f>
        <x:v>0</x:v>
      </x:c>
      <x:c r="AJ5108" t="n">
        <x:v>0</x:v>
      </x:c>
      <x:c r="AK5108" t="n">
        <x:v>0</x:v>
      </x:c>
      <x:c r="AL5108" t="n">
        <x:v>0</x:v>
      </x:c>
      <x:c r="AM5108" t="n">
        <x:f>CHOOSE('假设'!$B$3,AJ5108,AK5108,AL5108)</x:f>
        <x:v>0</x:v>
      </x:c>
      <x:c r="AN5108" t="n">
        <x:v>1</x:v>
      </x:c>
    </x:row>
    <x:row r="5109" ht="23" customHeight="1">
      <x:c r="A5109" s="11" t="str">
        <x:v>688062.SH</x:v>
      </x:c>
      <x:c r="B5109" s="11" t="str">
        <x:v>半年</x:v>
      </x:c>
      <x:c r="C5109" s="11" t="str">
        <x:v>bfv_uc_later</x:v>
      </x:c>
      <x:c r="D5109" s="11" t="str">
        <x:v>2027-12-31</x:v>
      </x:c>
      <x:c r="E5109" s="11" t="str">
        <x:v>CNY</x:v>
      </x:c>
      <x:c r="F5109" s="11" t="n">
        <x:v>0.7282683093771389</x:v>
      </x:c>
      <x:c r="G5109" s="26" t="b">
        <x:v>1</x:v>
      </x:c>
      <x:c r="H5109" s="16" t="n">
        <x:v>0</x:v>
      </x:c>
      <x:c r="I5109" s="16" t="n">
        <x:v>0</x:v>
      </x:c>
      <x:c r="J5109" s="16" t="n">
        <x:v>0.36000000000000004</x:v>
      </x:c>
      <x:c r="K5109" s="11" t="n">
        <x:f>CHOOSE('假设'!$B$3,H5109,I5109,J5109)</x:f>
        <x:v>0</x:v>
      </x:c>
      <x:c r="L5109" s="11" t="n">
        <x:f>K5109*'管线假设'!E1099*'管线假设'!F1099*'管线假设'!G1099*IF(E5109="USD",'管线假设'!I1099,1)-AM5109</x:f>
        <x:v>0</x:v>
      </x:c>
      <x:c r="M5109" s="11" t="n">
        <x:f>'管线假设'!H1099</x:f>
        <x:v>0.14</x:v>
      </x:c>
      <x:c r="N5109" s="11" t="n">
        <x:f>IF(G5109,L5109*AN5109/(1+M5109)^F5109,0)</x:f>
        <x:v>0</x:v>
      </x:c>
      <x:c r="AJ5109" t="n">
        <x:v>0</x:v>
      </x:c>
      <x:c r="AK5109" t="n">
        <x:v>0</x:v>
      </x:c>
      <x:c r="AL5109" t="n">
        <x:v>0</x:v>
      </x:c>
      <x:c r="AM5109" t="n">
        <x:f>CHOOSE('假设'!$B$3,AJ5109,AK5109,AL5109)</x:f>
        <x:v>0</x:v>
      </x:c>
      <x:c r="AN5109" t="n">
        <x:v>1</x:v>
      </x:c>
    </x:row>
    <x:row r="5110" ht="23" customHeight="1">
      <x:c r="A5110" s="11" t="str">
        <x:v>688062.SH</x:v>
      </x:c>
      <x:c r="B5110" s="11" t="str">
        <x:v>半年</x:v>
      </x:c>
      <x:c r="C5110" s="11" t="str">
        <x:v>bfv_uc_later</x:v>
      </x:c>
      <x:c r="D5110" s="11" t="str">
        <x:v>2028-12-31</x:v>
      </x:c>
      <x:c r="E5110" s="11" t="str">
        <x:v>CNY</x:v>
      </x:c>
      <x:c r="F5110" s="11" t="n">
        <x:v>1.730321697467488</x:v>
      </x:c>
      <x:c r="G5110" s="26" t="b">
        <x:v>1</x:v>
      </x:c>
      <x:c r="H5110" s="16" t="n">
        <x:v>0</x:v>
      </x:c>
      <x:c r="I5110" s="16" t="n">
        <x:v>0.22000000000000003</x:v>
      </x:c>
      <x:c r="J5110" s="16" t="n">
        <x:v>0.7200000000000001</x:v>
      </x:c>
      <x:c r="K5110" s="11" t="n">
        <x:f>CHOOSE('假设'!$B$3,H5110,I5110,J5110)</x:f>
        <x:v>0.22000000000000003</x:v>
      </x:c>
      <x:c r="L5110" s="11" t="n">
        <x:f>K5110*'管线假设'!E1099*'管线假设'!F1099*'管线假设'!G1099*IF(E5110="USD",'管线假设'!I1099,1)-AM5110</x:f>
        <x:v>0.041421599999999996</x:v>
      </x:c>
      <x:c r="M5110" s="11" t="n">
        <x:f>'管线假设'!H1099</x:f>
        <x:v>0.14</x:v>
      </x:c>
      <x:c r="N5110" s="11" t="n">
        <x:f>IF(G5110,L5110*AN5110/(1+M5110)^F5110,0)</x:f>
        <x:v>0.03301894337650717</x:v>
      </x:c>
      <x:c r="AJ5110" t="n">
        <x:v>0</x:v>
      </x:c>
      <x:c r="AK5110" t="n">
        <x:v>0</x:v>
      </x:c>
      <x:c r="AL5110" t="n">
        <x:v>0</x:v>
      </x:c>
      <x:c r="AM5110" t="n">
        <x:f>CHOOSE('假设'!$B$3,AJ5110,AK5110,AL5110)</x:f>
        <x:v>0</x:v>
      </x:c>
      <x:c r="AN5110" t="n">
        <x:v>1</x:v>
      </x:c>
    </x:row>
    <x:row r="5111" ht="23" customHeight="1">
      <x:c r="A5111" s="11" t="str">
        <x:v>688062.SH</x:v>
      </x:c>
      <x:c r="B5111" s="11" t="str">
        <x:v>半年</x:v>
      </x:c>
      <x:c r="C5111" s="11" t="str">
        <x:v>bfv_uc_later</x:v>
      </x:c>
      <x:c r="D5111" s="11" t="str">
        <x:v>2029-12-31</x:v>
      </x:c>
      <x:c r="E5111" s="11" t="str">
        <x:v>CNY</x:v>
      </x:c>
      <x:c r="F5111" s="11" t="n">
        <x:v>2.729637234770705</x:v>
      </x:c>
      <x:c r="G5111" s="26" t="b">
        <x:v>1</x:v>
      </x:c>
      <x:c r="H5111" s="16" t="n">
        <x:v>0.09000000000000001</x:v>
      </x:c>
      <x:c r="I5111" s="16" t="n">
        <x:v>0.44000000000000006</x:v>
      </x:c>
      <x:c r="J5111" s="16" t="n">
        <x:v>1.08</x:v>
      </x:c>
      <x:c r="K5111" s="11" t="n">
        <x:f>CHOOSE('假设'!$B$3,H5111,I5111,J5111)</x:f>
        <x:v>0.44000000000000006</x:v>
      </x:c>
      <x:c r="L5111" s="11" t="n">
        <x:f>K5111*'管线假设'!E1099*'管线假设'!F1099*'管线假设'!G1099*IF(E5111="USD",'管线假设'!I1099,1)-AM5111</x:f>
        <x:v>0.08284319999999999</x:v>
      </x:c>
      <x:c r="M5111" s="11" t="n">
        <x:f>'管线假设'!H1099</x:f>
        <x:v>0.14</x:v>
      </x:c>
      <x:c r="N5111" s="11" t="n">
        <x:f>IF(G5111,L5111*AN5111/(1+M5111)^F5111,0)</x:f>
        <x:v>0.05793316627864222</x:v>
      </x:c>
      <x:c r="AJ5111" t="n">
        <x:v>0</x:v>
      </x:c>
      <x:c r="AK5111" t="n">
        <x:v>0</x:v>
      </x:c>
      <x:c r="AL5111" t="n">
        <x:v>0</x:v>
      </x:c>
      <x:c r="AM5111" t="n">
        <x:f>CHOOSE('假设'!$B$3,AJ5111,AK5111,AL5111)</x:f>
        <x:v>0</x:v>
      </x:c>
      <x:c r="AN5111" t="n">
        <x:v>1</x:v>
      </x:c>
    </x:row>
    <x:row r="5112" ht="23" customHeight="1">
      <x:c r="A5112" s="11" t="str">
        <x:v>688062.SH</x:v>
      </x:c>
      <x:c r="B5112" s="11" t="str">
        <x:v>半年</x:v>
      </x:c>
      <x:c r="C5112" s="11" t="str">
        <x:v>bfv_uc_later</x:v>
      </x:c>
      <x:c r="D5112" s="11" t="str">
        <x:v>2030-12-31</x:v>
      </x:c>
      <x:c r="E5112" s="11" t="str">
        <x:v>CNY</x:v>
      </x:c>
      <x:c r="F5112" s="11" t="n">
        <x:v>3.728952772073922</x:v>
      </x:c>
      <x:c r="G5112" s="26" t="b">
        <x:v>1</x:v>
      </x:c>
      <x:c r="H5112" s="16" t="n">
        <x:v>0.18000000000000002</x:v>
      </x:c>
      <x:c r="I5112" s="16" t="n">
        <x:v>0.66</x:v>
      </x:c>
      <x:c r="J5112" s="16" t="n">
        <x:v>1.4400000000000002</x:v>
      </x:c>
      <x:c r="K5112" s="11" t="n">
        <x:f>CHOOSE('假设'!$B$3,H5112,I5112,J5112)</x:f>
        <x:v>0.66</x:v>
      </x:c>
      <x:c r="L5112" s="11" t="n">
        <x:f>K5112*'管线假设'!E1099*'管线假设'!F1099*'管线假设'!G1099*IF(E5112="USD",'管线假设'!I1099,1)-AM5112</x:f>
        <x:v>0.12426479999999998</x:v>
      </x:c>
      <x:c r="M5112" s="11" t="n">
        <x:f>'管线假设'!H1099</x:f>
        <x:v>0.14</x:v>
      </x:c>
      <x:c r="N5112" s="11" t="n">
        <x:f>IF(G5112,L5112*AN5112/(1+M5112)^F5112,0)</x:f>
        <x:v>0.07623468708852067</x:v>
      </x:c>
      <x:c r="AJ5112" t="n">
        <x:v>0</x:v>
      </x:c>
      <x:c r="AK5112" t="n">
        <x:v>0</x:v>
      </x:c>
      <x:c r="AL5112" t="n">
        <x:v>0</x:v>
      </x:c>
      <x:c r="AM5112" t="n">
        <x:f>CHOOSE('假设'!$B$3,AJ5112,AK5112,AL5112)</x:f>
        <x:v>0</x:v>
      </x:c>
      <x:c r="AN5112" t="n">
        <x:v>1</x:v>
      </x:c>
    </x:row>
    <x:row r="5113" ht="23" customHeight="1">
      <x:c r="A5113" s="11" t="str">
        <x:v>688062.SH</x:v>
      </x:c>
      <x:c r="B5113" s="11" t="str">
        <x:v>半年</x:v>
      </x:c>
      <x:c r="C5113" s="11" t="str">
        <x:v>bfv_uc_later</x:v>
      </x:c>
      <x:c r="D5113" s="11" t="str">
        <x:v>2031-12-31</x:v>
      </x:c>
      <x:c r="E5113" s="11" t="str">
        <x:v>CNY</x:v>
      </x:c>
      <x:c r="F5113" s="11" t="n">
        <x:v>4.728268309377139</x:v>
      </x:c>
      <x:c r="G5113" s="26" t="b">
        <x:v>1</x:v>
      </x:c>
      <x:c r="H5113" s="16" t="n">
        <x:v>0.27</x:v>
      </x:c>
      <x:c r="I5113" s="16" t="n">
        <x:v>0.8800000000000001</x:v>
      </x:c>
      <x:c r="J5113" s="16" t="n">
        <x:v>1.8</x:v>
      </x:c>
      <x:c r="K5113" s="11" t="n">
        <x:f>CHOOSE('假设'!$B$3,H5113,I5113,J5113)</x:f>
        <x:v>0.8800000000000001</x:v>
      </x:c>
      <x:c r="L5113" s="11" t="n">
        <x:f>K5113*'管线假设'!E1099*'管线假设'!F1099*'管线假设'!G1099*IF(E5113="USD",'管线假设'!I1099,1)-AM5113</x:f>
        <x:v>0.16568639999999998</x:v>
      </x:c>
      <x:c r="M5113" s="11" t="n">
        <x:f>'管线假设'!H1099</x:f>
        <x:v>0.14</x:v>
      </x:c>
      <x:c r="N5113" s="11" t="n">
        <x:f>IF(G5113,L5113*AN5113/(1+M5113)^F5113,0)</x:f>
        <x:v>0.08917137359482881</x:v>
      </x:c>
      <x:c r="AJ5113" t="n">
        <x:v>0</x:v>
      </x:c>
      <x:c r="AK5113" t="n">
        <x:v>0</x:v>
      </x:c>
      <x:c r="AL5113" t="n">
        <x:v>0</x:v>
      </x:c>
      <x:c r="AM5113" t="n">
        <x:f>CHOOSE('假设'!$B$3,AJ5113,AK5113,AL5113)</x:f>
        <x:v>0</x:v>
      </x:c>
      <x:c r="AN5113" t="n">
        <x:v>1</x:v>
      </x:c>
    </x:row>
    <x:row r="5114" ht="23" customHeight="1">
      <x:c r="A5114" s="11" t="str">
        <x:v>688062.SH</x:v>
      </x:c>
      <x:c r="B5114" s="11" t="str">
        <x:v>半年</x:v>
      </x:c>
      <x:c r="C5114" s="11" t="str">
        <x:v>bfv_uc_later</x:v>
      </x:c>
      <x:c r="D5114" s="11" t="str">
        <x:v>2032-12-31</x:v>
      </x:c>
      <x:c r="E5114" s="11" t="str">
        <x:v>CNY</x:v>
      </x:c>
      <x:c r="F5114" s="11" t="n">
        <x:v>5.730321697467488</x:v>
      </x:c>
      <x:c r="G5114" s="26" t="b">
        <x:v>1</x:v>
      </x:c>
      <x:c r="H5114" s="16" t="n">
        <x:v>0.36000000000000004</x:v>
      </x:c>
      <x:c r="I5114" s="16" t="n">
        <x:v>1.1</x:v>
      </x:c>
      <x:c r="J5114" s="16" t="n">
        <x:v>1.566</x:v>
      </x:c>
      <x:c r="K5114" s="11" t="n">
        <x:f>CHOOSE('假设'!$B$3,H5114,I5114,J5114)</x:f>
        <x:v>1.1</x:v>
      </x:c>
      <x:c r="L5114" s="11" t="n">
        <x:f>K5114*'管线假设'!E1099*'管线假设'!F1099*'管线假设'!G1099*IF(E5114="USD",'管线假设'!I1099,1)-AM5114</x:f>
        <x:v>0.207108</x:v>
      </x:c>
      <x:c r="M5114" s="11" t="n">
        <x:f>'管线假设'!H1099</x:f>
        <x:v>0.14</x:v>
      </x:c>
      <x:c r="N5114" s="11" t="n">
        <x:f>IF(G5114,L5114*AN5114/(1+M5114)^F5114,0)</x:f>
        <x:v>0.09774932576416472</x:v>
      </x:c>
      <x:c r="AJ5114" t="n">
        <x:v>0</x:v>
      </x:c>
      <x:c r="AK5114" t="n">
        <x:v>0</x:v>
      </x:c>
      <x:c r="AL5114" t="n">
        <x:v>0</x:v>
      </x:c>
      <x:c r="AM5114" t="n">
        <x:f>CHOOSE('假设'!$B$3,AJ5114,AK5114,AL5114)</x:f>
        <x:v>0</x:v>
      </x:c>
      <x:c r="AN5114" t="n">
        <x:v>1</x:v>
      </x:c>
    </x:row>
    <x:row r="5115" ht="23" customHeight="1">
      <x:c r="A5115" s="11" t="str">
        <x:v>688062.SH</x:v>
      </x:c>
      <x:c r="B5115" s="11" t="str">
        <x:v>半年</x:v>
      </x:c>
      <x:c r="C5115" s="11" t="str">
        <x:v>bfv_uc_later</x:v>
      </x:c>
      <x:c r="D5115" s="11" t="str">
        <x:v>2033-12-31</x:v>
      </x:c>
      <x:c r="E5115" s="11" t="str">
        <x:v>CNY</x:v>
      </x:c>
      <x:c r="F5115" s="11" t="n">
        <x:v>6.729637234770705</x:v>
      </x:c>
      <x:c r="G5115" s="26" t="b">
        <x:v>1</x:v>
      </x:c>
      <x:c r="H5115" s="16" t="n">
        <x:v>0.45</x:v>
      </x:c>
      <x:c r="I5115" s="16" t="n">
        <x:v>0.9570000000000001</x:v>
      </x:c>
      <x:c r="J5115" s="16" t="n">
        <x:v>1.332</x:v>
      </x:c>
      <x:c r="K5115" s="11" t="n">
        <x:f>CHOOSE('假设'!$B$3,H5115,I5115,J5115)</x:f>
        <x:v>0.9570000000000001</x:v>
      </x:c>
      <x:c r="L5115" s="11" t="n">
        <x:f>K5115*'管线假设'!E1099*'管线假设'!F1099*'管线假设'!G1099*IF(E5115="USD",'管线假设'!I1099,1)-AM5115</x:f>
        <x:v>0.18018395999999998</x:v>
      </x:c>
      <x:c r="M5115" s="11" t="n">
        <x:f>'管线假设'!H1099</x:f>
        <x:v>0.14</x:v>
      </x:c>
      <x:c r="N5115" s="11" t="n">
        <x:f>IF(G5115,L5115*AN5115/(1+M5115)^F5115,0)</x:f>
        <x:v>0.07460486022124214</x:v>
      </x:c>
      <x:c r="AJ5115" t="n">
        <x:v>0</x:v>
      </x:c>
      <x:c r="AK5115" t="n">
        <x:v>0</x:v>
      </x:c>
      <x:c r="AL5115" t="n">
        <x:v>0</x:v>
      </x:c>
      <x:c r="AM5115" t="n">
        <x:f>CHOOSE('假设'!$B$3,AJ5115,AK5115,AL5115)</x:f>
        <x:v>0</x:v>
      </x:c>
      <x:c r="AN5115" t="n">
        <x:v>1</x:v>
      </x:c>
    </x:row>
    <x:row r="5116" ht="23" customHeight="1">
      <x:c r="A5116" s="11" t="str">
        <x:v>688062.SH</x:v>
      </x:c>
      <x:c r="B5116" s="11" t="str">
        <x:v>半年</x:v>
      </x:c>
      <x:c r="C5116" s="11" t="str">
        <x:v>bfv_uc_later</x:v>
      </x:c>
      <x:c r="D5116" s="11" t="str">
        <x:v>2034-12-31</x:v>
      </x:c>
      <x:c r="E5116" s="11" t="str">
        <x:v>CNY</x:v>
      </x:c>
      <x:c r="F5116" s="11" t="n">
        <x:v>7.728952772073922</x:v>
      </x:c>
      <x:c r="G5116" s="26" t="b">
        <x:v>1</x:v>
      </x:c>
      <x:c r="H5116" s="16" t="n">
        <x:v>0.3915</x:v>
      </x:c>
      <x:c r="I5116" s="16" t="n">
        <x:v>0.8140000000000001</x:v>
      </x:c>
      <x:c r="J5116" s="16" t="n">
        <x:v>1.098</x:v>
      </x:c>
      <x:c r="K5116" s="11" t="n">
        <x:f>CHOOSE('假设'!$B$3,H5116,I5116,J5116)</x:f>
        <x:v>0.8140000000000001</x:v>
      </x:c>
      <x:c r="L5116" s="11" t="n">
        <x:f>K5116*'管线假设'!E1099*'管线假设'!F1099*'管线假设'!G1099*IF(E5116="USD",'管线假设'!I1099,1)-AM5116</x:f>
        <x:v>0.15325991999999997</x:v>
      </x:c>
      <x:c r="M5116" s="11" t="n">
        <x:f>'管线假设'!H1099</x:f>
        <x:v>0.14</x:v>
      </x:c>
      <x:c r="N5116" s="11" t="n">
        <x:f>IF(G5116,L5116*AN5116/(1+M5116)^F5116,0)</x:f>
        <x:v>0.05566903410114113</x:v>
      </x:c>
      <x:c r="AJ5116" t="n">
        <x:v>0</x:v>
      </x:c>
      <x:c r="AK5116" t="n">
        <x:v>0</x:v>
      </x:c>
      <x:c r="AL5116" t="n">
        <x:v>0</x:v>
      </x:c>
      <x:c r="AM5116" t="n">
        <x:f>CHOOSE('假设'!$B$3,AJ5116,AK5116,AL5116)</x:f>
        <x:v>0</x:v>
      </x:c>
      <x:c r="AN5116" t="n">
        <x:v>1</x:v>
      </x:c>
    </x:row>
    <x:row r="5117" ht="23" customHeight="1">
      <x:c r="A5117" s="11" t="str">
        <x:v>688062.SH</x:v>
      </x:c>
      <x:c r="B5117" s="11" t="str">
        <x:v>半年</x:v>
      </x:c>
      <x:c r="C5117" s="11" t="str">
        <x:v>bfv_uc_later</x:v>
      </x:c>
      <x:c r="D5117" s="11" t="str">
        <x:v>2035-12-31</x:v>
      </x:c>
      <x:c r="E5117" s="11" t="str">
        <x:v>CNY</x:v>
      </x:c>
      <x:c r="F5117" s="11" t="n">
        <x:v>8.728268309377139</x:v>
      </x:c>
      <x:c r="G5117" s="26" t="b">
        <x:v>1</x:v>
      </x:c>
      <x:c r="H5117" s="16" t="n">
        <x:v>0.333</x:v>
      </x:c>
      <x:c r="I5117" s="16" t="n">
        <x:v>0.671</x:v>
      </x:c>
      <x:c r="J5117" s="16" t="n">
        <x:v>0.864</x:v>
      </x:c>
      <x:c r="K5117" s="11" t="n">
        <x:f>CHOOSE('假设'!$B$3,H5117,I5117,J5117)</x:f>
        <x:v>0.671</x:v>
      </x:c>
      <x:c r="L5117" s="11" t="n">
        <x:f>K5117*'管线假设'!E1099*'管线假设'!F1099*'管线假设'!G1099*IF(E5117="USD",'管线假设'!I1099,1)-AM5117</x:f>
        <x:v>0.12633587999999998</x:v>
      </x:c>
      <x:c r="M5117" s="11" t="n">
        <x:f>'管线假设'!H1099</x:f>
        <x:v>0.14</x:v>
      </x:c>
      <x:c r="N5117" s="11" t="n">
        <x:f>IF(G5117,L5117*AN5117/(1+M5117)^F5117,0)</x:f>
        <x:v>0.040257416353774104</x:v>
      </x:c>
      <x:c r="AJ5117" t="n">
        <x:v>0</x:v>
      </x:c>
      <x:c r="AK5117" t="n">
        <x:v>0</x:v>
      </x:c>
      <x:c r="AL5117" t="n">
        <x:v>0</x:v>
      </x:c>
      <x:c r="AM5117" t="n">
        <x:f>CHOOSE('假设'!$B$3,AJ5117,AK5117,AL5117)</x:f>
        <x:v>0</x:v>
      </x:c>
      <x:c r="AN5117" t="n">
        <x:v>1</x:v>
      </x:c>
    </x:row>
    <x:row r="5118" ht="23" customHeight="1">
      <x:c r="A5118" s="11" t="str">
        <x:v>688062.SH</x:v>
      </x:c>
      <x:c r="B5118" s="11" t="str">
        <x:v>半年</x:v>
      </x:c>
      <x:c r="C5118" s="11" t="str">
        <x:v>bfv_uc_later</x:v>
      </x:c>
      <x:c r="D5118" s="11" t="str">
        <x:v>2036-12-31</x:v>
      </x:c>
      <x:c r="E5118" s="11" t="str">
        <x:v>CNY</x:v>
      </x:c>
      <x:c r="F5118" s="11" t="n">
        <x:v>9.730321697467488</x:v>
      </x:c>
      <x:c r="G5118" s="26" t="b">
        <x:v>1</x:v>
      </x:c>
      <x:c r="H5118" s="16" t="n">
        <x:v>0.2745</x:v>
      </x:c>
      <x:c r="I5118" s="16" t="n">
        <x:v>0.528</x:v>
      </x:c>
      <x:c r="J5118" s="16" t="n">
        <x:v>0.63</x:v>
      </x:c>
      <x:c r="K5118" s="11" t="n">
        <x:f>CHOOSE('假设'!$B$3,H5118,I5118,J5118)</x:f>
        <x:v>0.528</x:v>
      </x:c>
      <x:c r="L5118" s="11" t="n">
        <x:f>K5118*'管线假设'!E1099*'管线假设'!F1099*'管线假设'!G1099*IF(E5118="USD",'管线假设'!I1099,1)-AM5118</x:f>
        <x:v>0.09941183999999999</x:v>
      </x:c>
      <x:c r="M5118" s="11" t="n">
        <x:f>'管线假设'!H1099</x:f>
        <x:v>0.14</x:v>
      </x:c>
      <x:c r="N5118" s="11" t="n">
        <x:f>IF(G5118,L5118*AN5118/(1+M5118)^F5118,0)</x:f>
        <x:v>0.02778021499737391</x:v>
      </x:c>
      <x:c r="AJ5118" t="n">
        <x:v>0</x:v>
      </x:c>
      <x:c r="AK5118" t="n">
        <x:v>0</x:v>
      </x:c>
      <x:c r="AL5118" t="n">
        <x:v>0</x:v>
      </x:c>
      <x:c r="AM5118" t="n">
        <x:f>CHOOSE('假设'!$B$3,AJ5118,AK5118,AL5118)</x:f>
        <x:v>0</x:v>
      </x:c>
      <x:c r="AN5118" t="n">
        <x:v>1</x:v>
      </x:c>
    </x:row>
    <x:row r="5119" ht="23" customHeight="1">
      <x:c r="A5119" s="11" t="str">
        <x:v>688062.SH</x:v>
      </x:c>
      <x:c r="B5119" s="11" t="str">
        <x:v>半年</x:v>
      </x:c>
      <x:c r="C5119" s="11" t="str">
        <x:v>bfv_uc_later</x:v>
      </x:c>
      <x:c r="D5119" s="11" t="str">
        <x:v>2037-12-31</x:v>
      </x:c>
      <x:c r="E5119" s="11" t="str">
        <x:v>CNY</x:v>
      </x:c>
      <x:c r="F5119" s="11" t="n">
        <x:v>10.729637234770705</x:v>
      </x:c>
      <x:c r="G5119" s="26" t="b">
        <x:v>1</x:v>
      </x:c>
      <x:c r="H5119" s="16" t="n">
        <x:v>0.216</x:v>
      </x:c>
      <x:c r="I5119" s="16" t="n">
        <x:v>0.385</x:v>
      </x:c>
      <x:c r="J5119" s="16" t="n">
        <x:v>0.39599999999999996</x:v>
      </x:c>
      <x:c r="K5119" s="11" t="n">
        <x:f>CHOOSE('假设'!$B$3,H5119,I5119,J5119)</x:f>
        <x:v>0.385</x:v>
      </x:c>
      <x:c r="L5119" s="11" t="n">
        <x:f>K5119*'管线假设'!E1099*'管线假设'!F1099*'管线假设'!G1099*IF(E5119="USD",'管线假设'!I1099,1)-AM5119</x:f>
        <x:v>0.07248779999999999</x:v>
      </x:c>
      <x:c r="M5119" s="11" t="n">
        <x:f>'管线假设'!H1099</x:f>
        <x:v>0.14</x:v>
      </x:c>
      <x:c r="N5119" s="11" t="n">
        <x:f>IF(G5119,L5119*AN5119/(1+M5119)^F5119,0)</x:f>
        <x:v>0.01777037151325867</x:v>
      </x:c>
      <x:c r="AJ5119" t="n">
        <x:v>0</x:v>
      </x:c>
      <x:c r="AK5119" t="n">
        <x:v>0</x:v>
      </x:c>
      <x:c r="AL5119" t="n">
        <x:v>0</x:v>
      </x:c>
      <x:c r="AM5119" t="n">
        <x:f>CHOOSE('假设'!$B$3,AJ5119,AK5119,AL5119)</x:f>
        <x:v>0</x:v>
      </x:c>
      <x:c r="AN5119" t="n">
        <x:v>1</x:v>
      </x:c>
    </x:row>
    <x:row r="5120" ht="23" customHeight="1">
      <x:c r="A5120" s="11" t="str">
        <x:v>688062.SH</x:v>
      </x:c>
      <x:c r="B5120" s="11" t="str">
        <x:v>半年</x:v>
      </x:c>
      <x:c r="C5120" s="11" t="str">
        <x:v>bfv_uc_later</x:v>
      </x:c>
      <x:c r="D5120" s="11" t="str">
        <x:v>2038-12-31</x:v>
      </x:c>
      <x:c r="E5120" s="11" t="str">
        <x:v>CNY</x:v>
      </x:c>
      <x:c r="F5120" s="11" t="n">
        <x:v>11.728952772073923</x:v>
      </x:c>
      <x:c r="G5120" s="26" t="b">
        <x:v>1</x:v>
      </x:c>
      <x:c r="H5120" s="16" t="n">
        <x:v>0.1575</x:v>
      </x:c>
      <x:c r="I5120" s="16" t="n">
        <x:v>0.242</x:v>
      </x:c>
      <x:c r="J5120" s="16" t="n">
        <x:v>0.16199999999999995</x:v>
      </x:c>
      <x:c r="K5120" s="11" t="n">
        <x:f>CHOOSE('假设'!$B$3,H5120,I5120,J5120)</x:f>
        <x:v>0.242</x:v>
      </x:c>
      <x:c r="L5120" s="11" t="n">
        <x:f>K5120*'管线假设'!E1099*'管线假设'!F1099*'管线假设'!G1099*IF(E5120="USD",'管线假设'!I1099,1)-AM5120</x:f>
        <x:v>0.045563759999999995</x:v>
      </x:c>
      <x:c r="M5120" s="11" t="n">
        <x:f>'管线假设'!H1099</x:f>
        <x:v>0.14</x:v>
      </x:c>
      <x:c r="N5120" s="11" t="n">
        <x:f>IF(G5120,L5120*AN5120/(1+M5120)^F5120,0)</x:f>
        <x:v>0.00979907861261827</x:v>
      </x:c>
      <x:c r="AJ5120" t="n">
        <x:v>0</x:v>
      </x:c>
      <x:c r="AK5120" t="n">
        <x:v>0</x:v>
      </x:c>
      <x:c r="AL5120" t="n">
        <x:v>0</x:v>
      </x:c>
      <x:c r="AM5120" t="n">
        <x:f>CHOOSE('假设'!$B$3,AJ5120,AK5120,AL5120)</x:f>
        <x:v>0</x:v>
      </x:c>
      <x:c r="AN5120" t="n">
        <x:v>1</x:v>
      </x:c>
    </x:row>
    <x:row r="5121" ht="23" customHeight="1">
      <x:c r="A5121" s="11" t="str">
        <x:v>688062.SH</x:v>
      </x:c>
      <x:c r="B5121" s="11" t="str">
        <x:v>半年</x:v>
      </x:c>
      <x:c r="C5121" s="11" t="str">
        <x:v>bfv_uc_later</x:v>
      </x:c>
      <x:c r="D5121" s="11" t="str">
        <x:v>2039-12-31</x:v>
      </x:c>
      <x:c r="E5121" s="11" t="str">
        <x:v>CNY</x:v>
      </x:c>
      <x:c r="F5121" s="11" t="n">
        <x:v>12.728268309377139</x:v>
      </x:c>
      <x:c r="G5121" s="26" t="b">
        <x:v>1</x:v>
      </x:c>
      <x:c r="H5121" s="16" t="n">
        <x:v>0.09899999999999999</x:v>
      </x:c>
      <x:c r="I5121" s="16" t="n">
        <x:v>0.09899999999999998</x:v>
      </x:c>
      <x:c r="J5121" s="16" t="n">
        <x:v>0</x:v>
      </x:c>
      <x:c r="K5121" s="11" t="n">
        <x:f>CHOOSE('假设'!$B$3,H5121,I5121,J5121)</x:f>
        <x:v>0.09899999999999998</x:v>
      </x:c>
      <x:c r="L5121" s="11" t="n">
        <x:f>K5121*'管线假设'!E1099*'管线假设'!F1099*'管线假设'!G1099*IF(E5121="USD",'管线假设'!I1099,1)-AM5121</x:f>
        <x:v>0.01863971999999999</x:v>
      </x:c>
      <x:c r="M5121" s="11" t="n">
        <x:f>'管线假设'!H1099</x:f>
        <x:v>0.14</x:v>
      </x:c>
      <x:c r="N5121" s="11" t="n">
        <x:f>IF(G5121,L5121*AN5121/(1+M5121)^F5121,0)</x:f>
        <x:v>0.003516731150304064</x:v>
      </x:c>
      <x:c r="AJ5121" t="n">
        <x:v>0</x:v>
      </x:c>
      <x:c r="AK5121" t="n">
        <x:v>0</x:v>
      </x:c>
      <x:c r="AL5121" t="n">
        <x:v>0</x:v>
      </x:c>
      <x:c r="AM5121" t="n">
        <x:f>CHOOSE('假设'!$B$3,AJ5121,AK5121,AL5121)</x:f>
        <x:v>0</x:v>
      </x:c>
      <x:c r="AN5121" t="n">
        <x:v>1</x:v>
      </x:c>
    </x:row>
    <x:row r="5122" ht="23" customHeight="1">
      <x:c r="A5122" s="11" t="str">
        <x:v>688062.SH</x:v>
      </x:c>
      <x:c r="B5122" s="11" t="str">
        <x:v>半年</x:v>
      </x:c>
      <x:c r="C5122" s="11" t="str">
        <x:v>bfv_uc_later</x:v>
      </x:c>
      <x:c r="D5122" s="11" t="str">
        <x:v>2040-12-31</x:v>
      </x:c>
      <x:c r="E5122" s="11" t="str">
        <x:v>CNY</x:v>
      </x:c>
      <x:c r="F5122" s="11" t="n">
        <x:v>13.730321697467488</x:v>
      </x:c>
      <x:c r="G5122" s="26" t="b">
        <x:v>1</x:v>
      </x:c>
      <x:c r="H5122" s="16" t="n">
        <x:v>0.04049999999999999</x:v>
      </x:c>
      <x:c r="I5122" s="16" t="n">
        <x:v>0</x:v>
      </x:c>
      <x:c r="J5122" s="16" t="n">
        <x:v>0</x:v>
      </x:c>
      <x:c r="K5122" s="11" t="n">
        <x:f>CHOOSE('假设'!$B$3,H5122,I5122,J5122)</x:f>
        <x:v>0</x:v>
      </x:c>
      <x:c r="L5122" s="11" t="n">
        <x:f>K5122*'管线假设'!E1099*'管线假设'!F1099*'管线假设'!G1099*IF(E5122="USD",'管线假设'!I1099,1)-AM5122</x:f>
        <x:v>0</x:v>
      </x:c>
      <x:c r="M5122" s="11" t="n">
        <x:f>'管线假设'!H1099</x:f>
        <x:v>0.14</x:v>
      </x:c>
      <x:c r="N5122" s="11" t="n">
        <x:f>IF(G5122,L5122*AN5122/(1+M5122)^F5122,0)</x:f>
        <x:v>0</x:v>
      </x:c>
      <x:c r="AJ5122" t="n">
        <x:v>0</x:v>
      </x:c>
      <x:c r="AK5122" t="n">
        <x:v>0</x:v>
      </x:c>
      <x:c r="AL5122" t="n">
        <x:v>0</x:v>
      </x:c>
      <x:c r="AM5122" t="n">
        <x:f>CHOOSE('假设'!$B$3,AJ5122,AK5122,AL5122)</x:f>
        <x:v>0</x:v>
      </x:c>
      <x:c r="AN5122" t="n">
        <x:v>1</x:v>
      </x:c>
    </x:row>
    <x:row r="5123" ht="23" customHeight="1">
      <x:c r="A5123" s="11" t="str">
        <x:v>688062.SH</x:v>
      </x:c>
      <x:c r="B5123" s="11" t="str">
        <x:v>半年</x:v>
      </x:c>
      <x:c r="C5123" s="11" t="str">
        <x:v>bfv_uc_later</x:v>
      </x:c>
      <x:c r="D5123" s="11" t="str">
        <x:v>2041-12-31</x:v>
      </x:c>
      <x:c r="E5123" s="11" t="str">
        <x:v>CNY</x:v>
      </x:c>
      <x:c r="F5123" s="11" t="n">
        <x:v>14.729637234770705</x:v>
      </x:c>
      <x:c r="G5123" s="26" t="b">
        <x:v>1</x:v>
      </x:c>
      <x:c r="H5123" s="16" t="n">
        <x:v>0</x:v>
      </x:c>
      <x:c r="I5123" s="16" t="n">
        <x:v>0</x:v>
      </x:c>
      <x:c r="J5123" s="16" t="n">
        <x:v>0</x:v>
      </x:c>
      <x:c r="K5123" s="11" t="n">
        <x:f>CHOOSE('假设'!$B$3,H5123,I5123,J5123)</x:f>
        <x:v>0</x:v>
      </x:c>
      <x:c r="L5123" s="11" t="n">
        <x:f>K5123*'管线假设'!E1099*'管线假设'!F1099*'管线假设'!G1099*IF(E5123="USD",'管线假设'!I1099,1)-AM5123</x:f>
        <x:v>0</x:v>
      </x:c>
      <x:c r="M5123" s="11" t="n">
        <x:f>'管线假设'!H1099</x:f>
        <x:v>0.14</x:v>
      </x:c>
      <x:c r="N5123" s="11" t="n">
        <x:f>IF(G5123,L5123*AN5123/(1+M5123)^F5123,0)</x:f>
        <x:v>0</x:v>
      </x:c>
      <x:c r="AJ5123" t="n">
        <x:v>0</x:v>
      </x:c>
      <x:c r="AK5123" t="n">
        <x:v>0</x:v>
      </x:c>
      <x:c r="AL5123" t="n">
        <x:v>0</x:v>
      </x:c>
      <x:c r="AM5123" t="n">
        <x:f>CHOOSE('假设'!$B$3,AJ5123,AK5123,AL5123)</x:f>
        <x:v>0</x:v>
      </x:c>
      <x:c r="AN5123" t="n">
        <x:v>1</x:v>
      </x:c>
    </x:row>
    <x:row r="5124" ht="23" customHeight="1">
      <x:c r="A5124" s="11" t="str">
        <x:v>688062.SH</x:v>
      </x:c>
      <x:c r="B5124" s="11" t="str">
        <x:v>半年</x:v>
      </x:c>
      <x:c r="C5124" s="11" t="str">
        <x:v>bfv_uc_later</x:v>
      </x:c>
      <x:c r="D5124" s="11" t="str">
        <x:v>2042-12-31</x:v>
      </x:c>
      <x:c r="E5124" s="11" t="str">
        <x:v>CNY</x:v>
      </x:c>
      <x:c r="F5124" s="11" t="n">
        <x:v>15.728952772073923</x:v>
      </x:c>
      <x:c r="G5124" s="26" t="b">
        <x:v>1</x:v>
      </x:c>
      <x:c r="H5124" s="16" t="n">
        <x:v>0</x:v>
      </x:c>
      <x:c r="I5124" s="16" t="n">
        <x:v>0</x:v>
      </x:c>
      <x:c r="J5124" s="16" t="n">
        <x:v>0</x:v>
      </x:c>
      <x:c r="K5124" s="11" t="n">
        <x:f>CHOOSE('假设'!$B$3,H5124,I5124,J5124)</x:f>
        <x:v>0</x:v>
      </x:c>
      <x:c r="L5124" s="11" t="n">
        <x:f>K5124*'管线假设'!E1099*'管线假设'!F1099*'管线假设'!G1099*IF(E5124="USD",'管线假设'!I1099,1)-AM5124</x:f>
        <x:v>0</x:v>
      </x:c>
      <x:c r="M5124" s="11" t="n">
        <x:f>'管线假设'!H1099</x:f>
        <x:v>0.14</x:v>
      </x:c>
      <x:c r="N5124" s="11" t="n">
        <x:f>IF(G5124,L5124*AN5124/(1+M5124)^F5124,0)</x:f>
        <x:v>0</x:v>
      </x:c>
      <x:c r="AJ5124" t="n">
        <x:v>0</x:v>
      </x:c>
      <x:c r="AK5124" t="n">
        <x:v>0</x:v>
      </x:c>
      <x:c r="AL5124" t="n">
        <x:v>0</x:v>
      </x:c>
      <x:c r="AM5124" t="n">
        <x:f>CHOOSE('假设'!$B$3,AJ5124,AK5124,AL5124)</x:f>
        <x:v>0</x:v>
      </x:c>
      <x:c r="AN5124" t="n">
        <x:v>1</x:v>
      </x:c>
    </x:row>
    <x:row r="5125" ht="23" customHeight="1">
      <x:c r="A5125" s="11" t="str">
        <x:v>688062.SH</x:v>
      </x:c>
      <x:c r="B5125" s="11" t="str">
        <x:v>半年</x:v>
      </x:c>
      <x:c r="C5125" s="11" t="str">
        <x:v>bfv_uc_later</x:v>
      </x:c>
      <x:c r="D5125" s="11" t="str">
        <x:v>2043-12-31</x:v>
      </x:c>
      <x:c r="E5125" s="11" t="str">
        <x:v>CNY</x:v>
      </x:c>
      <x:c r="F5125" s="11" t="n">
        <x:v>16.72826830937714</x:v>
      </x:c>
      <x:c r="G5125" s="26" t="b">
        <x:v>1</x:v>
      </x:c>
      <x:c r="H5125" s="16" t="n">
        <x:v>0</x:v>
      </x:c>
      <x:c r="I5125" s="16" t="n">
        <x:v>0</x:v>
      </x:c>
      <x:c r="J5125" s="16" t="n">
        <x:v>0</x:v>
      </x:c>
      <x:c r="K5125" s="11" t="n">
        <x:f>CHOOSE('假设'!$B$3,H5125,I5125,J5125)</x:f>
        <x:v>0</x:v>
      </x:c>
      <x:c r="L5125" s="11" t="n">
        <x:f>K5125*'管线假设'!E1099*'管线假设'!F1099*'管线假设'!G1099*IF(E5125="USD",'管线假设'!I1099,1)-AM5125</x:f>
        <x:v>0</x:v>
      </x:c>
      <x:c r="M5125" s="11" t="n">
        <x:f>'管线假设'!H1099</x:f>
        <x:v>0.14</x:v>
      </x:c>
      <x:c r="N5125" s="11" t="n">
        <x:f>IF(G5125,L5125*AN5125/(1+M5125)^F5125,0)</x:f>
        <x:v>0</x:v>
      </x:c>
      <x:c r="AJ5125" t="n">
        <x:v>0</x:v>
      </x:c>
      <x:c r="AK5125" t="n">
        <x:v>0</x:v>
      </x:c>
      <x:c r="AL5125" t="n">
        <x:v>0</x:v>
      </x:c>
      <x:c r="AM5125" t="n">
        <x:f>CHOOSE('假设'!$B$3,AJ5125,AK5125,AL5125)</x:f>
        <x:v>0</x:v>
      </x:c>
      <x:c r="AN5125" t="n">
        <x:v>1</x:v>
      </x:c>
    </x:row>
    <x:row r="5126" ht="23" customHeight="1">
      <x:c r="A5126" s="11" t="str">
        <x:v>688062.SH</x:v>
      </x:c>
      <x:c r="B5126" s="11" t="str">
        <x:v>半年</x:v>
      </x:c>
      <x:c r="C5126" s="11" t="str">
        <x:v>bfv_uc_later</x:v>
      </x:c>
      <x:c r="D5126" s="11" t="str">
        <x:v>2044-12-31</x:v>
      </x:c>
      <x:c r="E5126" s="11" t="str">
        <x:v>CNY</x:v>
      </x:c>
      <x:c r="F5126" s="11" t="n">
        <x:v>17.730321697467488</x:v>
      </x:c>
      <x:c r="G5126" s="26" t="b">
        <x:v>1</x:v>
      </x:c>
      <x:c r="H5126" s="16" t="n">
        <x:v>0</x:v>
      </x:c>
      <x:c r="I5126" s="16" t="n">
        <x:v>0</x:v>
      </x:c>
      <x:c r="J5126" s="16" t="n">
        <x:v>0</x:v>
      </x:c>
      <x:c r="K5126" s="11" t="n">
        <x:f>CHOOSE('假设'!$B$3,H5126,I5126,J5126)</x:f>
        <x:v>0</x:v>
      </x:c>
      <x:c r="L5126" s="11" t="n">
        <x:f>K5126*'管线假设'!E1099*'管线假设'!F1099*'管线假设'!G1099*IF(E5126="USD",'管线假设'!I1099,1)-AM5126</x:f>
        <x:v>0</x:v>
      </x:c>
      <x:c r="M5126" s="11" t="n">
        <x:f>'管线假设'!H1099</x:f>
        <x:v>0.14</x:v>
      </x:c>
      <x:c r="N5126" s="11" t="n">
        <x:f>IF(G5126,L5126*AN5126/(1+M5126)^F5126,0)</x:f>
        <x:v>0</x:v>
      </x:c>
      <x:c r="AJ5126" t="n">
        <x:v>0</x:v>
      </x:c>
      <x:c r="AK5126" t="n">
        <x:v>0</x:v>
      </x:c>
      <x:c r="AL5126" t="n">
        <x:v>0</x:v>
      </x:c>
      <x:c r="AM5126" t="n">
        <x:f>CHOOSE('假设'!$B$3,AJ5126,AK5126,AL5126)</x:f>
        <x:v>0</x:v>
      </x:c>
      <x:c r="AN5126" t="n">
        <x:v>1</x:v>
      </x:c>
    </x:row>
    <x:row r="5127" ht="23" customHeight="1">
      <x:c r="A5127" s="11" t="str">
        <x:v>688062.SH</x:v>
      </x:c>
      <x:c r="B5127" s="11" t="str">
        <x:v>半年</x:v>
      </x:c>
      <x:c r="C5127" s="11" t="str">
        <x:v>bfv_uc_later</x:v>
      </x:c>
      <x:c r="D5127" s="11" t="str">
        <x:v>2045-12-31</x:v>
      </x:c>
      <x:c r="E5127" s="11" t="str">
        <x:v>CNY</x:v>
      </x:c>
      <x:c r="F5127" s="11" t="n">
        <x:v>18.729637234770706</x:v>
      </x:c>
      <x:c r="G5127" s="26" t="b">
        <x:v>1</x:v>
      </x:c>
      <x:c r="H5127" s="16" t="n">
        <x:v>0</x:v>
      </x:c>
      <x:c r="I5127" s="16" t="n">
        <x:v>0</x:v>
      </x:c>
      <x:c r="J5127" s="16" t="n">
        <x:v>0</x:v>
      </x:c>
      <x:c r="K5127" s="11" t="n">
        <x:f>CHOOSE('假设'!$B$3,H5127,I5127,J5127)</x:f>
        <x:v>0</x:v>
      </x:c>
      <x:c r="L5127" s="11" t="n">
        <x:f>K5127*'管线假设'!E1099*'管线假设'!F1099*'管线假设'!G1099*IF(E5127="USD",'管线假设'!I1099,1)-AM5127</x:f>
        <x:v>0</x:v>
      </x:c>
      <x:c r="M5127" s="11" t="n">
        <x:f>'管线假设'!H1099</x:f>
        <x:v>0.14</x:v>
      </x:c>
      <x:c r="N5127" s="11" t="n">
        <x:f>IF(G5127,L5127*AN5127/(1+M5127)^F5127,0)</x:f>
        <x:v>0</x:v>
      </x:c>
      <x:c r="AJ5127" t="n">
        <x:v>0</x:v>
      </x:c>
      <x:c r="AK5127" t="n">
        <x:v>0</x:v>
      </x:c>
      <x:c r="AL5127" t="n">
        <x:v>0</x:v>
      </x:c>
      <x:c r="AM5127" t="n">
        <x:f>CHOOSE('假设'!$B$3,AJ5127,AK5127,AL5127)</x:f>
        <x:v>0</x:v>
      </x:c>
      <x:c r="AN5127" t="n">
        <x:v>1</x:v>
      </x:c>
    </x:row>
    <x:row r="5128" ht="23" customHeight="1">
      <x:c r="A5128" s="11" t="str">
        <x:v>688062.SH</x:v>
      </x:c>
      <x:c r="B5128" s="11" t="str">
        <x:v>半年</x:v>
      </x:c>
      <x:c r="C5128" s="11" t="str">
        <x:v>bfv_uc_first</x:v>
      </x:c>
      <x:c r="D5128" s="11" t="str">
        <x:v>2027-12-31</x:v>
      </x:c>
      <x:c r="E5128" s="11" t="str">
        <x:v>CNY</x:v>
      </x:c>
      <x:c r="F5128" s="11" t="n">
        <x:v>0.7282683093771389</x:v>
      </x:c>
      <x:c r="G5128" s="26" t="b">
        <x:v>1</x:v>
      </x:c>
      <x:c r="H5128" s="16" t="n">
        <x:v>0</x:v>
      </x:c>
      <x:c r="I5128" s="16" t="n">
        <x:v>0</x:v>
      </x:c>
      <x:c r="J5128" s="16" t="n">
        <x:v>0.6</x:v>
      </x:c>
      <x:c r="K5128" s="11" t="n">
        <x:f>CHOOSE('假设'!$B$3,H5128,I5128,J5128)</x:f>
        <x:v>0</x:v>
      </x:c>
      <x:c r="L5128" s="11" t="n">
        <x:f>K5128*'管线假设'!E1103*'管线假设'!F1103*'管线假设'!G1103*IF(E5128="USD",'管线假设'!I1103,1)-AM5128</x:f>
        <x:v>0</x:v>
      </x:c>
      <x:c r="M5128" s="11" t="n">
        <x:f>'管线假设'!H1103</x:f>
        <x:v>0.14</x:v>
      </x:c>
      <x:c r="N5128" s="11" t="n">
        <x:f>IF(G5128,L5128*AN5128/(1+M5128)^F5128,0)</x:f>
        <x:v>0</x:v>
      </x:c>
      <x:c r="AJ5128" t="n">
        <x:v>0</x:v>
      </x:c>
      <x:c r="AK5128" t="n">
        <x:v>0</x:v>
      </x:c>
      <x:c r="AL5128" t="n">
        <x:v>0</x:v>
      </x:c>
      <x:c r="AM5128" t="n">
        <x:f>CHOOSE('假设'!$B$3,AJ5128,AK5128,AL5128)</x:f>
        <x:v>0</x:v>
      </x:c>
      <x:c r="AN5128" t="n">
        <x:v>1</x:v>
      </x:c>
    </x:row>
    <x:row r="5129" ht="23" customHeight="1">
      <x:c r="A5129" s="11" t="str">
        <x:v>688062.SH</x:v>
      </x:c>
      <x:c r="B5129" s="11" t="str">
        <x:v>半年</x:v>
      </x:c>
      <x:c r="C5129" s="11" t="str">
        <x:v>bfv_uc_first</x:v>
      </x:c>
      <x:c r="D5129" s="11" t="str">
        <x:v>2028-12-31</x:v>
      </x:c>
      <x:c r="E5129" s="11" t="str">
        <x:v>CNY</x:v>
      </x:c>
      <x:c r="F5129" s="11" t="n">
        <x:v>1.730321697467488</x:v>
      </x:c>
      <x:c r="G5129" s="26" t="b">
        <x:v>1</x:v>
      </x:c>
      <x:c r="H5129" s="16" t="n">
        <x:v>0</x:v>
      </x:c>
      <x:c r="I5129" s="16" t="n">
        <x:v>0.3333333333333333</x:v>
      </x:c>
      <x:c r="J5129" s="16" t="n">
        <x:v>1.2</x:v>
      </x:c>
      <x:c r="K5129" s="11" t="n">
        <x:f>CHOOSE('假设'!$B$3,H5129,I5129,J5129)</x:f>
        <x:v>0.3333333333333333</x:v>
      </x:c>
      <x:c r="L5129" s="11" t="n">
        <x:f>K5129*'管线假设'!E1103*'管线假设'!F1103*'管线假设'!G1103*IF(E5129="USD",'管线假设'!I1103,1)-AM5129</x:f>
        <x:v>0.055900000000000005</x:v>
      </x:c>
      <x:c r="M5129" s="11" t="n">
        <x:f>'管线假设'!H1103</x:f>
        <x:v>0.14</x:v>
      </x:c>
      <x:c r="N5129" s="11" t="n">
        <x:f>IF(G5129,L5129*AN5129/(1+M5129)^F5129,0)</x:f>
        <x:v>0.04456030029614382</x:v>
      </x:c>
      <x:c r="AJ5129" t="n">
        <x:v>0</x:v>
      </x:c>
      <x:c r="AK5129" t="n">
        <x:v>0</x:v>
      </x:c>
      <x:c r="AL5129" t="n">
        <x:v>0</x:v>
      </x:c>
      <x:c r="AM5129" t="n">
        <x:f>CHOOSE('假设'!$B$3,AJ5129,AK5129,AL5129)</x:f>
        <x:v>0</x:v>
      </x:c>
      <x:c r="AN5129" t="n">
        <x:v>1</x:v>
      </x:c>
    </x:row>
    <x:row r="5130" ht="23" customHeight="1">
      <x:c r="A5130" s="11" t="str">
        <x:v>688062.SH</x:v>
      </x:c>
      <x:c r="B5130" s="11" t="str">
        <x:v>半年</x:v>
      </x:c>
      <x:c r="C5130" s="11" t="str">
        <x:v>bfv_uc_first</x:v>
      </x:c>
      <x:c r="D5130" s="11" t="str">
        <x:v>2029-12-31</x:v>
      </x:c>
      <x:c r="E5130" s="11" t="str">
        <x:v>CNY</x:v>
      </x:c>
      <x:c r="F5130" s="11" t="n">
        <x:v>2.729637234770705</x:v>
      </x:c>
      <x:c r="G5130" s="26" t="b">
        <x:v>1</x:v>
      </x:c>
      <x:c r="H5130" s="16" t="n">
        <x:v>0</x:v>
      </x:c>
      <x:c r="I5130" s="16" t="n">
        <x:v>0.6666666666666666</x:v>
      </x:c>
      <x:c r="J5130" s="16" t="n">
        <x:v>1.8</x:v>
      </x:c>
      <x:c r="K5130" s="11" t="n">
        <x:f>CHOOSE('假设'!$B$3,H5130,I5130,J5130)</x:f>
        <x:v>0.6666666666666666</x:v>
      </x:c>
      <x:c r="L5130" s="11" t="n">
        <x:f>K5130*'管线假设'!E1103*'管线假设'!F1103*'管线假设'!G1103*IF(E5130="USD",'管线假设'!I1103,1)-AM5130</x:f>
        <x:v>0.11180000000000001</x:v>
      </x:c>
      <x:c r="M5130" s="11" t="n">
        <x:f>'管线假设'!H1103</x:f>
        <x:v>0.14</x:v>
      </x:c>
      <x:c r="N5130" s="11" t="n">
        <x:f>IF(G5130,L5130*AN5130/(1+M5130)^F5130,0)</x:f>
        <x:v>0.0781829768762216</x:v>
      </x:c>
      <x:c r="AJ5130" t="n">
        <x:v>0</x:v>
      </x:c>
      <x:c r="AK5130" t="n">
        <x:v>0</x:v>
      </x:c>
      <x:c r="AL5130" t="n">
        <x:v>0</x:v>
      </x:c>
      <x:c r="AM5130" t="n">
        <x:f>CHOOSE('假设'!$B$3,AJ5130,AK5130,AL5130)</x:f>
        <x:v>0</x:v>
      </x:c>
      <x:c r="AN5130" t="n">
        <x:v>1</x:v>
      </x:c>
    </x:row>
    <x:row r="5131" ht="23" customHeight="1">
      <x:c r="A5131" s="11" t="str">
        <x:v>688062.SH</x:v>
      </x:c>
      <x:c r="B5131" s="11" t="str">
        <x:v>半年</x:v>
      </x:c>
      <x:c r="C5131" s="11" t="str">
        <x:v>bfv_uc_first</x:v>
      </x:c>
      <x:c r="D5131" s="11" t="str">
        <x:v>2030-12-31</x:v>
      </x:c>
      <x:c r="E5131" s="11" t="str">
        <x:v>CNY</x:v>
      </x:c>
      <x:c r="F5131" s="11" t="n">
        <x:v>3.728952772073922</x:v>
      </x:c>
      <x:c r="G5131" s="26" t="b">
        <x:v>1</x:v>
      </x:c>
      <x:c r="H5131" s="16" t="n">
        <x:v>0.16000000000000003</x:v>
      </x:c>
      <x:c r="I5131" s="16" t="n">
        <x:v>1</x:v>
      </x:c>
      <x:c r="J5131" s="16" t="n">
        <x:v>2.4</x:v>
      </x:c>
      <x:c r="K5131" s="11" t="n">
        <x:f>CHOOSE('假设'!$B$3,H5131,I5131,J5131)</x:f>
        <x:v>1</x:v>
      </x:c>
      <x:c r="L5131" s="11" t="n">
        <x:f>K5131*'管线假设'!E1103*'管线假设'!F1103*'管线假设'!G1103*IF(E5131="USD",'管线假设'!I1103,1)-AM5131</x:f>
        <x:v>0.16770000000000002</x:v>
      </x:c>
      <x:c r="M5131" s="11" t="n">
        <x:f>'管线假设'!H1103</x:f>
        <x:v>0.14</x:v>
      </x:c>
      <x:c r="N5131" s="11" t="n">
        <x:f>IF(G5131,L5131*AN5131/(1+M5131)^F5131,0)</x:f>
        <x:v>0.1028815644071766</x:v>
      </x:c>
      <x:c r="AJ5131" t="n">
        <x:v>0</x:v>
      </x:c>
      <x:c r="AK5131" t="n">
        <x:v>0</x:v>
      </x:c>
      <x:c r="AL5131" t="n">
        <x:v>0</x:v>
      </x:c>
      <x:c r="AM5131" t="n">
        <x:f>CHOOSE('假设'!$B$3,AJ5131,AK5131,AL5131)</x:f>
        <x:v>0</x:v>
      </x:c>
      <x:c r="AN5131" t="n">
        <x:v>1</x:v>
      </x:c>
    </x:row>
    <x:row r="5132" ht="23" customHeight="1">
      <x:c r="A5132" s="11" t="str">
        <x:v>688062.SH</x:v>
      </x:c>
      <x:c r="B5132" s="11" t="str">
        <x:v>半年</x:v>
      </x:c>
      <x:c r="C5132" s="11" t="str">
        <x:v>bfv_uc_first</x:v>
      </x:c>
      <x:c r="D5132" s="11" t="str">
        <x:v>2031-12-31</x:v>
      </x:c>
      <x:c r="E5132" s="11" t="str">
        <x:v>CNY</x:v>
      </x:c>
      <x:c r="F5132" s="11" t="n">
        <x:v>4.728268309377139</x:v>
      </x:c>
      <x:c r="G5132" s="26" t="b">
        <x:v>1</x:v>
      </x:c>
      <x:c r="H5132" s="16" t="n">
        <x:v>0.32000000000000006</x:v>
      </x:c>
      <x:c r="I5132" s="16" t="n">
        <x:v>1.3333333333333333</x:v>
      </x:c>
      <x:c r="J5132" s="16" t="n">
        <x:v>3</x:v>
      </x:c>
      <x:c r="K5132" s="11" t="n">
        <x:f>CHOOSE('假设'!$B$3,H5132,I5132,J5132)</x:f>
        <x:v>1.3333333333333333</x:v>
      </x:c>
      <x:c r="L5132" s="11" t="n">
        <x:f>K5132*'管线假设'!E1103*'管线假设'!F1103*'管线假设'!G1103*IF(E5132="USD",'管线假设'!I1103,1)-AM5132</x:f>
        <x:v>0.22360000000000002</x:v>
      </x:c>
      <x:c r="M5132" s="11" t="n">
        <x:f>'管线假设'!H1103</x:f>
        <x:v>0.14</x:v>
      </x:c>
      <x:c r="N5132" s="11" t="n">
        <x:f>IF(G5132,L5132*AN5132/(1+M5132)^F5132,0)</x:f>
        <x:v>0.12034010718926674</x:v>
      </x:c>
      <x:c r="AJ5132" t="n">
        <x:v>0</x:v>
      </x:c>
      <x:c r="AK5132" t="n">
        <x:v>0</x:v>
      </x:c>
      <x:c r="AL5132" t="n">
        <x:v>0</x:v>
      </x:c>
      <x:c r="AM5132" t="n">
        <x:f>CHOOSE('假设'!$B$3,AJ5132,AK5132,AL5132)</x:f>
        <x:v>0</x:v>
      </x:c>
      <x:c r="AN5132" t="n">
        <x:v>1</x:v>
      </x:c>
    </x:row>
    <x:row r="5133" ht="23" customHeight="1">
      <x:c r="A5133" s="11" t="str">
        <x:v>688062.SH</x:v>
      </x:c>
      <x:c r="B5133" s="11" t="str">
        <x:v>半年</x:v>
      </x:c>
      <x:c r="C5133" s="11" t="str">
        <x:v>bfv_uc_first</x:v>
      </x:c>
      <x:c r="D5133" s="11" t="str">
        <x:v>2032-12-31</x:v>
      </x:c>
      <x:c r="E5133" s="11" t="str">
        <x:v>CNY</x:v>
      </x:c>
      <x:c r="F5133" s="11" t="n">
        <x:v>5.730321697467488</x:v>
      </x:c>
      <x:c r="G5133" s="26" t="b">
        <x:v>1</x:v>
      </x:c>
      <x:c r="H5133" s="16" t="n">
        <x:v>0.48</x:v>
      </x:c>
      <x:c r="I5133" s="16" t="n">
        <x:v>1.6666666666666667</x:v>
      </x:c>
      <x:c r="J5133" s="16" t="n">
        <x:v>3.6</x:v>
      </x:c>
      <x:c r="K5133" s="11" t="n">
        <x:f>CHOOSE('假设'!$B$3,H5133,I5133,J5133)</x:f>
        <x:v>1.6666666666666667</x:v>
      </x:c>
      <x:c r="L5133" s="11" t="n">
        <x:f>K5133*'管线假设'!E1103*'管线假设'!F1103*'管线假设'!G1103*IF(E5133="USD",'管线假设'!I1103,1)-AM5133</x:f>
        <x:v>0.2795</x:v>
      </x:c>
      <x:c r="M5133" s="11" t="n">
        <x:f>'管线假设'!H1103</x:f>
        <x:v>0.14</x:v>
      </x:c>
      <x:c r="N5133" s="11" t="n">
        <x:f>IF(G5133,L5133*AN5133/(1+M5133)^F5133,0)</x:f>
        <x:v>0.13191637479519883</x:v>
      </x:c>
      <x:c r="AJ5133" t="n">
        <x:v>0</x:v>
      </x:c>
      <x:c r="AK5133" t="n">
        <x:v>0</x:v>
      </x:c>
      <x:c r="AL5133" t="n">
        <x:v>0</x:v>
      </x:c>
      <x:c r="AM5133" t="n">
        <x:f>CHOOSE('假设'!$B$3,AJ5133,AK5133,AL5133)</x:f>
        <x:v>0</x:v>
      </x:c>
      <x:c r="AN5133" t="n">
        <x:v>1</x:v>
      </x:c>
    </x:row>
    <x:row r="5134" ht="23" customHeight="1">
      <x:c r="A5134" s="11" t="str">
        <x:v>688062.SH</x:v>
      </x:c>
      <x:c r="B5134" s="11" t="str">
        <x:v>半年</x:v>
      </x:c>
      <x:c r="C5134" s="11" t="str">
        <x:v>bfv_uc_first</x:v>
      </x:c>
      <x:c r="D5134" s="11" t="str">
        <x:v>2033-12-31</x:v>
      </x:c>
      <x:c r="E5134" s="11" t="str">
        <x:v>CNY</x:v>
      </x:c>
      <x:c r="F5134" s="11" t="n">
        <x:v>6.729637234770705</x:v>
      </x:c>
      <x:c r="G5134" s="26" t="b">
        <x:v>1</x:v>
      </x:c>
      <x:c r="H5134" s="16" t="n">
        <x:v>0.6400000000000001</x:v>
      </x:c>
      <x:c r="I5134" s="16" t="n">
        <x:v>2</x:v>
      </x:c>
      <x:c r="J5134" s="16" t="n">
        <x:v>3.132</x:v>
      </x:c>
      <x:c r="K5134" s="11" t="n">
        <x:f>CHOOSE('假设'!$B$3,H5134,I5134,J5134)</x:f>
        <x:v>2</x:v>
      </x:c>
      <x:c r="L5134" s="11" t="n">
        <x:f>K5134*'管线假设'!E1103*'管线假设'!F1103*'管线假设'!G1103*IF(E5134="USD",'管线假设'!I1103,1)-AM5134</x:f>
        <x:v>0.33540000000000003</x:v>
      </x:c>
      <x:c r="M5134" s="11" t="n">
        <x:f>'管线假设'!H1103</x:f>
        <x:v>0.14</x:v>
      </x:c>
      <x:c r="N5134" s="11" t="n">
        <x:f>IF(G5134,L5134*AN5134/(1+M5134)^F5134,0)</x:f>
        <x:v>0.13887179590350118</x:v>
      </x:c>
      <x:c r="AJ5134" t="n">
        <x:v>0</x:v>
      </x:c>
      <x:c r="AK5134" t="n">
        <x:v>0</x:v>
      </x:c>
      <x:c r="AL5134" t="n">
        <x:v>0</x:v>
      </x:c>
      <x:c r="AM5134" t="n">
        <x:f>CHOOSE('假设'!$B$3,AJ5134,AK5134,AL5134)</x:f>
        <x:v>0</x:v>
      </x:c>
      <x:c r="AN5134" t="n">
        <x:v>1</x:v>
      </x:c>
    </x:row>
    <x:row r="5135" ht="23" customHeight="1">
      <x:c r="A5135" s="11" t="str">
        <x:v>688062.SH</x:v>
      </x:c>
      <x:c r="B5135" s="11" t="str">
        <x:v>半年</x:v>
      </x:c>
      <x:c r="C5135" s="11" t="str">
        <x:v>bfv_uc_first</x:v>
      </x:c>
      <x:c r="D5135" s="11" t="str">
        <x:v>2034-12-31</x:v>
      </x:c>
      <x:c r="E5135" s="11" t="str">
        <x:v>CNY</x:v>
      </x:c>
      <x:c r="F5135" s="11" t="n">
        <x:v>7.728952772073922</x:v>
      </x:c>
      <x:c r="G5135" s="26" t="b">
        <x:v>1</x:v>
      </x:c>
      <x:c r="H5135" s="16" t="n">
        <x:v>0.8</x:v>
      </x:c>
      <x:c r="I5135" s="16" t="n">
        <x:v>1.74</x:v>
      </x:c>
      <x:c r="J5135" s="16" t="n">
        <x:v>2.664</x:v>
      </x:c>
      <x:c r="K5135" s="11" t="n">
        <x:f>CHOOSE('假设'!$B$3,H5135,I5135,J5135)</x:f>
        <x:v>1.74</x:v>
      </x:c>
      <x:c r="L5135" s="11" t="n">
        <x:f>K5135*'管线假设'!E1103*'管线假设'!F1103*'管线假设'!G1103*IF(E5135="USD",'管线假设'!I1103,1)-AM5135</x:f>
        <x:v>0.291798</x:v>
      </x:c>
      <x:c r="M5135" s="11" t="n">
        <x:f>'管线假设'!H1103</x:f>
        <x:v>0.14</x:v>
      </x:c>
      <x:c r="N5135" s="11" t="n">
        <x:f>IF(G5135,L5135*AN5135/(1+M5135)^F5135,0)</x:f>
        <x:v>0.10599061263143543</x:v>
      </x:c>
      <x:c r="AJ5135" t="n">
        <x:v>0</x:v>
      </x:c>
      <x:c r="AK5135" t="n">
        <x:v>0</x:v>
      </x:c>
      <x:c r="AL5135" t="n">
        <x:v>0</x:v>
      </x:c>
      <x:c r="AM5135" t="n">
        <x:f>CHOOSE('假设'!$B$3,AJ5135,AK5135,AL5135)</x:f>
        <x:v>0</x:v>
      </x:c>
      <x:c r="AN5135" t="n">
        <x:v>1</x:v>
      </x:c>
    </x:row>
    <x:row r="5136" ht="23" customHeight="1">
      <x:c r="A5136" s="11" t="str">
        <x:v>688062.SH</x:v>
      </x:c>
      <x:c r="B5136" s="11" t="str">
        <x:v>半年</x:v>
      </x:c>
      <x:c r="C5136" s="11" t="str">
        <x:v>bfv_uc_first</x:v>
      </x:c>
      <x:c r="D5136" s="11" t="str">
        <x:v>2035-12-31</x:v>
      </x:c>
      <x:c r="E5136" s="11" t="str">
        <x:v>CNY</x:v>
      </x:c>
      <x:c r="F5136" s="11" t="n">
        <x:v>8.728268309377139</x:v>
      </x:c>
      <x:c r="G5136" s="26" t="b">
        <x:v>1</x:v>
      </x:c>
      <x:c r="H5136" s="16" t="n">
        <x:v>0.6960000000000001</x:v>
      </x:c>
      <x:c r="I5136" s="16" t="n">
        <x:v>1.48</x:v>
      </x:c>
      <x:c r="J5136" s="16" t="n">
        <x:v>2.196</x:v>
      </x:c>
      <x:c r="K5136" s="11" t="n">
        <x:f>CHOOSE('假设'!$B$3,H5136,I5136,J5136)</x:f>
        <x:v>1.48</x:v>
      </x:c>
      <x:c r="L5136" s="11" t="n">
        <x:f>K5136*'管线假设'!E1103*'管线假设'!F1103*'管线假设'!G1103*IF(E5136="USD",'管线假设'!I1103,1)-AM5136</x:f>
        <x:v>0.248196</x:v>
      </x:c>
      <x:c r="M5136" s="11" t="n">
        <x:f>'管线假设'!H1103</x:f>
        <x:v>0.14</x:v>
      </x:c>
      <x:c r="N5136" s="11" t="n">
        <x:f>IF(G5136,L5136*AN5136/(1+M5136)^F5136,0)</x:f>
        <x:v>0.0790886144881511</x:v>
      </x:c>
      <x:c r="AJ5136" t="n">
        <x:v>0</x:v>
      </x:c>
      <x:c r="AK5136" t="n">
        <x:v>0</x:v>
      </x:c>
      <x:c r="AL5136" t="n">
        <x:v>0</x:v>
      </x:c>
      <x:c r="AM5136" t="n">
        <x:f>CHOOSE('假设'!$B$3,AJ5136,AK5136,AL5136)</x:f>
        <x:v>0</x:v>
      </x:c>
      <x:c r="AN5136" t="n">
        <x:v>1</x:v>
      </x:c>
    </x:row>
    <x:row r="5137" ht="23" customHeight="1">
      <x:c r="A5137" s="11" t="str">
        <x:v>688062.SH</x:v>
      </x:c>
      <x:c r="B5137" s="11" t="str">
        <x:v>半年</x:v>
      </x:c>
      <x:c r="C5137" s="11" t="str">
        <x:v>bfv_uc_first</x:v>
      </x:c>
      <x:c r="D5137" s="11" t="str">
        <x:v>2036-12-31</x:v>
      </x:c>
      <x:c r="E5137" s="11" t="str">
        <x:v>CNY</x:v>
      </x:c>
      <x:c r="F5137" s="11" t="n">
        <x:v>9.730321697467488</x:v>
      </x:c>
      <x:c r="G5137" s="26" t="b">
        <x:v>1</x:v>
      </x:c>
      <x:c r="H5137" s="16" t="n">
        <x:v>0.592</x:v>
      </x:c>
      <x:c r="I5137" s="16" t="n">
        <x:v>1.22</x:v>
      </x:c>
      <x:c r="J5137" s="16" t="n">
        <x:v>1.728</x:v>
      </x:c>
      <x:c r="K5137" s="11" t="n">
        <x:f>CHOOSE('假设'!$B$3,H5137,I5137,J5137)</x:f>
        <x:v>1.22</x:v>
      </x:c>
      <x:c r="L5137" s="11" t="n">
        <x:f>K5137*'管线假设'!E1103*'管线假设'!F1103*'管线假设'!G1103*IF(E5137="USD",'管线假设'!I1103,1)-AM5137</x:f>
        <x:v>0.204594</x:v>
      </x:c>
      <x:c r="M5137" s="11" t="n">
        <x:f>'管线假设'!H1103</x:f>
        <x:v>0.14</x:v>
      </x:c>
      <x:c r="N5137" s="11" t="n">
        <x:f>IF(G5137,L5137*AN5137/(1+M5137)^F5137,0)</x:f>
        <x:v>0.05717292132579699</x:v>
      </x:c>
      <x:c r="AJ5137" t="n">
        <x:v>0</x:v>
      </x:c>
      <x:c r="AK5137" t="n">
        <x:v>0</x:v>
      </x:c>
      <x:c r="AL5137" t="n">
        <x:v>0</x:v>
      </x:c>
      <x:c r="AM5137" t="n">
        <x:f>CHOOSE('假设'!$B$3,AJ5137,AK5137,AL5137)</x:f>
        <x:v>0</x:v>
      </x:c>
      <x:c r="AN5137" t="n">
        <x:v>1</x:v>
      </x:c>
    </x:row>
    <x:row r="5138" ht="23" customHeight="1">
      <x:c r="A5138" s="11" t="str">
        <x:v>688062.SH</x:v>
      </x:c>
      <x:c r="B5138" s="11" t="str">
        <x:v>半年</x:v>
      </x:c>
      <x:c r="C5138" s="11" t="str">
        <x:v>bfv_uc_first</x:v>
      </x:c>
      <x:c r="D5138" s="11" t="str">
        <x:v>2037-12-31</x:v>
      </x:c>
      <x:c r="E5138" s="11" t="str">
        <x:v>CNY</x:v>
      </x:c>
      <x:c r="F5138" s="11" t="n">
        <x:v>10.729637234770705</x:v>
      </x:c>
      <x:c r="G5138" s="26" t="b">
        <x:v>1</x:v>
      </x:c>
      <x:c r="H5138" s="16" t="n">
        <x:v>0.488</x:v>
      </x:c>
      <x:c r="I5138" s="16" t="n">
        <x:v>0.96</x:v>
      </x:c>
      <x:c r="J5138" s="16" t="n">
        <x:v>1.26</x:v>
      </x:c>
      <x:c r="K5138" s="11" t="n">
        <x:f>CHOOSE('假设'!$B$3,H5138,I5138,J5138)</x:f>
        <x:v>0.96</x:v>
      </x:c>
      <x:c r="L5138" s="11" t="n">
        <x:f>K5138*'管线假设'!E1103*'管线假设'!F1103*'管线假设'!G1103*IF(E5138="USD",'管线假设'!I1103,1)-AM5138</x:f>
        <x:v>0.160992</x:v>
      </x:c>
      <x:c r="M5138" s="11" t="n">
        <x:f>'管线假设'!H1103</x:f>
        <x:v>0.14</x:v>
      </x:c>
      <x:c r="N5138" s="11" t="n">
        <x:f>IF(G5138,L5138*AN5138/(1+M5138)^F5138,0)</x:f>
        <x:v>0.03946716068997183</x:v>
      </x:c>
      <x:c r="AJ5138" t="n">
        <x:v>0</x:v>
      </x:c>
      <x:c r="AK5138" t="n">
        <x:v>0</x:v>
      </x:c>
      <x:c r="AL5138" t="n">
        <x:v>0</x:v>
      </x:c>
      <x:c r="AM5138" t="n">
        <x:f>CHOOSE('假设'!$B$3,AJ5138,AK5138,AL5138)</x:f>
        <x:v>0</x:v>
      </x:c>
      <x:c r="AN5138" t="n">
        <x:v>1</x:v>
      </x:c>
    </x:row>
    <x:row r="5139" ht="23" customHeight="1">
      <x:c r="A5139" s="11" t="str">
        <x:v>688062.SH</x:v>
      </x:c>
      <x:c r="B5139" s="11" t="str">
        <x:v>半年</x:v>
      </x:c>
      <x:c r="C5139" s="11" t="str">
        <x:v>bfv_uc_first</x:v>
      </x:c>
      <x:c r="D5139" s="11" t="str">
        <x:v>2038-12-31</x:v>
      </x:c>
      <x:c r="E5139" s="11" t="str">
        <x:v>CNY</x:v>
      </x:c>
      <x:c r="F5139" s="11" t="n">
        <x:v>11.728952772073923</x:v>
      </x:c>
      <x:c r="G5139" s="26" t="b">
        <x:v>1</x:v>
      </x:c>
      <x:c r="H5139" s="16" t="n">
        <x:v>0.384</x:v>
      </x:c>
      <x:c r="I5139" s="16" t="n">
        <x:v>0.7</x:v>
      </x:c>
      <x:c r="J5139" s="16" t="n">
        <x:v>0.7919999999999999</x:v>
      </x:c>
      <x:c r="K5139" s="11" t="n">
        <x:f>CHOOSE('假设'!$B$3,H5139,I5139,J5139)</x:f>
        <x:v>0.7</x:v>
      </x:c>
      <x:c r="L5139" s="11" t="n">
        <x:f>K5139*'管线假设'!E1103*'管线假设'!F1103*'管线假设'!G1103*IF(E5139="USD",'管线假设'!I1103,1)-AM5139</x:f>
        <x:v>0.11739000000000001</x:v>
      </x:c>
      <x:c r="M5139" s="11" t="n">
        <x:f>'管线假设'!H1103</x:f>
        <x:v>0.14</x:v>
      </x:c>
      <x:c r="N5139" s="11" t="n">
        <x:f>IF(G5139,L5139*AN5139/(1+M5139)^F5139,0)</x:f>
        <x:v>0.02524624478610323</x:v>
      </x:c>
      <x:c r="AJ5139" t="n">
        <x:v>0</x:v>
      </x:c>
      <x:c r="AK5139" t="n">
        <x:v>0</x:v>
      </x:c>
      <x:c r="AL5139" t="n">
        <x:v>0</x:v>
      </x:c>
      <x:c r="AM5139" t="n">
        <x:f>CHOOSE('假设'!$B$3,AJ5139,AK5139,AL5139)</x:f>
        <x:v>0</x:v>
      </x:c>
      <x:c r="AN5139" t="n">
        <x:v>1</x:v>
      </x:c>
    </x:row>
    <x:row r="5140" ht="23" customHeight="1">
      <x:c r="A5140" s="11" t="str">
        <x:v>688062.SH</x:v>
      </x:c>
      <x:c r="B5140" s="11" t="str">
        <x:v>半年</x:v>
      </x:c>
      <x:c r="C5140" s="11" t="str">
        <x:v>bfv_uc_first</x:v>
      </x:c>
      <x:c r="D5140" s="11" t="str">
        <x:v>2039-12-31</x:v>
      </x:c>
      <x:c r="E5140" s="11" t="str">
        <x:v>CNY</x:v>
      </x:c>
      <x:c r="F5140" s="11" t="n">
        <x:v>12.728268309377139</x:v>
      </x:c>
      <x:c r="G5140" s="26" t="b">
        <x:v>1</x:v>
      </x:c>
      <x:c r="H5140" s="16" t="n">
        <x:v>0.27999999999999997</x:v>
      </x:c>
      <x:c r="I5140" s="16" t="n">
        <x:v>0.43999999999999995</x:v>
      </x:c>
      <x:c r="J5140" s="16" t="n">
        <x:v>0.3239999999999999</x:v>
      </x:c>
      <x:c r="K5140" s="11" t="n">
        <x:f>CHOOSE('假设'!$B$3,H5140,I5140,J5140)</x:f>
        <x:v>0.43999999999999995</x:v>
      </x:c>
      <x:c r="L5140" s="11" t="n">
        <x:f>K5140*'管线假设'!E1103*'管线假设'!F1103*'管线假设'!G1103*IF(E5140="USD",'管线假设'!I1103,1)-AM5140</x:f>
        <x:v>0.07378799999999999</x:v>
      </x:c>
      <x:c r="M5140" s="11" t="n">
        <x:f>'管线假设'!H1103</x:f>
        <x:v>0.14</x:v>
      </x:c>
      <x:c r="N5140" s="11" t="n">
        <x:f>IF(G5140,L5140*AN5140/(1+M5140)^F5140,0)</x:f>
        <x:v>0.01392148369817982</x:v>
      </x:c>
      <x:c r="AJ5140" t="n">
        <x:v>0</x:v>
      </x:c>
      <x:c r="AK5140" t="n">
        <x:v>0</x:v>
      </x:c>
      <x:c r="AL5140" t="n">
        <x:v>0</x:v>
      </x:c>
      <x:c r="AM5140" t="n">
        <x:f>CHOOSE('假设'!$B$3,AJ5140,AK5140,AL5140)</x:f>
        <x:v>0</x:v>
      </x:c>
      <x:c r="AN5140" t="n">
        <x:v>1</x:v>
      </x:c>
    </x:row>
    <x:row r="5141" ht="23" customHeight="1">
      <x:c r="A5141" s="11" t="str">
        <x:v>688062.SH</x:v>
      </x:c>
      <x:c r="B5141" s="11" t="str">
        <x:v>半年</x:v>
      </x:c>
      <x:c r="C5141" s="11" t="str">
        <x:v>bfv_uc_first</x:v>
      </x:c>
      <x:c r="D5141" s="11" t="str">
        <x:v>2040-12-31</x:v>
      </x:c>
      <x:c r="E5141" s="11" t="str">
        <x:v>CNY</x:v>
      </x:c>
      <x:c r="F5141" s="11" t="n">
        <x:v>13.730321697467488</x:v>
      </x:c>
      <x:c r="G5141" s="26" t="b">
        <x:v>1</x:v>
      </x:c>
      <x:c r="H5141" s="16" t="n">
        <x:v>0.176</x:v>
      </x:c>
      <x:c r="I5141" s="16" t="n">
        <x:v>0.17999999999999994</x:v>
      </x:c>
      <x:c r="J5141" s="16" t="n">
        <x:v>0</x:v>
      </x:c>
      <x:c r="K5141" s="11" t="n">
        <x:f>CHOOSE('假设'!$B$3,H5141,I5141,J5141)</x:f>
        <x:v>0.17999999999999994</x:v>
      </x:c>
      <x:c r="L5141" s="11" t="n">
        <x:f>K5141*'管线假设'!E1103*'管线假设'!F1103*'管线假设'!G1103*IF(E5141="USD",'管线假设'!I1103,1)-AM5141</x:f>
        <x:v>0.03018599999999999</x:v>
      </x:c>
      <x:c r="M5141" s="11" t="n">
        <x:f>'管线假设'!H1103</x:f>
        <x:v>0.14</x:v>
      </x:c>
      <x:c r="N5141" s="11" t="n">
        <x:f>IF(G5141,L5141*AN5141/(1+M5141)^F5141,0)</x:f>
        <x:v>0.0049944038040947054</x:v>
      </x:c>
      <x:c r="AJ5141" t="n">
        <x:v>0</x:v>
      </x:c>
      <x:c r="AK5141" t="n">
        <x:v>0</x:v>
      </x:c>
      <x:c r="AL5141" t="n">
        <x:v>0</x:v>
      </x:c>
      <x:c r="AM5141" t="n">
        <x:f>CHOOSE('假设'!$B$3,AJ5141,AK5141,AL5141)</x:f>
        <x:v>0</x:v>
      </x:c>
      <x:c r="AN5141" t="n">
        <x:v>1</x:v>
      </x:c>
    </x:row>
    <x:row r="5142" ht="23" customHeight="1">
      <x:c r="A5142" s="11" t="str">
        <x:v>688062.SH</x:v>
      </x:c>
      <x:c r="B5142" s="11" t="str">
        <x:v>半年</x:v>
      </x:c>
      <x:c r="C5142" s="11" t="str">
        <x:v>bfv_uc_first</x:v>
      </x:c>
      <x:c r="D5142" s="11" t="str">
        <x:v>2041-12-31</x:v>
      </x:c>
      <x:c r="E5142" s="11" t="str">
        <x:v>CNY</x:v>
      </x:c>
      <x:c r="F5142" s="11" t="n">
        <x:v>14.729637234770705</x:v>
      </x:c>
      <x:c r="G5142" s="26" t="b">
        <x:v>1</x:v>
      </x:c>
      <x:c r="H5142" s="16" t="n">
        <x:v>0.07199999999999998</x:v>
      </x:c>
      <x:c r="I5142" s="16" t="n">
        <x:v>0</x:v>
      </x:c>
      <x:c r="J5142" s="16" t="n">
        <x:v>0</x:v>
      </x:c>
      <x:c r="K5142" s="11" t="n">
        <x:f>CHOOSE('假设'!$B$3,H5142,I5142,J5142)</x:f>
        <x:v>0</x:v>
      </x:c>
      <x:c r="L5142" s="11" t="n">
        <x:f>K5142*'管线假设'!E1103*'管线假设'!F1103*'管线假设'!G1103*IF(E5142="USD",'管线假设'!I1103,1)-AM5142</x:f>
        <x:v>0</x:v>
      </x:c>
      <x:c r="M5142" s="11" t="n">
        <x:f>'管线假设'!H1103</x:f>
        <x:v>0.14</x:v>
      </x:c>
      <x:c r="N5142" s="11" t="n">
        <x:f>IF(G5142,L5142*AN5142/(1+M5142)^F5142,0)</x:f>
        <x:v>0</x:v>
      </x:c>
      <x:c r="AJ5142" t="n">
        <x:v>0</x:v>
      </x:c>
      <x:c r="AK5142" t="n">
        <x:v>0</x:v>
      </x:c>
      <x:c r="AL5142" t="n">
        <x:v>0</x:v>
      </x:c>
      <x:c r="AM5142" t="n">
        <x:f>CHOOSE('假设'!$B$3,AJ5142,AK5142,AL5142)</x:f>
        <x:v>0</x:v>
      </x:c>
      <x:c r="AN5142" t="n">
        <x:v>1</x:v>
      </x:c>
    </x:row>
    <x:row r="5143" ht="23" customHeight="1">
      <x:c r="A5143" s="11" t="str">
        <x:v>688062.SH</x:v>
      </x:c>
      <x:c r="B5143" s="11" t="str">
        <x:v>半年</x:v>
      </x:c>
      <x:c r="C5143" s="11" t="str">
        <x:v>bfv_uc_first</x:v>
      </x:c>
      <x:c r="D5143" s="11" t="str">
        <x:v>2042-12-31</x:v>
      </x:c>
      <x:c r="E5143" s="11" t="str">
        <x:v>CNY</x:v>
      </x:c>
      <x:c r="F5143" s="11" t="n">
        <x:v>15.728952772073923</x:v>
      </x:c>
      <x:c r="G5143" s="26" t="b">
        <x:v>1</x:v>
      </x:c>
      <x:c r="H5143" s="16" t="n">
        <x:v>0</x:v>
      </x:c>
      <x:c r="I5143" s="16" t="n">
        <x:v>0</x:v>
      </x:c>
      <x:c r="J5143" s="16" t="n">
        <x:v>0</x:v>
      </x:c>
      <x:c r="K5143" s="11" t="n">
        <x:f>CHOOSE('假设'!$B$3,H5143,I5143,J5143)</x:f>
        <x:v>0</x:v>
      </x:c>
      <x:c r="L5143" s="11" t="n">
        <x:f>K5143*'管线假设'!E1103*'管线假设'!F1103*'管线假设'!G1103*IF(E5143="USD",'管线假设'!I1103,1)-AM5143</x:f>
        <x:v>0</x:v>
      </x:c>
      <x:c r="M5143" s="11" t="n">
        <x:f>'管线假设'!H1103</x:f>
        <x:v>0.14</x:v>
      </x:c>
      <x:c r="N5143" s="11" t="n">
        <x:f>IF(G5143,L5143*AN5143/(1+M5143)^F5143,0)</x:f>
        <x:v>0</x:v>
      </x:c>
      <x:c r="AJ5143" t="n">
        <x:v>0</x:v>
      </x:c>
      <x:c r="AK5143" t="n">
        <x:v>0</x:v>
      </x:c>
      <x:c r="AL5143" t="n">
        <x:v>0</x:v>
      </x:c>
      <x:c r="AM5143" t="n">
        <x:f>CHOOSE('假设'!$B$3,AJ5143,AK5143,AL5143)</x:f>
        <x:v>0</x:v>
      </x:c>
      <x:c r="AN5143" t="n">
        <x:v>1</x:v>
      </x:c>
    </x:row>
    <x:row r="5144" ht="23" customHeight="1">
      <x:c r="A5144" s="11" t="str">
        <x:v>688062.SH</x:v>
      </x:c>
      <x:c r="B5144" s="11" t="str">
        <x:v>半年</x:v>
      </x:c>
      <x:c r="C5144" s="11" t="str">
        <x:v>bfv_uc_first</x:v>
      </x:c>
      <x:c r="D5144" s="11" t="str">
        <x:v>2043-12-31</x:v>
      </x:c>
      <x:c r="E5144" s="11" t="str">
        <x:v>CNY</x:v>
      </x:c>
      <x:c r="F5144" s="11" t="n">
        <x:v>16.72826830937714</x:v>
      </x:c>
      <x:c r="G5144" s="26" t="b">
        <x:v>1</x:v>
      </x:c>
      <x:c r="H5144" s="16" t="n">
        <x:v>0</x:v>
      </x:c>
      <x:c r="I5144" s="16" t="n">
        <x:v>0</x:v>
      </x:c>
      <x:c r="J5144" s="16" t="n">
        <x:v>0</x:v>
      </x:c>
      <x:c r="K5144" s="11" t="n">
        <x:f>CHOOSE('假设'!$B$3,H5144,I5144,J5144)</x:f>
        <x:v>0</x:v>
      </x:c>
      <x:c r="L5144" s="11" t="n">
        <x:f>K5144*'管线假设'!E1103*'管线假设'!F1103*'管线假设'!G1103*IF(E5144="USD",'管线假设'!I1103,1)-AM5144</x:f>
        <x:v>0</x:v>
      </x:c>
      <x:c r="M5144" s="11" t="n">
        <x:f>'管线假设'!H1103</x:f>
        <x:v>0.14</x:v>
      </x:c>
      <x:c r="N5144" s="11" t="n">
        <x:f>IF(G5144,L5144*AN5144/(1+M5144)^F5144,0)</x:f>
        <x:v>0</x:v>
      </x:c>
      <x:c r="AJ5144" t="n">
        <x:v>0</x:v>
      </x:c>
      <x:c r="AK5144" t="n">
        <x:v>0</x:v>
      </x:c>
      <x:c r="AL5144" t="n">
        <x:v>0</x:v>
      </x:c>
      <x:c r="AM5144" t="n">
        <x:f>CHOOSE('假设'!$B$3,AJ5144,AK5144,AL5144)</x:f>
        <x:v>0</x:v>
      </x:c>
      <x:c r="AN5144" t="n">
        <x:v>1</x:v>
      </x:c>
    </x:row>
    <x:row r="5145" ht="23" customHeight="1">
      <x:c r="A5145" s="11" t="str">
        <x:v>688062.SH</x:v>
      </x:c>
      <x:c r="B5145" s="11" t="str">
        <x:v>半年</x:v>
      </x:c>
      <x:c r="C5145" s="11" t="str">
        <x:v>bfv_uc_first</x:v>
      </x:c>
      <x:c r="D5145" s="11" t="str">
        <x:v>2044-12-31</x:v>
      </x:c>
      <x:c r="E5145" s="11" t="str">
        <x:v>CNY</x:v>
      </x:c>
      <x:c r="F5145" s="11" t="n">
        <x:v>17.730321697467488</x:v>
      </x:c>
      <x:c r="G5145" s="26" t="b">
        <x:v>1</x:v>
      </x:c>
      <x:c r="H5145" s="16" t="n">
        <x:v>0</x:v>
      </x:c>
      <x:c r="I5145" s="16" t="n">
        <x:v>0</x:v>
      </x:c>
      <x:c r="J5145" s="16" t="n">
        <x:v>0</x:v>
      </x:c>
      <x:c r="K5145" s="11" t="n">
        <x:f>CHOOSE('假设'!$B$3,H5145,I5145,J5145)</x:f>
        <x:v>0</x:v>
      </x:c>
      <x:c r="L5145" s="11" t="n">
        <x:f>K5145*'管线假设'!E1103*'管线假设'!F1103*'管线假设'!G1103*IF(E5145="USD",'管线假设'!I1103,1)-AM5145</x:f>
        <x:v>0</x:v>
      </x:c>
      <x:c r="M5145" s="11" t="n">
        <x:f>'管线假设'!H1103</x:f>
        <x:v>0.14</x:v>
      </x:c>
      <x:c r="N5145" s="11" t="n">
        <x:f>IF(G5145,L5145*AN5145/(1+M5145)^F5145,0)</x:f>
        <x:v>0</x:v>
      </x:c>
      <x:c r="AJ5145" t="n">
        <x:v>0</x:v>
      </x:c>
      <x:c r="AK5145" t="n">
        <x:v>0</x:v>
      </x:c>
      <x:c r="AL5145" t="n">
        <x:v>0</x:v>
      </x:c>
      <x:c r="AM5145" t="n">
        <x:f>CHOOSE('假设'!$B$3,AJ5145,AK5145,AL5145)</x:f>
        <x:v>0</x:v>
      </x:c>
      <x:c r="AN5145" t="n">
        <x:v>1</x:v>
      </x:c>
    </x:row>
    <x:row r="5146" ht="23" customHeight="1">
      <x:c r="A5146" s="11" t="str">
        <x:v>688062.SH</x:v>
      </x:c>
      <x:c r="B5146" s="11" t="str">
        <x:v>半年</x:v>
      </x:c>
      <x:c r="C5146" s="11" t="str">
        <x:v>bfv_uc_first</x:v>
      </x:c>
      <x:c r="D5146" s="11" t="str">
        <x:v>2045-12-31</x:v>
      </x:c>
      <x:c r="E5146" s="11" t="str">
        <x:v>CNY</x:v>
      </x:c>
      <x:c r="F5146" s="11" t="n">
        <x:v>18.729637234770706</x:v>
      </x:c>
      <x:c r="G5146" s="26" t="b">
        <x:v>1</x:v>
      </x:c>
      <x:c r="H5146" s="16" t="n">
        <x:v>0</x:v>
      </x:c>
      <x:c r="I5146" s="16" t="n">
        <x:v>0</x:v>
      </x:c>
      <x:c r="J5146" s="16" t="n">
        <x:v>0</x:v>
      </x:c>
      <x:c r="K5146" s="11" t="n">
        <x:f>CHOOSE('假设'!$B$3,H5146,I5146,J5146)</x:f>
        <x:v>0</x:v>
      </x:c>
      <x:c r="L5146" s="11" t="n">
        <x:f>K5146*'管线假设'!E1103*'管线假设'!F1103*'管线假设'!G1103*IF(E5146="USD",'管线假设'!I1103,1)-AM5146</x:f>
        <x:v>0</x:v>
      </x:c>
      <x:c r="M5146" s="11" t="n">
        <x:f>'管线假设'!H1103</x:f>
        <x:v>0.14</x:v>
      </x:c>
      <x:c r="N5146" s="11" t="n">
        <x:f>IF(G5146,L5146*AN5146/(1+M5146)^F5146,0)</x:f>
        <x:v>0</x:v>
      </x:c>
      <x:c r="AJ5146" t="n">
        <x:v>0</x:v>
      </x:c>
      <x:c r="AK5146" t="n">
        <x:v>0</x:v>
      </x:c>
      <x:c r="AL5146" t="n">
        <x:v>0</x:v>
      </x:c>
      <x:c r="AM5146" t="n">
        <x:f>CHOOSE('假设'!$B$3,AJ5146,AK5146,AL5146)</x:f>
        <x:v>0</x:v>
      </x:c>
      <x:c r="AN5146" t="n">
        <x:v>1</x:v>
      </x:c>
    </x:row>
    <x:row r="5147" ht="23" customHeight="1">
      <x:c r="A5147" s="11" t="str">
        <x:v>688062.SH</x:v>
      </x:c>
      <x:c r="B5147" s="11" t="str">
        <x:v>半年</x:v>
      </x:c>
      <x:c r="C5147" s="11" t="str">
        <x:v>bfv_cervix</x:v>
      </x:c>
      <x:c r="D5147" s="11" t="str">
        <x:v>2027-12-31</x:v>
      </x:c>
      <x:c r="E5147" s="11" t="str">
        <x:v>CNY</x:v>
      </x:c>
      <x:c r="F5147" s="11" t="n">
        <x:v>0.7282683093771389</x:v>
      </x:c>
      <x:c r="G5147" s="26" t="b">
        <x:v>1</x:v>
      </x:c>
      <x:c r="H5147" s="16" t="n">
        <x:v>0</x:v>
      </x:c>
      <x:c r="I5147" s="16" t="n">
        <x:v>0</x:v>
      </x:c>
      <x:c r="J5147" s="16" t="n">
        <x:v>0.39999999999999997</x:v>
      </x:c>
      <x:c r="K5147" s="11" t="n">
        <x:f>CHOOSE('假设'!$B$3,H5147,I5147,J5147)</x:f>
        <x:v>0</x:v>
      </x:c>
      <x:c r="L5147" s="11" t="n">
        <x:f>K5147*'管线假设'!E1107*'管线假设'!F1107*'管线假设'!G1107*IF(E5147="USD",'管线假设'!I1107,1)-AM5147</x:f>
        <x:v>0</x:v>
      </x:c>
      <x:c r="M5147" s="11" t="n">
        <x:f>'管线假设'!H1107</x:f>
        <x:v>0.14</x:v>
      </x:c>
      <x:c r="N5147" s="11" t="n">
        <x:f>IF(G5147,L5147*AN5147/(1+M5147)^F5147,0)</x:f>
        <x:v>0</x:v>
      </x:c>
      <x:c r="AJ5147" t="n">
        <x:v>0</x:v>
      </x:c>
      <x:c r="AK5147" t="n">
        <x:v>0</x:v>
      </x:c>
      <x:c r="AL5147" t="n">
        <x:v>0</x:v>
      </x:c>
      <x:c r="AM5147" t="n">
        <x:f>CHOOSE('假设'!$B$3,AJ5147,AK5147,AL5147)</x:f>
        <x:v>0</x:v>
      </x:c>
      <x:c r="AN5147" t="n">
        <x:v>1</x:v>
      </x:c>
    </x:row>
    <x:row r="5148" ht="23" customHeight="1">
      <x:c r="A5148" s="11" t="str">
        <x:v>688062.SH</x:v>
      </x:c>
      <x:c r="B5148" s="11" t="str">
        <x:v>半年</x:v>
      </x:c>
      <x:c r="C5148" s="11" t="str">
        <x:v>bfv_cervix</x:v>
      </x:c>
      <x:c r="D5148" s="11" t="str">
        <x:v>2028-12-31</x:v>
      </x:c>
      <x:c r="E5148" s="11" t="str">
        <x:v>CNY</x:v>
      </x:c>
      <x:c r="F5148" s="11" t="n">
        <x:v>1.730321697467488</x:v>
      </x:c>
      <x:c r="G5148" s="26" t="b">
        <x:v>1</x:v>
      </x:c>
      <x:c r="H5148" s="16" t="n">
        <x:v>0</x:v>
      </x:c>
      <x:c r="I5148" s="16" t="n">
        <x:v>0.2333333333333333</x:v>
      </x:c>
      <x:c r="J5148" s="16" t="n">
        <x:v>0.7999999999999999</x:v>
      </x:c>
      <x:c r="K5148" s="11" t="n">
        <x:f>CHOOSE('假设'!$B$3,H5148,I5148,J5148)</x:f>
        <x:v>0.2333333333333333</x:v>
      </x:c>
      <x:c r="L5148" s="11" t="n">
        <x:f>K5148*'管线假设'!E1107*'管线假设'!F1107*'管线假设'!G1107*IF(E5148="USD",'管线假设'!I1107,1)-AM5148</x:f>
        <x:v>0.03432799999999999</x:v>
      </x:c>
      <x:c r="M5148" s="11" t="n">
        <x:f>'管线假设'!H1107</x:f>
        <x:v>0.14</x:v>
      </x:c>
      <x:c r="N5148" s="11" t="n">
        <x:f>IF(G5148,L5148*AN5148/(1+M5148)^F5148,0)</x:f>
        <x:v>0.027364328954669493</x:v>
      </x:c>
      <x:c r="AJ5148" t="n">
        <x:v>0</x:v>
      </x:c>
      <x:c r="AK5148" t="n">
        <x:v>0</x:v>
      </x:c>
      <x:c r="AL5148" t="n">
        <x:v>0</x:v>
      </x:c>
      <x:c r="AM5148" t="n">
        <x:f>CHOOSE('假设'!$B$3,AJ5148,AK5148,AL5148)</x:f>
        <x:v>0</x:v>
      </x:c>
      <x:c r="AN5148" t="n">
        <x:v>1</x:v>
      </x:c>
    </x:row>
    <x:row r="5149" ht="23" customHeight="1">
      <x:c r="A5149" s="11" t="str">
        <x:v>688062.SH</x:v>
      </x:c>
      <x:c r="B5149" s="11" t="str">
        <x:v>半年</x:v>
      </x:c>
      <x:c r="C5149" s="11" t="str">
        <x:v>bfv_cervix</x:v>
      </x:c>
      <x:c r="D5149" s="11" t="str">
        <x:v>2029-12-31</x:v>
      </x:c>
      <x:c r="E5149" s="11" t="str">
        <x:v>CNY</x:v>
      </x:c>
      <x:c r="F5149" s="11" t="n">
        <x:v>2.729637234770705</x:v>
      </x:c>
      <x:c r="G5149" s="26" t="b">
        <x:v>1</x:v>
      </x:c>
      <x:c r="H5149" s="16" t="n">
        <x:v>0</x:v>
      </x:c>
      <x:c r="I5149" s="16" t="n">
        <x:v>0.4666666666666666</x:v>
      </x:c>
      <x:c r="J5149" s="16" t="n">
        <x:v>1.2</x:v>
      </x:c>
      <x:c r="K5149" s="11" t="n">
        <x:f>CHOOSE('假设'!$B$3,H5149,I5149,J5149)</x:f>
        <x:v>0.4666666666666666</x:v>
      </x:c>
      <x:c r="L5149" s="11" t="n">
        <x:f>K5149*'管线假设'!E1107*'管线假设'!F1107*'管线假设'!G1107*IF(E5149="USD",'管线假设'!I1107,1)-AM5149</x:f>
        <x:v>0.06865599999999998</x:v>
      </x:c>
      <x:c r="M5149" s="11" t="n">
        <x:f>'管线假设'!H1107</x:f>
        <x:v>0.14</x:v>
      </x:c>
      <x:c r="N5149" s="11" t="n">
        <x:f>IF(G5149,L5149*AN5149/(1+M5149)^F5149,0)</x:f>
        <x:v>0.04801190036148362</x:v>
      </x:c>
      <x:c r="AJ5149" t="n">
        <x:v>0</x:v>
      </x:c>
      <x:c r="AK5149" t="n">
        <x:v>0</x:v>
      </x:c>
      <x:c r="AL5149" t="n">
        <x:v>0</x:v>
      </x:c>
      <x:c r="AM5149" t="n">
        <x:f>CHOOSE('假设'!$B$3,AJ5149,AK5149,AL5149)</x:f>
        <x:v>0</x:v>
      </x:c>
      <x:c r="AN5149" t="n">
        <x:v>1</x:v>
      </x:c>
    </x:row>
    <x:row r="5150" ht="23" customHeight="1">
      <x:c r="A5150" s="11" t="str">
        <x:v>688062.SH</x:v>
      </x:c>
      <x:c r="B5150" s="11" t="str">
        <x:v>半年</x:v>
      </x:c>
      <x:c r="C5150" s="11" t="str">
        <x:v>bfv_cervix</x:v>
      </x:c>
      <x:c r="D5150" s="11" t="str">
        <x:v>2030-12-31</x:v>
      </x:c>
      <x:c r="E5150" s="11" t="str">
        <x:v>CNY</x:v>
      </x:c>
      <x:c r="F5150" s="11" t="n">
        <x:v>3.728952772073922</x:v>
      </x:c>
      <x:c r="G5150" s="26" t="b">
        <x:v>1</x:v>
      </x:c>
      <x:c r="H5150" s="16" t="n">
        <x:v>0.12</x:v>
      </x:c>
      <x:c r="I5150" s="16" t="n">
        <x:v>0.7</x:v>
      </x:c>
      <x:c r="J5150" s="16" t="n">
        <x:v>1.5999999999999999</x:v>
      </x:c>
      <x:c r="K5150" s="11" t="n">
        <x:f>CHOOSE('假设'!$B$3,H5150,I5150,J5150)</x:f>
        <x:v>0.7</x:v>
      </x:c>
      <x:c r="L5150" s="11" t="n">
        <x:f>K5150*'管线假设'!E1107*'管线假设'!F1107*'管线假设'!G1107*IF(E5150="USD",'管线假设'!I1107,1)-AM5150</x:f>
        <x:v>0.10298399999999998</x:v>
      </x:c>
      <x:c r="M5150" s="11" t="n">
        <x:f>'管线假设'!H1107</x:f>
        <x:v>0.14</x:v>
      </x:c>
      <x:c r="N5150" s="11" t="n">
        <x:f>IF(G5150,L5150*AN5150/(1+M5150)^F5150,0)</x:f>
        <x:v>0.0631792190155556</x:v>
      </x:c>
      <x:c r="AJ5150" t="n">
        <x:v>0</x:v>
      </x:c>
      <x:c r="AK5150" t="n">
        <x:v>0</x:v>
      </x:c>
      <x:c r="AL5150" t="n">
        <x:v>0</x:v>
      </x:c>
      <x:c r="AM5150" t="n">
        <x:f>CHOOSE('假设'!$B$3,AJ5150,AK5150,AL5150)</x:f>
        <x:v>0</x:v>
      </x:c>
      <x:c r="AN5150" t="n">
        <x:v>1</x:v>
      </x:c>
    </x:row>
    <x:row r="5151" ht="23" customHeight="1">
      <x:c r="A5151" s="11" t="str">
        <x:v>688062.SH</x:v>
      </x:c>
      <x:c r="B5151" s="11" t="str">
        <x:v>半年</x:v>
      </x:c>
      <x:c r="C5151" s="11" t="str">
        <x:v>bfv_cervix</x:v>
      </x:c>
      <x:c r="D5151" s="11" t="str">
        <x:v>2031-12-31</x:v>
      </x:c>
      <x:c r="E5151" s="11" t="str">
        <x:v>CNY</x:v>
      </x:c>
      <x:c r="F5151" s="11" t="n">
        <x:v>4.728268309377139</x:v>
      </x:c>
      <x:c r="G5151" s="26" t="b">
        <x:v>1</x:v>
      </x:c>
      <x:c r="H5151" s="16" t="n">
        <x:v>0.24</x:v>
      </x:c>
      <x:c r="I5151" s="16" t="n">
        <x:v>0.9333333333333332</x:v>
      </x:c>
      <x:c r="J5151" s="16" t="n">
        <x:v>2</x:v>
      </x:c>
      <x:c r="K5151" s="11" t="n">
        <x:f>CHOOSE('假设'!$B$3,H5151,I5151,J5151)</x:f>
        <x:v>0.9333333333333332</x:v>
      </x:c>
      <x:c r="L5151" s="11" t="n">
        <x:f>K5151*'管线假设'!E1107*'管线假设'!F1107*'管线假设'!G1107*IF(E5151="USD",'管线假设'!I1107,1)-AM5151</x:f>
        <x:v>0.13731199999999996</x:v>
      </x:c>
      <x:c r="M5151" s="11" t="n">
        <x:f>'管线假设'!H1107</x:f>
        <x:v>0.14</x:v>
      </x:c>
      <x:c r="N5151" s="11" t="n">
        <x:f>IF(G5151,L5151*AN5151/(1+M5151)^F5151,0)</x:f>
        <x:v>0.07390045079773072</x:v>
      </x:c>
      <x:c r="AJ5151" t="n">
        <x:v>0</x:v>
      </x:c>
      <x:c r="AK5151" t="n">
        <x:v>0</x:v>
      </x:c>
      <x:c r="AL5151" t="n">
        <x:v>0</x:v>
      </x:c>
      <x:c r="AM5151" t="n">
        <x:f>CHOOSE('假设'!$B$3,AJ5151,AK5151,AL5151)</x:f>
        <x:v>0</x:v>
      </x:c>
      <x:c r="AN5151" t="n">
        <x:v>1</x:v>
      </x:c>
    </x:row>
    <x:row r="5152" ht="23" customHeight="1">
      <x:c r="A5152" s="11" t="str">
        <x:v>688062.SH</x:v>
      </x:c>
      <x:c r="B5152" s="11" t="str">
        <x:v>半年</x:v>
      </x:c>
      <x:c r="C5152" s="11" t="str">
        <x:v>bfv_cervix</x:v>
      </x:c>
      <x:c r="D5152" s="11" t="str">
        <x:v>2032-12-31</x:v>
      </x:c>
      <x:c r="E5152" s="11" t="str">
        <x:v>CNY</x:v>
      </x:c>
      <x:c r="F5152" s="11" t="n">
        <x:v>5.730321697467488</x:v>
      </x:c>
      <x:c r="G5152" s="26" t="b">
        <x:v>1</x:v>
      </x:c>
      <x:c r="H5152" s="16" t="n">
        <x:v>0.36</x:v>
      </x:c>
      <x:c r="I5152" s="16" t="n">
        <x:v>1.1666666666666667</x:v>
      </x:c>
      <x:c r="J5152" s="16" t="n">
        <x:v>2.4</x:v>
      </x:c>
      <x:c r="K5152" s="11" t="n">
        <x:f>CHOOSE('假设'!$B$3,H5152,I5152,J5152)</x:f>
        <x:v>1.1666666666666667</x:v>
      </x:c>
      <x:c r="L5152" s="11" t="n">
        <x:f>K5152*'管线假设'!E1107*'管线假设'!F1107*'管线假设'!G1107*IF(E5152="USD",'管线假设'!I1107,1)-AM5152</x:f>
        <x:v>0.17164</x:v>
      </x:c>
      <x:c r="M5152" s="11" t="n">
        <x:f>'管线假设'!H1107</x:f>
        <x:v>0.14</x:v>
      </x:c>
      <x:c r="N5152" s="11" t="n">
        <x:f>IF(G5152,L5152*AN5152/(1+M5152)^F5152,0)</x:f>
        <x:v>0.0810093973876491</x:v>
      </x:c>
      <x:c r="AJ5152" t="n">
        <x:v>0</x:v>
      </x:c>
      <x:c r="AK5152" t="n">
        <x:v>0</x:v>
      </x:c>
      <x:c r="AL5152" t="n">
        <x:v>0</x:v>
      </x:c>
      <x:c r="AM5152" t="n">
        <x:f>CHOOSE('假设'!$B$3,AJ5152,AK5152,AL5152)</x:f>
        <x:v>0</x:v>
      </x:c>
      <x:c r="AN5152" t="n">
        <x:v>1</x:v>
      </x:c>
    </x:row>
    <x:row r="5153" ht="23" customHeight="1">
      <x:c r="A5153" s="11" t="str">
        <x:v>688062.SH</x:v>
      </x:c>
      <x:c r="B5153" s="11" t="str">
        <x:v>半年</x:v>
      </x:c>
      <x:c r="C5153" s="11" t="str">
        <x:v>bfv_cervix</x:v>
      </x:c>
      <x:c r="D5153" s="11" t="str">
        <x:v>2033-12-31</x:v>
      </x:c>
      <x:c r="E5153" s="11" t="str">
        <x:v>CNY</x:v>
      </x:c>
      <x:c r="F5153" s="11" t="n">
        <x:v>6.729637234770705</x:v>
      </x:c>
      <x:c r="G5153" s="26" t="b">
        <x:v>1</x:v>
      </x:c>
      <x:c r="H5153" s="16" t="n">
        <x:v>0.48</x:v>
      </x:c>
      <x:c r="I5153" s="16" t="n">
        <x:v>1.4</x:v>
      </x:c>
      <x:c r="J5153" s="16" t="n">
        <x:v>2.088</x:v>
      </x:c>
      <x:c r="K5153" s="11" t="n">
        <x:f>CHOOSE('假设'!$B$3,H5153,I5153,J5153)</x:f>
        <x:v>1.4</x:v>
      </x:c>
      <x:c r="L5153" s="11" t="n">
        <x:f>K5153*'管线假设'!E1107*'管线假设'!F1107*'管线假设'!G1107*IF(E5153="USD",'管线假设'!I1107,1)-AM5153</x:f>
        <x:v>0.20596799999999996</x:v>
      </x:c>
      <x:c r="M5153" s="11" t="n">
        <x:f>'管线假设'!H1107</x:f>
        <x:v>0.14</x:v>
      </x:c>
      <x:c r="N5153" s="11" t="n">
        <x:f>IF(G5153,L5153*AN5153/(1+M5153)^F5153,0)</x:f>
        <x:v>0.08528069784929136</x:v>
      </x:c>
      <x:c r="AJ5153" t="n">
        <x:v>0</x:v>
      </x:c>
      <x:c r="AK5153" t="n">
        <x:v>0</x:v>
      </x:c>
      <x:c r="AL5153" t="n">
        <x:v>0</x:v>
      </x:c>
      <x:c r="AM5153" t="n">
        <x:f>CHOOSE('假设'!$B$3,AJ5153,AK5153,AL5153)</x:f>
        <x:v>0</x:v>
      </x:c>
      <x:c r="AN5153" t="n">
        <x:v>1</x:v>
      </x:c>
    </x:row>
    <x:row r="5154" ht="23" customHeight="1">
      <x:c r="A5154" s="11" t="str">
        <x:v>688062.SH</x:v>
      </x:c>
      <x:c r="B5154" s="11" t="str">
        <x:v>半年</x:v>
      </x:c>
      <x:c r="C5154" s="11" t="str">
        <x:v>bfv_cervix</x:v>
      </x:c>
      <x:c r="D5154" s="11" t="str">
        <x:v>2034-12-31</x:v>
      </x:c>
      <x:c r="E5154" s="11" t="str">
        <x:v>CNY</x:v>
      </x:c>
      <x:c r="F5154" s="11" t="n">
        <x:v>7.728952772073922</x:v>
      </x:c>
      <x:c r="G5154" s="26" t="b">
        <x:v>1</x:v>
      </x:c>
      <x:c r="H5154" s="16" t="n">
        <x:v>0.6</x:v>
      </x:c>
      <x:c r="I5154" s="16" t="n">
        <x:v>1.218</x:v>
      </x:c>
      <x:c r="J5154" s="16" t="n">
        <x:v>1.776</x:v>
      </x:c>
      <x:c r="K5154" s="11" t="n">
        <x:f>CHOOSE('假设'!$B$3,H5154,I5154,J5154)</x:f>
        <x:v>1.218</x:v>
      </x:c>
      <x:c r="L5154" s="11" t="n">
        <x:f>K5154*'管线假设'!E1107*'管线假设'!F1107*'管线假设'!G1107*IF(E5154="USD",'管线假设'!I1107,1)-AM5154</x:f>
        <x:v>0.17919215999999996</x:v>
      </x:c>
      <x:c r="M5154" s="11" t="n">
        <x:f>'管线假设'!H1107</x:f>
        <x:v>0.14</x:v>
      </x:c>
      <x:c r="N5154" s="11" t="n">
        <x:f>IF(G5154,L5154*AN5154/(1+M5154)^F5154,0)</x:f>
        <x:v>0.06508847496264605</x:v>
      </x:c>
      <x:c r="AJ5154" t="n">
        <x:v>0</x:v>
      </x:c>
      <x:c r="AK5154" t="n">
        <x:v>0</x:v>
      </x:c>
      <x:c r="AL5154" t="n">
        <x:v>0</x:v>
      </x:c>
      <x:c r="AM5154" t="n">
        <x:f>CHOOSE('假设'!$B$3,AJ5154,AK5154,AL5154)</x:f>
        <x:v>0</x:v>
      </x:c>
      <x:c r="AN5154" t="n">
        <x:v>1</x:v>
      </x:c>
    </x:row>
    <x:row r="5155" ht="23" customHeight="1">
      <x:c r="A5155" s="11" t="str">
        <x:v>688062.SH</x:v>
      </x:c>
      <x:c r="B5155" s="11" t="str">
        <x:v>半年</x:v>
      </x:c>
      <x:c r="C5155" s="11" t="str">
        <x:v>bfv_cervix</x:v>
      </x:c>
      <x:c r="D5155" s="11" t="str">
        <x:v>2035-12-31</x:v>
      </x:c>
      <x:c r="E5155" s="11" t="str">
        <x:v>CNY</x:v>
      </x:c>
      <x:c r="F5155" s="11" t="n">
        <x:v>8.728268309377139</x:v>
      </x:c>
      <x:c r="G5155" s="26" t="b">
        <x:v>1</x:v>
      </x:c>
      <x:c r="H5155" s="16" t="n">
        <x:v>0.522</x:v>
      </x:c>
      <x:c r="I5155" s="16" t="n">
        <x:v>1.036</x:v>
      </x:c>
      <x:c r="J5155" s="16" t="n">
        <x:v>1.464</x:v>
      </x:c>
      <x:c r="K5155" s="11" t="n">
        <x:f>CHOOSE('假设'!$B$3,H5155,I5155,J5155)</x:f>
        <x:v>1.036</x:v>
      </x:c>
      <x:c r="L5155" s="11" t="n">
        <x:f>K5155*'管线假设'!E1107*'管线假设'!F1107*'管线假设'!G1107*IF(E5155="USD",'管线假设'!I1107,1)-AM5155</x:f>
        <x:v>0.15241631999999997</x:v>
      </x:c>
      <x:c r="M5155" s="11" t="n">
        <x:f>'管线假设'!H1107</x:f>
        <x:v>0.14</x:v>
      </x:c>
      <x:c r="N5155" s="11" t="n">
        <x:f>IF(G5155,L5155*AN5155/(1+M5155)^F5155,0)</x:f>
        <x:v>0.04856804934077371</x:v>
      </x:c>
      <x:c r="AJ5155" t="n">
        <x:v>0</x:v>
      </x:c>
      <x:c r="AK5155" t="n">
        <x:v>0</x:v>
      </x:c>
      <x:c r="AL5155" t="n">
        <x:v>0</x:v>
      </x:c>
      <x:c r="AM5155" t="n">
        <x:f>CHOOSE('假设'!$B$3,AJ5155,AK5155,AL5155)</x:f>
        <x:v>0</x:v>
      </x:c>
      <x:c r="AN5155" t="n">
        <x:v>1</x:v>
      </x:c>
    </x:row>
    <x:row r="5156" ht="23" customHeight="1">
      <x:c r="A5156" s="11" t="str">
        <x:v>688062.SH</x:v>
      </x:c>
      <x:c r="B5156" s="11" t="str">
        <x:v>半年</x:v>
      </x:c>
      <x:c r="C5156" s="11" t="str">
        <x:v>bfv_cervix</x:v>
      </x:c>
      <x:c r="D5156" s="11" t="str">
        <x:v>2036-12-31</x:v>
      </x:c>
      <x:c r="E5156" s="11" t="str">
        <x:v>CNY</x:v>
      </x:c>
      <x:c r="F5156" s="11" t="n">
        <x:v>9.730321697467488</x:v>
      </x:c>
      <x:c r="G5156" s="26" t="b">
        <x:v>1</x:v>
      </x:c>
      <x:c r="H5156" s="16" t="n">
        <x:v>0.444</x:v>
      </x:c>
      <x:c r="I5156" s="16" t="n">
        <x:v>0.854</x:v>
      </x:c>
      <x:c r="J5156" s="16" t="n">
        <x:v>1.152</x:v>
      </x:c>
      <x:c r="K5156" s="11" t="n">
        <x:f>CHOOSE('假设'!$B$3,H5156,I5156,J5156)</x:f>
        <x:v>0.854</x:v>
      </x:c>
      <x:c r="L5156" s="11" t="n">
        <x:f>K5156*'管线假设'!E1107*'管线假设'!F1107*'管线假设'!G1107*IF(E5156="USD",'管线假设'!I1107,1)-AM5156</x:f>
        <x:v>0.12564047999999997</x:v>
      </x:c>
      <x:c r="M5156" s="11" t="n">
        <x:f>'管线假设'!H1107</x:f>
        <x:v>0.14</x:v>
      </x:c>
      <x:c r="N5156" s="11" t="n">
        <x:f>IF(G5156,L5156*AN5156/(1+M5156)^F5156,0)</x:f>
        <x:v>0.0351096966596057</x:v>
      </x:c>
      <x:c r="AJ5156" t="n">
        <x:v>0</x:v>
      </x:c>
      <x:c r="AK5156" t="n">
        <x:v>0</x:v>
      </x:c>
      <x:c r="AL5156" t="n">
        <x:v>0</x:v>
      </x:c>
      <x:c r="AM5156" t="n">
        <x:f>CHOOSE('假设'!$B$3,AJ5156,AK5156,AL5156)</x:f>
        <x:v>0</x:v>
      </x:c>
      <x:c r="AN5156" t="n">
        <x:v>1</x:v>
      </x:c>
    </x:row>
    <x:row r="5157" ht="23" customHeight="1">
      <x:c r="A5157" s="11" t="str">
        <x:v>688062.SH</x:v>
      </x:c>
      <x:c r="B5157" s="11" t="str">
        <x:v>半年</x:v>
      </x:c>
      <x:c r="C5157" s="11" t="str">
        <x:v>bfv_cervix</x:v>
      </x:c>
      <x:c r="D5157" s="11" t="str">
        <x:v>2037-12-31</x:v>
      </x:c>
      <x:c r="E5157" s="11" t="str">
        <x:v>CNY</x:v>
      </x:c>
      <x:c r="F5157" s="11" t="n">
        <x:v>10.729637234770705</x:v>
      </x:c>
      <x:c r="G5157" s="26" t="b">
        <x:v>1</x:v>
      </x:c>
      <x:c r="H5157" s="16" t="n">
        <x:v>0.366</x:v>
      </x:c>
      <x:c r="I5157" s="16" t="n">
        <x:v>0.6719999999999999</x:v>
      </x:c>
      <x:c r="J5157" s="16" t="n">
        <x:v>0.84</x:v>
      </x:c>
      <x:c r="K5157" s="11" t="n">
        <x:f>CHOOSE('假设'!$B$3,H5157,I5157,J5157)</x:f>
        <x:v>0.6719999999999999</x:v>
      </x:c>
      <x:c r="L5157" s="11" t="n">
        <x:f>K5157*'管线假设'!E1107*'管线假设'!F1107*'管线假设'!G1107*IF(E5157="USD",'管线假设'!I1107,1)-AM5157</x:f>
        <x:v>0.09886463999999998</x:v>
      </x:c>
      <x:c r="M5157" s="11" t="n">
        <x:f>'管线假设'!H1107</x:f>
        <x:v>0.14</x:v>
      </x:c>
      <x:c r="N5157" s="11" t="n">
        <x:f>IF(G5157,L5157*AN5157/(1+M5157)^F5157,0)</x:f>
        <x:v>0.024236649233727238</x:v>
      </x:c>
      <x:c r="AJ5157" t="n">
        <x:v>0</x:v>
      </x:c>
      <x:c r="AK5157" t="n">
        <x:v>0</x:v>
      </x:c>
      <x:c r="AL5157" t="n">
        <x:v>0</x:v>
      </x:c>
      <x:c r="AM5157" t="n">
        <x:f>CHOOSE('假设'!$B$3,AJ5157,AK5157,AL5157)</x:f>
        <x:v>0</x:v>
      </x:c>
      <x:c r="AN5157" t="n">
        <x:v>1</x:v>
      </x:c>
    </x:row>
    <x:row r="5158" ht="23" customHeight="1">
      <x:c r="A5158" s="11" t="str">
        <x:v>688062.SH</x:v>
      </x:c>
      <x:c r="B5158" s="11" t="str">
        <x:v>半年</x:v>
      </x:c>
      <x:c r="C5158" s="11" t="str">
        <x:v>bfv_cervix</x:v>
      </x:c>
      <x:c r="D5158" s="11" t="str">
        <x:v>2038-12-31</x:v>
      </x:c>
      <x:c r="E5158" s="11" t="str">
        <x:v>CNY</x:v>
      </x:c>
      <x:c r="F5158" s="11" t="n">
        <x:v>11.728952772073923</x:v>
      </x:c>
      <x:c r="G5158" s="26" t="b">
        <x:v>1</x:v>
      </x:c>
      <x:c r="H5158" s="16" t="n">
        <x:v>0.288</x:v>
      </x:c>
      <x:c r="I5158" s="16" t="n">
        <x:v>0.48999999999999994</x:v>
      </x:c>
      <x:c r="J5158" s="16" t="n">
        <x:v>0.5279999999999999</x:v>
      </x:c>
      <x:c r="K5158" s="11" t="n">
        <x:f>CHOOSE('假设'!$B$3,H5158,I5158,J5158)</x:f>
        <x:v>0.48999999999999994</x:v>
      </x:c>
      <x:c r="L5158" s="11" t="n">
        <x:f>K5158*'管线假设'!E1107*'管线假设'!F1107*'管线假设'!G1107*IF(E5158="USD",'管线假设'!I1107,1)-AM5158</x:f>
        <x:v>0.07208879999999998</x:v>
      </x:c>
      <x:c r="M5158" s="11" t="n">
        <x:f>'管线假设'!H1107</x:f>
        <x:v>0.14</x:v>
      </x:c>
      <x:c r="N5158" s="11" t="n">
        <x:f>IF(G5158,L5158*AN5158/(1+M5158)^F5158,0)</x:f>
        <x:v>0.015503633113011651</x:v>
      </x:c>
      <x:c r="AJ5158" t="n">
        <x:v>0</x:v>
      </x:c>
      <x:c r="AK5158" t="n">
        <x:v>0</x:v>
      </x:c>
      <x:c r="AL5158" t="n">
        <x:v>0</x:v>
      </x:c>
      <x:c r="AM5158" t="n">
        <x:f>CHOOSE('假设'!$B$3,AJ5158,AK5158,AL5158)</x:f>
        <x:v>0</x:v>
      </x:c>
      <x:c r="AN5158" t="n">
        <x:v>1</x:v>
      </x:c>
    </x:row>
    <x:row r="5159" ht="23" customHeight="1">
      <x:c r="A5159" s="11" t="str">
        <x:v>688062.SH</x:v>
      </x:c>
      <x:c r="B5159" s="11" t="str">
        <x:v>半年</x:v>
      </x:c>
      <x:c r="C5159" s="11" t="str">
        <x:v>bfv_cervix</x:v>
      </x:c>
      <x:c r="D5159" s="11" t="str">
        <x:v>2039-12-31</x:v>
      </x:c>
      <x:c r="E5159" s="11" t="str">
        <x:v>CNY</x:v>
      </x:c>
      <x:c r="F5159" s="11" t="n">
        <x:v>12.728268309377139</x:v>
      </x:c>
      <x:c r="G5159" s="26" t="b">
        <x:v>1</x:v>
      </x:c>
      <x:c r="H5159" s="16" t="n">
        <x:v>0.21</x:v>
      </x:c>
      <x:c r="I5159" s="16" t="n">
        <x:v>0.30799999999999994</x:v>
      </x:c>
      <x:c r="J5159" s="16" t="n">
        <x:v>0.21599999999999991</x:v>
      </x:c>
      <x:c r="K5159" s="11" t="n">
        <x:f>CHOOSE('假设'!$B$3,H5159,I5159,J5159)</x:f>
        <x:v>0.30799999999999994</x:v>
      </x:c>
      <x:c r="L5159" s="11" t="n">
        <x:f>K5159*'管线假设'!E1107*'管线假设'!F1107*'管线假设'!G1107*IF(E5159="USD",'管线假设'!I1107,1)-AM5159</x:f>
        <x:v>0.045312959999999985</x:v>
      </x:c>
      <x:c r="M5159" s="11" t="n">
        <x:f>'管线假设'!H1107</x:f>
        <x:v>0.14</x:v>
      </x:c>
      <x:c r="N5159" s="11" t="n">
        <x:f>IF(G5159,L5159*AN5159/(1+M5159)^F5159,0)</x:f>
        <x:v>0.00854913582095021</x:v>
      </x:c>
      <x:c r="AJ5159" t="n">
        <x:v>0</x:v>
      </x:c>
      <x:c r="AK5159" t="n">
        <x:v>0</x:v>
      </x:c>
      <x:c r="AL5159" t="n">
        <x:v>0</x:v>
      </x:c>
      <x:c r="AM5159" t="n">
        <x:f>CHOOSE('假设'!$B$3,AJ5159,AK5159,AL5159)</x:f>
        <x:v>0</x:v>
      </x:c>
      <x:c r="AN5159" t="n">
        <x:v>1</x:v>
      </x:c>
    </x:row>
    <x:row r="5160" ht="23" customHeight="1">
      <x:c r="A5160" s="11" t="str">
        <x:v>688062.SH</x:v>
      </x:c>
      <x:c r="B5160" s="11" t="str">
        <x:v>半年</x:v>
      </x:c>
      <x:c r="C5160" s="11" t="str">
        <x:v>bfv_cervix</x:v>
      </x:c>
      <x:c r="D5160" s="11" t="str">
        <x:v>2040-12-31</x:v>
      </x:c>
      <x:c r="E5160" s="11" t="str">
        <x:v>CNY</x:v>
      </x:c>
      <x:c r="F5160" s="11" t="n">
        <x:v>13.730321697467488</x:v>
      </x:c>
      <x:c r="G5160" s="26" t="b">
        <x:v>1</x:v>
      </x:c>
      <x:c r="H5160" s="16" t="n">
        <x:v>0.13199999999999998</x:v>
      </x:c>
      <x:c r="I5160" s="16" t="n">
        <x:v>0.12599999999999995</x:v>
      </x:c>
      <x:c r="J5160" s="16" t="n">
        <x:v>0</x:v>
      </x:c>
      <x:c r="K5160" s="11" t="n">
        <x:f>CHOOSE('假设'!$B$3,H5160,I5160,J5160)</x:f>
        <x:v>0.12599999999999995</x:v>
      </x:c>
      <x:c r="L5160" s="11" t="n">
        <x:f>K5160*'管线假设'!E1107*'管线假设'!F1107*'管线假设'!G1107*IF(E5160="USD",'管线假设'!I1107,1)-AM5160</x:f>
        <x:v>0.01853711999999999</x:v>
      </x:c>
      <x:c r="M5160" s="11" t="n">
        <x:f>'管线假设'!H1107</x:f>
        <x:v>0.14</x:v>
      </x:c>
      <x:c r="N5160" s="11" t="n">
        <x:f>IF(G5160,L5160*AN5160/(1+M5160)^F5160,0)</x:f>
        <x:v>0.003067046400482344</x:v>
      </x:c>
      <x:c r="AJ5160" t="n">
        <x:v>0</x:v>
      </x:c>
      <x:c r="AK5160" t="n">
        <x:v>0</x:v>
      </x:c>
      <x:c r="AL5160" t="n">
        <x:v>0</x:v>
      </x:c>
      <x:c r="AM5160" t="n">
        <x:f>CHOOSE('假设'!$B$3,AJ5160,AK5160,AL5160)</x:f>
        <x:v>0</x:v>
      </x:c>
      <x:c r="AN5160" t="n">
        <x:v>1</x:v>
      </x:c>
    </x:row>
    <x:row r="5161" ht="23" customHeight="1">
      <x:c r="A5161" s="11" t="str">
        <x:v>688062.SH</x:v>
      </x:c>
      <x:c r="B5161" s="11" t="str">
        <x:v>半年</x:v>
      </x:c>
      <x:c r="C5161" s="11" t="str">
        <x:v>bfv_cervix</x:v>
      </x:c>
      <x:c r="D5161" s="11" t="str">
        <x:v>2041-12-31</x:v>
      </x:c>
      <x:c r="E5161" s="11" t="str">
        <x:v>CNY</x:v>
      </x:c>
      <x:c r="F5161" s="11" t="n">
        <x:v>14.729637234770705</x:v>
      </x:c>
      <x:c r="G5161" s="26" t="b">
        <x:v>1</x:v>
      </x:c>
      <x:c r="H5161" s="16" t="n">
        <x:v>0.05399999999999998</x:v>
      </x:c>
      <x:c r="I5161" s="16" t="n">
        <x:v>0</x:v>
      </x:c>
      <x:c r="J5161" s="16" t="n">
        <x:v>0</x:v>
      </x:c>
      <x:c r="K5161" s="11" t="n">
        <x:f>CHOOSE('假设'!$B$3,H5161,I5161,J5161)</x:f>
        <x:v>0</x:v>
      </x:c>
      <x:c r="L5161" s="11" t="n">
        <x:f>K5161*'管线假设'!E1107*'管线假设'!F1107*'管线假设'!G1107*IF(E5161="USD",'管线假设'!I1107,1)-AM5161</x:f>
        <x:v>0</x:v>
      </x:c>
      <x:c r="M5161" s="11" t="n">
        <x:f>'管线假设'!H1107</x:f>
        <x:v>0.14</x:v>
      </x:c>
      <x:c r="N5161" s="11" t="n">
        <x:f>IF(G5161,L5161*AN5161/(1+M5161)^F5161,0)</x:f>
        <x:v>0</x:v>
      </x:c>
      <x:c r="AJ5161" t="n">
        <x:v>0</x:v>
      </x:c>
      <x:c r="AK5161" t="n">
        <x:v>0</x:v>
      </x:c>
      <x:c r="AL5161" t="n">
        <x:v>0</x:v>
      </x:c>
      <x:c r="AM5161" t="n">
        <x:f>CHOOSE('假设'!$B$3,AJ5161,AK5161,AL5161)</x:f>
        <x:v>0</x:v>
      </x:c>
      <x:c r="AN5161" t="n">
        <x:v>1</x:v>
      </x:c>
    </x:row>
    <x:row r="5162" ht="23" customHeight="1">
      <x:c r="A5162" s="11" t="str">
        <x:v>688062.SH</x:v>
      </x:c>
      <x:c r="B5162" s="11" t="str">
        <x:v>半年</x:v>
      </x:c>
      <x:c r="C5162" s="11" t="str">
        <x:v>bfv_cervix</x:v>
      </x:c>
      <x:c r="D5162" s="11" t="str">
        <x:v>2042-12-31</x:v>
      </x:c>
      <x:c r="E5162" s="11" t="str">
        <x:v>CNY</x:v>
      </x:c>
      <x:c r="F5162" s="11" t="n">
        <x:v>15.728952772073923</x:v>
      </x:c>
      <x:c r="G5162" s="26" t="b">
        <x:v>1</x:v>
      </x:c>
      <x:c r="H5162" s="16" t="n">
        <x:v>0</x:v>
      </x:c>
      <x:c r="I5162" s="16" t="n">
        <x:v>0</x:v>
      </x:c>
      <x:c r="J5162" s="16" t="n">
        <x:v>0</x:v>
      </x:c>
      <x:c r="K5162" s="11" t="n">
        <x:f>CHOOSE('假设'!$B$3,H5162,I5162,J5162)</x:f>
        <x:v>0</x:v>
      </x:c>
      <x:c r="L5162" s="11" t="n">
        <x:f>K5162*'管线假设'!E1107*'管线假设'!F1107*'管线假设'!G1107*IF(E5162="USD",'管线假设'!I1107,1)-AM5162</x:f>
        <x:v>0</x:v>
      </x:c>
      <x:c r="M5162" s="11" t="n">
        <x:f>'管线假设'!H1107</x:f>
        <x:v>0.14</x:v>
      </x:c>
      <x:c r="N5162" s="11" t="n">
        <x:f>IF(G5162,L5162*AN5162/(1+M5162)^F5162,0)</x:f>
        <x:v>0</x:v>
      </x:c>
      <x:c r="AJ5162" t="n">
        <x:v>0</x:v>
      </x:c>
      <x:c r="AK5162" t="n">
        <x:v>0</x:v>
      </x:c>
      <x:c r="AL5162" t="n">
        <x:v>0</x:v>
      </x:c>
      <x:c r="AM5162" t="n">
        <x:f>CHOOSE('假设'!$B$3,AJ5162,AK5162,AL5162)</x:f>
        <x:v>0</x:v>
      </x:c>
      <x:c r="AN5162" t="n">
        <x:v>1</x:v>
      </x:c>
    </x:row>
    <x:row r="5163" ht="23" customHeight="1">
      <x:c r="A5163" s="11" t="str">
        <x:v>688062.SH</x:v>
      </x:c>
      <x:c r="B5163" s="11" t="str">
        <x:v>半年</x:v>
      </x:c>
      <x:c r="C5163" s="11" t="str">
        <x:v>bfv_cervix</x:v>
      </x:c>
      <x:c r="D5163" s="11" t="str">
        <x:v>2043-12-31</x:v>
      </x:c>
      <x:c r="E5163" s="11" t="str">
        <x:v>CNY</x:v>
      </x:c>
      <x:c r="F5163" s="11" t="n">
        <x:v>16.72826830937714</x:v>
      </x:c>
      <x:c r="G5163" s="26" t="b">
        <x:v>1</x:v>
      </x:c>
      <x:c r="H5163" s="16" t="n">
        <x:v>0</x:v>
      </x:c>
      <x:c r="I5163" s="16" t="n">
        <x:v>0</x:v>
      </x:c>
      <x:c r="J5163" s="16" t="n">
        <x:v>0</x:v>
      </x:c>
      <x:c r="K5163" s="11" t="n">
        <x:f>CHOOSE('假设'!$B$3,H5163,I5163,J5163)</x:f>
        <x:v>0</x:v>
      </x:c>
      <x:c r="L5163" s="11" t="n">
        <x:f>K5163*'管线假设'!E1107*'管线假设'!F1107*'管线假设'!G1107*IF(E5163="USD",'管线假设'!I1107,1)-AM5163</x:f>
        <x:v>0</x:v>
      </x:c>
      <x:c r="M5163" s="11" t="n">
        <x:f>'管线假设'!H1107</x:f>
        <x:v>0.14</x:v>
      </x:c>
      <x:c r="N5163" s="11" t="n">
        <x:f>IF(G5163,L5163*AN5163/(1+M5163)^F5163,0)</x:f>
        <x:v>0</x:v>
      </x:c>
      <x:c r="AJ5163" t="n">
        <x:v>0</x:v>
      </x:c>
      <x:c r="AK5163" t="n">
        <x:v>0</x:v>
      </x:c>
      <x:c r="AL5163" t="n">
        <x:v>0</x:v>
      </x:c>
      <x:c r="AM5163" t="n">
        <x:f>CHOOSE('假设'!$B$3,AJ5163,AK5163,AL5163)</x:f>
        <x:v>0</x:v>
      </x:c>
      <x:c r="AN5163" t="n">
        <x:v>1</x:v>
      </x:c>
    </x:row>
    <x:row r="5164" ht="23" customHeight="1">
      <x:c r="A5164" s="11" t="str">
        <x:v>688062.SH</x:v>
      </x:c>
      <x:c r="B5164" s="11" t="str">
        <x:v>半年</x:v>
      </x:c>
      <x:c r="C5164" s="11" t="str">
        <x:v>bfv_cervix</x:v>
      </x:c>
      <x:c r="D5164" s="11" t="str">
        <x:v>2044-12-31</x:v>
      </x:c>
      <x:c r="E5164" s="11" t="str">
        <x:v>CNY</x:v>
      </x:c>
      <x:c r="F5164" s="11" t="n">
        <x:v>17.730321697467488</x:v>
      </x:c>
      <x:c r="G5164" s="26" t="b">
        <x:v>1</x:v>
      </x:c>
      <x:c r="H5164" s="16" t="n">
        <x:v>0</x:v>
      </x:c>
      <x:c r="I5164" s="16" t="n">
        <x:v>0</x:v>
      </x:c>
      <x:c r="J5164" s="16" t="n">
        <x:v>0</x:v>
      </x:c>
      <x:c r="K5164" s="11" t="n">
        <x:f>CHOOSE('假设'!$B$3,H5164,I5164,J5164)</x:f>
        <x:v>0</x:v>
      </x:c>
      <x:c r="L5164" s="11" t="n">
        <x:f>K5164*'管线假设'!E1107*'管线假设'!F1107*'管线假设'!G1107*IF(E5164="USD",'管线假设'!I1107,1)-AM5164</x:f>
        <x:v>0</x:v>
      </x:c>
      <x:c r="M5164" s="11" t="n">
        <x:f>'管线假设'!H1107</x:f>
        <x:v>0.14</x:v>
      </x:c>
      <x:c r="N5164" s="11" t="n">
        <x:f>IF(G5164,L5164*AN5164/(1+M5164)^F5164,0)</x:f>
        <x:v>0</x:v>
      </x:c>
      <x:c r="AJ5164" t="n">
        <x:v>0</x:v>
      </x:c>
      <x:c r="AK5164" t="n">
        <x:v>0</x:v>
      </x:c>
      <x:c r="AL5164" t="n">
        <x:v>0</x:v>
      </x:c>
      <x:c r="AM5164" t="n">
        <x:f>CHOOSE('假设'!$B$3,AJ5164,AK5164,AL5164)</x:f>
        <x:v>0</x:v>
      </x:c>
      <x:c r="AN5164" t="n">
        <x:v>1</x:v>
      </x:c>
    </x:row>
    <x:row r="5165" ht="23" customHeight="1">
      <x:c r="A5165" s="11" t="str">
        <x:v>688062.SH</x:v>
      </x:c>
      <x:c r="B5165" s="11" t="str">
        <x:v>半年</x:v>
      </x:c>
      <x:c r="C5165" s="11" t="str">
        <x:v>bfv_cervix</x:v>
      </x:c>
      <x:c r="D5165" s="11" t="str">
        <x:v>2045-12-31</x:v>
      </x:c>
      <x:c r="E5165" s="11" t="str">
        <x:v>CNY</x:v>
      </x:c>
      <x:c r="F5165" s="11" t="n">
        <x:v>18.729637234770706</x:v>
      </x:c>
      <x:c r="G5165" s="26" t="b">
        <x:v>1</x:v>
      </x:c>
      <x:c r="H5165" s="16" t="n">
        <x:v>0</x:v>
      </x:c>
      <x:c r="I5165" s="16" t="n">
        <x:v>0</x:v>
      </x:c>
      <x:c r="J5165" s="16" t="n">
        <x:v>0</x:v>
      </x:c>
      <x:c r="K5165" s="11" t="n">
        <x:f>CHOOSE('假设'!$B$3,H5165,I5165,J5165)</x:f>
        <x:v>0</x:v>
      </x:c>
      <x:c r="L5165" s="11" t="n">
        <x:f>K5165*'管线假设'!E1107*'管线假设'!F1107*'管线假设'!G1107*IF(E5165="USD",'管线假设'!I1107,1)-AM5165</x:f>
        <x:v>0</x:v>
      </x:c>
      <x:c r="M5165" s="11" t="n">
        <x:f>'管线假设'!H1107</x:f>
        <x:v>0.14</x:v>
      </x:c>
      <x:c r="N5165" s="11" t="n">
        <x:f>IF(G5165,L5165*AN5165/(1+M5165)^F5165,0)</x:f>
        <x:v>0</x:v>
      </x:c>
      <x:c r="AJ5165" t="n">
        <x:v>0</x:v>
      </x:c>
      <x:c r="AK5165" t="n">
        <x:v>0</x:v>
      </x:c>
      <x:c r="AL5165" t="n">
        <x:v>0</x:v>
      </x:c>
      <x:c r="AM5165" t="n">
        <x:f>CHOOSE('假设'!$B$3,AJ5165,AK5165,AL5165)</x:f>
        <x:v>0</x:v>
      </x:c>
      <x:c r="AN5165" t="n">
        <x:v>1</x:v>
      </x:c>
    </x:row>
    <x:row r="5166" ht="23" customHeight="1">
      <x:c r="A5166" s="11" t="str">
        <x:v>688062.SH</x:v>
      </x:c>
      <x:c r="B5166" s="11" t="str">
        <x:v>半年</x:v>
      </x:c>
      <x:c r="C5166" s="11" t="str">
        <x:v>bfv_tnbc</x:v>
      </x:c>
      <x:c r="D5166" s="11" t="str">
        <x:v>2027-12-31</x:v>
      </x:c>
      <x:c r="E5166" s="11" t="str">
        <x:v>CNY</x:v>
      </x:c>
      <x:c r="F5166" s="11" t="n">
        <x:v>0.7282683093771389</x:v>
      </x:c>
      <x:c r="G5166" s="26" t="b">
        <x:v>1</x:v>
      </x:c>
      <x:c r="H5166" s="16" t="n">
        <x:v>0</x:v>
      </x:c>
      <x:c r="I5166" s="16" t="n">
        <x:v>0</x:v>
      </x:c>
      <x:c r="J5166" s="16" t="n">
        <x:v>0</x:v>
      </x:c>
      <x:c r="K5166" s="11" t="n">
        <x:f>CHOOSE('假设'!$B$3,H5166,I5166,J5166)</x:f>
        <x:v>0</x:v>
      </x:c>
      <x:c r="L5166" s="11" t="n">
        <x:f>K5166*'管线假设'!E1111*'管线假设'!F1111*'管线假设'!G1111*IF(E5166="USD",'管线假设'!I1111,1)-AM5166</x:f>
        <x:v>0</x:v>
      </x:c>
      <x:c r="M5166" s="11" t="n">
        <x:f>'管线假设'!H1111</x:f>
        <x:v>0.14</x:v>
      </x:c>
      <x:c r="N5166" s="11" t="n">
        <x:f>IF(G5166,L5166*AN5166/(1+M5166)^F5166,0)</x:f>
        <x:v>0</x:v>
      </x:c>
      <x:c r="AJ5166" t="n">
        <x:v>0</x:v>
      </x:c>
      <x:c r="AK5166" t="n">
        <x:v>0</x:v>
      </x:c>
      <x:c r="AL5166" t="n">
        <x:v>0</x:v>
      </x:c>
      <x:c r="AM5166" t="n">
        <x:f>CHOOSE('假设'!$B$3,AJ5166,AK5166,AL5166)</x:f>
        <x:v>0</x:v>
      </x:c>
      <x:c r="AN5166" t="n">
        <x:v>1</x:v>
      </x:c>
    </x:row>
    <x:row r="5167" ht="23" customHeight="1">
      <x:c r="A5167" s="11" t="str">
        <x:v>688062.SH</x:v>
      </x:c>
      <x:c r="B5167" s="11" t="str">
        <x:v>半年</x:v>
      </x:c>
      <x:c r="C5167" s="11" t="str">
        <x:v>bfv_tnbc</x:v>
      </x:c>
      <x:c r="D5167" s="11" t="str">
        <x:v>2028-12-31</x:v>
      </x:c>
      <x:c r="E5167" s="11" t="str">
        <x:v>CNY</x:v>
      </x:c>
      <x:c r="F5167" s="11" t="n">
        <x:v>1.730321697467488</x:v>
      </x:c>
      <x:c r="G5167" s="26" t="b">
        <x:v>1</x:v>
      </x:c>
      <x:c r="H5167" s="16" t="n">
        <x:v>0</x:v>
      </x:c>
      <x:c r="I5167" s="16" t="n">
        <x:v>0</x:v>
      </x:c>
      <x:c r="J5167" s="16" t="n">
        <x:v>0</x:v>
      </x:c>
      <x:c r="K5167" s="11" t="n">
        <x:f>CHOOSE('假设'!$B$3,H5167,I5167,J5167)</x:f>
        <x:v>0</x:v>
      </x:c>
      <x:c r="L5167" s="11" t="n">
        <x:f>K5167*'管线假设'!E1111*'管线假设'!F1111*'管线假设'!G1111*IF(E5167="USD",'管线假设'!I1111,1)-AM5167</x:f>
        <x:v>0</x:v>
      </x:c>
      <x:c r="M5167" s="11" t="n">
        <x:f>'管线假设'!H1111</x:f>
        <x:v>0.14</x:v>
      </x:c>
      <x:c r="N5167" s="11" t="n">
        <x:f>IF(G5167,L5167*AN5167/(1+M5167)^F5167,0)</x:f>
        <x:v>0</x:v>
      </x:c>
      <x:c r="AJ5167" t="n">
        <x:v>0</x:v>
      </x:c>
      <x:c r="AK5167" t="n">
        <x:v>0</x:v>
      </x:c>
      <x:c r="AL5167" t="n">
        <x:v>0</x:v>
      </x:c>
      <x:c r="AM5167" t="n">
        <x:f>CHOOSE('假设'!$B$3,AJ5167,AK5167,AL5167)</x:f>
        <x:v>0</x:v>
      </x:c>
      <x:c r="AN5167" t="n">
        <x:v>1</x:v>
      </x:c>
    </x:row>
    <x:row r="5168" ht="23" customHeight="1">
      <x:c r="A5168" s="11" t="str">
        <x:v>688062.SH</x:v>
      </x:c>
      <x:c r="B5168" s="11" t="str">
        <x:v>半年</x:v>
      </x:c>
      <x:c r="C5168" s="11" t="str">
        <x:v>bfv_tnbc</x:v>
      </x:c>
      <x:c r="D5168" s="11" t="str">
        <x:v>2029-12-31</x:v>
      </x:c>
      <x:c r="E5168" s="11" t="str">
        <x:v>CNY</x:v>
      </x:c>
      <x:c r="F5168" s="11" t="n">
        <x:v>2.729637234770705</x:v>
      </x:c>
      <x:c r="G5168" s="26" t="b">
        <x:v>1</x:v>
      </x:c>
      <x:c r="H5168" s="16" t="n">
        <x:v>0</x:v>
      </x:c>
      <x:c r="I5168" s="16" t="n">
        <x:v>0</x:v>
      </x:c>
      <x:c r="J5168" s="16" t="n">
        <x:v>0.6000000000000001</x:v>
      </x:c>
      <x:c r="K5168" s="11" t="n">
        <x:f>CHOOSE('假设'!$B$3,H5168,I5168,J5168)</x:f>
        <x:v>0</x:v>
      </x:c>
      <x:c r="L5168" s="11" t="n">
        <x:f>K5168*'管线假设'!E1111*'管线假设'!F1111*'管线假设'!G1111*IF(E5168="USD",'管线假设'!I1111,1)-AM5168</x:f>
        <x:v>0</x:v>
      </x:c>
      <x:c r="M5168" s="11" t="n">
        <x:f>'管线假设'!H1111</x:f>
        <x:v>0.14</x:v>
      </x:c>
      <x:c r="N5168" s="11" t="n">
        <x:f>IF(G5168,L5168*AN5168/(1+M5168)^F5168,0)</x:f>
        <x:v>0</x:v>
      </x:c>
      <x:c r="AJ5168" t="n">
        <x:v>0</x:v>
      </x:c>
      <x:c r="AK5168" t="n">
        <x:v>0</x:v>
      </x:c>
      <x:c r="AL5168" t="n">
        <x:v>0</x:v>
      </x:c>
      <x:c r="AM5168" t="n">
        <x:f>CHOOSE('假设'!$B$3,AJ5168,AK5168,AL5168)</x:f>
        <x:v>0</x:v>
      </x:c>
      <x:c r="AN5168" t="n">
        <x:v>1</x:v>
      </x:c>
    </x:row>
    <x:row r="5169" ht="23" customHeight="1">
      <x:c r="A5169" s="11" t="str">
        <x:v>688062.SH</x:v>
      </x:c>
      <x:c r="B5169" s="11" t="str">
        <x:v>半年</x:v>
      </x:c>
      <x:c r="C5169" s="11" t="str">
        <x:v>bfv_tnbc</x:v>
      </x:c>
      <x:c r="D5169" s="11" t="str">
        <x:v>2030-12-31</x:v>
      </x:c>
      <x:c r="E5169" s="11" t="str">
        <x:v>CNY</x:v>
      </x:c>
      <x:c r="F5169" s="11" t="n">
        <x:v>3.728952772073922</x:v>
      </x:c>
      <x:c r="G5169" s="26" t="b">
        <x:v>1</x:v>
      </x:c>
      <x:c r="H5169" s="16" t="n">
        <x:v>0</x:v>
      </x:c>
      <x:c r="I5169" s="16" t="n">
        <x:v>0.25</x:v>
      </x:c>
      <x:c r="J5169" s="16" t="n">
        <x:v>1.2000000000000002</x:v>
      </x:c>
      <x:c r="K5169" s="11" t="n">
        <x:f>CHOOSE('假设'!$B$3,H5169,I5169,J5169)</x:f>
        <x:v>0.25</x:v>
      </x:c>
      <x:c r="L5169" s="11" t="n">
        <x:f>K5169*'管线假设'!E1111*'管线假设'!F1111*'管线假设'!G1111*IF(E5169="USD",'管线假设'!I1111,1)-AM5169</x:f>
        <x:v>0.023550000000000005</x:v>
      </x:c>
      <x:c r="M5169" s="11" t="n">
        <x:f>'管线假设'!H1111</x:f>
        <x:v>0.14</x:v>
      </x:c>
      <x:c r="N5169" s="11" t="n">
        <x:f>IF(G5169,L5169*AN5169/(1+M5169)^F5169,0)</x:f>
        <x:v>0.014447589992778828</x:v>
      </x:c>
      <x:c r="AJ5169" t="n">
        <x:v>0</x:v>
      </x:c>
      <x:c r="AK5169" t="n">
        <x:v>0</x:v>
      </x:c>
      <x:c r="AL5169" t="n">
        <x:v>0</x:v>
      </x:c>
      <x:c r="AM5169" t="n">
        <x:f>CHOOSE('假设'!$B$3,AJ5169,AK5169,AL5169)</x:f>
        <x:v>0</x:v>
      </x:c>
      <x:c r="AN5169" t="n">
        <x:v>1</x:v>
      </x:c>
    </x:row>
    <x:row r="5170" ht="23" customHeight="1">
      <x:c r="A5170" s="11" t="str">
        <x:v>688062.SH</x:v>
      </x:c>
      <x:c r="B5170" s="11" t="str">
        <x:v>半年</x:v>
      </x:c>
      <x:c r="C5170" s="11" t="str">
        <x:v>bfv_tnbc</x:v>
      </x:c>
      <x:c r="D5170" s="11" t="str">
        <x:v>2031-12-31</x:v>
      </x:c>
      <x:c r="E5170" s="11" t="str">
        <x:v>CNY</x:v>
      </x:c>
      <x:c r="F5170" s="11" t="n">
        <x:v>4.728268309377139</x:v>
      </x:c>
      <x:c r="G5170" s="26" t="b">
        <x:v>1</x:v>
      </x:c>
      <x:c r="H5170" s="16" t="n">
        <x:v>0</x:v>
      </x:c>
      <x:c r="I5170" s="16" t="n">
        <x:v>0.5</x:v>
      </x:c>
      <x:c r="J5170" s="16" t="n">
        <x:v>1.7999999999999998</x:v>
      </x:c>
      <x:c r="K5170" s="11" t="n">
        <x:f>CHOOSE('假设'!$B$3,H5170,I5170,J5170)</x:f>
        <x:v>0.5</x:v>
      </x:c>
      <x:c r="L5170" s="11" t="n">
        <x:f>K5170*'管线假设'!E1111*'管线假设'!F1111*'管线假设'!G1111*IF(E5170="USD",'管线假设'!I1111,1)-AM5170</x:f>
        <x:v>0.04710000000000001</x:v>
      </x:c>
      <x:c r="M5170" s="11" t="n">
        <x:f>'管线假设'!H1111</x:f>
        <x:v>0.14</x:v>
      </x:c>
      <x:c r="N5170" s="11" t="n">
        <x:f>IF(G5170,L5170*AN5170/(1+M5170)^F5170,0)</x:f>
        <x:v>0.025348922399885798</x:v>
      </x:c>
      <x:c r="AJ5170" t="n">
        <x:v>0</x:v>
      </x:c>
      <x:c r="AK5170" t="n">
        <x:v>0</x:v>
      </x:c>
      <x:c r="AL5170" t="n">
        <x:v>0</x:v>
      </x:c>
      <x:c r="AM5170" t="n">
        <x:f>CHOOSE('假设'!$B$3,AJ5170,AK5170,AL5170)</x:f>
        <x:v>0</x:v>
      </x:c>
      <x:c r="AN5170" t="n">
        <x:v>1</x:v>
      </x:c>
    </x:row>
    <x:row r="5171" ht="23" customHeight="1">
      <x:c r="A5171" s="11" t="str">
        <x:v>688062.SH</x:v>
      </x:c>
      <x:c r="B5171" s="11" t="str">
        <x:v>半年</x:v>
      </x:c>
      <x:c r="C5171" s="11" t="str">
        <x:v>bfv_tnbc</x:v>
      </x:c>
      <x:c r="D5171" s="11" t="str">
        <x:v>2032-12-31</x:v>
      </x:c>
      <x:c r="E5171" s="11" t="str">
        <x:v>CNY</x:v>
      </x:c>
      <x:c r="F5171" s="11" t="n">
        <x:v>5.730321697467488</x:v>
      </x:c>
      <x:c r="G5171" s="26" t="b">
        <x:v>1</x:v>
      </x:c>
      <x:c r="H5171" s="16" t="n">
        <x:v>0.11000000000000001</x:v>
      </x:c>
      <x:c r="I5171" s="16" t="n">
        <x:v>0.75</x:v>
      </x:c>
      <x:c r="J5171" s="16" t="n">
        <x:v>2.4000000000000004</x:v>
      </x:c>
      <x:c r="K5171" s="11" t="n">
        <x:f>CHOOSE('假设'!$B$3,H5171,I5171,J5171)</x:f>
        <x:v>0.75</x:v>
      </x:c>
      <x:c r="L5171" s="11" t="n">
        <x:f>K5171*'管线假设'!E1111*'管线假设'!F1111*'管线假设'!G1111*IF(E5171="USD",'管线假设'!I1111,1)-AM5171</x:f>
        <x:v>0.07065</x:v>
      </x:c>
      <x:c r="M5171" s="11" t="n">
        <x:f>'管线假设'!H1111</x:f>
        <x:v>0.14</x:v>
      </x:c>
      <x:c r="N5171" s="11" t="n">
        <x:f>IF(G5171,L5171*AN5171/(1+M5171)^F5171,0)</x:f>
        <x:v>0.03334487255556636</x:v>
      </x:c>
      <x:c r="AJ5171" t="n">
        <x:v>0</x:v>
      </x:c>
      <x:c r="AK5171" t="n">
        <x:v>0</x:v>
      </x:c>
      <x:c r="AL5171" t="n">
        <x:v>0</x:v>
      </x:c>
      <x:c r="AM5171" t="n">
        <x:f>CHOOSE('假设'!$B$3,AJ5171,AK5171,AL5171)</x:f>
        <x:v>0</x:v>
      </x:c>
      <x:c r="AN5171" t="n">
        <x:v>1</x:v>
      </x:c>
    </x:row>
    <x:row r="5172" ht="23" customHeight="1">
      <x:c r="A5172" s="11" t="str">
        <x:v>688062.SH</x:v>
      </x:c>
      <x:c r="B5172" s="11" t="str">
        <x:v>半年</x:v>
      </x:c>
      <x:c r="C5172" s="11" t="str">
        <x:v>bfv_tnbc</x:v>
      </x:c>
      <x:c r="D5172" s="11" t="str">
        <x:v>2033-12-31</x:v>
      </x:c>
      <x:c r="E5172" s="11" t="str">
        <x:v>CNY</x:v>
      </x:c>
      <x:c r="F5172" s="11" t="n">
        <x:v>6.729637234770705</x:v>
      </x:c>
      <x:c r="G5172" s="26" t="b">
        <x:v>1</x:v>
      </x:c>
      <x:c r="H5172" s="16" t="n">
        <x:v>0.22000000000000003</x:v>
      </x:c>
      <x:c r="I5172" s="16" t="n">
        <x:v>1</x:v>
      </x:c>
      <x:c r="J5172" s="16" t="n">
        <x:v>3</x:v>
      </x:c>
      <x:c r="K5172" s="11" t="n">
        <x:f>CHOOSE('假设'!$B$3,H5172,I5172,J5172)</x:f>
        <x:v>1</x:v>
      </x:c>
      <x:c r="L5172" s="11" t="n">
        <x:f>K5172*'管线假设'!E1111*'管线假设'!F1111*'管线假设'!G1111*IF(E5172="USD",'管线假设'!I1111,1)-AM5172</x:f>
        <x:v>0.09420000000000002</x:v>
      </x:c>
      <x:c r="M5172" s="11" t="n">
        <x:f>'管线假设'!H1111</x:f>
        <x:v>0.14</x:v>
      </x:c>
      <x:c r="N5172" s="11" t="n">
        <x:f>IF(G5172,L5172*AN5172/(1+M5172)^F5172,0)</x:f>
        <x:v>0.039003348760017334</x:v>
      </x:c>
      <x:c r="AJ5172" t="n">
        <x:v>0</x:v>
      </x:c>
      <x:c r="AK5172" t="n">
        <x:v>0</x:v>
      </x:c>
      <x:c r="AL5172" t="n">
        <x:v>0</x:v>
      </x:c>
      <x:c r="AM5172" t="n">
        <x:f>CHOOSE('假设'!$B$3,AJ5172,AK5172,AL5172)</x:f>
        <x:v>0</x:v>
      </x:c>
      <x:c r="AN5172" t="n">
        <x:v>1</x:v>
      </x:c>
    </x:row>
    <x:row r="5173" ht="23" customHeight="1">
      <x:c r="A5173" s="11" t="str">
        <x:v>688062.SH</x:v>
      </x:c>
      <x:c r="B5173" s="11" t="str">
        <x:v>半年</x:v>
      </x:c>
      <x:c r="C5173" s="11" t="str">
        <x:v>bfv_tnbc</x:v>
      </x:c>
      <x:c r="D5173" s="11" t="str">
        <x:v>2034-12-31</x:v>
      </x:c>
      <x:c r="E5173" s="11" t="str">
        <x:v>CNY</x:v>
      </x:c>
      <x:c r="F5173" s="11" t="n">
        <x:v>7.728952772073922</x:v>
      </x:c>
      <x:c r="G5173" s="26" t="b">
        <x:v>1</x:v>
      </x:c>
      <x:c r="H5173" s="16" t="n">
        <x:v>0.33</x:v>
      </x:c>
      <x:c r="I5173" s="16" t="n">
        <x:v>1.25</x:v>
      </x:c>
      <x:c r="J5173" s="16" t="n">
        <x:v>2.61</x:v>
      </x:c>
      <x:c r="K5173" s="11" t="n">
        <x:f>CHOOSE('假设'!$B$3,H5173,I5173,J5173)</x:f>
        <x:v>1.25</x:v>
      </x:c>
      <x:c r="L5173" s="11" t="n">
        <x:f>K5173*'管线假设'!E1111*'管线假设'!F1111*'管线假设'!G1111*IF(E5173="USD",'管线假设'!I1111,1)-AM5173</x:f>
        <x:v>0.11775000000000002</x:v>
      </x:c>
      <x:c r="M5173" s="11" t="n">
        <x:f>'管线假设'!H1111</x:f>
        <x:v>0.14</x:v>
      </x:c>
      <x:c r="N5173" s="11" t="n">
        <x:f>IF(G5173,L5173*AN5173/(1+M5173)^F5173,0)</x:f>
        <x:v>0.04277066545127631</x:v>
      </x:c>
      <x:c r="AJ5173" t="n">
        <x:v>0</x:v>
      </x:c>
      <x:c r="AK5173" t="n">
        <x:v>0</x:v>
      </x:c>
      <x:c r="AL5173" t="n">
        <x:v>0</x:v>
      </x:c>
      <x:c r="AM5173" t="n">
        <x:f>CHOOSE('假设'!$B$3,AJ5173,AK5173,AL5173)</x:f>
        <x:v>0</x:v>
      </x:c>
      <x:c r="AN5173" t="n">
        <x:v>1</x:v>
      </x:c>
    </x:row>
    <x:row r="5174" ht="23" customHeight="1">
      <x:c r="A5174" s="11" t="str">
        <x:v>688062.SH</x:v>
      </x:c>
      <x:c r="B5174" s="11" t="str">
        <x:v>半年</x:v>
      </x:c>
      <x:c r="C5174" s="11" t="str">
        <x:v>bfv_tnbc</x:v>
      </x:c>
      <x:c r="D5174" s="11" t="str">
        <x:v>2035-12-31</x:v>
      </x:c>
      <x:c r="E5174" s="11" t="str">
        <x:v>CNY</x:v>
      </x:c>
      <x:c r="F5174" s="11" t="n">
        <x:v>8.728268309377139</x:v>
      </x:c>
      <x:c r="G5174" s="26" t="b">
        <x:v>1</x:v>
      </x:c>
      <x:c r="H5174" s="16" t="n">
        <x:v>0.44000000000000006</x:v>
      </x:c>
      <x:c r="I5174" s="16" t="n">
        <x:v>1.5</x:v>
      </x:c>
      <x:c r="J5174" s="16" t="n">
        <x:v>2.2199999999999998</x:v>
      </x:c>
      <x:c r="K5174" s="11" t="n">
        <x:f>CHOOSE('假设'!$B$3,H5174,I5174,J5174)</x:f>
        <x:v>1.5</x:v>
      </x:c>
      <x:c r="L5174" s="11" t="n">
        <x:f>K5174*'管线假设'!E1111*'管线假设'!F1111*'管线假设'!G1111*IF(E5174="USD",'管线假设'!I1111,1)-AM5174</x:f>
        <x:v>0.1413</x:v>
      </x:c>
      <x:c r="M5174" s="11" t="n">
        <x:f>'管线假设'!H1111</x:f>
        <x:v>0.14</x:v>
      </x:c>
      <x:c r="N5174" s="11" t="n">
        <x:f>IF(G5174,L5174*AN5174/(1+M5174)^F5174,0)</x:f>
        <x:v>0.04502579101667936</x:v>
      </x:c>
      <x:c r="AJ5174" t="n">
        <x:v>0</x:v>
      </x:c>
      <x:c r="AK5174" t="n">
        <x:v>0</x:v>
      </x:c>
      <x:c r="AL5174" t="n">
        <x:v>0</x:v>
      </x:c>
      <x:c r="AM5174" t="n">
        <x:f>CHOOSE('假设'!$B$3,AJ5174,AK5174,AL5174)</x:f>
        <x:v>0</x:v>
      </x:c>
      <x:c r="AN5174" t="n">
        <x:v>1</x:v>
      </x:c>
    </x:row>
    <x:row r="5175" ht="23" customHeight="1">
      <x:c r="A5175" s="11" t="str">
        <x:v>688062.SH</x:v>
      </x:c>
      <x:c r="B5175" s="11" t="str">
        <x:v>半年</x:v>
      </x:c>
      <x:c r="C5175" s="11" t="str">
        <x:v>bfv_tnbc</x:v>
      </x:c>
      <x:c r="D5175" s="11" t="str">
        <x:v>2036-12-31</x:v>
      </x:c>
      <x:c r="E5175" s="11" t="str">
        <x:v>CNY</x:v>
      </x:c>
      <x:c r="F5175" s="11" t="n">
        <x:v>9.730321697467488</x:v>
      </x:c>
      <x:c r="G5175" s="26" t="b">
        <x:v>1</x:v>
      </x:c>
      <x:c r="H5175" s="16" t="n">
        <x:v>0.55</x:v>
      </x:c>
      <x:c r="I5175" s="16" t="n">
        <x:v>1.305</x:v>
      </x:c>
      <x:c r="J5175" s="16" t="n">
        <x:v>1.83</x:v>
      </x:c>
      <x:c r="K5175" s="11" t="n">
        <x:f>CHOOSE('假设'!$B$3,H5175,I5175,J5175)</x:f>
        <x:v>1.305</x:v>
      </x:c>
      <x:c r="L5175" s="11" t="n">
        <x:f>K5175*'管线假设'!E1111*'管线假设'!F1111*'管线假设'!G1111*IF(E5175="USD",'管线假设'!I1111,1)-AM5175</x:f>
        <x:v>0.12293100000000001</x:v>
      </x:c>
      <x:c r="M5175" s="11" t="n">
        <x:f>'管线假设'!H1111</x:f>
        <x:v>0.14</x:v>
      </x:c>
      <x:c r="N5175" s="11" t="n">
        <x:f>IF(G5175,L5175*AN5175/(1+M5175)^F5175,0)</x:f>
        <x:v>0.034352544021337625</x:v>
      </x:c>
      <x:c r="AJ5175" t="n">
        <x:v>0</x:v>
      </x:c>
      <x:c r="AK5175" t="n">
        <x:v>0</x:v>
      </x:c>
      <x:c r="AL5175" t="n">
        <x:v>0</x:v>
      </x:c>
      <x:c r="AM5175" t="n">
        <x:f>CHOOSE('假设'!$B$3,AJ5175,AK5175,AL5175)</x:f>
        <x:v>0</x:v>
      </x:c>
      <x:c r="AN5175" t="n">
        <x:v>1</x:v>
      </x:c>
    </x:row>
    <x:row r="5176" ht="23" customHeight="1">
      <x:c r="A5176" s="11" t="str">
        <x:v>688062.SH</x:v>
      </x:c>
      <x:c r="B5176" s="11" t="str">
        <x:v>半年</x:v>
      </x:c>
      <x:c r="C5176" s="11" t="str">
        <x:v>bfv_tnbc</x:v>
      </x:c>
      <x:c r="D5176" s="11" t="str">
        <x:v>2037-12-31</x:v>
      </x:c>
      <x:c r="E5176" s="11" t="str">
        <x:v>CNY</x:v>
      </x:c>
      <x:c r="F5176" s="11" t="n">
        <x:v>10.729637234770705</x:v>
      </x:c>
      <x:c r="G5176" s="26" t="b">
        <x:v>1</x:v>
      </x:c>
      <x:c r="H5176" s="16" t="n">
        <x:v>0.47850000000000004</x:v>
      </x:c>
      <x:c r="I5176" s="16" t="n">
        <x:v>1.1099999999999999</x:v>
      </x:c>
      <x:c r="J5176" s="16" t="n">
        <x:v>1.44</x:v>
      </x:c>
      <x:c r="K5176" s="11" t="n">
        <x:f>CHOOSE('假设'!$B$3,H5176,I5176,J5176)</x:f>
        <x:v>1.1099999999999999</x:v>
      </x:c>
      <x:c r="L5176" s="11" t="n">
        <x:f>K5176*'管线假设'!E1111*'管线假设'!F1111*'管线假设'!G1111*IF(E5176="USD",'管线假设'!I1111,1)-AM5176</x:f>
        <x:v>0.104562</x:v>
      </x:c>
      <x:c r="M5176" s="11" t="n">
        <x:f>'管线假设'!H1111</x:f>
        <x:v>0.14</x:v>
      </x:c>
      <x:c r="N5176" s="11" t="n">
        <x:f>IF(G5176,L5176*AN5176/(1+M5176)^F5176,0)</x:f>
        <x:v>0.025633356042938992</x:v>
      </x:c>
      <x:c r="AJ5176" t="n">
        <x:v>0</x:v>
      </x:c>
      <x:c r="AK5176" t="n">
        <x:v>0</x:v>
      </x:c>
      <x:c r="AL5176" t="n">
        <x:v>0</x:v>
      </x:c>
      <x:c r="AM5176" t="n">
        <x:f>CHOOSE('假设'!$B$3,AJ5176,AK5176,AL5176)</x:f>
        <x:v>0</x:v>
      </x:c>
      <x:c r="AN5176" t="n">
        <x:v>1</x:v>
      </x:c>
    </x:row>
    <x:row r="5177" ht="23" customHeight="1">
      <x:c r="A5177" s="11" t="str">
        <x:v>688062.SH</x:v>
      </x:c>
      <x:c r="B5177" s="11" t="str">
        <x:v>半年</x:v>
      </x:c>
      <x:c r="C5177" s="11" t="str">
        <x:v>bfv_tnbc</x:v>
      </x:c>
      <x:c r="D5177" s="11" t="str">
        <x:v>2038-12-31</x:v>
      </x:c>
      <x:c r="E5177" s="11" t="str">
        <x:v>CNY</x:v>
      </x:c>
      <x:c r="F5177" s="11" t="n">
        <x:v>11.728952772073923</x:v>
      </x:c>
      <x:c r="G5177" s="26" t="b">
        <x:v>1</x:v>
      </x:c>
      <x:c r="H5177" s="16" t="n">
        <x:v>0.40700000000000003</x:v>
      </x:c>
      <x:c r="I5177" s="16" t="n">
        <x:v>0.915</x:v>
      </x:c>
      <x:c r="J5177" s="16" t="n">
        <x:v>1.0499999999999998</x:v>
      </x:c>
      <x:c r="K5177" s="11" t="n">
        <x:f>CHOOSE('假设'!$B$3,H5177,I5177,J5177)</x:f>
        <x:v>0.915</x:v>
      </x:c>
      <x:c r="L5177" s="11" t="n">
        <x:f>K5177*'管线假设'!E1111*'管线假设'!F1111*'管线假设'!G1111*IF(E5177="USD",'管线假设'!I1111,1)-AM5177</x:f>
        <x:v>0.08619300000000002</x:v>
      </x:c>
      <x:c r="M5177" s="11" t="n">
        <x:f>'管线假设'!H1111</x:f>
        <x:v>0.14</x:v>
      </x:c>
      <x:c r="N5177" s="11" t="n">
        <x:f>IF(G5177,L5177*AN5177/(1+M5177)^F5177,0)</x:f>
        <x:v>0.018536924583427854</x:v>
      </x:c>
      <x:c r="AJ5177" t="n">
        <x:v>0</x:v>
      </x:c>
      <x:c r="AK5177" t="n">
        <x:v>0</x:v>
      </x:c>
      <x:c r="AL5177" t="n">
        <x:v>0</x:v>
      </x:c>
      <x:c r="AM5177" t="n">
        <x:f>CHOOSE('假设'!$B$3,AJ5177,AK5177,AL5177)</x:f>
        <x:v>0</x:v>
      </x:c>
      <x:c r="AN5177" t="n">
        <x:v>1</x:v>
      </x:c>
    </x:row>
    <x:row r="5178" ht="23" customHeight="1">
      <x:c r="A5178" s="11" t="str">
        <x:v>688062.SH</x:v>
      </x:c>
      <x:c r="B5178" s="11" t="str">
        <x:v>半年</x:v>
      </x:c>
      <x:c r="C5178" s="11" t="str">
        <x:v>bfv_tnbc</x:v>
      </x:c>
      <x:c r="D5178" s="11" t="str">
        <x:v>2039-12-31</x:v>
      </x:c>
      <x:c r="E5178" s="11" t="str">
        <x:v>CNY</x:v>
      </x:c>
      <x:c r="F5178" s="11" t="n">
        <x:v>12.728268309377139</x:v>
      </x:c>
      <x:c r="G5178" s="26" t="b">
        <x:v>1</x:v>
      </x:c>
      <x:c r="H5178" s="16" t="n">
        <x:v>0.3355</x:v>
      </x:c>
      <x:c r="I5178" s="16" t="n">
        <x:v>0.72</x:v>
      </x:c>
      <x:c r="J5178" s="16" t="n">
        <x:v>0.6599999999999999</x:v>
      </x:c>
      <x:c r="K5178" s="11" t="n">
        <x:f>CHOOSE('假设'!$B$3,H5178,I5178,J5178)</x:f>
        <x:v>0.72</x:v>
      </x:c>
      <x:c r="L5178" s="11" t="n">
        <x:f>K5178*'管线假设'!E1111*'管线假设'!F1111*'管线假设'!G1111*IF(E5178="USD",'管线假设'!I1111,1)-AM5178</x:f>
        <x:v>0.06782400000000001</x:v>
      </x:c>
      <x:c r="M5178" s="11" t="n">
        <x:f>'管线假设'!H1111</x:f>
        <x:v>0.14</x:v>
      </x:c>
      <x:c r="N5178" s="11" t="n">
        <x:f>IF(G5178,L5178*AN5178/(1+M5178)^F5178,0)</x:f>
        <x:v>0.012796263760304499</x:v>
      </x:c>
      <x:c r="AJ5178" t="n">
        <x:v>0</x:v>
      </x:c>
      <x:c r="AK5178" t="n">
        <x:v>0</x:v>
      </x:c>
      <x:c r="AL5178" t="n">
        <x:v>0</x:v>
      </x:c>
      <x:c r="AM5178" t="n">
        <x:f>CHOOSE('假设'!$B$3,AJ5178,AK5178,AL5178)</x:f>
        <x:v>0</x:v>
      </x:c>
      <x:c r="AN5178" t="n">
        <x:v>1</x:v>
      </x:c>
    </x:row>
    <x:row r="5179" ht="23" customHeight="1">
      <x:c r="A5179" s="11" t="str">
        <x:v>688062.SH</x:v>
      </x:c>
      <x:c r="B5179" s="11" t="str">
        <x:v>半年</x:v>
      </x:c>
      <x:c r="C5179" s="11" t="str">
        <x:v>bfv_tnbc</x:v>
      </x:c>
      <x:c r="D5179" s="11" t="str">
        <x:v>2040-12-31</x:v>
      </x:c>
      <x:c r="E5179" s="11" t="str">
        <x:v>CNY</x:v>
      </x:c>
      <x:c r="F5179" s="11" t="n">
        <x:v>13.730321697467488</x:v>
      </x:c>
      <x:c r="G5179" s="26" t="b">
        <x:v>1</x:v>
      </x:c>
      <x:c r="H5179" s="16" t="n">
        <x:v>0.264</x:v>
      </x:c>
      <x:c r="I5179" s="16" t="n">
        <x:v>0.5249999999999999</x:v>
      </x:c>
      <x:c r="J5179" s="16" t="n">
        <x:v>0.2699999999999999</x:v>
      </x:c>
      <x:c r="K5179" s="11" t="n">
        <x:f>CHOOSE('假设'!$B$3,H5179,I5179,J5179)</x:f>
        <x:v>0.5249999999999999</x:v>
      </x:c>
      <x:c r="L5179" s="11" t="n">
        <x:f>K5179*'管线假设'!E1111*'管线假设'!F1111*'管线假设'!G1111*IF(E5179="USD",'管线假设'!I1111,1)-AM5179</x:f>
        <x:v>0.049455</x:v>
      </x:c>
      <x:c r="M5179" s="11" t="n">
        <x:f>'管线假设'!H1111</x:f>
        <x:v>0.14</x:v>
      </x:c>
      <x:c r="N5179" s="11" t="n">
        <x:f>IF(G5179,L5179*AN5179/(1+M5179)^F5179,0)</x:f>
        <x:v>0.008182542905038883</x:v>
      </x:c>
      <x:c r="AJ5179" t="n">
        <x:v>0</x:v>
      </x:c>
      <x:c r="AK5179" t="n">
        <x:v>0</x:v>
      </x:c>
      <x:c r="AL5179" t="n">
        <x:v>0</x:v>
      </x:c>
      <x:c r="AM5179" t="n">
        <x:f>CHOOSE('假设'!$B$3,AJ5179,AK5179,AL5179)</x:f>
        <x:v>0</x:v>
      </x:c>
      <x:c r="AN5179" t="n">
        <x:v>1</x:v>
      </x:c>
    </x:row>
    <x:row r="5180" ht="23" customHeight="1">
      <x:c r="A5180" s="11" t="str">
        <x:v>688062.SH</x:v>
      </x:c>
      <x:c r="B5180" s="11" t="str">
        <x:v>半年</x:v>
      </x:c>
      <x:c r="C5180" s="11" t="str">
        <x:v>bfv_tnbc</x:v>
      </x:c>
      <x:c r="D5180" s="11" t="str">
        <x:v>2041-12-31</x:v>
      </x:c>
      <x:c r="E5180" s="11" t="str">
        <x:v>CNY</x:v>
      </x:c>
      <x:c r="F5180" s="11" t="n">
        <x:v>14.729637234770705</x:v>
      </x:c>
      <x:c r="G5180" s="26" t="b">
        <x:v>1</x:v>
      </x:c>
      <x:c r="H5180" s="16" t="n">
        <x:v>0.1925</x:v>
      </x:c>
      <x:c r="I5180" s="16" t="n">
        <x:v>0.32999999999999996</x:v>
      </x:c>
      <x:c r="J5180" s="16" t="n">
        <x:v>0</x:v>
      </x:c>
      <x:c r="K5180" s="11" t="n">
        <x:f>CHOOSE('假设'!$B$3,H5180,I5180,J5180)</x:f>
        <x:v>0.32999999999999996</x:v>
      </x:c>
      <x:c r="L5180" s="11" t="n">
        <x:f>K5180*'管线假设'!E1111*'管线假设'!F1111*'管线假设'!G1111*IF(E5180="USD",'管线假设'!I1111,1)-AM5180</x:f>
        <x:v>0.031086</x:v>
      </x:c>
      <x:c r="M5180" s="11" t="n">
        <x:f>'管线假设'!H1111</x:f>
        <x:v>0.14</x:v>
      </x:c>
      <x:c r="N5180" s="11" t="n">
        <x:f>IF(G5180,L5180*AN5180/(1+M5180)^F5180,0)</x:f>
        <x:v>0.004512082435517664</x:v>
      </x:c>
      <x:c r="AJ5180" t="n">
        <x:v>0</x:v>
      </x:c>
      <x:c r="AK5180" t="n">
        <x:v>0</x:v>
      </x:c>
      <x:c r="AL5180" t="n">
        <x:v>0</x:v>
      </x:c>
      <x:c r="AM5180" t="n">
        <x:f>CHOOSE('假设'!$B$3,AJ5180,AK5180,AL5180)</x:f>
        <x:v>0</x:v>
      </x:c>
      <x:c r="AN5180" t="n">
        <x:v>1</x:v>
      </x:c>
    </x:row>
    <x:row r="5181" ht="23" customHeight="1">
      <x:c r="A5181" s="11" t="str">
        <x:v>688062.SH</x:v>
      </x:c>
      <x:c r="B5181" s="11" t="str">
        <x:v>半年</x:v>
      </x:c>
      <x:c r="C5181" s="11" t="str">
        <x:v>bfv_tnbc</x:v>
      </x:c>
      <x:c r="D5181" s="11" t="str">
        <x:v>2042-12-31</x:v>
      </x:c>
      <x:c r="E5181" s="11" t="str">
        <x:v>CNY</x:v>
      </x:c>
      <x:c r="F5181" s="11" t="n">
        <x:v>15.728952772073923</x:v>
      </x:c>
      <x:c r="G5181" s="26" t="b">
        <x:v>1</x:v>
      </x:c>
      <x:c r="H5181" s="16" t="n">
        <x:v>0.121</x:v>
      </x:c>
      <x:c r="I5181" s="16" t="n">
        <x:v>0.13499999999999995</x:v>
      </x:c>
      <x:c r="J5181" s="16" t="n">
        <x:v>0</x:v>
      </x:c>
      <x:c r="K5181" s="11" t="n">
        <x:f>CHOOSE('假设'!$B$3,H5181,I5181,J5181)</x:f>
        <x:v>0.13499999999999995</x:v>
      </x:c>
      <x:c r="L5181" s="11" t="n">
        <x:f>K5181*'管线假设'!E1111*'管线假设'!F1111*'管线假设'!G1111*IF(E5181="USD",'管线假设'!I1111,1)-AM5181</x:f>
        <x:v>0.012716999999999997</x:v>
      </x:c>
      <x:c r="M5181" s="11" t="n">
        <x:f>'管线假设'!H1111</x:f>
        <x:v>0.14</x:v>
      </x:c>
      <x:c r="N5181" s="11" t="n">
        <x:f>IF(G5181,L5181*AN5181/(1+M5181)^F5181,0)</x:f>
        <x:v>0.0016193135580412489</x:v>
      </x:c>
      <x:c r="AJ5181" t="n">
        <x:v>0</x:v>
      </x:c>
      <x:c r="AK5181" t="n">
        <x:v>0</x:v>
      </x:c>
      <x:c r="AL5181" t="n">
        <x:v>0</x:v>
      </x:c>
      <x:c r="AM5181" t="n">
        <x:f>CHOOSE('假设'!$B$3,AJ5181,AK5181,AL5181)</x:f>
        <x:v>0</x:v>
      </x:c>
      <x:c r="AN5181" t="n">
        <x:v>1</x:v>
      </x:c>
    </x:row>
    <x:row r="5182" ht="23" customHeight="1">
      <x:c r="A5182" s="11" t="str">
        <x:v>688062.SH</x:v>
      </x:c>
      <x:c r="B5182" s="11" t="str">
        <x:v>半年</x:v>
      </x:c>
      <x:c r="C5182" s="11" t="str">
        <x:v>bfv_tnbc</x:v>
      </x:c>
      <x:c r="D5182" s="11" t="str">
        <x:v>2043-12-31</x:v>
      </x:c>
      <x:c r="E5182" s="11" t="str">
        <x:v>CNY</x:v>
      </x:c>
      <x:c r="F5182" s="11" t="n">
        <x:v>16.72826830937714</x:v>
      </x:c>
      <x:c r="G5182" s="26" t="b">
        <x:v>1</x:v>
      </x:c>
      <x:c r="H5182" s="16" t="n">
        <x:v>0.04949999999999999</x:v>
      </x:c>
      <x:c r="I5182" s="16" t="n">
        <x:v>0</x:v>
      </x:c>
      <x:c r="J5182" s="16" t="n">
        <x:v>0</x:v>
      </x:c>
      <x:c r="K5182" s="11" t="n">
        <x:f>CHOOSE('假设'!$B$3,H5182,I5182,J5182)</x:f>
        <x:v>0</x:v>
      </x:c>
      <x:c r="L5182" s="11" t="n">
        <x:f>K5182*'管线假设'!E1111*'管线假设'!F1111*'管线假设'!G1111*IF(E5182="USD",'管线假设'!I1111,1)-AM5182</x:f>
        <x:v>0</x:v>
      </x:c>
      <x:c r="M5182" s="11" t="n">
        <x:f>'管线假设'!H1111</x:f>
        <x:v>0.14</x:v>
      </x:c>
      <x:c r="N5182" s="11" t="n">
        <x:f>IF(G5182,L5182*AN5182/(1+M5182)^F5182,0)</x:f>
        <x:v>0</x:v>
      </x:c>
      <x:c r="AJ5182" t="n">
        <x:v>0</x:v>
      </x:c>
      <x:c r="AK5182" t="n">
        <x:v>0</x:v>
      </x:c>
      <x:c r="AL5182" t="n">
        <x:v>0</x:v>
      </x:c>
      <x:c r="AM5182" t="n">
        <x:f>CHOOSE('假设'!$B$3,AJ5182,AK5182,AL5182)</x:f>
        <x:v>0</x:v>
      </x:c>
      <x:c r="AN5182" t="n">
        <x:v>1</x:v>
      </x:c>
    </x:row>
    <x:row r="5183" ht="23" customHeight="1">
      <x:c r="A5183" s="11" t="str">
        <x:v>688062.SH</x:v>
      </x:c>
      <x:c r="B5183" s="11" t="str">
        <x:v>半年</x:v>
      </x:c>
      <x:c r="C5183" s="11" t="str">
        <x:v>bfv_tnbc</x:v>
      </x:c>
      <x:c r="D5183" s="11" t="str">
        <x:v>2044-12-31</x:v>
      </x:c>
      <x:c r="E5183" s="11" t="str">
        <x:v>CNY</x:v>
      </x:c>
      <x:c r="F5183" s="11" t="n">
        <x:v>17.730321697467488</x:v>
      </x:c>
      <x:c r="G5183" s="26" t="b">
        <x:v>1</x:v>
      </x:c>
      <x:c r="H5183" s="16" t="n">
        <x:v>0</x:v>
      </x:c>
      <x:c r="I5183" s="16" t="n">
        <x:v>0</x:v>
      </x:c>
      <x:c r="J5183" s="16" t="n">
        <x:v>0</x:v>
      </x:c>
      <x:c r="K5183" s="11" t="n">
        <x:f>CHOOSE('假设'!$B$3,H5183,I5183,J5183)</x:f>
        <x:v>0</x:v>
      </x:c>
      <x:c r="L5183" s="11" t="n">
        <x:f>K5183*'管线假设'!E1111*'管线假设'!F1111*'管线假设'!G1111*IF(E5183="USD",'管线假设'!I1111,1)-AM5183</x:f>
        <x:v>0</x:v>
      </x:c>
      <x:c r="M5183" s="11" t="n">
        <x:f>'管线假设'!H1111</x:f>
        <x:v>0.14</x:v>
      </x:c>
      <x:c r="N5183" s="11" t="n">
        <x:f>IF(G5183,L5183*AN5183/(1+M5183)^F5183,0)</x:f>
        <x:v>0</x:v>
      </x:c>
      <x:c r="AJ5183" t="n">
        <x:v>0</x:v>
      </x:c>
      <x:c r="AK5183" t="n">
        <x:v>0</x:v>
      </x:c>
      <x:c r="AL5183" t="n">
        <x:v>0</x:v>
      </x:c>
      <x:c r="AM5183" t="n">
        <x:f>CHOOSE('假设'!$B$3,AJ5183,AK5183,AL5183)</x:f>
        <x:v>0</x:v>
      </x:c>
      <x:c r="AN5183" t="n">
        <x:v>1</x:v>
      </x:c>
    </x:row>
    <x:row r="5184" ht="23" customHeight="1">
      <x:c r="A5184" s="11" t="str">
        <x:v>688062.SH</x:v>
      </x:c>
      <x:c r="B5184" s="11" t="str">
        <x:v>半年</x:v>
      </x:c>
      <x:c r="C5184" s="11" t="str">
        <x:v>bfv_tnbc</x:v>
      </x:c>
      <x:c r="D5184" s="11" t="str">
        <x:v>2045-12-31</x:v>
      </x:c>
      <x:c r="E5184" s="11" t="str">
        <x:v>CNY</x:v>
      </x:c>
      <x:c r="F5184" s="11" t="n">
        <x:v>18.729637234770706</x:v>
      </x:c>
      <x:c r="G5184" s="26" t="b">
        <x:v>1</x:v>
      </x:c>
      <x:c r="H5184" s="16" t="n">
        <x:v>0</x:v>
      </x:c>
      <x:c r="I5184" s="16" t="n">
        <x:v>0</x:v>
      </x:c>
      <x:c r="J5184" s="16" t="n">
        <x:v>0</x:v>
      </x:c>
      <x:c r="K5184" s="11" t="n">
        <x:f>CHOOSE('假设'!$B$3,H5184,I5184,J5184)</x:f>
        <x:v>0</x:v>
      </x:c>
      <x:c r="L5184" s="11" t="n">
        <x:f>K5184*'管线假设'!E1111*'管线假设'!F1111*'管线假设'!G1111*IF(E5184="USD",'管线假设'!I1111,1)-AM5184</x:f>
        <x:v>0</x:v>
      </x:c>
      <x:c r="M5184" s="11" t="n">
        <x:f>'管线假设'!H1111</x:f>
        <x:v>0.14</x:v>
      </x:c>
      <x:c r="N5184" s="11" t="n">
        <x:f>IF(G5184,L5184*AN5184/(1+M5184)^F5184,0)</x:f>
        <x:v>0</x:v>
      </x:c>
      <x:c r="AJ5184" t="n">
        <x:v>0</x:v>
      </x:c>
      <x:c r="AK5184" t="n">
        <x:v>0</x:v>
      </x:c>
      <x:c r="AL5184" t="n">
        <x:v>0</x:v>
      </x:c>
      <x:c r="AM5184" t="n">
        <x:f>CHOOSE('假设'!$B$3,AJ5184,AK5184,AL5184)</x:f>
        <x:v>0</x:v>
      </x:c>
      <x:c r="AN5184" t="n">
        <x:v>1</x:v>
      </x:c>
    </x:row>
    <x:row r="5185" ht="23" customHeight="1">
      <x:c r="A5185" s="11" t="str">
        <x:v>688062.SH</x:v>
      </x:c>
      <x:c r="B5185" s="11" t="str">
        <x:v>半年</x:v>
      </x:c>
      <x:c r="C5185" s="11" t="str">
        <x:v>bfv_escc</x:v>
      </x:c>
      <x:c r="D5185" s="11" t="str">
        <x:v>2027-12-31</x:v>
      </x:c>
      <x:c r="E5185" s="11" t="str">
        <x:v>CNY</x:v>
      </x:c>
      <x:c r="F5185" s="11" t="n">
        <x:v>0.7282683093771389</x:v>
      </x:c>
      <x:c r="G5185" s="26" t="b">
        <x:v>1</x:v>
      </x:c>
      <x:c r="H5185" s="16" t="n">
        <x:v>0</x:v>
      </x:c>
      <x:c r="I5185" s="16" t="n">
        <x:v>0</x:v>
      </x:c>
      <x:c r="J5185" s="16" t="n">
        <x:v>0</x:v>
      </x:c>
      <x:c r="K5185" s="11" t="n">
        <x:f>CHOOSE('假设'!$B$3,H5185,I5185,J5185)</x:f>
        <x:v>0</x:v>
      </x:c>
      <x:c r="L5185" s="11" t="n">
        <x:f>K5185*'管线假设'!E1115*'管线假设'!F1115*'管线假设'!G1115*IF(E5185="USD",'管线假设'!I1115,1)-AM5185</x:f>
        <x:v>0</x:v>
      </x:c>
      <x:c r="M5185" s="11" t="n">
        <x:f>'管线假设'!H1115</x:f>
        <x:v>0.14</x:v>
      </x:c>
      <x:c r="N5185" s="11" t="n">
        <x:f>IF(G5185,L5185*AN5185/(1+M5185)^F5185,0)</x:f>
        <x:v>0</x:v>
      </x:c>
      <x:c r="AJ5185" t="n">
        <x:v>0</x:v>
      </x:c>
      <x:c r="AK5185" t="n">
        <x:v>0</x:v>
      </x:c>
      <x:c r="AL5185" t="n">
        <x:v>0</x:v>
      </x:c>
      <x:c r="AM5185" t="n">
        <x:f>CHOOSE('假设'!$B$3,AJ5185,AK5185,AL5185)</x:f>
        <x:v>0</x:v>
      </x:c>
      <x:c r="AN5185" t="n">
        <x:v>1</x:v>
      </x:c>
    </x:row>
    <x:row r="5186" ht="23" customHeight="1">
      <x:c r="A5186" s="11" t="str">
        <x:v>688062.SH</x:v>
      </x:c>
      <x:c r="B5186" s="11" t="str">
        <x:v>半年</x:v>
      </x:c>
      <x:c r="C5186" s="11" t="str">
        <x:v>bfv_escc</x:v>
      </x:c>
      <x:c r="D5186" s="11" t="str">
        <x:v>2028-12-31</x:v>
      </x:c>
      <x:c r="E5186" s="11" t="str">
        <x:v>CNY</x:v>
      </x:c>
      <x:c r="F5186" s="11" t="n">
        <x:v>1.730321697467488</x:v>
      </x:c>
      <x:c r="G5186" s="26" t="b">
        <x:v>1</x:v>
      </x:c>
      <x:c r="H5186" s="16" t="n">
        <x:v>0</x:v>
      </x:c>
      <x:c r="I5186" s="16" t="n">
        <x:v>0</x:v>
      </x:c>
      <x:c r="J5186" s="16" t="n">
        <x:v>0</x:v>
      </x:c>
      <x:c r="K5186" s="11" t="n">
        <x:f>CHOOSE('假设'!$B$3,H5186,I5186,J5186)</x:f>
        <x:v>0</x:v>
      </x:c>
      <x:c r="L5186" s="11" t="n">
        <x:f>K5186*'管线假设'!E1115*'管线假设'!F1115*'管线假设'!G1115*IF(E5186="USD",'管线假设'!I1115,1)-AM5186</x:f>
        <x:v>0</x:v>
      </x:c>
      <x:c r="M5186" s="11" t="n">
        <x:f>'管线假设'!H1115</x:f>
        <x:v>0.14</x:v>
      </x:c>
      <x:c r="N5186" s="11" t="n">
        <x:f>IF(G5186,L5186*AN5186/(1+M5186)^F5186,0)</x:f>
        <x:v>0</x:v>
      </x:c>
      <x:c r="AJ5186" t="n">
        <x:v>0</x:v>
      </x:c>
      <x:c r="AK5186" t="n">
        <x:v>0</x:v>
      </x:c>
      <x:c r="AL5186" t="n">
        <x:v>0</x:v>
      </x:c>
      <x:c r="AM5186" t="n">
        <x:f>CHOOSE('假设'!$B$3,AJ5186,AK5186,AL5186)</x:f>
        <x:v>0</x:v>
      </x:c>
      <x:c r="AN5186" t="n">
        <x:v>1</x:v>
      </x:c>
    </x:row>
    <x:row r="5187" ht="23" customHeight="1">
      <x:c r="A5187" s="11" t="str">
        <x:v>688062.SH</x:v>
      </x:c>
      <x:c r="B5187" s="11" t="str">
        <x:v>半年</x:v>
      </x:c>
      <x:c r="C5187" s="11" t="str">
        <x:v>bfv_escc</x:v>
      </x:c>
      <x:c r="D5187" s="11" t="str">
        <x:v>2029-12-31</x:v>
      </x:c>
      <x:c r="E5187" s="11" t="str">
        <x:v>CNY</x:v>
      </x:c>
      <x:c r="F5187" s="11" t="n">
        <x:v>2.729637234770705</x:v>
      </x:c>
      <x:c r="G5187" s="26" t="b">
        <x:v>1</x:v>
      </x:c>
      <x:c r="H5187" s="16" t="n">
        <x:v>0</x:v>
      </x:c>
      <x:c r="I5187" s="16" t="n">
        <x:v>0</x:v>
      </x:c>
      <x:c r="J5187" s="16" t="n">
        <x:v>0.16666666666666666</x:v>
      </x:c>
      <x:c r="K5187" s="11" t="n">
        <x:f>CHOOSE('假设'!$B$3,H5187,I5187,J5187)</x:f>
        <x:v>0</x:v>
      </x:c>
      <x:c r="L5187" s="11" t="n">
        <x:f>K5187*'管线假设'!E1115*'管线假设'!F1115*'管线假设'!G1115*IF(E5187="USD",'管线假设'!I1115,1)-AM5187</x:f>
        <x:v>0</x:v>
      </x:c>
      <x:c r="M5187" s="11" t="n">
        <x:f>'管线假设'!H1115</x:f>
        <x:v>0.14</x:v>
      </x:c>
      <x:c r="N5187" s="11" t="n">
        <x:f>IF(G5187,L5187*AN5187/(1+M5187)^F5187,0)</x:f>
        <x:v>0</x:v>
      </x:c>
      <x:c r="AJ5187" t="n">
        <x:v>0</x:v>
      </x:c>
      <x:c r="AK5187" t="n">
        <x:v>0</x:v>
      </x:c>
      <x:c r="AL5187" t="n">
        <x:v>0</x:v>
      </x:c>
      <x:c r="AM5187" t="n">
        <x:f>CHOOSE('假设'!$B$3,AJ5187,AK5187,AL5187)</x:f>
        <x:v>0</x:v>
      </x:c>
      <x:c r="AN5187" t="n">
        <x:v>1</x:v>
      </x:c>
    </x:row>
    <x:row r="5188" ht="23" customHeight="1">
      <x:c r="A5188" s="11" t="str">
        <x:v>688062.SH</x:v>
      </x:c>
      <x:c r="B5188" s="11" t="str">
        <x:v>半年</x:v>
      </x:c>
      <x:c r="C5188" s="11" t="str">
        <x:v>bfv_escc</x:v>
      </x:c>
      <x:c r="D5188" s="11" t="str">
        <x:v>2030-12-31</x:v>
      </x:c>
      <x:c r="E5188" s="11" t="str">
        <x:v>CNY</x:v>
      </x:c>
      <x:c r="F5188" s="11" t="n">
        <x:v>3.728952772073922</x:v>
      </x:c>
      <x:c r="G5188" s="26" t="b">
        <x:v>1</x:v>
      </x:c>
      <x:c r="H5188" s="16" t="n">
        <x:v>0</x:v>
      </x:c>
      <x:c r="I5188" s="16" t="n">
        <x:v>0</x:v>
      </x:c>
      <x:c r="J5188" s="16" t="n">
        <x:v>0.3333333333333333</x:v>
      </x:c>
      <x:c r="K5188" s="11" t="n">
        <x:f>CHOOSE('假设'!$B$3,H5188,I5188,J5188)</x:f>
        <x:v>0</x:v>
      </x:c>
      <x:c r="L5188" s="11" t="n">
        <x:f>K5188*'管线假设'!E1115*'管线假设'!F1115*'管线假设'!G1115*IF(E5188="USD",'管线假设'!I1115,1)-AM5188</x:f>
        <x:v>0</x:v>
      </x:c>
      <x:c r="M5188" s="11" t="n">
        <x:f>'管线假设'!H1115</x:f>
        <x:v>0.14</x:v>
      </x:c>
      <x:c r="N5188" s="11" t="n">
        <x:f>IF(G5188,L5188*AN5188/(1+M5188)^F5188,0)</x:f>
        <x:v>0</x:v>
      </x:c>
      <x:c r="AJ5188" t="n">
        <x:v>0</x:v>
      </x:c>
      <x:c r="AK5188" t="n">
        <x:v>0</x:v>
      </x:c>
      <x:c r="AL5188" t="n">
        <x:v>0</x:v>
      </x:c>
      <x:c r="AM5188" t="n">
        <x:f>CHOOSE('假设'!$B$3,AJ5188,AK5188,AL5188)</x:f>
        <x:v>0</x:v>
      </x:c>
      <x:c r="AN5188" t="n">
        <x:v>1</x:v>
      </x:c>
    </x:row>
    <x:row r="5189" ht="23" customHeight="1">
      <x:c r="A5189" s="11" t="str">
        <x:v>688062.SH</x:v>
      </x:c>
      <x:c r="B5189" s="11" t="str">
        <x:v>半年</x:v>
      </x:c>
      <x:c r="C5189" s="11" t="str">
        <x:v>bfv_escc</x:v>
      </x:c>
      <x:c r="D5189" s="11" t="str">
        <x:v>2031-12-31</x:v>
      </x:c>
      <x:c r="E5189" s="11" t="str">
        <x:v>CNY</x:v>
      </x:c>
      <x:c r="F5189" s="11" t="n">
        <x:v>4.728268309377139</x:v>
      </x:c>
      <x:c r="G5189" s="26" t="b">
        <x:v>1</x:v>
      </x:c>
      <x:c r="H5189" s="16" t="n">
        <x:v>0</x:v>
      </x:c>
      <x:c r="I5189" s="16" t="n">
        <x:v>0.1</x:v>
      </x:c>
      <x:c r="J5189" s="16" t="n">
        <x:v>0.5</x:v>
      </x:c>
      <x:c r="K5189" s="11" t="n">
        <x:f>CHOOSE('假设'!$B$3,H5189,I5189,J5189)</x:f>
        <x:v>0.1</x:v>
      </x:c>
      <x:c r="L5189" s="11" t="n">
        <x:f>K5189*'管线假设'!E1115*'管线假设'!F1115*'管线假设'!G1115*IF(E5189="USD",'管线假设'!I1115,1)-AM5189</x:f>
        <x:v>0.005304000000000002</x:v>
      </x:c>
      <x:c r="M5189" s="11" t="n">
        <x:f>'管线假设'!H1115</x:f>
        <x:v>0.14</x:v>
      </x:c>
      <x:c r="N5189" s="11" t="n">
        <x:f>IF(G5189,L5189*AN5189/(1+M5189)^F5189,0)</x:f>
        <x:v>0.0028545792868151653</x:v>
      </x:c>
      <x:c r="AJ5189" t="n">
        <x:v>0</x:v>
      </x:c>
      <x:c r="AK5189" t="n">
        <x:v>0</x:v>
      </x:c>
      <x:c r="AL5189" t="n">
        <x:v>0</x:v>
      </x:c>
      <x:c r="AM5189" t="n">
        <x:f>CHOOSE('假设'!$B$3,AJ5189,AK5189,AL5189)</x:f>
        <x:v>0</x:v>
      </x:c>
      <x:c r="AN5189" t="n">
        <x:v>1</x:v>
      </x:c>
    </x:row>
    <x:row r="5190" ht="23" customHeight="1">
      <x:c r="A5190" s="11" t="str">
        <x:v>688062.SH</x:v>
      </x:c>
      <x:c r="B5190" s="11" t="str">
        <x:v>半年</x:v>
      </x:c>
      <x:c r="C5190" s="11" t="str">
        <x:v>bfv_escc</x:v>
      </x:c>
      <x:c r="D5190" s="11" t="str">
        <x:v>2032-12-31</x:v>
      </x:c>
      <x:c r="E5190" s="11" t="str">
        <x:v>CNY</x:v>
      </x:c>
      <x:c r="F5190" s="11" t="n">
        <x:v>5.730321697467488</x:v>
      </x:c>
      <x:c r="G5190" s="26" t="b">
        <x:v>1</x:v>
      </x:c>
      <x:c r="H5190" s="16" t="n">
        <x:v>0</x:v>
      </x:c>
      <x:c r="I5190" s="16" t="n">
        <x:v>0.2</x:v>
      </x:c>
      <x:c r="J5190" s="16" t="n">
        <x:v>0.6666666666666666</x:v>
      </x:c>
      <x:c r="K5190" s="11" t="n">
        <x:f>CHOOSE('假设'!$B$3,H5190,I5190,J5190)</x:f>
        <x:v>0.2</x:v>
      </x:c>
      <x:c r="L5190" s="11" t="n">
        <x:f>K5190*'管线假设'!E1115*'管线假设'!F1115*'管线假设'!G1115*IF(E5190="USD",'管线假设'!I1115,1)-AM5190</x:f>
        <x:v>0.010608000000000005</x:v>
      </x:c>
      <x:c r="M5190" s="11" t="n">
        <x:f>'管线假设'!H1115</x:f>
        <x:v>0.14</x:v>
      </x:c>
      <x:c r="N5190" s="11" t="n">
        <x:f>IF(G5190,L5190*AN5190/(1+M5190)^F5190,0)</x:f>
        <x:v>0.005006686596878246</x:v>
      </x:c>
      <x:c r="AJ5190" t="n">
        <x:v>0</x:v>
      </x:c>
      <x:c r="AK5190" t="n">
        <x:v>0</x:v>
      </x:c>
      <x:c r="AL5190" t="n">
        <x:v>0</x:v>
      </x:c>
      <x:c r="AM5190" t="n">
        <x:f>CHOOSE('假设'!$B$3,AJ5190,AK5190,AL5190)</x:f>
        <x:v>0</x:v>
      </x:c>
      <x:c r="AN5190" t="n">
        <x:v>1</x:v>
      </x:c>
    </x:row>
    <x:row r="5191" ht="23" customHeight="1">
      <x:c r="A5191" s="11" t="str">
        <x:v>688062.SH</x:v>
      </x:c>
      <x:c r="B5191" s="11" t="str">
        <x:v>半年</x:v>
      </x:c>
      <x:c r="C5191" s="11" t="str">
        <x:v>bfv_escc</x:v>
      </x:c>
      <x:c r="D5191" s="11" t="str">
        <x:v>2033-12-31</x:v>
      </x:c>
      <x:c r="E5191" s="11" t="str">
        <x:v>CNY</x:v>
      </x:c>
      <x:c r="F5191" s="11" t="n">
        <x:v>6.729637234770705</x:v>
      </x:c>
      <x:c r="G5191" s="26" t="b">
        <x:v>1</x:v>
      </x:c>
      <x:c r="H5191" s="16" t="n">
        <x:v>0.04000000000000001</x:v>
      </x:c>
      <x:c r="I5191" s="16" t="n">
        <x:v>0.3</x:v>
      </x:c>
      <x:c r="J5191" s="16" t="n">
        <x:v>0.8333333333333334</x:v>
      </x:c>
      <x:c r="K5191" s="11" t="n">
        <x:f>CHOOSE('假设'!$B$3,H5191,I5191,J5191)</x:f>
        <x:v>0.3</x:v>
      </x:c>
      <x:c r="L5191" s="11" t="n">
        <x:f>K5191*'管线假设'!E1115*'管线假设'!F1115*'管线假设'!G1115*IF(E5191="USD",'管线假设'!I1115,1)-AM5191</x:f>
        <x:v>0.015912000000000006</x:v>
      </x:c>
      <x:c r="M5191" s="11" t="n">
        <x:f>'管线假设'!H1115</x:f>
        <x:v>0.14</x:v>
      </x:c>
      <x:c r="N5191" s="11" t="n">
        <x:f>IF(G5191,L5191*AN5191/(1+M5191)^F5191,0)</x:f>
        <x:v>0.006588336363794012</x:v>
      </x:c>
      <x:c r="AJ5191" t="n">
        <x:v>0</x:v>
      </x:c>
      <x:c r="AK5191" t="n">
        <x:v>0</x:v>
      </x:c>
      <x:c r="AL5191" t="n">
        <x:v>0</x:v>
      </x:c>
      <x:c r="AM5191" t="n">
        <x:f>CHOOSE('假设'!$B$3,AJ5191,AK5191,AL5191)</x:f>
        <x:v>0</x:v>
      </x:c>
      <x:c r="AN5191" t="n">
        <x:v>1</x:v>
      </x:c>
    </x:row>
    <x:row r="5192" ht="23" customHeight="1">
      <x:c r="A5192" s="11" t="str">
        <x:v>688062.SH</x:v>
      </x:c>
      <x:c r="B5192" s="11" t="str">
        <x:v>半年</x:v>
      </x:c>
      <x:c r="C5192" s="11" t="str">
        <x:v>bfv_escc</x:v>
      </x:c>
      <x:c r="D5192" s="11" t="str">
        <x:v>2034-12-31</x:v>
      </x:c>
      <x:c r="E5192" s="11" t="str">
        <x:v>CNY</x:v>
      </x:c>
      <x:c r="F5192" s="11" t="n">
        <x:v>7.728952772073922</x:v>
      </x:c>
      <x:c r="G5192" s="26" t="b">
        <x:v>1</x:v>
      </x:c>
      <x:c r="H5192" s="16" t="n">
        <x:v>0.08000000000000002</x:v>
      </x:c>
      <x:c r="I5192" s="16" t="n">
        <x:v>0.4</x:v>
      </x:c>
      <x:c r="J5192" s="16" t="n">
        <x:v>1</x:v>
      </x:c>
      <x:c r="K5192" s="11" t="n">
        <x:f>CHOOSE('假设'!$B$3,H5192,I5192,J5192)</x:f>
        <x:v>0.4</x:v>
      </x:c>
      <x:c r="L5192" s="11" t="n">
        <x:f>K5192*'管线假设'!E1115*'管线假设'!F1115*'管线假设'!G1115*IF(E5192="USD",'管线假设'!I1115,1)-AM5192</x:f>
        <x:v>0.02121600000000001</x:v>
      </x:c>
      <x:c r="M5192" s="11" t="n">
        <x:f>'管线假设'!H1115</x:f>
        <x:v>0.14</x:v>
      </x:c>
      <x:c r="N5192" s="11" t="n">
        <x:f>IF(G5192,L5192*AN5192/(1+M5192)^F5192,0)</x:f>
        <x:v>0.007706347670609583</x:v>
      </x:c>
      <x:c r="AJ5192" t="n">
        <x:v>0</x:v>
      </x:c>
      <x:c r="AK5192" t="n">
        <x:v>0</x:v>
      </x:c>
      <x:c r="AL5192" t="n">
        <x:v>0</x:v>
      </x:c>
      <x:c r="AM5192" t="n">
        <x:f>CHOOSE('假设'!$B$3,AJ5192,AK5192,AL5192)</x:f>
        <x:v>0</x:v>
      </x:c>
      <x:c r="AN5192" t="n">
        <x:v>1</x:v>
      </x:c>
    </x:row>
    <x:row r="5193" ht="23" customHeight="1">
      <x:c r="A5193" s="11" t="str">
        <x:v>688062.SH</x:v>
      </x:c>
      <x:c r="B5193" s="11" t="str">
        <x:v>半年</x:v>
      </x:c>
      <x:c r="C5193" s="11" t="str">
        <x:v>bfv_escc</x:v>
      </x:c>
      <x:c r="D5193" s="11" t="str">
        <x:v>2035-12-31</x:v>
      </x:c>
      <x:c r="E5193" s="11" t="str">
        <x:v>CNY</x:v>
      </x:c>
      <x:c r="F5193" s="11" t="n">
        <x:v>8.728268309377139</x:v>
      </x:c>
      <x:c r="G5193" s="26" t="b">
        <x:v>1</x:v>
      </x:c>
      <x:c r="H5193" s="16" t="n">
        <x:v>0.12</x:v>
      </x:c>
      <x:c r="I5193" s="16" t="n">
        <x:v>0.5</x:v>
      </x:c>
      <x:c r="J5193" s="16" t="n">
        <x:v>0.87</x:v>
      </x:c>
      <x:c r="K5193" s="11" t="n">
        <x:f>CHOOSE('假设'!$B$3,H5193,I5193,J5193)</x:f>
        <x:v>0.5</x:v>
      </x:c>
      <x:c r="L5193" s="11" t="n">
        <x:f>K5193*'管线假设'!E1115*'管线假设'!F1115*'管线假设'!G1115*IF(E5193="USD",'管线假设'!I1115,1)-AM5193</x:f>
        <x:v>0.02652000000000001</x:v>
      </x:c>
      <x:c r="M5193" s="11" t="n">
        <x:f>'管线假设'!H1115</x:f>
        <x:v>0.14</x:v>
      </x:c>
      <x:c r="N5193" s="11" t="n">
        <x:f>IF(G5193,L5193*AN5193/(1+M5193)^F5193,0)</x:f>
        <x:v>0.008450700479563603</x:v>
      </x:c>
      <x:c r="AJ5193" t="n">
        <x:v>0</x:v>
      </x:c>
      <x:c r="AK5193" t="n">
        <x:v>0</x:v>
      </x:c>
      <x:c r="AL5193" t="n">
        <x:v>0</x:v>
      </x:c>
      <x:c r="AM5193" t="n">
        <x:f>CHOOSE('假设'!$B$3,AJ5193,AK5193,AL5193)</x:f>
        <x:v>0</x:v>
      </x:c>
      <x:c r="AN5193" t="n">
        <x:v>1</x:v>
      </x:c>
    </x:row>
    <x:row r="5194" ht="23" customHeight="1">
      <x:c r="A5194" s="11" t="str">
        <x:v>688062.SH</x:v>
      </x:c>
      <x:c r="B5194" s="11" t="str">
        <x:v>半年</x:v>
      </x:c>
      <x:c r="C5194" s="11" t="str">
        <x:v>bfv_escc</x:v>
      </x:c>
      <x:c r="D5194" s="11" t="str">
        <x:v>2036-12-31</x:v>
      </x:c>
      <x:c r="E5194" s="11" t="str">
        <x:v>CNY</x:v>
      </x:c>
      <x:c r="F5194" s="11" t="n">
        <x:v>9.730321697467488</x:v>
      </x:c>
      <x:c r="G5194" s="26" t="b">
        <x:v>1</x:v>
      </x:c>
      <x:c r="H5194" s="16" t="n">
        <x:v>0.16000000000000003</x:v>
      </x:c>
      <x:c r="I5194" s="16" t="n">
        <x:v>0.435</x:v>
      </x:c>
      <x:c r="J5194" s="16" t="n">
        <x:v>0.74</x:v>
      </x:c>
      <x:c r="K5194" s="11" t="n">
        <x:f>CHOOSE('假设'!$B$3,H5194,I5194,J5194)</x:f>
        <x:v>0.435</x:v>
      </x:c>
      <x:c r="L5194" s="11" t="n">
        <x:f>K5194*'管线假设'!E1115*'管线假设'!F1115*'管线假设'!G1115*IF(E5194="USD",'管线假设'!I1115,1)-AM5194</x:f>
        <x:v>0.02307240000000001</x:v>
      </x:c>
      <x:c r="M5194" s="11" t="n">
        <x:f>'管线假设'!H1115</x:f>
        <x:v>0.14</x:v>
      </x:c>
      <x:c r="N5194" s="11" t="n">
        <x:f>IF(G5194,L5194*AN5194/(1+M5194)^F5194,0)</x:f>
        <x:v>0.006447483846042988</x:v>
      </x:c>
      <x:c r="AJ5194" t="n">
        <x:v>0</x:v>
      </x:c>
      <x:c r="AK5194" t="n">
        <x:v>0</x:v>
      </x:c>
      <x:c r="AL5194" t="n">
        <x:v>0</x:v>
      </x:c>
      <x:c r="AM5194" t="n">
        <x:f>CHOOSE('假设'!$B$3,AJ5194,AK5194,AL5194)</x:f>
        <x:v>0</x:v>
      </x:c>
      <x:c r="AN5194" t="n">
        <x:v>1</x:v>
      </x:c>
    </x:row>
    <x:row r="5195" ht="23" customHeight="1">
      <x:c r="A5195" s="11" t="str">
        <x:v>688062.SH</x:v>
      </x:c>
      <x:c r="B5195" s="11" t="str">
        <x:v>半年</x:v>
      </x:c>
      <x:c r="C5195" s="11" t="str">
        <x:v>bfv_escc</x:v>
      </x:c>
      <x:c r="D5195" s="11" t="str">
        <x:v>2037-12-31</x:v>
      </x:c>
      <x:c r="E5195" s="11" t="str">
        <x:v>CNY</x:v>
      </x:c>
      <x:c r="F5195" s="11" t="n">
        <x:v>10.729637234770705</x:v>
      </x:c>
      <x:c r="G5195" s="26" t="b">
        <x:v>1</x:v>
      </x:c>
      <x:c r="H5195" s="16" t="n">
        <x:v>0.2</x:v>
      </x:c>
      <x:c r="I5195" s="16" t="n">
        <x:v>0.37</x:v>
      </x:c>
      <x:c r="J5195" s="16" t="n">
        <x:v>0.61</x:v>
      </x:c>
      <x:c r="K5195" s="11" t="n">
        <x:f>CHOOSE('假设'!$B$3,H5195,I5195,J5195)</x:f>
        <x:v>0.37</x:v>
      </x:c>
      <x:c r="L5195" s="11" t="n">
        <x:f>K5195*'管线假设'!E1115*'管线假设'!F1115*'管线假设'!G1115*IF(E5195="USD",'管线假设'!I1115,1)-AM5195</x:f>
        <x:v>0.019624800000000008</x:v>
      </x:c>
      <x:c r="M5195" s="11" t="n">
        <x:f>'管线假设'!H1115</x:f>
        <x:v>0.14</x:v>
      </x:c>
      <x:c r="N5195" s="11" t="n">
        <x:f>IF(G5195,L5195*AN5195/(1+M5195)^F5195,0)</x:f>
        <x:v>0.004811016293409359</x:v>
      </x:c>
      <x:c r="AJ5195" t="n">
        <x:v>0</x:v>
      </x:c>
      <x:c r="AK5195" t="n">
        <x:v>0</x:v>
      </x:c>
      <x:c r="AL5195" t="n">
        <x:v>0</x:v>
      </x:c>
      <x:c r="AM5195" t="n">
        <x:f>CHOOSE('假设'!$B$3,AJ5195,AK5195,AL5195)</x:f>
        <x:v>0</x:v>
      </x:c>
      <x:c r="AN5195" t="n">
        <x:v>1</x:v>
      </x:c>
    </x:row>
    <x:row r="5196" ht="23" customHeight="1">
      <x:c r="A5196" s="11" t="str">
        <x:v>688062.SH</x:v>
      </x:c>
      <x:c r="B5196" s="11" t="str">
        <x:v>半年</x:v>
      </x:c>
      <x:c r="C5196" s="11" t="str">
        <x:v>bfv_escc</x:v>
      </x:c>
      <x:c r="D5196" s="11" t="str">
        <x:v>2038-12-31</x:v>
      </x:c>
      <x:c r="E5196" s="11" t="str">
        <x:v>CNY</x:v>
      </x:c>
      <x:c r="F5196" s="11" t="n">
        <x:v>11.728952772073923</x:v>
      </x:c>
      <x:c r="G5196" s="26" t="b">
        <x:v>1</x:v>
      </x:c>
      <x:c r="H5196" s="16" t="n">
        <x:v>0.17400000000000002</x:v>
      </x:c>
      <x:c r="I5196" s="16" t="n">
        <x:v>0.305</x:v>
      </x:c>
      <x:c r="J5196" s="16" t="n">
        <x:v>0.48</x:v>
      </x:c>
      <x:c r="K5196" s="11" t="n">
        <x:f>CHOOSE('假设'!$B$3,H5196,I5196,J5196)</x:f>
        <x:v>0.305</x:v>
      </x:c>
      <x:c r="L5196" s="11" t="n">
        <x:f>K5196*'管线假设'!E1115*'管线假设'!F1115*'管线假设'!G1115*IF(E5196="USD",'管线假设'!I1115,1)-AM5196</x:f>
        <x:v>0.016177200000000006</x:v>
      </x:c>
      <x:c r="M5196" s="11" t="n">
        <x:f>'管线假设'!H1115</x:f>
        <x:v>0.14</x:v>
      </x:c>
      <x:c r="N5196" s="11" t="n">
        <x:f>IF(G5196,L5196*AN5196/(1+M5196)^F5196,0)</x:f>
        <x:v>0.0034791170555732963</x:v>
      </x:c>
      <x:c r="AJ5196" t="n">
        <x:v>0</x:v>
      </x:c>
      <x:c r="AK5196" t="n">
        <x:v>0</x:v>
      </x:c>
      <x:c r="AL5196" t="n">
        <x:v>0</x:v>
      </x:c>
      <x:c r="AM5196" t="n">
        <x:f>CHOOSE('假设'!$B$3,AJ5196,AK5196,AL5196)</x:f>
        <x:v>0</x:v>
      </x:c>
      <x:c r="AN5196" t="n">
        <x:v>1</x:v>
      </x:c>
    </x:row>
    <x:row r="5197" ht="23" customHeight="1">
      <x:c r="A5197" s="11" t="str">
        <x:v>688062.SH</x:v>
      </x:c>
      <x:c r="B5197" s="11" t="str">
        <x:v>半年</x:v>
      </x:c>
      <x:c r="C5197" s="11" t="str">
        <x:v>bfv_escc</x:v>
      </x:c>
      <x:c r="D5197" s="11" t="str">
        <x:v>2039-12-31</x:v>
      </x:c>
      <x:c r="E5197" s="11" t="str">
        <x:v>CNY</x:v>
      </x:c>
      <x:c r="F5197" s="11" t="n">
        <x:v>12.728268309377139</x:v>
      </x:c>
      <x:c r="G5197" s="26" t="b">
        <x:v>1</x:v>
      </x:c>
      <x:c r="H5197" s="16" t="n">
        <x:v>0.148</x:v>
      </x:c>
      <x:c r="I5197" s="16" t="n">
        <x:v>0.24</x:v>
      </x:c>
      <x:c r="J5197" s="16" t="n">
        <x:v>0.35</x:v>
      </x:c>
      <x:c r="K5197" s="11" t="n">
        <x:f>CHOOSE('假设'!$B$3,H5197,I5197,J5197)</x:f>
        <x:v>0.24</x:v>
      </x:c>
      <x:c r="L5197" s="11" t="n">
        <x:f>K5197*'管线假设'!E1115*'管线假设'!F1115*'管线假设'!G1115*IF(E5197="USD",'管线假设'!I1115,1)-AM5197</x:f>
        <x:v>0.012729600000000002</x:v>
      </x:c>
      <x:c r="M5197" s="11" t="n">
        <x:f>'管线假设'!H1115</x:f>
        <x:v>0.14</x:v>
      </x:c>
      <x:c r="N5197" s="11" t="n">
        <x:f>IF(G5197,L5197*AN5197/(1+M5197)^F5197,0)</x:f>
        <x:v>0.002401676680277957</x:v>
      </x:c>
      <x:c r="AJ5197" t="n">
        <x:v>0</x:v>
      </x:c>
      <x:c r="AK5197" t="n">
        <x:v>0</x:v>
      </x:c>
      <x:c r="AL5197" t="n">
        <x:v>0</x:v>
      </x:c>
      <x:c r="AM5197" t="n">
        <x:f>CHOOSE('假设'!$B$3,AJ5197,AK5197,AL5197)</x:f>
        <x:v>0</x:v>
      </x:c>
      <x:c r="AN5197" t="n">
        <x:v>1</x:v>
      </x:c>
    </x:row>
    <x:row r="5198" ht="23" customHeight="1">
      <x:c r="A5198" s="11" t="str">
        <x:v>688062.SH</x:v>
      </x:c>
      <x:c r="B5198" s="11" t="str">
        <x:v>半年</x:v>
      </x:c>
      <x:c r="C5198" s="11" t="str">
        <x:v>bfv_escc</x:v>
      </x:c>
      <x:c r="D5198" s="11" t="str">
        <x:v>2040-12-31</x:v>
      </x:c>
      <x:c r="E5198" s="11" t="str">
        <x:v>CNY</x:v>
      </x:c>
      <x:c r="F5198" s="11" t="n">
        <x:v>13.730321697467488</x:v>
      </x:c>
      <x:c r="G5198" s="26" t="b">
        <x:v>1</x:v>
      </x:c>
      <x:c r="H5198" s="16" t="n">
        <x:v>0.122</x:v>
      </x:c>
      <x:c r="I5198" s="16" t="n">
        <x:v>0.175</x:v>
      </x:c>
      <x:c r="J5198" s="16" t="n">
        <x:v>0.21999999999999997</x:v>
      </x:c>
      <x:c r="K5198" s="11" t="n">
        <x:f>CHOOSE('假设'!$B$3,H5198,I5198,J5198)</x:f>
        <x:v>0.175</x:v>
      </x:c>
      <x:c r="L5198" s="11" t="n">
        <x:f>K5198*'管线假设'!E1115*'管线假设'!F1115*'管线假设'!G1115*IF(E5198="USD",'管线假设'!I1115,1)-AM5198</x:f>
        <x:v>0.009282000000000002</x:v>
      </x:c>
      <x:c r="M5198" s="11" t="n">
        <x:f>'管线假设'!H1115</x:f>
        <x:v>0.14</x:v>
      </x:c>
      <x:c r="N5198" s="11" t="n">
        <x:f>IF(G5198,L5198*AN5198/(1+M5198)^F5198,0)</x:f>
        <x:v>0.001535746906168657</x:v>
      </x:c>
      <x:c r="AJ5198" t="n">
        <x:v>0</x:v>
      </x:c>
      <x:c r="AK5198" t="n">
        <x:v>0</x:v>
      </x:c>
      <x:c r="AL5198" t="n">
        <x:v>0</x:v>
      </x:c>
      <x:c r="AM5198" t="n">
        <x:f>CHOOSE('假设'!$B$3,AJ5198,AK5198,AL5198)</x:f>
        <x:v>0</x:v>
      </x:c>
      <x:c r="AN5198" t="n">
        <x:v>1</x:v>
      </x:c>
    </x:row>
    <x:row r="5199" ht="23" customHeight="1">
      <x:c r="A5199" s="11" t="str">
        <x:v>688062.SH</x:v>
      </x:c>
      <x:c r="B5199" s="11" t="str">
        <x:v>半年</x:v>
      </x:c>
      <x:c r="C5199" s="11" t="str">
        <x:v>bfv_escc</x:v>
      </x:c>
      <x:c r="D5199" s="11" t="str">
        <x:v>2041-12-31</x:v>
      </x:c>
      <x:c r="E5199" s="11" t="str">
        <x:v>CNY</x:v>
      </x:c>
      <x:c r="F5199" s="11" t="n">
        <x:v>14.729637234770705</x:v>
      </x:c>
      <x:c r="G5199" s="26" t="b">
        <x:v>1</x:v>
      </x:c>
      <x:c r="H5199" s="16" t="n">
        <x:v>0.096</x:v>
      </x:c>
      <x:c r="I5199" s="16" t="n">
        <x:v>0.10999999999999999</x:v>
      </x:c>
      <x:c r="J5199" s="16" t="n">
        <x:v>0.08999999999999997</x:v>
      </x:c>
      <x:c r="K5199" s="11" t="n">
        <x:f>CHOOSE('假设'!$B$3,H5199,I5199,J5199)</x:f>
        <x:v>0.10999999999999999</x:v>
      </x:c>
      <x:c r="L5199" s="11" t="n">
        <x:f>K5199*'管线假设'!E1115*'管线假设'!F1115*'管线假设'!G1115*IF(E5199="USD",'管线假设'!I1115,1)-AM5199</x:f>
        <x:v>0.005834400000000001</x:v>
      </x:c>
      <x:c r="M5199" s="11" t="n">
        <x:f>'管线假设'!H1115</x:f>
        <x:v>0.14</x:v>
      </x:c>
      <x:c r="N5199" s="11" t="n">
        <x:f>IF(G5199,L5199*AN5199/(1+M5199)^F5199,0)</x:f>
        <x:v>0.0008468536885345257</x:v>
      </x:c>
      <x:c r="AJ5199" t="n">
        <x:v>0</x:v>
      </x:c>
      <x:c r="AK5199" t="n">
        <x:v>0</x:v>
      </x:c>
      <x:c r="AL5199" t="n">
        <x:v>0</x:v>
      </x:c>
      <x:c r="AM5199" t="n">
        <x:f>CHOOSE('假设'!$B$3,AJ5199,AK5199,AL5199)</x:f>
        <x:v>0</x:v>
      </x:c>
      <x:c r="AN5199" t="n">
        <x:v>1</x:v>
      </x:c>
    </x:row>
    <x:row r="5200" ht="23" customHeight="1">
      <x:c r="A5200" s="11" t="str">
        <x:v>688062.SH</x:v>
      </x:c>
      <x:c r="B5200" s="11" t="str">
        <x:v>半年</x:v>
      </x:c>
      <x:c r="C5200" s="11" t="str">
        <x:v>bfv_escc</x:v>
      </x:c>
      <x:c r="D5200" s="11" t="str">
        <x:v>2042-12-31</x:v>
      </x:c>
      <x:c r="E5200" s="11" t="str">
        <x:v>CNY</x:v>
      </x:c>
      <x:c r="F5200" s="11" t="n">
        <x:v>15.728952772073923</x:v>
      </x:c>
      <x:c r="G5200" s="26" t="b">
        <x:v>1</x:v>
      </x:c>
      <x:c r="H5200" s="16" t="n">
        <x:v>0.06999999999999999</x:v>
      </x:c>
      <x:c r="I5200" s="16" t="n">
        <x:v>0.044999999999999984</x:v>
      </x:c>
      <x:c r="J5200" s="16" t="n">
        <x:v>0</x:v>
      </x:c>
      <x:c r="K5200" s="11" t="n">
        <x:f>CHOOSE('假设'!$B$3,H5200,I5200,J5200)</x:f>
        <x:v>0.044999999999999984</x:v>
      </x:c>
      <x:c r="L5200" s="11" t="n">
        <x:f>K5200*'管线假设'!E1115*'管线假设'!F1115*'管线假设'!G1115*IF(E5200="USD",'管线假设'!I1115,1)-AM5200</x:f>
        <x:v>0.0023867999999999997</x:v>
      </x:c>
      <x:c r="M5200" s="11" t="n">
        <x:f>'管线假设'!H1115</x:f>
        <x:v>0.14</x:v>
      </x:c>
      <x:c r="N5200" s="11" t="n">
        <x:f>IF(G5200,L5200*AN5200/(1+M5200)^F5200,0)</x:f>
        <x:v>0.0003039221200230285</x:v>
      </x:c>
      <x:c r="AJ5200" t="n">
        <x:v>0</x:v>
      </x:c>
      <x:c r="AK5200" t="n">
        <x:v>0</x:v>
      </x:c>
      <x:c r="AL5200" t="n">
        <x:v>0</x:v>
      </x:c>
      <x:c r="AM5200" t="n">
        <x:f>CHOOSE('假设'!$B$3,AJ5200,AK5200,AL5200)</x:f>
        <x:v>0</x:v>
      </x:c>
      <x:c r="AN5200" t="n">
        <x:v>1</x:v>
      </x:c>
    </x:row>
    <x:row r="5201" ht="23" customHeight="1">
      <x:c r="A5201" s="11" t="str">
        <x:v>688062.SH</x:v>
      </x:c>
      <x:c r="B5201" s="11" t="str">
        <x:v>半年</x:v>
      </x:c>
      <x:c r="C5201" s="11" t="str">
        <x:v>bfv_escc</x:v>
      </x:c>
      <x:c r="D5201" s="11" t="str">
        <x:v>2043-12-31</x:v>
      </x:c>
      <x:c r="E5201" s="11" t="str">
        <x:v>CNY</x:v>
      </x:c>
      <x:c r="F5201" s="11" t="n">
        <x:v>16.72826830937714</x:v>
      </x:c>
      <x:c r="G5201" s="26" t="b">
        <x:v>1</x:v>
      </x:c>
      <x:c r="H5201" s="16" t="n">
        <x:v>0.044</x:v>
      </x:c>
      <x:c r="I5201" s="16" t="n">
        <x:v>0</x:v>
      </x:c>
      <x:c r="J5201" s="16" t="n">
        <x:v>0</x:v>
      </x:c>
      <x:c r="K5201" s="11" t="n">
        <x:f>CHOOSE('假设'!$B$3,H5201,I5201,J5201)</x:f>
        <x:v>0</x:v>
      </x:c>
      <x:c r="L5201" s="11" t="n">
        <x:f>K5201*'管线假设'!E1115*'管线假设'!F1115*'管线假设'!G1115*IF(E5201="USD",'管线假设'!I1115,1)-AM5201</x:f>
        <x:v>0</x:v>
      </x:c>
      <x:c r="M5201" s="11" t="n">
        <x:f>'管线假设'!H1115</x:f>
        <x:v>0.14</x:v>
      </x:c>
      <x:c r="N5201" s="11" t="n">
        <x:f>IF(G5201,L5201*AN5201/(1+M5201)^F5201,0)</x:f>
        <x:v>0</x:v>
      </x:c>
      <x:c r="AJ5201" t="n">
        <x:v>0</x:v>
      </x:c>
      <x:c r="AK5201" t="n">
        <x:v>0</x:v>
      </x:c>
      <x:c r="AL5201" t="n">
        <x:v>0</x:v>
      </x:c>
      <x:c r="AM5201" t="n">
        <x:f>CHOOSE('假设'!$B$3,AJ5201,AK5201,AL5201)</x:f>
        <x:v>0</x:v>
      </x:c>
      <x:c r="AN5201" t="n">
        <x:v>1</x:v>
      </x:c>
    </x:row>
    <x:row r="5202" ht="23" customHeight="1">
      <x:c r="A5202" s="11" t="str">
        <x:v>688062.SH</x:v>
      </x:c>
      <x:c r="B5202" s="11" t="str">
        <x:v>半年</x:v>
      </x:c>
      <x:c r="C5202" s="11" t="str">
        <x:v>bfv_escc</x:v>
      </x:c>
      <x:c r="D5202" s="11" t="str">
        <x:v>2044-12-31</x:v>
      </x:c>
      <x:c r="E5202" s="11" t="str">
        <x:v>CNY</x:v>
      </x:c>
      <x:c r="F5202" s="11" t="n">
        <x:v>17.730321697467488</x:v>
      </x:c>
      <x:c r="G5202" s="26" t="b">
        <x:v>1</x:v>
      </x:c>
      <x:c r="H5202" s="16" t="n">
        <x:v>0.017999999999999995</x:v>
      </x:c>
      <x:c r="I5202" s="16" t="n">
        <x:v>0</x:v>
      </x:c>
      <x:c r="J5202" s="16" t="n">
        <x:v>0</x:v>
      </x:c>
      <x:c r="K5202" s="11" t="n">
        <x:f>CHOOSE('假设'!$B$3,H5202,I5202,J5202)</x:f>
        <x:v>0</x:v>
      </x:c>
      <x:c r="L5202" s="11" t="n">
        <x:f>K5202*'管线假设'!E1115*'管线假设'!F1115*'管线假设'!G1115*IF(E5202="USD",'管线假设'!I1115,1)-AM5202</x:f>
        <x:v>0</x:v>
      </x:c>
      <x:c r="M5202" s="11" t="n">
        <x:f>'管线假设'!H1115</x:f>
        <x:v>0.14</x:v>
      </x:c>
      <x:c r="N5202" s="11" t="n">
        <x:f>IF(G5202,L5202*AN5202/(1+M5202)^F5202,0)</x:f>
        <x:v>0</x:v>
      </x:c>
      <x:c r="AJ5202" t="n">
        <x:v>0</x:v>
      </x:c>
      <x:c r="AK5202" t="n">
        <x:v>0</x:v>
      </x:c>
      <x:c r="AL5202" t="n">
        <x:v>0</x:v>
      </x:c>
      <x:c r="AM5202" t="n">
        <x:f>CHOOSE('假设'!$B$3,AJ5202,AK5202,AL5202)</x:f>
        <x:v>0</x:v>
      </x:c>
      <x:c r="AN5202" t="n">
        <x:v>1</x:v>
      </x:c>
    </x:row>
    <x:row r="5203" ht="23" customHeight="1">
      <x:c r="A5203" s="11" t="str">
        <x:v>688062.SH</x:v>
      </x:c>
      <x:c r="B5203" s="11" t="str">
        <x:v>半年</x:v>
      </x:c>
      <x:c r="C5203" s="11" t="str">
        <x:v>bfv_escc</x:v>
      </x:c>
      <x:c r="D5203" s="11" t="str">
        <x:v>2045-12-31</x:v>
      </x:c>
      <x:c r="E5203" s="11" t="str">
        <x:v>CNY</x:v>
      </x:c>
      <x:c r="F5203" s="11" t="n">
        <x:v>18.729637234770706</x:v>
      </x:c>
      <x:c r="G5203" s="26" t="b">
        <x:v>1</x:v>
      </x:c>
      <x:c r="H5203" s="16" t="n">
        <x:v>0</x:v>
      </x:c>
      <x:c r="I5203" s="16" t="n">
        <x:v>0</x:v>
      </x:c>
      <x:c r="J5203" s="16" t="n">
        <x:v>0</x:v>
      </x:c>
      <x:c r="K5203" s="11" t="n">
        <x:f>CHOOSE('假设'!$B$3,H5203,I5203,J5203)</x:f>
        <x:v>0</x:v>
      </x:c>
      <x:c r="L5203" s="11" t="n">
        <x:f>K5203*'管线假设'!E1115*'管线假设'!F1115*'管线假设'!G1115*IF(E5203="USD",'管线假设'!I1115,1)-AM5203</x:f>
        <x:v>0</x:v>
      </x:c>
      <x:c r="M5203" s="11" t="n">
        <x:f>'管线假设'!H1115</x:f>
        <x:v>0.14</x:v>
      </x:c>
      <x:c r="N5203" s="11" t="n">
        <x:f>IF(G5203,L5203*AN5203/(1+M5203)^F5203,0)</x:f>
        <x:v>0</x:v>
      </x:c>
      <x:c r="AJ5203" t="n">
        <x:v>0</x:v>
      </x:c>
      <x:c r="AK5203" t="n">
        <x:v>0</x:v>
      </x:c>
      <x:c r="AL5203" t="n">
        <x:v>0</x:v>
      </x:c>
      <x:c r="AM5203" t="n">
        <x:f>CHOOSE('假设'!$B$3,AJ5203,AK5203,AL5203)</x:f>
        <x:v>0</x:v>
      </x:c>
      <x:c r="AN5203" t="n">
        <x:v>1</x:v>
      </x:c>
    </x:row>
    <x:row r="5204" ht="23" customHeight="1">
      <x:c r="A5204" s="11" t="str">
        <x:v>688062.SH</x:v>
      </x:c>
      <x:c r="B5204" s="11" t="str">
        <x:v>半年</x:v>
      </x:c>
      <x:c r="C5204" s="11" t="str">
        <x:v>bfv_global</x:v>
      </x:c>
      <x:c r="D5204" s="11" t="str">
        <x:v>2027-12-31</x:v>
      </x:c>
      <x:c r="E5204" s="11" t="str">
        <x:v>USD</x:v>
      </x:c>
      <x:c r="F5204" s="11" t="n">
        <x:v>0.7282683093771389</x:v>
      </x:c>
      <x:c r="G5204" s="26" t="b">
        <x:v>1</x:v>
      </x:c>
      <x:c r="H5204" s="16" t="n">
        <x:v>0</x:v>
      </x:c>
      <x:c r="I5204" s="16" t="n">
        <x:v>0</x:v>
      </x:c>
      <x:c r="J5204" s="16" t="n">
        <x:v>0</x:v>
      </x:c>
      <x:c r="K5204" s="11" t="n">
        <x:f>CHOOSE('假设'!$B$3,H5204,I5204,J5204)</x:f>
        <x:v>0</x:v>
      </x:c>
      <x:c r="L5204" s="11" t="n">
        <x:f>K5204*'管线假设'!E1119*'管线假设'!F1119*'管线假设'!G1119*IF(E5204="USD",'管线假设'!I1119,1)-AM5204</x:f>
        <x:v>0</x:v>
      </x:c>
      <x:c r="M5204" s="11" t="n">
        <x:f>'管线假设'!H1119</x:f>
        <x:v>0.14</x:v>
      </x:c>
      <x:c r="N5204" s="11" t="n">
        <x:f>IF(G5204,L5204*AN5204/(1+M5204)^F5204,0)</x:f>
        <x:v>0</x:v>
      </x:c>
      <x:c r="AJ5204" t="n">
        <x:v>0</x:v>
      </x:c>
      <x:c r="AK5204" t="n">
        <x:v>0</x:v>
      </x:c>
      <x:c r="AL5204" t="n">
        <x:v>0</x:v>
      </x:c>
      <x:c r="AM5204" t="n">
        <x:f>CHOOSE('假设'!$B$3,AJ5204,AK5204,AL5204)</x:f>
        <x:v>0</x:v>
      </x:c>
      <x:c r="AN5204" t="n">
        <x:v>1</x:v>
      </x:c>
    </x:row>
    <x:row r="5205" ht="23" customHeight="1">
      <x:c r="A5205" s="11" t="str">
        <x:v>688062.SH</x:v>
      </x:c>
      <x:c r="B5205" s="11" t="str">
        <x:v>半年</x:v>
      </x:c>
      <x:c r="C5205" s="11" t="str">
        <x:v>bfv_global</x:v>
      </x:c>
      <x:c r="D5205" s="11" t="str">
        <x:v>2028-12-31</x:v>
      </x:c>
      <x:c r="E5205" s="11" t="str">
        <x:v>USD</x:v>
      </x:c>
      <x:c r="F5205" s="11" t="n">
        <x:v>1.730321697467488</x:v>
      </x:c>
      <x:c r="G5205" s="26" t="b">
        <x:v>1</x:v>
      </x:c>
      <x:c r="H5205" s="16" t="n">
        <x:v>0</x:v>
      </x:c>
      <x:c r="I5205" s="16" t="n">
        <x:v>0</x:v>
      </x:c>
      <x:c r="J5205" s="16" t="n">
        <x:v>0</x:v>
      </x:c>
      <x:c r="K5205" s="11" t="n">
        <x:f>CHOOSE('假设'!$B$3,H5205,I5205,J5205)</x:f>
        <x:v>0</x:v>
      </x:c>
      <x:c r="L5205" s="11" t="n">
        <x:f>K5205*'管线假设'!E1119*'管线假设'!F1119*'管线假设'!G1119*IF(E5205="USD",'管线假设'!I1119,1)-AM5205</x:f>
        <x:v>0</x:v>
      </x:c>
      <x:c r="M5205" s="11" t="n">
        <x:f>'管线假设'!H1119</x:f>
        <x:v>0.14</x:v>
      </x:c>
      <x:c r="N5205" s="11" t="n">
        <x:f>IF(G5205,L5205*AN5205/(1+M5205)^F5205,0)</x:f>
        <x:v>0</x:v>
      </x:c>
      <x:c r="AJ5205" t="n">
        <x:v>0</x:v>
      </x:c>
      <x:c r="AK5205" t="n">
        <x:v>0</x:v>
      </x:c>
      <x:c r="AL5205" t="n">
        <x:v>0</x:v>
      </x:c>
      <x:c r="AM5205" t="n">
        <x:f>CHOOSE('假设'!$B$3,AJ5205,AK5205,AL5205)</x:f>
        <x:v>0</x:v>
      </x:c>
      <x:c r="AN5205" t="n">
        <x:v>1</x:v>
      </x:c>
    </x:row>
    <x:row r="5206" ht="23" customHeight="1">
      <x:c r="A5206" s="11" t="str">
        <x:v>688062.SH</x:v>
      </x:c>
      <x:c r="B5206" s="11" t="str">
        <x:v>半年</x:v>
      </x:c>
      <x:c r="C5206" s="11" t="str">
        <x:v>bfv_global</x:v>
      </x:c>
      <x:c r="D5206" s="11" t="str">
        <x:v>2029-12-31</x:v>
      </x:c>
      <x:c r="E5206" s="11" t="str">
        <x:v>USD</x:v>
      </x:c>
      <x:c r="F5206" s="11" t="n">
        <x:v>2.729637234770705</x:v>
      </x:c>
      <x:c r="G5206" s="26" t="b">
        <x:v>1</x:v>
      </x:c>
      <x:c r="H5206" s="16" t="n">
        <x:v>0</x:v>
      </x:c>
      <x:c r="I5206" s="16" t="n">
        <x:v>0</x:v>
      </x:c>
      <x:c r="J5206" s="16" t="n">
        <x:v>0</x:v>
      </x:c>
      <x:c r="K5206" s="11" t="n">
        <x:f>CHOOSE('假设'!$B$3,H5206,I5206,J5206)</x:f>
        <x:v>0</x:v>
      </x:c>
      <x:c r="L5206" s="11" t="n">
        <x:f>K5206*'管线假设'!E1119*'管线假设'!F1119*'管线假设'!G1119*IF(E5206="USD",'管线假设'!I1119,1)-AM5206</x:f>
        <x:v>0</x:v>
      </x:c>
      <x:c r="M5206" s="11" t="n">
        <x:f>'管线假设'!H1119</x:f>
        <x:v>0.14</x:v>
      </x:c>
      <x:c r="N5206" s="11" t="n">
        <x:f>IF(G5206,L5206*AN5206/(1+M5206)^F5206,0)</x:f>
        <x:v>0</x:v>
      </x:c>
      <x:c r="AJ5206" t="n">
        <x:v>0</x:v>
      </x:c>
      <x:c r="AK5206" t="n">
        <x:v>0</x:v>
      </x:c>
      <x:c r="AL5206" t="n">
        <x:v>0</x:v>
      </x:c>
      <x:c r="AM5206" t="n">
        <x:f>CHOOSE('假设'!$B$3,AJ5206,AK5206,AL5206)</x:f>
        <x:v>0</x:v>
      </x:c>
      <x:c r="AN5206" t="n">
        <x:v>1</x:v>
      </x:c>
    </x:row>
    <x:row r="5207" ht="23" customHeight="1">
      <x:c r="A5207" s="11" t="str">
        <x:v>688062.SH</x:v>
      </x:c>
      <x:c r="B5207" s="11" t="str">
        <x:v>半年</x:v>
      </x:c>
      <x:c r="C5207" s="11" t="str">
        <x:v>bfv_global</x:v>
      </x:c>
      <x:c r="D5207" s="11" t="str">
        <x:v>2030-12-31</x:v>
      </x:c>
      <x:c r="E5207" s="11" t="str">
        <x:v>USD</x:v>
      </x:c>
      <x:c r="F5207" s="11" t="n">
        <x:v>3.728952772073922</x:v>
      </x:c>
      <x:c r="G5207" s="26" t="b">
        <x:v>1</x:v>
      </x:c>
      <x:c r="H5207" s="16" t="n">
        <x:v>0</x:v>
      </x:c>
      <x:c r="I5207" s="16" t="n">
        <x:v>0</x:v>
      </x:c>
      <x:c r="J5207" s="16" t="n">
        <x:v>0.48</x:v>
      </x:c>
      <x:c r="K5207" s="11" t="n">
        <x:f>CHOOSE('假设'!$B$3,H5207,I5207,J5207)</x:f>
        <x:v>0</x:v>
      </x:c>
      <x:c r="L5207" s="11" t="n">
        <x:f>K5207*'管线假设'!E1119*'管线假设'!F1119*'管线假设'!G1119*IF(E5207="USD",'管线假设'!I1119,1)-AM5207</x:f>
        <x:v>0</x:v>
      </x:c>
      <x:c r="M5207" s="11" t="n">
        <x:f>'管线假设'!H1119</x:f>
        <x:v>0.14</x:v>
      </x:c>
      <x:c r="N5207" s="11" t="n">
        <x:f>IF(G5207,L5207*AN5207/(1+M5207)^F5207,0)</x:f>
        <x:v>0</x:v>
      </x:c>
      <x:c r="AJ5207" t="n">
        <x:v>0</x:v>
      </x:c>
      <x:c r="AK5207" t="n">
        <x:v>0</x:v>
      </x:c>
      <x:c r="AL5207" t="n">
        <x:v>0</x:v>
      </x:c>
      <x:c r="AM5207" t="n">
        <x:f>CHOOSE('假设'!$B$3,AJ5207,AK5207,AL5207)</x:f>
        <x:v>0</x:v>
      </x:c>
      <x:c r="AN5207" t="n">
        <x:v>1</x:v>
      </x:c>
    </x:row>
    <x:row r="5208" ht="23" customHeight="1">
      <x:c r="A5208" s="11" t="str">
        <x:v>688062.SH</x:v>
      </x:c>
      <x:c r="B5208" s="11" t="str">
        <x:v>半年</x:v>
      </x:c>
      <x:c r="C5208" s="11" t="str">
        <x:v>bfv_global</x:v>
      </x:c>
      <x:c r="D5208" s="11" t="str">
        <x:v>2031-12-31</x:v>
      </x:c>
      <x:c r="E5208" s="11" t="str">
        <x:v>USD</x:v>
      </x:c>
      <x:c r="F5208" s="11" t="n">
        <x:v>4.728268309377139</x:v>
      </x:c>
      <x:c r="G5208" s="26" t="b">
        <x:v>1</x:v>
      </x:c>
      <x:c r="H5208" s="16" t="n">
        <x:v>0</x:v>
      </x:c>
      <x:c r="I5208" s="16" t="n">
        <x:v>0</x:v>
      </x:c>
      <x:c r="J5208" s="16" t="n">
        <x:v>0.96</x:v>
      </x:c>
      <x:c r="K5208" s="11" t="n">
        <x:f>CHOOSE('假设'!$B$3,H5208,I5208,J5208)</x:f>
        <x:v>0</x:v>
      </x:c>
      <x:c r="L5208" s="11" t="n">
        <x:f>K5208*'管线假设'!E1119*'管线假设'!F1119*'管线假设'!G1119*IF(E5208="USD",'管线假设'!I1119,1)-AM5208</x:f>
        <x:v>0</x:v>
      </x:c>
      <x:c r="M5208" s="11" t="n">
        <x:f>'管线假设'!H1119</x:f>
        <x:v>0.14</x:v>
      </x:c>
      <x:c r="N5208" s="11" t="n">
        <x:f>IF(G5208,L5208*AN5208/(1+M5208)^F5208,0)</x:f>
        <x:v>0</x:v>
      </x:c>
      <x:c r="AJ5208" t="n">
        <x:v>0</x:v>
      </x:c>
      <x:c r="AK5208" t="n">
        <x:v>0</x:v>
      </x:c>
      <x:c r="AL5208" t="n">
        <x:v>0</x:v>
      </x:c>
      <x:c r="AM5208" t="n">
        <x:f>CHOOSE('假设'!$B$3,AJ5208,AK5208,AL5208)</x:f>
        <x:v>0</x:v>
      </x:c>
      <x:c r="AN5208" t="n">
        <x:v>1</x:v>
      </x:c>
    </x:row>
    <x:row r="5209" ht="23" customHeight="1">
      <x:c r="A5209" s="11" t="str">
        <x:v>688062.SH</x:v>
      </x:c>
      <x:c r="B5209" s="11" t="str">
        <x:v>半年</x:v>
      </x:c>
      <x:c r="C5209" s="11" t="str">
        <x:v>bfv_global</x:v>
      </x:c>
      <x:c r="D5209" s="11" t="str">
        <x:v>2032-12-31</x:v>
      </x:c>
      <x:c r="E5209" s="11" t="str">
        <x:v>USD</x:v>
      </x:c>
      <x:c r="F5209" s="11" t="n">
        <x:v>5.730321697467488</x:v>
      </x:c>
      <x:c r="G5209" s="26" t="b">
        <x:v>1</x:v>
      </x:c>
      <x:c r="H5209" s="16" t="n">
        <x:v>0</x:v>
      </x:c>
      <x:c r="I5209" s="16" t="n">
        <x:v>0.22000000000000003</x:v>
      </x:c>
      <x:c r="J5209" s="16" t="n">
        <x:v>1.44</x:v>
      </x:c>
      <x:c r="K5209" s="11" t="n">
        <x:f>CHOOSE('假设'!$B$3,H5209,I5209,J5209)</x:f>
        <x:v>0.22000000000000003</x:v>
      </x:c>
      <x:c r="L5209" s="11" t="n">
        <x:f>K5209*'管线假设'!E1119*'管线假设'!F1119*'管线假设'!G1119*IF(E5209="USD",'管线假设'!I1119,1)-AM5209</x:f>
        <x:v>0.07432128</x:v>
      </x:c>
      <x:c r="M5209" s="11" t="n">
        <x:f>'管线假设'!H1119</x:f>
        <x:v>0.14</x:v>
      </x:c>
      <x:c r="N5209" s="11" t="n">
        <x:f>IF(G5209,L5209*AN5209/(1+M5209)^F5209,0)</x:f>
        <x:v>0.03507761655720542</x:v>
      </x:c>
      <x:c r="AJ5209" t="n">
        <x:v>0</x:v>
      </x:c>
      <x:c r="AK5209" t="n">
        <x:v>0</x:v>
      </x:c>
      <x:c r="AL5209" t="n">
        <x:v>0</x:v>
      </x:c>
      <x:c r="AM5209" t="n">
        <x:f>CHOOSE('假设'!$B$3,AJ5209,AK5209,AL5209)</x:f>
        <x:v>0</x:v>
      </x:c>
      <x:c r="AN5209" t="n">
        <x:v>1</x:v>
      </x:c>
    </x:row>
    <x:row r="5210" ht="23" customHeight="1">
      <x:c r="A5210" s="11" t="str">
        <x:v>688062.SH</x:v>
      </x:c>
      <x:c r="B5210" s="11" t="str">
        <x:v>半年</x:v>
      </x:c>
      <x:c r="C5210" s="11" t="str">
        <x:v>bfv_global</x:v>
      </x:c>
      <x:c r="D5210" s="11" t="str">
        <x:v>2033-12-31</x:v>
      </x:c>
      <x:c r="E5210" s="11" t="str">
        <x:v>USD</x:v>
      </x:c>
      <x:c r="F5210" s="11" t="n">
        <x:v>6.729637234770705</x:v>
      </x:c>
      <x:c r="G5210" s="26" t="b">
        <x:v>1</x:v>
      </x:c>
      <x:c r="H5210" s="16" t="n">
        <x:v>0</x:v>
      </x:c>
      <x:c r="I5210" s="16" t="n">
        <x:v>0.44000000000000006</x:v>
      </x:c>
      <x:c r="J5210" s="16" t="n">
        <x:v>1.92</x:v>
      </x:c>
      <x:c r="K5210" s="11" t="n">
        <x:f>CHOOSE('假设'!$B$3,H5210,I5210,J5210)</x:f>
        <x:v>0.44000000000000006</x:v>
      </x:c>
      <x:c r="L5210" s="11" t="n">
        <x:f>K5210*'管线假设'!E1119*'管线假设'!F1119*'管线假设'!G1119*IF(E5210="USD",'管线假设'!I1119,1)-AM5210</x:f>
        <x:v>0.14864256</x:v>
      </x:c>
      <x:c r="M5210" s="11" t="n">
        <x:f>'管线假设'!H1119</x:f>
        <x:v>0.14</x:v>
      </x:c>
      <x:c r="N5210" s="11" t="n">
        <x:f>IF(G5210,L5210*AN5210/(1+M5210)^F5210,0)</x:f>
        <x:v>0.06154519753993419</x:v>
      </x:c>
      <x:c r="AJ5210" t="n">
        <x:v>0</x:v>
      </x:c>
      <x:c r="AK5210" t="n">
        <x:v>0</x:v>
      </x:c>
      <x:c r="AL5210" t="n">
        <x:v>0</x:v>
      </x:c>
      <x:c r="AM5210" t="n">
        <x:f>CHOOSE('假设'!$B$3,AJ5210,AK5210,AL5210)</x:f>
        <x:v>0</x:v>
      </x:c>
      <x:c r="AN5210" t="n">
        <x:v>1</x:v>
      </x:c>
    </x:row>
    <x:row r="5211" ht="23" customHeight="1">
      <x:c r="A5211" s="11" t="str">
        <x:v>688062.SH</x:v>
      </x:c>
      <x:c r="B5211" s="11" t="str">
        <x:v>半年</x:v>
      </x:c>
      <x:c r="C5211" s="11" t="str">
        <x:v>bfv_global</x:v>
      </x:c>
      <x:c r="D5211" s="11" t="str">
        <x:v>2034-12-31</x:v>
      </x:c>
      <x:c r="E5211" s="11" t="str">
        <x:v>USD</x:v>
      </x:c>
      <x:c r="F5211" s="11" t="n">
        <x:v>7.728952772073922</x:v>
      </x:c>
      <x:c r="G5211" s="26" t="b">
        <x:v>1</x:v>
      </x:c>
      <x:c r="H5211" s="16" t="n">
        <x:v>0.08000000000000002</x:v>
      </x:c>
      <x:c r="I5211" s="16" t="n">
        <x:v>0.66</x:v>
      </x:c>
      <x:c r="J5211" s="16" t="n">
        <x:v>2.4</x:v>
      </x:c>
      <x:c r="K5211" s="11" t="n">
        <x:f>CHOOSE('假设'!$B$3,H5211,I5211,J5211)</x:f>
        <x:v>0.66</x:v>
      </x:c>
      <x:c r="L5211" s="11" t="n">
        <x:f>K5211*'管线假设'!E1119*'管线假设'!F1119*'管线假设'!G1119*IF(E5211="USD",'管线假设'!I1119,1)-AM5211</x:f>
        <x:v>0.22296384</x:v>
      </x:c>
      <x:c r="M5211" s="11" t="n">
        <x:f>'管线假设'!H1119</x:f>
        <x:v>0.14</x:v>
      </x:c>
      <x:c r="N5211" s="11" t="n">
        <x:f>IF(G5211,L5211*AN5211/(1+M5211)^F5211,0)</x:f>
        <x:v>0.08098778605836006</x:v>
      </x:c>
      <x:c r="AJ5211" t="n">
        <x:v>0</x:v>
      </x:c>
      <x:c r="AK5211" t="n">
        <x:v>0</x:v>
      </x:c>
      <x:c r="AL5211" t="n">
        <x:v>0</x:v>
      </x:c>
      <x:c r="AM5211" t="n">
        <x:f>CHOOSE('假设'!$B$3,AJ5211,AK5211,AL5211)</x:f>
        <x:v>0</x:v>
      </x:c>
      <x:c r="AN5211" t="n">
        <x:v>1</x:v>
      </x:c>
    </x:row>
    <x:row r="5212" ht="23" customHeight="1">
      <x:c r="A5212" s="11" t="str">
        <x:v>688062.SH</x:v>
      </x:c>
      <x:c r="B5212" s="11" t="str">
        <x:v>半年</x:v>
      </x:c>
      <x:c r="C5212" s="11" t="str">
        <x:v>bfv_global</x:v>
      </x:c>
      <x:c r="D5212" s="11" t="str">
        <x:v>2035-12-31</x:v>
      </x:c>
      <x:c r="E5212" s="11" t="str">
        <x:v>USD</x:v>
      </x:c>
      <x:c r="F5212" s="11" t="n">
        <x:v>8.728268309377139</x:v>
      </x:c>
      <x:c r="G5212" s="26" t="b">
        <x:v>1</x:v>
      </x:c>
      <x:c r="H5212" s="16" t="n">
        <x:v>0.16000000000000003</x:v>
      </x:c>
      <x:c r="I5212" s="16" t="n">
        <x:v>0.8800000000000001</x:v>
      </x:c>
      <x:c r="J5212" s="16" t="n">
        <x:v>2.088</x:v>
      </x:c>
      <x:c r="K5212" s="11" t="n">
        <x:f>CHOOSE('假设'!$B$3,H5212,I5212,J5212)</x:f>
        <x:v>0.8800000000000001</x:v>
      </x:c>
      <x:c r="L5212" s="11" t="n">
        <x:f>K5212*'管线假设'!E1119*'管线假设'!F1119*'管线假设'!G1119*IF(E5212="USD",'管线假设'!I1119,1)-AM5212</x:f>
        <x:v>0.29728512</x:v>
      </x:c>
      <x:c r="M5212" s="11" t="n">
        <x:f>'管线假设'!H1119</x:f>
        <x:v>0.14</x:v>
      </x:c>
      <x:c r="N5212" s="11" t="n">
        <x:f>IF(G5212,L5212*AN5212/(1+M5212)^F5212,0)</x:f>
        <x:v>0.09473105226814187</x:v>
      </x:c>
      <x:c r="AJ5212" t="n">
        <x:v>0</x:v>
      </x:c>
      <x:c r="AK5212" t="n">
        <x:v>0</x:v>
      </x:c>
      <x:c r="AL5212" t="n">
        <x:v>0</x:v>
      </x:c>
      <x:c r="AM5212" t="n">
        <x:f>CHOOSE('假设'!$B$3,AJ5212,AK5212,AL5212)</x:f>
        <x:v>0</x:v>
      </x:c>
      <x:c r="AN5212" t="n">
        <x:v>1</x:v>
      </x:c>
    </x:row>
    <x:row r="5213" ht="23" customHeight="1">
      <x:c r="A5213" s="11" t="str">
        <x:v>688062.SH</x:v>
      </x:c>
      <x:c r="B5213" s="11" t="str">
        <x:v>半年</x:v>
      </x:c>
      <x:c r="C5213" s="11" t="str">
        <x:v>bfv_global</x:v>
      </x:c>
      <x:c r="D5213" s="11" t="str">
        <x:v>2036-12-31</x:v>
      </x:c>
      <x:c r="E5213" s="11" t="str">
        <x:v>USD</x:v>
      </x:c>
      <x:c r="F5213" s="11" t="n">
        <x:v>9.730321697467488</x:v>
      </x:c>
      <x:c r="G5213" s="26" t="b">
        <x:v>1</x:v>
      </x:c>
      <x:c r="H5213" s="16" t="n">
        <x:v>0.24</x:v>
      </x:c>
      <x:c r="I5213" s="16" t="n">
        <x:v>1.1</x:v>
      </x:c>
      <x:c r="J5213" s="16" t="n">
        <x:v>1.776</x:v>
      </x:c>
      <x:c r="K5213" s="11" t="n">
        <x:f>CHOOSE('假设'!$B$3,H5213,I5213,J5213)</x:f>
        <x:v>1.1</x:v>
      </x:c>
      <x:c r="L5213" s="11" t="n">
        <x:f>K5213*'管线假设'!E1119*'管线假设'!F1119*'管线假设'!G1119*IF(E5213="USD",'管线假设'!I1119,1)-AM5213</x:f>
        <x:v>0.37160639999999995</x:v>
      </x:c>
      <x:c r="M5213" s="11" t="n">
        <x:f>'管线假设'!H1119</x:f>
        <x:v>0.14</x:v>
      </x:c>
      <x:c r="N5213" s="11" t="n">
        <x:f>IF(G5213,L5213*AN5213/(1+M5213)^F5213,0)</x:f>
        <x:v>0.10384382470337666</x:v>
      </x:c>
      <x:c r="AJ5213" t="n">
        <x:v>0</x:v>
      </x:c>
      <x:c r="AK5213" t="n">
        <x:v>0</x:v>
      </x:c>
      <x:c r="AL5213" t="n">
        <x:v>0</x:v>
      </x:c>
      <x:c r="AM5213" t="n">
        <x:f>CHOOSE('假设'!$B$3,AJ5213,AK5213,AL5213)</x:f>
        <x:v>0</x:v>
      </x:c>
      <x:c r="AN5213" t="n">
        <x:v>1</x:v>
      </x:c>
    </x:row>
    <x:row r="5214" ht="23" customHeight="1">
      <x:c r="A5214" s="11" t="str">
        <x:v>688062.SH</x:v>
      </x:c>
      <x:c r="B5214" s="11" t="str">
        <x:v>半年</x:v>
      </x:c>
      <x:c r="C5214" s="11" t="str">
        <x:v>bfv_global</x:v>
      </x:c>
      <x:c r="D5214" s="11" t="str">
        <x:v>2037-12-31</x:v>
      </x:c>
      <x:c r="E5214" s="11" t="str">
        <x:v>USD</x:v>
      </x:c>
      <x:c r="F5214" s="11" t="n">
        <x:v>10.729637234770705</x:v>
      </x:c>
      <x:c r="G5214" s="26" t="b">
        <x:v>1</x:v>
      </x:c>
      <x:c r="H5214" s="16" t="n">
        <x:v>0.32000000000000006</x:v>
      </x:c>
      <x:c r="I5214" s="16" t="n">
        <x:v>0.9570000000000001</x:v>
      </x:c>
      <x:c r="J5214" s="16" t="n">
        <x:v>1.464</x:v>
      </x:c>
      <x:c r="K5214" s="11" t="n">
        <x:f>CHOOSE('假设'!$B$3,H5214,I5214,J5214)</x:f>
        <x:v>0.9570000000000001</x:v>
      </x:c>
      <x:c r="L5214" s="11" t="n">
        <x:f>K5214*'管线假设'!E1119*'管线假设'!F1119*'管线假设'!G1119*IF(E5214="USD",'管线假设'!I1119,1)-AM5214</x:f>
        <x:v>0.323297568</x:v>
      </x:c>
      <x:c r="M5214" s="11" t="n">
        <x:f>'管线假设'!H1119</x:f>
        <x:v>0.14</x:v>
      </x:c>
      <x:c r="N5214" s="11" t="n">
        <x:f>IF(G5214,L5214*AN5214/(1+M5214)^F5214,0)</x:f>
        <x:v>0.07925634234578795</x:v>
      </x:c>
      <x:c r="AJ5214" t="n">
        <x:v>0</x:v>
      </x:c>
      <x:c r="AK5214" t="n">
        <x:v>0</x:v>
      </x:c>
      <x:c r="AL5214" t="n">
        <x:v>0</x:v>
      </x:c>
      <x:c r="AM5214" t="n">
        <x:f>CHOOSE('假设'!$B$3,AJ5214,AK5214,AL5214)</x:f>
        <x:v>0</x:v>
      </x:c>
      <x:c r="AN5214" t="n">
        <x:v>1</x:v>
      </x:c>
    </x:row>
    <x:row r="5215" ht="23" customHeight="1">
      <x:c r="A5215" s="11" t="str">
        <x:v>688062.SH</x:v>
      </x:c>
      <x:c r="B5215" s="11" t="str">
        <x:v>半年</x:v>
      </x:c>
      <x:c r="C5215" s="11" t="str">
        <x:v>bfv_global</x:v>
      </x:c>
      <x:c r="D5215" s="11" t="str">
        <x:v>2038-12-31</x:v>
      </x:c>
      <x:c r="E5215" s="11" t="str">
        <x:v>USD</x:v>
      </x:c>
      <x:c r="F5215" s="11" t="n">
        <x:v>11.728952772073923</x:v>
      </x:c>
      <x:c r="G5215" s="26" t="b">
        <x:v>1</x:v>
      </x:c>
      <x:c r="H5215" s="16" t="n">
        <x:v>0.4</x:v>
      </x:c>
      <x:c r="I5215" s="16" t="n">
        <x:v>0.8140000000000001</x:v>
      </x:c>
      <x:c r="J5215" s="16" t="n">
        <x:v>1.152</x:v>
      </x:c>
      <x:c r="K5215" s="11" t="n">
        <x:f>CHOOSE('假设'!$B$3,H5215,I5215,J5215)</x:f>
        <x:v>0.8140000000000001</x:v>
      </x:c>
      <x:c r="L5215" s="11" t="n">
        <x:f>K5215*'管线假设'!E1119*'管线假设'!F1119*'管线假设'!G1119*IF(E5215="USD",'管线假设'!I1119,1)-AM5215</x:f>
        <x:v>0.274988736</x:v>
      </x:c>
      <x:c r="M5215" s="11" t="n">
        <x:f>'管线假设'!H1119</x:f>
        <x:v>0.14</x:v>
      </x:c>
      <x:c r="N5215" s="11" t="n">
        <x:f>IF(G5215,L5215*AN5215/(1+M5215)^F5215,0)</x:f>
        <x:v>0.05913990069407204</x:v>
      </x:c>
      <x:c r="AJ5215" t="n">
        <x:v>0</x:v>
      </x:c>
      <x:c r="AK5215" t="n">
        <x:v>0</x:v>
      </x:c>
      <x:c r="AL5215" t="n">
        <x:v>0</x:v>
      </x:c>
      <x:c r="AM5215" t="n">
        <x:f>CHOOSE('假设'!$B$3,AJ5215,AK5215,AL5215)</x:f>
        <x:v>0</x:v>
      </x:c>
      <x:c r="AN5215" t="n">
        <x:v>1</x:v>
      </x:c>
    </x:row>
    <x:row r="5216" ht="23" customHeight="1">
      <x:c r="A5216" s="11" t="str">
        <x:v>688062.SH</x:v>
      </x:c>
      <x:c r="B5216" s="11" t="str">
        <x:v>半年</x:v>
      </x:c>
      <x:c r="C5216" s="11" t="str">
        <x:v>bfv_global</x:v>
      </x:c>
      <x:c r="D5216" s="11" t="str">
        <x:v>2039-12-31</x:v>
      </x:c>
      <x:c r="E5216" s="11" t="str">
        <x:v>USD</x:v>
      </x:c>
      <x:c r="F5216" s="11" t="n">
        <x:v>12.728268309377139</x:v>
      </x:c>
      <x:c r="G5216" s="26" t="b">
        <x:v>1</x:v>
      </x:c>
      <x:c r="H5216" s="16" t="n">
        <x:v>0.34800000000000003</x:v>
      </x:c>
      <x:c r="I5216" s="16" t="n">
        <x:v>0.671</x:v>
      </x:c>
      <x:c r="J5216" s="16" t="n">
        <x:v>0.84</x:v>
      </x:c>
      <x:c r="K5216" s="11" t="n">
        <x:f>CHOOSE('假设'!$B$3,H5216,I5216,J5216)</x:f>
        <x:v>0.671</x:v>
      </x:c>
      <x:c r="L5216" s="11" t="n">
        <x:f>K5216*'管线假设'!E1119*'管线假设'!F1119*'管线假设'!G1119*IF(E5216="USD",'管线假设'!I1119,1)-AM5216</x:f>
        <x:v>0.22667990399999996</x:v>
      </x:c>
      <x:c r="M5216" s="11" t="n">
        <x:f>'管线假设'!H1119</x:f>
        <x:v>0.14</x:v>
      </x:c>
      <x:c r="N5216" s="11" t="n">
        <x:f>IF(G5216,L5216*AN5216/(1+M5216)^F5216,0)</x:f>
        <x:v>0.04276739562314965</x:v>
      </x:c>
      <x:c r="AJ5216" t="n">
        <x:v>0</x:v>
      </x:c>
      <x:c r="AK5216" t="n">
        <x:v>0</x:v>
      </x:c>
      <x:c r="AL5216" t="n">
        <x:v>0</x:v>
      </x:c>
      <x:c r="AM5216" t="n">
        <x:f>CHOOSE('假设'!$B$3,AJ5216,AK5216,AL5216)</x:f>
        <x:v>0</x:v>
      </x:c>
      <x:c r="AN5216" t="n">
        <x:v>1</x:v>
      </x:c>
    </x:row>
    <x:row r="5217" ht="23" customHeight="1">
      <x:c r="A5217" s="11" t="str">
        <x:v>688062.SH</x:v>
      </x:c>
      <x:c r="B5217" s="11" t="str">
        <x:v>半年</x:v>
      </x:c>
      <x:c r="C5217" s="11" t="str">
        <x:v>bfv_global</x:v>
      </x:c>
      <x:c r="D5217" s="11" t="str">
        <x:v>2040-12-31</x:v>
      </x:c>
      <x:c r="E5217" s="11" t="str">
        <x:v>USD</x:v>
      </x:c>
      <x:c r="F5217" s="11" t="n">
        <x:v>13.730321697467488</x:v>
      </x:c>
      <x:c r="G5217" s="26" t="b">
        <x:v>1</x:v>
      </x:c>
      <x:c r="H5217" s="16" t="n">
        <x:v>0.296</x:v>
      </x:c>
      <x:c r="I5217" s="16" t="n">
        <x:v>0.528</x:v>
      </x:c>
      <x:c r="J5217" s="16" t="n">
        <x:v>0.5279999999999999</x:v>
      </x:c>
      <x:c r="K5217" s="11" t="n">
        <x:f>CHOOSE('假设'!$B$3,H5217,I5217,J5217)</x:f>
        <x:v>0.528</x:v>
      </x:c>
      <x:c r="L5217" s="11" t="n">
        <x:f>K5217*'管线假设'!E1119*'管线假设'!F1119*'管线假设'!G1119*IF(E5217="USD",'管线假设'!I1119,1)-AM5217</x:f>
        <x:v>0.17837107199999996</x:v>
      </x:c>
      <x:c r="M5217" s="11" t="n">
        <x:f>'管线假设'!H1119</x:f>
        <x:v>0.14</x:v>
      </x:c>
      <x:c r="N5217" s="11" t="n">
        <x:f>IF(G5217,L5217*AN5217/(1+M5217)^F5217,0)</x:f>
        <x:v>0.02951226265610716</x:v>
      </x:c>
      <x:c r="AJ5217" t="n">
        <x:v>0</x:v>
      </x:c>
      <x:c r="AK5217" t="n">
        <x:v>0</x:v>
      </x:c>
      <x:c r="AL5217" t="n">
        <x:v>0</x:v>
      </x:c>
      <x:c r="AM5217" t="n">
        <x:f>CHOOSE('假设'!$B$3,AJ5217,AK5217,AL5217)</x:f>
        <x:v>0</x:v>
      </x:c>
      <x:c r="AN5217" t="n">
        <x:v>1</x:v>
      </x:c>
    </x:row>
    <x:row r="5218" ht="23" customHeight="1">
      <x:c r="A5218" s="11" t="str">
        <x:v>688062.SH</x:v>
      </x:c>
      <x:c r="B5218" s="11" t="str">
        <x:v>半年</x:v>
      </x:c>
      <x:c r="C5218" s="11" t="str">
        <x:v>bfv_global</x:v>
      </x:c>
      <x:c r="D5218" s="11" t="str">
        <x:v>2041-12-31</x:v>
      </x:c>
      <x:c r="E5218" s="11" t="str">
        <x:v>USD</x:v>
      </x:c>
      <x:c r="F5218" s="11" t="n">
        <x:v>14.729637234770705</x:v>
      </x:c>
      <x:c r="G5218" s="26" t="b">
        <x:v>1</x:v>
      </x:c>
      <x:c r="H5218" s="16" t="n">
        <x:v>0.244</x:v>
      </x:c>
      <x:c r="I5218" s="16" t="n">
        <x:v>0.385</x:v>
      </x:c>
      <x:c r="J5218" s="16" t="n">
        <x:v>0.21599999999999991</x:v>
      </x:c>
      <x:c r="K5218" s="11" t="n">
        <x:f>CHOOSE('假设'!$B$3,H5218,I5218,J5218)</x:f>
        <x:v>0.385</x:v>
      </x:c>
      <x:c r="L5218" s="11" t="n">
        <x:f>K5218*'管线假设'!E1119*'管线假设'!F1119*'管线假设'!G1119*IF(E5218="USD",'管线假设'!I1119,1)-AM5218</x:f>
        <x:v>0.13006223999999997</x:v>
      </x:c>
      <x:c r="M5218" s="11" t="n">
        <x:f>'管线假设'!H1119</x:f>
        <x:v>0.14</x:v>
      </x:c>
      <x:c r="N5218" s="11" t="n">
        <x:f>IF(G5218,L5218*AN5218/(1+M5218)^F5218,0)</x:f>
        <x:v>0.018878322995177343</x:v>
      </x:c>
      <x:c r="AJ5218" t="n">
        <x:v>0</x:v>
      </x:c>
      <x:c r="AK5218" t="n">
        <x:v>0</x:v>
      </x:c>
      <x:c r="AL5218" t="n">
        <x:v>0</x:v>
      </x:c>
      <x:c r="AM5218" t="n">
        <x:f>CHOOSE('假设'!$B$3,AJ5218,AK5218,AL5218)</x:f>
        <x:v>0</x:v>
      </x:c>
      <x:c r="AN5218" t="n">
        <x:v>1</x:v>
      </x:c>
    </x:row>
    <x:row r="5219" ht="23" customHeight="1">
      <x:c r="A5219" s="11" t="str">
        <x:v>688062.SH</x:v>
      </x:c>
      <x:c r="B5219" s="11" t="str">
        <x:v>半年</x:v>
      </x:c>
      <x:c r="C5219" s="11" t="str">
        <x:v>bfv_global</x:v>
      </x:c>
      <x:c r="D5219" s="11" t="str">
        <x:v>2042-12-31</x:v>
      </x:c>
      <x:c r="E5219" s="11" t="str">
        <x:v>USD</x:v>
      </x:c>
      <x:c r="F5219" s="11" t="n">
        <x:v>15.728952772073923</x:v>
      </x:c>
      <x:c r="G5219" s="26" t="b">
        <x:v>1</x:v>
      </x:c>
      <x:c r="H5219" s="16" t="n">
        <x:v>0.192</x:v>
      </x:c>
      <x:c r="I5219" s="16" t="n">
        <x:v>0.242</x:v>
      </x:c>
      <x:c r="J5219" s="16" t="n">
        <x:v>0</x:v>
      </x:c>
      <x:c r="K5219" s="11" t="n">
        <x:f>CHOOSE('假设'!$B$3,H5219,I5219,J5219)</x:f>
        <x:v>0.242</x:v>
      </x:c>
      <x:c r="L5219" s="11" t="n">
        <x:f>K5219*'管线假设'!E1119*'管线假设'!F1119*'管线假设'!G1119*IF(E5219="USD",'管线假设'!I1119,1)-AM5219</x:f>
        <x:v>0.08175340799999999</x:v>
      </x:c>
      <x:c r="M5219" s="11" t="n">
        <x:f>'管线假设'!H1119</x:f>
        <x:v>0.14</x:v>
      </x:c>
      <x:c r="N5219" s="11" t="n">
        <x:f>IF(G5219,L5219*AN5219/(1+M5219)^F5219,0)</x:f>
        <x:v>0.01041003396952724</x:v>
      </x:c>
      <x:c r="AJ5219" t="n">
        <x:v>0</x:v>
      </x:c>
      <x:c r="AK5219" t="n">
        <x:v>0</x:v>
      </x:c>
      <x:c r="AL5219" t="n">
        <x:v>0</x:v>
      </x:c>
      <x:c r="AM5219" t="n">
        <x:f>CHOOSE('假设'!$B$3,AJ5219,AK5219,AL5219)</x:f>
        <x:v>0</x:v>
      </x:c>
      <x:c r="AN5219" t="n">
        <x:v>1</x:v>
      </x:c>
    </x:row>
    <x:row r="5220" ht="23" customHeight="1">
      <x:c r="A5220" s="11" t="str">
        <x:v>688062.SH</x:v>
      </x:c>
      <x:c r="B5220" s="11" t="str">
        <x:v>半年</x:v>
      </x:c>
      <x:c r="C5220" s="11" t="str">
        <x:v>bfv_global</x:v>
      </x:c>
      <x:c r="D5220" s="11" t="str">
        <x:v>2043-12-31</x:v>
      </x:c>
      <x:c r="E5220" s="11" t="str">
        <x:v>USD</x:v>
      </x:c>
      <x:c r="F5220" s="11" t="n">
        <x:v>16.72826830937714</x:v>
      </x:c>
      <x:c r="G5220" s="26" t="b">
        <x:v>1</x:v>
      </x:c>
      <x:c r="H5220" s="16" t="n">
        <x:v>0.13999999999999999</x:v>
      </x:c>
      <x:c r="I5220" s="16" t="n">
        <x:v>0.09899999999999998</x:v>
      </x:c>
      <x:c r="J5220" s="16" t="n">
        <x:v>0</x:v>
      </x:c>
      <x:c r="K5220" s="11" t="n">
        <x:f>CHOOSE('假设'!$B$3,H5220,I5220,J5220)</x:f>
        <x:v>0.09899999999999998</x:v>
      </x:c>
      <x:c r="L5220" s="11" t="n">
        <x:f>K5220*'管线假设'!E1119*'管线假设'!F1119*'管线假设'!G1119*IF(E5220="USD",'管线假设'!I1119,1)-AM5220</x:f>
        <x:v>0.03344457599999999</x:v>
      </x:c>
      <x:c r="M5220" s="11" t="n">
        <x:f>'管线假设'!H1119</x:f>
        <x:v>0.14</x:v>
      </x:c>
      <x:c r="N5220" s="11" t="n">
        <x:f>IF(G5220,L5220*AN5220/(1+M5220)^F5220,0)</x:f>
        <x:v>0.003735993166665502</x:v>
      </x:c>
      <x:c r="AJ5220" t="n">
        <x:v>0</x:v>
      </x:c>
      <x:c r="AK5220" t="n">
        <x:v>0</x:v>
      </x:c>
      <x:c r="AL5220" t="n">
        <x:v>0</x:v>
      </x:c>
      <x:c r="AM5220" t="n">
        <x:f>CHOOSE('假设'!$B$3,AJ5220,AK5220,AL5220)</x:f>
        <x:v>0</x:v>
      </x:c>
      <x:c r="AN5220" t="n">
        <x:v>1</x:v>
      </x:c>
    </x:row>
    <x:row r="5221" ht="23" customHeight="1">
      <x:c r="A5221" s="11" t="str">
        <x:v>688062.SH</x:v>
      </x:c>
      <x:c r="B5221" s="11" t="str">
        <x:v>半年</x:v>
      </x:c>
      <x:c r="C5221" s="11" t="str">
        <x:v>bfv_global</x:v>
      </x:c>
      <x:c r="D5221" s="11" t="str">
        <x:v>2044-12-31</x:v>
      </x:c>
      <x:c r="E5221" s="11" t="str">
        <x:v>USD</x:v>
      </x:c>
      <x:c r="F5221" s="11" t="n">
        <x:v>17.730321697467488</x:v>
      </x:c>
      <x:c r="G5221" s="26" t="b">
        <x:v>1</x:v>
      </x:c>
      <x:c r="H5221" s="16" t="n">
        <x:v>0.088</x:v>
      </x:c>
      <x:c r="I5221" s="16" t="n">
        <x:v>0</x:v>
      </x:c>
      <x:c r="J5221" s="16" t="n">
        <x:v>0</x:v>
      </x:c>
      <x:c r="K5221" s="11" t="n">
        <x:f>CHOOSE('假设'!$B$3,H5221,I5221,J5221)</x:f>
        <x:v>0</x:v>
      </x:c>
      <x:c r="L5221" s="11" t="n">
        <x:f>K5221*'管线假设'!E1119*'管线假设'!F1119*'管线假设'!G1119*IF(E5221="USD",'管线假设'!I1119,1)-AM5221</x:f>
        <x:v>0</x:v>
      </x:c>
      <x:c r="M5221" s="11" t="n">
        <x:f>'管线假设'!H1119</x:f>
        <x:v>0.14</x:v>
      </x:c>
      <x:c r="N5221" s="11" t="n">
        <x:f>IF(G5221,L5221*AN5221/(1+M5221)^F5221,0)</x:f>
        <x:v>0</x:v>
      </x:c>
      <x:c r="AJ5221" t="n">
        <x:v>0</x:v>
      </x:c>
      <x:c r="AK5221" t="n">
        <x:v>0</x:v>
      </x:c>
      <x:c r="AL5221" t="n">
        <x:v>0</x:v>
      </x:c>
      <x:c r="AM5221" t="n">
        <x:f>CHOOSE('假设'!$B$3,AJ5221,AK5221,AL5221)</x:f>
        <x:v>0</x:v>
      </x:c>
      <x:c r="AN5221" t="n">
        <x:v>1</x:v>
      </x:c>
    </x:row>
    <x:row r="5222" ht="23" customHeight="1">
      <x:c r="A5222" s="11" t="str">
        <x:v>688062.SH</x:v>
      </x:c>
      <x:c r="B5222" s="11" t="str">
        <x:v>半年</x:v>
      </x:c>
      <x:c r="C5222" s="11" t="str">
        <x:v>bfv_global</x:v>
      </x:c>
      <x:c r="D5222" s="11" t="str">
        <x:v>2045-12-31</x:v>
      </x:c>
      <x:c r="E5222" s="11" t="str">
        <x:v>USD</x:v>
      </x:c>
      <x:c r="F5222" s="11" t="n">
        <x:v>18.729637234770706</x:v>
      </x:c>
      <x:c r="G5222" s="26" t="b">
        <x:v>1</x:v>
      </x:c>
      <x:c r="H5222" s="16" t="n">
        <x:v>0.03599999999999999</x:v>
      </x:c>
      <x:c r="I5222" s="16" t="n">
        <x:v>0</x:v>
      </x:c>
      <x:c r="J5222" s="16" t="n">
        <x:v>0</x:v>
      </x:c>
      <x:c r="K5222" s="11" t="n">
        <x:f>CHOOSE('假设'!$B$3,H5222,I5222,J5222)</x:f>
        <x:v>0</x:v>
      </x:c>
      <x:c r="L5222" s="11" t="n">
        <x:f>K5222*'管线假设'!E1119*'管线假设'!F1119*'管线假设'!G1119*IF(E5222="USD",'管线假设'!I1119,1)-AM5222</x:f>
        <x:v>0</x:v>
      </x:c>
      <x:c r="M5222" s="11" t="n">
        <x:f>'管线假设'!H1119</x:f>
        <x:v>0.14</x:v>
      </x:c>
      <x:c r="N5222" s="11" t="n">
        <x:f>IF(G5222,L5222*AN5222/(1+M5222)^F5222,0)</x:f>
        <x:v>0</x:v>
      </x:c>
      <x:c r="AJ5222" t="n">
        <x:v>0</x:v>
      </x:c>
      <x:c r="AK5222" t="n">
        <x:v>0</x:v>
      </x:c>
      <x:c r="AL5222" t="n">
        <x:v>0</x:v>
      </x:c>
      <x:c r="AM5222" t="n">
        <x:f>CHOOSE('假设'!$B$3,AJ5222,AK5222,AL5222)</x:f>
        <x:v>0</x:v>
      </x:c>
      <x:c r="AN5222" t="n">
        <x:v>1</x:v>
      </x:c>
    </x:row>
    <x:row r="5223" ht="23" customHeight="1">
      <x:c r="A5223" s="11" t="str">
        <x:v>688062.SH</x:v>
      </x:c>
      <x:c r="B5223" s="11" t="str">
        <x:v>半年</x:v>
      </x:c>
      <x:c r="C5223" s="11" t="str">
        <x:v>b7h3</x:v>
      </x:c>
      <x:c r="D5223" s="11" t="str">
        <x:v>2027-12-31</x:v>
      </x:c>
      <x:c r="E5223" s="11" t="str">
        <x:v>CNY</x:v>
      </x:c>
      <x:c r="F5223" s="11" t="n">
        <x:v>0.7282683093771389</x:v>
      </x:c>
      <x:c r="G5223" s="26" t="b">
        <x:v>1</x:v>
      </x:c>
      <x:c r="H5223" s="16" t="n">
        <x:v>0</x:v>
      </x:c>
      <x:c r="I5223" s="16" t="n">
        <x:v>0</x:v>
      </x:c>
      <x:c r="J5223" s="16" t="n">
        <x:v>0</x:v>
      </x:c>
      <x:c r="K5223" s="11" t="n">
        <x:f>CHOOSE('假设'!$B$3,H5223,I5223,J5223)</x:f>
        <x:v>0</x:v>
      </x:c>
      <x:c r="L5223" s="11" t="n">
        <x:f>K5223*'管线假设'!E1123*'管线假设'!F1123*'管线假设'!G1123*IF(E5223="USD",'管线假设'!I1123,1)-AM5223</x:f>
        <x:v>0</x:v>
      </x:c>
      <x:c r="M5223" s="11" t="n">
        <x:f>'管线假设'!H1123</x:f>
        <x:v>0.14</x:v>
      </x:c>
      <x:c r="N5223" s="11" t="n">
        <x:f>IF(G5223,L5223*AN5223/(1+M5223)^F5223,0)</x:f>
        <x:v>0</x:v>
      </x:c>
      <x:c r="AJ5223" t="n">
        <x:v>0</x:v>
      </x:c>
      <x:c r="AK5223" t="n">
        <x:v>0</x:v>
      </x:c>
      <x:c r="AL5223" t="n">
        <x:v>0</x:v>
      </x:c>
      <x:c r="AM5223" t="n">
        <x:f>CHOOSE('假设'!$B$3,AJ5223,AK5223,AL5223)</x:f>
        <x:v>0</x:v>
      </x:c>
      <x:c r="AN5223" t="n">
        <x:v>1</x:v>
      </x:c>
    </x:row>
    <x:row r="5224" ht="23" customHeight="1">
      <x:c r="A5224" s="11" t="str">
        <x:v>688062.SH</x:v>
      </x:c>
      <x:c r="B5224" s="11" t="str">
        <x:v>半年</x:v>
      </x:c>
      <x:c r="C5224" s="11" t="str">
        <x:v>b7h3</x:v>
      </x:c>
      <x:c r="D5224" s="11" t="str">
        <x:v>2028-12-31</x:v>
      </x:c>
      <x:c r="E5224" s="11" t="str">
        <x:v>CNY</x:v>
      </x:c>
      <x:c r="F5224" s="11" t="n">
        <x:v>1.730321697467488</x:v>
      </x:c>
      <x:c r="G5224" s="26" t="b">
        <x:v>1</x:v>
      </x:c>
      <x:c r="H5224" s="16" t="n">
        <x:v>0</x:v>
      </x:c>
      <x:c r="I5224" s="16" t="n">
        <x:v>0</x:v>
      </x:c>
      <x:c r="J5224" s="16" t="n">
        <x:v>0</x:v>
      </x:c>
      <x:c r="K5224" s="11" t="n">
        <x:f>CHOOSE('假设'!$B$3,H5224,I5224,J5224)</x:f>
        <x:v>0</x:v>
      </x:c>
      <x:c r="L5224" s="11" t="n">
        <x:f>K5224*'管线假设'!E1123*'管线假设'!F1123*'管线假设'!G1123*IF(E5224="USD",'管线假设'!I1123,1)-AM5224</x:f>
        <x:v>0</x:v>
      </x:c>
      <x:c r="M5224" s="11" t="n">
        <x:f>'管线假设'!H1123</x:f>
        <x:v>0.14</x:v>
      </x:c>
      <x:c r="N5224" s="11" t="n">
        <x:f>IF(G5224,L5224*AN5224/(1+M5224)^F5224,0)</x:f>
        <x:v>0</x:v>
      </x:c>
      <x:c r="AJ5224" t="n">
        <x:v>0</x:v>
      </x:c>
      <x:c r="AK5224" t="n">
        <x:v>0</x:v>
      </x:c>
      <x:c r="AL5224" t="n">
        <x:v>0</x:v>
      </x:c>
      <x:c r="AM5224" t="n">
        <x:f>CHOOSE('假设'!$B$3,AJ5224,AK5224,AL5224)</x:f>
        <x:v>0</x:v>
      </x:c>
      <x:c r="AN5224" t="n">
        <x:v>1</x:v>
      </x:c>
    </x:row>
    <x:row r="5225" ht="23" customHeight="1">
      <x:c r="A5225" s="11" t="str">
        <x:v>688062.SH</x:v>
      </x:c>
      <x:c r="B5225" s="11" t="str">
        <x:v>半年</x:v>
      </x:c>
      <x:c r="C5225" s="11" t="str">
        <x:v>b7h3</x:v>
      </x:c>
      <x:c r="D5225" s="11" t="str">
        <x:v>2029-12-31</x:v>
      </x:c>
      <x:c r="E5225" s="11" t="str">
        <x:v>CNY</x:v>
      </x:c>
      <x:c r="F5225" s="11" t="n">
        <x:v>2.729637234770705</x:v>
      </x:c>
      <x:c r="G5225" s="26" t="b">
        <x:v>1</x:v>
      </x:c>
      <x:c r="H5225" s="16" t="n">
        <x:v>0</x:v>
      </x:c>
      <x:c r="I5225" s="16" t="n">
        <x:v>0</x:v>
      </x:c>
      <x:c r="J5225" s="16" t="n">
        <x:v>0.5</x:v>
      </x:c>
      <x:c r="K5225" s="11" t="n">
        <x:f>CHOOSE('假设'!$B$3,H5225,I5225,J5225)</x:f>
        <x:v>0</x:v>
      </x:c>
      <x:c r="L5225" s="11" t="n">
        <x:f>K5225*'管线假设'!E1123*'管线假设'!F1123*'管线假设'!G1123*IF(E5225="USD",'管线假设'!I1123,1)-AM5225</x:f>
        <x:v>0</x:v>
      </x:c>
      <x:c r="M5225" s="11" t="n">
        <x:f>'管线假设'!H1123</x:f>
        <x:v>0.14</x:v>
      </x:c>
      <x:c r="N5225" s="11" t="n">
        <x:f>IF(G5225,L5225*AN5225/(1+M5225)^F5225,0)</x:f>
        <x:v>0</x:v>
      </x:c>
      <x:c r="AJ5225" t="n">
        <x:v>0</x:v>
      </x:c>
      <x:c r="AK5225" t="n">
        <x:v>0</x:v>
      </x:c>
      <x:c r="AL5225" t="n">
        <x:v>0</x:v>
      </x:c>
      <x:c r="AM5225" t="n">
        <x:f>CHOOSE('假设'!$B$3,AJ5225,AK5225,AL5225)</x:f>
        <x:v>0</x:v>
      </x:c>
      <x:c r="AN5225" t="n">
        <x:v>1</x:v>
      </x:c>
    </x:row>
    <x:row r="5226" ht="23" customHeight="1">
      <x:c r="A5226" s="11" t="str">
        <x:v>688062.SH</x:v>
      </x:c>
      <x:c r="B5226" s="11" t="str">
        <x:v>半年</x:v>
      </x:c>
      <x:c r="C5226" s="11" t="str">
        <x:v>b7h3</x:v>
      </x:c>
      <x:c r="D5226" s="11" t="str">
        <x:v>2030-12-31</x:v>
      </x:c>
      <x:c r="E5226" s="11" t="str">
        <x:v>CNY</x:v>
      </x:c>
      <x:c r="F5226" s="11" t="n">
        <x:v>3.728952772073922</x:v>
      </x:c>
      <x:c r="G5226" s="26" t="b">
        <x:v>1</x:v>
      </x:c>
      <x:c r="H5226" s="16" t="n">
        <x:v>0</x:v>
      </x:c>
      <x:c r="I5226" s="16" t="n">
        <x:v>0</x:v>
      </x:c>
      <x:c r="J5226" s="16" t="n">
        <x:v>1</x:v>
      </x:c>
      <x:c r="K5226" s="11" t="n">
        <x:f>CHOOSE('假设'!$B$3,H5226,I5226,J5226)</x:f>
        <x:v>0</x:v>
      </x:c>
      <x:c r="L5226" s="11" t="n">
        <x:f>K5226*'管线假设'!E1123*'管线假设'!F1123*'管线假设'!G1123*IF(E5226="USD",'管线假设'!I1123,1)-AM5226</x:f>
        <x:v>0</x:v>
      </x:c>
      <x:c r="M5226" s="11" t="n">
        <x:f>'管线假设'!H1123</x:f>
        <x:v>0.14</x:v>
      </x:c>
      <x:c r="N5226" s="11" t="n">
        <x:f>IF(G5226,L5226*AN5226/(1+M5226)^F5226,0)</x:f>
        <x:v>0</x:v>
      </x:c>
      <x:c r="AJ5226" t="n">
        <x:v>0</x:v>
      </x:c>
      <x:c r="AK5226" t="n">
        <x:v>0</x:v>
      </x:c>
      <x:c r="AL5226" t="n">
        <x:v>0</x:v>
      </x:c>
      <x:c r="AM5226" t="n">
        <x:f>CHOOSE('假设'!$B$3,AJ5226,AK5226,AL5226)</x:f>
        <x:v>0</x:v>
      </x:c>
      <x:c r="AN5226" t="n">
        <x:v>1</x:v>
      </x:c>
    </x:row>
    <x:row r="5227" ht="23" customHeight="1">
      <x:c r="A5227" s="11" t="str">
        <x:v>688062.SH</x:v>
      </x:c>
      <x:c r="B5227" s="11" t="str">
        <x:v>半年</x:v>
      </x:c>
      <x:c r="C5227" s="11" t="str">
        <x:v>b7h3</x:v>
      </x:c>
      <x:c r="D5227" s="11" t="str">
        <x:v>2031-12-31</x:v>
      </x:c>
      <x:c r="E5227" s="11" t="str">
        <x:v>CNY</x:v>
      </x:c>
      <x:c r="F5227" s="11" t="n">
        <x:v>4.728268309377139</x:v>
      </x:c>
      <x:c r="G5227" s="26" t="b">
        <x:v>1</x:v>
      </x:c>
      <x:c r="H5227" s="16" t="n">
        <x:v>0</x:v>
      </x:c>
      <x:c r="I5227" s="16" t="n">
        <x:v>0.3</x:v>
      </x:c>
      <x:c r="J5227" s="16" t="n">
        <x:v>1.5</x:v>
      </x:c>
      <x:c r="K5227" s="11" t="n">
        <x:f>CHOOSE('假设'!$B$3,H5227,I5227,J5227)</x:f>
        <x:v>0.3</x:v>
      </x:c>
      <x:c r="L5227" s="11" t="n">
        <x:f>K5227*'管线假设'!E1123*'管线假设'!F1123*'管线假设'!G1123*IF(E5227="USD",'管线假设'!I1123,1)-AM5227</x:f>
        <x:v>0.021204</x:v>
      </x:c>
      <x:c r="M5227" s="11" t="n">
        <x:f>'管线假设'!H1123</x:f>
        <x:v>0.14</x:v>
      </x:c>
      <x:c r="N5227" s="11" t="n">
        <x:f>IF(G5227,L5227*AN5227/(1+M5227)^F5227,0)</x:f>
        <x:v>0.011411858823082342</x:v>
      </x:c>
      <x:c r="AJ5227" t="n">
        <x:v>0</x:v>
      </x:c>
      <x:c r="AK5227" t="n">
        <x:v>0</x:v>
      </x:c>
      <x:c r="AL5227" t="n">
        <x:v>0</x:v>
      </x:c>
      <x:c r="AM5227" t="n">
        <x:f>CHOOSE('假设'!$B$3,AJ5227,AK5227,AL5227)</x:f>
        <x:v>0</x:v>
      </x:c>
      <x:c r="AN5227" t="n">
        <x:v>1</x:v>
      </x:c>
    </x:row>
    <x:row r="5228" ht="23" customHeight="1">
      <x:c r="A5228" s="11" t="str">
        <x:v>688062.SH</x:v>
      </x:c>
      <x:c r="B5228" s="11" t="str">
        <x:v>半年</x:v>
      </x:c>
      <x:c r="C5228" s="11" t="str">
        <x:v>b7h3</x:v>
      </x:c>
      <x:c r="D5228" s="11" t="str">
        <x:v>2032-12-31</x:v>
      </x:c>
      <x:c r="E5228" s="11" t="str">
        <x:v>CNY</x:v>
      </x:c>
      <x:c r="F5228" s="11" t="n">
        <x:v>5.730321697467488</x:v>
      </x:c>
      <x:c r="G5228" s="26" t="b">
        <x:v>1</x:v>
      </x:c>
      <x:c r="H5228" s="16" t="n">
        <x:v>0</x:v>
      </x:c>
      <x:c r="I5228" s="16" t="n">
        <x:v>0.6</x:v>
      </x:c>
      <x:c r="J5228" s="16" t="n">
        <x:v>2</x:v>
      </x:c>
      <x:c r="K5228" s="11" t="n">
        <x:f>CHOOSE('假设'!$B$3,H5228,I5228,J5228)</x:f>
        <x:v>0.6</x:v>
      </x:c>
      <x:c r="L5228" s="11" t="n">
        <x:f>K5228*'管线假设'!E1123*'管线假设'!F1123*'管线假设'!G1123*IF(E5228="USD",'管线假设'!I1123,1)-AM5228</x:f>
        <x:v>0.042408</x:v>
      </x:c>
      <x:c r="M5228" s="11" t="n">
        <x:f>'管线假设'!H1123</x:f>
        <x:v>0.14</x:v>
      </x:c>
      <x:c r="N5228" s="11" t="n">
        <x:f>IF(G5228,L5228*AN5228/(1+M5228)^F5228,0)</x:f>
        <x:v>0.02001541904227117</x:v>
      </x:c>
      <x:c r="AJ5228" t="n">
        <x:v>0</x:v>
      </x:c>
      <x:c r="AK5228" t="n">
        <x:v>0</x:v>
      </x:c>
      <x:c r="AL5228" t="n">
        <x:v>0</x:v>
      </x:c>
      <x:c r="AM5228" t="n">
        <x:f>CHOOSE('假设'!$B$3,AJ5228,AK5228,AL5228)</x:f>
        <x:v>0</x:v>
      </x:c>
      <x:c r="AN5228" t="n">
        <x:v>1</x:v>
      </x:c>
    </x:row>
    <x:row r="5229" ht="23" customHeight="1">
      <x:c r="A5229" s="11" t="str">
        <x:v>688062.SH</x:v>
      </x:c>
      <x:c r="B5229" s="11" t="str">
        <x:v>半年</x:v>
      </x:c>
      <x:c r="C5229" s="11" t="str">
        <x:v>b7h3</x:v>
      </x:c>
      <x:c r="D5229" s="11" t="str">
        <x:v>2033-12-31</x:v>
      </x:c>
      <x:c r="E5229" s="11" t="str">
        <x:v>CNY</x:v>
      </x:c>
      <x:c r="F5229" s="11" t="n">
        <x:v>6.729637234770705</x:v>
      </x:c>
      <x:c r="G5229" s="26" t="b">
        <x:v>1</x:v>
      </x:c>
      <x:c r="H5229" s="16" t="n">
        <x:v>0</x:v>
      </x:c>
      <x:c r="I5229" s="16" t="n">
        <x:v>0.9</x:v>
      </x:c>
      <x:c r="J5229" s="16" t="n">
        <x:v>2.5</x:v>
      </x:c>
      <x:c r="K5229" s="11" t="n">
        <x:f>CHOOSE('假设'!$B$3,H5229,I5229,J5229)</x:f>
        <x:v>0.9</x:v>
      </x:c>
      <x:c r="L5229" s="11" t="n">
        <x:f>K5229*'管线假设'!E1123*'管线假设'!F1123*'管线假设'!G1123*IF(E5229="USD",'管线假设'!I1123,1)-AM5229</x:f>
        <x:v>0.063612</x:v>
      </x:c>
      <x:c r="M5229" s="11" t="n">
        <x:f>'管线假设'!H1123</x:f>
        <x:v>0.14</x:v>
      </x:c>
      <x:c r="N5229" s="11" t="n">
        <x:f>IF(G5229,L5229*AN5229/(1+M5229)^F5229,0)</x:f>
        <x:v>0.026338439716796412</x:v>
      </x:c>
      <x:c r="AJ5229" t="n">
        <x:v>0</x:v>
      </x:c>
      <x:c r="AK5229" t="n">
        <x:v>0</x:v>
      </x:c>
      <x:c r="AL5229" t="n">
        <x:v>0</x:v>
      </x:c>
      <x:c r="AM5229" t="n">
        <x:f>CHOOSE('假设'!$B$3,AJ5229,AK5229,AL5229)</x:f>
        <x:v>0</x:v>
      </x:c>
      <x:c r="AN5229" t="n">
        <x:v>1</x:v>
      </x:c>
    </x:row>
    <x:row r="5230" ht="23" customHeight="1">
      <x:c r="A5230" s="11" t="str">
        <x:v>688062.SH</x:v>
      </x:c>
      <x:c r="B5230" s="11" t="str">
        <x:v>半年</x:v>
      </x:c>
      <x:c r="C5230" s="11" t="str">
        <x:v>b7h3</x:v>
      </x:c>
      <x:c r="D5230" s="11" t="str">
        <x:v>2034-12-31</x:v>
      </x:c>
      <x:c r="E5230" s="11" t="str">
        <x:v>CNY</x:v>
      </x:c>
      <x:c r="F5230" s="11" t="n">
        <x:v>7.728952772073922</x:v>
      </x:c>
      <x:c r="G5230" s="26" t="b">
        <x:v>1</x:v>
      </x:c>
      <x:c r="H5230" s="16" t="n">
        <x:v>0.13999999999999999</x:v>
      </x:c>
      <x:c r="I5230" s="16" t="n">
        <x:v>1.2</x:v>
      </x:c>
      <x:c r="J5230" s="16" t="n">
        <x:v>3</x:v>
      </x:c>
      <x:c r="K5230" s="11" t="n">
        <x:f>CHOOSE('假设'!$B$3,H5230,I5230,J5230)</x:f>
        <x:v>1.2</x:v>
      </x:c>
      <x:c r="L5230" s="11" t="n">
        <x:f>K5230*'管线假设'!E1123*'管线假设'!F1123*'管线假设'!G1123*IF(E5230="USD",'管线假设'!I1123,1)-AM5230</x:f>
        <x:v>0.084816</x:v>
      </x:c>
      <x:c r="M5230" s="11" t="n">
        <x:f>'管线假设'!H1123</x:f>
        <x:v>0.14</x:v>
      </x:c>
      <x:c r="N5230" s="11" t="n">
        <x:f>IF(G5230,L5230*AN5230/(1+M5230)^F5230,0)</x:f>
        <x:v>0.030807955506712958</x:v>
      </x:c>
      <x:c r="AJ5230" t="n">
        <x:v>0</x:v>
      </x:c>
      <x:c r="AK5230" t="n">
        <x:v>0</x:v>
      </x:c>
      <x:c r="AL5230" t="n">
        <x:v>0</x:v>
      </x:c>
      <x:c r="AM5230" t="n">
        <x:f>CHOOSE('假设'!$B$3,AJ5230,AK5230,AL5230)</x:f>
        <x:v>0</x:v>
      </x:c>
      <x:c r="AN5230" t="n">
        <x:v>1</x:v>
      </x:c>
    </x:row>
    <x:row r="5231" ht="23" customHeight="1">
      <x:c r="A5231" s="11" t="str">
        <x:v>688062.SH</x:v>
      </x:c>
      <x:c r="B5231" s="11" t="str">
        <x:v>半年</x:v>
      </x:c>
      <x:c r="C5231" s="11" t="str">
        <x:v>b7h3</x:v>
      </x:c>
      <x:c r="D5231" s="11" t="str">
        <x:v>2035-12-31</x:v>
      </x:c>
      <x:c r="E5231" s="11" t="str">
        <x:v>CNY</x:v>
      </x:c>
      <x:c r="F5231" s="11" t="n">
        <x:v>8.728268309377139</x:v>
      </x:c>
      <x:c r="G5231" s="26" t="b">
        <x:v>1</x:v>
      </x:c>
      <x:c r="H5231" s="16" t="n">
        <x:v>0.27999999999999997</x:v>
      </x:c>
      <x:c r="I5231" s="16" t="n">
        <x:v>1.5</x:v>
      </x:c>
      <x:c r="J5231" s="16" t="n">
        <x:v>2.61</x:v>
      </x:c>
      <x:c r="K5231" s="11" t="n">
        <x:f>CHOOSE('假设'!$B$3,H5231,I5231,J5231)</x:f>
        <x:v>1.5</x:v>
      </x:c>
      <x:c r="L5231" s="11" t="n">
        <x:f>K5231*'管线假设'!E1123*'管线假设'!F1123*'管线假设'!G1123*IF(E5231="USD",'管线假设'!I1123,1)-AM5231</x:f>
        <x:v>0.10602000000000002</x:v>
      </x:c>
      <x:c r="M5231" s="11" t="n">
        <x:f>'管线假设'!H1123</x:f>
        <x:v>0.14</x:v>
      </x:c>
      <x:c r="N5231" s="11" t="n">
        <x:f>IF(G5231,L5231*AN5231/(1+M5231)^F5231,0)</x:f>
        <x:v>0.03378368268640019</x:v>
      </x:c>
      <x:c r="AJ5231" t="n">
        <x:v>0</x:v>
      </x:c>
      <x:c r="AK5231" t="n">
        <x:v>0</x:v>
      </x:c>
      <x:c r="AL5231" t="n">
        <x:v>0</x:v>
      </x:c>
      <x:c r="AM5231" t="n">
        <x:f>CHOOSE('假设'!$B$3,AJ5231,AK5231,AL5231)</x:f>
        <x:v>0</x:v>
      </x:c>
      <x:c r="AN5231" t="n">
        <x:v>1</x:v>
      </x:c>
    </x:row>
    <x:row r="5232" ht="23" customHeight="1">
      <x:c r="A5232" s="11" t="str">
        <x:v>688062.SH</x:v>
      </x:c>
      <x:c r="B5232" s="11" t="str">
        <x:v>半年</x:v>
      </x:c>
      <x:c r="C5232" s="11" t="str">
        <x:v>b7h3</x:v>
      </x:c>
      <x:c r="D5232" s="11" t="str">
        <x:v>2036-12-31</x:v>
      </x:c>
      <x:c r="E5232" s="11" t="str">
        <x:v>CNY</x:v>
      </x:c>
      <x:c r="F5232" s="11" t="n">
        <x:v>9.730321697467488</x:v>
      </x:c>
      <x:c r="G5232" s="26" t="b">
        <x:v>1</x:v>
      </x:c>
      <x:c r="H5232" s="16" t="n">
        <x:v>0.42</x:v>
      </x:c>
      <x:c r="I5232" s="16" t="n">
        <x:v>1.8</x:v>
      </x:c>
      <x:c r="J5232" s="16" t="n">
        <x:v>2.2199999999999998</x:v>
      </x:c>
      <x:c r="K5232" s="11" t="n">
        <x:f>CHOOSE('假设'!$B$3,H5232,I5232,J5232)</x:f>
        <x:v>1.8</x:v>
      </x:c>
      <x:c r="L5232" s="11" t="n">
        <x:f>K5232*'管线假设'!E1123*'管线假设'!F1123*'管线假设'!G1123*IF(E5232="USD",'管线假设'!I1123,1)-AM5232</x:f>
        <x:v>0.127224</x:v>
      </x:c>
      <x:c r="M5232" s="11" t="n">
        <x:f>'管线假设'!H1123</x:f>
        <x:v>0.14</x:v>
      </x:c>
      <x:c r="N5232" s="11" t="n">
        <x:f>IF(G5232,L5232*AN5232/(1+M5232)^F5232,0)</x:f>
        <x:v>0.035552204574685456</x:v>
      </x:c>
      <x:c r="AJ5232" t="n">
        <x:v>0</x:v>
      </x:c>
      <x:c r="AK5232" t="n">
        <x:v>0</x:v>
      </x:c>
      <x:c r="AL5232" t="n">
        <x:v>0</x:v>
      </x:c>
      <x:c r="AM5232" t="n">
        <x:f>CHOOSE('假设'!$B$3,AJ5232,AK5232,AL5232)</x:f>
        <x:v>0</x:v>
      </x:c>
      <x:c r="AN5232" t="n">
        <x:v>1</x:v>
      </x:c>
    </x:row>
    <x:row r="5233" ht="23" customHeight="1">
      <x:c r="A5233" s="11" t="str">
        <x:v>688062.SH</x:v>
      </x:c>
      <x:c r="B5233" s="11" t="str">
        <x:v>半年</x:v>
      </x:c>
      <x:c r="C5233" s="11" t="str">
        <x:v>b7h3</x:v>
      </x:c>
      <x:c r="D5233" s="11" t="str">
        <x:v>2037-12-31</x:v>
      </x:c>
      <x:c r="E5233" s="11" t="str">
        <x:v>CNY</x:v>
      </x:c>
      <x:c r="F5233" s="11" t="n">
        <x:v>10.729637234770705</x:v>
      </x:c>
      <x:c r="G5233" s="26" t="b">
        <x:v>1</x:v>
      </x:c>
      <x:c r="H5233" s="16" t="n">
        <x:v>0.5599999999999999</x:v>
      </x:c>
      <x:c r="I5233" s="16" t="n">
        <x:v>1.566</x:v>
      </x:c>
      <x:c r="J5233" s="16" t="n">
        <x:v>1.83</x:v>
      </x:c>
      <x:c r="K5233" s="11" t="n">
        <x:f>CHOOSE('假设'!$B$3,H5233,I5233,J5233)</x:f>
        <x:v>1.566</x:v>
      </x:c>
      <x:c r="L5233" s="11" t="n">
        <x:f>K5233*'管线假设'!E1123*'管线假设'!F1123*'管线假设'!G1123*IF(E5233="USD",'管线假设'!I1123,1)-AM5233</x:f>
        <x:v>0.11068488000000001</x:v>
      </x:c>
      <x:c r="M5233" s="11" t="n">
        <x:f>'管线假设'!H1123</x:f>
        <x:v>0.14</x:v>
      </x:c>
      <x:c r="N5233" s="11" t="n">
        <x:f>IF(G5233,L5233*AN5233/(1+M5233)^F5233,0)</x:f>
        <x:v>0.027134379005852773</x:v>
      </x:c>
      <x:c r="AJ5233" t="n">
        <x:v>0</x:v>
      </x:c>
      <x:c r="AK5233" t="n">
        <x:v>0</x:v>
      </x:c>
      <x:c r="AL5233" t="n">
        <x:v>0</x:v>
      </x:c>
      <x:c r="AM5233" t="n">
        <x:f>CHOOSE('假设'!$B$3,AJ5233,AK5233,AL5233)</x:f>
        <x:v>0</x:v>
      </x:c>
      <x:c r="AN5233" t="n">
        <x:v>1</x:v>
      </x:c>
    </x:row>
    <x:row r="5234" ht="23" customHeight="1">
      <x:c r="A5234" s="11" t="str">
        <x:v>688062.SH</x:v>
      </x:c>
      <x:c r="B5234" s="11" t="str">
        <x:v>半年</x:v>
      </x:c>
      <x:c r="C5234" s="11" t="str">
        <x:v>b7h3</x:v>
      </x:c>
      <x:c r="D5234" s="11" t="str">
        <x:v>2038-12-31</x:v>
      </x:c>
      <x:c r="E5234" s="11" t="str">
        <x:v>CNY</x:v>
      </x:c>
      <x:c r="F5234" s="11" t="n">
        <x:v>11.728952772073923</x:v>
      </x:c>
      <x:c r="G5234" s="26" t="b">
        <x:v>1</x:v>
      </x:c>
      <x:c r="H5234" s="16" t="n">
        <x:v>0.7</x:v>
      </x:c>
      <x:c r="I5234" s="16" t="n">
        <x:v>1.332</x:v>
      </x:c>
      <x:c r="J5234" s="16" t="n">
        <x:v>1.44</x:v>
      </x:c>
      <x:c r="K5234" s="11" t="n">
        <x:f>CHOOSE('假设'!$B$3,H5234,I5234,J5234)</x:f>
        <x:v>1.332</x:v>
      </x:c>
      <x:c r="L5234" s="11" t="n">
        <x:f>K5234*'管线假设'!E1123*'管线假设'!F1123*'管线假设'!G1123*IF(E5234="USD",'管线假设'!I1123,1)-AM5234</x:f>
        <x:v>0.09414576000000002</x:v>
      </x:c>
      <x:c r="M5234" s="11" t="n">
        <x:f>'管线假设'!H1123</x:f>
        <x:v>0.14</x:v>
      </x:c>
      <x:c r="N5234" s="11" t="n">
        <x:f>IF(G5234,L5234*AN5234/(1+M5234)^F5234,0)</x:f>
        <x:v>0.020247268954201602</x:v>
      </x:c>
      <x:c r="AJ5234" t="n">
        <x:v>0</x:v>
      </x:c>
      <x:c r="AK5234" t="n">
        <x:v>0</x:v>
      </x:c>
      <x:c r="AL5234" t="n">
        <x:v>0</x:v>
      </x:c>
      <x:c r="AM5234" t="n">
        <x:f>CHOOSE('假设'!$B$3,AJ5234,AK5234,AL5234)</x:f>
        <x:v>0</x:v>
      </x:c>
      <x:c r="AN5234" t="n">
        <x:v>1</x:v>
      </x:c>
    </x:row>
    <x:row r="5235" ht="23" customHeight="1">
      <x:c r="A5235" s="11" t="str">
        <x:v>688062.SH</x:v>
      </x:c>
      <x:c r="B5235" s="11" t="str">
        <x:v>半年</x:v>
      </x:c>
      <x:c r="C5235" s="11" t="str">
        <x:v>b7h3</x:v>
      </x:c>
      <x:c r="D5235" s="11" t="str">
        <x:v>2039-12-31</x:v>
      </x:c>
      <x:c r="E5235" s="11" t="str">
        <x:v>CNY</x:v>
      </x:c>
      <x:c r="F5235" s="11" t="n">
        <x:v>12.728268309377139</x:v>
      </x:c>
      <x:c r="G5235" s="26" t="b">
        <x:v>1</x:v>
      </x:c>
      <x:c r="H5235" s="16" t="n">
        <x:v>0.609</x:v>
      </x:c>
      <x:c r="I5235" s="16" t="n">
        <x:v>1.098</x:v>
      </x:c>
      <x:c r="J5235" s="16" t="n">
        <x:v>1.0499999999999998</x:v>
      </x:c>
      <x:c r="K5235" s="11" t="n">
        <x:f>CHOOSE('假设'!$B$3,H5235,I5235,J5235)</x:f>
        <x:v>1.098</x:v>
      </x:c>
      <x:c r="L5235" s="11" t="n">
        <x:f>K5235*'管线假设'!E1123*'管线假设'!F1123*'管线假设'!G1123*IF(E5235="USD",'管线假设'!I1123,1)-AM5235</x:f>
        <x:v>0.07760664000000002</x:v>
      </x:c>
      <x:c r="M5235" s="11" t="n">
        <x:f>'管线假设'!H1123</x:f>
        <x:v>0.14</x:v>
      </x:c>
      <x:c r="N5235" s="11" t="n">
        <x:f>IF(G5235,L5235*AN5235/(1+M5235)^F5235,0)</x:f>
        <x:v>0.014641941421782814</x:v>
      </x:c>
      <x:c r="AJ5235" t="n">
        <x:v>0</x:v>
      </x:c>
      <x:c r="AK5235" t="n">
        <x:v>0</x:v>
      </x:c>
      <x:c r="AL5235" t="n">
        <x:v>0</x:v>
      </x:c>
      <x:c r="AM5235" t="n">
        <x:f>CHOOSE('假设'!$B$3,AJ5235,AK5235,AL5235)</x:f>
        <x:v>0</x:v>
      </x:c>
      <x:c r="AN5235" t="n">
        <x:v>1</x:v>
      </x:c>
    </x:row>
    <x:row r="5236" ht="23" customHeight="1">
      <x:c r="A5236" s="11" t="str">
        <x:v>688062.SH</x:v>
      </x:c>
      <x:c r="B5236" s="11" t="str">
        <x:v>半年</x:v>
      </x:c>
      <x:c r="C5236" s="11" t="str">
        <x:v>b7h3</x:v>
      </x:c>
      <x:c r="D5236" s="11" t="str">
        <x:v>2040-12-31</x:v>
      </x:c>
      <x:c r="E5236" s="11" t="str">
        <x:v>CNY</x:v>
      </x:c>
      <x:c r="F5236" s="11" t="n">
        <x:v>13.730321697467488</x:v>
      </x:c>
      <x:c r="G5236" s="26" t="b">
        <x:v>1</x:v>
      </x:c>
      <x:c r="H5236" s="16" t="n">
        <x:v>0.518</x:v>
      </x:c>
      <x:c r="I5236" s="16" t="n">
        <x:v>0.864</x:v>
      </x:c>
      <x:c r="J5236" s="16" t="n">
        <x:v>0.6599999999999999</x:v>
      </x:c>
      <x:c r="K5236" s="11" t="n">
        <x:f>CHOOSE('假设'!$B$3,H5236,I5236,J5236)</x:f>
        <x:v>0.864</x:v>
      </x:c>
      <x:c r="L5236" s="11" t="n">
        <x:f>K5236*'管线假设'!E1123*'管线假设'!F1123*'管线假设'!G1123*IF(E5236="USD",'管线假设'!I1123,1)-AM5236</x:f>
        <x:v>0.06106752000000001</x:v>
      </x:c>
      <x:c r="M5236" s="11" t="n">
        <x:f>'管线假设'!H1123</x:f>
        <x:v>0.14</x:v>
      </x:c>
      <x:c r="N5236" s="11" t="n">
        <x:f>IF(G5236,L5236*AN5236/(1+M5236)^F5236,0)</x:f>
        <x:v>0.010103884389936714</x:v>
      </x:c>
      <x:c r="AJ5236" t="n">
        <x:v>0</x:v>
      </x:c>
      <x:c r="AK5236" t="n">
        <x:v>0</x:v>
      </x:c>
      <x:c r="AL5236" t="n">
        <x:v>0</x:v>
      </x:c>
      <x:c r="AM5236" t="n">
        <x:f>CHOOSE('假设'!$B$3,AJ5236,AK5236,AL5236)</x:f>
        <x:v>0</x:v>
      </x:c>
      <x:c r="AN5236" t="n">
        <x:v>1</x:v>
      </x:c>
    </x:row>
    <x:row r="5237" ht="23" customHeight="1">
      <x:c r="A5237" s="11" t="str">
        <x:v>688062.SH</x:v>
      </x:c>
      <x:c r="B5237" s="11" t="str">
        <x:v>半年</x:v>
      </x:c>
      <x:c r="C5237" s="11" t="str">
        <x:v>b7h3</x:v>
      </x:c>
      <x:c r="D5237" s="11" t="str">
        <x:v>2041-12-31</x:v>
      </x:c>
      <x:c r="E5237" s="11" t="str">
        <x:v>CNY</x:v>
      </x:c>
      <x:c r="F5237" s="11" t="n">
        <x:v>14.729637234770705</x:v>
      </x:c>
      <x:c r="G5237" s="26" t="b">
        <x:v>1</x:v>
      </x:c>
      <x:c r="H5237" s="16" t="n">
        <x:v>0.427</x:v>
      </x:c>
      <x:c r="I5237" s="16" t="n">
        <x:v>0.63</x:v>
      </x:c>
      <x:c r="J5237" s="16" t="n">
        <x:v>0.2699999999999999</x:v>
      </x:c>
      <x:c r="K5237" s="11" t="n">
        <x:f>CHOOSE('假设'!$B$3,H5237,I5237,J5237)</x:f>
        <x:v>0.63</x:v>
      </x:c>
      <x:c r="L5237" s="11" t="n">
        <x:f>K5237*'管线假设'!E1123*'管线假设'!F1123*'管线假设'!G1123*IF(E5237="USD",'管线假设'!I1123,1)-AM5237</x:f>
        <x:v>0.04452840000000001</x:v>
      </x:c>
      <x:c r="M5237" s="11" t="n">
        <x:f>'管线假设'!H1123</x:f>
        <x:v>0.14</x:v>
      </x:c>
      <x:c r="N5237" s="11" t="n">
        <x:f>IF(G5237,L5237*AN5237/(1+M5237)^F5237,0)</x:f>
        <x:v>0.006463224973354719</x:v>
      </x:c>
      <x:c r="AJ5237" t="n">
        <x:v>0</x:v>
      </x:c>
      <x:c r="AK5237" t="n">
        <x:v>0</x:v>
      </x:c>
      <x:c r="AL5237" t="n">
        <x:v>0</x:v>
      </x:c>
      <x:c r="AM5237" t="n">
        <x:f>CHOOSE('假设'!$B$3,AJ5237,AK5237,AL5237)</x:f>
        <x:v>0</x:v>
      </x:c>
      <x:c r="AN5237" t="n">
        <x:v>1</x:v>
      </x:c>
    </x:row>
    <x:row r="5238" ht="23" customHeight="1">
      <x:c r="A5238" s="11" t="str">
        <x:v>688062.SH</x:v>
      </x:c>
      <x:c r="B5238" s="11" t="str">
        <x:v>半年</x:v>
      </x:c>
      <x:c r="C5238" s="11" t="str">
        <x:v>b7h3</x:v>
      </x:c>
      <x:c r="D5238" s="11" t="str">
        <x:v>2042-12-31</x:v>
      </x:c>
      <x:c r="E5238" s="11" t="str">
        <x:v>CNY</x:v>
      </x:c>
      <x:c r="F5238" s="11" t="n">
        <x:v>15.728952772073923</x:v>
      </x:c>
      <x:c r="G5238" s="26" t="b">
        <x:v>1</x:v>
      </x:c>
      <x:c r="H5238" s="16" t="n">
        <x:v>0.33599999999999997</x:v>
      </x:c>
      <x:c r="I5238" s="16" t="n">
        <x:v>0.39599999999999996</x:v>
      </x:c>
      <x:c r="J5238" s="16" t="n">
        <x:v>0</x:v>
      </x:c>
      <x:c r="K5238" s="11" t="n">
        <x:f>CHOOSE('假设'!$B$3,H5238,I5238,J5238)</x:f>
        <x:v>0.39599999999999996</x:v>
      </x:c>
      <x:c r="L5238" s="11" t="n">
        <x:f>K5238*'管线假设'!E1123*'管线假设'!F1123*'管线假设'!G1123*IF(E5238="USD",'管线假设'!I1123,1)-AM5238</x:f>
        <x:v>0.027989280000000002</x:v>
      </x:c>
      <x:c r="M5238" s="11" t="n">
        <x:f>'管线假设'!H1123</x:f>
        <x:v>0.14</x:v>
      </x:c>
      <x:c r="N5238" s="11" t="n">
        <x:f>IF(G5238,L5238*AN5238/(1+M5238)^F5238,0)</x:f>
        <x:v>0.0035640025622248</x:v>
      </x:c>
      <x:c r="AJ5238" t="n">
        <x:v>0</x:v>
      </x:c>
      <x:c r="AK5238" t="n">
        <x:v>0</x:v>
      </x:c>
      <x:c r="AL5238" t="n">
        <x:v>0</x:v>
      </x:c>
      <x:c r="AM5238" t="n">
        <x:f>CHOOSE('假设'!$B$3,AJ5238,AK5238,AL5238)</x:f>
        <x:v>0</x:v>
      </x:c>
      <x:c r="AN5238" t="n">
        <x:v>1</x:v>
      </x:c>
    </x:row>
    <x:row r="5239" ht="23" customHeight="1">
      <x:c r="A5239" s="11" t="str">
        <x:v>688062.SH</x:v>
      </x:c>
      <x:c r="B5239" s="11" t="str">
        <x:v>半年</x:v>
      </x:c>
      <x:c r="C5239" s="11" t="str">
        <x:v>b7h3</x:v>
      </x:c>
      <x:c r="D5239" s="11" t="str">
        <x:v>2043-12-31</x:v>
      </x:c>
      <x:c r="E5239" s="11" t="str">
        <x:v>CNY</x:v>
      </x:c>
      <x:c r="F5239" s="11" t="n">
        <x:v>16.72826830937714</x:v>
      </x:c>
      <x:c r="G5239" s="26" t="b">
        <x:v>1</x:v>
      </x:c>
      <x:c r="H5239" s="16" t="n">
        <x:v>0.24499999999999997</x:v>
      </x:c>
      <x:c r="I5239" s="16" t="n">
        <x:v>0.16199999999999995</x:v>
      </x:c>
      <x:c r="J5239" s="16" t="n">
        <x:v>0</x:v>
      </x:c>
      <x:c r="K5239" s="11" t="n">
        <x:f>CHOOSE('假设'!$B$3,H5239,I5239,J5239)</x:f>
        <x:v>0.16199999999999995</x:v>
      </x:c>
      <x:c r="L5239" s="11" t="n">
        <x:f>K5239*'管线假设'!E1123*'管线假设'!F1123*'管线假设'!G1123*IF(E5239="USD",'管线假设'!I1123,1)-AM5239</x:f>
        <x:v>0.011450159999999997</x:v>
      </x:c>
      <x:c r="M5239" s="11" t="n">
        <x:f>'管线假设'!H1123</x:f>
        <x:v>0.14</x:v>
      </x:c>
      <x:c r="N5239" s="11" t="n">
        <x:f>IF(G5239,L5239*AN5239/(1+M5239)^F5239,0)</x:f>
        <x:v>0.0012790629941676242</x:v>
      </x:c>
      <x:c r="AJ5239" t="n">
        <x:v>0</x:v>
      </x:c>
      <x:c r="AK5239" t="n">
        <x:v>0</x:v>
      </x:c>
      <x:c r="AL5239" t="n">
        <x:v>0</x:v>
      </x:c>
      <x:c r="AM5239" t="n">
        <x:f>CHOOSE('假设'!$B$3,AJ5239,AK5239,AL5239)</x:f>
        <x:v>0</x:v>
      </x:c>
      <x:c r="AN5239" t="n">
        <x:v>1</x:v>
      </x:c>
    </x:row>
    <x:row r="5240" ht="23" customHeight="1">
      <x:c r="A5240" s="11" t="str">
        <x:v>688062.SH</x:v>
      </x:c>
      <x:c r="B5240" s="11" t="str">
        <x:v>半年</x:v>
      </x:c>
      <x:c r="C5240" s="11" t="str">
        <x:v>b7h3</x:v>
      </x:c>
      <x:c r="D5240" s="11" t="str">
        <x:v>2044-12-31</x:v>
      </x:c>
      <x:c r="E5240" s="11" t="str">
        <x:v>CNY</x:v>
      </x:c>
      <x:c r="F5240" s="11" t="n">
        <x:v>17.730321697467488</x:v>
      </x:c>
      <x:c r="G5240" s="26" t="b">
        <x:v>1</x:v>
      </x:c>
      <x:c r="H5240" s="16" t="n">
        <x:v>0.15399999999999997</x:v>
      </x:c>
      <x:c r="I5240" s="16" t="n">
        <x:v>0</x:v>
      </x:c>
      <x:c r="J5240" s="16" t="n">
        <x:v>0</x:v>
      </x:c>
      <x:c r="K5240" s="11" t="n">
        <x:f>CHOOSE('假设'!$B$3,H5240,I5240,J5240)</x:f>
        <x:v>0</x:v>
      </x:c>
      <x:c r="L5240" s="11" t="n">
        <x:f>K5240*'管线假设'!E1123*'管线假设'!F1123*'管线假设'!G1123*IF(E5240="USD",'管线假设'!I1123,1)-AM5240</x:f>
        <x:v>0</x:v>
      </x:c>
      <x:c r="M5240" s="11" t="n">
        <x:f>'管线假设'!H1123</x:f>
        <x:v>0.14</x:v>
      </x:c>
      <x:c r="N5240" s="11" t="n">
        <x:f>IF(G5240,L5240*AN5240/(1+M5240)^F5240,0)</x:f>
        <x:v>0</x:v>
      </x:c>
      <x:c r="AJ5240" t="n">
        <x:v>0</x:v>
      </x:c>
      <x:c r="AK5240" t="n">
        <x:v>0</x:v>
      </x:c>
      <x:c r="AL5240" t="n">
        <x:v>0</x:v>
      </x:c>
      <x:c r="AM5240" t="n">
        <x:f>CHOOSE('假设'!$B$3,AJ5240,AK5240,AL5240)</x:f>
        <x:v>0</x:v>
      </x:c>
      <x:c r="AN5240" t="n">
        <x:v>1</x:v>
      </x:c>
    </x:row>
    <x:row r="5241" ht="23" customHeight="1">
      <x:c r="A5241" s="11" t="str">
        <x:v>688062.SH</x:v>
      </x:c>
      <x:c r="B5241" s="11" t="str">
        <x:v>半年</x:v>
      </x:c>
      <x:c r="C5241" s="11" t="str">
        <x:v>b7h3</x:v>
      </x:c>
      <x:c r="D5241" s="11" t="str">
        <x:v>2045-12-31</x:v>
      </x:c>
      <x:c r="E5241" s="11" t="str">
        <x:v>CNY</x:v>
      </x:c>
      <x:c r="F5241" s="11" t="n">
        <x:v>18.729637234770706</x:v>
      </x:c>
      <x:c r="G5241" s="26" t="b">
        <x:v>1</x:v>
      </x:c>
      <x:c r="H5241" s="16" t="n">
        <x:v>0.06299999999999997</x:v>
      </x:c>
      <x:c r="I5241" s="16" t="n">
        <x:v>0</x:v>
      </x:c>
      <x:c r="J5241" s="16" t="n">
        <x:v>0</x:v>
      </x:c>
      <x:c r="K5241" s="11" t="n">
        <x:f>CHOOSE('假设'!$B$3,H5241,I5241,J5241)</x:f>
        <x:v>0</x:v>
      </x:c>
      <x:c r="L5241" s="11" t="n">
        <x:f>K5241*'管线假设'!E1123*'管线假设'!F1123*'管线假设'!G1123*IF(E5241="USD",'管线假设'!I1123,1)-AM5241</x:f>
        <x:v>0</x:v>
      </x:c>
      <x:c r="M5241" s="11" t="n">
        <x:f>'管线假设'!H1123</x:f>
        <x:v>0.14</x:v>
      </x:c>
      <x:c r="N5241" s="11" t="n">
        <x:f>IF(G5241,L5241*AN5241/(1+M5241)^F5241,0)</x:f>
        <x:v>0</x:v>
      </x:c>
      <x:c r="AJ5241" t="n">
        <x:v>0</x:v>
      </x:c>
      <x:c r="AK5241" t="n">
        <x:v>0</x:v>
      </x:c>
      <x:c r="AL5241" t="n">
        <x:v>0</x:v>
      </x:c>
      <x:c r="AM5241" t="n">
        <x:f>CHOOSE('假设'!$B$3,AJ5241,AK5241,AL5241)</x:f>
        <x:v>0</x:v>
      </x:c>
      <x:c r="AN5241" t="n">
        <x:v>1</x:v>
      </x:c>
    </x:row>
    <x:row r="5242" ht="23" customHeight="1">
      <x:c r="A5242" s="11" t="str">
        <x:v>688062.SH</x:v>
      </x:c>
      <x:c r="B5242" s="11" t="str">
        <x:v>半年</x:v>
      </x:c>
      <x:c r="C5242" s="11" t="str">
        <x:v>cdh17</x:v>
      </x:c>
      <x:c r="D5242" s="11" t="str">
        <x:v>2027-12-31</x:v>
      </x:c>
      <x:c r="E5242" s="11" t="str">
        <x:v>CNY</x:v>
      </x:c>
      <x:c r="F5242" s="11" t="n">
        <x:v>0.7282683093771389</x:v>
      </x:c>
      <x:c r="G5242" s="26" t="b">
        <x:v>1</x:v>
      </x:c>
      <x:c r="H5242" s="16" t="n">
        <x:v>0</x:v>
      </x:c>
      <x:c r="I5242" s="16" t="n">
        <x:v>0</x:v>
      </x:c>
      <x:c r="J5242" s="16" t="n">
        <x:v>0</x:v>
      </x:c>
      <x:c r="K5242" s="11" t="n">
        <x:f>CHOOSE('假设'!$B$3,H5242,I5242,J5242)</x:f>
        <x:v>0</x:v>
      </x:c>
      <x:c r="L5242" s="11" t="n">
        <x:f>K5242*'管线假设'!E1127*'管线假设'!F1127*'管线假设'!G1127*IF(E5242="USD",'管线假设'!I1127,1)-AM5242</x:f>
        <x:v>0</x:v>
      </x:c>
      <x:c r="M5242" s="11" t="n">
        <x:f>'管线假设'!H1127</x:f>
        <x:v>0.14</x:v>
      </x:c>
      <x:c r="N5242" s="11" t="n">
        <x:f>IF(G5242,L5242*AN5242/(1+M5242)^F5242,0)</x:f>
        <x:v>0</x:v>
      </x:c>
      <x:c r="AJ5242" t="n">
        <x:v>0</x:v>
      </x:c>
      <x:c r="AK5242" t="n">
        <x:v>0</x:v>
      </x:c>
      <x:c r="AL5242" t="n">
        <x:v>0</x:v>
      </x:c>
      <x:c r="AM5242" t="n">
        <x:f>CHOOSE('假设'!$B$3,AJ5242,AK5242,AL5242)</x:f>
        <x:v>0</x:v>
      </x:c>
      <x:c r="AN5242" t="n">
        <x:v>1</x:v>
      </x:c>
    </x:row>
    <x:row r="5243" ht="23" customHeight="1">
      <x:c r="A5243" s="11" t="str">
        <x:v>688062.SH</x:v>
      </x:c>
      <x:c r="B5243" s="11" t="str">
        <x:v>半年</x:v>
      </x:c>
      <x:c r="C5243" s="11" t="str">
        <x:v>cdh17</x:v>
      </x:c>
      <x:c r="D5243" s="11" t="str">
        <x:v>2028-12-31</x:v>
      </x:c>
      <x:c r="E5243" s="11" t="str">
        <x:v>CNY</x:v>
      </x:c>
      <x:c r="F5243" s="11" t="n">
        <x:v>1.730321697467488</x:v>
      </x:c>
      <x:c r="G5243" s="26" t="b">
        <x:v>1</x:v>
      </x:c>
      <x:c r="H5243" s="16" t="n">
        <x:v>0</x:v>
      </x:c>
      <x:c r="I5243" s="16" t="n">
        <x:v>0</x:v>
      </x:c>
      <x:c r="J5243" s="16" t="n">
        <x:v>0</x:v>
      </x:c>
      <x:c r="K5243" s="11" t="n">
        <x:f>CHOOSE('假设'!$B$3,H5243,I5243,J5243)</x:f>
        <x:v>0</x:v>
      </x:c>
      <x:c r="L5243" s="11" t="n">
        <x:f>K5243*'管线假设'!E1127*'管线假设'!F1127*'管线假设'!G1127*IF(E5243="USD",'管线假设'!I1127,1)-AM5243</x:f>
        <x:v>0</x:v>
      </x:c>
      <x:c r="M5243" s="11" t="n">
        <x:f>'管线假设'!H1127</x:f>
        <x:v>0.14</x:v>
      </x:c>
      <x:c r="N5243" s="11" t="n">
        <x:f>IF(G5243,L5243*AN5243/(1+M5243)^F5243,0)</x:f>
        <x:v>0</x:v>
      </x:c>
      <x:c r="AJ5243" t="n">
        <x:v>0</x:v>
      </x:c>
      <x:c r="AK5243" t="n">
        <x:v>0</x:v>
      </x:c>
      <x:c r="AL5243" t="n">
        <x:v>0</x:v>
      </x:c>
      <x:c r="AM5243" t="n">
        <x:f>CHOOSE('假设'!$B$3,AJ5243,AK5243,AL5243)</x:f>
        <x:v>0</x:v>
      </x:c>
      <x:c r="AN5243" t="n">
        <x:v>1</x:v>
      </x:c>
    </x:row>
    <x:row r="5244" ht="23" customHeight="1">
      <x:c r="A5244" s="11" t="str">
        <x:v>688062.SH</x:v>
      </x:c>
      <x:c r="B5244" s="11" t="str">
        <x:v>半年</x:v>
      </x:c>
      <x:c r="C5244" s="11" t="str">
        <x:v>cdh17</x:v>
      </x:c>
      <x:c r="D5244" s="11" t="str">
        <x:v>2029-12-31</x:v>
      </x:c>
      <x:c r="E5244" s="11" t="str">
        <x:v>CNY</x:v>
      </x:c>
      <x:c r="F5244" s="11" t="n">
        <x:v>2.729637234770705</x:v>
      </x:c>
      <x:c r="G5244" s="26" t="b">
        <x:v>1</x:v>
      </x:c>
      <x:c r="H5244" s="16" t="n">
        <x:v>0</x:v>
      </x:c>
      <x:c r="I5244" s="16" t="n">
        <x:v>0</x:v>
      </x:c>
      <x:c r="J5244" s="16" t="n">
        <x:v>0</x:v>
      </x:c>
      <x:c r="K5244" s="11" t="n">
        <x:f>CHOOSE('假设'!$B$3,H5244,I5244,J5244)</x:f>
        <x:v>0</x:v>
      </x:c>
      <x:c r="L5244" s="11" t="n">
        <x:f>K5244*'管线假设'!E1127*'管线假设'!F1127*'管线假设'!G1127*IF(E5244="USD",'管线假设'!I1127,1)-AM5244</x:f>
        <x:v>0</x:v>
      </x:c>
      <x:c r="M5244" s="11" t="n">
        <x:f>'管线假设'!H1127</x:f>
        <x:v>0.14</x:v>
      </x:c>
      <x:c r="N5244" s="11" t="n">
        <x:f>IF(G5244,L5244*AN5244/(1+M5244)^F5244,0)</x:f>
        <x:v>0</x:v>
      </x:c>
      <x:c r="AJ5244" t="n">
        <x:v>0</x:v>
      </x:c>
      <x:c r="AK5244" t="n">
        <x:v>0</x:v>
      </x:c>
      <x:c r="AL5244" t="n">
        <x:v>0</x:v>
      </x:c>
      <x:c r="AM5244" t="n">
        <x:f>CHOOSE('假设'!$B$3,AJ5244,AK5244,AL5244)</x:f>
        <x:v>0</x:v>
      </x:c>
      <x:c r="AN5244" t="n">
        <x:v>1</x:v>
      </x:c>
    </x:row>
    <x:row r="5245" ht="23" customHeight="1">
      <x:c r="A5245" s="11" t="str">
        <x:v>688062.SH</x:v>
      </x:c>
      <x:c r="B5245" s="11" t="str">
        <x:v>半年</x:v>
      </x:c>
      <x:c r="C5245" s="11" t="str">
        <x:v>cdh17</x:v>
      </x:c>
      <x:c r="D5245" s="11" t="str">
        <x:v>2030-12-31</x:v>
      </x:c>
      <x:c r="E5245" s="11" t="str">
        <x:v>CNY</x:v>
      </x:c>
      <x:c r="F5245" s="11" t="n">
        <x:v>3.728952772073922</x:v>
      </x:c>
      <x:c r="G5245" s="26" t="b">
        <x:v>1</x:v>
      </x:c>
      <x:c r="H5245" s="16" t="n">
        <x:v>0</x:v>
      </x:c>
      <x:c r="I5245" s="16" t="n">
        <x:v>0</x:v>
      </x:c>
      <x:c r="J5245" s="16" t="n">
        <x:v>0</x:v>
      </x:c>
      <x:c r="K5245" s="11" t="n">
        <x:f>CHOOSE('假设'!$B$3,H5245,I5245,J5245)</x:f>
        <x:v>0</x:v>
      </x:c>
      <x:c r="L5245" s="11" t="n">
        <x:f>K5245*'管线假设'!E1127*'管线假设'!F1127*'管线假设'!G1127*IF(E5245="USD",'管线假设'!I1127,1)-AM5245</x:f>
        <x:v>0</x:v>
      </x:c>
      <x:c r="M5245" s="11" t="n">
        <x:f>'管线假设'!H1127</x:f>
        <x:v>0.14</x:v>
      </x:c>
      <x:c r="N5245" s="11" t="n">
        <x:f>IF(G5245,L5245*AN5245/(1+M5245)^F5245,0)</x:f>
        <x:v>0</x:v>
      </x:c>
      <x:c r="AJ5245" t="n">
        <x:v>0</x:v>
      </x:c>
      <x:c r="AK5245" t="n">
        <x:v>0</x:v>
      </x:c>
      <x:c r="AL5245" t="n">
        <x:v>0</x:v>
      </x:c>
      <x:c r="AM5245" t="n">
        <x:f>CHOOSE('假设'!$B$3,AJ5245,AK5245,AL5245)</x:f>
        <x:v>0</x:v>
      </x:c>
      <x:c r="AN5245" t="n">
        <x:v>1</x:v>
      </x:c>
    </x:row>
    <x:row r="5246" ht="23" customHeight="1">
      <x:c r="A5246" s="11" t="str">
        <x:v>688062.SH</x:v>
      </x:c>
      <x:c r="B5246" s="11" t="str">
        <x:v>半年</x:v>
      </x:c>
      <x:c r="C5246" s="11" t="str">
        <x:v>cdh17</x:v>
      </x:c>
      <x:c r="D5246" s="11" t="str">
        <x:v>2031-12-31</x:v>
      </x:c>
      <x:c r="E5246" s="11" t="str">
        <x:v>CNY</x:v>
      </x:c>
      <x:c r="F5246" s="11" t="n">
        <x:v>4.728268309377139</x:v>
      </x:c>
      <x:c r="G5246" s="26" t="b">
        <x:v>1</x:v>
      </x:c>
      <x:c r="H5246" s="16" t="n">
        <x:v>0</x:v>
      </x:c>
      <x:c r="I5246" s="16" t="n">
        <x:v>0</x:v>
      </x:c>
      <x:c r="J5246" s="16" t="n">
        <x:v>0.6000000000000001</x:v>
      </x:c>
      <x:c r="K5246" s="11" t="n">
        <x:f>CHOOSE('假设'!$B$3,H5246,I5246,J5246)</x:f>
        <x:v>0</x:v>
      </x:c>
      <x:c r="L5246" s="11" t="n">
        <x:f>K5246*'管线假设'!E1127*'管线假设'!F1127*'管线假设'!G1127*IF(E5246="USD",'管线假设'!I1127,1)-AM5246</x:f>
        <x:v>0</x:v>
      </x:c>
      <x:c r="M5246" s="11" t="n">
        <x:f>'管线假设'!H1127</x:f>
        <x:v>0.14</x:v>
      </x:c>
      <x:c r="N5246" s="11" t="n">
        <x:f>IF(G5246,L5246*AN5246/(1+M5246)^F5246,0)</x:f>
        <x:v>0</x:v>
      </x:c>
      <x:c r="AJ5246" t="n">
        <x:v>0</x:v>
      </x:c>
      <x:c r="AK5246" t="n">
        <x:v>0</x:v>
      </x:c>
      <x:c r="AL5246" t="n">
        <x:v>0</x:v>
      </x:c>
      <x:c r="AM5246" t="n">
        <x:f>CHOOSE('假设'!$B$3,AJ5246,AK5246,AL5246)</x:f>
        <x:v>0</x:v>
      </x:c>
      <x:c r="AN5246" t="n">
        <x:v>1</x:v>
      </x:c>
    </x:row>
    <x:row r="5247" ht="23" customHeight="1">
      <x:c r="A5247" s="11" t="str">
        <x:v>688062.SH</x:v>
      </x:c>
      <x:c r="B5247" s="11" t="str">
        <x:v>半年</x:v>
      </x:c>
      <x:c r="C5247" s="11" t="str">
        <x:v>cdh17</x:v>
      </x:c>
      <x:c r="D5247" s="11" t="str">
        <x:v>2032-12-31</x:v>
      </x:c>
      <x:c r="E5247" s="11" t="str">
        <x:v>CNY</x:v>
      </x:c>
      <x:c r="F5247" s="11" t="n">
        <x:v>5.730321697467488</x:v>
      </x:c>
      <x:c r="G5247" s="26" t="b">
        <x:v>1</x:v>
      </x:c>
      <x:c r="H5247" s="16" t="n">
        <x:v>0</x:v>
      </x:c>
      <x:c r="I5247" s="16" t="n">
        <x:v>0</x:v>
      </x:c>
      <x:c r="J5247" s="16" t="n">
        <x:v>1.2000000000000002</x:v>
      </x:c>
      <x:c r="K5247" s="11" t="n">
        <x:f>CHOOSE('假设'!$B$3,H5247,I5247,J5247)</x:f>
        <x:v>0</x:v>
      </x:c>
      <x:c r="L5247" s="11" t="n">
        <x:f>K5247*'管线假设'!E1127*'管线假设'!F1127*'管线假设'!G1127*IF(E5247="USD",'管线假设'!I1127,1)-AM5247</x:f>
        <x:v>0</x:v>
      </x:c>
      <x:c r="M5247" s="11" t="n">
        <x:f>'管线假设'!H1127</x:f>
        <x:v>0.14</x:v>
      </x:c>
      <x:c r="N5247" s="11" t="n">
        <x:f>IF(G5247,L5247*AN5247/(1+M5247)^F5247,0)</x:f>
        <x:v>0</x:v>
      </x:c>
      <x:c r="AJ5247" t="n">
        <x:v>0</x:v>
      </x:c>
      <x:c r="AK5247" t="n">
        <x:v>0</x:v>
      </x:c>
      <x:c r="AL5247" t="n">
        <x:v>0</x:v>
      </x:c>
      <x:c r="AM5247" t="n">
        <x:f>CHOOSE('假设'!$B$3,AJ5247,AK5247,AL5247)</x:f>
        <x:v>0</x:v>
      </x:c>
      <x:c r="AN5247" t="n">
        <x:v>1</x:v>
      </x:c>
    </x:row>
    <x:row r="5248" ht="23" customHeight="1">
      <x:c r="A5248" s="11" t="str">
        <x:v>688062.SH</x:v>
      </x:c>
      <x:c r="B5248" s="11" t="str">
        <x:v>半年</x:v>
      </x:c>
      <x:c r="C5248" s="11" t="str">
        <x:v>cdh17</x:v>
      </x:c>
      <x:c r="D5248" s="11" t="str">
        <x:v>2033-12-31</x:v>
      </x:c>
      <x:c r="E5248" s="11" t="str">
        <x:v>CNY</x:v>
      </x:c>
      <x:c r="F5248" s="11" t="n">
        <x:v>6.729637234770705</x:v>
      </x:c>
      <x:c r="G5248" s="26" t="b">
        <x:v>1</x:v>
      </x:c>
      <x:c r="H5248" s="16" t="n">
        <x:v>0</x:v>
      </x:c>
      <x:c r="I5248" s="16" t="n">
        <x:v>0.30000000000000004</x:v>
      </x:c>
      <x:c r="J5248" s="16" t="n">
        <x:v>1.7999999999999998</x:v>
      </x:c>
      <x:c r="K5248" s="11" t="n">
        <x:f>CHOOSE('假设'!$B$3,H5248,I5248,J5248)</x:f>
        <x:v>0.30000000000000004</x:v>
      </x:c>
      <x:c r="L5248" s="11" t="n">
        <x:f>K5248*'管线假设'!E1127*'管线假设'!F1127*'管线假设'!G1127*IF(E5248="USD",'管线假设'!I1127,1)-AM5248</x:f>
        <x:v>0.01062</x:v>
      </x:c>
      <x:c r="M5248" s="11" t="n">
        <x:f>'管线假设'!H1127</x:f>
        <x:v>0.14</x:v>
      </x:c>
      <x:c r="N5248" s="11" t="n">
        <x:f>IF(G5248,L5248*AN5248/(1+M5248)^F5248,0)</x:f>
        <x:v>0.004397192821989214</x:v>
      </x:c>
      <x:c r="AJ5248" t="n">
        <x:v>0</x:v>
      </x:c>
      <x:c r="AK5248" t="n">
        <x:v>0</x:v>
      </x:c>
      <x:c r="AL5248" t="n">
        <x:v>0</x:v>
      </x:c>
      <x:c r="AM5248" t="n">
        <x:f>CHOOSE('假设'!$B$3,AJ5248,AK5248,AL5248)</x:f>
        <x:v>0</x:v>
      </x:c>
      <x:c r="AN5248" t="n">
        <x:v>1</x:v>
      </x:c>
    </x:row>
    <x:row r="5249" ht="23" customHeight="1">
      <x:c r="A5249" s="11" t="str">
        <x:v>688062.SH</x:v>
      </x:c>
      <x:c r="B5249" s="11" t="str">
        <x:v>半年</x:v>
      </x:c>
      <x:c r="C5249" s="11" t="str">
        <x:v>cdh17</x:v>
      </x:c>
      <x:c r="D5249" s="11" t="str">
        <x:v>2034-12-31</x:v>
      </x:c>
      <x:c r="E5249" s="11" t="str">
        <x:v>CNY</x:v>
      </x:c>
      <x:c r="F5249" s="11" t="n">
        <x:v>7.728952772073922</x:v>
      </x:c>
      <x:c r="G5249" s="26" t="b">
        <x:v>1</x:v>
      </x:c>
      <x:c r="H5249" s="16" t="n">
        <x:v>0</x:v>
      </x:c>
      <x:c r="I5249" s="16" t="n">
        <x:v>0.6000000000000001</x:v>
      </x:c>
      <x:c r="J5249" s="16" t="n">
        <x:v>2.4000000000000004</x:v>
      </x:c>
      <x:c r="K5249" s="11" t="n">
        <x:f>CHOOSE('假设'!$B$3,H5249,I5249,J5249)</x:f>
        <x:v>0.6000000000000001</x:v>
      </x:c>
      <x:c r="L5249" s="11" t="n">
        <x:f>K5249*'管线假设'!E1127*'管线假设'!F1127*'管线假设'!G1127*IF(E5249="USD",'管线假设'!I1127,1)-AM5249</x:f>
        <x:v>0.02124</x:v>
      </x:c>
      <x:c r="M5249" s="11" t="n">
        <x:f>'管线假设'!H1127</x:f>
        <x:v>0.14</x:v>
      </x:c>
      <x:c r="N5249" s="11" t="n">
        <x:f>IF(G5249,L5249*AN5249/(1+M5249)^F5249,0)</x:f>
        <x:v>0.007715065258472259</x:v>
      </x:c>
      <x:c r="AJ5249" t="n">
        <x:v>0</x:v>
      </x:c>
      <x:c r="AK5249" t="n">
        <x:v>0</x:v>
      </x:c>
      <x:c r="AL5249" t="n">
        <x:v>0</x:v>
      </x:c>
      <x:c r="AM5249" t="n">
        <x:f>CHOOSE('假设'!$B$3,AJ5249,AK5249,AL5249)</x:f>
        <x:v>0</x:v>
      </x:c>
      <x:c r="AN5249" t="n">
        <x:v>1</x:v>
      </x:c>
    </x:row>
    <x:row r="5250" ht="23" customHeight="1">
      <x:c r="A5250" s="11" t="str">
        <x:v>688062.SH</x:v>
      </x:c>
      <x:c r="B5250" s="11" t="str">
        <x:v>半年</x:v>
      </x:c>
      <x:c r="C5250" s="11" t="str">
        <x:v>cdh17</x:v>
      </x:c>
      <x:c r="D5250" s="11" t="str">
        <x:v>2035-12-31</x:v>
      </x:c>
      <x:c r="E5250" s="11" t="str">
        <x:v>CNY</x:v>
      </x:c>
      <x:c r="F5250" s="11" t="n">
        <x:v>8.728268309377139</x:v>
      </x:c>
      <x:c r="G5250" s="26" t="b">
        <x:v>1</x:v>
      </x:c>
      <x:c r="H5250" s="16" t="n">
        <x:v>0.1</x:v>
      </x:c>
      <x:c r="I5250" s="16" t="n">
        <x:v>0.8999999999999999</x:v>
      </x:c>
      <x:c r="J5250" s="16" t="n">
        <x:v>3</x:v>
      </x:c>
      <x:c r="K5250" s="11" t="n">
        <x:f>CHOOSE('假设'!$B$3,H5250,I5250,J5250)</x:f>
        <x:v>0.8999999999999999</x:v>
      </x:c>
      <x:c r="L5250" s="11" t="n">
        <x:f>K5250*'管线假设'!E1127*'管线假设'!F1127*'管线假设'!G1127*IF(E5250="USD",'管线假设'!I1127,1)-AM5250</x:f>
        <x:v>0.03185999999999999</x:v>
      </x:c>
      <x:c r="M5250" s="11" t="n">
        <x:f>'管线假设'!H1127</x:f>
        <x:v>0.14</x:v>
      </x:c>
      <x:c r="N5250" s="11" t="n">
        <x:f>IF(G5250,L5250*AN5250/(1+M5250)^F5250,0)</x:f>
        <x:v>0.010152312114588847</x:v>
      </x:c>
      <x:c r="AJ5250" t="n">
        <x:v>0</x:v>
      </x:c>
      <x:c r="AK5250" t="n">
        <x:v>0</x:v>
      </x:c>
      <x:c r="AL5250" t="n">
        <x:v>0</x:v>
      </x:c>
      <x:c r="AM5250" t="n">
        <x:f>CHOOSE('假设'!$B$3,AJ5250,AK5250,AL5250)</x:f>
        <x:v>0</x:v>
      </x:c>
      <x:c r="AN5250" t="n">
        <x:v>1</x:v>
      </x:c>
    </x:row>
    <x:row r="5251" ht="23" customHeight="1">
      <x:c r="A5251" s="11" t="str">
        <x:v>688062.SH</x:v>
      </x:c>
      <x:c r="B5251" s="11" t="str">
        <x:v>半年</x:v>
      </x:c>
      <x:c r="C5251" s="11" t="str">
        <x:v>cdh17</x:v>
      </x:c>
      <x:c r="D5251" s="11" t="str">
        <x:v>2036-12-31</x:v>
      </x:c>
      <x:c r="E5251" s="11" t="str">
        <x:v>CNY</x:v>
      </x:c>
      <x:c r="F5251" s="11" t="n">
        <x:v>9.730321697467488</x:v>
      </x:c>
      <x:c r="G5251" s="26" t="b">
        <x:v>1</x:v>
      </x:c>
      <x:c r="H5251" s="16" t="n">
        <x:v>0.2</x:v>
      </x:c>
      <x:c r="I5251" s="16" t="n">
        <x:v>1.2000000000000002</x:v>
      </x:c>
      <x:c r="J5251" s="16" t="n">
        <x:v>2.61</x:v>
      </x:c>
      <x:c r="K5251" s="11" t="n">
        <x:f>CHOOSE('假设'!$B$3,H5251,I5251,J5251)</x:f>
        <x:v>1.2000000000000002</x:v>
      </x:c>
      <x:c r="L5251" s="11" t="n">
        <x:f>K5251*'管线假设'!E1127*'管线假设'!F1127*'管线假设'!G1127*IF(E5251="USD",'管线假设'!I1127,1)-AM5251</x:f>
        <x:v>0.04248</x:v>
      </x:c>
      <x:c r="M5251" s="11" t="n">
        <x:f>'管线假设'!H1127</x:f>
        <x:v>0.14</x:v>
      </x:c>
      <x:c r="N5251" s="11" t="n">
        <x:f>IF(G5251,L5251*AN5251/(1+M5251)^F5251,0)</x:f>
        <x:v>0.011870854951366394</x:v>
      </x:c>
      <x:c r="AJ5251" t="n">
        <x:v>0</x:v>
      </x:c>
      <x:c r="AK5251" t="n">
        <x:v>0</x:v>
      </x:c>
      <x:c r="AL5251" t="n">
        <x:v>0</x:v>
      </x:c>
      <x:c r="AM5251" t="n">
        <x:f>CHOOSE('假设'!$B$3,AJ5251,AK5251,AL5251)</x:f>
        <x:v>0</x:v>
      </x:c>
      <x:c r="AN5251" t="n">
        <x:v>1</x:v>
      </x:c>
    </x:row>
    <x:row r="5252" ht="23" customHeight="1">
      <x:c r="A5252" s="11" t="str">
        <x:v>688062.SH</x:v>
      </x:c>
      <x:c r="B5252" s="11" t="str">
        <x:v>半年</x:v>
      </x:c>
      <x:c r="C5252" s="11" t="str">
        <x:v>cdh17</x:v>
      </x:c>
      <x:c r="D5252" s="11" t="str">
        <x:v>2037-12-31</x:v>
      </x:c>
      <x:c r="E5252" s="11" t="str">
        <x:v>CNY</x:v>
      </x:c>
      <x:c r="F5252" s="11" t="n">
        <x:v>10.729637234770705</x:v>
      </x:c>
      <x:c r="G5252" s="26" t="b">
        <x:v>1</x:v>
      </x:c>
      <x:c r="H5252" s="16" t="n">
        <x:v>0.3</x:v>
      </x:c>
      <x:c r="I5252" s="16" t="n">
        <x:v>1.5</x:v>
      </x:c>
      <x:c r="J5252" s="16" t="n">
        <x:v>2.2199999999999998</x:v>
      </x:c>
      <x:c r="K5252" s="11" t="n">
        <x:f>CHOOSE('假设'!$B$3,H5252,I5252,J5252)</x:f>
        <x:v>1.5</x:v>
      </x:c>
      <x:c r="L5252" s="11" t="n">
        <x:f>K5252*'管线假设'!E1127*'管线假设'!F1127*'管线假设'!G1127*IF(E5252="USD",'管线假设'!I1127,1)-AM5252</x:f>
        <x:v>0.053099999999999994</x:v>
      </x:c>
      <x:c r="M5252" s="11" t="n">
        <x:f>'管线假设'!H1127</x:f>
        <x:v>0.14</x:v>
      </x:c>
      <x:c r="N5252" s="11" t="n">
        <x:f>IF(G5252,L5252*AN5252/(1+M5252)^F5252,0)</x:f>
        <x:v>0.013017455728467898</x:v>
      </x:c>
      <x:c r="AJ5252" t="n">
        <x:v>0</x:v>
      </x:c>
      <x:c r="AK5252" t="n">
        <x:v>0</x:v>
      </x:c>
      <x:c r="AL5252" t="n">
        <x:v>0</x:v>
      </x:c>
      <x:c r="AM5252" t="n">
        <x:f>CHOOSE('假设'!$B$3,AJ5252,AK5252,AL5252)</x:f>
        <x:v>0</x:v>
      </x:c>
      <x:c r="AN5252" t="n">
        <x:v>1</x:v>
      </x:c>
    </x:row>
    <x:row r="5253" ht="23" customHeight="1">
      <x:c r="A5253" s="11" t="str">
        <x:v>688062.SH</x:v>
      </x:c>
      <x:c r="B5253" s="11" t="str">
        <x:v>半年</x:v>
      </x:c>
      <x:c r="C5253" s="11" t="str">
        <x:v>cdh17</x:v>
      </x:c>
      <x:c r="D5253" s="11" t="str">
        <x:v>2038-12-31</x:v>
      </x:c>
      <x:c r="E5253" s="11" t="str">
        <x:v>CNY</x:v>
      </x:c>
      <x:c r="F5253" s="11" t="n">
        <x:v>11.728952772073923</x:v>
      </x:c>
      <x:c r="G5253" s="26" t="b">
        <x:v>1</x:v>
      </x:c>
      <x:c r="H5253" s="16" t="n">
        <x:v>0.4</x:v>
      </x:c>
      <x:c r="I5253" s="16" t="n">
        <x:v>1.305</x:v>
      </x:c>
      <x:c r="J5253" s="16" t="n">
        <x:v>1.83</x:v>
      </x:c>
      <x:c r="K5253" s="11" t="n">
        <x:f>CHOOSE('假设'!$B$3,H5253,I5253,J5253)</x:f>
        <x:v>1.305</x:v>
      </x:c>
      <x:c r="L5253" s="11" t="n">
        <x:f>K5253*'管线假设'!E1127*'管线假设'!F1127*'管线假设'!G1127*IF(E5253="USD",'管线假设'!I1127,1)-AM5253</x:f>
        <x:v>0.046196999999999995</x:v>
      </x:c>
      <x:c r="M5253" s="11" t="n">
        <x:f>'管线假设'!H1127</x:f>
        <x:v>0.14</x:v>
      </x:c>
      <x:c r="N5253" s="11" t="n">
        <x:f>IF(G5253,L5253*AN5253/(1+M5253)^F5253,0)</x:f>
        <x:v>0.009935265102509673</x:v>
      </x:c>
      <x:c r="AJ5253" t="n">
        <x:v>0</x:v>
      </x:c>
      <x:c r="AK5253" t="n">
        <x:v>0</x:v>
      </x:c>
      <x:c r="AL5253" t="n">
        <x:v>0</x:v>
      </x:c>
      <x:c r="AM5253" t="n">
        <x:f>CHOOSE('假设'!$B$3,AJ5253,AK5253,AL5253)</x:f>
        <x:v>0</x:v>
      </x:c>
      <x:c r="AN5253" t="n">
        <x:v>1</x:v>
      </x:c>
    </x:row>
    <x:row r="5254" ht="23" customHeight="1">
      <x:c r="A5254" s="11" t="str">
        <x:v>688062.SH</x:v>
      </x:c>
      <x:c r="B5254" s="11" t="str">
        <x:v>半年</x:v>
      </x:c>
      <x:c r="C5254" s="11" t="str">
        <x:v>cdh17</x:v>
      </x:c>
      <x:c r="D5254" s="11" t="str">
        <x:v>2039-12-31</x:v>
      </x:c>
      <x:c r="E5254" s="11" t="str">
        <x:v>CNY</x:v>
      </x:c>
      <x:c r="F5254" s="11" t="n">
        <x:v>12.728268309377139</x:v>
      </x:c>
      <x:c r="G5254" s="26" t="b">
        <x:v>1</x:v>
      </x:c>
      <x:c r="H5254" s="16" t="n">
        <x:v>0.5</x:v>
      </x:c>
      <x:c r="I5254" s="16" t="n">
        <x:v>1.1099999999999999</x:v>
      </x:c>
      <x:c r="J5254" s="16" t="n">
        <x:v>1.44</x:v>
      </x:c>
      <x:c r="K5254" s="11" t="n">
        <x:f>CHOOSE('假设'!$B$3,H5254,I5254,J5254)</x:f>
        <x:v>1.1099999999999999</x:v>
      </x:c>
      <x:c r="L5254" s="11" t="n">
        <x:f>K5254*'管线假设'!E1127*'管线假设'!F1127*'管线假设'!G1127*IF(E5254="USD",'管线假设'!I1127,1)-AM5254</x:f>
        <x:v>0.039293999999999996</x:v>
      </x:c>
      <x:c r="M5254" s="11" t="n">
        <x:f>'管线假设'!H1127</x:f>
        <x:v>0.14</x:v>
      </x:c>
      <x:c r="N5254" s="11" t="n">
        <x:f>IF(G5254,L5254*AN5254/(1+M5254)^F5254,0)</x:f>
        <x:v>0.007413546653063883</x:v>
      </x:c>
      <x:c r="AJ5254" t="n">
        <x:v>0</x:v>
      </x:c>
      <x:c r="AK5254" t="n">
        <x:v>0</x:v>
      </x:c>
      <x:c r="AL5254" t="n">
        <x:v>0</x:v>
      </x:c>
      <x:c r="AM5254" t="n">
        <x:f>CHOOSE('假设'!$B$3,AJ5254,AK5254,AL5254)</x:f>
        <x:v>0</x:v>
      </x:c>
      <x:c r="AN5254" t="n">
        <x:v>1</x:v>
      </x:c>
    </x:row>
    <x:row r="5255" ht="23" customHeight="1">
      <x:c r="A5255" s="11" t="str">
        <x:v>688062.SH</x:v>
      </x:c>
      <x:c r="B5255" s="11" t="str">
        <x:v>半年</x:v>
      </x:c>
      <x:c r="C5255" s="11" t="str">
        <x:v>cdh17</x:v>
      </x:c>
      <x:c r="D5255" s="11" t="str">
        <x:v>2040-12-31</x:v>
      </x:c>
      <x:c r="E5255" s="11" t="str">
        <x:v>CNY</x:v>
      </x:c>
      <x:c r="F5255" s="11" t="n">
        <x:v>13.730321697467488</x:v>
      </x:c>
      <x:c r="G5255" s="26" t="b">
        <x:v>1</x:v>
      </x:c>
      <x:c r="H5255" s="16" t="n">
        <x:v>0.435</x:v>
      </x:c>
      <x:c r="I5255" s="16" t="n">
        <x:v>0.915</x:v>
      </x:c>
      <x:c r="J5255" s="16" t="n">
        <x:v>1.0499999999999998</x:v>
      </x:c>
      <x:c r="K5255" s="11" t="n">
        <x:f>CHOOSE('假设'!$B$3,H5255,I5255,J5255)</x:f>
        <x:v>0.915</x:v>
      </x:c>
      <x:c r="L5255" s="11" t="n">
        <x:f>K5255*'管线假设'!E1127*'管线假设'!F1127*'管线假设'!G1127*IF(E5255="USD",'管线假设'!I1127,1)-AM5255</x:f>
        <x:v>0.032390999999999996</x:v>
      </x:c>
      <x:c r="M5255" s="11" t="n">
        <x:f>'管线假设'!H1127</x:f>
        <x:v>0.14</x:v>
      </x:c>
      <x:c r="N5255" s="11" t="n">
        <x:f>IF(G5255,L5255*AN5255/(1+M5255)^F5255,0)</x:f>
        <x:v>0.005359230557822555</x:v>
      </x:c>
      <x:c r="AJ5255" t="n">
        <x:v>0</x:v>
      </x:c>
      <x:c r="AK5255" t="n">
        <x:v>0</x:v>
      </x:c>
      <x:c r="AL5255" t="n">
        <x:v>0</x:v>
      </x:c>
      <x:c r="AM5255" t="n">
        <x:f>CHOOSE('假设'!$B$3,AJ5255,AK5255,AL5255)</x:f>
        <x:v>0</x:v>
      </x:c>
      <x:c r="AN5255" t="n">
        <x:v>1</x:v>
      </x:c>
    </x:row>
    <x:row r="5256" ht="23" customHeight="1">
      <x:c r="A5256" s="11" t="str">
        <x:v>688062.SH</x:v>
      </x:c>
      <x:c r="B5256" s="11" t="str">
        <x:v>半年</x:v>
      </x:c>
      <x:c r="C5256" s="11" t="str">
        <x:v>cdh17</x:v>
      </x:c>
      <x:c r="D5256" s="11" t="str">
        <x:v>2041-12-31</x:v>
      </x:c>
      <x:c r="E5256" s="11" t="str">
        <x:v>CNY</x:v>
      </x:c>
      <x:c r="F5256" s="11" t="n">
        <x:v>14.729637234770705</x:v>
      </x:c>
      <x:c r="G5256" s="26" t="b">
        <x:v>1</x:v>
      </x:c>
      <x:c r="H5256" s="16" t="n">
        <x:v>0.37</x:v>
      </x:c>
      <x:c r="I5256" s="16" t="n">
        <x:v>0.72</x:v>
      </x:c>
      <x:c r="J5256" s="16" t="n">
        <x:v>0.6599999999999999</x:v>
      </x:c>
      <x:c r="K5256" s="11" t="n">
        <x:f>CHOOSE('假设'!$B$3,H5256,I5256,J5256)</x:f>
        <x:v>0.72</x:v>
      </x:c>
      <x:c r="L5256" s="11" t="n">
        <x:f>K5256*'管线假设'!E1127*'管线假设'!F1127*'管线假设'!G1127*IF(E5256="USD",'管线假设'!I1127,1)-AM5256</x:f>
        <x:v>0.025487999999999997</x:v>
      </x:c>
      <x:c r="M5256" s="11" t="n">
        <x:f>'管线假设'!H1127</x:f>
        <x:v>0.14</x:v>
      </x:c>
      <x:c r="N5256" s="11" t="n">
        <x:f>IF(G5256,L5256*AN5256/(1+M5256)^F5256,0)</x:f>
        <x:v>0.0036995418232154092</x:v>
      </x:c>
      <x:c r="AJ5256" t="n">
        <x:v>0</x:v>
      </x:c>
      <x:c r="AK5256" t="n">
        <x:v>0</x:v>
      </x:c>
      <x:c r="AL5256" t="n">
        <x:v>0</x:v>
      </x:c>
      <x:c r="AM5256" t="n">
        <x:f>CHOOSE('假设'!$B$3,AJ5256,AK5256,AL5256)</x:f>
        <x:v>0</x:v>
      </x:c>
      <x:c r="AN5256" t="n">
        <x:v>1</x:v>
      </x:c>
    </x:row>
    <x:row r="5257" ht="23" customHeight="1">
      <x:c r="A5257" s="11" t="str">
        <x:v>688062.SH</x:v>
      </x:c>
      <x:c r="B5257" s="11" t="str">
        <x:v>半年</x:v>
      </x:c>
      <x:c r="C5257" s="11" t="str">
        <x:v>cdh17</x:v>
      </x:c>
      <x:c r="D5257" s="11" t="str">
        <x:v>2042-12-31</x:v>
      </x:c>
      <x:c r="E5257" s="11" t="str">
        <x:v>CNY</x:v>
      </x:c>
      <x:c r="F5257" s="11" t="n">
        <x:v>15.728952772073923</x:v>
      </x:c>
      <x:c r="G5257" s="26" t="b">
        <x:v>1</x:v>
      </x:c>
      <x:c r="H5257" s="16" t="n">
        <x:v>0.305</x:v>
      </x:c>
      <x:c r="I5257" s="16" t="n">
        <x:v>0.5249999999999999</x:v>
      </x:c>
      <x:c r="J5257" s="16" t="n">
        <x:v>0.2699999999999999</x:v>
      </x:c>
      <x:c r="K5257" s="11" t="n">
        <x:f>CHOOSE('假设'!$B$3,H5257,I5257,J5257)</x:f>
        <x:v>0.5249999999999999</x:v>
      </x:c>
      <x:c r="L5257" s="11" t="n">
        <x:f>K5257*'管线假设'!E1127*'管线假设'!F1127*'管线假设'!G1127*IF(E5257="USD",'管线假设'!I1127,1)-AM5257</x:f>
        <x:v>0.018584999999999994</x:v>
      </x:c>
      <x:c r="M5257" s="11" t="n">
        <x:f>'管线假设'!H1127</x:f>
        <x:v>0.14</x:v>
      </x:c>
      <x:c r="N5257" s="11" t="n">
        <x:f>IF(G5257,L5257*AN5257/(1+M5257)^F5257,0)</x:f>
        <x:v>0.002366512736981726</x:v>
      </x:c>
      <x:c r="AJ5257" t="n">
        <x:v>0</x:v>
      </x:c>
      <x:c r="AK5257" t="n">
        <x:v>0</x:v>
      </x:c>
      <x:c r="AL5257" t="n">
        <x:v>0</x:v>
      </x:c>
      <x:c r="AM5257" t="n">
        <x:f>CHOOSE('假设'!$B$3,AJ5257,AK5257,AL5257)</x:f>
        <x:v>0</x:v>
      </x:c>
      <x:c r="AN5257" t="n">
        <x:v>1</x:v>
      </x:c>
    </x:row>
    <x:row r="5258" ht="23" customHeight="1">
      <x:c r="A5258" s="11" t="str">
        <x:v>688062.SH</x:v>
      </x:c>
      <x:c r="B5258" s="11" t="str">
        <x:v>半年</x:v>
      </x:c>
      <x:c r="C5258" s="11" t="str">
        <x:v>cdh17</x:v>
      </x:c>
      <x:c r="D5258" s="11" t="str">
        <x:v>2043-12-31</x:v>
      </x:c>
      <x:c r="E5258" s="11" t="str">
        <x:v>CNY</x:v>
      </x:c>
      <x:c r="F5258" s="11" t="n">
        <x:v>16.72826830937714</x:v>
      </x:c>
      <x:c r="G5258" s="26" t="b">
        <x:v>1</x:v>
      </x:c>
      <x:c r="H5258" s="16" t="n">
        <x:v>0.24</x:v>
      </x:c>
      <x:c r="I5258" s="16" t="n">
        <x:v>0.32999999999999996</x:v>
      </x:c>
      <x:c r="J5258" s="16" t="n">
        <x:v>0</x:v>
      </x:c>
      <x:c r="K5258" s="11" t="n">
        <x:f>CHOOSE('假设'!$B$3,H5258,I5258,J5258)</x:f>
        <x:v>0.32999999999999996</x:v>
      </x:c>
      <x:c r="L5258" s="11" t="n">
        <x:f>K5258*'管线假设'!E1127*'管线假设'!F1127*'管线假设'!G1127*IF(E5258="USD",'管线假设'!I1127,1)-AM5258</x:f>
        <x:v>0.011681999999999998</x:v>
      </x:c>
      <x:c r="M5258" s="11" t="n">
        <x:f>'管线假设'!H1127</x:f>
        <x:v>0.14</x:v>
      </x:c>
      <x:c r="N5258" s="11" t="n">
        <x:f>IF(G5258,L5258*AN5258/(1+M5258)^F5258,0)</x:f>
        <x:v>0.0013049611444614039</x:v>
      </x:c>
      <x:c r="AJ5258" t="n">
        <x:v>0</x:v>
      </x:c>
      <x:c r="AK5258" t="n">
        <x:v>0</x:v>
      </x:c>
      <x:c r="AL5258" t="n">
        <x:v>0</x:v>
      </x:c>
      <x:c r="AM5258" t="n">
        <x:f>CHOOSE('假设'!$B$3,AJ5258,AK5258,AL5258)</x:f>
        <x:v>0</x:v>
      </x:c>
      <x:c r="AN5258" t="n">
        <x:v>1</x:v>
      </x:c>
    </x:row>
    <x:row r="5259" ht="23" customHeight="1">
      <x:c r="A5259" s="11" t="str">
        <x:v>688062.SH</x:v>
      </x:c>
      <x:c r="B5259" s="11" t="str">
        <x:v>半年</x:v>
      </x:c>
      <x:c r="C5259" s="11" t="str">
        <x:v>cdh17</x:v>
      </x:c>
      <x:c r="D5259" s="11" t="str">
        <x:v>2044-12-31</x:v>
      </x:c>
      <x:c r="E5259" s="11" t="str">
        <x:v>CNY</x:v>
      </x:c>
      <x:c r="F5259" s="11" t="n">
        <x:v>17.730321697467488</x:v>
      </x:c>
      <x:c r="G5259" s="26" t="b">
        <x:v>1</x:v>
      </x:c>
      <x:c r="H5259" s="16" t="n">
        <x:v>0.175</x:v>
      </x:c>
      <x:c r="I5259" s="16" t="n">
        <x:v>0.13499999999999995</x:v>
      </x:c>
      <x:c r="J5259" s="16" t="n">
        <x:v>0</x:v>
      </x:c>
      <x:c r="K5259" s="11" t="n">
        <x:f>CHOOSE('假设'!$B$3,H5259,I5259,J5259)</x:f>
        <x:v>0.13499999999999995</x:v>
      </x:c>
      <x:c r="L5259" s="11" t="n">
        <x:f>K5259*'管线假设'!E1127*'管线假设'!F1127*'管线假设'!G1127*IF(E5259="USD",'管线假设'!I1127,1)-AM5259</x:f>
        <x:v>0.004778999999999998</x:v>
      </x:c>
      <x:c r="M5259" s="11" t="n">
        <x:f>'管线假设'!H1127</x:f>
        <x:v>0.14</x:v>
      </x:c>
      <x:c r="N5259" s="11" t="n">
        <x:f>IF(G5259,L5259*AN5259/(1+M5259)^F5259,0)</x:f>
        <x:v>0.00046816151535241556</x:v>
      </x:c>
      <x:c r="AJ5259" t="n">
        <x:v>0</x:v>
      </x:c>
      <x:c r="AK5259" t="n">
        <x:v>0</x:v>
      </x:c>
      <x:c r="AL5259" t="n">
        <x:v>0</x:v>
      </x:c>
      <x:c r="AM5259" t="n">
        <x:f>CHOOSE('假设'!$B$3,AJ5259,AK5259,AL5259)</x:f>
        <x:v>0</x:v>
      </x:c>
      <x:c r="AN5259" t="n">
        <x:v>1</x:v>
      </x:c>
    </x:row>
    <x:row r="5260" ht="23" customHeight="1">
      <x:c r="A5260" s="11" t="str">
        <x:v>688062.SH</x:v>
      </x:c>
      <x:c r="B5260" s="11" t="str">
        <x:v>半年</x:v>
      </x:c>
      <x:c r="C5260" s="11" t="str">
        <x:v>cdh17</x:v>
      </x:c>
      <x:c r="D5260" s="11" t="str">
        <x:v>2045-12-31</x:v>
      </x:c>
      <x:c r="E5260" s="11" t="str">
        <x:v>CNY</x:v>
      </x:c>
      <x:c r="F5260" s="11" t="n">
        <x:v>18.729637234770706</x:v>
      </x:c>
      <x:c r="G5260" s="26" t="b">
        <x:v>1</x:v>
      </x:c>
      <x:c r="H5260" s="16" t="n">
        <x:v>0.10999999999999999</x:v>
      </x:c>
      <x:c r="I5260" s="16" t="n">
        <x:v>0</x:v>
      </x:c>
      <x:c r="J5260" s="16" t="n">
        <x:v>0</x:v>
      </x:c>
      <x:c r="K5260" s="11" t="n">
        <x:f>CHOOSE('假设'!$B$3,H5260,I5260,J5260)</x:f>
        <x:v>0</x:v>
      </x:c>
      <x:c r="L5260" s="11" t="n">
        <x:f>K5260*'管线假设'!E1127*'管线假设'!F1127*'管线假设'!G1127*IF(E5260="USD",'管线假设'!I1127,1)-AM5260</x:f>
        <x:v>0</x:v>
      </x:c>
      <x:c r="M5260" s="11" t="n">
        <x:f>'管线假设'!H1127</x:f>
        <x:v>0.14</x:v>
      </x:c>
      <x:c r="N5260" s="11" t="n">
        <x:f>IF(G5260,L5260*AN5260/(1+M5260)^F5260,0)</x:f>
        <x:v>0</x:v>
      </x:c>
      <x:c r="AJ5260" t="n">
        <x:v>0</x:v>
      </x:c>
      <x:c r="AK5260" t="n">
        <x:v>0</x:v>
      </x:c>
      <x:c r="AL5260" t="n">
        <x:v>0</x:v>
      </x:c>
      <x:c r="AM5260" t="n">
        <x:f>CHOOSE('假设'!$B$3,AJ5260,AK5260,AL5260)</x:f>
        <x:v>0</x:v>
      </x:c>
      <x:c r="AN5260" t="n">
        <x:v>1</x:v>
      </x:c>
    </x:row>
    <x:row r="5261" ht="23" customHeight="1">
      <x:c r="A5261" s="11" t="str">
        <x:v>688062.SH</x:v>
      </x:c>
      <x:c r="B5261" s="11" t="str">
        <x:v>半年</x:v>
      </x:c>
      <x:c r="C5261" s="11" t="str">
        <x:v>st2</x:v>
      </x:c>
      <x:c r="D5261" s="11" t="str">
        <x:v>2027-12-31</x:v>
      </x:c>
      <x:c r="E5261" s="11" t="str">
        <x:v>CNY</x:v>
      </x:c>
      <x:c r="F5261" s="11" t="n">
        <x:v>0.7282683093771389</x:v>
      </x:c>
      <x:c r="G5261" s="26" t="b">
        <x:v>1</x:v>
      </x:c>
      <x:c r="H5261" s="16" t="n">
        <x:v>0</x:v>
      </x:c>
      <x:c r="I5261" s="16" t="n">
        <x:v>0</x:v>
      </x:c>
      <x:c r="J5261" s="16" t="n">
        <x:v>0</x:v>
      </x:c>
      <x:c r="K5261" s="11" t="n">
        <x:f>CHOOSE('假设'!$B$3,H5261,I5261,J5261)</x:f>
        <x:v>0</x:v>
      </x:c>
      <x:c r="L5261" s="11" t="n">
        <x:f>K5261*'管线假设'!E1131*'管线假设'!F1131*'管线假设'!G1131*IF(E5261="USD",'管线假设'!I1131,1)-AM5261</x:f>
        <x:v>0</x:v>
      </x:c>
      <x:c r="M5261" s="11" t="n">
        <x:f>'管线假设'!H1131</x:f>
        <x:v>0.14</x:v>
      </x:c>
      <x:c r="N5261" s="11" t="n">
        <x:f>IF(G5261,L5261*AN5261/(1+M5261)^F5261,0)</x:f>
        <x:v>0</x:v>
      </x:c>
      <x:c r="AJ5261" t="n">
        <x:v>0</x:v>
      </x:c>
      <x:c r="AK5261" t="n">
        <x:v>0</x:v>
      </x:c>
      <x:c r="AL5261" t="n">
        <x:v>0</x:v>
      </x:c>
      <x:c r="AM5261" t="n">
        <x:f>CHOOSE('假设'!$B$3,AJ5261,AK5261,AL5261)</x:f>
        <x:v>0</x:v>
      </x:c>
      <x:c r="AN5261" t="n">
        <x:v>1</x:v>
      </x:c>
    </x:row>
    <x:row r="5262" ht="23" customHeight="1">
      <x:c r="A5262" s="11" t="str">
        <x:v>688062.SH</x:v>
      </x:c>
      <x:c r="B5262" s="11" t="str">
        <x:v>半年</x:v>
      </x:c>
      <x:c r="C5262" s="11" t="str">
        <x:v>st2</x:v>
      </x:c>
      <x:c r="D5262" s="11" t="str">
        <x:v>2028-12-31</x:v>
      </x:c>
      <x:c r="E5262" s="11" t="str">
        <x:v>CNY</x:v>
      </x:c>
      <x:c r="F5262" s="11" t="n">
        <x:v>1.730321697467488</x:v>
      </x:c>
      <x:c r="G5262" s="26" t="b">
        <x:v>1</x:v>
      </x:c>
      <x:c r="H5262" s="16" t="n">
        <x:v>0</x:v>
      </x:c>
      <x:c r="I5262" s="16" t="n">
        <x:v>0</x:v>
      </x:c>
      <x:c r="J5262" s="16" t="n">
        <x:v>0</x:v>
      </x:c>
      <x:c r="K5262" s="11" t="n">
        <x:f>CHOOSE('假设'!$B$3,H5262,I5262,J5262)</x:f>
        <x:v>0</x:v>
      </x:c>
      <x:c r="L5262" s="11" t="n">
        <x:f>K5262*'管线假设'!E1131*'管线假设'!F1131*'管线假设'!G1131*IF(E5262="USD",'管线假设'!I1131,1)-AM5262</x:f>
        <x:v>0</x:v>
      </x:c>
      <x:c r="M5262" s="11" t="n">
        <x:f>'管线假设'!H1131</x:f>
        <x:v>0.14</x:v>
      </x:c>
      <x:c r="N5262" s="11" t="n">
        <x:f>IF(G5262,L5262*AN5262/(1+M5262)^F5262,0)</x:f>
        <x:v>0</x:v>
      </x:c>
      <x:c r="AJ5262" t="n">
        <x:v>0</x:v>
      </x:c>
      <x:c r="AK5262" t="n">
        <x:v>0</x:v>
      </x:c>
      <x:c r="AL5262" t="n">
        <x:v>0</x:v>
      </x:c>
      <x:c r="AM5262" t="n">
        <x:f>CHOOSE('假设'!$B$3,AJ5262,AK5262,AL5262)</x:f>
        <x:v>0</x:v>
      </x:c>
      <x:c r="AN5262" t="n">
        <x:v>1</x:v>
      </x:c>
    </x:row>
    <x:row r="5263" ht="23" customHeight="1">
      <x:c r="A5263" s="11" t="str">
        <x:v>688062.SH</x:v>
      </x:c>
      <x:c r="B5263" s="11" t="str">
        <x:v>半年</x:v>
      </x:c>
      <x:c r="C5263" s="11" t="str">
        <x:v>st2</x:v>
      </x:c>
      <x:c r="D5263" s="11" t="str">
        <x:v>2029-12-31</x:v>
      </x:c>
      <x:c r="E5263" s="11" t="str">
        <x:v>CNY</x:v>
      </x:c>
      <x:c r="F5263" s="11" t="n">
        <x:v>2.729637234770705</x:v>
      </x:c>
      <x:c r="G5263" s="26" t="b">
        <x:v>1</x:v>
      </x:c>
      <x:c r="H5263" s="16" t="n">
        <x:v>0</x:v>
      </x:c>
      <x:c r="I5263" s="16" t="n">
        <x:v>0</x:v>
      </x:c>
      <x:c r="J5263" s="16" t="n">
        <x:v>0.5833333333333333</x:v>
      </x:c>
      <x:c r="K5263" s="11" t="n">
        <x:f>CHOOSE('假设'!$B$3,H5263,I5263,J5263)</x:f>
        <x:v>0</x:v>
      </x:c>
      <x:c r="L5263" s="11" t="n">
        <x:f>K5263*'管线假设'!E1131*'管线假设'!F1131*'管线假设'!G1131*IF(E5263="USD",'管线假设'!I1131,1)-AM5263</x:f>
        <x:v>0</x:v>
      </x:c>
      <x:c r="M5263" s="11" t="n">
        <x:f>'管线假设'!H1131</x:f>
        <x:v>0.14</x:v>
      </x:c>
      <x:c r="N5263" s="11" t="n">
        <x:f>IF(G5263,L5263*AN5263/(1+M5263)^F5263,0)</x:f>
        <x:v>0</x:v>
      </x:c>
      <x:c r="AJ5263" t="n">
        <x:v>0</x:v>
      </x:c>
      <x:c r="AK5263" t="n">
        <x:v>0</x:v>
      </x:c>
      <x:c r="AL5263" t="n">
        <x:v>0</x:v>
      </x:c>
      <x:c r="AM5263" t="n">
        <x:f>CHOOSE('假设'!$B$3,AJ5263,AK5263,AL5263)</x:f>
        <x:v>0</x:v>
      </x:c>
      <x:c r="AN5263" t="n">
        <x:v>1</x:v>
      </x:c>
    </x:row>
    <x:row r="5264" ht="23" customHeight="1">
      <x:c r="A5264" s="11" t="str">
        <x:v>688062.SH</x:v>
      </x:c>
      <x:c r="B5264" s="11" t="str">
        <x:v>半年</x:v>
      </x:c>
      <x:c r="C5264" s="11" t="str">
        <x:v>st2</x:v>
      </x:c>
      <x:c r="D5264" s="11" t="str">
        <x:v>2030-12-31</x:v>
      </x:c>
      <x:c r="E5264" s="11" t="str">
        <x:v>CNY</x:v>
      </x:c>
      <x:c r="F5264" s="11" t="n">
        <x:v>3.728952772073922</x:v>
      </x:c>
      <x:c r="G5264" s="26" t="b">
        <x:v>1</x:v>
      </x:c>
      <x:c r="H5264" s="16" t="n">
        <x:v>0</x:v>
      </x:c>
      <x:c r="I5264" s="16" t="n">
        <x:v>0</x:v>
      </x:c>
      <x:c r="J5264" s="16" t="n">
        <x:v>1.1666666666666665</x:v>
      </x:c>
      <x:c r="K5264" s="11" t="n">
        <x:f>CHOOSE('假设'!$B$3,H5264,I5264,J5264)</x:f>
        <x:v>0</x:v>
      </x:c>
      <x:c r="L5264" s="11" t="n">
        <x:f>K5264*'管线假设'!E1131*'管线假设'!F1131*'管线假设'!G1131*IF(E5264="USD",'管线假设'!I1131,1)-AM5264</x:f>
        <x:v>0</x:v>
      </x:c>
      <x:c r="M5264" s="11" t="n">
        <x:f>'管线假设'!H1131</x:f>
        <x:v>0.14</x:v>
      </x:c>
      <x:c r="N5264" s="11" t="n">
        <x:f>IF(G5264,L5264*AN5264/(1+M5264)^F5264,0)</x:f>
        <x:v>0</x:v>
      </x:c>
      <x:c r="AJ5264" t="n">
        <x:v>0</x:v>
      </x:c>
      <x:c r="AK5264" t="n">
        <x:v>0</x:v>
      </x:c>
      <x:c r="AL5264" t="n">
        <x:v>0</x:v>
      </x:c>
      <x:c r="AM5264" t="n">
        <x:f>CHOOSE('假设'!$B$3,AJ5264,AK5264,AL5264)</x:f>
        <x:v>0</x:v>
      </x:c>
      <x:c r="AN5264" t="n">
        <x:v>1</x:v>
      </x:c>
    </x:row>
    <x:row r="5265" ht="23" customHeight="1">
      <x:c r="A5265" s="11" t="str">
        <x:v>688062.SH</x:v>
      </x:c>
      <x:c r="B5265" s="11" t="str">
        <x:v>半年</x:v>
      </x:c>
      <x:c r="C5265" s="11" t="str">
        <x:v>st2</x:v>
      </x:c>
      <x:c r="D5265" s="11" t="str">
        <x:v>2031-12-31</x:v>
      </x:c>
      <x:c r="E5265" s="11" t="str">
        <x:v>CNY</x:v>
      </x:c>
      <x:c r="F5265" s="11" t="n">
        <x:v>4.728268309377139</x:v>
      </x:c>
      <x:c r="G5265" s="26" t="b">
        <x:v>1</x:v>
      </x:c>
      <x:c r="H5265" s="16" t="n">
        <x:v>0</x:v>
      </x:c>
      <x:c r="I5265" s="16" t="n">
        <x:v>0.3333333333333333</x:v>
      </x:c>
      <x:c r="J5265" s="16" t="n">
        <x:v>1.75</x:v>
      </x:c>
      <x:c r="K5265" s="11" t="n">
        <x:f>CHOOSE('假设'!$B$3,H5265,I5265,J5265)</x:f>
        <x:v>0.3333333333333333</x:v>
      </x:c>
      <x:c r="L5265" s="11" t="n">
        <x:f>K5265*'管线假设'!E1131*'管线假设'!F1131*'管线假设'!G1131*IF(E5265="USD",'管线假设'!I1131,1)-AM5265</x:f>
        <x:v>0.0265</x:v>
      </x:c>
      <x:c r="M5265" s="11" t="n">
        <x:f>'管线假设'!H1131</x:f>
        <x:v>0.14</x:v>
      </x:c>
      <x:c r="N5265" s="11" t="n">
        <x:f>IF(G5265,L5265*AN5265/(1+M5265)^F5265,0)</x:f>
        <x:v>0.014262132560445296</x:v>
      </x:c>
      <x:c r="AJ5265" t="n">
        <x:v>0</x:v>
      </x:c>
      <x:c r="AK5265" t="n">
        <x:v>0</x:v>
      </x:c>
      <x:c r="AL5265" t="n">
        <x:v>0</x:v>
      </x:c>
      <x:c r="AM5265" t="n">
        <x:f>CHOOSE('假设'!$B$3,AJ5265,AK5265,AL5265)</x:f>
        <x:v>0</x:v>
      </x:c>
      <x:c r="AN5265" t="n">
        <x:v>1</x:v>
      </x:c>
    </x:row>
    <x:row r="5266" ht="23" customHeight="1">
      <x:c r="A5266" s="11" t="str">
        <x:v>688062.SH</x:v>
      </x:c>
      <x:c r="B5266" s="11" t="str">
        <x:v>半年</x:v>
      </x:c>
      <x:c r="C5266" s="11" t="str">
        <x:v>st2</x:v>
      </x:c>
      <x:c r="D5266" s="11" t="str">
        <x:v>2032-12-31</x:v>
      </x:c>
      <x:c r="E5266" s="11" t="str">
        <x:v>CNY</x:v>
      </x:c>
      <x:c r="F5266" s="11" t="n">
        <x:v>5.730321697467488</x:v>
      </x:c>
      <x:c r="G5266" s="26" t="b">
        <x:v>1</x:v>
      </x:c>
      <x:c r="H5266" s="16" t="n">
        <x:v>0</x:v>
      </x:c>
      <x:c r="I5266" s="16" t="n">
        <x:v>0.6666666666666666</x:v>
      </x:c>
      <x:c r="J5266" s="16" t="n">
        <x:v>2.333333333333333</x:v>
      </x:c>
      <x:c r="K5266" s="11" t="n">
        <x:f>CHOOSE('假设'!$B$3,H5266,I5266,J5266)</x:f>
        <x:v>0.6666666666666666</x:v>
      </x:c>
      <x:c r="L5266" s="11" t="n">
        <x:f>K5266*'管线假设'!E1131*'管线假设'!F1131*'管线假设'!G1131*IF(E5266="USD",'管线假设'!I1131,1)-AM5266</x:f>
        <x:v>0.053</x:v>
      </x:c>
      <x:c r="M5266" s="11" t="n">
        <x:f>'管线假设'!H1131</x:f>
        <x:v>0.14</x:v>
      </x:c>
      <x:c r="N5266" s="11" t="n">
        <x:f>IF(G5266,L5266*AN5266/(1+M5266)^F5266,0)</x:f>
        <x:v>0.025014554075654876</x:v>
      </x:c>
      <x:c r="AJ5266" t="n">
        <x:v>0</x:v>
      </x:c>
      <x:c r="AK5266" t="n">
        <x:v>0</x:v>
      </x:c>
      <x:c r="AL5266" t="n">
        <x:v>0</x:v>
      </x:c>
      <x:c r="AM5266" t="n">
        <x:f>CHOOSE('假设'!$B$3,AJ5266,AK5266,AL5266)</x:f>
        <x:v>0</x:v>
      </x:c>
      <x:c r="AN5266" t="n">
        <x:v>1</x:v>
      </x:c>
    </x:row>
    <x:row r="5267" ht="23" customHeight="1">
      <x:c r="A5267" s="11" t="str">
        <x:v>688062.SH</x:v>
      </x:c>
      <x:c r="B5267" s="11" t="str">
        <x:v>半年</x:v>
      </x:c>
      <x:c r="C5267" s="11" t="str">
        <x:v>st2</x:v>
      </x:c>
      <x:c r="D5267" s="11" t="str">
        <x:v>2033-12-31</x:v>
      </x:c>
      <x:c r="E5267" s="11" t="str">
        <x:v>CNY</x:v>
      </x:c>
      <x:c r="F5267" s="11" t="n">
        <x:v>6.729637234770705</x:v>
      </x:c>
      <x:c r="G5267" s="26" t="b">
        <x:v>1</x:v>
      </x:c>
      <x:c r="H5267" s="16" t="n">
        <x:v>0</x:v>
      </x:c>
      <x:c r="I5267" s="16" t="n">
        <x:v>1</x:v>
      </x:c>
      <x:c r="J5267" s="16" t="n">
        <x:v>2.916666666666667</x:v>
      </x:c>
      <x:c r="K5267" s="11" t="n">
        <x:f>CHOOSE('假设'!$B$3,H5267,I5267,J5267)</x:f>
        <x:v>1</x:v>
      </x:c>
      <x:c r="L5267" s="11" t="n">
        <x:f>K5267*'管线假设'!E1131*'管线假设'!F1131*'管线假设'!G1131*IF(E5267="USD",'管线假设'!I1131,1)-AM5267</x:f>
        <x:v>0.0795</x:v>
      </x:c>
      <x:c r="M5267" s="11" t="n">
        <x:f>'管线假设'!H1131</x:f>
        <x:v>0.14</x:v>
      </x:c>
      <x:c r="N5267" s="11" t="n">
        <x:f>IF(G5267,L5267*AN5267/(1+M5267)^F5267,0)</x:f>
        <x:v>0.032916838921670674</x:v>
      </x:c>
      <x:c r="AJ5267" t="n">
        <x:v>0</x:v>
      </x:c>
      <x:c r="AK5267" t="n">
        <x:v>0</x:v>
      </x:c>
      <x:c r="AL5267" t="n">
        <x:v>0</x:v>
      </x:c>
      <x:c r="AM5267" t="n">
        <x:f>CHOOSE('假设'!$B$3,AJ5267,AK5267,AL5267)</x:f>
        <x:v>0</x:v>
      </x:c>
      <x:c r="AN5267" t="n">
        <x:v>1</x:v>
      </x:c>
    </x:row>
    <x:row r="5268" ht="23" customHeight="1">
      <x:c r="A5268" s="11" t="str">
        <x:v>688062.SH</x:v>
      </x:c>
      <x:c r="B5268" s="11" t="str">
        <x:v>半年</x:v>
      </x:c>
      <x:c r="C5268" s="11" t="str">
        <x:v>st2</x:v>
      </x:c>
      <x:c r="D5268" s="11" t="str">
        <x:v>2034-12-31</x:v>
      </x:c>
      <x:c r="E5268" s="11" t="str">
        <x:v>CNY</x:v>
      </x:c>
      <x:c r="F5268" s="11" t="n">
        <x:v>7.728952772073922</x:v>
      </x:c>
      <x:c r="G5268" s="26" t="b">
        <x:v>1</x:v>
      </x:c>
      <x:c r="H5268" s="16" t="n">
        <x:v>0.12</x:v>
      </x:c>
      <x:c r="I5268" s="16" t="n">
        <x:v>1.3333333333333333</x:v>
      </x:c>
      <x:c r="J5268" s="16" t="n">
        <x:v>3.5</x:v>
      </x:c>
      <x:c r="K5268" s="11" t="n">
        <x:f>CHOOSE('假设'!$B$3,H5268,I5268,J5268)</x:f>
        <x:v>1.3333333333333333</x:v>
      </x:c>
      <x:c r="L5268" s="11" t="n">
        <x:f>K5268*'管线假设'!E1131*'管线假设'!F1131*'管线假设'!G1131*IF(E5268="USD",'管线假设'!I1131,1)-AM5268</x:f>
        <x:v>0.106</x:v>
      </x:c>
      <x:c r="M5268" s="11" t="n">
        <x:f>'管线假设'!H1131</x:f>
        <x:v>0.14</x:v>
      </x:c>
      <x:c r="N5268" s="11" t="n">
        <x:f>IF(G5268,L5268*AN5268/(1+M5268)^F5268,0)</x:f>
        <x:v>0.03850267972683896</x:v>
      </x:c>
      <x:c r="AJ5268" t="n">
        <x:v>0</x:v>
      </x:c>
      <x:c r="AK5268" t="n">
        <x:v>0</x:v>
      </x:c>
      <x:c r="AL5268" t="n">
        <x:v>0</x:v>
      </x:c>
      <x:c r="AM5268" t="n">
        <x:f>CHOOSE('假设'!$B$3,AJ5268,AK5268,AL5268)</x:f>
        <x:v>0</x:v>
      </x:c>
      <x:c r="AN5268" t="n">
        <x:v>1</x:v>
      </x:c>
    </x:row>
    <x:row r="5269" ht="23" customHeight="1">
      <x:c r="A5269" s="11" t="str">
        <x:v>688062.SH</x:v>
      </x:c>
      <x:c r="B5269" s="11" t="str">
        <x:v>半年</x:v>
      </x:c>
      <x:c r="C5269" s="11" t="str">
        <x:v>st2</x:v>
      </x:c>
      <x:c r="D5269" s="11" t="str">
        <x:v>2035-12-31</x:v>
      </x:c>
      <x:c r="E5269" s="11" t="str">
        <x:v>CNY</x:v>
      </x:c>
      <x:c r="F5269" s="11" t="n">
        <x:v>8.728268309377139</x:v>
      </x:c>
      <x:c r="G5269" s="26" t="b">
        <x:v>1</x:v>
      </x:c>
      <x:c r="H5269" s="16" t="n">
        <x:v>0.24</x:v>
      </x:c>
      <x:c r="I5269" s="16" t="n">
        <x:v>1.6666666666666667</x:v>
      </x:c>
      <x:c r="J5269" s="16" t="n">
        <x:v>3.045</x:v>
      </x:c>
      <x:c r="K5269" s="11" t="n">
        <x:f>CHOOSE('假设'!$B$3,H5269,I5269,J5269)</x:f>
        <x:v>1.6666666666666667</x:v>
      </x:c>
      <x:c r="L5269" s="11" t="n">
        <x:f>K5269*'管线假设'!E1131*'管线假设'!F1131*'管线假设'!G1131*IF(E5269="USD",'管线假设'!I1131,1)-AM5269</x:f>
        <x:v>0.1325</x:v>
      </x:c>
      <x:c r="M5269" s="11" t="n">
        <x:f>'管线假设'!H1131</x:f>
        <x:v>0.14</x:v>
      </x:c>
      <x:c r="N5269" s="11" t="n">
        <x:f>IF(G5269,L5269*AN5269/(1+M5269)^F5269,0)</x:f>
        <x:v>0.04222163701139431</x:v>
      </x:c>
      <x:c r="AJ5269" t="n">
        <x:v>0</x:v>
      </x:c>
      <x:c r="AK5269" t="n">
        <x:v>0</x:v>
      </x:c>
      <x:c r="AL5269" t="n">
        <x:v>0</x:v>
      </x:c>
      <x:c r="AM5269" t="n">
        <x:f>CHOOSE('假设'!$B$3,AJ5269,AK5269,AL5269)</x:f>
        <x:v>0</x:v>
      </x:c>
      <x:c r="AN5269" t="n">
        <x:v>1</x:v>
      </x:c>
    </x:row>
    <x:row r="5270" ht="23" customHeight="1">
      <x:c r="A5270" s="11" t="str">
        <x:v>688062.SH</x:v>
      </x:c>
      <x:c r="B5270" s="11" t="str">
        <x:v>半年</x:v>
      </x:c>
      <x:c r="C5270" s="11" t="str">
        <x:v>st2</x:v>
      </x:c>
      <x:c r="D5270" s="11" t="str">
        <x:v>2036-12-31</x:v>
      </x:c>
      <x:c r="E5270" s="11" t="str">
        <x:v>CNY</x:v>
      </x:c>
      <x:c r="F5270" s="11" t="n">
        <x:v>9.730321697467488</x:v>
      </x:c>
      <x:c r="G5270" s="26" t="b">
        <x:v>1</x:v>
      </x:c>
      <x:c r="H5270" s="16" t="n">
        <x:v>0.36</x:v>
      </x:c>
      <x:c r="I5270" s="16" t="n">
        <x:v>2</x:v>
      </x:c>
      <x:c r="J5270" s="16" t="n">
        <x:v>2.59</x:v>
      </x:c>
      <x:c r="K5270" s="11" t="n">
        <x:f>CHOOSE('假设'!$B$3,H5270,I5270,J5270)</x:f>
        <x:v>2</x:v>
      </x:c>
      <x:c r="L5270" s="11" t="n">
        <x:f>K5270*'管线假设'!E1131*'管线假设'!F1131*'管线假设'!G1131*IF(E5270="USD",'管线假设'!I1131,1)-AM5270</x:f>
        <x:v>0.159</x:v>
      </x:c>
      <x:c r="M5270" s="11" t="n">
        <x:f>'管线假设'!H1131</x:f>
        <x:v>0.14</x:v>
      </x:c>
      <x:c r="N5270" s="11" t="n">
        <x:f>IF(G5270,L5270*AN5270/(1+M5270)^F5270,0)</x:f>
        <x:v>0.044431872346216025</x:v>
      </x:c>
      <x:c r="AJ5270" t="n">
        <x:v>0</x:v>
      </x:c>
      <x:c r="AK5270" t="n">
        <x:v>0</x:v>
      </x:c>
      <x:c r="AL5270" t="n">
        <x:v>0</x:v>
      </x:c>
      <x:c r="AM5270" t="n">
        <x:f>CHOOSE('假设'!$B$3,AJ5270,AK5270,AL5270)</x:f>
        <x:v>0</x:v>
      </x:c>
      <x:c r="AN5270" t="n">
        <x:v>1</x:v>
      </x:c>
    </x:row>
    <x:row r="5271" ht="23" customHeight="1">
      <x:c r="A5271" s="11" t="str">
        <x:v>688062.SH</x:v>
      </x:c>
      <x:c r="B5271" s="11" t="str">
        <x:v>半年</x:v>
      </x:c>
      <x:c r="C5271" s="11" t="str">
        <x:v>st2</x:v>
      </x:c>
      <x:c r="D5271" s="11" t="str">
        <x:v>2037-12-31</x:v>
      </x:c>
      <x:c r="E5271" s="11" t="str">
        <x:v>CNY</x:v>
      </x:c>
      <x:c r="F5271" s="11" t="n">
        <x:v>10.729637234770705</x:v>
      </x:c>
      <x:c r="G5271" s="26" t="b">
        <x:v>1</x:v>
      </x:c>
      <x:c r="H5271" s="16" t="n">
        <x:v>0.48</x:v>
      </x:c>
      <x:c r="I5271" s="16" t="n">
        <x:v>1.74</x:v>
      </x:c>
      <x:c r="J5271" s="16" t="n">
        <x:v>2.135</x:v>
      </x:c>
      <x:c r="K5271" s="11" t="n">
        <x:f>CHOOSE('假设'!$B$3,H5271,I5271,J5271)</x:f>
        <x:v>1.74</x:v>
      </x:c>
      <x:c r="L5271" s="11" t="n">
        <x:f>K5271*'管线假设'!E1131*'管线假设'!F1131*'管线假设'!G1131*IF(E5271="USD",'管线假设'!I1131,1)-AM5271</x:f>
        <x:v>0.13833</x:v>
      </x:c>
      <x:c r="M5271" s="11" t="n">
        <x:f>'管线假设'!H1131</x:f>
        <x:v>0.14</x:v>
      </x:c>
      <x:c r="N5271" s="11" t="n">
        <x:f>IF(G5271,L5271*AN5271/(1+M5271)^F5271,0)</x:f>
        <x:v>0.033911575346873155</x:v>
      </x:c>
      <x:c r="AJ5271" t="n">
        <x:v>0</x:v>
      </x:c>
      <x:c r="AK5271" t="n">
        <x:v>0</x:v>
      </x:c>
      <x:c r="AL5271" t="n">
        <x:v>0</x:v>
      </x:c>
      <x:c r="AM5271" t="n">
        <x:f>CHOOSE('假设'!$B$3,AJ5271,AK5271,AL5271)</x:f>
        <x:v>0</x:v>
      </x:c>
      <x:c r="AN5271" t="n">
        <x:v>1</x:v>
      </x:c>
    </x:row>
    <x:row r="5272" ht="23" customHeight="1">
      <x:c r="A5272" s="11" t="str">
        <x:v>688062.SH</x:v>
      </x:c>
      <x:c r="B5272" s="11" t="str">
        <x:v>半年</x:v>
      </x:c>
      <x:c r="C5272" s="11" t="str">
        <x:v>st2</x:v>
      </x:c>
      <x:c r="D5272" s="11" t="str">
        <x:v>2038-12-31</x:v>
      </x:c>
      <x:c r="E5272" s="11" t="str">
        <x:v>CNY</x:v>
      </x:c>
      <x:c r="F5272" s="11" t="n">
        <x:v>11.728952772073923</x:v>
      </x:c>
      <x:c r="G5272" s="26" t="b">
        <x:v>1</x:v>
      </x:c>
      <x:c r="H5272" s="16" t="n">
        <x:v>0.6</x:v>
      </x:c>
      <x:c r="I5272" s="16" t="n">
        <x:v>1.48</x:v>
      </x:c>
      <x:c r="J5272" s="16" t="n">
        <x:v>1.68</x:v>
      </x:c>
      <x:c r="K5272" s="11" t="n">
        <x:f>CHOOSE('假设'!$B$3,H5272,I5272,J5272)</x:f>
        <x:v>1.48</x:v>
      </x:c>
      <x:c r="L5272" s="11" t="n">
        <x:f>K5272*'管线假设'!E1131*'管线假设'!F1131*'管线假设'!G1131*IF(E5272="USD",'管线假设'!I1131,1)-AM5272</x:f>
        <x:v>0.11765999999999999</x:v>
      </x:c>
      <x:c r="M5272" s="11" t="n">
        <x:f>'管线假设'!H1131</x:f>
        <x:v>0.14</x:v>
      </x:c>
      <x:c r="N5272" s="11" t="n">
        <x:f>IF(G5272,L5272*AN5272/(1+M5272)^F5272,0)</x:f>
        <x:v>0.02530431179430024</x:v>
      </x:c>
      <x:c r="AJ5272" t="n">
        <x:v>0</x:v>
      </x:c>
      <x:c r="AK5272" t="n">
        <x:v>0</x:v>
      </x:c>
      <x:c r="AL5272" t="n">
        <x:v>0</x:v>
      </x:c>
      <x:c r="AM5272" t="n">
        <x:f>CHOOSE('假设'!$B$3,AJ5272,AK5272,AL5272)</x:f>
        <x:v>0</x:v>
      </x:c>
      <x:c r="AN5272" t="n">
        <x:v>1</x:v>
      </x:c>
    </x:row>
    <x:row r="5273" ht="23" customHeight="1">
      <x:c r="A5273" s="11" t="str">
        <x:v>688062.SH</x:v>
      </x:c>
      <x:c r="B5273" s="11" t="str">
        <x:v>半年</x:v>
      </x:c>
      <x:c r="C5273" s="11" t="str">
        <x:v>st2</x:v>
      </x:c>
      <x:c r="D5273" s="11" t="str">
        <x:v>2039-12-31</x:v>
      </x:c>
      <x:c r="E5273" s="11" t="str">
        <x:v>CNY</x:v>
      </x:c>
      <x:c r="F5273" s="11" t="n">
        <x:v>12.728268309377139</x:v>
      </x:c>
      <x:c r="G5273" s="26" t="b">
        <x:v>1</x:v>
      </x:c>
      <x:c r="H5273" s="16" t="n">
        <x:v>0.522</x:v>
      </x:c>
      <x:c r="I5273" s="16" t="n">
        <x:v>1.22</x:v>
      </x:c>
      <x:c r="J5273" s="16" t="n">
        <x:v>1.2249999999999999</x:v>
      </x:c>
      <x:c r="K5273" s="11" t="n">
        <x:f>CHOOSE('假设'!$B$3,H5273,I5273,J5273)</x:f>
        <x:v>1.22</x:v>
      </x:c>
      <x:c r="L5273" s="11" t="n">
        <x:f>K5273*'管线假设'!E1131*'管线假设'!F1131*'管线假设'!G1131*IF(E5273="USD",'管线假设'!I1131,1)-AM5273</x:f>
        <x:v>0.09699</x:v>
      </x:c>
      <x:c r="M5273" s="11" t="n">
        <x:f>'管线假设'!H1131</x:f>
        <x:v>0.14</x:v>
      </x:c>
      <x:c r="N5273" s="11" t="n">
        <x:f>IF(G5273,L5273*AN5273/(1+M5273)^F5273,0)</x:f>
        <x:v>0.018298974140598213</x:v>
      </x:c>
      <x:c r="AJ5273" t="n">
        <x:v>0</x:v>
      </x:c>
      <x:c r="AK5273" t="n">
        <x:v>0</x:v>
      </x:c>
      <x:c r="AL5273" t="n">
        <x:v>0</x:v>
      </x:c>
      <x:c r="AM5273" t="n">
        <x:f>CHOOSE('假设'!$B$3,AJ5273,AK5273,AL5273)</x:f>
        <x:v>0</x:v>
      </x:c>
      <x:c r="AN5273" t="n">
        <x:v>1</x:v>
      </x:c>
    </x:row>
    <x:row r="5274" ht="23" customHeight="1">
      <x:c r="A5274" s="11" t="str">
        <x:v>688062.SH</x:v>
      </x:c>
      <x:c r="B5274" s="11" t="str">
        <x:v>半年</x:v>
      </x:c>
      <x:c r="C5274" s="11" t="str">
        <x:v>st2</x:v>
      </x:c>
      <x:c r="D5274" s="11" t="str">
        <x:v>2040-12-31</x:v>
      </x:c>
      <x:c r="E5274" s="11" t="str">
        <x:v>CNY</x:v>
      </x:c>
      <x:c r="F5274" s="11" t="n">
        <x:v>13.730321697467488</x:v>
      </x:c>
      <x:c r="G5274" s="26" t="b">
        <x:v>1</x:v>
      </x:c>
      <x:c r="H5274" s="16" t="n">
        <x:v>0.444</x:v>
      </x:c>
      <x:c r="I5274" s="16" t="n">
        <x:v>0.96</x:v>
      </x:c>
      <x:c r="J5274" s="16" t="n">
        <x:v>0.7699999999999999</x:v>
      </x:c>
      <x:c r="K5274" s="11" t="n">
        <x:f>CHOOSE('假设'!$B$3,H5274,I5274,J5274)</x:f>
        <x:v>0.96</x:v>
      </x:c>
      <x:c r="L5274" s="11" t="n">
        <x:f>K5274*'管线假设'!E1131*'管线假设'!F1131*'管线假设'!G1131*IF(E5274="USD",'管线假设'!I1131,1)-AM5274</x:f>
        <x:v>0.07632</x:v>
      </x:c>
      <x:c r="M5274" s="11" t="n">
        <x:f>'管线假设'!H1131</x:f>
        <x:v>0.14</x:v>
      </x:c>
      <x:c r="N5274" s="11" t="n">
        <x:f>IF(G5274,L5274*AN5274/(1+M5274)^F5274,0)</x:f>
        <x:v>0.01262747294535573</x:v>
      </x:c>
      <x:c r="AJ5274" t="n">
        <x:v>0</x:v>
      </x:c>
      <x:c r="AK5274" t="n">
        <x:v>0</x:v>
      </x:c>
      <x:c r="AL5274" t="n">
        <x:v>0</x:v>
      </x:c>
      <x:c r="AM5274" t="n">
        <x:f>CHOOSE('假设'!$B$3,AJ5274,AK5274,AL5274)</x:f>
        <x:v>0</x:v>
      </x:c>
      <x:c r="AN5274" t="n">
        <x:v>1</x:v>
      </x:c>
    </x:row>
    <x:row r="5275" ht="23" customHeight="1">
      <x:c r="A5275" s="11" t="str">
        <x:v>688062.SH</x:v>
      </x:c>
      <x:c r="B5275" s="11" t="str">
        <x:v>半年</x:v>
      </x:c>
      <x:c r="C5275" s="11" t="str">
        <x:v>st2</x:v>
      </x:c>
      <x:c r="D5275" s="11" t="str">
        <x:v>2041-12-31</x:v>
      </x:c>
      <x:c r="E5275" s="11" t="str">
        <x:v>CNY</x:v>
      </x:c>
      <x:c r="F5275" s="11" t="n">
        <x:v>14.729637234770705</x:v>
      </x:c>
      <x:c r="G5275" s="26" t="b">
        <x:v>1</x:v>
      </x:c>
      <x:c r="H5275" s="16" t="n">
        <x:v>0.366</x:v>
      </x:c>
      <x:c r="I5275" s="16" t="n">
        <x:v>0.7</x:v>
      </x:c>
      <x:c r="J5275" s="16" t="n">
        <x:v>0.3149999999999999</x:v>
      </x:c>
      <x:c r="K5275" s="11" t="n">
        <x:f>CHOOSE('假设'!$B$3,H5275,I5275,J5275)</x:f>
        <x:v>0.7</x:v>
      </x:c>
      <x:c r="L5275" s="11" t="n">
        <x:f>K5275*'管线假设'!E1131*'管线假设'!F1131*'管线假设'!G1131*IF(E5275="USD",'管线假设'!I1131,1)-AM5275</x:f>
        <x:v>0.05565</x:v>
      </x:c>
      <x:c r="M5275" s="11" t="n">
        <x:f>'管线假设'!H1131</x:f>
        <x:v>0.14</x:v>
      </x:c>
      <x:c r="N5275" s="11" t="n">
        <x:f>IF(G5275,L5275*AN5275/(1+M5275)^F5275,0)</x:f>
        <x:v>0.008077507158738917</x:v>
      </x:c>
      <x:c r="AJ5275" t="n">
        <x:v>0</x:v>
      </x:c>
      <x:c r="AK5275" t="n">
        <x:v>0</x:v>
      </x:c>
      <x:c r="AL5275" t="n">
        <x:v>0</x:v>
      </x:c>
      <x:c r="AM5275" t="n">
        <x:f>CHOOSE('假设'!$B$3,AJ5275,AK5275,AL5275)</x:f>
        <x:v>0</x:v>
      </x:c>
      <x:c r="AN5275" t="n">
        <x:v>1</x:v>
      </x:c>
    </x:row>
    <x:row r="5276" ht="23" customHeight="1">
      <x:c r="A5276" s="11" t="str">
        <x:v>688062.SH</x:v>
      </x:c>
      <x:c r="B5276" s="11" t="str">
        <x:v>半年</x:v>
      </x:c>
      <x:c r="C5276" s="11" t="str">
        <x:v>st2</x:v>
      </x:c>
      <x:c r="D5276" s="11" t="str">
        <x:v>2042-12-31</x:v>
      </x:c>
      <x:c r="E5276" s="11" t="str">
        <x:v>CNY</x:v>
      </x:c>
      <x:c r="F5276" s="11" t="n">
        <x:v>15.728952772073923</x:v>
      </x:c>
      <x:c r="G5276" s="26" t="b">
        <x:v>1</x:v>
      </x:c>
      <x:c r="H5276" s="16" t="n">
        <x:v>0.288</x:v>
      </x:c>
      <x:c r="I5276" s="16" t="n">
        <x:v>0.43999999999999995</x:v>
      </x:c>
      <x:c r="J5276" s="16" t="n">
        <x:v>0</x:v>
      </x:c>
      <x:c r="K5276" s="11" t="n">
        <x:f>CHOOSE('假设'!$B$3,H5276,I5276,J5276)</x:f>
        <x:v>0.43999999999999995</x:v>
      </x:c>
      <x:c r="L5276" s="11" t="n">
        <x:f>K5276*'管线假设'!E1131*'管线假设'!F1131*'管线假设'!G1131*IF(E5276="USD",'管线假设'!I1131,1)-AM5276</x:f>
        <x:v>0.03498</x:v>
      </x:c>
      <x:c r="M5276" s="11" t="n">
        <x:f>'管线假设'!H1131</x:f>
        <x:v>0.14</x:v>
      </x:c>
      <x:c r="N5276" s="11" t="n">
        <x:f>IF(G5276,L5276*AN5276/(1+M5276)^F5276,0)</x:f>
        <x:v>0.0044541627947065265</x:v>
      </x:c>
      <x:c r="AJ5276" t="n">
        <x:v>0</x:v>
      </x:c>
      <x:c r="AK5276" t="n">
        <x:v>0</x:v>
      </x:c>
      <x:c r="AL5276" t="n">
        <x:v>0</x:v>
      </x:c>
      <x:c r="AM5276" t="n">
        <x:f>CHOOSE('假设'!$B$3,AJ5276,AK5276,AL5276)</x:f>
        <x:v>0</x:v>
      </x:c>
      <x:c r="AN5276" t="n">
        <x:v>1</x:v>
      </x:c>
    </x:row>
    <x:row r="5277" ht="23" customHeight="1">
      <x:c r="A5277" s="11" t="str">
        <x:v>688062.SH</x:v>
      </x:c>
      <x:c r="B5277" s="11" t="str">
        <x:v>半年</x:v>
      </x:c>
      <x:c r="C5277" s="11" t="str">
        <x:v>st2</x:v>
      </x:c>
      <x:c r="D5277" s="11" t="str">
        <x:v>2043-12-31</x:v>
      </x:c>
      <x:c r="E5277" s="11" t="str">
        <x:v>CNY</x:v>
      </x:c>
      <x:c r="F5277" s="11" t="n">
        <x:v>16.72826830937714</x:v>
      </x:c>
      <x:c r="G5277" s="26" t="b">
        <x:v>1</x:v>
      </x:c>
      <x:c r="H5277" s="16" t="n">
        <x:v>0.21</x:v>
      </x:c>
      <x:c r="I5277" s="16" t="n">
        <x:v>0.17999999999999994</x:v>
      </x:c>
      <x:c r="J5277" s="16" t="n">
        <x:v>0</x:v>
      </x:c>
      <x:c r="K5277" s="11" t="n">
        <x:f>CHOOSE('假设'!$B$3,H5277,I5277,J5277)</x:f>
        <x:v>0.17999999999999994</x:v>
      </x:c>
      <x:c r="L5277" s="11" t="n">
        <x:f>K5277*'管线假设'!E1131*'管线假设'!F1131*'管线假设'!G1131*IF(E5277="USD",'管线假设'!I1131,1)-AM5277</x:f>
        <x:v>0.014309999999999995</x:v>
      </x:c>
      <x:c r="M5277" s="11" t="n">
        <x:f>'管线假设'!H1131</x:f>
        <x:v>0.14</x:v>
      </x:c>
      <x:c r="N5277" s="11" t="n">
        <x:f>IF(G5277,L5277*AN5277/(1+M5277)^F5277,0)</x:f>
        <x:v>0.0015985271338163573</x:v>
      </x:c>
      <x:c r="AJ5277" t="n">
        <x:v>0</x:v>
      </x:c>
      <x:c r="AK5277" t="n">
        <x:v>0</x:v>
      </x:c>
      <x:c r="AL5277" t="n">
        <x:v>0</x:v>
      </x:c>
      <x:c r="AM5277" t="n">
        <x:f>CHOOSE('假设'!$B$3,AJ5277,AK5277,AL5277)</x:f>
        <x:v>0</x:v>
      </x:c>
      <x:c r="AN5277" t="n">
        <x:v>1</x:v>
      </x:c>
    </x:row>
    <x:row r="5278" ht="23" customHeight="1">
      <x:c r="A5278" s="11" t="str">
        <x:v>688062.SH</x:v>
      </x:c>
      <x:c r="B5278" s="11" t="str">
        <x:v>半年</x:v>
      </x:c>
      <x:c r="C5278" s="11" t="str">
        <x:v>st2</x:v>
      </x:c>
      <x:c r="D5278" s="11" t="str">
        <x:v>2044-12-31</x:v>
      </x:c>
      <x:c r="E5278" s="11" t="str">
        <x:v>CNY</x:v>
      </x:c>
      <x:c r="F5278" s="11" t="n">
        <x:v>17.730321697467488</x:v>
      </x:c>
      <x:c r="G5278" s="26" t="b">
        <x:v>1</x:v>
      </x:c>
      <x:c r="H5278" s="16" t="n">
        <x:v>0.13199999999999998</x:v>
      </x:c>
      <x:c r="I5278" s="16" t="n">
        <x:v>0</x:v>
      </x:c>
      <x:c r="J5278" s="16" t="n">
        <x:v>0</x:v>
      </x:c>
      <x:c r="K5278" s="11" t="n">
        <x:f>CHOOSE('假设'!$B$3,H5278,I5278,J5278)</x:f>
        <x:v>0</x:v>
      </x:c>
      <x:c r="L5278" s="11" t="n">
        <x:f>K5278*'管线假设'!E1131*'管线假设'!F1131*'管线假设'!G1131*IF(E5278="USD",'管线假设'!I1131,1)-AM5278</x:f>
        <x:v>0</x:v>
      </x:c>
      <x:c r="M5278" s="11" t="n">
        <x:f>'管线假设'!H1131</x:f>
        <x:v>0.14</x:v>
      </x:c>
      <x:c r="N5278" s="11" t="n">
        <x:f>IF(G5278,L5278*AN5278/(1+M5278)^F5278,0)</x:f>
        <x:v>0</x:v>
      </x:c>
      <x:c r="AJ5278" t="n">
        <x:v>0</x:v>
      </x:c>
      <x:c r="AK5278" t="n">
        <x:v>0</x:v>
      </x:c>
      <x:c r="AL5278" t="n">
        <x:v>0</x:v>
      </x:c>
      <x:c r="AM5278" t="n">
        <x:f>CHOOSE('假设'!$B$3,AJ5278,AK5278,AL5278)</x:f>
        <x:v>0</x:v>
      </x:c>
      <x:c r="AN5278" t="n">
        <x:v>1</x:v>
      </x:c>
    </x:row>
    <x:row r="5279" ht="23" customHeight="1">
      <x:c r="A5279" s="11" t="str">
        <x:v>688062.SH</x:v>
      </x:c>
      <x:c r="B5279" s="11" t="str">
        <x:v>半年</x:v>
      </x:c>
      <x:c r="C5279" s="11" t="str">
        <x:v>st2</x:v>
      </x:c>
      <x:c r="D5279" s="11" t="str">
        <x:v>2045-12-31</x:v>
      </x:c>
      <x:c r="E5279" s="11" t="str">
        <x:v>CNY</x:v>
      </x:c>
      <x:c r="F5279" s="11" t="n">
        <x:v>18.729637234770706</x:v>
      </x:c>
      <x:c r="G5279" s="26" t="b">
        <x:v>1</x:v>
      </x:c>
      <x:c r="H5279" s="16" t="n">
        <x:v>0.05399999999999998</x:v>
      </x:c>
      <x:c r="I5279" s="16" t="n">
        <x:v>0</x:v>
      </x:c>
      <x:c r="J5279" s="16" t="n">
        <x:v>0</x:v>
      </x:c>
      <x:c r="K5279" s="11" t="n">
        <x:f>CHOOSE('假设'!$B$3,H5279,I5279,J5279)</x:f>
        <x:v>0</x:v>
      </x:c>
      <x:c r="L5279" s="11" t="n">
        <x:f>K5279*'管线假设'!E1131*'管线假设'!F1131*'管线假设'!G1131*IF(E5279="USD",'管线假设'!I1131,1)-AM5279</x:f>
        <x:v>0</x:v>
      </x:c>
      <x:c r="M5279" s="11" t="n">
        <x:f>'管线假设'!H1131</x:f>
        <x:v>0.14</x:v>
      </x:c>
      <x:c r="N5279" s="11" t="n">
        <x:f>IF(G5279,L5279*AN5279/(1+M5279)^F5279,0)</x:f>
        <x:v>0</x:v>
      </x:c>
      <x:c r="AJ5279" t="n">
        <x:v>0</x:v>
      </x:c>
      <x:c r="AK5279" t="n">
        <x:v>0</x:v>
      </x:c>
      <x:c r="AL5279" t="n">
        <x:v>0</x:v>
      </x:c>
      <x:c r="AM5279" t="n">
        <x:f>CHOOSE('假设'!$B$3,AJ5279,AK5279,AL5279)</x:f>
        <x:v>0</x:v>
      </x:c>
      <x:c r="AN5279" t="n">
        <x:v>1</x:v>
      </x:c>
    </x:row>
    <x:row r="5280" ht="23" customHeight="1">
      <x:c r="A5280" s="11" t="str">
        <x:v>688062.SH</x:v>
      </x:c>
      <x:c r="B5280" s="11" t="str">
        <x:v>半年</x:v>
      </x:c>
      <x:c r="C5280" s="11" t="str">
        <x:v>il11_global</x:v>
      </x:c>
      <x:c r="D5280" s="11" t="str">
        <x:v>2027-12-31</x:v>
      </x:c>
      <x:c r="E5280" s="11" t="str">
        <x:v>USD</x:v>
      </x:c>
      <x:c r="F5280" s="11" t="n">
        <x:v>0.7282683093771389</x:v>
      </x:c>
      <x:c r="G5280" s="26" t="b">
        <x:v>1</x:v>
      </x:c>
      <x:c r="H5280" s="16" t="n">
        <x:v>0</x:v>
      </x:c>
      <x:c r="I5280" s="16" t="n">
        <x:v>0</x:v>
      </x:c>
      <x:c r="J5280" s="16" t="n">
        <x:v>0</x:v>
      </x:c>
      <x:c r="K5280" s="11" t="n">
        <x:f>CHOOSE('假设'!$B$3,H5280,I5280,J5280)</x:f>
        <x:v>0</x:v>
      </x:c>
      <x:c r="L5280" s="11" t="n">
        <x:f>K5280*'管线假设'!E1135*'管线假设'!F1135*'管线假设'!G1135*IF(E5280="USD",'管线假设'!I1135,1)-AM5280</x:f>
        <x:v>0</x:v>
      </x:c>
      <x:c r="M5280" s="11" t="n">
        <x:f>'管线假设'!H1135</x:f>
        <x:v>0.14</x:v>
      </x:c>
      <x:c r="N5280" s="11" t="n">
        <x:f>IF(G5280,L5280*AN5280/(1+M5280)^F5280,0)</x:f>
        <x:v>0</x:v>
      </x:c>
      <x:c r="AJ5280" t="n">
        <x:v>0</x:v>
      </x:c>
      <x:c r="AK5280" t="n">
        <x:v>0</x:v>
      </x:c>
      <x:c r="AL5280" t="n">
        <x:v>0</x:v>
      </x:c>
      <x:c r="AM5280" t="n">
        <x:f>CHOOSE('假设'!$B$3,AJ5280,AK5280,AL5280)</x:f>
        <x:v>0</x:v>
      </x:c>
      <x:c r="AN5280" t="n">
        <x:v>1</x:v>
      </x:c>
    </x:row>
    <x:row r="5281" ht="23" customHeight="1">
      <x:c r="A5281" s="11" t="str">
        <x:v>688062.SH</x:v>
      </x:c>
      <x:c r="B5281" s="11" t="str">
        <x:v>半年</x:v>
      </x:c>
      <x:c r="C5281" s="11" t="str">
        <x:v>il11_global</x:v>
      </x:c>
      <x:c r="D5281" s="11" t="str">
        <x:v>2028-12-31</x:v>
      </x:c>
      <x:c r="E5281" s="11" t="str">
        <x:v>USD</x:v>
      </x:c>
      <x:c r="F5281" s="11" t="n">
        <x:v>1.730321697467488</x:v>
      </x:c>
      <x:c r="G5281" s="26" t="b">
        <x:v>1</x:v>
      </x:c>
      <x:c r="H5281" s="16" t="n">
        <x:v>0</x:v>
      </x:c>
      <x:c r="I5281" s="16" t="n">
        <x:v>0</x:v>
      </x:c>
      <x:c r="J5281" s="16" t="n">
        <x:v>0</x:v>
      </x:c>
      <x:c r="K5281" s="11" t="n">
        <x:f>CHOOSE('假设'!$B$3,H5281,I5281,J5281)</x:f>
        <x:v>0</x:v>
      </x:c>
      <x:c r="L5281" s="11" t="n">
        <x:f>K5281*'管线假设'!E1135*'管线假设'!F1135*'管线假设'!G1135*IF(E5281="USD",'管线假设'!I1135,1)-AM5281</x:f>
        <x:v>0</x:v>
      </x:c>
      <x:c r="M5281" s="11" t="n">
        <x:f>'管线假设'!H1135</x:f>
        <x:v>0.14</x:v>
      </x:c>
      <x:c r="N5281" s="11" t="n">
        <x:f>IF(G5281,L5281*AN5281/(1+M5281)^F5281,0)</x:f>
        <x:v>0</x:v>
      </x:c>
      <x:c r="AJ5281" t="n">
        <x:v>0</x:v>
      </x:c>
      <x:c r="AK5281" t="n">
        <x:v>0</x:v>
      </x:c>
      <x:c r="AL5281" t="n">
        <x:v>0</x:v>
      </x:c>
      <x:c r="AM5281" t="n">
        <x:f>CHOOSE('假设'!$B$3,AJ5281,AK5281,AL5281)</x:f>
        <x:v>0</x:v>
      </x:c>
      <x:c r="AN5281" t="n">
        <x:v>1</x:v>
      </x:c>
    </x:row>
    <x:row r="5282" ht="23" customHeight="1">
      <x:c r="A5282" s="11" t="str">
        <x:v>688062.SH</x:v>
      </x:c>
      <x:c r="B5282" s="11" t="str">
        <x:v>半年</x:v>
      </x:c>
      <x:c r="C5282" s="11" t="str">
        <x:v>il11_global</x:v>
      </x:c>
      <x:c r="D5282" s="11" t="str">
        <x:v>2029-12-31</x:v>
      </x:c>
      <x:c r="E5282" s="11" t="str">
        <x:v>USD</x:v>
      </x:c>
      <x:c r="F5282" s="11" t="n">
        <x:v>2.729637234770705</x:v>
      </x:c>
      <x:c r="G5282" s="26" t="b">
        <x:v>1</x:v>
      </x:c>
      <x:c r="H5282" s="16" t="n">
        <x:v>0</x:v>
      </x:c>
      <x:c r="I5282" s="16" t="n">
        <x:v>0</x:v>
      </x:c>
      <x:c r="J5282" s="16" t="n">
        <x:v>0</x:v>
      </x:c>
      <x:c r="K5282" s="11" t="n">
        <x:f>CHOOSE('假设'!$B$3,H5282,I5282,J5282)</x:f>
        <x:v>0</x:v>
      </x:c>
      <x:c r="L5282" s="11" t="n">
        <x:f>K5282*'管线假设'!E1135*'管线假设'!F1135*'管线假设'!G1135*IF(E5282="USD",'管线假设'!I1135,1)-AM5282</x:f>
        <x:v>0</x:v>
      </x:c>
      <x:c r="M5282" s="11" t="n">
        <x:f>'管线假设'!H1135</x:f>
        <x:v>0.14</x:v>
      </x:c>
      <x:c r="N5282" s="11" t="n">
        <x:f>IF(G5282,L5282*AN5282/(1+M5282)^F5282,0)</x:f>
        <x:v>0</x:v>
      </x:c>
      <x:c r="AJ5282" t="n">
        <x:v>0</x:v>
      </x:c>
      <x:c r="AK5282" t="n">
        <x:v>0</x:v>
      </x:c>
      <x:c r="AL5282" t="n">
        <x:v>0</x:v>
      </x:c>
      <x:c r="AM5282" t="n">
        <x:f>CHOOSE('假设'!$B$3,AJ5282,AK5282,AL5282)</x:f>
        <x:v>0</x:v>
      </x:c>
      <x:c r="AN5282" t="n">
        <x:v>1</x:v>
      </x:c>
    </x:row>
    <x:row r="5283" ht="23" customHeight="1">
      <x:c r="A5283" s="11" t="str">
        <x:v>688062.SH</x:v>
      </x:c>
      <x:c r="B5283" s="11" t="str">
        <x:v>半年</x:v>
      </x:c>
      <x:c r="C5283" s="11" t="str">
        <x:v>il11_global</x:v>
      </x:c>
      <x:c r="D5283" s="11" t="str">
        <x:v>2030-12-31</x:v>
      </x:c>
      <x:c r="E5283" s="11" t="str">
        <x:v>USD</x:v>
      </x:c>
      <x:c r="F5283" s="11" t="n">
        <x:v>3.728952772073922</x:v>
      </x:c>
      <x:c r="G5283" s="26" t="b">
        <x:v>1</x:v>
      </x:c>
      <x:c r="H5283" s="16" t="n">
        <x:v>0</x:v>
      </x:c>
      <x:c r="I5283" s="16" t="n">
        <x:v>0</x:v>
      </x:c>
      <x:c r="J5283" s="16" t="n">
        <x:v>0</x:v>
      </x:c>
      <x:c r="K5283" s="11" t="n">
        <x:f>CHOOSE('假设'!$B$3,H5283,I5283,J5283)</x:f>
        <x:v>0</x:v>
      </x:c>
      <x:c r="L5283" s="11" t="n">
        <x:f>K5283*'管线假设'!E1135*'管线假设'!F1135*'管线假设'!G1135*IF(E5283="USD",'管线假设'!I1135,1)-AM5283</x:f>
        <x:v>0</x:v>
      </x:c>
      <x:c r="M5283" s="11" t="n">
        <x:f>'管线假设'!H1135</x:f>
        <x:v>0.14</x:v>
      </x:c>
      <x:c r="N5283" s="11" t="n">
        <x:f>IF(G5283,L5283*AN5283/(1+M5283)^F5283,0)</x:f>
        <x:v>0</x:v>
      </x:c>
      <x:c r="AJ5283" t="n">
        <x:v>0</x:v>
      </x:c>
      <x:c r="AK5283" t="n">
        <x:v>0</x:v>
      </x:c>
      <x:c r="AL5283" t="n">
        <x:v>0</x:v>
      </x:c>
      <x:c r="AM5283" t="n">
        <x:f>CHOOSE('假设'!$B$3,AJ5283,AK5283,AL5283)</x:f>
        <x:v>0</x:v>
      </x:c>
      <x:c r="AN5283" t="n">
        <x:v>1</x:v>
      </x:c>
    </x:row>
    <x:row r="5284" ht="23" customHeight="1">
      <x:c r="A5284" s="11" t="str">
        <x:v>688062.SH</x:v>
      </x:c>
      <x:c r="B5284" s="11" t="str">
        <x:v>半年</x:v>
      </x:c>
      <x:c r="C5284" s="11" t="str">
        <x:v>il11_global</x:v>
      </x:c>
      <x:c r="D5284" s="11" t="str">
        <x:v>2031-12-31</x:v>
      </x:c>
      <x:c r="E5284" s="11" t="str">
        <x:v>USD</x:v>
      </x:c>
      <x:c r="F5284" s="11" t="n">
        <x:v>4.728268309377139</x:v>
      </x:c>
      <x:c r="G5284" s="26" t="b">
        <x:v>1</x:v>
      </x:c>
      <x:c r="H5284" s="16" t="n">
        <x:v>0</x:v>
      </x:c>
      <x:c r="I5284" s="16" t="n">
        <x:v>0</x:v>
      </x:c>
      <x:c r="J5284" s="16" t="n">
        <x:v>0.5833333333333333</x:v>
      </x:c>
      <x:c r="K5284" s="11" t="n">
        <x:f>CHOOSE('假设'!$B$3,H5284,I5284,J5284)</x:f>
        <x:v>0</x:v>
      </x:c>
      <x:c r="L5284" s="11" t="n">
        <x:f>K5284*'管线假设'!E1135*'管线假设'!F1135*'管线假设'!G1135*IF(E5284="USD",'管线假设'!I1135,1)-AM5284</x:f>
        <x:v>0</x:v>
      </x:c>
      <x:c r="M5284" s="11" t="n">
        <x:f>'管线假设'!H1135</x:f>
        <x:v>0.14</x:v>
      </x:c>
      <x:c r="N5284" s="11" t="n">
        <x:f>IF(G5284,L5284*AN5284/(1+M5284)^F5284,0)</x:f>
        <x:v>0</x:v>
      </x:c>
      <x:c r="AJ5284" t="n">
        <x:v>0</x:v>
      </x:c>
      <x:c r="AK5284" t="n">
        <x:v>0</x:v>
      </x:c>
      <x:c r="AL5284" t="n">
        <x:v>0</x:v>
      </x:c>
      <x:c r="AM5284" t="n">
        <x:f>CHOOSE('假设'!$B$3,AJ5284,AK5284,AL5284)</x:f>
        <x:v>0</x:v>
      </x:c>
      <x:c r="AN5284" t="n">
        <x:v>1</x:v>
      </x:c>
    </x:row>
    <x:row r="5285" ht="23" customHeight="1">
      <x:c r="A5285" s="11" t="str">
        <x:v>688062.SH</x:v>
      </x:c>
      <x:c r="B5285" s="11" t="str">
        <x:v>半年</x:v>
      </x:c>
      <x:c r="C5285" s="11" t="str">
        <x:v>il11_global</x:v>
      </x:c>
      <x:c r="D5285" s="11" t="str">
        <x:v>2032-12-31</x:v>
      </x:c>
      <x:c r="E5285" s="11" t="str">
        <x:v>USD</x:v>
      </x:c>
      <x:c r="F5285" s="11" t="n">
        <x:v>5.730321697467488</x:v>
      </x:c>
      <x:c r="G5285" s="26" t="b">
        <x:v>1</x:v>
      </x:c>
      <x:c r="H5285" s="16" t="n">
        <x:v>0</x:v>
      </x:c>
      <x:c r="I5285" s="16" t="n">
        <x:v>0</x:v>
      </x:c>
      <x:c r="J5285" s="16" t="n">
        <x:v>1.1666666666666665</x:v>
      </x:c>
      <x:c r="K5285" s="11" t="n">
        <x:f>CHOOSE('假设'!$B$3,H5285,I5285,J5285)</x:f>
        <x:v>0</x:v>
      </x:c>
      <x:c r="L5285" s="11" t="n">
        <x:f>K5285*'管线假设'!E1135*'管线假设'!F1135*'管线假设'!G1135*IF(E5285="USD",'管线假设'!I1135,1)-AM5285</x:f>
        <x:v>0</x:v>
      </x:c>
      <x:c r="M5285" s="11" t="n">
        <x:f>'管线假设'!H1135</x:f>
        <x:v>0.14</x:v>
      </x:c>
      <x:c r="N5285" s="11" t="n">
        <x:f>IF(G5285,L5285*AN5285/(1+M5285)^F5285,0)</x:f>
        <x:v>0</x:v>
      </x:c>
      <x:c r="AJ5285" t="n">
        <x:v>0</x:v>
      </x:c>
      <x:c r="AK5285" t="n">
        <x:v>0</x:v>
      </x:c>
      <x:c r="AL5285" t="n">
        <x:v>0</x:v>
      </x:c>
      <x:c r="AM5285" t="n">
        <x:f>CHOOSE('假设'!$B$3,AJ5285,AK5285,AL5285)</x:f>
        <x:v>0</x:v>
      </x:c>
      <x:c r="AN5285" t="n">
        <x:v>1</x:v>
      </x:c>
    </x:row>
    <x:row r="5286" ht="23" customHeight="1">
      <x:c r="A5286" s="11" t="str">
        <x:v>688062.SH</x:v>
      </x:c>
      <x:c r="B5286" s="11" t="str">
        <x:v>半年</x:v>
      </x:c>
      <x:c r="C5286" s="11" t="str">
        <x:v>il11_global</x:v>
      </x:c>
      <x:c r="D5286" s="11" t="str">
        <x:v>2033-12-31</x:v>
      </x:c>
      <x:c r="E5286" s="11" t="str">
        <x:v>USD</x:v>
      </x:c>
      <x:c r="F5286" s="11" t="n">
        <x:v>6.729637234770705</x:v>
      </x:c>
      <x:c r="G5286" s="26" t="b">
        <x:v>1</x:v>
      </x:c>
      <x:c r="H5286" s="16" t="n">
        <x:v>0</x:v>
      </x:c>
      <x:c r="I5286" s="16" t="n">
        <x:v>0.3</x:v>
      </x:c>
      <x:c r="J5286" s="16" t="n">
        <x:v>1.75</x:v>
      </x:c>
      <x:c r="K5286" s="11" t="n">
        <x:f>CHOOSE('假设'!$B$3,H5286,I5286,J5286)</x:f>
        <x:v>0.3</x:v>
      </x:c>
      <x:c r="L5286" s="11" t="n">
        <x:f>K5286*'管线假设'!E1135*'管线假设'!F1135*'管线假设'!G1135*IF(E5286="USD",'管线假设'!I1135,1)-AM5286</x:f>
        <x:v>0.017965056000000007</x:v>
      </x:c>
      <x:c r="M5286" s="11" t="n">
        <x:f>'管线假设'!H1135</x:f>
        <x:v>0.14</x:v>
      </x:c>
      <x:c r="N5286" s="11" t="n">
        <x:f>IF(G5286,L5286*AN5286/(1+M5286)^F5286,0)</x:f>
        <x:v>0.007438400686425075</x:v>
      </x:c>
      <x:c r="AJ5286" t="n">
        <x:v>0</x:v>
      </x:c>
      <x:c r="AK5286" t="n">
        <x:v>0</x:v>
      </x:c>
      <x:c r="AL5286" t="n">
        <x:v>0</x:v>
      </x:c>
      <x:c r="AM5286" t="n">
        <x:f>CHOOSE('假设'!$B$3,AJ5286,AK5286,AL5286)</x:f>
        <x:v>0</x:v>
      </x:c>
      <x:c r="AN5286" t="n">
        <x:v>1</x:v>
      </x:c>
    </x:row>
    <x:row r="5287" ht="23" customHeight="1">
      <x:c r="A5287" s="11" t="str">
        <x:v>688062.SH</x:v>
      </x:c>
      <x:c r="B5287" s="11" t="str">
        <x:v>半年</x:v>
      </x:c>
      <x:c r="C5287" s="11" t="str">
        <x:v>il11_global</x:v>
      </x:c>
      <x:c r="D5287" s="11" t="str">
        <x:v>2034-12-31</x:v>
      </x:c>
      <x:c r="E5287" s="11" t="str">
        <x:v>USD</x:v>
      </x:c>
      <x:c r="F5287" s="11" t="n">
        <x:v>7.728952772073922</x:v>
      </x:c>
      <x:c r="G5287" s="26" t="b">
        <x:v>1</x:v>
      </x:c>
      <x:c r="H5287" s="16" t="n">
        <x:v>0</x:v>
      </x:c>
      <x:c r="I5287" s="16" t="n">
        <x:v>0.6</x:v>
      </x:c>
      <x:c r="J5287" s="16" t="n">
        <x:v>2.333333333333333</x:v>
      </x:c>
      <x:c r="K5287" s="11" t="n">
        <x:f>CHOOSE('假设'!$B$3,H5287,I5287,J5287)</x:f>
        <x:v>0.6</x:v>
      </x:c>
      <x:c r="L5287" s="11" t="n">
        <x:f>K5287*'管线假设'!E1135*'管线假设'!F1135*'管线假设'!G1135*IF(E5287="USD",'管线假设'!I1135,1)-AM5287</x:f>
        <x:v>0.035930112000000014</x:v>
      </x:c>
      <x:c r="M5287" s="11" t="n">
        <x:f>'管线假设'!H1135</x:f>
        <x:v>0.14</x:v>
      </x:c>
      <x:c r="N5287" s="11" t="n">
        <x:f>IF(G5287,L5287*AN5287/(1+M5287)^F5287,0)</x:f>
        <x:v>0.013050996178164659</x:v>
      </x:c>
      <x:c r="AJ5287" t="n">
        <x:v>0</x:v>
      </x:c>
      <x:c r="AK5287" t="n">
        <x:v>0</x:v>
      </x:c>
      <x:c r="AL5287" t="n">
        <x:v>0</x:v>
      </x:c>
      <x:c r="AM5287" t="n">
        <x:f>CHOOSE('假设'!$B$3,AJ5287,AK5287,AL5287)</x:f>
        <x:v>0</x:v>
      </x:c>
      <x:c r="AN5287" t="n">
        <x:v>1</x:v>
      </x:c>
    </x:row>
    <x:row r="5288" ht="23" customHeight="1">
      <x:c r="A5288" s="11" t="str">
        <x:v>688062.SH</x:v>
      </x:c>
      <x:c r="B5288" s="11" t="str">
        <x:v>半年</x:v>
      </x:c>
      <x:c r="C5288" s="11" t="str">
        <x:v>il11_global</x:v>
      </x:c>
      <x:c r="D5288" s="11" t="str">
        <x:v>2035-12-31</x:v>
      </x:c>
      <x:c r="E5288" s="11" t="str">
        <x:v>USD</x:v>
      </x:c>
      <x:c r="F5288" s="11" t="n">
        <x:v>8.728268309377139</x:v>
      </x:c>
      <x:c r="G5288" s="26" t="b">
        <x:v>1</x:v>
      </x:c>
      <x:c r="H5288" s="16" t="n">
        <x:v>0</x:v>
      </x:c>
      <x:c r="I5288" s="16" t="n">
        <x:v>0.9</x:v>
      </x:c>
      <x:c r="J5288" s="16" t="n">
        <x:v>2.916666666666667</x:v>
      </x:c>
      <x:c r="K5288" s="11" t="n">
        <x:f>CHOOSE('假设'!$B$3,H5288,I5288,J5288)</x:f>
        <x:v>0.9</x:v>
      </x:c>
      <x:c r="L5288" s="11" t="n">
        <x:f>K5288*'管线假设'!E1135*'管线假设'!F1135*'管线假设'!G1135*IF(E5288="USD",'管线假设'!I1135,1)-AM5288</x:f>
        <x:v>0.05389516800000003</x:v>
      </x:c>
      <x:c r="M5288" s="11" t="n">
        <x:f>'管线假设'!H1135</x:f>
        <x:v>0.14</x:v>
      </x:c>
      <x:c r="N5288" s="11" t="n">
        <x:f>IF(G5288,L5288*AN5288/(1+M5288)^F5288,0)</x:f>
        <x:v>0.017173903546898982</x:v>
      </x:c>
      <x:c r="AJ5288" t="n">
        <x:v>0</x:v>
      </x:c>
      <x:c r="AK5288" t="n">
        <x:v>0</x:v>
      </x:c>
      <x:c r="AL5288" t="n">
        <x:v>0</x:v>
      </x:c>
      <x:c r="AM5288" t="n">
        <x:f>CHOOSE('假设'!$B$3,AJ5288,AK5288,AL5288)</x:f>
        <x:v>0</x:v>
      </x:c>
      <x:c r="AN5288" t="n">
        <x:v>1</x:v>
      </x:c>
    </x:row>
    <x:row r="5289" ht="23" customHeight="1">
      <x:c r="A5289" s="11" t="str">
        <x:v>688062.SH</x:v>
      </x:c>
      <x:c r="B5289" s="11" t="str">
        <x:v>半年</x:v>
      </x:c>
      <x:c r="C5289" s="11" t="str">
        <x:v>il11_global</x:v>
      </x:c>
      <x:c r="D5289" s="11" t="str">
        <x:v>2036-12-31</x:v>
      </x:c>
      <x:c r="E5289" s="11" t="str">
        <x:v>USD</x:v>
      </x:c>
      <x:c r="F5289" s="11" t="n">
        <x:v>9.730321697467488</x:v>
      </x:c>
      <x:c r="G5289" s="26" t="b">
        <x:v>1</x:v>
      </x:c>
      <x:c r="H5289" s="16" t="n">
        <x:v>0.12</x:v>
      </x:c>
      <x:c r="I5289" s="16" t="n">
        <x:v>1.2</x:v>
      </x:c>
      <x:c r="J5289" s="16" t="n">
        <x:v>3.5</x:v>
      </x:c>
      <x:c r="K5289" s="11" t="n">
        <x:f>CHOOSE('假设'!$B$3,H5289,I5289,J5289)</x:f>
        <x:v>1.2</x:v>
      </x:c>
      <x:c r="L5289" s="11" t="n">
        <x:f>K5289*'管线假设'!E1135*'管线假设'!F1135*'管线假设'!G1135*IF(E5289="USD",'管线假设'!I1135,1)-AM5289</x:f>
        <x:v>0.07186022400000003</x:v>
      </x:c>
      <x:c r="M5289" s="11" t="n">
        <x:f>'管线假设'!H1135</x:f>
        <x:v>0.14</x:v>
      </x:c>
      <x:c r="N5289" s="11" t="n">
        <x:f>IF(G5289,L5289*AN5289/(1+M5289)^F5289,0)</x:f>
        <x:v>0.020081033330430757</x:v>
      </x:c>
      <x:c r="AJ5289" t="n">
        <x:v>0</x:v>
      </x:c>
      <x:c r="AK5289" t="n">
        <x:v>0</x:v>
      </x:c>
      <x:c r="AL5289" t="n">
        <x:v>0</x:v>
      </x:c>
      <x:c r="AM5289" t="n">
        <x:f>CHOOSE('假设'!$B$3,AJ5289,AK5289,AL5289)</x:f>
        <x:v>0</x:v>
      </x:c>
      <x:c r="AN5289" t="n">
        <x:v>1</x:v>
      </x:c>
    </x:row>
    <x:row r="5290" ht="23" customHeight="1">
      <x:c r="A5290" s="11" t="str">
        <x:v>688062.SH</x:v>
      </x:c>
      <x:c r="B5290" s="11" t="str">
        <x:v>半年</x:v>
      </x:c>
      <x:c r="C5290" s="11" t="str">
        <x:v>il11_global</x:v>
      </x:c>
      <x:c r="D5290" s="11" t="str">
        <x:v>2037-12-31</x:v>
      </x:c>
      <x:c r="E5290" s="11" t="str">
        <x:v>USD</x:v>
      </x:c>
      <x:c r="F5290" s="11" t="n">
        <x:v>10.729637234770705</x:v>
      </x:c>
      <x:c r="G5290" s="26" t="b">
        <x:v>1</x:v>
      </x:c>
      <x:c r="H5290" s="16" t="n">
        <x:v>0.24</x:v>
      </x:c>
      <x:c r="I5290" s="16" t="n">
        <x:v>1.5</x:v>
      </x:c>
      <x:c r="J5290" s="16" t="n">
        <x:v>3.045</x:v>
      </x:c>
      <x:c r="K5290" s="11" t="n">
        <x:f>CHOOSE('假设'!$B$3,H5290,I5290,J5290)</x:f>
        <x:v>1.5</x:v>
      </x:c>
      <x:c r="L5290" s="11" t="n">
        <x:f>K5290*'管线假设'!E1135*'管线假设'!F1135*'管线假设'!G1135*IF(E5290="USD",'管线假设'!I1135,1)-AM5290</x:f>
        <x:v>0.08982528000000004</x:v>
      </x:c>
      <x:c r="M5290" s="11" t="n">
        <x:f>'管线假设'!H1135</x:f>
        <x:v>0.14</x:v>
      </x:c>
      <x:c r="N5290" s="11" t="n">
        <x:f>IF(G5290,L5290*AN5290/(1+M5290)^F5290,0)</x:f>
        <x:v>0.02202065170804583</x:v>
      </x:c>
      <x:c r="AJ5290" t="n">
        <x:v>0</x:v>
      </x:c>
      <x:c r="AK5290" t="n">
        <x:v>0</x:v>
      </x:c>
      <x:c r="AL5290" t="n">
        <x:v>0</x:v>
      </x:c>
      <x:c r="AM5290" t="n">
        <x:f>CHOOSE('假设'!$B$3,AJ5290,AK5290,AL5290)</x:f>
        <x:v>0</x:v>
      </x:c>
      <x:c r="AN5290" t="n">
        <x:v>1</x:v>
      </x:c>
    </x:row>
    <x:row r="5291" ht="23" customHeight="1">
      <x:c r="A5291" s="11" t="str">
        <x:v>688062.SH</x:v>
      </x:c>
      <x:c r="B5291" s="11" t="str">
        <x:v>半年</x:v>
      </x:c>
      <x:c r="C5291" s="11" t="str">
        <x:v>il11_global</x:v>
      </x:c>
      <x:c r="D5291" s="11" t="str">
        <x:v>2038-12-31</x:v>
      </x:c>
      <x:c r="E5291" s="11" t="str">
        <x:v>USD</x:v>
      </x:c>
      <x:c r="F5291" s="11" t="n">
        <x:v>11.728952772073923</x:v>
      </x:c>
      <x:c r="G5291" s="26" t="b">
        <x:v>1</x:v>
      </x:c>
      <x:c r="H5291" s="16" t="n">
        <x:v>0.36</x:v>
      </x:c>
      <x:c r="I5291" s="16" t="n">
        <x:v>1.8</x:v>
      </x:c>
      <x:c r="J5291" s="16" t="n">
        <x:v>2.59</x:v>
      </x:c>
      <x:c r="K5291" s="11" t="n">
        <x:f>CHOOSE('假设'!$B$3,H5291,I5291,J5291)</x:f>
        <x:v>1.8</x:v>
      </x:c>
      <x:c r="L5291" s="11" t="n">
        <x:f>K5291*'管线假设'!E1135*'管线假设'!F1135*'管线假设'!G1135*IF(E5291="USD",'管线假设'!I1135,1)-AM5291</x:f>
        <x:v>0.10779033600000006</x:v>
      </x:c>
      <x:c r="M5291" s="11" t="n">
        <x:f>'管线假设'!H1135</x:f>
        <x:v>0.14</x:v>
      </x:c>
      <x:c r="N5291" s="11" t="n">
        <x:f>IF(G5291,L5291*AN5291/(1+M5291)^F5291,0)</x:f>
        <x:v>0.023181712311375044</x:v>
      </x:c>
      <x:c r="AJ5291" t="n">
        <x:v>0</x:v>
      </x:c>
      <x:c r="AK5291" t="n">
        <x:v>0</x:v>
      </x:c>
      <x:c r="AL5291" t="n">
        <x:v>0</x:v>
      </x:c>
      <x:c r="AM5291" t="n">
        <x:f>CHOOSE('假设'!$B$3,AJ5291,AK5291,AL5291)</x:f>
        <x:v>0</x:v>
      </x:c>
      <x:c r="AN5291" t="n">
        <x:v>1</x:v>
      </x:c>
    </x:row>
    <x:row r="5292" ht="23" customHeight="1">
      <x:c r="A5292" s="11" t="str">
        <x:v>688062.SH</x:v>
      </x:c>
      <x:c r="B5292" s="11" t="str">
        <x:v>半年</x:v>
      </x:c>
      <x:c r="C5292" s="11" t="str">
        <x:v>il11_global</x:v>
      </x:c>
      <x:c r="D5292" s="11" t="str">
        <x:v>2039-12-31</x:v>
      </x:c>
      <x:c r="E5292" s="11" t="str">
        <x:v>USD</x:v>
      </x:c>
      <x:c r="F5292" s="11" t="n">
        <x:v>12.728268309377139</x:v>
      </x:c>
      <x:c r="G5292" s="26" t="b">
        <x:v>1</x:v>
      </x:c>
      <x:c r="H5292" s="16" t="n">
        <x:v>0.48</x:v>
      </x:c>
      <x:c r="I5292" s="16" t="n">
        <x:v>1.566</x:v>
      </x:c>
      <x:c r="J5292" s="16" t="n">
        <x:v>2.135</x:v>
      </x:c>
      <x:c r="K5292" s="11" t="n">
        <x:f>CHOOSE('假设'!$B$3,H5292,I5292,J5292)</x:f>
        <x:v>1.566</x:v>
      </x:c>
      <x:c r="L5292" s="11" t="n">
        <x:f>K5292*'管线假设'!E1135*'管线假设'!F1135*'管线假设'!G1135*IF(E5292="USD",'管线假设'!I1135,1)-AM5292</x:f>
        <x:v>0.09377759232000005</x:v>
      </x:c>
      <x:c r="M5292" s="11" t="n">
        <x:f>'管线假设'!H1135</x:f>
        <x:v>0.14</x:v>
      </x:c>
      <x:c r="N5292" s="11" t="n">
        <x:f>IF(G5292,L5292*AN5292/(1+M5292)^F5292,0)</x:f>
        <x:v>0.017692893461503684</x:v>
      </x:c>
      <x:c r="AJ5292" t="n">
        <x:v>0</x:v>
      </x:c>
      <x:c r="AK5292" t="n">
        <x:v>0</x:v>
      </x:c>
      <x:c r="AL5292" t="n">
        <x:v>0</x:v>
      </x:c>
      <x:c r="AM5292" t="n">
        <x:f>CHOOSE('假设'!$B$3,AJ5292,AK5292,AL5292)</x:f>
        <x:v>0</x:v>
      </x:c>
      <x:c r="AN5292" t="n">
        <x:v>1</x:v>
      </x:c>
    </x:row>
    <x:row r="5293" ht="23" customHeight="1">
      <x:c r="A5293" s="11" t="str">
        <x:v>688062.SH</x:v>
      </x:c>
      <x:c r="B5293" s="11" t="str">
        <x:v>半年</x:v>
      </x:c>
      <x:c r="C5293" s="11" t="str">
        <x:v>il11_global</x:v>
      </x:c>
      <x:c r="D5293" s="11" t="str">
        <x:v>2040-12-31</x:v>
      </x:c>
      <x:c r="E5293" s="11" t="str">
        <x:v>USD</x:v>
      </x:c>
      <x:c r="F5293" s="11" t="n">
        <x:v>13.730321697467488</x:v>
      </x:c>
      <x:c r="G5293" s="26" t="b">
        <x:v>1</x:v>
      </x:c>
      <x:c r="H5293" s="16" t="n">
        <x:v>0.6</x:v>
      </x:c>
      <x:c r="I5293" s="16" t="n">
        <x:v>1.332</x:v>
      </x:c>
      <x:c r="J5293" s="16" t="n">
        <x:v>1.68</x:v>
      </x:c>
      <x:c r="K5293" s="11" t="n">
        <x:f>CHOOSE('假设'!$B$3,H5293,I5293,J5293)</x:f>
        <x:v>1.332</x:v>
      </x:c>
      <x:c r="L5293" s="11" t="n">
        <x:f>K5293*'管线假设'!E1135*'管线假设'!F1135*'管线假设'!G1135*IF(E5293="USD",'管线假设'!I1135,1)-AM5293</x:f>
        <x:v>0.07976484864000004</x:v>
      </x:c>
      <x:c r="M5293" s="11" t="n">
        <x:f>'管线假设'!H1135</x:f>
        <x:v>0.14</x:v>
      </x:c>
      <x:c r="N5293" s="11" t="n">
        <x:f>IF(G5293,L5293*AN5293/(1+M5293)^F5293,0)</x:f>
        <x:v>0.013197438000419224</x:v>
      </x:c>
      <x:c r="AJ5293" t="n">
        <x:v>0</x:v>
      </x:c>
      <x:c r="AK5293" t="n">
        <x:v>0</x:v>
      </x:c>
      <x:c r="AL5293" t="n">
        <x:v>0</x:v>
      </x:c>
      <x:c r="AM5293" t="n">
        <x:f>CHOOSE('假设'!$B$3,AJ5293,AK5293,AL5293)</x:f>
        <x:v>0</x:v>
      </x:c>
      <x:c r="AN5293" t="n">
        <x:v>1</x:v>
      </x:c>
    </x:row>
    <x:row r="5294" ht="23" customHeight="1">
      <x:c r="A5294" s="11" t="str">
        <x:v>688062.SH</x:v>
      </x:c>
      <x:c r="B5294" s="11" t="str">
        <x:v>半年</x:v>
      </x:c>
      <x:c r="C5294" s="11" t="str">
        <x:v>il11_global</x:v>
      </x:c>
      <x:c r="D5294" s="11" t="str">
        <x:v>2041-12-31</x:v>
      </x:c>
      <x:c r="E5294" s="11" t="str">
        <x:v>USD</x:v>
      </x:c>
      <x:c r="F5294" s="11" t="n">
        <x:v>14.729637234770705</x:v>
      </x:c>
      <x:c r="G5294" s="26" t="b">
        <x:v>1</x:v>
      </x:c>
      <x:c r="H5294" s="16" t="n">
        <x:v>0.522</x:v>
      </x:c>
      <x:c r="I5294" s="16" t="n">
        <x:v>1.098</x:v>
      </x:c>
      <x:c r="J5294" s="16" t="n">
        <x:v>1.2249999999999999</x:v>
      </x:c>
      <x:c r="K5294" s="11" t="n">
        <x:f>CHOOSE('假设'!$B$3,H5294,I5294,J5294)</x:f>
        <x:v>1.098</x:v>
      </x:c>
      <x:c r="L5294" s="11" t="n">
        <x:f>K5294*'管线假设'!E1135*'管线假设'!F1135*'管线假设'!G1135*IF(E5294="USD",'管线假设'!I1135,1)-AM5294</x:f>
        <x:v>0.06575210496000004</x:v>
      </x:c>
      <x:c r="M5294" s="11" t="n">
        <x:f>'管线假设'!H1135</x:f>
        <x:v>0.14</x:v>
      </x:c>
      <x:c r="N5294" s="11" t="n">
        <x:f>IF(G5294,L5294*AN5294/(1+M5294)^F5294,0)</x:f>
        <x:v>0.009543811294097988</x:v>
      </x:c>
      <x:c r="AJ5294" t="n">
        <x:v>0</x:v>
      </x:c>
      <x:c r="AK5294" t="n">
        <x:v>0</x:v>
      </x:c>
      <x:c r="AL5294" t="n">
        <x:v>0</x:v>
      </x:c>
      <x:c r="AM5294" t="n">
        <x:f>CHOOSE('假设'!$B$3,AJ5294,AK5294,AL5294)</x:f>
        <x:v>0</x:v>
      </x:c>
      <x:c r="AN5294" t="n">
        <x:v>1</x:v>
      </x:c>
    </x:row>
    <x:row r="5295" ht="23" customHeight="1">
      <x:c r="A5295" s="11" t="str">
        <x:v>688062.SH</x:v>
      </x:c>
      <x:c r="B5295" s="11" t="str">
        <x:v>半年</x:v>
      </x:c>
      <x:c r="C5295" s="11" t="str">
        <x:v>il11_global</x:v>
      </x:c>
      <x:c r="D5295" s="11" t="str">
        <x:v>2042-12-31</x:v>
      </x:c>
      <x:c r="E5295" s="11" t="str">
        <x:v>USD</x:v>
      </x:c>
      <x:c r="F5295" s="11" t="n">
        <x:v>15.728952772073923</x:v>
      </x:c>
      <x:c r="G5295" s="26" t="b">
        <x:v>1</x:v>
      </x:c>
      <x:c r="H5295" s="16" t="n">
        <x:v>0.444</x:v>
      </x:c>
      <x:c r="I5295" s="16" t="n">
        <x:v>0.864</x:v>
      </x:c>
      <x:c r="J5295" s="16" t="n">
        <x:v>0.7699999999999999</x:v>
      </x:c>
      <x:c r="K5295" s="11" t="n">
        <x:f>CHOOSE('假设'!$B$3,H5295,I5295,J5295)</x:f>
        <x:v>0.864</x:v>
      </x:c>
      <x:c r="L5295" s="11" t="n">
        <x:f>K5295*'管线假设'!E1135*'管线假设'!F1135*'管线假设'!G1135*IF(E5295="USD",'管线假设'!I1135,1)-AM5295</x:f>
        <x:v>0.051739361280000014</x:v>
      </x:c>
      <x:c r="M5295" s="11" t="n">
        <x:f>'管线假设'!H1135</x:f>
        <x:v>0.14</x:v>
      </x:c>
      <x:c r="N5295" s="11" t="n">
        <x:f>IF(G5295,L5295*AN5295/(1+M5295)^F5295,0)</x:f>
        <x:v>0.0065882086345127365</x:v>
      </x:c>
      <x:c r="AJ5295" t="n">
        <x:v>0</x:v>
      </x:c>
      <x:c r="AK5295" t="n">
        <x:v>0</x:v>
      </x:c>
      <x:c r="AL5295" t="n">
        <x:v>0</x:v>
      </x:c>
      <x:c r="AM5295" t="n">
        <x:f>CHOOSE('假设'!$B$3,AJ5295,AK5295,AL5295)</x:f>
        <x:v>0</x:v>
      </x:c>
      <x:c r="AN5295" t="n">
        <x:v>1</x:v>
      </x:c>
    </x:row>
    <x:row r="5296" ht="23" customHeight="1">
      <x:c r="A5296" s="11" t="str">
        <x:v>688062.SH</x:v>
      </x:c>
      <x:c r="B5296" s="11" t="str">
        <x:v>半年</x:v>
      </x:c>
      <x:c r="C5296" s="11" t="str">
        <x:v>il11_global</x:v>
      </x:c>
      <x:c r="D5296" s="11" t="str">
        <x:v>2043-12-31</x:v>
      </x:c>
      <x:c r="E5296" s="11" t="str">
        <x:v>USD</x:v>
      </x:c>
      <x:c r="F5296" s="11" t="n">
        <x:v>16.72826830937714</x:v>
      </x:c>
      <x:c r="G5296" s="26" t="b">
        <x:v>1</x:v>
      </x:c>
      <x:c r="H5296" s="16" t="n">
        <x:v>0.366</x:v>
      </x:c>
      <x:c r="I5296" s="16" t="n">
        <x:v>0.63</x:v>
      </x:c>
      <x:c r="J5296" s="16" t="n">
        <x:v>0.3149999999999999</x:v>
      </x:c>
      <x:c r="K5296" s="11" t="n">
        <x:f>CHOOSE('假设'!$B$3,H5296,I5296,J5296)</x:f>
        <x:v>0.63</x:v>
      </x:c>
      <x:c r="L5296" s="11" t="n">
        <x:f>K5296*'管线假设'!E1135*'管线假设'!F1135*'管线假设'!G1135*IF(E5296="USD",'管线假设'!I1135,1)-AM5296</x:f>
        <x:v>0.03772661760000001</x:v>
      </x:c>
      <x:c r="M5296" s="11" t="n">
        <x:f>'管线假设'!H1135</x:f>
        <x:v>0.14</x:v>
      </x:c>
      <x:c r="N5296" s="11" t="n">
        <x:f>IF(G5296,L5296*AN5296/(1+M5296)^F5296,0)</x:f>
        <x:v>0.00421432717684932</x:v>
      </x:c>
      <x:c r="AJ5296" t="n">
        <x:v>0</x:v>
      </x:c>
      <x:c r="AK5296" t="n">
        <x:v>0</x:v>
      </x:c>
      <x:c r="AL5296" t="n">
        <x:v>0</x:v>
      </x:c>
      <x:c r="AM5296" t="n">
        <x:f>CHOOSE('假设'!$B$3,AJ5296,AK5296,AL5296)</x:f>
        <x:v>0</x:v>
      </x:c>
      <x:c r="AN5296" t="n">
        <x:v>1</x:v>
      </x:c>
    </x:row>
    <x:row r="5297" ht="23" customHeight="1">
      <x:c r="A5297" s="11" t="str">
        <x:v>688062.SH</x:v>
      </x:c>
      <x:c r="B5297" s="11" t="str">
        <x:v>半年</x:v>
      </x:c>
      <x:c r="C5297" s="11" t="str">
        <x:v>il11_global</x:v>
      </x:c>
      <x:c r="D5297" s="11" t="str">
        <x:v>2044-12-31</x:v>
      </x:c>
      <x:c r="E5297" s="11" t="str">
        <x:v>USD</x:v>
      </x:c>
      <x:c r="F5297" s="11" t="n">
        <x:v>17.730321697467488</x:v>
      </x:c>
      <x:c r="G5297" s="26" t="b">
        <x:v>1</x:v>
      </x:c>
      <x:c r="H5297" s="16" t="n">
        <x:v>0.288</x:v>
      </x:c>
      <x:c r="I5297" s="16" t="n">
        <x:v>0.39599999999999996</x:v>
      </x:c>
      <x:c r="J5297" s="16" t="n">
        <x:v>0</x:v>
      </x:c>
      <x:c r="K5297" s="11" t="n">
        <x:f>CHOOSE('假设'!$B$3,H5297,I5297,J5297)</x:f>
        <x:v>0.39599999999999996</x:v>
      </x:c>
      <x:c r="L5297" s="11" t="n">
        <x:f>K5297*'管线假设'!E1135*'管线假设'!F1135*'管线假设'!G1135*IF(E5297="USD",'管线假设'!I1135,1)-AM5297</x:f>
        <x:v>0.02371387392000001</x:v>
      </x:c>
      <x:c r="M5297" s="11" t="n">
        <x:f>'管线假设'!H1135</x:f>
        <x:v>0.14</x:v>
      </x:c>
      <x:c r="N5297" s="11" t="n">
        <x:f>IF(G5297,L5297*AN5297/(1+M5297)^F5297,0)</x:f>
        <x:v>0.0023230640613650004</x:v>
      </x:c>
      <x:c r="AJ5297" t="n">
        <x:v>0</x:v>
      </x:c>
      <x:c r="AK5297" t="n">
        <x:v>0</x:v>
      </x:c>
      <x:c r="AL5297" t="n">
        <x:v>0</x:v>
      </x:c>
      <x:c r="AM5297" t="n">
        <x:f>CHOOSE('假设'!$B$3,AJ5297,AK5297,AL5297)</x:f>
        <x:v>0</x:v>
      </x:c>
      <x:c r="AN5297" t="n">
        <x:v>1</x:v>
      </x:c>
    </x:row>
    <x:row r="5298" ht="23" customHeight="1">
      <x:c r="A5298" s="11" t="str">
        <x:v>688062.SH</x:v>
      </x:c>
      <x:c r="B5298" s="11" t="str">
        <x:v>半年</x:v>
      </x:c>
      <x:c r="C5298" s="11" t="str">
        <x:v>il11_global</x:v>
      </x:c>
      <x:c r="D5298" s="11" t="str">
        <x:v>2045-12-31</x:v>
      </x:c>
      <x:c r="E5298" s="11" t="str">
        <x:v>USD</x:v>
      </x:c>
      <x:c r="F5298" s="11" t="n">
        <x:v>18.729637234770706</x:v>
      </x:c>
      <x:c r="G5298" s="26" t="b">
        <x:v>1</x:v>
      </x:c>
      <x:c r="H5298" s="16" t="n">
        <x:v>0.21</x:v>
      </x:c>
      <x:c r="I5298" s="16" t="n">
        <x:v>0.16199999999999995</x:v>
      </x:c>
      <x:c r="J5298" s="16" t="n">
        <x:v>0</x:v>
      </x:c>
      <x:c r="K5298" s="11" t="n">
        <x:f>CHOOSE('假设'!$B$3,H5298,I5298,J5298)</x:f>
        <x:v>0.16199999999999995</x:v>
      </x:c>
      <x:c r="L5298" s="11" t="n">
        <x:f>K5298*'管线假设'!E1135*'管线假设'!F1135*'管线假设'!G1135*IF(E5298="USD",'管线假设'!I1135,1)-AM5298</x:f>
        <x:v>0.00970113024</x:v>
      </x:c>
      <x:c r="M5298" s="11" t="n">
        <x:f>'管线假设'!H1135</x:f>
        <x:v>0.14</x:v>
      </x:c>
      <x:c r="N5298" s="11" t="n">
        <x:f>IF(G5298,L5298*AN5298/(1+M5298)^F5298,0)</x:f>
        <x:v>0.0008337101957967952</x:v>
      </x:c>
      <x:c r="AJ5298" t="n">
        <x:v>0</x:v>
      </x:c>
      <x:c r="AK5298" t="n">
        <x:v>0</x:v>
      </x:c>
      <x:c r="AL5298" t="n">
        <x:v>0</x:v>
      </x:c>
      <x:c r="AM5298" t="n">
        <x:f>CHOOSE('假设'!$B$3,AJ5298,AK5298,AL5298)</x:f>
        <x:v>0</x:v>
      </x:c>
      <x:c r="AN5298" t="n">
        <x:v>1</x:v>
      </x:c>
    </x:row>
    <x:row r="5299" ht="23" customHeight="1">
      <x:c r="A5299" s="11" t="str">
        <x:v>688062.SH</x:v>
      </x:c>
      <x:c r="B5299" s="11" t="str">
        <x:v>半年</x:v>
      </x:c>
      <x:c r="C5299" s="11" t="str">
        <x:v>il11_cn</x:v>
      </x:c>
      <x:c r="D5299" s="11" t="str">
        <x:v>2027-12-31</x:v>
      </x:c>
      <x:c r="E5299" s="11" t="str">
        <x:v>CNY</x:v>
      </x:c>
      <x:c r="F5299" s="11" t="n">
        <x:v>0.7282683093771389</x:v>
      </x:c>
      <x:c r="G5299" s="26" t="b">
        <x:v>1</x:v>
      </x:c>
      <x:c r="H5299" s="16" t="n">
        <x:v>0</x:v>
      </x:c>
      <x:c r="I5299" s="16" t="n">
        <x:v>0</x:v>
      </x:c>
      <x:c r="J5299" s="16" t="n">
        <x:v>0</x:v>
      </x:c>
      <x:c r="K5299" s="11" t="n">
        <x:f>CHOOSE('假设'!$B$3,H5299,I5299,J5299)</x:f>
        <x:v>0</x:v>
      </x:c>
      <x:c r="L5299" s="11" t="n">
        <x:f>K5299*'管线假设'!E1139*'管线假设'!F1139*'管线假设'!G1139*IF(E5299="USD",'管线假设'!I1139,1)-AM5299</x:f>
        <x:v>0</x:v>
      </x:c>
      <x:c r="M5299" s="11" t="n">
        <x:f>'管线假设'!H1139</x:f>
        <x:v>0.14</x:v>
      </x:c>
      <x:c r="N5299" s="11" t="n">
        <x:f>IF(G5299,L5299*AN5299/(1+M5299)^F5299,0)</x:f>
        <x:v>0</x:v>
      </x:c>
      <x:c r="AJ5299" t="n">
        <x:v>0</x:v>
      </x:c>
      <x:c r="AK5299" t="n">
        <x:v>0</x:v>
      </x:c>
      <x:c r="AL5299" t="n">
        <x:v>0</x:v>
      </x:c>
      <x:c r="AM5299" t="n">
        <x:f>CHOOSE('假设'!$B$3,AJ5299,AK5299,AL5299)</x:f>
        <x:v>0</x:v>
      </x:c>
      <x:c r="AN5299" t="n">
        <x:v>1</x:v>
      </x:c>
    </x:row>
    <x:row r="5300" ht="23" customHeight="1">
      <x:c r="A5300" s="11" t="str">
        <x:v>688062.SH</x:v>
      </x:c>
      <x:c r="B5300" s="11" t="str">
        <x:v>半年</x:v>
      </x:c>
      <x:c r="C5300" s="11" t="str">
        <x:v>il11_cn</x:v>
      </x:c>
      <x:c r="D5300" s="11" t="str">
        <x:v>2028-12-31</x:v>
      </x:c>
      <x:c r="E5300" s="11" t="str">
        <x:v>CNY</x:v>
      </x:c>
      <x:c r="F5300" s="11" t="n">
        <x:v>1.730321697467488</x:v>
      </x:c>
      <x:c r="G5300" s="26" t="b">
        <x:v>1</x:v>
      </x:c>
      <x:c r="H5300" s="16" t="n">
        <x:v>0</x:v>
      </x:c>
      <x:c r="I5300" s="16" t="n">
        <x:v>0</x:v>
      </x:c>
      <x:c r="J5300" s="16" t="n">
        <x:v>0</x:v>
      </x:c>
      <x:c r="K5300" s="11" t="n">
        <x:f>CHOOSE('假设'!$B$3,H5300,I5300,J5300)</x:f>
        <x:v>0</x:v>
      </x:c>
      <x:c r="L5300" s="11" t="n">
        <x:f>K5300*'管线假设'!E1139*'管线假设'!F1139*'管线假设'!G1139*IF(E5300="USD",'管线假设'!I1139,1)-AM5300</x:f>
        <x:v>0</x:v>
      </x:c>
      <x:c r="M5300" s="11" t="n">
        <x:f>'管线假设'!H1139</x:f>
        <x:v>0.14</x:v>
      </x:c>
      <x:c r="N5300" s="11" t="n">
        <x:f>IF(G5300,L5300*AN5300/(1+M5300)^F5300,0)</x:f>
        <x:v>0</x:v>
      </x:c>
      <x:c r="AJ5300" t="n">
        <x:v>0</x:v>
      </x:c>
      <x:c r="AK5300" t="n">
        <x:v>0</x:v>
      </x:c>
      <x:c r="AL5300" t="n">
        <x:v>0</x:v>
      </x:c>
      <x:c r="AM5300" t="n">
        <x:f>CHOOSE('假设'!$B$3,AJ5300,AK5300,AL5300)</x:f>
        <x:v>0</x:v>
      </x:c>
      <x:c r="AN5300" t="n">
        <x:v>1</x:v>
      </x:c>
    </x:row>
    <x:row r="5301" ht="23" customHeight="1">
      <x:c r="A5301" s="11" t="str">
        <x:v>688062.SH</x:v>
      </x:c>
      <x:c r="B5301" s="11" t="str">
        <x:v>半年</x:v>
      </x:c>
      <x:c r="C5301" s="11" t="str">
        <x:v>il11_cn</x:v>
      </x:c>
      <x:c r="D5301" s="11" t="str">
        <x:v>2029-12-31</x:v>
      </x:c>
      <x:c r="E5301" s="11" t="str">
        <x:v>CNY</x:v>
      </x:c>
      <x:c r="F5301" s="11" t="n">
        <x:v>2.729637234770705</x:v>
      </x:c>
      <x:c r="G5301" s="26" t="b">
        <x:v>1</x:v>
      </x:c>
      <x:c r="H5301" s="16" t="n">
        <x:v>0</x:v>
      </x:c>
      <x:c r="I5301" s="16" t="n">
        <x:v>0</x:v>
      </x:c>
      <x:c r="J5301" s="16" t="n">
        <x:v>0</x:v>
      </x:c>
      <x:c r="K5301" s="11" t="n">
        <x:f>CHOOSE('假设'!$B$3,H5301,I5301,J5301)</x:f>
        <x:v>0</x:v>
      </x:c>
      <x:c r="L5301" s="11" t="n">
        <x:f>K5301*'管线假设'!E1139*'管线假设'!F1139*'管线假设'!G1139*IF(E5301="USD",'管线假设'!I1139,1)-AM5301</x:f>
        <x:v>0</x:v>
      </x:c>
      <x:c r="M5301" s="11" t="n">
        <x:f>'管线假设'!H1139</x:f>
        <x:v>0.14</x:v>
      </x:c>
      <x:c r="N5301" s="11" t="n">
        <x:f>IF(G5301,L5301*AN5301/(1+M5301)^F5301,0)</x:f>
        <x:v>0</x:v>
      </x:c>
      <x:c r="AJ5301" t="n">
        <x:v>0</x:v>
      </x:c>
      <x:c r="AK5301" t="n">
        <x:v>0</x:v>
      </x:c>
      <x:c r="AL5301" t="n">
        <x:v>0</x:v>
      </x:c>
      <x:c r="AM5301" t="n">
        <x:f>CHOOSE('假设'!$B$3,AJ5301,AK5301,AL5301)</x:f>
        <x:v>0</x:v>
      </x:c>
      <x:c r="AN5301" t="n">
        <x:v>1</x:v>
      </x:c>
    </x:row>
    <x:row r="5302" ht="23" customHeight="1">
      <x:c r="A5302" s="11" t="str">
        <x:v>688062.SH</x:v>
      </x:c>
      <x:c r="B5302" s="11" t="str">
        <x:v>半年</x:v>
      </x:c>
      <x:c r="C5302" s="11" t="str">
        <x:v>il11_cn</x:v>
      </x:c>
      <x:c r="D5302" s="11" t="str">
        <x:v>2030-12-31</x:v>
      </x:c>
      <x:c r="E5302" s="11" t="str">
        <x:v>CNY</x:v>
      </x:c>
      <x:c r="F5302" s="11" t="n">
        <x:v>3.728952772073922</x:v>
      </x:c>
      <x:c r="G5302" s="26" t="b">
        <x:v>1</x:v>
      </x:c>
      <x:c r="H5302" s="16" t="n">
        <x:v>0</x:v>
      </x:c>
      <x:c r="I5302" s="16" t="n">
        <x:v>0</x:v>
      </x:c>
      <x:c r="J5302" s="16" t="n">
        <x:v>0.25</x:v>
      </x:c>
      <x:c r="K5302" s="11" t="n">
        <x:f>CHOOSE('假设'!$B$3,H5302,I5302,J5302)</x:f>
        <x:v>0</x:v>
      </x:c>
      <x:c r="L5302" s="11" t="n">
        <x:f>K5302*'管线假设'!E1139*'管线假设'!F1139*'管线假设'!G1139*IF(E5302="USD",'管线假设'!I1139,1)-AM5302</x:f>
        <x:v>0</x:v>
      </x:c>
      <x:c r="M5302" s="11" t="n">
        <x:f>'管线假设'!H1139</x:f>
        <x:v>0.14</x:v>
      </x:c>
      <x:c r="N5302" s="11" t="n">
        <x:f>IF(G5302,L5302*AN5302/(1+M5302)^F5302,0)</x:f>
        <x:v>0</x:v>
      </x:c>
      <x:c r="AJ5302" t="n">
        <x:v>0</x:v>
      </x:c>
      <x:c r="AK5302" t="n">
        <x:v>0</x:v>
      </x:c>
      <x:c r="AL5302" t="n">
        <x:v>0</x:v>
      </x:c>
      <x:c r="AM5302" t="n">
        <x:f>CHOOSE('假设'!$B$3,AJ5302,AK5302,AL5302)</x:f>
        <x:v>0</x:v>
      </x:c>
      <x:c r="AN5302" t="n">
        <x:v>1</x:v>
      </x:c>
    </x:row>
    <x:row r="5303" ht="23" customHeight="1">
      <x:c r="A5303" s="11" t="str">
        <x:v>688062.SH</x:v>
      </x:c>
      <x:c r="B5303" s="11" t="str">
        <x:v>半年</x:v>
      </x:c>
      <x:c r="C5303" s="11" t="str">
        <x:v>il11_cn</x:v>
      </x:c>
      <x:c r="D5303" s="11" t="str">
        <x:v>2031-12-31</x:v>
      </x:c>
      <x:c r="E5303" s="11" t="str">
        <x:v>CNY</x:v>
      </x:c>
      <x:c r="F5303" s="11" t="n">
        <x:v>4.728268309377139</x:v>
      </x:c>
      <x:c r="G5303" s="26" t="b">
        <x:v>1</x:v>
      </x:c>
      <x:c r="H5303" s="16" t="n">
        <x:v>0</x:v>
      </x:c>
      <x:c r="I5303" s="16" t="n">
        <x:v>0</x:v>
      </x:c>
      <x:c r="J5303" s="16" t="n">
        <x:v>0.5</x:v>
      </x:c>
      <x:c r="K5303" s="11" t="n">
        <x:f>CHOOSE('假设'!$B$3,H5303,I5303,J5303)</x:f>
        <x:v>0</x:v>
      </x:c>
      <x:c r="L5303" s="11" t="n">
        <x:f>K5303*'管线假设'!E1139*'管线假设'!F1139*'管线假设'!G1139*IF(E5303="USD",'管线假设'!I1139,1)-AM5303</x:f>
        <x:v>0</x:v>
      </x:c>
      <x:c r="M5303" s="11" t="n">
        <x:f>'管线假设'!H1139</x:f>
        <x:v>0.14</x:v>
      </x:c>
      <x:c r="N5303" s="11" t="n">
        <x:f>IF(G5303,L5303*AN5303/(1+M5303)^F5303,0)</x:f>
        <x:v>0</x:v>
      </x:c>
      <x:c r="AJ5303" t="n">
        <x:v>0</x:v>
      </x:c>
      <x:c r="AK5303" t="n">
        <x:v>0</x:v>
      </x:c>
      <x:c r="AL5303" t="n">
        <x:v>0</x:v>
      </x:c>
      <x:c r="AM5303" t="n">
        <x:f>CHOOSE('假设'!$B$3,AJ5303,AK5303,AL5303)</x:f>
        <x:v>0</x:v>
      </x:c>
      <x:c r="AN5303" t="n">
        <x:v>1</x:v>
      </x:c>
    </x:row>
    <x:row r="5304" ht="23" customHeight="1">
      <x:c r="A5304" s="11" t="str">
        <x:v>688062.SH</x:v>
      </x:c>
      <x:c r="B5304" s="11" t="str">
        <x:v>半年</x:v>
      </x:c>
      <x:c r="C5304" s="11" t="str">
        <x:v>il11_cn</x:v>
      </x:c>
      <x:c r="D5304" s="11" t="str">
        <x:v>2032-12-31</x:v>
      </x:c>
      <x:c r="E5304" s="11" t="str">
        <x:v>CNY</x:v>
      </x:c>
      <x:c r="F5304" s="11" t="n">
        <x:v>5.730321697467488</x:v>
      </x:c>
      <x:c r="G5304" s="26" t="b">
        <x:v>1</x:v>
      </x:c>
      <x:c r="H5304" s="16" t="n">
        <x:v>0</x:v>
      </x:c>
      <x:c r="I5304" s="16" t="n">
        <x:v>0.13333333333333333</x:v>
      </x:c>
      <x:c r="J5304" s="16" t="n">
        <x:v>0.75</x:v>
      </x:c>
      <x:c r="K5304" s="11" t="n">
        <x:f>CHOOSE('假设'!$B$3,H5304,I5304,J5304)</x:f>
        <x:v>0.13333333333333333</x:v>
      </x:c>
      <x:c r="L5304" s="11" t="n">
        <x:f>K5304*'管线假设'!E1139*'管线假设'!F1139*'管线假设'!G1139*IF(E5304="USD",'管线假设'!I1139,1)-AM5304</x:f>
        <x:v>0.005504000000000002</x:v>
      </x:c>
      <x:c r="M5304" s="11" t="n">
        <x:f>'管线假设'!H1139</x:f>
        <x:v>0.14</x:v>
      </x:c>
      <x:c r="N5304" s="11" t="n">
        <x:f>IF(G5304,L5304*AN5304/(1+M5304)^F5304,0)</x:f>
        <x:v>0.0025977378421208393</x:v>
      </x:c>
      <x:c r="AJ5304" t="n">
        <x:v>0</x:v>
      </x:c>
      <x:c r="AK5304" t="n">
        <x:v>0</x:v>
      </x:c>
      <x:c r="AL5304" t="n">
        <x:v>0</x:v>
      </x:c>
      <x:c r="AM5304" t="n">
        <x:f>CHOOSE('假设'!$B$3,AJ5304,AK5304,AL5304)</x:f>
        <x:v>0</x:v>
      </x:c>
      <x:c r="AN5304" t="n">
        <x:v>1</x:v>
      </x:c>
    </x:row>
    <x:row r="5305" ht="23" customHeight="1">
      <x:c r="A5305" s="11" t="str">
        <x:v>688062.SH</x:v>
      </x:c>
      <x:c r="B5305" s="11" t="str">
        <x:v>半年</x:v>
      </x:c>
      <x:c r="C5305" s="11" t="str">
        <x:v>il11_cn</x:v>
      </x:c>
      <x:c r="D5305" s="11" t="str">
        <x:v>2033-12-31</x:v>
      </x:c>
      <x:c r="E5305" s="11" t="str">
        <x:v>CNY</x:v>
      </x:c>
      <x:c r="F5305" s="11" t="n">
        <x:v>6.729637234770705</x:v>
      </x:c>
      <x:c r="G5305" s="26" t="b">
        <x:v>1</x:v>
      </x:c>
      <x:c r="H5305" s="16" t="n">
        <x:v>0</x:v>
      </x:c>
      <x:c r="I5305" s="16" t="n">
        <x:v>0.26666666666666666</x:v>
      </x:c>
      <x:c r="J5305" s="16" t="n">
        <x:v>1</x:v>
      </x:c>
      <x:c r="K5305" s="11" t="n">
        <x:f>CHOOSE('假设'!$B$3,H5305,I5305,J5305)</x:f>
        <x:v>0.26666666666666666</x:v>
      </x:c>
      <x:c r="L5305" s="11" t="n">
        <x:f>K5305*'管线假设'!E1139*'管线假设'!F1139*'管线假设'!G1139*IF(E5305="USD",'管线假设'!I1139,1)-AM5305</x:f>
        <x:v>0.011008000000000004</x:v>
      </x:c>
      <x:c r="M5305" s="11" t="n">
        <x:f>'管线假设'!H1139</x:f>
        <x:v>0.14</x:v>
      </x:c>
      <x:c r="N5305" s="11" t="n">
        <x:f>IF(G5305,L5305*AN5305/(1+M5305)^F5305,0)</x:f>
        <x:v>0.004557843557858501</x:v>
      </x:c>
      <x:c r="AJ5305" t="n">
        <x:v>0</x:v>
      </x:c>
      <x:c r="AK5305" t="n">
        <x:v>0</x:v>
      </x:c>
      <x:c r="AL5305" t="n">
        <x:v>0</x:v>
      </x:c>
      <x:c r="AM5305" t="n">
        <x:f>CHOOSE('假设'!$B$3,AJ5305,AK5305,AL5305)</x:f>
        <x:v>0</x:v>
      </x:c>
      <x:c r="AN5305" t="n">
        <x:v>1</x:v>
      </x:c>
    </x:row>
    <x:row r="5306" ht="23" customHeight="1">
      <x:c r="A5306" s="11" t="str">
        <x:v>688062.SH</x:v>
      </x:c>
      <x:c r="B5306" s="11" t="str">
        <x:v>半年</x:v>
      </x:c>
      <x:c r="C5306" s="11" t="str">
        <x:v>il11_cn</x:v>
      </x:c>
      <x:c r="D5306" s="11" t="str">
        <x:v>2034-12-31</x:v>
      </x:c>
      <x:c r="E5306" s="11" t="str">
        <x:v>CNY</x:v>
      </x:c>
      <x:c r="F5306" s="11" t="n">
        <x:v>7.728952772073922</x:v>
      </x:c>
      <x:c r="G5306" s="26" t="b">
        <x:v>1</x:v>
      </x:c>
      <x:c r="H5306" s="16" t="n">
        <x:v>0</x:v>
      </x:c>
      <x:c r="I5306" s="16" t="n">
        <x:v>0.4</x:v>
      </x:c>
      <x:c r="J5306" s="16" t="n">
        <x:v>1.25</x:v>
      </x:c>
      <x:c r="K5306" s="11" t="n">
        <x:f>CHOOSE('假设'!$B$3,H5306,I5306,J5306)</x:f>
        <x:v>0.4</x:v>
      </x:c>
      <x:c r="L5306" s="11" t="n">
        <x:f>K5306*'管线假设'!E1139*'管线假设'!F1139*'管线假设'!G1139*IF(E5306="USD",'管线假设'!I1139,1)-AM5306</x:f>
        <x:v>0.016512000000000006</x:v>
      </x:c>
      <x:c r="M5306" s="11" t="n">
        <x:f>'管线假设'!H1139</x:f>
        <x:v>0.14</x:v>
      </x:c>
      <x:c r="N5306" s="11" t="n">
        <x:f>IF(G5306,L5306*AN5306/(1+M5306)^F5306,0)</x:f>
        <x:v>0.0059977004495242</x:v>
      </x:c>
      <x:c r="AJ5306" t="n">
        <x:v>0</x:v>
      </x:c>
      <x:c r="AK5306" t="n">
        <x:v>0</x:v>
      </x:c>
      <x:c r="AL5306" t="n">
        <x:v>0</x:v>
      </x:c>
      <x:c r="AM5306" t="n">
        <x:f>CHOOSE('假设'!$B$3,AJ5306,AK5306,AL5306)</x:f>
        <x:v>0</x:v>
      </x:c>
      <x:c r="AN5306" t="n">
        <x:v>1</x:v>
      </x:c>
    </x:row>
    <x:row r="5307" ht="23" customHeight="1">
      <x:c r="A5307" s="11" t="str">
        <x:v>688062.SH</x:v>
      </x:c>
      <x:c r="B5307" s="11" t="str">
        <x:v>半年</x:v>
      </x:c>
      <x:c r="C5307" s="11" t="str">
        <x:v>il11_cn</x:v>
      </x:c>
      <x:c r="D5307" s="11" t="str">
        <x:v>2035-12-31</x:v>
      </x:c>
      <x:c r="E5307" s="11" t="str">
        <x:v>CNY</x:v>
      </x:c>
      <x:c r="F5307" s="11" t="n">
        <x:v>8.728268309377139</x:v>
      </x:c>
      <x:c r="G5307" s="26" t="b">
        <x:v>1</x:v>
      </x:c>
      <x:c r="H5307" s="16" t="n">
        <x:v>0.06</x:v>
      </x:c>
      <x:c r="I5307" s="16" t="n">
        <x:v>0.5333333333333333</x:v>
      </x:c>
      <x:c r="J5307" s="16" t="n">
        <x:v>1.5</x:v>
      </x:c>
      <x:c r="K5307" s="11" t="n">
        <x:f>CHOOSE('假设'!$B$3,H5307,I5307,J5307)</x:f>
        <x:v>0.5333333333333333</x:v>
      </x:c>
      <x:c r="L5307" s="11" t="n">
        <x:f>K5307*'管线假设'!E1139*'管线假设'!F1139*'管线假设'!G1139*IF(E5307="USD",'管线假设'!I1139,1)-AM5307</x:f>
        <x:v>0.022016000000000008</x:v>
      </x:c>
      <x:c r="M5307" s="11" t="n">
        <x:f>'管线假设'!H1139</x:f>
        <x:v>0.14</x:v>
      </x:c>
      <x:c r="N5307" s="11" t="n">
        <x:f>IF(G5307,L5307*AN5307/(1+M5307)^F5307,0)</x:f>
        <x:v>0.007015483475040433</x:v>
      </x:c>
      <x:c r="AJ5307" t="n">
        <x:v>0</x:v>
      </x:c>
      <x:c r="AK5307" t="n">
        <x:v>0</x:v>
      </x:c>
      <x:c r="AL5307" t="n">
        <x:v>0</x:v>
      </x:c>
      <x:c r="AM5307" t="n">
        <x:f>CHOOSE('假设'!$B$3,AJ5307,AK5307,AL5307)</x:f>
        <x:v>0</x:v>
      </x:c>
      <x:c r="AN5307" t="n">
        <x:v>1</x:v>
      </x:c>
    </x:row>
    <x:row r="5308" ht="23" customHeight="1">
      <x:c r="A5308" s="11" t="str">
        <x:v>688062.SH</x:v>
      </x:c>
      <x:c r="B5308" s="11" t="str">
        <x:v>半年</x:v>
      </x:c>
      <x:c r="C5308" s="11" t="str">
        <x:v>il11_cn</x:v>
      </x:c>
      <x:c r="D5308" s="11" t="str">
        <x:v>2036-12-31</x:v>
      </x:c>
      <x:c r="E5308" s="11" t="str">
        <x:v>CNY</x:v>
      </x:c>
      <x:c r="F5308" s="11" t="n">
        <x:v>9.730321697467488</x:v>
      </x:c>
      <x:c r="G5308" s="26" t="b">
        <x:v>1</x:v>
      </x:c>
      <x:c r="H5308" s="16" t="n">
        <x:v>0.12</x:v>
      </x:c>
      <x:c r="I5308" s="16" t="n">
        <x:v>0.6666666666666667</x:v>
      </x:c>
      <x:c r="J5308" s="16" t="n">
        <x:v>1.305</x:v>
      </x:c>
      <x:c r="K5308" s="11" t="n">
        <x:f>CHOOSE('假设'!$B$3,H5308,I5308,J5308)</x:f>
        <x:v>0.6666666666666667</x:v>
      </x:c>
      <x:c r="L5308" s="11" t="n">
        <x:f>K5308*'管线假设'!E1139*'管线假设'!F1139*'管线假设'!G1139*IF(E5308="USD",'管线假设'!I1139,1)-AM5308</x:f>
        <x:v>0.027520000000000013</x:v>
      </x:c>
      <x:c r="M5308" s="11" t="n">
        <x:f>'管线假设'!H1139</x:f>
        <x:v>0.14</x:v>
      </x:c>
      <x:c r="N5308" s="11" t="n">
        <x:f>IF(G5308,L5308*AN5308/(1+M5308)^F5308,0)</x:f>
        <x:v>0.007690346710489721</x:v>
      </x:c>
      <x:c r="AJ5308" t="n">
        <x:v>0</x:v>
      </x:c>
      <x:c r="AK5308" t="n">
        <x:v>0</x:v>
      </x:c>
      <x:c r="AL5308" t="n">
        <x:v>0</x:v>
      </x:c>
      <x:c r="AM5308" t="n">
        <x:f>CHOOSE('假设'!$B$3,AJ5308,AK5308,AL5308)</x:f>
        <x:v>0</x:v>
      </x:c>
      <x:c r="AN5308" t="n">
        <x:v>1</x:v>
      </x:c>
    </x:row>
    <x:row r="5309" ht="23" customHeight="1">
      <x:c r="A5309" s="11" t="str">
        <x:v>688062.SH</x:v>
      </x:c>
      <x:c r="B5309" s="11" t="str">
        <x:v>半年</x:v>
      </x:c>
      <x:c r="C5309" s="11" t="str">
        <x:v>il11_cn</x:v>
      </x:c>
      <x:c r="D5309" s="11" t="str">
        <x:v>2037-12-31</x:v>
      </x:c>
      <x:c r="E5309" s="11" t="str">
        <x:v>CNY</x:v>
      </x:c>
      <x:c r="F5309" s="11" t="n">
        <x:v>10.729637234770705</x:v>
      </x:c>
      <x:c r="G5309" s="26" t="b">
        <x:v>1</x:v>
      </x:c>
      <x:c r="H5309" s="16" t="n">
        <x:v>0.18</x:v>
      </x:c>
      <x:c r="I5309" s="16" t="n">
        <x:v>0.8</x:v>
      </x:c>
      <x:c r="J5309" s="16" t="n">
        <x:v>1.1099999999999999</x:v>
      </x:c>
      <x:c r="K5309" s="11" t="n">
        <x:f>CHOOSE('假设'!$B$3,H5309,I5309,J5309)</x:f>
        <x:v>0.8</x:v>
      </x:c>
      <x:c r="L5309" s="11" t="n">
        <x:f>K5309*'管线假设'!E1139*'管线假设'!F1139*'管线假设'!G1139*IF(E5309="USD",'管线假设'!I1139,1)-AM5309</x:f>
        <x:v>0.03302400000000001</x:v>
      </x:c>
      <x:c r="M5309" s="11" t="n">
        <x:f>'管线假设'!H1139</x:f>
        <x:v>0.14</x:v>
      </x:c>
      <x:c r="N5309" s="11" t="n">
        <x:f>IF(G5309,L5309*AN5309/(1+M5309)^F5309,0)</x:f>
        <x:v>0.008095827833840379</x:v>
      </x:c>
      <x:c r="AJ5309" t="n">
        <x:v>0</x:v>
      </x:c>
      <x:c r="AK5309" t="n">
        <x:v>0</x:v>
      </x:c>
      <x:c r="AL5309" t="n">
        <x:v>0</x:v>
      </x:c>
      <x:c r="AM5309" t="n">
        <x:f>CHOOSE('假设'!$B$3,AJ5309,AK5309,AL5309)</x:f>
        <x:v>0</x:v>
      </x:c>
      <x:c r="AN5309" t="n">
        <x:v>1</x:v>
      </x:c>
    </x:row>
    <x:row r="5310" ht="23" customHeight="1">
      <x:c r="A5310" s="11" t="str">
        <x:v>688062.SH</x:v>
      </x:c>
      <x:c r="B5310" s="11" t="str">
        <x:v>半年</x:v>
      </x:c>
      <x:c r="C5310" s="11" t="str">
        <x:v>il11_cn</x:v>
      </x:c>
      <x:c r="D5310" s="11" t="str">
        <x:v>2038-12-31</x:v>
      </x:c>
      <x:c r="E5310" s="11" t="str">
        <x:v>CNY</x:v>
      </x:c>
      <x:c r="F5310" s="11" t="n">
        <x:v>11.728952772073923</x:v>
      </x:c>
      <x:c r="G5310" s="26" t="b">
        <x:v>1</x:v>
      </x:c>
      <x:c r="H5310" s="16" t="n">
        <x:v>0.24</x:v>
      </x:c>
      <x:c r="I5310" s="16" t="n">
        <x:v>0.6960000000000001</x:v>
      </x:c>
      <x:c r="J5310" s="16" t="n">
        <x:v>0.915</x:v>
      </x:c>
      <x:c r="K5310" s="11" t="n">
        <x:f>CHOOSE('假设'!$B$3,H5310,I5310,J5310)</x:f>
        <x:v>0.6960000000000001</x:v>
      </x:c>
      <x:c r="L5310" s="11" t="n">
        <x:f>K5310*'管线假设'!E1139*'管线假设'!F1139*'管线假设'!G1139*IF(E5310="USD",'管线假设'!I1139,1)-AM5310</x:f>
        <x:v>0.028730880000000014</x:v>
      </x:c>
      <x:c r="M5310" s="11" t="n">
        <x:f>'管线假设'!H1139</x:f>
        <x:v>0.14</x:v>
      </x:c>
      <x:c r="N5310" s="11" t="n">
        <x:f>IF(G5310,L5310*AN5310/(1+M5310)^F5310,0)</x:f>
        <x:v>0.006178949053583421</x:v>
      </x:c>
      <x:c r="AJ5310" t="n">
        <x:v>0</x:v>
      </x:c>
      <x:c r="AK5310" t="n">
        <x:v>0</x:v>
      </x:c>
      <x:c r="AL5310" t="n">
        <x:v>0</x:v>
      </x:c>
      <x:c r="AM5310" t="n">
        <x:f>CHOOSE('假设'!$B$3,AJ5310,AK5310,AL5310)</x:f>
        <x:v>0</x:v>
      </x:c>
      <x:c r="AN5310" t="n">
        <x:v>1</x:v>
      </x:c>
    </x:row>
    <x:row r="5311" ht="23" customHeight="1">
      <x:c r="A5311" s="11" t="str">
        <x:v>688062.SH</x:v>
      </x:c>
      <x:c r="B5311" s="11" t="str">
        <x:v>半年</x:v>
      </x:c>
      <x:c r="C5311" s="11" t="str">
        <x:v>il11_cn</x:v>
      </x:c>
      <x:c r="D5311" s="11" t="str">
        <x:v>2039-12-31</x:v>
      </x:c>
      <x:c r="E5311" s="11" t="str">
        <x:v>CNY</x:v>
      </x:c>
      <x:c r="F5311" s="11" t="n">
        <x:v>12.728268309377139</x:v>
      </x:c>
      <x:c r="G5311" s="26" t="b">
        <x:v>1</x:v>
      </x:c>
      <x:c r="H5311" s="16" t="n">
        <x:v>0.3</x:v>
      </x:c>
      <x:c r="I5311" s="16" t="n">
        <x:v>0.592</x:v>
      </x:c>
      <x:c r="J5311" s="16" t="n">
        <x:v>0.72</x:v>
      </x:c>
      <x:c r="K5311" s="11" t="n">
        <x:f>CHOOSE('假设'!$B$3,H5311,I5311,J5311)</x:f>
        <x:v>0.592</x:v>
      </x:c>
      <x:c r="L5311" s="11" t="n">
        <x:f>K5311*'管线假设'!E1139*'管线假设'!F1139*'管线假设'!G1139*IF(E5311="USD",'管线假设'!I1139,1)-AM5311</x:f>
        <x:v>0.024437760000000006</x:v>
      </x:c>
      <x:c r="M5311" s="11" t="n">
        <x:f>'管线假设'!H1139</x:f>
        <x:v>0.14</x:v>
      </x:c>
      <x:c r="N5311" s="11" t="n">
        <x:f>IF(G5311,L5311*AN5311/(1+M5311)^F5311,0)</x:f>
        <x:v>0.004610639635984591</x:v>
      </x:c>
      <x:c r="AJ5311" t="n">
        <x:v>0</x:v>
      </x:c>
      <x:c r="AK5311" t="n">
        <x:v>0</x:v>
      </x:c>
      <x:c r="AL5311" t="n">
        <x:v>0</x:v>
      </x:c>
      <x:c r="AM5311" t="n">
        <x:f>CHOOSE('假设'!$B$3,AJ5311,AK5311,AL5311)</x:f>
        <x:v>0</x:v>
      </x:c>
      <x:c r="AN5311" t="n">
        <x:v>1</x:v>
      </x:c>
    </x:row>
    <x:row r="5312" ht="23" customHeight="1">
      <x:c r="A5312" s="11" t="str">
        <x:v>688062.SH</x:v>
      </x:c>
      <x:c r="B5312" s="11" t="str">
        <x:v>半年</x:v>
      </x:c>
      <x:c r="C5312" s="11" t="str">
        <x:v>il11_cn</x:v>
      </x:c>
      <x:c r="D5312" s="11" t="str">
        <x:v>2040-12-31</x:v>
      </x:c>
      <x:c r="E5312" s="11" t="str">
        <x:v>CNY</x:v>
      </x:c>
      <x:c r="F5312" s="11" t="n">
        <x:v>13.730321697467488</x:v>
      </x:c>
      <x:c r="G5312" s="26" t="b">
        <x:v>1</x:v>
      </x:c>
      <x:c r="H5312" s="16" t="n">
        <x:v>0.261</x:v>
      </x:c>
      <x:c r="I5312" s="16" t="n">
        <x:v>0.488</x:v>
      </x:c>
      <x:c r="J5312" s="16" t="n">
        <x:v>0.5249999999999999</x:v>
      </x:c>
      <x:c r="K5312" s="11" t="n">
        <x:f>CHOOSE('假设'!$B$3,H5312,I5312,J5312)</x:f>
        <x:v>0.488</x:v>
      </x:c>
      <x:c r="L5312" s="11" t="n">
        <x:f>K5312*'管线假设'!E1139*'管线假设'!F1139*'管线假设'!G1139*IF(E5312="USD",'管线假设'!I1139,1)-AM5312</x:f>
        <x:v>0.020144640000000005</x:v>
      </x:c>
      <x:c r="M5312" s="11" t="n">
        <x:f>'管线假设'!H1139</x:f>
        <x:v>0.14</x:v>
      </x:c>
      <x:c r="N5312" s="11" t="n">
        <x:f>IF(G5312,L5312*AN5312/(1+M5312)^F5312,0)</x:f>
        <x:v>0.003333017513023204</x:v>
      </x:c>
      <x:c r="AJ5312" t="n">
        <x:v>0</x:v>
      </x:c>
      <x:c r="AK5312" t="n">
        <x:v>0</x:v>
      </x:c>
      <x:c r="AL5312" t="n">
        <x:v>0</x:v>
      </x:c>
      <x:c r="AM5312" t="n">
        <x:f>CHOOSE('假设'!$B$3,AJ5312,AK5312,AL5312)</x:f>
        <x:v>0</x:v>
      </x:c>
      <x:c r="AN5312" t="n">
        <x:v>1</x:v>
      </x:c>
    </x:row>
    <x:row r="5313" ht="23" customHeight="1">
      <x:c r="A5313" s="11" t="str">
        <x:v>688062.SH</x:v>
      </x:c>
      <x:c r="B5313" s="11" t="str">
        <x:v>半年</x:v>
      </x:c>
      <x:c r="C5313" s="11" t="str">
        <x:v>il11_cn</x:v>
      </x:c>
      <x:c r="D5313" s="11" t="str">
        <x:v>2041-12-31</x:v>
      </x:c>
      <x:c r="E5313" s="11" t="str">
        <x:v>CNY</x:v>
      </x:c>
      <x:c r="F5313" s="11" t="n">
        <x:v>14.729637234770705</x:v>
      </x:c>
      <x:c r="G5313" s="26" t="b">
        <x:v>1</x:v>
      </x:c>
      <x:c r="H5313" s="16" t="n">
        <x:v>0.222</x:v>
      </x:c>
      <x:c r="I5313" s="16" t="n">
        <x:v>0.384</x:v>
      </x:c>
      <x:c r="J5313" s="16" t="n">
        <x:v>0.32999999999999996</x:v>
      </x:c>
      <x:c r="K5313" s="11" t="n">
        <x:f>CHOOSE('假设'!$B$3,H5313,I5313,J5313)</x:f>
        <x:v>0.384</x:v>
      </x:c>
      <x:c r="L5313" s="11" t="n">
        <x:f>K5313*'管线假设'!E1139*'管线假设'!F1139*'管线假设'!G1139*IF(E5313="USD",'管线假设'!I1139,1)-AM5313</x:f>
        <x:v>0.015851520000000004</x:v>
      </x:c>
      <x:c r="M5313" s="11" t="n">
        <x:f>'管线假设'!H1139</x:f>
        <x:v>0.14</x:v>
      </x:c>
      <x:c r="N5313" s="11" t="n">
        <x:f>IF(G5313,L5313*AN5313/(1+M5313)^F5313,0)</x:f>
        <x:v>0.0023008223949127255</x:v>
      </x:c>
      <x:c r="AJ5313" t="n">
        <x:v>0</x:v>
      </x:c>
      <x:c r="AK5313" t="n">
        <x:v>0</x:v>
      </x:c>
      <x:c r="AL5313" t="n">
        <x:v>0</x:v>
      </x:c>
      <x:c r="AM5313" t="n">
        <x:f>CHOOSE('假设'!$B$3,AJ5313,AK5313,AL5313)</x:f>
        <x:v>0</x:v>
      </x:c>
      <x:c r="AN5313" t="n">
        <x:v>1</x:v>
      </x:c>
    </x:row>
    <x:row r="5314" ht="23" customHeight="1">
      <x:c r="A5314" s="11" t="str">
        <x:v>688062.SH</x:v>
      </x:c>
      <x:c r="B5314" s="11" t="str">
        <x:v>半年</x:v>
      </x:c>
      <x:c r="C5314" s="11" t="str">
        <x:v>il11_cn</x:v>
      </x:c>
      <x:c r="D5314" s="11" t="str">
        <x:v>2042-12-31</x:v>
      </x:c>
      <x:c r="E5314" s="11" t="str">
        <x:v>CNY</x:v>
      </x:c>
      <x:c r="F5314" s="11" t="n">
        <x:v>15.728952772073923</x:v>
      </x:c>
      <x:c r="G5314" s="26" t="b">
        <x:v>1</x:v>
      </x:c>
      <x:c r="H5314" s="16" t="n">
        <x:v>0.183</x:v>
      </x:c>
      <x:c r="I5314" s="16" t="n">
        <x:v>0.27999999999999997</x:v>
      </x:c>
      <x:c r="J5314" s="16" t="n">
        <x:v>0.13499999999999995</x:v>
      </x:c>
      <x:c r="K5314" s="11" t="n">
        <x:f>CHOOSE('假设'!$B$3,H5314,I5314,J5314)</x:f>
        <x:v>0.27999999999999997</x:v>
      </x:c>
      <x:c r="L5314" s="11" t="n">
        <x:f>K5314*'管线假设'!E1139*'管线假设'!F1139*'管线假设'!G1139*IF(E5314="USD",'管线假设'!I1139,1)-AM5314</x:f>
        <x:v>0.011558400000000003</x:v>
      </x:c>
      <x:c r="M5314" s="11" t="n">
        <x:f>'管线假设'!H1139</x:f>
        <x:v>0.14</x:v>
      </x:c>
      <x:c r="N5314" s="11" t="n">
        <x:f>IF(G5314,L5314*AN5314/(1+M5314)^F5314,0)</x:f>
        <x:v>0.0014717837406042291</x:v>
      </x:c>
      <x:c r="AJ5314" t="n">
        <x:v>0</x:v>
      </x:c>
      <x:c r="AK5314" t="n">
        <x:v>0</x:v>
      </x:c>
      <x:c r="AL5314" t="n">
        <x:v>0</x:v>
      </x:c>
      <x:c r="AM5314" t="n">
        <x:f>CHOOSE('假设'!$B$3,AJ5314,AK5314,AL5314)</x:f>
        <x:v>0</x:v>
      </x:c>
      <x:c r="AN5314" t="n">
        <x:v>1</x:v>
      </x:c>
    </x:row>
    <x:row r="5315" ht="23" customHeight="1">
      <x:c r="A5315" s="11" t="str">
        <x:v>688062.SH</x:v>
      </x:c>
      <x:c r="B5315" s="11" t="str">
        <x:v>半年</x:v>
      </x:c>
      <x:c r="C5315" s="11" t="str">
        <x:v>il11_cn</x:v>
      </x:c>
      <x:c r="D5315" s="11" t="str">
        <x:v>2043-12-31</x:v>
      </x:c>
      <x:c r="E5315" s="11" t="str">
        <x:v>CNY</x:v>
      </x:c>
      <x:c r="F5315" s="11" t="n">
        <x:v>16.72826830937714</x:v>
      </x:c>
      <x:c r="G5315" s="26" t="b">
        <x:v>1</x:v>
      </x:c>
      <x:c r="H5315" s="16" t="n">
        <x:v>0.144</x:v>
      </x:c>
      <x:c r="I5315" s="16" t="n">
        <x:v>0.176</x:v>
      </x:c>
      <x:c r="J5315" s="16" t="n">
        <x:v>0</x:v>
      </x:c>
      <x:c r="K5315" s="11" t="n">
        <x:f>CHOOSE('假设'!$B$3,H5315,I5315,J5315)</x:f>
        <x:v>0.176</x:v>
      </x:c>
      <x:c r="L5315" s="11" t="n">
        <x:f>K5315*'管线假设'!E1139*'管线假设'!F1139*'管线假设'!G1139*IF(E5315="USD",'管线假设'!I1139,1)-AM5315</x:f>
        <x:v>0.007265280000000002</x:v>
      </x:c>
      <x:c r="M5315" s="11" t="n">
        <x:f>'管线假设'!H1139</x:f>
        <x:v>0.14</x:v>
      </x:c>
      <x:c r="N5315" s="11" t="n">
        <x:f>IF(G5315,L5315*AN5315/(1+M5315)^F5315,0)</x:f>
        <x:v>0.00081158261458933</x:v>
      </x:c>
      <x:c r="AJ5315" t="n">
        <x:v>0</x:v>
      </x:c>
      <x:c r="AK5315" t="n">
        <x:v>0</x:v>
      </x:c>
      <x:c r="AL5315" t="n">
        <x:v>0</x:v>
      </x:c>
      <x:c r="AM5315" t="n">
        <x:f>CHOOSE('假设'!$B$3,AJ5315,AK5315,AL5315)</x:f>
        <x:v>0</x:v>
      </x:c>
      <x:c r="AN5315" t="n">
        <x:v>1</x:v>
      </x:c>
    </x:row>
    <x:row r="5316" ht="23" customHeight="1">
      <x:c r="A5316" s="11" t="str">
        <x:v>688062.SH</x:v>
      </x:c>
      <x:c r="B5316" s="11" t="str">
        <x:v>半年</x:v>
      </x:c>
      <x:c r="C5316" s="11" t="str">
        <x:v>il11_cn</x:v>
      </x:c>
      <x:c r="D5316" s="11" t="str">
        <x:v>2044-12-31</x:v>
      </x:c>
      <x:c r="E5316" s="11" t="str">
        <x:v>CNY</x:v>
      </x:c>
      <x:c r="F5316" s="11" t="n">
        <x:v>17.730321697467488</x:v>
      </x:c>
      <x:c r="G5316" s="26" t="b">
        <x:v>1</x:v>
      </x:c>
      <x:c r="H5316" s="16" t="n">
        <x:v>0.105</x:v>
      </x:c>
      <x:c r="I5316" s="16" t="n">
        <x:v>0.07199999999999998</x:v>
      </x:c>
      <x:c r="J5316" s="16" t="n">
        <x:v>0</x:v>
      </x:c>
      <x:c r="K5316" s="11" t="n">
        <x:f>CHOOSE('假设'!$B$3,H5316,I5316,J5316)</x:f>
        <x:v>0.07199999999999998</x:v>
      </x:c>
      <x:c r="L5316" s="11" t="n">
        <x:f>K5316*'管线假设'!E1139*'管线假设'!F1139*'管线假设'!G1139*IF(E5316="USD",'管线假设'!I1139,1)-AM5316</x:f>
        <x:v>0.00297216</x:v>
      </x:c>
      <x:c r="M5316" s="11" t="n">
        <x:f>'管线假设'!H1139</x:f>
        <x:v>0.14</x:v>
      </x:c>
      <x:c r="N5316" s="11" t="n">
        <x:f>IF(G5316,L5316*AN5316/(1+M5316)^F5316,0)</x:f>
        <x:v>0.00029115943282482447</x:v>
      </x:c>
      <x:c r="AJ5316" t="n">
        <x:v>0</x:v>
      </x:c>
      <x:c r="AK5316" t="n">
        <x:v>0</x:v>
      </x:c>
      <x:c r="AL5316" t="n">
        <x:v>0</x:v>
      </x:c>
      <x:c r="AM5316" t="n">
        <x:f>CHOOSE('假设'!$B$3,AJ5316,AK5316,AL5316)</x:f>
        <x:v>0</x:v>
      </x:c>
      <x:c r="AN5316" t="n">
        <x:v>1</x:v>
      </x:c>
    </x:row>
    <x:row r="5317" ht="23" customHeight="1">
      <x:c r="A5317" s="11" t="str">
        <x:v>688062.SH</x:v>
      </x:c>
      <x:c r="B5317" s="11" t="str">
        <x:v>半年</x:v>
      </x:c>
      <x:c r="C5317" s="11" t="str">
        <x:v>il11_cn</x:v>
      </x:c>
      <x:c r="D5317" s="11" t="str">
        <x:v>2045-12-31</x:v>
      </x:c>
      <x:c r="E5317" s="11" t="str">
        <x:v>CNY</x:v>
      </x:c>
      <x:c r="F5317" s="11" t="n">
        <x:v>18.729637234770706</x:v>
      </x:c>
      <x:c r="G5317" s="26" t="b">
        <x:v>1</x:v>
      </x:c>
      <x:c r="H5317" s="16" t="n">
        <x:v>0.06599999999999999</x:v>
      </x:c>
      <x:c r="I5317" s="16" t="n">
        <x:v>0</x:v>
      </x:c>
      <x:c r="J5317" s="16" t="n">
        <x:v>0</x:v>
      </x:c>
      <x:c r="K5317" s="11" t="n">
        <x:f>CHOOSE('假设'!$B$3,H5317,I5317,J5317)</x:f>
        <x:v>0</x:v>
      </x:c>
      <x:c r="L5317" s="11" t="n">
        <x:f>K5317*'管线假设'!E1139*'管线假设'!F1139*'管线假设'!G1139*IF(E5317="USD",'管线假设'!I1139,1)-AM5317</x:f>
        <x:v>0</x:v>
      </x:c>
      <x:c r="M5317" s="11" t="n">
        <x:f>'管线假设'!H1139</x:f>
        <x:v>0.14</x:v>
      </x:c>
      <x:c r="N5317" s="11" t="n">
        <x:f>IF(G5317,L5317*AN5317/(1+M5317)^F5317,0)</x:f>
        <x:v>0</x:v>
      </x:c>
      <x:c r="AJ5317" t="n">
        <x:v>0</x:v>
      </x:c>
      <x:c r="AK5317" t="n">
        <x:v>0</x:v>
      </x:c>
      <x:c r="AL5317" t="n">
        <x:v>0</x:v>
      </x:c>
      <x:c r="AM5317" t="n">
        <x:f>CHOOSE('假设'!$B$3,AJ5317,AK5317,AL5317)</x:f>
        <x:v>0</x:v>
      </x:c>
      <x:c r="AN5317" t="n">
        <x:v>1</x:v>
      </x:c>
    </x:row>
    <x:row r="5318" ht="23" customHeight="1">
      <x:c r="A5318" s="11" t="str">
        <x:v>688062.SH</x:v>
      </x:c>
      <x:c r="B5318" s="11" t="str">
        <x:v>半年</x:v>
      </x:c>
      <x:c r="C5318" s="11" t="str">
        <x:v>tmprss_pv_global</x:v>
      </x:c>
      <x:c r="D5318" s="11" t="str">
        <x:v>2027-12-31</x:v>
      </x:c>
      <x:c r="E5318" s="11" t="str">
        <x:v>USD</x:v>
      </x:c>
      <x:c r="F5318" s="11" t="n">
        <x:v>0.7282683093771389</x:v>
      </x:c>
      <x:c r="G5318" s="26" t="b">
        <x:v>1</x:v>
      </x:c>
      <x:c r="H5318" s="16" t="n">
        <x:v>0</x:v>
      </x:c>
      <x:c r="I5318" s="16" t="n">
        <x:v>0</x:v>
      </x:c>
      <x:c r="J5318" s="16" t="n">
        <x:v>0</x:v>
      </x:c>
      <x:c r="K5318" s="11" t="n">
        <x:f>CHOOSE('假设'!$B$3,H5318,I5318,J5318)</x:f>
        <x:v>0</x:v>
      </x:c>
      <x:c r="L5318" s="11" t="n">
        <x:f>K5318*'管线假设'!E1143*'管线假设'!F1143*'管线假设'!G1143*IF(E5318="USD",'管线假设'!I1143,1)-AM5318</x:f>
        <x:v>0</x:v>
      </x:c>
      <x:c r="M5318" s="11" t="n">
        <x:f>'管线假设'!H1143</x:f>
        <x:v>0.14</x:v>
      </x:c>
      <x:c r="N5318" s="11" t="n">
        <x:f>IF(G5318,L5318*AN5318/(1+M5318)^F5318,0)</x:f>
        <x:v>0</x:v>
      </x:c>
      <x:c r="AJ5318" t="n">
        <x:v>0</x:v>
      </x:c>
      <x:c r="AK5318" t="n">
        <x:v>0</x:v>
      </x:c>
      <x:c r="AL5318" t="n">
        <x:v>0</x:v>
      </x:c>
      <x:c r="AM5318" t="n">
        <x:f>CHOOSE('假设'!$B$3,AJ5318,AK5318,AL5318)</x:f>
        <x:v>0</x:v>
      </x:c>
      <x:c r="AN5318" t="n">
        <x:v>1</x:v>
      </x:c>
    </x:row>
    <x:row r="5319" ht="23" customHeight="1">
      <x:c r="A5319" s="11" t="str">
        <x:v>688062.SH</x:v>
      </x:c>
      <x:c r="B5319" s="11" t="str">
        <x:v>半年</x:v>
      </x:c>
      <x:c r="C5319" s="11" t="str">
        <x:v>tmprss_pv_global</x:v>
      </x:c>
      <x:c r="D5319" s="11" t="str">
        <x:v>2028-12-31</x:v>
      </x:c>
      <x:c r="E5319" s="11" t="str">
        <x:v>USD</x:v>
      </x:c>
      <x:c r="F5319" s="11" t="n">
        <x:v>1.730321697467488</x:v>
      </x:c>
      <x:c r="G5319" s="26" t="b">
        <x:v>1</x:v>
      </x:c>
      <x:c r="H5319" s="16" t="n">
        <x:v>0</x:v>
      </x:c>
      <x:c r="I5319" s="16" t="n">
        <x:v>0</x:v>
      </x:c>
      <x:c r="J5319" s="16" t="n">
        <x:v>0</x:v>
      </x:c>
      <x:c r="K5319" s="11" t="n">
        <x:f>CHOOSE('假设'!$B$3,H5319,I5319,J5319)</x:f>
        <x:v>0</x:v>
      </x:c>
      <x:c r="L5319" s="11" t="n">
        <x:f>K5319*'管线假设'!E1143*'管线假设'!F1143*'管线假设'!G1143*IF(E5319="USD",'管线假设'!I1143,1)-AM5319</x:f>
        <x:v>0</x:v>
      </x:c>
      <x:c r="M5319" s="11" t="n">
        <x:f>'管线假设'!H1143</x:f>
        <x:v>0.14</x:v>
      </x:c>
      <x:c r="N5319" s="11" t="n">
        <x:f>IF(G5319,L5319*AN5319/(1+M5319)^F5319,0)</x:f>
        <x:v>0</x:v>
      </x:c>
      <x:c r="AJ5319" t="n">
        <x:v>0</x:v>
      </x:c>
      <x:c r="AK5319" t="n">
        <x:v>0</x:v>
      </x:c>
      <x:c r="AL5319" t="n">
        <x:v>0</x:v>
      </x:c>
      <x:c r="AM5319" t="n">
        <x:f>CHOOSE('假设'!$B$3,AJ5319,AK5319,AL5319)</x:f>
        <x:v>0</x:v>
      </x:c>
      <x:c r="AN5319" t="n">
        <x:v>1</x:v>
      </x:c>
    </x:row>
    <x:row r="5320" ht="23" customHeight="1">
      <x:c r="A5320" s="11" t="str">
        <x:v>688062.SH</x:v>
      </x:c>
      <x:c r="B5320" s="11" t="str">
        <x:v>半年</x:v>
      </x:c>
      <x:c r="C5320" s="11" t="str">
        <x:v>tmprss_pv_global</x:v>
      </x:c>
      <x:c r="D5320" s="11" t="str">
        <x:v>2029-12-31</x:v>
      </x:c>
      <x:c r="E5320" s="11" t="str">
        <x:v>USD</x:v>
      </x:c>
      <x:c r="F5320" s="11" t="n">
        <x:v>2.729637234770705</x:v>
      </x:c>
      <x:c r="G5320" s="26" t="b">
        <x:v>1</x:v>
      </x:c>
      <x:c r="H5320" s="16" t="n">
        <x:v>0</x:v>
      </x:c>
      <x:c r="I5320" s="16" t="n">
        <x:v>0</x:v>
      </x:c>
      <x:c r="J5320" s="16" t="n">
        <x:v>0.2833333333333333</x:v>
      </x:c>
      <x:c r="K5320" s="11" t="n">
        <x:f>CHOOSE('假设'!$B$3,H5320,I5320,J5320)</x:f>
        <x:v>0</x:v>
      </x:c>
      <x:c r="L5320" s="11" t="n">
        <x:f>K5320*'管线假设'!E1143*'管线假设'!F1143*'管线假设'!G1143*IF(E5320="USD",'管线假设'!I1143,1)-AM5320</x:f>
        <x:v>0</x:v>
      </x:c>
      <x:c r="M5320" s="11" t="n">
        <x:f>'管线假设'!H1143</x:f>
        <x:v>0.14</x:v>
      </x:c>
      <x:c r="N5320" s="11" t="n">
        <x:f>IF(G5320,L5320*AN5320/(1+M5320)^F5320,0)</x:f>
        <x:v>0</x:v>
      </x:c>
      <x:c r="AJ5320" t="n">
        <x:v>0</x:v>
      </x:c>
      <x:c r="AK5320" t="n">
        <x:v>0</x:v>
      </x:c>
      <x:c r="AL5320" t="n">
        <x:v>0</x:v>
      </x:c>
      <x:c r="AM5320" t="n">
        <x:f>CHOOSE('假设'!$B$3,AJ5320,AK5320,AL5320)</x:f>
        <x:v>0</x:v>
      </x:c>
      <x:c r="AN5320" t="n">
        <x:v>1</x:v>
      </x:c>
    </x:row>
    <x:row r="5321" ht="23" customHeight="1">
      <x:c r="A5321" s="11" t="str">
        <x:v>688062.SH</x:v>
      </x:c>
      <x:c r="B5321" s="11" t="str">
        <x:v>半年</x:v>
      </x:c>
      <x:c r="C5321" s="11" t="str">
        <x:v>tmprss_pv_global</x:v>
      </x:c>
      <x:c r="D5321" s="11" t="str">
        <x:v>2030-12-31</x:v>
      </x:c>
      <x:c r="E5321" s="11" t="str">
        <x:v>USD</x:v>
      </x:c>
      <x:c r="F5321" s="11" t="n">
        <x:v>3.728952772073922</x:v>
      </x:c>
      <x:c r="G5321" s="26" t="b">
        <x:v>1</x:v>
      </x:c>
      <x:c r="H5321" s="16" t="n">
        <x:v>0</x:v>
      </x:c>
      <x:c r="I5321" s="16" t="n">
        <x:v>0</x:v>
      </x:c>
      <x:c r="J5321" s="16" t="n">
        <x:v>0.5666666666666667</x:v>
      </x:c>
      <x:c r="K5321" s="11" t="n">
        <x:f>CHOOSE('假设'!$B$3,H5321,I5321,J5321)</x:f>
        <x:v>0</x:v>
      </x:c>
      <x:c r="L5321" s="11" t="n">
        <x:f>K5321*'管线假设'!E1143*'管线假设'!F1143*'管线假设'!G1143*IF(E5321="USD",'管线假设'!I1143,1)-AM5321</x:f>
        <x:v>0</x:v>
      </x:c>
      <x:c r="M5321" s="11" t="n">
        <x:f>'管线假设'!H1143</x:f>
        <x:v>0.14</x:v>
      </x:c>
      <x:c r="N5321" s="11" t="n">
        <x:f>IF(G5321,L5321*AN5321/(1+M5321)^F5321,0)</x:f>
        <x:v>0</x:v>
      </x:c>
      <x:c r="AJ5321" t="n">
        <x:v>0</x:v>
      </x:c>
      <x:c r="AK5321" t="n">
        <x:v>0</x:v>
      </x:c>
      <x:c r="AL5321" t="n">
        <x:v>0</x:v>
      </x:c>
      <x:c r="AM5321" t="n">
        <x:f>CHOOSE('假设'!$B$3,AJ5321,AK5321,AL5321)</x:f>
        <x:v>0</x:v>
      </x:c>
      <x:c r="AN5321" t="n">
        <x:v>1</x:v>
      </x:c>
    </x:row>
    <x:row r="5322" ht="23" customHeight="1">
      <x:c r="A5322" s="11" t="str">
        <x:v>688062.SH</x:v>
      </x:c>
      <x:c r="B5322" s="11" t="str">
        <x:v>半年</x:v>
      </x:c>
      <x:c r="C5322" s="11" t="str">
        <x:v>tmprss_pv_global</x:v>
      </x:c>
      <x:c r="D5322" s="11" t="str">
        <x:v>2031-12-31</x:v>
      </x:c>
      <x:c r="E5322" s="11" t="str">
        <x:v>USD</x:v>
      </x:c>
      <x:c r="F5322" s="11" t="n">
        <x:v>4.728268309377139</x:v>
      </x:c>
      <x:c r="G5322" s="26" t="b">
        <x:v>1</x:v>
      </x:c>
      <x:c r="H5322" s="16" t="n">
        <x:v>0</x:v>
      </x:c>
      <x:c r="I5322" s="16" t="n">
        <x:v>0.16666666666666666</x:v>
      </x:c>
      <x:c r="J5322" s="16" t="n">
        <x:v>0.85</x:v>
      </x:c>
      <x:c r="K5322" s="11" t="n">
        <x:f>CHOOSE('假设'!$B$3,H5322,I5322,J5322)</x:f>
        <x:v>0.16666666666666666</x:v>
      </x:c>
      <x:c r="L5322" s="11" t="n">
        <x:f>K5322*'管线假设'!E1143*'管线假设'!F1143*'管线假设'!G1143*IF(E5322="USD",'管线假设'!I1143,1)-AM5322</x:f>
        <x:v>0.033261973333333326</x:v>
      </x:c>
      <x:c r="M5322" s="11" t="n">
        <x:f>'管线假设'!H1143</x:f>
        <x:v>0.14</x:v>
      </x:c>
      <x:c r="N5322" s="11" t="n">
        <x:f>IF(G5322,L5322*AN5322/(1+M5322)^F5322,0)</x:f>
        <x:v>0.017901383883094205</x:v>
      </x:c>
      <x:c r="AJ5322" t="n">
        <x:v>0</x:v>
      </x:c>
      <x:c r="AK5322" t="n">
        <x:v>0</x:v>
      </x:c>
      <x:c r="AL5322" t="n">
        <x:v>0</x:v>
      </x:c>
      <x:c r="AM5322" t="n">
        <x:f>CHOOSE('假设'!$B$3,AJ5322,AK5322,AL5322)</x:f>
        <x:v>0</x:v>
      </x:c>
      <x:c r="AN5322" t="n">
        <x:v>1</x:v>
      </x:c>
    </x:row>
    <x:row r="5323" ht="23" customHeight="1">
      <x:c r="A5323" s="11" t="str">
        <x:v>688062.SH</x:v>
      </x:c>
      <x:c r="B5323" s="11" t="str">
        <x:v>半年</x:v>
      </x:c>
      <x:c r="C5323" s="11" t="str">
        <x:v>tmprss_pv_global</x:v>
      </x:c>
      <x:c r="D5323" s="11" t="str">
        <x:v>2032-12-31</x:v>
      </x:c>
      <x:c r="E5323" s="11" t="str">
        <x:v>USD</x:v>
      </x:c>
      <x:c r="F5323" s="11" t="n">
        <x:v>5.730321697467488</x:v>
      </x:c>
      <x:c r="G5323" s="26" t="b">
        <x:v>1</x:v>
      </x:c>
      <x:c r="H5323" s="16" t="n">
        <x:v>0</x:v>
      </x:c>
      <x:c r="I5323" s="16" t="n">
        <x:v>0.3333333333333333</x:v>
      </x:c>
      <x:c r="J5323" s="16" t="n">
        <x:v>1.1333333333333333</x:v>
      </x:c>
      <x:c r="K5323" s="11" t="n">
        <x:f>CHOOSE('假设'!$B$3,H5323,I5323,J5323)</x:f>
        <x:v>0.3333333333333333</x:v>
      </x:c>
      <x:c r="L5323" s="11" t="n">
        <x:f>K5323*'管线假设'!E1143*'管线假设'!F1143*'管线假设'!G1143*IF(E5323="USD",'管线假设'!I1143,1)-AM5323</x:f>
        <x:v>0.06652394666666665</x:v>
      </x:c>
      <x:c r="M5323" s="11" t="n">
        <x:f>'管线假设'!H1143</x:f>
        <x:v>0.14</x:v>
      </x:c>
      <x:c r="N5323" s="11" t="n">
        <x:f>IF(G5323,L5323*AN5323/(1+M5323)^F5323,0)</x:f>
        <x:v>0.031397487947534226</x:v>
      </x:c>
      <x:c r="AJ5323" t="n">
        <x:v>0</x:v>
      </x:c>
      <x:c r="AK5323" t="n">
        <x:v>0</x:v>
      </x:c>
      <x:c r="AL5323" t="n">
        <x:v>0</x:v>
      </x:c>
      <x:c r="AM5323" t="n">
        <x:f>CHOOSE('假设'!$B$3,AJ5323,AK5323,AL5323)</x:f>
        <x:v>0</x:v>
      </x:c>
      <x:c r="AN5323" t="n">
        <x:v>1</x:v>
      </x:c>
    </x:row>
    <x:row r="5324" ht="23" customHeight="1">
      <x:c r="A5324" s="11" t="str">
        <x:v>688062.SH</x:v>
      </x:c>
      <x:c r="B5324" s="11" t="str">
        <x:v>半年</x:v>
      </x:c>
      <x:c r="C5324" s="11" t="str">
        <x:v>tmprss_pv_global</x:v>
      </x:c>
      <x:c r="D5324" s="11" t="str">
        <x:v>2033-12-31</x:v>
      </x:c>
      <x:c r="E5324" s="11" t="str">
        <x:v>USD</x:v>
      </x:c>
      <x:c r="F5324" s="11" t="n">
        <x:v>6.729637234770705</x:v>
      </x:c>
      <x:c r="G5324" s="26" t="b">
        <x:v>1</x:v>
      </x:c>
      <x:c r="H5324" s="16" t="n">
        <x:v>0</x:v>
      </x:c>
      <x:c r="I5324" s="16" t="n">
        <x:v>0.5</x:v>
      </x:c>
      <x:c r="J5324" s="16" t="n">
        <x:v>1.4166666666666667</x:v>
      </x:c>
      <x:c r="K5324" s="11" t="n">
        <x:f>CHOOSE('假设'!$B$3,H5324,I5324,J5324)</x:f>
        <x:v>0.5</x:v>
      </x:c>
      <x:c r="L5324" s="11" t="n">
        <x:f>K5324*'管线假设'!E1143*'管线假设'!F1143*'管线假设'!G1143*IF(E5324="USD",'管线假设'!I1143,1)-AM5324</x:f>
        <x:v>0.09978592</x:v>
      </x:c>
      <x:c r="M5324" s="11" t="n">
        <x:f>'管线假设'!H1143</x:f>
        <x:v>0.14</x:v>
      </x:c>
      <x:c r="N5324" s="11" t="n">
        <x:f>IF(G5324,L5324*AN5324/(1+M5324)^F5324,0)</x:f>
        <x:v>0.04131618937472599</x:v>
      </x:c>
      <x:c r="AJ5324" t="n">
        <x:v>0</x:v>
      </x:c>
      <x:c r="AK5324" t="n">
        <x:v>0</x:v>
      </x:c>
      <x:c r="AL5324" t="n">
        <x:v>0</x:v>
      </x:c>
      <x:c r="AM5324" t="n">
        <x:f>CHOOSE('假设'!$B$3,AJ5324,AK5324,AL5324)</x:f>
        <x:v>0</x:v>
      </x:c>
      <x:c r="AN5324" t="n">
        <x:v>1</x:v>
      </x:c>
    </x:row>
    <x:row r="5325" ht="23" customHeight="1">
      <x:c r="A5325" s="11" t="str">
        <x:v>688062.SH</x:v>
      </x:c>
      <x:c r="B5325" s="11" t="str">
        <x:v>半年</x:v>
      </x:c>
      <x:c r="C5325" s="11" t="str">
        <x:v>tmprss_pv_global</x:v>
      </x:c>
      <x:c r="D5325" s="11" t="str">
        <x:v>2034-12-31</x:v>
      </x:c>
      <x:c r="E5325" s="11" t="str">
        <x:v>USD</x:v>
      </x:c>
      <x:c r="F5325" s="11" t="n">
        <x:v>7.728952772073922</x:v>
      </x:c>
      <x:c r="G5325" s="26" t="b">
        <x:v>1</x:v>
      </x:c>
      <x:c r="H5325" s="16" t="n">
        <x:v>0.08000000000000002</x:v>
      </x:c>
      <x:c r="I5325" s="16" t="n">
        <x:v>0.6666666666666666</x:v>
      </x:c>
      <x:c r="J5325" s="16" t="n">
        <x:v>1.7</x:v>
      </x:c>
      <x:c r="K5325" s="11" t="n">
        <x:f>CHOOSE('假设'!$B$3,H5325,I5325,J5325)</x:f>
        <x:v>0.6666666666666666</x:v>
      </x:c>
      <x:c r="L5325" s="11" t="n">
        <x:f>K5325*'管线假设'!E1143*'管线假设'!F1143*'管线假设'!G1143*IF(E5325="USD",'管线假设'!I1143,1)-AM5325</x:f>
        <x:v>0.1330478933333333</x:v>
      </x:c>
      <x:c r="M5325" s="11" t="n">
        <x:f>'管线假设'!H1143</x:f>
        <x:v>0.14</x:v>
      </x:c>
      <x:c r="N5325" s="11" t="n">
        <x:f>IF(G5325,L5325*AN5325/(1+M5325)^F5325,0)</x:f>
        <x:v>0.04832736250324495</x:v>
      </x:c>
      <x:c r="AJ5325" t="n">
        <x:v>0</x:v>
      </x:c>
      <x:c r="AK5325" t="n">
        <x:v>0</x:v>
      </x:c>
      <x:c r="AL5325" t="n">
        <x:v>0</x:v>
      </x:c>
      <x:c r="AM5325" t="n">
        <x:f>CHOOSE('假设'!$B$3,AJ5325,AK5325,AL5325)</x:f>
        <x:v>0</x:v>
      </x:c>
      <x:c r="AN5325" t="n">
        <x:v>1</x:v>
      </x:c>
    </x:row>
    <x:row r="5326" ht="23" customHeight="1">
      <x:c r="A5326" s="11" t="str">
        <x:v>688062.SH</x:v>
      </x:c>
      <x:c r="B5326" s="11" t="str">
        <x:v>半年</x:v>
      </x:c>
      <x:c r="C5326" s="11" t="str">
        <x:v>tmprss_pv_global</x:v>
      </x:c>
      <x:c r="D5326" s="11" t="str">
        <x:v>2035-12-31</x:v>
      </x:c>
      <x:c r="E5326" s="11" t="str">
        <x:v>USD</x:v>
      </x:c>
      <x:c r="F5326" s="11" t="n">
        <x:v>8.728268309377139</x:v>
      </x:c>
      <x:c r="G5326" s="26" t="b">
        <x:v>1</x:v>
      </x:c>
      <x:c r="H5326" s="16" t="n">
        <x:v>0.16000000000000003</x:v>
      </x:c>
      <x:c r="I5326" s="16" t="n">
        <x:v>0.8333333333333334</x:v>
      </x:c>
      <x:c r="J5326" s="16" t="n">
        <x:v>1.4789999999999999</x:v>
      </x:c>
      <x:c r="K5326" s="11" t="n">
        <x:f>CHOOSE('假设'!$B$3,H5326,I5326,J5326)</x:f>
        <x:v>0.8333333333333334</x:v>
      </x:c>
      <x:c r="L5326" s="11" t="n">
        <x:f>K5326*'管线假设'!E1143*'管线假设'!F1143*'管线假设'!G1143*IF(E5326="USD",'管线假设'!I1143,1)-AM5326</x:f>
        <x:v>0.1663098666666667</x:v>
      </x:c>
      <x:c r="M5326" s="11" t="n">
        <x:f>'管线假设'!H1143</x:f>
        <x:v>0.14</x:v>
      </x:c>
      <x:c r="N5326" s="11" t="n">
        <x:f>IF(G5326,L5326*AN5326/(1+M5326)^F5326,0)</x:f>
        <x:v>0.052995281674063296</x:v>
      </x:c>
      <x:c r="AJ5326" t="n">
        <x:v>0</x:v>
      </x:c>
      <x:c r="AK5326" t="n">
        <x:v>0</x:v>
      </x:c>
      <x:c r="AL5326" t="n">
        <x:v>0</x:v>
      </x:c>
      <x:c r="AM5326" t="n">
        <x:f>CHOOSE('假设'!$B$3,AJ5326,AK5326,AL5326)</x:f>
        <x:v>0</x:v>
      </x:c>
      <x:c r="AN5326" t="n">
        <x:v>1</x:v>
      </x:c>
    </x:row>
    <x:row r="5327" ht="23" customHeight="1">
      <x:c r="A5327" s="11" t="str">
        <x:v>688062.SH</x:v>
      </x:c>
      <x:c r="B5327" s="11" t="str">
        <x:v>半年</x:v>
      </x:c>
      <x:c r="C5327" s="11" t="str">
        <x:v>tmprss_pv_global</x:v>
      </x:c>
      <x:c r="D5327" s="11" t="str">
        <x:v>2036-12-31</x:v>
      </x:c>
      <x:c r="E5327" s="11" t="str">
        <x:v>USD</x:v>
      </x:c>
      <x:c r="F5327" s="11" t="n">
        <x:v>9.730321697467488</x:v>
      </x:c>
      <x:c r="G5327" s="26" t="b">
        <x:v>1</x:v>
      </x:c>
      <x:c r="H5327" s="16" t="n">
        <x:v>0.24</x:v>
      </x:c>
      <x:c r="I5327" s="16" t="n">
        <x:v>1</x:v>
      </x:c>
      <x:c r="J5327" s="16" t="n">
        <x:v>1.258</x:v>
      </x:c>
      <x:c r="K5327" s="11" t="n">
        <x:f>CHOOSE('假设'!$B$3,H5327,I5327,J5327)</x:f>
        <x:v>1</x:v>
      </x:c>
      <x:c r="L5327" s="11" t="n">
        <x:f>K5327*'管线假设'!E1143*'管线假设'!F1143*'管线假设'!G1143*IF(E5327="USD",'管线假设'!I1143,1)-AM5327</x:f>
        <x:v>0.19957184</x:v>
      </x:c>
      <x:c r="M5327" s="11" t="n">
        <x:f>'管线假设'!H1143</x:f>
        <x:v>0.14</x:v>
      </x:c>
      <x:c r="N5327" s="11" t="n">
        <x:f>IF(G5327,L5327*AN5327/(1+M5327)^F5327,0)</x:f>
        <x:v>0.055769500118109744</x:v>
      </x:c>
      <x:c r="AJ5327" t="n">
        <x:v>0</x:v>
      </x:c>
      <x:c r="AK5327" t="n">
        <x:v>0</x:v>
      </x:c>
      <x:c r="AL5327" t="n">
        <x:v>0</x:v>
      </x:c>
      <x:c r="AM5327" t="n">
        <x:f>CHOOSE('假设'!$B$3,AJ5327,AK5327,AL5327)</x:f>
        <x:v>0</x:v>
      </x:c>
      <x:c r="AN5327" t="n">
        <x:v>1</x:v>
      </x:c>
    </x:row>
    <x:row r="5328" ht="23" customHeight="1">
      <x:c r="A5328" s="11" t="str">
        <x:v>688062.SH</x:v>
      </x:c>
      <x:c r="B5328" s="11" t="str">
        <x:v>半年</x:v>
      </x:c>
      <x:c r="C5328" s="11" t="str">
        <x:v>tmprss_pv_global</x:v>
      </x:c>
      <x:c r="D5328" s="11" t="str">
        <x:v>2037-12-31</x:v>
      </x:c>
      <x:c r="E5328" s="11" t="str">
        <x:v>USD</x:v>
      </x:c>
      <x:c r="F5328" s="11" t="n">
        <x:v>10.729637234770705</x:v>
      </x:c>
      <x:c r="G5328" s="26" t="b">
        <x:v>1</x:v>
      </x:c>
      <x:c r="H5328" s="16" t="n">
        <x:v>0.32000000000000006</x:v>
      </x:c>
      <x:c r="I5328" s="16" t="n">
        <x:v>0.87</x:v>
      </x:c>
      <x:c r="J5328" s="16" t="n">
        <x:v>1.037</x:v>
      </x:c>
      <x:c r="K5328" s="11" t="n">
        <x:f>CHOOSE('假设'!$B$3,H5328,I5328,J5328)</x:f>
        <x:v>0.87</x:v>
      </x:c>
      <x:c r="L5328" s="11" t="n">
        <x:f>K5328*'管线假设'!E1143*'管线假设'!F1143*'管线假设'!G1143*IF(E5328="USD",'管线假设'!I1143,1)-AM5328</x:f>
        <x:v>0.17362750080000003</x:v>
      </x:c>
      <x:c r="M5328" s="11" t="n">
        <x:f>'管线假设'!H1143</x:f>
        <x:v>0.14</x:v>
      </x:c>
      <x:c r="N5328" s="11" t="n">
        <x:f>IF(G5328,L5328*AN5328/(1+M5328)^F5328,0)</x:f>
        <x:v>0.042564751504868645</x:v>
      </x:c>
      <x:c r="AJ5328" t="n">
        <x:v>0</x:v>
      </x:c>
      <x:c r="AK5328" t="n">
        <x:v>0</x:v>
      </x:c>
      <x:c r="AL5328" t="n">
        <x:v>0</x:v>
      </x:c>
      <x:c r="AM5328" t="n">
        <x:f>CHOOSE('假设'!$B$3,AJ5328,AK5328,AL5328)</x:f>
        <x:v>0</x:v>
      </x:c>
      <x:c r="AN5328" t="n">
        <x:v>1</x:v>
      </x:c>
    </x:row>
    <x:row r="5329" ht="23" customHeight="1">
      <x:c r="A5329" s="11" t="str">
        <x:v>688062.SH</x:v>
      </x:c>
      <x:c r="B5329" s="11" t="str">
        <x:v>半年</x:v>
      </x:c>
      <x:c r="C5329" s="11" t="str">
        <x:v>tmprss_pv_global</x:v>
      </x:c>
      <x:c r="D5329" s="11" t="str">
        <x:v>2038-12-31</x:v>
      </x:c>
      <x:c r="E5329" s="11" t="str">
        <x:v>USD</x:v>
      </x:c>
      <x:c r="F5329" s="11" t="n">
        <x:v>11.728952772073923</x:v>
      </x:c>
      <x:c r="G5329" s="26" t="b">
        <x:v>1</x:v>
      </x:c>
      <x:c r="H5329" s="16" t="n">
        <x:v>0.4</x:v>
      </x:c>
      <x:c r="I5329" s="16" t="n">
        <x:v>0.74</x:v>
      </x:c>
      <x:c r="J5329" s="16" t="n">
        <x:v>0.816</x:v>
      </x:c>
      <x:c r="K5329" s="11" t="n">
        <x:f>CHOOSE('假设'!$B$3,H5329,I5329,J5329)</x:f>
        <x:v>0.74</x:v>
      </x:c>
      <x:c r="L5329" s="11" t="n">
        <x:f>K5329*'管线假设'!E1143*'管线假设'!F1143*'管线假设'!G1143*IF(E5329="USD",'管线假设'!I1143,1)-AM5329</x:f>
        <x:v>0.1476831616</x:v>
      </x:c>
      <x:c r="M5329" s="11" t="n">
        <x:f>'管线假设'!H1143</x:f>
        <x:v>0.14</x:v>
      </x:c>
      <x:c r="N5329" s="11" t="n">
        <x:f>IF(G5329,L5329*AN5329/(1+M5329)^F5329,0)</x:f>
        <x:v>0.031761182796994976</x:v>
      </x:c>
      <x:c r="AJ5329" t="n">
        <x:v>0</x:v>
      </x:c>
      <x:c r="AK5329" t="n">
        <x:v>0</x:v>
      </x:c>
      <x:c r="AL5329" t="n">
        <x:v>0</x:v>
      </x:c>
      <x:c r="AM5329" t="n">
        <x:f>CHOOSE('假设'!$B$3,AJ5329,AK5329,AL5329)</x:f>
        <x:v>0</x:v>
      </x:c>
      <x:c r="AN5329" t="n">
        <x:v>1</x:v>
      </x:c>
    </x:row>
    <x:row r="5330" ht="23" customHeight="1">
      <x:c r="A5330" s="11" t="str">
        <x:v>688062.SH</x:v>
      </x:c>
      <x:c r="B5330" s="11" t="str">
        <x:v>半年</x:v>
      </x:c>
      <x:c r="C5330" s="11" t="str">
        <x:v>tmprss_pv_global</x:v>
      </x:c>
      <x:c r="D5330" s="11" t="str">
        <x:v>2039-12-31</x:v>
      </x:c>
      <x:c r="E5330" s="11" t="str">
        <x:v>USD</x:v>
      </x:c>
      <x:c r="F5330" s="11" t="n">
        <x:v>12.728268309377139</x:v>
      </x:c>
      <x:c r="G5330" s="26" t="b">
        <x:v>1</x:v>
      </x:c>
      <x:c r="H5330" s="16" t="n">
        <x:v>0.34800000000000003</x:v>
      </x:c>
      <x:c r="I5330" s="16" t="n">
        <x:v>0.61</x:v>
      </x:c>
      <x:c r="J5330" s="16" t="n">
        <x:v>0.595</x:v>
      </x:c>
      <x:c r="K5330" s="11" t="n">
        <x:f>CHOOSE('假设'!$B$3,H5330,I5330,J5330)</x:f>
        <x:v>0.61</x:v>
      </x:c>
      <x:c r="L5330" s="11" t="n">
        <x:f>K5330*'管线假设'!E1143*'管线假设'!F1143*'管线假设'!G1143*IF(E5330="USD",'管线假设'!I1143,1)-AM5330</x:f>
        <x:v>0.12173882240000002</x:v>
      </x:c>
      <x:c r="M5330" s="11" t="n">
        <x:f>'管线假设'!H1143</x:f>
        <x:v>0.14</x:v>
      </x:c>
      <x:c r="N5330" s="11" t="n">
        <x:f>IF(G5330,L5330*AN5330/(1+M5330)^F5330,0)</x:f>
        <x:v>0.022968301505356</x:v>
      </x:c>
      <x:c r="AJ5330" t="n">
        <x:v>0</x:v>
      </x:c>
      <x:c r="AK5330" t="n">
        <x:v>0</x:v>
      </x:c>
      <x:c r="AL5330" t="n">
        <x:v>0</x:v>
      </x:c>
      <x:c r="AM5330" t="n">
        <x:f>CHOOSE('假设'!$B$3,AJ5330,AK5330,AL5330)</x:f>
        <x:v>0</x:v>
      </x:c>
      <x:c r="AN5330" t="n">
        <x:v>1</x:v>
      </x:c>
    </x:row>
    <x:row r="5331" ht="23" customHeight="1">
      <x:c r="A5331" s="11" t="str">
        <x:v>688062.SH</x:v>
      </x:c>
      <x:c r="B5331" s="11" t="str">
        <x:v>半年</x:v>
      </x:c>
      <x:c r="C5331" s="11" t="str">
        <x:v>tmprss_pv_global</x:v>
      </x:c>
      <x:c r="D5331" s="11" t="str">
        <x:v>2040-12-31</x:v>
      </x:c>
      <x:c r="E5331" s="11" t="str">
        <x:v>USD</x:v>
      </x:c>
      <x:c r="F5331" s="11" t="n">
        <x:v>13.730321697467488</x:v>
      </x:c>
      <x:c r="G5331" s="26" t="b">
        <x:v>1</x:v>
      </x:c>
      <x:c r="H5331" s="16" t="n">
        <x:v>0.296</x:v>
      </x:c>
      <x:c r="I5331" s="16" t="n">
        <x:v>0.48</x:v>
      </x:c>
      <x:c r="J5331" s="16" t="n">
        <x:v>0.37399999999999994</x:v>
      </x:c>
      <x:c r="K5331" s="11" t="n">
        <x:f>CHOOSE('假设'!$B$3,H5331,I5331,J5331)</x:f>
        <x:v>0.48</x:v>
      </x:c>
      <x:c r="L5331" s="11" t="n">
        <x:f>K5331*'管线假设'!E1143*'管线假设'!F1143*'管线假设'!G1143*IF(E5331="USD",'管线假设'!I1143,1)-AM5331</x:f>
        <x:v>0.0957944832</x:v>
      </x:c>
      <x:c r="M5331" s="11" t="n">
        <x:f>'管线假设'!H1143</x:f>
        <x:v>0.14</x:v>
      </x:c>
      <x:c r="N5331" s="11" t="n">
        <x:f>IF(G5331,L5331*AN5331/(1+M5331)^F5331,0)</x:f>
        <x:v>0.01584961012738907</x:v>
      </x:c>
      <x:c r="AJ5331" t="n">
        <x:v>0</x:v>
      </x:c>
      <x:c r="AK5331" t="n">
        <x:v>0</x:v>
      </x:c>
      <x:c r="AL5331" t="n">
        <x:v>0</x:v>
      </x:c>
      <x:c r="AM5331" t="n">
        <x:f>CHOOSE('假设'!$B$3,AJ5331,AK5331,AL5331)</x:f>
        <x:v>0</x:v>
      </x:c>
      <x:c r="AN5331" t="n">
        <x:v>1</x:v>
      </x:c>
    </x:row>
    <x:row r="5332" ht="23" customHeight="1">
      <x:c r="A5332" s="11" t="str">
        <x:v>688062.SH</x:v>
      </x:c>
      <x:c r="B5332" s="11" t="str">
        <x:v>半年</x:v>
      </x:c>
      <x:c r="C5332" s="11" t="str">
        <x:v>tmprss_pv_global</x:v>
      </x:c>
      <x:c r="D5332" s="11" t="str">
        <x:v>2041-12-31</x:v>
      </x:c>
      <x:c r="E5332" s="11" t="str">
        <x:v>USD</x:v>
      </x:c>
      <x:c r="F5332" s="11" t="n">
        <x:v>14.729637234770705</x:v>
      </x:c>
      <x:c r="G5332" s="26" t="b">
        <x:v>1</x:v>
      </x:c>
      <x:c r="H5332" s="16" t="n">
        <x:v>0.244</x:v>
      </x:c>
      <x:c r="I5332" s="16" t="n">
        <x:v>0.35</x:v>
      </x:c>
      <x:c r="J5332" s="16" t="n">
        <x:v>0.15299999999999994</x:v>
      </x:c>
      <x:c r="K5332" s="11" t="n">
        <x:f>CHOOSE('假设'!$B$3,H5332,I5332,J5332)</x:f>
        <x:v>0.35</x:v>
      </x:c>
      <x:c r="L5332" s="11" t="n">
        <x:f>K5332*'管线假设'!E1143*'管线假设'!F1143*'管线假设'!G1143*IF(E5332="USD",'管线假设'!I1143,1)-AM5332</x:f>
        <x:v>0.06985014399999999</x:v>
      </x:c>
      <x:c r="M5332" s="11" t="n">
        <x:f>'管线假设'!H1143</x:f>
        <x:v>0.14</x:v>
      </x:c>
      <x:c r="N5332" s="11" t="n">
        <x:f>IF(G5332,L5332*AN5332/(1+M5332)^F5332,0)</x:f>
        <x:v>0.010138635008067281</x:v>
      </x:c>
      <x:c r="AJ5332" t="n">
        <x:v>0</x:v>
      </x:c>
      <x:c r="AK5332" t="n">
        <x:v>0</x:v>
      </x:c>
      <x:c r="AL5332" t="n">
        <x:v>0</x:v>
      </x:c>
      <x:c r="AM5332" t="n">
        <x:f>CHOOSE('假设'!$B$3,AJ5332,AK5332,AL5332)</x:f>
        <x:v>0</x:v>
      </x:c>
      <x:c r="AN5332" t="n">
        <x:v>1</x:v>
      </x:c>
    </x:row>
    <x:row r="5333" ht="23" customHeight="1">
      <x:c r="A5333" s="11" t="str">
        <x:v>688062.SH</x:v>
      </x:c>
      <x:c r="B5333" s="11" t="str">
        <x:v>半年</x:v>
      </x:c>
      <x:c r="C5333" s="11" t="str">
        <x:v>tmprss_pv_global</x:v>
      </x:c>
      <x:c r="D5333" s="11" t="str">
        <x:v>2042-12-31</x:v>
      </x:c>
      <x:c r="E5333" s="11" t="str">
        <x:v>USD</x:v>
      </x:c>
      <x:c r="F5333" s="11" t="n">
        <x:v>15.728952772073923</x:v>
      </x:c>
      <x:c r="G5333" s="26" t="b">
        <x:v>1</x:v>
      </x:c>
      <x:c r="H5333" s="16" t="n">
        <x:v>0.192</x:v>
      </x:c>
      <x:c r="I5333" s="16" t="n">
        <x:v>0.21999999999999997</x:v>
      </x:c>
      <x:c r="J5333" s="16" t="n">
        <x:v>0</x:v>
      </x:c>
      <x:c r="K5333" s="11" t="n">
        <x:f>CHOOSE('假设'!$B$3,H5333,I5333,J5333)</x:f>
        <x:v>0.21999999999999997</x:v>
      </x:c>
      <x:c r="L5333" s="11" t="n">
        <x:f>K5333*'管线假设'!E1143*'管线假设'!F1143*'管线假设'!G1143*IF(E5333="USD",'管线假设'!I1143,1)-AM5333</x:f>
        <x:v>0.043905804799999996</x:v>
      </x:c>
      <x:c r="M5333" s="11" t="n">
        <x:f>'管线假设'!H1143</x:f>
        <x:v>0.14</x:v>
      </x:c>
      <x:c r="N5333" s="11" t="n">
        <x:f>IF(G5333,L5333*AN5333/(1+M5333)^F5333,0)</x:f>
        <x:v>0.005590726192447319</x:v>
      </x:c>
      <x:c r="AJ5333" t="n">
        <x:v>0</x:v>
      </x:c>
      <x:c r="AK5333" t="n">
        <x:v>0</x:v>
      </x:c>
      <x:c r="AL5333" t="n">
        <x:v>0</x:v>
      </x:c>
      <x:c r="AM5333" t="n">
        <x:f>CHOOSE('假设'!$B$3,AJ5333,AK5333,AL5333)</x:f>
        <x:v>0</x:v>
      </x:c>
      <x:c r="AN5333" t="n">
        <x:v>1</x:v>
      </x:c>
    </x:row>
    <x:row r="5334" ht="23" customHeight="1">
      <x:c r="A5334" s="11" t="str">
        <x:v>688062.SH</x:v>
      </x:c>
      <x:c r="B5334" s="11" t="str">
        <x:v>半年</x:v>
      </x:c>
      <x:c r="C5334" s="11" t="str">
        <x:v>tmprss_pv_global</x:v>
      </x:c>
      <x:c r="D5334" s="11" t="str">
        <x:v>2043-12-31</x:v>
      </x:c>
      <x:c r="E5334" s="11" t="str">
        <x:v>USD</x:v>
      </x:c>
      <x:c r="F5334" s="11" t="n">
        <x:v>16.72826830937714</x:v>
      </x:c>
      <x:c r="G5334" s="26" t="b">
        <x:v>1</x:v>
      </x:c>
      <x:c r="H5334" s="16" t="n">
        <x:v>0.13999999999999999</x:v>
      </x:c>
      <x:c r="I5334" s="16" t="n">
        <x:v>0.08999999999999997</x:v>
      </x:c>
      <x:c r="J5334" s="16" t="n">
        <x:v>0</x:v>
      </x:c>
      <x:c r="K5334" s="11" t="n">
        <x:f>CHOOSE('假设'!$B$3,H5334,I5334,J5334)</x:f>
        <x:v>0.08999999999999997</x:v>
      </x:c>
      <x:c r="L5334" s="11" t="n">
        <x:f>K5334*'管线假设'!E1143*'管线假设'!F1143*'管线假设'!G1143*IF(E5334="USD",'管线假设'!I1143,1)-AM5334</x:f>
        <x:v>0.017961465599999994</x:v>
      </x:c>
      <x:c r="M5334" s="11" t="n">
        <x:f>'管线假设'!H1143</x:f>
        <x:v>0.14</x:v>
      </x:c>
      <x:c r="N5334" s="11" t="n">
        <x:f>IF(G5334,L5334*AN5334/(1+M5334)^F5334,0)</x:f>
        <x:v>0.0020064213923626202</x:v>
      </x:c>
      <x:c r="AJ5334" t="n">
        <x:v>0</x:v>
      </x:c>
      <x:c r="AK5334" t="n">
        <x:v>0</x:v>
      </x:c>
      <x:c r="AL5334" t="n">
        <x:v>0</x:v>
      </x:c>
      <x:c r="AM5334" t="n">
        <x:f>CHOOSE('假设'!$B$3,AJ5334,AK5334,AL5334)</x:f>
        <x:v>0</x:v>
      </x:c>
      <x:c r="AN5334" t="n">
        <x:v>1</x:v>
      </x:c>
    </x:row>
    <x:row r="5335" ht="23" customHeight="1">
      <x:c r="A5335" s="11" t="str">
        <x:v>688062.SH</x:v>
      </x:c>
      <x:c r="B5335" s="11" t="str">
        <x:v>半年</x:v>
      </x:c>
      <x:c r="C5335" s="11" t="str">
        <x:v>tmprss_pv_global</x:v>
      </x:c>
      <x:c r="D5335" s="11" t="str">
        <x:v>2044-12-31</x:v>
      </x:c>
      <x:c r="E5335" s="11" t="str">
        <x:v>USD</x:v>
      </x:c>
      <x:c r="F5335" s="11" t="n">
        <x:v>17.730321697467488</x:v>
      </x:c>
      <x:c r="G5335" s="26" t="b">
        <x:v>1</x:v>
      </x:c>
      <x:c r="H5335" s="16" t="n">
        <x:v>0.088</x:v>
      </x:c>
      <x:c r="I5335" s="16" t="n">
        <x:v>0</x:v>
      </x:c>
      <x:c r="J5335" s="16" t="n">
        <x:v>0</x:v>
      </x:c>
      <x:c r="K5335" s="11" t="n">
        <x:f>CHOOSE('假设'!$B$3,H5335,I5335,J5335)</x:f>
        <x:v>0</x:v>
      </x:c>
      <x:c r="L5335" s="11" t="n">
        <x:f>K5335*'管线假设'!E1143*'管线假设'!F1143*'管线假设'!G1143*IF(E5335="USD",'管线假设'!I1143,1)-AM5335</x:f>
        <x:v>0</x:v>
      </x:c>
      <x:c r="M5335" s="11" t="n">
        <x:f>'管线假设'!H1143</x:f>
        <x:v>0.14</x:v>
      </x:c>
      <x:c r="N5335" s="11" t="n">
        <x:f>IF(G5335,L5335*AN5335/(1+M5335)^F5335,0)</x:f>
        <x:v>0</x:v>
      </x:c>
      <x:c r="AJ5335" t="n">
        <x:v>0</x:v>
      </x:c>
      <x:c r="AK5335" t="n">
        <x:v>0</x:v>
      </x:c>
      <x:c r="AL5335" t="n">
        <x:v>0</x:v>
      </x:c>
      <x:c r="AM5335" t="n">
        <x:f>CHOOSE('假设'!$B$3,AJ5335,AK5335,AL5335)</x:f>
        <x:v>0</x:v>
      </x:c>
      <x:c r="AN5335" t="n">
        <x:v>1</x:v>
      </x:c>
    </x:row>
    <x:row r="5336" ht="23" customHeight="1">
      <x:c r="A5336" s="11" t="str">
        <x:v>688062.SH</x:v>
      </x:c>
      <x:c r="B5336" s="11" t="str">
        <x:v>半年</x:v>
      </x:c>
      <x:c r="C5336" s="11" t="str">
        <x:v>tmprss_pv_global</x:v>
      </x:c>
      <x:c r="D5336" s="11" t="str">
        <x:v>2045-12-31</x:v>
      </x:c>
      <x:c r="E5336" s="11" t="str">
        <x:v>USD</x:v>
      </x:c>
      <x:c r="F5336" s="11" t="n">
        <x:v>18.729637234770706</x:v>
      </x:c>
      <x:c r="G5336" s="26" t="b">
        <x:v>1</x:v>
      </x:c>
      <x:c r="H5336" s="16" t="n">
        <x:v>0.03599999999999999</x:v>
      </x:c>
      <x:c r="I5336" s="16" t="n">
        <x:v>0</x:v>
      </x:c>
      <x:c r="J5336" s="16" t="n">
        <x:v>0</x:v>
      </x:c>
      <x:c r="K5336" s="11" t="n">
        <x:f>CHOOSE('假设'!$B$3,H5336,I5336,J5336)</x:f>
        <x:v>0</x:v>
      </x:c>
      <x:c r="L5336" s="11" t="n">
        <x:f>K5336*'管线假设'!E1143*'管线假设'!F1143*'管线假设'!G1143*IF(E5336="USD",'管线假设'!I1143,1)-AM5336</x:f>
        <x:v>0</x:v>
      </x:c>
      <x:c r="M5336" s="11" t="n">
        <x:f>'管线假设'!H1143</x:f>
        <x:v>0.14</x:v>
      </x:c>
      <x:c r="N5336" s="11" t="n">
        <x:f>IF(G5336,L5336*AN5336/(1+M5336)^F5336,0)</x:f>
        <x:v>0</x:v>
      </x:c>
      <x:c r="AJ5336" t="n">
        <x:v>0</x:v>
      </x:c>
      <x:c r="AK5336" t="n">
        <x:v>0</x:v>
      </x:c>
      <x:c r="AL5336" t="n">
        <x:v>0</x:v>
      </x:c>
      <x:c r="AM5336" t="n">
        <x:f>CHOOSE('假设'!$B$3,AJ5336,AK5336,AL5336)</x:f>
        <x:v>0</x:v>
      </x:c>
      <x:c r="AN5336" t="n">
        <x:v>1</x:v>
      </x:c>
    </x:row>
    <x:row r="5337" ht="23" customHeight="1">
      <x:c r="A5337" s="11" t="str">
        <x:v>688062.SH</x:v>
      </x:c>
      <x:c r="B5337" s="11" t="str">
        <x:v>半年</x:v>
      </x:c>
      <x:c r="C5337" s="11" t="str">
        <x:v>tmprss_pv_cn</x:v>
      </x:c>
      <x:c r="D5337" s="11" t="str">
        <x:v>2027-12-31</x:v>
      </x:c>
      <x:c r="E5337" s="11" t="str">
        <x:v>CNY</x:v>
      </x:c>
      <x:c r="F5337" s="11" t="n">
        <x:v>0.7282683093771389</x:v>
      </x:c>
      <x:c r="G5337" s="26" t="b">
        <x:v>1</x:v>
      </x:c>
      <x:c r="H5337" s="16" t="n">
        <x:v>0</x:v>
      </x:c>
      <x:c r="I5337" s="16" t="n">
        <x:v>0</x:v>
      </x:c>
      <x:c r="J5337" s="16" t="n">
        <x:v>0</x:v>
      </x:c>
      <x:c r="K5337" s="11" t="n">
        <x:f>CHOOSE('假设'!$B$3,H5337,I5337,J5337)</x:f>
        <x:v>0</x:v>
      </x:c>
      <x:c r="L5337" s="11" t="n">
        <x:f>K5337*'管线假设'!E1147*'管线假设'!F1147*'管线假设'!G1147*IF(E5337="USD",'管线假设'!I1147,1)-AM5337</x:f>
        <x:v>0</x:v>
      </x:c>
      <x:c r="M5337" s="11" t="n">
        <x:f>'管线假设'!H1147</x:f>
        <x:v>0.14</x:v>
      </x:c>
      <x:c r="N5337" s="11" t="n">
        <x:f>IF(G5337,L5337*AN5337/(1+M5337)^F5337,0)</x:f>
        <x:v>0</x:v>
      </x:c>
      <x:c r="AJ5337" t="n">
        <x:v>0</x:v>
      </x:c>
      <x:c r="AK5337" t="n">
        <x:v>0</x:v>
      </x:c>
      <x:c r="AL5337" t="n">
        <x:v>0</x:v>
      </x:c>
      <x:c r="AM5337" t="n">
        <x:f>CHOOSE('假设'!$B$3,AJ5337,AK5337,AL5337)</x:f>
        <x:v>0</x:v>
      </x:c>
      <x:c r="AN5337" t="n">
        <x:v>1</x:v>
      </x:c>
    </x:row>
    <x:row r="5338" ht="23" customHeight="1">
      <x:c r="A5338" s="11" t="str">
        <x:v>688062.SH</x:v>
      </x:c>
      <x:c r="B5338" s="11" t="str">
        <x:v>半年</x:v>
      </x:c>
      <x:c r="C5338" s="11" t="str">
        <x:v>tmprss_pv_cn</x:v>
      </x:c>
      <x:c r="D5338" s="11" t="str">
        <x:v>2028-12-31</x:v>
      </x:c>
      <x:c r="E5338" s="11" t="str">
        <x:v>CNY</x:v>
      </x:c>
      <x:c r="F5338" s="11" t="n">
        <x:v>1.730321697467488</x:v>
      </x:c>
      <x:c r="G5338" s="26" t="b">
        <x:v>1</x:v>
      </x:c>
      <x:c r="H5338" s="16" t="n">
        <x:v>0</x:v>
      </x:c>
      <x:c r="I5338" s="16" t="n">
        <x:v>0</x:v>
      </x:c>
      <x:c r="J5338" s="16" t="n">
        <x:v>0</x:v>
      </x:c>
      <x:c r="K5338" s="11" t="n">
        <x:f>CHOOSE('假设'!$B$3,H5338,I5338,J5338)</x:f>
        <x:v>0</x:v>
      </x:c>
      <x:c r="L5338" s="11" t="n">
        <x:f>K5338*'管线假设'!E1147*'管线假设'!F1147*'管线假设'!G1147*IF(E5338="USD",'管线假设'!I1147,1)-AM5338</x:f>
        <x:v>0</x:v>
      </x:c>
      <x:c r="M5338" s="11" t="n">
        <x:f>'管线假设'!H1147</x:f>
        <x:v>0.14</x:v>
      </x:c>
      <x:c r="N5338" s="11" t="n">
        <x:f>IF(G5338,L5338*AN5338/(1+M5338)^F5338,0)</x:f>
        <x:v>0</x:v>
      </x:c>
      <x:c r="AJ5338" t="n">
        <x:v>0</x:v>
      </x:c>
      <x:c r="AK5338" t="n">
        <x:v>0</x:v>
      </x:c>
      <x:c r="AL5338" t="n">
        <x:v>0</x:v>
      </x:c>
      <x:c r="AM5338" t="n">
        <x:f>CHOOSE('假设'!$B$3,AJ5338,AK5338,AL5338)</x:f>
        <x:v>0</x:v>
      </x:c>
      <x:c r="AN5338" t="n">
        <x:v>1</x:v>
      </x:c>
    </x:row>
    <x:row r="5339" ht="23" customHeight="1">
      <x:c r="A5339" s="11" t="str">
        <x:v>688062.SH</x:v>
      </x:c>
      <x:c r="B5339" s="11" t="str">
        <x:v>半年</x:v>
      </x:c>
      <x:c r="C5339" s="11" t="str">
        <x:v>tmprss_pv_cn</x:v>
      </x:c>
      <x:c r="D5339" s="11" t="str">
        <x:v>2029-12-31</x:v>
      </x:c>
      <x:c r="E5339" s="11" t="str">
        <x:v>CNY</x:v>
      </x:c>
      <x:c r="F5339" s="11" t="n">
        <x:v>2.729637234770705</x:v>
      </x:c>
      <x:c r="G5339" s="26" t="b">
        <x:v>1</x:v>
      </x:c>
      <x:c r="H5339" s="16" t="n">
        <x:v>0</x:v>
      </x:c>
      <x:c r="I5339" s="16" t="n">
        <x:v>0</x:v>
      </x:c>
      <x:c r="J5339" s="16" t="n">
        <x:v>0.16666666666666666</x:v>
      </x:c>
      <x:c r="K5339" s="11" t="n">
        <x:f>CHOOSE('假设'!$B$3,H5339,I5339,J5339)</x:f>
        <x:v>0</x:v>
      </x:c>
      <x:c r="L5339" s="11" t="n">
        <x:f>K5339*'管线假设'!E1147*'管线假设'!F1147*'管线假设'!G1147*IF(E5339="USD",'管线假设'!I1147,1)-AM5339</x:f>
        <x:v>0</x:v>
      </x:c>
      <x:c r="M5339" s="11" t="n">
        <x:f>'管线假设'!H1147</x:f>
        <x:v>0.14</x:v>
      </x:c>
      <x:c r="N5339" s="11" t="n">
        <x:f>IF(G5339,L5339*AN5339/(1+M5339)^F5339,0)</x:f>
        <x:v>0</x:v>
      </x:c>
      <x:c r="AJ5339" t="n">
        <x:v>0</x:v>
      </x:c>
      <x:c r="AK5339" t="n">
        <x:v>0</x:v>
      </x:c>
      <x:c r="AL5339" t="n">
        <x:v>0</x:v>
      </x:c>
      <x:c r="AM5339" t="n">
        <x:f>CHOOSE('假设'!$B$3,AJ5339,AK5339,AL5339)</x:f>
        <x:v>0</x:v>
      </x:c>
      <x:c r="AN5339" t="n">
        <x:v>1</x:v>
      </x:c>
    </x:row>
    <x:row r="5340" ht="23" customHeight="1">
      <x:c r="A5340" s="11" t="str">
        <x:v>688062.SH</x:v>
      </x:c>
      <x:c r="B5340" s="11" t="str">
        <x:v>半年</x:v>
      </x:c>
      <x:c r="C5340" s="11" t="str">
        <x:v>tmprss_pv_cn</x:v>
      </x:c>
      <x:c r="D5340" s="11" t="str">
        <x:v>2030-12-31</x:v>
      </x:c>
      <x:c r="E5340" s="11" t="str">
        <x:v>CNY</x:v>
      </x:c>
      <x:c r="F5340" s="11" t="n">
        <x:v>3.728952772073922</x:v>
      </x:c>
      <x:c r="G5340" s="26" t="b">
        <x:v>1</x:v>
      </x:c>
      <x:c r="H5340" s="16" t="n">
        <x:v>0</x:v>
      </x:c>
      <x:c r="I5340" s="16" t="n">
        <x:v>0</x:v>
      </x:c>
      <x:c r="J5340" s="16" t="n">
        <x:v>0.3333333333333333</x:v>
      </x:c>
      <x:c r="K5340" s="11" t="n">
        <x:f>CHOOSE('假设'!$B$3,H5340,I5340,J5340)</x:f>
        <x:v>0</x:v>
      </x:c>
      <x:c r="L5340" s="11" t="n">
        <x:f>K5340*'管线假设'!E1147*'管线假设'!F1147*'管线假设'!G1147*IF(E5340="USD",'管线假设'!I1147,1)-AM5340</x:f>
        <x:v>0</x:v>
      </x:c>
      <x:c r="M5340" s="11" t="n">
        <x:f>'管线假设'!H1147</x:f>
        <x:v>0.14</x:v>
      </x:c>
      <x:c r="N5340" s="11" t="n">
        <x:f>IF(G5340,L5340*AN5340/(1+M5340)^F5340,0)</x:f>
        <x:v>0</x:v>
      </x:c>
      <x:c r="AJ5340" t="n">
        <x:v>0</x:v>
      </x:c>
      <x:c r="AK5340" t="n">
        <x:v>0</x:v>
      </x:c>
      <x:c r="AL5340" t="n">
        <x:v>0</x:v>
      </x:c>
      <x:c r="AM5340" t="n">
        <x:f>CHOOSE('假设'!$B$3,AJ5340,AK5340,AL5340)</x:f>
        <x:v>0</x:v>
      </x:c>
      <x:c r="AN5340" t="n">
        <x:v>1</x:v>
      </x:c>
    </x:row>
    <x:row r="5341" ht="23" customHeight="1">
      <x:c r="A5341" s="11" t="str">
        <x:v>688062.SH</x:v>
      </x:c>
      <x:c r="B5341" s="11" t="str">
        <x:v>半年</x:v>
      </x:c>
      <x:c r="C5341" s="11" t="str">
        <x:v>tmprss_pv_cn</x:v>
      </x:c>
      <x:c r="D5341" s="11" t="str">
        <x:v>2031-12-31</x:v>
      </x:c>
      <x:c r="E5341" s="11" t="str">
        <x:v>CNY</x:v>
      </x:c>
      <x:c r="F5341" s="11" t="n">
        <x:v>4.728268309377139</x:v>
      </x:c>
      <x:c r="G5341" s="26" t="b">
        <x:v>1</x:v>
      </x:c>
      <x:c r="H5341" s="16" t="n">
        <x:v>0</x:v>
      </x:c>
      <x:c r="I5341" s="16" t="n">
        <x:v>0.09999999999999999</x:v>
      </x:c>
      <x:c r="J5341" s="16" t="n">
        <x:v>0.5</x:v>
      </x:c>
      <x:c r="K5341" s="11" t="n">
        <x:f>CHOOSE('假设'!$B$3,H5341,I5341,J5341)</x:f>
        <x:v>0.09999999999999999</x:v>
      </x:c>
      <x:c r="L5341" s="11" t="n">
        <x:f>K5341*'管线假设'!E1147*'管线假设'!F1147*'管线假设'!G1147*IF(E5341="USD",'管线假设'!I1147,1)-AM5341</x:f>
        <x:v>0.010889999999999999</x:v>
      </x:c>
      <x:c r="M5341" s="11" t="n">
        <x:f>'管线假设'!H1147</x:f>
        <x:v>0.14</x:v>
      </x:c>
      <x:c r="N5341" s="11" t="n">
        <x:f>IF(G5341,L5341*AN5341/(1+M5341)^F5341,0)</x:f>
        <x:v>0.005860929191820727</x:v>
      </x:c>
      <x:c r="AJ5341" t="n">
        <x:v>0</x:v>
      </x:c>
      <x:c r="AK5341" t="n">
        <x:v>0</x:v>
      </x:c>
      <x:c r="AL5341" t="n">
        <x:v>0</x:v>
      </x:c>
      <x:c r="AM5341" t="n">
        <x:f>CHOOSE('假设'!$B$3,AJ5341,AK5341,AL5341)</x:f>
        <x:v>0</x:v>
      </x:c>
      <x:c r="AN5341" t="n">
        <x:v>1</x:v>
      </x:c>
    </x:row>
    <x:row r="5342" ht="23" customHeight="1">
      <x:c r="A5342" s="11" t="str">
        <x:v>688062.SH</x:v>
      </x:c>
      <x:c r="B5342" s="11" t="str">
        <x:v>半年</x:v>
      </x:c>
      <x:c r="C5342" s="11" t="str">
        <x:v>tmprss_pv_cn</x:v>
      </x:c>
      <x:c r="D5342" s="11" t="str">
        <x:v>2032-12-31</x:v>
      </x:c>
      <x:c r="E5342" s="11" t="str">
        <x:v>CNY</x:v>
      </x:c>
      <x:c r="F5342" s="11" t="n">
        <x:v>5.730321697467488</x:v>
      </x:c>
      <x:c r="G5342" s="26" t="b">
        <x:v>1</x:v>
      </x:c>
      <x:c r="H5342" s="16" t="n">
        <x:v>0</x:v>
      </x:c>
      <x:c r="I5342" s="16" t="n">
        <x:v>0.19999999999999998</x:v>
      </x:c>
      <x:c r="J5342" s="16" t="n">
        <x:v>0.6666666666666666</x:v>
      </x:c>
      <x:c r="K5342" s="11" t="n">
        <x:f>CHOOSE('假设'!$B$3,H5342,I5342,J5342)</x:f>
        <x:v>0.19999999999999998</x:v>
      </x:c>
      <x:c r="L5342" s="11" t="n">
        <x:f>K5342*'管线假设'!E1147*'管线假设'!F1147*'管线假设'!G1147*IF(E5342="USD",'管线假设'!I1147,1)-AM5342</x:f>
        <x:v>0.021779999999999997</x:v>
      </x:c>
      <x:c r="M5342" s="11" t="n">
        <x:f>'管线假设'!H1147</x:f>
        <x:v>0.14</x:v>
      </x:c>
      <x:c r="N5342" s="11" t="n">
        <x:f>IF(G5342,L5342*AN5342/(1+M5342)^F5342,0)</x:f>
        <x:v>0.010279565806938926</x:v>
      </x:c>
      <x:c r="AJ5342" t="n">
        <x:v>0</x:v>
      </x:c>
      <x:c r="AK5342" t="n">
        <x:v>0</x:v>
      </x:c>
      <x:c r="AL5342" t="n">
        <x:v>0</x:v>
      </x:c>
      <x:c r="AM5342" t="n">
        <x:f>CHOOSE('假设'!$B$3,AJ5342,AK5342,AL5342)</x:f>
        <x:v>0</x:v>
      </x:c>
      <x:c r="AN5342" t="n">
        <x:v>1</x:v>
      </x:c>
    </x:row>
    <x:row r="5343" ht="23" customHeight="1">
      <x:c r="A5343" s="11" t="str">
        <x:v>688062.SH</x:v>
      </x:c>
      <x:c r="B5343" s="11" t="str">
        <x:v>半年</x:v>
      </x:c>
      <x:c r="C5343" s="11" t="str">
        <x:v>tmprss_pv_cn</x:v>
      </x:c>
      <x:c r="D5343" s="11" t="str">
        <x:v>2033-12-31</x:v>
      </x:c>
      <x:c r="E5343" s="11" t="str">
        <x:v>CNY</x:v>
      </x:c>
      <x:c r="F5343" s="11" t="n">
        <x:v>6.729637234770705</x:v>
      </x:c>
      <x:c r="G5343" s="26" t="b">
        <x:v>1</x:v>
      </x:c>
      <x:c r="H5343" s="16" t="n">
        <x:v>0</x:v>
      </x:c>
      <x:c r="I5343" s="16" t="n">
        <x:v>0.3</x:v>
      </x:c>
      <x:c r="J5343" s="16" t="n">
        <x:v>0.8333333333333334</x:v>
      </x:c>
      <x:c r="K5343" s="11" t="n">
        <x:f>CHOOSE('假设'!$B$3,H5343,I5343,J5343)</x:f>
        <x:v>0.3</x:v>
      </x:c>
      <x:c r="L5343" s="11" t="n">
        <x:f>K5343*'管线假设'!E1147*'管线假设'!F1147*'管线假设'!G1147*IF(E5343="USD",'管线假设'!I1147,1)-AM5343</x:f>
        <x:v>0.03267</x:v>
      </x:c>
      <x:c r="M5343" s="11" t="n">
        <x:f>'管线假设'!H1147</x:f>
        <x:v>0.14</x:v>
      </x:c>
      <x:c r="N5343" s="11" t="n">
        <x:f>IF(G5343,L5343*AN5343/(1+M5343)^F5343,0)</x:f>
        <x:v>0.013526957579509192</x:v>
      </x:c>
      <x:c r="AJ5343" t="n">
        <x:v>0</x:v>
      </x:c>
      <x:c r="AK5343" t="n">
        <x:v>0</x:v>
      </x:c>
      <x:c r="AL5343" t="n">
        <x:v>0</x:v>
      </x:c>
      <x:c r="AM5343" t="n">
        <x:f>CHOOSE('假设'!$B$3,AJ5343,AK5343,AL5343)</x:f>
        <x:v>0</x:v>
      </x:c>
      <x:c r="AN5343" t="n">
        <x:v>1</x:v>
      </x:c>
    </x:row>
    <x:row r="5344" ht="23" customHeight="1">
      <x:c r="A5344" s="11" t="str">
        <x:v>688062.SH</x:v>
      </x:c>
      <x:c r="B5344" s="11" t="str">
        <x:v>半年</x:v>
      </x:c>
      <x:c r="C5344" s="11" t="str">
        <x:v>tmprss_pv_cn</x:v>
      </x:c>
      <x:c r="D5344" s="11" t="str">
        <x:v>2034-12-31</x:v>
      </x:c>
      <x:c r="E5344" s="11" t="str">
        <x:v>CNY</x:v>
      </x:c>
      <x:c r="F5344" s="11" t="n">
        <x:v>7.728952772073922</x:v>
      </x:c>
      <x:c r="G5344" s="26" t="b">
        <x:v>1</x:v>
      </x:c>
      <x:c r="H5344" s="16" t="n">
        <x:v>0.06</x:v>
      </x:c>
      <x:c r="I5344" s="16" t="n">
        <x:v>0.39999999999999997</x:v>
      </x:c>
      <x:c r="J5344" s="16" t="n">
        <x:v>1</x:v>
      </x:c>
      <x:c r="K5344" s="11" t="n">
        <x:f>CHOOSE('假设'!$B$3,H5344,I5344,J5344)</x:f>
        <x:v>0.39999999999999997</x:v>
      </x:c>
      <x:c r="L5344" s="11" t="n">
        <x:f>K5344*'管线假设'!E1147*'管线假设'!F1147*'管线假设'!G1147*IF(E5344="USD",'管线假设'!I1147,1)-AM5344</x:f>
        <x:v>0.043559999999999995</x:v>
      </x:c>
      <x:c r="M5344" s="11" t="n">
        <x:f>'管线假设'!H1147</x:f>
        <x:v>0.14</x:v>
      </x:c>
      <x:c r="N5344" s="11" t="n">
        <x:f>IF(G5344,L5344*AN5344/(1+M5344)^F5344,0)</x:f>
        <x:v>0.01582242197076514</x:v>
      </x:c>
      <x:c r="AJ5344" t="n">
        <x:v>0</x:v>
      </x:c>
      <x:c r="AK5344" t="n">
        <x:v>0</x:v>
      </x:c>
      <x:c r="AL5344" t="n">
        <x:v>0</x:v>
      </x:c>
      <x:c r="AM5344" t="n">
        <x:f>CHOOSE('假设'!$B$3,AJ5344,AK5344,AL5344)</x:f>
        <x:v>0</x:v>
      </x:c>
      <x:c r="AN5344" t="n">
        <x:v>1</x:v>
      </x:c>
    </x:row>
    <x:row r="5345" ht="23" customHeight="1">
      <x:c r="A5345" s="11" t="str">
        <x:v>688062.SH</x:v>
      </x:c>
      <x:c r="B5345" s="11" t="str">
        <x:v>半年</x:v>
      </x:c>
      <x:c r="C5345" s="11" t="str">
        <x:v>tmprss_pv_cn</x:v>
      </x:c>
      <x:c r="D5345" s="11" t="str">
        <x:v>2035-12-31</x:v>
      </x:c>
      <x:c r="E5345" s="11" t="str">
        <x:v>CNY</x:v>
      </x:c>
      <x:c r="F5345" s="11" t="n">
        <x:v>8.728268309377139</x:v>
      </x:c>
      <x:c r="G5345" s="26" t="b">
        <x:v>1</x:v>
      </x:c>
      <x:c r="H5345" s="16" t="n">
        <x:v>0.12</x:v>
      </x:c>
      <x:c r="I5345" s="16" t="n">
        <x:v>0.5</x:v>
      </x:c>
      <x:c r="J5345" s="16" t="n">
        <x:v>0.87</x:v>
      </x:c>
      <x:c r="K5345" s="11" t="n">
        <x:f>CHOOSE('假设'!$B$3,H5345,I5345,J5345)</x:f>
        <x:v>0.5</x:v>
      </x:c>
      <x:c r="L5345" s="11" t="n">
        <x:f>K5345*'管线假设'!E1147*'管线假设'!F1147*'管线假设'!G1147*IF(E5345="USD",'管线假设'!I1147,1)-AM5345</x:f>
        <x:v>0.05445</x:v>
      </x:c>
      <x:c r="M5345" s="11" t="n">
        <x:f>'管线假设'!H1147</x:f>
        <x:v>0.14</x:v>
      </x:c>
      <x:c r="N5345" s="11" t="n">
        <x:f>IF(G5345,L5345*AN5345/(1+M5345)^F5345,0)</x:f>
        <x:v>0.01735070290770128</x:v>
      </x:c>
      <x:c r="AJ5345" t="n">
        <x:v>0</x:v>
      </x:c>
      <x:c r="AK5345" t="n">
        <x:v>0</x:v>
      </x:c>
      <x:c r="AL5345" t="n">
        <x:v>0</x:v>
      </x:c>
      <x:c r="AM5345" t="n">
        <x:f>CHOOSE('假设'!$B$3,AJ5345,AK5345,AL5345)</x:f>
        <x:v>0</x:v>
      </x:c>
      <x:c r="AN5345" t="n">
        <x:v>1</x:v>
      </x:c>
    </x:row>
    <x:row r="5346" ht="23" customHeight="1">
      <x:c r="A5346" s="11" t="str">
        <x:v>688062.SH</x:v>
      </x:c>
      <x:c r="B5346" s="11" t="str">
        <x:v>半年</x:v>
      </x:c>
      <x:c r="C5346" s="11" t="str">
        <x:v>tmprss_pv_cn</x:v>
      </x:c>
      <x:c r="D5346" s="11" t="str">
        <x:v>2036-12-31</x:v>
      </x:c>
      <x:c r="E5346" s="11" t="str">
        <x:v>CNY</x:v>
      </x:c>
      <x:c r="F5346" s="11" t="n">
        <x:v>9.730321697467488</x:v>
      </x:c>
      <x:c r="G5346" s="26" t="b">
        <x:v>1</x:v>
      </x:c>
      <x:c r="H5346" s="16" t="n">
        <x:v>0.18</x:v>
      </x:c>
      <x:c r="I5346" s="16" t="n">
        <x:v>0.6</x:v>
      </x:c>
      <x:c r="J5346" s="16" t="n">
        <x:v>0.74</x:v>
      </x:c>
      <x:c r="K5346" s="11" t="n">
        <x:f>CHOOSE('假设'!$B$3,H5346,I5346,J5346)</x:f>
        <x:v>0.6</x:v>
      </x:c>
      <x:c r="L5346" s="11" t="n">
        <x:f>K5346*'管线假设'!E1147*'管线假设'!F1147*'管线假设'!G1147*IF(E5346="USD",'管线假设'!I1147,1)-AM5346</x:f>
        <x:v>0.06534</x:v>
      </x:c>
      <x:c r="M5346" s="11" t="n">
        <x:f>'管线假设'!H1147</x:f>
        <x:v>0.14</x:v>
      </x:c>
      <x:c r="N5346" s="11" t="n">
        <x:f>IF(G5346,L5346*AN5346/(1+M5346)^F5346,0)</x:f>
        <x:v>0.018258984522652545</x:v>
      </x:c>
      <x:c r="AJ5346" t="n">
        <x:v>0</x:v>
      </x:c>
      <x:c r="AK5346" t="n">
        <x:v>0</x:v>
      </x:c>
      <x:c r="AL5346" t="n">
        <x:v>0</x:v>
      </x:c>
      <x:c r="AM5346" t="n">
        <x:f>CHOOSE('假设'!$B$3,AJ5346,AK5346,AL5346)</x:f>
        <x:v>0</x:v>
      </x:c>
      <x:c r="AN5346" t="n">
        <x:v>1</x:v>
      </x:c>
    </x:row>
    <x:row r="5347" ht="23" customHeight="1">
      <x:c r="A5347" s="11" t="str">
        <x:v>688062.SH</x:v>
      </x:c>
      <x:c r="B5347" s="11" t="str">
        <x:v>半年</x:v>
      </x:c>
      <x:c r="C5347" s="11" t="str">
        <x:v>tmprss_pv_cn</x:v>
      </x:c>
      <x:c r="D5347" s="11" t="str">
        <x:v>2037-12-31</x:v>
      </x:c>
      <x:c r="E5347" s="11" t="str">
        <x:v>CNY</x:v>
      </x:c>
      <x:c r="F5347" s="11" t="n">
        <x:v>10.729637234770705</x:v>
      </x:c>
      <x:c r="G5347" s="26" t="b">
        <x:v>1</x:v>
      </x:c>
      <x:c r="H5347" s="16" t="n">
        <x:v>0.24</x:v>
      </x:c>
      <x:c r="I5347" s="16" t="n">
        <x:v>0.522</x:v>
      </x:c>
      <x:c r="J5347" s="16" t="n">
        <x:v>0.61</x:v>
      </x:c>
      <x:c r="K5347" s="11" t="n">
        <x:f>CHOOSE('假设'!$B$3,H5347,I5347,J5347)</x:f>
        <x:v>0.522</x:v>
      </x:c>
      <x:c r="L5347" s="11" t="n">
        <x:f>K5347*'管线假设'!E1147*'管线假设'!F1147*'管线假设'!G1147*IF(E5347="USD",'管线假设'!I1147,1)-AM5347</x:f>
        <x:v>0.056845799999999995</x:v>
      </x:c>
      <x:c r="M5347" s="11" t="n">
        <x:f>'管线假设'!H1147</x:f>
        <x:v>0.14</x:v>
      </x:c>
      <x:c r="N5347" s="11" t="n">
        <x:f>IF(G5347,L5347*AN5347/(1+M5347)^F5347,0)</x:f>
        <x:v>0.013935737944432024</x:v>
      </x:c>
      <x:c r="AJ5347" t="n">
        <x:v>0</x:v>
      </x:c>
      <x:c r="AK5347" t="n">
        <x:v>0</x:v>
      </x:c>
      <x:c r="AL5347" t="n">
        <x:v>0</x:v>
      </x:c>
      <x:c r="AM5347" t="n">
        <x:f>CHOOSE('假设'!$B$3,AJ5347,AK5347,AL5347)</x:f>
        <x:v>0</x:v>
      </x:c>
      <x:c r="AN5347" t="n">
        <x:v>1</x:v>
      </x:c>
    </x:row>
    <x:row r="5348" ht="23" customHeight="1">
      <x:c r="A5348" s="11" t="str">
        <x:v>688062.SH</x:v>
      </x:c>
      <x:c r="B5348" s="11" t="str">
        <x:v>半年</x:v>
      </x:c>
      <x:c r="C5348" s="11" t="str">
        <x:v>tmprss_pv_cn</x:v>
      </x:c>
      <x:c r="D5348" s="11" t="str">
        <x:v>2038-12-31</x:v>
      </x:c>
      <x:c r="E5348" s="11" t="str">
        <x:v>CNY</x:v>
      </x:c>
      <x:c r="F5348" s="11" t="n">
        <x:v>11.728952772073923</x:v>
      </x:c>
      <x:c r="G5348" s="26" t="b">
        <x:v>1</x:v>
      </x:c>
      <x:c r="H5348" s="16" t="n">
        <x:v>0.3</x:v>
      </x:c>
      <x:c r="I5348" s="16" t="n">
        <x:v>0.444</x:v>
      </x:c>
      <x:c r="J5348" s="16" t="n">
        <x:v>0.48</x:v>
      </x:c>
      <x:c r="K5348" s="11" t="n">
        <x:f>CHOOSE('假设'!$B$3,H5348,I5348,J5348)</x:f>
        <x:v>0.444</x:v>
      </x:c>
      <x:c r="L5348" s="11" t="n">
        <x:f>K5348*'管线假设'!E1147*'管线假设'!F1147*'管线假设'!G1147*IF(E5348="USD",'管线假设'!I1147,1)-AM5348</x:f>
        <x:v>0.0483516</x:v>
      </x:c>
      <x:c r="M5348" s="11" t="n">
        <x:f>'管线假设'!H1147</x:f>
        <x:v>0.14</x:v>
      </x:c>
      <x:c r="N5348" s="11" t="n">
        <x:f>IF(G5348,L5348*AN5348/(1+M5348)^F5348,0)</x:f>
        <x:v>0.010398639827921875</x:v>
      </x:c>
      <x:c r="AJ5348" t="n">
        <x:v>0</x:v>
      </x:c>
      <x:c r="AK5348" t="n">
        <x:v>0</x:v>
      </x:c>
      <x:c r="AL5348" t="n">
        <x:v>0</x:v>
      </x:c>
      <x:c r="AM5348" t="n">
        <x:f>CHOOSE('假设'!$B$3,AJ5348,AK5348,AL5348)</x:f>
        <x:v>0</x:v>
      </x:c>
      <x:c r="AN5348" t="n">
        <x:v>1</x:v>
      </x:c>
    </x:row>
    <x:row r="5349" ht="23" customHeight="1">
      <x:c r="A5349" s="11" t="str">
        <x:v>688062.SH</x:v>
      </x:c>
      <x:c r="B5349" s="11" t="str">
        <x:v>半年</x:v>
      </x:c>
      <x:c r="C5349" s="11" t="str">
        <x:v>tmprss_pv_cn</x:v>
      </x:c>
      <x:c r="D5349" s="11" t="str">
        <x:v>2039-12-31</x:v>
      </x:c>
      <x:c r="E5349" s="11" t="str">
        <x:v>CNY</x:v>
      </x:c>
      <x:c r="F5349" s="11" t="n">
        <x:v>12.728268309377139</x:v>
      </x:c>
      <x:c r="G5349" s="26" t="b">
        <x:v>1</x:v>
      </x:c>
      <x:c r="H5349" s="16" t="n">
        <x:v>0.261</x:v>
      </x:c>
      <x:c r="I5349" s="16" t="n">
        <x:v>0.366</x:v>
      </x:c>
      <x:c r="J5349" s="16" t="n">
        <x:v>0.35</x:v>
      </x:c>
      <x:c r="K5349" s="11" t="n">
        <x:f>CHOOSE('假设'!$B$3,H5349,I5349,J5349)</x:f>
        <x:v>0.366</x:v>
      </x:c>
      <x:c r="L5349" s="11" t="n">
        <x:f>K5349*'管线假设'!E1147*'管线假设'!F1147*'管线假设'!G1147*IF(E5349="USD",'管线假设'!I1147,1)-AM5349</x:f>
        <x:v>0.0398574</x:v>
      </x:c>
      <x:c r="M5349" s="11" t="n">
        <x:f>'管线假设'!H1147</x:f>
        <x:v>0.14</x:v>
      </x:c>
      <x:c r="N5349" s="11" t="n">
        <x:f>IF(G5349,L5349*AN5349/(1+M5349)^F5349,0)</x:f>
        <x:v>0.007519842580796775</x:v>
      </x:c>
      <x:c r="AJ5349" t="n">
        <x:v>0</x:v>
      </x:c>
      <x:c r="AK5349" t="n">
        <x:v>0</x:v>
      </x:c>
      <x:c r="AL5349" t="n">
        <x:v>0</x:v>
      </x:c>
      <x:c r="AM5349" t="n">
        <x:f>CHOOSE('假设'!$B$3,AJ5349,AK5349,AL5349)</x:f>
        <x:v>0</x:v>
      </x:c>
      <x:c r="AN5349" t="n">
        <x:v>1</x:v>
      </x:c>
    </x:row>
    <x:row r="5350" ht="23" customHeight="1">
      <x:c r="A5350" s="11" t="str">
        <x:v>688062.SH</x:v>
      </x:c>
      <x:c r="B5350" s="11" t="str">
        <x:v>半年</x:v>
      </x:c>
      <x:c r="C5350" s="11" t="str">
        <x:v>tmprss_pv_cn</x:v>
      </x:c>
      <x:c r="D5350" s="11" t="str">
        <x:v>2040-12-31</x:v>
      </x:c>
      <x:c r="E5350" s="11" t="str">
        <x:v>CNY</x:v>
      </x:c>
      <x:c r="F5350" s="11" t="n">
        <x:v>13.730321697467488</x:v>
      </x:c>
      <x:c r="G5350" s="26" t="b">
        <x:v>1</x:v>
      </x:c>
      <x:c r="H5350" s="16" t="n">
        <x:v>0.222</x:v>
      </x:c>
      <x:c r="I5350" s="16" t="n">
        <x:v>0.288</x:v>
      </x:c>
      <x:c r="J5350" s="16" t="n">
        <x:v>0.21999999999999997</x:v>
      </x:c>
      <x:c r="K5350" s="11" t="n">
        <x:f>CHOOSE('假设'!$B$3,H5350,I5350,J5350)</x:f>
        <x:v>0.288</x:v>
      </x:c>
      <x:c r="L5350" s="11" t="n">
        <x:f>K5350*'管线假设'!E1147*'管线假设'!F1147*'管线假设'!G1147*IF(E5350="USD",'管线假设'!I1147,1)-AM5350</x:f>
        <x:v>0.031363199999999994</x:v>
      </x:c>
      <x:c r="M5350" s="11" t="n">
        <x:f>'管线假设'!H1147</x:f>
        <x:v>0.14</x:v>
      </x:c>
      <x:c r="N5350" s="11" t="n">
        <x:f>IF(G5350,L5350*AN5350/(1+M5350)^F5350,0)</x:f>
        <x:v>0.005189176617921655</x:v>
      </x:c>
      <x:c r="AJ5350" t="n">
        <x:v>0</x:v>
      </x:c>
      <x:c r="AK5350" t="n">
        <x:v>0</x:v>
      </x:c>
      <x:c r="AL5350" t="n">
        <x:v>0</x:v>
      </x:c>
      <x:c r="AM5350" t="n">
        <x:f>CHOOSE('假设'!$B$3,AJ5350,AK5350,AL5350)</x:f>
        <x:v>0</x:v>
      </x:c>
      <x:c r="AN5350" t="n">
        <x:v>1</x:v>
      </x:c>
    </x:row>
    <x:row r="5351" ht="23" customHeight="1">
      <x:c r="A5351" s="11" t="str">
        <x:v>688062.SH</x:v>
      </x:c>
      <x:c r="B5351" s="11" t="str">
        <x:v>半年</x:v>
      </x:c>
      <x:c r="C5351" s="11" t="str">
        <x:v>tmprss_pv_cn</x:v>
      </x:c>
      <x:c r="D5351" s="11" t="str">
        <x:v>2041-12-31</x:v>
      </x:c>
      <x:c r="E5351" s="11" t="str">
        <x:v>CNY</x:v>
      </x:c>
      <x:c r="F5351" s="11" t="n">
        <x:v>14.729637234770705</x:v>
      </x:c>
      <x:c r="G5351" s="26" t="b">
        <x:v>1</x:v>
      </x:c>
      <x:c r="H5351" s="16" t="n">
        <x:v>0.183</x:v>
      </x:c>
      <x:c r="I5351" s="16" t="n">
        <x:v>0.21</x:v>
      </x:c>
      <x:c r="J5351" s="16" t="n">
        <x:v>0.08999999999999997</x:v>
      </x:c>
      <x:c r="K5351" s="11" t="n">
        <x:f>CHOOSE('假设'!$B$3,H5351,I5351,J5351)</x:f>
        <x:v>0.21</x:v>
      </x:c>
      <x:c r="L5351" s="11" t="n">
        <x:f>K5351*'管线假设'!E1147*'管线假设'!F1147*'管线假设'!G1147*IF(E5351="USD",'管线假设'!I1147,1)-AM5351</x:f>
        <x:v>0.022868999999999997</x:v>
      </x:c>
      <x:c r="M5351" s="11" t="n">
        <x:f>'管线假设'!H1147</x:f>
        <x:v>0.14</x:v>
      </x:c>
      <x:c r="N5351" s="11" t="n">
        <x:f>IF(G5351,L5351*AN5351/(1+M5351)^F5351,0)</x:f>
        <x:v>0.0033193982248553512</x:v>
      </x:c>
      <x:c r="AJ5351" t="n">
        <x:v>0</x:v>
      </x:c>
      <x:c r="AK5351" t="n">
        <x:v>0</x:v>
      </x:c>
      <x:c r="AL5351" t="n">
        <x:v>0</x:v>
      </x:c>
      <x:c r="AM5351" t="n">
        <x:f>CHOOSE('假设'!$B$3,AJ5351,AK5351,AL5351)</x:f>
        <x:v>0</x:v>
      </x:c>
      <x:c r="AN5351" t="n">
        <x:v>1</x:v>
      </x:c>
    </x:row>
    <x:row r="5352" ht="23" customHeight="1">
      <x:c r="A5352" s="11" t="str">
        <x:v>688062.SH</x:v>
      </x:c>
      <x:c r="B5352" s="11" t="str">
        <x:v>半年</x:v>
      </x:c>
      <x:c r="C5352" s="11" t="str">
        <x:v>tmprss_pv_cn</x:v>
      </x:c>
      <x:c r="D5352" s="11" t="str">
        <x:v>2042-12-31</x:v>
      </x:c>
      <x:c r="E5352" s="11" t="str">
        <x:v>CNY</x:v>
      </x:c>
      <x:c r="F5352" s="11" t="n">
        <x:v>15.728952772073923</x:v>
      </x:c>
      <x:c r="G5352" s="26" t="b">
        <x:v>1</x:v>
      </x:c>
      <x:c r="H5352" s="16" t="n">
        <x:v>0.144</x:v>
      </x:c>
      <x:c r="I5352" s="16" t="n">
        <x:v>0.13199999999999998</x:v>
      </x:c>
      <x:c r="J5352" s="16" t="n">
        <x:v>0</x:v>
      </x:c>
      <x:c r="K5352" s="11" t="n">
        <x:f>CHOOSE('假设'!$B$3,H5352,I5352,J5352)</x:f>
        <x:v>0.13199999999999998</x:v>
      </x:c>
      <x:c r="L5352" s="11" t="n">
        <x:f>K5352*'管线假设'!E1147*'管线假设'!F1147*'管线假设'!G1147*IF(E5352="USD",'管线假设'!I1147,1)-AM5352</x:f>
        <x:v>0.014374799999999997</x:v>
      </x:c>
      <x:c r="M5352" s="11" t="n">
        <x:f>'管线假设'!H1147</x:f>
        <x:v>0.14</x:v>
      </x:c>
      <x:c r="N5352" s="11" t="n">
        <x:f>IF(G5352,L5352*AN5352/(1+M5352)^F5352,0)</x:f>
        <x:v>0.0018304087862020403</x:v>
      </x:c>
      <x:c r="AJ5352" t="n">
        <x:v>0</x:v>
      </x:c>
      <x:c r="AK5352" t="n">
        <x:v>0</x:v>
      </x:c>
      <x:c r="AL5352" t="n">
        <x:v>0</x:v>
      </x:c>
      <x:c r="AM5352" t="n">
        <x:f>CHOOSE('假设'!$B$3,AJ5352,AK5352,AL5352)</x:f>
        <x:v>0</x:v>
      </x:c>
      <x:c r="AN5352" t="n">
        <x:v>1</x:v>
      </x:c>
    </x:row>
    <x:row r="5353" ht="23" customHeight="1">
      <x:c r="A5353" s="11" t="str">
        <x:v>688062.SH</x:v>
      </x:c>
      <x:c r="B5353" s="11" t="str">
        <x:v>半年</x:v>
      </x:c>
      <x:c r="C5353" s="11" t="str">
        <x:v>tmprss_pv_cn</x:v>
      </x:c>
      <x:c r="D5353" s="11" t="str">
        <x:v>2043-12-31</x:v>
      </x:c>
      <x:c r="E5353" s="11" t="str">
        <x:v>CNY</x:v>
      </x:c>
      <x:c r="F5353" s="11" t="n">
        <x:v>16.72826830937714</x:v>
      </x:c>
      <x:c r="G5353" s="26" t="b">
        <x:v>1</x:v>
      </x:c>
      <x:c r="H5353" s="16" t="n">
        <x:v>0.105</x:v>
      </x:c>
      <x:c r="I5353" s="16" t="n">
        <x:v>0.05399999999999998</x:v>
      </x:c>
      <x:c r="J5353" s="16" t="n">
        <x:v>0</x:v>
      </x:c>
      <x:c r="K5353" s="11" t="n">
        <x:f>CHOOSE('假设'!$B$3,H5353,I5353,J5353)</x:f>
        <x:v>0.05399999999999998</x:v>
      </x:c>
      <x:c r="L5353" s="11" t="n">
        <x:f>K5353*'管线假设'!E1147*'管线假设'!F1147*'管线假设'!G1147*IF(E5353="USD",'管线假设'!I1147,1)-AM5353</x:f>
        <x:v>0.005880599999999997</x:v>
      </x:c>
      <x:c r="M5353" s="11" t="n">
        <x:f>'管线假设'!H1147</x:f>
        <x:v>0.14</x:v>
      </x:c>
      <x:c r="N5353" s="11" t="n">
        <x:f>IF(G5353,L5353*AN5353/(1+M5353)^F5353,0)</x:f>
        <x:v>0.0006569041693305709</x:v>
      </x:c>
      <x:c r="AJ5353" t="n">
        <x:v>0</x:v>
      </x:c>
      <x:c r="AK5353" t="n">
        <x:v>0</x:v>
      </x:c>
      <x:c r="AL5353" t="n">
        <x:v>0</x:v>
      </x:c>
      <x:c r="AM5353" t="n">
        <x:f>CHOOSE('假设'!$B$3,AJ5353,AK5353,AL5353)</x:f>
        <x:v>0</x:v>
      </x:c>
      <x:c r="AN5353" t="n">
        <x:v>1</x:v>
      </x:c>
    </x:row>
    <x:row r="5354" ht="23" customHeight="1">
      <x:c r="A5354" s="11" t="str">
        <x:v>688062.SH</x:v>
      </x:c>
      <x:c r="B5354" s="11" t="str">
        <x:v>半年</x:v>
      </x:c>
      <x:c r="C5354" s="11" t="str">
        <x:v>tmprss_pv_cn</x:v>
      </x:c>
      <x:c r="D5354" s="11" t="str">
        <x:v>2044-12-31</x:v>
      </x:c>
      <x:c r="E5354" s="11" t="str">
        <x:v>CNY</x:v>
      </x:c>
      <x:c r="F5354" s="11" t="n">
        <x:v>17.730321697467488</x:v>
      </x:c>
      <x:c r="G5354" s="26" t="b">
        <x:v>1</x:v>
      </x:c>
      <x:c r="H5354" s="16" t="n">
        <x:v>0.06599999999999999</x:v>
      </x:c>
      <x:c r="I5354" s="16" t="n">
        <x:v>0</x:v>
      </x:c>
      <x:c r="J5354" s="16" t="n">
        <x:v>0</x:v>
      </x:c>
      <x:c r="K5354" s="11" t="n">
        <x:f>CHOOSE('假设'!$B$3,H5354,I5354,J5354)</x:f>
        <x:v>0</x:v>
      </x:c>
      <x:c r="L5354" s="11" t="n">
        <x:f>K5354*'管线假设'!E1147*'管线假设'!F1147*'管线假设'!G1147*IF(E5354="USD",'管线假设'!I1147,1)-AM5354</x:f>
        <x:v>0</x:v>
      </x:c>
      <x:c r="M5354" s="11" t="n">
        <x:f>'管线假设'!H1147</x:f>
        <x:v>0.14</x:v>
      </x:c>
      <x:c r="N5354" s="11" t="n">
        <x:f>IF(G5354,L5354*AN5354/(1+M5354)^F5354,0)</x:f>
        <x:v>0</x:v>
      </x:c>
      <x:c r="AJ5354" t="n">
        <x:v>0</x:v>
      </x:c>
      <x:c r="AK5354" t="n">
        <x:v>0</x:v>
      </x:c>
      <x:c r="AL5354" t="n">
        <x:v>0</x:v>
      </x:c>
      <x:c r="AM5354" t="n">
        <x:f>CHOOSE('假设'!$B$3,AJ5354,AK5354,AL5354)</x:f>
        <x:v>0</x:v>
      </x:c>
      <x:c r="AN5354" t="n">
        <x:v>1</x:v>
      </x:c>
    </x:row>
    <x:row r="5355" ht="23" customHeight="1">
      <x:c r="A5355" s="11" t="str">
        <x:v>688062.SH</x:v>
      </x:c>
      <x:c r="B5355" s="11" t="str">
        <x:v>半年</x:v>
      </x:c>
      <x:c r="C5355" s="11" t="str">
        <x:v>tmprss_pv_cn</x:v>
      </x:c>
      <x:c r="D5355" s="11" t="str">
        <x:v>2045-12-31</x:v>
      </x:c>
      <x:c r="E5355" s="11" t="str">
        <x:v>CNY</x:v>
      </x:c>
      <x:c r="F5355" s="11" t="n">
        <x:v>18.729637234770706</x:v>
      </x:c>
      <x:c r="G5355" s="26" t="b">
        <x:v>1</x:v>
      </x:c>
      <x:c r="H5355" s="16" t="n">
        <x:v>0.02699999999999999</x:v>
      </x:c>
      <x:c r="I5355" s="16" t="n">
        <x:v>0</x:v>
      </x:c>
      <x:c r="J5355" s="16" t="n">
        <x:v>0</x:v>
      </x:c>
      <x:c r="K5355" s="11" t="n">
        <x:f>CHOOSE('假设'!$B$3,H5355,I5355,J5355)</x:f>
        <x:v>0</x:v>
      </x:c>
      <x:c r="L5355" s="11" t="n">
        <x:f>K5355*'管线假设'!E1147*'管线假设'!F1147*'管线假设'!G1147*IF(E5355="USD",'管线假设'!I1147,1)-AM5355</x:f>
        <x:v>0</x:v>
      </x:c>
      <x:c r="M5355" s="11" t="n">
        <x:f>'管线假设'!H1147</x:f>
        <x:v>0.14</x:v>
      </x:c>
      <x:c r="N5355" s="11" t="n">
        <x:f>IF(G5355,L5355*AN5355/(1+M5355)^F5355,0)</x:f>
        <x:v>0</x:v>
      </x:c>
      <x:c r="AJ5355" t="n">
        <x:v>0</x:v>
      </x:c>
      <x:c r="AK5355" t="n">
        <x:v>0</x:v>
      </x:c>
      <x:c r="AL5355" t="n">
        <x:v>0</x:v>
      </x:c>
      <x:c r="AM5355" t="n">
        <x:f>CHOOSE('假设'!$B$3,AJ5355,AK5355,AL5355)</x:f>
        <x:v>0</x:v>
      </x:c>
      <x:c r="AN5355" t="n">
        <x:v>1</x:v>
      </x:c>
    </x:row>
    <x:row r="5356" ht="23" customHeight="1">
      <x:c r="A5356" s="11" t="str">
        <x:v>688062.SH</x:v>
      </x:c>
      <x:c r="B5356" s="11" t="str">
        <x:v>半年</x:v>
      </x:c>
      <x:c r="C5356" s="11" t="str">
        <x:v>tmprss_scd</x:v>
      </x:c>
      <x:c r="D5356" s="11" t="str">
        <x:v>2027-12-31</x:v>
      </x:c>
      <x:c r="E5356" s="11" t="str">
        <x:v>USD</x:v>
      </x:c>
      <x:c r="F5356" s="11" t="n">
        <x:v>0.7282683093771389</x:v>
      </x:c>
      <x:c r="G5356" s="26" t="b">
        <x:v>1</x:v>
      </x:c>
      <x:c r="H5356" s="16" t="n">
        <x:v>0</x:v>
      </x:c>
      <x:c r="I5356" s="16" t="n">
        <x:v>0</x:v>
      </x:c>
      <x:c r="J5356" s="16" t="n">
        <x:v>0</x:v>
      </x:c>
      <x:c r="K5356" s="11" t="n">
        <x:f>CHOOSE('假设'!$B$3,H5356,I5356,J5356)</x:f>
        <x:v>0</x:v>
      </x:c>
      <x:c r="L5356" s="11" t="n">
        <x:f>K5356*'管线假设'!E1151*'管线假设'!F1151*'管线假设'!G1151*IF(E5356="USD",'管线假设'!I1151,1)-AM5356</x:f>
        <x:v>0</x:v>
      </x:c>
      <x:c r="M5356" s="11" t="n">
        <x:f>'管线假设'!H1151</x:f>
        <x:v>0.14</x:v>
      </x:c>
      <x:c r="N5356" s="11" t="n">
        <x:f>IF(G5356,L5356*AN5356/(1+M5356)^F5356,0)</x:f>
        <x:v>0</x:v>
      </x:c>
      <x:c r="AJ5356" t="n">
        <x:v>0</x:v>
      </x:c>
      <x:c r="AK5356" t="n">
        <x:v>0</x:v>
      </x:c>
      <x:c r="AL5356" t="n">
        <x:v>0</x:v>
      </x:c>
      <x:c r="AM5356" t="n">
        <x:f>CHOOSE('假设'!$B$3,AJ5356,AK5356,AL5356)</x:f>
        <x:v>0</x:v>
      </x:c>
      <x:c r="AN5356" t="n">
        <x:v>1</x:v>
      </x:c>
    </x:row>
    <x:row r="5357" ht="23" customHeight="1">
      <x:c r="A5357" s="11" t="str">
        <x:v>688062.SH</x:v>
      </x:c>
      <x:c r="B5357" s="11" t="str">
        <x:v>半年</x:v>
      </x:c>
      <x:c r="C5357" s="11" t="str">
        <x:v>tmprss_scd</x:v>
      </x:c>
      <x:c r="D5357" s="11" t="str">
        <x:v>2028-12-31</x:v>
      </x:c>
      <x:c r="E5357" s="11" t="str">
        <x:v>USD</x:v>
      </x:c>
      <x:c r="F5357" s="11" t="n">
        <x:v>1.730321697467488</x:v>
      </x:c>
      <x:c r="G5357" s="26" t="b">
        <x:v>1</x:v>
      </x:c>
      <x:c r="H5357" s="16" t="n">
        <x:v>0</x:v>
      </x:c>
      <x:c r="I5357" s="16" t="n">
        <x:v>0</x:v>
      </x:c>
      <x:c r="J5357" s="16" t="n">
        <x:v>0</x:v>
      </x:c>
      <x:c r="K5357" s="11" t="n">
        <x:f>CHOOSE('假设'!$B$3,H5357,I5357,J5357)</x:f>
        <x:v>0</x:v>
      </x:c>
      <x:c r="L5357" s="11" t="n">
        <x:f>K5357*'管线假设'!E1151*'管线假设'!F1151*'管线假设'!G1151*IF(E5357="USD",'管线假设'!I1151,1)-AM5357</x:f>
        <x:v>0</x:v>
      </x:c>
      <x:c r="M5357" s="11" t="n">
        <x:f>'管线假设'!H1151</x:f>
        <x:v>0.14</x:v>
      </x:c>
      <x:c r="N5357" s="11" t="n">
        <x:f>IF(G5357,L5357*AN5357/(1+M5357)^F5357,0)</x:f>
        <x:v>0</x:v>
      </x:c>
      <x:c r="AJ5357" t="n">
        <x:v>0</x:v>
      </x:c>
      <x:c r="AK5357" t="n">
        <x:v>0</x:v>
      </x:c>
      <x:c r="AL5357" t="n">
        <x:v>0</x:v>
      </x:c>
      <x:c r="AM5357" t="n">
        <x:f>CHOOSE('假设'!$B$3,AJ5357,AK5357,AL5357)</x:f>
        <x:v>0</x:v>
      </x:c>
      <x:c r="AN5357" t="n">
        <x:v>1</x:v>
      </x:c>
    </x:row>
    <x:row r="5358" ht="23" customHeight="1">
      <x:c r="A5358" s="11" t="str">
        <x:v>688062.SH</x:v>
      </x:c>
      <x:c r="B5358" s="11" t="str">
        <x:v>半年</x:v>
      </x:c>
      <x:c r="C5358" s="11" t="str">
        <x:v>tmprss_scd</x:v>
      </x:c>
      <x:c r="D5358" s="11" t="str">
        <x:v>2029-12-31</x:v>
      </x:c>
      <x:c r="E5358" s="11" t="str">
        <x:v>USD</x:v>
      </x:c>
      <x:c r="F5358" s="11" t="n">
        <x:v>2.729637234770705</x:v>
      </x:c>
      <x:c r="G5358" s="26" t="b">
        <x:v>1</x:v>
      </x:c>
      <x:c r="H5358" s="16" t="n">
        <x:v>0</x:v>
      </x:c>
      <x:c r="I5358" s="16" t="n">
        <x:v>0</x:v>
      </x:c>
      <x:c r="J5358" s="16" t="n">
        <x:v>0</x:v>
      </x:c>
      <x:c r="K5358" s="11" t="n">
        <x:f>CHOOSE('假设'!$B$3,H5358,I5358,J5358)</x:f>
        <x:v>0</x:v>
      </x:c>
      <x:c r="L5358" s="11" t="n">
        <x:f>K5358*'管线假设'!E1151*'管线假设'!F1151*'管线假设'!G1151*IF(E5358="USD",'管线假设'!I1151,1)-AM5358</x:f>
        <x:v>0</x:v>
      </x:c>
      <x:c r="M5358" s="11" t="n">
        <x:f>'管线假设'!H1151</x:f>
        <x:v>0.14</x:v>
      </x:c>
      <x:c r="N5358" s="11" t="n">
        <x:f>IF(G5358,L5358*AN5358/(1+M5358)^F5358,0)</x:f>
        <x:v>0</x:v>
      </x:c>
      <x:c r="AJ5358" t="n">
        <x:v>0</x:v>
      </x:c>
      <x:c r="AK5358" t="n">
        <x:v>0</x:v>
      </x:c>
      <x:c r="AL5358" t="n">
        <x:v>0</x:v>
      </x:c>
      <x:c r="AM5358" t="n">
        <x:f>CHOOSE('假设'!$B$3,AJ5358,AK5358,AL5358)</x:f>
        <x:v>0</x:v>
      </x:c>
      <x:c r="AN5358" t="n">
        <x:v>1</x:v>
      </x:c>
    </x:row>
    <x:row r="5359" ht="23" customHeight="1">
      <x:c r="A5359" s="11" t="str">
        <x:v>688062.SH</x:v>
      </x:c>
      <x:c r="B5359" s="11" t="str">
        <x:v>半年</x:v>
      </x:c>
      <x:c r="C5359" s="11" t="str">
        <x:v>tmprss_scd</x:v>
      </x:c>
      <x:c r="D5359" s="11" t="str">
        <x:v>2030-12-31</x:v>
      </x:c>
      <x:c r="E5359" s="11" t="str">
        <x:v>USD</x:v>
      </x:c>
      <x:c r="F5359" s="11" t="n">
        <x:v>3.728952772073922</x:v>
      </x:c>
      <x:c r="G5359" s="26" t="b">
        <x:v>1</x:v>
      </x:c>
      <x:c r="H5359" s="16" t="n">
        <x:v>0</x:v>
      </x:c>
      <x:c r="I5359" s="16" t="n">
        <x:v>0</x:v>
      </x:c>
      <x:c r="J5359" s="16" t="n">
        <x:v>0</x:v>
      </x:c>
      <x:c r="K5359" s="11" t="n">
        <x:f>CHOOSE('假设'!$B$3,H5359,I5359,J5359)</x:f>
        <x:v>0</x:v>
      </x:c>
      <x:c r="L5359" s="11" t="n">
        <x:f>K5359*'管线假设'!E1151*'管线假设'!F1151*'管线假设'!G1151*IF(E5359="USD",'管线假设'!I1151,1)-AM5359</x:f>
        <x:v>0</x:v>
      </x:c>
      <x:c r="M5359" s="11" t="n">
        <x:f>'管线假设'!H1151</x:f>
        <x:v>0.14</x:v>
      </x:c>
      <x:c r="N5359" s="11" t="n">
        <x:f>IF(G5359,L5359*AN5359/(1+M5359)^F5359,0)</x:f>
        <x:v>0</x:v>
      </x:c>
      <x:c r="AJ5359" t="n">
        <x:v>0</x:v>
      </x:c>
      <x:c r="AK5359" t="n">
        <x:v>0</x:v>
      </x:c>
      <x:c r="AL5359" t="n">
        <x:v>0</x:v>
      </x:c>
      <x:c r="AM5359" t="n">
        <x:f>CHOOSE('假设'!$B$3,AJ5359,AK5359,AL5359)</x:f>
        <x:v>0</x:v>
      </x:c>
      <x:c r="AN5359" t="n">
        <x:v>1</x:v>
      </x:c>
    </x:row>
    <x:row r="5360" ht="23" customHeight="1">
      <x:c r="A5360" s="11" t="str">
        <x:v>688062.SH</x:v>
      </x:c>
      <x:c r="B5360" s="11" t="str">
        <x:v>半年</x:v>
      </x:c>
      <x:c r="C5360" s="11" t="str">
        <x:v>tmprss_scd</x:v>
      </x:c>
      <x:c r="D5360" s="11" t="str">
        <x:v>2031-12-31</x:v>
      </x:c>
      <x:c r="E5360" s="11" t="str">
        <x:v>USD</x:v>
      </x:c>
      <x:c r="F5360" s="11" t="n">
        <x:v>4.728268309377139</x:v>
      </x:c>
      <x:c r="G5360" s="26" t="b">
        <x:v>1</x:v>
      </x:c>
      <x:c r="H5360" s="16" t="n">
        <x:v>0</x:v>
      </x:c>
      <x:c r="I5360" s="16" t="n">
        <x:v>0</x:v>
      </x:c>
      <x:c r="J5360" s="16" t="n">
        <x:v>0.3333333333333333</x:v>
      </x:c>
      <x:c r="K5360" s="11" t="n">
        <x:f>CHOOSE('假设'!$B$3,H5360,I5360,J5360)</x:f>
        <x:v>0</x:v>
      </x:c>
      <x:c r="L5360" s="11" t="n">
        <x:f>K5360*'管线假设'!E1151*'管线假设'!F1151*'管线假设'!G1151*IF(E5360="USD",'管线假设'!I1151,1)-AM5360</x:f>
        <x:v>0</x:v>
      </x:c>
      <x:c r="M5360" s="11" t="n">
        <x:f>'管线假设'!H1151</x:f>
        <x:v>0.14</x:v>
      </x:c>
      <x:c r="N5360" s="11" t="n">
        <x:f>IF(G5360,L5360*AN5360/(1+M5360)^F5360,0)</x:f>
        <x:v>0</x:v>
      </x:c>
      <x:c r="AJ5360" t="n">
        <x:v>0</x:v>
      </x:c>
      <x:c r="AK5360" t="n">
        <x:v>0</x:v>
      </x:c>
      <x:c r="AL5360" t="n">
        <x:v>0</x:v>
      </x:c>
      <x:c r="AM5360" t="n">
        <x:f>CHOOSE('假设'!$B$3,AJ5360,AK5360,AL5360)</x:f>
        <x:v>0</x:v>
      </x:c>
      <x:c r="AN5360" t="n">
        <x:v>1</x:v>
      </x:c>
    </x:row>
    <x:row r="5361" ht="23" customHeight="1">
      <x:c r="A5361" s="11" t="str">
        <x:v>688062.SH</x:v>
      </x:c>
      <x:c r="B5361" s="11" t="str">
        <x:v>半年</x:v>
      </x:c>
      <x:c r="C5361" s="11" t="str">
        <x:v>tmprss_scd</x:v>
      </x:c>
      <x:c r="D5361" s="11" t="str">
        <x:v>2032-12-31</x:v>
      </x:c>
      <x:c r="E5361" s="11" t="str">
        <x:v>USD</x:v>
      </x:c>
      <x:c r="F5361" s="11" t="n">
        <x:v>5.730321697467488</x:v>
      </x:c>
      <x:c r="G5361" s="26" t="b">
        <x:v>1</x:v>
      </x:c>
      <x:c r="H5361" s="16" t="n">
        <x:v>0</x:v>
      </x:c>
      <x:c r="I5361" s="16" t="n">
        <x:v>0</x:v>
      </x:c>
      <x:c r="J5361" s="16" t="n">
        <x:v>0.6666666666666666</x:v>
      </x:c>
      <x:c r="K5361" s="11" t="n">
        <x:f>CHOOSE('假设'!$B$3,H5361,I5361,J5361)</x:f>
        <x:v>0</x:v>
      </x:c>
      <x:c r="L5361" s="11" t="n">
        <x:f>K5361*'管线假设'!E1151*'管线假设'!F1151*'管线假设'!G1151*IF(E5361="USD",'管线假设'!I1151,1)-AM5361</x:f>
        <x:v>0</x:v>
      </x:c>
      <x:c r="M5361" s="11" t="n">
        <x:f>'管线假设'!H1151</x:f>
        <x:v>0.14</x:v>
      </x:c>
      <x:c r="N5361" s="11" t="n">
        <x:f>IF(G5361,L5361*AN5361/(1+M5361)^F5361,0)</x:f>
        <x:v>0</x:v>
      </x:c>
      <x:c r="AJ5361" t="n">
        <x:v>0</x:v>
      </x:c>
      <x:c r="AK5361" t="n">
        <x:v>0</x:v>
      </x:c>
      <x:c r="AL5361" t="n">
        <x:v>0</x:v>
      </x:c>
      <x:c r="AM5361" t="n">
        <x:f>CHOOSE('假设'!$B$3,AJ5361,AK5361,AL5361)</x:f>
        <x:v>0</x:v>
      </x:c>
      <x:c r="AN5361" t="n">
        <x:v>1</x:v>
      </x:c>
    </x:row>
    <x:row r="5362" ht="23" customHeight="1">
      <x:c r="A5362" s="11" t="str">
        <x:v>688062.SH</x:v>
      </x:c>
      <x:c r="B5362" s="11" t="str">
        <x:v>半年</x:v>
      </x:c>
      <x:c r="C5362" s="11" t="str">
        <x:v>tmprss_scd</x:v>
      </x:c>
      <x:c r="D5362" s="11" t="str">
        <x:v>2033-12-31</x:v>
      </x:c>
      <x:c r="E5362" s="11" t="str">
        <x:v>USD</x:v>
      </x:c>
      <x:c r="F5362" s="11" t="n">
        <x:v>6.729637234770705</x:v>
      </x:c>
      <x:c r="G5362" s="26" t="b">
        <x:v>1</x:v>
      </x:c>
      <x:c r="H5362" s="16" t="n">
        <x:v>0</x:v>
      </x:c>
      <x:c r="I5362" s="16" t="n">
        <x:v>0.16666666666666666</x:v>
      </x:c>
      <x:c r="J5362" s="16" t="n">
        <x:v>1</x:v>
      </x:c>
      <x:c r="K5362" s="11" t="n">
        <x:f>CHOOSE('假设'!$B$3,H5362,I5362,J5362)</x:f>
        <x:v>0.16666666666666666</x:v>
      </x:c>
      <x:c r="L5362" s="11" t="n">
        <x:f>K5362*'管线假设'!E1151*'管线假设'!F1151*'管线假设'!G1151*IF(E5362="USD",'管线假设'!I1151,1)-AM5362</x:f>
        <x:v>0.012870133333333336</x:v>
      </x:c>
      <x:c r="M5362" s="11" t="n">
        <x:f>'管线假设'!H1151</x:f>
        <x:v>0.14</x:v>
      </x:c>
      <x:c r="N5362" s="11" t="n">
        <x:f>IF(G5362,L5362*AN5362/(1+M5362)^F5362,0)</x:f>
        <x:v>0.005328856677154187</x:v>
      </x:c>
      <x:c r="AJ5362" t="n">
        <x:v>0</x:v>
      </x:c>
      <x:c r="AK5362" t="n">
        <x:v>0</x:v>
      </x:c>
      <x:c r="AL5362" t="n">
        <x:v>0</x:v>
      </x:c>
      <x:c r="AM5362" t="n">
        <x:f>CHOOSE('假设'!$B$3,AJ5362,AK5362,AL5362)</x:f>
        <x:v>0</x:v>
      </x:c>
      <x:c r="AN5362" t="n">
        <x:v>1</x:v>
      </x:c>
    </x:row>
    <x:row r="5363" ht="23" customHeight="1">
      <x:c r="A5363" s="11" t="str">
        <x:v>688062.SH</x:v>
      </x:c>
      <x:c r="B5363" s="11" t="str">
        <x:v>半年</x:v>
      </x:c>
      <x:c r="C5363" s="11" t="str">
        <x:v>tmprss_scd</x:v>
      </x:c>
      <x:c r="D5363" s="11" t="str">
        <x:v>2034-12-31</x:v>
      </x:c>
      <x:c r="E5363" s="11" t="str">
        <x:v>USD</x:v>
      </x:c>
      <x:c r="F5363" s="11" t="n">
        <x:v>7.728952772073922</x:v>
      </x:c>
      <x:c r="G5363" s="26" t="b">
        <x:v>1</x:v>
      </x:c>
      <x:c r="H5363" s="16" t="n">
        <x:v>0</x:v>
      </x:c>
      <x:c r="I5363" s="16" t="n">
        <x:v>0.3333333333333333</x:v>
      </x:c>
      <x:c r="J5363" s="16" t="n">
        <x:v>1.3333333333333333</x:v>
      </x:c>
      <x:c r="K5363" s="11" t="n">
        <x:f>CHOOSE('假设'!$B$3,H5363,I5363,J5363)</x:f>
        <x:v>0.3333333333333333</x:v>
      </x:c>
      <x:c r="L5363" s="11" t="n">
        <x:f>K5363*'管线假设'!E1151*'管线假设'!F1151*'管线假设'!G1151*IF(E5363="USD",'管线假设'!I1151,1)-AM5363</x:f>
        <x:v>0.02574026666666667</x:v>
      </x:c>
      <x:c r="M5363" s="11" t="n">
        <x:f>'管线假设'!H1151</x:f>
        <x:v>0.14</x:v>
      </x:c>
      <x:c r="N5363" s="11" t="n">
        <x:f>IF(G5363,L5363*AN5363/(1+M5363)^F5363,0)</x:f>
        <x:v>0.009349709844812221</x:v>
      </x:c>
      <x:c r="AJ5363" t="n">
        <x:v>0</x:v>
      </x:c>
      <x:c r="AK5363" t="n">
        <x:v>0</x:v>
      </x:c>
      <x:c r="AL5363" t="n">
        <x:v>0</x:v>
      </x:c>
      <x:c r="AM5363" t="n">
        <x:f>CHOOSE('假设'!$B$3,AJ5363,AK5363,AL5363)</x:f>
        <x:v>0</x:v>
      </x:c>
      <x:c r="AN5363" t="n">
        <x:v>1</x:v>
      </x:c>
    </x:row>
    <x:row r="5364" ht="23" customHeight="1">
      <x:c r="A5364" s="11" t="str">
        <x:v>688062.SH</x:v>
      </x:c>
      <x:c r="B5364" s="11" t="str">
        <x:v>半年</x:v>
      </x:c>
      <x:c r="C5364" s="11" t="str">
        <x:v>tmprss_scd</x:v>
      </x:c>
      <x:c r="D5364" s="11" t="str">
        <x:v>2035-12-31</x:v>
      </x:c>
      <x:c r="E5364" s="11" t="str">
        <x:v>USD</x:v>
      </x:c>
      <x:c r="F5364" s="11" t="n">
        <x:v>8.728268309377139</x:v>
      </x:c>
      <x:c r="G5364" s="26" t="b">
        <x:v>1</x:v>
      </x:c>
      <x:c r="H5364" s="16" t="n">
        <x:v>0</x:v>
      </x:c>
      <x:c r="I5364" s="16" t="n">
        <x:v>0.5</x:v>
      </x:c>
      <x:c r="J5364" s="16" t="n">
        <x:v>1.6666666666666667</x:v>
      </x:c>
      <x:c r="K5364" s="11" t="n">
        <x:f>CHOOSE('假设'!$B$3,H5364,I5364,J5364)</x:f>
        <x:v>0.5</x:v>
      </x:c>
      <x:c r="L5364" s="11" t="n">
        <x:f>K5364*'管线假设'!E1151*'管线假设'!F1151*'管线假设'!G1151*IF(E5364="USD",'管线假设'!I1151,1)-AM5364</x:f>
        <x:v>0.03861040000000001</x:v>
      </x:c>
      <x:c r="M5364" s="11" t="n">
        <x:f>'管线假设'!H1151</x:f>
        <x:v>0.14</x:v>
      </x:c>
      <x:c r="N5364" s="11" t="n">
        <x:f>IF(G5364,L5364*AN5364/(1+M5364)^F5364,0)</x:f>
        <x:v>0.01230335315973388</x:v>
      </x:c>
      <x:c r="AJ5364" t="n">
        <x:v>0</x:v>
      </x:c>
      <x:c r="AK5364" t="n">
        <x:v>0</x:v>
      </x:c>
      <x:c r="AL5364" t="n">
        <x:v>0</x:v>
      </x:c>
      <x:c r="AM5364" t="n">
        <x:f>CHOOSE('假设'!$B$3,AJ5364,AK5364,AL5364)</x:f>
        <x:v>0</x:v>
      </x:c>
      <x:c r="AN5364" t="n">
        <x:v>1</x:v>
      </x:c>
    </x:row>
    <x:row r="5365" ht="23" customHeight="1">
      <x:c r="A5365" s="11" t="str">
        <x:v>688062.SH</x:v>
      </x:c>
      <x:c r="B5365" s="11" t="str">
        <x:v>半年</x:v>
      </x:c>
      <x:c r="C5365" s="11" t="str">
        <x:v>tmprss_scd</x:v>
      </x:c>
      <x:c r="D5365" s="11" t="str">
        <x:v>2036-12-31</x:v>
      </x:c>
      <x:c r="E5365" s="11" t="str">
        <x:v>USD</x:v>
      </x:c>
      <x:c r="F5365" s="11" t="n">
        <x:v>9.730321697467488</x:v>
      </x:c>
      <x:c r="G5365" s="26" t="b">
        <x:v>1</x:v>
      </x:c>
      <x:c r="H5365" s="16" t="n">
        <x:v>0.08000000000000002</x:v>
      </x:c>
      <x:c r="I5365" s="16" t="n">
        <x:v>0.6666666666666666</x:v>
      </x:c>
      <x:c r="J5365" s="16" t="n">
        <x:v>2</x:v>
      </x:c>
      <x:c r="K5365" s="11" t="n">
        <x:f>CHOOSE('假设'!$B$3,H5365,I5365,J5365)</x:f>
        <x:v>0.6666666666666666</x:v>
      </x:c>
      <x:c r="L5365" s="11" t="n">
        <x:f>K5365*'管线假设'!E1151*'管线假设'!F1151*'管线假设'!G1151*IF(E5365="USD",'管线假设'!I1151,1)-AM5365</x:f>
        <x:v>0.05148053333333334</x:v>
      </x:c>
      <x:c r="M5365" s="11" t="n">
        <x:f>'管线假设'!H1151</x:f>
        <x:v>0.14</x:v>
      </x:c>
      <x:c r="N5365" s="11" t="n">
        <x:f>IF(G5365,L5365*AN5365/(1+M5365)^F5365,0)</x:f>
        <x:v>0.014386015631331987</x:v>
      </x:c>
      <x:c r="AJ5365" t="n">
        <x:v>0</x:v>
      </x:c>
      <x:c r="AK5365" t="n">
        <x:v>0</x:v>
      </x:c>
      <x:c r="AL5365" t="n">
        <x:v>0</x:v>
      </x:c>
      <x:c r="AM5365" t="n">
        <x:f>CHOOSE('假设'!$B$3,AJ5365,AK5365,AL5365)</x:f>
        <x:v>0</x:v>
      </x:c>
      <x:c r="AN5365" t="n">
        <x:v>1</x:v>
      </x:c>
    </x:row>
    <x:row r="5366" ht="23" customHeight="1">
      <x:c r="A5366" s="11" t="str">
        <x:v>688062.SH</x:v>
      </x:c>
      <x:c r="B5366" s="11" t="str">
        <x:v>半年</x:v>
      </x:c>
      <x:c r="C5366" s="11" t="str">
        <x:v>tmprss_scd</x:v>
      </x:c>
      <x:c r="D5366" s="11" t="str">
        <x:v>2037-12-31</x:v>
      </x:c>
      <x:c r="E5366" s="11" t="str">
        <x:v>USD</x:v>
      </x:c>
      <x:c r="F5366" s="11" t="n">
        <x:v>10.729637234770705</x:v>
      </x:c>
      <x:c r="G5366" s="26" t="b">
        <x:v>1</x:v>
      </x:c>
      <x:c r="H5366" s="16" t="n">
        <x:v>0.16000000000000003</x:v>
      </x:c>
      <x:c r="I5366" s="16" t="n">
        <x:v>0.8333333333333334</x:v>
      </x:c>
      <x:c r="J5366" s="16" t="n">
        <x:v>1.74</x:v>
      </x:c>
      <x:c r="K5366" s="11" t="n">
        <x:f>CHOOSE('假设'!$B$3,H5366,I5366,J5366)</x:f>
        <x:v>0.8333333333333334</x:v>
      </x:c>
      <x:c r="L5366" s="11" t="n">
        <x:f>K5366*'管线假设'!E1151*'管线假设'!F1151*'管线假设'!G1151*IF(E5366="USD",'管线假设'!I1151,1)-AM5366</x:f>
        <x:v>0.0643506666666667</x:v>
      </x:c>
      <x:c r="M5366" s="11" t="n">
        <x:f>'管线假设'!H1151</x:f>
        <x:v>0.14</x:v>
      </x:c>
      <x:c r="N5366" s="11" t="n">
        <x:f>IF(G5366,L5366*AN5366/(1+M5366)^F5366,0)</x:f>
        <x:v>0.015775554697377188</x:v>
      </x:c>
      <x:c r="AJ5366" t="n">
        <x:v>0</x:v>
      </x:c>
      <x:c r="AK5366" t="n">
        <x:v>0</x:v>
      </x:c>
      <x:c r="AL5366" t="n">
        <x:v>0</x:v>
      </x:c>
      <x:c r="AM5366" t="n">
        <x:f>CHOOSE('假设'!$B$3,AJ5366,AK5366,AL5366)</x:f>
        <x:v>0</x:v>
      </x:c>
      <x:c r="AN5366" t="n">
        <x:v>1</x:v>
      </x:c>
    </x:row>
    <x:row r="5367" ht="23" customHeight="1">
      <x:c r="A5367" s="11" t="str">
        <x:v>688062.SH</x:v>
      </x:c>
      <x:c r="B5367" s="11" t="str">
        <x:v>半年</x:v>
      </x:c>
      <x:c r="C5367" s="11" t="str">
        <x:v>tmprss_scd</x:v>
      </x:c>
      <x:c r="D5367" s="11" t="str">
        <x:v>2038-12-31</x:v>
      </x:c>
      <x:c r="E5367" s="11" t="str">
        <x:v>USD</x:v>
      </x:c>
      <x:c r="F5367" s="11" t="n">
        <x:v>11.728952772073923</x:v>
      </x:c>
      <x:c r="G5367" s="26" t="b">
        <x:v>1</x:v>
      </x:c>
      <x:c r="H5367" s="16" t="n">
        <x:v>0.24</x:v>
      </x:c>
      <x:c r="I5367" s="16" t="n">
        <x:v>1</x:v>
      </x:c>
      <x:c r="J5367" s="16" t="n">
        <x:v>1.48</x:v>
      </x:c>
      <x:c r="K5367" s="11" t="n">
        <x:f>CHOOSE('假设'!$B$3,H5367,I5367,J5367)</x:f>
        <x:v>1</x:v>
      </x:c>
      <x:c r="L5367" s="11" t="n">
        <x:f>K5367*'管线假设'!E1151*'管线假设'!F1151*'管线假设'!G1151*IF(E5367="USD",'管线假设'!I1151,1)-AM5367</x:f>
        <x:v>0.07722080000000002</x:v>
      </x:c>
      <x:c r="M5367" s="11" t="n">
        <x:f>'管线假设'!H1151</x:f>
        <x:v>0.14</x:v>
      </x:c>
      <x:c r="N5367" s="11" t="n">
        <x:f>IF(G5367,L5367*AN5367/(1+M5367)^F5367,0)</x:f>
        <x:v>0.016607336394741636</x:v>
      </x:c>
      <x:c r="AJ5367" t="n">
        <x:v>0</x:v>
      </x:c>
      <x:c r="AK5367" t="n">
        <x:v>0</x:v>
      </x:c>
      <x:c r="AL5367" t="n">
        <x:v>0</x:v>
      </x:c>
      <x:c r="AM5367" t="n">
        <x:f>CHOOSE('假设'!$B$3,AJ5367,AK5367,AL5367)</x:f>
        <x:v>0</x:v>
      </x:c>
      <x:c r="AN5367" t="n">
        <x:v>1</x:v>
      </x:c>
    </x:row>
    <x:row r="5368" ht="23" customHeight="1">
      <x:c r="A5368" s="11" t="str">
        <x:v>688062.SH</x:v>
      </x:c>
      <x:c r="B5368" s="11" t="str">
        <x:v>半年</x:v>
      </x:c>
      <x:c r="C5368" s="11" t="str">
        <x:v>tmprss_scd</x:v>
      </x:c>
      <x:c r="D5368" s="11" t="str">
        <x:v>2039-12-31</x:v>
      </x:c>
      <x:c r="E5368" s="11" t="str">
        <x:v>USD</x:v>
      </x:c>
      <x:c r="F5368" s="11" t="n">
        <x:v>12.728268309377139</x:v>
      </x:c>
      <x:c r="G5368" s="26" t="b">
        <x:v>1</x:v>
      </x:c>
      <x:c r="H5368" s="16" t="n">
        <x:v>0.32000000000000006</x:v>
      </x:c>
      <x:c r="I5368" s="16" t="n">
        <x:v>0.87</x:v>
      </x:c>
      <x:c r="J5368" s="16" t="n">
        <x:v>1.22</x:v>
      </x:c>
      <x:c r="K5368" s="11" t="n">
        <x:f>CHOOSE('假设'!$B$3,H5368,I5368,J5368)</x:f>
        <x:v>0.87</x:v>
      </x:c>
      <x:c r="L5368" s="11" t="n">
        <x:f>K5368*'管线假设'!E1151*'管线假设'!F1151*'管线假设'!G1151*IF(E5368="USD",'管线假设'!I1151,1)-AM5368</x:f>
        <x:v>0.06718209600000002</x:v>
      </x:c>
      <x:c r="M5368" s="11" t="n">
        <x:f>'管线假设'!H1151</x:f>
        <x:v>0.14</x:v>
      </x:c>
      <x:c r="N5368" s="11" t="n">
        <x:f>IF(G5368,L5368*AN5368/(1+M5368)^F5368,0)</x:f>
        <x:v>0.012675156587433623</x:v>
      </x:c>
      <x:c r="AJ5368" t="n">
        <x:v>0</x:v>
      </x:c>
      <x:c r="AK5368" t="n">
        <x:v>0</x:v>
      </x:c>
      <x:c r="AL5368" t="n">
        <x:v>0</x:v>
      </x:c>
      <x:c r="AM5368" t="n">
        <x:f>CHOOSE('假设'!$B$3,AJ5368,AK5368,AL5368)</x:f>
        <x:v>0</x:v>
      </x:c>
      <x:c r="AN5368" t="n">
        <x:v>1</x:v>
      </x:c>
    </x:row>
    <x:row r="5369" ht="23" customHeight="1">
      <x:c r="A5369" s="11" t="str">
        <x:v>688062.SH</x:v>
      </x:c>
      <x:c r="B5369" s="11" t="str">
        <x:v>半年</x:v>
      </x:c>
      <x:c r="C5369" s="11" t="str">
        <x:v>tmprss_scd</x:v>
      </x:c>
      <x:c r="D5369" s="11" t="str">
        <x:v>2040-12-31</x:v>
      </x:c>
      <x:c r="E5369" s="11" t="str">
        <x:v>USD</x:v>
      </x:c>
      <x:c r="F5369" s="11" t="n">
        <x:v>13.730321697467488</x:v>
      </x:c>
      <x:c r="G5369" s="26" t="b">
        <x:v>1</x:v>
      </x:c>
      <x:c r="H5369" s="16" t="n">
        <x:v>0.4</x:v>
      </x:c>
      <x:c r="I5369" s="16" t="n">
        <x:v>0.74</x:v>
      </x:c>
      <x:c r="J5369" s="16" t="n">
        <x:v>0.96</x:v>
      </x:c>
      <x:c r="K5369" s="11" t="n">
        <x:f>CHOOSE('假设'!$B$3,H5369,I5369,J5369)</x:f>
        <x:v>0.74</x:v>
      </x:c>
      <x:c r="L5369" s="11" t="n">
        <x:f>K5369*'管线假设'!E1151*'管线假设'!F1151*'管线假设'!G1151*IF(E5369="USD",'管线假设'!I1151,1)-AM5369</x:f>
        <x:v>0.05714339200000001</x:v>
      </x:c>
      <x:c r="M5369" s="11" t="n">
        <x:f>'管线假设'!H1151</x:f>
        <x:v>0.14</x:v>
      </x:c>
      <x:c r="N5369" s="11" t="n">
        <x:f>IF(G5369,L5369*AN5369/(1+M5369)^F5369,0)</x:f>
        <x:v>0.009454620499028527</x:v>
      </x:c>
      <x:c r="AJ5369" t="n">
        <x:v>0</x:v>
      </x:c>
      <x:c r="AK5369" t="n">
        <x:v>0</x:v>
      </x:c>
      <x:c r="AL5369" t="n">
        <x:v>0</x:v>
      </x:c>
      <x:c r="AM5369" t="n">
        <x:f>CHOOSE('假设'!$B$3,AJ5369,AK5369,AL5369)</x:f>
        <x:v>0</x:v>
      </x:c>
      <x:c r="AN5369" t="n">
        <x:v>1</x:v>
      </x:c>
    </x:row>
    <x:row r="5370" ht="23" customHeight="1">
      <x:c r="A5370" s="11" t="str">
        <x:v>688062.SH</x:v>
      </x:c>
      <x:c r="B5370" s="11" t="str">
        <x:v>半年</x:v>
      </x:c>
      <x:c r="C5370" s="11" t="str">
        <x:v>tmprss_scd</x:v>
      </x:c>
      <x:c r="D5370" s="11" t="str">
        <x:v>2041-12-31</x:v>
      </x:c>
      <x:c r="E5370" s="11" t="str">
        <x:v>USD</x:v>
      </x:c>
      <x:c r="F5370" s="11" t="n">
        <x:v>14.729637234770705</x:v>
      </x:c>
      <x:c r="G5370" s="26" t="b">
        <x:v>1</x:v>
      </x:c>
      <x:c r="H5370" s="16" t="n">
        <x:v>0.34800000000000003</x:v>
      </x:c>
      <x:c r="I5370" s="16" t="n">
        <x:v>0.61</x:v>
      </x:c>
      <x:c r="J5370" s="16" t="n">
        <x:v>0.7</x:v>
      </x:c>
      <x:c r="K5370" s="11" t="n">
        <x:f>CHOOSE('假设'!$B$3,H5370,I5370,J5370)</x:f>
        <x:v>0.61</x:v>
      </x:c>
      <x:c r="L5370" s="11" t="n">
        <x:f>K5370*'管线假设'!E1151*'管线假设'!F1151*'管线假设'!G1151*IF(E5370="USD",'管线假设'!I1151,1)-AM5370</x:f>
        <x:v>0.04710468800000001</x:v>
      </x:c>
      <x:c r="M5370" s="11" t="n">
        <x:f>'管线假设'!H1151</x:f>
        <x:v>0.14</x:v>
      </x:c>
      <x:c r="N5370" s="11" t="n">
        <x:f>IF(G5370,L5370*AN5370/(1+M5370)^F5370,0)</x:f>
        <x:v>0.00683716899425271</x:v>
      </x:c>
      <x:c r="AJ5370" t="n">
        <x:v>0</x:v>
      </x:c>
      <x:c r="AK5370" t="n">
        <x:v>0</x:v>
      </x:c>
      <x:c r="AL5370" t="n">
        <x:v>0</x:v>
      </x:c>
      <x:c r="AM5370" t="n">
        <x:f>CHOOSE('假设'!$B$3,AJ5370,AK5370,AL5370)</x:f>
        <x:v>0</x:v>
      </x:c>
      <x:c r="AN5370" t="n">
        <x:v>1</x:v>
      </x:c>
    </x:row>
    <x:row r="5371" ht="23" customHeight="1">
      <x:c r="A5371" s="11" t="str">
        <x:v>688062.SH</x:v>
      </x:c>
      <x:c r="B5371" s="11" t="str">
        <x:v>半年</x:v>
      </x:c>
      <x:c r="C5371" s="11" t="str">
        <x:v>tmprss_scd</x:v>
      </x:c>
      <x:c r="D5371" s="11" t="str">
        <x:v>2042-12-31</x:v>
      </x:c>
      <x:c r="E5371" s="11" t="str">
        <x:v>USD</x:v>
      </x:c>
      <x:c r="F5371" s="11" t="n">
        <x:v>15.728952772073923</x:v>
      </x:c>
      <x:c r="G5371" s="26" t="b">
        <x:v>1</x:v>
      </x:c>
      <x:c r="H5371" s="16" t="n">
        <x:v>0.296</x:v>
      </x:c>
      <x:c r="I5371" s="16" t="n">
        <x:v>0.48</x:v>
      </x:c>
      <x:c r="J5371" s="16" t="n">
        <x:v>0.43999999999999995</x:v>
      </x:c>
      <x:c r="K5371" s="11" t="n">
        <x:f>CHOOSE('假设'!$B$3,H5371,I5371,J5371)</x:f>
        <x:v>0.48</x:v>
      </x:c>
      <x:c r="L5371" s="11" t="n">
        <x:f>K5371*'管线假设'!E1151*'管线假设'!F1151*'管线假设'!G1151*IF(E5371="USD",'管线假设'!I1151,1)-AM5371</x:f>
        <x:v>0.037065984</x:v>
      </x:c>
      <x:c r="M5371" s="11" t="n">
        <x:f>'管线假设'!H1151</x:f>
        <x:v>0.14</x:v>
      </x:c>
      <x:c r="N5371" s="11" t="n">
        <x:f>IF(G5371,L5371*AN5371/(1+M5371)^F5371,0)</x:f>
        <x:v>0.00471978064270976</x:v>
      </x:c>
      <x:c r="AJ5371" t="n">
        <x:v>0</x:v>
      </x:c>
      <x:c r="AK5371" t="n">
        <x:v>0</x:v>
      </x:c>
      <x:c r="AL5371" t="n">
        <x:v>0</x:v>
      </x:c>
      <x:c r="AM5371" t="n">
        <x:f>CHOOSE('假设'!$B$3,AJ5371,AK5371,AL5371)</x:f>
        <x:v>0</x:v>
      </x:c>
      <x:c r="AN5371" t="n">
        <x:v>1</x:v>
      </x:c>
    </x:row>
    <x:row r="5372" ht="23" customHeight="1">
      <x:c r="A5372" s="11" t="str">
        <x:v>688062.SH</x:v>
      </x:c>
      <x:c r="B5372" s="11" t="str">
        <x:v>半年</x:v>
      </x:c>
      <x:c r="C5372" s="11" t="str">
        <x:v>tmprss_scd</x:v>
      </x:c>
      <x:c r="D5372" s="11" t="str">
        <x:v>2043-12-31</x:v>
      </x:c>
      <x:c r="E5372" s="11" t="str">
        <x:v>USD</x:v>
      </x:c>
      <x:c r="F5372" s="11" t="n">
        <x:v>16.72826830937714</x:v>
      </x:c>
      <x:c r="G5372" s="26" t="b">
        <x:v>1</x:v>
      </x:c>
      <x:c r="H5372" s="16" t="n">
        <x:v>0.244</x:v>
      </x:c>
      <x:c r="I5372" s="16" t="n">
        <x:v>0.35</x:v>
      </x:c>
      <x:c r="J5372" s="16" t="n">
        <x:v>0.17999999999999994</x:v>
      </x:c>
      <x:c r="K5372" s="11" t="n">
        <x:f>CHOOSE('假设'!$B$3,H5372,I5372,J5372)</x:f>
        <x:v>0.35</x:v>
      </x:c>
      <x:c r="L5372" s="11" t="n">
        <x:f>K5372*'管线假设'!E1151*'管线假设'!F1151*'管线假设'!G1151*IF(E5372="USD",'管线假设'!I1151,1)-AM5372</x:f>
        <x:v>0.027027280000000004</x:v>
      </x:c>
      <x:c r="M5372" s="11" t="n">
        <x:f>'管线假设'!H1151</x:f>
        <x:v>0.14</x:v>
      </x:c>
      <x:c r="N5372" s="11" t="n">
        <x:f>IF(G5372,L5372*AN5372/(1+M5372)^F5372,0)</x:f>
        <x:v>0.0030191362986199985</x:v>
      </x:c>
      <x:c r="AJ5372" t="n">
        <x:v>0</x:v>
      </x:c>
      <x:c r="AK5372" t="n">
        <x:v>0</x:v>
      </x:c>
      <x:c r="AL5372" t="n">
        <x:v>0</x:v>
      </x:c>
      <x:c r="AM5372" t="n">
        <x:f>CHOOSE('假设'!$B$3,AJ5372,AK5372,AL5372)</x:f>
        <x:v>0</x:v>
      </x:c>
      <x:c r="AN5372" t="n">
        <x:v>1</x:v>
      </x:c>
    </x:row>
    <x:row r="5373" ht="23" customHeight="1">
      <x:c r="A5373" s="11" t="str">
        <x:v>688062.SH</x:v>
      </x:c>
      <x:c r="B5373" s="11" t="str">
        <x:v>半年</x:v>
      </x:c>
      <x:c r="C5373" s="11" t="str">
        <x:v>tmprss_scd</x:v>
      </x:c>
      <x:c r="D5373" s="11" t="str">
        <x:v>2044-12-31</x:v>
      </x:c>
      <x:c r="E5373" s="11" t="str">
        <x:v>USD</x:v>
      </x:c>
      <x:c r="F5373" s="11" t="n">
        <x:v>17.730321697467488</x:v>
      </x:c>
      <x:c r="G5373" s="26" t="b">
        <x:v>1</x:v>
      </x:c>
      <x:c r="H5373" s="16" t="n">
        <x:v>0.192</x:v>
      </x:c>
      <x:c r="I5373" s="16" t="n">
        <x:v>0.21999999999999997</x:v>
      </x:c>
      <x:c r="J5373" s="16" t="n">
        <x:v>0</x:v>
      </x:c>
      <x:c r="K5373" s="11" t="n">
        <x:f>CHOOSE('假设'!$B$3,H5373,I5373,J5373)</x:f>
        <x:v>0.21999999999999997</x:v>
      </x:c>
      <x:c r="L5373" s="11" t="n">
        <x:f>K5373*'管线假设'!E1151*'管线假设'!F1151*'管线假设'!G1151*IF(E5373="USD",'管线假设'!I1151,1)-AM5373</x:f>
        <x:v>0.016988576000000002</x:v>
      </x:c>
      <x:c r="M5373" s="11" t="n">
        <x:f>'管线假设'!H1151</x:f>
        <x:v>0.14</x:v>
      </x:c>
      <x:c r="N5373" s="11" t="n">
        <x:f>IF(G5373,L5373*AN5373/(1+M5373)^F5373,0)</x:f>
        <x:v>0.0016642388541200424</x:v>
      </x:c>
      <x:c r="AJ5373" t="n">
        <x:v>0</x:v>
      </x:c>
      <x:c r="AK5373" t="n">
        <x:v>0</x:v>
      </x:c>
      <x:c r="AL5373" t="n">
        <x:v>0</x:v>
      </x:c>
      <x:c r="AM5373" t="n">
        <x:f>CHOOSE('假设'!$B$3,AJ5373,AK5373,AL5373)</x:f>
        <x:v>0</x:v>
      </x:c>
      <x:c r="AN5373" t="n">
        <x:v>1</x:v>
      </x:c>
    </x:row>
    <x:row r="5374" ht="23" customHeight="1">
      <x:c r="A5374" s="11" t="str">
        <x:v>688062.SH</x:v>
      </x:c>
      <x:c r="B5374" s="11" t="str">
        <x:v>半年</x:v>
      </x:c>
      <x:c r="C5374" s="11" t="str">
        <x:v>tmprss_scd</x:v>
      </x:c>
      <x:c r="D5374" s="11" t="str">
        <x:v>2045-12-31</x:v>
      </x:c>
      <x:c r="E5374" s="11" t="str">
        <x:v>USD</x:v>
      </x:c>
      <x:c r="F5374" s="11" t="n">
        <x:v>18.729637234770706</x:v>
      </x:c>
      <x:c r="G5374" s="26" t="b">
        <x:v>1</x:v>
      </x:c>
      <x:c r="H5374" s="16" t="n">
        <x:v>0.13999999999999999</x:v>
      </x:c>
      <x:c r="I5374" s="16" t="n">
        <x:v>0.08999999999999997</x:v>
      </x:c>
      <x:c r="J5374" s="16" t="n">
        <x:v>0</x:v>
      </x:c>
      <x:c r="K5374" s="11" t="n">
        <x:f>CHOOSE('假设'!$B$3,H5374,I5374,J5374)</x:f>
        <x:v>0.08999999999999997</x:v>
      </x:c>
      <x:c r="L5374" s="11" t="n">
        <x:f>K5374*'管线假设'!E1151*'管线假设'!F1151*'管线假设'!G1151*IF(E5374="USD",'管线假设'!I1151,1)-AM5374</x:f>
        <x:v>0.006949871999999999</x:v>
      </x:c>
      <x:c r="M5374" s="11" t="n">
        <x:f>'管线假设'!H1151</x:f>
        <x:v>0.14</x:v>
      </x:c>
      <x:c r="N5374" s="11" t="n">
        <x:f>IF(G5374,L5374*AN5374/(1+M5374)^F5374,0)</x:f>
        <x:v>0.000597268462801574</x:v>
      </x:c>
      <x:c r="AJ5374" t="n">
        <x:v>0</x:v>
      </x:c>
      <x:c r="AK5374" t="n">
        <x:v>0</x:v>
      </x:c>
      <x:c r="AL5374" t="n">
        <x:v>0</x:v>
      </x:c>
      <x:c r="AM5374" t="n">
        <x:f>CHOOSE('假设'!$B$3,AJ5374,AK5374,AL5374)</x:f>
        <x:v>0</x:v>
      </x:c>
      <x:c r="AN5374" t="n">
        <x:v>1</x:v>
      </x:c>
    </x:row>
    <x:row r="5375" ht="23" customHeight="1">
      <x:c r="A5375" s="11" t="str">
        <x:v>688062.SH</x:v>
      </x:c>
      <x:c r="B5375" s="11" t="str">
        <x:v>一年</x:v>
      </x:c>
      <x:c r="C5375" s="11" t="str">
        <x:v>biosim</x:v>
      </x:c>
      <x:c r="D5375" s="11" t="str">
        <x:v>2027-12-31</x:v>
      </x:c>
      <x:c r="E5375" s="11" t="str">
        <x:v>CNY</x:v>
      </x:c>
      <x:c r="F5375" s="11" t="n">
        <x:v>0.2272416153319644</x:v>
      </x:c>
      <x:c r="G5375" s="26" t="b">
        <x:v>1</x:v>
      </x:c>
      <x:c r="H5375" s="16" t="n">
        <x:v>0.13999999999999999</x:v>
      </x:c>
      <x:c r="I5375" s="16" t="n">
        <x:v>0.30000000000000004</x:v>
      </x:c>
      <x:c r="J5375" s="16" t="n">
        <x:v>0.575</x:v>
      </x:c>
      <x:c r="K5375" s="11" t="n">
        <x:f>CHOOSE('假设'!$B$3,H5375,I5375,J5375)</x:f>
        <x:v>0.30000000000000004</x:v>
      </x:c>
      <x:c r="L5375" s="11" t="n">
        <x:f>K5375*'管线假设'!E1155*'管线假设'!F1155*'管线假设'!G1155*IF(E5375="USD",'管线假设'!I1155,1)-AM5375</x:f>
        <x:v>0.06441150000000001</x:v>
      </x:c>
      <x:c r="M5375" s="11" t="n">
        <x:f>'管线假设'!H1155</x:f>
        <x:v>0.14</x:v>
      </x:c>
      <x:c r="N5375" s="11" t="n">
        <x:f>IF(G5375,L5375*AN5375/(1+M5375)^F5375,0)</x:f>
        <x:v>0.06252191370648477</x:v>
      </x:c>
      <x:c r="AJ5375" t="n">
        <x:v>0</x:v>
      </x:c>
      <x:c r="AK5375" t="n">
        <x:v>0</x:v>
      </x:c>
      <x:c r="AL5375" t="n">
        <x:v>0</x:v>
      </x:c>
      <x:c r="AM5375" t="n">
        <x:f>CHOOSE('假设'!$B$3,AJ5375,AK5375,AL5375)</x:f>
        <x:v>0</x:v>
      </x:c>
      <x:c r="AN5375" t="n">
        <x:v>1</x:v>
      </x:c>
    </x:row>
    <x:row r="5376" ht="23" customHeight="1">
      <x:c r="A5376" s="11" t="str">
        <x:v>688062.SH</x:v>
      </x:c>
      <x:c r="B5376" s="11" t="str">
        <x:v>一年</x:v>
      </x:c>
      <x:c r="C5376" s="11" t="str">
        <x:v>biosim</x:v>
      </x:c>
      <x:c r="D5376" s="11" t="str">
        <x:v>2028-12-31</x:v>
      </x:c>
      <x:c r="E5376" s="11" t="str">
        <x:v>CNY</x:v>
      </x:c>
      <x:c r="F5376" s="11" t="n">
        <x:v>1.2292950034223136</x:v>
      </x:c>
      <x:c r="G5376" s="26" t="b">
        <x:v>1</x:v>
      </x:c>
      <x:c r="H5376" s="16" t="n">
        <x:v>0.27999999999999997</x:v>
      </x:c>
      <x:c r="I5376" s="16" t="n">
        <x:v>0.6000000000000001</x:v>
      </x:c>
      <x:c r="J5376" s="16" t="n">
        <x:v>1.15</x:v>
      </x:c>
      <x:c r="K5376" s="11" t="n">
        <x:f>CHOOSE('假设'!$B$3,H5376,I5376,J5376)</x:f>
        <x:v>0.6000000000000001</x:v>
      </x:c>
      <x:c r="L5376" s="11" t="n">
        <x:f>K5376*'管线假设'!E1155*'管线假设'!F1155*'管线假设'!G1155*IF(E5376="USD",'管线假设'!I1155,1)-AM5376</x:f>
        <x:v>0.12882300000000002</x:v>
      </x:c>
      <x:c r="M5376" s="11" t="n">
        <x:f>'管线假设'!H1155</x:f>
        <x:v>0.14</x:v>
      </x:c>
      <x:c r="N5376" s="11" t="n">
        <x:f>IF(G5376,L5376*AN5376/(1+M5376)^F5376,0)</x:f>
        <x:v>0.1096580602301919</x:v>
      </x:c>
      <x:c r="AJ5376" t="n">
        <x:v>0</x:v>
      </x:c>
      <x:c r="AK5376" t="n">
        <x:v>0</x:v>
      </x:c>
      <x:c r="AL5376" t="n">
        <x:v>0</x:v>
      </x:c>
      <x:c r="AM5376" t="n">
        <x:f>CHOOSE('假设'!$B$3,AJ5376,AK5376,AL5376)</x:f>
        <x:v>0</x:v>
      </x:c>
      <x:c r="AN5376" t="n">
        <x:v>1</x:v>
      </x:c>
    </x:row>
    <x:row r="5377" ht="23" customHeight="1">
      <x:c r="A5377" s="11" t="str">
        <x:v>688062.SH</x:v>
      </x:c>
      <x:c r="B5377" s="11" t="str">
        <x:v>一年</x:v>
      </x:c>
      <x:c r="C5377" s="11" t="str">
        <x:v>biosim</x:v>
      </x:c>
      <x:c r="D5377" s="11" t="str">
        <x:v>2029-12-31</x:v>
      </x:c>
      <x:c r="E5377" s="11" t="str">
        <x:v>CNY</x:v>
      </x:c>
      <x:c r="F5377" s="11" t="n">
        <x:v>2.2286105407255303</x:v>
      </x:c>
      <x:c r="G5377" s="26" t="b">
        <x:v>1</x:v>
      </x:c>
      <x:c r="H5377" s="16" t="n">
        <x:v>0.42</x:v>
      </x:c>
      <x:c r="I5377" s="16" t="n">
        <x:v>0.8999999999999999</x:v>
      </x:c>
      <x:c r="J5377" s="16" t="n">
        <x:v>1.7249999999999999</x:v>
      </x:c>
      <x:c r="K5377" s="11" t="n">
        <x:f>CHOOSE('假设'!$B$3,H5377,I5377,J5377)</x:f>
        <x:v>0.8999999999999999</x:v>
      </x:c>
      <x:c r="L5377" s="11" t="n">
        <x:f>K5377*'管线假设'!E1155*'管线假设'!F1155*'管线假设'!G1155*IF(E5377="USD",'管线假设'!I1155,1)-AM5377</x:f>
        <x:v>0.1932345</x:v>
      </x:c>
      <x:c r="M5377" s="11" t="n">
        <x:f>'管线假设'!H1155</x:f>
        <x:v>0.14</x:v>
      </x:c>
      <x:c r="N5377" s="11" t="n">
        <x:f>IF(G5377,L5377*AN5377/(1+M5377)^F5377,0)</x:f>
        <x:v>0.14429986215797005</x:v>
      </x:c>
      <x:c r="AJ5377" t="n">
        <x:v>0</x:v>
      </x:c>
      <x:c r="AK5377" t="n">
        <x:v>0</x:v>
      </x:c>
      <x:c r="AL5377" t="n">
        <x:v>0</x:v>
      </x:c>
      <x:c r="AM5377" t="n">
        <x:f>CHOOSE('假设'!$B$3,AJ5377,AK5377,AL5377)</x:f>
        <x:v>0</x:v>
      </x:c>
      <x:c r="AN5377" t="n">
        <x:v>1</x:v>
      </x:c>
    </x:row>
    <x:row r="5378" ht="23" customHeight="1">
      <x:c r="A5378" s="11" t="str">
        <x:v>688062.SH</x:v>
      </x:c>
      <x:c r="B5378" s="11" t="str">
        <x:v>一年</x:v>
      </x:c>
      <x:c r="C5378" s="11" t="str">
        <x:v>biosim</x:v>
      </x:c>
      <x:c r="D5378" s="11" t="str">
        <x:v>2030-12-31</x:v>
      </x:c>
      <x:c r="E5378" s="11" t="str">
        <x:v>CNY</x:v>
      </x:c>
      <x:c r="F5378" s="11" t="n">
        <x:v>3.2279260780287475</x:v>
      </x:c>
      <x:c r="G5378" s="26" t="b">
        <x:v>1</x:v>
      </x:c>
      <x:c r="H5378" s="16" t="n">
        <x:v>0.5599999999999999</x:v>
      </x:c>
      <x:c r="I5378" s="16" t="n">
        <x:v>1.2000000000000002</x:v>
      </x:c>
      <x:c r="J5378" s="16" t="n">
        <x:v>2.3</x:v>
      </x:c>
      <x:c r="K5378" s="11" t="n">
        <x:f>CHOOSE('假设'!$B$3,H5378,I5378,J5378)</x:f>
        <x:v>1.2000000000000002</x:v>
      </x:c>
      <x:c r="L5378" s="11" t="n">
        <x:f>K5378*'管线假设'!E1155*'管线假设'!F1155*'管线假设'!G1155*IF(E5378="USD",'管线假设'!I1155,1)-AM5378</x:f>
        <x:v>0.25764600000000004</x:v>
      </x:c>
      <x:c r="M5378" s="11" t="n">
        <x:f>'管线假设'!H1155</x:f>
        <x:v>0.14</x:v>
      </x:c>
      <x:c r="N5378" s="11" t="n">
        <x:f>IF(G5378,L5378*AN5378/(1+M5378)^F5378,0)</x:f>
        <x:v>0.16878690540474728</x:v>
      </x:c>
      <x:c r="AJ5378" t="n">
        <x:v>0</x:v>
      </x:c>
      <x:c r="AK5378" t="n">
        <x:v>0</x:v>
      </x:c>
      <x:c r="AL5378" t="n">
        <x:v>0</x:v>
      </x:c>
      <x:c r="AM5378" t="n">
        <x:f>CHOOSE('假设'!$B$3,AJ5378,AK5378,AL5378)</x:f>
        <x:v>0</x:v>
      </x:c>
      <x:c r="AN5378" t="n">
        <x:v>1</x:v>
      </x:c>
    </x:row>
    <x:row r="5379" ht="23" customHeight="1">
      <x:c r="A5379" s="11" t="str">
        <x:v>688062.SH</x:v>
      </x:c>
      <x:c r="B5379" s="11" t="str">
        <x:v>一年</x:v>
      </x:c>
      <x:c r="C5379" s="11" t="str">
        <x:v>biosim</x:v>
      </x:c>
      <x:c r="D5379" s="11" t="str">
        <x:v>2031-12-31</x:v>
      </x:c>
      <x:c r="E5379" s="11" t="str">
        <x:v>CNY</x:v>
      </x:c>
      <x:c r="F5379" s="11" t="n">
        <x:v>4.227241615331964</x:v>
      </x:c>
      <x:c r="G5379" s="26" t="b">
        <x:v>1</x:v>
      </x:c>
      <x:c r="H5379" s="16" t="n">
        <x:v>0.7</x:v>
      </x:c>
      <x:c r="I5379" s="16" t="n">
        <x:v>1.5</x:v>
      </x:c>
      <x:c r="J5379" s="16" t="n">
        <x:v>2.001</x:v>
      </x:c>
      <x:c r="K5379" s="11" t="n">
        <x:f>CHOOSE('假设'!$B$3,H5379,I5379,J5379)</x:f>
        <x:v>1.5</x:v>
      </x:c>
      <x:c r="L5379" s="11" t="n">
        <x:f>K5379*'管线假设'!E1155*'管线假设'!F1155*'管线假设'!G1155*IF(E5379="USD",'管线假设'!I1155,1)-AM5379</x:f>
        <x:v>0.3220575</x:v>
      </x:c>
      <x:c r="M5379" s="11" t="n">
        <x:f>'管线假设'!H1155</x:f>
        <x:v>0.14</x:v>
      </x:c>
      <x:c r="N5379" s="11" t="n">
        <x:f>IF(G5379,L5379*AN5379/(1+M5379)^F5379,0)</x:f>
        <x:v>0.18508996004525274</x:v>
      </x:c>
      <x:c r="AJ5379" t="n">
        <x:v>0</x:v>
      </x:c>
      <x:c r="AK5379" t="n">
        <x:v>0</x:v>
      </x:c>
      <x:c r="AL5379" t="n">
        <x:v>0</x:v>
      </x:c>
      <x:c r="AM5379" t="n">
        <x:f>CHOOSE('假设'!$B$3,AJ5379,AK5379,AL5379)</x:f>
        <x:v>0</x:v>
      </x:c>
      <x:c r="AN5379" t="n">
        <x:v>1</x:v>
      </x:c>
    </x:row>
    <x:row r="5380" ht="23" customHeight="1">
      <x:c r="A5380" s="11" t="str">
        <x:v>688062.SH</x:v>
      </x:c>
      <x:c r="B5380" s="11" t="str">
        <x:v>一年</x:v>
      </x:c>
      <x:c r="C5380" s="11" t="str">
        <x:v>biosim</x:v>
      </x:c>
      <x:c r="D5380" s="11" t="str">
        <x:v>2032-12-31</x:v>
      </x:c>
      <x:c r="E5380" s="11" t="str">
        <x:v>CNY</x:v>
      </x:c>
      <x:c r="F5380" s="11" t="n">
        <x:v>5.229295003422314</x:v>
      </x:c>
      <x:c r="G5380" s="26" t="b">
        <x:v>1</x:v>
      </x:c>
      <x:c r="H5380" s="16" t="n">
        <x:v>0.609</x:v>
      </x:c>
      <x:c r="I5380" s="16" t="n">
        <x:v>1.305</x:v>
      </x:c>
      <x:c r="J5380" s="16" t="n">
        <x:v>1.702</x:v>
      </x:c>
      <x:c r="K5380" s="11" t="n">
        <x:f>CHOOSE('假设'!$B$3,H5380,I5380,J5380)</x:f>
        <x:v>1.305</x:v>
      </x:c>
      <x:c r="L5380" s="11" t="n">
        <x:f>K5380*'管线假设'!E1155*'管线假设'!F1155*'管线假设'!G1155*IF(E5380="USD",'管线假设'!I1155,1)-AM5380</x:f>
        <x:v>0.280190025</x:v>
      </x:c>
      <x:c r="M5380" s="11" t="n">
        <x:f>'管线假设'!H1155</x:f>
        <x:v>0.14</x:v>
      </x:c>
      <x:c r="N5380" s="11" t="n">
        <x:f>IF(G5380,L5380*AN5380/(1+M5380)^F5380,0)</x:f>
        <x:v>0.14121486500940747</x:v>
      </x:c>
      <x:c r="AJ5380" t="n">
        <x:v>0</x:v>
      </x:c>
      <x:c r="AK5380" t="n">
        <x:v>0</x:v>
      </x:c>
      <x:c r="AL5380" t="n">
        <x:v>0</x:v>
      </x:c>
      <x:c r="AM5380" t="n">
        <x:f>CHOOSE('假设'!$B$3,AJ5380,AK5380,AL5380)</x:f>
        <x:v>0</x:v>
      </x:c>
      <x:c r="AN5380" t="n">
        <x:v>1</x:v>
      </x:c>
    </x:row>
    <x:row r="5381" ht="23" customHeight="1">
      <x:c r="A5381" s="11" t="str">
        <x:v>688062.SH</x:v>
      </x:c>
      <x:c r="B5381" s="11" t="str">
        <x:v>一年</x:v>
      </x:c>
      <x:c r="C5381" s="11" t="str">
        <x:v>biosim</x:v>
      </x:c>
      <x:c r="D5381" s="11" t="str">
        <x:v>2033-12-31</x:v>
      </x:c>
      <x:c r="E5381" s="11" t="str">
        <x:v>CNY</x:v>
      </x:c>
      <x:c r="F5381" s="11" t="n">
        <x:v>6.228610540725531</x:v>
      </x:c>
      <x:c r="G5381" s="26" t="b">
        <x:v>1</x:v>
      </x:c>
      <x:c r="H5381" s="16" t="n">
        <x:v>0.518</x:v>
      </x:c>
      <x:c r="I5381" s="16" t="n">
        <x:v>1.1099999999999999</x:v>
      </x:c>
      <x:c r="J5381" s="16" t="n">
        <x:v>1.4029999999999998</x:v>
      </x:c>
      <x:c r="K5381" s="11" t="n">
        <x:f>CHOOSE('假设'!$B$3,H5381,I5381,J5381)</x:f>
        <x:v>1.1099999999999999</x:v>
      </x:c>
      <x:c r="L5381" s="11" t="n">
        <x:f>K5381*'管线假设'!E1155*'管线假设'!F1155*'管线假设'!G1155*IF(E5381="USD",'管线假设'!I1155,1)-AM5381</x:f>
        <x:v>0.23832255</x:v>
      </x:c>
      <x:c r="M5381" s="11" t="n">
        <x:f>'管线假设'!H1155</x:f>
        <x:v>0.14</x:v>
      </x:c>
      <x:c r="N5381" s="11" t="n">
        <x:f>IF(G5381,L5381*AN5381/(1+M5381)^F5381,0)</x:f>
        <x:v>0.10537242630686425</x:v>
      </x:c>
      <x:c r="AJ5381" t="n">
        <x:v>0</x:v>
      </x:c>
      <x:c r="AK5381" t="n">
        <x:v>0</x:v>
      </x:c>
      <x:c r="AL5381" t="n">
        <x:v>0</x:v>
      </x:c>
      <x:c r="AM5381" t="n">
        <x:f>CHOOSE('假设'!$B$3,AJ5381,AK5381,AL5381)</x:f>
        <x:v>0</x:v>
      </x:c>
      <x:c r="AN5381" t="n">
        <x:v>1</x:v>
      </x:c>
    </x:row>
    <x:row r="5382" ht="23" customHeight="1">
      <x:c r="A5382" s="11" t="str">
        <x:v>688062.SH</x:v>
      </x:c>
      <x:c r="B5382" s="11" t="str">
        <x:v>一年</x:v>
      </x:c>
      <x:c r="C5382" s="11" t="str">
        <x:v>biosim</x:v>
      </x:c>
      <x:c r="D5382" s="11" t="str">
        <x:v>2034-12-31</x:v>
      </x:c>
      <x:c r="E5382" s="11" t="str">
        <x:v>CNY</x:v>
      </x:c>
      <x:c r="F5382" s="11" t="n">
        <x:v>7.227926078028747</x:v>
      </x:c>
      <x:c r="G5382" s="26" t="b">
        <x:v>1</x:v>
      </x:c>
      <x:c r="H5382" s="16" t="n">
        <x:v>0.427</x:v>
      </x:c>
      <x:c r="I5382" s="16" t="n">
        <x:v>0.915</x:v>
      </x:c>
      <x:c r="J5382" s="16" t="n">
        <x:v>1.1039999999999999</x:v>
      </x:c>
      <x:c r="K5382" s="11" t="n">
        <x:f>CHOOSE('假设'!$B$3,H5382,I5382,J5382)</x:f>
        <x:v>0.915</x:v>
      </x:c>
      <x:c r="L5382" s="11" t="n">
        <x:f>K5382*'管线假设'!E1155*'管线假设'!F1155*'管线假设'!G1155*IF(E5382="USD",'管线假设'!I1155,1)-AM5382</x:f>
        <x:v>0.196455075</x:v>
      </x:c>
      <x:c r="M5382" s="11" t="n">
        <x:f>'管线假设'!H1155</x:f>
        <x:v>0.14</x:v>
      </x:c>
      <x:c r="N5382" s="11" t="n">
        <x:f>IF(G5382,L5382*AN5382/(1+M5382)^F5382,0)</x:f>
        <x:v>0.07620074079848024</x:v>
      </x:c>
      <x:c r="AJ5382" t="n">
        <x:v>0</x:v>
      </x:c>
      <x:c r="AK5382" t="n">
        <x:v>0</x:v>
      </x:c>
      <x:c r="AL5382" t="n">
        <x:v>0</x:v>
      </x:c>
      <x:c r="AM5382" t="n">
        <x:f>CHOOSE('假设'!$B$3,AJ5382,AK5382,AL5382)</x:f>
        <x:v>0</x:v>
      </x:c>
      <x:c r="AN5382" t="n">
        <x:v>1</x:v>
      </x:c>
    </x:row>
    <x:row r="5383" ht="23" customHeight="1">
      <x:c r="A5383" s="11" t="str">
        <x:v>688062.SH</x:v>
      </x:c>
      <x:c r="B5383" s="11" t="str">
        <x:v>一年</x:v>
      </x:c>
      <x:c r="C5383" s="11" t="str">
        <x:v>biosim</x:v>
      </x:c>
      <x:c r="D5383" s="11" t="str">
        <x:v>2035-12-31</x:v>
      </x:c>
      <x:c r="E5383" s="11" t="str">
        <x:v>CNY</x:v>
      </x:c>
      <x:c r="F5383" s="11" t="n">
        <x:v>8.227241615331964</x:v>
      </x:c>
      <x:c r="G5383" s="26" t="b">
        <x:v>1</x:v>
      </x:c>
      <x:c r="H5383" s="16" t="n">
        <x:v>0.33599999999999997</x:v>
      </x:c>
      <x:c r="I5383" s="16" t="n">
        <x:v>0.72</x:v>
      </x:c>
      <x:c r="J5383" s="16" t="n">
        <x:v>0.8049999999999999</x:v>
      </x:c>
      <x:c r="K5383" s="11" t="n">
        <x:f>CHOOSE('假设'!$B$3,H5383,I5383,J5383)</x:f>
        <x:v>0.72</x:v>
      </x:c>
      <x:c r="L5383" s="11" t="n">
        <x:f>K5383*'管线假设'!E1155*'管线假设'!F1155*'管线假设'!G1155*IF(E5383="USD",'管线假设'!I1155,1)-AM5383</x:f>
        <x:v>0.1545876</x:v>
      </x:c>
      <x:c r="M5383" s="11" t="n">
        <x:f>'管线假设'!H1155</x:f>
        <x:v>0.14</x:v>
      </x:c>
      <x:c r="N5383" s="11" t="n">
        <x:f>IF(G5383,L5383*AN5383/(1+M5383)^F5383,0)</x:f>
        <x:v>0.05260229514337465</x:v>
      </x:c>
      <x:c r="AJ5383" t="n">
        <x:v>0</x:v>
      </x:c>
      <x:c r="AK5383" t="n">
        <x:v>0</x:v>
      </x:c>
      <x:c r="AL5383" t="n">
        <x:v>0</x:v>
      </x:c>
      <x:c r="AM5383" t="n">
        <x:f>CHOOSE('假设'!$B$3,AJ5383,AK5383,AL5383)</x:f>
        <x:v>0</x:v>
      </x:c>
      <x:c r="AN5383" t="n">
        <x:v>1</x:v>
      </x:c>
    </x:row>
    <x:row r="5384" ht="23" customHeight="1">
      <x:c r="A5384" s="11" t="str">
        <x:v>688062.SH</x:v>
      </x:c>
      <x:c r="B5384" s="11" t="str">
        <x:v>一年</x:v>
      </x:c>
      <x:c r="C5384" s="11" t="str">
        <x:v>biosim</x:v>
      </x:c>
      <x:c r="D5384" s="11" t="str">
        <x:v>2036-12-31</x:v>
      </x:c>
      <x:c r="E5384" s="11" t="str">
        <x:v>CNY</x:v>
      </x:c>
      <x:c r="F5384" s="11" t="n">
        <x:v>9.229295003422314</x:v>
      </x:c>
      <x:c r="G5384" s="26" t="b">
        <x:v>1</x:v>
      </x:c>
      <x:c r="H5384" s="16" t="n">
        <x:v>0.24499999999999997</x:v>
      </x:c>
      <x:c r="I5384" s="16" t="n">
        <x:v>0.5249999999999999</x:v>
      </x:c>
      <x:c r="J5384" s="16" t="n">
        <x:v>0.5059999999999999</x:v>
      </x:c>
      <x:c r="K5384" s="11" t="n">
        <x:f>CHOOSE('假设'!$B$3,H5384,I5384,J5384)</x:f>
        <x:v>0.5249999999999999</x:v>
      </x:c>
      <x:c r="L5384" s="11" t="n">
        <x:f>K5384*'管线假设'!E1155*'管线假设'!F1155*'管线假设'!G1155*IF(E5384="USD",'管线假设'!I1155,1)-AM5384</x:f>
        <x:v>0.11272012499999998</x:v>
      </x:c>
      <x:c r="M5384" s="11" t="n">
        <x:f>'管线假设'!H1155</x:f>
        <x:v>0.14</x:v>
      </x:c>
      <x:c r="N5384" s="11" t="n">
        <x:f>IF(G5384,L5384*AN5384/(1+M5384)^F5384,0)</x:f>
        <x:v>0.03363642270718084</x:v>
      </x:c>
      <x:c r="AJ5384" t="n">
        <x:v>0</x:v>
      </x:c>
      <x:c r="AK5384" t="n">
        <x:v>0</x:v>
      </x:c>
      <x:c r="AL5384" t="n">
        <x:v>0</x:v>
      </x:c>
      <x:c r="AM5384" t="n">
        <x:f>CHOOSE('假设'!$B$3,AJ5384,AK5384,AL5384)</x:f>
        <x:v>0</x:v>
      </x:c>
      <x:c r="AN5384" t="n">
        <x:v>1</x:v>
      </x:c>
    </x:row>
    <x:row r="5385" ht="23" customHeight="1">
      <x:c r="A5385" s="11" t="str">
        <x:v>688062.SH</x:v>
      </x:c>
      <x:c r="B5385" s="11" t="str">
        <x:v>一年</x:v>
      </x:c>
      <x:c r="C5385" s="11" t="str">
        <x:v>biosim</x:v>
      </x:c>
      <x:c r="D5385" s="11" t="str">
        <x:v>2037-12-31</x:v>
      </x:c>
      <x:c r="E5385" s="11" t="str">
        <x:v>CNY</x:v>
      </x:c>
      <x:c r="F5385" s="11" t="n">
        <x:v>10.22861054072553</x:v>
      </x:c>
      <x:c r="G5385" s="26" t="b">
        <x:v>1</x:v>
      </x:c>
      <x:c r="H5385" s="16" t="n">
        <x:v>0.15399999999999997</x:v>
      </x:c>
      <x:c r="I5385" s="16" t="n">
        <x:v>0.32999999999999996</x:v>
      </x:c>
      <x:c r="J5385" s="16" t="n">
        <x:v>0.2069999999999999</x:v>
      </x:c>
      <x:c r="K5385" s="11" t="n">
        <x:f>CHOOSE('假设'!$B$3,H5385,I5385,J5385)</x:f>
        <x:v>0.32999999999999996</x:v>
      </x:c>
      <x:c r="L5385" s="11" t="n">
        <x:f>K5385*'管线假设'!E1155*'管线假设'!F1155*'管线假设'!G1155*IF(E5385="USD",'管线假设'!I1155,1)-AM5385</x:f>
        <x:v>0.07085264999999999</x:v>
      </x:c>
      <x:c r="M5385" s="11" t="n">
        <x:f>'管线假设'!H1155</x:f>
        <x:v>0.14</x:v>
      </x:c>
      <x:c r="N5385" s="11" t="n">
        <x:f>IF(G5385,L5385*AN5385/(1+M5385)^F5385,0)</x:f>
        <x:v>0.018548061874170765</x:v>
      </x:c>
      <x:c r="AJ5385" t="n">
        <x:v>0</x:v>
      </x:c>
      <x:c r="AK5385" t="n">
        <x:v>0</x:v>
      </x:c>
      <x:c r="AL5385" t="n">
        <x:v>0</x:v>
      </x:c>
      <x:c r="AM5385" t="n">
        <x:f>CHOOSE('假设'!$B$3,AJ5385,AK5385,AL5385)</x:f>
        <x:v>0</x:v>
      </x:c>
      <x:c r="AN5385" t="n">
        <x:v>1</x:v>
      </x:c>
    </x:row>
    <x:row r="5386" ht="23" customHeight="1">
      <x:c r="A5386" s="11" t="str">
        <x:v>688062.SH</x:v>
      </x:c>
      <x:c r="B5386" s="11" t="str">
        <x:v>一年</x:v>
      </x:c>
      <x:c r="C5386" s="11" t="str">
        <x:v>biosim</x:v>
      </x:c>
      <x:c r="D5386" s="11" t="str">
        <x:v>2038-12-31</x:v>
      </x:c>
      <x:c r="E5386" s="11" t="str">
        <x:v>CNY</x:v>
      </x:c>
      <x:c r="F5386" s="11" t="n">
        <x:v>11.227926078028748</x:v>
      </x:c>
      <x:c r="G5386" s="26" t="b">
        <x:v>1</x:v>
      </x:c>
      <x:c r="H5386" s="16" t="n">
        <x:v>0.06299999999999997</x:v>
      </x:c>
      <x:c r="I5386" s="16" t="n">
        <x:v>0.13499999999999995</x:v>
      </x:c>
      <x:c r="J5386" s="16" t="n">
        <x:v>0</x:v>
      </x:c>
      <x:c r="K5386" s="11" t="n">
        <x:f>CHOOSE('假设'!$B$3,H5386,I5386,J5386)</x:f>
        <x:v>0.13499999999999995</x:v>
      </x:c>
      <x:c r="L5386" s="11" t="n">
        <x:f>K5386*'管线假设'!E1155*'管线假设'!F1155*'管线假设'!G1155*IF(E5386="USD",'管线假设'!I1155,1)-AM5386</x:f>
        <x:v>0.02898517499999999</x:v>
      </x:c>
      <x:c r="M5386" s="11" t="n">
        <x:f>'管线假设'!H1155</x:f>
        <x:v>0.14</x:v>
      </x:c>
      <x:c r="N5386" s="11" t="n">
        <x:f>IF(G5386,L5386*AN5386/(1+M5386)^F5386,0)</x:f>
        <x:v>0.0066566000283607</x:v>
      </x:c>
      <x:c r="AJ5386" t="n">
        <x:v>0</x:v>
      </x:c>
      <x:c r="AK5386" t="n">
        <x:v>0</x:v>
      </x:c>
      <x:c r="AL5386" t="n">
        <x:v>0</x:v>
      </x:c>
      <x:c r="AM5386" t="n">
        <x:f>CHOOSE('假设'!$B$3,AJ5386,AK5386,AL5386)</x:f>
        <x:v>0</x:v>
      </x:c>
      <x:c r="AN5386" t="n">
        <x:v>1</x:v>
      </x:c>
    </x:row>
    <x:row r="5387" ht="23" customHeight="1">
      <x:c r="A5387" s="11" t="str">
        <x:v>688062.SH</x:v>
      </x:c>
      <x:c r="B5387" s="11" t="str">
        <x:v>一年</x:v>
      </x:c>
      <x:c r="C5387" s="11" t="str">
        <x:v>biosim</x:v>
      </x:c>
      <x:c r="D5387" s="11" t="str">
        <x:v>2039-12-31</x:v>
      </x:c>
      <x:c r="E5387" s="11" t="str">
        <x:v>CNY</x:v>
      </x:c>
      <x:c r="F5387" s="11" t="n">
        <x:v>12.227241615331964</x:v>
      </x:c>
      <x:c r="G5387" s="26" t="b">
        <x:v>1</x:v>
      </x:c>
      <x:c r="H5387" s="16" t="n">
        <x:v>0</x:v>
      </x:c>
      <x:c r="I5387" s="16" t="n">
        <x:v>0</x:v>
      </x:c>
      <x:c r="J5387" s="16" t="n">
        <x:v>0</x:v>
      </x:c>
      <x:c r="K5387" s="11" t="n">
        <x:f>CHOOSE('假设'!$B$3,H5387,I5387,J5387)</x:f>
        <x:v>0</x:v>
      </x:c>
      <x:c r="L5387" s="11" t="n">
        <x:f>K5387*'管线假设'!E1155*'管线假设'!F1155*'管线假设'!G1155*IF(E5387="USD",'管线假设'!I1155,1)-AM5387</x:f>
        <x:v>0</x:v>
      </x:c>
      <x:c r="M5387" s="11" t="n">
        <x:f>'管线假设'!H1155</x:f>
        <x:v>0.14</x:v>
      </x:c>
      <x:c r="N5387" s="11" t="n">
        <x:f>IF(G5387,L5387*AN5387/(1+M5387)^F5387,0)</x:f>
        <x:v>0</x:v>
      </x:c>
      <x:c r="AJ5387" t="n">
        <x:v>0</x:v>
      </x:c>
      <x:c r="AK5387" t="n">
        <x:v>0</x:v>
      </x:c>
      <x:c r="AL5387" t="n">
        <x:v>0</x:v>
      </x:c>
      <x:c r="AM5387" t="n">
        <x:f>CHOOSE('假设'!$B$3,AJ5387,AK5387,AL5387)</x:f>
        <x:v>0</x:v>
      </x:c>
      <x:c r="AN5387" t="n">
        <x:v>1</x:v>
      </x:c>
    </x:row>
    <x:row r="5388" ht="23" customHeight="1">
      <x:c r="A5388" s="11" t="str">
        <x:v>688062.SH</x:v>
      </x:c>
      <x:c r="B5388" s="11" t="str">
        <x:v>一年</x:v>
      </x:c>
      <x:c r="C5388" s="11" t="str">
        <x:v>biosim</x:v>
      </x:c>
      <x:c r="D5388" s="11" t="str">
        <x:v>2040-12-31</x:v>
      </x:c>
      <x:c r="E5388" s="11" t="str">
        <x:v>CNY</x:v>
      </x:c>
      <x:c r="F5388" s="11" t="n">
        <x:v>13.229295003422314</x:v>
      </x:c>
      <x:c r="G5388" s="26" t="b">
        <x:v>1</x:v>
      </x:c>
      <x:c r="H5388" s="16" t="n">
        <x:v>0</x:v>
      </x:c>
      <x:c r="I5388" s="16" t="n">
        <x:v>0</x:v>
      </x:c>
      <x:c r="J5388" s="16" t="n">
        <x:v>0</x:v>
      </x:c>
      <x:c r="K5388" s="11" t="n">
        <x:f>CHOOSE('假设'!$B$3,H5388,I5388,J5388)</x:f>
        <x:v>0</x:v>
      </x:c>
      <x:c r="L5388" s="11" t="n">
        <x:f>K5388*'管线假设'!E1155*'管线假设'!F1155*'管线假设'!G1155*IF(E5388="USD",'管线假设'!I1155,1)-AM5388</x:f>
        <x:v>0</x:v>
      </x:c>
      <x:c r="M5388" s="11" t="n">
        <x:f>'管线假设'!H1155</x:f>
        <x:v>0.14</x:v>
      </x:c>
      <x:c r="N5388" s="11" t="n">
        <x:f>IF(G5388,L5388*AN5388/(1+M5388)^F5388,0)</x:f>
        <x:v>0</x:v>
      </x:c>
      <x:c r="AJ5388" t="n">
        <x:v>0</x:v>
      </x:c>
      <x:c r="AK5388" t="n">
        <x:v>0</x:v>
      </x:c>
      <x:c r="AL5388" t="n">
        <x:v>0</x:v>
      </x:c>
      <x:c r="AM5388" t="n">
        <x:f>CHOOSE('假设'!$B$3,AJ5388,AK5388,AL5388)</x:f>
        <x:v>0</x:v>
      </x:c>
      <x:c r="AN5388" t="n">
        <x:v>1</x:v>
      </x:c>
    </x:row>
    <x:row r="5389" ht="23" customHeight="1">
      <x:c r="A5389" s="11" t="str">
        <x:v>688062.SH</x:v>
      </x:c>
      <x:c r="B5389" s="11" t="str">
        <x:v>一年</x:v>
      </x:c>
      <x:c r="C5389" s="11" t="str">
        <x:v>biosim</x:v>
      </x:c>
      <x:c r="D5389" s="11" t="str">
        <x:v>2041-12-31</x:v>
      </x:c>
      <x:c r="E5389" s="11" t="str">
        <x:v>CNY</x:v>
      </x:c>
      <x:c r="F5389" s="11" t="n">
        <x:v>14.22861054072553</x:v>
      </x:c>
      <x:c r="G5389" s="26" t="b">
        <x:v>1</x:v>
      </x:c>
      <x:c r="H5389" s="16" t="n">
        <x:v>0</x:v>
      </x:c>
      <x:c r="I5389" s="16" t="n">
        <x:v>0</x:v>
      </x:c>
      <x:c r="J5389" s="16" t="n">
        <x:v>0</x:v>
      </x:c>
      <x:c r="K5389" s="11" t="n">
        <x:f>CHOOSE('假设'!$B$3,H5389,I5389,J5389)</x:f>
        <x:v>0</x:v>
      </x:c>
      <x:c r="L5389" s="11" t="n">
        <x:f>K5389*'管线假设'!E1155*'管线假设'!F1155*'管线假设'!G1155*IF(E5389="USD",'管线假设'!I1155,1)-AM5389</x:f>
        <x:v>0</x:v>
      </x:c>
      <x:c r="M5389" s="11" t="n">
        <x:f>'管线假设'!H1155</x:f>
        <x:v>0.14</x:v>
      </x:c>
      <x:c r="N5389" s="11" t="n">
        <x:f>IF(G5389,L5389*AN5389/(1+M5389)^F5389,0)</x:f>
        <x:v>0</x:v>
      </x:c>
      <x:c r="AJ5389" t="n">
        <x:v>0</x:v>
      </x:c>
      <x:c r="AK5389" t="n">
        <x:v>0</x:v>
      </x:c>
      <x:c r="AL5389" t="n">
        <x:v>0</x:v>
      </x:c>
      <x:c r="AM5389" t="n">
        <x:f>CHOOSE('假设'!$B$3,AJ5389,AK5389,AL5389)</x:f>
        <x:v>0</x:v>
      </x:c>
      <x:c r="AN5389" t="n">
        <x:v>1</x:v>
      </x:c>
    </x:row>
    <x:row r="5390" ht="23" customHeight="1">
      <x:c r="A5390" s="11" t="str">
        <x:v>688062.SH</x:v>
      </x:c>
      <x:c r="B5390" s="11" t="str">
        <x:v>一年</x:v>
      </x:c>
      <x:c r="C5390" s="11" t="str">
        <x:v>biosim</x:v>
      </x:c>
      <x:c r="D5390" s="11" t="str">
        <x:v>2042-12-31</x:v>
      </x:c>
      <x:c r="E5390" s="11" t="str">
        <x:v>CNY</x:v>
      </x:c>
      <x:c r="F5390" s="11" t="n">
        <x:v>15.227926078028748</x:v>
      </x:c>
      <x:c r="G5390" s="26" t="b">
        <x:v>1</x:v>
      </x:c>
      <x:c r="H5390" s="16" t="n">
        <x:v>0</x:v>
      </x:c>
      <x:c r="I5390" s="16" t="n">
        <x:v>0</x:v>
      </x:c>
      <x:c r="J5390" s="16" t="n">
        <x:v>0</x:v>
      </x:c>
      <x:c r="K5390" s="11" t="n">
        <x:f>CHOOSE('假设'!$B$3,H5390,I5390,J5390)</x:f>
        <x:v>0</x:v>
      </x:c>
      <x:c r="L5390" s="11" t="n">
        <x:f>K5390*'管线假设'!E1155*'管线假设'!F1155*'管线假设'!G1155*IF(E5390="USD",'管线假设'!I1155,1)-AM5390</x:f>
        <x:v>0</x:v>
      </x:c>
      <x:c r="M5390" s="11" t="n">
        <x:f>'管线假设'!H1155</x:f>
        <x:v>0.14</x:v>
      </x:c>
      <x:c r="N5390" s="11" t="n">
        <x:f>IF(G5390,L5390*AN5390/(1+M5390)^F5390,0)</x:f>
        <x:v>0</x:v>
      </x:c>
      <x:c r="AJ5390" t="n">
        <x:v>0</x:v>
      </x:c>
      <x:c r="AK5390" t="n">
        <x:v>0</x:v>
      </x:c>
      <x:c r="AL5390" t="n">
        <x:v>0</x:v>
      </x:c>
      <x:c r="AM5390" t="n">
        <x:f>CHOOSE('假设'!$B$3,AJ5390,AK5390,AL5390)</x:f>
        <x:v>0</x:v>
      </x:c>
      <x:c r="AN5390" t="n">
        <x:v>1</x:v>
      </x:c>
    </x:row>
    <x:row r="5391" ht="23" customHeight="1">
      <x:c r="A5391" s="11" t="str">
        <x:v>688062.SH</x:v>
      </x:c>
      <x:c r="B5391" s="11" t="str">
        <x:v>一年</x:v>
      </x:c>
      <x:c r="C5391" s="11" t="str">
        <x:v>biosim</x:v>
      </x:c>
      <x:c r="D5391" s="11" t="str">
        <x:v>2043-12-31</x:v>
      </x:c>
      <x:c r="E5391" s="11" t="str">
        <x:v>CNY</x:v>
      </x:c>
      <x:c r="F5391" s="11" t="n">
        <x:v>16.227241615331966</x:v>
      </x:c>
      <x:c r="G5391" s="26" t="b">
        <x:v>1</x:v>
      </x:c>
      <x:c r="H5391" s="16" t="n">
        <x:v>0</x:v>
      </x:c>
      <x:c r="I5391" s="16" t="n">
        <x:v>0</x:v>
      </x:c>
      <x:c r="J5391" s="16" t="n">
        <x:v>0</x:v>
      </x:c>
      <x:c r="K5391" s="11" t="n">
        <x:f>CHOOSE('假设'!$B$3,H5391,I5391,J5391)</x:f>
        <x:v>0</x:v>
      </x:c>
      <x:c r="L5391" s="11" t="n">
        <x:f>K5391*'管线假设'!E1155*'管线假设'!F1155*'管线假设'!G1155*IF(E5391="USD",'管线假设'!I1155,1)-AM5391</x:f>
        <x:v>0</x:v>
      </x:c>
      <x:c r="M5391" s="11" t="n">
        <x:f>'管线假设'!H1155</x:f>
        <x:v>0.14</x:v>
      </x:c>
      <x:c r="N5391" s="11" t="n">
        <x:f>IF(G5391,L5391*AN5391/(1+M5391)^F5391,0)</x:f>
        <x:v>0</x:v>
      </x:c>
      <x:c r="AJ5391" t="n">
        <x:v>0</x:v>
      </x:c>
      <x:c r="AK5391" t="n">
        <x:v>0</x:v>
      </x:c>
      <x:c r="AL5391" t="n">
        <x:v>0</x:v>
      </x:c>
      <x:c r="AM5391" t="n">
        <x:f>CHOOSE('假设'!$B$3,AJ5391,AK5391,AL5391)</x:f>
        <x:v>0</x:v>
      </x:c>
      <x:c r="AN5391" t="n">
        <x:v>1</x:v>
      </x:c>
    </x:row>
    <x:row r="5392" ht="23" customHeight="1">
      <x:c r="A5392" s="11" t="str">
        <x:v>688062.SH</x:v>
      </x:c>
      <x:c r="B5392" s="11" t="str">
        <x:v>一年</x:v>
      </x:c>
      <x:c r="C5392" s="11" t="str">
        <x:v>biosim</x:v>
      </x:c>
      <x:c r="D5392" s="11" t="str">
        <x:v>2044-12-31</x:v>
      </x:c>
      <x:c r="E5392" s="11" t="str">
        <x:v>CNY</x:v>
      </x:c>
      <x:c r="F5392" s="11" t="n">
        <x:v>17.229295003422312</x:v>
      </x:c>
      <x:c r="G5392" s="26" t="b">
        <x:v>1</x:v>
      </x:c>
      <x:c r="H5392" s="16" t="n">
        <x:v>0</x:v>
      </x:c>
      <x:c r="I5392" s="16" t="n">
        <x:v>0</x:v>
      </x:c>
      <x:c r="J5392" s="16" t="n">
        <x:v>0</x:v>
      </x:c>
      <x:c r="K5392" s="11" t="n">
        <x:f>CHOOSE('假设'!$B$3,H5392,I5392,J5392)</x:f>
        <x:v>0</x:v>
      </x:c>
      <x:c r="L5392" s="11" t="n">
        <x:f>K5392*'管线假设'!E1155*'管线假设'!F1155*'管线假设'!G1155*IF(E5392="USD",'管线假设'!I1155,1)-AM5392</x:f>
        <x:v>0</x:v>
      </x:c>
      <x:c r="M5392" s="11" t="n">
        <x:f>'管线假设'!H1155</x:f>
        <x:v>0.14</x:v>
      </x:c>
      <x:c r="N5392" s="11" t="n">
        <x:f>IF(G5392,L5392*AN5392/(1+M5392)^F5392,0)</x:f>
        <x:v>0</x:v>
      </x:c>
      <x:c r="AJ5392" t="n">
        <x:v>0</x:v>
      </x:c>
      <x:c r="AK5392" t="n">
        <x:v>0</x:v>
      </x:c>
      <x:c r="AL5392" t="n">
        <x:v>0</x:v>
      </x:c>
      <x:c r="AM5392" t="n">
        <x:f>CHOOSE('假设'!$B$3,AJ5392,AK5392,AL5392)</x:f>
        <x:v>0</x:v>
      </x:c>
      <x:c r="AN5392" t="n">
        <x:v>1</x:v>
      </x:c>
    </x:row>
    <x:row r="5393" ht="23" customHeight="1">
      <x:c r="A5393" s="11" t="str">
        <x:v>688062.SH</x:v>
      </x:c>
      <x:c r="B5393" s="11" t="str">
        <x:v>一年</x:v>
      </x:c>
      <x:c r="C5393" s="11" t="str">
        <x:v>biosim</x:v>
      </x:c>
      <x:c r="D5393" s="11" t="str">
        <x:v>2045-12-31</x:v>
      </x:c>
      <x:c r="E5393" s="11" t="str">
        <x:v>CNY</x:v>
      </x:c>
      <x:c r="F5393" s="11" t="n">
        <x:v>18.22861054072553</x:v>
      </x:c>
      <x:c r="G5393" s="26" t="b">
        <x:v>1</x:v>
      </x:c>
      <x:c r="H5393" s="16" t="n">
        <x:v>0</x:v>
      </x:c>
      <x:c r="I5393" s="16" t="n">
        <x:v>0</x:v>
      </x:c>
      <x:c r="J5393" s="16" t="n">
        <x:v>0</x:v>
      </x:c>
      <x:c r="K5393" s="11" t="n">
        <x:f>CHOOSE('假设'!$B$3,H5393,I5393,J5393)</x:f>
        <x:v>0</x:v>
      </x:c>
      <x:c r="L5393" s="11" t="n">
        <x:f>K5393*'管线假设'!E1155*'管线假设'!F1155*'管线假设'!G1155*IF(E5393="USD",'管线假设'!I1155,1)-AM5393</x:f>
        <x:v>0</x:v>
      </x:c>
      <x:c r="M5393" s="11" t="n">
        <x:f>'管线假设'!H1155</x:f>
        <x:v>0.14</x:v>
      </x:c>
      <x:c r="N5393" s="11" t="n">
        <x:f>IF(G5393,L5393*AN5393/(1+M5393)^F5393,0)</x:f>
        <x:v>0</x:v>
      </x:c>
      <x:c r="AJ5393" t="n">
        <x:v>0</x:v>
      </x:c>
      <x:c r="AK5393" t="n">
        <x:v>0</x:v>
      </x:c>
      <x:c r="AL5393" t="n">
        <x:v>0</x:v>
      </x:c>
      <x:c r="AM5393" t="n">
        <x:f>CHOOSE('假设'!$B$3,AJ5393,AK5393,AL5393)</x:f>
        <x:v>0</x:v>
      </x:c>
      <x:c r="AN5393" t="n">
        <x:v>1</x:v>
      </x:c>
    </x:row>
    <x:row r="5394" ht="23" customHeight="1">
      <x:c r="A5394" s="11" t="str">
        <x:v>688062.SH</x:v>
      </x:c>
      <x:c r="B5394" s="11" t="str">
        <x:v>一年</x:v>
      </x:c>
      <x:c r="C5394" s="11" t="str">
        <x:v>gcsf</x:v>
      </x:c>
      <x:c r="D5394" s="11" t="str">
        <x:v>2027-12-31</x:v>
      </x:c>
      <x:c r="E5394" s="11" t="str">
        <x:v>CNY</x:v>
      </x:c>
      <x:c r="F5394" s="11" t="n">
        <x:v>0.2272416153319644</x:v>
      </x:c>
      <x:c r="G5394" s="26" t="b">
        <x:v>1</x:v>
      </x:c>
      <x:c r="H5394" s="16" t="n">
        <x:v>0.12</x:v>
      </x:c>
      <x:c r="I5394" s="16" t="n">
        <x:v>0.24</x:v>
      </x:c>
      <x:c r="J5394" s="16" t="n">
        <x:v>0.5</x:v>
      </x:c>
      <x:c r="K5394" s="11" t="n">
        <x:f>CHOOSE('假设'!$B$3,H5394,I5394,J5394)</x:f>
        <x:v>0.24</x:v>
      </x:c>
      <x:c r="L5394" s="11" t="n">
        <x:f>K5394*'管线假设'!E1159*'管线假设'!F1159*'管线假设'!G1159*IF(E5394="USD",'管线假设'!I1159,1)-AM5394</x:f>
        <x:v>0.019200000000000002</x:v>
      </x:c>
      <x:c r="M5394" s="11" t="n">
        <x:f>'管线假设'!H1159</x:f>
        <x:v>0.14</x:v>
      </x:c>
      <x:c r="N5394" s="11" t="n">
        <x:f>IF(G5394,L5394*AN5394/(1+M5394)^F5394,0)</x:f>
        <x:v>0.018636745661326122</x:v>
      </x:c>
      <x:c r="AJ5394" t="n">
        <x:v>0</x:v>
      </x:c>
      <x:c r="AK5394" t="n">
        <x:v>0</x:v>
      </x:c>
      <x:c r="AL5394" t="n">
        <x:v>0</x:v>
      </x:c>
      <x:c r="AM5394" t="n">
        <x:f>CHOOSE('假设'!$B$3,AJ5394,AK5394,AL5394)</x:f>
        <x:v>0</x:v>
      </x:c>
      <x:c r="AN5394" t="n">
        <x:v>1</x:v>
      </x:c>
    </x:row>
    <x:row r="5395" ht="23" customHeight="1">
      <x:c r="A5395" s="11" t="str">
        <x:v>688062.SH</x:v>
      </x:c>
      <x:c r="B5395" s="11" t="str">
        <x:v>一年</x:v>
      </x:c>
      <x:c r="C5395" s="11" t="str">
        <x:v>gcsf</x:v>
      </x:c>
      <x:c r="D5395" s="11" t="str">
        <x:v>2028-12-31</x:v>
      </x:c>
      <x:c r="E5395" s="11" t="str">
        <x:v>CNY</x:v>
      </x:c>
      <x:c r="F5395" s="11" t="n">
        <x:v>1.2292950034223136</x:v>
      </x:c>
      <x:c r="G5395" s="26" t="b">
        <x:v>1</x:v>
      </x:c>
      <x:c r="H5395" s="16" t="n">
        <x:v>0.24</x:v>
      </x:c>
      <x:c r="I5395" s="16" t="n">
        <x:v>0.48</x:v>
      </x:c>
      <x:c r="J5395" s="16" t="n">
        <x:v>1</x:v>
      </x:c>
      <x:c r="K5395" s="11" t="n">
        <x:f>CHOOSE('假设'!$B$3,H5395,I5395,J5395)</x:f>
        <x:v>0.48</x:v>
      </x:c>
      <x:c r="L5395" s="11" t="n">
        <x:f>K5395*'管线假设'!E1159*'管线假设'!F1159*'管线假设'!G1159*IF(E5395="USD",'管线假设'!I1159,1)-AM5395</x:f>
        <x:v>0.038400000000000004</x:v>
      </x:c>
      <x:c r="M5395" s="11" t="n">
        <x:f>'管线假设'!H1159</x:f>
        <x:v>0.14</x:v>
      </x:c>
      <x:c r="N5395" s="11" t="n">
        <x:f>IF(G5395,L5395*AN5395/(1+M5395)^F5395,0)</x:f>
        <x:v>0.03268724927101037</x:v>
      </x:c>
      <x:c r="AJ5395" t="n">
        <x:v>0</x:v>
      </x:c>
      <x:c r="AK5395" t="n">
        <x:v>0</x:v>
      </x:c>
      <x:c r="AL5395" t="n">
        <x:v>0</x:v>
      </x:c>
      <x:c r="AM5395" t="n">
        <x:f>CHOOSE('假设'!$B$3,AJ5395,AK5395,AL5395)</x:f>
        <x:v>0</x:v>
      </x:c>
      <x:c r="AN5395" t="n">
        <x:v>1</x:v>
      </x:c>
    </x:row>
    <x:row r="5396" ht="23" customHeight="1">
      <x:c r="A5396" s="11" t="str">
        <x:v>688062.SH</x:v>
      </x:c>
      <x:c r="B5396" s="11" t="str">
        <x:v>一年</x:v>
      </x:c>
      <x:c r="C5396" s="11" t="str">
        <x:v>gcsf</x:v>
      </x:c>
      <x:c r="D5396" s="11" t="str">
        <x:v>2029-12-31</x:v>
      </x:c>
      <x:c r="E5396" s="11" t="str">
        <x:v>CNY</x:v>
      </x:c>
      <x:c r="F5396" s="11" t="n">
        <x:v>2.2286105407255303</x:v>
      </x:c>
      <x:c r="G5396" s="26" t="b">
        <x:v>1</x:v>
      </x:c>
      <x:c r="H5396" s="16" t="n">
        <x:v>0.36</x:v>
      </x:c>
      <x:c r="I5396" s="16" t="n">
        <x:v>0.72</x:v>
      </x:c>
      <x:c r="J5396" s="16" t="n">
        <x:v>1.5</x:v>
      </x:c>
      <x:c r="K5396" s="11" t="n">
        <x:f>CHOOSE('假设'!$B$3,H5396,I5396,J5396)</x:f>
        <x:v>0.72</x:v>
      </x:c>
      <x:c r="L5396" s="11" t="n">
        <x:f>K5396*'管线假设'!E1159*'管线假设'!F1159*'管线假设'!G1159*IF(E5396="USD",'管线假设'!I1159,1)-AM5396</x:f>
        <x:v>0.05760000000000001</x:v>
      </x:c>
      <x:c r="M5396" s="11" t="n">
        <x:f>'管线假设'!H1159</x:f>
        <x:v>0.14</x:v>
      </x:c>
      <x:c r="N5396" s="11" t="n">
        <x:f>IF(G5396,L5396*AN5396/(1+M5396)^F5396,0)</x:f>
        <x:v>0.04301339595309884</x:v>
      </x:c>
      <x:c r="AJ5396" t="n">
        <x:v>0</x:v>
      </x:c>
      <x:c r="AK5396" t="n">
        <x:v>0</x:v>
      </x:c>
      <x:c r="AL5396" t="n">
        <x:v>0</x:v>
      </x:c>
      <x:c r="AM5396" t="n">
        <x:f>CHOOSE('假设'!$B$3,AJ5396,AK5396,AL5396)</x:f>
        <x:v>0</x:v>
      </x:c>
      <x:c r="AN5396" t="n">
        <x:v>1</x:v>
      </x:c>
    </x:row>
    <x:row r="5397" ht="23" customHeight="1">
      <x:c r="A5397" s="11" t="str">
        <x:v>688062.SH</x:v>
      </x:c>
      <x:c r="B5397" s="11" t="str">
        <x:v>一年</x:v>
      </x:c>
      <x:c r="C5397" s="11" t="str">
        <x:v>gcsf</x:v>
      </x:c>
      <x:c r="D5397" s="11" t="str">
        <x:v>2030-12-31</x:v>
      </x:c>
      <x:c r="E5397" s="11" t="str">
        <x:v>CNY</x:v>
      </x:c>
      <x:c r="F5397" s="11" t="n">
        <x:v>3.2279260780287475</x:v>
      </x:c>
      <x:c r="G5397" s="26" t="b">
        <x:v>1</x:v>
      </x:c>
      <x:c r="H5397" s="16" t="n">
        <x:v>0.48</x:v>
      </x:c>
      <x:c r="I5397" s="16" t="n">
        <x:v>0.96</x:v>
      </x:c>
      <x:c r="J5397" s="16" t="n">
        <x:v>2</x:v>
      </x:c>
      <x:c r="K5397" s="11" t="n">
        <x:f>CHOOSE('假设'!$B$3,H5397,I5397,J5397)</x:f>
        <x:v>0.96</x:v>
      </x:c>
      <x:c r="L5397" s="11" t="n">
        <x:f>K5397*'管线假设'!E1159*'管线假设'!F1159*'管线假设'!G1159*IF(E5397="USD",'管线假设'!I1159,1)-AM5397</x:f>
        <x:v>0.07680000000000001</x:v>
      </x:c>
      <x:c r="M5397" s="11" t="n">
        <x:f>'管线假设'!H1159</x:f>
        <x:v>0.14</x:v>
      </x:c>
      <x:c r="N5397" s="11" t="n">
        <x:f>IF(G5397,L5397*AN5397/(1+M5397)^F5397,0)</x:f>
        <x:v>0.050312577470966326</x:v>
      </x:c>
      <x:c r="AJ5397" t="n">
        <x:v>0</x:v>
      </x:c>
      <x:c r="AK5397" t="n">
        <x:v>0</x:v>
      </x:c>
      <x:c r="AL5397" t="n">
        <x:v>0</x:v>
      </x:c>
      <x:c r="AM5397" t="n">
        <x:f>CHOOSE('假设'!$B$3,AJ5397,AK5397,AL5397)</x:f>
        <x:v>0</x:v>
      </x:c>
      <x:c r="AN5397" t="n">
        <x:v>1</x:v>
      </x:c>
    </x:row>
    <x:row r="5398" ht="23" customHeight="1">
      <x:c r="A5398" s="11" t="str">
        <x:v>688062.SH</x:v>
      </x:c>
      <x:c r="B5398" s="11" t="str">
        <x:v>一年</x:v>
      </x:c>
      <x:c r="C5398" s="11" t="str">
        <x:v>gcsf</x:v>
      </x:c>
      <x:c r="D5398" s="11" t="str">
        <x:v>2031-12-31</x:v>
      </x:c>
      <x:c r="E5398" s="11" t="str">
        <x:v>CNY</x:v>
      </x:c>
      <x:c r="F5398" s="11" t="n">
        <x:v>4.227241615331964</x:v>
      </x:c>
      <x:c r="G5398" s="26" t="b">
        <x:v>1</x:v>
      </x:c>
      <x:c r="H5398" s="16" t="n">
        <x:v>0.6</x:v>
      </x:c>
      <x:c r="I5398" s="16" t="n">
        <x:v>1.2</x:v>
      </x:c>
      <x:c r="J5398" s="16" t="n">
        <x:v>1.74</x:v>
      </x:c>
      <x:c r="K5398" s="11" t="n">
        <x:f>CHOOSE('假设'!$B$3,H5398,I5398,J5398)</x:f>
        <x:v>1.2</x:v>
      </x:c>
      <x:c r="L5398" s="11" t="n">
        <x:f>K5398*'管线假设'!E1159*'管线假设'!F1159*'管线假设'!G1159*IF(E5398="USD",'管线假设'!I1159,1)-AM5398</x:f>
        <x:v>0.09600000000000002</x:v>
      </x:c>
      <x:c r="M5398" s="11" t="n">
        <x:f>'管线假设'!H1159</x:f>
        <x:v>0.14</x:v>
      </x:c>
      <x:c r="N5398" s="11" t="n">
        <x:f>IF(G5398,L5398*AN5398/(1+M5398)^F5398,0)</x:f>
        <x:v>0.05517224770217823</x:v>
      </x:c>
      <x:c r="AJ5398" t="n">
        <x:v>0</x:v>
      </x:c>
      <x:c r="AK5398" t="n">
        <x:v>0</x:v>
      </x:c>
      <x:c r="AL5398" t="n">
        <x:v>0</x:v>
      </x:c>
      <x:c r="AM5398" t="n">
        <x:f>CHOOSE('假设'!$B$3,AJ5398,AK5398,AL5398)</x:f>
        <x:v>0</x:v>
      </x:c>
      <x:c r="AN5398" t="n">
        <x:v>1</x:v>
      </x:c>
    </x:row>
    <x:row r="5399" ht="23" customHeight="1">
      <x:c r="A5399" s="11" t="str">
        <x:v>688062.SH</x:v>
      </x:c>
      <x:c r="B5399" s="11" t="str">
        <x:v>一年</x:v>
      </x:c>
      <x:c r="C5399" s="11" t="str">
        <x:v>gcsf</x:v>
      </x:c>
      <x:c r="D5399" s="11" t="str">
        <x:v>2032-12-31</x:v>
      </x:c>
      <x:c r="E5399" s="11" t="str">
        <x:v>CNY</x:v>
      </x:c>
      <x:c r="F5399" s="11" t="n">
        <x:v>5.229295003422314</x:v>
      </x:c>
      <x:c r="G5399" s="26" t="b">
        <x:v>1</x:v>
      </x:c>
      <x:c r="H5399" s="16" t="n">
        <x:v>0.522</x:v>
      </x:c>
      <x:c r="I5399" s="16" t="n">
        <x:v>1.044</x:v>
      </x:c>
      <x:c r="J5399" s="16" t="n">
        <x:v>1.48</x:v>
      </x:c>
      <x:c r="K5399" s="11" t="n">
        <x:f>CHOOSE('假设'!$B$3,H5399,I5399,J5399)</x:f>
        <x:v>1.044</x:v>
      </x:c>
      <x:c r="L5399" s="11" t="n">
        <x:f>K5399*'管线假设'!E1159*'管线假设'!F1159*'管线假设'!G1159*IF(E5399="USD",'管线假设'!I1159,1)-AM5399</x:f>
        <x:v>0.08352000000000002</x:v>
      </x:c>
      <x:c r="M5399" s="11" t="n">
        <x:f>'管线假设'!H1159</x:f>
        <x:v>0.14</x:v>
      </x:c>
      <x:c r="N5399" s="11" t="n">
        <x:f>IF(G5399,L5399*AN5399/(1+M5399)^F5399,0)</x:f>
        <x:v>0.04209380946229515</x:v>
      </x:c>
      <x:c r="AJ5399" t="n">
        <x:v>0</x:v>
      </x:c>
      <x:c r="AK5399" t="n">
        <x:v>0</x:v>
      </x:c>
      <x:c r="AL5399" t="n">
        <x:v>0</x:v>
      </x:c>
      <x:c r="AM5399" t="n">
        <x:f>CHOOSE('假设'!$B$3,AJ5399,AK5399,AL5399)</x:f>
        <x:v>0</x:v>
      </x:c>
      <x:c r="AN5399" t="n">
        <x:v>1</x:v>
      </x:c>
    </x:row>
    <x:row r="5400" ht="23" customHeight="1">
      <x:c r="A5400" s="11" t="str">
        <x:v>688062.SH</x:v>
      </x:c>
      <x:c r="B5400" s="11" t="str">
        <x:v>一年</x:v>
      </x:c>
      <x:c r="C5400" s="11" t="str">
        <x:v>gcsf</x:v>
      </x:c>
      <x:c r="D5400" s="11" t="str">
        <x:v>2033-12-31</x:v>
      </x:c>
      <x:c r="E5400" s="11" t="str">
        <x:v>CNY</x:v>
      </x:c>
      <x:c r="F5400" s="11" t="n">
        <x:v>6.228610540725531</x:v>
      </x:c>
      <x:c r="G5400" s="26" t="b">
        <x:v>1</x:v>
      </x:c>
      <x:c r="H5400" s="16" t="n">
        <x:v>0.444</x:v>
      </x:c>
      <x:c r="I5400" s="16" t="n">
        <x:v>0.888</x:v>
      </x:c>
      <x:c r="J5400" s="16" t="n">
        <x:v>1.22</x:v>
      </x:c>
      <x:c r="K5400" s="11" t="n">
        <x:f>CHOOSE('假设'!$B$3,H5400,I5400,J5400)</x:f>
        <x:v>0.888</x:v>
      </x:c>
      <x:c r="L5400" s="11" t="n">
        <x:f>K5400*'管线假设'!E1159*'管线假设'!F1159*'管线假设'!G1159*IF(E5400="USD",'管线假设'!I1159,1)-AM5400</x:f>
        <x:v>0.07104000000000002</x:v>
      </x:c>
      <x:c r="M5400" s="11" t="n">
        <x:f>'管线假设'!H1159</x:f>
        <x:v>0.14</x:v>
      </x:c>
      <x:c r="N5400" s="11" t="n">
        <x:f>IF(G5400,L5400*AN5400/(1+M5400)^F5400,0)</x:f>
        <x:v>0.0314097728680716</x:v>
      </x:c>
      <x:c r="AJ5400" t="n">
        <x:v>0</x:v>
      </x:c>
      <x:c r="AK5400" t="n">
        <x:v>0</x:v>
      </x:c>
      <x:c r="AL5400" t="n">
        <x:v>0</x:v>
      </x:c>
      <x:c r="AM5400" t="n">
        <x:f>CHOOSE('假设'!$B$3,AJ5400,AK5400,AL5400)</x:f>
        <x:v>0</x:v>
      </x:c>
      <x:c r="AN5400" t="n">
        <x:v>1</x:v>
      </x:c>
    </x:row>
    <x:row r="5401" ht="23" customHeight="1">
      <x:c r="A5401" s="11" t="str">
        <x:v>688062.SH</x:v>
      </x:c>
      <x:c r="B5401" s="11" t="str">
        <x:v>一年</x:v>
      </x:c>
      <x:c r="C5401" s="11" t="str">
        <x:v>gcsf</x:v>
      </x:c>
      <x:c r="D5401" s="11" t="str">
        <x:v>2034-12-31</x:v>
      </x:c>
      <x:c r="E5401" s="11" t="str">
        <x:v>CNY</x:v>
      </x:c>
      <x:c r="F5401" s="11" t="n">
        <x:v>7.227926078028747</x:v>
      </x:c>
      <x:c r="G5401" s="26" t="b">
        <x:v>1</x:v>
      </x:c>
      <x:c r="H5401" s="16" t="n">
        <x:v>0.366</x:v>
      </x:c>
      <x:c r="I5401" s="16" t="n">
        <x:v>0.732</x:v>
      </x:c>
      <x:c r="J5401" s="16" t="n">
        <x:v>0.96</x:v>
      </x:c>
      <x:c r="K5401" s="11" t="n">
        <x:f>CHOOSE('假设'!$B$3,H5401,I5401,J5401)</x:f>
        <x:v>0.732</x:v>
      </x:c>
      <x:c r="L5401" s="11" t="n">
        <x:f>K5401*'管线假设'!E1159*'管线假设'!F1159*'管线假设'!G1159*IF(E5401="USD",'管线假设'!I1159,1)-AM5401</x:f>
        <x:v>0.05856000000000001</x:v>
      </x:c>
      <x:c r="M5401" s="11" t="n">
        <x:f>'管线假设'!H1159</x:f>
        <x:v>0.14</x:v>
      </x:c>
      <x:c r="N5401" s="11" t="n">
        <x:f>IF(G5401,L5401*AN5401/(1+M5401)^F5401,0)</x:f>
        <x:v>0.022714177178466903</x:v>
      </x:c>
      <x:c r="AJ5401" t="n">
        <x:v>0</x:v>
      </x:c>
      <x:c r="AK5401" t="n">
        <x:v>0</x:v>
      </x:c>
      <x:c r="AL5401" t="n">
        <x:v>0</x:v>
      </x:c>
      <x:c r="AM5401" t="n">
        <x:f>CHOOSE('假设'!$B$3,AJ5401,AK5401,AL5401)</x:f>
        <x:v>0</x:v>
      </x:c>
      <x:c r="AN5401" t="n">
        <x:v>1</x:v>
      </x:c>
    </x:row>
    <x:row r="5402" ht="23" customHeight="1">
      <x:c r="A5402" s="11" t="str">
        <x:v>688062.SH</x:v>
      </x:c>
      <x:c r="B5402" s="11" t="str">
        <x:v>一年</x:v>
      </x:c>
      <x:c r="C5402" s="11" t="str">
        <x:v>gcsf</x:v>
      </x:c>
      <x:c r="D5402" s="11" t="str">
        <x:v>2035-12-31</x:v>
      </x:c>
      <x:c r="E5402" s="11" t="str">
        <x:v>CNY</x:v>
      </x:c>
      <x:c r="F5402" s="11" t="n">
        <x:v>8.227241615331964</x:v>
      </x:c>
      <x:c r="G5402" s="26" t="b">
        <x:v>1</x:v>
      </x:c>
      <x:c r="H5402" s="16" t="n">
        <x:v>0.288</x:v>
      </x:c>
      <x:c r="I5402" s="16" t="n">
        <x:v>0.576</x:v>
      </x:c>
      <x:c r="J5402" s="16" t="n">
        <x:v>0.7</x:v>
      </x:c>
      <x:c r="K5402" s="11" t="n">
        <x:f>CHOOSE('假设'!$B$3,H5402,I5402,J5402)</x:f>
        <x:v>0.576</x:v>
      </x:c>
      <x:c r="L5402" s="11" t="n">
        <x:f>K5402*'管线假设'!E1159*'管线假设'!F1159*'管线假设'!G1159*IF(E5402="USD",'管线假设'!I1159,1)-AM5402</x:f>
        <x:v>0.04608</x:v>
      </x:c>
      <x:c r="M5402" s="11" t="n">
        <x:f>'管线假设'!H1159</x:f>
        <x:v>0.14</x:v>
      </x:c>
      <x:c r="N5402" s="11" t="n">
        <x:f>IF(G5402,L5402*AN5402/(1+M5402)^F5402,0)</x:f>
        <x:v>0.01567987186686839</x:v>
      </x:c>
      <x:c r="AJ5402" t="n">
        <x:v>0</x:v>
      </x:c>
      <x:c r="AK5402" t="n">
        <x:v>0</x:v>
      </x:c>
      <x:c r="AL5402" t="n">
        <x:v>0</x:v>
      </x:c>
      <x:c r="AM5402" t="n">
        <x:f>CHOOSE('假设'!$B$3,AJ5402,AK5402,AL5402)</x:f>
        <x:v>0</x:v>
      </x:c>
      <x:c r="AN5402" t="n">
        <x:v>1</x:v>
      </x:c>
    </x:row>
    <x:row r="5403" ht="23" customHeight="1">
      <x:c r="A5403" s="11" t="str">
        <x:v>688062.SH</x:v>
      </x:c>
      <x:c r="B5403" s="11" t="str">
        <x:v>一年</x:v>
      </x:c>
      <x:c r="C5403" s="11" t="str">
        <x:v>gcsf</x:v>
      </x:c>
      <x:c r="D5403" s="11" t="str">
        <x:v>2036-12-31</x:v>
      </x:c>
      <x:c r="E5403" s="11" t="str">
        <x:v>CNY</x:v>
      </x:c>
      <x:c r="F5403" s="11" t="n">
        <x:v>9.229295003422314</x:v>
      </x:c>
      <x:c r="G5403" s="26" t="b">
        <x:v>1</x:v>
      </x:c>
      <x:c r="H5403" s="16" t="n">
        <x:v>0.21</x:v>
      </x:c>
      <x:c r="I5403" s="16" t="n">
        <x:v>0.42</x:v>
      </x:c>
      <x:c r="J5403" s="16" t="n">
        <x:v>0.43999999999999995</x:v>
      </x:c>
      <x:c r="K5403" s="11" t="n">
        <x:f>CHOOSE('假设'!$B$3,H5403,I5403,J5403)</x:f>
        <x:v>0.42</x:v>
      </x:c>
      <x:c r="L5403" s="11" t="n">
        <x:f>K5403*'管线假设'!E1159*'管线假设'!F1159*'管线假设'!G1159*IF(E5403="USD",'管线假设'!I1159,1)-AM5403</x:f>
        <x:v>0.033600000000000005</x:v>
      </x:c>
      <x:c r="M5403" s="11" t="n">
        <x:f>'管线假设'!H1159</x:f>
        <x:v>0.14</x:v>
      </x:c>
      <x:c r="N5403" s="11" t="n">
        <x:f>IF(G5403,L5403*AN5403/(1+M5403)^F5403,0)</x:f>
        <x:v>0.010026459808852028</x:v>
      </x:c>
      <x:c r="AJ5403" t="n">
        <x:v>0</x:v>
      </x:c>
      <x:c r="AK5403" t="n">
        <x:v>0</x:v>
      </x:c>
      <x:c r="AL5403" t="n">
        <x:v>0</x:v>
      </x:c>
      <x:c r="AM5403" t="n">
        <x:f>CHOOSE('假设'!$B$3,AJ5403,AK5403,AL5403)</x:f>
        <x:v>0</x:v>
      </x:c>
      <x:c r="AN5403" t="n">
        <x:v>1</x:v>
      </x:c>
    </x:row>
    <x:row r="5404" ht="23" customHeight="1">
      <x:c r="A5404" s="11" t="str">
        <x:v>688062.SH</x:v>
      </x:c>
      <x:c r="B5404" s="11" t="str">
        <x:v>一年</x:v>
      </x:c>
      <x:c r="C5404" s="11" t="str">
        <x:v>gcsf</x:v>
      </x:c>
      <x:c r="D5404" s="11" t="str">
        <x:v>2037-12-31</x:v>
      </x:c>
      <x:c r="E5404" s="11" t="str">
        <x:v>CNY</x:v>
      </x:c>
      <x:c r="F5404" s="11" t="n">
        <x:v>10.22861054072553</x:v>
      </x:c>
      <x:c r="G5404" s="26" t="b">
        <x:v>1</x:v>
      </x:c>
      <x:c r="H5404" s="16" t="n">
        <x:v>0.13199999999999998</x:v>
      </x:c>
      <x:c r="I5404" s="16" t="n">
        <x:v>0.26399999999999996</x:v>
      </x:c>
      <x:c r="J5404" s="16" t="n">
        <x:v>0.17999999999999994</x:v>
      </x:c>
      <x:c r="K5404" s="11" t="n">
        <x:f>CHOOSE('假设'!$B$3,H5404,I5404,J5404)</x:f>
        <x:v>0.26399999999999996</x:v>
      </x:c>
      <x:c r="L5404" s="11" t="n">
        <x:f>K5404*'管线假设'!E1159*'管线假设'!F1159*'管线假设'!G1159*IF(E5404="USD",'管线假设'!I1159,1)-AM5404</x:f>
        <x:v>0.02112</x:v>
      </x:c>
      <x:c r="M5404" s="11" t="n">
        <x:f>'管线假设'!H1159</x:f>
        <x:v>0.14</x:v>
      </x:c>
      <x:c r="N5404" s="11" t="n">
        <x:f>IF(G5404,L5404*AN5404/(1+M5404)^F5404,0)</x:f>
        <x:v>0.0055288696581212785</x:v>
      </x:c>
      <x:c r="AJ5404" t="n">
        <x:v>0</x:v>
      </x:c>
      <x:c r="AK5404" t="n">
        <x:v>0</x:v>
      </x:c>
      <x:c r="AL5404" t="n">
        <x:v>0</x:v>
      </x:c>
      <x:c r="AM5404" t="n">
        <x:f>CHOOSE('假设'!$B$3,AJ5404,AK5404,AL5404)</x:f>
        <x:v>0</x:v>
      </x:c>
      <x:c r="AN5404" t="n">
        <x:v>1</x:v>
      </x:c>
    </x:row>
    <x:row r="5405" ht="23" customHeight="1">
      <x:c r="A5405" s="11" t="str">
        <x:v>688062.SH</x:v>
      </x:c>
      <x:c r="B5405" s="11" t="str">
        <x:v>一年</x:v>
      </x:c>
      <x:c r="C5405" s="11" t="str">
        <x:v>gcsf</x:v>
      </x:c>
      <x:c r="D5405" s="11" t="str">
        <x:v>2038-12-31</x:v>
      </x:c>
      <x:c r="E5405" s="11" t="str">
        <x:v>CNY</x:v>
      </x:c>
      <x:c r="F5405" s="11" t="n">
        <x:v>11.227926078028748</x:v>
      </x:c>
      <x:c r="G5405" s="26" t="b">
        <x:v>1</x:v>
      </x:c>
      <x:c r="H5405" s="16" t="n">
        <x:v>0.05399999999999998</x:v>
      </x:c>
      <x:c r="I5405" s="16" t="n">
        <x:v>0.10799999999999996</x:v>
      </x:c>
      <x:c r="J5405" s="16" t="n">
        <x:v>0</x:v>
      </x:c>
      <x:c r="K5405" s="11" t="n">
        <x:f>CHOOSE('假设'!$B$3,H5405,I5405,J5405)</x:f>
        <x:v>0.10799999999999996</x:v>
      </x:c>
      <x:c r="L5405" s="11" t="n">
        <x:f>K5405*'管线假设'!E1159*'管线假设'!F1159*'管线假设'!G1159*IF(E5405="USD",'管线假设'!I1159,1)-AM5405</x:f>
        <x:v>0.008639999999999998</x:v>
      </x:c>
      <x:c r="M5405" s="11" t="n">
        <x:f>'管线假设'!H1159</x:f>
        <x:v>0.14</x:v>
      </x:c>
      <x:c r="N5405" s="11" t="n">
        <x:f>IF(G5405,L5405*AN5405/(1+M5405)^F5405,0)</x:f>
        <x:v>0.0019842220805993565</x:v>
      </x:c>
      <x:c r="AJ5405" t="n">
        <x:v>0</x:v>
      </x:c>
      <x:c r="AK5405" t="n">
        <x:v>0</x:v>
      </x:c>
      <x:c r="AL5405" t="n">
        <x:v>0</x:v>
      </x:c>
      <x:c r="AM5405" t="n">
        <x:f>CHOOSE('假设'!$B$3,AJ5405,AK5405,AL5405)</x:f>
        <x:v>0</x:v>
      </x:c>
      <x:c r="AN5405" t="n">
        <x:v>1</x:v>
      </x:c>
    </x:row>
    <x:row r="5406" ht="23" customHeight="1">
      <x:c r="A5406" s="11" t="str">
        <x:v>688062.SH</x:v>
      </x:c>
      <x:c r="B5406" s="11" t="str">
        <x:v>一年</x:v>
      </x:c>
      <x:c r="C5406" s="11" t="str">
        <x:v>gcsf</x:v>
      </x:c>
      <x:c r="D5406" s="11" t="str">
        <x:v>2039-12-31</x:v>
      </x:c>
      <x:c r="E5406" s="11" t="str">
        <x:v>CNY</x:v>
      </x:c>
      <x:c r="F5406" s="11" t="n">
        <x:v>12.227241615331964</x:v>
      </x:c>
      <x:c r="G5406" s="26" t="b">
        <x:v>1</x:v>
      </x:c>
      <x:c r="H5406" s="16" t="n">
        <x:v>0</x:v>
      </x:c>
      <x:c r="I5406" s="16" t="n">
        <x:v>0</x:v>
      </x:c>
      <x:c r="J5406" s="16" t="n">
        <x:v>0</x:v>
      </x:c>
      <x:c r="K5406" s="11" t="n">
        <x:f>CHOOSE('假设'!$B$3,H5406,I5406,J5406)</x:f>
        <x:v>0</x:v>
      </x:c>
      <x:c r="L5406" s="11" t="n">
        <x:f>K5406*'管线假设'!E1159*'管线假设'!F1159*'管线假设'!G1159*IF(E5406="USD",'管线假设'!I1159,1)-AM5406</x:f>
        <x:v>0</x:v>
      </x:c>
      <x:c r="M5406" s="11" t="n">
        <x:f>'管线假设'!H1159</x:f>
        <x:v>0.14</x:v>
      </x:c>
      <x:c r="N5406" s="11" t="n">
        <x:f>IF(G5406,L5406*AN5406/(1+M5406)^F5406,0)</x:f>
        <x:v>0</x:v>
      </x:c>
      <x:c r="AJ5406" t="n">
        <x:v>0</x:v>
      </x:c>
      <x:c r="AK5406" t="n">
        <x:v>0</x:v>
      </x:c>
      <x:c r="AL5406" t="n">
        <x:v>0</x:v>
      </x:c>
      <x:c r="AM5406" t="n">
        <x:f>CHOOSE('假设'!$B$3,AJ5406,AK5406,AL5406)</x:f>
        <x:v>0</x:v>
      </x:c>
      <x:c r="AN5406" t="n">
        <x:v>1</x:v>
      </x:c>
    </x:row>
    <x:row r="5407" ht="23" customHeight="1">
      <x:c r="A5407" s="11" t="str">
        <x:v>688062.SH</x:v>
      </x:c>
      <x:c r="B5407" s="11" t="str">
        <x:v>一年</x:v>
      </x:c>
      <x:c r="C5407" s="11" t="str">
        <x:v>gcsf</x:v>
      </x:c>
      <x:c r="D5407" s="11" t="str">
        <x:v>2040-12-31</x:v>
      </x:c>
      <x:c r="E5407" s="11" t="str">
        <x:v>CNY</x:v>
      </x:c>
      <x:c r="F5407" s="11" t="n">
        <x:v>13.229295003422314</x:v>
      </x:c>
      <x:c r="G5407" s="26" t="b">
        <x:v>1</x:v>
      </x:c>
      <x:c r="H5407" s="16" t="n">
        <x:v>0</x:v>
      </x:c>
      <x:c r="I5407" s="16" t="n">
        <x:v>0</x:v>
      </x:c>
      <x:c r="J5407" s="16" t="n">
        <x:v>0</x:v>
      </x:c>
      <x:c r="K5407" s="11" t="n">
        <x:f>CHOOSE('假设'!$B$3,H5407,I5407,J5407)</x:f>
        <x:v>0</x:v>
      </x:c>
      <x:c r="L5407" s="11" t="n">
        <x:f>K5407*'管线假设'!E1159*'管线假设'!F1159*'管线假设'!G1159*IF(E5407="USD",'管线假设'!I1159,1)-AM5407</x:f>
        <x:v>0</x:v>
      </x:c>
      <x:c r="M5407" s="11" t="n">
        <x:f>'管线假设'!H1159</x:f>
        <x:v>0.14</x:v>
      </x:c>
      <x:c r="N5407" s="11" t="n">
        <x:f>IF(G5407,L5407*AN5407/(1+M5407)^F5407,0)</x:f>
        <x:v>0</x:v>
      </x:c>
      <x:c r="AJ5407" t="n">
        <x:v>0</x:v>
      </x:c>
      <x:c r="AK5407" t="n">
        <x:v>0</x:v>
      </x:c>
      <x:c r="AL5407" t="n">
        <x:v>0</x:v>
      </x:c>
      <x:c r="AM5407" t="n">
        <x:f>CHOOSE('假设'!$B$3,AJ5407,AK5407,AL5407)</x:f>
        <x:v>0</x:v>
      </x:c>
      <x:c r="AN5407" t="n">
        <x:v>1</x:v>
      </x:c>
    </x:row>
    <x:row r="5408" ht="23" customHeight="1">
      <x:c r="A5408" s="11" t="str">
        <x:v>688062.SH</x:v>
      </x:c>
      <x:c r="B5408" s="11" t="str">
        <x:v>一年</x:v>
      </x:c>
      <x:c r="C5408" s="11" t="str">
        <x:v>gcsf</x:v>
      </x:c>
      <x:c r="D5408" s="11" t="str">
        <x:v>2041-12-31</x:v>
      </x:c>
      <x:c r="E5408" s="11" t="str">
        <x:v>CNY</x:v>
      </x:c>
      <x:c r="F5408" s="11" t="n">
        <x:v>14.22861054072553</x:v>
      </x:c>
      <x:c r="G5408" s="26" t="b">
        <x:v>1</x:v>
      </x:c>
      <x:c r="H5408" s="16" t="n">
        <x:v>0</x:v>
      </x:c>
      <x:c r="I5408" s="16" t="n">
        <x:v>0</x:v>
      </x:c>
      <x:c r="J5408" s="16" t="n">
        <x:v>0</x:v>
      </x:c>
      <x:c r="K5408" s="11" t="n">
        <x:f>CHOOSE('假设'!$B$3,H5408,I5408,J5408)</x:f>
        <x:v>0</x:v>
      </x:c>
      <x:c r="L5408" s="11" t="n">
        <x:f>K5408*'管线假设'!E1159*'管线假设'!F1159*'管线假设'!G1159*IF(E5408="USD",'管线假设'!I1159,1)-AM5408</x:f>
        <x:v>0</x:v>
      </x:c>
      <x:c r="M5408" s="11" t="n">
        <x:f>'管线假设'!H1159</x:f>
        <x:v>0.14</x:v>
      </x:c>
      <x:c r="N5408" s="11" t="n">
        <x:f>IF(G5408,L5408*AN5408/(1+M5408)^F5408,0)</x:f>
        <x:v>0</x:v>
      </x:c>
      <x:c r="AJ5408" t="n">
        <x:v>0</x:v>
      </x:c>
      <x:c r="AK5408" t="n">
        <x:v>0</x:v>
      </x:c>
      <x:c r="AL5408" t="n">
        <x:v>0</x:v>
      </x:c>
      <x:c r="AM5408" t="n">
        <x:f>CHOOSE('假设'!$B$3,AJ5408,AK5408,AL5408)</x:f>
        <x:v>0</x:v>
      </x:c>
      <x:c r="AN5408" t="n">
        <x:v>1</x:v>
      </x:c>
    </x:row>
    <x:row r="5409" ht="23" customHeight="1">
      <x:c r="A5409" s="11" t="str">
        <x:v>688062.SH</x:v>
      </x:c>
      <x:c r="B5409" s="11" t="str">
        <x:v>一年</x:v>
      </x:c>
      <x:c r="C5409" s="11" t="str">
        <x:v>gcsf</x:v>
      </x:c>
      <x:c r="D5409" s="11" t="str">
        <x:v>2042-12-31</x:v>
      </x:c>
      <x:c r="E5409" s="11" t="str">
        <x:v>CNY</x:v>
      </x:c>
      <x:c r="F5409" s="11" t="n">
        <x:v>15.227926078028748</x:v>
      </x:c>
      <x:c r="G5409" s="26" t="b">
        <x:v>1</x:v>
      </x:c>
      <x:c r="H5409" s="16" t="n">
        <x:v>0</x:v>
      </x:c>
      <x:c r="I5409" s="16" t="n">
        <x:v>0</x:v>
      </x:c>
      <x:c r="J5409" s="16" t="n">
        <x:v>0</x:v>
      </x:c>
      <x:c r="K5409" s="11" t="n">
        <x:f>CHOOSE('假设'!$B$3,H5409,I5409,J5409)</x:f>
        <x:v>0</x:v>
      </x:c>
      <x:c r="L5409" s="11" t="n">
        <x:f>K5409*'管线假设'!E1159*'管线假设'!F1159*'管线假设'!G1159*IF(E5409="USD",'管线假设'!I1159,1)-AM5409</x:f>
        <x:v>0</x:v>
      </x:c>
      <x:c r="M5409" s="11" t="n">
        <x:f>'管线假设'!H1159</x:f>
        <x:v>0.14</x:v>
      </x:c>
      <x:c r="N5409" s="11" t="n">
        <x:f>IF(G5409,L5409*AN5409/(1+M5409)^F5409,0)</x:f>
        <x:v>0</x:v>
      </x:c>
      <x:c r="AJ5409" t="n">
        <x:v>0</x:v>
      </x:c>
      <x:c r="AK5409" t="n">
        <x:v>0</x:v>
      </x:c>
      <x:c r="AL5409" t="n">
        <x:v>0</x:v>
      </x:c>
      <x:c r="AM5409" t="n">
        <x:f>CHOOSE('假设'!$B$3,AJ5409,AK5409,AL5409)</x:f>
        <x:v>0</x:v>
      </x:c>
      <x:c r="AN5409" t="n">
        <x:v>1</x:v>
      </x:c>
    </x:row>
    <x:row r="5410" ht="23" customHeight="1">
      <x:c r="A5410" s="11" t="str">
        <x:v>688062.SH</x:v>
      </x:c>
      <x:c r="B5410" s="11" t="str">
        <x:v>一年</x:v>
      </x:c>
      <x:c r="C5410" s="11" t="str">
        <x:v>gcsf</x:v>
      </x:c>
      <x:c r="D5410" s="11" t="str">
        <x:v>2043-12-31</x:v>
      </x:c>
      <x:c r="E5410" s="11" t="str">
        <x:v>CNY</x:v>
      </x:c>
      <x:c r="F5410" s="11" t="n">
        <x:v>16.227241615331966</x:v>
      </x:c>
      <x:c r="G5410" s="26" t="b">
        <x:v>1</x:v>
      </x:c>
      <x:c r="H5410" s="16" t="n">
        <x:v>0</x:v>
      </x:c>
      <x:c r="I5410" s="16" t="n">
        <x:v>0</x:v>
      </x:c>
      <x:c r="J5410" s="16" t="n">
        <x:v>0</x:v>
      </x:c>
      <x:c r="K5410" s="11" t="n">
        <x:f>CHOOSE('假设'!$B$3,H5410,I5410,J5410)</x:f>
        <x:v>0</x:v>
      </x:c>
      <x:c r="L5410" s="11" t="n">
        <x:f>K5410*'管线假设'!E1159*'管线假设'!F1159*'管线假设'!G1159*IF(E5410="USD",'管线假设'!I1159,1)-AM5410</x:f>
        <x:v>0</x:v>
      </x:c>
      <x:c r="M5410" s="11" t="n">
        <x:f>'管线假设'!H1159</x:f>
        <x:v>0.14</x:v>
      </x:c>
      <x:c r="N5410" s="11" t="n">
        <x:f>IF(G5410,L5410*AN5410/(1+M5410)^F5410,0)</x:f>
        <x:v>0</x:v>
      </x:c>
      <x:c r="AJ5410" t="n">
        <x:v>0</x:v>
      </x:c>
      <x:c r="AK5410" t="n">
        <x:v>0</x:v>
      </x:c>
      <x:c r="AL5410" t="n">
        <x:v>0</x:v>
      </x:c>
      <x:c r="AM5410" t="n">
        <x:f>CHOOSE('假设'!$B$3,AJ5410,AK5410,AL5410)</x:f>
        <x:v>0</x:v>
      </x:c>
      <x:c r="AN5410" t="n">
        <x:v>1</x:v>
      </x:c>
    </x:row>
    <x:row r="5411" ht="23" customHeight="1">
      <x:c r="A5411" s="11" t="str">
        <x:v>688062.SH</x:v>
      </x:c>
      <x:c r="B5411" s="11" t="str">
        <x:v>一年</x:v>
      </x:c>
      <x:c r="C5411" s="11" t="str">
        <x:v>gcsf</x:v>
      </x:c>
      <x:c r="D5411" s="11" t="str">
        <x:v>2044-12-31</x:v>
      </x:c>
      <x:c r="E5411" s="11" t="str">
        <x:v>CNY</x:v>
      </x:c>
      <x:c r="F5411" s="11" t="n">
        <x:v>17.229295003422312</x:v>
      </x:c>
      <x:c r="G5411" s="26" t="b">
        <x:v>1</x:v>
      </x:c>
      <x:c r="H5411" s="16" t="n">
        <x:v>0</x:v>
      </x:c>
      <x:c r="I5411" s="16" t="n">
        <x:v>0</x:v>
      </x:c>
      <x:c r="J5411" s="16" t="n">
        <x:v>0</x:v>
      </x:c>
      <x:c r="K5411" s="11" t="n">
        <x:f>CHOOSE('假设'!$B$3,H5411,I5411,J5411)</x:f>
        <x:v>0</x:v>
      </x:c>
      <x:c r="L5411" s="11" t="n">
        <x:f>K5411*'管线假设'!E1159*'管线假设'!F1159*'管线假设'!G1159*IF(E5411="USD",'管线假设'!I1159,1)-AM5411</x:f>
        <x:v>0</x:v>
      </x:c>
      <x:c r="M5411" s="11" t="n">
        <x:f>'管线假设'!H1159</x:f>
        <x:v>0.14</x:v>
      </x:c>
      <x:c r="N5411" s="11" t="n">
        <x:f>IF(G5411,L5411*AN5411/(1+M5411)^F5411,0)</x:f>
        <x:v>0</x:v>
      </x:c>
      <x:c r="AJ5411" t="n">
        <x:v>0</x:v>
      </x:c>
      <x:c r="AK5411" t="n">
        <x:v>0</x:v>
      </x:c>
      <x:c r="AL5411" t="n">
        <x:v>0</x:v>
      </x:c>
      <x:c r="AM5411" t="n">
        <x:f>CHOOSE('假设'!$B$3,AJ5411,AK5411,AL5411)</x:f>
        <x:v>0</x:v>
      </x:c>
      <x:c r="AN5411" t="n">
        <x:v>1</x:v>
      </x:c>
    </x:row>
    <x:row r="5412" ht="23" customHeight="1">
      <x:c r="A5412" s="11" t="str">
        <x:v>688062.SH</x:v>
      </x:c>
      <x:c r="B5412" s="11" t="str">
        <x:v>一年</x:v>
      </x:c>
      <x:c r="C5412" s="11" t="str">
        <x:v>gcsf</x:v>
      </x:c>
      <x:c r="D5412" s="11" t="str">
        <x:v>2045-12-31</x:v>
      </x:c>
      <x:c r="E5412" s="11" t="str">
        <x:v>CNY</x:v>
      </x:c>
      <x:c r="F5412" s="11" t="n">
        <x:v>18.22861054072553</x:v>
      </x:c>
      <x:c r="G5412" s="26" t="b">
        <x:v>1</x:v>
      </x:c>
      <x:c r="H5412" s="16" t="n">
        <x:v>0</x:v>
      </x:c>
      <x:c r="I5412" s="16" t="n">
        <x:v>0</x:v>
      </x:c>
      <x:c r="J5412" s="16" t="n">
        <x:v>0</x:v>
      </x:c>
      <x:c r="K5412" s="11" t="n">
        <x:f>CHOOSE('假设'!$B$3,H5412,I5412,J5412)</x:f>
        <x:v>0</x:v>
      </x:c>
      <x:c r="L5412" s="11" t="n">
        <x:f>K5412*'管线假设'!E1159*'管线假设'!F1159*'管线假设'!G1159*IF(E5412="USD",'管线假设'!I1159,1)-AM5412</x:f>
        <x:v>0</x:v>
      </x:c>
      <x:c r="M5412" s="11" t="n">
        <x:f>'管线假设'!H1159</x:f>
        <x:v>0.14</x:v>
      </x:c>
      <x:c r="N5412" s="11" t="n">
        <x:f>IF(G5412,L5412*AN5412/(1+M5412)^F5412,0)</x:f>
        <x:v>0</x:v>
      </x:c>
      <x:c r="AJ5412" t="n">
        <x:v>0</x:v>
      </x:c>
      <x:c r="AK5412" t="n">
        <x:v>0</x:v>
      </x:c>
      <x:c r="AL5412" t="n">
        <x:v>0</x:v>
      </x:c>
      <x:c r="AM5412" t="n">
        <x:f>CHOOSE('假设'!$B$3,AJ5412,AK5412,AL5412)</x:f>
        <x:v>0</x:v>
      </x:c>
      <x:c r="AN5412" t="n">
        <x:v>1</x:v>
      </x:c>
    </x:row>
    <x:row r="5413" ht="23" customHeight="1">
      <x:c r="A5413" s="11" t="str">
        <x:v>688062.SH</x:v>
      </x:c>
      <x:c r="B5413" s="11" t="str">
        <x:v>一年</x:v>
      </x:c>
      <x:c r="C5413" s="11" t="str">
        <x:v>bfv_uc_later</x:v>
      </x:c>
      <x:c r="D5413" s="11" t="str">
        <x:v>2027-12-31</x:v>
      </x:c>
      <x:c r="E5413" s="11" t="str">
        <x:v>CNY</x:v>
      </x:c>
      <x:c r="F5413" s="11" t="n">
        <x:v>0.2272416153319644</x:v>
      </x:c>
      <x:c r="G5413" s="26" t="b">
        <x:v>1</x:v>
      </x:c>
      <x:c r="H5413" s="16" t="n">
        <x:v>0</x:v>
      </x:c>
      <x:c r="I5413" s="16" t="n">
        <x:v>0</x:v>
      </x:c>
      <x:c r="J5413" s="16" t="n">
        <x:v>0.36000000000000004</x:v>
      </x:c>
      <x:c r="K5413" s="11" t="n">
        <x:f>CHOOSE('假设'!$B$3,H5413,I5413,J5413)</x:f>
        <x:v>0</x:v>
      </x:c>
      <x:c r="L5413" s="11" t="n">
        <x:f>K5413*'管线假设'!E1163*'管线假设'!F1163*'管线假设'!G1163*IF(E5413="USD",'管线假设'!I1163,1)-AM5413</x:f>
        <x:v>0</x:v>
      </x:c>
      <x:c r="M5413" s="11" t="n">
        <x:f>'管线假设'!H1163</x:f>
        <x:v>0.14</x:v>
      </x:c>
      <x:c r="N5413" s="11" t="n">
        <x:f>IF(G5413,L5413*AN5413/(1+M5413)^F5413,0)</x:f>
        <x:v>0</x:v>
      </x:c>
      <x:c r="AJ5413" t="n">
        <x:v>0</x:v>
      </x:c>
      <x:c r="AK5413" t="n">
        <x:v>0</x:v>
      </x:c>
      <x:c r="AL5413" t="n">
        <x:v>0</x:v>
      </x:c>
      <x:c r="AM5413" t="n">
        <x:f>CHOOSE('假设'!$B$3,AJ5413,AK5413,AL5413)</x:f>
        <x:v>0</x:v>
      </x:c>
      <x:c r="AN5413" t="n">
        <x:v>1</x:v>
      </x:c>
    </x:row>
    <x:row r="5414" ht="23" customHeight="1">
      <x:c r="A5414" s="11" t="str">
        <x:v>688062.SH</x:v>
      </x:c>
      <x:c r="B5414" s="11" t="str">
        <x:v>一年</x:v>
      </x:c>
      <x:c r="C5414" s="11" t="str">
        <x:v>bfv_uc_later</x:v>
      </x:c>
      <x:c r="D5414" s="11" t="str">
        <x:v>2028-12-31</x:v>
      </x:c>
      <x:c r="E5414" s="11" t="str">
        <x:v>CNY</x:v>
      </x:c>
      <x:c r="F5414" s="11" t="n">
        <x:v>1.2292950034223136</x:v>
      </x:c>
      <x:c r="G5414" s="26" t="b">
        <x:v>1</x:v>
      </x:c>
      <x:c r="H5414" s="16" t="n">
        <x:v>0</x:v>
      </x:c>
      <x:c r="I5414" s="16" t="n">
        <x:v>0.22000000000000003</x:v>
      </x:c>
      <x:c r="J5414" s="16" t="n">
        <x:v>0.7200000000000001</x:v>
      </x:c>
      <x:c r="K5414" s="11" t="n">
        <x:f>CHOOSE('假设'!$B$3,H5414,I5414,J5414)</x:f>
        <x:v>0.22000000000000003</x:v>
      </x:c>
      <x:c r="L5414" s="11" t="n">
        <x:f>K5414*'管线假设'!E1163*'管线假设'!F1163*'管线假设'!G1163*IF(E5414="USD",'管线假设'!I1163,1)-AM5414</x:f>
        <x:v>0.042174</x:v>
      </x:c>
      <x:c r="M5414" s="11" t="n">
        <x:f>'管线假设'!H1163</x:f>
        <x:v>0.14</x:v>
      </x:c>
      <x:c r="N5414" s="11" t="n">
        <x:f>IF(G5414,L5414*AN5414/(1+M5414)^F5414,0)</x:f>
        <x:v>0.035899792988426854</x:v>
      </x:c>
      <x:c r="AJ5414" t="n">
        <x:v>0</x:v>
      </x:c>
      <x:c r="AK5414" t="n">
        <x:v>0</x:v>
      </x:c>
      <x:c r="AL5414" t="n">
        <x:v>0</x:v>
      </x:c>
      <x:c r="AM5414" t="n">
        <x:f>CHOOSE('假设'!$B$3,AJ5414,AK5414,AL5414)</x:f>
        <x:v>0</x:v>
      </x:c>
      <x:c r="AN5414" t="n">
        <x:v>1</x:v>
      </x:c>
    </x:row>
    <x:row r="5415" ht="23" customHeight="1">
      <x:c r="A5415" s="11" t="str">
        <x:v>688062.SH</x:v>
      </x:c>
      <x:c r="B5415" s="11" t="str">
        <x:v>一年</x:v>
      </x:c>
      <x:c r="C5415" s="11" t="str">
        <x:v>bfv_uc_later</x:v>
      </x:c>
      <x:c r="D5415" s="11" t="str">
        <x:v>2029-12-31</x:v>
      </x:c>
      <x:c r="E5415" s="11" t="str">
        <x:v>CNY</x:v>
      </x:c>
      <x:c r="F5415" s="11" t="n">
        <x:v>2.2286105407255303</x:v>
      </x:c>
      <x:c r="G5415" s="26" t="b">
        <x:v>1</x:v>
      </x:c>
      <x:c r="H5415" s="16" t="n">
        <x:v>0.09000000000000001</x:v>
      </x:c>
      <x:c r="I5415" s="16" t="n">
        <x:v>0.44000000000000006</x:v>
      </x:c>
      <x:c r="J5415" s="16" t="n">
        <x:v>1.08</x:v>
      </x:c>
      <x:c r="K5415" s="11" t="n">
        <x:f>CHOOSE('假设'!$B$3,H5415,I5415,J5415)</x:f>
        <x:v>0.44000000000000006</x:v>
      </x:c>
      <x:c r="L5415" s="11" t="n">
        <x:f>K5415*'管线假设'!E1163*'管线假设'!F1163*'管线假设'!G1163*IF(E5415="USD",'管线假设'!I1163,1)-AM5415</x:f>
        <x:v>0.084348</x:v>
      </x:c>
      <x:c r="M5415" s="11" t="n">
        <x:f>'管线假设'!H1163</x:f>
        <x:v>0.14</x:v>
      </x:c>
      <x:c r="N5415" s="11" t="n">
        <x:f>IF(G5415,L5415*AN5415/(1+M5415)^F5415,0)</x:f>
        <x:v>0.0629877416988191</x:v>
      </x:c>
      <x:c r="AJ5415" t="n">
        <x:v>0</x:v>
      </x:c>
      <x:c r="AK5415" t="n">
        <x:v>0</x:v>
      </x:c>
      <x:c r="AL5415" t="n">
        <x:v>0</x:v>
      </x:c>
      <x:c r="AM5415" t="n">
        <x:f>CHOOSE('假设'!$B$3,AJ5415,AK5415,AL5415)</x:f>
        <x:v>0</x:v>
      </x:c>
      <x:c r="AN5415" t="n">
        <x:v>1</x:v>
      </x:c>
    </x:row>
    <x:row r="5416" ht="23" customHeight="1">
      <x:c r="A5416" s="11" t="str">
        <x:v>688062.SH</x:v>
      </x:c>
      <x:c r="B5416" s="11" t="str">
        <x:v>一年</x:v>
      </x:c>
      <x:c r="C5416" s="11" t="str">
        <x:v>bfv_uc_later</x:v>
      </x:c>
      <x:c r="D5416" s="11" t="str">
        <x:v>2030-12-31</x:v>
      </x:c>
      <x:c r="E5416" s="11" t="str">
        <x:v>CNY</x:v>
      </x:c>
      <x:c r="F5416" s="11" t="n">
        <x:v>3.2279260780287475</x:v>
      </x:c>
      <x:c r="G5416" s="26" t="b">
        <x:v>1</x:v>
      </x:c>
      <x:c r="H5416" s="16" t="n">
        <x:v>0.18000000000000002</x:v>
      </x:c>
      <x:c r="I5416" s="16" t="n">
        <x:v>0.66</x:v>
      </x:c>
      <x:c r="J5416" s="16" t="n">
        <x:v>1.4400000000000002</x:v>
      </x:c>
      <x:c r="K5416" s="11" t="n">
        <x:f>CHOOSE('假设'!$B$3,H5416,I5416,J5416)</x:f>
        <x:v>0.66</x:v>
      </x:c>
      <x:c r="L5416" s="11" t="n">
        <x:f>K5416*'管线假设'!E1163*'管线假设'!F1163*'管线假设'!G1163*IF(E5416="USD",'管线假设'!I1163,1)-AM5416</x:f>
        <x:v>0.126522</x:v>
      </x:c>
      <x:c r="M5416" s="11" t="n">
        <x:f>'管线假设'!H1163</x:f>
        <x:v>0.14</x:v>
      </x:c>
      <x:c r="N5416" s="11" t="n">
        <x:f>IF(G5416,L5416*AN5416/(1+M5416)^F5416,0)</x:f>
        <x:v>0.08288604071330209</x:v>
      </x:c>
      <x:c r="AJ5416" t="n">
        <x:v>0</x:v>
      </x:c>
      <x:c r="AK5416" t="n">
        <x:v>0</x:v>
      </x:c>
      <x:c r="AL5416" t="n">
        <x:v>0</x:v>
      </x:c>
      <x:c r="AM5416" t="n">
        <x:f>CHOOSE('假设'!$B$3,AJ5416,AK5416,AL5416)</x:f>
        <x:v>0</x:v>
      </x:c>
      <x:c r="AN5416" t="n">
        <x:v>1</x:v>
      </x:c>
    </x:row>
    <x:row r="5417" ht="23" customHeight="1">
      <x:c r="A5417" s="11" t="str">
        <x:v>688062.SH</x:v>
      </x:c>
      <x:c r="B5417" s="11" t="str">
        <x:v>一年</x:v>
      </x:c>
      <x:c r="C5417" s="11" t="str">
        <x:v>bfv_uc_later</x:v>
      </x:c>
      <x:c r="D5417" s="11" t="str">
        <x:v>2031-12-31</x:v>
      </x:c>
      <x:c r="E5417" s="11" t="str">
        <x:v>CNY</x:v>
      </x:c>
      <x:c r="F5417" s="11" t="n">
        <x:v>4.227241615331964</x:v>
      </x:c>
      <x:c r="G5417" s="26" t="b">
        <x:v>1</x:v>
      </x:c>
      <x:c r="H5417" s="16" t="n">
        <x:v>0.27</x:v>
      </x:c>
      <x:c r="I5417" s="16" t="n">
        <x:v>0.8800000000000001</x:v>
      </x:c>
      <x:c r="J5417" s="16" t="n">
        <x:v>1.8</x:v>
      </x:c>
      <x:c r="K5417" s="11" t="n">
        <x:f>CHOOSE('假设'!$B$3,H5417,I5417,J5417)</x:f>
        <x:v>0.8800000000000001</x:v>
      </x:c>
      <x:c r="L5417" s="11" t="n">
        <x:f>K5417*'管线假设'!E1163*'管线假设'!F1163*'管线假设'!G1163*IF(E5417="USD",'管线假设'!I1163,1)-AM5417</x:f>
        <x:v>0.168696</x:v>
      </x:c>
      <x:c r="M5417" s="11" t="n">
        <x:f>'管线假设'!H1163</x:f>
        <x:v>0.14</x:v>
      </x:c>
      <x:c r="N5417" s="11" t="n">
        <x:f>IF(G5417,L5417*AN5417/(1+M5417)^F5417,0)</x:f>
        <x:v>0.0969514322746527</x:v>
      </x:c>
      <x:c r="AJ5417" t="n">
        <x:v>0</x:v>
      </x:c>
      <x:c r="AK5417" t="n">
        <x:v>0</x:v>
      </x:c>
      <x:c r="AL5417" t="n">
        <x:v>0</x:v>
      </x:c>
      <x:c r="AM5417" t="n">
        <x:f>CHOOSE('假设'!$B$3,AJ5417,AK5417,AL5417)</x:f>
        <x:v>0</x:v>
      </x:c>
      <x:c r="AN5417" t="n">
        <x:v>1</x:v>
      </x:c>
    </x:row>
    <x:row r="5418" ht="23" customHeight="1">
      <x:c r="A5418" s="11" t="str">
        <x:v>688062.SH</x:v>
      </x:c>
      <x:c r="B5418" s="11" t="str">
        <x:v>一年</x:v>
      </x:c>
      <x:c r="C5418" s="11" t="str">
        <x:v>bfv_uc_later</x:v>
      </x:c>
      <x:c r="D5418" s="11" t="str">
        <x:v>2032-12-31</x:v>
      </x:c>
      <x:c r="E5418" s="11" t="str">
        <x:v>CNY</x:v>
      </x:c>
      <x:c r="F5418" s="11" t="n">
        <x:v>5.229295003422314</x:v>
      </x:c>
      <x:c r="G5418" s="26" t="b">
        <x:v>1</x:v>
      </x:c>
      <x:c r="H5418" s="16" t="n">
        <x:v>0.36000000000000004</x:v>
      </x:c>
      <x:c r="I5418" s="16" t="n">
        <x:v>1.1</x:v>
      </x:c>
      <x:c r="J5418" s="16" t="n">
        <x:v>1.566</x:v>
      </x:c>
      <x:c r="K5418" s="11" t="n">
        <x:f>CHOOSE('假设'!$B$3,H5418,I5418,J5418)</x:f>
        <x:v>1.1</x:v>
      </x:c>
      <x:c r="L5418" s="11" t="n">
        <x:f>K5418*'管线假设'!E1163*'管线假设'!F1163*'管线假设'!G1163*IF(E5418="USD",'管线假设'!I1163,1)-AM5418</x:f>
        <x:v>0.21087000000000003</x:v>
      </x:c>
      <x:c r="M5418" s="11" t="n">
        <x:f>'管线假设'!H1163</x:f>
        <x:v>0.14</x:v>
      </x:c>
      <x:c r="N5418" s="11" t="n">
        <x:f>IF(G5418,L5418*AN5418/(1+M5418)^F5418,0)</x:f>
        <x:v>0.10627779695060077</x:v>
      </x:c>
      <x:c r="AJ5418" t="n">
        <x:v>0</x:v>
      </x:c>
      <x:c r="AK5418" t="n">
        <x:v>0</x:v>
      </x:c>
      <x:c r="AL5418" t="n">
        <x:v>0</x:v>
      </x:c>
      <x:c r="AM5418" t="n">
        <x:f>CHOOSE('假设'!$B$3,AJ5418,AK5418,AL5418)</x:f>
        <x:v>0</x:v>
      </x:c>
      <x:c r="AN5418" t="n">
        <x:v>1</x:v>
      </x:c>
    </x:row>
    <x:row r="5419" ht="23" customHeight="1">
      <x:c r="A5419" s="11" t="str">
        <x:v>688062.SH</x:v>
      </x:c>
      <x:c r="B5419" s="11" t="str">
        <x:v>一年</x:v>
      </x:c>
      <x:c r="C5419" s="11" t="str">
        <x:v>bfv_uc_later</x:v>
      </x:c>
      <x:c r="D5419" s="11" t="str">
        <x:v>2033-12-31</x:v>
      </x:c>
      <x:c r="E5419" s="11" t="str">
        <x:v>CNY</x:v>
      </x:c>
      <x:c r="F5419" s="11" t="n">
        <x:v>6.228610540725531</x:v>
      </x:c>
      <x:c r="G5419" s="26" t="b">
        <x:v>1</x:v>
      </x:c>
      <x:c r="H5419" s="16" t="n">
        <x:v>0.45</x:v>
      </x:c>
      <x:c r="I5419" s="16" t="n">
        <x:v>0.9570000000000001</x:v>
      </x:c>
      <x:c r="J5419" s="16" t="n">
        <x:v>1.332</x:v>
      </x:c>
      <x:c r="K5419" s="11" t="n">
        <x:f>CHOOSE('假设'!$B$3,H5419,I5419,J5419)</x:f>
        <x:v>0.9570000000000001</x:v>
      </x:c>
      <x:c r="L5419" s="11" t="n">
        <x:f>K5419*'管线假设'!E1163*'管线假设'!F1163*'管线假设'!G1163*IF(E5419="USD",'管线假设'!I1163,1)-AM5419</x:f>
        <x:v>0.1834569</x:v>
      </x:c>
      <x:c r="M5419" s="11" t="n">
        <x:f>'管线假设'!H1163</x:f>
        <x:v>0.14</x:v>
      </x:c>
      <x:c r="N5419" s="11" t="n">
        <x:f>IF(G5419,L5419*AN5419/(1+M5419)^F5419,0)</x:f>
        <x:v>0.08111401407771009</x:v>
      </x:c>
      <x:c r="AJ5419" t="n">
        <x:v>0</x:v>
      </x:c>
      <x:c r="AK5419" t="n">
        <x:v>0</x:v>
      </x:c>
      <x:c r="AL5419" t="n">
        <x:v>0</x:v>
      </x:c>
      <x:c r="AM5419" t="n">
        <x:f>CHOOSE('假设'!$B$3,AJ5419,AK5419,AL5419)</x:f>
        <x:v>0</x:v>
      </x:c>
      <x:c r="AN5419" t="n">
        <x:v>1</x:v>
      </x:c>
    </x:row>
    <x:row r="5420" ht="23" customHeight="1">
      <x:c r="A5420" s="11" t="str">
        <x:v>688062.SH</x:v>
      </x:c>
      <x:c r="B5420" s="11" t="str">
        <x:v>一年</x:v>
      </x:c>
      <x:c r="C5420" s="11" t="str">
        <x:v>bfv_uc_later</x:v>
      </x:c>
      <x:c r="D5420" s="11" t="str">
        <x:v>2034-12-31</x:v>
      </x:c>
      <x:c r="E5420" s="11" t="str">
        <x:v>CNY</x:v>
      </x:c>
      <x:c r="F5420" s="11" t="n">
        <x:v>7.227926078028747</x:v>
      </x:c>
      <x:c r="G5420" s="26" t="b">
        <x:v>1</x:v>
      </x:c>
      <x:c r="H5420" s="16" t="n">
        <x:v>0.3915</x:v>
      </x:c>
      <x:c r="I5420" s="16" t="n">
        <x:v>0.8140000000000001</x:v>
      </x:c>
      <x:c r="J5420" s="16" t="n">
        <x:v>1.098</x:v>
      </x:c>
      <x:c r="K5420" s="11" t="n">
        <x:f>CHOOSE('假设'!$B$3,H5420,I5420,J5420)</x:f>
        <x:v>0.8140000000000001</x:v>
      </x:c>
      <x:c r="L5420" s="11" t="n">
        <x:f>K5420*'管线假设'!E1163*'管线假设'!F1163*'管线假设'!G1163*IF(E5420="USD",'管线假设'!I1163,1)-AM5420</x:f>
        <x:v>0.15604379999999998</x:v>
      </x:c>
      <x:c r="M5420" s="11" t="n">
        <x:f>'管线假设'!H1163</x:f>
        <x:v>0.14</x:v>
      </x:c>
      <x:c r="N5420" s="11" t="n">
        <x:f>IF(G5420,L5420*AN5420/(1+M5420)^F5420,0)</x:f>
        <x:v>0.060526067636633415</x:v>
      </x:c>
      <x:c r="AJ5420" t="n">
        <x:v>0</x:v>
      </x:c>
      <x:c r="AK5420" t="n">
        <x:v>0</x:v>
      </x:c>
      <x:c r="AL5420" t="n">
        <x:v>0</x:v>
      </x:c>
      <x:c r="AM5420" t="n">
        <x:f>CHOOSE('假设'!$B$3,AJ5420,AK5420,AL5420)</x:f>
        <x:v>0</x:v>
      </x:c>
      <x:c r="AN5420" t="n">
        <x:v>1</x:v>
      </x:c>
    </x:row>
    <x:row r="5421" ht="23" customHeight="1">
      <x:c r="A5421" s="11" t="str">
        <x:v>688062.SH</x:v>
      </x:c>
      <x:c r="B5421" s="11" t="str">
        <x:v>一年</x:v>
      </x:c>
      <x:c r="C5421" s="11" t="str">
        <x:v>bfv_uc_later</x:v>
      </x:c>
      <x:c r="D5421" s="11" t="str">
        <x:v>2035-12-31</x:v>
      </x:c>
      <x:c r="E5421" s="11" t="str">
        <x:v>CNY</x:v>
      </x:c>
      <x:c r="F5421" s="11" t="n">
        <x:v>8.227241615331964</x:v>
      </x:c>
      <x:c r="G5421" s="26" t="b">
        <x:v>1</x:v>
      </x:c>
      <x:c r="H5421" s="16" t="n">
        <x:v>0.333</x:v>
      </x:c>
      <x:c r="I5421" s="16" t="n">
        <x:v>0.671</x:v>
      </x:c>
      <x:c r="J5421" s="16" t="n">
        <x:v>0.864</x:v>
      </x:c>
      <x:c r="K5421" s="11" t="n">
        <x:f>CHOOSE('假设'!$B$3,H5421,I5421,J5421)</x:f>
        <x:v>0.671</x:v>
      </x:c>
      <x:c r="L5421" s="11" t="n">
        <x:f>K5421*'管线假设'!E1163*'管线假设'!F1163*'管线假设'!G1163*IF(E5421="USD",'管线假设'!I1163,1)-AM5421</x:f>
        <x:v>0.1286307</x:v>
      </x:c>
      <x:c r="M5421" s="11" t="n">
        <x:f>'管线假设'!H1163</x:f>
        <x:v>0.14</x:v>
      </x:c>
      <x:c r="N5421" s="11" t="n">
        <x:f>IF(G5421,L5421*AN5421/(1+M5421)^F5421,0)</x:f>
        <x:v>0.04376981107086779</x:v>
      </x:c>
      <x:c r="AJ5421" t="n">
        <x:v>0</x:v>
      </x:c>
      <x:c r="AK5421" t="n">
        <x:v>0</x:v>
      </x:c>
      <x:c r="AL5421" t="n">
        <x:v>0</x:v>
      </x:c>
      <x:c r="AM5421" t="n">
        <x:f>CHOOSE('假设'!$B$3,AJ5421,AK5421,AL5421)</x:f>
        <x:v>0</x:v>
      </x:c>
      <x:c r="AN5421" t="n">
        <x:v>1</x:v>
      </x:c>
    </x:row>
    <x:row r="5422" ht="23" customHeight="1">
      <x:c r="A5422" s="11" t="str">
        <x:v>688062.SH</x:v>
      </x:c>
      <x:c r="B5422" s="11" t="str">
        <x:v>一年</x:v>
      </x:c>
      <x:c r="C5422" s="11" t="str">
        <x:v>bfv_uc_later</x:v>
      </x:c>
      <x:c r="D5422" s="11" t="str">
        <x:v>2036-12-31</x:v>
      </x:c>
      <x:c r="E5422" s="11" t="str">
        <x:v>CNY</x:v>
      </x:c>
      <x:c r="F5422" s="11" t="n">
        <x:v>9.229295003422314</x:v>
      </x:c>
      <x:c r="G5422" s="26" t="b">
        <x:v>1</x:v>
      </x:c>
      <x:c r="H5422" s="16" t="n">
        <x:v>0.2745</x:v>
      </x:c>
      <x:c r="I5422" s="16" t="n">
        <x:v>0.528</x:v>
      </x:c>
      <x:c r="J5422" s="16" t="n">
        <x:v>0.63</x:v>
      </x:c>
      <x:c r="K5422" s="11" t="n">
        <x:f>CHOOSE('假设'!$B$3,H5422,I5422,J5422)</x:f>
        <x:v>0.528</x:v>
      </x:c>
      <x:c r="L5422" s="11" t="n">
        <x:f>K5422*'管线假设'!E1163*'管线假设'!F1163*'管线假设'!G1163*IF(E5422="USD",'管线假设'!I1163,1)-AM5422</x:f>
        <x:v>0.1012176</x:v>
      </x:c>
      <x:c r="M5422" s="11" t="n">
        <x:f>'管线假设'!H1163</x:f>
        <x:v>0.14</x:v>
      </x:c>
      <x:c r="N5422" s="11" t="n">
        <x:f>IF(G5422,L5422*AN5422/(1+M5422)^F5422,0)</x:f>
        <x:v>0.0302039939984661</x:v>
      </x:c>
      <x:c r="AJ5422" t="n">
        <x:v>0</x:v>
      </x:c>
      <x:c r="AK5422" t="n">
        <x:v>0</x:v>
      </x:c>
      <x:c r="AL5422" t="n">
        <x:v>0</x:v>
      </x:c>
      <x:c r="AM5422" t="n">
        <x:f>CHOOSE('假设'!$B$3,AJ5422,AK5422,AL5422)</x:f>
        <x:v>0</x:v>
      </x:c>
      <x:c r="AN5422" t="n">
        <x:v>1</x:v>
      </x:c>
    </x:row>
    <x:row r="5423" ht="23" customHeight="1">
      <x:c r="A5423" s="11" t="str">
        <x:v>688062.SH</x:v>
      </x:c>
      <x:c r="B5423" s="11" t="str">
        <x:v>一年</x:v>
      </x:c>
      <x:c r="C5423" s="11" t="str">
        <x:v>bfv_uc_later</x:v>
      </x:c>
      <x:c r="D5423" s="11" t="str">
        <x:v>2037-12-31</x:v>
      </x:c>
      <x:c r="E5423" s="11" t="str">
        <x:v>CNY</x:v>
      </x:c>
      <x:c r="F5423" s="11" t="n">
        <x:v>10.22861054072553</x:v>
      </x:c>
      <x:c r="G5423" s="26" t="b">
        <x:v>1</x:v>
      </x:c>
      <x:c r="H5423" s="16" t="n">
        <x:v>0.216</x:v>
      </x:c>
      <x:c r="I5423" s="16" t="n">
        <x:v>0.385</x:v>
      </x:c>
      <x:c r="J5423" s="16" t="n">
        <x:v>0.39599999999999996</x:v>
      </x:c>
      <x:c r="K5423" s="11" t="n">
        <x:f>CHOOSE('假设'!$B$3,H5423,I5423,J5423)</x:f>
        <x:v>0.385</x:v>
      </x:c>
      <x:c r="L5423" s="11" t="n">
        <x:f>K5423*'管线假设'!E1163*'管线假设'!F1163*'管线假设'!G1163*IF(E5423="USD",'管线假设'!I1163,1)-AM5423</x:f>
        <x:v>0.0738045</x:v>
      </x:c>
      <x:c r="M5423" s="11" t="n">
        <x:f>'管线假设'!H1163</x:f>
        <x:v>0.14</x:v>
      </x:c>
      <x:c r="N5423" s="11" t="n">
        <x:f>IF(G5423,L5423*AN5423/(1+M5423)^F5423,0)</x:f>
        <x:v>0.019320807797481625</x:v>
      </x:c>
      <x:c r="AJ5423" t="n">
        <x:v>0</x:v>
      </x:c>
      <x:c r="AK5423" t="n">
        <x:v>0</x:v>
      </x:c>
      <x:c r="AL5423" t="n">
        <x:v>0</x:v>
      </x:c>
      <x:c r="AM5423" t="n">
        <x:f>CHOOSE('假设'!$B$3,AJ5423,AK5423,AL5423)</x:f>
        <x:v>0</x:v>
      </x:c>
      <x:c r="AN5423" t="n">
        <x:v>1</x:v>
      </x:c>
    </x:row>
    <x:row r="5424" ht="23" customHeight="1">
      <x:c r="A5424" s="11" t="str">
        <x:v>688062.SH</x:v>
      </x:c>
      <x:c r="B5424" s="11" t="str">
        <x:v>一年</x:v>
      </x:c>
      <x:c r="C5424" s="11" t="str">
        <x:v>bfv_uc_later</x:v>
      </x:c>
      <x:c r="D5424" s="11" t="str">
        <x:v>2038-12-31</x:v>
      </x:c>
      <x:c r="E5424" s="11" t="str">
        <x:v>CNY</x:v>
      </x:c>
      <x:c r="F5424" s="11" t="n">
        <x:v>11.227926078028748</x:v>
      </x:c>
      <x:c r="G5424" s="26" t="b">
        <x:v>1</x:v>
      </x:c>
      <x:c r="H5424" s="16" t="n">
        <x:v>0.1575</x:v>
      </x:c>
      <x:c r="I5424" s="16" t="n">
        <x:v>0.242</x:v>
      </x:c>
      <x:c r="J5424" s="16" t="n">
        <x:v>0.16199999999999995</x:v>
      </x:c>
      <x:c r="K5424" s="11" t="n">
        <x:f>CHOOSE('假设'!$B$3,H5424,I5424,J5424)</x:f>
        <x:v>0.242</x:v>
      </x:c>
      <x:c r="L5424" s="11" t="n">
        <x:f>K5424*'管线假设'!E1163*'管线假设'!F1163*'管线假设'!G1163*IF(E5424="USD",'管线假设'!I1163,1)-AM5424</x:f>
        <x:v>0.0463914</x:v>
      </x:c>
      <x:c r="M5424" s="11" t="n">
        <x:f>'管线假设'!H1163</x:f>
        <x:v>0.14</x:v>
      </x:c>
      <x:c r="N5424" s="11" t="n">
        <x:f>IF(G5424,L5424*AN5424/(1+M5424)^F5424,0)</x:f>
        <x:v>0.010654032434018171</x:v>
      </x:c>
      <x:c r="AJ5424" t="n">
        <x:v>0</x:v>
      </x:c>
      <x:c r="AK5424" t="n">
        <x:v>0</x:v>
      </x:c>
      <x:c r="AL5424" t="n">
        <x:v>0</x:v>
      </x:c>
      <x:c r="AM5424" t="n">
        <x:f>CHOOSE('假设'!$B$3,AJ5424,AK5424,AL5424)</x:f>
        <x:v>0</x:v>
      </x:c>
      <x:c r="AN5424" t="n">
        <x:v>1</x:v>
      </x:c>
    </x:row>
    <x:row r="5425" ht="23" customHeight="1">
      <x:c r="A5425" s="11" t="str">
        <x:v>688062.SH</x:v>
      </x:c>
      <x:c r="B5425" s="11" t="str">
        <x:v>一年</x:v>
      </x:c>
      <x:c r="C5425" s="11" t="str">
        <x:v>bfv_uc_later</x:v>
      </x:c>
      <x:c r="D5425" s="11" t="str">
        <x:v>2039-12-31</x:v>
      </x:c>
      <x:c r="E5425" s="11" t="str">
        <x:v>CNY</x:v>
      </x:c>
      <x:c r="F5425" s="11" t="n">
        <x:v>12.227241615331964</x:v>
      </x:c>
      <x:c r="G5425" s="26" t="b">
        <x:v>1</x:v>
      </x:c>
      <x:c r="H5425" s="16" t="n">
        <x:v>0.09899999999999999</x:v>
      </x:c>
      <x:c r="I5425" s="16" t="n">
        <x:v>0.09899999999999998</x:v>
      </x:c>
      <x:c r="J5425" s="16" t="n">
        <x:v>0</x:v>
      </x:c>
      <x:c r="K5425" s="11" t="n">
        <x:f>CHOOSE('假设'!$B$3,H5425,I5425,J5425)</x:f>
        <x:v>0.09899999999999998</x:v>
      </x:c>
      <x:c r="L5425" s="11" t="n">
        <x:f>K5425*'管线假设'!E1163*'管线假设'!F1163*'管线假设'!G1163*IF(E5425="USD",'管线假设'!I1163,1)-AM5425</x:f>
        <x:v>0.018978299999999993</x:v>
      </x:c>
      <x:c r="M5425" s="11" t="n">
        <x:f>'管线假设'!H1163</x:f>
        <x:v>0.14</x:v>
      </x:c>
      <x:c r="N5425" s="11" t="n">
        <x:f>IF(G5425,L5425*AN5425/(1+M5425)^F5425,0)</x:f>
        <x:v>0.0038235602772708466</x:v>
      </x:c>
      <x:c r="AJ5425" t="n">
        <x:v>0</x:v>
      </x:c>
      <x:c r="AK5425" t="n">
        <x:v>0</x:v>
      </x:c>
      <x:c r="AL5425" t="n">
        <x:v>0</x:v>
      </x:c>
      <x:c r="AM5425" t="n">
        <x:f>CHOOSE('假设'!$B$3,AJ5425,AK5425,AL5425)</x:f>
        <x:v>0</x:v>
      </x:c>
      <x:c r="AN5425" t="n">
        <x:v>1</x:v>
      </x:c>
    </x:row>
    <x:row r="5426" ht="23" customHeight="1">
      <x:c r="A5426" s="11" t="str">
        <x:v>688062.SH</x:v>
      </x:c>
      <x:c r="B5426" s="11" t="str">
        <x:v>一年</x:v>
      </x:c>
      <x:c r="C5426" s="11" t="str">
        <x:v>bfv_uc_later</x:v>
      </x:c>
      <x:c r="D5426" s="11" t="str">
        <x:v>2040-12-31</x:v>
      </x:c>
      <x:c r="E5426" s="11" t="str">
        <x:v>CNY</x:v>
      </x:c>
      <x:c r="F5426" s="11" t="n">
        <x:v>13.229295003422314</x:v>
      </x:c>
      <x:c r="G5426" s="26" t="b">
        <x:v>1</x:v>
      </x:c>
      <x:c r="H5426" s="16" t="n">
        <x:v>0.04049999999999999</x:v>
      </x:c>
      <x:c r="I5426" s="16" t="n">
        <x:v>0</x:v>
      </x:c>
      <x:c r="J5426" s="16" t="n">
        <x:v>0</x:v>
      </x:c>
      <x:c r="K5426" s="11" t="n">
        <x:f>CHOOSE('假设'!$B$3,H5426,I5426,J5426)</x:f>
        <x:v>0</x:v>
      </x:c>
      <x:c r="L5426" s="11" t="n">
        <x:f>K5426*'管线假设'!E1163*'管线假设'!F1163*'管线假设'!G1163*IF(E5426="USD",'管线假设'!I1163,1)-AM5426</x:f>
        <x:v>0</x:v>
      </x:c>
      <x:c r="M5426" s="11" t="n">
        <x:f>'管线假设'!H1163</x:f>
        <x:v>0.14</x:v>
      </x:c>
      <x:c r="N5426" s="11" t="n">
        <x:f>IF(G5426,L5426*AN5426/(1+M5426)^F5426,0)</x:f>
        <x:v>0</x:v>
      </x:c>
      <x:c r="AJ5426" t="n">
        <x:v>0</x:v>
      </x:c>
      <x:c r="AK5426" t="n">
        <x:v>0</x:v>
      </x:c>
      <x:c r="AL5426" t="n">
        <x:v>0</x:v>
      </x:c>
      <x:c r="AM5426" t="n">
        <x:f>CHOOSE('假设'!$B$3,AJ5426,AK5426,AL5426)</x:f>
        <x:v>0</x:v>
      </x:c>
      <x:c r="AN5426" t="n">
        <x:v>1</x:v>
      </x:c>
    </x:row>
    <x:row r="5427" ht="23" customHeight="1">
      <x:c r="A5427" s="11" t="str">
        <x:v>688062.SH</x:v>
      </x:c>
      <x:c r="B5427" s="11" t="str">
        <x:v>一年</x:v>
      </x:c>
      <x:c r="C5427" s="11" t="str">
        <x:v>bfv_uc_later</x:v>
      </x:c>
      <x:c r="D5427" s="11" t="str">
        <x:v>2041-12-31</x:v>
      </x:c>
      <x:c r="E5427" s="11" t="str">
        <x:v>CNY</x:v>
      </x:c>
      <x:c r="F5427" s="11" t="n">
        <x:v>14.22861054072553</x:v>
      </x:c>
      <x:c r="G5427" s="26" t="b">
        <x:v>1</x:v>
      </x:c>
      <x:c r="H5427" s="16" t="n">
        <x:v>0</x:v>
      </x:c>
      <x:c r="I5427" s="16" t="n">
        <x:v>0</x:v>
      </x:c>
      <x:c r="J5427" s="16" t="n">
        <x:v>0</x:v>
      </x:c>
      <x:c r="K5427" s="11" t="n">
        <x:f>CHOOSE('假设'!$B$3,H5427,I5427,J5427)</x:f>
        <x:v>0</x:v>
      </x:c>
      <x:c r="L5427" s="11" t="n">
        <x:f>K5427*'管线假设'!E1163*'管线假设'!F1163*'管线假设'!G1163*IF(E5427="USD",'管线假设'!I1163,1)-AM5427</x:f>
        <x:v>0</x:v>
      </x:c>
      <x:c r="M5427" s="11" t="n">
        <x:f>'管线假设'!H1163</x:f>
        <x:v>0.14</x:v>
      </x:c>
      <x:c r="N5427" s="11" t="n">
        <x:f>IF(G5427,L5427*AN5427/(1+M5427)^F5427,0)</x:f>
        <x:v>0</x:v>
      </x:c>
      <x:c r="AJ5427" t="n">
        <x:v>0</x:v>
      </x:c>
      <x:c r="AK5427" t="n">
        <x:v>0</x:v>
      </x:c>
      <x:c r="AL5427" t="n">
        <x:v>0</x:v>
      </x:c>
      <x:c r="AM5427" t="n">
        <x:f>CHOOSE('假设'!$B$3,AJ5427,AK5427,AL5427)</x:f>
        <x:v>0</x:v>
      </x:c>
      <x:c r="AN5427" t="n">
        <x:v>1</x:v>
      </x:c>
    </x:row>
    <x:row r="5428" ht="23" customHeight="1">
      <x:c r="A5428" s="11" t="str">
        <x:v>688062.SH</x:v>
      </x:c>
      <x:c r="B5428" s="11" t="str">
        <x:v>一年</x:v>
      </x:c>
      <x:c r="C5428" s="11" t="str">
        <x:v>bfv_uc_later</x:v>
      </x:c>
      <x:c r="D5428" s="11" t="str">
        <x:v>2042-12-31</x:v>
      </x:c>
      <x:c r="E5428" s="11" t="str">
        <x:v>CNY</x:v>
      </x:c>
      <x:c r="F5428" s="11" t="n">
        <x:v>15.227926078028748</x:v>
      </x:c>
      <x:c r="G5428" s="26" t="b">
        <x:v>1</x:v>
      </x:c>
      <x:c r="H5428" s="16" t="n">
        <x:v>0</x:v>
      </x:c>
      <x:c r="I5428" s="16" t="n">
        <x:v>0</x:v>
      </x:c>
      <x:c r="J5428" s="16" t="n">
        <x:v>0</x:v>
      </x:c>
      <x:c r="K5428" s="11" t="n">
        <x:f>CHOOSE('假设'!$B$3,H5428,I5428,J5428)</x:f>
        <x:v>0</x:v>
      </x:c>
      <x:c r="L5428" s="11" t="n">
        <x:f>K5428*'管线假设'!E1163*'管线假设'!F1163*'管线假设'!G1163*IF(E5428="USD",'管线假设'!I1163,1)-AM5428</x:f>
        <x:v>0</x:v>
      </x:c>
      <x:c r="M5428" s="11" t="n">
        <x:f>'管线假设'!H1163</x:f>
        <x:v>0.14</x:v>
      </x:c>
      <x:c r="N5428" s="11" t="n">
        <x:f>IF(G5428,L5428*AN5428/(1+M5428)^F5428,0)</x:f>
        <x:v>0</x:v>
      </x:c>
      <x:c r="AJ5428" t="n">
        <x:v>0</x:v>
      </x:c>
      <x:c r="AK5428" t="n">
        <x:v>0</x:v>
      </x:c>
      <x:c r="AL5428" t="n">
        <x:v>0</x:v>
      </x:c>
      <x:c r="AM5428" t="n">
        <x:f>CHOOSE('假设'!$B$3,AJ5428,AK5428,AL5428)</x:f>
        <x:v>0</x:v>
      </x:c>
      <x:c r="AN5428" t="n">
        <x:v>1</x:v>
      </x:c>
    </x:row>
    <x:row r="5429" ht="23" customHeight="1">
      <x:c r="A5429" s="11" t="str">
        <x:v>688062.SH</x:v>
      </x:c>
      <x:c r="B5429" s="11" t="str">
        <x:v>一年</x:v>
      </x:c>
      <x:c r="C5429" s="11" t="str">
        <x:v>bfv_uc_later</x:v>
      </x:c>
      <x:c r="D5429" s="11" t="str">
        <x:v>2043-12-31</x:v>
      </x:c>
      <x:c r="E5429" s="11" t="str">
        <x:v>CNY</x:v>
      </x:c>
      <x:c r="F5429" s="11" t="n">
        <x:v>16.227241615331966</x:v>
      </x:c>
      <x:c r="G5429" s="26" t="b">
        <x:v>1</x:v>
      </x:c>
      <x:c r="H5429" s="16" t="n">
        <x:v>0</x:v>
      </x:c>
      <x:c r="I5429" s="16" t="n">
        <x:v>0</x:v>
      </x:c>
      <x:c r="J5429" s="16" t="n">
        <x:v>0</x:v>
      </x:c>
      <x:c r="K5429" s="11" t="n">
        <x:f>CHOOSE('假设'!$B$3,H5429,I5429,J5429)</x:f>
        <x:v>0</x:v>
      </x:c>
      <x:c r="L5429" s="11" t="n">
        <x:f>K5429*'管线假设'!E1163*'管线假设'!F1163*'管线假设'!G1163*IF(E5429="USD",'管线假设'!I1163,1)-AM5429</x:f>
        <x:v>0</x:v>
      </x:c>
      <x:c r="M5429" s="11" t="n">
        <x:f>'管线假设'!H1163</x:f>
        <x:v>0.14</x:v>
      </x:c>
      <x:c r="N5429" s="11" t="n">
        <x:f>IF(G5429,L5429*AN5429/(1+M5429)^F5429,0)</x:f>
        <x:v>0</x:v>
      </x:c>
      <x:c r="AJ5429" t="n">
        <x:v>0</x:v>
      </x:c>
      <x:c r="AK5429" t="n">
        <x:v>0</x:v>
      </x:c>
      <x:c r="AL5429" t="n">
        <x:v>0</x:v>
      </x:c>
      <x:c r="AM5429" t="n">
        <x:f>CHOOSE('假设'!$B$3,AJ5429,AK5429,AL5429)</x:f>
        <x:v>0</x:v>
      </x:c>
      <x:c r="AN5429" t="n">
        <x:v>1</x:v>
      </x:c>
    </x:row>
    <x:row r="5430" ht="23" customHeight="1">
      <x:c r="A5430" s="11" t="str">
        <x:v>688062.SH</x:v>
      </x:c>
      <x:c r="B5430" s="11" t="str">
        <x:v>一年</x:v>
      </x:c>
      <x:c r="C5430" s="11" t="str">
        <x:v>bfv_uc_later</x:v>
      </x:c>
      <x:c r="D5430" s="11" t="str">
        <x:v>2044-12-31</x:v>
      </x:c>
      <x:c r="E5430" s="11" t="str">
        <x:v>CNY</x:v>
      </x:c>
      <x:c r="F5430" s="11" t="n">
        <x:v>17.229295003422312</x:v>
      </x:c>
      <x:c r="G5430" s="26" t="b">
        <x:v>1</x:v>
      </x:c>
      <x:c r="H5430" s="16" t="n">
        <x:v>0</x:v>
      </x:c>
      <x:c r="I5430" s="16" t="n">
        <x:v>0</x:v>
      </x:c>
      <x:c r="J5430" s="16" t="n">
        <x:v>0</x:v>
      </x:c>
      <x:c r="K5430" s="11" t="n">
        <x:f>CHOOSE('假设'!$B$3,H5430,I5430,J5430)</x:f>
        <x:v>0</x:v>
      </x:c>
      <x:c r="L5430" s="11" t="n">
        <x:f>K5430*'管线假设'!E1163*'管线假设'!F1163*'管线假设'!G1163*IF(E5430="USD",'管线假设'!I1163,1)-AM5430</x:f>
        <x:v>0</x:v>
      </x:c>
      <x:c r="M5430" s="11" t="n">
        <x:f>'管线假设'!H1163</x:f>
        <x:v>0.14</x:v>
      </x:c>
      <x:c r="N5430" s="11" t="n">
        <x:f>IF(G5430,L5430*AN5430/(1+M5430)^F5430,0)</x:f>
        <x:v>0</x:v>
      </x:c>
      <x:c r="AJ5430" t="n">
        <x:v>0</x:v>
      </x:c>
      <x:c r="AK5430" t="n">
        <x:v>0</x:v>
      </x:c>
      <x:c r="AL5430" t="n">
        <x:v>0</x:v>
      </x:c>
      <x:c r="AM5430" t="n">
        <x:f>CHOOSE('假设'!$B$3,AJ5430,AK5430,AL5430)</x:f>
        <x:v>0</x:v>
      </x:c>
      <x:c r="AN5430" t="n">
        <x:v>1</x:v>
      </x:c>
    </x:row>
    <x:row r="5431" ht="23" customHeight="1">
      <x:c r="A5431" s="11" t="str">
        <x:v>688062.SH</x:v>
      </x:c>
      <x:c r="B5431" s="11" t="str">
        <x:v>一年</x:v>
      </x:c>
      <x:c r="C5431" s="11" t="str">
        <x:v>bfv_uc_later</x:v>
      </x:c>
      <x:c r="D5431" s="11" t="str">
        <x:v>2045-12-31</x:v>
      </x:c>
      <x:c r="E5431" s="11" t="str">
        <x:v>CNY</x:v>
      </x:c>
      <x:c r="F5431" s="11" t="n">
        <x:v>18.22861054072553</x:v>
      </x:c>
      <x:c r="G5431" s="26" t="b">
        <x:v>1</x:v>
      </x:c>
      <x:c r="H5431" s="16" t="n">
        <x:v>0</x:v>
      </x:c>
      <x:c r="I5431" s="16" t="n">
        <x:v>0</x:v>
      </x:c>
      <x:c r="J5431" s="16" t="n">
        <x:v>0</x:v>
      </x:c>
      <x:c r="K5431" s="11" t="n">
        <x:f>CHOOSE('假设'!$B$3,H5431,I5431,J5431)</x:f>
        <x:v>0</x:v>
      </x:c>
      <x:c r="L5431" s="11" t="n">
        <x:f>K5431*'管线假设'!E1163*'管线假设'!F1163*'管线假设'!G1163*IF(E5431="USD",'管线假设'!I1163,1)-AM5431</x:f>
        <x:v>0</x:v>
      </x:c>
      <x:c r="M5431" s="11" t="n">
        <x:f>'管线假设'!H1163</x:f>
        <x:v>0.14</x:v>
      </x:c>
      <x:c r="N5431" s="11" t="n">
        <x:f>IF(G5431,L5431*AN5431/(1+M5431)^F5431,0)</x:f>
        <x:v>0</x:v>
      </x:c>
      <x:c r="AJ5431" t="n">
        <x:v>0</x:v>
      </x:c>
      <x:c r="AK5431" t="n">
        <x:v>0</x:v>
      </x:c>
      <x:c r="AL5431" t="n">
        <x:v>0</x:v>
      </x:c>
      <x:c r="AM5431" t="n">
        <x:f>CHOOSE('假设'!$B$3,AJ5431,AK5431,AL5431)</x:f>
        <x:v>0</x:v>
      </x:c>
      <x:c r="AN5431" t="n">
        <x:v>1</x:v>
      </x:c>
    </x:row>
    <x:row r="5432" ht="23" customHeight="1">
      <x:c r="A5432" s="11" t="str">
        <x:v>688062.SH</x:v>
      </x:c>
      <x:c r="B5432" s="11" t="str">
        <x:v>一年</x:v>
      </x:c>
      <x:c r="C5432" s="11" t="str">
        <x:v>bfv_uc_first</x:v>
      </x:c>
      <x:c r="D5432" s="11" t="str">
        <x:v>2027-12-31</x:v>
      </x:c>
      <x:c r="E5432" s="11" t="str">
        <x:v>CNY</x:v>
      </x:c>
      <x:c r="F5432" s="11" t="n">
        <x:v>0.2272416153319644</x:v>
      </x:c>
      <x:c r="G5432" s="26" t="b">
        <x:v>1</x:v>
      </x:c>
      <x:c r="H5432" s="16" t="n">
        <x:v>0</x:v>
      </x:c>
      <x:c r="I5432" s="16" t="n">
        <x:v>0</x:v>
      </x:c>
      <x:c r="J5432" s="16" t="n">
        <x:v>0.6</x:v>
      </x:c>
      <x:c r="K5432" s="11" t="n">
        <x:f>CHOOSE('假设'!$B$3,H5432,I5432,J5432)</x:f>
        <x:v>0</x:v>
      </x:c>
      <x:c r="L5432" s="11" t="n">
        <x:f>K5432*'管线假设'!E1167*'管线假设'!F1167*'管线假设'!G1167*IF(E5432="USD",'管线假设'!I1167,1)-AM5432</x:f>
        <x:v>0</x:v>
      </x:c>
      <x:c r="M5432" s="11" t="n">
        <x:f>'管线假设'!H1167</x:f>
        <x:v>0.14</x:v>
      </x:c>
      <x:c r="N5432" s="11" t="n">
        <x:f>IF(G5432,L5432*AN5432/(1+M5432)^F5432,0)</x:f>
        <x:v>0</x:v>
      </x:c>
      <x:c r="AJ5432" t="n">
        <x:v>0</x:v>
      </x:c>
      <x:c r="AK5432" t="n">
        <x:v>0</x:v>
      </x:c>
      <x:c r="AL5432" t="n">
        <x:v>0</x:v>
      </x:c>
      <x:c r="AM5432" t="n">
        <x:f>CHOOSE('假设'!$B$3,AJ5432,AK5432,AL5432)</x:f>
        <x:v>0</x:v>
      </x:c>
      <x:c r="AN5432" t="n">
        <x:v>1</x:v>
      </x:c>
    </x:row>
    <x:row r="5433" ht="23" customHeight="1">
      <x:c r="A5433" s="11" t="str">
        <x:v>688062.SH</x:v>
      </x:c>
      <x:c r="B5433" s="11" t="str">
        <x:v>一年</x:v>
      </x:c>
      <x:c r="C5433" s="11" t="str">
        <x:v>bfv_uc_first</x:v>
      </x:c>
      <x:c r="D5433" s="11" t="str">
        <x:v>2028-12-31</x:v>
      </x:c>
      <x:c r="E5433" s="11" t="str">
        <x:v>CNY</x:v>
      </x:c>
      <x:c r="F5433" s="11" t="n">
        <x:v>1.2292950034223136</x:v>
      </x:c>
      <x:c r="G5433" s="26" t="b">
        <x:v>1</x:v>
      </x:c>
      <x:c r="H5433" s="16" t="n">
        <x:v>0</x:v>
      </x:c>
      <x:c r="I5433" s="16" t="n">
        <x:v>0.3333333333333333</x:v>
      </x:c>
      <x:c r="J5433" s="16" t="n">
        <x:v>1.2</x:v>
      </x:c>
      <x:c r="K5433" s="11" t="n">
        <x:f>CHOOSE('假设'!$B$3,H5433,I5433,J5433)</x:f>
        <x:v>0.3333333333333333</x:v>
      </x:c>
      <x:c r="L5433" s="11" t="n">
        <x:f>K5433*'管线假设'!E1167*'管线假设'!F1167*'管线假设'!G1167*IF(E5433="USD",'管线假设'!I1167,1)-AM5433</x:f>
        <x:v>0.057249999999999995</x:v>
      </x:c>
      <x:c r="M5433" s="11" t="n">
        <x:f>'管线假设'!H1167</x:f>
        <x:v>0.14</x:v>
      </x:c>
      <x:c r="N5433" s="11" t="n">
        <x:f>IF(G5433,L5433*AN5433/(1+M5433)^F5433,0)</x:f>
        <x:v>0.04873294324909748</x:v>
      </x:c>
      <x:c r="AJ5433" t="n">
        <x:v>0</x:v>
      </x:c>
      <x:c r="AK5433" t="n">
        <x:v>0</x:v>
      </x:c>
      <x:c r="AL5433" t="n">
        <x:v>0</x:v>
      </x:c>
      <x:c r="AM5433" t="n">
        <x:f>CHOOSE('假设'!$B$3,AJ5433,AK5433,AL5433)</x:f>
        <x:v>0</x:v>
      </x:c>
      <x:c r="AN5433" t="n">
        <x:v>1</x:v>
      </x:c>
    </x:row>
    <x:row r="5434" ht="23" customHeight="1">
      <x:c r="A5434" s="11" t="str">
        <x:v>688062.SH</x:v>
      </x:c>
      <x:c r="B5434" s="11" t="str">
        <x:v>一年</x:v>
      </x:c>
      <x:c r="C5434" s="11" t="str">
        <x:v>bfv_uc_first</x:v>
      </x:c>
      <x:c r="D5434" s="11" t="str">
        <x:v>2029-12-31</x:v>
      </x:c>
      <x:c r="E5434" s="11" t="str">
        <x:v>CNY</x:v>
      </x:c>
      <x:c r="F5434" s="11" t="n">
        <x:v>2.2286105407255303</x:v>
      </x:c>
      <x:c r="G5434" s="26" t="b">
        <x:v>1</x:v>
      </x:c>
      <x:c r="H5434" s="16" t="n">
        <x:v>0</x:v>
      </x:c>
      <x:c r="I5434" s="16" t="n">
        <x:v>0.6666666666666666</x:v>
      </x:c>
      <x:c r="J5434" s="16" t="n">
        <x:v>1.8</x:v>
      </x:c>
      <x:c r="K5434" s="11" t="n">
        <x:f>CHOOSE('假设'!$B$3,H5434,I5434,J5434)</x:f>
        <x:v>0.6666666666666666</x:v>
      </x:c>
      <x:c r="L5434" s="11" t="n">
        <x:f>K5434*'管线假设'!E1167*'管线假设'!F1167*'管线假设'!G1167*IF(E5434="USD",'管线假设'!I1167,1)-AM5434</x:f>
        <x:v>0.11449999999999999</x:v>
      </x:c>
      <x:c r="M5434" s="11" t="n">
        <x:f>'管线假设'!H1167</x:f>
        <x:v>0.14</x:v>
      </x:c>
      <x:c r="N5434" s="11" t="n">
        <x:f>IF(G5434,L5434*AN5434/(1+M5434)^F5434,0)</x:f>
        <x:v>0.08550405966371208</x:v>
      </x:c>
      <x:c r="AJ5434" t="n">
        <x:v>0</x:v>
      </x:c>
      <x:c r="AK5434" t="n">
        <x:v>0</x:v>
      </x:c>
      <x:c r="AL5434" t="n">
        <x:v>0</x:v>
      </x:c>
      <x:c r="AM5434" t="n">
        <x:f>CHOOSE('假设'!$B$3,AJ5434,AK5434,AL5434)</x:f>
        <x:v>0</x:v>
      </x:c>
      <x:c r="AN5434" t="n">
        <x:v>1</x:v>
      </x:c>
    </x:row>
    <x:row r="5435" ht="23" customHeight="1">
      <x:c r="A5435" s="11" t="str">
        <x:v>688062.SH</x:v>
      </x:c>
      <x:c r="B5435" s="11" t="str">
        <x:v>一年</x:v>
      </x:c>
      <x:c r="C5435" s="11" t="str">
        <x:v>bfv_uc_first</x:v>
      </x:c>
      <x:c r="D5435" s="11" t="str">
        <x:v>2030-12-31</x:v>
      </x:c>
      <x:c r="E5435" s="11" t="str">
        <x:v>CNY</x:v>
      </x:c>
      <x:c r="F5435" s="11" t="n">
        <x:v>3.2279260780287475</x:v>
      </x:c>
      <x:c r="G5435" s="26" t="b">
        <x:v>1</x:v>
      </x:c>
      <x:c r="H5435" s="16" t="n">
        <x:v>0.16000000000000003</x:v>
      </x:c>
      <x:c r="I5435" s="16" t="n">
        <x:v>1</x:v>
      </x:c>
      <x:c r="J5435" s="16" t="n">
        <x:v>2.4</x:v>
      </x:c>
      <x:c r="K5435" s="11" t="n">
        <x:f>CHOOSE('假设'!$B$3,H5435,I5435,J5435)</x:f>
        <x:v>1</x:v>
      </x:c>
      <x:c r="L5435" s="11" t="n">
        <x:f>K5435*'管线假设'!E1167*'管线假设'!F1167*'管线假设'!G1167*IF(E5435="USD",'管线假设'!I1167,1)-AM5435</x:f>
        <x:v>0.17174999999999999</x:v>
      </x:c>
      <x:c r="M5435" s="11" t="n">
        <x:f>'管线假设'!H1167</x:f>
        <x:v>0.14</x:v>
      </x:c>
      <x:c r="N5435" s="11" t="n">
        <x:f>IF(G5435,L5435*AN5435/(1+M5435)^F5435,0)</x:f>
        <x:v>0.11251543203956335</x:v>
      </x:c>
      <x:c r="AJ5435" t="n">
        <x:v>0</x:v>
      </x:c>
      <x:c r="AK5435" t="n">
        <x:v>0</x:v>
      </x:c>
      <x:c r="AL5435" t="n">
        <x:v>0</x:v>
      </x:c>
      <x:c r="AM5435" t="n">
        <x:f>CHOOSE('假设'!$B$3,AJ5435,AK5435,AL5435)</x:f>
        <x:v>0</x:v>
      </x:c>
      <x:c r="AN5435" t="n">
        <x:v>1</x:v>
      </x:c>
    </x:row>
    <x:row r="5436" ht="23" customHeight="1">
      <x:c r="A5436" s="11" t="str">
        <x:v>688062.SH</x:v>
      </x:c>
      <x:c r="B5436" s="11" t="str">
        <x:v>一年</x:v>
      </x:c>
      <x:c r="C5436" s="11" t="str">
        <x:v>bfv_uc_first</x:v>
      </x:c>
      <x:c r="D5436" s="11" t="str">
        <x:v>2031-12-31</x:v>
      </x:c>
      <x:c r="E5436" s="11" t="str">
        <x:v>CNY</x:v>
      </x:c>
      <x:c r="F5436" s="11" t="n">
        <x:v>4.227241615331964</x:v>
      </x:c>
      <x:c r="G5436" s="26" t="b">
        <x:v>1</x:v>
      </x:c>
      <x:c r="H5436" s="16" t="n">
        <x:v>0.32000000000000006</x:v>
      </x:c>
      <x:c r="I5436" s="16" t="n">
        <x:v>1.3333333333333333</x:v>
      </x:c>
      <x:c r="J5436" s="16" t="n">
        <x:v>3</x:v>
      </x:c>
      <x:c r="K5436" s="11" t="n">
        <x:f>CHOOSE('假设'!$B$3,H5436,I5436,J5436)</x:f>
        <x:v>1.3333333333333333</x:v>
      </x:c>
      <x:c r="L5436" s="11" t="n">
        <x:f>K5436*'管线假设'!E1167*'管线假设'!F1167*'管线假设'!G1167*IF(E5436="USD",'管线假设'!I1167,1)-AM5436</x:f>
        <x:v>0.22899999999999998</x:v>
      </x:c>
      <x:c r="M5436" s="11" t="n">
        <x:f>'管线假设'!H1167</x:f>
        <x:v>0.14</x:v>
      </x:c>
      <x:c r="N5436" s="11" t="n">
        <x:f>IF(G5436,L5436*AN5436/(1+M5436)^F5436,0)</x:f>
        <x:v>0.13160879920623764</x:v>
      </x:c>
      <x:c r="AJ5436" t="n">
        <x:v>0</x:v>
      </x:c>
      <x:c r="AK5436" t="n">
        <x:v>0</x:v>
      </x:c>
      <x:c r="AL5436" t="n">
        <x:v>0</x:v>
      </x:c>
      <x:c r="AM5436" t="n">
        <x:f>CHOOSE('假设'!$B$3,AJ5436,AK5436,AL5436)</x:f>
        <x:v>0</x:v>
      </x:c>
      <x:c r="AN5436" t="n">
        <x:v>1</x:v>
      </x:c>
    </x:row>
    <x:row r="5437" ht="23" customHeight="1">
      <x:c r="A5437" s="11" t="str">
        <x:v>688062.SH</x:v>
      </x:c>
      <x:c r="B5437" s="11" t="str">
        <x:v>一年</x:v>
      </x:c>
      <x:c r="C5437" s="11" t="str">
        <x:v>bfv_uc_first</x:v>
      </x:c>
      <x:c r="D5437" s="11" t="str">
        <x:v>2032-12-31</x:v>
      </x:c>
      <x:c r="E5437" s="11" t="str">
        <x:v>CNY</x:v>
      </x:c>
      <x:c r="F5437" s="11" t="n">
        <x:v>5.229295003422314</x:v>
      </x:c>
      <x:c r="G5437" s="26" t="b">
        <x:v>1</x:v>
      </x:c>
      <x:c r="H5437" s="16" t="n">
        <x:v>0.48</x:v>
      </x:c>
      <x:c r="I5437" s="16" t="n">
        <x:v>1.6666666666666667</x:v>
      </x:c>
      <x:c r="J5437" s="16" t="n">
        <x:v>3.6</x:v>
      </x:c>
      <x:c r="K5437" s="11" t="n">
        <x:f>CHOOSE('假设'!$B$3,H5437,I5437,J5437)</x:f>
        <x:v>1.6666666666666667</x:v>
      </x:c>
      <x:c r="L5437" s="11" t="n">
        <x:f>K5437*'管线假设'!E1167*'管线假设'!F1167*'管线假设'!G1167*IF(E5437="USD",'管线假设'!I1167,1)-AM5437</x:f>
        <x:v>0.28625</x:v>
      </x:c>
      <x:c r="M5437" s="11" t="n">
        <x:f>'管线假设'!H1167</x:f>
        <x:v>0.14</x:v>
      </x:c>
      <x:c r="N5437" s="11" t="n">
        <x:f>IF(G5437,L5437*AN5437/(1+M5437)^F5437,0)</x:f>
        <x:v>0.14426907277995668</x:v>
      </x:c>
      <x:c r="AJ5437" t="n">
        <x:v>0</x:v>
      </x:c>
      <x:c r="AK5437" t="n">
        <x:v>0</x:v>
      </x:c>
      <x:c r="AL5437" t="n">
        <x:v>0</x:v>
      </x:c>
      <x:c r="AM5437" t="n">
        <x:f>CHOOSE('假设'!$B$3,AJ5437,AK5437,AL5437)</x:f>
        <x:v>0</x:v>
      </x:c>
      <x:c r="AN5437" t="n">
        <x:v>1</x:v>
      </x:c>
    </x:row>
    <x:row r="5438" ht="23" customHeight="1">
      <x:c r="A5438" s="11" t="str">
        <x:v>688062.SH</x:v>
      </x:c>
      <x:c r="B5438" s="11" t="str">
        <x:v>一年</x:v>
      </x:c>
      <x:c r="C5438" s="11" t="str">
        <x:v>bfv_uc_first</x:v>
      </x:c>
      <x:c r="D5438" s="11" t="str">
        <x:v>2033-12-31</x:v>
      </x:c>
      <x:c r="E5438" s="11" t="str">
        <x:v>CNY</x:v>
      </x:c>
      <x:c r="F5438" s="11" t="n">
        <x:v>6.228610540725531</x:v>
      </x:c>
      <x:c r="G5438" s="26" t="b">
        <x:v>1</x:v>
      </x:c>
      <x:c r="H5438" s="16" t="n">
        <x:v>0.6400000000000001</x:v>
      </x:c>
      <x:c r="I5438" s="16" t="n">
        <x:v>2</x:v>
      </x:c>
      <x:c r="J5438" s="16" t="n">
        <x:v>3.132</x:v>
      </x:c>
      <x:c r="K5438" s="11" t="n">
        <x:f>CHOOSE('假设'!$B$3,H5438,I5438,J5438)</x:f>
        <x:v>2</x:v>
      </x:c>
      <x:c r="L5438" s="11" t="n">
        <x:f>K5438*'管线假设'!E1167*'管线假设'!F1167*'管线假设'!G1167*IF(E5438="USD",'管线假设'!I1167,1)-AM5438</x:f>
        <x:v>0.34349999999999997</x:v>
      </x:c>
      <x:c r="M5438" s="11" t="n">
        <x:f>'管线假设'!H1167</x:f>
        <x:v>0.14</x:v>
      </x:c>
      <x:c r="N5438" s="11" t="n">
        <x:f>IF(G5438,L5438*AN5438/(1+M5438)^F5438,0)</x:f>
        <x:v>0.1518758020859036</x:v>
      </x:c>
      <x:c r="AJ5438" t="n">
        <x:v>0</x:v>
      </x:c>
      <x:c r="AK5438" t="n">
        <x:v>0</x:v>
      </x:c>
      <x:c r="AL5438" t="n">
        <x:v>0</x:v>
      </x:c>
      <x:c r="AM5438" t="n">
        <x:f>CHOOSE('假设'!$B$3,AJ5438,AK5438,AL5438)</x:f>
        <x:v>0</x:v>
      </x:c>
      <x:c r="AN5438" t="n">
        <x:v>1</x:v>
      </x:c>
    </x:row>
    <x:row r="5439" ht="23" customHeight="1">
      <x:c r="A5439" s="11" t="str">
        <x:v>688062.SH</x:v>
      </x:c>
      <x:c r="B5439" s="11" t="str">
        <x:v>一年</x:v>
      </x:c>
      <x:c r="C5439" s="11" t="str">
        <x:v>bfv_uc_first</x:v>
      </x:c>
      <x:c r="D5439" s="11" t="str">
        <x:v>2034-12-31</x:v>
      </x:c>
      <x:c r="E5439" s="11" t="str">
        <x:v>CNY</x:v>
      </x:c>
      <x:c r="F5439" s="11" t="n">
        <x:v>7.227926078028747</x:v>
      </x:c>
      <x:c r="G5439" s="26" t="b">
        <x:v>1</x:v>
      </x:c>
      <x:c r="H5439" s="16" t="n">
        <x:v>0.8</x:v>
      </x:c>
      <x:c r="I5439" s="16" t="n">
        <x:v>1.74</x:v>
      </x:c>
      <x:c r="J5439" s="16" t="n">
        <x:v>2.664</x:v>
      </x:c>
      <x:c r="K5439" s="11" t="n">
        <x:f>CHOOSE('假设'!$B$3,H5439,I5439,J5439)</x:f>
        <x:v>1.74</x:v>
      </x:c>
      <x:c r="L5439" s="11" t="n">
        <x:f>K5439*'管线假设'!E1167*'管线假设'!F1167*'管线假设'!G1167*IF(E5439="USD",'管线假设'!I1167,1)-AM5439</x:f>
        <x:v>0.29884499999999997</x:v>
      </x:c>
      <x:c r="M5439" s="11" t="n">
        <x:f>'管线假设'!H1167</x:f>
        <x:v>0.14</x:v>
      </x:c>
      <x:c r="N5439" s="11" t="n">
        <x:f>IF(G5439,L5439*AN5439/(1+M5439)^F5439,0)</x:f>
        <x:v>0.11591561268611578</x:v>
      </x:c>
      <x:c r="AJ5439" t="n">
        <x:v>0</x:v>
      </x:c>
      <x:c r="AK5439" t="n">
        <x:v>0</x:v>
      </x:c>
      <x:c r="AL5439" t="n">
        <x:v>0</x:v>
      </x:c>
      <x:c r="AM5439" t="n">
        <x:f>CHOOSE('假设'!$B$3,AJ5439,AK5439,AL5439)</x:f>
        <x:v>0</x:v>
      </x:c>
      <x:c r="AN5439" t="n">
        <x:v>1</x:v>
      </x:c>
    </x:row>
    <x:row r="5440" ht="23" customHeight="1">
      <x:c r="A5440" s="11" t="str">
        <x:v>688062.SH</x:v>
      </x:c>
      <x:c r="B5440" s="11" t="str">
        <x:v>一年</x:v>
      </x:c>
      <x:c r="C5440" s="11" t="str">
        <x:v>bfv_uc_first</x:v>
      </x:c>
      <x:c r="D5440" s="11" t="str">
        <x:v>2035-12-31</x:v>
      </x:c>
      <x:c r="E5440" s="11" t="str">
        <x:v>CNY</x:v>
      </x:c>
      <x:c r="F5440" s="11" t="n">
        <x:v>8.227241615331964</x:v>
      </x:c>
      <x:c r="G5440" s="26" t="b">
        <x:v>1</x:v>
      </x:c>
      <x:c r="H5440" s="16" t="n">
        <x:v>0.6960000000000001</x:v>
      </x:c>
      <x:c r="I5440" s="16" t="n">
        <x:v>1.48</x:v>
      </x:c>
      <x:c r="J5440" s="16" t="n">
        <x:v>2.196</x:v>
      </x:c>
      <x:c r="K5440" s="11" t="n">
        <x:f>CHOOSE('假设'!$B$3,H5440,I5440,J5440)</x:f>
        <x:v>1.48</x:v>
      </x:c>
      <x:c r="L5440" s="11" t="n">
        <x:f>K5440*'管线假设'!E1167*'管线假设'!F1167*'管线假设'!G1167*IF(E5440="USD",'管线假设'!I1167,1)-AM5440</x:f>
        <x:v>0.25419</x:v>
      </x:c>
      <x:c r="M5440" s="11" t="n">
        <x:f>'管线假设'!H1167</x:f>
        <x:v>0.14</x:v>
      </x:c>
      <x:c r="N5440" s="11" t="n">
        <x:f>IF(G5440,L5440*AN5440/(1+M5440)^F5440,0)</x:f>
        <x:v>0.0864945015156093</x:v>
      </x:c>
      <x:c r="AJ5440" t="n">
        <x:v>0</x:v>
      </x:c>
      <x:c r="AK5440" t="n">
        <x:v>0</x:v>
      </x:c>
      <x:c r="AL5440" t="n">
        <x:v>0</x:v>
      </x:c>
      <x:c r="AM5440" t="n">
        <x:f>CHOOSE('假设'!$B$3,AJ5440,AK5440,AL5440)</x:f>
        <x:v>0</x:v>
      </x:c>
      <x:c r="AN5440" t="n">
        <x:v>1</x:v>
      </x:c>
    </x:row>
    <x:row r="5441" ht="23" customHeight="1">
      <x:c r="A5441" s="11" t="str">
        <x:v>688062.SH</x:v>
      </x:c>
      <x:c r="B5441" s="11" t="str">
        <x:v>一年</x:v>
      </x:c>
      <x:c r="C5441" s="11" t="str">
        <x:v>bfv_uc_first</x:v>
      </x:c>
      <x:c r="D5441" s="11" t="str">
        <x:v>2036-12-31</x:v>
      </x:c>
      <x:c r="E5441" s="11" t="str">
        <x:v>CNY</x:v>
      </x:c>
      <x:c r="F5441" s="11" t="n">
        <x:v>9.229295003422314</x:v>
      </x:c>
      <x:c r="G5441" s="26" t="b">
        <x:v>1</x:v>
      </x:c>
      <x:c r="H5441" s="16" t="n">
        <x:v>0.592</x:v>
      </x:c>
      <x:c r="I5441" s="16" t="n">
        <x:v>1.22</x:v>
      </x:c>
      <x:c r="J5441" s="16" t="n">
        <x:v>1.728</x:v>
      </x:c>
      <x:c r="K5441" s="11" t="n">
        <x:f>CHOOSE('假设'!$B$3,H5441,I5441,J5441)</x:f>
        <x:v>1.22</x:v>
      </x:c>
      <x:c r="L5441" s="11" t="n">
        <x:f>K5441*'管线假设'!E1167*'管线假设'!F1167*'管线假设'!G1167*IF(E5441="USD",'管线假设'!I1167,1)-AM5441</x:f>
        <x:v>0.209535</x:v>
      </x:c>
      <x:c r="M5441" s="11" t="n">
        <x:f>'管线假设'!H1167</x:f>
        <x:v>0.14</x:v>
      </x:c>
      <x:c r="N5441" s="11" t="n">
        <x:f>IF(G5441,L5441*AN5441/(1+M5441)^F5441,0)</x:f>
        <x:v>0.06252661476332766</x:v>
      </x:c>
      <x:c r="AJ5441" t="n">
        <x:v>0</x:v>
      </x:c>
      <x:c r="AK5441" t="n">
        <x:v>0</x:v>
      </x:c>
      <x:c r="AL5441" t="n">
        <x:v>0</x:v>
      </x:c>
      <x:c r="AM5441" t="n">
        <x:f>CHOOSE('假设'!$B$3,AJ5441,AK5441,AL5441)</x:f>
        <x:v>0</x:v>
      </x:c>
      <x:c r="AN5441" t="n">
        <x:v>1</x:v>
      </x:c>
    </x:row>
    <x:row r="5442" ht="23" customHeight="1">
      <x:c r="A5442" s="11" t="str">
        <x:v>688062.SH</x:v>
      </x:c>
      <x:c r="B5442" s="11" t="str">
        <x:v>一年</x:v>
      </x:c>
      <x:c r="C5442" s="11" t="str">
        <x:v>bfv_uc_first</x:v>
      </x:c>
      <x:c r="D5442" s="11" t="str">
        <x:v>2037-12-31</x:v>
      </x:c>
      <x:c r="E5442" s="11" t="str">
        <x:v>CNY</x:v>
      </x:c>
      <x:c r="F5442" s="11" t="n">
        <x:v>10.22861054072553</x:v>
      </x:c>
      <x:c r="G5442" s="26" t="b">
        <x:v>1</x:v>
      </x:c>
      <x:c r="H5442" s="16" t="n">
        <x:v>0.488</x:v>
      </x:c>
      <x:c r="I5442" s="16" t="n">
        <x:v>0.96</x:v>
      </x:c>
      <x:c r="J5442" s="16" t="n">
        <x:v>1.26</x:v>
      </x:c>
      <x:c r="K5442" s="11" t="n">
        <x:f>CHOOSE('假设'!$B$3,H5442,I5442,J5442)</x:f>
        <x:v>0.96</x:v>
      </x:c>
      <x:c r="L5442" s="11" t="n">
        <x:f>K5442*'管线假设'!E1167*'管线假设'!F1167*'管线假设'!G1167*IF(E5442="USD",'管线假设'!I1167,1)-AM5442</x:f>
        <x:v>0.16488</x:v>
      </x:c>
      <x:c r="M5442" s="11" t="n">
        <x:f>'管线假设'!H1167</x:f>
        <x:v>0.14</x:v>
      </x:c>
      <x:c r="N5442" s="11" t="n">
        <x:f>IF(G5442,L5442*AN5442/(1+M5442)^F5442,0)</x:f>
        <x:v>0.04316288017192407</x:v>
      </x:c>
      <x:c r="AJ5442" t="n">
        <x:v>0</x:v>
      </x:c>
      <x:c r="AK5442" t="n">
        <x:v>0</x:v>
      </x:c>
      <x:c r="AL5442" t="n">
        <x:v>0</x:v>
      </x:c>
      <x:c r="AM5442" t="n">
        <x:f>CHOOSE('假设'!$B$3,AJ5442,AK5442,AL5442)</x:f>
        <x:v>0</x:v>
      </x:c>
      <x:c r="AN5442" t="n">
        <x:v>1</x:v>
      </x:c>
    </x:row>
    <x:row r="5443" ht="23" customHeight="1">
      <x:c r="A5443" s="11" t="str">
        <x:v>688062.SH</x:v>
      </x:c>
      <x:c r="B5443" s="11" t="str">
        <x:v>一年</x:v>
      </x:c>
      <x:c r="C5443" s="11" t="str">
        <x:v>bfv_uc_first</x:v>
      </x:c>
      <x:c r="D5443" s="11" t="str">
        <x:v>2038-12-31</x:v>
      </x:c>
      <x:c r="E5443" s="11" t="str">
        <x:v>CNY</x:v>
      </x:c>
      <x:c r="F5443" s="11" t="n">
        <x:v>11.227926078028748</x:v>
      </x:c>
      <x:c r="G5443" s="26" t="b">
        <x:v>1</x:v>
      </x:c>
      <x:c r="H5443" s="16" t="n">
        <x:v>0.384</x:v>
      </x:c>
      <x:c r="I5443" s="16" t="n">
        <x:v>0.7</x:v>
      </x:c>
      <x:c r="J5443" s="16" t="n">
        <x:v>0.7919999999999999</x:v>
      </x:c>
      <x:c r="K5443" s="11" t="n">
        <x:f>CHOOSE('假设'!$B$3,H5443,I5443,J5443)</x:f>
        <x:v>0.7</x:v>
      </x:c>
      <x:c r="L5443" s="11" t="n">
        <x:f>K5443*'管线假设'!E1167*'管线假设'!F1167*'管线假设'!G1167*IF(E5443="USD",'管线假设'!I1167,1)-AM5443</x:f>
        <x:v>0.120225</x:v>
      </x:c>
      <x:c r="M5443" s="11" t="n">
        <x:f>'管线假设'!H1167</x:f>
        <x:v>0.14</x:v>
      </x:c>
      <x:c r="N5443" s="11" t="n">
        <x:f>IF(G5443,L5443*AN5443/(1+M5443)^F5443,0)</x:f>
        <x:v>0.02761031245834001</x:v>
      </x:c>
      <x:c r="AJ5443" t="n">
        <x:v>0</x:v>
      </x:c>
      <x:c r="AK5443" t="n">
        <x:v>0</x:v>
      </x:c>
      <x:c r="AL5443" t="n">
        <x:v>0</x:v>
      </x:c>
      <x:c r="AM5443" t="n">
        <x:f>CHOOSE('假设'!$B$3,AJ5443,AK5443,AL5443)</x:f>
        <x:v>0</x:v>
      </x:c>
      <x:c r="AN5443" t="n">
        <x:v>1</x:v>
      </x:c>
    </x:row>
    <x:row r="5444" ht="23" customHeight="1">
      <x:c r="A5444" s="11" t="str">
        <x:v>688062.SH</x:v>
      </x:c>
      <x:c r="B5444" s="11" t="str">
        <x:v>一年</x:v>
      </x:c>
      <x:c r="C5444" s="11" t="str">
        <x:v>bfv_uc_first</x:v>
      </x:c>
      <x:c r="D5444" s="11" t="str">
        <x:v>2039-12-31</x:v>
      </x:c>
      <x:c r="E5444" s="11" t="str">
        <x:v>CNY</x:v>
      </x:c>
      <x:c r="F5444" s="11" t="n">
        <x:v>12.227241615331964</x:v>
      </x:c>
      <x:c r="G5444" s="26" t="b">
        <x:v>1</x:v>
      </x:c>
      <x:c r="H5444" s="16" t="n">
        <x:v>0.27999999999999997</x:v>
      </x:c>
      <x:c r="I5444" s="16" t="n">
        <x:v>0.43999999999999995</x:v>
      </x:c>
      <x:c r="J5444" s="16" t="n">
        <x:v>0.3239999999999999</x:v>
      </x:c>
      <x:c r="K5444" s="11" t="n">
        <x:f>CHOOSE('假设'!$B$3,H5444,I5444,J5444)</x:f>
        <x:v>0.43999999999999995</x:v>
      </x:c>
      <x:c r="L5444" s="11" t="n">
        <x:f>K5444*'管线假设'!E1167*'管线假设'!F1167*'管线假设'!G1167*IF(E5444="USD",'管线假设'!I1167,1)-AM5444</x:f>
        <x:v>0.07556999999999998</x:v>
      </x:c>
      <x:c r="M5444" s="11" t="n">
        <x:f>'管线假设'!H1167</x:f>
        <x:v>0.14</x:v>
      </x:c>
      <x:c r="N5444" s="11" t="n">
        <x:f>IF(G5444,L5444*AN5444/(1+M5444)^F5444,0)</x:f>
        <x:v>0.015225096565728118</x:v>
      </x:c>
      <x:c r="AJ5444" t="n">
        <x:v>0</x:v>
      </x:c>
      <x:c r="AK5444" t="n">
        <x:v>0</x:v>
      </x:c>
      <x:c r="AL5444" t="n">
        <x:v>0</x:v>
      </x:c>
      <x:c r="AM5444" t="n">
        <x:f>CHOOSE('假设'!$B$3,AJ5444,AK5444,AL5444)</x:f>
        <x:v>0</x:v>
      </x:c>
      <x:c r="AN5444" t="n">
        <x:v>1</x:v>
      </x:c>
    </x:row>
    <x:row r="5445" ht="23" customHeight="1">
      <x:c r="A5445" s="11" t="str">
        <x:v>688062.SH</x:v>
      </x:c>
      <x:c r="B5445" s="11" t="str">
        <x:v>一年</x:v>
      </x:c>
      <x:c r="C5445" s="11" t="str">
        <x:v>bfv_uc_first</x:v>
      </x:c>
      <x:c r="D5445" s="11" t="str">
        <x:v>2040-12-31</x:v>
      </x:c>
      <x:c r="E5445" s="11" t="str">
        <x:v>CNY</x:v>
      </x:c>
      <x:c r="F5445" s="11" t="n">
        <x:v>13.229295003422314</x:v>
      </x:c>
      <x:c r="G5445" s="26" t="b">
        <x:v>1</x:v>
      </x:c>
      <x:c r="H5445" s="16" t="n">
        <x:v>0.176</x:v>
      </x:c>
      <x:c r="I5445" s="16" t="n">
        <x:v>0.17999999999999994</x:v>
      </x:c>
      <x:c r="J5445" s="16" t="n">
        <x:v>0</x:v>
      </x:c>
      <x:c r="K5445" s="11" t="n">
        <x:f>CHOOSE('假设'!$B$3,H5445,I5445,J5445)</x:f>
        <x:v>0.17999999999999994</x:v>
      </x:c>
      <x:c r="L5445" s="11" t="n">
        <x:f>K5445*'管线假设'!E1167*'管线假设'!F1167*'管线假设'!G1167*IF(E5445="USD",'管线假设'!I1167,1)-AM5445</x:f>
        <x:v>0.030914999999999988</x:v>
      </x:c>
      <x:c r="M5445" s="11" t="n">
        <x:f>'管线假设'!H1167</x:f>
        <x:v>0.14</x:v>
      </x:c>
      <x:c r="N5445" s="11" t="n">
        <x:f>IF(G5445,L5445*AN5445/(1+M5445)^F5445,0)</x:f>
        <x:v>0.005462081618177215</x:v>
      </x:c>
      <x:c r="AJ5445" t="n">
        <x:v>0</x:v>
      </x:c>
      <x:c r="AK5445" t="n">
        <x:v>0</x:v>
      </x:c>
      <x:c r="AL5445" t="n">
        <x:v>0</x:v>
      </x:c>
      <x:c r="AM5445" t="n">
        <x:f>CHOOSE('假设'!$B$3,AJ5445,AK5445,AL5445)</x:f>
        <x:v>0</x:v>
      </x:c>
      <x:c r="AN5445" t="n">
        <x:v>1</x:v>
      </x:c>
    </x:row>
    <x:row r="5446" ht="23" customHeight="1">
      <x:c r="A5446" s="11" t="str">
        <x:v>688062.SH</x:v>
      </x:c>
      <x:c r="B5446" s="11" t="str">
        <x:v>一年</x:v>
      </x:c>
      <x:c r="C5446" s="11" t="str">
        <x:v>bfv_uc_first</x:v>
      </x:c>
      <x:c r="D5446" s="11" t="str">
        <x:v>2041-12-31</x:v>
      </x:c>
      <x:c r="E5446" s="11" t="str">
        <x:v>CNY</x:v>
      </x:c>
      <x:c r="F5446" s="11" t="n">
        <x:v>14.22861054072553</x:v>
      </x:c>
      <x:c r="G5446" s="26" t="b">
        <x:v>1</x:v>
      </x:c>
      <x:c r="H5446" s="16" t="n">
        <x:v>0.07199999999999998</x:v>
      </x:c>
      <x:c r="I5446" s="16" t="n">
        <x:v>0</x:v>
      </x:c>
      <x:c r="J5446" s="16" t="n">
        <x:v>0</x:v>
      </x:c>
      <x:c r="K5446" s="11" t="n">
        <x:f>CHOOSE('假设'!$B$3,H5446,I5446,J5446)</x:f>
        <x:v>0</x:v>
      </x:c>
      <x:c r="L5446" s="11" t="n">
        <x:f>K5446*'管线假设'!E1167*'管线假设'!F1167*'管线假设'!G1167*IF(E5446="USD",'管线假设'!I1167,1)-AM5446</x:f>
        <x:v>0</x:v>
      </x:c>
      <x:c r="M5446" s="11" t="n">
        <x:f>'管线假设'!H1167</x:f>
        <x:v>0.14</x:v>
      </x:c>
      <x:c r="N5446" s="11" t="n">
        <x:f>IF(G5446,L5446*AN5446/(1+M5446)^F5446,0)</x:f>
        <x:v>0</x:v>
      </x:c>
      <x:c r="AJ5446" t="n">
        <x:v>0</x:v>
      </x:c>
      <x:c r="AK5446" t="n">
        <x:v>0</x:v>
      </x:c>
      <x:c r="AL5446" t="n">
        <x:v>0</x:v>
      </x:c>
      <x:c r="AM5446" t="n">
        <x:f>CHOOSE('假设'!$B$3,AJ5446,AK5446,AL5446)</x:f>
        <x:v>0</x:v>
      </x:c>
      <x:c r="AN5446" t="n">
        <x:v>1</x:v>
      </x:c>
    </x:row>
    <x:row r="5447" ht="23" customHeight="1">
      <x:c r="A5447" s="11" t="str">
        <x:v>688062.SH</x:v>
      </x:c>
      <x:c r="B5447" s="11" t="str">
        <x:v>一年</x:v>
      </x:c>
      <x:c r="C5447" s="11" t="str">
        <x:v>bfv_uc_first</x:v>
      </x:c>
      <x:c r="D5447" s="11" t="str">
        <x:v>2042-12-31</x:v>
      </x:c>
      <x:c r="E5447" s="11" t="str">
        <x:v>CNY</x:v>
      </x:c>
      <x:c r="F5447" s="11" t="n">
        <x:v>15.227926078028748</x:v>
      </x:c>
      <x:c r="G5447" s="26" t="b">
        <x:v>1</x:v>
      </x:c>
      <x:c r="H5447" s="16" t="n">
        <x:v>0</x:v>
      </x:c>
      <x:c r="I5447" s="16" t="n">
        <x:v>0</x:v>
      </x:c>
      <x:c r="J5447" s="16" t="n">
        <x:v>0</x:v>
      </x:c>
      <x:c r="K5447" s="11" t="n">
        <x:f>CHOOSE('假设'!$B$3,H5447,I5447,J5447)</x:f>
        <x:v>0</x:v>
      </x:c>
      <x:c r="L5447" s="11" t="n">
        <x:f>K5447*'管线假设'!E1167*'管线假设'!F1167*'管线假设'!G1167*IF(E5447="USD",'管线假设'!I1167,1)-AM5447</x:f>
        <x:v>0</x:v>
      </x:c>
      <x:c r="M5447" s="11" t="n">
        <x:f>'管线假设'!H1167</x:f>
        <x:v>0.14</x:v>
      </x:c>
      <x:c r="N5447" s="11" t="n">
        <x:f>IF(G5447,L5447*AN5447/(1+M5447)^F5447,0)</x:f>
        <x:v>0</x:v>
      </x:c>
      <x:c r="AJ5447" t="n">
        <x:v>0</x:v>
      </x:c>
      <x:c r="AK5447" t="n">
        <x:v>0</x:v>
      </x:c>
      <x:c r="AL5447" t="n">
        <x:v>0</x:v>
      </x:c>
      <x:c r="AM5447" t="n">
        <x:f>CHOOSE('假设'!$B$3,AJ5447,AK5447,AL5447)</x:f>
        <x:v>0</x:v>
      </x:c>
      <x:c r="AN5447" t="n">
        <x:v>1</x:v>
      </x:c>
    </x:row>
    <x:row r="5448" ht="23" customHeight="1">
      <x:c r="A5448" s="11" t="str">
        <x:v>688062.SH</x:v>
      </x:c>
      <x:c r="B5448" s="11" t="str">
        <x:v>一年</x:v>
      </x:c>
      <x:c r="C5448" s="11" t="str">
        <x:v>bfv_uc_first</x:v>
      </x:c>
      <x:c r="D5448" s="11" t="str">
        <x:v>2043-12-31</x:v>
      </x:c>
      <x:c r="E5448" s="11" t="str">
        <x:v>CNY</x:v>
      </x:c>
      <x:c r="F5448" s="11" t="n">
        <x:v>16.227241615331966</x:v>
      </x:c>
      <x:c r="G5448" s="26" t="b">
        <x:v>1</x:v>
      </x:c>
      <x:c r="H5448" s="16" t="n">
        <x:v>0</x:v>
      </x:c>
      <x:c r="I5448" s="16" t="n">
        <x:v>0</x:v>
      </x:c>
      <x:c r="J5448" s="16" t="n">
        <x:v>0</x:v>
      </x:c>
      <x:c r="K5448" s="11" t="n">
        <x:f>CHOOSE('假设'!$B$3,H5448,I5448,J5448)</x:f>
        <x:v>0</x:v>
      </x:c>
      <x:c r="L5448" s="11" t="n">
        <x:f>K5448*'管线假设'!E1167*'管线假设'!F1167*'管线假设'!G1167*IF(E5448="USD",'管线假设'!I1167,1)-AM5448</x:f>
        <x:v>0</x:v>
      </x:c>
      <x:c r="M5448" s="11" t="n">
        <x:f>'管线假设'!H1167</x:f>
        <x:v>0.14</x:v>
      </x:c>
      <x:c r="N5448" s="11" t="n">
        <x:f>IF(G5448,L5448*AN5448/(1+M5448)^F5448,0)</x:f>
        <x:v>0</x:v>
      </x:c>
      <x:c r="AJ5448" t="n">
        <x:v>0</x:v>
      </x:c>
      <x:c r="AK5448" t="n">
        <x:v>0</x:v>
      </x:c>
      <x:c r="AL5448" t="n">
        <x:v>0</x:v>
      </x:c>
      <x:c r="AM5448" t="n">
        <x:f>CHOOSE('假设'!$B$3,AJ5448,AK5448,AL5448)</x:f>
        <x:v>0</x:v>
      </x:c>
      <x:c r="AN5448" t="n">
        <x:v>1</x:v>
      </x:c>
    </x:row>
    <x:row r="5449" ht="23" customHeight="1">
      <x:c r="A5449" s="11" t="str">
        <x:v>688062.SH</x:v>
      </x:c>
      <x:c r="B5449" s="11" t="str">
        <x:v>一年</x:v>
      </x:c>
      <x:c r="C5449" s="11" t="str">
        <x:v>bfv_uc_first</x:v>
      </x:c>
      <x:c r="D5449" s="11" t="str">
        <x:v>2044-12-31</x:v>
      </x:c>
      <x:c r="E5449" s="11" t="str">
        <x:v>CNY</x:v>
      </x:c>
      <x:c r="F5449" s="11" t="n">
        <x:v>17.229295003422312</x:v>
      </x:c>
      <x:c r="G5449" s="26" t="b">
        <x:v>1</x:v>
      </x:c>
      <x:c r="H5449" s="16" t="n">
        <x:v>0</x:v>
      </x:c>
      <x:c r="I5449" s="16" t="n">
        <x:v>0</x:v>
      </x:c>
      <x:c r="J5449" s="16" t="n">
        <x:v>0</x:v>
      </x:c>
      <x:c r="K5449" s="11" t="n">
        <x:f>CHOOSE('假设'!$B$3,H5449,I5449,J5449)</x:f>
        <x:v>0</x:v>
      </x:c>
      <x:c r="L5449" s="11" t="n">
        <x:f>K5449*'管线假设'!E1167*'管线假设'!F1167*'管线假设'!G1167*IF(E5449="USD",'管线假设'!I1167,1)-AM5449</x:f>
        <x:v>0</x:v>
      </x:c>
      <x:c r="M5449" s="11" t="n">
        <x:f>'管线假设'!H1167</x:f>
        <x:v>0.14</x:v>
      </x:c>
      <x:c r="N5449" s="11" t="n">
        <x:f>IF(G5449,L5449*AN5449/(1+M5449)^F5449,0)</x:f>
        <x:v>0</x:v>
      </x:c>
      <x:c r="AJ5449" t="n">
        <x:v>0</x:v>
      </x:c>
      <x:c r="AK5449" t="n">
        <x:v>0</x:v>
      </x:c>
      <x:c r="AL5449" t="n">
        <x:v>0</x:v>
      </x:c>
      <x:c r="AM5449" t="n">
        <x:f>CHOOSE('假设'!$B$3,AJ5449,AK5449,AL5449)</x:f>
        <x:v>0</x:v>
      </x:c>
      <x:c r="AN5449" t="n">
        <x:v>1</x:v>
      </x:c>
    </x:row>
    <x:row r="5450" ht="23" customHeight="1">
      <x:c r="A5450" s="11" t="str">
        <x:v>688062.SH</x:v>
      </x:c>
      <x:c r="B5450" s="11" t="str">
        <x:v>一年</x:v>
      </x:c>
      <x:c r="C5450" s="11" t="str">
        <x:v>bfv_uc_first</x:v>
      </x:c>
      <x:c r="D5450" s="11" t="str">
        <x:v>2045-12-31</x:v>
      </x:c>
      <x:c r="E5450" s="11" t="str">
        <x:v>CNY</x:v>
      </x:c>
      <x:c r="F5450" s="11" t="n">
        <x:v>18.22861054072553</x:v>
      </x:c>
      <x:c r="G5450" s="26" t="b">
        <x:v>1</x:v>
      </x:c>
      <x:c r="H5450" s="16" t="n">
        <x:v>0</x:v>
      </x:c>
      <x:c r="I5450" s="16" t="n">
        <x:v>0</x:v>
      </x:c>
      <x:c r="J5450" s="16" t="n">
        <x:v>0</x:v>
      </x:c>
      <x:c r="K5450" s="11" t="n">
        <x:f>CHOOSE('假设'!$B$3,H5450,I5450,J5450)</x:f>
        <x:v>0</x:v>
      </x:c>
      <x:c r="L5450" s="11" t="n">
        <x:f>K5450*'管线假设'!E1167*'管线假设'!F1167*'管线假设'!G1167*IF(E5450="USD",'管线假设'!I1167,1)-AM5450</x:f>
        <x:v>0</x:v>
      </x:c>
      <x:c r="M5450" s="11" t="n">
        <x:f>'管线假设'!H1167</x:f>
        <x:v>0.14</x:v>
      </x:c>
      <x:c r="N5450" s="11" t="n">
        <x:f>IF(G5450,L5450*AN5450/(1+M5450)^F5450,0)</x:f>
        <x:v>0</x:v>
      </x:c>
      <x:c r="AJ5450" t="n">
        <x:v>0</x:v>
      </x:c>
      <x:c r="AK5450" t="n">
        <x:v>0</x:v>
      </x:c>
      <x:c r="AL5450" t="n">
        <x:v>0</x:v>
      </x:c>
      <x:c r="AM5450" t="n">
        <x:f>CHOOSE('假设'!$B$3,AJ5450,AK5450,AL5450)</x:f>
        <x:v>0</x:v>
      </x:c>
      <x:c r="AN5450" t="n">
        <x:v>1</x:v>
      </x:c>
    </x:row>
    <x:row r="5451" ht="23" customHeight="1">
      <x:c r="A5451" s="11" t="str">
        <x:v>688062.SH</x:v>
      </x:c>
      <x:c r="B5451" s="11" t="str">
        <x:v>一年</x:v>
      </x:c>
      <x:c r="C5451" s="11" t="str">
        <x:v>bfv_cervix</x:v>
      </x:c>
      <x:c r="D5451" s="11" t="str">
        <x:v>2027-12-31</x:v>
      </x:c>
      <x:c r="E5451" s="11" t="str">
        <x:v>CNY</x:v>
      </x:c>
      <x:c r="F5451" s="11" t="n">
        <x:v>0.2272416153319644</x:v>
      </x:c>
      <x:c r="G5451" s="26" t="b">
        <x:v>1</x:v>
      </x:c>
      <x:c r="H5451" s="16" t="n">
        <x:v>0</x:v>
      </x:c>
      <x:c r="I5451" s="16" t="n">
        <x:v>0</x:v>
      </x:c>
      <x:c r="J5451" s="16" t="n">
        <x:v>0.39999999999999997</x:v>
      </x:c>
      <x:c r="K5451" s="11" t="n">
        <x:f>CHOOSE('假设'!$B$3,H5451,I5451,J5451)</x:f>
        <x:v>0</x:v>
      </x:c>
      <x:c r="L5451" s="11" t="n">
        <x:f>K5451*'管线假设'!E1171*'管线假设'!F1171*'管线假设'!G1171*IF(E5451="USD",'管线假设'!I1171,1)-AM5451</x:f>
        <x:v>0</x:v>
      </x:c>
      <x:c r="M5451" s="11" t="n">
        <x:f>'管线假设'!H1171</x:f>
        <x:v>0.14</x:v>
      </x:c>
      <x:c r="N5451" s="11" t="n">
        <x:f>IF(G5451,L5451*AN5451/(1+M5451)^F5451,0)</x:f>
        <x:v>0</x:v>
      </x:c>
      <x:c r="AJ5451" t="n">
        <x:v>0</x:v>
      </x:c>
      <x:c r="AK5451" t="n">
        <x:v>0</x:v>
      </x:c>
      <x:c r="AL5451" t="n">
        <x:v>0</x:v>
      </x:c>
      <x:c r="AM5451" t="n">
        <x:f>CHOOSE('假设'!$B$3,AJ5451,AK5451,AL5451)</x:f>
        <x:v>0</x:v>
      </x:c>
      <x:c r="AN5451" t="n">
        <x:v>1</x:v>
      </x:c>
    </x:row>
    <x:row r="5452" ht="23" customHeight="1">
      <x:c r="A5452" s="11" t="str">
        <x:v>688062.SH</x:v>
      </x:c>
      <x:c r="B5452" s="11" t="str">
        <x:v>一年</x:v>
      </x:c>
      <x:c r="C5452" s="11" t="str">
        <x:v>bfv_cervix</x:v>
      </x:c>
      <x:c r="D5452" s="11" t="str">
        <x:v>2028-12-31</x:v>
      </x:c>
      <x:c r="E5452" s="11" t="str">
        <x:v>CNY</x:v>
      </x:c>
      <x:c r="F5452" s="11" t="n">
        <x:v>1.2292950034223136</x:v>
      </x:c>
      <x:c r="G5452" s="26" t="b">
        <x:v>1</x:v>
      </x:c>
      <x:c r="H5452" s="16" t="n">
        <x:v>0</x:v>
      </x:c>
      <x:c r="I5452" s="16" t="n">
        <x:v>0.2333333333333333</x:v>
      </x:c>
      <x:c r="J5452" s="16" t="n">
        <x:v>0.7999999999999999</x:v>
      </x:c>
      <x:c r="K5452" s="11" t="n">
        <x:f>CHOOSE('假设'!$B$3,H5452,I5452,J5452)</x:f>
        <x:v>0.2333333333333333</x:v>
      </x:c>
      <x:c r="L5452" s="11" t="n">
        <x:f>K5452*'管线假设'!E1171*'管线假设'!F1171*'管线假设'!G1171*IF(E5452="USD",'管线假设'!I1171,1)-AM5452</x:f>
        <x:v>0.03541999999999999</x:v>
      </x:c>
      <x:c r="M5452" s="11" t="n">
        <x:f>'管线假设'!H1171</x:f>
        <x:v>0.14</x:v>
      </x:c>
      <x:c r="N5452" s="11" t="n">
        <x:f>IF(G5452,L5452*AN5452/(1+M5452)^F5452,0)</x:f>
        <x:v>0.030150582530707994</x:v>
      </x:c>
      <x:c r="AJ5452" t="n">
        <x:v>0</x:v>
      </x:c>
      <x:c r="AK5452" t="n">
        <x:v>0</x:v>
      </x:c>
      <x:c r="AL5452" t="n">
        <x:v>0</x:v>
      </x:c>
      <x:c r="AM5452" t="n">
        <x:f>CHOOSE('假设'!$B$3,AJ5452,AK5452,AL5452)</x:f>
        <x:v>0</x:v>
      </x:c>
      <x:c r="AN5452" t="n">
        <x:v>1</x:v>
      </x:c>
    </x:row>
    <x:row r="5453" ht="23" customHeight="1">
      <x:c r="A5453" s="11" t="str">
        <x:v>688062.SH</x:v>
      </x:c>
      <x:c r="B5453" s="11" t="str">
        <x:v>一年</x:v>
      </x:c>
      <x:c r="C5453" s="11" t="str">
        <x:v>bfv_cervix</x:v>
      </x:c>
      <x:c r="D5453" s="11" t="str">
        <x:v>2029-12-31</x:v>
      </x:c>
      <x:c r="E5453" s="11" t="str">
        <x:v>CNY</x:v>
      </x:c>
      <x:c r="F5453" s="11" t="n">
        <x:v>2.2286105407255303</x:v>
      </x:c>
      <x:c r="G5453" s="26" t="b">
        <x:v>1</x:v>
      </x:c>
      <x:c r="H5453" s="16" t="n">
        <x:v>0</x:v>
      </x:c>
      <x:c r="I5453" s="16" t="n">
        <x:v>0.4666666666666666</x:v>
      </x:c>
      <x:c r="J5453" s="16" t="n">
        <x:v>1.2</x:v>
      </x:c>
      <x:c r="K5453" s="11" t="n">
        <x:f>CHOOSE('假设'!$B$3,H5453,I5453,J5453)</x:f>
        <x:v>0.4666666666666666</x:v>
      </x:c>
      <x:c r="L5453" s="11" t="n">
        <x:f>K5453*'管线假设'!E1171*'管线假设'!F1171*'管线假设'!G1171*IF(E5453="USD",'管线假设'!I1171,1)-AM5453</x:f>
        <x:v>0.07083999999999999</x:v>
      </x:c>
      <x:c r="M5453" s="11" t="n">
        <x:f>'管线假设'!H1171</x:f>
        <x:v>0.14</x:v>
      </x:c>
      <x:c r="N5453" s="11" t="n">
        <x:f>IF(G5453,L5453*AN5453/(1+M5453)^F5453,0)</x:f>
        <x:v>0.05290050293954029</x:v>
      </x:c>
      <x:c r="AJ5453" t="n">
        <x:v>0</x:v>
      </x:c>
      <x:c r="AK5453" t="n">
        <x:v>0</x:v>
      </x:c>
      <x:c r="AL5453" t="n">
        <x:v>0</x:v>
      </x:c>
      <x:c r="AM5453" t="n">
        <x:f>CHOOSE('假设'!$B$3,AJ5453,AK5453,AL5453)</x:f>
        <x:v>0</x:v>
      </x:c>
      <x:c r="AN5453" t="n">
        <x:v>1</x:v>
      </x:c>
    </x:row>
    <x:row r="5454" ht="23" customHeight="1">
      <x:c r="A5454" s="11" t="str">
        <x:v>688062.SH</x:v>
      </x:c>
      <x:c r="B5454" s="11" t="str">
        <x:v>一年</x:v>
      </x:c>
      <x:c r="C5454" s="11" t="str">
        <x:v>bfv_cervix</x:v>
      </x:c>
      <x:c r="D5454" s="11" t="str">
        <x:v>2030-12-31</x:v>
      </x:c>
      <x:c r="E5454" s="11" t="str">
        <x:v>CNY</x:v>
      </x:c>
      <x:c r="F5454" s="11" t="n">
        <x:v>3.2279260780287475</x:v>
      </x:c>
      <x:c r="G5454" s="26" t="b">
        <x:v>1</x:v>
      </x:c>
      <x:c r="H5454" s="16" t="n">
        <x:v>0.12</x:v>
      </x:c>
      <x:c r="I5454" s="16" t="n">
        <x:v>0.7</x:v>
      </x:c>
      <x:c r="J5454" s="16" t="n">
        <x:v>1.5999999999999999</x:v>
      </x:c>
      <x:c r="K5454" s="11" t="n">
        <x:f>CHOOSE('假设'!$B$3,H5454,I5454,J5454)</x:f>
        <x:v>0.7</x:v>
      </x:c>
      <x:c r="L5454" s="11" t="n">
        <x:f>K5454*'管线假设'!E1171*'管线假设'!F1171*'管线假设'!G1171*IF(E5454="USD",'管线假设'!I1171,1)-AM5454</x:f>
        <x:v>0.10625999999999998</x:v>
      </x:c>
      <x:c r="M5454" s="11" t="n">
        <x:f>'管线假设'!H1171</x:f>
        <x:v>0.14</x:v>
      </x:c>
      <x:c r="N5454" s="11" t="n">
        <x:f>IF(G5454,L5454*AN5454/(1+M5454)^F5454,0)</x:f>
        <x:v>0.0696121677352198</x:v>
      </x:c>
      <x:c r="AJ5454" t="n">
        <x:v>0</x:v>
      </x:c>
      <x:c r="AK5454" t="n">
        <x:v>0</x:v>
      </x:c>
      <x:c r="AL5454" t="n">
        <x:v>0</x:v>
      </x:c>
      <x:c r="AM5454" t="n">
        <x:f>CHOOSE('假设'!$B$3,AJ5454,AK5454,AL5454)</x:f>
        <x:v>0</x:v>
      </x:c>
      <x:c r="AN5454" t="n">
        <x:v>1</x:v>
      </x:c>
    </x:row>
    <x:row r="5455" ht="23" customHeight="1">
      <x:c r="A5455" s="11" t="str">
        <x:v>688062.SH</x:v>
      </x:c>
      <x:c r="B5455" s="11" t="str">
        <x:v>一年</x:v>
      </x:c>
      <x:c r="C5455" s="11" t="str">
        <x:v>bfv_cervix</x:v>
      </x:c>
      <x:c r="D5455" s="11" t="str">
        <x:v>2031-12-31</x:v>
      </x:c>
      <x:c r="E5455" s="11" t="str">
        <x:v>CNY</x:v>
      </x:c>
      <x:c r="F5455" s="11" t="n">
        <x:v>4.227241615331964</x:v>
      </x:c>
      <x:c r="G5455" s="26" t="b">
        <x:v>1</x:v>
      </x:c>
      <x:c r="H5455" s="16" t="n">
        <x:v>0.24</x:v>
      </x:c>
      <x:c r="I5455" s="16" t="n">
        <x:v>0.9333333333333332</x:v>
      </x:c>
      <x:c r="J5455" s="16" t="n">
        <x:v>2</x:v>
      </x:c>
      <x:c r="K5455" s="11" t="n">
        <x:f>CHOOSE('假设'!$B$3,H5455,I5455,J5455)</x:f>
        <x:v>0.9333333333333332</x:v>
      </x:c>
      <x:c r="L5455" s="11" t="n">
        <x:f>K5455*'管线假设'!E1171*'管线假设'!F1171*'管线假设'!G1171*IF(E5455="USD",'管线假设'!I1171,1)-AM5455</x:f>
        <x:v>0.14167999999999997</x:v>
      </x:c>
      <x:c r="M5455" s="11" t="n">
        <x:f>'管线假设'!H1171</x:f>
        <x:v>0.14</x:v>
      </x:c>
      <x:c r="N5455" s="11" t="n">
        <x:f>IF(G5455,L5455*AN5455/(1+M5455)^F5455,0)</x:f>
        <x:v>0.08142504223379801</x:v>
      </x:c>
      <x:c r="AJ5455" t="n">
        <x:v>0</x:v>
      </x:c>
      <x:c r="AK5455" t="n">
        <x:v>0</x:v>
      </x:c>
      <x:c r="AL5455" t="n">
        <x:v>0</x:v>
      </x:c>
      <x:c r="AM5455" t="n">
        <x:f>CHOOSE('假设'!$B$3,AJ5455,AK5455,AL5455)</x:f>
        <x:v>0</x:v>
      </x:c>
      <x:c r="AN5455" t="n">
        <x:v>1</x:v>
      </x:c>
    </x:row>
    <x:row r="5456" ht="23" customHeight="1">
      <x:c r="A5456" s="11" t="str">
        <x:v>688062.SH</x:v>
      </x:c>
      <x:c r="B5456" s="11" t="str">
        <x:v>一年</x:v>
      </x:c>
      <x:c r="C5456" s="11" t="str">
        <x:v>bfv_cervix</x:v>
      </x:c>
      <x:c r="D5456" s="11" t="str">
        <x:v>2032-12-31</x:v>
      </x:c>
      <x:c r="E5456" s="11" t="str">
        <x:v>CNY</x:v>
      </x:c>
      <x:c r="F5456" s="11" t="n">
        <x:v>5.229295003422314</x:v>
      </x:c>
      <x:c r="G5456" s="26" t="b">
        <x:v>1</x:v>
      </x:c>
      <x:c r="H5456" s="16" t="n">
        <x:v>0.36</x:v>
      </x:c>
      <x:c r="I5456" s="16" t="n">
        <x:v>1.1666666666666667</x:v>
      </x:c>
      <x:c r="J5456" s="16" t="n">
        <x:v>2.4</x:v>
      </x:c>
      <x:c r="K5456" s="11" t="n">
        <x:f>CHOOSE('假设'!$B$3,H5456,I5456,J5456)</x:f>
        <x:v>1.1666666666666667</x:v>
      </x:c>
      <x:c r="L5456" s="11" t="n">
        <x:f>K5456*'管线假设'!E1171*'管线假设'!F1171*'管线假设'!G1171*IF(E5456="USD",'管线假设'!I1171,1)-AM5456</x:f>
        <x:v>0.1771</x:v>
      </x:c>
      <x:c r="M5456" s="11" t="n">
        <x:f>'管线假设'!H1171</x:f>
        <x:v>0.14</x:v>
      </x:c>
      <x:c r="N5456" s="11" t="n">
        <x:f>IF(G5456,L5456*AN5456/(1+M5456)^F5456,0)</x:f>
        <x:v>0.0892578263382719</x:v>
      </x:c>
      <x:c r="AJ5456" t="n">
        <x:v>0</x:v>
      </x:c>
      <x:c r="AK5456" t="n">
        <x:v>0</x:v>
      </x:c>
      <x:c r="AL5456" t="n">
        <x:v>0</x:v>
      </x:c>
      <x:c r="AM5456" t="n">
        <x:f>CHOOSE('假设'!$B$3,AJ5456,AK5456,AL5456)</x:f>
        <x:v>0</x:v>
      </x:c>
      <x:c r="AN5456" t="n">
        <x:v>1</x:v>
      </x:c>
    </x:row>
    <x:row r="5457" ht="23" customHeight="1">
      <x:c r="A5457" s="11" t="str">
        <x:v>688062.SH</x:v>
      </x:c>
      <x:c r="B5457" s="11" t="str">
        <x:v>一年</x:v>
      </x:c>
      <x:c r="C5457" s="11" t="str">
        <x:v>bfv_cervix</x:v>
      </x:c>
      <x:c r="D5457" s="11" t="str">
        <x:v>2033-12-31</x:v>
      </x:c>
      <x:c r="E5457" s="11" t="str">
        <x:v>CNY</x:v>
      </x:c>
      <x:c r="F5457" s="11" t="n">
        <x:v>6.228610540725531</x:v>
      </x:c>
      <x:c r="G5457" s="26" t="b">
        <x:v>1</x:v>
      </x:c>
      <x:c r="H5457" s="16" t="n">
        <x:v>0.48</x:v>
      </x:c>
      <x:c r="I5457" s="16" t="n">
        <x:v>1.4</x:v>
      </x:c>
      <x:c r="J5457" s="16" t="n">
        <x:v>2.088</x:v>
      </x:c>
      <x:c r="K5457" s="11" t="n">
        <x:f>CHOOSE('假设'!$B$3,H5457,I5457,J5457)</x:f>
        <x:v>1.4</x:v>
      </x:c>
      <x:c r="L5457" s="11" t="n">
        <x:f>K5457*'管线假设'!E1171*'管线假设'!F1171*'管线假设'!G1171*IF(E5457="USD",'管线假设'!I1171,1)-AM5457</x:f>
        <x:v>0.21251999999999996</x:v>
      </x:c>
      <x:c r="M5457" s="11" t="n">
        <x:f>'管线假设'!H1171</x:f>
        <x:v>0.14</x:v>
      </x:c>
      <x:c r="N5457" s="11" t="n">
        <x:f>IF(G5457,L5457*AN5457/(1+M5457)^F5457,0)</x:f>
        <x:v>0.0939640333603966</x:v>
      </x:c>
      <x:c r="AJ5457" t="n">
        <x:v>0</x:v>
      </x:c>
      <x:c r="AK5457" t="n">
        <x:v>0</x:v>
      </x:c>
      <x:c r="AL5457" t="n">
        <x:v>0</x:v>
      </x:c>
      <x:c r="AM5457" t="n">
        <x:f>CHOOSE('假设'!$B$3,AJ5457,AK5457,AL5457)</x:f>
        <x:v>0</x:v>
      </x:c>
      <x:c r="AN5457" t="n">
        <x:v>1</x:v>
      </x:c>
    </x:row>
    <x:row r="5458" ht="23" customHeight="1">
      <x:c r="A5458" s="11" t="str">
        <x:v>688062.SH</x:v>
      </x:c>
      <x:c r="B5458" s="11" t="str">
        <x:v>一年</x:v>
      </x:c>
      <x:c r="C5458" s="11" t="str">
        <x:v>bfv_cervix</x:v>
      </x:c>
      <x:c r="D5458" s="11" t="str">
        <x:v>2034-12-31</x:v>
      </x:c>
      <x:c r="E5458" s="11" t="str">
        <x:v>CNY</x:v>
      </x:c>
      <x:c r="F5458" s="11" t="n">
        <x:v>7.227926078028747</x:v>
      </x:c>
      <x:c r="G5458" s="26" t="b">
        <x:v>1</x:v>
      </x:c>
      <x:c r="H5458" s="16" t="n">
        <x:v>0.6</x:v>
      </x:c>
      <x:c r="I5458" s="16" t="n">
        <x:v>1.218</x:v>
      </x:c>
      <x:c r="J5458" s="16" t="n">
        <x:v>1.776</x:v>
      </x:c>
      <x:c r="K5458" s="11" t="n">
        <x:f>CHOOSE('假设'!$B$3,H5458,I5458,J5458)</x:f>
        <x:v>1.218</x:v>
      </x:c>
      <x:c r="L5458" s="11" t="n">
        <x:f>K5458*'管线假设'!E1171*'管线假设'!F1171*'管线假设'!G1171*IF(E5458="USD",'管线假设'!I1171,1)-AM5458</x:f>
        <x:v>0.18489239999999998</x:v>
      </x:c>
      <x:c r="M5458" s="11" t="n">
        <x:f>'管线假设'!H1171</x:f>
        <x:v>0.14</x:v>
      </x:c>
      <x:c r="N5458" s="11" t="n">
        <x:f>IF(G5458,L5458*AN5458/(1+M5458)^F5458,0)</x:f>
        <x:v>0.07171582535095583</x:v>
      </x:c>
      <x:c r="AJ5458" t="n">
        <x:v>0</x:v>
      </x:c>
      <x:c r="AK5458" t="n">
        <x:v>0</x:v>
      </x:c>
      <x:c r="AL5458" t="n">
        <x:v>0</x:v>
      </x:c>
      <x:c r="AM5458" t="n">
        <x:f>CHOOSE('假设'!$B$3,AJ5458,AK5458,AL5458)</x:f>
        <x:v>0</x:v>
      </x:c>
      <x:c r="AN5458" t="n">
        <x:v>1</x:v>
      </x:c>
    </x:row>
    <x:row r="5459" ht="23" customHeight="1">
      <x:c r="A5459" s="11" t="str">
        <x:v>688062.SH</x:v>
      </x:c>
      <x:c r="B5459" s="11" t="str">
        <x:v>一年</x:v>
      </x:c>
      <x:c r="C5459" s="11" t="str">
        <x:v>bfv_cervix</x:v>
      </x:c>
      <x:c r="D5459" s="11" t="str">
        <x:v>2035-12-31</x:v>
      </x:c>
      <x:c r="E5459" s="11" t="str">
        <x:v>CNY</x:v>
      </x:c>
      <x:c r="F5459" s="11" t="n">
        <x:v>8.227241615331964</x:v>
      </x:c>
      <x:c r="G5459" s="26" t="b">
        <x:v>1</x:v>
      </x:c>
      <x:c r="H5459" s="16" t="n">
        <x:v>0.522</x:v>
      </x:c>
      <x:c r="I5459" s="16" t="n">
        <x:v>1.036</x:v>
      </x:c>
      <x:c r="J5459" s="16" t="n">
        <x:v>1.464</x:v>
      </x:c>
      <x:c r="K5459" s="11" t="n">
        <x:f>CHOOSE('假设'!$B$3,H5459,I5459,J5459)</x:f>
        <x:v>1.036</x:v>
      </x:c>
      <x:c r="L5459" s="11" t="n">
        <x:f>K5459*'管线假设'!E1171*'管线假设'!F1171*'管线假设'!G1171*IF(E5459="USD",'管线假设'!I1171,1)-AM5459</x:f>
        <x:v>0.1572648</x:v>
      </x:c>
      <x:c r="M5459" s="11" t="n">
        <x:f>'管线假设'!H1171</x:f>
        <x:v>0.14</x:v>
      </x:c>
      <x:c r="N5459" s="11" t="n">
        <x:f>IF(G5459,L5459*AN5459/(1+M5459)^F5459,0)</x:f>
        <x:v>0.05351327936563985</x:v>
      </x:c>
      <x:c r="AJ5459" t="n">
        <x:v>0</x:v>
      </x:c>
      <x:c r="AK5459" t="n">
        <x:v>0</x:v>
      </x:c>
      <x:c r="AL5459" t="n">
        <x:v>0</x:v>
      </x:c>
      <x:c r="AM5459" t="n">
        <x:f>CHOOSE('假设'!$B$3,AJ5459,AK5459,AL5459)</x:f>
        <x:v>0</x:v>
      </x:c>
      <x:c r="AN5459" t="n">
        <x:v>1</x:v>
      </x:c>
    </x:row>
    <x:row r="5460" ht="23" customHeight="1">
      <x:c r="A5460" s="11" t="str">
        <x:v>688062.SH</x:v>
      </x:c>
      <x:c r="B5460" s="11" t="str">
        <x:v>一年</x:v>
      </x:c>
      <x:c r="C5460" s="11" t="str">
        <x:v>bfv_cervix</x:v>
      </x:c>
      <x:c r="D5460" s="11" t="str">
        <x:v>2036-12-31</x:v>
      </x:c>
      <x:c r="E5460" s="11" t="str">
        <x:v>CNY</x:v>
      </x:c>
      <x:c r="F5460" s="11" t="n">
        <x:v>9.229295003422314</x:v>
      </x:c>
      <x:c r="G5460" s="26" t="b">
        <x:v>1</x:v>
      </x:c>
      <x:c r="H5460" s="16" t="n">
        <x:v>0.444</x:v>
      </x:c>
      <x:c r="I5460" s="16" t="n">
        <x:v>0.854</x:v>
      </x:c>
      <x:c r="J5460" s="16" t="n">
        <x:v>1.152</x:v>
      </x:c>
      <x:c r="K5460" s="11" t="n">
        <x:f>CHOOSE('假设'!$B$3,H5460,I5460,J5460)</x:f>
        <x:v>0.854</x:v>
      </x:c>
      <x:c r="L5460" s="11" t="n">
        <x:f>K5460*'管线假设'!E1171*'管线假设'!F1171*'管线假设'!G1171*IF(E5460="USD",'管线假设'!I1171,1)-AM5460</x:f>
        <x:v>0.1296372</x:v>
      </x:c>
      <x:c r="M5460" s="11" t="n">
        <x:f>'管线假设'!H1171</x:f>
        <x:v>0.14</x:v>
      </x:c>
      <x:c r="N5460" s="11" t="n">
        <x:f>IF(G5460,L5460*AN5460/(1+M5460)^F5460,0)</x:f>
        <x:v>0.038684588557503334</x:v>
      </x:c>
      <x:c r="AJ5460" t="n">
        <x:v>0</x:v>
      </x:c>
      <x:c r="AK5460" t="n">
        <x:v>0</x:v>
      </x:c>
      <x:c r="AL5460" t="n">
        <x:v>0</x:v>
      </x:c>
      <x:c r="AM5460" t="n">
        <x:f>CHOOSE('假设'!$B$3,AJ5460,AK5460,AL5460)</x:f>
        <x:v>0</x:v>
      </x:c>
      <x:c r="AN5460" t="n">
        <x:v>1</x:v>
      </x:c>
    </x:row>
    <x:row r="5461" ht="23" customHeight="1">
      <x:c r="A5461" s="11" t="str">
        <x:v>688062.SH</x:v>
      </x:c>
      <x:c r="B5461" s="11" t="str">
        <x:v>一年</x:v>
      </x:c>
      <x:c r="C5461" s="11" t="str">
        <x:v>bfv_cervix</x:v>
      </x:c>
      <x:c r="D5461" s="11" t="str">
        <x:v>2037-12-31</x:v>
      </x:c>
      <x:c r="E5461" s="11" t="str">
        <x:v>CNY</x:v>
      </x:c>
      <x:c r="F5461" s="11" t="n">
        <x:v>10.22861054072553</x:v>
      </x:c>
      <x:c r="G5461" s="26" t="b">
        <x:v>1</x:v>
      </x:c>
      <x:c r="H5461" s="16" t="n">
        <x:v>0.366</x:v>
      </x:c>
      <x:c r="I5461" s="16" t="n">
        <x:v>0.6719999999999999</x:v>
      </x:c>
      <x:c r="J5461" s="16" t="n">
        <x:v>0.84</x:v>
      </x:c>
      <x:c r="K5461" s="11" t="n">
        <x:f>CHOOSE('假设'!$B$3,H5461,I5461,J5461)</x:f>
        <x:v>0.6719999999999999</x:v>
      </x:c>
      <x:c r="L5461" s="11" t="n">
        <x:f>K5461*'管线假设'!E1171*'管线假设'!F1171*'管线假设'!G1171*IF(E5461="USD",'管线假设'!I1171,1)-AM5461</x:f>
        <x:v>0.10200959999999998</x:v>
      </x:c>
      <x:c r="M5461" s="11" t="n">
        <x:f>'管线假设'!H1171</x:f>
        <x:v>0.14</x:v>
      </x:c>
      <x:c r="N5461" s="11" t="n">
        <x:f>IF(G5461,L5461*AN5461/(1+M5461)^F5461,0)</x:f>
        <x:v>0.02670444044872577</x:v>
      </x:c>
      <x:c r="AJ5461" t="n">
        <x:v>0</x:v>
      </x:c>
      <x:c r="AK5461" t="n">
        <x:v>0</x:v>
      </x:c>
      <x:c r="AL5461" t="n">
        <x:v>0</x:v>
      </x:c>
      <x:c r="AM5461" t="n">
        <x:f>CHOOSE('假设'!$B$3,AJ5461,AK5461,AL5461)</x:f>
        <x:v>0</x:v>
      </x:c>
      <x:c r="AN5461" t="n">
        <x:v>1</x:v>
      </x:c>
    </x:row>
    <x:row r="5462" ht="23" customHeight="1">
      <x:c r="A5462" s="11" t="str">
        <x:v>688062.SH</x:v>
      </x:c>
      <x:c r="B5462" s="11" t="str">
        <x:v>一年</x:v>
      </x:c>
      <x:c r="C5462" s="11" t="str">
        <x:v>bfv_cervix</x:v>
      </x:c>
      <x:c r="D5462" s="11" t="str">
        <x:v>2038-12-31</x:v>
      </x:c>
      <x:c r="E5462" s="11" t="str">
        <x:v>CNY</x:v>
      </x:c>
      <x:c r="F5462" s="11" t="n">
        <x:v>11.227926078028748</x:v>
      </x:c>
      <x:c r="G5462" s="26" t="b">
        <x:v>1</x:v>
      </x:c>
      <x:c r="H5462" s="16" t="n">
        <x:v>0.288</x:v>
      </x:c>
      <x:c r="I5462" s="16" t="n">
        <x:v>0.48999999999999994</x:v>
      </x:c>
      <x:c r="J5462" s="16" t="n">
        <x:v>0.5279999999999999</x:v>
      </x:c>
      <x:c r="K5462" s="11" t="n">
        <x:f>CHOOSE('假设'!$B$3,H5462,I5462,J5462)</x:f>
        <x:v>0.48999999999999994</x:v>
      </x:c>
      <x:c r="L5462" s="11" t="n">
        <x:f>K5462*'管线假设'!E1171*'管线假设'!F1171*'管线假设'!G1171*IF(E5462="USD",'管线假设'!I1171,1)-AM5462</x:f>
        <x:v>0.07438199999999999</x:v>
      </x:c>
      <x:c r="M5462" s="11" t="n">
        <x:f>'管线假设'!H1171</x:f>
        <x:v>0.14</x:v>
      </x:c>
      <x:c r="N5462" s="11" t="n">
        <x:f>IF(G5462,L5462*AN5462/(1+M5462)^F5462,0)</x:f>
        <x:v>0.017082223009159878</x:v>
      </x:c>
      <x:c r="AJ5462" t="n">
        <x:v>0</x:v>
      </x:c>
      <x:c r="AK5462" t="n">
        <x:v>0</x:v>
      </x:c>
      <x:c r="AL5462" t="n">
        <x:v>0</x:v>
      </x:c>
      <x:c r="AM5462" t="n">
        <x:f>CHOOSE('假设'!$B$3,AJ5462,AK5462,AL5462)</x:f>
        <x:v>0</x:v>
      </x:c>
      <x:c r="AN5462" t="n">
        <x:v>1</x:v>
      </x:c>
    </x:row>
    <x:row r="5463" ht="23" customHeight="1">
      <x:c r="A5463" s="11" t="str">
        <x:v>688062.SH</x:v>
      </x:c>
      <x:c r="B5463" s="11" t="str">
        <x:v>一年</x:v>
      </x:c>
      <x:c r="C5463" s="11" t="str">
        <x:v>bfv_cervix</x:v>
      </x:c>
      <x:c r="D5463" s="11" t="str">
        <x:v>2039-12-31</x:v>
      </x:c>
      <x:c r="E5463" s="11" t="str">
        <x:v>CNY</x:v>
      </x:c>
      <x:c r="F5463" s="11" t="n">
        <x:v>12.227241615331964</x:v>
      </x:c>
      <x:c r="G5463" s="26" t="b">
        <x:v>1</x:v>
      </x:c>
      <x:c r="H5463" s="16" t="n">
        <x:v>0.21</x:v>
      </x:c>
      <x:c r="I5463" s="16" t="n">
        <x:v>0.30799999999999994</x:v>
      </x:c>
      <x:c r="J5463" s="16" t="n">
        <x:v>0.21599999999999991</x:v>
      </x:c>
      <x:c r="K5463" s="11" t="n">
        <x:f>CHOOSE('假设'!$B$3,H5463,I5463,J5463)</x:f>
        <x:v>0.30799999999999994</x:v>
      </x:c>
      <x:c r="L5463" s="11" t="n">
        <x:f>K5463*'管线假设'!E1171*'管线假设'!F1171*'管线假设'!G1171*IF(E5463="USD",'管线假设'!I1171,1)-AM5463</x:f>
        <x:v>0.04675439999999999</x:v>
      </x:c>
      <x:c r="M5463" s="11" t="n">
        <x:f>'管线假设'!H1171</x:f>
        <x:v>0.14</x:v>
      </x:c>
      <x:c r="N5463" s="11" t="n">
        <x:f>IF(G5463,L5463*AN5463/(1+M5463)^F5463,0)</x:f>
        <x:v>0.00941961432939895</x:v>
      </x:c>
      <x:c r="AJ5463" t="n">
        <x:v>0</x:v>
      </x:c>
      <x:c r="AK5463" t="n">
        <x:v>0</x:v>
      </x:c>
      <x:c r="AL5463" t="n">
        <x:v>0</x:v>
      </x:c>
      <x:c r="AM5463" t="n">
        <x:f>CHOOSE('假设'!$B$3,AJ5463,AK5463,AL5463)</x:f>
        <x:v>0</x:v>
      </x:c>
      <x:c r="AN5463" t="n">
        <x:v>1</x:v>
      </x:c>
    </x:row>
    <x:row r="5464" ht="23" customHeight="1">
      <x:c r="A5464" s="11" t="str">
        <x:v>688062.SH</x:v>
      </x:c>
      <x:c r="B5464" s="11" t="str">
        <x:v>一年</x:v>
      </x:c>
      <x:c r="C5464" s="11" t="str">
        <x:v>bfv_cervix</x:v>
      </x:c>
      <x:c r="D5464" s="11" t="str">
        <x:v>2040-12-31</x:v>
      </x:c>
      <x:c r="E5464" s="11" t="str">
        <x:v>CNY</x:v>
      </x:c>
      <x:c r="F5464" s="11" t="n">
        <x:v>13.229295003422314</x:v>
      </x:c>
      <x:c r="G5464" s="26" t="b">
        <x:v>1</x:v>
      </x:c>
      <x:c r="H5464" s="16" t="n">
        <x:v>0.13199999999999998</x:v>
      </x:c>
      <x:c r="I5464" s="16" t="n">
        <x:v>0.12599999999999995</x:v>
      </x:c>
      <x:c r="J5464" s="16" t="n">
        <x:v>0</x:v>
      </x:c>
      <x:c r="K5464" s="11" t="n">
        <x:f>CHOOSE('假设'!$B$3,H5464,I5464,J5464)</x:f>
        <x:v>0.12599999999999995</x:v>
      </x:c>
      <x:c r="L5464" s="11" t="n">
        <x:f>K5464*'管线假设'!E1171*'管线假设'!F1171*'管线假设'!G1171*IF(E5464="USD",'管线假设'!I1171,1)-AM5464</x:f>
        <x:v>0.019126799999999992</x:v>
      </x:c>
      <x:c r="M5464" s="11" t="n">
        <x:f>'管线假设'!H1171</x:f>
        <x:v>0.14</x:v>
      </x:c>
      <x:c r="N5464" s="11" t="n">
        <x:f>IF(G5464,L5464*AN5464/(1+M5464)^F5464,0)</x:f>
        <x:v>0.0033793350378312132</x:v>
      </x:c>
      <x:c r="AJ5464" t="n">
        <x:v>0</x:v>
      </x:c>
      <x:c r="AK5464" t="n">
        <x:v>0</x:v>
      </x:c>
      <x:c r="AL5464" t="n">
        <x:v>0</x:v>
      </x:c>
      <x:c r="AM5464" t="n">
        <x:f>CHOOSE('假设'!$B$3,AJ5464,AK5464,AL5464)</x:f>
        <x:v>0</x:v>
      </x:c>
      <x:c r="AN5464" t="n">
        <x:v>1</x:v>
      </x:c>
    </x:row>
    <x:row r="5465" ht="23" customHeight="1">
      <x:c r="A5465" s="11" t="str">
        <x:v>688062.SH</x:v>
      </x:c>
      <x:c r="B5465" s="11" t="str">
        <x:v>一年</x:v>
      </x:c>
      <x:c r="C5465" s="11" t="str">
        <x:v>bfv_cervix</x:v>
      </x:c>
      <x:c r="D5465" s="11" t="str">
        <x:v>2041-12-31</x:v>
      </x:c>
      <x:c r="E5465" s="11" t="str">
        <x:v>CNY</x:v>
      </x:c>
      <x:c r="F5465" s="11" t="n">
        <x:v>14.22861054072553</x:v>
      </x:c>
      <x:c r="G5465" s="26" t="b">
        <x:v>1</x:v>
      </x:c>
      <x:c r="H5465" s="16" t="n">
        <x:v>0.05399999999999998</x:v>
      </x:c>
      <x:c r="I5465" s="16" t="n">
        <x:v>0</x:v>
      </x:c>
      <x:c r="J5465" s="16" t="n">
        <x:v>0</x:v>
      </x:c>
      <x:c r="K5465" s="11" t="n">
        <x:f>CHOOSE('假设'!$B$3,H5465,I5465,J5465)</x:f>
        <x:v>0</x:v>
      </x:c>
      <x:c r="L5465" s="11" t="n">
        <x:f>K5465*'管线假设'!E1171*'管线假设'!F1171*'管线假设'!G1171*IF(E5465="USD",'管线假设'!I1171,1)-AM5465</x:f>
        <x:v>0</x:v>
      </x:c>
      <x:c r="M5465" s="11" t="n">
        <x:f>'管线假设'!H1171</x:f>
        <x:v>0.14</x:v>
      </x:c>
      <x:c r="N5465" s="11" t="n">
        <x:f>IF(G5465,L5465*AN5465/(1+M5465)^F5465,0)</x:f>
        <x:v>0</x:v>
      </x:c>
      <x:c r="AJ5465" t="n">
        <x:v>0</x:v>
      </x:c>
      <x:c r="AK5465" t="n">
        <x:v>0</x:v>
      </x:c>
      <x:c r="AL5465" t="n">
        <x:v>0</x:v>
      </x:c>
      <x:c r="AM5465" t="n">
        <x:f>CHOOSE('假设'!$B$3,AJ5465,AK5465,AL5465)</x:f>
        <x:v>0</x:v>
      </x:c>
      <x:c r="AN5465" t="n">
        <x:v>1</x:v>
      </x:c>
    </x:row>
    <x:row r="5466" ht="23" customHeight="1">
      <x:c r="A5466" s="11" t="str">
        <x:v>688062.SH</x:v>
      </x:c>
      <x:c r="B5466" s="11" t="str">
        <x:v>一年</x:v>
      </x:c>
      <x:c r="C5466" s="11" t="str">
        <x:v>bfv_cervix</x:v>
      </x:c>
      <x:c r="D5466" s="11" t="str">
        <x:v>2042-12-31</x:v>
      </x:c>
      <x:c r="E5466" s="11" t="str">
        <x:v>CNY</x:v>
      </x:c>
      <x:c r="F5466" s="11" t="n">
        <x:v>15.227926078028748</x:v>
      </x:c>
      <x:c r="G5466" s="26" t="b">
        <x:v>1</x:v>
      </x:c>
      <x:c r="H5466" s="16" t="n">
        <x:v>0</x:v>
      </x:c>
      <x:c r="I5466" s="16" t="n">
        <x:v>0</x:v>
      </x:c>
      <x:c r="J5466" s="16" t="n">
        <x:v>0</x:v>
      </x:c>
      <x:c r="K5466" s="11" t="n">
        <x:f>CHOOSE('假设'!$B$3,H5466,I5466,J5466)</x:f>
        <x:v>0</x:v>
      </x:c>
      <x:c r="L5466" s="11" t="n">
        <x:f>K5466*'管线假设'!E1171*'管线假设'!F1171*'管线假设'!G1171*IF(E5466="USD",'管线假设'!I1171,1)-AM5466</x:f>
        <x:v>0</x:v>
      </x:c>
      <x:c r="M5466" s="11" t="n">
        <x:f>'管线假设'!H1171</x:f>
        <x:v>0.14</x:v>
      </x:c>
      <x:c r="N5466" s="11" t="n">
        <x:f>IF(G5466,L5466*AN5466/(1+M5466)^F5466,0)</x:f>
        <x:v>0</x:v>
      </x:c>
      <x:c r="AJ5466" t="n">
        <x:v>0</x:v>
      </x:c>
      <x:c r="AK5466" t="n">
        <x:v>0</x:v>
      </x:c>
      <x:c r="AL5466" t="n">
        <x:v>0</x:v>
      </x:c>
      <x:c r="AM5466" t="n">
        <x:f>CHOOSE('假设'!$B$3,AJ5466,AK5466,AL5466)</x:f>
        <x:v>0</x:v>
      </x:c>
      <x:c r="AN5466" t="n">
        <x:v>1</x:v>
      </x:c>
    </x:row>
    <x:row r="5467" ht="23" customHeight="1">
      <x:c r="A5467" s="11" t="str">
        <x:v>688062.SH</x:v>
      </x:c>
      <x:c r="B5467" s="11" t="str">
        <x:v>一年</x:v>
      </x:c>
      <x:c r="C5467" s="11" t="str">
        <x:v>bfv_cervix</x:v>
      </x:c>
      <x:c r="D5467" s="11" t="str">
        <x:v>2043-12-31</x:v>
      </x:c>
      <x:c r="E5467" s="11" t="str">
        <x:v>CNY</x:v>
      </x:c>
      <x:c r="F5467" s="11" t="n">
        <x:v>16.227241615331966</x:v>
      </x:c>
      <x:c r="G5467" s="26" t="b">
        <x:v>1</x:v>
      </x:c>
      <x:c r="H5467" s="16" t="n">
        <x:v>0</x:v>
      </x:c>
      <x:c r="I5467" s="16" t="n">
        <x:v>0</x:v>
      </x:c>
      <x:c r="J5467" s="16" t="n">
        <x:v>0</x:v>
      </x:c>
      <x:c r="K5467" s="11" t="n">
        <x:f>CHOOSE('假设'!$B$3,H5467,I5467,J5467)</x:f>
        <x:v>0</x:v>
      </x:c>
      <x:c r="L5467" s="11" t="n">
        <x:f>K5467*'管线假设'!E1171*'管线假设'!F1171*'管线假设'!G1171*IF(E5467="USD",'管线假设'!I1171,1)-AM5467</x:f>
        <x:v>0</x:v>
      </x:c>
      <x:c r="M5467" s="11" t="n">
        <x:f>'管线假设'!H1171</x:f>
        <x:v>0.14</x:v>
      </x:c>
      <x:c r="N5467" s="11" t="n">
        <x:f>IF(G5467,L5467*AN5467/(1+M5467)^F5467,0)</x:f>
        <x:v>0</x:v>
      </x:c>
      <x:c r="AJ5467" t="n">
        <x:v>0</x:v>
      </x:c>
      <x:c r="AK5467" t="n">
        <x:v>0</x:v>
      </x:c>
      <x:c r="AL5467" t="n">
        <x:v>0</x:v>
      </x:c>
      <x:c r="AM5467" t="n">
        <x:f>CHOOSE('假设'!$B$3,AJ5467,AK5467,AL5467)</x:f>
        <x:v>0</x:v>
      </x:c>
      <x:c r="AN5467" t="n">
        <x:v>1</x:v>
      </x:c>
    </x:row>
    <x:row r="5468" ht="23" customHeight="1">
      <x:c r="A5468" s="11" t="str">
        <x:v>688062.SH</x:v>
      </x:c>
      <x:c r="B5468" s="11" t="str">
        <x:v>一年</x:v>
      </x:c>
      <x:c r="C5468" s="11" t="str">
        <x:v>bfv_cervix</x:v>
      </x:c>
      <x:c r="D5468" s="11" t="str">
        <x:v>2044-12-31</x:v>
      </x:c>
      <x:c r="E5468" s="11" t="str">
        <x:v>CNY</x:v>
      </x:c>
      <x:c r="F5468" s="11" t="n">
        <x:v>17.229295003422312</x:v>
      </x:c>
      <x:c r="G5468" s="26" t="b">
        <x:v>1</x:v>
      </x:c>
      <x:c r="H5468" s="16" t="n">
        <x:v>0</x:v>
      </x:c>
      <x:c r="I5468" s="16" t="n">
        <x:v>0</x:v>
      </x:c>
      <x:c r="J5468" s="16" t="n">
        <x:v>0</x:v>
      </x:c>
      <x:c r="K5468" s="11" t="n">
        <x:f>CHOOSE('假设'!$B$3,H5468,I5468,J5468)</x:f>
        <x:v>0</x:v>
      </x:c>
      <x:c r="L5468" s="11" t="n">
        <x:f>K5468*'管线假设'!E1171*'管线假设'!F1171*'管线假设'!G1171*IF(E5468="USD",'管线假设'!I1171,1)-AM5468</x:f>
        <x:v>0</x:v>
      </x:c>
      <x:c r="M5468" s="11" t="n">
        <x:f>'管线假设'!H1171</x:f>
        <x:v>0.14</x:v>
      </x:c>
      <x:c r="N5468" s="11" t="n">
        <x:f>IF(G5468,L5468*AN5468/(1+M5468)^F5468,0)</x:f>
        <x:v>0</x:v>
      </x:c>
      <x:c r="AJ5468" t="n">
        <x:v>0</x:v>
      </x:c>
      <x:c r="AK5468" t="n">
        <x:v>0</x:v>
      </x:c>
      <x:c r="AL5468" t="n">
        <x:v>0</x:v>
      </x:c>
      <x:c r="AM5468" t="n">
        <x:f>CHOOSE('假设'!$B$3,AJ5468,AK5468,AL5468)</x:f>
        <x:v>0</x:v>
      </x:c>
      <x:c r="AN5468" t="n">
        <x:v>1</x:v>
      </x:c>
    </x:row>
    <x:row r="5469" ht="23" customHeight="1">
      <x:c r="A5469" s="11" t="str">
        <x:v>688062.SH</x:v>
      </x:c>
      <x:c r="B5469" s="11" t="str">
        <x:v>一年</x:v>
      </x:c>
      <x:c r="C5469" s="11" t="str">
        <x:v>bfv_cervix</x:v>
      </x:c>
      <x:c r="D5469" s="11" t="str">
        <x:v>2045-12-31</x:v>
      </x:c>
      <x:c r="E5469" s="11" t="str">
        <x:v>CNY</x:v>
      </x:c>
      <x:c r="F5469" s="11" t="n">
        <x:v>18.22861054072553</x:v>
      </x:c>
      <x:c r="G5469" s="26" t="b">
        <x:v>1</x:v>
      </x:c>
      <x:c r="H5469" s="16" t="n">
        <x:v>0</x:v>
      </x:c>
      <x:c r="I5469" s="16" t="n">
        <x:v>0</x:v>
      </x:c>
      <x:c r="J5469" s="16" t="n">
        <x:v>0</x:v>
      </x:c>
      <x:c r="K5469" s="11" t="n">
        <x:f>CHOOSE('假设'!$B$3,H5469,I5469,J5469)</x:f>
        <x:v>0</x:v>
      </x:c>
      <x:c r="L5469" s="11" t="n">
        <x:f>K5469*'管线假设'!E1171*'管线假设'!F1171*'管线假设'!G1171*IF(E5469="USD",'管线假设'!I1171,1)-AM5469</x:f>
        <x:v>0</x:v>
      </x:c>
      <x:c r="M5469" s="11" t="n">
        <x:f>'管线假设'!H1171</x:f>
        <x:v>0.14</x:v>
      </x:c>
      <x:c r="N5469" s="11" t="n">
        <x:f>IF(G5469,L5469*AN5469/(1+M5469)^F5469,0)</x:f>
        <x:v>0</x:v>
      </x:c>
      <x:c r="AJ5469" t="n">
        <x:v>0</x:v>
      </x:c>
      <x:c r="AK5469" t="n">
        <x:v>0</x:v>
      </x:c>
      <x:c r="AL5469" t="n">
        <x:v>0</x:v>
      </x:c>
      <x:c r="AM5469" t="n">
        <x:f>CHOOSE('假设'!$B$3,AJ5469,AK5469,AL5469)</x:f>
        <x:v>0</x:v>
      </x:c>
      <x:c r="AN5469" t="n">
        <x:v>1</x:v>
      </x:c>
    </x:row>
    <x:row r="5470" ht="23" customHeight="1">
      <x:c r="A5470" s="11" t="str">
        <x:v>688062.SH</x:v>
      </x:c>
      <x:c r="B5470" s="11" t="str">
        <x:v>一年</x:v>
      </x:c>
      <x:c r="C5470" s="11" t="str">
        <x:v>bfv_tnbc</x:v>
      </x:c>
      <x:c r="D5470" s="11" t="str">
        <x:v>2027-12-31</x:v>
      </x:c>
      <x:c r="E5470" s="11" t="str">
        <x:v>CNY</x:v>
      </x:c>
      <x:c r="F5470" s="11" t="n">
        <x:v>0.2272416153319644</x:v>
      </x:c>
      <x:c r="G5470" s="26" t="b">
        <x:v>1</x:v>
      </x:c>
      <x:c r="H5470" s="16" t="n">
        <x:v>0</x:v>
      </x:c>
      <x:c r="I5470" s="16" t="n">
        <x:v>0</x:v>
      </x:c>
      <x:c r="J5470" s="16" t="n">
        <x:v>0</x:v>
      </x:c>
      <x:c r="K5470" s="11" t="n">
        <x:f>CHOOSE('假设'!$B$3,H5470,I5470,J5470)</x:f>
        <x:v>0</x:v>
      </x:c>
      <x:c r="L5470" s="11" t="n">
        <x:f>K5470*'管线假设'!E1175*'管线假设'!F1175*'管线假设'!G1175*IF(E5470="USD",'管线假设'!I1175,1)-AM5470</x:f>
        <x:v>0</x:v>
      </x:c>
      <x:c r="M5470" s="11" t="n">
        <x:f>'管线假设'!H1175</x:f>
        <x:v>0.14</x:v>
      </x:c>
      <x:c r="N5470" s="11" t="n">
        <x:f>IF(G5470,L5470*AN5470/(1+M5470)^F5470,0)</x:f>
        <x:v>0</x:v>
      </x:c>
      <x:c r="AJ5470" t="n">
        <x:v>0</x:v>
      </x:c>
      <x:c r="AK5470" t="n">
        <x:v>0</x:v>
      </x:c>
      <x:c r="AL5470" t="n">
        <x:v>0</x:v>
      </x:c>
      <x:c r="AM5470" t="n">
        <x:f>CHOOSE('假设'!$B$3,AJ5470,AK5470,AL5470)</x:f>
        <x:v>0</x:v>
      </x:c>
      <x:c r="AN5470" t="n">
        <x:v>1</x:v>
      </x:c>
    </x:row>
    <x:row r="5471" ht="23" customHeight="1">
      <x:c r="A5471" s="11" t="str">
        <x:v>688062.SH</x:v>
      </x:c>
      <x:c r="B5471" s="11" t="str">
        <x:v>一年</x:v>
      </x:c>
      <x:c r="C5471" s="11" t="str">
        <x:v>bfv_tnbc</x:v>
      </x:c>
      <x:c r="D5471" s="11" t="str">
        <x:v>2028-12-31</x:v>
      </x:c>
      <x:c r="E5471" s="11" t="str">
        <x:v>CNY</x:v>
      </x:c>
      <x:c r="F5471" s="11" t="n">
        <x:v>1.2292950034223136</x:v>
      </x:c>
      <x:c r="G5471" s="26" t="b">
        <x:v>1</x:v>
      </x:c>
      <x:c r="H5471" s="16" t="n">
        <x:v>0</x:v>
      </x:c>
      <x:c r="I5471" s="16" t="n">
        <x:v>0</x:v>
      </x:c>
      <x:c r="J5471" s="16" t="n">
        <x:v>0</x:v>
      </x:c>
      <x:c r="K5471" s="11" t="n">
        <x:f>CHOOSE('假设'!$B$3,H5471,I5471,J5471)</x:f>
        <x:v>0</x:v>
      </x:c>
      <x:c r="L5471" s="11" t="n">
        <x:f>K5471*'管线假设'!E1175*'管线假设'!F1175*'管线假设'!G1175*IF(E5471="USD",'管线假设'!I1175,1)-AM5471</x:f>
        <x:v>0</x:v>
      </x:c>
      <x:c r="M5471" s="11" t="n">
        <x:f>'管线假设'!H1175</x:f>
        <x:v>0.14</x:v>
      </x:c>
      <x:c r="N5471" s="11" t="n">
        <x:f>IF(G5471,L5471*AN5471/(1+M5471)^F5471,0)</x:f>
        <x:v>0</x:v>
      </x:c>
      <x:c r="AJ5471" t="n">
        <x:v>0</x:v>
      </x:c>
      <x:c r="AK5471" t="n">
        <x:v>0</x:v>
      </x:c>
      <x:c r="AL5471" t="n">
        <x:v>0</x:v>
      </x:c>
      <x:c r="AM5471" t="n">
        <x:f>CHOOSE('假设'!$B$3,AJ5471,AK5471,AL5471)</x:f>
        <x:v>0</x:v>
      </x:c>
      <x:c r="AN5471" t="n">
        <x:v>1</x:v>
      </x:c>
    </x:row>
    <x:row r="5472" ht="23" customHeight="1">
      <x:c r="A5472" s="11" t="str">
        <x:v>688062.SH</x:v>
      </x:c>
      <x:c r="B5472" s="11" t="str">
        <x:v>一年</x:v>
      </x:c>
      <x:c r="C5472" s="11" t="str">
        <x:v>bfv_tnbc</x:v>
      </x:c>
      <x:c r="D5472" s="11" t="str">
        <x:v>2029-12-31</x:v>
      </x:c>
      <x:c r="E5472" s="11" t="str">
        <x:v>CNY</x:v>
      </x:c>
      <x:c r="F5472" s="11" t="n">
        <x:v>2.2286105407255303</x:v>
      </x:c>
      <x:c r="G5472" s="26" t="b">
        <x:v>1</x:v>
      </x:c>
      <x:c r="H5472" s="16" t="n">
        <x:v>0</x:v>
      </x:c>
      <x:c r="I5472" s="16" t="n">
        <x:v>0</x:v>
      </x:c>
      <x:c r="J5472" s="16" t="n">
        <x:v>0.6000000000000001</x:v>
      </x:c>
      <x:c r="K5472" s="11" t="n">
        <x:f>CHOOSE('假设'!$B$3,H5472,I5472,J5472)</x:f>
        <x:v>0</x:v>
      </x:c>
      <x:c r="L5472" s="11" t="n">
        <x:f>K5472*'管线假设'!E1175*'管线假设'!F1175*'管线假设'!G1175*IF(E5472="USD",'管线假设'!I1175,1)-AM5472</x:f>
        <x:v>0</x:v>
      </x:c>
      <x:c r="M5472" s="11" t="n">
        <x:f>'管线假设'!H1175</x:f>
        <x:v>0.14</x:v>
      </x:c>
      <x:c r="N5472" s="11" t="n">
        <x:f>IF(G5472,L5472*AN5472/(1+M5472)^F5472,0)</x:f>
        <x:v>0</x:v>
      </x:c>
      <x:c r="AJ5472" t="n">
        <x:v>0</x:v>
      </x:c>
      <x:c r="AK5472" t="n">
        <x:v>0</x:v>
      </x:c>
      <x:c r="AL5472" t="n">
        <x:v>0</x:v>
      </x:c>
      <x:c r="AM5472" t="n">
        <x:f>CHOOSE('假设'!$B$3,AJ5472,AK5472,AL5472)</x:f>
        <x:v>0</x:v>
      </x:c>
      <x:c r="AN5472" t="n">
        <x:v>1</x:v>
      </x:c>
    </x:row>
    <x:row r="5473" ht="23" customHeight="1">
      <x:c r="A5473" s="11" t="str">
        <x:v>688062.SH</x:v>
      </x:c>
      <x:c r="B5473" s="11" t="str">
        <x:v>一年</x:v>
      </x:c>
      <x:c r="C5473" s="11" t="str">
        <x:v>bfv_tnbc</x:v>
      </x:c>
      <x:c r="D5473" s="11" t="str">
        <x:v>2030-12-31</x:v>
      </x:c>
      <x:c r="E5473" s="11" t="str">
        <x:v>CNY</x:v>
      </x:c>
      <x:c r="F5473" s="11" t="n">
        <x:v>3.2279260780287475</x:v>
      </x:c>
      <x:c r="G5473" s="26" t="b">
        <x:v>1</x:v>
      </x:c>
      <x:c r="H5473" s="16" t="n">
        <x:v>0</x:v>
      </x:c>
      <x:c r="I5473" s="16" t="n">
        <x:v>0.25</x:v>
      </x:c>
      <x:c r="J5473" s="16" t="n">
        <x:v>1.2000000000000002</x:v>
      </x:c>
      <x:c r="K5473" s="11" t="n">
        <x:f>CHOOSE('假设'!$B$3,H5473,I5473,J5473)</x:f>
        <x:v>0.25</x:v>
      </x:c>
      <x:c r="L5473" s="11" t="n">
        <x:f>K5473*'管线假设'!E1175*'管线假设'!F1175*'管线假设'!G1175*IF(E5473="USD",'管线假设'!I1175,1)-AM5473</x:f>
        <x:v>0.025125000000000005</x:v>
      </x:c>
      <x:c r="M5473" s="11" t="n">
        <x:f>'管线假设'!H1175</x:f>
        <x:v>0.14</x:v>
      </x:c>
      <x:c r="N5473" s="11" t="n">
        <x:f>IF(G5473,L5473*AN5473/(1+M5473)^F5473,0)</x:f>
        <x:v>0.01645968110622434</x:v>
      </x:c>
      <x:c r="AJ5473" t="n">
        <x:v>0</x:v>
      </x:c>
      <x:c r="AK5473" t="n">
        <x:v>0</x:v>
      </x:c>
      <x:c r="AL5473" t="n">
        <x:v>0</x:v>
      </x:c>
      <x:c r="AM5473" t="n">
        <x:f>CHOOSE('假设'!$B$3,AJ5473,AK5473,AL5473)</x:f>
        <x:v>0</x:v>
      </x:c>
      <x:c r="AN5473" t="n">
        <x:v>1</x:v>
      </x:c>
    </x:row>
    <x:row r="5474" ht="23" customHeight="1">
      <x:c r="A5474" s="11" t="str">
        <x:v>688062.SH</x:v>
      </x:c>
      <x:c r="B5474" s="11" t="str">
        <x:v>一年</x:v>
      </x:c>
      <x:c r="C5474" s="11" t="str">
        <x:v>bfv_tnbc</x:v>
      </x:c>
      <x:c r="D5474" s="11" t="str">
        <x:v>2031-12-31</x:v>
      </x:c>
      <x:c r="E5474" s="11" t="str">
        <x:v>CNY</x:v>
      </x:c>
      <x:c r="F5474" s="11" t="n">
        <x:v>4.227241615331964</x:v>
      </x:c>
      <x:c r="G5474" s="26" t="b">
        <x:v>1</x:v>
      </x:c>
      <x:c r="H5474" s="16" t="n">
        <x:v>0</x:v>
      </x:c>
      <x:c r="I5474" s="16" t="n">
        <x:v>0.5</x:v>
      </x:c>
      <x:c r="J5474" s="16" t="n">
        <x:v>1.7999999999999998</x:v>
      </x:c>
      <x:c r="K5474" s="11" t="n">
        <x:f>CHOOSE('假设'!$B$3,H5474,I5474,J5474)</x:f>
        <x:v>0.5</x:v>
      </x:c>
      <x:c r="L5474" s="11" t="n">
        <x:f>K5474*'管线假设'!E1175*'管线假设'!F1175*'管线假设'!G1175*IF(E5474="USD",'管线假设'!I1175,1)-AM5474</x:f>
        <x:v>0.05025000000000001</x:v>
      </x:c>
      <x:c r="M5474" s="11" t="n">
        <x:f>'管线假设'!H1175</x:f>
        <x:v>0.14</x:v>
      </x:c>
      <x:c r="N5474" s="11" t="n">
        <x:f>IF(G5474,L5474*AN5474/(1+M5474)^F5474,0)</x:f>
        <x:v>0.02887922340660892</x:v>
      </x:c>
      <x:c r="AJ5474" t="n">
        <x:v>0</x:v>
      </x:c>
      <x:c r="AK5474" t="n">
        <x:v>0</x:v>
      </x:c>
      <x:c r="AL5474" t="n">
        <x:v>0</x:v>
      </x:c>
      <x:c r="AM5474" t="n">
        <x:f>CHOOSE('假设'!$B$3,AJ5474,AK5474,AL5474)</x:f>
        <x:v>0</x:v>
      </x:c>
      <x:c r="AN5474" t="n">
        <x:v>1</x:v>
      </x:c>
    </x:row>
    <x:row r="5475" ht="23" customHeight="1">
      <x:c r="A5475" s="11" t="str">
        <x:v>688062.SH</x:v>
      </x:c>
      <x:c r="B5475" s="11" t="str">
        <x:v>一年</x:v>
      </x:c>
      <x:c r="C5475" s="11" t="str">
        <x:v>bfv_tnbc</x:v>
      </x:c>
      <x:c r="D5475" s="11" t="str">
        <x:v>2032-12-31</x:v>
      </x:c>
      <x:c r="E5475" s="11" t="str">
        <x:v>CNY</x:v>
      </x:c>
      <x:c r="F5475" s="11" t="n">
        <x:v>5.229295003422314</x:v>
      </x:c>
      <x:c r="G5475" s="26" t="b">
        <x:v>1</x:v>
      </x:c>
      <x:c r="H5475" s="16" t="n">
        <x:v>0.11000000000000001</x:v>
      </x:c>
      <x:c r="I5475" s="16" t="n">
        <x:v>0.75</x:v>
      </x:c>
      <x:c r="J5475" s="16" t="n">
        <x:v>2.4000000000000004</x:v>
      </x:c>
      <x:c r="K5475" s="11" t="n">
        <x:f>CHOOSE('假设'!$B$3,H5475,I5475,J5475)</x:f>
        <x:v>0.75</x:v>
      </x:c>
      <x:c r="L5475" s="11" t="n">
        <x:f>K5475*'管线假设'!E1175*'管线假设'!F1175*'管线假设'!G1175*IF(E5475="USD",'管线假设'!I1175,1)-AM5475</x:f>
        <x:v>0.07537500000000003</x:v>
      </x:c>
      <x:c r="M5475" s="11" t="n">
        <x:f>'管线假设'!H1175</x:f>
        <x:v>0.14</x:v>
      </x:c>
      <x:c r="N5475" s="11" t="n">
        <x:f>IF(G5475,L5475*AN5475/(1+M5475)^F5475,0)</x:f>
        <x:v>0.037988755845551926</x:v>
      </x:c>
      <x:c r="AJ5475" t="n">
        <x:v>0</x:v>
      </x:c>
      <x:c r="AK5475" t="n">
        <x:v>0</x:v>
      </x:c>
      <x:c r="AL5475" t="n">
        <x:v>0</x:v>
      </x:c>
      <x:c r="AM5475" t="n">
        <x:f>CHOOSE('假设'!$B$3,AJ5475,AK5475,AL5475)</x:f>
        <x:v>0</x:v>
      </x:c>
      <x:c r="AN5475" t="n">
        <x:v>1</x:v>
      </x:c>
    </x:row>
    <x:row r="5476" ht="23" customHeight="1">
      <x:c r="A5476" s="11" t="str">
        <x:v>688062.SH</x:v>
      </x:c>
      <x:c r="B5476" s="11" t="str">
        <x:v>一年</x:v>
      </x:c>
      <x:c r="C5476" s="11" t="str">
        <x:v>bfv_tnbc</x:v>
      </x:c>
      <x:c r="D5476" s="11" t="str">
        <x:v>2033-12-31</x:v>
      </x:c>
      <x:c r="E5476" s="11" t="str">
        <x:v>CNY</x:v>
      </x:c>
      <x:c r="F5476" s="11" t="n">
        <x:v>6.228610540725531</x:v>
      </x:c>
      <x:c r="G5476" s="26" t="b">
        <x:v>1</x:v>
      </x:c>
      <x:c r="H5476" s="16" t="n">
        <x:v>0.22000000000000003</x:v>
      </x:c>
      <x:c r="I5476" s="16" t="n">
        <x:v>1</x:v>
      </x:c>
      <x:c r="J5476" s="16" t="n">
        <x:v>3</x:v>
      </x:c>
      <x:c r="K5476" s="11" t="n">
        <x:f>CHOOSE('假设'!$B$3,H5476,I5476,J5476)</x:f>
        <x:v>1</x:v>
      </x:c>
      <x:c r="L5476" s="11" t="n">
        <x:f>K5476*'管线假设'!E1175*'管线假设'!F1175*'管线假设'!G1175*IF(E5476="USD",'管线假设'!I1175,1)-AM5476</x:f>
        <x:v>0.10050000000000002</x:v>
      </x:c>
      <x:c r="M5476" s="11" t="n">
        <x:f>'管线假设'!H1175</x:f>
        <x:v>0.14</x:v>
      </x:c>
      <x:c r="N5476" s="11" t="n">
        <x:f>IF(G5476,L5476*AN5476/(1+M5476)^F5476,0)</x:f>
        <x:v>0.04443527833954386</x:v>
      </x:c>
      <x:c r="AJ5476" t="n">
        <x:v>0</x:v>
      </x:c>
      <x:c r="AK5476" t="n">
        <x:v>0</x:v>
      </x:c>
      <x:c r="AL5476" t="n">
        <x:v>0</x:v>
      </x:c>
      <x:c r="AM5476" t="n">
        <x:f>CHOOSE('假设'!$B$3,AJ5476,AK5476,AL5476)</x:f>
        <x:v>0</x:v>
      </x:c>
      <x:c r="AN5476" t="n">
        <x:v>1</x:v>
      </x:c>
    </x:row>
    <x:row r="5477" ht="23" customHeight="1">
      <x:c r="A5477" s="11" t="str">
        <x:v>688062.SH</x:v>
      </x:c>
      <x:c r="B5477" s="11" t="str">
        <x:v>一年</x:v>
      </x:c>
      <x:c r="C5477" s="11" t="str">
        <x:v>bfv_tnbc</x:v>
      </x:c>
      <x:c r="D5477" s="11" t="str">
        <x:v>2034-12-31</x:v>
      </x:c>
      <x:c r="E5477" s="11" t="str">
        <x:v>CNY</x:v>
      </x:c>
      <x:c r="F5477" s="11" t="n">
        <x:v>7.227926078028747</x:v>
      </x:c>
      <x:c r="G5477" s="26" t="b">
        <x:v>1</x:v>
      </x:c>
      <x:c r="H5477" s="16" t="n">
        <x:v>0.33</x:v>
      </x:c>
      <x:c r="I5477" s="16" t="n">
        <x:v>1.25</x:v>
      </x:c>
      <x:c r="J5477" s="16" t="n">
        <x:v>2.61</x:v>
      </x:c>
      <x:c r="K5477" s="11" t="n">
        <x:f>CHOOSE('假设'!$B$3,H5477,I5477,J5477)</x:f>
        <x:v>1.25</x:v>
      </x:c>
      <x:c r="L5477" s="11" t="n">
        <x:f>K5477*'管线假设'!E1175*'管线假设'!F1175*'管线假设'!G1175*IF(E5477="USD",'管线假设'!I1175,1)-AM5477</x:f>
        <x:v>0.12562500000000001</x:v>
      </x:c>
      <x:c r="M5477" s="11" t="n">
        <x:f>'管线假设'!H1175</x:f>
        <x:v>0.14</x:v>
      </x:c>
      <x:c r="N5477" s="11" t="n">
        <x:f>IF(G5477,L5477*AN5477/(1+M5477)^F5477,0)</x:f>
        <x:v>0.04872726277399086</x:v>
      </x:c>
      <x:c r="AJ5477" t="n">
        <x:v>0</x:v>
      </x:c>
      <x:c r="AK5477" t="n">
        <x:v>0</x:v>
      </x:c>
      <x:c r="AL5477" t="n">
        <x:v>0</x:v>
      </x:c>
      <x:c r="AM5477" t="n">
        <x:f>CHOOSE('假设'!$B$3,AJ5477,AK5477,AL5477)</x:f>
        <x:v>0</x:v>
      </x:c>
      <x:c r="AN5477" t="n">
        <x:v>1</x:v>
      </x:c>
    </x:row>
    <x:row r="5478" ht="23" customHeight="1">
      <x:c r="A5478" s="11" t="str">
        <x:v>688062.SH</x:v>
      </x:c>
      <x:c r="B5478" s="11" t="str">
        <x:v>一年</x:v>
      </x:c>
      <x:c r="C5478" s="11" t="str">
        <x:v>bfv_tnbc</x:v>
      </x:c>
      <x:c r="D5478" s="11" t="str">
        <x:v>2035-12-31</x:v>
      </x:c>
      <x:c r="E5478" s="11" t="str">
        <x:v>CNY</x:v>
      </x:c>
      <x:c r="F5478" s="11" t="n">
        <x:v>8.227241615331964</x:v>
      </x:c>
      <x:c r="G5478" s="26" t="b">
        <x:v>1</x:v>
      </x:c>
      <x:c r="H5478" s="16" t="n">
        <x:v>0.44000000000000006</x:v>
      </x:c>
      <x:c r="I5478" s="16" t="n">
        <x:v>1.5</x:v>
      </x:c>
      <x:c r="J5478" s="16" t="n">
        <x:v>2.2199999999999998</x:v>
      </x:c>
      <x:c r="K5478" s="11" t="n">
        <x:f>CHOOSE('假设'!$B$3,H5478,I5478,J5478)</x:f>
        <x:v>1.5</x:v>
      </x:c>
      <x:c r="L5478" s="11" t="n">
        <x:f>K5478*'管线假设'!E1175*'管线假设'!F1175*'管线假设'!G1175*IF(E5478="USD",'管线假设'!I1175,1)-AM5478</x:f>
        <x:v>0.15075000000000005</x:v>
      </x:c>
      <x:c r="M5478" s="11" t="n">
        <x:f>'管线假设'!H1175</x:f>
        <x:v>0.14</x:v>
      </x:c>
      <x:c r="N5478" s="11" t="n">
        <x:f>IF(G5478,L5478*AN5478/(1+M5478)^F5478,0)</x:f>
        <x:v>0.05129645581446204</x:v>
      </x:c>
      <x:c r="AJ5478" t="n">
        <x:v>0</x:v>
      </x:c>
      <x:c r="AK5478" t="n">
        <x:v>0</x:v>
      </x:c>
      <x:c r="AL5478" t="n">
        <x:v>0</x:v>
      </x:c>
      <x:c r="AM5478" t="n">
        <x:f>CHOOSE('假设'!$B$3,AJ5478,AK5478,AL5478)</x:f>
        <x:v>0</x:v>
      </x:c>
      <x:c r="AN5478" t="n">
        <x:v>1</x:v>
      </x:c>
    </x:row>
    <x:row r="5479" ht="23" customHeight="1">
      <x:c r="A5479" s="11" t="str">
        <x:v>688062.SH</x:v>
      </x:c>
      <x:c r="B5479" s="11" t="str">
        <x:v>一年</x:v>
      </x:c>
      <x:c r="C5479" s="11" t="str">
        <x:v>bfv_tnbc</x:v>
      </x:c>
      <x:c r="D5479" s="11" t="str">
        <x:v>2036-12-31</x:v>
      </x:c>
      <x:c r="E5479" s="11" t="str">
        <x:v>CNY</x:v>
      </x:c>
      <x:c r="F5479" s="11" t="n">
        <x:v>9.229295003422314</x:v>
      </x:c>
      <x:c r="G5479" s="26" t="b">
        <x:v>1</x:v>
      </x:c>
      <x:c r="H5479" s="16" t="n">
        <x:v>0.55</x:v>
      </x:c>
      <x:c r="I5479" s="16" t="n">
        <x:v>1.305</x:v>
      </x:c>
      <x:c r="J5479" s="16" t="n">
        <x:v>1.83</x:v>
      </x:c>
      <x:c r="K5479" s="11" t="n">
        <x:f>CHOOSE('假设'!$B$3,H5479,I5479,J5479)</x:f>
        <x:v>1.305</x:v>
      </x:c>
      <x:c r="L5479" s="11" t="n">
        <x:f>K5479*'管线假设'!E1175*'管线假设'!F1175*'管线假设'!G1175*IF(E5479="USD",'管线假设'!I1175,1)-AM5479</x:f>
        <x:v>0.13115250000000003</x:v>
      </x:c>
      <x:c r="M5479" s="11" t="n">
        <x:f>'管线假设'!H1175</x:f>
        <x:v>0.14</x:v>
      </x:c>
      <x:c r="N5479" s="11" t="n">
        <x:f>IF(G5479,L5479*AN5479/(1+M5479)^F5479,0)</x:f>
        <x:v>0.03913676399049005</x:v>
      </x:c>
      <x:c r="AJ5479" t="n">
        <x:v>0</x:v>
      </x:c>
      <x:c r="AK5479" t="n">
        <x:v>0</x:v>
      </x:c>
      <x:c r="AL5479" t="n">
        <x:v>0</x:v>
      </x:c>
      <x:c r="AM5479" t="n">
        <x:f>CHOOSE('假设'!$B$3,AJ5479,AK5479,AL5479)</x:f>
        <x:v>0</x:v>
      </x:c>
      <x:c r="AN5479" t="n">
        <x:v>1</x:v>
      </x:c>
    </x:row>
    <x:row r="5480" ht="23" customHeight="1">
      <x:c r="A5480" s="11" t="str">
        <x:v>688062.SH</x:v>
      </x:c>
      <x:c r="B5480" s="11" t="str">
        <x:v>一年</x:v>
      </x:c>
      <x:c r="C5480" s="11" t="str">
        <x:v>bfv_tnbc</x:v>
      </x:c>
      <x:c r="D5480" s="11" t="str">
        <x:v>2037-12-31</x:v>
      </x:c>
      <x:c r="E5480" s="11" t="str">
        <x:v>CNY</x:v>
      </x:c>
      <x:c r="F5480" s="11" t="n">
        <x:v>10.22861054072553</x:v>
      </x:c>
      <x:c r="G5480" s="26" t="b">
        <x:v>1</x:v>
      </x:c>
      <x:c r="H5480" s="16" t="n">
        <x:v>0.47850000000000004</x:v>
      </x:c>
      <x:c r="I5480" s="16" t="n">
        <x:v>1.1099999999999999</x:v>
      </x:c>
      <x:c r="J5480" s="16" t="n">
        <x:v>1.44</x:v>
      </x:c>
      <x:c r="K5480" s="11" t="n">
        <x:f>CHOOSE('假设'!$B$3,H5480,I5480,J5480)</x:f>
        <x:v>1.1099999999999999</x:v>
      </x:c>
      <x:c r="L5480" s="11" t="n">
        <x:f>K5480*'管线假设'!E1175*'管线假设'!F1175*'管线假设'!G1175*IF(E5480="USD",'管线假设'!I1175,1)-AM5480</x:f>
        <x:v>0.11155500000000002</x:v>
      </x:c>
      <x:c r="M5480" s="11" t="n">
        <x:f>'管线假设'!H1175</x:f>
        <x:v>0.14</x:v>
      </x:c>
      <x:c r="N5480" s="11" t="n">
        <x:f>IF(G5480,L5480*AN5480/(1+M5480)^F5480,0)</x:f>
        <x:v>0.02920326963597156</x:v>
      </x:c>
      <x:c r="AJ5480" t="n">
        <x:v>0</x:v>
      </x:c>
      <x:c r="AK5480" t="n">
        <x:v>0</x:v>
      </x:c>
      <x:c r="AL5480" t="n">
        <x:v>0</x:v>
      </x:c>
      <x:c r="AM5480" t="n">
        <x:f>CHOOSE('假设'!$B$3,AJ5480,AK5480,AL5480)</x:f>
        <x:v>0</x:v>
      </x:c>
      <x:c r="AN5480" t="n">
        <x:v>1</x:v>
      </x:c>
    </x:row>
    <x:row r="5481" ht="23" customHeight="1">
      <x:c r="A5481" s="11" t="str">
        <x:v>688062.SH</x:v>
      </x:c>
      <x:c r="B5481" s="11" t="str">
        <x:v>一年</x:v>
      </x:c>
      <x:c r="C5481" s="11" t="str">
        <x:v>bfv_tnbc</x:v>
      </x:c>
      <x:c r="D5481" s="11" t="str">
        <x:v>2038-12-31</x:v>
      </x:c>
      <x:c r="E5481" s="11" t="str">
        <x:v>CNY</x:v>
      </x:c>
      <x:c r="F5481" s="11" t="n">
        <x:v>11.227926078028748</x:v>
      </x:c>
      <x:c r="G5481" s="26" t="b">
        <x:v>1</x:v>
      </x:c>
      <x:c r="H5481" s="16" t="n">
        <x:v>0.40700000000000003</x:v>
      </x:c>
      <x:c r="I5481" s="16" t="n">
        <x:v>0.915</x:v>
      </x:c>
      <x:c r="J5481" s="16" t="n">
        <x:v>1.0499999999999998</x:v>
      </x:c>
      <x:c r="K5481" s="11" t="n">
        <x:f>CHOOSE('假设'!$B$3,H5481,I5481,J5481)</x:f>
        <x:v>0.915</x:v>
      </x:c>
      <x:c r="L5481" s="11" t="n">
        <x:f>K5481*'管线假设'!E1175*'管线假设'!F1175*'管线假设'!G1175*IF(E5481="USD",'管线假设'!I1175,1)-AM5481</x:f>
        <x:v>0.09195750000000003</x:v>
      </x:c>
      <x:c r="M5481" s="11" t="n">
        <x:f>'管线假设'!H1175</x:f>
        <x:v>0.14</x:v>
      </x:c>
      <x:c r="N5481" s="11" t="n">
        <x:f>IF(G5481,L5481*AN5481/(1+M5481)^F5481,0)</x:f>
        <x:v>0.021118530321379097</x:v>
      </x:c>
      <x:c r="AJ5481" t="n">
        <x:v>0</x:v>
      </x:c>
      <x:c r="AK5481" t="n">
        <x:v>0</x:v>
      </x:c>
      <x:c r="AL5481" t="n">
        <x:v>0</x:v>
      </x:c>
      <x:c r="AM5481" t="n">
        <x:f>CHOOSE('假设'!$B$3,AJ5481,AK5481,AL5481)</x:f>
        <x:v>0</x:v>
      </x:c>
      <x:c r="AN5481" t="n">
        <x:v>1</x:v>
      </x:c>
    </x:row>
    <x:row r="5482" ht="23" customHeight="1">
      <x:c r="A5482" s="11" t="str">
        <x:v>688062.SH</x:v>
      </x:c>
      <x:c r="B5482" s="11" t="str">
        <x:v>一年</x:v>
      </x:c>
      <x:c r="C5482" s="11" t="str">
        <x:v>bfv_tnbc</x:v>
      </x:c>
      <x:c r="D5482" s="11" t="str">
        <x:v>2039-12-31</x:v>
      </x:c>
      <x:c r="E5482" s="11" t="str">
        <x:v>CNY</x:v>
      </x:c>
      <x:c r="F5482" s="11" t="n">
        <x:v>12.227241615331964</x:v>
      </x:c>
      <x:c r="G5482" s="26" t="b">
        <x:v>1</x:v>
      </x:c>
      <x:c r="H5482" s="16" t="n">
        <x:v>0.3355</x:v>
      </x:c>
      <x:c r="I5482" s="16" t="n">
        <x:v>0.72</x:v>
      </x:c>
      <x:c r="J5482" s="16" t="n">
        <x:v>0.6599999999999999</x:v>
      </x:c>
      <x:c r="K5482" s="11" t="n">
        <x:f>CHOOSE('假设'!$B$3,H5482,I5482,J5482)</x:f>
        <x:v>0.72</x:v>
      </x:c>
      <x:c r="L5482" s="11" t="n">
        <x:f>K5482*'管线假设'!E1175*'管线假设'!F1175*'管线假设'!G1175*IF(E5482="USD",'管线假设'!I1175,1)-AM5482</x:f>
        <x:v>0.07236000000000001</x:v>
      </x:c>
      <x:c r="M5482" s="11" t="n">
        <x:f>'管线假设'!H1175</x:f>
        <x:v>0.14</x:v>
      </x:c>
      <x:c r="N5482" s="11" t="n">
        <x:f>IF(G5482,L5482*AN5482/(1+M5482)^F5482,0)</x:f>
        <x:v>0.014578377497632486</x:v>
      </x:c>
      <x:c r="AJ5482" t="n">
        <x:v>0</x:v>
      </x:c>
      <x:c r="AK5482" t="n">
        <x:v>0</x:v>
      </x:c>
      <x:c r="AL5482" t="n">
        <x:v>0</x:v>
      </x:c>
      <x:c r="AM5482" t="n">
        <x:f>CHOOSE('假设'!$B$3,AJ5482,AK5482,AL5482)</x:f>
        <x:v>0</x:v>
      </x:c>
      <x:c r="AN5482" t="n">
        <x:v>1</x:v>
      </x:c>
    </x:row>
    <x:row r="5483" ht="23" customHeight="1">
      <x:c r="A5483" s="11" t="str">
        <x:v>688062.SH</x:v>
      </x:c>
      <x:c r="B5483" s="11" t="str">
        <x:v>一年</x:v>
      </x:c>
      <x:c r="C5483" s="11" t="str">
        <x:v>bfv_tnbc</x:v>
      </x:c>
      <x:c r="D5483" s="11" t="str">
        <x:v>2040-12-31</x:v>
      </x:c>
      <x:c r="E5483" s="11" t="str">
        <x:v>CNY</x:v>
      </x:c>
      <x:c r="F5483" s="11" t="n">
        <x:v>13.229295003422314</x:v>
      </x:c>
      <x:c r="G5483" s="26" t="b">
        <x:v>1</x:v>
      </x:c>
      <x:c r="H5483" s="16" t="n">
        <x:v>0.264</x:v>
      </x:c>
      <x:c r="I5483" s="16" t="n">
        <x:v>0.5249999999999999</x:v>
      </x:c>
      <x:c r="J5483" s="16" t="n">
        <x:v>0.2699999999999999</x:v>
      </x:c>
      <x:c r="K5483" s="11" t="n">
        <x:f>CHOOSE('假设'!$B$3,H5483,I5483,J5483)</x:f>
        <x:v>0.5249999999999999</x:v>
      </x:c>
      <x:c r="L5483" s="11" t="n">
        <x:f>K5483*'管线假设'!E1175*'管线假设'!F1175*'管线假设'!G1175*IF(E5483="USD",'管线假设'!I1175,1)-AM5483</x:f>
        <x:v>0.0527625</x:v>
      </x:c>
      <x:c r="M5483" s="11" t="n">
        <x:f>'管线假设'!H1175</x:f>
        <x:v>0.14</x:v>
      </x:c>
      <x:c r="N5483" s="11" t="n">
        <x:f>IF(G5483,L5483*AN5483/(1+M5483)^F5483,0)</x:f>
        <x:v>0.009322111640921088</x:v>
      </x:c>
      <x:c r="AJ5483" t="n">
        <x:v>0</x:v>
      </x:c>
      <x:c r="AK5483" t="n">
        <x:v>0</x:v>
      </x:c>
      <x:c r="AL5483" t="n">
        <x:v>0</x:v>
      </x:c>
      <x:c r="AM5483" t="n">
        <x:f>CHOOSE('假设'!$B$3,AJ5483,AK5483,AL5483)</x:f>
        <x:v>0</x:v>
      </x:c>
      <x:c r="AN5483" t="n">
        <x:v>1</x:v>
      </x:c>
    </x:row>
    <x:row r="5484" ht="23" customHeight="1">
      <x:c r="A5484" s="11" t="str">
        <x:v>688062.SH</x:v>
      </x:c>
      <x:c r="B5484" s="11" t="str">
        <x:v>一年</x:v>
      </x:c>
      <x:c r="C5484" s="11" t="str">
        <x:v>bfv_tnbc</x:v>
      </x:c>
      <x:c r="D5484" s="11" t="str">
        <x:v>2041-12-31</x:v>
      </x:c>
      <x:c r="E5484" s="11" t="str">
        <x:v>CNY</x:v>
      </x:c>
      <x:c r="F5484" s="11" t="n">
        <x:v>14.22861054072553</x:v>
      </x:c>
      <x:c r="G5484" s="26" t="b">
        <x:v>1</x:v>
      </x:c>
      <x:c r="H5484" s="16" t="n">
        <x:v>0.1925</x:v>
      </x:c>
      <x:c r="I5484" s="16" t="n">
        <x:v>0.32999999999999996</x:v>
      </x:c>
      <x:c r="J5484" s="16" t="n">
        <x:v>0</x:v>
      </x:c>
      <x:c r="K5484" s="11" t="n">
        <x:f>CHOOSE('假设'!$B$3,H5484,I5484,J5484)</x:f>
        <x:v>0.32999999999999996</x:v>
      </x:c>
      <x:c r="L5484" s="11" t="n">
        <x:f>K5484*'管线假设'!E1175*'管线假设'!F1175*'管线假设'!G1175*IF(E5484="USD",'管线假设'!I1175,1)-AM5484</x:f>
        <x:v>0.033165</x:v>
      </x:c>
      <x:c r="M5484" s="11" t="n">
        <x:f>'管线假设'!H1175</x:f>
        <x:v>0.14</x:v>
      </x:c>
      <x:c r="N5484" s="11" t="n">
        <x:f>IF(G5484,L5484*AN5484/(1+M5484)^F5484,0)</x:f>
        <x:v>0.005140472428324518</x:v>
      </x:c>
      <x:c r="AJ5484" t="n">
        <x:v>0</x:v>
      </x:c>
      <x:c r="AK5484" t="n">
        <x:v>0</x:v>
      </x:c>
      <x:c r="AL5484" t="n">
        <x:v>0</x:v>
      </x:c>
      <x:c r="AM5484" t="n">
        <x:f>CHOOSE('假设'!$B$3,AJ5484,AK5484,AL5484)</x:f>
        <x:v>0</x:v>
      </x:c>
      <x:c r="AN5484" t="n">
        <x:v>1</x:v>
      </x:c>
    </x:row>
    <x:row r="5485" ht="23" customHeight="1">
      <x:c r="A5485" s="11" t="str">
        <x:v>688062.SH</x:v>
      </x:c>
      <x:c r="B5485" s="11" t="str">
        <x:v>一年</x:v>
      </x:c>
      <x:c r="C5485" s="11" t="str">
        <x:v>bfv_tnbc</x:v>
      </x:c>
      <x:c r="D5485" s="11" t="str">
        <x:v>2042-12-31</x:v>
      </x:c>
      <x:c r="E5485" s="11" t="str">
        <x:v>CNY</x:v>
      </x:c>
      <x:c r="F5485" s="11" t="n">
        <x:v>15.227926078028748</x:v>
      </x:c>
      <x:c r="G5485" s="26" t="b">
        <x:v>1</x:v>
      </x:c>
      <x:c r="H5485" s="16" t="n">
        <x:v>0.121</x:v>
      </x:c>
      <x:c r="I5485" s="16" t="n">
        <x:v>0.13499999999999995</x:v>
      </x:c>
      <x:c r="J5485" s="16" t="n">
        <x:v>0</x:v>
      </x:c>
      <x:c r="K5485" s="11" t="n">
        <x:f>CHOOSE('假设'!$B$3,H5485,I5485,J5485)</x:f>
        <x:v>0.13499999999999995</x:v>
      </x:c>
      <x:c r="L5485" s="11" t="n">
        <x:f>K5485*'管线假设'!E1175*'管线假设'!F1175*'管线假设'!G1175*IF(E5485="USD",'管线假设'!I1175,1)-AM5485</x:f>
        <x:v>0.013567499999999998</x:v>
      </x:c>
      <x:c r="M5485" s="11" t="n">
        <x:f>'管线假设'!H1175</x:f>
        <x:v>0.14</x:v>
      </x:c>
      <x:c r="N5485" s="11" t="n">
        <x:f>IF(G5485,L5485*AN5485/(1+M5485)^F5485,0)</x:f>
        <x:v>0.0018448325838196066</x:v>
      </x:c>
      <x:c r="AJ5485" t="n">
        <x:v>0</x:v>
      </x:c>
      <x:c r="AK5485" t="n">
        <x:v>0</x:v>
      </x:c>
      <x:c r="AL5485" t="n">
        <x:v>0</x:v>
      </x:c>
      <x:c r="AM5485" t="n">
        <x:f>CHOOSE('假设'!$B$3,AJ5485,AK5485,AL5485)</x:f>
        <x:v>0</x:v>
      </x:c>
      <x:c r="AN5485" t="n">
        <x:v>1</x:v>
      </x:c>
    </x:row>
    <x:row r="5486" ht="23" customHeight="1">
      <x:c r="A5486" s="11" t="str">
        <x:v>688062.SH</x:v>
      </x:c>
      <x:c r="B5486" s="11" t="str">
        <x:v>一年</x:v>
      </x:c>
      <x:c r="C5486" s="11" t="str">
        <x:v>bfv_tnbc</x:v>
      </x:c>
      <x:c r="D5486" s="11" t="str">
        <x:v>2043-12-31</x:v>
      </x:c>
      <x:c r="E5486" s="11" t="str">
        <x:v>CNY</x:v>
      </x:c>
      <x:c r="F5486" s="11" t="n">
        <x:v>16.227241615331966</x:v>
      </x:c>
      <x:c r="G5486" s="26" t="b">
        <x:v>1</x:v>
      </x:c>
      <x:c r="H5486" s="16" t="n">
        <x:v>0.04949999999999999</x:v>
      </x:c>
      <x:c r="I5486" s="16" t="n">
        <x:v>0</x:v>
      </x:c>
      <x:c r="J5486" s="16" t="n">
        <x:v>0</x:v>
      </x:c>
      <x:c r="K5486" s="11" t="n">
        <x:f>CHOOSE('假设'!$B$3,H5486,I5486,J5486)</x:f>
        <x:v>0</x:v>
      </x:c>
      <x:c r="L5486" s="11" t="n">
        <x:f>K5486*'管线假设'!E1175*'管线假设'!F1175*'管线假设'!G1175*IF(E5486="USD",'管线假设'!I1175,1)-AM5486</x:f>
        <x:v>0</x:v>
      </x:c>
      <x:c r="M5486" s="11" t="n">
        <x:f>'管线假设'!H1175</x:f>
        <x:v>0.14</x:v>
      </x:c>
      <x:c r="N5486" s="11" t="n">
        <x:f>IF(G5486,L5486*AN5486/(1+M5486)^F5486,0)</x:f>
        <x:v>0</x:v>
      </x:c>
      <x:c r="AJ5486" t="n">
        <x:v>0</x:v>
      </x:c>
      <x:c r="AK5486" t="n">
        <x:v>0</x:v>
      </x:c>
      <x:c r="AL5486" t="n">
        <x:v>0</x:v>
      </x:c>
      <x:c r="AM5486" t="n">
        <x:f>CHOOSE('假设'!$B$3,AJ5486,AK5486,AL5486)</x:f>
        <x:v>0</x:v>
      </x:c>
      <x:c r="AN5486" t="n">
        <x:v>1</x:v>
      </x:c>
    </x:row>
    <x:row r="5487" ht="23" customHeight="1">
      <x:c r="A5487" s="11" t="str">
        <x:v>688062.SH</x:v>
      </x:c>
      <x:c r="B5487" s="11" t="str">
        <x:v>一年</x:v>
      </x:c>
      <x:c r="C5487" s="11" t="str">
        <x:v>bfv_tnbc</x:v>
      </x:c>
      <x:c r="D5487" s="11" t="str">
        <x:v>2044-12-31</x:v>
      </x:c>
      <x:c r="E5487" s="11" t="str">
        <x:v>CNY</x:v>
      </x:c>
      <x:c r="F5487" s="11" t="n">
        <x:v>17.229295003422312</x:v>
      </x:c>
      <x:c r="G5487" s="26" t="b">
        <x:v>1</x:v>
      </x:c>
      <x:c r="H5487" s="16" t="n">
        <x:v>0</x:v>
      </x:c>
      <x:c r="I5487" s="16" t="n">
        <x:v>0</x:v>
      </x:c>
      <x:c r="J5487" s="16" t="n">
        <x:v>0</x:v>
      </x:c>
      <x:c r="K5487" s="11" t="n">
        <x:f>CHOOSE('假设'!$B$3,H5487,I5487,J5487)</x:f>
        <x:v>0</x:v>
      </x:c>
      <x:c r="L5487" s="11" t="n">
        <x:f>K5487*'管线假设'!E1175*'管线假设'!F1175*'管线假设'!G1175*IF(E5487="USD",'管线假设'!I1175,1)-AM5487</x:f>
        <x:v>0</x:v>
      </x:c>
      <x:c r="M5487" s="11" t="n">
        <x:f>'管线假设'!H1175</x:f>
        <x:v>0.14</x:v>
      </x:c>
      <x:c r="N5487" s="11" t="n">
        <x:f>IF(G5487,L5487*AN5487/(1+M5487)^F5487,0)</x:f>
        <x:v>0</x:v>
      </x:c>
      <x:c r="AJ5487" t="n">
        <x:v>0</x:v>
      </x:c>
      <x:c r="AK5487" t="n">
        <x:v>0</x:v>
      </x:c>
      <x:c r="AL5487" t="n">
        <x:v>0</x:v>
      </x:c>
      <x:c r="AM5487" t="n">
        <x:f>CHOOSE('假设'!$B$3,AJ5487,AK5487,AL5487)</x:f>
        <x:v>0</x:v>
      </x:c>
      <x:c r="AN5487" t="n">
        <x:v>1</x:v>
      </x:c>
    </x:row>
    <x:row r="5488" ht="23" customHeight="1">
      <x:c r="A5488" s="11" t="str">
        <x:v>688062.SH</x:v>
      </x:c>
      <x:c r="B5488" s="11" t="str">
        <x:v>一年</x:v>
      </x:c>
      <x:c r="C5488" s="11" t="str">
        <x:v>bfv_tnbc</x:v>
      </x:c>
      <x:c r="D5488" s="11" t="str">
        <x:v>2045-12-31</x:v>
      </x:c>
      <x:c r="E5488" s="11" t="str">
        <x:v>CNY</x:v>
      </x:c>
      <x:c r="F5488" s="11" t="n">
        <x:v>18.22861054072553</x:v>
      </x:c>
      <x:c r="G5488" s="26" t="b">
        <x:v>1</x:v>
      </x:c>
      <x:c r="H5488" s="16" t="n">
        <x:v>0</x:v>
      </x:c>
      <x:c r="I5488" s="16" t="n">
        <x:v>0</x:v>
      </x:c>
      <x:c r="J5488" s="16" t="n">
        <x:v>0</x:v>
      </x:c>
      <x:c r="K5488" s="11" t="n">
        <x:f>CHOOSE('假设'!$B$3,H5488,I5488,J5488)</x:f>
        <x:v>0</x:v>
      </x:c>
      <x:c r="L5488" s="11" t="n">
        <x:f>K5488*'管线假设'!E1175*'管线假设'!F1175*'管线假设'!G1175*IF(E5488="USD",'管线假设'!I1175,1)-AM5488</x:f>
        <x:v>0</x:v>
      </x:c>
      <x:c r="M5488" s="11" t="n">
        <x:f>'管线假设'!H1175</x:f>
        <x:v>0.14</x:v>
      </x:c>
      <x:c r="N5488" s="11" t="n">
        <x:f>IF(G5488,L5488*AN5488/(1+M5488)^F5488,0)</x:f>
        <x:v>0</x:v>
      </x:c>
      <x:c r="AJ5488" t="n">
        <x:v>0</x:v>
      </x:c>
      <x:c r="AK5488" t="n">
        <x:v>0</x:v>
      </x:c>
      <x:c r="AL5488" t="n">
        <x:v>0</x:v>
      </x:c>
      <x:c r="AM5488" t="n">
        <x:f>CHOOSE('假设'!$B$3,AJ5488,AK5488,AL5488)</x:f>
        <x:v>0</x:v>
      </x:c>
      <x:c r="AN5488" t="n">
        <x:v>1</x:v>
      </x:c>
    </x:row>
    <x:row r="5489" ht="23" customHeight="1">
      <x:c r="A5489" s="11" t="str">
        <x:v>688062.SH</x:v>
      </x:c>
      <x:c r="B5489" s="11" t="str">
        <x:v>一年</x:v>
      </x:c>
      <x:c r="C5489" s="11" t="str">
        <x:v>bfv_escc</x:v>
      </x:c>
      <x:c r="D5489" s="11" t="str">
        <x:v>2027-12-31</x:v>
      </x:c>
      <x:c r="E5489" s="11" t="str">
        <x:v>CNY</x:v>
      </x:c>
      <x:c r="F5489" s="11" t="n">
        <x:v>0.2272416153319644</x:v>
      </x:c>
      <x:c r="G5489" s="26" t="b">
        <x:v>1</x:v>
      </x:c>
      <x:c r="H5489" s="16" t="n">
        <x:v>0</x:v>
      </x:c>
      <x:c r="I5489" s="16" t="n">
        <x:v>0</x:v>
      </x:c>
      <x:c r="J5489" s="16" t="n">
        <x:v>0</x:v>
      </x:c>
      <x:c r="K5489" s="11" t="n">
        <x:f>CHOOSE('假设'!$B$3,H5489,I5489,J5489)</x:f>
        <x:v>0</x:v>
      </x:c>
      <x:c r="L5489" s="11" t="n">
        <x:f>K5489*'管线假设'!E1179*'管线假设'!F1179*'管线假设'!G1179*IF(E5489="USD",'管线假设'!I1179,1)-AM5489</x:f>
        <x:v>0</x:v>
      </x:c>
      <x:c r="M5489" s="11" t="n">
        <x:f>'管线假设'!H1179</x:f>
        <x:v>0.14</x:v>
      </x:c>
      <x:c r="N5489" s="11" t="n">
        <x:f>IF(G5489,L5489*AN5489/(1+M5489)^F5489,0)</x:f>
        <x:v>0</x:v>
      </x:c>
      <x:c r="AJ5489" t="n">
        <x:v>0</x:v>
      </x:c>
      <x:c r="AK5489" t="n">
        <x:v>0</x:v>
      </x:c>
      <x:c r="AL5489" t="n">
        <x:v>0</x:v>
      </x:c>
      <x:c r="AM5489" t="n">
        <x:f>CHOOSE('假设'!$B$3,AJ5489,AK5489,AL5489)</x:f>
        <x:v>0</x:v>
      </x:c>
      <x:c r="AN5489" t="n">
        <x:v>1</x:v>
      </x:c>
    </x:row>
    <x:row r="5490" ht="23" customHeight="1">
      <x:c r="A5490" s="11" t="str">
        <x:v>688062.SH</x:v>
      </x:c>
      <x:c r="B5490" s="11" t="str">
        <x:v>一年</x:v>
      </x:c>
      <x:c r="C5490" s="11" t="str">
        <x:v>bfv_escc</x:v>
      </x:c>
      <x:c r="D5490" s="11" t="str">
        <x:v>2028-12-31</x:v>
      </x:c>
      <x:c r="E5490" s="11" t="str">
        <x:v>CNY</x:v>
      </x:c>
      <x:c r="F5490" s="11" t="n">
        <x:v>1.2292950034223136</x:v>
      </x:c>
      <x:c r="G5490" s="26" t="b">
        <x:v>1</x:v>
      </x:c>
      <x:c r="H5490" s="16" t="n">
        <x:v>0</x:v>
      </x:c>
      <x:c r="I5490" s="16" t="n">
        <x:v>0</x:v>
      </x:c>
      <x:c r="J5490" s="16" t="n">
        <x:v>0</x:v>
      </x:c>
      <x:c r="K5490" s="11" t="n">
        <x:f>CHOOSE('假设'!$B$3,H5490,I5490,J5490)</x:f>
        <x:v>0</x:v>
      </x:c>
      <x:c r="L5490" s="11" t="n">
        <x:f>K5490*'管线假设'!E1179*'管线假设'!F1179*'管线假设'!G1179*IF(E5490="USD",'管线假设'!I1179,1)-AM5490</x:f>
        <x:v>0</x:v>
      </x:c>
      <x:c r="M5490" s="11" t="n">
        <x:f>'管线假设'!H1179</x:f>
        <x:v>0.14</x:v>
      </x:c>
      <x:c r="N5490" s="11" t="n">
        <x:f>IF(G5490,L5490*AN5490/(1+M5490)^F5490,0)</x:f>
        <x:v>0</x:v>
      </x:c>
      <x:c r="AJ5490" t="n">
        <x:v>0</x:v>
      </x:c>
      <x:c r="AK5490" t="n">
        <x:v>0</x:v>
      </x:c>
      <x:c r="AL5490" t="n">
        <x:v>0</x:v>
      </x:c>
      <x:c r="AM5490" t="n">
        <x:f>CHOOSE('假设'!$B$3,AJ5490,AK5490,AL5490)</x:f>
        <x:v>0</x:v>
      </x:c>
      <x:c r="AN5490" t="n">
        <x:v>1</x:v>
      </x:c>
    </x:row>
    <x:row r="5491" ht="23" customHeight="1">
      <x:c r="A5491" s="11" t="str">
        <x:v>688062.SH</x:v>
      </x:c>
      <x:c r="B5491" s="11" t="str">
        <x:v>一年</x:v>
      </x:c>
      <x:c r="C5491" s="11" t="str">
        <x:v>bfv_escc</x:v>
      </x:c>
      <x:c r="D5491" s="11" t="str">
        <x:v>2029-12-31</x:v>
      </x:c>
      <x:c r="E5491" s="11" t="str">
        <x:v>CNY</x:v>
      </x:c>
      <x:c r="F5491" s="11" t="n">
        <x:v>2.2286105407255303</x:v>
      </x:c>
      <x:c r="G5491" s="26" t="b">
        <x:v>1</x:v>
      </x:c>
      <x:c r="H5491" s="16" t="n">
        <x:v>0</x:v>
      </x:c>
      <x:c r="I5491" s="16" t="n">
        <x:v>0</x:v>
      </x:c>
      <x:c r="J5491" s="16" t="n">
        <x:v>0.16666666666666666</x:v>
      </x:c>
      <x:c r="K5491" s="11" t="n">
        <x:f>CHOOSE('假设'!$B$3,H5491,I5491,J5491)</x:f>
        <x:v>0</x:v>
      </x:c>
      <x:c r="L5491" s="11" t="n">
        <x:f>K5491*'管线假设'!E1179*'管线假设'!F1179*'管线假设'!G1179*IF(E5491="USD",'管线假设'!I1179,1)-AM5491</x:f>
        <x:v>0</x:v>
      </x:c>
      <x:c r="M5491" s="11" t="n">
        <x:f>'管线假设'!H1179</x:f>
        <x:v>0.14</x:v>
      </x:c>
      <x:c r="N5491" s="11" t="n">
        <x:f>IF(G5491,L5491*AN5491/(1+M5491)^F5491,0)</x:f>
        <x:v>0</x:v>
      </x:c>
      <x:c r="AJ5491" t="n">
        <x:v>0</x:v>
      </x:c>
      <x:c r="AK5491" t="n">
        <x:v>0</x:v>
      </x:c>
      <x:c r="AL5491" t="n">
        <x:v>0</x:v>
      </x:c>
      <x:c r="AM5491" t="n">
        <x:f>CHOOSE('假设'!$B$3,AJ5491,AK5491,AL5491)</x:f>
        <x:v>0</x:v>
      </x:c>
      <x:c r="AN5491" t="n">
        <x:v>1</x:v>
      </x:c>
    </x:row>
    <x:row r="5492" ht="23" customHeight="1">
      <x:c r="A5492" s="11" t="str">
        <x:v>688062.SH</x:v>
      </x:c>
      <x:c r="B5492" s="11" t="str">
        <x:v>一年</x:v>
      </x:c>
      <x:c r="C5492" s="11" t="str">
        <x:v>bfv_escc</x:v>
      </x:c>
      <x:c r="D5492" s="11" t="str">
        <x:v>2030-12-31</x:v>
      </x:c>
      <x:c r="E5492" s="11" t="str">
        <x:v>CNY</x:v>
      </x:c>
      <x:c r="F5492" s="11" t="n">
        <x:v>3.2279260780287475</x:v>
      </x:c>
      <x:c r="G5492" s="26" t="b">
        <x:v>1</x:v>
      </x:c>
      <x:c r="H5492" s="16" t="n">
        <x:v>0</x:v>
      </x:c>
      <x:c r="I5492" s="16" t="n">
        <x:v>0</x:v>
      </x:c>
      <x:c r="J5492" s="16" t="n">
        <x:v>0.3333333333333333</x:v>
      </x:c>
      <x:c r="K5492" s="11" t="n">
        <x:f>CHOOSE('假设'!$B$3,H5492,I5492,J5492)</x:f>
        <x:v>0</x:v>
      </x:c>
      <x:c r="L5492" s="11" t="n">
        <x:f>K5492*'管线假设'!E1179*'管线假设'!F1179*'管线假设'!G1179*IF(E5492="USD",'管线假设'!I1179,1)-AM5492</x:f>
        <x:v>0</x:v>
      </x:c>
      <x:c r="M5492" s="11" t="n">
        <x:f>'管线假设'!H1179</x:f>
        <x:v>0.14</x:v>
      </x:c>
      <x:c r="N5492" s="11" t="n">
        <x:f>IF(G5492,L5492*AN5492/(1+M5492)^F5492,0)</x:f>
        <x:v>0</x:v>
      </x:c>
      <x:c r="AJ5492" t="n">
        <x:v>0</x:v>
      </x:c>
      <x:c r="AK5492" t="n">
        <x:v>0</x:v>
      </x:c>
      <x:c r="AL5492" t="n">
        <x:v>0</x:v>
      </x:c>
      <x:c r="AM5492" t="n">
        <x:f>CHOOSE('假设'!$B$3,AJ5492,AK5492,AL5492)</x:f>
        <x:v>0</x:v>
      </x:c>
      <x:c r="AN5492" t="n">
        <x:v>1</x:v>
      </x:c>
    </x:row>
    <x:row r="5493" ht="23" customHeight="1">
      <x:c r="A5493" s="11" t="str">
        <x:v>688062.SH</x:v>
      </x:c>
      <x:c r="B5493" s="11" t="str">
        <x:v>一年</x:v>
      </x:c>
      <x:c r="C5493" s="11" t="str">
        <x:v>bfv_escc</x:v>
      </x:c>
      <x:c r="D5493" s="11" t="str">
        <x:v>2031-12-31</x:v>
      </x:c>
      <x:c r="E5493" s="11" t="str">
        <x:v>CNY</x:v>
      </x:c>
      <x:c r="F5493" s="11" t="n">
        <x:v>4.227241615331964</x:v>
      </x:c>
      <x:c r="G5493" s="26" t="b">
        <x:v>1</x:v>
      </x:c>
      <x:c r="H5493" s="16" t="n">
        <x:v>0</x:v>
      </x:c>
      <x:c r="I5493" s="16" t="n">
        <x:v>0.1</x:v>
      </x:c>
      <x:c r="J5493" s="16" t="n">
        <x:v>0.5</x:v>
      </x:c>
      <x:c r="K5493" s="11" t="n">
        <x:f>CHOOSE('假设'!$B$3,H5493,I5493,J5493)</x:f>
        <x:v>0.1</x:v>
      </x:c>
      <x:c r="L5493" s="11" t="n">
        <x:f>K5493*'管线假设'!E1179*'管线假设'!F1179*'管线假设'!G1179*IF(E5493="USD",'管线假设'!I1179,1)-AM5493</x:f>
        <x:v>0.006060000000000003</x:v>
      </x:c>
      <x:c r="M5493" s="11" t="n">
        <x:f>'管线假设'!H1179</x:f>
        <x:v>0.14</x:v>
      </x:c>
      <x:c r="N5493" s="11" t="n">
        <x:f>IF(G5493,L5493*AN5493/(1+M5493)^F5493,0)</x:f>
        <x:v>0.003482748136200002</x:v>
      </x:c>
      <x:c r="AJ5493" t="n">
        <x:v>0</x:v>
      </x:c>
      <x:c r="AK5493" t="n">
        <x:v>0</x:v>
      </x:c>
      <x:c r="AL5493" t="n">
        <x:v>0</x:v>
      </x:c>
      <x:c r="AM5493" t="n">
        <x:f>CHOOSE('假设'!$B$3,AJ5493,AK5493,AL5493)</x:f>
        <x:v>0</x:v>
      </x:c>
      <x:c r="AN5493" t="n">
        <x:v>1</x:v>
      </x:c>
    </x:row>
    <x:row r="5494" ht="23" customHeight="1">
      <x:c r="A5494" s="11" t="str">
        <x:v>688062.SH</x:v>
      </x:c>
      <x:c r="B5494" s="11" t="str">
        <x:v>一年</x:v>
      </x:c>
      <x:c r="C5494" s="11" t="str">
        <x:v>bfv_escc</x:v>
      </x:c>
      <x:c r="D5494" s="11" t="str">
        <x:v>2032-12-31</x:v>
      </x:c>
      <x:c r="E5494" s="11" t="str">
        <x:v>CNY</x:v>
      </x:c>
      <x:c r="F5494" s="11" t="n">
        <x:v>5.229295003422314</x:v>
      </x:c>
      <x:c r="G5494" s="26" t="b">
        <x:v>1</x:v>
      </x:c>
      <x:c r="H5494" s="16" t="n">
        <x:v>0</x:v>
      </x:c>
      <x:c r="I5494" s="16" t="n">
        <x:v>0.2</x:v>
      </x:c>
      <x:c r="J5494" s="16" t="n">
        <x:v>0.6666666666666666</x:v>
      </x:c>
      <x:c r="K5494" s="11" t="n">
        <x:f>CHOOSE('假设'!$B$3,H5494,I5494,J5494)</x:f>
        <x:v>0.2</x:v>
      </x:c>
      <x:c r="L5494" s="11" t="n">
        <x:f>K5494*'管线假设'!E1179*'管线假设'!F1179*'管线假设'!G1179*IF(E5494="USD",'管线假设'!I1179,1)-AM5494</x:f>
        <x:v>0.012120000000000006</x:v>
      </x:c>
      <x:c r="M5494" s="11" t="n">
        <x:f>'管线假设'!H1179</x:f>
        <x:v>0.14</x:v>
      </x:c>
      <x:c r="N5494" s="11" t="n">
        <x:f>IF(G5494,L5494*AN5494/(1+M5494)^F5494,0)</x:f>
        <x:v>0.00610844074093651</x:v>
      </x:c>
      <x:c r="AJ5494" t="n">
        <x:v>0</x:v>
      </x:c>
      <x:c r="AK5494" t="n">
        <x:v>0</x:v>
      </x:c>
      <x:c r="AL5494" t="n">
        <x:v>0</x:v>
      </x:c>
      <x:c r="AM5494" t="n">
        <x:f>CHOOSE('假设'!$B$3,AJ5494,AK5494,AL5494)</x:f>
        <x:v>0</x:v>
      </x:c>
      <x:c r="AN5494" t="n">
        <x:v>1</x:v>
      </x:c>
    </x:row>
    <x:row r="5495" ht="23" customHeight="1">
      <x:c r="A5495" s="11" t="str">
        <x:v>688062.SH</x:v>
      </x:c>
      <x:c r="B5495" s="11" t="str">
        <x:v>一年</x:v>
      </x:c>
      <x:c r="C5495" s="11" t="str">
        <x:v>bfv_escc</x:v>
      </x:c>
      <x:c r="D5495" s="11" t="str">
        <x:v>2033-12-31</x:v>
      </x:c>
      <x:c r="E5495" s="11" t="str">
        <x:v>CNY</x:v>
      </x:c>
      <x:c r="F5495" s="11" t="n">
        <x:v>6.228610540725531</x:v>
      </x:c>
      <x:c r="G5495" s="26" t="b">
        <x:v>1</x:v>
      </x:c>
      <x:c r="H5495" s="16" t="n">
        <x:v>0.04000000000000001</x:v>
      </x:c>
      <x:c r="I5495" s="16" t="n">
        <x:v>0.3</x:v>
      </x:c>
      <x:c r="J5495" s="16" t="n">
        <x:v>0.8333333333333334</x:v>
      </x:c>
      <x:c r="K5495" s="11" t="n">
        <x:f>CHOOSE('假设'!$B$3,H5495,I5495,J5495)</x:f>
        <x:v>0.3</x:v>
      </x:c>
      <x:c r="L5495" s="11" t="n">
        <x:f>K5495*'管线假设'!E1179*'管线假设'!F1179*'管线假设'!G1179*IF(E5495="USD",'管线假设'!I1179,1)-AM5495</x:f>
        <x:v>0.018180000000000005</x:v>
      </x:c>
      <x:c r="M5495" s="11" t="n">
        <x:f>'管线假设'!H1179</x:f>
        <x:v>0.14</x:v>
      </x:c>
      <x:c r="N5495" s="11" t="n">
        <x:f>IF(G5495,L5495*AN5495/(1+M5495)^F5495,0)</x:f>
        <x:v>0.008038142887690622</x:v>
      </x:c>
      <x:c r="AJ5495" t="n">
        <x:v>0</x:v>
      </x:c>
      <x:c r="AK5495" t="n">
        <x:v>0</x:v>
      </x:c>
      <x:c r="AL5495" t="n">
        <x:v>0</x:v>
      </x:c>
      <x:c r="AM5495" t="n">
        <x:f>CHOOSE('假设'!$B$3,AJ5495,AK5495,AL5495)</x:f>
        <x:v>0</x:v>
      </x:c>
      <x:c r="AN5495" t="n">
        <x:v>1</x:v>
      </x:c>
    </x:row>
    <x:row r="5496" ht="23" customHeight="1">
      <x:c r="A5496" s="11" t="str">
        <x:v>688062.SH</x:v>
      </x:c>
      <x:c r="B5496" s="11" t="str">
        <x:v>一年</x:v>
      </x:c>
      <x:c r="C5496" s="11" t="str">
        <x:v>bfv_escc</x:v>
      </x:c>
      <x:c r="D5496" s="11" t="str">
        <x:v>2034-12-31</x:v>
      </x:c>
      <x:c r="E5496" s="11" t="str">
        <x:v>CNY</x:v>
      </x:c>
      <x:c r="F5496" s="11" t="n">
        <x:v>7.227926078028747</x:v>
      </x:c>
      <x:c r="G5496" s="26" t="b">
        <x:v>1</x:v>
      </x:c>
      <x:c r="H5496" s="16" t="n">
        <x:v>0.08000000000000002</x:v>
      </x:c>
      <x:c r="I5496" s="16" t="n">
        <x:v>0.4</x:v>
      </x:c>
      <x:c r="J5496" s="16" t="n">
        <x:v>1</x:v>
      </x:c>
      <x:c r="K5496" s="11" t="n">
        <x:f>CHOOSE('假设'!$B$3,H5496,I5496,J5496)</x:f>
        <x:v>0.4</x:v>
      </x:c>
      <x:c r="L5496" s="11" t="n">
        <x:f>K5496*'管线假设'!E1179*'管线假设'!F1179*'管线假设'!G1179*IF(E5496="USD",'管线假设'!I1179,1)-AM5496</x:f>
        <x:v>0.02424000000000001</x:v>
      </x:c>
      <x:c r="M5496" s="11" t="n">
        <x:f>'管线假设'!H1179</x:f>
        <x:v>0.14</x:v>
      </x:c>
      <x:c r="N5496" s="11" t="n">
        <x:f>IF(G5496,L5496*AN5496/(1+M5496)^F5496,0)</x:f>
        <x:v>0.00940217989764409</x:v>
      </x:c>
      <x:c r="AJ5496" t="n">
        <x:v>0</x:v>
      </x:c>
      <x:c r="AK5496" t="n">
        <x:v>0</x:v>
      </x:c>
      <x:c r="AL5496" t="n">
        <x:v>0</x:v>
      </x:c>
      <x:c r="AM5496" t="n">
        <x:f>CHOOSE('假设'!$B$3,AJ5496,AK5496,AL5496)</x:f>
        <x:v>0</x:v>
      </x:c>
      <x:c r="AN5496" t="n">
        <x:v>1</x:v>
      </x:c>
    </x:row>
    <x:row r="5497" ht="23" customHeight="1">
      <x:c r="A5497" s="11" t="str">
        <x:v>688062.SH</x:v>
      </x:c>
      <x:c r="B5497" s="11" t="str">
        <x:v>一年</x:v>
      </x:c>
      <x:c r="C5497" s="11" t="str">
        <x:v>bfv_escc</x:v>
      </x:c>
      <x:c r="D5497" s="11" t="str">
        <x:v>2035-12-31</x:v>
      </x:c>
      <x:c r="E5497" s="11" t="str">
        <x:v>CNY</x:v>
      </x:c>
      <x:c r="F5497" s="11" t="n">
        <x:v>8.227241615331964</x:v>
      </x:c>
      <x:c r="G5497" s="26" t="b">
        <x:v>1</x:v>
      </x:c>
      <x:c r="H5497" s="16" t="n">
        <x:v>0.12</x:v>
      </x:c>
      <x:c r="I5497" s="16" t="n">
        <x:v>0.5</x:v>
      </x:c>
      <x:c r="J5497" s="16" t="n">
        <x:v>0.87</x:v>
      </x:c>
      <x:c r="K5497" s="11" t="n">
        <x:f>CHOOSE('假设'!$B$3,H5497,I5497,J5497)</x:f>
        <x:v>0.5</x:v>
      </x:c>
      <x:c r="L5497" s="11" t="n">
        <x:f>K5497*'管线假设'!E1179*'管线假设'!F1179*'管线假设'!G1179*IF(E5497="USD",'管线假设'!I1179,1)-AM5497</x:f>
        <x:v>0.030300000000000007</x:v>
      </x:c>
      <x:c r="M5497" s="11" t="n">
        <x:f>'管线假设'!H1179</x:f>
        <x:v>0.14</x:v>
      </x:c>
      <x:c r="N5497" s="11" t="n">
        <x:f>IF(G5497,L5497*AN5497/(1+M5497)^F5497,0)</x:f>
        <x:v>0.010310332412459036</x:v>
      </x:c>
      <x:c r="AJ5497" t="n">
        <x:v>0</x:v>
      </x:c>
      <x:c r="AK5497" t="n">
        <x:v>0</x:v>
      </x:c>
      <x:c r="AL5497" t="n">
        <x:v>0</x:v>
      </x:c>
      <x:c r="AM5497" t="n">
        <x:f>CHOOSE('假设'!$B$3,AJ5497,AK5497,AL5497)</x:f>
        <x:v>0</x:v>
      </x:c>
      <x:c r="AN5497" t="n">
        <x:v>1</x:v>
      </x:c>
    </x:row>
    <x:row r="5498" ht="23" customHeight="1">
      <x:c r="A5498" s="11" t="str">
        <x:v>688062.SH</x:v>
      </x:c>
      <x:c r="B5498" s="11" t="str">
        <x:v>一年</x:v>
      </x:c>
      <x:c r="C5498" s="11" t="str">
        <x:v>bfv_escc</x:v>
      </x:c>
      <x:c r="D5498" s="11" t="str">
        <x:v>2036-12-31</x:v>
      </x:c>
      <x:c r="E5498" s="11" t="str">
        <x:v>CNY</x:v>
      </x:c>
      <x:c r="F5498" s="11" t="n">
        <x:v>9.229295003422314</x:v>
      </x:c>
      <x:c r="G5498" s="26" t="b">
        <x:v>1</x:v>
      </x:c>
      <x:c r="H5498" s="16" t="n">
        <x:v>0.16000000000000003</x:v>
      </x:c>
      <x:c r="I5498" s="16" t="n">
        <x:v>0.435</x:v>
      </x:c>
      <x:c r="J5498" s="16" t="n">
        <x:v>0.74</x:v>
      </x:c>
      <x:c r="K5498" s="11" t="n">
        <x:f>CHOOSE('假设'!$B$3,H5498,I5498,J5498)</x:f>
        <x:v>0.435</x:v>
      </x:c>
      <x:c r="L5498" s="11" t="n">
        <x:f>K5498*'管线假设'!E1179*'管线假设'!F1179*'管线假设'!G1179*IF(E5498="USD",'管线假设'!I1179,1)-AM5498</x:f>
        <x:v>0.02636100000000001</x:v>
      </x:c>
      <x:c r="M5498" s="11" t="n">
        <x:f>'管线假设'!H1179</x:f>
        <x:v>0.14</x:v>
      </x:c>
      <x:c r="N5498" s="11" t="n">
        <x:f>IF(G5498,L5498*AN5498/(1+M5498)^F5498,0)</x:f>
        <x:v>0.007866294851819892</x:v>
      </x:c>
      <x:c r="AJ5498" t="n">
        <x:v>0</x:v>
      </x:c>
      <x:c r="AK5498" t="n">
        <x:v>0</x:v>
      </x:c>
      <x:c r="AL5498" t="n">
        <x:v>0</x:v>
      </x:c>
      <x:c r="AM5498" t="n">
        <x:f>CHOOSE('假设'!$B$3,AJ5498,AK5498,AL5498)</x:f>
        <x:v>0</x:v>
      </x:c>
      <x:c r="AN5498" t="n">
        <x:v>1</x:v>
      </x:c>
    </x:row>
    <x:row r="5499" ht="23" customHeight="1">
      <x:c r="A5499" s="11" t="str">
        <x:v>688062.SH</x:v>
      </x:c>
      <x:c r="B5499" s="11" t="str">
        <x:v>一年</x:v>
      </x:c>
      <x:c r="C5499" s="11" t="str">
        <x:v>bfv_escc</x:v>
      </x:c>
      <x:c r="D5499" s="11" t="str">
        <x:v>2037-12-31</x:v>
      </x:c>
      <x:c r="E5499" s="11" t="str">
        <x:v>CNY</x:v>
      </x:c>
      <x:c r="F5499" s="11" t="n">
        <x:v>10.22861054072553</x:v>
      </x:c>
      <x:c r="G5499" s="26" t="b">
        <x:v>1</x:v>
      </x:c>
      <x:c r="H5499" s="16" t="n">
        <x:v>0.2</x:v>
      </x:c>
      <x:c r="I5499" s="16" t="n">
        <x:v>0.37</x:v>
      </x:c>
      <x:c r="J5499" s="16" t="n">
        <x:v>0.61</x:v>
      </x:c>
      <x:c r="K5499" s="11" t="n">
        <x:f>CHOOSE('假设'!$B$3,H5499,I5499,J5499)</x:f>
        <x:v>0.37</x:v>
      </x:c>
      <x:c r="L5499" s="11" t="n">
        <x:f>K5499*'管线假设'!E1179*'管线假设'!F1179*'管线假设'!G1179*IF(E5499="USD",'管线假设'!I1179,1)-AM5499</x:f>
        <x:v>0.022422000000000008</x:v>
      </x:c>
      <x:c r="M5499" s="11" t="n">
        <x:f>'管线假设'!H1179</x:f>
        <x:v>0.14</x:v>
      </x:c>
      <x:c r="N5499" s="11" t="n">
        <x:f>IF(G5499,L5499*AN5499/(1+M5499)^F5499,0)</x:f>
        <x:v>0.005869711906931598</x:v>
      </x:c>
      <x:c r="AJ5499" t="n">
        <x:v>0</x:v>
      </x:c>
      <x:c r="AK5499" t="n">
        <x:v>0</x:v>
      </x:c>
      <x:c r="AL5499" t="n">
        <x:v>0</x:v>
      </x:c>
      <x:c r="AM5499" t="n">
        <x:f>CHOOSE('假设'!$B$3,AJ5499,AK5499,AL5499)</x:f>
        <x:v>0</x:v>
      </x:c>
      <x:c r="AN5499" t="n">
        <x:v>1</x:v>
      </x:c>
    </x:row>
    <x:row r="5500" ht="23" customHeight="1">
      <x:c r="A5500" s="11" t="str">
        <x:v>688062.SH</x:v>
      </x:c>
      <x:c r="B5500" s="11" t="str">
        <x:v>一年</x:v>
      </x:c>
      <x:c r="C5500" s="11" t="str">
        <x:v>bfv_escc</x:v>
      </x:c>
      <x:c r="D5500" s="11" t="str">
        <x:v>2038-12-31</x:v>
      </x:c>
      <x:c r="E5500" s="11" t="str">
        <x:v>CNY</x:v>
      </x:c>
      <x:c r="F5500" s="11" t="n">
        <x:v>11.227926078028748</x:v>
      </x:c>
      <x:c r="G5500" s="26" t="b">
        <x:v>1</x:v>
      </x:c>
      <x:c r="H5500" s="16" t="n">
        <x:v>0.17400000000000002</x:v>
      </x:c>
      <x:c r="I5500" s="16" t="n">
        <x:v>0.305</x:v>
      </x:c>
      <x:c r="J5500" s="16" t="n">
        <x:v>0.48</x:v>
      </x:c>
      <x:c r="K5500" s="11" t="n">
        <x:f>CHOOSE('假设'!$B$3,H5500,I5500,J5500)</x:f>
        <x:v>0.305</x:v>
      </x:c>
      <x:c r="L5500" s="11" t="n">
        <x:f>K5500*'管线假设'!E1179*'管线假设'!F1179*'管线假设'!G1179*IF(E5500="USD",'管线假设'!I1179,1)-AM5500</x:f>
        <x:v>0.018483000000000006</x:v>
      </x:c>
      <x:c r="M5500" s="11" t="n">
        <x:f>'管线假设'!H1179</x:f>
        <x:v>0.14</x:v>
      </x:c>
      <x:c r="N5500" s="11" t="n">
        <x:f>IF(G5500,L5500*AN5500/(1+M5500)^F5500,0)</x:f>
        <x:v>0.004244719527282168</x:v>
      </x:c>
      <x:c r="AJ5500" t="n">
        <x:v>0</x:v>
      </x:c>
      <x:c r="AK5500" t="n">
        <x:v>0</x:v>
      </x:c>
      <x:c r="AL5500" t="n">
        <x:v>0</x:v>
      </x:c>
      <x:c r="AM5500" t="n">
        <x:f>CHOOSE('假设'!$B$3,AJ5500,AK5500,AL5500)</x:f>
        <x:v>0</x:v>
      </x:c>
      <x:c r="AN5500" t="n">
        <x:v>1</x:v>
      </x:c>
    </x:row>
    <x:row r="5501" ht="23" customHeight="1">
      <x:c r="A5501" s="11" t="str">
        <x:v>688062.SH</x:v>
      </x:c>
      <x:c r="B5501" s="11" t="str">
        <x:v>一年</x:v>
      </x:c>
      <x:c r="C5501" s="11" t="str">
        <x:v>bfv_escc</x:v>
      </x:c>
      <x:c r="D5501" s="11" t="str">
        <x:v>2039-12-31</x:v>
      </x:c>
      <x:c r="E5501" s="11" t="str">
        <x:v>CNY</x:v>
      </x:c>
      <x:c r="F5501" s="11" t="n">
        <x:v>12.227241615331964</x:v>
      </x:c>
      <x:c r="G5501" s="26" t="b">
        <x:v>1</x:v>
      </x:c>
      <x:c r="H5501" s="16" t="n">
        <x:v>0.148</x:v>
      </x:c>
      <x:c r="I5501" s="16" t="n">
        <x:v>0.24</x:v>
      </x:c>
      <x:c r="J5501" s="16" t="n">
        <x:v>0.35</x:v>
      </x:c>
      <x:c r="K5501" s="11" t="n">
        <x:f>CHOOSE('假设'!$B$3,H5501,I5501,J5501)</x:f>
        <x:v>0.24</x:v>
      </x:c>
      <x:c r="L5501" s="11" t="n">
        <x:f>K5501*'管线假设'!E1179*'管线假设'!F1179*'管线假设'!G1179*IF(E5501="USD",'管线假设'!I1179,1)-AM5501</x:f>
        <x:v>0.014544000000000005</x:v>
      </x:c>
      <x:c r="M5501" s="11" t="n">
        <x:f>'管线假设'!H1179</x:f>
        <x:v>0.14</x:v>
      </x:c>
      <x:c r="N5501" s="11" t="n">
        <x:f>IF(G5501,L5501*AN5501/(1+M5501)^F5501,0)</x:f>
        <x:v>0.0029301813477828485</x:v>
      </x:c>
      <x:c r="AJ5501" t="n">
        <x:v>0</x:v>
      </x:c>
      <x:c r="AK5501" t="n">
        <x:v>0</x:v>
      </x:c>
      <x:c r="AL5501" t="n">
        <x:v>0</x:v>
      </x:c>
      <x:c r="AM5501" t="n">
        <x:f>CHOOSE('假设'!$B$3,AJ5501,AK5501,AL5501)</x:f>
        <x:v>0</x:v>
      </x:c>
      <x:c r="AN5501" t="n">
        <x:v>1</x:v>
      </x:c>
    </x:row>
    <x:row r="5502" ht="23" customHeight="1">
      <x:c r="A5502" s="11" t="str">
        <x:v>688062.SH</x:v>
      </x:c>
      <x:c r="B5502" s="11" t="str">
        <x:v>一年</x:v>
      </x:c>
      <x:c r="C5502" s="11" t="str">
        <x:v>bfv_escc</x:v>
      </x:c>
      <x:c r="D5502" s="11" t="str">
        <x:v>2040-12-31</x:v>
      </x:c>
      <x:c r="E5502" s="11" t="str">
        <x:v>CNY</x:v>
      </x:c>
      <x:c r="F5502" s="11" t="n">
        <x:v>13.229295003422314</x:v>
      </x:c>
      <x:c r="G5502" s="26" t="b">
        <x:v>1</x:v>
      </x:c>
      <x:c r="H5502" s="16" t="n">
        <x:v>0.122</x:v>
      </x:c>
      <x:c r="I5502" s="16" t="n">
        <x:v>0.175</x:v>
      </x:c>
      <x:c r="J5502" s="16" t="n">
        <x:v>0.21999999999999997</x:v>
      </x:c>
      <x:c r="K5502" s="11" t="n">
        <x:f>CHOOSE('假设'!$B$3,H5502,I5502,J5502)</x:f>
        <x:v>0.175</x:v>
      </x:c>
      <x:c r="L5502" s="11" t="n">
        <x:f>K5502*'管线假设'!E1179*'管线假设'!F1179*'管线假设'!G1179*IF(E5502="USD",'管线假设'!I1179,1)-AM5502</x:f>
        <x:v>0.010605000000000002</x:v>
      </x:c>
      <x:c r="M5502" s="11" t="n">
        <x:f>'管线假设'!H1179</x:f>
        <x:v>0.14</x:v>
      </x:c>
      <x:c r="N5502" s="11" t="n">
        <x:f>IF(G5502,L5502*AN5502/(1+M5502)^F5502,0)</x:f>
        <x:v>0.0018736980611602587</x:v>
      </x:c>
      <x:c r="AJ5502" t="n">
        <x:v>0</x:v>
      </x:c>
      <x:c r="AK5502" t="n">
        <x:v>0</x:v>
      </x:c>
      <x:c r="AL5502" t="n">
        <x:v>0</x:v>
      </x:c>
      <x:c r="AM5502" t="n">
        <x:f>CHOOSE('假设'!$B$3,AJ5502,AK5502,AL5502)</x:f>
        <x:v>0</x:v>
      </x:c>
      <x:c r="AN5502" t="n">
        <x:v>1</x:v>
      </x:c>
    </x:row>
    <x:row r="5503" ht="23" customHeight="1">
      <x:c r="A5503" s="11" t="str">
        <x:v>688062.SH</x:v>
      </x:c>
      <x:c r="B5503" s="11" t="str">
        <x:v>一年</x:v>
      </x:c>
      <x:c r="C5503" s="11" t="str">
        <x:v>bfv_escc</x:v>
      </x:c>
      <x:c r="D5503" s="11" t="str">
        <x:v>2041-12-31</x:v>
      </x:c>
      <x:c r="E5503" s="11" t="str">
        <x:v>CNY</x:v>
      </x:c>
      <x:c r="F5503" s="11" t="n">
        <x:v>14.22861054072553</x:v>
      </x:c>
      <x:c r="G5503" s="26" t="b">
        <x:v>1</x:v>
      </x:c>
      <x:c r="H5503" s="16" t="n">
        <x:v>0.096</x:v>
      </x:c>
      <x:c r="I5503" s="16" t="n">
        <x:v>0.10999999999999999</x:v>
      </x:c>
      <x:c r="J5503" s="16" t="n">
        <x:v>0.08999999999999997</x:v>
      </x:c>
      <x:c r="K5503" s="11" t="n">
        <x:f>CHOOSE('假设'!$B$3,H5503,I5503,J5503)</x:f>
        <x:v>0.10999999999999999</x:v>
      </x:c>
      <x:c r="L5503" s="11" t="n">
        <x:f>K5503*'管线假设'!E1179*'管线假设'!F1179*'管线假设'!G1179*IF(E5503="USD",'管线假设'!I1179,1)-AM5503</x:f>
        <x:v>0.006666000000000001</x:v>
      </x:c>
      <x:c r="M5503" s="11" t="n">
        <x:f>'管线假设'!H1179</x:f>
        <x:v>0.14</x:v>
      </x:c>
      <x:c r="N5503" s="11" t="n">
        <x:f>IF(G5503,L5503*AN5503/(1+M5503)^F5503,0)</x:f>
        <x:v>0.001033209383603535</x:v>
      </x:c>
      <x:c r="AJ5503" t="n">
        <x:v>0</x:v>
      </x:c>
      <x:c r="AK5503" t="n">
        <x:v>0</x:v>
      </x:c>
      <x:c r="AL5503" t="n">
        <x:v>0</x:v>
      </x:c>
      <x:c r="AM5503" t="n">
        <x:f>CHOOSE('假设'!$B$3,AJ5503,AK5503,AL5503)</x:f>
        <x:v>0</x:v>
      </x:c>
      <x:c r="AN5503" t="n">
        <x:v>1</x:v>
      </x:c>
    </x:row>
    <x:row r="5504" ht="23" customHeight="1">
      <x:c r="A5504" s="11" t="str">
        <x:v>688062.SH</x:v>
      </x:c>
      <x:c r="B5504" s="11" t="str">
        <x:v>一年</x:v>
      </x:c>
      <x:c r="C5504" s="11" t="str">
        <x:v>bfv_escc</x:v>
      </x:c>
      <x:c r="D5504" s="11" t="str">
        <x:v>2042-12-31</x:v>
      </x:c>
      <x:c r="E5504" s="11" t="str">
        <x:v>CNY</x:v>
      </x:c>
      <x:c r="F5504" s="11" t="n">
        <x:v>15.227926078028748</x:v>
      </x:c>
      <x:c r="G5504" s="26" t="b">
        <x:v>1</x:v>
      </x:c>
      <x:c r="H5504" s="16" t="n">
        <x:v>0.06999999999999999</x:v>
      </x:c>
      <x:c r="I5504" s="16" t="n">
        <x:v>0.044999999999999984</x:v>
      </x:c>
      <x:c r="J5504" s="16" t="n">
        <x:v>0</x:v>
      </x:c>
      <x:c r="K5504" s="11" t="n">
        <x:f>CHOOSE('假设'!$B$3,H5504,I5504,J5504)</x:f>
        <x:v>0.044999999999999984</x:v>
      </x:c>
      <x:c r="L5504" s="11" t="n">
        <x:f>K5504*'管线假设'!E1179*'管线假设'!F1179*'管线假设'!G1179*IF(E5504="USD",'管线假设'!I1179,1)-AM5504</x:f>
        <x:v>0.002727</x:v>
      </x:c>
      <x:c r="M5504" s="11" t="n">
        <x:f>'管线假设'!H1179</x:f>
        <x:v>0.14</x:v>
      </x:c>
      <x:c r="N5504" s="11" t="n">
        <x:f>IF(G5504,L5504*AN5504/(1+M5504)^F5504,0)</x:f>
        <x:v>0.00037080217107617964</x:v>
      </x:c>
      <x:c r="AJ5504" t="n">
        <x:v>0</x:v>
      </x:c>
      <x:c r="AK5504" t="n">
        <x:v>0</x:v>
      </x:c>
      <x:c r="AL5504" t="n">
        <x:v>0</x:v>
      </x:c>
      <x:c r="AM5504" t="n">
        <x:f>CHOOSE('假设'!$B$3,AJ5504,AK5504,AL5504)</x:f>
        <x:v>0</x:v>
      </x:c>
      <x:c r="AN5504" t="n">
        <x:v>1</x:v>
      </x:c>
    </x:row>
    <x:row r="5505" ht="23" customHeight="1">
      <x:c r="A5505" s="11" t="str">
        <x:v>688062.SH</x:v>
      </x:c>
      <x:c r="B5505" s="11" t="str">
        <x:v>一年</x:v>
      </x:c>
      <x:c r="C5505" s="11" t="str">
        <x:v>bfv_escc</x:v>
      </x:c>
      <x:c r="D5505" s="11" t="str">
        <x:v>2043-12-31</x:v>
      </x:c>
      <x:c r="E5505" s="11" t="str">
        <x:v>CNY</x:v>
      </x:c>
      <x:c r="F5505" s="11" t="n">
        <x:v>16.227241615331966</x:v>
      </x:c>
      <x:c r="G5505" s="26" t="b">
        <x:v>1</x:v>
      </x:c>
      <x:c r="H5505" s="16" t="n">
        <x:v>0.044</x:v>
      </x:c>
      <x:c r="I5505" s="16" t="n">
        <x:v>0</x:v>
      </x:c>
      <x:c r="J5505" s="16" t="n">
        <x:v>0</x:v>
      </x:c>
      <x:c r="K5505" s="11" t="n">
        <x:f>CHOOSE('假设'!$B$3,H5505,I5505,J5505)</x:f>
        <x:v>0</x:v>
      </x:c>
      <x:c r="L5505" s="11" t="n">
        <x:f>K5505*'管线假设'!E1179*'管线假设'!F1179*'管线假设'!G1179*IF(E5505="USD",'管线假设'!I1179,1)-AM5505</x:f>
        <x:v>0</x:v>
      </x:c>
      <x:c r="M5505" s="11" t="n">
        <x:f>'管线假设'!H1179</x:f>
        <x:v>0.14</x:v>
      </x:c>
      <x:c r="N5505" s="11" t="n">
        <x:f>IF(G5505,L5505*AN5505/(1+M5505)^F5505,0)</x:f>
        <x:v>0</x:v>
      </x:c>
      <x:c r="AJ5505" t="n">
        <x:v>0</x:v>
      </x:c>
      <x:c r="AK5505" t="n">
        <x:v>0</x:v>
      </x:c>
      <x:c r="AL5505" t="n">
        <x:v>0</x:v>
      </x:c>
      <x:c r="AM5505" t="n">
        <x:f>CHOOSE('假设'!$B$3,AJ5505,AK5505,AL5505)</x:f>
        <x:v>0</x:v>
      </x:c>
      <x:c r="AN5505" t="n">
        <x:v>1</x:v>
      </x:c>
    </x:row>
    <x:row r="5506" ht="23" customHeight="1">
      <x:c r="A5506" s="11" t="str">
        <x:v>688062.SH</x:v>
      </x:c>
      <x:c r="B5506" s="11" t="str">
        <x:v>一年</x:v>
      </x:c>
      <x:c r="C5506" s="11" t="str">
        <x:v>bfv_escc</x:v>
      </x:c>
      <x:c r="D5506" s="11" t="str">
        <x:v>2044-12-31</x:v>
      </x:c>
      <x:c r="E5506" s="11" t="str">
        <x:v>CNY</x:v>
      </x:c>
      <x:c r="F5506" s="11" t="n">
        <x:v>17.229295003422312</x:v>
      </x:c>
      <x:c r="G5506" s="26" t="b">
        <x:v>1</x:v>
      </x:c>
      <x:c r="H5506" s="16" t="n">
        <x:v>0.017999999999999995</x:v>
      </x:c>
      <x:c r="I5506" s="16" t="n">
        <x:v>0</x:v>
      </x:c>
      <x:c r="J5506" s="16" t="n">
        <x:v>0</x:v>
      </x:c>
      <x:c r="K5506" s="11" t="n">
        <x:f>CHOOSE('假设'!$B$3,H5506,I5506,J5506)</x:f>
        <x:v>0</x:v>
      </x:c>
      <x:c r="L5506" s="11" t="n">
        <x:f>K5506*'管线假设'!E1179*'管线假设'!F1179*'管线假设'!G1179*IF(E5506="USD",'管线假设'!I1179,1)-AM5506</x:f>
        <x:v>0</x:v>
      </x:c>
      <x:c r="M5506" s="11" t="n">
        <x:f>'管线假设'!H1179</x:f>
        <x:v>0.14</x:v>
      </x:c>
      <x:c r="N5506" s="11" t="n">
        <x:f>IF(G5506,L5506*AN5506/(1+M5506)^F5506,0)</x:f>
        <x:v>0</x:v>
      </x:c>
      <x:c r="AJ5506" t="n">
        <x:v>0</x:v>
      </x:c>
      <x:c r="AK5506" t="n">
        <x:v>0</x:v>
      </x:c>
      <x:c r="AL5506" t="n">
        <x:v>0</x:v>
      </x:c>
      <x:c r="AM5506" t="n">
        <x:f>CHOOSE('假设'!$B$3,AJ5506,AK5506,AL5506)</x:f>
        <x:v>0</x:v>
      </x:c>
      <x:c r="AN5506" t="n">
        <x:v>1</x:v>
      </x:c>
    </x:row>
    <x:row r="5507" ht="23" customHeight="1">
      <x:c r="A5507" s="11" t="str">
        <x:v>688062.SH</x:v>
      </x:c>
      <x:c r="B5507" s="11" t="str">
        <x:v>一年</x:v>
      </x:c>
      <x:c r="C5507" s="11" t="str">
        <x:v>bfv_escc</x:v>
      </x:c>
      <x:c r="D5507" s="11" t="str">
        <x:v>2045-12-31</x:v>
      </x:c>
      <x:c r="E5507" s="11" t="str">
        <x:v>CNY</x:v>
      </x:c>
      <x:c r="F5507" s="11" t="n">
        <x:v>18.22861054072553</x:v>
      </x:c>
      <x:c r="G5507" s="26" t="b">
        <x:v>1</x:v>
      </x:c>
      <x:c r="H5507" s="16" t="n">
        <x:v>0</x:v>
      </x:c>
      <x:c r="I5507" s="16" t="n">
        <x:v>0</x:v>
      </x:c>
      <x:c r="J5507" s="16" t="n">
        <x:v>0</x:v>
      </x:c>
      <x:c r="K5507" s="11" t="n">
        <x:f>CHOOSE('假设'!$B$3,H5507,I5507,J5507)</x:f>
        <x:v>0</x:v>
      </x:c>
      <x:c r="L5507" s="11" t="n">
        <x:f>K5507*'管线假设'!E1179*'管线假设'!F1179*'管线假设'!G1179*IF(E5507="USD",'管线假设'!I1179,1)-AM5507</x:f>
        <x:v>0</x:v>
      </x:c>
      <x:c r="M5507" s="11" t="n">
        <x:f>'管线假设'!H1179</x:f>
        <x:v>0.14</x:v>
      </x:c>
      <x:c r="N5507" s="11" t="n">
        <x:f>IF(G5507,L5507*AN5507/(1+M5507)^F5507,0)</x:f>
        <x:v>0</x:v>
      </x:c>
      <x:c r="AJ5507" t="n">
        <x:v>0</x:v>
      </x:c>
      <x:c r="AK5507" t="n">
        <x:v>0</x:v>
      </x:c>
      <x:c r="AL5507" t="n">
        <x:v>0</x:v>
      </x:c>
      <x:c r="AM5507" t="n">
        <x:f>CHOOSE('假设'!$B$3,AJ5507,AK5507,AL5507)</x:f>
        <x:v>0</x:v>
      </x:c>
      <x:c r="AN5507" t="n">
        <x:v>1</x:v>
      </x:c>
    </x:row>
    <x:row r="5508" ht="23" customHeight="1">
      <x:c r="A5508" s="11" t="str">
        <x:v>688062.SH</x:v>
      </x:c>
      <x:c r="B5508" s="11" t="str">
        <x:v>一年</x:v>
      </x:c>
      <x:c r="C5508" s="11" t="str">
        <x:v>bfv_global</x:v>
      </x:c>
      <x:c r="D5508" s="11" t="str">
        <x:v>2027-12-31</x:v>
      </x:c>
      <x:c r="E5508" s="11" t="str">
        <x:v>USD</x:v>
      </x:c>
      <x:c r="F5508" s="11" t="n">
        <x:v>0.2272416153319644</x:v>
      </x:c>
      <x:c r="G5508" s="26" t="b">
        <x:v>1</x:v>
      </x:c>
      <x:c r="H5508" s="16" t="n">
        <x:v>0</x:v>
      </x:c>
      <x:c r="I5508" s="16" t="n">
        <x:v>0</x:v>
      </x:c>
      <x:c r="J5508" s="16" t="n">
        <x:v>0</x:v>
      </x:c>
      <x:c r="K5508" s="11" t="n">
        <x:f>CHOOSE('假设'!$B$3,H5508,I5508,J5508)</x:f>
        <x:v>0</x:v>
      </x:c>
      <x:c r="L5508" s="11" t="n">
        <x:f>K5508*'管线假设'!E1183*'管线假设'!F1183*'管线假设'!G1183*IF(E5508="USD",'管线假设'!I1183,1)-AM5508</x:f>
        <x:v>0</x:v>
      </x:c>
      <x:c r="M5508" s="11" t="n">
        <x:f>'管线假设'!H1183</x:f>
        <x:v>0.14</x:v>
      </x:c>
      <x:c r="N5508" s="11" t="n">
        <x:f>IF(G5508,L5508*AN5508/(1+M5508)^F5508,0)</x:f>
        <x:v>0</x:v>
      </x:c>
      <x:c r="AJ5508" t="n">
        <x:v>0</x:v>
      </x:c>
      <x:c r="AK5508" t="n">
        <x:v>0</x:v>
      </x:c>
      <x:c r="AL5508" t="n">
        <x:v>0</x:v>
      </x:c>
      <x:c r="AM5508" t="n">
        <x:f>CHOOSE('假设'!$B$3,AJ5508,AK5508,AL5508)</x:f>
        <x:v>0</x:v>
      </x:c>
      <x:c r="AN5508" t="n">
        <x:v>1</x:v>
      </x:c>
    </x:row>
    <x:row r="5509" ht="23" customHeight="1">
      <x:c r="A5509" s="11" t="str">
        <x:v>688062.SH</x:v>
      </x:c>
      <x:c r="B5509" s="11" t="str">
        <x:v>一年</x:v>
      </x:c>
      <x:c r="C5509" s="11" t="str">
        <x:v>bfv_global</x:v>
      </x:c>
      <x:c r="D5509" s="11" t="str">
        <x:v>2028-12-31</x:v>
      </x:c>
      <x:c r="E5509" s="11" t="str">
        <x:v>USD</x:v>
      </x:c>
      <x:c r="F5509" s="11" t="n">
        <x:v>1.2292950034223136</x:v>
      </x:c>
      <x:c r="G5509" s="26" t="b">
        <x:v>1</x:v>
      </x:c>
      <x:c r="H5509" s="16" t="n">
        <x:v>0</x:v>
      </x:c>
      <x:c r="I5509" s="16" t="n">
        <x:v>0</x:v>
      </x:c>
      <x:c r="J5509" s="16" t="n">
        <x:v>0</x:v>
      </x:c>
      <x:c r="K5509" s="11" t="n">
        <x:f>CHOOSE('假设'!$B$3,H5509,I5509,J5509)</x:f>
        <x:v>0</x:v>
      </x:c>
      <x:c r="L5509" s="11" t="n">
        <x:f>K5509*'管线假设'!E1183*'管线假设'!F1183*'管线假设'!G1183*IF(E5509="USD",'管线假设'!I1183,1)-AM5509</x:f>
        <x:v>0</x:v>
      </x:c>
      <x:c r="M5509" s="11" t="n">
        <x:f>'管线假设'!H1183</x:f>
        <x:v>0.14</x:v>
      </x:c>
      <x:c r="N5509" s="11" t="n">
        <x:f>IF(G5509,L5509*AN5509/(1+M5509)^F5509,0)</x:f>
        <x:v>0</x:v>
      </x:c>
      <x:c r="AJ5509" t="n">
        <x:v>0</x:v>
      </x:c>
      <x:c r="AK5509" t="n">
        <x:v>0</x:v>
      </x:c>
      <x:c r="AL5509" t="n">
        <x:v>0</x:v>
      </x:c>
      <x:c r="AM5509" t="n">
        <x:f>CHOOSE('假设'!$B$3,AJ5509,AK5509,AL5509)</x:f>
        <x:v>0</x:v>
      </x:c>
      <x:c r="AN5509" t="n">
        <x:v>1</x:v>
      </x:c>
    </x:row>
    <x:row r="5510" ht="23" customHeight="1">
      <x:c r="A5510" s="11" t="str">
        <x:v>688062.SH</x:v>
      </x:c>
      <x:c r="B5510" s="11" t="str">
        <x:v>一年</x:v>
      </x:c>
      <x:c r="C5510" s="11" t="str">
        <x:v>bfv_global</x:v>
      </x:c>
      <x:c r="D5510" s="11" t="str">
        <x:v>2029-12-31</x:v>
      </x:c>
      <x:c r="E5510" s="11" t="str">
        <x:v>USD</x:v>
      </x:c>
      <x:c r="F5510" s="11" t="n">
        <x:v>2.2286105407255303</x:v>
      </x:c>
      <x:c r="G5510" s="26" t="b">
        <x:v>1</x:v>
      </x:c>
      <x:c r="H5510" s="16" t="n">
        <x:v>0</x:v>
      </x:c>
      <x:c r="I5510" s="16" t="n">
        <x:v>0</x:v>
      </x:c>
      <x:c r="J5510" s="16" t="n">
        <x:v>0</x:v>
      </x:c>
      <x:c r="K5510" s="11" t="n">
        <x:f>CHOOSE('假设'!$B$3,H5510,I5510,J5510)</x:f>
        <x:v>0</x:v>
      </x:c>
      <x:c r="L5510" s="11" t="n">
        <x:f>K5510*'管线假设'!E1183*'管线假设'!F1183*'管线假设'!G1183*IF(E5510="USD",'管线假设'!I1183,1)-AM5510</x:f>
        <x:v>0</x:v>
      </x:c>
      <x:c r="M5510" s="11" t="n">
        <x:f>'管线假设'!H1183</x:f>
        <x:v>0.14</x:v>
      </x:c>
      <x:c r="N5510" s="11" t="n">
        <x:f>IF(G5510,L5510*AN5510/(1+M5510)^F5510,0)</x:f>
        <x:v>0</x:v>
      </x:c>
      <x:c r="AJ5510" t="n">
        <x:v>0</x:v>
      </x:c>
      <x:c r="AK5510" t="n">
        <x:v>0</x:v>
      </x:c>
      <x:c r="AL5510" t="n">
        <x:v>0</x:v>
      </x:c>
      <x:c r="AM5510" t="n">
        <x:f>CHOOSE('假设'!$B$3,AJ5510,AK5510,AL5510)</x:f>
        <x:v>0</x:v>
      </x:c>
      <x:c r="AN5510" t="n">
        <x:v>1</x:v>
      </x:c>
    </x:row>
    <x:row r="5511" ht="23" customHeight="1">
      <x:c r="A5511" s="11" t="str">
        <x:v>688062.SH</x:v>
      </x:c>
      <x:c r="B5511" s="11" t="str">
        <x:v>一年</x:v>
      </x:c>
      <x:c r="C5511" s="11" t="str">
        <x:v>bfv_global</x:v>
      </x:c>
      <x:c r="D5511" s="11" t="str">
        <x:v>2030-12-31</x:v>
      </x:c>
      <x:c r="E5511" s="11" t="str">
        <x:v>USD</x:v>
      </x:c>
      <x:c r="F5511" s="11" t="n">
        <x:v>3.2279260780287475</x:v>
      </x:c>
      <x:c r="G5511" s="26" t="b">
        <x:v>1</x:v>
      </x:c>
      <x:c r="H5511" s="16" t="n">
        <x:v>0</x:v>
      </x:c>
      <x:c r="I5511" s="16" t="n">
        <x:v>0</x:v>
      </x:c>
      <x:c r="J5511" s="16" t="n">
        <x:v>0.48</x:v>
      </x:c>
      <x:c r="K5511" s="11" t="n">
        <x:f>CHOOSE('假设'!$B$3,H5511,I5511,J5511)</x:f>
        <x:v>0</x:v>
      </x:c>
      <x:c r="L5511" s="11" t="n">
        <x:f>K5511*'管线假设'!E1183*'管线假设'!F1183*'管线假设'!G1183*IF(E5511="USD",'管线假设'!I1183,1)-AM5511</x:f>
        <x:v>0</x:v>
      </x:c>
      <x:c r="M5511" s="11" t="n">
        <x:f>'管线假设'!H1183</x:f>
        <x:v>0.14</x:v>
      </x:c>
      <x:c r="N5511" s="11" t="n">
        <x:f>IF(G5511,L5511*AN5511/(1+M5511)^F5511,0)</x:f>
        <x:v>0</x:v>
      </x:c>
      <x:c r="AJ5511" t="n">
        <x:v>0</x:v>
      </x:c>
      <x:c r="AK5511" t="n">
        <x:v>0</x:v>
      </x:c>
      <x:c r="AL5511" t="n">
        <x:v>0</x:v>
      </x:c>
      <x:c r="AM5511" t="n">
        <x:f>CHOOSE('假设'!$B$3,AJ5511,AK5511,AL5511)</x:f>
        <x:v>0</x:v>
      </x:c>
      <x:c r="AN5511" t="n">
        <x:v>1</x:v>
      </x:c>
    </x:row>
    <x:row r="5512" ht="23" customHeight="1">
      <x:c r="A5512" s="11" t="str">
        <x:v>688062.SH</x:v>
      </x:c>
      <x:c r="B5512" s="11" t="str">
        <x:v>一年</x:v>
      </x:c>
      <x:c r="C5512" s="11" t="str">
        <x:v>bfv_global</x:v>
      </x:c>
      <x:c r="D5512" s="11" t="str">
        <x:v>2031-12-31</x:v>
      </x:c>
      <x:c r="E5512" s="11" t="str">
        <x:v>USD</x:v>
      </x:c>
      <x:c r="F5512" s="11" t="n">
        <x:v>4.227241615331964</x:v>
      </x:c>
      <x:c r="G5512" s="26" t="b">
        <x:v>1</x:v>
      </x:c>
      <x:c r="H5512" s="16" t="n">
        <x:v>0</x:v>
      </x:c>
      <x:c r="I5512" s="16" t="n">
        <x:v>0</x:v>
      </x:c>
      <x:c r="J5512" s="16" t="n">
        <x:v>0.96</x:v>
      </x:c>
      <x:c r="K5512" s="11" t="n">
        <x:f>CHOOSE('假设'!$B$3,H5512,I5512,J5512)</x:f>
        <x:v>0</x:v>
      </x:c>
      <x:c r="L5512" s="11" t="n">
        <x:f>K5512*'管线假设'!E1183*'管线假设'!F1183*'管线假设'!G1183*IF(E5512="USD",'管线假设'!I1183,1)-AM5512</x:f>
        <x:v>0</x:v>
      </x:c>
      <x:c r="M5512" s="11" t="n">
        <x:f>'管线假设'!H1183</x:f>
        <x:v>0.14</x:v>
      </x:c>
      <x:c r="N5512" s="11" t="n">
        <x:f>IF(G5512,L5512*AN5512/(1+M5512)^F5512,0)</x:f>
        <x:v>0</x:v>
      </x:c>
      <x:c r="AJ5512" t="n">
        <x:v>0</x:v>
      </x:c>
      <x:c r="AK5512" t="n">
        <x:v>0</x:v>
      </x:c>
      <x:c r="AL5512" t="n">
        <x:v>0</x:v>
      </x:c>
      <x:c r="AM5512" t="n">
        <x:f>CHOOSE('假设'!$B$3,AJ5512,AK5512,AL5512)</x:f>
        <x:v>0</x:v>
      </x:c>
      <x:c r="AN5512" t="n">
        <x:v>1</x:v>
      </x:c>
    </x:row>
    <x:row r="5513" ht="23" customHeight="1">
      <x:c r="A5513" s="11" t="str">
        <x:v>688062.SH</x:v>
      </x:c>
      <x:c r="B5513" s="11" t="str">
        <x:v>一年</x:v>
      </x:c>
      <x:c r="C5513" s="11" t="str">
        <x:v>bfv_global</x:v>
      </x:c>
      <x:c r="D5513" s="11" t="str">
        <x:v>2032-12-31</x:v>
      </x:c>
      <x:c r="E5513" s="11" t="str">
        <x:v>USD</x:v>
      </x:c>
      <x:c r="F5513" s="11" t="n">
        <x:v>5.229295003422314</x:v>
      </x:c>
      <x:c r="G5513" s="26" t="b">
        <x:v>1</x:v>
      </x:c>
      <x:c r="H5513" s="16" t="n">
        <x:v>0</x:v>
      </x:c>
      <x:c r="I5513" s="16" t="n">
        <x:v>0.22000000000000003</x:v>
      </x:c>
      <x:c r="J5513" s="16" t="n">
        <x:v>1.44</x:v>
      </x:c>
      <x:c r="K5513" s="11" t="n">
        <x:f>CHOOSE('假设'!$B$3,H5513,I5513,J5513)</x:f>
        <x:v>0.22000000000000003</x:v>
      </x:c>
      <x:c r="L5513" s="11" t="n">
        <x:f>K5513*'管线假设'!E1183*'管线假设'!F1183*'管线假设'!G1183*IF(E5513="USD",'管线假设'!I1183,1)-AM5513</x:f>
        <x:v>0.0825792</x:v>
      </x:c>
      <x:c r="M5513" s="11" t="n">
        <x:f>'管线假设'!H1183</x:f>
        <x:v>0.14</x:v>
      </x:c>
      <x:c r="N5513" s="11" t="n">
        <x:f>IF(G5513,L5513*AN5513/(1+M5513)^F5513,0)</x:f>
        <x:v>0.04161964930973135</x:v>
      </x:c>
      <x:c r="AJ5513" t="n">
        <x:v>0</x:v>
      </x:c>
      <x:c r="AK5513" t="n">
        <x:v>0</x:v>
      </x:c>
      <x:c r="AL5513" t="n">
        <x:v>0</x:v>
      </x:c>
      <x:c r="AM5513" t="n">
        <x:f>CHOOSE('假设'!$B$3,AJ5513,AK5513,AL5513)</x:f>
        <x:v>0</x:v>
      </x:c>
      <x:c r="AN5513" t="n">
        <x:v>1</x:v>
      </x:c>
    </x:row>
    <x:row r="5514" ht="23" customHeight="1">
      <x:c r="A5514" s="11" t="str">
        <x:v>688062.SH</x:v>
      </x:c>
      <x:c r="B5514" s="11" t="str">
        <x:v>一年</x:v>
      </x:c>
      <x:c r="C5514" s="11" t="str">
        <x:v>bfv_global</x:v>
      </x:c>
      <x:c r="D5514" s="11" t="str">
        <x:v>2033-12-31</x:v>
      </x:c>
      <x:c r="E5514" s="11" t="str">
        <x:v>USD</x:v>
      </x:c>
      <x:c r="F5514" s="11" t="n">
        <x:v>6.228610540725531</x:v>
      </x:c>
      <x:c r="G5514" s="26" t="b">
        <x:v>1</x:v>
      </x:c>
      <x:c r="H5514" s="16" t="n">
        <x:v>0</x:v>
      </x:c>
      <x:c r="I5514" s="16" t="n">
        <x:v>0.44000000000000006</x:v>
      </x:c>
      <x:c r="J5514" s="16" t="n">
        <x:v>1.92</x:v>
      </x:c>
      <x:c r="K5514" s="11" t="n">
        <x:f>CHOOSE('假设'!$B$3,H5514,I5514,J5514)</x:f>
        <x:v>0.44000000000000006</x:v>
      </x:c>
      <x:c r="L5514" s="11" t="n">
        <x:f>K5514*'管线假设'!E1183*'管线假设'!F1183*'管线假设'!G1183*IF(E5514="USD",'管线假设'!I1183,1)-AM5514</x:f>
        <x:v>0.1651584</x:v>
      </x:c>
      <x:c r="M5514" s="11" t="n">
        <x:f>'管线假设'!H1183</x:f>
        <x:v>0.14</x:v>
      </x:c>
      <x:c r="N5514" s="11" t="n">
        <x:f>IF(G5514,L5514*AN5514/(1+M5514)^F5514,0)</x:f>
        <x:v>0.07302347735436537</x:v>
      </x:c>
      <x:c r="AJ5514" t="n">
        <x:v>0</x:v>
      </x:c>
      <x:c r="AK5514" t="n">
        <x:v>0</x:v>
      </x:c>
      <x:c r="AL5514" t="n">
        <x:v>0</x:v>
      </x:c>
      <x:c r="AM5514" t="n">
        <x:f>CHOOSE('假设'!$B$3,AJ5514,AK5514,AL5514)</x:f>
        <x:v>0</x:v>
      </x:c>
      <x:c r="AN5514" t="n">
        <x:v>1</x:v>
      </x:c>
    </x:row>
    <x:row r="5515" ht="23" customHeight="1">
      <x:c r="A5515" s="11" t="str">
        <x:v>688062.SH</x:v>
      </x:c>
      <x:c r="B5515" s="11" t="str">
        <x:v>一年</x:v>
      </x:c>
      <x:c r="C5515" s="11" t="str">
        <x:v>bfv_global</x:v>
      </x:c>
      <x:c r="D5515" s="11" t="str">
        <x:v>2034-12-31</x:v>
      </x:c>
      <x:c r="E5515" s="11" t="str">
        <x:v>USD</x:v>
      </x:c>
      <x:c r="F5515" s="11" t="n">
        <x:v>7.227926078028747</x:v>
      </x:c>
      <x:c r="G5515" s="26" t="b">
        <x:v>1</x:v>
      </x:c>
      <x:c r="H5515" s="16" t="n">
        <x:v>0.08000000000000002</x:v>
      </x:c>
      <x:c r="I5515" s="16" t="n">
        <x:v>0.66</x:v>
      </x:c>
      <x:c r="J5515" s="16" t="n">
        <x:v>2.4</x:v>
      </x:c>
      <x:c r="K5515" s="11" t="n">
        <x:f>CHOOSE('假设'!$B$3,H5515,I5515,J5515)</x:f>
        <x:v>0.66</x:v>
      </x:c>
      <x:c r="L5515" s="11" t="n">
        <x:f>K5515*'管线假设'!E1183*'管线假设'!F1183*'管线假设'!G1183*IF(E5515="USD",'管线假设'!I1183,1)-AM5515</x:f>
        <x:v>0.24773760000000003</x:v>
      </x:c>
      <x:c r="M5515" s="11" t="n">
        <x:f>'管线假设'!H1183</x:f>
        <x:v>0.14</x:v>
      </x:c>
      <x:c r="N5515" s="11" t="n">
        <x:f>IF(G5515,L5515*AN5515/(1+M5515)^F5515,0)</x:f>
        <x:v>0.09609214037172407</x:v>
      </x:c>
      <x:c r="AJ5515" t="n">
        <x:v>0</x:v>
      </x:c>
      <x:c r="AK5515" t="n">
        <x:v>0</x:v>
      </x:c>
      <x:c r="AL5515" t="n">
        <x:v>0</x:v>
      </x:c>
      <x:c r="AM5515" t="n">
        <x:f>CHOOSE('假设'!$B$3,AJ5515,AK5515,AL5515)</x:f>
        <x:v>0</x:v>
      </x:c>
      <x:c r="AN5515" t="n">
        <x:v>1</x:v>
      </x:c>
    </x:row>
    <x:row r="5516" ht="23" customHeight="1">
      <x:c r="A5516" s="11" t="str">
        <x:v>688062.SH</x:v>
      </x:c>
      <x:c r="B5516" s="11" t="str">
        <x:v>一年</x:v>
      </x:c>
      <x:c r="C5516" s="11" t="str">
        <x:v>bfv_global</x:v>
      </x:c>
      <x:c r="D5516" s="11" t="str">
        <x:v>2035-12-31</x:v>
      </x:c>
      <x:c r="E5516" s="11" t="str">
        <x:v>USD</x:v>
      </x:c>
      <x:c r="F5516" s="11" t="n">
        <x:v>8.227241615331964</x:v>
      </x:c>
      <x:c r="G5516" s="26" t="b">
        <x:v>1</x:v>
      </x:c>
      <x:c r="H5516" s="16" t="n">
        <x:v>0.16000000000000003</x:v>
      </x:c>
      <x:c r="I5516" s="16" t="n">
        <x:v>0.8800000000000001</x:v>
      </x:c>
      <x:c r="J5516" s="16" t="n">
        <x:v>2.088</x:v>
      </x:c>
      <x:c r="K5516" s="11" t="n">
        <x:f>CHOOSE('假设'!$B$3,H5516,I5516,J5516)</x:f>
        <x:v>0.8800000000000001</x:v>
      </x:c>
      <x:c r="L5516" s="11" t="n">
        <x:f>K5516*'管线假设'!E1183*'管线假设'!F1183*'管线假设'!G1183*IF(E5516="USD",'管线假设'!I1183,1)-AM5516</x:f>
        <x:v>0.3303168</x:v>
      </x:c>
      <x:c r="M5516" s="11" t="n">
        <x:f>'管线假设'!H1183</x:f>
        <x:v>0.14</x:v>
      </x:c>
      <x:c r="N5516" s="11" t="n">
        <x:f>IF(G5516,L5516*AN5516/(1+M5516)^F5516,0)</x:f>
        <x:v>0.11239854816566826</x:v>
      </x:c>
      <x:c r="AJ5516" t="n">
        <x:v>0</x:v>
      </x:c>
      <x:c r="AK5516" t="n">
        <x:v>0</x:v>
      </x:c>
      <x:c r="AL5516" t="n">
        <x:v>0</x:v>
      </x:c>
      <x:c r="AM5516" t="n">
        <x:f>CHOOSE('假设'!$B$3,AJ5516,AK5516,AL5516)</x:f>
        <x:v>0</x:v>
      </x:c>
      <x:c r="AN5516" t="n">
        <x:v>1</x:v>
      </x:c>
    </x:row>
    <x:row r="5517" ht="23" customHeight="1">
      <x:c r="A5517" s="11" t="str">
        <x:v>688062.SH</x:v>
      </x:c>
      <x:c r="B5517" s="11" t="str">
        <x:v>一年</x:v>
      </x:c>
      <x:c r="C5517" s="11" t="str">
        <x:v>bfv_global</x:v>
      </x:c>
      <x:c r="D5517" s="11" t="str">
        <x:v>2036-12-31</x:v>
      </x:c>
      <x:c r="E5517" s="11" t="str">
        <x:v>USD</x:v>
      </x:c>
      <x:c r="F5517" s="11" t="n">
        <x:v>9.229295003422314</x:v>
      </x:c>
      <x:c r="G5517" s="26" t="b">
        <x:v>1</x:v>
      </x:c>
      <x:c r="H5517" s="16" t="n">
        <x:v>0.24</x:v>
      </x:c>
      <x:c r="I5517" s="16" t="n">
        <x:v>1.1</x:v>
      </x:c>
      <x:c r="J5517" s="16" t="n">
        <x:v>1.776</x:v>
      </x:c>
      <x:c r="K5517" s="11" t="n">
        <x:f>CHOOSE('假设'!$B$3,H5517,I5517,J5517)</x:f>
        <x:v>1.1</x:v>
      </x:c>
      <x:c r="L5517" s="11" t="n">
        <x:f>K5517*'管线假设'!E1183*'管线假设'!F1183*'管线假设'!G1183*IF(E5517="USD",'管线假设'!I1183,1)-AM5517</x:f>
        <x:v>0.412896</x:v>
      </x:c>
      <x:c r="M5517" s="11" t="n">
        <x:f>'管线假设'!H1183</x:f>
        <x:v>0.14</x:v>
      </x:c>
      <x:c r="N5517" s="11" t="n">
        <x:f>IF(G5517,L5517*AN5517/(1+M5517)^F5517,0)</x:f>
        <x:v>0.12321086753677876</x:v>
      </x:c>
      <x:c r="AJ5517" t="n">
        <x:v>0</x:v>
      </x:c>
      <x:c r="AK5517" t="n">
        <x:v>0</x:v>
      </x:c>
      <x:c r="AL5517" t="n">
        <x:v>0</x:v>
      </x:c>
      <x:c r="AM5517" t="n">
        <x:f>CHOOSE('假设'!$B$3,AJ5517,AK5517,AL5517)</x:f>
        <x:v>0</x:v>
      </x:c>
      <x:c r="AN5517" t="n">
        <x:v>1</x:v>
      </x:c>
    </x:row>
    <x:row r="5518" ht="23" customHeight="1">
      <x:c r="A5518" s="11" t="str">
        <x:v>688062.SH</x:v>
      </x:c>
      <x:c r="B5518" s="11" t="str">
        <x:v>一年</x:v>
      </x:c>
      <x:c r="C5518" s="11" t="str">
        <x:v>bfv_global</x:v>
      </x:c>
      <x:c r="D5518" s="11" t="str">
        <x:v>2037-12-31</x:v>
      </x:c>
      <x:c r="E5518" s="11" t="str">
        <x:v>USD</x:v>
      </x:c>
      <x:c r="F5518" s="11" t="n">
        <x:v>10.22861054072553</x:v>
      </x:c>
      <x:c r="G5518" s="26" t="b">
        <x:v>1</x:v>
      </x:c>
      <x:c r="H5518" s="16" t="n">
        <x:v>0.32000000000000006</x:v>
      </x:c>
      <x:c r="I5518" s="16" t="n">
        <x:v>0.9570000000000001</x:v>
      </x:c>
      <x:c r="J5518" s="16" t="n">
        <x:v>1.464</x:v>
      </x:c>
      <x:c r="K5518" s="11" t="n">
        <x:f>CHOOSE('假设'!$B$3,H5518,I5518,J5518)</x:f>
        <x:v>0.9570000000000001</x:v>
      </x:c>
      <x:c r="L5518" s="11" t="n">
        <x:f>K5518*'管线假设'!E1183*'管线假设'!F1183*'管线假设'!G1183*IF(E5518="USD",'管线假设'!I1183,1)-AM5518</x:f>
        <x:v>0.35921952</x:v>
      </x:c>
      <x:c r="M5518" s="11" t="n">
        <x:f>'管线假设'!H1183</x:f>
        <x:v>0.14</x:v>
      </x:c>
      <x:c r="N5518" s="11" t="n">
        <x:f>IF(G5518,L5518*AN5518/(1+M5518)^F5518,0)</x:f>
        <x:v>0.09403777958015577</x:v>
      </x:c>
      <x:c r="AJ5518" t="n">
        <x:v>0</x:v>
      </x:c>
      <x:c r="AK5518" t="n">
        <x:v>0</x:v>
      </x:c>
      <x:c r="AL5518" t="n">
        <x:v>0</x:v>
      </x:c>
      <x:c r="AM5518" t="n">
        <x:f>CHOOSE('假设'!$B$3,AJ5518,AK5518,AL5518)</x:f>
        <x:v>0</x:v>
      </x:c>
      <x:c r="AN5518" t="n">
        <x:v>1</x:v>
      </x:c>
    </x:row>
    <x:row r="5519" ht="23" customHeight="1">
      <x:c r="A5519" s="11" t="str">
        <x:v>688062.SH</x:v>
      </x:c>
      <x:c r="B5519" s="11" t="str">
        <x:v>一年</x:v>
      </x:c>
      <x:c r="C5519" s="11" t="str">
        <x:v>bfv_global</x:v>
      </x:c>
      <x:c r="D5519" s="11" t="str">
        <x:v>2038-12-31</x:v>
      </x:c>
      <x:c r="E5519" s="11" t="str">
        <x:v>USD</x:v>
      </x:c>
      <x:c r="F5519" s="11" t="n">
        <x:v>11.227926078028748</x:v>
      </x:c>
      <x:c r="G5519" s="26" t="b">
        <x:v>1</x:v>
      </x:c>
      <x:c r="H5519" s="16" t="n">
        <x:v>0.4</x:v>
      </x:c>
      <x:c r="I5519" s="16" t="n">
        <x:v>0.8140000000000001</x:v>
      </x:c>
      <x:c r="J5519" s="16" t="n">
        <x:v>1.152</x:v>
      </x:c>
      <x:c r="K5519" s="11" t="n">
        <x:f>CHOOSE('假设'!$B$3,H5519,I5519,J5519)</x:f>
        <x:v>0.8140000000000001</x:v>
      </x:c>
      <x:c r="L5519" s="11" t="n">
        <x:f>K5519*'管线假设'!E1183*'管线假设'!F1183*'管线假设'!G1183*IF(E5519="USD",'管线假设'!I1183,1)-AM5519</x:f>
        <x:v>0.30554304</x:v>
      </x:c>
      <x:c r="M5519" s="11" t="n">
        <x:f>'管线假设'!H1183</x:f>
        <x:v>0.14</x:v>
      </x:c>
      <x:c r="N5519" s="11" t="n">
        <x:f>IF(G5519,L5519*AN5519/(1+M5519)^F5519,0)</x:f>
        <x:v>0.07016958872007552</x:v>
      </x:c>
      <x:c r="AJ5519" t="n">
        <x:v>0</x:v>
      </x:c>
      <x:c r="AK5519" t="n">
        <x:v>0</x:v>
      </x:c>
      <x:c r="AL5519" t="n">
        <x:v>0</x:v>
      </x:c>
      <x:c r="AM5519" t="n">
        <x:f>CHOOSE('假设'!$B$3,AJ5519,AK5519,AL5519)</x:f>
        <x:v>0</x:v>
      </x:c>
      <x:c r="AN5519" t="n">
        <x:v>1</x:v>
      </x:c>
    </x:row>
    <x:row r="5520" ht="23" customHeight="1">
      <x:c r="A5520" s="11" t="str">
        <x:v>688062.SH</x:v>
      </x:c>
      <x:c r="B5520" s="11" t="str">
        <x:v>一年</x:v>
      </x:c>
      <x:c r="C5520" s="11" t="str">
        <x:v>bfv_global</x:v>
      </x:c>
      <x:c r="D5520" s="11" t="str">
        <x:v>2039-12-31</x:v>
      </x:c>
      <x:c r="E5520" s="11" t="str">
        <x:v>USD</x:v>
      </x:c>
      <x:c r="F5520" s="11" t="n">
        <x:v>12.227241615331964</x:v>
      </x:c>
      <x:c r="G5520" s="26" t="b">
        <x:v>1</x:v>
      </x:c>
      <x:c r="H5520" s="16" t="n">
        <x:v>0.34800000000000003</x:v>
      </x:c>
      <x:c r="I5520" s="16" t="n">
        <x:v>0.671</x:v>
      </x:c>
      <x:c r="J5520" s="16" t="n">
        <x:v>0.84</x:v>
      </x:c>
      <x:c r="K5520" s="11" t="n">
        <x:f>CHOOSE('假设'!$B$3,H5520,I5520,J5520)</x:f>
        <x:v>0.671</x:v>
      </x:c>
      <x:c r="L5520" s="11" t="n">
        <x:f>K5520*'管线假设'!E1183*'管线假设'!F1183*'管线假设'!G1183*IF(E5520="USD",'管线假设'!I1183,1)-AM5520</x:f>
        <x:v>0.2518665600000001</x:v>
      </x:c>
      <x:c r="M5520" s="11" t="n">
        <x:f>'管线假设'!H1183</x:f>
        <x:v>0.14</x:v>
      </x:c>
      <x:c r="N5520" s="11" t="n">
        <x:f>IF(G5520,L5520*AN5520/(1+M5520)^F5520,0)</x:f>
        <x:v>0.0507435847251258</x:v>
      </x:c>
      <x:c r="AJ5520" t="n">
        <x:v>0</x:v>
      </x:c>
      <x:c r="AK5520" t="n">
        <x:v>0</x:v>
      </x:c>
      <x:c r="AL5520" t="n">
        <x:v>0</x:v>
      </x:c>
      <x:c r="AM5520" t="n">
        <x:f>CHOOSE('假设'!$B$3,AJ5520,AK5520,AL5520)</x:f>
        <x:v>0</x:v>
      </x:c>
      <x:c r="AN5520" t="n">
        <x:v>1</x:v>
      </x:c>
    </x:row>
    <x:row r="5521" ht="23" customHeight="1">
      <x:c r="A5521" s="11" t="str">
        <x:v>688062.SH</x:v>
      </x:c>
      <x:c r="B5521" s="11" t="str">
        <x:v>一年</x:v>
      </x:c>
      <x:c r="C5521" s="11" t="str">
        <x:v>bfv_global</x:v>
      </x:c>
      <x:c r="D5521" s="11" t="str">
        <x:v>2040-12-31</x:v>
      </x:c>
      <x:c r="E5521" s="11" t="str">
        <x:v>USD</x:v>
      </x:c>
      <x:c r="F5521" s="11" t="n">
        <x:v>13.229295003422314</x:v>
      </x:c>
      <x:c r="G5521" s="26" t="b">
        <x:v>1</x:v>
      </x:c>
      <x:c r="H5521" s="16" t="n">
        <x:v>0.296</x:v>
      </x:c>
      <x:c r="I5521" s="16" t="n">
        <x:v>0.528</x:v>
      </x:c>
      <x:c r="J5521" s="16" t="n">
        <x:v>0.5279999999999999</x:v>
      </x:c>
      <x:c r="K5521" s="11" t="n">
        <x:f>CHOOSE('假设'!$B$3,H5521,I5521,J5521)</x:f>
        <x:v>0.528</x:v>
      </x:c>
      <x:c r="L5521" s="11" t="n">
        <x:f>K5521*'管线假设'!E1183*'管线假设'!F1183*'管线假设'!G1183*IF(E5521="USD",'管线假设'!I1183,1)-AM5521</x:f>
        <x:v>0.19819008</x:v>
      </x:c>
      <x:c r="M5521" s="11" t="n">
        <x:f>'管线假设'!H1183</x:f>
        <x:v>0.14</x:v>
      </x:c>
      <x:c r="N5521" s="11" t="n">
        <x:f>IF(G5521,L5521*AN5521/(1+M5521)^F5521,0)</x:f>
        <x:v>0.03501634782057487</x:v>
      </x:c>
      <x:c r="AJ5521" t="n">
        <x:v>0</x:v>
      </x:c>
      <x:c r="AK5521" t="n">
        <x:v>0</x:v>
      </x:c>
      <x:c r="AL5521" t="n">
        <x:v>0</x:v>
      </x:c>
      <x:c r="AM5521" t="n">
        <x:f>CHOOSE('假设'!$B$3,AJ5521,AK5521,AL5521)</x:f>
        <x:v>0</x:v>
      </x:c>
      <x:c r="AN5521" t="n">
        <x:v>1</x:v>
      </x:c>
    </x:row>
    <x:row r="5522" ht="23" customHeight="1">
      <x:c r="A5522" s="11" t="str">
        <x:v>688062.SH</x:v>
      </x:c>
      <x:c r="B5522" s="11" t="str">
        <x:v>一年</x:v>
      </x:c>
      <x:c r="C5522" s="11" t="str">
        <x:v>bfv_global</x:v>
      </x:c>
      <x:c r="D5522" s="11" t="str">
        <x:v>2041-12-31</x:v>
      </x:c>
      <x:c r="E5522" s="11" t="str">
        <x:v>USD</x:v>
      </x:c>
      <x:c r="F5522" s="11" t="n">
        <x:v>14.22861054072553</x:v>
      </x:c>
      <x:c r="G5522" s="26" t="b">
        <x:v>1</x:v>
      </x:c>
      <x:c r="H5522" s="16" t="n">
        <x:v>0.244</x:v>
      </x:c>
      <x:c r="I5522" s="16" t="n">
        <x:v>0.385</x:v>
      </x:c>
      <x:c r="J5522" s="16" t="n">
        <x:v>0.21599999999999991</x:v>
      </x:c>
      <x:c r="K5522" s="11" t="n">
        <x:f>CHOOSE('假设'!$B$3,H5522,I5522,J5522)</x:f>
        <x:v>0.385</x:v>
      </x:c>
      <x:c r="L5522" s="11" t="n">
        <x:f>K5522*'管线假设'!E1183*'管线假设'!F1183*'管线假设'!G1183*IF(E5522="USD",'管线假设'!I1183,1)-AM5522</x:f>
        <x:v>0.1445136</x:v>
      </x:c>
      <x:c r="M5522" s="11" t="n">
        <x:f>'管线假设'!H1183</x:f>
        <x:v>0.14</x:v>
      </x:c>
      <x:c r="N5522" s="11" t="n">
        <x:f>IF(G5522,L5522*AN5522/(1+M5522)^F5522,0)</x:f>
        <x:v>0.022399161052854454</x:v>
      </x:c>
      <x:c r="AJ5522" t="n">
        <x:v>0</x:v>
      </x:c>
      <x:c r="AK5522" t="n">
        <x:v>0</x:v>
      </x:c>
      <x:c r="AL5522" t="n">
        <x:v>0</x:v>
      </x:c>
      <x:c r="AM5522" t="n">
        <x:f>CHOOSE('假设'!$B$3,AJ5522,AK5522,AL5522)</x:f>
        <x:v>0</x:v>
      </x:c>
      <x:c r="AN5522" t="n">
        <x:v>1</x:v>
      </x:c>
    </x:row>
    <x:row r="5523" ht="23" customHeight="1">
      <x:c r="A5523" s="11" t="str">
        <x:v>688062.SH</x:v>
      </x:c>
      <x:c r="B5523" s="11" t="str">
        <x:v>一年</x:v>
      </x:c>
      <x:c r="C5523" s="11" t="str">
        <x:v>bfv_global</x:v>
      </x:c>
      <x:c r="D5523" s="11" t="str">
        <x:v>2042-12-31</x:v>
      </x:c>
      <x:c r="E5523" s="11" t="str">
        <x:v>USD</x:v>
      </x:c>
      <x:c r="F5523" s="11" t="n">
        <x:v>15.227926078028748</x:v>
      </x:c>
      <x:c r="G5523" s="26" t="b">
        <x:v>1</x:v>
      </x:c>
      <x:c r="H5523" s="16" t="n">
        <x:v>0.192</x:v>
      </x:c>
      <x:c r="I5523" s="16" t="n">
        <x:v>0.242</x:v>
      </x:c>
      <x:c r="J5523" s="16" t="n">
        <x:v>0</x:v>
      </x:c>
      <x:c r="K5523" s="11" t="n">
        <x:f>CHOOSE('假设'!$B$3,H5523,I5523,J5523)</x:f>
        <x:v>0.242</x:v>
      </x:c>
      <x:c r="L5523" s="11" t="n">
        <x:f>K5523*'管线假设'!E1183*'管线假设'!F1183*'管线假设'!G1183*IF(E5523="USD",'管线假设'!I1183,1)-AM5523</x:f>
        <x:v>0.09083712</x:v>
      </x:c>
      <x:c r="M5523" s="11" t="n">
        <x:f>'管线假设'!H1183</x:f>
        <x:v>0.14</x:v>
      </x:c>
      <x:c r="N5523" s="11" t="n">
        <x:f>IF(G5523,L5523*AN5523/(1+M5523)^F5523,0)</x:f>
        <x:v>0.012351522299342669</x:v>
      </x:c>
      <x:c r="AJ5523" t="n">
        <x:v>0</x:v>
      </x:c>
      <x:c r="AK5523" t="n">
        <x:v>0</x:v>
      </x:c>
      <x:c r="AL5523" t="n">
        <x:v>0</x:v>
      </x:c>
      <x:c r="AM5523" t="n">
        <x:f>CHOOSE('假设'!$B$3,AJ5523,AK5523,AL5523)</x:f>
        <x:v>0</x:v>
      </x:c>
      <x:c r="AN5523" t="n">
        <x:v>1</x:v>
      </x:c>
    </x:row>
    <x:row r="5524" ht="23" customHeight="1">
      <x:c r="A5524" s="11" t="str">
        <x:v>688062.SH</x:v>
      </x:c>
      <x:c r="B5524" s="11" t="str">
        <x:v>一年</x:v>
      </x:c>
      <x:c r="C5524" s="11" t="str">
        <x:v>bfv_global</x:v>
      </x:c>
      <x:c r="D5524" s="11" t="str">
        <x:v>2043-12-31</x:v>
      </x:c>
      <x:c r="E5524" s="11" t="str">
        <x:v>USD</x:v>
      </x:c>
      <x:c r="F5524" s="11" t="n">
        <x:v>16.227241615331966</x:v>
      </x:c>
      <x:c r="G5524" s="26" t="b">
        <x:v>1</x:v>
      </x:c>
      <x:c r="H5524" s="16" t="n">
        <x:v>0.13999999999999999</x:v>
      </x:c>
      <x:c r="I5524" s="16" t="n">
        <x:v>0.09899999999999998</x:v>
      </x:c>
      <x:c r="J5524" s="16" t="n">
        <x:v>0</x:v>
      </x:c>
      <x:c r="K5524" s="11" t="n">
        <x:f>CHOOSE('假设'!$B$3,H5524,I5524,J5524)</x:f>
        <x:v>0.09899999999999998</x:v>
      </x:c>
      <x:c r="L5524" s="11" t="n">
        <x:f>K5524*'管线假设'!E1183*'管线假设'!F1183*'管线假设'!G1183*IF(E5524="USD",'管线假设'!I1183,1)-AM5524</x:f>
        <x:v>0.03716063999999999</x:v>
      </x:c>
      <x:c r="M5524" s="11" t="n">
        <x:f>'管线假设'!H1183</x:f>
        <x:v>0.14</x:v>
      </x:c>
      <x:c r="N5524" s="11" t="n">
        <x:f>IF(G5524,L5524*AN5524/(1+M5524)^F5524,0)</x:f>
        <x:v>0.004432761991299861</x:v>
      </x:c>
      <x:c r="AJ5524" t="n">
        <x:v>0</x:v>
      </x:c>
      <x:c r="AK5524" t="n">
        <x:v>0</x:v>
      </x:c>
      <x:c r="AL5524" t="n">
        <x:v>0</x:v>
      </x:c>
      <x:c r="AM5524" t="n">
        <x:f>CHOOSE('假设'!$B$3,AJ5524,AK5524,AL5524)</x:f>
        <x:v>0</x:v>
      </x:c>
      <x:c r="AN5524" t="n">
        <x:v>1</x:v>
      </x:c>
    </x:row>
    <x:row r="5525" ht="23" customHeight="1">
      <x:c r="A5525" s="11" t="str">
        <x:v>688062.SH</x:v>
      </x:c>
      <x:c r="B5525" s="11" t="str">
        <x:v>一年</x:v>
      </x:c>
      <x:c r="C5525" s="11" t="str">
        <x:v>bfv_global</x:v>
      </x:c>
      <x:c r="D5525" s="11" t="str">
        <x:v>2044-12-31</x:v>
      </x:c>
      <x:c r="E5525" s="11" t="str">
        <x:v>USD</x:v>
      </x:c>
      <x:c r="F5525" s="11" t="n">
        <x:v>17.229295003422312</x:v>
      </x:c>
      <x:c r="G5525" s="26" t="b">
        <x:v>1</x:v>
      </x:c>
      <x:c r="H5525" s="16" t="n">
        <x:v>0.088</x:v>
      </x:c>
      <x:c r="I5525" s="16" t="n">
        <x:v>0</x:v>
      </x:c>
      <x:c r="J5525" s="16" t="n">
        <x:v>0</x:v>
      </x:c>
      <x:c r="K5525" s="11" t="n">
        <x:f>CHOOSE('假设'!$B$3,H5525,I5525,J5525)</x:f>
        <x:v>0</x:v>
      </x:c>
      <x:c r="L5525" s="11" t="n">
        <x:f>K5525*'管线假设'!E1183*'管线假设'!F1183*'管线假设'!G1183*IF(E5525="USD",'管线假设'!I1183,1)-AM5525</x:f>
        <x:v>0</x:v>
      </x:c>
      <x:c r="M5525" s="11" t="n">
        <x:f>'管线假设'!H1183</x:f>
        <x:v>0.14</x:v>
      </x:c>
      <x:c r="N5525" s="11" t="n">
        <x:f>IF(G5525,L5525*AN5525/(1+M5525)^F5525,0)</x:f>
        <x:v>0</x:v>
      </x:c>
      <x:c r="AJ5525" t="n">
        <x:v>0</x:v>
      </x:c>
      <x:c r="AK5525" t="n">
        <x:v>0</x:v>
      </x:c>
      <x:c r="AL5525" t="n">
        <x:v>0</x:v>
      </x:c>
      <x:c r="AM5525" t="n">
        <x:f>CHOOSE('假设'!$B$3,AJ5525,AK5525,AL5525)</x:f>
        <x:v>0</x:v>
      </x:c>
      <x:c r="AN5525" t="n">
        <x:v>1</x:v>
      </x:c>
    </x:row>
    <x:row r="5526" ht="23" customHeight="1">
      <x:c r="A5526" s="11" t="str">
        <x:v>688062.SH</x:v>
      </x:c>
      <x:c r="B5526" s="11" t="str">
        <x:v>一年</x:v>
      </x:c>
      <x:c r="C5526" s="11" t="str">
        <x:v>bfv_global</x:v>
      </x:c>
      <x:c r="D5526" s="11" t="str">
        <x:v>2045-12-31</x:v>
      </x:c>
      <x:c r="E5526" s="11" t="str">
        <x:v>USD</x:v>
      </x:c>
      <x:c r="F5526" s="11" t="n">
        <x:v>18.22861054072553</x:v>
      </x:c>
      <x:c r="G5526" s="26" t="b">
        <x:v>1</x:v>
      </x:c>
      <x:c r="H5526" s="16" t="n">
        <x:v>0.03599999999999999</x:v>
      </x:c>
      <x:c r="I5526" s="16" t="n">
        <x:v>0</x:v>
      </x:c>
      <x:c r="J5526" s="16" t="n">
        <x:v>0</x:v>
      </x:c>
      <x:c r="K5526" s="11" t="n">
        <x:f>CHOOSE('假设'!$B$3,H5526,I5526,J5526)</x:f>
        <x:v>0</x:v>
      </x:c>
      <x:c r="L5526" s="11" t="n">
        <x:f>K5526*'管线假设'!E1183*'管线假设'!F1183*'管线假设'!G1183*IF(E5526="USD",'管线假设'!I1183,1)-AM5526</x:f>
        <x:v>0</x:v>
      </x:c>
      <x:c r="M5526" s="11" t="n">
        <x:f>'管线假设'!H1183</x:f>
        <x:v>0.14</x:v>
      </x:c>
      <x:c r="N5526" s="11" t="n">
        <x:f>IF(G5526,L5526*AN5526/(1+M5526)^F5526,0)</x:f>
        <x:v>0</x:v>
      </x:c>
      <x:c r="AJ5526" t="n">
        <x:v>0</x:v>
      </x:c>
      <x:c r="AK5526" t="n">
        <x:v>0</x:v>
      </x:c>
      <x:c r="AL5526" t="n">
        <x:v>0</x:v>
      </x:c>
      <x:c r="AM5526" t="n">
        <x:f>CHOOSE('假设'!$B$3,AJ5526,AK5526,AL5526)</x:f>
        <x:v>0</x:v>
      </x:c>
      <x:c r="AN5526" t="n">
        <x:v>1</x:v>
      </x:c>
    </x:row>
    <x:row r="5527" ht="23" customHeight="1">
      <x:c r="A5527" s="11" t="str">
        <x:v>688062.SH</x:v>
      </x:c>
      <x:c r="B5527" s="11" t="str">
        <x:v>一年</x:v>
      </x:c>
      <x:c r="C5527" s="11" t="str">
        <x:v>b7h3</x:v>
      </x:c>
      <x:c r="D5527" s="11" t="str">
        <x:v>2027-12-31</x:v>
      </x:c>
      <x:c r="E5527" s="11" t="str">
        <x:v>CNY</x:v>
      </x:c>
      <x:c r="F5527" s="11" t="n">
        <x:v>0.2272416153319644</x:v>
      </x:c>
      <x:c r="G5527" s="26" t="b">
        <x:v>1</x:v>
      </x:c>
      <x:c r="H5527" s="16" t="n">
        <x:v>0</x:v>
      </x:c>
      <x:c r="I5527" s="16" t="n">
        <x:v>0</x:v>
      </x:c>
      <x:c r="J5527" s="16" t="n">
        <x:v>0</x:v>
      </x:c>
      <x:c r="K5527" s="11" t="n">
        <x:f>CHOOSE('假设'!$B$3,H5527,I5527,J5527)</x:f>
        <x:v>0</x:v>
      </x:c>
      <x:c r="L5527" s="11" t="n">
        <x:f>K5527*'管线假设'!E1187*'管线假设'!F1187*'管线假设'!G1187*IF(E5527="USD",'管线假设'!I1187,1)-AM5527</x:f>
        <x:v>0</x:v>
      </x:c>
      <x:c r="M5527" s="11" t="n">
        <x:f>'管线假设'!H1187</x:f>
        <x:v>0.14</x:v>
      </x:c>
      <x:c r="N5527" s="11" t="n">
        <x:f>IF(G5527,L5527*AN5527/(1+M5527)^F5527,0)</x:f>
        <x:v>0</x:v>
      </x:c>
      <x:c r="AJ5527" t="n">
        <x:v>0</x:v>
      </x:c>
      <x:c r="AK5527" t="n">
        <x:v>0</x:v>
      </x:c>
      <x:c r="AL5527" t="n">
        <x:v>0</x:v>
      </x:c>
      <x:c r="AM5527" t="n">
        <x:f>CHOOSE('假设'!$B$3,AJ5527,AK5527,AL5527)</x:f>
        <x:v>0</x:v>
      </x:c>
      <x:c r="AN5527" t="n">
        <x:v>1</x:v>
      </x:c>
    </x:row>
    <x:row r="5528" ht="23" customHeight="1">
      <x:c r="A5528" s="11" t="str">
        <x:v>688062.SH</x:v>
      </x:c>
      <x:c r="B5528" s="11" t="str">
        <x:v>一年</x:v>
      </x:c>
      <x:c r="C5528" s="11" t="str">
        <x:v>b7h3</x:v>
      </x:c>
      <x:c r="D5528" s="11" t="str">
        <x:v>2028-12-31</x:v>
      </x:c>
      <x:c r="E5528" s="11" t="str">
        <x:v>CNY</x:v>
      </x:c>
      <x:c r="F5528" s="11" t="n">
        <x:v>1.2292950034223136</x:v>
      </x:c>
      <x:c r="G5528" s="26" t="b">
        <x:v>1</x:v>
      </x:c>
      <x:c r="H5528" s="16" t="n">
        <x:v>0</x:v>
      </x:c>
      <x:c r="I5528" s="16" t="n">
        <x:v>0</x:v>
      </x:c>
      <x:c r="J5528" s="16" t="n">
        <x:v>0</x:v>
      </x:c>
      <x:c r="K5528" s="11" t="n">
        <x:f>CHOOSE('假设'!$B$3,H5528,I5528,J5528)</x:f>
        <x:v>0</x:v>
      </x:c>
      <x:c r="L5528" s="11" t="n">
        <x:f>K5528*'管线假设'!E1187*'管线假设'!F1187*'管线假设'!G1187*IF(E5528="USD",'管线假设'!I1187,1)-AM5528</x:f>
        <x:v>0</x:v>
      </x:c>
      <x:c r="M5528" s="11" t="n">
        <x:f>'管线假设'!H1187</x:f>
        <x:v>0.14</x:v>
      </x:c>
      <x:c r="N5528" s="11" t="n">
        <x:f>IF(G5528,L5528*AN5528/(1+M5528)^F5528,0)</x:f>
        <x:v>0</x:v>
      </x:c>
      <x:c r="AJ5528" t="n">
        <x:v>0</x:v>
      </x:c>
      <x:c r="AK5528" t="n">
        <x:v>0</x:v>
      </x:c>
      <x:c r="AL5528" t="n">
        <x:v>0</x:v>
      </x:c>
      <x:c r="AM5528" t="n">
        <x:f>CHOOSE('假设'!$B$3,AJ5528,AK5528,AL5528)</x:f>
        <x:v>0</x:v>
      </x:c>
      <x:c r="AN5528" t="n">
        <x:v>1</x:v>
      </x:c>
    </x:row>
    <x:row r="5529" ht="23" customHeight="1">
      <x:c r="A5529" s="11" t="str">
        <x:v>688062.SH</x:v>
      </x:c>
      <x:c r="B5529" s="11" t="str">
        <x:v>一年</x:v>
      </x:c>
      <x:c r="C5529" s="11" t="str">
        <x:v>b7h3</x:v>
      </x:c>
      <x:c r="D5529" s="11" t="str">
        <x:v>2029-12-31</x:v>
      </x:c>
      <x:c r="E5529" s="11" t="str">
        <x:v>CNY</x:v>
      </x:c>
      <x:c r="F5529" s="11" t="n">
        <x:v>2.2286105407255303</x:v>
      </x:c>
      <x:c r="G5529" s="26" t="b">
        <x:v>1</x:v>
      </x:c>
      <x:c r="H5529" s="16" t="n">
        <x:v>0</x:v>
      </x:c>
      <x:c r="I5529" s="16" t="n">
        <x:v>0</x:v>
      </x:c>
      <x:c r="J5529" s="16" t="n">
        <x:v>0.5</x:v>
      </x:c>
      <x:c r="K5529" s="11" t="n">
        <x:f>CHOOSE('假设'!$B$3,H5529,I5529,J5529)</x:f>
        <x:v>0</x:v>
      </x:c>
      <x:c r="L5529" s="11" t="n">
        <x:f>K5529*'管线假设'!E1187*'管线假设'!F1187*'管线假设'!G1187*IF(E5529="USD",'管线假设'!I1187,1)-AM5529</x:f>
        <x:v>0</x:v>
      </x:c>
      <x:c r="M5529" s="11" t="n">
        <x:f>'管线假设'!H1187</x:f>
        <x:v>0.14</x:v>
      </x:c>
      <x:c r="N5529" s="11" t="n">
        <x:f>IF(G5529,L5529*AN5529/(1+M5529)^F5529,0)</x:f>
        <x:v>0</x:v>
      </x:c>
      <x:c r="AJ5529" t="n">
        <x:v>0</x:v>
      </x:c>
      <x:c r="AK5529" t="n">
        <x:v>0</x:v>
      </x:c>
      <x:c r="AL5529" t="n">
        <x:v>0</x:v>
      </x:c>
      <x:c r="AM5529" t="n">
        <x:f>CHOOSE('假设'!$B$3,AJ5529,AK5529,AL5529)</x:f>
        <x:v>0</x:v>
      </x:c>
      <x:c r="AN5529" t="n">
        <x:v>1</x:v>
      </x:c>
    </x:row>
    <x:row r="5530" ht="23" customHeight="1">
      <x:c r="A5530" s="11" t="str">
        <x:v>688062.SH</x:v>
      </x:c>
      <x:c r="B5530" s="11" t="str">
        <x:v>一年</x:v>
      </x:c>
      <x:c r="C5530" s="11" t="str">
        <x:v>b7h3</x:v>
      </x:c>
      <x:c r="D5530" s="11" t="str">
        <x:v>2030-12-31</x:v>
      </x:c>
      <x:c r="E5530" s="11" t="str">
        <x:v>CNY</x:v>
      </x:c>
      <x:c r="F5530" s="11" t="n">
        <x:v>3.2279260780287475</x:v>
      </x:c>
      <x:c r="G5530" s="26" t="b">
        <x:v>1</x:v>
      </x:c>
      <x:c r="H5530" s="16" t="n">
        <x:v>0</x:v>
      </x:c>
      <x:c r="I5530" s="16" t="n">
        <x:v>0</x:v>
      </x:c>
      <x:c r="J5530" s="16" t="n">
        <x:v>1</x:v>
      </x:c>
      <x:c r="K5530" s="11" t="n">
        <x:f>CHOOSE('假设'!$B$3,H5530,I5530,J5530)</x:f>
        <x:v>0</x:v>
      </x:c>
      <x:c r="L5530" s="11" t="n">
        <x:f>K5530*'管线假设'!E1187*'管线假设'!F1187*'管线假设'!G1187*IF(E5530="USD",'管线假设'!I1187,1)-AM5530</x:f>
        <x:v>0</x:v>
      </x:c>
      <x:c r="M5530" s="11" t="n">
        <x:f>'管线假设'!H1187</x:f>
        <x:v>0.14</x:v>
      </x:c>
      <x:c r="N5530" s="11" t="n">
        <x:f>IF(G5530,L5530*AN5530/(1+M5530)^F5530,0)</x:f>
        <x:v>0</x:v>
      </x:c>
      <x:c r="AJ5530" t="n">
        <x:v>0</x:v>
      </x:c>
      <x:c r="AK5530" t="n">
        <x:v>0</x:v>
      </x:c>
      <x:c r="AL5530" t="n">
        <x:v>0</x:v>
      </x:c>
      <x:c r="AM5530" t="n">
        <x:f>CHOOSE('假设'!$B$3,AJ5530,AK5530,AL5530)</x:f>
        <x:v>0</x:v>
      </x:c>
      <x:c r="AN5530" t="n">
        <x:v>1</x:v>
      </x:c>
    </x:row>
    <x:row r="5531" ht="23" customHeight="1">
      <x:c r="A5531" s="11" t="str">
        <x:v>688062.SH</x:v>
      </x:c>
      <x:c r="B5531" s="11" t="str">
        <x:v>一年</x:v>
      </x:c>
      <x:c r="C5531" s="11" t="str">
        <x:v>b7h3</x:v>
      </x:c>
      <x:c r="D5531" s="11" t="str">
        <x:v>2031-12-31</x:v>
      </x:c>
      <x:c r="E5531" s="11" t="str">
        <x:v>CNY</x:v>
      </x:c>
      <x:c r="F5531" s="11" t="n">
        <x:v>4.227241615331964</x:v>
      </x:c>
      <x:c r="G5531" s="26" t="b">
        <x:v>1</x:v>
      </x:c>
      <x:c r="H5531" s="16" t="n">
        <x:v>0</x:v>
      </x:c>
      <x:c r="I5531" s="16" t="n">
        <x:v>0.3</x:v>
      </x:c>
      <x:c r="J5531" s="16" t="n">
        <x:v>1.5</x:v>
      </x:c>
      <x:c r="K5531" s="11" t="n">
        <x:f>CHOOSE('假设'!$B$3,H5531,I5531,J5531)</x:f>
        <x:v>0.3</x:v>
      </x:c>
      <x:c r="L5531" s="11" t="n">
        <x:f>K5531*'管线假设'!E1187*'管线假设'!F1187*'管线假设'!G1187*IF(E5531="USD",'管线假设'!I1187,1)-AM5531</x:f>
        <x:v>0.02331</x:v>
      </x:c>
      <x:c r="M5531" s="11" t="n">
        <x:f>'管线假设'!H1187</x:f>
        <x:v>0.14</x:v>
      </x:c>
      <x:c r="N5531" s="11" t="n">
        <x:f>IF(G5531,L5531*AN5531/(1+M5531)^F5531,0)</x:f>
        <x:v>0.01339651139518515</x:v>
      </x:c>
      <x:c r="AJ5531" t="n">
        <x:v>0</x:v>
      </x:c>
      <x:c r="AK5531" t="n">
        <x:v>0</x:v>
      </x:c>
      <x:c r="AL5531" t="n">
        <x:v>0</x:v>
      </x:c>
      <x:c r="AM5531" t="n">
        <x:f>CHOOSE('假设'!$B$3,AJ5531,AK5531,AL5531)</x:f>
        <x:v>0</x:v>
      </x:c>
      <x:c r="AN5531" t="n">
        <x:v>1</x:v>
      </x:c>
    </x:row>
    <x:row r="5532" ht="23" customHeight="1">
      <x:c r="A5532" s="11" t="str">
        <x:v>688062.SH</x:v>
      </x:c>
      <x:c r="B5532" s="11" t="str">
        <x:v>一年</x:v>
      </x:c>
      <x:c r="C5532" s="11" t="str">
        <x:v>b7h3</x:v>
      </x:c>
      <x:c r="D5532" s="11" t="str">
        <x:v>2032-12-31</x:v>
      </x:c>
      <x:c r="E5532" s="11" t="str">
        <x:v>CNY</x:v>
      </x:c>
      <x:c r="F5532" s="11" t="n">
        <x:v>5.229295003422314</x:v>
      </x:c>
      <x:c r="G5532" s="26" t="b">
        <x:v>1</x:v>
      </x:c>
      <x:c r="H5532" s="16" t="n">
        <x:v>0</x:v>
      </x:c>
      <x:c r="I5532" s="16" t="n">
        <x:v>0.6</x:v>
      </x:c>
      <x:c r="J5532" s="16" t="n">
        <x:v>2</x:v>
      </x:c>
      <x:c r="K5532" s="11" t="n">
        <x:f>CHOOSE('假设'!$B$3,H5532,I5532,J5532)</x:f>
        <x:v>0.6</x:v>
      </x:c>
      <x:c r="L5532" s="11" t="n">
        <x:f>K5532*'管线假设'!E1187*'管线假设'!F1187*'管线假设'!G1187*IF(E5532="USD",'管线假设'!I1187,1)-AM5532</x:f>
        <x:v>0.04662</x:v>
      </x:c>
      <x:c r="M5532" s="11" t="n">
        <x:f>'管线假设'!H1187</x:f>
        <x:v>0.14</x:v>
      </x:c>
      <x:c r="N5532" s="11" t="n">
        <x:f>IF(G5532,L5532*AN5532/(1+M5532)^F5532,0)</x:f>
        <x:v>0.02349632898865181</x:v>
      </x:c>
      <x:c r="AJ5532" t="n">
        <x:v>0</x:v>
      </x:c>
      <x:c r="AK5532" t="n">
        <x:v>0</x:v>
      </x:c>
      <x:c r="AL5532" t="n">
        <x:v>0</x:v>
      </x:c>
      <x:c r="AM5532" t="n">
        <x:f>CHOOSE('假设'!$B$3,AJ5532,AK5532,AL5532)</x:f>
        <x:v>0</x:v>
      </x:c>
      <x:c r="AN5532" t="n">
        <x:v>1</x:v>
      </x:c>
    </x:row>
    <x:row r="5533" ht="23" customHeight="1">
      <x:c r="A5533" s="11" t="str">
        <x:v>688062.SH</x:v>
      </x:c>
      <x:c r="B5533" s="11" t="str">
        <x:v>一年</x:v>
      </x:c>
      <x:c r="C5533" s="11" t="str">
        <x:v>b7h3</x:v>
      </x:c>
      <x:c r="D5533" s="11" t="str">
        <x:v>2033-12-31</x:v>
      </x:c>
      <x:c r="E5533" s="11" t="str">
        <x:v>CNY</x:v>
      </x:c>
      <x:c r="F5533" s="11" t="n">
        <x:v>6.228610540725531</x:v>
      </x:c>
      <x:c r="G5533" s="26" t="b">
        <x:v>1</x:v>
      </x:c>
      <x:c r="H5533" s="16" t="n">
        <x:v>0</x:v>
      </x:c>
      <x:c r="I5533" s="16" t="n">
        <x:v>0.9</x:v>
      </x:c>
      <x:c r="J5533" s="16" t="n">
        <x:v>2.5</x:v>
      </x:c>
      <x:c r="K5533" s="11" t="n">
        <x:f>CHOOSE('假设'!$B$3,H5533,I5533,J5533)</x:f>
        <x:v>0.9</x:v>
      </x:c>
      <x:c r="L5533" s="11" t="n">
        <x:f>K5533*'管线假设'!E1187*'管线假设'!F1187*'管线假设'!G1187*IF(E5533="USD",'管线假设'!I1187,1)-AM5533</x:f>
        <x:v>0.06992999999999999</x:v>
      </x:c>
      <x:c r="M5533" s="11" t="n">
        <x:f>'管线假设'!H1187</x:f>
        <x:v>0.14</x:v>
      </x:c>
      <x:c r="N5533" s="11" t="n">
        <x:f>IF(G5533,L5533*AN5533/(1+M5533)^F5533,0)</x:f>
        <x:v>0.030918995167007975</x:v>
      </x:c>
      <x:c r="AJ5533" t="n">
        <x:v>0</x:v>
      </x:c>
      <x:c r="AK5533" t="n">
        <x:v>0</x:v>
      </x:c>
      <x:c r="AL5533" t="n">
        <x:v>0</x:v>
      </x:c>
      <x:c r="AM5533" t="n">
        <x:f>CHOOSE('假设'!$B$3,AJ5533,AK5533,AL5533)</x:f>
        <x:v>0</x:v>
      </x:c>
      <x:c r="AN5533" t="n">
        <x:v>1</x:v>
      </x:c>
    </x:row>
    <x:row r="5534" ht="23" customHeight="1">
      <x:c r="A5534" s="11" t="str">
        <x:v>688062.SH</x:v>
      </x:c>
      <x:c r="B5534" s="11" t="str">
        <x:v>一年</x:v>
      </x:c>
      <x:c r="C5534" s="11" t="str">
        <x:v>b7h3</x:v>
      </x:c>
      <x:c r="D5534" s="11" t="str">
        <x:v>2034-12-31</x:v>
      </x:c>
      <x:c r="E5534" s="11" t="str">
        <x:v>CNY</x:v>
      </x:c>
      <x:c r="F5534" s="11" t="n">
        <x:v>7.227926078028747</x:v>
      </x:c>
      <x:c r="G5534" s="26" t="b">
        <x:v>1</x:v>
      </x:c>
      <x:c r="H5534" s="16" t="n">
        <x:v>0.13999999999999999</x:v>
      </x:c>
      <x:c r="I5534" s="16" t="n">
        <x:v>1.2</x:v>
      </x:c>
      <x:c r="J5534" s="16" t="n">
        <x:v>3</x:v>
      </x:c>
      <x:c r="K5534" s="11" t="n">
        <x:f>CHOOSE('假设'!$B$3,H5534,I5534,J5534)</x:f>
        <x:v>1.2</x:v>
      </x:c>
      <x:c r="L5534" s="11" t="n">
        <x:f>K5534*'管线假设'!E1187*'管线假设'!F1187*'管线假设'!G1187*IF(E5534="USD",'管线假设'!I1187,1)-AM5534</x:f>
        <x:v>0.09324</x:v>
      </x:c>
      <x:c r="M5534" s="11" t="n">
        <x:f>'管线假设'!H1187</x:f>
        <x:v>0.14</x:v>
      </x:c>
      <x:c r="N5534" s="11" t="n">
        <x:f>IF(G5534,L5534*AN5534/(1+M5534)^F5534,0)</x:f>
        <x:v>0.036165810794403244</x:v>
      </x:c>
      <x:c r="AJ5534" t="n">
        <x:v>0</x:v>
      </x:c>
      <x:c r="AK5534" t="n">
        <x:v>0</x:v>
      </x:c>
      <x:c r="AL5534" t="n">
        <x:v>0</x:v>
      </x:c>
      <x:c r="AM5534" t="n">
        <x:f>CHOOSE('假设'!$B$3,AJ5534,AK5534,AL5534)</x:f>
        <x:v>0</x:v>
      </x:c>
      <x:c r="AN5534" t="n">
        <x:v>1</x:v>
      </x:c>
    </x:row>
    <x:row r="5535" ht="23" customHeight="1">
      <x:c r="A5535" s="11" t="str">
        <x:v>688062.SH</x:v>
      </x:c>
      <x:c r="B5535" s="11" t="str">
        <x:v>一年</x:v>
      </x:c>
      <x:c r="C5535" s="11" t="str">
        <x:v>b7h3</x:v>
      </x:c>
      <x:c r="D5535" s="11" t="str">
        <x:v>2035-12-31</x:v>
      </x:c>
      <x:c r="E5535" s="11" t="str">
        <x:v>CNY</x:v>
      </x:c>
      <x:c r="F5535" s="11" t="n">
        <x:v>8.227241615331964</x:v>
      </x:c>
      <x:c r="G5535" s="26" t="b">
        <x:v>1</x:v>
      </x:c>
      <x:c r="H5535" s="16" t="n">
        <x:v>0.27999999999999997</x:v>
      </x:c>
      <x:c r="I5535" s="16" t="n">
        <x:v>1.5</x:v>
      </x:c>
      <x:c r="J5535" s="16" t="n">
        <x:v>2.61</x:v>
      </x:c>
      <x:c r="K5535" s="11" t="n">
        <x:f>CHOOSE('假设'!$B$3,H5535,I5535,J5535)</x:f>
        <x:v>1.5</x:v>
      </x:c>
      <x:c r="L5535" s="11" t="n">
        <x:f>K5535*'管线假设'!E1187*'管线假设'!F1187*'管线假设'!G1187*IF(E5535="USD",'管线假设'!I1187,1)-AM5535</x:f>
        <x:v>0.11655</x:v>
      </x:c>
      <x:c r="M5535" s="11" t="n">
        <x:f>'管线假设'!H1187</x:f>
        <x:v>0.14</x:v>
      </x:c>
      <x:c r="N5535" s="11" t="n">
        <x:f>IF(G5535,L5535*AN5535/(1+M5535)^F5535,0)</x:f>
        <x:v>0.03965905091327064</x:v>
      </x:c>
      <x:c r="AJ5535" t="n">
        <x:v>0</x:v>
      </x:c>
      <x:c r="AK5535" t="n">
        <x:v>0</x:v>
      </x:c>
      <x:c r="AL5535" t="n">
        <x:v>0</x:v>
      </x:c>
      <x:c r="AM5535" t="n">
        <x:f>CHOOSE('假设'!$B$3,AJ5535,AK5535,AL5535)</x:f>
        <x:v>0</x:v>
      </x:c>
      <x:c r="AN5535" t="n">
        <x:v>1</x:v>
      </x:c>
    </x:row>
    <x:row r="5536" ht="23" customHeight="1">
      <x:c r="A5536" s="11" t="str">
        <x:v>688062.SH</x:v>
      </x:c>
      <x:c r="B5536" s="11" t="str">
        <x:v>一年</x:v>
      </x:c>
      <x:c r="C5536" s="11" t="str">
        <x:v>b7h3</x:v>
      </x:c>
      <x:c r="D5536" s="11" t="str">
        <x:v>2036-12-31</x:v>
      </x:c>
      <x:c r="E5536" s="11" t="str">
        <x:v>CNY</x:v>
      </x:c>
      <x:c r="F5536" s="11" t="n">
        <x:v>9.229295003422314</x:v>
      </x:c>
      <x:c r="G5536" s="26" t="b">
        <x:v>1</x:v>
      </x:c>
      <x:c r="H5536" s="16" t="n">
        <x:v>0.42</x:v>
      </x:c>
      <x:c r="I5536" s="16" t="n">
        <x:v>1.8</x:v>
      </x:c>
      <x:c r="J5536" s="16" t="n">
        <x:v>2.2199999999999998</x:v>
      </x:c>
      <x:c r="K5536" s="11" t="n">
        <x:f>CHOOSE('假设'!$B$3,H5536,I5536,J5536)</x:f>
        <x:v>1.8</x:v>
      </x:c>
      <x:c r="L5536" s="11" t="n">
        <x:f>K5536*'管线假设'!E1187*'管线假设'!F1187*'管线假设'!G1187*IF(E5536="USD",'管线假设'!I1187,1)-AM5536</x:f>
        <x:v>0.13985999999999998</x:v>
      </x:c>
      <x:c r="M5536" s="11" t="n">
        <x:f>'管线假设'!H1187</x:f>
        <x:v>0.14</x:v>
      </x:c>
      <x:c r="N5536" s="11" t="n">
        <x:f>IF(G5536,L5536*AN5536/(1+M5536)^F5536,0)</x:f>
        <x:v>0.04173513895434656</x:v>
      </x:c>
      <x:c r="AJ5536" t="n">
        <x:v>0</x:v>
      </x:c>
      <x:c r="AK5536" t="n">
        <x:v>0</x:v>
      </x:c>
      <x:c r="AL5536" t="n">
        <x:v>0</x:v>
      </x:c>
      <x:c r="AM5536" t="n">
        <x:f>CHOOSE('假设'!$B$3,AJ5536,AK5536,AL5536)</x:f>
        <x:v>0</x:v>
      </x:c>
      <x:c r="AN5536" t="n">
        <x:v>1</x:v>
      </x:c>
    </x:row>
    <x:row r="5537" ht="23" customHeight="1">
      <x:c r="A5537" s="11" t="str">
        <x:v>688062.SH</x:v>
      </x:c>
      <x:c r="B5537" s="11" t="str">
        <x:v>一年</x:v>
      </x:c>
      <x:c r="C5537" s="11" t="str">
        <x:v>b7h3</x:v>
      </x:c>
      <x:c r="D5537" s="11" t="str">
        <x:v>2037-12-31</x:v>
      </x:c>
      <x:c r="E5537" s="11" t="str">
        <x:v>CNY</x:v>
      </x:c>
      <x:c r="F5537" s="11" t="n">
        <x:v>10.22861054072553</x:v>
      </x:c>
      <x:c r="G5537" s="26" t="b">
        <x:v>1</x:v>
      </x:c>
      <x:c r="H5537" s="16" t="n">
        <x:v>0.5599999999999999</x:v>
      </x:c>
      <x:c r="I5537" s="16" t="n">
        <x:v>1.566</x:v>
      </x:c>
      <x:c r="J5537" s="16" t="n">
        <x:v>1.83</x:v>
      </x:c>
      <x:c r="K5537" s="11" t="n">
        <x:f>CHOOSE('假设'!$B$3,H5537,I5537,J5537)</x:f>
        <x:v>1.566</x:v>
      </x:c>
      <x:c r="L5537" s="11" t="n">
        <x:f>K5537*'管线假设'!E1187*'管线假设'!F1187*'管线假设'!G1187*IF(E5537="USD",'管线假设'!I1187,1)-AM5537</x:f>
        <x:v>0.1216782</x:v>
      </x:c>
      <x:c r="M5537" s="11" t="n">
        <x:f>'管线假设'!H1187</x:f>
        <x:v>0.14</x:v>
      </x:c>
      <x:c r="N5537" s="11" t="n">
        <x:f>IF(G5537,L5537*AN5537/(1+M5537)^F5537,0)</x:f>
        <x:v>0.03185335738801196</x:v>
      </x:c>
      <x:c r="AJ5537" t="n">
        <x:v>0</x:v>
      </x:c>
      <x:c r="AK5537" t="n">
        <x:v>0</x:v>
      </x:c>
      <x:c r="AL5537" t="n">
        <x:v>0</x:v>
      </x:c>
      <x:c r="AM5537" t="n">
        <x:f>CHOOSE('假设'!$B$3,AJ5537,AK5537,AL5537)</x:f>
        <x:v>0</x:v>
      </x:c>
      <x:c r="AN5537" t="n">
        <x:v>1</x:v>
      </x:c>
    </x:row>
    <x:row r="5538" ht="23" customHeight="1">
      <x:c r="A5538" s="11" t="str">
        <x:v>688062.SH</x:v>
      </x:c>
      <x:c r="B5538" s="11" t="str">
        <x:v>一年</x:v>
      </x:c>
      <x:c r="C5538" s="11" t="str">
        <x:v>b7h3</x:v>
      </x:c>
      <x:c r="D5538" s="11" t="str">
        <x:v>2038-12-31</x:v>
      </x:c>
      <x:c r="E5538" s="11" t="str">
        <x:v>CNY</x:v>
      </x:c>
      <x:c r="F5538" s="11" t="n">
        <x:v>11.227926078028748</x:v>
      </x:c>
      <x:c r="G5538" s="26" t="b">
        <x:v>1</x:v>
      </x:c>
      <x:c r="H5538" s="16" t="n">
        <x:v>0.7</x:v>
      </x:c>
      <x:c r="I5538" s="16" t="n">
        <x:v>1.332</x:v>
      </x:c>
      <x:c r="J5538" s="16" t="n">
        <x:v>1.44</x:v>
      </x:c>
      <x:c r="K5538" s="11" t="n">
        <x:f>CHOOSE('假设'!$B$3,H5538,I5538,J5538)</x:f>
        <x:v>1.332</x:v>
      </x:c>
      <x:c r="L5538" s="11" t="n">
        <x:f>K5538*'管线假设'!E1187*'管线假设'!F1187*'管线假设'!G1187*IF(E5538="USD",'管线假设'!I1187,1)-AM5538</x:f>
        <x:v>0.1034964</x:v>
      </x:c>
      <x:c r="M5538" s="11" t="n">
        <x:f>'管线假设'!H1187</x:f>
        <x:v>0.14</x:v>
      </x:c>
      <x:c r="N5538" s="11" t="n">
        <x:f>IF(G5538,L5538*AN5538/(1+M5538)^F5538,0)</x:f>
        <x:v>0.023768500247979548</x:v>
      </x:c>
      <x:c r="AJ5538" t="n">
        <x:v>0</x:v>
      </x:c>
      <x:c r="AK5538" t="n">
        <x:v>0</x:v>
      </x:c>
      <x:c r="AL5538" t="n">
        <x:v>0</x:v>
      </x:c>
      <x:c r="AM5538" t="n">
        <x:f>CHOOSE('假设'!$B$3,AJ5538,AK5538,AL5538)</x:f>
        <x:v>0</x:v>
      </x:c>
      <x:c r="AN5538" t="n">
        <x:v>1</x:v>
      </x:c>
    </x:row>
    <x:row r="5539" ht="23" customHeight="1">
      <x:c r="A5539" s="11" t="str">
        <x:v>688062.SH</x:v>
      </x:c>
      <x:c r="B5539" s="11" t="str">
        <x:v>一年</x:v>
      </x:c>
      <x:c r="C5539" s="11" t="str">
        <x:v>b7h3</x:v>
      </x:c>
      <x:c r="D5539" s="11" t="str">
        <x:v>2039-12-31</x:v>
      </x:c>
      <x:c r="E5539" s="11" t="str">
        <x:v>CNY</x:v>
      </x:c>
      <x:c r="F5539" s="11" t="n">
        <x:v>12.227241615331964</x:v>
      </x:c>
      <x:c r="G5539" s="26" t="b">
        <x:v>1</x:v>
      </x:c>
      <x:c r="H5539" s="16" t="n">
        <x:v>0.609</x:v>
      </x:c>
      <x:c r="I5539" s="16" t="n">
        <x:v>1.098</x:v>
      </x:c>
      <x:c r="J5539" s="16" t="n">
        <x:v>1.0499999999999998</x:v>
      </x:c>
      <x:c r="K5539" s="11" t="n">
        <x:f>CHOOSE('假设'!$B$3,H5539,I5539,J5539)</x:f>
        <x:v>1.098</x:v>
      </x:c>
      <x:c r="L5539" s="11" t="n">
        <x:f>K5539*'管线假设'!E1187*'管线假设'!F1187*'管线假设'!G1187*IF(E5539="USD",'管线假设'!I1187,1)-AM5539</x:f>
        <x:v>0.0853146</x:v>
      </x:c>
      <x:c r="M5539" s="11" t="n">
        <x:f>'管线假设'!H1187</x:f>
        <x:v>0.14</x:v>
      </x:c>
      <x:c r="N5539" s="11" t="n">
        <x:f>IF(G5539,L5539*AN5539/(1+M5539)^F5539,0)</x:f>
        <x:v>0.01718834224515639</x:v>
      </x:c>
      <x:c r="AJ5539" t="n">
        <x:v>0</x:v>
      </x:c>
      <x:c r="AK5539" t="n">
        <x:v>0</x:v>
      </x:c>
      <x:c r="AL5539" t="n">
        <x:v>0</x:v>
      </x:c>
      <x:c r="AM5539" t="n">
        <x:f>CHOOSE('假设'!$B$3,AJ5539,AK5539,AL5539)</x:f>
        <x:v>0</x:v>
      </x:c>
      <x:c r="AN5539" t="n">
        <x:v>1</x:v>
      </x:c>
    </x:row>
    <x:row r="5540" ht="23" customHeight="1">
      <x:c r="A5540" s="11" t="str">
        <x:v>688062.SH</x:v>
      </x:c>
      <x:c r="B5540" s="11" t="str">
        <x:v>一年</x:v>
      </x:c>
      <x:c r="C5540" s="11" t="str">
        <x:v>b7h3</x:v>
      </x:c>
      <x:c r="D5540" s="11" t="str">
        <x:v>2040-12-31</x:v>
      </x:c>
      <x:c r="E5540" s="11" t="str">
        <x:v>CNY</x:v>
      </x:c>
      <x:c r="F5540" s="11" t="n">
        <x:v>13.229295003422314</x:v>
      </x:c>
      <x:c r="G5540" s="26" t="b">
        <x:v>1</x:v>
      </x:c>
      <x:c r="H5540" s="16" t="n">
        <x:v>0.518</x:v>
      </x:c>
      <x:c r="I5540" s="16" t="n">
        <x:v>0.864</x:v>
      </x:c>
      <x:c r="J5540" s="16" t="n">
        <x:v>0.6599999999999999</x:v>
      </x:c>
      <x:c r="K5540" s="11" t="n">
        <x:f>CHOOSE('假设'!$B$3,H5540,I5540,J5540)</x:f>
        <x:v>0.864</x:v>
      </x:c>
      <x:c r="L5540" s="11" t="n">
        <x:f>K5540*'管线假设'!E1187*'管线假设'!F1187*'管线假设'!G1187*IF(E5540="USD",'管线假设'!I1187,1)-AM5540</x:f>
        <x:v>0.06713279999999999</x:v>
      </x:c>
      <x:c r="M5540" s="11" t="n">
        <x:f>'管线假设'!H1187</x:f>
        <x:v>0.14</x:v>
      </x:c>
      <x:c r="N5540" s="11" t="n">
        <x:f>IF(G5540,L5540*AN5540/(1+M5540)^F5540,0)</x:f>
        <x:v>0.011861065271122998</x:v>
      </x:c>
      <x:c r="AJ5540" t="n">
        <x:v>0</x:v>
      </x:c>
      <x:c r="AK5540" t="n">
        <x:v>0</x:v>
      </x:c>
      <x:c r="AL5540" t="n">
        <x:v>0</x:v>
      </x:c>
      <x:c r="AM5540" t="n">
        <x:f>CHOOSE('假设'!$B$3,AJ5540,AK5540,AL5540)</x:f>
        <x:v>0</x:v>
      </x:c>
      <x:c r="AN5540" t="n">
        <x:v>1</x:v>
      </x:c>
    </x:row>
    <x:row r="5541" ht="23" customHeight="1">
      <x:c r="A5541" s="11" t="str">
        <x:v>688062.SH</x:v>
      </x:c>
      <x:c r="B5541" s="11" t="str">
        <x:v>一年</x:v>
      </x:c>
      <x:c r="C5541" s="11" t="str">
        <x:v>b7h3</x:v>
      </x:c>
      <x:c r="D5541" s="11" t="str">
        <x:v>2041-12-31</x:v>
      </x:c>
      <x:c r="E5541" s="11" t="str">
        <x:v>CNY</x:v>
      </x:c>
      <x:c r="F5541" s="11" t="n">
        <x:v>14.22861054072553</x:v>
      </x:c>
      <x:c r="G5541" s="26" t="b">
        <x:v>1</x:v>
      </x:c>
      <x:c r="H5541" s="16" t="n">
        <x:v>0.427</x:v>
      </x:c>
      <x:c r="I5541" s="16" t="n">
        <x:v>0.63</x:v>
      </x:c>
      <x:c r="J5541" s="16" t="n">
        <x:v>0.2699999999999999</x:v>
      </x:c>
      <x:c r="K5541" s="11" t="n">
        <x:f>CHOOSE('假设'!$B$3,H5541,I5541,J5541)</x:f>
        <x:v>0.63</x:v>
      </x:c>
      <x:c r="L5541" s="11" t="n">
        <x:f>K5541*'管线假设'!E1187*'管线假设'!F1187*'管线假设'!G1187*IF(E5541="USD",'管线假设'!I1187,1)-AM5541</x:f>
        <x:v>0.048951</x:v>
      </x:c>
      <x:c r="M5541" s="11" t="n">
        <x:f>'管线假设'!H1187</x:f>
        <x:v>0.14</x:v>
      </x:c>
      <x:c r="N5541" s="11" t="n">
        <x:f>IF(G5541,L5541*AN5541/(1+M5541)^F5541,0)</x:f>
        <x:v>0.007587253605877084</x:v>
      </x:c>
      <x:c r="AJ5541" t="n">
        <x:v>0</x:v>
      </x:c>
      <x:c r="AK5541" t="n">
        <x:v>0</x:v>
      </x:c>
      <x:c r="AL5541" t="n">
        <x:v>0</x:v>
      </x:c>
      <x:c r="AM5541" t="n">
        <x:f>CHOOSE('假设'!$B$3,AJ5541,AK5541,AL5541)</x:f>
        <x:v>0</x:v>
      </x:c>
      <x:c r="AN5541" t="n">
        <x:v>1</x:v>
      </x:c>
    </x:row>
    <x:row r="5542" ht="23" customHeight="1">
      <x:c r="A5542" s="11" t="str">
        <x:v>688062.SH</x:v>
      </x:c>
      <x:c r="B5542" s="11" t="str">
        <x:v>一年</x:v>
      </x:c>
      <x:c r="C5542" s="11" t="str">
        <x:v>b7h3</x:v>
      </x:c>
      <x:c r="D5542" s="11" t="str">
        <x:v>2042-12-31</x:v>
      </x:c>
      <x:c r="E5542" s="11" t="str">
        <x:v>CNY</x:v>
      </x:c>
      <x:c r="F5542" s="11" t="n">
        <x:v>15.227926078028748</x:v>
      </x:c>
      <x:c r="G5542" s="26" t="b">
        <x:v>1</x:v>
      </x:c>
      <x:c r="H5542" s="16" t="n">
        <x:v>0.33599999999999997</x:v>
      </x:c>
      <x:c r="I5542" s="16" t="n">
        <x:v>0.39599999999999996</x:v>
      </x:c>
      <x:c r="J5542" s="16" t="n">
        <x:v>0</x:v>
      </x:c>
      <x:c r="K5542" s="11" t="n">
        <x:f>CHOOSE('假设'!$B$3,H5542,I5542,J5542)</x:f>
        <x:v>0.39599999999999996</x:v>
      </x:c>
      <x:c r="L5542" s="11" t="n">
        <x:f>K5542*'管线假设'!E1187*'管线假设'!F1187*'管线假设'!G1187*IF(E5542="USD",'管线假设'!I1187,1)-AM5542</x:f>
        <x:v>0.030769199999999997</x:v>
      </x:c>
      <x:c r="M5542" s="11" t="n">
        <x:f>'管线假设'!H1187</x:f>
        <x:v>0.14</x:v>
      </x:c>
      <x:c r="N5542" s="11" t="n">
        <x:f>IF(G5542,L5542*AN5542/(1+M5542)^F5542,0)</x:f>
        <x:v>0.004183823308499151</x:v>
      </x:c>
      <x:c r="AJ5542" t="n">
        <x:v>0</x:v>
      </x:c>
      <x:c r="AK5542" t="n">
        <x:v>0</x:v>
      </x:c>
      <x:c r="AL5542" t="n">
        <x:v>0</x:v>
      </x:c>
      <x:c r="AM5542" t="n">
        <x:f>CHOOSE('假设'!$B$3,AJ5542,AK5542,AL5542)</x:f>
        <x:v>0</x:v>
      </x:c>
      <x:c r="AN5542" t="n">
        <x:v>1</x:v>
      </x:c>
    </x:row>
    <x:row r="5543" ht="23" customHeight="1">
      <x:c r="A5543" s="11" t="str">
        <x:v>688062.SH</x:v>
      </x:c>
      <x:c r="B5543" s="11" t="str">
        <x:v>一年</x:v>
      </x:c>
      <x:c r="C5543" s="11" t="str">
        <x:v>b7h3</x:v>
      </x:c>
      <x:c r="D5543" s="11" t="str">
        <x:v>2043-12-31</x:v>
      </x:c>
      <x:c r="E5543" s="11" t="str">
        <x:v>CNY</x:v>
      </x:c>
      <x:c r="F5543" s="11" t="n">
        <x:v>16.227241615331966</x:v>
      </x:c>
      <x:c r="G5543" s="26" t="b">
        <x:v>1</x:v>
      </x:c>
      <x:c r="H5543" s="16" t="n">
        <x:v>0.24499999999999997</x:v>
      </x:c>
      <x:c r="I5543" s="16" t="n">
        <x:v>0.16199999999999995</x:v>
      </x:c>
      <x:c r="J5543" s="16" t="n">
        <x:v>0</x:v>
      </x:c>
      <x:c r="K5543" s="11" t="n">
        <x:f>CHOOSE('假设'!$B$3,H5543,I5543,J5543)</x:f>
        <x:v>0.16199999999999995</x:v>
      </x:c>
      <x:c r="L5543" s="11" t="n">
        <x:f>K5543*'管线假设'!E1187*'管线假设'!F1187*'管线假设'!G1187*IF(E5543="USD",'管线假设'!I1187,1)-AM5543</x:f>
        <x:v>0.012587399999999997</x:v>
      </x:c>
      <x:c r="M5543" s="11" t="n">
        <x:f>'管线假设'!H1187</x:f>
        <x:v>0.14</x:v>
      </x:c>
      <x:c r="N5543" s="11" t="n">
        <x:f>IF(G5543,L5543*AN5543/(1+M5543)^F5543,0)</x:f>
        <x:v>0.0015015066556789086</x:v>
      </x:c>
      <x:c r="AJ5543" t="n">
        <x:v>0</x:v>
      </x:c>
      <x:c r="AK5543" t="n">
        <x:v>0</x:v>
      </x:c>
      <x:c r="AL5543" t="n">
        <x:v>0</x:v>
      </x:c>
      <x:c r="AM5543" t="n">
        <x:f>CHOOSE('假设'!$B$3,AJ5543,AK5543,AL5543)</x:f>
        <x:v>0</x:v>
      </x:c>
      <x:c r="AN5543" t="n">
        <x:v>1</x:v>
      </x:c>
    </x:row>
    <x:row r="5544" ht="23" customHeight="1">
      <x:c r="A5544" s="11" t="str">
        <x:v>688062.SH</x:v>
      </x:c>
      <x:c r="B5544" s="11" t="str">
        <x:v>一年</x:v>
      </x:c>
      <x:c r="C5544" s="11" t="str">
        <x:v>b7h3</x:v>
      </x:c>
      <x:c r="D5544" s="11" t="str">
        <x:v>2044-12-31</x:v>
      </x:c>
      <x:c r="E5544" s="11" t="str">
        <x:v>CNY</x:v>
      </x:c>
      <x:c r="F5544" s="11" t="n">
        <x:v>17.229295003422312</x:v>
      </x:c>
      <x:c r="G5544" s="26" t="b">
        <x:v>1</x:v>
      </x:c>
      <x:c r="H5544" s="16" t="n">
        <x:v>0.15399999999999997</x:v>
      </x:c>
      <x:c r="I5544" s="16" t="n">
        <x:v>0</x:v>
      </x:c>
      <x:c r="J5544" s="16" t="n">
        <x:v>0</x:v>
      </x:c>
      <x:c r="K5544" s="11" t="n">
        <x:f>CHOOSE('假设'!$B$3,H5544,I5544,J5544)</x:f>
        <x:v>0</x:v>
      </x:c>
      <x:c r="L5544" s="11" t="n">
        <x:f>K5544*'管线假设'!E1187*'管线假设'!F1187*'管线假设'!G1187*IF(E5544="USD",'管线假设'!I1187,1)-AM5544</x:f>
        <x:v>0</x:v>
      </x:c>
      <x:c r="M5544" s="11" t="n">
        <x:f>'管线假设'!H1187</x:f>
        <x:v>0.14</x:v>
      </x:c>
      <x:c r="N5544" s="11" t="n">
        <x:f>IF(G5544,L5544*AN5544/(1+M5544)^F5544,0)</x:f>
        <x:v>0</x:v>
      </x:c>
      <x:c r="AJ5544" t="n">
        <x:v>0</x:v>
      </x:c>
      <x:c r="AK5544" t="n">
        <x:v>0</x:v>
      </x:c>
      <x:c r="AL5544" t="n">
        <x:v>0</x:v>
      </x:c>
      <x:c r="AM5544" t="n">
        <x:f>CHOOSE('假设'!$B$3,AJ5544,AK5544,AL5544)</x:f>
        <x:v>0</x:v>
      </x:c>
      <x:c r="AN5544" t="n">
        <x:v>1</x:v>
      </x:c>
    </x:row>
    <x:row r="5545" ht="23" customHeight="1">
      <x:c r="A5545" s="11" t="str">
        <x:v>688062.SH</x:v>
      </x:c>
      <x:c r="B5545" s="11" t="str">
        <x:v>一年</x:v>
      </x:c>
      <x:c r="C5545" s="11" t="str">
        <x:v>b7h3</x:v>
      </x:c>
      <x:c r="D5545" s="11" t="str">
        <x:v>2045-12-31</x:v>
      </x:c>
      <x:c r="E5545" s="11" t="str">
        <x:v>CNY</x:v>
      </x:c>
      <x:c r="F5545" s="11" t="n">
        <x:v>18.22861054072553</x:v>
      </x:c>
      <x:c r="G5545" s="26" t="b">
        <x:v>1</x:v>
      </x:c>
      <x:c r="H5545" s="16" t="n">
        <x:v>0.06299999999999997</x:v>
      </x:c>
      <x:c r="I5545" s="16" t="n">
        <x:v>0</x:v>
      </x:c>
      <x:c r="J5545" s="16" t="n">
        <x:v>0</x:v>
      </x:c>
      <x:c r="K5545" s="11" t="n">
        <x:f>CHOOSE('假设'!$B$3,H5545,I5545,J5545)</x:f>
        <x:v>0</x:v>
      </x:c>
      <x:c r="L5545" s="11" t="n">
        <x:f>K5545*'管线假设'!E1187*'管线假设'!F1187*'管线假设'!G1187*IF(E5545="USD",'管线假设'!I1187,1)-AM5545</x:f>
        <x:v>0</x:v>
      </x:c>
      <x:c r="M5545" s="11" t="n">
        <x:f>'管线假设'!H1187</x:f>
        <x:v>0.14</x:v>
      </x:c>
      <x:c r="N5545" s="11" t="n">
        <x:f>IF(G5545,L5545*AN5545/(1+M5545)^F5545,0)</x:f>
        <x:v>0</x:v>
      </x:c>
      <x:c r="AJ5545" t="n">
        <x:v>0</x:v>
      </x:c>
      <x:c r="AK5545" t="n">
        <x:v>0</x:v>
      </x:c>
      <x:c r="AL5545" t="n">
        <x:v>0</x:v>
      </x:c>
      <x:c r="AM5545" t="n">
        <x:f>CHOOSE('假设'!$B$3,AJ5545,AK5545,AL5545)</x:f>
        <x:v>0</x:v>
      </x:c>
      <x:c r="AN5545" t="n">
        <x:v>1</x:v>
      </x:c>
    </x:row>
    <x:row r="5546" ht="23" customHeight="1">
      <x:c r="A5546" s="11" t="str">
        <x:v>688062.SH</x:v>
      </x:c>
      <x:c r="B5546" s="11" t="str">
        <x:v>一年</x:v>
      </x:c>
      <x:c r="C5546" s="11" t="str">
        <x:v>cdh17</x:v>
      </x:c>
      <x:c r="D5546" s="11" t="str">
        <x:v>2027-12-31</x:v>
      </x:c>
      <x:c r="E5546" s="11" t="str">
        <x:v>CNY</x:v>
      </x:c>
      <x:c r="F5546" s="11" t="n">
        <x:v>0.2272416153319644</x:v>
      </x:c>
      <x:c r="G5546" s="26" t="b">
        <x:v>1</x:v>
      </x:c>
      <x:c r="H5546" s="16" t="n">
        <x:v>0</x:v>
      </x:c>
      <x:c r="I5546" s="16" t="n">
        <x:v>0</x:v>
      </x:c>
      <x:c r="J5546" s="16" t="n">
        <x:v>0</x:v>
      </x:c>
      <x:c r="K5546" s="11" t="n">
        <x:f>CHOOSE('假设'!$B$3,H5546,I5546,J5546)</x:f>
        <x:v>0</x:v>
      </x:c>
      <x:c r="L5546" s="11" t="n">
        <x:f>K5546*'管线假设'!E1191*'管线假设'!F1191*'管线假设'!G1191*IF(E5546="USD",'管线假设'!I1191,1)-AM5546</x:f>
        <x:v>0</x:v>
      </x:c>
      <x:c r="M5546" s="11" t="n">
        <x:f>'管线假设'!H1191</x:f>
        <x:v>0.14</x:v>
      </x:c>
      <x:c r="N5546" s="11" t="n">
        <x:f>IF(G5546,L5546*AN5546/(1+M5546)^F5546,0)</x:f>
        <x:v>0</x:v>
      </x:c>
      <x:c r="AJ5546" t="n">
        <x:v>0</x:v>
      </x:c>
      <x:c r="AK5546" t="n">
        <x:v>0</x:v>
      </x:c>
      <x:c r="AL5546" t="n">
        <x:v>0</x:v>
      </x:c>
      <x:c r="AM5546" t="n">
        <x:f>CHOOSE('假设'!$B$3,AJ5546,AK5546,AL5546)</x:f>
        <x:v>0</x:v>
      </x:c>
      <x:c r="AN5546" t="n">
        <x:v>1</x:v>
      </x:c>
    </x:row>
    <x:row r="5547" ht="23" customHeight="1">
      <x:c r="A5547" s="11" t="str">
        <x:v>688062.SH</x:v>
      </x:c>
      <x:c r="B5547" s="11" t="str">
        <x:v>一年</x:v>
      </x:c>
      <x:c r="C5547" s="11" t="str">
        <x:v>cdh17</x:v>
      </x:c>
      <x:c r="D5547" s="11" t="str">
        <x:v>2028-12-31</x:v>
      </x:c>
      <x:c r="E5547" s="11" t="str">
        <x:v>CNY</x:v>
      </x:c>
      <x:c r="F5547" s="11" t="n">
        <x:v>1.2292950034223136</x:v>
      </x:c>
      <x:c r="G5547" s="26" t="b">
        <x:v>1</x:v>
      </x:c>
      <x:c r="H5547" s="16" t="n">
        <x:v>0</x:v>
      </x:c>
      <x:c r="I5547" s="16" t="n">
        <x:v>0</x:v>
      </x:c>
      <x:c r="J5547" s="16" t="n">
        <x:v>0</x:v>
      </x:c>
      <x:c r="K5547" s="11" t="n">
        <x:f>CHOOSE('假设'!$B$3,H5547,I5547,J5547)</x:f>
        <x:v>0</x:v>
      </x:c>
      <x:c r="L5547" s="11" t="n">
        <x:f>K5547*'管线假设'!E1191*'管线假设'!F1191*'管线假设'!G1191*IF(E5547="USD",'管线假设'!I1191,1)-AM5547</x:f>
        <x:v>0</x:v>
      </x:c>
      <x:c r="M5547" s="11" t="n">
        <x:f>'管线假设'!H1191</x:f>
        <x:v>0.14</x:v>
      </x:c>
      <x:c r="N5547" s="11" t="n">
        <x:f>IF(G5547,L5547*AN5547/(1+M5547)^F5547,0)</x:f>
        <x:v>0</x:v>
      </x:c>
      <x:c r="AJ5547" t="n">
        <x:v>0</x:v>
      </x:c>
      <x:c r="AK5547" t="n">
        <x:v>0</x:v>
      </x:c>
      <x:c r="AL5547" t="n">
        <x:v>0</x:v>
      </x:c>
      <x:c r="AM5547" t="n">
        <x:f>CHOOSE('假设'!$B$3,AJ5547,AK5547,AL5547)</x:f>
        <x:v>0</x:v>
      </x:c>
      <x:c r="AN5547" t="n">
        <x:v>1</x:v>
      </x:c>
    </x:row>
    <x:row r="5548" ht="23" customHeight="1">
      <x:c r="A5548" s="11" t="str">
        <x:v>688062.SH</x:v>
      </x:c>
      <x:c r="B5548" s="11" t="str">
        <x:v>一年</x:v>
      </x:c>
      <x:c r="C5548" s="11" t="str">
        <x:v>cdh17</x:v>
      </x:c>
      <x:c r="D5548" s="11" t="str">
        <x:v>2029-12-31</x:v>
      </x:c>
      <x:c r="E5548" s="11" t="str">
        <x:v>CNY</x:v>
      </x:c>
      <x:c r="F5548" s="11" t="n">
        <x:v>2.2286105407255303</x:v>
      </x:c>
      <x:c r="G5548" s="26" t="b">
        <x:v>1</x:v>
      </x:c>
      <x:c r="H5548" s="16" t="n">
        <x:v>0</x:v>
      </x:c>
      <x:c r="I5548" s="16" t="n">
        <x:v>0</x:v>
      </x:c>
      <x:c r="J5548" s="16" t="n">
        <x:v>0</x:v>
      </x:c>
      <x:c r="K5548" s="11" t="n">
        <x:f>CHOOSE('假设'!$B$3,H5548,I5548,J5548)</x:f>
        <x:v>0</x:v>
      </x:c>
      <x:c r="L5548" s="11" t="n">
        <x:f>K5548*'管线假设'!E1191*'管线假设'!F1191*'管线假设'!G1191*IF(E5548="USD",'管线假设'!I1191,1)-AM5548</x:f>
        <x:v>0</x:v>
      </x:c>
      <x:c r="M5548" s="11" t="n">
        <x:f>'管线假设'!H1191</x:f>
        <x:v>0.14</x:v>
      </x:c>
      <x:c r="N5548" s="11" t="n">
        <x:f>IF(G5548,L5548*AN5548/(1+M5548)^F5548,0)</x:f>
        <x:v>0</x:v>
      </x:c>
      <x:c r="AJ5548" t="n">
        <x:v>0</x:v>
      </x:c>
      <x:c r="AK5548" t="n">
        <x:v>0</x:v>
      </x:c>
      <x:c r="AL5548" t="n">
        <x:v>0</x:v>
      </x:c>
      <x:c r="AM5548" t="n">
        <x:f>CHOOSE('假设'!$B$3,AJ5548,AK5548,AL5548)</x:f>
        <x:v>0</x:v>
      </x:c>
      <x:c r="AN5548" t="n">
        <x:v>1</x:v>
      </x:c>
    </x:row>
    <x:row r="5549" ht="23" customHeight="1">
      <x:c r="A5549" s="11" t="str">
        <x:v>688062.SH</x:v>
      </x:c>
      <x:c r="B5549" s="11" t="str">
        <x:v>一年</x:v>
      </x:c>
      <x:c r="C5549" s="11" t="str">
        <x:v>cdh17</x:v>
      </x:c>
      <x:c r="D5549" s="11" t="str">
        <x:v>2030-12-31</x:v>
      </x:c>
      <x:c r="E5549" s="11" t="str">
        <x:v>CNY</x:v>
      </x:c>
      <x:c r="F5549" s="11" t="n">
        <x:v>3.2279260780287475</x:v>
      </x:c>
      <x:c r="G5549" s="26" t="b">
        <x:v>1</x:v>
      </x:c>
      <x:c r="H5549" s="16" t="n">
        <x:v>0</x:v>
      </x:c>
      <x:c r="I5549" s="16" t="n">
        <x:v>0</x:v>
      </x:c>
      <x:c r="J5549" s="16" t="n">
        <x:v>0</x:v>
      </x:c>
      <x:c r="K5549" s="11" t="n">
        <x:f>CHOOSE('假设'!$B$3,H5549,I5549,J5549)</x:f>
        <x:v>0</x:v>
      </x:c>
      <x:c r="L5549" s="11" t="n">
        <x:f>K5549*'管线假设'!E1191*'管线假设'!F1191*'管线假设'!G1191*IF(E5549="USD",'管线假设'!I1191,1)-AM5549</x:f>
        <x:v>0</x:v>
      </x:c>
      <x:c r="M5549" s="11" t="n">
        <x:f>'管线假设'!H1191</x:f>
        <x:v>0.14</x:v>
      </x:c>
      <x:c r="N5549" s="11" t="n">
        <x:f>IF(G5549,L5549*AN5549/(1+M5549)^F5549,0)</x:f>
        <x:v>0</x:v>
      </x:c>
      <x:c r="AJ5549" t="n">
        <x:v>0</x:v>
      </x:c>
      <x:c r="AK5549" t="n">
        <x:v>0</x:v>
      </x:c>
      <x:c r="AL5549" t="n">
        <x:v>0</x:v>
      </x:c>
      <x:c r="AM5549" t="n">
        <x:f>CHOOSE('假设'!$B$3,AJ5549,AK5549,AL5549)</x:f>
        <x:v>0</x:v>
      </x:c>
      <x:c r="AN5549" t="n">
        <x:v>1</x:v>
      </x:c>
    </x:row>
    <x:row r="5550" ht="23" customHeight="1">
      <x:c r="A5550" s="11" t="str">
        <x:v>688062.SH</x:v>
      </x:c>
      <x:c r="B5550" s="11" t="str">
        <x:v>一年</x:v>
      </x:c>
      <x:c r="C5550" s="11" t="str">
        <x:v>cdh17</x:v>
      </x:c>
      <x:c r="D5550" s="11" t="str">
        <x:v>2031-12-31</x:v>
      </x:c>
      <x:c r="E5550" s="11" t="str">
        <x:v>CNY</x:v>
      </x:c>
      <x:c r="F5550" s="11" t="n">
        <x:v>4.227241615331964</x:v>
      </x:c>
      <x:c r="G5550" s="26" t="b">
        <x:v>1</x:v>
      </x:c>
      <x:c r="H5550" s="16" t="n">
        <x:v>0</x:v>
      </x:c>
      <x:c r="I5550" s="16" t="n">
        <x:v>0</x:v>
      </x:c>
      <x:c r="J5550" s="16" t="n">
        <x:v>0.6000000000000001</x:v>
      </x:c>
      <x:c r="K5550" s="11" t="n">
        <x:f>CHOOSE('假设'!$B$3,H5550,I5550,J5550)</x:f>
        <x:v>0</x:v>
      </x:c>
      <x:c r="L5550" s="11" t="n">
        <x:f>K5550*'管线假设'!E1191*'管线假设'!F1191*'管线假设'!G1191*IF(E5550="USD",'管线假设'!I1191,1)-AM5550</x:f>
        <x:v>0</x:v>
      </x:c>
      <x:c r="M5550" s="11" t="n">
        <x:f>'管线假设'!H1191</x:f>
        <x:v>0.14</x:v>
      </x:c>
      <x:c r="N5550" s="11" t="n">
        <x:f>IF(G5550,L5550*AN5550/(1+M5550)^F5550,0)</x:f>
        <x:v>0</x:v>
      </x:c>
      <x:c r="AJ5550" t="n">
        <x:v>0</x:v>
      </x:c>
      <x:c r="AK5550" t="n">
        <x:v>0</x:v>
      </x:c>
      <x:c r="AL5550" t="n">
        <x:v>0</x:v>
      </x:c>
      <x:c r="AM5550" t="n">
        <x:f>CHOOSE('假设'!$B$3,AJ5550,AK5550,AL5550)</x:f>
        <x:v>0</x:v>
      </x:c>
      <x:c r="AN5550" t="n">
        <x:v>1</x:v>
      </x:c>
    </x:row>
    <x:row r="5551" ht="23" customHeight="1">
      <x:c r="A5551" s="11" t="str">
        <x:v>688062.SH</x:v>
      </x:c>
      <x:c r="B5551" s="11" t="str">
        <x:v>一年</x:v>
      </x:c>
      <x:c r="C5551" s="11" t="str">
        <x:v>cdh17</x:v>
      </x:c>
      <x:c r="D5551" s="11" t="str">
        <x:v>2032-12-31</x:v>
      </x:c>
      <x:c r="E5551" s="11" t="str">
        <x:v>CNY</x:v>
      </x:c>
      <x:c r="F5551" s="11" t="n">
        <x:v>5.229295003422314</x:v>
      </x:c>
      <x:c r="G5551" s="26" t="b">
        <x:v>1</x:v>
      </x:c>
      <x:c r="H5551" s="16" t="n">
        <x:v>0</x:v>
      </x:c>
      <x:c r="I5551" s="16" t="n">
        <x:v>0</x:v>
      </x:c>
      <x:c r="J5551" s="16" t="n">
        <x:v>1.2000000000000002</x:v>
      </x:c>
      <x:c r="K5551" s="11" t="n">
        <x:f>CHOOSE('假设'!$B$3,H5551,I5551,J5551)</x:f>
        <x:v>0</x:v>
      </x:c>
      <x:c r="L5551" s="11" t="n">
        <x:f>K5551*'管线假设'!E1191*'管线假设'!F1191*'管线假设'!G1191*IF(E5551="USD",'管线假设'!I1191,1)-AM5551</x:f>
        <x:v>0</x:v>
      </x:c>
      <x:c r="M5551" s="11" t="n">
        <x:f>'管线假设'!H1191</x:f>
        <x:v>0.14</x:v>
      </x:c>
      <x:c r="N5551" s="11" t="n">
        <x:f>IF(G5551,L5551*AN5551/(1+M5551)^F5551,0)</x:f>
        <x:v>0</x:v>
      </x:c>
      <x:c r="AJ5551" t="n">
        <x:v>0</x:v>
      </x:c>
      <x:c r="AK5551" t="n">
        <x:v>0</x:v>
      </x:c>
      <x:c r="AL5551" t="n">
        <x:v>0</x:v>
      </x:c>
      <x:c r="AM5551" t="n">
        <x:f>CHOOSE('假设'!$B$3,AJ5551,AK5551,AL5551)</x:f>
        <x:v>0</x:v>
      </x:c>
      <x:c r="AN5551" t="n">
        <x:v>1</x:v>
      </x:c>
    </x:row>
    <x:row r="5552" ht="23" customHeight="1">
      <x:c r="A5552" s="11" t="str">
        <x:v>688062.SH</x:v>
      </x:c>
      <x:c r="B5552" s="11" t="str">
        <x:v>一年</x:v>
      </x:c>
      <x:c r="C5552" s="11" t="str">
        <x:v>cdh17</x:v>
      </x:c>
      <x:c r="D5552" s="11" t="str">
        <x:v>2033-12-31</x:v>
      </x:c>
      <x:c r="E5552" s="11" t="str">
        <x:v>CNY</x:v>
      </x:c>
      <x:c r="F5552" s="11" t="n">
        <x:v>6.228610540725531</x:v>
      </x:c>
      <x:c r="G5552" s="26" t="b">
        <x:v>1</x:v>
      </x:c>
      <x:c r="H5552" s="16" t="n">
        <x:v>0</x:v>
      </x:c>
      <x:c r="I5552" s="16" t="n">
        <x:v>0.30000000000000004</x:v>
      </x:c>
      <x:c r="J5552" s="16" t="n">
        <x:v>1.7999999999999998</x:v>
      </x:c>
      <x:c r="K5552" s="11" t="n">
        <x:f>CHOOSE('假设'!$B$3,H5552,I5552,J5552)</x:f>
        <x:v>0.30000000000000004</x:v>
      </x:c>
      <x:c r="L5552" s="11" t="n">
        <x:f>K5552*'管线假设'!E1191*'管线假设'!F1191*'管线假设'!G1191*IF(E5552="USD",'管线假设'!I1191,1)-AM5552</x:f>
        <x:v>0.013050000000000003</x:v>
      </x:c>
      <x:c r="M5552" s="11" t="n">
        <x:f>'管线假设'!H1191</x:f>
        <x:v>0.14</x:v>
      </x:c>
      <x:c r="N5552" s="11" t="n">
        <x:f>IF(G5552,L5552*AN5552/(1+M5552)^F5552,0)</x:f>
        <x:v>0.005769954053045248</x:v>
      </x:c>
      <x:c r="AJ5552" t="n">
        <x:v>0</x:v>
      </x:c>
      <x:c r="AK5552" t="n">
        <x:v>0</x:v>
      </x:c>
      <x:c r="AL5552" t="n">
        <x:v>0</x:v>
      </x:c>
      <x:c r="AM5552" t="n">
        <x:f>CHOOSE('假设'!$B$3,AJ5552,AK5552,AL5552)</x:f>
        <x:v>0</x:v>
      </x:c>
      <x:c r="AN5552" t="n">
        <x:v>1</x:v>
      </x:c>
    </x:row>
    <x:row r="5553" ht="23" customHeight="1">
      <x:c r="A5553" s="11" t="str">
        <x:v>688062.SH</x:v>
      </x:c>
      <x:c r="B5553" s="11" t="str">
        <x:v>一年</x:v>
      </x:c>
      <x:c r="C5553" s="11" t="str">
        <x:v>cdh17</x:v>
      </x:c>
      <x:c r="D5553" s="11" t="str">
        <x:v>2034-12-31</x:v>
      </x:c>
      <x:c r="E5553" s="11" t="str">
        <x:v>CNY</x:v>
      </x:c>
      <x:c r="F5553" s="11" t="n">
        <x:v>7.227926078028747</x:v>
      </x:c>
      <x:c r="G5553" s="26" t="b">
        <x:v>1</x:v>
      </x:c>
      <x:c r="H5553" s="16" t="n">
        <x:v>0</x:v>
      </x:c>
      <x:c r="I5553" s="16" t="n">
        <x:v>0.6000000000000001</x:v>
      </x:c>
      <x:c r="J5553" s="16" t="n">
        <x:v>2.4000000000000004</x:v>
      </x:c>
      <x:c r="K5553" s="11" t="n">
        <x:f>CHOOSE('假设'!$B$3,H5553,I5553,J5553)</x:f>
        <x:v>0.6000000000000001</x:v>
      </x:c>
      <x:c r="L5553" s="11" t="n">
        <x:f>K5553*'管线假设'!E1191*'管线假设'!F1191*'管线假设'!G1191*IF(E5553="USD",'管线假设'!I1191,1)-AM5553</x:f>
        <x:v>0.026100000000000005</x:v>
      </x:c>
      <x:c r="M5553" s="11" t="n">
        <x:f>'管线假设'!H1191</x:f>
        <x:v>0.14</x:v>
      </x:c>
      <x:c r="N5553" s="11" t="n">
        <x:f>IF(G5553,L5553*AN5553/(1+M5553)^F5553,0)</x:f>
        <x:v>0.010123634295730639</x:v>
      </x:c>
      <x:c r="AJ5553" t="n">
        <x:v>0</x:v>
      </x:c>
      <x:c r="AK5553" t="n">
        <x:v>0</x:v>
      </x:c>
      <x:c r="AL5553" t="n">
        <x:v>0</x:v>
      </x:c>
      <x:c r="AM5553" t="n">
        <x:f>CHOOSE('假设'!$B$3,AJ5553,AK5553,AL5553)</x:f>
        <x:v>0</x:v>
      </x:c>
      <x:c r="AN5553" t="n">
        <x:v>1</x:v>
      </x:c>
    </x:row>
    <x:row r="5554" ht="23" customHeight="1">
      <x:c r="A5554" s="11" t="str">
        <x:v>688062.SH</x:v>
      </x:c>
      <x:c r="B5554" s="11" t="str">
        <x:v>一年</x:v>
      </x:c>
      <x:c r="C5554" s="11" t="str">
        <x:v>cdh17</x:v>
      </x:c>
      <x:c r="D5554" s="11" t="str">
        <x:v>2035-12-31</x:v>
      </x:c>
      <x:c r="E5554" s="11" t="str">
        <x:v>CNY</x:v>
      </x:c>
      <x:c r="F5554" s="11" t="n">
        <x:v>8.227241615331964</x:v>
      </x:c>
      <x:c r="G5554" s="26" t="b">
        <x:v>1</x:v>
      </x:c>
      <x:c r="H5554" s="16" t="n">
        <x:v>0.1</x:v>
      </x:c>
      <x:c r="I5554" s="16" t="n">
        <x:v>0.8999999999999999</x:v>
      </x:c>
      <x:c r="J5554" s="16" t="n">
        <x:v>3</x:v>
      </x:c>
      <x:c r="K5554" s="11" t="n">
        <x:f>CHOOSE('假设'!$B$3,H5554,I5554,J5554)</x:f>
        <x:v>0.8999999999999999</x:v>
      </x:c>
      <x:c r="L5554" s="11" t="n">
        <x:f>K5554*'管线假设'!E1191*'管线假设'!F1191*'管线假设'!G1191*IF(E5554="USD",'管线假设'!I1191,1)-AM5554</x:f>
        <x:v>0.03915</x:v>
      </x:c>
      <x:c r="M5554" s="11" t="n">
        <x:f>'管线假设'!H1191</x:f>
        <x:v>0.14</x:v>
      </x:c>
      <x:c r="N5554" s="11" t="n">
        <x:f>IF(G5554,L5554*AN5554/(1+M5554)^F5554,0)</x:f>
        <x:v>0.013321766136890135</x:v>
      </x:c>
      <x:c r="AJ5554" t="n">
        <x:v>0</x:v>
      </x:c>
      <x:c r="AK5554" t="n">
        <x:v>0</x:v>
      </x:c>
      <x:c r="AL5554" t="n">
        <x:v>0</x:v>
      </x:c>
      <x:c r="AM5554" t="n">
        <x:f>CHOOSE('假设'!$B$3,AJ5554,AK5554,AL5554)</x:f>
        <x:v>0</x:v>
      </x:c>
      <x:c r="AN5554" t="n">
        <x:v>1</x:v>
      </x:c>
    </x:row>
    <x:row r="5555" ht="23" customHeight="1">
      <x:c r="A5555" s="11" t="str">
        <x:v>688062.SH</x:v>
      </x:c>
      <x:c r="B5555" s="11" t="str">
        <x:v>一年</x:v>
      </x:c>
      <x:c r="C5555" s="11" t="str">
        <x:v>cdh17</x:v>
      </x:c>
      <x:c r="D5555" s="11" t="str">
        <x:v>2036-12-31</x:v>
      </x:c>
      <x:c r="E5555" s="11" t="str">
        <x:v>CNY</x:v>
      </x:c>
      <x:c r="F5555" s="11" t="n">
        <x:v>9.229295003422314</x:v>
      </x:c>
      <x:c r="G5555" s="26" t="b">
        <x:v>1</x:v>
      </x:c>
      <x:c r="H5555" s="16" t="n">
        <x:v>0.2</x:v>
      </x:c>
      <x:c r="I5555" s="16" t="n">
        <x:v>1.2000000000000002</x:v>
      </x:c>
      <x:c r="J5555" s="16" t="n">
        <x:v>2.61</x:v>
      </x:c>
      <x:c r="K5555" s="11" t="n">
        <x:f>CHOOSE('假设'!$B$3,H5555,I5555,J5555)</x:f>
        <x:v>1.2000000000000002</x:v>
      </x:c>
      <x:c r="L5555" s="11" t="n">
        <x:f>K5555*'管线假设'!E1191*'管线假设'!F1191*'管线假设'!G1191*IF(E5555="USD",'管线假设'!I1191,1)-AM5555</x:f>
        <x:v>0.05220000000000001</x:v>
      </x:c>
      <x:c r="M5555" s="11" t="n">
        <x:f>'管线假设'!H1191</x:f>
        <x:v>0.14</x:v>
      </x:c>
      <x:c r="N5555" s="11" t="n">
        <x:f>IF(G5555,L5555*AN5555/(1+M5555)^F5555,0)</x:f>
        <x:v>0.015576821488752259</x:v>
      </x:c>
      <x:c r="AJ5555" t="n">
        <x:v>0</x:v>
      </x:c>
      <x:c r="AK5555" t="n">
        <x:v>0</x:v>
      </x:c>
      <x:c r="AL5555" t="n">
        <x:v>0</x:v>
      </x:c>
      <x:c r="AM5555" t="n">
        <x:f>CHOOSE('假设'!$B$3,AJ5555,AK5555,AL5555)</x:f>
        <x:v>0</x:v>
      </x:c>
      <x:c r="AN5555" t="n">
        <x:v>1</x:v>
      </x:c>
    </x:row>
    <x:row r="5556" ht="23" customHeight="1">
      <x:c r="A5556" s="11" t="str">
        <x:v>688062.SH</x:v>
      </x:c>
      <x:c r="B5556" s="11" t="str">
        <x:v>一年</x:v>
      </x:c>
      <x:c r="C5556" s="11" t="str">
        <x:v>cdh17</x:v>
      </x:c>
      <x:c r="D5556" s="11" t="str">
        <x:v>2037-12-31</x:v>
      </x:c>
      <x:c r="E5556" s="11" t="str">
        <x:v>CNY</x:v>
      </x:c>
      <x:c r="F5556" s="11" t="n">
        <x:v>10.22861054072553</x:v>
      </x:c>
      <x:c r="G5556" s="26" t="b">
        <x:v>1</x:v>
      </x:c>
      <x:c r="H5556" s="16" t="n">
        <x:v>0.3</x:v>
      </x:c>
      <x:c r="I5556" s="16" t="n">
        <x:v>1.5</x:v>
      </x:c>
      <x:c r="J5556" s="16" t="n">
        <x:v>2.2199999999999998</x:v>
      </x:c>
      <x:c r="K5556" s="11" t="n">
        <x:f>CHOOSE('假设'!$B$3,H5556,I5556,J5556)</x:f>
        <x:v>1.5</x:v>
      </x:c>
      <x:c r="L5556" s="11" t="n">
        <x:f>K5556*'管线假设'!E1191*'管线假设'!F1191*'管线假设'!G1191*IF(E5556="USD",'管线假设'!I1191,1)-AM5556</x:f>
        <x:v>0.06525</x:v>
      </x:c>
      <x:c r="M5556" s="11" t="n">
        <x:f>'管线假设'!H1191</x:f>
        <x:v>0.14</x:v>
      </x:c>
      <x:c r="N5556" s="11" t="n">
        <x:f>IF(G5556,L5556*AN5556/(1+M5556)^F5556,0)</x:f>
        <x:v>0.017081379980701396</x:v>
      </x:c>
      <x:c r="AJ5556" t="n">
        <x:v>0</x:v>
      </x:c>
      <x:c r="AK5556" t="n">
        <x:v>0</x:v>
      </x:c>
      <x:c r="AL5556" t="n">
        <x:v>0</x:v>
      </x:c>
      <x:c r="AM5556" t="n">
        <x:f>CHOOSE('假设'!$B$3,AJ5556,AK5556,AL5556)</x:f>
        <x:v>0</x:v>
      </x:c>
      <x:c r="AN5556" t="n">
        <x:v>1</x:v>
      </x:c>
    </x:row>
    <x:row r="5557" ht="23" customHeight="1">
      <x:c r="A5557" s="11" t="str">
        <x:v>688062.SH</x:v>
      </x:c>
      <x:c r="B5557" s="11" t="str">
        <x:v>一年</x:v>
      </x:c>
      <x:c r="C5557" s="11" t="str">
        <x:v>cdh17</x:v>
      </x:c>
      <x:c r="D5557" s="11" t="str">
        <x:v>2038-12-31</x:v>
      </x:c>
      <x:c r="E5557" s="11" t="str">
        <x:v>CNY</x:v>
      </x:c>
      <x:c r="F5557" s="11" t="n">
        <x:v>11.227926078028748</x:v>
      </x:c>
      <x:c r="G5557" s="26" t="b">
        <x:v>1</x:v>
      </x:c>
      <x:c r="H5557" s="16" t="n">
        <x:v>0.4</x:v>
      </x:c>
      <x:c r="I5557" s="16" t="n">
        <x:v>1.305</x:v>
      </x:c>
      <x:c r="J5557" s="16" t="n">
        <x:v>1.83</x:v>
      </x:c>
      <x:c r="K5557" s="11" t="n">
        <x:f>CHOOSE('假设'!$B$3,H5557,I5557,J5557)</x:f>
        <x:v>1.305</x:v>
      </x:c>
      <x:c r="L5557" s="11" t="n">
        <x:f>K5557*'管线假设'!E1191*'管线假设'!F1191*'管线假设'!G1191*IF(E5557="USD",'管线假设'!I1191,1)-AM5557</x:f>
        <x:v>0.0567675</x:v>
      </x:c>
      <x:c r="M5557" s="11" t="n">
        <x:f>'管线假设'!H1191</x:f>
        <x:v>0.14</x:v>
      </x:c>
      <x:c r="N5557" s="11" t="n">
        <x:f>IF(G5557,L5557*AN5557/(1+M5557)^F5557,0)</x:f>
        <x:v>0.01303695913893796</x:v>
      </x:c>
      <x:c r="AJ5557" t="n">
        <x:v>0</x:v>
      </x:c>
      <x:c r="AK5557" t="n">
        <x:v>0</x:v>
      </x:c>
      <x:c r="AL5557" t="n">
        <x:v>0</x:v>
      </x:c>
      <x:c r="AM5557" t="n">
        <x:f>CHOOSE('假设'!$B$3,AJ5557,AK5557,AL5557)</x:f>
        <x:v>0</x:v>
      </x:c>
      <x:c r="AN5557" t="n">
        <x:v>1</x:v>
      </x:c>
    </x:row>
    <x:row r="5558" ht="23" customHeight="1">
      <x:c r="A5558" s="11" t="str">
        <x:v>688062.SH</x:v>
      </x:c>
      <x:c r="B5558" s="11" t="str">
        <x:v>一年</x:v>
      </x:c>
      <x:c r="C5558" s="11" t="str">
        <x:v>cdh17</x:v>
      </x:c>
      <x:c r="D5558" s="11" t="str">
        <x:v>2039-12-31</x:v>
      </x:c>
      <x:c r="E5558" s="11" t="str">
        <x:v>CNY</x:v>
      </x:c>
      <x:c r="F5558" s="11" t="n">
        <x:v>12.227241615331964</x:v>
      </x:c>
      <x:c r="G5558" s="26" t="b">
        <x:v>1</x:v>
      </x:c>
      <x:c r="H5558" s="16" t="n">
        <x:v>0.5</x:v>
      </x:c>
      <x:c r="I5558" s="16" t="n">
        <x:v>1.1099999999999999</x:v>
      </x:c>
      <x:c r="J5558" s="16" t="n">
        <x:v>1.44</x:v>
      </x:c>
      <x:c r="K5558" s="11" t="n">
        <x:f>CHOOSE('假设'!$B$3,H5558,I5558,J5558)</x:f>
        <x:v>1.1099999999999999</x:v>
      </x:c>
      <x:c r="L5558" s="11" t="n">
        <x:f>K5558*'管线假设'!E1191*'管线假设'!F1191*'管线假设'!G1191*IF(E5558="USD",'管线假设'!I1191,1)-AM5558</x:f>
        <x:v>0.048285</x:v>
      </x:c>
      <x:c r="M5558" s="11" t="n">
        <x:f>'管线假设'!H1191</x:f>
        <x:v>0.14</x:v>
      </x:c>
      <x:c r="N5558" s="11" t="n">
        <x:f>IF(G5558,L5558*AN5558/(1+M5558)^F5558,0)</x:f>
        <x:v>0.00972798448691521</x:v>
      </x:c>
      <x:c r="AJ5558" t="n">
        <x:v>0</x:v>
      </x:c>
      <x:c r="AK5558" t="n">
        <x:v>0</x:v>
      </x:c>
      <x:c r="AL5558" t="n">
        <x:v>0</x:v>
      </x:c>
      <x:c r="AM5558" t="n">
        <x:f>CHOOSE('假设'!$B$3,AJ5558,AK5558,AL5558)</x:f>
        <x:v>0</x:v>
      </x:c>
      <x:c r="AN5558" t="n">
        <x:v>1</x:v>
      </x:c>
    </x:row>
    <x:row r="5559" ht="23" customHeight="1">
      <x:c r="A5559" s="11" t="str">
        <x:v>688062.SH</x:v>
      </x:c>
      <x:c r="B5559" s="11" t="str">
        <x:v>一年</x:v>
      </x:c>
      <x:c r="C5559" s="11" t="str">
        <x:v>cdh17</x:v>
      </x:c>
      <x:c r="D5559" s="11" t="str">
        <x:v>2040-12-31</x:v>
      </x:c>
      <x:c r="E5559" s="11" t="str">
        <x:v>CNY</x:v>
      </x:c>
      <x:c r="F5559" s="11" t="n">
        <x:v>13.229295003422314</x:v>
      </x:c>
      <x:c r="G5559" s="26" t="b">
        <x:v>1</x:v>
      </x:c>
      <x:c r="H5559" s="16" t="n">
        <x:v>0.435</x:v>
      </x:c>
      <x:c r="I5559" s="16" t="n">
        <x:v>0.915</x:v>
      </x:c>
      <x:c r="J5559" s="16" t="n">
        <x:v>1.0499999999999998</x:v>
      </x:c>
      <x:c r="K5559" s="11" t="n">
        <x:f>CHOOSE('假设'!$B$3,H5559,I5559,J5559)</x:f>
        <x:v>0.915</x:v>
      </x:c>
      <x:c r="L5559" s="11" t="n">
        <x:f>K5559*'管线假设'!E1191*'管线假设'!F1191*'管线假设'!G1191*IF(E5559="USD",'管线假设'!I1191,1)-AM5559</x:f>
        <x:v>0.039802500000000005</x:v>
      </x:c>
      <x:c r="M5559" s="11" t="n">
        <x:f>'管线假设'!H1191</x:f>
        <x:v>0.14</x:v>
      </x:c>
      <x:c r="N5559" s="11" t="n">
        <x:f>IF(G5559,L5559*AN5559/(1+M5559)^F5559,0)</x:f>
        <x:v>0.007032330700549853</x:v>
      </x:c>
      <x:c r="AJ5559" t="n">
        <x:v>0</x:v>
      </x:c>
      <x:c r="AK5559" t="n">
        <x:v>0</x:v>
      </x:c>
      <x:c r="AL5559" t="n">
        <x:v>0</x:v>
      </x:c>
      <x:c r="AM5559" t="n">
        <x:f>CHOOSE('假设'!$B$3,AJ5559,AK5559,AL5559)</x:f>
        <x:v>0</x:v>
      </x:c>
      <x:c r="AN5559" t="n">
        <x:v>1</x:v>
      </x:c>
    </x:row>
    <x:row r="5560" ht="23" customHeight="1">
      <x:c r="A5560" s="11" t="str">
        <x:v>688062.SH</x:v>
      </x:c>
      <x:c r="B5560" s="11" t="str">
        <x:v>一年</x:v>
      </x:c>
      <x:c r="C5560" s="11" t="str">
        <x:v>cdh17</x:v>
      </x:c>
      <x:c r="D5560" s="11" t="str">
        <x:v>2041-12-31</x:v>
      </x:c>
      <x:c r="E5560" s="11" t="str">
        <x:v>CNY</x:v>
      </x:c>
      <x:c r="F5560" s="11" t="n">
        <x:v>14.22861054072553</x:v>
      </x:c>
      <x:c r="G5560" s="26" t="b">
        <x:v>1</x:v>
      </x:c>
      <x:c r="H5560" s="16" t="n">
        <x:v>0.37</x:v>
      </x:c>
      <x:c r="I5560" s="16" t="n">
        <x:v>0.72</x:v>
      </x:c>
      <x:c r="J5560" s="16" t="n">
        <x:v>0.6599999999999999</x:v>
      </x:c>
      <x:c r="K5560" s="11" t="n">
        <x:f>CHOOSE('假设'!$B$3,H5560,I5560,J5560)</x:f>
        <x:v>0.72</x:v>
      </x:c>
      <x:c r="L5560" s="11" t="n">
        <x:f>K5560*'管线假设'!E1191*'管线假设'!F1191*'管线假设'!G1191*IF(E5560="USD",'管线假设'!I1191,1)-AM5560</x:f>
        <x:v>0.03132</x:v>
      </x:c>
      <x:c r="M5560" s="11" t="n">
        <x:f>'管线假设'!H1191</x:f>
        <x:v>0.14</x:v>
      </x:c>
      <x:c r="N5560" s="11" t="n">
        <x:f>IF(G5560,L5560*AN5560/(1+M5560)^F5560,0)</x:f>
        <x:v>0.004854503134482856</x:v>
      </x:c>
      <x:c r="AJ5560" t="n">
        <x:v>0</x:v>
      </x:c>
      <x:c r="AK5560" t="n">
        <x:v>0</x:v>
      </x:c>
      <x:c r="AL5560" t="n">
        <x:v>0</x:v>
      </x:c>
      <x:c r="AM5560" t="n">
        <x:f>CHOOSE('假设'!$B$3,AJ5560,AK5560,AL5560)</x:f>
        <x:v>0</x:v>
      </x:c>
      <x:c r="AN5560" t="n">
        <x:v>1</x:v>
      </x:c>
    </x:row>
    <x:row r="5561" ht="23" customHeight="1">
      <x:c r="A5561" s="11" t="str">
        <x:v>688062.SH</x:v>
      </x:c>
      <x:c r="B5561" s="11" t="str">
        <x:v>一年</x:v>
      </x:c>
      <x:c r="C5561" s="11" t="str">
        <x:v>cdh17</x:v>
      </x:c>
      <x:c r="D5561" s="11" t="str">
        <x:v>2042-12-31</x:v>
      </x:c>
      <x:c r="E5561" s="11" t="str">
        <x:v>CNY</x:v>
      </x:c>
      <x:c r="F5561" s="11" t="n">
        <x:v>15.227926078028748</x:v>
      </x:c>
      <x:c r="G5561" s="26" t="b">
        <x:v>1</x:v>
      </x:c>
      <x:c r="H5561" s="16" t="n">
        <x:v>0.305</x:v>
      </x:c>
      <x:c r="I5561" s="16" t="n">
        <x:v>0.5249999999999999</x:v>
      </x:c>
      <x:c r="J5561" s="16" t="n">
        <x:v>0.2699999999999999</x:v>
      </x:c>
      <x:c r="K5561" s="11" t="n">
        <x:f>CHOOSE('假设'!$B$3,H5561,I5561,J5561)</x:f>
        <x:v>0.5249999999999999</x:v>
      </x:c>
      <x:c r="L5561" s="11" t="n">
        <x:f>K5561*'管线假设'!E1191*'管线假设'!F1191*'管线假设'!G1191*IF(E5561="USD",'管线假设'!I1191,1)-AM5561</x:f>
        <x:v>0.0228375</x:v>
      </x:c>
      <x:c r="M5561" s="11" t="n">
        <x:f>'管线假设'!H1191</x:f>
        <x:v>0.14</x:v>
      </x:c>
      <x:c r="N5561" s="11" t="n">
        <x:f>IF(G5561,L5561*AN5561/(1+M5561)^F5561,0)</x:f>
        <x:v>0.003105315211570317</x:v>
      </x:c>
      <x:c r="AJ5561" t="n">
        <x:v>0</x:v>
      </x:c>
      <x:c r="AK5561" t="n">
        <x:v>0</x:v>
      </x:c>
      <x:c r="AL5561" t="n">
        <x:v>0</x:v>
      </x:c>
      <x:c r="AM5561" t="n">
        <x:f>CHOOSE('假设'!$B$3,AJ5561,AK5561,AL5561)</x:f>
        <x:v>0</x:v>
      </x:c>
      <x:c r="AN5561" t="n">
        <x:v>1</x:v>
      </x:c>
    </x:row>
    <x:row r="5562" ht="23" customHeight="1">
      <x:c r="A5562" s="11" t="str">
        <x:v>688062.SH</x:v>
      </x:c>
      <x:c r="B5562" s="11" t="str">
        <x:v>一年</x:v>
      </x:c>
      <x:c r="C5562" s="11" t="str">
        <x:v>cdh17</x:v>
      </x:c>
      <x:c r="D5562" s="11" t="str">
        <x:v>2043-12-31</x:v>
      </x:c>
      <x:c r="E5562" s="11" t="str">
        <x:v>CNY</x:v>
      </x:c>
      <x:c r="F5562" s="11" t="n">
        <x:v>16.227241615331966</x:v>
      </x:c>
      <x:c r="G5562" s="26" t="b">
        <x:v>1</x:v>
      </x:c>
      <x:c r="H5562" s="16" t="n">
        <x:v>0.24</x:v>
      </x:c>
      <x:c r="I5562" s="16" t="n">
        <x:v>0.32999999999999996</x:v>
      </x:c>
      <x:c r="J5562" s="16" t="n">
        <x:v>0</x:v>
      </x:c>
      <x:c r="K5562" s="11" t="n">
        <x:f>CHOOSE('假设'!$B$3,H5562,I5562,J5562)</x:f>
        <x:v>0.32999999999999996</x:v>
      </x:c>
      <x:c r="L5562" s="11" t="n">
        <x:f>K5562*'管线假设'!E1191*'管线假设'!F1191*'管线假设'!G1191*IF(E5562="USD",'管线假设'!I1191,1)-AM5562</x:f>
        <x:v>0.014354999999999998</x:v>
      </x:c>
      <x:c r="M5562" s="11" t="n">
        <x:f>'管线假设'!H1191</x:f>
        <x:v>0.14</x:v>
      </x:c>
      <x:c r="N5562" s="11" t="n">
        <x:f>IF(G5562,L5562*AN5562/(1+M5562)^F5562,0)</x:f>
        <x:v>0.0017123574401600595</x:v>
      </x:c>
      <x:c r="AJ5562" t="n">
        <x:v>0</x:v>
      </x:c>
      <x:c r="AK5562" t="n">
        <x:v>0</x:v>
      </x:c>
      <x:c r="AL5562" t="n">
        <x:v>0</x:v>
      </x:c>
      <x:c r="AM5562" t="n">
        <x:f>CHOOSE('假设'!$B$3,AJ5562,AK5562,AL5562)</x:f>
        <x:v>0</x:v>
      </x:c>
      <x:c r="AN5562" t="n">
        <x:v>1</x:v>
      </x:c>
    </x:row>
    <x:row r="5563" ht="23" customHeight="1">
      <x:c r="A5563" s="11" t="str">
        <x:v>688062.SH</x:v>
      </x:c>
      <x:c r="B5563" s="11" t="str">
        <x:v>一年</x:v>
      </x:c>
      <x:c r="C5563" s="11" t="str">
        <x:v>cdh17</x:v>
      </x:c>
      <x:c r="D5563" s="11" t="str">
        <x:v>2044-12-31</x:v>
      </x:c>
      <x:c r="E5563" s="11" t="str">
        <x:v>CNY</x:v>
      </x:c>
      <x:c r="F5563" s="11" t="n">
        <x:v>17.229295003422312</x:v>
      </x:c>
      <x:c r="G5563" s="26" t="b">
        <x:v>1</x:v>
      </x:c>
      <x:c r="H5563" s="16" t="n">
        <x:v>0.175</x:v>
      </x:c>
      <x:c r="I5563" s="16" t="n">
        <x:v>0.13499999999999995</x:v>
      </x:c>
      <x:c r="J5563" s="16" t="n">
        <x:v>0</x:v>
      </x:c>
      <x:c r="K5563" s="11" t="n">
        <x:f>CHOOSE('假设'!$B$3,H5563,I5563,J5563)</x:f>
        <x:v>0.13499999999999995</x:v>
      </x:c>
      <x:c r="L5563" s="11" t="n">
        <x:f>K5563*'管线假设'!E1191*'管线假设'!F1191*'管线假设'!G1191*IF(E5563="USD",'管线假设'!I1191,1)-AM5563</x:f>
        <x:v>0.005872499999999998</x:v>
      </x:c>
      <x:c r="M5563" s="11" t="n">
        <x:f>'管线假设'!H1191</x:f>
        <x:v>0.14</x:v>
      </x:c>
      <x:c r="N5563" s="11" t="n">
        <x:f>IF(G5563,L5563*AN5563/(1+M5563)^F5563,0)</x:f>
        <x:v>0.0006143170296010507</x:v>
      </x:c>
      <x:c r="AJ5563" t="n">
        <x:v>0</x:v>
      </x:c>
      <x:c r="AK5563" t="n">
        <x:v>0</x:v>
      </x:c>
      <x:c r="AL5563" t="n">
        <x:v>0</x:v>
      </x:c>
      <x:c r="AM5563" t="n">
        <x:f>CHOOSE('假设'!$B$3,AJ5563,AK5563,AL5563)</x:f>
        <x:v>0</x:v>
      </x:c>
      <x:c r="AN5563" t="n">
        <x:v>1</x:v>
      </x:c>
    </x:row>
    <x:row r="5564" ht="23" customHeight="1">
      <x:c r="A5564" s="11" t="str">
        <x:v>688062.SH</x:v>
      </x:c>
      <x:c r="B5564" s="11" t="str">
        <x:v>一年</x:v>
      </x:c>
      <x:c r="C5564" s="11" t="str">
        <x:v>cdh17</x:v>
      </x:c>
      <x:c r="D5564" s="11" t="str">
        <x:v>2045-12-31</x:v>
      </x:c>
      <x:c r="E5564" s="11" t="str">
        <x:v>CNY</x:v>
      </x:c>
      <x:c r="F5564" s="11" t="n">
        <x:v>18.22861054072553</x:v>
      </x:c>
      <x:c r="G5564" s="26" t="b">
        <x:v>1</x:v>
      </x:c>
      <x:c r="H5564" s="16" t="n">
        <x:v>0.10999999999999999</x:v>
      </x:c>
      <x:c r="I5564" s="16" t="n">
        <x:v>0</x:v>
      </x:c>
      <x:c r="J5564" s="16" t="n">
        <x:v>0</x:v>
      </x:c>
      <x:c r="K5564" s="11" t="n">
        <x:f>CHOOSE('假设'!$B$3,H5564,I5564,J5564)</x:f>
        <x:v>0</x:v>
      </x:c>
      <x:c r="L5564" s="11" t="n">
        <x:f>K5564*'管线假设'!E1191*'管线假设'!F1191*'管线假设'!G1191*IF(E5564="USD",'管线假设'!I1191,1)-AM5564</x:f>
        <x:v>0</x:v>
      </x:c>
      <x:c r="M5564" s="11" t="n">
        <x:f>'管线假设'!H1191</x:f>
        <x:v>0.14</x:v>
      </x:c>
      <x:c r="N5564" s="11" t="n">
        <x:f>IF(G5564,L5564*AN5564/(1+M5564)^F5564,0)</x:f>
        <x:v>0</x:v>
      </x:c>
      <x:c r="AJ5564" t="n">
        <x:v>0</x:v>
      </x:c>
      <x:c r="AK5564" t="n">
        <x:v>0</x:v>
      </x:c>
      <x:c r="AL5564" t="n">
        <x:v>0</x:v>
      </x:c>
      <x:c r="AM5564" t="n">
        <x:f>CHOOSE('假设'!$B$3,AJ5564,AK5564,AL5564)</x:f>
        <x:v>0</x:v>
      </x:c>
      <x:c r="AN5564" t="n">
        <x:v>1</x:v>
      </x:c>
    </x:row>
    <x:row r="5565" ht="23" customHeight="1">
      <x:c r="A5565" s="11" t="str">
        <x:v>688062.SH</x:v>
      </x:c>
      <x:c r="B5565" s="11" t="str">
        <x:v>一年</x:v>
      </x:c>
      <x:c r="C5565" s="11" t="str">
        <x:v>st2</x:v>
      </x:c>
      <x:c r="D5565" s="11" t="str">
        <x:v>2027-12-31</x:v>
      </x:c>
      <x:c r="E5565" s="11" t="str">
        <x:v>CNY</x:v>
      </x:c>
      <x:c r="F5565" s="11" t="n">
        <x:v>0.2272416153319644</x:v>
      </x:c>
      <x:c r="G5565" s="26" t="b">
        <x:v>1</x:v>
      </x:c>
      <x:c r="H5565" s="16" t="n">
        <x:v>0</x:v>
      </x:c>
      <x:c r="I5565" s="16" t="n">
        <x:v>0</x:v>
      </x:c>
      <x:c r="J5565" s="16" t="n">
        <x:v>0</x:v>
      </x:c>
      <x:c r="K5565" s="11" t="n">
        <x:f>CHOOSE('假设'!$B$3,H5565,I5565,J5565)</x:f>
        <x:v>0</x:v>
      </x:c>
      <x:c r="L5565" s="11" t="n">
        <x:f>K5565*'管线假设'!E1195*'管线假设'!F1195*'管线假设'!G1195*IF(E5565="USD",'管线假设'!I1195,1)-AM5565</x:f>
        <x:v>0</x:v>
      </x:c>
      <x:c r="M5565" s="11" t="n">
        <x:f>'管线假设'!H1195</x:f>
        <x:v>0.14</x:v>
      </x:c>
      <x:c r="N5565" s="11" t="n">
        <x:f>IF(G5565,L5565*AN5565/(1+M5565)^F5565,0)</x:f>
        <x:v>0</x:v>
      </x:c>
      <x:c r="AJ5565" t="n">
        <x:v>0</x:v>
      </x:c>
      <x:c r="AK5565" t="n">
        <x:v>0</x:v>
      </x:c>
      <x:c r="AL5565" t="n">
        <x:v>0</x:v>
      </x:c>
      <x:c r="AM5565" t="n">
        <x:f>CHOOSE('假设'!$B$3,AJ5565,AK5565,AL5565)</x:f>
        <x:v>0</x:v>
      </x:c>
      <x:c r="AN5565" t="n">
        <x:v>1</x:v>
      </x:c>
    </x:row>
    <x:row r="5566" ht="23" customHeight="1">
      <x:c r="A5566" s="11" t="str">
        <x:v>688062.SH</x:v>
      </x:c>
      <x:c r="B5566" s="11" t="str">
        <x:v>一年</x:v>
      </x:c>
      <x:c r="C5566" s="11" t="str">
        <x:v>st2</x:v>
      </x:c>
      <x:c r="D5566" s="11" t="str">
        <x:v>2028-12-31</x:v>
      </x:c>
      <x:c r="E5566" s="11" t="str">
        <x:v>CNY</x:v>
      </x:c>
      <x:c r="F5566" s="11" t="n">
        <x:v>1.2292950034223136</x:v>
      </x:c>
      <x:c r="G5566" s="26" t="b">
        <x:v>1</x:v>
      </x:c>
      <x:c r="H5566" s="16" t="n">
        <x:v>0</x:v>
      </x:c>
      <x:c r="I5566" s="16" t="n">
        <x:v>0</x:v>
      </x:c>
      <x:c r="J5566" s="16" t="n">
        <x:v>0</x:v>
      </x:c>
      <x:c r="K5566" s="11" t="n">
        <x:f>CHOOSE('假设'!$B$3,H5566,I5566,J5566)</x:f>
        <x:v>0</x:v>
      </x:c>
      <x:c r="L5566" s="11" t="n">
        <x:f>K5566*'管线假设'!E1195*'管线假设'!F1195*'管线假设'!G1195*IF(E5566="USD",'管线假设'!I1195,1)-AM5566</x:f>
        <x:v>0</x:v>
      </x:c>
      <x:c r="M5566" s="11" t="n">
        <x:f>'管线假设'!H1195</x:f>
        <x:v>0.14</x:v>
      </x:c>
      <x:c r="N5566" s="11" t="n">
        <x:f>IF(G5566,L5566*AN5566/(1+M5566)^F5566,0)</x:f>
        <x:v>0</x:v>
      </x:c>
      <x:c r="AJ5566" t="n">
        <x:v>0</x:v>
      </x:c>
      <x:c r="AK5566" t="n">
        <x:v>0</x:v>
      </x:c>
      <x:c r="AL5566" t="n">
        <x:v>0</x:v>
      </x:c>
      <x:c r="AM5566" t="n">
        <x:f>CHOOSE('假设'!$B$3,AJ5566,AK5566,AL5566)</x:f>
        <x:v>0</x:v>
      </x:c>
      <x:c r="AN5566" t="n">
        <x:v>1</x:v>
      </x:c>
    </x:row>
    <x:row r="5567" ht="23" customHeight="1">
      <x:c r="A5567" s="11" t="str">
        <x:v>688062.SH</x:v>
      </x:c>
      <x:c r="B5567" s="11" t="str">
        <x:v>一年</x:v>
      </x:c>
      <x:c r="C5567" s="11" t="str">
        <x:v>st2</x:v>
      </x:c>
      <x:c r="D5567" s="11" t="str">
        <x:v>2029-12-31</x:v>
      </x:c>
      <x:c r="E5567" s="11" t="str">
        <x:v>CNY</x:v>
      </x:c>
      <x:c r="F5567" s="11" t="n">
        <x:v>2.2286105407255303</x:v>
      </x:c>
      <x:c r="G5567" s="26" t="b">
        <x:v>1</x:v>
      </x:c>
      <x:c r="H5567" s="16" t="n">
        <x:v>0</x:v>
      </x:c>
      <x:c r="I5567" s="16" t="n">
        <x:v>0</x:v>
      </x:c>
      <x:c r="J5567" s="16" t="n">
        <x:v>0.5833333333333333</x:v>
      </x:c>
      <x:c r="K5567" s="11" t="n">
        <x:f>CHOOSE('假设'!$B$3,H5567,I5567,J5567)</x:f>
        <x:v>0</x:v>
      </x:c>
      <x:c r="L5567" s="11" t="n">
        <x:f>K5567*'管线假设'!E1195*'管线假设'!F1195*'管线假设'!G1195*IF(E5567="USD",'管线假设'!I1195,1)-AM5567</x:f>
        <x:v>0</x:v>
      </x:c>
      <x:c r="M5567" s="11" t="n">
        <x:f>'管线假设'!H1195</x:f>
        <x:v>0.14</x:v>
      </x:c>
      <x:c r="N5567" s="11" t="n">
        <x:f>IF(G5567,L5567*AN5567/(1+M5567)^F5567,0)</x:f>
        <x:v>0</x:v>
      </x:c>
      <x:c r="AJ5567" t="n">
        <x:v>0</x:v>
      </x:c>
      <x:c r="AK5567" t="n">
        <x:v>0</x:v>
      </x:c>
      <x:c r="AL5567" t="n">
        <x:v>0</x:v>
      </x:c>
      <x:c r="AM5567" t="n">
        <x:f>CHOOSE('假设'!$B$3,AJ5567,AK5567,AL5567)</x:f>
        <x:v>0</x:v>
      </x:c>
      <x:c r="AN5567" t="n">
        <x:v>1</x:v>
      </x:c>
    </x:row>
    <x:row r="5568" ht="23" customHeight="1">
      <x:c r="A5568" s="11" t="str">
        <x:v>688062.SH</x:v>
      </x:c>
      <x:c r="B5568" s="11" t="str">
        <x:v>一年</x:v>
      </x:c>
      <x:c r="C5568" s="11" t="str">
        <x:v>st2</x:v>
      </x:c>
      <x:c r="D5568" s="11" t="str">
        <x:v>2030-12-31</x:v>
      </x:c>
      <x:c r="E5568" s="11" t="str">
        <x:v>CNY</x:v>
      </x:c>
      <x:c r="F5568" s="11" t="n">
        <x:v>3.2279260780287475</x:v>
      </x:c>
      <x:c r="G5568" s="26" t="b">
        <x:v>1</x:v>
      </x:c>
      <x:c r="H5568" s="16" t="n">
        <x:v>0</x:v>
      </x:c>
      <x:c r="I5568" s="16" t="n">
        <x:v>0</x:v>
      </x:c>
      <x:c r="J5568" s="16" t="n">
        <x:v>1.1666666666666665</x:v>
      </x:c>
      <x:c r="K5568" s="11" t="n">
        <x:f>CHOOSE('假设'!$B$3,H5568,I5568,J5568)</x:f>
        <x:v>0</x:v>
      </x:c>
      <x:c r="L5568" s="11" t="n">
        <x:f>K5568*'管线假设'!E1195*'管线假设'!F1195*'管线假设'!G1195*IF(E5568="USD",'管线假设'!I1195,1)-AM5568</x:f>
        <x:v>0</x:v>
      </x:c>
      <x:c r="M5568" s="11" t="n">
        <x:f>'管线假设'!H1195</x:f>
        <x:v>0.14</x:v>
      </x:c>
      <x:c r="N5568" s="11" t="n">
        <x:f>IF(G5568,L5568*AN5568/(1+M5568)^F5568,0)</x:f>
        <x:v>0</x:v>
      </x:c>
      <x:c r="AJ5568" t="n">
        <x:v>0</x:v>
      </x:c>
      <x:c r="AK5568" t="n">
        <x:v>0</x:v>
      </x:c>
      <x:c r="AL5568" t="n">
        <x:v>0</x:v>
      </x:c>
      <x:c r="AM5568" t="n">
        <x:f>CHOOSE('假设'!$B$3,AJ5568,AK5568,AL5568)</x:f>
        <x:v>0</x:v>
      </x:c>
      <x:c r="AN5568" t="n">
        <x:v>1</x:v>
      </x:c>
    </x:row>
    <x:row r="5569" ht="23" customHeight="1">
      <x:c r="A5569" s="11" t="str">
        <x:v>688062.SH</x:v>
      </x:c>
      <x:c r="B5569" s="11" t="str">
        <x:v>一年</x:v>
      </x:c>
      <x:c r="C5569" s="11" t="str">
        <x:v>st2</x:v>
      </x:c>
      <x:c r="D5569" s="11" t="str">
        <x:v>2031-12-31</x:v>
      </x:c>
      <x:c r="E5569" s="11" t="str">
        <x:v>CNY</x:v>
      </x:c>
      <x:c r="F5569" s="11" t="n">
        <x:v>4.227241615331964</x:v>
      </x:c>
      <x:c r="G5569" s="26" t="b">
        <x:v>1</x:v>
      </x:c>
      <x:c r="H5569" s="16" t="n">
        <x:v>0</x:v>
      </x:c>
      <x:c r="I5569" s="16" t="n">
        <x:v>0.3333333333333333</x:v>
      </x:c>
      <x:c r="J5569" s="16" t="n">
        <x:v>1.75</x:v>
      </x:c>
      <x:c r="K5569" s="11" t="n">
        <x:f>CHOOSE('假设'!$B$3,H5569,I5569,J5569)</x:f>
        <x:v>0.3333333333333333</x:v>
      </x:c>
      <x:c r="L5569" s="11" t="n">
        <x:f>K5569*'管线假设'!E1195*'管线假设'!F1195*'管线假设'!G1195*IF(E5569="USD",'管线假设'!I1195,1)-AM5569</x:f>
        <x:v>0.028750000000000005</x:v>
      </x:c>
      <x:c r="M5569" s="11" t="n">
        <x:f>'管线假设'!H1195</x:f>
        <x:v>0.14</x:v>
      </x:c>
      <x:c r="N5569" s="11" t="n">
        <x:f>IF(G5569,L5569*AN5569/(1+M5569)^F5569,0)</x:f>
        <x:v>0.01652293876497525</x:v>
      </x:c>
      <x:c r="AJ5569" t="n">
        <x:v>0</x:v>
      </x:c>
      <x:c r="AK5569" t="n">
        <x:v>0</x:v>
      </x:c>
      <x:c r="AL5569" t="n">
        <x:v>0</x:v>
      </x:c>
      <x:c r="AM5569" t="n">
        <x:f>CHOOSE('假设'!$B$3,AJ5569,AK5569,AL5569)</x:f>
        <x:v>0</x:v>
      </x:c>
      <x:c r="AN5569" t="n">
        <x:v>1</x:v>
      </x:c>
    </x:row>
    <x:row r="5570" ht="23" customHeight="1">
      <x:c r="A5570" s="11" t="str">
        <x:v>688062.SH</x:v>
      </x:c>
      <x:c r="B5570" s="11" t="str">
        <x:v>一年</x:v>
      </x:c>
      <x:c r="C5570" s="11" t="str">
        <x:v>st2</x:v>
      </x:c>
      <x:c r="D5570" s="11" t="str">
        <x:v>2032-12-31</x:v>
      </x:c>
      <x:c r="E5570" s="11" t="str">
        <x:v>CNY</x:v>
      </x:c>
      <x:c r="F5570" s="11" t="n">
        <x:v>5.229295003422314</x:v>
      </x:c>
      <x:c r="G5570" s="26" t="b">
        <x:v>1</x:v>
      </x:c>
      <x:c r="H5570" s="16" t="n">
        <x:v>0</x:v>
      </x:c>
      <x:c r="I5570" s="16" t="n">
        <x:v>0.6666666666666666</x:v>
      </x:c>
      <x:c r="J5570" s="16" t="n">
        <x:v>2.333333333333333</x:v>
      </x:c>
      <x:c r="K5570" s="11" t="n">
        <x:f>CHOOSE('假设'!$B$3,H5570,I5570,J5570)</x:f>
        <x:v>0.6666666666666666</x:v>
      </x:c>
      <x:c r="L5570" s="11" t="n">
        <x:f>K5570*'管线假设'!E1195*'管线假设'!F1195*'管线假设'!G1195*IF(E5570="USD",'管线假设'!I1195,1)-AM5570</x:f>
        <x:v>0.05750000000000001</x:v>
      </x:c>
      <x:c r="M5570" s="11" t="n">
        <x:f>'管线假设'!H1195</x:f>
        <x:v>0.14</x:v>
      </x:c>
      <x:c r="N5570" s="11" t="n">
        <x:f>IF(G5570,L5570*AN5570/(1+M5570)^F5570,0)</x:f>
        <x:v>0.028979813746192178</x:v>
      </x:c>
      <x:c r="AJ5570" t="n">
        <x:v>0</x:v>
      </x:c>
      <x:c r="AK5570" t="n">
        <x:v>0</x:v>
      </x:c>
      <x:c r="AL5570" t="n">
        <x:v>0</x:v>
      </x:c>
      <x:c r="AM5570" t="n">
        <x:f>CHOOSE('假设'!$B$3,AJ5570,AK5570,AL5570)</x:f>
        <x:v>0</x:v>
      </x:c>
      <x:c r="AN5570" t="n">
        <x:v>1</x:v>
      </x:c>
    </x:row>
    <x:row r="5571" ht="23" customHeight="1">
      <x:c r="A5571" s="11" t="str">
        <x:v>688062.SH</x:v>
      </x:c>
      <x:c r="B5571" s="11" t="str">
        <x:v>一年</x:v>
      </x:c>
      <x:c r="C5571" s="11" t="str">
        <x:v>st2</x:v>
      </x:c>
      <x:c r="D5571" s="11" t="str">
        <x:v>2033-12-31</x:v>
      </x:c>
      <x:c r="E5571" s="11" t="str">
        <x:v>CNY</x:v>
      </x:c>
      <x:c r="F5571" s="11" t="n">
        <x:v>6.228610540725531</x:v>
      </x:c>
      <x:c r="G5571" s="26" t="b">
        <x:v>1</x:v>
      </x:c>
      <x:c r="H5571" s="16" t="n">
        <x:v>0</x:v>
      </x:c>
      <x:c r="I5571" s="16" t="n">
        <x:v>1</x:v>
      </x:c>
      <x:c r="J5571" s="16" t="n">
        <x:v>2.916666666666667</x:v>
      </x:c>
      <x:c r="K5571" s="11" t="n">
        <x:f>CHOOSE('假设'!$B$3,H5571,I5571,J5571)</x:f>
        <x:v>1</x:v>
      </x:c>
      <x:c r="L5571" s="11" t="n">
        <x:f>K5571*'管线假设'!E1195*'管线假设'!F1195*'管线假设'!G1195*IF(E5571="USD",'管线假设'!I1195,1)-AM5571</x:f>
        <x:v>0.08625000000000002</x:v>
      </x:c>
      <x:c r="M5571" s="11" t="n">
        <x:f>'管线假设'!H1195</x:f>
        <x:v>0.14</x:v>
      </x:c>
      <x:c r="N5571" s="11" t="n">
        <x:f>IF(G5571,L5571*AN5571/(1+M5571)^F5571,0)</x:f>
        <x:v>0.038134753798862275</x:v>
      </x:c>
      <x:c r="AJ5571" t="n">
        <x:v>0</x:v>
      </x:c>
      <x:c r="AK5571" t="n">
        <x:v>0</x:v>
      </x:c>
      <x:c r="AL5571" t="n">
        <x:v>0</x:v>
      </x:c>
      <x:c r="AM5571" t="n">
        <x:f>CHOOSE('假设'!$B$3,AJ5571,AK5571,AL5571)</x:f>
        <x:v>0</x:v>
      </x:c>
      <x:c r="AN5571" t="n">
        <x:v>1</x:v>
      </x:c>
    </x:row>
    <x:row r="5572" ht="23" customHeight="1">
      <x:c r="A5572" s="11" t="str">
        <x:v>688062.SH</x:v>
      </x:c>
      <x:c r="B5572" s="11" t="str">
        <x:v>一年</x:v>
      </x:c>
      <x:c r="C5572" s="11" t="str">
        <x:v>st2</x:v>
      </x:c>
      <x:c r="D5572" s="11" t="str">
        <x:v>2034-12-31</x:v>
      </x:c>
      <x:c r="E5572" s="11" t="str">
        <x:v>CNY</x:v>
      </x:c>
      <x:c r="F5572" s="11" t="n">
        <x:v>7.227926078028747</x:v>
      </x:c>
      <x:c r="G5572" s="26" t="b">
        <x:v>1</x:v>
      </x:c>
      <x:c r="H5572" s="16" t="n">
        <x:v>0.12</x:v>
      </x:c>
      <x:c r="I5572" s="16" t="n">
        <x:v>1.3333333333333333</x:v>
      </x:c>
      <x:c r="J5572" s="16" t="n">
        <x:v>3.5</x:v>
      </x:c>
      <x:c r="K5572" s="11" t="n">
        <x:f>CHOOSE('假设'!$B$3,H5572,I5572,J5572)</x:f>
        <x:v>1.3333333333333333</x:v>
      </x:c>
      <x:c r="L5572" s="11" t="n">
        <x:f>K5572*'管线假设'!E1195*'管线假设'!F1195*'管线假设'!G1195*IF(E5572="USD",'管线假设'!I1195,1)-AM5572</x:f>
        <x:v>0.11500000000000002</x:v>
      </x:c>
      <x:c r="M5572" s="11" t="n">
        <x:f>'管线假设'!H1195</x:f>
        <x:v>0.14</x:v>
      </x:c>
      <x:c r="N5572" s="11" t="n">
        <x:f>IF(G5572,L5572*AN5572/(1+M5572)^F5572,0)</x:f>
        <x:v>0.0446060514945986</x:v>
      </x:c>
      <x:c r="AJ5572" t="n">
        <x:v>0</x:v>
      </x:c>
      <x:c r="AK5572" t="n">
        <x:v>0</x:v>
      </x:c>
      <x:c r="AL5572" t="n">
        <x:v>0</x:v>
      </x:c>
      <x:c r="AM5572" t="n">
        <x:f>CHOOSE('假设'!$B$3,AJ5572,AK5572,AL5572)</x:f>
        <x:v>0</x:v>
      </x:c>
      <x:c r="AN5572" t="n">
        <x:v>1</x:v>
      </x:c>
    </x:row>
    <x:row r="5573" ht="23" customHeight="1">
      <x:c r="A5573" s="11" t="str">
        <x:v>688062.SH</x:v>
      </x:c>
      <x:c r="B5573" s="11" t="str">
        <x:v>一年</x:v>
      </x:c>
      <x:c r="C5573" s="11" t="str">
        <x:v>st2</x:v>
      </x:c>
      <x:c r="D5573" s="11" t="str">
        <x:v>2035-12-31</x:v>
      </x:c>
      <x:c r="E5573" s="11" t="str">
        <x:v>CNY</x:v>
      </x:c>
      <x:c r="F5573" s="11" t="n">
        <x:v>8.227241615331964</x:v>
      </x:c>
      <x:c r="G5573" s="26" t="b">
        <x:v>1</x:v>
      </x:c>
      <x:c r="H5573" s="16" t="n">
        <x:v>0.24</x:v>
      </x:c>
      <x:c r="I5573" s="16" t="n">
        <x:v>1.6666666666666667</x:v>
      </x:c>
      <x:c r="J5573" s="16" t="n">
        <x:v>3.045</x:v>
      </x:c>
      <x:c r="K5573" s="11" t="n">
        <x:f>CHOOSE('假设'!$B$3,H5573,I5573,J5573)</x:f>
        <x:v>1.6666666666666667</x:v>
      </x:c>
      <x:c r="L5573" s="11" t="n">
        <x:f>K5573*'管线假设'!E1195*'管线假设'!F1195*'管线假设'!G1195*IF(E5573="USD",'管线假设'!I1195,1)-AM5573</x:f>
        <x:v>0.14375000000000004</x:v>
      </x:c>
      <x:c r="M5573" s="11" t="n">
        <x:f>'管线假设'!H1195</x:f>
        <x:v>0.14</x:v>
      </x:c>
      <x:c r="N5573" s="11" t="n">
        <x:f>IF(G5573,L5573*AN5573/(1+M5573)^F5573,0)</x:f>
        <x:v>0.04891453083468602</x:v>
      </x:c>
      <x:c r="AJ5573" t="n">
        <x:v>0</x:v>
      </x:c>
      <x:c r="AK5573" t="n">
        <x:v>0</x:v>
      </x:c>
      <x:c r="AL5573" t="n">
        <x:v>0</x:v>
      </x:c>
      <x:c r="AM5573" t="n">
        <x:f>CHOOSE('假设'!$B$3,AJ5573,AK5573,AL5573)</x:f>
        <x:v>0</x:v>
      </x:c>
      <x:c r="AN5573" t="n">
        <x:v>1</x:v>
      </x:c>
    </x:row>
    <x:row r="5574" ht="23" customHeight="1">
      <x:c r="A5574" s="11" t="str">
        <x:v>688062.SH</x:v>
      </x:c>
      <x:c r="B5574" s="11" t="str">
        <x:v>一年</x:v>
      </x:c>
      <x:c r="C5574" s="11" t="str">
        <x:v>st2</x:v>
      </x:c>
      <x:c r="D5574" s="11" t="str">
        <x:v>2036-12-31</x:v>
      </x:c>
      <x:c r="E5574" s="11" t="str">
        <x:v>CNY</x:v>
      </x:c>
      <x:c r="F5574" s="11" t="n">
        <x:v>9.229295003422314</x:v>
      </x:c>
      <x:c r="G5574" s="26" t="b">
        <x:v>1</x:v>
      </x:c>
      <x:c r="H5574" s="16" t="n">
        <x:v>0.36</x:v>
      </x:c>
      <x:c r="I5574" s="16" t="n">
        <x:v>2</x:v>
      </x:c>
      <x:c r="J5574" s="16" t="n">
        <x:v>2.59</x:v>
      </x:c>
      <x:c r="K5574" s="11" t="n">
        <x:f>CHOOSE('假设'!$B$3,H5574,I5574,J5574)</x:f>
        <x:v>2</x:v>
      </x:c>
      <x:c r="L5574" s="11" t="n">
        <x:f>K5574*'管线假设'!E1195*'管线假设'!F1195*'管线假设'!G1195*IF(E5574="USD",'管线假设'!I1195,1)-AM5574</x:f>
        <x:v>0.17250000000000004</x:v>
      </x:c>
      <x:c r="M5574" s="11" t="n">
        <x:f>'管线假设'!H1195</x:f>
        <x:v>0.14</x:v>
      </x:c>
      <x:c r="N5574" s="11" t="n">
        <x:f>IF(G5574,L5574*AN5574/(1+M5574)^F5574,0)</x:f>
        <x:v>0.051475128482945685</x:v>
      </x:c>
      <x:c r="AJ5574" t="n">
        <x:v>0</x:v>
      </x:c>
      <x:c r="AK5574" t="n">
        <x:v>0</x:v>
      </x:c>
      <x:c r="AL5574" t="n">
        <x:v>0</x:v>
      </x:c>
      <x:c r="AM5574" t="n">
        <x:f>CHOOSE('假设'!$B$3,AJ5574,AK5574,AL5574)</x:f>
        <x:v>0</x:v>
      </x:c>
      <x:c r="AN5574" t="n">
        <x:v>1</x:v>
      </x:c>
    </x:row>
    <x:row r="5575" ht="23" customHeight="1">
      <x:c r="A5575" s="11" t="str">
        <x:v>688062.SH</x:v>
      </x:c>
      <x:c r="B5575" s="11" t="str">
        <x:v>一年</x:v>
      </x:c>
      <x:c r="C5575" s="11" t="str">
        <x:v>st2</x:v>
      </x:c>
      <x:c r="D5575" s="11" t="str">
        <x:v>2037-12-31</x:v>
      </x:c>
      <x:c r="E5575" s="11" t="str">
        <x:v>CNY</x:v>
      </x:c>
      <x:c r="F5575" s="11" t="n">
        <x:v>10.22861054072553</x:v>
      </x:c>
      <x:c r="G5575" s="26" t="b">
        <x:v>1</x:v>
      </x:c>
      <x:c r="H5575" s="16" t="n">
        <x:v>0.48</x:v>
      </x:c>
      <x:c r="I5575" s="16" t="n">
        <x:v>1.74</x:v>
      </x:c>
      <x:c r="J5575" s="16" t="n">
        <x:v>2.135</x:v>
      </x:c>
      <x:c r="K5575" s="11" t="n">
        <x:f>CHOOSE('假设'!$B$3,H5575,I5575,J5575)</x:f>
        <x:v>1.74</x:v>
      </x:c>
      <x:c r="L5575" s="11" t="n">
        <x:f>K5575*'管线假设'!E1195*'管线假设'!F1195*'管线假设'!G1195*IF(E5575="USD",'管线假设'!I1195,1)-AM5575</x:f>
        <x:v>0.15007500000000004</x:v>
      </x:c>
      <x:c r="M5575" s="11" t="n">
        <x:f>'管线假设'!H1195</x:f>
        <x:v>0.14</x:v>
      </x:c>
      <x:c r="N5575" s="11" t="n">
        <x:f>IF(G5575,L5575*AN5575/(1+M5575)^F5575,0)</x:f>
        <x:v>0.039287173955613215</x:v>
      </x:c>
      <x:c r="AJ5575" t="n">
        <x:v>0</x:v>
      </x:c>
      <x:c r="AK5575" t="n">
        <x:v>0</x:v>
      </x:c>
      <x:c r="AL5575" t="n">
        <x:v>0</x:v>
      </x:c>
      <x:c r="AM5575" t="n">
        <x:f>CHOOSE('假设'!$B$3,AJ5575,AK5575,AL5575)</x:f>
        <x:v>0</x:v>
      </x:c>
      <x:c r="AN5575" t="n">
        <x:v>1</x:v>
      </x:c>
    </x:row>
    <x:row r="5576" ht="23" customHeight="1">
      <x:c r="A5576" s="11" t="str">
        <x:v>688062.SH</x:v>
      </x:c>
      <x:c r="B5576" s="11" t="str">
        <x:v>一年</x:v>
      </x:c>
      <x:c r="C5576" s="11" t="str">
        <x:v>st2</x:v>
      </x:c>
      <x:c r="D5576" s="11" t="str">
        <x:v>2038-12-31</x:v>
      </x:c>
      <x:c r="E5576" s="11" t="str">
        <x:v>CNY</x:v>
      </x:c>
      <x:c r="F5576" s="11" t="n">
        <x:v>11.227926078028748</x:v>
      </x:c>
      <x:c r="G5576" s="26" t="b">
        <x:v>1</x:v>
      </x:c>
      <x:c r="H5576" s="16" t="n">
        <x:v>0.6</x:v>
      </x:c>
      <x:c r="I5576" s="16" t="n">
        <x:v>1.48</x:v>
      </x:c>
      <x:c r="J5576" s="16" t="n">
        <x:v>1.68</x:v>
      </x:c>
      <x:c r="K5576" s="11" t="n">
        <x:f>CHOOSE('假设'!$B$3,H5576,I5576,J5576)</x:f>
        <x:v>1.48</x:v>
      </x:c>
      <x:c r="L5576" s="11" t="n">
        <x:f>K5576*'管线假设'!E1195*'管线假设'!F1195*'管线假设'!G1195*IF(E5576="USD",'管线假设'!I1195,1)-AM5576</x:f>
        <x:v>0.12765</x:v>
      </x:c>
      <x:c r="M5576" s="11" t="n">
        <x:f>'管线假设'!H1195</x:f>
        <x:v>0.14</x:v>
      </x:c>
      <x:c r="N5576" s="11" t="n">
        <x:f>IF(G5576,L5576*AN5576/(1+M5576)^F5576,0)</x:f>
        <x:v>0.029315503308855084</x:v>
      </x:c>
      <x:c r="AJ5576" t="n">
        <x:v>0</x:v>
      </x:c>
      <x:c r="AK5576" t="n">
        <x:v>0</x:v>
      </x:c>
      <x:c r="AL5576" t="n">
        <x:v>0</x:v>
      </x:c>
      <x:c r="AM5576" t="n">
        <x:f>CHOOSE('假设'!$B$3,AJ5576,AK5576,AL5576)</x:f>
        <x:v>0</x:v>
      </x:c>
      <x:c r="AN5576" t="n">
        <x:v>1</x:v>
      </x:c>
    </x:row>
    <x:row r="5577" ht="23" customHeight="1">
      <x:c r="A5577" s="11" t="str">
        <x:v>688062.SH</x:v>
      </x:c>
      <x:c r="B5577" s="11" t="str">
        <x:v>一年</x:v>
      </x:c>
      <x:c r="C5577" s="11" t="str">
        <x:v>st2</x:v>
      </x:c>
      <x:c r="D5577" s="11" t="str">
        <x:v>2039-12-31</x:v>
      </x:c>
      <x:c r="E5577" s="11" t="str">
        <x:v>CNY</x:v>
      </x:c>
      <x:c r="F5577" s="11" t="n">
        <x:v>12.227241615331964</x:v>
      </x:c>
      <x:c r="G5577" s="26" t="b">
        <x:v>1</x:v>
      </x:c>
      <x:c r="H5577" s="16" t="n">
        <x:v>0.522</x:v>
      </x:c>
      <x:c r="I5577" s="16" t="n">
        <x:v>1.22</x:v>
      </x:c>
      <x:c r="J5577" s="16" t="n">
        <x:v>1.2249999999999999</x:v>
      </x:c>
      <x:c r="K5577" s="11" t="n">
        <x:f>CHOOSE('假设'!$B$3,H5577,I5577,J5577)</x:f>
        <x:v>1.22</x:v>
      </x:c>
      <x:c r="L5577" s="11" t="n">
        <x:f>K5577*'管线假设'!E1195*'管线假设'!F1195*'管线假设'!G1195*IF(E5577="USD",'管线假设'!I1195,1)-AM5577</x:f>
        <x:v>0.10522500000000003</x:v>
      </x:c>
      <x:c r="M5577" s="11" t="n">
        <x:f>'管线假设'!H1195</x:f>
        <x:v>0.14</x:v>
      </x:c>
      <x:c r="N5577" s="11" t="n">
        <x:f>IF(G5577,L5577*AN5577/(1+M5577)^F5577,0)</x:f>
        <x:v>0.021199692816312583</x:v>
      </x:c>
      <x:c r="AJ5577" t="n">
        <x:v>0</x:v>
      </x:c>
      <x:c r="AK5577" t="n">
        <x:v>0</x:v>
      </x:c>
      <x:c r="AL5577" t="n">
        <x:v>0</x:v>
      </x:c>
      <x:c r="AM5577" t="n">
        <x:f>CHOOSE('假设'!$B$3,AJ5577,AK5577,AL5577)</x:f>
        <x:v>0</x:v>
      </x:c>
      <x:c r="AN5577" t="n">
        <x:v>1</x:v>
      </x:c>
    </x:row>
    <x:row r="5578" ht="23" customHeight="1">
      <x:c r="A5578" s="11" t="str">
        <x:v>688062.SH</x:v>
      </x:c>
      <x:c r="B5578" s="11" t="str">
        <x:v>一年</x:v>
      </x:c>
      <x:c r="C5578" s="11" t="str">
        <x:v>st2</x:v>
      </x:c>
      <x:c r="D5578" s="11" t="str">
        <x:v>2040-12-31</x:v>
      </x:c>
      <x:c r="E5578" s="11" t="str">
        <x:v>CNY</x:v>
      </x:c>
      <x:c r="F5578" s="11" t="n">
        <x:v>13.229295003422314</x:v>
      </x:c>
      <x:c r="G5578" s="26" t="b">
        <x:v>1</x:v>
      </x:c>
      <x:c r="H5578" s="16" t="n">
        <x:v>0.444</x:v>
      </x:c>
      <x:c r="I5578" s="16" t="n">
        <x:v>0.96</x:v>
      </x:c>
      <x:c r="J5578" s="16" t="n">
        <x:v>0.7699999999999999</x:v>
      </x:c>
      <x:c r="K5578" s="11" t="n">
        <x:f>CHOOSE('假设'!$B$3,H5578,I5578,J5578)</x:f>
        <x:v>0.96</x:v>
      </x:c>
      <x:c r="L5578" s="11" t="n">
        <x:f>K5578*'管线假设'!E1195*'管线假设'!F1195*'管线假设'!G1195*IF(E5578="USD",'管线假设'!I1195,1)-AM5578</x:f>
        <x:v>0.08280000000000003</x:v>
      </x:c>
      <x:c r="M5578" s="11" t="n">
        <x:f>'管线假设'!H1195</x:f>
        <x:v>0.14</x:v>
      </x:c>
      <x:c r="N5578" s="11" t="n">
        <x:f>IF(G5578,L5578*AN5578/(1+M5578)^F5578,0)</x:f>
        <x:v>0.01462915600792734</x:v>
      </x:c>
      <x:c r="AJ5578" t="n">
        <x:v>0</x:v>
      </x:c>
      <x:c r="AK5578" t="n">
        <x:v>0</x:v>
      </x:c>
      <x:c r="AL5578" t="n">
        <x:v>0</x:v>
      </x:c>
      <x:c r="AM5578" t="n">
        <x:f>CHOOSE('假设'!$B$3,AJ5578,AK5578,AL5578)</x:f>
        <x:v>0</x:v>
      </x:c>
      <x:c r="AN5578" t="n">
        <x:v>1</x:v>
      </x:c>
    </x:row>
    <x:row r="5579" ht="23" customHeight="1">
      <x:c r="A5579" s="11" t="str">
        <x:v>688062.SH</x:v>
      </x:c>
      <x:c r="B5579" s="11" t="str">
        <x:v>一年</x:v>
      </x:c>
      <x:c r="C5579" s="11" t="str">
        <x:v>st2</x:v>
      </x:c>
      <x:c r="D5579" s="11" t="str">
        <x:v>2041-12-31</x:v>
      </x:c>
      <x:c r="E5579" s="11" t="str">
        <x:v>CNY</x:v>
      </x:c>
      <x:c r="F5579" s="11" t="n">
        <x:v>14.22861054072553</x:v>
      </x:c>
      <x:c r="G5579" s="26" t="b">
        <x:v>1</x:v>
      </x:c>
      <x:c r="H5579" s="16" t="n">
        <x:v>0.366</x:v>
      </x:c>
      <x:c r="I5579" s="16" t="n">
        <x:v>0.7</x:v>
      </x:c>
      <x:c r="J5579" s="16" t="n">
        <x:v>0.3149999999999999</x:v>
      </x:c>
      <x:c r="K5579" s="11" t="n">
        <x:f>CHOOSE('假设'!$B$3,H5579,I5579,J5579)</x:f>
        <x:v>0.7</x:v>
      </x:c>
      <x:c r="L5579" s="11" t="n">
        <x:f>K5579*'管线假设'!E1195*'管线假设'!F1195*'管线假设'!G1195*IF(E5579="USD",'管线假设'!I1195,1)-AM5579</x:f>
        <x:v>0.06037500000000001</x:v>
      </x:c>
      <x:c r="M5579" s="11" t="n">
        <x:f>'管线假设'!H1195</x:f>
        <x:v>0.14</x:v>
      </x:c>
      <x:c r="N5579" s="11" t="n">
        <x:f>IF(G5579,L5579*AN5579/(1+M5579)^F5579,0)</x:f>
        <x:v>0.009357938274086925</x:v>
      </x:c>
      <x:c r="AJ5579" t="n">
        <x:v>0</x:v>
      </x:c>
      <x:c r="AK5579" t="n">
        <x:v>0</x:v>
      </x:c>
      <x:c r="AL5579" t="n">
        <x:v>0</x:v>
      </x:c>
      <x:c r="AM5579" t="n">
        <x:f>CHOOSE('假设'!$B$3,AJ5579,AK5579,AL5579)</x:f>
        <x:v>0</x:v>
      </x:c>
      <x:c r="AN5579" t="n">
        <x:v>1</x:v>
      </x:c>
    </x:row>
    <x:row r="5580" ht="23" customHeight="1">
      <x:c r="A5580" s="11" t="str">
        <x:v>688062.SH</x:v>
      </x:c>
      <x:c r="B5580" s="11" t="str">
        <x:v>一年</x:v>
      </x:c>
      <x:c r="C5580" s="11" t="str">
        <x:v>st2</x:v>
      </x:c>
      <x:c r="D5580" s="11" t="str">
        <x:v>2042-12-31</x:v>
      </x:c>
      <x:c r="E5580" s="11" t="str">
        <x:v>CNY</x:v>
      </x:c>
      <x:c r="F5580" s="11" t="n">
        <x:v>15.227926078028748</x:v>
      </x:c>
      <x:c r="G5580" s="26" t="b">
        <x:v>1</x:v>
      </x:c>
      <x:c r="H5580" s="16" t="n">
        <x:v>0.288</x:v>
      </x:c>
      <x:c r="I5580" s="16" t="n">
        <x:v>0.43999999999999995</x:v>
      </x:c>
      <x:c r="J5580" s="16" t="n">
        <x:v>0</x:v>
      </x:c>
      <x:c r="K5580" s="11" t="n">
        <x:f>CHOOSE('假设'!$B$3,H5580,I5580,J5580)</x:f>
        <x:v>0.43999999999999995</x:v>
      </x:c>
      <x:c r="L5580" s="11" t="n">
        <x:f>K5580*'管线假设'!E1195*'管线假设'!F1195*'管线假设'!G1195*IF(E5580="USD",'管线假设'!I1195,1)-AM5580</x:f>
        <x:v>0.037950000000000005</x:v>
      </x:c>
      <x:c r="M5580" s="11" t="n">
        <x:f>'管线假设'!H1195</x:f>
        <x:v>0.14</x:v>
      </x:c>
      <x:c r="N5580" s="11" t="n">
        <x:f>IF(G5580,L5580*AN5580/(1+M5580)^F5580,0)</x:f>
        <x:v>0.0051602282333483756</x:v>
      </x:c>
      <x:c r="AJ5580" t="n">
        <x:v>0</x:v>
      </x:c>
      <x:c r="AK5580" t="n">
        <x:v>0</x:v>
      </x:c>
      <x:c r="AL5580" t="n">
        <x:v>0</x:v>
      </x:c>
      <x:c r="AM5580" t="n">
        <x:f>CHOOSE('假设'!$B$3,AJ5580,AK5580,AL5580)</x:f>
        <x:v>0</x:v>
      </x:c>
      <x:c r="AN5580" t="n">
        <x:v>1</x:v>
      </x:c>
    </x:row>
    <x:row r="5581" ht="23" customHeight="1">
      <x:c r="A5581" s="11" t="str">
        <x:v>688062.SH</x:v>
      </x:c>
      <x:c r="B5581" s="11" t="str">
        <x:v>一年</x:v>
      </x:c>
      <x:c r="C5581" s="11" t="str">
        <x:v>st2</x:v>
      </x:c>
      <x:c r="D5581" s="11" t="str">
        <x:v>2043-12-31</x:v>
      </x:c>
      <x:c r="E5581" s="11" t="str">
        <x:v>CNY</x:v>
      </x:c>
      <x:c r="F5581" s="11" t="n">
        <x:v>16.227241615331966</x:v>
      </x:c>
      <x:c r="G5581" s="26" t="b">
        <x:v>1</x:v>
      </x:c>
      <x:c r="H5581" s="16" t="n">
        <x:v>0.21</x:v>
      </x:c>
      <x:c r="I5581" s="16" t="n">
        <x:v>0.17999999999999994</x:v>
      </x:c>
      <x:c r="J5581" s="16" t="n">
        <x:v>0</x:v>
      </x:c>
      <x:c r="K5581" s="11" t="n">
        <x:f>CHOOSE('假设'!$B$3,H5581,I5581,J5581)</x:f>
        <x:v>0.17999999999999994</x:v>
      </x:c>
      <x:c r="L5581" s="11" t="n">
        <x:f>K5581*'管线假设'!E1195*'管线假设'!F1195*'管线假设'!G1195*IF(E5581="USD",'管线假设'!I1195,1)-AM5581</x:f>
        <x:v>0.015524999999999999</x:v>
      </x:c>
      <x:c r="M5581" s="11" t="n">
        <x:f>'管线假设'!H1195</x:f>
        <x:v>0.14</x:v>
      </x:c>
      <x:c r="N5581" s="11" t="n">
        <x:f>IF(G5581,L5581*AN5581/(1+M5581)^F5581,0)</x:f>
        <x:v>0.0018519226233705975</x:v>
      </x:c>
      <x:c r="AJ5581" t="n">
        <x:v>0</x:v>
      </x:c>
      <x:c r="AK5581" t="n">
        <x:v>0</x:v>
      </x:c>
      <x:c r="AL5581" t="n">
        <x:v>0</x:v>
      </x:c>
      <x:c r="AM5581" t="n">
        <x:f>CHOOSE('假设'!$B$3,AJ5581,AK5581,AL5581)</x:f>
        <x:v>0</x:v>
      </x:c>
      <x:c r="AN5581" t="n">
        <x:v>1</x:v>
      </x:c>
    </x:row>
    <x:row r="5582" ht="23" customHeight="1">
      <x:c r="A5582" s="11" t="str">
        <x:v>688062.SH</x:v>
      </x:c>
      <x:c r="B5582" s="11" t="str">
        <x:v>一年</x:v>
      </x:c>
      <x:c r="C5582" s="11" t="str">
        <x:v>st2</x:v>
      </x:c>
      <x:c r="D5582" s="11" t="str">
        <x:v>2044-12-31</x:v>
      </x:c>
      <x:c r="E5582" s="11" t="str">
        <x:v>CNY</x:v>
      </x:c>
      <x:c r="F5582" s="11" t="n">
        <x:v>17.229295003422312</x:v>
      </x:c>
      <x:c r="G5582" s="26" t="b">
        <x:v>1</x:v>
      </x:c>
      <x:c r="H5582" s="16" t="n">
        <x:v>0.13199999999999998</x:v>
      </x:c>
      <x:c r="I5582" s="16" t="n">
        <x:v>0</x:v>
      </x:c>
      <x:c r="J5582" s="16" t="n">
        <x:v>0</x:v>
      </x:c>
      <x:c r="K5582" s="11" t="n">
        <x:f>CHOOSE('假设'!$B$3,H5582,I5582,J5582)</x:f>
        <x:v>0</x:v>
      </x:c>
      <x:c r="L5582" s="11" t="n">
        <x:f>K5582*'管线假设'!E1195*'管线假设'!F1195*'管线假设'!G1195*IF(E5582="USD",'管线假设'!I1195,1)-AM5582</x:f>
        <x:v>0</x:v>
      </x:c>
      <x:c r="M5582" s="11" t="n">
        <x:f>'管线假设'!H1195</x:f>
        <x:v>0.14</x:v>
      </x:c>
      <x:c r="N5582" s="11" t="n">
        <x:f>IF(G5582,L5582*AN5582/(1+M5582)^F5582,0)</x:f>
        <x:v>0</x:v>
      </x:c>
      <x:c r="AJ5582" t="n">
        <x:v>0</x:v>
      </x:c>
      <x:c r="AK5582" t="n">
        <x:v>0</x:v>
      </x:c>
      <x:c r="AL5582" t="n">
        <x:v>0</x:v>
      </x:c>
      <x:c r="AM5582" t="n">
        <x:f>CHOOSE('假设'!$B$3,AJ5582,AK5582,AL5582)</x:f>
        <x:v>0</x:v>
      </x:c>
      <x:c r="AN5582" t="n">
        <x:v>1</x:v>
      </x:c>
    </x:row>
    <x:row r="5583" ht="23" customHeight="1">
      <x:c r="A5583" s="11" t="str">
        <x:v>688062.SH</x:v>
      </x:c>
      <x:c r="B5583" s="11" t="str">
        <x:v>一年</x:v>
      </x:c>
      <x:c r="C5583" s="11" t="str">
        <x:v>st2</x:v>
      </x:c>
      <x:c r="D5583" s="11" t="str">
        <x:v>2045-12-31</x:v>
      </x:c>
      <x:c r="E5583" s="11" t="str">
        <x:v>CNY</x:v>
      </x:c>
      <x:c r="F5583" s="11" t="n">
        <x:v>18.22861054072553</x:v>
      </x:c>
      <x:c r="G5583" s="26" t="b">
        <x:v>1</x:v>
      </x:c>
      <x:c r="H5583" s="16" t="n">
        <x:v>0.05399999999999998</x:v>
      </x:c>
      <x:c r="I5583" s="16" t="n">
        <x:v>0</x:v>
      </x:c>
      <x:c r="J5583" s="16" t="n">
        <x:v>0</x:v>
      </x:c>
      <x:c r="K5583" s="11" t="n">
        <x:f>CHOOSE('假设'!$B$3,H5583,I5583,J5583)</x:f>
        <x:v>0</x:v>
      </x:c>
      <x:c r="L5583" s="11" t="n">
        <x:f>K5583*'管线假设'!E1195*'管线假设'!F1195*'管线假设'!G1195*IF(E5583="USD",'管线假设'!I1195,1)-AM5583</x:f>
        <x:v>0</x:v>
      </x:c>
      <x:c r="M5583" s="11" t="n">
        <x:f>'管线假设'!H1195</x:f>
        <x:v>0.14</x:v>
      </x:c>
      <x:c r="N5583" s="11" t="n">
        <x:f>IF(G5583,L5583*AN5583/(1+M5583)^F5583,0)</x:f>
        <x:v>0</x:v>
      </x:c>
      <x:c r="AJ5583" t="n">
        <x:v>0</x:v>
      </x:c>
      <x:c r="AK5583" t="n">
        <x:v>0</x:v>
      </x:c>
      <x:c r="AL5583" t="n">
        <x:v>0</x:v>
      </x:c>
      <x:c r="AM5583" t="n">
        <x:f>CHOOSE('假设'!$B$3,AJ5583,AK5583,AL5583)</x:f>
        <x:v>0</x:v>
      </x:c>
      <x:c r="AN5583" t="n">
        <x:v>1</x:v>
      </x:c>
    </x:row>
    <x:row r="5584" ht="23" customHeight="1">
      <x:c r="A5584" s="11" t="str">
        <x:v>688062.SH</x:v>
      </x:c>
      <x:c r="B5584" s="11" t="str">
        <x:v>一年</x:v>
      </x:c>
      <x:c r="C5584" s="11" t="str">
        <x:v>il11_global</x:v>
      </x:c>
      <x:c r="D5584" s="11" t="str">
        <x:v>2027-12-31</x:v>
      </x:c>
      <x:c r="E5584" s="11" t="str">
        <x:v>USD</x:v>
      </x:c>
      <x:c r="F5584" s="11" t="n">
        <x:v>0.2272416153319644</x:v>
      </x:c>
      <x:c r="G5584" s="26" t="b">
        <x:v>1</x:v>
      </x:c>
      <x:c r="H5584" s="16" t="n">
        <x:v>0</x:v>
      </x:c>
      <x:c r="I5584" s="16" t="n">
        <x:v>0</x:v>
      </x:c>
      <x:c r="J5584" s="16" t="n">
        <x:v>0</x:v>
      </x:c>
      <x:c r="K5584" s="11" t="n">
        <x:f>CHOOSE('假设'!$B$3,H5584,I5584,J5584)</x:f>
        <x:v>0</x:v>
      </x:c>
      <x:c r="L5584" s="11" t="n">
        <x:f>K5584*'管线假设'!E1199*'管线假设'!F1199*'管线假设'!G1199*IF(E5584="USD",'管线假设'!I1199,1)-AM5584</x:f>
        <x:v>0</x:v>
      </x:c>
      <x:c r="M5584" s="11" t="n">
        <x:f>'管线假设'!H1199</x:f>
        <x:v>0.14</x:v>
      </x:c>
      <x:c r="N5584" s="11" t="n">
        <x:f>IF(G5584,L5584*AN5584/(1+M5584)^F5584,0)</x:f>
        <x:v>0</x:v>
      </x:c>
      <x:c r="AJ5584" t="n">
        <x:v>0</x:v>
      </x:c>
      <x:c r="AK5584" t="n">
        <x:v>0</x:v>
      </x:c>
      <x:c r="AL5584" t="n">
        <x:v>0</x:v>
      </x:c>
      <x:c r="AM5584" t="n">
        <x:f>CHOOSE('假设'!$B$3,AJ5584,AK5584,AL5584)</x:f>
        <x:v>0</x:v>
      </x:c>
      <x:c r="AN5584" t="n">
        <x:v>1</x:v>
      </x:c>
    </x:row>
    <x:row r="5585" ht="23" customHeight="1">
      <x:c r="A5585" s="11" t="str">
        <x:v>688062.SH</x:v>
      </x:c>
      <x:c r="B5585" s="11" t="str">
        <x:v>一年</x:v>
      </x:c>
      <x:c r="C5585" s="11" t="str">
        <x:v>il11_global</x:v>
      </x:c>
      <x:c r="D5585" s="11" t="str">
        <x:v>2028-12-31</x:v>
      </x:c>
      <x:c r="E5585" s="11" t="str">
        <x:v>USD</x:v>
      </x:c>
      <x:c r="F5585" s="11" t="n">
        <x:v>1.2292950034223136</x:v>
      </x:c>
      <x:c r="G5585" s="26" t="b">
        <x:v>1</x:v>
      </x:c>
      <x:c r="H5585" s="16" t="n">
        <x:v>0</x:v>
      </x:c>
      <x:c r="I5585" s="16" t="n">
        <x:v>0</x:v>
      </x:c>
      <x:c r="J5585" s="16" t="n">
        <x:v>0</x:v>
      </x:c>
      <x:c r="K5585" s="11" t="n">
        <x:f>CHOOSE('假设'!$B$3,H5585,I5585,J5585)</x:f>
        <x:v>0</x:v>
      </x:c>
      <x:c r="L5585" s="11" t="n">
        <x:f>K5585*'管线假设'!E1199*'管线假设'!F1199*'管线假设'!G1199*IF(E5585="USD",'管线假设'!I1199,1)-AM5585</x:f>
        <x:v>0</x:v>
      </x:c>
      <x:c r="M5585" s="11" t="n">
        <x:f>'管线假设'!H1199</x:f>
        <x:v>0.14</x:v>
      </x:c>
      <x:c r="N5585" s="11" t="n">
        <x:f>IF(G5585,L5585*AN5585/(1+M5585)^F5585,0)</x:f>
        <x:v>0</x:v>
      </x:c>
      <x:c r="AJ5585" t="n">
        <x:v>0</x:v>
      </x:c>
      <x:c r="AK5585" t="n">
        <x:v>0</x:v>
      </x:c>
      <x:c r="AL5585" t="n">
        <x:v>0</x:v>
      </x:c>
      <x:c r="AM5585" t="n">
        <x:f>CHOOSE('假设'!$B$3,AJ5585,AK5585,AL5585)</x:f>
        <x:v>0</x:v>
      </x:c>
      <x:c r="AN5585" t="n">
        <x:v>1</x:v>
      </x:c>
    </x:row>
    <x:row r="5586" ht="23" customHeight="1">
      <x:c r="A5586" s="11" t="str">
        <x:v>688062.SH</x:v>
      </x:c>
      <x:c r="B5586" s="11" t="str">
        <x:v>一年</x:v>
      </x:c>
      <x:c r="C5586" s="11" t="str">
        <x:v>il11_global</x:v>
      </x:c>
      <x:c r="D5586" s="11" t="str">
        <x:v>2029-12-31</x:v>
      </x:c>
      <x:c r="E5586" s="11" t="str">
        <x:v>USD</x:v>
      </x:c>
      <x:c r="F5586" s="11" t="n">
        <x:v>2.2286105407255303</x:v>
      </x:c>
      <x:c r="G5586" s="26" t="b">
        <x:v>1</x:v>
      </x:c>
      <x:c r="H5586" s="16" t="n">
        <x:v>0</x:v>
      </x:c>
      <x:c r="I5586" s="16" t="n">
        <x:v>0</x:v>
      </x:c>
      <x:c r="J5586" s="16" t="n">
        <x:v>0</x:v>
      </x:c>
      <x:c r="K5586" s="11" t="n">
        <x:f>CHOOSE('假设'!$B$3,H5586,I5586,J5586)</x:f>
        <x:v>0</x:v>
      </x:c>
      <x:c r="L5586" s="11" t="n">
        <x:f>K5586*'管线假设'!E1199*'管线假设'!F1199*'管线假设'!G1199*IF(E5586="USD",'管线假设'!I1199,1)-AM5586</x:f>
        <x:v>0</x:v>
      </x:c>
      <x:c r="M5586" s="11" t="n">
        <x:f>'管线假设'!H1199</x:f>
        <x:v>0.14</x:v>
      </x:c>
      <x:c r="N5586" s="11" t="n">
        <x:f>IF(G5586,L5586*AN5586/(1+M5586)^F5586,0)</x:f>
        <x:v>0</x:v>
      </x:c>
      <x:c r="AJ5586" t="n">
        <x:v>0</x:v>
      </x:c>
      <x:c r="AK5586" t="n">
        <x:v>0</x:v>
      </x:c>
      <x:c r="AL5586" t="n">
        <x:v>0</x:v>
      </x:c>
      <x:c r="AM5586" t="n">
        <x:f>CHOOSE('假设'!$B$3,AJ5586,AK5586,AL5586)</x:f>
        <x:v>0</x:v>
      </x:c>
      <x:c r="AN5586" t="n">
        <x:v>1</x:v>
      </x:c>
    </x:row>
    <x:row r="5587" ht="23" customHeight="1">
      <x:c r="A5587" s="11" t="str">
        <x:v>688062.SH</x:v>
      </x:c>
      <x:c r="B5587" s="11" t="str">
        <x:v>一年</x:v>
      </x:c>
      <x:c r="C5587" s="11" t="str">
        <x:v>il11_global</x:v>
      </x:c>
      <x:c r="D5587" s="11" t="str">
        <x:v>2030-12-31</x:v>
      </x:c>
      <x:c r="E5587" s="11" t="str">
        <x:v>USD</x:v>
      </x:c>
      <x:c r="F5587" s="11" t="n">
        <x:v>3.2279260780287475</x:v>
      </x:c>
      <x:c r="G5587" s="26" t="b">
        <x:v>1</x:v>
      </x:c>
      <x:c r="H5587" s="16" t="n">
        <x:v>0</x:v>
      </x:c>
      <x:c r="I5587" s="16" t="n">
        <x:v>0</x:v>
      </x:c>
      <x:c r="J5587" s="16" t="n">
        <x:v>0</x:v>
      </x:c>
      <x:c r="K5587" s="11" t="n">
        <x:f>CHOOSE('假设'!$B$3,H5587,I5587,J5587)</x:f>
        <x:v>0</x:v>
      </x:c>
      <x:c r="L5587" s="11" t="n">
        <x:f>K5587*'管线假设'!E1199*'管线假设'!F1199*'管线假设'!G1199*IF(E5587="USD",'管线假设'!I1199,1)-AM5587</x:f>
        <x:v>0</x:v>
      </x:c>
      <x:c r="M5587" s="11" t="n">
        <x:f>'管线假设'!H1199</x:f>
        <x:v>0.14</x:v>
      </x:c>
      <x:c r="N5587" s="11" t="n">
        <x:f>IF(G5587,L5587*AN5587/(1+M5587)^F5587,0)</x:f>
        <x:v>0</x:v>
      </x:c>
      <x:c r="AJ5587" t="n">
        <x:v>0</x:v>
      </x:c>
      <x:c r="AK5587" t="n">
        <x:v>0</x:v>
      </x:c>
      <x:c r="AL5587" t="n">
        <x:v>0</x:v>
      </x:c>
      <x:c r="AM5587" t="n">
        <x:f>CHOOSE('假设'!$B$3,AJ5587,AK5587,AL5587)</x:f>
        <x:v>0</x:v>
      </x:c>
      <x:c r="AN5587" t="n">
        <x:v>1</x:v>
      </x:c>
    </x:row>
    <x:row r="5588" ht="23" customHeight="1">
      <x:c r="A5588" s="11" t="str">
        <x:v>688062.SH</x:v>
      </x:c>
      <x:c r="B5588" s="11" t="str">
        <x:v>一年</x:v>
      </x:c>
      <x:c r="C5588" s="11" t="str">
        <x:v>il11_global</x:v>
      </x:c>
      <x:c r="D5588" s="11" t="str">
        <x:v>2031-12-31</x:v>
      </x:c>
      <x:c r="E5588" s="11" t="str">
        <x:v>USD</x:v>
      </x:c>
      <x:c r="F5588" s="11" t="n">
        <x:v>4.227241615331964</x:v>
      </x:c>
      <x:c r="G5588" s="26" t="b">
        <x:v>1</x:v>
      </x:c>
      <x:c r="H5588" s="16" t="n">
        <x:v>0</x:v>
      </x:c>
      <x:c r="I5588" s="16" t="n">
        <x:v>0</x:v>
      </x:c>
      <x:c r="J5588" s="16" t="n">
        <x:v>0.5833333333333333</x:v>
      </x:c>
      <x:c r="K5588" s="11" t="n">
        <x:f>CHOOSE('假设'!$B$3,H5588,I5588,J5588)</x:f>
        <x:v>0</x:v>
      </x:c>
      <x:c r="L5588" s="11" t="n">
        <x:f>K5588*'管线假设'!E1199*'管线假设'!F1199*'管线假设'!G1199*IF(E5588="USD",'管线假设'!I1199,1)-AM5588</x:f>
        <x:v>0</x:v>
      </x:c>
      <x:c r="M5588" s="11" t="n">
        <x:f>'管线假设'!H1199</x:f>
        <x:v>0.14</x:v>
      </x:c>
      <x:c r="N5588" s="11" t="n">
        <x:f>IF(G5588,L5588*AN5588/(1+M5588)^F5588,0)</x:f>
        <x:v>0</x:v>
      </x:c>
      <x:c r="AJ5588" t="n">
        <x:v>0</x:v>
      </x:c>
      <x:c r="AK5588" t="n">
        <x:v>0</x:v>
      </x:c>
      <x:c r="AL5588" t="n">
        <x:v>0</x:v>
      </x:c>
      <x:c r="AM5588" t="n">
        <x:f>CHOOSE('假设'!$B$3,AJ5588,AK5588,AL5588)</x:f>
        <x:v>0</x:v>
      </x:c>
      <x:c r="AN5588" t="n">
        <x:v>1</x:v>
      </x:c>
    </x:row>
    <x:row r="5589" ht="23" customHeight="1">
      <x:c r="A5589" s="11" t="str">
        <x:v>688062.SH</x:v>
      </x:c>
      <x:c r="B5589" s="11" t="str">
        <x:v>一年</x:v>
      </x:c>
      <x:c r="C5589" s="11" t="str">
        <x:v>il11_global</x:v>
      </x:c>
      <x:c r="D5589" s="11" t="str">
        <x:v>2032-12-31</x:v>
      </x:c>
      <x:c r="E5589" s="11" t="str">
        <x:v>USD</x:v>
      </x:c>
      <x:c r="F5589" s="11" t="n">
        <x:v>5.229295003422314</x:v>
      </x:c>
      <x:c r="G5589" s="26" t="b">
        <x:v>1</x:v>
      </x:c>
      <x:c r="H5589" s="16" t="n">
        <x:v>0</x:v>
      </x:c>
      <x:c r="I5589" s="16" t="n">
        <x:v>0</x:v>
      </x:c>
      <x:c r="J5589" s="16" t="n">
        <x:v>1.1666666666666665</x:v>
      </x:c>
      <x:c r="K5589" s="11" t="n">
        <x:f>CHOOSE('假设'!$B$3,H5589,I5589,J5589)</x:f>
        <x:v>0</x:v>
      </x:c>
      <x:c r="L5589" s="11" t="n">
        <x:f>K5589*'管线假设'!E1199*'管线假设'!F1199*'管线假设'!G1199*IF(E5589="USD",'管线假设'!I1199,1)-AM5589</x:f>
        <x:v>0</x:v>
      </x:c>
      <x:c r="M5589" s="11" t="n">
        <x:f>'管线假设'!H1199</x:f>
        <x:v>0.14</x:v>
      </x:c>
      <x:c r="N5589" s="11" t="n">
        <x:f>IF(G5589,L5589*AN5589/(1+M5589)^F5589,0)</x:f>
        <x:v>0</x:v>
      </x:c>
      <x:c r="AJ5589" t="n">
        <x:v>0</x:v>
      </x:c>
      <x:c r="AK5589" t="n">
        <x:v>0</x:v>
      </x:c>
      <x:c r="AL5589" t="n">
        <x:v>0</x:v>
      </x:c>
      <x:c r="AM5589" t="n">
        <x:f>CHOOSE('假设'!$B$3,AJ5589,AK5589,AL5589)</x:f>
        <x:v>0</x:v>
      </x:c>
      <x:c r="AN5589" t="n">
        <x:v>1</x:v>
      </x:c>
    </x:row>
    <x:row r="5590" ht="23" customHeight="1">
      <x:c r="A5590" s="11" t="str">
        <x:v>688062.SH</x:v>
      </x:c>
      <x:c r="B5590" s="11" t="str">
        <x:v>一年</x:v>
      </x:c>
      <x:c r="C5590" s="11" t="str">
        <x:v>il11_global</x:v>
      </x:c>
      <x:c r="D5590" s="11" t="str">
        <x:v>2033-12-31</x:v>
      </x:c>
      <x:c r="E5590" s="11" t="str">
        <x:v>USD</x:v>
      </x:c>
      <x:c r="F5590" s="11" t="n">
        <x:v>6.228610540725531</x:v>
      </x:c>
      <x:c r="G5590" s="26" t="b">
        <x:v>1</x:v>
      </x:c>
      <x:c r="H5590" s="16" t="n">
        <x:v>0</x:v>
      </x:c>
      <x:c r="I5590" s="16" t="n">
        <x:v>0.3</x:v>
      </x:c>
      <x:c r="J5590" s="16" t="n">
        <x:v>1.75</x:v>
      </x:c>
      <x:c r="K5590" s="11" t="n">
        <x:f>CHOOSE('假设'!$B$3,H5590,I5590,J5590)</x:f>
        <x:v>0.3</x:v>
      </x:c>
      <x:c r="L5590" s="11" t="n">
        <x:f>K5590*'管线假设'!E1199*'管线假设'!F1199*'管线假设'!G1199*IF(E5590="USD",'管线假设'!I1199,1)-AM5590</x:f>
        <x:v>0.021411840000000005</x:v>
      </x:c>
      <x:c r="M5590" s="11" t="n">
        <x:f>'管线假设'!H1199</x:f>
        <x:v>0.14</x:v>
      </x:c>
      <x:c r="N5590" s="11" t="n">
        <x:f>IF(G5590,L5590*AN5590/(1+M5590)^F5590,0)</x:f>
        <x:v>0.009467075324992824</x:v>
      </x:c>
      <x:c r="AJ5590" t="n">
        <x:v>0</x:v>
      </x:c>
      <x:c r="AK5590" t="n">
        <x:v>0</x:v>
      </x:c>
      <x:c r="AL5590" t="n">
        <x:v>0</x:v>
      </x:c>
      <x:c r="AM5590" t="n">
        <x:f>CHOOSE('假设'!$B$3,AJ5590,AK5590,AL5590)</x:f>
        <x:v>0</x:v>
      </x:c>
      <x:c r="AN5590" t="n">
        <x:v>1</x:v>
      </x:c>
    </x:row>
    <x:row r="5591" ht="23" customHeight="1">
      <x:c r="A5591" s="11" t="str">
        <x:v>688062.SH</x:v>
      </x:c>
      <x:c r="B5591" s="11" t="str">
        <x:v>一年</x:v>
      </x:c>
      <x:c r="C5591" s="11" t="str">
        <x:v>il11_global</x:v>
      </x:c>
      <x:c r="D5591" s="11" t="str">
        <x:v>2034-12-31</x:v>
      </x:c>
      <x:c r="E5591" s="11" t="str">
        <x:v>USD</x:v>
      </x:c>
      <x:c r="F5591" s="11" t="n">
        <x:v>7.227926078028747</x:v>
      </x:c>
      <x:c r="G5591" s="26" t="b">
        <x:v>1</x:v>
      </x:c>
      <x:c r="H5591" s="16" t="n">
        <x:v>0</x:v>
      </x:c>
      <x:c r="I5591" s="16" t="n">
        <x:v>0.6</x:v>
      </x:c>
      <x:c r="J5591" s="16" t="n">
        <x:v>2.333333333333333</x:v>
      </x:c>
      <x:c r="K5591" s="11" t="n">
        <x:f>CHOOSE('假设'!$B$3,H5591,I5591,J5591)</x:f>
        <x:v>0.6</x:v>
      </x:c>
      <x:c r="L5591" s="11" t="n">
        <x:f>K5591*'管线假设'!E1199*'管线假设'!F1199*'管线假设'!G1199*IF(E5591="USD",'管线假设'!I1199,1)-AM5591</x:f>
        <x:v>0.04282368000000001</x:v>
      </x:c>
      <x:c r="M5591" s="11" t="n">
        <x:f>'管线假设'!H1199</x:f>
        <x:v>0.14</x:v>
      </x:c>
      <x:c r="N5591" s="11" t="n">
        <x:f>IF(G5591,L5591*AN5591/(1+M5591)^F5591,0)</x:f>
        <x:v>0.016610393697984456</x:v>
      </x:c>
      <x:c r="AJ5591" t="n">
        <x:v>0</x:v>
      </x:c>
      <x:c r="AK5591" t="n">
        <x:v>0</x:v>
      </x:c>
      <x:c r="AL5591" t="n">
        <x:v>0</x:v>
      </x:c>
      <x:c r="AM5591" t="n">
        <x:f>CHOOSE('假设'!$B$3,AJ5591,AK5591,AL5591)</x:f>
        <x:v>0</x:v>
      </x:c>
      <x:c r="AN5591" t="n">
        <x:v>1</x:v>
      </x:c>
    </x:row>
    <x:row r="5592" ht="23" customHeight="1">
      <x:c r="A5592" s="11" t="str">
        <x:v>688062.SH</x:v>
      </x:c>
      <x:c r="B5592" s="11" t="str">
        <x:v>一年</x:v>
      </x:c>
      <x:c r="C5592" s="11" t="str">
        <x:v>il11_global</x:v>
      </x:c>
      <x:c r="D5592" s="11" t="str">
        <x:v>2035-12-31</x:v>
      </x:c>
      <x:c r="E5592" s="11" t="str">
        <x:v>USD</x:v>
      </x:c>
      <x:c r="F5592" s="11" t="n">
        <x:v>8.227241615331964</x:v>
      </x:c>
      <x:c r="G5592" s="26" t="b">
        <x:v>1</x:v>
      </x:c>
      <x:c r="H5592" s="16" t="n">
        <x:v>0</x:v>
      </x:c>
      <x:c r="I5592" s="16" t="n">
        <x:v>0.9</x:v>
      </x:c>
      <x:c r="J5592" s="16" t="n">
        <x:v>2.916666666666667</x:v>
      </x:c>
      <x:c r="K5592" s="11" t="n">
        <x:f>CHOOSE('假设'!$B$3,H5592,I5592,J5592)</x:f>
        <x:v>0.9</x:v>
      </x:c>
      <x:c r="L5592" s="11" t="n">
        <x:f>K5592*'管线假设'!E1199*'管线假设'!F1199*'管线假设'!G1199*IF(E5592="USD",'管线假设'!I1199,1)-AM5592</x:f>
        <x:v>0.06423552000000002</x:v>
      </x:c>
      <x:c r="M5592" s="11" t="n">
        <x:f>'管线假设'!H1199</x:f>
        <x:v>0.14</x:v>
      </x:c>
      <x:c r="N5592" s="11" t="n">
        <x:f>IF(G5592,L5592*AN5592/(1+M5592)^F5592,0)</x:f>
        <x:v>0.021857741382414544</x:v>
      </x:c>
      <x:c r="AJ5592" t="n">
        <x:v>0</x:v>
      </x:c>
      <x:c r="AK5592" t="n">
        <x:v>0</x:v>
      </x:c>
      <x:c r="AL5592" t="n">
        <x:v>0</x:v>
      </x:c>
      <x:c r="AM5592" t="n">
        <x:f>CHOOSE('假设'!$B$3,AJ5592,AK5592,AL5592)</x:f>
        <x:v>0</x:v>
      </x:c>
      <x:c r="AN5592" t="n">
        <x:v>1</x:v>
      </x:c>
    </x:row>
    <x:row r="5593" ht="23" customHeight="1">
      <x:c r="A5593" s="11" t="str">
        <x:v>688062.SH</x:v>
      </x:c>
      <x:c r="B5593" s="11" t="str">
        <x:v>一年</x:v>
      </x:c>
      <x:c r="C5593" s="11" t="str">
        <x:v>il11_global</x:v>
      </x:c>
      <x:c r="D5593" s="11" t="str">
        <x:v>2036-12-31</x:v>
      </x:c>
      <x:c r="E5593" s="11" t="str">
        <x:v>USD</x:v>
      </x:c>
      <x:c r="F5593" s="11" t="n">
        <x:v>9.229295003422314</x:v>
      </x:c>
      <x:c r="G5593" s="26" t="b">
        <x:v>1</x:v>
      </x:c>
      <x:c r="H5593" s="16" t="n">
        <x:v>0.12</x:v>
      </x:c>
      <x:c r="I5593" s="16" t="n">
        <x:v>1.2</x:v>
      </x:c>
      <x:c r="J5593" s="16" t="n">
        <x:v>3.5</x:v>
      </x:c>
      <x:c r="K5593" s="11" t="n">
        <x:f>CHOOSE('假设'!$B$3,H5593,I5593,J5593)</x:f>
        <x:v>1.2</x:v>
      </x:c>
      <x:c r="L5593" s="11" t="n">
        <x:f>K5593*'管线假设'!E1199*'管线假设'!F1199*'管线假设'!G1199*IF(E5593="USD",'管线假设'!I1199,1)-AM5593</x:f>
        <x:v>0.08564736000000002</x:v>
      </x:c>
      <x:c r="M5593" s="11" t="n">
        <x:f>'管线假设'!H1199</x:f>
        <x:v>0.14</x:v>
      </x:c>
      <x:c r="N5593" s="11" t="n">
        <x:f>IF(G5593,L5593*AN5593/(1+M5593)^F5593,0)</x:f>
        <x:v>0.025557732523044076</x:v>
      </x:c>
      <x:c r="AJ5593" t="n">
        <x:v>0</x:v>
      </x:c>
      <x:c r="AK5593" t="n">
        <x:v>0</x:v>
      </x:c>
      <x:c r="AL5593" t="n">
        <x:v>0</x:v>
      </x:c>
      <x:c r="AM5593" t="n">
        <x:f>CHOOSE('假设'!$B$3,AJ5593,AK5593,AL5593)</x:f>
        <x:v>0</x:v>
      </x:c>
      <x:c r="AN5593" t="n">
        <x:v>1</x:v>
      </x:c>
    </x:row>
    <x:row r="5594" ht="23" customHeight="1">
      <x:c r="A5594" s="11" t="str">
        <x:v>688062.SH</x:v>
      </x:c>
      <x:c r="B5594" s="11" t="str">
        <x:v>一年</x:v>
      </x:c>
      <x:c r="C5594" s="11" t="str">
        <x:v>il11_global</x:v>
      </x:c>
      <x:c r="D5594" s="11" t="str">
        <x:v>2037-12-31</x:v>
      </x:c>
      <x:c r="E5594" s="11" t="str">
        <x:v>USD</x:v>
      </x:c>
      <x:c r="F5594" s="11" t="n">
        <x:v>10.22861054072553</x:v>
      </x:c>
      <x:c r="G5594" s="26" t="b">
        <x:v>1</x:v>
      </x:c>
      <x:c r="H5594" s="16" t="n">
        <x:v>0.24</x:v>
      </x:c>
      <x:c r="I5594" s="16" t="n">
        <x:v>1.5</x:v>
      </x:c>
      <x:c r="J5594" s="16" t="n">
        <x:v>3.045</x:v>
      </x:c>
      <x:c r="K5594" s="11" t="n">
        <x:f>CHOOSE('假设'!$B$3,H5594,I5594,J5594)</x:f>
        <x:v>1.5</x:v>
      </x:c>
      <x:c r="L5594" s="11" t="n">
        <x:f>K5594*'管线假设'!E1199*'管线假设'!F1199*'管线假设'!G1199*IF(E5594="USD",'管线假设'!I1199,1)-AM5594</x:f>
        <x:v>0.10705920000000002</x:v>
      </x:c>
      <x:c r="M5594" s="11" t="n">
        <x:f>'管线假设'!H1199</x:f>
        <x:v>0.14</x:v>
      </x:c>
      <x:c r="N5594" s="11" t="n">
        <x:f>IF(G5594,L5594*AN5594/(1+M5594)^F5594,0)</x:f>
        <x:v>0.028026342921531142</x:v>
      </x:c>
      <x:c r="AJ5594" t="n">
        <x:v>0</x:v>
      </x:c>
      <x:c r="AK5594" t="n">
        <x:v>0</x:v>
      </x:c>
      <x:c r="AL5594" t="n">
        <x:v>0</x:v>
      </x:c>
      <x:c r="AM5594" t="n">
        <x:f>CHOOSE('假设'!$B$3,AJ5594,AK5594,AL5594)</x:f>
        <x:v>0</x:v>
      </x:c>
      <x:c r="AN5594" t="n">
        <x:v>1</x:v>
      </x:c>
    </x:row>
    <x:row r="5595" ht="23" customHeight="1">
      <x:c r="A5595" s="11" t="str">
        <x:v>688062.SH</x:v>
      </x:c>
      <x:c r="B5595" s="11" t="str">
        <x:v>一年</x:v>
      </x:c>
      <x:c r="C5595" s="11" t="str">
        <x:v>il11_global</x:v>
      </x:c>
      <x:c r="D5595" s="11" t="str">
        <x:v>2038-12-31</x:v>
      </x:c>
      <x:c r="E5595" s="11" t="str">
        <x:v>USD</x:v>
      </x:c>
      <x:c r="F5595" s="11" t="n">
        <x:v>11.227926078028748</x:v>
      </x:c>
      <x:c r="G5595" s="26" t="b">
        <x:v>1</x:v>
      </x:c>
      <x:c r="H5595" s="16" t="n">
        <x:v>0.36</x:v>
      </x:c>
      <x:c r="I5595" s="16" t="n">
        <x:v>1.8</x:v>
      </x:c>
      <x:c r="J5595" s="16" t="n">
        <x:v>2.59</x:v>
      </x:c>
      <x:c r="K5595" s="11" t="n">
        <x:f>CHOOSE('假设'!$B$3,H5595,I5595,J5595)</x:f>
        <x:v>1.8</x:v>
      </x:c>
      <x:c r="L5595" s="11" t="n">
        <x:f>K5595*'管线假设'!E1199*'管线假设'!F1199*'管线假设'!G1199*IF(E5595="USD",'管线假设'!I1199,1)-AM5595</x:f>
        <x:v>0.12847104000000004</x:v>
      </x:c>
      <x:c r="M5595" s="11" t="n">
        <x:f>'管线假设'!H1199</x:f>
        <x:v>0.14</x:v>
      </x:c>
      <x:c r="N5595" s="11" t="n">
        <x:f>IF(G5595,L5595*AN5595/(1+M5595)^F5595,0)</x:f>
        <x:v>0.029504059523792047</x:v>
      </x:c>
      <x:c r="AJ5595" t="n">
        <x:v>0</x:v>
      </x:c>
      <x:c r="AK5595" t="n">
        <x:v>0</x:v>
      </x:c>
      <x:c r="AL5595" t="n">
        <x:v>0</x:v>
      </x:c>
      <x:c r="AM5595" t="n">
        <x:f>CHOOSE('假设'!$B$3,AJ5595,AK5595,AL5595)</x:f>
        <x:v>0</x:v>
      </x:c>
      <x:c r="AN5595" t="n">
        <x:v>1</x:v>
      </x:c>
    </x:row>
    <x:row r="5596" ht="23" customHeight="1">
      <x:c r="A5596" s="11" t="str">
        <x:v>688062.SH</x:v>
      </x:c>
      <x:c r="B5596" s="11" t="str">
        <x:v>一年</x:v>
      </x:c>
      <x:c r="C5596" s="11" t="str">
        <x:v>il11_global</x:v>
      </x:c>
      <x:c r="D5596" s="11" t="str">
        <x:v>2039-12-31</x:v>
      </x:c>
      <x:c r="E5596" s="11" t="str">
        <x:v>USD</x:v>
      </x:c>
      <x:c r="F5596" s="11" t="n">
        <x:v>12.227241615331964</x:v>
      </x:c>
      <x:c r="G5596" s="26" t="b">
        <x:v>1</x:v>
      </x:c>
      <x:c r="H5596" s="16" t="n">
        <x:v>0.48</x:v>
      </x:c>
      <x:c r="I5596" s="16" t="n">
        <x:v>1.566</x:v>
      </x:c>
      <x:c r="J5596" s="16" t="n">
        <x:v>2.135</x:v>
      </x:c>
      <x:c r="K5596" s="11" t="n">
        <x:f>CHOOSE('假设'!$B$3,H5596,I5596,J5596)</x:f>
        <x:v>1.566</x:v>
      </x:c>
      <x:c r="L5596" s="11" t="n">
        <x:f>K5596*'管线假设'!E1199*'管线假设'!F1199*'管线假设'!G1199*IF(E5596="USD",'管线假设'!I1199,1)-AM5596</x:f>
        <x:v>0.11176980480000002</x:v>
      </x:c>
      <x:c r="M5596" s="11" t="n">
        <x:f>'管线假设'!H1199</x:f>
        <x:v>0.14</x:v>
      </x:c>
      <x:c r="N5596" s="11" t="n">
        <x:f>IF(G5596,L5596*AN5596/(1+M5596)^F5596,0)</x:f>
        <x:v>0.022518275389871414</x:v>
      </x:c>
      <x:c r="AJ5596" t="n">
        <x:v>0</x:v>
      </x:c>
      <x:c r="AK5596" t="n">
        <x:v>0</x:v>
      </x:c>
      <x:c r="AL5596" t="n">
        <x:v>0</x:v>
      </x:c>
      <x:c r="AM5596" t="n">
        <x:f>CHOOSE('假设'!$B$3,AJ5596,AK5596,AL5596)</x:f>
        <x:v>0</x:v>
      </x:c>
      <x:c r="AN5596" t="n">
        <x:v>1</x:v>
      </x:c>
    </x:row>
    <x:row r="5597" ht="23" customHeight="1">
      <x:c r="A5597" s="11" t="str">
        <x:v>688062.SH</x:v>
      </x:c>
      <x:c r="B5597" s="11" t="str">
        <x:v>一年</x:v>
      </x:c>
      <x:c r="C5597" s="11" t="str">
        <x:v>il11_global</x:v>
      </x:c>
      <x:c r="D5597" s="11" t="str">
        <x:v>2040-12-31</x:v>
      </x:c>
      <x:c r="E5597" s="11" t="str">
        <x:v>USD</x:v>
      </x:c>
      <x:c r="F5597" s="11" t="n">
        <x:v>13.229295003422314</x:v>
      </x:c>
      <x:c r="G5597" s="26" t="b">
        <x:v>1</x:v>
      </x:c>
      <x:c r="H5597" s="16" t="n">
        <x:v>0.6</x:v>
      </x:c>
      <x:c r="I5597" s="16" t="n">
        <x:v>1.332</x:v>
      </x:c>
      <x:c r="J5597" s="16" t="n">
        <x:v>1.68</x:v>
      </x:c>
      <x:c r="K5597" s="11" t="n">
        <x:f>CHOOSE('假设'!$B$3,H5597,I5597,J5597)</x:f>
        <x:v>1.332</x:v>
      </x:c>
      <x:c r="L5597" s="11" t="n">
        <x:f>K5597*'管线假设'!E1199*'管线假设'!F1199*'管线假设'!G1199*IF(E5597="USD",'管线假设'!I1199,1)-AM5597</x:f>
        <x:v>0.09506856960000003</x:v>
      </x:c>
      <x:c r="M5597" s="11" t="n">
        <x:f>'管线假设'!H1199</x:f>
        <x:v>0.14</x:v>
      </x:c>
      <x:c r="N5597" s="11" t="n">
        <x:f>IF(G5597,L5597*AN5597/(1+M5597)^F5597,0)</x:f>
        <x:v>0.016796774590928727</x:v>
      </x:c>
      <x:c r="AJ5597" t="n">
        <x:v>0</x:v>
      </x:c>
      <x:c r="AK5597" t="n">
        <x:v>0</x:v>
      </x:c>
      <x:c r="AL5597" t="n">
        <x:v>0</x:v>
      </x:c>
      <x:c r="AM5597" t="n">
        <x:f>CHOOSE('假设'!$B$3,AJ5597,AK5597,AL5597)</x:f>
        <x:v>0</x:v>
      </x:c>
      <x:c r="AN5597" t="n">
        <x:v>1</x:v>
      </x:c>
    </x:row>
    <x:row r="5598" ht="23" customHeight="1">
      <x:c r="A5598" s="11" t="str">
        <x:v>688062.SH</x:v>
      </x:c>
      <x:c r="B5598" s="11" t="str">
        <x:v>一年</x:v>
      </x:c>
      <x:c r="C5598" s="11" t="str">
        <x:v>il11_global</x:v>
      </x:c>
      <x:c r="D5598" s="11" t="str">
        <x:v>2041-12-31</x:v>
      </x:c>
      <x:c r="E5598" s="11" t="str">
        <x:v>USD</x:v>
      </x:c>
      <x:c r="F5598" s="11" t="n">
        <x:v>14.22861054072553</x:v>
      </x:c>
      <x:c r="G5598" s="26" t="b">
        <x:v>1</x:v>
      </x:c>
      <x:c r="H5598" s="16" t="n">
        <x:v>0.522</x:v>
      </x:c>
      <x:c r="I5598" s="16" t="n">
        <x:v>1.098</x:v>
      </x:c>
      <x:c r="J5598" s="16" t="n">
        <x:v>1.2249999999999999</x:v>
      </x:c>
      <x:c r="K5598" s="11" t="n">
        <x:f>CHOOSE('假设'!$B$3,H5598,I5598,J5598)</x:f>
        <x:v>1.098</x:v>
      </x:c>
      <x:c r="L5598" s="11" t="n">
        <x:f>K5598*'管线假设'!E1199*'管线假设'!F1199*'管线假设'!G1199*IF(E5598="USD",'管线假设'!I1199,1)-AM5598</x:f>
        <x:v>0.07836733440000003</x:v>
      </x:c>
      <x:c r="M5598" s="11" t="n">
        <x:f>'管线假设'!H1199</x:f>
        <x:v>0.14</x:v>
      </x:c>
      <x:c r="N5598" s="11" t="n">
        <x:f>IF(G5598,L5598*AN5598/(1+M5598)^F5598,0)</x:f>
        <x:v>0.012146694459957415</x:v>
      </x:c>
      <x:c r="AJ5598" t="n">
        <x:v>0</x:v>
      </x:c>
      <x:c r="AK5598" t="n">
        <x:v>0</x:v>
      </x:c>
      <x:c r="AL5598" t="n">
        <x:v>0</x:v>
      </x:c>
      <x:c r="AM5598" t="n">
        <x:f>CHOOSE('假设'!$B$3,AJ5598,AK5598,AL5598)</x:f>
        <x:v>0</x:v>
      </x:c>
      <x:c r="AN5598" t="n">
        <x:v>1</x:v>
      </x:c>
    </x:row>
    <x:row r="5599" ht="23" customHeight="1">
      <x:c r="A5599" s="11" t="str">
        <x:v>688062.SH</x:v>
      </x:c>
      <x:c r="B5599" s="11" t="str">
        <x:v>一年</x:v>
      </x:c>
      <x:c r="C5599" s="11" t="str">
        <x:v>il11_global</x:v>
      </x:c>
      <x:c r="D5599" s="11" t="str">
        <x:v>2042-12-31</x:v>
      </x:c>
      <x:c r="E5599" s="11" t="str">
        <x:v>USD</x:v>
      </x:c>
      <x:c r="F5599" s="11" t="n">
        <x:v>15.227926078028748</x:v>
      </x:c>
      <x:c r="G5599" s="26" t="b">
        <x:v>1</x:v>
      </x:c>
      <x:c r="H5599" s="16" t="n">
        <x:v>0.444</x:v>
      </x:c>
      <x:c r="I5599" s="16" t="n">
        <x:v>0.864</x:v>
      </x:c>
      <x:c r="J5599" s="16" t="n">
        <x:v>0.7699999999999999</x:v>
      </x:c>
      <x:c r="K5599" s="11" t="n">
        <x:f>CHOOSE('假设'!$B$3,H5599,I5599,J5599)</x:f>
        <x:v>0.864</x:v>
      </x:c>
      <x:c r="L5599" s="11" t="n">
        <x:f>K5599*'管线假设'!E1199*'管线假设'!F1199*'管线假设'!G1199*IF(E5599="USD",'管线假设'!I1199,1)-AM5599</x:f>
        <x:v>0.061666099200000005</x:v>
      </x:c>
      <x:c r="M5599" s="11" t="n">
        <x:f>'管线假设'!H1199</x:f>
        <x:v>0.14</x:v>
      </x:c>
      <x:c r="N5599" s="11" t="n">
        <x:f>IF(G5599,L5599*AN5599/(1+M5599)^F5599,0)</x:f>
        <x:v>0.008385010438268819</x:v>
      </x:c>
      <x:c r="AJ5599" t="n">
        <x:v>0</x:v>
      </x:c>
      <x:c r="AK5599" t="n">
        <x:v>0</x:v>
      </x:c>
      <x:c r="AL5599" t="n">
        <x:v>0</x:v>
      </x:c>
      <x:c r="AM5599" t="n">
        <x:f>CHOOSE('假设'!$B$3,AJ5599,AK5599,AL5599)</x:f>
        <x:v>0</x:v>
      </x:c>
      <x:c r="AN5599" t="n">
        <x:v>1</x:v>
      </x:c>
    </x:row>
    <x:row r="5600" ht="23" customHeight="1">
      <x:c r="A5600" s="11" t="str">
        <x:v>688062.SH</x:v>
      </x:c>
      <x:c r="B5600" s="11" t="str">
        <x:v>一年</x:v>
      </x:c>
      <x:c r="C5600" s="11" t="str">
        <x:v>il11_global</x:v>
      </x:c>
      <x:c r="D5600" s="11" t="str">
        <x:v>2043-12-31</x:v>
      </x:c>
      <x:c r="E5600" s="11" t="str">
        <x:v>USD</x:v>
      </x:c>
      <x:c r="F5600" s="11" t="n">
        <x:v>16.227241615331966</x:v>
      </x:c>
      <x:c r="G5600" s="26" t="b">
        <x:v>1</x:v>
      </x:c>
      <x:c r="H5600" s="16" t="n">
        <x:v>0.366</x:v>
      </x:c>
      <x:c r="I5600" s="16" t="n">
        <x:v>0.63</x:v>
      </x:c>
      <x:c r="J5600" s="16" t="n">
        <x:v>0.3149999999999999</x:v>
      </x:c>
      <x:c r="K5600" s="11" t="n">
        <x:f>CHOOSE('假设'!$B$3,H5600,I5600,J5600)</x:f>
        <x:v>0.63</x:v>
      </x:c>
      <x:c r="L5600" s="11" t="n">
        <x:f>K5600*'管线假设'!E1199*'管线假设'!F1199*'管线假设'!G1199*IF(E5600="USD",'管线假设'!I1199,1)-AM5600</x:f>
        <x:v>0.04496486400000001</x:v>
      </x:c>
      <x:c r="M5600" s="11" t="n">
        <x:f>'管线假设'!H1199</x:f>
        <x:v>0.14</x:v>
      </x:c>
      <x:c r="N5600" s="11" t="n">
        <x:f>IF(G5600,L5600*AN5600/(1+M5600)^F5600,0)</x:f>
        <x:v>0.005363700412134117</x:v>
      </x:c>
      <x:c r="AJ5600" t="n">
        <x:v>0</x:v>
      </x:c>
      <x:c r="AK5600" t="n">
        <x:v>0</x:v>
      </x:c>
      <x:c r="AL5600" t="n">
        <x:v>0</x:v>
      </x:c>
      <x:c r="AM5600" t="n">
        <x:f>CHOOSE('假设'!$B$3,AJ5600,AK5600,AL5600)</x:f>
        <x:v>0</x:v>
      </x:c>
      <x:c r="AN5600" t="n">
        <x:v>1</x:v>
      </x:c>
    </x:row>
    <x:row r="5601" ht="23" customHeight="1">
      <x:c r="A5601" s="11" t="str">
        <x:v>688062.SH</x:v>
      </x:c>
      <x:c r="B5601" s="11" t="str">
        <x:v>一年</x:v>
      </x:c>
      <x:c r="C5601" s="11" t="str">
        <x:v>il11_global</x:v>
      </x:c>
      <x:c r="D5601" s="11" t="str">
        <x:v>2044-12-31</x:v>
      </x:c>
      <x:c r="E5601" s="11" t="str">
        <x:v>USD</x:v>
      </x:c>
      <x:c r="F5601" s="11" t="n">
        <x:v>17.229295003422312</x:v>
      </x:c>
      <x:c r="G5601" s="26" t="b">
        <x:v>1</x:v>
      </x:c>
      <x:c r="H5601" s="16" t="n">
        <x:v>0.288</x:v>
      </x:c>
      <x:c r="I5601" s="16" t="n">
        <x:v>0.39599999999999996</x:v>
      </x:c>
      <x:c r="J5601" s="16" t="n">
        <x:v>0</x:v>
      </x:c>
      <x:c r="K5601" s="11" t="n">
        <x:f>CHOOSE('假设'!$B$3,H5601,I5601,J5601)</x:f>
        <x:v>0.39599999999999996</x:v>
      </x:c>
      <x:c r="L5601" s="11" t="n">
        <x:f>K5601*'管线假设'!E1199*'管线假设'!F1199*'管线假设'!G1199*IF(E5601="USD",'管线假设'!I1199,1)-AM5601</x:f>
        <x:v>0.028263628800000003</x:v>
      </x:c>
      <x:c r="M5601" s="11" t="n">
        <x:f>'管线假设'!H1199</x:f>
        <x:v>0.14</x:v>
      </x:c>
      <x:c r="N5601" s="11" t="n">
        <x:f>IF(G5601,L5601*AN5601/(1+M5601)^F5601,0)</x:f>
        <x:v>0.0029566332039442683</x:v>
      </x:c>
      <x:c r="AJ5601" t="n">
        <x:v>0</x:v>
      </x:c>
      <x:c r="AK5601" t="n">
        <x:v>0</x:v>
      </x:c>
      <x:c r="AL5601" t="n">
        <x:v>0</x:v>
      </x:c>
      <x:c r="AM5601" t="n">
        <x:f>CHOOSE('假设'!$B$3,AJ5601,AK5601,AL5601)</x:f>
        <x:v>0</x:v>
      </x:c>
      <x:c r="AN5601" t="n">
        <x:v>1</x:v>
      </x:c>
    </x:row>
    <x:row r="5602" ht="23" customHeight="1">
      <x:c r="A5602" s="11" t="str">
        <x:v>688062.SH</x:v>
      </x:c>
      <x:c r="B5602" s="11" t="str">
        <x:v>一年</x:v>
      </x:c>
      <x:c r="C5602" s="11" t="str">
        <x:v>il11_global</x:v>
      </x:c>
      <x:c r="D5602" s="11" t="str">
        <x:v>2045-12-31</x:v>
      </x:c>
      <x:c r="E5602" s="11" t="str">
        <x:v>USD</x:v>
      </x:c>
      <x:c r="F5602" s="11" t="n">
        <x:v>18.22861054072553</x:v>
      </x:c>
      <x:c r="G5602" s="26" t="b">
        <x:v>1</x:v>
      </x:c>
      <x:c r="H5602" s="16" t="n">
        <x:v>0.21</x:v>
      </x:c>
      <x:c r="I5602" s="16" t="n">
        <x:v>0.16199999999999995</x:v>
      </x:c>
      <x:c r="J5602" s="16" t="n">
        <x:v>0</x:v>
      </x:c>
      <x:c r="K5602" s="11" t="n">
        <x:f>CHOOSE('假设'!$B$3,H5602,I5602,J5602)</x:f>
        <x:v>0.16199999999999995</x:v>
      </x:c>
      <x:c r="L5602" s="11" t="n">
        <x:f>K5602*'管线假设'!E1199*'管线假设'!F1199*'管线假设'!G1199*IF(E5602="USD",'管线假设'!I1199,1)-AM5602</x:f>
        <x:v>0.011562393599999998</x:v>
      </x:c>
      <x:c r="M5602" s="11" t="n">
        <x:f>'管线假设'!H1199</x:f>
        <x:v>0.14</x:v>
      </x:c>
      <x:c r="N5602" s="11" t="n">
        <x:f>IF(G5602,L5602*AN5602/(1+M5602)^F5602,0)</x:f>
        <x:v>0.0010610879348334876</x:v>
      </x:c>
      <x:c r="AJ5602" t="n">
        <x:v>0</x:v>
      </x:c>
      <x:c r="AK5602" t="n">
        <x:v>0</x:v>
      </x:c>
      <x:c r="AL5602" t="n">
        <x:v>0</x:v>
      </x:c>
      <x:c r="AM5602" t="n">
        <x:f>CHOOSE('假设'!$B$3,AJ5602,AK5602,AL5602)</x:f>
        <x:v>0</x:v>
      </x:c>
      <x:c r="AN5602" t="n">
        <x:v>1</x:v>
      </x:c>
    </x:row>
    <x:row r="5603" ht="23" customHeight="1">
      <x:c r="A5603" s="11" t="str">
        <x:v>688062.SH</x:v>
      </x:c>
      <x:c r="B5603" s="11" t="str">
        <x:v>一年</x:v>
      </x:c>
      <x:c r="C5603" s="11" t="str">
        <x:v>il11_cn</x:v>
      </x:c>
      <x:c r="D5603" s="11" t="str">
        <x:v>2027-12-31</x:v>
      </x:c>
      <x:c r="E5603" s="11" t="str">
        <x:v>CNY</x:v>
      </x:c>
      <x:c r="F5603" s="11" t="n">
        <x:v>0.2272416153319644</x:v>
      </x:c>
      <x:c r="G5603" s="26" t="b">
        <x:v>1</x:v>
      </x:c>
      <x:c r="H5603" s="16" t="n">
        <x:v>0</x:v>
      </x:c>
      <x:c r="I5603" s="16" t="n">
        <x:v>0</x:v>
      </x:c>
      <x:c r="J5603" s="16" t="n">
        <x:v>0</x:v>
      </x:c>
      <x:c r="K5603" s="11" t="n">
        <x:f>CHOOSE('假设'!$B$3,H5603,I5603,J5603)</x:f>
        <x:v>0</x:v>
      </x:c>
      <x:c r="L5603" s="11" t="n">
        <x:f>K5603*'管线假设'!E1203*'管线假设'!F1203*'管线假设'!G1203*IF(E5603="USD",'管线假设'!I1203,1)-AM5603</x:f>
        <x:v>0</x:v>
      </x:c>
      <x:c r="M5603" s="11" t="n">
        <x:f>'管线假设'!H1203</x:f>
        <x:v>0.14</x:v>
      </x:c>
      <x:c r="N5603" s="11" t="n">
        <x:f>IF(G5603,L5603*AN5603/(1+M5603)^F5603,0)</x:f>
        <x:v>0</x:v>
      </x:c>
      <x:c r="AJ5603" t="n">
        <x:v>0</x:v>
      </x:c>
      <x:c r="AK5603" t="n">
        <x:v>0</x:v>
      </x:c>
      <x:c r="AL5603" t="n">
        <x:v>0</x:v>
      </x:c>
      <x:c r="AM5603" t="n">
        <x:f>CHOOSE('假设'!$B$3,AJ5603,AK5603,AL5603)</x:f>
        <x:v>0</x:v>
      </x:c>
      <x:c r="AN5603" t="n">
        <x:v>1</x:v>
      </x:c>
    </x:row>
    <x:row r="5604" ht="23" customHeight="1">
      <x:c r="A5604" s="11" t="str">
        <x:v>688062.SH</x:v>
      </x:c>
      <x:c r="B5604" s="11" t="str">
        <x:v>一年</x:v>
      </x:c>
      <x:c r="C5604" s="11" t="str">
        <x:v>il11_cn</x:v>
      </x:c>
      <x:c r="D5604" s="11" t="str">
        <x:v>2028-12-31</x:v>
      </x:c>
      <x:c r="E5604" s="11" t="str">
        <x:v>CNY</x:v>
      </x:c>
      <x:c r="F5604" s="11" t="n">
        <x:v>1.2292950034223136</x:v>
      </x:c>
      <x:c r="G5604" s="26" t="b">
        <x:v>1</x:v>
      </x:c>
      <x:c r="H5604" s="16" t="n">
        <x:v>0</x:v>
      </x:c>
      <x:c r="I5604" s="16" t="n">
        <x:v>0</x:v>
      </x:c>
      <x:c r="J5604" s="16" t="n">
        <x:v>0</x:v>
      </x:c>
      <x:c r="K5604" s="11" t="n">
        <x:f>CHOOSE('假设'!$B$3,H5604,I5604,J5604)</x:f>
        <x:v>0</x:v>
      </x:c>
      <x:c r="L5604" s="11" t="n">
        <x:f>K5604*'管线假设'!E1203*'管线假设'!F1203*'管线假设'!G1203*IF(E5604="USD",'管线假设'!I1203,1)-AM5604</x:f>
        <x:v>0</x:v>
      </x:c>
      <x:c r="M5604" s="11" t="n">
        <x:f>'管线假设'!H1203</x:f>
        <x:v>0.14</x:v>
      </x:c>
      <x:c r="N5604" s="11" t="n">
        <x:f>IF(G5604,L5604*AN5604/(1+M5604)^F5604,0)</x:f>
        <x:v>0</x:v>
      </x:c>
      <x:c r="AJ5604" t="n">
        <x:v>0</x:v>
      </x:c>
      <x:c r="AK5604" t="n">
        <x:v>0</x:v>
      </x:c>
      <x:c r="AL5604" t="n">
        <x:v>0</x:v>
      </x:c>
      <x:c r="AM5604" t="n">
        <x:f>CHOOSE('假设'!$B$3,AJ5604,AK5604,AL5604)</x:f>
        <x:v>0</x:v>
      </x:c>
      <x:c r="AN5604" t="n">
        <x:v>1</x:v>
      </x:c>
    </x:row>
    <x:row r="5605" ht="23" customHeight="1">
      <x:c r="A5605" s="11" t="str">
        <x:v>688062.SH</x:v>
      </x:c>
      <x:c r="B5605" s="11" t="str">
        <x:v>一年</x:v>
      </x:c>
      <x:c r="C5605" s="11" t="str">
        <x:v>il11_cn</x:v>
      </x:c>
      <x:c r="D5605" s="11" t="str">
        <x:v>2029-12-31</x:v>
      </x:c>
      <x:c r="E5605" s="11" t="str">
        <x:v>CNY</x:v>
      </x:c>
      <x:c r="F5605" s="11" t="n">
        <x:v>2.2286105407255303</x:v>
      </x:c>
      <x:c r="G5605" s="26" t="b">
        <x:v>1</x:v>
      </x:c>
      <x:c r="H5605" s="16" t="n">
        <x:v>0</x:v>
      </x:c>
      <x:c r="I5605" s="16" t="n">
        <x:v>0</x:v>
      </x:c>
      <x:c r="J5605" s="16" t="n">
        <x:v>0</x:v>
      </x:c>
      <x:c r="K5605" s="11" t="n">
        <x:f>CHOOSE('假设'!$B$3,H5605,I5605,J5605)</x:f>
        <x:v>0</x:v>
      </x:c>
      <x:c r="L5605" s="11" t="n">
        <x:f>K5605*'管线假设'!E1203*'管线假设'!F1203*'管线假设'!G1203*IF(E5605="USD",'管线假设'!I1203,1)-AM5605</x:f>
        <x:v>0</x:v>
      </x:c>
      <x:c r="M5605" s="11" t="n">
        <x:f>'管线假设'!H1203</x:f>
        <x:v>0.14</x:v>
      </x:c>
      <x:c r="N5605" s="11" t="n">
        <x:f>IF(G5605,L5605*AN5605/(1+M5605)^F5605,0)</x:f>
        <x:v>0</x:v>
      </x:c>
      <x:c r="AJ5605" t="n">
        <x:v>0</x:v>
      </x:c>
      <x:c r="AK5605" t="n">
        <x:v>0</x:v>
      </x:c>
      <x:c r="AL5605" t="n">
        <x:v>0</x:v>
      </x:c>
      <x:c r="AM5605" t="n">
        <x:f>CHOOSE('假设'!$B$3,AJ5605,AK5605,AL5605)</x:f>
        <x:v>0</x:v>
      </x:c>
      <x:c r="AN5605" t="n">
        <x:v>1</x:v>
      </x:c>
    </x:row>
    <x:row r="5606" ht="23" customHeight="1">
      <x:c r="A5606" s="11" t="str">
        <x:v>688062.SH</x:v>
      </x:c>
      <x:c r="B5606" s="11" t="str">
        <x:v>一年</x:v>
      </x:c>
      <x:c r="C5606" s="11" t="str">
        <x:v>il11_cn</x:v>
      </x:c>
      <x:c r="D5606" s="11" t="str">
        <x:v>2030-12-31</x:v>
      </x:c>
      <x:c r="E5606" s="11" t="str">
        <x:v>CNY</x:v>
      </x:c>
      <x:c r="F5606" s="11" t="n">
        <x:v>3.2279260780287475</x:v>
      </x:c>
      <x:c r="G5606" s="26" t="b">
        <x:v>1</x:v>
      </x:c>
      <x:c r="H5606" s="16" t="n">
        <x:v>0</x:v>
      </x:c>
      <x:c r="I5606" s="16" t="n">
        <x:v>0</x:v>
      </x:c>
      <x:c r="J5606" s="16" t="n">
        <x:v>0.25</x:v>
      </x:c>
      <x:c r="K5606" s="11" t="n">
        <x:f>CHOOSE('假设'!$B$3,H5606,I5606,J5606)</x:f>
        <x:v>0</x:v>
      </x:c>
      <x:c r="L5606" s="11" t="n">
        <x:f>K5606*'管线假设'!E1203*'管线假设'!F1203*'管线假设'!G1203*IF(E5606="USD",'管线假设'!I1203,1)-AM5606</x:f>
        <x:v>0</x:v>
      </x:c>
      <x:c r="M5606" s="11" t="n">
        <x:f>'管线假设'!H1203</x:f>
        <x:v>0.14</x:v>
      </x:c>
      <x:c r="N5606" s="11" t="n">
        <x:f>IF(G5606,L5606*AN5606/(1+M5606)^F5606,0)</x:f>
        <x:v>0</x:v>
      </x:c>
      <x:c r="AJ5606" t="n">
        <x:v>0</x:v>
      </x:c>
      <x:c r="AK5606" t="n">
        <x:v>0</x:v>
      </x:c>
      <x:c r="AL5606" t="n">
        <x:v>0</x:v>
      </x:c>
      <x:c r="AM5606" t="n">
        <x:f>CHOOSE('假设'!$B$3,AJ5606,AK5606,AL5606)</x:f>
        <x:v>0</x:v>
      </x:c>
      <x:c r="AN5606" t="n">
        <x:v>1</x:v>
      </x:c>
    </x:row>
    <x:row r="5607" ht="23" customHeight="1">
      <x:c r="A5607" s="11" t="str">
        <x:v>688062.SH</x:v>
      </x:c>
      <x:c r="B5607" s="11" t="str">
        <x:v>一年</x:v>
      </x:c>
      <x:c r="C5607" s="11" t="str">
        <x:v>il11_cn</x:v>
      </x:c>
      <x:c r="D5607" s="11" t="str">
        <x:v>2031-12-31</x:v>
      </x:c>
      <x:c r="E5607" s="11" t="str">
        <x:v>CNY</x:v>
      </x:c>
      <x:c r="F5607" s="11" t="n">
        <x:v>4.227241615331964</x:v>
      </x:c>
      <x:c r="G5607" s="26" t="b">
        <x:v>1</x:v>
      </x:c>
      <x:c r="H5607" s="16" t="n">
        <x:v>0</x:v>
      </x:c>
      <x:c r="I5607" s="16" t="n">
        <x:v>0</x:v>
      </x:c>
      <x:c r="J5607" s="16" t="n">
        <x:v>0.5</x:v>
      </x:c>
      <x:c r="K5607" s="11" t="n">
        <x:f>CHOOSE('假设'!$B$3,H5607,I5607,J5607)</x:f>
        <x:v>0</x:v>
      </x:c>
      <x:c r="L5607" s="11" t="n">
        <x:f>K5607*'管线假设'!E1203*'管线假设'!F1203*'管线假设'!G1203*IF(E5607="USD",'管线假设'!I1203,1)-AM5607</x:f>
        <x:v>0</x:v>
      </x:c>
      <x:c r="M5607" s="11" t="n">
        <x:f>'管线假设'!H1203</x:f>
        <x:v>0.14</x:v>
      </x:c>
      <x:c r="N5607" s="11" t="n">
        <x:f>IF(G5607,L5607*AN5607/(1+M5607)^F5607,0)</x:f>
        <x:v>0</x:v>
      </x:c>
      <x:c r="AJ5607" t="n">
        <x:v>0</x:v>
      </x:c>
      <x:c r="AK5607" t="n">
        <x:v>0</x:v>
      </x:c>
      <x:c r="AL5607" t="n">
        <x:v>0</x:v>
      </x:c>
      <x:c r="AM5607" t="n">
        <x:f>CHOOSE('假设'!$B$3,AJ5607,AK5607,AL5607)</x:f>
        <x:v>0</x:v>
      </x:c>
      <x:c r="AN5607" t="n">
        <x:v>1</x:v>
      </x:c>
    </x:row>
    <x:row r="5608" ht="23" customHeight="1">
      <x:c r="A5608" s="11" t="str">
        <x:v>688062.SH</x:v>
      </x:c>
      <x:c r="B5608" s="11" t="str">
        <x:v>一年</x:v>
      </x:c>
      <x:c r="C5608" s="11" t="str">
        <x:v>il11_cn</x:v>
      </x:c>
      <x:c r="D5608" s="11" t="str">
        <x:v>2032-12-31</x:v>
      </x:c>
      <x:c r="E5608" s="11" t="str">
        <x:v>CNY</x:v>
      </x:c>
      <x:c r="F5608" s="11" t="n">
        <x:v>5.229295003422314</x:v>
      </x:c>
      <x:c r="G5608" s="26" t="b">
        <x:v>1</x:v>
      </x:c>
      <x:c r="H5608" s="16" t="n">
        <x:v>0</x:v>
      </x:c>
      <x:c r="I5608" s="16" t="n">
        <x:v>0.13333333333333333</x:v>
      </x:c>
      <x:c r="J5608" s="16" t="n">
        <x:v>0.75</x:v>
      </x:c>
      <x:c r="K5608" s="11" t="n">
        <x:f>CHOOSE('假设'!$B$3,H5608,I5608,J5608)</x:f>
        <x:v>0.13333333333333333</x:v>
      </x:c>
      <x:c r="L5608" s="11" t="n">
        <x:f>K5608*'管线假设'!E1203*'管线假设'!F1203*'管线假设'!G1203*IF(E5608="USD",'管线假设'!I1203,1)-AM5608</x:f>
        <x:v>0.006560000000000001</x:v>
      </x:c>
      <x:c r="M5608" s="11" t="n">
        <x:f>'管线假设'!H1203</x:f>
        <x:v>0.14</x:v>
      </x:c>
      <x:c r="N5608" s="11" t="n">
        <x:f>IF(G5608,L5608*AN5608/(1+M5608)^F5608,0)</x:f>
        <x:v>0.003306218750869925</x:v>
      </x:c>
      <x:c r="AJ5608" t="n">
        <x:v>0</x:v>
      </x:c>
      <x:c r="AK5608" t="n">
        <x:v>0</x:v>
      </x:c>
      <x:c r="AL5608" t="n">
        <x:v>0</x:v>
      </x:c>
      <x:c r="AM5608" t="n">
        <x:f>CHOOSE('假设'!$B$3,AJ5608,AK5608,AL5608)</x:f>
        <x:v>0</x:v>
      </x:c>
      <x:c r="AN5608" t="n">
        <x:v>1</x:v>
      </x:c>
    </x:row>
    <x:row r="5609" ht="23" customHeight="1">
      <x:c r="A5609" s="11" t="str">
        <x:v>688062.SH</x:v>
      </x:c>
      <x:c r="B5609" s="11" t="str">
        <x:v>一年</x:v>
      </x:c>
      <x:c r="C5609" s="11" t="str">
        <x:v>il11_cn</x:v>
      </x:c>
      <x:c r="D5609" s="11" t="str">
        <x:v>2033-12-31</x:v>
      </x:c>
      <x:c r="E5609" s="11" t="str">
        <x:v>CNY</x:v>
      </x:c>
      <x:c r="F5609" s="11" t="n">
        <x:v>6.228610540725531</x:v>
      </x:c>
      <x:c r="G5609" s="26" t="b">
        <x:v>1</x:v>
      </x:c>
      <x:c r="H5609" s="16" t="n">
        <x:v>0</x:v>
      </x:c>
      <x:c r="I5609" s="16" t="n">
        <x:v>0.26666666666666666</x:v>
      </x:c>
      <x:c r="J5609" s="16" t="n">
        <x:v>1</x:v>
      </x:c>
      <x:c r="K5609" s="11" t="n">
        <x:f>CHOOSE('假设'!$B$3,H5609,I5609,J5609)</x:f>
        <x:v>0.26666666666666666</x:v>
      </x:c>
      <x:c r="L5609" s="11" t="n">
        <x:f>K5609*'管线假设'!E1203*'管线假设'!F1203*'管线假设'!G1203*IF(E5609="USD",'管线假设'!I1203,1)-AM5609</x:f>
        <x:v>0.013120000000000001</x:v>
      </x:c>
      <x:c r="M5609" s="11" t="n">
        <x:f>'管线假设'!H1203</x:f>
        <x:v>0.14</x:v>
      </x:c>
      <x:c r="N5609" s="11" t="n">
        <x:f>IF(G5609,L5609*AN5609/(1+M5609)^F5609,0)</x:f>
        <x:v>0.005800903998157367</x:v>
      </x:c>
      <x:c r="AJ5609" t="n">
        <x:v>0</x:v>
      </x:c>
      <x:c r="AK5609" t="n">
        <x:v>0</x:v>
      </x:c>
      <x:c r="AL5609" t="n">
        <x:v>0</x:v>
      </x:c>
      <x:c r="AM5609" t="n">
        <x:f>CHOOSE('假设'!$B$3,AJ5609,AK5609,AL5609)</x:f>
        <x:v>0</x:v>
      </x:c>
      <x:c r="AN5609" t="n">
        <x:v>1</x:v>
      </x:c>
    </x:row>
    <x:row r="5610" ht="23" customHeight="1">
      <x:c r="A5610" s="11" t="str">
        <x:v>688062.SH</x:v>
      </x:c>
      <x:c r="B5610" s="11" t="str">
        <x:v>一年</x:v>
      </x:c>
      <x:c r="C5610" s="11" t="str">
        <x:v>il11_cn</x:v>
      </x:c>
      <x:c r="D5610" s="11" t="str">
        <x:v>2034-12-31</x:v>
      </x:c>
      <x:c r="E5610" s="11" t="str">
        <x:v>CNY</x:v>
      </x:c>
      <x:c r="F5610" s="11" t="n">
        <x:v>7.227926078028747</x:v>
      </x:c>
      <x:c r="G5610" s="26" t="b">
        <x:v>1</x:v>
      </x:c>
      <x:c r="H5610" s="16" t="n">
        <x:v>0</x:v>
      </x:c>
      <x:c r="I5610" s="16" t="n">
        <x:v>0.4</x:v>
      </x:c>
      <x:c r="J5610" s="16" t="n">
        <x:v>1.25</x:v>
      </x:c>
      <x:c r="K5610" s="11" t="n">
        <x:f>CHOOSE('假设'!$B$3,H5610,I5610,J5610)</x:f>
        <x:v>0.4</x:v>
      </x:c>
      <x:c r="L5610" s="11" t="n">
        <x:f>K5610*'管线假设'!E1203*'管线假设'!F1203*'管线假设'!G1203*IF(E5610="USD",'管线假设'!I1203,1)-AM5610</x:f>
        <x:v>0.019680000000000007</x:v>
      </x:c>
      <x:c r="M5610" s="11" t="n">
        <x:f>'管线假设'!H1203</x:f>
        <x:v>0.14</x:v>
      </x:c>
      <x:c r="N5610" s="11" t="n">
        <x:f>IF(G5610,L5610*AN5610/(1+M5610)^F5610,0)</x:f>
        <x:v>0.007633452986206092</x:v>
      </x:c>
      <x:c r="AJ5610" t="n">
        <x:v>0</x:v>
      </x:c>
      <x:c r="AK5610" t="n">
        <x:v>0</x:v>
      </x:c>
      <x:c r="AL5610" t="n">
        <x:v>0</x:v>
      </x:c>
      <x:c r="AM5610" t="n">
        <x:f>CHOOSE('假设'!$B$3,AJ5610,AK5610,AL5610)</x:f>
        <x:v>0</x:v>
      </x:c>
      <x:c r="AN5610" t="n">
        <x:v>1</x:v>
      </x:c>
    </x:row>
    <x:row r="5611" ht="23" customHeight="1">
      <x:c r="A5611" s="11" t="str">
        <x:v>688062.SH</x:v>
      </x:c>
      <x:c r="B5611" s="11" t="str">
        <x:v>一年</x:v>
      </x:c>
      <x:c r="C5611" s="11" t="str">
        <x:v>il11_cn</x:v>
      </x:c>
      <x:c r="D5611" s="11" t="str">
        <x:v>2035-12-31</x:v>
      </x:c>
      <x:c r="E5611" s="11" t="str">
        <x:v>CNY</x:v>
      </x:c>
      <x:c r="F5611" s="11" t="n">
        <x:v>8.227241615331964</x:v>
      </x:c>
      <x:c r="G5611" s="26" t="b">
        <x:v>1</x:v>
      </x:c>
      <x:c r="H5611" s="16" t="n">
        <x:v>0.06</x:v>
      </x:c>
      <x:c r="I5611" s="16" t="n">
        <x:v>0.5333333333333333</x:v>
      </x:c>
      <x:c r="J5611" s="16" t="n">
        <x:v>1.5</x:v>
      </x:c>
      <x:c r="K5611" s="11" t="n">
        <x:f>CHOOSE('假设'!$B$3,H5611,I5611,J5611)</x:f>
        <x:v>0.5333333333333333</x:v>
      </x:c>
      <x:c r="L5611" s="11" t="n">
        <x:f>K5611*'管线假设'!E1203*'管线假设'!F1203*'管线假设'!G1203*IF(E5611="USD",'管线假设'!I1203,1)-AM5611</x:f>
        <x:v>0.026240000000000003</x:v>
      </x:c>
      <x:c r="M5611" s="11" t="n">
        <x:f>'管线假设'!H1203</x:f>
        <x:v>0.14</x:v>
      </x:c>
      <x:c r="N5611" s="11" t="n">
        <x:f>IF(G5611,L5611*AN5611/(1+M5611)^F5611,0)</x:f>
        <x:v>0.008928815924188946</x:v>
      </x:c>
      <x:c r="AJ5611" t="n">
        <x:v>0</x:v>
      </x:c>
      <x:c r="AK5611" t="n">
        <x:v>0</x:v>
      </x:c>
      <x:c r="AL5611" t="n">
        <x:v>0</x:v>
      </x:c>
      <x:c r="AM5611" t="n">
        <x:f>CHOOSE('假设'!$B$3,AJ5611,AK5611,AL5611)</x:f>
        <x:v>0</x:v>
      </x:c>
      <x:c r="AN5611" t="n">
        <x:v>1</x:v>
      </x:c>
    </x:row>
    <x:row r="5612" ht="23" customHeight="1">
      <x:c r="A5612" s="11" t="str">
        <x:v>688062.SH</x:v>
      </x:c>
      <x:c r="B5612" s="11" t="str">
        <x:v>一年</x:v>
      </x:c>
      <x:c r="C5612" s="11" t="str">
        <x:v>il11_cn</x:v>
      </x:c>
      <x:c r="D5612" s="11" t="str">
        <x:v>2036-12-31</x:v>
      </x:c>
      <x:c r="E5612" s="11" t="str">
        <x:v>CNY</x:v>
      </x:c>
      <x:c r="F5612" s="11" t="n">
        <x:v>9.229295003422314</x:v>
      </x:c>
      <x:c r="G5612" s="26" t="b">
        <x:v>1</x:v>
      </x:c>
      <x:c r="H5612" s="16" t="n">
        <x:v>0.12</x:v>
      </x:c>
      <x:c r="I5612" s="16" t="n">
        <x:v>0.6666666666666667</x:v>
      </x:c>
      <x:c r="J5612" s="16" t="n">
        <x:v>1.305</x:v>
      </x:c>
      <x:c r="K5612" s="11" t="n">
        <x:f>CHOOSE('假设'!$B$3,H5612,I5612,J5612)</x:f>
        <x:v>0.6666666666666667</x:v>
      </x:c>
      <x:c r="L5612" s="11" t="n">
        <x:f>K5612*'管线假设'!E1203*'管线假设'!F1203*'管线假设'!G1203*IF(E5612="USD",'管线假设'!I1203,1)-AM5612</x:f>
        <x:v>0.03280000000000001</x:v>
      </x:c>
      <x:c r="M5612" s="11" t="n">
        <x:f>'管线假设'!H1203</x:f>
        <x:v>0.14</x:v>
      </x:c>
      <x:c r="N5612" s="11" t="n">
        <x:f>IF(G5612,L5612*AN5612/(1+M5612)^F5612,0)</x:f>
        <x:v>0.009787734575307934</x:v>
      </x:c>
      <x:c r="AJ5612" t="n">
        <x:v>0</x:v>
      </x:c>
      <x:c r="AK5612" t="n">
        <x:v>0</x:v>
      </x:c>
      <x:c r="AL5612" t="n">
        <x:v>0</x:v>
      </x:c>
      <x:c r="AM5612" t="n">
        <x:f>CHOOSE('假设'!$B$3,AJ5612,AK5612,AL5612)</x:f>
        <x:v>0</x:v>
      </x:c>
      <x:c r="AN5612" t="n">
        <x:v>1</x:v>
      </x:c>
    </x:row>
    <x:row r="5613" ht="23" customHeight="1">
      <x:c r="A5613" s="11" t="str">
        <x:v>688062.SH</x:v>
      </x:c>
      <x:c r="B5613" s="11" t="str">
        <x:v>一年</x:v>
      </x:c>
      <x:c r="C5613" s="11" t="str">
        <x:v>il11_cn</x:v>
      </x:c>
      <x:c r="D5613" s="11" t="str">
        <x:v>2037-12-31</x:v>
      </x:c>
      <x:c r="E5613" s="11" t="str">
        <x:v>CNY</x:v>
      </x:c>
      <x:c r="F5613" s="11" t="n">
        <x:v>10.22861054072553</x:v>
      </x:c>
      <x:c r="G5613" s="26" t="b">
        <x:v>1</x:v>
      </x:c>
      <x:c r="H5613" s="16" t="n">
        <x:v>0.18</x:v>
      </x:c>
      <x:c r="I5613" s="16" t="n">
        <x:v>0.8</x:v>
      </x:c>
      <x:c r="J5613" s="16" t="n">
        <x:v>1.1099999999999999</x:v>
      </x:c>
      <x:c r="K5613" s="11" t="n">
        <x:f>CHOOSE('假设'!$B$3,H5613,I5613,J5613)</x:f>
        <x:v>0.8</x:v>
      </x:c>
      <x:c r="L5613" s="11" t="n">
        <x:f>K5613*'管线假设'!E1203*'管线假设'!F1203*'管线假设'!G1203*IF(E5613="USD",'管线假设'!I1203,1)-AM5613</x:f>
        <x:v>0.03936000000000001</x:v>
      </x:c>
      <x:c r="M5613" s="11" t="n">
        <x:f>'管线假设'!H1203</x:f>
        <x:v>0.14</x:v>
      </x:c>
      <x:c r="N5613" s="11" t="n">
        <x:f>IF(G5613,L5613*AN5613/(1+M5613)^F5613,0)</x:f>
        <x:v>0.010303802544680569</x:v>
      </x:c>
      <x:c r="AJ5613" t="n">
        <x:v>0</x:v>
      </x:c>
      <x:c r="AK5613" t="n">
        <x:v>0</x:v>
      </x:c>
      <x:c r="AL5613" t="n">
        <x:v>0</x:v>
      </x:c>
      <x:c r="AM5613" t="n">
        <x:f>CHOOSE('假设'!$B$3,AJ5613,AK5613,AL5613)</x:f>
        <x:v>0</x:v>
      </x:c>
      <x:c r="AN5613" t="n">
        <x:v>1</x:v>
      </x:c>
    </x:row>
    <x:row r="5614" ht="23" customHeight="1">
      <x:c r="A5614" s="11" t="str">
        <x:v>688062.SH</x:v>
      </x:c>
      <x:c r="B5614" s="11" t="str">
        <x:v>一年</x:v>
      </x:c>
      <x:c r="C5614" s="11" t="str">
        <x:v>il11_cn</x:v>
      </x:c>
      <x:c r="D5614" s="11" t="str">
        <x:v>2038-12-31</x:v>
      </x:c>
      <x:c r="E5614" s="11" t="str">
        <x:v>CNY</x:v>
      </x:c>
      <x:c r="F5614" s="11" t="n">
        <x:v>11.227926078028748</x:v>
      </x:c>
      <x:c r="G5614" s="26" t="b">
        <x:v>1</x:v>
      </x:c>
      <x:c r="H5614" s="16" t="n">
        <x:v>0.24</x:v>
      </x:c>
      <x:c r="I5614" s="16" t="n">
        <x:v>0.6960000000000001</x:v>
      </x:c>
      <x:c r="J5614" s="16" t="n">
        <x:v>0.915</x:v>
      </x:c>
      <x:c r="K5614" s="11" t="n">
        <x:f>CHOOSE('假设'!$B$3,H5614,I5614,J5614)</x:f>
        <x:v>0.6960000000000001</x:v>
      </x:c>
      <x:c r="L5614" s="11" t="n">
        <x:f>K5614*'管线假设'!E1203*'管线假设'!F1203*'管线假设'!G1203*IF(E5614="USD",'管线假设'!I1203,1)-AM5614</x:f>
        <x:v>0.03424320000000001</x:v>
      </x:c>
      <x:c r="M5614" s="11" t="n">
        <x:f>'管线假设'!H1203</x:f>
        <x:v>0.14</x:v>
      </x:c>
      <x:c r="N5614" s="11" t="n">
        <x:f>IF(G5614,L5614*AN5614/(1+M5614)^F5614,0)</x:f>
        <x:v>0.007864133512775453</x:v>
      </x:c>
      <x:c r="AJ5614" t="n">
        <x:v>0</x:v>
      </x:c>
      <x:c r="AK5614" t="n">
        <x:v>0</x:v>
      </x:c>
      <x:c r="AL5614" t="n">
        <x:v>0</x:v>
      </x:c>
      <x:c r="AM5614" t="n">
        <x:f>CHOOSE('假设'!$B$3,AJ5614,AK5614,AL5614)</x:f>
        <x:v>0</x:v>
      </x:c>
      <x:c r="AN5614" t="n">
        <x:v>1</x:v>
      </x:c>
    </x:row>
    <x:row r="5615" ht="23" customHeight="1">
      <x:c r="A5615" s="11" t="str">
        <x:v>688062.SH</x:v>
      </x:c>
      <x:c r="B5615" s="11" t="str">
        <x:v>一年</x:v>
      </x:c>
      <x:c r="C5615" s="11" t="str">
        <x:v>il11_cn</x:v>
      </x:c>
      <x:c r="D5615" s="11" t="str">
        <x:v>2039-12-31</x:v>
      </x:c>
      <x:c r="E5615" s="11" t="str">
        <x:v>CNY</x:v>
      </x:c>
      <x:c r="F5615" s="11" t="n">
        <x:v>12.227241615331964</x:v>
      </x:c>
      <x:c r="G5615" s="26" t="b">
        <x:v>1</x:v>
      </x:c>
      <x:c r="H5615" s="16" t="n">
        <x:v>0.3</x:v>
      </x:c>
      <x:c r="I5615" s="16" t="n">
        <x:v>0.592</x:v>
      </x:c>
      <x:c r="J5615" s="16" t="n">
        <x:v>0.72</x:v>
      </x:c>
      <x:c r="K5615" s="11" t="n">
        <x:f>CHOOSE('假设'!$B$3,H5615,I5615,J5615)</x:f>
        <x:v>0.592</x:v>
      </x:c>
      <x:c r="L5615" s="11" t="n">
        <x:f>K5615*'管线假设'!E1203*'管线假设'!F1203*'管线假设'!G1203*IF(E5615="USD",'管线假设'!I1203,1)-AM5615</x:f>
        <x:v>0.029126400000000004</x:v>
      </x:c>
      <x:c r="M5615" s="11" t="n">
        <x:f>'管线假设'!H1203</x:f>
        <x:v>0.14</x:v>
      </x:c>
      <x:c r="N5615" s="11" t="n">
        <x:f>IF(G5615,L5615*AN5615/(1+M5615)^F5615,0)</x:f>
        <x:v>0.005868099147969083</x:v>
      </x:c>
      <x:c r="AJ5615" t="n">
        <x:v>0</x:v>
      </x:c>
      <x:c r="AK5615" t="n">
        <x:v>0</x:v>
      </x:c>
      <x:c r="AL5615" t="n">
        <x:v>0</x:v>
      </x:c>
      <x:c r="AM5615" t="n">
        <x:f>CHOOSE('假设'!$B$3,AJ5615,AK5615,AL5615)</x:f>
        <x:v>0</x:v>
      </x:c>
      <x:c r="AN5615" t="n">
        <x:v>1</x:v>
      </x:c>
    </x:row>
    <x:row r="5616" ht="23" customHeight="1">
      <x:c r="A5616" s="11" t="str">
        <x:v>688062.SH</x:v>
      </x:c>
      <x:c r="B5616" s="11" t="str">
        <x:v>一年</x:v>
      </x:c>
      <x:c r="C5616" s="11" t="str">
        <x:v>il11_cn</x:v>
      </x:c>
      <x:c r="D5616" s="11" t="str">
        <x:v>2040-12-31</x:v>
      </x:c>
      <x:c r="E5616" s="11" t="str">
        <x:v>CNY</x:v>
      </x:c>
      <x:c r="F5616" s="11" t="n">
        <x:v>13.229295003422314</x:v>
      </x:c>
      <x:c r="G5616" s="26" t="b">
        <x:v>1</x:v>
      </x:c>
      <x:c r="H5616" s="16" t="n">
        <x:v>0.261</x:v>
      </x:c>
      <x:c r="I5616" s="16" t="n">
        <x:v>0.488</x:v>
      </x:c>
      <x:c r="J5616" s="16" t="n">
        <x:v>0.5249999999999999</x:v>
      </x:c>
      <x:c r="K5616" s="11" t="n">
        <x:f>CHOOSE('假设'!$B$3,H5616,I5616,J5616)</x:f>
        <x:v>0.488</x:v>
      </x:c>
      <x:c r="L5616" s="11" t="n">
        <x:f>K5616*'管线假设'!E1203*'管线假设'!F1203*'管线假设'!G1203*IF(E5616="USD",'管线假设'!I1203,1)-AM5616</x:f>
        <x:v>0.024009600000000006</x:v>
      </x:c>
      <x:c r="M5616" s="11" t="n">
        <x:f>'管线假设'!H1203</x:f>
        <x:v>0.14</x:v>
      </x:c>
      <x:c r="N5616" s="11" t="n">
        <x:f>IF(G5616,L5616*AN5616/(1+M5616)^F5616,0)</x:f>
        <x:v>0.004242031208791452</x:v>
      </x:c>
      <x:c r="AJ5616" t="n">
        <x:v>0</x:v>
      </x:c>
      <x:c r="AK5616" t="n">
        <x:v>0</x:v>
      </x:c>
      <x:c r="AL5616" t="n">
        <x:v>0</x:v>
      </x:c>
      <x:c r="AM5616" t="n">
        <x:f>CHOOSE('假设'!$B$3,AJ5616,AK5616,AL5616)</x:f>
        <x:v>0</x:v>
      </x:c>
      <x:c r="AN5616" t="n">
        <x:v>1</x:v>
      </x:c>
    </x:row>
    <x:row r="5617" ht="23" customHeight="1">
      <x:c r="A5617" s="11" t="str">
        <x:v>688062.SH</x:v>
      </x:c>
      <x:c r="B5617" s="11" t="str">
        <x:v>一年</x:v>
      </x:c>
      <x:c r="C5617" s="11" t="str">
        <x:v>il11_cn</x:v>
      </x:c>
      <x:c r="D5617" s="11" t="str">
        <x:v>2041-12-31</x:v>
      </x:c>
      <x:c r="E5617" s="11" t="str">
        <x:v>CNY</x:v>
      </x:c>
      <x:c r="F5617" s="11" t="n">
        <x:v>14.22861054072553</x:v>
      </x:c>
      <x:c r="G5617" s="26" t="b">
        <x:v>1</x:v>
      </x:c>
      <x:c r="H5617" s="16" t="n">
        <x:v>0.222</x:v>
      </x:c>
      <x:c r="I5617" s="16" t="n">
        <x:v>0.384</x:v>
      </x:c>
      <x:c r="J5617" s="16" t="n">
        <x:v>0.32999999999999996</x:v>
      </x:c>
      <x:c r="K5617" s="11" t="n">
        <x:f>CHOOSE('假设'!$B$3,H5617,I5617,J5617)</x:f>
        <x:v>0.384</x:v>
      </x:c>
      <x:c r="L5617" s="11" t="n">
        <x:f>K5617*'管线假设'!E1203*'管线假设'!F1203*'管线假设'!G1203*IF(E5617="USD",'管线假设'!I1203,1)-AM5617</x:f>
        <x:v>0.018892800000000005</x:v>
      </x:c>
      <x:c r="M5617" s="11" t="n">
        <x:f>'管线假设'!H1203</x:f>
        <x:v>0.14</x:v>
      </x:c>
      <x:c r="N5617" s="11" t="n">
        <x:f>IF(G5617,L5617*AN5617/(1+M5617)^F5617,0)</x:f>
        <x:v>0.0029283255689386244</x:v>
      </x:c>
      <x:c r="AJ5617" t="n">
        <x:v>0</x:v>
      </x:c>
      <x:c r="AK5617" t="n">
        <x:v>0</x:v>
      </x:c>
      <x:c r="AL5617" t="n">
        <x:v>0</x:v>
      </x:c>
      <x:c r="AM5617" t="n">
        <x:f>CHOOSE('假设'!$B$3,AJ5617,AK5617,AL5617)</x:f>
        <x:v>0</x:v>
      </x:c>
      <x:c r="AN5617" t="n">
        <x:v>1</x:v>
      </x:c>
    </x:row>
    <x:row r="5618" ht="23" customHeight="1">
      <x:c r="A5618" s="11" t="str">
        <x:v>688062.SH</x:v>
      </x:c>
      <x:c r="B5618" s="11" t="str">
        <x:v>一年</x:v>
      </x:c>
      <x:c r="C5618" s="11" t="str">
        <x:v>il11_cn</x:v>
      </x:c>
      <x:c r="D5618" s="11" t="str">
        <x:v>2042-12-31</x:v>
      </x:c>
      <x:c r="E5618" s="11" t="str">
        <x:v>CNY</x:v>
      </x:c>
      <x:c r="F5618" s="11" t="n">
        <x:v>15.227926078028748</x:v>
      </x:c>
      <x:c r="G5618" s="26" t="b">
        <x:v>1</x:v>
      </x:c>
      <x:c r="H5618" s="16" t="n">
        <x:v>0.183</x:v>
      </x:c>
      <x:c r="I5618" s="16" t="n">
        <x:v>0.27999999999999997</x:v>
      </x:c>
      <x:c r="J5618" s="16" t="n">
        <x:v>0.13499999999999995</x:v>
      </x:c>
      <x:c r="K5618" s="11" t="n">
        <x:f>CHOOSE('假设'!$B$3,H5618,I5618,J5618)</x:f>
        <x:v>0.27999999999999997</x:v>
      </x:c>
      <x:c r="L5618" s="11" t="n">
        <x:f>K5618*'管线假设'!E1203*'管线假设'!F1203*'管线假设'!G1203*IF(E5618="USD",'管线假设'!I1203,1)-AM5618</x:f>
        <x:v>0.013776</x:v>
      </x:c>
      <x:c r="M5618" s="11" t="n">
        <x:f>'管线假设'!H1203</x:f>
        <x:v>0.14</x:v>
      </x:c>
      <x:c r="N5618" s="11" t="n">
        <x:f>IF(G5618,L5618*AN5618/(1+M5618)^F5618,0)</x:f>
        <x:v>0.0018731832448644853</x:v>
      </x:c>
      <x:c r="AJ5618" t="n">
        <x:v>0</x:v>
      </x:c>
      <x:c r="AK5618" t="n">
        <x:v>0</x:v>
      </x:c>
      <x:c r="AL5618" t="n">
        <x:v>0</x:v>
      </x:c>
      <x:c r="AM5618" t="n">
        <x:f>CHOOSE('假设'!$B$3,AJ5618,AK5618,AL5618)</x:f>
        <x:v>0</x:v>
      </x:c>
      <x:c r="AN5618" t="n">
        <x:v>1</x:v>
      </x:c>
    </x:row>
    <x:row r="5619" ht="23" customHeight="1">
      <x:c r="A5619" s="11" t="str">
        <x:v>688062.SH</x:v>
      </x:c>
      <x:c r="B5619" s="11" t="str">
        <x:v>一年</x:v>
      </x:c>
      <x:c r="C5619" s="11" t="str">
        <x:v>il11_cn</x:v>
      </x:c>
      <x:c r="D5619" s="11" t="str">
        <x:v>2043-12-31</x:v>
      </x:c>
      <x:c r="E5619" s="11" t="str">
        <x:v>CNY</x:v>
      </x:c>
      <x:c r="F5619" s="11" t="n">
        <x:v>16.227241615331966</x:v>
      </x:c>
      <x:c r="G5619" s="26" t="b">
        <x:v>1</x:v>
      </x:c>
      <x:c r="H5619" s="16" t="n">
        <x:v>0.144</x:v>
      </x:c>
      <x:c r="I5619" s="16" t="n">
        <x:v>0.176</x:v>
      </x:c>
      <x:c r="J5619" s="16" t="n">
        <x:v>0</x:v>
      </x:c>
      <x:c r="K5619" s="11" t="n">
        <x:f>CHOOSE('假设'!$B$3,H5619,I5619,J5619)</x:f>
        <x:v>0.176</x:v>
      </x:c>
      <x:c r="L5619" s="11" t="n">
        <x:f>K5619*'管线假设'!E1203*'管线假设'!F1203*'管线假设'!G1203*IF(E5619="USD",'管线假设'!I1203,1)-AM5619</x:f>
        <x:v>0.0086592</x:v>
      </x:c>
      <x:c r="M5619" s="11" t="n">
        <x:f>'管线假设'!H1203</x:f>
        <x:v>0.14</x:v>
      </x:c>
      <x:c r="N5619" s="11" t="n">
        <x:f>IF(G5619,L5619*AN5619/(1+M5619)^F5619,0)</x:f>
        <x:v>0.0010329254995356315</x:v>
      </x:c>
      <x:c r="AJ5619" t="n">
        <x:v>0</x:v>
      </x:c>
      <x:c r="AK5619" t="n">
        <x:v>0</x:v>
      </x:c>
      <x:c r="AL5619" t="n">
        <x:v>0</x:v>
      </x:c>
      <x:c r="AM5619" t="n">
        <x:f>CHOOSE('假设'!$B$3,AJ5619,AK5619,AL5619)</x:f>
        <x:v>0</x:v>
      </x:c>
      <x:c r="AN5619" t="n">
        <x:v>1</x:v>
      </x:c>
    </x:row>
    <x:row r="5620" ht="23" customHeight="1">
      <x:c r="A5620" s="11" t="str">
        <x:v>688062.SH</x:v>
      </x:c>
      <x:c r="B5620" s="11" t="str">
        <x:v>一年</x:v>
      </x:c>
      <x:c r="C5620" s="11" t="str">
        <x:v>il11_cn</x:v>
      </x:c>
      <x:c r="D5620" s="11" t="str">
        <x:v>2044-12-31</x:v>
      </x:c>
      <x:c r="E5620" s="11" t="str">
        <x:v>CNY</x:v>
      </x:c>
      <x:c r="F5620" s="11" t="n">
        <x:v>17.229295003422312</x:v>
      </x:c>
      <x:c r="G5620" s="26" t="b">
        <x:v>1</x:v>
      </x:c>
      <x:c r="H5620" s="16" t="n">
        <x:v>0.105</x:v>
      </x:c>
      <x:c r="I5620" s="16" t="n">
        <x:v>0.07199999999999998</x:v>
      </x:c>
      <x:c r="J5620" s="16" t="n">
        <x:v>0</x:v>
      </x:c>
      <x:c r="K5620" s="11" t="n">
        <x:f>CHOOSE('假设'!$B$3,H5620,I5620,J5620)</x:f>
        <x:v>0.07199999999999998</x:v>
      </x:c>
      <x:c r="L5620" s="11" t="n">
        <x:f>K5620*'管线假设'!E1203*'管线假设'!F1203*'管线假设'!G1203*IF(E5620="USD",'管线假设'!I1203,1)-AM5620</x:f>
        <x:v>0.0035423999999999994</x:v>
      </x:c>
      <x:c r="M5620" s="11" t="n">
        <x:f>'管线假设'!H1203</x:f>
        <x:v>0.14</x:v>
      </x:c>
      <x:c r="N5620" s="11" t="n">
        <x:f>IF(G5620,L5620*AN5620/(1+M5620)^F5620,0)</x:f>
        <x:v>0.0003705673300398063</x:v>
      </x:c>
      <x:c r="AJ5620" t="n">
        <x:v>0</x:v>
      </x:c>
      <x:c r="AK5620" t="n">
        <x:v>0</x:v>
      </x:c>
      <x:c r="AL5620" t="n">
        <x:v>0</x:v>
      </x:c>
      <x:c r="AM5620" t="n">
        <x:f>CHOOSE('假设'!$B$3,AJ5620,AK5620,AL5620)</x:f>
        <x:v>0</x:v>
      </x:c>
      <x:c r="AN5620" t="n">
        <x:v>1</x:v>
      </x:c>
    </x:row>
    <x:row r="5621" ht="23" customHeight="1">
      <x:c r="A5621" s="11" t="str">
        <x:v>688062.SH</x:v>
      </x:c>
      <x:c r="B5621" s="11" t="str">
        <x:v>一年</x:v>
      </x:c>
      <x:c r="C5621" s="11" t="str">
        <x:v>il11_cn</x:v>
      </x:c>
      <x:c r="D5621" s="11" t="str">
        <x:v>2045-12-31</x:v>
      </x:c>
      <x:c r="E5621" s="11" t="str">
        <x:v>CNY</x:v>
      </x:c>
      <x:c r="F5621" s="11" t="n">
        <x:v>18.22861054072553</x:v>
      </x:c>
      <x:c r="G5621" s="26" t="b">
        <x:v>1</x:v>
      </x:c>
      <x:c r="H5621" s="16" t="n">
        <x:v>0.06599999999999999</x:v>
      </x:c>
      <x:c r="I5621" s="16" t="n">
        <x:v>0</x:v>
      </x:c>
      <x:c r="J5621" s="16" t="n">
        <x:v>0</x:v>
      </x:c>
      <x:c r="K5621" s="11" t="n">
        <x:f>CHOOSE('假设'!$B$3,H5621,I5621,J5621)</x:f>
        <x:v>0</x:v>
      </x:c>
      <x:c r="L5621" s="11" t="n">
        <x:f>K5621*'管线假设'!E1203*'管线假设'!F1203*'管线假设'!G1203*IF(E5621="USD",'管线假设'!I1203,1)-AM5621</x:f>
        <x:v>0</x:v>
      </x:c>
      <x:c r="M5621" s="11" t="n">
        <x:f>'管线假设'!H1203</x:f>
        <x:v>0.14</x:v>
      </x:c>
      <x:c r="N5621" s="11" t="n">
        <x:f>IF(G5621,L5621*AN5621/(1+M5621)^F5621,0)</x:f>
        <x:v>0</x:v>
      </x:c>
      <x:c r="AJ5621" t="n">
        <x:v>0</x:v>
      </x:c>
      <x:c r="AK5621" t="n">
        <x:v>0</x:v>
      </x:c>
      <x:c r="AL5621" t="n">
        <x:v>0</x:v>
      </x:c>
      <x:c r="AM5621" t="n">
        <x:f>CHOOSE('假设'!$B$3,AJ5621,AK5621,AL5621)</x:f>
        <x:v>0</x:v>
      </x:c>
      <x:c r="AN5621" t="n">
        <x:v>1</x:v>
      </x:c>
    </x:row>
    <x:row r="5622" ht="23" customHeight="1">
      <x:c r="A5622" s="11" t="str">
        <x:v>688062.SH</x:v>
      </x:c>
      <x:c r="B5622" s="11" t="str">
        <x:v>一年</x:v>
      </x:c>
      <x:c r="C5622" s="11" t="str">
        <x:v>tmprss_pv_global</x:v>
      </x:c>
      <x:c r="D5622" s="11" t="str">
        <x:v>2027-12-31</x:v>
      </x:c>
      <x:c r="E5622" s="11" t="str">
        <x:v>USD</x:v>
      </x:c>
      <x:c r="F5622" s="11" t="n">
        <x:v>0.2272416153319644</x:v>
      </x:c>
      <x:c r="G5622" s="26" t="b">
        <x:v>1</x:v>
      </x:c>
      <x:c r="H5622" s="16" t="n">
        <x:v>0</x:v>
      </x:c>
      <x:c r="I5622" s="16" t="n">
        <x:v>0</x:v>
      </x:c>
      <x:c r="J5622" s="16" t="n">
        <x:v>0</x:v>
      </x:c>
      <x:c r="K5622" s="11" t="n">
        <x:f>CHOOSE('假设'!$B$3,H5622,I5622,J5622)</x:f>
        <x:v>0</x:v>
      </x:c>
      <x:c r="L5622" s="11" t="n">
        <x:f>K5622*'管线假设'!E1207*'管线假设'!F1207*'管线假设'!G1207*IF(E5622="USD",'管线假设'!I1207,1)-AM5622</x:f>
        <x:v>0</x:v>
      </x:c>
      <x:c r="M5622" s="11" t="n">
        <x:f>'管线假设'!H1207</x:f>
        <x:v>0.14</x:v>
      </x:c>
      <x:c r="N5622" s="11" t="n">
        <x:f>IF(G5622,L5622*AN5622/(1+M5622)^F5622,0)</x:f>
        <x:v>0</x:v>
      </x:c>
      <x:c r="AJ5622" t="n">
        <x:v>0</x:v>
      </x:c>
      <x:c r="AK5622" t="n">
        <x:v>0</x:v>
      </x:c>
      <x:c r="AL5622" t="n">
        <x:v>0</x:v>
      </x:c>
      <x:c r="AM5622" t="n">
        <x:f>CHOOSE('假设'!$B$3,AJ5622,AK5622,AL5622)</x:f>
        <x:v>0</x:v>
      </x:c>
      <x:c r="AN5622" t="n">
        <x:v>1</x:v>
      </x:c>
    </x:row>
    <x:row r="5623" ht="23" customHeight="1">
      <x:c r="A5623" s="11" t="str">
        <x:v>688062.SH</x:v>
      </x:c>
      <x:c r="B5623" s="11" t="str">
        <x:v>一年</x:v>
      </x:c>
      <x:c r="C5623" s="11" t="str">
        <x:v>tmprss_pv_global</x:v>
      </x:c>
      <x:c r="D5623" s="11" t="str">
        <x:v>2028-12-31</x:v>
      </x:c>
      <x:c r="E5623" s="11" t="str">
        <x:v>USD</x:v>
      </x:c>
      <x:c r="F5623" s="11" t="n">
        <x:v>1.2292950034223136</x:v>
      </x:c>
      <x:c r="G5623" s="26" t="b">
        <x:v>1</x:v>
      </x:c>
      <x:c r="H5623" s="16" t="n">
        <x:v>0</x:v>
      </x:c>
      <x:c r="I5623" s="16" t="n">
        <x:v>0</x:v>
      </x:c>
      <x:c r="J5623" s="16" t="n">
        <x:v>0</x:v>
      </x:c>
      <x:c r="K5623" s="11" t="n">
        <x:f>CHOOSE('假设'!$B$3,H5623,I5623,J5623)</x:f>
        <x:v>0</x:v>
      </x:c>
      <x:c r="L5623" s="11" t="n">
        <x:f>K5623*'管线假设'!E1207*'管线假设'!F1207*'管线假设'!G1207*IF(E5623="USD",'管线假设'!I1207,1)-AM5623</x:f>
        <x:v>0</x:v>
      </x:c>
      <x:c r="M5623" s="11" t="n">
        <x:f>'管线假设'!H1207</x:f>
        <x:v>0.14</x:v>
      </x:c>
      <x:c r="N5623" s="11" t="n">
        <x:f>IF(G5623,L5623*AN5623/(1+M5623)^F5623,0)</x:f>
        <x:v>0</x:v>
      </x:c>
      <x:c r="AJ5623" t="n">
        <x:v>0</x:v>
      </x:c>
      <x:c r="AK5623" t="n">
        <x:v>0</x:v>
      </x:c>
      <x:c r="AL5623" t="n">
        <x:v>0</x:v>
      </x:c>
      <x:c r="AM5623" t="n">
        <x:f>CHOOSE('假设'!$B$3,AJ5623,AK5623,AL5623)</x:f>
        <x:v>0</x:v>
      </x:c>
      <x:c r="AN5623" t="n">
        <x:v>1</x:v>
      </x:c>
    </x:row>
    <x:row r="5624" ht="23" customHeight="1">
      <x:c r="A5624" s="11" t="str">
        <x:v>688062.SH</x:v>
      </x:c>
      <x:c r="B5624" s="11" t="str">
        <x:v>一年</x:v>
      </x:c>
      <x:c r="C5624" s="11" t="str">
        <x:v>tmprss_pv_global</x:v>
      </x:c>
      <x:c r="D5624" s="11" t="str">
        <x:v>2029-12-31</x:v>
      </x:c>
      <x:c r="E5624" s="11" t="str">
        <x:v>USD</x:v>
      </x:c>
      <x:c r="F5624" s="11" t="n">
        <x:v>2.2286105407255303</x:v>
      </x:c>
      <x:c r="G5624" s="26" t="b">
        <x:v>1</x:v>
      </x:c>
      <x:c r="H5624" s="16" t="n">
        <x:v>0</x:v>
      </x:c>
      <x:c r="I5624" s="16" t="n">
        <x:v>0</x:v>
      </x:c>
      <x:c r="J5624" s="16" t="n">
        <x:v>0.2833333333333333</x:v>
      </x:c>
      <x:c r="K5624" s="11" t="n">
        <x:f>CHOOSE('假设'!$B$3,H5624,I5624,J5624)</x:f>
        <x:v>0</x:v>
      </x:c>
      <x:c r="L5624" s="11" t="n">
        <x:f>K5624*'管线假设'!E1207*'管线假设'!F1207*'管线假设'!G1207*IF(E5624="USD",'管线假设'!I1207,1)-AM5624</x:f>
        <x:v>0</x:v>
      </x:c>
      <x:c r="M5624" s="11" t="n">
        <x:f>'管线假设'!H1207</x:f>
        <x:v>0.14</x:v>
      </x:c>
      <x:c r="N5624" s="11" t="n">
        <x:f>IF(G5624,L5624*AN5624/(1+M5624)^F5624,0)</x:f>
        <x:v>0</x:v>
      </x:c>
      <x:c r="AJ5624" t="n">
        <x:v>0</x:v>
      </x:c>
      <x:c r="AK5624" t="n">
        <x:v>0</x:v>
      </x:c>
      <x:c r="AL5624" t="n">
        <x:v>0</x:v>
      </x:c>
      <x:c r="AM5624" t="n">
        <x:f>CHOOSE('假设'!$B$3,AJ5624,AK5624,AL5624)</x:f>
        <x:v>0</x:v>
      </x:c>
      <x:c r="AN5624" t="n">
        <x:v>1</x:v>
      </x:c>
    </x:row>
    <x:row r="5625" ht="23" customHeight="1">
      <x:c r="A5625" s="11" t="str">
        <x:v>688062.SH</x:v>
      </x:c>
      <x:c r="B5625" s="11" t="str">
        <x:v>一年</x:v>
      </x:c>
      <x:c r="C5625" s="11" t="str">
        <x:v>tmprss_pv_global</x:v>
      </x:c>
      <x:c r="D5625" s="11" t="str">
        <x:v>2030-12-31</x:v>
      </x:c>
      <x:c r="E5625" s="11" t="str">
        <x:v>USD</x:v>
      </x:c>
      <x:c r="F5625" s="11" t="n">
        <x:v>3.2279260780287475</x:v>
      </x:c>
      <x:c r="G5625" s="26" t="b">
        <x:v>1</x:v>
      </x:c>
      <x:c r="H5625" s="16" t="n">
        <x:v>0</x:v>
      </x:c>
      <x:c r="I5625" s="16" t="n">
        <x:v>0</x:v>
      </x:c>
      <x:c r="J5625" s="16" t="n">
        <x:v>0.5666666666666667</x:v>
      </x:c>
      <x:c r="K5625" s="11" t="n">
        <x:f>CHOOSE('假设'!$B$3,H5625,I5625,J5625)</x:f>
        <x:v>0</x:v>
      </x:c>
      <x:c r="L5625" s="11" t="n">
        <x:f>K5625*'管线假设'!E1207*'管线假设'!F1207*'管线假设'!G1207*IF(E5625="USD",'管线假设'!I1207,1)-AM5625</x:f>
        <x:v>0</x:v>
      </x:c>
      <x:c r="M5625" s="11" t="n">
        <x:f>'管线假设'!H1207</x:f>
        <x:v>0.14</x:v>
      </x:c>
      <x:c r="N5625" s="11" t="n">
        <x:f>IF(G5625,L5625*AN5625/(1+M5625)^F5625,0)</x:f>
        <x:v>0</x:v>
      </x:c>
      <x:c r="AJ5625" t="n">
        <x:v>0</x:v>
      </x:c>
      <x:c r="AK5625" t="n">
        <x:v>0</x:v>
      </x:c>
      <x:c r="AL5625" t="n">
        <x:v>0</x:v>
      </x:c>
      <x:c r="AM5625" t="n">
        <x:f>CHOOSE('假设'!$B$3,AJ5625,AK5625,AL5625)</x:f>
        <x:v>0</x:v>
      </x:c>
      <x:c r="AN5625" t="n">
        <x:v>1</x:v>
      </x:c>
    </x:row>
    <x:row r="5626" ht="23" customHeight="1">
      <x:c r="A5626" s="11" t="str">
        <x:v>688062.SH</x:v>
      </x:c>
      <x:c r="B5626" s="11" t="str">
        <x:v>一年</x:v>
      </x:c>
      <x:c r="C5626" s="11" t="str">
        <x:v>tmprss_pv_global</x:v>
      </x:c>
      <x:c r="D5626" s="11" t="str">
        <x:v>2031-12-31</x:v>
      </x:c>
      <x:c r="E5626" s="11" t="str">
        <x:v>USD</x:v>
      </x:c>
      <x:c r="F5626" s="11" t="n">
        <x:v>4.227241615331964</x:v>
      </x:c>
      <x:c r="G5626" s="26" t="b">
        <x:v>1</x:v>
      </x:c>
      <x:c r="H5626" s="16" t="n">
        <x:v>0</x:v>
      </x:c>
      <x:c r="I5626" s="16" t="n">
        <x:v>0.16666666666666666</x:v>
      </x:c>
      <x:c r="J5626" s="16" t="n">
        <x:v>0.85</x:v>
      </x:c>
      <x:c r="K5626" s="11" t="n">
        <x:f>CHOOSE('假设'!$B$3,H5626,I5626,J5626)</x:f>
        <x:v>0.16666666666666666</x:v>
      </x:c>
      <x:c r="L5626" s="11" t="n">
        <x:f>K5626*'管线假设'!E1207*'管线假设'!F1207*'管线假设'!G1207*IF(E5626="USD",'管线假设'!I1207,1)-AM5626</x:f>
        <x:v>0.03460293333333333</x:v>
      </x:c>
      <x:c r="M5626" s="11" t="n">
        <x:f>'管线假设'!H1207</x:f>
        <x:v>0.14</x:v>
      </x:c>
      <x:c r="N5626" s="11" t="n">
        <x:f>IF(G5626,L5626*AN5626/(1+M5626)^F5626,0)</x:f>
        <x:v>0.01988668342800652</x:v>
      </x:c>
      <x:c r="AJ5626" t="n">
        <x:v>0</x:v>
      </x:c>
      <x:c r="AK5626" t="n">
        <x:v>0</x:v>
      </x:c>
      <x:c r="AL5626" t="n">
        <x:v>0</x:v>
      </x:c>
      <x:c r="AM5626" t="n">
        <x:f>CHOOSE('假设'!$B$3,AJ5626,AK5626,AL5626)</x:f>
        <x:v>0</x:v>
      </x:c>
      <x:c r="AN5626" t="n">
        <x:v>1</x:v>
      </x:c>
    </x:row>
    <x:row r="5627" ht="23" customHeight="1">
      <x:c r="A5627" s="11" t="str">
        <x:v>688062.SH</x:v>
      </x:c>
      <x:c r="B5627" s="11" t="str">
        <x:v>一年</x:v>
      </x:c>
      <x:c r="C5627" s="11" t="str">
        <x:v>tmprss_pv_global</x:v>
      </x:c>
      <x:c r="D5627" s="11" t="str">
        <x:v>2032-12-31</x:v>
      </x:c>
      <x:c r="E5627" s="11" t="str">
        <x:v>USD</x:v>
      </x:c>
      <x:c r="F5627" s="11" t="n">
        <x:v>5.229295003422314</x:v>
      </x:c>
      <x:c r="G5627" s="26" t="b">
        <x:v>1</x:v>
      </x:c>
      <x:c r="H5627" s="16" t="n">
        <x:v>0</x:v>
      </x:c>
      <x:c r="I5627" s="16" t="n">
        <x:v>0.3333333333333333</x:v>
      </x:c>
      <x:c r="J5627" s="16" t="n">
        <x:v>1.1333333333333333</x:v>
      </x:c>
      <x:c r="K5627" s="11" t="n">
        <x:f>CHOOSE('假设'!$B$3,H5627,I5627,J5627)</x:f>
        <x:v>0.3333333333333333</x:v>
      </x:c>
      <x:c r="L5627" s="11" t="n">
        <x:f>K5627*'管线假设'!E1207*'管线假设'!F1207*'管线假设'!G1207*IF(E5627="USD",'管线假设'!I1207,1)-AM5627</x:f>
        <x:v>0.06920586666666666</x:v>
      </x:c>
      <x:c r="M5627" s="11" t="n">
        <x:f>'管线假设'!H1207</x:f>
        <x:v>0.14</x:v>
      </x:c>
      <x:c r="N5627" s="11" t="n">
        <x:f>IF(G5627,L5627*AN5627/(1+M5627)^F5627,0)</x:f>
        <x:v>0.034879532628587985</x:v>
      </x:c>
      <x:c r="AJ5627" t="n">
        <x:v>0</x:v>
      </x:c>
      <x:c r="AK5627" t="n">
        <x:v>0</x:v>
      </x:c>
      <x:c r="AL5627" t="n">
        <x:v>0</x:v>
      </x:c>
      <x:c r="AM5627" t="n">
        <x:f>CHOOSE('假设'!$B$3,AJ5627,AK5627,AL5627)</x:f>
        <x:v>0</x:v>
      </x:c>
      <x:c r="AN5627" t="n">
        <x:v>1</x:v>
      </x:c>
    </x:row>
    <x:row r="5628" ht="23" customHeight="1">
      <x:c r="A5628" s="11" t="str">
        <x:v>688062.SH</x:v>
      </x:c>
      <x:c r="B5628" s="11" t="str">
        <x:v>一年</x:v>
      </x:c>
      <x:c r="C5628" s="11" t="str">
        <x:v>tmprss_pv_global</x:v>
      </x:c>
      <x:c r="D5628" s="11" t="str">
        <x:v>2033-12-31</x:v>
      </x:c>
      <x:c r="E5628" s="11" t="str">
        <x:v>USD</x:v>
      </x:c>
      <x:c r="F5628" s="11" t="n">
        <x:v>6.228610540725531</x:v>
      </x:c>
      <x:c r="G5628" s="26" t="b">
        <x:v>1</x:v>
      </x:c>
      <x:c r="H5628" s="16" t="n">
        <x:v>0</x:v>
      </x:c>
      <x:c r="I5628" s="16" t="n">
        <x:v>0.5</x:v>
      </x:c>
      <x:c r="J5628" s="16" t="n">
        <x:v>1.4166666666666667</x:v>
      </x:c>
      <x:c r="K5628" s="11" t="n">
        <x:f>CHOOSE('假设'!$B$3,H5628,I5628,J5628)</x:f>
        <x:v>0.5</x:v>
      </x:c>
      <x:c r="L5628" s="11" t="n">
        <x:f>K5628*'管线假设'!E1207*'管线假设'!F1207*'管线假设'!G1207*IF(E5628="USD",'管线假设'!I1207,1)-AM5628</x:f>
        <x:v>0.10380879999999999</x:v>
      </x:c>
      <x:c r="M5628" s="11" t="n">
        <x:f>'管线假设'!H1207</x:f>
        <x:v>0.14</x:v>
      </x:c>
      <x:c r="N5628" s="11" t="n">
        <x:f>IF(G5628,L5628*AN5628/(1+M5628)^F5628,0)</x:f>
        <x:v>0.045898238030786465</x:v>
      </x:c>
      <x:c r="AJ5628" t="n">
        <x:v>0</x:v>
      </x:c>
      <x:c r="AK5628" t="n">
        <x:v>0</x:v>
      </x:c>
      <x:c r="AL5628" t="n">
        <x:v>0</x:v>
      </x:c>
      <x:c r="AM5628" t="n">
        <x:f>CHOOSE('假设'!$B$3,AJ5628,AK5628,AL5628)</x:f>
        <x:v>0</x:v>
      </x:c>
      <x:c r="AN5628" t="n">
        <x:v>1</x:v>
      </x:c>
    </x:row>
    <x:row r="5629" ht="23" customHeight="1">
      <x:c r="A5629" s="11" t="str">
        <x:v>688062.SH</x:v>
      </x:c>
      <x:c r="B5629" s="11" t="str">
        <x:v>一年</x:v>
      </x:c>
      <x:c r="C5629" s="11" t="str">
        <x:v>tmprss_pv_global</x:v>
      </x:c>
      <x:c r="D5629" s="11" t="str">
        <x:v>2034-12-31</x:v>
      </x:c>
      <x:c r="E5629" s="11" t="str">
        <x:v>USD</x:v>
      </x:c>
      <x:c r="F5629" s="11" t="n">
        <x:v>7.227926078028747</x:v>
      </x:c>
      <x:c r="G5629" s="26" t="b">
        <x:v>1</x:v>
      </x:c>
      <x:c r="H5629" s="16" t="n">
        <x:v>0.08000000000000002</x:v>
      </x:c>
      <x:c r="I5629" s="16" t="n">
        <x:v>0.6666666666666666</x:v>
      </x:c>
      <x:c r="J5629" s="16" t="n">
        <x:v>1.7</x:v>
      </x:c>
      <x:c r="K5629" s="11" t="n">
        <x:f>CHOOSE('假设'!$B$3,H5629,I5629,J5629)</x:f>
        <x:v>0.6666666666666666</x:v>
      </x:c>
      <x:c r="L5629" s="11" t="n">
        <x:f>K5629*'管线假设'!E1207*'管线假设'!F1207*'管线假设'!G1207*IF(E5629="USD",'管线假设'!I1207,1)-AM5629</x:f>
        <x:v>0.13841173333333331</x:v>
      </x:c>
      <x:c r="M5629" s="11" t="n">
        <x:f>'管线假设'!H1207</x:f>
        <x:v>0.14</x:v>
      </x:c>
      <x:c r="N5629" s="11" t="n">
        <x:f>IF(G5629,L5629*AN5629/(1+M5629)^F5629,0)</x:f>
        <x:v>0.05368696438715925</x:v>
      </x:c>
      <x:c r="AJ5629" t="n">
        <x:v>0</x:v>
      </x:c>
      <x:c r="AK5629" t="n">
        <x:v>0</x:v>
      </x:c>
      <x:c r="AL5629" t="n">
        <x:v>0</x:v>
      </x:c>
      <x:c r="AM5629" t="n">
        <x:f>CHOOSE('假设'!$B$3,AJ5629,AK5629,AL5629)</x:f>
        <x:v>0</x:v>
      </x:c>
      <x:c r="AN5629" t="n">
        <x:v>1</x:v>
      </x:c>
    </x:row>
    <x:row r="5630" ht="23" customHeight="1">
      <x:c r="A5630" s="11" t="str">
        <x:v>688062.SH</x:v>
      </x:c>
      <x:c r="B5630" s="11" t="str">
        <x:v>一年</x:v>
      </x:c>
      <x:c r="C5630" s="11" t="str">
        <x:v>tmprss_pv_global</x:v>
      </x:c>
      <x:c r="D5630" s="11" t="str">
        <x:v>2035-12-31</x:v>
      </x:c>
      <x:c r="E5630" s="11" t="str">
        <x:v>USD</x:v>
      </x:c>
      <x:c r="F5630" s="11" t="n">
        <x:v>8.227241615331964</x:v>
      </x:c>
      <x:c r="G5630" s="26" t="b">
        <x:v>1</x:v>
      </x:c>
      <x:c r="H5630" s="16" t="n">
        <x:v>0.16000000000000003</x:v>
      </x:c>
      <x:c r="I5630" s="16" t="n">
        <x:v>0.8333333333333334</x:v>
      </x:c>
      <x:c r="J5630" s="16" t="n">
        <x:v>1.4789999999999999</x:v>
      </x:c>
      <x:c r="K5630" s="11" t="n">
        <x:f>CHOOSE('假设'!$B$3,H5630,I5630,J5630)</x:f>
        <x:v>0.8333333333333334</x:v>
      </x:c>
      <x:c r="L5630" s="11" t="n">
        <x:f>K5630*'管线假设'!E1207*'管线假设'!F1207*'管线假设'!G1207*IF(E5630="USD",'管线假设'!I1207,1)-AM5630</x:f>
        <x:v>0.17301466666666668</x:v>
      </x:c>
      <x:c r="M5630" s="11" t="n">
        <x:f>'管线假设'!H1207</x:f>
        <x:v>0.14</x:v>
      </x:c>
      <x:c r="N5630" s="11" t="n">
        <x:f>IF(G5630,L5630*AN5630/(1+M5630)^F5630,0)</x:f>
        <x:v>0.05887256520013627</x:v>
      </x:c>
      <x:c r="AJ5630" t="n">
        <x:v>0</x:v>
      </x:c>
      <x:c r="AK5630" t="n">
        <x:v>0</x:v>
      </x:c>
      <x:c r="AL5630" t="n">
        <x:v>0</x:v>
      </x:c>
      <x:c r="AM5630" t="n">
        <x:f>CHOOSE('假设'!$B$3,AJ5630,AK5630,AL5630)</x:f>
        <x:v>0</x:v>
      </x:c>
      <x:c r="AN5630" t="n">
        <x:v>1</x:v>
      </x:c>
    </x:row>
    <x:row r="5631" ht="23" customHeight="1">
      <x:c r="A5631" s="11" t="str">
        <x:v>688062.SH</x:v>
      </x:c>
      <x:c r="B5631" s="11" t="str">
        <x:v>一年</x:v>
      </x:c>
      <x:c r="C5631" s="11" t="str">
        <x:v>tmprss_pv_global</x:v>
      </x:c>
      <x:c r="D5631" s="11" t="str">
        <x:v>2036-12-31</x:v>
      </x:c>
      <x:c r="E5631" s="11" t="str">
        <x:v>USD</x:v>
      </x:c>
      <x:c r="F5631" s="11" t="n">
        <x:v>9.229295003422314</x:v>
      </x:c>
      <x:c r="G5631" s="26" t="b">
        <x:v>1</x:v>
      </x:c>
      <x:c r="H5631" s="16" t="n">
        <x:v>0.24</x:v>
      </x:c>
      <x:c r="I5631" s="16" t="n">
        <x:v>1</x:v>
      </x:c>
      <x:c r="J5631" s="16" t="n">
        <x:v>1.258</x:v>
      </x:c>
      <x:c r="K5631" s="11" t="n">
        <x:f>CHOOSE('假设'!$B$3,H5631,I5631,J5631)</x:f>
        <x:v>1</x:v>
      </x:c>
      <x:c r="L5631" s="11" t="n">
        <x:f>K5631*'管线假设'!E1207*'管线假设'!F1207*'管线假设'!G1207*IF(E5631="USD",'管线假设'!I1207,1)-AM5631</x:f>
        <x:v>0.20761759999999999</x:v>
      </x:c>
      <x:c r="M5631" s="11" t="n">
        <x:f>'管线假设'!H1207</x:f>
        <x:v>0.14</x:v>
      </x:c>
      <x:c r="N5631" s="11" t="n">
        <x:f>IF(G5631,L5631*AN5631/(1+M5631)^F5631,0)</x:f>
        <x:v>0.06195445005983084</x:v>
      </x:c>
      <x:c r="AJ5631" t="n">
        <x:v>0</x:v>
      </x:c>
      <x:c r="AK5631" t="n">
        <x:v>0</x:v>
      </x:c>
      <x:c r="AL5631" t="n">
        <x:v>0</x:v>
      </x:c>
      <x:c r="AM5631" t="n">
        <x:f>CHOOSE('假设'!$B$3,AJ5631,AK5631,AL5631)</x:f>
        <x:v>0</x:v>
      </x:c>
      <x:c r="AN5631" t="n">
        <x:v>1</x:v>
      </x:c>
    </x:row>
    <x:row r="5632" ht="23" customHeight="1">
      <x:c r="A5632" s="11" t="str">
        <x:v>688062.SH</x:v>
      </x:c>
      <x:c r="B5632" s="11" t="str">
        <x:v>一年</x:v>
      </x:c>
      <x:c r="C5632" s="11" t="str">
        <x:v>tmprss_pv_global</x:v>
      </x:c>
      <x:c r="D5632" s="11" t="str">
        <x:v>2037-12-31</x:v>
      </x:c>
      <x:c r="E5632" s="11" t="str">
        <x:v>USD</x:v>
      </x:c>
      <x:c r="F5632" s="11" t="n">
        <x:v>10.22861054072553</x:v>
      </x:c>
      <x:c r="G5632" s="26" t="b">
        <x:v>1</x:v>
      </x:c>
      <x:c r="H5632" s="16" t="n">
        <x:v>0.32000000000000006</x:v>
      </x:c>
      <x:c r="I5632" s="16" t="n">
        <x:v>0.87</x:v>
      </x:c>
      <x:c r="J5632" s="16" t="n">
        <x:v>1.037</x:v>
      </x:c>
      <x:c r="K5632" s="11" t="n">
        <x:f>CHOOSE('假设'!$B$3,H5632,I5632,J5632)</x:f>
        <x:v>0.87</x:v>
      </x:c>
      <x:c r="L5632" s="11" t="n">
        <x:f>K5632*'管线假设'!E1207*'管线假设'!F1207*'管线假设'!G1207*IF(E5632="USD",'管线假设'!I1207,1)-AM5632</x:f>
        <x:v>0.180627312</x:v>
      </x:c>
      <x:c r="M5632" s="11" t="n">
        <x:f>'管线假设'!H1207</x:f>
        <x:v>0.14</x:v>
      </x:c>
      <x:c r="N5632" s="11" t="n">
        <x:f>IF(G5632,L5632*AN5632/(1+M5632)^F5632,0)</x:f>
        <x:v>0.0472852682170836</x:v>
      </x:c>
      <x:c r="AJ5632" t="n">
        <x:v>0</x:v>
      </x:c>
      <x:c r="AK5632" t="n">
        <x:v>0</x:v>
      </x:c>
      <x:c r="AL5632" t="n">
        <x:v>0</x:v>
      </x:c>
      <x:c r="AM5632" t="n">
        <x:f>CHOOSE('假设'!$B$3,AJ5632,AK5632,AL5632)</x:f>
        <x:v>0</x:v>
      </x:c>
      <x:c r="AN5632" t="n">
        <x:v>1</x:v>
      </x:c>
    </x:row>
    <x:row r="5633" ht="23" customHeight="1">
      <x:c r="A5633" s="11" t="str">
        <x:v>688062.SH</x:v>
      </x:c>
      <x:c r="B5633" s="11" t="str">
        <x:v>一年</x:v>
      </x:c>
      <x:c r="C5633" s="11" t="str">
        <x:v>tmprss_pv_global</x:v>
      </x:c>
      <x:c r="D5633" s="11" t="str">
        <x:v>2038-12-31</x:v>
      </x:c>
      <x:c r="E5633" s="11" t="str">
        <x:v>USD</x:v>
      </x:c>
      <x:c r="F5633" s="11" t="n">
        <x:v>11.227926078028748</x:v>
      </x:c>
      <x:c r="G5633" s="26" t="b">
        <x:v>1</x:v>
      </x:c>
      <x:c r="H5633" s="16" t="n">
        <x:v>0.4</x:v>
      </x:c>
      <x:c r="I5633" s="16" t="n">
        <x:v>0.74</x:v>
      </x:c>
      <x:c r="J5633" s="16" t="n">
        <x:v>0.816</x:v>
      </x:c>
      <x:c r="K5633" s="11" t="n">
        <x:f>CHOOSE('假设'!$B$3,H5633,I5633,J5633)</x:f>
        <x:v>0.74</x:v>
      </x:c>
      <x:c r="L5633" s="11" t="n">
        <x:f>K5633*'管线假设'!E1207*'管线假设'!F1207*'管线假设'!G1207*IF(E5633="USD",'管线假设'!I1207,1)-AM5633</x:f>
        <x:v>0.15363702399999998</x:v>
      </x:c>
      <x:c r="M5633" s="11" t="n">
        <x:f>'管线假设'!H1207</x:f>
        <x:v>0.14</x:v>
      </x:c>
      <x:c r="N5633" s="11" t="n">
        <x:f>IF(G5633,L5633*AN5633/(1+M5633)^F5633,0)</x:f>
        <x:v>0.03528356196971913</x:v>
      </x:c>
      <x:c r="AJ5633" t="n">
        <x:v>0</x:v>
      </x:c>
      <x:c r="AK5633" t="n">
        <x:v>0</x:v>
      </x:c>
      <x:c r="AL5633" t="n">
        <x:v>0</x:v>
      </x:c>
      <x:c r="AM5633" t="n">
        <x:f>CHOOSE('假设'!$B$3,AJ5633,AK5633,AL5633)</x:f>
        <x:v>0</x:v>
      </x:c>
      <x:c r="AN5633" t="n">
        <x:v>1</x:v>
      </x:c>
    </x:row>
    <x:row r="5634" ht="23" customHeight="1">
      <x:c r="A5634" s="11" t="str">
        <x:v>688062.SH</x:v>
      </x:c>
      <x:c r="B5634" s="11" t="str">
        <x:v>一年</x:v>
      </x:c>
      <x:c r="C5634" s="11" t="str">
        <x:v>tmprss_pv_global</x:v>
      </x:c>
      <x:c r="D5634" s="11" t="str">
        <x:v>2039-12-31</x:v>
      </x:c>
      <x:c r="E5634" s="11" t="str">
        <x:v>USD</x:v>
      </x:c>
      <x:c r="F5634" s="11" t="n">
        <x:v>12.227241615331964</x:v>
      </x:c>
      <x:c r="G5634" s="26" t="b">
        <x:v>1</x:v>
      </x:c>
      <x:c r="H5634" s="16" t="n">
        <x:v>0.34800000000000003</x:v>
      </x:c>
      <x:c r="I5634" s="16" t="n">
        <x:v>0.61</x:v>
      </x:c>
      <x:c r="J5634" s="16" t="n">
        <x:v>0.595</x:v>
      </x:c>
      <x:c r="K5634" s="11" t="n">
        <x:f>CHOOSE('假设'!$B$3,H5634,I5634,J5634)</x:f>
        <x:v>0.61</x:v>
      </x:c>
      <x:c r="L5634" s="11" t="n">
        <x:f>K5634*'管线假设'!E1207*'管线假设'!F1207*'管线假设'!G1207*IF(E5634="USD",'管线假设'!I1207,1)-AM5634</x:f>
        <x:v>0.12664673599999998</x:v>
      </x:c>
      <x:c r="M5634" s="11" t="n">
        <x:f>'管线假设'!H1207</x:f>
        <x:v>0.14</x:v>
      </x:c>
      <x:c r="N5634" s="11" t="n">
        <x:f>IF(G5634,L5634*AN5634/(1+M5634)^F5634,0)</x:f>
        <x:v>0.025515532424695987</x:v>
      </x:c>
      <x:c r="AJ5634" t="n">
        <x:v>0</x:v>
      </x:c>
      <x:c r="AK5634" t="n">
        <x:v>0</x:v>
      </x:c>
      <x:c r="AL5634" t="n">
        <x:v>0</x:v>
      </x:c>
      <x:c r="AM5634" t="n">
        <x:f>CHOOSE('假设'!$B$3,AJ5634,AK5634,AL5634)</x:f>
        <x:v>0</x:v>
      </x:c>
      <x:c r="AN5634" t="n">
        <x:v>1</x:v>
      </x:c>
    </x:row>
    <x:row r="5635" ht="23" customHeight="1">
      <x:c r="A5635" s="11" t="str">
        <x:v>688062.SH</x:v>
      </x:c>
      <x:c r="B5635" s="11" t="str">
        <x:v>一年</x:v>
      </x:c>
      <x:c r="C5635" s="11" t="str">
        <x:v>tmprss_pv_global</x:v>
      </x:c>
      <x:c r="D5635" s="11" t="str">
        <x:v>2040-12-31</x:v>
      </x:c>
      <x:c r="E5635" s="11" t="str">
        <x:v>USD</x:v>
      </x:c>
      <x:c r="F5635" s="11" t="n">
        <x:v>13.229295003422314</x:v>
      </x:c>
      <x:c r="G5635" s="26" t="b">
        <x:v>1</x:v>
      </x:c>
      <x:c r="H5635" s="16" t="n">
        <x:v>0.296</x:v>
      </x:c>
      <x:c r="I5635" s="16" t="n">
        <x:v>0.48</x:v>
      </x:c>
      <x:c r="J5635" s="16" t="n">
        <x:v>0.37399999999999994</x:v>
      </x:c>
      <x:c r="K5635" s="11" t="n">
        <x:f>CHOOSE('假设'!$B$3,H5635,I5635,J5635)</x:f>
        <x:v>0.48</x:v>
      </x:c>
      <x:c r="L5635" s="11" t="n">
        <x:f>K5635*'管线假设'!E1207*'管线假设'!F1207*'管线假设'!G1207*IF(E5635="USD",'管线假设'!I1207,1)-AM5635</x:f>
        <x:v>0.099656448</x:v>
      </x:c>
      <x:c r="M5635" s="11" t="n">
        <x:f>'管线假设'!H1207</x:f>
        <x:v>0.14</x:v>
      </x:c>
      <x:c r="N5635" s="11" t="n">
        <x:f>IF(G5635,L5635*AN5635/(1+M5635)^F5635,0)</x:f>
        <x:v>0.017607363828356256</x:v>
      </x:c>
      <x:c r="AJ5635" t="n">
        <x:v>0</x:v>
      </x:c>
      <x:c r="AK5635" t="n">
        <x:v>0</x:v>
      </x:c>
      <x:c r="AL5635" t="n">
        <x:v>0</x:v>
      </x:c>
      <x:c r="AM5635" t="n">
        <x:f>CHOOSE('假设'!$B$3,AJ5635,AK5635,AL5635)</x:f>
        <x:v>0</x:v>
      </x:c>
      <x:c r="AN5635" t="n">
        <x:v>1</x:v>
      </x:c>
    </x:row>
    <x:row r="5636" ht="23" customHeight="1">
      <x:c r="A5636" s="11" t="str">
        <x:v>688062.SH</x:v>
      </x:c>
      <x:c r="B5636" s="11" t="str">
        <x:v>一年</x:v>
      </x:c>
      <x:c r="C5636" s="11" t="str">
        <x:v>tmprss_pv_global</x:v>
      </x:c>
      <x:c r="D5636" s="11" t="str">
        <x:v>2041-12-31</x:v>
      </x:c>
      <x:c r="E5636" s="11" t="str">
        <x:v>USD</x:v>
      </x:c>
      <x:c r="F5636" s="11" t="n">
        <x:v>14.22861054072553</x:v>
      </x:c>
      <x:c r="G5636" s="26" t="b">
        <x:v>1</x:v>
      </x:c>
      <x:c r="H5636" s="16" t="n">
        <x:v>0.244</x:v>
      </x:c>
      <x:c r="I5636" s="16" t="n">
        <x:v>0.35</x:v>
      </x:c>
      <x:c r="J5636" s="16" t="n">
        <x:v>0.15299999999999994</x:v>
      </x:c>
      <x:c r="K5636" s="11" t="n">
        <x:f>CHOOSE('假设'!$B$3,H5636,I5636,J5636)</x:f>
        <x:v>0.35</x:v>
      </x:c>
      <x:c r="L5636" s="11" t="n">
        <x:f>K5636*'管线假设'!E1207*'管线假设'!F1207*'管线假设'!G1207*IF(E5636="USD",'管线假设'!I1207,1)-AM5636</x:f>
        <x:v>0.07266616</x:v>
      </x:c>
      <x:c r="M5636" s="11" t="n">
        <x:f>'管线假设'!H1207</x:f>
        <x:v>0.14</x:v>
      </x:c>
      <x:c r="N5636" s="11" t="n">
        <x:f>IF(G5636,L5636*AN5636/(1+M5636)^F5636,0)</x:f>
        <x:v>0.011263030060371413</x:v>
      </x:c>
      <x:c r="AJ5636" t="n">
        <x:v>0</x:v>
      </x:c>
      <x:c r="AK5636" t="n">
        <x:v>0</x:v>
      </x:c>
      <x:c r="AL5636" t="n">
        <x:v>0</x:v>
      </x:c>
      <x:c r="AM5636" t="n">
        <x:f>CHOOSE('假设'!$B$3,AJ5636,AK5636,AL5636)</x:f>
        <x:v>0</x:v>
      </x:c>
      <x:c r="AN5636" t="n">
        <x:v>1</x:v>
      </x:c>
    </x:row>
    <x:row r="5637" ht="23" customHeight="1">
      <x:c r="A5637" s="11" t="str">
        <x:v>688062.SH</x:v>
      </x:c>
      <x:c r="B5637" s="11" t="str">
        <x:v>一年</x:v>
      </x:c>
      <x:c r="C5637" s="11" t="str">
        <x:v>tmprss_pv_global</x:v>
      </x:c>
      <x:c r="D5637" s="11" t="str">
        <x:v>2042-12-31</x:v>
      </x:c>
      <x:c r="E5637" s="11" t="str">
        <x:v>USD</x:v>
      </x:c>
      <x:c r="F5637" s="11" t="n">
        <x:v>15.227926078028748</x:v>
      </x:c>
      <x:c r="G5637" s="26" t="b">
        <x:v>1</x:v>
      </x:c>
      <x:c r="H5637" s="16" t="n">
        <x:v>0.192</x:v>
      </x:c>
      <x:c r="I5637" s="16" t="n">
        <x:v>0.21999999999999997</x:v>
      </x:c>
      <x:c r="J5637" s="16" t="n">
        <x:v>0</x:v>
      </x:c>
      <x:c r="K5637" s="11" t="n">
        <x:f>CHOOSE('假设'!$B$3,H5637,I5637,J5637)</x:f>
        <x:v>0.21999999999999997</x:v>
      </x:c>
      <x:c r="L5637" s="11" t="n">
        <x:f>K5637*'管线假设'!E1207*'管线假设'!F1207*'管线假设'!G1207*IF(E5637="USD",'管线假设'!I1207,1)-AM5637</x:f>
        <x:v>0.04567587199999999</x:v>
      </x:c>
      <x:c r="M5637" s="11" t="n">
        <x:f>'管线假设'!H1207</x:f>
        <x:v>0.14</x:v>
      </x:c>
      <x:c r="N5637" s="11" t="n">
        <x:f>IF(G5637,L5637*AN5637/(1+M5637)^F5637,0)</x:f>
        <x:v>0.0062107489928117645</x:v>
      </x:c>
      <x:c r="AJ5637" t="n">
        <x:v>0</x:v>
      </x:c>
      <x:c r="AK5637" t="n">
        <x:v>0</x:v>
      </x:c>
      <x:c r="AL5637" t="n">
        <x:v>0</x:v>
      </x:c>
      <x:c r="AM5637" t="n">
        <x:f>CHOOSE('假设'!$B$3,AJ5637,AK5637,AL5637)</x:f>
        <x:v>0</x:v>
      </x:c>
      <x:c r="AN5637" t="n">
        <x:v>1</x:v>
      </x:c>
    </x:row>
    <x:row r="5638" ht="23" customHeight="1">
      <x:c r="A5638" s="11" t="str">
        <x:v>688062.SH</x:v>
      </x:c>
      <x:c r="B5638" s="11" t="str">
        <x:v>一年</x:v>
      </x:c>
      <x:c r="C5638" s="11" t="str">
        <x:v>tmprss_pv_global</x:v>
      </x:c>
      <x:c r="D5638" s="11" t="str">
        <x:v>2043-12-31</x:v>
      </x:c>
      <x:c r="E5638" s="11" t="str">
        <x:v>USD</x:v>
      </x:c>
      <x:c r="F5638" s="11" t="n">
        <x:v>16.227241615331966</x:v>
      </x:c>
      <x:c r="G5638" s="26" t="b">
        <x:v>1</x:v>
      </x:c>
      <x:c r="H5638" s="16" t="n">
        <x:v>0.13999999999999999</x:v>
      </x:c>
      <x:c r="I5638" s="16" t="n">
        <x:v>0.08999999999999997</x:v>
      </x:c>
      <x:c r="J5638" s="16" t="n">
        <x:v>0</x:v>
      </x:c>
      <x:c r="K5638" s="11" t="n">
        <x:f>CHOOSE('假设'!$B$3,H5638,I5638,J5638)</x:f>
        <x:v>0.08999999999999997</x:v>
      </x:c>
      <x:c r="L5638" s="11" t="n">
        <x:f>K5638*'管线假设'!E1207*'管线假设'!F1207*'管线假设'!G1207*IF(E5638="USD",'管线假设'!I1207,1)-AM5638</x:f>
        <x:v>0.01868558399999999</x:v>
      </x:c>
      <x:c r="M5638" s="11" t="n">
        <x:f>'管线假设'!H1207</x:f>
        <x:v>0.14</x:v>
      </x:c>
      <x:c r="N5638" s="11" t="n">
        <x:f>IF(G5638,L5638*AN5638/(1+M5638)^F5638,0)</x:f>
        <x:v>0.002228937567825549</x:v>
      </x:c>
      <x:c r="AJ5638" t="n">
        <x:v>0</x:v>
      </x:c>
      <x:c r="AK5638" t="n">
        <x:v>0</x:v>
      </x:c>
      <x:c r="AL5638" t="n">
        <x:v>0</x:v>
      </x:c>
      <x:c r="AM5638" t="n">
        <x:f>CHOOSE('假设'!$B$3,AJ5638,AK5638,AL5638)</x:f>
        <x:v>0</x:v>
      </x:c>
      <x:c r="AN5638" t="n">
        <x:v>1</x:v>
      </x:c>
    </x:row>
    <x:row r="5639" ht="23" customHeight="1">
      <x:c r="A5639" s="11" t="str">
        <x:v>688062.SH</x:v>
      </x:c>
      <x:c r="B5639" s="11" t="str">
        <x:v>一年</x:v>
      </x:c>
      <x:c r="C5639" s="11" t="str">
        <x:v>tmprss_pv_global</x:v>
      </x:c>
      <x:c r="D5639" s="11" t="str">
        <x:v>2044-12-31</x:v>
      </x:c>
      <x:c r="E5639" s="11" t="str">
        <x:v>USD</x:v>
      </x:c>
      <x:c r="F5639" s="11" t="n">
        <x:v>17.229295003422312</x:v>
      </x:c>
      <x:c r="G5639" s="26" t="b">
        <x:v>1</x:v>
      </x:c>
      <x:c r="H5639" s="16" t="n">
        <x:v>0.088</x:v>
      </x:c>
      <x:c r="I5639" s="16" t="n">
        <x:v>0</x:v>
      </x:c>
      <x:c r="J5639" s="16" t="n">
        <x:v>0</x:v>
      </x:c>
      <x:c r="K5639" s="11" t="n">
        <x:f>CHOOSE('假设'!$B$3,H5639,I5639,J5639)</x:f>
        <x:v>0</x:v>
      </x:c>
      <x:c r="L5639" s="11" t="n">
        <x:f>K5639*'管线假设'!E1207*'管线假设'!F1207*'管线假设'!G1207*IF(E5639="USD",'管线假设'!I1207,1)-AM5639</x:f>
        <x:v>0</x:v>
      </x:c>
      <x:c r="M5639" s="11" t="n">
        <x:f>'管线假设'!H1207</x:f>
        <x:v>0.14</x:v>
      </x:c>
      <x:c r="N5639" s="11" t="n">
        <x:f>IF(G5639,L5639*AN5639/(1+M5639)^F5639,0)</x:f>
        <x:v>0</x:v>
      </x:c>
      <x:c r="AJ5639" t="n">
        <x:v>0</x:v>
      </x:c>
      <x:c r="AK5639" t="n">
        <x:v>0</x:v>
      </x:c>
      <x:c r="AL5639" t="n">
        <x:v>0</x:v>
      </x:c>
      <x:c r="AM5639" t="n">
        <x:f>CHOOSE('假设'!$B$3,AJ5639,AK5639,AL5639)</x:f>
        <x:v>0</x:v>
      </x:c>
      <x:c r="AN5639" t="n">
        <x:v>1</x:v>
      </x:c>
    </x:row>
    <x:row r="5640" ht="23" customHeight="1">
      <x:c r="A5640" s="11" t="str">
        <x:v>688062.SH</x:v>
      </x:c>
      <x:c r="B5640" s="11" t="str">
        <x:v>一年</x:v>
      </x:c>
      <x:c r="C5640" s="11" t="str">
        <x:v>tmprss_pv_global</x:v>
      </x:c>
      <x:c r="D5640" s="11" t="str">
        <x:v>2045-12-31</x:v>
      </x:c>
      <x:c r="E5640" s="11" t="str">
        <x:v>USD</x:v>
      </x:c>
      <x:c r="F5640" s="11" t="n">
        <x:v>18.22861054072553</x:v>
      </x:c>
      <x:c r="G5640" s="26" t="b">
        <x:v>1</x:v>
      </x:c>
      <x:c r="H5640" s="16" t="n">
        <x:v>0.03599999999999999</x:v>
      </x:c>
      <x:c r="I5640" s="16" t="n">
        <x:v>0</x:v>
      </x:c>
      <x:c r="J5640" s="16" t="n">
        <x:v>0</x:v>
      </x:c>
      <x:c r="K5640" s="11" t="n">
        <x:f>CHOOSE('假设'!$B$3,H5640,I5640,J5640)</x:f>
        <x:v>0</x:v>
      </x:c>
      <x:c r="L5640" s="11" t="n">
        <x:f>K5640*'管线假设'!E1207*'管线假设'!F1207*'管线假设'!G1207*IF(E5640="USD",'管线假设'!I1207,1)-AM5640</x:f>
        <x:v>0</x:v>
      </x:c>
      <x:c r="M5640" s="11" t="n">
        <x:f>'管线假设'!H1207</x:f>
        <x:v>0.14</x:v>
      </x:c>
      <x:c r="N5640" s="11" t="n">
        <x:f>IF(G5640,L5640*AN5640/(1+M5640)^F5640,0)</x:f>
        <x:v>0</x:v>
      </x:c>
      <x:c r="AJ5640" t="n">
        <x:v>0</x:v>
      </x:c>
      <x:c r="AK5640" t="n">
        <x:v>0</x:v>
      </x:c>
      <x:c r="AL5640" t="n">
        <x:v>0</x:v>
      </x:c>
      <x:c r="AM5640" t="n">
        <x:f>CHOOSE('假设'!$B$3,AJ5640,AK5640,AL5640)</x:f>
        <x:v>0</x:v>
      </x:c>
      <x:c r="AN5640" t="n">
        <x:v>1</x:v>
      </x:c>
    </x:row>
    <x:row r="5641" ht="23" customHeight="1">
      <x:c r="A5641" s="11" t="str">
        <x:v>688062.SH</x:v>
      </x:c>
      <x:c r="B5641" s="11" t="str">
        <x:v>一年</x:v>
      </x:c>
      <x:c r="C5641" s="11" t="str">
        <x:v>tmprss_pv_cn</x:v>
      </x:c>
      <x:c r="D5641" s="11" t="str">
        <x:v>2027-12-31</x:v>
      </x:c>
      <x:c r="E5641" s="11" t="str">
        <x:v>CNY</x:v>
      </x:c>
      <x:c r="F5641" s="11" t="n">
        <x:v>0.2272416153319644</x:v>
      </x:c>
      <x:c r="G5641" s="26" t="b">
        <x:v>1</x:v>
      </x:c>
      <x:c r="H5641" s="16" t="n">
        <x:v>0</x:v>
      </x:c>
      <x:c r="I5641" s="16" t="n">
        <x:v>0</x:v>
      </x:c>
      <x:c r="J5641" s="16" t="n">
        <x:v>0</x:v>
      </x:c>
      <x:c r="K5641" s="11" t="n">
        <x:f>CHOOSE('假设'!$B$3,H5641,I5641,J5641)</x:f>
        <x:v>0</x:v>
      </x:c>
      <x:c r="L5641" s="11" t="n">
        <x:f>K5641*'管线假设'!E1211*'管线假设'!F1211*'管线假设'!G1211*IF(E5641="USD",'管线假设'!I1211,1)-AM5641</x:f>
        <x:v>0</x:v>
      </x:c>
      <x:c r="M5641" s="11" t="n">
        <x:f>'管线假设'!H1211</x:f>
        <x:v>0.14</x:v>
      </x:c>
      <x:c r="N5641" s="11" t="n">
        <x:f>IF(G5641,L5641*AN5641/(1+M5641)^F5641,0)</x:f>
        <x:v>0</x:v>
      </x:c>
      <x:c r="AJ5641" t="n">
        <x:v>0</x:v>
      </x:c>
      <x:c r="AK5641" t="n">
        <x:v>0</x:v>
      </x:c>
      <x:c r="AL5641" t="n">
        <x:v>0</x:v>
      </x:c>
      <x:c r="AM5641" t="n">
        <x:f>CHOOSE('假设'!$B$3,AJ5641,AK5641,AL5641)</x:f>
        <x:v>0</x:v>
      </x:c>
      <x:c r="AN5641" t="n">
        <x:v>1</x:v>
      </x:c>
    </x:row>
    <x:row r="5642" ht="23" customHeight="1">
      <x:c r="A5642" s="11" t="str">
        <x:v>688062.SH</x:v>
      </x:c>
      <x:c r="B5642" s="11" t="str">
        <x:v>一年</x:v>
      </x:c>
      <x:c r="C5642" s="11" t="str">
        <x:v>tmprss_pv_cn</x:v>
      </x:c>
      <x:c r="D5642" s="11" t="str">
        <x:v>2028-12-31</x:v>
      </x:c>
      <x:c r="E5642" s="11" t="str">
        <x:v>CNY</x:v>
      </x:c>
      <x:c r="F5642" s="11" t="n">
        <x:v>1.2292950034223136</x:v>
      </x:c>
      <x:c r="G5642" s="26" t="b">
        <x:v>1</x:v>
      </x:c>
      <x:c r="H5642" s="16" t="n">
        <x:v>0</x:v>
      </x:c>
      <x:c r="I5642" s="16" t="n">
        <x:v>0</x:v>
      </x:c>
      <x:c r="J5642" s="16" t="n">
        <x:v>0</x:v>
      </x:c>
      <x:c r="K5642" s="11" t="n">
        <x:f>CHOOSE('假设'!$B$3,H5642,I5642,J5642)</x:f>
        <x:v>0</x:v>
      </x:c>
      <x:c r="L5642" s="11" t="n">
        <x:f>K5642*'管线假设'!E1211*'管线假设'!F1211*'管线假设'!G1211*IF(E5642="USD",'管线假设'!I1211,1)-AM5642</x:f>
        <x:v>0</x:v>
      </x:c>
      <x:c r="M5642" s="11" t="n">
        <x:f>'管线假设'!H1211</x:f>
        <x:v>0.14</x:v>
      </x:c>
      <x:c r="N5642" s="11" t="n">
        <x:f>IF(G5642,L5642*AN5642/(1+M5642)^F5642,0)</x:f>
        <x:v>0</x:v>
      </x:c>
      <x:c r="AJ5642" t="n">
        <x:v>0</x:v>
      </x:c>
      <x:c r="AK5642" t="n">
        <x:v>0</x:v>
      </x:c>
      <x:c r="AL5642" t="n">
        <x:v>0</x:v>
      </x:c>
      <x:c r="AM5642" t="n">
        <x:f>CHOOSE('假设'!$B$3,AJ5642,AK5642,AL5642)</x:f>
        <x:v>0</x:v>
      </x:c>
      <x:c r="AN5642" t="n">
        <x:v>1</x:v>
      </x:c>
    </x:row>
    <x:row r="5643" ht="23" customHeight="1">
      <x:c r="A5643" s="11" t="str">
        <x:v>688062.SH</x:v>
      </x:c>
      <x:c r="B5643" s="11" t="str">
        <x:v>一年</x:v>
      </x:c>
      <x:c r="C5643" s="11" t="str">
        <x:v>tmprss_pv_cn</x:v>
      </x:c>
      <x:c r="D5643" s="11" t="str">
        <x:v>2029-12-31</x:v>
      </x:c>
      <x:c r="E5643" s="11" t="str">
        <x:v>CNY</x:v>
      </x:c>
      <x:c r="F5643" s="11" t="n">
        <x:v>2.2286105407255303</x:v>
      </x:c>
      <x:c r="G5643" s="26" t="b">
        <x:v>1</x:v>
      </x:c>
      <x:c r="H5643" s="16" t="n">
        <x:v>0</x:v>
      </x:c>
      <x:c r="I5643" s="16" t="n">
        <x:v>0</x:v>
      </x:c>
      <x:c r="J5643" s="16" t="n">
        <x:v>0.16666666666666666</x:v>
      </x:c>
      <x:c r="K5643" s="11" t="n">
        <x:f>CHOOSE('假设'!$B$3,H5643,I5643,J5643)</x:f>
        <x:v>0</x:v>
      </x:c>
      <x:c r="L5643" s="11" t="n">
        <x:f>K5643*'管线假设'!E1211*'管线假设'!F1211*'管线假设'!G1211*IF(E5643="USD",'管线假设'!I1211,1)-AM5643</x:f>
        <x:v>0</x:v>
      </x:c>
      <x:c r="M5643" s="11" t="n">
        <x:f>'管线假设'!H1211</x:f>
        <x:v>0.14</x:v>
      </x:c>
      <x:c r="N5643" s="11" t="n">
        <x:f>IF(G5643,L5643*AN5643/(1+M5643)^F5643,0)</x:f>
        <x:v>0</x:v>
      </x:c>
      <x:c r="AJ5643" t="n">
        <x:v>0</x:v>
      </x:c>
      <x:c r="AK5643" t="n">
        <x:v>0</x:v>
      </x:c>
      <x:c r="AL5643" t="n">
        <x:v>0</x:v>
      </x:c>
      <x:c r="AM5643" t="n">
        <x:f>CHOOSE('假设'!$B$3,AJ5643,AK5643,AL5643)</x:f>
        <x:v>0</x:v>
      </x:c>
      <x:c r="AN5643" t="n">
        <x:v>1</x:v>
      </x:c>
    </x:row>
    <x:row r="5644" ht="23" customHeight="1">
      <x:c r="A5644" s="11" t="str">
        <x:v>688062.SH</x:v>
      </x:c>
      <x:c r="B5644" s="11" t="str">
        <x:v>一年</x:v>
      </x:c>
      <x:c r="C5644" s="11" t="str">
        <x:v>tmprss_pv_cn</x:v>
      </x:c>
      <x:c r="D5644" s="11" t="str">
        <x:v>2030-12-31</x:v>
      </x:c>
      <x:c r="E5644" s="11" t="str">
        <x:v>CNY</x:v>
      </x:c>
      <x:c r="F5644" s="11" t="n">
        <x:v>3.2279260780287475</x:v>
      </x:c>
      <x:c r="G5644" s="26" t="b">
        <x:v>1</x:v>
      </x:c>
      <x:c r="H5644" s="16" t="n">
        <x:v>0</x:v>
      </x:c>
      <x:c r="I5644" s="16" t="n">
        <x:v>0</x:v>
      </x:c>
      <x:c r="J5644" s="16" t="n">
        <x:v>0.3333333333333333</x:v>
      </x:c>
      <x:c r="K5644" s="11" t="n">
        <x:f>CHOOSE('假设'!$B$3,H5644,I5644,J5644)</x:f>
        <x:v>0</x:v>
      </x:c>
      <x:c r="L5644" s="11" t="n">
        <x:f>K5644*'管线假设'!E1211*'管线假设'!F1211*'管线假设'!G1211*IF(E5644="USD",'管线假设'!I1211,1)-AM5644</x:f>
        <x:v>0</x:v>
      </x:c>
      <x:c r="M5644" s="11" t="n">
        <x:f>'管线假设'!H1211</x:f>
        <x:v>0.14</x:v>
      </x:c>
      <x:c r="N5644" s="11" t="n">
        <x:f>IF(G5644,L5644*AN5644/(1+M5644)^F5644,0)</x:f>
        <x:v>0</x:v>
      </x:c>
      <x:c r="AJ5644" t="n">
        <x:v>0</x:v>
      </x:c>
      <x:c r="AK5644" t="n">
        <x:v>0</x:v>
      </x:c>
      <x:c r="AL5644" t="n">
        <x:v>0</x:v>
      </x:c>
      <x:c r="AM5644" t="n">
        <x:f>CHOOSE('假设'!$B$3,AJ5644,AK5644,AL5644)</x:f>
        <x:v>0</x:v>
      </x:c>
      <x:c r="AN5644" t="n">
        <x:v>1</x:v>
      </x:c>
    </x:row>
    <x:row r="5645" ht="23" customHeight="1">
      <x:c r="A5645" s="11" t="str">
        <x:v>688062.SH</x:v>
      </x:c>
      <x:c r="B5645" s="11" t="str">
        <x:v>一年</x:v>
      </x:c>
      <x:c r="C5645" s="11" t="str">
        <x:v>tmprss_pv_cn</x:v>
      </x:c>
      <x:c r="D5645" s="11" t="str">
        <x:v>2031-12-31</x:v>
      </x:c>
      <x:c r="E5645" s="11" t="str">
        <x:v>CNY</x:v>
      </x:c>
      <x:c r="F5645" s="11" t="n">
        <x:v>4.227241615331964</x:v>
      </x:c>
      <x:c r="G5645" s="26" t="b">
        <x:v>1</x:v>
      </x:c>
      <x:c r="H5645" s="16" t="n">
        <x:v>0</x:v>
      </x:c>
      <x:c r="I5645" s="16" t="n">
        <x:v>0.09999999999999999</x:v>
      </x:c>
      <x:c r="J5645" s="16" t="n">
        <x:v>0.5</x:v>
      </x:c>
      <x:c r="K5645" s="11" t="n">
        <x:f>CHOOSE('假设'!$B$3,H5645,I5645,J5645)</x:f>
        <x:v>0.09999999999999999</x:v>
      </x:c>
      <x:c r="L5645" s="11" t="n">
        <x:f>K5645*'管线假设'!E1211*'管线假设'!F1211*'管线假设'!G1211*IF(E5645="USD",'管线假设'!I1211,1)-AM5645</x:f>
        <x:v>0.011475</x:v>
      </x:c>
      <x:c r="M5645" s="11" t="n">
        <x:f>'管线假设'!H1211</x:f>
        <x:v>0.14</x:v>
      </x:c>
      <x:c r="N5645" s="11" t="n">
        <x:f>IF(G5645,L5645*AN5645/(1+M5645)^F5645,0)</x:f>
        <x:v>0.006594807733150992</x:v>
      </x:c>
      <x:c r="AJ5645" t="n">
        <x:v>0</x:v>
      </x:c>
      <x:c r="AK5645" t="n">
        <x:v>0</x:v>
      </x:c>
      <x:c r="AL5645" t="n">
        <x:v>0</x:v>
      </x:c>
      <x:c r="AM5645" t="n">
        <x:f>CHOOSE('假设'!$B$3,AJ5645,AK5645,AL5645)</x:f>
        <x:v>0</x:v>
      </x:c>
      <x:c r="AN5645" t="n">
        <x:v>1</x:v>
      </x:c>
    </x:row>
    <x:row r="5646" ht="23" customHeight="1">
      <x:c r="A5646" s="11" t="str">
        <x:v>688062.SH</x:v>
      </x:c>
      <x:c r="B5646" s="11" t="str">
        <x:v>一年</x:v>
      </x:c>
      <x:c r="C5646" s="11" t="str">
        <x:v>tmprss_pv_cn</x:v>
      </x:c>
      <x:c r="D5646" s="11" t="str">
        <x:v>2032-12-31</x:v>
      </x:c>
      <x:c r="E5646" s="11" t="str">
        <x:v>CNY</x:v>
      </x:c>
      <x:c r="F5646" s="11" t="n">
        <x:v>5.229295003422314</x:v>
      </x:c>
      <x:c r="G5646" s="26" t="b">
        <x:v>1</x:v>
      </x:c>
      <x:c r="H5646" s="16" t="n">
        <x:v>0</x:v>
      </x:c>
      <x:c r="I5646" s="16" t="n">
        <x:v>0.19999999999999998</x:v>
      </x:c>
      <x:c r="J5646" s="16" t="n">
        <x:v>0.6666666666666666</x:v>
      </x:c>
      <x:c r="K5646" s="11" t="n">
        <x:f>CHOOSE('假设'!$B$3,H5646,I5646,J5646)</x:f>
        <x:v>0.19999999999999998</x:v>
      </x:c>
      <x:c r="L5646" s="11" t="n">
        <x:f>K5646*'管线假设'!E1211*'管线假设'!F1211*'管线假设'!G1211*IF(E5646="USD",'管线假设'!I1211,1)-AM5646</x:f>
        <x:v>0.02295</x:v>
      </x:c>
      <x:c r="M5646" s="11" t="n">
        <x:f>'管线假设'!H1211</x:f>
        <x:v>0.14</x:v>
      </x:c>
      <x:c r="N5646" s="11" t="n">
        <x:f>IF(G5646,L5646*AN5646/(1+M5646)^F5646,0)</x:f>
        <x:v>0.011566725660436704</x:v>
      </x:c>
      <x:c r="AJ5646" t="n">
        <x:v>0</x:v>
      </x:c>
      <x:c r="AK5646" t="n">
        <x:v>0</x:v>
      </x:c>
      <x:c r="AL5646" t="n">
        <x:v>0</x:v>
      </x:c>
      <x:c r="AM5646" t="n">
        <x:f>CHOOSE('假设'!$B$3,AJ5646,AK5646,AL5646)</x:f>
        <x:v>0</x:v>
      </x:c>
      <x:c r="AN5646" t="n">
        <x:v>1</x:v>
      </x:c>
    </x:row>
    <x:row r="5647" ht="23" customHeight="1">
      <x:c r="A5647" s="11" t="str">
        <x:v>688062.SH</x:v>
      </x:c>
      <x:c r="B5647" s="11" t="str">
        <x:v>一年</x:v>
      </x:c>
      <x:c r="C5647" s="11" t="str">
        <x:v>tmprss_pv_cn</x:v>
      </x:c>
      <x:c r="D5647" s="11" t="str">
        <x:v>2033-12-31</x:v>
      </x:c>
      <x:c r="E5647" s="11" t="str">
        <x:v>CNY</x:v>
      </x:c>
      <x:c r="F5647" s="11" t="n">
        <x:v>6.228610540725531</x:v>
      </x:c>
      <x:c r="G5647" s="26" t="b">
        <x:v>1</x:v>
      </x:c>
      <x:c r="H5647" s="16" t="n">
        <x:v>0</x:v>
      </x:c>
      <x:c r="I5647" s="16" t="n">
        <x:v>0.3</x:v>
      </x:c>
      <x:c r="J5647" s="16" t="n">
        <x:v>0.8333333333333334</x:v>
      </x:c>
      <x:c r="K5647" s="11" t="n">
        <x:f>CHOOSE('假设'!$B$3,H5647,I5647,J5647)</x:f>
        <x:v>0.3</x:v>
      </x:c>
      <x:c r="L5647" s="11" t="n">
        <x:f>K5647*'管线假设'!E1211*'管线假设'!F1211*'管线假设'!G1211*IF(E5647="USD",'管线假设'!I1211,1)-AM5647</x:f>
        <x:v>0.034425000000000004</x:v>
      </x:c>
      <x:c r="M5647" s="11" t="n">
        <x:f>'管线假设'!H1211</x:f>
        <x:v>0.14</x:v>
      </x:c>
      <x:c r="N5647" s="11" t="n">
        <x:f>IF(G5647,L5647*AN5647/(1+M5647)^F5647,0)</x:f>
        <x:v>0.015220740864067635</x:v>
      </x:c>
      <x:c r="AJ5647" t="n">
        <x:v>0</x:v>
      </x:c>
      <x:c r="AK5647" t="n">
        <x:v>0</x:v>
      </x:c>
      <x:c r="AL5647" t="n">
        <x:v>0</x:v>
      </x:c>
      <x:c r="AM5647" t="n">
        <x:f>CHOOSE('假设'!$B$3,AJ5647,AK5647,AL5647)</x:f>
        <x:v>0</x:v>
      </x:c>
      <x:c r="AN5647" t="n">
        <x:v>1</x:v>
      </x:c>
    </x:row>
    <x:row r="5648" ht="23" customHeight="1">
      <x:c r="A5648" s="11" t="str">
        <x:v>688062.SH</x:v>
      </x:c>
      <x:c r="B5648" s="11" t="str">
        <x:v>一年</x:v>
      </x:c>
      <x:c r="C5648" s="11" t="str">
        <x:v>tmprss_pv_cn</x:v>
      </x:c>
      <x:c r="D5648" s="11" t="str">
        <x:v>2034-12-31</x:v>
      </x:c>
      <x:c r="E5648" s="11" t="str">
        <x:v>CNY</x:v>
      </x:c>
      <x:c r="F5648" s="11" t="n">
        <x:v>7.227926078028747</x:v>
      </x:c>
      <x:c r="G5648" s="26" t="b">
        <x:v>1</x:v>
      </x:c>
      <x:c r="H5648" s="16" t="n">
        <x:v>0.06</x:v>
      </x:c>
      <x:c r="I5648" s="16" t="n">
        <x:v>0.39999999999999997</x:v>
      </x:c>
      <x:c r="J5648" s="16" t="n">
        <x:v>1</x:v>
      </x:c>
      <x:c r="K5648" s="11" t="n">
        <x:f>CHOOSE('假设'!$B$3,H5648,I5648,J5648)</x:f>
        <x:v>0.39999999999999997</x:v>
      </x:c>
      <x:c r="L5648" s="11" t="n">
        <x:f>K5648*'管线假设'!E1211*'管线假设'!F1211*'管线假设'!G1211*IF(E5648="USD",'管线假设'!I1211,1)-AM5648</x:f>
        <x:v>0.0459</x:v>
      </x:c>
      <x:c r="M5648" s="11" t="n">
        <x:f>'管线假设'!H1211</x:f>
        <x:v>0.14</x:v>
      </x:c>
      <x:c r="N5648" s="11" t="n">
        <x:f>IF(G5648,L5648*AN5648/(1+M5648)^F5648,0)</x:f>
        <x:v>0.01780363272697457</x:v>
      </x:c>
      <x:c r="AJ5648" t="n">
        <x:v>0</x:v>
      </x:c>
      <x:c r="AK5648" t="n">
        <x:v>0</x:v>
      </x:c>
      <x:c r="AL5648" t="n">
        <x:v>0</x:v>
      </x:c>
      <x:c r="AM5648" t="n">
        <x:f>CHOOSE('假设'!$B$3,AJ5648,AK5648,AL5648)</x:f>
        <x:v>0</x:v>
      </x:c>
      <x:c r="AN5648" t="n">
        <x:v>1</x:v>
      </x:c>
    </x:row>
    <x:row r="5649" ht="23" customHeight="1">
      <x:c r="A5649" s="11" t="str">
        <x:v>688062.SH</x:v>
      </x:c>
      <x:c r="B5649" s="11" t="str">
        <x:v>一年</x:v>
      </x:c>
      <x:c r="C5649" s="11" t="str">
        <x:v>tmprss_pv_cn</x:v>
      </x:c>
      <x:c r="D5649" s="11" t="str">
        <x:v>2035-12-31</x:v>
      </x:c>
      <x:c r="E5649" s="11" t="str">
        <x:v>CNY</x:v>
      </x:c>
      <x:c r="F5649" s="11" t="n">
        <x:v>8.227241615331964</x:v>
      </x:c>
      <x:c r="G5649" s="26" t="b">
        <x:v>1</x:v>
      </x:c>
      <x:c r="H5649" s="16" t="n">
        <x:v>0.12</x:v>
      </x:c>
      <x:c r="I5649" s="16" t="n">
        <x:v>0.5</x:v>
      </x:c>
      <x:c r="J5649" s="16" t="n">
        <x:v>0.87</x:v>
      </x:c>
      <x:c r="K5649" s="11" t="n">
        <x:f>CHOOSE('假设'!$B$3,H5649,I5649,J5649)</x:f>
        <x:v>0.5</x:v>
      </x:c>
      <x:c r="L5649" s="11" t="n">
        <x:f>K5649*'管线假设'!E1211*'管线假设'!F1211*'管线假设'!G1211*IF(E5649="USD",'管线假设'!I1211,1)-AM5649</x:f>
        <x:v>0.05737500000000001</x:v>
      </x:c>
      <x:c r="M5649" s="11" t="n">
        <x:f>'管线假设'!H1211</x:f>
        <x:v>0.14</x:v>
      </x:c>
      <x:c r="N5649" s="11" t="n">
        <x:f>IF(G5649,L5649*AN5649/(1+M5649)^F5649,0)</x:f>
        <x:v>0.019523277959235547</x:v>
      </x:c>
      <x:c r="AJ5649" t="n">
        <x:v>0</x:v>
      </x:c>
      <x:c r="AK5649" t="n">
        <x:v>0</x:v>
      </x:c>
      <x:c r="AL5649" t="n">
        <x:v>0</x:v>
      </x:c>
      <x:c r="AM5649" t="n">
        <x:f>CHOOSE('假设'!$B$3,AJ5649,AK5649,AL5649)</x:f>
        <x:v>0</x:v>
      </x:c>
      <x:c r="AN5649" t="n">
        <x:v>1</x:v>
      </x:c>
    </x:row>
    <x:row r="5650" ht="23" customHeight="1">
      <x:c r="A5650" s="11" t="str">
        <x:v>688062.SH</x:v>
      </x:c>
      <x:c r="B5650" s="11" t="str">
        <x:v>一年</x:v>
      </x:c>
      <x:c r="C5650" s="11" t="str">
        <x:v>tmprss_pv_cn</x:v>
      </x:c>
      <x:c r="D5650" s="11" t="str">
        <x:v>2036-12-31</x:v>
      </x:c>
      <x:c r="E5650" s="11" t="str">
        <x:v>CNY</x:v>
      </x:c>
      <x:c r="F5650" s="11" t="n">
        <x:v>9.229295003422314</x:v>
      </x:c>
      <x:c r="G5650" s="26" t="b">
        <x:v>1</x:v>
      </x:c>
      <x:c r="H5650" s="16" t="n">
        <x:v>0.18</x:v>
      </x:c>
      <x:c r="I5650" s="16" t="n">
        <x:v>0.6</x:v>
      </x:c>
      <x:c r="J5650" s="16" t="n">
        <x:v>0.74</x:v>
      </x:c>
      <x:c r="K5650" s="11" t="n">
        <x:f>CHOOSE('假设'!$B$3,H5650,I5650,J5650)</x:f>
        <x:v>0.6</x:v>
      </x:c>
      <x:c r="L5650" s="11" t="n">
        <x:f>K5650*'管线假设'!E1211*'管线假设'!F1211*'管线假设'!G1211*IF(E5650="USD",'管线假设'!I1211,1)-AM5650</x:f>
        <x:v>0.06885000000000001</x:v>
      </x:c>
      <x:c r="M5650" s="11" t="n">
        <x:f>'管线假设'!H1211</x:f>
        <x:v>0.14</x:v>
      </x:c>
      <x:c r="N5650" s="11" t="n">
        <x:f>IF(G5650,L5650*AN5650/(1+M5650)^F5650,0)</x:f>
        <x:v>0.020545290411888753</x:v>
      </x:c>
      <x:c r="AJ5650" t="n">
        <x:v>0</x:v>
      </x:c>
      <x:c r="AK5650" t="n">
        <x:v>0</x:v>
      </x:c>
      <x:c r="AL5650" t="n">
        <x:v>0</x:v>
      </x:c>
      <x:c r="AM5650" t="n">
        <x:f>CHOOSE('假设'!$B$3,AJ5650,AK5650,AL5650)</x:f>
        <x:v>0</x:v>
      </x:c>
      <x:c r="AN5650" t="n">
        <x:v>1</x:v>
      </x:c>
    </x:row>
    <x:row r="5651" ht="23" customHeight="1">
      <x:c r="A5651" s="11" t="str">
        <x:v>688062.SH</x:v>
      </x:c>
      <x:c r="B5651" s="11" t="str">
        <x:v>一年</x:v>
      </x:c>
      <x:c r="C5651" s="11" t="str">
        <x:v>tmprss_pv_cn</x:v>
      </x:c>
      <x:c r="D5651" s="11" t="str">
        <x:v>2037-12-31</x:v>
      </x:c>
      <x:c r="E5651" s="11" t="str">
        <x:v>CNY</x:v>
      </x:c>
      <x:c r="F5651" s="11" t="n">
        <x:v>10.22861054072553</x:v>
      </x:c>
      <x:c r="G5651" s="26" t="b">
        <x:v>1</x:v>
      </x:c>
      <x:c r="H5651" s="16" t="n">
        <x:v>0.24</x:v>
      </x:c>
      <x:c r="I5651" s="16" t="n">
        <x:v>0.522</x:v>
      </x:c>
      <x:c r="J5651" s="16" t="n">
        <x:v>0.61</x:v>
      </x:c>
      <x:c r="K5651" s="11" t="n">
        <x:f>CHOOSE('假设'!$B$3,H5651,I5651,J5651)</x:f>
        <x:v>0.522</x:v>
      </x:c>
      <x:c r="L5651" s="11" t="n">
        <x:f>K5651*'管线假设'!E1211*'管线假设'!F1211*'管线假设'!G1211*IF(E5651="USD",'管线假设'!I1211,1)-AM5651</x:f>
        <x:v>0.05989950000000001</x:v>
      </x:c>
      <x:c r="M5651" s="11" t="n">
        <x:f>'管线假设'!H1211</x:f>
        <x:v>0.14</x:v>
      </x:c>
      <x:c r="N5651" s="11" t="n">
        <x:f>IF(G5651,L5651*AN5651/(1+M5651)^F5651,0)</x:f>
        <x:v>0.015680706822283882</x:v>
      </x:c>
      <x:c r="AJ5651" t="n">
        <x:v>0</x:v>
      </x:c>
      <x:c r="AK5651" t="n">
        <x:v>0</x:v>
      </x:c>
      <x:c r="AL5651" t="n">
        <x:v>0</x:v>
      </x:c>
      <x:c r="AM5651" t="n">
        <x:f>CHOOSE('假设'!$B$3,AJ5651,AK5651,AL5651)</x:f>
        <x:v>0</x:v>
      </x:c>
      <x:c r="AN5651" t="n">
        <x:v>1</x:v>
      </x:c>
    </x:row>
    <x:row r="5652" ht="23" customHeight="1">
      <x:c r="A5652" s="11" t="str">
        <x:v>688062.SH</x:v>
      </x:c>
      <x:c r="B5652" s="11" t="str">
        <x:v>一年</x:v>
      </x:c>
      <x:c r="C5652" s="11" t="str">
        <x:v>tmprss_pv_cn</x:v>
      </x:c>
      <x:c r="D5652" s="11" t="str">
        <x:v>2038-12-31</x:v>
      </x:c>
      <x:c r="E5652" s="11" t="str">
        <x:v>CNY</x:v>
      </x:c>
      <x:c r="F5652" s="11" t="n">
        <x:v>11.227926078028748</x:v>
      </x:c>
      <x:c r="G5652" s="26" t="b">
        <x:v>1</x:v>
      </x:c>
      <x:c r="H5652" s="16" t="n">
        <x:v>0.3</x:v>
      </x:c>
      <x:c r="I5652" s="16" t="n">
        <x:v>0.444</x:v>
      </x:c>
      <x:c r="J5652" s="16" t="n">
        <x:v>0.48</x:v>
      </x:c>
      <x:c r="K5652" s="11" t="n">
        <x:f>CHOOSE('假设'!$B$3,H5652,I5652,J5652)</x:f>
        <x:v>0.444</x:v>
      </x:c>
      <x:c r="L5652" s="11" t="n">
        <x:f>K5652*'管线假设'!E1211*'管线假设'!F1211*'管线假设'!G1211*IF(E5652="USD",'管线假设'!I1211,1)-AM5652</x:f>
        <x:v>0.05094900000000001</x:v>
      </x:c>
      <x:c r="M5652" s="11" t="n">
        <x:f>'管线假设'!H1211</x:f>
        <x:v>0.14</x:v>
      </x:c>
      <x:c r="N5652" s="11" t="n">
        <x:f>IF(G5652,L5652*AN5652/(1+M5652)^F5652,0)</x:f>
        <x:v>0.011700709581534335</x:v>
      </x:c>
      <x:c r="AJ5652" t="n">
        <x:v>0</x:v>
      </x:c>
      <x:c r="AK5652" t="n">
        <x:v>0</x:v>
      </x:c>
      <x:c r="AL5652" t="n">
        <x:v>0</x:v>
      </x:c>
      <x:c r="AM5652" t="n">
        <x:f>CHOOSE('假设'!$B$3,AJ5652,AK5652,AL5652)</x:f>
        <x:v>0</x:v>
      </x:c>
      <x:c r="AN5652" t="n">
        <x:v>1</x:v>
      </x:c>
    </x:row>
    <x:row r="5653" ht="23" customHeight="1">
      <x:c r="A5653" s="11" t="str">
        <x:v>688062.SH</x:v>
      </x:c>
      <x:c r="B5653" s="11" t="str">
        <x:v>一年</x:v>
      </x:c>
      <x:c r="C5653" s="11" t="str">
        <x:v>tmprss_pv_cn</x:v>
      </x:c>
      <x:c r="D5653" s="11" t="str">
        <x:v>2039-12-31</x:v>
      </x:c>
      <x:c r="E5653" s="11" t="str">
        <x:v>CNY</x:v>
      </x:c>
      <x:c r="F5653" s="11" t="n">
        <x:v>12.227241615331964</x:v>
      </x:c>
      <x:c r="G5653" s="26" t="b">
        <x:v>1</x:v>
      </x:c>
      <x:c r="H5653" s="16" t="n">
        <x:v>0.261</x:v>
      </x:c>
      <x:c r="I5653" s="16" t="n">
        <x:v>0.366</x:v>
      </x:c>
      <x:c r="J5653" s="16" t="n">
        <x:v>0.35</x:v>
      </x:c>
      <x:c r="K5653" s="11" t="n">
        <x:f>CHOOSE('假设'!$B$3,H5653,I5653,J5653)</x:f>
        <x:v>0.366</x:v>
      </x:c>
      <x:c r="L5653" s="11" t="n">
        <x:f>K5653*'管线假设'!E1211*'管线假设'!F1211*'管线假设'!G1211*IF(E5653="USD",'管线假设'!I1211,1)-AM5653</x:f>
        <x:v>0.0419985</x:v>
      </x:c>
      <x:c r="M5653" s="11" t="n">
        <x:f>'管线假设'!H1211</x:f>
        <x:v>0.14</x:v>
      </x:c>
      <x:c r="N5653" s="11" t="n">
        <x:f>IF(G5653,L5653*AN5653/(1+M5653)^F5653,0)</x:f>
        <x:v>0.008461442611032585</x:v>
      </x:c>
      <x:c r="AJ5653" t="n">
        <x:v>0</x:v>
      </x:c>
      <x:c r="AK5653" t="n">
        <x:v>0</x:v>
      </x:c>
      <x:c r="AL5653" t="n">
        <x:v>0</x:v>
      </x:c>
      <x:c r="AM5653" t="n">
        <x:f>CHOOSE('假设'!$B$3,AJ5653,AK5653,AL5653)</x:f>
        <x:v>0</x:v>
      </x:c>
      <x:c r="AN5653" t="n">
        <x:v>1</x:v>
      </x:c>
    </x:row>
    <x:row r="5654" ht="23" customHeight="1">
      <x:c r="A5654" s="11" t="str">
        <x:v>688062.SH</x:v>
      </x:c>
      <x:c r="B5654" s="11" t="str">
        <x:v>一年</x:v>
      </x:c>
      <x:c r="C5654" s="11" t="str">
        <x:v>tmprss_pv_cn</x:v>
      </x:c>
      <x:c r="D5654" s="11" t="str">
        <x:v>2040-12-31</x:v>
      </x:c>
      <x:c r="E5654" s="11" t="str">
        <x:v>CNY</x:v>
      </x:c>
      <x:c r="F5654" s="11" t="n">
        <x:v>13.229295003422314</x:v>
      </x:c>
      <x:c r="G5654" s="26" t="b">
        <x:v>1</x:v>
      </x:c>
      <x:c r="H5654" s="16" t="n">
        <x:v>0.222</x:v>
      </x:c>
      <x:c r="I5654" s="16" t="n">
        <x:v>0.288</x:v>
      </x:c>
      <x:c r="J5654" s="16" t="n">
        <x:v>0.21999999999999997</x:v>
      </x:c>
      <x:c r="K5654" s="11" t="n">
        <x:f>CHOOSE('假设'!$B$3,H5654,I5654,J5654)</x:f>
        <x:v>0.288</x:v>
      </x:c>
      <x:c r="L5654" s="11" t="n">
        <x:f>K5654*'管线假设'!E1211*'管线假设'!F1211*'管线假设'!G1211*IF(E5654="USD",'管线假设'!I1211,1)-AM5654</x:f>
        <x:v>0.033048</x:v>
      </x:c>
      <x:c r="M5654" s="11" t="n">
        <x:f>'管线假设'!H1211</x:f>
        <x:v>0.14</x:v>
      </x:c>
      <x:c r="N5654" s="11" t="n">
        <x:f>IF(G5654,L5654*AN5654/(1+M5654)^F5654,0)</x:f>
        <x:v>0.00583894139794665</x:v>
      </x:c>
      <x:c r="AJ5654" t="n">
        <x:v>0</x:v>
      </x:c>
      <x:c r="AK5654" t="n">
        <x:v>0</x:v>
      </x:c>
      <x:c r="AL5654" t="n">
        <x:v>0</x:v>
      </x:c>
      <x:c r="AM5654" t="n">
        <x:f>CHOOSE('假设'!$B$3,AJ5654,AK5654,AL5654)</x:f>
        <x:v>0</x:v>
      </x:c>
      <x:c r="AN5654" t="n">
        <x:v>1</x:v>
      </x:c>
    </x:row>
    <x:row r="5655" ht="23" customHeight="1">
      <x:c r="A5655" s="11" t="str">
        <x:v>688062.SH</x:v>
      </x:c>
      <x:c r="B5655" s="11" t="str">
        <x:v>一年</x:v>
      </x:c>
      <x:c r="C5655" s="11" t="str">
        <x:v>tmprss_pv_cn</x:v>
      </x:c>
      <x:c r="D5655" s="11" t="str">
        <x:v>2041-12-31</x:v>
      </x:c>
      <x:c r="E5655" s="11" t="str">
        <x:v>CNY</x:v>
      </x:c>
      <x:c r="F5655" s="11" t="n">
        <x:v>14.22861054072553</x:v>
      </x:c>
      <x:c r="G5655" s="26" t="b">
        <x:v>1</x:v>
      </x:c>
      <x:c r="H5655" s="16" t="n">
        <x:v>0.183</x:v>
      </x:c>
      <x:c r="I5655" s="16" t="n">
        <x:v>0.21</x:v>
      </x:c>
      <x:c r="J5655" s="16" t="n">
        <x:v>0.08999999999999997</x:v>
      </x:c>
      <x:c r="K5655" s="11" t="n">
        <x:f>CHOOSE('假设'!$B$3,H5655,I5655,J5655)</x:f>
        <x:v>0.21</x:v>
      </x:c>
      <x:c r="L5655" s="11" t="n">
        <x:f>K5655*'管线假设'!E1211*'管线假设'!F1211*'管线假设'!G1211*IF(E5655="USD",'管线假设'!I1211,1)-AM5655</x:f>
        <x:v>0.0240975</x:v>
      </x:c>
      <x:c r="M5655" s="11" t="n">
        <x:f>'管线假设'!H1211</x:f>
        <x:v>0.14</x:v>
      </x:c>
      <x:c r="N5655" s="11" t="n">
        <x:f>IF(G5655,L5655*AN5655/(1+M5655)^F5655,0)</x:f>
        <x:v>0.0037350379720051284</x:v>
      </x:c>
      <x:c r="AJ5655" t="n">
        <x:v>0</x:v>
      </x:c>
      <x:c r="AK5655" t="n">
        <x:v>0</x:v>
      </x:c>
      <x:c r="AL5655" t="n">
        <x:v>0</x:v>
      </x:c>
      <x:c r="AM5655" t="n">
        <x:f>CHOOSE('假设'!$B$3,AJ5655,AK5655,AL5655)</x:f>
        <x:v>0</x:v>
      </x:c>
      <x:c r="AN5655" t="n">
        <x:v>1</x:v>
      </x:c>
    </x:row>
    <x:row r="5656" ht="23" customHeight="1">
      <x:c r="A5656" s="11" t="str">
        <x:v>688062.SH</x:v>
      </x:c>
      <x:c r="B5656" s="11" t="str">
        <x:v>一年</x:v>
      </x:c>
      <x:c r="C5656" s="11" t="str">
        <x:v>tmprss_pv_cn</x:v>
      </x:c>
      <x:c r="D5656" s="11" t="str">
        <x:v>2042-12-31</x:v>
      </x:c>
      <x:c r="E5656" s="11" t="str">
        <x:v>CNY</x:v>
      </x:c>
      <x:c r="F5656" s="11" t="n">
        <x:v>15.227926078028748</x:v>
      </x:c>
      <x:c r="G5656" s="26" t="b">
        <x:v>1</x:v>
      </x:c>
      <x:c r="H5656" s="16" t="n">
        <x:v>0.144</x:v>
      </x:c>
      <x:c r="I5656" s="16" t="n">
        <x:v>0.13199999999999998</x:v>
      </x:c>
      <x:c r="J5656" s="16" t="n">
        <x:v>0</x:v>
      </x:c>
      <x:c r="K5656" s="11" t="n">
        <x:f>CHOOSE('假设'!$B$3,H5656,I5656,J5656)</x:f>
        <x:v>0.13199999999999998</x:v>
      </x:c>
      <x:c r="L5656" s="11" t="n">
        <x:f>K5656*'管线假设'!E1211*'管线假设'!F1211*'管线假设'!G1211*IF(E5656="USD",'管线假设'!I1211,1)-AM5656</x:f>
        <x:v>0.015146999999999999</x:v>
      </x:c>
      <x:c r="M5656" s="11" t="n">
        <x:f>'管线假设'!H1211</x:f>
        <x:v>0.14</x:v>
      </x:c>
      <x:c r="N5656" s="11" t="n">
        <x:f>IF(G5656,L5656*AN5656/(1+M5656)^F5656,0)</x:f>
        <x:v>0.0020596041383538297</x:v>
      </x:c>
      <x:c r="AJ5656" t="n">
        <x:v>0</x:v>
      </x:c>
      <x:c r="AK5656" t="n">
        <x:v>0</x:v>
      </x:c>
      <x:c r="AL5656" t="n">
        <x:v>0</x:v>
      </x:c>
      <x:c r="AM5656" t="n">
        <x:f>CHOOSE('假设'!$B$3,AJ5656,AK5656,AL5656)</x:f>
        <x:v>0</x:v>
      </x:c>
      <x:c r="AN5656" t="n">
        <x:v>1</x:v>
      </x:c>
    </x:row>
    <x:row r="5657" ht="23" customHeight="1">
      <x:c r="A5657" s="11" t="str">
        <x:v>688062.SH</x:v>
      </x:c>
      <x:c r="B5657" s="11" t="str">
        <x:v>一年</x:v>
      </x:c>
      <x:c r="C5657" s="11" t="str">
        <x:v>tmprss_pv_cn</x:v>
      </x:c>
      <x:c r="D5657" s="11" t="str">
        <x:v>2043-12-31</x:v>
      </x:c>
      <x:c r="E5657" s="11" t="str">
        <x:v>CNY</x:v>
      </x:c>
      <x:c r="F5657" s="11" t="n">
        <x:v>16.227241615331966</x:v>
      </x:c>
      <x:c r="G5657" s="26" t="b">
        <x:v>1</x:v>
      </x:c>
      <x:c r="H5657" s="16" t="n">
        <x:v>0.105</x:v>
      </x:c>
      <x:c r="I5657" s="16" t="n">
        <x:v>0.05399999999999998</x:v>
      </x:c>
      <x:c r="J5657" s="16" t="n">
        <x:v>0</x:v>
      </x:c>
      <x:c r="K5657" s="11" t="n">
        <x:f>CHOOSE('假设'!$B$3,H5657,I5657,J5657)</x:f>
        <x:v>0.05399999999999998</x:v>
      </x:c>
      <x:c r="L5657" s="11" t="n">
        <x:f>K5657*'管线假设'!E1211*'管线假设'!F1211*'管线假设'!G1211*IF(E5657="USD",'管线假设'!I1211,1)-AM5657</x:f>
        <x:v>0.006196499999999999</x:v>
      </x:c>
      <x:c r="M5657" s="11" t="n">
        <x:f>'管线假设'!H1211</x:f>
        <x:v>0.14</x:v>
      </x:c>
      <x:c r="N5657" s="11" t="n">
        <x:f>IF(G5657,L5657*AN5657/(1+M5657)^F5657,0)</x:f>
        <x:v>0.0007391586818496558</x:v>
      </x:c>
      <x:c r="AJ5657" t="n">
        <x:v>0</x:v>
      </x:c>
      <x:c r="AK5657" t="n">
        <x:v>0</x:v>
      </x:c>
      <x:c r="AL5657" t="n">
        <x:v>0</x:v>
      </x:c>
      <x:c r="AM5657" t="n">
        <x:f>CHOOSE('假设'!$B$3,AJ5657,AK5657,AL5657)</x:f>
        <x:v>0</x:v>
      </x:c>
      <x:c r="AN5657" t="n">
        <x:v>1</x:v>
      </x:c>
    </x:row>
    <x:row r="5658" ht="23" customHeight="1">
      <x:c r="A5658" s="11" t="str">
        <x:v>688062.SH</x:v>
      </x:c>
      <x:c r="B5658" s="11" t="str">
        <x:v>一年</x:v>
      </x:c>
      <x:c r="C5658" s="11" t="str">
        <x:v>tmprss_pv_cn</x:v>
      </x:c>
      <x:c r="D5658" s="11" t="str">
        <x:v>2044-12-31</x:v>
      </x:c>
      <x:c r="E5658" s="11" t="str">
        <x:v>CNY</x:v>
      </x:c>
      <x:c r="F5658" s="11" t="n">
        <x:v>17.229295003422312</x:v>
      </x:c>
      <x:c r="G5658" s="26" t="b">
        <x:v>1</x:v>
      </x:c>
      <x:c r="H5658" s="16" t="n">
        <x:v>0.06599999999999999</x:v>
      </x:c>
      <x:c r="I5658" s="16" t="n">
        <x:v>0</x:v>
      </x:c>
      <x:c r="J5658" s="16" t="n">
        <x:v>0</x:v>
      </x:c>
      <x:c r="K5658" s="11" t="n">
        <x:f>CHOOSE('假设'!$B$3,H5658,I5658,J5658)</x:f>
        <x:v>0</x:v>
      </x:c>
      <x:c r="L5658" s="11" t="n">
        <x:f>K5658*'管线假设'!E1211*'管线假设'!F1211*'管线假设'!G1211*IF(E5658="USD",'管线假设'!I1211,1)-AM5658</x:f>
        <x:v>0</x:v>
      </x:c>
      <x:c r="M5658" s="11" t="n">
        <x:f>'管线假设'!H1211</x:f>
        <x:v>0.14</x:v>
      </x:c>
      <x:c r="N5658" s="11" t="n">
        <x:f>IF(G5658,L5658*AN5658/(1+M5658)^F5658,0)</x:f>
        <x:v>0</x:v>
      </x:c>
      <x:c r="AJ5658" t="n">
        <x:v>0</x:v>
      </x:c>
      <x:c r="AK5658" t="n">
        <x:v>0</x:v>
      </x:c>
      <x:c r="AL5658" t="n">
        <x:v>0</x:v>
      </x:c>
      <x:c r="AM5658" t="n">
        <x:f>CHOOSE('假设'!$B$3,AJ5658,AK5658,AL5658)</x:f>
        <x:v>0</x:v>
      </x:c>
      <x:c r="AN5658" t="n">
        <x:v>1</x:v>
      </x:c>
    </x:row>
    <x:row r="5659" ht="23" customHeight="1">
      <x:c r="A5659" s="11" t="str">
        <x:v>688062.SH</x:v>
      </x:c>
      <x:c r="B5659" s="11" t="str">
        <x:v>一年</x:v>
      </x:c>
      <x:c r="C5659" s="11" t="str">
        <x:v>tmprss_pv_cn</x:v>
      </x:c>
      <x:c r="D5659" s="11" t="str">
        <x:v>2045-12-31</x:v>
      </x:c>
      <x:c r="E5659" s="11" t="str">
        <x:v>CNY</x:v>
      </x:c>
      <x:c r="F5659" s="11" t="n">
        <x:v>18.22861054072553</x:v>
      </x:c>
      <x:c r="G5659" s="26" t="b">
        <x:v>1</x:v>
      </x:c>
      <x:c r="H5659" s="16" t="n">
        <x:v>0.02699999999999999</x:v>
      </x:c>
      <x:c r="I5659" s="16" t="n">
        <x:v>0</x:v>
      </x:c>
      <x:c r="J5659" s="16" t="n">
        <x:v>0</x:v>
      </x:c>
      <x:c r="K5659" s="11" t="n">
        <x:f>CHOOSE('假设'!$B$3,H5659,I5659,J5659)</x:f>
        <x:v>0</x:v>
      </x:c>
      <x:c r="L5659" s="11" t="n">
        <x:f>K5659*'管线假设'!E1211*'管线假设'!F1211*'管线假设'!G1211*IF(E5659="USD",'管线假设'!I1211,1)-AM5659</x:f>
        <x:v>0</x:v>
      </x:c>
      <x:c r="M5659" s="11" t="n">
        <x:f>'管线假设'!H1211</x:f>
        <x:v>0.14</x:v>
      </x:c>
      <x:c r="N5659" s="11" t="n">
        <x:f>IF(G5659,L5659*AN5659/(1+M5659)^F5659,0)</x:f>
        <x:v>0</x:v>
      </x:c>
      <x:c r="AJ5659" t="n">
        <x:v>0</x:v>
      </x:c>
      <x:c r="AK5659" t="n">
        <x:v>0</x:v>
      </x:c>
      <x:c r="AL5659" t="n">
        <x:v>0</x:v>
      </x:c>
      <x:c r="AM5659" t="n">
        <x:f>CHOOSE('假设'!$B$3,AJ5659,AK5659,AL5659)</x:f>
        <x:v>0</x:v>
      </x:c>
      <x:c r="AN5659" t="n">
        <x:v>1</x:v>
      </x:c>
    </x:row>
    <x:row r="5660" ht="23" customHeight="1">
      <x:c r="A5660" s="11" t="str">
        <x:v>688062.SH</x:v>
      </x:c>
      <x:c r="B5660" s="11" t="str">
        <x:v>一年</x:v>
      </x:c>
      <x:c r="C5660" s="11" t="str">
        <x:v>tmprss_scd</x:v>
      </x:c>
      <x:c r="D5660" s="11" t="str">
        <x:v>2027-12-31</x:v>
      </x:c>
      <x:c r="E5660" s="11" t="str">
        <x:v>USD</x:v>
      </x:c>
      <x:c r="F5660" s="11" t="n">
        <x:v>0.2272416153319644</x:v>
      </x:c>
      <x:c r="G5660" s="26" t="b">
        <x:v>1</x:v>
      </x:c>
      <x:c r="H5660" s="16" t="n">
        <x:v>0</x:v>
      </x:c>
      <x:c r="I5660" s="16" t="n">
        <x:v>0</x:v>
      </x:c>
      <x:c r="J5660" s="16" t="n">
        <x:v>0</x:v>
      </x:c>
      <x:c r="K5660" s="11" t="n">
        <x:f>CHOOSE('假设'!$B$3,H5660,I5660,J5660)</x:f>
        <x:v>0</x:v>
      </x:c>
      <x:c r="L5660" s="11" t="n">
        <x:f>K5660*'管线假设'!E1215*'管线假设'!F1215*'管线假设'!G1215*IF(E5660="USD",'管线假设'!I1215,1)-AM5660</x:f>
        <x:v>0</x:v>
      </x:c>
      <x:c r="M5660" s="11" t="n">
        <x:f>'管线假设'!H1215</x:f>
        <x:v>0.14</x:v>
      </x:c>
      <x:c r="N5660" s="11" t="n">
        <x:f>IF(G5660,L5660*AN5660/(1+M5660)^F5660,0)</x:f>
        <x:v>0</x:v>
      </x:c>
      <x:c r="AJ5660" t="n">
        <x:v>0</x:v>
      </x:c>
      <x:c r="AK5660" t="n">
        <x:v>0</x:v>
      </x:c>
      <x:c r="AL5660" t="n">
        <x:v>0</x:v>
      </x:c>
      <x:c r="AM5660" t="n">
        <x:f>CHOOSE('假设'!$B$3,AJ5660,AK5660,AL5660)</x:f>
        <x:v>0</x:v>
      </x:c>
      <x:c r="AN5660" t="n">
        <x:v>1</x:v>
      </x:c>
    </x:row>
    <x:row r="5661" ht="23" customHeight="1">
      <x:c r="A5661" s="11" t="str">
        <x:v>688062.SH</x:v>
      </x:c>
      <x:c r="B5661" s="11" t="str">
        <x:v>一年</x:v>
      </x:c>
      <x:c r="C5661" s="11" t="str">
        <x:v>tmprss_scd</x:v>
      </x:c>
      <x:c r="D5661" s="11" t="str">
        <x:v>2028-12-31</x:v>
      </x:c>
      <x:c r="E5661" s="11" t="str">
        <x:v>USD</x:v>
      </x:c>
      <x:c r="F5661" s="11" t="n">
        <x:v>1.2292950034223136</x:v>
      </x:c>
      <x:c r="G5661" s="26" t="b">
        <x:v>1</x:v>
      </x:c>
      <x:c r="H5661" s="16" t="n">
        <x:v>0</x:v>
      </x:c>
      <x:c r="I5661" s="16" t="n">
        <x:v>0</x:v>
      </x:c>
      <x:c r="J5661" s="16" t="n">
        <x:v>0</x:v>
      </x:c>
      <x:c r="K5661" s="11" t="n">
        <x:f>CHOOSE('假设'!$B$3,H5661,I5661,J5661)</x:f>
        <x:v>0</x:v>
      </x:c>
      <x:c r="L5661" s="11" t="n">
        <x:f>K5661*'管线假设'!E1215*'管线假设'!F1215*'管线假设'!G1215*IF(E5661="USD",'管线假设'!I1215,1)-AM5661</x:f>
        <x:v>0</x:v>
      </x:c>
      <x:c r="M5661" s="11" t="n">
        <x:f>'管线假设'!H1215</x:f>
        <x:v>0.14</x:v>
      </x:c>
      <x:c r="N5661" s="11" t="n">
        <x:f>IF(G5661,L5661*AN5661/(1+M5661)^F5661,0)</x:f>
        <x:v>0</x:v>
      </x:c>
      <x:c r="AJ5661" t="n">
        <x:v>0</x:v>
      </x:c>
      <x:c r="AK5661" t="n">
        <x:v>0</x:v>
      </x:c>
      <x:c r="AL5661" t="n">
        <x:v>0</x:v>
      </x:c>
      <x:c r="AM5661" t="n">
        <x:f>CHOOSE('假设'!$B$3,AJ5661,AK5661,AL5661)</x:f>
        <x:v>0</x:v>
      </x:c>
      <x:c r="AN5661" t="n">
        <x:v>1</x:v>
      </x:c>
    </x:row>
    <x:row r="5662" ht="23" customHeight="1">
      <x:c r="A5662" s="11" t="str">
        <x:v>688062.SH</x:v>
      </x:c>
      <x:c r="B5662" s="11" t="str">
        <x:v>一年</x:v>
      </x:c>
      <x:c r="C5662" s="11" t="str">
        <x:v>tmprss_scd</x:v>
      </x:c>
      <x:c r="D5662" s="11" t="str">
        <x:v>2029-12-31</x:v>
      </x:c>
      <x:c r="E5662" s="11" t="str">
        <x:v>USD</x:v>
      </x:c>
      <x:c r="F5662" s="11" t="n">
        <x:v>2.2286105407255303</x:v>
      </x:c>
      <x:c r="G5662" s="26" t="b">
        <x:v>1</x:v>
      </x:c>
      <x:c r="H5662" s="16" t="n">
        <x:v>0</x:v>
      </x:c>
      <x:c r="I5662" s="16" t="n">
        <x:v>0</x:v>
      </x:c>
      <x:c r="J5662" s="16" t="n">
        <x:v>0</x:v>
      </x:c>
      <x:c r="K5662" s="11" t="n">
        <x:f>CHOOSE('假设'!$B$3,H5662,I5662,J5662)</x:f>
        <x:v>0</x:v>
      </x:c>
      <x:c r="L5662" s="11" t="n">
        <x:f>K5662*'管线假设'!E1215*'管线假设'!F1215*'管线假设'!G1215*IF(E5662="USD",'管线假设'!I1215,1)-AM5662</x:f>
        <x:v>0</x:v>
      </x:c>
      <x:c r="M5662" s="11" t="n">
        <x:f>'管线假设'!H1215</x:f>
        <x:v>0.14</x:v>
      </x:c>
      <x:c r="N5662" s="11" t="n">
        <x:f>IF(G5662,L5662*AN5662/(1+M5662)^F5662,0)</x:f>
        <x:v>0</x:v>
      </x:c>
      <x:c r="AJ5662" t="n">
        <x:v>0</x:v>
      </x:c>
      <x:c r="AK5662" t="n">
        <x:v>0</x:v>
      </x:c>
      <x:c r="AL5662" t="n">
        <x:v>0</x:v>
      </x:c>
      <x:c r="AM5662" t="n">
        <x:f>CHOOSE('假设'!$B$3,AJ5662,AK5662,AL5662)</x:f>
        <x:v>0</x:v>
      </x:c>
      <x:c r="AN5662" t="n">
        <x:v>1</x:v>
      </x:c>
    </x:row>
    <x:row r="5663" ht="23" customHeight="1">
      <x:c r="A5663" s="11" t="str">
        <x:v>688062.SH</x:v>
      </x:c>
      <x:c r="B5663" s="11" t="str">
        <x:v>一年</x:v>
      </x:c>
      <x:c r="C5663" s="11" t="str">
        <x:v>tmprss_scd</x:v>
      </x:c>
      <x:c r="D5663" s="11" t="str">
        <x:v>2030-12-31</x:v>
      </x:c>
      <x:c r="E5663" s="11" t="str">
        <x:v>USD</x:v>
      </x:c>
      <x:c r="F5663" s="11" t="n">
        <x:v>3.2279260780287475</x:v>
      </x:c>
      <x:c r="G5663" s="26" t="b">
        <x:v>1</x:v>
      </x:c>
      <x:c r="H5663" s="16" t="n">
        <x:v>0</x:v>
      </x:c>
      <x:c r="I5663" s="16" t="n">
        <x:v>0</x:v>
      </x:c>
      <x:c r="J5663" s="16" t="n">
        <x:v>0</x:v>
      </x:c>
      <x:c r="K5663" s="11" t="n">
        <x:f>CHOOSE('假设'!$B$3,H5663,I5663,J5663)</x:f>
        <x:v>0</x:v>
      </x:c>
      <x:c r="L5663" s="11" t="n">
        <x:f>K5663*'管线假设'!E1215*'管线假设'!F1215*'管线假设'!G1215*IF(E5663="USD",'管线假设'!I1215,1)-AM5663</x:f>
        <x:v>0</x:v>
      </x:c>
      <x:c r="M5663" s="11" t="n">
        <x:f>'管线假设'!H1215</x:f>
        <x:v>0.14</x:v>
      </x:c>
      <x:c r="N5663" s="11" t="n">
        <x:f>IF(G5663,L5663*AN5663/(1+M5663)^F5663,0)</x:f>
        <x:v>0</x:v>
      </x:c>
      <x:c r="AJ5663" t="n">
        <x:v>0</x:v>
      </x:c>
      <x:c r="AK5663" t="n">
        <x:v>0</x:v>
      </x:c>
      <x:c r="AL5663" t="n">
        <x:v>0</x:v>
      </x:c>
      <x:c r="AM5663" t="n">
        <x:f>CHOOSE('假设'!$B$3,AJ5663,AK5663,AL5663)</x:f>
        <x:v>0</x:v>
      </x:c>
      <x:c r="AN5663" t="n">
        <x:v>1</x:v>
      </x:c>
    </x:row>
    <x:row r="5664" ht="23" customHeight="1">
      <x:c r="A5664" s="11" t="str">
        <x:v>688062.SH</x:v>
      </x:c>
      <x:c r="B5664" s="11" t="str">
        <x:v>一年</x:v>
      </x:c>
      <x:c r="C5664" s="11" t="str">
        <x:v>tmprss_scd</x:v>
      </x:c>
      <x:c r="D5664" s="11" t="str">
        <x:v>2031-12-31</x:v>
      </x:c>
      <x:c r="E5664" s="11" t="str">
        <x:v>USD</x:v>
      </x:c>
      <x:c r="F5664" s="11" t="n">
        <x:v>4.227241615331964</x:v>
      </x:c>
      <x:c r="G5664" s="26" t="b">
        <x:v>1</x:v>
      </x:c>
      <x:c r="H5664" s="16" t="n">
        <x:v>0</x:v>
      </x:c>
      <x:c r="I5664" s="16" t="n">
        <x:v>0</x:v>
      </x:c>
      <x:c r="J5664" s="16" t="n">
        <x:v>0.3333333333333333</x:v>
      </x:c>
      <x:c r="K5664" s="11" t="n">
        <x:f>CHOOSE('假设'!$B$3,H5664,I5664,J5664)</x:f>
        <x:v>0</x:v>
      </x:c>
      <x:c r="L5664" s="11" t="n">
        <x:f>K5664*'管线假设'!E1215*'管线假设'!F1215*'管线假设'!G1215*IF(E5664="USD",'管线假设'!I1215,1)-AM5664</x:f>
        <x:v>0</x:v>
      </x:c>
      <x:c r="M5664" s="11" t="n">
        <x:f>'管线假设'!H1215</x:f>
        <x:v>0.14</x:v>
      </x:c>
      <x:c r="N5664" s="11" t="n">
        <x:f>IF(G5664,L5664*AN5664/(1+M5664)^F5664,0)</x:f>
        <x:v>0</x:v>
      </x:c>
      <x:c r="AJ5664" t="n">
        <x:v>0</x:v>
      </x:c>
      <x:c r="AK5664" t="n">
        <x:v>0</x:v>
      </x:c>
      <x:c r="AL5664" t="n">
        <x:v>0</x:v>
      </x:c>
      <x:c r="AM5664" t="n">
        <x:f>CHOOSE('假设'!$B$3,AJ5664,AK5664,AL5664)</x:f>
        <x:v>0</x:v>
      </x:c>
      <x:c r="AN5664" t="n">
        <x:v>1</x:v>
      </x:c>
    </x:row>
    <x:row r="5665" ht="23" customHeight="1">
      <x:c r="A5665" s="11" t="str">
        <x:v>688062.SH</x:v>
      </x:c>
      <x:c r="B5665" s="11" t="str">
        <x:v>一年</x:v>
      </x:c>
      <x:c r="C5665" s="11" t="str">
        <x:v>tmprss_scd</x:v>
      </x:c>
      <x:c r="D5665" s="11" t="str">
        <x:v>2032-12-31</x:v>
      </x:c>
      <x:c r="E5665" s="11" t="str">
        <x:v>USD</x:v>
      </x:c>
      <x:c r="F5665" s="11" t="n">
        <x:v>5.229295003422314</x:v>
      </x:c>
      <x:c r="G5665" s="26" t="b">
        <x:v>1</x:v>
      </x:c>
      <x:c r="H5665" s="16" t="n">
        <x:v>0</x:v>
      </x:c>
      <x:c r="I5665" s="16" t="n">
        <x:v>0</x:v>
      </x:c>
      <x:c r="J5665" s="16" t="n">
        <x:v>0.6666666666666666</x:v>
      </x:c>
      <x:c r="K5665" s="11" t="n">
        <x:f>CHOOSE('假设'!$B$3,H5665,I5665,J5665)</x:f>
        <x:v>0</x:v>
      </x:c>
      <x:c r="L5665" s="11" t="n">
        <x:f>K5665*'管线假设'!E1215*'管线假设'!F1215*'管线假设'!G1215*IF(E5665="USD",'管线假设'!I1215,1)-AM5665</x:f>
        <x:v>0</x:v>
      </x:c>
      <x:c r="M5665" s="11" t="n">
        <x:f>'管线假设'!H1215</x:f>
        <x:v>0.14</x:v>
      </x:c>
      <x:c r="N5665" s="11" t="n">
        <x:f>IF(G5665,L5665*AN5665/(1+M5665)^F5665,0)</x:f>
        <x:v>0</x:v>
      </x:c>
      <x:c r="AJ5665" t="n">
        <x:v>0</x:v>
      </x:c>
      <x:c r="AK5665" t="n">
        <x:v>0</x:v>
      </x:c>
      <x:c r="AL5665" t="n">
        <x:v>0</x:v>
      </x:c>
      <x:c r="AM5665" t="n">
        <x:f>CHOOSE('假设'!$B$3,AJ5665,AK5665,AL5665)</x:f>
        <x:v>0</x:v>
      </x:c>
      <x:c r="AN5665" t="n">
        <x:v>1</x:v>
      </x:c>
    </x:row>
    <x:row r="5666" ht="23" customHeight="1">
      <x:c r="A5666" s="11" t="str">
        <x:v>688062.SH</x:v>
      </x:c>
      <x:c r="B5666" s="11" t="str">
        <x:v>一年</x:v>
      </x:c>
      <x:c r="C5666" s="11" t="str">
        <x:v>tmprss_scd</x:v>
      </x:c>
      <x:c r="D5666" s="11" t="str">
        <x:v>2033-12-31</x:v>
      </x:c>
      <x:c r="E5666" s="11" t="str">
        <x:v>USD</x:v>
      </x:c>
      <x:c r="F5666" s="11" t="n">
        <x:v>6.228610540725531</x:v>
      </x:c>
      <x:c r="G5666" s="26" t="b">
        <x:v>1</x:v>
      </x:c>
      <x:c r="H5666" s="16" t="n">
        <x:v>0</x:v>
      </x:c>
      <x:c r="I5666" s="16" t="n">
        <x:v>0.16666666666666666</x:v>
      </x:c>
      <x:c r="J5666" s="16" t="n">
        <x:v>1</x:v>
      </x:c>
      <x:c r="K5666" s="11" t="n">
        <x:f>CHOOSE('假设'!$B$3,H5666,I5666,J5666)</x:f>
        <x:v>0.16666666666666666</x:v>
      </x:c>
      <x:c r="L5666" s="11" t="n">
        <x:f>K5666*'管线假设'!E1215*'管线假设'!F1215*'管线假设'!G1215*IF(E5666="USD",'管线假设'!I1215,1)-AM5666</x:f>
        <x:v>0.014835333333333334</x:v>
      </x:c>
      <x:c r="M5666" s="11" t="n">
        <x:f>'管线假设'!H1215</x:f>
        <x:v>0.14</x:v>
      </x:c>
      <x:c r="N5666" s="11" t="n">
        <x:f>IF(G5666,L5666*AN5666/(1+M5666)^F5666,0)</x:f>
        <x:v>0.00655932503409532</x:v>
      </x:c>
      <x:c r="AJ5666" t="n">
        <x:v>0</x:v>
      </x:c>
      <x:c r="AK5666" t="n">
        <x:v>0</x:v>
      </x:c>
      <x:c r="AL5666" t="n">
        <x:v>0</x:v>
      </x:c>
      <x:c r="AM5666" t="n">
        <x:f>CHOOSE('假设'!$B$3,AJ5666,AK5666,AL5666)</x:f>
        <x:v>0</x:v>
      </x:c>
      <x:c r="AN5666" t="n">
        <x:v>1</x:v>
      </x:c>
    </x:row>
    <x:row r="5667" ht="23" customHeight="1">
      <x:c r="A5667" s="11" t="str">
        <x:v>688062.SH</x:v>
      </x:c>
      <x:c r="B5667" s="11" t="str">
        <x:v>一年</x:v>
      </x:c>
      <x:c r="C5667" s="11" t="str">
        <x:v>tmprss_scd</x:v>
      </x:c>
      <x:c r="D5667" s="11" t="str">
        <x:v>2034-12-31</x:v>
      </x:c>
      <x:c r="E5667" s="11" t="str">
        <x:v>USD</x:v>
      </x:c>
      <x:c r="F5667" s="11" t="n">
        <x:v>7.227926078028747</x:v>
      </x:c>
      <x:c r="G5667" s="26" t="b">
        <x:v>1</x:v>
      </x:c>
      <x:c r="H5667" s="16" t="n">
        <x:v>0</x:v>
      </x:c>
      <x:c r="I5667" s="16" t="n">
        <x:v>0.3333333333333333</x:v>
      </x:c>
      <x:c r="J5667" s="16" t="n">
        <x:v>1.3333333333333333</x:v>
      </x:c>
      <x:c r="K5667" s="11" t="n">
        <x:f>CHOOSE('假设'!$B$3,H5667,I5667,J5667)</x:f>
        <x:v>0.3333333333333333</x:v>
      </x:c>
      <x:c r="L5667" s="11" t="n">
        <x:f>K5667*'管线假设'!E1215*'管线假设'!F1215*'管线假设'!G1215*IF(E5667="USD",'管线假设'!I1215,1)-AM5667</x:f>
        <x:v>0.029670666666666668</x:v>
      </x:c>
      <x:c r="M5667" s="11" t="n">
        <x:f>'管线假设'!H1215</x:f>
        <x:v>0.14</x:v>
      </x:c>
      <x:c r="N5667" s="11" t="n">
        <x:f>IF(G5667,L5667*AN5667/(1+M5667)^F5667,0)</x:f>
        <x:v>0.011508619871412202</x:v>
      </x:c>
      <x:c r="AJ5667" t="n">
        <x:v>0</x:v>
      </x:c>
      <x:c r="AK5667" t="n">
        <x:v>0</x:v>
      </x:c>
      <x:c r="AL5667" t="n">
        <x:v>0</x:v>
      </x:c>
      <x:c r="AM5667" t="n">
        <x:f>CHOOSE('假设'!$B$3,AJ5667,AK5667,AL5667)</x:f>
        <x:v>0</x:v>
      </x:c>
      <x:c r="AN5667" t="n">
        <x:v>1</x:v>
      </x:c>
    </x:row>
    <x:row r="5668" ht="23" customHeight="1">
      <x:c r="A5668" s="11" t="str">
        <x:v>688062.SH</x:v>
      </x:c>
      <x:c r="B5668" s="11" t="str">
        <x:v>一年</x:v>
      </x:c>
      <x:c r="C5668" s="11" t="str">
        <x:v>tmprss_scd</x:v>
      </x:c>
      <x:c r="D5668" s="11" t="str">
        <x:v>2035-12-31</x:v>
      </x:c>
      <x:c r="E5668" s="11" t="str">
        <x:v>USD</x:v>
      </x:c>
      <x:c r="F5668" s="11" t="n">
        <x:v>8.227241615331964</x:v>
      </x:c>
      <x:c r="G5668" s="26" t="b">
        <x:v>1</x:v>
      </x:c>
      <x:c r="H5668" s="16" t="n">
        <x:v>0</x:v>
      </x:c>
      <x:c r="I5668" s="16" t="n">
        <x:v>0.5</x:v>
      </x:c>
      <x:c r="J5668" s="16" t="n">
        <x:v>1.6666666666666667</x:v>
      </x:c>
      <x:c r="K5668" s="11" t="n">
        <x:f>CHOOSE('假设'!$B$3,H5668,I5668,J5668)</x:f>
        <x:v>0.5</x:v>
      </x:c>
      <x:c r="L5668" s="11" t="n">
        <x:f>K5668*'管线假设'!E1215*'管线假设'!F1215*'管线假设'!G1215*IF(E5668="USD",'管线假设'!I1215,1)-AM5668</x:f>
        <x:v>0.044506000000000004</x:v>
      </x:c>
      <x:c r="M5668" s="11" t="n">
        <x:f>'管线假设'!H1215</x:f>
        <x:v>0.14</x:v>
      </x:c>
      <x:c r="N5668" s="11" t="n">
        <x:f>IF(G5668,L5668*AN5668/(1+M5668)^F5668,0)</x:f>
        <x:v>0.0151442790214159</x:v>
      </x:c>
      <x:c r="AJ5668" t="n">
        <x:v>0</x:v>
      </x:c>
      <x:c r="AK5668" t="n">
        <x:v>0</x:v>
      </x:c>
      <x:c r="AL5668" t="n">
        <x:v>0</x:v>
      </x:c>
      <x:c r="AM5668" t="n">
        <x:f>CHOOSE('假设'!$B$3,AJ5668,AK5668,AL5668)</x:f>
        <x:v>0</x:v>
      </x:c>
      <x:c r="AN5668" t="n">
        <x:v>1</x:v>
      </x:c>
    </x:row>
    <x:row r="5669" ht="23" customHeight="1">
      <x:c r="A5669" s="11" t="str">
        <x:v>688062.SH</x:v>
      </x:c>
      <x:c r="B5669" s="11" t="str">
        <x:v>一年</x:v>
      </x:c>
      <x:c r="C5669" s="11" t="str">
        <x:v>tmprss_scd</x:v>
      </x:c>
      <x:c r="D5669" s="11" t="str">
        <x:v>2036-12-31</x:v>
      </x:c>
      <x:c r="E5669" s="11" t="str">
        <x:v>USD</x:v>
      </x:c>
      <x:c r="F5669" s="11" t="n">
        <x:v>9.229295003422314</x:v>
      </x:c>
      <x:c r="G5669" s="26" t="b">
        <x:v>1</x:v>
      </x:c>
      <x:c r="H5669" s="16" t="n">
        <x:v>0.08000000000000002</x:v>
      </x:c>
      <x:c r="I5669" s="16" t="n">
        <x:v>0.6666666666666666</x:v>
      </x:c>
      <x:c r="J5669" s="16" t="n">
        <x:v>2</x:v>
      </x:c>
      <x:c r="K5669" s="11" t="n">
        <x:f>CHOOSE('假设'!$B$3,H5669,I5669,J5669)</x:f>
        <x:v>0.6666666666666666</x:v>
      </x:c>
      <x:c r="L5669" s="11" t="n">
        <x:f>K5669*'管线假设'!E1215*'管线假设'!F1215*'管线假设'!G1215*IF(E5669="USD",'管线假设'!I1215,1)-AM5669</x:f>
        <x:v>0.059341333333333336</x:v>
      </x:c>
      <x:c r="M5669" s="11" t="n">
        <x:f>'管线假设'!H1215</x:f>
        <x:v>0.14</x:v>
      </x:c>
      <x:c r="N5669" s="11" t="n">
        <x:f>IF(G5669,L5669*AN5669/(1+M5669)^F5669,0)</x:f>
        <x:v>0.017707842073522554</x:v>
      </x:c>
      <x:c r="AJ5669" t="n">
        <x:v>0</x:v>
      </x:c>
      <x:c r="AK5669" t="n">
        <x:v>0</x:v>
      </x:c>
      <x:c r="AL5669" t="n">
        <x:v>0</x:v>
      </x:c>
      <x:c r="AM5669" t="n">
        <x:f>CHOOSE('假设'!$B$3,AJ5669,AK5669,AL5669)</x:f>
        <x:v>0</x:v>
      </x:c>
      <x:c r="AN5669" t="n">
        <x:v>1</x:v>
      </x:c>
    </x:row>
    <x:row r="5670" ht="23" customHeight="1">
      <x:c r="A5670" s="11" t="str">
        <x:v>688062.SH</x:v>
      </x:c>
      <x:c r="B5670" s="11" t="str">
        <x:v>一年</x:v>
      </x:c>
      <x:c r="C5670" s="11" t="str">
        <x:v>tmprss_scd</x:v>
      </x:c>
      <x:c r="D5670" s="11" t="str">
        <x:v>2037-12-31</x:v>
      </x:c>
      <x:c r="E5670" s="11" t="str">
        <x:v>USD</x:v>
      </x:c>
      <x:c r="F5670" s="11" t="n">
        <x:v>10.22861054072553</x:v>
      </x:c>
      <x:c r="G5670" s="26" t="b">
        <x:v>1</x:v>
      </x:c>
      <x:c r="H5670" s="16" t="n">
        <x:v>0.16000000000000003</x:v>
      </x:c>
      <x:c r="I5670" s="16" t="n">
        <x:v>0.8333333333333334</x:v>
      </x:c>
      <x:c r="J5670" s="16" t="n">
        <x:v>1.74</x:v>
      </x:c>
      <x:c r="K5670" s="11" t="n">
        <x:f>CHOOSE('假设'!$B$3,H5670,I5670,J5670)</x:f>
        <x:v>0.8333333333333334</x:v>
      </x:c>
      <x:c r="L5670" s="11" t="n">
        <x:f>K5670*'管线假设'!E1215*'管线假设'!F1215*'管线假设'!G1215*IF(E5670="USD",'管线假设'!I1215,1)-AM5670</x:f>
        <x:v>0.07417666666666668</x:v>
      </x:c>
      <x:c r="M5670" s="11" t="n">
        <x:f>'管线假设'!H1215</x:f>
        <x:v>0.14</x:v>
      </x:c>
      <x:c r="N5670" s="11" t="n">
        <x:f>IF(G5670,L5670*AN5670/(1+M5670)^F5670,0)</x:f>
        <x:v>0.019418234927741928</x:v>
      </x:c>
      <x:c r="AJ5670" t="n">
        <x:v>0</x:v>
      </x:c>
      <x:c r="AK5670" t="n">
        <x:v>0</x:v>
      </x:c>
      <x:c r="AL5670" t="n">
        <x:v>0</x:v>
      </x:c>
      <x:c r="AM5670" t="n">
        <x:f>CHOOSE('假设'!$B$3,AJ5670,AK5670,AL5670)</x:f>
        <x:v>0</x:v>
      </x:c>
      <x:c r="AN5670" t="n">
        <x:v>1</x:v>
      </x:c>
    </x:row>
    <x:row r="5671" ht="23" customHeight="1">
      <x:c r="A5671" s="11" t="str">
        <x:v>688062.SH</x:v>
      </x:c>
      <x:c r="B5671" s="11" t="str">
        <x:v>一年</x:v>
      </x:c>
      <x:c r="C5671" s="11" t="str">
        <x:v>tmprss_scd</x:v>
      </x:c>
      <x:c r="D5671" s="11" t="str">
        <x:v>2038-12-31</x:v>
      </x:c>
      <x:c r="E5671" s="11" t="str">
        <x:v>USD</x:v>
      </x:c>
      <x:c r="F5671" s="11" t="n">
        <x:v>11.227926078028748</x:v>
      </x:c>
      <x:c r="G5671" s="26" t="b">
        <x:v>1</x:v>
      </x:c>
      <x:c r="H5671" s="16" t="n">
        <x:v>0.24</x:v>
      </x:c>
      <x:c r="I5671" s="16" t="n">
        <x:v>1</x:v>
      </x:c>
      <x:c r="J5671" s="16" t="n">
        <x:v>1.48</x:v>
      </x:c>
      <x:c r="K5671" s="11" t="n">
        <x:f>CHOOSE('假设'!$B$3,H5671,I5671,J5671)</x:f>
        <x:v>1</x:v>
      </x:c>
      <x:c r="L5671" s="11" t="n">
        <x:f>K5671*'管线假设'!E1215*'管线假设'!F1215*'管线假设'!G1215*IF(E5671="USD",'管线假设'!I1215,1)-AM5671</x:f>
        <x:v>0.08901200000000001</x:v>
      </x:c>
      <x:c r="M5671" s="11" t="n">
        <x:f>'管线假设'!H1215</x:f>
        <x:v>0.14</x:v>
      </x:c>
      <x:c r="N5671" s="11" t="n">
        <x:f>IF(G5671,L5671*AN5671/(1+M5671)^F5671,0)</x:f>
        <x:v>0.02044208053684143</x:v>
      </x:c>
      <x:c r="AJ5671" t="n">
        <x:v>0</x:v>
      </x:c>
      <x:c r="AK5671" t="n">
        <x:v>0</x:v>
      </x:c>
      <x:c r="AL5671" t="n">
        <x:v>0</x:v>
      </x:c>
      <x:c r="AM5671" t="n">
        <x:f>CHOOSE('假设'!$B$3,AJ5671,AK5671,AL5671)</x:f>
        <x:v>0</x:v>
      </x:c>
      <x:c r="AN5671" t="n">
        <x:v>1</x:v>
      </x:c>
    </x:row>
    <x:row r="5672" ht="23" customHeight="1">
      <x:c r="A5672" s="11" t="str">
        <x:v>688062.SH</x:v>
      </x:c>
      <x:c r="B5672" s="11" t="str">
        <x:v>一年</x:v>
      </x:c>
      <x:c r="C5672" s="11" t="str">
        <x:v>tmprss_scd</x:v>
      </x:c>
      <x:c r="D5672" s="11" t="str">
        <x:v>2039-12-31</x:v>
      </x:c>
      <x:c r="E5672" s="11" t="str">
        <x:v>USD</x:v>
      </x:c>
      <x:c r="F5672" s="11" t="n">
        <x:v>12.227241615331964</x:v>
      </x:c>
      <x:c r="G5672" s="26" t="b">
        <x:v>1</x:v>
      </x:c>
      <x:c r="H5672" s="16" t="n">
        <x:v>0.32000000000000006</x:v>
      </x:c>
      <x:c r="I5672" s="16" t="n">
        <x:v>0.87</x:v>
      </x:c>
      <x:c r="J5672" s="16" t="n">
        <x:v>1.22</x:v>
      </x:c>
      <x:c r="K5672" s="11" t="n">
        <x:f>CHOOSE('假设'!$B$3,H5672,I5672,J5672)</x:f>
        <x:v>0.87</x:v>
      </x:c>
      <x:c r="L5672" s="11" t="n">
        <x:f>K5672*'管线假设'!E1215*'管线假设'!F1215*'管线假设'!G1215*IF(E5672="USD",'管线假设'!I1215,1)-AM5672</x:f>
        <x:v>0.07744044000000001</x:v>
      </x:c>
      <x:c r="M5672" s="11" t="n">
        <x:f>'管线假设'!H1215</x:f>
        <x:v>0.14</x:v>
      </x:c>
      <x:c r="N5672" s="11" t="n">
        <x:f>IF(G5672,L5672*AN5672/(1+M5672)^F5672,0)</x:f>
        <x:v>0.015601934327014354</x:v>
      </x:c>
      <x:c r="AJ5672" t="n">
        <x:v>0</x:v>
      </x:c>
      <x:c r="AK5672" t="n">
        <x:v>0</x:v>
      </x:c>
      <x:c r="AL5672" t="n">
        <x:v>0</x:v>
      </x:c>
      <x:c r="AM5672" t="n">
        <x:f>CHOOSE('假设'!$B$3,AJ5672,AK5672,AL5672)</x:f>
        <x:v>0</x:v>
      </x:c>
      <x:c r="AN5672" t="n">
        <x:v>1</x:v>
      </x:c>
    </x:row>
    <x:row r="5673" ht="23" customHeight="1">
      <x:c r="A5673" s="11" t="str">
        <x:v>688062.SH</x:v>
      </x:c>
      <x:c r="B5673" s="11" t="str">
        <x:v>一年</x:v>
      </x:c>
      <x:c r="C5673" s="11" t="str">
        <x:v>tmprss_scd</x:v>
      </x:c>
      <x:c r="D5673" s="11" t="str">
        <x:v>2040-12-31</x:v>
      </x:c>
      <x:c r="E5673" s="11" t="str">
        <x:v>USD</x:v>
      </x:c>
      <x:c r="F5673" s="11" t="n">
        <x:v>13.229295003422314</x:v>
      </x:c>
      <x:c r="G5673" s="26" t="b">
        <x:v>1</x:v>
      </x:c>
      <x:c r="H5673" s="16" t="n">
        <x:v>0.4</x:v>
      </x:c>
      <x:c r="I5673" s="16" t="n">
        <x:v>0.74</x:v>
      </x:c>
      <x:c r="J5673" s="16" t="n">
        <x:v>0.96</x:v>
      </x:c>
      <x:c r="K5673" s="11" t="n">
        <x:f>CHOOSE('假设'!$B$3,H5673,I5673,J5673)</x:f>
        <x:v>0.74</x:v>
      </x:c>
      <x:c r="L5673" s="11" t="n">
        <x:f>K5673*'管线假设'!E1215*'管线假设'!F1215*'管线假设'!G1215*IF(E5673="USD",'管线假设'!I1215,1)-AM5673</x:f>
        <x:v>0.06586888</x:v>
      </x:c>
      <x:c r="M5673" s="11" t="n">
        <x:f>'管线假设'!H1215</x:f>
        <x:v>0.14</x:v>
      </x:c>
      <x:c r="N5673" s="11" t="n">
        <x:f>IF(G5673,L5673*AN5673/(1+M5673)^F5673,0)</x:f>
        <x:v>0.011637755091635806</x:v>
      </x:c>
      <x:c r="AJ5673" t="n">
        <x:v>0</x:v>
      </x:c>
      <x:c r="AK5673" t="n">
        <x:v>0</x:v>
      </x:c>
      <x:c r="AL5673" t="n">
        <x:v>0</x:v>
      </x:c>
      <x:c r="AM5673" t="n">
        <x:f>CHOOSE('假设'!$B$3,AJ5673,AK5673,AL5673)</x:f>
        <x:v>0</x:v>
      </x:c>
      <x:c r="AN5673" t="n">
        <x:v>1</x:v>
      </x:c>
    </x:row>
    <x:row r="5674" ht="23" customHeight="1">
      <x:c r="A5674" s="11" t="str">
        <x:v>688062.SH</x:v>
      </x:c>
      <x:c r="B5674" s="11" t="str">
        <x:v>一年</x:v>
      </x:c>
      <x:c r="C5674" s="11" t="str">
        <x:v>tmprss_scd</x:v>
      </x:c>
      <x:c r="D5674" s="11" t="str">
        <x:v>2041-12-31</x:v>
      </x:c>
      <x:c r="E5674" s="11" t="str">
        <x:v>USD</x:v>
      </x:c>
      <x:c r="F5674" s="11" t="n">
        <x:v>14.22861054072553</x:v>
      </x:c>
      <x:c r="G5674" s="26" t="b">
        <x:v>1</x:v>
      </x:c>
      <x:c r="H5674" s="16" t="n">
        <x:v>0.34800000000000003</x:v>
      </x:c>
      <x:c r="I5674" s="16" t="n">
        <x:v>0.61</x:v>
      </x:c>
      <x:c r="J5674" s="16" t="n">
        <x:v>0.7</x:v>
      </x:c>
      <x:c r="K5674" s="11" t="n">
        <x:f>CHOOSE('假设'!$B$3,H5674,I5674,J5674)</x:f>
        <x:v>0.61</x:v>
      </x:c>
      <x:c r="L5674" s="11" t="n">
        <x:f>K5674*'管线假设'!E1215*'管线假设'!F1215*'管线假设'!G1215*IF(E5674="USD",'管线假设'!I1215,1)-AM5674</x:f>
        <x:v>0.05429732000000001</x:v>
      </x:c>
      <x:c r="M5674" s="11" t="n">
        <x:f>'管线假设'!H1215</x:f>
        <x:v>0.14</x:v>
      </x:c>
      <x:c r="N5674" s="11" t="n">
        <x:f>IF(G5674,L5674*AN5674/(1+M5674)^F5674,0)</x:f>
        <x:v>0.00841591667094568</x:v>
      </x:c>
      <x:c r="AJ5674" t="n">
        <x:v>0</x:v>
      </x:c>
      <x:c r="AK5674" t="n">
        <x:v>0</x:v>
      </x:c>
      <x:c r="AL5674" t="n">
        <x:v>0</x:v>
      </x:c>
      <x:c r="AM5674" t="n">
        <x:f>CHOOSE('假设'!$B$3,AJ5674,AK5674,AL5674)</x:f>
        <x:v>0</x:v>
      </x:c>
      <x:c r="AN5674" t="n">
        <x:v>1</x:v>
      </x:c>
    </x:row>
    <x:row r="5675" ht="23" customHeight="1">
      <x:c r="A5675" s="11" t="str">
        <x:v>688062.SH</x:v>
      </x:c>
      <x:c r="B5675" s="11" t="str">
        <x:v>一年</x:v>
      </x:c>
      <x:c r="C5675" s="11" t="str">
        <x:v>tmprss_scd</x:v>
      </x:c>
      <x:c r="D5675" s="11" t="str">
        <x:v>2042-12-31</x:v>
      </x:c>
      <x:c r="E5675" s="11" t="str">
        <x:v>USD</x:v>
      </x:c>
      <x:c r="F5675" s="11" t="n">
        <x:v>15.227926078028748</x:v>
      </x:c>
      <x:c r="G5675" s="26" t="b">
        <x:v>1</x:v>
      </x:c>
      <x:c r="H5675" s="16" t="n">
        <x:v>0.296</x:v>
      </x:c>
      <x:c r="I5675" s="16" t="n">
        <x:v>0.48</x:v>
      </x:c>
      <x:c r="J5675" s="16" t="n">
        <x:v>0.43999999999999995</x:v>
      </x:c>
      <x:c r="K5675" s="11" t="n">
        <x:f>CHOOSE('假设'!$B$3,H5675,I5675,J5675)</x:f>
        <x:v>0.48</x:v>
      </x:c>
      <x:c r="L5675" s="11" t="n">
        <x:f>K5675*'管线假设'!E1215*'管线假设'!F1215*'管线假设'!G1215*IF(E5675="USD",'管线假设'!I1215,1)-AM5675</x:f>
        <x:v>0.04272576</x:v>
      </x:c>
      <x:c r="M5675" s="11" t="n">
        <x:f>'管线假设'!H1215</x:f>
        <x:v>0.14</x:v>
      </x:c>
      <x:c r="N5675" s="11" t="n">
        <x:f>IF(G5675,L5675*AN5675/(1+M5675)^F5675,0)</x:f>
        <x:v>0.005809609302852877</x:v>
      </x:c>
      <x:c r="AJ5675" t="n">
        <x:v>0</x:v>
      </x:c>
      <x:c r="AK5675" t="n">
        <x:v>0</x:v>
      </x:c>
      <x:c r="AL5675" t="n">
        <x:v>0</x:v>
      </x:c>
      <x:c r="AM5675" t="n">
        <x:f>CHOOSE('假设'!$B$3,AJ5675,AK5675,AL5675)</x:f>
        <x:v>0</x:v>
      </x:c>
      <x:c r="AN5675" t="n">
        <x:v>1</x:v>
      </x:c>
    </x:row>
    <x:row r="5676" ht="23" customHeight="1">
      <x:c r="A5676" s="11" t="str">
        <x:v>688062.SH</x:v>
      </x:c>
      <x:c r="B5676" s="11" t="str">
        <x:v>一年</x:v>
      </x:c>
      <x:c r="C5676" s="11" t="str">
        <x:v>tmprss_scd</x:v>
      </x:c>
      <x:c r="D5676" s="11" t="str">
        <x:v>2043-12-31</x:v>
      </x:c>
      <x:c r="E5676" s="11" t="str">
        <x:v>USD</x:v>
      </x:c>
      <x:c r="F5676" s="11" t="n">
        <x:v>16.227241615331966</x:v>
      </x:c>
      <x:c r="G5676" s="26" t="b">
        <x:v>1</x:v>
      </x:c>
      <x:c r="H5676" s="16" t="n">
        <x:v>0.244</x:v>
      </x:c>
      <x:c r="I5676" s="16" t="n">
        <x:v>0.35</x:v>
      </x:c>
      <x:c r="J5676" s="16" t="n">
        <x:v>0.17999999999999994</x:v>
      </x:c>
      <x:c r="K5676" s="11" t="n">
        <x:f>CHOOSE('假设'!$B$3,H5676,I5676,J5676)</x:f>
        <x:v>0.35</x:v>
      </x:c>
      <x:c r="L5676" s="11" t="n">
        <x:f>K5676*'管线假设'!E1215*'管线假设'!F1215*'管线假设'!G1215*IF(E5676="USD",'管线假设'!I1215,1)-AM5676</x:f>
        <x:v>0.031154199999999996</x:v>
      </x:c>
      <x:c r="M5676" s="11" t="n">
        <x:f>'管线假设'!H1215</x:f>
        <x:v>0.14</x:v>
      </x:c>
      <x:c r="N5676" s="11" t="n">
        <x:f>IF(G5676,L5676*AN5676/(1+M5676)^F5676,0)</x:f>
        <x:v>0.003716274898100629</x:v>
      </x:c>
      <x:c r="AJ5676" t="n">
        <x:v>0</x:v>
      </x:c>
      <x:c r="AK5676" t="n">
        <x:v>0</x:v>
      </x:c>
      <x:c r="AL5676" t="n">
        <x:v>0</x:v>
      </x:c>
      <x:c r="AM5676" t="n">
        <x:f>CHOOSE('假设'!$B$3,AJ5676,AK5676,AL5676)</x:f>
        <x:v>0</x:v>
      </x:c>
      <x:c r="AN5676" t="n">
        <x:v>1</x:v>
      </x:c>
    </x:row>
    <x:row r="5677" ht="23" customHeight="1">
      <x:c r="A5677" s="11" t="str">
        <x:v>688062.SH</x:v>
      </x:c>
      <x:c r="B5677" s="11" t="str">
        <x:v>一年</x:v>
      </x:c>
      <x:c r="C5677" s="11" t="str">
        <x:v>tmprss_scd</x:v>
      </x:c>
      <x:c r="D5677" s="11" t="str">
        <x:v>2044-12-31</x:v>
      </x:c>
      <x:c r="E5677" s="11" t="str">
        <x:v>USD</x:v>
      </x:c>
      <x:c r="F5677" s="11" t="n">
        <x:v>17.229295003422312</x:v>
      </x:c>
      <x:c r="G5677" s="26" t="b">
        <x:v>1</x:v>
      </x:c>
      <x:c r="H5677" s="16" t="n">
        <x:v>0.192</x:v>
      </x:c>
      <x:c r="I5677" s="16" t="n">
        <x:v>0.21999999999999997</x:v>
      </x:c>
      <x:c r="J5677" s="16" t="n">
        <x:v>0</x:v>
      </x:c>
      <x:c r="K5677" s="11" t="n">
        <x:f>CHOOSE('假设'!$B$3,H5677,I5677,J5677)</x:f>
        <x:v>0.21999999999999997</x:v>
      </x:c>
      <x:c r="L5677" s="11" t="n">
        <x:f>K5677*'管线假设'!E1215*'管线假设'!F1215*'管线假设'!G1215*IF(E5677="USD",'管线假设'!I1215,1)-AM5677</x:f>
        <x:v>0.01958264</x:v>
      </x:c>
      <x:c r="M5677" s="11" t="n">
        <x:f>'管线假设'!H1215</x:f>
        <x:v>0.14</x:v>
      </x:c>
      <x:c r="N5677" s="11" t="n">
        <x:f>IF(G5677,L5677*AN5677/(1+M5677)^F5677,0)</x:f>
        <x:v>0.002048522645644397</x:v>
      </x:c>
      <x:c r="AJ5677" t="n">
        <x:v>0</x:v>
      </x:c>
      <x:c r="AK5677" t="n">
        <x:v>0</x:v>
      </x:c>
      <x:c r="AL5677" t="n">
        <x:v>0</x:v>
      </x:c>
      <x:c r="AM5677" t="n">
        <x:f>CHOOSE('假设'!$B$3,AJ5677,AK5677,AL5677)</x:f>
        <x:v>0</x:v>
      </x:c>
      <x:c r="AN5677" t="n">
        <x:v>1</x:v>
      </x:c>
    </x:row>
    <x:row r="5678" ht="23" customHeight="1">
      <x:c r="A5678" s="11" t="str">
        <x:v>688062.SH</x:v>
      </x:c>
      <x:c r="B5678" s="11" t="str">
        <x:v>一年</x:v>
      </x:c>
      <x:c r="C5678" s="11" t="str">
        <x:v>tmprss_scd</x:v>
      </x:c>
      <x:c r="D5678" s="11" t="str">
        <x:v>2045-12-31</x:v>
      </x:c>
      <x:c r="E5678" s="11" t="str">
        <x:v>USD</x:v>
      </x:c>
      <x:c r="F5678" s="11" t="n">
        <x:v>18.22861054072553</x:v>
      </x:c>
      <x:c r="G5678" s="26" t="b">
        <x:v>1</x:v>
      </x:c>
      <x:c r="H5678" s="16" t="n">
        <x:v>0.13999999999999999</x:v>
      </x:c>
      <x:c r="I5678" s="16" t="n">
        <x:v>0.08999999999999997</x:v>
      </x:c>
      <x:c r="J5678" s="16" t="n">
        <x:v>0</x:v>
      </x:c>
      <x:c r="K5678" s="11" t="n">
        <x:f>CHOOSE('假设'!$B$3,H5678,I5678,J5678)</x:f>
        <x:v>0.08999999999999997</x:v>
      </x:c>
      <x:c r="L5678" s="11" t="n">
        <x:f>K5678*'管线假设'!E1215*'管线假设'!F1215*'管线假设'!G1215*IF(E5678="USD",'管线假设'!I1215,1)-AM5678</x:f>
        <x:v>0.008011079999999997</x:v>
      </x:c>
      <x:c r="M5678" s="11" t="n">
        <x:f>'管线假设'!H1215</x:f>
        <x:v>0.14</x:v>
      </x:c>
      <x:c r="N5678" s="11" t="n">
        <x:f>IF(G5678,L5678*AN5678/(1+M5678)^F5678,0)</x:f>
        <x:v>0.0007351817129790368</x:v>
      </x:c>
      <x:c r="AJ5678" t="n">
        <x:v>0</x:v>
      </x:c>
      <x:c r="AK5678" t="n">
        <x:v>0</x:v>
      </x:c>
      <x:c r="AL5678" t="n">
        <x:v>0</x:v>
      </x:c>
      <x:c r="AM5678" t="n">
        <x:f>CHOOSE('假设'!$B$3,AJ5678,AK5678,AL5678)</x:f>
        <x:v>0</x:v>
      </x:c>
      <x:c r="AN5678" t="n">
        <x:v>1</x:v>
      </x:c>
    </x:row>
    <x:row r="5679" ht="23" customHeight="1">
      <x:c r="A5679" s="11" t="str">
        <x:v>688062.SH</x:v>
      </x:c>
      <x:c r="B5679" s="11" t="str">
        <x:v>三年</x:v>
      </x:c>
      <x:c r="C5679" s="11" t="str">
        <x:v>biosim</x:v>
      </x:c>
      <x:c r="D5679" s="11" t="str">
        <x:v>2027-12-31</x:v>
      </x:c>
      <x:c r="E5679" s="11" t="str">
        <x:v>CNY</x:v>
      </x:c>
      <x:c r="F5679" s="11" t="n">
        <x:v>-1.7741273100616017</x:v>
      </x:c>
      <x:c r="G5679" s="26" t="b">
        <x:v>0</x:v>
      </x:c>
      <x:c r="H5679" s="16" t="n">
        <x:v>0.13999999999999999</x:v>
      </x:c>
      <x:c r="I5679" s="16" t="n">
        <x:v>0.30000000000000004</x:v>
      </x:c>
      <x:c r="J5679" s="16" t="n">
        <x:v>0.575</x:v>
      </x:c>
      <x:c r="K5679" s="11" t="n">
        <x:f>CHOOSE('假设'!$B$3,H5679,I5679,J5679)</x:f>
        <x:v>0.30000000000000004</x:v>
      </x:c>
      <x:c r="L5679" s="11" t="n">
        <x:f>K5679*'管线假设'!E1219*'管线假设'!F1219*'管线假设'!G1219*IF(E5679="USD",'管线假设'!I1219,1)-AM5679</x:f>
        <x:v>0.06503940000000001</x:v>
      </x:c>
      <x:c r="M5679" s="11" t="n">
        <x:f>'管线假设'!H1219</x:f>
        <x:v>0.14</x:v>
      </x:c>
      <x:c r="N5679" s="11" t="n">
        <x:f>IF(G5679,L5679*AN5679/(1+M5679)^F5679,0)</x:f>
        <x:v>0</x:v>
      </x:c>
      <x:c r="AJ5679" t="n">
        <x:v>0</x:v>
      </x:c>
      <x:c r="AK5679" t="n">
        <x:v>0</x:v>
      </x:c>
      <x:c r="AL5679" t="n">
        <x:v>0</x:v>
      </x:c>
      <x:c r="AM5679" t="n">
        <x:f>CHOOSE('假设'!$B$3,AJ5679,AK5679,AL5679)</x:f>
        <x:v>0</x:v>
      </x:c>
      <x:c r="AN5679" t="n">
        <x:v>1</x:v>
      </x:c>
    </x:row>
    <x:row r="5680" ht="23" customHeight="1">
      <x:c r="A5680" s="11" t="str">
        <x:v>688062.SH</x:v>
      </x:c>
      <x:c r="B5680" s="11" t="str">
        <x:v>三年</x:v>
      </x:c>
      <x:c r="C5680" s="11" t="str">
        <x:v>biosim</x:v>
      </x:c>
      <x:c r="D5680" s="11" t="str">
        <x:v>2028-12-31</x:v>
      </x:c>
      <x:c r="E5680" s="11" t="str">
        <x:v>CNY</x:v>
      </x:c>
      <x:c r="F5680" s="11" t="n">
        <x:v>-0.7720739219712526</x:v>
      </x:c>
      <x:c r="G5680" s="26" t="b">
        <x:v>0</x:v>
      </x:c>
      <x:c r="H5680" s="16" t="n">
        <x:v>0.27999999999999997</x:v>
      </x:c>
      <x:c r="I5680" s="16" t="n">
        <x:v>0.6000000000000001</x:v>
      </x:c>
      <x:c r="J5680" s="16" t="n">
        <x:v>1.15</x:v>
      </x:c>
      <x:c r="K5680" s="11" t="n">
        <x:f>CHOOSE('假设'!$B$3,H5680,I5680,J5680)</x:f>
        <x:v>0.6000000000000001</x:v>
      </x:c>
      <x:c r="L5680" s="11" t="n">
        <x:f>K5680*'管线假设'!E1219*'管线假设'!F1219*'管线假设'!G1219*IF(E5680="USD",'管线假设'!I1219,1)-AM5680</x:f>
        <x:v>0.13007880000000002</x:v>
      </x:c>
      <x:c r="M5680" s="11" t="n">
        <x:f>'管线假设'!H1219</x:f>
        <x:v>0.14</x:v>
      </x:c>
      <x:c r="N5680" s="11" t="n">
        <x:f>IF(G5680,L5680*AN5680/(1+M5680)^F5680,0)</x:f>
        <x:v>0</x:v>
      </x:c>
      <x:c r="AJ5680" t="n">
        <x:v>0</x:v>
      </x:c>
      <x:c r="AK5680" t="n">
        <x:v>0</x:v>
      </x:c>
      <x:c r="AL5680" t="n">
        <x:v>0</x:v>
      </x:c>
      <x:c r="AM5680" t="n">
        <x:f>CHOOSE('假设'!$B$3,AJ5680,AK5680,AL5680)</x:f>
        <x:v>0</x:v>
      </x:c>
      <x:c r="AN5680" t="n">
        <x:v>1</x:v>
      </x:c>
    </x:row>
    <x:row r="5681" ht="23" customHeight="1">
      <x:c r="A5681" s="11" t="str">
        <x:v>688062.SH</x:v>
      </x:c>
      <x:c r="B5681" s="11" t="str">
        <x:v>三年</x:v>
      </x:c>
      <x:c r="C5681" s="11" t="str">
        <x:v>biosim</x:v>
      </x:c>
      <x:c r="D5681" s="11" t="str">
        <x:v>2029-12-31</x:v>
      </x:c>
      <x:c r="E5681" s="11" t="str">
        <x:v>CNY</x:v>
      </x:c>
      <x:c r="F5681" s="11" t="n">
        <x:v>0.2272416153319644</x:v>
      </x:c>
      <x:c r="G5681" s="26" t="b">
        <x:v>1</x:v>
      </x:c>
      <x:c r="H5681" s="16" t="n">
        <x:v>0.42</x:v>
      </x:c>
      <x:c r="I5681" s="16" t="n">
        <x:v>0.8999999999999999</x:v>
      </x:c>
      <x:c r="J5681" s="16" t="n">
        <x:v>1.7249999999999999</x:v>
      </x:c>
      <x:c r="K5681" s="11" t="n">
        <x:f>CHOOSE('假设'!$B$3,H5681,I5681,J5681)</x:f>
        <x:v>0.8999999999999999</x:v>
      </x:c>
      <x:c r="L5681" s="11" t="n">
        <x:f>K5681*'管线假设'!E1219*'管线假设'!F1219*'管线假设'!G1219*IF(E5681="USD",'管线假设'!I1219,1)-AM5681</x:f>
        <x:v>0.1951182</x:v>
      </x:c>
      <x:c r="M5681" s="11" t="n">
        <x:f>'管线假设'!H1219</x:f>
        <x:v>0.14</x:v>
      </x:c>
      <x:c r="N5681" s="11" t="n">
        <x:f>IF(G5681,L5681*AN5681/(1+M5681)^F5681,0)</x:f>
        <x:v>0.18939418058832097</x:v>
      </x:c>
      <x:c r="AJ5681" t="n">
        <x:v>0</x:v>
      </x:c>
      <x:c r="AK5681" t="n">
        <x:v>0</x:v>
      </x:c>
      <x:c r="AL5681" t="n">
        <x:v>0</x:v>
      </x:c>
      <x:c r="AM5681" t="n">
        <x:f>CHOOSE('假设'!$B$3,AJ5681,AK5681,AL5681)</x:f>
        <x:v>0</x:v>
      </x:c>
      <x:c r="AN5681" t="n">
        <x:v>1</x:v>
      </x:c>
    </x:row>
    <x:row r="5682" ht="23" customHeight="1">
      <x:c r="A5682" s="11" t="str">
        <x:v>688062.SH</x:v>
      </x:c>
      <x:c r="B5682" s="11" t="str">
        <x:v>三年</x:v>
      </x:c>
      <x:c r="C5682" s="11" t="str">
        <x:v>biosim</x:v>
      </x:c>
      <x:c r="D5682" s="11" t="str">
        <x:v>2030-12-31</x:v>
      </x:c>
      <x:c r="E5682" s="11" t="str">
        <x:v>CNY</x:v>
      </x:c>
      <x:c r="F5682" s="11" t="n">
        <x:v>1.2265571526351813</x:v>
      </x:c>
      <x:c r="G5682" s="26" t="b">
        <x:v>1</x:v>
      </x:c>
      <x:c r="H5682" s="16" t="n">
        <x:v>0.5599999999999999</x:v>
      </x:c>
      <x:c r="I5682" s="16" t="n">
        <x:v>1.2000000000000002</x:v>
      </x:c>
      <x:c r="J5682" s="16" t="n">
        <x:v>2.3</x:v>
      </x:c>
      <x:c r="K5682" s="11" t="n">
        <x:f>CHOOSE('假设'!$B$3,H5682,I5682,J5682)</x:f>
        <x:v>1.2000000000000002</x:v>
      </x:c>
      <x:c r="L5682" s="11" t="n">
        <x:f>K5682*'管线假设'!E1219*'管线假设'!F1219*'管线假设'!G1219*IF(E5682="USD",'管线假设'!I1219,1)-AM5682</x:f>
        <x:v>0.26015760000000004</x:v>
      </x:c>
      <x:c r="M5682" s="11" t="n">
        <x:f>'管线假设'!H1219</x:f>
        <x:v>0.14</x:v>
      </x:c>
      <x:c r="N5682" s="11" t="n">
        <x:f>IF(G5682,L5682*AN5682/(1+M5682)^F5682,0)</x:f>
        <x:v>0.22153352861955536</x:v>
      </x:c>
      <x:c r="AJ5682" t="n">
        <x:v>0</x:v>
      </x:c>
      <x:c r="AK5682" t="n">
        <x:v>0</x:v>
      </x:c>
      <x:c r="AL5682" t="n">
        <x:v>0</x:v>
      </x:c>
      <x:c r="AM5682" t="n">
        <x:f>CHOOSE('假设'!$B$3,AJ5682,AK5682,AL5682)</x:f>
        <x:v>0</x:v>
      </x:c>
      <x:c r="AN5682" t="n">
        <x:v>1</x:v>
      </x:c>
    </x:row>
    <x:row r="5683" ht="23" customHeight="1">
      <x:c r="A5683" s="11" t="str">
        <x:v>688062.SH</x:v>
      </x:c>
      <x:c r="B5683" s="11" t="str">
        <x:v>三年</x:v>
      </x:c>
      <x:c r="C5683" s="11" t="str">
        <x:v>biosim</x:v>
      </x:c>
      <x:c r="D5683" s="11" t="str">
        <x:v>2031-12-31</x:v>
      </x:c>
      <x:c r="E5683" s="11" t="str">
        <x:v>CNY</x:v>
      </x:c>
      <x:c r="F5683" s="11" t="n">
        <x:v>2.2258726899383983</x:v>
      </x:c>
      <x:c r="G5683" s="26" t="b">
        <x:v>1</x:v>
      </x:c>
      <x:c r="H5683" s="16" t="n">
        <x:v>0.7</x:v>
      </x:c>
      <x:c r="I5683" s="16" t="n">
        <x:v>1.5</x:v>
      </x:c>
      <x:c r="J5683" s="16" t="n">
        <x:v>2.001</x:v>
      </x:c>
      <x:c r="K5683" s="11" t="n">
        <x:f>CHOOSE('假设'!$B$3,H5683,I5683,J5683)</x:f>
        <x:v>1.5</x:v>
      </x:c>
      <x:c r="L5683" s="11" t="n">
        <x:f>K5683*'管线假设'!E1219*'管线假设'!F1219*'管线假设'!G1219*IF(E5683="USD",'管线假设'!I1219,1)-AM5683</x:f>
        <x:v>0.325197</x:v>
      </x:c>
      <x:c r="M5683" s="11" t="n">
        <x:f>'管线假设'!H1219</x:f>
        <x:v>0.14</x:v>
      </x:c>
      <x:c r="N5683" s="11" t="n">
        <x:f>IF(G5683,L5683*AN5683/(1+M5683)^F5683,0)</x:f>
        <x:v>0.24293135692340323</x:v>
      </x:c>
      <x:c r="AJ5683" t="n">
        <x:v>0</x:v>
      </x:c>
      <x:c r="AK5683" t="n">
        <x:v>0</x:v>
      </x:c>
      <x:c r="AL5683" t="n">
        <x:v>0</x:v>
      </x:c>
      <x:c r="AM5683" t="n">
        <x:f>CHOOSE('假设'!$B$3,AJ5683,AK5683,AL5683)</x:f>
        <x:v>0</x:v>
      </x:c>
      <x:c r="AN5683" t="n">
        <x:v>1</x:v>
      </x:c>
    </x:row>
    <x:row r="5684" ht="23" customHeight="1">
      <x:c r="A5684" s="11" t="str">
        <x:v>688062.SH</x:v>
      </x:c>
      <x:c r="B5684" s="11" t="str">
        <x:v>三年</x:v>
      </x:c>
      <x:c r="C5684" s="11" t="str">
        <x:v>biosim</x:v>
      </x:c>
      <x:c r="D5684" s="11" t="str">
        <x:v>2032-12-31</x:v>
      </x:c>
      <x:c r="E5684" s="11" t="str">
        <x:v>CNY</x:v>
      </x:c>
      <x:c r="F5684" s="11" t="n">
        <x:v>3.2279260780287475</x:v>
      </x:c>
      <x:c r="G5684" s="26" t="b">
        <x:v>1</x:v>
      </x:c>
      <x:c r="H5684" s="16" t="n">
        <x:v>0.609</x:v>
      </x:c>
      <x:c r="I5684" s="16" t="n">
        <x:v>1.305</x:v>
      </x:c>
      <x:c r="J5684" s="16" t="n">
        <x:v>1.702</x:v>
      </x:c>
      <x:c r="K5684" s="11" t="n">
        <x:f>CHOOSE('假设'!$B$3,H5684,I5684,J5684)</x:f>
        <x:v>1.305</x:v>
      </x:c>
      <x:c r="L5684" s="11" t="n">
        <x:f>K5684*'管线假设'!E1219*'管线假设'!F1219*'管线假设'!G1219*IF(E5684="USD",'管线假设'!I1219,1)-AM5684</x:f>
        <x:v>0.28292139</x:v>
      </x:c>
      <x:c r="M5684" s="11" t="n">
        <x:f>'管线假设'!H1219</x:f>
        <x:v>0.14</x:v>
      </x:c>
      <x:c r="N5684" s="11" t="n">
        <x:f>IF(G5684,L5684*AN5684/(1+M5684)^F5684,0)</x:f>
        <x:v>0.18534510875740204</x:v>
      </x:c>
      <x:c r="AJ5684" t="n">
        <x:v>0</x:v>
      </x:c>
      <x:c r="AK5684" t="n">
        <x:v>0</x:v>
      </x:c>
      <x:c r="AL5684" t="n">
        <x:v>0</x:v>
      </x:c>
      <x:c r="AM5684" t="n">
        <x:f>CHOOSE('假设'!$B$3,AJ5684,AK5684,AL5684)</x:f>
        <x:v>0</x:v>
      </x:c>
      <x:c r="AN5684" t="n">
        <x:v>1</x:v>
      </x:c>
    </x:row>
    <x:row r="5685" ht="23" customHeight="1">
      <x:c r="A5685" s="11" t="str">
        <x:v>688062.SH</x:v>
      </x:c>
      <x:c r="B5685" s="11" t="str">
        <x:v>三年</x:v>
      </x:c>
      <x:c r="C5685" s="11" t="str">
        <x:v>biosim</x:v>
      </x:c>
      <x:c r="D5685" s="11" t="str">
        <x:v>2033-12-31</x:v>
      </x:c>
      <x:c r="E5685" s="11" t="str">
        <x:v>CNY</x:v>
      </x:c>
      <x:c r="F5685" s="11" t="n">
        <x:v>4.227241615331964</x:v>
      </x:c>
      <x:c r="G5685" s="26" t="b">
        <x:v>1</x:v>
      </x:c>
      <x:c r="H5685" s="16" t="n">
        <x:v>0.518</x:v>
      </x:c>
      <x:c r="I5685" s="16" t="n">
        <x:v>1.1099999999999999</x:v>
      </x:c>
      <x:c r="J5685" s="16" t="n">
        <x:v>1.4029999999999998</x:v>
      </x:c>
      <x:c r="K5685" s="11" t="n">
        <x:f>CHOOSE('假设'!$B$3,H5685,I5685,J5685)</x:f>
        <x:v>1.1099999999999999</x:v>
      </x:c>
      <x:c r="L5685" s="11" t="n">
        <x:f>K5685*'管线假设'!E1219*'管线假设'!F1219*'管线假设'!G1219*IF(E5685="USD",'管线假设'!I1219,1)-AM5685</x:f>
        <x:v>0.24064577999999998</x:v>
      </x:c>
      <x:c r="M5685" s="11" t="n">
        <x:f>'管线假设'!H1219</x:f>
        <x:v>0.14</x:v>
      </x:c>
      <x:c r="N5685" s="11" t="n">
        <x:f>IF(G5685,L5685*AN5685/(1+M5685)^F5685,0)</x:f>
        <x:v>0.13830175606920714</x:v>
      </x:c>
      <x:c r="AJ5685" t="n">
        <x:v>0</x:v>
      </x:c>
      <x:c r="AK5685" t="n">
        <x:v>0</x:v>
      </x:c>
      <x:c r="AL5685" t="n">
        <x:v>0</x:v>
      </x:c>
      <x:c r="AM5685" t="n">
        <x:f>CHOOSE('假设'!$B$3,AJ5685,AK5685,AL5685)</x:f>
        <x:v>0</x:v>
      </x:c>
      <x:c r="AN5685" t="n">
        <x:v>1</x:v>
      </x:c>
    </x:row>
    <x:row r="5686" ht="23" customHeight="1">
      <x:c r="A5686" s="11" t="str">
        <x:v>688062.SH</x:v>
      </x:c>
      <x:c r="B5686" s="11" t="str">
        <x:v>三年</x:v>
      </x:c>
      <x:c r="C5686" s="11" t="str">
        <x:v>biosim</x:v>
      </x:c>
      <x:c r="D5686" s="11" t="str">
        <x:v>2034-12-31</x:v>
      </x:c>
      <x:c r="E5686" s="11" t="str">
        <x:v>CNY</x:v>
      </x:c>
      <x:c r="F5686" s="11" t="n">
        <x:v>5.2265571526351815</x:v>
      </x:c>
      <x:c r="G5686" s="26" t="b">
        <x:v>1</x:v>
      </x:c>
      <x:c r="H5686" s="16" t="n">
        <x:v>0.427</x:v>
      </x:c>
      <x:c r="I5686" s="16" t="n">
        <x:v>0.915</x:v>
      </x:c>
      <x:c r="J5686" s="16" t="n">
        <x:v>1.1039999999999999</x:v>
      </x:c>
      <x:c r="K5686" s="11" t="n">
        <x:f>CHOOSE('假设'!$B$3,H5686,I5686,J5686)</x:f>
        <x:v>0.915</x:v>
      </x:c>
      <x:c r="L5686" s="11" t="n">
        <x:f>K5686*'管线假设'!E1219*'管线假设'!F1219*'管线假设'!G1219*IF(E5686="USD",'管线假设'!I1219,1)-AM5686</x:f>
        <x:v>0.19837017</x:v>
      </x:c>
      <x:c r="M5686" s="11" t="n">
        <x:f>'管线假设'!H1219</x:f>
        <x:v>0.14</x:v>
      </x:c>
      <x:c r="N5686" s="11" t="n">
        <x:f>IF(G5686,L5686*AN5686/(1+M5686)^F5686,0)</x:f>
        <x:v>0.10001379521729564</x:v>
      </x:c>
      <x:c r="AJ5686" t="n">
        <x:v>0</x:v>
      </x:c>
      <x:c r="AK5686" t="n">
        <x:v>0</x:v>
      </x:c>
      <x:c r="AL5686" t="n">
        <x:v>0</x:v>
      </x:c>
      <x:c r="AM5686" t="n">
        <x:f>CHOOSE('假设'!$B$3,AJ5686,AK5686,AL5686)</x:f>
        <x:v>0</x:v>
      </x:c>
      <x:c r="AN5686" t="n">
        <x:v>1</x:v>
      </x:c>
    </x:row>
    <x:row r="5687" ht="23" customHeight="1">
      <x:c r="A5687" s="11" t="str">
        <x:v>688062.SH</x:v>
      </x:c>
      <x:c r="B5687" s="11" t="str">
        <x:v>三年</x:v>
      </x:c>
      <x:c r="C5687" s="11" t="str">
        <x:v>biosim</x:v>
      </x:c>
      <x:c r="D5687" s="11" t="str">
        <x:v>2035-12-31</x:v>
      </x:c>
      <x:c r="E5687" s="11" t="str">
        <x:v>CNY</x:v>
      </x:c>
      <x:c r="F5687" s="11" t="n">
        <x:v>6.225872689938399</x:v>
      </x:c>
      <x:c r="G5687" s="26" t="b">
        <x:v>1</x:v>
      </x:c>
      <x:c r="H5687" s="16" t="n">
        <x:v>0.33599999999999997</x:v>
      </x:c>
      <x:c r="I5687" s="16" t="n">
        <x:v>0.72</x:v>
      </x:c>
      <x:c r="J5687" s="16" t="n">
        <x:v>0.8049999999999999</x:v>
      </x:c>
      <x:c r="K5687" s="11" t="n">
        <x:f>CHOOSE('假设'!$B$3,H5687,I5687,J5687)</x:f>
        <x:v>0.72</x:v>
      </x:c>
      <x:c r="L5687" s="11" t="n">
        <x:f>K5687*'管线假设'!E1219*'管线假设'!F1219*'管线假设'!G1219*IF(E5687="USD",'管线假设'!I1219,1)-AM5687</x:f>
        <x:v>0.15609456</x:v>
      </x:c>
      <x:c r="M5687" s="11" t="n">
        <x:f>'管线假设'!H1219</x:f>
        <x:v>0.14</x:v>
      </x:c>
      <x:c r="N5687" s="11" t="n">
        <x:f>IF(G5687,L5687*AN5687/(1+M5687)^F5687,0)</x:f>
        <x:v>0.06904073529078003</x:v>
      </x:c>
      <x:c r="AJ5687" t="n">
        <x:v>0</x:v>
      </x:c>
      <x:c r="AK5687" t="n">
        <x:v>0</x:v>
      </x:c>
      <x:c r="AL5687" t="n">
        <x:v>0</x:v>
      </x:c>
      <x:c r="AM5687" t="n">
        <x:f>CHOOSE('假设'!$B$3,AJ5687,AK5687,AL5687)</x:f>
        <x:v>0</x:v>
      </x:c>
      <x:c r="AN5687" t="n">
        <x:v>1</x:v>
      </x:c>
    </x:row>
    <x:row r="5688" ht="23" customHeight="1">
      <x:c r="A5688" s="11" t="str">
        <x:v>688062.SH</x:v>
      </x:c>
      <x:c r="B5688" s="11" t="str">
        <x:v>三年</x:v>
      </x:c>
      <x:c r="C5688" s="11" t="str">
        <x:v>biosim</x:v>
      </x:c>
      <x:c r="D5688" s="11" t="str">
        <x:v>2036-12-31</x:v>
      </x:c>
      <x:c r="E5688" s="11" t="str">
        <x:v>CNY</x:v>
      </x:c>
      <x:c r="F5688" s="11" t="n">
        <x:v>7.227926078028747</x:v>
      </x:c>
      <x:c r="G5688" s="26" t="b">
        <x:v>1</x:v>
      </x:c>
      <x:c r="H5688" s="16" t="n">
        <x:v>0.24499999999999997</x:v>
      </x:c>
      <x:c r="I5688" s="16" t="n">
        <x:v>0.5249999999999999</x:v>
      </x:c>
      <x:c r="J5688" s="16" t="n">
        <x:v>0.5059999999999999</x:v>
      </x:c>
      <x:c r="K5688" s="11" t="n">
        <x:f>CHOOSE('假设'!$B$3,H5688,I5688,J5688)</x:f>
        <x:v>0.5249999999999999</x:v>
      </x:c>
      <x:c r="L5688" s="11" t="n">
        <x:f>K5688*'管线假设'!E1219*'管线假设'!F1219*'管线假设'!G1219*IF(E5688="USD",'管线假设'!I1219,1)-AM5688</x:f>
        <x:v>0.11381894999999997</x:v>
      </x:c>
      <x:c r="M5688" s="11" t="n">
        <x:f>'管线假设'!H1219</x:f>
        <x:v>0.14</x:v>
      </x:c>
      <x:c r="N5688" s="11" t="n">
        <x:f>IF(G5688,L5688*AN5688/(1+M5688)^F5688,0)</x:f>
        <x:v>0.044147947345749054</x:v>
      </x:c>
      <x:c r="AJ5688" t="n">
        <x:v>0</x:v>
      </x:c>
      <x:c r="AK5688" t="n">
        <x:v>0</x:v>
      </x:c>
      <x:c r="AL5688" t="n">
        <x:v>0</x:v>
      </x:c>
      <x:c r="AM5688" t="n">
        <x:f>CHOOSE('假设'!$B$3,AJ5688,AK5688,AL5688)</x:f>
        <x:v>0</x:v>
      </x:c>
      <x:c r="AN5688" t="n">
        <x:v>1</x:v>
      </x:c>
    </x:row>
    <x:row r="5689" ht="23" customHeight="1">
      <x:c r="A5689" s="11" t="str">
        <x:v>688062.SH</x:v>
      </x:c>
      <x:c r="B5689" s="11" t="str">
        <x:v>三年</x:v>
      </x:c>
      <x:c r="C5689" s="11" t="str">
        <x:v>biosim</x:v>
      </x:c>
      <x:c r="D5689" s="11" t="str">
        <x:v>2037-12-31</x:v>
      </x:c>
      <x:c r="E5689" s="11" t="str">
        <x:v>CNY</x:v>
      </x:c>
      <x:c r="F5689" s="11" t="n">
        <x:v>8.227241615331964</x:v>
      </x:c>
      <x:c r="G5689" s="26" t="b">
        <x:v>1</x:v>
      </x:c>
      <x:c r="H5689" s="16" t="n">
        <x:v>0.15399999999999997</x:v>
      </x:c>
      <x:c r="I5689" s="16" t="n">
        <x:v>0.32999999999999996</x:v>
      </x:c>
      <x:c r="J5689" s="16" t="n">
        <x:v>0.2069999999999999</x:v>
      </x:c>
      <x:c r="K5689" s="11" t="n">
        <x:f>CHOOSE('假设'!$B$3,H5689,I5689,J5689)</x:f>
        <x:v>0.32999999999999996</x:v>
      </x:c>
      <x:c r="L5689" s="11" t="n">
        <x:f>K5689*'管线假设'!E1219*'管线假设'!F1219*'管线假设'!G1219*IF(E5689="USD",'管线假设'!I1219,1)-AM5689</x:f>
        <x:v>0.07154334</x:v>
      </x:c>
      <x:c r="M5689" s="11" t="n">
        <x:f>'管线假设'!H1219</x:f>
        <x:v>0.14</x:v>
      </x:c>
      <x:c r="N5689" s="11" t="n">
        <x:f>IF(G5689,L5689*AN5689/(1+M5689)^F5689,0)</x:f>
        <x:v>0.024344409811801214</x:v>
      </x:c>
      <x:c r="AJ5689" t="n">
        <x:v>0</x:v>
      </x:c>
      <x:c r="AK5689" t="n">
        <x:v>0</x:v>
      </x:c>
      <x:c r="AL5689" t="n">
        <x:v>0</x:v>
      </x:c>
      <x:c r="AM5689" t="n">
        <x:f>CHOOSE('假设'!$B$3,AJ5689,AK5689,AL5689)</x:f>
        <x:v>0</x:v>
      </x:c>
      <x:c r="AN5689" t="n">
        <x:v>1</x:v>
      </x:c>
    </x:row>
    <x:row r="5690" ht="23" customHeight="1">
      <x:c r="A5690" s="11" t="str">
        <x:v>688062.SH</x:v>
      </x:c>
      <x:c r="B5690" s="11" t="str">
        <x:v>三年</x:v>
      </x:c>
      <x:c r="C5690" s="11" t="str">
        <x:v>biosim</x:v>
      </x:c>
      <x:c r="D5690" s="11" t="str">
        <x:v>2038-12-31</x:v>
      </x:c>
      <x:c r="E5690" s="11" t="str">
        <x:v>CNY</x:v>
      </x:c>
      <x:c r="F5690" s="11" t="n">
        <x:v>9.22655715263518</x:v>
      </x:c>
      <x:c r="G5690" s="26" t="b">
        <x:v>1</x:v>
      </x:c>
      <x:c r="H5690" s="16" t="n">
        <x:v>0.06299999999999997</x:v>
      </x:c>
      <x:c r="I5690" s="16" t="n">
        <x:v>0.13499999999999995</x:v>
      </x:c>
      <x:c r="J5690" s="16" t="n">
        <x:v>0</x:v>
      </x:c>
      <x:c r="K5690" s="11" t="n">
        <x:f>CHOOSE('假设'!$B$3,H5690,I5690,J5690)</x:f>
        <x:v>0.13499999999999995</x:v>
      </x:c>
      <x:c r="L5690" s="11" t="n">
        <x:f>K5690*'管线假设'!E1219*'管线假设'!F1219*'管线假设'!G1219*IF(E5690="USD",'管线假设'!I1219,1)-AM5690</x:f>
        <x:v>0.02926772999999999</x:v>
      </x:c>
      <x:c r="M5690" s="11" t="n">
        <x:f>'管线假设'!H1219</x:f>
        <x:v>0.14</x:v>
      </x:c>
      <x:c r="N5690" s="11" t="n">
        <x:f>IF(G5690,L5690*AN5690/(1+M5690)^F5690,0)</x:f>
        <x:v>0.008736815746195335</x:v>
      </x:c>
      <x:c r="AJ5690" t="n">
        <x:v>0</x:v>
      </x:c>
      <x:c r="AK5690" t="n">
        <x:v>0</x:v>
      </x:c>
      <x:c r="AL5690" t="n">
        <x:v>0</x:v>
      </x:c>
      <x:c r="AM5690" t="n">
        <x:f>CHOOSE('假设'!$B$3,AJ5690,AK5690,AL5690)</x:f>
        <x:v>0</x:v>
      </x:c>
      <x:c r="AN5690" t="n">
        <x:v>1</x:v>
      </x:c>
    </x:row>
    <x:row r="5691" ht="23" customHeight="1">
      <x:c r="A5691" s="11" t="str">
        <x:v>688062.SH</x:v>
      </x:c>
      <x:c r="B5691" s="11" t="str">
        <x:v>三年</x:v>
      </x:c>
      <x:c r="C5691" s="11" t="str">
        <x:v>biosim</x:v>
      </x:c>
      <x:c r="D5691" s="11" t="str">
        <x:v>2039-12-31</x:v>
      </x:c>
      <x:c r="E5691" s="11" t="str">
        <x:v>CNY</x:v>
      </x:c>
      <x:c r="F5691" s="11" t="n">
        <x:v>10.225872689938399</x:v>
      </x:c>
      <x:c r="G5691" s="26" t="b">
        <x:v>1</x:v>
      </x:c>
      <x:c r="H5691" s="16" t="n">
        <x:v>0</x:v>
      </x:c>
      <x:c r="I5691" s="16" t="n">
        <x:v>0</x:v>
      </x:c>
      <x:c r="J5691" s="16" t="n">
        <x:v>0</x:v>
      </x:c>
      <x:c r="K5691" s="11" t="n">
        <x:f>CHOOSE('假设'!$B$3,H5691,I5691,J5691)</x:f>
        <x:v>0</x:v>
      </x:c>
      <x:c r="L5691" s="11" t="n">
        <x:f>K5691*'管线假设'!E1219*'管线假设'!F1219*'管线假设'!G1219*IF(E5691="USD",'管线假设'!I1219,1)-AM5691</x:f>
        <x:v>0</x:v>
      </x:c>
      <x:c r="M5691" s="11" t="n">
        <x:f>'管线假设'!H1219</x:f>
        <x:v>0.14</x:v>
      </x:c>
      <x:c r="N5691" s="11" t="n">
        <x:f>IF(G5691,L5691*AN5691/(1+M5691)^F5691,0)</x:f>
        <x:v>0</x:v>
      </x:c>
      <x:c r="AJ5691" t="n">
        <x:v>0</x:v>
      </x:c>
      <x:c r="AK5691" t="n">
        <x:v>0</x:v>
      </x:c>
      <x:c r="AL5691" t="n">
        <x:v>0</x:v>
      </x:c>
      <x:c r="AM5691" t="n">
        <x:f>CHOOSE('假设'!$B$3,AJ5691,AK5691,AL5691)</x:f>
        <x:v>0</x:v>
      </x:c>
      <x:c r="AN5691" t="n">
        <x:v>1</x:v>
      </x:c>
    </x:row>
    <x:row r="5692" ht="23" customHeight="1">
      <x:c r="A5692" s="11" t="str">
        <x:v>688062.SH</x:v>
      </x:c>
      <x:c r="B5692" s="11" t="str">
        <x:v>三年</x:v>
      </x:c>
      <x:c r="C5692" s="11" t="str">
        <x:v>biosim</x:v>
      </x:c>
      <x:c r="D5692" s="11" t="str">
        <x:v>2040-12-31</x:v>
      </x:c>
      <x:c r="E5692" s="11" t="str">
        <x:v>CNY</x:v>
      </x:c>
      <x:c r="F5692" s="11" t="n">
        <x:v>11.227926078028748</x:v>
      </x:c>
      <x:c r="G5692" s="26" t="b">
        <x:v>1</x:v>
      </x:c>
      <x:c r="H5692" s="16" t="n">
        <x:v>0</x:v>
      </x:c>
      <x:c r="I5692" s="16" t="n">
        <x:v>0</x:v>
      </x:c>
      <x:c r="J5692" s="16" t="n">
        <x:v>0</x:v>
      </x:c>
      <x:c r="K5692" s="11" t="n">
        <x:f>CHOOSE('假设'!$B$3,H5692,I5692,J5692)</x:f>
        <x:v>0</x:v>
      </x:c>
      <x:c r="L5692" s="11" t="n">
        <x:f>K5692*'管线假设'!E1219*'管线假设'!F1219*'管线假设'!G1219*IF(E5692="USD",'管线假设'!I1219,1)-AM5692</x:f>
        <x:v>0</x:v>
      </x:c>
      <x:c r="M5692" s="11" t="n">
        <x:f>'管线假设'!H1219</x:f>
        <x:v>0.14</x:v>
      </x:c>
      <x:c r="N5692" s="11" t="n">
        <x:f>IF(G5692,L5692*AN5692/(1+M5692)^F5692,0)</x:f>
        <x:v>0</x:v>
      </x:c>
      <x:c r="AJ5692" t="n">
        <x:v>0</x:v>
      </x:c>
      <x:c r="AK5692" t="n">
        <x:v>0</x:v>
      </x:c>
      <x:c r="AL5692" t="n">
        <x:v>0</x:v>
      </x:c>
      <x:c r="AM5692" t="n">
        <x:f>CHOOSE('假设'!$B$3,AJ5692,AK5692,AL5692)</x:f>
        <x:v>0</x:v>
      </x:c>
      <x:c r="AN5692" t="n">
        <x:v>1</x:v>
      </x:c>
    </x:row>
    <x:row r="5693" ht="23" customHeight="1">
      <x:c r="A5693" s="11" t="str">
        <x:v>688062.SH</x:v>
      </x:c>
      <x:c r="B5693" s="11" t="str">
        <x:v>三年</x:v>
      </x:c>
      <x:c r="C5693" s="11" t="str">
        <x:v>biosim</x:v>
      </x:c>
      <x:c r="D5693" s="11" t="str">
        <x:v>2041-12-31</x:v>
      </x:c>
      <x:c r="E5693" s="11" t="str">
        <x:v>CNY</x:v>
      </x:c>
      <x:c r="F5693" s="11" t="n">
        <x:v>12.227241615331964</x:v>
      </x:c>
      <x:c r="G5693" s="26" t="b">
        <x:v>1</x:v>
      </x:c>
      <x:c r="H5693" s="16" t="n">
        <x:v>0</x:v>
      </x:c>
      <x:c r="I5693" s="16" t="n">
        <x:v>0</x:v>
      </x:c>
      <x:c r="J5693" s="16" t="n">
        <x:v>0</x:v>
      </x:c>
      <x:c r="K5693" s="11" t="n">
        <x:f>CHOOSE('假设'!$B$3,H5693,I5693,J5693)</x:f>
        <x:v>0</x:v>
      </x:c>
      <x:c r="L5693" s="11" t="n">
        <x:f>K5693*'管线假设'!E1219*'管线假设'!F1219*'管线假设'!G1219*IF(E5693="USD",'管线假设'!I1219,1)-AM5693</x:f>
        <x:v>0</x:v>
      </x:c>
      <x:c r="M5693" s="11" t="n">
        <x:f>'管线假设'!H1219</x:f>
        <x:v>0.14</x:v>
      </x:c>
      <x:c r="N5693" s="11" t="n">
        <x:f>IF(G5693,L5693*AN5693/(1+M5693)^F5693,0)</x:f>
        <x:v>0</x:v>
      </x:c>
      <x:c r="AJ5693" t="n">
        <x:v>0</x:v>
      </x:c>
      <x:c r="AK5693" t="n">
        <x:v>0</x:v>
      </x:c>
      <x:c r="AL5693" t="n">
        <x:v>0</x:v>
      </x:c>
      <x:c r="AM5693" t="n">
        <x:f>CHOOSE('假设'!$B$3,AJ5693,AK5693,AL5693)</x:f>
        <x:v>0</x:v>
      </x:c>
      <x:c r="AN5693" t="n">
        <x:v>1</x:v>
      </x:c>
    </x:row>
    <x:row r="5694" ht="23" customHeight="1">
      <x:c r="A5694" s="11" t="str">
        <x:v>688062.SH</x:v>
      </x:c>
      <x:c r="B5694" s="11" t="str">
        <x:v>三年</x:v>
      </x:c>
      <x:c r="C5694" s="11" t="str">
        <x:v>biosim</x:v>
      </x:c>
      <x:c r="D5694" s="11" t="str">
        <x:v>2042-12-31</x:v>
      </x:c>
      <x:c r="E5694" s="11" t="str">
        <x:v>CNY</x:v>
      </x:c>
      <x:c r="F5694" s="11" t="n">
        <x:v>13.22655715263518</x:v>
      </x:c>
      <x:c r="G5694" s="26" t="b">
        <x:v>1</x:v>
      </x:c>
      <x:c r="H5694" s="16" t="n">
        <x:v>0</x:v>
      </x:c>
      <x:c r="I5694" s="16" t="n">
        <x:v>0</x:v>
      </x:c>
      <x:c r="J5694" s="16" t="n">
        <x:v>0</x:v>
      </x:c>
      <x:c r="K5694" s="11" t="n">
        <x:f>CHOOSE('假设'!$B$3,H5694,I5694,J5694)</x:f>
        <x:v>0</x:v>
      </x:c>
      <x:c r="L5694" s="11" t="n">
        <x:f>K5694*'管线假设'!E1219*'管线假设'!F1219*'管线假设'!G1219*IF(E5694="USD",'管线假设'!I1219,1)-AM5694</x:f>
        <x:v>0</x:v>
      </x:c>
      <x:c r="M5694" s="11" t="n">
        <x:f>'管线假设'!H1219</x:f>
        <x:v>0.14</x:v>
      </x:c>
      <x:c r="N5694" s="11" t="n">
        <x:f>IF(G5694,L5694*AN5694/(1+M5694)^F5694,0)</x:f>
        <x:v>0</x:v>
      </x:c>
      <x:c r="AJ5694" t="n">
        <x:v>0</x:v>
      </x:c>
      <x:c r="AK5694" t="n">
        <x:v>0</x:v>
      </x:c>
      <x:c r="AL5694" t="n">
        <x:v>0</x:v>
      </x:c>
      <x:c r="AM5694" t="n">
        <x:f>CHOOSE('假设'!$B$3,AJ5694,AK5694,AL5694)</x:f>
        <x:v>0</x:v>
      </x:c>
      <x:c r="AN5694" t="n">
        <x:v>1</x:v>
      </x:c>
    </x:row>
    <x:row r="5695" ht="23" customHeight="1">
      <x:c r="A5695" s="11" t="str">
        <x:v>688062.SH</x:v>
      </x:c>
      <x:c r="B5695" s="11" t="str">
        <x:v>三年</x:v>
      </x:c>
      <x:c r="C5695" s="11" t="str">
        <x:v>biosim</x:v>
      </x:c>
      <x:c r="D5695" s="11" t="str">
        <x:v>2043-12-31</x:v>
      </x:c>
      <x:c r="E5695" s="11" t="str">
        <x:v>CNY</x:v>
      </x:c>
      <x:c r="F5695" s="11" t="n">
        <x:v>14.225872689938399</x:v>
      </x:c>
      <x:c r="G5695" s="26" t="b">
        <x:v>1</x:v>
      </x:c>
      <x:c r="H5695" s="16" t="n">
        <x:v>0</x:v>
      </x:c>
      <x:c r="I5695" s="16" t="n">
        <x:v>0</x:v>
      </x:c>
      <x:c r="J5695" s="16" t="n">
        <x:v>0</x:v>
      </x:c>
      <x:c r="K5695" s="11" t="n">
        <x:f>CHOOSE('假设'!$B$3,H5695,I5695,J5695)</x:f>
        <x:v>0</x:v>
      </x:c>
      <x:c r="L5695" s="11" t="n">
        <x:f>K5695*'管线假设'!E1219*'管线假设'!F1219*'管线假设'!G1219*IF(E5695="USD",'管线假设'!I1219,1)-AM5695</x:f>
        <x:v>0</x:v>
      </x:c>
      <x:c r="M5695" s="11" t="n">
        <x:f>'管线假设'!H1219</x:f>
        <x:v>0.14</x:v>
      </x:c>
      <x:c r="N5695" s="11" t="n">
        <x:f>IF(G5695,L5695*AN5695/(1+M5695)^F5695,0)</x:f>
        <x:v>0</x:v>
      </x:c>
      <x:c r="AJ5695" t="n">
        <x:v>0</x:v>
      </x:c>
      <x:c r="AK5695" t="n">
        <x:v>0</x:v>
      </x:c>
      <x:c r="AL5695" t="n">
        <x:v>0</x:v>
      </x:c>
      <x:c r="AM5695" t="n">
        <x:f>CHOOSE('假设'!$B$3,AJ5695,AK5695,AL5695)</x:f>
        <x:v>0</x:v>
      </x:c>
      <x:c r="AN5695" t="n">
        <x:v>1</x:v>
      </x:c>
    </x:row>
    <x:row r="5696" ht="23" customHeight="1">
      <x:c r="A5696" s="11" t="str">
        <x:v>688062.SH</x:v>
      </x:c>
      <x:c r="B5696" s="11" t="str">
        <x:v>三年</x:v>
      </x:c>
      <x:c r="C5696" s="11" t="str">
        <x:v>biosim</x:v>
      </x:c>
      <x:c r="D5696" s="11" t="str">
        <x:v>2044-12-31</x:v>
      </x:c>
      <x:c r="E5696" s="11" t="str">
        <x:v>CNY</x:v>
      </x:c>
      <x:c r="F5696" s="11" t="n">
        <x:v>15.227926078028748</x:v>
      </x:c>
      <x:c r="G5696" s="26" t="b">
        <x:v>1</x:v>
      </x:c>
      <x:c r="H5696" s="16" t="n">
        <x:v>0</x:v>
      </x:c>
      <x:c r="I5696" s="16" t="n">
        <x:v>0</x:v>
      </x:c>
      <x:c r="J5696" s="16" t="n">
        <x:v>0</x:v>
      </x:c>
      <x:c r="K5696" s="11" t="n">
        <x:f>CHOOSE('假设'!$B$3,H5696,I5696,J5696)</x:f>
        <x:v>0</x:v>
      </x:c>
      <x:c r="L5696" s="11" t="n">
        <x:f>K5696*'管线假设'!E1219*'管线假设'!F1219*'管线假设'!G1219*IF(E5696="USD",'管线假设'!I1219,1)-AM5696</x:f>
        <x:v>0</x:v>
      </x:c>
      <x:c r="M5696" s="11" t="n">
        <x:f>'管线假设'!H1219</x:f>
        <x:v>0.14</x:v>
      </x:c>
      <x:c r="N5696" s="11" t="n">
        <x:f>IF(G5696,L5696*AN5696/(1+M5696)^F5696,0)</x:f>
        <x:v>0</x:v>
      </x:c>
      <x:c r="AJ5696" t="n">
        <x:v>0</x:v>
      </x:c>
      <x:c r="AK5696" t="n">
        <x:v>0</x:v>
      </x:c>
      <x:c r="AL5696" t="n">
        <x:v>0</x:v>
      </x:c>
      <x:c r="AM5696" t="n">
        <x:f>CHOOSE('假设'!$B$3,AJ5696,AK5696,AL5696)</x:f>
        <x:v>0</x:v>
      </x:c>
      <x:c r="AN5696" t="n">
        <x:v>1</x:v>
      </x:c>
    </x:row>
    <x:row r="5697" ht="23" customHeight="1">
      <x:c r="A5697" s="11" t="str">
        <x:v>688062.SH</x:v>
      </x:c>
      <x:c r="B5697" s="11" t="str">
        <x:v>三年</x:v>
      </x:c>
      <x:c r="C5697" s="11" t="str">
        <x:v>biosim</x:v>
      </x:c>
      <x:c r="D5697" s="11" t="str">
        <x:v>2045-12-31</x:v>
      </x:c>
      <x:c r="E5697" s="11" t="str">
        <x:v>CNY</x:v>
      </x:c>
      <x:c r="F5697" s="11" t="n">
        <x:v>16.227241615331966</x:v>
      </x:c>
      <x:c r="G5697" s="26" t="b">
        <x:v>1</x:v>
      </x:c>
      <x:c r="H5697" s="16" t="n">
        <x:v>0</x:v>
      </x:c>
      <x:c r="I5697" s="16" t="n">
        <x:v>0</x:v>
      </x:c>
      <x:c r="J5697" s="16" t="n">
        <x:v>0</x:v>
      </x:c>
      <x:c r="K5697" s="11" t="n">
        <x:f>CHOOSE('假设'!$B$3,H5697,I5697,J5697)</x:f>
        <x:v>0</x:v>
      </x:c>
      <x:c r="L5697" s="11" t="n">
        <x:f>K5697*'管线假设'!E1219*'管线假设'!F1219*'管线假设'!G1219*IF(E5697="USD",'管线假设'!I1219,1)-AM5697</x:f>
        <x:v>0</x:v>
      </x:c>
      <x:c r="M5697" s="11" t="n">
        <x:f>'管线假设'!H1219</x:f>
        <x:v>0.14</x:v>
      </x:c>
      <x:c r="N5697" s="11" t="n">
        <x:f>IF(G5697,L5697*AN5697/(1+M5697)^F5697,0)</x:f>
        <x:v>0</x:v>
      </x:c>
      <x:c r="AJ5697" t="n">
        <x:v>0</x:v>
      </x:c>
      <x:c r="AK5697" t="n">
        <x:v>0</x:v>
      </x:c>
      <x:c r="AL5697" t="n">
        <x:v>0</x:v>
      </x:c>
      <x:c r="AM5697" t="n">
        <x:f>CHOOSE('假设'!$B$3,AJ5697,AK5697,AL5697)</x:f>
        <x:v>0</x:v>
      </x:c>
      <x:c r="AN5697" t="n">
        <x:v>1</x:v>
      </x:c>
    </x:row>
    <x:row r="5698" ht="23" customHeight="1">
      <x:c r="A5698" s="11" t="str">
        <x:v>688062.SH</x:v>
      </x:c>
      <x:c r="B5698" s="11" t="str">
        <x:v>三年</x:v>
      </x:c>
      <x:c r="C5698" s="11" t="str">
        <x:v>gcsf</x:v>
      </x:c>
      <x:c r="D5698" s="11" t="str">
        <x:v>2027-12-31</x:v>
      </x:c>
      <x:c r="E5698" s="11" t="str">
        <x:v>CNY</x:v>
      </x:c>
      <x:c r="F5698" s="11" t="n">
        <x:v>-1.7741273100616017</x:v>
      </x:c>
      <x:c r="G5698" s="26" t="b">
        <x:v>0</x:v>
      </x:c>
      <x:c r="H5698" s="16" t="n">
        <x:v>0.12</x:v>
      </x:c>
      <x:c r="I5698" s="16" t="n">
        <x:v>0.24</x:v>
      </x:c>
      <x:c r="J5698" s="16" t="n">
        <x:v>0.5</x:v>
      </x:c>
      <x:c r="K5698" s="11" t="n">
        <x:f>CHOOSE('假设'!$B$3,H5698,I5698,J5698)</x:f>
        <x:v>0.24</x:v>
      </x:c>
      <x:c r="L5698" s="11" t="n">
        <x:f>K5698*'管线假设'!E1223*'管线假设'!F1223*'管线假设'!G1223*IF(E5698="USD",'管线假设'!I1223,1)-AM5698</x:f>
        <x:v>0.019200000000000002</x:v>
      </x:c>
      <x:c r="M5698" s="11" t="n">
        <x:f>'管线假设'!H1223</x:f>
        <x:v>0.14</x:v>
      </x:c>
      <x:c r="N5698" s="11" t="n">
        <x:f>IF(G5698,L5698*AN5698/(1+M5698)^F5698,0)</x:f>
        <x:v>0</x:v>
      </x:c>
      <x:c r="AJ5698" t="n">
        <x:v>0</x:v>
      </x:c>
      <x:c r="AK5698" t="n">
        <x:v>0</x:v>
      </x:c>
      <x:c r="AL5698" t="n">
        <x:v>0</x:v>
      </x:c>
      <x:c r="AM5698" t="n">
        <x:f>CHOOSE('假设'!$B$3,AJ5698,AK5698,AL5698)</x:f>
        <x:v>0</x:v>
      </x:c>
      <x:c r="AN5698" t="n">
        <x:v>1</x:v>
      </x:c>
    </x:row>
    <x:row r="5699" ht="23" customHeight="1">
      <x:c r="A5699" s="11" t="str">
        <x:v>688062.SH</x:v>
      </x:c>
      <x:c r="B5699" s="11" t="str">
        <x:v>三年</x:v>
      </x:c>
      <x:c r="C5699" s="11" t="str">
        <x:v>gcsf</x:v>
      </x:c>
      <x:c r="D5699" s="11" t="str">
        <x:v>2028-12-31</x:v>
      </x:c>
      <x:c r="E5699" s="11" t="str">
        <x:v>CNY</x:v>
      </x:c>
      <x:c r="F5699" s="11" t="n">
        <x:v>-0.7720739219712526</x:v>
      </x:c>
      <x:c r="G5699" s="26" t="b">
        <x:v>0</x:v>
      </x:c>
      <x:c r="H5699" s="16" t="n">
        <x:v>0.24</x:v>
      </x:c>
      <x:c r="I5699" s="16" t="n">
        <x:v>0.48</x:v>
      </x:c>
      <x:c r="J5699" s="16" t="n">
        <x:v>1</x:v>
      </x:c>
      <x:c r="K5699" s="11" t="n">
        <x:f>CHOOSE('假设'!$B$3,H5699,I5699,J5699)</x:f>
        <x:v>0.48</x:v>
      </x:c>
      <x:c r="L5699" s="11" t="n">
        <x:f>K5699*'管线假设'!E1223*'管线假设'!F1223*'管线假设'!G1223*IF(E5699="USD",'管线假设'!I1223,1)-AM5699</x:f>
        <x:v>0.038400000000000004</x:v>
      </x:c>
      <x:c r="M5699" s="11" t="n">
        <x:f>'管线假设'!H1223</x:f>
        <x:v>0.14</x:v>
      </x:c>
      <x:c r="N5699" s="11" t="n">
        <x:f>IF(G5699,L5699*AN5699/(1+M5699)^F5699,0)</x:f>
        <x:v>0</x:v>
      </x:c>
      <x:c r="AJ5699" t="n">
        <x:v>0</x:v>
      </x:c>
      <x:c r="AK5699" t="n">
        <x:v>0</x:v>
      </x:c>
      <x:c r="AL5699" t="n">
        <x:v>0</x:v>
      </x:c>
      <x:c r="AM5699" t="n">
        <x:f>CHOOSE('假设'!$B$3,AJ5699,AK5699,AL5699)</x:f>
        <x:v>0</x:v>
      </x:c>
      <x:c r="AN5699" t="n">
        <x:v>1</x:v>
      </x:c>
    </x:row>
    <x:row r="5700" ht="23" customHeight="1">
      <x:c r="A5700" s="11" t="str">
        <x:v>688062.SH</x:v>
      </x:c>
      <x:c r="B5700" s="11" t="str">
        <x:v>三年</x:v>
      </x:c>
      <x:c r="C5700" s="11" t="str">
        <x:v>gcsf</x:v>
      </x:c>
      <x:c r="D5700" s="11" t="str">
        <x:v>2029-12-31</x:v>
      </x:c>
      <x:c r="E5700" s="11" t="str">
        <x:v>CNY</x:v>
      </x:c>
      <x:c r="F5700" s="11" t="n">
        <x:v>0.2272416153319644</x:v>
      </x:c>
      <x:c r="G5700" s="26" t="b">
        <x:v>1</x:v>
      </x:c>
      <x:c r="H5700" s="16" t="n">
        <x:v>0.36</x:v>
      </x:c>
      <x:c r="I5700" s="16" t="n">
        <x:v>0.72</x:v>
      </x:c>
      <x:c r="J5700" s="16" t="n">
        <x:v>1.5</x:v>
      </x:c>
      <x:c r="K5700" s="11" t="n">
        <x:f>CHOOSE('假设'!$B$3,H5700,I5700,J5700)</x:f>
        <x:v>0.72</x:v>
      </x:c>
      <x:c r="L5700" s="11" t="n">
        <x:f>K5700*'管线假设'!E1223*'管线假设'!F1223*'管线假设'!G1223*IF(E5700="USD",'管线假设'!I1223,1)-AM5700</x:f>
        <x:v>0.05760000000000001</x:v>
      </x:c>
      <x:c r="M5700" s="11" t="n">
        <x:f>'管线假设'!H1223</x:f>
        <x:v>0.14</x:v>
      </x:c>
      <x:c r="N5700" s="11" t="n">
        <x:f>IF(G5700,L5700*AN5700/(1+M5700)^F5700,0)</x:f>
        <x:v>0.05591023698397838</x:v>
      </x:c>
      <x:c r="AJ5700" t="n">
        <x:v>0</x:v>
      </x:c>
      <x:c r="AK5700" t="n">
        <x:v>0</x:v>
      </x:c>
      <x:c r="AL5700" t="n">
        <x:v>0</x:v>
      </x:c>
      <x:c r="AM5700" t="n">
        <x:f>CHOOSE('假设'!$B$3,AJ5700,AK5700,AL5700)</x:f>
        <x:v>0</x:v>
      </x:c>
      <x:c r="AN5700" t="n">
        <x:v>1</x:v>
      </x:c>
    </x:row>
    <x:row r="5701" ht="23" customHeight="1">
      <x:c r="A5701" s="11" t="str">
        <x:v>688062.SH</x:v>
      </x:c>
      <x:c r="B5701" s="11" t="str">
        <x:v>三年</x:v>
      </x:c>
      <x:c r="C5701" s="11" t="str">
        <x:v>gcsf</x:v>
      </x:c>
      <x:c r="D5701" s="11" t="str">
        <x:v>2030-12-31</x:v>
      </x:c>
      <x:c r="E5701" s="11" t="str">
        <x:v>CNY</x:v>
      </x:c>
      <x:c r="F5701" s="11" t="n">
        <x:v>1.2265571526351813</x:v>
      </x:c>
      <x:c r="G5701" s="26" t="b">
        <x:v>1</x:v>
      </x:c>
      <x:c r="H5701" s="16" t="n">
        <x:v>0.48</x:v>
      </x:c>
      <x:c r="I5701" s="16" t="n">
        <x:v>0.96</x:v>
      </x:c>
      <x:c r="J5701" s="16" t="n">
        <x:v>2</x:v>
      </x:c>
      <x:c r="K5701" s="11" t="n">
        <x:f>CHOOSE('假设'!$B$3,H5701,I5701,J5701)</x:f>
        <x:v>0.96</x:v>
      </x:c>
      <x:c r="L5701" s="11" t="n">
        <x:f>K5701*'管线假设'!E1223*'管线假设'!F1223*'管线假设'!G1223*IF(E5701="USD",'管线假设'!I1223,1)-AM5701</x:f>
        <x:v>0.07680000000000001</x:v>
      </x:c>
      <x:c r="M5701" s="11" t="n">
        <x:f>'管线假设'!H1223</x:f>
        <x:v>0.14</x:v>
      </x:c>
      <x:c r="N5701" s="11" t="n">
        <x:f>IF(G5701,L5701*AN5701/(1+M5701)^F5701,0)</x:f>
        <x:v>0.06539795492417616</x:v>
      </x:c>
      <x:c r="AJ5701" t="n">
        <x:v>0</x:v>
      </x:c>
      <x:c r="AK5701" t="n">
        <x:v>0</x:v>
      </x:c>
      <x:c r="AL5701" t="n">
        <x:v>0</x:v>
      </x:c>
      <x:c r="AM5701" t="n">
        <x:f>CHOOSE('假设'!$B$3,AJ5701,AK5701,AL5701)</x:f>
        <x:v>0</x:v>
      </x:c>
      <x:c r="AN5701" t="n">
        <x:v>1</x:v>
      </x:c>
    </x:row>
    <x:row r="5702" ht="23" customHeight="1">
      <x:c r="A5702" s="11" t="str">
        <x:v>688062.SH</x:v>
      </x:c>
      <x:c r="B5702" s="11" t="str">
        <x:v>三年</x:v>
      </x:c>
      <x:c r="C5702" s="11" t="str">
        <x:v>gcsf</x:v>
      </x:c>
      <x:c r="D5702" s="11" t="str">
        <x:v>2031-12-31</x:v>
      </x:c>
      <x:c r="E5702" s="11" t="str">
        <x:v>CNY</x:v>
      </x:c>
      <x:c r="F5702" s="11" t="n">
        <x:v>2.2258726899383983</x:v>
      </x:c>
      <x:c r="G5702" s="26" t="b">
        <x:v>1</x:v>
      </x:c>
      <x:c r="H5702" s="16" t="n">
        <x:v>0.6</x:v>
      </x:c>
      <x:c r="I5702" s="16" t="n">
        <x:v>1.2</x:v>
      </x:c>
      <x:c r="J5702" s="16" t="n">
        <x:v>1.74</x:v>
      </x:c>
      <x:c r="K5702" s="11" t="n">
        <x:f>CHOOSE('假设'!$B$3,H5702,I5702,J5702)</x:f>
        <x:v>1.2</x:v>
      </x:c>
      <x:c r="L5702" s="11" t="n">
        <x:f>K5702*'管线假设'!E1223*'管线假设'!F1223*'管线假设'!G1223*IF(E5702="USD",'管线假设'!I1223,1)-AM5702</x:f>
        <x:v>0.09600000000000002</x:v>
      </x:c>
      <x:c r="M5702" s="11" t="n">
        <x:f>'管线假设'!H1223</x:f>
        <x:v>0.14</x:v>
      </x:c>
      <x:c r="N5702" s="11" t="n">
        <x:f>IF(G5702,L5702*AN5702/(1+M5702)^F5702,0)</x:f>
        <x:v>0.07171471527918988</x:v>
      </x:c>
      <x:c r="AJ5702" t="n">
        <x:v>0</x:v>
      </x:c>
      <x:c r="AK5702" t="n">
        <x:v>0</x:v>
      </x:c>
      <x:c r="AL5702" t="n">
        <x:v>0</x:v>
      </x:c>
      <x:c r="AM5702" t="n">
        <x:f>CHOOSE('假设'!$B$3,AJ5702,AK5702,AL5702)</x:f>
        <x:v>0</x:v>
      </x:c>
      <x:c r="AN5702" t="n">
        <x:v>1</x:v>
      </x:c>
    </x:row>
    <x:row r="5703" ht="23" customHeight="1">
      <x:c r="A5703" s="11" t="str">
        <x:v>688062.SH</x:v>
      </x:c>
      <x:c r="B5703" s="11" t="str">
        <x:v>三年</x:v>
      </x:c>
      <x:c r="C5703" s="11" t="str">
        <x:v>gcsf</x:v>
      </x:c>
      <x:c r="D5703" s="11" t="str">
        <x:v>2032-12-31</x:v>
      </x:c>
      <x:c r="E5703" s="11" t="str">
        <x:v>CNY</x:v>
      </x:c>
      <x:c r="F5703" s="11" t="n">
        <x:v>3.2279260780287475</x:v>
      </x:c>
      <x:c r="G5703" s="26" t="b">
        <x:v>1</x:v>
      </x:c>
      <x:c r="H5703" s="16" t="n">
        <x:v>0.522</x:v>
      </x:c>
      <x:c r="I5703" s="16" t="n">
        <x:v>1.044</x:v>
      </x:c>
      <x:c r="J5703" s="16" t="n">
        <x:v>1.48</x:v>
      </x:c>
      <x:c r="K5703" s="11" t="n">
        <x:f>CHOOSE('假设'!$B$3,H5703,I5703,J5703)</x:f>
        <x:v>1.044</x:v>
      </x:c>
      <x:c r="L5703" s="11" t="n">
        <x:f>K5703*'管线假设'!E1223*'管线假设'!F1223*'管线假设'!G1223*IF(E5703="USD",'管线假设'!I1223,1)-AM5703</x:f>
        <x:v>0.08352000000000002</x:v>
      </x:c>
      <x:c r="M5703" s="11" t="n">
        <x:f>'管线假设'!H1223</x:f>
        <x:v>0.14</x:v>
      </x:c>
      <x:c r="N5703" s="11" t="n">
        <x:f>IF(G5703,L5703*AN5703/(1+M5703)^F5703,0)</x:f>
        <x:v>0.054714927999675894</x:v>
      </x:c>
      <x:c r="AJ5703" t="n">
        <x:v>0</x:v>
      </x:c>
      <x:c r="AK5703" t="n">
        <x:v>0</x:v>
      </x:c>
      <x:c r="AL5703" t="n">
        <x:v>0</x:v>
      </x:c>
      <x:c r="AM5703" t="n">
        <x:f>CHOOSE('假设'!$B$3,AJ5703,AK5703,AL5703)</x:f>
        <x:v>0</x:v>
      </x:c>
      <x:c r="AN5703" t="n">
        <x:v>1</x:v>
      </x:c>
    </x:row>
    <x:row r="5704" ht="23" customHeight="1">
      <x:c r="A5704" s="11" t="str">
        <x:v>688062.SH</x:v>
      </x:c>
      <x:c r="B5704" s="11" t="str">
        <x:v>三年</x:v>
      </x:c>
      <x:c r="C5704" s="11" t="str">
        <x:v>gcsf</x:v>
      </x:c>
      <x:c r="D5704" s="11" t="str">
        <x:v>2033-12-31</x:v>
      </x:c>
      <x:c r="E5704" s="11" t="str">
        <x:v>CNY</x:v>
      </x:c>
      <x:c r="F5704" s="11" t="n">
        <x:v>4.227241615331964</x:v>
      </x:c>
      <x:c r="G5704" s="26" t="b">
        <x:v>1</x:v>
      </x:c>
      <x:c r="H5704" s="16" t="n">
        <x:v>0.444</x:v>
      </x:c>
      <x:c r="I5704" s="16" t="n">
        <x:v>0.888</x:v>
      </x:c>
      <x:c r="J5704" s="16" t="n">
        <x:v>1.22</x:v>
      </x:c>
      <x:c r="K5704" s="11" t="n">
        <x:f>CHOOSE('假设'!$B$3,H5704,I5704,J5704)</x:f>
        <x:v>0.888</x:v>
      </x:c>
      <x:c r="L5704" s="11" t="n">
        <x:f>K5704*'管线假设'!E1223*'管线假设'!F1223*'管线假设'!G1223*IF(E5704="USD",'管线假设'!I1223,1)-AM5704</x:f>
        <x:v>0.07104000000000002</x:v>
      </x:c>
      <x:c r="M5704" s="11" t="n">
        <x:f>'管线假设'!H1223</x:f>
        <x:v>0.14</x:v>
      </x:c>
      <x:c r="N5704" s="11" t="n">
        <x:f>IF(G5704,L5704*AN5704/(1+M5704)^F5704,0)</x:f>
        <x:v>0.0408274632996119</x:v>
      </x:c>
      <x:c r="AJ5704" t="n">
        <x:v>0</x:v>
      </x:c>
      <x:c r="AK5704" t="n">
        <x:v>0</x:v>
      </x:c>
      <x:c r="AL5704" t="n">
        <x:v>0</x:v>
      </x:c>
      <x:c r="AM5704" t="n">
        <x:f>CHOOSE('假设'!$B$3,AJ5704,AK5704,AL5704)</x:f>
        <x:v>0</x:v>
      </x:c>
      <x:c r="AN5704" t="n">
        <x:v>1</x:v>
      </x:c>
    </x:row>
    <x:row r="5705" ht="23" customHeight="1">
      <x:c r="A5705" s="11" t="str">
        <x:v>688062.SH</x:v>
      </x:c>
      <x:c r="B5705" s="11" t="str">
        <x:v>三年</x:v>
      </x:c>
      <x:c r="C5705" s="11" t="str">
        <x:v>gcsf</x:v>
      </x:c>
      <x:c r="D5705" s="11" t="str">
        <x:v>2034-12-31</x:v>
      </x:c>
      <x:c r="E5705" s="11" t="str">
        <x:v>CNY</x:v>
      </x:c>
      <x:c r="F5705" s="11" t="n">
        <x:v>5.2265571526351815</x:v>
      </x:c>
      <x:c r="G5705" s="26" t="b">
        <x:v>1</x:v>
      </x:c>
      <x:c r="H5705" s="16" t="n">
        <x:v>0.366</x:v>
      </x:c>
      <x:c r="I5705" s="16" t="n">
        <x:v>0.732</x:v>
      </x:c>
      <x:c r="J5705" s="16" t="n">
        <x:v>0.96</x:v>
      </x:c>
      <x:c r="K5705" s="11" t="n">
        <x:f>CHOOSE('假设'!$B$3,H5705,I5705,J5705)</x:f>
        <x:v>0.732</x:v>
      </x:c>
      <x:c r="L5705" s="11" t="n">
        <x:f>K5705*'管线假设'!E1223*'管线假设'!F1223*'管线假设'!G1223*IF(E5705="USD",'管线假设'!I1223,1)-AM5705</x:f>
        <x:v>0.05856000000000001</x:v>
      </x:c>
      <x:c r="M5705" s="11" t="n">
        <x:f>'管线假设'!H1223</x:f>
        <x:v>0.14</x:v>
      </x:c>
      <x:c r="N5705" s="11" t="n">
        <x:f>IF(G5705,L5705*AN5705/(1+M5705)^F5705,0)</x:f>
        <x:v>0.029524639959348894</x:v>
      </x:c>
      <x:c r="AJ5705" t="n">
        <x:v>0</x:v>
      </x:c>
      <x:c r="AK5705" t="n">
        <x:v>0</x:v>
      </x:c>
      <x:c r="AL5705" t="n">
        <x:v>0</x:v>
      </x:c>
      <x:c r="AM5705" t="n">
        <x:f>CHOOSE('假设'!$B$3,AJ5705,AK5705,AL5705)</x:f>
        <x:v>0</x:v>
      </x:c>
      <x:c r="AN5705" t="n">
        <x:v>1</x:v>
      </x:c>
    </x:row>
    <x:row r="5706" ht="23" customHeight="1">
      <x:c r="A5706" s="11" t="str">
        <x:v>688062.SH</x:v>
      </x:c>
      <x:c r="B5706" s="11" t="str">
        <x:v>三年</x:v>
      </x:c>
      <x:c r="C5706" s="11" t="str">
        <x:v>gcsf</x:v>
      </x:c>
      <x:c r="D5706" s="11" t="str">
        <x:v>2035-12-31</x:v>
      </x:c>
      <x:c r="E5706" s="11" t="str">
        <x:v>CNY</x:v>
      </x:c>
      <x:c r="F5706" s="11" t="n">
        <x:v>6.225872689938399</x:v>
      </x:c>
      <x:c r="G5706" s="26" t="b">
        <x:v>1</x:v>
      </x:c>
      <x:c r="H5706" s="16" t="n">
        <x:v>0.288</x:v>
      </x:c>
      <x:c r="I5706" s="16" t="n">
        <x:v>0.576</x:v>
      </x:c>
      <x:c r="J5706" s="16" t="n">
        <x:v>0.7</x:v>
      </x:c>
      <x:c r="K5706" s="11" t="n">
        <x:f>CHOOSE('假设'!$B$3,H5706,I5706,J5706)</x:f>
        <x:v>0.576</x:v>
      </x:c>
      <x:c r="L5706" s="11" t="n">
        <x:f>K5706*'管线假设'!E1223*'管线假设'!F1223*'管线假设'!G1223*IF(E5706="USD",'管线假设'!I1223,1)-AM5706</x:f>
        <x:v>0.04608</x:v>
      </x:c>
      <x:c r="M5706" s="11" t="n">
        <x:f>'管线假设'!H1223</x:f>
        <x:v>0.14</x:v>
      </x:c>
      <x:c r="N5706" s="11" t="n">
        <x:f>IF(G5706,L5706*AN5706/(1+M5706)^F5706,0)</x:f>
        <x:v>0.020381216886732913</x:v>
      </x:c>
      <x:c r="AJ5706" t="n">
        <x:v>0</x:v>
      </x:c>
      <x:c r="AK5706" t="n">
        <x:v>0</x:v>
      </x:c>
      <x:c r="AL5706" t="n">
        <x:v>0</x:v>
      </x:c>
      <x:c r="AM5706" t="n">
        <x:f>CHOOSE('假设'!$B$3,AJ5706,AK5706,AL5706)</x:f>
        <x:v>0</x:v>
      </x:c>
      <x:c r="AN5706" t="n">
        <x:v>1</x:v>
      </x:c>
    </x:row>
    <x:row r="5707" ht="23" customHeight="1">
      <x:c r="A5707" s="11" t="str">
        <x:v>688062.SH</x:v>
      </x:c>
      <x:c r="B5707" s="11" t="str">
        <x:v>三年</x:v>
      </x:c>
      <x:c r="C5707" s="11" t="str">
        <x:v>gcsf</x:v>
      </x:c>
      <x:c r="D5707" s="11" t="str">
        <x:v>2036-12-31</x:v>
      </x:c>
      <x:c r="E5707" s="11" t="str">
        <x:v>CNY</x:v>
      </x:c>
      <x:c r="F5707" s="11" t="n">
        <x:v>7.227926078028747</x:v>
      </x:c>
      <x:c r="G5707" s="26" t="b">
        <x:v>1</x:v>
      </x:c>
      <x:c r="H5707" s="16" t="n">
        <x:v>0.21</x:v>
      </x:c>
      <x:c r="I5707" s="16" t="n">
        <x:v>0.42</x:v>
      </x:c>
      <x:c r="J5707" s="16" t="n">
        <x:v>0.43999999999999995</x:v>
      </x:c>
      <x:c r="K5707" s="11" t="n">
        <x:f>CHOOSE('假设'!$B$3,H5707,I5707,J5707)</x:f>
        <x:v>0.42</x:v>
      </x:c>
      <x:c r="L5707" s="11" t="n">
        <x:f>K5707*'管线假设'!E1223*'管线假设'!F1223*'管线假设'!G1223*IF(E5707="USD",'管线假设'!I1223,1)-AM5707</x:f>
        <x:v>0.033600000000000005</x:v>
      </x:c>
      <x:c r="M5707" s="11" t="n">
        <x:f>'管线假设'!H1223</x:f>
        <x:v>0.14</x:v>
      </x:c>
      <x:c r="N5707" s="11" t="n">
        <x:f>IF(G5707,L5707*AN5707/(1+M5707)^F5707,0)</x:f>
        <x:v>0.013032724610595764</x:v>
      </x:c>
      <x:c r="AJ5707" t="n">
        <x:v>0</x:v>
      </x:c>
      <x:c r="AK5707" t="n">
        <x:v>0</x:v>
      </x:c>
      <x:c r="AL5707" t="n">
        <x:v>0</x:v>
      </x:c>
      <x:c r="AM5707" t="n">
        <x:f>CHOOSE('假设'!$B$3,AJ5707,AK5707,AL5707)</x:f>
        <x:v>0</x:v>
      </x:c>
      <x:c r="AN5707" t="n">
        <x:v>1</x:v>
      </x:c>
    </x:row>
    <x:row r="5708" ht="23" customHeight="1">
      <x:c r="A5708" s="11" t="str">
        <x:v>688062.SH</x:v>
      </x:c>
      <x:c r="B5708" s="11" t="str">
        <x:v>三年</x:v>
      </x:c>
      <x:c r="C5708" s="11" t="str">
        <x:v>gcsf</x:v>
      </x:c>
      <x:c r="D5708" s="11" t="str">
        <x:v>2037-12-31</x:v>
      </x:c>
      <x:c r="E5708" s="11" t="str">
        <x:v>CNY</x:v>
      </x:c>
      <x:c r="F5708" s="11" t="n">
        <x:v>8.227241615331964</x:v>
      </x:c>
      <x:c r="G5708" s="26" t="b">
        <x:v>1</x:v>
      </x:c>
      <x:c r="H5708" s="16" t="n">
        <x:v>0.13199999999999998</x:v>
      </x:c>
      <x:c r="I5708" s="16" t="n">
        <x:v>0.26399999999999996</x:v>
      </x:c>
      <x:c r="J5708" s="16" t="n">
        <x:v>0.17999999999999994</x:v>
      </x:c>
      <x:c r="K5708" s="11" t="n">
        <x:f>CHOOSE('假设'!$B$3,H5708,I5708,J5708)</x:f>
        <x:v>0.26399999999999996</x:v>
      </x:c>
      <x:c r="L5708" s="11" t="n">
        <x:f>K5708*'管线假设'!E1223*'管线假设'!F1223*'管线假设'!G1223*IF(E5708="USD",'管线假设'!I1223,1)-AM5708</x:f>
        <x:v>0.02112</x:v>
      </x:c>
      <x:c r="M5708" s="11" t="n">
        <x:f>'管线假设'!H1223</x:f>
        <x:v>0.14</x:v>
      </x:c>
      <x:c r="N5708" s="11" t="n">
        <x:f>IF(G5708,L5708*AN5708/(1+M5708)^F5708,0)</x:f>
        <x:v>0.007186607938981346</x:v>
      </x:c>
      <x:c r="AJ5708" t="n">
        <x:v>0</x:v>
      </x:c>
      <x:c r="AK5708" t="n">
        <x:v>0</x:v>
      </x:c>
      <x:c r="AL5708" t="n">
        <x:v>0</x:v>
      </x:c>
      <x:c r="AM5708" t="n">
        <x:f>CHOOSE('假设'!$B$3,AJ5708,AK5708,AL5708)</x:f>
        <x:v>0</x:v>
      </x:c>
      <x:c r="AN5708" t="n">
        <x:v>1</x:v>
      </x:c>
    </x:row>
    <x:row r="5709" ht="23" customHeight="1">
      <x:c r="A5709" s="11" t="str">
        <x:v>688062.SH</x:v>
      </x:c>
      <x:c r="B5709" s="11" t="str">
        <x:v>三年</x:v>
      </x:c>
      <x:c r="C5709" s="11" t="str">
        <x:v>gcsf</x:v>
      </x:c>
      <x:c r="D5709" s="11" t="str">
        <x:v>2038-12-31</x:v>
      </x:c>
      <x:c r="E5709" s="11" t="str">
        <x:v>CNY</x:v>
      </x:c>
      <x:c r="F5709" s="11" t="n">
        <x:v>9.22655715263518</x:v>
      </x:c>
      <x:c r="G5709" s="26" t="b">
        <x:v>1</x:v>
      </x:c>
      <x:c r="H5709" s="16" t="n">
        <x:v>0.05399999999999998</x:v>
      </x:c>
      <x:c r="I5709" s="16" t="n">
        <x:v>0.10799999999999996</x:v>
      </x:c>
      <x:c r="J5709" s="16" t="n">
        <x:v>0</x:v>
      </x:c>
      <x:c r="K5709" s="11" t="n">
        <x:f>CHOOSE('假设'!$B$3,H5709,I5709,J5709)</x:f>
        <x:v>0.10799999999999996</x:v>
      </x:c>
      <x:c r="L5709" s="11" t="n">
        <x:f>K5709*'管线假设'!E1223*'管线假设'!F1223*'管线假设'!G1223*IF(E5709="USD",'管线假设'!I1223,1)-AM5709</x:f>
        <x:v>0.008639999999999998</x:v>
      </x:c>
      <x:c r="M5709" s="11" t="n">
        <x:f>'管线假设'!H1223</x:f>
        <x:v>0.14</x:v>
      </x:c>
      <x:c r="N5709" s="11" t="n">
        <x:f>IF(G5709,L5709*AN5709/(1+M5709)^F5709,0)</x:f>
        <x:v>0.0025791575925815805</x:v>
      </x:c>
      <x:c r="AJ5709" t="n">
        <x:v>0</x:v>
      </x:c>
      <x:c r="AK5709" t="n">
        <x:v>0</x:v>
      </x:c>
      <x:c r="AL5709" t="n">
        <x:v>0</x:v>
      </x:c>
      <x:c r="AM5709" t="n">
        <x:f>CHOOSE('假设'!$B$3,AJ5709,AK5709,AL5709)</x:f>
        <x:v>0</x:v>
      </x:c>
      <x:c r="AN5709" t="n">
        <x:v>1</x:v>
      </x:c>
    </x:row>
    <x:row r="5710" ht="23" customHeight="1">
      <x:c r="A5710" s="11" t="str">
        <x:v>688062.SH</x:v>
      </x:c>
      <x:c r="B5710" s="11" t="str">
        <x:v>三年</x:v>
      </x:c>
      <x:c r="C5710" s="11" t="str">
        <x:v>gcsf</x:v>
      </x:c>
      <x:c r="D5710" s="11" t="str">
        <x:v>2039-12-31</x:v>
      </x:c>
      <x:c r="E5710" s="11" t="str">
        <x:v>CNY</x:v>
      </x:c>
      <x:c r="F5710" s="11" t="n">
        <x:v>10.225872689938399</x:v>
      </x:c>
      <x:c r="G5710" s="26" t="b">
        <x:v>1</x:v>
      </x:c>
      <x:c r="H5710" s="16" t="n">
        <x:v>0</x:v>
      </x:c>
      <x:c r="I5710" s="16" t="n">
        <x:v>0</x:v>
      </x:c>
      <x:c r="J5710" s="16" t="n">
        <x:v>0</x:v>
      </x:c>
      <x:c r="K5710" s="11" t="n">
        <x:f>CHOOSE('假设'!$B$3,H5710,I5710,J5710)</x:f>
        <x:v>0</x:v>
      </x:c>
      <x:c r="L5710" s="11" t="n">
        <x:f>K5710*'管线假设'!E1223*'管线假设'!F1223*'管线假设'!G1223*IF(E5710="USD",'管线假设'!I1223,1)-AM5710</x:f>
        <x:v>0</x:v>
      </x:c>
      <x:c r="M5710" s="11" t="n">
        <x:f>'管线假设'!H1223</x:f>
        <x:v>0.14</x:v>
      </x:c>
      <x:c r="N5710" s="11" t="n">
        <x:f>IF(G5710,L5710*AN5710/(1+M5710)^F5710,0)</x:f>
        <x:v>0</x:v>
      </x:c>
      <x:c r="AJ5710" t="n">
        <x:v>0</x:v>
      </x:c>
      <x:c r="AK5710" t="n">
        <x:v>0</x:v>
      </x:c>
      <x:c r="AL5710" t="n">
        <x:v>0</x:v>
      </x:c>
      <x:c r="AM5710" t="n">
        <x:f>CHOOSE('假设'!$B$3,AJ5710,AK5710,AL5710)</x:f>
        <x:v>0</x:v>
      </x:c>
      <x:c r="AN5710" t="n">
        <x:v>1</x:v>
      </x:c>
    </x:row>
    <x:row r="5711" ht="23" customHeight="1">
      <x:c r="A5711" s="11" t="str">
        <x:v>688062.SH</x:v>
      </x:c>
      <x:c r="B5711" s="11" t="str">
        <x:v>三年</x:v>
      </x:c>
      <x:c r="C5711" s="11" t="str">
        <x:v>gcsf</x:v>
      </x:c>
      <x:c r="D5711" s="11" t="str">
        <x:v>2040-12-31</x:v>
      </x:c>
      <x:c r="E5711" s="11" t="str">
        <x:v>CNY</x:v>
      </x:c>
      <x:c r="F5711" s="11" t="n">
        <x:v>11.227926078028748</x:v>
      </x:c>
      <x:c r="G5711" s="26" t="b">
        <x:v>1</x:v>
      </x:c>
      <x:c r="H5711" s="16" t="n">
        <x:v>0</x:v>
      </x:c>
      <x:c r="I5711" s="16" t="n">
        <x:v>0</x:v>
      </x:c>
      <x:c r="J5711" s="16" t="n">
        <x:v>0</x:v>
      </x:c>
      <x:c r="K5711" s="11" t="n">
        <x:f>CHOOSE('假设'!$B$3,H5711,I5711,J5711)</x:f>
        <x:v>0</x:v>
      </x:c>
      <x:c r="L5711" s="11" t="n">
        <x:f>K5711*'管线假设'!E1223*'管线假设'!F1223*'管线假设'!G1223*IF(E5711="USD",'管线假设'!I1223,1)-AM5711</x:f>
        <x:v>0</x:v>
      </x:c>
      <x:c r="M5711" s="11" t="n">
        <x:f>'管线假设'!H1223</x:f>
        <x:v>0.14</x:v>
      </x:c>
      <x:c r="N5711" s="11" t="n">
        <x:f>IF(G5711,L5711*AN5711/(1+M5711)^F5711,0)</x:f>
        <x:v>0</x:v>
      </x:c>
      <x:c r="AJ5711" t="n">
        <x:v>0</x:v>
      </x:c>
      <x:c r="AK5711" t="n">
        <x:v>0</x:v>
      </x:c>
      <x:c r="AL5711" t="n">
        <x:v>0</x:v>
      </x:c>
      <x:c r="AM5711" t="n">
        <x:f>CHOOSE('假设'!$B$3,AJ5711,AK5711,AL5711)</x:f>
        <x:v>0</x:v>
      </x:c>
      <x:c r="AN5711" t="n">
        <x:v>1</x:v>
      </x:c>
    </x:row>
    <x:row r="5712" ht="23" customHeight="1">
      <x:c r="A5712" s="11" t="str">
        <x:v>688062.SH</x:v>
      </x:c>
      <x:c r="B5712" s="11" t="str">
        <x:v>三年</x:v>
      </x:c>
      <x:c r="C5712" s="11" t="str">
        <x:v>gcsf</x:v>
      </x:c>
      <x:c r="D5712" s="11" t="str">
        <x:v>2041-12-31</x:v>
      </x:c>
      <x:c r="E5712" s="11" t="str">
        <x:v>CNY</x:v>
      </x:c>
      <x:c r="F5712" s="11" t="n">
        <x:v>12.227241615331964</x:v>
      </x:c>
      <x:c r="G5712" s="26" t="b">
        <x:v>1</x:v>
      </x:c>
      <x:c r="H5712" s="16" t="n">
        <x:v>0</x:v>
      </x:c>
      <x:c r="I5712" s="16" t="n">
        <x:v>0</x:v>
      </x:c>
      <x:c r="J5712" s="16" t="n">
        <x:v>0</x:v>
      </x:c>
      <x:c r="K5712" s="11" t="n">
        <x:f>CHOOSE('假设'!$B$3,H5712,I5712,J5712)</x:f>
        <x:v>0</x:v>
      </x:c>
      <x:c r="L5712" s="11" t="n">
        <x:f>K5712*'管线假设'!E1223*'管线假设'!F1223*'管线假设'!G1223*IF(E5712="USD",'管线假设'!I1223,1)-AM5712</x:f>
        <x:v>0</x:v>
      </x:c>
      <x:c r="M5712" s="11" t="n">
        <x:f>'管线假设'!H1223</x:f>
        <x:v>0.14</x:v>
      </x:c>
      <x:c r="N5712" s="11" t="n">
        <x:f>IF(G5712,L5712*AN5712/(1+M5712)^F5712,0)</x:f>
        <x:v>0</x:v>
      </x:c>
      <x:c r="AJ5712" t="n">
        <x:v>0</x:v>
      </x:c>
      <x:c r="AK5712" t="n">
        <x:v>0</x:v>
      </x:c>
      <x:c r="AL5712" t="n">
        <x:v>0</x:v>
      </x:c>
      <x:c r="AM5712" t="n">
        <x:f>CHOOSE('假设'!$B$3,AJ5712,AK5712,AL5712)</x:f>
        <x:v>0</x:v>
      </x:c>
      <x:c r="AN5712" t="n">
        <x:v>1</x:v>
      </x:c>
    </x:row>
    <x:row r="5713" ht="23" customHeight="1">
      <x:c r="A5713" s="11" t="str">
        <x:v>688062.SH</x:v>
      </x:c>
      <x:c r="B5713" s="11" t="str">
        <x:v>三年</x:v>
      </x:c>
      <x:c r="C5713" s="11" t="str">
        <x:v>gcsf</x:v>
      </x:c>
      <x:c r="D5713" s="11" t="str">
        <x:v>2042-12-31</x:v>
      </x:c>
      <x:c r="E5713" s="11" t="str">
        <x:v>CNY</x:v>
      </x:c>
      <x:c r="F5713" s="11" t="n">
        <x:v>13.22655715263518</x:v>
      </x:c>
      <x:c r="G5713" s="26" t="b">
        <x:v>1</x:v>
      </x:c>
      <x:c r="H5713" s="16" t="n">
        <x:v>0</x:v>
      </x:c>
      <x:c r="I5713" s="16" t="n">
        <x:v>0</x:v>
      </x:c>
      <x:c r="J5713" s="16" t="n">
        <x:v>0</x:v>
      </x:c>
      <x:c r="K5713" s="11" t="n">
        <x:f>CHOOSE('假设'!$B$3,H5713,I5713,J5713)</x:f>
        <x:v>0</x:v>
      </x:c>
      <x:c r="L5713" s="11" t="n">
        <x:f>K5713*'管线假设'!E1223*'管线假设'!F1223*'管线假设'!G1223*IF(E5713="USD",'管线假设'!I1223,1)-AM5713</x:f>
        <x:v>0</x:v>
      </x:c>
      <x:c r="M5713" s="11" t="n">
        <x:f>'管线假设'!H1223</x:f>
        <x:v>0.14</x:v>
      </x:c>
      <x:c r="N5713" s="11" t="n">
        <x:f>IF(G5713,L5713*AN5713/(1+M5713)^F5713,0)</x:f>
        <x:v>0</x:v>
      </x:c>
      <x:c r="AJ5713" t="n">
        <x:v>0</x:v>
      </x:c>
      <x:c r="AK5713" t="n">
        <x:v>0</x:v>
      </x:c>
      <x:c r="AL5713" t="n">
        <x:v>0</x:v>
      </x:c>
      <x:c r="AM5713" t="n">
        <x:f>CHOOSE('假设'!$B$3,AJ5713,AK5713,AL5713)</x:f>
        <x:v>0</x:v>
      </x:c>
      <x:c r="AN5713" t="n">
        <x:v>1</x:v>
      </x:c>
    </x:row>
    <x:row r="5714" ht="23" customHeight="1">
      <x:c r="A5714" s="11" t="str">
        <x:v>688062.SH</x:v>
      </x:c>
      <x:c r="B5714" s="11" t="str">
        <x:v>三年</x:v>
      </x:c>
      <x:c r="C5714" s="11" t="str">
        <x:v>gcsf</x:v>
      </x:c>
      <x:c r="D5714" s="11" t="str">
        <x:v>2043-12-31</x:v>
      </x:c>
      <x:c r="E5714" s="11" t="str">
        <x:v>CNY</x:v>
      </x:c>
      <x:c r="F5714" s="11" t="n">
        <x:v>14.225872689938399</x:v>
      </x:c>
      <x:c r="G5714" s="26" t="b">
        <x:v>1</x:v>
      </x:c>
      <x:c r="H5714" s="16" t="n">
        <x:v>0</x:v>
      </x:c>
      <x:c r="I5714" s="16" t="n">
        <x:v>0</x:v>
      </x:c>
      <x:c r="J5714" s="16" t="n">
        <x:v>0</x:v>
      </x:c>
      <x:c r="K5714" s="11" t="n">
        <x:f>CHOOSE('假设'!$B$3,H5714,I5714,J5714)</x:f>
        <x:v>0</x:v>
      </x:c>
      <x:c r="L5714" s="11" t="n">
        <x:f>K5714*'管线假设'!E1223*'管线假设'!F1223*'管线假设'!G1223*IF(E5714="USD",'管线假设'!I1223,1)-AM5714</x:f>
        <x:v>0</x:v>
      </x:c>
      <x:c r="M5714" s="11" t="n">
        <x:f>'管线假设'!H1223</x:f>
        <x:v>0.14</x:v>
      </x:c>
      <x:c r="N5714" s="11" t="n">
        <x:f>IF(G5714,L5714*AN5714/(1+M5714)^F5714,0)</x:f>
        <x:v>0</x:v>
      </x:c>
      <x:c r="AJ5714" t="n">
        <x:v>0</x:v>
      </x:c>
      <x:c r="AK5714" t="n">
        <x:v>0</x:v>
      </x:c>
      <x:c r="AL5714" t="n">
        <x:v>0</x:v>
      </x:c>
      <x:c r="AM5714" t="n">
        <x:f>CHOOSE('假设'!$B$3,AJ5714,AK5714,AL5714)</x:f>
        <x:v>0</x:v>
      </x:c>
      <x:c r="AN5714" t="n">
        <x:v>1</x:v>
      </x:c>
    </x:row>
    <x:row r="5715" ht="23" customHeight="1">
      <x:c r="A5715" s="11" t="str">
        <x:v>688062.SH</x:v>
      </x:c>
      <x:c r="B5715" s="11" t="str">
        <x:v>三年</x:v>
      </x:c>
      <x:c r="C5715" s="11" t="str">
        <x:v>gcsf</x:v>
      </x:c>
      <x:c r="D5715" s="11" t="str">
        <x:v>2044-12-31</x:v>
      </x:c>
      <x:c r="E5715" s="11" t="str">
        <x:v>CNY</x:v>
      </x:c>
      <x:c r="F5715" s="11" t="n">
        <x:v>15.227926078028748</x:v>
      </x:c>
      <x:c r="G5715" s="26" t="b">
        <x:v>1</x:v>
      </x:c>
      <x:c r="H5715" s="16" t="n">
        <x:v>0</x:v>
      </x:c>
      <x:c r="I5715" s="16" t="n">
        <x:v>0</x:v>
      </x:c>
      <x:c r="J5715" s="16" t="n">
        <x:v>0</x:v>
      </x:c>
      <x:c r="K5715" s="11" t="n">
        <x:f>CHOOSE('假设'!$B$3,H5715,I5715,J5715)</x:f>
        <x:v>0</x:v>
      </x:c>
      <x:c r="L5715" s="11" t="n">
        <x:f>K5715*'管线假设'!E1223*'管线假设'!F1223*'管线假设'!G1223*IF(E5715="USD",'管线假设'!I1223,1)-AM5715</x:f>
        <x:v>0</x:v>
      </x:c>
      <x:c r="M5715" s="11" t="n">
        <x:f>'管线假设'!H1223</x:f>
        <x:v>0.14</x:v>
      </x:c>
      <x:c r="N5715" s="11" t="n">
        <x:f>IF(G5715,L5715*AN5715/(1+M5715)^F5715,0)</x:f>
        <x:v>0</x:v>
      </x:c>
      <x:c r="AJ5715" t="n">
        <x:v>0</x:v>
      </x:c>
      <x:c r="AK5715" t="n">
        <x:v>0</x:v>
      </x:c>
      <x:c r="AL5715" t="n">
        <x:v>0</x:v>
      </x:c>
      <x:c r="AM5715" t="n">
        <x:f>CHOOSE('假设'!$B$3,AJ5715,AK5715,AL5715)</x:f>
        <x:v>0</x:v>
      </x:c>
      <x:c r="AN5715" t="n">
        <x:v>1</x:v>
      </x:c>
    </x:row>
    <x:row r="5716" ht="23" customHeight="1">
      <x:c r="A5716" s="11" t="str">
        <x:v>688062.SH</x:v>
      </x:c>
      <x:c r="B5716" s="11" t="str">
        <x:v>三年</x:v>
      </x:c>
      <x:c r="C5716" s="11" t="str">
        <x:v>gcsf</x:v>
      </x:c>
      <x:c r="D5716" s="11" t="str">
        <x:v>2045-12-31</x:v>
      </x:c>
      <x:c r="E5716" s="11" t="str">
        <x:v>CNY</x:v>
      </x:c>
      <x:c r="F5716" s="11" t="n">
        <x:v>16.227241615331966</x:v>
      </x:c>
      <x:c r="G5716" s="26" t="b">
        <x:v>1</x:v>
      </x:c>
      <x:c r="H5716" s="16" t="n">
        <x:v>0</x:v>
      </x:c>
      <x:c r="I5716" s="16" t="n">
        <x:v>0</x:v>
      </x:c>
      <x:c r="J5716" s="16" t="n">
        <x:v>0</x:v>
      </x:c>
      <x:c r="K5716" s="11" t="n">
        <x:f>CHOOSE('假设'!$B$3,H5716,I5716,J5716)</x:f>
        <x:v>0</x:v>
      </x:c>
      <x:c r="L5716" s="11" t="n">
        <x:f>K5716*'管线假设'!E1223*'管线假设'!F1223*'管线假设'!G1223*IF(E5716="USD",'管线假设'!I1223,1)-AM5716</x:f>
        <x:v>0</x:v>
      </x:c>
      <x:c r="M5716" s="11" t="n">
        <x:f>'管线假设'!H1223</x:f>
        <x:v>0.14</x:v>
      </x:c>
      <x:c r="N5716" s="11" t="n">
        <x:f>IF(G5716,L5716*AN5716/(1+M5716)^F5716,0)</x:f>
        <x:v>0</x:v>
      </x:c>
      <x:c r="AJ5716" t="n">
        <x:v>0</x:v>
      </x:c>
      <x:c r="AK5716" t="n">
        <x:v>0</x:v>
      </x:c>
      <x:c r="AL5716" t="n">
        <x:v>0</x:v>
      </x:c>
      <x:c r="AM5716" t="n">
        <x:f>CHOOSE('假设'!$B$3,AJ5716,AK5716,AL5716)</x:f>
        <x:v>0</x:v>
      </x:c>
      <x:c r="AN5716" t="n">
        <x:v>1</x:v>
      </x:c>
    </x:row>
    <x:row r="5717" ht="23" customHeight="1">
      <x:c r="A5717" s="11" t="str">
        <x:v>688062.SH</x:v>
      </x:c>
      <x:c r="B5717" s="11" t="str">
        <x:v>三年</x:v>
      </x:c>
      <x:c r="C5717" s="11" t="str">
        <x:v>bfv_uc_later</x:v>
      </x:c>
      <x:c r="D5717" s="11" t="str">
        <x:v>2027-12-31</x:v>
      </x:c>
      <x:c r="E5717" s="11" t="str">
        <x:v>CNY</x:v>
      </x:c>
      <x:c r="F5717" s="11" t="n">
        <x:v>-1.7741273100616017</x:v>
      </x:c>
      <x:c r="G5717" s="26" t="b">
        <x:v>0</x:v>
      </x:c>
      <x:c r="H5717" s="16" t="n">
        <x:v>0</x:v>
      </x:c>
      <x:c r="I5717" s="16" t="n">
        <x:v>0</x:v>
      </x:c>
      <x:c r="J5717" s="16" t="n">
        <x:v>0.36000000000000004</x:v>
      </x:c>
      <x:c r="K5717" s="11" t="n">
        <x:f>CHOOSE('假设'!$B$3,H5717,I5717,J5717)</x:f>
        <x:v>0</x:v>
      </x:c>
      <x:c r="L5717" s="11" t="n">
        <x:f>K5717*'管线假设'!E1227*'管线假设'!F1227*'管线假设'!G1227*IF(E5717="USD",'管线假设'!I1227,1)-AM5717</x:f>
        <x:v>0</x:v>
      </x:c>
      <x:c r="M5717" s="11" t="n">
        <x:f>'管线假设'!H1227</x:f>
        <x:v>0.14</x:v>
      </x:c>
      <x:c r="N5717" s="11" t="n">
        <x:f>IF(G5717,L5717*AN5717/(1+M5717)^F5717,0)</x:f>
        <x:v>0</x:v>
      </x:c>
      <x:c r="AJ5717" t="n">
        <x:v>0</x:v>
      </x:c>
      <x:c r="AK5717" t="n">
        <x:v>0</x:v>
      </x:c>
      <x:c r="AL5717" t="n">
        <x:v>0</x:v>
      </x:c>
      <x:c r="AM5717" t="n">
        <x:f>CHOOSE('假设'!$B$3,AJ5717,AK5717,AL5717)</x:f>
        <x:v>0</x:v>
      </x:c>
      <x:c r="AN5717" t="n">
        <x:v>1</x:v>
      </x:c>
    </x:row>
    <x:row r="5718" ht="23" customHeight="1">
      <x:c r="A5718" s="11" t="str">
        <x:v>688062.SH</x:v>
      </x:c>
      <x:c r="B5718" s="11" t="str">
        <x:v>三年</x:v>
      </x:c>
      <x:c r="C5718" s="11" t="str">
        <x:v>bfv_uc_later</x:v>
      </x:c>
      <x:c r="D5718" s="11" t="str">
        <x:v>2028-12-31</x:v>
      </x:c>
      <x:c r="E5718" s="11" t="str">
        <x:v>CNY</x:v>
      </x:c>
      <x:c r="F5718" s="11" t="n">
        <x:v>-0.7720739219712526</x:v>
      </x:c>
      <x:c r="G5718" s="26" t="b">
        <x:v>0</x:v>
      </x:c>
      <x:c r="H5718" s="16" t="n">
        <x:v>0</x:v>
      </x:c>
      <x:c r="I5718" s="16" t="n">
        <x:v>0.22000000000000003</x:v>
      </x:c>
      <x:c r="J5718" s="16" t="n">
        <x:v>0.7200000000000001</x:v>
      </x:c>
      <x:c r="K5718" s="11" t="n">
        <x:f>CHOOSE('假设'!$B$3,H5718,I5718,J5718)</x:f>
        <x:v>0.22000000000000003</x:v>
      </x:c>
      <x:c r="L5718" s="11" t="n">
        <x:f>K5718*'管线假设'!E1227*'管线假设'!F1227*'管线假设'!G1227*IF(E5718="USD",'管线假设'!I1227,1)-AM5718</x:f>
        <x:v>0.04543440000000001</x:v>
      </x:c>
      <x:c r="M5718" s="11" t="n">
        <x:f>'管线假设'!H1227</x:f>
        <x:v>0.14</x:v>
      </x:c>
      <x:c r="N5718" s="11" t="n">
        <x:f>IF(G5718,L5718*AN5718/(1+M5718)^F5718,0)</x:f>
        <x:v>0</x:v>
      </x:c>
      <x:c r="AJ5718" t="n">
        <x:v>0</x:v>
      </x:c>
      <x:c r="AK5718" t="n">
        <x:v>0</x:v>
      </x:c>
      <x:c r="AL5718" t="n">
        <x:v>0</x:v>
      </x:c>
      <x:c r="AM5718" t="n">
        <x:f>CHOOSE('假设'!$B$3,AJ5718,AK5718,AL5718)</x:f>
        <x:v>0</x:v>
      </x:c>
      <x:c r="AN5718" t="n">
        <x:v>1</x:v>
      </x:c>
    </x:row>
    <x:row r="5719" ht="23" customHeight="1">
      <x:c r="A5719" s="11" t="str">
        <x:v>688062.SH</x:v>
      </x:c>
      <x:c r="B5719" s="11" t="str">
        <x:v>三年</x:v>
      </x:c>
      <x:c r="C5719" s="11" t="str">
        <x:v>bfv_uc_later</x:v>
      </x:c>
      <x:c r="D5719" s="11" t="str">
        <x:v>2029-12-31</x:v>
      </x:c>
      <x:c r="E5719" s="11" t="str">
        <x:v>CNY</x:v>
      </x:c>
      <x:c r="F5719" s="11" t="n">
        <x:v>0.2272416153319644</x:v>
      </x:c>
      <x:c r="G5719" s="26" t="b">
        <x:v>1</x:v>
      </x:c>
      <x:c r="H5719" s="16" t="n">
        <x:v>0.09000000000000001</x:v>
      </x:c>
      <x:c r="I5719" s="16" t="n">
        <x:v>0.44000000000000006</x:v>
      </x:c>
      <x:c r="J5719" s="16" t="n">
        <x:v>1.08</x:v>
      </x:c>
      <x:c r="K5719" s="11" t="n">
        <x:f>CHOOSE('假设'!$B$3,H5719,I5719,J5719)</x:f>
        <x:v>0.44000000000000006</x:v>
      </x:c>
      <x:c r="L5719" s="11" t="n">
        <x:f>K5719*'管线假设'!E1227*'管线假设'!F1227*'管线假设'!G1227*IF(E5719="USD",'管线假设'!I1227,1)-AM5719</x:f>
        <x:v>0.09086880000000001</x:v>
      </x:c>
      <x:c r="M5719" s="11" t="n">
        <x:f>'管线假设'!H1227</x:f>
        <x:v>0.14</x:v>
      </x:c>
      <x:c r="N5719" s="11" t="n">
        <x:f>IF(G5719,L5719*AN5719/(1+M5719)^F5719,0)</x:f>
        <x:v>0.08820305802864122</x:v>
      </x:c>
      <x:c r="AJ5719" t="n">
        <x:v>0</x:v>
      </x:c>
      <x:c r="AK5719" t="n">
        <x:v>0</x:v>
      </x:c>
      <x:c r="AL5719" t="n">
        <x:v>0</x:v>
      </x:c>
      <x:c r="AM5719" t="n">
        <x:f>CHOOSE('假设'!$B$3,AJ5719,AK5719,AL5719)</x:f>
        <x:v>0</x:v>
      </x:c>
      <x:c r="AN5719" t="n">
        <x:v>1</x:v>
      </x:c>
    </x:row>
    <x:row r="5720" ht="23" customHeight="1">
      <x:c r="A5720" s="11" t="str">
        <x:v>688062.SH</x:v>
      </x:c>
      <x:c r="B5720" s="11" t="str">
        <x:v>三年</x:v>
      </x:c>
      <x:c r="C5720" s="11" t="str">
        <x:v>bfv_uc_later</x:v>
      </x:c>
      <x:c r="D5720" s="11" t="str">
        <x:v>2030-12-31</x:v>
      </x:c>
      <x:c r="E5720" s="11" t="str">
        <x:v>CNY</x:v>
      </x:c>
      <x:c r="F5720" s="11" t="n">
        <x:v>1.2265571526351813</x:v>
      </x:c>
      <x:c r="G5720" s="26" t="b">
        <x:v>1</x:v>
      </x:c>
      <x:c r="H5720" s="16" t="n">
        <x:v>0.18000000000000002</x:v>
      </x:c>
      <x:c r="I5720" s="16" t="n">
        <x:v>0.66</x:v>
      </x:c>
      <x:c r="J5720" s="16" t="n">
        <x:v>1.4400000000000002</x:v>
      </x:c>
      <x:c r="K5720" s="11" t="n">
        <x:f>CHOOSE('假设'!$B$3,H5720,I5720,J5720)</x:f>
        <x:v>0.66</x:v>
      </x:c>
      <x:c r="L5720" s="11" t="n">
        <x:f>K5720*'管线假设'!E1227*'管线假设'!F1227*'管线假设'!G1227*IF(E5720="USD",'管线假设'!I1227,1)-AM5720</x:f>
        <x:v>0.1363032</x:v>
      </x:c>
      <x:c r="M5720" s="11" t="n">
        <x:f>'管线假设'!H1227</x:f>
        <x:v>0.14</x:v>
      </x:c>
      <x:c r="N5720" s="11" t="n">
        <x:f>IF(G5720,L5720*AN5720/(1+M5720)^F5720,0)</x:f>
        <x:v>0.11606706418777302</x:v>
      </x:c>
      <x:c r="AJ5720" t="n">
        <x:v>0</x:v>
      </x:c>
      <x:c r="AK5720" t="n">
        <x:v>0</x:v>
      </x:c>
      <x:c r="AL5720" t="n">
        <x:v>0</x:v>
      </x:c>
      <x:c r="AM5720" t="n">
        <x:f>CHOOSE('假设'!$B$3,AJ5720,AK5720,AL5720)</x:f>
        <x:v>0</x:v>
      </x:c>
      <x:c r="AN5720" t="n">
        <x:v>1</x:v>
      </x:c>
    </x:row>
    <x:row r="5721" ht="23" customHeight="1">
      <x:c r="A5721" s="11" t="str">
        <x:v>688062.SH</x:v>
      </x:c>
      <x:c r="B5721" s="11" t="str">
        <x:v>三年</x:v>
      </x:c>
      <x:c r="C5721" s="11" t="str">
        <x:v>bfv_uc_later</x:v>
      </x:c>
      <x:c r="D5721" s="11" t="str">
        <x:v>2031-12-31</x:v>
      </x:c>
      <x:c r="E5721" s="11" t="str">
        <x:v>CNY</x:v>
      </x:c>
      <x:c r="F5721" s="11" t="n">
        <x:v>2.2258726899383983</x:v>
      </x:c>
      <x:c r="G5721" s="26" t="b">
        <x:v>1</x:v>
      </x:c>
      <x:c r="H5721" s="16" t="n">
        <x:v>0.27</x:v>
      </x:c>
      <x:c r="I5721" s="16" t="n">
        <x:v>0.8800000000000001</x:v>
      </x:c>
      <x:c r="J5721" s="16" t="n">
        <x:v>1.8</x:v>
      </x:c>
      <x:c r="K5721" s="11" t="n">
        <x:f>CHOOSE('假设'!$B$3,H5721,I5721,J5721)</x:f>
        <x:v>0.8800000000000001</x:v>
      </x:c>
      <x:c r="L5721" s="11" t="n">
        <x:f>K5721*'管线假设'!E1227*'管线假设'!F1227*'管线假设'!G1227*IF(E5721="USD",'管线假设'!I1227,1)-AM5721</x:f>
        <x:v>0.18173760000000003</x:v>
      </x:c>
      <x:c r="M5721" s="11" t="n">
        <x:f>'管线假设'!H1227</x:f>
        <x:v>0.14</x:v>
      </x:c>
      <x:c r="N5721" s="11" t="n">
        <x:f>IF(G5721,L5721*AN5721/(1+M5721)^F5721,0)</x:f>
        <x:v>0.13576312749503436</x:v>
      </x:c>
      <x:c r="AJ5721" t="n">
        <x:v>0</x:v>
      </x:c>
      <x:c r="AK5721" t="n">
        <x:v>0</x:v>
      </x:c>
      <x:c r="AL5721" t="n">
        <x:v>0</x:v>
      </x:c>
      <x:c r="AM5721" t="n">
        <x:f>CHOOSE('假设'!$B$3,AJ5721,AK5721,AL5721)</x:f>
        <x:v>0</x:v>
      </x:c>
      <x:c r="AN5721" t="n">
        <x:v>1</x:v>
      </x:c>
    </x:row>
    <x:row r="5722" ht="23" customHeight="1">
      <x:c r="A5722" s="11" t="str">
        <x:v>688062.SH</x:v>
      </x:c>
      <x:c r="B5722" s="11" t="str">
        <x:v>三年</x:v>
      </x:c>
      <x:c r="C5722" s="11" t="str">
        <x:v>bfv_uc_later</x:v>
      </x:c>
      <x:c r="D5722" s="11" t="str">
        <x:v>2032-12-31</x:v>
      </x:c>
      <x:c r="E5722" s="11" t="str">
        <x:v>CNY</x:v>
      </x:c>
      <x:c r="F5722" s="11" t="n">
        <x:v>3.2279260780287475</x:v>
      </x:c>
      <x:c r="G5722" s="26" t="b">
        <x:v>1</x:v>
      </x:c>
      <x:c r="H5722" s="16" t="n">
        <x:v>0.36000000000000004</x:v>
      </x:c>
      <x:c r="I5722" s="16" t="n">
        <x:v>1.1</x:v>
      </x:c>
      <x:c r="J5722" s="16" t="n">
        <x:v>1.566</x:v>
      </x:c>
      <x:c r="K5722" s="11" t="n">
        <x:f>CHOOSE('假设'!$B$3,H5722,I5722,J5722)</x:f>
        <x:v>1.1</x:v>
      </x:c>
      <x:c r="L5722" s="11" t="n">
        <x:f>K5722*'管线假设'!E1227*'管线假设'!F1227*'管线假设'!G1227*IF(E5722="USD",'管线假设'!I1227,1)-AM5722</x:f>
        <x:v>0.22717199999999999</x:v>
      </x:c>
      <x:c r="M5722" s="11" t="n">
        <x:f>'管线假设'!H1227</x:f>
        <x:v>0.14</x:v>
      </x:c>
      <x:c r="N5722" s="11" t="n">
        <x:f>IF(G5722,L5722*AN5722/(1+M5722)^F5722,0)</x:f>
        <x:v>0.1488230318910724</x:v>
      </x:c>
      <x:c r="AJ5722" t="n">
        <x:v>0</x:v>
      </x:c>
      <x:c r="AK5722" t="n">
        <x:v>0</x:v>
      </x:c>
      <x:c r="AL5722" t="n">
        <x:v>0</x:v>
      </x:c>
      <x:c r="AM5722" t="n">
        <x:f>CHOOSE('假设'!$B$3,AJ5722,AK5722,AL5722)</x:f>
        <x:v>0</x:v>
      </x:c>
      <x:c r="AN5722" t="n">
        <x:v>1</x:v>
      </x:c>
    </x:row>
    <x:row r="5723" ht="23" customHeight="1">
      <x:c r="A5723" s="11" t="str">
        <x:v>688062.SH</x:v>
      </x:c>
      <x:c r="B5723" s="11" t="str">
        <x:v>三年</x:v>
      </x:c>
      <x:c r="C5723" s="11" t="str">
        <x:v>bfv_uc_later</x:v>
      </x:c>
      <x:c r="D5723" s="11" t="str">
        <x:v>2033-12-31</x:v>
      </x:c>
      <x:c r="E5723" s="11" t="str">
        <x:v>CNY</x:v>
      </x:c>
      <x:c r="F5723" s="11" t="n">
        <x:v>4.227241615331964</x:v>
      </x:c>
      <x:c r="G5723" s="26" t="b">
        <x:v>1</x:v>
      </x:c>
      <x:c r="H5723" s="16" t="n">
        <x:v>0.45</x:v>
      </x:c>
      <x:c r="I5723" s="16" t="n">
        <x:v>0.9570000000000001</x:v>
      </x:c>
      <x:c r="J5723" s="16" t="n">
        <x:v>1.332</x:v>
      </x:c>
      <x:c r="K5723" s="11" t="n">
        <x:f>CHOOSE('假设'!$B$3,H5723,I5723,J5723)</x:f>
        <x:v>0.9570000000000001</x:v>
      </x:c>
      <x:c r="L5723" s="11" t="n">
        <x:f>K5723*'管线假设'!E1227*'管线假设'!F1227*'管线假设'!G1227*IF(E5723="USD",'管线假设'!I1227,1)-AM5723</x:f>
        <x:v>0.19763964</x:v>
      </x:c>
      <x:c r="M5723" s="11" t="n">
        <x:f>'管线假设'!H1227</x:f>
        <x:v>0.14</x:v>
      </x:c>
      <x:c r="N5723" s="11" t="n">
        <x:f>IF(G5723,L5723*AN5723/(1+M5723)^F5723,0)</x:f>
        <x:v>0.11358565806093053</x:v>
      </x:c>
      <x:c r="AJ5723" t="n">
        <x:v>0</x:v>
      </x:c>
      <x:c r="AK5723" t="n">
        <x:v>0</x:v>
      </x:c>
      <x:c r="AL5723" t="n">
        <x:v>0</x:v>
      </x:c>
      <x:c r="AM5723" t="n">
        <x:f>CHOOSE('假设'!$B$3,AJ5723,AK5723,AL5723)</x:f>
        <x:v>0</x:v>
      </x:c>
      <x:c r="AN5723" t="n">
        <x:v>1</x:v>
      </x:c>
    </x:row>
    <x:row r="5724" ht="23" customHeight="1">
      <x:c r="A5724" s="11" t="str">
        <x:v>688062.SH</x:v>
      </x:c>
      <x:c r="B5724" s="11" t="str">
        <x:v>三年</x:v>
      </x:c>
      <x:c r="C5724" s="11" t="str">
        <x:v>bfv_uc_later</x:v>
      </x:c>
      <x:c r="D5724" s="11" t="str">
        <x:v>2034-12-31</x:v>
      </x:c>
      <x:c r="E5724" s="11" t="str">
        <x:v>CNY</x:v>
      </x:c>
      <x:c r="F5724" s="11" t="n">
        <x:v>5.2265571526351815</x:v>
      </x:c>
      <x:c r="G5724" s="26" t="b">
        <x:v>1</x:v>
      </x:c>
      <x:c r="H5724" s="16" t="n">
        <x:v>0.3915</x:v>
      </x:c>
      <x:c r="I5724" s="16" t="n">
        <x:v>0.8140000000000001</x:v>
      </x:c>
      <x:c r="J5724" s="16" t="n">
        <x:v>1.098</x:v>
      </x:c>
      <x:c r="K5724" s="11" t="n">
        <x:f>CHOOSE('假设'!$B$3,H5724,I5724,J5724)</x:f>
        <x:v>0.8140000000000001</x:v>
      </x:c>
      <x:c r="L5724" s="11" t="n">
        <x:f>K5724*'管线假设'!E1227*'管线假设'!F1227*'管线假设'!G1227*IF(E5724="USD",'管线假设'!I1227,1)-AM5724</x:f>
        <x:v>0.16810728</x:v>
      </x:c>
      <x:c r="M5724" s="11" t="n">
        <x:f>'管线假设'!H1227</x:f>
        <x:v>0.14</x:v>
      </x:c>
      <x:c r="N5724" s="11" t="n">
        <x:f>IF(G5724,L5724*AN5724/(1+M5724)^F5724,0)</x:f>
        <x:v>0.08475592412133628</x:v>
      </x:c>
      <x:c r="AJ5724" t="n">
        <x:v>0</x:v>
      </x:c>
      <x:c r="AK5724" t="n">
        <x:v>0</x:v>
      </x:c>
      <x:c r="AL5724" t="n">
        <x:v>0</x:v>
      </x:c>
      <x:c r="AM5724" t="n">
        <x:f>CHOOSE('假设'!$B$3,AJ5724,AK5724,AL5724)</x:f>
        <x:v>0</x:v>
      </x:c>
      <x:c r="AN5724" t="n">
        <x:v>1</x:v>
      </x:c>
    </x:row>
    <x:row r="5725" ht="23" customHeight="1">
      <x:c r="A5725" s="11" t="str">
        <x:v>688062.SH</x:v>
      </x:c>
      <x:c r="B5725" s="11" t="str">
        <x:v>三年</x:v>
      </x:c>
      <x:c r="C5725" s="11" t="str">
        <x:v>bfv_uc_later</x:v>
      </x:c>
      <x:c r="D5725" s="11" t="str">
        <x:v>2035-12-31</x:v>
      </x:c>
      <x:c r="E5725" s="11" t="str">
        <x:v>CNY</x:v>
      </x:c>
      <x:c r="F5725" s="11" t="n">
        <x:v>6.225872689938399</x:v>
      </x:c>
      <x:c r="G5725" s="26" t="b">
        <x:v>1</x:v>
      </x:c>
      <x:c r="H5725" s="16" t="n">
        <x:v>0.333</x:v>
      </x:c>
      <x:c r="I5725" s="16" t="n">
        <x:v>0.671</x:v>
      </x:c>
      <x:c r="J5725" s="16" t="n">
        <x:v>0.864</x:v>
      </x:c>
      <x:c r="K5725" s="11" t="n">
        <x:f>CHOOSE('假设'!$B$3,H5725,I5725,J5725)</x:f>
        <x:v>0.671</x:v>
      </x:c>
      <x:c r="L5725" s="11" t="n">
        <x:f>K5725*'管线假设'!E1227*'管线假设'!F1227*'管线假设'!G1227*IF(E5725="USD",'管线假设'!I1227,1)-AM5725</x:f>
        <x:v>0.13857492000000002</x:v>
      </x:c>
      <x:c r="M5725" s="11" t="n">
        <x:f>'管线假设'!H1227</x:f>
        <x:v>0.14</x:v>
      </x:c>
      <x:c r="N5725" s="11" t="n">
        <x:f>IF(G5725,L5725*AN5725/(1+M5725)^F5725,0)</x:f>
        <x:v>0.06129178601522706</x:v>
      </x:c>
      <x:c r="AJ5725" t="n">
        <x:v>0</x:v>
      </x:c>
      <x:c r="AK5725" t="n">
        <x:v>0</x:v>
      </x:c>
      <x:c r="AL5725" t="n">
        <x:v>0</x:v>
      </x:c>
      <x:c r="AM5725" t="n">
        <x:f>CHOOSE('假设'!$B$3,AJ5725,AK5725,AL5725)</x:f>
        <x:v>0</x:v>
      </x:c>
      <x:c r="AN5725" t="n">
        <x:v>1</x:v>
      </x:c>
    </x:row>
    <x:row r="5726" ht="23" customHeight="1">
      <x:c r="A5726" s="11" t="str">
        <x:v>688062.SH</x:v>
      </x:c>
      <x:c r="B5726" s="11" t="str">
        <x:v>三年</x:v>
      </x:c>
      <x:c r="C5726" s="11" t="str">
        <x:v>bfv_uc_later</x:v>
      </x:c>
      <x:c r="D5726" s="11" t="str">
        <x:v>2036-12-31</x:v>
      </x:c>
      <x:c r="E5726" s="11" t="str">
        <x:v>CNY</x:v>
      </x:c>
      <x:c r="F5726" s="11" t="n">
        <x:v>7.227926078028747</x:v>
      </x:c>
      <x:c r="G5726" s="26" t="b">
        <x:v>1</x:v>
      </x:c>
      <x:c r="H5726" s="16" t="n">
        <x:v>0.2745</x:v>
      </x:c>
      <x:c r="I5726" s="16" t="n">
        <x:v>0.528</x:v>
      </x:c>
      <x:c r="J5726" s="16" t="n">
        <x:v>0.63</x:v>
      </x:c>
      <x:c r="K5726" s="11" t="n">
        <x:f>CHOOSE('假设'!$B$3,H5726,I5726,J5726)</x:f>
        <x:v>0.528</x:v>
      </x:c>
      <x:c r="L5726" s="11" t="n">
        <x:f>K5726*'管线假设'!E1227*'管线假设'!F1227*'管线假设'!G1227*IF(E5726="USD",'管线假设'!I1227,1)-AM5726</x:f>
        <x:v>0.10904256</x:v>
      </x:c>
      <x:c r="M5726" s="11" t="n">
        <x:f>'管线假设'!H1227</x:f>
        <x:v>0.14</x:v>
      </x:c>
      <x:c r="N5726" s="11" t="n">
        <x:f>IF(G5726,L5726*AN5726/(1+M5726)^F5726,0)</x:f>
        <x:v>0.04229528736054658</x:v>
      </x:c>
      <x:c r="AJ5726" t="n">
        <x:v>0</x:v>
      </x:c>
      <x:c r="AK5726" t="n">
        <x:v>0</x:v>
      </x:c>
      <x:c r="AL5726" t="n">
        <x:v>0</x:v>
      </x:c>
      <x:c r="AM5726" t="n">
        <x:f>CHOOSE('假设'!$B$3,AJ5726,AK5726,AL5726)</x:f>
        <x:v>0</x:v>
      </x:c>
      <x:c r="AN5726" t="n">
        <x:v>1</x:v>
      </x:c>
    </x:row>
    <x:row r="5727" ht="23" customHeight="1">
      <x:c r="A5727" s="11" t="str">
        <x:v>688062.SH</x:v>
      </x:c>
      <x:c r="B5727" s="11" t="str">
        <x:v>三年</x:v>
      </x:c>
      <x:c r="C5727" s="11" t="str">
        <x:v>bfv_uc_later</x:v>
      </x:c>
      <x:c r="D5727" s="11" t="str">
        <x:v>2037-12-31</x:v>
      </x:c>
      <x:c r="E5727" s="11" t="str">
        <x:v>CNY</x:v>
      </x:c>
      <x:c r="F5727" s="11" t="n">
        <x:v>8.227241615331964</x:v>
      </x:c>
      <x:c r="G5727" s="26" t="b">
        <x:v>1</x:v>
      </x:c>
      <x:c r="H5727" s="16" t="n">
        <x:v>0.216</x:v>
      </x:c>
      <x:c r="I5727" s="16" t="n">
        <x:v>0.385</x:v>
      </x:c>
      <x:c r="J5727" s="16" t="n">
        <x:v>0.39599999999999996</x:v>
      </x:c>
      <x:c r="K5727" s="11" t="n">
        <x:f>CHOOSE('假设'!$B$3,H5727,I5727,J5727)</x:f>
        <x:v>0.385</x:v>
      </x:c>
      <x:c r="L5727" s="11" t="n">
        <x:f>K5727*'管线假设'!E1227*'管线假设'!F1227*'管线假设'!G1227*IF(E5727="USD",'管线假设'!I1227,1)-AM5727</x:f>
        <x:v>0.07951019999999999</x:v>
      </x:c>
      <x:c r="M5727" s="11" t="n">
        <x:f>'管线假设'!H1227</x:f>
        <x:v>0.14</x:v>
      </x:c>
      <x:c r="N5727" s="11" t="n">
        <x:f>IF(G5727,L5727*AN5727/(1+M5727)^F5727,0)</x:f>
        <x:v>0.027055333075283832</x:v>
      </x:c>
      <x:c r="AJ5727" t="n">
        <x:v>0</x:v>
      </x:c>
      <x:c r="AK5727" t="n">
        <x:v>0</x:v>
      </x:c>
      <x:c r="AL5727" t="n">
        <x:v>0</x:v>
      </x:c>
      <x:c r="AM5727" t="n">
        <x:f>CHOOSE('假设'!$B$3,AJ5727,AK5727,AL5727)</x:f>
        <x:v>0</x:v>
      </x:c>
      <x:c r="AN5727" t="n">
        <x:v>1</x:v>
      </x:c>
    </x:row>
    <x:row r="5728" ht="23" customHeight="1">
      <x:c r="A5728" s="11" t="str">
        <x:v>688062.SH</x:v>
      </x:c>
      <x:c r="B5728" s="11" t="str">
        <x:v>三年</x:v>
      </x:c>
      <x:c r="C5728" s="11" t="str">
        <x:v>bfv_uc_later</x:v>
      </x:c>
      <x:c r="D5728" s="11" t="str">
        <x:v>2038-12-31</x:v>
      </x:c>
      <x:c r="E5728" s="11" t="str">
        <x:v>CNY</x:v>
      </x:c>
      <x:c r="F5728" s="11" t="n">
        <x:v>9.22655715263518</x:v>
      </x:c>
      <x:c r="G5728" s="26" t="b">
        <x:v>1</x:v>
      </x:c>
      <x:c r="H5728" s="16" t="n">
        <x:v>0.1575</x:v>
      </x:c>
      <x:c r="I5728" s="16" t="n">
        <x:v>0.242</x:v>
      </x:c>
      <x:c r="J5728" s="16" t="n">
        <x:v>0.16199999999999995</x:v>
      </x:c>
      <x:c r="K5728" s="11" t="n">
        <x:f>CHOOSE('假设'!$B$3,H5728,I5728,J5728)</x:f>
        <x:v>0.242</x:v>
      </x:c>
      <x:c r="L5728" s="11" t="n">
        <x:f>K5728*'管线假设'!E1227*'管线假设'!F1227*'管线假设'!G1227*IF(E5728="USD",'管线假设'!I1227,1)-AM5728</x:f>
        <x:v>0.049977839999999996</x:v>
      </x:c>
      <x:c r="M5728" s="11" t="n">
        <x:f>'管线假设'!H1227</x:f>
        <x:v>0.14</x:v>
      </x:c>
      <x:c r="N5728" s="11" t="n">
        <x:f>IF(G5728,L5728*AN5728/(1+M5728)^F5728,0)</x:f>
        <x:v>0.014919065451021694</x:v>
      </x:c>
      <x:c r="AJ5728" t="n">
        <x:v>0</x:v>
      </x:c>
      <x:c r="AK5728" t="n">
        <x:v>0</x:v>
      </x:c>
      <x:c r="AL5728" t="n">
        <x:v>0</x:v>
      </x:c>
      <x:c r="AM5728" t="n">
        <x:f>CHOOSE('假设'!$B$3,AJ5728,AK5728,AL5728)</x:f>
        <x:v>0</x:v>
      </x:c>
      <x:c r="AN5728" t="n">
        <x:v>1</x:v>
      </x:c>
    </x:row>
    <x:row r="5729" ht="23" customHeight="1">
      <x:c r="A5729" s="11" t="str">
        <x:v>688062.SH</x:v>
      </x:c>
      <x:c r="B5729" s="11" t="str">
        <x:v>三年</x:v>
      </x:c>
      <x:c r="C5729" s="11" t="str">
        <x:v>bfv_uc_later</x:v>
      </x:c>
      <x:c r="D5729" s="11" t="str">
        <x:v>2039-12-31</x:v>
      </x:c>
      <x:c r="E5729" s="11" t="str">
        <x:v>CNY</x:v>
      </x:c>
      <x:c r="F5729" s="11" t="n">
        <x:v>10.225872689938399</x:v>
      </x:c>
      <x:c r="G5729" s="26" t="b">
        <x:v>1</x:v>
      </x:c>
      <x:c r="H5729" s="16" t="n">
        <x:v>0.09899999999999999</x:v>
      </x:c>
      <x:c r="I5729" s="16" t="n">
        <x:v>0.09899999999999998</x:v>
      </x:c>
      <x:c r="J5729" s="16" t="n">
        <x:v>0</x:v>
      </x:c>
      <x:c r="K5729" s="11" t="n">
        <x:f>CHOOSE('假设'!$B$3,H5729,I5729,J5729)</x:f>
        <x:v>0.09899999999999998</x:v>
      </x:c>
      <x:c r="L5729" s="11" t="n">
        <x:f>K5729*'管线假设'!E1227*'管线假设'!F1227*'管线假设'!G1227*IF(E5729="USD",'管线假设'!I1227,1)-AM5729</x:f>
        <x:v>0.02044547999999999</x:v>
      </x:c>
      <x:c r="M5729" s="11" t="n">
        <x:f>'管线假设'!H1227</x:f>
        <x:v>0.14</x:v>
      </x:c>
      <x:c r="N5729" s="11" t="n">
        <x:f>IF(G5729,L5729*AN5729/(1+M5729)^F5729,0)</x:f>
        <x:v>0.005354211786552283</x:v>
      </x:c>
      <x:c r="AJ5729" t="n">
        <x:v>0</x:v>
      </x:c>
      <x:c r="AK5729" t="n">
        <x:v>0</x:v>
      </x:c>
      <x:c r="AL5729" t="n">
        <x:v>0</x:v>
      </x:c>
      <x:c r="AM5729" t="n">
        <x:f>CHOOSE('假设'!$B$3,AJ5729,AK5729,AL5729)</x:f>
        <x:v>0</x:v>
      </x:c>
      <x:c r="AN5729" t="n">
        <x:v>1</x:v>
      </x:c>
    </x:row>
    <x:row r="5730" ht="23" customHeight="1">
      <x:c r="A5730" s="11" t="str">
        <x:v>688062.SH</x:v>
      </x:c>
      <x:c r="B5730" s="11" t="str">
        <x:v>三年</x:v>
      </x:c>
      <x:c r="C5730" s="11" t="str">
        <x:v>bfv_uc_later</x:v>
      </x:c>
      <x:c r="D5730" s="11" t="str">
        <x:v>2040-12-31</x:v>
      </x:c>
      <x:c r="E5730" s="11" t="str">
        <x:v>CNY</x:v>
      </x:c>
      <x:c r="F5730" s="11" t="n">
        <x:v>11.227926078028748</x:v>
      </x:c>
      <x:c r="G5730" s="26" t="b">
        <x:v>1</x:v>
      </x:c>
      <x:c r="H5730" s="16" t="n">
        <x:v>0.04049999999999999</x:v>
      </x:c>
      <x:c r="I5730" s="16" t="n">
        <x:v>0</x:v>
      </x:c>
      <x:c r="J5730" s="16" t="n">
        <x:v>0</x:v>
      </x:c>
      <x:c r="K5730" s="11" t="n">
        <x:f>CHOOSE('假设'!$B$3,H5730,I5730,J5730)</x:f>
        <x:v>0</x:v>
      </x:c>
      <x:c r="L5730" s="11" t="n">
        <x:f>K5730*'管线假设'!E1227*'管线假设'!F1227*'管线假设'!G1227*IF(E5730="USD",'管线假设'!I1227,1)-AM5730</x:f>
        <x:v>0</x:v>
      </x:c>
      <x:c r="M5730" s="11" t="n">
        <x:f>'管线假设'!H1227</x:f>
        <x:v>0.14</x:v>
      </x:c>
      <x:c r="N5730" s="11" t="n">
        <x:f>IF(G5730,L5730*AN5730/(1+M5730)^F5730,0)</x:f>
        <x:v>0</x:v>
      </x:c>
      <x:c r="AJ5730" t="n">
        <x:v>0</x:v>
      </x:c>
      <x:c r="AK5730" t="n">
        <x:v>0</x:v>
      </x:c>
      <x:c r="AL5730" t="n">
        <x:v>0</x:v>
      </x:c>
      <x:c r="AM5730" t="n">
        <x:f>CHOOSE('假设'!$B$3,AJ5730,AK5730,AL5730)</x:f>
        <x:v>0</x:v>
      </x:c>
      <x:c r="AN5730" t="n">
        <x:v>1</x:v>
      </x:c>
    </x:row>
    <x:row r="5731" ht="23" customHeight="1">
      <x:c r="A5731" s="11" t="str">
        <x:v>688062.SH</x:v>
      </x:c>
      <x:c r="B5731" s="11" t="str">
        <x:v>三年</x:v>
      </x:c>
      <x:c r="C5731" s="11" t="str">
        <x:v>bfv_uc_later</x:v>
      </x:c>
      <x:c r="D5731" s="11" t="str">
        <x:v>2041-12-31</x:v>
      </x:c>
      <x:c r="E5731" s="11" t="str">
        <x:v>CNY</x:v>
      </x:c>
      <x:c r="F5731" s="11" t="n">
        <x:v>12.227241615331964</x:v>
      </x:c>
      <x:c r="G5731" s="26" t="b">
        <x:v>1</x:v>
      </x:c>
      <x:c r="H5731" s="16" t="n">
        <x:v>0</x:v>
      </x:c>
      <x:c r="I5731" s="16" t="n">
        <x:v>0</x:v>
      </x:c>
      <x:c r="J5731" s="16" t="n">
        <x:v>0</x:v>
      </x:c>
      <x:c r="K5731" s="11" t="n">
        <x:f>CHOOSE('假设'!$B$3,H5731,I5731,J5731)</x:f>
        <x:v>0</x:v>
      </x:c>
      <x:c r="L5731" s="11" t="n">
        <x:f>K5731*'管线假设'!E1227*'管线假设'!F1227*'管线假设'!G1227*IF(E5731="USD",'管线假设'!I1227,1)-AM5731</x:f>
        <x:v>0</x:v>
      </x:c>
      <x:c r="M5731" s="11" t="n">
        <x:f>'管线假设'!H1227</x:f>
        <x:v>0.14</x:v>
      </x:c>
      <x:c r="N5731" s="11" t="n">
        <x:f>IF(G5731,L5731*AN5731/(1+M5731)^F5731,0)</x:f>
        <x:v>0</x:v>
      </x:c>
      <x:c r="AJ5731" t="n">
        <x:v>0</x:v>
      </x:c>
      <x:c r="AK5731" t="n">
        <x:v>0</x:v>
      </x:c>
      <x:c r="AL5731" t="n">
        <x:v>0</x:v>
      </x:c>
      <x:c r="AM5731" t="n">
        <x:f>CHOOSE('假设'!$B$3,AJ5731,AK5731,AL5731)</x:f>
        <x:v>0</x:v>
      </x:c>
      <x:c r="AN5731" t="n">
        <x:v>1</x:v>
      </x:c>
    </x:row>
    <x:row r="5732" ht="23" customHeight="1">
      <x:c r="A5732" s="11" t="str">
        <x:v>688062.SH</x:v>
      </x:c>
      <x:c r="B5732" s="11" t="str">
        <x:v>三年</x:v>
      </x:c>
      <x:c r="C5732" s="11" t="str">
        <x:v>bfv_uc_later</x:v>
      </x:c>
      <x:c r="D5732" s="11" t="str">
        <x:v>2042-12-31</x:v>
      </x:c>
      <x:c r="E5732" s="11" t="str">
        <x:v>CNY</x:v>
      </x:c>
      <x:c r="F5732" s="11" t="n">
        <x:v>13.22655715263518</x:v>
      </x:c>
      <x:c r="G5732" s="26" t="b">
        <x:v>1</x:v>
      </x:c>
      <x:c r="H5732" s="16" t="n">
        <x:v>0</x:v>
      </x:c>
      <x:c r="I5732" s="16" t="n">
        <x:v>0</x:v>
      </x:c>
      <x:c r="J5732" s="16" t="n">
        <x:v>0</x:v>
      </x:c>
      <x:c r="K5732" s="11" t="n">
        <x:f>CHOOSE('假设'!$B$3,H5732,I5732,J5732)</x:f>
        <x:v>0</x:v>
      </x:c>
      <x:c r="L5732" s="11" t="n">
        <x:f>K5732*'管线假设'!E1227*'管线假设'!F1227*'管线假设'!G1227*IF(E5732="USD",'管线假设'!I1227,1)-AM5732</x:f>
        <x:v>0</x:v>
      </x:c>
      <x:c r="M5732" s="11" t="n">
        <x:f>'管线假设'!H1227</x:f>
        <x:v>0.14</x:v>
      </x:c>
      <x:c r="N5732" s="11" t="n">
        <x:f>IF(G5732,L5732*AN5732/(1+M5732)^F5732,0)</x:f>
        <x:v>0</x:v>
      </x:c>
      <x:c r="AJ5732" t="n">
        <x:v>0</x:v>
      </x:c>
      <x:c r="AK5732" t="n">
        <x:v>0</x:v>
      </x:c>
      <x:c r="AL5732" t="n">
        <x:v>0</x:v>
      </x:c>
      <x:c r="AM5732" t="n">
        <x:f>CHOOSE('假设'!$B$3,AJ5732,AK5732,AL5732)</x:f>
        <x:v>0</x:v>
      </x:c>
      <x:c r="AN5732" t="n">
        <x:v>1</x:v>
      </x:c>
    </x:row>
    <x:row r="5733" ht="23" customHeight="1">
      <x:c r="A5733" s="11" t="str">
        <x:v>688062.SH</x:v>
      </x:c>
      <x:c r="B5733" s="11" t="str">
        <x:v>三年</x:v>
      </x:c>
      <x:c r="C5733" s="11" t="str">
        <x:v>bfv_uc_later</x:v>
      </x:c>
      <x:c r="D5733" s="11" t="str">
        <x:v>2043-12-31</x:v>
      </x:c>
      <x:c r="E5733" s="11" t="str">
        <x:v>CNY</x:v>
      </x:c>
      <x:c r="F5733" s="11" t="n">
        <x:v>14.225872689938399</x:v>
      </x:c>
      <x:c r="G5733" s="26" t="b">
        <x:v>1</x:v>
      </x:c>
      <x:c r="H5733" s="16" t="n">
        <x:v>0</x:v>
      </x:c>
      <x:c r="I5733" s="16" t="n">
        <x:v>0</x:v>
      </x:c>
      <x:c r="J5733" s="16" t="n">
        <x:v>0</x:v>
      </x:c>
      <x:c r="K5733" s="11" t="n">
        <x:f>CHOOSE('假设'!$B$3,H5733,I5733,J5733)</x:f>
        <x:v>0</x:v>
      </x:c>
      <x:c r="L5733" s="11" t="n">
        <x:f>K5733*'管线假设'!E1227*'管线假设'!F1227*'管线假设'!G1227*IF(E5733="USD",'管线假设'!I1227,1)-AM5733</x:f>
        <x:v>0</x:v>
      </x:c>
      <x:c r="M5733" s="11" t="n">
        <x:f>'管线假设'!H1227</x:f>
        <x:v>0.14</x:v>
      </x:c>
      <x:c r="N5733" s="11" t="n">
        <x:f>IF(G5733,L5733*AN5733/(1+M5733)^F5733,0)</x:f>
        <x:v>0</x:v>
      </x:c>
      <x:c r="AJ5733" t="n">
        <x:v>0</x:v>
      </x:c>
      <x:c r="AK5733" t="n">
        <x:v>0</x:v>
      </x:c>
      <x:c r="AL5733" t="n">
        <x:v>0</x:v>
      </x:c>
      <x:c r="AM5733" t="n">
        <x:f>CHOOSE('假设'!$B$3,AJ5733,AK5733,AL5733)</x:f>
        <x:v>0</x:v>
      </x:c>
      <x:c r="AN5733" t="n">
        <x:v>1</x:v>
      </x:c>
    </x:row>
    <x:row r="5734" ht="23" customHeight="1">
      <x:c r="A5734" s="11" t="str">
        <x:v>688062.SH</x:v>
      </x:c>
      <x:c r="B5734" s="11" t="str">
        <x:v>三年</x:v>
      </x:c>
      <x:c r="C5734" s="11" t="str">
        <x:v>bfv_uc_later</x:v>
      </x:c>
      <x:c r="D5734" s="11" t="str">
        <x:v>2044-12-31</x:v>
      </x:c>
      <x:c r="E5734" s="11" t="str">
        <x:v>CNY</x:v>
      </x:c>
      <x:c r="F5734" s="11" t="n">
        <x:v>15.227926078028748</x:v>
      </x:c>
      <x:c r="G5734" s="26" t="b">
        <x:v>1</x:v>
      </x:c>
      <x:c r="H5734" s="16" t="n">
        <x:v>0</x:v>
      </x:c>
      <x:c r="I5734" s="16" t="n">
        <x:v>0</x:v>
      </x:c>
      <x:c r="J5734" s="16" t="n">
        <x:v>0</x:v>
      </x:c>
      <x:c r="K5734" s="11" t="n">
        <x:f>CHOOSE('假设'!$B$3,H5734,I5734,J5734)</x:f>
        <x:v>0</x:v>
      </x:c>
      <x:c r="L5734" s="11" t="n">
        <x:f>K5734*'管线假设'!E1227*'管线假设'!F1227*'管线假设'!G1227*IF(E5734="USD",'管线假设'!I1227,1)-AM5734</x:f>
        <x:v>0</x:v>
      </x:c>
      <x:c r="M5734" s="11" t="n">
        <x:f>'管线假设'!H1227</x:f>
        <x:v>0.14</x:v>
      </x:c>
      <x:c r="N5734" s="11" t="n">
        <x:f>IF(G5734,L5734*AN5734/(1+M5734)^F5734,0)</x:f>
        <x:v>0</x:v>
      </x:c>
      <x:c r="AJ5734" t="n">
        <x:v>0</x:v>
      </x:c>
      <x:c r="AK5734" t="n">
        <x:v>0</x:v>
      </x:c>
      <x:c r="AL5734" t="n">
        <x:v>0</x:v>
      </x:c>
      <x:c r="AM5734" t="n">
        <x:f>CHOOSE('假设'!$B$3,AJ5734,AK5734,AL5734)</x:f>
        <x:v>0</x:v>
      </x:c>
      <x:c r="AN5734" t="n">
        <x:v>1</x:v>
      </x:c>
    </x:row>
    <x:row r="5735" ht="23" customHeight="1">
      <x:c r="A5735" s="11" t="str">
        <x:v>688062.SH</x:v>
      </x:c>
      <x:c r="B5735" s="11" t="str">
        <x:v>三年</x:v>
      </x:c>
      <x:c r="C5735" s="11" t="str">
        <x:v>bfv_uc_later</x:v>
      </x:c>
      <x:c r="D5735" s="11" t="str">
        <x:v>2045-12-31</x:v>
      </x:c>
      <x:c r="E5735" s="11" t="str">
        <x:v>CNY</x:v>
      </x:c>
      <x:c r="F5735" s="11" t="n">
        <x:v>16.227241615331966</x:v>
      </x:c>
      <x:c r="G5735" s="26" t="b">
        <x:v>1</x:v>
      </x:c>
      <x:c r="H5735" s="16" t="n">
        <x:v>0</x:v>
      </x:c>
      <x:c r="I5735" s="16" t="n">
        <x:v>0</x:v>
      </x:c>
      <x:c r="J5735" s="16" t="n">
        <x:v>0</x:v>
      </x:c>
      <x:c r="K5735" s="11" t="n">
        <x:f>CHOOSE('假设'!$B$3,H5735,I5735,J5735)</x:f>
        <x:v>0</x:v>
      </x:c>
      <x:c r="L5735" s="11" t="n">
        <x:f>K5735*'管线假设'!E1227*'管线假设'!F1227*'管线假设'!G1227*IF(E5735="USD",'管线假设'!I1227,1)-AM5735</x:f>
        <x:v>0</x:v>
      </x:c>
      <x:c r="M5735" s="11" t="n">
        <x:f>'管线假设'!H1227</x:f>
        <x:v>0.14</x:v>
      </x:c>
      <x:c r="N5735" s="11" t="n">
        <x:f>IF(G5735,L5735*AN5735/(1+M5735)^F5735,0)</x:f>
        <x:v>0</x:v>
      </x:c>
      <x:c r="AJ5735" t="n">
        <x:v>0</x:v>
      </x:c>
      <x:c r="AK5735" t="n">
        <x:v>0</x:v>
      </x:c>
      <x:c r="AL5735" t="n">
        <x:v>0</x:v>
      </x:c>
      <x:c r="AM5735" t="n">
        <x:f>CHOOSE('假设'!$B$3,AJ5735,AK5735,AL5735)</x:f>
        <x:v>0</x:v>
      </x:c>
      <x:c r="AN5735" t="n">
        <x:v>1</x:v>
      </x:c>
    </x:row>
    <x:row r="5736" ht="23" customHeight="1">
      <x:c r="A5736" s="11" t="str">
        <x:v>688062.SH</x:v>
      </x:c>
      <x:c r="B5736" s="11" t="str">
        <x:v>三年</x:v>
      </x:c>
      <x:c r="C5736" s="11" t="str">
        <x:v>bfv_uc_first</x:v>
      </x:c>
      <x:c r="D5736" s="11" t="str">
        <x:v>2027-12-31</x:v>
      </x:c>
      <x:c r="E5736" s="11" t="str">
        <x:v>CNY</x:v>
      </x:c>
      <x:c r="F5736" s="11" t="n">
        <x:v>-1.7741273100616017</x:v>
      </x:c>
      <x:c r="G5736" s="26" t="b">
        <x:v>0</x:v>
      </x:c>
      <x:c r="H5736" s="16" t="n">
        <x:v>0</x:v>
      </x:c>
      <x:c r="I5736" s="16" t="n">
        <x:v>0</x:v>
      </x:c>
      <x:c r="J5736" s="16" t="n">
        <x:v>0.6</x:v>
      </x:c>
      <x:c r="K5736" s="11" t="n">
        <x:f>CHOOSE('假设'!$B$3,H5736,I5736,J5736)</x:f>
        <x:v>0</x:v>
      </x:c>
      <x:c r="L5736" s="11" t="n">
        <x:f>K5736*'管线假设'!E1231*'管线假设'!F1231*'管线假设'!G1231*IF(E5736="USD",'管线假设'!I1231,1)-AM5736</x:f>
        <x:v>0</x:v>
      </x:c>
      <x:c r="M5736" s="11" t="n">
        <x:f>'管线假设'!H1231</x:f>
        <x:v>0.14</x:v>
      </x:c>
      <x:c r="N5736" s="11" t="n">
        <x:f>IF(G5736,L5736*AN5736/(1+M5736)^F5736,0)</x:f>
        <x:v>0</x:v>
      </x:c>
      <x:c r="AJ5736" t="n">
        <x:v>0</x:v>
      </x:c>
      <x:c r="AK5736" t="n">
        <x:v>0</x:v>
      </x:c>
      <x:c r="AL5736" t="n">
        <x:v>0</x:v>
      </x:c>
      <x:c r="AM5736" t="n">
        <x:f>CHOOSE('假设'!$B$3,AJ5736,AK5736,AL5736)</x:f>
        <x:v>0</x:v>
      </x:c>
      <x:c r="AN5736" t="n">
        <x:v>1</x:v>
      </x:c>
    </x:row>
    <x:row r="5737" ht="23" customHeight="1">
      <x:c r="A5737" s="11" t="str">
        <x:v>688062.SH</x:v>
      </x:c>
      <x:c r="B5737" s="11" t="str">
        <x:v>三年</x:v>
      </x:c>
      <x:c r="C5737" s="11" t="str">
        <x:v>bfv_uc_first</x:v>
      </x:c>
      <x:c r="D5737" s="11" t="str">
        <x:v>2028-12-31</x:v>
      </x:c>
      <x:c r="E5737" s="11" t="str">
        <x:v>CNY</x:v>
      </x:c>
      <x:c r="F5737" s="11" t="n">
        <x:v>-0.7720739219712526</x:v>
      </x:c>
      <x:c r="G5737" s="26" t="b">
        <x:v>0</x:v>
      </x:c>
      <x:c r="H5737" s="16" t="n">
        <x:v>0</x:v>
      </x:c>
      <x:c r="I5737" s="16" t="n">
        <x:v>0.3333333333333333</x:v>
      </x:c>
      <x:c r="J5737" s="16" t="n">
        <x:v>1.2</x:v>
      </x:c>
      <x:c r="K5737" s="11" t="n">
        <x:f>CHOOSE('假设'!$B$3,H5737,I5737,J5737)</x:f>
        <x:v>0.3333333333333333</x:v>
      </x:c>
      <x:c r="L5737" s="11" t="n">
        <x:f>K5737*'管线假设'!E1231*'管线假设'!F1231*'管线假设'!G1231*IF(E5737="USD",'管线假设'!I1231,1)-AM5737</x:f>
        <x:v>0.06309999999999999</x:v>
      </x:c>
      <x:c r="M5737" s="11" t="n">
        <x:f>'管线假设'!H1231</x:f>
        <x:v>0.14</x:v>
      </x:c>
      <x:c r="N5737" s="11" t="n">
        <x:f>IF(G5737,L5737*AN5737/(1+M5737)^F5737,0)</x:f>
        <x:v>0</x:v>
      </x:c>
      <x:c r="AJ5737" t="n">
        <x:v>0</x:v>
      </x:c>
      <x:c r="AK5737" t="n">
        <x:v>0</x:v>
      </x:c>
      <x:c r="AL5737" t="n">
        <x:v>0</x:v>
      </x:c>
      <x:c r="AM5737" t="n">
        <x:f>CHOOSE('假设'!$B$3,AJ5737,AK5737,AL5737)</x:f>
        <x:v>0</x:v>
      </x:c>
      <x:c r="AN5737" t="n">
        <x:v>1</x:v>
      </x:c>
    </x:row>
    <x:row r="5738" ht="23" customHeight="1">
      <x:c r="A5738" s="11" t="str">
        <x:v>688062.SH</x:v>
      </x:c>
      <x:c r="B5738" s="11" t="str">
        <x:v>三年</x:v>
      </x:c>
      <x:c r="C5738" s="11" t="str">
        <x:v>bfv_uc_first</x:v>
      </x:c>
      <x:c r="D5738" s="11" t="str">
        <x:v>2029-12-31</x:v>
      </x:c>
      <x:c r="E5738" s="11" t="str">
        <x:v>CNY</x:v>
      </x:c>
      <x:c r="F5738" s="11" t="n">
        <x:v>0.2272416153319644</x:v>
      </x:c>
      <x:c r="G5738" s="26" t="b">
        <x:v>1</x:v>
      </x:c>
      <x:c r="H5738" s="16" t="n">
        <x:v>0</x:v>
      </x:c>
      <x:c r="I5738" s="16" t="n">
        <x:v>0.6666666666666666</x:v>
      </x:c>
      <x:c r="J5738" s="16" t="n">
        <x:v>1.8</x:v>
      </x:c>
      <x:c r="K5738" s="11" t="n">
        <x:f>CHOOSE('假设'!$B$3,H5738,I5738,J5738)</x:f>
        <x:v>0.6666666666666666</x:v>
      </x:c>
      <x:c r="L5738" s="11" t="n">
        <x:f>K5738*'管线假设'!E1231*'管线假设'!F1231*'管线假设'!G1231*IF(E5738="USD",'管线假设'!I1231,1)-AM5738</x:f>
        <x:v>0.12619999999999998</x:v>
      </x:c>
      <x:c r="M5738" s="11" t="n">
        <x:f>'管线假设'!H1231</x:f>
        <x:v>0.14</x:v>
      </x:c>
      <x:c r="N5738" s="11" t="n">
        <x:f>IF(G5738,L5738*AN5738/(1+M5738)^F5738,0)</x:f>
        <x:v>0.12249777616975814</x:v>
      </x:c>
      <x:c r="AJ5738" t="n">
        <x:v>0</x:v>
      </x:c>
      <x:c r="AK5738" t="n">
        <x:v>0</x:v>
      </x:c>
      <x:c r="AL5738" t="n">
        <x:v>0</x:v>
      </x:c>
      <x:c r="AM5738" t="n">
        <x:f>CHOOSE('假设'!$B$3,AJ5738,AK5738,AL5738)</x:f>
        <x:v>0</x:v>
      </x:c>
      <x:c r="AN5738" t="n">
        <x:v>1</x:v>
      </x:c>
    </x:row>
    <x:row r="5739" ht="23" customHeight="1">
      <x:c r="A5739" s="11" t="str">
        <x:v>688062.SH</x:v>
      </x:c>
      <x:c r="B5739" s="11" t="str">
        <x:v>三年</x:v>
      </x:c>
      <x:c r="C5739" s="11" t="str">
        <x:v>bfv_uc_first</x:v>
      </x:c>
      <x:c r="D5739" s="11" t="str">
        <x:v>2030-12-31</x:v>
      </x:c>
      <x:c r="E5739" s="11" t="str">
        <x:v>CNY</x:v>
      </x:c>
      <x:c r="F5739" s="11" t="n">
        <x:v>1.2265571526351813</x:v>
      </x:c>
      <x:c r="G5739" s="26" t="b">
        <x:v>1</x:v>
      </x:c>
      <x:c r="H5739" s="16" t="n">
        <x:v>0.16000000000000003</x:v>
      </x:c>
      <x:c r="I5739" s="16" t="n">
        <x:v>1</x:v>
      </x:c>
      <x:c r="J5739" s="16" t="n">
        <x:v>2.4</x:v>
      </x:c>
      <x:c r="K5739" s="11" t="n">
        <x:f>CHOOSE('假设'!$B$3,H5739,I5739,J5739)</x:f>
        <x:v>1</x:v>
      </x:c>
      <x:c r="L5739" s="11" t="n">
        <x:f>K5739*'管线假设'!E1231*'管线假设'!F1231*'管线假设'!G1231*IF(E5739="USD",'管线假设'!I1231,1)-AM5739</x:f>
        <x:v>0.1893</x:v>
      </x:c>
      <x:c r="M5739" s="11" t="n">
        <x:f>'管线假设'!H1231</x:f>
        <x:v>0.14</x:v>
      </x:c>
      <x:c r="N5739" s="11" t="n">
        <x:f>IF(G5739,L5739*AN5739/(1+M5739)^F5739,0)</x:f>
        <x:v>0.16119574045763732</x:v>
      </x:c>
      <x:c r="AJ5739" t="n">
        <x:v>0</x:v>
      </x:c>
      <x:c r="AK5739" t="n">
        <x:v>0</x:v>
      </x:c>
      <x:c r="AL5739" t="n">
        <x:v>0</x:v>
      </x:c>
      <x:c r="AM5739" t="n">
        <x:f>CHOOSE('假设'!$B$3,AJ5739,AK5739,AL5739)</x:f>
        <x:v>0</x:v>
      </x:c>
      <x:c r="AN5739" t="n">
        <x:v>1</x:v>
      </x:c>
    </x:row>
    <x:row r="5740" ht="23" customHeight="1">
      <x:c r="A5740" s="11" t="str">
        <x:v>688062.SH</x:v>
      </x:c>
      <x:c r="B5740" s="11" t="str">
        <x:v>三年</x:v>
      </x:c>
      <x:c r="C5740" s="11" t="str">
        <x:v>bfv_uc_first</x:v>
      </x:c>
      <x:c r="D5740" s="11" t="str">
        <x:v>2031-12-31</x:v>
      </x:c>
      <x:c r="E5740" s="11" t="str">
        <x:v>CNY</x:v>
      </x:c>
      <x:c r="F5740" s="11" t="n">
        <x:v>2.2258726899383983</x:v>
      </x:c>
      <x:c r="G5740" s="26" t="b">
        <x:v>1</x:v>
      </x:c>
      <x:c r="H5740" s="16" t="n">
        <x:v>0.32000000000000006</x:v>
      </x:c>
      <x:c r="I5740" s="16" t="n">
        <x:v>1.3333333333333333</x:v>
      </x:c>
      <x:c r="J5740" s="16" t="n">
        <x:v>3</x:v>
      </x:c>
      <x:c r="K5740" s="11" t="n">
        <x:f>CHOOSE('假设'!$B$3,H5740,I5740,J5740)</x:f>
        <x:v>1.3333333333333333</x:v>
      </x:c>
      <x:c r="L5740" s="11" t="n">
        <x:f>K5740*'管线假设'!E1231*'管线假设'!F1231*'管线假设'!G1231*IF(E5740="USD",'管线假设'!I1231,1)-AM5740</x:f>
        <x:v>0.25239999999999996</x:v>
      </x:c>
      <x:c r="M5740" s="11" t="n">
        <x:f>'管线假设'!H1231</x:f>
        <x:v>0.14</x:v>
      </x:c>
      <x:c r="N5740" s="11" t="n">
        <x:f>IF(G5740,L5740*AN5740/(1+M5740)^F5740,0)</x:f>
        <x:v>0.18854993892153668</x:v>
      </x:c>
      <x:c r="AJ5740" t="n">
        <x:v>0</x:v>
      </x:c>
      <x:c r="AK5740" t="n">
        <x:v>0</x:v>
      </x:c>
      <x:c r="AL5740" t="n">
        <x:v>0</x:v>
      </x:c>
      <x:c r="AM5740" t="n">
        <x:f>CHOOSE('假设'!$B$3,AJ5740,AK5740,AL5740)</x:f>
        <x:v>0</x:v>
      </x:c>
      <x:c r="AN5740" t="n">
        <x:v>1</x:v>
      </x:c>
    </x:row>
    <x:row r="5741" ht="23" customHeight="1">
      <x:c r="A5741" s="11" t="str">
        <x:v>688062.SH</x:v>
      </x:c>
      <x:c r="B5741" s="11" t="str">
        <x:v>三年</x:v>
      </x:c>
      <x:c r="C5741" s="11" t="str">
        <x:v>bfv_uc_first</x:v>
      </x:c>
      <x:c r="D5741" s="11" t="str">
        <x:v>2032-12-31</x:v>
      </x:c>
      <x:c r="E5741" s="11" t="str">
        <x:v>CNY</x:v>
      </x:c>
      <x:c r="F5741" s="11" t="n">
        <x:v>3.2279260780287475</x:v>
      </x:c>
      <x:c r="G5741" s="26" t="b">
        <x:v>1</x:v>
      </x:c>
      <x:c r="H5741" s="16" t="n">
        <x:v>0.48</x:v>
      </x:c>
      <x:c r="I5741" s="16" t="n">
        <x:v>1.6666666666666667</x:v>
      </x:c>
      <x:c r="J5741" s="16" t="n">
        <x:v>3.6</x:v>
      </x:c>
      <x:c r="K5741" s="11" t="n">
        <x:f>CHOOSE('假设'!$B$3,H5741,I5741,J5741)</x:f>
        <x:v>1.6666666666666667</x:v>
      </x:c>
      <x:c r="L5741" s="11" t="n">
        <x:f>K5741*'管线假设'!E1231*'管线假设'!F1231*'管线假设'!G1231*IF(E5741="USD",'管线假设'!I1231,1)-AM5741</x:f>
        <x:v>0.3155</x:v>
      </x:c>
      <x:c r="M5741" s="11" t="n">
        <x:f>'管线假设'!H1231</x:f>
        <x:v>0.14</x:v>
      </x:c>
      <x:c r="N5741" s="11" t="n">
        <x:f>IF(G5741,L5741*AN5741/(1+M5741)^F5741,0)</x:f>
        <x:v>0.20668773687617026</x:v>
      </x:c>
      <x:c r="AJ5741" t="n">
        <x:v>0</x:v>
      </x:c>
      <x:c r="AK5741" t="n">
        <x:v>0</x:v>
      </x:c>
      <x:c r="AL5741" t="n">
        <x:v>0</x:v>
      </x:c>
      <x:c r="AM5741" t="n">
        <x:f>CHOOSE('假设'!$B$3,AJ5741,AK5741,AL5741)</x:f>
        <x:v>0</x:v>
      </x:c>
      <x:c r="AN5741" t="n">
        <x:v>1</x:v>
      </x:c>
    </x:row>
    <x:row r="5742" ht="23" customHeight="1">
      <x:c r="A5742" s="11" t="str">
        <x:v>688062.SH</x:v>
      </x:c>
      <x:c r="B5742" s="11" t="str">
        <x:v>三年</x:v>
      </x:c>
      <x:c r="C5742" s="11" t="str">
        <x:v>bfv_uc_first</x:v>
      </x:c>
      <x:c r="D5742" s="11" t="str">
        <x:v>2033-12-31</x:v>
      </x:c>
      <x:c r="E5742" s="11" t="str">
        <x:v>CNY</x:v>
      </x:c>
      <x:c r="F5742" s="11" t="n">
        <x:v>4.227241615331964</x:v>
      </x:c>
      <x:c r="G5742" s="26" t="b">
        <x:v>1</x:v>
      </x:c>
      <x:c r="H5742" s="16" t="n">
        <x:v>0.6400000000000001</x:v>
      </x:c>
      <x:c r="I5742" s="16" t="n">
        <x:v>2</x:v>
      </x:c>
      <x:c r="J5742" s="16" t="n">
        <x:v>3.132</x:v>
      </x:c>
      <x:c r="K5742" s="11" t="n">
        <x:f>CHOOSE('假设'!$B$3,H5742,I5742,J5742)</x:f>
        <x:v>2</x:v>
      </x:c>
      <x:c r="L5742" s="11" t="n">
        <x:f>K5742*'管线假设'!E1231*'管线假设'!F1231*'管线假设'!G1231*IF(E5742="USD",'管线假设'!I1231,1)-AM5742</x:f>
        <x:v>0.3786</x:v>
      </x:c>
      <x:c r="M5742" s="11" t="n">
        <x:f>'管线假设'!H1231</x:f>
        <x:v>0.14</x:v>
      </x:c>
      <x:c r="N5742" s="11" t="n">
        <x:f>IF(G5742,L5742*AN5742/(1+M5742)^F5742,0)</x:f>
        <x:v>0.21758555187546536</x:v>
      </x:c>
      <x:c r="AJ5742" t="n">
        <x:v>0</x:v>
      </x:c>
      <x:c r="AK5742" t="n">
        <x:v>0</x:v>
      </x:c>
      <x:c r="AL5742" t="n">
        <x:v>0</x:v>
      </x:c>
      <x:c r="AM5742" t="n">
        <x:f>CHOOSE('假设'!$B$3,AJ5742,AK5742,AL5742)</x:f>
        <x:v>0</x:v>
      </x:c>
      <x:c r="AN5742" t="n">
        <x:v>1</x:v>
      </x:c>
    </x:row>
    <x:row r="5743" ht="23" customHeight="1">
      <x:c r="A5743" s="11" t="str">
        <x:v>688062.SH</x:v>
      </x:c>
      <x:c r="B5743" s="11" t="str">
        <x:v>三年</x:v>
      </x:c>
      <x:c r="C5743" s="11" t="str">
        <x:v>bfv_uc_first</x:v>
      </x:c>
      <x:c r="D5743" s="11" t="str">
        <x:v>2034-12-31</x:v>
      </x:c>
      <x:c r="E5743" s="11" t="str">
        <x:v>CNY</x:v>
      </x:c>
      <x:c r="F5743" s="11" t="n">
        <x:v>5.2265571526351815</x:v>
      </x:c>
      <x:c r="G5743" s="26" t="b">
        <x:v>1</x:v>
      </x:c>
      <x:c r="H5743" s="16" t="n">
        <x:v>0.8</x:v>
      </x:c>
      <x:c r="I5743" s="16" t="n">
        <x:v>1.74</x:v>
      </x:c>
      <x:c r="J5743" s="16" t="n">
        <x:v>2.664</x:v>
      </x:c>
      <x:c r="K5743" s="11" t="n">
        <x:f>CHOOSE('假设'!$B$3,H5743,I5743,J5743)</x:f>
        <x:v>1.74</x:v>
      </x:c>
      <x:c r="L5743" s="11" t="n">
        <x:f>K5743*'管线假设'!E1231*'管线假设'!F1231*'管线假设'!G1231*IF(E5743="USD",'管线假设'!I1231,1)-AM5743</x:f>
        <x:v>0.32938199999999995</x:v>
      </x:c>
      <x:c r="M5743" s="11" t="n">
        <x:f>'管线假设'!H1231</x:f>
        <x:v>0.14</x:v>
      </x:c>
      <x:c r="N5743" s="11" t="n">
        <x:f>IF(G5743,L5743*AN5743/(1+M5743)^F5743,0)</x:f>
        <x:v>0.16606702457462866</x:v>
      </x:c>
      <x:c r="AJ5743" t="n">
        <x:v>0</x:v>
      </x:c>
      <x:c r="AK5743" t="n">
        <x:v>0</x:v>
      </x:c>
      <x:c r="AL5743" t="n">
        <x:v>0</x:v>
      </x:c>
      <x:c r="AM5743" t="n">
        <x:f>CHOOSE('假设'!$B$3,AJ5743,AK5743,AL5743)</x:f>
        <x:v>0</x:v>
      </x:c>
      <x:c r="AN5743" t="n">
        <x:v>1</x:v>
      </x:c>
    </x:row>
    <x:row r="5744" ht="23" customHeight="1">
      <x:c r="A5744" s="11" t="str">
        <x:v>688062.SH</x:v>
      </x:c>
      <x:c r="B5744" s="11" t="str">
        <x:v>三年</x:v>
      </x:c>
      <x:c r="C5744" s="11" t="str">
        <x:v>bfv_uc_first</x:v>
      </x:c>
      <x:c r="D5744" s="11" t="str">
        <x:v>2035-12-31</x:v>
      </x:c>
      <x:c r="E5744" s="11" t="str">
        <x:v>CNY</x:v>
      </x:c>
      <x:c r="F5744" s="11" t="n">
        <x:v>6.225872689938399</x:v>
      </x:c>
      <x:c r="G5744" s="26" t="b">
        <x:v>1</x:v>
      </x:c>
      <x:c r="H5744" s="16" t="n">
        <x:v>0.6960000000000001</x:v>
      </x:c>
      <x:c r="I5744" s="16" t="n">
        <x:v>1.48</x:v>
      </x:c>
      <x:c r="J5744" s="16" t="n">
        <x:v>2.196</x:v>
      </x:c>
      <x:c r="K5744" s="11" t="n">
        <x:f>CHOOSE('假设'!$B$3,H5744,I5744,J5744)</x:f>
        <x:v>1.48</x:v>
      </x:c>
      <x:c r="L5744" s="11" t="n">
        <x:f>K5744*'管线假设'!E1231*'管线假设'!F1231*'管线假设'!G1231*IF(E5744="USD",'管线假设'!I1231,1)-AM5744</x:f>
        <x:v>0.280164</x:v>
      </x:c>
      <x:c r="M5744" s="11" t="n">
        <x:f>'管线假设'!H1231</x:f>
        <x:v>0.14</x:v>
      </x:c>
      <x:c r="N5744" s="11" t="n">
        <x:f>IF(G5744,L5744*AN5744/(1+M5744)^F5744,0)</x:f>
        <x:v>0.12391673714962327</x:v>
      </x:c>
      <x:c r="AJ5744" t="n">
        <x:v>0</x:v>
      </x:c>
      <x:c r="AK5744" t="n">
        <x:v>0</x:v>
      </x:c>
      <x:c r="AL5744" t="n">
        <x:v>0</x:v>
      </x:c>
      <x:c r="AM5744" t="n">
        <x:f>CHOOSE('假设'!$B$3,AJ5744,AK5744,AL5744)</x:f>
        <x:v>0</x:v>
      </x:c>
      <x:c r="AN5744" t="n">
        <x:v>1</x:v>
      </x:c>
    </x:row>
    <x:row r="5745" ht="23" customHeight="1">
      <x:c r="A5745" s="11" t="str">
        <x:v>688062.SH</x:v>
      </x:c>
      <x:c r="B5745" s="11" t="str">
        <x:v>三年</x:v>
      </x:c>
      <x:c r="C5745" s="11" t="str">
        <x:v>bfv_uc_first</x:v>
      </x:c>
      <x:c r="D5745" s="11" t="str">
        <x:v>2036-12-31</x:v>
      </x:c>
      <x:c r="E5745" s="11" t="str">
        <x:v>CNY</x:v>
      </x:c>
      <x:c r="F5745" s="11" t="n">
        <x:v>7.227926078028747</x:v>
      </x:c>
      <x:c r="G5745" s="26" t="b">
        <x:v>1</x:v>
      </x:c>
      <x:c r="H5745" s="16" t="n">
        <x:v>0.592</x:v>
      </x:c>
      <x:c r="I5745" s="16" t="n">
        <x:v>1.22</x:v>
      </x:c>
      <x:c r="J5745" s="16" t="n">
        <x:v>1.728</x:v>
      </x:c>
      <x:c r="K5745" s="11" t="n">
        <x:f>CHOOSE('假设'!$B$3,H5745,I5745,J5745)</x:f>
        <x:v>1.22</x:v>
      </x:c>
      <x:c r="L5745" s="11" t="n">
        <x:f>K5745*'管线假设'!E1231*'管线假设'!F1231*'管线假设'!G1231*IF(E5745="USD",'管线假设'!I1231,1)-AM5745</x:f>
        <x:v>0.23094599999999998</x:v>
      </x:c>
      <x:c r="M5745" s="11" t="n">
        <x:f>'管线假设'!H1231</x:f>
        <x:v>0.14</x:v>
      </x:c>
      <x:c r="N5745" s="11" t="n">
        <x:f>IF(G5745,L5745*AN5745/(1+M5745)^F5745,0)</x:f>
        <x:v>0.08957903624757883</x:v>
      </x:c>
      <x:c r="AJ5745" t="n">
        <x:v>0</x:v>
      </x:c>
      <x:c r="AK5745" t="n">
        <x:v>0</x:v>
      </x:c>
      <x:c r="AL5745" t="n">
        <x:v>0</x:v>
      </x:c>
      <x:c r="AM5745" t="n">
        <x:f>CHOOSE('假设'!$B$3,AJ5745,AK5745,AL5745)</x:f>
        <x:v>0</x:v>
      </x:c>
      <x:c r="AN5745" t="n">
        <x:v>1</x:v>
      </x:c>
    </x:row>
    <x:row r="5746" ht="23" customHeight="1">
      <x:c r="A5746" s="11" t="str">
        <x:v>688062.SH</x:v>
      </x:c>
      <x:c r="B5746" s="11" t="str">
        <x:v>三年</x:v>
      </x:c>
      <x:c r="C5746" s="11" t="str">
        <x:v>bfv_uc_first</x:v>
      </x:c>
      <x:c r="D5746" s="11" t="str">
        <x:v>2037-12-31</x:v>
      </x:c>
      <x:c r="E5746" s="11" t="str">
        <x:v>CNY</x:v>
      </x:c>
      <x:c r="F5746" s="11" t="n">
        <x:v>8.227241615331964</x:v>
      </x:c>
      <x:c r="G5746" s="26" t="b">
        <x:v>1</x:v>
      </x:c>
      <x:c r="H5746" s="16" t="n">
        <x:v>0.488</x:v>
      </x:c>
      <x:c r="I5746" s="16" t="n">
        <x:v>0.96</x:v>
      </x:c>
      <x:c r="J5746" s="16" t="n">
        <x:v>1.26</x:v>
      </x:c>
      <x:c r="K5746" s="11" t="n">
        <x:f>CHOOSE('假设'!$B$3,H5746,I5746,J5746)</x:f>
        <x:v>0.96</x:v>
      </x:c>
      <x:c r="L5746" s="11" t="n">
        <x:f>K5746*'管线假设'!E1231*'管线假设'!F1231*'管线假设'!G1231*IF(E5746="USD",'管线假设'!I1231,1)-AM5746</x:f>
        <x:v>0.18172799999999997</x:v>
      </x:c>
      <x:c r="M5746" s="11" t="n">
        <x:f>'管线假设'!H1231</x:f>
        <x:v>0.14</x:v>
      </x:c>
      <x:c r="N5746" s="11" t="n">
        <x:f>IF(G5746,L5746*AN5746/(1+M5746)^F5746,0)</x:f>
        <x:v>0.06183749467496221</x:v>
      </x:c>
      <x:c r="AJ5746" t="n">
        <x:v>0</x:v>
      </x:c>
      <x:c r="AK5746" t="n">
        <x:v>0</x:v>
      </x:c>
      <x:c r="AL5746" t="n">
        <x:v>0</x:v>
      </x:c>
      <x:c r="AM5746" t="n">
        <x:f>CHOOSE('假设'!$B$3,AJ5746,AK5746,AL5746)</x:f>
        <x:v>0</x:v>
      </x:c>
      <x:c r="AN5746" t="n">
        <x:v>1</x:v>
      </x:c>
    </x:row>
    <x:row r="5747" ht="23" customHeight="1">
      <x:c r="A5747" s="11" t="str">
        <x:v>688062.SH</x:v>
      </x:c>
      <x:c r="B5747" s="11" t="str">
        <x:v>三年</x:v>
      </x:c>
      <x:c r="C5747" s="11" t="str">
        <x:v>bfv_uc_first</x:v>
      </x:c>
      <x:c r="D5747" s="11" t="str">
        <x:v>2038-12-31</x:v>
      </x:c>
      <x:c r="E5747" s="11" t="str">
        <x:v>CNY</x:v>
      </x:c>
      <x:c r="F5747" s="11" t="n">
        <x:v>9.22655715263518</x:v>
      </x:c>
      <x:c r="G5747" s="26" t="b">
        <x:v>1</x:v>
      </x:c>
      <x:c r="H5747" s="16" t="n">
        <x:v>0.384</x:v>
      </x:c>
      <x:c r="I5747" s="16" t="n">
        <x:v>0.7</x:v>
      </x:c>
      <x:c r="J5747" s="16" t="n">
        <x:v>0.7919999999999999</x:v>
      </x:c>
      <x:c r="K5747" s="11" t="n">
        <x:f>CHOOSE('假设'!$B$3,H5747,I5747,J5747)</x:f>
        <x:v>0.7</x:v>
      </x:c>
      <x:c r="L5747" s="11" t="n">
        <x:f>K5747*'管线假设'!E1231*'管线假设'!F1231*'管线假设'!G1231*IF(E5747="USD",'管线假设'!I1231,1)-AM5747</x:f>
        <x:v>0.13251</x:v>
      </x:c>
      <x:c r="M5747" s="11" t="n">
        <x:f>'管线假设'!H1231</x:f>
        <x:v>0.14</x:v>
      </x:c>
      <x:c r="N5747" s="11" t="n">
        <x:f>IF(G5747,L5747*AN5747/(1+M5747)^F5747,0)</x:f>
        <x:v>0.03955603849455848</x:v>
      </x:c>
      <x:c r="AJ5747" t="n">
        <x:v>0</x:v>
      </x:c>
      <x:c r="AK5747" t="n">
        <x:v>0</x:v>
      </x:c>
      <x:c r="AL5747" t="n">
        <x:v>0</x:v>
      </x:c>
      <x:c r="AM5747" t="n">
        <x:f>CHOOSE('假设'!$B$3,AJ5747,AK5747,AL5747)</x:f>
        <x:v>0</x:v>
      </x:c>
      <x:c r="AN5747" t="n">
        <x:v>1</x:v>
      </x:c>
    </x:row>
    <x:row r="5748" ht="23" customHeight="1">
      <x:c r="A5748" s="11" t="str">
        <x:v>688062.SH</x:v>
      </x:c>
      <x:c r="B5748" s="11" t="str">
        <x:v>三年</x:v>
      </x:c>
      <x:c r="C5748" s="11" t="str">
        <x:v>bfv_uc_first</x:v>
      </x:c>
      <x:c r="D5748" s="11" t="str">
        <x:v>2039-12-31</x:v>
      </x:c>
      <x:c r="E5748" s="11" t="str">
        <x:v>CNY</x:v>
      </x:c>
      <x:c r="F5748" s="11" t="n">
        <x:v>10.225872689938399</x:v>
      </x:c>
      <x:c r="G5748" s="26" t="b">
        <x:v>1</x:v>
      </x:c>
      <x:c r="H5748" s="16" t="n">
        <x:v>0.27999999999999997</x:v>
      </x:c>
      <x:c r="I5748" s="16" t="n">
        <x:v>0.43999999999999995</x:v>
      </x:c>
      <x:c r="J5748" s="16" t="n">
        <x:v>0.3239999999999999</x:v>
      </x:c>
      <x:c r="K5748" s="11" t="n">
        <x:f>CHOOSE('假设'!$B$3,H5748,I5748,J5748)</x:f>
        <x:v>0.43999999999999995</x:v>
      </x:c>
      <x:c r="L5748" s="11" t="n">
        <x:f>K5748*'管线假设'!E1231*'管线假设'!F1231*'管线假设'!G1231*IF(E5748="USD",'管线假设'!I1231,1)-AM5748</x:f>
        <x:v>0.08329199999999998</x:v>
      </x:c>
      <x:c r="M5748" s="11" t="n">
        <x:f>'管线假设'!H1231</x:f>
        <x:v>0.14</x:v>
      </x:c>
      <x:c r="N5748" s="11" t="n">
        <x:f>IF(G5748,L5748*AN5748/(1+M5748)^F5748,0)</x:f>
        <x:v>0.021812303165565827</x:v>
      </x:c>
      <x:c r="AJ5748" t="n">
        <x:v>0</x:v>
      </x:c>
      <x:c r="AK5748" t="n">
        <x:v>0</x:v>
      </x:c>
      <x:c r="AL5748" t="n">
        <x:v>0</x:v>
      </x:c>
      <x:c r="AM5748" t="n">
        <x:f>CHOOSE('假设'!$B$3,AJ5748,AK5748,AL5748)</x:f>
        <x:v>0</x:v>
      </x:c>
      <x:c r="AN5748" t="n">
        <x:v>1</x:v>
      </x:c>
    </x:row>
    <x:row r="5749" ht="23" customHeight="1">
      <x:c r="A5749" s="11" t="str">
        <x:v>688062.SH</x:v>
      </x:c>
      <x:c r="B5749" s="11" t="str">
        <x:v>三年</x:v>
      </x:c>
      <x:c r="C5749" s="11" t="str">
        <x:v>bfv_uc_first</x:v>
      </x:c>
      <x:c r="D5749" s="11" t="str">
        <x:v>2040-12-31</x:v>
      </x:c>
      <x:c r="E5749" s="11" t="str">
        <x:v>CNY</x:v>
      </x:c>
      <x:c r="F5749" s="11" t="n">
        <x:v>11.227926078028748</x:v>
      </x:c>
      <x:c r="G5749" s="26" t="b">
        <x:v>1</x:v>
      </x:c>
      <x:c r="H5749" s="16" t="n">
        <x:v>0.176</x:v>
      </x:c>
      <x:c r="I5749" s="16" t="n">
        <x:v>0.17999999999999994</x:v>
      </x:c>
      <x:c r="J5749" s="16" t="n">
        <x:v>0</x:v>
      </x:c>
      <x:c r="K5749" s="11" t="n">
        <x:f>CHOOSE('假设'!$B$3,H5749,I5749,J5749)</x:f>
        <x:v>0.17999999999999994</x:v>
      </x:c>
      <x:c r="L5749" s="11" t="n">
        <x:f>K5749*'管线假设'!E1231*'管线假设'!F1231*'管线假设'!G1231*IF(E5749="USD",'管线假设'!I1231,1)-AM5749</x:f>
        <x:v>0.034073999999999986</x:v>
      </x:c>
      <x:c r="M5749" s="11" t="n">
        <x:f>'管线假设'!H1231</x:f>
        <x:v>0.14</x:v>
      </x:c>
      <x:c r="N5749" s="11" t="n">
        <x:f>IF(G5749,L5749*AN5749/(1+M5749)^F5749,0)</x:f>
        <x:v>0.00782527583036371</x:v>
      </x:c>
      <x:c r="AJ5749" t="n">
        <x:v>0</x:v>
      </x:c>
      <x:c r="AK5749" t="n">
        <x:v>0</x:v>
      </x:c>
      <x:c r="AL5749" t="n">
        <x:v>0</x:v>
      </x:c>
      <x:c r="AM5749" t="n">
        <x:f>CHOOSE('假设'!$B$3,AJ5749,AK5749,AL5749)</x:f>
        <x:v>0</x:v>
      </x:c>
      <x:c r="AN5749" t="n">
        <x:v>1</x:v>
      </x:c>
    </x:row>
    <x:row r="5750" ht="23" customHeight="1">
      <x:c r="A5750" s="11" t="str">
        <x:v>688062.SH</x:v>
      </x:c>
      <x:c r="B5750" s="11" t="str">
        <x:v>三年</x:v>
      </x:c>
      <x:c r="C5750" s="11" t="str">
        <x:v>bfv_uc_first</x:v>
      </x:c>
      <x:c r="D5750" s="11" t="str">
        <x:v>2041-12-31</x:v>
      </x:c>
      <x:c r="E5750" s="11" t="str">
        <x:v>CNY</x:v>
      </x:c>
      <x:c r="F5750" s="11" t="n">
        <x:v>12.227241615331964</x:v>
      </x:c>
      <x:c r="G5750" s="26" t="b">
        <x:v>1</x:v>
      </x:c>
      <x:c r="H5750" s="16" t="n">
        <x:v>0.07199999999999998</x:v>
      </x:c>
      <x:c r="I5750" s="16" t="n">
        <x:v>0</x:v>
      </x:c>
      <x:c r="J5750" s="16" t="n">
        <x:v>0</x:v>
      </x:c>
      <x:c r="K5750" s="11" t="n">
        <x:f>CHOOSE('假设'!$B$3,H5750,I5750,J5750)</x:f>
        <x:v>0</x:v>
      </x:c>
      <x:c r="L5750" s="11" t="n">
        <x:f>K5750*'管线假设'!E1231*'管线假设'!F1231*'管线假设'!G1231*IF(E5750="USD",'管线假设'!I1231,1)-AM5750</x:f>
        <x:v>0</x:v>
      </x:c>
      <x:c r="M5750" s="11" t="n">
        <x:f>'管线假设'!H1231</x:f>
        <x:v>0.14</x:v>
      </x:c>
      <x:c r="N5750" s="11" t="n">
        <x:f>IF(G5750,L5750*AN5750/(1+M5750)^F5750,0)</x:f>
        <x:v>0</x:v>
      </x:c>
      <x:c r="AJ5750" t="n">
        <x:v>0</x:v>
      </x:c>
      <x:c r="AK5750" t="n">
        <x:v>0</x:v>
      </x:c>
      <x:c r="AL5750" t="n">
        <x:v>0</x:v>
      </x:c>
      <x:c r="AM5750" t="n">
        <x:f>CHOOSE('假设'!$B$3,AJ5750,AK5750,AL5750)</x:f>
        <x:v>0</x:v>
      </x:c>
      <x:c r="AN5750" t="n">
        <x:v>1</x:v>
      </x:c>
    </x:row>
    <x:row r="5751" ht="23" customHeight="1">
      <x:c r="A5751" s="11" t="str">
        <x:v>688062.SH</x:v>
      </x:c>
      <x:c r="B5751" s="11" t="str">
        <x:v>三年</x:v>
      </x:c>
      <x:c r="C5751" s="11" t="str">
        <x:v>bfv_uc_first</x:v>
      </x:c>
      <x:c r="D5751" s="11" t="str">
        <x:v>2042-12-31</x:v>
      </x:c>
      <x:c r="E5751" s="11" t="str">
        <x:v>CNY</x:v>
      </x:c>
      <x:c r="F5751" s="11" t="n">
        <x:v>13.22655715263518</x:v>
      </x:c>
      <x:c r="G5751" s="26" t="b">
        <x:v>1</x:v>
      </x:c>
      <x:c r="H5751" s="16" t="n">
        <x:v>0</x:v>
      </x:c>
      <x:c r="I5751" s="16" t="n">
        <x:v>0</x:v>
      </x:c>
      <x:c r="J5751" s="16" t="n">
        <x:v>0</x:v>
      </x:c>
      <x:c r="K5751" s="11" t="n">
        <x:f>CHOOSE('假设'!$B$3,H5751,I5751,J5751)</x:f>
        <x:v>0</x:v>
      </x:c>
      <x:c r="L5751" s="11" t="n">
        <x:f>K5751*'管线假设'!E1231*'管线假设'!F1231*'管线假设'!G1231*IF(E5751="USD",'管线假设'!I1231,1)-AM5751</x:f>
        <x:v>0</x:v>
      </x:c>
      <x:c r="M5751" s="11" t="n">
        <x:f>'管线假设'!H1231</x:f>
        <x:v>0.14</x:v>
      </x:c>
      <x:c r="N5751" s="11" t="n">
        <x:f>IF(G5751,L5751*AN5751/(1+M5751)^F5751,0)</x:f>
        <x:v>0</x:v>
      </x:c>
      <x:c r="AJ5751" t="n">
        <x:v>0</x:v>
      </x:c>
      <x:c r="AK5751" t="n">
        <x:v>0</x:v>
      </x:c>
      <x:c r="AL5751" t="n">
        <x:v>0</x:v>
      </x:c>
      <x:c r="AM5751" t="n">
        <x:f>CHOOSE('假设'!$B$3,AJ5751,AK5751,AL5751)</x:f>
        <x:v>0</x:v>
      </x:c>
      <x:c r="AN5751" t="n">
        <x:v>1</x:v>
      </x:c>
    </x:row>
    <x:row r="5752" ht="23" customHeight="1">
      <x:c r="A5752" s="11" t="str">
        <x:v>688062.SH</x:v>
      </x:c>
      <x:c r="B5752" s="11" t="str">
        <x:v>三年</x:v>
      </x:c>
      <x:c r="C5752" s="11" t="str">
        <x:v>bfv_uc_first</x:v>
      </x:c>
      <x:c r="D5752" s="11" t="str">
        <x:v>2043-12-31</x:v>
      </x:c>
      <x:c r="E5752" s="11" t="str">
        <x:v>CNY</x:v>
      </x:c>
      <x:c r="F5752" s="11" t="n">
        <x:v>14.225872689938399</x:v>
      </x:c>
      <x:c r="G5752" s="26" t="b">
        <x:v>1</x:v>
      </x:c>
      <x:c r="H5752" s="16" t="n">
        <x:v>0</x:v>
      </x:c>
      <x:c r="I5752" s="16" t="n">
        <x:v>0</x:v>
      </x:c>
      <x:c r="J5752" s="16" t="n">
        <x:v>0</x:v>
      </x:c>
      <x:c r="K5752" s="11" t="n">
        <x:f>CHOOSE('假设'!$B$3,H5752,I5752,J5752)</x:f>
        <x:v>0</x:v>
      </x:c>
      <x:c r="L5752" s="11" t="n">
        <x:f>K5752*'管线假设'!E1231*'管线假设'!F1231*'管线假设'!G1231*IF(E5752="USD",'管线假设'!I1231,1)-AM5752</x:f>
        <x:v>0</x:v>
      </x:c>
      <x:c r="M5752" s="11" t="n">
        <x:f>'管线假设'!H1231</x:f>
        <x:v>0.14</x:v>
      </x:c>
      <x:c r="N5752" s="11" t="n">
        <x:f>IF(G5752,L5752*AN5752/(1+M5752)^F5752,0)</x:f>
        <x:v>0</x:v>
      </x:c>
      <x:c r="AJ5752" t="n">
        <x:v>0</x:v>
      </x:c>
      <x:c r="AK5752" t="n">
        <x:v>0</x:v>
      </x:c>
      <x:c r="AL5752" t="n">
        <x:v>0</x:v>
      </x:c>
      <x:c r="AM5752" t="n">
        <x:f>CHOOSE('假设'!$B$3,AJ5752,AK5752,AL5752)</x:f>
        <x:v>0</x:v>
      </x:c>
      <x:c r="AN5752" t="n">
        <x:v>1</x:v>
      </x:c>
    </x:row>
    <x:row r="5753" ht="23" customHeight="1">
      <x:c r="A5753" s="11" t="str">
        <x:v>688062.SH</x:v>
      </x:c>
      <x:c r="B5753" s="11" t="str">
        <x:v>三年</x:v>
      </x:c>
      <x:c r="C5753" s="11" t="str">
        <x:v>bfv_uc_first</x:v>
      </x:c>
      <x:c r="D5753" s="11" t="str">
        <x:v>2044-12-31</x:v>
      </x:c>
      <x:c r="E5753" s="11" t="str">
        <x:v>CNY</x:v>
      </x:c>
      <x:c r="F5753" s="11" t="n">
        <x:v>15.227926078028748</x:v>
      </x:c>
      <x:c r="G5753" s="26" t="b">
        <x:v>1</x:v>
      </x:c>
      <x:c r="H5753" s="16" t="n">
        <x:v>0</x:v>
      </x:c>
      <x:c r="I5753" s="16" t="n">
        <x:v>0</x:v>
      </x:c>
      <x:c r="J5753" s="16" t="n">
        <x:v>0</x:v>
      </x:c>
      <x:c r="K5753" s="11" t="n">
        <x:f>CHOOSE('假设'!$B$3,H5753,I5753,J5753)</x:f>
        <x:v>0</x:v>
      </x:c>
      <x:c r="L5753" s="11" t="n">
        <x:f>K5753*'管线假设'!E1231*'管线假设'!F1231*'管线假设'!G1231*IF(E5753="USD",'管线假设'!I1231,1)-AM5753</x:f>
        <x:v>0</x:v>
      </x:c>
      <x:c r="M5753" s="11" t="n">
        <x:f>'管线假设'!H1231</x:f>
        <x:v>0.14</x:v>
      </x:c>
      <x:c r="N5753" s="11" t="n">
        <x:f>IF(G5753,L5753*AN5753/(1+M5753)^F5753,0)</x:f>
        <x:v>0</x:v>
      </x:c>
      <x:c r="AJ5753" t="n">
        <x:v>0</x:v>
      </x:c>
      <x:c r="AK5753" t="n">
        <x:v>0</x:v>
      </x:c>
      <x:c r="AL5753" t="n">
        <x:v>0</x:v>
      </x:c>
      <x:c r="AM5753" t="n">
        <x:f>CHOOSE('假设'!$B$3,AJ5753,AK5753,AL5753)</x:f>
        <x:v>0</x:v>
      </x:c>
      <x:c r="AN5753" t="n">
        <x:v>1</x:v>
      </x:c>
    </x:row>
    <x:row r="5754" ht="23" customHeight="1">
      <x:c r="A5754" s="11" t="str">
        <x:v>688062.SH</x:v>
      </x:c>
      <x:c r="B5754" s="11" t="str">
        <x:v>三年</x:v>
      </x:c>
      <x:c r="C5754" s="11" t="str">
        <x:v>bfv_uc_first</x:v>
      </x:c>
      <x:c r="D5754" s="11" t="str">
        <x:v>2045-12-31</x:v>
      </x:c>
      <x:c r="E5754" s="11" t="str">
        <x:v>CNY</x:v>
      </x:c>
      <x:c r="F5754" s="11" t="n">
        <x:v>16.227241615331966</x:v>
      </x:c>
      <x:c r="G5754" s="26" t="b">
        <x:v>1</x:v>
      </x:c>
      <x:c r="H5754" s="16" t="n">
        <x:v>0</x:v>
      </x:c>
      <x:c r="I5754" s="16" t="n">
        <x:v>0</x:v>
      </x:c>
      <x:c r="J5754" s="16" t="n">
        <x:v>0</x:v>
      </x:c>
      <x:c r="K5754" s="11" t="n">
        <x:f>CHOOSE('假设'!$B$3,H5754,I5754,J5754)</x:f>
        <x:v>0</x:v>
      </x:c>
      <x:c r="L5754" s="11" t="n">
        <x:f>K5754*'管线假设'!E1231*'管线假设'!F1231*'管线假设'!G1231*IF(E5754="USD",'管线假设'!I1231,1)-AM5754</x:f>
        <x:v>0</x:v>
      </x:c>
      <x:c r="M5754" s="11" t="n">
        <x:f>'管线假设'!H1231</x:f>
        <x:v>0.14</x:v>
      </x:c>
      <x:c r="N5754" s="11" t="n">
        <x:f>IF(G5754,L5754*AN5754/(1+M5754)^F5754,0)</x:f>
        <x:v>0</x:v>
      </x:c>
      <x:c r="AJ5754" t="n">
        <x:v>0</x:v>
      </x:c>
      <x:c r="AK5754" t="n">
        <x:v>0</x:v>
      </x:c>
      <x:c r="AL5754" t="n">
        <x:v>0</x:v>
      </x:c>
      <x:c r="AM5754" t="n">
        <x:f>CHOOSE('假设'!$B$3,AJ5754,AK5754,AL5754)</x:f>
        <x:v>0</x:v>
      </x:c>
      <x:c r="AN5754" t="n">
        <x:v>1</x:v>
      </x:c>
    </x:row>
    <x:row r="5755" ht="23" customHeight="1">
      <x:c r="A5755" s="11" t="str">
        <x:v>688062.SH</x:v>
      </x:c>
      <x:c r="B5755" s="11" t="str">
        <x:v>三年</x:v>
      </x:c>
      <x:c r="C5755" s="11" t="str">
        <x:v>bfv_cervix</x:v>
      </x:c>
      <x:c r="D5755" s="11" t="str">
        <x:v>2027-12-31</x:v>
      </x:c>
      <x:c r="E5755" s="11" t="str">
        <x:v>CNY</x:v>
      </x:c>
      <x:c r="F5755" s="11" t="n">
        <x:v>-1.7741273100616017</x:v>
      </x:c>
      <x:c r="G5755" s="26" t="b">
        <x:v>0</x:v>
      </x:c>
      <x:c r="H5755" s="16" t="n">
        <x:v>0</x:v>
      </x:c>
      <x:c r="I5755" s="16" t="n">
        <x:v>0</x:v>
      </x:c>
      <x:c r="J5755" s="16" t="n">
        <x:v>0.39999999999999997</x:v>
      </x:c>
      <x:c r="K5755" s="11" t="n">
        <x:f>CHOOSE('假设'!$B$3,H5755,I5755,J5755)</x:f>
        <x:v>0</x:v>
      </x:c>
      <x:c r="L5755" s="11" t="n">
        <x:f>K5755*'管线假设'!E1235*'管线假设'!F1235*'管线假设'!G1235*IF(E5755="USD",'管线假设'!I1235,1)-AM5755</x:f>
        <x:v>0</x:v>
      </x:c>
      <x:c r="M5755" s="11" t="n">
        <x:f>'管线假设'!H1235</x:f>
        <x:v>0.14</x:v>
      </x:c>
      <x:c r="N5755" s="11" t="n">
        <x:f>IF(G5755,L5755*AN5755/(1+M5755)^F5755,0)</x:f>
        <x:v>0</x:v>
      </x:c>
      <x:c r="AJ5755" t="n">
        <x:v>0</x:v>
      </x:c>
      <x:c r="AK5755" t="n">
        <x:v>0</x:v>
      </x:c>
      <x:c r="AL5755" t="n">
        <x:v>0</x:v>
      </x:c>
      <x:c r="AM5755" t="n">
        <x:f>CHOOSE('假设'!$B$3,AJ5755,AK5755,AL5755)</x:f>
        <x:v>0</x:v>
      </x:c>
      <x:c r="AN5755" t="n">
        <x:v>1</x:v>
      </x:c>
    </x:row>
    <x:row r="5756" ht="23" customHeight="1">
      <x:c r="A5756" s="11" t="str">
        <x:v>688062.SH</x:v>
      </x:c>
      <x:c r="B5756" s="11" t="str">
        <x:v>三年</x:v>
      </x:c>
      <x:c r="C5756" s="11" t="str">
        <x:v>bfv_cervix</x:v>
      </x:c>
      <x:c r="D5756" s="11" t="str">
        <x:v>2028-12-31</x:v>
      </x:c>
      <x:c r="E5756" s="11" t="str">
        <x:v>CNY</x:v>
      </x:c>
      <x:c r="F5756" s="11" t="n">
        <x:v>-0.7720739219712526</x:v>
      </x:c>
      <x:c r="G5756" s="26" t="b">
        <x:v>0</x:v>
      </x:c>
      <x:c r="H5756" s="16" t="n">
        <x:v>0</x:v>
      </x:c>
      <x:c r="I5756" s="16" t="n">
        <x:v>0.2333333333333333</x:v>
      </x:c>
      <x:c r="J5756" s="16" t="n">
        <x:v>0.7999999999999999</x:v>
      </x:c>
      <x:c r="K5756" s="11" t="n">
        <x:f>CHOOSE('假设'!$B$3,H5756,I5756,J5756)</x:f>
        <x:v>0.2333333333333333</x:v>
      </x:c>
      <x:c r="L5756" s="11" t="n">
        <x:f>K5756*'管线假设'!E1235*'管线假设'!F1235*'管线假设'!G1235*IF(E5756="USD",'管线假设'!I1235,1)-AM5756</x:f>
        <x:v>0.04015199999999999</x:v>
      </x:c>
      <x:c r="M5756" s="11" t="n">
        <x:f>'管线假设'!H1235</x:f>
        <x:v>0.14</x:v>
      </x:c>
      <x:c r="N5756" s="11" t="n">
        <x:f>IF(G5756,L5756*AN5756/(1+M5756)^F5756,0)</x:f>
        <x:v>0</x:v>
      </x:c>
      <x:c r="AJ5756" t="n">
        <x:v>0</x:v>
      </x:c>
      <x:c r="AK5756" t="n">
        <x:v>0</x:v>
      </x:c>
      <x:c r="AL5756" t="n">
        <x:v>0</x:v>
      </x:c>
      <x:c r="AM5756" t="n">
        <x:f>CHOOSE('假设'!$B$3,AJ5756,AK5756,AL5756)</x:f>
        <x:v>0</x:v>
      </x:c>
      <x:c r="AN5756" t="n">
        <x:v>1</x:v>
      </x:c>
    </x:row>
    <x:row r="5757" ht="23" customHeight="1">
      <x:c r="A5757" s="11" t="str">
        <x:v>688062.SH</x:v>
      </x:c>
      <x:c r="B5757" s="11" t="str">
        <x:v>三年</x:v>
      </x:c>
      <x:c r="C5757" s="11" t="str">
        <x:v>bfv_cervix</x:v>
      </x:c>
      <x:c r="D5757" s="11" t="str">
        <x:v>2029-12-31</x:v>
      </x:c>
      <x:c r="E5757" s="11" t="str">
        <x:v>CNY</x:v>
      </x:c>
      <x:c r="F5757" s="11" t="n">
        <x:v>0.2272416153319644</x:v>
      </x:c>
      <x:c r="G5757" s="26" t="b">
        <x:v>1</x:v>
      </x:c>
      <x:c r="H5757" s="16" t="n">
        <x:v>0</x:v>
      </x:c>
      <x:c r="I5757" s="16" t="n">
        <x:v>0.4666666666666666</x:v>
      </x:c>
      <x:c r="J5757" s="16" t="n">
        <x:v>1.2</x:v>
      </x:c>
      <x:c r="K5757" s="11" t="n">
        <x:f>CHOOSE('假设'!$B$3,H5757,I5757,J5757)</x:f>
        <x:v>0.4666666666666666</x:v>
      </x:c>
      <x:c r="L5757" s="11" t="n">
        <x:f>K5757*'管线假设'!E1235*'管线假设'!F1235*'管线假设'!G1235*IF(E5757="USD",'管线假设'!I1235,1)-AM5757</x:f>
        <x:v>0.08030399999999999</x:v>
      </x:c>
      <x:c r="M5757" s="11" t="n">
        <x:f>'管线假设'!H1235</x:f>
        <x:v>0.14</x:v>
      </x:c>
      <x:c r="N5757" s="11" t="n">
        <x:f>IF(G5757,L5757*AN5757/(1+M5757)^F5757,0)</x:f>
        <x:v>0.07794818872849649</x:v>
      </x:c>
      <x:c r="AJ5757" t="n">
        <x:v>0</x:v>
      </x:c>
      <x:c r="AK5757" t="n">
        <x:v>0</x:v>
      </x:c>
      <x:c r="AL5757" t="n">
        <x:v>0</x:v>
      </x:c>
      <x:c r="AM5757" t="n">
        <x:f>CHOOSE('假设'!$B$3,AJ5757,AK5757,AL5757)</x:f>
        <x:v>0</x:v>
      </x:c>
      <x:c r="AN5757" t="n">
        <x:v>1</x:v>
      </x:c>
    </x:row>
    <x:row r="5758" ht="23" customHeight="1">
      <x:c r="A5758" s="11" t="str">
        <x:v>688062.SH</x:v>
      </x:c>
      <x:c r="B5758" s="11" t="str">
        <x:v>三年</x:v>
      </x:c>
      <x:c r="C5758" s="11" t="str">
        <x:v>bfv_cervix</x:v>
      </x:c>
      <x:c r="D5758" s="11" t="str">
        <x:v>2030-12-31</x:v>
      </x:c>
      <x:c r="E5758" s="11" t="str">
        <x:v>CNY</x:v>
      </x:c>
      <x:c r="F5758" s="11" t="n">
        <x:v>1.2265571526351813</x:v>
      </x:c>
      <x:c r="G5758" s="26" t="b">
        <x:v>1</x:v>
      </x:c>
      <x:c r="H5758" s="16" t="n">
        <x:v>0.12</x:v>
      </x:c>
      <x:c r="I5758" s="16" t="n">
        <x:v>0.7</x:v>
      </x:c>
      <x:c r="J5758" s="16" t="n">
        <x:v>1.5999999999999999</x:v>
      </x:c>
      <x:c r="K5758" s="11" t="n">
        <x:f>CHOOSE('假设'!$B$3,H5758,I5758,J5758)</x:f>
        <x:v>0.7</x:v>
      </x:c>
      <x:c r="L5758" s="11" t="n">
        <x:f>K5758*'管线假设'!E1235*'管线假设'!F1235*'管线假设'!G1235*IF(E5758="USD",'管线假设'!I1235,1)-AM5758</x:f>
        <x:v>0.120456</x:v>
      </x:c>
      <x:c r="M5758" s="11" t="n">
        <x:f>'管线假设'!H1235</x:f>
        <x:v>0.14</x:v>
      </x:c>
      <x:c r="N5758" s="11" t="n">
        <x:f>IF(G5758,L5758*AN5758/(1+M5758)^F5758,0)</x:f>
        <x:v>0.10257260492638753</x:v>
      </x:c>
      <x:c r="AJ5758" t="n">
        <x:v>0</x:v>
      </x:c>
      <x:c r="AK5758" t="n">
        <x:v>0</x:v>
      </x:c>
      <x:c r="AL5758" t="n">
        <x:v>0</x:v>
      </x:c>
      <x:c r="AM5758" t="n">
        <x:f>CHOOSE('假设'!$B$3,AJ5758,AK5758,AL5758)</x:f>
        <x:v>0</x:v>
      </x:c>
      <x:c r="AN5758" t="n">
        <x:v>1</x:v>
      </x:c>
    </x:row>
    <x:row r="5759" ht="23" customHeight="1">
      <x:c r="A5759" s="11" t="str">
        <x:v>688062.SH</x:v>
      </x:c>
      <x:c r="B5759" s="11" t="str">
        <x:v>三年</x:v>
      </x:c>
      <x:c r="C5759" s="11" t="str">
        <x:v>bfv_cervix</x:v>
      </x:c>
      <x:c r="D5759" s="11" t="str">
        <x:v>2031-12-31</x:v>
      </x:c>
      <x:c r="E5759" s="11" t="str">
        <x:v>CNY</x:v>
      </x:c>
      <x:c r="F5759" s="11" t="n">
        <x:v>2.2258726899383983</x:v>
      </x:c>
      <x:c r="G5759" s="26" t="b">
        <x:v>1</x:v>
      </x:c>
      <x:c r="H5759" s="16" t="n">
        <x:v>0.24</x:v>
      </x:c>
      <x:c r="I5759" s="16" t="n">
        <x:v>0.9333333333333332</x:v>
      </x:c>
      <x:c r="J5759" s="16" t="n">
        <x:v>2</x:v>
      </x:c>
      <x:c r="K5759" s="11" t="n">
        <x:f>CHOOSE('假设'!$B$3,H5759,I5759,J5759)</x:f>
        <x:v>0.9333333333333332</x:v>
      </x:c>
      <x:c r="L5759" s="11" t="n">
        <x:f>K5759*'管线假设'!E1235*'管线假设'!F1235*'管线假设'!G1235*IF(E5759="USD",'管线假设'!I1235,1)-AM5759</x:f>
        <x:v>0.16060799999999997</x:v>
      </x:c>
      <x:c r="M5759" s="11" t="n">
        <x:f>'管线假设'!H1235</x:f>
        <x:v>0.14</x:v>
      </x:c>
      <x:c r="N5759" s="11" t="n">
        <x:f>IF(G5759,L5759*AN5759/(1+M5759)^F5759,0)</x:f>
        <x:v>0.11997871866208464</x:v>
      </x:c>
      <x:c r="AJ5759" t="n">
        <x:v>0</x:v>
      </x:c>
      <x:c r="AK5759" t="n">
        <x:v>0</x:v>
      </x:c>
      <x:c r="AL5759" t="n">
        <x:v>0</x:v>
      </x:c>
      <x:c r="AM5759" t="n">
        <x:f>CHOOSE('假设'!$B$3,AJ5759,AK5759,AL5759)</x:f>
        <x:v>0</x:v>
      </x:c>
      <x:c r="AN5759" t="n">
        <x:v>1</x:v>
      </x:c>
    </x:row>
    <x:row r="5760" ht="23" customHeight="1">
      <x:c r="A5760" s="11" t="str">
        <x:v>688062.SH</x:v>
      </x:c>
      <x:c r="B5760" s="11" t="str">
        <x:v>三年</x:v>
      </x:c>
      <x:c r="C5760" s="11" t="str">
        <x:v>bfv_cervix</x:v>
      </x:c>
      <x:c r="D5760" s="11" t="str">
        <x:v>2032-12-31</x:v>
      </x:c>
      <x:c r="E5760" s="11" t="str">
        <x:v>CNY</x:v>
      </x:c>
      <x:c r="F5760" s="11" t="n">
        <x:v>3.2279260780287475</x:v>
      </x:c>
      <x:c r="G5760" s="26" t="b">
        <x:v>1</x:v>
      </x:c>
      <x:c r="H5760" s="16" t="n">
        <x:v>0.36</x:v>
      </x:c>
      <x:c r="I5760" s="16" t="n">
        <x:v>1.1666666666666667</x:v>
      </x:c>
      <x:c r="J5760" s="16" t="n">
        <x:v>2.4</x:v>
      </x:c>
      <x:c r="K5760" s="11" t="n">
        <x:f>CHOOSE('假设'!$B$3,H5760,I5760,J5760)</x:f>
        <x:v>1.1666666666666667</x:v>
      </x:c>
      <x:c r="L5760" s="11" t="n">
        <x:f>K5760*'管线假设'!E1235*'管线假设'!F1235*'管线假设'!G1235*IF(E5760="USD",'管线假设'!I1235,1)-AM5760</x:f>
        <x:v>0.20076</x:v>
      </x:c>
      <x:c r="M5760" s="11" t="n">
        <x:f>'管线假设'!H1235</x:f>
        <x:v>0.14</x:v>
      </x:c>
      <x:c r="N5760" s="11" t="n">
        <x:f>IF(G5760,L5760*AN5760/(1+M5760)^F5760,0)</x:f>
        <x:v>0.1315202220451979</x:v>
      </x:c>
      <x:c r="AJ5760" t="n">
        <x:v>0</x:v>
      </x:c>
      <x:c r="AK5760" t="n">
        <x:v>0</x:v>
      </x:c>
      <x:c r="AL5760" t="n">
        <x:v>0</x:v>
      </x:c>
      <x:c r="AM5760" t="n">
        <x:f>CHOOSE('假设'!$B$3,AJ5760,AK5760,AL5760)</x:f>
        <x:v>0</x:v>
      </x:c>
      <x:c r="AN5760" t="n">
        <x:v>1</x:v>
      </x:c>
    </x:row>
    <x:row r="5761" ht="23" customHeight="1">
      <x:c r="A5761" s="11" t="str">
        <x:v>688062.SH</x:v>
      </x:c>
      <x:c r="B5761" s="11" t="str">
        <x:v>三年</x:v>
      </x:c>
      <x:c r="C5761" s="11" t="str">
        <x:v>bfv_cervix</x:v>
      </x:c>
      <x:c r="D5761" s="11" t="str">
        <x:v>2033-12-31</x:v>
      </x:c>
      <x:c r="E5761" s="11" t="str">
        <x:v>CNY</x:v>
      </x:c>
      <x:c r="F5761" s="11" t="n">
        <x:v>4.227241615331964</x:v>
      </x:c>
      <x:c r="G5761" s="26" t="b">
        <x:v>1</x:v>
      </x:c>
      <x:c r="H5761" s="16" t="n">
        <x:v>0.48</x:v>
      </x:c>
      <x:c r="I5761" s="16" t="n">
        <x:v>1.4</x:v>
      </x:c>
      <x:c r="J5761" s="16" t="n">
        <x:v>2.088</x:v>
      </x:c>
      <x:c r="K5761" s="11" t="n">
        <x:f>CHOOSE('假设'!$B$3,H5761,I5761,J5761)</x:f>
        <x:v>1.4</x:v>
      </x:c>
      <x:c r="L5761" s="11" t="n">
        <x:f>K5761*'管线假设'!E1235*'管线假设'!F1235*'管线假设'!G1235*IF(E5761="USD",'管线假设'!I1235,1)-AM5761</x:f>
        <x:v>0.240912</x:v>
      </x:c>
      <x:c r="M5761" s="11" t="n">
        <x:f>'管线假设'!H1235</x:f>
        <x:v>0.14</x:v>
      </x:c>
      <x:c r="N5761" s="11" t="n">
        <x:f>IF(G5761,L5761*AN5761/(1+M5761)^F5761,0)</x:f>
        <x:v>0.13845475560861625</x:v>
      </x:c>
      <x:c r="AJ5761" t="n">
        <x:v>0</x:v>
      </x:c>
      <x:c r="AK5761" t="n">
        <x:v>0</x:v>
      </x:c>
      <x:c r="AL5761" t="n">
        <x:v>0</x:v>
      </x:c>
      <x:c r="AM5761" t="n">
        <x:f>CHOOSE('假设'!$B$3,AJ5761,AK5761,AL5761)</x:f>
        <x:v>0</x:v>
      </x:c>
      <x:c r="AN5761" t="n">
        <x:v>1</x:v>
      </x:c>
    </x:row>
    <x:row r="5762" ht="23" customHeight="1">
      <x:c r="A5762" s="11" t="str">
        <x:v>688062.SH</x:v>
      </x:c>
      <x:c r="B5762" s="11" t="str">
        <x:v>三年</x:v>
      </x:c>
      <x:c r="C5762" s="11" t="str">
        <x:v>bfv_cervix</x:v>
      </x:c>
      <x:c r="D5762" s="11" t="str">
        <x:v>2034-12-31</x:v>
      </x:c>
      <x:c r="E5762" s="11" t="str">
        <x:v>CNY</x:v>
      </x:c>
      <x:c r="F5762" s="11" t="n">
        <x:v>5.2265571526351815</x:v>
      </x:c>
      <x:c r="G5762" s="26" t="b">
        <x:v>1</x:v>
      </x:c>
      <x:c r="H5762" s="16" t="n">
        <x:v>0.6</x:v>
      </x:c>
      <x:c r="I5762" s="16" t="n">
        <x:v>1.218</x:v>
      </x:c>
      <x:c r="J5762" s="16" t="n">
        <x:v>1.776</x:v>
      </x:c>
      <x:c r="K5762" s="11" t="n">
        <x:f>CHOOSE('假设'!$B$3,H5762,I5762,J5762)</x:f>
        <x:v>1.218</x:v>
      </x:c>
      <x:c r="L5762" s="11" t="n">
        <x:f>K5762*'管线假设'!E1235*'管线假设'!F1235*'管线假设'!G1235*IF(E5762="USD",'管线假设'!I1235,1)-AM5762</x:f>
        <x:v>0.20959344</x:v>
      </x:c>
      <x:c r="M5762" s="11" t="n">
        <x:f>'管线假设'!H1235</x:f>
        <x:v>0.14</x:v>
      </x:c>
      <x:c r="N5762" s="11" t="n">
        <x:f>IF(G5762,L5762*AN5762/(1+M5762)^F5762,0)</x:f>
        <x:v>0.1056723164931932</x:v>
      </x:c>
      <x:c r="AJ5762" t="n">
        <x:v>0</x:v>
      </x:c>
      <x:c r="AK5762" t="n">
        <x:v>0</x:v>
      </x:c>
      <x:c r="AL5762" t="n">
        <x:v>0</x:v>
      </x:c>
      <x:c r="AM5762" t="n">
        <x:f>CHOOSE('假设'!$B$3,AJ5762,AK5762,AL5762)</x:f>
        <x:v>0</x:v>
      </x:c>
      <x:c r="AN5762" t="n">
        <x:v>1</x:v>
      </x:c>
    </x:row>
    <x:row r="5763" ht="23" customHeight="1">
      <x:c r="A5763" s="11" t="str">
        <x:v>688062.SH</x:v>
      </x:c>
      <x:c r="B5763" s="11" t="str">
        <x:v>三年</x:v>
      </x:c>
      <x:c r="C5763" s="11" t="str">
        <x:v>bfv_cervix</x:v>
      </x:c>
      <x:c r="D5763" s="11" t="str">
        <x:v>2035-12-31</x:v>
      </x:c>
      <x:c r="E5763" s="11" t="str">
        <x:v>CNY</x:v>
      </x:c>
      <x:c r="F5763" s="11" t="n">
        <x:v>6.225872689938399</x:v>
      </x:c>
      <x:c r="G5763" s="26" t="b">
        <x:v>1</x:v>
      </x:c>
      <x:c r="H5763" s="16" t="n">
        <x:v>0.522</x:v>
      </x:c>
      <x:c r="I5763" s="16" t="n">
        <x:v>1.036</x:v>
      </x:c>
      <x:c r="J5763" s="16" t="n">
        <x:v>1.464</x:v>
      </x:c>
      <x:c r="K5763" s="11" t="n">
        <x:f>CHOOSE('假设'!$B$3,H5763,I5763,J5763)</x:f>
        <x:v>1.036</x:v>
      </x:c>
      <x:c r="L5763" s="11" t="n">
        <x:f>K5763*'管线假设'!E1235*'管线假设'!F1235*'管线假设'!G1235*IF(E5763="USD",'管线假设'!I1235,1)-AM5763</x:f>
        <x:v>0.17827488</x:v>
      </x:c>
      <x:c r="M5763" s="11" t="n">
        <x:f>'管线假设'!H1235</x:f>
        <x:v>0.14</x:v>
      </x:c>
      <x:c r="N5763" s="11" t="n">
        <x:f>IF(G5763,L5763*AN5763/(1+M5763)^F5763,0)</x:f>
        <x:v>0.07885110665660337</x:v>
      </x:c>
      <x:c r="AJ5763" t="n">
        <x:v>0</x:v>
      </x:c>
      <x:c r="AK5763" t="n">
        <x:v>0</x:v>
      </x:c>
      <x:c r="AL5763" t="n">
        <x:v>0</x:v>
      </x:c>
      <x:c r="AM5763" t="n">
        <x:f>CHOOSE('假设'!$B$3,AJ5763,AK5763,AL5763)</x:f>
        <x:v>0</x:v>
      </x:c>
      <x:c r="AN5763" t="n">
        <x:v>1</x:v>
      </x:c>
    </x:row>
    <x:row r="5764" ht="23" customHeight="1">
      <x:c r="A5764" s="11" t="str">
        <x:v>688062.SH</x:v>
      </x:c>
      <x:c r="B5764" s="11" t="str">
        <x:v>三年</x:v>
      </x:c>
      <x:c r="C5764" s="11" t="str">
        <x:v>bfv_cervix</x:v>
      </x:c>
      <x:c r="D5764" s="11" t="str">
        <x:v>2036-12-31</x:v>
      </x:c>
      <x:c r="E5764" s="11" t="str">
        <x:v>CNY</x:v>
      </x:c>
      <x:c r="F5764" s="11" t="n">
        <x:v>7.227926078028747</x:v>
      </x:c>
      <x:c r="G5764" s="26" t="b">
        <x:v>1</x:v>
      </x:c>
      <x:c r="H5764" s="16" t="n">
        <x:v>0.444</x:v>
      </x:c>
      <x:c r="I5764" s="16" t="n">
        <x:v>0.854</x:v>
      </x:c>
      <x:c r="J5764" s="16" t="n">
        <x:v>1.152</x:v>
      </x:c>
      <x:c r="K5764" s="11" t="n">
        <x:f>CHOOSE('假设'!$B$3,H5764,I5764,J5764)</x:f>
        <x:v>0.854</x:v>
      </x:c>
      <x:c r="L5764" s="11" t="n">
        <x:f>K5764*'管线假设'!E1235*'管线假设'!F1235*'管线假设'!G1235*IF(E5764="USD",'管线假设'!I1235,1)-AM5764</x:f>
        <x:v>0.14695631999999997</x:v>
      </x:c>
      <x:c r="M5764" s="11" t="n">
        <x:f>'管线假设'!H1235</x:f>
        <x:v>0.14</x:v>
      </x:c>
      <x:c r="N5764" s="11" t="n">
        <x:f>IF(G5764,L5764*AN5764/(1+M5764)^F5764,0)</x:f>
        <x:v>0.057001227629362675</x:v>
      </x:c>
      <x:c r="AJ5764" t="n">
        <x:v>0</x:v>
      </x:c>
      <x:c r="AK5764" t="n">
        <x:v>0</x:v>
      </x:c>
      <x:c r="AL5764" t="n">
        <x:v>0</x:v>
      </x:c>
      <x:c r="AM5764" t="n">
        <x:f>CHOOSE('假设'!$B$3,AJ5764,AK5764,AL5764)</x:f>
        <x:v>0</x:v>
      </x:c>
      <x:c r="AN5764" t="n">
        <x:v>1</x:v>
      </x:c>
    </x:row>
    <x:row r="5765" ht="23" customHeight="1">
      <x:c r="A5765" s="11" t="str">
        <x:v>688062.SH</x:v>
      </x:c>
      <x:c r="B5765" s="11" t="str">
        <x:v>三年</x:v>
      </x:c>
      <x:c r="C5765" s="11" t="str">
        <x:v>bfv_cervix</x:v>
      </x:c>
      <x:c r="D5765" s="11" t="str">
        <x:v>2037-12-31</x:v>
      </x:c>
      <x:c r="E5765" s="11" t="str">
        <x:v>CNY</x:v>
      </x:c>
      <x:c r="F5765" s="11" t="n">
        <x:v>8.227241615331964</x:v>
      </x:c>
      <x:c r="G5765" s="26" t="b">
        <x:v>1</x:v>
      </x:c>
      <x:c r="H5765" s="16" t="n">
        <x:v>0.366</x:v>
      </x:c>
      <x:c r="I5765" s="16" t="n">
        <x:v>0.6719999999999999</x:v>
      </x:c>
      <x:c r="J5765" s="16" t="n">
        <x:v>0.84</x:v>
      </x:c>
      <x:c r="K5765" s="11" t="n">
        <x:f>CHOOSE('假设'!$B$3,H5765,I5765,J5765)</x:f>
        <x:v>0.6719999999999999</x:v>
      </x:c>
      <x:c r="L5765" s="11" t="n">
        <x:f>K5765*'管线假设'!E1235*'管线假设'!F1235*'管线假设'!G1235*IF(E5765="USD",'管线假设'!I1235,1)-AM5765</x:f>
        <x:v>0.11563775999999998</x:v>
      </x:c>
      <x:c r="M5765" s="11" t="n">
        <x:f>'管线假设'!H1235</x:f>
        <x:v>0.14</x:v>
      </x:c>
      <x:c r="N5765" s="11" t="n">
        <x:f>IF(G5765,L5765*AN5765/(1+M5765)^F5765,0)</x:f>
        <x:v>0.03934863844990622</x:v>
      </x:c>
      <x:c r="AJ5765" t="n">
        <x:v>0</x:v>
      </x:c>
      <x:c r="AK5765" t="n">
        <x:v>0</x:v>
      </x:c>
      <x:c r="AL5765" t="n">
        <x:v>0</x:v>
      </x:c>
      <x:c r="AM5765" t="n">
        <x:f>CHOOSE('假设'!$B$3,AJ5765,AK5765,AL5765)</x:f>
        <x:v>0</x:v>
      </x:c>
      <x:c r="AN5765" t="n">
        <x:v>1</x:v>
      </x:c>
    </x:row>
    <x:row r="5766" ht="23" customHeight="1">
      <x:c r="A5766" s="11" t="str">
        <x:v>688062.SH</x:v>
      </x:c>
      <x:c r="B5766" s="11" t="str">
        <x:v>三年</x:v>
      </x:c>
      <x:c r="C5766" s="11" t="str">
        <x:v>bfv_cervix</x:v>
      </x:c>
      <x:c r="D5766" s="11" t="str">
        <x:v>2038-12-31</x:v>
      </x:c>
      <x:c r="E5766" s="11" t="str">
        <x:v>CNY</x:v>
      </x:c>
      <x:c r="F5766" s="11" t="n">
        <x:v>9.22655715263518</x:v>
      </x:c>
      <x:c r="G5766" s="26" t="b">
        <x:v>1</x:v>
      </x:c>
      <x:c r="H5766" s="16" t="n">
        <x:v>0.288</x:v>
      </x:c>
      <x:c r="I5766" s="16" t="n">
        <x:v>0.48999999999999994</x:v>
      </x:c>
      <x:c r="J5766" s="16" t="n">
        <x:v>0.5279999999999999</x:v>
      </x:c>
      <x:c r="K5766" s="11" t="n">
        <x:f>CHOOSE('假设'!$B$3,H5766,I5766,J5766)</x:f>
        <x:v>0.48999999999999994</x:v>
      </x:c>
      <x:c r="L5766" s="11" t="n">
        <x:f>K5766*'管线假设'!E1235*'管线假设'!F1235*'管线假设'!G1235*IF(E5766="USD",'管线假设'!I1235,1)-AM5766</x:f>
        <x:v>0.0843192</x:v>
      </x:c>
      <x:c r="M5766" s="11" t="n">
        <x:f>'管线假设'!H1235</x:f>
        <x:v>0.14</x:v>
      </x:c>
      <x:c r="N5766" s="11" t="n">
        <x:f>IF(G5766,L5766*AN5766/(1+M5766)^F5766,0)</x:f>
        <x:v>0.025170428805602413</x:v>
      </x:c>
      <x:c r="AJ5766" t="n">
        <x:v>0</x:v>
      </x:c>
      <x:c r="AK5766" t="n">
        <x:v>0</x:v>
      </x:c>
      <x:c r="AL5766" t="n">
        <x:v>0</x:v>
      </x:c>
      <x:c r="AM5766" t="n">
        <x:f>CHOOSE('假设'!$B$3,AJ5766,AK5766,AL5766)</x:f>
        <x:v>0</x:v>
      </x:c>
      <x:c r="AN5766" t="n">
        <x:v>1</x:v>
      </x:c>
    </x:row>
    <x:row r="5767" ht="23" customHeight="1">
      <x:c r="A5767" s="11" t="str">
        <x:v>688062.SH</x:v>
      </x:c>
      <x:c r="B5767" s="11" t="str">
        <x:v>三年</x:v>
      </x:c>
      <x:c r="C5767" s="11" t="str">
        <x:v>bfv_cervix</x:v>
      </x:c>
      <x:c r="D5767" s="11" t="str">
        <x:v>2039-12-31</x:v>
      </x:c>
      <x:c r="E5767" s="11" t="str">
        <x:v>CNY</x:v>
      </x:c>
      <x:c r="F5767" s="11" t="n">
        <x:v>10.225872689938399</x:v>
      </x:c>
      <x:c r="G5767" s="26" t="b">
        <x:v>1</x:v>
      </x:c>
      <x:c r="H5767" s="16" t="n">
        <x:v>0.21</x:v>
      </x:c>
      <x:c r="I5767" s="16" t="n">
        <x:v>0.30799999999999994</x:v>
      </x:c>
      <x:c r="J5767" s="16" t="n">
        <x:v>0.21599999999999991</x:v>
      </x:c>
      <x:c r="K5767" s="11" t="n">
        <x:f>CHOOSE('假设'!$B$3,H5767,I5767,J5767)</x:f>
        <x:v>0.30799999999999994</x:v>
      </x:c>
      <x:c r="L5767" s="11" t="n">
        <x:f>K5767*'管线假设'!E1235*'管线假设'!F1235*'管线假设'!G1235*IF(E5767="USD",'管线假设'!I1235,1)-AM5767</x:f>
        <x:v>0.05300063999999999</x:v>
      </x:c>
      <x:c r="M5767" s="11" t="n">
        <x:f>'管线假设'!H1235</x:f>
        <x:v>0.14</x:v>
      </x:c>
      <x:c r="N5767" s="11" t="n">
        <x:f>IF(G5767,L5767*AN5767/(1+M5767)^F5767,0)</x:f>
        <x:v>0.013879676651407276</x:v>
      </x:c>
      <x:c r="AJ5767" t="n">
        <x:v>0</x:v>
      </x:c>
      <x:c r="AK5767" t="n">
        <x:v>0</x:v>
      </x:c>
      <x:c r="AL5767" t="n">
        <x:v>0</x:v>
      </x:c>
      <x:c r="AM5767" t="n">
        <x:f>CHOOSE('假设'!$B$3,AJ5767,AK5767,AL5767)</x:f>
        <x:v>0</x:v>
      </x:c>
      <x:c r="AN5767" t="n">
        <x:v>1</x:v>
      </x:c>
    </x:row>
    <x:row r="5768" ht="23" customHeight="1">
      <x:c r="A5768" s="11" t="str">
        <x:v>688062.SH</x:v>
      </x:c>
      <x:c r="B5768" s="11" t="str">
        <x:v>三年</x:v>
      </x:c>
      <x:c r="C5768" s="11" t="str">
        <x:v>bfv_cervix</x:v>
      </x:c>
      <x:c r="D5768" s="11" t="str">
        <x:v>2040-12-31</x:v>
      </x:c>
      <x:c r="E5768" s="11" t="str">
        <x:v>CNY</x:v>
      </x:c>
      <x:c r="F5768" s="11" t="n">
        <x:v>11.227926078028748</x:v>
      </x:c>
      <x:c r="G5768" s="26" t="b">
        <x:v>1</x:v>
      </x:c>
      <x:c r="H5768" s="16" t="n">
        <x:v>0.13199999999999998</x:v>
      </x:c>
      <x:c r="I5768" s="16" t="n">
        <x:v>0.12599999999999995</x:v>
      </x:c>
      <x:c r="J5768" s="16" t="n">
        <x:v>0</x:v>
      </x:c>
      <x:c r="K5768" s="11" t="n">
        <x:f>CHOOSE('假设'!$B$3,H5768,I5768,J5768)</x:f>
        <x:v>0.12599999999999995</x:v>
      </x:c>
      <x:c r="L5768" s="11" t="n">
        <x:f>K5768*'管线假设'!E1235*'管线假设'!F1235*'管线假设'!G1235*IF(E5768="USD",'管线假设'!I1235,1)-AM5768</x:f>
        <x:v>0.02168207999999999</x:v>
      </x:c>
      <x:c r="M5768" s="11" t="n">
        <x:f>'管线假设'!H1235</x:f>
        <x:v>0.14</x:v>
      </x:c>
      <x:c r="N5768" s="11" t="n">
        <x:f>IF(G5768,L5768*AN5768/(1+M5768)^F5768,0)</x:f>
        <x:v>0.004979405311264083</x:v>
      </x:c>
      <x:c r="AJ5768" t="n">
        <x:v>0</x:v>
      </x:c>
      <x:c r="AK5768" t="n">
        <x:v>0</x:v>
      </x:c>
      <x:c r="AL5768" t="n">
        <x:v>0</x:v>
      </x:c>
      <x:c r="AM5768" t="n">
        <x:f>CHOOSE('假设'!$B$3,AJ5768,AK5768,AL5768)</x:f>
        <x:v>0</x:v>
      </x:c>
      <x:c r="AN5768" t="n">
        <x:v>1</x:v>
      </x:c>
    </x:row>
    <x:row r="5769" ht="23" customHeight="1">
      <x:c r="A5769" s="11" t="str">
        <x:v>688062.SH</x:v>
      </x:c>
      <x:c r="B5769" s="11" t="str">
        <x:v>三年</x:v>
      </x:c>
      <x:c r="C5769" s="11" t="str">
        <x:v>bfv_cervix</x:v>
      </x:c>
      <x:c r="D5769" s="11" t="str">
        <x:v>2041-12-31</x:v>
      </x:c>
      <x:c r="E5769" s="11" t="str">
        <x:v>CNY</x:v>
      </x:c>
      <x:c r="F5769" s="11" t="n">
        <x:v>12.227241615331964</x:v>
      </x:c>
      <x:c r="G5769" s="26" t="b">
        <x:v>1</x:v>
      </x:c>
      <x:c r="H5769" s="16" t="n">
        <x:v>0.05399999999999998</x:v>
      </x:c>
      <x:c r="I5769" s="16" t="n">
        <x:v>0</x:v>
      </x:c>
      <x:c r="J5769" s="16" t="n">
        <x:v>0</x:v>
      </x:c>
      <x:c r="K5769" s="11" t="n">
        <x:f>CHOOSE('假设'!$B$3,H5769,I5769,J5769)</x:f>
        <x:v>0</x:v>
      </x:c>
      <x:c r="L5769" s="11" t="n">
        <x:f>K5769*'管线假设'!E1235*'管线假设'!F1235*'管线假设'!G1235*IF(E5769="USD",'管线假设'!I1235,1)-AM5769</x:f>
        <x:v>0</x:v>
      </x:c>
      <x:c r="M5769" s="11" t="n">
        <x:f>'管线假设'!H1235</x:f>
        <x:v>0.14</x:v>
      </x:c>
      <x:c r="N5769" s="11" t="n">
        <x:f>IF(G5769,L5769*AN5769/(1+M5769)^F5769,0)</x:f>
        <x:v>0</x:v>
      </x:c>
      <x:c r="AJ5769" t="n">
        <x:v>0</x:v>
      </x:c>
      <x:c r="AK5769" t="n">
        <x:v>0</x:v>
      </x:c>
      <x:c r="AL5769" t="n">
        <x:v>0</x:v>
      </x:c>
      <x:c r="AM5769" t="n">
        <x:f>CHOOSE('假设'!$B$3,AJ5769,AK5769,AL5769)</x:f>
        <x:v>0</x:v>
      </x:c>
      <x:c r="AN5769" t="n">
        <x:v>1</x:v>
      </x:c>
    </x:row>
    <x:row r="5770" ht="23" customHeight="1">
      <x:c r="A5770" s="11" t="str">
        <x:v>688062.SH</x:v>
      </x:c>
      <x:c r="B5770" s="11" t="str">
        <x:v>三年</x:v>
      </x:c>
      <x:c r="C5770" s="11" t="str">
        <x:v>bfv_cervix</x:v>
      </x:c>
      <x:c r="D5770" s="11" t="str">
        <x:v>2042-12-31</x:v>
      </x:c>
      <x:c r="E5770" s="11" t="str">
        <x:v>CNY</x:v>
      </x:c>
      <x:c r="F5770" s="11" t="n">
        <x:v>13.22655715263518</x:v>
      </x:c>
      <x:c r="G5770" s="26" t="b">
        <x:v>1</x:v>
      </x:c>
      <x:c r="H5770" s="16" t="n">
        <x:v>0</x:v>
      </x:c>
      <x:c r="I5770" s="16" t="n">
        <x:v>0</x:v>
      </x:c>
      <x:c r="J5770" s="16" t="n">
        <x:v>0</x:v>
      </x:c>
      <x:c r="K5770" s="11" t="n">
        <x:f>CHOOSE('假设'!$B$3,H5770,I5770,J5770)</x:f>
        <x:v>0</x:v>
      </x:c>
      <x:c r="L5770" s="11" t="n">
        <x:f>K5770*'管线假设'!E1235*'管线假设'!F1235*'管线假设'!G1235*IF(E5770="USD",'管线假设'!I1235,1)-AM5770</x:f>
        <x:v>0</x:v>
      </x:c>
      <x:c r="M5770" s="11" t="n">
        <x:f>'管线假设'!H1235</x:f>
        <x:v>0.14</x:v>
      </x:c>
      <x:c r="N5770" s="11" t="n">
        <x:f>IF(G5770,L5770*AN5770/(1+M5770)^F5770,0)</x:f>
        <x:v>0</x:v>
      </x:c>
      <x:c r="AJ5770" t="n">
        <x:v>0</x:v>
      </x:c>
      <x:c r="AK5770" t="n">
        <x:v>0</x:v>
      </x:c>
      <x:c r="AL5770" t="n">
        <x:v>0</x:v>
      </x:c>
      <x:c r="AM5770" t="n">
        <x:f>CHOOSE('假设'!$B$3,AJ5770,AK5770,AL5770)</x:f>
        <x:v>0</x:v>
      </x:c>
      <x:c r="AN5770" t="n">
        <x:v>1</x:v>
      </x:c>
    </x:row>
    <x:row r="5771" ht="23" customHeight="1">
      <x:c r="A5771" s="11" t="str">
        <x:v>688062.SH</x:v>
      </x:c>
      <x:c r="B5771" s="11" t="str">
        <x:v>三年</x:v>
      </x:c>
      <x:c r="C5771" s="11" t="str">
        <x:v>bfv_cervix</x:v>
      </x:c>
      <x:c r="D5771" s="11" t="str">
        <x:v>2043-12-31</x:v>
      </x:c>
      <x:c r="E5771" s="11" t="str">
        <x:v>CNY</x:v>
      </x:c>
      <x:c r="F5771" s="11" t="n">
        <x:v>14.225872689938399</x:v>
      </x:c>
      <x:c r="G5771" s="26" t="b">
        <x:v>1</x:v>
      </x:c>
      <x:c r="H5771" s="16" t="n">
        <x:v>0</x:v>
      </x:c>
      <x:c r="I5771" s="16" t="n">
        <x:v>0</x:v>
      </x:c>
      <x:c r="J5771" s="16" t="n">
        <x:v>0</x:v>
      </x:c>
      <x:c r="K5771" s="11" t="n">
        <x:f>CHOOSE('假设'!$B$3,H5771,I5771,J5771)</x:f>
        <x:v>0</x:v>
      </x:c>
      <x:c r="L5771" s="11" t="n">
        <x:f>K5771*'管线假设'!E1235*'管线假设'!F1235*'管线假设'!G1235*IF(E5771="USD",'管线假设'!I1235,1)-AM5771</x:f>
        <x:v>0</x:v>
      </x:c>
      <x:c r="M5771" s="11" t="n">
        <x:f>'管线假设'!H1235</x:f>
        <x:v>0.14</x:v>
      </x:c>
      <x:c r="N5771" s="11" t="n">
        <x:f>IF(G5771,L5771*AN5771/(1+M5771)^F5771,0)</x:f>
        <x:v>0</x:v>
      </x:c>
      <x:c r="AJ5771" t="n">
        <x:v>0</x:v>
      </x:c>
      <x:c r="AK5771" t="n">
        <x:v>0</x:v>
      </x:c>
      <x:c r="AL5771" t="n">
        <x:v>0</x:v>
      </x:c>
      <x:c r="AM5771" t="n">
        <x:f>CHOOSE('假设'!$B$3,AJ5771,AK5771,AL5771)</x:f>
        <x:v>0</x:v>
      </x:c>
      <x:c r="AN5771" t="n">
        <x:v>1</x:v>
      </x:c>
    </x:row>
    <x:row r="5772" ht="23" customHeight="1">
      <x:c r="A5772" s="11" t="str">
        <x:v>688062.SH</x:v>
      </x:c>
      <x:c r="B5772" s="11" t="str">
        <x:v>三年</x:v>
      </x:c>
      <x:c r="C5772" s="11" t="str">
        <x:v>bfv_cervix</x:v>
      </x:c>
      <x:c r="D5772" s="11" t="str">
        <x:v>2044-12-31</x:v>
      </x:c>
      <x:c r="E5772" s="11" t="str">
        <x:v>CNY</x:v>
      </x:c>
      <x:c r="F5772" s="11" t="n">
        <x:v>15.227926078028748</x:v>
      </x:c>
      <x:c r="G5772" s="26" t="b">
        <x:v>1</x:v>
      </x:c>
      <x:c r="H5772" s="16" t="n">
        <x:v>0</x:v>
      </x:c>
      <x:c r="I5772" s="16" t="n">
        <x:v>0</x:v>
      </x:c>
      <x:c r="J5772" s="16" t="n">
        <x:v>0</x:v>
      </x:c>
      <x:c r="K5772" s="11" t="n">
        <x:f>CHOOSE('假设'!$B$3,H5772,I5772,J5772)</x:f>
        <x:v>0</x:v>
      </x:c>
      <x:c r="L5772" s="11" t="n">
        <x:f>K5772*'管线假设'!E1235*'管线假设'!F1235*'管线假设'!G1235*IF(E5772="USD",'管线假设'!I1235,1)-AM5772</x:f>
        <x:v>0</x:v>
      </x:c>
      <x:c r="M5772" s="11" t="n">
        <x:f>'管线假设'!H1235</x:f>
        <x:v>0.14</x:v>
      </x:c>
      <x:c r="N5772" s="11" t="n">
        <x:f>IF(G5772,L5772*AN5772/(1+M5772)^F5772,0)</x:f>
        <x:v>0</x:v>
      </x:c>
      <x:c r="AJ5772" t="n">
        <x:v>0</x:v>
      </x:c>
      <x:c r="AK5772" t="n">
        <x:v>0</x:v>
      </x:c>
      <x:c r="AL5772" t="n">
        <x:v>0</x:v>
      </x:c>
      <x:c r="AM5772" t="n">
        <x:f>CHOOSE('假设'!$B$3,AJ5772,AK5772,AL5772)</x:f>
        <x:v>0</x:v>
      </x:c>
      <x:c r="AN5772" t="n">
        <x:v>1</x:v>
      </x:c>
    </x:row>
    <x:row r="5773" ht="23" customHeight="1">
      <x:c r="A5773" s="11" t="str">
        <x:v>688062.SH</x:v>
      </x:c>
      <x:c r="B5773" s="11" t="str">
        <x:v>三年</x:v>
      </x:c>
      <x:c r="C5773" s="11" t="str">
        <x:v>bfv_cervix</x:v>
      </x:c>
      <x:c r="D5773" s="11" t="str">
        <x:v>2045-12-31</x:v>
      </x:c>
      <x:c r="E5773" s="11" t="str">
        <x:v>CNY</x:v>
      </x:c>
      <x:c r="F5773" s="11" t="n">
        <x:v>16.227241615331966</x:v>
      </x:c>
      <x:c r="G5773" s="26" t="b">
        <x:v>1</x:v>
      </x:c>
      <x:c r="H5773" s="16" t="n">
        <x:v>0</x:v>
      </x:c>
      <x:c r="I5773" s="16" t="n">
        <x:v>0</x:v>
      </x:c>
      <x:c r="J5773" s="16" t="n">
        <x:v>0</x:v>
      </x:c>
      <x:c r="K5773" s="11" t="n">
        <x:f>CHOOSE('假设'!$B$3,H5773,I5773,J5773)</x:f>
        <x:v>0</x:v>
      </x:c>
      <x:c r="L5773" s="11" t="n">
        <x:f>K5773*'管线假设'!E1235*'管线假设'!F1235*'管线假设'!G1235*IF(E5773="USD",'管线假设'!I1235,1)-AM5773</x:f>
        <x:v>0</x:v>
      </x:c>
      <x:c r="M5773" s="11" t="n">
        <x:f>'管线假设'!H1235</x:f>
        <x:v>0.14</x:v>
      </x:c>
      <x:c r="N5773" s="11" t="n">
        <x:f>IF(G5773,L5773*AN5773/(1+M5773)^F5773,0)</x:f>
        <x:v>0</x:v>
      </x:c>
      <x:c r="AJ5773" t="n">
        <x:v>0</x:v>
      </x:c>
      <x:c r="AK5773" t="n">
        <x:v>0</x:v>
      </x:c>
      <x:c r="AL5773" t="n">
        <x:v>0</x:v>
      </x:c>
      <x:c r="AM5773" t="n">
        <x:f>CHOOSE('假设'!$B$3,AJ5773,AK5773,AL5773)</x:f>
        <x:v>0</x:v>
      </x:c>
      <x:c r="AN5773" t="n">
        <x:v>1</x:v>
      </x:c>
    </x:row>
    <x:row r="5774" ht="23" customHeight="1">
      <x:c r="A5774" s="11" t="str">
        <x:v>688062.SH</x:v>
      </x:c>
      <x:c r="B5774" s="11" t="str">
        <x:v>三年</x:v>
      </x:c>
      <x:c r="C5774" s="11" t="str">
        <x:v>bfv_tnbc</x:v>
      </x:c>
      <x:c r="D5774" s="11" t="str">
        <x:v>2027-12-31</x:v>
      </x:c>
      <x:c r="E5774" s="11" t="str">
        <x:v>CNY</x:v>
      </x:c>
      <x:c r="F5774" s="11" t="n">
        <x:v>-1.7741273100616017</x:v>
      </x:c>
      <x:c r="G5774" s="26" t="b">
        <x:v>0</x:v>
      </x:c>
      <x:c r="H5774" s="16" t="n">
        <x:v>0</x:v>
      </x:c>
      <x:c r="I5774" s="16" t="n">
        <x:v>0</x:v>
      </x:c>
      <x:c r="J5774" s="16" t="n">
        <x:v>0</x:v>
      </x:c>
      <x:c r="K5774" s="11" t="n">
        <x:f>CHOOSE('假设'!$B$3,H5774,I5774,J5774)</x:f>
        <x:v>0</x:v>
      </x:c>
      <x:c r="L5774" s="11" t="n">
        <x:f>K5774*'管线假设'!E1239*'管线假设'!F1239*'管线假设'!G1239*IF(E5774="USD",'管线假设'!I1239,1)-AM5774</x:f>
        <x:v>0</x:v>
      </x:c>
      <x:c r="M5774" s="11" t="n">
        <x:f>'管线假设'!H1239</x:f>
        <x:v>0.14</x:v>
      </x:c>
      <x:c r="N5774" s="11" t="n">
        <x:f>IF(G5774,L5774*AN5774/(1+M5774)^F5774,0)</x:f>
        <x:v>0</x:v>
      </x:c>
      <x:c r="AJ5774" t="n">
        <x:v>0</x:v>
      </x:c>
      <x:c r="AK5774" t="n">
        <x:v>0</x:v>
      </x:c>
      <x:c r="AL5774" t="n">
        <x:v>0</x:v>
      </x:c>
      <x:c r="AM5774" t="n">
        <x:f>CHOOSE('假设'!$B$3,AJ5774,AK5774,AL5774)</x:f>
        <x:v>0</x:v>
      </x:c>
      <x:c r="AN5774" t="n">
        <x:v>1</x:v>
      </x:c>
    </x:row>
    <x:row r="5775" ht="23" customHeight="1">
      <x:c r="A5775" s="11" t="str">
        <x:v>688062.SH</x:v>
      </x:c>
      <x:c r="B5775" s="11" t="str">
        <x:v>三年</x:v>
      </x:c>
      <x:c r="C5775" s="11" t="str">
        <x:v>bfv_tnbc</x:v>
      </x:c>
      <x:c r="D5775" s="11" t="str">
        <x:v>2028-12-31</x:v>
      </x:c>
      <x:c r="E5775" s="11" t="str">
        <x:v>CNY</x:v>
      </x:c>
      <x:c r="F5775" s="11" t="n">
        <x:v>-0.7720739219712526</x:v>
      </x:c>
      <x:c r="G5775" s="26" t="b">
        <x:v>0</x:v>
      </x:c>
      <x:c r="H5775" s="16" t="n">
        <x:v>0</x:v>
      </x:c>
      <x:c r="I5775" s="16" t="n">
        <x:v>0</x:v>
      </x:c>
      <x:c r="J5775" s="16" t="n">
        <x:v>0</x:v>
      </x:c>
      <x:c r="K5775" s="11" t="n">
        <x:f>CHOOSE('假设'!$B$3,H5775,I5775,J5775)</x:f>
        <x:v>0</x:v>
      </x:c>
      <x:c r="L5775" s="11" t="n">
        <x:f>K5775*'管线假设'!E1239*'管线假设'!F1239*'管线假设'!G1239*IF(E5775="USD",'管线假设'!I1239,1)-AM5775</x:f>
        <x:v>0</x:v>
      </x:c>
      <x:c r="M5775" s="11" t="n">
        <x:f>'管线假设'!H1239</x:f>
        <x:v>0.14</x:v>
      </x:c>
      <x:c r="N5775" s="11" t="n">
        <x:f>IF(G5775,L5775*AN5775/(1+M5775)^F5775,0)</x:f>
        <x:v>0</x:v>
      </x:c>
      <x:c r="AJ5775" t="n">
        <x:v>0</x:v>
      </x:c>
      <x:c r="AK5775" t="n">
        <x:v>0</x:v>
      </x:c>
      <x:c r="AL5775" t="n">
        <x:v>0</x:v>
      </x:c>
      <x:c r="AM5775" t="n">
        <x:f>CHOOSE('假设'!$B$3,AJ5775,AK5775,AL5775)</x:f>
        <x:v>0</x:v>
      </x:c>
      <x:c r="AN5775" t="n">
        <x:v>1</x:v>
      </x:c>
    </x:row>
    <x:row r="5776" ht="23" customHeight="1">
      <x:c r="A5776" s="11" t="str">
        <x:v>688062.SH</x:v>
      </x:c>
      <x:c r="B5776" s="11" t="str">
        <x:v>三年</x:v>
      </x:c>
      <x:c r="C5776" s="11" t="str">
        <x:v>bfv_tnbc</x:v>
      </x:c>
      <x:c r="D5776" s="11" t="str">
        <x:v>2029-12-31</x:v>
      </x:c>
      <x:c r="E5776" s="11" t="str">
        <x:v>CNY</x:v>
      </x:c>
      <x:c r="F5776" s="11" t="n">
        <x:v>0.2272416153319644</x:v>
      </x:c>
      <x:c r="G5776" s="26" t="b">
        <x:v>1</x:v>
      </x:c>
      <x:c r="H5776" s="16" t="n">
        <x:v>0</x:v>
      </x:c>
      <x:c r="I5776" s="16" t="n">
        <x:v>0</x:v>
      </x:c>
      <x:c r="J5776" s="16" t="n">
        <x:v>0.6000000000000001</x:v>
      </x:c>
      <x:c r="K5776" s="11" t="n">
        <x:f>CHOOSE('假设'!$B$3,H5776,I5776,J5776)</x:f>
        <x:v>0</x:v>
      </x:c>
      <x:c r="L5776" s="11" t="n">
        <x:f>K5776*'管线假设'!E1239*'管线假设'!F1239*'管线假设'!G1239*IF(E5776="USD",'管线假设'!I1239,1)-AM5776</x:f>
        <x:v>0</x:v>
      </x:c>
      <x:c r="M5776" s="11" t="n">
        <x:f>'管线假设'!H1239</x:f>
        <x:v>0.14</x:v>
      </x:c>
      <x:c r="N5776" s="11" t="n">
        <x:f>IF(G5776,L5776*AN5776/(1+M5776)^F5776,0)</x:f>
        <x:v>0</x:v>
      </x:c>
      <x:c r="AJ5776" t="n">
        <x:v>0</x:v>
      </x:c>
      <x:c r="AK5776" t="n">
        <x:v>0</x:v>
      </x:c>
      <x:c r="AL5776" t="n">
        <x:v>0</x:v>
      </x:c>
      <x:c r="AM5776" t="n">
        <x:f>CHOOSE('假设'!$B$3,AJ5776,AK5776,AL5776)</x:f>
        <x:v>0</x:v>
      </x:c>
      <x:c r="AN5776" t="n">
        <x:v>1</x:v>
      </x:c>
    </x:row>
    <x:row r="5777" ht="23" customHeight="1">
      <x:c r="A5777" s="11" t="str">
        <x:v>688062.SH</x:v>
      </x:c>
      <x:c r="B5777" s="11" t="str">
        <x:v>三年</x:v>
      </x:c>
      <x:c r="C5777" s="11" t="str">
        <x:v>bfv_tnbc</x:v>
      </x:c>
      <x:c r="D5777" s="11" t="str">
        <x:v>2030-12-31</x:v>
      </x:c>
      <x:c r="E5777" s="11" t="str">
        <x:v>CNY</x:v>
      </x:c>
      <x:c r="F5777" s="11" t="n">
        <x:v>1.2265571526351813</x:v>
      </x:c>
      <x:c r="G5777" s="26" t="b">
        <x:v>1</x:v>
      </x:c>
      <x:c r="H5777" s="16" t="n">
        <x:v>0</x:v>
      </x:c>
      <x:c r="I5777" s="16" t="n">
        <x:v>0.25</x:v>
      </x:c>
      <x:c r="J5777" s="16" t="n">
        <x:v>1.2000000000000002</x:v>
      </x:c>
      <x:c r="K5777" s="11" t="n">
        <x:f>CHOOSE('假设'!$B$3,H5777,I5777,J5777)</x:f>
        <x:v>0.25</x:v>
      </x:c>
      <x:c r="L5777" s="11" t="n">
        <x:f>K5777*'管线假设'!E1239*'管线假设'!F1239*'管线假设'!G1239*IF(E5777="USD",'管线假设'!I1239,1)-AM5777</x:f>
        <x:v>0.03195</x:v>
      </x:c>
      <x:c r="M5777" s="11" t="n">
        <x:f>'管线假设'!H1239</x:f>
        <x:v>0.14</x:v>
      </x:c>
      <x:c r="N5777" s="11" t="n">
        <x:f>IF(G5777,L5777*AN5777/(1+M5777)^F5777,0)</x:f>
        <x:v>0.027206571091502967</x:v>
      </x:c>
      <x:c r="AJ5777" t="n">
        <x:v>0</x:v>
      </x:c>
      <x:c r="AK5777" t="n">
        <x:v>0</x:v>
      </x:c>
      <x:c r="AL5777" t="n">
        <x:v>0</x:v>
      </x:c>
      <x:c r="AM5777" t="n">
        <x:f>CHOOSE('假设'!$B$3,AJ5777,AK5777,AL5777)</x:f>
        <x:v>0</x:v>
      </x:c>
      <x:c r="AN5777" t="n">
        <x:v>1</x:v>
      </x:c>
    </x:row>
    <x:row r="5778" ht="23" customHeight="1">
      <x:c r="A5778" s="11" t="str">
        <x:v>688062.SH</x:v>
      </x:c>
      <x:c r="B5778" s="11" t="str">
        <x:v>三年</x:v>
      </x:c>
      <x:c r="C5778" s="11" t="str">
        <x:v>bfv_tnbc</x:v>
      </x:c>
      <x:c r="D5778" s="11" t="str">
        <x:v>2031-12-31</x:v>
      </x:c>
      <x:c r="E5778" s="11" t="str">
        <x:v>CNY</x:v>
      </x:c>
      <x:c r="F5778" s="11" t="n">
        <x:v>2.2258726899383983</x:v>
      </x:c>
      <x:c r="G5778" s="26" t="b">
        <x:v>1</x:v>
      </x:c>
      <x:c r="H5778" s="16" t="n">
        <x:v>0</x:v>
      </x:c>
      <x:c r="I5778" s="16" t="n">
        <x:v>0.5</x:v>
      </x:c>
      <x:c r="J5778" s="16" t="n">
        <x:v>1.7999999999999998</x:v>
      </x:c>
      <x:c r="K5778" s="11" t="n">
        <x:f>CHOOSE('假设'!$B$3,H5778,I5778,J5778)</x:f>
        <x:v>0.5</x:v>
      </x:c>
      <x:c r="L5778" s="11" t="n">
        <x:f>K5778*'管线假设'!E1239*'管线假设'!F1239*'管线假设'!G1239*IF(E5778="USD",'管线假设'!I1239,1)-AM5778</x:f>
        <x:v>0.0639</x:v>
      </x:c>
      <x:c r="M5778" s="11" t="n">
        <x:f>'管线假设'!H1239</x:f>
        <x:v>0.14</x:v>
      </x:c>
      <x:c r="N5778" s="11" t="n">
        <x:f>IF(G5778,L5778*AN5778/(1+M5778)^F5778,0)</x:f>
        <x:v>0.047735107357710756</x:v>
      </x:c>
      <x:c r="AJ5778" t="n">
        <x:v>0</x:v>
      </x:c>
      <x:c r="AK5778" t="n">
        <x:v>0</x:v>
      </x:c>
      <x:c r="AL5778" t="n">
        <x:v>0</x:v>
      </x:c>
      <x:c r="AM5778" t="n">
        <x:f>CHOOSE('假设'!$B$3,AJ5778,AK5778,AL5778)</x:f>
        <x:v>0</x:v>
      </x:c>
      <x:c r="AN5778" t="n">
        <x:v>1</x:v>
      </x:c>
    </x:row>
    <x:row r="5779" ht="23" customHeight="1">
      <x:c r="A5779" s="11" t="str">
        <x:v>688062.SH</x:v>
      </x:c>
      <x:c r="B5779" s="11" t="str">
        <x:v>三年</x:v>
      </x:c>
      <x:c r="C5779" s="11" t="str">
        <x:v>bfv_tnbc</x:v>
      </x:c>
      <x:c r="D5779" s="11" t="str">
        <x:v>2032-12-31</x:v>
      </x:c>
      <x:c r="E5779" s="11" t="str">
        <x:v>CNY</x:v>
      </x:c>
      <x:c r="F5779" s="11" t="n">
        <x:v>3.2279260780287475</x:v>
      </x:c>
      <x:c r="G5779" s="26" t="b">
        <x:v>1</x:v>
      </x:c>
      <x:c r="H5779" s="16" t="n">
        <x:v>0.11000000000000001</x:v>
      </x:c>
      <x:c r="I5779" s="16" t="n">
        <x:v>0.75</x:v>
      </x:c>
      <x:c r="J5779" s="16" t="n">
        <x:v>2.4000000000000004</x:v>
      </x:c>
      <x:c r="K5779" s="11" t="n">
        <x:f>CHOOSE('假设'!$B$3,H5779,I5779,J5779)</x:f>
        <x:v>0.75</x:v>
      </x:c>
      <x:c r="L5779" s="11" t="n">
        <x:f>K5779*'管线假设'!E1239*'管线假设'!F1239*'管线假设'!G1239*IF(E5779="USD",'管线假设'!I1239,1)-AM5779</x:f>
        <x:v>0.09585</x:v>
      </x:c>
      <x:c r="M5779" s="11" t="n">
        <x:f>'管线假设'!H1239</x:f>
        <x:v>0.14</x:v>
      </x:c>
      <x:c r="N5779" s="11" t="n">
        <x:f>IF(G5779,L5779*AN5779/(1+M5779)^F5779,0)</x:f>
        <x:v>0.06279245508583493</x:v>
      </x:c>
      <x:c r="AJ5779" t="n">
        <x:v>0</x:v>
      </x:c>
      <x:c r="AK5779" t="n">
        <x:v>0</x:v>
      </x:c>
      <x:c r="AL5779" t="n">
        <x:v>0</x:v>
      </x:c>
      <x:c r="AM5779" t="n">
        <x:f>CHOOSE('假设'!$B$3,AJ5779,AK5779,AL5779)</x:f>
        <x:v>0</x:v>
      </x:c>
      <x:c r="AN5779" t="n">
        <x:v>1</x:v>
      </x:c>
    </x:row>
    <x:row r="5780" ht="23" customHeight="1">
      <x:c r="A5780" s="11" t="str">
        <x:v>688062.SH</x:v>
      </x:c>
      <x:c r="B5780" s="11" t="str">
        <x:v>三年</x:v>
      </x:c>
      <x:c r="C5780" s="11" t="str">
        <x:v>bfv_tnbc</x:v>
      </x:c>
      <x:c r="D5780" s="11" t="str">
        <x:v>2033-12-31</x:v>
      </x:c>
      <x:c r="E5780" s="11" t="str">
        <x:v>CNY</x:v>
      </x:c>
      <x:c r="F5780" s="11" t="n">
        <x:v>4.227241615331964</x:v>
      </x:c>
      <x:c r="G5780" s="26" t="b">
        <x:v>1</x:v>
      </x:c>
      <x:c r="H5780" s="16" t="n">
        <x:v>0.22000000000000003</x:v>
      </x:c>
      <x:c r="I5780" s="16" t="n">
        <x:v>1</x:v>
      </x:c>
      <x:c r="J5780" s="16" t="n">
        <x:v>3</x:v>
      </x:c>
      <x:c r="K5780" s="11" t="n">
        <x:f>CHOOSE('假设'!$B$3,H5780,I5780,J5780)</x:f>
        <x:v>1</x:v>
      </x:c>
      <x:c r="L5780" s="11" t="n">
        <x:f>K5780*'管线假设'!E1239*'管线假设'!F1239*'管线假设'!G1239*IF(E5780="USD",'管线假设'!I1239,1)-AM5780</x:f>
        <x:v>0.1278</x:v>
      </x:c>
      <x:c r="M5780" s="11" t="n">
        <x:f>'管线假设'!H1239</x:f>
        <x:v>0.14</x:v>
      </x:c>
      <x:c r="N5780" s="11" t="n">
        <x:f>IF(G5780,L5780*AN5780/(1+M5780)^F5780,0)</x:f>
        <x:v>0.07344805475352476</x:v>
      </x:c>
      <x:c r="AJ5780" t="n">
        <x:v>0</x:v>
      </x:c>
      <x:c r="AK5780" t="n">
        <x:v>0</x:v>
      </x:c>
      <x:c r="AL5780" t="n">
        <x:v>0</x:v>
      </x:c>
      <x:c r="AM5780" t="n">
        <x:f>CHOOSE('假设'!$B$3,AJ5780,AK5780,AL5780)</x:f>
        <x:v>0</x:v>
      </x:c>
      <x:c r="AN5780" t="n">
        <x:v>1</x:v>
      </x:c>
    </x:row>
    <x:row r="5781" ht="23" customHeight="1">
      <x:c r="A5781" s="11" t="str">
        <x:v>688062.SH</x:v>
      </x:c>
      <x:c r="B5781" s="11" t="str">
        <x:v>三年</x:v>
      </x:c>
      <x:c r="C5781" s="11" t="str">
        <x:v>bfv_tnbc</x:v>
      </x:c>
      <x:c r="D5781" s="11" t="str">
        <x:v>2034-12-31</x:v>
      </x:c>
      <x:c r="E5781" s="11" t="str">
        <x:v>CNY</x:v>
      </x:c>
      <x:c r="F5781" s="11" t="n">
        <x:v>5.2265571526351815</x:v>
      </x:c>
      <x:c r="G5781" s="26" t="b">
        <x:v>1</x:v>
      </x:c>
      <x:c r="H5781" s="16" t="n">
        <x:v>0.33</x:v>
      </x:c>
      <x:c r="I5781" s="16" t="n">
        <x:v>1.25</x:v>
      </x:c>
      <x:c r="J5781" s="16" t="n">
        <x:v>2.61</x:v>
      </x:c>
      <x:c r="K5781" s="11" t="n">
        <x:f>CHOOSE('假设'!$B$3,H5781,I5781,J5781)</x:f>
        <x:v>1.25</x:v>
      </x:c>
      <x:c r="L5781" s="11" t="n">
        <x:f>K5781*'管线假设'!E1239*'管线假设'!F1239*'管线假设'!G1239*IF(E5781="USD",'管线假设'!I1239,1)-AM5781</x:f>
        <x:v>0.15975000000000003</x:v>
      </x:c>
      <x:c r="M5781" s="11" t="n">
        <x:f>'管线假设'!H1239</x:f>
        <x:v>0.14</x:v>
      </x:c>
      <x:c r="N5781" s="11" t="n">
        <x:f>IF(G5781,L5781*AN5781/(1+M5781)^F5781,0)</x:f>
        <x:v>0.0805423707907443</x:v>
      </x:c>
      <x:c r="AJ5781" t="n">
        <x:v>0</x:v>
      </x:c>
      <x:c r="AK5781" t="n">
        <x:v>0</x:v>
      </x:c>
      <x:c r="AL5781" t="n">
        <x:v>0</x:v>
      </x:c>
      <x:c r="AM5781" t="n">
        <x:f>CHOOSE('假设'!$B$3,AJ5781,AK5781,AL5781)</x:f>
        <x:v>0</x:v>
      </x:c>
      <x:c r="AN5781" t="n">
        <x:v>1</x:v>
      </x:c>
    </x:row>
    <x:row r="5782" ht="23" customHeight="1">
      <x:c r="A5782" s="11" t="str">
        <x:v>688062.SH</x:v>
      </x:c>
      <x:c r="B5782" s="11" t="str">
        <x:v>三年</x:v>
      </x:c>
      <x:c r="C5782" s="11" t="str">
        <x:v>bfv_tnbc</x:v>
      </x:c>
      <x:c r="D5782" s="11" t="str">
        <x:v>2035-12-31</x:v>
      </x:c>
      <x:c r="E5782" s="11" t="str">
        <x:v>CNY</x:v>
      </x:c>
      <x:c r="F5782" s="11" t="n">
        <x:v>6.225872689938399</x:v>
      </x:c>
      <x:c r="G5782" s="26" t="b">
        <x:v>1</x:v>
      </x:c>
      <x:c r="H5782" s="16" t="n">
        <x:v>0.44000000000000006</x:v>
      </x:c>
      <x:c r="I5782" s="16" t="n">
        <x:v>1.5</x:v>
      </x:c>
      <x:c r="J5782" s="16" t="n">
        <x:v>2.2199999999999998</x:v>
      </x:c>
      <x:c r="K5782" s="11" t="n">
        <x:f>CHOOSE('假设'!$B$3,H5782,I5782,J5782)</x:f>
        <x:v>1.5</x:v>
      </x:c>
      <x:c r="L5782" s="11" t="n">
        <x:f>K5782*'管线假设'!E1239*'管线假设'!F1239*'管线假设'!G1239*IF(E5782="USD",'管线假设'!I1239,1)-AM5782</x:f>
        <x:v>0.1917</x:v>
      </x:c>
      <x:c r="M5782" s="11" t="n">
        <x:f>'管线假设'!H1239</x:f>
        <x:v>0.14</x:v>
      </x:c>
      <x:c r="N5782" s="11" t="n">
        <x:f>IF(G5782,L5782*AN5782/(1+M5782)^F5782,0)</x:f>
        <x:v>0.08478904681394747</x:v>
      </x:c>
      <x:c r="AJ5782" t="n">
        <x:v>0</x:v>
      </x:c>
      <x:c r="AK5782" t="n">
        <x:v>0</x:v>
      </x:c>
      <x:c r="AL5782" t="n">
        <x:v>0</x:v>
      </x:c>
      <x:c r="AM5782" t="n">
        <x:f>CHOOSE('假设'!$B$3,AJ5782,AK5782,AL5782)</x:f>
        <x:v>0</x:v>
      </x:c>
      <x:c r="AN5782" t="n">
        <x:v>1</x:v>
      </x:c>
    </x:row>
    <x:row r="5783" ht="23" customHeight="1">
      <x:c r="A5783" s="11" t="str">
        <x:v>688062.SH</x:v>
      </x:c>
      <x:c r="B5783" s="11" t="str">
        <x:v>三年</x:v>
      </x:c>
      <x:c r="C5783" s="11" t="str">
        <x:v>bfv_tnbc</x:v>
      </x:c>
      <x:c r="D5783" s="11" t="str">
        <x:v>2036-12-31</x:v>
      </x:c>
      <x:c r="E5783" s="11" t="str">
        <x:v>CNY</x:v>
      </x:c>
      <x:c r="F5783" s="11" t="n">
        <x:v>7.227926078028747</x:v>
      </x:c>
      <x:c r="G5783" s="26" t="b">
        <x:v>1</x:v>
      </x:c>
      <x:c r="H5783" s="16" t="n">
        <x:v>0.55</x:v>
      </x:c>
      <x:c r="I5783" s="16" t="n">
        <x:v>1.305</x:v>
      </x:c>
      <x:c r="J5783" s="16" t="n">
        <x:v>1.83</x:v>
      </x:c>
      <x:c r="K5783" s="11" t="n">
        <x:f>CHOOSE('假设'!$B$3,H5783,I5783,J5783)</x:f>
        <x:v>1.305</x:v>
      </x:c>
      <x:c r="L5783" s="11" t="n">
        <x:f>K5783*'管线假设'!E1239*'管线假设'!F1239*'管线假设'!G1239*IF(E5783="USD",'管线假设'!I1239,1)-AM5783</x:f>
        <x:v>0.166779</x:v>
      </x:c>
      <x:c r="M5783" s="11" t="n">
        <x:f>'管线假设'!H1239</x:f>
        <x:v>0.14</x:v>
      </x:c>
      <x:c r="N5783" s="11" t="n">
        <x:f>IF(G5783,L5783*AN5783/(1+M5783)^F5783,0)</x:f>
        <x:v>0.06469002314971878</x:v>
      </x:c>
      <x:c r="AJ5783" t="n">
        <x:v>0</x:v>
      </x:c>
      <x:c r="AK5783" t="n">
        <x:v>0</x:v>
      </x:c>
      <x:c r="AL5783" t="n">
        <x:v>0</x:v>
      </x:c>
      <x:c r="AM5783" t="n">
        <x:f>CHOOSE('假设'!$B$3,AJ5783,AK5783,AL5783)</x:f>
        <x:v>0</x:v>
      </x:c>
      <x:c r="AN5783" t="n">
        <x:v>1</x:v>
      </x:c>
    </x:row>
    <x:row r="5784" ht="23" customHeight="1">
      <x:c r="A5784" s="11" t="str">
        <x:v>688062.SH</x:v>
      </x:c>
      <x:c r="B5784" s="11" t="str">
        <x:v>三年</x:v>
      </x:c>
      <x:c r="C5784" s="11" t="str">
        <x:v>bfv_tnbc</x:v>
      </x:c>
      <x:c r="D5784" s="11" t="str">
        <x:v>2037-12-31</x:v>
      </x:c>
      <x:c r="E5784" s="11" t="str">
        <x:v>CNY</x:v>
      </x:c>
      <x:c r="F5784" s="11" t="n">
        <x:v>8.227241615331964</x:v>
      </x:c>
      <x:c r="G5784" s="26" t="b">
        <x:v>1</x:v>
      </x:c>
      <x:c r="H5784" s="16" t="n">
        <x:v>0.47850000000000004</x:v>
      </x:c>
      <x:c r="I5784" s="16" t="n">
        <x:v>1.1099999999999999</x:v>
      </x:c>
      <x:c r="J5784" s="16" t="n">
        <x:v>1.44</x:v>
      </x:c>
      <x:c r="K5784" s="11" t="n">
        <x:f>CHOOSE('假设'!$B$3,H5784,I5784,J5784)</x:f>
        <x:v>1.1099999999999999</x:v>
      </x:c>
      <x:c r="L5784" s="11" t="n">
        <x:f>K5784*'管线假设'!E1239*'管线假设'!F1239*'管线假设'!G1239*IF(E5784="USD",'管线假设'!I1239,1)-AM5784</x:f>
        <x:v>0.14185799999999998</x:v>
      </x:c>
      <x:c r="M5784" s="11" t="n">
        <x:f>'管线假设'!H1239</x:f>
        <x:v>0.14</x:v>
      </x:c>
      <x:c r="N5784" s="11" t="n">
        <x:f>IF(G5784,L5784*AN5784/(1+M5784)^F5784,0)</x:f>
        <x:v>0.048270730540152254</x:v>
      </x:c>
      <x:c r="AJ5784" t="n">
        <x:v>0</x:v>
      </x:c>
      <x:c r="AK5784" t="n">
        <x:v>0</x:v>
      </x:c>
      <x:c r="AL5784" t="n">
        <x:v>0</x:v>
      </x:c>
      <x:c r="AM5784" t="n">
        <x:f>CHOOSE('假设'!$B$3,AJ5784,AK5784,AL5784)</x:f>
        <x:v>0</x:v>
      </x:c>
      <x:c r="AN5784" t="n">
        <x:v>1</x:v>
      </x:c>
    </x:row>
    <x:row r="5785" ht="23" customHeight="1">
      <x:c r="A5785" s="11" t="str">
        <x:v>688062.SH</x:v>
      </x:c>
      <x:c r="B5785" s="11" t="str">
        <x:v>三年</x:v>
      </x:c>
      <x:c r="C5785" s="11" t="str">
        <x:v>bfv_tnbc</x:v>
      </x:c>
      <x:c r="D5785" s="11" t="str">
        <x:v>2038-12-31</x:v>
      </x:c>
      <x:c r="E5785" s="11" t="str">
        <x:v>CNY</x:v>
      </x:c>
      <x:c r="F5785" s="11" t="n">
        <x:v>9.22655715263518</x:v>
      </x:c>
      <x:c r="G5785" s="26" t="b">
        <x:v>1</x:v>
      </x:c>
      <x:c r="H5785" s="16" t="n">
        <x:v>0.40700000000000003</x:v>
      </x:c>
      <x:c r="I5785" s="16" t="n">
        <x:v>0.915</x:v>
      </x:c>
      <x:c r="J5785" s="16" t="n">
        <x:v>1.0499999999999998</x:v>
      </x:c>
      <x:c r="K5785" s="11" t="n">
        <x:f>CHOOSE('假设'!$B$3,H5785,I5785,J5785)</x:f>
        <x:v>0.915</x:v>
      </x:c>
      <x:c r="L5785" s="11" t="n">
        <x:f>K5785*'管线假设'!E1239*'管线假设'!F1239*'管线假设'!G1239*IF(E5785="USD",'管线假设'!I1239,1)-AM5785</x:f>
        <x:v>0.11693700000000001</x:v>
      </x:c>
      <x:c r="M5785" s="11" t="n">
        <x:f>'管线假设'!H1239</x:f>
        <x:v>0.14</x:v>
      </x:c>
      <x:c r="N5785" s="11" t="n">
        <x:f>IF(G5785,L5785*AN5785/(1+M5785)^F5785,0)</x:f>
        <x:v>0.03490728604209634</x:v>
      </x:c>
      <x:c r="AJ5785" t="n">
        <x:v>0</x:v>
      </x:c>
      <x:c r="AK5785" t="n">
        <x:v>0</x:v>
      </x:c>
      <x:c r="AL5785" t="n">
        <x:v>0</x:v>
      </x:c>
      <x:c r="AM5785" t="n">
        <x:f>CHOOSE('假设'!$B$3,AJ5785,AK5785,AL5785)</x:f>
        <x:v>0</x:v>
      </x:c>
      <x:c r="AN5785" t="n">
        <x:v>1</x:v>
      </x:c>
    </x:row>
    <x:row r="5786" ht="23" customHeight="1">
      <x:c r="A5786" s="11" t="str">
        <x:v>688062.SH</x:v>
      </x:c>
      <x:c r="B5786" s="11" t="str">
        <x:v>三年</x:v>
      </x:c>
      <x:c r="C5786" s="11" t="str">
        <x:v>bfv_tnbc</x:v>
      </x:c>
      <x:c r="D5786" s="11" t="str">
        <x:v>2039-12-31</x:v>
      </x:c>
      <x:c r="E5786" s="11" t="str">
        <x:v>CNY</x:v>
      </x:c>
      <x:c r="F5786" s="11" t="n">
        <x:v>10.225872689938399</x:v>
      </x:c>
      <x:c r="G5786" s="26" t="b">
        <x:v>1</x:v>
      </x:c>
      <x:c r="H5786" s="16" t="n">
        <x:v>0.3355</x:v>
      </x:c>
      <x:c r="I5786" s="16" t="n">
        <x:v>0.72</x:v>
      </x:c>
      <x:c r="J5786" s="16" t="n">
        <x:v>0.6599999999999999</x:v>
      </x:c>
      <x:c r="K5786" s="11" t="n">
        <x:f>CHOOSE('假设'!$B$3,H5786,I5786,J5786)</x:f>
        <x:v>0.72</x:v>
      </x:c>
      <x:c r="L5786" s="11" t="n">
        <x:f>K5786*'管线假设'!E1239*'管线假设'!F1239*'管线假设'!G1239*IF(E5786="USD",'管线假设'!I1239,1)-AM5786</x:f>
        <x:v>0.09201600000000001</x:v>
      </x:c>
      <x:c r="M5786" s="11" t="n">
        <x:f>'管线假设'!H1239</x:f>
        <x:v>0.14</x:v>
      </x:c>
      <x:c r="N5786" s="11" t="n">
        <x:f>IF(G5786,L5786*AN5786/(1+M5786)^F5786,0)</x:f>
        <x:v>0.024096922730666884</x:v>
      </x:c>
      <x:c r="AJ5786" t="n">
        <x:v>0</x:v>
      </x:c>
      <x:c r="AK5786" t="n">
        <x:v>0</x:v>
      </x:c>
      <x:c r="AL5786" t="n">
        <x:v>0</x:v>
      </x:c>
      <x:c r="AM5786" t="n">
        <x:f>CHOOSE('假设'!$B$3,AJ5786,AK5786,AL5786)</x:f>
        <x:v>0</x:v>
      </x:c>
      <x:c r="AN5786" t="n">
        <x:v>1</x:v>
      </x:c>
    </x:row>
    <x:row r="5787" ht="23" customHeight="1">
      <x:c r="A5787" s="11" t="str">
        <x:v>688062.SH</x:v>
      </x:c>
      <x:c r="B5787" s="11" t="str">
        <x:v>三年</x:v>
      </x:c>
      <x:c r="C5787" s="11" t="str">
        <x:v>bfv_tnbc</x:v>
      </x:c>
      <x:c r="D5787" s="11" t="str">
        <x:v>2040-12-31</x:v>
      </x:c>
      <x:c r="E5787" s="11" t="str">
        <x:v>CNY</x:v>
      </x:c>
      <x:c r="F5787" s="11" t="n">
        <x:v>11.227926078028748</x:v>
      </x:c>
      <x:c r="G5787" s="26" t="b">
        <x:v>1</x:v>
      </x:c>
      <x:c r="H5787" s="16" t="n">
        <x:v>0.264</x:v>
      </x:c>
      <x:c r="I5787" s="16" t="n">
        <x:v>0.5249999999999999</x:v>
      </x:c>
      <x:c r="J5787" s="16" t="n">
        <x:v>0.2699999999999999</x:v>
      </x:c>
      <x:c r="K5787" s="11" t="n">
        <x:f>CHOOSE('假设'!$B$3,H5787,I5787,J5787)</x:f>
        <x:v>0.5249999999999999</x:v>
      </x:c>
      <x:c r="L5787" s="11" t="n">
        <x:f>K5787*'管线假设'!E1239*'管线假设'!F1239*'管线假设'!G1239*IF(E5787="USD",'管线假设'!I1239,1)-AM5787</x:f>
        <x:v>0.06709499999999999</x:v>
      </x:c>
      <x:c r="M5787" s="11" t="n">
        <x:f>'管线假设'!H1239</x:f>
        <x:v>0.14</x:v>
      </x:c>
      <x:c r="N5787" s="11" t="n">
        <x:f>IF(G5787,L5787*AN5787/(1+M5787)^F5787,0)</x:f>
        <x:v>0.015408724594654378</x:v>
      </x:c>
      <x:c r="AJ5787" t="n">
        <x:v>0</x:v>
      </x:c>
      <x:c r="AK5787" t="n">
        <x:v>0</x:v>
      </x:c>
      <x:c r="AL5787" t="n">
        <x:v>0</x:v>
      </x:c>
      <x:c r="AM5787" t="n">
        <x:f>CHOOSE('假设'!$B$3,AJ5787,AK5787,AL5787)</x:f>
        <x:v>0</x:v>
      </x:c>
      <x:c r="AN5787" t="n">
        <x:v>1</x:v>
      </x:c>
    </x:row>
    <x:row r="5788" ht="23" customHeight="1">
      <x:c r="A5788" s="11" t="str">
        <x:v>688062.SH</x:v>
      </x:c>
      <x:c r="B5788" s="11" t="str">
        <x:v>三年</x:v>
      </x:c>
      <x:c r="C5788" s="11" t="str">
        <x:v>bfv_tnbc</x:v>
      </x:c>
      <x:c r="D5788" s="11" t="str">
        <x:v>2041-12-31</x:v>
      </x:c>
      <x:c r="E5788" s="11" t="str">
        <x:v>CNY</x:v>
      </x:c>
      <x:c r="F5788" s="11" t="n">
        <x:v>12.227241615331964</x:v>
      </x:c>
      <x:c r="G5788" s="26" t="b">
        <x:v>1</x:v>
      </x:c>
      <x:c r="H5788" s="16" t="n">
        <x:v>0.1925</x:v>
      </x:c>
      <x:c r="I5788" s="16" t="n">
        <x:v>0.32999999999999996</x:v>
      </x:c>
      <x:c r="J5788" s="16" t="n">
        <x:v>0</x:v>
      </x:c>
      <x:c r="K5788" s="11" t="n">
        <x:f>CHOOSE('假设'!$B$3,H5788,I5788,J5788)</x:f>
        <x:v>0.32999999999999996</x:v>
      </x:c>
      <x:c r="L5788" s="11" t="n">
        <x:f>K5788*'管线假设'!E1239*'管线假设'!F1239*'管线假设'!G1239*IF(E5788="USD",'管线假设'!I1239,1)-AM5788</x:f>
        <x:v>0.042174</x:v>
      </x:c>
      <x:c r="M5788" s="11" t="n">
        <x:f>'管线假设'!H1239</x:f>
        <x:v>0.14</x:v>
      </x:c>
      <x:c r="N5788" s="11" t="n">
        <x:f>IF(G5788,L5788*AN5788/(1+M5788)^F5788,0)</x:f>
        <x:v>0.008496800616157442</x:v>
      </x:c>
      <x:c r="AJ5788" t="n">
        <x:v>0</x:v>
      </x:c>
      <x:c r="AK5788" t="n">
        <x:v>0</x:v>
      </x:c>
      <x:c r="AL5788" t="n">
        <x:v>0</x:v>
      </x:c>
      <x:c r="AM5788" t="n">
        <x:f>CHOOSE('假设'!$B$3,AJ5788,AK5788,AL5788)</x:f>
        <x:v>0</x:v>
      </x:c>
      <x:c r="AN5788" t="n">
        <x:v>1</x:v>
      </x:c>
    </x:row>
    <x:row r="5789" ht="23" customHeight="1">
      <x:c r="A5789" s="11" t="str">
        <x:v>688062.SH</x:v>
      </x:c>
      <x:c r="B5789" s="11" t="str">
        <x:v>三年</x:v>
      </x:c>
      <x:c r="C5789" s="11" t="str">
        <x:v>bfv_tnbc</x:v>
      </x:c>
      <x:c r="D5789" s="11" t="str">
        <x:v>2042-12-31</x:v>
      </x:c>
      <x:c r="E5789" s="11" t="str">
        <x:v>CNY</x:v>
      </x:c>
      <x:c r="F5789" s="11" t="n">
        <x:v>13.22655715263518</x:v>
      </x:c>
      <x:c r="G5789" s="26" t="b">
        <x:v>1</x:v>
      </x:c>
      <x:c r="H5789" s="16" t="n">
        <x:v>0.121</x:v>
      </x:c>
      <x:c r="I5789" s="16" t="n">
        <x:v>0.13499999999999995</x:v>
      </x:c>
      <x:c r="J5789" s="16" t="n">
        <x:v>0</x:v>
      </x:c>
      <x:c r="K5789" s="11" t="n">
        <x:f>CHOOSE('假设'!$B$3,H5789,I5789,J5789)</x:f>
        <x:v>0.13499999999999995</x:v>
      </x:c>
      <x:c r="L5789" s="11" t="n">
        <x:f>K5789*'管线假设'!E1239*'管线假设'!F1239*'管线假设'!G1239*IF(E5789="USD",'管线假设'!I1239,1)-AM5789</x:f>
        <x:v>0.017252999999999994</x:v>
      </x:c>
      <x:c r="M5789" s="11" t="n">
        <x:f>'管线假设'!H1239</x:f>
        <x:v>0.14</x:v>
      </x:c>
      <x:c r="N5789" s="11" t="n">
        <x:f>IF(G5789,L5789*AN5789/(1+M5789)^F5789,0)</x:f>
        <x:v>0.003049364597023023</x:v>
      </x:c>
      <x:c r="AJ5789" t="n">
        <x:v>0</x:v>
      </x:c>
      <x:c r="AK5789" t="n">
        <x:v>0</x:v>
      </x:c>
      <x:c r="AL5789" t="n">
        <x:v>0</x:v>
      </x:c>
      <x:c r="AM5789" t="n">
        <x:f>CHOOSE('假设'!$B$3,AJ5789,AK5789,AL5789)</x:f>
        <x:v>0</x:v>
      </x:c>
      <x:c r="AN5789" t="n">
        <x:v>1</x:v>
      </x:c>
    </x:row>
    <x:row r="5790" ht="23" customHeight="1">
      <x:c r="A5790" s="11" t="str">
        <x:v>688062.SH</x:v>
      </x:c>
      <x:c r="B5790" s="11" t="str">
        <x:v>三年</x:v>
      </x:c>
      <x:c r="C5790" s="11" t="str">
        <x:v>bfv_tnbc</x:v>
      </x:c>
      <x:c r="D5790" s="11" t="str">
        <x:v>2043-12-31</x:v>
      </x:c>
      <x:c r="E5790" s="11" t="str">
        <x:v>CNY</x:v>
      </x:c>
      <x:c r="F5790" s="11" t="n">
        <x:v>14.225872689938399</x:v>
      </x:c>
      <x:c r="G5790" s="26" t="b">
        <x:v>1</x:v>
      </x:c>
      <x:c r="H5790" s="16" t="n">
        <x:v>0.04949999999999999</x:v>
      </x:c>
      <x:c r="I5790" s="16" t="n">
        <x:v>0</x:v>
      </x:c>
      <x:c r="J5790" s="16" t="n">
        <x:v>0</x:v>
      </x:c>
      <x:c r="K5790" s="11" t="n">
        <x:f>CHOOSE('假设'!$B$3,H5790,I5790,J5790)</x:f>
        <x:v>0</x:v>
      </x:c>
      <x:c r="L5790" s="11" t="n">
        <x:f>K5790*'管线假设'!E1239*'管线假设'!F1239*'管线假设'!G1239*IF(E5790="USD",'管线假设'!I1239,1)-AM5790</x:f>
        <x:v>0</x:v>
      </x:c>
      <x:c r="M5790" s="11" t="n">
        <x:f>'管线假设'!H1239</x:f>
        <x:v>0.14</x:v>
      </x:c>
      <x:c r="N5790" s="11" t="n">
        <x:f>IF(G5790,L5790*AN5790/(1+M5790)^F5790,0)</x:f>
        <x:v>0</x:v>
      </x:c>
      <x:c r="AJ5790" t="n">
        <x:v>0</x:v>
      </x:c>
      <x:c r="AK5790" t="n">
        <x:v>0</x:v>
      </x:c>
      <x:c r="AL5790" t="n">
        <x:v>0</x:v>
      </x:c>
      <x:c r="AM5790" t="n">
        <x:f>CHOOSE('假设'!$B$3,AJ5790,AK5790,AL5790)</x:f>
        <x:v>0</x:v>
      </x:c>
      <x:c r="AN5790" t="n">
        <x:v>1</x:v>
      </x:c>
    </x:row>
    <x:row r="5791" ht="23" customHeight="1">
      <x:c r="A5791" s="11" t="str">
        <x:v>688062.SH</x:v>
      </x:c>
      <x:c r="B5791" s="11" t="str">
        <x:v>三年</x:v>
      </x:c>
      <x:c r="C5791" s="11" t="str">
        <x:v>bfv_tnbc</x:v>
      </x:c>
      <x:c r="D5791" s="11" t="str">
        <x:v>2044-12-31</x:v>
      </x:c>
      <x:c r="E5791" s="11" t="str">
        <x:v>CNY</x:v>
      </x:c>
      <x:c r="F5791" s="11" t="n">
        <x:v>15.227926078028748</x:v>
      </x:c>
      <x:c r="G5791" s="26" t="b">
        <x:v>1</x:v>
      </x:c>
      <x:c r="H5791" s="16" t="n">
        <x:v>0</x:v>
      </x:c>
      <x:c r="I5791" s="16" t="n">
        <x:v>0</x:v>
      </x:c>
      <x:c r="J5791" s="16" t="n">
        <x:v>0</x:v>
      </x:c>
      <x:c r="K5791" s="11" t="n">
        <x:f>CHOOSE('假设'!$B$3,H5791,I5791,J5791)</x:f>
        <x:v>0</x:v>
      </x:c>
      <x:c r="L5791" s="11" t="n">
        <x:f>K5791*'管线假设'!E1239*'管线假设'!F1239*'管线假设'!G1239*IF(E5791="USD",'管线假设'!I1239,1)-AM5791</x:f>
        <x:v>0</x:v>
      </x:c>
      <x:c r="M5791" s="11" t="n">
        <x:f>'管线假设'!H1239</x:f>
        <x:v>0.14</x:v>
      </x:c>
      <x:c r="N5791" s="11" t="n">
        <x:f>IF(G5791,L5791*AN5791/(1+M5791)^F5791,0)</x:f>
        <x:v>0</x:v>
      </x:c>
      <x:c r="AJ5791" t="n">
        <x:v>0</x:v>
      </x:c>
      <x:c r="AK5791" t="n">
        <x:v>0</x:v>
      </x:c>
      <x:c r="AL5791" t="n">
        <x:v>0</x:v>
      </x:c>
      <x:c r="AM5791" t="n">
        <x:f>CHOOSE('假设'!$B$3,AJ5791,AK5791,AL5791)</x:f>
        <x:v>0</x:v>
      </x:c>
      <x:c r="AN5791" t="n">
        <x:v>1</x:v>
      </x:c>
    </x:row>
    <x:row r="5792" ht="23" customHeight="1">
      <x:c r="A5792" s="11" t="str">
        <x:v>688062.SH</x:v>
      </x:c>
      <x:c r="B5792" s="11" t="str">
        <x:v>三年</x:v>
      </x:c>
      <x:c r="C5792" s="11" t="str">
        <x:v>bfv_tnbc</x:v>
      </x:c>
      <x:c r="D5792" s="11" t="str">
        <x:v>2045-12-31</x:v>
      </x:c>
      <x:c r="E5792" s="11" t="str">
        <x:v>CNY</x:v>
      </x:c>
      <x:c r="F5792" s="11" t="n">
        <x:v>16.227241615331966</x:v>
      </x:c>
      <x:c r="G5792" s="26" t="b">
        <x:v>1</x:v>
      </x:c>
      <x:c r="H5792" s="16" t="n">
        <x:v>0</x:v>
      </x:c>
      <x:c r="I5792" s="16" t="n">
        <x:v>0</x:v>
      </x:c>
      <x:c r="J5792" s="16" t="n">
        <x:v>0</x:v>
      </x:c>
      <x:c r="K5792" s="11" t="n">
        <x:f>CHOOSE('假设'!$B$3,H5792,I5792,J5792)</x:f>
        <x:v>0</x:v>
      </x:c>
      <x:c r="L5792" s="11" t="n">
        <x:f>K5792*'管线假设'!E1239*'管线假设'!F1239*'管线假设'!G1239*IF(E5792="USD",'管线假设'!I1239,1)-AM5792</x:f>
        <x:v>0</x:v>
      </x:c>
      <x:c r="M5792" s="11" t="n">
        <x:f>'管线假设'!H1239</x:f>
        <x:v>0.14</x:v>
      </x:c>
      <x:c r="N5792" s="11" t="n">
        <x:f>IF(G5792,L5792*AN5792/(1+M5792)^F5792,0)</x:f>
        <x:v>0</x:v>
      </x:c>
      <x:c r="AJ5792" t="n">
        <x:v>0</x:v>
      </x:c>
      <x:c r="AK5792" t="n">
        <x:v>0</x:v>
      </x:c>
      <x:c r="AL5792" t="n">
        <x:v>0</x:v>
      </x:c>
      <x:c r="AM5792" t="n">
        <x:f>CHOOSE('假设'!$B$3,AJ5792,AK5792,AL5792)</x:f>
        <x:v>0</x:v>
      </x:c>
      <x:c r="AN5792" t="n">
        <x:v>1</x:v>
      </x:c>
    </x:row>
    <x:row r="5793" ht="23" customHeight="1">
      <x:c r="A5793" s="11" t="str">
        <x:v>688062.SH</x:v>
      </x:c>
      <x:c r="B5793" s="11" t="str">
        <x:v>三年</x:v>
      </x:c>
      <x:c r="C5793" s="11" t="str">
        <x:v>bfv_escc</x:v>
      </x:c>
      <x:c r="D5793" s="11" t="str">
        <x:v>2027-12-31</x:v>
      </x:c>
      <x:c r="E5793" s="11" t="str">
        <x:v>CNY</x:v>
      </x:c>
      <x:c r="F5793" s="11" t="n">
        <x:v>-1.7741273100616017</x:v>
      </x:c>
      <x:c r="G5793" s="26" t="b">
        <x:v>0</x:v>
      </x:c>
      <x:c r="H5793" s="16" t="n">
        <x:v>0</x:v>
      </x:c>
      <x:c r="I5793" s="16" t="n">
        <x:v>0</x:v>
      </x:c>
      <x:c r="J5793" s="16" t="n">
        <x:v>0</x:v>
      </x:c>
      <x:c r="K5793" s="11" t="n">
        <x:f>CHOOSE('假设'!$B$3,H5793,I5793,J5793)</x:f>
        <x:v>0</x:v>
      </x:c>
      <x:c r="L5793" s="11" t="n">
        <x:f>K5793*'管线假设'!E1243*'管线假设'!F1243*'管线假设'!G1243*IF(E5793="USD",'管线假设'!I1243,1)-AM5793</x:f>
        <x:v>0</x:v>
      </x:c>
      <x:c r="M5793" s="11" t="n">
        <x:f>'管线假设'!H1243</x:f>
        <x:v>0.14</x:v>
      </x:c>
      <x:c r="N5793" s="11" t="n">
        <x:f>IF(G5793,L5793*AN5793/(1+M5793)^F5793,0)</x:f>
        <x:v>0</x:v>
      </x:c>
      <x:c r="AJ5793" t="n">
        <x:v>0</x:v>
      </x:c>
      <x:c r="AK5793" t="n">
        <x:v>0</x:v>
      </x:c>
      <x:c r="AL5793" t="n">
        <x:v>0</x:v>
      </x:c>
      <x:c r="AM5793" t="n">
        <x:f>CHOOSE('假设'!$B$3,AJ5793,AK5793,AL5793)</x:f>
        <x:v>0</x:v>
      </x:c>
      <x:c r="AN5793" t="n">
        <x:v>1</x:v>
      </x:c>
    </x:row>
    <x:row r="5794" ht="23" customHeight="1">
      <x:c r="A5794" s="11" t="str">
        <x:v>688062.SH</x:v>
      </x:c>
      <x:c r="B5794" s="11" t="str">
        <x:v>三年</x:v>
      </x:c>
      <x:c r="C5794" s="11" t="str">
        <x:v>bfv_escc</x:v>
      </x:c>
      <x:c r="D5794" s="11" t="str">
        <x:v>2028-12-31</x:v>
      </x:c>
      <x:c r="E5794" s="11" t="str">
        <x:v>CNY</x:v>
      </x:c>
      <x:c r="F5794" s="11" t="n">
        <x:v>-0.7720739219712526</x:v>
      </x:c>
      <x:c r="G5794" s="26" t="b">
        <x:v>0</x:v>
      </x:c>
      <x:c r="H5794" s="16" t="n">
        <x:v>0</x:v>
      </x:c>
      <x:c r="I5794" s="16" t="n">
        <x:v>0</x:v>
      </x:c>
      <x:c r="J5794" s="16" t="n">
        <x:v>0</x:v>
      </x:c>
      <x:c r="K5794" s="11" t="n">
        <x:f>CHOOSE('假设'!$B$3,H5794,I5794,J5794)</x:f>
        <x:v>0</x:v>
      </x:c>
      <x:c r="L5794" s="11" t="n">
        <x:f>K5794*'管线假设'!E1243*'管线假设'!F1243*'管线假设'!G1243*IF(E5794="USD",'管线假设'!I1243,1)-AM5794</x:f>
        <x:v>0</x:v>
      </x:c>
      <x:c r="M5794" s="11" t="n">
        <x:f>'管线假设'!H1243</x:f>
        <x:v>0.14</x:v>
      </x:c>
      <x:c r="N5794" s="11" t="n">
        <x:f>IF(G5794,L5794*AN5794/(1+M5794)^F5794,0)</x:f>
        <x:v>0</x:v>
      </x:c>
      <x:c r="AJ5794" t="n">
        <x:v>0</x:v>
      </x:c>
      <x:c r="AK5794" t="n">
        <x:v>0</x:v>
      </x:c>
      <x:c r="AL5794" t="n">
        <x:v>0</x:v>
      </x:c>
      <x:c r="AM5794" t="n">
        <x:f>CHOOSE('假设'!$B$3,AJ5794,AK5794,AL5794)</x:f>
        <x:v>0</x:v>
      </x:c>
      <x:c r="AN5794" t="n">
        <x:v>1</x:v>
      </x:c>
    </x:row>
    <x:row r="5795" ht="23" customHeight="1">
      <x:c r="A5795" s="11" t="str">
        <x:v>688062.SH</x:v>
      </x:c>
      <x:c r="B5795" s="11" t="str">
        <x:v>三年</x:v>
      </x:c>
      <x:c r="C5795" s="11" t="str">
        <x:v>bfv_escc</x:v>
      </x:c>
      <x:c r="D5795" s="11" t="str">
        <x:v>2029-12-31</x:v>
      </x:c>
      <x:c r="E5795" s="11" t="str">
        <x:v>CNY</x:v>
      </x:c>
      <x:c r="F5795" s="11" t="n">
        <x:v>0.2272416153319644</x:v>
      </x:c>
      <x:c r="G5795" s="26" t="b">
        <x:v>1</x:v>
      </x:c>
      <x:c r="H5795" s="16" t="n">
        <x:v>0</x:v>
      </x:c>
      <x:c r="I5795" s="16" t="n">
        <x:v>0</x:v>
      </x:c>
      <x:c r="J5795" s="16" t="n">
        <x:v>0.16666666666666666</x:v>
      </x:c>
      <x:c r="K5795" s="11" t="n">
        <x:f>CHOOSE('假设'!$B$3,H5795,I5795,J5795)</x:f>
        <x:v>0</x:v>
      </x:c>
      <x:c r="L5795" s="11" t="n">
        <x:f>K5795*'管线假设'!E1243*'管线假设'!F1243*'管线假设'!G1243*IF(E5795="USD",'管线假设'!I1243,1)-AM5795</x:f>
        <x:v>0</x:v>
      </x:c>
      <x:c r="M5795" s="11" t="n">
        <x:f>'管线假设'!H1243</x:f>
        <x:v>0.14</x:v>
      </x:c>
      <x:c r="N5795" s="11" t="n">
        <x:f>IF(G5795,L5795*AN5795/(1+M5795)^F5795,0)</x:f>
        <x:v>0</x:v>
      </x:c>
      <x:c r="AJ5795" t="n">
        <x:v>0</x:v>
      </x:c>
      <x:c r="AK5795" t="n">
        <x:v>0</x:v>
      </x:c>
      <x:c r="AL5795" t="n">
        <x:v>0</x:v>
      </x:c>
      <x:c r="AM5795" t="n">
        <x:f>CHOOSE('假设'!$B$3,AJ5795,AK5795,AL5795)</x:f>
        <x:v>0</x:v>
      </x:c>
      <x:c r="AN5795" t="n">
        <x:v>1</x:v>
      </x:c>
    </x:row>
    <x:row r="5796" ht="23" customHeight="1">
      <x:c r="A5796" s="11" t="str">
        <x:v>688062.SH</x:v>
      </x:c>
      <x:c r="B5796" s="11" t="str">
        <x:v>三年</x:v>
      </x:c>
      <x:c r="C5796" s="11" t="str">
        <x:v>bfv_escc</x:v>
      </x:c>
      <x:c r="D5796" s="11" t="str">
        <x:v>2030-12-31</x:v>
      </x:c>
      <x:c r="E5796" s="11" t="str">
        <x:v>CNY</x:v>
      </x:c>
      <x:c r="F5796" s="11" t="n">
        <x:v>1.2265571526351813</x:v>
      </x:c>
      <x:c r="G5796" s="26" t="b">
        <x:v>1</x:v>
      </x:c>
      <x:c r="H5796" s="16" t="n">
        <x:v>0</x:v>
      </x:c>
      <x:c r="I5796" s="16" t="n">
        <x:v>0</x:v>
      </x:c>
      <x:c r="J5796" s="16" t="n">
        <x:v>0.3333333333333333</x:v>
      </x:c>
      <x:c r="K5796" s="11" t="n">
        <x:f>CHOOSE('假设'!$B$3,H5796,I5796,J5796)</x:f>
        <x:v>0</x:v>
      </x:c>
      <x:c r="L5796" s="11" t="n">
        <x:f>K5796*'管线假设'!E1243*'管线假设'!F1243*'管线假设'!G1243*IF(E5796="USD",'管线假设'!I1243,1)-AM5796</x:f>
        <x:v>0</x:v>
      </x:c>
      <x:c r="M5796" s="11" t="n">
        <x:f>'管线假设'!H1243</x:f>
        <x:v>0.14</x:v>
      </x:c>
      <x:c r="N5796" s="11" t="n">
        <x:f>IF(G5796,L5796*AN5796/(1+M5796)^F5796,0)</x:f>
        <x:v>0</x:v>
      </x:c>
      <x:c r="AJ5796" t="n">
        <x:v>0</x:v>
      </x:c>
      <x:c r="AK5796" t="n">
        <x:v>0</x:v>
      </x:c>
      <x:c r="AL5796" t="n">
        <x:v>0</x:v>
      </x:c>
      <x:c r="AM5796" t="n">
        <x:f>CHOOSE('假设'!$B$3,AJ5796,AK5796,AL5796)</x:f>
        <x:v>0</x:v>
      </x:c>
      <x:c r="AN5796" t="n">
        <x:v>1</x:v>
      </x:c>
    </x:row>
    <x:row r="5797" ht="23" customHeight="1">
      <x:c r="A5797" s="11" t="str">
        <x:v>688062.SH</x:v>
      </x:c>
      <x:c r="B5797" s="11" t="str">
        <x:v>三年</x:v>
      </x:c>
      <x:c r="C5797" s="11" t="str">
        <x:v>bfv_escc</x:v>
      </x:c>
      <x:c r="D5797" s="11" t="str">
        <x:v>2031-12-31</x:v>
      </x:c>
      <x:c r="E5797" s="11" t="str">
        <x:v>CNY</x:v>
      </x:c>
      <x:c r="F5797" s="11" t="n">
        <x:v>2.2258726899383983</x:v>
      </x:c>
      <x:c r="G5797" s="26" t="b">
        <x:v>1</x:v>
      </x:c>
      <x:c r="H5797" s="16" t="n">
        <x:v>0</x:v>
      </x:c>
      <x:c r="I5797" s="16" t="n">
        <x:v>0.1</x:v>
      </x:c>
      <x:c r="J5797" s="16" t="n">
        <x:v>0.5</x:v>
      </x:c>
      <x:c r="K5797" s="11" t="n">
        <x:f>CHOOSE('假设'!$B$3,H5797,I5797,J5797)</x:f>
        <x:v>0.1</x:v>
      </x:c>
      <x:c r="L5797" s="11" t="n">
        <x:f>K5797*'管线假设'!E1243*'管线假设'!F1243*'管线假设'!G1243*IF(E5797="USD",'管线假设'!I1243,1)-AM5797</x:f>
        <x:v>0.009336</x:v>
      </x:c>
      <x:c r="M5797" s="11" t="n">
        <x:f>'管线假设'!H1243</x:f>
        <x:v>0.14</x:v>
      </x:c>
      <x:c r="N5797" s="11" t="n">
        <x:f>IF(G5797,L5797*AN5797/(1+M5797)^F5797,0)</x:f>
        <x:v>0.006974256060901215</x:v>
      </x:c>
      <x:c r="AJ5797" t="n">
        <x:v>0</x:v>
      </x:c>
      <x:c r="AK5797" t="n">
        <x:v>0</x:v>
      </x:c>
      <x:c r="AL5797" t="n">
        <x:v>0</x:v>
      </x:c>
      <x:c r="AM5797" t="n">
        <x:f>CHOOSE('假设'!$B$3,AJ5797,AK5797,AL5797)</x:f>
        <x:v>0</x:v>
      </x:c>
      <x:c r="AN5797" t="n">
        <x:v>1</x:v>
      </x:c>
    </x:row>
    <x:row r="5798" ht="23" customHeight="1">
      <x:c r="A5798" s="11" t="str">
        <x:v>688062.SH</x:v>
      </x:c>
      <x:c r="B5798" s="11" t="str">
        <x:v>三年</x:v>
      </x:c>
      <x:c r="C5798" s="11" t="str">
        <x:v>bfv_escc</x:v>
      </x:c>
      <x:c r="D5798" s="11" t="str">
        <x:v>2032-12-31</x:v>
      </x:c>
      <x:c r="E5798" s="11" t="str">
        <x:v>CNY</x:v>
      </x:c>
      <x:c r="F5798" s="11" t="n">
        <x:v>3.2279260780287475</x:v>
      </x:c>
      <x:c r="G5798" s="26" t="b">
        <x:v>1</x:v>
      </x:c>
      <x:c r="H5798" s="16" t="n">
        <x:v>0</x:v>
      </x:c>
      <x:c r="I5798" s="16" t="n">
        <x:v>0.2</x:v>
      </x:c>
      <x:c r="J5798" s="16" t="n">
        <x:v>0.6666666666666666</x:v>
      </x:c>
      <x:c r="K5798" s="11" t="n">
        <x:f>CHOOSE('假设'!$B$3,H5798,I5798,J5798)</x:f>
        <x:v>0.2</x:v>
      </x:c>
      <x:c r="L5798" s="11" t="n">
        <x:f>K5798*'管线假设'!E1243*'管线假设'!F1243*'管线假设'!G1243*IF(E5798="USD",'管线假设'!I1243,1)-AM5798</x:f>
        <x:v>0.018672</x:v>
      </x:c>
      <x:c r="M5798" s="11" t="n">
        <x:f>'管线假设'!H1243</x:f>
        <x:v>0.14</x:v>
      </x:c>
      <x:c r="N5798" s="11" t="n">
        <x:f>IF(G5798,L5798*AN5798/(1+M5798)^F5798,0)</x:f>
        <x:v>0.012232245397628688</x:v>
      </x:c>
      <x:c r="AJ5798" t="n">
        <x:v>0</x:v>
      </x:c>
      <x:c r="AK5798" t="n">
        <x:v>0</x:v>
      </x:c>
      <x:c r="AL5798" t="n">
        <x:v>0</x:v>
      </x:c>
      <x:c r="AM5798" t="n">
        <x:f>CHOOSE('假设'!$B$3,AJ5798,AK5798,AL5798)</x:f>
        <x:v>0</x:v>
      </x:c>
      <x:c r="AN5798" t="n">
        <x:v>1</x:v>
      </x:c>
    </x:row>
    <x:row r="5799" ht="23" customHeight="1">
      <x:c r="A5799" s="11" t="str">
        <x:v>688062.SH</x:v>
      </x:c>
      <x:c r="B5799" s="11" t="str">
        <x:v>三年</x:v>
      </x:c>
      <x:c r="C5799" s="11" t="str">
        <x:v>bfv_escc</x:v>
      </x:c>
      <x:c r="D5799" s="11" t="str">
        <x:v>2033-12-31</x:v>
      </x:c>
      <x:c r="E5799" s="11" t="str">
        <x:v>CNY</x:v>
      </x:c>
      <x:c r="F5799" s="11" t="n">
        <x:v>4.227241615331964</x:v>
      </x:c>
      <x:c r="G5799" s="26" t="b">
        <x:v>1</x:v>
      </x:c>
      <x:c r="H5799" s="16" t="n">
        <x:v>0.04000000000000001</x:v>
      </x:c>
      <x:c r="I5799" s="16" t="n">
        <x:v>0.3</x:v>
      </x:c>
      <x:c r="J5799" s="16" t="n">
        <x:v>0.8333333333333334</x:v>
      </x:c>
      <x:c r="K5799" s="11" t="n">
        <x:f>CHOOSE('假设'!$B$3,H5799,I5799,J5799)</x:f>
        <x:v>0.3</x:v>
      </x:c>
      <x:c r="L5799" s="11" t="n">
        <x:f>K5799*'管线假设'!E1243*'管线假设'!F1243*'管线假设'!G1243*IF(E5799="USD",'管线假设'!I1243,1)-AM5799</x:f>
        <x:v>0.028008</x:v>
      </x:c>
      <x:c r="M5799" s="11" t="n">
        <x:f>'管线假设'!H1243</x:f>
        <x:v>0.14</x:v>
      </x:c>
      <x:c r="N5799" s="11" t="n">
        <x:f>IF(G5799,L5799*AN5799/(1+M5799)^F5799,0)</x:f>
        <x:v>0.0160965032671105</x:v>
      </x:c>
      <x:c r="AJ5799" t="n">
        <x:v>0</x:v>
      </x:c>
      <x:c r="AK5799" t="n">
        <x:v>0</x:v>
      </x:c>
      <x:c r="AL5799" t="n">
        <x:v>0</x:v>
      </x:c>
      <x:c r="AM5799" t="n">
        <x:f>CHOOSE('假设'!$B$3,AJ5799,AK5799,AL5799)</x:f>
        <x:v>0</x:v>
      </x:c>
      <x:c r="AN5799" t="n">
        <x:v>1</x:v>
      </x:c>
    </x:row>
    <x:row r="5800" ht="23" customHeight="1">
      <x:c r="A5800" s="11" t="str">
        <x:v>688062.SH</x:v>
      </x:c>
      <x:c r="B5800" s="11" t="str">
        <x:v>三年</x:v>
      </x:c>
      <x:c r="C5800" s="11" t="str">
        <x:v>bfv_escc</x:v>
      </x:c>
      <x:c r="D5800" s="11" t="str">
        <x:v>2034-12-31</x:v>
      </x:c>
      <x:c r="E5800" s="11" t="str">
        <x:v>CNY</x:v>
      </x:c>
      <x:c r="F5800" s="11" t="n">
        <x:v>5.2265571526351815</x:v>
      </x:c>
      <x:c r="G5800" s="26" t="b">
        <x:v>1</x:v>
      </x:c>
      <x:c r="H5800" s="16" t="n">
        <x:v>0.08000000000000002</x:v>
      </x:c>
      <x:c r="I5800" s="16" t="n">
        <x:v>0.4</x:v>
      </x:c>
      <x:c r="J5800" s="16" t="n">
        <x:v>1</x:v>
      </x:c>
      <x:c r="K5800" s="11" t="n">
        <x:f>CHOOSE('假设'!$B$3,H5800,I5800,J5800)</x:f>
        <x:v>0.4</x:v>
      </x:c>
      <x:c r="L5800" s="11" t="n">
        <x:f>K5800*'管线假设'!E1243*'管线假设'!F1243*'管线假设'!G1243*IF(E5800="USD",'管线假设'!I1243,1)-AM5800</x:f>
        <x:v>0.037344</x:v>
      </x:c>
      <x:c r="M5800" s="11" t="n">
        <x:f>'管线假设'!H1243</x:f>
        <x:v>0.14</x:v>
      </x:c>
      <x:c r="N5800" s="11" t="n">
        <x:f>IF(G5800,L5800*AN5800/(1+M5800)^F5800,0)</x:f>
        <x:v>0.01882800810522413</x:v>
      </x:c>
      <x:c r="AJ5800" t="n">
        <x:v>0</x:v>
      </x:c>
      <x:c r="AK5800" t="n">
        <x:v>0</x:v>
      </x:c>
      <x:c r="AL5800" t="n">
        <x:v>0</x:v>
      </x:c>
      <x:c r="AM5800" t="n">
        <x:f>CHOOSE('假设'!$B$3,AJ5800,AK5800,AL5800)</x:f>
        <x:v>0</x:v>
      </x:c>
      <x:c r="AN5800" t="n">
        <x:v>1</x:v>
      </x:c>
    </x:row>
    <x:row r="5801" ht="23" customHeight="1">
      <x:c r="A5801" s="11" t="str">
        <x:v>688062.SH</x:v>
      </x:c>
      <x:c r="B5801" s="11" t="str">
        <x:v>三年</x:v>
      </x:c>
      <x:c r="C5801" s="11" t="str">
        <x:v>bfv_escc</x:v>
      </x:c>
      <x:c r="D5801" s="11" t="str">
        <x:v>2035-12-31</x:v>
      </x:c>
      <x:c r="E5801" s="11" t="str">
        <x:v>CNY</x:v>
      </x:c>
      <x:c r="F5801" s="11" t="n">
        <x:v>6.225872689938399</x:v>
      </x:c>
      <x:c r="G5801" s="26" t="b">
        <x:v>1</x:v>
      </x:c>
      <x:c r="H5801" s="16" t="n">
        <x:v>0.12</x:v>
      </x:c>
      <x:c r="I5801" s="16" t="n">
        <x:v>0.5</x:v>
      </x:c>
      <x:c r="J5801" s="16" t="n">
        <x:v>0.87</x:v>
      </x:c>
      <x:c r="K5801" s="11" t="n">
        <x:f>CHOOSE('假设'!$B$3,H5801,I5801,J5801)</x:f>
        <x:v>0.5</x:v>
      </x:c>
      <x:c r="L5801" s="11" t="n">
        <x:f>K5801*'管线假设'!E1243*'管线假设'!F1243*'管线假设'!G1243*IF(E5801="USD",'管线假设'!I1243,1)-AM5801</x:f>
        <x:v>0.046680000000000006</x:v>
      </x:c>
      <x:c r="M5801" s="11" t="n">
        <x:f>'管线假设'!H1243</x:f>
        <x:v>0.14</x:v>
      </x:c>
      <x:c r="N5801" s="11" t="n">
        <x:f>IF(G5801,L5801*AN5801/(1+M5801)^F5801,0)</x:f>
        <x:v>0.020646597314945583</x:v>
      </x:c>
      <x:c r="AJ5801" t="n">
        <x:v>0</x:v>
      </x:c>
      <x:c r="AK5801" t="n">
        <x:v>0</x:v>
      </x:c>
      <x:c r="AL5801" t="n">
        <x:v>0</x:v>
      </x:c>
      <x:c r="AM5801" t="n">
        <x:f>CHOOSE('假设'!$B$3,AJ5801,AK5801,AL5801)</x:f>
        <x:v>0</x:v>
      </x:c>
      <x:c r="AN5801" t="n">
        <x:v>1</x:v>
      </x:c>
    </x:row>
    <x:row r="5802" ht="23" customHeight="1">
      <x:c r="A5802" s="11" t="str">
        <x:v>688062.SH</x:v>
      </x:c>
      <x:c r="B5802" s="11" t="str">
        <x:v>三年</x:v>
      </x:c>
      <x:c r="C5802" s="11" t="str">
        <x:v>bfv_escc</x:v>
      </x:c>
      <x:c r="D5802" s="11" t="str">
        <x:v>2036-12-31</x:v>
      </x:c>
      <x:c r="E5802" s="11" t="str">
        <x:v>CNY</x:v>
      </x:c>
      <x:c r="F5802" s="11" t="n">
        <x:v>7.227926078028747</x:v>
      </x:c>
      <x:c r="G5802" s="26" t="b">
        <x:v>1</x:v>
      </x:c>
      <x:c r="H5802" s="16" t="n">
        <x:v>0.16000000000000003</x:v>
      </x:c>
      <x:c r="I5802" s="16" t="n">
        <x:v>0.435</x:v>
      </x:c>
      <x:c r="J5802" s="16" t="n">
        <x:v>0.74</x:v>
      </x:c>
      <x:c r="K5802" s="11" t="n">
        <x:f>CHOOSE('假设'!$B$3,H5802,I5802,J5802)</x:f>
        <x:v>0.435</x:v>
      </x:c>
      <x:c r="L5802" s="11" t="n">
        <x:f>K5802*'管线假设'!E1243*'管线假设'!F1243*'管线假设'!G1243*IF(E5802="USD",'管线假设'!I1243,1)-AM5802</x:f>
        <x:v>0.040611600000000005</x:v>
      </x:c>
      <x:c r="M5802" s="11" t="n">
        <x:f>'管线假设'!H1243</x:f>
        <x:v>0.14</x:v>
      </x:c>
      <x:c r="N5802" s="11" t="n">
        <x:f>IF(G5802,L5802*AN5802/(1+M5802)^F5802,0)</x:f>
        <x:v>0.015752374964156872</x:v>
      </x:c>
      <x:c r="AJ5802" t="n">
        <x:v>0</x:v>
      </x:c>
      <x:c r="AK5802" t="n">
        <x:v>0</x:v>
      </x:c>
      <x:c r="AL5802" t="n">
        <x:v>0</x:v>
      </x:c>
      <x:c r="AM5802" t="n">
        <x:f>CHOOSE('假设'!$B$3,AJ5802,AK5802,AL5802)</x:f>
        <x:v>0</x:v>
      </x:c>
      <x:c r="AN5802" t="n">
        <x:v>1</x:v>
      </x:c>
    </x:row>
    <x:row r="5803" ht="23" customHeight="1">
      <x:c r="A5803" s="11" t="str">
        <x:v>688062.SH</x:v>
      </x:c>
      <x:c r="B5803" s="11" t="str">
        <x:v>三年</x:v>
      </x:c>
      <x:c r="C5803" s="11" t="str">
        <x:v>bfv_escc</x:v>
      </x:c>
      <x:c r="D5803" s="11" t="str">
        <x:v>2037-12-31</x:v>
      </x:c>
      <x:c r="E5803" s="11" t="str">
        <x:v>CNY</x:v>
      </x:c>
      <x:c r="F5803" s="11" t="n">
        <x:v>8.227241615331964</x:v>
      </x:c>
      <x:c r="G5803" s="26" t="b">
        <x:v>1</x:v>
      </x:c>
      <x:c r="H5803" s="16" t="n">
        <x:v>0.2</x:v>
      </x:c>
      <x:c r="I5803" s="16" t="n">
        <x:v>0.37</x:v>
      </x:c>
      <x:c r="J5803" s="16" t="n">
        <x:v>0.61</x:v>
      </x:c>
      <x:c r="K5803" s="11" t="n">
        <x:f>CHOOSE('假设'!$B$3,H5803,I5803,J5803)</x:f>
        <x:v>0.37</x:v>
      </x:c>
      <x:c r="L5803" s="11" t="n">
        <x:f>K5803*'管线假设'!E1243*'管线假设'!F1243*'管线假设'!G1243*IF(E5803="USD",'管线假设'!I1243,1)-AM5803</x:f>
        <x:v>0.0345432</x:v>
      </x:c>
      <x:c r="M5803" s="11" t="n">
        <x:f>'管线假设'!H1243</x:f>
        <x:v>0.14</x:v>
      </x:c>
      <x:c r="N5803" s="11" t="n">
        <x:f>IF(G5803,L5803*AN5803/(1+M5803)^F5803,0)</x:f>
        <x:v>0.011754187280199831</x:v>
      </x:c>
      <x:c r="AJ5803" t="n">
        <x:v>0</x:v>
      </x:c>
      <x:c r="AK5803" t="n">
        <x:v>0</x:v>
      </x:c>
      <x:c r="AL5803" t="n">
        <x:v>0</x:v>
      </x:c>
      <x:c r="AM5803" t="n">
        <x:f>CHOOSE('假设'!$B$3,AJ5803,AK5803,AL5803)</x:f>
        <x:v>0</x:v>
      </x:c>
      <x:c r="AN5803" t="n">
        <x:v>1</x:v>
      </x:c>
    </x:row>
    <x:row r="5804" ht="23" customHeight="1">
      <x:c r="A5804" s="11" t="str">
        <x:v>688062.SH</x:v>
      </x:c>
      <x:c r="B5804" s="11" t="str">
        <x:v>三年</x:v>
      </x:c>
      <x:c r="C5804" s="11" t="str">
        <x:v>bfv_escc</x:v>
      </x:c>
      <x:c r="D5804" s="11" t="str">
        <x:v>2038-12-31</x:v>
      </x:c>
      <x:c r="E5804" s="11" t="str">
        <x:v>CNY</x:v>
      </x:c>
      <x:c r="F5804" s="11" t="n">
        <x:v>9.22655715263518</x:v>
      </x:c>
      <x:c r="G5804" s="26" t="b">
        <x:v>1</x:v>
      </x:c>
      <x:c r="H5804" s="16" t="n">
        <x:v>0.17400000000000002</x:v>
      </x:c>
      <x:c r="I5804" s="16" t="n">
        <x:v>0.305</x:v>
      </x:c>
      <x:c r="J5804" s="16" t="n">
        <x:v>0.48</x:v>
      </x:c>
      <x:c r="K5804" s="11" t="n">
        <x:f>CHOOSE('假设'!$B$3,H5804,I5804,J5804)</x:f>
        <x:v>0.305</x:v>
      </x:c>
      <x:c r="L5804" s="11" t="n">
        <x:f>K5804*'管线假设'!E1243*'管线假设'!F1243*'管线假设'!G1243*IF(E5804="USD",'管线假设'!I1243,1)-AM5804</x:f>
        <x:v>0.0284748</x:v>
      </x:c>
      <x:c r="M5804" s="11" t="n">
        <x:f>'管线假设'!H1243</x:f>
        <x:v>0.14</x:v>
      </x:c>
      <x:c r="N5804" s="11" t="n">
        <x:f>IF(G5804,L5804*AN5804/(1+M5804)^F5804,0)</x:f>
        <x:v>0.008500115349217826</x:v>
      </x:c>
      <x:c r="AJ5804" t="n">
        <x:v>0</x:v>
      </x:c>
      <x:c r="AK5804" t="n">
        <x:v>0</x:v>
      </x:c>
      <x:c r="AL5804" t="n">
        <x:v>0</x:v>
      </x:c>
      <x:c r="AM5804" t="n">
        <x:f>CHOOSE('假设'!$B$3,AJ5804,AK5804,AL5804)</x:f>
        <x:v>0</x:v>
      </x:c>
      <x:c r="AN5804" t="n">
        <x:v>1</x:v>
      </x:c>
    </x:row>
    <x:row r="5805" ht="23" customHeight="1">
      <x:c r="A5805" s="11" t="str">
        <x:v>688062.SH</x:v>
      </x:c>
      <x:c r="B5805" s="11" t="str">
        <x:v>三年</x:v>
      </x:c>
      <x:c r="C5805" s="11" t="str">
        <x:v>bfv_escc</x:v>
      </x:c>
      <x:c r="D5805" s="11" t="str">
        <x:v>2039-12-31</x:v>
      </x:c>
      <x:c r="E5805" s="11" t="str">
        <x:v>CNY</x:v>
      </x:c>
      <x:c r="F5805" s="11" t="n">
        <x:v>10.225872689938399</x:v>
      </x:c>
      <x:c r="G5805" s="26" t="b">
        <x:v>1</x:v>
      </x:c>
      <x:c r="H5805" s="16" t="n">
        <x:v>0.148</x:v>
      </x:c>
      <x:c r="I5805" s="16" t="n">
        <x:v>0.24</x:v>
      </x:c>
      <x:c r="J5805" s="16" t="n">
        <x:v>0.35</x:v>
      </x:c>
      <x:c r="K5805" s="11" t="n">
        <x:f>CHOOSE('假设'!$B$3,H5805,I5805,J5805)</x:f>
        <x:v>0.24</x:v>
      </x:c>
      <x:c r="L5805" s="11" t="n">
        <x:f>K5805*'管线假设'!E1243*'管线假设'!F1243*'管线假设'!G1243*IF(E5805="USD",'管线假设'!I1243,1)-AM5805</x:f>
        <x:v>0.0224064</x:v>
      </x:c>
      <x:c r="M5805" s="11" t="n">
        <x:f>'管线假设'!H1243</x:f>
        <x:v>0.14</x:v>
      </x:c>
      <x:c r="N5805" s="11" t="n">
        <x:f>IF(G5805,L5805*AN5805/(1+M5805)^F5805,0)</x:f>
        <x:v>0.005867732671192123</x:v>
      </x:c>
      <x:c r="AJ5805" t="n">
        <x:v>0</x:v>
      </x:c>
      <x:c r="AK5805" t="n">
        <x:v>0</x:v>
      </x:c>
      <x:c r="AL5805" t="n">
        <x:v>0</x:v>
      </x:c>
      <x:c r="AM5805" t="n">
        <x:f>CHOOSE('假设'!$B$3,AJ5805,AK5805,AL5805)</x:f>
        <x:v>0</x:v>
      </x:c>
      <x:c r="AN5805" t="n">
        <x:v>1</x:v>
      </x:c>
    </x:row>
    <x:row r="5806" ht="23" customHeight="1">
      <x:c r="A5806" s="11" t="str">
        <x:v>688062.SH</x:v>
      </x:c>
      <x:c r="B5806" s="11" t="str">
        <x:v>三年</x:v>
      </x:c>
      <x:c r="C5806" s="11" t="str">
        <x:v>bfv_escc</x:v>
      </x:c>
      <x:c r="D5806" s="11" t="str">
        <x:v>2040-12-31</x:v>
      </x:c>
      <x:c r="E5806" s="11" t="str">
        <x:v>CNY</x:v>
      </x:c>
      <x:c r="F5806" s="11" t="n">
        <x:v>11.227926078028748</x:v>
      </x:c>
      <x:c r="G5806" s="26" t="b">
        <x:v>1</x:v>
      </x:c>
      <x:c r="H5806" s="16" t="n">
        <x:v>0.122</x:v>
      </x:c>
      <x:c r="I5806" s="16" t="n">
        <x:v>0.175</x:v>
      </x:c>
      <x:c r="J5806" s="16" t="n">
        <x:v>0.21999999999999997</x:v>
      </x:c>
      <x:c r="K5806" s="11" t="n">
        <x:f>CHOOSE('假设'!$B$3,H5806,I5806,J5806)</x:f>
        <x:v>0.175</x:v>
      </x:c>
      <x:c r="L5806" s="11" t="n">
        <x:f>K5806*'管线假设'!E1243*'管线假设'!F1243*'管线假设'!G1243*IF(E5806="USD",'管线假设'!I1243,1)-AM5806</x:f>
        <x:v>0.016338</x:v>
      </x:c>
      <x:c r="M5806" s="11" t="n">
        <x:f>'管线假设'!H1243</x:f>
        <x:v>0.14</x:v>
      </x:c>
      <x:c r="N5806" s="11" t="n">
        <x:f>IF(G5806,L5806*AN5806/(1+M5806)^F5806,0)</x:f>
        <x:v>0.0037521088371333666</x:v>
      </x:c>
      <x:c r="AJ5806" t="n">
        <x:v>0</x:v>
      </x:c>
      <x:c r="AK5806" t="n">
        <x:v>0</x:v>
      </x:c>
      <x:c r="AL5806" t="n">
        <x:v>0</x:v>
      </x:c>
      <x:c r="AM5806" t="n">
        <x:f>CHOOSE('假设'!$B$3,AJ5806,AK5806,AL5806)</x:f>
        <x:v>0</x:v>
      </x:c>
      <x:c r="AN5806" t="n">
        <x:v>1</x:v>
      </x:c>
    </x:row>
    <x:row r="5807" ht="23" customHeight="1">
      <x:c r="A5807" s="11" t="str">
        <x:v>688062.SH</x:v>
      </x:c>
      <x:c r="B5807" s="11" t="str">
        <x:v>三年</x:v>
      </x:c>
      <x:c r="C5807" s="11" t="str">
        <x:v>bfv_escc</x:v>
      </x:c>
      <x:c r="D5807" s="11" t="str">
        <x:v>2041-12-31</x:v>
      </x:c>
      <x:c r="E5807" s="11" t="str">
        <x:v>CNY</x:v>
      </x:c>
      <x:c r="F5807" s="11" t="n">
        <x:v>12.227241615331964</x:v>
      </x:c>
      <x:c r="G5807" s="26" t="b">
        <x:v>1</x:v>
      </x:c>
      <x:c r="H5807" s="16" t="n">
        <x:v>0.096</x:v>
      </x:c>
      <x:c r="I5807" s="16" t="n">
        <x:v>0.10999999999999999</x:v>
      </x:c>
      <x:c r="J5807" s="16" t="n">
        <x:v>0.08999999999999997</x:v>
      </x:c>
      <x:c r="K5807" s="11" t="n">
        <x:f>CHOOSE('假设'!$B$3,H5807,I5807,J5807)</x:f>
        <x:v>0.10999999999999999</x:v>
      </x:c>
      <x:c r="L5807" s="11" t="n">
        <x:f>K5807*'管线假设'!E1243*'管线假设'!F1243*'管线假设'!G1243*IF(E5807="USD",'管线假设'!I1243,1)-AM5807</x:f>
        <x:v>0.010269599999999999</x:v>
      </x:c>
      <x:c r="M5807" s="11" t="n">
        <x:f>'管线假设'!H1243</x:f>
        <x:v>0.14</x:v>
      </x:c>
      <x:c r="N5807" s="11" t="n">
        <x:f>IF(G5807,L5807*AN5807/(1+M5807)^F5807,0)</x:f>
        <x:v>0.0020690174896308257</x:v>
      </x:c>
      <x:c r="AJ5807" t="n">
        <x:v>0</x:v>
      </x:c>
      <x:c r="AK5807" t="n">
        <x:v>0</x:v>
      </x:c>
      <x:c r="AL5807" t="n">
        <x:v>0</x:v>
      </x:c>
      <x:c r="AM5807" t="n">
        <x:f>CHOOSE('假设'!$B$3,AJ5807,AK5807,AL5807)</x:f>
        <x:v>0</x:v>
      </x:c>
      <x:c r="AN5807" t="n">
        <x:v>1</x:v>
      </x:c>
    </x:row>
    <x:row r="5808" ht="23" customHeight="1">
      <x:c r="A5808" s="11" t="str">
        <x:v>688062.SH</x:v>
      </x:c>
      <x:c r="B5808" s="11" t="str">
        <x:v>三年</x:v>
      </x:c>
      <x:c r="C5808" s="11" t="str">
        <x:v>bfv_escc</x:v>
      </x:c>
      <x:c r="D5808" s="11" t="str">
        <x:v>2042-12-31</x:v>
      </x:c>
      <x:c r="E5808" s="11" t="str">
        <x:v>CNY</x:v>
      </x:c>
      <x:c r="F5808" s="11" t="n">
        <x:v>13.22655715263518</x:v>
      </x:c>
      <x:c r="G5808" s="26" t="b">
        <x:v>1</x:v>
      </x:c>
      <x:c r="H5808" s="16" t="n">
        <x:v>0.06999999999999999</x:v>
      </x:c>
      <x:c r="I5808" s="16" t="n">
        <x:v>0.044999999999999984</x:v>
      </x:c>
      <x:c r="J5808" s="16" t="n">
        <x:v>0</x:v>
      </x:c>
      <x:c r="K5808" s="11" t="n">
        <x:f>CHOOSE('假设'!$B$3,H5808,I5808,J5808)</x:f>
        <x:v>0.044999999999999984</x:v>
      </x:c>
      <x:c r="L5808" s="11" t="n">
        <x:f>K5808*'管线假设'!E1243*'管线假设'!F1243*'管线假设'!G1243*IF(E5808="USD",'管线假设'!I1243,1)-AM5808</x:f>
        <x:v>0.004201199999999999</x:v>
      </x:c>
      <x:c r="M5808" s="11" t="n">
        <x:f>'管线假设'!H1243</x:f>
        <x:v>0.14</x:v>
      </x:c>
      <x:c r="N5808" s="11" t="n">
        <x:f>IF(G5808,L5808*AN5808/(1+M5808)^F5808,0)</x:f>
        <x:v>0.0007425369816851055</x:v>
      </x:c>
      <x:c r="AJ5808" t="n">
        <x:v>0</x:v>
      </x:c>
      <x:c r="AK5808" t="n">
        <x:v>0</x:v>
      </x:c>
      <x:c r="AL5808" t="n">
        <x:v>0</x:v>
      </x:c>
      <x:c r="AM5808" t="n">
        <x:f>CHOOSE('假设'!$B$3,AJ5808,AK5808,AL5808)</x:f>
        <x:v>0</x:v>
      </x:c>
      <x:c r="AN5808" t="n">
        <x:v>1</x:v>
      </x:c>
    </x:row>
    <x:row r="5809" ht="23" customHeight="1">
      <x:c r="A5809" s="11" t="str">
        <x:v>688062.SH</x:v>
      </x:c>
      <x:c r="B5809" s="11" t="str">
        <x:v>三年</x:v>
      </x:c>
      <x:c r="C5809" s="11" t="str">
        <x:v>bfv_escc</x:v>
      </x:c>
      <x:c r="D5809" s="11" t="str">
        <x:v>2043-12-31</x:v>
      </x:c>
      <x:c r="E5809" s="11" t="str">
        <x:v>CNY</x:v>
      </x:c>
      <x:c r="F5809" s="11" t="n">
        <x:v>14.225872689938399</x:v>
      </x:c>
      <x:c r="G5809" s="26" t="b">
        <x:v>1</x:v>
      </x:c>
      <x:c r="H5809" s="16" t="n">
        <x:v>0.044</x:v>
      </x:c>
      <x:c r="I5809" s="16" t="n">
        <x:v>0</x:v>
      </x:c>
      <x:c r="J5809" s="16" t="n">
        <x:v>0</x:v>
      </x:c>
      <x:c r="K5809" s="11" t="n">
        <x:f>CHOOSE('假设'!$B$3,H5809,I5809,J5809)</x:f>
        <x:v>0</x:v>
      </x:c>
      <x:c r="L5809" s="11" t="n">
        <x:f>K5809*'管线假设'!E1243*'管线假设'!F1243*'管线假设'!G1243*IF(E5809="USD",'管线假设'!I1243,1)-AM5809</x:f>
        <x:v>0</x:v>
      </x:c>
      <x:c r="M5809" s="11" t="n">
        <x:f>'管线假设'!H1243</x:f>
        <x:v>0.14</x:v>
      </x:c>
      <x:c r="N5809" s="11" t="n">
        <x:f>IF(G5809,L5809*AN5809/(1+M5809)^F5809,0)</x:f>
        <x:v>0</x:v>
      </x:c>
      <x:c r="AJ5809" t="n">
        <x:v>0</x:v>
      </x:c>
      <x:c r="AK5809" t="n">
        <x:v>0</x:v>
      </x:c>
      <x:c r="AL5809" t="n">
        <x:v>0</x:v>
      </x:c>
      <x:c r="AM5809" t="n">
        <x:f>CHOOSE('假设'!$B$3,AJ5809,AK5809,AL5809)</x:f>
        <x:v>0</x:v>
      </x:c>
      <x:c r="AN5809" t="n">
        <x:v>1</x:v>
      </x:c>
    </x:row>
    <x:row r="5810" ht="23" customHeight="1">
      <x:c r="A5810" s="11" t="str">
        <x:v>688062.SH</x:v>
      </x:c>
      <x:c r="B5810" s="11" t="str">
        <x:v>三年</x:v>
      </x:c>
      <x:c r="C5810" s="11" t="str">
        <x:v>bfv_escc</x:v>
      </x:c>
      <x:c r="D5810" s="11" t="str">
        <x:v>2044-12-31</x:v>
      </x:c>
      <x:c r="E5810" s="11" t="str">
        <x:v>CNY</x:v>
      </x:c>
      <x:c r="F5810" s="11" t="n">
        <x:v>15.227926078028748</x:v>
      </x:c>
      <x:c r="G5810" s="26" t="b">
        <x:v>1</x:v>
      </x:c>
      <x:c r="H5810" s="16" t="n">
        <x:v>0.017999999999999995</x:v>
      </x:c>
      <x:c r="I5810" s="16" t="n">
        <x:v>0</x:v>
      </x:c>
      <x:c r="J5810" s="16" t="n">
        <x:v>0</x:v>
      </x:c>
      <x:c r="K5810" s="11" t="n">
        <x:f>CHOOSE('假设'!$B$3,H5810,I5810,J5810)</x:f>
        <x:v>0</x:v>
      </x:c>
      <x:c r="L5810" s="11" t="n">
        <x:f>K5810*'管线假设'!E1243*'管线假设'!F1243*'管线假设'!G1243*IF(E5810="USD",'管线假设'!I1243,1)-AM5810</x:f>
        <x:v>0</x:v>
      </x:c>
      <x:c r="M5810" s="11" t="n">
        <x:f>'管线假设'!H1243</x:f>
        <x:v>0.14</x:v>
      </x:c>
      <x:c r="N5810" s="11" t="n">
        <x:f>IF(G5810,L5810*AN5810/(1+M5810)^F5810,0)</x:f>
        <x:v>0</x:v>
      </x:c>
      <x:c r="AJ5810" t="n">
        <x:v>0</x:v>
      </x:c>
      <x:c r="AK5810" t="n">
        <x:v>0</x:v>
      </x:c>
      <x:c r="AL5810" t="n">
        <x:v>0</x:v>
      </x:c>
      <x:c r="AM5810" t="n">
        <x:f>CHOOSE('假设'!$B$3,AJ5810,AK5810,AL5810)</x:f>
        <x:v>0</x:v>
      </x:c>
      <x:c r="AN5810" t="n">
        <x:v>1</x:v>
      </x:c>
    </x:row>
    <x:row r="5811" ht="23" customHeight="1">
      <x:c r="A5811" s="11" t="str">
        <x:v>688062.SH</x:v>
      </x:c>
      <x:c r="B5811" s="11" t="str">
        <x:v>三年</x:v>
      </x:c>
      <x:c r="C5811" s="11" t="str">
        <x:v>bfv_escc</x:v>
      </x:c>
      <x:c r="D5811" s="11" t="str">
        <x:v>2045-12-31</x:v>
      </x:c>
      <x:c r="E5811" s="11" t="str">
        <x:v>CNY</x:v>
      </x:c>
      <x:c r="F5811" s="11" t="n">
        <x:v>16.227241615331966</x:v>
      </x:c>
      <x:c r="G5811" s="26" t="b">
        <x:v>1</x:v>
      </x:c>
      <x:c r="H5811" s="16" t="n">
        <x:v>0</x:v>
      </x:c>
      <x:c r="I5811" s="16" t="n">
        <x:v>0</x:v>
      </x:c>
      <x:c r="J5811" s="16" t="n">
        <x:v>0</x:v>
      </x:c>
      <x:c r="K5811" s="11" t="n">
        <x:f>CHOOSE('假设'!$B$3,H5811,I5811,J5811)</x:f>
        <x:v>0</x:v>
      </x:c>
      <x:c r="L5811" s="11" t="n">
        <x:f>K5811*'管线假设'!E1243*'管线假设'!F1243*'管线假设'!G1243*IF(E5811="USD",'管线假设'!I1243,1)-AM5811</x:f>
        <x:v>0</x:v>
      </x:c>
      <x:c r="M5811" s="11" t="n">
        <x:f>'管线假设'!H1243</x:f>
        <x:v>0.14</x:v>
      </x:c>
      <x:c r="N5811" s="11" t="n">
        <x:f>IF(G5811,L5811*AN5811/(1+M5811)^F5811,0)</x:f>
        <x:v>0</x:v>
      </x:c>
      <x:c r="AJ5811" t="n">
        <x:v>0</x:v>
      </x:c>
      <x:c r="AK5811" t="n">
        <x:v>0</x:v>
      </x:c>
      <x:c r="AL5811" t="n">
        <x:v>0</x:v>
      </x:c>
      <x:c r="AM5811" t="n">
        <x:f>CHOOSE('假设'!$B$3,AJ5811,AK5811,AL5811)</x:f>
        <x:v>0</x:v>
      </x:c>
      <x:c r="AN5811" t="n">
        <x:v>1</x:v>
      </x:c>
    </x:row>
    <x:row r="5812" ht="23" customHeight="1">
      <x:c r="A5812" s="11" t="str">
        <x:v>688062.SH</x:v>
      </x:c>
      <x:c r="B5812" s="11" t="str">
        <x:v>三年</x:v>
      </x:c>
      <x:c r="C5812" s="11" t="str">
        <x:v>bfv_global</x:v>
      </x:c>
      <x:c r="D5812" s="11" t="str">
        <x:v>2027-12-31</x:v>
      </x:c>
      <x:c r="E5812" s="11" t="str">
        <x:v>USD</x:v>
      </x:c>
      <x:c r="F5812" s="11" t="n">
        <x:v>-1.7741273100616017</x:v>
      </x:c>
      <x:c r="G5812" s="26" t="b">
        <x:v>0</x:v>
      </x:c>
      <x:c r="H5812" s="16" t="n">
        <x:v>0</x:v>
      </x:c>
      <x:c r="I5812" s="16" t="n">
        <x:v>0</x:v>
      </x:c>
      <x:c r="J5812" s="16" t="n">
        <x:v>0</x:v>
      </x:c>
      <x:c r="K5812" s="11" t="n">
        <x:f>CHOOSE('假设'!$B$3,H5812,I5812,J5812)</x:f>
        <x:v>0</x:v>
      </x:c>
      <x:c r="L5812" s="11" t="n">
        <x:f>K5812*'管线假设'!E1247*'管线假设'!F1247*'管线假设'!G1247*IF(E5812="USD",'管线假设'!I1247,1)-AM5812</x:f>
        <x:v>0</x:v>
      </x:c>
      <x:c r="M5812" s="11" t="n">
        <x:f>'管线假设'!H1247</x:f>
        <x:v>0.14</x:v>
      </x:c>
      <x:c r="N5812" s="11" t="n">
        <x:f>IF(G5812,L5812*AN5812/(1+M5812)^F5812,0)</x:f>
        <x:v>0</x:v>
      </x:c>
      <x:c r="AJ5812" t="n">
        <x:v>0</x:v>
      </x:c>
      <x:c r="AK5812" t="n">
        <x:v>0</x:v>
      </x:c>
      <x:c r="AL5812" t="n">
        <x:v>0</x:v>
      </x:c>
      <x:c r="AM5812" t="n">
        <x:f>CHOOSE('假设'!$B$3,AJ5812,AK5812,AL5812)</x:f>
        <x:v>0</x:v>
      </x:c>
      <x:c r="AN5812" t="n">
        <x:v>1</x:v>
      </x:c>
    </x:row>
    <x:row r="5813" ht="23" customHeight="1">
      <x:c r="A5813" s="11" t="str">
        <x:v>688062.SH</x:v>
      </x:c>
      <x:c r="B5813" s="11" t="str">
        <x:v>三年</x:v>
      </x:c>
      <x:c r="C5813" s="11" t="str">
        <x:v>bfv_global</x:v>
      </x:c>
      <x:c r="D5813" s="11" t="str">
        <x:v>2028-12-31</x:v>
      </x:c>
      <x:c r="E5813" s="11" t="str">
        <x:v>USD</x:v>
      </x:c>
      <x:c r="F5813" s="11" t="n">
        <x:v>-0.7720739219712526</x:v>
      </x:c>
      <x:c r="G5813" s="26" t="b">
        <x:v>0</x:v>
      </x:c>
      <x:c r="H5813" s="16" t="n">
        <x:v>0</x:v>
      </x:c>
      <x:c r="I5813" s="16" t="n">
        <x:v>0</x:v>
      </x:c>
      <x:c r="J5813" s="16" t="n">
        <x:v>0</x:v>
      </x:c>
      <x:c r="K5813" s="11" t="n">
        <x:f>CHOOSE('假设'!$B$3,H5813,I5813,J5813)</x:f>
        <x:v>0</x:v>
      </x:c>
      <x:c r="L5813" s="11" t="n">
        <x:f>K5813*'管线假设'!E1247*'管线假设'!F1247*'管线假设'!G1247*IF(E5813="USD",'管线假设'!I1247,1)-AM5813</x:f>
        <x:v>0</x:v>
      </x:c>
      <x:c r="M5813" s="11" t="n">
        <x:f>'管线假设'!H1247</x:f>
        <x:v>0.14</x:v>
      </x:c>
      <x:c r="N5813" s="11" t="n">
        <x:f>IF(G5813,L5813*AN5813/(1+M5813)^F5813,0)</x:f>
        <x:v>0</x:v>
      </x:c>
      <x:c r="AJ5813" t="n">
        <x:v>0</x:v>
      </x:c>
      <x:c r="AK5813" t="n">
        <x:v>0</x:v>
      </x:c>
      <x:c r="AL5813" t="n">
        <x:v>0</x:v>
      </x:c>
      <x:c r="AM5813" t="n">
        <x:f>CHOOSE('假设'!$B$3,AJ5813,AK5813,AL5813)</x:f>
        <x:v>0</x:v>
      </x:c>
      <x:c r="AN5813" t="n">
        <x:v>1</x:v>
      </x:c>
    </x:row>
    <x:row r="5814" ht="23" customHeight="1">
      <x:c r="A5814" s="11" t="str">
        <x:v>688062.SH</x:v>
      </x:c>
      <x:c r="B5814" s="11" t="str">
        <x:v>三年</x:v>
      </x:c>
      <x:c r="C5814" s="11" t="str">
        <x:v>bfv_global</x:v>
      </x:c>
      <x:c r="D5814" s="11" t="str">
        <x:v>2029-12-31</x:v>
      </x:c>
      <x:c r="E5814" s="11" t="str">
        <x:v>USD</x:v>
      </x:c>
      <x:c r="F5814" s="11" t="n">
        <x:v>0.2272416153319644</x:v>
      </x:c>
      <x:c r="G5814" s="26" t="b">
        <x:v>1</x:v>
      </x:c>
      <x:c r="H5814" s="16" t="n">
        <x:v>0</x:v>
      </x:c>
      <x:c r="I5814" s="16" t="n">
        <x:v>0</x:v>
      </x:c>
      <x:c r="J5814" s="16" t="n">
        <x:v>0</x:v>
      </x:c>
      <x:c r="K5814" s="11" t="n">
        <x:f>CHOOSE('假设'!$B$3,H5814,I5814,J5814)</x:f>
        <x:v>0</x:v>
      </x:c>
      <x:c r="L5814" s="11" t="n">
        <x:f>K5814*'管线假设'!E1247*'管线假设'!F1247*'管线假设'!G1247*IF(E5814="USD",'管线假设'!I1247,1)-AM5814</x:f>
        <x:v>0</x:v>
      </x:c>
      <x:c r="M5814" s="11" t="n">
        <x:f>'管线假设'!H1247</x:f>
        <x:v>0.14</x:v>
      </x:c>
      <x:c r="N5814" s="11" t="n">
        <x:f>IF(G5814,L5814*AN5814/(1+M5814)^F5814,0)</x:f>
        <x:v>0</x:v>
      </x:c>
      <x:c r="AJ5814" t="n">
        <x:v>0</x:v>
      </x:c>
      <x:c r="AK5814" t="n">
        <x:v>0</x:v>
      </x:c>
      <x:c r="AL5814" t="n">
        <x:v>0</x:v>
      </x:c>
      <x:c r="AM5814" t="n">
        <x:f>CHOOSE('假设'!$B$3,AJ5814,AK5814,AL5814)</x:f>
        <x:v>0</x:v>
      </x:c>
      <x:c r="AN5814" t="n">
        <x:v>1</x:v>
      </x:c>
    </x:row>
    <x:row r="5815" ht="23" customHeight="1">
      <x:c r="A5815" s="11" t="str">
        <x:v>688062.SH</x:v>
      </x:c>
      <x:c r="B5815" s="11" t="str">
        <x:v>三年</x:v>
      </x:c>
      <x:c r="C5815" s="11" t="str">
        <x:v>bfv_global</x:v>
      </x:c>
      <x:c r="D5815" s="11" t="str">
        <x:v>2030-12-31</x:v>
      </x:c>
      <x:c r="E5815" s="11" t="str">
        <x:v>USD</x:v>
      </x:c>
      <x:c r="F5815" s="11" t="n">
        <x:v>1.2265571526351813</x:v>
      </x:c>
      <x:c r="G5815" s="26" t="b">
        <x:v>1</x:v>
      </x:c>
      <x:c r="H5815" s="16" t="n">
        <x:v>0</x:v>
      </x:c>
      <x:c r="I5815" s="16" t="n">
        <x:v>0</x:v>
      </x:c>
      <x:c r="J5815" s="16" t="n">
        <x:v>0.48</x:v>
      </x:c>
      <x:c r="K5815" s="11" t="n">
        <x:f>CHOOSE('假设'!$B$3,H5815,I5815,J5815)</x:f>
        <x:v>0</x:v>
      </x:c>
      <x:c r="L5815" s="11" t="n">
        <x:f>K5815*'管线假设'!E1247*'管线假设'!F1247*'管线假设'!G1247*IF(E5815="USD",'管线假设'!I1247,1)-AM5815</x:f>
        <x:v>0</x:v>
      </x:c>
      <x:c r="M5815" s="11" t="n">
        <x:f>'管线假设'!H1247</x:f>
        <x:v>0.14</x:v>
      </x:c>
      <x:c r="N5815" s="11" t="n">
        <x:f>IF(G5815,L5815*AN5815/(1+M5815)^F5815,0)</x:f>
        <x:v>0</x:v>
      </x:c>
      <x:c r="AJ5815" t="n">
        <x:v>0</x:v>
      </x:c>
      <x:c r="AK5815" t="n">
        <x:v>0</x:v>
      </x:c>
      <x:c r="AL5815" t="n">
        <x:v>0</x:v>
      </x:c>
      <x:c r="AM5815" t="n">
        <x:f>CHOOSE('假设'!$B$3,AJ5815,AK5815,AL5815)</x:f>
        <x:v>0</x:v>
      </x:c>
      <x:c r="AN5815" t="n">
        <x:v>1</x:v>
      </x:c>
    </x:row>
    <x:row r="5816" ht="23" customHeight="1">
      <x:c r="A5816" s="11" t="str">
        <x:v>688062.SH</x:v>
      </x:c>
      <x:c r="B5816" s="11" t="str">
        <x:v>三年</x:v>
      </x:c>
      <x:c r="C5816" s="11" t="str">
        <x:v>bfv_global</x:v>
      </x:c>
      <x:c r="D5816" s="11" t="str">
        <x:v>2031-12-31</x:v>
      </x:c>
      <x:c r="E5816" s="11" t="str">
        <x:v>USD</x:v>
      </x:c>
      <x:c r="F5816" s="11" t="n">
        <x:v>2.2258726899383983</x:v>
      </x:c>
      <x:c r="G5816" s="26" t="b">
        <x:v>1</x:v>
      </x:c>
      <x:c r="H5816" s="16" t="n">
        <x:v>0</x:v>
      </x:c>
      <x:c r="I5816" s="16" t="n">
        <x:v>0</x:v>
      </x:c>
      <x:c r="J5816" s="16" t="n">
        <x:v>0.96</x:v>
      </x:c>
      <x:c r="K5816" s="11" t="n">
        <x:f>CHOOSE('假设'!$B$3,H5816,I5816,J5816)</x:f>
        <x:v>0</x:v>
      </x:c>
      <x:c r="L5816" s="11" t="n">
        <x:f>K5816*'管线假设'!E1247*'管线假设'!F1247*'管线假设'!G1247*IF(E5816="USD",'管线假设'!I1247,1)-AM5816</x:f>
        <x:v>0</x:v>
      </x:c>
      <x:c r="M5816" s="11" t="n">
        <x:f>'管线假设'!H1247</x:f>
        <x:v>0.14</x:v>
      </x:c>
      <x:c r="N5816" s="11" t="n">
        <x:f>IF(G5816,L5816*AN5816/(1+M5816)^F5816,0)</x:f>
        <x:v>0</x:v>
      </x:c>
      <x:c r="AJ5816" t="n">
        <x:v>0</x:v>
      </x:c>
      <x:c r="AK5816" t="n">
        <x:v>0</x:v>
      </x:c>
      <x:c r="AL5816" t="n">
        <x:v>0</x:v>
      </x:c>
      <x:c r="AM5816" t="n">
        <x:f>CHOOSE('假设'!$B$3,AJ5816,AK5816,AL5816)</x:f>
        <x:v>0</x:v>
      </x:c>
      <x:c r="AN5816" t="n">
        <x:v>1</x:v>
      </x:c>
    </x:row>
    <x:row r="5817" ht="23" customHeight="1">
      <x:c r="A5817" s="11" t="str">
        <x:v>688062.SH</x:v>
      </x:c>
      <x:c r="B5817" s="11" t="str">
        <x:v>三年</x:v>
      </x:c>
      <x:c r="C5817" s="11" t="str">
        <x:v>bfv_global</x:v>
      </x:c>
      <x:c r="D5817" s="11" t="str">
        <x:v>2032-12-31</x:v>
      </x:c>
      <x:c r="E5817" s="11" t="str">
        <x:v>USD</x:v>
      </x:c>
      <x:c r="F5817" s="11" t="n">
        <x:v>3.2279260780287475</x:v>
      </x:c>
      <x:c r="G5817" s="26" t="b">
        <x:v>1</x:v>
      </x:c>
      <x:c r="H5817" s="16" t="n">
        <x:v>0</x:v>
      </x:c>
      <x:c r="I5817" s="16" t="n">
        <x:v>0.22000000000000003</x:v>
      </x:c>
      <x:c r="J5817" s="16" t="n">
        <x:v>1.44</x:v>
      </x:c>
      <x:c r="K5817" s="11" t="n">
        <x:f>CHOOSE('假设'!$B$3,H5817,I5817,J5817)</x:f>
        <x:v>0.22000000000000003</x:v>
      </x:c>
      <x:c r="L5817" s="11" t="n">
        <x:f>K5817*'管线假设'!E1247*'管线假设'!F1247*'管线假设'!G1247*IF(E5817="USD",'管线假设'!I1247,1)-AM5817</x:f>
        <x:v>0.11836351999999999</x:v>
      </x:c>
      <x:c r="M5817" s="11" t="n">
        <x:f>'管线假设'!H1247</x:f>
        <x:v>0.14</x:v>
      </x:c>
      <x:c r="N5817" s="11" t="n">
        <x:f>IF(G5817,L5817*AN5817/(1+M5817)^F5817,0)</x:f>
        <x:v>0.07754132512677436</x:v>
      </x:c>
      <x:c r="AJ5817" t="n">
        <x:v>0</x:v>
      </x:c>
      <x:c r="AK5817" t="n">
        <x:v>0</x:v>
      </x:c>
      <x:c r="AL5817" t="n">
        <x:v>0</x:v>
      </x:c>
      <x:c r="AM5817" t="n">
        <x:f>CHOOSE('假设'!$B$3,AJ5817,AK5817,AL5817)</x:f>
        <x:v>0</x:v>
      </x:c>
      <x:c r="AN5817" t="n">
        <x:v>1</x:v>
      </x:c>
    </x:row>
    <x:row r="5818" ht="23" customHeight="1">
      <x:c r="A5818" s="11" t="str">
        <x:v>688062.SH</x:v>
      </x:c>
      <x:c r="B5818" s="11" t="str">
        <x:v>三年</x:v>
      </x:c>
      <x:c r="C5818" s="11" t="str">
        <x:v>bfv_global</x:v>
      </x:c>
      <x:c r="D5818" s="11" t="str">
        <x:v>2033-12-31</x:v>
      </x:c>
      <x:c r="E5818" s="11" t="str">
        <x:v>USD</x:v>
      </x:c>
      <x:c r="F5818" s="11" t="n">
        <x:v>4.227241615331964</x:v>
      </x:c>
      <x:c r="G5818" s="26" t="b">
        <x:v>1</x:v>
      </x:c>
      <x:c r="H5818" s="16" t="n">
        <x:v>0</x:v>
      </x:c>
      <x:c r="I5818" s="16" t="n">
        <x:v>0.44000000000000006</x:v>
      </x:c>
      <x:c r="J5818" s="16" t="n">
        <x:v>1.92</x:v>
      </x:c>
      <x:c r="K5818" s="11" t="n">
        <x:f>CHOOSE('假设'!$B$3,H5818,I5818,J5818)</x:f>
        <x:v>0.44000000000000006</x:v>
      </x:c>
      <x:c r="L5818" s="11" t="n">
        <x:f>K5818*'管线假设'!E1247*'管线假设'!F1247*'管线假设'!G1247*IF(E5818="USD",'管线假设'!I1247,1)-AM5818</x:f>
        <x:v>0.23672703999999997</x:v>
      </x:c>
      <x:c r="M5818" s="11" t="n">
        <x:f>'管线假设'!H1247</x:f>
        <x:v>0.14</x:v>
      </x:c>
      <x:c r="N5818" s="11" t="n">
        <x:f>IF(G5818,L5818*AN5818/(1+M5818)^F5818,0)</x:f>
        <x:v>0.13604961342378594</x:v>
      </x:c>
      <x:c r="AJ5818" t="n">
        <x:v>0</x:v>
      </x:c>
      <x:c r="AK5818" t="n">
        <x:v>0</x:v>
      </x:c>
      <x:c r="AL5818" t="n">
        <x:v>0</x:v>
      </x:c>
      <x:c r="AM5818" t="n">
        <x:f>CHOOSE('假设'!$B$3,AJ5818,AK5818,AL5818)</x:f>
        <x:v>0</x:v>
      </x:c>
      <x:c r="AN5818" t="n">
        <x:v>1</x:v>
      </x:c>
    </x:row>
    <x:row r="5819" ht="23" customHeight="1">
      <x:c r="A5819" s="11" t="str">
        <x:v>688062.SH</x:v>
      </x:c>
      <x:c r="B5819" s="11" t="str">
        <x:v>三年</x:v>
      </x:c>
      <x:c r="C5819" s="11" t="str">
        <x:v>bfv_global</x:v>
      </x:c>
      <x:c r="D5819" s="11" t="str">
        <x:v>2034-12-31</x:v>
      </x:c>
      <x:c r="E5819" s="11" t="str">
        <x:v>USD</x:v>
      </x:c>
      <x:c r="F5819" s="11" t="n">
        <x:v>5.2265571526351815</x:v>
      </x:c>
      <x:c r="G5819" s="26" t="b">
        <x:v>1</x:v>
      </x:c>
      <x:c r="H5819" s="16" t="n">
        <x:v>0.08000000000000002</x:v>
      </x:c>
      <x:c r="I5819" s="16" t="n">
        <x:v>0.66</x:v>
      </x:c>
      <x:c r="J5819" s="16" t="n">
        <x:v>2.4</x:v>
      </x:c>
      <x:c r="K5819" s="11" t="n">
        <x:f>CHOOSE('假设'!$B$3,H5819,I5819,J5819)</x:f>
        <x:v>0.66</x:v>
      </x:c>
      <x:c r="L5819" s="11" t="n">
        <x:f>K5819*'管线假设'!E1247*'管线假设'!F1247*'管线假设'!G1247*IF(E5819="USD",'管线假设'!I1247,1)-AM5819</x:f>
        <x:v>0.35509056</x:v>
      </x:c>
      <x:c r="M5819" s="11" t="n">
        <x:f>'管线假设'!H1247</x:f>
        <x:v>0.14</x:v>
      </x:c>
      <x:c r="N5819" s="11" t="n">
        <x:f>IF(G5819,L5819*AN5819/(1+M5819)^F5819,0)</x:f>
        <x:v>0.17902870452465122</x:v>
      </x:c>
      <x:c r="AJ5819" t="n">
        <x:v>0</x:v>
      </x:c>
      <x:c r="AK5819" t="n">
        <x:v>0</x:v>
      </x:c>
      <x:c r="AL5819" t="n">
        <x:v>0</x:v>
      </x:c>
      <x:c r="AM5819" t="n">
        <x:f>CHOOSE('假设'!$B$3,AJ5819,AK5819,AL5819)</x:f>
        <x:v>0</x:v>
      </x:c>
      <x:c r="AN5819" t="n">
        <x:v>1</x:v>
      </x:c>
    </x:row>
    <x:row r="5820" ht="23" customHeight="1">
      <x:c r="A5820" s="11" t="str">
        <x:v>688062.SH</x:v>
      </x:c>
      <x:c r="B5820" s="11" t="str">
        <x:v>三年</x:v>
      </x:c>
      <x:c r="C5820" s="11" t="str">
        <x:v>bfv_global</x:v>
      </x:c>
      <x:c r="D5820" s="11" t="str">
        <x:v>2035-12-31</x:v>
      </x:c>
      <x:c r="E5820" s="11" t="str">
        <x:v>USD</x:v>
      </x:c>
      <x:c r="F5820" s="11" t="n">
        <x:v>6.225872689938399</x:v>
      </x:c>
      <x:c r="G5820" s="26" t="b">
        <x:v>1</x:v>
      </x:c>
      <x:c r="H5820" s="16" t="n">
        <x:v>0.16000000000000003</x:v>
      </x:c>
      <x:c r="I5820" s="16" t="n">
        <x:v>0.8800000000000001</x:v>
      </x:c>
      <x:c r="J5820" s="16" t="n">
        <x:v>2.088</x:v>
      </x:c>
      <x:c r="K5820" s="11" t="n">
        <x:f>CHOOSE('假设'!$B$3,H5820,I5820,J5820)</x:f>
        <x:v>0.8800000000000001</x:v>
      </x:c>
      <x:c r="L5820" s="11" t="n">
        <x:f>K5820*'管线假设'!E1247*'管线假设'!F1247*'管线假设'!G1247*IF(E5820="USD",'管线假设'!I1247,1)-AM5820</x:f>
        <x:v>0.47345407999999994</x:v>
      </x:c>
      <x:c r="M5820" s="11" t="n">
        <x:f>'管线假设'!H1247</x:f>
        <x:v>0.14</x:v>
      </x:c>
      <x:c r="N5820" s="11" t="n">
        <x:f>IF(G5820,L5820*AN5820/(1+M5820)^F5820,0)</x:f>
        <x:v>0.20940907748239138</x:v>
      </x:c>
      <x:c r="AJ5820" t="n">
        <x:v>0</x:v>
      </x:c>
      <x:c r="AK5820" t="n">
        <x:v>0</x:v>
      </x:c>
      <x:c r="AL5820" t="n">
        <x:v>0</x:v>
      </x:c>
      <x:c r="AM5820" t="n">
        <x:f>CHOOSE('假设'!$B$3,AJ5820,AK5820,AL5820)</x:f>
        <x:v>0</x:v>
      </x:c>
      <x:c r="AN5820" t="n">
        <x:v>1</x:v>
      </x:c>
    </x:row>
    <x:row r="5821" ht="23" customHeight="1">
      <x:c r="A5821" s="11" t="str">
        <x:v>688062.SH</x:v>
      </x:c>
      <x:c r="B5821" s="11" t="str">
        <x:v>三年</x:v>
      </x:c>
      <x:c r="C5821" s="11" t="str">
        <x:v>bfv_global</x:v>
      </x:c>
      <x:c r="D5821" s="11" t="str">
        <x:v>2036-12-31</x:v>
      </x:c>
      <x:c r="E5821" s="11" t="str">
        <x:v>USD</x:v>
      </x:c>
      <x:c r="F5821" s="11" t="n">
        <x:v>7.227926078028747</x:v>
      </x:c>
      <x:c r="G5821" s="26" t="b">
        <x:v>1</x:v>
      </x:c>
      <x:c r="H5821" s="16" t="n">
        <x:v>0.24</x:v>
      </x:c>
      <x:c r="I5821" s="16" t="n">
        <x:v>1.1</x:v>
      </x:c>
      <x:c r="J5821" s="16" t="n">
        <x:v>1.776</x:v>
      </x:c>
      <x:c r="K5821" s="11" t="n">
        <x:f>CHOOSE('假设'!$B$3,H5821,I5821,J5821)</x:f>
        <x:v>1.1</x:v>
      </x:c>
      <x:c r="L5821" s="11" t="n">
        <x:f>K5821*'管线假设'!E1247*'管线假设'!F1247*'管线假设'!G1247*IF(E5821="USD",'管线假设'!I1247,1)-AM5821</x:f>
        <x:v>0.5918176</x:v>
      </x:c>
      <x:c r="M5821" s="11" t="n">
        <x:f>'管线假设'!H1247</x:f>
        <x:v>0.14</x:v>
      </x:c>
      <x:c r="N5821" s="11" t="n">
        <x:f>IF(G5821,L5821*AN5821/(1+M5821)^F5821,0)</x:f>
        <x:v>0.22955344644356307</x:v>
      </x:c>
      <x:c r="AJ5821" t="n">
        <x:v>0</x:v>
      </x:c>
      <x:c r="AK5821" t="n">
        <x:v>0</x:v>
      </x:c>
      <x:c r="AL5821" t="n">
        <x:v>0</x:v>
      </x:c>
      <x:c r="AM5821" t="n">
        <x:f>CHOOSE('假设'!$B$3,AJ5821,AK5821,AL5821)</x:f>
        <x:v>0</x:v>
      </x:c>
      <x:c r="AN5821" t="n">
        <x:v>1</x:v>
      </x:c>
    </x:row>
    <x:row r="5822" ht="23" customHeight="1">
      <x:c r="A5822" s="11" t="str">
        <x:v>688062.SH</x:v>
      </x:c>
      <x:c r="B5822" s="11" t="str">
        <x:v>三年</x:v>
      </x:c>
      <x:c r="C5822" s="11" t="str">
        <x:v>bfv_global</x:v>
      </x:c>
      <x:c r="D5822" s="11" t="str">
        <x:v>2037-12-31</x:v>
      </x:c>
      <x:c r="E5822" s="11" t="str">
        <x:v>USD</x:v>
      </x:c>
      <x:c r="F5822" s="11" t="n">
        <x:v>8.227241615331964</x:v>
      </x:c>
      <x:c r="G5822" s="26" t="b">
        <x:v>1</x:v>
      </x:c>
      <x:c r="H5822" s="16" t="n">
        <x:v>0.32000000000000006</x:v>
      </x:c>
      <x:c r="I5822" s="16" t="n">
        <x:v>0.9570000000000001</x:v>
      </x:c>
      <x:c r="J5822" s="16" t="n">
        <x:v>1.464</x:v>
      </x:c>
      <x:c r="K5822" s="11" t="n">
        <x:f>CHOOSE('假设'!$B$3,H5822,I5822,J5822)</x:f>
        <x:v>0.9570000000000001</x:v>
      </x:c>
      <x:c r="L5822" s="11" t="n">
        <x:f>K5822*'管线假设'!E1247*'管线假设'!F1247*'管线假设'!G1247*IF(E5822="USD",'管线假设'!I1247,1)-AM5822</x:f>
        <x:v>0.5148813120000001</x:v>
      </x:c>
      <x:c r="M5822" s="11" t="n">
        <x:f>'管线假设'!H1247</x:f>
        <x:v>0.14</x:v>
      </x:c>
      <x:c r="N5822" s="11" t="n">
        <x:f>IF(G5822,L5822*AN5822/(1+M5822)^F5822,0)</x:f>
        <x:v>0.17520123695323542</x:v>
      </x:c>
      <x:c r="AJ5822" t="n">
        <x:v>0</x:v>
      </x:c>
      <x:c r="AK5822" t="n">
        <x:v>0</x:v>
      </x:c>
      <x:c r="AL5822" t="n">
        <x:v>0</x:v>
      </x:c>
      <x:c r="AM5822" t="n">
        <x:f>CHOOSE('假设'!$B$3,AJ5822,AK5822,AL5822)</x:f>
        <x:v>0</x:v>
      </x:c>
      <x:c r="AN5822" t="n">
        <x:v>1</x:v>
      </x:c>
    </x:row>
    <x:row r="5823" ht="23" customHeight="1">
      <x:c r="A5823" s="11" t="str">
        <x:v>688062.SH</x:v>
      </x:c>
      <x:c r="B5823" s="11" t="str">
        <x:v>三年</x:v>
      </x:c>
      <x:c r="C5823" s="11" t="str">
        <x:v>bfv_global</x:v>
      </x:c>
      <x:c r="D5823" s="11" t="str">
        <x:v>2038-12-31</x:v>
      </x:c>
      <x:c r="E5823" s="11" t="str">
        <x:v>USD</x:v>
      </x:c>
      <x:c r="F5823" s="11" t="n">
        <x:v>9.22655715263518</x:v>
      </x:c>
      <x:c r="G5823" s="26" t="b">
        <x:v>1</x:v>
      </x:c>
      <x:c r="H5823" s="16" t="n">
        <x:v>0.4</x:v>
      </x:c>
      <x:c r="I5823" s="16" t="n">
        <x:v>0.8140000000000001</x:v>
      </x:c>
      <x:c r="J5823" s="16" t="n">
        <x:v>1.152</x:v>
      </x:c>
      <x:c r="K5823" s="11" t="n">
        <x:f>CHOOSE('假设'!$B$3,H5823,I5823,J5823)</x:f>
        <x:v>0.8140000000000001</x:v>
      </x:c>
      <x:c r="L5823" s="11" t="n">
        <x:f>K5823*'管线假设'!E1247*'管线假设'!F1247*'管线假设'!G1247*IF(E5823="USD",'管线假设'!I1247,1)-AM5823</x:f>
        <x:v>0.437945024</x:v>
      </x:c>
      <x:c r="M5823" s="11" t="n">
        <x:f>'管线假设'!H1247</x:f>
        <x:v>0.14</x:v>
      </x:c>
      <x:c r="N5823" s="11" t="n">
        <x:f>IF(G5823,L5823*AN5823/(1+M5823)^F5823,0)</x:f>
        <x:v>0.1307325502063568</x:v>
      </x:c>
      <x:c r="AJ5823" t="n">
        <x:v>0</x:v>
      </x:c>
      <x:c r="AK5823" t="n">
        <x:v>0</x:v>
      </x:c>
      <x:c r="AL5823" t="n">
        <x:v>0</x:v>
      </x:c>
      <x:c r="AM5823" t="n">
        <x:f>CHOOSE('假设'!$B$3,AJ5823,AK5823,AL5823)</x:f>
        <x:v>0</x:v>
      </x:c>
      <x:c r="AN5823" t="n">
        <x:v>1</x:v>
      </x:c>
    </x:row>
    <x:row r="5824" ht="23" customHeight="1">
      <x:c r="A5824" s="11" t="str">
        <x:v>688062.SH</x:v>
      </x:c>
      <x:c r="B5824" s="11" t="str">
        <x:v>三年</x:v>
      </x:c>
      <x:c r="C5824" s="11" t="str">
        <x:v>bfv_global</x:v>
      </x:c>
      <x:c r="D5824" s="11" t="str">
        <x:v>2039-12-31</x:v>
      </x:c>
      <x:c r="E5824" s="11" t="str">
        <x:v>USD</x:v>
      </x:c>
      <x:c r="F5824" s="11" t="n">
        <x:v>10.225872689938399</x:v>
      </x:c>
      <x:c r="G5824" s="26" t="b">
        <x:v>1</x:v>
      </x:c>
      <x:c r="H5824" s="16" t="n">
        <x:v>0.34800000000000003</x:v>
      </x:c>
      <x:c r="I5824" s="16" t="n">
        <x:v>0.671</x:v>
      </x:c>
      <x:c r="J5824" s="16" t="n">
        <x:v>0.84</x:v>
      </x:c>
      <x:c r="K5824" s="11" t="n">
        <x:f>CHOOSE('假设'!$B$3,H5824,I5824,J5824)</x:f>
        <x:v>0.671</x:v>
      </x:c>
      <x:c r="L5824" s="11" t="n">
        <x:f>K5824*'管线假设'!E1247*'管线假设'!F1247*'管线假设'!G1247*IF(E5824="USD",'管线假设'!I1247,1)-AM5824</x:f>
        <x:v>0.361008736</x:v>
      </x:c>
      <x:c r="M5824" s="11" t="n">
        <x:f>'管线假设'!H1247</x:f>
        <x:v>0.14</x:v>
      </x:c>
      <x:c r="N5824" s="11" t="n">
        <x:f>IF(G5824,L5824*AN5824/(1+M5824)^F5824,0)</x:f>
        <x:v>0.09454007581820247</x:v>
      </x:c>
      <x:c r="AJ5824" t="n">
        <x:v>0</x:v>
      </x:c>
      <x:c r="AK5824" t="n">
        <x:v>0</x:v>
      </x:c>
      <x:c r="AL5824" t="n">
        <x:v>0</x:v>
      </x:c>
      <x:c r="AM5824" t="n">
        <x:f>CHOOSE('假设'!$B$3,AJ5824,AK5824,AL5824)</x:f>
        <x:v>0</x:v>
      </x:c>
      <x:c r="AN5824" t="n">
        <x:v>1</x:v>
      </x:c>
    </x:row>
    <x:row r="5825" ht="23" customHeight="1">
      <x:c r="A5825" s="11" t="str">
        <x:v>688062.SH</x:v>
      </x:c>
      <x:c r="B5825" s="11" t="str">
        <x:v>三年</x:v>
      </x:c>
      <x:c r="C5825" s="11" t="str">
        <x:v>bfv_global</x:v>
      </x:c>
      <x:c r="D5825" s="11" t="str">
        <x:v>2040-12-31</x:v>
      </x:c>
      <x:c r="E5825" s="11" t="str">
        <x:v>USD</x:v>
      </x:c>
      <x:c r="F5825" s="11" t="n">
        <x:v>11.227926078028748</x:v>
      </x:c>
      <x:c r="G5825" s="26" t="b">
        <x:v>1</x:v>
      </x:c>
      <x:c r="H5825" s="16" t="n">
        <x:v>0.296</x:v>
      </x:c>
      <x:c r="I5825" s="16" t="n">
        <x:v>0.528</x:v>
      </x:c>
      <x:c r="J5825" s="16" t="n">
        <x:v>0.5279999999999999</x:v>
      </x:c>
      <x:c r="K5825" s="11" t="n">
        <x:f>CHOOSE('假设'!$B$3,H5825,I5825,J5825)</x:f>
        <x:v>0.528</x:v>
      </x:c>
      <x:c r="L5825" s="11" t="n">
        <x:f>K5825*'管线假设'!E1247*'管线假设'!F1247*'管线假设'!G1247*IF(E5825="USD",'管线假设'!I1247,1)-AM5825</x:f>
        <x:v>0.284072448</x:v>
      </x:c>
      <x:c r="M5825" s="11" t="n">
        <x:f>'管线假设'!H1247</x:f>
        <x:v>0.14</x:v>
      </x:c>
      <x:c r="N5825" s="11" t="n">
        <x:f>IF(G5825,L5825*AN5825/(1+M5825)^F5825,0)</x:f>
        <x:v>0.06523875275596211</x:v>
      </x:c>
      <x:c r="AJ5825" t="n">
        <x:v>0</x:v>
      </x:c>
      <x:c r="AK5825" t="n">
        <x:v>0</x:v>
      </x:c>
      <x:c r="AL5825" t="n">
        <x:v>0</x:v>
      </x:c>
      <x:c r="AM5825" t="n">
        <x:f>CHOOSE('假设'!$B$3,AJ5825,AK5825,AL5825)</x:f>
        <x:v>0</x:v>
      </x:c>
      <x:c r="AN5825" t="n">
        <x:v>1</x:v>
      </x:c>
    </x:row>
    <x:row r="5826" ht="23" customHeight="1">
      <x:c r="A5826" s="11" t="str">
        <x:v>688062.SH</x:v>
      </x:c>
      <x:c r="B5826" s="11" t="str">
        <x:v>三年</x:v>
      </x:c>
      <x:c r="C5826" s="11" t="str">
        <x:v>bfv_global</x:v>
      </x:c>
      <x:c r="D5826" s="11" t="str">
        <x:v>2041-12-31</x:v>
      </x:c>
      <x:c r="E5826" s="11" t="str">
        <x:v>USD</x:v>
      </x:c>
      <x:c r="F5826" s="11" t="n">
        <x:v>12.227241615331964</x:v>
      </x:c>
      <x:c r="G5826" s="26" t="b">
        <x:v>1</x:v>
      </x:c>
      <x:c r="H5826" s="16" t="n">
        <x:v>0.244</x:v>
      </x:c>
      <x:c r="I5826" s="16" t="n">
        <x:v>0.385</x:v>
      </x:c>
      <x:c r="J5826" s="16" t="n">
        <x:v>0.21599999999999991</x:v>
      </x:c>
      <x:c r="K5826" s="11" t="n">
        <x:f>CHOOSE('假设'!$B$3,H5826,I5826,J5826)</x:f>
        <x:v>0.385</x:v>
      </x:c>
      <x:c r="L5826" s="11" t="n">
        <x:f>K5826*'管线假设'!E1247*'管线假设'!F1247*'管线假设'!G1247*IF(E5826="USD",'管线假设'!I1247,1)-AM5826</x:f>
        <x:v>0.20713616</x:v>
      </x:c>
      <x:c r="M5826" s="11" t="n">
        <x:f>'管线假设'!H1247</x:f>
        <x:v>0.14</x:v>
      </x:c>
      <x:c r="N5826" s="11" t="n">
        <x:f>IF(G5826,L5826*AN5826/(1+M5826)^F5826,0)</x:f>
        <x:v>0.04173174590782203</x:v>
      </x:c>
      <x:c r="AJ5826" t="n">
        <x:v>0</x:v>
      </x:c>
      <x:c r="AK5826" t="n">
        <x:v>0</x:v>
      </x:c>
      <x:c r="AL5826" t="n">
        <x:v>0</x:v>
      </x:c>
      <x:c r="AM5826" t="n">
        <x:f>CHOOSE('假设'!$B$3,AJ5826,AK5826,AL5826)</x:f>
        <x:v>0</x:v>
      </x:c>
      <x:c r="AN5826" t="n">
        <x:v>1</x:v>
      </x:c>
    </x:row>
    <x:row r="5827" ht="23" customHeight="1">
      <x:c r="A5827" s="11" t="str">
        <x:v>688062.SH</x:v>
      </x:c>
      <x:c r="B5827" s="11" t="str">
        <x:v>三年</x:v>
      </x:c>
      <x:c r="C5827" s="11" t="str">
        <x:v>bfv_global</x:v>
      </x:c>
      <x:c r="D5827" s="11" t="str">
        <x:v>2042-12-31</x:v>
      </x:c>
      <x:c r="E5827" s="11" t="str">
        <x:v>USD</x:v>
      </x:c>
      <x:c r="F5827" s="11" t="n">
        <x:v>13.22655715263518</x:v>
      </x:c>
      <x:c r="G5827" s="26" t="b">
        <x:v>1</x:v>
      </x:c>
      <x:c r="H5827" s="16" t="n">
        <x:v>0.192</x:v>
      </x:c>
      <x:c r="I5827" s="16" t="n">
        <x:v>0.242</x:v>
      </x:c>
      <x:c r="J5827" s="16" t="n">
        <x:v>0</x:v>
      </x:c>
      <x:c r="K5827" s="11" t="n">
        <x:f>CHOOSE('假设'!$B$3,H5827,I5827,J5827)</x:f>
        <x:v>0.242</x:v>
      </x:c>
      <x:c r="L5827" s="11" t="n">
        <x:f>K5827*'管线假设'!E1247*'管线假设'!F1247*'管线假设'!G1247*IF(E5827="USD",'管线假设'!I1247,1)-AM5827</x:f>
        <x:v>0.13019987199999997</x:v>
      </x:c>
      <x:c r="M5827" s="11" t="n">
        <x:f>'管线假设'!H1247</x:f>
        <x:v>0.14</x:v>
      </x:c>
      <x:c r="N5827" s="11" t="n">
        <x:f>IF(G5827,L5827*AN5827/(1+M5827)^F5827,0)</x:f>
        <x:v>0.02301204893141652</x:v>
      </x:c>
      <x:c r="AJ5827" t="n">
        <x:v>0</x:v>
      </x:c>
      <x:c r="AK5827" t="n">
        <x:v>0</x:v>
      </x:c>
      <x:c r="AL5827" t="n">
        <x:v>0</x:v>
      </x:c>
      <x:c r="AM5827" t="n">
        <x:f>CHOOSE('假设'!$B$3,AJ5827,AK5827,AL5827)</x:f>
        <x:v>0</x:v>
      </x:c>
      <x:c r="AN5827" t="n">
        <x:v>1</x:v>
      </x:c>
    </x:row>
    <x:row r="5828" ht="23" customHeight="1">
      <x:c r="A5828" s="11" t="str">
        <x:v>688062.SH</x:v>
      </x:c>
      <x:c r="B5828" s="11" t="str">
        <x:v>三年</x:v>
      </x:c>
      <x:c r="C5828" s="11" t="str">
        <x:v>bfv_global</x:v>
      </x:c>
      <x:c r="D5828" s="11" t="str">
        <x:v>2043-12-31</x:v>
      </x:c>
      <x:c r="E5828" s="11" t="str">
        <x:v>USD</x:v>
      </x:c>
      <x:c r="F5828" s="11" t="n">
        <x:v>14.225872689938399</x:v>
      </x:c>
      <x:c r="G5828" s="26" t="b">
        <x:v>1</x:v>
      </x:c>
      <x:c r="H5828" s="16" t="n">
        <x:v>0.13999999999999999</x:v>
      </x:c>
      <x:c r="I5828" s="16" t="n">
        <x:v>0.09899999999999998</x:v>
      </x:c>
      <x:c r="J5828" s="16" t="n">
        <x:v>0</x:v>
      </x:c>
      <x:c r="K5828" s="11" t="n">
        <x:f>CHOOSE('假设'!$B$3,H5828,I5828,J5828)</x:f>
        <x:v>0.09899999999999998</x:v>
      </x:c>
      <x:c r="L5828" s="11" t="n">
        <x:f>K5828*'管线假设'!E1247*'管线假设'!F1247*'管线假设'!G1247*IF(E5828="USD",'管线假设'!I1247,1)-AM5828</x:f>
        <x:v>0.05326358399999999</x:v>
      </x:c>
      <x:c r="M5828" s="11" t="n">
        <x:f>'管线假设'!H1247</x:f>
        <x:v>0.14</x:v>
      </x:c>
      <x:c r="N5828" s="11" t="n">
        <x:f>IF(G5828,L5828*AN5828/(1+M5828)^F5828,0)</x:f>
        <x:v>0.008258652931432138</x:v>
      </x:c>
      <x:c r="AJ5828" t="n">
        <x:v>0</x:v>
      </x:c>
      <x:c r="AK5828" t="n">
        <x:v>0</x:v>
      </x:c>
      <x:c r="AL5828" t="n">
        <x:v>0</x:v>
      </x:c>
      <x:c r="AM5828" t="n">
        <x:f>CHOOSE('假设'!$B$3,AJ5828,AK5828,AL5828)</x:f>
        <x:v>0</x:v>
      </x:c>
      <x:c r="AN5828" t="n">
        <x:v>1</x:v>
      </x:c>
    </x:row>
    <x:row r="5829" ht="23" customHeight="1">
      <x:c r="A5829" s="11" t="str">
        <x:v>688062.SH</x:v>
      </x:c>
      <x:c r="B5829" s="11" t="str">
        <x:v>三年</x:v>
      </x:c>
      <x:c r="C5829" s="11" t="str">
        <x:v>bfv_global</x:v>
      </x:c>
      <x:c r="D5829" s="11" t="str">
        <x:v>2044-12-31</x:v>
      </x:c>
      <x:c r="E5829" s="11" t="str">
        <x:v>USD</x:v>
      </x:c>
      <x:c r="F5829" s="11" t="n">
        <x:v>15.227926078028748</x:v>
      </x:c>
      <x:c r="G5829" s="26" t="b">
        <x:v>1</x:v>
      </x:c>
      <x:c r="H5829" s="16" t="n">
        <x:v>0.088</x:v>
      </x:c>
      <x:c r="I5829" s="16" t="n">
        <x:v>0</x:v>
      </x:c>
      <x:c r="J5829" s="16" t="n">
        <x:v>0</x:v>
      </x:c>
      <x:c r="K5829" s="11" t="n">
        <x:f>CHOOSE('假设'!$B$3,H5829,I5829,J5829)</x:f>
        <x:v>0</x:v>
      </x:c>
      <x:c r="L5829" s="11" t="n">
        <x:f>K5829*'管线假设'!E1247*'管线假设'!F1247*'管线假设'!G1247*IF(E5829="USD",'管线假设'!I1247,1)-AM5829</x:f>
        <x:v>0</x:v>
      </x:c>
      <x:c r="M5829" s="11" t="n">
        <x:f>'管线假设'!H1247</x:f>
        <x:v>0.14</x:v>
      </x:c>
      <x:c r="N5829" s="11" t="n">
        <x:f>IF(G5829,L5829*AN5829/(1+M5829)^F5829,0)</x:f>
        <x:v>0</x:v>
      </x:c>
      <x:c r="AJ5829" t="n">
        <x:v>0</x:v>
      </x:c>
      <x:c r="AK5829" t="n">
        <x:v>0</x:v>
      </x:c>
      <x:c r="AL5829" t="n">
        <x:v>0</x:v>
      </x:c>
      <x:c r="AM5829" t="n">
        <x:f>CHOOSE('假设'!$B$3,AJ5829,AK5829,AL5829)</x:f>
        <x:v>0</x:v>
      </x:c>
      <x:c r="AN5829" t="n">
        <x:v>1</x:v>
      </x:c>
    </x:row>
    <x:row r="5830" ht="23" customHeight="1">
      <x:c r="A5830" s="11" t="str">
        <x:v>688062.SH</x:v>
      </x:c>
      <x:c r="B5830" s="11" t="str">
        <x:v>三年</x:v>
      </x:c>
      <x:c r="C5830" s="11" t="str">
        <x:v>bfv_global</x:v>
      </x:c>
      <x:c r="D5830" s="11" t="str">
        <x:v>2045-12-31</x:v>
      </x:c>
      <x:c r="E5830" s="11" t="str">
        <x:v>USD</x:v>
      </x:c>
      <x:c r="F5830" s="11" t="n">
        <x:v>16.227241615331966</x:v>
      </x:c>
      <x:c r="G5830" s="26" t="b">
        <x:v>1</x:v>
      </x:c>
      <x:c r="H5830" s="16" t="n">
        <x:v>0.03599999999999999</x:v>
      </x:c>
      <x:c r="I5830" s="16" t="n">
        <x:v>0</x:v>
      </x:c>
      <x:c r="J5830" s="16" t="n">
        <x:v>0</x:v>
      </x:c>
      <x:c r="K5830" s="11" t="n">
        <x:f>CHOOSE('假设'!$B$3,H5830,I5830,J5830)</x:f>
        <x:v>0</x:v>
      </x:c>
      <x:c r="L5830" s="11" t="n">
        <x:f>K5830*'管线假设'!E1247*'管线假设'!F1247*'管线假设'!G1247*IF(E5830="USD",'管线假设'!I1247,1)-AM5830</x:f>
        <x:v>0</x:v>
      </x:c>
      <x:c r="M5830" s="11" t="n">
        <x:f>'管线假设'!H1247</x:f>
        <x:v>0.14</x:v>
      </x:c>
      <x:c r="N5830" s="11" t="n">
        <x:f>IF(G5830,L5830*AN5830/(1+M5830)^F5830,0)</x:f>
        <x:v>0</x:v>
      </x:c>
      <x:c r="AJ5830" t="n">
        <x:v>0</x:v>
      </x:c>
      <x:c r="AK5830" t="n">
        <x:v>0</x:v>
      </x:c>
      <x:c r="AL5830" t="n">
        <x:v>0</x:v>
      </x:c>
      <x:c r="AM5830" t="n">
        <x:f>CHOOSE('假设'!$B$3,AJ5830,AK5830,AL5830)</x:f>
        <x:v>0</x:v>
      </x:c>
      <x:c r="AN5830" t="n">
        <x:v>1</x:v>
      </x:c>
    </x:row>
    <x:row r="5831" ht="23" customHeight="1">
      <x:c r="A5831" s="11" t="str">
        <x:v>688062.SH</x:v>
      </x:c>
      <x:c r="B5831" s="11" t="str">
        <x:v>三年</x:v>
      </x:c>
      <x:c r="C5831" s="11" t="str">
        <x:v>b7h3</x:v>
      </x:c>
      <x:c r="D5831" s="11" t="str">
        <x:v>2027-12-31</x:v>
      </x:c>
      <x:c r="E5831" s="11" t="str">
        <x:v>CNY</x:v>
      </x:c>
      <x:c r="F5831" s="11" t="n">
        <x:v>-1.7741273100616017</x:v>
      </x:c>
      <x:c r="G5831" s="26" t="b">
        <x:v>0</x:v>
      </x:c>
      <x:c r="H5831" s="16" t="n">
        <x:v>0</x:v>
      </x:c>
      <x:c r="I5831" s="16" t="n">
        <x:v>0</x:v>
      </x:c>
      <x:c r="J5831" s="16" t="n">
        <x:v>0</x:v>
      </x:c>
      <x:c r="K5831" s="11" t="n">
        <x:f>CHOOSE('假设'!$B$3,H5831,I5831,J5831)</x:f>
        <x:v>0</x:v>
      </x:c>
      <x:c r="L5831" s="11" t="n">
        <x:f>K5831*'管线假设'!E1251*'管线假设'!F1251*'管线假设'!G1251*IF(E5831="USD",'管线假设'!I1251,1)-AM5831</x:f>
        <x:v>0</x:v>
      </x:c>
      <x:c r="M5831" s="11" t="n">
        <x:f>'管线假设'!H1251</x:f>
        <x:v>0.14</x:v>
      </x:c>
      <x:c r="N5831" s="11" t="n">
        <x:f>IF(G5831,L5831*AN5831/(1+M5831)^F5831,0)</x:f>
        <x:v>0</x:v>
      </x:c>
      <x:c r="AJ5831" t="n">
        <x:v>0</x:v>
      </x:c>
      <x:c r="AK5831" t="n">
        <x:v>0</x:v>
      </x:c>
      <x:c r="AL5831" t="n">
        <x:v>0</x:v>
      </x:c>
      <x:c r="AM5831" t="n">
        <x:f>CHOOSE('假设'!$B$3,AJ5831,AK5831,AL5831)</x:f>
        <x:v>0</x:v>
      </x:c>
      <x:c r="AN5831" t="n">
        <x:v>1</x:v>
      </x:c>
    </x:row>
    <x:row r="5832" ht="23" customHeight="1">
      <x:c r="A5832" s="11" t="str">
        <x:v>688062.SH</x:v>
      </x:c>
      <x:c r="B5832" s="11" t="str">
        <x:v>三年</x:v>
      </x:c>
      <x:c r="C5832" s="11" t="str">
        <x:v>b7h3</x:v>
      </x:c>
      <x:c r="D5832" s="11" t="str">
        <x:v>2028-12-31</x:v>
      </x:c>
      <x:c r="E5832" s="11" t="str">
        <x:v>CNY</x:v>
      </x:c>
      <x:c r="F5832" s="11" t="n">
        <x:v>-0.7720739219712526</x:v>
      </x:c>
      <x:c r="G5832" s="26" t="b">
        <x:v>0</x:v>
      </x:c>
      <x:c r="H5832" s="16" t="n">
        <x:v>0</x:v>
      </x:c>
      <x:c r="I5832" s="16" t="n">
        <x:v>0</x:v>
      </x:c>
      <x:c r="J5832" s="16" t="n">
        <x:v>0</x:v>
      </x:c>
      <x:c r="K5832" s="11" t="n">
        <x:f>CHOOSE('假设'!$B$3,H5832,I5832,J5832)</x:f>
        <x:v>0</x:v>
      </x:c>
      <x:c r="L5832" s="11" t="n">
        <x:f>K5832*'管线假设'!E1251*'管线假设'!F1251*'管线假设'!G1251*IF(E5832="USD",'管线假设'!I1251,1)-AM5832</x:f>
        <x:v>0</x:v>
      </x:c>
      <x:c r="M5832" s="11" t="n">
        <x:f>'管线假设'!H1251</x:f>
        <x:v>0.14</x:v>
      </x:c>
      <x:c r="N5832" s="11" t="n">
        <x:f>IF(G5832,L5832*AN5832/(1+M5832)^F5832,0)</x:f>
        <x:v>0</x:v>
      </x:c>
      <x:c r="AJ5832" t="n">
        <x:v>0</x:v>
      </x:c>
      <x:c r="AK5832" t="n">
        <x:v>0</x:v>
      </x:c>
      <x:c r="AL5832" t="n">
        <x:v>0</x:v>
      </x:c>
      <x:c r="AM5832" t="n">
        <x:f>CHOOSE('假设'!$B$3,AJ5832,AK5832,AL5832)</x:f>
        <x:v>0</x:v>
      </x:c>
      <x:c r="AN5832" t="n">
        <x:v>1</x:v>
      </x:c>
    </x:row>
    <x:row r="5833" ht="23" customHeight="1">
      <x:c r="A5833" s="11" t="str">
        <x:v>688062.SH</x:v>
      </x:c>
      <x:c r="B5833" s="11" t="str">
        <x:v>三年</x:v>
      </x:c>
      <x:c r="C5833" s="11" t="str">
        <x:v>b7h3</x:v>
      </x:c>
      <x:c r="D5833" s="11" t="str">
        <x:v>2029-12-31</x:v>
      </x:c>
      <x:c r="E5833" s="11" t="str">
        <x:v>CNY</x:v>
      </x:c>
      <x:c r="F5833" s="11" t="n">
        <x:v>0.2272416153319644</x:v>
      </x:c>
      <x:c r="G5833" s="26" t="b">
        <x:v>1</x:v>
      </x:c>
      <x:c r="H5833" s="16" t="n">
        <x:v>0</x:v>
      </x:c>
      <x:c r="I5833" s="16" t="n">
        <x:v>0</x:v>
      </x:c>
      <x:c r="J5833" s="16" t="n">
        <x:v>0.5</x:v>
      </x:c>
      <x:c r="K5833" s="11" t="n">
        <x:f>CHOOSE('假设'!$B$3,H5833,I5833,J5833)</x:f>
        <x:v>0</x:v>
      </x:c>
      <x:c r="L5833" s="11" t="n">
        <x:f>K5833*'管线假设'!E1251*'管线假设'!F1251*'管线假设'!G1251*IF(E5833="USD",'管线假设'!I1251,1)-AM5833</x:f>
        <x:v>0</x:v>
      </x:c>
      <x:c r="M5833" s="11" t="n">
        <x:f>'管线假设'!H1251</x:f>
        <x:v>0.14</x:v>
      </x:c>
      <x:c r="N5833" s="11" t="n">
        <x:f>IF(G5833,L5833*AN5833/(1+M5833)^F5833,0)</x:f>
        <x:v>0</x:v>
      </x:c>
      <x:c r="AJ5833" t="n">
        <x:v>0</x:v>
      </x:c>
      <x:c r="AK5833" t="n">
        <x:v>0</x:v>
      </x:c>
      <x:c r="AL5833" t="n">
        <x:v>0</x:v>
      </x:c>
      <x:c r="AM5833" t="n">
        <x:f>CHOOSE('假设'!$B$3,AJ5833,AK5833,AL5833)</x:f>
        <x:v>0</x:v>
      </x:c>
      <x:c r="AN5833" t="n">
        <x:v>1</x:v>
      </x:c>
    </x:row>
    <x:row r="5834" ht="23" customHeight="1">
      <x:c r="A5834" s="11" t="str">
        <x:v>688062.SH</x:v>
      </x:c>
      <x:c r="B5834" s="11" t="str">
        <x:v>三年</x:v>
      </x:c>
      <x:c r="C5834" s="11" t="str">
        <x:v>b7h3</x:v>
      </x:c>
      <x:c r="D5834" s="11" t="str">
        <x:v>2030-12-31</x:v>
      </x:c>
      <x:c r="E5834" s="11" t="str">
        <x:v>CNY</x:v>
      </x:c>
      <x:c r="F5834" s="11" t="n">
        <x:v>1.2265571526351813</x:v>
      </x:c>
      <x:c r="G5834" s="26" t="b">
        <x:v>1</x:v>
      </x:c>
      <x:c r="H5834" s="16" t="n">
        <x:v>0</x:v>
      </x:c>
      <x:c r="I5834" s="16" t="n">
        <x:v>0</x:v>
      </x:c>
      <x:c r="J5834" s="16" t="n">
        <x:v>1</x:v>
      </x:c>
      <x:c r="K5834" s="11" t="n">
        <x:f>CHOOSE('假设'!$B$3,H5834,I5834,J5834)</x:f>
        <x:v>0</x:v>
      </x:c>
      <x:c r="L5834" s="11" t="n">
        <x:f>K5834*'管线假设'!E1251*'管线假设'!F1251*'管线假设'!G1251*IF(E5834="USD",'管线假设'!I1251,1)-AM5834</x:f>
        <x:v>0</x:v>
      </x:c>
      <x:c r="M5834" s="11" t="n">
        <x:f>'管线假设'!H1251</x:f>
        <x:v>0.14</x:v>
      </x:c>
      <x:c r="N5834" s="11" t="n">
        <x:f>IF(G5834,L5834*AN5834/(1+M5834)^F5834,0)</x:f>
        <x:v>0</x:v>
      </x:c>
      <x:c r="AJ5834" t="n">
        <x:v>0</x:v>
      </x:c>
      <x:c r="AK5834" t="n">
        <x:v>0</x:v>
      </x:c>
      <x:c r="AL5834" t="n">
        <x:v>0</x:v>
      </x:c>
      <x:c r="AM5834" t="n">
        <x:f>CHOOSE('假设'!$B$3,AJ5834,AK5834,AL5834)</x:f>
        <x:v>0</x:v>
      </x:c>
      <x:c r="AN5834" t="n">
        <x:v>1</x:v>
      </x:c>
    </x:row>
    <x:row r="5835" ht="23" customHeight="1">
      <x:c r="A5835" s="11" t="str">
        <x:v>688062.SH</x:v>
      </x:c>
      <x:c r="B5835" s="11" t="str">
        <x:v>三年</x:v>
      </x:c>
      <x:c r="C5835" s="11" t="str">
        <x:v>b7h3</x:v>
      </x:c>
      <x:c r="D5835" s="11" t="str">
        <x:v>2031-12-31</x:v>
      </x:c>
      <x:c r="E5835" s="11" t="str">
        <x:v>CNY</x:v>
      </x:c>
      <x:c r="F5835" s="11" t="n">
        <x:v>2.2258726899383983</x:v>
      </x:c>
      <x:c r="G5835" s="26" t="b">
        <x:v>1</x:v>
      </x:c>
      <x:c r="H5835" s="16" t="n">
        <x:v>0</x:v>
      </x:c>
      <x:c r="I5835" s="16" t="n">
        <x:v>0.3</x:v>
      </x:c>
      <x:c r="J5835" s="16" t="n">
        <x:v>1.5</x:v>
      </x:c>
      <x:c r="K5835" s="11" t="n">
        <x:f>CHOOSE('假设'!$B$3,H5835,I5835,J5835)</x:f>
        <x:v>0.3</x:v>
      </x:c>
      <x:c r="L5835" s="11" t="n">
        <x:f>K5835*'管线假设'!E1251*'管线假设'!F1251*'管线假设'!G1251*IF(E5835="USD",'管线假设'!I1251,1)-AM5835</x:f>
        <x:v>0.032436</x:v>
      </x:c>
      <x:c r="M5835" s="11" t="n">
        <x:f>'管线假设'!H1251</x:f>
        <x:v>0.14</x:v>
      </x:c>
      <x:c r="N5835" s="11" t="n">
        <x:f>IF(G5835,L5835*AN5835/(1+M5835)^F5835,0)</x:f>
        <x:v>0.02423060942495628</x:v>
      </x:c>
      <x:c r="AJ5835" t="n">
        <x:v>0</x:v>
      </x:c>
      <x:c r="AK5835" t="n">
        <x:v>0</x:v>
      </x:c>
      <x:c r="AL5835" t="n">
        <x:v>0</x:v>
      </x:c>
      <x:c r="AM5835" t="n">
        <x:f>CHOOSE('假设'!$B$3,AJ5835,AK5835,AL5835)</x:f>
        <x:v>0</x:v>
      </x:c>
      <x:c r="AN5835" t="n">
        <x:v>1</x:v>
      </x:c>
    </x:row>
    <x:row r="5836" ht="23" customHeight="1">
      <x:c r="A5836" s="11" t="str">
        <x:v>688062.SH</x:v>
      </x:c>
      <x:c r="B5836" s="11" t="str">
        <x:v>三年</x:v>
      </x:c>
      <x:c r="C5836" s="11" t="str">
        <x:v>b7h3</x:v>
      </x:c>
      <x:c r="D5836" s="11" t="str">
        <x:v>2032-12-31</x:v>
      </x:c>
      <x:c r="E5836" s="11" t="str">
        <x:v>CNY</x:v>
      </x:c>
      <x:c r="F5836" s="11" t="n">
        <x:v>3.2279260780287475</x:v>
      </x:c>
      <x:c r="G5836" s="26" t="b">
        <x:v>1</x:v>
      </x:c>
      <x:c r="H5836" s="16" t="n">
        <x:v>0</x:v>
      </x:c>
      <x:c r="I5836" s="16" t="n">
        <x:v>0.6</x:v>
      </x:c>
      <x:c r="J5836" s="16" t="n">
        <x:v>2</x:v>
      </x:c>
      <x:c r="K5836" s="11" t="n">
        <x:f>CHOOSE('假设'!$B$3,H5836,I5836,J5836)</x:f>
        <x:v>0.6</x:v>
      </x:c>
      <x:c r="L5836" s="11" t="n">
        <x:f>K5836*'管线假设'!E1251*'管线假设'!F1251*'管线假设'!G1251*IF(E5836="USD",'管线假设'!I1251,1)-AM5836</x:f>
        <x:v>0.064872</x:v>
      </x:c>
      <x:c r="M5836" s="11" t="n">
        <x:f>'管线假设'!H1251</x:f>
        <x:v>0.14</x:v>
      </x:c>
      <x:c r="N5836" s="11" t="n">
        <x:f>IF(G5836,L5836*AN5836/(1+M5836)^F5836,0)</x:f>
        <x:v>0.04249840528250687</x:v>
      </x:c>
      <x:c r="AJ5836" t="n">
        <x:v>0</x:v>
      </x:c>
      <x:c r="AK5836" t="n">
        <x:v>0</x:v>
      </x:c>
      <x:c r="AL5836" t="n">
        <x:v>0</x:v>
      </x:c>
      <x:c r="AM5836" t="n">
        <x:f>CHOOSE('假设'!$B$3,AJ5836,AK5836,AL5836)</x:f>
        <x:v>0</x:v>
      </x:c>
      <x:c r="AN5836" t="n">
        <x:v>1</x:v>
      </x:c>
    </x:row>
    <x:row r="5837" ht="23" customHeight="1">
      <x:c r="A5837" s="11" t="str">
        <x:v>688062.SH</x:v>
      </x:c>
      <x:c r="B5837" s="11" t="str">
        <x:v>三年</x:v>
      </x:c>
      <x:c r="C5837" s="11" t="str">
        <x:v>b7h3</x:v>
      </x:c>
      <x:c r="D5837" s="11" t="str">
        <x:v>2033-12-31</x:v>
      </x:c>
      <x:c r="E5837" s="11" t="str">
        <x:v>CNY</x:v>
      </x:c>
      <x:c r="F5837" s="11" t="n">
        <x:v>4.227241615331964</x:v>
      </x:c>
      <x:c r="G5837" s="26" t="b">
        <x:v>1</x:v>
      </x:c>
      <x:c r="H5837" s="16" t="n">
        <x:v>0</x:v>
      </x:c>
      <x:c r="I5837" s="16" t="n">
        <x:v>0.9</x:v>
      </x:c>
      <x:c r="J5837" s="16" t="n">
        <x:v>2.5</x:v>
      </x:c>
      <x:c r="K5837" s="11" t="n">
        <x:f>CHOOSE('假设'!$B$3,H5837,I5837,J5837)</x:f>
        <x:v>0.9</x:v>
      </x:c>
      <x:c r="L5837" s="11" t="n">
        <x:f>K5837*'管线假设'!E1251*'管线假设'!F1251*'管线假设'!G1251*IF(E5837="USD",'管线假设'!I1251,1)-AM5837</x:f>
        <x:v>0.097308</x:v>
      </x:c>
      <x:c r="M5837" s="11" t="n">
        <x:f>'管线假设'!H1251</x:f>
        <x:v>0.14</x:v>
      </x:c>
      <x:c r="N5837" s="11" t="n">
        <x:f>IF(G5837,L5837*AN5837/(1+M5837)^F5837,0)</x:f>
        <x:v>0.055923969577120404</x:v>
      </x:c>
      <x:c r="AJ5837" t="n">
        <x:v>0</x:v>
      </x:c>
      <x:c r="AK5837" t="n">
        <x:v>0</x:v>
      </x:c>
      <x:c r="AL5837" t="n">
        <x:v>0</x:v>
      </x:c>
      <x:c r="AM5837" t="n">
        <x:f>CHOOSE('假设'!$B$3,AJ5837,AK5837,AL5837)</x:f>
        <x:v>0</x:v>
      </x:c>
      <x:c r="AN5837" t="n">
        <x:v>1</x:v>
      </x:c>
    </x:row>
    <x:row r="5838" ht="23" customHeight="1">
      <x:c r="A5838" s="11" t="str">
        <x:v>688062.SH</x:v>
      </x:c>
      <x:c r="B5838" s="11" t="str">
        <x:v>三年</x:v>
      </x:c>
      <x:c r="C5838" s="11" t="str">
        <x:v>b7h3</x:v>
      </x:c>
      <x:c r="D5838" s="11" t="str">
        <x:v>2034-12-31</x:v>
      </x:c>
      <x:c r="E5838" s="11" t="str">
        <x:v>CNY</x:v>
      </x:c>
      <x:c r="F5838" s="11" t="n">
        <x:v>5.2265571526351815</x:v>
      </x:c>
      <x:c r="G5838" s="26" t="b">
        <x:v>1</x:v>
      </x:c>
      <x:c r="H5838" s="16" t="n">
        <x:v>0.13999999999999999</x:v>
      </x:c>
      <x:c r="I5838" s="16" t="n">
        <x:v>1.2</x:v>
      </x:c>
      <x:c r="J5838" s="16" t="n">
        <x:v>3</x:v>
      </x:c>
      <x:c r="K5838" s="11" t="n">
        <x:f>CHOOSE('假设'!$B$3,H5838,I5838,J5838)</x:f>
        <x:v>1.2</x:v>
      </x:c>
      <x:c r="L5838" s="11" t="n">
        <x:f>K5838*'管线假设'!E1251*'管线假设'!F1251*'管线假设'!G1251*IF(E5838="USD",'管线假设'!I1251,1)-AM5838</x:f>
        <x:v>0.129744</x:v>
      </x:c>
      <x:c r="M5838" s="11" t="n">
        <x:f>'管线假设'!H1251</x:f>
        <x:v>0.14</x:v>
      </x:c>
      <x:c r="N5838" s="11" t="n">
        <x:f>IF(G5838,L5838*AN5838/(1+M5838)^F5838,0)</x:f>
        <x:v>0.06541401787714758</x:v>
      </x:c>
      <x:c r="AJ5838" t="n">
        <x:v>0</x:v>
      </x:c>
      <x:c r="AK5838" t="n">
        <x:v>0</x:v>
      </x:c>
      <x:c r="AL5838" t="n">
        <x:v>0</x:v>
      </x:c>
      <x:c r="AM5838" t="n">
        <x:f>CHOOSE('假设'!$B$3,AJ5838,AK5838,AL5838)</x:f>
        <x:v>0</x:v>
      </x:c>
      <x:c r="AN5838" t="n">
        <x:v>1</x:v>
      </x:c>
    </x:row>
    <x:row r="5839" ht="23" customHeight="1">
      <x:c r="A5839" s="11" t="str">
        <x:v>688062.SH</x:v>
      </x:c>
      <x:c r="B5839" s="11" t="str">
        <x:v>三年</x:v>
      </x:c>
      <x:c r="C5839" s="11" t="str">
        <x:v>b7h3</x:v>
      </x:c>
      <x:c r="D5839" s="11" t="str">
        <x:v>2035-12-31</x:v>
      </x:c>
      <x:c r="E5839" s="11" t="str">
        <x:v>CNY</x:v>
      </x:c>
      <x:c r="F5839" s="11" t="n">
        <x:v>6.225872689938399</x:v>
      </x:c>
      <x:c r="G5839" s="26" t="b">
        <x:v>1</x:v>
      </x:c>
      <x:c r="H5839" s="16" t="n">
        <x:v>0.27999999999999997</x:v>
      </x:c>
      <x:c r="I5839" s="16" t="n">
        <x:v>1.5</x:v>
      </x:c>
      <x:c r="J5839" s="16" t="n">
        <x:v>2.61</x:v>
      </x:c>
      <x:c r="K5839" s="11" t="n">
        <x:f>CHOOSE('假设'!$B$3,H5839,I5839,J5839)</x:f>
        <x:v>1.5</x:v>
      </x:c>
      <x:c r="L5839" s="11" t="n">
        <x:f>K5839*'管线假设'!E1251*'管线假设'!F1251*'管线假设'!G1251*IF(E5839="USD",'管线假设'!I1251,1)-AM5839</x:f>
        <x:v>0.16218000000000002</x:v>
      </x:c>
      <x:c r="M5839" s="11" t="n">
        <x:f>'管线假设'!H1251</x:f>
        <x:v>0.14</x:v>
      </x:c>
      <x:c r="N5839" s="11" t="n">
        <x:f>IF(G5839,L5839*AN5839/(1+M5839)^F5839,0)</x:f>
        <x:v>0.0717323297458842</x:v>
      </x:c>
      <x:c r="AJ5839" t="n">
        <x:v>0</x:v>
      </x:c>
      <x:c r="AK5839" t="n">
        <x:v>0</x:v>
      </x:c>
      <x:c r="AL5839" t="n">
        <x:v>0</x:v>
      </x:c>
      <x:c r="AM5839" t="n">
        <x:f>CHOOSE('假设'!$B$3,AJ5839,AK5839,AL5839)</x:f>
        <x:v>0</x:v>
      </x:c>
      <x:c r="AN5839" t="n">
        <x:v>1</x:v>
      </x:c>
    </x:row>
    <x:row r="5840" ht="23" customHeight="1">
      <x:c r="A5840" s="11" t="str">
        <x:v>688062.SH</x:v>
      </x:c>
      <x:c r="B5840" s="11" t="str">
        <x:v>三年</x:v>
      </x:c>
      <x:c r="C5840" s="11" t="str">
        <x:v>b7h3</x:v>
      </x:c>
      <x:c r="D5840" s="11" t="str">
        <x:v>2036-12-31</x:v>
      </x:c>
      <x:c r="E5840" s="11" t="str">
        <x:v>CNY</x:v>
      </x:c>
      <x:c r="F5840" s="11" t="n">
        <x:v>7.227926078028747</x:v>
      </x:c>
      <x:c r="G5840" s="26" t="b">
        <x:v>1</x:v>
      </x:c>
      <x:c r="H5840" s="16" t="n">
        <x:v>0.42</x:v>
      </x:c>
      <x:c r="I5840" s="16" t="n">
        <x:v>1.8</x:v>
      </x:c>
      <x:c r="J5840" s="16" t="n">
        <x:v>2.2199999999999998</x:v>
      </x:c>
      <x:c r="K5840" s="11" t="n">
        <x:f>CHOOSE('假设'!$B$3,H5840,I5840,J5840)</x:f>
        <x:v>1.8</x:v>
      </x:c>
      <x:c r="L5840" s="11" t="n">
        <x:f>K5840*'管线假设'!E1251*'管线假设'!F1251*'管线假设'!G1251*IF(E5840="USD",'管线假设'!I1251,1)-AM5840</x:f>
        <x:v>0.194616</x:v>
      </x:c>
      <x:c r="M5840" s="11" t="n">
        <x:f>'管线假设'!H1251</x:f>
        <x:v>0.14</x:v>
      </x:c>
      <x:c r="N5840" s="11" t="n">
        <x:f>IF(G5840,L5840*AN5840/(1+M5840)^F5840,0)</x:f>
        <x:v>0.07548740276237217</x:v>
      </x:c>
      <x:c r="AJ5840" t="n">
        <x:v>0</x:v>
      </x:c>
      <x:c r="AK5840" t="n">
        <x:v>0</x:v>
      </x:c>
      <x:c r="AL5840" t="n">
        <x:v>0</x:v>
      </x:c>
      <x:c r="AM5840" t="n">
        <x:f>CHOOSE('假设'!$B$3,AJ5840,AK5840,AL5840)</x:f>
        <x:v>0</x:v>
      </x:c>
      <x:c r="AN5840" t="n">
        <x:v>1</x:v>
      </x:c>
    </x:row>
    <x:row r="5841" ht="23" customHeight="1">
      <x:c r="A5841" s="11" t="str">
        <x:v>688062.SH</x:v>
      </x:c>
      <x:c r="B5841" s="11" t="str">
        <x:v>三年</x:v>
      </x:c>
      <x:c r="C5841" s="11" t="str">
        <x:v>b7h3</x:v>
      </x:c>
      <x:c r="D5841" s="11" t="str">
        <x:v>2037-12-31</x:v>
      </x:c>
      <x:c r="E5841" s="11" t="str">
        <x:v>CNY</x:v>
      </x:c>
      <x:c r="F5841" s="11" t="n">
        <x:v>8.227241615331964</x:v>
      </x:c>
      <x:c r="G5841" s="26" t="b">
        <x:v>1</x:v>
      </x:c>
      <x:c r="H5841" s="16" t="n">
        <x:v>0.5599999999999999</x:v>
      </x:c>
      <x:c r="I5841" s="16" t="n">
        <x:v>1.566</x:v>
      </x:c>
      <x:c r="J5841" s="16" t="n">
        <x:v>1.83</x:v>
      </x:c>
      <x:c r="K5841" s="11" t="n">
        <x:f>CHOOSE('假设'!$B$3,H5841,I5841,J5841)</x:f>
        <x:v>1.566</x:v>
      </x:c>
      <x:c r="L5841" s="11" t="n">
        <x:f>K5841*'管线假设'!E1251*'管线假设'!F1251*'管线假设'!G1251*IF(E5841="USD",'管线假设'!I1251,1)-AM5841</x:f>
        <x:v>0.16931592</x:v>
      </x:c>
      <x:c r="M5841" s="11" t="n">
        <x:f>'管线假设'!H1251</x:f>
        <x:v>0.14</x:v>
      </x:c>
      <x:c r="N5841" s="11" t="n">
        <x:f>IF(G5841,L5841*AN5841/(1+M5841)^F5841,0)</x:f>
        <x:v>0.05761397418882247</x:v>
      </x:c>
      <x:c r="AJ5841" t="n">
        <x:v>0</x:v>
      </x:c>
      <x:c r="AK5841" t="n">
        <x:v>0</x:v>
      </x:c>
      <x:c r="AL5841" t="n">
        <x:v>0</x:v>
      </x:c>
      <x:c r="AM5841" t="n">
        <x:f>CHOOSE('假设'!$B$3,AJ5841,AK5841,AL5841)</x:f>
        <x:v>0</x:v>
      </x:c>
      <x:c r="AN5841" t="n">
        <x:v>1</x:v>
      </x:c>
    </x:row>
    <x:row r="5842" ht="23" customHeight="1">
      <x:c r="A5842" s="11" t="str">
        <x:v>688062.SH</x:v>
      </x:c>
      <x:c r="B5842" s="11" t="str">
        <x:v>三年</x:v>
      </x:c>
      <x:c r="C5842" s="11" t="str">
        <x:v>b7h3</x:v>
      </x:c>
      <x:c r="D5842" s="11" t="str">
        <x:v>2038-12-31</x:v>
      </x:c>
      <x:c r="E5842" s="11" t="str">
        <x:v>CNY</x:v>
      </x:c>
      <x:c r="F5842" s="11" t="n">
        <x:v>9.22655715263518</x:v>
      </x:c>
      <x:c r="G5842" s="26" t="b">
        <x:v>1</x:v>
      </x:c>
      <x:c r="H5842" s="16" t="n">
        <x:v>0.7</x:v>
      </x:c>
      <x:c r="I5842" s="16" t="n">
        <x:v>1.332</x:v>
      </x:c>
      <x:c r="J5842" s="16" t="n">
        <x:v>1.44</x:v>
      </x:c>
      <x:c r="K5842" s="11" t="n">
        <x:f>CHOOSE('假设'!$B$3,H5842,I5842,J5842)</x:f>
        <x:v>1.332</x:v>
      </x:c>
      <x:c r="L5842" s="11" t="n">
        <x:f>K5842*'管线假设'!E1251*'管线假设'!F1251*'管线假设'!G1251*IF(E5842="USD",'管线假设'!I1251,1)-AM5842</x:f>
        <x:v>0.14401584000000003</x:v>
      </x:c>
      <x:c r="M5842" s="11" t="n">
        <x:f>'管线假设'!H1251</x:f>
        <x:v>0.14</x:v>
      </x:c>
      <x:c r="N5842" s="11" t="n">
        <x:f>IF(G5842,L5842*AN5842/(1+M5842)^F5842,0)</x:f>
        <x:v>0.042990688331946095</x:v>
      </x:c>
      <x:c r="AJ5842" t="n">
        <x:v>0</x:v>
      </x:c>
      <x:c r="AK5842" t="n">
        <x:v>0</x:v>
      </x:c>
      <x:c r="AL5842" t="n">
        <x:v>0</x:v>
      </x:c>
      <x:c r="AM5842" t="n">
        <x:f>CHOOSE('假设'!$B$3,AJ5842,AK5842,AL5842)</x:f>
        <x:v>0</x:v>
      </x:c>
      <x:c r="AN5842" t="n">
        <x:v>1</x:v>
      </x:c>
    </x:row>
    <x:row r="5843" ht="23" customHeight="1">
      <x:c r="A5843" s="11" t="str">
        <x:v>688062.SH</x:v>
      </x:c>
      <x:c r="B5843" s="11" t="str">
        <x:v>三年</x:v>
      </x:c>
      <x:c r="C5843" s="11" t="str">
        <x:v>b7h3</x:v>
      </x:c>
      <x:c r="D5843" s="11" t="str">
        <x:v>2039-12-31</x:v>
      </x:c>
      <x:c r="E5843" s="11" t="str">
        <x:v>CNY</x:v>
      </x:c>
      <x:c r="F5843" s="11" t="n">
        <x:v>10.225872689938399</x:v>
      </x:c>
      <x:c r="G5843" s="26" t="b">
        <x:v>1</x:v>
      </x:c>
      <x:c r="H5843" s="16" t="n">
        <x:v>0.609</x:v>
      </x:c>
      <x:c r="I5843" s="16" t="n">
        <x:v>1.098</x:v>
      </x:c>
      <x:c r="J5843" s="16" t="n">
        <x:v>1.0499999999999998</x:v>
      </x:c>
      <x:c r="K5843" s="11" t="n">
        <x:f>CHOOSE('假设'!$B$3,H5843,I5843,J5843)</x:f>
        <x:v>1.098</x:v>
      </x:c>
      <x:c r="L5843" s="11" t="n">
        <x:f>K5843*'管线假设'!E1251*'管线假设'!F1251*'管线假设'!G1251*IF(E5843="USD",'管线假设'!I1251,1)-AM5843</x:f>
        <x:v>0.11871576000000003</x:v>
      </x:c>
      <x:c r="M5843" s="11" t="n">
        <x:f>'管线假设'!H1251</x:f>
        <x:v>0.14</x:v>
      </x:c>
      <x:c r="N5843" s="11" t="n">
        <x:f>IF(G5843,L5843*AN5843/(1+M5843)^F5843,0)</x:f>
        <x:v>0.03108898991080241</x:v>
      </x:c>
      <x:c r="AJ5843" t="n">
        <x:v>0</x:v>
      </x:c>
      <x:c r="AK5843" t="n">
        <x:v>0</x:v>
      </x:c>
      <x:c r="AL5843" t="n">
        <x:v>0</x:v>
      </x:c>
      <x:c r="AM5843" t="n">
        <x:f>CHOOSE('假设'!$B$3,AJ5843,AK5843,AL5843)</x:f>
        <x:v>0</x:v>
      </x:c>
      <x:c r="AN5843" t="n">
        <x:v>1</x:v>
      </x:c>
    </x:row>
    <x:row r="5844" ht="23" customHeight="1">
      <x:c r="A5844" s="11" t="str">
        <x:v>688062.SH</x:v>
      </x:c>
      <x:c r="B5844" s="11" t="str">
        <x:v>三年</x:v>
      </x:c>
      <x:c r="C5844" s="11" t="str">
        <x:v>b7h3</x:v>
      </x:c>
      <x:c r="D5844" s="11" t="str">
        <x:v>2040-12-31</x:v>
      </x:c>
      <x:c r="E5844" s="11" t="str">
        <x:v>CNY</x:v>
      </x:c>
      <x:c r="F5844" s="11" t="n">
        <x:v>11.227926078028748</x:v>
      </x:c>
      <x:c r="G5844" s="26" t="b">
        <x:v>1</x:v>
      </x:c>
      <x:c r="H5844" s="16" t="n">
        <x:v>0.518</x:v>
      </x:c>
      <x:c r="I5844" s="16" t="n">
        <x:v>0.864</x:v>
      </x:c>
      <x:c r="J5844" s="16" t="n">
        <x:v>0.6599999999999999</x:v>
      </x:c>
      <x:c r="K5844" s="11" t="n">
        <x:f>CHOOSE('假设'!$B$3,H5844,I5844,J5844)</x:f>
        <x:v>0.864</x:v>
      </x:c>
      <x:c r="L5844" s="11" t="n">
        <x:f>K5844*'管线假设'!E1251*'管线假设'!F1251*'管线假设'!G1251*IF(E5844="USD",'管线假设'!I1251,1)-AM5844</x:f>
        <x:v>0.09341568000000001</x:v>
      </x:c>
      <x:c r="M5844" s="11" t="n">
        <x:f>'管线假设'!H1251</x:f>
        <x:v>0.14</x:v>
      </x:c>
      <x:c r="N5844" s="11" t="n">
        <x:f>IF(G5844,L5844*AN5844/(1+M5844)^F5844,0)</x:f>
        <x:v>0.02145340913544025</x:v>
      </x:c>
      <x:c r="AJ5844" t="n">
        <x:v>0</x:v>
      </x:c>
      <x:c r="AK5844" t="n">
        <x:v>0</x:v>
      </x:c>
      <x:c r="AL5844" t="n">
        <x:v>0</x:v>
      </x:c>
      <x:c r="AM5844" t="n">
        <x:f>CHOOSE('假设'!$B$3,AJ5844,AK5844,AL5844)</x:f>
        <x:v>0</x:v>
      </x:c>
      <x:c r="AN5844" t="n">
        <x:v>1</x:v>
      </x:c>
    </x:row>
    <x:row r="5845" ht="23" customHeight="1">
      <x:c r="A5845" s="11" t="str">
        <x:v>688062.SH</x:v>
      </x:c>
      <x:c r="B5845" s="11" t="str">
        <x:v>三年</x:v>
      </x:c>
      <x:c r="C5845" s="11" t="str">
        <x:v>b7h3</x:v>
      </x:c>
      <x:c r="D5845" s="11" t="str">
        <x:v>2041-12-31</x:v>
      </x:c>
      <x:c r="E5845" s="11" t="str">
        <x:v>CNY</x:v>
      </x:c>
      <x:c r="F5845" s="11" t="n">
        <x:v>12.227241615331964</x:v>
      </x:c>
      <x:c r="G5845" s="26" t="b">
        <x:v>1</x:v>
      </x:c>
      <x:c r="H5845" s="16" t="n">
        <x:v>0.427</x:v>
      </x:c>
      <x:c r="I5845" s="16" t="n">
        <x:v>0.63</x:v>
      </x:c>
      <x:c r="J5845" s="16" t="n">
        <x:v>0.2699999999999999</x:v>
      </x:c>
      <x:c r="K5845" s="11" t="n">
        <x:f>CHOOSE('假设'!$B$3,H5845,I5845,J5845)</x:f>
        <x:v>0.63</x:v>
      </x:c>
      <x:c r="L5845" s="11" t="n">
        <x:f>K5845*'管线假设'!E1251*'管线假设'!F1251*'管线假设'!G1251*IF(E5845="USD",'管线假设'!I1251,1)-AM5845</x:f>
        <x:v>0.06811560000000001</x:v>
      </x:c>
      <x:c r="M5845" s="11" t="n">
        <x:f>'管线假设'!H1251</x:f>
        <x:v>0.14</x:v>
      </x:c>
      <x:c r="N5845" s="11" t="n">
        <x:f>IF(G5845,L5845*AN5845/(1+M5845)^F5845,0)</x:f>
        <x:v>0.013723257742920611</x:v>
      </x:c>
      <x:c r="AJ5845" t="n">
        <x:v>0</x:v>
      </x:c>
      <x:c r="AK5845" t="n">
        <x:v>0</x:v>
      </x:c>
      <x:c r="AL5845" t="n">
        <x:v>0</x:v>
      </x:c>
      <x:c r="AM5845" t="n">
        <x:f>CHOOSE('假设'!$B$3,AJ5845,AK5845,AL5845)</x:f>
        <x:v>0</x:v>
      </x:c>
      <x:c r="AN5845" t="n">
        <x:v>1</x:v>
      </x:c>
    </x:row>
    <x:row r="5846" ht="23" customHeight="1">
      <x:c r="A5846" s="11" t="str">
        <x:v>688062.SH</x:v>
      </x:c>
      <x:c r="B5846" s="11" t="str">
        <x:v>三年</x:v>
      </x:c>
      <x:c r="C5846" s="11" t="str">
        <x:v>b7h3</x:v>
      </x:c>
      <x:c r="D5846" s="11" t="str">
        <x:v>2042-12-31</x:v>
      </x:c>
      <x:c r="E5846" s="11" t="str">
        <x:v>CNY</x:v>
      </x:c>
      <x:c r="F5846" s="11" t="n">
        <x:v>13.22655715263518</x:v>
      </x:c>
      <x:c r="G5846" s="26" t="b">
        <x:v>1</x:v>
      </x:c>
      <x:c r="H5846" s="16" t="n">
        <x:v>0.33599999999999997</x:v>
      </x:c>
      <x:c r="I5846" s="16" t="n">
        <x:v>0.39599999999999996</x:v>
      </x:c>
      <x:c r="J5846" s="16" t="n">
        <x:v>0</x:v>
      </x:c>
      <x:c r="K5846" s="11" t="n">
        <x:f>CHOOSE('假设'!$B$3,H5846,I5846,J5846)</x:f>
        <x:v>0.39599999999999996</x:v>
      </x:c>
      <x:c r="L5846" s="11" t="n">
        <x:f>K5846*'管线假设'!E1251*'管线假设'!F1251*'管线假设'!G1251*IF(E5846="USD",'管线假设'!I1251,1)-AM5846</x:f>
        <x:v>0.042815519999999996</x:v>
      </x:c>
      <x:c r="M5846" s="11" t="n">
        <x:f>'管线假设'!H1251</x:f>
        <x:v>0.14</x:v>
      </x:c>
      <x:c r="N5846" s="11" t="n">
        <x:f>IF(G5846,L5846*AN5846/(1+M5846)^F5846,0)</x:f>
        <x:v>0.0075673871727311905</x:v>
      </x:c>
      <x:c r="AJ5846" t="n">
        <x:v>0</x:v>
      </x:c>
      <x:c r="AK5846" t="n">
        <x:v>0</x:v>
      </x:c>
      <x:c r="AL5846" t="n">
        <x:v>0</x:v>
      </x:c>
      <x:c r="AM5846" t="n">
        <x:f>CHOOSE('假设'!$B$3,AJ5846,AK5846,AL5846)</x:f>
        <x:v>0</x:v>
      </x:c>
      <x:c r="AN5846" t="n">
        <x:v>1</x:v>
      </x:c>
    </x:row>
    <x:row r="5847" ht="23" customHeight="1">
      <x:c r="A5847" s="11" t="str">
        <x:v>688062.SH</x:v>
      </x:c>
      <x:c r="B5847" s="11" t="str">
        <x:v>三年</x:v>
      </x:c>
      <x:c r="C5847" s="11" t="str">
        <x:v>b7h3</x:v>
      </x:c>
      <x:c r="D5847" s="11" t="str">
        <x:v>2043-12-31</x:v>
      </x:c>
      <x:c r="E5847" s="11" t="str">
        <x:v>CNY</x:v>
      </x:c>
      <x:c r="F5847" s="11" t="n">
        <x:v>14.225872689938399</x:v>
      </x:c>
      <x:c r="G5847" s="26" t="b">
        <x:v>1</x:v>
      </x:c>
      <x:c r="H5847" s="16" t="n">
        <x:v>0.24499999999999997</x:v>
      </x:c>
      <x:c r="I5847" s="16" t="n">
        <x:v>0.16199999999999995</x:v>
      </x:c>
      <x:c r="J5847" s="16" t="n">
        <x:v>0</x:v>
      </x:c>
      <x:c r="K5847" s="11" t="n">
        <x:f>CHOOSE('假设'!$B$3,H5847,I5847,J5847)</x:f>
        <x:v>0.16199999999999995</x:v>
      </x:c>
      <x:c r="L5847" s="11" t="n">
        <x:f>K5847*'管线假设'!E1251*'管线假设'!F1251*'管线假设'!G1251*IF(E5847="USD",'管线假设'!I1251,1)-AM5847</x:f>
        <x:v>0.017515439999999997</x:v>
      </x:c>
      <x:c r="M5847" s="11" t="n">
        <x:f>'管线假设'!H1251</x:f>
        <x:v>0.14</x:v>
      </x:c>
      <x:c r="N5847" s="11" t="n">
        <x:f>IF(G5847,L5847*AN5847/(1+M5847)^F5847,0)</x:f>
        <x:v>0.0027158131135397072</x:v>
      </x:c>
      <x:c r="AJ5847" t="n">
        <x:v>0</x:v>
      </x:c>
      <x:c r="AK5847" t="n">
        <x:v>0</x:v>
      </x:c>
      <x:c r="AL5847" t="n">
        <x:v>0</x:v>
      </x:c>
      <x:c r="AM5847" t="n">
        <x:f>CHOOSE('假设'!$B$3,AJ5847,AK5847,AL5847)</x:f>
        <x:v>0</x:v>
      </x:c>
      <x:c r="AN5847" t="n">
        <x:v>1</x:v>
      </x:c>
    </x:row>
    <x:row r="5848" ht="23" customHeight="1">
      <x:c r="A5848" s="11" t="str">
        <x:v>688062.SH</x:v>
      </x:c>
      <x:c r="B5848" s="11" t="str">
        <x:v>三年</x:v>
      </x:c>
      <x:c r="C5848" s="11" t="str">
        <x:v>b7h3</x:v>
      </x:c>
      <x:c r="D5848" s="11" t="str">
        <x:v>2044-12-31</x:v>
      </x:c>
      <x:c r="E5848" s="11" t="str">
        <x:v>CNY</x:v>
      </x:c>
      <x:c r="F5848" s="11" t="n">
        <x:v>15.227926078028748</x:v>
      </x:c>
      <x:c r="G5848" s="26" t="b">
        <x:v>1</x:v>
      </x:c>
      <x:c r="H5848" s="16" t="n">
        <x:v>0.15399999999999997</x:v>
      </x:c>
      <x:c r="I5848" s="16" t="n">
        <x:v>0</x:v>
      </x:c>
      <x:c r="J5848" s="16" t="n">
        <x:v>0</x:v>
      </x:c>
      <x:c r="K5848" s="11" t="n">
        <x:f>CHOOSE('假设'!$B$3,H5848,I5848,J5848)</x:f>
        <x:v>0</x:v>
      </x:c>
      <x:c r="L5848" s="11" t="n">
        <x:f>K5848*'管线假设'!E1251*'管线假设'!F1251*'管线假设'!G1251*IF(E5848="USD",'管线假设'!I1251,1)-AM5848</x:f>
        <x:v>0</x:v>
      </x:c>
      <x:c r="M5848" s="11" t="n">
        <x:f>'管线假设'!H1251</x:f>
        <x:v>0.14</x:v>
      </x:c>
      <x:c r="N5848" s="11" t="n">
        <x:f>IF(G5848,L5848*AN5848/(1+M5848)^F5848,0)</x:f>
        <x:v>0</x:v>
      </x:c>
      <x:c r="AJ5848" t="n">
        <x:v>0</x:v>
      </x:c>
      <x:c r="AK5848" t="n">
        <x:v>0</x:v>
      </x:c>
      <x:c r="AL5848" t="n">
        <x:v>0</x:v>
      </x:c>
      <x:c r="AM5848" t="n">
        <x:f>CHOOSE('假设'!$B$3,AJ5848,AK5848,AL5848)</x:f>
        <x:v>0</x:v>
      </x:c>
      <x:c r="AN5848" t="n">
        <x:v>1</x:v>
      </x:c>
    </x:row>
    <x:row r="5849" ht="23" customHeight="1">
      <x:c r="A5849" s="11" t="str">
        <x:v>688062.SH</x:v>
      </x:c>
      <x:c r="B5849" s="11" t="str">
        <x:v>三年</x:v>
      </x:c>
      <x:c r="C5849" s="11" t="str">
        <x:v>b7h3</x:v>
      </x:c>
      <x:c r="D5849" s="11" t="str">
        <x:v>2045-12-31</x:v>
      </x:c>
      <x:c r="E5849" s="11" t="str">
        <x:v>CNY</x:v>
      </x:c>
      <x:c r="F5849" s="11" t="n">
        <x:v>16.227241615331966</x:v>
      </x:c>
      <x:c r="G5849" s="26" t="b">
        <x:v>1</x:v>
      </x:c>
      <x:c r="H5849" s="16" t="n">
        <x:v>0.06299999999999997</x:v>
      </x:c>
      <x:c r="I5849" s="16" t="n">
        <x:v>0</x:v>
      </x:c>
      <x:c r="J5849" s="16" t="n">
        <x:v>0</x:v>
      </x:c>
      <x:c r="K5849" s="11" t="n">
        <x:f>CHOOSE('假设'!$B$3,H5849,I5849,J5849)</x:f>
        <x:v>0</x:v>
      </x:c>
      <x:c r="L5849" s="11" t="n">
        <x:f>K5849*'管线假设'!E1251*'管线假设'!F1251*'管线假设'!G1251*IF(E5849="USD",'管线假设'!I1251,1)-AM5849</x:f>
        <x:v>0</x:v>
      </x:c>
      <x:c r="M5849" s="11" t="n">
        <x:f>'管线假设'!H1251</x:f>
        <x:v>0.14</x:v>
      </x:c>
      <x:c r="N5849" s="11" t="n">
        <x:f>IF(G5849,L5849*AN5849/(1+M5849)^F5849,0)</x:f>
        <x:v>0</x:v>
      </x:c>
      <x:c r="AJ5849" t="n">
        <x:v>0</x:v>
      </x:c>
      <x:c r="AK5849" t="n">
        <x:v>0</x:v>
      </x:c>
      <x:c r="AL5849" t="n">
        <x:v>0</x:v>
      </x:c>
      <x:c r="AM5849" t="n">
        <x:f>CHOOSE('假设'!$B$3,AJ5849,AK5849,AL5849)</x:f>
        <x:v>0</x:v>
      </x:c>
      <x:c r="AN5849" t="n">
        <x:v>1</x:v>
      </x:c>
    </x:row>
    <x:row r="5850" ht="23" customHeight="1">
      <x:c r="A5850" s="11" t="str">
        <x:v>688062.SH</x:v>
      </x:c>
      <x:c r="B5850" s="11" t="str">
        <x:v>三年</x:v>
      </x:c>
      <x:c r="C5850" s="11" t="str">
        <x:v>cdh17</x:v>
      </x:c>
      <x:c r="D5850" s="11" t="str">
        <x:v>2027-12-31</x:v>
      </x:c>
      <x:c r="E5850" s="11" t="str">
        <x:v>CNY</x:v>
      </x:c>
      <x:c r="F5850" s="11" t="n">
        <x:v>-1.7741273100616017</x:v>
      </x:c>
      <x:c r="G5850" s="26" t="b">
        <x:v>0</x:v>
      </x:c>
      <x:c r="H5850" s="16" t="n">
        <x:v>0</x:v>
      </x:c>
      <x:c r="I5850" s="16" t="n">
        <x:v>0</x:v>
      </x:c>
      <x:c r="J5850" s="16" t="n">
        <x:v>0</x:v>
      </x:c>
      <x:c r="K5850" s="11" t="n">
        <x:f>CHOOSE('假设'!$B$3,H5850,I5850,J5850)</x:f>
        <x:v>0</x:v>
      </x:c>
      <x:c r="L5850" s="11" t="n">
        <x:f>K5850*'管线假设'!E1255*'管线假设'!F1255*'管线假设'!G1255*IF(E5850="USD",'管线假设'!I1255,1)-AM5850</x:f>
        <x:v>0</x:v>
      </x:c>
      <x:c r="M5850" s="11" t="n">
        <x:f>'管线假设'!H1255</x:f>
        <x:v>0.14</x:v>
      </x:c>
      <x:c r="N5850" s="11" t="n">
        <x:f>IF(G5850,L5850*AN5850/(1+M5850)^F5850,0)</x:f>
        <x:v>0</x:v>
      </x:c>
      <x:c r="AJ5850" t="n">
        <x:v>0</x:v>
      </x:c>
      <x:c r="AK5850" t="n">
        <x:v>0</x:v>
      </x:c>
      <x:c r="AL5850" t="n">
        <x:v>0</x:v>
      </x:c>
      <x:c r="AM5850" t="n">
        <x:f>CHOOSE('假设'!$B$3,AJ5850,AK5850,AL5850)</x:f>
        <x:v>0</x:v>
      </x:c>
      <x:c r="AN5850" t="n">
        <x:v>1</x:v>
      </x:c>
    </x:row>
    <x:row r="5851" ht="23" customHeight="1">
      <x:c r="A5851" s="11" t="str">
        <x:v>688062.SH</x:v>
      </x:c>
      <x:c r="B5851" s="11" t="str">
        <x:v>三年</x:v>
      </x:c>
      <x:c r="C5851" s="11" t="str">
        <x:v>cdh17</x:v>
      </x:c>
      <x:c r="D5851" s="11" t="str">
        <x:v>2028-12-31</x:v>
      </x:c>
      <x:c r="E5851" s="11" t="str">
        <x:v>CNY</x:v>
      </x:c>
      <x:c r="F5851" s="11" t="n">
        <x:v>-0.7720739219712526</x:v>
      </x:c>
      <x:c r="G5851" s="26" t="b">
        <x:v>0</x:v>
      </x:c>
      <x:c r="H5851" s="16" t="n">
        <x:v>0</x:v>
      </x:c>
      <x:c r="I5851" s="16" t="n">
        <x:v>0</x:v>
      </x:c>
      <x:c r="J5851" s="16" t="n">
        <x:v>0</x:v>
      </x:c>
      <x:c r="K5851" s="11" t="n">
        <x:f>CHOOSE('假设'!$B$3,H5851,I5851,J5851)</x:f>
        <x:v>0</x:v>
      </x:c>
      <x:c r="L5851" s="11" t="n">
        <x:f>K5851*'管线假设'!E1255*'管线假设'!F1255*'管线假设'!G1255*IF(E5851="USD",'管线假设'!I1255,1)-AM5851</x:f>
        <x:v>0</x:v>
      </x:c>
      <x:c r="M5851" s="11" t="n">
        <x:f>'管线假设'!H1255</x:f>
        <x:v>0.14</x:v>
      </x:c>
      <x:c r="N5851" s="11" t="n">
        <x:f>IF(G5851,L5851*AN5851/(1+M5851)^F5851,0)</x:f>
        <x:v>0</x:v>
      </x:c>
      <x:c r="AJ5851" t="n">
        <x:v>0</x:v>
      </x:c>
      <x:c r="AK5851" t="n">
        <x:v>0</x:v>
      </x:c>
      <x:c r="AL5851" t="n">
        <x:v>0</x:v>
      </x:c>
      <x:c r="AM5851" t="n">
        <x:f>CHOOSE('假设'!$B$3,AJ5851,AK5851,AL5851)</x:f>
        <x:v>0</x:v>
      </x:c>
      <x:c r="AN5851" t="n">
        <x:v>1</x:v>
      </x:c>
    </x:row>
    <x:row r="5852" ht="23" customHeight="1">
      <x:c r="A5852" s="11" t="str">
        <x:v>688062.SH</x:v>
      </x:c>
      <x:c r="B5852" s="11" t="str">
        <x:v>三年</x:v>
      </x:c>
      <x:c r="C5852" s="11" t="str">
        <x:v>cdh17</x:v>
      </x:c>
      <x:c r="D5852" s="11" t="str">
        <x:v>2029-12-31</x:v>
      </x:c>
      <x:c r="E5852" s="11" t="str">
        <x:v>CNY</x:v>
      </x:c>
      <x:c r="F5852" s="11" t="n">
        <x:v>0.2272416153319644</x:v>
      </x:c>
      <x:c r="G5852" s="26" t="b">
        <x:v>1</x:v>
      </x:c>
      <x:c r="H5852" s="16" t="n">
        <x:v>0</x:v>
      </x:c>
      <x:c r="I5852" s="16" t="n">
        <x:v>0</x:v>
      </x:c>
      <x:c r="J5852" s="16" t="n">
        <x:v>0</x:v>
      </x:c>
      <x:c r="K5852" s="11" t="n">
        <x:f>CHOOSE('假设'!$B$3,H5852,I5852,J5852)</x:f>
        <x:v>0</x:v>
      </x:c>
      <x:c r="L5852" s="11" t="n">
        <x:f>K5852*'管线假设'!E1255*'管线假设'!F1255*'管线假设'!G1255*IF(E5852="USD",'管线假设'!I1255,1)-AM5852</x:f>
        <x:v>0</x:v>
      </x:c>
      <x:c r="M5852" s="11" t="n">
        <x:f>'管线假设'!H1255</x:f>
        <x:v>0.14</x:v>
      </x:c>
      <x:c r="N5852" s="11" t="n">
        <x:f>IF(G5852,L5852*AN5852/(1+M5852)^F5852,0)</x:f>
        <x:v>0</x:v>
      </x:c>
      <x:c r="AJ5852" t="n">
        <x:v>0</x:v>
      </x:c>
      <x:c r="AK5852" t="n">
        <x:v>0</x:v>
      </x:c>
      <x:c r="AL5852" t="n">
        <x:v>0</x:v>
      </x:c>
      <x:c r="AM5852" t="n">
        <x:f>CHOOSE('假设'!$B$3,AJ5852,AK5852,AL5852)</x:f>
        <x:v>0</x:v>
      </x:c>
      <x:c r="AN5852" t="n">
        <x:v>1</x:v>
      </x:c>
    </x:row>
    <x:row r="5853" ht="23" customHeight="1">
      <x:c r="A5853" s="11" t="str">
        <x:v>688062.SH</x:v>
      </x:c>
      <x:c r="B5853" s="11" t="str">
        <x:v>三年</x:v>
      </x:c>
      <x:c r="C5853" s="11" t="str">
        <x:v>cdh17</x:v>
      </x:c>
      <x:c r="D5853" s="11" t="str">
        <x:v>2030-12-31</x:v>
      </x:c>
      <x:c r="E5853" s="11" t="str">
        <x:v>CNY</x:v>
      </x:c>
      <x:c r="F5853" s="11" t="n">
        <x:v>1.2265571526351813</x:v>
      </x:c>
      <x:c r="G5853" s="26" t="b">
        <x:v>1</x:v>
      </x:c>
      <x:c r="H5853" s="16" t="n">
        <x:v>0</x:v>
      </x:c>
      <x:c r="I5853" s="16" t="n">
        <x:v>0</x:v>
      </x:c>
      <x:c r="J5853" s="16" t="n">
        <x:v>0</x:v>
      </x:c>
      <x:c r="K5853" s="11" t="n">
        <x:f>CHOOSE('假设'!$B$3,H5853,I5853,J5853)</x:f>
        <x:v>0</x:v>
      </x:c>
      <x:c r="L5853" s="11" t="n">
        <x:f>K5853*'管线假设'!E1255*'管线假设'!F1255*'管线假设'!G1255*IF(E5853="USD",'管线假设'!I1255,1)-AM5853</x:f>
        <x:v>0</x:v>
      </x:c>
      <x:c r="M5853" s="11" t="n">
        <x:f>'管线假设'!H1255</x:f>
        <x:v>0.14</x:v>
      </x:c>
      <x:c r="N5853" s="11" t="n">
        <x:f>IF(G5853,L5853*AN5853/(1+M5853)^F5853,0)</x:f>
        <x:v>0</x:v>
      </x:c>
      <x:c r="AJ5853" t="n">
        <x:v>0</x:v>
      </x:c>
      <x:c r="AK5853" t="n">
        <x:v>0</x:v>
      </x:c>
      <x:c r="AL5853" t="n">
        <x:v>0</x:v>
      </x:c>
      <x:c r="AM5853" t="n">
        <x:f>CHOOSE('假设'!$B$3,AJ5853,AK5853,AL5853)</x:f>
        <x:v>0</x:v>
      </x:c>
      <x:c r="AN5853" t="n">
        <x:v>1</x:v>
      </x:c>
    </x:row>
    <x:row r="5854" ht="23" customHeight="1">
      <x:c r="A5854" s="11" t="str">
        <x:v>688062.SH</x:v>
      </x:c>
      <x:c r="B5854" s="11" t="str">
        <x:v>三年</x:v>
      </x:c>
      <x:c r="C5854" s="11" t="str">
        <x:v>cdh17</x:v>
      </x:c>
      <x:c r="D5854" s="11" t="str">
        <x:v>2031-12-31</x:v>
      </x:c>
      <x:c r="E5854" s="11" t="str">
        <x:v>CNY</x:v>
      </x:c>
      <x:c r="F5854" s="11" t="n">
        <x:v>2.2258726899383983</x:v>
      </x:c>
      <x:c r="G5854" s="26" t="b">
        <x:v>1</x:v>
      </x:c>
      <x:c r="H5854" s="16" t="n">
        <x:v>0</x:v>
      </x:c>
      <x:c r="I5854" s="16" t="n">
        <x:v>0</x:v>
      </x:c>
      <x:c r="J5854" s="16" t="n">
        <x:v>0.6000000000000001</x:v>
      </x:c>
      <x:c r="K5854" s="11" t="n">
        <x:f>CHOOSE('假设'!$B$3,H5854,I5854,J5854)</x:f>
        <x:v>0</x:v>
      </x:c>
      <x:c r="L5854" s="11" t="n">
        <x:f>K5854*'管线假设'!E1255*'管线假设'!F1255*'管线假设'!G1255*IF(E5854="USD",'管线假设'!I1255,1)-AM5854</x:f>
        <x:v>0</x:v>
      </x:c>
      <x:c r="M5854" s="11" t="n">
        <x:f>'管线假设'!H1255</x:f>
        <x:v>0.14</x:v>
      </x:c>
      <x:c r="N5854" s="11" t="n">
        <x:f>IF(G5854,L5854*AN5854/(1+M5854)^F5854,0)</x:f>
        <x:v>0</x:v>
      </x:c>
      <x:c r="AJ5854" t="n">
        <x:v>0</x:v>
      </x:c>
      <x:c r="AK5854" t="n">
        <x:v>0</x:v>
      </x:c>
      <x:c r="AL5854" t="n">
        <x:v>0</x:v>
      </x:c>
      <x:c r="AM5854" t="n">
        <x:f>CHOOSE('假设'!$B$3,AJ5854,AK5854,AL5854)</x:f>
        <x:v>0</x:v>
      </x:c>
      <x:c r="AN5854" t="n">
        <x:v>1</x:v>
      </x:c>
    </x:row>
    <x:row r="5855" ht="23" customHeight="1">
      <x:c r="A5855" s="11" t="str">
        <x:v>688062.SH</x:v>
      </x:c>
      <x:c r="B5855" s="11" t="str">
        <x:v>三年</x:v>
      </x:c>
      <x:c r="C5855" s="11" t="str">
        <x:v>cdh17</x:v>
      </x:c>
      <x:c r="D5855" s="11" t="str">
        <x:v>2032-12-31</x:v>
      </x:c>
      <x:c r="E5855" s="11" t="str">
        <x:v>CNY</x:v>
      </x:c>
      <x:c r="F5855" s="11" t="n">
        <x:v>3.2279260780287475</x:v>
      </x:c>
      <x:c r="G5855" s="26" t="b">
        <x:v>1</x:v>
      </x:c>
      <x:c r="H5855" s="16" t="n">
        <x:v>0</x:v>
      </x:c>
      <x:c r="I5855" s="16" t="n">
        <x:v>0</x:v>
      </x:c>
      <x:c r="J5855" s="16" t="n">
        <x:v>1.2000000000000002</x:v>
      </x:c>
      <x:c r="K5855" s="11" t="n">
        <x:f>CHOOSE('假设'!$B$3,H5855,I5855,J5855)</x:f>
        <x:v>0</x:v>
      </x:c>
      <x:c r="L5855" s="11" t="n">
        <x:f>K5855*'管线假设'!E1255*'管线假设'!F1255*'管线假设'!G1255*IF(E5855="USD",'管线假设'!I1255,1)-AM5855</x:f>
        <x:v>0</x:v>
      </x:c>
      <x:c r="M5855" s="11" t="n">
        <x:f>'管线假设'!H1255</x:f>
        <x:v>0.14</x:v>
      </x:c>
      <x:c r="N5855" s="11" t="n">
        <x:f>IF(G5855,L5855*AN5855/(1+M5855)^F5855,0)</x:f>
        <x:v>0</x:v>
      </x:c>
      <x:c r="AJ5855" t="n">
        <x:v>0</x:v>
      </x:c>
      <x:c r="AK5855" t="n">
        <x:v>0</x:v>
      </x:c>
      <x:c r="AL5855" t="n">
        <x:v>0</x:v>
      </x:c>
      <x:c r="AM5855" t="n">
        <x:f>CHOOSE('假设'!$B$3,AJ5855,AK5855,AL5855)</x:f>
        <x:v>0</x:v>
      </x:c>
      <x:c r="AN5855" t="n">
        <x:v>1</x:v>
      </x:c>
    </x:row>
    <x:row r="5856" ht="23" customHeight="1">
      <x:c r="A5856" s="11" t="str">
        <x:v>688062.SH</x:v>
      </x:c>
      <x:c r="B5856" s="11" t="str">
        <x:v>三年</x:v>
      </x:c>
      <x:c r="C5856" s="11" t="str">
        <x:v>cdh17</x:v>
      </x:c>
      <x:c r="D5856" s="11" t="str">
        <x:v>2033-12-31</x:v>
      </x:c>
      <x:c r="E5856" s="11" t="str">
        <x:v>CNY</x:v>
      </x:c>
      <x:c r="F5856" s="11" t="n">
        <x:v>4.227241615331964</x:v>
      </x:c>
      <x:c r="G5856" s="26" t="b">
        <x:v>1</x:v>
      </x:c>
      <x:c r="H5856" s="16" t="n">
        <x:v>0</x:v>
      </x:c>
      <x:c r="I5856" s="16" t="n">
        <x:v>0.30000000000000004</x:v>
      </x:c>
      <x:c r="J5856" s="16" t="n">
        <x:v>1.7999999999999998</x:v>
      </x:c>
      <x:c r="K5856" s="11" t="n">
        <x:f>CHOOSE('假设'!$B$3,H5856,I5856,J5856)</x:f>
        <x:v>0.30000000000000004</x:v>
      </x:c>
      <x:c r="L5856" s="11" t="n">
        <x:f>K5856*'管线假设'!E1255*'管线假设'!F1255*'管线假设'!G1255*IF(E5856="USD",'管线假设'!I1255,1)-AM5856</x:f>
        <x:v>0.023580000000000004</x:v>
      </x:c>
      <x:c r="M5856" s="11" t="n">
        <x:f>'管线假设'!H1255</x:f>
        <x:v>0.14</x:v>
      </x:c>
      <x:c r="N5856" s="11" t="n">
        <x:f>IF(G5856,L5856*AN5856/(1+M5856)^F5856,0)</x:f>
        <x:v>0.013551683341847528</x:v>
      </x:c>
      <x:c r="AJ5856" t="n">
        <x:v>0</x:v>
      </x:c>
      <x:c r="AK5856" t="n">
        <x:v>0</x:v>
      </x:c>
      <x:c r="AL5856" t="n">
        <x:v>0</x:v>
      </x:c>
      <x:c r="AM5856" t="n">
        <x:f>CHOOSE('假设'!$B$3,AJ5856,AK5856,AL5856)</x:f>
        <x:v>0</x:v>
      </x:c>
      <x:c r="AN5856" t="n">
        <x:v>1</x:v>
      </x:c>
    </x:row>
    <x:row r="5857" ht="23" customHeight="1">
      <x:c r="A5857" s="11" t="str">
        <x:v>688062.SH</x:v>
      </x:c>
      <x:c r="B5857" s="11" t="str">
        <x:v>三年</x:v>
      </x:c>
      <x:c r="C5857" s="11" t="str">
        <x:v>cdh17</x:v>
      </x:c>
      <x:c r="D5857" s="11" t="str">
        <x:v>2034-12-31</x:v>
      </x:c>
      <x:c r="E5857" s="11" t="str">
        <x:v>CNY</x:v>
      </x:c>
      <x:c r="F5857" s="11" t="n">
        <x:v>5.2265571526351815</x:v>
      </x:c>
      <x:c r="G5857" s="26" t="b">
        <x:v>1</x:v>
      </x:c>
      <x:c r="H5857" s="16" t="n">
        <x:v>0</x:v>
      </x:c>
      <x:c r="I5857" s="16" t="n">
        <x:v>0.6000000000000001</x:v>
      </x:c>
      <x:c r="J5857" s="16" t="n">
        <x:v>2.4000000000000004</x:v>
      </x:c>
      <x:c r="K5857" s="11" t="n">
        <x:f>CHOOSE('假设'!$B$3,H5857,I5857,J5857)</x:f>
        <x:v>0.6000000000000001</x:v>
      </x:c>
      <x:c r="L5857" s="11" t="n">
        <x:f>K5857*'管线假设'!E1255*'管线假设'!F1255*'管线假设'!G1255*IF(E5857="USD",'管线假设'!I1255,1)-AM5857</x:f>
        <x:v>0.04716000000000001</x:v>
      </x:c>
      <x:c r="M5857" s="11" t="n">
        <x:f>'管线假设'!H1255</x:f>
        <x:v>0.14</x:v>
      </x:c>
      <x:c r="N5857" s="11" t="n">
        <x:f>IF(G5857,L5857*AN5857/(1+M5857)^F5857,0)</x:f>
        <x:v>0.023777015377098597</x:v>
      </x:c>
      <x:c r="AJ5857" t="n">
        <x:v>0</x:v>
      </x:c>
      <x:c r="AK5857" t="n">
        <x:v>0</x:v>
      </x:c>
      <x:c r="AL5857" t="n">
        <x:v>0</x:v>
      </x:c>
      <x:c r="AM5857" t="n">
        <x:f>CHOOSE('假设'!$B$3,AJ5857,AK5857,AL5857)</x:f>
        <x:v>0</x:v>
      </x:c>
      <x:c r="AN5857" t="n">
        <x:v>1</x:v>
      </x:c>
    </x:row>
    <x:row r="5858" ht="23" customHeight="1">
      <x:c r="A5858" s="11" t="str">
        <x:v>688062.SH</x:v>
      </x:c>
      <x:c r="B5858" s="11" t="str">
        <x:v>三年</x:v>
      </x:c>
      <x:c r="C5858" s="11" t="str">
        <x:v>cdh17</x:v>
      </x:c>
      <x:c r="D5858" s="11" t="str">
        <x:v>2035-12-31</x:v>
      </x:c>
      <x:c r="E5858" s="11" t="str">
        <x:v>CNY</x:v>
      </x:c>
      <x:c r="F5858" s="11" t="n">
        <x:v>6.225872689938399</x:v>
      </x:c>
      <x:c r="G5858" s="26" t="b">
        <x:v>1</x:v>
      </x:c>
      <x:c r="H5858" s="16" t="n">
        <x:v>0.1</x:v>
      </x:c>
      <x:c r="I5858" s="16" t="n">
        <x:v>0.8999999999999999</x:v>
      </x:c>
      <x:c r="J5858" s="16" t="n">
        <x:v>3</x:v>
      </x:c>
      <x:c r="K5858" s="11" t="n">
        <x:f>CHOOSE('假设'!$B$3,H5858,I5858,J5858)</x:f>
        <x:v>0.8999999999999999</x:v>
      </x:c>
      <x:c r="L5858" s="11" t="n">
        <x:f>K5858*'管线假设'!E1255*'管线假设'!F1255*'管线假设'!G1255*IF(E5858="USD",'管线假设'!I1255,1)-AM5858</x:f>
        <x:v>0.07074</x:v>
      </x:c>
      <x:c r="M5858" s="11" t="n">
        <x:f>'管线假设'!H1255</x:f>
        <x:v>0.14</x:v>
      </x:c>
      <x:c r="N5858" s="11" t="n">
        <x:f>IF(G5858,L5858*AN5858/(1+M5858)^F5858,0)</x:f>
        <x:v>0.03128835248627357</x:v>
      </x:c>
      <x:c r="AJ5858" t="n">
        <x:v>0</x:v>
      </x:c>
      <x:c r="AK5858" t="n">
        <x:v>0</x:v>
      </x:c>
      <x:c r="AL5858" t="n">
        <x:v>0</x:v>
      </x:c>
      <x:c r="AM5858" t="n">
        <x:f>CHOOSE('假设'!$B$3,AJ5858,AK5858,AL5858)</x:f>
        <x:v>0</x:v>
      </x:c>
      <x:c r="AN5858" t="n">
        <x:v>1</x:v>
      </x:c>
    </x:row>
    <x:row r="5859" ht="23" customHeight="1">
      <x:c r="A5859" s="11" t="str">
        <x:v>688062.SH</x:v>
      </x:c>
      <x:c r="B5859" s="11" t="str">
        <x:v>三年</x:v>
      </x:c>
      <x:c r="C5859" s="11" t="str">
        <x:v>cdh17</x:v>
      </x:c>
      <x:c r="D5859" s="11" t="str">
        <x:v>2036-12-31</x:v>
      </x:c>
      <x:c r="E5859" s="11" t="str">
        <x:v>CNY</x:v>
      </x:c>
      <x:c r="F5859" s="11" t="n">
        <x:v>7.227926078028747</x:v>
      </x:c>
      <x:c r="G5859" s="26" t="b">
        <x:v>1</x:v>
      </x:c>
      <x:c r="H5859" s="16" t="n">
        <x:v>0.2</x:v>
      </x:c>
      <x:c r="I5859" s="16" t="n">
        <x:v>1.2000000000000002</x:v>
      </x:c>
      <x:c r="J5859" s="16" t="n">
        <x:v>2.61</x:v>
      </x:c>
      <x:c r="K5859" s="11" t="n">
        <x:f>CHOOSE('假设'!$B$3,H5859,I5859,J5859)</x:f>
        <x:v>1.2000000000000002</x:v>
      </x:c>
      <x:c r="L5859" s="11" t="n">
        <x:f>K5859*'管线假设'!E1255*'管线假设'!F1255*'管线假设'!G1255*IF(E5859="USD",'管线假设'!I1255,1)-AM5859</x:f>
        <x:v>0.09432000000000001</x:v>
      </x:c>
      <x:c r="M5859" s="11" t="n">
        <x:f>'管线假设'!H1255</x:f>
        <x:v>0.14</x:v>
      </x:c>
      <x:c r="N5859" s="11" t="n">
        <x:f>IF(G5859,L5859*AN5859/(1+M5859)^F5859,0)</x:f>
        <x:v>0.03658471979974382</x:v>
      </x:c>
      <x:c r="AJ5859" t="n">
        <x:v>0</x:v>
      </x:c>
      <x:c r="AK5859" t="n">
        <x:v>0</x:v>
      </x:c>
      <x:c r="AL5859" t="n">
        <x:v>0</x:v>
      </x:c>
      <x:c r="AM5859" t="n">
        <x:f>CHOOSE('假设'!$B$3,AJ5859,AK5859,AL5859)</x:f>
        <x:v>0</x:v>
      </x:c>
      <x:c r="AN5859" t="n">
        <x:v>1</x:v>
      </x:c>
    </x:row>
    <x:row r="5860" ht="23" customHeight="1">
      <x:c r="A5860" s="11" t="str">
        <x:v>688062.SH</x:v>
      </x:c>
      <x:c r="B5860" s="11" t="str">
        <x:v>三年</x:v>
      </x:c>
      <x:c r="C5860" s="11" t="str">
        <x:v>cdh17</x:v>
      </x:c>
      <x:c r="D5860" s="11" t="str">
        <x:v>2037-12-31</x:v>
      </x:c>
      <x:c r="E5860" s="11" t="str">
        <x:v>CNY</x:v>
      </x:c>
      <x:c r="F5860" s="11" t="n">
        <x:v>8.227241615331964</x:v>
      </x:c>
      <x:c r="G5860" s="26" t="b">
        <x:v>1</x:v>
      </x:c>
      <x:c r="H5860" s="16" t="n">
        <x:v>0.3</x:v>
      </x:c>
      <x:c r="I5860" s="16" t="n">
        <x:v>1.5</x:v>
      </x:c>
      <x:c r="J5860" s="16" t="n">
        <x:v>2.2199999999999998</x:v>
      </x:c>
      <x:c r="K5860" s="11" t="n">
        <x:f>CHOOSE('假设'!$B$3,H5860,I5860,J5860)</x:f>
        <x:v>1.5</x:v>
      </x:c>
      <x:c r="L5860" s="11" t="n">
        <x:f>K5860*'管线假设'!E1255*'管线假设'!F1255*'管线假设'!G1255*IF(E5860="USD",'管线假设'!I1255,1)-AM5860</x:f>
        <x:v>0.1179</x:v>
      </x:c>
      <x:c r="M5860" s="11" t="n">
        <x:f>'管线假设'!H1255</x:f>
        <x:v>0.14</x:v>
      </x:c>
      <x:c r="N5860" s="11" t="n">
        <x:f>IF(G5860,L5860*AN5860/(1+M5860)^F5860,0)</x:f>
        <x:v>0.040118422159370296</x:v>
      </x:c>
      <x:c r="AJ5860" t="n">
        <x:v>0</x:v>
      </x:c>
      <x:c r="AK5860" t="n">
        <x:v>0</x:v>
      </x:c>
      <x:c r="AL5860" t="n">
        <x:v>0</x:v>
      </x:c>
      <x:c r="AM5860" t="n">
        <x:f>CHOOSE('假设'!$B$3,AJ5860,AK5860,AL5860)</x:f>
        <x:v>0</x:v>
      </x:c>
      <x:c r="AN5860" t="n">
        <x:v>1</x:v>
      </x:c>
    </x:row>
    <x:row r="5861" ht="23" customHeight="1">
      <x:c r="A5861" s="11" t="str">
        <x:v>688062.SH</x:v>
      </x:c>
      <x:c r="B5861" s="11" t="str">
        <x:v>三年</x:v>
      </x:c>
      <x:c r="C5861" s="11" t="str">
        <x:v>cdh17</x:v>
      </x:c>
      <x:c r="D5861" s="11" t="str">
        <x:v>2038-12-31</x:v>
      </x:c>
      <x:c r="E5861" s="11" t="str">
        <x:v>CNY</x:v>
      </x:c>
      <x:c r="F5861" s="11" t="n">
        <x:v>9.22655715263518</x:v>
      </x:c>
      <x:c r="G5861" s="26" t="b">
        <x:v>1</x:v>
      </x:c>
      <x:c r="H5861" s="16" t="n">
        <x:v>0.4</x:v>
      </x:c>
      <x:c r="I5861" s="16" t="n">
        <x:v>1.305</x:v>
      </x:c>
      <x:c r="J5861" s="16" t="n">
        <x:v>1.83</x:v>
      </x:c>
      <x:c r="K5861" s="11" t="n">
        <x:f>CHOOSE('假设'!$B$3,H5861,I5861,J5861)</x:f>
        <x:v>1.305</x:v>
      </x:c>
      <x:c r="L5861" s="11" t="n">
        <x:f>K5861*'管线假设'!E1255*'管线假设'!F1255*'管线假设'!G1255*IF(E5861="USD",'管线假设'!I1255,1)-AM5861</x:f>
        <x:v>0.102573</x:v>
      </x:c>
      <x:c r="M5861" s="11" t="n">
        <x:f>'管线假设'!H1255</x:f>
        <x:v>0.14</x:v>
      </x:c>
      <x:c r="N5861" s="11" t="n">
        <x:f>IF(G5861,L5861*AN5861/(1+M5861)^F5861,0)</x:f>
        <x:v>0.030619436544429456</x:v>
      </x:c>
      <x:c r="AJ5861" t="n">
        <x:v>0</x:v>
      </x:c>
      <x:c r="AK5861" t="n">
        <x:v>0</x:v>
      </x:c>
      <x:c r="AL5861" t="n">
        <x:v>0</x:v>
      </x:c>
      <x:c r="AM5861" t="n">
        <x:f>CHOOSE('假设'!$B$3,AJ5861,AK5861,AL5861)</x:f>
        <x:v>0</x:v>
      </x:c>
      <x:c r="AN5861" t="n">
        <x:v>1</x:v>
      </x:c>
    </x:row>
    <x:row r="5862" ht="23" customHeight="1">
      <x:c r="A5862" s="11" t="str">
        <x:v>688062.SH</x:v>
      </x:c>
      <x:c r="B5862" s="11" t="str">
        <x:v>三年</x:v>
      </x:c>
      <x:c r="C5862" s="11" t="str">
        <x:v>cdh17</x:v>
      </x:c>
      <x:c r="D5862" s="11" t="str">
        <x:v>2039-12-31</x:v>
      </x:c>
      <x:c r="E5862" s="11" t="str">
        <x:v>CNY</x:v>
      </x:c>
      <x:c r="F5862" s="11" t="n">
        <x:v>10.225872689938399</x:v>
      </x:c>
      <x:c r="G5862" s="26" t="b">
        <x:v>1</x:v>
      </x:c>
      <x:c r="H5862" s="16" t="n">
        <x:v>0.5</x:v>
      </x:c>
      <x:c r="I5862" s="16" t="n">
        <x:v>1.1099999999999999</x:v>
      </x:c>
      <x:c r="J5862" s="16" t="n">
        <x:v>1.44</x:v>
      </x:c>
      <x:c r="K5862" s="11" t="n">
        <x:f>CHOOSE('假设'!$B$3,H5862,I5862,J5862)</x:f>
        <x:v>1.1099999999999999</x:v>
      </x:c>
      <x:c r="L5862" s="11" t="n">
        <x:f>K5862*'管线假设'!E1255*'管线假设'!F1255*'管线假设'!G1255*IF(E5862="USD",'管线假设'!I1255,1)-AM5862</x:f>
        <x:v>0.08724599999999999</x:v>
      </x:c>
      <x:c r="M5862" s="11" t="n">
        <x:f>'管线假设'!H1255</x:f>
        <x:v>0.14</x:v>
      </x:c>
      <x:c r="N5862" s="11" t="n">
        <x:f>IF(G5862,L5862*AN5862/(1+M5862)^F5862,0)</x:f>
        <x:v>0.022847766916185907</x:v>
      </x:c>
      <x:c r="AJ5862" t="n">
        <x:v>0</x:v>
      </x:c>
      <x:c r="AK5862" t="n">
        <x:v>0</x:v>
      </x:c>
      <x:c r="AL5862" t="n">
        <x:v>0</x:v>
      </x:c>
      <x:c r="AM5862" t="n">
        <x:f>CHOOSE('假设'!$B$3,AJ5862,AK5862,AL5862)</x:f>
        <x:v>0</x:v>
      </x:c>
      <x:c r="AN5862" t="n">
        <x:v>1</x:v>
      </x:c>
    </x:row>
    <x:row r="5863" ht="23" customHeight="1">
      <x:c r="A5863" s="11" t="str">
        <x:v>688062.SH</x:v>
      </x:c>
      <x:c r="B5863" s="11" t="str">
        <x:v>三年</x:v>
      </x:c>
      <x:c r="C5863" s="11" t="str">
        <x:v>cdh17</x:v>
      </x:c>
      <x:c r="D5863" s="11" t="str">
        <x:v>2040-12-31</x:v>
      </x:c>
      <x:c r="E5863" s="11" t="str">
        <x:v>CNY</x:v>
      </x:c>
      <x:c r="F5863" s="11" t="n">
        <x:v>11.227926078028748</x:v>
      </x:c>
      <x:c r="G5863" s="26" t="b">
        <x:v>1</x:v>
      </x:c>
      <x:c r="H5863" s="16" t="n">
        <x:v>0.435</x:v>
      </x:c>
      <x:c r="I5863" s="16" t="n">
        <x:v>0.915</x:v>
      </x:c>
      <x:c r="J5863" s="16" t="n">
        <x:v>1.0499999999999998</x:v>
      </x:c>
      <x:c r="K5863" s="11" t="n">
        <x:f>CHOOSE('假设'!$B$3,H5863,I5863,J5863)</x:f>
        <x:v>0.915</x:v>
      </x:c>
      <x:c r="L5863" s="11" t="n">
        <x:f>K5863*'管线假设'!E1255*'管线假设'!F1255*'管线假设'!G1255*IF(E5863="USD",'管线假设'!I1255,1)-AM5863</x:f>
        <x:v>0.07191900000000001</x:v>
      </x:c>
      <x:c r="M5863" s="11" t="n">
        <x:f>'管线假设'!H1255</x:f>
        <x:v>0.14</x:v>
      </x:c>
      <x:c r="N5863" s="11" t="n">
        <x:f>IF(G5863,L5863*AN5863/(1+M5863)^F5863,0)</x:f>
        <x:v>0.016516581922989024</x:v>
      </x:c>
      <x:c r="AJ5863" t="n">
        <x:v>0</x:v>
      </x:c>
      <x:c r="AK5863" t="n">
        <x:v>0</x:v>
      </x:c>
      <x:c r="AL5863" t="n">
        <x:v>0</x:v>
      </x:c>
      <x:c r="AM5863" t="n">
        <x:f>CHOOSE('假设'!$B$3,AJ5863,AK5863,AL5863)</x:f>
        <x:v>0</x:v>
      </x:c>
      <x:c r="AN5863" t="n">
        <x:v>1</x:v>
      </x:c>
    </x:row>
    <x:row r="5864" ht="23" customHeight="1">
      <x:c r="A5864" s="11" t="str">
        <x:v>688062.SH</x:v>
      </x:c>
      <x:c r="B5864" s="11" t="str">
        <x:v>三年</x:v>
      </x:c>
      <x:c r="C5864" s="11" t="str">
        <x:v>cdh17</x:v>
      </x:c>
      <x:c r="D5864" s="11" t="str">
        <x:v>2041-12-31</x:v>
      </x:c>
      <x:c r="E5864" s="11" t="str">
        <x:v>CNY</x:v>
      </x:c>
      <x:c r="F5864" s="11" t="n">
        <x:v>12.227241615331964</x:v>
      </x:c>
      <x:c r="G5864" s="26" t="b">
        <x:v>1</x:v>
      </x:c>
      <x:c r="H5864" s="16" t="n">
        <x:v>0.37</x:v>
      </x:c>
      <x:c r="I5864" s="16" t="n">
        <x:v>0.72</x:v>
      </x:c>
      <x:c r="J5864" s="16" t="n">
        <x:v>0.6599999999999999</x:v>
      </x:c>
      <x:c r="K5864" s="11" t="n">
        <x:f>CHOOSE('假设'!$B$3,H5864,I5864,J5864)</x:f>
        <x:v>0.72</x:v>
      </x:c>
      <x:c r="L5864" s="11" t="n">
        <x:f>K5864*'管线假设'!E1255*'管线假设'!F1255*'管线假设'!G1255*IF(E5864="USD",'管线假设'!I1255,1)-AM5864</x:f>
        <x:v>0.056591999999999996</x:v>
      </x:c>
      <x:c r="M5864" s="11" t="n">
        <x:f>'管线假设'!H1255</x:f>
        <x:v>0.14</x:v>
      </x:c>
      <x:c r="N5864" s="11" t="n">
        <x:f>IF(G5864,L5864*AN5864/(1+M5864)^F5864,0)</x:f>
        <x:v>0.011401596729491674</x:v>
      </x:c>
      <x:c r="AJ5864" t="n">
        <x:v>0</x:v>
      </x:c>
      <x:c r="AK5864" t="n">
        <x:v>0</x:v>
      </x:c>
      <x:c r="AL5864" t="n">
        <x:v>0</x:v>
      </x:c>
      <x:c r="AM5864" t="n">
        <x:f>CHOOSE('假设'!$B$3,AJ5864,AK5864,AL5864)</x:f>
        <x:v>0</x:v>
      </x:c>
      <x:c r="AN5864" t="n">
        <x:v>1</x:v>
      </x:c>
    </x:row>
    <x:row r="5865" ht="23" customHeight="1">
      <x:c r="A5865" s="11" t="str">
        <x:v>688062.SH</x:v>
      </x:c>
      <x:c r="B5865" s="11" t="str">
        <x:v>三年</x:v>
      </x:c>
      <x:c r="C5865" s="11" t="str">
        <x:v>cdh17</x:v>
      </x:c>
      <x:c r="D5865" s="11" t="str">
        <x:v>2042-12-31</x:v>
      </x:c>
      <x:c r="E5865" s="11" t="str">
        <x:v>CNY</x:v>
      </x:c>
      <x:c r="F5865" s="11" t="n">
        <x:v>13.22655715263518</x:v>
      </x:c>
      <x:c r="G5865" s="26" t="b">
        <x:v>1</x:v>
      </x:c>
      <x:c r="H5865" s="16" t="n">
        <x:v>0.305</x:v>
      </x:c>
      <x:c r="I5865" s="16" t="n">
        <x:v>0.5249999999999999</x:v>
      </x:c>
      <x:c r="J5865" s="16" t="n">
        <x:v>0.2699999999999999</x:v>
      </x:c>
      <x:c r="K5865" s="11" t="n">
        <x:f>CHOOSE('假设'!$B$3,H5865,I5865,J5865)</x:f>
        <x:v>0.5249999999999999</x:v>
      </x:c>
      <x:c r="L5865" s="11" t="n">
        <x:f>K5865*'管线假设'!E1255*'管线假设'!F1255*'管线假设'!G1255*IF(E5865="USD",'管线假设'!I1255,1)-AM5865</x:f>
        <x:v>0.04126499999999999</x:v>
      </x:c>
      <x:c r="M5865" s="11" t="n">
        <x:f>'管线假设'!H1255</x:f>
        <x:v>0.14</x:v>
      </x:c>
      <x:c r="N5865" s="11" t="n">
        <x:f>IF(G5865,L5865*AN5865/(1+M5865)^F5865,0)</x:f>
        <x:v>0.00729334203304672</x:v>
      </x:c>
      <x:c r="AJ5865" t="n">
        <x:v>0</x:v>
      </x:c>
      <x:c r="AK5865" t="n">
        <x:v>0</x:v>
      </x:c>
      <x:c r="AL5865" t="n">
        <x:v>0</x:v>
      </x:c>
      <x:c r="AM5865" t="n">
        <x:f>CHOOSE('假设'!$B$3,AJ5865,AK5865,AL5865)</x:f>
        <x:v>0</x:v>
      </x:c>
      <x:c r="AN5865" t="n">
        <x:v>1</x:v>
      </x:c>
    </x:row>
    <x:row r="5866" ht="23" customHeight="1">
      <x:c r="A5866" s="11" t="str">
        <x:v>688062.SH</x:v>
      </x:c>
      <x:c r="B5866" s="11" t="str">
        <x:v>三年</x:v>
      </x:c>
      <x:c r="C5866" s="11" t="str">
        <x:v>cdh17</x:v>
      </x:c>
      <x:c r="D5866" s="11" t="str">
        <x:v>2043-12-31</x:v>
      </x:c>
      <x:c r="E5866" s="11" t="str">
        <x:v>CNY</x:v>
      </x:c>
      <x:c r="F5866" s="11" t="n">
        <x:v>14.225872689938399</x:v>
      </x:c>
      <x:c r="G5866" s="26" t="b">
        <x:v>1</x:v>
      </x:c>
      <x:c r="H5866" s="16" t="n">
        <x:v>0.24</x:v>
      </x:c>
      <x:c r="I5866" s="16" t="n">
        <x:v>0.32999999999999996</x:v>
      </x:c>
      <x:c r="J5866" s="16" t="n">
        <x:v>0</x:v>
      </x:c>
      <x:c r="K5866" s="11" t="n">
        <x:f>CHOOSE('假设'!$B$3,H5866,I5866,J5866)</x:f>
        <x:v>0.32999999999999996</x:v>
      </x:c>
      <x:c r="L5866" s="11" t="n">
        <x:f>K5866*'管线假设'!E1255*'管线假设'!F1255*'管线假设'!G1255*IF(E5866="USD",'管线假设'!I1255,1)-AM5866</x:f>
        <x:v>0.025938</x:v>
      </x:c>
      <x:c r="M5866" s="11" t="n">
        <x:f>'管线假设'!H1255</x:f>
        <x:v>0.14</x:v>
      </x:c>
      <x:c r="N5866" s="11" t="n">
        <x:f>IF(G5866,L5866*AN5866/(1+M5866)^F5866,0)</x:f>
        <x:v>0.004021752267656019</x:v>
      </x:c>
      <x:c r="AJ5866" t="n">
        <x:v>0</x:v>
      </x:c>
      <x:c r="AK5866" t="n">
        <x:v>0</x:v>
      </x:c>
      <x:c r="AL5866" t="n">
        <x:v>0</x:v>
      </x:c>
      <x:c r="AM5866" t="n">
        <x:f>CHOOSE('假设'!$B$3,AJ5866,AK5866,AL5866)</x:f>
        <x:v>0</x:v>
      </x:c>
      <x:c r="AN5866" t="n">
        <x:v>1</x:v>
      </x:c>
    </x:row>
    <x:row r="5867" ht="23" customHeight="1">
      <x:c r="A5867" s="11" t="str">
        <x:v>688062.SH</x:v>
      </x:c>
      <x:c r="B5867" s="11" t="str">
        <x:v>三年</x:v>
      </x:c>
      <x:c r="C5867" s="11" t="str">
        <x:v>cdh17</x:v>
      </x:c>
      <x:c r="D5867" s="11" t="str">
        <x:v>2044-12-31</x:v>
      </x:c>
      <x:c r="E5867" s="11" t="str">
        <x:v>CNY</x:v>
      </x:c>
      <x:c r="F5867" s="11" t="n">
        <x:v>15.227926078028748</x:v>
      </x:c>
      <x:c r="G5867" s="26" t="b">
        <x:v>1</x:v>
      </x:c>
      <x:c r="H5867" s="16" t="n">
        <x:v>0.175</x:v>
      </x:c>
      <x:c r="I5867" s="16" t="n">
        <x:v>0.13499999999999995</x:v>
      </x:c>
      <x:c r="J5867" s="16" t="n">
        <x:v>0</x:v>
      </x:c>
      <x:c r="K5867" s="11" t="n">
        <x:f>CHOOSE('假设'!$B$3,H5867,I5867,J5867)</x:f>
        <x:v>0.13499999999999995</x:v>
      </x:c>
      <x:c r="L5867" s="11" t="n">
        <x:f>K5867*'管线假设'!E1255*'管线假设'!F1255*'管线假设'!G1255*IF(E5867="USD",'管线假设'!I1255,1)-AM5867</x:f>
        <x:v>0.010610999999999997</x:v>
      </x:c>
      <x:c r="M5867" s="11" t="n">
        <x:f>'管线假设'!H1255</x:f>
        <x:v>0.14</x:v>
      </x:c>
      <x:c r="N5867" s="11" t="n">
        <x:f>IF(G5867,L5867*AN5867/(1+M5867)^F5867,0)</x:f>
        <x:v>0.0014428242894350353</x:v>
      </x:c>
      <x:c r="AJ5867" t="n">
        <x:v>0</x:v>
      </x:c>
      <x:c r="AK5867" t="n">
        <x:v>0</x:v>
      </x:c>
      <x:c r="AL5867" t="n">
        <x:v>0</x:v>
      </x:c>
      <x:c r="AM5867" t="n">
        <x:f>CHOOSE('假设'!$B$3,AJ5867,AK5867,AL5867)</x:f>
        <x:v>0</x:v>
      </x:c>
      <x:c r="AN5867" t="n">
        <x:v>1</x:v>
      </x:c>
    </x:row>
    <x:row r="5868" ht="23" customHeight="1">
      <x:c r="A5868" s="11" t="str">
        <x:v>688062.SH</x:v>
      </x:c>
      <x:c r="B5868" s="11" t="str">
        <x:v>三年</x:v>
      </x:c>
      <x:c r="C5868" s="11" t="str">
        <x:v>cdh17</x:v>
      </x:c>
      <x:c r="D5868" s="11" t="str">
        <x:v>2045-12-31</x:v>
      </x:c>
      <x:c r="E5868" s="11" t="str">
        <x:v>CNY</x:v>
      </x:c>
      <x:c r="F5868" s="11" t="n">
        <x:v>16.227241615331966</x:v>
      </x:c>
      <x:c r="G5868" s="26" t="b">
        <x:v>1</x:v>
      </x:c>
      <x:c r="H5868" s="16" t="n">
        <x:v>0.10999999999999999</x:v>
      </x:c>
      <x:c r="I5868" s="16" t="n">
        <x:v>0</x:v>
      </x:c>
      <x:c r="J5868" s="16" t="n">
        <x:v>0</x:v>
      </x:c>
      <x:c r="K5868" s="11" t="n">
        <x:f>CHOOSE('假设'!$B$3,H5868,I5868,J5868)</x:f>
        <x:v>0</x:v>
      </x:c>
      <x:c r="L5868" s="11" t="n">
        <x:f>K5868*'管线假设'!E1255*'管线假设'!F1255*'管线假设'!G1255*IF(E5868="USD",'管线假设'!I1255,1)-AM5868</x:f>
        <x:v>0</x:v>
      </x:c>
      <x:c r="M5868" s="11" t="n">
        <x:f>'管线假设'!H1255</x:f>
        <x:v>0.14</x:v>
      </x:c>
      <x:c r="N5868" s="11" t="n">
        <x:f>IF(G5868,L5868*AN5868/(1+M5868)^F5868,0)</x:f>
        <x:v>0</x:v>
      </x:c>
      <x:c r="AJ5868" t="n">
        <x:v>0</x:v>
      </x:c>
      <x:c r="AK5868" t="n">
        <x:v>0</x:v>
      </x:c>
      <x:c r="AL5868" t="n">
        <x:v>0</x:v>
      </x:c>
      <x:c r="AM5868" t="n">
        <x:f>CHOOSE('假设'!$B$3,AJ5868,AK5868,AL5868)</x:f>
        <x:v>0</x:v>
      </x:c>
      <x:c r="AN5868" t="n">
        <x:v>1</x:v>
      </x:c>
    </x:row>
    <x:row r="5869" ht="23" customHeight="1">
      <x:c r="A5869" s="11" t="str">
        <x:v>688062.SH</x:v>
      </x:c>
      <x:c r="B5869" s="11" t="str">
        <x:v>三年</x:v>
      </x:c>
      <x:c r="C5869" s="11" t="str">
        <x:v>st2</x:v>
      </x:c>
      <x:c r="D5869" s="11" t="str">
        <x:v>2027-12-31</x:v>
      </x:c>
      <x:c r="E5869" s="11" t="str">
        <x:v>CNY</x:v>
      </x:c>
      <x:c r="F5869" s="11" t="n">
        <x:v>-1.7741273100616017</x:v>
      </x:c>
      <x:c r="G5869" s="26" t="b">
        <x:v>0</x:v>
      </x:c>
      <x:c r="H5869" s="16" t="n">
        <x:v>0</x:v>
      </x:c>
      <x:c r="I5869" s="16" t="n">
        <x:v>0</x:v>
      </x:c>
      <x:c r="J5869" s="16" t="n">
        <x:v>0</x:v>
      </x:c>
      <x:c r="K5869" s="11" t="n">
        <x:f>CHOOSE('假设'!$B$3,H5869,I5869,J5869)</x:f>
        <x:v>0</x:v>
      </x:c>
      <x:c r="L5869" s="11" t="n">
        <x:f>K5869*'管线假设'!E1259*'管线假设'!F1259*'管线假设'!G1259*IF(E5869="USD",'管线假设'!I1259,1)-AM5869</x:f>
        <x:v>0</x:v>
      </x:c>
      <x:c r="M5869" s="11" t="n">
        <x:f>'管线假设'!H1259</x:f>
        <x:v>0.14</x:v>
      </x:c>
      <x:c r="N5869" s="11" t="n">
        <x:f>IF(G5869,L5869*AN5869/(1+M5869)^F5869,0)</x:f>
        <x:v>0</x:v>
      </x:c>
      <x:c r="AJ5869" t="n">
        <x:v>0</x:v>
      </x:c>
      <x:c r="AK5869" t="n">
        <x:v>0</x:v>
      </x:c>
      <x:c r="AL5869" t="n">
        <x:v>0</x:v>
      </x:c>
      <x:c r="AM5869" t="n">
        <x:f>CHOOSE('假设'!$B$3,AJ5869,AK5869,AL5869)</x:f>
        <x:v>0</x:v>
      </x:c>
      <x:c r="AN5869" t="n">
        <x:v>1</x:v>
      </x:c>
    </x:row>
    <x:row r="5870" ht="23" customHeight="1">
      <x:c r="A5870" s="11" t="str">
        <x:v>688062.SH</x:v>
      </x:c>
      <x:c r="B5870" s="11" t="str">
        <x:v>三年</x:v>
      </x:c>
      <x:c r="C5870" s="11" t="str">
        <x:v>st2</x:v>
      </x:c>
      <x:c r="D5870" s="11" t="str">
        <x:v>2028-12-31</x:v>
      </x:c>
      <x:c r="E5870" s="11" t="str">
        <x:v>CNY</x:v>
      </x:c>
      <x:c r="F5870" s="11" t="n">
        <x:v>-0.7720739219712526</x:v>
      </x:c>
      <x:c r="G5870" s="26" t="b">
        <x:v>0</x:v>
      </x:c>
      <x:c r="H5870" s="16" t="n">
        <x:v>0</x:v>
      </x:c>
      <x:c r="I5870" s="16" t="n">
        <x:v>0</x:v>
      </x:c>
      <x:c r="J5870" s="16" t="n">
        <x:v>0</x:v>
      </x:c>
      <x:c r="K5870" s="11" t="n">
        <x:f>CHOOSE('假设'!$B$3,H5870,I5870,J5870)</x:f>
        <x:v>0</x:v>
      </x:c>
      <x:c r="L5870" s="11" t="n">
        <x:f>K5870*'管线假设'!E1259*'管线假设'!F1259*'管线假设'!G1259*IF(E5870="USD",'管线假设'!I1259,1)-AM5870</x:f>
        <x:v>0</x:v>
      </x:c>
      <x:c r="M5870" s="11" t="n">
        <x:f>'管线假设'!H1259</x:f>
        <x:v>0.14</x:v>
      </x:c>
      <x:c r="N5870" s="11" t="n">
        <x:f>IF(G5870,L5870*AN5870/(1+M5870)^F5870,0)</x:f>
        <x:v>0</x:v>
      </x:c>
      <x:c r="AJ5870" t="n">
        <x:v>0</x:v>
      </x:c>
      <x:c r="AK5870" t="n">
        <x:v>0</x:v>
      </x:c>
      <x:c r="AL5870" t="n">
        <x:v>0</x:v>
      </x:c>
      <x:c r="AM5870" t="n">
        <x:f>CHOOSE('假设'!$B$3,AJ5870,AK5870,AL5870)</x:f>
        <x:v>0</x:v>
      </x:c>
      <x:c r="AN5870" t="n">
        <x:v>1</x:v>
      </x:c>
    </x:row>
    <x:row r="5871" ht="23" customHeight="1">
      <x:c r="A5871" s="11" t="str">
        <x:v>688062.SH</x:v>
      </x:c>
      <x:c r="B5871" s="11" t="str">
        <x:v>三年</x:v>
      </x:c>
      <x:c r="C5871" s="11" t="str">
        <x:v>st2</x:v>
      </x:c>
      <x:c r="D5871" s="11" t="str">
        <x:v>2029-12-31</x:v>
      </x:c>
      <x:c r="E5871" s="11" t="str">
        <x:v>CNY</x:v>
      </x:c>
      <x:c r="F5871" s="11" t="n">
        <x:v>0.2272416153319644</x:v>
      </x:c>
      <x:c r="G5871" s="26" t="b">
        <x:v>1</x:v>
      </x:c>
      <x:c r="H5871" s="16" t="n">
        <x:v>0</x:v>
      </x:c>
      <x:c r="I5871" s="16" t="n">
        <x:v>0</x:v>
      </x:c>
      <x:c r="J5871" s="16" t="n">
        <x:v>0.5833333333333333</x:v>
      </x:c>
      <x:c r="K5871" s="11" t="n">
        <x:f>CHOOSE('假设'!$B$3,H5871,I5871,J5871)</x:f>
        <x:v>0</x:v>
      </x:c>
      <x:c r="L5871" s="11" t="n">
        <x:f>K5871*'管线假设'!E1259*'管线假设'!F1259*'管线假设'!G1259*IF(E5871="USD",'管线假设'!I1259,1)-AM5871</x:f>
        <x:v>0</x:v>
      </x:c>
      <x:c r="M5871" s="11" t="n">
        <x:f>'管线假设'!H1259</x:f>
        <x:v>0.14</x:v>
      </x:c>
      <x:c r="N5871" s="11" t="n">
        <x:f>IF(G5871,L5871*AN5871/(1+M5871)^F5871,0)</x:f>
        <x:v>0</x:v>
      </x:c>
      <x:c r="AJ5871" t="n">
        <x:v>0</x:v>
      </x:c>
      <x:c r="AK5871" t="n">
        <x:v>0</x:v>
      </x:c>
      <x:c r="AL5871" t="n">
        <x:v>0</x:v>
      </x:c>
      <x:c r="AM5871" t="n">
        <x:f>CHOOSE('假设'!$B$3,AJ5871,AK5871,AL5871)</x:f>
        <x:v>0</x:v>
      </x:c>
      <x:c r="AN5871" t="n">
        <x:v>1</x:v>
      </x:c>
    </x:row>
    <x:row r="5872" ht="23" customHeight="1">
      <x:c r="A5872" s="11" t="str">
        <x:v>688062.SH</x:v>
      </x:c>
      <x:c r="B5872" s="11" t="str">
        <x:v>三年</x:v>
      </x:c>
      <x:c r="C5872" s="11" t="str">
        <x:v>st2</x:v>
      </x:c>
      <x:c r="D5872" s="11" t="str">
        <x:v>2030-12-31</x:v>
      </x:c>
      <x:c r="E5872" s="11" t="str">
        <x:v>CNY</x:v>
      </x:c>
      <x:c r="F5872" s="11" t="n">
        <x:v>1.2265571526351813</x:v>
      </x:c>
      <x:c r="G5872" s="26" t="b">
        <x:v>1</x:v>
      </x:c>
      <x:c r="H5872" s="16" t="n">
        <x:v>0</x:v>
      </x:c>
      <x:c r="I5872" s="16" t="n">
        <x:v>0</x:v>
      </x:c>
      <x:c r="J5872" s="16" t="n">
        <x:v>1.1666666666666665</x:v>
      </x:c>
      <x:c r="K5872" s="11" t="n">
        <x:f>CHOOSE('假设'!$B$3,H5872,I5872,J5872)</x:f>
        <x:v>0</x:v>
      </x:c>
      <x:c r="L5872" s="11" t="n">
        <x:f>K5872*'管线假设'!E1259*'管线假设'!F1259*'管线假设'!G1259*IF(E5872="USD",'管线假设'!I1259,1)-AM5872</x:f>
        <x:v>0</x:v>
      </x:c>
      <x:c r="M5872" s="11" t="n">
        <x:f>'管线假设'!H1259</x:f>
        <x:v>0.14</x:v>
      </x:c>
      <x:c r="N5872" s="11" t="n">
        <x:f>IF(G5872,L5872*AN5872/(1+M5872)^F5872,0)</x:f>
        <x:v>0</x:v>
      </x:c>
      <x:c r="AJ5872" t="n">
        <x:v>0</x:v>
      </x:c>
      <x:c r="AK5872" t="n">
        <x:v>0</x:v>
      </x:c>
      <x:c r="AL5872" t="n">
        <x:v>0</x:v>
      </x:c>
      <x:c r="AM5872" t="n">
        <x:f>CHOOSE('假设'!$B$3,AJ5872,AK5872,AL5872)</x:f>
        <x:v>0</x:v>
      </x:c>
      <x:c r="AN5872" t="n">
        <x:v>1</x:v>
      </x:c>
    </x:row>
    <x:row r="5873" ht="23" customHeight="1">
      <x:c r="A5873" s="11" t="str">
        <x:v>688062.SH</x:v>
      </x:c>
      <x:c r="B5873" s="11" t="str">
        <x:v>三年</x:v>
      </x:c>
      <x:c r="C5873" s="11" t="str">
        <x:v>st2</x:v>
      </x:c>
      <x:c r="D5873" s="11" t="str">
        <x:v>2031-12-31</x:v>
      </x:c>
      <x:c r="E5873" s="11" t="str">
        <x:v>CNY</x:v>
      </x:c>
      <x:c r="F5873" s="11" t="n">
        <x:v>2.2258726899383983</x:v>
      </x:c>
      <x:c r="G5873" s="26" t="b">
        <x:v>1</x:v>
      </x:c>
      <x:c r="H5873" s="16" t="n">
        <x:v>0</x:v>
      </x:c>
      <x:c r="I5873" s="16" t="n">
        <x:v>0.3333333333333333</x:v>
      </x:c>
      <x:c r="J5873" s="16" t="n">
        <x:v>1.75</x:v>
      </x:c>
      <x:c r="K5873" s="11" t="n">
        <x:f>CHOOSE('假设'!$B$3,H5873,I5873,J5873)</x:f>
        <x:v>0.3333333333333333</x:v>
      </x:c>
      <x:c r="L5873" s="11" t="n">
        <x:f>K5873*'管线假设'!E1259*'管线假设'!F1259*'管线假设'!G1259*IF(E5873="USD",'管线假设'!I1259,1)-AM5873</x:f>
        <x:v>0.0385</x:v>
      </x:c>
      <x:c r="M5873" s="11" t="n">
        <x:f>'管线假设'!H1259</x:f>
        <x:v>0.14</x:v>
      </x:c>
      <x:c r="N5873" s="11" t="n">
        <x:f>IF(G5873,L5873*AN5873/(1+M5873)^F5873,0)</x:f>
        <x:v>0.028760588940091772</x:v>
      </x:c>
      <x:c r="AJ5873" t="n">
        <x:v>0</x:v>
      </x:c>
      <x:c r="AK5873" t="n">
        <x:v>0</x:v>
      </x:c>
      <x:c r="AL5873" t="n">
        <x:v>0</x:v>
      </x:c>
      <x:c r="AM5873" t="n">
        <x:f>CHOOSE('假设'!$B$3,AJ5873,AK5873,AL5873)</x:f>
        <x:v>0</x:v>
      </x:c>
      <x:c r="AN5873" t="n">
        <x:v>1</x:v>
      </x:c>
    </x:row>
    <x:row r="5874" ht="23" customHeight="1">
      <x:c r="A5874" s="11" t="str">
        <x:v>688062.SH</x:v>
      </x:c>
      <x:c r="B5874" s="11" t="str">
        <x:v>三年</x:v>
      </x:c>
      <x:c r="C5874" s="11" t="str">
        <x:v>st2</x:v>
      </x:c>
      <x:c r="D5874" s="11" t="str">
        <x:v>2032-12-31</x:v>
      </x:c>
      <x:c r="E5874" s="11" t="str">
        <x:v>CNY</x:v>
      </x:c>
      <x:c r="F5874" s="11" t="n">
        <x:v>3.2279260780287475</x:v>
      </x:c>
      <x:c r="G5874" s="26" t="b">
        <x:v>1</x:v>
      </x:c>
      <x:c r="H5874" s="16" t="n">
        <x:v>0</x:v>
      </x:c>
      <x:c r="I5874" s="16" t="n">
        <x:v>0.6666666666666666</x:v>
      </x:c>
      <x:c r="J5874" s="16" t="n">
        <x:v>2.333333333333333</x:v>
      </x:c>
      <x:c r="K5874" s="11" t="n">
        <x:f>CHOOSE('假设'!$B$3,H5874,I5874,J5874)</x:f>
        <x:v>0.6666666666666666</x:v>
      </x:c>
      <x:c r="L5874" s="11" t="n">
        <x:f>K5874*'管线假设'!E1259*'管线假设'!F1259*'管线假设'!G1259*IF(E5874="USD",'管线假设'!I1259,1)-AM5874</x:f>
        <x:v>0.077</x:v>
      </x:c>
      <x:c r="M5874" s="11" t="n">
        <x:f>'管线假设'!H1259</x:f>
        <x:v>0.14</x:v>
      </x:c>
      <x:c r="N5874" s="11" t="n">
        <x:f>IF(G5874,L5874*AN5874/(1+M5874)^F5874,0)</x:f>
        <x:v>0.0504435998081303</x:v>
      </x:c>
      <x:c r="AJ5874" t="n">
        <x:v>0</x:v>
      </x:c>
      <x:c r="AK5874" t="n">
        <x:v>0</x:v>
      </x:c>
      <x:c r="AL5874" t="n">
        <x:v>0</x:v>
      </x:c>
      <x:c r="AM5874" t="n">
        <x:f>CHOOSE('假设'!$B$3,AJ5874,AK5874,AL5874)</x:f>
        <x:v>0</x:v>
      </x:c>
      <x:c r="AN5874" t="n">
        <x:v>1</x:v>
      </x:c>
    </x:row>
    <x:row r="5875" ht="23" customHeight="1">
      <x:c r="A5875" s="11" t="str">
        <x:v>688062.SH</x:v>
      </x:c>
      <x:c r="B5875" s="11" t="str">
        <x:v>三年</x:v>
      </x:c>
      <x:c r="C5875" s="11" t="str">
        <x:v>st2</x:v>
      </x:c>
      <x:c r="D5875" s="11" t="str">
        <x:v>2033-12-31</x:v>
      </x:c>
      <x:c r="E5875" s="11" t="str">
        <x:v>CNY</x:v>
      </x:c>
      <x:c r="F5875" s="11" t="n">
        <x:v>4.227241615331964</x:v>
      </x:c>
      <x:c r="G5875" s="26" t="b">
        <x:v>1</x:v>
      </x:c>
      <x:c r="H5875" s="16" t="n">
        <x:v>0</x:v>
      </x:c>
      <x:c r="I5875" s="16" t="n">
        <x:v>1</x:v>
      </x:c>
      <x:c r="J5875" s="16" t="n">
        <x:v>2.916666666666667</x:v>
      </x:c>
      <x:c r="K5875" s="11" t="n">
        <x:f>CHOOSE('假设'!$B$3,H5875,I5875,J5875)</x:f>
        <x:v>1</x:v>
      </x:c>
      <x:c r="L5875" s="11" t="n">
        <x:f>K5875*'管线假设'!E1259*'管线假设'!F1259*'管线假设'!G1259*IF(E5875="USD",'管线假设'!I1259,1)-AM5875</x:f>
        <x:v>0.11549999999999999</x:v>
      </x:c>
      <x:c r="M5875" s="11" t="n">
        <x:f>'管线假设'!H1259</x:f>
        <x:v>0.14</x:v>
      </x:c>
      <x:c r="N5875" s="11" t="n">
        <x:f>IF(G5875,L5875*AN5875/(1+M5875)^F5875,0)</x:f>
        <x:v>0.06637911051668317</x:v>
      </x:c>
      <x:c r="AJ5875" t="n">
        <x:v>0</x:v>
      </x:c>
      <x:c r="AK5875" t="n">
        <x:v>0</x:v>
      </x:c>
      <x:c r="AL5875" t="n">
        <x:v>0</x:v>
      </x:c>
      <x:c r="AM5875" t="n">
        <x:f>CHOOSE('假设'!$B$3,AJ5875,AK5875,AL5875)</x:f>
        <x:v>0</x:v>
      </x:c>
      <x:c r="AN5875" t="n">
        <x:v>1</x:v>
      </x:c>
    </x:row>
    <x:row r="5876" ht="23" customHeight="1">
      <x:c r="A5876" s="11" t="str">
        <x:v>688062.SH</x:v>
      </x:c>
      <x:c r="B5876" s="11" t="str">
        <x:v>三年</x:v>
      </x:c>
      <x:c r="C5876" s="11" t="str">
        <x:v>st2</x:v>
      </x:c>
      <x:c r="D5876" s="11" t="str">
        <x:v>2034-12-31</x:v>
      </x:c>
      <x:c r="E5876" s="11" t="str">
        <x:v>CNY</x:v>
      </x:c>
      <x:c r="F5876" s="11" t="n">
        <x:v>5.2265571526351815</x:v>
      </x:c>
      <x:c r="G5876" s="26" t="b">
        <x:v>1</x:v>
      </x:c>
      <x:c r="H5876" s="16" t="n">
        <x:v>0.12</x:v>
      </x:c>
      <x:c r="I5876" s="16" t="n">
        <x:v>1.3333333333333333</x:v>
      </x:c>
      <x:c r="J5876" s="16" t="n">
        <x:v>3.5</x:v>
      </x:c>
      <x:c r="K5876" s="11" t="n">
        <x:f>CHOOSE('假设'!$B$3,H5876,I5876,J5876)</x:f>
        <x:v>1.3333333333333333</x:v>
      </x:c>
      <x:c r="L5876" s="11" t="n">
        <x:f>K5876*'管线假设'!E1259*'管线假设'!F1259*'管线假设'!G1259*IF(E5876="USD",'管线假设'!I1259,1)-AM5876</x:f>
        <x:v>0.154</x:v>
      </x:c>
      <x:c r="M5876" s="11" t="n">
        <x:f>'管线假设'!H1259</x:f>
        <x:v>0.14</x:v>
      </x:c>
      <x:c r="N5876" s="11" t="n">
        <x:f>IF(G5876,L5876*AN5876/(1+M5876)^F5876,0)</x:f>
        <x:v>0.07764334961987242</x:v>
      </x:c>
      <x:c r="AJ5876" t="n">
        <x:v>0</x:v>
      </x:c>
      <x:c r="AK5876" t="n">
        <x:v>0</x:v>
      </x:c>
      <x:c r="AL5876" t="n">
        <x:v>0</x:v>
      </x:c>
      <x:c r="AM5876" t="n">
        <x:f>CHOOSE('假设'!$B$3,AJ5876,AK5876,AL5876)</x:f>
        <x:v>0</x:v>
      </x:c>
      <x:c r="AN5876" t="n">
        <x:v>1</x:v>
      </x:c>
    </x:row>
    <x:row r="5877" ht="23" customHeight="1">
      <x:c r="A5877" s="11" t="str">
        <x:v>688062.SH</x:v>
      </x:c>
      <x:c r="B5877" s="11" t="str">
        <x:v>三年</x:v>
      </x:c>
      <x:c r="C5877" s="11" t="str">
        <x:v>st2</x:v>
      </x:c>
      <x:c r="D5877" s="11" t="str">
        <x:v>2035-12-31</x:v>
      </x:c>
      <x:c r="E5877" s="11" t="str">
        <x:v>CNY</x:v>
      </x:c>
      <x:c r="F5877" s="11" t="n">
        <x:v>6.225872689938399</x:v>
      </x:c>
      <x:c r="G5877" s="26" t="b">
        <x:v>1</x:v>
      </x:c>
      <x:c r="H5877" s="16" t="n">
        <x:v>0.24</x:v>
      </x:c>
      <x:c r="I5877" s="16" t="n">
        <x:v>1.6666666666666667</x:v>
      </x:c>
      <x:c r="J5877" s="16" t="n">
        <x:v>3.045</x:v>
      </x:c>
      <x:c r="K5877" s="11" t="n">
        <x:f>CHOOSE('假设'!$B$3,H5877,I5877,J5877)</x:f>
        <x:v>1.6666666666666667</x:v>
      </x:c>
      <x:c r="L5877" s="11" t="n">
        <x:f>K5877*'管线假设'!E1259*'管线假设'!F1259*'管线假设'!G1259*IF(E5877="USD",'管线假设'!I1259,1)-AM5877</x:f>
        <x:v>0.1925</x:v>
      </x:c>
      <x:c r="M5877" s="11" t="n">
        <x:f>'管线假设'!H1259</x:f>
        <x:v>0.14</x:v>
      </x:c>
      <x:c r="N5877" s="11" t="n">
        <x:f>IF(G5877,L5877*AN5877/(1+M5877)^F5877,0)</x:f>
        <x:v>0.0851428873848977</x:v>
      </x:c>
      <x:c r="AJ5877" t="n">
        <x:v>0</x:v>
      </x:c>
      <x:c r="AK5877" t="n">
        <x:v>0</x:v>
      </x:c>
      <x:c r="AL5877" t="n">
        <x:v>0</x:v>
      </x:c>
      <x:c r="AM5877" t="n">
        <x:f>CHOOSE('假设'!$B$3,AJ5877,AK5877,AL5877)</x:f>
        <x:v>0</x:v>
      </x:c>
      <x:c r="AN5877" t="n">
        <x:v>1</x:v>
      </x:c>
    </x:row>
    <x:row r="5878" ht="23" customHeight="1">
      <x:c r="A5878" s="11" t="str">
        <x:v>688062.SH</x:v>
      </x:c>
      <x:c r="B5878" s="11" t="str">
        <x:v>三年</x:v>
      </x:c>
      <x:c r="C5878" s="11" t="str">
        <x:v>st2</x:v>
      </x:c>
      <x:c r="D5878" s="11" t="str">
        <x:v>2036-12-31</x:v>
      </x:c>
      <x:c r="E5878" s="11" t="str">
        <x:v>CNY</x:v>
      </x:c>
      <x:c r="F5878" s="11" t="n">
        <x:v>7.227926078028747</x:v>
      </x:c>
      <x:c r="G5878" s="26" t="b">
        <x:v>1</x:v>
      </x:c>
      <x:c r="H5878" s="16" t="n">
        <x:v>0.36</x:v>
      </x:c>
      <x:c r="I5878" s="16" t="n">
        <x:v>2</x:v>
      </x:c>
      <x:c r="J5878" s="16" t="n">
        <x:v>2.59</x:v>
      </x:c>
      <x:c r="K5878" s="11" t="n">
        <x:f>CHOOSE('假设'!$B$3,H5878,I5878,J5878)</x:f>
        <x:v>2</x:v>
      </x:c>
      <x:c r="L5878" s="11" t="n">
        <x:f>K5878*'管线假设'!E1259*'管线假设'!F1259*'管线假设'!G1259*IF(E5878="USD",'管线假设'!I1259,1)-AM5878</x:f>
        <x:v>0.23099999999999998</x:v>
      </x:c>
      <x:c r="M5878" s="11" t="n">
        <x:f>'管线假设'!H1259</x:f>
        <x:v>0.14</x:v>
      </x:c>
      <x:c r="N5878" s="11" t="n">
        <x:f>IF(G5878,L5878*AN5878/(1+M5878)^F5878,0)</x:f>
        <x:v>0.08959998169784586</x:v>
      </x:c>
      <x:c r="AJ5878" t="n">
        <x:v>0</x:v>
      </x:c>
      <x:c r="AK5878" t="n">
        <x:v>0</x:v>
      </x:c>
      <x:c r="AL5878" t="n">
        <x:v>0</x:v>
      </x:c>
      <x:c r="AM5878" t="n">
        <x:f>CHOOSE('假设'!$B$3,AJ5878,AK5878,AL5878)</x:f>
        <x:v>0</x:v>
      </x:c>
      <x:c r="AN5878" t="n">
        <x:v>1</x:v>
      </x:c>
    </x:row>
    <x:row r="5879" ht="23" customHeight="1">
      <x:c r="A5879" s="11" t="str">
        <x:v>688062.SH</x:v>
      </x:c>
      <x:c r="B5879" s="11" t="str">
        <x:v>三年</x:v>
      </x:c>
      <x:c r="C5879" s="11" t="str">
        <x:v>st2</x:v>
      </x:c>
      <x:c r="D5879" s="11" t="str">
        <x:v>2037-12-31</x:v>
      </x:c>
      <x:c r="E5879" s="11" t="str">
        <x:v>CNY</x:v>
      </x:c>
      <x:c r="F5879" s="11" t="n">
        <x:v>8.227241615331964</x:v>
      </x:c>
      <x:c r="G5879" s="26" t="b">
        <x:v>1</x:v>
      </x:c>
      <x:c r="H5879" s="16" t="n">
        <x:v>0.48</x:v>
      </x:c>
      <x:c r="I5879" s="16" t="n">
        <x:v>1.74</x:v>
      </x:c>
      <x:c r="J5879" s="16" t="n">
        <x:v>2.135</x:v>
      </x:c>
      <x:c r="K5879" s="11" t="n">
        <x:f>CHOOSE('假设'!$B$3,H5879,I5879,J5879)</x:f>
        <x:v>1.74</x:v>
      </x:c>
      <x:c r="L5879" s="11" t="n">
        <x:f>K5879*'管线假设'!E1259*'管线假设'!F1259*'管线假设'!G1259*IF(E5879="USD",'管线假设'!I1259,1)-AM5879</x:f>
        <x:v>0.20097</x:v>
      </x:c>
      <x:c r="M5879" s="11" t="n">
        <x:f>'管线假设'!H1259</x:f>
        <x:v>0.14</x:v>
      </x:c>
      <x:c r="N5879" s="11" t="n">
        <x:f>IF(G5879,L5879*AN5879/(1+M5879)^F5879,0)</x:f>
        <x:v>0.06838506616936937</x:v>
      </x:c>
      <x:c r="AJ5879" t="n">
        <x:v>0</x:v>
      </x:c>
      <x:c r="AK5879" t="n">
        <x:v>0</x:v>
      </x:c>
      <x:c r="AL5879" t="n">
        <x:v>0</x:v>
      </x:c>
      <x:c r="AM5879" t="n">
        <x:f>CHOOSE('假设'!$B$3,AJ5879,AK5879,AL5879)</x:f>
        <x:v>0</x:v>
      </x:c>
      <x:c r="AN5879" t="n">
        <x:v>1</x:v>
      </x:c>
    </x:row>
    <x:row r="5880" ht="23" customHeight="1">
      <x:c r="A5880" s="11" t="str">
        <x:v>688062.SH</x:v>
      </x:c>
      <x:c r="B5880" s="11" t="str">
        <x:v>三年</x:v>
      </x:c>
      <x:c r="C5880" s="11" t="str">
        <x:v>st2</x:v>
      </x:c>
      <x:c r="D5880" s="11" t="str">
        <x:v>2038-12-31</x:v>
      </x:c>
      <x:c r="E5880" s="11" t="str">
        <x:v>CNY</x:v>
      </x:c>
      <x:c r="F5880" s="11" t="n">
        <x:v>9.22655715263518</x:v>
      </x:c>
      <x:c r="G5880" s="26" t="b">
        <x:v>1</x:v>
      </x:c>
      <x:c r="H5880" s="16" t="n">
        <x:v>0.6</x:v>
      </x:c>
      <x:c r="I5880" s="16" t="n">
        <x:v>1.48</x:v>
      </x:c>
      <x:c r="J5880" s="16" t="n">
        <x:v>1.68</x:v>
      </x:c>
      <x:c r="K5880" s="11" t="n">
        <x:f>CHOOSE('假设'!$B$3,H5880,I5880,J5880)</x:f>
        <x:v>1.48</x:v>
      </x:c>
      <x:c r="L5880" s="11" t="n">
        <x:f>K5880*'管线假设'!E1259*'管线假设'!F1259*'管线假设'!G1259*IF(E5880="USD",'管线假设'!I1259,1)-AM5880</x:f>
        <x:v>0.17093999999999998</x:v>
      </x:c>
      <x:c r="M5880" s="11" t="n">
        <x:f>'管线假设'!H1259</x:f>
        <x:v>0.14</x:v>
      </x:c>
      <x:c r="N5880" s="11" t="n">
        <x:f>IF(G5880,L5880*AN5880/(1+M5880)^F5880,0)</x:f>
        <x:v>0.05102791653656197</x:v>
      </x:c>
      <x:c r="AJ5880" t="n">
        <x:v>0</x:v>
      </x:c>
      <x:c r="AK5880" t="n">
        <x:v>0</x:v>
      </x:c>
      <x:c r="AL5880" t="n">
        <x:v>0</x:v>
      </x:c>
      <x:c r="AM5880" t="n">
        <x:f>CHOOSE('假设'!$B$3,AJ5880,AK5880,AL5880)</x:f>
        <x:v>0</x:v>
      </x:c>
      <x:c r="AN5880" t="n">
        <x:v>1</x:v>
      </x:c>
    </x:row>
    <x:row r="5881" ht="23" customHeight="1">
      <x:c r="A5881" s="11" t="str">
        <x:v>688062.SH</x:v>
      </x:c>
      <x:c r="B5881" s="11" t="str">
        <x:v>三年</x:v>
      </x:c>
      <x:c r="C5881" s="11" t="str">
        <x:v>st2</x:v>
      </x:c>
      <x:c r="D5881" s="11" t="str">
        <x:v>2039-12-31</x:v>
      </x:c>
      <x:c r="E5881" s="11" t="str">
        <x:v>CNY</x:v>
      </x:c>
      <x:c r="F5881" s="11" t="n">
        <x:v>10.225872689938399</x:v>
      </x:c>
      <x:c r="G5881" s="26" t="b">
        <x:v>1</x:v>
      </x:c>
      <x:c r="H5881" s="16" t="n">
        <x:v>0.522</x:v>
      </x:c>
      <x:c r="I5881" s="16" t="n">
        <x:v>1.22</x:v>
      </x:c>
      <x:c r="J5881" s="16" t="n">
        <x:v>1.2249999999999999</x:v>
      </x:c>
      <x:c r="K5881" s="11" t="n">
        <x:f>CHOOSE('假设'!$B$3,H5881,I5881,J5881)</x:f>
        <x:v>1.22</x:v>
      </x:c>
      <x:c r="L5881" s="11" t="n">
        <x:f>K5881*'管线假设'!E1259*'管线假设'!F1259*'管线假设'!G1259*IF(E5881="USD",'管线假设'!I1259,1)-AM5881</x:f>
        <x:v>0.14091</x:v>
      </x:c>
      <x:c r="M5881" s="11" t="n">
        <x:f>'管线假设'!H1259</x:f>
        <x:v>0.14</x:v>
      </x:c>
      <x:c r="N5881" s="11" t="n">
        <x:f>IF(G5881,L5881*AN5881/(1+M5881)^F5881,0)</x:f>
        <x:v>0.036901162645390694</x:v>
      </x:c>
      <x:c r="AJ5881" t="n">
        <x:v>0</x:v>
      </x:c>
      <x:c r="AK5881" t="n">
        <x:v>0</x:v>
      </x:c>
      <x:c r="AL5881" t="n">
        <x:v>0</x:v>
      </x:c>
      <x:c r="AM5881" t="n">
        <x:f>CHOOSE('假设'!$B$3,AJ5881,AK5881,AL5881)</x:f>
        <x:v>0</x:v>
      </x:c>
      <x:c r="AN5881" t="n">
        <x:v>1</x:v>
      </x:c>
    </x:row>
    <x:row r="5882" ht="23" customHeight="1">
      <x:c r="A5882" s="11" t="str">
        <x:v>688062.SH</x:v>
      </x:c>
      <x:c r="B5882" s="11" t="str">
        <x:v>三年</x:v>
      </x:c>
      <x:c r="C5882" s="11" t="str">
        <x:v>st2</x:v>
      </x:c>
      <x:c r="D5882" s="11" t="str">
        <x:v>2040-12-31</x:v>
      </x:c>
      <x:c r="E5882" s="11" t="str">
        <x:v>CNY</x:v>
      </x:c>
      <x:c r="F5882" s="11" t="n">
        <x:v>11.227926078028748</x:v>
      </x:c>
      <x:c r="G5882" s="26" t="b">
        <x:v>1</x:v>
      </x:c>
      <x:c r="H5882" s="16" t="n">
        <x:v>0.444</x:v>
      </x:c>
      <x:c r="I5882" s="16" t="n">
        <x:v>0.96</x:v>
      </x:c>
      <x:c r="J5882" s="16" t="n">
        <x:v>0.7699999999999999</x:v>
      </x:c>
      <x:c r="K5882" s="11" t="n">
        <x:f>CHOOSE('假设'!$B$3,H5882,I5882,J5882)</x:f>
        <x:v>0.96</x:v>
      </x:c>
      <x:c r="L5882" s="11" t="n">
        <x:f>K5882*'管线假设'!E1259*'管线假设'!F1259*'管线假设'!G1259*IF(E5882="USD",'管线假设'!I1259,1)-AM5882</x:f>
        <x:v>0.11087999999999999</x:v>
      </x:c>
      <x:c r="M5882" s="11" t="n">
        <x:f>'管线假设'!H1259</x:f>
        <x:v>0.14</x:v>
      </x:c>
      <x:c r="N5882" s="11" t="n">
        <x:f>IF(G5882,L5882*AN5882/(1+M5882)^F5882,0)</x:f>
        <x:v>0.025464183367691746</x:v>
      </x:c>
      <x:c r="AJ5882" t="n">
        <x:v>0</x:v>
      </x:c>
      <x:c r="AK5882" t="n">
        <x:v>0</x:v>
      </x:c>
      <x:c r="AL5882" t="n">
        <x:v>0</x:v>
      </x:c>
      <x:c r="AM5882" t="n">
        <x:f>CHOOSE('假设'!$B$3,AJ5882,AK5882,AL5882)</x:f>
        <x:v>0</x:v>
      </x:c>
      <x:c r="AN5882" t="n">
        <x:v>1</x:v>
      </x:c>
    </x:row>
    <x:row r="5883" ht="23" customHeight="1">
      <x:c r="A5883" s="11" t="str">
        <x:v>688062.SH</x:v>
      </x:c>
      <x:c r="B5883" s="11" t="str">
        <x:v>三年</x:v>
      </x:c>
      <x:c r="C5883" s="11" t="str">
        <x:v>st2</x:v>
      </x:c>
      <x:c r="D5883" s="11" t="str">
        <x:v>2041-12-31</x:v>
      </x:c>
      <x:c r="E5883" s="11" t="str">
        <x:v>CNY</x:v>
      </x:c>
      <x:c r="F5883" s="11" t="n">
        <x:v>12.227241615331964</x:v>
      </x:c>
      <x:c r="G5883" s="26" t="b">
        <x:v>1</x:v>
      </x:c>
      <x:c r="H5883" s="16" t="n">
        <x:v>0.366</x:v>
      </x:c>
      <x:c r="I5883" s="16" t="n">
        <x:v>0.7</x:v>
      </x:c>
      <x:c r="J5883" s="16" t="n">
        <x:v>0.3149999999999999</x:v>
      </x:c>
      <x:c r="K5883" s="11" t="n">
        <x:f>CHOOSE('假设'!$B$3,H5883,I5883,J5883)</x:f>
        <x:v>0.7</x:v>
      </x:c>
      <x:c r="L5883" s="11" t="n">
        <x:f>K5883*'管线假设'!E1259*'管线假设'!F1259*'管线假设'!G1259*IF(E5883="USD",'管线假设'!I1259,1)-AM5883</x:f>
        <x:v>0.08084999999999999</x:v>
      </x:c>
      <x:c r="M5883" s="11" t="n">
        <x:f>'管线假设'!H1259</x:f>
        <x:v>0.14</x:v>
      </x:c>
      <x:c r="N5883" s="11" t="n">
        <x:f>IF(G5883,L5883*AN5883/(1+M5883)^F5883,0)</x:f>
        <x:v>0.01628885877119384</x:v>
      </x:c>
      <x:c r="AJ5883" t="n">
        <x:v>0</x:v>
      </x:c>
      <x:c r="AK5883" t="n">
        <x:v>0</x:v>
      </x:c>
      <x:c r="AL5883" t="n">
        <x:v>0</x:v>
      </x:c>
      <x:c r="AM5883" t="n">
        <x:f>CHOOSE('假设'!$B$3,AJ5883,AK5883,AL5883)</x:f>
        <x:v>0</x:v>
      </x:c>
      <x:c r="AN5883" t="n">
        <x:v>1</x:v>
      </x:c>
    </x:row>
    <x:row r="5884" ht="23" customHeight="1">
      <x:c r="A5884" s="11" t="str">
        <x:v>688062.SH</x:v>
      </x:c>
      <x:c r="B5884" s="11" t="str">
        <x:v>三年</x:v>
      </x:c>
      <x:c r="C5884" s="11" t="str">
        <x:v>st2</x:v>
      </x:c>
      <x:c r="D5884" s="11" t="str">
        <x:v>2042-12-31</x:v>
      </x:c>
      <x:c r="E5884" s="11" t="str">
        <x:v>CNY</x:v>
      </x:c>
      <x:c r="F5884" s="11" t="n">
        <x:v>13.22655715263518</x:v>
      </x:c>
      <x:c r="G5884" s="26" t="b">
        <x:v>1</x:v>
      </x:c>
      <x:c r="H5884" s="16" t="n">
        <x:v>0.288</x:v>
      </x:c>
      <x:c r="I5884" s="16" t="n">
        <x:v>0.43999999999999995</x:v>
      </x:c>
      <x:c r="J5884" s="16" t="n">
        <x:v>0</x:v>
      </x:c>
      <x:c r="K5884" s="11" t="n">
        <x:f>CHOOSE('假设'!$B$3,H5884,I5884,J5884)</x:f>
        <x:v>0.43999999999999995</x:v>
      </x:c>
      <x:c r="L5884" s="11" t="n">
        <x:f>K5884*'管线假设'!E1259*'管线假设'!F1259*'管线假设'!G1259*IF(E5884="USD",'管线假设'!I1259,1)-AM5884</x:f>
        <x:v>0.05082</x:v>
      </x:c>
      <x:c r="M5884" s="11" t="n">
        <x:f>'管线假设'!H1259</x:f>
        <x:v>0.14</x:v>
      </x:c>
      <x:c r="N5884" s="11" t="n">
        <x:f>IF(G5884,L5884*AN5884/(1+M5884)^F5884,0)</x:f>
        <x:v>0.008982131155202579</x:v>
      </x:c>
      <x:c r="AJ5884" t="n">
        <x:v>0</x:v>
      </x:c>
      <x:c r="AK5884" t="n">
        <x:v>0</x:v>
      </x:c>
      <x:c r="AL5884" t="n">
        <x:v>0</x:v>
      </x:c>
      <x:c r="AM5884" t="n">
        <x:f>CHOOSE('假设'!$B$3,AJ5884,AK5884,AL5884)</x:f>
        <x:v>0</x:v>
      </x:c>
      <x:c r="AN5884" t="n">
        <x:v>1</x:v>
      </x:c>
    </x:row>
    <x:row r="5885" ht="23" customHeight="1">
      <x:c r="A5885" s="11" t="str">
        <x:v>688062.SH</x:v>
      </x:c>
      <x:c r="B5885" s="11" t="str">
        <x:v>三年</x:v>
      </x:c>
      <x:c r="C5885" s="11" t="str">
        <x:v>st2</x:v>
      </x:c>
      <x:c r="D5885" s="11" t="str">
        <x:v>2043-12-31</x:v>
      </x:c>
      <x:c r="E5885" s="11" t="str">
        <x:v>CNY</x:v>
      </x:c>
      <x:c r="F5885" s="11" t="n">
        <x:v>14.225872689938399</x:v>
      </x:c>
      <x:c r="G5885" s="26" t="b">
        <x:v>1</x:v>
      </x:c>
      <x:c r="H5885" s="16" t="n">
        <x:v>0.21</x:v>
      </x:c>
      <x:c r="I5885" s="16" t="n">
        <x:v>0.17999999999999994</x:v>
      </x:c>
      <x:c r="J5885" s="16" t="n">
        <x:v>0</x:v>
      </x:c>
      <x:c r="K5885" s="11" t="n">
        <x:f>CHOOSE('假设'!$B$3,H5885,I5885,J5885)</x:f>
        <x:v>0.17999999999999994</x:v>
      </x:c>
      <x:c r="L5885" s="11" t="n">
        <x:f>K5885*'管线假设'!E1259*'管线假设'!F1259*'管线假设'!G1259*IF(E5885="USD",'管线假设'!I1259,1)-AM5885</x:f>
        <x:v>0.020789999999999993</x:v>
      </x:c>
      <x:c r="M5885" s="11" t="n">
        <x:f>'管线假设'!H1259</x:f>
        <x:v>0.14</x:v>
      </x:c>
      <x:c r="N5885" s="11" t="n">
        <x:f>IF(G5885,L5885*AN5885/(1+M5885)^F5885,0)</x:f>
        <x:v>0.003223541893922762</x:v>
      </x:c>
      <x:c r="AJ5885" t="n">
        <x:v>0</x:v>
      </x:c>
      <x:c r="AK5885" t="n">
        <x:v>0</x:v>
      </x:c>
      <x:c r="AL5885" t="n">
        <x:v>0</x:v>
      </x:c>
      <x:c r="AM5885" t="n">
        <x:f>CHOOSE('假设'!$B$3,AJ5885,AK5885,AL5885)</x:f>
        <x:v>0</x:v>
      </x:c>
      <x:c r="AN5885" t="n">
        <x:v>1</x:v>
      </x:c>
    </x:row>
    <x:row r="5886" ht="23" customHeight="1">
      <x:c r="A5886" s="11" t="str">
        <x:v>688062.SH</x:v>
      </x:c>
      <x:c r="B5886" s="11" t="str">
        <x:v>三年</x:v>
      </x:c>
      <x:c r="C5886" s="11" t="str">
        <x:v>st2</x:v>
      </x:c>
      <x:c r="D5886" s="11" t="str">
        <x:v>2044-12-31</x:v>
      </x:c>
      <x:c r="E5886" s="11" t="str">
        <x:v>CNY</x:v>
      </x:c>
      <x:c r="F5886" s="11" t="n">
        <x:v>15.227926078028748</x:v>
      </x:c>
      <x:c r="G5886" s="26" t="b">
        <x:v>1</x:v>
      </x:c>
      <x:c r="H5886" s="16" t="n">
        <x:v>0.13199999999999998</x:v>
      </x:c>
      <x:c r="I5886" s="16" t="n">
        <x:v>0</x:v>
      </x:c>
      <x:c r="J5886" s="16" t="n">
        <x:v>0</x:v>
      </x:c>
      <x:c r="K5886" s="11" t="n">
        <x:f>CHOOSE('假设'!$B$3,H5886,I5886,J5886)</x:f>
        <x:v>0</x:v>
      </x:c>
      <x:c r="L5886" s="11" t="n">
        <x:f>K5886*'管线假设'!E1259*'管线假设'!F1259*'管线假设'!G1259*IF(E5886="USD",'管线假设'!I1259,1)-AM5886</x:f>
        <x:v>0</x:v>
      </x:c>
      <x:c r="M5886" s="11" t="n">
        <x:f>'管线假设'!H1259</x:f>
        <x:v>0.14</x:v>
      </x:c>
      <x:c r="N5886" s="11" t="n">
        <x:f>IF(G5886,L5886*AN5886/(1+M5886)^F5886,0)</x:f>
        <x:v>0</x:v>
      </x:c>
      <x:c r="AJ5886" t="n">
        <x:v>0</x:v>
      </x:c>
      <x:c r="AK5886" t="n">
        <x:v>0</x:v>
      </x:c>
      <x:c r="AL5886" t="n">
        <x:v>0</x:v>
      </x:c>
      <x:c r="AM5886" t="n">
        <x:f>CHOOSE('假设'!$B$3,AJ5886,AK5886,AL5886)</x:f>
        <x:v>0</x:v>
      </x:c>
      <x:c r="AN5886" t="n">
        <x:v>1</x:v>
      </x:c>
    </x:row>
    <x:row r="5887" ht="23" customHeight="1">
      <x:c r="A5887" s="11" t="str">
        <x:v>688062.SH</x:v>
      </x:c>
      <x:c r="B5887" s="11" t="str">
        <x:v>三年</x:v>
      </x:c>
      <x:c r="C5887" s="11" t="str">
        <x:v>st2</x:v>
      </x:c>
      <x:c r="D5887" s="11" t="str">
        <x:v>2045-12-31</x:v>
      </x:c>
      <x:c r="E5887" s="11" t="str">
        <x:v>CNY</x:v>
      </x:c>
      <x:c r="F5887" s="11" t="n">
        <x:v>16.227241615331966</x:v>
      </x:c>
      <x:c r="G5887" s="26" t="b">
        <x:v>1</x:v>
      </x:c>
      <x:c r="H5887" s="16" t="n">
        <x:v>0.05399999999999998</x:v>
      </x:c>
      <x:c r="I5887" s="16" t="n">
        <x:v>0</x:v>
      </x:c>
      <x:c r="J5887" s="16" t="n">
        <x:v>0</x:v>
      </x:c>
      <x:c r="K5887" s="11" t="n">
        <x:f>CHOOSE('假设'!$B$3,H5887,I5887,J5887)</x:f>
        <x:v>0</x:v>
      </x:c>
      <x:c r="L5887" s="11" t="n">
        <x:f>K5887*'管线假设'!E1259*'管线假设'!F1259*'管线假设'!G1259*IF(E5887="USD",'管线假设'!I1259,1)-AM5887</x:f>
        <x:v>0</x:v>
      </x:c>
      <x:c r="M5887" s="11" t="n">
        <x:f>'管线假设'!H1259</x:f>
        <x:v>0.14</x:v>
      </x:c>
      <x:c r="N5887" s="11" t="n">
        <x:f>IF(G5887,L5887*AN5887/(1+M5887)^F5887,0)</x:f>
        <x:v>0</x:v>
      </x:c>
      <x:c r="AJ5887" t="n">
        <x:v>0</x:v>
      </x:c>
      <x:c r="AK5887" t="n">
        <x:v>0</x:v>
      </x:c>
      <x:c r="AL5887" t="n">
        <x:v>0</x:v>
      </x:c>
      <x:c r="AM5887" t="n">
        <x:f>CHOOSE('假设'!$B$3,AJ5887,AK5887,AL5887)</x:f>
        <x:v>0</x:v>
      </x:c>
      <x:c r="AN5887" t="n">
        <x:v>1</x:v>
      </x:c>
    </x:row>
    <x:row r="5888" ht="23" customHeight="1">
      <x:c r="A5888" s="11" t="str">
        <x:v>688062.SH</x:v>
      </x:c>
      <x:c r="B5888" s="11" t="str">
        <x:v>三年</x:v>
      </x:c>
      <x:c r="C5888" s="11" t="str">
        <x:v>il11_global</x:v>
      </x:c>
      <x:c r="D5888" s="11" t="str">
        <x:v>2027-12-31</x:v>
      </x:c>
      <x:c r="E5888" s="11" t="str">
        <x:v>USD</x:v>
      </x:c>
      <x:c r="F5888" s="11" t="n">
        <x:v>-1.7741273100616017</x:v>
      </x:c>
      <x:c r="G5888" s="26" t="b">
        <x:v>0</x:v>
      </x:c>
      <x:c r="H5888" s="16" t="n">
        <x:v>0</x:v>
      </x:c>
      <x:c r="I5888" s="16" t="n">
        <x:v>0</x:v>
      </x:c>
      <x:c r="J5888" s="16" t="n">
        <x:v>0</x:v>
      </x:c>
      <x:c r="K5888" s="11" t="n">
        <x:f>CHOOSE('假设'!$B$3,H5888,I5888,J5888)</x:f>
        <x:v>0</x:v>
      </x:c>
      <x:c r="L5888" s="11" t="n">
        <x:f>K5888*'管线假设'!E1263*'管线假设'!F1263*'管线假设'!G1263*IF(E5888="USD",'管线假设'!I1263,1)-AM5888</x:f>
        <x:v>0</x:v>
      </x:c>
      <x:c r="M5888" s="11" t="n">
        <x:f>'管线假设'!H1263</x:f>
        <x:v>0.14</x:v>
      </x:c>
      <x:c r="N5888" s="11" t="n">
        <x:f>IF(G5888,L5888*AN5888/(1+M5888)^F5888,0)</x:f>
        <x:v>0</x:v>
      </x:c>
      <x:c r="AJ5888" t="n">
        <x:v>0</x:v>
      </x:c>
      <x:c r="AK5888" t="n">
        <x:v>0</x:v>
      </x:c>
      <x:c r="AL5888" t="n">
        <x:v>0</x:v>
      </x:c>
      <x:c r="AM5888" t="n">
        <x:f>CHOOSE('假设'!$B$3,AJ5888,AK5888,AL5888)</x:f>
        <x:v>0</x:v>
      </x:c>
      <x:c r="AN5888" t="n">
        <x:v>1</x:v>
      </x:c>
    </x:row>
    <x:row r="5889" ht="23" customHeight="1">
      <x:c r="A5889" s="11" t="str">
        <x:v>688062.SH</x:v>
      </x:c>
      <x:c r="B5889" s="11" t="str">
        <x:v>三年</x:v>
      </x:c>
      <x:c r="C5889" s="11" t="str">
        <x:v>il11_global</x:v>
      </x:c>
      <x:c r="D5889" s="11" t="str">
        <x:v>2028-12-31</x:v>
      </x:c>
      <x:c r="E5889" s="11" t="str">
        <x:v>USD</x:v>
      </x:c>
      <x:c r="F5889" s="11" t="n">
        <x:v>-0.7720739219712526</x:v>
      </x:c>
      <x:c r="G5889" s="26" t="b">
        <x:v>0</x:v>
      </x:c>
      <x:c r="H5889" s="16" t="n">
        <x:v>0</x:v>
      </x:c>
      <x:c r="I5889" s="16" t="n">
        <x:v>0</x:v>
      </x:c>
      <x:c r="J5889" s="16" t="n">
        <x:v>0</x:v>
      </x:c>
      <x:c r="K5889" s="11" t="n">
        <x:f>CHOOSE('假设'!$B$3,H5889,I5889,J5889)</x:f>
        <x:v>0</x:v>
      </x:c>
      <x:c r="L5889" s="11" t="n">
        <x:f>K5889*'管线假设'!E1263*'管线假设'!F1263*'管线假设'!G1263*IF(E5889="USD",'管线假设'!I1263,1)-AM5889</x:f>
        <x:v>0</x:v>
      </x:c>
      <x:c r="M5889" s="11" t="n">
        <x:f>'管线假设'!H1263</x:f>
        <x:v>0.14</x:v>
      </x:c>
      <x:c r="N5889" s="11" t="n">
        <x:f>IF(G5889,L5889*AN5889/(1+M5889)^F5889,0)</x:f>
        <x:v>0</x:v>
      </x:c>
      <x:c r="AJ5889" t="n">
        <x:v>0</x:v>
      </x:c>
      <x:c r="AK5889" t="n">
        <x:v>0</x:v>
      </x:c>
      <x:c r="AL5889" t="n">
        <x:v>0</x:v>
      </x:c>
      <x:c r="AM5889" t="n">
        <x:f>CHOOSE('假设'!$B$3,AJ5889,AK5889,AL5889)</x:f>
        <x:v>0</x:v>
      </x:c>
      <x:c r="AN5889" t="n">
        <x:v>1</x:v>
      </x:c>
    </x:row>
    <x:row r="5890" ht="23" customHeight="1">
      <x:c r="A5890" s="11" t="str">
        <x:v>688062.SH</x:v>
      </x:c>
      <x:c r="B5890" s="11" t="str">
        <x:v>三年</x:v>
      </x:c>
      <x:c r="C5890" s="11" t="str">
        <x:v>il11_global</x:v>
      </x:c>
      <x:c r="D5890" s="11" t="str">
        <x:v>2029-12-31</x:v>
      </x:c>
      <x:c r="E5890" s="11" t="str">
        <x:v>USD</x:v>
      </x:c>
      <x:c r="F5890" s="11" t="n">
        <x:v>0.2272416153319644</x:v>
      </x:c>
      <x:c r="G5890" s="26" t="b">
        <x:v>1</x:v>
      </x:c>
      <x:c r="H5890" s="16" t="n">
        <x:v>0</x:v>
      </x:c>
      <x:c r="I5890" s="16" t="n">
        <x:v>0</x:v>
      </x:c>
      <x:c r="J5890" s="16" t="n">
        <x:v>0</x:v>
      </x:c>
      <x:c r="K5890" s="11" t="n">
        <x:f>CHOOSE('假设'!$B$3,H5890,I5890,J5890)</x:f>
        <x:v>0</x:v>
      </x:c>
      <x:c r="L5890" s="11" t="n">
        <x:f>K5890*'管线假设'!E1263*'管线假设'!F1263*'管线假设'!G1263*IF(E5890="USD",'管线假设'!I1263,1)-AM5890</x:f>
        <x:v>0</x:v>
      </x:c>
      <x:c r="M5890" s="11" t="n">
        <x:f>'管线假设'!H1263</x:f>
        <x:v>0.14</x:v>
      </x:c>
      <x:c r="N5890" s="11" t="n">
        <x:f>IF(G5890,L5890*AN5890/(1+M5890)^F5890,0)</x:f>
        <x:v>0</x:v>
      </x:c>
      <x:c r="AJ5890" t="n">
        <x:v>0</x:v>
      </x:c>
      <x:c r="AK5890" t="n">
        <x:v>0</x:v>
      </x:c>
      <x:c r="AL5890" t="n">
        <x:v>0</x:v>
      </x:c>
      <x:c r="AM5890" t="n">
        <x:f>CHOOSE('假设'!$B$3,AJ5890,AK5890,AL5890)</x:f>
        <x:v>0</x:v>
      </x:c>
      <x:c r="AN5890" t="n">
        <x:v>1</x:v>
      </x:c>
    </x:row>
    <x:row r="5891" ht="23" customHeight="1">
      <x:c r="A5891" s="11" t="str">
        <x:v>688062.SH</x:v>
      </x:c>
      <x:c r="B5891" s="11" t="str">
        <x:v>三年</x:v>
      </x:c>
      <x:c r="C5891" s="11" t="str">
        <x:v>il11_global</x:v>
      </x:c>
      <x:c r="D5891" s="11" t="str">
        <x:v>2030-12-31</x:v>
      </x:c>
      <x:c r="E5891" s="11" t="str">
        <x:v>USD</x:v>
      </x:c>
      <x:c r="F5891" s="11" t="n">
        <x:v>1.2265571526351813</x:v>
      </x:c>
      <x:c r="G5891" s="26" t="b">
        <x:v>1</x:v>
      </x:c>
      <x:c r="H5891" s="16" t="n">
        <x:v>0</x:v>
      </x:c>
      <x:c r="I5891" s="16" t="n">
        <x:v>0</x:v>
      </x:c>
      <x:c r="J5891" s="16" t="n">
        <x:v>0</x:v>
      </x:c>
      <x:c r="K5891" s="11" t="n">
        <x:f>CHOOSE('假设'!$B$3,H5891,I5891,J5891)</x:f>
        <x:v>0</x:v>
      </x:c>
      <x:c r="L5891" s="11" t="n">
        <x:f>K5891*'管线假设'!E1263*'管线假设'!F1263*'管线假设'!G1263*IF(E5891="USD",'管线假设'!I1263,1)-AM5891</x:f>
        <x:v>0</x:v>
      </x:c>
      <x:c r="M5891" s="11" t="n">
        <x:f>'管线假设'!H1263</x:f>
        <x:v>0.14</x:v>
      </x:c>
      <x:c r="N5891" s="11" t="n">
        <x:f>IF(G5891,L5891*AN5891/(1+M5891)^F5891,0)</x:f>
        <x:v>0</x:v>
      </x:c>
      <x:c r="AJ5891" t="n">
        <x:v>0</x:v>
      </x:c>
      <x:c r="AK5891" t="n">
        <x:v>0</x:v>
      </x:c>
      <x:c r="AL5891" t="n">
        <x:v>0</x:v>
      </x:c>
      <x:c r="AM5891" t="n">
        <x:f>CHOOSE('假设'!$B$3,AJ5891,AK5891,AL5891)</x:f>
        <x:v>0</x:v>
      </x:c>
      <x:c r="AN5891" t="n">
        <x:v>1</x:v>
      </x:c>
    </x:row>
    <x:row r="5892" ht="23" customHeight="1">
      <x:c r="A5892" s="11" t="str">
        <x:v>688062.SH</x:v>
      </x:c>
      <x:c r="B5892" s="11" t="str">
        <x:v>三年</x:v>
      </x:c>
      <x:c r="C5892" s="11" t="str">
        <x:v>il11_global</x:v>
      </x:c>
      <x:c r="D5892" s="11" t="str">
        <x:v>2031-12-31</x:v>
      </x:c>
      <x:c r="E5892" s="11" t="str">
        <x:v>USD</x:v>
      </x:c>
      <x:c r="F5892" s="11" t="n">
        <x:v>2.2258726899383983</x:v>
      </x:c>
      <x:c r="G5892" s="26" t="b">
        <x:v>1</x:v>
      </x:c>
      <x:c r="H5892" s="16" t="n">
        <x:v>0</x:v>
      </x:c>
      <x:c r="I5892" s="16" t="n">
        <x:v>0</x:v>
      </x:c>
      <x:c r="J5892" s="16" t="n">
        <x:v>0.5833333333333333</x:v>
      </x:c>
      <x:c r="K5892" s="11" t="n">
        <x:f>CHOOSE('假设'!$B$3,H5892,I5892,J5892)</x:f>
        <x:v>0</x:v>
      </x:c>
      <x:c r="L5892" s="11" t="n">
        <x:f>K5892*'管线假设'!E1263*'管线假设'!F1263*'管线假设'!G1263*IF(E5892="USD",'管线假设'!I1263,1)-AM5892</x:f>
        <x:v>0</x:v>
      </x:c>
      <x:c r="M5892" s="11" t="n">
        <x:f>'管线假设'!H1263</x:f>
        <x:v>0.14</x:v>
      </x:c>
      <x:c r="N5892" s="11" t="n">
        <x:f>IF(G5892,L5892*AN5892/(1+M5892)^F5892,0)</x:f>
        <x:v>0</x:v>
      </x:c>
      <x:c r="AJ5892" t="n">
        <x:v>0</x:v>
      </x:c>
      <x:c r="AK5892" t="n">
        <x:v>0</x:v>
      </x:c>
      <x:c r="AL5892" t="n">
        <x:v>0</x:v>
      </x:c>
      <x:c r="AM5892" t="n">
        <x:f>CHOOSE('假设'!$B$3,AJ5892,AK5892,AL5892)</x:f>
        <x:v>0</x:v>
      </x:c>
      <x:c r="AN5892" t="n">
        <x:v>1</x:v>
      </x:c>
    </x:row>
    <x:row r="5893" ht="23" customHeight="1">
      <x:c r="A5893" s="11" t="str">
        <x:v>688062.SH</x:v>
      </x:c>
      <x:c r="B5893" s="11" t="str">
        <x:v>三年</x:v>
      </x:c>
      <x:c r="C5893" s="11" t="str">
        <x:v>il11_global</x:v>
      </x:c>
      <x:c r="D5893" s="11" t="str">
        <x:v>2032-12-31</x:v>
      </x:c>
      <x:c r="E5893" s="11" t="str">
        <x:v>USD</x:v>
      </x:c>
      <x:c r="F5893" s="11" t="n">
        <x:v>3.2279260780287475</x:v>
      </x:c>
      <x:c r="G5893" s="26" t="b">
        <x:v>1</x:v>
      </x:c>
      <x:c r="H5893" s="16" t="n">
        <x:v>0</x:v>
      </x:c>
      <x:c r="I5893" s="16" t="n">
        <x:v>0</x:v>
      </x:c>
      <x:c r="J5893" s="16" t="n">
        <x:v>1.1666666666666665</x:v>
      </x:c>
      <x:c r="K5893" s="11" t="n">
        <x:f>CHOOSE('假设'!$B$3,H5893,I5893,J5893)</x:f>
        <x:v>0</x:v>
      </x:c>
      <x:c r="L5893" s="11" t="n">
        <x:f>K5893*'管线假设'!E1263*'管线假设'!F1263*'管线假设'!G1263*IF(E5893="USD",'管线假设'!I1263,1)-AM5893</x:f>
        <x:v>0</x:v>
      </x:c>
      <x:c r="M5893" s="11" t="n">
        <x:f>'管线假设'!H1263</x:f>
        <x:v>0.14</x:v>
      </x:c>
      <x:c r="N5893" s="11" t="n">
        <x:f>IF(G5893,L5893*AN5893/(1+M5893)^F5893,0)</x:f>
        <x:v>0</x:v>
      </x:c>
      <x:c r="AJ5893" t="n">
        <x:v>0</x:v>
      </x:c>
      <x:c r="AK5893" t="n">
        <x:v>0</x:v>
      </x:c>
      <x:c r="AL5893" t="n">
        <x:v>0</x:v>
      </x:c>
      <x:c r="AM5893" t="n">
        <x:f>CHOOSE('假设'!$B$3,AJ5893,AK5893,AL5893)</x:f>
        <x:v>0</x:v>
      </x:c>
      <x:c r="AN5893" t="n">
        <x:v>1</x:v>
      </x:c>
    </x:row>
    <x:row r="5894" ht="23" customHeight="1">
      <x:c r="A5894" s="11" t="str">
        <x:v>688062.SH</x:v>
      </x:c>
      <x:c r="B5894" s="11" t="str">
        <x:v>三年</x:v>
      </x:c>
      <x:c r="C5894" s="11" t="str">
        <x:v>il11_global</x:v>
      </x:c>
      <x:c r="D5894" s="11" t="str">
        <x:v>2033-12-31</x:v>
      </x:c>
      <x:c r="E5894" s="11" t="str">
        <x:v>USD</x:v>
      </x:c>
      <x:c r="F5894" s="11" t="n">
        <x:v>4.227241615331964</x:v>
      </x:c>
      <x:c r="G5894" s="26" t="b">
        <x:v>1</x:v>
      </x:c>
      <x:c r="H5894" s="16" t="n">
        <x:v>0</x:v>
      </x:c>
      <x:c r="I5894" s="16" t="n">
        <x:v>0.3</x:v>
      </x:c>
      <x:c r="J5894" s="16" t="n">
        <x:v>1.75</x:v>
      </x:c>
      <x:c r="K5894" s="11" t="n">
        <x:f>CHOOSE('假设'!$B$3,H5894,I5894,J5894)</x:f>
        <x:v>0.3</x:v>
      </x:c>
      <x:c r="L5894" s="11" t="n">
        <x:f>K5894*'管线假设'!E1263*'管线假设'!F1263*'管线假设'!G1263*IF(E5894="USD",'管线假设'!I1263,1)-AM5894</x:f>
        <x:v>0.036347904000000014</x:v>
      </x:c>
      <x:c r="M5894" s="11" t="n">
        <x:f>'管线假设'!H1263</x:f>
        <x:v>0.14</x:v>
      </x:c>
      <x:c r="N5894" s="11" t="n">
        <x:f>IF(G5894,L5894*AN5894/(1+M5894)^F5894,0)</x:f>
        <x:v>0.020889537113989536</x:v>
      </x:c>
      <x:c r="AJ5894" t="n">
        <x:v>0</x:v>
      </x:c>
      <x:c r="AK5894" t="n">
        <x:v>0</x:v>
      </x:c>
      <x:c r="AL5894" t="n">
        <x:v>0</x:v>
      </x:c>
      <x:c r="AM5894" t="n">
        <x:f>CHOOSE('假设'!$B$3,AJ5894,AK5894,AL5894)</x:f>
        <x:v>0</x:v>
      </x:c>
      <x:c r="AN5894" t="n">
        <x:v>1</x:v>
      </x:c>
    </x:row>
    <x:row r="5895" ht="23" customHeight="1">
      <x:c r="A5895" s="11" t="str">
        <x:v>688062.SH</x:v>
      </x:c>
      <x:c r="B5895" s="11" t="str">
        <x:v>三年</x:v>
      </x:c>
      <x:c r="C5895" s="11" t="str">
        <x:v>il11_global</x:v>
      </x:c>
      <x:c r="D5895" s="11" t="str">
        <x:v>2034-12-31</x:v>
      </x:c>
      <x:c r="E5895" s="11" t="str">
        <x:v>USD</x:v>
      </x:c>
      <x:c r="F5895" s="11" t="n">
        <x:v>5.2265571526351815</x:v>
      </x:c>
      <x:c r="G5895" s="26" t="b">
        <x:v>1</x:v>
      </x:c>
      <x:c r="H5895" s="16" t="n">
        <x:v>0</x:v>
      </x:c>
      <x:c r="I5895" s="16" t="n">
        <x:v>0.6</x:v>
      </x:c>
      <x:c r="J5895" s="16" t="n">
        <x:v>2.333333333333333</x:v>
      </x:c>
      <x:c r="K5895" s="11" t="n">
        <x:f>CHOOSE('假设'!$B$3,H5895,I5895,J5895)</x:f>
        <x:v>0.6</x:v>
      </x:c>
      <x:c r="L5895" s="11" t="n">
        <x:f>K5895*'管线假设'!E1263*'管线假设'!F1263*'管线假设'!G1263*IF(E5895="USD",'管线假设'!I1263,1)-AM5895</x:f>
        <x:v>0.07269580800000003</x:v>
      </x:c>
      <x:c r="M5895" s="11" t="n">
        <x:f>'管线假设'!H1263</x:f>
        <x:v>0.14</x:v>
      </x:c>
      <x:c r="N5895" s="11" t="n">
        <x:f>IF(G5895,L5895*AN5895/(1+M5895)^F5895,0)</x:f>
        <x:v>0.03665159763924104</x:v>
      </x:c>
      <x:c r="AJ5895" t="n">
        <x:v>0</x:v>
      </x:c>
      <x:c r="AK5895" t="n">
        <x:v>0</x:v>
      </x:c>
      <x:c r="AL5895" t="n">
        <x:v>0</x:v>
      </x:c>
      <x:c r="AM5895" t="n">
        <x:f>CHOOSE('假设'!$B$3,AJ5895,AK5895,AL5895)</x:f>
        <x:v>0</x:v>
      </x:c>
      <x:c r="AN5895" t="n">
        <x:v>1</x:v>
      </x:c>
    </x:row>
    <x:row r="5896" ht="23" customHeight="1">
      <x:c r="A5896" s="11" t="str">
        <x:v>688062.SH</x:v>
      </x:c>
      <x:c r="B5896" s="11" t="str">
        <x:v>三年</x:v>
      </x:c>
      <x:c r="C5896" s="11" t="str">
        <x:v>il11_global</x:v>
      </x:c>
      <x:c r="D5896" s="11" t="str">
        <x:v>2035-12-31</x:v>
      </x:c>
      <x:c r="E5896" s="11" t="str">
        <x:v>USD</x:v>
      </x:c>
      <x:c r="F5896" s="11" t="n">
        <x:v>6.225872689938399</x:v>
      </x:c>
      <x:c r="G5896" s="26" t="b">
        <x:v>1</x:v>
      </x:c>
      <x:c r="H5896" s="16" t="n">
        <x:v>0</x:v>
      </x:c>
      <x:c r="I5896" s="16" t="n">
        <x:v>0.9</x:v>
      </x:c>
      <x:c r="J5896" s="16" t="n">
        <x:v>2.916666666666667</x:v>
      </x:c>
      <x:c r="K5896" s="11" t="n">
        <x:f>CHOOSE('假设'!$B$3,H5896,I5896,J5896)</x:f>
        <x:v>0.9</x:v>
      </x:c>
      <x:c r="L5896" s="11" t="n">
        <x:f>K5896*'管线假设'!E1263*'管线假设'!F1263*'管线假设'!G1263*IF(E5896="USD",'管线假设'!I1263,1)-AM5896</x:f>
        <x:v>0.10904371200000004</x:v>
      </x:c>
      <x:c r="M5896" s="11" t="n">
        <x:f>'管线假设'!H1263</x:f>
        <x:v>0.14</x:v>
      </x:c>
      <x:c r="N5896" s="11" t="n">
        <x:f>IF(G5896,L5896*AN5896/(1+M5896)^F5896,0)</x:f>
        <x:v>0.04823011164076478</x:v>
      </x:c>
      <x:c r="AJ5896" t="n">
        <x:v>0</x:v>
      </x:c>
      <x:c r="AK5896" t="n">
        <x:v>0</x:v>
      </x:c>
      <x:c r="AL5896" t="n">
        <x:v>0</x:v>
      </x:c>
      <x:c r="AM5896" t="n">
        <x:f>CHOOSE('假设'!$B$3,AJ5896,AK5896,AL5896)</x:f>
        <x:v>0</x:v>
      </x:c>
      <x:c r="AN5896" t="n">
        <x:v>1</x:v>
      </x:c>
    </x:row>
    <x:row r="5897" ht="23" customHeight="1">
      <x:c r="A5897" s="11" t="str">
        <x:v>688062.SH</x:v>
      </x:c>
      <x:c r="B5897" s="11" t="str">
        <x:v>三年</x:v>
      </x:c>
      <x:c r="C5897" s="11" t="str">
        <x:v>il11_global</x:v>
      </x:c>
      <x:c r="D5897" s="11" t="str">
        <x:v>2036-12-31</x:v>
      </x:c>
      <x:c r="E5897" s="11" t="str">
        <x:v>USD</x:v>
      </x:c>
      <x:c r="F5897" s="11" t="n">
        <x:v>7.227926078028747</x:v>
      </x:c>
      <x:c r="G5897" s="26" t="b">
        <x:v>1</x:v>
      </x:c>
      <x:c r="H5897" s="16" t="n">
        <x:v>0.12</x:v>
      </x:c>
      <x:c r="I5897" s="16" t="n">
        <x:v>1.2</x:v>
      </x:c>
      <x:c r="J5897" s="16" t="n">
        <x:v>3.5</x:v>
      </x:c>
      <x:c r="K5897" s="11" t="n">
        <x:f>CHOOSE('假设'!$B$3,H5897,I5897,J5897)</x:f>
        <x:v>1.2</x:v>
      </x:c>
      <x:c r="L5897" s="11" t="n">
        <x:f>K5897*'管线假设'!E1263*'管线假设'!F1263*'管线假设'!G1263*IF(E5897="USD",'管线假设'!I1263,1)-AM5897</x:f>
        <x:v>0.14539161600000006</x:v>
      </x:c>
      <x:c r="M5897" s="11" t="n">
        <x:f>'管线假设'!H1263</x:f>
        <x:v>0.14</x:v>
      </x:c>
      <x:c r="N5897" s="11" t="n">
        <x:f>IF(G5897,L5897*AN5897/(1+M5897)^F5897,0)</x:f>
        <x:v>0.05639431226242528</x:v>
      </x:c>
      <x:c r="AJ5897" t="n">
        <x:v>0</x:v>
      </x:c>
      <x:c r="AK5897" t="n">
        <x:v>0</x:v>
      </x:c>
      <x:c r="AL5897" t="n">
        <x:v>0</x:v>
      </x:c>
      <x:c r="AM5897" t="n">
        <x:f>CHOOSE('假设'!$B$3,AJ5897,AK5897,AL5897)</x:f>
        <x:v>0</x:v>
      </x:c>
      <x:c r="AN5897" t="n">
        <x:v>1</x:v>
      </x:c>
    </x:row>
    <x:row r="5898" ht="23" customHeight="1">
      <x:c r="A5898" s="11" t="str">
        <x:v>688062.SH</x:v>
      </x:c>
      <x:c r="B5898" s="11" t="str">
        <x:v>三年</x:v>
      </x:c>
      <x:c r="C5898" s="11" t="str">
        <x:v>il11_global</x:v>
      </x:c>
      <x:c r="D5898" s="11" t="str">
        <x:v>2037-12-31</x:v>
      </x:c>
      <x:c r="E5898" s="11" t="str">
        <x:v>USD</x:v>
      </x:c>
      <x:c r="F5898" s="11" t="n">
        <x:v>8.227241615331964</x:v>
      </x:c>
      <x:c r="G5898" s="26" t="b">
        <x:v>1</x:v>
      </x:c>
      <x:c r="H5898" s="16" t="n">
        <x:v>0.24</x:v>
      </x:c>
      <x:c r="I5898" s="16" t="n">
        <x:v>1.5</x:v>
      </x:c>
      <x:c r="J5898" s="16" t="n">
        <x:v>3.045</x:v>
      </x:c>
      <x:c r="K5898" s="11" t="n">
        <x:f>CHOOSE('假设'!$B$3,H5898,I5898,J5898)</x:f>
        <x:v>1.5</x:v>
      </x:c>
      <x:c r="L5898" s="11" t="n">
        <x:f>K5898*'管线假设'!E1263*'管线假设'!F1263*'管线假设'!G1263*IF(E5898="USD",'管线假设'!I1263,1)-AM5898</x:f>
        <x:v>0.18173952000000004</x:v>
      </x:c>
      <x:c r="M5898" s="11" t="n">
        <x:f>'管线假设'!H1263</x:f>
        <x:v>0.14</x:v>
      </x:c>
      <x:c r="N5898" s="11" t="n">
        <x:f>IF(G5898,L5898*AN5898/(1+M5898)^F5898,0)</x:f>
        <x:v>0.06184141464292895</x:v>
      </x:c>
      <x:c r="AJ5898" t="n">
        <x:v>0</x:v>
      </x:c>
      <x:c r="AK5898" t="n">
        <x:v>0</x:v>
      </x:c>
      <x:c r="AL5898" t="n">
        <x:v>0</x:v>
      </x:c>
      <x:c r="AM5898" t="n">
        <x:f>CHOOSE('假设'!$B$3,AJ5898,AK5898,AL5898)</x:f>
        <x:v>0</x:v>
      </x:c>
      <x:c r="AN5898" t="n">
        <x:v>1</x:v>
      </x:c>
    </x:row>
    <x:row r="5899" ht="23" customHeight="1">
      <x:c r="A5899" s="11" t="str">
        <x:v>688062.SH</x:v>
      </x:c>
      <x:c r="B5899" s="11" t="str">
        <x:v>三年</x:v>
      </x:c>
      <x:c r="C5899" s="11" t="str">
        <x:v>il11_global</x:v>
      </x:c>
      <x:c r="D5899" s="11" t="str">
        <x:v>2038-12-31</x:v>
      </x:c>
      <x:c r="E5899" s="11" t="str">
        <x:v>USD</x:v>
      </x:c>
      <x:c r="F5899" s="11" t="n">
        <x:v>9.22655715263518</x:v>
      </x:c>
      <x:c r="G5899" s="26" t="b">
        <x:v>1</x:v>
      </x:c>
      <x:c r="H5899" s="16" t="n">
        <x:v>0.36</x:v>
      </x:c>
      <x:c r="I5899" s="16" t="n">
        <x:v>1.8</x:v>
      </x:c>
      <x:c r="J5899" s="16" t="n">
        <x:v>2.59</x:v>
      </x:c>
      <x:c r="K5899" s="11" t="n">
        <x:f>CHOOSE('假设'!$B$3,H5899,I5899,J5899)</x:f>
        <x:v>1.8</x:v>
      </x:c>
      <x:c r="L5899" s="11" t="n">
        <x:f>K5899*'管线假设'!E1263*'管线假设'!F1263*'管线假设'!G1263*IF(E5899="USD",'管线假设'!I1263,1)-AM5899</x:f>
        <x:v>0.21808742400000009</x:v>
      </x:c>
      <x:c r="M5899" s="11" t="n">
        <x:f>'管线假设'!H1263</x:f>
        <x:v>0.14</x:v>
      </x:c>
      <x:c r="N5899" s="11" t="n">
        <x:f>IF(G5899,L5899*AN5899/(1+M5899)^F5899,0)</x:f>
        <x:v>0.06510206428890726</x:v>
      </x:c>
      <x:c r="AJ5899" t="n">
        <x:v>0</x:v>
      </x:c>
      <x:c r="AK5899" t="n">
        <x:v>0</x:v>
      </x:c>
      <x:c r="AL5899" t="n">
        <x:v>0</x:v>
      </x:c>
      <x:c r="AM5899" t="n">
        <x:f>CHOOSE('假设'!$B$3,AJ5899,AK5899,AL5899)</x:f>
        <x:v>0</x:v>
      </x:c>
      <x:c r="AN5899" t="n">
        <x:v>1</x:v>
      </x:c>
    </x:row>
    <x:row r="5900" ht="23" customHeight="1">
      <x:c r="A5900" s="11" t="str">
        <x:v>688062.SH</x:v>
      </x:c>
      <x:c r="B5900" s="11" t="str">
        <x:v>三年</x:v>
      </x:c>
      <x:c r="C5900" s="11" t="str">
        <x:v>il11_global</x:v>
      </x:c>
      <x:c r="D5900" s="11" t="str">
        <x:v>2039-12-31</x:v>
      </x:c>
      <x:c r="E5900" s="11" t="str">
        <x:v>USD</x:v>
      </x:c>
      <x:c r="F5900" s="11" t="n">
        <x:v>10.225872689938399</x:v>
      </x:c>
      <x:c r="G5900" s="26" t="b">
        <x:v>1</x:v>
      </x:c>
      <x:c r="H5900" s="16" t="n">
        <x:v>0.48</x:v>
      </x:c>
      <x:c r="I5900" s="16" t="n">
        <x:v>1.566</x:v>
      </x:c>
      <x:c r="J5900" s="16" t="n">
        <x:v>2.135</x:v>
      </x:c>
      <x:c r="K5900" s="11" t="n">
        <x:f>CHOOSE('假设'!$B$3,H5900,I5900,J5900)</x:f>
        <x:v>1.566</x:v>
      </x:c>
      <x:c r="L5900" s="11" t="n">
        <x:f>K5900*'管线假设'!E1263*'管线假设'!F1263*'管线假设'!G1263*IF(E5900="USD",'管线假设'!I1263,1)-AM5900</x:f>
        <x:v>0.18973605888000006</x:v>
      </x:c>
      <x:c r="M5900" s="11" t="n">
        <x:f>'管线假设'!H1263</x:f>
        <x:v>0.14</x:v>
      </x:c>
      <x:c r="N5900" s="11" t="n">
        <x:f>IF(G5900,L5900*AN5900/(1+M5900)^F5900,0)</x:f>
        <x:v>0.04968761030747504</x:v>
      </x:c>
      <x:c r="AJ5900" t="n">
        <x:v>0</x:v>
      </x:c>
      <x:c r="AK5900" t="n">
        <x:v>0</x:v>
      </x:c>
      <x:c r="AL5900" t="n">
        <x:v>0</x:v>
      </x:c>
      <x:c r="AM5900" t="n">
        <x:f>CHOOSE('假设'!$B$3,AJ5900,AK5900,AL5900)</x:f>
        <x:v>0</x:v>
      </x:c>
      <x:c r="AN5900" t="n">
        <x:v>1</x:v>
      </x:c>
    </x:row>
    <x:row r="5901" ht="23" customHeight="1">
      <x:c r="A5901" s="11" t="str">
        <x:v>688062.SH</x:v>
      </x:c>
      <x:c r="B5901" s="11" t="str">
        <x:v>三年</x:v>
      </x:c>
      <x:c r="C5901" s="11" t="str">
        <x:v>il11_global</x:v>
      </x:c>
      <x:c r="D5901" s="11" t="str">
        <x:v>2040-12-31</x:v>
      </x:c>
      <x:c r="E5901" s="11" t="str">
        <x:v>USD</x:v>
      </x:c>
      <x:c r="F5901" s="11" t="n">
        <x:v>11.227926078028748</x:v>
      </x:c>
      <x:c r="G5901" s="26" t="b">
        <x:v>1</x:v>
      </x:c>
      <x:c r="H5901" s="16" t="n">
        <x:v>0.6</x:v>
      </x:c>
      <x:c r="I5901" s="16" t="n">
        <x:v>1.332</x:v>
      </x:c>
      <x:c r="J5901" s="16" t="n">
        <x:v>1.68</x:v>
      </x:c>
      <x:c r="K5901" s="11" t="n">
        <x:f>CHOOSE('假设'!$B$3,H5901,I5901,J5901)</x:f>
        <x:v>1.332</x:v>
      </x:c>
      <x:c r="L5901" s="11" t="n">
        <x:f>K5901*'管线假设'!E1263*'管线假设'!F1263*'管线假设'!G1263*IF(E5901="USD",'管线假设'!I1263,1)-AM5901</x:f>
        <x:v>0.16138469376000006</x:v>
      </x:c>
      <x:c r="M5901" s="11" t="n">
        <x:f>'管线假设'!H1263</x:f>
        <x:v>0.14</x:v>
      </x:c>
      <x:c r="N5901" s="11" t="n">
        <x:f>IF(G5901,L5901*AN5901/(1+M5901)^F5901,0)</x:f>
        <x:v>0.03706285565154599</x:v>
      </x:c>
      <x:c r="AJ5901" t="n">
        <x:v>0</x:v>
      </x:c>
      <x:c r="AK5901" t="n">
        <x:v>0</x:v>
      </x:c>
      <x:c r="AL5901" t="n">
        <x:v>0</x:v>
      </x:c>
      <x:c r="AM5901" t="n">
        <x:f>CHOOSE('假设'!$B$3,AJ5901,AK5901,AL5901)</x:f>
        <x:v>0</x:v>
      </x:c>
      <x:c r="AN5901" t="n">
        <x:v>1</x:v>
      </x:c>
    </x:row>
    <x:row r="5902" ht="23" customHeight="1">
      <x:c r="A5902" s="11" t="str">
        <x:v>688062.SH</x:v>
      </x:c>
      <x:c r="B5902" s="11" t="str">
        <x:v>三年</x:v>
      </x:c>
      <x:c r="C5902" s="11" t="str">
        <x:v>il11_global</x:v>
      </x:c>
      <x:c r="D5902" s="11" t="str">
        <x:v>2041-12-31</x:v>
      </x:c>
      <x:c r="E5902" s="11" t="str">
        <x:v>USD</x:v>
      </x:c>
      <x:c r="F5902" s="11" t="n">
        <x:v>12.227241615331964</x:v>
      </x:c>
      <x:c r="G5902" s="26" t="b">
        <x:v>1</x:v>
      </x:c>
      <x:c r="H5902" s="16" t="n">
        <x:v>0.522</x:v>
      </x:c>
      <x:c r="I5902" s="16" t="n">
        <x:v>1.098</x:v>
      </x:c>
      <x:c r="J5902" s="16" t="n">
        <x:v>1.2249999999999999</x:v>
      </x:c>
      <x:c r="K5902" s="11" t="n">
        <x:f>CHOOSE('假设'!$B$3,H5902,I5902,J5902)</x:f>
        <x:v>1.098</x:v>
      </x:c>
      <x:c r="L5902" s="11" t="n">
        <x:f>K5902*'管线假设'!E1263*'管线假设'!F1263*'管线假设'!G1263*IF(E5902="USD",'管线假设'!I1263,1)-AM5902</x:f>
        <x:v>0.13303332864000006</x:v>
      </x:c>
      <x:c r="M5902" s="11" t="n">
        <x:f>'管线假设'!H1263</x:f>
        <x:v>0.14</x:v>
      </x:c>
      <x:c r="N5902" s="11" t="n">
        <x:f>IF(G5902,L5902*AN5902/(1+M5902)^F5902,0)</x:f>
        <x:v>0.0268022399762372</x:v>
      </x:c>
      <x:c r="AJ5902" t="n">
        <x:v>0</x:v>
      </x:c>
      <x:c r="AK5902" t="n">
        <x:v>0</x:v>
      </x:c>
      <x:c r="AL5902" t="n">
        <x:v>0</x:v>
      </x:c>
      <x:c r="AM5902" t="n">
        <x:f>CHOOSE('假设'!$B$3,AJ5902,AK5902,AL5902)</x:f>
        <x:v>0</x:v>
      </x:c>
      <x:c r="AN5902" t="n">
        <x:v>1</x:v>
      </x:c>
    </x:row>
    <x:row r="5903" ht="23" customHeight="1">
      <x:c r="A5903" s="11" t="str">
        <x:v>688062.SH</x:v>
      </x:c>
      <x:c r="B5903" s="11" t="str">
        <x:v>三年</x:v>
      </x:c>
      <x:c r="C5903" s="11" t="str">
        <x:v>il11_global</x:v>
      </x:c>
      <x:c r="D5903" s="11" t="str">
        <x:v>2042-12-31</x:v>
      </x:c>
      <x:c r="E5903" s="11" t="str">
        <x:v>USD</x:v>
      </x:c>
      <x:c r="F5903" s="11" t="n">
        <x:v>13.22655715263518</x:v>
      </x:c>
      <x:c r="G5903" s="26" t="b">
        <x:v>1</x:v>
      </x:c>
      <x:c r="H5903" s="16" t="n">
        <x:v>0.444</x:v>
      </x:c>
      <x:c r="I5903" s="16" t="n">
        <x:v>0.864</x:v>
      </x:c>
      <x:c r="J5903" s="16" t="n">
        <x:v>0.7699999999999999</x:v>
      </x:c>
      <x:c r="K5903" s="11" t="n">
        <x:f>CHOOSE('假设'!$B$3,H5903,I5903,J5903)</x:f>
        <x:v>0.864</x:v>
      </x:c>
      <x:c r="L5903" s="11" t="n">
        <x:f>K5903*'管线假设'!E1263*'管线假设'!F1263*'管线假设'!G1263*IF(E5903="USD",'管线假设'!I1263,1)-AM5903</x:f>
        <x:v>0.10468196352000003</x:v>
      </x:c>
      <x:c r="M5903" s="11" t="n">
        <x:f>'管线假设'!H1263</x:f>
        <x:v>0.14</x:v>
      </x:c>
      <x:c r="N5903" s="11" t="n">
        <x:f>IF(G5903,L5903*AN5903/(1+M5903)^F5903,0)</x:f>
        <x:v>0.018501911175143097</x:v>
      </x:c>
      <x:c r="AJ5903" t="n">
        <x:v>0</x:v>
      </x:c>
      <x:c r="AK5903" t="n">
        <x:v>0</x:v>
      </x:c>
      <x:c r="AL5903" t="n">
        <x:v>0</x:v>
      </x:c>
      <x:c r="AM5903" t="n">
        <x:f>CHOOSE('假设'!$B$3,AJ5903,AK5903,AL5903)</x:f>
        <x:v>0</x:v>
      </x:c>
      <x:c r="AN5903" t="n">
        <x:v>1</x:v>
      </x:c>
    </x:row>
    <x:row r="5904" ht="23" customHeight="1">
      <x:c r="A5904" s="11" t="str">
        <x:v>688062.SH</x:v>
      </x:c>
      <x:c r="B5904" s="11" t="str">
        <x:v>三年</x:v>
      </x:c>
      <x:c r="C5904" s="11" t="str">
        <x:v>il11_global</x:v>
      </x:c>
      <x:c r="D5904" s="11" t="str">
        <x:v>2043-12-31</x:v>
      </x:c>
      <x:c r="E5904" s="11" t="str">
        <x:v>USD</x:v>
      </x:c>
      <x:c r="F5904" s="11" t="n">
        <x:v>14.225872689938399</x:v>
      </x:c>
      <x:c r="G5904" s="26" t="b">
        <x:v>1</x:v>
      </x:c>
      <x:c r="H5904" s="16" t="n">
        <x:v>0.366</x:v>
      </x:c>
      <x:c r="I5904" s="16" t="n">
        <x:v>0.63</x:v>
      </x:c>
      <x:c r="J5904" s="16" t="n">
        <x:v>0.3149999999999999</x:v>
      </x:c>
      <x:c r="K5904" s="11" t="n">
        <x:f>CHOOSE('假设'!$B$3,H5904,I5904,J5904)</x:f>
        <x:v>0.63</x:v>
      </x:c>
      <x:c r="L5904" s="11" t="n">
        <x:f>K5904*'管线假设'!E1263*'管线假设'!F1263*'管线假设'!G1263*IF(E5904="USD",'管线假设'!I1263,1)-AM5904</x:f>
        <x:v>0.07633059840000002</x:v>
      </x:c>
      <x:c r="M5904" s="11" t="n">
        <x:f>'管线假设'!H1263</x:f>
        <x:v>0.14</x:v>
      </x:c>
      <x:c r="N5904" s="11" t="n">
        <x:f>IF(G5904,L5904*AN5904/(1+M5904)^F5904,0)</x:f>
        <x:v>0.011835251646493213</x:v>
      </x:c>
      <x:c r="AJ5904" t="n">
        <x:v>0</x:v>
      </x:c>
      <x:c r="AK5904" t="n">
        <x:v>0</x:v>
      </x:c>
      <x:c r="AL5904" t="n">
        <x:v>0</x:v>
      </x:c>
      <x:c r="AM5904" t="n">
        <x:f>CHOOSE('假设'!$B$3,AJ5904,AK5904,AL5904)</x:f>
        <x:v>0</x:v>
      </x:c>
      <x:c r="AN5904" t="n">
        <x:v>1</x:v>
      </x:c>
    </x:row>
    <x:row r="5905" ht="23" customHeight="1">
      <x:c r="A5905" s="11" t="str">
        <x:v>688062.SH</x:v>
      </x:c>
      <x:c r="B5905" s="11" t="str">
        <x:v>三年</x:v>
      </x:c>
      <x:c r="C5905" s="11" t="str">
        <x:v>il11_global</x:v>
      </x:c>
      <x:c r="D5905" s="11" t="str">
        <x:v>2044-12-31</x:v>
      </x:c>
      <x:c r="E5905" s="11" t="str">
        <x:v>USD</x:v>
      </x:c>
      <x:c r="F5905" s="11" t="n">
        <x:v>15.227926078028748</x:v>
      </x:c>
      <x:c r="G5905" s="26" t="b">
        <x:v>1</x:v>
      </x:c>
      <x:c r="H5905" s="16" t="n">
        <x:v>0.288</x:v>
      </x:c>
      <x:c r="I5905" s="16" t="n">
        <x:v>0.39599999999999996</x:v>
      </x:c>
      <x:c r="J5905" s="16" t="n">
        <x:v>0</x:v>
      </x:c>
      <x:c r="K5905" s="11" t="n">
        <x:f>CHOOSE('假设'!$B$3,H5905,I5905,J5905)</x:f>
        <x:v>0.39599999999999996</x:v>
      </x:c>
      <x:c r="L5905" s="11" t="n">
        <x:f>K5905*'管线假设'!E1263*'管线假设'!F1263*'管线假设'!G1263*IF(E5905="USD",'管线假设'!I1263,1)-AM5905</x:f>
        <x:v>0.04797923328000001</x:v>
      </x:c>
      <x:c r="M5905" s="11" t="n">
        <x:f>'管线假设'!H1263</x:f>
        <x:v>0.14</x:v>
      </x:c>
      <x:c r="N5905" s="11" t="n">
        <x:f>IF(G5905,L5905*AN5905/(1+M5905)^F5905,0)</x:f>
        <x:v>0.00652394714587257</x:v>
      </x:c>
      <x:c r="AJ5905" t="n">
        <x:v>0</x:v>
      </x:c>
      <x:c r="AK5905" t="n">
        <x:v>0</x:v>
      </x:c>
      <x:c r="AL5905" t="n">
        <x:v>0</x:v>
      </x:c>
      <x:c r="AM5905" t="n">
        <x:f>CHOOSE('假设'!$B$3,AJ5905,AK5905,AL5905)</x:f>
        <x:v>0</x:v>
      </x:c>
      <x:c r="AN5905" t="n">
        <x:v>1</x:v>
      </x:c>
    </x:row>
    <x:row r="5906" ht="23" customHeight="1">
      <x:c r="A5906" s="11" t="str">
        <x:v>688062.SH</x:v>
      </x:c>
      <x:c r="B5906" s="11" t="str">
        <x:v>三年</x:v>
      </x:c>
      <x:c r="C5906" s="11" t="str">
        <x:v>il11_global</x:v>
      </x:c>
      <x:c r="D5906" s="11" t="str">
        <x:v>2045-12-31</x:v>
      </x:c>
      <x:c r="E5906" s="11" t="str">
        <x:v>USD</x:v>
      </x:c>
      <x:c r="F5906" s="11" t="n">
        <x:v>16.227241615331966</x:v>
      </x:c>
      <x:c r="G5906" s="26" t="b">
        <x:v>1</x:v>
      </x:c>
      <x:c r="H5906" s="16" t="n">
        <x:v>0.21</x:v>
      </x:c>
      <x:c r="I5906" s="16" t="n">
        <x:v>0.16199999999999995</x:v>
      </x:c>
      <x:c r="J5906" s="16" t="n">
        <x:v>0</x:v>
      </x:c>
      <x:c r="K5906" s="11" t="n">
        <x:f>CHOOSE('假设'!$B$3,H5906,I5906,J5906)</x:f>
        <x:v>0.16199999999999995</x:v>
      </x:c>
      <x:c r="L5906" s="11" t="n">
        <x:f>K5906*'管线假设'!E1263*'管线假设'!F1263*'管线假设'!G1263*IF(E5906="USD",'管线假设'!I1263,1)-AM5906</x:f>
        <x:v>0.019627868160000003</x:v>
      </x:c>
      <x:c r="M5906" s="11" t="n">
        <x:f>'管线假设'!H1263</x:f>
        <x:v>0.14</x:v>
      </x:c>
      <x:c r="N5906" s="11" t="n">
        <x:f>IF(G5906,L5906*AN5906/(1+M5906)^F5906,0)</x:f>
        <x:v>0.0023413393297287877</x:v>
      </x:c>
      <x:c r="AJ5906" t="n">
        <x:v>0</x:v>
      </x:c>
      <x:c r="AK5906" t="n">
        <x:v>0</x:v>
      </x:c>
      <x:c r="AL5906" t="n">
        <x:v>0</x:v>
      </x:c>
      <x:c r="AM5906" t="n">
        <x:f>CHOOSE('假设'!$B$3,AJ5906,AK5906,AL5906)</x:f>
        <x:v>0</x:v>
      </x:c>
      <x:c r="AN5906" t="n">
        <x:v>1</x:v>
      </x:c>
    </x:row>
    <x:row r="5907" ht="23" customHeight="1">
      <x:c r="A5907" s="11" t="str">
        <x:v>688062.SH</x:v>
      </x:c>
      <x:c r="B5907" s="11" t="str">
        <x:v>三年</x:v>
      </x:c>
      <x:c r="C5907" s="11" t="str">
        <x:v>il11_cn</x:v>
      </x:c>
      <x:c r="D5907" s="11" t="str">
        <x:v>2027-12-31</x:v>
      </x:c>
      <x:c r="E5907" s="11" t="str">
        <x:v>CNY</x:v>
      </x:c>
      <x:c r="F5907" s="11" t="n">
        <x:v>-1.7741273100616017</x:v>
      </x:c>
      <x:c r="G5907" s="26" t="b">
        <x:v>0</x:v>
      </x:c>
      <x:c r="H5907" s="16" t="n">
        <x:v>0</x:v>
      </x:c>
      <x:c r="I5907" s="16" t="n">
        <x:v>0</x:v>
      </x:c>
      <x:c r="J5907" s="16" t="n">
        <x:v>0</x:v>
      </x:c>
      <x:c r="K5907" s="11" t="n">
        <x:f>CHOOSE('假设'!$B$3,H5907,I5907,J5907)</x:f>
        <x:v>0</x:v>
      </x:c>
      <x:c r="L5907" s="11" t="n">
        <x:f>K5907*'管线假设'!E1267*'管线假设'!F1267*'管线假设'!G1267*IF(E5907="USD",'管线假设'!I1267,1)-AM5907</x:f>
        <x:v>0</x:v>
      </x:c>
      <x:c r="M5907" s="11" t="n">
        <x:f>'管线假设'!H1267</x:f>
        <x:v>0.14</x:v>
      </x:c>
      <x:c r="N5907" s="11" t="n">
        <x:f>IF(G5907,L5907*AN5907/(1+M5907)^F5907,0)</x:f>
        <x:v>0</x:v>
      </x:c>
      <x:c r="AJ5907" t="n">
        <x:v>0</x:v>
      </x:c>
      <x:c r="AK5907" t="n">
        <x:v>0</x:v>
      </x:c>
      <x:c r="AL5907" t="n">
        <x:v>0</x:v>
      </x:c>
      <x:c r="AM5907" t="n">
        <x:f>CHOOSE('假设'!$B$3,AJ5907,AK5907,AL5907)</x:f>
        <x:v>0</x:v>
      </x:c>
      <x:c r="AN5907" t="n">
        <x:v>1</x:v>
      </x:c>
    </x:row>
    <x:row r="5908" ht="23" customHeight="1">
      <x:c r="A5908" s="11" t="str">
        <x:v>688062.SH</x:v>
      </x:c>
      <x:c r="B5908" s="11" t="str">
        <x:v>三年</x:v>
      </x:c>
      <x:c r="C5908" s="11" t="str">
        <x:v>il11_cn</x:v>
      </x:c>
      <x:c r="D5908" s="11" t="str">
        <x:v>2028-12-31</x:v>
      </x:c>
      <x:c r="E5908" s="11" t="str">
        <x:v>CNY</x:v>
      </x:c>
      <x:c r="F5908" s="11" t="n">
        <x:v>-0.7720739219712526</x:v>
      </x:c>
      <x:c r="G5908" s="26" t="b">
        <x:v>0</x:v>
      </x:c>
      <x:c r="H5908" s="16" t="n">
        <x:v>0</x:v>
      </x:c>
      <x:c r="I5908" s="16" t="n">
        <x:v>0</x:v>
      </x:c>
      <x:c r="J5908" s="16" t="n">
        <x:v>0</x:v>
      </x:c>
      <x:c r="K5908" s="11" t="n">
        <x:f>CHOOSE('假设'!$B$3,H5908,I5908,J5908)</x:f>
        <x:v>0</x:v>
      </x:c>
      <x:c r="L5908" s="11" t="n">
        <x:f>K5908*'管线假设'!E1267*'管线假设'!F1267*'管线假设'!G1267*IF(E5908="USD",'管线假设'!I1267,1)-AM5908</x:f>
        <x:v>0</x:v>
      </x:c>
      <x:c r="M5908" s="11" t="n">
        <x:f>'管线假设'!H1267</x:f>
        <x:v>0.14</x:v>
      </x:c>
      <x:c r="N5908" s="11" t="n">
        <x:f>IF(G5908,L5908*AN5908/(1+M5908)^F5908,0)</x:f>
        <x:v>0</x:v>
      </x:c>
      <x:c r="AJ5908" t="n">
        <x:v>0</x:v>
      </x:c>
      <x:c r="AK5908" t="n">
        <x:v>0</x:v>
      </x:c>
      <x:c r="AL5908" t="n">
        <x:v>0</x:v>
      </x:c>
      <x:c r="AM5908" t="n">
        <x:f>CHOOSE('假设'!$B$3,AJ5908,AK5908,AL5908)</x:f>
        <x:v>0</x:v>
      </x:c>
      <x:c r="AN5908" t="n">
        <x:v>1</x:v>
      </x:c>
    </x:row>
    <x:row r="5909" ht="23" customHeight="1">
      <x:c r="A5909" s="11" t="str">
        <x:v>688062.SH</x:v>
      </x:c>
      <x:c r="B5909" s="11" t="str">
        <x:v>三年</x:v>
      </x:c>
      <x:c r="C5909" s="11" t="str">
        <x:v>il11_cn</x:v>
      </x:c>
      <x:c r="D5909" s="11" t="str">
        <x:v>2029-12-31</x:v>
      </x:c>
      <x:c r="E5909" s="11" t="str">
        <x:v>CNY</x:v>
      </x:c>
      <x:c r="F5909" s="11" t="n">
        <x:v>0.2272416153319644</x:v>
      </x:c>
      <x:c r="G5909" s="26" t="b">
        <x:v>1</x:v>
      </x:c>
      <x:c r="H5909" s="16" t="n">
        <x:v>0</x:v>
      </x:c>
      <x:c r="I5909" s="16" t="n">
        <x:v>0</x:v>
      </x:c>
      <x:c r="J5909" s="16" t="n">
        <x:v>0</x:v>
      </x:c>
      <x:c r="K5909" s="11" t="n">
        <x:f>CHOOSE('假设'!$B$3,H5909,I5909,J5909)</x:f>
        <x:v>0</x:v>
      </x:c>
      <x:c r="L5909" s="11" t="n">
        <x:f>K5909*'管线假设'!E1267*'管线假设'!F1267*'管线假设'!G1267*IF(E5909="USD",'管线假设'!I1267,1)-AM5909</x:f>
        <x:v>0</x:v>
      </x:c>
      <x:c r="M5909" s="11" t="n">
        <x:f>'管线假设'!H1267</x:f>
        <x:v>0.14</x:v>
      </x:c>
      <x:c r="N5909" s="11" t="n">
        <x:f>IF(G5909,L5909*AN5909/(1+M5909)^F5909,0)</x:f>
        <x:v>0</x:v>
      </x:c>
      <x:c r="AJ5909" t="n">
        <x:v>0</x:v>
      </x:c>
      <x:c r="AK5909" t="n">
        <x:v>0</x:v>
      </x:c>
      <x:c r="AL5909" t="n">
        <x:v>0</x:v>
      </x:c>
      <x:c r="AM5909" t="n">
        <x:f>CHOOSE('假设'!$B$3,AJ5909,AK5909,AL5909)</x:f>
        <x:v>0</x:v>
      </x:c>
      <x:c r="AN5909" t="n">
        <x:v>1</x:v>
      </x:c>
    </x:row>
    <x:row r="5910" ht="23" customHeight="1">
      <x:c r="A5910" s="11" t="str">
        <x:v>688062.SH</x:v>
      </x:c>
      <x:c r="B5910" s="11" t="str">
        <x:v>三年</x:v>
      </x:c>
      <x:c r="C5910" s="11" t="str">
        <x:v>il11_cn</x:v>
      </x:c>
      <x:c r="D5910" s="11" t="str">
        <x:v>2030-12-31</x:v>
      </x:c>
      <x:c r="E5910" s="11" t="str">
        <x:v>CNY</x:v>
      </x:c>
      <x:c r="F5910" s="11" t="n">
        <x:v>1.2265571526351813</x:v>
      </x:c>
      <x:c r="G5910" s="26" t="b">
        <x:v>1</x:v>
      </x:c>
      <x:c r="H5910" s="16" t="n">
        <x:v>0</x:v>
      </x:c>
      <x:c r="I5910" s="16" t="n">
        <x:v>0</x:v>
      </x:c>
      <x:c r="J5910" s="16" t="n">
        <x:v>0.25</x:v>
      </x:c>
      <x:c r="K5910" s="11" t="n">
        <x:f>CHOOSE('假设'!$B$3,H5910,I5910,J5910)</x:f>
        <x:v>0</x:v>
      </x:c>
      <x:c r="L5910" s="11" t="n">
        <x:f>K5910*'管线假设'!E1267*'管线假设'!F1267*'管线假设'!G1267*IF(E5910="USD",'管线假设'!I1267,1)-AM5910</x:f>
        <x:v>0</x:v>
      </x:c>
      <x:c r="M5910" s="11" t="n">
        <x:f>'管线假设'!H1267</x:f>
        <x:v>0.14</x:v>
      </x:c>
      <x:c r="N5910" s="11" t="n">
        <x:f>IF(G5910,L5910*AN5910/(1+M5910)^F5910,0)</x:f>
        <x:v>0</x:v>
      </x:c>
      <x:c r="AJ5910" t="n">
        <x:v>0</x:v>
      </x:c>
      <x:c r="AK5910" t="n">
        <x:v>0</x:v>
      </x:c>
      <x:c r="AL5910" t="n">
        <x:v>0</x:v>
      </x:c>
      <x:c r="AM5910" t="n">
        <x:f>CHOOSE('假设'!$B$3,AJ5910,AK5910,AL5910)</x:f>
        <x:v>0</x:v>
      </x:c>
      <x:c r="AN5910" t="n">
        <x:v>1</x:v>
      </x:c>
    </x:row>
    <x:row r="5911" ht="23" customHeight="1">
      <x:c r="A5911" s="11" t="str">
        <x:v>688062.SH</x:v>
      </x:c>
      <x:c r="B5911" s="11" t="str">
        <x:v>三年</x:v>
      </x:c>
      <x:c r="C5911" s="11" t="str">
        <x:v>il11_cn</x:v>
      </x:c>
      <x:c r="D5911" s="11" t="str">
        <x:v>2031-12-31</x:v>
      </x:c>
      <x:c r="E5911" s="11" t="str">
        <x:v>CNY</x:v>
      </x:c>
      <x:c r="F5911" s="11" t="n">
        <x:v>2.2258726899383983</x:v>
      </x:c>
      <x:c r="G5911" s="26" t="b">
        <x:v>1</x:v>
      </x:c>
      <x:c r="H5911" s="16" t="n">
        <x:v>0</x:v>
      </x:c>
      <x:c r="I5911" s="16" t="n">
        <x:v>0</x:v>
      </x:c>
      <x:c r="J5911" s="16" t="n">
        <x:v>0.5</x:v>
      </x:c>
      <x:c r="K5911" s="11" t="n">
        <x:f>CHOOSE('假设'!$B$3,H5911,I5911,J5911)</x:f>
        <x:v>0</x:v>
      </x:c>
      <x:c r="L5911" s="11" t="n">
        <x:f>K5911*'管线假设'!E1267*'管线假设'!F1267*'管线假设'!G1267*IF(E5911="USD",'管线假设'!I1267,1)-AM5911</x:f>
        <x:v>0</x:v>
      </x:c>
      <x:c r="M5911" s="11" t="n">
        <x:f>'管线假设'!H1267</x:f>
        <x:v>0.14</x:v>
      </x:c>
      <x:c r="N5911" s="11" t="n">
        <x:f>IF(G5911,L5911*AN5911/(1+M5911)^F5911,0)</x:f>
        <x:v>0</x:v>
      </x:c>
      <x:c r="AJ5911" t="n">
        <x:v>0</x:v>
      </x:c>
      <x:c r="AK5911" t="n">
        <x:v>0</x:v>
      </x:c>
      <x:c r="AL5911" t="n">
        <x:v>0</x:v>
      </x:c>
      <x:c r="AM5911" t="n">
        <x:f>CHOOSE('假设'!$B$3,AJ5911,AK5911,AL5911)</x:f>
        <x:v>0</x:v>
      </x:c>
      <x:c r="AN5911" t="n">
        <x:v>1</x:v>
      </x:c>
    </x:row>
    <x:row r="5912" ht="23" customHeight="1">
      <x:c r="A5912" s="11" t="str">
        <x:v>688062.SH</x:v>
      </x:c>
      <x:c r="B5912" s="11" t="str">
        <x:v>三年</x:v>
      </x:c>
      <x:c r="C5912" s="11" t="str">
        <x:v>il11_cn</x:v>
      </x:c>
      <x:c r="D5912" s="11" t="str">
        <x:v>2032-12-31</x:v>
      </x:c>
      <x:c r="E5912" s="11" t="str">
        <x:v>CNY</x:v>
      </x:c>
      <x:c r="F5912" s="11" t="n">
        <x:v>3.2279260780287475</x:v>
      </x:c>
      <x:c r="G5912" s="26" t="b">
        <x:v>1</x:v>
      </x:c>
      <x:c r="H5912" s="16" t="n">
        <x:v>0</x:v>
      </x:c>
      <x:c r="I5912" s="16" t="n">
        <x:v>0.13333333333333333</x:v>
      </x:c>
      <x:c r="J5912" s="16" t="n">
        <x:v>0.75</x:v>
      </x:c>
      <x:c r="K5912" s="11" t="n">
        <x:f>CHOOSE('假设'!$B$3,H5912,I5912,J5912)</x:f>
        <x:v>0.13333333333333333</x:v>
      </x:c>
      <x:c r="L5912" s="11" t="n">
        <x:f>K5912*'管线假设'!E1267*'管线假设'!F1267*'管线假设'!G1267*IF(E5912="USD",'管线假设'!I1267,1)-AM5912</x:f>
        <x:v>0.011136000000000004</x:v>
      </x:c>
      <x:c r="M5912" s="11" t="n">
        <x:f>'管线假设'!H1267</x:f>
        <x:v>0.14</x:v>
      </x:c>
      <x:c r="N5912" s="11" t="n">
        <x:f>IF(G5912,L5912*AN5912/(1+M5912)^F5912,0)</x:f>
        <x:v>0.007295323733290119</x:v>
      </x:c>
      <x:c r="AJ5912" t="n">
        <x:v>0</x:v>
      </x:c>
      <x:c r="AK5912" t="n">
        <x:v>0</x:v>
      </x:c>
      <x:c r="AL5912" t="n">
        <x:v>0</x:v>
      </x:c>
      <x:c r="AM5912" t="n">
        <x:f>CHOOSE('假设'!$B$3,AJ5912,AK5912,AL5912)</x:f>
        <x:v>0</x:v>
      </x:c>
      <x:c r="AN5912" t="n">
        <x:v>1</x:v>
      </x:c>
    </x:row>
    <x:row r="5913" ht="23" customHeight="1">
      <x:c r="A5913" s="11" t="str">
        <x:v>688062.SH</x:v>
      </x:c>
      <x:c r="B5913" s="11" t="str">
        <x:v>三年</x:v>
      </x:c>
      <x:c r="C5913" s="11" t="str">
        <x:v>il11_cn</x:v>
      </x:c>
      <x:c r="D5913" s="11" t="str">
        <x:v>2033-12-31</x:v>
      </x:c>
      <x:c r="E5913" s="11" t="str">
        <x:v>CNY</x:v>
      </x:c>
      <x:c r="F5913" s="11" t="n">
        <x:v>4.227241615331964</x:v>
      </x:c>
      <x:c r="G5913" s="26" t="b">
        <x:v>1</x:v>
      </x:c>
      <x:c r="H5913" s="16" t="n">
        <x:v>0</x:v>
      </x:c>
      <x:c r="I5913" s="16" t="n">
        <x:v>0.26666666666666666</x:v>
      </x:c>
      <x:c r="J5913" s="16" t="n">
        <x:v>1</x:v>
      </x:c>
      <x:c r="K5913" s="11" t="n">
        <x:f>CHOOSE('假设'!$B$3,H5913,I5913,J5913)</x:f>
        <x:v>0.26666666666666666</x:v>
      </x:c>
      <x:c r="L5913" s="11" t="n">
        <x:f>K5913*'管线假设'!E1267*'管线假设'!F1267*'管线假设'!G1267*IF(E5913="USD",'管线假设'!I1267,1)-AM5913</x:f>
        <x:v>0.022272000000000007</x:v>
      </x:c>
      <x:c r="M5913" s="11" t="n">
        <x:f>'管线假设'!H1267</x:f>
        <x:v>0.14</x:v>
      </x:c>
      <x:c r="N5913" s="11" t="n">
        <x:f>IF(G5913,L5913*AN5913/(1+M5913)^F5913,0)</x:f>
        <x:v>0.012799961466905352</x:v>
      </x:c>
      <x:c r="AJ5913" t="n">
        <x:v>0</x:v>
      </x:c>
      <x:c r="AK5913" t="n">
        <x:v>0</x:v>
      </x:c>
      <x:c r="AL5913" t="n">
        <x:v>0</x:v>
      </x:c>
      <x:c r="AM5913" t="n">
        <x:f>CHOOSE('假设'!$B$3,AJ5913,AK5913,AL5913)</x:f>
        <x:v>0</x:v>
      </x:c>
      <x:c r="AN5913" t="n">
        <x:v>1</x:v>
      </x:c>
    </x:row>
    <x:row r="5914" ht="23" customHeight="1">
      <x:c r="A5914" s="11" t="str">
        <x:v>688062.SH</x:v>
      </x:c>
      <x:c r="B5914" s="11" t="str">
        <x:v>三年</x:v>
      </x:c>
      <x:c r="C5914" s="11" t="str">
        <x:v>il11_cn</x:v>
      </x:c>
      <x:c r="D5914" s="11" t="str">
        <x:v>2034-12-31</x:v>
      </x:c>
      <x:c r="E5914" s="11" t="str">
        <x:v>CNY</x:v>
      </x:c>
      <x:c r="F5914" s="11" t="n">
        <x:v>5.2265571526351815</x:v>
      </x:c>
      <x:c r="G5914" s="26" t="b">
        <x:v>1</x:v>
      </x:c>
      <x:c r="H5914" s="16" t="n">
        <x:v>0</x:v>
      </x:c>
      <x:c r="I5914" s="16" t="n">
        <x:v>0.4</x:v>
      </x:c>
      <x:c r="J5914" s="16" t="n">
        <x:v>1.25</x:v>
      </x:c>
      <x:c r="K5914" s="11" t="n">
        <x:f>CHOOSE('假设'!$B$3,H5914,I5914,J5914)</x:f>
        <x:v>0.4</x:v>
      </x:c>
      <x:c r="L5914" s="11" t="n">
        <x:f>K5914*'管线假设'!E1267*'管线假设'!F1267*'管线假设'!G1267*IF(E5914="USD",'管线假设'!I1267,1)-AM5914</x:f>
        <x:v>0.033408000000000014</x:v>
      </x:c>
      <x:c r="M5914" s="11" t="n">
        <x:f>'管线假设'!H1267</x:f>
        <x:v>0.14</x:v>
      </x:c>
      <x:c r="N5914" s="11" t="n">
        <x:f>IF(G5914,L5914*AN5914/(1+M5914)^F5914,0)</x:f>
        <x:v>0.01684356509156298</x:v>
      </x:c>
      <x:c r="AJ5914" t="n">
        <x:v>0</x:v>
      </x:c>
      <x:c r="AK5914" t="n">
        <x:v>0</x:v>
      </x:c>
      <x:c r="AL5914" t="n">
        <x:v>0</x:v>
      </x:c>
      <x:c r="AM5914" t="n">
        <x:f>CHOOSE('假设'!$B$3,AJ5914,AK5914,AL5914)</x:f>
        <x:v>0</x:v>
      </x:c>
      <x:c r="AN5914" t="n">
        <x:v>1</x:v>
      </x:c>
    </x:row>
    <x:row r="5915" ht="23" customHeight="1">
      <x:c r="A5915" s="11" t="str">
        <x:v>688062.SH</x:v>
      </x:c>
      <x:c r="B5915" s="11" t="str">
        <x:v>三年</x:v>
      </x:c>
      <x:c r="C5915" s="11" t="str">
        <x:v>il11_cn</x:v>
      </x:c>
      <x:c r="D5915" s="11" t="str">
        <x:v>2035-12-31</x:v>
      </x:c>
      <x:c r="E5915" s="11" t="str">
        <x:v>CNY</x:v>
      </x:c>
      <x:c r="F5915" s="11" t="n">
        <x:v>6.225872689938399</x:v>
      </x:c>
      <x:c r="G5915" s="26" t="b">
        <x:v>1</x:v>
      </x:c>
      <x:c r="H5915" s="16" t="n">
        <x:v>0.06</x:v>
      </x:c>
      <x:c r="I5915" s="16" t="n">
        <x:v>0.5333333333333333</x:v>
      </x:c>
      <x:c r="J5915" s="16" t="n">
        <x:v>1.5</x:v>
      </x:c>
      <x:c r="K5915" s="11" t="n">
        <x:f>CHOOSE('假设'!$B$3,H5915,I5915,J5915)</x:f>
        <x:v>0.5333333333333333</x:v>
      </x:c>
      <x:c r="L5915" s="11" t="n">
        <x:f>K5915*'管线假设'!E1267*'管线假设'!F1267*'管线假设'!G1267*IF(E5915="USD",'管线假设'!I1267,1)-AM5915</x:f>
        <x:v>0.044544000000000014</x:v>
      </x:c>
      <x:c r="M5915" s="11" t="n">
        <x:f>'管线假设'!H1267</x:f>
        <x:v>0.14</x:v>
      </x:c>
      <x:c r="N5915" s="11" t="n">
        <x:f>IF(G5915,L5915*AN5915/(1+M5915)^F5915,0)</x:f>
        <x:v>0.01970184299050849</x:v>
      </x:c>
      <x:c r="AJ5915" t="n">
        <x:v>0</x:v>
      </x:c>
      <x:c r="AK5915" t="n">
        <x:v>0</x:v>
      </x:c>
      <x:c r="AL5915" t="n">
        <x:v>0</x:v>
      </x:c>
      <x:c r="AM5915" t="n">
        <x:f>CHOOSE('假设'!$B$3,AJ5915,AK5915,AL5915)</x:f>
        <x:v>0</x:v>
      </x:c>
      <x:c r="AN5915" t="n">
        <x:v>1</x:v>
      </x:c>
    </x:row>
    <x:row r="5916" ht="23" customHeight="1">
      <x:c r="A5916" s="11" t="str">
        <x:v>688062.SH</x:v>
      </x:c>
      <x:c r="B5916" s="11" t="str">
        <x:v>三年</x:v>
      </x:c>
      <x:c r="C5916" s="11" t="str">
        <x:v>il11_cn</x:v>
      </x:c>
      <x:c r="D5916" s="11" t="str">
        <x:v>2036-12-31</x:v>
      </x:c>
      <x:c r="E5916" s="11" t="str">
        <x:v>CNY</x:v>
      </x:c>
      <x:c r="F5916" s="11" t="n">
        <x:v>7.227926078028747</x:v>
      </x:c>
      <x:c r="G5916" s="26" t="b">
        <x:v>1</x:v>
      </x:c>
      <x:c r="H5916" s="16" t="n">
        <x:v>0.12</x:v>
      </x:c>
      <x:c r="I5916" s="16" t="n">
        <x:v>0.6666666666666667</x:v>
      </x:c>
      <x:c r="J5916" s="16" t="n">
        <x:v>1.305</x:v>
      </x:c>
      <x:c r="K5916" s="11" t="n">
        <x:f>CHOOSE('假设'!$B$3,H5916,I5916,J5916)</x:f>
        <x:v>0.6666666666666667</x:v>
      </x:c>
      <x:c r="L5916" s="11" t="n">
        <x:f>K5916*'管线假设'!E1267*'管线假设'!F1267*'管线假设'!G1267*IF(E5916="USD",'管线假设'!I1267,1)-AM5916</x:f>
        <x:v>0.05568000000000002</x:v>
      </x:c>
      <x:c r="M5916" s="11" t="n">
        <x:f>'管线假设'!H1267</x:f>
        <x:v>0.14</x:v>
      </x:c>
      <x:c r="N5916" s="11" t="n">
        <x:f>IF(G5916,L5916*AN5916/(1+M5916)^F5916,0)</x:f>
        <x:v>0.0215970864975587</x:v>
      </x:c>
      <x:c r="AJ5916" t="n">
        <x:v>0</x:v>
      </x:c>
      <x:c r="AK5916" t="n">
        <x:v>0</x:v>
      </x:c>
      <x:c r="AL5916" t="n">
        <x:v>0</x:v>
      </x:c>
      <x:c r="AM5916" t="n">
        <x:f>CHOOSE('假设'!$B$3,AJ5916,AK5916,AL5916)</x:f>
        <x:v>0</x:v>
      </x:c>
      <x:c r="AN5916" t="n">
        <x:v>1</x:v>
      </x:c>
    </x:row>
    <x:row r="5917" ht="23" customHeight="1">
      <x:c r="A5917" s="11" t="str">
        <x:v>688062.SH</x:v>
      </x:c>
      <x:c r="B5917" s="11" t="str">
        <x:v>三年</x:v>
      </x:c>
      <x:c r="C5917" s="11" t="str">
        <x:v>il11_cn</x:v>
      </x:c>
      <x:c r="D5917" s="11" t="str">
        <x:v>2037-12-31</x:v>
      </x:c>
      <x:c r="E5917" s="11" t="str">
        <x:v>CNY</x:v>
      </x:c>
      <x:c r="F5917" s="11" t="n">
        <x:v>8.227241615331964</x:v>
      </x:c>
      <x:c r="G5917" s="26" t="b">
        <x:v>1</x:v>
      </x:c>
      <x:c r="H5917" s="16" t="n">
        <x:v>0.18</x:v>
      </x:c>
      <x:c r="I5917" s="16" t="n">
        <x:v>0.8</x:v>
      </x:c>
      <x:c r="J5917" s="16" t="n">
        <x:v>1.1099999999999999</x:v>
      </x:c>
      <x:c r="K5917" s="11" t="n">
        <x:f>CHOOSE('假设'!$B$3,H5917,I5917,J5917)</x:f>
        <x:v>0.8</x:v>
      </x:c>
      <x:c r="L5917" s="11" t="n">
        <x:f>K5917*'管线假设'!E1267*'管线假设'!F1267*'管线假设'!G1267*IF(E5917="USD",'管线假设'!I1267,1)-AM5917</x:f>
        <x:v>0.06681600000000003</x:v>
      </x:c>
      <x:c r="M5917" s="11" t="n">
        <x:f>'管线假设'!H1267</x:f>
        <x:v>0.14</x:v>
      </x:c>
      <x:c r="N5917" s="11" t="n">
        <x:f>IF(G5917,L5917*AN5917/(1+M5917)^F5917,0)</x:f>
        <x:v>0.022735814206959176</x:v>
      </x:c>
      <x:c r="AJ5917" t="n">
        <x:v>0</x:v>
      </x:c>
      <x:c r="AK5917" t="n">
        <x:v>0</x:v>
      </x:c>
      <x:c r="AL5917" t="n">
        <x:v>0</x:v>
      </x:c>
      <x:c r="AM5917" t="n">
        <x:f>CHOOSE('假设'!$B$3,AJ5917,AK5917,AL5917)</x:f>
        <x:v>0</x:v>
      </x:c>
      <x:c r="AN5917" t="n">
        <x:v>1</x:v>
      </x:c>
    </x:row>
    <x:row r="5918" ht="23" customHeight="1">
      <x:c r="A5918" s="11" t="str">
        <x:v>688062.SH</x:v>
      </x:c>
      <x:c r="B5918" s="11" t="str">
        <x:v>三年</x:v>
      </x:c>
      <x:c r="C5918" s="11" t="str">
        <x:v>il11_cn</x:v>
      </x:c>
      <x:c r="D5918" s="11" t="str">
        <x:v>2038-12-31</x:v>
      </x:c>
      <x:c r="E5918" s="11" t="str">
        <x:v>CNY</x:v>
      </x:c>
      <x:c r="F5918" s="11" t="n">
        <x:v>9.22655715263518</x:v>
      </x:c>
      <x:c r="G5918" s="26" t="b">
        <x:v>1</x:v>
      </x:c>
      <x:c r="H5918" s="16" t="n">
        <x:v>0.24</x:v>
      </x:c>
      <x:c r="I5918" s="16" t="n">
        <x:v>0.6960000000000001</x:v>
      </x:c>
      <x:c r="J5918" s="16" t="n">
        <x:v>0.915</x:v>
      </x:c>
      <x:c r="K5918" s="11" t="n">
        <x:f>CHOOSE('假设'!$B$3,H5918,I5918,J5918)</x:f>
        <x:v>0.6960000000000001</x:v>
      </x:c>
      <x:c r="L5918" s="11" t="n">
        <x:f>K5918*'管线假设'!E1267*'管线假设'!F1267*'管线假设'!G1267*IF(E5918="USD",'管线假设'!I1267,1)-AM5918</x:f>
        <x:v>0.05812992000000002</x:v>
      </x:c>
      <x:c r="M5918" s="11" t="n">
        <x:f>'管线假设'!H1267</x:f>
        <x:v>0.14</x:v>
      </x:c>
      <x:c r="N5918" s="11" t="n">
        <x:f>IF(G5918,L5918*AN5918/(1+M5918)^F5918,0)</x:f>
        <x:v>0.017352572282888883</x:v>
      </x:c>
      <x:c r="AJ5918" t="n">
        <x:v>0</x:v>
      </x:c>
      <x:c r="AK5918" t="n">
        <x:v>0</x:v>
      </x:c>
      <x:c r="AL5918" t="n">
        <x:v>0</x:v>
      </x:c>
      <x:c r="AM5918" t="n">
        <x:f>CHOOSE('假设'!$B$3,AJ5918,AK5918,AL5918)</x:f>
        <x:v>0</x:v>
      </x:c>
      <x:c r="AN5918" t="n">
        <x:v>1</x:v>
      </x:c>
    </x:row>
    <x:row r="5919" ht="23" customHeight="1">
      <x:c r="A5919" s="11" t="str">
        <x:v>688062.SH</x:v>
      </x:c>
      <x:c r="B5919" s="11" t="str">
        <x:v>三年</x:v>
      </x:c>
      <x:c r="C5919" s="11" t="str">
        <x:v>il11_cn</x:v>
      </x:c>
      <x:c r="D5919" s="11" t="str">
        <x:v>2039-12-31</x:v>
      </x:c>
      <x:c r="E5919" s="11" t="str">
        <x:v>CNY</x:v>
      </x:c>
      <x:c r="F5919" s="11" t="n">
        <x:v>10.225872689938399</x:v>
      </x:c>
      <x:c r="G5919" s="26" t="b">
        <x:v>1</x:v>
      </x:c>
      <x:c r="H5919" s="16" t="n">
        <x:v>0.3</x:v>
      </x:c>
      <x:c r="I5919" s="16" t="n">
        <x:v>0.592</x:v>
      </x:c>
      <x:c r="J5919" s="16" t="n">
        <x:v>0.72</x:v>
      </x:c>
      <x:c r="K5919" s="11" t="n">
        <x:f>CHOOSE('假设'!$B$3,H5919,I5919,J5919)</x:f>
        <x:v>0.592</x:v>
      </x:c>
      <x:c r="L5919" s="11" t="n">
        <x:f>K5919*'管线假设'!E1267*'管线假设'!F1267*'管线假设'!G1267*IF(E5919="USD",'管线假设'!I1267,1)-AM5919</x:f>
        <x:v>0.04944384000000001</x:v>
      </x:c>
      <x:c r="M5919" s="11" t="n">
        <x:f>'管线假设'!H1267</x:f>
        <x:v>0.14</x:v>
      </x:c>
      <x:c r="N5919" s="11" t="n">
        <x:f>IF(G5919,L5919*AN5919/(1+M5919)^F5919,0)</x:f>
        <x:v>0.012948230655401849</x:v>
      </x:c>
      <x:c r="AJ5919" t="n">
        <x:v>0</x:v>
      </x:c>
      <x:c r="AK5919" t="n">
        <x:v>0</x:v>
      </x:c>
      <x:c r="AL5919" t="n">
        <x:v>0</x:v>
      </x:c>
      <x:c r="AM5919" t="n">
        <x:f>CHOOSE('假设'!$B$3,AJ5919,AK5919,AL5919)</x:f>
        <x:v>0</x:v>
      </x:c>
      <x:c r="AN5919" t="n">
        <x:v>1</x:v>
      </x:c>
    </x:row>
    <x:row r="5920" ht="23" customHeight="1">
      <x:c r="A5920" s="11" t="str">
        <x:v>688062.SH</x:v>
      </x:c>
      <x:c r="B5920" s="11" t="str">
        <x:v>三年</x:v>
      </x:c>
      <x:c r="C5920" s="11" t="str">
        <x:v>il11_cn</x:v>
      </x:c>
      <x:c r="D5920" s="11" t="str">
        <x:v>2040-12-31</x:v>
      </x:c>
      <x:c r="E5920" s="11" t="str">
        <x:v>CNY</x:v>
      </x:c>
      <x:c r="F5920" s="11" t="n">
        <x:v>11.227926078028748</x:v>
      </x:c>
      <x:c r="G5920" s="26" t="b">
        <x:v>1</x:v>
      </x:c>
      <x:c r="H5920" s="16" t="n">
        <x:v>0.261</x:v>
      </x:c>
      <x:c r="I5920" s="16" t="n">
        <x:v>0.488</x:v>
      </x:c>
      <x:c r="J5920" s="16" t="n">
        <x:v>0.5249999999999999</x:v>
      </x:c>
      <x:c r="K5920" s="11" t="n">
        <x:f>CHOOSE('假设'!$B$3,H5920,I5920,J5920)</x:f>
        <x:v>0.488</x:v>
      </x:c>
      <x:c r="L5920" s="11" t="n">
        <x:f>K5920*'管线假设'!E1267*'管线假设'!F1267*'管线假设'!G1267*IF(E5920="USD",'管线假设'!I1267,1)-AM5920</x:f>
        <x:v>0.04075776000000001</x:v>
      </x:c>
      <x:c r="M5920" s="11" t="n">
        <x:f>'管线假设'!H1267</x:f>
        <x:v>0.14</x:v>
      </x:c>
      <x:c r="N5920" s="11" t="n">
        <x:f>IF(G5920,L5920*AN5920/(1+M5920)^F5920,0)</x:f>
        <x:v>0.009360236961547369</x:v>
      </x:c>
      <x:c r="AJ5920" t="n">
        <x:v>0</x:v>
      </x:c>
      <x:c r="AK5920" t="n">
        <x:v>0</x:v>
      </x:c>
      <x:c r="AL5920" t="n">
        <x:v>0</x:v>
      </x:c>
      <x:c r="AM5920" t="n">
        <x:f>CHOOSE('假设'!$B$3,AJ5920,AK5920,AL5920)</x:f>
        <x:v>0</x:v>
      </x:c>
      <x:c r="AN5920" t="n">
        <x:v>1</x:v>
      </x:c>
    </x:row>
    <x:row r="5921" ht="23" customHeight="1">
      <x:c r="A5921" s="11" t="str">
        <x:v>688062.SH</x:v>
      </x:c>
      <x:c r="B5921" s="11" t="str">
        <x:v>三年</x:v>
      </x:c>
      <x:c r="C5921" s="11" t="str">
        <x:v>il11_cn</x:v>
      </x:c>
      <x:c r="D5921" s="11" t="str">
        <x:v>2041-12-31</x:v>
      </x:c>
      <x:c r="E5921" s="11" t="str">
        <x:v>CNY</x:v>
      </x:c>
      <x:c r="F5921" s="11" t="n">
        <x:v>12.227241615331964</x:v>
      </x:c>
      <x:c r="G5921" s="26" t="b">
        <x:v>1</x:v>
      </x:c>
      <x:c r="H5921" s="16" t="n">
        <x:v>0.222</x:v>
      </x:c>
      <x:c r="I5921" s="16" t="n">
        <x:v>0.384</x:v>
      </x:c>
      <x:c r="J5921" s="16" t="n">
        <x:v>0.32999999999999996</x:v>
      </x:c>
      <x:c r="K5921" s="11" t="n">
        <x:f>CHOOSE('假设'!$B$3,H5921,I5921,J5921)</x:f>
        <x:v>0.384</x:v>
      </x:c>
      <x:c r="L5921" s="11" t="n">
        <x:f>K5921*'管线假设'!E1267*'管线假设'!F1267*'管线假设'!G1267*IF(E5921="USD",'管线假设'!I1267,1)-AM5921</x:f>
        <x:v>0.032071680000000005</x:v>
      </x:c>
      <x:c r="M5921" s="11" t="n">
        <x:f>'管线假设'!H1267</x:f>
        <x:v>0.14</x:v>
      </x:c>
      <x:c r="N5921" s="11" t="n">
        <x:f>IF(G5921,L5921*AN5921/(1+M5921)^F5921,0)</x:f>
        <x:v>0.006461485047308871</x:v>
      </x:c>
      <x:c r="AJ5921" t="n">
        <x:v>0</x:v>
      </x:c>
      <x:c r="AK5921" t="n">
        <x:v>0</x:v>
      </x:c>
      <x:c r="AL5921" t="n">
        <x:v>0</x:v>
      </x:c>
      <x:c r="AM5921" t="n">
        <x:f>CHOOSE('假设'!$B$3,AJ5921,AK5921,AL5921)</x:f>
        <x:v>0</x:v>
      </x:c>
      <x:c r="AN5921" t="n">
        <x:v>1</x:v>
      </x:c>
    </x:row>
    <x:row r="5922" ht="23" customHeight="1">
      <x:c r="A5922" s="11" t="str">
        <x:v>688062.SH</x:v>
      </x:c>
      <x:c r="B5922" s="11" t="str">
        <x:v>三年</x:v>
      </x:c>
      <x:c r="C5922" s="11" t="str">
        <x:v>il11_cn</x:v>
      </x:c>
      <x:c r="D5922" s="11" t="str">
        <x:v>2042-12-31</x:v>
      </x:c>
      <x:c r="E5922" s="11" t="str">
        <x:v>CNY</x:v>
      </x:c>
      <x:c r="F5922" s="11" t="n">
        <x:v>13.22655715263518</x:v>
      </x:c>
      <x:c r="G5922" s="26" t="b">
        <x:v>1</x:v>
      </x:c>
      <x:c r="H5922" s="16" t="n">
        <x:v>0.183</x:v>
      </x:c>
      <x:c r="I5922" s="16" t="n">
        <x:v>0.27999999999999997</x:v>
      </x:c>
      <x:c r="J5922" s="16" t="n">
        <x:v>0.13499999999999995</x:v>
      </x:c>
      <x:c r="K5922" s="11" t="n">
        <x:f>CHOOSE('假设'!$B$3,H5922,I5922,J5922)</x:f>
        <x:v>0.27999999999999997</x:v>
      </x:c>
      <x:c r="L5922" s="11" t="n">
        <x:f>K5922*'管线假设'!E1267*'管线假设'!F1267*'管线假设'!G1267*IF(E5922="USD",'管线假设'!I1267,1)-AM5922</x:f>
        <x:v>0.023385600000000006</x:v>
      </x:c>
      <x:c r="M5922" s="11" t="n">
        <x:f>'管线假设'!H1267</x:f>
        <x:v>0.14</x:v>
      </x:c>
      <x:c r="N5922" s="11" t="n">
        <x:f>IF(G5922,L5922*AN5922/(1+M5922)^F5922,0)</x:f>
        <x:v>0.004133264981170907</x:v>
      </x:c>
      <x:c r="AJ5922" t="n">
        <x:v>0</x:v>
      </x:c>
      <x:c r="AK5922" t="n">
        <x:v>0</x:v>
      </x:c>
      <x:c r="AL5922" t="n">
        <x:v>0</x:v>
      </x:c>
      <x:c r="AM5922" t="n">
        <x:f>CHOOSE('假设'!$B$3,AJ5922,AK5922,AL5922)</x:f>
        <x:v>0</x:v>
      </x:c>
      <x:c r="AN5922" t="n">
        <x:v>1</x:v>
      </x:c>
    </x:row>
    <x:row r="5923" ht="23" customHeight="1">
      <x:c r="A5923" s="11" t="str">
        <x:v>688062.SH</x:v>
      </x:c>
      <x:c r="B5923" s="11" t="str">
        <x:v>三年</x:v>
      </x:c>
      <x:c r="C5923" s="11" t="str">
        <x:v>il11_cn</x:v>
      </x:c>
      <x:c r="D5923" s="11" t="str">
        <x:v>2043-12-31</x:v>
      </x:c>
      <x:c r="E5923" s="11" t="str">
        <x:v>CNY</x:v>
      </x:c>
      <x:c r="F5923" s="11" t="n">
        <x:v>14.225872689938399</x:v>
      </x:c>
      <x:c r="G5923" s="26" t="b">
        <x:v>1</x:v>
      </x:c>
      <x:c r="H5923" s="16" t="n">
        <x:v>0.144</x:v>
      </x:c>
      <x:c r="I5923" s="16" t="n">
        <x:v>0.176</x:v>
      </x:c>
      <x:c r="J5923" s="16" t="n">
        <x:v>0</x:v>
      </x:c>
      <x:c r="K5923" s="11" t="n">
        <x:f>CHOOSE('假设'!$B$3,H5923,I5923,J5923)</x:f>
        <x:v>0.176</x:v>
      </x:c>
      <x:c r="L5923" s="11" t="n">
        <x:f>K5923*'管线假设'!E1267*'管线假设'!F1267*'管线假设'!G1267*IF(E5923="USD",'管线假设'!I1267,1)-AM5923</x:f>
        <x:v>0.014699520000000002</x:v>
      </x:c>
      <x:c r="M5923" s="11" t="n">
        <x:f>'管线假设'!H1267</x:f>
        <x:v>0.14</x:v>
      </x:c>
      <x:c r="N5923" s="11" t="n">
        <x:f>IF(G5923,L5923*AN5923/(1+M5923)^F5923,0)</x:f>
        <x:v>0.0022791976209983428</x:v>
      </x:c>
      <x:c r="AJ5923" t="n">
        <x:v>0</x:v>
      </x:c>
      <x:c r="AK5923" t="n">
        <x:v>0</x:v>
      </x:c>
      <x:c r="AL5923" t="n">
        <x:v>0</x:v>
      </x:c>
      <x:c r="AM5923" t="n">
        <x:f>CHOOSE('假设'!$B$3,AJ5923,AK5923,AL5923)</x:f>
        <x:v>0</x:v>
      </x:c>
      <x:c r="AN5923" t="n">
        <x:v>1</x:v>
      </x:c>
    </x:row>
    <x:row r="5924" ht="23" customHeight="1">
      <x:c r="A5924" s="11" t="str">
        <x:v>688062.SH</x:v>
      </x:c>
      <x:c r="B5924" s="11" t="str">
        <x:v>三年</x:v>
      </x:c>
      <x:c r="C5924" s="11" t="str">
        <x:v>il11_cn</x:v>
      </x:c>
      <x:c r="D5924" s="11" t="str">
        <x:v>2044-12-31</x:v>
      </x:c>
      <x:c r="E5924" s="11" t="str">
        <x:v>CNY</x:v>
      </x:c>
      <x:c r="F5924" s="11" t="n">
        <x:v>15.227926078028748</x:v>
      </x:c>
      <x:c r="G5924" s="26" t="b">
        <x:v>1</x:v>
      </x:c>
      <x:c r="H5924" s="16" t="n">
        <x:v>0.105</x:v>
      </x:c>
      <x:c r="I5924" s="16" t="n">
        <x:v>0.07199999999999998</x:v>
      </x:c>
      <x:c r="J5924" s="16" t="n">
        <x:v>0</x:v>
      </x:c>
      <x:c r="K5924" s="11" t="n">
        <x:f>CHOOSE('假设'!$B$3,H5924,I5924,J5924)</x:f>
        <x:v>0.07199999999999998</x:v>
      </x:c>
      <x:c r="L5924" s="11" t="n">
        <x:f>K5924*'管线假设'!E1267*'管线假设'!F1267*'管线假设'!G1267*IF(E5924="USD",'管线假设'!I1267,1)-AM5924</x:f>
        <x:v>0.00601344</x:v>
      </x:c>
      <x:c r="M5924" s="11" t="n">
        <x:f>'管线假设'!H1267</x:f>
        <x:v>0.14</x:v>
      </x:c>
      <x:c r="N5924" s="11" t="n">
        <x:f>IF(G5924,L5924*AN5924/(1+M5924)^F5924,0)</x:f>
        <x:v>0.000817673856852344</x:v>
      </x:c>
      <x:c r="AJ5924" t="n">
        <x:v>0</x:v>
      </x:c>
      <x:c r="AK5924" t="n">
        <x:v>0</x:v>
      </x:c>
      <x:c r="AL5924" t="n">
        <x:v>0</x:v>
      </x:c>
      <x:c r="AM5924" t="n">
        <x:f>CHOOSE('假设'!$B$3,AJ5924,AK5924,AL5924)</x:f>
        <x:v>0</x:v>
      </x:c>
      <x:c r="AN5924" t="n">
        <x:v>1</x:v>
      </x:c>
    </x:row>
    <x:row r="5925" ht="23" customHeight="1">
      <x:c r="A5925" s="11" t="str">
        <x:v>688062.SH</x:v>
      </x:c>
      <x:c r="B5925" s="11" t="str">
        <x:v>三年</x:v>
      </x:c>
      <x:c r="C5925" s="11" t="str">
        <x:v>il11_cn</x:v>
      </x:c>
      <x:c r="D5925" s="11" t="str">
        <x:v>2045-12-31</x:v>
      </x:c>
      <x:c r="E5925" s="11" t="str">
        <x:v>CNY</x:v>
      </x:c>
      <x:c r="F5925" s="11" t="n">
        <x:v>16.227241615331966</x:v>
      </x:c>
      <x:c r="G5925" s="26" t="b">
        <x:v>1</x:v>
      </x:c>
      <x:c r="H5925" s="16" t="n">
        <x:v>0.06599999999999999</x:v>
      </x:c>
      <x:c r="I5925" s="16" t="n">
        <x:v>0</x:v>
      </x:c>
      <x:c r="J5925" s="16" t="n">
        <x:v>0</x:v>
      </x:c>
      <x:c r="K5925" s="11" t="n">
        <x:f>CHOOSE('假设'!$B$3,H5925,I5925,J5925)</x:f>
        <x:v>0</x:v>
      </x:c>
      <x:c r="L5925" s="11" t="n">
        <x:f>K5925*'管线假设'!E1267*'管线假设'!F1267*'管线假设'!G1267*IF(E5925="USD",'管线假设'!I1267,1)-AM5925</x:f>
        <x:v>0</x:v>
      </x:c>
      <x:c r="M5925" s="11" t="n">
        <x:f>'管线假设'!H1267</x:f>
        <x:v>0.14</x:v>
      </x:c>
      <x:c r="N5925" s="11" t="n">
        <x:f>IF(G5925,L5925*AN5925/(1+M5925)^F5925,0)</x:f>
        <x:v>0</x:v>
      </x:c>
      <x:c r="AJ5925" t="n">
        <x:v>0</x:v>
      </x:c>
      <x:c r="AK5925" t="n">
        <x:v>0</x:v>
      </x:c>
      <x:c r="AL5925" t="n">
        <x:v>0</x:v>
      </x:c>
      <x:c r="AM5925" t="n">
        <x:f>CHOOSE('假设'!$B$3,AJ5925,AK5925,AL5925)</x:f>
        <x:v>0</x:v>
      </x:c>
      <x:c r="AN5925" t="n">
        <x:v>1</x:v>
      </x:c>
    </x:row>
    <x:row r="5926" ht="23" customHeight="1">
      <x:c r="A5926" s="11" t="str">
        <x:v>688062.SH</x:v>
      </x:c>
      <x:c r="B5926" s="11" t="str">
        <x:v>三年</x:v>
      </x:c>
      <x:c r="C5926" s="11" t="str">
        <x:v>tmprss_pv_global</x:v>
      </x:c>
      <x:c r="D5926" s="11" t="str">
        <x:v>2027-12-31</x:v>
      </x:c>
      <x:c r="E5926" s="11" t="str">
        <x:v>USD</x:v>
      </x:c>
      <x:c r="F5926" s="11" t="n">
        <x:v>-1.7741273100616017</x:v>
      </x:c>
      <x:c r="G5926" s="26" t="b">
        <x:v>0</x:v>
      </x:c>
      <x:c r="H5926" s="16" t="n">
        <x:v>0</x:v>
      </x:c>
      <x:c r="I5926" s="16" t="n">
        <x:v>0</x:v>
      </x:c>
      <x:c r="J5926" s="16" t="n">
        <x:v>0</x:v>
      </x:c>
      <x:c r="K5926" s="11" t="n">
        <x:f>CHOOSE('假设'!$B$3,H5926,I5926,J5926)</x:f>
        <x:v>0</x:v>
      </x:c>
      <x:c r="L5926" s="11" t="n">
        <x:f>K5926*'管线假设'!E1271*'管线假设'!F1271*'管线假设'!G1271*IF(E5926="USD",'管线假设'!I1271,1)-AM5926</x:f>
        <x:v>0</x:v>
      </x:c>
      <x:c r="M5926" s="11" t="n">
        <x:f>'管线假设'!H1271</x:f>
        <x:v>0.14</x:v>
      </x:c>
      <x:c r="N5926" s="11" t="n">
        <x:f>IF(G5926,L5926*AN5926/(1+M5926)^F5926,0)</x:f>
        <x:v>0</x:v>
      </x:c>
      <x:c r="AJ5926" t="n">
        <x:v>0</x:v>
      </x:c>
      <x:c r="AK5926" t="n">
        <x:v>0</x:v>
      </x:c>
      <x:c r="AL5926" t="n">
        <x:v>0</x:v>
      </x:c>
      <x:c r="AM5926" t="n">
        <x:f>CHOOSE('假设'!$B$3,AJ5926,AK5926,AL5926)</x:f>
        <x:v>0</x:v>
      </x:c>
      <x:c r="AN5926" t="n">
        <x:v>1</x:v>
      </x:c>
    </x:row>
    <x:row r="5927" ht="23" customHeight="1">
      <x:c r="A5927" s="11" t="str">
        <x:v>688062.SH</x:v>
      </x:c>
      <x:c r="B5927" s="11" t="str">
        <x:v>三年</x:v>
      </x:c>
      <x:c r="C5927" s="11" t="str">
        <x:v>tmprss_pv_global</x:v>
      </x:c>
      <x:c r="D5927" s="11" t="str">
        <x:v>2028-12-31</x:v>
      </x:c>
      <x:c r="E5927" s="11" t="str">
        <x:v>USD</x:v>
      </x:c>
      <x:c r="F5927" s="11" t="n">
        <x:v>-0.7720739219712526</x:v>
      </x:c>
      <x:c r="G5927" s="26" t="b">
        <x:v>0</x:v>
      </x:c>
      <x:c r="H5927" s="16" t="n">
        <x:v>0</x:v>
      </x:c>
      <x:c r="I5927" s="16" t="n">
        <x:v>0</x:v>
      </x:c>
      <x:c r="J5927" s="16" t="n">
        <x:v>0</x:v>
      </x:c>
      <x:c r="K5927" s="11" t="n">
        <x:f>CHOOSE('假设'!$B$3,H5927,I5927,J5927)</x:f>
        <x:v>0</x:v>
      </x:c>
      <x:c r="L5927" s="11" t="n">
        <x:f>K5927*'管线假设'!E1271*'管线假设'!F1271*'管线假设'!G1271*IF(E5927="USD",'管线假设'!I1271,1)-AM5927</x:f>
        <x:v>0</x:v>
      </x:c>
      <x:c r="M5927" s="11" t="n">
        <x:f>'管线假设'!H1271</x:f>
        <x:v>0.14</x:v>
      </x:c>
      <x:c r="N5927" s="11" t="n">
        <x:f>IF(G5927,L5927*AN5927/(1+M5927)^F5927,0)</x:f>
        <x:v>0</x:v>
      </x:c>
      <x:c r="AJ5927" t="n">
        <x:v>0</x:v>
      </x:c>
      <x:c r="AK5927" t="n">
        <x:v>0</x:v>
      </x:c>
      <x:c r="AL5927" t="n">
        <x:v>0</x:v>
      </x:c>
      <x:c r="AM5927" t="n">
        <x:f>CHOOSE('假设'!$B$3,AJ5927,AK5927,AL5927)</x:f>
        <x:v>0</x:v>
      </x:c>
      <x:c r="AN5927" t="n">
        <x:v>1</x:v>
      </x:c>
    </x:row>
    <x:row r="5928" ht="23" customHeight="1">
      <x:c r="A5928" s="11" t="str">
        <x:v>688062.SH</x:v>
      </x:c>
      <x:c r="B5928" s="11" t="str">
        <x:v>三年</x:v>
      </x:c>
      <x:c r="C5928" s="11" t="str">
        <x:v>tmprss_pv_global</x:v>
      </x:c>
      <x:c r="D5928" s="11" t="str">
        <x:v>2029-12-31</x:v>
      </x:c>
      <x:c r="E5928" s="11" t="str">
        <x:v>USD</x:v>
      </x:c>
      <x:c r="F5928" s="11" t="n">
        <x:v>0.2272416153319644</x:v>
      </x:c>
      <x:c r="G5928" s="26" t="b">
        <x:v>1</x:v>
      </x:c>
      <x:c r="H5928" s="16" t="n">
        <x:v>0</x:v>
      </x:c>
      <x:c r="I5928" s="16" t="n">
        <x:v>0</x:v>
      </x:c>
      <x:c r="J5928" s="16" t="n">
        <x:v>0.2833333333333333</x:v>
      </x:c>
      <x:c r="K5928" s="11" t="n">
        <x:f>CHOOSE('假设'!$B$3,H5928,I5928,J5928)</x:f>
        <x:v>0</x:v>
      </x:c>
      <x:c r="L5928" s="11" t="n">
        <x:f>K5928*'管线假设'!E1271*'管线假设'!F1271*'管线假设'!G1271*IF(E5928="USD",'管线假设'!I1271,1)-AM5928</x:f>
        <x:v>0</x:v>
      </x:c>
      <x:c r="M5928" s="11" t="n">
        <x:f>'管线假设'!H1271</x:f>
        <x:v>0.14</x:v>
      </x:c>
      <x:c r="N5928" s="11" t="n">
        <x:f>IF(G5928,L5928*AN5928/(1+M5928)^F5928,0)</x:f>
        <x:v>0</x:v>
      </x:c>
      <x:c r="AJ5928" t="n">
        <x:v>0</x:v>
      </x:c>
      <x:c r="AK5928" t="n">
        <x:v>0</x:v>
      </x:c>
      <x:c r="AL5928" t="n">
        <x:v>0</x:v>
      </x:c>
      <x:c r="AM5928" t="n">
        <x:f>CHOOSE('假设'!$B$3,AJ5928,AK5928,AL5928)</x:f>
        <x:v>0</x:v>
      </x:c>
      <x:c r="AN5928" t="n">
        <x:v>1</x:v>
      </x:c>
    </x:row>
    <x:row r="5929" ht="23" customHeight="1">
      <x:c r="A5929" s="11" t="str">
        <x:v>688062.SH</x:v>
      </x:c>
      <x:c r="B5929" s="11" t="str">
        <x:v>三年</x:v>
      </x:c>
      <x:c r="C5929" s="11" t="str">
        <x:v>tmprss_pv_global</x:v>
      </x:c>
      <x:c r="D5929" s="11" t="str">
        <x:v>2030-12-31</x:v>
      </x:c>
      <x:c r="E5929" s="11" t="str">
        <x:v>USD</x:v>
      </x:c>
      <x:c r="F5929" s="11" t="n">
        <x:v>1.2265571526351813</x:v>
      </x:c>
      <x:c r="G5929" s="26" t="b">
        <x:v>1</x:v>
      </x:c>
      <x:c r="H5929" s="16" t="n">
        <x:v>0</x:v>
      </x:c>
      <x:c r="I5929" s="16" t="n">
        <x:v>0</x:v>
      </x:c>
      <x:c r="J5929" s="16" t="n">
        <x:v>0.5666666666666667</x:v>
      </x:c>
      <x:c r="K5929" s="11" t="n">
        <x:f>CHOOSE('假设'!$B$3,H5929,I5929,J5929)</x:f>
        <x:v>0</x:v>
      </x:c>
      <x:c r="L5929" s="11" t="n">
        <x:f>K5929*'管线假设'!E1271*'管线假设'!F1271*'管线假设'!G1271*IF(E5929="USD",'管线假设'!I1271,1)-AM5929</x:f>
        <x:v>0</x:v>
      </x:c>
      <x:c r="M5929" s="11" t="n">
        <x:f>'管线假设'!H1271</x:f>
        <x:v>0.14</x:v>
      </x:c>
      <x:c r="N5929" s="11" t="n">
        <x:f>IF(G5929,L5929*AN5929/(1+M5929)^F5929,0)</x:f>
        <x:v>0</x:v>
      </x:c>
      <x:c r="AJ5929" t="n">
        <x:v>0</x:v>
      </x:c>
      <x:c r="AK5929" t="n">
        <x:v>0</x:v>
      </x:c>
      <x:c r="AL5929" t="n">
        <x:v>0</x:v>
      </x:c>
      <x:c r="AM5929" t="n">
        <x:f>CHOOSE('假设'!$B$3,AJ5929,AK5929,AL5929)</x:f>
        <x:v>0</x:v>
      </x:c>
      <x:c r="AN5929" t="n">
        <x:v>1</x:v>
      </x:c>
    </x:row>
    <x:row r="5930" ht="23" customHeight="1">
      <x:c r="A5930" s="11" t="str">
        <x:v>688062.SH</x:v>
      </x:c>
      <x:c r="B5930" s="11" t="str">
        <x:v>三年</x:v>
      </x:c>
      <x:c r="C5930" s="11" t="str">
        <x:v>tmprss_pv_global</x:v>
      </x:c>
      <x:c r="D5930" s="11" t="str">
        <x:v>2031-12-31</x:v>
      </x:c>
      <x:c r="E5930" s="11" t="str">
        <x:v>USD</x:v>
      </x:c>
      <x:c r="F5930" s="11" t="n">
        <x:v>2.2258726899383983</x:v>
      </x:c>
      <x:c r="G5930" s="26" t="b">
        <x:v>1</x:v>
      </x:c>
      <x:c r="H5930" s="16" t="n">
        <x:v>0</x:v>
      </x:c>
      <x:c r="I5930" s="16" t="n">
        <x:v>0.16666666666666666</x:v>
      </x:c>
      <x:c r="J5930" s="16" t="n">
        <x:v>0.85</x:v>
      </x:c>
      <x:c r="K5930" s="11" t="n">
        <x:f>CHOOSE('假设'!$B$3,H5930,I5930,J5930)</x:f>
        <x:v>0.16666666666666666</x:v>
      </x:c>
      <x:c r="L5930" s="11" t="n">
        <x:f>K5930*'管线假设'!E1271*'管线假设'!F1271*'管线假设'!G1271*IF(E5930="USD",'管线假设'!I1271,1)-AM5930</x:f>
        <x:v>0.04041376</x:v>
      </x:c>
      <x:c r="M5930" s="11" t="n">
        <x:f>'管线假设'!H1271</x:f>
        <x:v>0.14</x:v>
      </x:c>
      <x:c r="N5930" s="11" t="n">
        <x:f>IF(G5930,L5930*AN5930/(1+M5930)^F5930,0)</x:f>
        <x:v>0.03019022178918242</x:v>
      </x:c>
      <x:c r="AJ5930" t="n">
        <x:v>0</x:v>
      </x:c>
      <x:c r="AK5930" t="n">
        <x:v>0</x:v>
      </x:c>
      <x:c r="AL5930" t="n">
        <x:v>0</x:v>
      </x:c>
      <x:c r="AM5930" t="n">
        <x:f>CHOOSE('假设'!$B$3,AJ5930,AK5930,AL5930)</x:f>
        <x:v>0</x:v>
      </x:c>
      <x:c r="AN5930" t="n">
        <x:v>1</x:v>
      </x:c>
    </x:row>
    <x:row r="5931" ht="23" customHeight="1">
      <x:c r="A5931" s="11" t="str">
        <x:v>688062.SH</x:v>
      </x:c>
      <x:c r="B5931" s="11" t="str">
        <x:v>三年</x:v>
      </x:c>
      <x:c r="C5931" s="11" t="str">
        <x:v>tmprss_pv_global</x:v>
      </x:c>
      <x:c r="D5931" s="11" t="str">
        <x:v>2032-12-31</x:v>
      </x:c>
      <x:c r="E5931" s="11" t="str">
        <x:v>USD</x:v>
      </x:c>
      <x:c r="F5931" s="11" t="n">
        <x:v>3.2279260780287475</x:v>
      </x:c>
      <x:c r="G5931" s="26" t="b">
        <x:v>1</x:v>
      </x:c>
      <x:c r="H5931" s="16" t="n">
        <x:v>0</x:v>
      </x:c>
      <x:c r="I5931" s="16" t="n">
        <x:v>0.3333333333333333</x:v>
      </x:c>
      <x:c r="J5931" s="16" t="n">
        <x:v>1.1333333333333333</x:v>
      </x:c>
      <x:c r="K5931" s="11" t="n">
        <x:f>CHOOSE('假设'!$B$3,H5931,I5931,J5931)</x:f>
        <x:v>0.3333333333333333</x:v>
      </x:c>
      <x:c r="L5931" s="11" t="n">
        <x:f>K5931*'管线假设'!E1271*'管线假设'!F1271*'管线假设'!G1271*IF(E5931="USD",'管线假设'!I1271,1)-AM5931</x:f>
        <x:v>0.08082752</x:v>
      </x:c>
      <x:c r="M5931" s="11" t="n">
        <x:f>'管线假设'!H1271</x:f>
        <x:v>0.14</x:v>
      </x:c>
      <x:c r="N5931" s="11" t="n">
        <x:f>IF(G5931,L5931*AN5931/(1+M5931)^F5931,0)</x:f>
        <x:v>0.052951052887839585</x:v>
      </x:c>
      <x:c r="AJ5931" t="n">
        <x:v>0</x:v>
      </x:c>
      <x:c r="AK5931" t="n">
        <x:v>0</x:v>
      </x:c>
      <x:c r="AL5931" t="n">
        <x:v>0</x:v>
      </x:c>
      <x:c r="AM5931" t="n">
        <x:f>CHOOSE('假设'!$B$3,AJ5931,AK5931,AL5931)</x:f>
        <x:v>0</x:v>
      </x:c>
      <x:c r="AN5931" t="n">
        <x:v>1</x:v>
      </x:c>
    </x:row>
    <x:row r="5932" ht="23" customHeight="1">
      <x:c r="A5932" s="11" t="str">
        <x:v>688062.SH</x:v>
      </x:c>
      <x:c r="B5932" s="11" t="str">
        <x:v>三年</x:v>
      </x:c>
      <x:c r="C5932" s="11" t="str">
        <x:v>tmprss_pv_global</x:v>
      </x:c>
      <x:c r="D5932" s="11" t="str">
        <x:v>2033-12-31</x:v>
      </x:c>
      <x:c r="E5932" s="11" t="str">
        <x:v>USD</x:v>
      </x:c>
      <x:c r="F5932" s="11" t="n">
        <x:v>4.227241615331964</x:v>
      </x:c>
      <x:c r="G5932" s="26" t="b">
        <x:v>1</x:v>
      </x:c>
      <x:c r="H5932" s="16" t="n">
        <x:v>0</x:v>
      </x:c>
      <x:c r="I5932" s="16" t="n">
        <x:v>0.5</x:v>
      </x:c>
      <x:c r="J5932" s="16" t="n">
        <x:v>1.4166666666666667</x:v>
      </x:c>
      <x:c r="K5932" s="11" t="n">
        <x:f>CHOOSE('假设'!$B$3,H5932,I5932,J5932)</x:f>
        <x:v>0.5</x:v>
      </x:c>
      <x:c r="L5932" s="11" t="n">
        <x:f>K5932*'管线假设'!E1271*'管线假设'!F1271*'管线假设'!G1271*IF(E5932="USD",'管线假设'!I1271,1)-AM5932</x:f>
        <x:v>0.12124128</x:v>
      </x:c>
      <x:c r="M5932" s="11" t="n">
        <x:f>'管线假设'!H1271</x:f>
        <x:v>0.14</x:v>
      </x:c>
      <x:c r="N5932" s="11" t="n">
        <x:f>IF(G5932,L5932*AN5932/(1+M5932)^F5932,0)</x:f>
        <x:v>0.06967868679051195</x:v>
      </x:c>
      <x:c r="AJ5932" t="n">
        <x:v>0</x:v>
      </x:c>
      <x:c r="AK5932" t="n">
        <x:v>0</x:v>
      </x:c>
      <x:c r="AL5932" t="n">
        <x:v>0</x:v>
      </x:c>
      <x:c r="AM5932" t="n">
        <x:f>CHOOSE('假设'!$B$3,AJ5932,AK5932,AL5932)</x:f>
        <x:v>0</x:v>
      </x:c>
      <x:c r="AN5932" t="n">
        <x:v>1</x:v>
      </x:c>
    </x:row>
    <x:row r="5933" ht="23" customHeight="1">
      <x:c r="A5933" s="11" t="str">
        <x:v>688062.SH</x:v>
      </x:c>
      <x:c r="B5933" s="11" t="str">
        <x:v>三年</x:v>
      </x:c>
      <x:c r="C5933" s="11" t="str">
        <x:v>tmprss_pv_global</x:v>
      </x:c>
      <x:c r="D5933" s="11" t="str">
        <x:v>2034-12-31</x:v>
      </x:c>
      <x:c r="E5933" s="11" t="str">
        <x:v>USD</x:v>
      </x:c>
      <x:c r="F5933" s="11" t="n">
        <x:v>5.2265571526351815</x:v>
      </x:c>
      <x:c r="G5933" s="26" t="b">
        <x:v>1</x:v>
      </x:c>
      <x:c r="H5933" s="16" t="n">
        <x:v>0.08000000000000002</x:v>
      </x:c>
      <x:c r="I5933" s="16" t="n">
        <x:v>0.6666666666666666</x:v>
      </x:c>
      <x:c r="J5933" s="16" t="n">
        <x:v>1.7</x:v>
      </x:c>
      <x:c r="K5933" s="11" t="n">
        <x:f>CHOOSE('假设'!$B$3,H5933,I5933,J5933)</x:f>
        <x:v>0.6666666666666666</x:v>
      </x:c>
      <x:c r="L5933" s="11" t="n">
        <x:f>K5933*'管线假设'!E1271*'管线假设'!F1271*'管线假设'!G1271*IF(E5933="USD",'管线假设'!I1271,1)-AM5933</x:f>
        <x:v>0.16165504</x:v>
      </x:c>
      <x:c r="M5933" s="11" t="n">
        <x:f>'管线假设'!H1271</x:f>
        <x:v>0.14</x:v>
      </x:c>
      <x:c r="N5933" s="11" t="n">
        <x:f>IF(G5933,L5933*AN5933/(1+M5933)^F5933,0)</x:f>
        <x:v>0.0815028492761978</x:v>
      </x:c>
      <x:c r="AJ5933" t="n">
        <x:v>0</x:v>
      </x:c>
      <x:c r="AK5933" t="n">
        <x:v>0</x:v>
      </x:c>
      <x:c r="AL5933" t="n">
        <x:v>0</x:v>
      </x:c>
      <x:c r="AM5933" t="n">
        <x:f>CHOOSE('假设'!$B$3,AJ5933,AK5933,AL5933)</x:f>
        <x:v>0</x:v>
      </x:c>
      <x:c r="AN5933" t="n">
        <x:v>1</x:v>
      </x:c>
    </x:row>
    <x:row r="5934" ht="23" customHeight="1">
      <x:c r="A5934" s="11" t="str">
        <x:v>688062.SH</x:v>
      </x:c>
      <x:c r="B5934" s="11" t="str">
        <x:v>三年</x:v>
      </x:c>
      <x:c r="C5934" s="11" t="str">
        <x:v>tmprss_pv_global</x:v>
      </x:c>
      <x:c r="D5934" s="11" t="str">
        <x:v>2035-12-31</x:v>
      </x:c>
      <x:c r="E5934" s="11" t="str">
        <x:v>USD</x:v>
      </x:c>
      <x:c r="F5934" s="11" t="n">
        <x:v>6.225872689938399</x:v>
      </x:c>
      <x:c r="G5934" s="26" t="b">
        <x:v>1</x:v>
      </x:c>
      <x:c r="H5934" s="16" t="n">
        <x:v>0.16000000000000003</x:v>
      </x:c>
      <x:c r="I5934" s="16" t="n">
        <x:v>0.8333333333333334</x:v>
      </x:c>
      <x:c r="J5934" s="16" t="n">
        <x:v>1.4789999999999999</x:v>
      </x:c>
      <x:c r="K5934" s="11" t="n">
        <x:f>CHOOSE('假设'!$B$3,H5934,I5934,J5934)</x:f>
        <x:v>0.8333333333333334</x:v>
      </x:c>
      <x:c r="L5934" s="11" t="n">
        <x:f>K5934*'管线假设'!E1271*'管线假设'!F1271*'管线假设'!G1271*IF(E5934="USD",'管线假设'!I1271,1)-AM5934</x:f>
        <x:v>0.20206880000000002</x:v>
      </x:c>
      <x:c r="M5934" s="11" t="n">
        <x:f>'管线假设'!H1271</x:f>
        <x:v>0.14</x:v>
      </x:c>
      <x:c r="N5934" s="11" t="n">
        <x:f>IF(G5934,L5934*AN5934/(1+M5934)^F5934,0)</x:f>
        <x:v>0.08937517445403333</x:v>
      </x:c>
      <x:c r="AJ5934" t="n">
        <x:v>0</x:v>
      </x:c>
      <x:c r="AK5934" t="n">
        <x:v>0</x:v>
      </x:c>
      <x:c r="AL5934" t="n">
        <x:v>0</x:v>
      </x:c>
      <x:c r="AM5934" t="n">
        <x:f>CHOOSE('假设'!$B$3,AJ5934,AK5934,AL5934)</x:f>
        <x:v>0</x:v>
      </x:c>
      <x:c r="AN5934" t="n">
        <x:v>1</x:v>
      </x:c>
    </x:row>
    <x:row r="5935" ht="23" customHeight="1">
      <x:c r="A5935" s="11" t="str">
        <x:v>688062.SH</x:v>
      </x:c>
      <x:c r="B5935" s="11" t="str">
        <x:v>三年</x:v>
      </x:c>
      <x:c r="C5935" s="11" t="str">
        <x:v>tmprss_pv_global</x:v>
      </x:c>
      <x:c r="D5935" s="11" t="str">
        <x:v>2036-12-31</x:v>
      </x:c>
      <x:c r="E5935" s="11" t="str">
        <x:v>USD</x:v>
      </x:c>
      <x:c r="F5935" s="11" t="n">
        <x:v>7.227926078028747</x:v>
      </x:c>
      <x:c r="G5935" s="26" t="b">
        <x:v>1</x:v>
      </x:c>
      <x:c r="H5935" s="16" t="n">
        <x:v>0.24</x:v>
      </x:c>
      <x:c r="I5935" s="16" t="n">
        <x:v>1</x:v>
      </x:c>
      <x:c r="J5935" s="16" t="n">
        <x:v>1.258</x:v>
      </x:c>
      <x:c r="K5935" s="11" t="n">
        <x:f>CHOOSE('假设'!$B$3,H5935,I5935,J5935)</x:f>
        <x:v>1</x:v>
      </x:c>
      <x:c r="L5935" s="11" t="n">
        <x:f>K5935*'管线假设'!E1271*'管线假设'!F1271*'管线假设'!G1271*IF(E5935="USD",'管线假设'!I1271,1)-AM5935</x:f>
        <x:v>0.24248256</x:v>
      </x:c>
      <x:c r="M5935" s="11" t="n">
        <x:f>'管线假设'!H1271</x:f>
        <x:v>0.14</x:v>
      </x:c>
      <x:c r="N5935" s="11" t="n">
        <x:f>IF(G5935,L5935*AN5935/(1+M5935)^F5935,0)</x:f>
        <x:v>0.0940538222426269</x:v>
      </x:c>
      <x:c r="AJ5935" t="n">
        <x:v>0</x:v>
      </x:c>
      <x:c r="AK5935" t="n">
        <x:v>0</x:v>
      </x:c>
      <x:c r="AL5935" t="n">
        <x:v>0</x:v>
      </x:c>
      <x:c r="AM5935" t="n">
        <x:f>CHOOSE('假设'!$B$3,AJ5935,AK5935,AL5935)</x:f>
        <x:v>0</x:v>
      </x:c>
      <x:c r="AN5935" t="n">
        <x:v>1</x:v>
      </x:c>
    </x:row>
    <x:row r="5936" ht="23" customHeight="1">
      <x:c r="A5936" s="11" t="str">
        <x:v>688062.SH</x:v>
      </x:c>
      <x:c r="B5936" s="11" t="str">
        <x:v>三年</x:v>
      </x:c>
      <x:c r="C5936" s="11" t="str">
        <x:v>tmprss_pv_global</x:v>
      </x:c>
      <x:c r="D5936" s="11" t="str">
        <x:v>2037-12-31</x:v>
      </x:c>
      <x:c r="E5936" s="11" t="str">
        <x:v>USD</x:v>
      </x:c>
      <x:c r="F5936" s="11" t="n">
        <x:v>8.227241615331964</x:v>
      </x:c>
      <x:c r="G5936" s="26" t="b">
        <x:v>1</x:v>
      </x:c>
      <x:c r="H5936" s="16" t="n">
        <x:v>0.32000000000000006</x:v>
      </x:c>
      <x:c r="I5936" s="16" t="n">
        <x:v>0.87</x:v>
      </x:c>
      <x:c r="J5936" s="16" t="n">
        <x:v>1.037</x:v>
      </x:c>
      <x:c r="K5936" s="11" t="n">
        <x:f>CHOOSE('假设'!$B$3,H5936,I5936,J5936)</x:f>
        <x:v>0.87</x:v>
      </x:c>
      <x:c r="L5936" s="11" t="n">
        <x:f>K5936*'管线假设'!E1271*'管线假设'!F1271*'管线假设'!G1271*IF(E5936="USD",'管线假设'!I1271,1)-AM5936</x:f>
        <x:v>0.2109598272</x:v>
      </x:c>
      <x:c r="M5936" s="11" t="n">
        <x:f>'管线假设'!H1271</x:f>
        <x:v>0.14</x:v>
      </x:c>
      <x:c r="N5936" s="11" t="n">
        <x:f>IF(G5936,L5936*AN5936/(1+M5936)^F5936,0)</x:f>
        <x:v>0.07178435459098735</x:v>
      </x:c>
      <x:c r="AJ5936" t="n">
        <x:v>0</x:v>
      </x:c>
      <x:c r="AK5936" t="n">
        <x:v>0</x:v>
      </x:c>
      <x:c r="AL5936" t="n">
        <x:v>0</x:v>
      </x:c>
      <x:c r="AM5936" t="n">
        <x:f>CHOOSE('假设'!$B$3,AJ5936,AK5936,AL5936)</x:f>
        <x:v>0</x:v>
      </x:c>
      <x:c r="AN5936" t="n">
        <x:v>1</x:v>
      </x:c>
    </x:row>
    <x:row r="5937" ht="23" customHeight="1">
      <x:c r="A5937" s="11" t="str">
        <x:v>688062.SH</x:v>
      </x:c>
      <x:c r="B5937" s="11" t="str">
        <x:v>三年</x:v>
      </x:c>
      <x:c r="C5937" s="11" t="str">
        <x:v>tmprss_pv_global</x:v>
      </x:c>
      <x:c r="D5937" s="11" t="str">
        <x:v>2038-12-31</x:v>
      </x:c>
      <x:c r="E5937" s="11" t="str">
        <x:v>USD</x:v>
      </x:c>
      <x:c r="F5937" s="11" t="n">
        <x:v>9.22655715263518</x:v>
      </x:c>
      <x:c r="G5937" s="26" t="b">
        <x:v>1</x:v>
      </x:c>
      <x:c r="H5937" s="16" t="n">
        <x:v>0.4</x:v>
      </x:c>
      <x:c r="I5937" s="16" t="n">
        <x:v>0.74</x:v>
      </x:c>
      <x:c r="J5937" s="16" t="n">
        <x:v>0.816</x:v>
      </x:c>
      <x:c r="K5937" s="11" t="n">
        <x:f>CHOOSE('假设'!$B$3,H5937,I5937,J5937)</x:f>
        <x:v>0.74</x:v>
      </x:c>
      <x:c r="L5937" s="11" t="n">
        <x:f>K5937*'管线假设'!E1271*'管线假设'!F1271*'管线假设'!G1271*IF(E5937="USD",'管线假设'!I1271,1)-AM5937</x:f>
        <x:v>0.1794370944</x:v>
      </x:c>
      <x:c r="M5937" s="11" t="n">
        <x:f>'管线假设'!H1271</x:f>
        <x:v>0.14</x:v>
      </x:c>
      <x:c r="N5937" s="11" t="n">
        <x:f>IF(G5937,L5937*AN5937/(1+M5937)^F5937,0)</x:f>
        <x:v>0.053564414862562255</x:v>
      </x:c>
      <x:c r="AJ5937" t="n">
        <x:v>0</x:v>
      </x:c>
      <x:c r="AK5937" t="n">
        <x:v>0</x:v>
      </x:c>
      <x:c r="AL5937" t="n">
        <x:v>0</x:v>
      </x:c>
      <x:c r="AM5937" t="n">
        <x:f>CHOOSE('假设'!$B$3,AJ5937,AK5937,AL5937)</x:f>
        <x:v>0</x:v>
      </x:c>
      <x:c r="AN5937" t="n">
        <x:v>1</x:v>
      </x:c>
    </x:row>
    <x:row r="5938" ht="23" customHeight="1">
      <x:c r="A5938" s="11" t="str">
        <x:v>688062.SH</x:v>
      </x:c>
      <x:c r="B5938" s="11" t="str">
        <x:v>三年</x:v>
      </x:c>
      <x:c r="C5938" s="11" t="str">
        <x:v>tmprss_pv_global</x:v>
      </x:c>
      <x:c r="D5938" s="11" t="str">
        <x:v>2039-12-31</x:v>
      </x:c>
      <x:c r="E5938" s="11" t="str">
        <x:v>USD</x:v>
      </x:c>
      <x:c r="F5938" s="11" t="n">
        <x:v>10.225872689938399</x:v>
      </x:c>
      <x:c r="G5938" s="26" t="b">
        <x:v>1</x:v>
      </x:c>
      <x:c r="H5938" s="16" t="n">
        <x:v>0.34800000000000003</x:v>
      </x:c>
      <x:c r="I5938" s="16" t="n">
        <x:v>0.61</x:v>
      </x:c>
      <x:c r="J5938" s="16" t="n">
        <x:v>0.595</x:v>
      </x:c>
      <x:c r="K5938" s="11" t="n">
        <x:f>CHOOSE('假设'!$B$3,H5938,I5938,J5938)</x:f>
        <x:v>0.61</x:v>
      </x:c>
      <x:c r="L5938" s="11" t="n">
        <x:f>K5938*'管线假设'!E1271*'管线假设'!F1271*'管线假设'!G1271*IF(E5938="USD",'管线假设'!I1271,1)-AM5938</x:f>
        <x:v>0.1479143616</x:v>
      </x:c>
      <x:c r="M5938" s="11" t="n">
        <x:f>'管线假设'!H1271</x:f>
        <x:v>0.14</x:v>
      </x:c>
      <x:c r="N5938" s="11" t="n">
        <x:f>IF(G5938,L5938*AN5938/(1+M5938)^F5938,0)</x:f>
        <x:v>0.03873544755511128</x:v>
      </x:c>
      <x:c r="AJ5938" t="n">
        <x:v>0</x:v>
      </x:c>
      <x:c r="AK5938" t="n">
        <x:v>0</x:v>
      </x:c>
      <x:c r="AL5938" t="n">
        <x:v>0</x:v>
      </x:c>
      <x:c r="AM5938" t="n">
        <x:f>CHOOSE('假设'!$B$3,AJ5938,AK5938,AL5938)</x:f>
        <x:v>0</x:v>
      </x:c>
      <x:c r="AN5938" t="n">
        <x:v>1</x:v>
      </x:c>
    </x:row>
    <x:row r="5939" ht="23" customHeight="1">
      <x:c r="A5939" s="11" t="str">
        <x:v>688062.SH</x:v>
      </x:c>
      <x:c r="B5939" s="11" t="str">
        <x:v>三年</x:v>
      </x:c>
      <x:c r="C5939" s="11" t="str">
        <x:v>tmprss_pv_global</x:v>
      </x:c>
      <x:c r="D5939" s="11" t="str">
        <x:v>2040-12-31</x:v>
      </x:c>
      <x:c r="E5939" s="11" t="str">
        <x:v>USD</x:v>
      </x:c>
      <x:c r="F5939" s="11" t="n">
        <x:v>11.227926078028748</x:v>
      </x:c>
      <x:c r="G5939" s="26" t="b">
        <x:v>1</x:v>
      </x:c>
      <x:c r="H5939" s="16" t="n">
        <x:v>0.296</x:v>
      </x:c>
      <x:c r="I5939" s="16" t="n">
        <x:v>0.48</x:v>
      </x:c>
      <x:c r="J5939" s="16" t="n">
        <x:v>0.37399999999999994</x:v>
      </x:c>
      <x:c r="K5939" s="11" t="n">
        <x:f>CHOOSE('假设'!$B$3,H5939,I5939,J5939)</x:f>
        <x:v>0.48</x:v>
      </x:c>
      <x:c r="L5939" s="11" t="n">
        <x:f>K5939*'管线假设'!E1271*'管线假设'!F1271*'管线假设'!G1271*IF(E5939="USD",'管线假设'!I1271,1)-AM5939</x:f>
        <x:v>0.11639162880000001</x:v>
      </x:c>
      <x:c r="M5939" s="11" t="n">
        <x:f>'管线假设'!H1271</x:f>
        <x:v>0.14</x:v>
      </x:c>
      <x:c r="N5939" s="11" t="n">
        <x:f>IF(G5939,L5939*AN5939/(1+M5939)^F5939,0)</x:f>
        <x:v>0.02672995831734769</x:v>
      </x:c>
      <x:c r="AJ5939" t="n">
        <x:v>0</x:v>
      </x:c>
      <x:c r="AK5939" t="n">
        <x:v>0</x:v>
      </x:c>
      <x:c r="AL5939" t="n">
        <x:v>0</x:v>
      </x:c>
      <x:c r="AM5939" t="n">
        <x:f>CHOOSE('假设'!$B$3,AJ5939,AK5939,AL5939)</x:f>
        <x:v>0</x:v>
      </x:c>
      <x:c r="AN5939" t="n">
        <x:v>1</x:v>
      </x:c>
    </x:row>
    <x:row r="5940" ht="23" customHeight="1">
      <x:c r="A5940" s="11" t="str">
        <x:v>688062.SH</x:v>
      </x:c>
      <x:c r="B5940" s="11" t="str">
        <x:v>三年</x:v>
      </x:c>
      <x:c r="C5940" s="11" t="str">
        <x:v>tmprss_pv_global</x:v>
      </x:c>
      <x:c r="D5940" s="11" t="str">
        <x:v>2041-12-31</x:v>
      </x:c>
      <x:c r="E5940" s="11" t="str">
        <x:v>USD</x:v>
      </x:c>
      <x:c r="F5940" s="11" t="n">
        <x:v>12.227241615331964</x:v>
      </x:c>
      <x:c r="G5940" s="26" t="b">
        <x:v>1</x:v>
      </x:c>
      <x:c r="H5940" s="16" t="n">
        <x:v>0.244</x:v>
      </x:c>
      <x:c r="I5940" s="16" t="n">
        <x:v>0.35</x:v>
      </x:c>
      <x:c r="J5940" s="16" t="n">
        <x:v>0.15299999999999994</x:v>
      </x:c>
      <x:c r="K5940" s="11" t="n">
        <x:f>CHOOSE('假设'!$B$3,H5940,I5940,J5940)</x:f>
        <x:v>0.35</x:v>
      </x:c>
      <x:c r="L5940" s="11" t="n">
        <x:f>K5940*'管线假设'!E1271*'管线假设'!F1271*'管线假设'!G1271*IF(E5940="USD",'管线假设'!I1271,1)-AM5940</x:f>
        <x:v>0.08486889599999999</x:v>
      </x:c>
      <x:c r="M5940" s="11" t="n">
        <x:f>'管线假设'!H1271</x:f>
        <x:v>0.14</x:v>
      </x:c>
      <x:c r="N5940" s="11" t="n">
        <x:f>IF(G5940,L5940*AN5940/(1+M5940)^F5940,0)</x:f>
        <x:v>0.017098546209166822</x:v>
      </x:c>
      <x:c r="AJ5940" t="n">
        <x:v>0</x:v>
      </x:c>
      <x:c r="AK5940" t="n">
        <x:v>0</x:v>
      </x:c>
      <x:c r="AL5940" t="n">
        <x:v>0</x:v>
      </x:c>
      <x:c r="AM5940" t="n">
        <x:f>CHOOSE('假设'!$B$3,AJ5940,AK5940,AL5940)</x:f>
        <x:v>0</x:v>
      </x:c>
      <x:c r="AN5940" t="n">
        <x:v>1</x:v>
      </x:c>
    </x:row>
    <x:row r="5941" ht="23" customHeight="1">
      <x:c r="A5941" s="11" t="str">
        <x:v>688062.SH</x:v>
      </x:c>
      <x:c r="B5941" s="11" t="str">
        <x:v>三年</x:v>
      </x:c>
      <x:c r="C5941" s="11" t="str">
        <x:v>tmprss_pv_global</x:v>
      </x:c>
      <x:c r="D5941" s="11" t="str">
        <x:v>2042-12-31</x:v>
      </x:c>
      <x:c r="E5941" s="11" t="str">
        <x:v>USD</x:v>
      </x:c>
      <x:c r="F5941" s="11" t="n">
        <x:v>13.22655715263518</x:v>
      </x:c>
      <x:c r="G5941" s="26" t="b">
        <x:v>1</x:v>
      </x:c>
      <x:c r="H5941" s="16" t="n">
        <x:v>0.192</x:v>
      </x:c>
      <x:c r="I5941" s="16" t="n">
        <x:v>0.21999999999999997</x:v>
      </x:c>
      <x:c r="J5941" s="16" t="n">
        <x:v>0</x:v>
      </x:c>
      <x:c r="K5941" s="11" t="n">
        <x:f>CHOOSE('假设'!$B$3,H5941,I5941,J5941)</x:f>
        <x:v>0.21999999999999997</x:v>
      </x:c>
      <x:c r="L5941" s="11" t="n">
        <x:f>K5941*'管线假设'!E1271*'管线假设'!F1271*'管线假设'!G1271*IF(E5941="USD",'管线假设'!I1271,1)-AM5941</x:f>
        <x:v>0.05334616319999999</x:v>
      </x:c>
      <x:c r="M5941" s="11" t="n">
        <x:f>'管线假设'!H1271</x:f>
        <x:v>0.14</x:v>
      </x:c>
      <x:c r="N5941" s="11" t="n">
        <x:f>IF(G5941,L5941*AN5941/(1+M5941)^F5941,0)</x:f>
        <x:v>0.009428615397269604</x:v>
      </x:c>
      <x:c r="AJ5941" t="n">
        <x:v>0</x:v>
      </x:c>
      <x:c r="AK5941" t="n">
        <x:v>0</x:v>
      </x:c>
      <x:c r="AL5941" t="n">
        <x:v>0</x:v>
      </x:c>
      <x:c r="AM5941" t="n">
        <x:f>CHOOSE('假设'!$B$3,AJ5941,AK5941,AL5941)</x:f>
        <x:v>0</x:v>
      </x:c>
      <x:c r="AN5941" t="n">
        <x:v>1</x:v>
      </x:c>
    </x:row>
    <x:row r="5942" ht="23" customHeight="1">
      <x:c r="A5942" s="11" t="str">
        <x:v>688062.SH</x:v>
      </x:c>
      <x:c r="B5942" s="11" t="str">
        <x:v>三年</x:v>
      </x:c>
      <x:c r="C5942" s="11" t="str">
        <x:v>tmprss_pv_global</x:v>
      </x:c>
      <x:c r="D5942" s="11" t="str">
        <x:v>2043-12-31</x:v>
      </x:c>
      <x:c r="E5942" s="11" t="str">
        <x:v>USD</x:v>
      </x:c>
      <x:c r="F5942" s="11" t="n">
        <x:v>14.225872689938399</x:v>
      </x:c>
      <x:c r="G5942" s="26" t="b">
        <x:v>1</x:v>
      </x:c>
      <x:c r="H5942" s="16" t="n">
        <x:v>0.13999999999999999</x:v>
      </x:c>
      <x:c r="I5942" s="16" t="n">
        <x:v>0.08999999999999997</x:v>
      </x:c>
      <x:c r="J5942" s="16" t="n">
        <x:v>0</x:v>
      </x:c>
      <x:c r="K5942" s="11" t="n">
        <x:f>CHOOSE('假设'!$B$3,H5942,I5942,J5942)</x:f>
        <x:v>0.08999999999999997</x:v>
      </x:c>
      <x:c r="L5942" s="11" t="n">
        <x:f>K5942*'管线假设'!E1271*'管线假设'!F1271*'管线假设'!G1271*IF(E5942="USD",'管线假设'!I1271,1)-AM5942</x:f>
        <x:v>0.021823430399999993</x:v>
      </x:c>
      <x:c r="M5942" s="11" t="n">
        <x:f>'管线假设'!H1271</x:f>
        <x:v>0.14</x:v>
      </x:c>
      <x:c r="N5942" s="11" t="n">
        <x:f>IF(G5942,L5942*AN5942/(1+M5942)^F5942,0)</x:f>
        <x:v>0.0033837778818425965</x:v>
      </x:c>
      <x:c r="AJ5942" t="n">
        <x:v>0</x:v>
      </x:c>
      <x:c r="AK5942" t="n">
        <x:v>0</x:v>
      </x:c>
      <x:c r="AL5942" t="n">
        <x:v>0</x:v>
      </x:c>
      <x:c r="AM5942" t="n">
        <x:f>CHOOSE('假设'!$B$3,AJ5942,AK5942,AL5942)</x:f>
        <x:v>0</x:v>
      </x:c>
      <x:c r="AN5942" t="n">
        <x:v>1</x:v>
      </x:c>
    </x:row>
    <x:row r="5943" ht="23" customHeight="1">
      <x:c r="A5943" s="11" t="str">
        <x:v>688062.SH</x:v>
      </x:c>
      <x:c r="B5943" s="11" t="str">
        <x:v>三年</x:v>
      </x:c>
      <x:c r="C5943" s="11" t="str">
        <x:v>tmprss_pv_global</x:v>
      </x:c>
      <x:c r="D5943" s="11" t="str">
        <x:v>2044-12-31</x:v>
      </x:c>
      <x:c r="E5943" s="11" t="str">
        <x:v>USD</x:v>
      </x:c>
      <x:c r="F5943" s="11" t="n">
        <x:v>15.227926078028748</x:v>
      </x:c>
      <x:c r="G5943" s="26" t="b">
        <x:v>1</x:v>
      </x:c>
      <x:c r="H5943" s="16" t="n">
        <x:v>0.088</x:v>
      </x:c>
      <x:c r="I5943" s="16" t="n">
        <x:v>0</x:v>
      </x:c>
      <x:c r="J5943" s="16" t="n">
        <x:v>0</x:v>
      </x:c>
      <x:c r="K5943" s="11" t="n">
        <x:f>CHOOSE('假设'!$B$3,H5943,I5943,J5943)</x:f>
        <x:v>0</x:v>
      </x:c>
      <x:c r="L5943" s="11" t="n">
        <x:f>K5943*'管线假设'!E1271*'管线假设'!F1271*'管线假设'!G1271*IF(E5943="USD",'管线假设'!I1271,1)-AM5943</x:f>
        <x:v>0</x:v>
      </x:c>
      <x:c r="M5943" s="11" t="n">
        <x:f>'管线假设'!H1271</x:f>
        <x:v>0.14</x:v>
      </x:c>
      <x:c r="N5943" s="11" t="n">
        <x:f>IF(G5943,L5943*AN5943/(1+M5943)^F5943,0)</x:f>
        <x:v>0</x:v>
      </x:c>
      <x:c r="AJ5943" t="n">
        <x:v>0</x:v>
      </x:c>
      <x:c r="AK5943" t="n">
        <x:v>0</x:v>
      </x:c>
      <x:c r="AL5943" t="n">
        <x:v>0</x:v>
      </x:c>
      <x:c r="AM5943" t="n">
        <x:f>CHOOSE('假设'!$B$3,AJ5943,AK5943,AL5943)</x:f>
        <x:v>0</x:v>
      </x:c>
      <x:c r="AN5943" t="n">
        <x:v>1</x:v>
      </x:c>
    </x:row>
    <x:row r="5944" ht="23" customHeight="1">
      <x:c r="A5944" s="11" t="str">
        <x:v>688062.SH</x:v>
      </x:c>
      <x:c r="B5944" s="11" t="str">
        <x:v>三年</x:v>
      </x:c>
      <x:c r="C5944" s="11" t="str">
        <x:v>tmprss_pv_global</x:v>
      </x:c>
      <x:c r="D5944" s="11" t="str">
        <x:v>2045-12-31</x:v>
      </x:c>
      <x:c r="E5944" s="11" t="str">
        <x:v>USD</x:v>
      </x:c>
      <x:c r="F5944" s="11" t="n">
        <x:v>16.227241615331966</x:v>
      </x:c>
      <x:c r="G5944" s="26" t="b">
        <x:v>1</x:v>
      </x:c>
      <x:c r="H5944" s="16" t="n">
        <x:v>0.03599999999999999</x:v>
      </x:c>
      <x:c r="I5944" s="16" t="n">
        <x:v>0</x:v>
      </x:c>
      <x:c r="J5944" s="16" t="n">
        <x:v>0</x:v>
      </x:c>
      <x:c r="K5944" s="11" t="n">
        <x:f>CHOOSE('假设'!$B$3,H5944,I5944,J5944)</x:f>
        <x:v>0</x:v>
      </x:c>
      <x:c r="L5944" s="11" t="n">
        <x:f>K5944*'管线假设'!E1271*'管线假设'!F1271*'管线假设'!G1271*IF(E5944="USD",'管线假设'!I1271,1)-AM5944</x:f>
        <x:v>0</x:v>
      </x:c>
      <x:c r="M5944" s="11" t="n">
        <x:f>'管线假设'!H1271</x:f>
        <x:v>0.14</x:v>
      </x:c>
      <x:c r="N5944" s="11" t="n">
        <x:f>IF(G5944,L5944*AN5944/(1+M5944)^F5944,0)</x:f>
        <x:v>0</x:v>
      </x:c>
      <x:c r="AJ5944" t="n">
        <x:v>0</x:v>
      </x:c>
      <x:c r="AK5944" t="n">
        <x:v>0</x:v>
      </x:c>
      <x:c r="AL5944" t="n">
        <x:v>0</x:v>
      </x:c>
      <x:c r="AM5944" t="n">
        <x:f>CHOOSE('假设'!$B$3,AJ5944,AK5944,AL5944)</x:f>
        <x:v>0</x:v>
      </x:c>
      <x:c r="AN5944" t="n">
        <x:v>1</x:v>
      </x:c>
    </x:row>
    <x:row r="5945" ht="23" customHeight="1">
      <x:c r="A5945" s="11" t="str">
        <x:v>688062.SH</x:v>
      </x:c>
      <x:c r="B5945" s="11" t="str">
        <x:v>三年</x:v>
      </x:c>
      <x:c r="C5945" s="11" t="str">
        <x:v>tmprss_pv_cn</x:v>
      </x:c>
      <x:c r="D5945" s="11" t="str">
        <x:v>2027-12-31</x:v>
      </x:c>
      <x:c r="E5945" s="11" t="str">
        <x:v>CNY</x:v>
      </x:c>
      <x:c r="F5945" s="11" t="n">
        <x:v>-1.7741273100616017</x:v>
      </x:c>
      <x:c r="G5945" s="26" t="b">
        <x:v>0</x:v>
      </x:c>
      <x:c r="H5945" s="16" t="n">
        <x:v>0</x:v>
      </x:c>
      <x:c r="I5945" s="16" t="n">
        <x:v>0</x:v>
      </x:c>
      <x:c r="J5945" s="16" t="n">
        <x:v>0</x:v>
      </x:c>
      <x:c r="K5945" s="11" t="n">
        <x:f>CHOOSE('假设'!$B$3,H5945,I5945,J5945)</x:f>
        <x:v>0</x:v>
      </x:c>
      <x:c r="L5945" s="11" t="n">
        <x:f>K5945*'管线假设'!E1275*'管线假设'!F1275*'管线假设'!G1275*IF(E5945="USD",'管线假设'!I1275,1)-AM5945</x:f>
        <x:v>0</x:v>
      </x:c>
      <x:c r="M5945" s="11" t="n">
        <x:f>'管线假设'!H1275</x:f>
        <x:v>0.14</x:v>
      </x:c>
      <x:c r="N5945" s="11" t="n">
        <x:f>IF(G5945,L5945*AN5945/(1+M5945)^F5945,0)</x:f>
        <x:v>0</x:v>
      </x:c>
      <x:c r="AJ5945" t="n">
        <x:v>0</x:v>
      </x:c>
      <x:c r="AK5945" t="n">
        <x:v>0</x:v>
      </x:c>
      <x:c r="AL5945" t="n">
        <x:v>0</x:v>
      </x:c>
      <x:c r="AM5945" t="n">
        <x:f>CHOOSE('假设'!$B$3,AJ5945,AK5945,AL5945)</x:f>
        <x:v>0</x:v>
      </x:c>
      <x:c r="AN5945" t="n">
        <x:v>1</x:v>
      </x:c>
    </x:row>
    <x:row r="5946" ht="23" customHeight="1">
      <x:c r="A5946" s="11" t="str">
        <x:v>688062.SH</x:v>
      </x:c>
      <x:c r="B5946" s="11" t="str">
        <x:v>三年</x:v>
      </x:c>
      <x:c r="C5946" s="11" t="str">
        <x:v>tmprss_pv_cn</x:v>
      </x:c>
      <x:c r="D5946" s="11" t="str">
        <x:v>2028-12-31</x:v>
      </x:c>
      <x:c r="E5946" s="11" t="str">
        <x:v>CNY</x:v>
      </x:c>
      <x:c r="F5946" s="11" t="n">
        <x:v>-0.7720739219712526</x:v>
      </x:c>
      <x:c r="G5946" s="26" t="b">
        <x:v>0</x:v>
      </x:c>
      <x:c r="H5946" s="16" t="n">
        <x:v>0</x:v>
      </x:c>
      <x:c r="I5946" s="16" t="n">
        <x:v>0</x:v>
      </x:c>
      <x:c r="J5946" s="16" t="n">
        <x:v>0</x:v>
      </x:c>
      <x:c r="K5946" s="11" t="n">
        <x:f>CHOOSE('假设'!$B$3,H5946,I5946,J5946)</x:f>
        <x:v>0</x:v>
      </x:c>
      <x:c r="L5946" s="11" t="n">
        <x:f>K5946*'管线假设'!E1275*'管线假设'!F1275*'管线假设'!G1275*IF(E5946="USD",'管线假设'!I1275,1)-AM5946</x:f>
        <x:v>0</x:v>
      </x:c>
      <x:c r="M5946" s="11" t="n">
        <x:f>'管线假设'!H1275</x:f>
        <x:v>0.14</x:v>
      </x:c>
      <x:c r="N5946" s="11" t="n">
        <x:f>IF(G5946,L5946*AN5946/(1+M5946)^F5946,0)</x:f>
        <x:v>0</x:v>
      </x:c>
      <x:c r="AJ5946" t="n">
        <x:v>0</x:v>
      </x:c>
      <x:c r="AK5946" t="n">
        <x:v>0</x:v>
      </x:c>
      <x:c r="AL5946" t="n">
        <x:v>0</x:v>
      </x:c>
      <x:c r="AM5946" t="n">
        <x:f>CHOOSE('假设'!$B$3,AJ5946,AK5946,AL5946)</x:f>
        <x:v>0</x:v>
      </x:c>
      <x:c r="AN5946" t="n">
        <x:v>1</x:v>
      </x:c>
    </x:row>
    <x:row r="5947" ht="23" customHeight="1">
      <x:c r="A5947" s="11" t="str">
        <x:v>688062.SH</x:v>
      </x:c>
      <x:c r="B5947" s="11" t="str">
        <x:v>三年</x:v>
      </x:c>
      <x:c r="C5947" s="11" t="str">
        <x:v>tmprss_pv_cn</x:v>
      </x:c>
      <x:c r="D5947" s="11" t="str">
        <x:v>2029-12-31</x:v>
      </x:c>
      <x:c r="E5947" s="11" t="str">
        <x:v>CNY</x:v>
      </x:c>
      <x:c r="F5947" s="11" t="n">
        <x:v>0.2272416153319644</x:v>
      </x:c>
      <x:c r="G5947" s="26" t="b">
        <x:v>1</x:v>
      </x:c>
      <x:c r="H5947" s="16" t="n">
        <x:v>0</x:v>
      </x:c>
      <x:c r="I5947" s="16" t="n">
        <x:v>0</x:v>
      </x:c>
      <x:c r="J5947" s="16" t="n">
        <x:v>0.16666666666666666</x:v>
      </x:c>
      <x:c r="K5947" s="11" t="n">
        <x:f>CHOOSE('假设'!$B$3,H5947,I5947,J5947)</x:f>
        <x:v>0</x:v>
      </x:c>
      <x:c r="L5947" s="11" t="n">
        <x:f>K5947*'管线假设'!E1275*'管线假设'!F1275*'管线假设'!G1275*IF(E5947="USD",'管线假设'!I1275,1)-AM5947</x:f>
        <x:v>0</x:v>
      </x:c>
      <x:c r="M5947" s="11" t="n">
        <x:f>'管线假设'!H1275</x:f>
        <x:v>0.14</x:v>
      </x:c>
      <x:c r="N5947" s="11" t="n">
        <x:f>IF(G5947,L5947*AN5947/(1+M5947)^F5947,0)</x:f>
        <x:v>0</x:v>
      </x:c>
      <x:c r="AJ5947" t="n">
        <x:v>0</x:v>
      </x:c>
      <x:c r="AK5947" t="n">
        <x:v>0</x:v>
      </x:c>
      <x:c r="AL5947" t="n">
        <x:v>0</x:v>
      </x:c>
      <x:c r="AM5947" t="n">
        <x:f>CHOOSE('假设'!$B$3,AJ5947,AK5947,AL5947)</x:f>
        <x:v>0</x:v>
      </x:c>
      <x:c r="AN5947" t="n">
        <x:v>1</x:v>
      </x:c>
    </x:row>
    <x:row r="5948" ht="23" customHeight="1">
      <x:c r="A5948" s="11" t="str">
        <x:v>688062.SH</x:v>
      </x:c>
      <x:c r="B5948" s="11" t="str">
        <x:v>三年</x:v>
      </x:c>
      <x:c r="C5948" s="11" t="str">
        <x:v>tmprss_pv_cn</x:v>
      </x:c>
      <x:c r="D5948" s="11" t="str">
        <x:v>2030-12-31</x:v>
      </x:c>
      <x:c r="E5948" s="11" t="str">
        <x:v>CNY</x:v>
      </x:c>
      <x:c r="F5948" s="11" t="n">
        <x:v>1.2265571526351813</x:v>
      </x:c>
      <x:c r="G5948" s="26" t="b">
        <x:v>1</x:v>
      </x:c>
      <x:c r="H5948" s="16" t="n">
        <x:v>0</x:v>
      </x:c>
      <x:c r="I5948" s="16" t="n">
        <x:v>0</x:v>
      </x:c>
      <x:c r="J5948" s="16" t="n">
        <x:v>0.3333333333333333</x:v>
      </x:c>
      <x:c r="K5948" s="11" t="n">
        <x:f>CHOOSE('假设'!$B$3,H5948,I5948,J5948)</x:f>
        <x:v>0</x:v>
      </x:c>
      <x:c r="L5948" s="11" t="n">
        <x:f>K5948*'管线假设'!E1275*'管线假设'!F1275*'管线假设'!G1275*IF(E5948="USD",'管线假设'!I1275,1)-AM5948</x:f>
        <x:v>0</x:v>
      </x:c>
      <x:c r="M5948" s="11" t="n">
        <x:f>'管线假设'!H1275</x:f>
        <x:v>0.14</x:v>
      </x:c>
      <x:c r="N5948" s="11" t="n">
        <x:f>IF(G5948,L5948*AN5948/(1+M5948)^F5948,0)</x:f>
        <x:v>0</x:v>
      </x:c>
      <x:c r="AJ5948" t="n">
        <x:v>0</x:v>
      </x:c>
      <x:c r="AK5948" t="n">
        <x:v>0</x:v>
      </x:c>
      <x:c r="AL5948" t="n">
        <x:v>0</x:v>
      </x:c>
      <x:c r="AM5948" t="n">
        <x:f>CHOOSE('假设'!$B$3,AJ5948,AK5948,AL5948)</x:f>
        <x:v>0</x:v>
      </x:c>
      <x:c r="AN5948" t="n">
        <x:v>1</x:v>
      </x:c>
    </x:row>
    <x:row r="5949" ht="23" customHeight="1">
      <x:c r="A5949" s="11" t="str">
        <x:v>688062.SH</x:v>
      </x:c>
      <x:c r="B5949" s="11" t="str">
        <x:v>三年</x:v>
      </x:c>
      <x:c r="C5949" s="11" t="str">
        <x:v>tmprss_pv_cn</x:v>
      </x:c>
      <x:c r="D5949" s="11" t="str">
        <x:v>2031-12-31</x:v>
      </x:c>
      <x:c r="E5949" s="11" t="str">
        <x:v>CNY</x:v>
      </x:c>
      <x:c r="F5949" s="11" t="n">
        <x:v>2.2258726899383983</x:v>
      </x:c>
      <x:c r="G5949" s="26" t="b">
        <x:v>1</x:v>
      </x:c>
      <x:c r="H5949" s="16" t="n">
        <x:v>0</x:v>
      </x:c>
      <x:c r="I5949" s="16" t="n">
        <x:v>0.09999999999999999</x:v>
      </x:c>
      <x:c r="J5949" s="16" t="n">
        <x:v>0.5</x:v>
      </x:c>
      <x:c r="K5949" s="11" t="n">
        <x:f>CHOOSE('假设'!$B$3,H5949,I5949,J5949)</x:f>
        <x:v>0.09999999999999999</x:v>
      </x:c>
      <x:c r="L5949" s="11" t="n">
        <x:f>K5949*'管线假设'!E1275*'管线假设'!F1275*'管线假设'!G1275*IF(E5949="USD",'管线假设'!I1275,1)-AM5949</x:f>
        <x:v>0.014009999999999996</x:v>
      </x:c>
      <x:c r="M5949" s="11" t="n">
        <x:f>'管线假设'!H1275</x:f>
        <x:v>0.14</x:v>
      </x:c>
      <x:c r="N5949" s="11" t="n">
        <x:f>IF(G5949,L5949*AN5949/(1+M5949)^F5949,0)</x:f>
        <x:v>0.010465866261056769</x:v>
      </x:c>
      <x:c r="AJ5949" t="n">
        <x:v>0</x:v>
      </x:c>
      <x:c r="AK5949" t="n">
        <x:v>0</x:v>
      </x:c>
      <x:c r="AL5949" t="n">
        <x:v>0</x:v>
      </x:c>
      <x:c r="AM5949" t="n">
        <x:f>CHOOSE('假设'!$B$3,AJ5949,AK5949,AL5949)</x:f>
        <x:v>0</x:v>
      </x:c>
      <x:c r="AN5949" t="n">
        <x:v>1</x:v>
      </x:c>
    </x:row>
    <x:row r="5950" ht="23" customHeight="1">
      <x:c r="A5950" s="11" t="str">
        <x:v>688062.SH</x:v>
      </x:c>
      <x:c r="B5950" s="11" t="str">
        <x:v>三年</x:v>
      </x:c>
      <x:c r="C5950" s="11" t="str">
        <x:v>tmprss_pv_cn</x:v>
      </x:c>
      <x:c r="D5950" s="11" t="str">
        <x:v>2032-12-31</x:v>
      </x:c>
      <x:c r="E5950" s="11" t="str">
        <x:v>CNY</x:v>
      </x:c>
      <x:c r="F5950" s="11" t="n">
        <x:v>3.2279260780287475</x:v>
      </x:c>
      <x:c r="G5950" s="26" t="b">
        <x:v>1</x:v>
      </x:c>
      <x:c r="H5950" s="16" t="n">
        <x:v>0</x:v>
      </x:c>
      <x:c r="I5950" s="16" t="n">
        <x:v>0.19999999999999998</x:v>
      </x:c>
      <x:c r="J5950" s="16" t="n">
        <x:v>0.6666666666666666</x:v>
      </x:c>
      <x:c r="K5950" s="11" t="n">
        <x:f>CHOOSE('假设'!$B$3,H5950,I5950,J5950)</x:f>
        <x:v>0.19999999999999998</x:v>
      </x:c>
      <x:c r="L5950" s="11" t="n">
        <x:f>K5950*'管线假设'!E1275*'管线假设'!F1275*'管线假设'!G1275*IF(E5950="USD",'管线假设'!I1275,1)-AM5950</x:f>
        <x:v>0.028019999999999993</x:v>
      </x:c>
      <x:c r="M5950" s="11" t="n">
        <x:f>'管线假设'!H1275</x:f>
        <x:v>0.14</x:v>
      </x:c>
      <x:c r="N5950" s="11" t="n">
        <x:f>IF(G5950,L5950*AN5950/(1+M5950)^F5950,0)</x:f>
        <x:v>0.018356229436672866</x:v>
      </x:c>
      <x:c r="AJ5950" t="n">
        <x:v>0</x:v>
      </x:c>
      <x:c r="AK5950" t="n">
        <x:v>0</x:v>
      </x:c>
      <x:c r="AL5950" t="n">
        <x:v>0</x:v>
      </x:c>
      <x:c r="AM5950" t="n">
        <x:f>CHOOSE('假设'!$B$3,AJ5950,AK5950,AL5950)</x:f>
        <x:v>0</x:v>
      </x:c>
      <x:c r="AN5950" t="n">
        <x:v>1</x:v>
      </x:c>
    </x:row>
    <x:row r="5951" ht="23" customHeight="1">
      <x:c r="A5951" s="11" t="str">
        <x:v>688062.SH</x:v>
      </x:c>
      <x:c r="B5951" s="11" t="str">
        <x:v>三年</x:v>
      </x:c>
      <x:c r="C5951" s="11" t="str">
        <x:v>tmprss_pv_cn</x:v>
      </x:c>
      <x:c r="D5951" s="11" t="str">
        <x:v>2033-12-31</x:v>
      </x:c>
      <x:c r="E5951" s="11" t="str">
        <x:v>CNY</x:v>
      </x:c>
      <x:c r="F5951" s="11" t="n">
        <x:v>4.227241615331964</x:v>
      </x:c>
      <x:c r="G5951" s="26" t="b">
        <x:v>1</x:v>
      </x:c>
      <x:c r="H5951" s="16" t="n">
        <x:v>0</x:v>
      </x:c>
      <x:c r="I5951" s="16" t="n">
        <x:v>0.3</x:v>
      </x:c>
      <x:c r="J5951" s="16" t="n">
        <x:v>0.8333333333333334</x:v>
      </x:c>
      <x:c r="K5951" s="11" t="n">
        <x:f>CHOOSE('假设'!$B$3,H5951,I5951,J5951)</x:f>
        <x:v>0.3</x:v>
      </x:c>
      <x:c r="L5951" s="11" t="n">
        <x:f>K5951*'管线假设'!E1275*'管线假设'!F1275*'管线假设'!G1275*IF(E5951="USD",'管线假设'!I1275,1)-AM5951</x:f>
        <x:v>0.04202999999999999</x:v>
      </x:c>
      <x:c r="M5951" s="11" t="n">
        <x:f>'管线假设'!H1275</x:f>
        <x:v>0.14</x:v>
      </x:c>
      <x:c r="N5951" s="11" t="n">
        <x:f>IF(G5951,L5951*AN5951/(1+M5951)^F5951,0)</x:f>
        <x:v>0.024155099697109897</x:v>
      </x:c>
      <x:c r="AJ5951" t="n">
        <x:v>0</x:v>
      </x:c>
      <x:c r="AK5951" t="n">
        <x:v>0</x:v>
      </x:c>
      <x:c r="AL5951" t="n">
        <x:v>0</x:v>
      </x:c>
      <x:c r="AM5951" t="n">
        <x:f>CHOOSE('假设'!$B$3,AJ5951,AK5951,AL5951)</x:f>
        <x:v>0</x:v>
      </x:c>
      <x:c r="AN5951" t="n">
        <x:v>1</x:v>
      </x:c>
    </x:row>
    <x:row r="5952" ht="23" customHeight="1">
      <x:c r="A5952" s="11" t="str">
        <x:v>688062.SH</x:v>
      </x:c>
      <x:c r="B5952" s="11" t="str">
        <x:v>三年</x:v>
      </x:c>
      <x:c r="C5952" s="11" t="str">
        <x:v>tmprss_pv_cn</x:v>
      </x:c>
      <x:c r="D5952" s="11" t="str">
        <x:v>2034-12-31</x:v>
      </x:c>
      <x:c r="E5952" s="11" t="str">
        <x:v>CNY</x:v>
      </x:c>
      <x:c r="F5952" s="11" t="n">
        <x:v>5.2265571526351815</x:v>
      </x:c>
      <x:c r="G5952" s="26" t="b">
        <x:v>1</x:v>
      </x:c>
      <x:c r="H5952" s="16" t="n">
        <x:v>0.06</x:v>
      </x:c>
      <x:c r="I5952" s="16" t="n">
        <x:v>0.39999999999999997</x:v>
      </x:c>
      <x:c r="J5952" s="16" t="n">
        <x:v>1</x:v>
      </x:c>
      <x:c r="K5952" s="11" t="n">
        <x:f>CHOOSE('假设'!$B$3,H5952,I5952,J5952)</x:f>
        <x:v>0.39999999999999997</x:v>
      </x:c>
      <x:c r="L5952" s="11" t="n">
        <x:f>K5952*'管线假设'!E1275*'管线假设'!F1275*'管线假设'!G1275*IF(E5952="USD",'管线假设'!I1275,1)-AM5952</x:f>
        <x:v>0.056039999999999986</x:v>
      </x:c>
      <x:c r="M5952" s="11" t="n">
        <x:f>'管线假设'!H1275</x:f>
        <x:v>0.14</x:v>
      </x:c>
      <x:c r="N5952" s="11" t="n">
        <x:f>IF(G5952,L5952*AN5952/(1+M5952)^F5952,0)</x:f>
        <x:v>0.028254112420114608</x:v>
      </x:c>
      <x:c r="AJ5952" t="n">
        <x:v>0</x:v>
      </x:c>
      <x:c r="AK5952" t="n">
        <x:v>0</x:v>
      </x:c>
      <x:c r="AL5952" t="n">
        <x:v>0</x:v>
      </x:c>
      <x:c r="AM5952" t="n">
        <x:f>CHOOSE('假设'!$B$3,AJ5952,AK5952,AL5952)</x:f>
        <x:v>0</x:v>
      </x:c>
      <x:c r="AN5952" t="n">
        <x:v>1</x:v>
      </x:c>
    </x:row>
    <x:row r="5953" ht="23" customHeight="1">
      <x:c r="A5953" s="11" t="str">
        <x:v>688062.SH</x:v>
      </x:c>
      <x:c r="B5953" s="11" t="str">
        <x:v>三年</x:v>
      </x:c>
      <x:c r="C5953" s="11" t="str">
        <x:v>tmprss_pv_cn</x:v>
      </x:c>
      <x:c r="D5953" s="11" t="str">
        <x:v>2035-12-31</x:v>
      </x:c>
      <x:c r="E5953" s="11" t="str">
        <x:v>CNY</x:v>
      </x:c>
      <x:c r="F5953" s="11" t="n">
        <x:v>6.225872689938399</x:v>
      </x:c>
      <x:c r="G5953" s="26" t="b">
        <x:v>1</x:v>
      </x:c>
      <x:c r="H5953" s="16" t="n">
        <x:v>0.12</x:v>
      </x:c>
      <x:c r="I5953" s="16" t="n">
        <x:v>0.5</x:v>
      </x:c>
      <x:c r="J5953" s="16" t="n">
        <x:v>0.87</x:v>
      </x:c>
      <x:c r="K5953" s="11" t="n">
        <x:f>CHOOSE('假设'!$B$3,H5953,I5953,J5953)</x:f>
        <x:v>0.5</x:v>
      </x:c>
      <x:c r="L5953" s="11" t="n">
        <x:f>K5953*'管线假设'!E1275*'管线假设'!F1275*'管线假设'!G1275*IF(E5953="USD",'管线假设'!I1275,1)-AM5953</x:f>
        <x:v>0.07004999999999999</x:v>
      </x:c>
      <x:c r="M5953" s="11" t="n">
        <x:f>'管线假设'!H1275</x:f>
        <x:v>0.14</x:v>
      </x:c>
      <x:c r="N5953" s="11" t="n">
        <x:f>IF(G5953,L5953*AN5953/(1+M5953)^F5953,0)</x:f>
        <x:v>0.030983164993829</x:v>
      </x:c>
      <x:c r="AJ5953" t="n">
        <x:v>0</x:v>
      </x:c>
      <x:c r="AK5953" t="n">
        <x:v>0</x:v>
      </x:c>
      <x:c r="AL5953" t="n">
        <x:v>0</x:v>
      </x:c>
      <x:c r="AM5953" t="n">
        <x:f>CHOOSE('假设'!$B$3,AJ5953,AK5953,AL5953)</x:f>
        <x:v>0</x:v>
      </x:c>
      <x:c r="AN5953" t="n">
        <x:v>1</x:v>
      </x:c>
    </x:row>
    <x:row r="5954" ht="23" customHeight="1">
      <x:c r="A5954" s="11" t="str">
        <x:v>688062.SH</x:v>
      </x:c>
      <x:c r="B5954" s="11" t="str">
        <x:v>三年</x:v>
      </x:c>
      <x:c r="C5954" s="11" t="str">
        <x:v>tmprss_pv_cn</x:v>
      </x:c>
      <x:c r="D5954" s="11" t="str">
        <x:v>2036-12-31</x:v>
      </x:c>
      <x:c r="E5954" s="11" t="str">
        <x:v>CNY</x:v>
      </x:c>
      <x:c r="F5954" s="11" t="n">
        <x:v>7.227926078028747</x:v>
      </x:c>
      <x:c r="G5954" s="26" t="b">
        <x:v>1</x:v>
      </x:c>
      <x:c r="H5954" s="16" t="n">
        <x:v>0.18</x:v>
      </x:c>
      <x:c r="I5954" s="16" t="n">
        <x:v>0.6</x:v>
      </x:c>
      <x:c r="J5954" s="16" t="n">
        <x:v>0.74</x:v>
      </x:c>
      <x:c r="K5954" s="11" t="n">
        <x:f>CHOOSE('假设'!$B$3,H5954,I5954,J5954)</x:f>
        <x:v>0.6</x:v>
      </x:c>
      <x:c r="L5954" s="11" t="n">
        <x:f>K5954*'管线假设'!E1275*'管线假设'!F1275*'管线假设'!G1275*IF(E5954="USD",'管线假设'!I1275,1)-AM5954</x:f>
        <x:v>0.08405999999999998</x:v>
      </x:c>
      <x:c r="M5954" s="11" t="n">
        <x:f>'管线假设'!H1275</x:f>
        <x:v>0.14</x:v>
      </x:c>
      <x:c r="N5954" s="11" t="n">
        <x:f>IF(G5954,L5954*AN5954/(1+M5954)^F5954,0)</x:f>
        <x:v>0.03260508424900832</x:v>
      </x:c>
      <x:c r="AJ5954" t="n">
        <x:v>0</x:v>
      </x:c>
      <x:c r="AK5954" t="n">
        <x:v>0</x:v>
      </x:c>
      <x:c r="AL5954" t="n">
        <x:v>0</x:v>
      </x:c>
      <x:c r="AM5954" t="n">
        <x:f>CHOOSE('假设'!$B$3,AJ5954,AK5954,AL5954)</x:f>
        <x:v>0</x:v>
      </x:c>
      <x:c r="AN5954" t="n">
        <x:v>1</x:v>
      </x:c>
    </x:row>
    <x:row r="5955" ht="23" customHeight="1">
      <x:c r="A5955" s="11" t="str">
        <x:v>688062.SH</x:v>
      </x:c>
      <x:c r="B5955" s="11" t="str">
        <x:v>三年</x:v>
      </x:c>
      <x:c r="C5955" s="11" t="str">
        <x:v>tmprss_pv_cn</x:v>
      </x:c>
      <x:c r="D5955" s="11" t="str">
        <x:v>2037-12-31</x:v>
      </x:c>
      <x:c r="E5955" s="11" t="str">
        <x:v>CNY</x:v>
      </x:c>
      <x:c r="F5955" s="11" t="n">
        <x:v>8.227241615331964</x:v>
      </x:c>
      <x:c r="G5955" s="26" t="b">
        <x:v>1</x:v>
      </x:c>
      <x:c r="H5955" s="16" t="n">
        <x:v>0.24</x:v>
      </x:c>
      <x:c r="I5955" s="16" t="n">
        <x:v>0.522</x:v>
      </x:c>
      <x:c r="J5955" s="16" t="n">
        <x:v>0.61</x:v>
      </x:c>
      <x:c r="K5955" s="11" t="n">
        <x:f>CHOOSE('假设'!$B$3,H5955,I5955,J5955)</x:f>
        <x:v>0.522</x:v>
      </x:c>
      <x:c r="L5955" s="11" t="n">
        <x:f>K5955*'管线假设'!E1275*'管线假设'!F1275*'管线假设'!G1275*IF(E5955="USD",'管线假设'!I1275,1)-AM5955</x:f>
        <x:v>0.0731322</x:v>
      </x:c>
      <x:c r="M5955" s="11" t="n">
        <x:f>'管线假设'!H1275</x:f>
        <x:v>0.14</x:v>
      </x:c>
      <x:c r="N5955" s="11" t="n">
        <x:f>IF(G5955,L5955*AN5955/(1+M5955)^F5955,0)</x:f>
        <x:v>0.024885059143710773</x:v>
      </x:c>
      <x:c r="AJ5955" t="n">
        <x:v>0</x:v>
      </x:c>
      <x:c r="AK5955" t="n">
        <x:v>0</x:v>
      </x:c>
      <x:c r="AL5955" t="n">
        <x:v>0</x:v>
      </x:c>
      <x:c r="AM5955" t="n">
        <x:f>CHOOSE('假设'!$B$3,AJ5955,AK5955,AL5955)</x:f>
        <x:v>0</x:v>
      </x:c>
      <x:c r="AN5955" t="n">
        <x:v>1</x:v>
      </x:c>
    </x:row>
    <x:row r="5956" ht="23" customHeight="1">
      <x:c r="A5956" s="11" t="str">
        <x:v>688062.SH</x:v>
      </x:c>
      <x:c r="B5956" s="11" t="str">
        <x:v>三年</x:v>
      </x:c>
      <x:c r="C5956" s="11" t="str">
        <x:v>tmprss_pv_cn</x:v>
      </x:c>
      <x:c r="D5956" s="11" t="str">
        <x:v>2038-12-31</x:v>
      </x:c>
      <x:c r="E5956" s="11" t="str">
        <x:v>CNY</x:v>
      </x:c>
      <x:c r="F5956" s="11" t="n">
        <x:v>9.22655715263518</x:v>
      </x:c>
      <x:c r="G5956" s="26" t="b">
        <x:v>1</x:v>
      </x:c>
      <x:c r="H5956" s="16" t="n">
        <x:v>0.3</x:v>
      </x:c>
      <x:c r="I5956" s="16" t="n">
        <x:v>0.444</x:v>
      </x:c>
      <x:c r="J5956" s="16" t="n">
        <x:v>0.48</x:v>
      </x:c>
      <x:c r="K5956" s="11" t="n">
        <x:f>CHOOSE('假设'!$B$3,H5956,I5956,J5956)</x:f>
        <x:v>0.444</x:v>
      </x:c>
      <x:c r="L5956" s="11" t="n">
        <x:f>K5956*'管线假设'!E1275*'管线假设'!F1275*'管线假设'!G1275*IF(E5956="USD",'管线假设'!I1275,1)-AM5956</x:f>
        <x:v>0.06220439999999999</x:v>
      </x:c>
      <x:c r="M5956" s="11" t="n">
        <x:f>'管线假设'!H1275</x:f>
        <x:v>0.14</x:v>
      </x:c>
      <x:c r="N5956" s="11" t="n">
        <x:f>IF(G5956,L5956*AN5956/(1+M5956)^F5956,0)</x:f>
        <x:v>0.018568860017590474</x:v>
      </x:c>
      <x:c r="AJ5956" t="n">
        <x:v>0</x:v>
      </x:c>
      <x:c r="AK5956" t="n">
        <x:v>0</x:v>
      </x:c>
      <x:c r="AL5956" t="n">
        <x:v>0</x:v>
      </x:c>
      <x:c r="AM5956" t="n">
        <x:f>CHOOSE('假设'!$B$3,AJ5956,AK5956,AL5956)</x:f>
        <x:v>0</x:v>
      </x:c>
      <x:c r="AN5956" t="n">
        <x:v>1</x:v>
      </x:c>
    </x:row>
    <x:row r="5957" ht="23" customHeight="1">
      <x:c r="A5957" s="11" t="str">
        <x:v>688062.SH</x:v>
      </x:c>
      <x:c r="B5957" s="11" t="str">
        <x:v>三年</x:v>
      </x:c>
      <x:c r="C5957" s="11" t="str">
        <x:v>tmprss_pv_cn</x:v>
      </x:c>
      <x:c r="D5957" s="11" t="str">
        <x:v>2039-12-31</x:v>
      </x:c>
      <x:c r="E5957" s="11" t="str">
        <x:v>CNY</x:v>
      </x:c>
      <x:c r="F5957" s="11" t="n">
        <x:v>10.225872689938399</x:v>
      </x:c>
      <x:c r="G5957" s="26" t="b">
        <x:v>1</x:v>
      </x:c>
      <x:c r="H5957" s="16" t="n">
        <x:v>0.261</x:v>
      </x:c>
      <x:c r="I5957" s="16" t="n">
        <x:v>0.366</x:v>
      </x:c>
      <x:c r="J5957" s="16" t="n">
        <x:v>0.35</x:v>
      </x:c>
      <x:c r="K5957" s="11" t="n">
        <x:f>CHOOSE('假设'!$B$3,H5957,I5957,J5957)</x:f>
        <x:v>0.366</x:v>
      </x:c>
      <x:c r="L5957" s="11" t="n">
        <x:f>K5957*'管线假设'!E1275*'管线假设'!F1275*'管线假设'!G1275*IF(E5957="USD",'管线假设'!I1275,1)-AM5957</x:f>
        <x:v>0.0512766</x:v>
      </x:c>
      <x:c r="M5957" s="11" t="n">
        <x:f>'管线假设'!H1275</x:f>
        <x:v>0.14</x:v>
      </x:c>
      <x:c r="N5957" s="11" t="n">
        <x:f>IF(G5957,L5957*AN5957/(1+M5957)^F5957,0)</x:f>
        <x:v>0.01342818931589412</x:v>
      </x:c>
      <x:c r="AJ5957" t="n">
        <x:v>0</x:v>
      </x:c>
      <x:c r="AK5957" t="n">
        <x:v>0</x:v>
      </x:c>
      <x:c r="AL5957" t="n">
        <x:v>0</x:v>
      </x:c>
      <x:c r="AM5957" t="n">
        <x:f>CHOOSE('假设'!$B$3,AJ5957,AK5957,AL5957)</x:f>
        <x:v>0</x:v>
      </x:c>
      <x:c r="AN5957" t="n">
        <x:v>1</x:v>
      </x:c>
    </x:row>
    <x:row r="5958" ht="23" customHeight="1">
      <x:c r="A5958" s="11" t="str">
        <x:v>688062.SH</x:v>
      </x:c>
      <x:c r="B5958" s="11" t="str">
        <x:v>三年</x:v>
      </x:c>
      <x:c r="C5958" s="11" t="str">
        <x:v>tmprss_pv_cn</x:v>
      </x:c>
      <x:c r="D5958" s="11" t="str">
        <x:v>2040-12-31</x:v>
      </x:c>
      <x:c r="E5958" s="11" t="str">
        <x:v>CNY</x:v>
      </x:c>
      <x:c r="F5958" s="11" t="n">
        <x:v>11.227926078028748</x:v>
      </x:c>
      <x:c r="G5958" s="26" t="b">
        <x:v>1</x:v>
      </x:c>
      <x:c r="H5958" s="16" t="n">
        <x:v>0.222</x:v>
      </x:c>
      <x:c r="I5958" s="16" t="n">
        <x:v>0.288</x:v>
      </x:c>
      <x:c r="J5958" s="16" t="n">
        <x:v>0.21999999999999997</x:v>
      </x:c>
      <x:c r="K5958" s="11" t="n">
        <x:f>CHOOSE('假设'!$B$3,H5958,I5958,J5958)</x:f>
        <x:v>0.288</x:v>
      </x:c>
      <x:c r="L5958" s="11" t="n">
        <x:f>K5958*'管线假设'!E1275*'管线假设'!F1275*'管线假设'!G1275*IF(E5958="USD",'管线假设'!I1275,1)-AM5958</x:f>
        <x:v>0.04034879999999999</x:v>
      </x:c>
      <x:c r="M5958" s="11" t="n">
        <x:f>'管线假设'!H1275</x:f>
        <x:v>0.14</x:v>
      </x:c>
      <x:c r="N5958" s="11" t="n">
        <x:f>IF(G5958,L5958*AN5958/(1+M5958)^F5958,0)</x:f>
        <x:v>0.009266317116398994</x:v>
      </x:c>
      <x:c r="AJ5958" t="n">
        <x:v>0</x:v>
      </x:c>
      <x:c r="AK5958" t="n">
        <x:v>0</x:v>
      </x:c>
      <x:c r="AL5958" t="n">
        <x:v>0</x:v>
      </x:c>
      <x:c r="AM5958" t="n">
        <x:f>CHOOSE('假设'!$B$3,AJ5958,AK5958,AL5958)</x:f>
        <x:v>0</x:v>
      </x:c>
      <x:c r="AN5958" t="n">
        <x:v>1</x:v>
      </x:c>
    </x:row>
    <x:row r="5959" ht="23" customHeight="1">
      <x:c r="A5959" s="11" t="str">
        <x:v>688062.SH</x:v>
      </x:c>
      <x:c r="B5959" s="11" t="str">
        <x:v>三年</x:v>
      </x:c>
      <x:c r="C5959" s="11" t="str">
        <x:v>tmprss_pv_cn</x:v>
      </x:c>
      <x:c r="D5959" s="11" t="str">
        <x:v>2041-12-31</x:v>
      </x:c>
      <x:c r="E5959" s="11" t="str">
        <x:v>CNY</x:v>
      </x:c>
      <x:c r="F5959" s="11" t="n">
        <x:v>12.227241615331964</x:v>
      </x:c>
      <x:c r="G5959" s="26" t="b">
        <x:v>1</x:v>
      </x:c>
      <x:c r="H5959" s="16" t="n">
        <x:v>0.183</x:v>
      </x:c>
      <x:c r="I5959" s="16" t="n">
        <x:v>0.21</x:v>
      </x:c>
      <x:c r="J5959" s="16" t="n">
        <x:v>0.08999999999999997</x:v>
      </x:c>
      <x:c r="K5959" s="11" t="n">
        <x:f>CHOOSE('假设'!$B$3,H5959,I5959,J5959)</x:f>
        <x:v>0.21</x:v>
      </x:c>
      <x:c r="L5959" s="11" t="n">
        <x:f>K5959*'管线假设'!E1275*'管线假设'!F1275*'管线假设'!G1275*IF(E5959="USD",'管线假设'!I1275,1)-AM5959</x:f>
        <x:v>0.029420999999999996</x:v>
      </x:c>
      <x:c r="M5959" s="11" t="n">
        <x:f>'管线假设'!H1275</x:f>
        <x:v>0.14</x:v>
      </x:c>
      <x:c r="N5959" s="11" t="n">
        <x:f>IF(G5959,L5959*AN5959/(1+M5959)^F5959,0)</x:f>
        <x:v>0.005927452243751317</x:v>
      </x:c>
      <x:c r="AJ5959" t="n">
        <x:v>0</x:v>
      </x:c>
      <x:c r="AK5959" t="n">
        <x:v>0</x:v>
      </x:c>
      <x:c r="AL5959" t="n">
        <x:v>0</x:v>
      </x:c>
      <x:c r="AM5959" t="n">
        <x:f>CHOOSE('假设'!$B$3,AJ5959,AK5959,AL5959)</x:f>
        <x:v>0</x:v>
      </x:c>
      <x:c r="AN5959" t="n">
        <x:v>1</x:v>
      </x:c>
    </x:row>
    <x:row r="5960" ht="23" customHeight="1">
      <x:c r="A5960" s="11" t="str">
        <x:v>688062.SH</x:v>
      </x:c>
      <x:c r="B5960" s="11" t="str">
        <x:v>三年</x:v>
      </x:c>
      <x:c r="C5960" s="11" t="str">
        <x:v>tmprss_pv_cn</x:v>
      </x:c>
      <x:c r="D5960" s="11" t="str">
        <x:v>2042-12-31</x:v>
      </x:c>
      <x:c r="E5960" s="11" t="str">
        <x:v>CNY</x:v>
      </x:c>
      <x:c r="F5960" s="11" t="n">
        <x:v>13.22655715263518</x:v>
      </x:c>
      <x:c r="G5960" s="26" t="b">
        <x:v>1</x:v>
      </x:c>
      <x:c r="H5960" s="16" t="n">
        <x:v>0.144</x:v>
      </x:c>
      <x:c r="I5960" s="16" t="n">
        <x:v>0.13199999999999998</x:v>
      </x:c>
      <x:c r="J5960" s="16" t="n">
        <x:v>0</x:v>
      </x:c>
      <x:c r="K5960" s="11" t="n">
        <x:f>CHOOSE('假设'!$B$3,H5960,I5960,J5960)</x:f>
        <x:v>0.13199999999999998</x:v>
      </x:c>
      <x:c r="L5960" s="11" t="n">
        <x:f>K5960*'管线假设'!E1275*'管线假设'!F1275*'管线假设'!G1275*IF(E5960="USD",'管线假设'!I1275,1)-AM5960</x:f>
        <x:v>0.018493199999999994</x:v>
      </x:c>
      <x:c r="M5960" s="11" t="n">
        <x:f>'管线假设'!H1275</x:f>
        <x:v>0.14</x:v>
      </x:c>
      <x:c r="N5960" s="11" t="n">
        <x:f>IF(G5960,L5960*AN5960/(1+M5960)^F5960,0)</x:f>
        <x:v>0.0032685625320620286</x:v>
      </x:c>
      <x:c r="AJ5960" t="n">
        <x:v>0</x:v>
      </x:c>
      <x:c r="AK5960" t="n">
        <x:v>0</x:v>
      </x:c>
      <x:c r="AL5960" t="n">
        <x:v>0</x:v>
      </x:c>
      <x:c r="AM5960" t="n">
        <x:f>CHOOSE('假设'!$B$3,AJ5960,AK5960,AL5960)</x:f>
        <x:v>0</x:v>
      </x:c>
      <x:c r="AN5960" t="n">
        <x:v>1</x:v>
      </x:c>
    </x:row>
    <x:row r="5961" ht="23" customHeight="1">
      <x:c r="A5961" s="11" t="str">
        <x:v>688062.SH</x:v>
      </x:c>
      <x:c r="B5961" s="11" t="str">
        <x:v>三年</x:v>
      </x:c>
      <x:c r="C5961" s="11" t="str">
        <x:v>tmprss_pv_cn</x:v>
      </x:c>
      <x:c r="D5961" s="11" t="str">
        <x:v>2043-12-31</x:v>
      </x:c>
      <x:c r="E5961" s="11" t="str">
        <x:v>CNY</x:v>
      </x:c>
      <x:c r="F5961" s="11" t="n">
        <x:v>14.225872689938399</x:v>
      </x:c>
      <x:c r="G5961" s="26" t="b">
        <x:v>1</x:v>
      </x:c>
      <x:c r="H5961" s="16" t="n">
        <x:v>0.105</x:v>
      </x:c>
      <x:c r="I5961" s="16" t="n">
        <x:v>0.05399999999999998</x:v>
      </x:c>
      <x:c r="J5961" s="16" t="n">
        <x:v>0</x:v>
      </x:c>
      <x:c r="K5961" s="11" t="n">
        <x:f>CHOOSE('假设'!$B$3,H5961,I5961,J5961)</x:f>
        <x:v>0.05399999999999998</x:v>
      </x:c>
      <x:c r="L5961" s="11" t="n">
        <x:f>K5961*'管线假设'!E1275*'管线假设'!F1275*'管线假设'!G1275*IF(E5961="USD",'管线假设'!I1275,1)-AM5961</x:f>
        <x:v>0.0075653999999999956</x:v>
      </x:c>
      <x:c r="M5961" s="11" t="n">
        <x:f>'管线假设'!H1275</x:f>
        <x:v>0.14</x:v>
      </x:c>
      <x:c r="N5961" s="11" t="n">
        <x:f>IF(G5961,L5961*AN5961/(1+M5961)^F5961,0)</x:f>
        <x:v>0.0011730343359443605</x:v>
      </x:c>
      <x:c r="AJ5961" t="n">
        <x:v>0</x:v>
      </x:c>
      <x:c r="AK5961" t="n">
        <x:v>0</x:v>
      </x:c>
      <x:c r="AL5961" t="n">
        <x:v>0</x:v>
      </x:c>
      <x:c r="AM5961" t="n">
        <x:f>CHOOSE('假设'!$B$3,AJ5961,AK5961,AL5961)</x:f>
        <x:v>0</x:v>
      </x:c>
      <x:c r="AN5961" t="n">
        <x:v>1</x:v>
      </x:c>
    </x:row>
    <x:row r="5962" ht="23" customHeight="1">
      <x:c r="A5962" s="11" t="str">
        <x:v>688062.SH</x:v>
      </x:c>
      <x:c r="B5962" s="11" t="str">
        <x:v>三年</x:v>
      </x:c>
      <x:c r="C5962" s="11" t="str">
        <x:v>tmprss_pv_cn</x:v>
      </x:c>
      <x:c r="D5962" s="11" t="str">
        <x:v>2044-12-31</x:v>
      </x:c>
      <x:c r="E5962" s="11" t="str">
        <x:v>CNY</x:v>
      </x:c>
      <x:c r="F5962" s="11" t="n">
        <x:v>15.227926078028748</x:v>
      </x:c>
      <x:c r="G5962" s="26" t="b">
        <x:v>1</x:v>
      </x:c>
      <x:c r="H5962" s="16" t="n">
        <x:v>0.06599999999999999</x:v>
      </x:c>
      <x:c r="I5962" s="16" t="n">
        <x:v>0</x:v>
      </x:c>
      <x:c r="J5962" s="16" t="n">
        <x:v>0</x:v>
      </x:c>
      <x:c r="K5962" s="11" t="n">
        <x:f>CHOOSE('假设'!$B$3,H5962,I5962,J5962)</x:f>
        <x:v>0</x:v>
      </x:c>
      <x:c r="L5962" s="11" t="n">
        <x:f>K5962*'管线假设'!E1275*'管线假设'!F1275*'管线假设'!G1275*IF(E5962="USD",'管线假设'!I1275,1)-AM5962</x:f>
        <x:v>0</x:v>
      </x:c>
      <x:c r="M5962" s="11" t="n">
        <x:f>'管线假设'!H1275</x:f>
        <x:v>0.14</x:v>
      </x:c>
      <x:c r="N5962" s="11" t="n">
        <x:f>IF(G5962,L5962*AN5962/(1+M5962)^F5962,0)</x:f>
        <x:v>0</x:v>
      </x:c>
      <x:c r="AJ5962" t="n">
        <x:v>0</x:v>
      </x:c>
      <x:c r="AK5962" t="n">
        <x:v>0</x:v>
      </x:c>
      <x:c r="AL5962" t="n">
        <x:v>0</x:v>
      </x:c>
      <x:c r="AM5962" t="n">
        <x:f>CHOOSE('假设'!$B$3,AJ5962,AK5962,AL5962)</x:f>
        <x:v>0</x:v>
      </x:c>
      <x:c r="AN5962" t="n">
        <x:v>1</x:v>
      </x:c>
    </x:row>
    <x:row r="5963" ht="23" customHeight="1">
      <x:c r="A5963" s="11" t="str">
        <x:v>688062.SH</x:v>
      </x:c>
      <x:c r="B5963" s="11" t="str">
        <x:v>三年</x:v>
      </x:c>
      <x:c r="C5963" s="11" t="str">
        <x:v>tmprss_pv_cn</x:v>
      </x:c>
      <x:c r="D5963" s="11" t="str">
        <x:v>2045-12-31</x:v>
      </x:c>
      <x:c r="E5963" s="11" t="str">
        <x:v>CNY</x:v>
      </x:c>
      <x:c r="F5963" s="11" t="n">
        <x:v>16.227241615331966</x:v>
      </x:c>
      <x:c r="G5963" s="26" t="b">
        <x:v>1</x:v>
      </x:c>
      <x:c r="H5963" s="16" t="n">
        <x:v>0.02699999999999999</x:v>
      </x:c>
      <x:c r="I5963" s="16" t="n">
        <x:v>0</x:v>
      </x:c>
      <x:c r="J5963" s="16" t="n">
        <x:v>0</x:v>
      </x:c>
      <x:c r="K5963" s="11" t="n">
        <x:f>CHOOSE('假设'!$B$3,H5963,I5963,J5963)</x:f>
        <x:v>0</x:v>
      </x:c>
      <x:c r="L5963" s="11" t="n">
        <x:f>K5963*'管线假设'!E1275*'管线假设'!F1275*'管线假设'!G1275*IF(E5963="USD",'管线假设'!I1275,1)-AM5963</x:f>
        <x:v>0</x:v>
      </x:c>
      <x:c r="M5963" s="11" t="n">
        <x:f>'管线假设'!H1275</x:f>
        <x:v>0.14</x:v>
      </x:c>
      <x:c r="N5963" s="11" t="n">
        <x:f>IF(G5963,L5963*AN5963/(1+M5963)^F5963,0)</x:f>
        <x:v>0</x:v>
      </x:c>
      <x:c r="AJ5963" t="n">
        <x:v>0</x:v>
      </x:c>
      <x:c r="AK5963" t="n">
        <x:v>0</x:v>
      </x:c>
      <x:c r="AL5963" t="n">
        <x:v>0</x:v>
      </x:c>
      <x:c r="AM5963" t="n">
        <x:f>CHOOSE('假设'!$B$3,AJ5963,AK5963,AL5963)</x:f>
        <x:v>0</x:v>
      </x:c>
      <x:c r="AN5963" t="n">
        <x:v>1</x:v>
      </x:c>
    </x:row>
    <x:row r="5964" ht="23" customHeight="1">
      <x:c r="A5964" s="11" t="str">
        <x:v>688062.SH</x:v>
      </x:c>
      <x:c r="B5964" s="11" t="str">
        <x:v>三年</x:v>
      </x:c>
      <x:c r="C5964" s="11" t="str">
        <x:v>tmprss_scd</x:v>
      </x:c>
      <x:c r="D5964" s="11" t="str">
        <x:v>2027-12-31</x:v>
      </x:c>
      <x:c r="E5964" s="11" t="str">
        <x:v>USD</x:v>
      </x:c>
      <x:c r="F5964" s="11" t="n">
        <x:v>-1.7741273100616017</x:v>
      </x:c>
      <x:c r="G5964" s="26" t="b">
        <x:v>0</x:v>
      </x:c>
      <x:c r="H5964" s="16" t="n">
        <x:v>0</x:v>
      </x:c>
      <x:c r="I5964" s="16" t="n">
        <x:v>0</x:v>
      </x:c>
      <x:c r="J5964" s="16" t="n">
        <x:v>0</x:v>
      </x:c>
      <x:c r="K5964" s="11" t="n">
        <x:f>CHOOSE('假设'!$B$3,H5964,I5964,J5964)</x:f>
        <x:v>0</x:v>
      </x:c>
      <x:c r="L5964" s="11" t="n">
        <x:f>K5964*'管线假设'!E1279*'管线假设'!F1279*'管线假设'!G1279*IF(E5964="USD",'管线假设'!I1279,1)-AM5964</x:f>
        <x:v>0</x:v>
      </x:c>
      <x:c r="M5964" s="11" t="n">
        <x:f>'管线假设'!H1279</x:f>
        <x:v>0.14</x:v>
      </x:c>
      <x:c r="N5964" s="11" t="n">
        <x:f>IF(G5964,L5964*AN5964/(1+M5964)^F5964,0)</x:f>
        <x:v>0</x:v>
      </x:c>
      <x:c r="AJ5964" t="n">
        <x:v>0</x:v>
      </x:c>
      <x:c r="AK5964" t="n">
        <x:v>0</x:v>
      </x:c>
      <x:c r="AL5964" t="n">
        <x:v>0</x:v>
      </x:c>
      <x:c r="AM5964" t="n">
        <x:f>CHOOSE('假设'!$B$3,AJ5964,AK5964,AL5964)</x:f>
        <x:v>0</x:v>
      </x:c>
      <x:c r="AN5964" t="n">
        <x:v>1</x:v>
      </x:c>
    </x:row>
    <x:row r="5965" ht="23" customHeight="1">
      <x:c r="A5965" s="11" t="str">
        <x:v>688062.SH</x:v>
      </x:c>
      <x:c r="B5965" s="11" t="str">
        <x:v>三年</x:v>
      </x:c>
      <x:c r="C5965" s="11" t="str">
        <x:v>tmprss_scd</x:v>
      </x:c>
      <x:c r="D5965" s="11" t="str">
        <x:v>2028-12-31</x:v>
      </x:c>
      <x:c r="E5965" s="11" t="str">
        <x:v>USD</x:v>
      </x:c>
      <x:c r="F5965" s="11" t="n">
        <x:v>-0.7720739219712526</x:v>
      </x:c>
      <x:c r="G5965" s="26" t="b">
        <x:v>0</x:v>
      </x:c>
      <x:c r="H5965" s="16" t="n">
        <x:v>0</x:v>
      </x:c>
      <x:c r="I5965" s="16" t="n">
        <x:v>0</x:v>
      </x:c>
      <x:c r="J5965" s="16" t="n">
        <x:v>0</x:v>
      </x:c>
      <x:c r="K5965" s="11" t="n">
        <x:f>CHOOSE('假设'!$B$3,H5965,I5965,J5965)</x:f>
        <x:v>0</x:v>
      </x:c>
      <x:c r="L5965" s="11" t="n">
        <x:f>K5965*'管线假设'!E1279*'管线假设'!F1279*'管线假设'!G1279*IF(E5965="USD",'管线假设'!I1279,1)-AM5965</x:f>
        <x:v>0</x:v>
      </x:c>
      <x:c r="M5965" s="11" t="n">
        <x:f>'管线假设'!H1279</x:f>
        <x:v>0.14</x:v>
      </x:c>
      <x:c r="N5965" s="11" t="n">
        <x:f>IF(G5965,L5965*AN5965/(1+M5965)^F5965,0)</x:f>
        <x:v>0</x:v>
      </x:c>
      <x:c r="AJ5965" t="n">
        <x:v>0</x:v>
      </x:c>
      <x:c r="AK5965" t="n">
        <x:v>0</x:v>
      </x:c>
      <x:c r="AL5965" t="n">
        <x:v>0</x:v>
      </x:c>
      <x:c r="AM5965" t="n">
        <x:f>CHOOSE('假设'!$B$3,AJ5965,AK5965,AL5965)</x:f>
        <x:v>0</x:v>
      </x:c>
      <x:c r="AN5965" t="n">
        <x:v>1</x:v>
      </x:c>
    </x:row>
    <x:row r="5966" ht="23" customHeight="1">
      <x:c r="A5966" s="11" t="str">
        <x:v>688062.SH</x:v>
      </x:c>
      <x:c r="B5966" s="11" t="str">
        <x:v>三年</x:v>
      </x:c>
      <x:c r="C5966" s="11" t="str">
        <x:v>tmprss_scd</x:v>
      </x:c>
      <x:c r="D5966" s="11" t="str">
        <x:v>2029-12-31</x:v>
      </x:c>
      <x:c r="E5966" s="11" t="str">
        <x:v>USD</x:v>
      </x:c>
      <x:c r="F5966" s="11" t="n">
        <x:v>0.2272416153319644</x:v>
      </x:c>
      <x:c r="G5966" s="26" t="b">
        <x:v>1</x:v>
      </x:c>
      <x:c r="H5966" s="16" t="n">
        <x:v>0</x:v>
      </x:c>
      <x:c r="I5966" s="16" t="n">
        <x:v>0</x:v>
      </x:c>
      <x:c r="J5966" s="16" t="n">
        <x:v>0</x:v>
      </x:c>
      <x:c r="K5966" s="11" t="n">
        <x:f>CHOOSE('假设'!$B$3,H5966,I5966,J5966)</x:f>
        <x:v>0</x:v>
      </x:c>
      <x:c r="L5966" s="11" t="n">
        <x:f>K5966*'管线假设'!E1279*'管线假设'!F1279*'管线假设'!G1279*IF(E5966="USD",'管线假设'!I1279,1)-AM5966</x:f>
        <x:v>0</x:v>
      </x:c>
      <x:c r="M5966" s="11" t="n">
        <x:f>'管线假设'!H1279</x:f>
        <x:v>0.14</x:v>
      </x:c>
      <x:c r="N5966" s="11" t="n">
        <x:f>IF(G5966,L5966*AN5966/(1+M5966)^F5966,0)</x:f>
        <x:v>0</x:v>
      </x:c>
      <x:c r="AJ5966" t="n">
        <x:v>0</x:v>
      </x:c>
      <x:c r="AK5966" t="n">
        <x:v>0</x:v>
      </x:c>
      <x:c r="AL5966" t="n">
        <x:v>0</x:v>
      </x:c>
      <x:c r="AM5966" t="n">
        <x:f>CHOOSE('假设'!$B$3,AJ5966,AK5966,AL5966)</x:f>
        <x:v>0</x:v>
      </x:c>
      <x:c r="AN5966" t="n">
        <x:v>1</x:v>
      </x:c>
    </x:row>
    <x:row r="5967" ht="23" customHeight="1">
      <x:c r="A5967" s="11" t="str">
        <x:v>688062.SH</x:v>
      </x:c>
      <x:c r="B5967" s="11" t="str">
        <x:v>三年</x:v>
      </x:c>
      <x:c r="C5967" s="11" t="str">
        <x:v>tmprss_scd</x:v>
      </x:c>
      <x:c r="D5967" s="11" t="str">
        <x:v>2030-12-31</x:v>
      </x:c>
      <x:c r="E5967" s="11" t="str">
        <x:v>USD</x:v>
      </x:c>
      <x:c r="F5967" s="11" t="n">
        <x:v>1.2265571526351813</x:v>
      </x:c>
      <x:c r="G5967" s="26" t="b">
        <x:v>1</x:v>
      </x:c>
      <x:c r="H5967" s="16" t="n">
        <x:v>0</x:v>
      </x:c>
      <x:c r="I5967" s="16" t="n">
        <x:v>0</x:v>
      </x:c>
      <x:c r="J5967" s="16" t="n">
        <x:v>0</x:v>
      </x:c>
      <x:c r="K5967" s="11" t="n">
        <x:f>CHOOSE('假设'!$B$3,H5967,I5967,J5967)</x:f>
        <x:v>0</x:v>
      </x:c>
      <x:c r="L5967" s="11" t="n">
        <x:f>K5967*'管线假设'!E1279*'管线假设'!F1279*'管线假设'!G1279*IF(E5967="USD",'管线假设'!I1279,1)-AM5967</x:f>
        <x:v>0</x:v>
      </x:c>
      <x:c r="M5967" s="11" t="n">
        <x:f>'管线假设'!H1279</x:f>
        <x:v>0.14</x:v>
      </x:c>
      <x:c r="N5967" s="11" t="n">
        <x:f>IF(G5967,L5967*AN5967/(1+M5967)^F5967,0)</x:f>
        <x:v>0</x:v>
      </x:c>
      <x:c r="AJ5967" t="n">
        <x:v>0</x:v>
      </x:c>
      <x:c r="AK5967" t="n">
        <x:v>0</x:v>
      </x:c>
      <x:c r="AL5967" t="n">
        <x:v>0</x:v>
      </x:c>
      <x:c r="AM5967" t="n">
        <x:f>CHOOSE('假设'!$B$3,AJ5967,AK5967,AL5967)</x:f>
        <x:v>0</x:v>
      </x:c>
      <x:c r="AN5967" t="n">
        <x:v>1</x:v>
      </x:c>
    </x:row>
    <x:row r="5968" ht="23" customHeight="1">
      <x:c r="A5968" s="11" t="str">
        <x:v>688062.SH</x:v>
      </x:c>
      <x:c r="B5968" s="11" t="str">
        <x:v>三年</x:v>
      </x:c>
      <x:c r="C5968" s="11" t="str">
        <x:v>tmprss_scd</x:v>
      </x:c>
      <x:c r="D5968" s="11" t="str">
        <x:v>2031-12-31</x:v>
      </x:c>
      <x:c r="E5968" s="11" t="str">
        <x:v>USD</x:v>
      </x:c>
      <x:c r="F5968" s="11" t="n">
        <x:v>2.2258726899383983</x:v>
      </x:c>
      <x:c r="G5968" s="26" t="b">
        <x:v>1</x:v>
      </x:c>
      <x:c r="H5968" s="16" t="n">
        <x:v>0</x:v>
      </x:c>
      <x:c r="I5968" s="16" t="n">
        <x:v>0</x:v>
      </x:c>
      <x:c r="J5968" s="16" t="n">
        <x:v>0.3333333333333333</x:v>
      </x:c>
      <x:c r="K5968" s="11" t="n">
        <x:f>CHOOSE('假设'!$B$3,H5968,I5968,J5968)</x:f>
        <x:v>0</x:v>
      </x:c>
      <x:c r="L5968" s="11" t="n">
        <x:f>K5968*'管线假设'!E1279*'管线假设'!F1279*'管线假设'!G1279*IF(E5968="USD",'管线假设'!I1279,1)-AM5968</x:f>
        <x:v>0</x:v>
      </x:c>
      <x:c r="M5968" s="11" t="n">
        <x:f>'管线假设'!H1279</x:f>
        <x:v>0.14</x:v>
      </x:c>
      <x:c r="N5968" s="11" t="n">
        <x:f>IF(G5968,L5968*AN5968/(1+M5968)^F5968,0)</x:f>
        <x:v>0</x:v>
      </x:c>
      <x:c r="AJ5968" t="n">
        <x:v>0</x:v>
      </x:c>
      <x:c r="AK5968" t="n">
        <x:v>0</x:v>
      </x:c>
      <x:c r="AL5968" t="n">
        <x:v>0</x:v>
      </x:c>
      <x:c r="AM5968" t="n">
        <x:f>CHOOSE('假设'!$B$3,AJ5968,AK5968,AL5968)</x:f>
        <x:v>0</x:v>
      </x:c>
      <x:c r="AN5968" t="n">
        <x:v>1</x:v>
      </x:c>
    </x:row>
    <x:row r="5969" ht="23" customHeight="1">
      <x:c r="A5969" s="11" t="str">
        <x:v>688062.SH</x:v>
      </x:c>
      <x:c r="B5969" s="11" t="str">
        <x:v>三年</x:v>
      </x:c>
      <x:c r="C5969" s="11" t="str">
        <x:v>tmprss_scd</x:v>
      </x:c>
      <x:c r="D5969" s="11" t="str">
        <x:v>2032-12-31</x:v>
      </x:c>
      <x:c r="E5969" s="11" t="str">
        <x:v>USD</x:v>
      </x:c>
      <x:c r="F5969" s="11" t="n">
        <x:v>3.2279260780287475</x:v>
      </x:c>
      <x:c r="G5969" s="26" t="b">
        <x:v>1</x:v>
      </x:c>
      <x:c r="H5969" s="16" t="n">
        <x:v>0</x:v>
      </x:c>
      <x:c r="I5969" s="16" t="n">
        <x:v>0</x:v>
      </x:c>
      <x:c r="J5969" s="16" t="n">
        <x:v>0.6666666666666666</x:v>
      </x:c>
      <x:c r="K5969" s="11" t="n">
        <x:f>CHOOSE('假设'!$B$3,H5969,I5969,J5969)</x:f>
        <x:v>0</x:v>
      </x:c>
      <x:c r="L5969" s="11" t="n">
        <x:f>K5969*'管线假设'!E1279*'管线假设'!F1279*'管线假设'!G1279*IF(E5969="USD",'管线假设'!I1279,1)-AM5969</x:f>
        <x:v>0</x:v>
      </x:c>
      <x:c r="M5969" s="11" t="n">
        <x:f>'管线假设'!H1279</x:f>
        <x:v>0.14</x:v>
      </x:c>
      <x:c r="N5969" s="11" t="n">
        <x:f>IF(G5969,L5969*AN5969/(1+M5969)^F5969,0)</x:f>
        <x:v>0</x:v>
      </x:c>
      <x:c r="AJ5969" t="n">
        <x:v>0</x:v>
      </x:c>
      <x:c r="AK5969" t="n">
        <x:v>0</x:v>
      </x:c>
      <x:c r="AL5969" t="n">
        <x:v>0</x:v>
      </x:c>
      <x:c r="AM5969" t="n">
        <x:f>CHOOSE('假设'!$B$3,AJ5969,AK5969,AL5969)</x:f>
        <x:v>0</x:v>
      </x:c>
      <x:c r="AN5969" t="n">
        <x:v>1</x:v>
      </x:c>
    </x:row>
    <x:row r="5970" ht="23" customHeight="1">
      <x:c r="A5970" s="11" t="str">
        <x:v>688062.SH</x:v>
      </x:c>
      <x:c r="B5970" s="11" t="str">
        <x:v>三年</x:v>
      </x:c>
      <x:c r="C5970" s="11" t="str">
        <x:v>tmprss_scd</x:v>
      </x:c>
      <x:c r="D5970" s="11" t="str">
        <x:v>2033-12-31</x:v>
      </x:c>
      <x:c r="E5970" s="11" t="str">
        <x:v>USD</x:v>
      </x:c>
      <x:c r="F5970" s="11" t="n">
        <x:v>4.227241615331964</x:v>
      </x:c>
      <x:c r="G5970" s="26" t="b">
        <x:v>1</x:v>
      </x:c>
      <x:c r="H5970" s="16" t="n">
        <x:v>0</x:v>
      </x:c>
      <x:c r="I5970" s="16" t="n">
        <x:v>0.16666666666666666</x:v>
      </x:c>
      <x:c r="J5970" s="16" t="n">
        <x:v>1</x:v>
      </x:c>
      <x:c r="K5970" s="11" t="n">
        <x:f>CHOOSE('假设'!$B$3,H5970,I5970,J5970)</x:f>
        <x:v>0.16666666666666666</x:v>
      </x:c>
      <x:c r="L5970" s="11" t="n">
        <x:f>K5970*'管线假设'!E1279*'管线假设'!F1279*'管线假设'!G1279*IF(E5970="USD",'管线假设'!I1279,1)-AM5970</x:f>
        <x:v>0.023351200000000003</x:v>
      </x:c>
      <x:c r="M5970" s="11" t="n">
        <x:f>'管线假设'!H1279</x:f>
        <x:v>0.14</x:v>
      </x:c>
      <x:c r="N5970" s="11" t="n">
        <x:f>IF(G5970,L5970*AN5970/(1+M5970)^F5970,0)</x:f>
        <x:v>0.013420189484824003</x:v>
      </x:c>
      <x:c r="AJ5970" t="n">
        <x:v>0</x:v>
      </x:c>
      <x:c r="AK5970" t="n">
        <x:v>0</x:v>
      </x:c>
      <x:c r="AL5970" t="n">
        <x:v>0</x:v>
      </x:c>
      <x:c r="AM5970" t="n">
        <x:f>CHOOSE('假设'!$B$3,AJ5970,AK5970,AL5970)</x:f>
        <x:v>0</x:v>
      </x:c>
      <x:c r="AN5970" t="n">
        <x:v>1</x:v>
      </x:c>
    </x:row>
    <x:row r="5971" ht="23" customHeight="1">
      <x:c r="A5971" s="11" t="str">
        <x:v>688062.SH</x:v>
      </x:c>
      <x:c r="B5971" s="11" t="str">
        <x:v>三年</x:v>
      </x:c>
      <x:c r="C5971" s="11" t="str">
        <x:v>tmprss_scd</x:v>
      </x:c>
      <x:c r="D5971" s="11" t="str">
        <x:v>2034-12-31</x:v>
      </x:c>
      <x:c r="E5971" s="11" t="str">
        <x:v>USD</x:v>
      </x:c>
      <x:c r="F5971" s="11" t="n">
        <x:v>5.2265571526351815</x:v>
      </x:c>
      <x:c r="G5971" s="26" t="b">
        <x:v>1</x:v>
      </x:c>
      <x:c r="H5971" s="16" t="n">
        <x:v>0</x:v>
      </x:c>
      <x:c r="I5971" s="16" t="n">
        <x:v>0.3333333333333333</x:v>
      </x:c>
      <x:c r="J5971" s="16" t="n">
        <x:v>1.3333333333333333</x:v>
      </x:c>
      <x:c r="K5971" s="11" t="n">
        <x:f>CHOOSE('假设'!$B$3,H5971,I5971,J5971)</x:f>
        <x:v>0.3333333333333333</x:v>
      </x:c>
      <x:c r="L5971" s="11" t="n">
        <x:f>K5971*'管线假设'!E1279*'管线假设'!F1279*'管线假设'!G1279*IF(E5971="USD",'管线假设'!I1279,1)-AM5971</x:f>
        <x:v>0.046702400000000005</x:v>
      </x:c>
      <x:c r="M5971" s="11" t="n">
        <x:f>'管线假设'!H1279</x:f>
        <x:v>0.14</x:v>
      </x:c>
      <x:c r="N5971" s="11" t="n">
        <x:f>IF(G5971,L5971*AN5971/(1+M5971)^F5971,0)</x:f>
        <x:v>0.023546303709656692</x:v>
      </x:c>
      <x:c r="AJ5971" t="n">
        <x:v>0</x:v>
      </x:c>
      <x:c r="AK5971" t="n">
        <x:v>0</x:v>
      </x:c>
      <x:c r="AL5971" t="n">
        <x:v>0</x:v>
      </x:c>
      <x:c r="AM5971" t="n">
        <x:f>CHOOSE('假设'!$B$3,AJ5971,AK5971,AL5971)</x:f>
        <x:v>0</x:v>
      </x:c>
      <x:c r="AN5971" t="n">
        <x:v>1</x:v>
      </x:c>
    </x:row>
    <x:row r="5972" ht="23" customHeight="1">
      <x:c r="A5972" s="11" t="str">
        <x:v>688062.SH</x:v>
      </x:c>
      <x:c r="B5972" s="11" t="str">
        <x:v>三年</x:v>
      </x:c>
      <x:c r="C5972" s="11" t="str">
        <x:v>tmprss_scd</x:v>
      </x:c>
      <x:c r="D5972" s="11" t="str">
        <x:v>2035-12-31</x:v>
      </x:c>
      <x:c r="E5972" s="11" t="str">
        <x:v>USD</x:v>
      </x:c>
      <x:c r="F5972" s="11" t="n">
        <x:v>6.225872689938399</x:v>
      </x:c>
      <x:c r="G5972" s="26" t="b">
        <x:v>1</x:v>
      </x:c>
      <x:c r="H5972" s="16" t="n">
        <x:v>0</x:v>
      </x:c>
      <x:c r="I5972" s="16" t="n">
        <x:v>0.5</x:v>
      </x:c>
      <x:c r="J5972" s="16" t="n">
        <x:v>1.6666666666666667</x:v>
      </x:c>
      <x:c r="K5972" s="11" t="n">
        <x:f>CHOOSE('假设'!$B$3,H5972,I5972,J5972)</x:f>
        <x:v>0.5</x:v>
      </x:c>
      <x:c r="L5972" s="11" t="n">
        <x:f>K5972*'管线假设'!E1279*'管线假设'!F1279*'管线假设'!G1279*IF(E5972="USD",'管线假设'!I1279,1)-AM5972</x:f>
        <x:v>0.07005360000000001</x:v>
      </x:c>
      <x:c r="M5972" s="11" t="n">
        <x:f>'管线假设'!H1279</x:f>
        <x:v>0.14</x:v>
      </x:c>
      <x:c r="N5972" s="11" t="n">
        <x:f>IF(G5972,L5972*AN5972/(1+M5972)^F5972,0)</x:f>
        <x:v>0.030984757276398284</x:v>
      </x:c>
      <x:c r="AJ5972" t="n">
        <x:v>0</x:v>
      </x:c>
      <x:c r="AK5972" t="n">
        <x:v>0</x:v>
      </x:c>
      <x:c r="AL5972" t="n">
        <x:v>0</x:v>
      </x:c>
      <x:c r="AM5972" t="n">
        <x:f>CHOOSE('假设'!$B$3,AJ5972,AK5972,AL5972)</x:f>
        <x:v>0</x:v>
      </x:c>
      <x:c r="AN5972" t="n">
        <x:v>1</x:v>
      </x:c>
    </x:row>
    <x:row r="5973" ht="23" customHeight="1">
      <x:c r="A5973" s="11" t="str">
        <x:v>688062.SH</x:v>
      </x:c>
      <x:c r="B5973" s="11" t="str">
        <x:v>三年</x:v>
      </x:c>
      <x:c r="C5973" s="11" t="str">
        <x:v>tmprss_scd</x:v>
      </x:c>
      <x:c r="D5973" s="11" t="str">
        <x:v>2036-12-31</x:v>
      </x:c>
      <x:c r="E5973" s="11" t="str">
        <x:v>USD</x:v>
      </x:c>
      <x:c r="F5973" s="11" t="n">
        <x:v>7.227926078028747</x:v>
      </x:c>
      <x:c r="G5973" s="26" t="b">
        <x:v>1</x:v>
      </x:c>
      <x:c r="H5973" s="16" t="n">
        <x:v>0.08000000000000002</x:v>
      </x:c>
      <x:c r="I5973" s="16" t="n">
        <x:v>0.6666666666666666</x:v>
      </x:c>
      <x:c r="J5973" s="16" t="n">
        <x:v>2</x:v>
      </x:c>
      <x:c r="K5973" s="11" t="n">
        <x:f>CHOOSE('假设'!$B$3,H5973,I5973,J5973)</x:f>
        <x:v>0.6666666666666666</x:v>
      </x:c>
      <x:c r="L5973" s="11" t="n">
        <x:f>K5973*'管线假设'!E1279*'管线假设'!F1279*'管线假设'!G1279*IF(E5973="USD",'管线假设'!I1279,1)-AM5973</x:f>
        <x:v>0.09340480000000001</x:v>
      </x:c>
      <x:c r="M5973" s="11" t="n">
        <x:f>'管线假设'!H1279</x:f>
        <x:v>0.14</x:v>
      </x:c>
      <x:c r="N5973" s="11" t="n">
        <x:f>IF(G5973,L5973*AN5973/(1+M5973)^F5973,0)</x:f>
        <x:v>0.036229733205588546</x:v>
      </x:c>
      <x:c r="AJ5973" t="n">
        <x:v>0</x:v>
      </x:c>
      <x:c r="AK5973" t="n">
        <x:v>0</x:v>
      </x:c>
      <x:c r="AL5973" t="n">
        <x:v>0</x:v>
      </x:c>
      <x:c r="AM5973" t="n">
        <x:f>CHOOSE('假设'!$B$3,AJ5973,AK5973,AL5973)</x:f>
        <x:v>0</x:v>
      </x:c>
      <x:c r="AN5973" t="n">
        <x:v>1</x:v>
      </x:c>
    </x:row>
    <x:row r="5974" ht="23" customHeight="1">
      <x:c r="A5974" s="11" t="str">
        <x:v>688062.SH</x:v>
      </x:c>
      <x:c r="B5974" s="11" t="str">
        <x:v>三年</x:v>
      </x:c>
      <x:c r="C5974" s="11" t="str">
        <x:v>tmprss_scd</x:v>
      </x:c>
      <x:c r="D5974" s="11" t="str">
        <x:v>2037-12-31</x:v>
      </x:c>
      <x:c r="E5974" s="11" t="str">
        <x:v>USD</x:v>
      </x:c>
      <x:c r="F5974" s="11" t="n">
        <x:v>8.227241615331964</x:v>
      </x:c>
      <x:c r="G5974" s="26" t="b">
        <x:v>1</x:v>
      </x:c>
      <x:c r="H5974" s="16" t="n">
        <x:v>0.16000000000000003</x:v>
      </x:c>
      <x:c r="I5974" s="16" t="n">
        <x:v>0.8333333333333334</x:v>
      </x:c>
      <x:c r="J5974" s="16" t="n">
        <x:v>1.74</x:v>
      </x:c>
      <x:c r="K5974" s="11" t="n">
        <x:f>CHOOSE('假设'!$B$3,H5974,I5974,J5974)</x:f>
        <x:v>0.8333333333333334</x:v>
      </x:c>
      <x:c r="L5974" s="11" t="n">
        <x:f>K5974*'管线假设'!E1279*'管线假设'!F1279*'管线假设'!G1279*IF(E5974="USD",'管线假设'!I1279,1)-AM5974</x:f>
        <x:v>0.11675600000000003</x:v>
      </x:c>
      <x:c r="M5974" s="11" t="n">
        <x:f>'管线假设'!H1279</x:f>
        <x:v>0.14</x:v>
      </x:c>
      <x:c r="N5974" s="11" t="n">
        <x:f>IF(G5974,L5974*AN5974/(1+M5974)^F5974,0)</x:f>
        <x:v>0.03972914756267548</x:v>
      </x:c>
      <x:c r="AJ5974" t="n">
        <x:v>0</x:v>
      </x:c>
      <x:c r="AK5974" t="n">
        <x:v>0</x:v>
      </x:c>
      <x:c r="AL5974" t="n">
        <x:v>0</x:v>
      </x:c>
      <x:c r="AM5974" t="n">
        <x:f>CHOOSE('假设'!$B$3,AJ5974,AK5974,AL5974)</x:f>
        <x:v>0</x:v>
      </x:c>
      <x:c r="AN5974" t="n">
        <x:v>1</x:v>
      </x:c>
    </x:row>
    <x:row r="5975" ht="23" customHeight="1">
      <x:c r="A5975" s="11" t="str">
        <x:v>688062.SH</x:v>
      </x:c>
      <x:c r="B5975" s="11" t="str">
        <x:v>三年</x:v>
      </x:c>
      <x:c r="C5975" s="11" t="str">
        <x:v>tmprss_scd</x:v>
      </x:c>
      <x:c r="D5975" s="11" t="str">
        <x:v>2038-12-31</x:v>
      </x:c>
      <x:c r="E5975" s="11" t="str">
        <x:v>USD</x:v>
      </x:c>
      <x:c r="F5975" s="11" t="n">
        <x:v>9.22655715263518</x:v>
      </x:c>
      <x:c r="G5975" s="26" t="b">
        <x:v>1</x:v>
      </x:c>
      <x:c r="H5975" s="16" t="n">
        <x:v>0.24</x:v>
      </x:c>
      <x:c r="I5975" s="16" t="n">
        <x:v>1</x:v>
      </x:c>
      <x:c r="J5975" s="16" t="n">
        <x:v>1.48</x:v>
      </x:c>
      <x:c r="K5975" s="11" t="n">
        <x:f>CHOOSE('假设'!$B$3,H5975,I5975,J5975)</x:f>
        <x:v>1</x:v>
      </x:c>
      <x:c r="L5975" s="11" t="n">
        <x:f>K5975*'管线假设'!E1279*'管线假设'!F1279*'管线假设'!G1279*IF(E5975="USD",'管线假设'!I1279,1)-AM5975</x:f>
        <x:v>0.14010720000000002</x:v>
      </x:c>
      <x:c r="M5975" s="11" t="n">
        <x:f>'管线假设'!H1279</x:f>
        <x:v>0.14</x:v>
      </x:c>
      <x:c r="N5975" s="11" t="n">
        <x:f>IF(G5975,L5975*AN5975/(1+M5975)^F5975,0)</x:f>
        <x:v>0.041823906094368764</x:v>
      </x:c>
      <x:c r="AJ5975" t="n">
        <x:v>0</x:v>
      </x:c>
      <x:c r="AK5975" t="n">
        <x:v>0</x:v>
      </x:c>
      <x:c r="AL5975" t="n">
        <x:v>0</x:v>
      </x:c>
      <x:c r="AM5975" t="n">
        <x:f>CHOOSE('假设'!$B$3,AJ5975,AK5975,AL5975)</x:f>
        <x:v>0</x:v>
      </x:c>
      <x:c r="AN5975" t="n">
        <x:v>1</x:v>
      </x:c>
    </x:row>
    <x:row r="5976" ht="23" customHeight="1">
      <x:c r="A5976" s="11" t="str">
        <x:v>688062.SH</x:v>
      </x:c>
      <x:c r="B5976" s="11" t="str">
        <x:v>三年</x:v>
      </x:c>
      <x:c r="C5976" s="11" t="str">
        <x:v>tmprss_scd</x:v>
      </x:c>
      <x:c r="D5976" s="11" t="str">
        <x:v>2039-12-31</x:v>
      </x:c>
      <x:c r="E5976" s="11" t="str">
        <x:v>USD</x:v>
      </x:c>
      <x:c r="F5976" s="11" t="n">
        <x:v>10.225872689938399</x:v>
      </x:c>
      <x:c r="G5976" s="26" t="b">
        <x:v>1</x:v>
      </x:c>
      <x:c r="H5976" s="16" t="n">
        <x:v>0.32000000000000006</x:v>
      </x:c>
      <x:c r="I5976" s="16" t="n">
        <x:v>0.87</x:v>
      </x:c>
      <x:c r="J5976" s="16" t="n">
        <x:v>1.22</x:v>
      </x:c>
      <x:c r="K5976" s="11" t="n">
        <x:f>CHOOSE('假设'!$B$3,H5976,I5976,J5976)</x:f>
        <x:v>0.87</x:v>
      </x:c>
      <x:c r="L5976" s="11" t="n">
        <x:f>K5976*'管线假设'!E1279*'管线假设'!F1279*'管线假设'!G1279*IF(E5976="USD",'管线假设'!I1279,1)-AM5976</x:f>
        <x:v>0.12189326400000004</x:v>
      </x:c>
      <x:c r="M5976" s="11" t="n">
        <x:f>'管线假设'!H1279</x:f>
        <x:v>0.14</x:v>
      </x:c>
      <x:c r="N5976" s="11" t="n">
        <x:f>IF(G5976,L5976*AN5976/(1+M5976)^F5976,0)</x:f>
        <x:v>0.03192110680747674</x:v>
      </x:c>
      <x:c r="AJ5976" t="n">
        <x:v>0</x:v>
      </x:c>
      <x:c r="AK5976" t="n">
        <x:v>0</x:v>
      </x:c>
      <x:c r="AL5976" t="n">
        <x:v>0</x:v>
      </x:c>
      <x:c r="AM5976" t="n">
        <x:f>CHOOSE('假设'!$B$3,AJ5976,AK5976,AL5976)</x:f>
        <x:v>0</x:v>
      </x:c>
      <x:c r="AN5976" t="n">
        <x:v>1</x:v>
      </x:c>
    </x:row>
    <x:row r="5977" ht="23" customHeight="1">
      <x:c r="A5977" s="11" t="str">
        <x:v>688062.SH</x:v>
      </x:c>
      <x:c r="B5977" s="11" t="str">
        <x:v>三年</x:v>
      </x:c>
      <x:c r="C5977" s="11" t="str">
        <x:v>tmprss_scd</x:v>
      </x:c>
      <x:c r="D5977" s="11" t="str">
        <x:v>2040-12-31</x:v>
      </x:c>
      <x:c r="E5977" s="11" t="str">
        <x:v>USD</x:v>
      </x:c>
      <x:c r="F5977" s="11" t="n">
        <x:v>11.227926078028748</x:v>
      </x:c>
      <x:c r="G5977" s="26" t="b">
        <x:v>1</x:v>
      </x:c>
      <x:c r="H5977" s="16" t="n">
        <x:v>0.4</x:v>
      </x:c>
      <x:c r="I5977" s="16" t="n">
        <x:v>0.74</x:v>
      </x:c>
      <x:c r="J5977" s="16" t="n">
        <x:v>0.96</x:v>
      </x:c>
      <x:c r="K5977" s="11" t="n">
        <x:f>CHOOSE('假设'!$B$3,H5977,I5977,J5977)</x:f>
        <x:v>0.74</x:v>
      </x:c>
      <x:c r="L5977" s="11" t="n">
        <x:f>K5977*'管线假设'!E1279*'管线假设'!F1279*'管线假设'!G1279*IF(E5977="USD",'管线假设'!I1279,1)-AM5977</x:f>
        <x:v>0.10367932800000003</x:v>
      </x:c>
      <x:c r="M5977" s="11" t="n">
        <x:f>'管线假设'!H1279</x:f>
        <x:v>0.14</x:v>
      </x:c>
      <x:c r="N5977" s="11" t="n">
        <x:f>IF(G5977,L5977*AN5977/(1+M5977)^F5977,0)</x:f>
        <x:v>0.023810510638808242</x:v>
      </x:c>
      <x:c r="AJ5977" t="n">
        <x:v>0</x:v>
      </x:c>
      <x:c r="AK5977" t="n">
        <x:v>0</x:v>
      </x:c>
      <x:c r="AL5977" t="n">
        <x:v>0</x:v>
      </x:c>
      <x:c r="AM5977" t="n">
        <x:f>CHOOSE('假设'!$B$3,AJ5977,AK5977,AL5977)</x:f>
        <x:v>0</x:v>
      </x:c>
      <x:c r="AN5977" t="n">
        <x:v>1</x:v>
      </x:c>
    </x:row>
    <x:row r="5978" ht="23" customHeight="1">
      <x:c r="A5978" s="11" t="str">
        <x:v>688062.SH</x:v>
      </x:c>
      <x:c r="B5978" s="11" t="str">
        <x:v>三年</x:v>
      </x:c>
      <x:c r="C5978" s="11" t="str">
        <x:v>tmprss_scd</x:v>
      </x:c>
      <x:c r="D5978" s="11" t="str">
        <x:v>2041-12-31</x:v>
      </x:c>
      <x:c r="E5978" s="11" t="str">
        <x:v>USD</x:v>
      </x:c>
      <x:c r="F5978" s="11" t="n">
        <x:v>12.227241615331964</x:v>
      </x:c>
      <x:c r="G5978" s="26" t="b">
        <x:v>1</x:v>
      </x:c>
      <x:c r="H5978" s="16" t="n">
        <x:v>0.34800000000000003</x:v>
      </x:c>
      <x:c r="I5978" s="16" t="n">
        <x:v>0.61</x:v>
      </x:c>
      <x:c r="J5978" s="16" t="n">
        <x:v>0.7</x:v>
      </x:c>
      <x:c r="K5978" s="11" t="n">
        <x:f>CHOOSE('假设'!$B$3,H5978,I5978,J5978)</x:f>
        <x:v>0.61</x:v>
      </x:c>
      <x:c r="L5978" s="11" t="n">
        <x:f>K5978*'管线假设'!E1279*'管线假设'!F1279*'管线假设'!G1279*IF(E5978="USD",'管线假设'!I1279,1)-AM5978</x:f>
        <x:v>0.08546539200000002</x:v>
      </x:c>
      <x:c r="M5978" s="11" t="n">
        <x:f>'管线假设'!H1279</x:f>
        <x:v>0.14</x:v>
      </x:c>
      <x:c r="N5978" s="11" t="n">
        <x:f>IF(G5978,L5978*AN5978/(1+M5978)^F5978,0)</x:f>
        <x:v>0.017218722326687943</x:v>
      </x:c>
      <x:c r="AJ5978" t="n">
        <x:v>0</x:v>
      </x:c>
      <x:c r="AK5978" t="n">
        <x:v>0</x:v>
      </x:c>
      <x:c r="AL5978" t="n">
        <x:v>0</x:v>
      </x:c>
      <x:c r="AM5978" t="n">
        <x:f>CHOOSE('假设'!$B$3,AJ5978,AK5978,AL5978)</x:f>
        <x:v>0</x:v>
      </x:c>
      <x:c r="AN5978" t="n">
        <x:v>1</x:v>
      </x:c>
    </x:row>
    <x:row r="5979" ht="23" customHeight="1">
      <x:c r="A5979" s="11" t="str">
        <x:v>688062.SH</x:v>
      </x:c>
      <x:c r="B5979" s="11" t="str">
        <x:v>三年</x:v>
      </x:c>
      <x:c r="C5979" s="11" t="str">
        <x:v>tmprss_scd</x:v>
      </x:c>
      <x:c r="D5979" s="11" t="str">
        <x:v>2042-12-31</x:v>
      </x:c>
      <x:c r="E5979" s="11" t="str">
        <x:v>USD</x:v>
      </x:c>
      <x:c r="F5979" s="11" t="n">
        <x:v>13.22655715263518</x:v>
      </x:c>
      <x:c r="G5979" s="26" t="b">
        <x:v>1</x:v>
      </x:c>
      <x:c r="H5979" s="16" t="n">
        <x:v>0.296</x:v>
      </x:c>
      <x:c r="I5979" s="16" t="n">
        <x:v>0.48</x:v>
      </x:c>
      <x:c r="J5979" s="16" t="n">
        <x:v>0.43999999999999995</x:v>
      </x:c>
      <x:c r="K5979" s="11" t="n">
        <x:f>CHOOSE('假设'!$B$3,H5979,I5979,J5979)</x:f>
        <x:v>0.48</x:v>
      </x:c>
      <x:c r="L5979" s="11" t="n">
        <x:f>K5979*'管线假设'!E1279*'管线假设'!F1279*'管线假设'!G1279*IF(E5979="USD",'管线假设'!I1279,1)-AM5979</x:f>
        <x:v>0.06725145600000002</x:v>
      </x:c>
      <x:c r="M5979" s="11" t="n">
        <x:f>'管线假设'!H1279</x:f>
        <x:v>0.14</x:v>
      </x:c>
      <x:c r="N5979" s="11" t="n">
        <x:f>IF(G5979,L5979*AN5979/(1+M5979)^F5979,0)</x:f>
        <x:v>0.011886292762108138</x:v>
      </x:c>
      <x:c r="AJ5979" t="n">
        <x:v>0</x:v>
      </x:c>
      <x:c r="AK5979" t="n">
        <x:v>0</x:v>
      </x:c>
      <x:c r="AL5979" t="n">
        <x:v>0</x:v>
      </x:c>
      <x:c r="AM5979" t="n">
        <x:f>CHOOSE('假设'!$B$3,AJ5979,AK5979,AL5979)</x:f>
        <x:v>0</x:v>
      </x:c>
      <x:c r="AN5979" t="n">
        <x:v>1</x:v>
      </x:c>
    </x:row>
    <x:row r="5980" ht="23" customHeight="1">
      <x:c r="A5980" s="11" t="str">
        <x:v>688062.SH</x:v>
      </x:c>
      <x:c r="B5980" s="11" t="str">
        <x:v>三年</x:v>
      </x:c>
      <x:c r="C5980" s="11" t="str">
        <x:v>tmprss_scd</x:v>
      </x:c>
      <x:c r="D5980" s="11" t="str">
        <x:v>2043-12-31</x:v>
      </x:c>
      <x:c r="E5980" s="11" t="str">
        <x:v>USD</x:v>
      </x:c>
      <x:c r="F5980" s="11" t="n">
        <x:v>14.225872689938399</x:v>
      </x:c>
      <x:c r="G5980" s="26" t="b">
        <x:v>1</x:v>
      </x:c>
      <x:c r="H5980" s="16" t="n">
        <x:v>0.244</x:v>
      </x:c>
      <x:c r="I5980" s="16" t="n">
        <x:v>0.35</x:v>
      </x:c>
      <x:c r="J5980" s="16" t="n">
        <x:v>0.17999999999999994</x:v>
      </x:c>
      <x:c r="K5980" s="11" t="n">
        <x:f>CHOOSE('假设'!$B$3,H5980,I5980,J5980)</x:f>
        <x:v>0.35</x:v>
      </x:c>
      <x:c r="L5980" s="11" t="n">
        <x:f>K5980*'管线假设'!E1279*'管线假设'!F1279*'管线假设'!G1279*IF(E5980="USD",'管线假设'!I1279,1)-AM5980</x:f>
        <x:v>0.04903752</x:v>
      </x:c>
      <x:c r="M5980" s="11" t="n">
        <x:f>'管线假设'!H1279</x:f>
        <x:v>0.14</x:v>
      </x:c>
      <x:c r="N5980" s="11" t="n">
        <x:f>IF(G5980,L5980*AN5980/(1+M5980)^F5980,0)</x:f>
        <x:v>0.0076033910579160835</x:v>
      </x:c>
      <x:c r="AJ5980" t="n">
        <x:v>0</x:v>
      </x:c>
      <x:c r="AK5980" t="n">
        <x:v>0</x:v>
      </x:c>
      <x:c r="AL5980" t="n">
        <x:v>0</x:v>
      </x:c>
      <x:c r="AM5980" t="n">
        <x:f>CHOOSE('假设'!$B$3,AJ5980,AK5980,AL5980)</x:f>
        <x:v>0</x:v>
      </x:c>
      <x:c r="AN5980" t="n">
        <x:v>1</x:v>
      </x:c>
    </x:row>
    <x:row r="5981" ht="23" customHeight="1">
      <x:c r="A5981" s="11" t="str">
        <x:v>688062.SH</x:v>
      </x:c>
      <x:c r="B5981" s="11" t="str">
        <x:v>三年</x:v>
      </x:c>
      <x:c r="C5981" s="11" t="str">
        <x:v>tmprss_scd</x:v>
      </x:c>
      <x:c r="D5981" s="11" t="str">
        <x:v>2044-12-31</x:v>
      </x:c>
      <x:c r="E5981" s="11" t="str">
        <x:v>USD</x:v>
      </x:c>
      <x:c r="F5981" s="11" t="n">
        <x:v>15.227926078028748</x:v>
      </x:c>
      <x:c r="G5981" s="26" t="b">
        <x:v>1</x:v>
      </x:c>
      <x:c r="H5981" s="16" t="n">
        <x:v>0.192</x:v>
      </x:c>
      <x:c r="I5981" s="16" t="n">
        <x:v>0.21999999999999997</x:v>
      </x:c>
      <x:c r="J5981" s="16" t="n">
        <x:v>0</x:v>
      </x:c>
      <x:c r="K5981" s="11" t="n">
        <x:f>CHOOSE('假设'!$B$3,H5981,I5981,J5981)</x:f>
        <x:v>0.21999999999999997</x:v>
      </x:c>
      <x:c r="L5981" s="11" t="n">
        <x:f>K5981*'管线假设'!E1279*'管线假设'!F1279*'管线假设'!G1279*IF(E5981="USD",'管线假设'!I1279,1)-AM5981</x:f>
        <x:v>0.030823584</x:v>
      </x:c>
      <x:c r="M5981" s="11" t="n">
        <x:f>'管线假设'!H1279</x:f>
        <x:v>0.14</x:v>
      </x:c>
      <x:c r="N5981" s="11" t="n">
        <x:f>IF(G5981,L5981*AN5981/(1+M5981)^F5981,0)</x:f>
        <x:v>0.0041912181399152895</x:v>
      </x:c>
      <x:c r="AJ5981" t="n">
        <x:v>0</x:v>
      </x:c>
      <x:c r="AK5981" t="n">
        <x:v>0</x:v>
      </x:c>
      <x:c r="AL5981" t="n">
        <x:v>0</x:v>
      </x:c>
      <x:c r="AM5981" t="n">
        <x:f>CHOOSE('假设'!$B$3,AJ5981,AK5981,AL5981)</x:f>
        <x:v>0</x:v>
      </x:c>
      <x:c r="AN5981" t="n">
        <x:v>1</x:v>
      </x:c>
    </x:row>
    <x:row r="5982" ht="23" customHeight="1">
      <x:c r="A5982" s="11" t="str">
        <x:v>688062.SH</x:v>
      </x:c>
      <x:c r="B5982" s="11" t="str">
        <x:v>三年</x:v>
      </x:c>
      <x:c r="C5982" s="11" t="str">
        <x:v>tmprss_scd</x:v>
      </x:c>
      <x:c r="D5982" s="11" t="str">
        <x:v>2045-12-31</x:v>
      </x:c>
      <x:c r="E5982" s="11" t="str">
        <x:v>USD</x:v>
      </x:c>
      <x:c r="F5982" s="11" t="n">
        <x:v>16.227241615331966</x:v>
      </x:c>
      <x:c r="G5982" s="26" t="b">
        <x:v>1</x:v>
      </x:c>
      <x:c r="H5982" s="16" t="n">
        <x:v>0.13999999999999999</x:v>
      </x:c>
      <x:c r="I5982" s="16" t="n">
        <x:v>0.08999999999999997</x:v>
      </x:c>
      <x:c r="J5982" s="16" t="n">
        <x:v>0</x:v>
      </x:c>
      <x:c r="K5982" s="11" t="n">
        <x:f>CHOOSE('假设'!$B$3,H5982,I5982,J5982)</x:f>
        <x:v>0.08999999999999997</x:v>
      </x:c>
      <x:c r="L5982" s="11" t="n">
        <x:f>K5982*'管线假设'!E1279*'管线假设'!F1279*'管线假设'!G1279*IF(E5982="USD",'管线假设'!I1279,1)-AM5982</x:f>
        <x:v>0.012609647999999998</x:v>
      </x:c>
      <x:c r="M5982" s="11" t="n">
        <x:f>'管线假设'!H1279</x:f>
        <x:v>0.14</x:v>
      </x:c>
      <x:c r="N5982" s="11" t="n">
        <x:f>IF(G5982,L5982*AN5982/(1+M5982)^F5982,0)</x:f>
        <x:v>0.0015041605413165736</x:v>
      </x:c>
      <x:c r="AJ5982" t="n">
        <x:v>0</x:v>
      </x:c>
      <x:c r="AK5982" t="n">
        <x:v>0</x:v>
      </x:c>
      <x:c r="AL5982" t="n">
        <x:v>0</x:v>
      </x:c>
      <x:c r="AM5982" t="n">
        <x:f>CHOOSE('假设'!$B$3,AJ5982,AK5982,AL5982)</x:f>
        <x:v>0</x:v>
      </x:c>
      <x:c r="AN5982" t="n">
        <x:v>1</x:v>
      </x:c>
    </x:row>
    <x:row r="5983" ht="23" customHeight="1">
      <x:c r="A5983" s="11" t="str">
        <x:v>688062.SH</x:v>
      </x:c>
      <x:c r="B5983" s="11" t="str">
        <x:v>五年</x:v>
      </x:c>
      <x:c r="C5983" s="11" t="str">
        <x:v>biosim</x:v>
      </x:c>
      <x:c r="D5983" s="11" t="str">
        <x:v>2027-12-31</x:v>
      </x:c>
      <x:c r="E5983" s="11" t="str">
        <x:v>CNY</x:v>
      </x:c>
      <x:c r="F5983" s="11" t="n">
        <x:v>-3.7727583846680357</x:v>
      </x:c>
      <x:c r="G5983" s="26" t="b">
        <x:v>0</x:v>
      </x:c>
      <x:c r="H5983" s="16" t="n">
        <x:v>0.13999999999999999</x:v>
      </x:c>
      <x:c r="I5983" s="16" t="n">
        <x:v>0.30000000000000004</x:v>
      </x:c>
      <x:c r="J5983" s="16" t="n">
        <x:v>0.575</x:v>
      </x:c>
      <x:c r="K5983" s="11" t="n">
        <x:f>CHOOSE('假设'!$B$3,H5983,I5983,J5983)</x:f>
        <x:v>0.30000000000000004</x:v>
      </x:c>
      <x:c r="L5983" s="11" t="n">
        <x:f>K5983*'管线假设'!E1283*'管线假设'!F1283*'管线假设'!G1283*IF(E5983="USD",'管线假设'!I1283,1)-AM5983</x:f>
        <x:v>0.06552240000000001</x:v>
      </x:c>
      <x:c r="M5983" s="11" t="n">
        <x:f>'管线假设'!H1283</x:f>
        <x:v>0.14</x:v>
      </x:c>
      <x:c r="N5983" s="11" t="n">
        <x:f>IF(G5983,L5983*AN5983/(1+M5983)^F5983,0)</x:f>
        <x:v>0</x:v>
      </x:c>
      <x:c r="AJ5983" t="n">
        <x:v>0</x:v>
      </x:c>
      <x:c r="AK5983" t="n">
        <x:v>0</x:v>
      </x:c>
      <x:c r="AL5983" t="n">
        <x:v>0</x:v>
      </x:c>
      <x:c r="AM5983" t="n">
        <x:f>CHOOSE('假设'!$B$3,AJ5983,AK5983,AL5983)</x:f>
        <x:v>0</x:v>
      </x:c>
      <x:c r="AN5983" t="n">
        <x:v>1</x:v>
      </x:c>
    </x:row>
    <x:row r="5984" ht="23" customHeight="1">
      <x:c r="A5984" s="11" t="str">
        <x:v>688062.SH</x:v>
      </x:c>
      <x:c r="B5984" s="11" t="str">
        <x:v>五年</x:v>
      </x:c>
      <x:c r="C5984" s="11" t="str">
        <x:v>biosim</x:v>
      </x:c>
      <x:c r="D5984" s="11" t="str">
        <x:v>2028-12-31</x:v>
      </x:c>
      <x:c r="E5984" s="11" t="str">
        <x:v>CNY</x:v>
      </x:c>
      <x:c r="F5984" s="11" t="n">
        <x:v>-2.7707049965776864</x:v>
      </x:c>
      <x:c r="G5984" s="26" t="b">
        <x:v>0</x:v>
      </x:c>
      <x:c r="H5984" s="16" t="n">
        <x:v>0.27999999999999997</x:v>
      </x:c>
      <x:c r="I5984" s="16" t="n">
        <x:v>0.6000000000000001</x:v>
      </x:c>
      <x:c r="J5984" s="16" t="n">
        <x:v>1.15</x:v>
      </x:c>
      <x:c r="K5984" s="11" t="n">
        <x:f>CHOOSE('假设'!$B$3,H5984,I5984,J5984)</x:f>
        <x:v>0.6000000000000001</x:v>
      </x:c>
      <x:c r="L5984" s="11" t="n">
        <x:f>K5984*'管线假设'!E1283*'管线假设'!F1283*'管线假设'!G1283*IF(E5984="USD",'管线假设'!I1283,1)-AM5984</x:f>
        <x:v>0.13104480000000002</x:v>
      </x:c>
      <x:c r="M5984" s="11" t="n">
        <x:f>'管线假设'!H1283</x:f>
        <x:v>0.14</x:v>
      </x:c>
      <x:c r="N5984" s="11" t="n">
        <x:f>IF(G5984,L5984*AN5984/(1+M5984)^F5984,0)</x:f>
        <x:v>0</x:v>
      </x:c>
      <x:c r="AJ5984" t="n">
        <x:v>0</x:v>
      </x:c>
      <x:c r="AK5984" t="n">
        <x:v>0</x:v>
      </x:c>
      <x:c r="AL5984" t="n">
        <x:v>0</x:v>
      </x:c>
      <x:c r="AM5984" t="n">
        <x:f>CHOOSE('假设'!$B$3,AJ5984,AK5984,AL5984)</x:f>
        <x:v>0</x:v>
      </x:c>
      <x:c r="AN5984" t="n">
        <x:v>1</x:v>
      </x:c>
    </x:row>
    <x:row r="5985" ht="23" customHeight="1">
      <x:c r="A5985" s="11" t="str">
        <x:v>688062.SH</x:v>
      </x:c>
      <x:c r="B5985" s="11" t="str">
        <x:v>五年</x:v>
      </x:c>
      <x:c r="C5985" s="11" t="str">
        <x:v>biosim</x:v>
      </x:c>
      <x:c r="D5985" s="11" t="str">
        <x:v>2029-12-31</x:v>
      </x:c>
      <x:c r="E5985" s="11" t="str">
        <x:v>CNY</x:v>
      </x:c>
      <x:c r="F5985" s="11" t="n">
        <x:v>-1.7713894592744694</x:v>
      </x:c>
      <x:c r="G5985" s="26" t="b">
        <x:v>0</x:v>
      </x:c>
      <x:c r="H5985" s="16" t="n">
        <x:v>0.42</x:v>
      </x:c>
      <x:c r="I5985" s="16" t="n">
        <x:v>0.8999999999999999</x:v>
      </x:c>
      <x:c r="J5985" s="16" t="n">
        <x:v>1.7249999999999999</x:v>
      </x:c>
      <x:c r="K5985" s="11" t="n">
        <x:f>CHOOSE('假设'!$B$3,H5985,I5985,J5985)</x:f>
        <x:v>0.8999999999999999</x:v>
      </x:c>
      <x:c r="L5985" s="11" t="n">
        <x:f>K5985*'管线假设'!E1283*'管线假设'!F1283*'管线假设'!G1283*IF(E5985="USD",'管线假设'!I1283,1)-AM5985</x:f>
        <x:v>0.1965672</x:v>
      </x:c>
      <x:c r="M5985" s="11" t="n">
        <x:f>'管线假设'!H1283</x:f>
        <x:v>0.14</x:v>
      </x:c>
      <x:c r="N5985" s="11" t="n">
        <x:f>IF(G5985,L5985*AN5985/(1+M5985)^F5985,0)</x:f>
        <x:v>0</x:v>
      </x:c>
      <x:c r="AJ5985" t="n">
        <x:v>0</x:v>
      </x:c>
      <x:c r="AK5985" t="n">
        <x:v>0</x:v>
      </x:c>
      <x:c r="AL5985" t="n">
        <x:v>0</x:v>
      </x:c>
      <x:c r="AM5985" t="n">
        <x:f>CHOOSE('假设'!$B$3,AJ5985,AK5985,AL5985)</x:f>
        <x:v>0</x:v>
      </x:c>
      <x:c r="AN5985" t="n">
        <x:v>1</x:v>
      </x:c>
    </x:row>
    <x:row r="5986" ht="23" customHeight="1">
      <x:c r="A5986" s="11" t="str">
        <x:v>688062.SH</x:v>
      </x:c>
      <x:c r="B5986" s="11" t="str">
        <x:v>五年</x:v>
      </x:c>
      <x:c r="C5986" s="11" t="str">
        <x:v>biosim</x:v>
      </x:c>
      <x:c r="D5986" s="11" t="str">
        <x:v>2030-12-31</x:v>
      </x:c>
      <x:c r="E5986" s="11" t="str">
        <x:v>CNY</x:v>
      </x:c>
      <x:c r="F5986" s="11" t="n">
        <x:v>-0.7720739219712526</x:v>
      </x:c>
      <x:c r="G5986" s="26" t="b">
        <x:v>0</x:v>
      </x:c>
      <x:c r="H5986" s="16" t="n">
        <x:v>0.5599999999999999</x:v>
      </x:c>
      <x:c r="I5986" s="16" t="n">
        <x:v>1.2000000000000002</x:v>
      </x:c>
      <x:c r="J5986" s="16" t="n">
        <x:v>2.3</x:v>
      </x:c>
      <x:c r="K5986" s="11" t="n">
        <x:f>CHOOSE('假设'!$B$3,H5986,I5986,J5986)</x:f>
        <x:v>1.2000000000000002</x:v>
      </x:c>
      <x:c r="L5986" s="11" t="n">
        <x:f>K5986*'管线假设'!E1283*'管线假设'!F1283*'管线假设'!G1283*IF(E5986="USD",'管线假设'!I1283,1)-AM5986</x:f>
        <x:v>0.26208960000000003</x:v>
      </x:c>
      <x:c r="M5986" s="11" t="n">
        <x:f>'管线假设'!H1283</x:f>
        <x:v>0.14</x:v>
      </x:c>
      <x:c r="N5986" s="11" t="n">
        <x:f>IF(G5986,L5986*AN5986/(1+M5986)^F5986,0)</x:f>
        <x:v>0</x:v>
      </x:c>
      <x:c r="AJ5986" t="n">
        <x:v>0</x:v>
      </x:c>
      <x:c r="AK5986" t="n">
        <x:v>0</x:v>
      </x:c>
      <x:c r="AL5986" t="n">
        <x:v>0</x:v>
      </x:c>
      <x:c r="AM5986" t="n">
        <x:f>CHOOSE('假设'!$B$3,AJ5986,AK5986,AL5986)</x:f>
        <x:v>0</x:v>
      </x:c>
      <x:c r="AN5986" t="n">
        <x:v>1</x:v>
      </x:c>
    </x:row>
    <x:row r="5987" ht="23" customHeight="1">
      <x:c r="A5987" s="11" t="str">
        <x:v>688062.SH</x:v>
      </x:c>
      <x:c r="B5987" s="11" t="str">
        <x:v>五年</x:v>
      </x:c>
      <x:c r="C5987" s="11" t="str">
        <x:v>biosim</x:v>
      </x:c>
      <x:c r="D5987" s="11" t="str">
        <x:v>2031-12-31</x:v>
      </x:c>
      <x:c r="E5987" s="11" t="str">
        <x:v>CNY</x:v>
      </x:c>
      <x:c r="F5987" s="11" t="n">
        <x:v>0.2272416153319644</x:v>
      </x:c>
      <x:c r="G5987" s="26" t="b">
        <x:v>1</x:v>
      </x:c>
      <x:c r="H5987" s="16" t="n">
        <x:v>0.7</x:v>
      </x:c>
      <x:c r="I5987" s="16" t="n">
        <x:v>1.5</x:v>
      </x:c>
      <x:c r="J5987" s="16" t="n">
        <x:v>2.001</x:v>
      </x:c>
      <x:c r="K5987" s="11" t="n">
        <x:f>CHOOSE('假设'!$B$3,H5987,I5987,J5987)</x:f>
        <x:v>1.5</x:v>
      </x:c>
      <x:c r="L5987" s="11" t="n">
        <x:f>K5987*'管线假设'!E1283*'管线假设'!F1283*'管线假设'!G1283*IF(E5987="USD",'管线假设'!I1283,1)-AM5987</x:f>
        <x:v>0.327612</x:v>
      </x:c>
      <x:c r="M5987" s="11" t="n">
        <x:f>'管线假设'!H1283</x:f>
        <x:v>0.14</x:v>
      </x:c>
      <x:c r="N5987" s="11" t="n">
        <x:f>IF(G5987,L5987*AN5987/(1+M5987)^F5987,0)</x:f>
        <x:v>0.31800112081241527</x:v>
      </x:c>
      <x:c r="AJ5987" t="n">
        <x:v>0</x:v>
      </x:c>
      <x:c r="AK5987" t="n">
        <x:v>0</x:v>
      </x:c>
      <x:c r="AL5987" t="n">
        <x:v>0</x:v>
      </x:c>
      <x:c r="AM5987" t="n">
        <x:f>CHOOSE('假设'!$B$3,AJ5987,AK5987,AL5987)</x:f>
        <x:v>0</x:v>
      </x:c>
      <x:c r="AN5987" t="n">
        <x:v>1</x:v>
      </x:c>
    </x:row>
    <x:row r="5988" ht="23" customHeight="1">
      <x:c r="A5988" s="11" t="str">
        <x:v>688062.SH</x:v>
      </x:c>
      <x:c r="B5988" s="11" t="str">
        <x:v>五年</x:v>
      </x:c>
      <x:c r="C5988" s="11" t="str">
        <x:v>biosim</x:v>
      </x:c>
      <x:c r="D5988" s="11" t="str">
        <x:v>2032-12-31</x:v>
      </x:c>
      <x:c r="E5988" s="11" t="str">
        <x:v>CNY</x:v>
      </x:c>
      <x:c r="F5988" s="11" t="n">
        <x:v>1.2292950034223136</x:v>
      </x:c>
      <x:c r="G5988" s="26" t="b">
        <x:v>1</x:v>
      </x:c>
      <x:c r="H5988" s="16" t="n">
        <x:v>0.609</x:v>
      </x:c>
      <x:c r="I5988" s="16" t="n">
        <x:v>1.305</x:v>
      </x:c>
      <x:c r="J5988" s="16" t="n">
        <x:v>1.702</x:v>
      </x:c>
      <x:c r="K5988" s="11" t="n">
        <x:f>CHOOSE('假设'!$B$3,H5988,I5988,J5988)</x:f>
        <x:v>1.305</x:v>
      </x:c>
      <x:c r="L5988" s="11" t="n">
        <x:f>K5988*'管线假设'!E1283*'管线假设'!F1283*'管线假设'!G1283*IF(E5988="USD",'管线假设'!I1283,1)-AM5988</x:f>
        <x:v>0.28502244</x:v>
      </x:c>
      <x:c r="M5988" s="11" t="n">
        <x:f>'管线假设'!H1283</x:f>
        <x:v>0.14</x:v>
      </x:c>
      <x:c r="N5988" s="11" t="n">
        <x:f>IF(G5988,L5988*AN5988/(1+M5988)^F5988,0)</x:f>
        <x:v>0.2426197797945728</x:v>
      </x:c>
      <x:c r="AJ5988" t="n">
        <x:v>0</x:v>
      </x:c>
      <x:c r="AK5988" t="n">
        <x:v>0</x:v>
      </x:c>
      <x:c r="AL5988" t="n">
        <x:v>0</x:v>
      </x:c>
      <x:c r="AM5988" t="n">
        <x:f>CHOOSE('假设'!$B$3,AJ5988,AK5988,AL5988)</x:f>
        <x:v>0</x:v>
      </x:c>
      <x:c r="AN5988" t="n">
        <x:v>1</x:v>
      </x:c>
    </x:row>
    <x:row r="5989" ht="23" customHeight="1">
      <x:c r="A5989" s="11" t="str">
        <x:v>688062.SH</x:v>
      </x:c>
      <x:c r="B5989" s="11" t="str">
        <x:v>五年</x:v>
      </x:c>
      <x:c r="C5989" s="11" t="str">
        <x:v>biosim</x:v>
      </x:c>
      <x:c r="D5989" s="11" t="str">
        <x:v>2033-12-31</x:v>
      </x:c>
      <x:c r="E5989" s="11" t="str">
        <x:v>CNY</x:v>
      </x:c>
      <x:c r="F5989" s="11" t="n">
        <x:v>2.2286105407255303</x:v>
      </x:c>
      <x:c r="G5989" s="26" t="b">
        <x:v>1</x:v>
      </x:c>
      <x:c r="H5989" s="16" t="n">
        <x:v>0.518</x:v>
      </x:c>
      <x:c r="I5989" s="16" t="n">
        <x:v>1.1099999999999999</x:v>
      </x:c>
      <x:c r="J5989" s="16" t="n">
        <x:v>1.4029999999999998</x:v>
      </x:c>
      <x:c r="K5989" s="11" t="n">
        <x:f>CHOOSE('假设'!$B$3,H5989,I5989,J5989)</x:f>
        <x:v>1.1099999999999999</x:v>
      </x:c>
      <x:c r="L5989" s="11" t="n">
        <x:f>K5989*'管线假设'!E1283*'管线假设'!F1283*'管线假设'!G1283*IF(E5989="USD",'管线假设'!I1283,1)-AM5989</x:f>
        <x:v>0.24243288</x:v>
      </x:c>
      <x:c r="M5989" s="11" t="n">
        <x:f>'管线假设'!H1283</x:f>
        <x:v>0.14</x:v>
      </x:c>
      <x:c r="N5989" s="11" t="n">
        <x:f>IF(G5989,L5989*AN5989/(1+M5989)^F5989,0)</x:f>
        <x:v>0.1810392614494808</x:v>
      </x:c>
      <x:c r="AJ5989" t="n">
        <x:v>0</x:v>
      </x:c>
      <x:c r="AK5989" t="n">
        <x:v>0</x:v>
      </x:c>
      <x:c r="AL5989" t="n">
        <x:v>0</x:v>
      </x:c>
      <x:c r="AM5989" t="n">
        <x:f>CHOOSE('假设'!$B$3,AJ5989,AK5989,AL5989)</x:f>
        <x:v>0</x:v>
      </x:c>
      <x:c r="AN5989" t="n">
        <x:v>1</x:v>
      </x:c>
    </x:row>
    <x:row r="5990" ht="23" customHeight="1">
      <x:c r="A5990" s="11" t="str">
        <x:v>688062.SH</x:v>
      </x:c>
      <x:c r="B5990" s="11" t="str">
        <x:v>五年</x:v>
      </x:c>
      <x:c r="C5990" s="11" t="str">
        <x:v>biosim</x:v>
      </x:c>
      <x:c r="D5990" s="11" t="str">
        <x:v>2034-12-31</x:v>
      </x:c>
      <x:c r="E5990" s="11" t="str">
        <x:v>CNY</x:v>
      </x:c>
      <x:c r="F5990" s="11" t="n">
        <x:v>3.2279260780287475</x:v>
      </x:c>
      <x:c r="G5990" s="26" t="b">
        <x:v>1</x:v>
      </x:c>
      <x:c r="H5990" s="16" t="n">
        <x:v>0.427</x:v>
      </x:c>
      <x:c r="I5990" s="16" t="n">
        <x:v>0.915</x:v>
      </x:c>
      <x:c r="J5990" s="16" t="n">
        <x:v>1.1039999999999999</x:v>
      </x:c>
      <x:c r="K5990" s="11" t="n">
        <x:f>CHOOSE('假设'!$B$3,H5990,I5990,J5990)</x:f>
        <x:v>0.915</x:v>
      </x:c>
      <x:c r="L5990" s="11" t="n">
        <x:f>K5990*'管线假设'!E1283*'管线假设'!F1283*'管线假设'!G1283*IF(E5990="USD",'管线假设'!I1283,1)-AM5990</x:f>
        <x:v>0.19984332000000002</x:v>
      </x:c>
      <x:c r="M5990" s="11" t="n">
        <x:f>'管线假设'!H1283</x:f>
        <x:v>0.14</x:v>
      </x:c>
      <x:c r="N5990" s="11" t="n">
        <x:f>IF(G5990,L5990*AN5990/(1+M5990)^F5990,0)</x:f>
        <x:v>0.13091969426504055</x:v>
      </x:c>
      <x:c r="AJ5990" t="n">
        <x:v>0</x:v>
      </x:c>
      <x:c r="AK5990" t="n">
        <x:v>0</x:v>
      </x:c>
      <x:c r="AL5990" t="n">
        <x:v>0</x:v>
      </x:c>
      <x:c r="AM5990" t="n">
        <x:f>CHOOSE('假设'!$B$3,AJ5990,AK5990,AL5990)</x:f>
        <x:v>0</x:v>
      </x:c>
      <x:c r="AN5990" t="n">
        <x:v>1</x:v>
      </x:c>
    </x:row>
    <x:row r="5991" ht="23" customHeight="1">
      <x:c r="A5991" s="11" t="str">
        <x:v>688062.SH</x:v>
      </x:c>
      <x:c r="B5991" s="11" t="str">
        <x:v>五年</x:v>
      </x:c>
      <x:c r="C5991" s="11" t="str">
        <x:v>biosim</x:v>
      </x:c>
      <x:c r="D5991" s="11" t="str">
        <x:v>2035-12-31</x:v>
      </x:c>
      <x:c r="E5991" s="11" t="str">
        <x:v>CNY</x:v>
      </x:c>
      <x:c r="F5991" s="11" t="n">
        <x:v>4.227241615331964</x:v>
      </x:c>
      <x:c r="G5991" s="26" t="b">
        <x:v>1</x:v>
      </x:c>
      <x:c r="H5991" s="16" t="n">
        <x:v>0.33599999999999997</x:v>
      </x:c>
      <x:c r="I5991" s="16" t="n">
        <x:v>0.72</x:v>
      </x:c>
      <x:c r="J5991" s="16" t="n">
        <x:v>0.8049999999999999</x:v>
      </x:c>
      <x:c r="K5991" s="11" t="n">
        <x:f>CHOOSE('假设'!$B$3,H5991,I5991,J5991)</x:f>
        <x:v>0.72</x:v>
      </x:c>
      <x:c r="L5991" s="11" t="n">
        <x:f>K5991*'管线假设'!E1283*'管线假设'!F1283*'管线假设'!G1283*IF(E5991="USD",'管线假设'!I1283,1)-AM5991</x:f>
        <x:v>0.15725376</x:v>
      </x:c>
      <x:c r="M5991" s="11" t="n">
        <x:f>'管线假设'!H1283</x:f>
        <x:v>0.14</x:v>
      </x:c>
      <x:c r="N5991" s="11" t="n">
        <x:f>IF(G5991,L5991*AN5991/(1+M5991)^F5991,0)</x:f>
        <x:v>0.09037545207103005</x:v>
      </x:c>
      <x:c r="AJ5991" t="n">
        <x:v>0</x:v>
      </x:c>
      <x:c r="AK5991" t="n">
        <x:v>0</x:v>
      </x:c>
      <x:c r="AL5991" t="n">
        <x:v>0</x:v>
      </x:c>
      <x:c r="AM5991" t="n">
        <x:f>CHOOSE('假设'!$B$3,AJ5991,AK5991,AL5991)</x:f>
        <x:v>0</x:v>
      </x:c>
      <x:c r="AN5991" t="n">
        <x:v>1</x:v>
      </x:c>
    </x:row>
    <x:row r="5992" ht="23" customHeight="1">
      <x:c r="A5992" s="11" t="str">
        <x:v>688062.SH</x:v>
      </x:c>
      <x:c r="B5992" s="11" t="str">
        <x:v>五年</x:v>
      </x:c>
      <x:c r="C5992" s="11" t="str">
        <x:v>biosim</x:v>
      </x:c>
      <x:c r="D5992" s="11" t="str">
        <x:v>2036-12-31</x:v>
      </x:c>
      <x:c r="E5992" s="11" t="str">
        <x:v>CNY</x:v>
      </x:c>
      <x:c r="F5992" s="11" t="n">
        <x:v>5.229295003422314</x:v>
      </x:c>
      <x:c r="G5992" s="26" t="b">
        <x:v>1</x:v>
      </x:c>
      <x:c r="H5992" s="16" t="n">
        <x:v>0.24499999999999997</x:v>
      </x:c>
      <x:c r="I5992" s="16" t="n">
        <x:v>0.5249999999999999</x:v>
      </x:c>
      <x:c r="J5992" s="16" t="n">
        <x:v>0.5059999999999999</x:v>
      </x:c>
      <x:c r="K5992" s="11" t="n">
        <x:f>CHOOSE('假设'!$B$3,H5992,I5992,J5992)</x:f>
        <x:v>0.5249999999999999</x:v>
      </x:c>
      <x:c r="L5992" s="11" t="n">
        <x:f>K5992*'管线假设'!E1283*'管线假设'!F1283*'管线假设'!G1283*IF(E5992="USD",'管线假设'!I1283,1)-AM5992</x:f>
        <x:v>0.1146642</x:v>
      </x:c>
      <x:c r="M5992" s="11" t="n">
        <x:f>'管线假设'!H1283</x:f>
        <x:v>0.14</x:v>
      </x:c>
      <x:c r="N5992" s="11" t="n">
        <x:f>IF(G5992,L5992*AN5992/(1+M5992)^F5992,0)</x:f>
        <x:v>0.05779038538010658</x:v>
      </x:c>
      <x:c r="AJ5992" t="n">
        <x:v>0</x:v>
      </x:c>
      <x:c r="AK5992" t="n">
        <x:v>0</x:v>
      </x:c>
      <x:c r="AL5992" t="n">
        <x:v>0</x:v>
      </x:c>
      <x:c r="AM5992" t="n">
        <x:f>CHOOSE('假设'!$B$3,AJ5992,AK5992,AL5992)</x:f>
        <x:v>0</x:v>
      </x:c>
      <x:c r="AN5992" t="n">
        <x:v>1</x:v>
      </x:c>
    </x:row>
    <x:row r="5993" ht="23" customHeight="1">
      <x:c r="A5993" s="11" t="str">
        <x:v>688062.SH</x:v>
      </x:c>
      <x:c r="B5993" s="11" t="str">
        <x:v>五年</x:v>
      </x:c>
      <x:c r="C5993" s="11" t="str">
        <x:v>biosim</x:v>
      </x:c>
      <x:c r="D5993" s="11" t="str">
        <x:v>2037-12-31</x:v>
      </x:c>
      <x:c r="E5993" s="11" t="str">
        <x:v>CNY</x:v>
      </x:c>
      <x:c r="F5993" s="11" t="n">
        <x:v>6.228610540725531</x:v>
      </x:c>
      <x:c r="G5993" s="26" t="b">
        <x:v>1</x:v>
      </x:c>
      <x:c r="H5993" s="16" t="n">
        <x:v>0.15399999999999997</x:v>
      </x:c>
      <x:c r="I5993" s="16" t="n">
        <x:v>0.32999999999999996</x:v>
      </x:c>
      <x:c r="J5993" s="16" t="n">
        <x:v>0.2069999999999999</x:v>
      </x:c>
      <x:c r="K5993" s="11" t="n">
        <x:f>CHOOSE('假设'!$B$3,H5993,I5993,J5993)</x:f>
        <x:v>0.32999999999999996</x:v>
      </x:c>
      <x:c r="L5993" s="11" t="n">
        <x:f>K5993*'管线假设'!E1283*'管线假设'!F1283*'管线假设'!G1283*IF(E5993="USD",'管线假设'!I1283,1)-AM5993</x:f>
        <x:v>0.07207464</x:v>
      </x:c>
      <x:c r="M5993" s="11" t="n">
        <x:f>'管线假设'!H1283</x:f>
        <x:v>0.14</x:v>
      </x:c>
      <x:c r="N5993" s="11" t="n">
        <x:f>IF(G5993,L5993*AN5993/(1+M5993)^F5993,0)</x:f>
        <x:v>0.03186723074251165</x:v>
      </x:c>
      <x:c r="AJ5993" t="n">
        <x:v>0</x:v>
      </x:c>
      <x:c r="AK5993" t="n">
        <x:v>0</x:v>
      </x:c>
      <x:c r="AL5993" t="n">
        <x:v>0</x:v>
      </x:c>
      <x:c r="AM5993" t="n">
        <x:f>CHOOSE('假设'!$B$3,AJ5993,AK5993,AL5993)</x:f>
        <x:v>0</x:v>
      </x:c>
      <x:c r="AN5993" t="n">
        <x:v>1</x:v>
      </x:c>
    </x:row>
    <x:row r="5994" ht="23" customHeight="1">
      <x:c r="A5994" s="11" t="str">
        <x:v>688062.SH</x:v>
      </x:c>
      <x:c r="B5994" s="11" t="str">
        <x:v>五年</x:v>
      </x:c>
      <x:c r="C5994" s="11" t="str">
        <x:v>biosim</x:v>
      </x:c>
      <x:c r="D5994" s="11" t="str">
        <x:v>2038-12-31</x:v>
      </x:c>
      <x:c r="E5994" s="11" t="str">
        <x:v>CNY</x:v>
      </x:c>
      <x:c r="F5994" s="11" t="n">
        <x:v>7.227926078028747</x:v>
      </x:c>
      <x:c r="G5994" s="26" t="b">
        <x:v>1</x:v>
      </x:c>
      <x:c r="H5994" s="16" t="n">
        <x:v>0.06299999999999997</x:v>
      </x:c>
      <x:c r="I5994" s="16" t="n">
        <x:v>0.13499999999999995</x:v>
      </x:c>
      <x:c r="J5994" s="16" t="n">
        <x:v>0</x:v>
      </x:c>
      <x:c r="K5994" s="11" t="n">
        <x:f>CHOOSE('假设'!$B$3,H5994,I5994,J5994)</x:f>
        <x:v>0.13499999999999995</x:v>
      </x:c>
      <x:c r="L5994" s="11" t="n">
        <x:f>K5994*'管线假设'!E1283*'管线假设'!F1283*'管线假设'!G1283*IF(E5994="USD",'管线假设'!I1283,1)-AM5994</x:f>
        <x:v>0.02948507999999999</x:v>
      </x:c>
      <x:c r="M5994" s="11" t="n">
        <x:f>'管线假设'!H1283</x:f>
        <x:v>0.14</x:v>
      </x:c>
      <x:c r="N5994" s="11" t="n">
        <x:f>IF(G5994,L5994*AN5994/(1+M5994)^F5994,0)</x:f>
        <x:v>0.011436634754803119</x:v>
      </x:c>
      <x:c r="AJ5994" t="n">
        <x:v>0</x:v>
      </x:c>
      <x:c r="AK5994" t="n">
        <x:v>0</x:v>
      </x:c>
      <x:c r="AL5994" t="n">
        <x:v>0</x:v>
      </x:c>
      <x:c r="AM5994" t="n">
        <x:f>CHOOSE('假设'!$B$3,AJ5994,AK5994,AL5994)</x:f>
        <x:v>0</x:v>
      </x:c>
      <x:c r="AN5994" t="n">
        <x:v>1</x:v>
      </x:c>
    </x:row>
    <x:row r="5995" ht="23" customHeight="1">
      <x:c r="A5995" s="11" t="str">
        <x:v>688062.SH</x:v>
      </x:c>
      <x:c r="B5995" s="11" t="str">
        <x:v>五年</x:v>
      </x:c>
      <x:c r="C5995" s="11" t="str">
        <x:v>biosim</x:v>
      </x:c>
      <x:c r="D5995" s="11" t="str">
        <x:v>2039-12-31</x:v>
      </x:c>
      <x:c r="E5995" s="11" t="str">
        <x:v>CNY</x:v>
      </x:c>
      <x:c r="F5995" s="11" t="n">
        <x:v>8.227241615331964</x:v>
      </x:c>
      <x:c r="G5995" s="26" t="b">
        <x:v>1</x:v>
      </x:c>
      <x:c r="H5995" s="16" t="n">
        <x:v>0</x:v>
      </x:c>
      <x:c r="I5995" s="16" t="n">
        <x:v>0</x:v>
      </x:c>
      <x:c r="J5995" s="16" t="n">
        <x:v>0</x:v>
      </x:c>
      <x:c r="K5995" s="11" t="n">
        <x:f>CHOOSE('假设'!$B$3,H5995,I5995,J5995)</x:f>
        <x:v>0</x:v>
      </x:c>
      <x:c r="L5995" s="11" t="n">
        <x:f>K5995*'管线假设'!E1283*'管线假设'!F1283*'管线假设'!G1283*IF(E5995="USD",'管线假设'!I1283,1)-AM5995</x:f>
        <x:v>0</x:v>
      </x:c>
      <x:c r="M5995" s="11" t="n">
        <x:f>'管线假设'!H1283</x:f>
        <x:v>0.14</x:v>
      </x:c>
      <x:c r="N5995" s="11" t="n">
        <x:f>IF(G5995,L5995*AN5995/(1+M5995)^F5995,0)</x:f>
        <x:v>0</x:v>
      </x:c>
      <x:c r="AJ5995" t="n">
        <x:v>0</x:v>
      </x:c>
      <x:c r="AK5995" t="n">
        <x:v>0</x:v>
      </x:c>
      <x:c r="AL5995" t="n">
        <x:v>0</x:v>
      </x:c>
      <x:c r="AM5995" t="n">
        <x:f>CHOOSE('假设'!$B$3,AJ5995,AK5995,AL5995)</x:f>
        <x:v>0</x:v>
      </x:c>
      <x:c r="AN5995" t="n">
        <x:v>1</x:v>
      </x:c>
    </x:row>
    <x:row r="5996" ht="23" customHeight="1">
      <x:c r="A5996" s="11" t="str">
        <x:v>688062.SH</x:v>
      </x:c>
      <x:c r="B5996" s="11" t="str">
        <x:v>五年</x:v>
      </x:c>
      <x:c r="C5996" s="11" t="str">
        <x:v>biosim</x:v>
      </x:c>
      <x:c r="D5996" s="11" t="str">
        <x:v>2040-12-31</x:v>
      </x:c>
      <x:c r="E5996" s="11" t="str">
        <x:v>CNY</x:v>
      </x:c>
      <x:c r="F5996" s="11" t="n">
        <x:v>9.229295003422314</x:v>
      </x:c>
      <x:c r="G5996" s="26" t="b">
        <x:v>1</x:v>
      </x:c>
      <x:c r="H5996" s="16" t="n">
        <x:v>0</x:v>
      </x:c>
      <x:c r="I5996" s="16" t="n">
        <x:v>0</x:v>
      </x:c>
      <x:c r="J5996" s="16" t="n">
        <x:v>0</x:v>
      </x:c>
      <x:c r="K5996" s="11" t="n">
        <x:f>CHOOSE('假设'!$B$3,H5996,I5996,J5996)</x:f>
        <x:v>0</x:v>
      </x:c>
      <x:c r="L5996" s="11" t="n">
        <x:f>K5996*'管线假设'!E1283*'管线假设'!F1283*'管线假设'!G1283*IF(E5996="USD",'管线假设'!I1283,1)-AM5996</x:f>
        <x:v>0</x:v>
      </x:c>
      <x:c r="M5996" s="11" t="n">
        <x:f>'管线假设'!H1283</x:f>
        <x:v>0.14</x:v>
      </x:c>
      <x:c r="N5996" s="11" t="n">
        <x:f>IF(G5996,L5996*AN5996/(1+M5996)^F5996,0)</x:f>
        <x:v>0</x:v>
      </x:c>
      <x:c r="AJ5996" t="n">
        <x:v>0</x:v>
      </x:c>
      <x:c r="AK5996" t="n">
        <x:v>0</x:v>
      </x:c>
      <x:c r="AL5996" t="n">
        <x:v>0</x:v>
      </x:c>
      <x:c r="AM5996" t="n">
        <x:f>CHOOSE('假设'!$B$3,AJ5996,AK5996,AL5996)</x:f>
        <x:v>0</x:v>
      </x:c>
      <x:c r="AN5996" t="n">
        <x:v>1</x:v>
      </x:c>
    </x:row>
    <x:row r="5997" ht="23" customHeight="1">
      <x:c r="A5997" s="11" t="str">
        <x:v>688062.SH</x:v>
      </x:c>
      <x:c r="B5997" s="11" t="str">
        <x:v>五年</x:v>
      </x:c>
      <x:c r="C5997" s="11" t="str">
        <x:v>biosim</x:v>
      </x:c>
      <x:c r="D5997" s="11" t="str">
        <x:v>2041-12-31</x:v>
      </x:c>
      <x:c r="E5997" s="11" t="str">
        <x:v>CNY</x:v>
      </x:c>
      <x:c r="F5997" s="11" t="n">
        <x:v>10.22861054072553</x:v>
      </x:c>
      <x:c r="G5997" s="26" t="b">
        <x:v>1</x:v>
      </x:c>
      <x:c r="H5997" s="16" t="n">
        <x:v>0</x:v>
      </x:c>
      <x:c r="I5997" s="16" t="n">
        <x:v>0</x:v>
      </x:c>
      <x:c r="J5997" s="16" t="n">
        <x:v>0</x:v>
      </x:c>
      <x:c r="K5997" s="11" t="n">
        <x:f>CHOOSE('假设'!$B$3,H5997,I5997,J5997)</x:f>
        <x:v>0</x:v>
      </x:c>
      <x:c r="L5997" s="11" t="n">
        <x:f>K5997*'管线假设'!E1283*'管线假设'!F1283*'管线假设'!G1283*IF(E5997="USD",'管线假设'!I1283,1)-AM5997</x:f>
        <x:v>0</x:v>
      </x:c>
      <x:c r="M5997" s="11" t="n">
        <x:f>'管线假设'!H1283</x:f>
        <x:v>0.14</x:v>
      </x:c>
      <x:c r="N5997" s="11" t="n">
        <x:f>IF(G5997,L5997*AN5997/(1+M5997)^F5997,0)</x:f>
        <x:v>0</x:v>
      </x:c>
      <x:c r="AJ5997" t="n">
        <x:v>0</x:v>
      </x:c>
      <x:c r="AK5997" t="n">
        <x:v>0</x:v>
      </x:c>
      <x:c r="AL5997" t="n">
        <x:v>0</x:v>
      </x:c>
      <x:c r="AM5997" t="n">
        <x:f>CHOOSE('假设'!$B$3,AJ5997,AK5997,AL5997)</x:f>
        <x:v>0</x:v>
      </x:c>
      <x:c r="AN5997" t="n">
        <x:v>1</x:v>
      </x:c>
    </x:row>
    <x:row r="5998" ht="23" customHeight="1">
      <x:c r="A5998" s="11" t="str">
        <x:v>688062.SH</x:v>
      </x:c>
      <x:c r="B5998" s="11" t="str">
        <x:v>五年</x:v>
      </x:c>
      <x:c r="C5998" s="11" t="str">
        <x:v>biosim</x:v>
      </x:c>
      <x:c r="D5998" s="11" t="str">
        <x:v>2042-12-31</x:v>
      </x:c>
      <x:c r="E5998" s="11" t="str">
        <x:v>CNY</x:v>
      </x:c>
      <x:c r="F5998" s="11" t="n">
        <x:v>11.227926078028748</x:v>
      </x:c>
      <x:c r="G5998" s="26" t="b">
        <x:v>1</x:v>
      </x:c>
      <x:c r="H5998" s="16" t="n">
        <x:v>0</x:v>
      </x:c>
      <x:c r="I5998" s="16" t="n">
        <x:v>0</x:v>
      </x:c>
      <x:c r="J5998" s="16" t="n">
        <x:v>0</x:v>
      </x:c>
      <x:c r="K5998" s="11" t="n">
        <x:f>CHOOSE('假设'!$B$3,H5998,I5998,J5998)</x:f>
        <x:v>0</x:v>
      </x:c>
      <x:c r="L5998" s="11" t="n">
        <x:f>K5998*'管线假设'!E1283*'管线假设'!F1283*'管线假设'!G1283*IF(E5998="USD",'管线假设'!I1283,1)-AM5998</x:f>
        <x:v>0</x:v>
      </x:c>
      <x:c r="M5998" s="11" t="n">
        <x:f>'管线假设'!H1283</x:f>
        <x:v>0.14</x:v>
      </x:c>
      <x:c r="N5998" s="11" t="n">
        <x:f>IF(G5998,L5998*AN5998/(1+M5998)^F5998,0)</x:f>
        <x:v>0</x:v>
      </x:c>
      <x:c r="AJ5998" t="n">
        <x:v>0</x:v>
      </x:c>
      <x:c r="AK5998" t="n">
        <x:v>0</x:v>
      </x:c>
      <x:c r="AL5998" t="n">
        <x:v>0</x:v>
      </x:c>
      <x:c r="AM5998" t="n">
        <x:f>CHOOSE('假设'!$B$3,AJ5998,AK5998,AL5998)</x:f>
        <x:v>0</x:v>
      </x:c>
      <x:c r="AN5998" t="n">
        <x:v>1</x:v>
      </x:c>
    </x:row>
    <x:row r="5999" ht="23" customHeight="1">
      <x:c r="A5999" s="11" t="str">
        <x:v>688062.SH</x:v>
      </x:c>
      <x:c r="B5999" s="11" t="str">
        <x:v>五年</x:v>
      </x:c>
      <x:c r="C5999" s="11" t="str">
        <x:v>biosim</x:v>
      </x:c>
      <x:c r="D5999" s="11" t="str">
        <x:v>2043-12-31</x:v>
      </x:c>
      <x:c r="E5999" s="11" t="str">
        <x:v>CNY</x:v>
      </x:c>
      <x:c r="F5999" s="11" t="n">
        <x:v>12.227241615331964</x:v>
      </x:c>
      <x:c r="G5999" s="26" t="b">
        <x:v>1</x:v>
      </x:c>
      <x:c r="H5999" s="16" t="n">
        <x:v>0</x:v>
      </x:c>
      <x:c r="I5999" s="16" t="n">
        <x:v>0</x:v>
      </x:c>
      <x:c r="J5999" s="16" t="n">
        <x:v>0</x:v>
      </x:c>
      <x:c r="K5999" s="11" t="n">
        <x:f>CHOOSE('假设'!$B$3,H5999,I5999,J5999)</x:f>
        <x:v>0</x:v>
      </x:c>
      <x:c r="L5999" s="11" t="n">
        <x:f>K5999*'管线假设'!E1283*'管线假设'!F1283*'管线假设'!G1283*IF(E5999="USD",'管线假设'!I1283,1)-AM5999</x:f>
        <x:v>0</x:v>
      </x:c>
      <x:c r="M5999" s="11" t="n">
        <x:f>'管线假设'!H1283</x:f>
        <x:v>0.14</x:v>
      </x:c>
      <x:c r="N5999" s="11" t="n">
        <x:f>IF(G5999,L5999*AN5999/(1+M5999)^F5999,0)</x:f>
        <x:v>0</x:v>
      </x:c>
      <x:c r="AJ5999" t="n">
        <x:v>0</x:v>
      </x:c>
      <x:c r="AK5999" t="n">
        <x:v>0</x:v>
      </x:c>
      <x:c r="AL5999" t="n">
        <x:v>0</x:v>
      </x:c>
      <x:c r="AM5999" t="n">
        <x:f>CHOOSE('假设'!$B$3,AJ5999,AK5999,AL5999)</x:f>
        <x:v>0</x:v>
      </x:c>
      <x:c r="AN5999" t="n">
        <x:v>1</x:v>
      </x:c>
    </x:row>
    <x:row r="6000" ht="23" customHeight="1">
      <x:c r="A6000" s="11" t="str">
        <x:v>688062.SH</x:v>
      </x:c>
      <x:c r="B6000" s="11" t="str">
        <x:v>五年</x:v>
      </x:c>
      <x:c r="C6000" s="11" t="str">
        <x:v>biosim</x:v>
      </x:c>
      <x:c r="D6000" s="11" t="str">
        <x:v>2044-12-31</x:v>
      </x:c>
      <x:c r="E6000" s="11" t="str">
        <x:v>CNY</x:v>
      </x:c>
      <x:c r="F6000" s="11" t="n">
        <x:v>13.229295003422314</x:v>
      </x:c>
      <x:c r="G6000" s="26" t="b">
        <x:v>1</x:v>
      </x:c>
      <x:c r="H6000" s="16" t="n">
        <x:v>0</x:v>
      </x:c>
      <x:c r="I6000" s="16" t="n">
        <x:v>0</x:v>
      </x:c>
      <x:c r="J6000" s="16" t="n">
        <x:v>0</x:v>
      </x:c>
      <x:c r="K6000" s="11" t="n">
        <x:f>CHOOSE('假设'!$B$3,H6000,I6000,J6000)</x:f>
        <x:v>0</x:v>
      </x:c>
      <x:c r="L6000" s="11" t="n">
        <x:f>K6000*'管线假设'!E1283*'管线假设'!F1283*'管线假设'!G1283*IF(E6000="USD",'管线假设'!I1283,1)-AM6000</x:f>
        <x:v>0</x:v>
      </x:c>
      <x:c r="M6000" s="11" t="n">
        <x:f>'管线假设'!H1283</x:f>
        <x:v>0.14</x:v>
      </x:c>
      <x:c r="N6000" s="11" t="n">
        <x:f>IF(G6000,L6000*AN6000/(1+M6000)^F6000,0)</x:f>
        <x:v>0</x:v>
      </x:c>
      <x:c r="AJ6000" t="n">
        <x:v>0</x:v>
      </x:c>
      <x:c r="AK6000" t="n">
        <x:v>0</x:v>
      </x:c>
      <x:c r="AL6000" t="n">
        <x:v>0</x:v>
      </x:c>
      <x:c r="AM6000" t="n">
        <x:f>CHOOSE('假设'!$B$3,AJ6000,AK6000,AL6000)</x:f>
        <x:v>0</x:v>
      </x:c>
      <x:c r="AN6000" t="n">
        <x:v>1</x:v>
      </x:c>
    </x:row>
    <x:row r="6001" ht="23" customHeight="1">
      <x:c r="A6001" s="11" t="str">
        <x:v>688062.SH</x:v>
      </x:c>
      <x:c r="B6001" s="11" t="str">
        <x:v>五年</x:v>
      </x:c>
      <x:c r="C6001" s="11" t="str">
        <x:v>biosim</x:v>
      </x:c>
      <x:c r="D6001" s="11" t="str">
        <x:v>2045-12-31</x:v>
      </x:c>
      <x:c r="E6001" s="11" t="str">
        <x:v>CNY</x:v>
      </x:c>
      <x:c r="F6001" s="11" t="n">
        <x:v>14.22861054072553</x:v>
      </x:c>
      <x:c r="G6001" s="26" t="b">
        <x:v>1</x:v>
      </x:c>
      <x:c r="H6001" s="16" t="n">
        <x:v>0</x:v>
      </x:c>
      <x:c r="I6001" s="16" t="n">
        <x:v>0</x:v>
      </x:c>
      <x:c r="J6001" s="16" t="n">
        <x:v>0</x:v>
      </x:c>
      <x:c r="K6001" s="11" t="n">
        <x:f>CHOOSE('假设'!$B$3,H6001,I6001,J6001)</x:f>
        <x:v>0</x:v>
      </x:c>
      <x:c r="L6001" s="11" t="n">
        <x:f>K6001*'管线假设'!E1283*'管线假设'!F1283*'管线假设'!G1283*IF(E6001="USD",'管线假设'!I1283,1)-AM6001</x:f>
        <x:v>0</x:v>
      </x:c>
      <x:c r="M6001" s="11" t="n">
        <x:f>'管线假设'!H1283</x:f>
        <x:v>0.14</x:v>
      </x:c>
      <x:c r="N6001" s="11" t="n">
        <x:f>IF(G6001,L6001*AN6001/(1+M6001)^F6001,0)</x:f>
        <x:v>0</x:v>
      </x:c>
      <x:c r="AJ6001" t="n">
        <x:v>0</x:v>
      </x:c>
      <x:c r="AK6001" t="n">
        <x:v>0</x:v>
      </x:c>
      <x:c r="AL6001" t="n">
        <x:v>0</x:v>
      </x:c>
      <x:c r="AM6001" t="n">
        <x:f>CHOOSE('假设'!$B$3,AJ6001,AK6001,AL6001)</x:f>
        <x:v>0</x:v>
      </x:c>
      <x:c r="AN6001" t="n">
        <x:v>1</x:v>
      </x:c>
    </x:row>
    <x:row r="6002" ht="23" customHeight="1">
      <x:c r="A6002" s="11" t="str">
        <x:v>688062.SH</x:v>
      </x:c>
      <x:c r="B6002" s="11" t="str">
        <x:v>五年</x:v>
      </x:c>
      <x:c r="C6002" s="11" t="str">
        <x:v>gcsf</x:v>
      </x:c>
      <x:c r="D6002" s="11" t="str">
        <x:v>2027-12-31</x:v>
      </x:c>
      <x:c r="E6002" s="11" t="str">
        <x:v>CNY</x:v>
      </x:c>
      <x:c r="F6002" s="11" t="n">
        <x:v>-3.7727583846680357</x:v>
      </x:c>
      <x:c r="G6002" s="26" t="b">
        <x:v>0</x:v>
      </x:c>
      <x:c r="H6002" s="16" t="n">
        <x:v>0.12</x:v>
      </x:c>
      <x:c r="I6002" s="16" t="n">
        <x:v>0.24</x:v>
      </x:c>
      <x:c r="J6002" s="16" t="n">
        <x:v>0.5</x:v>
      </x:c>
      <x:c r="K6002" s="11" t="n">
        <x:f>CHOOSE('假设'!$B$3,H6002,I6002,J6002)</x:f>
        <x:v>0.24</x:v>
      </x:c>
      <x:c r="L6002" s="11" t="n">
        <x:f>K6002*'管线假设'!E1287*'管线假设'!F1287*'管线假设'!G1287*IF(E6002="USD",'管线假设'!I1287,1)-AM6002</x:f>
        <x:v>0.019200000000000002</x:v>
      </x:c>
      <x:c r="M6002" s="11" t="n">
        <x:f>'管线假设'!H1287</x:f>
        <x:v>0.14</x:v>
      </x:c>
      <x:c r="N6002" s="11" t="n">
        <x:f>IF(G6002,L6002*AN6002/(1+M6002)^F6002,0)</x:f>
        <x:v>0</x:v>
      </x:c>
      <x:c r="AJ6002" t="n">
        <x:v>0</x:v>
      </x:c>
      <x:c r="AK6002" t="n">
        <x:v>0</x:v>
      </x:c>
      <x:c r="AL6002" t="n">
        <x:v>0</x:v>
      </x:c>
      <x:c r="AM6002" t="n">
        <x:f>CHOOSE('假设'!$B$3,AJ6002,AK6002,AL6002)</x:f>
        <x:v>0</x:v>
      </x:c>
      <x:c r="AN6002" t="n">
        <x:v>1</x:v>
      </x:c>
    </x:row>
    <x:row r="6003" ht="23" customHeight="1">
      <x:c r="A6003" s="11" t="str">
        <x:v>688062.SH</x:v>
      </x:c>
      <x:c r="B6003" s="11" t="str">
        <x:v>五年</x:v>
      </x:c>
      <x:c r="C6003" s="11" t="str">
        <x:v>gcsf</x:v>
      </x:c>
      <x:c r="D6003" s="11" t="str">
        <x:v>2028-12-31</x:v>
      </x:c>
      <x:c r="E6003" s="11" t="str">
        <x:v>CNY</x:v>
      </x:c>
      <x:c r="F6003" s="11" t="n">
        <x:v>-2.7707049965776864</x:v>
      </x:c>
      <x:c r="G6003" s="26" t="b">
        <x:v>0</x:v>
      </x:c>
      <x:c r="H6003" s="16" t="n">
        <x:v>0.24</x:v>
      </x:c>
      <x:c r="I6003" s="16" t="n">
        <x:v>0.48</x:v>
      </x:c>
      <x:c r="J6003" s="16" t="n">
        <x:v>1</x:v>
      </x:c>
      <x:c r="K6003" s="11" t="n">
        <x:f>CHOOSE('假设'!$B$3,H6003,I6003,J6003)</x:f>
        <x:v>0.48</x:v>
      </x:c>
      <x:c r="L6003" s="11" t="n">
        <x:f>K6003*'管线假设'!E1287*'管线假设'!F1287*'管线假设'!G1287*IF(E6003="USD",'管线假设'!I1287,1)-AM6003</x:f>
        <x:v>0.038400000000000004</x:v>
      </x:c>
      <x:c r="M6003" s="11" t="n">
        <x:f>'管线假设'!H1287</x:f>
        <x:v>0.14</x:v>
      </x:c>
      <x:c r="N6003" s="11" t="n">
        <x:f>IF(G6003,L6003*AN6003/(1+M6003)^F6003,0)</x:f>
        <x:v>0</x:v>
      </x:c>
      <x:c r="AJ6003" t="n">
        <x:v>0</x:v>
      </x:c>
      <x:c r="AK6003" t="n">
        <x:v>0</x:v>
      </x:c>
      <x:c r="AL6003" t="n">
        <x:v>0</x:v>
      </x:c>
      <x:c r="AM6003" t="n">
        <x:f>CHOOSE('假设'!$B$3,AJ6003,AK6003,AL6003)</x:f>
        <x:v>0</x:v>
      </x:c>
      <x:c r="AN6003" t="n">
        <x:v>1</x:v>
      </x:c>
    </x:row>
    <x:row r="6004" ht="23" customHeight="1">
      <x:c r="A6004" s="11" t="str">
        <x:v>688062.SH</x:v>
      </x:c>
      <x:c r="B6004" s="11" t="str">
        <x:v>五年</x:v>
      </x:c>
      <x:c r="C6004" s="11" t="str">
        <x:v>gcsf</x:v>
      </x:c>
      <x:c r="D6004" s="11" t="str">
        <x:v>2029-12-31</x:v>
      </x:c>
      <x:c r="E6004" s="11" t="str">
        <x:v>CNY</x:v>
      </x:c>
      <x:c r="F6004" s="11" t="n">
        <x:v>-1.7713894592744694</x:v>
      </x:c>
      <x:c r="G6004" s="26" t="b">
        <x:v>0</x:v>
      </x:c>
      <x:c r="H6004" s="16" t="n">
        <x:v>0.36</x:v>
      </x:c>
      <x:c r="I6004" s="16" t="n">
        <x:v>0.72</x:v>
      </x:c>
      <x:c r="J6004" s="16" t="n">
        <x:v>1.5</x:v>
      </x:c>
      <x:c r="K6004" s="11" t="n">
        <x:f>CHOOSE('假设'!$B$3,H6004,I6004,J6004)</x:f>
        <x:v>0.72</x:v>
      </x:c>
      <x:c r="L6004" s="11" t="n">
        <x:f>K6004*'管线假设'!E1287*'管线假设'!F1287*'管线假设'!G1287*IF(E6004="USD",'管线假设'!I1287,1)-AM6004</x:f>
        <x:v>0.05760000000000001</x:v>
      </x:c>
      <x:c r="M6004" s="11" t="n">
        <x:f>'管线假设'!H1287</x:f>
        <x:v>0.14</x:v>
      </x:c>
      <x:c r="N6004" s="11" t="n">
        <x:f>IF(G6004,L6004*AN6004/(1+M6004)^F6004,0)</x:f>
        <x:v>0</x:v>
      </x:c>
      <x:c r="AJ6004" t="n">
        <x:v>0</x:v>
      </x:c>
      <x:c r="AK6004" t="n">
        <x:v>0</x:v>
      </x:c>
      <x:c r="AL6004" t="n">
        <x:v>0</x:v>
      </x:c>
      <x:c r="AM6004" t="n">
        <x:f>CHOOSE('假设'!$B$3,AJ6004,AK6004,AL6004)</x:f>
        <x:v>0</x:v>
      </x:c>
      <x:c r="AN6004" t="n">
        <x:v>1</x:v>
      </x:c>
    </x:row>
    <x:row r="6005" ht="23" customHeight="1">
      <x:c r="A6005" s="11" t="str">
        <x:v>688062.SH</x:v>
      </x:c>
      <x:c r="B6005" s="11" t="str">
        <x:v>五年</x:v>
      </x:c>
      <x:c r="C6005" s="11" t="str">
        <x:v>gcsf</x:v>
      </x:c>
      <x:c r="D6005" s="11" t="str">
        <x:v>2030-12-31</x:v>
      </x:c>
      <x:c r="E6005" s="11" t="str">
        <x:v>CNY</x:v>
      </x:c>
      <x:c r="F6005" s="11" t="n">
        <x:v>-0.7720739219712526</x:v>
      </x:c>
      <x:c r="G6005" s="26" t="b">
        <x:v>0</x:v>
      </x:c>
      <x:c r="H6005" s="16" t="n">
        <x:v>0.48</x:v>
      </x:c>
      <x:c r="I6005" s="16" t="n">
        <x:v>0.96</x:v>
      </x:c>
      <x:c r="J6005" s="16" t="n">
        <x:v>2</x:v>
      </x:c>
      <x:c r="K6005" s="11" t="n">
        <x:f>CHOOSE('假设'!$B$3,H6005,I6005,J6005)</x:f>
        <x:v>0.96</x:v>
      </x:c>
      <x:c r="L6005" s="11" t="n">
        <x:f>K6005*'管线假设'!E1287*'管线假设'!F1287*'管线假设'!G1287*IF(E6005="USD",'管线假设'!I1287,1)-AM6005</x:f>
        <x:v>0.07680000000000001</x:v>
      </x:c>
      <x:c r="M6005" s="11" t="n">
        <x:f>'管线假设'!H1287</x:f>
        <x:v>0.14</x:v>
      </x:c>
      <x:c r="N6005" s="11" t="n">
        <x:f>IF(G6005,L6005*AN6005/(1+M6005)^F6005,0)</x:f>
        <x:v>0</x:v>
      </x:c>
      <x:c r="AJ6005" t="n">
        <x:v>0</x:v>
      </x:c>
      <x:c r="AK6005" t="n">
        <x:v>0</x:v>
      </x:c>
      <x:c r="AL6005" t="n">
        <x:v>0</x:v>
      </x:c>
      <x:c r="AM6005" t="n">
        <x:f>CHOOSE('假设'!$B$3,AJ6005,AK6005,AL6005)</x:f>
        <x:v>0</x:v>
      </x:c>
      <x:c r="AN6005" t="n">
        <x:v>1</x:v>
      </x:c>
    </x:row>
    <x:row r="6006" ht="23" customHeight="1">
      <x:c r="A6006" s="11" t="str">
        <x:v>688062.SH</x:v>
      </x:c>
      <x:c r="B6006" s="11" t="str">
        <x:v>五年</x:v>
      </x:c>
      <x:c r="C6006" s="11" t="str">
        <x:v>gcsf</x:v>
      </x:c>
      <x:c r="D6006" s="11" t="str">
        <x:v>2031-12-31</x:v>
      </x:c>
      <x:c r="E6006" s="11" t="str">
        <x:v>CNY</x:v>
      </x:c>
      <x:c r="F6006" s="11" t="n">
        <x:v>0.2272416153319644</x:v>
      </x:c>
      <x:c r="G6006" s="26" t="b">
        <x:v>1</x:v>
      </x:c>
      <x:c r="H6006" s="16" t="n">
        <x:v>0.6</x:v>
      </x:c>
      <x:c r="I6006" s="16" t="n">
        <x:v>1.2</x:v>
      </x:c>
      <x:c r="J6006" s="16" t="n">
        <x:v>1.74</x:v>
      </x:c>
      <x:c r="K6006" s="11" t="n">
        <x:f>CHOOSE('假设'!$B$3,H6006,I6006,J6006)</x:f>
        <x:v>1.2</x:v>
      </x:c>
      <x:c r="L6006" s="11" t="n">
        <x:f>K6006*'管线假设'!E1287*'管线假设'!F1287*'管线假设'!G1287*IF(E6006="USD",'管线假设'!I1287,1)-AM6006</x:f>
        <x:v>0.09600000000000002</x:v>
      </x:c>
      <x:c r="M6006" s="11" t="n">
        <x:f>'管线假设'!H1287</x:f>
        <x:v>0.14</x:v>
      </x:c>
      <x:c r="N6006" s="11" t="n">
        <x:f>IF(G6006,L6006*AN6006/(1+M6006)^F6006,0)</x:f>
        <x:v>0.09318372830663063</x:v>
      </x:c>
      <x:c r="AJ6006" t="n">
        <x:v>0</x:v>
      </x:c>
      <x:c r="AK6006" t="n">
        <x:v>0</x:v>
      </x:c>
      <x:c r="AL6006" t="n">
        <x:v>0</x:v>
      </x:c>
      <x:c r="AM6006" t="n">
        <x:f>CHOOSE('假设'!$B$3,AJ6006,AK6006,AL6006)</x:f>
        <x:v>0</x:v>
      </x:c>
      <x:c r="AN6006" t="n">
        <x:v>1</x:v>
      </x:c>
    </x:row>
    <x:row r="6007" ht="23" customHeight="1">
      <x:c r="A6007" s="11" t="str">
        <x:v>688062.SH</x:v>
      </x:c>
      <x:c r="B6007" s="11" t="str">
        <x:v>五年</x:v>
      </x:c>
      <x:c r="C6007" s="11" t="str">
        <x:v>gcsf</x:v>
      </x:c>
      <x:c r="D6007" s="11" t="str">
        <x:v>2032-12-31</x:v>
      </x:c>
      <x:c r="E6007" s="11" t="str">
        <x:v>CNY</x:v>
      </x:c>
      <x:c r="F6007" s="11" t="n">
        <x:v>1.2292950034223136</x:v>
      </x:c>
      <x:c r="G6007" s="26" t="b">
        <x:v>1</x:v>
      </x:c>
      <x:c r="H6007" s="16" t="n">
        <x:v>0.522</x:v>
      </x:c>
      <x:c r="I6007" s="16" t="n">
        <x:v>1.044</x:v>
      </x:c>
      <x:c r="J6007" s="16" t="n">
        <x:v>1.48</x:v>
      </x:c>
      <x:c r="K6007" s="11" t="n">
        <x:f>CHOOSE('假设'!$B$3,H6007,I6007,J6007)</x:f>
        <x:v>1.044</x:v>
      </x:c>
      <x:c r="L6007" s="11" t="n">
        <x:f>K6007*'管线假设'!E1287*'管线假设'!F1287*'管线假设'!G1287*IF(E6007="USD",'管线假设'!I1287,1)-AM6007</x:f>
        <x:v>0.08352000000000002</x:v>
      </x:c>
      <x:c r="M6007" s="11" t="n">
        <x:f>'管线假设'!H1287</x:f>
        <x:v>0.14</x:v>
      </x:c>
      <x:c r="N6007" s="11" t="n">
        <x:f>IF(G6007,L6007*AN6007/(1+M6007)^F6007,0)</x:f>
        <x:v>0.07109476716444757</x:v>
      </x:c>
      <x:c r="AJ6007" t="n">
        <x:v>0</x:v>
      </x:c>
      <x:c r="AK6007" t="n">
        <x:v>0</x:v>
      </x:c>
      <x:c r="AL6007" t="n">
        <x:v>0</x:v>
      </x:c>
      <x:c r="AM6007" t="n">
        <x:f>CHOOSE('假设'!$B$3,AJ6007,AK6007,AL6007)</x:f>
        <x:v>0</x:v>
      </x:c>
      <x:c r="AN6007" t="n">
        <x:v>1</x:v>
      </x:c>
    </x:row>
    <x:row r="6008" ht="23" customHeight="1">
      <x:c r="A6008" s="11" t="str">
        <x:v>688062.SH</x:v>
      </x:c>
      <x:c r="B6008" s="11" t="str">
        <x:v>五年</x:v>
      </x:c>
      <x:c r="C6008" s="11" t="str">
        <x:v>gcsf</x:v>
      </x:c>
      <x:c r="D6008" s="11" t="str">
        <x:v>2033-12-31</x:v>
      </x:c>
      <x:c r="E6008" s="11" t="str">
        <x:v>CNY</x:v>
      </x:c>
      <x:c r="F6008" s="11" t="n">
        <x:v>2.2286105407255303</x:v>
      </x:c>
      <x:c r="G6008" s="26" t="b">
        <x:v>1</x:v>
      </x:c>
      <x:c r="H6008" s="16" t="n">
        <x:v>0.444</x:v>
      </x:c>
      <x:c r="I6008" s="16" t="n">
        <x:v>0.888</x:v>
      </x:c>
      <x:c r="J6008" s="16" t="n">
        <x:v>1.22</x:v>
      </x:c>
      <x:c r="K6008" s="11" t="n">
        <x:f>CHOOSE('假设'!$B$3,H6008,I6008,J6008)</x:f>
        <x:v>0.888</x:v>
      </x:c>
      <x:c r="L6008" s="11" t="n">
        <x:f>K6008*'管线假设'!E1287*'管线假设'!F1287*'管线假设'!G1287*IF(E6008="USD",'管线假设'!I1287,1)-AM6008</x:f>
        <x:v>0.07104000000000002</x:v>
      </x:c>
      <x:c r="M6008" s="11" t="n">
        <x:f>'管线假设'!H1287</x:f>
        <x:v>0.14</x:v>
      </x:c>
      <x:c r="N6008" s="11" t="n">
        <x:f>IF(G6008,L6008*AN6008/(1+M6008)^F6008,0)</x:f>
        <x:v>0.0530498550088219</x:v>
      </x:c>
      <x:c r="AJ6008" t="n">
        <x:v>0</x:v>
      </x:c>
      <x:c r="AK6008" t="n">
        <x:v>0</x:v>
      </x:c>
      <x:c r="AL6008" t="n">
        <x:v>0</x:v>
      </x:c>
      <x:c r="AM6008" t="n">
        <x:f>CHOOSE('假设'!$B$3,AJ6008,AK6008,AL6008)</x:f>
        <x:v>0</x:v>
      </x:c>
      <x:c r="AN6008" t="n">
        <x:v>1</x:v>
      </x:c>
    </x:row>
    <x:row r="6009" ht="23" customHeight="1">
      <x:c r="A6009" s="11" t="str">
        <x:v>688062.SH</x:v>
      </x:c>
      <x:c r="B6009" s="11" t="str">
        <x:v>五年</x:v>
      </x:c>
      <x:c r="C6009" s="11" t="str">
        <x:v>gcsf</x:v>
      </x:c>
      <x:c r="D6009" s="11" t="str">
        <x:v>2034-12-31</x:v>
      </x:c>
      <x:c r="E6009" s="11" t="str">
        <x:v>CNY</x:v>
      </x:c>
      <x:c r="F6009" s="11" t="n">
        <x:v>3.2279260780287475</x:v>
      </x:c>
      <x:c r="G6009" s="26" t="b">
        <x:v>1</x:v>
      </x:c>
      <x:c r="H6009" s="16" t="n">
        <x:v>0.366</x:v>
      </x:c>
      <x:c r="I6009" s="16" t="n">
        <x:v>0.732</x:v>
      </x:c>
      <x:c r="J6009" s="16" t="n">
        <x:v>0.96</x:v>
      </x:c>
      <x:c r="K6009" s="11" t="n">
        <x:f>CHOOSE('假设'!$B$3,H6009,I6009,J6009)</x:f>
        <x:v>0.732</x:v>
      </x:c>
      <x:c r="L6009" s="11" t="n">
        <x:f>K6009*'管线假设'!E1287*'管线假设'!F1287*'管线假设'!G1287*IF(E6009="USD",'管线假设'!I1287,1)-AM6009</x:f>
        <x:v>0.05856000000000001</x:v>
      </x:c>
      <x:c r="M6009" s="11" t="n">
        <x:f>'管线假设'!H1287</x:f>
        <x:v>0.14</x:v>
      </x:c>
      <x:c r="N6009" s="11" t="n">
        <x:f>IF(G6009,L6009*AN6009/(1+M6009)^F6009,0)</x:f>
        <x:v>0.03836334032161183</x:v>
      </x:c>
      <x:c r="AJ6009" t="n">
        <x:v>0</x:v>
      </x:c>
      <x:c r="AK6009" t="n">
        <x:v>0</x:v>
      </x:c>
      <x:c r="AL6009" t="n">
        <x:v>0</x:v>
      </x:c>
      <x:c r="AM6009" t="n">
        <x:f>CHOOSE('假设'!$B$3,AJ6009,AK6009,AL6009)</x:f>
        <x:v>0</x:v>
      </x:c>
      <x:c r="AN6009" t="n">
        <x:v>1</x:v>
      </x:c>
    </x:row>
    <x:row r="6010" ht="23" customHeight="1">
      <x:c r="A6010" s="11" t="str">
        <x:v>688062.SH</x:v>
      </x:c>
      <x:c r="B6010" s="11" t="str">
        <x:v>五年</x:v>
      </x:c>
      <x:c r="C6010" s="11" t="str">
        <x:v>gcsf</x:v>
      </x:c>
      <x:c r="D6010" s="11" t="str">
        <x:v>2035-12-31</x:v>
      </x:c>
      <x:c r="E6010" s="11" t="str">
        <x:v>CNY</x:v>
      </x:c>
      <x:c r="F6010" s="11" t="n">
        <x:v>4.227241615331964</x:v>
      </x:c>
      <x:c r="G6010" s="26" t="b">
        <x:v>1</x:v>
      </x:c>
      <x:c r="H6010" s="16" t="n">
        <x:v>0.288</x:v>
      </x:c>
      <x:c r="I6010" s="16" t="n">
        <x:v>0.576</x:v>
      </x:c>
      <x:c r="J6010" s="16" t="n">
        <x:v>0.7</x:v>
      </x:c>
      <x:c r="K6010" s="11" t="n">
        <x:f>CHOOSE('假设'!$B$3,H6010,I6010,J6010)</x:f>
        <x:v>0.576</x:v>
      </x:c>
      <x:c r="L6010" s="11" t="n">
        <x:f>K6010*'管线假设'!E1287*'管线假设'!F1287*'管线假设'!G1287*IF(E6010="USD",'管线假设'!I1287,1)-AM6010</x:f>
        <x:v>0.04608</x:v>
      </x:c>
      <x:c r="M6010" s="11" t="n">
        <x:f>'管线假设'!H1287</x:f>
        <x:v>0.14</x:v>
      </x:c>
      <x:c r="N6010" s="11" t="n">
        <x:f>IF(G6010,L6010*AN6010/(1+M6010)^F6010,0)</x:f>
        <x:v>0.026482678897045548</x:v>
      </x:c>
      <x:c r="AJ6010" t="n">
        <x:v>0</x:v>
      </x:c>
      <x:c r="AK6010" t="n">
        <x:v>0</x:v>
      </x:c>
      <x:c r="AL6010" t="n">
        <x:v>0</x:v>
      </x:c>
      <x:c r="AM6010" t="n">
        <x:f>CHOOSE('假设'!$B$3,AJ6010,AK6010,AL6010)</x:f>
        <x:v>0</x:v>
      </x:c>
      <x:c r="AN6010" t="n">
        <x:v>1</x:v>
      </x:c>
    </x:row>
    <x:row r="6011" ht="23" customHeight="1">
      <x:c r="A6011" s="11" t="str">
        <x:v>688062.SH</x:v>
      </x:c>
      <x:c r="B6011" s="11" t="str">
        <x:v>五年</x:v>
      </x:c>
      <x:c r="C6011" s="11" t="str">
        <x:v>gcsf</x:v>
      </x:c>
      <x:c r="D6011" s="11" t="str">
        <x:v>2036-12-31</x:v>
      </x:c>
      <x:c r="E6011" s="11" t="str">
        <x:v>CNY</x:v>
      </x:c>
      <x:c r="F6011" s="11" t="n">
        <x:v>5.229295003422314</x:v>
      </x:c>
      <x:c r="G6011" s="26" t="b">
        <x:v>1</x:v>
      </x:c>
      <x:c r="H6011" s="16" t="n">
        <x:v>0.21</x:v>
      </x:c>
      <x:c r="I6011" s="16" t="n">
        <x:v>0.42</x:v>
      </x:c>
      <x:c r="J6011" s="16" t="n">
        <x:v>0.43999999999999995</x:v>
      </x:c>
      <x:c r="K6011" s="11" t="n">
        <x:f>CHOOSE('假设'!$B$3,H6011,I6011,J6011)</x:f>
        <x:v>0.42</x:v>
      </x:c>
      <x:c r="L6011" s="11" t="n">
        <x:f>K6011*'管线假设'!E1287*'管线假设'!F1287*'管线假设'!G1287*IF(E6011="USD",'管线假设'!I1287,1)-AM6011</x:f>
        <x:v>0.033600000000000005</x:v>
      </x:c>
      <x:c r="M6011" s="11" t="n">
        <x:f>'管线假设'!H1287</x:f>
        <x:v>0.14</x:v>
      </x:c>
      <x:c r="N6011" s="11" t="n">
        <x:f>IF(G6011,L6011*AN6011/(1+M6011)^F6011,0)</x:f>
        <x:v>0.016934291162992297</x:v>
      </x:c>
      <x:c r="AJ6011" t="n">
        <x:v>0</x:v>
      </x:c>
      <x:c r="AK6011" t="n">
        <x:v>0</x:v>
      </x:c>
      <x:c r="AL6011" t="n">
        <x:v>0</x:v>
      </x:c>
      <x:c r="AM6011" t="n">
        <x:f>CHOOSE('假设'!$B$3,AJ6011,AK6011,AL6011)</x:f>
        <x:v>0</x:v>
      </x:c>
      <x:c r="AN6011" t="n">
        <x:v>1</x:v>
      </x:c>
    </x:row>
    <x:row r="6012" ht="23" customHeight="1">
      <x:c r="A6012" s="11" t="str">
        <x:v>688062.SH</x:v>
      </x:c>
      <x:c r="B6012" s="11" t="str">
        <x:v>五年</x:v>
      </x:c>
      <x:c r="C6012" s="11" t="str">
        <x:v>gcsf</x:v>
      </x:c>
      <x:c r="D6012" s="11" t="str">
        <x:v>2037-12-31</x:v>
      </x:c>
      <x:c r="E6012" s="11" t="str">
        <x:v>CNY</x:v>
      </x:c>
      <x:c r="F6012" s="11" t="n">
        <x:v>6.228610540725531</x:v>
      </x:c>
      <x:c r="G6012" s="26" t="b">
        <x:v>1</x:v>
      </x:c>
      <x:c r="H6012" s="16" t="n">
        <x:v>0.13199999999999998</x:v>
      </x:c>
      <x:c r="I6012" s="16" t="n">
        <x:v>0.26399999999999996</x:v>
      </x:c>
      <x:c r="J6012" s="16" t="n">
        <x:v>0.17999999999999994</x:v>
      </x:c>
      <x:c r="K6012" s="11" t="n">
        <x:f>CHOOSE('假设'!$B$3,H6012,I6012,J6012)</x:f>
        <x:v>0.26399999999999996</x:v>
      </x:c>
      <x:c r="L6012" s="11" t="n">
        <x:f>K6012*'管线假设'!E1287*'管线假设'!F1287*'管线假设'!G1287*IF(E6012="USD",'管线假设'!I1287,1)-AM6012</x:f>
        <x:v>0.02112</x:v>
      </x:c>
      <x:c r="M6012" s="11" t="n">
        <x:f>'管线假设'!H1287</x:f>
        <x:v>0.14</x:v>
      </x:c>
      <x:c r="N6012" s="11" t="n">
        <x:f>IF(G6012,L6012*AN6012/(1+M6012)^F6012,0)</x:f>
        <x:v>0.009338040582399664</x:v>
      </x:c>
      <x:c r="AJ6012" t="n">
        <x:v>0</x:v>
      </x:c>
      <x:c r="AK6012" t="n">
        <x:v>0</x:v>
      </x:c>
      <x:c r="AL6012" t="n">
        <x:v>0</x:v>
      </x:c>
      <x:c r="AM6012" t="n">
        <x:f>CHOOSE('假设'!$B$3,AJ6012,AK6012,AL6012)</x:f>
        <x:v>0</x:v>
      </x:c>
      <x:c r="AN6012" t="n">
        <x:v>1</x:v>
      </x:c>
    </x:row>
    <x:row r="6013" ht="23" customHeight="1">
      <x:c r="A6013" s="11" t="str">
        <x:v>688062.SH</x:v>
      </x:c>
      <x:c r="B6013" s="11" t="str">
        <x:v>五年</x:v>
      </x:c>
      <x:c r="C6013" s="11" t="str">
        <x:v>gcsf</x:v>
      </x:c>
      <x:c r="D6013" s="11" t="str">
        <x:v>2038-12-31</x:v>
      </x:c>
      <x:c r="E6013" s="11" t="str">
        <x:v>CNY</x:v>
      </x:c>
      <x:c r="F6013" s="11" t="n">
        <x:v>7.227926078028747</x:v>
      </x:c>
      <x:c r="G6013" s="26" t="b">
        <x:v>1</x:v>
      </x:c>
      <x:c r="H6013" s="16" t="n">
        <x:v>0.05399999999999998</x:v>
      </x:c>
      <x:c r="I6013" s="16" t="n">
        <x:v>0.10799999999999996</x:v>
      </x:c>
      <x:c r="J6013" s="16" t="n">
        <x:v>0</x:v>
      </x:c>
      <x:c r="K6013" s="11" t="n">
        <x:f>CHOOSE('假设'!$B$3,H6013,I6013,J6013)</x:f>
        <x:v>0.10799999999999996</x:v>
      </x:c>
      <x:c r="L6013" s="11" t="n">
        <x:f>K6013*'管线假设'!E1287*'管线假设'!F1287*'管线假设'!G1287*IF(E6013="USD",'管线假设'!I1287,1)-AM6013</x:f>
        <x:v>0.008639999999999998</x:v>
      </x:c>
      <x:c r="M6013" s="11" t="n">
        <x:f>'管线假设'!H1287</x:f>
        <x:v>0.14</x:v>
      </x:c>
      <x:c r="N6013" s="11" t="n">
        <x:f>IF(G6013,L6013*AN6013/(1+M6013)^F6013,0)</x:f>
        <x:v>0.003351272042724624</x:v>
      </x:c>
      <x:c r="AJ6013" t="n">
        <x:v>0</x:v>
      </x:c>
      <x:c r="AK6013" t="n">
        <x:v>0</x:v>
      </x:c>
      <x:c r="AL6013" t="n">
        <x:v>0</x:v>
      </x:c>
      <x:c r="AM6013" t="n">
        <x:f>CHOOSE('假设'!$B$3,AJ6013,AK6013,AL6013)</x:f>
        <x:v>0</x:v>
      </x:c>
      <x:c r="AN6013" t="n">
        <x:v>1</x:v>
      </x:c>
    </x:row>
    <x:row r="6014" ht="23" customHeight="1">
      <x:c r="A6014" s="11" t="str">
        <x:v>688062.SH</x:v>
      </x:c>
      <x:c r="B6014" s="11" t="str">
        <x:v>五年</x:v>
      </x:c>
      <x:c r="C6014" s="11" t="str">
        <x:v>gcsf</x:v>
      </x:c>
      <x:c r="D6014" s="11" t="str">
        <x:v>2039-12-31</x:v>
      </x:c>
      <x:c r="E6014" s="11" t="str">
        <x:v>CNY</x:v>
      </x:c>
      <x:c r="F6014" s="11" t="n">
        <x:v>8.227241615331964</x:v>
      </x:c>
      <x:c r="G6014" s="26" t="b">
        <x:v>1</x:v>
      </x:c>
      <x:c r="H6014" s="16" t="n">
        <x:v>0</x:v>
      </x:c>
      <x:c r="I6014" s="16" t="n">
        <x:v>0</x:v>
      </x:c>
      <x:c r="J6014" s="16" t="n">
        <x:v>0</x:v>
      </x:c>
      <x:c r="K6014" s="11" t="n">
        <x:f>CHOOSE('假设'!$B$3,H6014,I6014,J6014)</x:f>
        <x:v>0</x:v>
      </x:c>
      <x:c r="L6014" s="11" t="n">
        <x:f>K6014*'管线假设'!E1287*'管线假设'!F1287*'管线假设'!G1287*IF(E6014="USD",'管线假设'!I1287,1)-AM6014</x:f>
        <x:v>0</x:v>
      </x:c>
      <x:c r="M6014" s="11" t="n">
        <x:f>'管线假设'!H1287</x:f>
        <x:v>0.14</x:v>
      </x:c>
      <x:c r="N6014" s="11" t="n">
        <x:f>IF(G6014,L6014*AN6014/(1+M6014)^F6014,0)</x:f>
        <x:v>0</x:v>
      </x:c>
      <x:c r="AJ6014" t="n">
        <x:v>0</x:v>
      </x:c>
      <x:c r="AK6014" t="n">
        <x:v>0</x:v>
      </x:c>
      <x:c r="AL6014" t="n">
        <x:v>0</x:v>
      </x:c>
      <x:c r="AM6014" t="n">
        <x:f>CHOOSE('假设'!$B$3,AJ6014,AK6014,AL6014)</x:f>
        <x:v>0</x:v>
      </x:c>
      <x:c r="AN6014" t="n">
        <x:v>1</x:v>
      </x:c>
    </x:row>
    <x:row r="6015" ht="23" customHeight="1">
      <x:c r="A6015" s="11" t="str">
        <x:v>688062.SH</x:v>
      </x:c>
      <x:c r="B6015" s="11" t="str">
        <x:v>五年</x:v>
      </x:c>
      <x:c r="C6015" s="11" t="str">
        <x:v>gcsf</x:v>
      </x:c>
      <x:c r="D6015" s="11" t="str">
        <x:v>2040-12-31</x:v>
      </x:c>
      <x:c r="E6015" s="11" t="str">
        <x:v>CNY</x:v>
      </x:c>
      <x:c r="F6015" s="11" t="n">
        <x:v>9.229295003422314</x:v>
      </x:c>
      <x:c r="G6015" s="26" t="b">
        <x:v>1</x:v>
      </x:c>
      <x:c r="H6015" s="16" t="n">
        <x:v>0</x:v>
      </x:c>
      <x:c r="I6015" s="16" t="n">
        <x:v>0</x:v>
      </x:c>
      <x:c r="J6015" s="16" t="n">
        <x:v>0</x:v>
      </x:c>
      <x:c r="K6015" s="11" t="n">
        <x:f>CHOOSE('假设'!$B$3,H6015,I6015,J6015)</x:f>
        <x:v>0</x:v>
      </x:c>
      <x:c r="L6015" s="11" t="n">
        <x:f>K6015*'管线假设'!E1287*'管线假设'!F1287*'管线假设'!G1287*IF(E6015="USD",'管线假设'!I1287,1)-AM6015</x:f>
        <x:v>0</x:v>
      </x:c>
      <x:c r="M6015" s="11" t="n">
        <x:f>'管线假设'!H1287</x:f>
        <x:v>0.14</x:v>
      </x:c>
      <x:c r="N6015" s="11" t="n">
        <x:f>IF(G6015,L6015*AN6015/(1+M6015)^F6015,0)</x:f>
        <x:v>0</x:v>
      </x:c>
      <x:c r="AJ6015" t="n">
        <x:v>0</x:v>
      </x:c>
      <x:c r="AK6015" t="n">
        <x:v>0</x:v>
      </x:c>
      <x:c r="AL6015" t="n">
        <x:v>0</x:v>
      </x:c>
      <x:c r="AM6015" t="n">
        <x:f>CHOOSE('假设'!$B$3,AJ6015,AK6015,AL6015)</x:f>
        <x:v>0</x:v>
      </x:c>
      <x:c r="AN6015" t="n">
        <x:v>1</x:v>
      </x:c>
    </x:row>
    <x:row r="6016" ht="23" customHeight="1">
      <x:c r="A6016" s="11" t="str">
        <x:v>688062.SH</x:v>
      </x:c>
      <x:c r="B6016" s="11" t="str">
        <x:v>五年</x:v>
      </x:c>
      <x:c r="C6016" s="11" t="str">
        <x:v>gcsf</x:v>
      </x:c>
      <x:c r="D6016" s="11" t="str">
        <x:v>2041-12-31</x:v>
      </x:c>
      <x:c r="E6016" s="11" t="str">
        <x:v>CNY</x:v>
      </x:c>
      <x:c r="F6016" s="11" t="n">
        <x:v>10.22861054072553</x:v>
      </x:c>
      <x:c r="G6016" s="26" t="b">
        <x:v>1</x:v>
      </x:c>
      <x:c r="H6016" s="16" t="n">
        <x:v>0</x:v>
      </x:c>
      <x:c r="I6016" s="16" t="n">
        <x:v>0</x:v>
      </x:c>
      <x:c r="J6016" s="16" t="n">
        <x:v>0</x:v>
      </x:c>
      <x:c r="K6016" s="11" t="n">
        <x:f>CHOOSE('假设'!$B$3,H6016,I6016,J6016)</x:f>
        <x:v>0</x:v>
      </x:c>
      <x:c r="L6016" s="11" t="n">
        <x:f>K6016*'管线假设'!E1287*'管线假设'!F1287*'管线假设'!G1287*IF(E6016="USD",'管线假设'!I1287,1)-AM6016</x:f>
        <x:v>0</x:v>
      </x:c>
      <x:c r="M6016" s="11" t="n">
        <x:f>'管线假设'!H1287</x:f>
        <x:v>0.14</x:v>
      </x:c>
      <x:c r="N6016" s="11" t="n">
        <x:f>IF(G6016,L6016*AN6016/(1+M6016)^F6016,0)</x:f>
        <x:v>0</x:v>
      </x:c>
      <x:c r="AJ6016" t="n">
        <x:v>0</x:v>
      </x:c>
      <x:c r="AK6016" t="n">
        <x:v>0</x:v>
      </x:c>
      <x:c r="AL6016" t="n">
        <x:v>0</x:v>
      </x:c>
      <x:c r="AM6016" t="n">
        <x:f>CHOOSE('假设'!$B$3,AJ6016,AK6016,AL6016)</x:f>
        <x:v>0</x:v>
      </x:c>
      <x:c r="AN6016" t="n">
        <x:v>1</x:v>
      </x:c>
    </x:row>
    <x:row r="6017" ht="23" customHeight="1">
      <x:c r="A6017" s="11" t="str">
        <x:v>688062.SH</x:v>
      </x:c>
      <x:c r="B6017" s="11" t="str">
        <x:v>五年</x:v>
      </x:c>
      <x:c r="C6017" s="11" t="str">
        <x:v>gcsf</x:v>
      </x:c>
      <x:c r="D6017" s="11" t="str">
        <x:v>2042-12-31</x:v>
      </x:c>
      <x:c r="E6017" s="11" t="str">
        <x:v>CNY</x:v>
      </x:c>
      <x:c r="F6017" s="11" t="n">
        <x:v>11.227926078028748</x:v>
      </x:c>
      <x:c r="G6017" s="26" t="b">
        <x:v>1</x:v>
      </x:c>
      <x:c r="H6017" s="16" t="n">
        <x:v>0</x:v>
      </x:c>
      <x:c r="I6017" s="16" t="n">
        <x:v>0</x:v>
      </x:c>
      <x:c r="J6017" s="16" t="n">
        <x:v>0</x:v>
      </x:c>
      <x:c r="K6017" s="11" t="n">
        <x:f>CHOOSE('假设'!$B$3,H6017,I6017,J6017)</x:f>
        <x:v>0</x:v>
      </x:c>
      <x:c r="L6017" s="11" t="n">
        <x:f>K6017*'管线假设'!E1287*'管线假设'!F1287*'管线假设'!G1287*IF(E6017="USD",'管线假设'!I1287,1)-AM6017</x:f>
        <x:v>0</x:v>
      </x:c>
      <x:c r="M6017" s="11" t="n">
        <x:f>'管线假设'!H1287</x:f>
        <x:v>0.14</x:v>
      </x:c>
      <x:c r="N6017" s="11" t="n">
        <x:f>IF(G6017,L6017*AN6017/(1+M6017)^F6017,0)</x:f>
        <x:v>0</x:v>
      </x:c>
      <x:c r="AJ6017" t="n">
        <x:v>0</x:v>
      </x:c>
      <x:c r="AK6017" t="n">
        <x:v>0</x:v>
      </x:c>
      <x:c r="AL6017" t="n">
        <x:v>0</x:v>
      </x:c>
      <x:c r="AM6017" t="n">
        <x:f>CHOOSE('假设'!$B$3,AJ6017,AK6017,AL6017)</x:f>
        <x:v>0</x:v>
      </x:c>
      <x:c r="AN6017" t="n">
        <x:v>1</x:v>
      </x:c>
    </x:row>
    <x:row r="6018" ht="23" customHeight="1">
      <x:c r="A6018" s="11" t="str">
        <x:v>688062.SH</x:v>
      </x:c>
      <x:c r="B6018" s="11" t="str">
        <x:v>五年</x:v>
      </x:c>
      <x:c r="C6018" s="11" t="str">
        <x:v>gcsf</x:v>
      </x:c>
      <x:c r="D6018" s="11" t="str">
        <x:v>2043-12-31</x:v>
      </x:c>
      <x:c r="E6018" s="11" t="str">
        <x:v>CNY</x:v>
      </x:c>
      <x:c r="F6018" s="11" t="n">
        <x:v>12.227241615331964</x:v>
      </x:c>
      <x:c r="G6018" s="26" t="b">
        <x:v>1</x:v>
      </x:c>
      <x:c r="H6018" s="16" t="n">
        <x:v>0</x:v>
      </x:c>
      <x:c r="I6018" s="16" t="n">
        <x:v>0</x:v>
      </x:c>
      <x:c r="J6018" s="16" t="n">
        <x:v>0</x:v>
      </x:c>
      <x:c r="K6018" s="11" t="n">
        <x:f>CHOOSE('假设'!$B$3,H6018,I6018,J6018)</x:f>
        <x:v>0</x:v>
      </x:c>
      <x:c r="L6018" s="11" t="n">
        <x:f>K6018*'管线假设'!E1287*'管线假设'!F1287*'管线假设'!G1287*IF(E6018="USD",'管线假设'!I1287,1)-AM6018</x:f>
        <x:v>0</x:v>
      </x:c>
      <x:c r="M6018" s="11" t="n">
        <x:f>'管线假设'!H1287</x:f>
        <x:v>0.14</x:v>
      </x:c>
      <x:c r="N6018" s="11" t="n">
        <x:f>IF(G6018,L6018*AN6018/(1+M6018)^F6018,0)</x:f>
        <x:v>0</x:v>
      </x:c>
      <x:c r="AJ6018" t="n">
        <x:v>0</x:v>
      </x:c>
      <x:c r="AK6018" t="n">
        <x:v>0</x:v>
      </x:c>
      <x:c r="AL6018" t="n">
        <x:v>0</x:v>
      </x:c>
      <x:c r="AM6018" t="n">
        <x:f>CHOOSE('假设'!$B$3,AJ6018,AK6018,AL6018)</x:f>
        <x:v>0</x:v>
      </x:c>
      <x:c r="AN6018" t="n">
        <x:v>1</x:v>
      </x:c>
    </x:row>
    <x:row r="6019" ht="23" customHeight="1">
      <x:c r="A6019" s="11" t="str">
        <x:v>688062.SH</x:v>
      </x:c>
      <x:c r="B6019" s="11" t="str">
        <x:v>五年</x:v>
      </x:c>
      <x:c r="C6019" s="11" t="str">
        <x:v>gcsf</x:v>
      </x:c>
      <x:c r="D6019" s="11" t="str">
        <x:v>2044-12-31</x:v>
      </x:c>
      <x:c r="E6019" s="11" t="str">
        <x:v>CNY</x:v>
      </x:c>
      <x:c r="F6019" s="11" t="n">
        <x:v>13.229295003422314</x:v>
      </x:c>
      <x:c r="G6019" s="26" t="b">
        <x:v>1</x:v>
      </x:c>
      <x:c r="H6019" s="16" t="n">
        <x:v>0</x:v>
      </x:c>
      <x:c r="I6019" s="16" t="n">
        <x:v>0</x:v>
      </x:c>
      <x:c r="J6019" s="16" t="n">
        <x:v>0</x:v>
      </x:c>
      <x:c r="K6019" s="11" t="n">
        <x:f>CHOOSE('假设'!$B$3,H6019,I6019,J6019)</x:f>
        <x:v>0</x:v>
      </x:c>
      <x:c r="L6019" s="11" t="n">
        <x:f>K6019*'管线假设'!E1287*'管线假设'!F1287*'管线假设'!G1287*IF(E6019="USD",'管线假设'!I1287,1)-AM6019</x:f>
        <x:v>0</x:v>
      </x:c>
      <x:c r="M6019" s="11" t="n">
        <x:f>'管线假设'!H1287</x:f>
        <x:v>0.14</x:v>
      </x:c>
      <x:c r="N6019" s="11" t="n">
        <x:f>IF(G6019,L6019*AN6019/(1+M6019)^F6019,0)</x:f>
        <x:v>0</x:v>
      </x:c>
      <x:c r="AJ6019" t="n">
        <x:v>0</x:v>
      </x:c>
      <x:c r="AK6019" t="n">
        <x:v>0</x:v>
      </x:c>
      <x:c r="AL6019" t="n">
        <x:v>0</x:v>
      </x:c>
      <x:c r="AM6019" t="n">
        <x:f>CHOOSE('假设'!$B$3,AJ6019,AK6019,AL6019)</x:f>
        <x:v>0</x:v>
      </x:c>
      <x:c r="AN6019" t="n">
        <x:v>1</x:v>
      </x:c>
    </x:row>
    <x:row r="6020" ht="23" customHeight="1">
      <x:c r="A6020" s="11" t="str">
        <x:v>688062.SH</x:v>
      </x:c>
      <x:c r="B6020" s="11" t="str">
        <x:v>五年</x:v>
      </x:c>
      <x:c r="C6020" s="11" t="str">
        <x:v>gcsf</x:v>
      </x:c>
      <x:c r="D6020" s="11" t="str">
        <x:v>2045-12-31</x:v>
      </x:c>
      <x:c r="E6020" s="11" t="str">
        <x:v>CNY</x:v>
      </x:c>
      <x:c r="F6020" s="11" t="n">
        <x:v>14.22861054072553</x:v>
      </x:c>
      <x:c r="G6020" s="26" t="b">
        <x:v>1</x:v>
      </x:c>
      <x:c r="H6020" s="16" t="n">
        <x:v>0</x:v>
      </x:c>
      <x:c r="I6020" s="16" t="n">
        <x:v>0</x:v>
      </x:c>
      <x:c r="J6020" s="16" t="n">
        <x:v>0</x:v>
      </x:c>
      <x:c r="K6020" s="11" t="n">
        <x:f>CHOOSE('假设'!$B$3,H6020,I6020,J6020)</x:f>
        <x:v>0</x:v>
      </x:c>
      <x:c r="L6020" s="11" t="n">
        <x:f>K6020*'管线假设'!E1287*'管线假设'!F1287*'管线假设'!G1287*IF(E6020="USD",'管线假设'!I1287,1)-AM6020</x:f>
        <x:v>0</x:v>
      </x:c>
      <x:c r="M6020" s="11" t="n">
        <x:f>'管线假设'!H1287</x:f>
        <x:v>0.14</x:v>
      </x:c>
      <x:c r="N6020" s="11" t="n">
        <x:f>IF(G6020,L6020*AN6020/(1+M6020)^F6020,0)</x:f>
        <x:v>0</x:v>
      </x:c>
      <x:c r="AJ6020" t="n">
        <x:v>0</x:v>
      </x:c>
      <x:c r="AK6020" t="n">
        <x:v>0</x:v>
      </x:c>
      <x:c r="AL6020" t="n">
        <x:v>0</x:v>
      </x:c>
      <x:c r="AM6020" t="n">
        <x:f>CHOOSE('假设'!$B$3,AJ6020,AK6020,AL6020)</x:f>
        <x:v>0</x:v>
      </x:c>
      <x:c r="AN6020" t="n">
        <x:v>1</x:v>
      </x:c>
    </x:row>
    <x:row r="6021" ht="23" customHeight="1">
      <x:c r="A6021" s="11" t="str">
        <x:v>688062.SH</x:v>
      </x:c>
      <x:c r="B6021" s="11" t="str">
        <x:v>五年</x:v>
      </x:c>
      <x:c r="C6021" s="11" t="str">
        <x:v>bfv_uc_later</x:v>
      </x:c>
      <x:c r="D6021" s="11" t="str">
        <x:v>2027-12-31</x:v>
      </x:c>
      <x:c r="E6021" s="11" t="str">
        <x:v>CNY</x:v>
      </x:c>
      <x:c r="F6021" s="11" t="n">
        <x:v>-3.7727583846680357</x:v>
      </x:c>
      <x:c r="G6021" s="26" t="b">
        <x:v>0</x:v>
      </x:c>
      <x:c r="H6021" s="16" t="n">
        <x:v>0</x:v>
      </x:c>
      <x:c r="I6021" s="16" t="n">
        <x:v>0</x:v>
      </x:c>
      <x:c r="J6021" s="16" t="n">
        <x:v>0.36000000000000004</x:v>
      </x:c>
      <x:c r="K6021" s="11" t="n">
        <x:f>CHOOSE('假设'!$B$3,H6021,I6021,J6021)</x:f>
        <x:v>0</x:v>
      </x:c>
      <x:c r="L6021" s="11" t="n">
        <x:f>K6021*'管线假设'!E1291*'管线假设'!F1291*'管线假设'!G1291*IF(E6021="USD",'管线假设'!I1291,1)-AM6021</x:f>
        <x:v>0</x:v>
      </x:c>
      <x:c r="M6021" s="11" t="n">
        <x:f>'管线假设'!H1291</x:f>
        <x:v>0.14</x:v>
      </x:c>
      <x:c r="N6021" s="11" t="n">
        <x:f>IF(G6021,L6021*AN6021/(1+M6021)^F6021,0)</x:f>
        <x:v>0</x:v>
      </x:c>
      <x:c r="AJ6021" t="n">
        <x:v>0</x:v>
      </x:c>
      <x:c r="AK6021" t="n">
        <x:v>0</x:v>
      </x:c>
      <x:c r="AL6021" t="n">
        <x:v>0</x:v>
      </x:c>
      <x:c r="AM6021" t="n">
        <x:f>CHOOSE('假设'!$B$3,AJ6021,AK6021,AL6021)</x:f>
        <x:v>0</x:v>
      </x:c>
      <x:c r="AN6021" t="n">
        <x:v>1</x:v>
      </x:c>
    </x:row>
    <x:row r="6022" ht="23" customHeight="1">
      <x:c r="A6022" s="11" t="str">
        <x:v>688062.SH</x:v>
      </x:c>
      <x:c r="B6022" s="11" t="str">
        <x:v>五年</x:v>
      </x:c>
      <x:c r="C6022" s="11" t="str">
        <x:v>bfv_uc_later</x:v>
      </x:c>
      <x:c r="D6022" s="11" t="str">
        <x:v>2028-12-31</x:v>
      </x:c>
      <x:c r="E6022" s="11" t="str">
        <x:v>CNY</x:v>
      </x:c>
      <x:c r="F6022" s="11" t="n">
        <x:v>-2.7707049965776864</x:v>
      </x:c>
      <x:c r="G6022" s="26" t="b">
        <x:v>0</x:v>
      </x:c>
      <x:c r="H6022" s="16" t="n">
        <x:v>0</x:v>
      </x:c>
      <x:c r="I6022" s="16" t="n">
        <x:v>0.22000000000000003</x:v>
      </x:c>
      <x:c r="J6022" s="16" t="n">
        <x:v>0.7200000000000001</x:v>
      </x:c>
      <x:c r="K6022" s="11" t="n">
        <x:f>CHOOSE('假设'!$B$3,H6022,I6022,J6022)</x:f>
        <x:v>0.22000000000000003</x:v>
      </x:c>
      <x:c r="L6022" s="11" t="n">
        <x:f>K6022*'管线假设'!E1291*'管线假设'!F1291*'管线假设'!G1291*IF(E6022="USD",'管线假设'!I1291,1)-AM6022</x:f>
        <x:v>0.0479424</x:v>
      </x:c>
      <x:c r="M6022" s="11" t="n">
        <x:f>'管线假设'!H1291</x:f>
        <x:v>0.14</x:v>
      </x:c>
      <x:c r="N6022" s="11" t="n">
        <x:f>IF(G6022,L6022*AN6022/(1+M6022)^F6022,0)</x:f>
        <x:v>0</x:v>
      </x:c>
      <x:c r="AJ6022" t="n">
        <x:v>0</x:v>
      </x:c>
      <x:c r="AK6022" t="n">
        <x:v>0</x:v>
      </x:c>
      <x:c r="AL6022" t="n">
        <x:v>0</x:v>
      </x:c>
      <x:c r="AM6022" t="n">
        <x:f>CHOOSE('假设'!$B$3,AJ6022,AK6022,AL6022)</x:f>
        <x:v>0</x:v>
      </x:c>
      <x:c r="AN6022" t="n">
        <x:v>1</x:v>
      </x:c>
    </x:row>
    <x:row r="6023" ht="23" customHeight="1">
      <x:c r="A6023" s="11" t="str">
        <x:v>688062.SH</x:v>
      </x:c>
      <x:c r="B6023" s="11" t="str">
        <x:v>五年</x:v>
      </x:c>
      <x:c r="C6023" s="11" t="str">
        <x:v>bfv_uc_later</x:v>
      </x:c>
      <x:c r="D6023" s="11" t="str">
        <x:v>2029-12-31</x:v>
      </x:c>
      <x:c r="E6023" s="11" t="str">
        <x:v>CNY</x:v>
      </x:c>
      <x:c r="F6023" s="11" t="n">
        <x:v>-1.7713894592744694</x:v>
      </x:c>
      <x:c r="G6023" s="26" t="b">
        <x:v>0</x:v>
      </x:c>
      <x:c r="H6023" s="16" t="n">
        <x:v>0.09000000000000001</x:v>
      </x:c>
      <x:c r="I6023" s="16" t="n">
        <x:v>0.44000000000000006</x:v>
      </x:c>
      <x:c r="J6023" s="16" t="n">
        <x:v>1.08</x:v>
      </x:c>
      <x:c r="K6023" s="11" t="n">
        <x:f>CHOOSE('假设'!$B$3,H6023,I6023,J6023)</x:f>
        <x:v>0.44000000000000006</x:v>
      </x:c>
      <x:c r="L6023" s="11" t="n">
        <x:f>K6023*'管线假设'!E1291*'管线假设'!F1291*'管线假设'!G1291*IF(E6023="USD",'管线假设'!I1291,1)-AM6023</x:f>
        <x:v>0.0958848</x:v>
      </x:c>
      <x:c r="M6023" s="11" t="n">
        <x:f>'管线假设'!H1291</x:f>
        <x:v>0.14</x:v>
      </x:c>
      <x:c r="N6023" s="11" t="n">
        <x:f>IF(G6023,L6023*AN6023/(1+M6023)^F6023,0)</x:f>
        <x:v>0</x:v>
      </x:c>
      <x:c r="AJ6023" t="n">
        <x:v>0</x:v>
      </x:c>
      <x:c r="AK6023" t="n">
        <x:v>0</x:v>
      </x:c>
      <x:c r="AL6023" t="n">
        <x:v>0</x:v>
      </x:c>
      <x:c r="AM6023" t="n">
        <x:f>CHOOSE('假设'!$B$3,AJ6023,AK6023,AL6023)</x:f>
        <x:v>0</x:v>
      </x:c>
      <x:c r="AN6023" t="n">
        <x:v>1</x:v>
      </x:c>
    </x:row>
    <x:row r="6024" ht="23" customHeight="1">
      <x:c r="A6024" s="11" t="str">
        <x:v>688062.SH</x:v>
      </x:c>
      <x:c r="B6024" s="11" t="str">
        <x:v>五年</x:v>
      </x:c>
      <x:c r="C6024" s="11" t="str">
        <x:v>bfv_uc_later</x:v>
      </x:c>
      <x:c r="D6024" s="11" t="str">
        <x:v>2030-12-31</x:v>
      </x:c>
      <x:c r="E6024" s="11" t="str">
        <x:v>CNY</x:v>
      </x:c>
      <x:c r="F6024" s="11" t="n">
        <x:v>-0.7720739219712526</x:v>
      </x:c>
      <x:c r="G6024" s="26" t="b">
        <x:v>0</x:v>
      </x:c>
      <x:c r="H6024" s="16" t="n">
        <x:v>0.18000000000000002</x:v>
      </x:c>
      <x:c r="I6024" s="16" t="n">
        <x:v>0.66</x:v>
      </x:c>
      <x:c r="J6024" s="16" t="n">
        <x:v>1.4400000000000002</x:v>
      </x:c>
      <x:c r="K6024" s="11" t="n">
        <x:f>CHOOSE('假设'!$B$3,H6024,I6024,J6024)</x:f>
        <x:v>0.66</x:v>
      </x:c>
      <x:c r="L6024" s="11" t="n">
        <x:f>K6024*'管线假设'!E1291*'管线假设'!F1291*'管线假设'!G1291*IF(E6024="USD",'管线假设'!I1291,1)-AM6024</x:f>
        <x:v>0.1438272</x:v>
      </x:c>
      <x:c r="M6024" s="11" t="n">
        <x:f>'管线假设'!H1291</x:f>
        <x:v>0.14</x:v>
      </x:c>
      <x:c r="N6024" s="11" t="n">
        <x:f>IF(G6024,L6024*AN6024/(1+M6024)^F6024,0)</x:f>
        <x:v>0</x:v>
      </x:c>
      <x:c r="AJ6024" t="n">
        <x:v>0</x:v>
      </x:c>
      <x:c r="AK6024" t="n">
        <x:v>0</x:v>
      </x:c>
      <x:c r="AL6024" t="n">
        <x:v>0</x:v>
      </x:c>
      <x:c r="AM6024" t="n">
        <x:f>CHOOSE('假设'!$B$3,AJ6024,AK6024,AL6024)</x:f>
        <x:v>0</x:v>
      </x:c>
      <x:c r="AN6024" t="n">
        <x:v>1</x:v>
      </x:c>
    </x:row>
    <x:row r="6025" ht="23" customHeight="1">
      <x:c r="A6025" s="11" t="str">
        <x:v>688062.SH</x:v>
      </x:c>
      <x:c r="B6025" s="11" t="str">
        <x:v>五年</x:v>
      </x:c>
      <x:c r="C6025" s="11" t="str">
        <x:v>bfv_uc_later</x:v>
      </x:c>
      <x:c r="D6025" s="11" t="str">
        <x:v>2031-12-31</x:v>
      </x:c>
      <x:c r="E6025" s="11" t="str">
        <x:v>CNY</x:v>
      </x:c>
      <x:c r="F6025" s="11" t="n">
        <x:v>0.2272416153319644</x:v>
      </x:c>
      <x:c r="G6025" s="26" t="b">
        <x:v>1</x:v>
      </x:c>
      <x:c r="H6025" s="16" t="n">
        <x:v>0.27</x:v>
      </x:c>
      <x:c r="I6025" s="16" t="n">
        <x:v>0.8800000000000001</x:v>
      </x:c>
      <x:c r="J6025" s="16" t="n">
        <x:v>1.8</x:v>
      </x:c>
      <x:c r="K6025" s="11" t="n">
        <x:f>CHOOSE('假设'!$B$3,H6025,I6025,J6025)</x:f>
        <x:v>0.8800000000000001</x:v>
      </x:c>
      <x:c r="L6025" s="11" t="n">
        <x:f>K6025*'管线假设'!E1291*'管线假设'!F1291*'管线假设'!G1291*IF(E6025="USD",'管线假设'!I1291,1)-AM6025</x:f>
        <x:v>0.1917696</x:v>
      </x:c>
      <x:c r="M6025" s="11" t="n">
        <x:f>'管线假设'!H1291</x:f>
        <x:v>0.14</x:v>
      </x:c>
      <x:c r="N6025" s="11" t="n">
        <x:f>IF(G6025,L6025*AN6025/(1+M6025)^F6025,0)</x:f>
        <x:v>0.1861438156653253</x:v>
      </x:c>
      <x:c r="AJ6025" t="n">
        <x:v>0</x:v>
      </x:c>
      <x:c r="AK6025" t="n">
        <x:v>0</x:v>
      </x:c>
      <x:c r="AL6025" t="n">
        <x:v>0</x:v>
      </x:c>
      <x:c r="AM6025" t="n">
        <x:f>CHOOSE('假设'!$B$3,AJ6025,AK6025,AL6025)</x:f>
        <x:v>0</x:v>
      </x:c>
      <x:c r="AN6025" t="n">
        <x:v>1</x:v>
      </x:c>
    </x:row>
    <x:row r="6026" ht="23" customHeight="1">
      <x:c r="A6026" s="11" t="str">
        <x:v>688062.SH</x:v>
      </x:c>
      <x:c r="B6026" s="11" t="str">
        <x:v>五年</x:v>
      </x:c>
      <x:c r="C6026" s="11" t="str">
        <x:v>bfv_uc_later</x:v>
      </x:c>
      <x:c r="D6026" s="11" t="str">
        <x:v>2032-12-31</x:v>
      </x:c>
      <x:c r="E6026" s="11" t="str">
        <x:v>CNY</x:v>
      </x:c>
      <x:c r="F6026" s="11" t="n">
        <x:v>1.2292950034223136</x:v>
      </x:c>
      <x:c r="G6026" s="26" t="b">
        <x:v>1</x:v>
      </x:c>
      <x:c r="H6026" s="16" t="n">
        <x:v>0.36000000000000004</x:v>
      </x:c>
      <x:c r="I6026" s="16" t="n">
        <x:v>1.1</x:v>
      </x:c>
      <x:c r="J6026" s="16" t="n">
        <x:v>1.566</x:v>
      </x:c>
      <x:c r="K6026" s="11" t="n">
        <x:f>CHOOSE('假设'!$B$3,H6026,I6026,J6026)</x:f>
        <x:v>1.1</x:v>
      </x:c>
      <x:c r="L6026" s="11" t="n">
        <x:f>K6026*'管线假设'!E1291*'管线假设'!F1291*'管线假设'!G1291*IF(E6026="USD",'管线假设'!I1291,1)-AM6026</x:f>
        <x:v>0.23971199999999998</x:v>
      </x:c>
      <x:c r="M6026" s="11" t="n">
        <x:f>'管线假设'!H1291</x:f>
        <x:v>0.14</x:v>
      </x:c>
      <x:c r="N6026" s="11" t="n">
        <x:f>IF(G6026,L6026*AN6026/(1+M6026)^F6026,0)</x:f>
        <x:v>0.2040501535742822</x:v>
      </x:c>
      <x:c r="AJ6026" t="n">
        <x:v>0</x:v>
      </x:c>
      <x:c r="AK6026" t="n">
        <x:v>0</x:v>
      </x:c>
      <x:c r="AL6026" t="n">
        <x:v>0</x:v>
      </x:c>
      <x:c r="AM6026" t="n">
        <x:f>CHOOSE('假设'!$B$3,AJ6026,AK6026,AL6026)</x:f>
        <x:v>0</x:v>
      </x:c>
      <x:c r="AN6026" t="n">
        <x:v>1</x:v>
      </x:c>
    </x:row>
    <x:row r="6027" ht="23" customHeight="1">
      <x:c r="A6027" s="11" t="str">
        <x:v>688062.SH</x:v>
      </x:c>
      <x:c r="B6027" s="11" t="str">
        <x:v>五年</x:v>
      </x:c>
      <x:c r="C6027" s="11" t="str">
        <x:v>bfv_uc_later</x:v>
      </x:c>
      <x:c r="D6027" s="11" t="str">
        <x:v>2033-12-31</x:v>
      </x:c>
      <x:c r="E6027" s="11" t="str">
        <x:v>CNY</x:v>
      </x:c>
      <x:c r="F6027" s="11" t="n">
        <x:v>2.2286105407255303</x:v>
      </x:c>
      <x:c r="G6027" s="26" t="b">
        <x:v>1</x:v>
      </x:c>
      <x:c r="H6027" s="16" t="n">
        <x:v>0.45</x:v>
      </x:c>
      <x:c r="I6027" s="16" t="n">
        <x:v>0.9570000000000001</x:v>
      </x:c>
      <x:c r="J6027" s="16" t="n">
        <x:v>1.332</x:v>
      </x:c>
      <x:c r="K6027" s="11" t="n">
        <x:f>CHOOSE('假设'!$B$3,H6027,I6027,J6027)</x:f>
        <x:v>0.9570000000000001</x:v>
      </x:c>
      <x:c r="L6027" s="11" t="n">
        <x:f>K6027*'管线假设'!E1291*'管线假设'!F1291*'管线假设'!G1291*IF(E6027="USD",'管线假设'!I1291,1)-AM6027</x:f>
        <x:v>0.20854944</x:v>
      </x:c>
      <x:c r="M6027" s="11" t="n">
        <x:f>'管线假设'!H1291</x:f>
        <x:v>0.14</x:v>
      </x:c>
      <x:c r="N6027" s="11" t="n">
        <x:f>IF(G6027,L6027*AN6027/(1+M6027)^F6027,0)</x:f>
        <x:v>0.15573645205758727</x:v>
      </x:c>
      <x:c r="AJ6027" t="n">
        <x:v>0</x:v>
      </x:c>
      <x:c r="AK6027" t="n">
        <x:v>0</x:v>
      </x:c>
      <x:c r="AL6027" t="n">
        <x:v>0</x:v>
      </x:c>
      <x:c r="AM6027" t="n">
        <x:f>CHOOSE('假设'!$B$3,AJ6027,AK6027,AL6027)</x:f>
        <x:v>0</x:v>
      </x:c>
      <x:c r="AN6027" t="n">
        <x:v>1</x:v>
      </x:c>
    </x:row>
    <x:row r="6028" ht="23" customHeight="1">
      <x:c r="A6028" s="11" t="str">
        <x:v>688062.SH</x:v>
      </x:c>
      <x:c r="B6028" s="11" t="str">
        <x:v>五年</x:v>
      </x:c>
      <x:c r="C6028" s="11" t="str">
        <x:v>bfv_uc_later</x:v>
      </x:c>
      <x:c r="D6028" s="11" t="str">
        <x:v>2034-12-31</x:v>
      </x:c>
      <x:c r="E6028" s="11" t="str">
        <x:v>CNY</x:v>
      </x:c>
      <x:c r="F6028" s="11" t="n">
        <x:v>3.2279260780287475</x:v>
      </x:c>
      <x:c r="G6028" s="26" t="b">
        <x:v>1</x:v>
      </x:c>
      <x:c r="H6028" s="16" t="n">
        <x:v>0.3915</x:v>
      </x:c>
      <x:c r="I6028" s="16" t="n">
        <x:v>0.8140000000000001</x:v>
      </x:c>
      <x:c r="J6028" s="16" t="n">
        <x:v>1.098</x:v>
      </x:c>
      <x:c r="K6028" s="11" t="n">
        <x:f>CHOOSE('假设'!$B$3,H6028,I6028,J6028)</x:f>
        <x:v>0.8140000000000001</x:v>
      </x:c>
      <x:c r="L6028" s="11" t="n">
        <x:f>K6028*'管线假设'!E1291*'管线假设'!F1291*'管线假设'!G1291*IF(E6028="USD",'管线假设'!I1291,1)-AM6028</x:f>
        <x:v>0.17738688</x:v>
      </x:c>
      <x:c r="M6028" s="11" t="n">
        <x:f>'管线假设'!H1291</x:f>
        <x:v>0.14</x:v>
      </x:c>
      <x:c r="N6028" s="11" t="n">
        <x:f>IF(G6028,L6028*AN6028/(1+M6028)^F6028,0)</x:f>
        <x:v>0.11620821799912769</x:v>
      </x:c>
      <x:c r="AJ6028" t="n">
        <x:v>0</x:v>
      </x:c>
      <x:c r="AK6028" t="n">
        <x:v>0</x:v>
      </x:c>
      <x:c r="AL6028" t="n">
        <x:v>0</x:v>
      </x:c>
      <x:c r="AM6028" t="n">
        <x:f>CHOOSE('假设'!$B$3,AJ6028,AK6028,AL6028)</x:f>
        <x:v>0</x:v>
      </x:c>
      <x:c r="AN6028" t="n">
        <x:v>1</x:v>
      </x:c>
    </x:row>
    <x:row r="6029" ht="23" customHeight="1">
      <x:c r="A6029" s="11" t="str">
        <x:v>688062.SH</x:v>
      </x:c>
      <x:c r="B6029" s="11" t="str">
        <x:v>五年</x:v>
      </x:c>
      <x:c r="C6029" s="11" t="str">
        <x:v>bfv_uc_later</x:v>
      </x:c>
      <x:c r="D6029" s="11" t="str">
        <x:v>2035-12-31</x:v>
      </x:c>
      <x:c r="E6029" s="11" t="str">
        <x:v>CNY</x:v>
      </x:c>
      <x:c r="F6029" s="11" t="n">
        <x:v>4.227241615331964</x:v>
      </x:c>
      <x:c r="G6029" s="26" t="b">
        <x:v>1</x:v>
      </x:c>
      <x:c r="H6029" s="16" t="n">
        <x:v>0.333</x:v>
      </x:c>
      <x:c r="I6029" s="16" t="n">
        <x:v>0.671</x:v>
      </x:c>
      <x:c r="J6029" s="16" t="n">
        <x:v>0.864</x:v>
      </x:c>
      <x:c r="K6029" s="11" t="n">
        <x:f>CHOOSE('假设'!$B$3,H6029,I6029,J6029)</x:f>
        <x:v>0.671</x:v>
      </x:c>
      <x:c r="L6029" s="11" t="n">
        <x:f>K6029*'管线假设'!E1291*'管线假设'!F1291*'管线假设'!G1291*IF(E6029="USD",'管线假设'!I1291,1)-AM6029</x:f>
        <x:v>0.14622432</x:v>
      </x:c>
      <x:c r="M6029" s="11" t="n">
        <x:f>'管线假设'!H1291</x:f>
        <x:v>0.14</x:v>
      </x:c>
      <x:c r="N6029" s="11" t="n">
        <x:f>IF(G6029,L6029*AN6029/(1+M6029)^F6029,0)</x:f>
        <x:v>0.0840367125325268</x:v>
      </x:c>
      <x:c r="AJ6029" t="n">
        <x:v>0</x:v>
      </x:c>
      <x:c r="AK6029" t="n">
        <x:v>0</x:v>
      </x:c>
      <x:c r="AL6029" t="n">
        <x:v>0</x:v>
      </x:c>
      <x:c r="AM6029" t="n">
        <x:f>CHOOSE('假设'!$B$3,AJ6029,AK6029,AL6029)</x:f>
        <x:v>0</x:v>
      </x:c>
      <x:c r="AN6029" t="n">
        <x:v>1</x:v>
      </x:c>
    </x:row>
    <x:row r="6030" ht="23" customHeight="1">
      <x:c r="A6030" s="11" t="str">
        <x:v>688062.SH</x:v>
      </x:c>
      <x:c r="B6030" s="11" t="str">
        <x:v>五年</x:v>
      </x:c>
      <x:c r="C6030" s="11" t="str">
        <x:v>bfv_uc_later</x:v>
      </x:c>
      <x:c r="D6030" s="11" t="str">
        <x:v>2036-12-31</x:v>
      </x:c>
      <x:c r="E6030" s="11" t="str">
        <x:v>CNY</x:v>
      </x:c>
      <x:c r="F6030" s="11" t="n">
        <x:v>5.229295003422314</x:v>
      </x:c>
      <x:c r="G6030" s="26" t="b">
        <x:v>1</x:v>
      </x:c>
      <x:c r="H6030" s="16" t="n">
        <x:v>0.2745</x:v>
      </x:c>
      <x:c r="I6030" s="16" t="n">
        <x:v>0.528</x:v>
      </x:c>
      <x:c r="J6030" s="16" t="n">
        <x:v>0.63</x:v>
      </x:c>
      <x:c r="K6030" s="11" t="n">
        <x:f>CHOOSE('假设'!$B$3,H6030,I6030,J6030)</x:f>
        <x:v>0.528</x:v>
      </x:c>
      <x:c r="L6030" s="11" t="n">
        <x:f>K6030*'管线假设'!E1291*'管线假设'!F1291*'管线假设'!G1291*IF(E6030="USD",'管线假设'!I1291,1)-AM6030</x:f>
        <x:v>0.11506175999999999</x:v>
      </x:c>
      <x:c r="M6030" s="11" t="n">
        <x:f>'管线假设'!H1291</x:f>
        <x:v>0.14</x:v>
      </x:c>
      <x:c r="N6030" s="11" t="n">
        <x:f>IF(G6030,L6030*AN6030/(1+M6030)^F6030,0)</x:f>
        <x:v>0.05799075433233156</x:v>
      </x:c>
      <x:c r="AJ6030" t="n">
        <x:v>0</x:v>
      </x:c>
      <x:c r="AK6030" t="n">
        <x:v>0</x:v>
      </x:c>
      <x:c r="AL6030" t="n">
        <x:v>0</x:v>
      </x:c>
      <x:c r="AM6030" t="n">
        <x:f>CHOOSE('假设'!$B$3,AJ6030,AK6030,AL6030)</x:f>
        <x:v>0</x:v>
      </x:c>
      <x:c r="AN6030" t="n">
        <x:v>1</x:v>
      </x:c>
    </x:row>
    <x:row r="6031" ht="23" customHeight="1">
      <x:c r="A6031" s="11" t="str">
        <x:v>688062.SH</x:v>
      </x:c>
      <x:c r="B6031" s="11" t="str">
        <x:v>五年</x:v>
      </x:c>
      <x:c r="C6031" s="11" t="str">
        <x:v>bfv_uc_later</x:v>
      </x:c>
      <x:c r="D6031" s="11" t="str">
        <x:v>2037-12-31</x:v>
      </x:c>
      <x:c r="E6031" s="11" t="str">
        <x:v>CNY</x:v>
      </x:c>
      <x:c r="F6031" s="11" t="n">
        <x:v>6.228610540725531</x:v>
      </x:c>
      <x:c r="G6031" s="26" t="b">
        <x:v>1</x:v>
      </x:c>
      <x:c r="H6031" s="16" t="n">
        <x:v>0.216</x:v>
      </x:c>
      <x:c r="I6031" s="16" t="n">
        <x:v>0.385</x:v>
      </x:c>
      <x:c r="J6031" s="16" t="n">
        <x:v>0.39599999999999996</x:v>
      </x:c>
      <x:c r="K6031" s="11" t="n">
        <x:f>CHOOSE('假设'!$B$3,H6031,I6031,J6031)</x:f>
        <x:v>0.385</x:v>
      </x:c>
      <x:c r="L6031" s="11" t="n">
        <x:f>K6031*'管线假设'!E1291*'管线假设'!F1291*'管线假设'!G1291*IF(E6031="USD",'管线假设'!I1291,1)-AM6031</x:f>
        <x:v>0.0838992</x:v>
      </x:c>
      <x:c r="M6031" s="11" t="n">
        <x:f>'管线假设'!H1291</x:f>
        <x:v>0.14</x:v>
      </x:c>
      <x:c r="N6031" s="11" t="n">
        <x:f>IF(G6031,L6031*AN6031/(1+M6031)^F6031,0)</x:f>
        <x:v>0.03709536621358266</x:v>
      </x:c>
      <x:c r="AJ6031" t="n">
        <x:v>0</x:v>
      </x:c>
      <x:c r="AK6031" t="n">
        <x:v>0</x:v>
      </x:c>
      <x:c r="AL6031" t="n">
        <x:v>0</x:v>
      </x:c>
      <x:c r="AM6031" t="n">
        <x:f>CHOOSE('假设'!$B$3,AJ6031,AK6031,AL6031)</x:f>
        <x:v>0</x:v>
      </x:c>
      <x:c r="AN6031" t="n">
        <x:v>1</x:v>
      </x:c>
    </x:row>
    <x:row r="6032" ht="23" customHeight="1">
      <x:c r="A6032" s="11" t="str">
        <x:v>688062.SH</x:v>
      </x:c>
      <x:c r="B6032" s="11" t="str">
        <x:v>五年</x:v>
      </x:c>
      <x:c r="C6032" s="11" t="str">
        <x:v>bfv_uc_later</x:v>
      </x:c>
      <x:c r="D6032" s="11" t="str">
        <x:v>2038-12-31</x:v>
      </x:c>
      <x:c r="E6032" s="11" t="str">
        <x:v>CNY</x:v>
      </x:c>
      <x:c r="F6032" s="11" t="n">
        <x:v>7.227926078028747</x:v>
      </x:c>
      <x:c r="G6032" s="26" t="b">
        <x:v>1</x:v>
      </x:c>
      <x:c r="H6032" s="16" t="n">
        <x:v>0.1575</x:v>
      </x:c>
      <x:c r="I6032" s="16" t="n">
        <x:v>0.242</x:v>
      </x:c>
      <x:c r="J6032" s="16" t="n">
        <x:v>0.16199999999999995</x:v>
      </x:c>
      <x:c r="K6032" s="11" t="n">
        <x:f>CHOOSE('假设'!$B$3,H6032,I6032,J6032)</x:f>
        <x:v>0.242</x:v>
      </x:c>
      <x:c r="L6032" s="11" t="n">
        <x:f>K6032*'管线假设'!E1291*'管线假设'!F1291*'管线假设'!G1291*IF(E6032="USD",'管线假设'!I1291,1)-AM6032</x:f>
        <x:v>0.05273663999999999</x:v>
      </x:c>
      <x:c r="M6032" s="11" t="n">
        <x:f>'管线假设'!H1291</x:f>
        <x:v>0.14</x:v>
      </x:c>
      <x:c r="N6032" s="11" t="n">
        <x:f>IF(G6032,L6032*AN6032/(1+M6032)^F6032,0)</x:f>
        <x:v>0.020455419821670498</x:v>
      </x:c>
      <x:c r="AJ6032" t="n">
        <x:v>0</x:v>
      </x:c>
      <x:c r="AK6032" t="n">
        <x:v>0</x:v>
      </x:c>
      <x:c r="AL6032" t="n">
        <x:v>0</x:v>
      </x:c>
      <x:c r="AM6032" t="n">
        <x:f>CHOOSE('假设'!$B$3,AJ6032,AK6032,AL6032)</x:f>
        <x:v>0</x:v>
      </x:c>
      <x:c r="AN6032" t="n">
        <x:v>1</x:v>
      </x:c>
    </x:row>
    <x:row r="6033" ht="23" customHeight="1">
      <x:c r="A6033" s="11" t="str">
        <x:v>688062.SH</x:v>
      </x:c>
      <x:c r="B6033" s="11" t="str">
        <x:v>五年</x:v>
      </x:c>
      <x:c r="C6033" s="11" t="str">
        <x:v>bfv_uc_later</x:v>
      </x:c>
      <x:c r="D6033" s="11" t="str">
        <x:v>2039-12-31</x:v>
      </x:c>
      <x:c r="E6033" s="11" t="str">
        <x:v>CNY</x:v>
      </x:c>
      <x:c r="F6033" s="11" t="n">
        <x:v>8.227241615331964</x:v>
      </x:c>
      <x:c r="G6033" s="26" t="b">
        <x:v>1</x:v>
      </x:c>
      <x:c r="H6033" s="16" t="n">
        <x:v>0.09899999999999999</x:v>
      </x:c>
      <x:c r="I6033" s="16" t="n">
        <x:v>0.09899999999999998</x:v>
      </x:c>
      <x:c r="J6033" s="16" t="n">
        <x:v>0</x:v>
      </x:c>
      <x:c r="K6033" s="11" t="n">
        <x:f>CHOOSE('假设'!$B$3,H6033,I6033,J6033)</x:f>
        <x:v>0.09899999999999998</x:v>
      </x:c>
      <x:c r="L6033" s="11" t="n">
        <x:f>K6033*'管线假设'!E1291*'管线假设'!F1291*'管线假设'!G1291*IF(E6033="USD",'管线假设'!I1291,1)-AM6033</x:f>
        <x:v>0.021574079999999992</x:v>
      </x:c>
      <x:c r="M6033" s="11" t="n">
        <x:f>'管线假设'!H1291</x:f>
        <x:v>0.14</x:v>
      </x:c>
      <x:c r="N6033" s="11" t="n">
        <x:f>IF(G6033,L6033*AN6033/(1+M6033)^F6033,0)</x:f>
        <x:v>0.007341120009669442</x:v>
      </x:c>
      <x:c r="AJ6033" t="n">
        <x:v>0</x:v>
      </x:c>
      <x:c r="AK6033" t="n">
        <x:v>0</x:v>
      </x:c>
      <x:c r="AL6033" t="n">
        <x:v>0</x:v>
      </x:c>
      <x:c r="AM6033" t="n">
        <x:f>CHOOSE('假设'!$B$3,AJ6033,AK6033,AL6033)</x:f>
        <x:v>0</x:v>
      </x:c>
      <x:c r="AN6033" t="n">
        <x:v>1</x:v>
      </x:c>
    </x:row>
    <x:row r="6034" ht="23" customHeight="1">
      <x:c r="A6034" s="11" t="str">
        <x:v>688062.SH</x:v>
      </x:c>
      <x:c r="B6034" s="11" t="str">
        <x:v>五年</x:v>
      </x:c>
      <x:c r="C6034" s="11" t="str">
        <x:v>bfv_uc_later</x:v>
      </x:c>
      <x:c r="D6034" s="11" t="str">
        <x:v>2040-12-31</x:v>
      </x:c>
      <x:c r="E6034" s="11" t="str">
        <x:v>CNY</x:v>
      </x:c>
      <x:c r="F6034" s="11" t="n">
        <x:v>9.229295003422314</x:v>
      </x:c>
      <x:c r="G6034" s="26" t="b">
        <x:v>1</x:v>
      </x:c>
      <x:c r="H6034" s="16" t="n">
        <x:v>0.04049999999999999</x:v>
      </x:c>
      <x:c r="I6034" s="16" t="n">
        <x:v>0</x:v>
      </x:c>
      <x:c r="J6034" s="16" t="n">
        <x:v>0</x:v>
      </x:c>
      <x:c r="K6034" s="11" t="n">
        <x:f>CHOOSE('假设'!$B$3,H6034,I6034,J6034)</x:f>
        <x:v>0</x:v>
      </x:c>
      <x:c r="L6034" s="11" t="n">
        <x:f>K6034*'管线假设'!E1291*'管线假设'!F1291*'管线假设'!G1291*IF(E6034="USD",'管线假设'!I1291,1)-AM6034</x:f>
        <x:v>0</x:v>
      </x:c>
      <x:c r="M6034" s="11" t="n">
        <x:f>'管线假设'!H1291</x:f>
        <x:v>0.14</x:v>
      </x:c>
      <x:c r="N6034" s="11" t="n">
        <x:f>IF(G6034,L6034*AN6034/(1+M6034)^F6034,0)</x:f>
        <x:v>0</x:v>
      </x:c>
      <x:c r="AJ6034" t="n">
        <x:v>0</x:v>
      </x:c>
      <x:c r="AK6034" t="n">
        <x:v>0</x:v>
      </x:c>
      <x:c r="AL6034" t="n">
        <x:v>0</x:v>
      </x:c>
      <x:c r="AM6034" t="n">
        <x:f>CHOOSE('假设'!$B$3,AJ6034,AK6034,AL6034)</x:f>
        <x:v>0</x:v>
      </x:c>
      <x:c r="AN6034" t="n">
        <x:v>1</x:v>
      </x:c>
    </x:row>
    <x:row r="6035" ht="23" customHeight="1">
      <x:c r="A6035" s="11" t="str">
        <x:v>688062.SH</x:v>
      </x:c>
      <x:c r="B6035" s="11" t="str">
        <x:v>五年</x:v>
      </x:c>
      <x:c r="C6035" s="11" t="str">
        <x:v>bfv_uc_later</x:v>
      </x:c>
      <x:c r="D6035" s="11" t="str">
        <x:v>2041-12-31</x:v>
      </x:c>
      <x:c r="E6035" s="11" t="str">
        <x:v>CNY</x:v>
      </x:c>
      <x:c r="F6035" s="11" t="n">
        <x:v>10.22861054072553</x:v>
      </x:c>
      <x:c r="G6035" s="26" t="b">
        <x:v>1</x:v>
      </x:c>
      <x:c r="H6035" s="16" t="n">
        <x:v>0</x:v>
      </x:c>
      <x:c r="I6035" s="16" t="n">
        <x:v>0</x:v>
      </x:c>
      <x:c r="J6035" s="16" t="n">
        <x:v>0</x:v>
      </x:c>
      <x:c r="K6035" s="11" t="n">
        <x:f>CHOOSE('假设'!$B$3,H6035,I6035,J6035)</x:f>
        <x:v>0</x:v>
      </x:c>
      <x:c r="L6035" s="11" t="n">
        <x:f>K6035*'管线假设'!E1291*'管线假设'!F1291*'管线假设'!G1291*IF(E6035="USD",'管线假设'!I1291,1)-AM6035</x:f>
        <x:v>0</x:v>
      </x:c>
      <x:c r="M6035" s="11" t="n">
        <x:f>'管线假设'!H1291</x:f>
        <x:v>0.14</x:v>
      </x:c>
      <x:c r="N6035" s="11" t="n">
        <x:f>IF(G6035,L6035*AN6035/(1+M6035)^F6035,0)</x:f>
        <x:v>0</x:v>
      </x:c>
      <x:c r="AJ6035" t="n">
        <x:v>0</x:v>
      </x:c>
      <x:c r="AK6035" t="n">
        <x:v>0</x:v>
      </x:c>
      <x:c r="AL6035" t="n">
        <x:v>0</x:v>
      </x:c>
      <x:c r="AM6035" t="n">
        <x:f>CHOOSE('假设'!$B$3,AJ6035,AK6035,AL6035)</x:f>
        <x:v>0</x:v>
      </x:c>
      <x:c r="AN6035" t="n">
        <x:v>1</x:v>
      </x:c>
    </x:row>
    <x:row r="6036" ht="23" customHeight="1">
      <x:c r="A6036" s="11" t="str">
        <x:v>688062.SH</x:v>
      </x:c>
      <x:c r="B6036" s="11" t="str">
        <x:v>五年</x:v>
      </x:c>
      <x:c r="C6036" s="11" t="str">
        <x:v>bfv_uc_later</x:v>
      </x:c>
      <x:c r="D6036" s="11" t="str">
        <x:v>2042-12-31</x:v>
      </x:c>
      <x:c r="E6036" s="11" t="str">
        <x:v>CNY</x:v>
      </x:c>
      <x:c r="F6036" s="11" t="n">
        <x:v>11.227926078028748</x:v>
      </x:c>
      <x:c r="G6036" s="26" t="b">
        <x:v>1</x:v>
      </x:c>
      <x:c r="H6036" s="16" t="n">
        <x:v>0</x:v>
      </x:c>
      <x:c r="I6036" s="16" t="n">
        <x:v>0</x:v>
      </x:c>
      <x:c r="J6036" s="16" t="n">
        <x:v>0</x:v>
      </x:c>
      <x:c r="K6036" s="11" t="n">
        <x:f>CHOOSE('假设'!$B$3,H6036,I6036,J6036)</x:f>
        <x:v>0</x:v>
      </x:c>
      <x:c r="L6036" s="11" t="n">
        <x:f>K6036*'管线假设'!E1291*'管线假设'!F1291*'管线假设'!G1291*IF(E6036="USD",'管线假设'!I1291,1)-AM6036</x:f>
        <x:v>0</x:v>
      </x:c>
      <x:c r="M6036" s="11" t="n">
        <x:f>'管线假设'!H1291</x:f>
        <x:v>0.14</x:v>
      </x:c>
      <x:c r="N6036" s="11" t="n">
        <x:f>IF(G6036,L6036*AN6036/(1+M6036)^F6036,0)</x:f>
        <x:v>0</x:v>
      </x:c>
      <x:c r="AJ6036" t="n">
        <x:v>0</x:v>
      </x:c>
      <x:c r="AK6036" t="n">
        <x:v>0</x:v>
      </x:c>
      <x:c r="AL6036" t="n">
        <x:v>0</x:v>
      </x:c>
      <x:c r="AM6036" t="n">
        <x:f>CHOOSE('假设'!$B$3,AJ6036,AK6036,AL6036)</x:f>
        <x:v>0</x:v>
      </x:c>
      <x:c r="AN6036" t="n">
        <x:v>1</x:v>
      </x:c>
    </x:row>
    <x:row r="6037" ht="23" customHeight="1">
      <x:c r="A6037" s="11" t="str">
        <x:v>688062.SH</x:v>
      </x:c>
      <x:c r="B6037" s="11" t="str">
        <x:v>五年</x:v>
      </x:c>
      <x:c r="C6037" s="11" t="str">
        <x:v>bfv_uc_later</x:v>
      </x:c>
      <x:c r="D6037" s="11" t="str">
        <x:v>2043-12-31</x:v>
      </x:c>
      <x:c r="E6037" s="11" t="str">
        <x:v>CNY</x:v>
      </x:c>
      <x:c r="F6037" s="11" t="n">
        <x:v>12.227241615331964</x:v>
      </x:c>
      <x:c r="G6037" s="26" t="b">
        <x:v>1</x:v>
      </x:c>
      <x:c r="H6037" s="16" t="n">
        <x:v>0</x:v>
      </x:c>
      <x:c r="I6037" s="16" t="n">
        <x:v>0</x:v>
      </x:c>
      <x:c r="J6037" s="16" t="n">
        <x:v>0</x:v>
      </x:c>
      <x:c r="K6037" s="11" t="n">
        <x:f>CHOOSE('假设'!$B$3,H6037,I6037,J6037)</x:f>
        <x:v>0</x:v>
      </x:c>
      <x:c r="L6037" s="11" t="n">
        <x:f>K6037*'管线假设'!E1291*'管线假设'!F1291*'管线假设'!G1291*IF(E6037="USD",'管线假设'!I1291,1)-AM6037</x:f>
        <x:v>0</x:v>
      </x:c>
      <x:c r="M6037" s="11" t="n">
        <x:f>'管线假设'!H1291</x:f>
        <x:v>0.14</x:v>
      </x:c>
      <x:c r="N6037" s="11" t="n">
        <x:f>IF(G6037,L6037*AN6037/(1+M6037)^F6037,0)</x:f>
        <x:v>0</x:v>
      </x:c>
      <x:c r="AJ6037" t="n">
        <x:v>0</x:v>
      </x:c>
      <x:c r="AK6037" t="n">
        <x:v>0</x:v>
      </x:c>
      <x:c r="AL6037" t="n">
        <x:v>0</x:v>
      </x:c>
      <x:c r="AM6037" t="n">
        <x:f>CHOOSE('假设'!$B$3,AJ6037,AK6037,AL6037)</x:f>
        <x:v>0</x:v>
      </x:c>
      <x:c r="AN6037" t="n">
        <x:v>1</x:v>
      </x:c>
    </x:row>
    <x:row r="6038" ht="23" customHeight="1">
      <x:c r="A6038" s="11" t="str">
        <x:v>688062.SH</x:v>
      </x:c>
      <x:c r="B6038" s="11" t="str">
        <x:v>五年</x:v>
      </x:c>
      <x:c r="C6038" s="11" t="str">
        <x:v>bfv_uc_later</x:v>
      </x:c>
      <x:c r="D6038" s="11" t="str">
        <x:v>2044-12-31</x:v>
      </x:c>
      <x:c r="E6038" s="11" t="str">
        <x:v>CNY</x:v>
      </x:c>
      <x:c r="F6038" s="11" t="n">
        <x:v>13.229295003422314</x:v>
      </x:c>
      <x:c r="G6038" s="26" t="b">
        <x:v>1</x:v>
      </x:c>
      <x:c r="H6038" s="16" t="n">
        <x:v>0</x:v>
      </x:c>
      <x:c r="I6038" s="16" t="n">
        <x:v>0</x:v>
      </x:c>
      <x:c r="J6038" s="16" t="n">
        <x:v>0</x:v>
      </x:c>
      <x:c r="K6038" s="11" t="n">
        <x:f>CHOOSE('假设'!$B$3,H6038,I6038,J6038)</x:f>
        <x:v>0</x:v>
      </x:c>
      <x:c r="L6038" s="11" t="n">
        <x:f>K6038*'管线假设'!E1291*'管线假设'!F1291*'管线假设'!G1291*IF(E6038="USD",'管线假设'!I1291,1)-AM6038</x:f>
        <x:v>0</x:v>
      </x:c>
      <x:c r="M6038" s="11" t="n">
        <x:f>'管线假设'!H1291</x:f>
        <x:v>0.14</x:v>
      </x:c>
      <x:c r="N6038" s="11" t="n">
        <x:f>IF(G6038,L6038*AN6038/(1+M6038)^F6038,0)</x:f>
        <x:v>0</x:v>
      </x:c>
      <x:c r="AJ6038" t="n">
        <x:v>0</x:v>
      </x:c>
      <x:c r="AK6038" t="n">
        <x:v>0</x:v>
      </x:c>
      <x:c r="AL6038" t="n">
        <x:v>0</x:v>
      </x:c>
      <x:c r="AM6038" t="n">
        <x:f>CHOOSE('假设'!$B$3,AJ6038,AK6038,AL6038)</x:f>
        <x:v>0</x:v>
      </x:c>
      <x:c r="AN6038" t="n">
        <x:v>1</x:v>
      </x:c>
    </x:row>
    <x:row r="6039" ht="23" customHeight="1">
      <x:c r="A6039" s="11" t="str">
        <x:v>688062.SH</x:v>
      </x:c>
      <x:c r="B6039" s="11" t="str">
        <x:v>五年</x:v>
      </x:c>
      <x:c r="C6039" s="11" t="str">
        <x:v>bfv_uc_later</x:v>
      </x:c>
      <x:c r="D6039" s="11" t="str">
        <x:v>2045-12-31</x:v>
      </x:c>
      <x:c r="E6039" s="11" t="str">
        <x:v>CNY</x:v>
      </x:c>
      <x:c r="F6039" s="11" t="n">
        <x:v>14.22861054072553</x:v>
      </x:c>
      <x:c r="G6039" s="26" t="b">
        <x:v>1</x:v>
      </x:c>
      <x:c r="H6039" s="16" t="n">
        <x:v>0</x:v>
      </x:c>
      <x:c r="I6039" s="16" t="n">
        <x:v>0</x:v>
      </x:c>
      <x:c r="J6039" s="16" t="n">
        <x:v>0</x:v>
      </x:c>
      <x:c r="K6039" s="11" t="n">
        <x:f>CHOOSE('假设'!$B$3,H6039,I6039,J6039)</x:f>
        <x:v>0</x:v>
      </x:c>
      <x:c r="L6039" s="11" t="n">
        <x:f>K6039*'管线假设'!E1291*'管线假设'!F1291*'管线假设'!G1291*IF(E6039="USD",'管线假设'!I1291,1)-AM6039</x:f>
        <x:v>0</x:v>
      </x:c>
      <x:c r="M6039" s="11" t="n">
        <x:f>'管线假设'!H1291</x:f>
        <x:v>0.14</x:v>
      </x:c>
      <x:c r="N6039" s="11" t="n">
        <x:f>IF(G6039,L6039*AN6039/(1+M6039)^F6039,0)</x:f>
        <x:v>0</x:v>
      </x:c>
      <x:c r="AJ6039" t="n">
        <x:v>0</x:v>
      </x:c>
      <x:c r="AK6039" t="n">
        <x:v>0</x:v>
      </x:c>
      <x:c r="AL6039" t="n">
        <x:v>0</x:v>
      </x:c>
      <x:c r="AM6039" t="n">
        <x:f>CHOOSE('假设'!$B$3,AJ6039,AK6039,AL6039)</x:f>
        <x:v>0</x:v>
      </x:c>
      <x:c r="AN6039" t="n">
        <x:v>1</x:v>
      </x:c>
    </x:row>
    <x:row r="6040" ht="23" customHeight="1">
      <x:c r="A6040" s="11" t="str">
        <x:v>688062.SH</x:v>
      </x:c>
      <x:c r="B6040" s="11" t="str">
        <x:v>五年</x:v>
      </x:c>
      <x:c r="C6040" s="11" t="str">
        <x:v>bfv_uc_first</x:v>
      </x:c>
      <x:c r="D6040" s="11" t="str">
        <x:v>2027-12-31</x:v>
      </x:c>
      <x:c r="E6040" s="11" t="str">
        <x:v>CNY</x:v>
      </x:c>
      <x:c r="F6040" s="11" t="n">
        <x:v>-3.7727583846680357</x:v>
      </x:c>
      <x:c r="G6040" s="26" t="b">
        <x:v>0</x:v>
      </x:c>
      <x:c r="H6040" s="16" t="n">
        <x:v>0</x:v>
      </x:c>
      <x:c r="I6040" s="16" t="n">
        <x:v>0</x:v>
      </x:c>
      <x:c r="J6040" s="16" t="n">
        <x:v>0.6</x:v>
      </x:c>
      <x:c r="K6040" s="11" t="n">
        <x:f>CHOOSE('假设'!$B$3,H6040,I6040,J6040)</x:f>
        <x:v>0</x:v>
      </x:c>
      <x:c r="L6040" s="11" t="n">
        <x:f>K6040*'管线假设'!E1295*'管线假设'!F1295*'管线假设'!G1295*IF(E6040="USD",'管线假设'!I1295,1)-AM6040</x:f>
        <x:v>0</x:v>
      </x:c>
      <x:c r="M6040" s="11" t="n">
        <x:f>'管线假设'!H1295</x:f>
        <x:v>0.14</x:v>
      </x:c>
      <x:c r="N6040" s="11" t="n">
        <x:f>IF(G6040,L6040*AN6040/(1+M6040)^F6040,0)</x:f>
        <x:v>0</x:v>
      </x:c>
      <x:c r="AJ6040" t="n">
        <x:v>0</x:v>
      </x:c>
      <x:c r="AK6040" t="n">
        <x:v>0</x:v>
      </x:c>
      <x:c r="AL6040" t="n">
        <x:v>0</x:v>
      </x:c>
      <x:c r="AM6040" t="n">
        <x:f>CHOOSE('假设'!$B$3,AJ6040,AK6040,AL6040)</x:f>
        <x:v>0</x:v>
      </x:c>
      <x:c r="AN6040" t="n">
        <x:v>1</x:v>
      </x:c>
    </x:row>
    <x:row r="6041" ht="23" customHeight="1">
      <x:c r="A6041" s="11" t="str">
        <x:v>688062.SH</x:v>
      </x:c>
      <x:c r="B6041" s="11" t="str">
        <x:v>五年</x:v>
      </x:c>
      <x:c r="C6041" s="11" t="str">
        <x:v>bfv_uc_first</x:v>
      </x:c>
      <x:c r="D6041" s="11" t="str">
        <x:v>2028-12-31</x:v>
      </x:c>
      <x:c r="E6041" s="11" t="str">
        <x:v>CNY</x:v>
      </x:c>
      <x:c r="F6041" s="11" t="n">
        <x:v>-2.7707049965776864</x:v>
      </x:c>
      <x:c r="G6041" s="26" t="b">
        <x:v>0</x:v>
      </x:c>
      <x:c r="H6041" s="16" t="n">
        <x:v>0</x:v>
      </x:c>
      <x:c r="I6041" s="16" t="n">
        <x:v>0.3333333333333333</x:v>
      </x:c>
      <x:c r="J6041" s="16" t="n">
        <x:v>1.2</x:v>
      </x:c>
      <x:c r="K6041" s="11" t="n">
        <x:f>CHOOSE('假设'!$B$3,H6041,I6041,J6041)</x:f>
        <x:v>0.3333333333333333</x:v>
      </x:c>
      <x:c r="L6041" s="11" t="n">
        <x:f>K6041*'管线假设'!E1295*'管线假设'!F1295*'管线假设'!G1295*IF(E6041="USD",'管线假设'!I1295,1)-AM6041</x:f>
        <x:v>0.0676</x:v>
      </x:c>
      <x:c r="M6041" s="11" t="n">
        <x:f>'管线假设'!H1295</x:f>
        <x:v>0.14</x:v>
      </x:c>
      <x:c r="N6041" s="11" t="n">
        <x:f>IF(G6041,L6041*AN6041/(1+M6041)^F6041,0)</x:f>
        <x:v>0</x:v>
      </x:c>
      <x:c r="AJ6041" t="n">
        <x:v>0</x:v>
      </x:c>
      <x:c r="AK6041" t="n">
        <x:v>0</x:v>
      </x:c>
      <x:c r="AL6041" t="n">
        <x:v>0</x:v>
      </x:c>
      <x:c r="AM6041" t="n">
        <x:f>CHOOSE('假设'!$B$3,AJ6041,AK6041,AL6041)</x:f>
        <x:v>0</x:v>
      </x:c>
      <x:c r="AN6041" t="n">
        <x:v>1</x:v>
      </x:c>
    </x:row>
    <x:row r="6042" ht="23" customHeight="1">
      <x:c r="A6042" s="11" t="str">
        <x:v>688062.SH</x:v>
      </x:c>
      <x:c r="B6042" s="11" t="str">
        <x:v>五年</x:v>
      </x:c>
      <x:c r="C6042" s="11" t="str">
        <x:v>bfv_uc_first</x:v>
      </x:c>
      <x:c r="D6042" s="11" t="str">
        <x:v>2029-12-31</x:v>
      </x:c>
      <x:c r="E6042" s="11" t="str">
        <x:v>CNY</x:v>
      </x:c>
      <x:c r="F6042" s="11" t="n">
        <x:v>-1.7713894592744694</x:v>
      </x:c>
      <x:c r="G6042" s="26" t="b">
        <x:v>0</x:v>
      </x:c>
      <x:c r="H6042" s="16" t="n">
        <x:v>0</x:v>
      </x:c>
      <x:c r="I6042" s="16" t="n">
        <x:v>0.6666666666666666</x:v>
      </x:c>
      <x:c r="J6042" s="16" t="n">
        <x:v>1.8</x:v>
      </x:c>
      <x:c r="K6042" s="11" t="n">
        <x:f>CHOOSE('假设'!$B$3,H6042,I6042,J6042)</x:f>
        <x:v>0.6666666666666666</x:v>
      </x:c>
      <x:c r="L6042" s="11" t="n">
        <x:f>K6042*'管线假设'!E1295*'管线假设'!F1295*'管线假设'!G1295*IF(E6042="USD",'管线假设'!I1295,1)-AM6042</x:f>
        <x:v>0.1352</x:v>
      </x:c>
      <x:c r="M6042" s="11" t="n">
        <x:f>'管线假设'!H1295</x:f>
        <x:v>0.14</x:v>
      </x:c>
      <x:c r="N6042" s="11" t="n">
        <x:f>IF(G6042,L6042*AN6042/(1+M6042)^F6042,0)</x:f>
        <x:v>0</x:v>
      </x:c>
      <x:c r="AJ6042" t="n">
        <x:v>0</x:v>
      </x:c>
      <x:c r="AK6042" t="n">
        <x:v>0</x:v>
      </x:c>
      <x:c r="AL6042" t="n">
        <x:v>0</x:v>
      </x:c>
      <x:c r="AM6042" t="n">
        <x:f>CHOOSE('假设'!$B$3,AJ6042,AK6042,AL6042)</x:f>
        <x:v>0</x:v>
      </x:c>
      <x:c r="AN6042" t="n">
        <x:v>1</x:v>
      </x:c>
    </x:row>
    <x:row r="6043" ht="23" customHeight="1">
      <x:c r="A6043" s="11" t="str">
        <x:v>688062.SH</x:v>
      </x:c>
      <x:c r="B6043" s="11" t="str">
        <x:v>五年</x:v>
      </x:c>
      <x:c r="C6043" s="11" t="str">
        <x:v>bfv_uc_first</x:v>
      </x:c>
      <x:c r="D6043" s="11" t="str">
        <x:v>2030-12-31</x:v>
      </x:c>
      <x:c r="E6043" s="11" t="str">
        <x:v>CNY</x:v>
      </x:c>
      <x:c r="F6043" s="11" t="n">
        <x:v>-0.7720739219712526</x:v>
      </x:c>
      <x:c r="G6043" s="26" t="b">
        <x:v>0</x:v>
      </x:c>
      <x:c r="H6043" s="16" t="n">
        <x:v>0.16000000000000003</x:v>
      </x:c>
      <x:c r="I6043" s="16" t="n">
        <x:v>1</x:v>
      </x:c>
      <x:c r="J6043" s="16" t="n">
        <x:v>2.4</x:v>
      </x:c>
      <x:c r="K6043" s="11" t="n">
        <x:f>CHOOSE('假设'!$B$3,H6043,I6043,J6043)</x:f>
        <x:v>1</x:v>
      </x:c>
      <x:c r="L6043" s="11" t="n">
        <x:f>K6043*'管线假设'!E1295*'管线假设'!F1295*'管线假设'!G1295*IF(E6043="USD",'管线假设'!I1295,1)-AM6043</x:f>
        <x:v>0.2028</x:v>
      </x:c>
      <x:c r="M6043" s="11" t="n">
        <x:f>'管线假设'!H1295</x:f>
        <x:v>0.14</x:v>
      </x:c>
      <x:c r="N6043" s="11" t="n">
        <x:f>IF(G6043,L6043*AN6043/(1+M6043)^F6043,0)</x:f>
        <x:v>0</x:v>
      </x:c>
      <x:c r="AJ6043" t="n">
        <x:v>0</x:v>
      </x:c>
      <x:c r="AK6043" t="n">
        <x:v>0</x:v>
      </x:c>
      <x:c r="AL6043" t="n">
        <x:v>0</x:v>
      </x:c>
      <x:c r="AM6043" t="n">
        <x:f>CHOOSE('假设'!$B$3,AJ6043,AK6043,AL6043)</x:f>
        <x:v>0</x:v>
      </x:c>
      <x:c r="AN6043" t="n">
        <x:v>1</x:v>
      </x:c>
    </x:row>
    <x:row r="6044" ht="23" customHeight="1">
      <x:c r="A6044" s="11" t="str">
        <x:v>688062.SH</x:v>
      </x:c>
      <x:c r="B6044" s="11" t="str">
        <x:v>五年</x:v>
      </x:c>
      <x:c r="C6044" s="11" t="str">
        <x:v>bfv_uc_first</x:v>
      </x:c>
      <x:c r="D6044" s="11" t="str">
        <x:v>2031-12-31</x:v>
      </x:c>
      <x:c r="E6044" s="11" t="str">
        <x:v>CNY</x:v>
      </x:c>
      <x:c r="F6044" s="11" t="n">
        <x:v>0.2272416153319644</x:v>
      </x:c>
      <x:c r="G6044" s="26" t="b">
        <x:v>1</x:v>
      </x:c>
      <x:c r="H6044" s="16" t="n">
        <x:v>0.32000000000000006</x:v>
      </x:c>
      <x:c r="I6044" s="16" t="n">
        <x:v>1.3333333333333333</x:v>
      </x:c>
      <x:c r="J6044" s="16" t="n">
        <x:v>3</x:v>
      </x:c>
      <x:c r="K6044" s="11" t="n">
        <x:f>CHOOSE('假设'!$B$3,H6044,I6044,J6044)</x:f>
        <x:v>1.3333333333333333</x:v>
      </x:c>
      <x:c r="L6044" s="11" t="n">
        <x:f>K6044*'管线假设'!E1295*'管线假设'!F1295*'管线假设'!G1295*IF(E6044="USD",'管线假设'!I1295,1)-AM6044</x:f>
        <x:v>0.2704</x:v>
      </x:c>
      <x:c r="M6044" s="11" t="n">
        <x:f>'管线假设'!H1295</x:f>
        <x:v>0.14</x:v>
      </x:c>
      <x:c r="N6044" s="11" t="n">
        <x:f>IF(G6044,L6044*AN6044/(1+M6044)^F6044,0)</x:f>
        <x:v>0.26246750139700953</x:v>
      </x:c>
      <x:c r="AJ6044" t="n">
        <x:v>0</x:v>
      </x:c>
      <x:c r="AK6044" t="n">
        <x:v>0</x:v>
      </x:c>
      <x:c r="AL6044" t="n">
        <x:v>0</x:v>
      </x:c>
      <x:c r="AM6044" t="n">
        <x:f>CHOOSE('假设'!$B$3,AJ6044,AK6044,AL6044)</x:f>
        <x:v>0</x:v>
      </x:c>
      <x:c r="AN6044" t="n">
        <x:v>1</x:v>
      </x:c>
    </x:row>
    <x:row r="6045" ht="23" customHeight="1">
      <x:c r="A6045" s="11" t="str">
        <x:v>688062.SH</x:v>
      </x:c>
      <x:c r="B6045" s="11" t="str">
        <x:v>五年</x:v>
      </x:c>
      <x:c r="C6045" s="11" t="str">
        <x:v>bfv_uc_first</x:v>
      </x:c>
      <x:c r="D6045" s="11" t="str">
        <x:v>2032-12-31</x:v>
      </x:c>
      <x:c r="E6045" s="11" t="str">
        <x:v>CNY</x:v>
      </x:c>
      <x:c r="F6045" s="11" t="n">
        <x:v>1.2292950034223136</x:v>
      </x:c>
      <x:c r="G6045" s="26" t="b">
        <x:v>1</x:v>
      </x:c>
      <x:c r="H6045" s="16" t="n">
        <x:v>0.48</x:v>
      </x:c>
      <x:c r="I6045" s="16" t="n">
        <x:v>1.6666666666666667</x:v>
      </x:c>
      <x:c r="J6045" s="16" t="n">
        <x:v>3.6</x:v>
      </x:c>
      <x:c r="K6045" s="11" t="n">
        <x:f>CHOOSE('假设'!$B$3,H6045,I6045,J6045)</x:f>
        <x:v>1.6666666666666667</x:v>
      </x:c>
      <x:c r="L6045" s="11" t="n">
        <x:f>K6045*'管线假设'!E1295*'管线假设'!F1295*'管线假设'!G1295*IF(E6045="USD",'管线假设'!I1295,1)-AM6045</x:f>
        <x:v>0.338</x:v>
      </x:c>
      <x:c r="M6045" s="11" t="n">
        <x:f>'管线假设'!H1295</x:f>
        <x:v>0.14</x:v>
      </x:c>
      <x:c r="N6045" s="11" t="n">
        <x:f>IF(G6045,L6045*AN6045/(1+M6045)^F6045,0)</x:f>
        <x:v>0.2877158920208725</x:v>
      </x:c>
      <x:c r="AJ6045" t="n">
        <x:v>0</x:v>
      </x:c>
      <x:c r="AK6045" t="n">
        <x:v>0</x:v>
      </x:c>
      <x:c r="AL6045" t="n">
        <x:v>0</x:v>
      </x:c>
      <x:c r="AM6045" t="n">
        <x:f>CHOOSE('假设'!$B$3,AJ6045,AK6045,AL6045)</x:f>
        <x:v>0</x:v>
      </x:c>
      <x:c r="AN6045" t="n">
        <x:v>1</x:v>
      </x:c>
    </x:row>
    <x:row r="6046" ht="23" customHeight="1">
      <x:c r="A6046" s="11" t="str">
        <x:v>688062.SH</x:v>
      </x:c>
      <x:c r="B6046" s="11" t="str">
        <x:v>五年</x:v>
      </x:c>
      <x:c r="C6046" s="11" t="str">
        <x:v>bfv_uc_first</x:v>
      </x:c>
      <x:c r="D6046" s="11" t="str">
        <x:v>2033-12-31</x:v>
      </x:c>
      <x:c r="E6046" s="11" t="str">
        <x:v>CNY</x:v>
      </x:c>
      <x:c r="F6046" s="11" t="n">
        <x:v>2.2286105407255303</x:v>
      </x:c>
      <x:c r="G6046" s="26" t="b">
        <x:v>1</x:v>
      </x:c>
      <x:c r="H6046" s="16" t="n">
        <x:v>0.6400000000000001</x:v>
      </x:c>
      <x:c r="I6046" s="16" t="n">
        <x:v>2</x:v>
      </x:c>
      <x:c r="J6046" s="16" t="n">
        <x:v>3.132</x:v>
      </x:c>
      <x:c r="K6046" s="11" t="n">
        <x:f>CHOOSE('假设'!$B$3,H6046,I6046,J6046)</x:f>
        <x:v>2</x:v>
      </x:c>
      <x:c r="L6046" s="11" t="n">
        <x:f>K6046*'管线假设'!E1295*'管线假设'!F1295*'管线假设'!G1295*IF(E6046="USD",'管线假设'!I1295,1)-AM6046</x:f>
        <x:v>0.4056</x:v>
      </x:c>
      <x:c r="M6046" s="11" t="n">
        <x:f>'管线假设'!H1295</x:f>
        <x:v>0.14</x:v>
      </x:c>
      <x:c r="N6046" s="11" t="n">
        <x:f>IF(G6046,L6046*AN6046/(1+M6046)^F6046,0)</x:f>
        <x:v>0.3028859965030709</x:v>
      </x:c>
      <x:c r="AJ6046" t="n">
        <x:v>0</x:v>
      </x:c>
      <x:c r="AK6046" t="n">
        <x:v>0</x:v>
      </x:c>
      <x:c r="AL6046" t="n">
        <x:v>0</x:v>
      </x:c>
      <x:c r="AM6046" t="n">
        <x:f>CHOOSE('假设'!$B$3,AJ6046,AK6046,AL6046)</x:f>
        <x:v>0</x:v>
      </x:c>
      <x:c r="AN6046" t="n">
        <x:v>1</x:v>
      </x:c>
    </x:row>
    <x:row r="6047" ht="23" customHeight="1">
      <x:c r="A6047" s="11" t="str">
        <x:v>688062.SH</x:v>
      </x:c>
      <x:c r="B6047" s="11" t="str">
        <x:v>五年</x:v>
      </x:c>
      <x:c r="C6047" s="11" t="str">
        <x:v>bfv_uc_first</x:v>
      </x:c>
      <x:c r="D6047" s="11" t="str">
        <x:v>2034-12-31</x:v>
      </x:c>
      <x:c r="E6047" s="11" t="str">
        <x:v>CNY</x:v>
      </x:c>
      <x:c r="F6047" s="11" t="n">
        <x:v>3.2279260780287475</x:v>
      </x:c>
      <x:c r="G6047" s="26" t="b">
        <x:v>1</x:v>
      </x:c>
      <x:c r="H6047" s="16" t="n">
        <x:v>0.8</x:v>
      </x:c>
      <x:c r="I6047" s="16" t="n">
        <x:v>1.74</x:v>
      </x:c>
      <x:c r="J6047" s="16" t="n">
        <x:v>2.664</x:v>
      </x:c>
      <x:c r="K6047" s="11" t="n">
        <x:f>CHOOSE('假设'!$B$3,H6047,I6047,J6047)</x:f>
        <x:v>1.74</x:v>
      </x:c>
      <x:c r="L6047" s="11" t="n">
        <x:f>K6047*'管线假设'!E1295*'管线假设'!F1295*'管线假设'!G1295*IF(E6047="USD",'管线假设'!I1295,1)-AM6047</x:f>
        <x:v>0.352872</x:v>
      </x:c>
      <x:c r="M6047" s="11" t="n">
        <x:f>'管线假设'!H1295</x:f>
        <x:v>0.14</x:v>
      </x:c>
      <x:c r="N6047" s="11" t="n">
        <x:f>IF(G6047,L6047*AN6047/(1+M6047)^F6047,0)</x:f>
        <x:v>0.2311705707986306</x:v>
      </x:c>
      <x:c r="AJ6047" t="n">
        <x:v>0</x:v>
      </x:c>
      <x:c r="AK6047" t="n">
        <x:v>0</x:v>
      </x:c>
      <x:c r="AL6047" t="n">
        <x:v>0</x:v>
      </x:c>
      <x:c r="AM6047" t="n">
        <x:f>CHOOSE('假设'!$B$3,AJ6047,AK6047,AL6047)</x:f>
        <x:v>0</x:v>
      </x:c>
      <x:c r="AN6047" t="n">
        <x:v>1</x:v>
      </x:c>
    </x:row>
    <x:row r="6048" ht="23" customHeight="1">
      <x:c r="A6048" s="11" t="str">
        <x:v>688062.SH</x:v>
      </x:c>
      <x:c r="B6048" s="11" t="str">
        <x:v>五年</x:v>
      </x:c>
      <x:c r="C6048" s="11" t="str">
        <x:v>bfv_uc_first</x:v>
      </x:c>
      <x:c r="D6048" s="11" t="str">
        <x:v>2035-12-31</x:v>
      </x:c>
      <x:c r="E6048" s="11" t="str">
        <x:v>CNY</x:v>
      </x:c>
      <x:c r="F6048" s="11" t="n">
        <x:v>4.227241615331964</x:v>
      </x:c>
      <x:c r="G6048" s="26" t="b">
        <x:v>1</x:v>
      </x:c>
      <x:c r="H6048" s="16" t="n">
        <x:v>0.6960000000000001</x:v>
      </x:c>
      <x:c r="I6048" s="16" t="n">
        <x:v>1.48</x:v>
      </x:c>
      <x:c r="J6048" s="16" t="n">
        <x:v>2.196</x:v>
      </x:c>
      <x:c r="K6048" s="11" t="n">
        <x:f>CHOOSE('假设'!$B$3,H6048,I6048,J6048)</x:f>
        <x:v>1.48</x:v>
      </x:c>
      <x:c r="L6048" s="11" t="n">
        <x:f>K6048*'管线假设'!E1295*'管线假设'!F1295*'管线假设'!G1295*IF(E6048="USD",'管线假设'!I1295,1)-AM6048</x:f>
        <x:v>0.300144</x:v>
      </x:c>
      <x:c r="M6048" s="11" t="n">
        <x:f>'管线假设'!H1295</x:f>
        <x:v>0.14</x:v>
      </x:c>
      <x:c r="N6048" s="11" t="n">
        <x:f>IF(G6048,L6048*AN6048/(1+M6048)^F6048,0)</x:f>
        <x:v>0.17249603244086023</x:v>
      </x:c>
      <x:c r="AJ6048" t="n">
        <x:v>0</x:v>
      </x:c>
      <x:c r="AK6048" t="n">
        <x:v>0</x:v>
      </x:c>
      <x:c r="AL6048" t="n">
        <x:v>0</x:v>
      </x:c>
      <x:c r="AM6048" t="n">
        <x:f>CHOOSE('假设'!$B$3,AJ6048,AK6048,AL6048)</x:f>
        <x:v>0</x:v>
      </x:c>
      <x:c r="AN6048" t="n">
        <x:v>1</x:v>
      </x:c>
    </x:row>
    <x:row r="6049" ht="23" customHeight="1">
      <x:c r="A6049" s="11" t="str">
        <x:v>688062.SH</x:v>
      </x:c>
      <x:c r="B6049" s="11" t="str">
        <x:v>五年</x:v>
      </x:c>
      <x:c r="C6049" s="11" t="str">
        <x:v>bfv_uc_first</x:v>
      </x:c>
      <x:c r="D6049" s="11" t="str">
        <x:v>2036-12-31</x:v>
      </x:c>
      <x:c r="E6049" s="11" t="str">
        <x:v>CNY</x:v>
      </x:c>
      <x:c r="F6049" s="11" t="n">
        <x:v>5.229295003422314</x:v>
      </x:c>
      <x:c r="G6049" s="26" t="b">
        <x:v>1</x:v>
      </x:c>
      <x:c r="H6049" s="16" t="n">
        <x:v>0.592</x:v>
      </x:c>
      <x:c r="I6049" s="16" t="n">
        <x:v>1.22</x:v>
      </x:c>
      <x:c r="J6049" s="16" t="n">
        <x:v>1.728</x:v>
      </x:c>
      <x:c r="K6049" s="11" t="n">
        <x:f>CHOOSE('假设'!$B$3,H6049,I6049,J6049)</x:f>
        <x:v>1.22</x:v>
      </x:c>
      <x:c r="L6049" s="11" t="n">
        <x:f>K6049*'管线假设'!E1295*'管线假设'!F1295*'管线假设'!G1295*IF(E6049="USD",'管线假设'!I1295,1)-AM6049</x:f>
        <x:v>0.247416</x:v>
      </x:c>
      <x:c r="M6049" s="11" t="n">
        <x:f>'管线假设'!H1295</x:f>
        <x:v>0.14</x:v>
      </x:c>
      <x:c r="N6049" s="11" t="n">
        <x:f>IF(G6049,L6049*AN6049/(1+M6049)^F6049,0)</x:f>
        <x:v>0.12469686257091969</x:v>
      </x:c>
      <x:c r="AJ6049" t="n">
        <x:v>0</x:v>
      </x:c>
      <x:c r="AK6049" t="n">
        <x:v>0</x:v>
      </x:c>
      <x:c r="AL6049" t="n">
        <x:v>0</x:v>
      </x:c>
      <x:c r="AM6049" t="n">
        <x:f>CHOOSE('假设'!$B$3,AJ6049,AK6049,AL6049)</x:f>
        <x:v>0</x:v>
      </x:c>
      <x:c r="AN6049" t="n">
        <x:v>1</x:v>
      </x:c>
    </x:row>
    <x:row r="6050" ht="23" customHeight="1">
      <x:c r="A6050" s="11" t="str">
        <x:v>688062.SH</x:v>
      </x:c>
      <x:c r="B6050" s="11" t="str">
        <x:v>五年</x:v>
      </x:c>
      <x:c r="C6050" s="11" t="str">
        <x:v>bfv_uc_first</x:v>
      </x:c>
      <x:c r="D6050" s="11" t="str">
        <x:v>2037-12-31</x:v>
      </x:c>
      <x:c r="E6050" s="11" t="str">
        <x:v>CNY</x:v>
      </x:c>
      <x:c r="F6050" s="11" t="n">
        <x:v>6.228610540725531</x:v>
      </x:c>
      <x:c r="G6050" s="26" t="b">
        <x:v>1</x:v>
      </x:c>
      <x:c r="H6050" s="16" t="n">
        <x:v>0.488</x:v>
      </x:c>
      <x:c r="I6050" s="16" t="n">
        <x:v>0.96</x:v>
      </x:c>
      <x:c r="J6050" s="16" t="n">
        <x:v>1.26</x:v>
      </x:c>
      <x:c r="K6050" s="11" t="n">
        <x:f>CHOOSE('假设'!$B$3,H6050,I6050,J6050)</x:f>
        <x:v>0.96</x:v>
      </x:c>
      <x:c r="L6050" s="11" t="n">
        <x:f>K6050*'管线假设'!E1295*'管线假设'!F1295*'管线假设'!G1295*IF(E6050="USD",'管线假设'!I1295,1)-AM6050</x:f>
        <x:v>0.194688</x:v>
      </x:c>
      <x:c r="M6050" s="11" t="n">
        <x:f>'管线假设'!H1295</x:f>
        <x:v>0.14</x:v>
      </x:c>
      <x:c r="N6050" s="11" t="n">
        <x:f>IF(G6050,L6050*AN6050/(1+M6050)^F6050,0)</x:f>
        <x:v>0.08607975591412054</x:v>
      </x:c>
      <x:c r="AJ6050" t="n">
        <x:v>0</x:v>
      </x:c>
      <x:c r="AK6050" t="n">
        <x:v>0</x:v>
      </x:c>
      <x:c r="AL6050" t="n">
        <x:v>0</x:v>
      </x:c>
      <x:c r="AM6050" t="n">
        <x:f>CHOOSE('假设'!$B$3,AJ6050,AK6050,AL6050)</x:f>
        <x:v>0</x:v>
      </x:c>
      <x:c r="AN6050" t="n">
        <x:v>1</x:v>
      </x:c>
    </x:row>
    <x:row r="6051" ht="23" customHeight="1">
      <x:c r="A6051" s="11" t="str">
        <x:v>688062.SH</x:v>
      </x:c>
      <x:c r="B6051" s="11" t="str">
        <x:v>五年</x:v>
      </x:c>
      <x:c r="C6051" s="11" t="str">
        <x:v>bfv_uc_first</x:v>
      </x:c>
      <x:c r="D6051" s="11" t="str">
        <x:v>2038-12-31</x:v>
      </x:c>
      <x:c r="E6051" s="11" t="str">
        <x:v>CNY</x:v>
      </x:c>
      <x:c r="F6051" s="11" t="n">
        <x:v>7.227926078028747</x:v>
      </x:c>
      <x:c r="G6051" s="26" t="b">
        <x:v>1</x:v>
      </x:c>
      <x:c r="H6051" s="16" t="n">
        <x:v>0.384</x:v>
      </x:c>
      <x:c r="I6051" s="16" t="n">
        <x:v>0.7</x:v>
      </x:c>
      <x:c r="J6051" s="16" t="n">
        <x:v>0.7919999999999999</x:v>
      </x:c>
      <x:c r="K6051" s="11" t="n">
        <x:f>CHOOSE('假设'!$B$3,H6051,I6051,J6051)</x:f>
        <x:v>0.7</x:v>
      </x:c>
      <x:c r="L6051" s="11" t="n">
        <x:f>K6051*'管线假设'!E1295*'管线假设'!F1295*'管线假设'!G1295*IF(E6051="USD",'管线假设'!I1295,1)-AM6051</x:f>
        <x:v>0.14196</x:v>
      </x:c>
      <x:c r="M6051" s="11" t="n">
        <x:f>'管线假设'!H1295</x:f>
        <x:v>0.14</x:v>
      </x:c>
      <x:c r="N6051" s="11" t="n">
        <x:f>IF(G6051,L6051*AN6051/(1+M6051)^F6051,0)</x:f>
        <x:v>0.055063261479767096</x:v>
      </x:c>
      <x:c r="AJ6051" t="n">
        <x:v>0</x:v>
      </x:c>
      <x:c r="AK6051" t="n">
        <x:v>0</x:v>
      </x:c>
      <x:c r="AL6051" t="n">
        <x:v>0</x:v>
      </x:c>
      <x:c r="AM6051" t="n">
        <x:f>CHOOSE('假设'!$B$3,AJ6051,AK6051,AL6051)</x:f>
        <x:v>0</x:v>
      </x:c>
      <x:c r="AN6051" t="n">
        <x:v>1</x:v>
      </x:c>
    </x:row>
    <x:row r="6052" ht="23" customHeight="1">
      <x:c r="A6052" s="11" t="str">
        <x:v>688062.SH</x:v>
      </x:c>
      <x:c r="B6052" s="11" t="str">
        <x:v>五年</x:v>
      </x:c>
      <x:c r="C6052" s="11" t="str">
        <x:v>bfv_uc_first</x:v>
      </x:c>
      <x:c r="D6052" s="11" t="str">
        <x:v>2039-12-31</x:v>
      </x:c>
      <x:c r="E6052" s="11" t="str">
        <x:v>CNY</x:v>
      </x:c>
      <x:c r="F6052" s="11" t="n">
        <x:v>8.227241615331964</x:v>
      </x:c>
      <x:c r="G6052" s="26" t="b">
        <x:v>1</x:v>
      </x:c>
      <x:c r="H6052" s="16" t="n">
        <x:v>0.27999999999999997</x:v>
      </x:c>
      <x:c r="I6052" s="16" t="n">
        <x:v>0.43999999999999995</x:v>
      </x:c>
      <x:c r="J6052" s="16" t="n">
        <x:v>0.3239999999999999</x:v>
      </x:c>
      <x:c r="K6052" s="11" t="n">
        <x:f>CHOOSE('假设'!$B$3,H6052,I6052,J6052)</x:f>
        <x:v>0.43999999999999995</x:v>
      </x:c>
      <x:c r="L6052" s="11" t="n">
        <x:f>K6052*'管线假设'!E1295*'管线假设'!F1295*'管线假设'!G1295*IF(E6052="USD",'管线假设'!I1295,1)-AM6052</x:f>
        <x:v>0.08923199999999999</x:v>
      </x:c>
      <x:c r="M6052" s="11" t="n">
        <x:f>'管线假设'!H1295</x:f>
        <x:v>0.14</x:v>
      </x:c>
      <x:c r="N6052" s="11" t="n">
        <x:f>IF(G6052,L6052*AN6052/(1+M6052)^F6052,0)</x:f>
        <x:v>0.030363418542196183</x:v>
      </x:c>
      <x:c r="AJ6052" t="n">
        <x:v>0</x:v>
      </x:c>
      <x:c r="AK6052" t="n">
        <x:v>0</x:v>
      </x:c>
      <x:c r="AL6052" t="n">
        <x:v>0</x:v>
      </x:c>
      <x:c r="AM6052" t="n">
        <x:f>CHOOSE('假设'!$B$3,AJ6052,AK6052,AL6052)</x:f>
        <x:v>0</x:v>
      </x:c>
      <x:c r="AN6052" t="n">
        <x:v>1</x:v>
      </x:c>
    </x:row>
    <x:row r="6053" ht="23" customHeight="1">
      <x:c r="A6053" s="11" t="str">
        <x:v>688062.SH</x:v>
      </x:c>
      <x:c r="B6053" s="11" t="str">
        <x:v>五年</x:v>
      </x:c>
      <x:c r="C6053" s="11" t="str">
        <x:v>bfv_uc_first</x:v>
      </x:c>
      <x:c r="D6053" s="11" t="str">
        <x:v>2040-12-31</x:v>
      </x:c>
      <x:c r="E6053" s="11" t="str">
        <x:v>CNY</x:v>
      </x:c>
      <x:c r="F6053" s="11" t="n">
        <x:v>9.229295003422314</x:v>
      </x:c>
      <x:c r="G6053" s="26" t="b">
        <x:v>1</x:v>
      </x:c>
      <x:c r="H6053" s="16" t="n">
        <x:v>0.176</x:v>
      </x:c>
      <x:c r="I6053" s="16" t="n">
        <x:v>0.17999999999999994</x:v>
      </x:c>
      <x:c r="J6053" s="16" t="n">
        <x:v>0</x:v>
      </x:c>
      <x:c r="K6053" s="11" t="n">
        <x:f>CHOOSE('假设'!$B$3,H6053,I6053,J6053)</x:f>
        <x:v>0.17999999999999994</x:v>
      </x:c>
      <x:c r="L6053" s="11" t="n">
        <x:f>K6053*'管线假设'!E1295*'管线假设'!F1295*'管线假设'!G1295*IF(E6053="USD",'管线假设'!I1295,1)-AM6053</x:f>
        <x:v>0.03650399999999999</x:v>
      </x:c>
      <x:c r="M6053" s="11" t="n">
        <x:f>'管线假设'!H1295</x:f>
        <x:v>0.14</x:v>
      </x:c>
      <x:c r="N6053" s="11" t="n">
        <x:f>IF(G6053,L6053*AN6053/(1+M6053)^F6053,0)</x:f>
        <x:v>0.010893032406617091</x:v>
      </x:c>
      <x:c r="AJ6053" t="n">
        <x:v>0</x:v>
      </x:c>
      <x:c r="AK6053" t="n">
        <x:v>0</x:v>
      </x:c>
      <x:c r="AL6053" t="n">
        <x:v>0</x:v>
      </x:c>
      <x:c r="AM6053" t="n">
        <x:f>CHOOSE('假设'!$B$3,AJ6053,AK6053,AL6053)</x:f>
        <x:v>0</x:v>
      </x:c>
      <x:c r="AN6053" t="n">
        <x:v>1</x:v>
      </x:c>
    </x:row>
    <x:row r="6054" ht="23" customHeight="1">
      <x:c r="A6054" s="11" t="str">
        <x:v>688062.SH</x:v>
      </x:c>
      <x:c r="B6054" s="11" t="str">
        <x:v>五年</x:v>
      </x:c>
      <x:c r="C6054" s="11" t="str">
        <x:v>bfv_uc_first</x:v>
      </x:c>
      <x:c r="D6054" s="11" t="str">
        <x:v>2041-12-31</x:v>
      </x:c>
      <x:c r="E6054" s="11" t="str">
        <x:v>CNY</x:v>
      </x:c>
      <x:c r="F6054" s="11" t="n">
        <x:v>10.22861054072553</x:v>
      </x:c>
      <x:c r="G6054" s="26" t="b">
        <x:v>1</x:v>
      </x:c>
      <x:c r="H6054" s="16" t="n">
        <x:v>0.07199999999999998</x:v>
      </x:c>
      <x:c r="I6054" s="16" t="n">
        <x:v>0</x:v>
      </x:c>
      <x:c r="J6054" s="16" t="n">
        <x:v>0</x:v>
      </x:c>
      <x:c r="K6054" s="11" t="n">
        <x:f>CHOOSE('假设'!$B$3,H6054,I6054,J6054)</x:f>
        <x:v>0</x:v>
      </x:c>
      <x:c r="L6054" s="11" t="n">
        <x:f>K6054*'管线假设'!E1295*'管线假设'!F1295*'管线假设'!G1295*IF(E6054="USD",'管线假设'!I1295,1)-AM6054</x:f>
        <x:v>0</x:v>
      </x:c>
      <x:c r="M6054" s="11" t="n">
        <x:f>'管线假设'!H1295</x:f>
        <x:v>0.14</x:v>
      </x:c>
      <x:c r="N6054" s="11" t="n">
        <x:f>IF(G6054,L6054*AN6054/(1+M6054)^F6054,0)</x:f>
        <x:v>0</x:v>
      </x:c>
      <x:c r="AJ6054" t="n">
        <x:v>0</x:v>
      </x:c>
      <x:c r="AK6054" t="n">
        <x:v>0</x:v>
      </x:c>
      <x:c r="AL6054" t="n">
        <x:v>0</x:v>
      </x:c>
      <x:c r="AM6054" t="n">
        <x:f>CHOOSE('假设'!$B$3,AJ6054,AK6054,AL6054)</x:f>
        <x:v>0</x:v>
      </x:c>
      <x:c r="AN6054" t="n">
        <x:v>1</x:v>
      </x:c>
    </x:row>
    <x:row r="6055" ht="23" customHeight="1">
      <x:c r="A6055" s="11" t="str">
        <x:v>688062.SH</x:v>
      </x:c>
      <x:c r="B6055" s="11" t="str">
        <x:v>五年</x:v>
      </x:c>
      <x:c r="C6055" s="11" t="str">
        <x:v>bfv_uc_first</x:v>
      </x:c>
      <x:c r="D6055" s="11" t="str">
        <x:v>2042-12-31</x:v>
      </x:c>
      <x:c r="E6055" s="11" t="str">
        <x:v>CNY</x:v>
      </x:c>
      <x:c r="F6055" s="11" t="n">
        <x:v>11.227926078028748</x:v>
      </x:c>
      <x:c r="G6055" s="26" t="b">
        <x:v>1</x:v>
      </x:c>
      <x:c r="H6055" s="16" t="n">
        <x:v>0</x:v>
      </x:c>
      <x:c r="I6055" s="16" t="n">
        <x:v>0</x:v>
      </x:c>
      <x:c r="J6055" s="16" t="n">
        <x:v>0</x:v>
      </x:c>
      <x:c r="K6055" s="11" t="n">
        <x:f>CHOOSE('假设'!$B$3,H6055,I6055,J6055)</x:f>
        <x:v>0</x:v>
      </x:c>
      <x:c r="L6055" s="11" t="n">
        <x:f>K6055*'管线假设'!E1295*'管线假设'!F1295*'管线假设'!G1295*IF(E6055="USD",'管线假设'!I1295,1)-AM6055</x:f>
        <x:v>0</x:v>
      </x:c>
      <x:c r="M6055" s="11" t="n">
        <x:f>'管线假设'!H1295</x:f>
        <x:v>0.14</x:v>
      </x:c>
      <x:c r="N6055" s="11" t="n">
        <x:f>IF(G6055,L6055*AN6055/(1+M6055)^F6055,0)</x:f>
        <x:v>0</x:v>
      </x:c>
      <x:c r="AJ6055" t="n">
        <x:v>0</x:v>
      </x:c>
      <x:c r="AK6055" t="n">
        <x:v>0</x:v>
      </x:c>
      <x:c r="AL6055" t="n">
        <x:v>0</x:v>
      </x:c>
      <x:c r="AM6055" t="n">
        <x:f>CHOOSE('假设'!$B$3,AJ6055,AK6055,AL6055)</x:f>
        <x:v>0</x:v>
      </x:c>
      <x:c r="AN6055" t="n">
        <x:v>1</x:v>
      </x:c>
    </x:row>
    <x:row r="6056" ht="23" customHeight="1">
      <x:c r="A6056" s="11" t="str">
        <x:v>688062.SH</x:v>
      </x:c>
      <x:c r="B6056" s="11" t="str">
        <x:v>五年</x:v>
      </x:c>
      <x:c r="C6056" s="11" t="str">
        <x:v>bfv_uc_first</x:v>
      </x:c>
      <x:c r="D6056" s="11" t="str">
        <x:v>2043-12-31</x:v>
      </x:c>
      <x:c r="E6056" s="11" t="str">
        <x:v>CNY</x:v>
      </x:c>
      <x:c r="F6056" s="11" t="n">
        <x:v>12.227241615331964</x:v>
      </x:c>
      <x:c r="G6056" s="26" t="b">
        <x:v>1</x:v>
      </x:c>
      <x:c r="H6056" s="16" t="n">
        <x:v>0</x:v>
      </x:c>
      <x:c r="I6056" s="16" t="n">
        <x:v>0</x:v>
      </x:c>
      <x:c r="J6056" s="16" t="n">
        <x:v>0</x:v>
      </x:c>
      <x:c r="K6056" s="11" t="n">
        <x:f>CHOOSE('假设'!$B$3,H6056,I6056,J6056)</x:f>
        <x:v>0</x:v>
      </x:c>
      <x:c r="L6056" s="11" t="n">
        <x:f>K6056*'管线假设'!E1295*'管线假设'!F1295*'管线假设'!G1295*IF(E6056="USD",'管线假设'!I1295,1)-AM6056</x:f>
        <x:v>0</x:v>
      </x:c>
      <x:c r="M6056" s="11" t="n">
        <x:f>'管线假设'!H1295</x:f>
        <x:v>0.14</x:v>
      </x:c>
      <x:c r="N6056" s="11" t="n">
        <x:f>IF(G6056,L6056*AN6056/(1+M6056)^F6056,0)</x:f>
        <x:v>0</x:v>
      </x:c>
      <x:c r="AJ6056" t="n">
        <x:v>0</x:v>
      </x:c>
      <x:c r="AK6056" t="n">
        <x:v>0</x:v>
      </x:c>
      <x:c r="AL6056" t="n">
        <x:v>0</x:v>
      </x:c>
      <x:c r="AM6056" t="n">
        <x:f>CHOOSE('假设'!$B$3,AJ6056,AK6056,AL6056)</x:f>
        <x:v>0</x:v>
      </x:c>
      <x:c r="AN6056" t="n">
        <x:v>1</x:v>
      </x:c>
    </x:row>
    <x:row r="6057" ht="23" customHeight="1">
      <x:c r="A6057" s="11" t="str">
        <x:v>688062.SH</x:v>
      </x:c>
      <x:c r="B6057" s="11" t="str">
        <x:v>五年</x:v>
      </x:c>
      <x:c r="C6057" s="11" t="str">
        <x:v>bfv_uc_first</x:v>
      </x:c>
      <x:c r="D6057" s="11" t="str">
        <x:v>2044-12-31</x:v>
      </x:c>
      <x:c r="E6057" s="11" t="str">
        <x:v>CNY</x:v>
      </x:c>
      <x:c r="F6057" s="11" t="n">
        <x:v>13.229295003422314</x:v>
      </x:c>
      <x:c r="G6057" s="26" t="b">
        <x:v>1</x:v>
      </x:c>
      <x:c r="H6057" s="16" t="n">
        <x:v>0</x:v>
      </x:c>
      <x:c r="I6057" s="16" t="n">
        <x:v>0</x:v>
      </x:c>
      <x:c r="J6057" s="16" t="n">
        <x:v>0</x:v>
      </x:c>
      <x:c r="K6057" s="11" t="n">
        <x:f>CHOOSE('假设'!$B$3,H6057,I6057,J6057)</x:f>
        <x:v>0</x:v>
      </x:c>
      <x:c r="L6057" s="11" t="n">
        <x:f>K6057*'管线假设'!E1295*'管线假设'!F1295*'管线假设'!G1295*IF(E6057="USD",'管线假设'!I1295,1)-AM6057</x:f>
        <x:v>0</x:v>
      </x:c>
      <x:c r="M6057" s="11" t="n">
        <x:f>'管线假设'!H1295</x:f>
        <x:v>0.14</x:v>
      </x:c>
      <x:c r="N6057" s="11" t="n">
        <x:f>IF(G6057,L6057*AN6057/(1+M6057)^F6057,0)</x:f>
        <x:v>0</x:v>
      </x:c>
      <x:c r="AJ6057" t="n">
        <x:v>0</x:v>
      </x:c>
      <x:c r="AK6057" t="n">
        <x:v>0</x:v>
      </x:c>
      <x:c r="AL6057" t="n">
        <x:v>0</x:v>
      </x:c>
      <x:c r="AM6057" t="n">
        <x:f>CHOOSE('假设'!$B$3,AJ6057,AK6057,AL6057)</x:f>
        <x:v>0</x:v>
      </x:c>
      <x:c r="AN6057" t="n">
        <x:v>1</x:v>
      </x:c>
    </x:row>
    <x:row r="6058" ht="23" customHeight="1">
      <x:c r="A6058" s="11" t="str">
        <x:v>688062.SH</x:v>
      </x:c>
      <x:c r="B6058" s="11" t="str">
        <x:v>五年</x:v>
      </x:c>
      <x:c r="C6058" s="11" t="str">
        <x:v>bfv_uc_first</x:v>
      </x:c>
      <x:c r="D6058" s="11" t="str">
        <x:v>2045-12-31</x:v>
      </x:c>
      <x:c r="E6058" s="11" t="str">
        <x:v>CNY</x:v>
      </x:c>
      <x:c r="F6058" s="11" t="n">
        <x:v>14.22861054072553</x:v>
      </x:c>
      <x:c r="G6058" s="26" t="b">
        <x:v>1</x:v>
      </x:c>
      <x:c r="H6058" s="16" t="n">
        <x:v>0</x:v>
      </x:c>
      <x:c r="I6058" s="16" t="n">
        <x:v>0</x:v>
      </x:c>
      <x:c r="J6058" s="16" t="n">
        <x:v>0</x:v>
      </x:c>
      <x:c r="K6058" s="11" t="n">
        <x:f>CHOOSE('假设'!$B$3,H6058,I6058,J6058)</x:f>
        <x:v>0</x:v>
      </x:c>
      <x:c r="L6058" s="11" t="n">
        <x:f>K6058*'管线假设'!E1295*'管线假设'!F1295*'管线假设'!G1295*IF(E6058="USD",'管线假设'!I1295,1)-AM6058</x:f>
        <x:v>0</x:v>
      </x:c>
      <x:c r="M6058" s="11" t="n">
        <x:f>'管线假设'!H1295</x:f>
        <x:v>0.14</x:v>
      </x:c>
      <x:c r="N6058" s="11" t="n">
        <x:f>IF(G6058,L6058*AN6058/(1+M6058)^F6058,0)</x:f>
        <x:v>0</x:v>
      </x:c>
      <x:c r="AJ6058" t="n">
        <x:v>0</x:v>
      </x:c>
      <x:c r="AK6058" t="n">
        <x:v>0</x:v>
      </x:c>
      <x:c r="AL6058" t="n">
        <x:v>0</x:v>
      </x:c>
      <x:c r="AM6058" t="n">
        <x:f>CHOOSE('假设'!$B$3,AJ6058,AK6058,AL6058)</x:f>
        <x:v>0</x:v>
      </x:c>
      <x:c r="AN6058" t="n">
        <x:v>1</x:v>
      </x:c>
    </x:row>
    <x:row r="6059" ht="23" customHeight="1">
      <x:c r="A6059" s="11" t="str">
        <x:v>688062.SH</x:v>
      </x:c>
      <x:c r="B6059" s="11" t="str">
        <x:v>五年</x:v>
      </x:c>
      <x:c r="C6059" s="11" t="str">
        <x:v>bfv_cervix</x:v>
      </x:c>
      <x:c r="D6059" s="11" t="str">
        <x:v>2027-12-31</x:v>
      </x:c>
      <x:c r="E6059" s="11" t="str">
        <x:v>CNY</x:v>
      </x:c>
      <x:c r="F6059" s="11" t="n">
        <x:v>-3.7727583846680357</x:v>
      </x:c>
      <x:c r="G6059" s="26" t="b">
        <x:v>0</x:v>
      </x:c>
      <x:c r="H6059" s="16" t="n">
        <x:v>0</x:v>
      </x:c>
      <x:c r="I6059" s="16" t="n">
        <x:v>0</x:v>
      </x:c>
      <x:c r="J6059" s="16" t="n">
        <x:v>0.39999999999999997</x:v>
      </x:c>
      <x:c r="K6059" s="11" t="n">
        <x:f>CHOOSE('假设'!$B$3,H6059,I6059,J6059)</x:f>
        <x:v>0</x:v>
      </x:c>
      <x:c r="L6059" s="11" t="n">
        <x:f>K6059*'管线假设'!E1299*'管线假设'!F1299*'管线假设'!G1299*IF(E6059="USD",'管线假设'!I1299,1)-AM6059</x:f>
        <x:v>0</x:v>
      </x:c>
      <x:c r="M6059" s="11" t="n">
        <x:f>'管线假设'!H1299</x:f>
        <x:v>0.14</x:v>
      </x:c>
      <x:c r="N6059" s="11" t="n">
        <x:f>IF(G6059,L6059*AN6059/(1+M6059)^F6059,0)</x:f>
        <x:v>0</x:v>
      </x:c>
      <x:c r="AJ6059" t="n">
        <x:v>0</x:v>
      </x:c>
      <x:c r="AK6059" t="n">
        <x:v>0</x:v>
      </x:c>
      <x:c r="AL6059" t="n">
        <x:v>0</x:v>
      </x:c>
      <x:c r="AM6059" t="n">
        <x:f>CHOOSE('假设'!$B$3,AJ6059,AK6059,AL6059)</x:f>
        <x:v>0</x:v>
      </x:c>
      <x:c r="AN6059" t="n">
        <x:v>1</x:v>
      </x:c>
    </x:row>
    <x:row r="6060" ht="23" customHeight="1">
      <x:c r="A6060" s="11" t="str">
        <x:v>688062.SH</x:v>
      </x:c>
      <x:c r="B6060" s="11" t="str">
        <x:v>五年</x:v>
      </x:c>
      <x:c r="C6060" s="11" t="str">
        <x:v>bfv_cervix</x:v>
      </x:c>
      <x:c r="D6060" s="11" t="str">
        <x:v>2028-12-31</x:v>
      </x:c>
      <x:c r="E6060" s="11" t="str">
        <x:v>CNY</x:v>
      </x:c>
      <x:c r="F6060" s="11" t="n">
        <x:v>-2.7707049965776864</x:v>
      </x:c>
      <x:c r="G6060" s="26" t="b">
        <x:v>0</x:v>
      </x:c>
      <x:c r="H6060" s="16" t="n">
        <x:v>0</x:v>
      </x:c>
      <x:c r="I6060" s="16" t="n">
        <x:v>0.2333333333333333</x:v>
      </x:c>
      <x:c r="J6060" s="16" t="n">
        <x:v>0.7999999999999999</x:v>
      </x:c>
      <x:c r="K6060" s="11" t="n">
        <x:f>CHOOSE('假设'!$B$3,H6060,I6060,J6060)</x:f>
        <x:v>0.2333333333333333</x:v>
      </x:c>
      <x:c r="L6060" s="11" t="n">
        <x:f>K6060*'管线假设'!E1299*'管线假设'!F1299*'管线假设'!G1299*IF(E6060="USD",'管线假设'!I1299,1)-AM6060</x:f>
        <x:v>0.04379199999999999</x:v>
      </x:c>
      <x:c r="M6060" s="11" t="n">
        <x:f>'管线假设'!H1299</x:f>
        <x:v>0.14</x:v>
      </x:c>
      <x:c r="N6060" s="11" t="n">
        <x:f>IF(G6060,L6060*AN6060/(1+M6060)^F6060,0)</x:f>
        <x:v>0</x:v>
      </x:c>
      <x:c r="AJ6060" t="n">
        <x:v>0</x:v>
      </x:c>
      <x:c r="AK6060" t="n">
        <x:v>0</x:v>
      </x:c>
      <x:c r="AL6060" t="n">
        <x:v>0</x:v>
      </x:c>
      <x:c r="AM6060" t="n">
        <x:f>CHOOSE('假设'!$B$3,AJ6060,AK6060,AL6060)</x:f>
        <x:v>0</x:v>
      </x:c>
      <x:c r="AN6060" t="n">
        <x:v>1</x:v>
      </x:c>
    </x:row>
    <x:row r="6061" ht="23" customHeight="1">
      <x:c r="A6061" s="11" t="str">
        <x:v>688062.SH</x:v>
      </x:c>
      <x:c r="B6061" s="11" t="str">
        <x:v>五年</x:v>
      </x:c>
      <x:c r="C6061" s="11" t="str">
        <x:v>bfv_cervix</x:v>
      </x:c>
      <x:c r="D6061" s="11" t="str">
        <x:v>2029-12-31</x:v>
      </x:c>
      <x:c r="E6061" s="11" t="str">
        <x:v>CNY</x:v>
      </x:c>
      <x:c r="F6061" s="11" t="n">
        <x:v>-1.7713894592744694</x:v>
      </x:c>
      <x:c r="G6061" s="26" t="b">
        <x:v>0</x:v>
      </x:c>
      <x:c r="H6061" s="16" t="n">
        <x:v>0</x:v>
      </x:c>
      <x:c r="I6061" s="16" t="n">
        <x:v>0.4666666666666666</x:v>
      </x:c>
      <x:c r="J6061" s="16" t="n">
        <x:v>1.2</x:v>
      </x:c>
      <x:c r="K6061" s="11" t="n">
        <x:f>CHOOSE('假设'!$B$3,H6061,I6061,J6061)</x:f>
        <x:v>0.4666666666666666</x:v>
      </x:c>
      <x:c r="L6061" s="11" t="n">
        <x:f>K6061*'管线假设'!E1299*'管线假设'!F1299*'管线假设'!G1299*IF(E6061="USD",'管线假设'!I1299,1)-AM6061</x:f>
        <x:v>0.08758399999999998</x:v>
      </x:c>
      <x:c r="M6061" s="11" t="n">
        <x:f>'管线假设'!H1299</x:f>
        <x:v>0.14</x:v>
      </x:c>
      <x:c r="N6061" s="11" t="n">
        <x:f>IF(G6061,L6061*AN6061/(1+M6061)^F6061,0)</x:f>
        <x:v>0</x:v>
      </x:c>
      <x:c r="AJ6061" t="n">
        <x:v>0</x:v>
      </x:c>
      <x:c r="AK6061" t="n">
        <x:v>0</x:v>
      </x:c>
      <x:c r="AL6061" t="n">
        <x:v>0</x:v>
      </x:c>
      <x:c r="AM6061" t="n">
        <x:f>CHOOSE('假设'!$B$3,AJ6061,AK6061,AL6061)</x:f>
        <x:v>0</x:v>
      </x:c>
      <x:c r="AN6061" t="n">
        <x:v>1</x:v>
      </x:c>
    </x:row>
    <x:row r="6062" ht="23" customHeight="1">
      <x:c r="A6062" s="11" t="str">
        <x:v>688062.SH</x:v>
      </x:c>
      <x:c r="B6062" s="11" t="str">
        <x:v>五年</x:v>
      </x:c>
      <x:c r="C6062" s="11" t="str">
        <x:v>bfv_cervix</x:v>
      </x:c>
      <x:c r="D6062" s="11" t="str">
        <x:v>2030-12-31</x:v>
      </x:c>
      <x:c r="E6062" s="11" t="str">
        <x:v>CNY</x:v>
      </x:c>
      <x:c r="F6062" s="11" t="n">
        <x:v>-0.7720739219712526</x:v>
      </x:c>
      <x:c r="G6062" s="26" t="b">
        <x:v>0</x:v>
      </x:c>
      <x:c r="H6062" s="16" t="n">
        <x:v>0.12</x:v>
      </x:c>
      <x:c r="I6062" s="16" t="n">
        <x:v>0.7</x:v>
      </x:c>
      <x:c r="J6062" s="16" t="n">
        <x:v>1.5999999999999999</x:v>
      </x:c>
      <x:c r="K6062" s="11" t="n">
        <x:f>CHOOSE('假设'!$B$3,H6062,I6062,J6062)</x:f>
        <x:v>0.7</x:v>
      </x:c>
      <x:c r="L6062" s="11" t="n">
        <x:f>K6062*'管线假设'!E1299*'管线假设'!F1299*'管线假设'!G1299*IF(E6062="USD",'管线假设'!I1299,1)-AM6062</x:f>
        <x:v>0.13137599999999997</x:v>
      </x:c>
      <x:c r="M6062" s="11" t="n">
        <x:f>'管线假设'!H1299</x:f>
        <x:v>0.14</x:v>
      </x:c>
      <x:c r="N6062" s="11" t="n">
        <x:f>IF(G6062,L6062*AN6062/(1+M6062)^F6062,0)</x:f>
        <x:v>0</x:v>
      </x:c>
      <x:c r="AJ6062" t="n">
        <x:v>0</x:v>
      </x:c>
      <x:c r="AK6062" t="n">
        <x:v>0</x:v>
      </x:c>
      <x:c r="AL6062" t="n">
        <x:v>0</x:v>
      </x:c>
      <x:c r="AM6062" t="n">
        <x:f>CHOOSE('假设'!$B$3,AJ6062,AK6062,AL6062)</x:f>
        <x:v>0</x:v>
      </x:c>
      <x:c r="AN6062" t="n">
        <x:v>1</x:v>
      </x:c>
    </x:row>
    <x:row r="6063" ht="23" customHeight="1">
      <x:c r="A6063" s="11" t="str">
        <x:v>688062.SH</x:v>
      </x:c>
      <x:c r="B6063" s="11" t="str">
        <x:v>五年</x:v>
      </x:c>
      <x:c r="C6063" s="11" t="str">
        <x:v>bfv_cervix</x:v>
      </x:c>
      <x:c r="D6063" s="11" t="str">
        <x:v>2031-12-31</x:v>
      </x:c>
      <x:c r="E6063" s="11" t="str">
        <x:v>CNY</x:v>
      </x:c>
      <x:c r="F6063" s="11" t="n">
        <x:v>0.2272416153319644</x:v>
      </x:c>
      <x:c r="G6063" s="26" t="b">
        <x:v>1</x:v>
      </x:c>
      <x:c r="H6063" s="16" t="n">
        <x:v>0.24</x:v>
      </x:c>
      <x:c r="I6063" s="16" t="n">
        <x:v>0.9333333333333332</x:v>
      </x:c>
      <x:c r="J6063" s="16" t="n">
        <x:v>2</x:v>
      </x:c>
      <x:c r="K6063" s="11" t="n">
        <x:f>CHOOSE('假设'!$B$3,H6063,I6063,J6063)</x:f>
        <x:v>0.9333333333333332</x:v>
      </x:c>
      <x:c r="L6063" s="11" t="n">
        <x:f>K6063*'管线假设'!E1299*'管线假设'!F1299*'管线假设'!G1299*IF(E6063="USD",'管线假设'!I1299,1)-AM6063</x:f>
        <x:v>0.17516799999999996</x:v>
      </x:c>
      <x:c r="M6063" s="11" t="n">
        <x:f>'管线假设'!H1299</x:f>
        <x:v>0.14</x:v>
      </x:c>
      <x:c r="N6063" s="11" t="n">
        <x:f>IF(G6063,L6063*AN6063/(1+M6063)^F6063,0)</x:f>
        <x:v>0.17002924291683194</x:v>
      </x:c>
      <x:c r="AJ6063" t="n">
        <x:v>0</x:v>
      </x:c>
      <x:c r="AK6063" t="n">
        <x:v>0</x:v>
      </x:c>
      <x:c r="AL6063" t="n">
        <x:v>0</x:v>
      </x:c>
      <x:c r="AM6063" t="n">
        <x:f>CHOOSE('假设'!$B$3,AJ6063,AK6063,AL6063)</x:f>
        <x:v>0</x:v>
      </x:c>
      <x:c r="AN6063" t="n">
        <x:v>1</x:v>
      </x:c>
    </x:row>
    <x:row r="6064" ht="23" customHeight="1">
      <x:c r="A6064" s="11" t="str">
        <x:v>688062.SH</x:v>
      </x:c>
      <x:c r="B6064" s="11" t="str">
        <x:v>五年</x:v>
      </x:c>
      <x:c r="C6064" s="11" t="str">
        <x:v>bfv_cervix</x:v>
      </x:c>
      <x:c r="D6064" s="11" t="str">
        <x:v>2032-12-31</x:v>
      </x:c>
      <x:c r="E6064" s="11" t="str">
        <x:v>CNY</x:v>
      </x:c>
      <x:c r="F6064" s="11" t="n">
        <x:v>1.2292950034223136</x:v>
      </x:c>
      <x:c r="G6064" s="26" t="b">
        <x:v>1</x:v>
      </x:c>
      <x:c r="H6064" s="16" t="n">
        <x:v>0.36</x:v>
      </x:c>
      <x:c r="I6064" s="16" t="n">
        <x:v>1.1666666666666667</x:v>
      </x:c>
      <x:c r="J6064" s="16" t="n">
        <x:v>2.4</x:v>
      </x:c>
      <x:c r="K6064" s="11" t="n">
        <x:f>CHOOSE('假设'!$B$3,H6064,I6064,J6064)</x:f>
        <x:v>1.1666666666666667</x:v>
      </x:c>
      <x:c r="L6064" s="11" t="n">
        <x:f>K6064*'管线假设'!E1299*'管线假设'!F1299*'管线假设'!G1299*IF(E6064="USD",'管线假设'!I1299,1)-AM6064</x:f>
        <x:v>0.21896</x:v>
      </x:c>
      <x:c r="M6064" s="11" t="n">
        <x:f>'管线假设'!H1299</x:f>
        <x:v>0.14</x:v>
      </x:c>
      <x:c r="N6064" s="11" t="n">
        <x:f>IF(G6064,L6064*AN6064/(1+M6064)^F6064,0)</x:f>
        <x:v>0.18638541928074034</x:v>
      </x:c>
      <x:c r="AJ6064" t="n">
        <x:v>0</x:v>
      </x:c>
      <x:c r="AK6064" t="n">
        <x:v>0</x:v>
      </x:c>
      <x:c r="AL6064" t="n">
        <x:v>0</x:v>
      </x:c>
      <x:c r="AM6064" t="n">
        <x:f>CHOOSE('假设'!$B$3,AJ6064,AK6064,AL6064)</x:f>
        <x:v>0</x:v>
      </x:c>
      <x:c r="AN6064" t="n">
        <x:v>1</x:v>
      </x:c>
    </x:row>
    <x:row r="6065" ht="23" customHeight="1">
      <x:c r="A6065" s="11" t="str">
        <x:v>688062.SH</x:v>
      </x:c>
      <x:c r="B6065" s="11" t="str">
        <x:v>五年</x:v>
      </x:c>
      <x:c r="C6065" s="11" t="str">
        <x:v>bfv_cervix</x:v>
      </x:c>
      <x:c r="D6065" s="11" t="str">
        <x:v>2033-12-31</x:v>
      </x:c>
      <x:c r="E6065" s="11" t="str">
        <x:v>CNY</x:v>
      </x:c>
      <x:c r="F6065" s="11" t="n">
        <x:v>2.2286105407255303</x:v>
      </x:c>
      <x:c r="G6065" s="26" t="b">
        <x:v>1</x:v>
      </x:c>
      <x:c r="H6065" s="16" t="n">
        <x:v>0.48</x:v>
      </x:c>
      <x:c r="I6065" s="16" t="n">
        <x:v>1.4</x:v>
      </x:c>
      <x:c r="J6065" s="16" t="n">
        <x:v>2.088</x:v>
      </x:c>
      <x:c r="K6065" s="11" t="n">
        <x:f>CHOOSE('假设'!$B$3,H6065,I6065,J6065)</x:f>
        <x:v>1.4</x:v>
      </x:c>
      <x:c r="L6065" s="11" t="n">
        <x:f>K6065*'管线假设'!E1299*'管线假设'!F1299*'管线假设'!G1299*IF(E6065="USD",'管线假设'!I1299,1)-AM6065</x:f>
        <x:v>0.26275199999999993</x:v>
      </x:c>
      <x:c r="M6065" s="11" t="n">
        <x:f>'管线假设'!H1299</x:f>
        <x:v>0.14</x:v>
      </x:c>
      <x:c r="N6065" s="11" t="n">
        <x:f>IF(G6065,L6065*AN6065/(1+M6065)^F6065,0)</x:f>
        <x:v>0.19621277453938576</x:v>
      </x:c>
      <x:c r="AJ6065" t="n">
        <x:v>0</x:v>
      </x:c>
      <x:c r="AK6065" t="n">
        <x:v>0</x:v>
      </x:c>
      <x:c r="AL6065" t="n">
        <x:v>0</x:v>
      </x:c>
      <x:c r="AM6065" t="n">
        <x:f>CHOOSE('假设'!$B$3,AJ6065,AK6065,AL6065)</x:f>
        <x:v>0</x:v>
      </x:c>
      <x:c r="AN6065" t="n">
        <x:v>1</x:v>
      </x:c>
    </x:row>
    <x:row r="6066" ht="23" customHeight="1">
      <x:c r="A6066" s="11" t="str">
        <x:v>688062.SH</x:v>
      </x:c>
      <x:c r="B6066" s="11" t="str">
        <x:v>五年</x:v>
      </x:c>
      <x:c r="C6066" s="11" t="str">
        <x:v>bfv_cervix</x:v>
      </x:c>
      <x:c r="D6066" s="11" t="str">
        <x:v>2034-12-31</x:v>
      </x:c>
      <x:c r="E6066" s="11" t="str">
        <x:v>CNY</x:v>
      </x:c>
      <x:c r="F6066" s="11" t="n">
        <x:v>3.2279260780287475</x:v>
      </x:c>
      <x:c r="G6066" s="26" t="b">
        <x:v>1</x:v>
      </x:c>
      <x:c r="H6066" s="16" t="n">
        <x:v>0.6</x:v>
      </x:c>
      <x:c r="I6066" s="16" t="n">
        <x:v>1.218</x:v>
      </x:c>
      <x:c r="J6066" s="16" t="n">
        <x:v>1.776</x:v>
      </x:c>
      <x:c r="K6066" s="11" t="n">
        <x:f>CHOOSE('假设'!$B$3,H6066,I6066,J6066)</x:f>
        <x:v>1.218</x:v>
      </x:c>
      <x:c r="L6066" s="11" t="n">
        <x:f>K6066*'管线假设'!E1299*'管线假设'!F1299*'管线假设'!G1299*IF(E6066="USD",'管线假设'!I1299,1)-AM6066</x:f>
        <x:v>0.22859423999999995</x:v>
      </x:c>
      <x:c r="M6066" s="11" t="n">
        <x:f>'管线假设'!H1299</x:f>
        <x:v>0.14</x:v>
      </x:c>
      <x:c r="N6066" s="11" t="n">
        <x:f>IF(G6066,L6066*AN6066/(1+M6066)^F6066,0)</x:f>
        <x:v>0.14975475793511284</x:v>
      </x:c>
      <x:c r="AJ6066" t="n">
        <x:v>0</x:v>
      </x:c>
      <x:c r="AK6066" t="n">
        <x:v>0</x:v>
      </x:c>
      <x:c r="AL6066" t="n">
        <x:v>0</x:v>
      </x:c>
      <x:c r="AM6066" t="n">
        <x:f>CHOOSE('假设'!$B$3,AJ6066,AK6066,AL6066)</x:f>
        <x:v>0</x:v>
      </x:c>
      <x:c r="AN6066" t="n">
        <x:v>1</x:v>
      </x:c>
    </x:row>
    <x:row r="6067" ht="23" customHeight="1">
      <x:c r="A6067" s="11" t="str">
        <x:v>688062.SH</x:v>
      </x:c>
      <x:c r="B6067" s="11" t="str">
        <x:v>五年</x:v>
      </x:c>
      <x:c r="C6067" s="11" t="str">
        <x:v>bfv_cervix</x:v>
      </x:c>
      <x:c r="D6067" s="11" t="str">
        <x:v>2035-12-31</x:v>
      </x:c>
      <x:c r="E6067" s="11" t="str">
        <x:v>CNY</x:v>
      </x:c>
      <x:c r="F6067" s="11" t="n">
        <x:v>4.227241615331964</x:v>
      </x:c>
      <x:c r="G6067" s="26" t="b">
        <x:v>1</x:v>
      </x:c>
      <x:c r="H6067" s="16" t="n">
        <x:v>0.522</x:v>
      </x:c>
      <x:c r="I6067" s="16" t="n">
        <x:v>1.036</x:v>
      </x:c>
      <x:c r="J6067" s="16" t="n">
        <x:v>1.464</x:v>
      </x:c>
      <x:c r="K6067" s="11" t="n">
        <x:f>CHOOSE('假设'!$B$3,H6067,I6067,J6067)</x:f>
        <x:v>1.036</x:v>
      </x:c>
      <x:c r="L6067" s="11" t="n">
        <x:f>K6067*'管线假设'!E1299*'管线假设'!F1299*'管线假设'!G1299*IF(E6067="USD",'管线假设'!I1299,1)-AM6067</x:f>
        <x:v>0.19443648</x:v>
      </x:c>
      <x:c r="M6067" s="11" t="n">
        <x:f>'管线假设'!H1299</x:f>
        <x:v>0.14</x:v>
      </x:c>
      <x:c r="N6067" s="11" t="n">
        <x:f>IF(G6067,L6067*AN6067/(1+M6067)^F6067,0)</x:f>
        <x:v>0.11174476705103772</x:v>
      </x:c>
      <x:c r="AJ6067" t="n">
        <x:v>0</x:v>
      </x:c>
      <x:c r="AK6067" t="n">
        <x:v>0</x:v>
      </x:c>
      <x:c r="AL6067" t="n">
        <x:v>0</x:v>
      </x:c>
      <x:c r="AM6067" t="n">
        <x:f>CHOOSE('假设'!$B$3,AJ6067,AK6067,AL6067)</x:f>
        <x:v>0</x:v>
      </x:c>
      <x:c r="AN6067" t="n">
        <x:v>1</x:v>
      </x:c>
    </x:row>
    <x:row r="6068" ht="23" customHeight="1">
      <x:c r="A6068" s="11" t="str">
        <x:v>688062.SH</x:v>
      </x:c>
      <x:c r="B6068" s="11" t="str">
        <x:v>五年</x:v>
      </x:c>
      <x:c r="C6068" s="11" t="str">
        <x:v>bfv_cervix</x:v>
      </x:c>
      <x:c r="D6068" s="11" t="str">
        <x:v>2036-12-31</x:v>
      </x:c>
      <x:c r="E6068" s="11" t="str">
        <x:v>CNY</x:v>
      </x:c>
      <x:c r="F6068" s="11" t="n">
        <x:v>5.229295003422314</x:v>
      </x:c>
      <x:c r="G6068" s="26" t="b">
        <x:v>1</x:v>
      </x:c>
      <x:c r="H6068" s="16" t="n">
        <x:v>0.444</x:v>
      </x:c>
      <x:c r="I6068" s="16" t="n">
        <x:v>0.854</x:v>
      </x:c>
      <x:c r="J6068" s="16" t="n">
        <x:v>1.152</x:v>
      </x:c>
      <x:c r="K6068" s="11" t="n">
        <x:f>CHOOSE('假设'!$B$3,H6068,I6068,J6068)</x:f>
        <x:v>0.854</x:v>
      </x:c>
      <x:c r="L6068" s="11" t="n">
        <x:f>K6068*'管线假设'!E1299*'管线假设'!F1299*'管线假设'!G1299*IF(E6068="USD",'管线假设'!I1299,1)-AM6068</x:f>
        <x:v>0.16027871999999996</x:v>
      </x:c>
      <x:c r="M6068" s="11" t="n">
        <x:f>'管线假设'!H1299</x:f>
        <x:v>0.14</x:v>
      </x:c>
      <x:c r="N6068" s="11" t="n">
        <x:f>IF(G6068,L6068*AN6068/(1+M6068)^F6068,0)</x:f>
        <x:v>0.08077995570570583</x:v>
      </x:c>
      <x:c r="AJ6068" t="n">
        <x:v>0</x:v>
      </x:c>
      <x:c r="AK6068" t="n">
        <x:v>0</x:v>
      </x:c>
      <x:c r="AL6068" t="n">
        <x:v>0</x:v>
      </x:c>
      <x:c r="AM6068" t="n">
        <x:f>CHOOSE('假设'!$B$3,AJ6068,AK6068,AL6068)</x:f>
        <x:v>0</x:v>
      </x:c>
      <x:c r="AN6068" t="n">
        <x:v>1</x:v>
      </x:c>
    </x:row>
    <x:row r="6069" ht="23" customHeight="1">
      <x:c r="A6069" s="11" t="str">
        <x:v>688062.SH</x:v>
      </x:c>
      <x:c r="B6069" s="11" t="str">
        <x:v>五年</x:v>
      </x:c>
      <x:c r="C6069" s="11" t="str">
        <x:v>bfv_cervix</x:v>
      </x:c>
      <x:c r="D6069" s="11" t="str">
        <x:v>2037-12-31</x:v>
      </x:c>
      <x:c r="E6069" s="11" t="str">
        <x:v>CNY</x:v>
      </x:c>
      <x:c r="F6069" s="11" t="n">
        <x:v>6.228610540725531</x:v>
      </x:c>
      <x:c r="G6069" s="26" t="b">
        <x:v>1</x:v>
      </x:c>
      <x:c r="H6069" s="16" t="n">
        <x:v>0.366</x:v>
      </x:c>
      <x:c r="I6069" s="16" t="n">
        <x:v>0.6719999999999999</x:v>
      </x:c>
      <x:c r="J6069" s="16" t="n">
        <x:v>0.84</x:v>
      </x:c>
      <x:c r="K6069" s="11" t="n">
        <x:f>CHOOSE('假设'!$B$3,H6069,I6069,J6069)</x:f>
        <x:v>0.6719999999999999</x:v>
      </x:c>
      <x:c r="L6069" s="11" t="n">
        <x:f>K6069*'管线假设'!E1299*'管线假设'!F1299*'管线假设'!G1299*IF(E6069="USD",'管线假设'!I1299,1)-AM6069</x:f>
        <x:v>0.12612095999999998</x:v>
      </x:c>
      <x:c r="M6069" s="11" t="n">
        <x:f>'管线假设'!H1299</x:f>
        <x:v>0.14</x:v>
      </x:c>
      <x:c r="N6069" s="11" t="n">
        <x:f>IF(G6069,L6069*AN6069/(1+M6069)^F6069,0)</x:f>
        <x:v>0.055763382706969906</x:v>
      </x:c>
      <x:c r="AJ6069" t="n">
        <x:v>0</x:v>
      </x:c>
      <x:c r="AK6069" t="n">
        <x:v>0</x:v>
      </x:c>
      <x:c r="AL6069" t="n">
        <x:v>0</x:v>
      </x:c>
      <x:c r="AM6069" t="n">
        <x:f>CHOOSE('假设'!$B$3,AJ6069,AK6069,AL6069)</x:f>
        <x:v>0</x:v>
      </x:c>
      <x:c r="AN6069" t="n">
        <x:v>1</x:v>
      </x:c>
    </x:row>
    <x:row r="6070" ht="23" customHeight="1">
      <x:c r="A6070" s="11" t="str">
        <x:v>688062.SH</x:v>
      </x:c>
      <x:c r="B6070" s="11" t="str">
        <x:v>五年</x:v>
      </x:c>
      <x:c r="C6070" s="11" t="str">
        <x:v>bfv_cervix</x:v>
      </x:c>
      <x:c r="D6070" s="11" t="str">
        <x:v>2038-12-31</x:v>
      </x:c>
      <x:c r="E6070" s="11" t="str">
        <x:v>CNY</x:v>
      </x:c>
      <x:c r="F6070" s="11" t="n">
        <x:v>7.227926078028747</x:v>
      </x:c>
      <x:c r="G6070" s="26" t="b">
        <x:v>1</x:v>
      </x:c>
      <x:c r="H6070" s="16" t="n">
        <x:v>0.288</x:v>
      </x:c>
      <x:c r="I6070" s="16" t="n">
        <x:v>0.48999999999999994</x:v>
      </x:c>
      <x:c r="J6070" s="16" t="n">
        <x:v>0.5279999999999999</x:v>
      </x:c>
      <x:c r="K6070" s="11" t="n">
        <x:f>CHOOSE('假设'!$B$3,H6070,I6070,J6070)</x:f>
        <x:v>0.48999999999999994</x:v>
      </x:c>
      <x:c r="L6070" s="11" t="n">
        <x:f>K6070*'管线假设'!E1299*'管线假设'!F1299*'管线假设'!G1299*IF(E6070="USD",'管线假设'!I1299,1)-AM6070</x:f>
        <x:v>0.09196319999999998</x:v>
      </x:c>
      <x:c r="M6070" s="11" t="n">
        <x:f>'管线假设'!H1299</x:f>
        <x:v>0.14</x:v>
      </x:c>
      <x:c r="N6070" s="11" t="n">
        <x:f>IF(G6070,L6070*AN6070/(1+M6070)^F6070,0)</x:f>
        <x:v>0.03567056725920059</x:v>
      </x:c>
      <x:c r="AJ6070" t="n">
        <x:v>0</x:v>
      </x:c>
      <x:c r="AK6070" t="n">
        <x:v>0</x:v>
      </x:c>
      <x:c r="AL6070" t="n">
        <x:v>0</x:v>
      </x:c>
      <x:c r="AM6070" t="n">
        <x:f>CHOOSE('假设'!$B$3,AJ6070,AK6070,AL6070)</x:f>
        <x:v>0</x:v>
      </x:c>
      <x:c r="AN6070" t="n">
        <x:v>1</x:v>
      </x:c>
    </x:row>
    <x:row r="6071" ht="23" customHeight="1">
      <x:c r="A6071" s="11" t="str">
        <x:v>688062.SH</x:v>
      </x:c>
      <x:c r="B6071" s="11" t="str">
        <x:v>五年</x:v>
      </x:c>
      <x:c r="C6071" s="11" t="str">
        <x:v>bfv_cervix</x:v>
      </x:c>
      <x:c r="D6071" s="11" t="str">
        <x:v>2039-12-31</x:v>
      </x:c>
      <x:c r="E6071" s="11" t="str">
        <x:v>CNY</x:v>
      </x:c>
      <x:c r="F6071" s="11" t="n">
        <x:v>8.227241615331964</x:v>
      </x:c>
      <x:c r="G6071" s="26" t="b">
        <x:v>1</x:v>
      </x:c>
      <x:c r="H6071" s="16" t="n">
        <x:v>0.21</x:v>
      </x:c>
      <x:c r="I6071" s="16" t="n">
        <x:v>0.30799999999999994</x:v>
      </x:c>
      <x:c r="J6071" s="16" t="n">
        <x:v>0.21599999999999991</x:v>
      </x:c>
      <x:c r="K6071" s="11" t="n">
        <x:f>CHOOSE('假设'!$B$3,H6071,I6071,J6071)</x:f>
        <x:v>0.30799999999999994</x:v>
      </x:c>
      <x:c r="L6071" s="11" t="n">
        <x:f>K6071*'管线假设'!E1299*'管线假设'!F1299*'管线假设'!G1299*IF(E6071="USD",'管线假设'!I1299,1)-AM6071</x:f>
        <x:v>0.05780543999999998</x:v>
      </x:c>
      <x:c r="M6071" s="11" t="n">
        <x:f>'管线假设'!H1299</x:f>
        <x:v>0.14</x:v>
      </x:c>
      <x:c r="N6071" s="11" t="n">
        <x:f>IF(G6071,L6071*AN6071/(1+M6071)^F6071,0)</x:f>
        <x:v>0.019669745928991938</x:v>
      </x:c>
      <x:c r="AJ6071" t="n">
        <x:v>0</x:v>
      </x:c>
      <x:c r="AK6071" t="n">
        <x:v>0</x:v>
      </x:c>
      <x:c r="AL6071" t="n">
        <x:v>0</x:v>
      </x:c>
      <x:c r="AM6071" t="n">
        <x:f>CHOOSE('假设'!$B$3,AJ6071,AK6071,AL6071)</x:f>
        <x:v>0</x:v>
      </x:c>
      <x:c r="AN6071" t="n">
        <x:v>1</x:v>
      </x:c>
    </x:row>
    <x:row r="6072" ht="23" customHeight="1">
      <x:c r="A6072" s="11" t="str">
        <x:v>688062.SH</x:v>
      </x:c>
      <x:c r="B6072" s="11" t="str">
        <x:v>五年</x:v>
      </x:c>
      <x:c r="C6072" s="11" t="str">
        <x:v>bfv_cervix</x:v>
      </x:c>
      <x:c r="D6072" s="11" t="str">
        <x:v>2040-12-31</x:v>
      </x:c>
      <x:c r="E6072" s="11" t="str">
        <x:v>CNY</x:v>
      </x:c>
      <x:c r="F6072" s="11" t="n">
        <x:v>9.229295003422314</x:v>
      </x:c>
      <x:c r="G6072" s="26" t="b">
        <x:v>1</x:v>
      </x:c>
      <x:c r="H6072" s="16" t="n">
        <x:v>0.13199999999999998</x:v>
      </x:c>
      <x:c r="I6072" s="16" t="n">
        <x:v>0.12599999999999995</x:v>
      </x:c>
      <x:c r="J6072" s="16" t="n">
        <x:v>0</x:v>
      </x:c>
      <x:c r="K6072" s="11" t="n">
        <x:f>CHOOSE('假设'!$B$3,H6072,I6072,J6072)</x:f>
        <x:v>0.12599999999999995</x:v>
      </x:c>
      <x:c r="L6072" s="11" t="n">
        <x:f>K6072*'管线假设'!E1299*'管线假设'!F1299*'管线假设'!G1299*IF(E6072="USD",'管线假设'!I1299,1)-AM6072</x:f>
        <x:v>0.023647679999999987</x:v>
      </x:c>
      <x:c r="M6072" s="11" t="n">
        <x:f>'管线假设'!H1299</x:f>
        <x:v>0.14</x:v>
      </x:c>
      <x:c r="N6072" s="11" t="n">
        <x:f>IF(G6072,L6072*AN6072/(1+M6072)^F6072,0)</x:f>
        <x:v>0.007056622413470053</x:v>
      </x:c>
      <x:c r="AJ6072" t="n">
        <x:v>0</x:v>
      </x:c>
      <x:c r="AK6072" t="n">
        <x:v>0</x:v>
      </x:c>
      <x:c r="AL6072" t="n">
        <x:v>0</x:v>
      </x:c>
      <x:c r="AM6072" t="n">
        <x:f>CHOOSE('假设'!$B$3,AJ6072,AK6072,AL6072)</x:f>
        <x:v>0</x:v>
      </x:c>
      <x:c r="AN6072" t="n">
        <x:v>1</x:v>
      </x:c>
    </x:row>
    <x:row r="6073" ht="23" customHeight="1">
      <x:c r="A6073" s="11" t="str">
        <x:v>688062.SH</x:v>
      </x:c>
      <x:c r="B6073" s="11" t="str">
        <x:v>五年</x:v>
      </x:c>
      <x:c r="C6073" s="11" t="str">
        <x:v>bfv_cervix</x:v>
      </x:c>
      <x:c r="D6073" s="11" t="str">
        <x:v>2041-12-31</x:v>
      </x:c>
      <x:c r="E6073" s="11" t="str">
        <x:v>CNY</x:v>
      </x:c>
      <x:c r="F6073" s="11" t="n">
        <x:v>10.22861054072553</x:v>
      </x:c>
      <x:c r="G6073" s="26" t="b">
        <x:v>1</x:v>
      </x:c>
      <x:c r="H6073" s="16" t="n">
        <x:v>0.05399999999999998</x:v>
      </x:c>
      <x:c r="I6073" s="16" t="n">
        <x:v>0</x:v>
      </x:c>
      <x:c r="J6073" s="16" t="n">
        <x:v>0</x:v>
      </x:c>
      <x:c r="K6073" s="11" t="n">
        <x:f>CHOOSE('假设'!$B$3,H6073,I6073,J6073)</x:f>
        <x:v>0</x:v>
      </x:c>
      <x:c r="L6073" s="11" t="n">
        <x:f>K6073*'管线假设'!E1299*'管线假设'!F1299*'管线假设'!G1299*IF(E6073="USD",'管线假设'!I1299,1)-AM6073</x:f>
        <x:v>0</x:v>
      </x:c>
      <x:c r="M6073" s="11" t="n">
        <x:f>'管线假设'!H1299</x:f>
        <x:v>0.14</x:v>
      </x:c>
      <x:c r="N6073" s="11" t="n">
        <x:f>IF(G6073,L6073*AN6073/(1+M6073)^F6073,0)</x:f>
        <x:v>0</x:v>
      </x:c>
      <x:c r="AJ6073" t="n">
        <x:v>0</x:v>
      </x:c>
      <x:c r="AK6073" t="n">
        <x:v>0</x:v>
      </x:c>
      <x:c r="AL6073" t="n">
        <x:v>0</x:v>
      </x:c>
      <x:c r="AM6073" t="n">
        <x:f>CHOOSE('假设'!$B$3,AJ6073,AK6073,AL6073)</x:f>
        <x:v>0</x:v>
      </x:c>
      <x:c r="AN6073" t="n">
        <x:v>1</x:v>
      </x:c>
    </x:row>
    <x:row r="6074" ht="23" customHeight="1">
      <x:c r="A6074" s="11" t="str">
        <x:v>688062.SH</x:v>
      </x:c>
      <x:c r="B6074" s="11" t="str">
        <x:v>五年</x:v>
      </x:c>
      <x:c r="C6074" s="11" t="str">
        <x:v>bfv_cervix</x:v>
      </x:c>
      <x:c r="D6074" s="11" t="str">
        <x:v>2042-12-31</x:v>
      </x:c>
      <x:c r="E6074" s="11" t="str">
        <x:v>CNY</x:v>
      </x:c>
      <x:c r="F6074" s="11" t="n">
        <x:v>11.227926078028748</x:v>
      </x:c>
      <x:c r="G6074" s="26" t="b">
        <x:v>1</x:v>
      </x:c>
      <x:c r="H6074" s="16" t="n">
        <x:v>0</x:v>
      </x:c>
      <x:c r="I6074" s="16" t="n">
        <x:v>0</x:v>
      </x:c>
      <x:c r="J6074" s="16" t="n">
        <x:v>0</x:v>
      </x:c>
      <x:c r="K6074" s="11" t="n">
        <x:f>CHOOSE('假设'!$B$3,H6074,I6074,J6074)</x:f>
        <x:v>0</x:v>
      </x:c>
      <x:c r="L6074" s="11" t="n">
        <x:f>K6074*'管线假设'!E1299*'管线假设'!F1299*'管线假设'!G1299*IF(E6074="USD",'管线假设'!I1299,1)-AM6074</x:f>
        <x:v>0</x:v>
      </x:c>
      <x:c r="M6074" s="11" t="n">
        <x:f>'管线假设'!H1299</x:f>
        <x:v>0.14</x:v>
      </x:c>
      <x:c r="N6074" s="11" t="n">
        <x:f>IF(G6074,L6074*AN6074/(1+M6074)^F6074,0)</x:f>
        <x:v>0</x:v>
      </x:c>
      <x:c r="AJ6074" t="n">
        <x:v>0</x:v>
      </x:c>
      <x:c r="AK6074" t="n">
        <x:v>0</x:v>
      </x:c>
      <x:c r="AL6074" t="n">
        <x:v>0</x:v>
      </x:c>
      <x:c r="AM6074" t="n">
        <x:f>CHOOSE('假设'!$B$3,AJ6074,AK6074,AL6074)</x:f>
        <x:v>0</x:v>
      </x:c>
      <x:c r="AN6074" t="n">
        <x:v>1</x:v>
      </x:c>
    </x:row>
    <x:row r="6075" ht="23" customHeight="1">
      <x:c r="A6075" s="11" t="str">
        <x:v>688062.SH</x:v>
      </x:c>
      <x:c r="B6075" s="11" t="str">
        <x:v>五年</x:v>
      </x:c>
      <x:c r="C6075" s="11" t="str">
        <x:v>bfv_cervix</x:v>
      </x:c>
      <x:c r="D6075" s="11" t="str">
        <x:v>2043-12-31</x:v>
      </x:c>
      <x:c r="E6075" s="11" t="str">
        <x:v>CNY</x:v>
      </x:c>
      <x:c r="F6075" s="11" t="n">
        <x:v>12.227241615331964</x:v>
      </x:c>
      <x:c r="G6075" s="26" t="b">
        <x:v>1</x:v>
      </x:c>
      <x:c r="H6075" s="16" t="n">
        <x:v>0</x:v>
      </x:c>
      <x:c r="I6075" s="16" t="n">
        <x:v>0</x:v>
      </x:c>
      <x:c r="J6075" s="16" t="n">
        <x:v>0</x:v>
      </x:c>
      <x:c r="K6075" s="11" t="n">
        <x:f>CHOOSE('假设'!$B$3,H6075,I6075,J6075)</x:f>
        <x:v>0</x:v>
      </x:c>
      <x:c r="L6075" s="11" t="n">
        <x:f>K6075*'管线假设'!E1299*'管线假设'!F1299*'管线假设'!G1299*IF(E6075="USD",'管线假设'!I1299,1)-AM6075</x:f>
        <x:v>0</x:v>
      </x:c>
      <x:c r="M6075" s="11" t="n">
        <x:f>'管线假设'!H1299</x:f>
        <x:v>0.14</x:v>
      </x:c>
      <x:c r="N6075" s="11" t="n">
        <x:f>IF(G6075,L6075*AN6075/(1+M6075)^F6075,0)</x:f>
        <x:v>0</x:v>
      </x:c>
      <x:c r="AJ6075" t="n">
        <x:v>0</x:v>
      </x:c>
      <x:c r="AK6075" t="n">
        <x:v>0</x:v>
      </x:c>
      <x:c r="AL6075" t="n">
        <x:v>0</x:v>
      </x:c>
      <x:c r="AM6075" t="n">
        <x:f>CHOOSE('假设'!$B$3,AJ6075,AK6075,AL6075)</x:f>
        <x:v>0</x:v>
      </x:c>
      <x:c r="AN6075" t="n">
        <x:v>1</x:v>
      </x:c>
    </x:row>
    <x:row r="6076" ht="23" customHeight="1">
      <x:c r="A6076" s="11" t="str">
        <x:v>688062.SH</x:v>
      </x:c>
      <x:c r="B6076" s="11" t="str">
        <x:v>五年</x:v>
      </x:c>
      <x:c r="C6076" s="11" t="str">
        <x:v>bfv_cervix</x:v>
      </x:c>
      <x:c r="D6076" s="11" t="str">
        <x:v>2044-12-31</x:v>
      </x:c>
      <x:c r="E6076" s="11" t="str">
        <x:v>CNY</x:v>
      </x:c>
      <x:c r="F6076" s="11" t="n">
        <x:v>13.229295003422314</x:v>
      </x:c>
      <x:c r="G6076" s="26" t="b">
        <x:v>1</x:v>
      </x:c>
      <x:c r="H6076" s="16" t="n">
        <x:v>0</x:v>
      </x:c>
      <x:c r="I6076" s="16" t="n">
        <x:v>0</x:v>
      </x:c>
      <x:c r="J6076" s="16" t="n">
        <x:v>0</x:v>
      </x:c>
      <x:c r="K6076" s="11" t="n">
        <x:f>CHOOSE('假设'!$B$3,H6076,I6076,J6076)</x:f>
        <x:v>0</x:v>
      </x:c>
      <x:c r="L6076" s="11" t="n">
        <x:f>K6076*'管线假设'!E1299*'管线假设'!F1299*'管线假设'!G1299*IF(E6076="USD",'管线假设'!I1299,1)-AM6076</x:f>
        <x:v>0</x:v>
      </x:c>
      <x:c r="M6076" s="11" t="n">
        <x:f>'管线假设'!H1299</x:f>
        <x:v>0.14</x:v>
      </x:c>
      <x:c r="N6076" s="11" t="n">
        <x:f>IF(G6076,L6076*AN6076/(1+M6076)^F6076,0)</x:f>
        <x:v>0</x:v>
      </x:c>
      <x:c r="AJ6076" t="n">
        <x:v>0</x:v>
      </x:c>
      <x:c r="AK6076" t="n">
        <x:v>0</x:v>
      </x:c>
      <x:c r="AL6076" t="n">
        <x:v>0</x:v>
      </x:c>
      <x:c r="AM6076" t="n">
        <x:f>CHOOSE('假设'!$B$3,AJ6076,AK6076,AL6076)</x:f>
        <x:v>0</x:v>
      </x:c>
      <x:c r="AN6076" t="n">
        <x:v>1</x:v>
      </x:c>
    </x:row>
    <x:row r="6077" ht="23" customHeight="1">
      <x:c r="A6077" s="11" t="str">
        <x:v>688062.SH</x:v>
      </x:c>
      <x:c r="B6077" s="11" t="str">
        <x:v>五年</x:v>
      </x:c>
      <x:c r="C6077" s="11" t="str">
        <x:v>bfv_cervix</x:v>
      </x:c>
      <x:c r="D6077" s="11" t="str">
        <x:v>2045-12-31</x:v>
      </x:c>
      <x:c r="E6077" s="11" t="str">
        <x:v>CNY</x:v>
      </x:c>
      <x:c r="F6077" s="11" t="n">
        <x:v>14.22861054072553</x:v>
      </x:c>
      <x:c r="G6077" s="26" t="b">
        <x:v>1</x:v>
      </x:c>
      <x:c r="H6077" s="16" t="n">
        <x:v>0</x:v>
      </x:c>
      <x:c r="I6077" s="16" t="n">
        <x:v>0</x:v>
      </x:c>
      <x:c r="J6077" s="16" t="n">
        <x:v>0</x:v>
      </x:c>
      <x:c r="K6077" s="11" t="n">
        <x:f>CHOOSE('假设'!$B$3,H6077,I6077,J6077)</x:f>
        <x:v>0</x:v>
      </x:c>
      <x:c r="L6077" s="11" t="n">
        <x:f>K6077*'管线假设'!E1299*'管线假设'!F1299*'管线假设'!G1299*IF(E6077="USD",'管线假设'!I1299,1)-AM6077</x:f>
        <x:v>0</x:v>
      </x:c>
      <x:c r="M6077" s="11" t="n">
        <x:f>'管线假设'!H1299</x:f>
        <x:v>0.14</x:v>
      </x:c>
      <x:c r="N6077" s="11" t="n">
        <x:f>IF(G6077,L6077*AN6077/(1+M6077)^F6077,0)</x:f>
        <x:v>0</x:v>
      </x:c>
      <x:c r="AJ6077" t="n">
        <x:v>0</x:v>
      </x:c>
      <x:c r="AK6077" t="n">
        <x:v>0</x:v>
      </x:c>
      <x:c r="AL6077" t="n">
        <x:v>0</x:v>
      </x:c>
      <x:c r="AM6077" t="n">
        <x:f>CHOOSE('假设'!$B$3,AJ6077,AK6077,AL6077)</x:f>
        <x:v>0</x:v>
      </x:c>
      <x:c r="AN6077" t="n">
        <x:v>1</x:v>
      </x:c>
    </x:row>
    <x:row r="6078" ht="23" customHeight="1">
      <x:c r="A6078" s="11" t="str">
        <x:v>688062.SH</x:v>
      </x:c>
      <x:c r="B6078" s="11" t="str">
        <x:v>五年</x:v>
      </x:c>
      <x:c r="C6078" s="11" t="str">
        <x:v>bfv_tnbc</x:v>
      </x:c>
      <x:c r="D6078" s="11" t="str">
        <x:v>2027-12-31</x:v>
      </x:c>
      <x:c r="E6078" s="11" t="str">
        <x:v>CNY</x:v>
      </x:c>
      <x:c r="F6078" s="11" t="n">
        <x:v>-3.7727583846680357</x:v>
      </x:c>
      <x:c r="G6078" s="26" t="b">
        <x:v>0</x:v>
      </x:c>
      <x:c r="H6078" s="16" t="n">
        <x:v>0</x:v>
      </x:c>
      <x:c r="I6078" s="16" t="n">
        <x:v>0</x:v>
      </x:c>
      <x:c r="J6078" s="16" t="n">
        <x:v>0</x:v>
      </x:c>
      <x:c r="K6078" s="11" t="n">
        <x:f>CHOOSE('假设'!$B$3,H6078,I6078,J6078)</x:f>
        <x:v>0</x:v>
      </x:c>
      <x:c r="L6078" s="11" t="n">
        <x:f>K6078*'管线假设'!E1303*'管线假设'!F1303*'管线假设'!G1303*IF(E6078="USD",'管线假设'!I1303,1)-AM6078</x:f>
        <x:v>0</x:v>
      </x:c>
      <x:c r="M6078" s="11" t="n">
        <x:f>'管线假设'!H1303</x:f>
        <x:v>0.14</x:v>
      </x:c>
      <x:c r="N6078" s="11" t="n">
        <x:f>IF(G6078,L6078*AN6078/(1+M6078)^F6078,0)</x:f>
        <x:v>0</x:v>
      </x:c>
      <x:c r="AJ6078" t="n">
        <x:v>0</x:v>
      </x:c>
      <x:c r="AK6078" t="n">
        <x:v>0</x:v>
      </x:c>
      <x:c r="AL6078" t="n">
        <x:v>0</x:v>
      </x:c>
      <x:c r="AM6078" t="n">
        <x:f>CHOOSE('假设'!$B$3,AJ6078,AK6078,AL6078)</x:f>
        <x:v>0</x:v>
      </x:c>
      <x:c r="AN6078" t="n">
        <x:v>1</x:v>
      </x:c>
    </x:row>
    <x:row r="6079" ht="23" customHeight="1">
      <x:c r="A6079" s="11" t="str">
        <x:v>688062.SH</x:v>
      </x:c>
      <x:c r="B6079" s="11" t="str">
        <x:v>五年</x:v>
      </x:c>
      <x:c r="C6079" s="11" t="str">
        <x:v>bfv_tnbc</x:v>
      </x:c>
      <x:c r="D6079" s="11" t="str">
        <x:v>2028-12-31</x:v>
      </x:c>
      <x:c r="E6079" s="11" t="str">
        <x:v>CNY</x:v>
      </x:c>
      <x:c r="F6079" s="11" t="n">
        <x:v>-2.7707049965776864</x:v>
      </x:c>
      <x:c r="G6079" s="26" t="b">
        <x:v>0</x:v>
      </x:c>
      <x:c r="H6079" s="16" t="n">
        <x:v>0</x:v>
      </x:c>
      <x:c r="I6079" s="16" t="n">
        <x:v>0</x:v>
      </x:c>
      <x:c r="J6079" s="16" t="n">
        <x:v>0</x:v>
      </x:c>
      <x:c r="K6079" s="11" t="n">
        <x:f>CHOOSE('假设'!$B$3,H6079,I6079,J6079)</x:f>
        <x:v>0</x:v>
      </x:c>
      <x:c r="L6079" s="11" t="n">
        <x:f>K6079*'管线假设'!E1303*'管线假设'!F1303*'管线假设'!G1303*IF(E6079="USD",'管线假设'!I1303,1)-AM6079</x:f>
        <x:v>0</x:v>
      </x:c>
      <x:c r="M6079" s="11" t="n">
        <x:f>'管线假设'!H1303</x:f>
        <x:v>0.14</x:v>
      </x:c>
      <x:c r="N6079" s="11" t="n">
        <x:f>IF(G6079,L6079*AN6079/(1+M6079)^F6079,0)</x:f>
        <x:v>0</x:v>
      </x:c>
      <x:c r="AJ6079" t="n">
        <x:v>0</x:v>
      </x:c>
      <x:c r="AK6079" t="n">
        <x:v>0</x:v>
      </x:c>
      <x:c r="AL6079" t="n">
        <x:v>0</x:v>
      </x:c>
      <x:c r="AM6079" t="n">
        <x:f>CHOOSE('假设'!$B$3,AJ6079,AK6079,AL6079)</x:f>
        <x:v>0</x:v>
      </x:c>
      <x:c r="AN6079" t="n">
        <x:v>1</x:v>
      </x:c>
    </x:row>
    <x:row r="6080" ht="23" customHeight="1">
      <x:c r="A6080" s="11" t="str">
        <x:v>688062.SH</x:v>
      </x:c>
      <x:c r="B6080" s="11" t="str">
        <x:v>五年</x:v>
      </x:c>
      <x:c r="C6080" s="11" t="str">
        <x:v>bfv_tnbc</x:v>
      </x:c>
      <x:c r="D6080" s="11" t="str">
        <x:v>2029-12-31</x:v>
      </x:c>
      <x:c r="E6080" s="11" t="str">
        <x:v>CNY</x:v>
      </x:c>
      <x:c r="F6080" s="11" t="n">
        <x:v>-1.7713894592744694</x:v>
      </x:c>
      <x:c r="G6080" s="26" t="b">
        <x:v>0</x:v>
      </x:c>
      <x:c r="H6080" s="16" t="n">
        <x:v>0</x:v>
      </x:c>
      <x:c r="I6080" s="16" t="n">
        <x:v>0</x:v>
      </x:c>
      <x:c r="J6080" s="16" t="n">
        <x:v>0.6000000000000001</x:v>
      </x:c>
      <x:c r="K6080" s="11" t="n">
        <x:f>CHOOSE('假设'!$B$3,H6080,I6080,J6080)</x:f>
        <x:v>0</x:v>
      </x:c>
      <x:c r="L6080" s="11" t="n">
        <x:f>K6080*'管线假设'!E1303*'管线假设'!F1303*'管线假设'!G1303*IF(E6080="USD",'管线假设'!I1303,1)-AM6080</x:f>
        <x:v>0</x:v>
      </x:c>
      <x:c r="M6080" s="11" t="n">
        <x:f>'管线假设'!H1303</x:f>
        <x:v>0.14</x:v>
      </x:c>
      <x:c r="N6080" s="11" t="n">
        <x:f>IF(G6080,L6080*AN6080/(1+M6080)^F6080,0)</x:f>
        <x:v>0</x:v>
      </x:c>
      <x:c r="AJ6080" t="n">
        <x:v>0</x:v>
      </x:c>
      <x:c r="AK6080" t="n">
        <x:v>0</x:v>
      </x:c>
      <x:c r="AL6080" t="n">
        <x:v>0</x:v>
      </x:c>
      <x:c r="AM6080" t="n">
        <x:f>CHOOSE('假设'!$B$3,AJ6080,AK6080,AL6080)</x:f>
        <x:v>0</x:v>
      </x:c>
      <x:c r="AN6080" t="n">
        <x:v>1</x:v>
      </x:c>
    </x:row>
    <x:row r="6081" ht="23" customHeight="1">
      <x:c r="A6081" s="11" t="str">
        <x:v>688062.SH</x:v>
      </x:c>
      <x:c r="B6081" s="11" t="str">
        <x:v>五年</x:v>
      </x:c>
      <x:c r="C6081" s="11" t="str">
        <x:v>bfv_tnbc</x:v>
      </x:c>
      <x:c r="D6081" s="11" t="str">
        <x:v>2030-12-31</x:v>
      </x:c>
      <x:c r="E6081" s="11" t="str">
        <x:v>CNY</x:v>
      </x:c>
      <x:c r="F6081" s="11" t="n">
        <x:v>-0.7720739219712526</x:v>
      </x:c>
      <x:c r="G6081" s="26" t="b">
        <x:v>0</x:v>
      </x:c>
      <x:c r="H6081" s="16" t="n">
        <x:v>0</x:v>
      </x:c>
      <x:c r="I6081" s="16" t="n">
        <x:v>0.25</x:v>
      </x:c>
      <x:c r="J6081" s="16" t="n">
        <x:v>1.2000000000000002</x:v>
      </x:c>
      <x:c r="K6081" s="11" t="n">
        <x:f>CHOOSE('假设'!$B$3,H6081,I6081,J6081)</x:f>
        <x:v>0.25</x:v>
      </x:c>
      <x:c r="L6081" s="11" t="n">
        <x:f>K6081*'管线假设'!E1303*'管线假设'!F1303*'管线假设'!G1303*IF(E6081="USD",'管线假设'!I1303,1)-AM6081</x:f>
        <x:v>0.0372</x:v>
      </x:c>
      <x:c r="M6081" s="11" t="n">
        <x:f>'管线假设'!H1303</x:f>
        <x:v>0.14</x:v>
      </x:c>
      <x:c r="N6081" s="11" t="n">
        <x:f>IF(G6081,L6081*AN6081/(1+M6081)^F6081,0)</x:f>
        <x:v>0</x:v>
      </x:c>
      <x:c r="AJ6081" t="n">
        <x:v>0</x:v>
      </x:c>
      <x:c r="AK6081" t="n">
        <x:v>0</x:v>
      </x:c>
      <x:c r="AL6081" t="n">
        <x:v>0</x:v>
      </x:c>
      <x:c r="AM6081" t="n">
        <x:f>CHOOSE('假设'!$B$3,AJ6081,AK6081,AL6081)</x:f>
        <x:v>0</x:v>
      </x:c>
      <x:c r="AN6081" t="n">
        <x:v>1</x:v>
      </x:c>
    </x:row>
    <x:row r="6082" ht="23" customHeight="1">
      <x:c r="A6082" s="11" t="str">
        <x:v>688062.SH</x:v>
      </x:c>
      <x:c r="B6082" s="11" t="str">
        <x:v>五年</x:v>
      </x:c>
      <x:c r="C6082" s="11" t="str">
        <x:v>bfv_tnbc</x:v>
      </x:c>
      <x:c r="D6082" s="11" t="str">
        <x:v>2031-12-31</x:v>
      </x:c>
      <x:c r="E6082" s="11" t="str">
        <x:v>CNY</x:v>
      </x:c>
      <x:c r="F6082" s="11" t="n">
        <x:v>0.2272416153319644</x:v>
      </x:c>
      <x:c r="G6082" s="26" t="b">
        <x:v>1</x:v>
      </x:c>
      <x:c r="H6082" s="16" t="n">
        <x:v>0</x:v>
      </x:c>
      <x:c r="I6082" s="16" t="n">
        <x:v>0.5</x:v>
      </x:c>
      <x:c r="J6082" s="16" t="n">
        <x:v>1.7999999999999998</x:v>
      </x:c>
      <x:c r="K6082" s="11" t="n">
        <x:f>CHOOSE('假设'!$B$3,H6082,I6082,J6082)</x:f>
        <x:v>0.5</x:v>
      </x:c>
      <x:c r="L6082" s="11" t="n">
        <x:f>K6082*'管线假设'!E1303*'管线假设'!F1303*'管线假设'!G1303*IF(E6082="USD",'管线假设'!I1303,1)-AM6082</x:f>
        <x:v>0.0744</x:v>
      </x:c>
      <x:c r="M6082" s="11" t="n">
        <x:f>'管线假设'!H1303</x:f>
        <x:v>0.14</x:v>
      </x:c>
      <x:c r="N6082" s="11" t="n">
        <x:f>IF(G6082,L6082*AN6082/(1+M6082)^F6082,0)</x:f>
        <x:v>0.07221738943763872</x:v>
      </x:c>
      <x:c r="AJ6082" t="n">
        <x:v>0</x:v>
      </x:c>
      <x:c r="AK6082" t="n">
        <x:v>0</x:v>
      </x:c>
      <x:c r="AL6082" t="n">
        <x:v>0</x:v>
      </x:c>
      <x:c r="AM6082" t="n">
        <x:f>CHOOSE('假设'!$B$3,AJ6082,AK6082,AL6082)</x:f>
        <x:v>0</x:v>
      </x:c>
      <x:c r="AN6082" t="n">
        <x:v>1</x:v>
      </x:c>
    </x:row>
    <x:row r="6083" ht="23" customHeight="1">
      <x:c r="A6083" s="11" t="str">
        <x:v>688062.SH</x:v>
      </x:c>
      <x:c r="B6083" s="11" t="str">
        <x:v>五年</x:v>
      </x:c>
      <x:c r="C6083" s="11" t="str">
        <x:v>bfv_tnbc</x:v>
      </x:c>
      <x:c r="D6083" s="11" t="str">
        <x:v>2032-12-31</x:v>
      </x:c>
      <x:c r="E6083" s="11" t="str">
        <x:v>CNY</x:v>
      </x:c>
      <x:c r="F6083" s="11" t="n">
        <x:v>1.2292950034223136</x:v>
      </x:c>
      <x:c r="G6083" s="26" t="b">
        <x:v>1</x:v>
      </x:c>
      <x:c r="H6083" s="16" t="n">
        <x:v>0.11000000000000001</x:v>
      </x:c>
      <x:c r="I6083" s="16" t="n">
        <x:v>0.75</x:v>
      </x:c>
      <x:c r="J6083" s="16" t="n">
        <x:v>2.4000000000000004</x:v>
      </x:c>
      <x:c r="K6083" s="11" t="n">
        <x:f>CHOOSE('假设'!$B$3,H6083,I6083,J6083)</x:f>
        <x:v>0.75</x:v>
      </x:c>
      <x:c r="L6083" s="11" t="n">
        <x:f>K6083*'管线假设'!E1303*'管线假设'!F1303*'管线假设'!G1303*IF(E6083="USD",'管线假设'!I1303,1)-AM6083</x:f>
        <x:v>0.11159999999999999</x:v>
      </x:c>
      <x:c r="M6083" s="11" t="n">
        <x:f>'管线假设'!H1303</x:f>
        <x:v>0.14</x:v>
      </x:c>
      <x:c r="N6083" s="11" t="n">
        <x:f>IF(G6083,L6083*AN6083/(1+M6083)^F6083,0)</x:f>
        <x:v>0.09499731819387387</x:v>
      </x:c>
      <x:c r="AJ6083" t="n">
        <x:v>0</x:v>
      </x:c>
      <x:c r="AK6083" t="n">
        <x:v>0</x:v>
      </x:c>
      <x:c r="AL6083" t="n">
        <x:v>0</x:v>
      </x:c>
      <x:c r="AM6083" t="n">
        <x:f>CHOOSE('假设'!$B$3,AJ6083,AK6083,AL6083)</x:f>
        <x:v>0</x:v>
      </x:c>
      <x:c r="AN6083" t="n">
        <x:v>1</x:v>
      </x:c>
    </x:row>
    <x:row r="6084" ht="23" customHeight="1">
      <x:c r="A6084" s="11" t="str">
        <x:v>688062.SH</x:v>
      </x:c>
      <x:c r="B6084" s="11" t="str">
        <x:v>五年</x:v>
      </x:c>
      <x:c r="C6084" s="11" t="str">
        <x:v>bfv_tnbc</x:v>
      </x:c>
      <x:c r="D6084" s="11" t="str">
        <x:v>2033-12-31</x:v>
      </x:c>
      <x:c r="E6084" s="11" t="str">
        <x:v>CNY</x:v>
      </x:c>
      <x:c r="F6084" s="11" t="n">
        <x:v>2.2286105407255303</x:v>
      </x:c>
      <x:c r="G6084" s="26" t="b">
        <x:v>1</x:v>
      </x:c>
      <x:c r="H6084" s="16" t="n">
        <x:v>0.22000000000000003</x:v>
      </x:c>
      <x:c r="I6084" s="16" t="n">
        <x:v>1</x:v>
      </x:c>
      <x:c r="J6084" s="16" t="n">
        <x:v>3</x:v>
      </x:c>
      <x:c r="K6084" s="11" t="n">
        <x:f>CHOOSE('假设'!$B$3,H6084,I6084,J6084)</x:f>
        <x:v>1</x:v>
      </x:c>
      <x:c r="L6084" s="11" t="n">
        <x:f>K6084*'管线假设'!E1303*'管线假设'!F1303*'管线假设'!G1303*IF(E6084="USD",'管线假设'!I1303,1)-AM6084</x:f>
        <x:v>0.1488</x:v>
      </x:c>
      <x:c r="M6084" s="11" t="n">
        <x:f>'管线假设'!H1303</x:f>
        <x:v>0.14</x:v>
      </x:c>
      <x:c r="N6084" s="11" t="n">
        <x:f>IF(G6084,L6084*AN6084/(1+M6084)^F6084,0)</x:f>
        <x:v>0.11111793954550529</x:v>
      </x:c>
      <x:c r="AJ6084" t="n">
        <x:v>0</x:v>
      </x:c>
      <x:c r="AK6084" t="n">
        <x:v>0</x:v>
      </x:c>
      <x:c r="AL6084" t="n">
        <x:v>0</x:v>
      </x:c>
      <x:c r="AM6084" t="n">
        <x:f>CHOOSE('假设'!$B$3,AJ6084,AK6084,AL6084)</x:f>
        <x:v>0</x:v>
      </x:c>
      <x:c r="AN6084" t="n">
        <x:v>1</x:v>
      </x:c>
    </x:row>
    <x:row r="6085" ht="23" customHeight="1">
      <x:c r="A6085" s="11" t="str">
        <x:v>688062.SH</x:v>
      </x:c>
      <x:c r="B6085" s="11" t="str">
        <x:v>五年</x:v>
      </x:c>
      <x:c r="C6085" s="11" t="str">
        <x:v>bfv_tnbc</x:v>
      </x:c>
      <x:c r="D6085" s="11" t="str">
        <x:v>2034-12-31</x:v>
      </x:c>
      <x:c r="E6085" s="11" t="str">
        <x:v>CNY</x:v>
      </x:c>
      <x:c r="F6085" s="11" t="n">
        <x:v>3.2279260780287475</x:v>
      </x:c>
      <x:c r="G6085" s="26" t="b">
        <x:v>1</x:v>
      </x:c>
      <x:c r="H6085" s="16" t="n">
        <x:v>0.33</x:v>
      </x:c>
      <x:c r="I6085" s="16" t="n">
        <x:v>1.25</x:v>
      </x:c>
      <x:c r="J6085" s="16" t="n">
        <x:v>2.61</x:v>
      </x:c>
      <x:c r="K6085" s="11" t="n">
        <x:f>CHOOSE('假设'!$B$3,H6085,I6085,J6085)</x:f>
        <x:v>1.25</x:v>
      </x:c>
      <x:c r="L6085" s="11" t="n">
        <x:f>K6085*'管线假设'!E1303*'管线假设'!F1303*'管线假设'!G1303*IF(E6085="USD",'管线假设'!I1303,1)-AM6085</x:f>
        <x:v>0.186</x:v>
      </x:c>
      <x:c r="M6085" s="11" t="n">
        <x:f>'管线假设'!H1303</x:f>
        <x:v>0.14</x:v>
      </x:c>
      <x:c r="N6085" s="11" t="n">
        <x:f>IF(G6085,L6085*AN6085/(1+M6085)^F6085,0)</x:f>
        <x:v>0.12185077356249656</x:v>
      </x:c>
      <x:c r="AJ6085" t="n">
        <x:v>0</x:v>
      </x:c>
      <x:c r="AK6085" t="n">
        <x:v>0</x:v>
      </x:c>
      <x:c r="AL6085" t="n">
        <x:v>0</x:v>
      </x:c>
      <x:c r="AM6085" t="n">
        <x:f>CHOOSE('假设'!$B$3,AJ6085,AK6085,AL6085)</x:f>
        <x:v>0</x:v>
      </x:c>
      <x:c r="AN6085" t="n">
        <x:v>1</x:v>
      </x:c>
    </x:row>
    <x:row r="6086" ht="23" customHeight="1">
      <x:c r="A6086" s="11" t="str">
        <x:v>688062.SH</x:v>
      </x:c>
      <x:c r="B6086" s="11" t="str">
        <x:v>五年</x:v>
      </x:c>
      <x:c r="C6086" s="11" t="str">
        <x:v>bfv_tnbc</x:v>
      </x:c>
      <x:c r="D6086" s="11" t="str">
        <x:v>2035-12-31</x:v>
      </x:c>
      <x:c r="E6086" s="11" t="str">
        <x:v>CNY</x:v>
      </x:c>
      <x:c r="F6086" s="11" t="n">
        <x:v>4.227241615331964</x:v>
      </x:c>
      <x:c r="G6086" s="26" t="b">
        <x:v>1</x:v>
      </x:c>
      <x:c r="H6086" s="16" t="n">
        <x:v>0.44000000000000006</x:v>
      </x:c>
      <x:c r="I6086" s="16" t="n">
        <x:v>1.5</x:v>
      </x:c>
      <x:c r="J6086" s="16" t="n">
        <x:v>2.2199999999999998</x:v>
      </x:c>
      <x:c r="K6086" s="11" t="n">
        <x:f>CHOOSE('假设'!$B$3,H6086,I6086,J6086)</x:f>
        <x:v>1.5</x:v>
      </x:c>
      <x:c r="L6086" s="11" t="n">
        <x:f>K6086*'管线假设'!E1303*'管线假设'!F1303*'管线假设'!G1303*IF(E6086="USD",'管线假设'!I1303,1)-AM6086</x:f>
        <x:v>0.22319999999999998</x:v>
      </x:c>
      <x:c r="M6086" s="11" t="n">
        <x:f>'管线假设'!H1303</x:f>
        <x:v>0.14</x:v>
      </x:c>
      <x:c r="N6086" s="11" t="n">
        <x:f>IF(G6086,L6086*AN6086/(1+M6086)^F6086,0)</x:f>
        <x:v>0.12827547590756436</x:v>
      </x:c>
      <x:c r="AJ6086" t="n">
        <x:v>0</x:v>
      </x:c>
      <x:c r="AK6086" t="n">
        <x:v>0</x:v>
      </x:c>
      <x:c r="AL6086" t="n">
        <x:v>0</x:v>
      </x:c>
      <x:c r="AM6086" t="n">
        <x:f>CHOOSE('假设'!$B$3,AJ6086,AK6086,AL6086)</x:f>
        <x:v>0</x:v>
      </x:c>
      <x:c r="AN6086" t="n">
        <x:v>1</x:v>
      </x:c>
    </x:row>
    <x:row r="6087" ht="23" customHeight="1">
      <x:c r="A6087" s="11" t="str">
        <x:v>688062.SH</x:v>
      </x:c>
      <x:c r="B6087" s="11" t="str">
        <x:v>五年</x:v>
      </x:c>
      <x:c r="C6087" s="11" t="str">
        <x:v>bfv_tnbc</x:v>
      </x:c>
      <x:c r="D6087" s="11" t="str">
        <x:v>2036-12-31</x:v>
      </x:c>
      <x:c r="E6087" s="11" t="str">
        <x:v>CNY</x:v>
      </x:c>
      <x:c r="F6087" s="11" t="n">
        <x:v>5.229295003422314</x:v>
      </x:c>
      <x:c r="G6087" s="26" t="b">
        <x:v>1</x:v>
      </x:c>
      <x:c r="H6087" s="16" t="n">
        <x:v>0.55</x:v>
      </x:c>
      <x:c r="I6087" s="16" t="n">
        <x:v>1.305</x:v>
      </x:c>
      <x:c r="J6087" s="16" t="n">
        <x:v>1.83</x:v>
      </x:c>
      <x:c r="K6087" s="11" t="n">
        <x:f>CHOOSE('假设'!$B$3,H6087,I6087,J6087)</x:f>
        <x:v>1.305</x:v>
      </x:c>
      <x:c r="L6087" s="11" t="n">
        <x:f>K6087*'管线假设'!E1303*'管线假设'!F1303*'管线假设'!G1303*IF(E6087="USD",'管线假设'!I1303,1)-AM6087</x:f>
        <x:v>0.194184</x:v>
      </x:c>
      <x:c r="M6087" s="11" t="n">
        <x:f>'管线假设'!H1303</x:f>
        <x:v>0.14</x:v>
      </x:c>
      <x:c r="N6087" s="11" t="n">
        <x:f>IF(G6087,L6087*AN6087/(1+M6087)^F6087,0)</x:f>
        <x:v>0.09786810699983618</x:v>
      </x:c>
      <x:c r="AJ6087" t="n">
        <x:v>0</x:v>
      </x:c>
      <x:c r="AK6087" t="n">
        <x:v>0</x:v>
      </x:c>
      <x:c r="AL6087" t="n">
        <x:v>0</x:v>
      </x:c>
      <x:c r="AM6087" t="n">
        <x:f>CHOOSE('假设'!$B$3,AJ6087,AK6087,AL6087)</x:f>
        <x:v>0</x:v>
      </x:c>
      <x:c r="AN6087" t="n">
        <x:v>1</x:v>
      </x:c>
    </x:row>
    <x:row r="6088" ht="23" customHeight="1">
      <x:c r="A6088" s="11" t="str">
        <x:v>688062.SH</x:v>
      </x:c>
      <x:c r="B6088" s="11" t="str">
        <x:v>五年</x:v>
      </x:c>
      <x:c r="C6088" s="11" t="str">
        <x:v>bfv_tnbc</x:v>
      </x:c>
      <x:c r="D6088" s="11" t="str">
        <x:v>2037-12-31</x:v>
      </x:c>
      <x:c r="E6088" s="11" t="str">
        <x:v>CNY</x:v>
      </x:c>
      <x:c r="F6088" s="11" t="n">
        <x:v>6.228610540725531</x:v>
      </x:c>
      <x:c r="G6088" s="26" t="b">
        <x:v>1</x:v>
      </x:c>
      <x:c r="H6088" s="16" t="n">
        <x:v>0.47850000000000004</x:v>
      </x:c>
      <x:c r="I6088" s="16" t="n">
        <x:v>1.1099999999999999</x:v>
      </x:c>
      <x:c r="J6088" s="16" t="n">
        <x:v>1.44</x:v>
      </x:c>
      <x:c r="K6088" s="11" t="n">
        <x:f>CHOOSE('假设'!$B$3,H6088,I6088,J6088)</x:f>
        <x:v>1.1099999999999999</x:v>
      </x:c>
      <x:c r="L6088" s="11" t="n">
        <x:f>K6088*'管线假设'!E1303*'管线假设'!F1303*'管线假设'!G1303*IF(E6088="USD",'管线假设'!I1303,1)-AM6088</x:f>
        <x:v>0.16516799999999998</x:v>
      </x:c>
      <x:c r="M6088" s="11" t="n">
        <x:f>'管线假设'!H1303</x:f>
        <x:v>0.14</x:v>
      </x:c>
      <x:c r="N6088" s="11" t="n">
        <x:f>IF(G6088,L6088*AN6088/(1+M6088)^F6088,0)</x:f>
        <x:v>0.07302772191826645</x:v>
      </x:c>
      <x:c r="AJ6088" t="n">
        <x:v>0</x:v>
      </x:c>
      <x:c r="AK6088" t="n">
        <x:v>0</x:v>
      </x:c>
      <x:c r="AL6088" t="n">
        <x:v>0</x:v>
      </x:c>
      <x:c r="AM6088" t="n">
        <x:f>CHOOSE('假设'!$B$3,AJ6088,AK6088,AL6088)</x:f>
        <x:v>0</x:v>
      </x:c>
      <x:c r="AN6088" t="n">
        <x:v>1</x:v>
      </x:c>
    </x:row>
    <x:row r="6089" ht="23" customHeight="1">
      <x:c r="A6089" s="11" t="str">
        <x:v>688062.SH</x:v>
      </x:c>
      <x:c r="B6089" s="11" t="str">
        <x:v>五年</x:v>
      </x:c>
      <x:c r="C6089" s="11" t="str">
        <x:v>bfv_tnbc</x:v>
      </x:c>
      <x:c r="D6089" s="11" t="str">
        <x:v>2038-12-31</x:v>
      </x:c>
      <x:c r="E6089" s="11" t="str">
        <x:v>CNY</x:v>
      </x:c>
      <x:c r="F6089" s="11" t="n">
        <x:v>7.227926078028747</x:v>
      </x:c>
      <x:c r="G6089" s="26" t="b">
        <x:v>1</x:v>
      </x:c>
      <x:c r="H6089" s="16" t="n">
        <x:v>0.40700000000000003</x:v>
      </x:c>
      <x:c r="I6089" s="16" t="n">
        <x:v>0.915</x:v>
      </x:c>
      <x:c r="J6089" s="16" t="n">
        <x:v>1.0499999999999998</x:v>
      </x:c>
      <x:c r="K6089" s="11" t="n">
        <x:f>CHOOSE('假设'!$B$3,H6089,I6089,J6089)</x:f>
        <x:v>0.915</x:v>
      </x:c>
      <x:c r="L6089" s="11" t="n">
        <x:f>K6089*'管线假设'!E1303*'管线假设'!F1303*'管线假设'!G1303*IF(E6089="USD",'管线假设'!I1303,1)-AM6089</x:f>
        <x:v>0.136152</x:v>
      </x:c>
      <x:c r="M6089" s="11" t="n">
        <x:f>'管线假设'!H1303</x:f>
        <x:v>0.14</x:v>
      </x:c>
      <x:c r="N6089" s="11" t="n">
        <x:f>IF(G6089,L6089*AN6089/(1+M6089)^F6089,0)</x:f>
        <x:v>0.05281046193993554</x:v>
      </x:c>
      <x:c r="AJ6089" t="n">
        <x:v>0</x:v>
      </x:c>
      <x:c r="AK6089" t="n">
        <x:v>0</x:v>
      </x:c>
      <x:c r="AL6089" t="n">
        <x:v>0</x:v>
      </x:c>
      <x:c r="AM6089" t="n">
        <x:f>CHOOSE('假设'!$B$3,AJ6089,AK6089,AL6089)</x:f>
        <x:v>0</x:v>
      </x:c>
      <x:c r="AN6089" t="n">
        <x:v>1</x:v>
      </x:c>
    </x:row>
    <x:row r="6090" ht="23" customHeight="1">
      <x:c r="A6090" s="11" t="str">
        <x:v>688062.SH</x:v>
      </x:c>
      <x:c r="B6090" s="11" t="str">
        <x:v>五年</x:v>
      </x:c>
      <x:c r="C6090" s="11" t="str">
        <x:v>bfv_tnbc</x:v>
      </x:c>
      <x:c r="D6090" s="11" t="str">
        <x:v>2039-12-31</x:v>
      </x:c>
      <x:c r="E6090" s="11" t="str">
        <x:v>CNY</x:v>
      </x:c>
      <x:c r="F6090" s="11" t="n">
        <x:v>8.227241615331964</x:v>
      </x:c>
      <x:c r="G6090" s="26" t="b">
        <x:v>1</x:v>
      </x:c>
      <x:c r="H6090" s="16" t="n">
        <x:v>0.3355</x:v>
      </x:c>
      <x:c r="I6090" s="16" t="n">
        <x:v>0.72</x:v>
      </x:c>
      <x:c r="J6090" s="16" t="n">
        <x:v>0.6599999999999999</x:v>
      </x:c>
      <x:c r="K6090" s="11" t="n">
        <x:f>CHOOSE('假设'!$B$3,H6090,I6090,J6090)</x:f>
        <x:v>0.72</x:v>
      </x:c>
      <x:c r="L6090" s="11" t="n">
        <x:f>K6090*'管线假设'!E1303*'管线假设'!F1303*'管线假设'!G1303*IF(E6090="USD",'管线假设'!I1303,1)-AM6090</x:f>
        <x:v>0.107136</x:v>
      </x:c>
      <x:c r="M6090" s="11" t="n">
        <x:f>'管线假设'!H1303</x:f>
        <x:v>0.14</x:v>
      </x:c>
      <x:c r="N6090" s="11" t="n">
        <x:f>IF(G6090,L6090*AN6090/(1+M6090)^F6090,0)</x:f>
        <x:v>0.03645570209046901</x:v>
      </x:c>
      <x:c r="AJ6090" t="n">
        <x:v>0</x:v>
      </x:c>
      <x:c r="AK6090" t="n">
        <x:v>0</x:v>
      </x:c>
      <x:c r="AL6090" t="n">
        <x:v>0</x:v>
      </x:c>
      <x:c r="AM6090" t="n">
        <x:f>CHOOSE('假设'!$B$3,AJ6090,AK6090,AL6090)</x:f>
        <x:v>0</x:v>
      </x:c>
      <x:c r="AN6090" t="n">
        <x:v>1</x:v>
      </x:c>
    </x:row>
    <x:row r="6091" ht="23" customHeight="1">
      <x:c r="A6091" s="11" t="str">
        <x:v>688062.SH</x:v>
      </x:c>
      <x:c r="B6091" s="11" t="str">
        <x:v>五年</x:v>
      </x:c>
      <x:c r="C6091" s="11" t="str">
        <x:v>bfv_tnbc</x:v>
      </x:c>
      <x:c r="D6091" s="11" t="str">
        <x:v>2040-12-31</x:v>
      </x:c>
      <x:c r="E6091" s="11" t="str">
        <x:v>CNY</x:v>
      </x:c>
      <x:c r="F6091" s="11" t="n">
        <x:v>9.229295003422314</x:v>
      </x:c>
      <x:c r="G6091" s="26" t="b">
        <x:v>1</x:v>
      </x:c>
      <x:c r="H6091" s="16" t="n">
        <x:v>0.264</x:v>
      </x:c>
      <x:c r="I6091" s="16" t="n">
        <x:v>0.5249999999999999</x:v>
      </x:c>
      <x:c r="J6091" s="16" t="n">
        <x:v>0.2699999999999999</x:v>
      </x:c>
      <x:c r="K6091" s="11" t="n">
        <x:f>CHOOSE('假设'!$B$3,H6091,I6091,J6091)</x:f>
        <x:v>0.5249999999999999</x:v>
      </x:c>
      <x:c r="L6091" s="11" t="n">
        <x:f>K6091*'管线假设'!E1303*'管线假设'!F1303*'管线假设'!G1303*IF(E6091="USD",'管线假设'!I1303,1)-AM6091</x:f>
        <x:v>0.07811999999999998</x:v>
      </x:c>
      <x:c r="M6091" s="11" t="n">
        <x:f>'管线假设'!H1303</x:f>
        <x:v>0.14</x:v>
      </x:c>
      <x:c r="N6091" s="11" t="n">
        <x:f>IF(G6091,L6091*AN6091/(1+M6091)^F6091,0)</x:f>
        <x:v>0.023311519055580956</x:v>
      </x:c>
      <x:c r="AJ6091" t="n">
        <x:v>0</x:v>
      </x:c>
      <x:c r="AK6091" t="n">
        <x:v>0</x:v>
      </x:c>
      <x:c r="AL6091" t="n">
        <x:v>0</x:v>
      </x:c>
      <x:c r="AM6091" t="n">
        <x:f>CHOOSE('假设'!$B$3,AJ6091,AK6091,AL6091)</x:f>
        <x:v>0</x:v>
      </x:c>
      <x:c r="AN6091" t="n">
        <x:v>1</x:v>
      </x:c>
    </x:row>
    <x:row r="6092" ht="23" customHeight="1">
      <x:c r="A6092" s="11" t="str">
        <x:v>688062.SH</x:v>
      </x:c>
      <x:c r="B6092" s="11" t="str">
        <x:v>五年</x:v>
      </x:c>
      <x:c r="C6092" s="11" t="str">
        <x:v>bfv_tnbc</x:v>
      </x:c>
      <x:c r="D6092" s="11" t="str">
        <x:v>2041-12-31</x:v>
      </x:c>
      <x:c r="E6092" s="11" t="str">
        <x:v>CNY</x:v>
      </x:c>
      <x:c r="F6092" s="11" t="n">
        <x:v>10.22861054072553</x:v>
      </x:c>
      <x:c r="G6092" s="26" t="b">
        <x:v>1</x:v>
      </x:c>
      <x:c r="H6092" s="16" t="n">
        <x:v>0.1925</x:v>
      </x:c>
      <x:c r="I6092" s="16" t="n">
        <x:v>0.32999999999999996</x:v>
      </x:c>
      <x:c r="J6092" s="16" t="n">
        <x:v>0</x:v>
      </x:c>
      <x:c r="K6092" s="11" t="n">
        <x:f>CHOOSE('假设'!$B$3,H6092,I6092,J6092)</x:f>
        <x:v>0.32999999999999996</x:v>
      </x:c>
      <x:c r="L6092" s="11" t="n">
        <x:f>K6092*'管线假设'!E1303*'管线假设'!F1303*'管线假设'!G1303*IF(E6092="USD",'管线假设'!I1303,1)-AM6092</x:f>
        <x:v>0.049103999999999995</x:v>
      </x:c>
      <x:c r="M6092" s="11" t="n">
        <x:f>'管线假设'!H1303</x:f>
        <x:v>0.14</x:v>
      </x:c>
      <x:c r="N6092" s="11" t="n">
        <x:f>IF(G6092,L6092*AN6092/(1+M6092)^F6092,0)</x:f>
        <x:v>0.012854621955131972</x:v>
      </x:c>
      <x:c r="AJ6092" t="n">
        <x:v>0</x:v>
      </x:c>
      <x:c r="AK6092" t="n">
        <x:v>0</x:v>
      </x:c>
      <x:c r="AL6092" t="n">
        <x:v>0</x:v>
      </x:c>
      <x:c r="AM6092" t="n">
        <x:f>CHOOSE('假设'!$B$3,AJ6092,AK6092,AL6092)</x:f>
        <x:v>0</x:v>
      </x:c>
      <x:c r="AN6092" t="n">
        <x:v>1</x:v>
      </x:c>
    </x:row>
    <x:row r="6093" ht="23" customHeight="1">
      <x:c r="A6093" s="11" t="str">
        <x:v>688062.SH</x:v>
      </x:c>
      <x:c r="B6093" s="11" t="str">
        <x:v>五年</x:v>
      </x:c>
      <x:c r="C6093" s="11" t="str">
        <x:v>bfv_tnbc</x:v>
      </x:c>
      <x:c r="D6093" s="11" t="str">
        <x:v>2042-12-31</x:v>
      </x:c>
      <x:c r="E6093" s="11" t="str">
        <x:v>CNY</x:v>
      </x:c>
      <x:c r="F6093" s="11" t="n">
        <x:v>11.227926078028748</x:v>
      </x:c>
      <x:c r="G6093" s="26" t="b">
        <x:v>1</x:v>
      </x:c>
      <x:c r="H6093" s="16" t="n">
        <x:v>0.121</x:v>
      </x:c>
      <x:c r="I6093" s="16" t="n">
        <x:v>0.13499999999999995</x:v>
      </x:c>
      <x:c r="J6093" s="16" t="n">
        <x:v>0</x:v>
      </x:c>
      <x:c r="K6093" s="11" t="n">
        <x:f>CHOOSE('假设'!$B$3,H6093,I6093,J6093)</x:f>
        <x:v>0.13499999999999995</x:v>
      </x:c>
      <x:c r="L6093" s="11" t="n">
        <x:f>K6093*'管线假设'!E1303*'管线假设'!F1303*'管线假设'!G1303*IF(E6093="USD",'管线假设'!I1303,1)-AM6093</x:f>
        <x:v>0.02008799999999999</x:v>
      </x:c>
      <x:c r="M6093" s="11" t="n">
        <x:f>'管线假设'!H1303</x:f>
        <x:v>0.14</x:v>
      </x:c>
      <x:c r="N6093" s="11" t="n">
        <x:f>IF(G6093,L6093*AN6093/(1+M6093)^F6093,0)</x:f>
        <x:v>0.004613316337393503</x:v>
      </x:c>
      <x:c r="AJ6093" t="n">
        <x:v>0</x:v>
      </x:c>
      <x:c r="AK6093" t="n">
        <x:v>0</x:v>
      </x:c>
      <x:c r="AL6093" t="n">
        <x:v>0</x:v>
      </x:c>
      <x:c r="AM6093" t="n">
        <x:f>CHOOSE('假设'!$B$3,AJ6093,AK6093,AL6093)</x:f>
        <x:v>0</x:v>
      </x:c>
      <x:c r="AN6093" t="n">
        <x:v>1</x:v>
      </x:c>
    </x:row>
    <x:row r="6094" ht="23" customHeight="1">
      <x:c r="A6094" s="11" t="str">
        <x:v>688062.SH</x:v>
      </x:c>
      <x:c r="B6094" s="11" t="str">
        <x:v>五年</x:v>
      </x:c>
      <x:c r="C6094" s="11" t="str">
        <x:v>bfv_tnbc</x:v>
      </x:c>
      <x:c r="D6094" s="11" t="str">
        <x:v>2043-12-31</x:v>
      </x:c>
      <x:c r="E6094" s="11" t="str">
        <x:v>CNY</x:v>
      </x:c>
      <x:c r="F6094" s="11" t="n">
        <x:v>12.227241615331964</x:v>
      </x:c>
      <x:c r="G6094" s="26" t="b">
        <x:v>1</x:v>
      </x:c>
      <x:c r="H6094" s="16" t="n">
        <x:v>0.04949999999999999</x:v>
      </x:c>
      <x:c r="I6094" s="16" t="n">
        <x:v>0</x:v>
      </x:c>
      <x:c r="J6094" s="16" t="n">
        <x:v>0</x:v>
      </x:c>
      <x:c r="K6094" s="11" t="n">
        <x:f>CHOOSE('假设'!$B$3,H6094,I6094,J6094)</x:f>
        <x:v>0</x:v>
      </x:c>
      <x:c r="L6094" s="11" t="n">
        <x:f>K6094*'管线假设'!E1303*'管线假设'!F1303*'管线假设'!G1303*IF(E6094="USD",'管线假设'!I1303,1)-AM6094</x:f>
        <x:v>0</x:v>
      </x:c>
      <x:c r="M6094" s="11" t="n">
        <x:f>'管线假设'!H1303</x:f>
        <x:v>0.14</x:v>
      </x:c>
      <x:c r="N6094" s="11" t="n">
        <x:f>IF(G6094,L6094*AN6094/(1+M6094)^F6094,0)</x:f>
        <x:v>0</x:v>
      </x:c>
      <x:c r="AJ6094" t="n">
        <x:v>0</x:v>
      </x:c>
      <x:c r="AK6094" t="n">
        <x:v>0</x:v>
      </x:c>
      <x:c r="AL6094" t="n">
        <x:v>0</x:v>
      </x:c>
      <x:c r="AM6094" t="n">
        <x:f>CHOOSE('假设'!$B$3,AJ6094,AK6094,AL6094)</x:f>
        <x:v>0</x:v>
      </x:c>
      <x:c r="AN6094" t="n">
        <x:v>1</x:v>
      </x:c>
    </x:row>
    <x:row r="6095" ht="23" customHeight="1">
      <x:c r="A6095" s="11" t="str">
        <x:v>688062.SH</x:v>
      </x:c>
      <x:c r="B6095" s="11" t="str">
        <x:v>五年</x:v>
      </x:c>
      <x:c r="C6095" s="11" t="str">
        <x:v>bfv_tnbc</x:v>
      </x:c>
      <x:c r="D6095" s="11" t="str">
        <x:v>2044-12-31</x:v>
      </x:c>
      <x:c r="E6095" s="11" t="str">
        <x:v>CNY</x:v>
      </x:c>
      <x:c r="F6095" s="11" t="n">
        <x:v>13.229295003422314</x:v>
      </x:c>
      <x:c r="G6095" s="26" t="b">
        <x:v>1</x:v>
      </x:c>
      <x:c r="H6095" s="16" t="n">
        <x:v>0</x:v>
      </x:c>
      <x:c r="I6095" s="16" t="n">
        <x:v>0</x:v>
      </x:c>
      <x:c r="J6095" s="16" t="n">
        <x:v>0</x:v>
      </x:c>
      <x:c r="K6095" s="11" t="n">
        <x:f>CHOOSE('假设'!$B$3,H6095,I6095,J6095)</x:f>
        <x:v>0</x:v>
      </x:c>
      <x:c r="L6095" s="11" t="n">
        <x:f>K6095*'管线假设'!E1303*'管线假设'!F1303*'管线假设'!G1303*IF(E6095="USD",'管线假设'!I1303,1)-AM6095</x:f>
        <x:v>0</x:v>
      </x:c>
      <x:c r="M6095" s="11" t="n">
        <x:f>'管线假设'!H1303</x:f>
        <x:v>0.14</x:v>
      </x:c>
      <x:c r="N6095" s="11" t="n">
        <x:f>IF(G6095,L6095*AN6095/(1+M6095)^F6095,0)</x:f>
        <x:v>0</x:v>
      </x:c>
      <x:c r="AJ6095" t="n">
        <x:v>0</x:v>
      </x:c>
      <x:c r="AK6095" t="n">
        <x:v>0</x:v>
      </x:c>
      <x:c r="AL6095" t="n">
        <x:v>0</x:v>
      </x:c>
      <x:c r="AM6095" t="n">
        <x:f>CHOOSE('假设'!$B$3,AJ6095,AK6095,AL6095)</x:f>
        <x:v>0</x:v>
      </x:c>
      <x:c r="AN6095" t="n">
        <x:v>1</x:v>
      </x:c>
    </x:row>
    <x:row r="6096" ht="23" customHeight="1">
      <x:c r="A6096" s="11" t="str">
        <x:v>688062.SH</x:v>
      </x:c>
      <x:c r="B6096" s="11" t="str">
        <x:v>五年</x:v>
      </x:c>
      <x:c r="C6096" s="11" t="str">
        <x:v>bfv_tnbc</x:v>
      </x:c>
      <x:c r="D6096" s="11" t="str">
        <x:v>2045-12-31</x:v>
      </x:c>
      <x:c r="E6096" s="11" t="str">
        <x:v>CNY</x:v>
      </x:c>
      <x:c r="F6096" s="11" t="n">
        <x:v>14.22861054072553</x:v>
      </x:c>
      <x:c r="G6096" s="26" t="b">
        <x:v>1</x:v>
      </x:c>
      <x:c r="H6096" s="16" t="n">
        <x:v>0</x:v>
      </x:c>
      <x:c r="I6096" s="16" t="n">
        <x:v>0</x:v>
      </x:c>
      <x:c r="J6096" s="16" t="n">
        <x:v>0</x:v>
      </x:c>
      <x:c r="K6096" s="11" t="n">
        <x:f>CHOOSE('假设'!$B$3,H6096,I6096,J6096)</x:f>
        <x:v>0</x:v>
      </x:c>
      <x:c r="L6096" s="11" t="n">
        <x:f>K6096*'管线假设'!E1303*'管线假设'!F1303*'管线假设'!G1303*IF(E6096="USD",'管线假设'!I1303,1)-AM6096</x:f>
        <x:v>0</x:v>
      </x:c>
      <x:c r="M6096" s="11" t="n">
        <x:f>'管线假设'!H1303</x:f>
        <x:v>0.14</x:v>
      </x:c>
      <x:c r="N6096" s="11" t="n">
        <x:f>IF(G6096,L6096*AN6096/(1+M6096)^F6096,0)</x:f>
        <x:v>0</x:v>
      </x:c>
      <x:c r="AJ6096" t="n">
        <x:v>0</x:v>
      </x:c>
      <x:c r="AK6096" t="n">
        <x:v>0</x:v>
      </x:c>
      <x:c r="AL6096" t="n">
        <x:v>0</x:v>
      </x:c>
      <x:c r="AM6096" t="n">
        <x:f>CHOOSE('假设'!$B$3,AJ6096,AK6096,AL6096)</x:f>
        <x:v>0</x:v>
      </x:c>
      <x:c r="AN6096" t="n">
        <x:v>1</x:v>
      </x:c>
    </x:row>
    <x:row r="6097" ht="23" customHeight="1">
      <x:c r="A6097" s="11" t="str">
        <x:v>688062.SH</x:v>
      </x:c>
      <x:c r="B6097" s="11" t="str">
        <x:v>五年</x:v>
      </x:c>
      <x:c r="C6097" s="11" t="str">
        <x:v>bfv_escc</x:v>
      </x:c>
      <x:c r="D6097" s="11" t="str">
        <x:v>2027-12-31</x:v>
      </x:c>
      <x:c r="E6097" s="11" t="str">
        <x:v>CNY</x:v>
      </x:c>
      <x:c r="F6097" s="11" t="n">
        <x:v>-3.7727583846680357</x:v>
      </x:c>
      <x:c r="G6097" s="26" t="b">
        <x:v>0</x:v>
      </x:c>
      <x:c r="H6097" s="16" t="n">
        <x:v>0</x:v>
      </x:c>
      <x:c r="I6097" s="16" t="n">
        <x:v>0</x:v>
      </x:c>
      <x:c r="J6097" s="16" t="n">
        <x:v>0</x:v>
      </x:c>
      <x:c r="K6097" s="11" t="n">
        <x:f>CHOOSE('假设'!$B$3,H6097,I6097,J6097)</x:f>
        <x:v>0</x:v>
      </x:c>
      <x:c r="L6097" s="11" t="n">
        <x:f>K6097*'管线假设'!E1307*'管线假设'!F1307*'管线假设'!G1307*IF(E6097="USD",'管线假设'!I1307,1)-AM6097</x:f>
        <x:v>0</x:v>
      </x:c>
      <x:c r="M6097" s="11" t="n">
        <x:f>'管线假设'!H1307</x:f>
        <x:v>0.14</x:v>
      </x:c>
      <x:c r="N6097" s="11" t="n">
        <x:f>IF(G6097,L6097*AN6097/(1+M6097)^F6097,0)</x:f>
        <x:v>0</x:v>
      </x:c>
      <x:c r="AJ6097" t="n">
        <x:v>0</x:v>
      </x:c>
      <x:c r="AK6097" t="n">
        <x:v>0</x:v>
      </x:c>
      <x:c r="AL6097" t="n">
        <x:v>0</x:v>
      </x:c>
      <x:c r="AM6097" t="n">
        <x:f>CHOOSE('假设'!$B$3,AJ6097,AK6097,AL6097)</x:f>
        <x:v>0</x:v>
      </x:c>
      <x:c r="AN6097" t="n">
        <x:v>1</x:v>
      </x:c>
    </x:row>
    <x:row r="6098" ht="23" customHeight="1">
      <x:c r="A6098" s="11" t="str">
        <x:v>688062.SH</x:v>
      </x:c>
      <x:c r="B6098" s="11" t="str">
        <x:v>五年</x:v>
      </x:c>
      <x:c r="C6098" s="11" t="str">
        <x:v>bfv_escc</x:v>
      </x:c>
      <x:c r="D6098" s="11" t="str">
        <x:v>2028-12-31</x:v>
      </x:c>
      <x:c r="E6098" s="11" t="str">
        <x:v>CNY</x:v>
      </x:c>
      <x:c r="F6098" s="11" t="n">
        <x:v>-2.7707049965776864</x:v>
      </x:c>
      <x:c r="G6098" s="26" t="b">
        <x:v>0</x:v>
      </x:c>
      <x:c r="H6098" s="16" t="n">
        <x:v>0</x:v>
      </x:c>
      <x:c r="I6098" s="16" t="n">
        <x:v>0</x:v>
      </x:c>
      <x:c r="J6098" s="16" t="n">
        <x:v>0</x:v>
      </x:c>
      <x:c r="K6098" s="11" t="n">
        <x:f>CHOOSE('假设'!$B$3,H6098,I6098,J6098)</x:f>
        <x:v>0</x:v>
      </x:c>
      <x:c r="L6098" s="11" t="n">
        <x:f>K6098*'管线假设'!E1307*'管线假设'!F1307*'管线假设'!G1307*IF(E6098="USD",'管线假设'!I1307,1)-AM6098</x:f>
        <x:v>0</x:v>
      </x:c>
      <x:c r="M6098" s="11" t="n">
        <x:f>'管线假设'!H1307</x:f>
        <x:v>0.14</x:v>
      </x:c>
      <x:c r="N6098" s="11" t="n">
        <x:f>IF(G6098,L6098*AN6098/(1+M6098)^F6098,0)</x:f>
        <x:v>0</x:v>
      </x:c>
      <x:c r="AJ6098" t="n">
        <x:v>0</x:v>
      </x:c>
      <x:c r="AK6098" t="n">
        <x:v>0</x:v>
      </x:c>
      <x:c r="AL6098" t="n">
        <x:v>0</x:v>
      </x:c>
      <x:c r="AM6098" t="n">
        <x:f>CHOOSE('假设'!$B$3,AJ6098,AK6098,AL6098)</x:f>
        <x:v>0</x:v>
      </x:c>
      <x:c r="AN6098" t="n">
        <x:v>1</x:v>
      </x:c>
    </x:row>
    <x:row r="6099" ht="23" customHeight="1">
      <x:c r="A6099" s="11" t="str">
        <x:v>688062.SH</x:v>
      </x:c>
      <x:c r="B6099" s="11" t="str">
        <x:v>五年</x:v>
      </x:c>
      <x:c r="C6099" s="11" t="str">
        <x:v>bfv_escc</x:v>
      </x:c>
      <x:c r="D6099" s="11" t="str">
        <x:v>2029-12-31</x:v>
      </x:c>
      <x:c r="E6099" s="11" t="str">
        <x:v>CNY</x:v>
      </x:c>
      <x:c r="F6099" s="11" t="n">
        <x:v>-1.7713894592744694</x:v>
      </x:c>
      <x:c r="G6099" s="26" t="b">
        <x:v>0</x:v>
      </x:c>
      <x:c r="H6099" s="16" t="n">
        <x:v>0</x:v>
      </x:c>
      <x:c r="I6099" s="16" t="n">
        <x:v>0</x:v>
      </x:c>
      <x:c r="J6099" s="16" t="n">
        <x:v>0.16666666666666666</x:v>
      </x:c>
      <x:c r="K6099" s="11" t="n">
        <x:f>CHOOSE('假设'!$B$3,H6099,I6099,J6099)</x:f>
        <x:v>0</x:v>
      </x:c>
      <x:c r="L6099" s="11" t="n">
        <x:f>K6099*'管线假设'!E1307*'管线假设'!F1307*'管线假设'!G1307*IF(E6099="USD",'管线假设'!I1307,1)-AM6099</x:f>
        <x:v>0</x:v>
      </x:c>
      <x:c r="M6099" s="11" t="n">
        <x:f>'管线假设'!H1307</x:f>
        <x:v>0.14</x:v>
      </x:c>
      <x:c r="N6099" s="11" t="n">
        <x:f>IF(G6099,L6099*AN6099/(1+M6099)^F6099,0)</x:f>
        <x:v>0</x:v>
      </x:c>
      <x:c r="AJ6099" t="n">
        <x:v>0</x:v>
      </x:c>
      <x:c r="AK6099" t="n">
        <x:v>0</x:v>
      </x:c>
      <x:c r="AL6099" t="n">
        <x:v>0</x:v>
      </x:c>
      <x:c r="AM6099" t="n">
        <x:f>CHOOSE('假设'!$B$3,AJ6099,AK6099,AL6099)</x:f>
        <x:v>0</x:v>
      </x:c>
      <x:c r="AN6099" t="n">
        <x:v>1</x:v>
      </x:c>
    </x:row>
    <x:row r="6100" ht="23" customHeight="1">
      <x:c r="A6100" s="11" t="str">
        <x:v>688062.SH</x:v>
      </x:c>
      <x:c r="B6100" s="11" t="str">
        <x:v>五年</x:v>
      </x:c>
      <x:c r="C6100" s="11" t="str">
        <x:v>bfv_escc</x:v>
      </x:c>
      <x:c r="D6100" s="11" t="str">
        <x:v>2030-12-31</x:v>
      </x:c>
      <x:c r="E6100" s="11" t="str">
        <x:v>CNY</x:v>
      </x:c>
      <x:c r="F6100" s="11" t="n">
        <x:v>-0.7720739219712526</x:v>
      </x:c>
      <x:c r="G6100" s="26" t="b">
        <x:v>0</x:v>
      </x:c>
      <x:c r="H6100" s="16" t="n">
        <x:v>0</x:v>
      </x:c>
      <x:c r="I6100" s="16" t="n">
        <x:v>0</x:v>
      </x:c>
      <x:c r="J6100" s="16" t="n">
        <x:v>0.3333333333333333</x:v>
      </x:c>
      <x:c r="K6100" s="11" t="n">
        <x:f>CHOOSE('假设'!$B$3,H6100,I6100,J6100)</x:f>
        <x:v>0</x:v>
      </x:c>
      <x:c r="L6100" s="11" t="n">
        <x:f>K6100*'管线假设'!E1307*'管线假设'!F1307*'管线假设'!G1307*IF(E6100="USD",'管线假设'!I1307,1)-AM6100</x:f>
        <x:v>0</x:v>
      </x:c>
      <x:c r="M6100" s="11" t="n">
        <x:f>'管线假设'!H1307</x:f>
        <x:v>0.14</x:v>
      </x:c>
      <x:c r="N6100" s="11" t="n">
        <x:f>IF(G6100,L6100*AN6100/(1+M6100)^F6100,0)</x:f>
        <x:v>0</x:v>
      </x:c>
      <x:c r="AJ6100" t="n">
        <x:v>0</x:v>
      </x:c>
      <x:c r="AK6100" t="n">
        <x:v>0</x:v>
      </x:c>
      <x:c r="AL6100" t="n">
        <x:v>0</x:v>
      </x:c>
      <x:c r="AM6100" t="n">
        <x:f>CHOOSE('假设'!$B$3,AJ6100,AK6100,AL6100)</x:f>
        <x:v>0</x:v>
      </x:c>
      <x:c r="AN6100" t="n">
        <x:v>1</x:v>
      </x:c>
    </x:row>
    <x:row r="6101" ht="23" customHeight="1">
      <x:c r="A6101" s="11" t="str">
        <x:v>688062.SH</x:v>
      </x:c>
      <x:c r="B6101" s="11" t="str">
        <x:v>五年</x:v>
      </x:c>
      <x:c r="C6101" s="11" t="str">
        <x:v>bfv_escc</x:v>
      </x:c>
      <x:c r="D6101" s="11" t="str">
        <x:v>2031-12-31</x:v>
      </x:c>
      <x:c r="E6101" s="11" t="str">
        <x:v>CNY</x:v>
      </x:c>
      <x:c r="F6101" s="11" t="n">
        <x:v>0.2272416153319644</x:v>
      </x:c>
      <x:c r="G6101" s="26" t="b">
        <x:v>1</x:v>
      </x:c>
      <x:c r="H6101" s="16" t="n">
        <x:v>0</x:v>
      </x:c>
      <x:c r="I6101" s="16" t="n">
        <x:v>0.1</x:v>
      </x:c>
      <x:c r="J6101" s="16" t="n">
        <x:v>0.5</x:v>
      </x:c>
      <x:c r="K6101" s="11" t="n">
        <x:f>CHOOSE('假设'!$B$3,H6101,I6101,J6101)</x:f>
        <x:v>0.1</x:v>
      </x:c>
      <x:c r="L6101" s="11" t="n">
        <x:f>K6101*'管线假设'!E1307*'管线假设'!F1307*'管线假设'!G1307*IF(E6101="USD",'管线假设'!I1307,1)-AM6101</x:f>
        <x:v>0.011856</x:v>
      </x:c>
      <x:c r="M6101" s="11" t="n">
        <x:f>'管线假设'!H1307</x:f>
        <x:v>0.14</x:v>
      </x:c>
      <x:c r="N6101" s="11" t="n">
        <x:f>IF(G6101,L6101*AN6101/(1+M6101)^F6101,0)</x:f>
        <x:v>0.01150819044586888</x:v>
      </x:c>
      <x:c r="AJ6101" t="n">
        <x:v>0</x:v>
      </x:c>
      <x:c r="AK6101" t="n">
        <x:v>0</x:v>
      </x:c>
      <x:c r="AL6101" t="n">
        <x:v>0</x:v>
      </x:c>
      <x:c r="AM6101" t="n">
        <x:f>CHOOSE('假设'!$B$3,AJ6101,AK6101,AL6101)</x:f>
        <x:v>0</x:v>
      </x:c>
      <x:c r="AN6101" t="n">
        <x:v>1</x:v>
      </x:c>
    </x:row>
    <x:row r="6102" ht="23" customHeight="1">
      <x:c r="A6102" s="11" t="str">
        <x:v>688062.SH</x:v>
      </x:c>
      <x:c r="B6102" s="11" t="str">
        <x:v>五年</x:v>
      </x:c>
      <x:c r="C6102" s="11" t="str">
        <x:v>bfv_escc</x:v>
      </x:c>
      <x:c r="D6102" s="11" t="str">
        <x:v>2032-12-31</x:v>
      </x:c>
      <x:c r="E6102" s="11" t="str">
        <x:v>CNY</x:v>
      </x:c>
      <x:c r="F6102" s="11" t="n">
        <x:v>1.2292950034223136</x:v>
      </x:c>
      <x:c r="G6102" s="26" t="b">
        <x:v>1</x:v>
      </x:c>
      <x:c r="H6102" s="16" t="n">
        <x:v>0</x:v>
      </x:c>
      <x:c r="I6102" s="16" t="n">
        <x:v>0.2</x:v>
      </x:c>
      <x:c r="J6102" s="16" t="n">
        <x:v>0.6666666666666666</x:v>
      </x:c>
      <x:c r="K6102" s="11" t="n">
        <x:f>CHOOSE('假设'!$B$3,H6102,I6102,J6102)</x:f>
        <x:v>0.2</x:v>
      </x:c>
      <x:c r="L6102" s="11" t="n">
        <x:f>K6102*'管线假设'!E1307*'管线假设'!F1307*'管线假设'!G1307*IF(E6102="USD",'管线假设'!I1307,1)-AM6102</x:f>
        <x:v>0.023712</x:v>
      </x:c>
      <x:c r="M6102" s="11" t="n">
        <x:f>'管线假设'!H1307</x:f>
        <x:v>0.14</x:v>
      </x:c>
      <x:c r="N6102" s="11" t="n">
        <x:f>IF(G6102,L6102*AN6102/(1+M6102)^F6102,0)</x:f>
        <x:v>0.0201843764248489</x:v>
      </x:c>
      <x:c r="AJ6102" t="n">
        <x:v>0</x:v>
      </x:c>
      <x:c r="AK6102" t="n">
        <x:v>0</x:v>
      </x:c>
      <x:c r="AL6102" t="n">
        <x:v>0</x:v>
      </x:c>
      <x:c r="AM6102" t="n">
        <x:f>CHOOSE('假设'!$B$3,AJ6102,AK6102,AL6102)</x:f>
        <x:v>0</x:v>
      </x:c>
      <x:c r="AN6102" t="n">
        <x:v>1</x:v>
      </x:c>
    </x:row>
    <x:row r="6103" ht="23" customHeight="1">
      <x:c r="A6103" s="11" t="str">
        <x:v>688062.SH</x:v>
      </x:c>
      <x:c r="B6103" s="11" t="str">
        <x:v>五年</x:v>
      </x:c>
      <x:c r="C6103" s="11" t="str">
        <x:v>bfv_escc</x:v>
      </x:c>
      <x:c r="D6103" s="11" t="str">
        <x:v>2033-12-31</x:v>
      </x:c>
      <x:c r="E6103" s="11" t="str">
        <x:v>CNY</x:v>
      </x:c>
      <x:c r="F6103" s="11" t="n">
        <x:v>2.2286105407255303</x:v>
      </x:c>
      <x:c r="G6103" s="26" t="b">
        <x:v>1</x:v>
      </x:c>
      <x:c r="H6103" s="16" t="n">
        <x:v>0.04000000000000001</x:v>
      </x:c>
      <x:c r="I6103" s="16" t="n">
        <x:v>0.3</x:v>
      </x:c>
      <x:c r="J6103" s="16" t="n">
        <x:v>0.8333333333333334</x:v>
      </x:c>
      <x:c r="K6103" s="11" t="n">
        <x:f>CHOOSE('假设'!$B$3,H6103,I6103,J6103)</x:f>
        <x:v>0.3</x:v>
      </x:c>
      <x:c r="L6103" s="11" t="n">
        <x:f>K6103*'管线假设'!E1307*'管线假设'!F1307*'管线假设'!G1307*IF(E6103="USD",'管线假设'!I1307,1)-AM6103</x:f>
        <x:v>0.035567999999999995</x:v>
      </x:c>
      <x:c r="M6103" s="11" t="n">
        <x:f>'管线假设'!H1307</x:f>
        <x:v>0.14</x:v>
      </x:c>
      <x:c r="N6103" s="11" t="n">
        <x:f>IF(G6103,L6103*AN6103/(1+M6103)^F6103,0)</x:f>
        <x:v>0.026560772001038523</x:v>
      </x:c>
      <x:c r="AJ6103" t="n">
        <x:v>0</x:v>
      </x:c>
      <x:c r="AK6103" t="n">
        <x:v>0</x:v>
      </x:c>
      <x:c r="AL6103" t="n">
        <x:v>0</x:v>
      </x:c>
      <x:c r="AM6103" t="n">
        <x:f>CHOOSE('假设'!$B$3,AJ6103,AK6103,AL6103)</x:f>
        <x:v>0</x:v>
      </x:c>
      <x:c r="AN6103" t="n">
        <x:v>1</x:v>
      </x:c>
    </x:row>
    <x:row r="6104" ht="23" customHeight="1">
      <x:c r="A6104" s="11" t="str">
        <x:v>688062.SH</x:v>
      </x:c>
      <x:c r="B6104" s="11" t="str">
        <x:v>五年</x:v>
      </x:c>
      <x:c r="C6104" s="11" t="str">
        <x:v>bfv_escc</x:v>
      </x:c>
      <x:c r="D6104" s="11" t="str">
        <x:v>2034-12-31</x:v>
      </x:c>
      <x:c r="E6104" s="11" t="str">
        <x:v>CNY</x:v>
      </x:c>
      <x:c r="F6104" s="11" t="n">
        <x:v>3.2279260780287475</x:v>
      </x:c>
      <x:c r="G6104" s="26" t="b">
        <x:v>1</x:v>
      </x:c>
      <x:c r="H6104" s="16" t="n">
        <x:v>0.08000000000000002</x:v>
      </x:c>
      <x:c r="I6104" s="16" t="n">
        <x:v>0.4</x:v>
      </x:c>
      <x:c r="J6104" s="16" t="n">
        <x:v>1</x:v>
      </x:c>
      <x:c r="K6104" s="11" t="n">
        <x:f>CHOOSE('假设'!$B$3,H6104,I6104,J6104)</x:f>
        <x:v>0.4</x:v>
      </x:c>
      <x:c r="L6104" s="11" t="n">
        <x:f>K6104*'管线假设'!E1307*'管线假设'!F1307*'管线假设'!G1307*IF(E6104="USD",'管线假设'!I1307,1)-AM6104</x:f>
        <x:v>0.047424</x:v>
      </x:c>
      <x:c r="M6104" s="11" t="n">
        <x:f>'管线假设'!H1307</x:f>
        <x:v>0.14</x:v>
      </x:c>
      <x:c r="N6104" s="11" t="n">
        <x:f>IF(G6104,L6104*AN6104/(1+M6104)^F6104,0)</x:f>
        <x:v>0.031068016588321704</x:v>
      </x:c>
      <x:c r="AJ6104" t="n">
        <x:v>0</x:v>
      </x:c>
      <x:c r="AK6104" t="n">
        <x:v>0</x:v>
      </x:c>
      <x:c r="AL6104" t="n">
        <x:v>0</x:v>
      </x:c>
      <x:c r="AM6104" t="n">
        <x:f>CHOOSE('假设'!$B$3,AJ6104,AK6104,AL6104)</x:f>
        <x:v>0</x:v>
      </x:c>
      <x:c r="AN6104" t="n">
        <x:v>1</x:v>
      </x:c>
    </x:row>
    <x:row r="6105" ht="23" customHeight="1">
      <x:c r="A6105" s="11" t="str">
        <x:v>688062.SH</x:v>
      </x:c>
      <x:c r="B6105" s="11" t="str">
        <x:v>五年</x:v>
      </x:c>
      <x:c r="C6105" s="11" t="str">
        <x:v>bfv_escc</x:v>
      </x:c>
      <x:c r="D6105" s="11" t="str">
        <x:v>2035-12-31</x:v>
      </x:c>
      <x:c r="E6105" s="11" t="str">
        <x:v>CNY</x:v>
      </x:c>
      <x:c r="F6105" s="11" t="n">
        <x:v>4.227241615331964</x:v>
      </x:c>
      <x:c r="G6105" s="26" t="b">
        <x:v>1</x:v>
      </x:c>
      <x:c r="H6105" s="16" t="n">
        <x:v>0.12</x:v>
      </x:c>
      <x:c r="I6105" s="16" t="n">
        <x:v>0.5</x:v>
      </x:c>
      <x:c r="J6105" s="16" t="n">
        <x:v>0.87</x:v>
      </x:c>
      <x:c r="K6105" s="11" t="n">
        <x:f>CHOOSE('假设'!$B$3,H6105,I6105,J6105)</x:f>
        <x:v>0.5</x:v>
      </x:c>
      <x:c r="L6105" s="11" t="n">
        <x:f>K6105*'管线假设'!E1307*'管线假设'!F1307*'管线假设'!G1307*IF(E6105="USD",'管线假设'!I1307,1)-AM6105</x:f>
        <x:v>0.05928</x:v>
      </x:c>
      <x:c r="M6105" s="11" t="n">
        <x:f>'管线假设'!H1307</x:f>
        <x:v>0.14</x:v>
      </x:c>
      <x:c r="N6105" s="11" t="n">
        <x:f>IF(G6105,L6105*AN6105/(1+M6105)^F6105,0)</x:f>
        <x:v>0.034068862956095056</x:v>
      </x:c>
      <x:c r="AJ6105" t="n">
        <x:v>0</x:v>
      </x:c>
      <x:c r="AK6105" t="n">
        <x:v>0</x:v>
      </x:c>
      <x:c r="AL6105" t="n">
        <x:v>0</x:v>
      </x:c>
      <x:c r="AM6105" t="n">
        <x:f>CHOOSE('假设'!$B$3,AJ6105,AK6105,AL6105)</x:f>
        <x:v>0</x:v>
      </x:c>
      <x:c r="AN6105" t="n">
        <x:v>1</x:v>
      </x:c>
    </x:row>
    <x:row r="6106" ht="23" customHeight="1">
      <x:c r="A6106" s="11" t="str">
        <x:v>688062.SH</x:v>
      </x:c>
      <x:c r="B6106" s="11" t="str">
        <x:v>五年</x:v>
      </x:c>
      <x:c r="C6106" s="11" t="str">
        <x:v>bfv_escc</x:v>
      </x:c>
      <x:c r="D6106" s="11" t="str">
        <x:v>2036-12-31</x:v>
      </x:c>
      <x:c r="E6106" s="11" t="str">
        <x:v>CNY</x:v>
      </x:c>
      <x:c r="F6106" s="11" t="n">
        <x:v>5.229295003422314</x:v>
      </x:c>
      <x:c r="G6106" s="26" t="b">
        <x:v>1</x:v>
      </x:c>
      <x:c r="H6106" s="16" t="n">
        <x:v>0.16000000000000003</x:v>
      </x:c>
      <x:c r="I6106" s="16" t="n">
        <x:v>0.435</x:v>
      </x:c>
      <x:c r="J6106" s="16" t="n">
        <x:v>0.74</x:v>
      </x:c>
      <x:c r="K6106" s="11" t="n">
        <x:f>CHOOSE('假设'!$B$3,H6106,I6106,J6106)</x:f>
        <x:v>0.435</x:v>
      </x:c>
      <x:c r="L6106" s="11" t="n">
        <x:f>K6106*'管线假设'!E1307*'管线假设'!F1307*'管线假设'!G1307*IF(E6106="USD",'管线假设'!I1307,1)-AM6106</x:f>
        <x:v>0.051573600000000004</x:v>
      </x:c>
      <x:c r="M6106" s="11" t="n">
        <x:f>'管线假设'!H1307</x:f>
        <x:v>0.14</x:v>
      </x:c>
      <x:c r="N6106" s="11" t="n">
        <x:f>IF(G6106,L6106*AN6106/(1+M6106)^F6106,0)</x:f>
        <x:v>0.025992927342967247</x:v>
      </x:c>
      <x:c r="AJ6106" t="n">
        <x:v>0</x:v>
      </x:c>
      <x:c r="AK6106" t="n">
        <x:v>0</x:v>
      </x:c>
      <x:c r="AL6106" t="n">
        <x:v>0</x:v>
      </x:c>
      <x:c r="AM6106" t="n">
        <x:f>CHOOSE('假设'!$B$3,AJ6106,AK6106,AL6106)</x:f>
        <x:v>0</x:v>
      </x:c>
      <x:c r="AN6106" t="n">
        <x:v>1</x:v>
      </x:c>
    </x:row>
    <x:row r="6107" ht="23" customHeight="1">
      <x:c r="A6107" s="11" t="str">
        <x:v>688062.SH</x:v>
      </x:c>
      <x:c r="B6107" s="11" t="str">
        <x:v>五年</x:v>
      </x:c>
      <x:c r="C6107" s="11" t="str">
        <x:v>bfv_escc</x:v>
      </x:c>
      <x:c r="D6107" s="11" t="str">
        <x:v>2037-12-31</x:v>
      </x:c>
      <x:c r="E6107" s="11" t="str">
        <x:v>CNY</x:v>
      </x:c>
      <x:c r="F6107" s="11" t="n">
        <x:v>6.228610540725531</x:v>
      </x:c>
      <x:c r="G6107" s="26" t="b">
        <x:v>1</x:v>
      </x:c>
      <x:c r="H6107" s="16" t="n">
        <x:v>0.2</x:v>
      </x:c>
      <x:c r="I6107" s="16" t="n">
        <x:v>0.37</x:v>
      </x:c>
      <x:c r="J6107" s="16" t="n">
        <x:v>0.61</x:v>
      </x:c>
      <x:c r="K6107" s="11" t="n">
        <x:f>CHOOSE('假设'!$B$3,H6107,I6107,J6107)</x:f>
        <x:v>0.37</x:v>
      </x:c>
      <x:c r="L6107" s="11" t="n">
        <x:f>K6107*'管线假设'!E1307*'管线假设'!F1307*'管线假设'!G1307*IF(E6107="USD",'管线假设'!I1307,1)-AM6107</x:f>
        <x:v>0.043867199999999995</x:v>
      </x:c>
      <x:c r="M6107" s="11" t="n">
        <x:f>'管线假设'!H1307</x:f>
        <x:v>0.14</x:v>
      </x:c>
      <x:c r="N6107" s="11" t="n">
        <x:f>IF(G6107,L6107*AN6107/(1+M6107)^F6107,0)</x:f>
        <x:v>0.01939553474603421</x:v>
      </x:c>
      <x:c r="AJ6107" t="n">
        <x:v>0</x:v>
      </x:c>
      <x:c r="AK6107" t="n">
        <x:v>0</x:v>
      </x:c>
      <x:c r="AL6107" t="n">
        <x:v>0</x:v>
      </x:c>
      <x:c r="AM6107" t="n">
        <x:f>CHOOSE('假设'!$B$3,AJ6107,AK6107,AL6107)</x:f>
        <x:v>0</x:v>
      </x:c>
      <x:c r="AN6107" t="n">
        <x:v>1</x:v>
      </x:c>
    </x:row>
    <x:row r="6108" ht="23" customHeight="1">
      <x:c r="A6108" s="11" t="str">
        <x:v>688062.SH</x:v>
      </x:c>
      <x:c r="B6108" s="11" t="str">
        <x:v>五年</x:v>
      </x:c>
      <x:c r="C6108" s="11" t="str">
        <x:v>bfv_escc</x:v>
      </x:c>
      <x:c r="D6108" s="11" t="str">
        <x:v>2038-12-31</x:v>
      </x:c>
      <x:c r="E6108" s="11" t="str">
        <x:v>CNY</x:v>
      </x:c>
      <x:c r="F6108" s="11" t="n">
        <x:v>7.227926078028747</x:v>
      </x:c>
      <x:c r="G6108" s="26" t="b">
        <x:v>1</x:v>
      </x:c>
      <x:c r="H6108" s="16" t="n">
        <x:v>0.17400000000000002</x:v>
      </x:c>
      <x:c r="I6108" s="16" t="n">
        <x:v>0.305</x:v>
      </x:c>
      <x:c r="J6108" s="16" t="n">
        <x:v>0.48</x:v>
      </x:c>
      <x:c r="K6108" s="11" t="n">
        <x:f>CHOOSE('假设'!$B$3,H6108,I6108,J6108)</x:f>
        <x:v>0.305</x:v>
      </x:c>
      <x:c r="L6108" s="11" t="n">
        <x:f>K6108*'管线假设'!E1307*'管线假设'!F1307*'管线假设'!G1307*IF(E6108="USD",'管线假设'!I1307,1)-AM6108</x:f>
        <x:v>0.03616079999999999</x:v>
      </x:c>
      <x:c r="M6108" s="11" t="n">
        <x:f>'管线假设'!H1307</x:f>
        <x:v>0.14</x:v>
      </x:c>
      <x:c r="N6108" s="11" t="n">
        <x:f>IF(G6108,L6108*AN6108/(1+M6108)^F6108,0)</x:f>
        <x:v>0.014026004407703309</x:v>
      </x:c>
      <x:c r="AJ6108" t="n">
        <x:v>0</x:v>
      </x:c>
      <x:c r="AK6108" t="n">
        <x:v>0</x:v>
      </x:c>
      <x:c r="AL6108" t="n">
        <x:v>0</x:v>
      </x:c>
      <x:c r="AM6108" t="n">
        <x:f>CHOOSE('假设'!$B$3,AJ6108,AK6108,AL6108)</x:f>
        <x:v>0</x:v>
      </x:c>
      <x:c r="AN6108" t="n">
        <x:v>1</x:v>
      </x:c>
    </x:row>
    <x:row r="6109" ht="23" customHeight="1">
      <x:c r="A6109" s="11" t="str">
        <x:v>688062.SH</x:v>
      </x:c>
      <x:c r="B6109" s="11" t="str">
        <x:v>五年</x:v>
      </x:c>
      <x:c r="C6109" s="11" t="str">
        <x:v>bfv_escc</x:v>
      </x:c>
      <x:c r="D6109" s="11" t="str">
        <x:v>2039-12-31</x:v>
      </x:c>
      <x:c r="E6109" s="11" t="str">
        <x:v>CNY</x:v>
      </x:c>
      <x:c r="F6109" s="11" t="n">
        <x:v>8.227241615331964</x:v>
      </x:c>
      <x:c r="G6109" s="26" t="b">
        <x:v>1</x:v>
      </x:c>
      <x:c r="H6109" s="16" t="n">
        <x:v>0.148</x:v>
      </x:c>
      <x:c r="I6109" s="16" t="n">
        <x:v>0.24</x:v>
      </x:c>
      <x:c r="J6109" s="16" t="n">
        <x:v>0.35</x:v>
      </x:c>
      <x:c r="K6109" s="11" t="n">
        <x:f>CHOOSE('假设'!$B$3,H6109,I6109,J6109)</x:f>
        <x:v>0.24</x:v>
      </x:c>
      <x:c r="L6109" s="11" t="n">
        <x:f>K6109*'管线假设'!E1307*'管线假设'!F1307*'管线假设'!G1307*IF(E6109="USD",'管线假设'!I1307,1)-AM6109</x:f>
        <x:v>0.028454399999999998</x:v>
      </x:c>
      <x:c r="M6109" s="11" t="n">
        <x:f>'管线假设'!H1307</x:f>
        <x:v>0.14</x:v>
      </x:c>
      <x:c r="N6109" s="11" t="n">
        <x:f>IF(G6109,L6109*AN6109/(1+M6109)^F6109,0)</x:f>
        <x:v>0.00968232087779123</x:v>
      </x:c>
      <x:c r="AJ6109" t="n">
        <x:v>0</x:v>
      </x:c>
      <x:c r="AK6109" t="n">
        <x:v>0</x:v>
      </x:c>
      <x:c r="AL6109" t="n">
        <x:v>0</x:v>
      </x:c>
      <x:c r="AM6109" t="n">
        <x:f>CHOOSE('假设'!$B$3,AJ6109,AK6109,AL6109)</x:f>
        <x:v>0</x:v>
      </x:c>
      <x:c r="AN6109" t="n">
        <x:v>1</x:v>
      </x:c>
    </x:row>
    <x:row r="6110" ht="23" customHeight="1">
      <x:c r="A6110" s="11" t="str">
        <x:v>688062.SH</x:v>
      </x:c>
      <x:c r="B6110" s="11" t="str">
        <x:v>五年</x:v>
      </x:c>
      <x:c r="C6110" s="11" t="str">
        <x:v>bfv_escc</x:v>
      </x:c>
      <x:c r="D6110" s="11" t="str">
        <x:v>2040-12-31</x:v>
      </x:c>
      <x:c r="E6110" s="11" t="str">
        <x:v>CNY</x:v>
      </x:c>
      <x:c r="F6110" s="11" t="n">
        <x:v>9.229295003422314</x:v>
      </x:c>
      <x:c r="G6110" s="26" t="b">
        <x:v>1</x:v>
      </x:c>
      <x:c r="H6110" s="16" t="n">
        <x:v>0.122</x:v>
      </x:c>
      <x:c r="I6110" s="16" t="n">
        <x:v>0.175</x:v>
      </x:c>
      <x:c r="J6110" s="16" t="n">
        <x:v>0.21999999999999997</x:v>
      </x:c>
      <x:c r="K6110" s="11" t="n">
        <x:f>CHOOSE('假设'!$B$3,H6110,I6110,J6110)</x:f>
        <x:v>0.175</x:v>
      </x:c>
      <x:c r="L6110" s="11" t="n">
        <x:f>K6110*'管线假设'!E1307*'管线假设'!F1307*'管线假设'!G1307*IF(E6110="USD",'管线假设'!I1307,1)-AM6110</x:f>
        <x:v>0.020748</x:v>
      </x:c>
      <x:c r="M6110" s="11" t="n">
        <x:f>'管线假设'!H1307</x:f>
        <x:v>0.14</x:v>
      </x:c>
      <x:c r="N6110" s="11" t="n">
        <x:f>IF(G6110,L6110*AN6110/(1+M6110)^F6110,0)</x:f>
        <x:v>0.006191338931966126</x:v>
      </x:c>
      <x:c r="AJ6110" t="n">
        <x:v>0</x:v>
      </x:c>
      <x:c r="AK6110" t="n">
        <x:v>0</x:v>
      </x:c>
      <x:c r="AL6110" t="n">
        <x:v>0</x:v>
      </x:c>
      <x:c r="AM6110" t="n">
        <x:f>CHOOSE('假设'!$B$3,AJ6110,AK6110,AL6110)</x:f>
        <x:v>0</x:v>
      </x:c>
      <x:c r="AN6110" t="n">
        <x:v>1</x:v>
      </x:c>
    </x:row>
    <x:row r="6111" ht="23" customHeight="1">
      <x:c r="A6111" s="11" t="str">
        <x:v>688062.SH</x:v>
      </x:c>
      <x:c r="B6111" s="11" t="str">
        <x:v>五年</x:v>
      </x:c>
      <x:c r="C6111" s="11" t="str">
        <x:v>bfv_escc</x:v>
      </x:c>
      <x:c r="D6111" s="11" t="str">
        <x:v>2041-12-31</x:v>
      </x:c>
      <x:c r="E6111" s="11" t="str">
        <x:v>CNY</x:v>
      </x:c>
      <x:c r="F6111" s="11" t="n">
        <x:v>10.22861054072553</x:v>
      </x:c>
      <x:c r="G6111" s="26" t="b">
        <x:v>1</x:v>
      </x:c>
      <x:c r="H6111" s="16" t="n">
        <x:v>0.096</x:v>
      </x:c>
      <x:c r="I6111" s="16" t="n">
        <x:v>0.10999999999999999</x:v>
      </x:c>
      <x:c r="J6111" s="16" t="n">
        <x:v>0.08999999999999997</x:v>
      </x:c>
      <x:c r="K6111" s="11" t="n">
        <x:f>CHOOSE('假设'!$B$3,H6111,I6111,J6111)</x:f>
        <x:v>0.10999999999999999</x:v>
      </x:c>
      <x:c r="L6111" s="11" t="n">
        <x:f>K6111*'管线假设'!E1307*'管线假设'!F1307*'管线假设'!G1307*IF(E6111="USD",'管线假设'!I1307,1)-AM6111</x:f>
        <x:v>0.013041599999999999</x:v>
      </x:c>
      <x:c r="M6111" s="11" t="n">
        <x:f>'管线假设'!H1307</x:f>
        <x:v>0.14</x:v>
      </x:c>
      <x:c r="N6111" s="11" t="n">
        <x:f>IF(G6111,L6111*AN6111/(1+M6111)^F6111,0)</x:f>
        <x:v>0.0034140770138898894</x:v>
      </x:c>
      <x:c r="AJ6111" t="n">
        <x:v>0</x:v>
      </x:c>
      <x:c r="AK6111" t="n">
        <x:v>0</x:v>
      </x:c>
      <x:c r="AL6111" t="n">
        <x:v>0</x:v>
      </x:c>
      <x:c r="AM6111" t="n">
        <x:f>CHOOSE('假设'!$B$3,AJ6111,AK6111,AL6111)</x:f>
        <x:v>0</x:v>
      </x:c>
      <x:c r="AN6111" t="n">
        <x:v>1</x:v>
      </x:c>
    </x:row>
    <x:row r="6112" ht="23" customHeight="1">
      <x:c r="A6112" s="11" t="str">
        <x:v>688062.SH</x:v>
      </x:c>
      <x:c r="B6112" s="11" t="str">
        <x:v>五年</x:v>
      </x:c>
      <x:c r="C6112" s="11" t="str">
        <x:v>bfv_escc</x:v>
      </x:c>
      <x:c r="D6112" s="11" t="str">
        <x:v>2042-12-31</x:v>
      </x:c>
      <x:c r="E6112" s="11" t="str">
        <x:v>CNY</x:v>
      </x:c>
      <x:c r="F6112" s="11" t="n">
        <x:v>11.227926078028748</x:v>
      </x:c>
      <x:c r="G6112" s="26" t="b">
        <x:v>1</x:v>
      </x:c>
      <x:c r="H6112" s="16" t="n">
        <x:v>0.06999999999999999</x:v>
      </x:c>
      <x:c r="I6112" s="16" t="n">
        <x:v>0.044999999999999984</x:v>
      </x:c>
      <x:c r="J6112" s="16" t="n">
        <x:v>0</x:v>
      </x:c>
      <x:c r="K6112" s="11" t="n">
        <x:f>CHOOSE('假设'!$B$3,H6112,I6112,J6112)</x:f>
        <x:v>0.044999999999999984</x:v>
      </x:c>
      <x:c r="L6112" s="11" t="n">
        <x:f>K6112*'管线假设'!E1307*'管线假设'!F1307*'管线假设'!G1307*IF(E6112="USD",'管线假设'!I1307,1)-AM6112</x:f>
        <x:v>0.005335199999999998</x:v>
      </x:c>
      <x:c r="M6112" s="11" t="n">
        <x:f>'管线假设'!H1307</x:f>
        <x:v>0.14</x:v>
      </x:c>
      <x:c r="N6112" s="11" t="n">
        <x:f>IF(G6112,L6112*AN6112/(1+M6112)^F6112,0)</x:f>
        <x:v>0.0012252571347701024</x:v>
      </x:c>
      <x:c r="AJ6112" t="n">
        <x:v>0</x:v>
      </x:c>
      <x:c r="AK6112" t="n">
        <x:v>0</x:v>
      </x:c>
      <x:c r="AL6112" t="n">
        <x:v>0</x:v>
      </x:c>
      <x:c r="AM6112" t="n">
        <x:f>CHOOSE('假设'!$B$3,AJ6112,AK6112,AL6112)</x:f>
        <x:v>0</x:v>
      </x:c>
      <x:c r="AN6112" t="n">
        <x:v>1</x:v>
      </x:c>
    </x:row>
    <x:row r="6113" ht="23" customHeight="1">
      <x:c r="A6113" s="11" t="str">
        <x:v>688062.SH</x:v>
      </x:c>
      <x:c r="B6113" s="11" t="str">
        <x:v>五年</x:v>
      </x:c>
      <x:c r="C6113" s="11" t="str">
        <x:v>bfv_escc</x:v>
      </x:c>
      <x:c r="D6113" s="11" t="str">
        <x:v>2043-12-31</x:v>
      </x:c>
      <x:c r="E6113" s="11" t="str">
        <x:v>CNY</x:v>
      </x:c>
      <x:c r="F6113" s="11" t="n">
        <x:v>12.227241615331964</x:v>
      </x:c>
      <x:c r="G6113" s="26" t="b">
        <x:v>1</x:v>
      </x:c>
      <x:c r="H6113" s="16" t="n">
        <x:v>0.044</x:v>
      </x:c>
      <x:c r="I6113" s="16" t="n">
        <x:v>0</x:v>
      </x:c>
      <x:c r="J6113" s="16" t="n">
        <x:v>0</x:v>
      </x:c>
      <x:c r="K6113" s="11" t="n">
        <x:f>CHOOSE('假设'!$B$3,H6113,I6113,J6113)</x:f>
        <x:v>0</x:v>
      </x:c>
      <x:c r="L6113" s="11" t="n">
        <x:f>K6113*'管线假设'!E1307*'管线假设'!F1307*'管线假设'!G1307*IF(E6113="USD",'管线假设'!I1307,1)-AM6113</x:f>
        <x:v>0</x:v>
      </x:c>
      <x:c r="M6113" s="11" t="n">
        <x:f>'管线假设'!H1307</x:f>
        <x:v>0.14</x:v>
      </x:c>
      <x:c r="N6113" s="11" t="n">
        <x:f>IF(G6113,L6113*AN6113/(1+M6113)^F6113,0)</x:f>
        <x:v>0</x:v>
      </x:c>
      <x:c r="AJ6113" t="n">
        <x:v>0</x:v>
      </x:c>
      <x:c r="AK6113" t="n">
        <x:v>0</x:v>
      </x:c>
      <x:c r="AL6113" t="n">
        <x:v>0</x:v>
      </x:c>
      <x:c r="AM6113" t="n">
        <x:f>CHOOSE('假设'!$B$3,AJ6113,AK6113,AL6113)</x:f>
        <x:v>0</x:v>
      </x:c>
      <x:c r="AN6113" t="n">
        <x:v>1</x:v>
      </x:c>
    </x:row>
    <x:row r="6114" ht="23" customHeight="1">
      <x:c r="A6114" s="11" t="str">
        <x:v>688062.SH</x:v>
      </x:c>
      <x:c r="B6114" s="11" t="str">
        <x:v>五年</x:v>
      </x:c>
      <x:c r="C6114" s="11" t="str">
        <x:v>bfv_escc</x:v>
      </x:c>
      <x:c r="D6114" s="11" t="str">
        <x:v>2044-12-31</x:v>
      </x:c>
      <x:c r="E6114" s="11" t="str">
        <x:v>CNY</x:v>
      </x:c>
      <x:c r="F6114" s="11" t="n">
        <x:v>13.229295003422314</x:v>
      </x:c>
      <x:c r="G6114" s="26" t="b">
        <x:v>1</x:v>
      </x:c>
      <x:c r="H6114" s="16" t="n">
        <x:v>0.017999999999999995</x:v>
      </x:c>
      <x:c r="I6114" s="16" t="n">
        <x:v>0</x:v>
      </x:c>
      <x:c r="J6114" s="16" t="n">
        <x:v>0</x:v>
      </x:c>
      <x:c r="K6114" s="11" t="n">
        <x:f>CHOOSE('假设'!$B$3,H6114,I6114,J6114)</x:f>
        <x:v>0</x:v>
      </x:c>
      <x:c r="L6114" s="11" t="n">
        <x:f>K6114*'管线假设'!E1307*'管线假设'!F1307*'管线假设'!G1307*IF(E6114="USD",'管线假设'!I1307,1)-AM6114</x:f>
        <x:v>0</x:v>
      </x:c>
      <x:c r="M6114" s="11" t="n">
        <x:f>'管线假设'!H1307</x:f>
        <x:v>0.14</x:v>
      </x:c>
      <x:c r="N6114" s="11" t="n">
        <x:f>IF(G6114,L6114*AN6114/(1+M6114)^F6114,0)</x:f>
        <x:v>0</x:v>
      </x:c>
      <x:c r="AJ6114" t="n">
        <x:v>0</x:v>
      </x:c>
      <x:c r="AK6114" t="n">
        <x:v>0</x:v>
      </x:c>
      <x:c r="AL6114" t="n">
        <x:v>0</x:v>
      </x:c>
      <x:c r="AM6114" t="n">
        <x:f>CHOOSE('假设'!$B$3,AJ6114,AK6114,AL6114)</x:f>
        <x:v>0</x:v>
      </x:c>
      <x:c r="AN6114" t="n">
        <x:v>1</x:v>
      </x:c>
    </x:row>
    <x:row r="6115" ht="23" customHeight="1">
      <x:c r="A6115" s="11" t="str">
        <x:v>688062.SH</x:v>
      </x:c>
      <x:c r="B6115" s="11" t="str">
        <x:v>五年</x:v>
      </x:c>
      <x:c r="C6115" s="11" t="str">
        <x:v>bfv_escc</x:v>
      </x:c>
      <x:c r="D6115" s="11" t="str">
        <x:v>2045-12-31</x:v>
      </x:c>
      <x:c r="E6115" s="11" t="str">
        <x:v>CNY</x:v>
      </x:c>
      <x:c r="F6115" s="11" t="n">
        <x:v>14.22861054072553</x:v>
      </x:c>
      <x:c r="G6115" s="26" t="b">
        <x:v>1</x:v>
      </x:c>
      <x:c r="H6115" s="16" t="n">
        <x:v>0</x:v>
      </x:c>
      <x:c r="I6115" s="16" t="n">
        <x:v>0</x:v>
      </x:c>
      <x:c r="J6115" s="16" t="n">
        <x:v>0</x:v>
      </x:c>
      <x:c r="K6115" s="11" t="n">
        <x:f>CHOOSE('假设'!$B$3,H6115,I6115,J6115)</x:f>
        <x:v>0</x:v>
      </x:c>
      <x:c r="L6115" s="11" t="n">
        <x:f>K6115*'管线假设'!E1307*'管线假设'!F1307*'管线假设'!G1307*IF(E6115="USD",'管线假设'!I1307,1)-AM6115</x:f>
        <x:v>0</x:v>
      </x:c>
      <x:c r="M6115" s="11" t="n">
        <x:f>'管线假设'!H1307</x:f>
        <x:v>0.14</x:v>
      </x:c>
      <x:c r="N6115" s="11" t="n">
        <x:f>IF(G6115,L6115*AN6115/(1+M6115)^F6115,0)</x:f>
        <x:v>0</x:v>
      </x:c>
      <x:c r="AJ6115" t="n">
        <x:v>0</x:v>
      </x:c>
      <x:c r="AK6115" t="n">
        <x:v>0</x:v>
      </x:c>
      <x:c r="AL6115" t="n">
        <x:v>0</x:v>
      </x:c>
      <x:c r="AM6115" t="n">
        <x:f>CHOOSE('假设'!$B$3,AJ6115,AK6115,AL6115)</x:f>
        <x:v>0</x:v>
      </x:c>
      <x:c r="AN6115" t="n">
        <x:v>1</x:v>
      </x:c>
    </x:row>
    <x:row r="6116" ht="23" customHeight="1">
      <x:c r="A6116" s="11" t="str">
        <x:v>688062.SH</x:v>
      </x:c>
      <x:c r="B6116" s="11" t="str">
        <x:v>五年</x:v>
      </x:c>
      <x:c r="C6116" s="11" t="str">
        <x:v>bfv_global</x:v>
      </x:c>
      <x:c r="D6116" s="11" t="str">
        <x:v>2027-12-31</x:v>
      </x:c>
      <x:c r="E6116" s="11" t="str">
        <x:v>USD</x:v>
      </x:c>
      <x:c r="F6116" s="11" t="n">
        <x:v>-3.7727583846680357</x:v>
      </x:c>
      <x:c r="G6116" s="26" t="b">
        <x:v>0</x:v>
      </x:c>
      <x:c r="H6116" s="16" t="n">
        <x:v>0</x:v>
      </x:c>
      <x:c r="I6116" s="16" t="n">
        <x:v>0</x:v>
      </x:c>
      <x:c r="J6116" s="16" t="n">
        <x:v>0</x:v>
      </x:c>
      <x:c r="K6116" s="11" t="n">
        <x:f>CHOOSE('假设'!$B$3,H6116,I6116,J6116)</x:f>
        <x:v>0</x:v>
      </x:c>
      <x:c r="L6116" s="11" t="n">
        <x:f>K6116*'管线假设'!E1311*'管线假设'!F1311*'管线假设'!G1311*IF(E6116="USD",'管线假设'!I1311,1)-AM6116</x:f>
        <x:v>0</x:v>
      </x:c>
      <x:c r="M6116" s="11" t="n">
        <x:f>'管线假设'!H1311</x:f>
        <x:v>0.14</x:v>
      </x:c>
      <x:c r="N6116" s="11" t="n">
        <x:f>IF(G6116,L6116*AN6116/(1+M6116)^F6116,0)</x:f>
        <x:v>0</x:v>
      </x:c>
      <x:c r="AJ6116" t="n">
        <x:v>0</x:v>
      </x:c>
      <x:c r="AK6116" t="n">
        <x:v>0</x:v>
      </x:c>
      <x:c r="AL6116" t="n">
        <x:v>0</x:v>
      </x:c>
      <x:c r="AM6116" t="n">
        <x:f>CHOOSE('假设'!$B$3,AJ6116,AK6116,AL6116)</x:f>
        <x:v>0</x:v>
      </x:c>
      <x:c r="AN6116" t="n">
        <x:v>1</x:v>
      </x:c>
    </x:row>
    <x:row r="6117" ht="23" customHeight="1">
      <x:c r="A6117" s="11" t="str">
        <x:v>688062.SH</x:v>
      </x:c>
      <x:c r="B6117" s="11" t="str">
        <x:v>五年</x:v>
      </x:c>
      <x:c r="C6117" s="11" t="str">
        <x:v>bfv_global</x:v>
      </x:c>
      <x:c r="D6117" s="11" t="str">
        <x:v>2028-12-31</x:v>
      </x:c>
      <x:c r="E6117" s="11" t="str">
        <x:v>USD</x:v>
      </x:c>
      <x:c r="F6117" s="11" t="n">
        <x:v>-2.7707049965776864</x:v>
      </x:c>
      <x:c r="G6117" s="26" t="b">
        <x:v>0</x:v>
      </x:c>
      <x:c r="H6117" s="16" t="n">
        <x:v>0</x:v>
      </x:c>
      <x:c r="I6117" s="16" t="n">
        <x:v>0</x:v>
      </x:c>
      <x:c r="J6117" s="16" t="n">
        <x:v>0</x:v>
      </x:c>
      <x:c r="K6117" s="11" t="n">
        <x:f>CHOOSE('假设'!$B$3,H6117,I6117,J6117)</x:f>
        <x:v>0</x:v>
      </x:c>
      <x:c r="L6117" s="11" t="n">
        <x:f>K6117*'管线假设'!E1311*'管线假设'!F1311*'管线假设'!G1311*IF(E6117="USD",'管线假设'!I1311,1)-AM6117</x:f>
        <x:v>0</x:v>
      </x:c>
      <x:c r="M6117" s="11" t="n">
        <x:f>'管线假设'!H1311</x:f>
        <x:v>0.14</x:v>
      </x:c>
      <x:c r="N6117" s="11" t="n">
        <x:f>IF(G6117,L6117*AN6117/(1+M6117)^F6117,0)</x:f>
        <x:v>0</x:v>
      </x:c>
      <x:c r="AJ6117" t="n">
        <x:v>0</x:v>
      </x:c>
      <x:c r="AK6117" t="n">
        <x:v>0</x:v>
      </x:c>
      <x:c r="AL6117" t="n">
        <x:v>0</x:v>
      </x:c>
      <x:c r="AM6117" t="n">
        <x:f>CHOOSE('假设'!$B$3,AJ6117,AK6117,AL6117)</x:f>
        <x:v>0</x:v>
      </x:c>
      <x:c r="AN6117" t="n">
        <x:v>1</x:v>
      </x:c>
    </x:row>
    <x:row r="6118" ht="23" customHeight="1">
      <x:c r="A6118" s="11" t="str">
        <x:v>688062.SH</x:v>
      </x:c>
      <x:c r="B6118" s="11" t="str">
        <x:v>五年</x:v>
      </x:c>
      <x:c r="C6118" s="11" t="str">
        <x:v>bfv_global</x:v>
      </x:c>
      <x:c r="D6118" s="11" t="str">
        <x:v>2029-12-31</x:v>
      </x:c>
      <x:c r="E6118" s="11" t="str">
        <x:v>USD</x:v>
      </x:c>
      <x:c r="F6118" s="11" t="n">
        <x:v>-1.7713894592744694</x:v>
      </x:c>
      <x:c r="G6118" s="26" t="b">
        <x:v>0</x:v>
      </x:c>
      <x:c r="H6118" s="16" t="n">
        <x:v>0</x:v>
      </x:c>
      <x:c r="I6118" s="16" t="n">
        <x:v>0</x:v>
      </x:c>
      <x:c r="J6118" s="16" t="n">
        <x:v>0</x:v>
      </x:c>
      <x:c r="K6118" s="11" t="n">
        <x:f>CHOOSE('假设'!$B$3,H6118,I6118,J6118)</x:f>
        <x:v>0</x:v>
      </x:c>
      <x:c r="L6118" s="11" t="n">
        <x:f>K6118*'管线假设'!E1311*'管线假设'!F1311*'管线假设'!G1311*IF(E6118="USD",'管线假设'!I1311,1)-AM6118</x:f>
        <x:v>0</x:v>
      </x:c>
      <x:c r="M6118" s="11" t="n">
        <x:f>'管线假设'!H1311</x:f>
        <x:v>0.14</x:v>
      </x:c>
      <x:c r="N6118" s="11" t="n">
        <x:f>IF(G6118,L6118*AN6118/(1+M6118)^F6118,0)</x:f>
        <x:v>0</x:v>
      </x:c>
      <x:c r="AJ6118" t="n">
        <x:v>0</x:v>
      </x:c>
      <x:c r="AK6118" t="n">
        <x:v>0</x:v>
      </x:c>
      <x:c r="AL6118" t="n">
        <x:v>0</x:v>
      </x:c>
      <x:c r="AM6118" t="n">
        <x:f>CHOOSE('假设'!$B$3,AJ6118,AK6118,AL6118)</x:f>
        <x:v>0</x:v>
      </x:c>
      <x:c r="AN6118" t="n">
        <x:v>1</x:v>
      </x:c>
    </x:row>
    <x:row r="6119" ht="23" customHeight="1">
      <x:c r="A6119" s="11" t="str">
        <x:v>688062.SH</x:v>
      </x:c>
      <x:c r="B6119" s="11" t="str">
        <x:v>五年</x:v>
      </x:c>
      <x:c r="C6119" s="11" t="str">
        <x:v>bfv_global</x:v>
      </x:c>
      <x:c r="D6119" s="11" t="str">
        <x:v>2030-12-31</x:v>
      </x:c>
      <x:c r="E6119" s="11" t="str">
        <x:v>USD</x:v>
      </x:c>
      <x:c r="F6119" s="11" t="n">
        <x:v>-0.7720739219712526</x:v>
      </x:c>
      <x:c r="G6119" s="26" t="b">
        <x:v>0</x:v>
      </x:c>
      <x:c r="H6119" s="16" t="n">
        <x:v>0</x:v>
      </x:c>
      <x:c r="I6119" s="16" t="n">
        <x:v>0</x:v>
      </x:c>
      <x:c r="J6119" s="16" t="n">
        <x:v>0.48</x:v>
      </x:c>
      <x:c r="K6119" s="11" t="n">
        <x:f>CHOOSE('假设'!$B$3,H6119,I6119,J6119)</x:f>
        <x:v>0</x:v>
      </x:c>
      <x:c r="L6119" s="11" t="n">
        <x:f>K6119*'管线假设'!E1311*'管线假设'!F1311*'管线假设'!G1311*IF(E6119="USD",'管线假设'!I1311,1)-AM6119</x:f>
        <x:v>0</x:v>
      </x:c>
      <x:c r="M6119" s="11" t="n">
        <x:f>'管线假设'!H1311</x:f>
        <x:v>0.14</x:v>
      </x:c>
      <x:c r="N6119" s="11" t="n">
        <x:f>IF(G6119,L6119*AN6119/(1+M6119)^F6119,0)</x:f>
        <x:v>0</x:v>
      </x:c>
      <x:c r="AJ6119" t="n">
        <x:v>0</x:v>
      </x:c>
      <x:c r="AK6119" t="n">
        <x:v>0</x:v>
      </x:c>
      <x:c r="AL6119" t="n">
        <x:v>0</x:v>
      </x:c>
      <x:c r="AM6119" t="n">
        <x:f>CHOOSE('假设'!$B$3,AJ6119,AK6119,AL6119)</x:f>
        <x:v>0</x:v>
      </x:c>
      <x:c r="AN6119" t="n">
        <x:v>1</x:v>
      </x:c>
    </x:row>
    <x:row r="6120" ht="23" customHeight="1">
      <x:c r="A6120" s="11" t="str">
        <x:v>688062.SH</x:v>
      </x:c>
      <x:c r="B6120" s="11" t="str">
        <x:v>五年</x:v>
      </x:c>
      <x:c r="C6120" s="11" t="str">
        <x:v>bfv_global</x:v>
      </x:c>
      <x:c r="D6120" s="11" t="str">
        <x:v>2031-12-31</x:v>
      </x:c>
      <x:c r="E6120" s="11" t="str">
        <x:v>USD</x:v>
      </x:c>
      <x:c r="F6120" s="11" t="n">
        <x:v>0.2272416153319644</x:v>
      </x:c>
      <x:c r="G6120" s="26" t="b">
        <x:v>1</x:v>
      </x:c>
      <x:c r="H6120" s="16" t="n">
        <x:v>0</x:v>
      </x:c>
      <x:c r="I6120" s="16" t="n">
        <x:v>0</x:v>
      </x:c>
      <x:c r="J6120" s="16" t="n">
        <x:v>0.96</x:v>
      </x:c>
      <x:c r="K6120" s="11" t="n">
        <x:f>CHOOSE('假设'!$B$3,H6120,I6120,J6120)</x:f>
        <x:v>0</x:v>
      </x:c>
      <x:c r="L6120" s="11" t="n">
        <x:f>K6120*'管线假设'!E1311*'管线假设'!F1311*'管线假设'!G1311*IF(E6120="USD",'管线假设'!I1311,1)-AM6120</x:f>
        <x:v>0</x:v>
      </x:c>
      <x:c r="M6120" s="11" t="n">
        <x:f>'管线假设'!H1311</x:f>
        <x:v>0.14</x:v>
      </x:c>
      <x:c r="N6120" s="11" t="n">
        <x:f>IF(G6120,L6120*AN6120/(1+M6120)^F6120,0)</x:f>
        <x:v>0</x:v>
      </x:c>
      <x:c r="AJ6120" t="n">
        <x:v>0</x:v>
      </x:c>
      <x:c r="AK6120" t="n">
        <x:v>0</x:v>
      </x:c>
      <x:c r="AL6120" t="n">
        <x:v>0</x:v>
      </x:c>
      <x:c r="AM6120" t="n">
        <x:f>CHOOSE('假设'!$B$3,AJ6120,AK6120,AL6120)</x:f>
        <x:v>0</x:v>
      </x:c>
      <x:c r="AN6120" t="n">
        <x:v>1</x:v>
      </x:c>
    </x:row>
    <x:row r="6121" ht="23" customHeight="1">
      <x:c r="A6121" s="11" t="str">
        <x:v>688062.SH</x:v>
      </x:c>
      <x:c r="B6121" s="11" t="str">
        <x:v>五年</x:v>
      </x:c>
      <x:c r="C6121" s="11" t="str">
        <x:v>bfv_global</x:v>
      </x:c>
      <x:c r="D6121" s="11" t="str">
        <x:v>2032-12-31</x:v>
      </x:c>
      <x:c r="E6121" s="11" t="str">
        <x:v>USD</x:v>
      </x:c>
      <x:c r="F6121" s="11" t="n">
        <x:v>1.2292950034223136</x:v>
      </x:c>
      <x:c r="G6121" s="26" t="b">
        <x:v>1</x:v>
      </x:c>
      <x:c r="H6121" s="16" t="n">
        <x:v>0</x:v>
      </x:c>
      <x:c r="I6121" s="16" t="n">
        <x:v>0.22000000000000003</x:v>
      </x:c>
      <x:c r="J6121" s="16" t="n">
        <x:v>1.44</x:v>
      </x:c>
      <x:c r="K6121" s="11" t="n">
        <x:f>CHOOSE('假设'!$B$3,H6121,I6121,J6121)</x:f>
        <x:v>0.22000000000000003</x:v>
      </x:c>
      <x:c r="L6121" s="11" t="n">
        <x:f>K6121*'管线假设'!E1311*'管线假设'!F1311*'管线假设'!G1311*IF(E6121="USD",'管线假设'!I1311,1)-AM6121</x:f>
        <x:v>0.14588992000000003</x:v>
      </x:c>
      <x:c r="M6121" s="11" t="n">
        <x:f>'管线假设'!H1311</x:f>
        <x:v>0.14</x:v>
      </x:c>
      <x:c r="N6121" s="11" t="n">
        <x:f>IF(G6121,L6121*AN6121/(1+M6121)^F6121,0)</x:f>
        <x:v>0.12418594221791046</x:v>
      </x:c>
      <x:c r="AJ6121" t="n">
        <x:v>0</x:v>
      </x:c>
      <x:c r="AK6121" t="n">
        <x:v>0</x:v>
      </x:c>
      <x:c r="AL6121" t="n">
        <x:v>0</x:v>
      </x:c>
      <x:c r="AM6121" t="n">
        <x:f>CHOOSE('假设'!$B$3,AJ6121,AK6121,AL6121)</x:f>
        <x:v>0</x:v>
      </x:c>
      <x:c r="AN6121" t="n">
        <x:v>1</x:v>
      </x:c>
    </x:row>
    <x:row r="6122" ht="23" customHeight="1">
      <x:c r="A6122" s="11" t="str">
        <x:v>688062.SH</x:v>
      </x:c>
      <x:c r="B6122" s="11" t="str">
        <x:v>五年</x:v>
      </x:c>
      <x:c r="C6122" s="11" t="str">
        <x:v>bfv_global</x:v>
      </x:c>
      <x:c r="D6122" s="11" t="str">
        <x:v>2033-12-31</x:v>
      </x:c>
      <x:c r="E6122" s="11" t="str">
        <x:v>USD</x:v>
      </x:c>
      <x:c r="F6122" s="11" t="n">
        <x:v>2.2286105407255303</x:v>
      </x:c>
      <x:c r="G6122" s="26" t="b">
        <x:v>1</x:v>
      </x:c>
      <x:c r="H6122" s="16" t="n">
        <x:v>0</x:v>
      </x:c>
      <x:c r="I6122" s="16" t="n">
        <x:v>0.44000000000000006</x:v>
      </x:c>
      <x:c r="J6122" s="16" t="n">
        <x:v>1.92</x:v>
      </x:c>
      <x:c r="K6122" s="11" t="n">
        <x:f>CHOOSE('假设'!$B$3,H6122,I6122,J6122)</x:f>
        <x:v>0.44000000000000006</x:v>
      </x:c>
      <x:c r="L6122" s="11" t="n">
        <x:f>K6122*'管线假设'!E1311*'管线假设'!F1311*'管线假设'!G1311*IF(E6122="USD",'管线假设'!I1311,1)-AM6122</x:f>
        <x:v>0.29177984000000007</x:v>
      </x:c>
      <x:c r="M6122" s="11" t="n">
        <x:f>'管线假设'!H1311</x:f>
        <x:v>0.14</x:v>
      </x:c>
      <x:c r="N6122" s="11" t="n">
        <x:f>IF(G6122,L6122*AN6122/(1+M6122)^F6122,0)</x:f>
        <x:v>0.21788961439326088</x:v>
      </x:c>
      <x:c r="AJ6122" t="n">
        <x:v>0</x:v>
      </x:c>
      <x:c r="AK6122" t="n">
        <x:v>0</x:v>
      </x:c>
      <x:c r="AL6122" t="n">
        <x:v>0</x:v>
      </x:c>
      <x:c r="AM6122" t="n">
        <x:f>CHOOSE('假设'!$B$3,AJ6122,AK6122,AL6122)</x:f>
        <x:v>0</x:v>
      </x:c>
      <x:c r="AN6122" t="n">
        <x:v>1</x:v>
      </x:c>
    </x:row>
    <x:row r="6123" ht="23" customHeight="1">
      <x:c r="A6123" s="11" t="str">
        <x:v>688062.SH</x:v>
      </x:c>
      <x:c r="B6123" s="11" t="str">
        <x:v>五年</x:v>
      </x:c>
      <x:c r="C6123" s="11" t="str">
        <x:v>bfv_global</x:v>
      </x:c>
      <x:c r="D6123" s="11" t="str">
        <x:v>2034-12-31</x:v>
      </x:c>
      <x:c r="E6123" s="11" t="str">
        <x:v>USD</x:v>
      </x:c>
      <x:c r="F6123" s="11" t="n">
        <x:v>3.2279260780287475</x:v>
      </x:c>
      <x:c r="G6123" s="26" t="b">
        <x:v>1</x:v>
      </x:c>
      <x:c r="H6123" s="16" t="n">
        <x:v>0.08000000000000002</x:v>
      </x:c>
      <x:c r="I6123" s="16" t="n">
        <x:v>0.66</x:v>
      </x:c>
      <x:c r="J6123" s="16" t="n">
        <x:v>2.4</x:v>
      </x:c>
      <x:c r="K6123" s="11" t="n">
        <x:f>CHOOSE('假设'!$B$3,H6123,I6123,J6123)</x:f>
        <x:v>0.66</x:v>
      </x:c>
      <x:c r="L6123" s="11" t="n">
        <x:f>K6123*'管线假设'!E1311*'管线假设'!F1311*'管线假设'!G1311*IF(E6123="USD",'管线假设'!I1311,1)-AM6123</x:f>
        <x:v>0.4376697600000001</x:v>
      </x:c>
      <x:c r="M6123" s="11" t="n">
        <x:f>'管线假设'!H1311</x:f>
        <x:v>0.14</x:v>
      </x:c>
      <x:c r="N6123" s="11" t="n">
        <x:f>IF(G6123,L6123*AN6123/(1+M6123)^F6123,0)</x:f>
        <x:v>0.2867225743059797</x:v>
      </x:c>
      <x:c r="AJ6123" t="n">
        <x:v>0</x:v>
      </x:c>
      <x:c r="AK6123" t="n">
        <x:v>0</x:v>
      </x:c>
      <x:c r="AL6123" t="n">
        <x:v>0</x:v>
      </x:c>
      <x:c r="AM6123" t="n">
        <x:f>CHOOSE('假设'!$B$3,AJ6123,AK6123,AL6123)</x:f>
        <x:v>0</x:v>
      </x:c>
      <x:c r="AN6123" t="n">
        <x:v>1</x:v>
      </x:c>
    </x:row>
    <x:row r="6124" ht="23" customHeight="1">
      <x:c r="A6124" s="11" t="str">
        <x:v>688062.SH</x:v>
      </x:c>
      <x:c r="B6124" s="11" t="str">
        <x:v>五年</x:v>
      </x:c>
      <x:c r="C6124" s="11" t="str">
        <x:v>bfv_global</x:v>
      </x:c>
      <x:c r="D6124" s="11" t="str">
        <x:v>2035-12-31</x:v>
      </x:c>
      <x:c r="E6124" s="11" t="str">
        <x:v>USD</x:v>
      </x:c>
      <x:c r="F6124" s="11" t="n">
        <x:v>4.227241615331964</x:v>
      </x:c>
      <x:c r="G6124" s="26" t="b">
        <x:v>1</x:v>
      </x:c>
      <x:c r="H6124" s="16" t="n">
        <x:v>0.16000000000000003</x:v>
      </x:c>
      <x:c r="I6124" s="16" t="n">
        <x:v>0.8800000000000001</x:v>
      </x:c>
      <x:c r="J6124" s="16" t="n">
        <x:v>2.088</x:v>
      </x:c>
      <x:c r="K6124" s="11" t="n">
        <x:f>CHOOSE('假设'!$B$3,H6124,I6124,J6124)</x:f>
        <x:v>0.8800000000000001</x:v>
      </x:c>
      <x:c r="L6124" s="11" t="n">
        <x:f>K6124*'管线假设'!E1311*'管线假设'!F1311*'管线假设'!G1311*IF(E6124="USD",'管线假设'!I1311,1)-AM6124</x:f>
        <x:v>0.5835596800000001</x:v>
      </x:c>
      <x:c r="M6124" s="11" t="n">
        <x:f>'管线假设'!H1311</x:f>
        <x:v>0.14</x:v>
      </x:c>
      <x:c r="N6124" s="11" t="n">
        <x:f>IF(G6124,L6124*AN6124/(1+M6124)^F6124,0)</x:f>
        <x:v>0.3353781168121236</x:v>
      </x:c>
      <x:c r="AJ6124" t="n">
        <x:v>0</x:v>
      </x:c>
      <x:c r="AK6124" t="n">
        <x:v>0</x:v>
      </x:c>
      <x:c r="AL6124" t="n">
        <x:v>0</x:v>
      </x:c>
      <x:c r="AM6124" t="n">
        <x:f>CHOOSE('假设'!$B$3,AJ6124,AK6124,AL6124)</x:f>
        <x:v>0</x:v>
      </x:c>
      <x:c r="AN6124" t="n">
        <x:v>1</x:v>
      </x:c>
    </x:row>
    <x:row r="6125" ht="23" customHeight="1">
      <x:c r="A6125" s="11" t="str">
        <x:v>688062.SH</x:v>
      </x:c>
      <x:c r="B6125" s="11" t="str">
        <x:v>五年</x:v>
      </x:c>
      <x:c r="C6125" s="11" t="str">
        <x:v>bfv_global</x:v>
      </x:c>
      <x:c r="D6125" s="11" t="str">
        <x:v>2036-12-31</x:v>
      </x:c>
      <x:c r="E6125" s="11" t="str">
        <x:v>USD</x:v>
      </x:c>
      <x:c r="F6125" s="11" t="n">
        <x:v>5.229295003422314</x:v>
      </x:c>
      <x:c r="G6125" s="26" t="b">
        <x:v>1</x:v>
      </x:c>
      <x:c r="H6125" s="16" t="n">
        <x:v>0.24</x:v>
      </x:c>
      <x:c r="I6125" s="16" t="n">
        <x:v>1.1</x:v>
      </x:c>
      <x:c r="J6125" s="16" t="n">
        <x:v>1.776</x:v>
      </x:c>
      <x:c r="K6125" s="11" t="n">
        <x:f>CHOOSE('假设'!$B$3,H6125,I6125,J6125)</x:f>
        <x:v>1.1</x:v>
      </x:c>
      <x:c r="L6125" s="11" t="n">
        <x:f>K6125*'管线假设'!E1311*'管线假设'!F1311*'管线假设'!G1311*IF(E6125="USD",'管线假设'!I1311,1)-AM6125</x:f>
        <x:v>0.7294496000000001</x:v>
      </x:c>
      <x:c r="M6125" s="11" t="n">
        <x:f>'管线假设'!H1311</x:f>
        <x:v>0.14</x:v>
      </x:c>
      <x:c r="N6125" s="11" t="n">
        <x:f>IF(G6125,L6125*AN6125/(1+M6125)^F6125,0)</x:f>
        <x:v>0.3676402355692937</x:v>
      </x:c>
      <x:c r="AJ6125" t="n">
        <x:v>0</x:v>
      </x:c>
      <x:c r="AK6125" t="n">
        <x:v>0</x:v>
      </x:c>
      <x:c r="AL6125" t="n">
        <x:v>0</x:v>
      </x:c>
      <x:c r="AM6125" t="n">
        <x:f>CHOOSE('假设'!$B$3,AJ6125,AK6125,AL6125)</x:f>
        <x:v>0</x:v>
      </x:c>
      <x:c r="AN6125" t="n">
        <x:v>1</x:v>
      </x:c>
    </x:row>
    <x:row r="6126" ht="23" customHeight="1">
      <x:c r="A6126" s="11" t="str">
        <x:v>688062.SH</x:v>
      </x:c>
      <x:c r="B6126" s="11" t="str">
        <x:v>五年</x:v>
      </x:c>
      <x:c r="C6126" s="11" t="str">
        <x:v>bfv_global</x:v>
      </x:c>
      <x:c r="D6126" s="11" t="str">
        <x:v>2037-12-31</x:v>
      </x:c>
      <x:c r="E6126" s="11" t="str">
        <x:v>USD</x:v>
      </x:c>
      <x:c r="F6126" s="11" t="n">
        <x:v>6.228610540725531</x:v>
      </x:c>
      <x:c r="G6126" s="26" t="b">
        <x:v>1</x:v>
      </x:c>
      <x:c r="H6126" s="16" t="n">
        <x:v>0.32000000000000006</x:v>
      </x:c>
      <x:c r="I6126" s="16" t="n">
        <x:v>0.9570000000000001</x:v>
      </x:c>
      <x:c r="J6126" s="16" t="n">
        <x:v>1.464</x:v>
      </x:c>
      <x:c r="K6126" s="11" t="n">
        <x:f>CHOOSE('假设'!$B$3,H6126,I6126,J6126)</x:f>
        <x:v>0.9570000000000001</x:v>
      </x:c>
      <x:c r="L6126" s="11" t="n">
        <x:f>K6126*'管线假设'!E1311*'管线假设'!F1311*'管线假设'!G1311*IF(E6126="USD",'管线假设'!I1311,1)-AM6126</x:f>
        <x:v>0.6346211520000001</x:v>
      </x:c>
      <x:c r="M6126" s="11" t="n">
        <x:f>'管线假设'!H1311</x:f>
        <x:v>0.14</x:v>
      </x:c>
      <x:c r="N6126" s="11" t="n">
        <x:f>IF(G6126,L6126*AN6126/(1+M6126)^F6126,0)</x:f>
        <x:v>0.280592711734149</x:v>
      </x:c>
      <x:c r="AJ6126" t="n">
        <x:v>0</x:v>
      </x:c>
      <x:c r="AK6126" t="n">
        <x:v>0</x:v>
      </x:c>
      <x:c r="AL6126" t="n">
        <x:v>0</x:v>
      </x:c>
      <x:c r="AM6126" t="n">
        <x:f>CHOOSE('假设'!$B$3,AJ6126,AK6126,AL6126)</x:f>
        <x:v>0</x:v>
      </x:c>
      <x:c r="AN6126" t="n">
        <x:v>1</x:v>
      </x:c>
    </x:row>
    <x:row r="6127" ht="23" customHeight="1">
      <x:c r="A6127" s="11" t="str">
        <x:v>688062.SH</x:v>
      </x:c>
      <x:c r="B6127" s="11" t="str">
        <x:v>五年</x:v>
      </x:c>
      <x:c r="C6127" s="11" t="str">
        <x:v>bfv_global</x:v>
      </x:c>
      <x:c r="D6127" s="11" t="str">
        <x:v>2038-12-31</x:v>
      </x:c>
      <x:c r="E6127" s="11" t="str">
        <x:v>USD</x:v>
      </x:c>
      <x:c r="F6127" s="11" t="n">
        <x:v>7.227926078028747</x:v>
      </x:c>
      <x:c r="G6127" s="26" t="b">
        <x:v>1</x:v>
      </x:c>
      <x:c r="H6127" s="16" t="n">
        <x:v>0.4</x:v>
      </x:c>
      <x:c r="I6127" s="16" t="n">
        <x:v>0.8140000000000001</x:v>
      </x:c>
      <x:c r="J6127" s="16" t="n">
        <x:v>1.152</x:v>
      </x:c>
      <x:c r="K6127" s="11" t="n">
        <x:f>CHOOSE('假设'!$B$3,H6127,I6127,J6127)</x:f>
        <x:v>0.8140000000000001</x:v>
      </x:c>
      <x:c r="L6127" s="11" t="n">
        <x:f>K6127*'管线假设'!E1311*'管线假设'!F1311*'管线假设'!G1311*IF(E6127="USD",'管线假设'!I1311,1)-AM6127</x:f>
        <x:v>0.5397927040000001</x:v>
      </x:c>
      <x:c r="M6127" s="11" t="n">
        <x:f>'管线假设'!H1311</x:f>
        <x:v>0.14</x:v>
      </x:c>
      <x:c r="N6127" s="11" t="n">
        <x:f>IF(G6127,L6127*AN6127/(1+M6127)^F6127,0)</x:f>
        <x:v>0.20937409696550105</x:v>
      </x:c>
      <x:c r="AJ6127" t="n">
        <x:v>0</x:v>
      </x:c>
      <x:c r="AK6127" t="n">
        <x:v>0</x:v>
      </x:c>
      <x:c r="AL6127" t="n">
        <x:v>0</x:v>
      </x:c>
      <x:c r="AM6127" t="n">
        <x:f>CHOOSE('假设'!$B$3,AJ6127,AK6127,AL6127)</x:f>
        <x:v>0</x:v>
      </x:c>
      <x:c r="AN6127" t="n">
        <x:v>1</x:v>
      </x:c>
    </x:row>
    <x:row r="6128" ht="23" customHeight="1">
      <x:c r="A6128" s="11" t="str">
        <x:v>688062.SH</x:v>
      </x:c>
      <x:c r="B6128" s="11" t="str">
        <x:v>五年</x:v>
      </x:c>
      <x:c r="C6128" s="11" t="str">
        <x:v>bfv_global</x:v>
      </x:c>
      <x:c r="D6128" s="11" t="str">
        <x:v>2039-12-31</x:v>
      </x:c>
      <x:c r="E6128" s="11" t="str">
        <x:v>USD</x:v>
      </x:c>
      <x:c r="F6128" s="11" t="n">
        <x:v>8.227241615331964</x:v>
      </x:c>
      <x:c r="G6128" s="26" t="b">
        <x:v>1</x:v>
      </x:c>
      <x:c r="H6128" s="16" t="n">
        <x:v>0.34800000000000003</x:v>
      </x:c>
      <x:c r="I6128" s="16" t="n">
        <x:v>0.671</x:v>
      </x:c>
      <x:c r="J6128" s="16" t="n">
        <x:v>0.84</x:v>
      </x:c>
      <x:c r="K6128" s="11" t="n">
        <x:f>CHOOSE('假设'!$B$3,H6128,I6128,J6128)</x:f>
        <x:v>0.671</x:v>
      </x:c>
      <x:c r="L6128" s="11" t="n">
        <x:f>K6128*'管线假设'!E1311*'管线假设'!F1311*'管线假设'!G1311*IF(E6128="USD",'管线假设'!I1311,1)-AM6128</x:f>
        <x:v>0.44496425600000006</x:v>
      </x:c>
      <x:c r="M6128" s="11" t="n">
        <x:f>'管线假设'!H1311</x:f>
        <x:v>0.14</x:v>
      </x:c>
      <x:c r="N6128" s="11" t="n">
        <x:f>IF(G6128,L6128*AN6128/(1+M6128)^F6128,0)</x:f>
        <x:v>0.15141021092483561</x:v>
      </x:c>
      <x:c r="AJ6128" t="n">
        <x:v>0</x:v>
      </x:c>
      <x:c r="AK6128" t="n">
        <x:v>0</x:v>
      </x:c>
      <x:c r="AL6128" t="n">
        <x:v>0</x:v>
      </x:c>
      <x:c r="AM6128" t="n">
        <x:f>CHOOSE('假设'!$B$3,AJ6128,AK6128,AL6128)</x:f>
        <x:v>0</x:v>
      </x:c>
      <x:c r="AN6128" t="n">
        <x:v>1</x:v>
      </x:c>
    </x:row>
    <x:row r="6129" ht="23" customHeight="1">
      <x:c r="A6129" s="11" t="str">
        <x:v>688062.SH</x:v>
      </x:c>
      <x:c r="B6129" s="11" t="str">
        <x:v>五年</x:v>
      </x:c>
      <x:c r="C6129" s="11" t="str">
        <x:v>bfv_global</x:v>
      </x:c>
      <x:c r="D6129" s="11" t="str">
        <x:v>2040-12-31</x:v>
      </x:c>
      <x:c r="E6129" s="11" t="str">
        <x:v>USD</x:v>
      </x:c>
      <x:c r="F6129" s="11" t="n">
        <x:v>9.229295003422314</x:v>
      </x:c>
      <x:c r="G6129" s="26" t="b">
        <x:v>1</x:v>
      </x:c>
      <x:c r="H6129" s="16" t="n">
        <x:v>0.296</x:v>
      </x:c>
      <x:c r="I6129" s="16" t="n">
        <x:v>0.528</x:v>
      </x:c>
      <x:c r="J6129" s="16" t="n">
        <x:v>0.5279999999999999</x:v>
      </x:c>
      <x:c r="K6129" s="11" t="n">
        <x:f>CHOOSE('假设'!$B$3,H6129,I6129,J6129)</x:f>
        <x:v>0.528</x:v>
      </x:c>
      <x:c r="L6129" s="11" t="n">
        <x:f>K6129*'管线假设'!E1311*'管线假设'!F1311*'管线假设'!G1311*IF(E6129="USD",'管线假设'!I1311,1)-AM6129</x:f>
        <x:v>0.35013580800000005</x:v>
      </x:c>
      <x:c r="M6129" s="11" t="n">
        <x:f>'管线假设'!H1311</x:f>
        <x:v>0.14</x:v>
      </x:c>
      <x:c r="N6129" s="11" t="n">
        <x:f>IF(G6129,L6129*AN6129/(1+M6129)^F6129,0)</x:f>
        <x:v>0.1044828156711884</x:v>
      </x:c>
      <x:c r="AJ6129" t="n">
        <x:v>0</x:v>
      </x:c>
      <x:c r="AK6129" t="n">
        <x:v>0</x:v>
      </x:c>
      <x:c r="AL6129" t="n">
        <x:v>0</x:v>
      </x:c>
      <x:c r="AM6129" t="n">
        <x:f>CHOOSE('假设'!$B$3,AJ6129,AK6129,AL6129)</x:f>
        <x:v>0</x:v>
      </x:c>
      <x:c r="AN6129" t="n">
        <x:v>1</x:v>
      </x:c>
    </x:row>
    <x:row r="6130" ht="23" customHeight="1">
      <x:c r="A6130" s="11" t="str">
        <x:v>688062.SH</x:v>
      </x:c>
      <x:c r="B6130" s="11" t="str">
        <x:v>五年</x:v>
      </x:c>
      <x:c r="C6130" s="11" t="str">
        <x:v>bfv_global</x:v>
      </x:c>
      <x:c r="D6130" s="11" t="str">
        <x:v>2041-12-31</x:v>
      </x:c>
      <x:c r="E6130" s="11" t="str">
        <x:v>USD</x:v>
      </x:c>
      <x:c r="F6130" s="11" t="n">
        <x:v>10.22861054072553</x:v>
      </x:c>
      <x:c r="G6130" s="26" t="b">
        <x:v>1</x:v>
      </x:c>
      <x:c r="H6130" s="16" t="n">
        <x:v>0.244</x:v>
      </x:c>
      <x:c r="I6130" s="16" t="n">
        <x:v>0.385</x:v>
      </x:c>
      <x:c r="J6130" s="16" t="n">
        <x:v>0.21599999999999991</x:v>
      </x:c>
      <x:c r="K6130" s="11" t="n">
        <x:f>CHOOSE('假设'!$B$3,H6130,I6130,J6130)</x:f>
        <x:v>0.385</x:v>
      </x:c>
      <x:c r="L6130" s="11" t="n">
        <x:f>K6130*'管线假设'!E1311*'管线假设'!F1311*'管线假设'!G1311*IF(E6130="USD",'管线假设'!I1311,1)-AM6130</x:f>
        <x:v>0.25530736000000004</x:v>
      </x:c>
      <x:c r="M6130" s="11" t="n">
        <x:f>'管线假设'!H1311</x:f>
        <x:v>0.14</x:v>
      </x:c>
      <x:c r="N6130" s="11" t="n">
        <x:f>IF(G6130,L6130*AN6130/(1+M6130)^F6130,0)</x:f>
        <x:v>0.06683528012306092</x:v>
      </x:c>
      <x:c r="AJ6130" t="n">
        <x:v>0</x:v>
      </x:c>
      <x:c r="AK6130" t="n">
        <x:v>0</x:v>
      </x:c>
      <x:c r="AL6130" t="n">
        <x:v>0</x:v>
      </x:c>
      <x:c r="AM6130" t="n">
        <x:f>CHOOSE('假设'!$B$3,AJ6130,AK6130,AL6130)</x:f>
        <x:v>0</x:v>
      </x:c>
      <x:c r="AN6130" t="n">
        <x:v>1</x:v>
      </x:c>
    </x:row>
    <x:row r="6131" ht="23" customHeight="1">
      <x:c r="A6131" s="11" t="str">
        <x:v>688062.SH</x:v>
      </x:c>
      <x:c r="B6131" s="11" t="str">
        <x:v>五年</x:v>
      </x:c>
      <x:c r="C6131" s="11" t="str">
        <x:v>bfv_global</x:v>
      </x:c>
      <x:c r="D6131" s="11" t="str">
        <x:v>2042-12-31</x:v>
      </x:c>
      <x:c r="E6131" s="11" t="str">
        <x:v>USD</x:v>
      </x:c>
      <x:c r="F6131" s="11" t="n">
        <x:v>11.227926078028748</x:v>
      </x:c>
      <x:c r="G6131" s="26" t="b">
        <x:v>1</x:v>
      </x:c>
      <x:c r="H6131" s="16" t="n">
        <x:v>0.192</x:v>
      </x:c>
      <x:c r="I6131" s="16" t="n">
        <x:v>0.242</x:v>
      </x:c>
      <x:c r="J6131" s="16" t="n">
        <x:v>0</x:v>
      </x:c>
      <x:c r="K6131" s="11" t="n">
        <x:f>CHOOSE('假设'!$B$3,H6131,I6131,J6131)</x:f>
        <x:v>0.242</x:v>
      </x:c>
      <x:c r="L6131" s="11" t="n">
        <x:f>K6131*'管线假设'!E1311*'管线假设'!F1311*'管线假设'!G1311*IF(E6131="USD",'管线假设'!I1311,1)-AM6131</x:f>
        <x:v>0.160478912</x:v>
      </x:c>
      <x:c r="M6131" s="11" t="n">
        <x:f>'管线假设'!H1311</x:f>
        <x:v>0.14</x:v>
      </x:c>
      <x:c r="N6131" s="11" t="n">
        <x:f>IF(G6131,L6131*AN6131/(1+M6131)^F6131,0)</x:f>
        <x:v>0.03685483803946309</x:v>
      </x:c>
      <x:c r="AJ6131" t="n">
        <x:v>0</x:v>
      </x:c>
      <x:c r="AK6131" t="n">
        <x:v>0</x:v>
      </x:c>
      <x:c r="AL6131" t="n">
        <x:v>0</x:v>
      </x:c>
      <x:c r="AM6131" t="n">
        <x:f>CHOOSE('假设'!$B$3,AJ6131,AK6131,AL6131)</x:f>
        <x:v>0</x:v>
      </x:c>
      <x:c r="AN6131" t="n">
        <x:v>1</x:v>
      </x:c>
    </x:row>
    <x:row r="6132" ht="23" customHeight="1">
      <x:c r="A6132" s="11" t="str">
        <x:v>688062.SH</x:v>
      </x:c>
      <x:c r="B6132" s="11" t="str">
        <x:v>五年</x:v>
      </x:c>
      <x:c r="C6132" s="11" t="str">
        <x:v>bfv_global</x:v>
      </x:c>
      <x:c r="D6132" s="11" t="str">
        <x:v>2043-12-31</x:v>
      </x:c>
      <x:c r="E6132" s="11" t="str">
        <x:v>USD</x:v>
      </x:c>
      <x:c r="F6132" s="11" t="n">
        <x:v>12.227241615331964</x:v>
      </x:c>
      <x:c r="G6132" s="26" t="b">
        <x:v>1</x:v>
      </x:c>
      <x:c r="H6132" s="16" t="n">
        <x:v>0.13999999999999999</x:v>
      </x:c>
      <x:c r="I6132" s="16" t="n">
        <x:v>0.09899999999999998</x:v>
      </x:c>
      <x:c r="J6132" s="16" t="n">
        <x:v>0</x:v>
      </x:c>
      <x:c r="K6132" s="11" t="n">
        <x:f>CHOOSE('假设'!$B$3,H6132,I6132,J6132)</x:f>
        <x:v>0.09899999999999998</x:v>
      </x:c>
      <x:c r="L6132" s="11" t="n">
        <x:f>K6132*'管线假设'!E1311*'管线假设'!F1311*'管线假设'!G1311*IF(E6132="USD",'管线假设'!I1311,1)-AM6132</x:f>
        <x:v>0.06565046399999999</x:v>
      </x:c>
      <x:c r="M6132" s="11" t="n">
        <x:f>'管线假设'!H1311</x:f>
        <x:v>0.14</x:v>
      </x:c>
      <x:c r="N6132" s="11" t="n">
        <x:f>IF(G6132,L6132*AN6132/(1+M6132)^F6132,0)</x:f>
        <x:v>0.01322660651031967</x:v>
      </x:c>
      <x:c r="AJ6132" t="n">
        <x:v>0</x:v>
      </x:c>
      <x:c r="AK6132" t="n">
        <x:v>0</x:v>
      </x:c>
      <x:c r="AL6132" t="n">
        <x:v>0</x:v>
      </x:c>
      <x:c r="AM6132" t="n">
        <x:f>CHOOSE('假设'!$B$3,AJ6132,AK6132,AL6132)</x:f>
        <x:v>0</x:v>
      </x:c>
      <x:c r="AN6132" t="n">
        <x:v>1</x:v>
      </x:c>
    </x:row>
    <x:row r="6133" ht="23" customHeight="1">
      <x:c r="A6133" s="11" t="str">
        <x:v>688062.SH</x:v>
      </x:c>
      <x:c r="B6133" s="11" t="str">
        <x:v>五年</x:v>
      </x:c>
      <x:c r="C6133" s="11" t="str">
        <x:v>bfv_global</x:v>
      </x:c>
      <x:c r="D6133" s="11" t="str">
        <x:v>2044-12-31</x:v>
      </x:c>
      <x:c r="E6133" s="11" t="str">
        <x:v>USD</x:v>
      </x:c>
      <x:c r="F6133" s="11" t="n">
        <x:v>13.229295003422314</x:v>
      </x:c>
      <x:c r="G6133" s="26" t="b">
        <x:v>1</x:v>
      </x:c>
      <x:c r="H6133" s="16" t="n">
        <x:v>0.088</x:v>
      </x:c>
      <x:c r="I6133" s="16" t="n">
        <x:v>0</x:v>
      </x:c>
      <x:c r="J6133" s="16" t="n">
        <x:v>0</x:v>
      </x:c>
      <x:c r="K6133" s="11" t="n">
        <x:f>CHOOSE('假设'!$B$3,H6133,I6133,J6133)</x:f>
        <x:v>0</x:v>
      </x:c>
      <x:c r="L6133" s="11" t="n">
        <x:f>K6133*'管线假设'!E1311*'管线假设'!F1311*'管线假设'!G1311*IF(E6133="USD",'管线假设'!I1311,1)-AM6133</x:f>
        <x:v>0</x:v>
      </x:c>
      <x:c r="M6133" s="11" t="n">
        <x:f>'管线假设'!H1311</x:f>
        <x:v>0.14</x:v>
      </x:c>
      <x:c r="N6133" s="11" t="n">
        <x:f>IF(G6133,L6133*AN6133/(1+M6133)^F6133,0)</x:f>
        <x:v>0</x:v>
      </x:c>
      <x:c r="AJ6133" t="n">
        <x:v>0</x:v>
      </x:c>
      <x:c r="AK6133" t="n">
        <x:v>0</x:v>
      </x:c>
      <x:c r="AL6133" t="n">
        <x:v>0</x:v>
      </x:c>
      <x:c r="AM6133" t="n">
        <x:f>CHOOSE('假设'!$B$3,AJ6133,AK6133,AL6133)</x:f>
        <x:v>0</x:v>
      </x:c>
      <x:c r="AN6133" t="n">
        <x:v>1</x:v>
      </x:c>
    </x:row>
    <x:row r="6134" ht="23" customHeight="1">
      <x:c r="A6134" s="11" t="str">
        <x:v>688062.SH</x:v>
      </x:c>
      <x:c r="B6134" s="11" t="str">
        <x:v>五年</x:v>
      </x:c>
      <x:c r="C6134" s="11" t="str">
        <x:v>bfv_global</x:v>
      </x:c>
      <x:c r="D6134" s="11" t="str">
        <x:v>2045-12-31</x:v>
      </x:c>
      <x:c r="E6134" s="11" t="str">
        <x:v>USD</x:v>
      </x:c>
      <x:c r="F6134" s="11" t="n">
        <x:v>14.22861054072553</x:v>
      </x:c>
      <x:c r="G6134" s="26" t="b">
        <x:v>1</x:v>
      </x:c>
      <x:c r="H6134" s="16" t="n">
        <x:v>0.03599999999999999</x:v>
      </x:c>
      <x:c r="I6134" s="16" t="n">
        <x:v>0</x:v>
      </x:c>
      <x:c r="J6134" s="16" t="n">
        <x:v>0</x:v>
      </x:c>
      <x:c r="K6134" s="11" t="n">
        <x:f>CHOOSE('假设'!$B$3,H6134,I6134,J6134)</x:f>
        <x:v>0</x:v>
      </x:c>
      <x:c r="L6134" s="11" t="n">
        <x:f>K6134*'管线假设'!E1311*'管线假设'!F1311*'管线假设'!G1311*IF(E6134="USD",'管线假设'!I1311,1)-AM6134</x:f>
        <x:v>0</x:v>
      </x:c>
      <x:c r="M6134" s="11" t="n">
        <x:f>'管线假设'!H1311</x:f>
        <x:v>0.14</x:v>
      </x:c>
      <x:c r="N6134" s="11" t="n">
        <x:f>IF(G6134,L6134*AN6134/(1+M6134)^F6134,0)</x:f>
        <x:v>0</x:v>
      </x:c>
      <x:c r="AJ6134" t="n">
        <x:v>0</x:v>
      </x:c>
      <x:c r="AK6134" t="n">
        <x:v>0</x:v>
      </x:c>
      <x:c r="AL6134" t="n">
        <x:v>0</x:v>
      </x:c>
      <x:c r="AM6134" t="n">
        <x:f>CHOOSE('假设'!$B$3,AJ6134,AK6134,AL6134)</x:f>
        <x:v>0</x:v>
      </x:c>
      <x:c r="AN6134" t="n">
        <x:v>1</x:v>
      </x:c>
    </x:row>
    <x:row r="6135" ht="23" customHeight="1">
      <x:c r="A6135" s="11" t="str">
        <x:v>688062.SH</x:v>
      </x:c>
      <x:c r="B6135" s="11" t="str">
        <x:v>五年</x:v>
      </x:c>
      <x:c r="C6135" s="11" t="str">
        <x:v>b7h3</x:v>
      </x:c>
      <x:c r="D6135" s="11" t="str">
        <x:v>2027-12-31</x:v>
      </x:c>
      <x:c r="E6135" s="11" t="str">
        <x:v>CNY</x:v>
      </x:c>
      <x:c r="F6135" s="11" t="n">
        <x:v>-3.7727583846680357</x:v>
      </x:c>
      <x:c r="G6135" s="26" t="b">
        <x:v>0</x:v>
      </x:c>
      <x:c r="H6135" s="16" t="n">
        <x:v>0</x:v>
      </x:c>
      <x:c r="I6135" s="16" t="n">
        <x:v>0</x:v>
      </x:c>
      <x:c r="J6135" s="16" t="n">
        <x:v>0</x:v>
      </x:c>
      <x:c r="K6135" s="11" t="n">
        <x:f>CHOOSE('假设'!$B$3,H6135,I6135,J6135)</x:f>
        <x:v>0</x:v>
      </x:c>
      <x:c r="L6135" s="11" t="n">
        <x:f>K6135*'管线假设'!E1315*'管线假设'!F1315*'管线假设'!G1315*IF(E6135="USD",'管线假设'!I1315,1)-AM6135</x:f>
        <x:v>0</x:v>
      </x:c>
      <x:c r="M6135" s="11" t="n">
        <x:f>'管线假设'!H1315</x:f>
        <x:v>0.14</x:v>
      </x:c>
      <x:c r="N6135" s="11" t="n">
        <x:f>IF(G6135,L6135*AN6135/(1+M6135)^F6135,0)</x:f>
        <x:v>0</x:v>
      </x:c>
      <x:c r="AJ6135" t="n">
        <x:v>0</x:v>
      </x:c>
      <x:c r="AK6135" t="n">
        <x:v>0</x:v>
      </x:c>
      <x:c r="AL6135" t="n">
        <x:v>0</x:v>
      </x:c>
      <x:c r="AM6135" t="n">
        <x:f>CHOOSE('假设'!$B$3,AJ6135,AK6135,AL6135)</x:f>
        <x:v>0</x:v>
      </x:c>
      <x:c r="AN6135" t="n">
        <x:v>1</x:v>
      </x:c>
    </x:row>
    <x:row r="6136" ht="23" customHeight="1">
      <x:c r="A6136" s="11" t="str">
        <x:v>688062.SH</x:v>
      </x:c>
      <x:c r="B6136" s="11" t="str">
        <x:v>五年</x:v>
      </x:c>
      <x:c r="C6136" s="11" t="str">
        <x:v>b7h3</x:v>
      </x:c>
      <x:c r="D6136" s="11" t="str">
        <x:v>2028-12-31</x:v>
      </x:c>
      <x:c r="E6136" s="11" t="str">
        <x:v>CNY</x:v>
      </x:c>
      <x:c r="F6136" s="11" t="n">
        <x:v>-2.7707049965776864</x:v>
      </x:c>
      <x:c r="G6136" s="26" t="b">
        <x:v>0</x:v>
      </x:c>
      <x:c r="H6136" s="16" t="n">
        <x:v>0</x:v>
      </x:c>
      <x:c r="I6136" s="16" t="n">
        <x:v>0</x:v>
      </x:c>
      <x:c r="J6136" s="16" t="n">
        <x:v>0</x:v>
      </x:c>
      <x:c r="K6136" s="11" t="n">
        <x:f>CHOOSE('假设'!$B$3,H6136,I6136,J6136)</x:f>
        <x:v>0</x:v>
      </x:c>
      <x:c r="L6136" s="11" t="n">
        <x:f>K6136*'管线假设'!E1315*'管线假设'!F1315*'管线假设'!G1315*IF(E6136="USD",'管线假设'!I1315,1)-AM6136</x:f>
        <x:v>0</x:v>
      </x:c>
      <x:c r="M6136" s="11" t="n">
        <x:f>'管线假设'!H1315</x:f>
        <x:v>0.14</x:v>
      </x:c>
      <x:c r="N6136" s="11" t="n">
        <x:f>IF(G6136,L6136*AN6136/(1+M6136)^F6136,0)</x:f>
        <x:v>0</x:v>
      </x:c>
      <x:c r="AJ6136" t="n">
        <x:v>0</x:v>
      </x:c>
      <x:c r="AK6136" t="n">
        <x:v>0</x:v>
      </x:c>
      <x:c r="AL6136" t="n">
        <x:v>0</x:v>
      </x:c>
      <x:c r="AM6136" t="n">
        <x:f>CHOOSE('假设'!$B$3,AJ6136,AK6136,AL6136)</x:f>
        <x:v>0</x:v>
      </x:c>
      <x:c r="AN6136" t="n">
        <x:v>1</x:v>
      </x:c>
    </x:row>
    <x:row r="6137" ht="23" customHeight="1">
      <x:c r="A6137" s="11" t="str">
        <x:v>688062.SH</x:v>
      </x:c>
      <x:c r="B6137" s="11" t="str">
        <x:v>五年</x:v>
      </x:c>
      <x:c r="C6137" s="11" t="str">
        <x:v>b7h3</x:v>
      </x:c>
      <x:c r="D6137" s="11" t="str">
        <x:v>2029-12-31</x:v>
      </x:c>
      <x:c r="E6137" s="11" t="str">
        <x:v>CNY</x:v>
      </x:c>
      <x:c r="F6137" s="11" t="n">
        <x:v>-1.7713894592744694</x:v>
      </x:c>
      <x:c r="G6137" s="26" t="b">
        <x:v>0</x:v>
      </x:c>
      <x:c r="H6137" s="16" t="n">
        <x:v>0</x:v>
      </x:c>
      <x:c r="I6137" s="16" t="n">
        <x:v>0</x:v>
      </x:c>
      <x:c r="J6137" s="16" t="n">
        <x:v>0.5</x:v>
      </x:c>
      <x:c r="K6137" s="11" t="n">
        <x:f>CHOOSE('假设'!$B$3,H6137,I6137,J6137)</x:f>
        <x:v>0</x:v>
      </x:c>
      <x:c r="L6137" s="11" t="n">
        <x:f>K6137*'管线假设'!E1315*'管线假设'!F1315*'管线假设'!G1315*IF(E6137="USD",'管线假设'!I1315,1)-AM6137</x:f>
        <x:v>0</x:v>
      </x:c>
      <x:c r="M6137" s="11" t="n">
        <x:f>'管线假设'!H1315</x:f>
        <x:v>0.14</x:v>
      </x:c>
      <x:c r="N6137" s="11" t="n">
        <x:f>IF(G6137,L6137*AN6137/(1+M6137)^F6137,0)</x:f>
        <x:v>0</x:v>
      </x:c>
      <x:c r="AJ6137" t="n">
        <x:v>0</x:v>
      </x:c>
      <x:c r="AK6137" t="n">
        <x:v>0</x:v>
      </x:c>
      <x:c r="AL6137" t="n">
        <x:v>0</x:v>
      </x:c>
      <x:c r="AM6137" t="n">
        <x:f>CHOOSE('假设'!$B$3,AJ6137,AK6137,AL6137)</x:f>
        <x:v>0</x:v>
      </x:c>
      <x:c r="AN6137" t="n">
        <x:v>1</x:v>
      </x:c>
    </x:row>
    <x:row r="6138" ht="23" customHeight="1">
      <x:c r="A6138" s="11" t="str">
        <x:v>688062.SH</x:v>
      </x:c>
      <x:c r="B6138" s="11" t="str">
        <x:v>五年</x:v>
      </x:c>
      <x:c r="C6138" s="11" t="str">
        <x:v>b7h3</x:v>
      </x:c>
      <x:c r="D6138" s="11" t="str">
        <x:v>2030-12-31</x:v>
      </x:c>
      <x:c r="E6138" s="11" t="str">
        <x:v>CNY</x:v>
      </x:c>
      <x:c r="F6138" s="11" t="n">
        <x:v>-0.7720739219712526</x:v>
      </x:c>
      <x:c r="G6138" s="26" t="b">
        <x:v>0</x:v>
      </x:c>
      <x:c r="H6138" s="16" t="n">
        <x:v>0</x:v>
      </x:c>
      <x:c r="I6138" s="16" t="n">
        <x:v>0</x:v>
      </x:c>
      <x:c r="J6138" s="16" t="n">
        <x:v>1</x:v>
      </x:c>
      <x:c r="K6138" s="11" t="n">
        <x:f>CHOOSE('假设'!$B$3,H6138,I6138,J6138)</x:f>
        <x:v>0</x:v>
      </x:c>
      <x:c r="L6138" s="11" t="n">
        <x:f>K6138*'管线假设'!E1315*'管线假设'!F1315*'管线假设'!G1315*IF(E6138="USD",'管线假设'!I1315,1)-AM6138</x:f>
        <x:v>0</x:v>
      </x:c>
      <x:c r="M6138" s="11" t="n">
        <x:f>'管线假设'!H1315</x:f>
        <x:v>0.14</x:v>
      </x:c>
      <x:c r="N6138" s="11" t="n">
        <x:f>IF(G6138,L6138*AN6138/(1+M6138)^F6138,0)</x:f>
        <x:v>0</x:v>
      </x:c>
      <x:c r="AJ6138" t="n">
        <x:v>0</x:v>
      </x:c>
      <x:c r="AK6138" t="n">
        <x:v>0</x:v>
      </x:c>
      <x:c r="AL6138" t="n">
        <x:v>0</x:v>
      </x:c>
      <x:c r="AM6138" t="n">
        <x:f>CHOOSE('假设'!$B$3,AJ6138,AK6138,AL6138)</x:f>
        <x:v>0</x:v>
      </x:c>
      <x:c r="AN6138" t="n">
        <x:v>1</x:v>
      </x:c>
    </x:row>
    <x:row r="6139" ht="23" customHeight="1">
      <x:c r="A6139" s="11" t="str">
        <x:v>688062.SH</x:v>
      </x:c>
      <x:c r="B6139" s="11" t="str">
        <x:v>五年</x:v>
      </x:c>
      <x:c r="C6139" s="11" t="str">
        <x:v>b7h3</x:v>
      </x:c>
      <x:c r="D6139" s="11" t="str">
        <x:v>2031-12-31</x:v>
      </x:c>
      <x:c r="E6139" s="11" t="str">
        <x:v>CNY</x:v>
      </x:c>
      <x:c r="F6139" s="11" t="n">
        <x:v>0.2272416153319644</x:v>
      </x:c>
      <x:c r="G6139" s="26" t="b">
        <x:v>1</x:v>
      </x:c>
      <x:c r="H6139" s="16" t="n">
        <x:v>0</x:v>
      </x:c>
      <x:c r="I6139" s="16" t="n">
        <x:v>0.3</x:v>
      </x:c>
      <x:c r="J6139" s="16" t="n">
        <x:v>1.5</x:v>
      </x:c>
      <x:c r="K6139" s="11" t="n">
        <x:f>CHOOSE('假设'!$B$3,H6139,I6139,J6139)</x:f>
        <x:v>0.3</x:v>
      </x:c>
      <x:c r="L6139" s="11" t="n">
        <x:f>K6139*'管线假设'!E1315*'管线假设'!F1315*'管线假设'!G1315*IF(E6139="USD",'管线假设'!I1315,1)-AM6139</x:f>
        <x:v>0.039456</x:v>
      </x:c>
      <x:c r="M6139" s="11" t="n">
        <x:f>'管线假设'!H1315</x:f>
        <x:v>0.14</x:v>
      </x:c>
      <x:c r="N6139" s="11" t="n">
        <x:f>IF(G6139,L6139*AN6139/(1+M6139)^F6139,0)</x:f>
        <x:v>0.038298512334025175</x:v>
      </x:c>
      <x:c r="AJ6139" t="n">
        <x:v>0</x:v>
      </x:c>
      <x:c r="AK6139" t="n">
        <x:v>0</x:v>
      </x:c>
      <x:c r="AL6139" t="n">
        <x:v>0</x:v>
      </x:c>
      <x:c r="AM6139" t="n">
        <x:f>CHOOSE('假设'!$B$3,AJ6139,AK6139,AL6139)</x:f>
        <x:v>0</x:v>
      </x:c>
      <x:c r="AN6139" t="n">
        <x:v>1</x:v>
      </x:c>
    </x:row>
    <x:row r="6140" ht="23" customHeight="1">
      <x:c r="A6140" s="11" t="str">
        <x:v>688062.SH</x:v>
      </x:c>
      <x:c r="B6140" s="11" t="str">
        <x:v>五年</x:v>
      </x:c>
      <x:c r="C6140" s="11" t="str">
        <x:v>b7h3</x:v>
      </x:c>
      <x:c r="D6140" s="11" t="str">
        <x:v>2032-12-31</x:v>
      </x:c>
      <x:c r="E6140" s="11" t="str">
        <x:v>CNY</x:v>
      </x:c>
      <x:c r="F6140" s="11" t="n">
        <x:v>1.2292950034223136</x:v>
      </x:c>
      <x:c r="G6140" s="26" t="b">
        <x:v>1</x:v>
      </x:c>
      <x:c r="H6140" s="16" t="n">
        <x:v>0</x:v>
      </x:c>
      <x:c r="I6140" s="16" t="n">
        <x:v>0.6</x:v>
      </x:c>
      <x:c r="J6140" s="16" t="n">
        <x:v>2</x:v>
      </x:c>
      <x:c r="K6140" s="11" t="n">
        <x:f>CHOOSE('假设'!$B$3,H6140,I6140,J6140)</x:f>
        <x:v>0.6</x:v>
      </x:c>
      <x:c r="L6140" s="11" t="n">
        <x:f>K6140*'管线假设'!E1315*'管线假设'!F1315*'管线假设'!G1315*IF(E6140="USD",'管线假设'!I1315,1)-AM6140</x:f>
        <x:v>0.078912</x:v>
      </x:c>
      <x:c r="M6140" s="11" t="n">
        <x:f>'管线假设'!H1315</x:f>
        <x:v>0.14</x:v>
      </x:c>
      <x:c r="N6140" s="11" t="n">
        <x:f>IF(G6140,L6140*AN6140/(1+M6140)^F6140,0)</x:f>
        <x:v>0.06717229725192629</x:v>
      </x:c>
      <x:c r="AJ6140" t="n">
        <x:v>0</x:v>
      </x:c>
      <x:c r="AK6140" t="n">
        <x:v>0</x:v>
      </x:c>
      <x:c r="AL6140" t="n">
        <x:v>0</x:v>
      </x:c>
      <x:c r="AM6140" t="n">
        <x:f>CHOOSE('假设'!$B$3,AJ6140,AK6140,AL6140)</x:f>
        <x:v>0</x:v>
      </x:c>
      <x:c r="AN6140" t="n">
        <x:v>1</x:v>
      </x:c>
    </x:row>
    <x:row r="6141" ht="23" customHeight="1">
      <x:c r="A6141" s="11" t="str">
        <x:v>688062.SH</x:v>
      </x:c>
      <x:c r="B6141" s="11" t="str">
        <x:v>五年</x:v>
      </x:c>
      <x:c r="C6141" s="11" t="str">
        <x:v>b7h3</x:v>
      </x:c>
      <x:c r="D6141" s="11" t="str">
        <x:v>2033-12-31</x:v>
      </x:c>
      <x:c r="E6141" s="11" t="str">
        <x:v>CNY</x:v>
      </x:c>
      <x:c r="F6141" s="11" t="n">
        <x:v>2.2286105407255303</x:v>
      </x:c>
      <x:c r="G6141" s="26" t="b">
        <x:v>1</x:v>
      </x:c>
      <x:c r="H6141" s="16" t="n">
        <x:v>0</x:v>
      </x:c>
      <x:c r="I6141" s="16" t="n">
        <x:v>0.9</x:v>
      </x:c>
      <x:c r="J6141" s="16" t="n">
        <x:v>2.5</x:v>
      </x:c>
      <x:c r="K6141" s="11" t="n">
        <x:f>CHOOSE('假设'!$B$3,H6141,I6141,J6141)</x:f>
        <x:v>0.9</x:v>
      </x:c>
      <x:c r="L6141" s="11" t="n">
        <x:f>K6141*'管线假设'!E1315*'管线假设'!F1315*'管线假设'!G1315*IF(E6141="USD",'管线假设'!I1315,1)-AM6141</x:f>
        <x:v>0.118368</x:v>
      </x:c>
      <x:c r="M6141" s="11" t="n">
        <x:f>'管线假设'!H1315</x:f>
        <x:v>0.14</x:v>
      </x:c>
      <x:c r="N6141" s="11" t="n">
        <x:f>IF(G6141,L6141*AN6141/(1+M6141)^F6141,0)</x:f>
        <x:v>0.08839252868361809</x:v>
      </x:c>
      <x:c r="AJ6141" t="n">
        <x:v>0</x:v>
      </x:c>
      <x:c r="AK6141" t="n">
        <x:v>0</x:v>
      </x:c>
      <x:c r="AL6141" t="n">
        <x:v>0</x:v>
      </x:c>
      <x:c r="AM6141" t="n">
        <x:f>CHOOSE('假设'!$B$3,AJ6141,AK6141,AL6141)</x:f>
        <x:v>0</x:v>
      </x:c>
      <x:c r="AN6141" t="n">
        <x:v>1</x:v>
      </x:c>
    </x:row>
    <x:row r="6142" ht="23" customHeight="1">
      <x:c r="A6142" s="11" t="str">
        <x:v>688062.SH</x:v>
      </x:c>
      <x:c r="B6142" s="11" t="str">
        <x:v>五年</x:v>
      </x:c>
      <x:c r="C6142" s="11" t="str">
        <x:v>b7h3</x:v>
      </x:c>
      <x:c r="D6142" s="11" t="str">
        <x:v>2034-12-31</x:v>
      </x:c>
      <x:c r="E6142" s="11" t="str">
        <x:v>CNY</x:v>
      </x:c>
      <x:c r="F6142" s="11" t="n">
        <x:v>3.2279260780287475</x:v>
      </x:c>
      <x:c r="G6142" s="26" t="b">
        <x:v>1</x:v>
      </x:c>
      <x:c r="H6142" s="16" t="n">
        <x:v>0.13999999999999999</x:v>
      </x:c>
      <x:c r="I6142" s="16" t="n">
        <x:v>1.2</x:v>
      </x:c>
      <x:c r="J6142" s="16" t="n">
        <x:v>3</x:v>
      </x:c>
      <x:c r="K6142" s="11" t="n">
        <x:f>CHOOSE('假设'!$B$3,H6142,I6142,J6142)</x:f>
        <x:v>1.2</x:v>
      </x:c>
      <x:c r="L6142" s="11" t="n">
        <x:f>K6142*'管线假设'!E1315*'管线假设'!F1315*'管线假设'!G1315*IF(E6142="USD",'管线假设'!I1315,1)-AM6142</x:f>
        <x:v>0.157824</x:v>
      </x:c>
      <x:c r="M6142" s="11" t="n">
        <x:f>'管线假设'!H1315</x:f>
        <x:v>0.14</x:v>
      </x:c>
      <x:c r="N6142" s="11" t="n">
        <x:f>IF(G6142,L6142*AN6142/(1+M6142)^F6142,0)</x:f>
        <x:v>0.10339234670283579</x:v>
      </x:c>
      <x:c r="AJ6142" t="n">
        <x:v>0</x:v>
      </x:c>
      <x:c r="AK6142" t="n">
        <x:v>0</x:v>
      </x:c>
      <x:c r="AL6142" t="n">
        <x:v>0</x:v>
      </x:c>
      <x:c r="AM6142" t="n">
        <x:f>CHOOSE('假设'!$B$3,AJ6142,AK6142,AL6142)</x:f>
        <x:v>0</x:v>
      </x:c>
      <x:c r="AN6142" t="n">
        <x:v>1</x:v>
      </x:c>
    </x:row>
    <x:row r="6143" ht="23" customHeight="1">
      <x:c r="A6143" s="11" t="str">
        <x:v>688062.SH</x:v>
      </x:c>
      <x:c r="B6143" s="11" t="str">
        <x:v>五年</x:v>
      </x:c>
      <x:c r="C6143" s="11" t="str">
        <x:v>b7h3</x:v>
      </x:c>
      <x:c r="D6143" s="11" t="str">
        <x:v>2035-12-31</x:v>
      </x:c>
      <x:c r="E6143" s="11" t="str">
        <x:v>CNY</x:v>
      </x:c>
      <x:c r="F6143" s="11" t="n">
        <x:v>4.227241615331964</x:v>
      </x:c>
      <x:c r="G6143" s="26" t="b">
        <x:v>1</x:v>
      </x:c>
      <x:c r="H6143" s="16" t="n">
        <x:v>0.27999999999999997</x:v>
      </x:c>
      <x:c r="I6143" s="16" t="n">
        <x:v>1.5</x:v>
      </x:c>
      <x:c r="J6143" s="16" t="n">
        <x:v>2.61</x:v>
      </x:c>
      <x:c r="K6143" s="11" t="n">
        <x:f>CHOOSE('假设'!$B$3,H6143,I6143,J6143)</x:f>
        <x:v>1.5</x:v>
      </x:c>
      <x:c r="L6143" s="11" t="n">
        <x:f>K6143*'管线假设'!E1315*'管线假设'!F1315*'管线假设'!G1315*IF(E6143="USD",'管线假设'!I1315,1)-AM6143</x:f>
        <x:v>0.19727999999999998</x:v>
      </x:c>
      <x:c r="M6143" s="11" t="n">
        <x:f>'管线假设'!H1315</x:f>
        <x:v>0.14</x:v>
      </x:c>
      <x:c r="N6143" s="11" t="n">
        <x:f>IF(G6143,L6143*AN6143/(1+M6143)^F6143,0)</x:f>
        <x:v>0.11337896902797624</x:v>
      </x:c>
      <x:c r="AJ6143" t="n">
        <x:v>0</x:v>
      </x:c>
      <x:c r="AK6143" t="n">
        <x:v>0</x:v>
      </x:c>
      <x:c r="AL6143" t="n">
        <x:v>0</x:v>
      </x:c>
      <x:c r="AM6143" t="n">
        <x:f>CHOOSE('假设'!$B$3,AJ6143,AK6143,AL6143)</x:f>
        <x:v>0</x:v>
      </x:c>
      <x:c r="AN6143" t="n">
        <x:v>1</x:v>
      </x:c>
    </x:row>
    <x:row r="6144" ht="23" customHeight="1">
      <x:c r="A6144" s="11" t="str">
        <x:v>688062.SH</x:v>
      </x:c>
      <x:c r="B6144" s="11" t="str">
        <x:v>五年</x:v>
      </x:c>
      <x:c r="C6144" s="11" t="str">
        <x:v>b7h3</x:v>
      </x:c>
      <x:c r="D6144" s="11" t="str">
        <x:v>2036-12-31</x:v>
      </x:c>
      <x:c r="E6144" s="11" t="str">
        <x:v>CNY</x:v>
      </x:c>
      <x:c r="F6144" s="11" t="n">
        <x:v>5.229295003422314</x:v>
      </x:c>
      <x:c r="G6144" s="26" t="b">
        <x:v>1</x:v>
      </x:c>
      <x:c r="H6144" s="16" t="n">
        <x:v>0.42</x:v>
      </x:c>
      <x:c r="I6144" s="16" t="n">
        <x:v>1.8</x:v>
      </x:c>
      <x:c r="J6144" s="16" t="n">
        <x:v>2.2199999999999998</x:v>
      </x:c>
      <x:c r="K6144" s="11" t="n">
        <x:f>CHOOSE('假设'!$B$3,H6144,I6144,J6144)</x:f>
        <x:v>1.8</x:v>
      </x:c>
      <x:c r="L6144" s="11" t="n">
        <x:f>K6144*'管线假设'!E1315*'管线假设'!F1315*'管线假设'!G1315*IF(E6144="USD",'管线假设'!I1315,1)-AM6144</x:f>
        <x:v>0.236736</x:v>
      </x:c>
      <x:c r="M6144" s="11" t="n">
        <x:f>'管线假设'!H1315</x:f>
        <x:v>0.14</x:v>
      </x:c>
      <x:c r="N6144" s="11" t="n">
        <x:f>IF(G6144,L6144*AN6144/(1+M6144)^F6144,0)</x:f>
        <x:v>0.11931417716554</x:v>
      </x:c>
      <x:c r="AJ6144" t="n">
        <x:v>0</x:v>
      </x:c>
      <x:c r="AK6144" t="n">
        <x:v>0</x:v>
      </x:c>
      <x:c r="AL6144" t="n">
        <x:v>0</x:v>
      </x:c>
      <x:c r="AM6144" t="n">
        <x:f>CHOOSE('假设'!$B$3,AJ6144,AK6144,AL6144)</x:f>
        <x:v>0</x:v>
      </x:c>
      <x:c r="AN6144" t="n">
        <x:v>1</x:v>
      </x:c>
    </x:row>
    <x:row r="6145" ht="23" customHeight="1">
      <x:c r="A6145" s="11" t="str">
        <x:v>688062.SH</x:v>
      </x:c>
      <x:c r="B6145" s="11" t="str">
        <x:v>五年</x:v>
      </x:c>
      <x:c r="C6145" s="11" t="str">
        <x:v>b7h3</x:v>
      </x:c>
      <x:c r="D6145" s="11" t="str">
        <x:v>2037-12-31</x:v>
      </x:c>
      <x:c r="E6145" s="11" t="str">
        <x:v>CNY</x:v>
      </x:c>
      <x:c r="F6145" s="11" t="n">
        <x:v>6.228610540725531</x:v>
      </x:c>
      <x:c r="G6145" s="26" t="b">
        <x:v>1</x:v>
      </x:c>
      <x:c r="H6145" s="16" t="n">
        <x:v>0.5599999999999999</x:v>
      </x:c>
      <x:c r="I6145" s="16" t="n">
        <x:v>1.566</x:v>
      </x:c>
      <x:c r="J6145" s="16" t="n">
        <x:v>1.83</x:v>
      </x:c>
      <x:c r="K6145" s="11" t="n">
        <x:f>CHOOSE('假设'!$B$3,H6145,I6145,J6145)</x:f>
        <x:v>1.566</x:v>
      </x:c>
      <x:c r="L6145" s="11" t="n">
        <x:f>K6145*'管线假设'!E1315*'管线假设'!F1315*'管线假设'!G1315*IF(E6145="USD",'管线假设'!I1315,1)-AM6145</x:f>
        <x:v>0.20596032</x:v>
      </x:c>
      <x:c r="M6145" s="11" t="n">
        <x:f>'管线假设'!H1315</x:f>
        <x:v>0.14</x:v>
      </x:c>
      <x:c r="N6145" s="11" t="n">
        <x:f>IF(G6145,L6145*AN6145/(1+M6145)^F6145,0)</x:f>
        <x:v>0.0910637228467813</x:v>
      </x:c>
      <x:c r="AJ6145" t="n">
        <x:v>0</x:v>
      </x:c>
      <x:c r="AK6145" t="n">
        <x:v>0</x:v>
      </x:c>
      <x:c r="AL6145" t="n">
        <x:v>0</x:v>
      </x:c>
      <x:c r="AM6145" t="n">
        <x:f>CHOOSE('假设'!$B$3,AJ6145,AK6145,AL6145)</x:f>
        <x:v>0</x:v>
      </x:c>
      <x:c r="AN6145" t="n">
        <x:v>1</x:v>
      </x:c>
    </x:row>
    <x:row r="6146" ht="23" customHeight="1">
      <x:c r="A6146" s="11" t="str">
        <x:v>688062.SH</x:v>
      </x:c>
      <x:c r="B6146" s="11" t="str">
        <x:v>五年</x:v>
      </x:c>
      <x:c r="C6146" s="11" t="str">
        <x:v>b7h3</x:v>
      </x:c>
      <x:c r="D6146" s="11" t="str">
        <x:v>2038-12-31</x:v>
      </x:c>
      <x:c r="E6146" s="11" t="str">
        <x:v>CNY</x:v>
      </x:c>
      <x:c r="F6146" s="11" t="n">
        <x:v>7.227926078028747</x:v>
      </x:c>
      <x:c r="G6146" s="26" t="b">
        <x:v>1</x:v>
      </x:c>
      <x:c r="H6146" s="16" t="n">
        <x:v>0.7</x:v>
      </x:c>
      <x:c r="I6146" s="16" t="n">
        <x:v>1.332</x:v>
      </x:c>
      <x:c r="J6146" s="16" t="n">
        <x:v>1.44</x:v>
      </x:c>
      <x:c r="K6146" s="11" t="n">
        <x:f>CHOOSE('假设'!$B$3,H6146,I6146,J6146)</x:f>
        <x:v>1.332</x:v>
      </x:c>
      <x:c r="L6146" s="11" t="n">
        <x:f>K6146*'管线假设'!E1315*'管线假设'!F1315*'管线假设'!G1315*IF(E6146="USD",'管线假设'!I1315,1)-AM6146</x:f>
        <x:v>0.17518464</x:v>
      </x:c>
      <x:c r="M6146" s="11" t="n">
        <x:f>'管线假设'!H1315</x:f>
        <x:v>0.14</x:v>
      </x:c>
      <x:c r="N6146" s="11" t="n">
        <x:f>IF(G6146,L6146*AN6146/(1+M6146)^F6146,0)</x:f>
        <x:v>0.06795039193828449</x:v>
      </x:c>
      <x:c r="AJ6146" t="n">
        <x:v>0</x:v>
      </x:c>
      <x:c r="AK6146" t="n">
        <x:v>0</x:v>
      </x:c>
      <x:c r="AL6146" t="n">
        <x:v>0</x:v>
      </x:c>
      <x:c r="AM6146" t="n">
        <x:f>CHOOSE('假设'!$B$3,AJ6146,AK6146,AL6146)</x:f>
        <x:v>0</x:v>
      </x:c>
      <x:c r="AN6146" t="n">
        <x:v>1</x:v>
      </x:c>
    </x:row>
    <x:row r="6147" ht="23" customHeight="1">
      <x:c r="A6147" s="11" t="str">
        <x:v>688062.SH</x:v>
      </x:c>
      <x:c r="B6147" s="11" t="str">
        <x:v>五年</x:v>
      </x:c>
      <x:c r="C6147" s="11" t="str">
        <x:v>b7h3</x:v>
      </x:c>
      <x:c r="D6147" s="11" t="str">
        <x:v>2039-12-31</x:v>
      </x:c>
      <x:c r="E6147" s="11" t="str">
        <x:v>CNY</x:v>
      </x:c>
      <x:c r="F6147" s="11" t="n">
        <x:v>8.227241615331964</x:v>
      </x:c>
      <x:c r="G6147" s="26" t="b">
        <x:v>1</x:v>
      </x:c>
      <x:c r="H6147" s="16" t="n">
        <x:v>0.609</x:v>
      </x:c>
      <x:c r="I6147" s="16" t="n">
        <x:v>1.098</x:v>
      </x:c>
      <x:c r="J6147" s="16" t="n">
        <x:v>1.0499999999999998</x:v>
      </x:c>
      <x:c r="K6147" s="11" t="n">
        <x:f>CHOOSE('假设'!$B$3,H6147,I6147,J6147)</x:f>
        <x:v>1.098</x:v>
      </x:c>
      <x:c r="L6147" s="11" t="n">
        <x:f>K6147*'管线假设'!E1315*'管线假设'!F1315*'管线假设'!G1315*IF(E6147="USD",'管线假设'!I1315,1)-AM6147</x:f>
        <x:v>0.14440896</x:v>
      </x:c>
      <x:c r="M6147" s="11" t="n">
        <x:f>'管线假设'!H1315</x:f>
        <x:v>0.14</x:v>
      </x:c>
      <x:c r="N6147" s="11" t="n">
        <x:f>IF(G6147,L6147*AN6147/(1+M6147)^F6147,0)</x:f>
        <x:v>0.04913875844678218</x:v>
      </x:c>
      <x:c r="AJ6147" t="n">
        <x:v>0</x:v>
      </x:c>
      <x:c r="AK6147" t="n">
        <x:v>0</x:v>
      </x:c>
      <x:c r="AL6147" t="n">
        <x:v>0</x:v>
      </x:c>
      <x:c r="AM6147" t="n">
        <x:f>CHOOSE('假设'!$B$3,AJ6147,AK6147,AL6147)</x:f>
        <x:v>0</x:v>
      </x:c>
      <x:c r="AN6147" t="n">
        <x:v>1</x:v>
      </x:c>
    </x:row>
    <x:row r="6148" ht="23" customHeight="1">
      <x:c r="A6148" s="11" t="str">
        <x:v>688062.SH</x:v>
      </x:c>
      <x:c r="B6148" s="11" t="str">
        <x:v>五年</x:v>
      </x:c>
      <x:c r="C6148" s="11" t="str">
        <x:v>b7h3</x:v>
      </x:c>
      <x:c r="D6148" s="11" t="str">
        <x:v>2040-12-31</x:v>
      </x:c>
      <x:c r="E6148" s="11" t="str">
        <x:v>CNY</x:v>
      </x:c>
      <x:c r="F6148" s="11" t="n">
        <x:v>9.229295003422314</x:v>
      </x:c>
      <x:c r="G6148" s="26" t="b">
        <x:v>1</x:v>
      </x:c>
      <x:c r="H6148" s="16" t="n">
        <x:v>0.518</x:v>
      </x:c>
      <x:c r="I6148" s="16" t="n">
        <x:v>0.864</x:v>
      </x:c>
      <x:c r="J6148" s="16" t="n">
        <x:v>0.6599999999999999</x:v>
      </x:c>
      <x:c r="K6148" s="11" t="n">
        <x:f>CHOOSE('假设'!$B$3,H6148,I6148,J6148)</x:f>
        <x:v>0.864</x:v>
      </x:c>
      <x:c r="L6148" s="11" t="n">
        <x:f>K6148*'管线假设'!E1315*'管线假设'!F1315*'管线假设'!G1315*IF(E6148="USD",'管线假设'!I1315,1)-AM6148</x:f>
        <x:v>0.11363327999999999</x:v>
      </x:c>
      <x:c r="M6148" s="11" t="n">
        <x:f>'管线假设'!H1315</x:f>
        <x:v>0.14</x:v>
      </x:c>
      <x:c r="N6148" s="11" t="n">
        <x:f>IF(G6148,L6148*AN6148/(1+M6148)^F6148,0)</x:f>
        <x:v>0.033908914132977044</x:v>
      </x:c>
      <x:c r="AJ6148" t="n">
        <x:v>0</x:v>
      </x:c>
      <x:c r="AK6148" t="n">
        <x:v>0</x:v>
      </x:c>
      <x:c r="AL6148" t="n">
        <x:v>0</x:v>
      </x:c>
      <x:c r="AM6148" t="n">
        <x:f>CHOOSE('假设'!$B$3,AJ6148,AK6148,AL6148)</x:f>
        <x:v>0</x:v>
      </x:c>
      <x:c r="AN6148" t="n">
        <x:v>1</x:v>
      </x:c>
    </x:row>
    <x:row r="6149" ht="23" customHeight="1">
      <x:c r="A6149" s="11" t="str">
        <x:v>688062.SH</x:v>
      </x:c>
      <x:c r="B6149" s="11" t="str">
        <x:v>五年</x:v>
      </x:c>
      <x:c r="C6149" s="11" t="str">
        <x:v>b7h3</x:v>
      </x:c>
      <x:c r="D6149" s="11" t="str">
        <x:v>2041-12-31</x:v>
      </x:c>
      <x:c r="E6149" s="11" t="str">
        <x:v>CNY</x:v>
      </x:c>
      <x:c r="F6149" s="11" t="n">
        <x:v>10.22861054072553</x:v>
      </x:c>
      <x:c r="G6149" s="26" t="b">
        <x:v>1</x:v>
      </x:c>
      <x:c r="H6149" s="16" t="n">
        <x:v>0.427</x:v>
      </x:c>
      <x:c r="I6149" s="16" t="n">
        <x:v>0.63</x:v>
      </x:c>
      <x:c r="J6149" s="16" t="n">
        <x:v>0.2699999999999999</x:v>
      </x:c>
      <x:c r="K6149" s="11" t="n">
        <x:f>CHOOSE('假设'!$B$3,H6149,I6149,J6149)</x:f>
        <x:v>0.63</x:v>
      </x:c>
      <x:c r="L6149" s="11" t="n">
        <x:f>K6149*'管线假设'!E1315*'管线假设'!F1315*'管线假设'!G1315*IF(E6149="USD",'管线假设'!I1315,1)-AM6149</x:f>
        <x:v>0.08285759999999999</x:v>
      </x:c>
      <x:c r="M6149" s="11" t="n">
        <x:f>'管线假设'!H1315</x:f>
        <x:v>0.14</x:v>
      </x:c>
      <x:c r="N6149" s="11" t="n">
        <x:f>IF(G6149,L6149*AN6149/(1+M6149)^F6149,0)</x:f>
        <x:v>0.021690760917838524</x:v>
      </x:c>
      <x:c r="AJ6149" t="n">
        <x:v>0</x:v>
      </x:c>
      <x:c r="AK6149" t="n">
        <x:v>0</x:v>
      </x:c>
      <x:c r="AL6149" t="n">
        <x:v>0</x:v>
      </x:c>
      <x:c r="AM6149" t="n">
        <x:f>CHOOSE('假设'!$B$3,AJ6149,AK6149,AL6149)</x:f>
        <x:v>0</x:v>
      </x:c>
      <x:c r="AN6149" t="n">
        <x:v>1</x:v>
      </x:c>
    </x:row>
    <x:row r="6150" ht="23" customHeight="1">
      <x:c r="A6150" s="11" t="str">
        <x:v>688062.SH</x:v>
      </x:c>
      <x:c r="B6150" s="11" t="str">
        <x:v>五年</x:v>
      </x:c>
      <x:c r="C6150" s="11" t="str">
        <x:v>b7h3</x:v>
      </x:c>
      <x:c r="D6150" s="11" t="str">
        <x:v>2042-12-31</x:v>
      </x:c>
      <x:c r="E6150" s="11" t="str">
        <x:v>CNY</x:v>
      </x:c>
      <x:c r="F6150" s="11" t="n">
        <x:v>11.227926078028748</x:v>
      </x:c>
      <x:c r="G6150" s="26" t="b">
        <x:v>1</x:v>
      </x:c>
      <x:c r="H6150" s="16" t="n">
        <x:v>0.33599999999999997</x:v>
      </x:c>
      <x:c r="I6150" s="16" t="n">
        <x:v>0.39599999999999996</x:v>
      </x:c>
      <x:c r="J6150" s="16" t="n">
        <x:v>0</x:v>
      </x:c>
      <x:c r="K6150" s="11" t="n">
        <x:f>CHOOSE('假设'!$B$3,H6150,I6150,J6150)</x:f>
        <x:v>0.39599999999999996</x:v>
      </x:c>
      <x:c r="L6150" s="11" t="n">
        <x:f>K6150*'管线假设'!E1315*'管线假设'!F1315*'管线假设'!G1315*IF(E6150="USD",'管线假设'!I1315,1)-AM6150</x:f>
        <x:v>0.05208192</x:v>
      </x:c>
      <x:c r="M6150" s="11" t="n">
        <x:f>'管线假设'!H1315</x:f>
        <x:v>0.14</x:v>
      </x:c>
      <x:c r="N6150" s="11" t="n">
        <x:f>IF(G6150,L6150*AN6150/(1+M6150)^F6150,0)</x:f>
        <x:v>0.011960890701852923</x:v>
      </x:c>
      <x:c r="AJ6150" t="n">
        <x:v>0</x:v>
      </x:c>
      <x:c r="AK6150" t="n">
        <x:v>0</x:v>
      </x:c>
      <x:c r="AL6150" t="n">
        <x:v>0</x:v>
      </x:c>
      <x:c r="AM6150" t="n">
        <x:f>CHOOSE('假设'!$B$3,AJ6150,AK6150,AL6150)</x:f>
        <x:v>0</x:v>
      </x:c>
      <x:c r="AN6150" t="n">
        <x:v>1</x:v>
      </x:c>
    </x:row>
    <x:row r="6151" ht="23" customHeight="1">
      <x:c r="A6151" s="11" t="str">
        <x:v>688062.SH</x:v>
      </x:c>
      <x:c r="B6151" s="11" t="str">
        <x:v>五年</x:v>
      </x:c>
      <x:c r="C6151" s="11" t="str">
        <x:v>b7h3</x:v>
      </x:c>
      <x:c r="D6151" s="11" t="str">
        <x:v>2043-12-31</x:v>
      </x:c>
      <x:c r="E6151" s="11" t="str">
        <x:v>CNY</x:v>
      </x:c>
      <x:c r="F6151" s="11" t="n">
        <x:v>12.227241615331964</x:v>
      </x:c>
      <x:c r="G6151" s="26" t="b">
        <x:v>1</x:v>
      </x:c>
      <x:c r="H6151" s="16" t="n">
        <x:v>0.24499999999999997</x:v>
      </x:c>
      <x:c r="I6151" s="16" t="n">
        <x:v>0.16199999999999995</x:v>
      </x:c>
      <x:c r="J6151" s="16" t="n">
        <x:v>0</x:v>
      </x:c>
      <x:c r="K6151" s="11" t="n">
        <x:f>CHOOSE('假设'!$B$3,H6151,I6151,J6151)</x:f>
        <x:v>0.16199999999999995</x:v>
      </x:c>
      <x:c r="L6151" s="11" t="n">
        <x:f>K6151*'管线假设'!E1315*'管线假设'!F1315*'管线假设'!G1315*IF(E6151="USD",'管线假设'!I1315,1)-AM6151</x:f>
        <x:v>0.021306239999999994</x:v>
      </x:c>
      <x:c r="M6151" s="11" t="n">
        <x:f>'管线假设'!H1315</x:f>
        <x:v>0.14</x:v>
      </x:c>
      <x:c r="N6151" s="11" t="n">
        <x:f>IF(G6151,L6151*AN6151/(1+M6151)^F6151,0)</x:f>
        <x:v>0.004292570616019307</x:v>
      </x:c>
      <x:c r="AJ6151" t="n">
        <x:v>0</x:v>
      </x:c>
      <x:c r="AK6151" t="n">
        <x:v>0</x:v>
      </x:c>
      <x:c r="AL6151" t="n">
        <x:v>0</x:v>
      </x:c>
      <x:c r="AM6151" t="n">
        <x:f>CHOOSE('假设'!$B$3,AJ6151,AK6151,AL6151)</x:f>
        <x:v>0</x:v>
      </x:c>
      <x:c r="AN6151" t="n">
        <x:v>1</x:v>
      </x:c>
    </x:row>
    <x:row r="6152" ht="23" customHeight="1">
      <x:c r="A6152" s="11" t="str">
        <x:v>688062.SH</x:v>
      </x:c>
      <x:c r="B6152" s="11" t="str">
        <x:v>五年</x:v>
      </x:c>
      <x:c r="C6152" s="11" t="str">
        <x:v>b7h3</x:v>
      </x:c>
      <x:c r="D6152" s="11" t="str">
        <x:v>2044-12-31</x:v>
      </x:c>
      <x:c r="E6152" s="11" t="str">
        <x:v>CNY</x:v>
      </x:c>
      <x:c r="F6152" s="11" t="n">
        <x:v>13.229295003422314</x:v>
      </x:c>
      <x:c r="G6152" s="26" t="b">
        <x:v>1</x:v>
      </x:c>
      <x:c r="H6152" s="16" t="n">
        <x:v>0.15399999999999997</x:v>
      </x:c>
      <x:c r="I6152" s="16" t="n">
        <x:v>0</x:v>
      </x:c>
      <x:c r="J6152" s="16" t="n">
        <x:v>0</x:v>
      </x:c>
      <x:c r="K6152" s="11" t="n">
        <x:f>CHOOSE('假设'!$B$3,H6152,I6152,J6152)</x:f>
        <x:v>0</x:v>
      </x:c>
      <x:c r="L6152" s="11" t="n">
        <x:f>K6152*'管线假设'!E1315*'管线假设'!F1315*'管线假设'!G1315*IF(E6152="USD",'管线假设'!I1315,1)-AM6152</x:f>
        <x:v>0</x:v>
      </x:c>
      <x:c r="M6152" s="11" t="n">
        <x:f>'管线假设'!H1315</x:f>
        <x:v>0.14</x:v>
      </x:c>
      <x:c r="N6152" s="11" t="n">
        <x:f>IF(G6152,L6152*AN6152/(1+M6152)^F6152,0)</x:f>
        <x:v>0</x:v>
      </x:c>
      <x:c r="AJ6152" t="n">
        <x:v>0</x:v>
      </x:c>
      <x:c r="AK6152" t="n">
        <x:v>0</x:v>
      </x:c>
      <x:c r="AL6152" t="n">
        <x:v>0</x:v>
      </x:c>
      <x:c r="AM6152" t="n">
        <x:f>CHOOSE('假设'!$B$3,AJ6152,AK6152,AL6152)</x:f>
        <x:v>0</x:v>
      </x:c>
      <x:c r="AN6152" t="n">
        <x:v>1</x:v>
      </x:c>
    </x:row>
    <x:row r="6153" ht="23" customHeight="1">
      <x:c r="A6153" s="11" t="str">
        <x:v>688062.SH</x:v>
      </x:c>
      <x:c r="B6153" s="11" t="str">
        <x:v>五年</x:v>
      </x:c>
      <x:c r="C6153" s="11" t="str">
        <x:v>b7h3</x:v>
      </x:c>
      <x:c r="D6153" s="11" t="str">
        <x:v>2045-12-31</x:v>
      </x:c>
      <x:c r="E6153" s="11" t="str">
        <x:v>CNY</x:v>
      </x:c>
      <x:c r="F6153" s="11" t="n">
        <x:v>14.22861054072553</x:v>
      </x:c>
      <x:c r="G6153" s="26" t="b">
        <x:v>1</x:v>
      </x:c>
      <x:c r="H6153" s="16" t="n">
        <x:v>0.06299999999999997</x:v>
      </x:c>
      <x:c r="I6153" s="16" t="n">
        <x:v>0</x:v>
      </x:c>
      <x:c r="J6153" s="16" t="n">
        <x:v>0</x:v>
      </x:c>
      <x:c r="K6153" s="11" t="n">
        <x:f>CHOOSE('假设'!$B$3,H6153,I6153,J6153)</x:f>
        <x:v>0</x:v>
      </x:c>
      <x:c r="L6153" s="11" t="n">
        <x:f>K6153*'管线假设'!E1315*'管线假设'!F1315*'管线假设'!G1315*IF(E6153="USD",'管线假设'!I1315,1)-AM6153</x:f>
        <x:v>0</x:v>
      </x:c>
      <x:c r="M6153" s="11" t="n">
        <x:f>'管线假设'!H1315</x:f>
        <x:v>0.14</x:v>
      </x:c>
      <x:c r="N6153" s="11" t="n">
        <x:f>IF(G6153,L6153*AN6153/(1+M6153)^F6153,0)</x:f>
        <x:v>0</x:v>
      </x:c>
      <x:c r="AJ6153" t="n">
        <x:v>0</x:v>
      </x:c>
      <x:c r="AK6153" t="n">
        <x:v>0</x:v>
      </x:c>
      <x:c r="AL6153" t="n">
        <x:v>0</x:v>
      </x:c>
      <x:c r="AM6153" t="n">
        <x:f>CHOOSE('假设'!$B$3,AJ6153,AK6153,AL6153)</x:f>
        <x:v>0</x:v>
      </x:c>
      <x:c r="AN6153" t="n">
        <x:v>1</x:v>
      </x:c>
    </x:row>
    <x:row r="6154" ht="23" customHeight="1">
      <x:c r="A6154" s="11" t="str">
        <x:v>688062.SH</x:v>
      </x:c>
      <x:c r="B6154" s="11" t="str">
        <x:v>五年</x:v>
      </x:c>
      <x:c r="C6154" s="11" t="str">
        <x:v>cdh17</x:v>
      </x:c>
      <x:c r="D6154" s="11" t="str">
        <x:v>2027-12-31</x:v>
      </x:c>
      <x:c r="E6154" s="11" t="str">
        <x:v>CNY</x:v>
      </x:c>
      <x:c r="F6154" s="11" t="n">
        <x:v>-3.7727583846680357</x:v>
      </x:c>
      <x:c r="G6154" s="26" t="b">
        <x:v>0</x:v>
      </x:c>
      <x:c r="H6154" s="16" t="n">
        <x:v>0</x:v>
      </x:c>
      <x:c r="I6154" s="16" t="n">
        <x:v>0</x:v>
      </x:c>
      <x:c r="J6154" s="16" t="n">
        <x:v>0</x:v>
      </x:c>
      <x:c r="K6154" s="11" t="n">
        <x:f>CHOOSE('假设'!$B$3,H6154,I6154,J6154)</x:f>
        <x:v>0</x:v>
      </x:c>
      <x:c r="L6154" s="11" t="n">
        <x:f>K6154*'管线假设'!E1319*'管线假设'!F1319*'管线假设'!G1319*IF(E6154="USD",'管线假设'!I1319,1)-AM6154</x:f>
        <x:v>0</x:v>
      </x:c>
      <x:c r="M6154" s="11" t="n">
        <x:f>'管线假设'!H1319</x:f>
        <x:v>0.14</x:v>
      </x:c>
      <x:c r="N6154" s="11" t="n">
        <x:f>IF(G6154,L6154*AN6154/(1+M6154)^F6154,0)</x:f>
        <x:v>0</x:v>
      </x:c>
      <x:c r="AJ6154" t="n">
        <x:v>0</x:v>
      </x:c>
      <x:c r="AK6154" t="n">
        <x:v>0</x:v>
      </x:c>
      <x:c r="AL6154" t="n">
        <x:v>0</x:v>
      </x:c>
      <x:c r="AM6154" t="n">
        <x:f>CHOOSE('假设'!$B$3,AJ6154,AK6154,AL6154)</x:f>
        <x:v>0</x:v>
      </x:c>
      <x:c r="AN6154" t="n">
        <x:v>1</x:v>
      </x:c>
    </x:row>
    <x:row r="6155" ht="23" customHeight="1">
      <x:c r="A6155" s="11" t="str">
        <x:v>688062.SH</x:v>
      </x:c>
      <x:c r="B6155" s="11" t="str">
        <x:v>五年</x:v>
      </x:c>
      <x:c r="C6155" s="11" t="str">
        <x:v>cdh17</x:v>
      </x:c>
      <x:c r="D6155" s="11" t="str">
        <x:v>2028-12-31</x:v>
      </x:c>
      <x:c r="E6155" s="11" t="str">
        <x:v>CNY</x:v>
      </x:c>
      <x:c r="F6155" s="11" t="n">
        <x:v>-2.7707049965776864</x:v>
      </x:c>
      <x:c r="G6155" s="26" t="b">
        <x:v>0</x:v>
      </x:c>
      <x:c r="H6155" s="16" t="n">
        <x:v>0</x:v>
      </x:c>
      <x:c r="I6155" s="16" t="n">
        <x:v>0</x:v>
      </x:c>
      <x:c r="J6155" s="16" t="n">
        <x:v>0</x:v>
      </x:c>
      <x:c r="K6155" s="11" t="n">
        <x:f>CHOOSE('假设'!$B$3,H6155,I6155,J6155)</x:f>
        <x:v>0</x:v>
      </x:c>
      <x:c r="L6155" s="11" t="n">
        <x:f>K6155*'管线假设'!E1319*'管线假设'!F1319*'管线假设'!G1319*IF(E6155="USD",'管线假设'!I1319,1)-AM6155</x:f>
        <x:v>0</x:v>
      </x:c>
      <x:c r="M6155" s="11" t="n">
        <x:f>'管线假设'!H1319</x:f>
        <x:v>0.14</x:v>
      </x:c>
      <x:c r="N6155" s="11" t="n">
        <x:f>IF(G6155,L6155*AN6155/(1+M6155)^F6155,0)</x:f>
        <x:v>0</x:v>
      </x:c>
      <x:c r="AJ6155" t="n">
        <x:v>0</x:v>
      </x:c>
      <x:c r="AK6155" t="n">
        <x:v>0</x:v>
      </x:c>
      <x:c r="AL6155" t="n">
        <x:v>0</x:v>
      </x:c>
      <x:c r="AM6155" t="n">
        <x:f>CHOOSE('假设'!$B$3,AJ6155,AK6155,AL6155)</x:f>
        <x:v>0</x:v>
      </x:c>
      <x:c r="AN6155" t="n">
        <x:v>1</x:v>
      </x:c>
    </x:row>
    <x:row r="6156" ht="23" customHeight="1">
      <x:c r="A6156" s="11" t="str">
        <x:v>688062.SH</x:v>
      </x:c>
      <x:c r="B6156" s="11" t="str">
        <x:v>五年</x:v>
      </x:c>
      <x:c r="C6156" s="11" t="str">
        <x:v>cdh17</x:v>
      </x:c>
      <x:c r="D6156" s="11" t="str">
        <x:v>2029-12-31</x:v>
      </x:c>
      <x:c r="E6156" s="11" t="str">
        <x:v>CNY</x:v>
      </x:c>
      <x:c r="F6156" s="11" t="n">
        <x:v>-1.7713894592744694</x:v>
      </x:c>
      <x:c r="G6156" s="26" t="b">
        <x:v>0</x:v>
      </x:c>
      <x:c r="H6156" s="16" t="n">
        <x:v>0</x:v>
      </x:c>
      <x:c r="I6156" s="16" t="n">
        <x:v>0</x:v>
      </x:c>
      <x:c r="J6156" s="16" t="n">
        <x:v>0</x:v>
      </x:c>
      <x:c r="K6156" s="11" t="n">
        <x:f>CHOOSE('假设'!$B$3,H6156,I6156,J6156)</x:f>
        <x:v>0</x:v>
      </x:c>
      <x:c r="L6156" s="11" t="n">
        <x:f>K6156*'管线假设'!E1319*'管线假设'!F1319*'管线假设'!G1319*IF(E6156="USD",'管线假设'!I1319,1)-AM6156</x:f>
        <x:v>0</x:v>
      </x:c>
      <x:c r="M6156" s="11" t="n">
        <x:f>'管线假设'!H1319</x:f>
        <x:v>0.14</x:v>
      </x:c>
      <x:c r="N6156" s="11" t="n">
        <x:f>IF(G6156,L6156*AN6156/(1+M6156)^F6156,0)</x:f>
        <x:v>0</x:v>
      </x:c>
      <x:c r="AJ6156" t="n">
        <x:v>0</x:v>
      </x:c>
      <x:c r="AK6156" t="n">
        <x:v>0</x:v>
      </x:c>
      <x:c r="AL6156" t="n">
        <x:v>0</x:v>
      </x:c>
      <x:c r="AM6156" t="n">
        <x:f>CHOOSE('假设'!$B$3,AJ6156,AK6156,AL6156)</x:f>
        <x:v>0</x:v>
      </x:c>
      <x:c r="AN6156" t="n">
        <x:v>1</x:v>
      </x:c>
    </x:row>
    <x:row r="6157" ht="23" customHeight="1">
      <x:c r="A6157" s="11" t="str">
        <x:v>688062.SH</x:v>
      </x:c>
      <x:c r="B6157" s="11" t="str">
        <x:v>五年</x:v>
      </x:c>
      <x:c r="C6157" s="11" t="str">
        <x:v>cdh17</x:v>
      </x:c>
      <x:c r="D6157" s="11" t="str">
        <x:v>2030-12-31</x:v>
      </x:c>
      <x:c r="E6157" s="11" t="str">
        <x:v>CNY</x:v>
      </x:c>
      <x:c r="F6157" s="11" t="n">
        <x:v>-0.7720739219712526</x:v>
      </x:c>
      <x:c r="G6157" s="26" t="b">
        <x:v>0</x:v>
      </x:c>
      <x:c r="H6157" s="16" t="n">
        <x:v>0</x:v>
      </x:c>
      <x:c r="I6157" s="16" t="n">
        <x:v>0</x:v>
      </x:c>
      <x:c r="J6157" s="16" t="n">
        <x:v>0</x:v>
      </x:c>
      <x:c r="K6157" s="11" t="n">
        <x:f>CHOOSE('假设'!$B$3,H6157,I6157,J6157)</x:f>
        <x:v>0</x:v>
      </x:c>
      <x:c r="L6157" s="11" t="n">
        <x:f>K6157*'管线假设'!E1319*'管线假设'!F1319*'管线假设'!G1319*IF(E6157="USD",'管线假设'!I1319,1)-AM6157</x:f>
        <x:v>0</x:v>
      </x:c>
      <x:c r="M6157" s="11" t="n">
        <x:f>'管线假设'!H1319</x:f>
        <x:v>0.14</x:v>
      </x:c>
      <x:c r="N6157" s="11" t="n">
        <x:f>IF(G6157,L6157*AN6157/(1+M6157)^F6157,0)</x:f>
        <x:v>0</x:v>
      </x:c>
      <x:c r="AJ6157" t="n">
        <x:v>0</x:v>
      </x:c>
      <x:c r="AK6157" t="n">
        <x:v>0</x:v>
      </x:c>
      <x:c r="AL6157" t="n">
        <x:v>0</x:v>
      </x:c>
      <x:c r="AM6157" t="n">
        <x:f>CHOOSE('假设'!$B$3,AJ6157,AK6157,AL6157)</x:f>
        <x:v>0</x:v>
      </x:c>
      <x:c r="AN6157" t="n">
        <x:v>1</x:v>
      </x:c>
    </x:row>
    <x:row r="6158" ht="23" customHeight="1">
      <x:c r="A6158" s="11" t="str">
        <x:v>688062.SH</x:v>
      </x:c>
      <x:c r="B6158" s="11" t="str">
        <x:v>五年</x:v>
      </x:c>
      <x:c r="C6158" s="11" t="str">
        <x:v>cdh17</x:v>
      </x:c>
      <x:c r="D6158" s="11" t="str">
        <x:v>2031-12-31</x:v>
      </x:c>
      <x:c r="E6158" s="11" t="str">
        <x:v>CNY</x:v>
      </x:c>
      <x:c r="F6158" s="11" t="n">
        <x:v>0.2272416153319644</x:v>
      </x:c>
      <x:c r="G6158" s="26" t="b">
        <x:v>1</x:v>
      </x:c>
      <x:c r="H6158" s="16" t="n">
        <x:v>0</x:v>
      </x:c>
      <x:c r="I6158" s="16" t="n">
        <x:v>0</x:v>
      </x:c>
      <x:c r="J6158" s="16" t="n">
        <x:v>0.6000000000000001</x:v>
      </x:c>
      <x:c r="K6158" s="11" t="n">
        <x:f>CHOOSE('假设'!$B$3,H6158,I6158,J6158)</x:f>
        <x:v>0</x:v>
      </x:c>
      <x:c r="L6158" s="11" t="n">
        <x:f>K6158*'管线假设'!E1319*'管线假设'!F1319*'管线假设'!G1319*IF(E6158="USD",'管线假设'!I1319,1)-AM6158</x:f>
        <x:v>0</x:v>
      </x:c>
      <x:c r="M6158" s="11" t="n">
        <x:f>'管线假设'!H1319</x:f>
        <x:v>0.14</x:v>
      </x:c>
      <x:c r="N6158" s="11" t="n">
        <x:f>IF(G6158,L6158*AN6158/(1+M6158)^F6158,0)</x:f>
        <x:v>0</x:v>
      </x:c>
      <x:c r="AJ6158" t="n">
        <x:v>0</x:v>
      </x:c>
      <x:c r="AK6158" t="n">
        <x:v>0</x:v>
      </x:c>
      <x:c r="AL6158" t="n">
        <x:v>0</x:v>
      </x:c>
      <x:c r="AM6158" t="n">
        <x:f>CHOOSE('假设'!$B$3,AJ6158,AK6158,AL6158)</x:f>
        <x:v>0</x:v>
      </x:c>
      <x:c r="AN6158" t="n">
        <x:v>1</x:v>
      </x:c>
    </x:row>
    <x:row r="6159" ht="23" customHeight="1">
      <x:c r="A6159" s="11" t="str">
        <x:v>688062.SH</x:v>
      </x:c>
      <x:c r="B6159" s="11" t="str">
        <x:v>五年</x:v>
      </x:c>
      <x:c r="C6159" s="11" t="str">
        <x:v>cdh17</x:v>
      </x:c>
      <x:c r="D6159" s="11" t="str">
        <x:v>2032-12-31</x:v>
      </x:c>
      <x:c r="E6159" s="11" t="str">
        <x:v>CNY</x:v>
      </x:c>
      <x:c r="F6159" s="11" t="n">
        <x:v>1.2292950034223136</x:v>
      </x:c>
      <x:c r="G6159" s="26" t="b">
        <x:v>1</x:v>
      </x:c>
      <x:c r="H6159" s="16" t="n">
        <x:v>0</x:v>
      </x:c>
      <x:c r="I6159" s="16" t="n">
        <x:v>0</x:v>
      </x:c>
      <x:c r="J6159" s="16" t="n">
        <x:v>1.2000000000000002</x:v>
      </x:c>
      <x:c r="K6159" s="11" t="n">
        <x:f>CHOOSE('假设'!$B$3,H6159,I6159,J6159)</x:f>
        <x:v>0</x:v>
      </x:c>
      <x:c r="L6159" s="11" t="n">
        <x:f>K6159*'管线假设'!E1319*'管线假设'!F1319*'管线假设'!G1319*IF(E6159="USD",'管线假设'!I1319,1)-AM6159</x:f>
        <x:v>0</x:v>
      </x:c>
      <x:c r="M6159" s="11" t="n">
        <x:f>'管线假设'!H1319</x:f>
        <x:v>0.14</x:v>
      </x:c>
      <x:c r="N6159" s="11" t="n">
        <x:f>IF(G6159,L6159*AN6159/(1+M6159)^F6159,0)</x:f>
        <x:v>0</x:v>
      </x:c>
      <x:c r="AJ6159" t="n">
        <x:v>0</x:v>
      </x:c>
      <x:c r="AK6159" t="n">
        <x:v>0</x:v>
      </x:c>
      <x:c r="AL6159" t="n">
        <x:v>0</x:v>
      </x:c>
      <x:c r="AM6159" t="n">
        <x:f>CHOOSE('假设'!$B$3,AJ6159,AK6159,AL6159)</x:f>
        <x:v>0</x:v>
      </x:c>
      <x:c r="AN6159" t="n">
        <x:v>1</x:v>
      </x:c>
    </x:row>
    <x:row r="6160" ht="23" customHeight="1">
      <x:c r="A6160" s="11" t="str">
        <x:v>688062.SH</x:v>
      </x:c>
      <x:c r="B6160" s="11" t="str">
        <x:v>五年</x:v>
      </x:c>
      <x:c r="C6160" s="11" t="str">
        <x:v>cdh17</x:v>
      </x:c>
      <x:c r="D6160" s="11" t="str">
        <x:v>2033-12-31</x:v>
      </x:c>
      <x:c r="E6160" s="11" t="str">
        <x:v>CNY</x:v>
      </x:c>
      <x:c r="F6160" s="11" t="n">
        <x:v>2.2286105407255303</x:v>
      </x:c>
      <x:c r="G6160" s="26" t="b">
        <x:v>1</x:v>
      </x:c>
      <x:c r="H6160" s="16" t="n">
        <x:v>0</x:v>
      </x:c>
      <x:c r="I6160" s="16" t="n">
        <x:v>0.30000000000000004</x:v>
      </x:c>
      <x:c r="J6160" s="16" t="n">
        <x:v>1.7999999999999998</x:v>
      </x:c>
      <x:c r="K6160" s="11" t="n">
        <x:f>CHOOSE('假设'!$B$3,H6160,I6160,J6160)</x:f>
        <x:v>0.30000000000000004</x:v>
      </x:c>
      <x:c r="L6160" s="11" t="n">
        <x:f>K6160*'管线假设'!E1319*'管线假设'!F1319*'管线假设'!G1319*IF(E6160="USD",'管线假设'!I1319,1)-AM6160</x:f>
        <x:v>0.03168</x:v>
      </x:c>
      <x:c r="M6160" s="11" t="n">
        <x:f>'管线假设'!H1319</x:f>
        <x:v>0.14</x:v>
      </x:c>
      <x:c r="N6160" s="11" t="n">
        <x:f>IF(G6160,L6160*AN6160/(1+M6160)^F6160,0)</x:f>
        <x:v>0.023657367774204355</x:v>
      </x:c>
      <x:c r="AJ6160" t="n">
        <x:v>0</x:v>
      </x:c>
      <x:c r="AK6160" t="n">
        <x:v>0</x:v>
      </x:c>
      <x:c r="AL6160" t="n">
        <x:v>0</x:v>
      </x:c>
      <x:c r="AM6160" t="n">
        <x:f>CHOOSE('假设'!$B$3,AJ6160,AK6160,AL6160)</x:f>
        <x:v>0</x:v>
      </x:c>
      <x:c r="AN6160" t="n">
        <x:v>1</x:v>
      </x:c>
    </x:row>
    <x:row r="6161" ht="23" customHeight="1">
      <x:c r="A6161" s="11" t="str">
        <x:v>688062.SH</x:v>
      </x:c>
      <x:c r="B6161" s="11" t="str">
        <x:v>五年</x:v>
      </x:c>
      <x:c r="C6161" s="11" t="str">
        <x:v>cdh17</x:v>
      </x:c>
      <x:c r="D6161" s="11" t="str">
        <x:v>2034-12-31</x:v>
      </x:c>
      <x:c r="E6161" s="11" t="str">
        <x:v>CNY</x:v>
      </x:c>
      <x:c r="F6161" s="11" t="n">
        <x:v>3.2279260780287475</x:v>
      </x:c>
      <x:c r="G6161" s="26" t="b">
        <x:v>1</x:v>
      </x:c>
      <x:c r="H6161" s="16" t="n">
        <x:v>0</x:v>
      </x:c>
      <x:c r="I6161" s="16" t="n">
        <x:v>0.6000000000000001</x:v>
      </x:c>
      <x:c r="J6161" s="16" t="n">
        <x:v>2.4000000000000004</x:v>
      </x:c>
      <x:c r="K6161" s="11" t="n">
        <x:f>CHOOSE('假设'!$B$3,H6161,I6161,J6161)</x:f>
        <x:v>0.6000000000000001</x:v>
      </x:c>
      <x:c r="L6161" s="11" t="n">
        <x:f>K6161*'管线假设'!E1319*'管线假设'!F1319*'管线假设'!G1319*IF(E6161="USD",'管线假设'!I1319,1)-AM6161</x:f>
        <x:v>0.06336</x:v>
      </x:c>
      <x:c r="M6161" s="11" t="n">
        <x:f>'管线假设'!H1319</x:f>
        <x:v>0.14</x:v>
      </x:c>
      <x:c r="N6161" s="11" t="n">
        <x:f>IF(G6161,L6161*AN6161/(1+M6161)^F6161,0)</x:f>
        <x:v>0.041507876413547216</x:v>
      </x:c>
      <x:c r="AJ6161" t="n">
        <x:v>0</x:v>
      </x:c>
      <x:c r="AK6161" t="n">
        <x:v>0</x:v>
      </x:c>
      <x:c r="AL6161" t="n">
        <x:v>0</x:v>
      </x:c>
      <x:c r="AM6161" t="n">
        <x:f>CHOOSE('假设'!$B$3,AJ6161,AK6161,AL6161)</x:f>
        <x:v>0</x:v>
      </x:c>
      <x:c r="AN6161" t="n">
        <x:v>1</x:v>
      </x:c>
    </x:row>
    <x:row r="6162" ht="23" customHeight="1">
      <x:c r="A6162" s="11" t="str">
        <x:v>688062.SH</x:v>
      </x:c>
      <x:c r="B6162" s="11" t="str">
        <x:v>五年</x:v>
      </x:c>
      <x:c r="C6162" s="11" t="str">
        <x:v>cdh17</x:v>
      </x:c>
      <x:c r="D6162" s="11" t="str">
        <x:v>2035-12-31</x:v>
      </x:c>
      <x:c r="E6162" s="11" t="str">
        <x:v>CNY</x:v>
      </x:c>
      <x:c r="F6162" s="11" t="n">
        <x:v>4.227241615331964</x:v>
      </x:c>
      <x:c r="G6162" s="26" t="b">
        <x:v>1</x:v>
      </x:c>
      <x:c r="H6162" s="16" t="n">
        <x:v>0.1</x:v>
      </x:c>
      <x:c r="I6162" s="16" t="n">
        <x:v>0.8999999999999999</x:v>
      </x:c>
      <x:c r="J6162" s="16" t="n">
        <x:v>3</x:v>
      </x:c>
      <x:c r="K6162" s="11" t="n">
        <x:f>CHOOSE('假设'!$B$3,H6162,I6162,J6162)</x:f>
        <x:v>0.8999999999999999</x:v>
      </x:c>
      <x:c r="L6162" s="11" t="n">
        <x:f>K6162*'管线假设'!E1319*'管线假设'!F1319*'管线假设'!G1319*IF(E6162="USD",'管线假设'!I1319,1)-AM6162</x:f>
        <x:v>0.09503999999999999</x:v>
      </x:c>
      <x:c r="M6162" s="11" t="n">
        <x:f>'管线假设'!H1319</x:f>
        <x:v>0.14</x:v>
      </x:c>
      <x:c r="N6162" s="11" t="n">
        <x:f>IF(G6162,L6162*AN6162/(1+M6162)^F6162,0)</x:f>
        <x:v>0.05462052522515643</x:v>
      </x:c>
      <x:c r="AJ6162" t="n">
        <x:v>0</x:v>
      </x:c>
      <x:c r="AK6162" t="n">
        <x:v>0</x:v>
      </x:c>
      <x:c r="AL6162" t="n">
        <x:v>0</x:v>
      </x:c>
      <x:c r="AM6162" t="n">
        <x:f>CHOOSE('假设'!$B$3,AJ6162,AK6162,AL6162)</x:f>
        <x:v>0</x:v>
      </x:c>
      <x:c r="AN6162" t="n">
        <x:v>1</x:v>
      </x:c>
    </x:row>
    <x:row r="6163" ht="23" customHeight="1">
      <x:c r="A6163" s="11" t="str">
        <x:v>688062.SH</x:v>
      </x:c>
      <x:c r="B6163" s="11" t="str">
        <x:v>五年</x:v>
      </x:c>
      <x:c r="C6163" s="11" t="str">
        <x:v>cdh17</x:v>
      </x:c>
      <x:c r="D6163" s="11" t="str">
        <x:v>2036-12-31</x:v>
      </x:c>
      <x:c r="E6163" s="11" t="str">
        <x:v>CNY</x:v>
      </x:c>
      <x:c r="F6163" s="11" t="n">
        <x:v>5.229295003422314</x:v>
      </x:c>
      <x:c r="G6163" s="26" t="b">
        <x:v>1</x:v>
      </x:c>
      <x:c r="H6163" s="16" t="n">
        <x:v>0.2</x:v>
      </x:c>
      <x:c r="I6163" s="16" t="n">
        <x:v>1.2000000000000002</x:v>
      </x:c>
      <x:c r="J6163" s="16" t="n">
        <x:v>2.61</x:v>
      </x:c>
      <x:c r="K6163" s="11" t="n">
        <x:f>CHOOSE('假设'!$B$3,H6163,I6163,J6163)</x:f>
        <x:v>1.2000000000000002</x:v>
      </x:c>
      <x:c r="L6163" s="11" t="n">
        <x:f>K6163*'管线假设'!E1319*'管线假设'!F1319*'管线假设'!G1319*IF(E6163="USD",'管线假设'!I1319,1)-AM6163</x:f>
        <x:v>0.12672</x:v>
      </x:c>
      <x:c r="M6163" s="11" t="n">
        <x:f>'管线假设'!H1319</x:f>
        <x:v>0.14</x:v>
      </x:c>
      <x:c r="N6163" s="11" t="n">
        <x:f>IF(G6163,L6163*AN6163/(1+M6163)^F6163,0)</x:f>
        <x:v>0.06386646952899952</x:v>
      </x:c>
      <x:c r="AJ6163" t="n">
        <x:v>0</x:v>
      </x:c>
      <x:c r="AK6163" t="n">
        <x:v>0</x:v>
      </x:c>
      <x:c r="AL6163" t="n">
        <x:v>0</x:v>
      </x:c>
      <x:c r="AM6163" t="n">
        <x:f>CHOOSE('假设'!$B$3,AJ6163,AK6163,AL6163)</x:f>
        <x:v>0</x:v>
      </x:c>
      <x:c r="AN6163" t="n">
        <x:v>1</x:v>
      </x:c>
    </x:row>
    <x:row r="6164" ht="23" customHeight="1">
      <x:c r="A6164" s="11" t="str">
        <x:v>688062.SH</x:v>
      </x:c>
      <x:c r="B6164" s="11" t="str">
        <x:v>五年</x:v>
      </x:c>
      <x:c r="C6164" s="11" t="str">
        <x:v>cdh17</x:v>
      </x:c>
      <x:c r="D6164" s="11" t="str">
        <x:v>2037-12-31</x:v>
      </x:c>
      <x:c r="E6164" s="11" t="str">
        <x:v>CNY</x:v>
      </x:c>
      <x:c r="F6164" s="11" t="n">
        <x:v>6.228610540725531</x:v>
      </x:c>
      <x:c r="G6164" s="26" t="b">
        <x:v>1</x:v>
      </x:c>
      <x:c r="H6164" s="16" t="n">
        <x:v>0.3</x:v>
      </x:c>
      <x:c r="I6164" s="16" t="n">
        <x:v>1.5</x:v>
      </x:c>
      <x:c r="J6164" s="16" t="n">
        <x:v>2.2199999999999998</x:v>
      </x:c>
      <x:c r="K6164" s="11" t="n">
        <x:f>CHOOSE('假设'!$B$3,H6164,I6164,J6164)</x:f>
        <x:v>1.5</x:v>
      </x:c>
      <x:c r="L6164" s="11" t="n">
        <x:f>K6164*'管线假设'!E1319*'管线假设'!F1319*'管线假设'!G1319*IF(E6164="USD",'管线假设'!I1319,1)-AM6164</x:f>
        <x:v>0.1584</x:v>
      </x:c>
      <x:c r="M6164" s="11" t="n">
        <x:f>'管线假设'!H1319</x:f>
        <x:v>0.14</x:v>
      </x:c>
      <x:c r="N6164" s="11" t="n">
        <x:f>IF(G6164,L6164*AN6164/(1+M6164)^F6164,0)</x:f>
        <x:v>0.07003530436799749</x:v>
      </x:c>
      <x:c r="AJ6164" t="n">
        <x:v>0</x:v>
      </x:c>
      <x:c r="AK6164" t="n">
        <x:v>0</x:v>
      </x:c>
      <x:c r="AL6164" t="n">
        <x:v>0</x:v>
      </x:c>
      <x:c r="AM6164" t="n">
        <x:f>CHOOSE('假设'!$B$3,AJ6164,AK6164,AL6164)</x:f>
        <x:v>0</x:v>
      </x:c>
      <x:c r="AN6164" t="n">
        <x:v>1</x:v>
      </x:c>
    </x:row>
    <x:row r="6165" ht="23" customHeight="1">
      <x:c r="A6165" s="11" t="str">
        <x:v>688062.SH</x:v>
      </x:c>
      <x:c r="B6165" s="11" t="str">
        <x:v>五年</x:v>
      </x:c>
      <x:c r="C6165" s="11" t="str">
        <x:v>cdh17</x:v>
      </x:c>
      <x:c r="D6165" s="11" t="str">
        <x:v>2038-12-31</x:v>
      </x:c>
      <x:c r="E6165" s="11" t="str">
        <x:v>CNY</x:v>
      </x:c>
      <x:c r="F6165" s="11" t="n">
        <x:v>7.227926078028747</x:v>
      </x:c>
      <x:c r="G6165" s="26" t="b">
        <x:v>1</x:v>
      </x:c>
      <x:c r="H6165" s="16" t="n">
        <x:v>0.4</x:v>
      </x:c>
      <x:c r="I6165" s="16" t="n">
        <x:v>1.305</x:v>
      </x:c>
      <x:c r="J6165" s="16" t="n">
        <x:v>1.83</x:v>
      </x:c>
      <x:c r="K6165" s="11" t="n">
        <x:f>CHOOSE('假设'!$B$3,H6165,I6165,J6165)</x:f>
        <x:v>1.305</x:v>
      </x:c>
      <x:c r="L6165" s="11" t="n">
        <x:f>K6165*'管线假设'!E1319*'管线假设'!F1319*'管线假设'!G1319*IF(E6165="USD",'管线假设'!I1319,1)-AM6165</x:f>
        <x:v>0.13780799999999999</x:v>
      </x:c>
      <x:c r="M6165" s="11" t="n">
        <x:f>'管线假设'!H1319</x:f>
        <x:v>0.14</x:v>
      </x:c>
      <x:c r="N6165" s="11" t="n">
        <x:f>IF(G6165,L6165*AN6165/(1+M6165)^F6165,0)</x:f>
        <x:v>0.05345278908145776</x:v>
      </x:c>
      <x:c r="AJ6165" t="n">
        <x:v>0</x:v>
      </x:c>
      <x:c r="AK6165" t="n">
        <x:v>0</x:v>
      </x:c>
      <x:c r="AL6165" t="n">
        <x:v>0</x:v>
      </x:c>
      <x:c r="AM6165" t="n">
        <x:f>CHOOSE('假设'!$B$3,AJ6165,AK6165,AL6165)</x:f>
        <x:v>0</x:v>
      </x:c>
      <x:c r="AN6165" t="n">
        <x:v>1</x:v>
      </x:c>
    </x:row>
    <x:row r="6166" ht="23" customHeight="1">
      <x:c r="A6166" s="11" t="str">
        <x:v>688062.SH</x:v>
      </x:c>
      <x:c r="B6166" s="11" t="str">
        <x:v>五年</x:v>
      </x:c>
      <x:c r="C6166" s="11" t="str">
        <x:v>cdh17</x:v>
      </x:c>
      <x:c r="D6166" s="11" t="str">
        <x:v>2039-12-31</x:v>
      </x:c>
      <x:c r="E6166" s="11" t="str">
        <x:v>CNY</x:v>
      </x:c>
      <x:c r="F6166" s="11" t="n">
        <x:v>8.227241615331964</x:v>
      </x:c>
      <x:c r="G6166" s="26" t="b">
        <x:v>1</x:v>
      </x:c>
      <x:c r="H6166" s="16" t="n">
        <x:v>0.5</x:v>
      </x:c>
      <x:c r="I6166" s="16" t="n">
        <x:v>1.1099999999999999</x:v>
      </x:c>
      <x:c r="J6166" s="16" t="n">
        <x:v>1.44</x:v>
      </x:c>
      <x:c r="K6166" s="11" t="n">
        <x:f>CHOOSE('假设'!$B$3,H6166,I6166,J6166)</x:f>
        <x:v>1.1099999999999999</x:v>
      </x:c>
      <x:c r="L6166" s="11" t="n">
        <x:f>K6166*'管线假设'!E1319*'管线假设'!F1319*'管线假设'!G1319*IF(E6166="USD",'管线假设'!I1319,1)-AM6166</x:f>
        <x:v>0.11721599999999999</x:v>
      </x:c>
      <x:c r="M6166" s="11" t="n">
        <x:f>'管线假设'!H1319</x:f>
        <x:v>0.14</x:v>
      </x:c>
      <x:c r="N6166" s="11" t="n">
        <x:f>IF(G6166,L6166*AN6166/(1+M6166)^F6166,0)</x:f>
        <x:v>0.039885674061346466</x:v>
      </x:c>
      <x:c r="AJ6166" t="n">
        <x:v>0</x:v>
      </x:c>
      <x:c r="AK6166" t="n">
        <x:v>0</x:v>
      </x:c>
      <x:c r="AL6166" t="n">
        <x:v>0</x:v>
      </x:c>
      <x:c r="AM6166" t="n">
        <x:f>CHOOSE('假设'!$B$3,AJ6166,AK6166,AL6166)</x:f>
        <x:v>0</x:v>
      </x:c>
      <x:c r="AN6166" t="n">
        <x:v>1</x:v>
      </x:c>
    </x:row>
    <x:row r="6167" ht="23" customHeight="1">
      <x:c r="A6167" s="11" t="str">
        <x:v>688062.SH</x:v>
      </x:c>
      <x:c r="B6167" s="11" t="str">
        <x:v>五年</x:v>
      </x:c>
      <x:c r="C6167" s="11" t="str">
        <x:v>cdh17</x:v>
      </x:c>
      <x:c r="D6167" s="11" t="str">
        <x:v>2040-12-31</x:v>
      </x:c>
      <x:c r="E6167" s="11" t="str">
        <x:v>CNY</x:v>
      </x:c>
      <x:c r="F6167" s="11" t="n">
        <x:v>9.229295003422314</x:v>
      </x:c>
      <x:c r="G6167" s="26" t="b">
        <x:v>1</x:v>
      </x:c>
      <x:c r="H6167" s="16" t="n">
        <x:v>0.435</x:v>
      </x:c>
      <x:c r="I6167" s="16" t="n">
        <x:v>0.915</x:v>
      </x:c>
      <x:c r="J6167" s="16" t="n">
        <x:v>1.0499999999999998</x:v>
      </x:c>
      <x:c r="K6167" s="11" t="n">
        <x:f>CHOOSE('假设'!$B$3,H6167,I6167,J6167)</x:f>
        <x:v>0.915</x:v>
      </x:c>
      <x:c r="L6167" s="11" t="n">
        <x:f>K6167*'管线假设'!E1319*'管线假设'!F1319*'管线假设'!G1319*IF(E6167="USD",'管线假设'!I1319,1)-AM6167</x:f>
        <x:v>0.09662399999999999</x:v>
      </x:c>
      <x:c r="M6167" s="11" t="n">
        <x:f>'管线假设'!H1319</x:f>
        <x:v>0.14</x:v>
      </x:c>
      <x:c r="N6167" s="11" t="n">
        <x:f>IF(G6167,L6167*AN6167/(1+M6167)^F6167,0)</x:f>
        <x:v>0.028833233707455896</x:v>
      </x:c>
      <x:c r="AJ6167" t="n">
        <x:v>0</x:v>
      </x:c>
      <x:c r="AK6167" t="n">
        <x:v>0</x:v>
      </x:c>
      <x:c r="AL6167" t="n">
        <x:v>0</x:v>
      </x:c>
      <x:c r="AM6167" t="n">
        <x:f>CHOOSE('假设'!$B$3,AJ6167,AK6167,AL6167)</x:f>
        <x:v>0</x:v>
      </x:c>
      <x:c r="AN6167" t="n">
        <x:v>1</x:v>
      </x:c>
    </x:row>
    <x:row r="6168" ht="23" customHeight="1">
      <x:c r="A6168" s="11" t="str">
        <x:v>688062.SH</x:v>
      </x:c>
      <x:c r="B6168" s="11" t="str">
        <x:v>五年</x:v>
      </x:c>
      <x:c r="C6168" s="11" t="str">
        <x:v>cdh17</x:v>
      </x:c>
      <x:c r="D6168" s="11" t="str">
        <x:v>2041-12-31</x:v>
      </x:c>
      <x:c r="E6168" s="11" t="str">
        <x:v>CNY</x:v>
      </x:c>
      <x:c r="F6168" s="11" t="n">
        <x:v>10.22861054072553</x:v>
      </x:c>
      <x:c r="G6168" s="26" t="b">
        <x:v>1</x:v>
      </x:c>
      <x:c r="H6168" s="16" t="n">
        <x:v>0.37</x:v>
      </x:c>
      <x:c r="I6168" s="16" t="n">
        <x:v>0.72</x:v>
      </x:c>
      <x:c r="J6168" s="16" t="n">
        <x:v>0.6599999999999999</x:v>
      </x:c>
      <x:c r="K6168" s="11" t="n">
        <x:f>CHOOSE('假设'!$B$3,H6168,I6168,J6168)</x:f>
        <x:v>0.72</x:v>
      </x:c>
      <x:c r="L6168" s="11" t="n">
        <x:f>K6168*'管线假设'!E1319*'管线假设'!F1319*'管线假设'!G1319*IF(E6168="USD",'管线假设'!I1319,1)-AM6168</x:f>
        <x:v>0.076032</x:v>
      </x:c>
      <x:c r="M6168" s="11" t="n">
        <x:f>'管线假设'!H1319</x:f>
        <x:v>0.14</x:v>
      </x:c>
      <x:c r="N6168" s="11" t="n">
        <x:f>IF(G6168,L6168*AN6168/(1+M6168)^F6168,0)</x:f>
        <x:v>0.019903930769236605</x:v>
      </x:c>
      <x:c r="AJ6168" t="n">
        <x:v>0</x:v>
      </x:c>
      <x:c r="AK6168" t="n">
        <x:v>0</x:v>
      </x:c>
      <x:c r="AL6168" t="n">
        <x:v>0</x:v>
      </x:c>
      <x:c r="AM6168" t="n">
        <x:f>CHOOSE('假设'!$B$3,AJ6168,AK6168,AL6168)</x:f>
        <x:v>0</x:v>
      </x:c>
      <x:c r="AN6168" t="n">
        <x:v>1</x:v>
      </x:c>
    </x:row>
    <x:row r="6169" ht="23" customHeight="1">
      <x:c r="A6169" s="11" t="str">
        <x:v>688062.SH</x:v>
      </x:c>
      <x:c r="B6169" s="11" t="str">
        <x:v>五年</x:v>
      </x:c>
      <x:c r="C6169" s="11" t="str">
        <x:v>cdh17</x:v>
      </x:c>
      <x:c r="D6169" s="11" t="str">
        <x:v>2042-12-31</x:v>
      </x:c>
      <x:c r="E6169" s="11" t="str">
        <x:v>CNY</x:v>
      </x:c>
      <x:c r="F6169" s="11" t="n">
        <x:v>11.227926078028748</x:v>
      </x:c>
      <x:c r="G6169" s="26" t="b">
        <x:v>1</x:v>
      </x:c>
      <x:c r="H6169" s="16" t="n">
        <x:v>0.305</x:v>
      </x:c>
      <x:c r="I6169" s="16" t="n">
        <x:v>0.5249999999999999</x:v>
      </x:c>
      <x:c r="J6169" s="16" t="n">
        <x:v>0.2699999999999999</x:v>
      </x:c>
      <x:c r="K6169" s="11" t="n">
        <x:f>CHOOSE('假设'!$B$3,H6169,I6169,J6169)</x:f>
        <x:v>0.5249999999999999</x:v>
      </x:c>
      <x:c r="L6169" s="11" t="n">
        <x:f>K6169*'管线假设'!E1319*'管线假设'!F1319*'管线假设'!G1319*IF(E6169="USD",'管线假设'!I1319,1)-AM6169</x:f>
        <x:v>0.05543999999999999</x:v>
      </x:c>
      <x:c r="M6169" s="11" t="n">
        <x:f>'管线假设'!H1319</x:f>
        <x:v>0.14</x:v>
      </x:c>
      <x:c r="N6169" s="11" t="n">
        <x:f>IF(G6169,L6169*AN6169/(1+M6169)^F6169,0)</x:f>
        <x:v>0.012732091683845871</x:v>
      </x:c>
      <x:c r="AJ6169" t="n">
        <x:v>0</x:v>
      </x:c>
      <x:c r="AK6169" t="n">
        <x:v>0</x:v>
      </x:c>
      <x:c r="AL6169" t="n">
        <x:v>0</x:v>
      </x:c>
      <x:c r="AM6169" t="n">
        <x:f>CHOOSE('假设'!$B$3,AJ6169,AK6169,AL6169)</x:f>
        <x:v>0</x:v>
      </x:c>
      <x:c r="AN6169" t="n">
        <x:v>1</x:v>
      </x:c>
    </x:row>
    <x:row r="6170" ht="23" customHeight="1">
      <x:c r="A6170" s="11" t="str">
        <x:v>688062.SH</x:v>
      </x:c>
      <x:c r="B6170" s="11" t="str">
        <x:v>五年</x:v>
      </x:c>
      <x:c r="C6170" s="11" t="str">
        <x:v>cdh17</x:v>
      </x:c>
      <x:c r="D6170" s="11" t="str">
        <x:v>2043-12-31</x:v>
      </x:c>
      <x:c r="E6170" s="11" t="str">
        <x:v>CNY</x:v>
      </x:c>
      <x:c r="F6170" s="11" t="n">
        <x:v>12.227241615331964</x:v>
      </x:c>
      <x:c r="G6170" s="26" t="b">
        <x:v>1</x:v>
      </x:c>
      <x:c r="H6170" s="16" t="n">
        <x:v>0.24</x:v>
      </x:c>
      <x:c r="I6170" s="16" t="n">
        <x:v>0.32999999999999996</x:v>
      </x:c>
      <x:c r="J6170" s="16" t="n">
        <x:v>0</x:v>
      </x:c>
      <x:c r="K6170" s="11" t="n">
        <x:f>CHOOSE('假设'!$B$3,H6170,I6170,J6170)</x:f>
        <x:v>0.32999999999999996</x:v>
      </x:c>
      <x:c r="L6170" s="11" t="n">
        <x:f>K6170*'管线假设'!E1319*'管线假设'!F1319*'管线假设'!G1319*IF(E6170="USD",'管线假设'!I1319,1)-AM6170</x:f>
        <x:v>0.034848</x:v>
      </x:c>
      <x:c r="M6170" s="11" t="n">
        <x:f>'管线假设'!H1319</x:f>
        <x:v>0.14</x:v>
      </x:c>
      <x:c r="N6170" s="11" t="n">
        <x:f>IF(G6170,L6170*AN6170/(1+M6170)^F6170,0)</x:f>
        <x:v>0.007020830556073753</x:v>
      </x:c>
      <x:c r="AJ6170" t="n">
        <x:v>0</x:v>
      </x:c>
      <x:c r="AK6170" t="n">
        <x:v>0</x:v>
      </x:c>
      <x:c r="AL6170" t="n">
        <x:v>0</x:v>
      </x:c>
      <x:c r="AM6170" t="n">
        <x:f>CHOOSE('假设'!$B$3,AJ6170,AK6170,AL6170)</x:f>
        <x:v>0</x:v>
      </x:c>
      <x:c r="AN6170" t="n">
        <x:v>1</x:v>
      </x:c>
    </x:row>
    <x:row r="6171" ht="23" customHeight="1">
      <x:c r="A6171" s="11" t="str">
        <x:v>688062.SH</x:v>
      </x:c>
      <x:c r="B6171" s="11" t="str">
        <x:v>五年</x:v>
      </x:c>
      <x:c r="C6171" s="11" t="str">
        <x:v>cdh17</x:v>
      </x:c>
      <x:c r="D6171" s="11" t="str">
        <x:v>2044-12-31</x:v>
      </x:c>
      <x:c r="E6171" s="11" t="str">
        <x:v>CNY</x:v>
      </x:c>
      <x:c r="F6171" s="11" t="n">
        <x:v>13.229295003422314</x:v>
      </x:c>
      <x:c r="G6171" s="26" t="b">
        <x:v>1</x:v>
      </x:c>
      <x:c r="H6171" s="16" t="n">
        <x:v>0.175</x:v>
      </x:c>
      <x:c r="I6171" s="16" t="n">
        <x:v>0.13499999999999995</x:v>
      </x:c>
      <x:c r="J6171" s="16" t="n">
        <x:v>0</x:v>
      </x:c>
      <x:c r="K6171" s="11" t="n">
        <x:f>CHOOSE('假设'!$B$3,H6171,I6171,J6171)</x:f>
        <x:v>0.13499999999999995</x:v>
      </x:c>
      <x:c r="L6171" s="11" t="n">
        <x:f>K6171*'管线假设'!E1319*'管线假设'!F1319*'管线假设'!G1319*IF(E6171="USD",'管线假设'!I1319,1)-AM6171</x:f>
        <x:v>0.014255999999999993</x:v>
      </x:c>
      <x:c r="M6171" s="11" t="n">
        <x:f>'管线假设'!H1319</x:f>
        <x:v>0.14</x:v>
      </x:c>
      <x:c r="N6171" s="11" t="n">
        <x:f>IF(G6171,L6171*AN6171/(1+M6171)^F6171,0)</x:f>
        <x:v>0.0025187590344083574</x:v>
      </x:c>
      <x:c r="AJ6171" t="n">
        <x:v>0</x:v>
      </x:c>
      <x:c r="AK6171" t="n">
        <x:v>0</x:v>
      </x:c>
      <x:c r="AL6171" t="n">
        <x:v>0</x:v>
      </x:c>
      <x:c r="AM6171" t="n">
        <x:f>CHOOSE('假设'!$B$3,AJ6171,AK6171,AL6171)</x:f>
        <x:v>0</x:v>
      </x:c>
      <x:c r="AN6171" t="n">
        <x:v>1</x:v>
      </x:c>
    </x:row>
    <x:row r="6172" ht="23" customHeight="1">
      <x:c r="A6172" s="11" t="str">
        <x:v>688062.SH</x:v>
      </x:c>
      <x:c r="B6172" s="11" t="str">
        <x:v>五年</x:v>
      </x:c>
      <x:c r="C6172" s="11" t="str">
        <x:v>cdh17</x:v>
      </x:c>
      <x:c r="D6172" s="11" t="str">
        <x:v>2045-12-31</x:v>
      </x:c>
      <x:c r="E6172" s="11" t="str">
        <x:v>CNY</x:v>
      </x:c>
      <x:c r="F6172" s="11" t="n">
        <x:v>14.22861054072553</x:v>
      </x:c>
      <x:c r="G6172" s="26" t="b">
        <x:v>1</x:v>
      </x:c>
      <x:c r="H6172" s="16" t="n">
        <x:v>0.10999999999999999</x:v>
      </x:c>
      <x:c r="I6172" s="16" t="n">
        <x:v>0</x:v>
      </x:c>
      <x:c r="J6172" s="16" t="n">
        <x:v>0</x:v>
      </x:c>
      <x:c r="K6172" s="11" t="n">
        <x:f>CHOOSE('假设'!$B$3,H6172,I6172,J6172)</x:f>
        <x:v>0</x:v>
      </x:c>
      <x:c r="L6172" s="11" t="n">
        <x:f>K6172*'管线假设'!E1319*'管线假设'!F1319*'管线假设'!G1319*IF(E6172="USD",'管线假设'!I1319,1)-AM6172</x:f>
        <x:v>0</x:v>
      </x:c>
      <x:c r="M6172" s="11" t="n">
        <x:f>'管线假设'!H1319</x:f>
        <x:v>0.14</x:v>
      </x:c>
      <x:c r="N6172" s="11" t="n">
        <x:f>IF(G6172,L6172*AN6172/(1+M6172)^F6172,0)</x:f>
        <x:v>0</x:v>
      </x:c>
      <x:c r="AJ6172" t="n">
        <x:v>0</x:v>
      </x:c>
      <x:c r="AK6172" t="n">
        <x:v>0</x:v>
      </x:c>
      <x:c r="AL6172" t="n">
        <x:v>0</x:v>
      </x:c>
      <x:c r="AM6172" t="n">
        <x:f>CHOOSE('假设'!$B$3,AJ6172,AK6172,AL6172)</x:f>
        <x:v>0</x:v>
      </x:c>
      <x:c r="AN6172" t="n">
        <x:v>1</x:v>
      </x:c>
    </x:row>
    <x:row r="6173" ht="23" customHeight="1">
      <x:c r="A6173" s="11" t="str">
        <x:v>688062.SH</x:v>
      </x:c>
      <x:c r="B6173" s="11" t="str">
        <x:v>五年</x:v>
      </x:c>
      <x:c r="C6173" s="11" t="str">
        <x:v>st2</x:v>
      </x:c>
      <x:c r="D6173" s="11" t="str">
        <x:v>2027-12-31</x:v>
      </x:c>
      <x:c r="E6173" s="11" t="str">
        <x:v>CNY</x:v>
      </x:c>
      <x:c r="F6173" s="11" t="n">
        <x:v>-3.7727583846680357</x:v>
      </x:c>
      <x:c r="G6173" s="26" t="b">
        <x:v>0</x:v>
      </x:c>
      <x:c r="H6173" s="16" t="n">
        <x:v>0</x:v>
      </x:c>
      <x:c r="I6173" s="16" t="n">
        <x:v>0</x:v>
      </x:c>
      <x:c r="J6173" s="16" t="n">
        <x:v>0</x:v>
      </x:c>
      <x:c r="K6173" s="11" t="n">
        <x:f>CHOOSE('假设'!$B$3,H6173,I6173,J6173)</x:f>
        <x:v>0</x:v>
      </x:c>
      <x:c r="L6173" s="11" t="n">
        <x:f>K6173*'管线假设'!E1323*'管线假设'!F1323*'管线假设'!G1323*IF(E6173="USD",'管线假设'!I1323,1)-AM6173</x:f>
        <x:v>0</x:v>
      </x:c>
      <x:c r="M6173" s="11" t="n">
        <x:f>'管线假设'!H1323</x:f>
        <x:v>0.14</x:v>
      </x:c>
      <x:c r="N6173" s="11" t="n">
        <x:f>IF(G6173,L6173*AN6173/(1+M6173)^F6173,0)</x:f>
        <x:v>0</x:v>
      </x:c>
      <x:c r="AJ6173" t="n">
        <x:v>0</x:v>
      </x:c>
      <x:c r="AK6173" t="n">
        <x:v>0</x:v>
      </x:c>
      <x:c r="AL6173" t="n">
        <x:v>0</x:v>
      </x:c>
      <x:c r="AM6173" t="n">
        <x:f>CHOOSE('假设'!$B$3,AJ6173,AK6173,AL6173)</x:f>
        <x:v>0</x:v>
      </x:c>
      <x:c r="AN6173" t="n">
        <x:v>1</x:v>
      </x:c>
    </x:row>
    <x:row r="6174" ht="23" customHeight="1">
      <x:c r="A6174" s="11" t="str">
        <x:v>688062.SH</x:v>
      </x:c>
      <x:c r="B6174" s="11" t="str">
        <x:v>五年</x:v>
      </x:c>
      <x:c r="C6174" s="11" t="str">
        <x:v>st2</x:v>
      </x:c>
      <x:c r="D6174" s="11" t="str">
        <x:v>2028-12-31</x:v>
      </x:c>
      <x:c r="E6174" s="11" t="str">
        <x:v>CNY</x:v>
      </x:c>
      <x:c r="F6174" s="11" t="n">
        <x:v>-2.7707049965776864</x:v>
      </x:c>
      <x:c r="G6174" s="26" t="b">
        <x:v>0</x:v>
      </x:c>
      <x:c r="H6174" s="16" t="n">
        <x:v>0</x:v>
      </x:c>
      <x:c r="I6174" s="16" t="n">
        <x:v>0</x:v>
      </x:c>
      <x:c r="J6174" s="16" t="n">
        <x:v>0</x:v>
      </x:c>
      <x:c r="K6174" s="11" t="n">
        <x:f>CHOOSE('假设'!$B$3,H6174,I6174,J6174)</x:f>
        <x:v>0</x:v>
      </x:c>
      <x:c r="L6174" s="11" t="n">
        <x:f>K6174*'管线假设'!E1323*'管线假设'!F1323*'管线假设'!G1323*IF(E6174="USD",'管线假设'!I1323,1)-AM6174</x:f>
        <x:v>0</x:v>
      </x:c>
      <x:c r="M6174" s="11" t="n">
        <x:f>'管线假设'!H1323</x:f>
        <x:v>0.14</x:v>
      </x:c>
      <x:c r="N6174" s="11" t="n">
        <x:f>IF(G6174,L6174*AN6174/(1+M6174)^F6174,0)</x:f>
        <x:v>0</x:v>
      </x:c>
      <x:c r="AJ6174" t="n">
        <x:v>0</x:v>
      </x:c>
      <x:c r="AK6174" t="n">
        <x:v>0</x:v>
      </x:c>
      <x:c r="AL6174" t="n">
        <x:v>0</x:v>
      </x:c>
      <x:c r="AM6174" t="n">
        <x:f>CHOOSE('假设'!$B$3,AJ6174,AK6174,AL6174)</x:f>
        <x:v>0</x:v>
      </x:c>
      <x:c r="AN6174" t="n">
        <x:v>1</x:v>
      </x:c>
    </x:row>
    <x:row r="6175" ht="23" customHeight="1">
      <x:c r="A6175" s="11" t="str">
        <x:v>688062.SH</x:v>
      </x:c>
      <x:c r="B6175" s="11" t="str">
        <x:v>五年</x:v>
      </x:c>
      <x:c r="C6175" s="11" t="str">
        <x:v>st2</x:v>
      </x:c>
      <x:c r="D6175" s="11" t="str">
        <x:v>2029-12-31</x:v>
      </x:c>
      <x:c r="E6175" s="11" t="str">
        <x:v>CNY</x:v>
      </x:c>
      <x:c r="F6175" s="11" t="n">
        <x:v>-1.7713894592744694</x:v>
      </x:c>
      <x:c r="G6175" s="26" t="b">
        <x:v>0</x:v>
      </x:c>
      <x:c r="H6175" s="16" t="n">
        <x:v>0</x:v>
      </x:c>
      <x:c r="I6175" s="16" t="n">
        <x:v>0</x:v>
      </x:c>
      <x:c r="J6175" s="16" t="n">
        <x:v>0.5833333333333333</x:v>
      </x:c>
      <x:c r="K6175" s="11" t="n">
        <x:f>CHOOSE('假设'!$B$3,H6175,I6175,J6175)</x:f>
        <x:v>0</x:v>
      </x:c>
      <x:c r="L6175" s="11" t="n">
        <x:f>K6175*'管线假设'!E1323*'管线假设'!F1323*'管线假设'!G1323*IF(E6175="USD",'管线假设'!I1323,1)-AM6175</x:f>
        <x:v>0</x:v>
      </x:c>
      <x:c r="M6175" s="11" t="n">
        <x:f>'管线假设'!H1323</x:f>
        <x:v>0.14</x:v>
      </x:c>
      <x:c r="N6175" s="11" t="n">
        <x:f>IF(G6175,L6175*AN6175/(1+M6175)^F6175,0)</x:f>
        <x:v>0</x:v>
      </x:c>
      <x:c r="AJ6175" t="n">
        <x:v>0</x:v>
      </x:c>
      <x:c r="AK6175" t="n">
        <x:v>0</x:v>
      </x:c>
      <x:c r="AL6175" t="n">
        <x:v>0</x:v>
      </x:c>
      <x:c r="AM6175" t="n">
        <x:f>CHOOSE('假设'!$B$3,AJ6175,AK6175,AL6175)</x:f>
        <x:v>0</x:v>
      </x:c>
      <x:c r="AN6175" t="n">
        <x:v>1</x:v>
      </x:c>
    </x:row>
    <x:row r="6176" ht="23" customHeight="1">
      <x:c r="A6176" s="11" t="str">
        <x:v>688062.SH</x:v>
      </x:c>
      <x:c r="B6176" s="11" t="str">
        <x:v>五年</x:v>
      </x:c>
      <x:c r="C6176" s="11" t="str">
        <x:v>st2</x:v>
      </x:c>
      <x:c r="D6176" s="11" t="str">
        <x:v>2030-12-31</x:v>
      </x:c>
      <x:c r="E6176" s="11" t="str">
        <x:v>CNY</x:v>
      </x:c>
      <x:c r="F6176" s="11" t="n">
        <x:v>-0.7720739219712526</x:v>
      </x:c>
      <x:c r="G6176" s="26" t="b">
        <x:v>0</x:v>
      </x:c>
      <x:c r="H6176" s="16" t="n">
        <x:v>0</x:v>
      </x:c>
      <x:c r="I6176" s="16" t="n">
        <x:v>0</x:v>
      </x:c>
      <x:c r="J6176" s="16" t="n">
        <x:v>1.1666666666666665</x:v>
      </x:c>
      <x:c r="K6176" s="11" t="n">
        <x:f>CHOOSE('假设'!$B$3,H6176,I6176,J6176)</x:f>
        <x:v>0</x:v>
      </x:c>
      <x:c r="L6176" s="11" t="n">
        <x:f>K6176*'管线假设'!E1323*'管线假设'!F1323*'管线假设'!G1323*IF(E6176="USD",'管线假设'!I1323,1)-AM6176</x:f>
        <x:v>0</x:v>
      </x:c>
      <x:c r="M6176" s="11" t="n">
        <x:f>'管线假设'!H1323</x:f>
        <x:v>0.14</x:v>
      </x:c>
      <x:c r="N6176" s="11" t="n">
        <x:f>IF(G6176,L6176*AN6176/(1+M6176)^F6176,0)</x:f>
        <x:v>0</x:v>
      </x:c>
      <x:c r="AJ6176" t="n">
        <x:v>0</x:v>
      </x:c>
      <x:c r="AK6176" t="n">
        <x:v>0</x:v>
      </x:c>
      <x:c r="AL6176" t="n">
        <x:v>0</x:v>
      </x:c>
      <x:c r="AM6176" t="n">
        <x:f>CHOOSE('假设'!$B$3,AJ6176,AK6176,AL6176)</x:f>
        <x:v>0</x:v>
      </x:c>
      <x:c r="AN6176" t="n">
        <x:v>1</x:v>
      </x:c>
    </x:row>
    <x:row r="6177" ht="23" customHeight="1">
      <x:c r="A6177" s="11" t="str">
        <x:v>688062.SH</x:v>
      </x:c>
      <x:c r="B6177" s="11" t="str">
        <x:v>五年</x:v>
      </x:c>
      <x:c r="C6177" s="11" t="str">
        <x:v>st2</x:v>
      </x:c>
      <x:c r="D6177" s="11" t="str">
        <x:v>2031-12-31</x:v>
      </x:c>
      <x:c r="E6177" s="11" t="str">
        <x:v>CNY</x:v>
      </x:c>
      <x:c r="F6177" s="11" t="n">
        <x:v>0.2272416153319644</x:v>
      </x:c>
      <x:c r="G6177" s="26" t="b">
        <x:v>1</x:v>
      </x:c>
      <x:c r="H6177" s="16" t="n">
        <x:v>0</x:v>
      </x:c>
      <x:c r="I6177" s="16" t="n">
        <x:v>0.3333333333333333</x:v>
      </x:c>
      <x:c r="J6177" s="16" t="n">
        <x:v>1.75</x:v>
      </x:c>
      <x:c r="K6177" s="11" t="n">
        <x:f>CHOOSE('假设'!$B$3,H6177,I6177,J6177)</x:f>
        <x:v>0.3333333333333333</x:v>
      </x:c>
      <x:c r="L6177" s="11" t="n">
        <x:f>K6177*'管线假设'!E1323*'管线假设'!F1323*'管线假设'!G1323*IF(E6177="USD",'管线假设'!I1323,1)-AM6177</x:f>
        <x:v>0.04599999999999999</x:v>
      </x:c>
      <x:c r="M6177" s="11" t="n">
        <x:f>'管线假设'!H1323</x:f>
        <x:v>0.14</x:v>
      </x:c>
      <x:c r="N6177" s="11" t="n">
        <x:f>IF(G6177,L6177*AN6177/(1+M6177)^F6177,0)</x:f>
        <x:v>0.044650536480260496</x:v>
      </x:c>
      <x:c r="AJ6177" t="n">
        <x:v>0</x:v>
      </x:c>
      <x:c r="AK6177" t="n">
        <x:v>0</x:v>
      </x:c>
      <x:c r="AL6177" t="n">
        <x:v>0</x:v>
      </x:c>
      <x:c r="AM6177" t="n">
        <x:f>CHOOSE('假设'!$B$3,AJ6177,AK6177,AL6177)</x:f>
        <x:v>0</x:v>
      </x:c>
      <x:c r="AN6177" t="n">
        <x:v>1</x:v>
      </x:c>
    </x:row>
    <x:row r="6178" ht="23" customHeight="1">
      <x:c r="A6178" s="11" t="str">
        <x:v>688062.SH</x:v>
      </x:c>
      <x:c r="B6178" s="11" t="str">
        <x:v>五年</x:v>
      </x:c>
      <x:c r="C6178" s="11" t="str">
        <x:v>st2</x:v>
      </x:c>
      <x:c r="D6178" s="11" t="str">
        <x:v>2032-12-31</x:v>
      </x:c>
      <x:c r="E6178" s="11" t="str">
        <x:v>CNY</x:v>
      </x:c>
      <x:c r="F6178" s="11" t="n">
        <x:v>1.2292950034223136</x:v>
      </x:c>
      <x:c r="G6178" s="26" t="b">
        <x:v>1</x:v>
      </x:c>
      <x:c r="H6178" s="16" t="n">
        <x:v>0</x:v>
      </x:c>
      <x:c r="I6178" s="16" t="n">
        <x:v>0.6666666666666666</x:v>
      </x:c>
      <x:c r="J6178" s="16" t="n">
        <x:v>2.333333333333333</x:v>
      </x:c>
      <x:c r="K6178" s="11" t="n">
        <x:f>CHOOSE('假设'!$B$3,H6178,I6178,J6178)</x:f>
        <x:v>0.6666666666666666</x:v>
      </x:c>
      <x:c r="L6178" s="11" t="n">
        <x:f>K6178*'管线假设'!E1323*'管线假设'!F1323*'管线假设'!G1323*IF(E6178="USD",'管线假设'!I1323,1)-AM6178</x:f>
        <x:v>0.09199999999999998</x:v>
      </x:c>
      <x:c r="M6178" s="11" t="n">
        <x:f>'管线假设'!H1323</x:f>
        <x:v>0.14</x:v>
      </x:c>
      <x:c r="N6178" s="11" t="n">
        <x:f>IF(G6178,L6178*AN6178/(1+M6178)^F6178,0)</x:f>
        <x:v>0.07831320137846232</x:v>
      </x:c>
      <x:c r="AJ6178" t="n">
        <x:v>0</x:v>
      </x:c>
      <x:c r="AK6178" t="n">
        <x:v>0</x:v>
      </x:c>
      <x:c r="AL6178" t="n">
        <x:v>0</x:v>
      </x:c>
      <x:c r="AM6178" t="n">
        <x:f>CHOOSE('假设'!$B$3,AJ6178,AK6178,AL6178)</x:f>
        <x:v>0</x:v>
      </x:c>
      <x:c r="AN6178" t="n">
        <x:v>1</x:v>
      </x:c>
    </x:row>
    <x:row r="6179" ht="23" customHeight="1">
      <x:c r="A6179" s="11" t="str">
        <x:v>688062.SH</x:v>
      </x:c>
      <x:c r="B6179" s="11" t="str">
        <x:v>五年</x:v>
      </x:c>
      <x:c r="C6179" s="11" t="str">
        <x:v>st2</x:v>
      </x:c>
      <x:c r="D6179" s="11" t="str">
        <x:v>2033-12-31</x:v>
      </x:c>
      <x:c r="E6179" s="11" t="str">
        <x:v>CNY</x:v>
      </x:c>
      <x:c r="F6179" s="11" t="n">
        <x:v>2.2286105407255303</x:v>
      </x:c>
      <x:c r="G6179" s="26" t="b">
        <x:v>1</x:v>
      </x:c>
      <x:c r="H6179" s="16" t="n">
        <x:v>0</x:v>
      </x:c>
      <x:c r="I6179" s="16" t="n">
        <x:v>1</x:v>
      </x:c>
      <x:c r="J6179" s="16" t="n">
        <x:v>2.916666666666667</x:v>
      </x:c>
      <x:c r="K6179" s="11" t="n">
        <x:f>CHOOSE('假设'!$B$3,H6179,I6179,J6179)</x:f>
        <x:v>1</x:v>
      </x:c>
      <x:c r="L6179" s="11" t="n">
        <x:f>K6179*'管线假设'!E1323*'管线假设'!F1323*'管线假设'!G1323*IF(E6179="USD",'管线假设'!I1323,1)-AM6179</x:f>
        <x:v>0.13799999999999998</x:v>
      </x:c>
      <x:c r="M6179" s="11" t="n">
        <x:f>'管线假设'!H1323</x:f>
        <x:v>0.14</x:v>
      </x:c>
      <x:c r="N6179" s="11" t="n">
        <x:f>IF(G6179,L6179*AN6179/(1+M6179)^F6179,0)</x:f>
        <x:v>0.10305292780429927</x:v>
      </x:c>
      <x:c r="AJ6179" t="n">
        <x:v>0</x:v>
      </x:c>
      <x:c r="AK6179" t="n">
        <x:v>0</x:v>
      </x:c>
      <x:c r="AL6179" t="n">
        <x:v>0</x:v>
      </x:c>
      <x:c r="AM6179" t="n">
        <x:f>CHOOSE('假设'!$B$3,AJ6179,AK6179,AL6179)</x:f>
        <x:v>0</x:v>
      </x:c>
      <x:c r="AN6179" t="n">
        <x:v>1</x:v>
      </x:c>
    </x:row>
    <x:row r="6180" ht="23" customHeight="1">
      <x:c r="A6180" s="11" t="str">
        <x:v>688062.SH</x:v>
      </x:c>
      <x:c r="B6180" s="11" t="str">
        <x:v>五年</x:v>
      </x:c>
      <x:c r="C6180" s="11" t="str">
        <x:v>st2</x:v>
      </x:c>
      <x:c r="D6180" s="11" t="str">
        <x:v>2034-12-31</x:v>
      </x:c>
      <x:c r="E6180" s="11" t="str">
        <x:v>CNY</x:v>
      </x:c>
      <x:c r="F6180" s="11" t="n">
        <x:v>3.2279260780287475</x:v>
      </x:c>
      <x:c r="G6180" s="26" t="b">
        <x:v>1</x:v>
      </x:c>
      <x:c r="H6180" s="16" t="n">
        <x:v>0.12</x:v>
      </x:c>
      <x:c r="I6180" s="16" t="n">
        <x:v>1.3333333333333333</x:v>
      </x:c>
      <x:c r="J6180" s="16" t="n">
        <x:v>3.5</x:v>
      </x:c>
      <x:c r="K6180" s="11" t="n">
        <x:f>CHOOSE('假设'!$B$3,H6180,I6180,J6180)</x:f>
        <x:v>1.3333333333333333</x:v>
      </x:c>
      <x:c r="L6180" s="11" t="n">
        <x:f>K6180*'管线假设'!E1323*'管线假设'!F1323*'管线假设'!G1323*IF(E6180="USD",'管线假设'!I1323,1)-AM6180</x:f>
        <x:v>0.18399999999999997</x:v>
      </x:c>
      <x:c r="M6180" s="11" t="n">
        <x:f>'管线假设'!H1323</x:f>
        <x:v>0.14</x:v>
      </x:c>
      <x:c r="N6180" s="11" t="n">
        <x:f>IF(G6180,L6180*AN6180/(1+M6180)^F6180,0)</x:f>
        <x:v>0.1205405501908568</x:v>
      </x:c>
      <x:c r="AJ6180" t="n">
        <x:v>0</x:v>
      </x:c>
      <x:c r="AK6180" t="n">
        <x:v>0</x:v>
      </x:c>
      <x:c r="AL6180" t="n">
        <x:v>0</x:v>
      </x:c>
      <x:c r="AM6180" t="n">
        <x:f>CHOOSE('假设'!$B$3,AJ6180,AK6180,AL6180)</x:f>
        <x:v>0</x:v>
      </x:c>
      <x:c r="AN6180" t="n">
        <x:v>1</x:v>
      </x:c>
    </x:row>
    <x:row r="6181" ht="23" customHeight="1">
      <x:c r="A6181" s="11" t="str">
        <x:v>688062.SH</x:v>
      </x:c>
      <x:c r="B6181" s="11" t="str">
        <x:v>五年</x:v>
      </x:c>
      <x:c r="C6181" s="11" t="str">
        <x:v>st2</x:v>
      </x:c>
      <x:c r="D6181" s="11" t="str">
        <x:v>2035-12-31</x:v>
      </x:c>
      <x:c r="E6181" s="11" t="str">
        <x:v>CNY</x:v>
      </x:c>
      <x:c r="F6181" s="11" t="n">
        <x:v>4.227241615331964</x:v>
      </x:c>
      <x:c r="G6181" s="26" t="b">
        <x:v>1</x:v>
      </x:c>
      <x:c r="H6181" s="16" t="n">
        <x:v>0.24</x:v>
      </x:c>
      <x:c r="I6181" s="16" t="n">
        <x:v>1.6666666666666667</x:v>
      </x:c>
      <x:c r="J6181" s="16" t="n">
        <x:v>3.045</x:v>
      </x:c>
      <x:c r="K6181" s="11" t="n">
        <x:f>CHOOSE('假设'!$B$3,H6181,I6181,J6181)</x:f>
        <x:v>1.6666666666666667</x:v>
      </x:c>
      <x:c r="L6181" s="11" t="n">
        <x:f>K6181*'管线假设'!E1323*'管线假设'!F1323*'管线假设'!G1323*IF(E6181="USD",'管线假设'!I1323,1)-AM6181</x:f>
        <x:v>0.22999999999999998</x:v>
      </x:c>
      <x:c r="M6181" s="11" t="n">
        <x:f>'管线假设'!H1323</x:f>
        <x:v>0.14</x:v>
      </x:c>
      <x:c r="N6181" s="11" t="n">
        <x:f>IF(G6181,L6181*AN6181/(1+M6181)^F6181,0)</x:f>
        <x:v>0.13218351011980198</x:v>
      </x:c>
      <x:c r="AJ6181" t="n">
        <x:v>0</x:v>
      </x:c>
      <x:c r="AK6181" t="n">
        <x:v>0</x:v>
      </x:c>
      <x:c r="AL6181" t="n">
        <x:v>0</x:v>
      </x:c>
      <x:c r="AM6181" t="n">
        <x:f>CHOOSE('假设'!$B$3,AJ6181,AK6181,AL6181)</x:f>
        <x:v>0</x:v>
      </x:c>
      <x:c r="AN6181" t="n">
        <x:v>1</x:v>
      </x:c>
    </x:row>
    <x:row r="6182" ht="23" customHeight="1">
      <x:c r="A6182" s="11" t="str">
        <x:v>688062.SH</x:v>
      </x:c>
      <x:c r="B6182" s="11" t="str">
        <x:v>五年</x:v>
      </x:c>
      <x:c r="C6182" s="11" t="str">
        <x:v>st2</x:v>
      </x:c>
      <x:c r="D6182" s="11" t="str">
        <x:v>2036-12-31</x:v>
      </x:c>
      <x:c r="E6182" s="11" t="str">
        <x:v>CNY</x:v>
      </x:c>
      <x:c r="F6182" s="11" t="n">
        <x:v>5.229295003422314</x:v>
      </x:c>
      <x:c r="G6182" s="26" t="b">
        <x:v>1</x:v>
      </x:c>
      <x:c r="H6182" s="16" t="n">
        <x:v>0.36</x:v>
      </x:c>
      <x:c r="I6182" s="16" t="n">
        <x:v>2</x:v>
      </x:c>
      <x:c r="J6182" s="16" t="n">
        <x:v>2.59</x:v>
      </x:c>
      <x:c r="K6182" s="11" t="n">
        <x:f>CHOOSE('假设'!$B$3,H6182,I6182,J6182)</x:f>
        <x:v>2</x:v>
      </x:c>
      <x:c r="L6182" s="11" t="n">
        <x:f>K6182*'管线假设'!E1323*'管线假设'!F1323*'管线假设'!G1323*IF(E6182="USD",'管线假设'!I1323,1)-AM6182</x:f>
        <x:v>0.27599999999999997</x:v>
      </x:c>
      <x:c r="M6182" s="11" t="n">
        <x:f>'管线假设'!H1323</x:f>
        <x:v>0.14</x:v>
      </x:c>
      <x:c r="N6182" s="11" t="n">
        <x:f>IF(G6182,L6182*AN6182/(1+M6182)^F6182,0)</x:f>
        <x:v>0.1391031059817224</x:v>
      </x:c>
      <x:c r="AJ6182" t="n">
        <x:v>0</x:v>
      </x:c>
      <x:c r="AK6182" t="n">
        <x:v>0</x:v>
      </x:c>
      <x:c r="AL6182" t="n">
        <x:v>0</x:v>
      </x:c>
      <x:c r="AM6182" t="n">
        <x:f>CHOOSE('假设'!$B$3,AJ6182,AK6182,AL6182)</x:f>
        <x:v>0</x:v>
      </x:c>
      <x:c r="AN6182" t="n">
        <x:v>1</x:v>
      </x:c>
    </x:row>
    <x:row r="6183" ht="23" customHeight="1">
      <x:c r="A6183" s="11" t="str">
        <x:v>688062.SH</x:v>
      </x:c>
      <x:c r="B6183" s="11" t="str">
        <x:v>五年</x:v>
      </x:c>
      <x:c r="C6183" s="11" t="str">
        <x:v>st2</x:v>
      </x:c>
      <x:c r="D6183" s="11" t="str">
        <x:v>2037-12-31</x:v>
      </x:c>
      <x:c r="E6183" s="11" t="str">
        <x:v>CNY</x:v>
      </x:c>
      <x:c r="F6183" s="11" t="n">
        <x:v>6.228610540725531</x:v>
      </x:c>
      <x:c r="G6183" s="26" t="b">
        <x:v>1</x:v>
      </x:c>
      <x:c r="H6183" s="16" t="n">
        <x:v>0.48</x:v>
      </x:c>
      <x:c r="I6183" s="16" t="n">
        <x:v>1.74</x:v>
      </x:c>
      <x:c r="J6183" s="16" t="n">
        <x:v>2.135</x:v>
      </x:c>
      <x:c r="K6183" s="11" t="n">
        <x:f>CHOOSE('假设'!$B$3,H6183,I6183,J6183)</x:f>
        <x:v>1.74</x:v>
      </x:c>
      <x:c r="L6183" s="11" t="n">
        <x:f>K6183*'管线假设'!E1323*'管线假设'!F1323*'管线假设'!G1323*IF(E6183="USD",'管线假设'!I1323,1)-AM6183</x:f>
        <x:v>0.24011999999999994</x:v>
      </x:c>
      <x:c r="M6183" s="11" t="n">
        <x:f>'管线假设'!H1323</x:f>
        <x:v>0.14</x:v>
      </x:c>
      <x:c r="N6183" s="11" t="n">
        <x:f>IF(G6183,L6183*AN6183/(1+M6183)^F6183,0)</x:f>
        <x:v>0.10616715457603251</x:v>
      </x:c>
      <x:c r="AJ6183" t="n">
        <x:v>0</x:v>
      </x:c>
      <x:c r="AK6183" t="n">
        <x:v>0</x:v>
      </x:c>
      <x:c r="AL6183" t="n">
        <x:v>0</x:v>
      </x:c>
      <x:c r="AM6183" t="n">
        <x:f>CHOOSE('假设'!$B$3,AJ6183,AK6183,AL6183)</x:f>
        <x:v>0</x:v>
      </x:c>
      <x:c r="AN6183" t="n">
        <x:v>1</x:v>
      </x:c>
    </x:row>
    <x:row r="6184" ht="23" customHeight="1">
      <x:c r="A6184" s="11" t="str">
        <x:v>688062.SH</x:v>
      </x:c>
      <x:c r="B6184" s="11" t="str">
        <x:v>五年</x:v>
      </x:c>
      <x:c r="C6184" s="11" t="str">
        <x:v>st2</x:v>
      </x:c>
      <x:c r="D6184" s="11" t="str">
        <x:v>2038-12-31</x:v>
      </x:c>
      <x:c r="E6184" s="11" t="str">
        <x:v>CNY</x:v>
      </x:c>
      <x:c r="F6184" s="11" t="n">
        <x:v>7.227926078028747</x:v>
      </x:c>
      <x:c r="G6184" s="26" t="b">
        <x:v>1</x:v>
      </x:c>
      <x:c r="H6184" s="16" t="n">
        <x:v>0.6</x:v>
      </x:c>
      <x:c r="I6184" s="16" t="n">
        <x:v>1.48</x:v>
      </x:c>
      <x:c r="J6184" s="16" t="n">
        <x:v>1.68</x:v>
      </x:c>
      <x:c r="K6184" s="11" t="n">
        <x:f>CHOOSE('假设'!$B$3,H6184,I6184,J6184)</x:f>
        <x:v>1.48</x:v>
      </x:c>
      <x:c r="L6184" s="11" t="n">
        <x:f>K6184*'管线假设'!E1323*'管线假设'!F1323*'管线假设'!G1323*IF(E6184="USD",'管线假设'!I1323,1)-AM6184</x:f>
        <x:v>0.20423999999999998</x:v>
      </x:c>
      <x:c r="M6184" s="11" t="n">
        <x:f>'管线假设'!H1323</x:f>
        <x:v>0.14</x:v>
      </x:c>
      <x:c r="N6184" s="11" t="n">
        <x:f>IF(G6184,L6184*AN6184/(1+M6184)^F6184,0)</x:f>
        <x:v>0.07922034745440709</x:v>
      </x:c>
      <x:c r="AJ6184" t="n">
        <x:v>0</x:v>
      </x:c>
      <x:c r="AK6184" t="n">
        <x:v>0</x:v>
      </x:c>
      <x:c r="AL6184" t="n">
        <x:v>0</x:v>
      </x:c>
      <x:c r="AM6184" t="n">
        <x:f>CHOOSE('假设'!$B$3,AJ6184,AK6184,AL6184)</x:f>
        <x:v>0</x:v>
      </x:c>
      <x:c r="AN6184" t="n">
        <x:v>1</x:v>
      </x:c>
    </x:row>
    <x:row r="6185" ht="23" customHeight="1">
      <x:c r="A6185" s="11" t="str">
        <x:v>688062.SH</x:v>
      </x:c>
      <x:c r="B6185" s="11" t="str">
        <x:v>五年</x:v>
      </x:c>
      <x:c r="C6185" s="11" t="str">
        <x:v>st2</x:v>
      </x:c>
      <x:c r="D6185" s="11" t="str">
        <x:v>2039-12-31</x:v>
      </x:c>
      <x:c r="E6185" s="11" t="str">
        <x:v>CNY</x:v>
      </x:c>
      <x:c r="F6185" s="11" t="n">
        <x:v>8.227241615331964</x:v>
      </x:c>
      <x:c r="G6185" s="26" t="b">
        <x:v>1</x:v>
      </x:c>
      <x:c r="H6185" s="16" t="n">
        <x:v>0.522</x:v>
      </x:c>
      <x:c r="I6185" s="16" t="n">
        <x:v>1.22</x:v>
      </x:c>
      <x:c r="J6185" s="16" t="n">
        <x:v>1.2249999999999999</x:v>
      </x:c>
      <x:c r="K6185" s="11" t="n">
        <x:f>CHOOSE('假设'!$B$3,H6185,I6185,J6185)</x:f>
        <x:v>1.22</x:v>
      </x:c>
      <x:c r="L6185" s="11" t="n">
        <x:f>K6185*'管线假设'!E1323*'管线假设'!F1323*'管线假设'!G1323*IF(E6185="USD",'管线假设'!I1323,1)-AM6185</x:f>
        <x:v>0.16835999999999998</x:v>
      </x:c>
      <x:c r="M6185" s="11" t="n">
        <x:f>'管线假设'!H1323</x:f>
        <x:v>0.14</x:v>
      </x:c>
      <x:c r="N6185" s="11" t="n">
        <x:f>IF(G6185,L6185*AN6185/(1+M6185)^F6185,0)</x:f>
        <x:v>0.057288698513584244</x:v>
      </x:c>
      <x:c r="AJ6185" t="n">
        <x:v>0</x:v>
      </x:c>
      <x:c r="AK6185" t="n">
        <x:v>0</x:v>
      </x:c>
      <x:c r="AL6185" t="n">
        <x:v>0</x:v>
      </x:c>
      <x:c r="AM6185" t="n">
        <x:f>CHOOSE('假设'!$B$3,AJ6185,AK6185,AL6185)</x:f>
        <x:v>0</x:v>
      </x:c>
      <x:c r="AN6185" t="n">
        <x:v>1</x:v>
      </x:c>
    </x:row>
    <x:row r="6186" ht="23" customHeight="1">
      <x:c r="A6186" s="11" t="str">
        <x:v>688062.SH</x:v>
      </x:c>
      <x:c r="B6186" s="11" t="str">
        <x:v>五年</x:v>
      </x:c>
      <x:c r="C6186" s="11" t="str">
        <x:v>st2</x:v>
      </x:c>
      <x:c r="D6186" s="11" t="str">
        <x:v>2040-12-31</x:v>
      </x:c>
      <x:c r="E6186" s="11" t="str">
        <x:v>CNY</x:v>
      </x:c>
      <x:c r="F6186" s="11" t="n">
        <x:v>9.229295003422314</x:v>
      </x:c>
      <x:c r="G6186" s="26" t="b">
        <x:v>1</x:v>
      </x:c>
      <x:c r="H6186" s="16" t="n">
        <x:v>0.444</x:v>
      </x:c>
      <x:c r="I6186" s="16" t="n">
        <x:v>0.96</x:v>
      </x:c>
      <x:c r="J6186" s="16" t="n">
        <x:v>0.7699999999999999</x:v>
      </x:c>
      <x:c r="K6186" s="11" t="n">
        <x:f>CHOOSE('假设'!$B$3,H6186,I6186,J6186)</x:f>
        <x:v>0.96</x:v>
      </x:c>
      <x:c r="L6186" s="11" t="n">
        <x:f>K6186*'管线假设'!E1323*'管线假设'!F1323*'管线假设'!G1323*IF(E6186="USD",'管线假设'!I1323,1)-AM6186</x:f>
        <x:v>0.13248</x:v>
      </x:c>
      <x:c r="M6186" s="11" t="n">
        <x:f>'管线假设'!H1323</x:f>
        <x:v>0.14</x:v>
      </x:c>
      <x:c r="N6186" s="11" t="n">
        <x:f>IF(G6186,L6186*AN6186/(1+M6186)^F6186,0)</x:f>
        <x:v>0.03953289867490227</x:v>
      </x:c>
      <x:c r="AJ6186" t="n">
        <x:v>0</x:v>
      </x:c>
      <x:c r="AK6186" t="n">
        <x:v>0</x:v>
      </x:c>
      <x:c r="AL6186" t="n">
        <x:v>0</x:v>
      </x:c>
      <x:c r="AM6186" t="n">
        <x:f>CHOOSE('假设'!$B$3,AJ6186,AK6186,AL6186)</x:f>
        <x:v>0</x:v>
      </x:c>
      <x:c r="AN6186" t="n">
        <x:v>1</x:v>
      </x:c>
    </x:row>
    <x:row r="6187" ht="23" customHeight="1">
      <x:c r="A6187" s="11" t="str">
        <x:v>688062.SH</x:v>
      </x:c>
      <x:c r="B6187" s="11" t="str">
        <x:v>五年</x:v>
      </x:c>
      <x:c r="C6187" s="11" t="str">
        <x:v>st2</x:v>
      </x:c>
      <x:c r="D6187" s="11" t="str">
        <x:v>2041-12-31</x:v>
      </x:c>
      <x:c r="E6187" s="11" t="str">
        <x:v>CNY</x:v>
      </x:c>
      <x:c r="F6187" s="11" t="n">
        <x:v>10.22861054072553</x:v>
      </x:c>
      <x:c r="G6187" s="26" t="b">
        <x:v>1</x:v>
      </x:c>
      <x:c r="H6187" s="16" t="n">
        <x:v>0.366</x:v>
      </x:c>
      <x:c r="I6187" s="16" t="n">
        <x:v>0.7</x:v>
      </x:c>
      <x:c r="J6187" s="16" t="n">
        <x:v>0.3149999999999999</x:v>
      </x:c>
      <x:c r="K6187" s="11" t="n">
        <x:f>CHOOSE('假设'!$B$3,H6187,I6187,J6187)</x:f>
        <x:v>0.7</x:v>
      </x:c>
      <x:c r="L6187" s="11" t="n">
        <x:f>K6187*'管线假设'!E1323*'管线假设'!F1323*'管线假设'!G1323*IF(E6187="USD",'管线假设'!I1323,1)-AM6187</x:f>
        <x:v>0.09659999999999998</x:v>
      </x:c>
      <x:c r="M6187" s="11" t="n">
        <x:f>'管线假设'!H1323</x:f>
        <x:v>0.14</x:v>
      </x:c>
      <x:c r="N6187" s="11" t="n">
        <x:f>IF(G6187,L6187*AN6187/(1+M6187)^F6187,0)</x:f>
        <x:v>0.02528829587947516</x:v>
      </x:c>
      <x:c r="AJ6187" t="n">
        <x:v>0</x:v>
      </x:c>
      <x:c r="AK6187" t="n">
        <x:v>0</x:v>
      </x:c>
      <x:c r="AL6187" t="n">
        <x:v>0</x:v>
      </x:c>
      <x:c r="AM6187" t="n">
        <x:f>CHOOSE('假设'!$B$3,AJ6187,AK6187,AL6187)</x:f>
        <x:v>0</x:v>
      </x:c>
      <x:c r="AN6187" t="n">
        <x:v>1</x:v>
      </x:c>
    </x:row>
    <x:row r="6188" ht="23" customHeight="1">
      <x:c r="A6188" s="11" t="str">
        <x:v>688062.SH</x:v>
      </x:c>
      <x:c r="B6188" s="11" t="str">
        <x:v>五年</x:v>
      </x:c>
      <x:c r="C6188" s="11" t="str">
        <x:v>st2</x:v>
      </x:c>
      <x:c r="D6188" s="11" t="str">
        <x:v>2042-12-31</x:v>
      </x:c>
      <x:c r="E6188" s="11" t="str">
        <x:v>CNY</x:v>
      </x:c>
      <x:c r="F6188" s="11" t="n">
        <x:v>11.227926078028748</x:v>
      </x:c>
      <x:c r="G6188" s="26" t="b">
        <x:v>1</x:v>
      </x:c>
      <x:c r="H6188" s="16" t="n">
        <x:v>0.288</x:v>
      </x:c>
      <x:c r="I6188" s="16" t="n">
        <x:v>0.43999999999999995</x:v>
      </x:c>
      <x:c r="J6188" s="16" t="n">
        <x:v>0</x:v>
      </x:c>
      <x:c r="K6188" s="11" t="n">
        <x:f>CHOOSE('假设'!$B$3,H6188,I6188,J6188)</x:f>
        <x:v>0.43999999999999995</x:v>
      </x:c>
      <x:c r="L6188" s="11" t="n">
        <x:f>K6188*'管线假设'!E1323*'管线假设'!F1323*'管线假设'!G1323*IF(E6188="USD",'管线假设'!I1323,1)-AM6188</x:f>
        <x:v>0.06071999999999999</x:v>
      </x:c>
      <x:c r="M6188" s="11" t="n">
        <x:f>'管线假设'!H1323</x:f>
        <x:v>0.14</x:v>
      </x:c>
      <x:c r="N6188" s="11" t="n">
        <x:f>IF(G6188,L6188*AN6188/(1+M6188)^F6188,0)</x:f>
        <x:v>0.013944671844212145</x:v>
      </x:c>
      <x:c r="AJ6188" t="n">
        <x:v>0</x:v>
      </x:c>
      <x:c r="AK6188" t="n">
        <x:v>0</x:v>
      </x:c>
      <x:c r="AL6188" t="n">
        <x:v>0</x:v>
      </x:c>
      <x:c r="AM6188" t="n">
        <x:f>CHOOSE('假设'!$B$3,AJ6188,AK6188,AL6188)</x:f>
        <x:v>0</x:v>
      </x:c>
      <x:c r="AN6188" t="n">
        <x:v>1</x:v>
      </x:c>
    </x:row>
    <x:row r="6189" ht="23" customHeight="1">
      <x:c r="A6189" s="11" t="str">
        <x:v>688062.SH</x:v>
      </x:c>
      <x:c r="B6189" s="11" t="str">
        <x:v>五年</x:v>
      </x:c>
      <x:c r="C6189" s="11" t="str">
        <x:v>st2</x:v>
      </x:c>
      <x:c r="D6189" s="11" t="str">
        <x:v>2043-12-31</x:v>
      </x:c>
      <x:c r="E6189" s="11" t="str">
        <x:v>CNY</x:v>
      </x:c>
      <x:c r="F6189" s="11" t="n">
        <x:v>12.227241615331964</x:v>
      </x:c>
      <x:c r="G6189" s="26" t="b">
        <x:v>1</x:v>
      </x:c>
      <x:c r="H6189" s="16" t="n">
        <x:v>0.21</x:v>
      </x:c>
      <x:c r="I6189" s="16" t="n">
        <x:v>0.17999999999999994</x:v>
      </x:c>
      <x:c r="J6189" s="16" t="n">
        <x:v>0</x:v>
      </x:c>
      <x:c r="K6189" s="11" t="n">
        <x:f>CHOOSE('假设'!$B$3,H6189,I6189,J6189)</x:f>
        <x:v>0.17999999999999994</x:v>
      </x:c>
      <x:c r="L6189" s="11" t="n">
        <x:f>K6189*'管线假设'!E1323*'管线假设'!F1323*'管线假设'!G1323*IF(E6189="USD",'管线假设'!I1323,1)-AM6189</x:f>
        <x:v>0.02483999999999999</x:v>
      </x:c>
      <x:c r="M6189" s="11" t="n">
        <x:f>'管线假设'!H1323</x:f>
        <x:v>0.14</x:v>
      </x:c>
      <x:c r="N6189" s="11" t="n">
        <x:f>IF(G6189,L6189*AN6189/(1+M6189)^F6189,0)</x:f>
        <x:v>0.0050045176484410005</x:v>
      </x:c>
      <x:c r="AJ6189" t="n">
        <x:v>0</x:v>
      </x:c>
      <x:c r="AK6189" t="n">
        <x:v>0</x:v>
      </x:c>
      <x:c r="AL6189" t="n">
        <x:v>0</x:v>
      </x:c>
      <x:c r="AM6189" t="n">
        <x:f>CHOOSE('假设'!$B$3,AJ6189,AK6189,AL6189)</x:f>
        <x:v>0</x:v>
      </x:c>
      <x:c r="AN6189" t="n">
        <x:v>1</x:v>
      </x:c>
    </x:row>
    <x:row r="6190" ht="23" customHeight="1">
      <x:c r="A6190" s="11" t="str">
        <x:v>688062.SH</x:v>
      </x:c>
      <x:c r="B6190" s="11" t="str">
        <x:v>五年</x:v>
      </x:c>
      <x:c r="C6190" s="11" t="str">
        <x:v>st2</x:v>
      </x:c>
      <x:c r="D6190" s="11" t="str">
        <x:v>2044-12-31</x:v>
      </x:c>
      <x:c r="E6190" s="11" t="str">
        <x:v>CNY</x:v>
      </x:c>
      <x:c r="F6190" s="11" t="n">
        <x:v>13.229295003422314</x:v>
      </x:c>
      <x:c r="G6190" s="26" t="b">
        <x:v>1</x:v>
      </x:c>
      <x:c r="H6190" s="16" t="n">
        <x:v>0.13199999999999998</x:v>
      </x:c>
      <x:c r="I6190" s="16" t="n">
        <x:v>0</x:v>
      </x:c>
      <x:c r="J6190" s="16" t="n">
        <x:v>0</x:v>
      </x:c>
      <x:c r="K6190" s="11" t="n">
        <x:f>CHOOSE('假设'!$B$3,H6190,I6190,J6190)</x:f>
        <x:v>0</x:v>
      </x:c>
      <x:c r="L6190" s="11" t="n">
        <x:f>K6190*'管线假设'!E1323*'管线假设'!F1323*'管线假设'!G1323*IF(E6190="USD",'管线假设'!I1323,1)-AM6190</x:f>
        <x:v>0</x:v>
      </x:c>
      <x:c r="M6190" s="11" t="n">
        <x:f>'管线假设'!H1323</x:f>
        <x:v>0.14</x:v>
      </x:c>
      <x:c r="N6190" s="11" t="n">
        <x:f>IF(G6190,L6190*AN6190/(1+M6190)^F6190,0)</x:f>
        <x:v>0</x:v>
      </x:c>
      <x:c r="AJ6190" t="n">
        <x:v>0</x:v>
      </x:c>
      <x:c r="AK6190" t="n">
        <x:v>0</x:v>
      </x:c>
      <x:c r="AL6190" t="n">
        <x:v>0</x:v>
      </x:c>
      <x:c r="AM6190" t="n">
        <x:f>CHOOSE('假设'!$B$3,AJ6190,AK6190,AL6190)</x:f>
        <x:v>0</x:v>
      </x:c>
      <x:c r="AN6190" t="n">
        <x:v>1</x:v>
      </x:c>
    </x:row>
    <x:row r="6191" ht="23" customHeight="1">
      <x:c r="A6191" s="11" t="str">
        <x:v>688062.SH</x:v>
      </x:c>
      <x:c r="B6191" s="11" t="str">
        <x:v>五年</x:v>
      </x:c>
      <x:c r="C6191" s="11" t="str">
        <x:v>st2</x:v>
      </x:c>
      <x:c r="D6191" s="11" t="str">
        <x:v>2045-12-31</x:v>
      </x:c>
      <x:c r="E6191" s="11" t="str">
        <x:v>CNY</x:v>
      </x:c>
      <x:c r="F6191" s="11" t="n">
        <x:v>14.22861054072553</x:v>
      </x:c>
      <x:c r="G6191" s="26" t="b">
        <x:v>1</x:v>
      </x:c>
      <x:c r="H6191" s="16" t="n">
        <x:v>0.05399999999999998</x:v>
      </x:c>
      <x:c r="I6191" s="16" t="n">
        <x:v>0</x:v>
      </x:c>
      <x:c r="J6191" s="16" t="n">
        <x:v>0</x:v>
      </x:c>
      <x:c r="K6191" s="11" t="n">
        <x:f>CHOOSE('假设'!$B$3,H6191,I6191,J6191)</x:f>
        <x:v>0</x:v>
      </x:c>
      <x:c r="L6191" s="11" t="n">
        <x:f>K6191*'管线假设'!E1323*'管线假设'!F1323*'管线假设'!G1323*IF(E6191="USD",'管线假设'!I1323,1)-AM6191</x:f>
        <x:v>0</x:v>
      </x:c>
      <x:c r="M6191" s="11" t="n">
        <x:f>'管线假设'!H1323</x:f>
        <x:v>0.14</x:v>
      </x:c>
      <x:c r="N6191" s="11" t="n">
        <x:f>IF(G6191,L6191*AN6191/(1+M6191)^F6191,0)</x:f>
        <x:v>0</x:v>
      </x:c>
      <x:c r="AJ6191" t="n">
        <x:v>0</x:v>
      </x:c>
      <x:c r="AK6191" t="n">
        <x:v>0</x:v>
      </x:c>
      <x:c r="AL6191" t="n">
        <x:v>0</x:v>
      </x:c>
      <x:c r="AM6191" t="n">
        <x:f>CHOOSE('假设'!$B$3,AJ6191,AK6191,AL6191)</x:f>
        <x:v>0</x:v>
      </x:c>
      <x:c r="AN6191" t="n">
        <x:v>1</x:v>
      </x:c>
    </x:row>
    <x:row r="6192" ht="23" customHeight="1">
      <x:c r="A6192" s="11" t="str">
        <x:v>688062.SH</x:v>
      </x:c>
      <x:c r="B6192" s="11" t="str">
        <x:v>五年</x:v>
      </x:c>
      <x:c r="C6192" s="11" t="str">
        <x:v>il11_global</x:v>
      </x:c>
      <x:c r="D6192" s="11" t="str">
        <x:v>2027-12-31</x:v>
      </x:c>
      <x:c r="E6192" s="11" t="str">
        <x:v>USD</x:v>
      </x:c>
      <x:c r="F6192" s="11" t="n">
        <x:v>-3.7727583846680357</x:v>
      </x:c>
      <x:c r="G6192" s="26" t="b">
        <x:v>0</x:v>
      </x:c>
      <x:c r="H6192" s="16" t="n">
        <x:v>0</x:v>
      </x:c>
      <x:c r="I6192" s="16" t="n">
        <x:v>0</x:v>
      </x:c>
      <x:c r="J6192" s="16" t="n">
        <x:v>0</x:v>
      </x:c>
      <x:c r="K6192" s="11" t="n">
        <x:f>CHOOSE('假设'!$B$3,H6192,I6192,J6192)</x:f>
        <x:v>0</x:v>
      </x:c>
      <x:c r="L6192" s="11" t="n">
        <x:f>K6192*'管线假设'!E1327*'管线假设'!F1327*'管线假设'!G1327*IF(E6192="USD",'管线假设'!I1327,1)-AM6192</x:f>
        <x:v>0</x:v>
      </x:c>
      <x:c r="M6192" s="11" t="n">
        <x:f>'管线假设'!H1327</x:f>
        <x:v>0.14</x:v>
      </x:c>
      <x:c r="N6192" s="11" t="n">
        <x:f>IF(G6192,L6192*AN6192/(1+M6192)^F6192,0)</x:f>
        <x:v>0</x:v>
      </x:c>
      <x:c r="AJ6192" t="n">
        <x:v>0</x:v>
      </x:c>
      <x:c r="AK6192" t="n">
        <x:v>0</x:v>
      </x:c>
      <x:c r="AL6192" t="n">
        <x:v>0</x:v>
      </x:c>
      <x:c r="AM6192" t="n">
        <x:f>CHOOSE('假设'!$B$3,AJ6192,AK6192,AL6192)</x:f>
        <x:v>0</x:v>
      </x:c>
      <x:c r="AN6192" t="n">
        <x:v>1</x:v>
      </x:c>
    </x:row>
    <x:row r="6193" ht="23" customHeight="1">
      <x:c r="A6193" s="11" t="str">
        <x:v>688062.SH</x:v>
      </x:c>
      <x:c r="B6193" s="11" t="str">
        <x:v>五年</x:v>
      </x:c>
      <x:c r="C6193" s="11" t="str">
        <x:v>il11_global</x:v>
      </x:c>
      <x:c r="D6193" s="11" t="str">
        <x:v>2028-12-31</x:v>
      </x:c>
      <x:c r="E6193" s="11" t="str">
        <x:v>USD</x:v>
      </x:c>
      <x:c r="F6193" s="11" t="n">
        <x:v>-2.7707049965776864</x:v>
      </x:c>
      <x:c r="G6193" s="26" t="b">
        <x:v>0</x:v>
      </x:c>
      <x:c r="H6193" s="16" t="n">
        <x:v>0</x:v>
      </x:c>
      <x:c r="I6193" s="16" t="n">
        <x:v>0</x:v>
      </x:c>
      <x:c r="J6193" s="16" t="n">
        <x:v>0</x:v>
      </x:c>
      <x:c r="K6193" s="11" t="n">
        <x:f>CHOOSE('假设'!$B$3,H6193,I6193,J6193)</x:f>
        <x:v>0</x:v>
      </x:c>
      <x:c r="L6193" s="11" t="n">
        <x:f>K6193*'管线假设'!E1327*'管线假设'!F1327*'管线假设'!G1327*IF(E6193="USD",'管线假设'!I1327,1)-AM6193</x:f>
        <x:v>0</x:v>
      </x:c>
      <x:c r="M6193" s="11" t="n">
        <x:f>'管线假设'!H1327</x:f>
        <x:v>0.14</x:v>
      </x:c>
      <x:c r="N6193" s="11" t="n">
        <x:f>IF(G6193,L6193*AN6193/(1+M6193)^F6193,0)</x:f>
        <x:v>0</x:v>
      </x:c>
      <x:c r="AJ6193" t="n">
        <x:v>0</x:v>
      </x:c>
      <x:c r="AK6193" t="n">
        <x:v>0</x:v>
      </x:c>
      <x:c r="AL6193" t="n">
        <x:v>0</x:v>
      </x:c>
      <x:c r="AM6193" t="n">
        <x:f>CHOOSE('假设'!$B$3,AJ6193,AK6193,AL6193)</x:f>
        <x:v>0</x:v>
      </x:c>
      <x:c r="AN6193" t="n">
        <x:v>1</x:v>
      </x:c>
    </x:row>
    <x:row r="6194" ht="23" customHeight="1">
      <x:c r="A6194" s="11" t="str">
        <x:v>688062.SH</x:v>
      </x:c>
      <x:c r="B6194" s="11" t="str">
        <x:v>五年</x:v>
      </x:c>
      <x:c r="C6194" s="11" t="str">
        <x:v>il11_global</x:v>
      </x:c>
      <x:c r="D6194" s="11" t="str">
        <x:v>2029-12-31</x:v>
      </x:c>
      <x:c r="E6194" s="11" t="str">
        <x:v>USD</x:v>
      </x:c>
      <x:c r="F6194" s="11" t="n">
        <x:v>-1.7713894592744694</x:v>
      </x:c>
      <x:c r="G6194" s="26" t="b">
        <x:v>0</x:v>
      </x:c>
      <x:c r="H6194" s="16" t="n">
        <x:v>0</x:v>
      </x:c>
      <x:c r="I6194" s="16" t="n">
        <x:v>0</x:v>
      </x:c>
      <x:c r="J6194" s="16" t="n">
        <x:v>0</x:v>
      </x:c>
      <x:c r="K6194" s="11" t="n">
        <x:f>CHOOSE('假设'!$B$3,H6194,I6194,J6194)</x:f>
        <x:v>0</x:v>
      </x:c>
      <x:c r="L6194" s="11" t="n">
        <x:f>K6194*'管线假设'!E1327*'管线假设'!F1327*'管线假设'!G1327*IF(E6194="USD",'管线假设'!I1327,1)-AM6194</x:f>
        <x:v>0</x:v>
      </x:c>
      <x:c r="M6194" s="11" t="n">
        <x:f>'管线假设'!H1327</x:f>
        <x:v>0.14</x:v>
      </x:c>
      <x:c r="N6194" s="11" t="n">
        <x:f>IF(G6194,L6194*AN6194/(1+M6194)^F6194,0)</x:f>
        <x:v>0</x:v>
      </x:c>
      <x:c r="AJ6194" t="n">
        <x:v>0</x:v>
      </x:c>
      <x:c r="AK6194" t="n">
        <x:v>0</x:v>
      </x:c>
      <x:c r="AL6194" t="n">
        <x:v>0</x:v>
      </x:c>
      <x:c r="AM6194" t="n">
        <x:f>CHOOSE('假设'!$B$3,AJ6194,AK6194,AL6194)</x:f>
        <x:v>0</x:v>
      </x:c>
      <x:c r="AN6194" t="n">
        <x:v>1</x:v>
      </x:c>
    </x:row>
    <x:row r="6195" ht="23" customHeight="1">
      <x:c r="A6195" s="11" t="str">
        <x:v>688062.SH</x:v>
      </x:c>
      <x:c r="B6195" s="11" t="str">
        <x:v>五年</x:v>
      </x:c>
      <x:c r="C6195" s="11" t="str">
        <x:v>il11_global</x:v>
      </x:c>
      <x:c r="D6195" s="11" t="str">
        <x:v>2030-12-31</x:v>
      </x:c>
      <x:c r="E6195" s="11" t="str">
        <x:v>USD</x:v>
      </x:c>
      <x:c r="F6195" s="11" t="n">
        <x:v>-0.7720739219712526</x:v>
      </x:c>
      <x:c r="G6195" s="26" t="b">
        <x:v>0</x:v>
      </x:c>
      <x:c r="H6195" s="16" t="n">
        <x:v>0</x:v>
      </x:c>
      <x:c r="I6195" s="16" t="n">
        <x:v>0</x:v>
      </x:c>
      <x:c r="J6195" s="16" t="n">
        <x:v>0</x:v>
      </x:c>
      <x:c r="K6195" s="11" t="n">
        <x:f>CHOOSE('假设'!$B$3,H6195,I6195,J6195)</x:f>
        <x:v>0</x:v>
      </x:c>
      <x:c r="L6195" s="11" t="n">
        <x:f>K6195*'管线假设'!E1327*'管线假设'!F1327*'管线假设'!G1327*IF(E6195="USD",'管线假设'!I1327,1)-AM6195</x:f>
        <x:v>0</x:v>
      </x:c>
      <x:c r="M6195" s="11" t="n">
        <x:f>'管线假设'!H1327</x:f>
        <x:v>0.14</x:v>
      </x:c>
      <x:c r="N6195" s="11" t="n">
        <x:f>IF(G6195,L6195*AN6195/(1+M6195)^F6195,0)</x:f>
        <x:v>0</x:v>
      </x:c>
      <x:c r="AJ6195" t="n">
        <x:v>0</x:v>
      </x:c>
      <x:c r="AK6195" t="n">
        <x:v>0</x:v>
      </x:c>
      <x:c r="AL6195" t="n">
        <x:v>0</x:v>
      </x:c>
      <x:c r="AM6195" t="n">
        <x:f>CHOOSE('假设'!$B$3,AJ6195,AK6195,AL6195)</x:f>
        <x:v>0</x:v>
      </x:c>
      <x:c r="AN6195" t="n">
        <x:v>1</x:v>
      </x:c>
    </x:row>
    <x:row r="6196" ht="23" customHeight="1">
      <x:c r="A6196" s="11" t="str">
        <x:v>688062.SH</x:v>
      </x:c>
      <x:c r="B6196" s="11" t="str">
        <x:v>五年</x:v>
      </x:c>
      <x:c r="C6196" s="11" t="str">
        <x:v>il11_global</x:v>
      </x:c>
      <x:c r="D6196" s="11" t="str">
        <x:v>2031-12-31</x:v>
      </x:c>
      <x:c r="E6196" s="11" t="str">
        <x:v>USD</x:v>
      </x:c>
      <x:c r="F6196" s="11" t="n">
        <x:v>0.2272416153319644</x:v>
      </x:c>
      <x:c r="G6196" s="26" t="b">
        <x:v>1</x:v>
      </x:c>
      <x:c r="H6196" s="16" t="n">
        <x:v>0</x:v>
      </x:c>
      <x:c r="I6196" s="16" t="n">
        <x:v>0</x:v>
      </x:c>
      <x:c r="J6196" s="16" t="n">
        <x:v>0.5833333333333333</x:v>
      </x:c>
      <x:c r="K6196" s="11" t="n">
        <x:f>CHOOSE('假设'!$B$3,H6196,I6196,J6196)</x:f>
        <x:v>0</x:v>
      </x:c>
      <x:c r="L6196" s="11" t="n">
        <x:f>K6196*'管线假设'!E1327*'管线假设'!F1327*'管线假设'!G1327*IF(E6196="USD",'管线假设'!I1327,1)-AM6196</x:f>
        <x:v>0</x:v>
      </x:c>
      <x:c r="M6196" s="11" t="n">
        <x:f>'管线假设'!H1327</x:f>
        <x:v>0.14</x:v>
      </x:c>
      <x:c r="N6196" s="11" t="n">
        <x:f>IF(G6196,L6196*AN6196/(1+M6196)^F6196,0)</x:f>
        <x:v>0</x:v>
      </x:c>
      <x:c r="AJ6196" t="n">
        <x:v>0</x:v>
      </x:c>
      <x:c r="AK6196" t="n">
        <x:v>0</x:v>
      </x:c>
      <x:c r="AL6196" t="n">
        <x:v>0</x:v>
      </x:c>
      <x:c r="AM6196" t="n">
        <x:f>CHOOSE('假设'!$B$3,AJ6196,AK6196,AL6196)</x:f>
        <x:v>0</x:v>
      </x:c>
      <x:c r="AN6196" t="n">
        <x:v>1</x:v>
      </x:c>
    </x:row>
    <x:row r="6197" ht="23" customHeight="1">
      <x:c r="A6197" s="11" t="str">
        <x:v>688062.SH</x:v>
      </x:c>
      <x:c r="B6197" s="11" t="str">
        <x:v>五年</x:v>
      </x:c>
      <x:c r="C6197" s="11" t="str">
        <x:v>il11_global</x:v>
      </x:c>
      <x:c r="D6197" s="11" t="str">
        <x:v>2032-12-31</x:v>
      </x:c>
      <x:c r="E6197" s="11" t="str">
        <x:v>USD</x:v>
      </x:c>
      <x:c r="F6197" s="11" t="n">
        <x:v>1.2292950034223136</x:v>
      </x:c>
      <x:c r="G6197" s="26" t="b">
        <x:v>1</x:v>
      </x:c>
      <x:c r="H6197" s="16" t="n">
        <x:v>0</x:v>
      </x:c>
      <x:c r="I6197" s="16" t="n">
        <x:v>0</x:v>
      </x:c>
      <x:c r="J6197" s="16" t="n">
        <x:v>1.1666666666666665</x:v>
      </x:c>
      <x:c r="K6197" s="11" t="n">
        <x:f>CHOOSE('假设'!$B$3,H6197,I6197,J6197)</x:f>
        <x:v>0</x:v>
      </x:c>
      <x:c r="L6197" s="11" t="n">
        <x:f>K6197*'管线假设'!E1327*'管线假设'!F1327*'管线假设'!G1327*IF(E6197="USD",'管线假设'!I1327,1)-AM6197</x:f>
        <x:v>0</x:v>
      </x:c>
      <x:c r="M6197" s="11" t="n">
        <x:f>'管线假设'!H1327</x:f>
        <x:v>0.14</x:v>
      </x:c>
      <x:c r="N6197" s="11" t="n">
        <x:f>IF(G6197,L6197*AN6197/(1+M6197)^F6197,0)</x:f>
        <x:v>0</x:v>
      </x:c>
      <x:c r="AJ6197" t="n">
        <x:v>0</x:v>
      </x:c>
      <x:c r="AK6197" t="n">
        <x:v>0</x:v>
      </x:c>
      <x:c r="AL6197" t="n">
        <x:v>0</x:v>
      </x:c>
      <x:c r="AM6197" t="n">
        <x:f>CHOOSE('假设'!$B$3,AJ6197,AK6197,AL6197)</x:f>
        <x:v>0</x:v>
      </x:c>
      <x:c r="AN6197" t="n">
        <x:v>1</x:v>
      </x:c>
    </x:row>
    <x:row r="6198" ht="23" customHeight="1">
      <x:c r="A6198" s="11" t="str">
        <x:v>688062.SH</x:v>
      </x:c>
      <x:c r="B6198" s="11" t="str">
        <x:v>五年</x:v>
      </x:c>
      <x:c r="C6198" s="11" t="str">
        <x:v>il11_global</x:v>
      </x:c>
      <x:c r="D6198" s="11" t="str">
        <x:v>2033-12-31</x:v>
      </x:c>
      <x:c r="E6198" s="11" t="str">
        <x:v>USD</x:v>
      </x:c>
      <x:c r="F6198" s="11" t="n">
        <x:v>2.2286105407255303</x:v>
      </x:c>
      <x:c r="G6198" s="26" t="b">
        <x:v>1</x:v>
      </x:c>
      <x:c r="H6198" s="16" t="n">
        <x:v>0</x:v>
      </x:c>
      <x:c r="I6198" s="16" t="n">
        <x:v>0.3</x:v>
      </x:c>
      <x:c r="J6198" s="16" t="n">
        <x:v>1.75</x:v>
      </x:c>
      <x:c r="K6198" s="11" t="n">
        <x:f>CHOOSE('假设'!$B$3,H6198,I6198,J6198)</x:f>
        <x:v>0.3</x:v>
      </x:c>
      <x:c r="L6198" s="11" t="n">
        <x:f>K6198*'管线假设'!E1327*'管线假设'!F1327*'管线假设'!G1327*IF(E6198="USD",'管线假设'!I1327,1)-AM6198</x:f>
        <x:v>0.047837184000000005</x:v>
      </x:c>
      <x:c r="M6198" s="11" t="n">
        <x:f>'管线假设'!H1327</x:f>
        <x:v>0.14</x:v>
      </x:c>
      <x:c r="N6198" s="11" t="n">
        <x:f>IF(G6198,L6198*AN6198/(1+M6198)^F6198,0)</x:f>
        <x:v>0.035722912095021604</x:v>
      </x:c>
      <x:c r="AJ6198" t="n">
        <x:v>0</x:v>
      </x:c>
      <x:c r="AK6198" t="n">
        <x:v>0</x:v>
      </x:c>
      <x:c r="AL6198" t="n">
        <x:v>0</x:v>
      </x:c>
      <x:c r="AM6198" t="n">
        <x:f>CHOOSE('假设'!$B$3,AJ6198,AK6198,AL6198)</x:f>
        <x:v>0</x:v>
      </x:c>
      <x:c r="AN6198" t="n">
        <x:v>1</x:v>
      </x:c>
    </x:row>
    <x:row r="6199" ht="23" customHeight="1">
      <x:c r="A6199" s="11" t="str">
        <x:v>688062.SH</x:v>
      </x:c>
      <x:c r="B6199" s="11" t="str">
        <x:v>五年</x:v>
      </x:c>
      <x:c r="C6199" s="11" t="str">
        <x:v>il11_global</x:v>
      </x:c>
      <x:c r="D6199" s="11" t="str">
        <x:v>2034-12-31</x:v>
      </x:c>
      <x:c r="E6199" s="11" t="str">
        <x:v>USD</x:v>
      </x:c>
      <x:c r="F6199" s="11" t="n">
        <x:v>3.2279260780287475</x:v>
      </x:c>
      <x:c r="G6199" s="26" t="b">
        <x:v>1</x:v>
      </x:c>
      <x:c r="H6199" s="16" t="n">
        <x:v>0</x:v>
      </x:c>
      <x:c r="I6199" s="16" t="n">
        <x:v>0.6</x:v>
      </x:c>
      <x:c r="J6199" s="16" t="n">
        <x:v>2.333333333333333</x:v>
      </x:c>
      <x:c r="K6199" s="11" t="n">
        <x:f>CHOOSE('假设'!$B$3,H6199,I6199,J6199)</x:f>
        <x:v>0.6</x:v>
      </x:c>
      <x:c r="L6199" s="11" t="n">
        <x:f>K6199*'管线假设'!E1327*'管线假设'!F1327*'管线假设'!G1327*IF(E6199="USD",'管线假设'!I1327,1)-AM6199</x:f>
        <x:v>0.09567436800000001</x:v>
      </x:c>
      <x:c r="M6199" s="11" t="n">
        <x:f>'管线假设'!H1327</x:f>
        <x:v>0.14</x:v>
      </x:c>
      <x:c r="N6199" s="11" t="n">
        <x:f>IF(G6199,L6199*AN6199/(1+M6199)^F6199,0)</x:f>
        <x:v>0.06267739651023102</x:v>
      </x:c>
      <x:c r="AJ6199" t="n">
        <x:v>0</x:v>
      </x:c>
      <x:c r="AK6199" t="n">
        <x:v>0</x:v>
      </x:c>
      <x:c r="AL6199" t="n">
        <x:v>0</x:v>
      </x:c>
      <x:c r="AM6199" t="n">
        <x:f>CHOOSE('假设'!$B$3,AJ6199,AK6199,AL6199)</x:f>
        <x:v>0</x:v>
      </x:c>
      <x:c r="AN6199" t="n">
        <x:v>1</x:v>
      </x:c>
    </x:row>
    <x:row r="6200" ht="23" customHeight="1">
      <x:c r="A6200" s="11" t="str">
        <x:v>688062.SH</x:v>
      </x:c>
      <x:c r="B6200" s="11" t="str">
        <x:v>五年</x:v>
      </x:c>
      <x:c r="C6200" s="11" t="str">
        <x:v>il11_global</x:v>
      </x:c>
      <x:c r="D6200" s="11" t="str">
        <x:v>2035-12-31</x:v>
      </x:c>
      <x:c r="E6200" s="11" t="str">
        <x:v>USD</x:v>
      </x:c>
      <x:c r="F6200" s="11" t="n">
        <x:v>4.227241615331964</x:v>
      </x:c>
      <x:c r="G6200" s="26" t="b">
        <x:v>1</x:v>
      </x:c>
      <x:c r="H6200" s="16" t="n">
        <x:v>0</x:v>
      </x:c>
      <x:c r="I6200" s="16" t="n">
        <x:v>0.9</x:v>
      </x:c>
      <x:c r="J6200" s="16" t="n">
        <x:v>2.916666666666667</x:v>
      </x:c>
      <x:c r="K6200" s="11" t="n">
        <x:f>CHOOSE('假设'!$B$3,H6200,I6200,J6200)</x:f>
        <x:v>0.9</x:v>
      </x:c>
      <x:c r="L6200" s="11" t="n">
        <x:f>K6200*'管线假设'!E1327*'管线假设'!F1327*'管线假设'!G1327*IF(E6200="USD",'管线假设'!I1327,1)-AM6200</x:f>
        <x:v>0.14351155200000001</x:v>
      </x:c>
      <x:c r="M6200" s="11" t="n">
        <x:f>'管线假设'!H1327</x:f>
        <x:v>0.14</x:v>
      </x:c>
      <x:c r="N6200" s="11" t="n">
        <x:f>IF(G6200,L6200*AN6200/(1+M6200)^F6200,0)</x:f>
        <x:v>0.08247765515695867</x:v>
      </x:c>
      <x:c r="AJ6200" t="n">
        <x:v>0</x:v>
      </x:c>
      <x:c r="AK6200" t="n">
        <x:v>0</x:v>
      </x:c>
      <x:c r="AL6200" t="n">
        <x:v>0</x:v>
      </x:c>
      <x:c r="AM6200" t="n">
        <x:f>CHOOSE('假设'!$B$3,AJ6200,AK6200,AL6200)</x:f>
        <x:v>0</x:v>
      </x:c>
      <x:c r="AN6200" t="n">
        <x:v>1</x:v>
      </x:c>
    </x:row>
    <x:row r="6201" ht="23" customHeight="1">
      <x:c r="A6201" s="11" t="str">
        <x:v>688062.SH</x:v>
      </x:c>
      <x:c r="B6201" s="11" t="str">
        <x:v>五年</x:v>
      </x:c>
      <x:c r="C6201" s="11" t="str">
        <x:v>il11_global</x:v>
      </x:c>
      <x:c r="D6201" s="11" t="str">
        <x:v>2036-12-31</x:v>
      </x:c>
      <x:c r="E6201" s="11" t="str">
        <x:v>USD</x:v>
      </x:c>
      <x:c r="F6201" s="11" t="n">
        <x:v>5.229295003422314</x:v>
      </x:c>
      <x:c r="G6201" s="26" t="b">
        <x:v>1</x:v>
      </x:c>
      <x:c r="H6201" s="16" t="n">
        <x:v>0.12</x:v>
      </x:c>
      <x:c r="I6201" s="16" t="n">
        <x:v>1.2</x:v>
      </x:c>
      <x:c r="J6201" s="16" t="n">
        <x:v>3.5</x:v>
      </x:c>
      <x:c r="K6201" s="11" t="n">
        <x:f>CHOOSE('假设'!$B$3,H6201,I6201,J6201)</x:f>
        <x:v>1.2</x:v>
      </x:c>
      <x:c r="L6201" s="11" t="n">
        <x:f>K6201*'管线假设'!E1327*'管线假设'!F1327*'管线假设'!G1327*IF(E6201="USD",'管线假设'!I1327,1)-AM6201</x:f>
        <x:v>0.19134873600000002</x:v>
      </x:c>
      <x:c r="M6201" s="11" t="n">
        <x:f>'管线假设'!H1327</x:f>
        <x:v>0.14</x:v>
      </x:c>
      <x:c r="N6201" s="11" t="n">
        <x:f>IF(G6201,L6201*AN6201/(1+M6201)^F6201,0)</x:f>
        <x:v>0.09643914312781388</x:v>
      </x:c>
      <x:c r="AJ6201" t="n">
        <x:v>0</x:v>
      </x:c>
      <x:c r="AK6201" t="n">
        <x:v>0</x:v>
      </x:c>
      <x:c r="AL6201" t="n">
        <x:v>0</x:v>
      </x:c>
      <x:c r="AM6201" t="n">
        <x:f>CHOOSE('假设'!$B$3,AJ6201,AK6201,AL6201)</x:f>
        <x:v>0</x:v>
      </x:c>
      <x:c r="AN6201" t="n">
        <x:v>1</x:v>
      </x:c>
    </x:row>
    <x:row r="6202" ht="23" customHeight="1">
      <x:c r="A6202" s="11" t="str">
        <x:v>688062.SH</x:v>
      </x:c>
      <x:c r="B6202" s="11" t="str">
        <x:v>五年</x:v>
      </x:c>
      <x:c r="C6202" s="11" t="str">
        <x:v>il11_global</x:v>
      </x:c>
      <x:c r="D6202" s="11" t="str">
        <x:v>2037-12-31</x:v>
      </x:c>
      <x:c r="E6202" s="11" t="str">
        <x:v>USD</x:v>
      </x:c>
      <x:c r="F6202" s="11" t="n">
        <x:v>6.228610540725531</x:v>
      </x:c>
      <x:c r="G6202" s="26" t="b">
        <x:v>1</x:v>
      </x:c>
      <x:c r="H6202" s="16" t="n">
        <x:v>0.24</x:v>
      </x:c>
      <x:c r="I6202" s="16" t="n">
        <x:v>1.5</x:v>
      </x:c>
      <x:c r="J6202" s="16" t="n">
        <x:v>3.045</x:v>
      </x:c>
      <x:c r="K6202" s="11" t="n">
        <x:f>CHOOSE('假设'!$B$3,H6202,I6202,J6202)</x:f>
        <x:v>1.5</x:v>
      </x:c>
      <x:c r="L6202" s="11" t="n">
        <x:f>K6202*'管线假设'!E1327*'管线假设'!F1327*'管线假设'!G1327*IF(E6202="USD",'管线假设'!I1327,1)-AM6202</x:f>
        <x:v>0.23918592000000005</x:v>
      </x:c>
      <x:c r="M6202" s="11" t="n">
        <x:f>'管线假设'!H1327</x:f>
        <x:v>0.14</x:v>
      </x:c>
      <x:c r="N6202" s="11" t="n">
        <x:f>IF(G6202,L6202*AN6202/(1+M6202)^F6202,0)</x:f>
        <x:v>0.10575415850845643</x:v>
      </x:c>
      <x:c r="AJ6202" t="n">
        <x:v>0</x:v>
      </x:c>
      <x:c r="AK6202" t="n">
        <x:v>0</x:v>
      </x:c>
      <x:c r="AL6202" t="n">
        <x:v>0</x:v>
      </x:c>
      <x:c r="AM6202" t="n">
        <x:f>CHOOSE('假设'!$B$3,AJ6202,AK6202,AL6202)</x:f>
        <x:v>0</x:v>
      </x:c>
      <x:c r="AN6202" t="n">
        <x:v>1</x:v>
      </x:c>
    </x:row>
    <x:row r="6203" ht="23" customHeight="1">
      <x:c r="A6203" s="11" t="str">
        <x:v>688062.SH</x:v>
      </x:c>
      <x:c r="B6203" s="11" t="str">
        <x:v>五年</x:v>
      </x:c>
      <x:c r="C6203" s="11" t="str">
        <x:v>il11_global</x:v>
      </x:c>
      <x:c r="D6203" s="11" t="str">
        <x:v>2038-12-31</x:v>
      </x:c>
      <x:c r="E6203" s="11" t="str">
        <x:v>USD</x:v>
      </x:c>
      <x:c r="F6203" s="11" t="n">
        <x:v>7.227926078028747</x:v>
      </x:c>
      <x:c r="G6203" s="26" t="b">
        <x:v>1</x:v>
      </x:c>
      <x:c r="H6203" s="16" t="n">
        <x:v>0.36</x:v>
      </x:c>
      <x:c r="I6203" s="16" t="n">
        <x:v>1.8</x:v>
      </x:c>
      <x:c r="J6203" s="16" t="n">
        <x:v>2.59</x:v>
      </x:c>
      <x:c r="K6203" s="11" t="n">
        <x:f>CHOOSE('假设'!$B$3,H6203,I6203,J6203)</x:f>
        <x:v>1.8</x:v>
      </x:c>
      <x:c r="L6203" s="11" t="n">
        <x:f>K6203*'管线假设'!E1327*'管线假设'!F1327*'管线假设'!G1327*IF(E6203="USD",'管线假设'!I1327,1)-AM6203</x:f>
        <x:v>0.28702310400000003</x:v>
      </x:c>
      <x:c r="M6203" s="11" t="n">
        <x:f>'管线假设'!H1327</x:f>
        <x:v>0.14</x:v>
      </x:c>
      <x:c r="N6203" s="11" t="n">
        <x:f>IF(G6203,L6203*AN6203/(1+M6203)^F6203,0)</x:f>
        <x:v>0.11133015093185676</x:v>
      </x:c>
      <x:c r="AJ6203" t="n">
        <x:v>0</x:v>
      </x:c>
      <x:c r="AK6203" t="n">
        <x:v>0</x:v>
      </x:c>
      <x:c r="AL6203" t="n">
        <x:v>0</x:v>
      </x:c>
      <x:c r="AM6203" t="n">
        <x:f>CHOOSE('假设'!$B$3,AJ6203,AK6203,AL6203)</x:f>
        <x:v>0</x:v>
      </x:c>
      <x:c r="AN6203" t="n">
        <x:v>1</x:v>
      </x:c>
    </x:row>
    <x:row r="6204" ht="23" customHeight="1">
      <x:c r="A6204" s="11" t="str">
        <x:v>688062.SH</x:v>
      </x:c>
      <x:c r="B6204" s="11" t="str">
        <x:v>五年</x:v>
      </x:c>
      <x:c r="C6204" s="11" t="str">
        <x:v>il11_global</x:v>
      </x:c>
      <x:c r="D6204" s="11" t="str">
        <x:v>2039-12-31</x:v>
      </x:c>
      <x:c r="E6204" s="11" t="str">
        <x:v>USD</x:v>
      </x:c>
      <x:c r="F6204" s="11" t="n">
        <x:v>8.227241615331964</x:v>
      </x:c>
      <x:c r="G6204" s="26" t="b">
        <x:v>1</x:v>
      </x:c>
      <x:c r="H6204" s="16" t="n">
        <x:v>0.48</x:v>
      </x:c>
      <x:c r="I6204" s="16" t="n">
        <x:v>1.566</x:v>
      </x:c>
      <x:c r="J6204" s="16" t="n">
        <x:v>2.135</x:v>
      </x:c>
      <x:c r="K6204" s="11" t="n">
        <x:f>CHOOSE('假设'!$B$3,H6204,I6204,J6204)</x:f>
        <x:v>1.566</x:v>
      </x:c>
      <x:c r="L6204" s="11" t="n">
        <x:f>K6204*'管线假设'!E1327*'管线假设'!F1327*'管线假设'!G1327*IF(E6204="USD",'管线假设'!I1327,1)-AM6204</x:f>
        <x:v>0.24971010048000006</x:v>
      </x:c>
      <x:c r="M6204" s="11" t="n">
        <x:f>'管线假设'!H1327</x:f>
        <x:v>0.14</x:v>
      </x:c>
      <x:c r="N6204" s="11" t="n">
        <x:f>IF(G6204,L6204*AN6204/(1+M6204)^F6204,0)</x:f>
        <x:v>0.08497010371938438</x:v>
      </x:c>
      <x:c r="AJ6204" t="n">
        <x:v>0</x:v>
      </x:c>
      <x:c r="AK6204" t="n">
        <x:v>0</x:v>
      </x:c>
      <x:c r="AL6204" t="n">
        <x:v>0</x:v>
      </x:c>
      <x:c r="AM6204" t="n">
        <x:f>CHOOSE('假设'!$B$3,AJ6204,AK6204,AL6204)</x:f>
        <x:v>0</x:v>
      </x:c>
      <x:c r="AN6204" t="n">
        <x:v>1</x:v>
      </x:c>
    </x:row>
    <x:row r="6205" ht="23" customHeight="1">
      <x:c r="A6205" s="11" t="str">
        <x:v>688062.SH</x:v>
      </x:c>
      <x:c r="B6205" s="11" t="str">
        <x:v>五年</x:v>
      </x:c>
      <x:c r="C6205" s="11" t="str">
        <x:v>il11_global</x:v>
      </x:c>
      <x:c r="D6205" s="11" t="str">
        <x:v>2040-12-31</x:v>
      </x:c>
      <x:c r="E6205" s="11" t="str">
        <x:v>USD</x:v>
      </x:c>
      <x:c r="F6205" s="11" t="n">
        <x:v>9.229295003422314</x:v>
      </x:c>
      <x:c r="G6205" s="26" t="b">
        <x:v>1</x:v>
      </x:c>
      <x:c r="H6205" s="16" t="n">
        <x:v>0.6</x:v>
      </x:c>
      <x:c r="I6205" s="16" t="n">
        <x:v>1.332</x:v>
      </x:c>
      <x:c r="J6205" s="16" t="n">
        <x:v>1.68</x:v>
      </x:c>
      <x:c r="K6205" s="11" t="n">
        <x:f>CHOOSE('假设'!$B$3,H6205,I6205,J6205)</x:f>
        <x:v>1.332</x:v>
      </x:c>
      <x:c r="L6205" s="11" t="n">
        <x:f>K6205*'管线假设'!E1327*'管线假设'!F1327*'管线假设'!G1327*IF(E6205="USD",'管线假设'!I1327,1)-AM6205</x:f>
        <x:v>0.21239709696000006</x:v>
      </x:c>
      <x:c r="M6205" s="11" t="n">
        <x:f>'管线假设'!H1327</x:f>
        <x:v>0.14</x:v>
      </x:c>
      <x:c r="N6205" s="11" t="n">
        <x:f>IF(G6205,L6205*AN6205/(1+M6205)^F6205,0)</x:f>
        <x:v>0.06338068321982998</x:v>
      </x:c>
      <x:c r="AJ6205" t="n">
        <x:v>0</x:v>
      </x:c>
      <x:c r="AK6205" t="n">
        <x:v>0</x:v>
      </x:c>
      <x:c r="AL6205" t="n">
        <x:v>0</x:v>
      </x:c>
      <x:c r="AM6205" t="n">
        <x:f>CHOOSE('假设'!$B$3,AJ6205,AK6205,AL6205)</x:f>
        <x:v>0</x:v>
      </x:c>
      <x:c r="AN6205" t="n">
        <x:v>1</x:v>
      </x:c>
    </x:row>
    <x:row r="6206" ht="23" customHeight="1">
      <x:c r="A6206" s="11" t="str">
        <x:v>688062.SH</x:v>
      </x:c>
      <x:c r="B6206" s="11" t="str">
        <x:v>五年</x:v>
      </x:c>
      <x:c r="C6206" s="11" t="str">
        <x:v>il11_global</x:v>
      </x:c>
      <x:c r="D6206" s="11" t="str">
        <x:v>2041-12-31</x:v>
      </x:c>
      <x:c r="E6206" s="11" t="str">
        <x:v>USD</x:v>
      </x:c>
      <x:c r="F6206" s="11" t="n">
        <x:v>10.22861054072553</x:v>
      </x:c>
      <x:c r="G6206" s="26" t="b">
        <x:v>1</x:v>
      </x:c>
      <x:c r="H6206" s="16" t="n">
        <x:v>0.522</x:v>
      </x:c>
      <x:c r="I6206" s="16" t="n">
        <x:v>1.098</x:v>
      </x:c>
      <x:c r="J6206" s="16" t="n">
        <x:v>1.2249999999999999</x:v>
      </x:c>
      <x:c r="K6206" s="11" t="n">
        <x:f>CHOOSE('假设'!$B$3,H6206,I6206,J6206)</x:f>
        <x:v>1.098</x:v>
      </x:c>
      <x:c r="L6206" s="11" t="n">
        <x:f>K6206*'管线假设'!E1327*'管线假设'!F1327*'管线假设'!G1327*IF(E6206="USD",'管线假设'!I1327,1)-AM6206</x:f>
        <x:v>0.17508409344000003</x:v>
      </x:c>
      <x:c r="M6206" s="11" t="n">
        <x:f>'管线假设'!H1327</x:f>
        <x:v>0.14</x:v>
      </x:c>
      <x:c r="N6206" s="11" t="n">
        <x:f>IF(G6206,L6206*AN6206/(1+M6206)^F6206,0)</x:f>
        <x:v>0.04583414450000412</x:v>
      </x:c>
      <x:c r="AJ6206" t="n">
        <x:v>0</x:v>
      </x:c>
      <x:c r="AK6206" t="n">
        <x:v>0</x:v>
      </x:c>
      <x:c r="AL6206" t="n">
        <x:v>0</x:v>
      </x:c>
      <x:c r="AM6206" t="n">
        <x:f>CHOOSE('假设'!$B$3,AJ6206,AK6206,AL6206)</x:f>
        <x:v>0</x:v>
      </x:c>
      <x:c r="AN6206" t="n">
        <x:v>1</x:v>
      </x:c>
    </x:row>
    <x:row r="6207" ht="23" customHeight="1">
      <x:c r="A6207" s="11" t="str">
        <x:v>688062.SH</x:v>
      </x:c>
      <x:c r="B6207" s="11" t="str">
        <x:v>五年</x:v>
      </x:c>
      <x:c r="C6207" s="11" t="str">
        <x:v>il11_global</x:v>
      </x:c>
      <x:c r="D6207" s="11" t="str">
        <x:v>2042-12-31</x:v>
      </x:c>
      <x:c r="E6207" s="11" t="str">
        <x:v>USD</x:v>
      </x:c>
      <x:c r="F6207" s="11" t="n">
        <x:v>11.227926078028748</x:v>
      </x:c>
      <x:c r="G6207" s="26" t="b">
        <x:v>1</x:v>
      </x:c>
      <x:c r="H6207" s="16" t="n">
        <x:v>0.444</x:v>
      </x:c>
      <x:c r="I6207" s="16" t="n">
        <x:v>0.864</x:v>
      </x:c>
      <x:c r="J6207" s="16" t="n">
        <x:v>0.7699999999999999</x:v>
      </x:c>
      <x:c r="K6207" s="11" t="n">
        <x:f>CHOOSE('假设'!$B$3,H6207,I6207,J6207)</x:f>
        <x:v>0.864</x:v>
      </x:c>
      <x:c r="L6207" s="11" t="n">
        <x:f>K6207*'管线假设'!E1327*'管线假设'!F1327*'管线假设'!G1327*IF(E6207="USD",'管线假设'!I1327,1)-AM6207</x:f>
        <x:v>0.13777108992000003</x:v>
      </x:c>
      <x:c r="M6207" s="11" t="n">
        <x:f>'管线假设'!H1327</x:f>
        <x:v>0.14</x:v>
      </x:c>
      <x:c r="N6207" s="11" t="n">
        <x:f>IF(G6207,L6207*AN6207/(1+M6207)^F6207,0)</x:f>
        <x:v>0.03163986558883143</x:v>
      </x:c>
      <x:c r="AJ6207" t="n">
        <x:v>0</x:v>
      </x:c>
      <x:c r="AK6207" t="n">
        <x:v>0</x:v>
      </x:c>
      <x:c r="AL6207" t="n">
        <x:v>0</x:v>
      </x:c>
      <x:c r="AM6207" t="n">
        <x:f>CHOOSE('假设'!$B$3,AJ6207,AK6207,AL6207)</x:f>
        <x:v>0</x:v>
      </x:c>
      <x:c r="AN6207" t="n">
        <x:v>1</x:v>
      </x:c>
    </x:row>
    <x:row r="6208" ht="23" customHeight="1">
      <x:c r="A6208" s="11" t="str">
        <x:v>688062.SH</x:v>
      </x:c>
      <x:c r="B6208" s="11" t="str">
        <x:v>五年</x:v>
      </x:c>
      <x:c r="C6208" s="11" t="str">
        <x:v>il11_global</x:v>
      </x:c>
      <x:c r="D6208" s="11" t="str">
        <x:v>2043-12-31</x:v>
      </x:c>
      <x:c r="E6208" s="11" t="str">
        <x:v>USD</x:v>
      </x:c>
      <x:c r="F6208" s="11" t="n">
        <x:v>12.227241615331964</x:v>
      </x:c>
      <x:c r="G6208" s="26" t="b">
        <x:v>1</x:v>
      </x:c>
      <x:c r="H6208" s="16" t="n">
        <x:v>0.366</x:v>
      </x:c>
      <x:c r="I6208" s="16" t="n">
        <x:v>0.63</x:v>
      </x:c>
      <x:c r="J6208" s="16" t="n">
        <x:v>0.3149999999999999</x:v>
      </x:c>
      <x:c r="K6208" s="11" t="n">
        <x:f>CHOOSE('假设'!$B$3,H6208,I6208,J6208)</x:f>
        <x:v>0.63</x:v>
      </x:c>
      <x:c r="L6208" s="11" t="n">
        <x:f>K6208*'管线假设'!E1327*'管线假设'!F1327*'管线假设'!G1327*IF(E6208="USD",'管线假设'!I1327,1)-AM6208</x:f>
        <x:v>0.10045808640000002</x:v>
      </x:c>
      <x:c r="M6208" s="11" t="n">
        <x:f>'管线假设'!H1327</x:f>
        <x:v>0.14</x:v>
      </x:c>
      <x:c r="N6208" s="11" t="n">
        <x:f>IF(G6208,L6208*AN6208/(1+M6208)^F6208,0)</x:f>
        <x:v>0.020239302186691267</x:v>
      </x:c>
      <x:c r="AJ6208" t="n">
        <x:v>0</x:v>
      </x:c>
      <x:c r="AK6208" t="n">
        <x:v>0</x:v>
      </x:c>
      <x:c r="AL6208" t="n">
        <x:v>0</x:v>
      </x:c>
      <x:c r="AM6208" t="n">
        <x:f>CHOOSE('假设'!$B$3,AJ6208,AK6208,AL6208)</x:f>
        <x:v>0</x:v>
      </x:c>
      <x:c r="AN6208" t="n">
        <x:v>1</x:v>
      </x:c>
    </x:row>
    <x:row r="6209" ht="23" customHeight="1">
      <x:c r="A6209" s="11" t="str">
        <x:v>688062.SH</x:v>
      </x:c>
      <x:c r="B6209" s="11" t="str">
        <x:v>五年</x:v>
      </x:c>
      <x:c r="C6209" s="11" t="str">
        <x:v>il11_global</x:v>
      </x:c>
      <x:c r="D6209" s="11" t="str">
        <x:v>2044-12-31</x:v>
      </x:c>
      <x:c r="E6209" s="11" t="str">
        <x:v>USD</x:v>
      </x:c>
      <x:c r="F6209" s="11" t="n">
        <x:v>13.229295003422314</x:v>
      </x:c>
      <x:c r="G6209" s="26" t="b">
        <x:v>1</x:v>
      </x:c>
      <x:c r="H6209" s="16" t="n">
        <x:v>0.288</x:v>
      </x:c>
      <x:c r="I6209" s="16" t="n">
        <x:v>0.39599999999999996</x:v>
      </x:c>
      <x:c r="J6209" s="16" t="n">
        <x:v>0</x:v>
      </x:c>
      <x:c r="K6209" s="11" t="n">
        <x:f>CHOOSE('假设'!$B$3,H6209,I6209,J6209)</x:f>
        <x:v>0.39599999999999996</x:v>
      </x:c>
      <x:c r="L6209" s="11" t="n">
        <x:f>K6209*'管线假设'!E1327*'管线假设'!F1327*'管线假设'!G1327*IF(E6209="USD",'管线假设'!I1327,1)-AM6209</x:f>
        <x:v>0.06314508288000001</x:v>
      </x:c>
      <x:c r="M6209" s="11" t="n">
        <x:f>'管线假设'!H1327</x:f>
        <x:v>0.14</x:v>
      </x:c>
      <x:c r="N6209" s="11" t="n">
        <x:f>IF(G6209,L6209*AN6209/(1+M6209)^F6209,0)</x:f>
        <x:v>0.011156512905616204</x:v>
      </x:c>
      <x:c r="AJ6209" t="n">
        <x:v>0</x:v>
      </x:c>
      <x:c r="AK6209" t="n">
        <x:v>0</x:v>
      </x:c>
      <x:c r="AL6209" t="n">
        <x:v>0</x:v>
      </x:c>
      <x:c r="AM6209" t="n">
        <x:f>CHOOSE('假设'!$B$3,AJ6209,AK6209,AL6209)</x:f>
        <x:v>0</x:v>
      </x:c>
      <x:c r="AN6209" t="n">
        <x:v>1</x:v>
      </x:c>
    </x:row>
    <x:row r="6210" ht="23" customHeight="1">
      <x:c r="A6210" s="11" t="str">
        <x:v>688062.SH</x:v>
      </x:c>
      <x:c r="B6210" s="11" t="str">
        <x:v>五年</x:v>
      </x:c>
      <x:c r="C6210" s="11" t="str">
        <x:v>il11_global</x:v>
      </x:c>
      <x:c r="D6210" s="11" t="str">
        <x:v>2045-12-31</x:v>
      </x:c>
      <x:c r="E6210" s="11" t="str">
        <x:v>USD</x:v>
      </x:c>
      <x:c r="F6210" s="11" t="n">
        <x:v>14.22861054072553</x:v>
      </x:c>
      <x:c r="G6210" s="26" t="b">
        <x:v>1</x:v>
      </x:c>
      <x:c r="H6210" s="16" t="n">
        <x:v>0.21</x:v>
      </x:c>
      <x:c r="I6210" s="16" t="n">
        <x:v>0.16199999999999995</x:v>
      </x:c>
      <x:c r="J6210" s="16" t="n">
        <x:v>0</x:v>
      </x:c>
      <x:c r="K6210" s="11" t="n">
        <x:f>CHOOSE('假设'!$B$3,H6210,I6210,J6210)</x:f>
        <x:v>0.16199999999999995</x:v>
      </x:c>
      <x:c r="L6210" s="11" t="n">
        <x:f>K6210*'管线假设'!E1327*'管线假设'!F1327*'管线假设'!G1327*IF(E6210="USD",'管线假设'!I1327,1)-AM6210</x:f>
        <x:v>0.025832079359999996</x:v>
      </x:c>
      <x:c r="M6210" s="11" t="n">
        <x:f>'管线假设'!H1327</x:f>
        <x:v>0.14</x:v>
      </x:c>
      <x:c r="N6210" s="11" t="n">
        <x:f>IF(G6210,L6210*AN6210/(1+M6210)^F6210,0)</x:f>
        <x:v>0.004003892408152294</x:v>
      </x:c>
      <x:c r="AJ6210" t="n">
        <x:v>0</x:v>
      </x:c>
      <x:c r="AK6210" t="n">
        <x:v>0</x:v>
      </x:c>
      <x:c r="AL6210" t="n">
        <x:v>0</x:v>
      </x:c>
      <x:c r="AM6210" t="n">
        <x:f>CHOOSE('假设'!$B$3,AJ6210,AK6210,AL6210)</x:f>
        <x:v>0</x:v>
      </x:c>
      <x:c r="AN6210" t="n">
        <x:v>1</x:v>
      </x:c>
    </x:row>
    <x:row r="6211" ht="23" customHeight="1">
      <x:c r="A6211" s="11" t="str">
        <x:v>688062.SH</x:v>
      </x:c>
      <x:c r="B6211" s="11" t="str">
        <x:v>五年</x:v>
      </x:c>
      <x:c r="C6211" s="11" t="str">
        <x:v>il11_cn</x:v>
      </x:c>
      <x:c r="D6211" s="11" t="str">
        <x:v>2027-12-31</x:v>
      </x:c>
      <x:c r="E6211" s="11" t="str">
        <x:v>CNY</x:v>
      </x:c>
      <x:c r="F6211" s="11" t="n">
        <x:v>-3.7727583846680357</x:v>
      </x:c>
      <x:c r="G6211" s="26" t="b">
        <x:v>0</x:v>
      </x:c>
      <x:c r="H6211" s="16" t="n">
        <x:v>0</x:v>
      </x:c>
      <x:c r="I6211" s="16" t="n">
        <x:v>0</x:v>
      </x:c>
      <x:c r="J6211" s="16" t="n">
        <x:v>0</x:v>
      </x:c>
      <x:c r="K6211" s="11" t="n">
        <x:f>CHOOSE('假设'!$B$3,H6211,I6211,J6211)</x:f>
        <x:v>0</x:v>
      </x:c>
      <x:c r="L6211" s="11" t="n">
        <x:f>K6211*'管线假设'!E1331*'管线假设'!F1331*'管线假设'!G1331*IF(E6211="USD",'管线假设'!I1331,1)-AM6211</x:f>
        <x:v>0</x:v>
      </x:c>
      <x:c r="M6211" s="11" t="n">
        <x:f>'管线假设'!H1331</x:f>
        <x:v>0.14</x:v>
      </x:c>
      <x:c r="N6211" s="11" t="n">
        <x:f>IF(G6211,L6211*AN6211/(1+M6211)^F6211,0)</x:f>
        <x:v>0</x:v>
      </x:c>
      <x:c r="AJ6211" t="n">
        <x:v>0</x:v>
      </x:c>
      <x:c r="AK6211" t="n">
        <x:v>0</x:v>
      </x:c>
      <x:c r="AL6211" t="n">
        <x:v>0</x:v>
      </x:c>
      <x:c r="AM6211" t="n">
        <x:f>CHOOSE('假设'!$B$3,AJ6211,AK6211,AL6211)</x:f>
        <x:v>0</x:v>
      </x:c>
      <x:c r="AN6211" t="n">
        <x:v>1</x:v>
      </x:c>
    </x:row>
    <x:row r="6212" ht="23" customHeight="1">
      <x:c r="A6212" s="11" t="str">
        <x:v>688062.SH</x:v>
      </x:c>
      <x:c r="B6212" s="11" t="str">
        <x:v>五年</x:v>
      </x:c>
      <x:c r="C6212" s="11" t="str">
        <x:v>il11_cn</x:v>
      </x:c>
      <x:c r="D6212" s="11" t="str">
        <x:v>2028-12-31</x:v>
      </x:c>
      <x:c r="E6212" s="11" t="str">
        <x:v>CNY</x:v>
      </x:c>
      <x:c r="F6212" s="11" t="n">
        <x:v>-2.7707049965776864</x:v>
      </x:c>
      <x:c r="G6212" s="26" t="b">
        <x:v>0</x:v>
      </x:c>
      <x:c r="H6212" s="16" t="n">
        <x:v>0</x:v>
      </x:c>
      <x:c r="I6212" s="16" t="n">
        <x:v>0</x:v>
      </x:c>
      <x:c r="J6212" s="16" t="n">
        <x:v>0</x:v>
      </x:c>
      <x:c r="K6212" s="11" t="n">
        <x:f>CHOOSE('假设'!$B$3,H6212,I6212,J6212)</x:f>
        <x:v>0</x:v>
      </x:c>
      <x:c r="L6212" s="11" t="n">
        <x:f>K6212*'管线假设'!E1331*'管线假设'!F1331*'管线假设'!G1331*IF(E6212="USD",'管线假设'!I1331,1)-AM6212</x:f>
        <x:v>0</x:v>
      </x:c>
      <x:c r="M6212" s="11" t="n">
        <x:f>'管线假设'!H1331</x:f>
        <x:v>0.14</x:v>
      </x:c>
      <x:c r="N6212" s="11" t="n">
        <x:f>IF(G6212,L6212*AN6212/(1+M6212)^F6212,0)</x:f>
        <x:v>0</x:v>
      </x:c>
      <x:c r="AJ6212" t="n">
        <x:v>0</x:v>
      </x:c>
      <x:c r="AK6212" t="n">
        <x:v>0</x:v>
      </x:c>
      <x:c r="AL6212" t="n">
        <x:v>0</x:v>
      </x:c>
      <x:c r="AM6212" t="n">
        <x:f>CHOOSE('假设'!$B$3,AJ6212,AK6212,AL6212)</x:f>
        <x:v>0</x:v>
      </x:c>
      <x:c r="AN6212" t="n">
        <x:v>1</x:v>
      </x:c>
    </x:row>
    <x:row r="6213" ht="23" customHeight="1">
      <x:c r="A6213" s="11" t="str">
        <x:v>688062.SH</x:v>
      </x:c>
      <x:c r="B6213" s="11" t="str">
        <x:v>五年</x:v>
      </x:c>
      <x:c r="C6213" s="11" t="str">
        <x:v>il11_cn</x:v>
      </x:c>
      <x:c r="D6213" s="11" t="str">
        <x:v>2029-12-31</x:v>
      </x:c>
      <x:c r="E6213" s="11" t="str">
        <x:v>CNY</x:v>
      </x:c>
      <x:c r="F6213" s="11" t="n">
        <x:v>-1.7713894592744694</x:v>
      </x:c>
      <x:c r="G6213" s="26" t="b">
        <x:v>0</x:v>
      </x:c>
      <x:c r="H6213" s="16" t="n">
        <x:v>0</x:v>
      </x:c>
      <x:c r="I6213" s="16" t="n">
        <x:v>0</x:v>
      </x:c>
      <x:c r="J6213" s="16" t="n">
        <x:v>0</x:v>
      </x:c>
      <x:c r="K6213" s="11" t="n">
        <x:f>CHOOSE('假设'!$B$3,H6213,I6213,J6213)</x:f>
        <x:v>0</x:v>
      </x:c>
      <x:c r="L6213" s="11" t="n">
        <x:f>K6213*'管线假设'!E1331*'管线假设'!F1331*'管线假设'!G1331*IF(E6213="USD",'管线假设'!I1331,1)-AM6213</x:f>
        <x:v>0</x:v>
      </x:c>
      <x:c r="M6213" s="11" t="n">
        <x:f>'管线假设'!H1331</x:f>
        <x:v>0.14</x:v>
      </x:c>
      <x:c r="N6213" s="11" t="n">
        <x:f>IF(G6213,L6213*AN6213/(1+M6213)^F6213,0)</x:f>
        <x:v>0</x:v>
      </x:c>
      <x:c r="AJ6213" t="n">
        <x:v>0</x:v>
      </x:c>
      <x:c r="AK6213" t="n">
        <x:v>0</x:v>
      </x:c>
      <x:c r="AL6213" t="n">
        <x:v>0</x:v>
      </x:c>
      <x:c r="AM6213" t="n">
        <x:f>CHOOSE('假设'!$B$3,AJ6213,AK6213,AL6213)</x:f>
        <x:v>0</x:v>
      </x:c>
      <x:c r="AN6213" t="n">
        <x:v>1</x:v>
      </x:c>
    </x:row>
    <x:row r="6214" ht="23" customHeight="1">
      <x:c r="A6214" s="11" t="str">
        <x:v>688062.SH</x:v>
      </x:c>
      <x:c r="B6214" s="11" t="str">
        <x:v>五年</x:v>
      </x:c>
      <x:c r="C6214" s="11" t="str">
        <x:v>il11_cn</x:v>
      </x:c>
      <x:c r="D6214" s="11" t="str">
        <x:v>2030-12-31</x:v>
      </x:c>
      <x:c r="E6214" s="11" t="str">
        <x:v>CNY</x:v>
      </x:c>
      <x:c r="F6214" s="11" t="n">
        <x:v>-0.7720739219712526</x:v>
      </x:c>
      <x:c r="G6214" s="26" t="b">
        <x:v>0</x:v>
      </x:c>
      <x:c r="H6214" s="16" t="n">
        <x:v>0</x:v>
      </x:c>
      <x:c r="I6214" s="16" t="n">
        <x:v>0</x:v>
      </x:c>
      <x:c r="J6214" s="16" t="n">
        <x:v>0.25</x:v>
      </x:c>
      <x:c r="K6214" s="11" t="n">
        <x:f>CHOOSE('假设'!$B$3,H6214,I6214,J6214)</x:f>
        <x:v>0</x:v>
      </x:c>
      <x:c r="L6214" s="11" t="n">
        <x:f>K6214*'管线假设'!E1331*'管线假设'!F1331*'管线假设'!G1331*IF(E6214="USD",'管线假设'!I1331,1)-AM6214</x:f>
        <x:v>0</x:v>
      </x:c>
      <x:c r="M6214" s="11" t="n">
        <x:f>'管线假设'!H1331</x:f>
        <x:v>0.14</x:v>
      </x:c>
      <x:c r="N6214" s="11" t="n">
        <x:f>IF(G6214,L6214*AN6214/(1+M6214)^F6214,0)</x:f>
        <x:v>0</x:v>
      </x:c>
      <x:c r="AJ6214" t="n">
        <x:v>0</x:v>
      </x:c>
      <x:c r="AK6214" t="n">
        <x:v>0</x:v>
      </x:c>
      <x:c r="AL6214" t="n">
        <x:v>0</x:v>
      </x:c>
      <x:c r="AM6214" t="n">
        <x:f>CHOOSE('假设'!$B$3,AJ6214,AK6214,AL6214)</x:f>
        <x:v>0</x:v>
      </x:c>
      <x:c r="AN6214" t="n">
        <x:v>1</x:v>
      </x:c>
    </x:row>
    <x:row r="6215" ht="23" customHeight="1">
      <x:c r="A6215" s="11" t="str">
        <x:v>688062.SH</x:v>
      </x:c>
      <x:c r="B6215" s="11" t="str">
        <x:v>五年</x:v>
      </x:c>
      <x:c r="C6215" s="11" t="str">
        <x:v>il11_cn</x:v>
      </x:c>
      <x:c r="D6215" s="11" t="str">
        <x:v>2031-12-31</x:v>
      </x:c>
      <x:c r="E6215" s="11" t="str">
        <x:v>CNY</x:v>
      </x:c>
      <x:c r="F6215" s="11" t="n">
        <x:v>0.2272416153319644</x:v>
      </x:c>
      <x:c r="G6215" s="26" t="b">
        <x:v>1</x:v>
      </x:c>
      <x:c r="H6215" s="16" t="n">
        <x:v>0</x:v>
      </x:c>
      <x:c r="I6215" s="16" t="n">
        <x:v>0</x:v>
      </x:c>
      <x:c r="J6215" s="16" t="n">
        <x:v>0.5</x:v>
      </x:c>
      <x:c r="K6215" s="11" t="n">
        <x:f>CHOOSE('假设'!$B$3,H6215,I6215,J6215)</x:f>
        <x:v>0</x:v>
      </x:c>
      <x:c r="L6215" s="11" t="n">
        <x:f>K6215*'管线假设'!E1331*'管线假设'!F1331*'管线假设'!G1331*IF(E6215="USD",'管线假设'!I1331,1)-AM6215</x:f>
        <x:v>0</x:v>
      </x:c>
      <x:c r="M6215" s="11" t="n">
        <x:f>'管线假设'!H1331</x:f>
        <x:v>0.14</x:v>
      </x:c>
      <x:c r="N6215" s="11" t="n">
        <x:f>IF(G6215,L6215*AN6215/(1+M6215)^F6215,0)</x:f>
        <x:v>0</x:v>
      </x:c>
      <x:c r="AJ6215" t="n">
        <x:v>0</x:v>
      </x:c>
      <x:c r="AK6215" t="n">
        <x:v>0</x:v>
      </x:c>
      <x:c r="AL6215" t="n">
        <x:v>0</x:v>
      </x:c>
      <x:c r="AM6215" t="n">
        <x:f>CHOOSE('假设'!$B$3,AJ6215,AK6215,AL6215)</x:f>
        <x:v>0</x:v>
      </x:c>
      <x:c r="AN6215" t="n">
        <x:v>1</x:v>
      </x:c>
    </x:row>
    <x:row r="6216" ht="23" customHeight="1">
      <x:c r="A6216" s="11" t="str">
        <x:v>688062.SH</x:v>
      </x:c>
      <x:c r="B6216" s="11" t="str">
        <x:v>五年</x:v>
      </x:c>
      <x:c r="C6216" s="11" t="str">
        <x:v>il11_cn</x:v>
      </x:c>
      <x:c r="D6216" s="11" t="str">
        <x:v>2032-12-31</x:v>
      </x:c>
      <x:c r="E6216" s="11" t="str">
        <x:v>CNY</x:v>
      </x:c>
      <x:c r="F6216" s="11" t="n">
        <x:v>1.2292950034223136</x:v>
      </x:c>
      <x:c r="G6216" s="26" t="b">
        <x:v>1</x:v>
      </x:c>
      <x:c r="H6216" s="16" t="n">
        <x:v>0</x:v>
      </x:c>
      <x:c r="I6216" s="16" t="n">
        <x:v>0.13333333333333333</x:v>
      </x:c>
      <x:c r="J6216" s="16" t="n">
        <x:v>0.75</x:v>
      </x:c>
      <x:c r="K6216" s="11" t="n">
        <x:f>CHOOSE('假设'!$B$3,H6216,I6216,J6216)</x:f>
        <x:v>0.13333333333333333</x:v>
      </x:c>
      <x:c r="L6216" s="11" t="n">
        <x:f>K6216*'管线假设'!E1331*'管线假设'!F1331*'管线假设'!G1331*IF(E6216="USD",'管线假设'!I1331,1)-AM6216</x:f>
        <x:v>0.014656</x:v>
      </x:c>
      <x:c r="M6216" s="11" t="n">
        <x:f>'管线假设'!H1331</x:f>
        <x:v>0.14</x:v>
      </x:c>
      <x:c r="N6216" s="11" t="n">
        <x:f>IF(G6216,L6216*AN6216/(1+M6216)^F6216,0)</x:f>
        <x:v>0.012475633471768957</x:v>
      </x:c>
      <x:c r="AJ6216" t="n">
        <x:v>0</x:v>
      </x:c>
      <x:c r="AK6216" t="n">
        <x:v>0</x:v>
      </x:c>
      <x:c r="AL6216" t="n">
        <x:v>0</x:v>
      </x:c>
      <x:c r="AM6216" t="n">
        <x:f>CHOOSE('假设'!$B$3,AJ6216,AK6216,AL6216)</x:f>
        <x:v>0</x:v>
      </x:c>
      <x:c r="AN6216" t="n">
        <x:v>1</x:v>
      </x:c>
    </x:row>
    <x:row r="6217" ht="23" customHeight="1">
      <x:c r="A6217" s="11" t="str">
        <x:v>688062.SH</x:v>
      </x:c>
      <x:c r="B6217" s="11" t="str">
        <x:v>五年</x:v>
      </x:c>
      <x:c r="C6217" s="11" t="str">
        <x:v>il11_cn</x:v>
      </x:c>
      <x:c r="D6217" s="11" t="str">
        <x:v>2033-12-31</x:v>
      </x:c>
      <x:c r="E6217" s="11" t="str">
        <x:v>CNY</x:v>
      </x:c>
      <x:c r="F6217" s="11" t="n">
        <x:v>2.2286105407255303</x:v>
      </x:c>
      <x:c r="G6217" s="26" t="b">
        <x:v>1</x:v>
      </x:c>
      <x:c r="H6217" s="16" t="n">
        <x:v>0</x:v>
      </x:c>
      <x:c r="I6217" s="16" t="n">
        <x:v>0.26666666666666666</x:v>
      </x:c>
      <x:c r="J6217" s="16" t="n">
        <x:v>1</x:v>
      </x:c>
      <x:c r="K6217" s="11" t="n">
        <x:f>CHOOSE('假设'!$B$3,H6217,I6217,J6217)</x:f>
        <x:v>0.26666666666666666</x:v>
      </x:c>
      <x:c r="L6217" s="11" t="n">
        <x:f>K6217*'管线假设'!E1331*'管线假设'!F1331*'管线假设'!G1331*IF(E6217="USD",'管线假设'!I1331,1)-AM6217</x:f>
        <x:v>0.029312</x:v>
      </x:c>
      <x:c r="M6217" s="11" t="n">
        <x:f>'管线假设'!H1331</x:f>
        <x:v>0.14</x:v>
      </x:c>
      <x:c r="N6217" s="11" t="n">
        <x:f>IF(G6217,L6217*AN6217/(1+M6217)^F6217,0)</x:f>
        <x:v>0.021889039273910293</x:v>
      </x:c>
      <x:c r="AJ6217" t="n">
        <x:v>0</x:v>
      </x:c>
      <x:c r="AK6217" t="n">
        <x:v>0</x:v>
      </x:c>
      <x:c r="AL6217" t="n">
        <x:v>0</x:v>
      </x:c>
      <x:c r="AM6217" t="n">
        <x:f>CHOOSE('假设'!$B$3,AJ6217,AK6217,AL6217)</x:f>
        <x:v>0</x:v>
      </x:c>
      <x:c r="AN6217" t="n">
        <x:v>1</x:v>
      </x:c>
    </x:row>
    <x:row r="6218" ht="23" customHeight="1">
      <x:c r="A6218" s="11" t="str">
        <x:v>688062.SH</x:v>
      </x:c>
      <x:c r="B6218" s="11" t="str">
        <x:v>五年</x:v>
      </x:c>
      <x:c r="C6218" s="11" t="str">
        <x:v>il11_cn</x:v>
      </x:c>
      <x:c r="D6218" s="11" t="str">
        <x:v>2034-12-31</x:v>
      </x:c>
      <x:c r="E6218" s="11" t="str">
        <x:v>CNY</x:v>
      </x:c>
      <x:c r="F6218" s="11" t="n">
        <x:v>3.2279260780287475</x:v>
      </x:c>
      <x:c r="G6218" s="26" t="b">
        <x:v>1</x:v>
      </x:c>
      <x:c r="H6218" s="16" t="n">
        <x:v>0</x:v>
      </x:c>
      <x:c r="I6218" s="16" t="n">
        <x:v>0.4</x:v>
      </x:c>
      <x:c r="J6218" s="16" t="n">
        <x:v>1.25</x:v>
      </x:c>
      <x:c r="K6218" s="11" t="n">
        <x:f>CHOOSE('假设'!$B$3,H6218,I6218,J6218)</x:f>
        <x:v>0.4</x:v>
      </x:c>
      <x:c r="L6218" s="11" t="n">
        <x:f>K6218*'管线假设'!E1331*'管线假设'!F1331*'管线假设'!G1331*IF(E6218="USD",'管线假设'!I1331,1)-AM6218</x:f>
        <x:v>0.04396800000000001</x:v>
      </x:c>
      <x:c r="M6218" s="11" t="n">
        <x:f>'管线假设'!H1331</x:f>
        <x:v>0.14</x:v>
      </x:c>
      <x:c r="N6218" s="11" t="n">
        <x:f>IF(G6218,L6218*AN6218/(1+M6218)^F6218,0)</x:f>
        <x:v>0.028803950602128224</x:v>
      </x:c>
      <x:c r="AJ6218" t="n">
        <x:v>0</x:v>
      </x:c>
      <x:c r="AK6218" t="n">
        <x:v>0</x:v>
      </x:c>
      <x:c r="AL6218" t="n">
        <x:v>0</x:v>
      </x:c>
      <x:c r="AM6218" t="n">
        <x:f>CHOOSE('假设'!$B$3,AJ6218,AK6218,AL6218)</x:f>
        <x:v>0</x:v>
      </x:c>
      <x:c r="AN6218" t="n">
        <x:v>1</x:v>
      </x:c>
    </x:row>
    <x:row r="6219" ht="23" customHeight="1">
      <x:c r="A6219" s="11" t="str">
        <x:v>688062.SH</x:v>
      </x:c>
      <x:c r="B6219" s="11" t="str">
        <x:v>五年</x:v>
      </x:c>
      <x:c r="C6219" s="11" t="str">
        <x:v>il11_cn</x:v>
      </x:c>
      <x:c r="D6219" s="11" t="str">
        <x:v>2035-12-31</x:v>
      </x:c>
      <x:c r="E6219" s="11" t="str">
        <x:v>CNY</x:v>
      </x:c>
      <x:c r="F6219" s="11" t="n">
        <x:v>4.227241615331964</x:v>
      </x:c>
      <x:c r="G6219" s="26" t="b">
        <x:v>1</x:v>
      </x:c>
      <x:c r="H6219" s="16" t="n">
        <x:v>0.06</x:v>
      </x:c>
      <x:c r="I6219" s="16" t="n">
        <x:v>0.5333333333333333</x:v>
      </x:c>
      <x:c r="J6219" s="16" t="n">
        <x:v>1.5</x:v>
      </x:c>
      <x:c r="K6219" s="11" t="n">
        <x:f>CHOOSE('假设'!$B$3,H6219,I6219,J6219)</x:f>
        <x:v>0.5333333333333333</x:v>
      </x:c>
      <x:c r="L6219" s="11" t="n">
        <x:f>K6219*'管线假设'!E1331*'管线假设'!F1331*'管线假设'!G1331*IF(E6219="USD",'管线假设'!I1331,1)-AM6219</x:f>
        <x:v>0.058624</x:v>
      </x:c>
      <x:c r="M6219" s="11" t="n">
        <x:f>'管线假设'!H1331</x:f>
        <x:v>0.14</x:v>
      </x:c>
      <x:c r="N6219" s="11" t="n">
        <x:f>IF(G6219,L6219*AN6219/(1+M6219)^F6219,0)</x:f>
        <x:v>0.033691852596796835</x:v>
      </x:c>
      <x:c r="AJ6219" t="n">
        <x:v>0</x:v>
      </x:c>
      <x:c r="AK6219" t="n">
        <x:v>0</x:v>
      </x:c>
      <x:c r="AL6219" t="n">
        <x:v>0</x:v>
      </x:c>
      <x:c r="AM6219" t="n">
        <x:f>CHOOSE('假设'!$B$3,AJ6219,AK6219,AL6219)</x:f>
        <x:v>0</x:v>
      </x:c>
      <x:c r="AN6219" t="n">
        <x:v>1</x:v>
      </x:c>
    </x:row>
    <x:row r="6220" ht="23" customHeight="1">
      <x:c r="A6220" s="11" t="str">
        <x:v>688062.SH</x:v>
      </x:c>
      <x:c r="B6220" s="11" t="str">
        <x:v>五年</x:v>
      </x:c>
      <x:c r="C6220" s="11" t="str">
        <x:v>il11_cn</x:v>
      </x:c>
      <x:c r="D6220" s="11" t="str">
        <x:v>2036-12-31</x:v>
      </x:c>
      <x:c r="E6220" s="11" t="str">
        <x:v>CNY</x:v>
      </x:c>
      <x:c r="F6220" s="11" t="n">
        <x:v>5.229295003422314</x:v>
      </x:c>
      <x:c r="G6220" s="26" t="b">
        <x:v>1</x:v>
      </x:c>
      <x:c r="H6220" s="16" t="n">
        <x:v>0.12</x:v>
      </x:c>
      <x:c r="I6220" s="16" t="n">
        <x:v>0.6666666666666667</x:v>
      </x:c>
      <x:c r="J6220" s="16" t="n">
        <x:v>1.305</x:v>
      </x:c>
      <x:c r="K6220" s="11" t="n">
        <x:f>CHOOSE('假设'!$B$3,H6220,I6220,J6220)</x:f>
        <x:v>0.6666666666666667</x:v>
      </x:c>
      <x:c r="L6220" s="11" t="n">
        <x:f>K6220*'管线假设'!E1331*'管线假设'!F1331*'管线假设'!G1331*IF(E6220="USD",'管线假设'!I1331,1)-AM6220</x:f>
        <x:v>0.07328000000000003</x:v>
      </x:c>
      <x:c r="M6220" s="11" t="n">
        <x:f>'管线假设'!H1331</x:f>
        <x:v>0.14</x:v>
      </x:c>
      <x:c r="N6220" s="11" t="n">
        <x:f>IF(G6220,L6220*AN6220/(1+M6220)^F6220,0)</x:f>
        <x:v>0.036932882631668926</x:v>
      </x:c>
      <x:c r="AJ6220" t="n">
        <x:v>0</x:v>
      </x:c>
      <x:c r="AK6220" t="n">
        <x:v>0</x:v>
      </x:c>
      <x:c r="AL6220" t="n">
        <x:v>0</x:v>
      </x:c>
      <x:c r="AM6220" t="n">
        <x:f>CHOOSE('假设'!$B$3,AJ6220,AK6220,AL6220)</x:f>
        <x:v>0</x:v>
      </x:c>
      <x:c r="AN6220" t="n">
        <x:v>1</x:v>
      </x:c>
    </x:row>
    <x:row r="6221" ht="23" customHeight="1">
      <x:c r="A6221" s="11" t="str">
        <x:v>688062.SH</x:v>
      </x:c>
      <x:c r="B6221" s="11" t="str">
        <x:v>五年</x:v>
      </x:c>
      <x:c r="C6221" s="11" t="str">
        <x:v>il11_cn</x:v>
      </x:c>
      <x:c r="D6221" s="11" t="str">
        <x:v>2037-12-31</x:v>
      </x:c>
      <x:c r="E6221" s="11" t="str">
        <x:v>CNY</x:v>
      </x:c>
      <x:c r="F6221" s="11" t="n">
        <x:v>6.228610540725531</x:v>
      </x:c>
      <x:c r="G6221" s="26" t="b">
        <x:v>1</x:v>
      </x:c>
      <x:c r="H6221" s="16" t="n">
        <x:v>0.18</x:v>
      </x:c>
      <x:c r="I6221" s="16" t="n">
        <x:v>0.8</x:v>
      </x:c>
      <x:c r="J6221" s="16" t="n">
        <x:v>1.1099999999999999</x:v>
      </x:c>
      <x:c r="K6221" s="11" t="n">
        <x:f>CHOOSE('假设'!$B$3,H6221,I6221,J6221)</x:f>
        <x:v>0.8</x:v>
      </x:c>
      <x:c r="L6221" s="11" t="n">
        <x:f>K6221*'管线假设'!E1331*'管线假设'!F1331*'管线假设'!G1331*IF(E6221="USD",'管线假设'!I1331,1)-AM6221</x:f>
        <x:v>0.08793600000000001</x:v>
      </x:c>
      <x:c r="M6221" s="11" t="n">
        <x:f>'管线假设'!H1331</x:f>
        <x:v>0.14</x:v>
      </x:c>
      <x:c r="N6221" s="11" t="n">
        <x:f>IF(G6221,L6221*AN6221/(1+M6221)^F6221,0)</x:f>
        <x:v>0.038880205333991336</x:v>
      </x:c>
      <x:c r="AJ6221" t="n">
        <x:v>0</x:v>
      </x:c>
      <x:c r="AK6221" t="n">
        <x:v>0</x:v>
      </x:c>
      <x:c r="AL6221" t="n">
        <x:v>0</x:v>
      </x:c>
      <x:c r="AM6221" t="n">
        <x:f>CHOOSE('假设'!$B$3,AJ6221,AK6221,AL6221)</x:f>
        <x:v>0</x:v>
      </x:c>
      <x:c r="AN6221" t="n">
        <x:v>1</x:v>
      </x:c>
    </x:row>
    <x:row r="6222" ht="23" customHeight="1">
      <x:c r="A6222" s="11" t="str">
        <x:v>688062.SH</x:v>
      </x:c>
      <x:c r="B6222" s="11" t="str">
        <x:v>五年</x:v>
      </x:c>
      <x:c r="C6222" s="11" t="str">
        <x:v>il11_cn</x:v>
      </x:c>
      <x:c r="D6222" s="11" t="str">
        <x:v>2038-12-31</x:v>
      </x:c>
      <x:c r="E6222" s="11" t="str">
        <x:v>CNY</x:v>
      </x:c>
      <x:c r="F6222" s="11" t="n">
        <x:v>7.227926078028747</x:v>
      </x:c>
      <x:c r="G6222" s="26" t="b">
        <x:v>1</x:v>
      </x:c>
      <x:c r="H6222" s="16" t="n">
        <x:v>0.24</x:v>
      </x:c>
      <x:c r="I6222" s="16" t="n">
        <x:v>0.6960000000000001</x:v>
      </x:c>
      <x:c r="J6222" s="16" t="n">
        <x:v>0.915</x:v>
      </x:c>
      <x:c r="K6222" s="11" t="n">
        <x:f>CHOOSE('假设'!$B$3,H6222,I6222,J6222)</x:f>
        <x:v>0.6960000000000001</x:v>
      </x:c>
      <x:c r="L6222" s="11" t="n">
        <x:f>K6222*'管线假设'!E1331*'管线假设'!F1331*'管线假设'!G1331*IF(E6222="USD",'管线假设'!I1331,1)-AM6222</x:f>
        <x:v>0.07650432000000003</x:v>
      </x:c>
      <x:c r="M6222" s="11" t="n">
        <x:f>'管线假设'!H1331</x:f>
        <x:v>0.14</x:v>
      </x:c>
      <x:c r="N6222" s="11" t="n">
        <x:f>IF(G6222,L6222*AN6222/(1+M6222)^F6222,0)</x:f>
        <x:v>0.029674396847645654</x:v>
      </x:c>
      <x:c r="AJ6222" t="n">
        <x:v>0</x:v>
      </x:c>
      <x:c r="AK6222" t="n">
        <x:v>0</x:v>
      </x:c>
      <x:c r="AL6222" t="n">
        <x:v>0</x:v>
      </x:c>
      <x:c r="AM6222" t="n">
        <x:f>CHOOSE('假设'!$B$3,AJ6222,AK6222,AL6222)</x:f>
        <x:v>0</x:v>
      </x:c>
      <x:c r="AN6222" t="n">
        <x:v>1</x:v>
      </x:c>
    </x:row>
    <x:row r="6223" ht="23" customHeight="1">
      <x:c r="A6223" s="11" t="str">
        <x:v>688062.SH</x:v>
      </x:c>
      <x:c r="B6223" s="11" t="str">
        <x:v>五年</x:v>
      </x:c>
      <x:c r="C6223" s="11" t="str">
        <x:v>il11_cn</x:v>
      </x:c>
      <x:c r="D6223" s="11" t="str">
        <x:v>2039-12-31</x:v>
      </x:c>
      <x:c r="E6223" s="11" t="str">
        <x:v>CNY</x:v>
      </x:c>
      <x:c r="F6223" s="11" t="n">
        <x:v>8.227241615331964</x:v>
      </x:c>
      <x:c r="G6223" s="26" t="b">
        <x:v>1</x:v>
      </x:c>
      <x:c r="H6223" s="16" t="n">
        <x:v>0.3</x:v>
      </x:c>
      <x:c r="I6223" s="16" t="n">
        <x:v>0.592</x:v>
      </x:c>
      <x:c r="J6223" s="16" t="n">
        <x:v>0.72</x:v>
      </x:c>
      <x:c r="K6223" s="11" t="n">
        <x:f>CHOOSE('假设'!$B$3,H6223,I6223,J6223)</x:f>
        <x:v>0.592</x:v>
      </x:c>
      <x:c r="L6223" s="11" t="n">
        <x:f>K6223*'管线假设'!E1331*'管线假设'!F1331*'管线假设'!G1331*IF(E6223="USD",'管线假设'!I1331,1)-AM6223</x:f>
        <x:v>0.06507264</x:v>
      </x:c>
      <x:c r="M6223" s="11" t="n">
        <x:f>'管线假设'!H1331</x:f>
        <x:v>0.14</x:v>
      </x:c>
      <x:c r="N6223" s="11" t="n">
        <x:f>IF(G6223,L6223*AN6223/(1+M6223)^F6223,0)</x:f>
        <x:v>0.022142592387995978</x:v>
      </x:c>
      <x:c r="AJ6223" t="n">
        <x:v>0</x:v>
      </x:c>
      <x:c r="AK6223" t="n">
        <x:v>0</x:v>
      </x:c>
      <x:c r="AL6223" t="n">
        <x:v>0</x:v>
      </x:c>
      <x:c r="AM6223" t="n">
        <x:f>CHOOSE('假设'!$B$3,AJ6223,AK6223,AL6223)</x:f>
        <x:v>0</x:v>
      </x:c>
      <x:c r="AN6223" t="n">
        <x:v>1</x:v>
      </x:c>
    </x:row>
    <x:row r="6224" ht="23" customHeight="1">
      <x:c r="A6224" s="11" t="str">
        <x:v>688062.SH</x:v>
      </x:c>
      <x:c r="B6224" s="11" t="str">
        <x:v>五年</x:v>
      </x:c>
      <x:c r="C6224" s="11" t="str">
        <x:v>il11_cn</x:v>
      </x:c>
      <x:c r="D6224" s="11" t="str">
        <x:v>2040-12-31</x:v>
      </x:c>
      <x:c r="E6224" s="11" t="str">
        <x:v>CNY</x:v>
      </x:c>
      <x:c r="F6224" s="11" t="n">
        <x:v>9.229295003422314</x:v>
      </x:c>
      <x:c r="G6224" s="26" t="b">
        <x:v>1</x:v>
      </x:c>
      <x:c r="H6224" s="16" t="n">
        <x:v>0.261</x:v>
      </x:c>
      <x:c r="I6224" s="16" t="n">
        <x:v>0.488</x:v>
      </x:c>
      <x:c r="J6224" s="16" t="n">
        <x:v>0.5249999999999999</x:v>
      </x:c>
      <x:c r="K6224" s="11" t="n">
        <x:f>CHOOSE('假设'!$B$3,H6224,I6224,J6224)</x:f>
        <x:v>0.488</x:v>
      </x:c>
      <x:c r="L6224" s="11" t="n">
        <x:f>K6224*'管线假设'!E1331*'管线假设'!F1331*'管线假设'!G1331*IF(E6224="USD",'管线假设'!I1331,1)-AM6224</x:f>
        <x:v>0.05364096000000001</x:v>
      </x:c>
      <x:c r="M6224" s="11" t="n">
        <x:f>'管线假设'!H1331</x:f>
        <x:v>0.14</x:v>
      </x:c>
      <x:c r="N6224" s="11" t="n">
        <x:f>IF(G6224,L6224*AN6224/(1+M6224)^F6224,0)</x:f>
        <x:v>0.016006813379411882</x:v>
      </x:c>
      <x:c r="AJ6224" t="n">
        <x:v>0</x:v>
      </x:c>
      <x:c r="AK6224" t="n">
        <x:v>0</x:v>
      </x:c>
      <x:c r="AL6224" t="n">
        <x:v>0</x:v>
      </x:c>
      <x:c r="AM6224" t="n">
        <x:f>CHOOSE('假设'!$B$3,AJ6224,AK6224,AL6224)</x:f>
        <x:v>0</x:v>
      </x:c>
      <x:c r="AN6224" t="n">
        <x:v>1</x:v>
      </x:c>
    </x:row>
    <x:row r="6225" ht="23" customHeight="1">
      <x:c r="A6225" s="11" t="str">
        <x:v>688062.SH</x:v>
      </x:c>
      <x:c r="B6225" s="11" t="str">
        <x:v>五年</x:v>
      </x:c>
      <x:c r="C6225" s="11" t="str">
        <x:v>il11_cn</x:v>
      </x:c>
      <x:c r="D6225" s="11" t="str">
        <x:v>2041-12-31</x:v>
      </x:c>
      <x:c r="E6225" s="11" t="str">
        <x:v>CNY</x:v>
      </x:c>
      <x:c r="F6225" s="11" t="n">
        <x:v>10.22861054072553</x:v>
      </x:c>
      <x:c r="G6225" s="26" t="b">
        <x:v>1</x:v>
      </x:c>
      <x:c r="H6225" s="16" t="n">
        <x:v>0.222</x:v>
      </x:c>
      <x:c r="I6225" s="16" t="n">
        <x:v>0.384</x:v>
      </x:c>
      <x:c r="J6225" s="16" t="n">
        <x:v>0.32999999999999996</x:v>
      </x:c>
      <x:c r="K6225" s="11" t="n">
        <x:f>CHOOSE('假设'!$B$3,H6225,I6225,J6225)</x:f>
        <x:v>0.384</x:v>
      </x:c>
      <x:c r="L6225" s="11" t="n">
        <x:f>K6225*'管线假设'!E1331*'管线假设'!F1331*'管线假设'!G1331*IF(E6225="USD",'管线假设'!I1331,1)-AM6225</x:f>
        <x:v>0.04220928000000001</x:v>
      </x:c>
      <x:c r="M6225" s="11" t="n">
        <x:f>'管线假设'!H1331</x:f>
        <x:v>0.14</x:v>
      </x:c>
      <x:c r="N6225" s="11" t="n">
        <x:f>IF(G6225,L6225*AN6225/(1+M6225)^F6225,0)</x:f>
        <x:v>0.011049697324012566</x:v>
      </x:c>
      <x:c r="AJ6225" t="n">
        <x:v>0</x:v>
      </x:c>
      <x:c r="AK6225" t="n">
        <x:v>0</x:v>
      </x:c>
      <x:c r="AL6225" t="n">
        <x:v>0</x:v>
      </x:c>
      <x:c r="AM6225" t="n">
        <x:f>CHOOSE('假设'!$B$3,AJ6225,AK6225,AL6225)</x:f>
        <x:v>0</x:v>
      </x:c>
      <x:c r="AN6225" t="n">
        <x:v>1</x:v>
      </x:c>
    </x:row>
    <x:row r="6226" ht="23" customHeight="1">
      <x:c r="A6226" s="11" t="str">
        <x:v>688062.SH</x:v>
      </x:c>
      <x:c r="B6226" s="11" t="str">
        <x:v>五年</x:v>
      </x:c>
      <x:c r="C6226" s="11" t="str">
        <x:v>il11_cn</x:v>
      </x:c>
      <x:c r="D6226" s="11" t="str">
        <x:v>2042-12-31</x:v>
      </x:c>
      <x:c r="E6226" s="11" t="str">
        <x:v>CNY</x:v>
      </x:c>
      <x:c r="F6226" s="11" t="n">
        <x:v>11.227926078028748</x:v>
      </x:c>
      <x:c r="G6226" s="26" t="b">
        <x:v>1</x:v>
      </x:c>
      <x:c r="H6226" s="16" t="n">
        <x:v>0.183</x:v>
      </x:c>
      <x:c r="I6226" s="16" t="n">
        <x:v>0.27999999999999997</x:v>
      </x:c>
      <x:c r="J6226" s="16" t="n">
        <x:v>0.13499999999999995</x:v>
      </x:c>
      <x:c r="K6226" s="11" t="n">
        <x:f>CHOOSE('假设'!$B$3,H6226,I6226,J6226)</x:f>
        <x:v>0.27999999999999997</x:v>
      </x:c>
      <x:c r="L6226" s="11" t="n">
        <x:f>K6226*'管线假设'!E1331*'管线假设'!F1331*'管线假设'!G1331*IF(E6226="USD",'管线假设'!I1331,1)-AM6226</x:f>
        <x:v>0.0307776</x:v>
      </x:c>
      <x:c r="M6226" s="11" t="n">
        <x:f>'管线假设'!H1331</x:f>
        <x:v>0.14</x:v>
      </x:c>
      <x:c r="N6226" s="11" t="n">
        <x:f>IF(G6226,L6226*AN6226/(1+M6226)^F6226,0)</x:f>
        <x:v>0.007068239989335042</x:v>
      </x:c>
      <x:c r="AJ6226" t="n">
        <x:v>0</x:v>
      </x:c>
      <x:c r="AK6226" t="n">
        <x:v>0</x:v>
      </x:c>
      <x:c r="AL6226" t="n">
        <x:v>0</x:v>
      </x:c>
      <x:c r="AM6226" t="n">
        <x:f>CHOOSE('假设'!$B$3,AJ6226,AK6226,AL6226)</x:f>
        <x:v>0</x:v>
      </x:c>
      <x:c r="AN6226" t="n">
        <x:v>1</x:v>
      </x:c>
    </x:row>
    <x:row r="6227" ht="23" customHeight="1">
      <x:c r="A6227" s="11" t="str">
        <x:v>688062.SH</x:v>
      </x:c>
      <x:c r="B6227" s="11" t="str">
        <x:v>五年</x:v>
      </x:c>
      <x:c r="C6227" s="11" t="str">
        <x:v>il11_cn</x:v>
      </x:c>
      <x:c r="D6227" s="11" t="str">
        <x:v>2043-12-31</x:v>
      </x:c>
      <x:c r="E6227" s="11" t="str">
        <x:v>CNY</x:v>
      </x:c>
      <x:c r="F6227" s="11" t="n">
        <x:v>12.227241615331964</x:v>
      </x:c>
      <x:c r="G6227" s="26" t="b">
        <x:v>1</x:v>
      </x:c>
      <x:c r="H6227" s="16" t="n">
        <x:v>0.144</x:v>
      </x:c>
      <x:c r="I6227" s="16" t="n">
        <x:v>0.176</x:v>
      </x:c>
      <x:c r="J6227" s="16" t="n">
        <x:v>0</x:v>
      </x:c>
      <x:c r="K6227" s="11" t="n">
        <x:f>CHOOSE('假设'!$B$3,H6227,I6227,J6227)</x:f>
        <x:v>0.176</x:v>
      </x:c>
      <x:c r="L6227" s="11" t="n">
        <x:f>K6227*'管线假设'!E1331*'管线假设'!F1331*'管线假设'!G1331*IF(E6227="USD",'管线假设'!I1331,1)-AM6227</x:f>
        <x:v>0.019345920000000003</x:v>
      </x:c>
      <x:c r="M6227" s="11" t="n">
        <x:f>'管线假设'!H1331</x:f>
        <x:v>0.14</x:v>
      </x:c>
      <x:c r="N6227" s="11" t="n">
        <x:f>IF(G6227,L6227*AN6227/(1+M6227)^F6227,0)</x:f>
        <x:v>0.0038976247208263996</x:v>
      </x:c>
      <x:c r="AJ6227" t="n">
        <x:v>0</x:v>
      </x:c>
      <x:c r="AK6227" t="n">
        <x:v>0</x:v>
      </x:c>
      <x:c r="AL6227" t="n">
        <x:v>0</x:v>
      </x:c>
      <x:c r="AM6227" t="n">
        <x:f>CHOOSE('假设'!$B$3,AJ6227,AK6227,AL6227)</x:f>
        <x:v>0</x:v>
      </x:c>
      <x:c r="AN6227" t="n">
        <x:v>1</x:v>
      </x:c>
    </x:row>
    <x:row r="6228" ht="23" customHeight="1">
      <x:c r="A6228" s="11" t="str">
        <x:v>688062.SH</x:v>
      </x:c>
      <x:c r="B6228" s="11" t="str">
        <x:v>五年</x:v>
      </x:c>
      <x:c r="C6228" s="11" t="str">
        <x:v>il11_cn</x:v>
      </x:c>
      <x:c r="D6228" s="11" t="str">
        <x:v>2044-12-31</x:v>
      </x:c>
      <x:c r="E6228" s="11" t="str">
        <x:v>CNY</x:v>
      </x:c>
      <x:c r="F6228" s="11" t="n">
        <x:v>13.229295003422314</x:v>
      </x:c>
      <x:c r="G6228" s="26" t="b">
        <x:v>1</x:v>
      </x:c>
      <x:c r="H6228" s="16" t="n">
        <x:v>0.105</x:v>
      </x:c>
      <x:c r="I6228" s="16" t="n">
        <x:v>0.07199999999999998</x:v>
      </x:c>
      <x:c r="J6228" s="16" t="n">
        <x:v>0</x:v>
      </x:c>
      <x:c r="K6228" s="11" t="n">
        <x:f>CHOOSE('假设'!$B$3,H6228,I6228,J6228)</x:f>
        <x:v>0.07199999999999998</x:v>
      </x:c>
      <x:c r="L6228" s="11" t="n">
        <x:f>K6228*'管线假设'!E1331*'管线假设'!F1331*'管线假设'!G1331*IF(E6228="USD",'管线假设'!I1331,1)-AM6228</x:f>
        <x:v>0.007914239999999998</x:v>
      </x:c>
      <x:c r="M6228" s="11" t="n">
        <x:f>'管线假设'!H1331</x:f>
        <x:v>0.14</x:v>
      </x:c>
      <x:c r="N6228" s="11" t="n">
        <x:f>IF(G6228,L6228*AN6228/(1+M6228)^F6228,0)</x:f>
        <x:v>0.0013982928942533673</x:v>
      </x:c>
      <x:c r="AJ6228" t="n">
        <x:v>0</x:v>
      </x:c>
      <x:c r="AK6228" t="n">
        <x:v>0</x:v>
      </x:c>
      <x:c r="AL6228" t="n">
        <x:v>0</x:v>
      </x:c>
      <x:c r="AM6228" t="n">
        <x:f>CHOOSE('假设'!$B$3,AJ6228,AK6228,AL6228)</x:f>
        <x:v>0</x:v>
      </x:c>
      <x:c r="AN6228" t="n">
        <x:v>1</x:v>
      </x:c>
    </x:row>
    <x:row r="6229" ht="23" customHeight="1">
      <x:c r="A6229" s="11" t="str">
        <x:v>688062.SH</x:v>
      </x:c>
      <x:c r="B6229" s="11" t="str">
        <x:v>五年</x:v>
      </x:c>
      <x:c r="C6229" s="11" t="str">
        <x:v>il11_cn</x:v>
      </x:c>
      <x:c r="D6229" s="11" t="str">
        <x:v>2045-12-31</x:v>
      </x:c>
      <x:c r="E6229" s="11" t="str">
        <x:v>CNY</x:v>
      </x:c>
      <x:c r="F6229" s="11" t="n">
        <x:v>14.22861054072553</x:v>
      </x:c>
      <x:c r="G6229" s="26" t="b">
        <x:v>1</x:v>
      </x:c>
      <x:c r="H6229" s="16" t="n">
        <x:v>0.06599999999999999</x:v>
      </x:c>
      <x:c r="I6229" s="16" t="n">
        <x:v>0</x:v>
      </x:c>
      <x:c r="J6229" s="16" t="n">
        <x:v>0</x:v>
      </x:c>
      <x:c r="K6229" s="11" t="n">
        <x:f>CHOOSE('假设'!$B$3,H6229,I6229,J6229)</x:f>
        <x:v>0</x:v>
      </x:c>
      <x:c r="L6229" s="11" t="n">
        <x:f>K6229*'管线假设'!E1331*'管线假设'!F1331*'管线假设'!G1331*IF(E6229="USD",'管线假设'!I1331,1)-AM6229</x:f>
        <x:v>0</x:v>
      </x:c>
      <x:c r="M6229" s="11" t="n">
        <x:f>'管线假设'!H1331</x:f>
        <x:v>0.14</x:v>
      </x:c>
      <x:c r="N6229" s="11" t="n">
        <x:f>IF(G6229,L6229*AN6229/(1+M6229)^F6229,0)</x:f>
        <x:v>0</x:v>
      </x:c>
      <x:c r="AJ6229" t="n">
        <x:v>0</x:v>
      </x:c>
      <x:c r="AK6229" t="n">
        <x:v>0</x:v>
      </x:c>
      <x:c r="AL6229" t="n">
        <x:v>0</x:v>
      </x:c>
      <x:c r="AM6229" t="n">
        <x:f>CHOOSE('假设'!$B$3,AJ6229,AK6229,AL6229)</x:f>
        <x:v>0</x:v>
      </x:c>
      <x:c r="AN6229" t="n">
        <x:v>1</x:v>
      </x:c>
    </x:row>
    <x:row r="6230" ht="23" customHeight="1">
      <x:c r="A6230" s="11" t="str">
        <x:v>688062.SH</x:v>
      </x:c>
      <x:c r="B6230" s="11" t="str">
        <x:v>五年</x:v>
      </x:c>
      <x:c r="C6230" s="11" t="str">
        <x:v>tmprss_pv_global</x:v>
      </x:c>
      <x:c r="D6230" s="11" t="str">
        <x:v>2027-12-31</x:v>
      </x:c>
      <x:c r="E6230" s="11" t="str">
        <x:v>USD</x:v>
      </x:c>
      <x:c r="F6230" s="11" t="n">
        <x:v>-3.7727583846680357</x:v>
      </x:c>
      <x:c r="G6230" s="26" t="b">
        <x:v>0</x:v>
      </x:c>
      <x:c r="H6230" s="16" t="n">
        <x:v>0</x:v>
      </x:c>
      <x:c r="I6230" s="16" t="n">
        <x:v>0</x:v>
      </x:c>
      <x:c r="J6230" s="16" t="n">
        <x:v>0</x:v>
      </x:c>
      <x:c r="K6230" s="11" t="n">
        <x:f>CHOOSE('假设'!$B$3,H6230,I6230,J6230)</x:f>
        <x:v>0</x:v>
      </x:c>
      <x:c r="L6230" s="11" t="n">
        <x:f>K6230*'管线假设'!E1335*'管线假设'!F1335*'管线假设'!G1335*IF(E6230="USD",'管线假设'!I1335,1)-AM6230</x:f>
        <x:v>0</x:v>
      </x:c>
      <x:c r="M6230" s="11" t="n">
        <x:f>'管线假设'!H1335</x:f>
        <x:v>0.14</x:v>
      </x:c>
      <x:c r="N6230" s="11" t="n">
        <x:f>IF(G6230,L6230*AN6230/(1+M6230)^F6230,0)</x:f>
        <x:v>0</x:v>
      </x:c>
      <x:c r="AJ6230" t="n">
        <x:v>0</x:v>
      </x:c>
      <x:c r="AK6230" t="n">
        <x:v>0</x:v>
      </x:c>
      <x:c r="AL6230" t="n">
        <x:v>0</x:v>
      </x:c>
      <x:c r="AM6230" t="n">
        <x:f>CHOOSE('假设'!$B$3,AJ6230,AK6230,AL6230)</x:f>
        <x:v>0</x:v>
      </x:c>
      <x:c r="AN6230" t="n">
        <x:v>1</x:v>
      </x:c>
    </x:row>
    <x:row r="6231" ht="23" customHeight="1">
      <x:c r="A6231" s="11" t="str">
        <x:v>688062.SH</x:v>
      </x:c>
      <x:c r="B6231" s="11" t="str">
        <x:v>五年</x:v>
      </x:c>
      <x:c r="C6231" s="11" t="str">
        <x:v>tmprss_pv_global</x:v>
      </x:c>
      <x:c r="D6231" s="11" t="str">
        <x:v>2028-12-31</x:v>
      </x:c>
      <x:c r="E6231" s="11" t="str">
        <x:v>USD</x:v>
      </x:c>
      <x:c r="F6231" s="11" t="n">
        <x:v>-2.7707049965776864</x:v>
      </x:c>
      <x:c r="G6231" s="26" t="b">
        <x:v>0</x:v>
      </x:c>
      <x:c r="H6231" s="16" t="n">
        <x:v>0</x:v>
      </x:c>
      <x:c r="I6231" s="16" t="n">
        <x:v>0</x:v>
      </x:c>
      <x:c r="J6231" s="16" t="n">
        <x:v>0</x:v>
      </x:c>
      <x:c r="K6231" s="11" t="n">
        <x:f>CHOOSE('假设'!$B$3,H6231,I6231,J6231)</x:f>
        <x:v>0</x:v>
      </x:c>
      <x:c r="L6231" s="11" t="n">
        <x:f>K6231*'管线假设'!E1335*'管线假设'!F1335*'管线假设'!G1335*IF(E6231="USD",'管线假设'!I1335,1)-AM6231</x:f>
        <x:v>0</x:v>
      </x:c>
      <x:c r="M6231" s="11" t="n">
        <x:f>'管线假设'!H1335</x:f>
        <x:v>0.14</x:v>
      </x:c>
      <x:c r="N6231" s="11" t="n">
        <x:f>IF(G6231,L6231*AN6231/(1+M6231)^F6231,0)</x:f>
        <x:v>0</x:v>
      </x:c>
      <x:c r="AJ6231" t="n">
        <x:v>0</x:v>
      </x:c>
      <x:c r="AK6231" t="n">
        <x:v>0</x:v>
      </x:c>
      <x:c r="AL6231" t="n">
        <x:v>0</x:v>
      </x:c>
      <x:c r="AM6231" t="n">
        <x:f>CHOOSE('假设'!$B$3,AJ6231,AK6231,AL6231)</x:f>
        <x:v>0</x:v>
      </x:c>
      <x:c r="AN6231" t="n">
        <x:v>1</x:v>
      </x:c>
    </x:row>
    <x:row r="6232" ht="23" customHeight="1">
      <x:c r="A6232" s="11" t="str">
        <x:v>688062.SH</x:v>
      </x:c>
      <x:c r="B6232" s="11" t="str">
        <x:v>五年</x:v>
      </x:c>
      <x:c r="C6232" s="11" t="str">
        <x:v>tmprss_pv_global</x:v>
      </x:c>
      <x:c r="D6232" s="11" t="str">
        <x:v>2029-12-31</x:v>
      </x:c>
      <x:c r="E6232" s="11" t="str">
        <x:v>USD</x:v>
      </x:c>
      <x:c r="F6232" s="11" t="n">
        <x:v>-1.7713894592744694</x:v>
      </x:c>
      <x:c r="G6232" s="26" t="b">
        <x:v>0</x:v>
      </x:c>
      <x:c r="H6232" s="16" t="n">
        <x:v>0</x:v>
      </x:c>
      <x:c r="I6232" s="16" t="n">
        <x:v>0</x:v>
      </x:c>
      <x:c r="J6232" s="16" t="n">
        <x:v>0.2833333333333333</x:v>
      </x:c>
      <x:c r="K6232" s="11" t="n">
        <x:f>CHOOSE('假设'!$B$3,H6232,I6232,J6232)</x:f>
        <x:v>0</x:v>
      </x:c>
      <x:c r="L6232" s="11" t="n">
        <x:f>K6232*'管线假设'!E1335*'管线假设'!F1335*'管线假设'!G1335*IF(E6232="USD",'管线假设'!I1335,1)-AM6232</x:f>
        <x:v>0</x:v>
      </x:c>
      <x:c r="M6232" s="11" t="n">
        <x:f>'管线假设'!H1335</x:f>
        <x:v>0.14</x:v>
      </x:c>
      <x:c r="N6232" s="11" t="n">
        <x:f>IF(G6232,L6232*AN6232/(1+M6232)^F6232,0)</x:f>
        <x:v>0</x:v>
      </x:c>
      <x:c r="AJ6232" t="n">
        <x:v>0</x:v>
      </x:c>
      <x:c r="AK6232" t="n">
        <x:v>0</x:v>
      </x:c>
      <x:c r="AL6232" t="n">
        <x:v>0</x:v>
      </x:c>
      <x:c r="AM6232" t="n">
        <x:f>CHOOSE('假设'!$B$3,AJ6232,AK6232,AL6232)</x:f>
        <x:v>0</x:v>
      </x:c>
      <x:c r="AN6232" t="n">
        <x:v>1</x:v>
      </x:c>
    </x:row>
    <x:row r="6233" ht="23" customHeight="1">
      <x:c r="A6233" s="11" t="str">
        <x:v>688062.SH</x:v>
      </x:c>
      <x:c r="B6233" s="11" t="str">
        <x:v>五年</x:v>
      </x:c>
      <x:c r="C6233" s="11" t="str">
        <x:v>tmprss_pv_global</x:v>
      </x:c>
      <x:c r="D6233" s="11" t="str">
        <x:v>2030-12-31</x:v>
      </x:c>
      <x:c r="E6233" s="11" t="str">
        <x:v>USD</x:v>
      </x:c>
      <x:c r="F6233" s="11" t="n">
        <x:v>-0.7720739219712526</x:v>
      </x:c>
      <x:c r="G6233" s="26" t="b">
        <x:v>0</x:v>
      </x:c>
      <x:c r="H6233" s="16" t="n">
        <x:v>0</x:v>
      </x:c>
      <x:c r="I6233" s="16" t="n">
        <x:v>0</x:v>
      </x:c>
      <x:c r="J6233" s="16" t="n">
        <x:v>0.5666666666666667</x:v>
      </x:c>
      <x:c r="K6233" s="11" t="n">
        <x:f>CHOOSE('假设'!$B$3,H6233,I6233,J6233)</x:f>
        <x:v>0</x:v>
      </x:c>
      <x:c r="L6233" s="11" t="n">
        <x:f>K6233*'管线假设'!E1335*'管线假设'!F1335*'管线假设'!G1335*IF(E6233="USD",'管线假设'!I1335,1)-AM6233</x:f>
        <x:v>0</x:v>
      </x:c>
      <x:c r="M6233" s="11" t="n">
        <x:f>'管线假设'!H1335</x:f>
        <x:v>0.14</x:v>
      </x:c>
      <x:c r="N6233" s="11" t="n">
        <x:f>IF(G6233,L6233*AN6233/(1+M6233)^F6233,0)</x:f>
        <x:v>0</x:v>
      </x:c>
      <x:c r="AJ6233" t="n">
        <x:v>0</x:v>
      </x:c>
      <x:c r="AK6233" t="n">
        <x:v>0</x:v>
      </x:c>
      <x:c r="AL6233" t="n">
        <x:v>0</x:v>
      </x:c>
      <x:c r="AM6233" t="n">
        <x:f>CHOOSE('假设'!$B$3,AJ6233,AK6233,AL6233)</x:f>
        <x:v>0</x:v>
      </x:c>
      <x:c r="AN6233" t="n">
        <x:v>1</x:v>
      </x:c>
    </x:row>
    <x:row r="6234" ht="23" customHeight="1">
      <x:c r="A6234" s="11" t="str">
        <x:v>688062.SH</x:v>
      </x:c>
      <x:c r="B6234" s="11" t="str">
        <x:v>五年</x:v>
      </x:c>
      <x:c r="C6234" s="11" t="str">
        <x:v>tmprss_pv_global</x:v>
      </x:c>
      <x:c r="D6234" s="11" t="str">
        <x:v>2031-12-31</x:v>
      </x:c>
      <x:c r="E6234" s="11" t="str">
        <x:v>USD</x:v>
      </x:c>
      <x:c r="F6234" s="11" t="n">
        <x:v>0.2272416153319644</x:v>
      </x:c>
      <x:c r="G6234" s="26" t="b">
        <x:v>1</x:v>
      </x:c>
      <x:c r="H6234" s="16" t="n">
        <x:v>0</x:v>
      </x:c>
      <x:c r="I6234" s="16" t="n">
        <x:v>0.16666666666666666</x:v>
      </x:c>
      <x:c r="J6234" s="16" t="n">
        <x:v>0.85</x:v>
      </x:c>
      <x:c r="K6234" s="11" t="n">
        <x:f>CHOOSE('假设'!$B$3,H6234,I6234,J6234)</x:f>
        <x:v>0.16666666666666666</x:v>
      </x:c>
      <x:c r="L6234" s="11" t="n">
        <x:f>K6234*'管线假设'!E1335*'管线假设'!F1335*'管线假设'!G1335*IF(E6234="USD",'管线假设'!I1335,1)-AM6234</x:f>
        <x:v>0.04488362666666667</x:v>
      </x:c>
      <x:c r="M6234" s="11" t="n">
        <x:f>'管线假设'!H1335</x:f>
        <x:v>0.14</x:v>
      </x:c>
      <x:c r="N6234" s="11" t="n">
        <x:f>IF(G6234,L6234*AN6234/(1+M6234)^F6234,0)</x:f>
        <x:v>0.04356691325753029</x:v>
      </x:c>
      <x:c r="AJ6234" t="n">
        <x:v>0</x:v>
      </x:c>
      <x:c r="AK6234" t="n">
        <x:v>0</x:v>
      </x:c>
      <x:c r="AL6234" t="n">
        <x:v>0</x:v>
      </x:c>
      <x:c r="AM6234" t="n">
        <x:f>CHOOSE('假设'!$B$3,AJ6234,AK6234,AL6234)</x:f>
        <x:v>0</x:v>
      </x:c>
      <x:c r="AN6234" t="n">
        <x:v>1</x:v>
      </x:c>
    </x:row>
    <x:row r="6235" ht="23" customHeight="1">
      <x:c r="A6235" s="11" t="str">
        <x:v>688062.SH</x:v>
      </x:c>
      <x:c r="B6235" s="11" t="str">
        <x:v>五年</x:v>
      </x:c>
      <x:c r="C6235" s="11" t="str">
        <x:v>tmprss_pv_global</x:v>
      </x:c>
      <x:c r="D6235" s="11" t="str">
        <x:v>2032-12-31</x:v>
      </x:c>
      <x:c r="E6235" s="11" t="str">
        <x:v>USD</x:v>
      </x:c>
      <x:c r="F6235" s="11" t="n">
        <x:v>1.2292950034223136</x:v>
      </x:c>
      <x:c r="G6235" s="26" t="b">
        <x:v>1</x:v>
      </x:c>
      <x:c r="H6235" s="16" t="n">
        <x:v>0</x:v>
      </x:c>
      <x:c r="I6235" s="16" t="n">
        <x:v>0.3333333333333333</x:v>
      </x:c>
      <x:c r="J6235" s="16" t="n">
        <x:v>1.1333333333333333</x:v>
      </x:c>
      <x:c r="K6235" s="11" t="n">
        <x:f>CHOOSE('假设'!$B$3,H6235,I6235,J6235)</x:f>
        <x:v>0.3333333333333333</x:v>
      </x:c>
      <x:c r="L6235" s="11" t="n">
        <x:f>K6235*'管线假设'!E1335*'管线假设'!F1335*'管线假设'!G1335*IF(E6235="USD",'管线假设'!I1335,1)-AM6235</x:f>
        <x:v>0.08976725333333334</x:v>
      </x:c>
      <x:c r="M6235" s="11" t="n">
        <x:f>'管线假设'!H1335</x:f>
        <x:v>0.14</x:v>
      </x:c>
      <x:c r="N6235" s="11" t="n">
        <x:f>IF(G6235,L6235*AN6235/(1+M6235)^F6235,0)</x:f>
        <x:v>0.07641261942918237</x:v>
      </x:c>
      <x:c r="AJ6235" t="n">
        <x:v>0</x:v>
      </x:c>
      <x:c r="AK6235" t="n">
        <x:v>0</x:v>
      </x:c>
      <x:c r="AL6235" t="n">
        <x:v>0</x:v>
      </x:c>
      <x:c r="AM6235" t="n">
        <x:f>CHOOSE('假设'!$B$3,AJ6235,AK6235,AL6235)</x:f>
        <x:v>0</x:v>
      </x:c>
      <x:c r="AN6235" t="n">
        <x:v>1</x:v>
      </x:c>
    </x:row>
    <x:row r="6236" ht="23" customHeight="1">
      <x:c r="A6236" s="11" t="str">
        <x:v>688062.SH</x:v>
      </x:c>
      <x:c r="B6236" s="11" t="str">
        <x:v>五年</x:v>
      </x:c>
      <x:c r="C6236" s="11" t="str">
        <x:v>tmprss_pv_global</x:v>
      </x:c>
      <x:c r="D6236" s="11" t="str">
        <x:v>2033-12-31</x:v>
      </x:c>
      <x:c r="E6236" s="11" t="str">
        <x:v>USD</x:v>
      </x:c>
      <x:c r="F6236" s="11" t="n">
        <x:v>2.2286105407255303</x:v>
      </x:c>
      <x:c r="G6236" s="26" t="b">
        <x:v>1</x:v>
      </x:c>
      <x:c r="H6236" s="16" t="n">
        <x:v>0</x:v>
      </x:c>
      <x:c r="I6236" s="16" t="n">
        <x:v>0.5</x:v>
      </x:c>
      <x:c r="J6236" s="16" t="n">
        <x:v>1.4166666666666667</x:v>
      </x:c>
      <x:c r="K6236" s="11" t="n">
        <x:f>CHOOSE('假设'!$B$3,H6236,I6236,J6236)</x:f>
        <x:v>0.5</x:v>
      </x:c>
      <x:c r="L6236" s="11" t="n">
        <x:f>K6236*'管线假设'!E1335*'管线假设'!F1335*'管线假设'!G1335*IF(E6236="USD",'管线假设'!I1335,1)-AM6236</x:f>
        <x:v>0.13465088</x:v>
      </x:c>
      <x:c r="M6236" s="11" t="n">
        <x:f>'管线假设'!H1335</x:f>
        <x:v>0.14</x:v>
      </x:c>
      <x:c r="N6236" s="11" t="n">
        <x:f>IF(G6236,L6236*AN6236/(1+M6236)^F6236,0)</x:f>
        <x:v>0.10055193779293743</x:v>
      </x:c>
      <x:c r="AJ6236" t="n">
        <x:v>0</x:v>
      </x:c>
      <x:c r="AK6236" t="n">
        <x:v>0</x:v>
      </x:c>
      <x:c r="AL6236" t="n">
        <x:v>0</x:v>
      </x:c>
      <x:c r="AM6236" t="n">
        <x:f>CHOOSE('假设'!$B$3,AJ6236,AK6236,AL6236)</x:f>
        <x:v>0</x:v>
      </x:c>
      <x:c r="AN6236" t="n">
        <x:v>1</x:v>
      </x:c>
    </x:row>
    <x:row r="6237" ht="23" customHeight="1">
      <x:c r="A6237" s="11" t="str">
        <x:v>688062.SH</x:v>
      </x:c>
      <x:c r="B6237" s="11" t="str">
        <x:v>五年</x:v>
      </x:c>
      <x:c r="C6237" s="11" t="str">
        <x:v>tmprss_pv_global</x:v>
      </x:c>
      <x:c r="D6237" s="11" t="str">
        <x:v>2034-12-31</x:v>
      </x:c>
      <x:c r="E6237" s="11" t="str">
        <x:v>USD</x:v>
      </x:c>
      <x:c r="F6237" s="11" t="n">
        <x:v>3.2279260780287475</x:v>
      </x:c>
      <x:c r="G6237" s="26" t="b">
        <x:v>1</x:v>
      </x:c>
      <x:c r="H6237" s="16" t="n">
        <x:v>0.08000000000000002</x:v>
      </x:c>
      <x:c r="I6237" s="16" t="n">
        <x:v>0.6666666666666666</x:v>
      </x:c>
      <x:c r="J6237" s="16" t="n">
        <x:v>1.7</x:v>
      </x:c>
      <x:c r="K6237" s="11" t="n">
        <x:f>CHOOSE('假设'!$B$3,H6237,I6237,J6237)</x:f>
        <x:v>0.6666666666666666</x:v>
      </x:c>
      <x:c r="L6237" s="11" t="n">
        <x:f>K6237*'管线假设'!E1335*'管线假设'!F1335*'管线假设'!G1335*IF(E6237="USD",'管线假设'!I1335,1)-AM6237</x:f>
        <x:v>0.17953450666666668</x:v>
      </x:c>
      <x:c r="M6237" s="11" t="n">
        <x:f>'管线假设'!H1335</x:f>
        <x:v>0.14</x:v>
      </x:c>
      <x:c r="N6237" s="11" t="n">
        <x:f>IF(G6237,L6237*AN6237/(1+M6237)^F6237,0)</x:f>
        <x:v>0.11761515332523942</x:v>
      </x:c>
      <x:c r="AJ6237" t="n">
        <x:v>0</x:v>
      </x:c>
      <x:c r="AK6237" t="n">
        <x:v>0</x:v>
      </x:c>
      <x:c r="AL6237" t="n">
        <x:v>0</x:v>
      </x:c>
      <x:c r="AM6237" t="n">
        <x:f>CHOOSE('假设'!$B$3,AJ6237,AK6237,AL6237)</x:f>
        <x:v>0</x:v>
      </x:c>
      <x:c r="AN6237" t="n">
        <x:v>1</x:v>
      </x:c>
    </x:row>
    <x:row r="6238" ht="23" customHeight="1">
      <x:c r="A6238" s="11" t="str">
        <x:v>688062.SH</x:v>
      </x:c>
      <x:c r="B6238" s="11" t="str">
        <x:v>五年</x:v>
      </x:c>
      <x:c r="C6238" s="11" t="str">
        <x:v>tmprss_pv_global</x:v>
      </x:c>
      <x:c r="D6238" s="11" t="str">
        <x:v>2035-12-31</x:v>
      </x:c>
      <x:c r="E6238" s="11" t="str">
        <x:v>USD</x:v>
      </x:c>
      <x:c r="F6238" s="11" t="n">
        <x:v>4.227241615331964</x:v>
      </x:c>
      <x:c r="G6238" s="26" t="b">
        <x:v>1</x:v>
      </x:c>
      <x:c r="H6238" s="16" t="n">
        <x:v>0.16000000000000003</x:v>
      </x:c>
      <x:c r="I6238" s="16" t="n">
        <x:v>0.8333333333333334</x:v>
      </x:c>
      <x:c r="J6238" s="16" t="n">
        <x:v>1.4789999999999999</x:v>
      </x:c>
      <x:c r="K6238" s="11" t="n">
        <x:f>CHOOSE('假设'!$B$3,H6238,I6238,J6238)</x:f>
        <x:v>0.8333333333333334</x:v>
      </x:c>
      <x:c r="L6238" s="11" t="n">
        <x:f>K6238*'管线假设'!E1335*'管线假设'!F1335*'管线假设'!G1335*IF(E6238="USD",'管线假设'!I1335,1)-AM6238</x:f>
        <x:v>0.22441813333333338</x:v>
      </x:c>
      <x:c r="M6238" s="11" t="n">
        <x:f>'管线假设'!H1335</x:f>
        <x:v>0.14</x:v>
      </x:c>
      <x:c r="N6238" s="11" t="n">
        <x:f>IF(G6238,L6238*AN6238/(1+M6238)^F6238,0)</x:f>
        <x:v>0.12897555042840758</x:v>
      </x:c>
      <x:c r="AJ6238" t="n">
        <x:v>0</x:v>
      </x:c>
      <x:c r="AK6238" t="n">
        <x:v>0</x:v>
      </x:c>
      <x:c r="AL6238" t="n">
        <x:v>0</x:v>
      </x:c>
      <x:c r="AM6238" t="n">
        <x:f>CHOOSE('假设'!$B$3,AJ6238,AK6238,AL6238)</x:f>
        <x:v>0</x:v>
      </x:c>
      <x:c r="AN6238" t="n">
        <x:v>1</x:v>
      </x:c>
    </x:row>
    <x:row r="6239" ht="23" customHeight="1">
      <x:c r="A6239" s="11" t="str">
        <x:v>688062.SH</x:v>
      </x:c>
      <x:c r="B6239" s="11" t="str">
        <x:v>五年</x:v>
      </x:c>
      <x:c r="C6239" s="11" t="str">
        <x:v>tmprss_pv_global</x:v>
      </x:c>
      <x:c r="D6239" s="11" t="str">
        <x:v>2036-12-31</x:v>
      </x:c>
      <x:c r="E6239" s="11" t="str">
        <x:v>USD</x:v>
      </x:c>
      <x:c r="F6239" s="11" t="n">
        <x:v>5.229295003422314</x:v>
      </x:c>
      <x:c r="G6239" s="26" t="b">
        <x:v>1</x:v>
      </x:c>
      <x:c r="H6239" s="16" t="n">
        <x:v>0.24</x:v>
      </x:c>
      <x:c r="I6239" s="16" t="n">
        <x:v>1</x:v>
      </x:c>
      <x:c r="J6239" s="16" t="n">
        <x:v>1.258</x:v>
      </x:c>
      <x:c r="K6239" s="11" t="n">
        <x:f>CHOOSE('假设'!$B$3,H6239,I6239,J6239)</x:f>
        <x:v>1</x:v>
      </x:c>
      <x:c r="L6239" s="11" t="n">
        <x:f>K6239*'管线假设'!E1335*'管线假设'!F1335*'管线假设'!G1335*IF(E6239="USD",'管线假设'!I1335,1)-AM6239</x:f>
        <x:v>0.26930176</x:v>
      </x:c>
      <x:c r="M6239" s="11" t="n">
        <x:f>'管线假设'!H1335</x:f>
        <x:v>0.14</x:v>
      </x:c>
      <x:c r="N6239" s="11" t="n">
        <x:f>IF(G6239,L6239*AN6239/(1+M6239)^F6239,0)</x:f>
        <x:v>0.13572721471863905</x:v>
      </x:c>
      <x:c r="AJ6239" t="n">
        <x:v>0</x:v>
      </x:c>
      <x:c r="AK6239" t="n">
        <x:v>0</x:v>
      </x:c>
      <x:c r="AL6239" t="n">
        <x:v>0</x:v>
      </x:c>
      <x:c r="AM6239" t="n">
        <x:f>CHOOSE('假设'!$B$3,AJ6239,AK6239,AL6239)</x:f>
        <x:v>0</x:v>
      </x:c>
      <x:c r="AN6239" t="n">
        <x:v>1</x:v>
      </x:c>
    </x:row>
    <x:row r="6240" ht="23" customHeight="1">
      <x:c r="A6240" s="11" t="str">
        <x:v>688062.SH</x:v>
      </x:c>
      <x:c r="B6240" s="11" t="str">
        <x:v>五年</x:v>
      </x:c>
      <x:c r="C6240" s="11" t="str">
        <x:v>tmprss_pv_global</x:v>
      </x:c>
      <x:c r="D6240" s="11" t="str">
        <x:v>2037-12-31</x:v>
      </x:c>
      <x:c r="E6240" s="11" t="str">
        <x:v>USD</x:v>
      </x:c>
      <x:c r="F6240" s="11" t="n">
        <x:v>6.228610540725531</x:v>
      </x:c>
      <x:c r="G6240" s="26" t="b">
        <x:v>1</x:v>
      </x:c>
      <x:c r="H6240" s="16" t="n">
        <x:v>0.32000000000000006</x:v>
      </x:c>
      <x:c r="I6240" s="16" t="n">
        <x:v>0.87</x:v>
      </x:c>
      <x:c r="J6240" s="16" t="n">
        <x:v>1.037</x:v>
      </x:c>
      <x:c r="K6240" s="11" t="n">
        <x:f>CHOOSE('假设'!$B$3,H6240,I6240,J6240)</x:f>
        <x:v>0.87</x:v>
      </x:c>
      <x:c r="L6240" s="11" t="n">
        <x:f>K6240*'管线假设'!E1335*'管线假设'!F1335*'管线假设'!G1335*IF(E6240="USD",'管线假设'!I1335,1)-AM6240</x:f>
        <x:v>0.23429253120000001</x:v>
      </x:c>
      <x:c r="M6240" s="11" t="n">
        <x:f>'管线假设'!H1335</x:f>
        <x:v>0.14</x:v>
      </x:c>
      <x:c r="N6240" s="11" t="n">
        <x:f>IF(G6240,L6240*AN6240/(1+M6240)^F6240,0)</x:f>
        <x:v>0.10359058544028123</x:v>
      </x:c>
      <x:c r="AJ6240" t="n">
        <x:v>0</x:v>
      </x:c>
      <x:c r="AK6240" t="n">
        <x:v>0</x:v>
      </x:c>
      <x:c r="AL6240" t="n">
        <x:v>0</x:v>
      </x:c>
      <x:c r="AM6240" t="n">
        <x:f>CHOOSE('假设'!$B$3,AJ6240,AK6240,AL6240)</x:f>
        <x:v>0</x:v>
      </x:c>
      <x:c r="AN6240" t="n">
        <x:v>1</x:v>
      </x:c>
    </x:row>
    <x:row r="6241" ht="23" customHeight="1">
      <x:c r="A6241" s="11" t="str">
        <x:v>688062.SH</x:v>
      </x:c>
      <x:c r="B6241" s="11" t="str">
        <x:v>五年</x:v>
      </x:c>
      <x:c r="C6241" s="11" t="str">
        <x:v>tmprss_pv_global</x:v>
      </x:c>
      <x:c r="D6241" s="11" t="str">
        <x:v>2038-12-31</x:v>
      </x:c>
      <x:c r="E6241" s="11" t="str">
        <x:v>USD</x:v>
      </x:c>
      <x:c r="F6241" s="11" t="n">
        <x:v>7.227926078028747</x:v>
      </x:c>
      <x:c r="G6241" s="26" t="b">
        <x:v>1</x:v>
      </x:c>
      <x:c r="H6241" s="16" t="n">
        <x:v>0.4</x:v>
      </x:c>
      <x:c r="I6241" s="16" t="n">
        <x:v>0.74</x:v>
      </x:c>
      <x:c r="J6241" s="16" t="n">
        <x:v>0.816</x:v>
      </x:c>
      <x:c r="K6241" s="11" t="n">
        <x:f>CHOOSE('假设'!$B$3,H6241,I6241,J6241)</x:f>
        <x:v>0.74</x:v>
      </x:c>
      <x:c r="L6241" s="11" t="n">
        <x:f>K6241*'管线假设'!E1335*'管线假设'!F1335*'管线假设'!G1335*IF(E6241="USD",'管线假设'!I1335,1)-AM6241</x:f>
        <x:v>0.1992833024</x:v>
      </x:c>
      <x:c r="M6241" s="11" t="n">
        <x:f>'管线假设'!H1335</x:f>
        <x:v>0.14</x:v>
      </x:c>
      <x:c r="N6241" s="11" t="n">
        <x:f>IF(G6241,L6241*AN6241/(1+M6241)^F6241,0)</x:f>
        <x:v>0.07729774999015707</x:v>
      </x:c>
      <x:c r="AJ6241" t="n">
        <x:v>0</x:v>
      </x:c>
      <x:c r="AK6241" t="n">
        <x:v>0</x:v>
      </x:c>
      <x:c r="AL6241" t="n">
        <x:v>0</x:v>
      </x:c>
      <x:c r="AM6241" t="n">
        <x:f>CHOOSE('假设'!$B$3,AJ6241,AK6241,AL6241)</x:f>
        <x:v>0</x:v>
      </x:c>
      <x:c r="AN6241" t="n">
        <x:v>1</x:v>
      </x:c>
    </x:row>
    <x:row r="6242" ht="23" customHeight="1">
      <x:c r="A6242" s="11" t="str">
        <x:v>688062.SH</x:v>
      </x:c>
      <x:c r="B6242" s="11" t="str">
        <x:v>五年</x:v>
      </x:c>
      <x:c r="C6242" s="11" t="str">
        <x:v>tmprss_pv_global</x:v>
      </x:c>
      <x:c r="D6242" s="11" t="str">
        <x:v>2039-12-31</x:v>
      </x:c>
      <x:c r="E6242" s="11" t="str">
        <x:v>USD</x:v>
      </x:c>
      <x:c r="F6242" s="11" t="n">
        <x:v>8.227241615331964</x:v>
      </x:c>
      <x:c r="G6242" s="26" t="b">
        <x:v>1</x:v>
      </x:c>
      <x:c r="H6242" s="16" t="n">
        <x:v>0.34800000000000003</x:v>
      </x:c>
      <x:c r="I6242" s="16" t="n">
        <x:v>0.61</x:v>
      </x:c>
      <x:c r="J6242" s="16" t="n">
        <x:v>0.595</x:v>
      </x:c>
      <x:c r="K6242" s="11" t="n">
        <x:f>CHOOSE('假设'!$B$3,H6242,I6242,J6242)</x:f>
        <x:v>0.61</x:v>
      </x:c>
      <x:c r="L6242" s="11" t="n">
        <x:f>K6242*'管线假设'!E1335*'管线假设'!F1335*'管线假设'!G1335*IF(E6242="USD",'管线假设'!I1335,1)-AM6242</x:f>
        <x:v>0.16427407360000001</x:v>
      </x:c>
      <x:c r="M6242" s="11" t="n">
        <x:f>'管线假设'!H1335</x:f>
        <x:v>0.14</x:v>
      </x:c>
      <x:c r="N6242" s="11" t="n">
        <x:f>IF(G6242,L6242*AN6242/(1+M6242)^F6242,0)</x:f>
        <x:v>0.055898359919629076</x:v>
      </x:c>
      <x:c r="AJ6242" t="n">
        <x:v>0</x:v>
      </x:c>
      <x:c r="AK6242" t="n">
        <x:v>0</x:v>
      </x:c>
      <x:c r="AL6242" t="n">
        <x:v>0</x:v>
      </x:c>
      <x:c r="AM6242" t="n">
        <x:f>CHOOSE('假设'!$B$3,AJ6242,AK6242,AL6242)</x:f>
        <x:v>0</x:v>
      </x:c>
      <x:c r="AN6242" t="n">
        <x:v>1</x:v>
      </x:c>
    </x:row>
    <x:row r="6243" ht="23" customHeight="1">
      <x:c r="A6243" s="11" t="str">
        <x:v>688062.SH</x:v>
      </x:c>
      <x:c r="B6243" s="11" t="str">
        <x:v>五年</x:v>
      </x:c>
      <x:c r="C6243" s="11" t="str">
        <x:v>tmprss_pv_global</x:v>
      </x:c>
      <x:c r="D6243" s="11" t="str">
        <x:v>2040-12-31</x:v>
      </x:c>
      <x:c r="E6243" s="11" t="str">
        <x:v>USD</x:v>
      </x:c>
      <x:c r="F6243" s="11" t="n">
        <x:v>9.229295003422314</x:v>
      </x:c>
      <x:c r="G6243" s="26" t="b">
        <x:v>1</x:v>
      </x:c>
      <x:c r="H6243" s="16" t="n">
        <x:v>0.296</x:v>
      </x:c>
      <x:c r="I6243" s="16" t="n">
        <x:v>0.48</x:v>
      </x:c>
      <x:c r="J6243" s="16" t="n">
        <x:v>0.37399999999999994</x:v>
      </x:c>
      <x:c r="K6243" s="11" t="n">
        <x:f>CHOOSE('假设'!$B$3,H6243,I6243,J6243)</x:f>
        <x:v>0.48</x:v>
      </x:c>
      <x:c r="L6243" s="11" t="n">
        <x:f>K6243*'管线假设'!E1335*'管线假设'!F1335*'管线假设'!G1335*IF(E6243="USD",'管线假设'!I1335,1)-AM6243</x:f>
        <x:v>0.12926484480000003</x:v>
      </x:c>
      <x:c r="M6243" s="11" t="n">
        <x:f>'管线假设'!H1335</x:f>
        <x:v>0.14</x:v>
      </x:c>
      <x:c r="N6243" s="11" t="n">
        <x:f>IF(G6243,L6243*AN6243/(1+M6243)^F6243,0)</x:f>
        <x:v>0.038573475329901644</x:v>
      </x:c>
      <x:c r="AJ6243" t="n">
        <x:v>0</x:v>
      </x:c>
      <x:c r="AK6243" t="n">
        <x:v>0</x:v>
      </x:c>
      <x:c r="AL6243" t="n">
        <x:v>0</x:v>
      </x:c>
      <x:c r="AM6243" t="n">
        <x:f>CHOOSE('假设'!$B$3,AJ6243,AK6243,AL6243)</x:f>
        <x:v>0</x:v>
      </x:c>
      <x:c r="AN6243" t="n">
        <x:v>1</x:v>
      </x:c>
    </x:row>
    <x:row r="6244" ht="23" customHeight="1">
      <x:c r="A6244" s="11" t="str">
        <x:v>688062.SH</x:v>
      </x:c>
      <x:c r="B6244" s="11" t="str">
        <x:v>五年</x:v>
      </x:c>
      <x:c r="C6244" s="11" t="str">
        <x:v>tmprss_pv_global</x:v>
      </x:c>
      <x:c r="D6244" s="11" t="str">
        <x:v>2041-12-31</x:v>
      </x:c>
      <x:c r="E6244" s="11" t="str">
        <x:v>USD</x:v>
      </x:c>
      <x:c r="F6244" s="11" t="n">
        <x:v>10.22861054072553</x:v>
      </x:c>
      <x:c r="G6244" s="26" t="b">
        <x:v>1</x:v>
      </x:c>
      <x:c r="H6244" s="16" t="n">
        <x:v>0.244</x:v>
      </x:c>
      <x:c r="I6244" s="16" t="n">
        <x:v>0.35</x:v>
      </x:c>
      <x:c r="J6244" s="16" t="n">
        <x:v>0.15299999999999994</x:v>
      </x:c>
      <x:c r="K6244" s="11" t="n">
        <x:f>CHOOSE('假设'!$B$3,H6244,I6244,J6244)</x:f>
        <x:v>0.35</x:v>
      </x:c>
      <x:c r="L6244" s="11" t="n">
        <x:f>K6244*'管线假设'!E1335*'管线假设'!F1335*'管线假设'!G1335*IF(E6244="USD",'管线假设'!I1335,1)-AM6244</x:f>
        <x:v>0.094255616</x:v>
      </x:c>
      <x:c r="M6244" s="11" t="n">
        <x:f>'管线假设'!H1335</x:f>
        <x:v>0.14</x:v>
      </x:c>
      <x:c r="N6244" s="11" t="n">
        <x:f>IF(G6244,L6244*AN6244/(1+M6244)^F6244,0)</x:f>
        <x:v>0.024674574593273227</x:v>
      </x:c>
      <x:c r="AJ6244" t="n">
        <x:v>0</x:v>
      </x:c>
      <x:c r="AK6244" t="n">
        <x:v>0</x:v>
      </x:c>
      <x:c r="AL6244" t="n">
        <x:v>0</x:v>
      </x:c>
      <x:c r="AM6244" t="n">
        <x:f>CHOOSE('假设'!$B$3,AJ6244,AK6244,AL6244)</x:f>
        <x:v>0</x:v>
      </x:c>
      <x:c r="AN6244" t="n">
        <x:v>1</x:v>
      </x:c>
    </x:row>
    <x:row r="6245" ht="23" customHeight="1">
      <x:c r="A6245" s="11" t="str">
        <x:v>688062.SH</x:v>
      </x:c>
      <x:c r="B6245" s="11" t="str">
        <x:v>五年</x:v>
      </x:c>
      <x:c r="C6245" s="11" t="str">
        <x:v>tmprss_pv_global</x:v>
      </x:c>
      <x:c r="D6245" s="11" t="str">
        <x:v>2042-12-31</x:v>
      </x:c>
      <x:c r="E6245" s="11" t="str">
        <x:v>USD</x:v>
      </x:c>
      <x:c r="F6245" s="11" t="n">
        <x:v>11.227926078028748</x:v>
      </x:c>
      <x:c r="G6245" s="26" t="b">
        <x:v>1</x:v>
      </x:c>
      <x:c r="H6245" s="16" t="n">
        <x:v>0.192</x:v>
      </x:c>
      <x:c r="I6245" s="16" t="n">
        <x:v>0.21999999999999997</x:v>
      </x:c>
      <x:c r="J6245" s="16" t="n">
        <x:v>0</x:v>
      </x:c>
      <x:c r="K6245" s="11" t="n">
        <x:f>CHOOSE('假设'!$B$3,H6245,I6245,J6245)</x:f>
        <x:v>0.21999999999999997</x:v>
      </x:c>
      <x:c r="L6245" s="11" t="n">
        <x:f>K6245*'管线假设'!E1335*'管线假设'!F1335*'管线假设'!G1335*IF(E6245="USD",'管线假设'!I1335,1)-AM6245</x:f>
        <x:v>0.0592463872</x:v>
      </x:c>
      <x:c r="M6245" s="11" t="n">
        <x:f>'管线假设'!H1335</x:f>
        <x:v>0.14</x:v>
      </x:c>
      <x:c r="N6245" s="11" t="n">
        <x:f>IF(G6245,L6245*AN6245/(1+M6245)^F6245,0)</x:f>
        <x:v>0.013606248805321656</x:v>
      </x:c>
      <x:c r="AJ6245" t="n">
        <x:v>0</x:v>
      </x:c>
      <x:c r="AK6245" t="n">
        <x:v>0</x:v>
      </x:c>
      <x:c r="AL6245" t="n">
        <x:v>0</x:v>
      </x:c>
      <x:c r="AM6245" t="n">
        <x:f>CHOOSE('假设'!$B$3,AJ6245,AK6245,AL6245)</x:f>
        <x:v>0</x:v>
      </x:c>
      <x:c r="AN6245" t="n">
        <x:v>1</x:v>
      </x:c>
    </x:row>
    <x:row r="6246" ht="23" customHeight="1">
      <x:c r="A6246" s="11" t="str">
        <x:v>688062.SH</x:v>
      </x:c>
      <x:c r="B6246" s="11" t="str">
        <x:v>五年</x:v>
      </x:c>
      <x:c r="C6246" s="11" t="str">
        <x:v>tmprss_pv_global</x:v>
      </x:c>
      <x:c r="D6246" s="11" t="str">
        <x:v>2043-12-31</x:v>
      </x:c>
      <x:c r="E6246" s="11" t="str">
        <x:v>USD</x:v>
      </x:c>
      <x:c r="F6246" s="11" t="n">
        <x:v>12.227241615331964</x:v>
      </x:c>
      <x:c r="G6246" s="26" t="b">
        <x:v>1</x:v>
      </x:c>
      <x:c r="H6246" s="16" t="n">
        <x:v>0.13999999999999999</x:v>
      </x:c>
      <x:c r="I6246" s="16" t="n">
        <x:v>0.08999999999999997</x:v>
      </x:c>
      <x:c r="J6246" s="16" t="n">
        <x:v>0</x:v>
      </x:c>
      <x:c r="K6246" s="11" t="n">
        <x:f>CHOOSE('假设'!$B$3,H6246,I6246,J6246)</x:f>
        <x:v>0.08999999999999997</x:v>
      </x:c>
      <x:c r="L6246" s="11" t="n">
        <x:f>K6246*'管线假设'!E1335*'管线假设'!F1335*'管线假设'!G1335*IF(E6246="USD",'管线假设'!I1335,1)-AM6246</x:f>
        <x:v>0.024237158399999993</x:v>
      </x:c>
      <x:c r="M6246" s="11" t="n">
        <x:f>'管线假设'!H1335</x:f>
        <x:v>0.14</x:v>
      </x:c>
      <x:c r="N6246" s="11" t="n">
        <x:f>IF(G6246,L6246*AN6246/(1+M6246)^F6246,0)</x:f>
        <x:v>0.004883063082160227</x:v>
      </x:c>
      <x:c r="AJ6246" t="n">
        <x:v>0</x:v>
      </x:c>
      <x:c r="AK6246" t="n">
        <x:v>0</x:v>
      </x:c>
      <x:c r="AL6246" t="n">
        <x:v>0</x:v>
      </x:c>
      <x:c r="AM6246" t="n">
        <x:f>CHOOSE('假设'!$B$3,AJ6246,AK6246,AL6246)</x:f>
        <x:v>0</x:v>
      </x:c>
      <x:c r="AN6246" t="n">
        <x:v>1</x:v>
      </x:c>
    </x:row>
    <x:row r="6247" ht="23" customHeight="1">
      <x:c r="A6247" s="11" t="str">
        <x:v>688062.SH</x:v>
      </x:c>
      <x:c r="B6247" s="11" t="str">
        <x:v>五年</x:v>
      </x:c>
      <x:c r="C6247" s="11" t="str">
        <x:v>tmprss_pv_global</x:v>
      </x:c>
      <x:c r="D6247" s="11" t="str">
        <x:v>2044-12-31</x:v>
      </x:c>
      <x:c r="E6247" s="11" t="str">
        <x:v>USD</x:v>
      </x:c>
      <x:c r="F6247" s="11" t="n">
        <x:v>13.229295003422314</x:v>
      </x:c>
      <x:c r="G6247" s="26" t="b">
        <x:v>1</x:v>
      </x:c>
      <x:c r="H6247" s="16" t="n">
        <x:v>0.088</x:v>
      </x:c>
      <x:c r="I6247" s="16" t="n">
        <x:v>0</x:v>
      </x:c>
      <x:c r="J6247" s="16" t="n">
        <x:v>0</x:v>
      </x:c>
      <x:c r="K6247" s="11" t="n">
        <x:f>CHOOSE('假设'!$B$3,H6247,I6247,J6247)</x:f>
        <x:v>0</x:v>
      </x:c>
      <x:c r="L6247" s="11" t="n">
        <x:f>K6247*'管线假设'!E1335*'管线假设'!F1335*'管线假设'!G1335*IF(E6247="USD",'管线假设'!I1335,1)-AM6247</x:f>
        <x:v>0</x:v>
      </x:c>
      <x:c r="M6247" s="11" t="n">
        <x:f>'管线假设'!H1335</x:f>
        <x:v>0.14</x:v>
      </x:c>
      <x:c r="N6247" s="11" t="n">
        <x:f>IF(G6247,L6247*AN6247/(1+M6247)^F6247,0)</x:f>
        <x:v>0</x:v>
      </x:c>
      <x:c r="AJ6247" t="n">
        <x:v>0</x:v>
      </x:c>
      <x:c r="AK6247" t="n">
        <x:v>0</x:v>
      </x:c>
      <x:c r="AL6247" t="n">
        <x:v>0</x:v>
      </x:c>
      <x:c r="AM6247" t="n">
        <x:f>CHOOSE('假设'!$B$3,AJ6247,AK6247,AL6247)</x:f>
        <x:v>0</x:v>
      </x:c>
      <x:c r="AN6247" t="n">
        <x:v>1</x:v>
      </x:c>
    </x:row>
    <x:row r="6248" ht="23" customHeight="1">
      <x:c r="A6248" s="11" t="str">
        <x:v>688062.SH</x:v>
      </x:c>
      <x:c r="B6248" s="11" t="str">
        <x:v>五年</x:v>
      </x:c>
      <x:c r="C6248" s="11" t="str">
        <x:v>tmprss_pv_global</x:v>
      </x:c>
      <x:c r="D6248" s="11" t="str">
        <x:v>2045-12-31</x:v>
      </x:c>
      <x:c r="E6248" s="11" t="str">
        <x:v>USD</x:v>
      </x:c>
      <x:c r="F6248" s="11" t="n">
        <x:v>14.22861054072553</x:v>
      </x:c>
      <x:c r="G6248" s="26" t="b">
        <x:v>1</x:v>
      </x:c>
      <x:c r="H6248" s="16" t="n">
        <x:v>0.03599999999999999</x:v>
      </x:c>
      <x:c r="I6248" s="16" t="n">
        <x:v>0</x:v>
      </x:c>
      <x:c r="J6248" s="16" t="n">
        <x:v>0</x:v>
      </x:c>
      <x:c r="K6248" s="11" t="n">
        <x:f>CHOOSE('假设'!$B$3,H6248,I6248,J6248)</x:f>
        <x:v>0</x:v>
      </x:c>
      <x:c r="L6248" s="11" t="n">
        <x:f>K6248*'管线假设'!E1335*'管线假设'!F1335*'管线假设'!G1335*IF(E6248="USD",'管线假设'!I1335,1)-AM6248</x:f>
        <x:v>0</x:v>
      </x:c>
      <x:c r="M6248" s="11" t="n">
        <x:f>'管线假设'!H1335</x:f>
        <x:v>0.14</x:v>
      </x:c>
      <x:c r="N6248" s="11" t="n">
        <x:f>IF(G6248,L6248*AN6248/(1+M6248)^F6248,0)</x:f>
        <x:v>0</x:v>
      </x:c>
      <x:c r="AJ6248" t="n">
        <x:v>0</x:v>
      </x:c>
      <x:c r="AK6248" t="n">
        <x:v>0</x:v>
      </x:c>
      <x:c r="AL6248" t="n">
        <x:v>0</x:v>
      </x:c>
      <x:c r="AM6248" t="n">
        <x:f>CHOOSE('假设'!$B$3,AJ6248,AK6248,AL6248)</x:f>
        <x:v>0</x:v>
      </x:c>
      <x:c r="AN6248" t="n">
        <x:v>1</x:v>
      </x:c>
    </x:row>
    <x:row r="6249" ht="23" customHeight="1">
      <x:c r="A6249" s="11" t="str">
        <x:v>688062.SH</x:v>
      </x:c>
      <x:c r="B6249" s="11" t="str">
        <x:v>五年</x:v>
      </x:c>
      <x:c r="C6249" s="11" t="str">
        <x:v>tmprss_pv_cn</x:v>
      </x:c>
      <x:c r="D6249" s="11" t="str">
        <x:v>2027-12-31</x:v>
      </x:c>
      <x:c r="E6249" s="11" t="str">
        <x:v>CNY</x:v>
      </x:c>
      <x:c r="F6249" s="11" t="n">
        <x:v>-3.7727583846680357</x:v>
      </x:c>
      <x:c r="G6249" s="26" t="b">
        <x:v>0</x:v>
      </x:c>
      <x:c r="H6249" s="16" t="n">
        <x:v>0</x:v>
      </x:c>
      <x:c r="I6249" s="16" t="n">
        <x:v>0</x:v>
      </x:c>
      <x:c r="J6249" s="16" t="n">
        <x:v>0</x:v>
      </x:c>
      <x:c r="K6249" s="11" t="n">
        <x:f>CHOOSE('假设'!$B$3,H6249,I6249,J6249)</x:f>
        <x:v>0</x:v>
      </x:c>
      <x:c r="L6249" s="11" t="n">
        <x:f>K6249*'管线假设'!E1339*'管线假设'!F1339*'管线假设'!G1339*IF(E6249="USD",'管线假设'!I1339,1)-AM6249</x:f>
        <x:v>0</x:v>
      </x:c>
      <x:c r="M6249" s="11" t="n">
        <x:f>'管线假设'!H1339</x:f>
        <x:v>0.14</x:v>
      </x:c>
      <x:c r="N6249" s="11" t="n">
        <x:f>IF(G6249,L6249*AN6249/(1+M6249)^F6249,0)</x:f>
        <x:v>0</x:v>
      </x:c>
      <x:c r="AJ6249" t="n">
        <x:v>0</x:v>
      </x:c>
      <x:c r="AK6249" t="n">
        <x:v>0</x:v>
      </x:c>
      <x:c r="AL6249" t="n">
        <x:v>0</x:v>
      </x:c>
      <x:c r="AM6249" t="n">
        <x:f>CHOOSE('假设'!$B$3,AJ6249,AK6249,AL6249)</x:f>
        <x:v>0</x:v>
      </x:c>
      <x:c r="AN6249" t="n">
        <x:v>1</x:v>
      </x:c>
    </x:row>
    <x:row r="6250" ht="23" customHeight="1">
      <x:c r="A6250" s="11" t="str">
        <x:v>688062.SH</x:v>
      </x:c>
      <x:c r="B6250" s="11" t="str">
        <x:v>五年</x:v>
      </x:c>
      <x:c r="C6250" s="11" t="str">
        <x:v>tmprss_pv_cn</x:v>
      </x:c>
      <x:c r="D6250" s="11" t="str">
        <x:v>2028-12-31</x:v>
      </x:c>
      <x:c r="E6250" s="11" t="str">
        <x:v>CNY</x:v>
      </x:c>
      <x:c r="F6250" s="11" t="n">
        <x:v>-2.7707049965776864</x:v>
      </x:c>
      <x:c r="G6250" s="26" t="b">
        <x:v>0</x:v>
      </x:c>
      <x:c r="H6250" s="16" t="n">
        <x:v>0</x:v>
      </x:c>
      <x:c r="I6250" s="16" t="n">
        <x:v>0</x:v>
      </x:c>
      <x:c r="J6250" s="16" t="n">
        <x:v>0</x:v>
      </x:c>
      <x:c r="K6250" s="11" t="n">
        <x:f>CHOOSE('假设'!$B$3,H6250,I6250,J6250)</x:f>
        <x:v>0</x:v>
      </x:c>
      <x:c r="L6250" s="11" t="n">
        <x:f>K6250*'管线假设'!E1339*'管线假设'!F1339*'管线假设'!G1339*IF(E6250="USD",'管线假设'!I1339,1)-AM6250</x:f>
        <x:v>0</x:v>
      </x:c>
      <x:c r="M6250" s="11" t="n">
        <x:f>'管线假设'!H1339</x:f>
        <x:v>0.14</x:v>
      </x:c>
      <x:c r="N6250" s="11" t="n">
        <x:f>IF(G6250,L6250*AN6250/(1+M6250)^F6250,0)</x:f>
        <x:v>0</x:v>
      </x:c>
      <x:c r="AJ6250" t="n">
        <x:v>0</x:v>
      </x:c>
      <x:c r="AK6250" t="n">
        <x:v>0</x:v>
      </x:c>
      <x:c r="AL6250" t="n">
        <x:v>0</x:v>
      </x:c>
      <x:c r="AM6250" t="n">
        <x:f>CHOOSE('假设'!$B$3,AJ6250,AK6250,AL6250)</x:f>
        <x:v>0</x:v>
      </x:c>
      <x:c r="AN6250" t="n">
        <x:v>1</x:v>
      </x:c>
    </x:row>
    <x:row r="6251" ht="23" customHeight="1">
      <x:c r="A6251" s="11" t="str">
        <x:v>688062.SH</x:v>
      </x:c>
      <x:c r="B6251" s="11" t="str">
        <x:v>五年</x:v>
      </x:c>
      <x:c r="C6251" s="11" t="str">
        <x:v>tmprss_pv_cn</x:v>
      </x:c>
      <x:c r="D6251" s="11" t="str">
        <x:v>2029-12-31</x:v>
      </x:c>
      <x:c r="E6251" s="11" t="str">
        <x:v>CNY</x:v>
      </x:c>
      <x:c r="F6251" s="11" t="n">
        <x:v>-1.7713894592744694</x:v>
      </x:c>
      <x:c r="G6251" s="26" t="b">
        <x:v>0</x:v>
      </x:c>
      <x:c r="H6251" s="16" t="n">
        <x:v>0</x:v>
      </x:c>
      <x:c r="I6251" s="16" t="n">
        <x:v>0</x:v>
      </x:c>
      <x:c r="J6251" s="16" t="n">
        <x:v>0.16666666666666666</x:v>
      </x:c>
      <x:c r="K6251" s="11" t="n">
        <x:f>CHOOSE('假设'!$B$3,H6251,I6251,J6251)</x:f>
        <x:v>0</x:v>
      </x:c>
      <x:c r="L6251" s="11" t="n">
        <x:f>K6251*'管线假设'!E1339*'管线假设'!F1339*'管线假设'!G1339*IF(E6251="USD",'管线假设'!I1339,1)-AM6251</x:f>
        <x:v>0</x:v>
      </x:c>
      <x:c r="M6251" s="11" t="n">
        <x:f>'管线假设'!H1339</x:f>
        <x:v>0.14</x:v>
      </x:c>
      <x:c r="N6251" s="11" t="n">
        <x:f>IF(G6251,L6251*AN6251/(1+M6251)^F6251,0)</x:f>
        <x:v>0</x:v>
      </x:c>
      <x:c r="AJ6251" t="n">
        <x:v>0</x:v>
      </x:c>
      <x:c r="AK6251" t="n">
        <x:v>0</x:v>
      </x:c>
      <x:c r="AL6251" t="n">
        <x:v>0</x:v>
      </x:c>
      <x:c r="AM6251" t="n">
        <x:f>CHOOSE('假设'!$B$3,AJ6251,AK6251,AL6251)</x:f>
        <x:v>0</x:v>
      </x:c>
      <x:c r="AN6251" t="n">
        <x:v>1</x:v>
      </x:c>
    </x:row>
    <x:row r="6252" ht="23" customHeight="1">
      <x:c r="A6252" s="11" t="str">
        <x:v>688062.SH</x:v>
      </x:c>
      <x:c r="B6252" s="11" t="str">
        <x:v>五年</x:v>
      </x:c>
      <x:c r="C6252" s="11" t="str">
        <x:v>tmprss_pv_cn</x:v>
      </x:c>
      <x:c r="D6252" s="11" t="str">
        <x:v>2030-12-31</x:v>
      </x:c>
      <x:c r="E6252" s="11" t="str">
        <x:v>CNY</x:v>
      </x:c>
      <x:c r="F6252" s="11" t="n">
        <x:v>-0.7720739219712526</x:v>
      </x:c>
      <x:c r="G6252" s="26" t="b">
        <x:v>0</x:v>
      </x:c>
      <x:c r="H6252" s="16" t="n">
        <x:v>0</x:v>
      </x:c>
      <x:c r="I6252" s="16" t="n">
        <x:v>0</x:v>
      </x:c>
      <x:c r="J6252" s="16" t="n">
        <x:v>0.3333333333333333</x:v>
      </x:c>
      <x:c r="K6252" s="11" t="n">
        <x:f>CHOOSE('假设'!$B$3,H6252,I6252,J6252)</x:f>
        <x:v>0</x:v>
      </x:c>
      <x:c r="L6252" s="11" t="n">
        <x:f>K6252*'管线假设'!E1339*'管线假设'!F1339*'管线假设'!G1339*IF(E6252="USD",'管线假设'!I1339,1)-AM6252</x:f>
        <x:v>0</x:v>
      </x:c>
      <x:c r="M6252" s="11" t="n">
        <x:f>'管线假设'!H1339</x:f>
        <x:v>0.14</x:v>
      </x:c>
      <x:c r="N6252" s="11" t="n">
        <x:f>IF(G6252,L6252*AN6252/(1+M6252)^F6252,0)</x:f>
        <x:v>0</x:v>
      </x:c>
      <x:c r="AJ6252" t="n">
        <x:v>0</x:v>
      </x:c>
      <x:c r="AK6252" t="n">
        <x:v>0</x:v>
      </x:c>
      <x:c r="AL6252" t="n">
        <x:v>0</x:v>
      </x:c>
      <x:c r="AM6252" t="n">
        <x:f>CHOOSE('假设'!$B$3,AJ6252,AK6252,AL6252)</x:f>
        <x:v>0</x:v>
      </x:c>
      <x:c r="AN6252" t="n">
        <x:v>1</x:v>
      </x:c>
    </x:row>
    <x:row r="6253" ht="23" customHeight="1">
      <x:c r="A6253" s="11" t="str">
        <x:v>688062.SH</x:v>
      </x:c>
      <x:c r="B6253" s="11" t="str">
        <x:v>五年</x:v>
      </x:c>
      <x:c r="C6253" s="11" t="str">
        <x:v>tmprss_pv_cn</x:v>
      </x:c>
      <x:c r="D6253" s="11" t="str">
        <x:v>2031-12-31</x:v>
      </x:c>
      <x:c r="E6253" s="11" t="str">
        <x:v>CNY</x:v>
      </x:c>
      <x:c r="F6253" s="11" t="n">
        <x:v>0.2272416153319644</x:v>
      </x:c>
      <x:c r="G6253" s="26" t="b">
        <x:v>1</x:v>
      </x:c>
      <x:c r="H6253" s="16" t="n">
        <x:v>0</x:v>
      </x:c>
      <x:c r="I6253" s="16" t="n">
        <x:v>0.09999999999999999</x:v>
      </x:c>
      <x:c r="J6253" s="16" t="n">
        <x:v>0.5</x:v>
      </x:c>
      <x:c r="K6253" s="11" t="n">
        <x:f>CHOOSE('假设'!$B$3,H6253,I6253,J6253)</x:f>
        <x:v>0.09999999999999999</x:v>
      </x:c>
      <x:c r="L6253" s="11" t="n">
        <x:f>K6253*'管线假设'!E1339*'管线假设'!F1339*'管线假设'!G1339*IF(E6253="USD",'管线假设'!I1339,1)-AM6253</x:f>
        <x:v>0.01596</x:v>
      </x:c>
      <x:c r="M6253" s="11" t="n">
        <x:f>'管线假设'!H1339</x:f>
        <x:v>0.14</x:v>
      </x:c>
      <x:c r="N6253" s="11" t="n">
        <x:f>IF(G6253,L6253*AN6253/(1+M6253)^F6253,0)</x:f>
        <x:v>0.015491794830977337</x:v>
      </x:c>
      <x:c r="AJ6253" t="n">
        <x:v>0</x:v>
      </x:c>
      <x:c r="AK6253" t="n">
        <x:v>0</x:v>
      </x:c>
      <x:c r="AL6253" t="n">
        <x:v>0</x:v>
      </x:c>
      <x:c r="AM6253" t="n">
        <x:f>CHOOSE('假设'!$B$3,AJ6253,AK6253,AL6253)</x:f>
        <x:v>0</x:v>
      </x:c>
      <x:c r="AN6253" t="n">
        <x:v>1</x:v>
      </x:c>
    </x:row>
    <x:row r="6254" ht="23" customHeight="1">
      <x:c r="A6254" s="11" t="str">
        <x:v>688062.SH</x:v>
      </x:c>
      <x:c r="B6254" s="11" t="str">
        <x:v>五年</x:v>
      </x:c>
      <x:c r="C6254" s="11" t="str">
        <x:v>tmprss_pv_cn</x:v>
      </x:c>
      <x:c r="D6254" s="11" t="str">
        <x:v>2032-12-31</x:v>
      </x:c>
      <x:c r="E6254" s="11" t="str">
        <x:v>CNY</x:v>
      </x:c>
      <x:c r="F6254" s="11" t="n">
        <x:v>1.2292950034223136</x:v>
      </x:c>
      <x:c r="G6254" s="26" t="b">
        <x:v>1</x:v>
      </x:c>
      <x:c r="H6254" s="16" t="n">
        <x:v>0</x:v>
      </x:c>
      <x:c r="I6254" s="16" t="n">
        <x:v>0.19999999999999998</x:v>
      </x:c>
      <x:c r="J6254" s="16" t="n">
        <x:v>0.6666666666666666</x:v>
      </x:c>
      <x:c r="K6254" s="11" t="n">
        <x:f>CHOOSE('假设'!$B$3,H6254,I6254,J6254)</x:f>
        <x:v>0.19999999999999998</x:v>
      </x:c>
      <x:c r="L6254" s="11" t="n">
        <x:f>K6254*'管线假设'!E1339*'管线假设'!F1339*'管线假设'!G1339*IF(E6254="USD",'管线假设'!I1339,1)-AM6254</x:f>
        <x:v>0.03192</x:v>
      </x:c>
      <x:c r="M6254" s="11" t="n">
        <x:f>'管线假设'!H1339</x:f>
        <x:v>0.14</x:v>
      </x:c>
      <x:c r="N6254" s="11" t="n">
        <x:f>IF(G6254,L6254*AN6254/(1+M6254)^F6254,0)</x:f>
        <x:v>0.027171275956527362</x:v>
      </x:c>
      <x:c r="AJ6254" t="n">
        <x:v>0</x:v>
      </x:c>
      <x:c r="AK6254" t="n">
        <x:v>0</x:v>
      </x:c>
      <x:c r="AL6254" t="n">
        <x:v>0</x:v>
      </x:c>
      <x:c r="AM6254" t="n">
        <x:f>CHOOSE('假设'!$B$3,AJ6254,AK6254,AL6254)</x:f>
        <x:v>0</x:v>
      </x:c>
      <x:c r="AN6254" t="n">
        <x:v>1</x:v>
      </x:c>
    </x:row>
    <x:row r="6255" ht="23" customHeight="1">
      <x:c r="A6255" s="11" t="str">
        <x:v>688062.SH</x:v>
      </x:c>
      <x:c r="B6255" s="11" t="str">
        <x:v>五年</x:v>
      </x:c>
      <x:c r="C6255" s="11" t="str">
        <x:v>tmprss_pv_cn</x:v>
      </x:c>
      <x:c r="D6255" s="11" t="str">
        <x:v>2033-12-31</x:v>
      </x:c>
      <x:c r="E6255" s="11" t="str">
        <x:v>CNY</x:v>
      </x:c>
      <x:c r="F6255" s="11" t="n">
        <x:v>2.2286105407255303</x:v>
      </x:c>
      <x:c r="G6255" s="26" t="b">
        <x:v>1</x:v>
      </x:c>
      <x:c r="H6255" s="16" t="n">
        <x:v>0</x:v>
      </x:c>
      <x:c r="I6255" s="16" t="n">
        <x:v>0.3</x:v>
      </x:c>
      <x:c r="J6255" s="16" t="n">
        <x:v>0.8333333333333334</x:v>
      </x:c>
      <x:c r="K6255" s="11" t="n">
        <x:f>CHOOSE('假设'!$B$3,H6255,I6255,J6255)</x:f>
        <x:v>0.3</x:v>
      </x:c>
      <x:c r="L6255" s="11" t="n">
        <x:f>K6255*'管线假设'!E1339*'管线假设'!F1339*'管线假设'!G1339*IF(E6255="USD",'管线假设'!I1339,1)-AM6255</x:f>
        <x:v>0.04788</x:v>
      </x:c>
      <x:c r="M6255" s="11" t="n">
        <x:f>'管线假设'!H1339</x:f>
        <x:v>0.14</x:v>
      </x:c>
      <x:c r="N6255" s="11" t="n">
        <x:f>IF(G6255,L6255*AN6255/(1+M6255)^F6255,0)</x:f>
        <x:v>0.0357548853860134</x:v>
      </x:c>
      <x:c r="AJ6255" t="n">
        <x:v>0</x:v>
      </x:c>
      <x:c r="AK6255" t="n">
        <x:v>0</x:v>
      </x:c>
      <x:c r="AL6255" t="n">
        <x:v>0</x:v>
      </x:c>
      <x:c r="AM6255" t="n">
        <x:f>CHOOSE('假设'!$B$3,AJ6255,AK6255,AL6255)</x:f>
        <x:v>0</x:v>
      </x:c>
      <x:c r="AN6255" t="n">
        <x:v>1</x:v>
      </x:c>
    </x:row>
    <x:row r="6256" ht="23" customHeight="1">
      <x:c r="A6256" s="11" t="str">
        <x:v>688062.SH</x:v>
      </x:c>
      <x:c r="B6256" s="11" t="str">
        <x:v>五年</x:v>
      </x:c>
      <x:c r="C6256" s="11" t="str">
        <x:v>tmprss_pv_cn</x:v>
      </x:c>
      <x:c r="D6256" s="11" t="str">
        <x:v>2034-12-31</x:v>
      </x:c>
      <x:c r="E6256" s="11" t="str">
        <x:v>CNY</x:v>
      </x:c>
      <x:c r="F6256" s="11" t="n">
        <x:v>3.2279260780287475</x:v>
      </x:c>
      <x:c r="G6256" s="26" t="b">
        <x:v>1</x:v>
      </x:c>
      <x:c r="H6256" s="16" t="n">
        <x:v>0.06</x:v>
      </x:c>
      <x:c r="I6256" s="16" t="n">
        <x:v>0.39999999999999997</x:v>
      </x:c>
      <x:c r="J6256" s="16" t="n">
        <x:v>1</x:v>
      </x:c>
      <x:c r="K6256" s="11" t="n">
        <x:f>CHOOSE('假设'!$B$3,H6256,I6256,J6256)</x:f>
        <x:v>0.39999999999999997</x:v>
      </x:c>
      <x:c r="L6256" s="11" t="n">
        <x:f>K6256*'管线假设'!E1339*'管线假设'!F1339*'管线假设'!G1339*IF(E6256="USD",'管线假设'!I1339,1)-AM6256</x:f>
        <x:v>0.06384</x:v>
      </x:c>
      <x:c r="M6256" s="11" t="n">
        <x:f>'管线假设'!H1339</x:f>
        <x:v>0.14</x:v>
      </x:c>
      <x:c r="N6256" s="11" t="n">
        <x:f>IF(G6256,L6256*AN6256/(1+M6256)^F6256,0)</x:f>
        <x:v>0.04182233002274075</x:v>
      </x:c>
      <x:c r="AJ6256" t="n">
        <x:v>0</x:v>
      </x:c>
      <x:c r="AK6256" t="n">
        <x:v>0</x:v>
      </x:c>
      <x:c r="AL6256" t="n">
        <x:v>0</x:v>
      </x:c>
      <x:c r="AM6256" t="n">
        <x:f>CHOOSE('假设'!$B$3,AJ6256,AK6256,AL6256)</x:f>
        <x:v>0</x:v>
      </x:c>
      <x:c r="AN6256" t="n">
        <x:v>1</x:v>
      </x:c>
    </x:row>
    <x:row r="6257" ht="23" customHeight="1">
      <x:c r="A6257" s="11" t="str">
        <x:v>688062.SH</x:v>
      </x:c>
      <x:c r="B6257" s="11" t="str">
        <x:v>五年</x:v>
      </x:c>
      <x:c r="C6257" s="11" t="str">
        <x:v>tmprss_pv_cn</x:v>
      </x:c>
      <x:c r="D6257" s="11" t="str">
        <x:v>2035-12-31</x:v>
      </x:c>
      <x:c r="E6257" s="11" t="str">
        <x:v>CNY</x:v>
      </x:c>
      <x:c r="F6257" s="11" t="n">
        <x:v>4.227241615331964</x:v>
      </x:c>
      <x:c r="G6257" s="26" t="b">
        <x:v>1</x:v>
      </x:c>
      <x:c r="H6257" s="16" t="n">
        <x:v>0.12</x:v>
      </x:c>
      <x:c r="I6257" s="16" t="n">
        <x:v>0.5</x:v>
      </x:c>
      <x:c r="J6257" s="16" t="n">
        <x:v>0.87</x:v>
      </x:c>
      <x:c r="K6257" s="11" t="n">
        <x:f>CHOOSE('假设'!$B$3,H6257,I6257,J6257)</x:f>
        <x:v>0.5</x:v>
      </x:c>
      <x:c r="L6257" s="11" t="n">
        <x:f>K6257*'管线假设'!E1339*'管线假设'!F1339*'管线假设'!G1339*IF(E6257="USD",'管线假设'!I1339,1)-AM6257</x:f>
        <x:v>0.0798</x:v>
      </x:c>
      <x:c r="M6257" s="11" t="n">
        <x:f>'管线假设'!H1339</x:f>
        <x:v>0.14</x:v>
      </x:c>
      <x:c r="N6257" s="11" t="n">
        <x:f>IF(G6257,L6257*AN6257/(1+M6257)^F6257,0)</x:f>
        <x:v>0.04586193090243564</x:v>
      </x:c>
      <x:c r="AJ6257" t="n">
        <x:v>0</x:v>
      </x:c>
      <x:c r="AK6257" t="n">
        <x:v>0</x:v>
      </x:c>
      <x:c r="AL6257" t="n">
        <x:v>0</x:v>
      </x:c>
      <x:c r="AM6257" t="n">
        <x:f>CHOOSE('假设'!$B$3,AJ6257,AK6257,AL6257)</x:f>
        <x:v>0</x:v>
      </x:c>
      <x:c r="AN6257" t="n">
        <x:v>1</x:v>
      </x:c>
    </x:row>
    <x:row r="6258" ht="23" customHeight="1">
      <x:c r="A6258" s="11" t="str">
        <x:v>688062.SH</x:v>
      </x:c>
      <x:c r="B6258" s="11" t="str">
        <x:v>五年</x:v>
      </x:c>
      <x:c r="C6258" s="11" t="str">
        <x:v>tmprss_pv_cn</x:v>
      </x:c>
      <x:c r="D6258" s="11" t="str">
        <x:v>2036-12-31</x:v>
      </x:c>
      <x:c r="E6258" s="11" t="str">
        <x:v>CNY</x:v>
      </x:c>
      <x:c r="F6258" s="11" t="n">
        <x:v>5.229295003422314</x:v>
      </x:c>
      <x:c r="G6258" s="26" t="b">
        <x:v>1</x:v>
      </x:c>
      <x:c r="H6258" s="16" t="n">
        <x:v>0.18</x:v>
      </x:c>
      <x:c r="I6258" s="16" t="n">
        <x:v>0.6</x:v>
      </x:c>
      <x:c r="J6258" s="16" t="n">
        <x:v>0.74</x:v>
      </x:c>
      <x:c r="K6258" s="11" t="n">
        <x:f>CHOOSE('假设'!$B$3,H6258,I6258,J6258)</x:f>
        <x:v>0.6</x:v>
      </x:c>
      <x:c r="L6258" s="11" t="n">
        <x:f>K6258*'管线假设'!E1339*'管线假设'!F1339*'管线假设'!G1339*IF(E6258="USD",'管线假设'!I1339,1)-AM6258</x:f>
        <x:v>0.09576</x:v>
      </x:c>
      <x:c r="M6258" s="11" t="n">
        <x:f>'管线假设'!H1339</x:f>
        <x:v>0.14</x:v>
      </x:c>
      <x:c r="N6258" s="11" t="n">
        <x:f>IF(G6258,L6258*AN6258/(1+M6258)^F6258,0)</x:f>
        <x:v>0.04826272981452804</x:v>
      </x:c>
      <x:c r="AJ6258" t="n">
        <x:v>0</x:v>
      </x:c>
      <x:c r="AK6258" t="n">
        <x:v>0</x:v>
      </x:c>
      <x:c r="AL6258" t="n">
        <x:v>0</x:v>
      </x:c>
      <x:c r="AM6258" t="n">
        <x:f>CHOOSE('假设'!$B$3,AJ6258,AK6258,AL6258)</x:f>
        <x:v>0</x:v>
      </x:c>
      <x:c r="AN6258" t="n">
        <x:v>1</x:v>
      </x:c>
    </x:row>
    <x:row r="6259" ht="23" customHeight="1">
      <x:c r="A6259" s="11" t="str">
        <x:v>688062.SH</x:v>
      </x:c>
      <x:c r="B6259" s="11" t="str">
        <x:v>五年</x:v>
      </x:c>
      <x:c r="C6259" s="11" t="str">
        <x:v>tmprss_pv_cn</x:v>
      </x:c>
      <x:c r="D6259" s="11" t="str">
        <x:v>2037-12-31</x:v>
      </x:c>
      <x:c r="E6259" s="11" t="str">
        <x:v>CNY</x:v>
      </x:c>
      <x:c r="F6259" s="11" t="n">
        <x:v>6.228610540725531</x:v>
      </x:c>
      <x:c r="G6259" s="26" t="b">
        <x:v>1</x:v>
      </x:c>
      <x:c r="H6259" s="16" t="n">
        <x:v>0.24</x:v>
      </x:c>
      <x:c r="I6259" s="16" t="n">
        <x:v>0.522</x:v>
      </x:c>
      <x:c r="J6259" s="16" t="n">
        <x:v>0.61</x:v>
      </x:c>
      <x:c r="K6259" s="11" t="n">
        <x:f>CHOOSE('假设'!$B$3,H6259,I6259,J6259)</x:f>
        <x:v>0.522</x:v>
      </x:c>
      <x:c r="L6259" s="11" t="n">
        <x:f>K6259*'管线假设'!E1339*'管线假设'!F1339*'管线假设'!G1339*IF(E6259="USD",'管线假设'!I1339,1)-AM6259</x:f>
        <x:v>0.0833112</x:v>
      </x:c>
      <x:c r="M6259" s="11" t="n">
        <x:f>'管线假设'!H1339</x:f>
        <x:v>0.14</x:v>
      </x:c>
      <x:c r="N6259" s="11" t="n">
        <x:f>IF(G6259,L6259*AN6259/(1+M6259)^F6259,0)</x:f>
        <x:v>0.036835386674640855</x:v>
      </x:c>
      <x:c r="AJ6259" t="n">
        <x:v>0</x:v>
      </x:c>
      <x:c r="AK6259" t="n">
        <x:v>0</x:v>
      </x:c>
      <x:c r="AL6259" t="n">
        <x:v>0</x:v>
      </x:c>
      <x:c r="AM6259" t="n">
        <x:f>CHOOSE('假设'!$B$3,AJ6259,AK6259,AL6259)</x:f>
        <x:v>0</x:v>
      </x:c>
      <x:c r="AN6259" t="n">
        <x:v>1</x:v>
      </x:c>
    </x:row>
    <x:row r="6260" ht="23" customHeight="1">
      <x:c r="A6260" s="11" t="str">
        <x:v>688062.SH</x:v>
      </x:c>
      <x:c r="B6260" s="11" t="str">
        <x:v>五年</x:v>
      </x:c>
      <x:c r="C6260" s="11" t="str">
        <x:v>tmprss_pv_cn</x:v>
      </x:c>
      <x:c r="D6260" s="11" t="str">
        <x:v>2038-12-31</x:v>
      </x:c>
      <x:c r="E6260" s="11" t="str">
        <x:v>CNY</x:v>
      </x:c>
      <x:c r="F6260" s="11" t="n">
        <x:v>7.227926078028747</x:v>
      </x:c>
      <x:c r="G6260" s="26" t="b">
        <x:v>1</x:v>
      </x:c>
      <x:c r="H6260" s="16" t="n">
        <x:v>0.3</x:v>
      </x:c>
      <x:c r="I6260" s="16" t="n">
        <x:v>0.444</x:v>
      </x:c>
      <x:c r="J6260" s="16" t="n">
        <x:v>0.48</x:v>
      </x:c>
      <x:c r="K6260" s="11" t="n">
        <x:f>CHOOSE('假设'!$B$3,H6260,I6260,J6260)</x:f>
        <x:v>0.444</x:v>
      </x:c>
      <x:c r="L6260" s="11" t="n">
        <x:f>K6260*'管线假设'!E1339*'管线假设'!F1339*'管线假设'!G1339*IF(E6260="USD",'管线假设'!I1339,1)-AM6260</x:f>
        <x:v>0.0708624</x:v>
      </x:c>
      <x:c r="M6260" s="11" t="n">
        <x:f>'管线假设'!H1339</x:f>
        <x:v>0.14</x:v>
      </x:c>
      <x:c r="N6260" s="11" t="n">
        <x:f>IF(G6260,L6260*AN6260/(1+M6260)^F6260,0)</x:f>
        <x:v>0.027486016203746466</x:v>
      </x:c>
      <x:c r="AJ6260" t="n">
        <x:v>0</x:v>
      </x:c>
      <x:c r="AK6260" t="n">
        <x:v>0</x:v>
      </x:c>
      <x:c r="AL6260" t="n">
        <x:v>0</x:v>
      </x:c>
      <x:c r="AM6260" t="n">
        <x:f>CHOOSE('假设'!$B$3,AJ6260,AK6260,AL6260)</x:f>
        <x:v>0</x:v>
      </x:c>
      <x:c r="AN6260" t="n">
        <x:v>1</x:v>
      </x:c>
    </x:row>
    <x:row r="6261" ht="23" customHeight="1">
      <x:c r="A6261" s="11" t="str">
        <x:v>688062.SH</x:v>
      </x:c>
      <x:c r="B6261" s="11" t="str">
        <x:v>五年</x:v>
      </x:c>
      <x:c r="C6261" s="11" t="str">
        <x:v>tmprss_pv_cn</x:v>
      </x:c>
      <x:c r="D6261" s="11" t="str">
        <x:v>2039-12-31</x:v>
      </x:c>
      <x:c r="E6261" s="11" t="str">
        <x:v>CNY</x:v>
      </x:c>
      <x:c r="F6261" s="11" t="n">
        <x:v>8.227241615331964</x:v>
      </x:c>
      <x:c r="G6261" s="26" t="b">
        <x:v>1</x:v>
      </x:c>
      <x:c r="H6261" s="16" t="n">
        <x:v>0.261</x:v>
      </x:c>
      <x:c r="I6261" s="16" t="n">
        <x:v>0.366</x:v>
      </x:c>
      <x:c r="J6261" s="16" t="n">
        <x:v>0.35</x:v>
      </x:c>
      <x:c r="K6261" s="11" t="n">
        <x:f>CHOOSE('假设'!$B$3,H6261,I6261,J6261)</x:f>
        <x:v>0.366</x:v>
      </x:c>
      <x:c r="L6261" s="11" t="n">
        <x:f>K6261*'管线假设'!E1339*'管线假设'!F1339*'管线假设'!G1339*IF(E6261="USD",'管线假设'!I1339,1)-AM6261</x:f>
        <x:v>0.058413599999999996</x:v>
      </x:c>
      <x:c r="M6261" s="11" t="n">
        <x:f>'管线假设'!H1339</x:f>
        <x:v>0.14</x:v>
      </x:c>
      <x:c r="N6261" s="11" t="n">
        <x:f>IF(G6261,L6261*AN6261/(1+M6261)^F6261,0)</x:f>
        <x:v>0.019876687571234883</x:v>
      </x:c>
      <x:c r="AJ6261" t="n">
        <x:v>0</x:v>
      </x:c>
      <x:c r="AK6261" t="n">
        <x:v>0</x:v>
      </x:c>
      <x:c r="AL6261" t="n">
        <x:v>0</x:v>
      </x:c>
      <x:c r="AM6261" t="n">
        <x:f>CHOOSE('假设'!$B$3,AJ6261,AK6261,AL6261)</x:f>
        <x:v>0</x:v>
      </x:c>
      <x:c r="AN6261" t="n">
        <x:v>1</x:v>
      </x:c>
    </x:row>
    <x:row r="6262" ht="23" customHeight="1">
      <x:c r="A6262" s="11" t="str">
        <x:v>688062.SH</x:v>
      </x:c>
      <x:c r="B6262" s="11" t="str">
        <x:v>五年</x:v>
      </x:c>
      <x:c r="C6262" s="11" t="str">
        <x:v>tmprss_pv_cn</x:v>
      </x:c>
      <x:c r="D6262" s="11" t="str">
        <x:v>2040-12-31</x:v>
      </x:c>
      <x:c r="E6262" s="11" t="str">
        <x:v>CNY</x:v>
      </x:c>
      <x:c r="F6262" s="11" t="n">
        <x:v>9.229295003422314</x:v>
      </x:c>
      <x:c r="G6262" s="26" t="b">
        <x:v>1</x:v>
      </x:c>
      <x:c r="H6262" s="16" t="n">
        <x:v>0.222</x:v>
      </x:c>
      <x:c r="I6262" s="16" t="n">
        <x:v>0.288</x:v>
      </x:c>
      <x:c r="J6262" s="16" t="n">
        <x:v>0.21999999999999997</x:v>
      </x:c>
      <x:c r="K6262" s="11" t="n">
        <x:f>CHOOSE('假设'!$B$3,H6262,I6262,J6262)</x:f>
        <x:v>0.288</x:v>
      </x:c>
      <x:c r="L6262" s="11" t="n">
        <x:f>K6262*'管线假设'!E1339*'管线假设'!F1339*'管线假设'!G1339*IF(E6262="USD",'管线假设'!I1339,1)-AM6262</x:f>
        <x:v>0.04596479999999999</x:v>
      </x:c>
      <x:c r="M6262" s="11" t="n">
        <x:f>'管线假设'!H1339</x:f>
        <x:v>0.14</x:v>
      </x:c>
      <x:c r="N6262" s="11" t="n">
        <x:f>IF(G6262,L6262*AN6262/(1+M6262)^F6262,0)</x:f>
        <x:v>0.01371619701850957</x:v>
      </x:c>
      <x:c r="AJ6262" t="n">
        <x:v>0</x:v>
      </x:c>
      <x:c r="AK6262" t="n">
        <x:v>0</x:v>
      </x:c>
      <x:c r="AL6262" t="n">
        <x:v>0</x:v>
      </x:c>
      <x:c r="AM6262" t="n">
        <x:f>CHOOSE('假设'!$B$3,AJ6262,AK6262,AL6262)</x:f>
        <x:v>0</x:v>
      </x:c>
      <x:c r="AN6262" t="n">
        <x:v>1</x:v>
      </x:c>
    </x:row>
    <x:row r="6263" ht="23" customHeight="1">
      <x:c r="A6263" s="11" t="str">
        <x:v>688062.SH</x:v>
      </x:c>
      <x:c r="B6263" s="11" t="str">
        <x:v>五年</x:v>
      </x:c>
      <x:c r="C6263" s="11" t="str">
        <x:v>tmprss_pv_cn</x:v>
      </x:c>
      <x:c r="D6263" s="11" t="str">
        <x:v>2041-12-31</x:v>
      </x:c>
      <x:c r="E6263" s="11" t="str">
        <x:v>CNY</x:v>
      </x:c>
      <x:c r="F6263" s="11" t="n">
        <x:v>10.22861054072553</x:v>
      </x:c>
      <x:c r="G6263" s="26" t="b">
        <x:v>1</x:v>
      </x:c>
      <x:c r="H6263" s="16" t="n">
        <x:v>0.183</x:v>
      </x:c>
      <x:c r="I6263" s="16" t="n">
        <x:v>0.21</x:v>
      </x:c>
      <x:c r="J6263" s="16" t="n">
        <x:v>0.08999999999999997</x:v>
      </x:c>
      <x:c r="K6263" s="11" t="n">
        <x:f>CHOOSE('假设'!$B$3,H6263,I6263,J6263)</x:f>
        <x:v>0.21</x:v>
      </x:c>
      <x:c r="L6263" s="11" t="n">
        <x:f>K6263*'管线假设'!E1339*'管线假设'!F1339*'管线假设'!G1339*IF(E6263="USD",'管线假设'!I1339,1)-AM6263</x:f>
        <x:v>0.033516</x:v>
      </x:c>
      <x:c r="M6263" s="11" t="n">
        <x:f>'管线假设'!H1339</x:f>
        <x:v>0.14</x:v>
      </x:c>
      <x:c r="N6263" s="11" t="n">
        <x:f>IF(G6263,L6263*AN6263/(1+M6263)^F6263,0)</x:f>
        <x:v>0.008773939179052687</x:v>
      </x:c>
      <x:c r="AJ6263" t="n">
        <x:v>0</x:v>
      </x:c>
      <x:c r="AK6263" t="n">
        <x:v>0</x:v>
      </x:c>
      <x:c r="AL6263" t="n">
        <x:v>0</x:v>
      </x:c>
      <x:c r="AM6263" t="n">
        <x:f>CHOOSE('假设'!$B$3,AJ6263,AK6263,AL6263)</x:f>
        <x:v>0</x:v>
      </x:c>
      <x:c r="AN6263" t="n">
        <x:v>1</x:v>
      </x:c>
    </x:row>
    <x:row r="6264" ht="23" customHeight="1">
      <x:c r="A6264" s="11" t="str">
        <x:v>688062.SH</x:v>
      </x:c>
      <x:c r="B6264" s="11" t="str">
        <x:v>五年</x:v>
      </x:c>
      <x:c r="C6264" s="11" t="str">
        <x:v>tmprss_pv_cn</x:v>
      </x:c>
      <x:c r="D6264" s="11" t="str">
        <x:v>2042-12-31</x:v>
      </x:c>
      <x:c r="E6264" s="11" t="str">
        <x:v>CNY</x:v>
      </x:c>
      <x:c r="F6264" s="11" t="n">
        <x:v>11.227926078028748</x:v>
      </x:c>
      <x:c r="G6264" s="26" t="b">
        <x:v>1</x:v>
      </x:c>
      <x:c r="H6264" s="16" t="n">
        <x:v>0.144</x:v>
      </x:c>
      <x:c r="I6264" s="16" t="n">
        <x:v>0.13199999999999998</x:v>
      </x:c>
      <x:c r="J6264" s="16" t="n">
        <x:v>0</x:v>
      </x:c>
      <x:c r="K6264" s="11" t="n">
        <x:f>CHOOSE('假设'!$B$3,H6264,I6264,J6264)</x:f>
        <x:v>0.13199999999999998</x:v>
      </x:c>
      <x:c r="L6264" s="11" t="n">
        <x:f>K6264*'管线假设'!E1339*'管线假设'!F1339*'管线假设'!G1339*IF(E6264="USD",'管线假设'!I1339,1)-AM6264</x:f>
        <x:v>0.021067199999999998</x:v>
      </x:c>
      <x:c r="M6264" s="11" t="n">
        <x:f>'管线假设'!H1339</x:f>
        <x:v>0.14</x:v>
      </x:c>
      <x:c r="N6264" s="11" t="n">
        <x:f>IF(G6264,L6264*AN6264/(1+M6264)^F6264,0)</x:f>
        <x:v>0.004838194839861431</x:v>
      </x:c>
      <x:c r="AJ6264" t="n">
        <x:v>0</x:v>
      </x:c>
      <x:c r="AK6264" t="n">
        <x:v>0</x:v>
      </x:c>
      <x:c r="AL6264" t="n">
        <x:v>0</x:v>
      </x:c>
      <x:c r="AM6264" t="n">
        <x:f>CHOOSE('假设'!$B$3,AJ6264,AK6264,AL6264)</x:f>
        <x:v>0</x:v>
      </x:c>
      <x:c r="AN6264" t="n">
        <x:v>1</x:v>
      </x:c>
    </x:row>
    <x:row r="6265" ht="23" customHeight="1">
      <x:c r="A6265" s="11" t="str">
        <x:v>688062.SH</x:v>
      </x:c>
      <x:c r="B6265" s="11" t="str">
        <x:v>五年</x:v>
      </x:c>
      <x:c r="C6265" s="11" t="str">
        <x:v>tmprss_pv_cn</x:v>
      </x:c>
      <x:c r="D6265" s="11" t="str">
        <x:v>2043-12-31</x:v>
      </x:c>
      <x:c r="E6265" s="11" t="str">
        <x:v>CNY</x:v>
      </x:c>
      <x:c r="F6265" s="11" t="n">
        <x:v>12.227241615331964</x:v>
      </x:c>
      <x:c r="G6265" s="26" t="b">
        <x:v>1</x:v>
      </x:c>
      <x:c r="H6265" s="16" t="n">
        <x:v>0.105</x:v>
      </x:c>
      <x:c r="I6265" s="16" t="n">
        <x:v>0.05399999999999998</x:v>
      </x:c>
      <x:c r="J6265" s="16" t="n">
        <x:v>0</x:v>
      </x:c>
      <x:c r="K6265" s="11" t="n">
        <x:f>CHOOSE('假设'!$B$3,H6265,I6265,J6265)</x:f>
        <x:v>0.05399999999999998</x:v>
      </x:c>
      <x:c r="L6265" s="11" t="n">
        <x:f>K6265*'管线假设'!E1339*'管线假设'!F1339*'管线假设'!G1339*IF(E6265="USD",'管线假设'!I1339,1)-AM6265</x:f>
        <x:v>0.008618399999999997</x:v>
      </x:c>
      <x:c r="M6265" s="11" t="n">
        <x:f>'管线假设'!H1339</x:f>
        <x:v>0.14</x:v>
      </x:c>
      <x:c r="N6265" s="11" t="n">
        <x:f>IF(G6265,L6265*AN6265/(1+M6265)^F6265,0)</x:f>
        <x:v>0.0017363500362851817</x:v>
      </x:c>
      <x:c r="AJ6265" t="n">
        <x:v>0</x:v>
      </x:c>
      <x:c r="AK6265" t="n">
        <x:v>0</x:v>
      </x:c>
      <x:c r="AL6265" t="n">
        <x:v>0</x:v>
      </x:c>
      <x:c r="AM6265" t="n">
        <x:f>CHOOSE('假设'!$B$3,AJ6265,AK6265,AL6265)</x:f>
        <x:v>0</x:v>
      </x:c>
      <x:c r="AN6265" t="n">
        <x:v>1</x:v>
      </x:c>
    </x:row>
    <x:row r="6266" ht="23" customHeight="1">
      <x:c r="A6266" s="11" t="str">
        <x:v>688062.SH</x:v>
      </x:c>
      <x:c r="B6266" s="11" t="str">
        <x:v>五年</x:v>
      </x:c>
      <x:c r="C6266" s="11" t="str">
        <x:v>tmprss_pv_cn</x:v>
      </x:c>
      <x:c r="D6266" s="11" t="str">
        <x:v>2044-12-31</x:v>
      </x:c>
      <x:c r="E6266" s="11" t="str">
        <x:v>CNY</x:v>
      </x:c>
      <x:c r="F6266" s="11" t="n">
        <x:v>13.229295003422314</x:v>
      </x:c>
      <x:c r="G6266" s="26" t="b">
        <x:v>1</x:v>
      </x:c>
      <x:c r="H6266" s="16" t="n">
        <x:v>0.06599999999999999</x:v>
      </x:c>
      <x:c r="I6266" s="16" t="n">
        <x:v>0</x:v>
      </x:c>
      <x:c r="J6266" s="16" t="n">
        <x:v>0</x:v>
      </x:c>
      <x:c r="K6266" s="11" t="n">
        <x:f>CHOOSE('假设'!$B$3,H6266,I6266,J6266)</x:f>
        <x:v>0</x:v>
      </x:c>
      <x:c r="L6266" s="11" t="n">
        <x:f>K6266*'管线假设'!E1339*'管线假设'!F1339*'管线假设'!G1339*IF(E6266="USD",'管线假设'!I1339,1)-AM6266</x:f>
        <x:v>0</x:v>
      </x:c>
      <x:c r="M6266" s="11" t="n">
        <x:f>'管线假设'!H1339</x:f>
        <x:v>0.14</x:v>
      </x:c>
      <x:c r="N6266" s="11" t="n">
        <x:f>IF(G6266,L6266*AN6266/(1+M6266)^F6266,0)</x:f>
        <x:v>0</x:v>
      </x:c>
      <x:c r="AJ6266" t="n">
        <x:v>0</x:v>
      </x:c>
      <x:c r="AK6266" t="n">
        <x:v>0</x:v>
      </x:c>
      <x:c r="AL6266" t="n">
        <x:v>0</x:v>
      </x:c>
      <x:c r="AM6266" t="n">
        <x:f>CHOOSE('假设'!$B$3,AJ6266,AK6266,AL6266)</x:f>
        <x:v>0</x:v>
      </x:c>
      <x:c r="AN6266" t="n">
        <x:v>1</x:v>
      </x:c>
    </x:row>
    <x:row r="6267" ht="23" customHeight="1">
      <x:c r="A6267" s="11" t="str">
        <x:v>688062.SH</x:v>
      </x:c>
      <x:c r="B6267" s="11" t="str">
        <x:v>五年</x:v>
      </x:c>
      <x:c r="C6267" s="11" t="str">
        <x:v>tmprss_pv_cn</x:v>
      </x:c>
      <x:c r="D6267" s="11" t="str">
        <x:v>2045-12-31</x:v>
      </x:c>
      <x:c r="E6267" s="11" t="str">
        <x:v>CNY</x:v>
      </x:c>
      <x:c r="F6267" s="11" t="n">
        <x:v>14.22861054072553</x:v>
      </x:c>
      <x:c r="G6267" s="26" t="b">
        <x:v>1</x:v>
      </x:c>
      <x:c r="H6267" s="16" t="n">
        <x:v>0.02699999999999999</x:v>
      </x:c>
      <x:c r="I6267" s="16" t="n">
        <x:v>0</x:v>
      </x:c>
      <x:c r="J6267" s="16" t="n">
        <x:v>0</x:v>
      </x:c>
      <x:c r="K6267" s="11" t="n">
        <x:f>CHOOSE('假设'!$B$3,H6267,I6267,J6267)</x:f>
        <x:v>0</x:v>
      </x:c>
      <x:c r="L6267" s="11" t="n">
        <x:f>K6267*'管线假设'!E1339*'管线假设'!F1339*'管线假设'!G1339*IF(E6267="USD",'管线假设'!I1339,1)-AM6267</x:f>
        <x:v>0</x:v>
      </x:c>
      <x:c r="M6267" s="11" t="n">
        <x:f>'管线假设'!H1339</x:f>
        <x:v>0.14</x:v>
      </x:c>
      <x:c r="N6267" s="11" t="n">
        <x:f>IF(G6267,L6267*AN6267/(1+M6267)^F6267,0)</x:f>
        <x:v>0</x:v>
      </x:c>
      <x:c r="AJ6267" t="n">
        <x:v>0</x:v>
      </x:c>
      <x:c r="AK6267" t="n">
        <x:v>0</x:v>
      </x:c>
      <x:c r="AL6267" t="n">
        <x:v>0</x:v>
      </x:c>
      <x:c r="AM6267" t="n">
        <x:f>CHOOSE('假设'!$B$3,AJ6267,AK6267,AL6267)</x:f>
        <x:v>0</x:v>
      </x:c>
      <x:c r="AN6267" t="n">
        <x:v>1</x:v>
      </x:c>
    </x:row>
    <x:row r="6268" ht="23" customHeight="1">
      <x:c r="A6268" s="11" t="str">
        <x:v>688062.SH</x:v>
      </x:c>
      <x:c r="B6268" s="11" t="str">
        <x:v>五年</x:v>
      </x:c>
      <x:c r="C6268" s="11" t="str">
        <x:v>tmprss_scd</x:v>
      </x:c>
      <x:c r="D6268" s="11" t="str">
        <x:v>2027-12-31</x:v>
      </x:c>
      <x:c r="E6268" s="11" t="str">
        <x:v>USD</x:v>
      </x:c>
      <x:c r="F6268" s="11" t="n">
        <x:v>-3.7727583846680357</x:v>
      </x:c>
      <x:c r="G6268" s="26" t="b">
        <x:v>0</x:v>
      </x:c>
      <x:c r="H6268" s="16" t="n">
        <x:v>0</x:v>
      </x:c>
      <x:c r="I6268" s="16" t="n">
        <x:v>0</x:v>
      </x:c>
      <x:c r="J6268" s="16" t="n">
        <x:v>0</x:v>
      </x:c>
      <x:c r="K6268" s="11" t="n">
        <x:f>CHOOSE('假设'!$B$3,H6268,I6268,J6268)</x:f>
        <x:v>0</x:v>
      </x:c>
      <x:c r="L6268" s="11" t="n">
        <x:f>K6268*'管线假设'!E1343*'管线假设'!F1343*'管线假设'!G1343*IF(E6268="USD",'管线假设'!I1343,1)-AM6268</x:f>
        <x:v>0</x:v>
      </x:c>
      <x:c r="M6268" s="11" t="n">
        <x:f>'管线假设'!H1343</x:f>
        <x:v>0.14</x:v>
      </x:c>
      <x:c r="N6268" s="11" t="n">
        <x:f>IF(G6268,L6268*AN6268/(1+M6268)^F6268,0)</x:f>
        <x:v>0</x:v>
      </x:c>
      <x:c r="AJ6268" t="n">
        <x:v>0</x:v>
      </x:c>
      <x:c r="AK6268" t="n">
        <x:v>0</x:v>
      </x:c>
      <x:c r="AL6268" t="n">
        <x:v>0</x:v>
      </x:c>
      <x:c r="AM6268" t="n">
        <x:f>CHOOSE('假设'!$B$3,AJ6268,AK6268,AL6268)</x:f>
        <x:v>0</x:v>
      </x:c>
      <x:c r="AN6268" t="n">
        <x:v>1</x:v>
      </x:c>
    </x:row>
    <x:row r="6269" ht="23" customHeight="1">
      <x:c r="A6269" s="11" t="str">
        <x:v>688062.SH</x:v>
      </x:c>
      <x:c r="B6269" s="11" t="str">
        <x:v>五年</x:v>
      </x:c>
      <x:c r="C6269" s="11" t="str">
        <x:v>tmprss_scd</x:v>
      </x:c>
      <x:c r="D6269" s="11" t="str">
        <x:v>2028-12-31</x:v>
      </x:c>
      <x:c r="E6269" s="11" t="str">
        <x:v>USD</x:v>
      </x:c>
      <x:c r="F6269" s="11" t="n">
        <x:v>-2.7707049965776864</x:v>
      </x:c>
      <x:c r="G6269" s="26" t="b">
        <x:v>0</x:v>
      </x:c>
      <x:c r="H6269" s="16" t="n">
        <x:v>0</x:v>
      </x:c>
      <x:c r="I6269" s="16" t="n">
        <x:v>0</x:v>
      </x:c>
      <x:c r="J6269" s="16" t="n">
        <x:v>0</x:v>
      </x:c>
      <x:c r="K6269" s="11" t="n">
        <x:f>CHOOSE('假设'!$B$3,H6269,I6269,J6269)</x:f>
        <x:v>0</x:v>
      </x:c>
      <x:c r="L6269" s="11" t="n">
        <x:f>K6269*'管线假设'!E1343*'管线假设'!F1343*'管线假设'!G1343*IF(E6269="USD",'管线假设'!I1343,1)-AM6269</x:f>
        <x:v>0</x:v>
      </x:c>
      <x:c r="M6269" s="11" t="n">
        <x:f>'管线假设'!H1343</x:f>
        <x:v>0.14</x:v>
      </x:c>
      <x:c r="N6269" s="11" t="n">
        <x:f>IF(G6269,L6269*AN6269/(1+M6269)^F6269,0)</x:f>
        <x:v>0</x:v>
      </x:c>
      <x:c r="AJ6269" t="n">
        <x:v>0</x:v>
      </x:c>
      <x:c r="AK6269" t="n">
        <x:v>0</x:v>
      </x:c>
      <x:c r="AL6269" t="n">
        <x:v>0</x:v>
      </x:c>
      <x:c r="AM6269" t="n">
        <x:f>CHOOSE('假设'!$B$3,AJ6269,AK6269,AL6269)</x:f>
        <x:v>0</x:v>
      </x:c>
      <x:c r="AN6269" t="n">
        <x:v>1</x:v>
      </x:c>
    </x:row>
    <x:row r="6270" ht="23" customHeight="1">
      <x:c r="A6270" s="11" t="str">
        <x:v>688062.SH</x:v>
      </x:c>
      <x:c r="B6270" s="11" t="str">
        <x:v>五年</x:v>
      </x:c>
      <x:c r="C6270" s="11" t="str">
        <x:v>tmprss_scd</x:v>
      </x:c>
      <x:c r="D6270" s="11" t="str">
        <x:v>2029-12-31</x:v>
      </x:c>
      <x:c r="E6270" s="11" t="str">
        <x:v>USD</x:v>
      </x:c>
      <x:c r="F6270" s="11" t="n">
        <x:v>-1.7713894592744694</x:v>
      </x:c>
      <x:c r="G6270" s="26" t="b">
        <x:v>0</x:v>
      </x:c>
      <x:c r="H6270" s="16" t="n">
        <x:v>0</x:v>
      </x:c>
      <x:c r="I6270" s="16" t="n">
        <x:v>0</x:v>
      </x:c>
      <x:c r="J6270" s="16" t="n">
        <x:v>0</x:v>
      </x:c>
      <x:c r="K6270" s="11" t="n">
        <x:f>CHOOSE('假设'!$B$3,H6270,I6270,J6270)</x:f>
        <x:v>0</x:v>
      </x:c>
      <x:c r="L6270" s="11" t="n">
        <x:f>K6270*'管线假设'!E1343*'管线假设'!F1343*'管线假设'!G1343*IF(E6270="USD",'管线假设'!I1343,1)-AM6270</x:f>
        <x:v>0</x:v>
      </x:c>
      <x:c r="M6270" s="11" t="n">
        <x:f>'管线假设'!H1343</x:f>
        <x:v>0.14</x:v>
      </x:c>
      <x:c r="N6270" s="11" t="n">
        <x:f>IF(G6270,L6270*AN6270/(1+M6270)^F6270,0)</x:f>
        <x:v>0</x:v>
      </x:c>
      <x:c r="AJ6270" t="n">
        <x:v>0</x:v>
      </x:c>
      <x:c r="AK6270" t="n">
        <x:v>0</x:v>
      </x:c>
      <x:c r="AL6270" t="n">
        <x:v>0</x:v>
      </x:c>
      <x:c r="AM6270" t="n">
        <x:f>CHOOSE('假设'!$B$3,AJ6270,AK6270,AL6270)</x:f>
        <x:v>0</x:v>
      </x:c>
      <x:c r="AN6270" t="n">
        <x:v>1</x:v>
      </x:c>
    </x:row>
    <x:row r="6271" ht="23" customHeight="1">
      <x:c r="A6271" s="11" t="str">
        <x:v>688062.SH</x:v>
      </x:c>
      <x:c r="B6271" s="11" t="str">
        <x:v>五年</x:v>
      </x:c>
      <x:c r="C6271" s="11" t="str">
        <x:v>tmprss_scd</x:v>
      </x:c>
      <x:c r="D6271" s="11" t="str">
        <x:v>2030-12-31</x:v>
      </x:c>
      <x:c r="E6271" s="11" t="str">
        <x:v>USD</x:v>
      </x:c>
      <x:c r="F6271" s="11" t="n">
        <x:v>-0.7720739219712526</x:v>
      </x:c>
      <x:c r="G6271" s="26" t="b">
        <x:v>0</x:v>
      </x:c>
      <x:c r="H6271" s="16" t="n">
        <x:v>0</x:v>
      </x:c>
      <x:c r="I6271" s="16" t="n">
        <x:v>0</x:v>
      </x:c>
      <x:c r="J6271" s="16" t="n">
        <x:v>0</x:v>
      </x:c>
      <x:c r="K6271" s="11" t="n">
        <x:f>CHOOSE('假设'!$B$3,H6271,I6271,J6271)</x:f>
        <x:v>0</x:v>
      </x:c>
      <x:c r="L6271" s="11" t="n">
        <x:f>K6271*'管线假设'!E1343*'管线假设'!F1343*'管线假设'!G1343*IF(E6271="USD",'管线假设'!I1343,1)-AM6271</x:f>
        <x:v>0</x:v>
      </x:c>
      <x:c r="M6271" s="11" t="n">
        <x:f>'管线假设'!H1343</x:f>
        <x:v>0.14</x:v>
      </x:c>
      <x:c r="N6271" s="11" t="n">
        <x:f>IF(G6271,L6271*AN6271/(1+M6271)^F6271,0)</x:f>
        <x:v>0</x:v>
      </x:c>
      <x:c r="AJ6271" t="n">
        <x:v>0</x:v>
      </x:c>
      <x:c r="AK6271" t="n">
        <x:v>0</x:v>
      </x:c>
      <x:c r="AL6271" t="n">
        <x:v>0</x:v>
      </x:c>
      <x:c r="AM6271" t="n">
        <x:f>CHOOSE('假设'!$B$3,AJ6271,AK6271,AL6271)</x:f>
        <x:v>0</x:v>
      </x:c>
      <x:c r="AN6271" t="n">
        <x:v>1</x:v>
      </x:c>
    </x:row>
    <x:row r="6272" ht="23" customHeight="1">
      <x:c r="A6272" s="11" t="str">
        <x:v>688062.SH</x:v>
      </x:c>
      <x:c r="B6272" s="11" t="str">
        <x:v>五年</x:v>
      </x:c>
      <x:c r="C6272" s="11" t="str">
        <x:v>tmprss_scd</x:v>
      </x:c>
      <x:c r="D6272" s="11" t="str">
        <x:v>2031-12-31</x:v>
      </x:c>
      <x:c r="E6272" s="11" t="str">
        <x:v>USD</x:v>
      </x:c>
      <x:c r="F6272" s="11" t="n">
        <x:v>0.2272416153319644</x:v>
      </x:c>
      <x:c r="G6272" s="26" t="b">
        <x:v>1</x:v>
      </x:c>
      <x:c r="H6272" s="16" t="n">
        <x:v>0</x:v>
      </x:c>
      <x:c r="I6272" s="16" t="n">
        <x:v>0</x:v>
      </x:c>
      <x:c r="J6272" s="16" t="n">
        <x:v>0.3333333333333333</x:v>
      </x:c>
      <x:c r="K6272" s="11" t="n">
        <x:f>CHOOSE('假设'!$B$3,H6272,I6272,J6272)</x:f>
        <x:v>0</x:v>
      </x:c>
      <x:c r="L6272" s="11" t="n">
        <x:f>K6272*'管线假设'!E1343*'管线假设'!F1343*'管线假设'!G1343*IF(E6272="USD",'管线假设'!I1343,1)-AM6272</x:f>
        <x:v>0</x:v>
      </x:c>
      <x:c r="M6272" s="11" t="n">
        <x:f>'管线假设'!H1343</x:f>
        <x:v>0.14</x:v>
      </x:c>
      <x:c r="N6272" s="11" t="n">
        <x:f>IF(G6272,L6272*AN6272/(1+M6272)^F6272,0)</x:f>
        <x:v>0</x:v>
      </x:c>
      <x:c r="AJ6272" t="n">
        <x:v>0</x:v>
      </x:c>
      <x:c r="AK6272" t="n">
        <x:v>0</x:v>
      </x:c>
      <x:c r="AL6272" t="n">
        <x:v>0</x:v>
      </x:c>
      <x:c r="AM6272" t="n">
        <x:f>CHOOSE('假设'!$B$3,AJ6272,AK6272,AL6272)</x:f>
        <x:v>0</x:v>
      </x:c>
      <x:c r="AN6272" t="n">
        <x:v>1</x:v>
      </x:c>
    </x:row>
    <x:row r="6273" ht="23" customHeight="1">
      <x:c r="A6273" s="11" t="str">
        <x:v>688062.SH</x:v>
      </x:c>
      <x:c r="B6273" s="11" t="str">
        <x:v>五年</x:v>
      </x:c>
      <x:c r="C6273" s="11" t="str">
        <x:v>tmprss_scd</x:v>
      </x:c>
      <x:c r="D6273" s="11" t="str">
        <x:v>2032-12-31</x:v>
      </x:c>
      <x:c r="E6273" s="11" t="str">
        <x:v>USD</x:v>
      </x:c>
      <x:c r="F6273" s="11" t="n">
        <x:v>1.2292950034223136</x:v>
      </x:c>
      <x:c r="G6273" s="26" t="b">
        <x:v>1</x:v>
      </x:c>
      <x:c r="H6273" s="16" t="n">
        <x:v>0</x:v>
      </x:c>
      <x:c r="I6273" s="16" t="n">
        <x:v>0</x:v>
      </x:c>
      <x:c r="J6273" s="16" t="n">
        <x:v>0.6666666666666666</x:v>
      </x:c>
      <x:c r="K6273" s="11" t="n">
        <x:f>CHOOSE('假设'!$B$3,H6273,I6273,J6273)</x:f>
        <x:v>0</x:v>
      </x:c>
      <x:c r="L6273" s="11" t="n">
        <x:f>K6273*'管线假设'!E1343*'管线假设'!F1343*'管线假设'!G1343*IF(E6273="USD",'管线假设'!I1343,1)-AM6273</x:f>
        <x:v>0</x:v>
      </x:c>
      <x:c r="M6273" s="11" t="n">
        <x:f>'管线假设'!H1343</x:f>
        <x:v>0.14</x:v>
      </x:c>
      <x:c r="N6273" s="11" t="n">
        <x:f>IF(G6273,L6273*AN6273/(1+M6273)^F6273,0)</x:f>
        <x:v>0</x:v>
      </x:c>
      <x:c r="AJ6273" t="n">
        <x:v>0</x:v>
      </x:c>
      <x:c r="AK6273" t="n">
        <x:v>0</x:v>
      </x:c>
      <x:c r="AL6273" t="n">
        <x:v>0</x:v>
      </x:c>
      <x:c r="AM6273" t="n">
        <x:f>CHOOSE('假设'!$B$3,AJ6273,AK6273,AL6273)</x:f>
        <x:v>0</x:v>
      </x:c>
      <x:c r="AN6273" t="n">
        <x:v>1</x:v>
      </x:c>
    </x:row>
    <x:row r="6274" ht="23" customHeight="1">
      <x:c r="A6274" s="11" t="str">
        <x:v>688062.SH</x:v>
      </x:c>
      <x:c r="B6274" s="11" t="str">
        <x:v>五年</x:v>
      </x:c>
      <x:c r="C6274" s="11" t="str">
        <x:v>tmprss_scd</x:v>
      </x:c>
      <x:c r="D6274" s="11" t="str">
        <x:v>2033-12-31</x:v>
      </x:c>
      <x:c r="E6274" s="11" t="str">
        <x:v>USD</x:v>
      </x:c>
      <x:c r="F6274" s="11" t="n">
        <x:v>2.2286105407255303</x:v>
      </x:c>
      <x:c r="G6274" s="26" t="b">
        <x:v>1</x:v>
      </x:c>
      <x:c r="H6274" s="16" t="n">
        <x:v>0</x:v>
      </x:c>
      <x:c r="I6274" s="16" t="n">
        <x:v>0.16666666666666666</x:v>
      </x:c>
      <x:c r="J6274" s="16" t="n">
        <x:v>1</x:v>
      </x:c>
      <x:c r="K6274" s="11" t="n">
        <x:f>CHOOSE('假设'!$B$3,H6274,I6274,J6274)</x:f>
        <x:v>0.16666666666666666</x:v>
      </x:c>
      <x:c r="L6274" s="11" t="n">
        <x:f>K6274*'管线假设'!E1343*'管线假设'!F1343*'管线假设'!G1343*IF(E6274="USD",'管线假设'!I1343,1)-AM6274</x:f>
        <x:v>0.02990186666666667</x:v>
      </x:c>
      <x:c r="M6274" s="11" t="n">
        <x:f>'管线假设'!H1343</x:f>
        <x:v>0.14</x:v>
      </x:c>
      <x:c r="N6274" s="11" t="n">
        <x:f>IF(G6274,L6274*AN6274/(1+M6274)^F6274,0)</x:f>
        <x:v>0.022329528310244807</x:v>
      </x:c>
      <x:c r="AJ6274" t="n">
        <x:v>0</x:v>
      </x:c>
      <x:c r="AK6274" t="n">
        <x:v>0</x:v>
      </x:c>
      <x:c r="AL6274" t="n">
        <x:v>0</x:v>
      </x:c>
      <x:c r="AM6274" t="n">
        <x:f>CHOOSE('假设'!$B$3,AJ6274,AK6274,AL6274)</x:f>
        <x:v>0</x:v>
      </x:c>
      <x:c r="AN6274" t="n">
        <x:v>1</x:v>
      </x:c>
    </x:row>
    <x:row r="6275" ht="23" customHeight="1">
      <x:c r="A6275" s="11" t="str">
        <x:v>688062.SH</x:v>
      </x:c>
      <x:c r="B6275" s="11" t="str">
        <x:v>五年</x:v>
      </x:c>
      <x:c r="C6275" s="11" t="str">
        <x:v>tmprss_scd</x:v>
      </x:c>
      <x:c r="D6275" s="11" t="str">
        <x:v>2034-12-31</x:v>
      </x:c>
      <x:c r="E6275" s="11" t="str">
        <x:v>USD</x:v>
      </x:c>
      <x:c r="F6275" s="11" t="n">
        <x:v>3.2279260780287475</x:v>
      </x:c>
      <x:c r="G6275" s="26" t="b">
        <x:v>1</x:v>
      </x:c>
      <x:c r="H6275" s="16" t="n">
        <x:v>0</x:v>
      </x:c>
      <x:c r="I6275" s="16" t="n">
        <x:v>0.3333333333333333</x:v>
      </x:c>
      <x:c r="J6275" s="16" t="n">
        <x:v>1.3333333333333333</x:v>
      </x:c>
      <x:c r="K6275" s="11" t="n">
        <x:f>CHOOSE('假设'!$B$3,H6275,I6275,J6275)</x:f>
        <x:v>0.3333333333333333</x:v>
      </x:c>
      <x:c r="L6275" s="11" t="n">
        <x:f>K6275*'管线假设'!E1343*'管线假设'!F1343*'管线假设'!G1343*IF(E6275="USD",'管线假设'!I1343,1)-AM6275</x:f>
        <x:v>0.05980373333333334</x:v>
      </x:c>
      <x:c r="M6275" s="11" t="n">
        <x:f>'管线假设'!H1343</x:f>
        <x:v>0.14</x:v>
      </x:c>
      <x:c r="N6275" s="11" t="n">
        <x:f>IF(G6275,L6275*AN6275/(1+M6275)^F6275,0)</x:f>
        <x:v>0.0391781245623222</x:v>
      </x:c>
      <x:c r="AJ6275" t="n">
        <x:v>0</x:v>
      </x:c>
      <x:c r="AK6275" t="n">
        <x:v>0</x:v>
      </x:c>
      <x:c r="AL6275" t="n">
        <x:v>0</x:v>
      </x:c>
      <x:c r="AM6275" t="n">
        <x:f>CHOOSE('假设'!$B$3,AJ6275,AK6275,AL6275)</x:f>
        <x:v>0</x:v>
      </x:c>
      <x:c r="AN6275" t="n">
        <x:v>1</x:v>
      </x:c>
    </x:row>
    <x:row r="6276" ht="23" customHeight="1">
      <x:c r="A6276" s="11" t="str">
        <x:v>688062.SH</x:v>
      </x:c>
      <x:c r="B6276" s="11" t="str">
        <x:v>五年</x:v>
      </x:c>
      <x:c r="C6276" s="11" t="str">
        <x:v>tmprss_scd</x:v>
      </x:c>
      <x:c r="D6276" s="11" t="str">
        <x:v>2035-12-31</x:v>
      </x:c>
      <x:c r="E6276" s="11" t="str">
        <x:v>USD</x:v>
      </x:c>
      <x:c r="F6276" s="11" t="n">
        <x:v>4.227241615331964</x:v>
      </x:c>
      <x:c r="G6276" s="26" t="b">
        <x:v>1</x:v>
      </x:c>
      <x:c r="H6276" s="16" t="n">
        <x:v>0</x:v>
      </x:c>
      <x:c r="I6276" s="16" t="n">
        <x:v>0.5</x:v>
      </x:c>
      <x:c r="J6276" s="16" t="n">
        <x:v>1.6666666666666667</x:v>
      </x:c>
      <x:c r="K6276" s="11" t="n">
        <x:f>CHOOSE('假设'!$B$3,H6276,I6276,J6276)</x:f>
        <x:v>0.5</x:v>
      </x:c>
      <x:c r="L6276" s="11" t="n">
        <x:f>K6276*'管线假设'!E1343*'管线假设'!F1343*'管线假设'!G1343*IF(E6276="USD",'管线假设'!I1343,1)-AM6276</x:f>
        <x:v>0.0897056</x:v>
      </x:c>
      <x:c r="M6276" s="11" t="n">
        <x:f>'管线假设'!H1343</x:f>
        <x:v>0.14</x:v>
      </x:c>
      <x:c r="N6276" s="11" t="n">
        <x:f>IF(G6276,L6276*AN6276/(1+M6276)^F6276,0)</x:f>
        <x:v>0.05155478732783873</x:v>
      </x:c>
      <x:c r="AJ6276" t="n">
        <x:v>0</x:v>
      </x:c>
      <x:c r="AK6276" t="n">
        <x:v>0</x:v>
      </x:c>
      <x:c r="AL6276" t="n">
        <x:v>0</x:v>
      </x:c>
      <x:c r="AM6276" t="n">
        <x:f>CHOOSE('假设'!$B$3,AJ6276,AK6276,AL6276)</x:f>
        <x:v>0</x:v>
      </x:c>
      <x:c r="AN6276" t="n">
        <x:v>1</x:v>
      </x:c>
    </x:row>
    <x:row r="6277" ht="23" customHeight="1">
      <x:c r="A6277" s="11" t="str">
        <x:v>688062.SH</x:v>
      </x:c>
      <x:c r="B6277" s="11" t="str">
        <x:v>五年</x:v>
      </x:c>
      <x:c r="C6277" s="11" t="str">
        <x:v>tmprss_scd</x:v>
      </x:c>
      <x:c r="D6277" s="11" t="str">
        <x:v>2036-12-31</x:v>
      </x:c>
      <x:c r="E6277" s="11" t="str">
        <x:v>USD</x:v>
      </x:c>
      <x:c r="F6277" s="11" t="n">
        <x:v>5.229295003422314</x:v>
      </x:c>
      <x:c r="G6277" s="26" t="b">
        <x:v>1</x:v>
      </x:c>
      <x:c r="H6277" s="16" t="n">
        <x:v>0.08000000000000002</x:v>
      </x:c>
      <x:c r="I6277" s="16" t="n">
        <x:v>0.6666666666666666</x:v>
      </x:c>
      <x:c r="J6277" s="16" t="n">
        <x:v>2</x:v>
      </x:c>
      <x:c r="K6277" s="11" t="n">
        <x:f>CHOOSE('假设'!$B$3,H6277,I6277,J6277)</x:f>
        <x:v>0.6666666666666666</x:v>
      </x:c>
      <x:c r="L6277" s="11" t="n">
        <x:f>K6277*'管线假设'!E1343*'管线假设'!F1343*'管线假设'!G1343*IF(E6277="USD",'管线假设'!I1343,1)-AM6277</x:f>
        <x:v>0.11960746666666668</x:v>
      </x:c>
      <x:c r="M6277" s="11" t="n">
        <x:f>'管线假设'!H1343</x:f>
        <x:v>0.14</x:v>
      </x:c>
      <x:c r="N6277" s="11" t="n">
        <x:f>IF(G6277,L6277*AN6277/(1+M6277)^F6277,0)</x:f>
        <x:v>0.060281775767893724</x:v>
      </x:c>
      <x:c r="AJ6277" t="n">
        <x:v>0</x:v>
      </x:c>
      <x:c r="AK6277" t="n">
        <x:v>0</x:v>
      </x:c>
      <x:c r="AL6277" t="n">
        <x:v>0</x:v>
      </x:c>
      <x:c r="AM6277" t="n">
        <x:f>CHOOSE('假设'!$B$3,AJ6277,AK6277,AL6277)</x:f>
        <x:v>0</x:v>
      </x:c>
      <x:c r="AN6277" t="n">
        <x:v>1</x:v>
      </x:c>
    </x:row>
    <x:row r="6278" ht="23" customHeight="1">
      <x:c r="A6278" s="11" t="str">
        <x:v>688062.SH</x:v>
      </x:c>
      <x:c r="B6278" s="11" t="str">
        <x:v>五年</x:v>
      </x:c>
      <x:c r="C6278" s="11" t="str">
        <x:v>tmprss_scd</x:v>
      </x:c>
      <x:c r="D6278" s="11" t="str">
        <x:v>2037-12-31</x:v>
      </x:c>
      <x:c r="E6278" s="11" t="str">
        <x:v>USD</x:v>
      </x:c>
      <x:c r="F6278" s="11" t="n">
        <x:v>6.228610540725531</x:v>
      </x:c>
      <x:c r="G6278" s="26" t="b">
        <x:v>1</x:v>
      </x:c>
      <x:c r="H6278" s="16" t="n">
        <x:v>0.16000000000000003</x:v>
      </x:c>
      <x:c r="I6278" s="16" t="n">
        <x:v>0.8333333333333334</x:v>
      </x:c>
      <x:c r="J6278" s="16" t="n">
        <x:v>1.74</x:v>
      </x:c>
      <x:c r="K6278" s="11" t="n">
        <x:f>CHOOSE('假设'!$B$3,H6278,I6278,J6278)</x:f>
        <x:v>0.8333333333333334</x:v>
      </x:c>
      <x:c r="L6278" s="11" t="n">
        <x:f>K6278*'管线假设'!E1343*'管线假设'!F1343*'管线假设'!G1343*IF(E6278="USD",'管线假设'!I1343,1)-AM6278</x:f>
        <x:v>0.14950933333333336</x:v>
      </x:c>
      <x:c r="M6278" s="11" t="n">
        <x:f>'管线假设'!H1343</x:f>
        <x:v>0.14</x:v>
      </x:c>
      <x:c r="N6278" s="11" t="n">
        <x:f>IF(G6278,L6278*AN6278/(1+M6278)^F6278,0)</x:f>
        <x:v>0.06610436657737621</x:v>
      </x:c>
      <x:c r="AJ6278" t="n">
        <x:v>0</x:v>
      </x:c>
      <x:c r="AK6278" t="n">
        <x:v>0</x:v>
      </x:c>
      <x:c r="AL6278" t="n">
        <x:v>0</x:v>
      </x:c>
      <x:c r="AM6278" t="n">
        <x:f>CHOOSE('假设'!$B$3,AJ6278,AK6278,AL6278)</x:f>
        <x:v>0</x:v>
      </x:c>
      <x:c r="AN6278" t="n">
        <x:v>1</x:v>
      </x:c>
    </x:row>
    <x:row r="6279" ht="23" customHeight="1">
      <x:c r="A6279" s="11" t="str">
        <x:v>688062.SH</x:v>
      </x:c>
      <x:c r="B6279" s="11" t="str">
        <x:v>五年</x:v>
      </x:c>
      <x:c r="C6279" s="11" t="str">
        <x:v>tmprss_scd</x:v>
      </x:c>
      <x:c r="D6279" s="11" t="str">
        <x:v>2038-12-31</x:v>
      </x:c>
      <x:c r="E6279" s="11" t="str">
        <x:v>USD</x:v>
      </x:c>
      <x:c r="F6279" s="11" t="n">
        <x:v>7.227926078028747</x:v>
      </x:c>
      <x:c r="G6279" s="26" t="b">
        <x:v>1</x:v>
      </x:c>
      <x:c r="H6279" s="16" t="n">
        <x:v>0.24</x:v>
      </x:c>
      <x:c r="I6279" s="16" t="n">
        <x:v>1</x:v>
      </x:c>
      <x:c r="J6279" s="16" t="n">
        <x:v>1.48</x:v>
      </x:c>
      <x:c r="K6279" s="11" t="n">
        <x:f>CHOOSE('假设'!$B$3,H6279,I6279,J6279)</x:f>
        <x:v>1</x:v>
      </x:c>
      <x:c r="L6279" s="11" t="n">
        <x:f>K6279*'管线假设'!E1343*'管线假设'!F1343*'管线假设'!G1343*IF(E6279="USD",'管线假设'!I1343,1)-AM6279</x:f>
        <x:v>0.1794112</x:v>
      </x:c>
      <x:c r="M6279" s="11" t="n">
        <x:f>'管线假设'!H1343</x:f>
        <x:v>0.14</x:v>
      </x:c>
      <x:c r="N6279" s="11" t="n">
        <x:f>IF(G6279,L6279*AN6279/(1+M6279)^F6279,0)</x:f>
        <x:v>0.06958978457311067</x:v>
      </x:c>
      <x:c r="AJ6279" t="n">
        <x:v>0</x:v>
      </x:c>
      <x:c r="AK6279" t="n">
        <x:v>0</x:v>
      </x:c>
      <x:c r="AL6279" t="n">
        <x:v>0</x:v>
      </x:c>
      <x:c r="AM6279" t="n">
        <x:f>CHOOSE('假设'!$B$3,AJ6279,AK6279,AL6279)</x:f>
        <x:v>0</x:v>
      </x:c>
      <x:c r="AN6279" t="n">
        <x:v>1</x:v>
      </x:c>
    </x:row>
    <x:row r="6280" ht="23" customHeight="1">
      <x:c r="A6280" s="11" t="str">
        <x:v>688062.SH</x:v>
      </x:c>
      <x:c r="B6280" s="11" t="str">
        <x:v>五年</x:v>
      </x:c>
      <x:c r="C6280" s="11" t="str">
        <x:v>tmprss_scd</x:v>
      </x:c>
      <x:c r="D6280" s="11" t="str">
        <x:v>2039-12-31</x:v>
      </x:c>
      <x:c r="E6280" s="11" t="str">
        <x:v>USD</x:v>
      </x:c>
      <x:c r="F6280" s="11" t="n">
        <x:v>8.227241615331964</x:v>
      </x:c>
      <x:c r="G6280" s="26" t="b">
        <x:v>1</x:v>
      </x:c>
      <x:c r="H6280" s="16" t="n">
        <x:v>0.32000000000000006</x:v>
      </x:c>
      <x:c r="I6280" s="16" t="n">
        <x:v>0.87</x:v>
      </x:c>
      <x:c r="J6280" s="16" t="n">
        <x:v>1.22</x:v>
      </x:c>
      <x:c r="K6280" s="11" t="n">
        <x:f>CHOOSE('假设'!$B$3,H6280,I6280,J6280)</x:f>
        <x:v>0.87</x:v>
      </x:c>
      <x:c r="L6280" s="11" t="n">
        <x:f>K6280*'管线假设'!E1343*'管线假设'!F1343*'管线假设'!G1343*IF(E6280="USD",'管线假设'!I1343,1)-AM6280</x:f>
        <x:v>0.15608774400000003</x:v>
      </x:c>
      <x:c r="M6280" s="11" t="n">
        <x:f>'管线假设'!H1343</x:f>
        <x:v>0.14</x:v>
      </x:c>
      <x:c r="N6280" s="11" t="n">
        <x:f>IF(G6280,L6280*AN6280/(1+M6280)^F6280,0)</x:f>
        <x:v>0.05311275663864053</x:v>
      </x:c>
      <x:c r="AJ6280" t="n">
        <x:v>0</x:v>
      </x:c>
      <x:c r="AK6280" t="n">
        <x:v>0</x:v>
      </x:c>
      <x:c r="AL6280" t="n">
        <x:v>0</x:v>
      </x:c>
      <x:c r="AM6280" t="n">
        <x:f>CHOOSE('假设'!$B$3,AJ6280,AK6280,AL6280)</x:f>
        <x:v>0</x:v>
      </x:c>
      <x:c r="AN6280" t="n">
        <x:v>1</x:v>
      </x:c>
    </x:row>
    <x:row r="6281" ht="23" customHeight="1">
      <x:c r="A6281" s="11" t="str">
        <x:v>688062.SH</x:v>
      </x:c>
      <x:c r="B6281" s="11" t="str">
        <x:v>五年</x:v>
      </x:c>
      <x:c r="C6281" s="11" t="str">
        <x:v>tmprss_scd</x:v>
      </x:c>
      <x:c r="D6281" s="11" t="str">
        <x:v>2040-12-31</x:v>
      </x:c>
      <x:c r="E6281" s="11" t="str">
        <x:v>USD</x:v>
      </x:c>
      <x:c r="F6281" s="11" t="n">
        <x:v>9.229295003422314</x:v>
      </x:c>
      <x:c r="G6281" s="26" t="b">
        <x:v>1</x:v>
      </x:c>
      <x:c r="H6281" s="16" t="n">
        <x:v>0.4</x:v>
      </x:c>
      <x:c r="I6281" s="16" t="n">
        <x:v>0.74</x:v>
      </x:c>
      <x:c r="J6281" s="16" t="n">
        <x:v>0.96</x:v>
      </x:c>
      <x:c r="K6281" s="11" t="n">
        <x:f>CHOOSE('假设'!$B$3,H6281,I6281,J6281)</x:f>
        <x:v>0.74</x:v>
      </x:c>
      <x:c r="L6281" s="11" t="n">
        <x:f>K6281*'管线假设'!E1343*'管线假设'!F1343*'管线假设'!G1343*IF(E6281="USD",'管线假设'!I1343,1)-AM6281</x:f>
        <x:v>0.132764288</x:v>
      </x:c>
      <x:c r="M6281" s="11" t="n">
        <x:f>'管线假设'!H1343</x:f>
        <x:v>0.14</x:v>
      </x:c>
      <x:c r="N6281" s="11" t="n">
        <x:f>IF(G6281,L6281*AN6281/(1+M6281)^F6281,0)</x:f>
        <x:v>0.03961773207389451</x:v>
      </x:c>
      <x:c r="AJ6281" t="n">
        <x:v>0</x:v>
      </x:c>
      <x:c r="AK6281" t="n">
        <x:v>0</x:v>
      </x:c>
      <x:c r="AL6281" t="n">
        <x:v>0</x:v>
      </x:c>
      <x:c r="AM6281" t="n">
        <x:f>CHOOSE('假设'!$B$3,AJ6281,AK6281,AL6281)</x:f>
        <x:v>0</x:v>
      </x:c>
      <x:c r="AN6281" t="n">
        <x:v>1</x:v>
      </x:c>
    </x:row>
    <x:row r="6282" ht="23" customHeight="1">
      <x:c r="A6282" s="11" t="str">
        <x:v>688062.SH</x:v>
      </x:c>
      <x:c r="B6282" s="11" t="str">
        <x:v>五年</x:v>
      </x:c>
      <x:c r="C6282" s="11" t="str">
        <x:v>tmprss_scd</x:v>
      </x:c>
      <x:c r="D6282" s="11" t="str">
        <x:v>2041-12-31</x:v>
      </x:c>
      <x:c r="E6282" s="11" t="str">
        <x:v>USD</x:v>
      </x:c>
      <x:c r="F6282" s="11" t="n">
        <x:v>10.22861054072553</x:v>
      </x:c>
      <x:c r="G6282" s="26" t="b">
        <x:v>1</x:v>
      </x:c>
      <x:c r="H6282" s="16" t="n">
        <x:v>0.34800000000000003</x:v>
      </x:c>
      <x:c r="I6282" s="16" t="n">
        <x:v>0.61</x:v>
      </x:c>
      <x:c r="J6282" s="16" t="n">
        <x:v>0.7</x:v>
      </x:c>
      <x:c r="K6282" s="11" t="n">
        <x:f>CHOOSE('假设'!$B$3,H6282,I6282,J6282)</x:f>
        <x:v>0.61</x:v>
      </x:c>
      <x:c r="L6282" s="11" t="n">
        <x:f>K6282*'管线假设'!E1343*'管线假设'!F1343*'管线假设'!G1343*IF(E6282="USD",'管线假设'!I1343,1)-AM6282</x:f>
        <x:v>0.10944083200000002</x:v>
      </x:c>
      <x:c r="M6282" s="11" t="n">
        <x:f>'管线假设'!H1343</x:f>
        <x:v>0.14</x:v>
      </x:c>
      <x:c r="N6282" s="11" t="n">
        <x:f>IF(G6282,L6282*AN6282/(1+M6282)^F6282,0)</x:f>
        <x:v>0.02864981512331195</x:v>
      </x:c>
      <x:c r="AJ6282" t="n">
        <x:v>0</x:v>
      </x:c>
      <x:c r="AK6282" t="n">
        <x:v>0</x:v>
      </x:c>
      <x:c r="AL6282" t="n">
        <x:v>0</x:v>
      </x:c>
      <x:c r="AM6282" t="n">
        <x:f>CHOOSE('假设'!$B$3,AJ6282,AK6282,AL6282)</x:f>
        <x:v>0</x:v>
      </x:c>
      <x:c r="AN6282" t="n">
        <x:v>1</x:v>
      </x:c>
    </x:row>
    <x:row r="6283" ht="23" customHeight="1">
      <x:c r="A6283" s="11" t="str">
        <x:v>688062.SH</x:v>
      </x:c>
      <x:c r="B6283" s="11" t="str">
        <x:v>五年</x:v>
      </x:c>
      <x:c r="C6283" s="11" t="str">
        <x:v>tmprss_scd</x:v>
      </x:c>
      <x:c r="D6283" s="11" t="str">
        <x:v>2042-12-31</x:v>
      </x:c>
      <x:c r="E6283" s="11" t="str">
        <x:v>USD</x:v>
      </x:c>
      <x:c r="F6283" s="11" t="n">
        <x:v>11.227926078028748</x:v>
      </x:c>
      <x:c r="G6283" s="26" t="b">
        <x:v>1</x:v>
      </x:c>
      <x:c r="H6283" s="16" t="n">
        <x:v>0.296</x:v>
      </x:c>
      <x:c r="I6283" s="16" t="n">
        <x:v>0.48</x:v>
      </x:c>
      <x:c r="J6283" s="16" t="n">
        <x:v>0.43999999999999995</x:v>
      </x:c>
      <x:c r="K6283" s="11" t="n">
        <x:f>CHOOSE('假设'!$B$3,H6283,I6283,J6283)</x:f>
        <x:v>0.48</x:v>
      </x:c>
      <x:c r="L6283" s="11" t="n">
        <x:f>K6283*'管线假设'!E1343*'管线假设'!F1343*'管线假设'!G1343*IF(E6283="USD",'管线假设'!I1343,1)-AM6283</x:f>
        <x:v>0.086117376</x:v>
      </x:c>
      <x:c r="M6283" s="11" t="n">
        <x:f>'管线假设'!H1343</x:f>
        <x:v>0.14</x:v>
      </x:c>
      <x:c r="N6283" s="11" t="n">
        <x:f>IF(G6283,L6283*AN6283/(1+M6283)^F6283,0)</x:f>
        <x:v>0.019777314697045963</x:v>
      </x:c>
      <x:c r="AJ6283" t="n">
        <x:v>0</x:v>
      </x:c>
      <x:c r="AK6283" t="n">
        <x:v>0</x:v>
      </x:c>
      <x:c r="AL6283" t="n">
        <x:v>0</x:v>
      </x:c>
      <x:c r="AM6283" t="n">
        <x:f>CHOOSE('假设'!$B$3,AJ6283,AK6283,AL6283)</x:f>
        <x:v>0</x:v>
      </x:c>
      <x:c r="AN6283" t="n">
        <x:v>1</x:v>
      </x:c>
    </x:row>
    <x:row r="6284" ht="23" customHeight="1">
      <x:c r="A6284" s="11" t="str">
        <x:v>688062.SH</x:v>
      </x:c>
      <x:c r="B6284" s="11" t="str">
        <x:v>五年</x:v>
      </x:c>
      <x:c r="C6284" s="11" t="str">
        <x:v>tmprss_scd</x:v>
      </x:c>
      <x:c r="D6284" s="11" t="str">
        <x:v>2043-12-31</x:v>
      </x:c>
      <x:c r="E6284" s="11" t="str">
        <x:v>USD</x:v>
      </x:c>
      <x:c r="F6284" s="11" t="n">
        <x:v>12.227241615331964</x:v>
      </x:c>
      <x:c r="G6284" s="26" t="b">
        <x:v>1</x:v>
      </x:c>
      <x:c r="H6284" s="16" t="n">
        <x:v>0.244</x:v>
      </x:c>
      <x:c r="I6284" s="16" t="n">
        <x:v>0.35</x:v>
      </x:c>
      <x:c r="J6284" s="16" t="n">
        <x:v>0.17999999999999994</x:v>
      </x:c>
      <x:c r="K6284" s="11" t="n">
        <x:f>CHOOSE('假设'!$B$3,H6284,I6284,J6284)</x:f>
        <x:v>0.35</x:v>
      </x:c>
      <x:c r="L6284" s="11" t="n">
        <x:f>K6284*'管线假设'!E1343*'管线假设'!F1343*'管线假设'!G1343*IF(E6284="USD",'管线假设'!I1343,1)-AM6284</x:f>
        <x:v>0.06279392</x:v>
      </x:c>
      <x:c r="M6284" s="11" t="n">
        <x:f>'管线假设'!H1343</x:f>
        <x:v>0.14</x:v>
      </x:c>
      <x:c r="N6284" s="11" t="n">
        <x:f>IF(G6284,L6284*AN6284/(1+M6284)^F6284,0)</x:f>
        <x:v>0.012651098263075379</x:v>
      </x:c>
      <x:c r="AJ6284" t="n">
        <x:v>0</x:v>
      </x:c>
      <x:c r="AK6284" t="n">
        <x:v>0</x:v>
      </x:c>
      <x:c r="AL6284" t="n">
        <x:v>0</x:v>
      </x:c>
      <x:c r="AM6284" t="n">
        <x:f>CHOOSE('假设'!$B$3,AJ6284,AK6284,AL6284)</x:f>
        <x:v>0</x:v>
      </x:c>
      <x:c r="AN6284" t="n">
        <x:v>1</x:v>
      </x:c>
    </x:row>
    <x:row r="6285" ht="23" customHeight="1">
      <x:c r="A6285" s="11" t="str">
        <x:v>688062.SH</x:v>
      </x:c>
      <x:c r="B6285" s="11" t="str">
        <x:v>五年</x:v>
      </x:c>
      <x:c r="C6285" s="11" t="str">
        <x:v>tmprss_scd</x:v>
      </x:c>
      <x:c r="D6285" s="11" t="str">
        <x:v>2044-12-31</x:v>
      </x:c>
      <x:c r="E6285" s="11" t="str">
        <x:v>USD</x:v>
      </x:c>
      <x:c r="F6285" s="11" t="n">
        <x:v>13.229295003422314</x:v>
      </x:c>
      <x:c r="G6285" s="26" t="b">
        <x:v>1</x:v>
      </x:c>
      <x:c r="H6285" s="16" t="n">
        <x:v>0.192</x:v>
      </x:c>
      <x:c r="I6285" s="16" t="n">
        <x:v>0.21999999999999997</x:v>
      </x:c>
      <x:c r="J6285" s="16" t="n">
        <x:v>0</x:v>
      </x:c>
      <x:c r="K6285" s="11" t="n">
        <x:f>CHOOSE('假设'!$B$3,H6285,I6285,J6285)</x:f>
        <x:v>0.21999999999999997</x:v>
      </x:c>
      <x:c r="L6285" s="11" t="n">
        <x:f>K6285*'管线假设'!E1343*'管线假设'!F1343*'管线假设'!G1343*IF(E6285="USD",'管线假设'!I1343,1)-AM6285</x:f>
        <x:v>0.039470464</x:v>
      </x:c>
      <x:c r="M6285" s="11" t="n">
        <x:f>'管线假设'!H1343</x:f>
        <x:v>0.14</x:v>
      </x:c>
      <x:c r="N6285" s="11" t="n">
        <x:f>IF(G6285,L6285*AN6285/(1+M6285)^F6285,0)</x:f>
        <x:v>0.006973666371513038</x:v>
      </x:c>
      <x:c r="AJ6285" t="n">
        <x:v>0</x:v>
      </x:c>
      <x:c r="AK6285" t="n">
        <x:v>0</x:v>
      </x:c>
      <x:c r="AL6285" t="n">
        <x:v>0</x:v>
      </x:c>
      <x:c r="AM6285" t="n">
        <x:f>CHOOSE('假设'!$B$3,AJ6285,AK6285,AL6285)</x:f>
        <x:v>0</x:v>
      </x:c>
      <x:c r="AN6285" t="n">
        <x:v>1</x:v>
      </x:c>
    </x:row>
    <x:row r="6286" ht="23" customHeight="1">
      <x:c r="A6286" s="11" t="str">
        <x:v>688062.SH</x:v>
      </x:c>
      <x:c r="B6286" s="11" t="str">
        <x:v>五年</x:v>
      </x:c>
      <x:c r="C6286" s="11" t="str">
        <x:v>tmprss_scd</x:v>
      </x:c>
      <x:c r="D6286" s="11" t="str">
        <x:v>2045-12-31</x:v>
      </x:c>
      <x:c r="E6286" s="11" t="str">
        <x:v>USD</x:v>
      </x:c>
      <x:c r="F6286" s="11" t="n">
        <x:v>14.22861054072553</x:v>
      </x:c>
      <x:c r="G6286" s="26" t="b">
        <x:v>1</x:v>
      </x:c>
      <x:c r="H6286" s="16" t="n">
        <x:v>0.13999999999999999</x:v>
      </x:c>
      <x:c r="I6286" s="16" t="n">
        <x:v>0.08999999999999997</x:v>
      </x:c>
      <x:c r="J6286" s="16" t="n">
        <x:v>0</x:v>
      </x:c>
      <x:c r="K6286" s="11" t="n">
        <x:f>CHOOSE('假设'!$B$3,H6286,I6286,J6286)</x:f>
        <x:v>0.08999999999999997</x:v>
      </x:c>
      <x:c r="L6286" s="11" t="n">
        <x:f>K6286*'管线假设'!E1343*'管线假设'!F1343*'管线假设'!G1343*IF(E6286="USD",'管线假设'!I1343,1)-AM6286</x:f>
        <x:v>0.016147007999999994</x:v>
      </x:c>
      <x:c r="M6286" s="11" t="n">
        <x:f>'管线假设'!H1343</x:f>
        <x:v>0.14</x:v>
      </x:c>
      <x:c r="N6286" s="11" t="n">
        <x:f>IF(G6286,L6286*AN6286/(1+M6286)^F6286,0)</x:f>
        <x:v>0.002502736301038305</x:v>
      </x:c>
      <x:c r="AJ6286" t="n">
        <x:v>0</x:v>
      </x:c>
      <x:c r="AK6286" t="n">
        <x:v>0</x:v>
      </x:c>
      <x:c r="AL6286" t="n">
        <x:v>0</x:v>
      </x:c>
      <x:c r="AM6286" t="n">
        <x:f>CHOOSE('假设'!$B$3,AJ6286,AK6286,AL6286)</x:f>
        <x:v>0</x:v>
      </x:c>
      <x:c r="AN6286" t="n">
        <x:v>1</x:v>
      </x:c>
    </x:row>
    <x:row r="6287" ht="23" customHeight="1">
      <x:c r="A6287" s="11" t="str">
        <x:v>09995.HK</x:v>
      </x:c>
      <x:c r="B6287" s="11" t="str">
        <x:v>2026年底</x:v>
      </x:c>
      <x:c r="C6287" s="11" t="str">
        <x:v>RC18_approved_China</x:v>
      </x:c>
      <x:c r="D6287" s="11" t="str">
        <x:v>2026-12-31</x:v>
      </x:c>
      <x:c r="E6287" s="11" t="str">
        <x:v>CNY</x:v>
      </x:c>
      <x:c r="F6287" s="11" t="n">
        <x:v>0</x:v>
      </x:c>
      <x:c r="G6287" s="26" t="b">
        <x:v>0</x:v>
      </x:c>
      <x:c r="H6287" s="16" t="n">
        <x:v>1.65</x:v>
      </x:c>
      <x:c r="I6287" s="16" t="n">
        <x:v>2</x:v>
      </x:c>
      <x:c r="J6287" s="16" t="n">
        <x:v>2.3</x:v>
      </x:c>
      <x:c r="K6287" s="11" t="n">
        <x:f>CHOOSE('假设'!$B$3,H6287,I6287,J6287)</x:f>
        <x:v>2</x:v>
      </x:c>
      <x:c r="L6287" s="11" t="n">
        <x:f>K6287*'管线假设'!E1347*'管线假设'!F1347*'管线假设'!G1347*IF(E6287="USD",'管线假设'!I1347,1)-AM6287</x:f>
        <x:v>0.6941999999999999</x:v>
      </x:c>
      <x:c r="M6287" s="11" t="n">
        <x:f>'管线假设'!H1347</x:f>
        <x:v>0.14</x:v>
      </x:c>
      <x:c r="N6287" s="11" t="n">
        <x:f>IF(G6287,L6287*AN6287/(1+M6287)^F6287,0)</x:f>
        <x:v>0</x:v>
      </x:c>
      <x:c r="AJ6287" s="42" t="n">
        <x:v>0.08</x:v>
      </x:c>
      <x:c r="AK6287" s="42" t="n">
        <x:v>0.14</x:v>
      </x:c>
      <x:c r="AL6287" s="42" t="n">
        <x:v>0.2</x:v>
      </x:c>
      <x:c r="AM6287" t="n">
        <x:f>CHOOSE('假设'!$B$3,AJ6287,AK6287,AL6287)</x:f>
        <x:v>0.14</x:v>
      </x:c>
      <x:c r="AN6287" t="n">
        <x:v>0</x:v>
      </x:c>
    </x:row>
    <x:row r="6288" ht="23" customHeight="1">
      <x:c r="A6288" s="11" t="str">
        <x:v>09995.HK</x:v>
      </x:c>
      <x:c r="B6288" s="11" t="str">
        <x:v>2026年底</x:v>
      </x:c>
      <x:c r="C6288" s="11" t="str">
        <x:v>RC18_approved_China</x:v>
      </x:c>
      <x:c r="D6288" s="11" t="str">
        <x:v>2027-12-31</x:v>
      </x:c>
      <x:c r="E6288" s="11" t="str">
        <x:v>CNY</x:v>
      </x:c>
      <x:c r="F6288" s="11" t="n">
        <x:v>0.999315537303217</x:v>
      </x:c>
      <x:c r="G6288" s="26" t="b">
        <x:v>1</x:v>
      </x:c>
      <x:c r="H6288" s="16" t="n">
        <x:v>1.8</x:v>
      </x:c>
      <x:c r="I6288" s="16" t="n">
        <x:v>2.7</x:v>
      </x:c>
      <x:c r="J6288" s="16" t="n">
        <x:v>3.5</x:v>
      </x:c>
      <x:c r="K6288" s="11" t="n">
        <x:f>CHOOSE('假设'!$B$3,H6288,I6288,J6288)</x:f>
        <x:v>2.7</x:v>
      </x:c>
      <x:c r="L6288" s="11" t="n">
        <x:f>K6288*'管线假设'!E1347*'管线假设'!F1347*'管线假设'!G1347*IF(E6288="USD",'管线假设'!I1347,1)-AM6288</x:f>
        <x:v>1.00617</x:v>
      </x:c>
      <x:c r="M6288" s="11" t="n">
        <x:f>'管线假设'!H1347</x:f>
        <x:v>0.14</x:v>
      </x:c>
      <x:c r="N6288" s="11" t="n">
        <x:f>IF(G6288,L6288*AN6288/(1+M6288)^F6288,0)</x:f>
        <x:v>0.8826844222407032</x:v>
      </x:c>
      <x:c r="AJ6288" s="42" t="n">
        <x:v>0.08</x:v>
      </x:c>
      <x:c r="AK6288" s="42" t="n">
        <x:v>0.12</x:v>
      </x:c>
      <x:c r="AL6288" s="42" t="n">
        <x:v>0.18</x:v>
      </x:c>
      <x:c r="AM6288" t="n">
        <x:f>CHOOSE('假设'!$B$3,AJ6288,AK6288,AL6288)</x:f>
        <x:v>0.12</x:v>
      </x:c>
      <x:c r="AN6288" t="n">
        <x:v>1</x:v>
      </x:c>
    </x:row>
    <x:row r="6289" ht="23" customHeight="1">
      <x:c r="A6289" s="11" t="str">
        <x:v>09995.HK</x:v>
      </x:c>
      <x:c r="B6289" s="11" t="str">
        <x:v>2026年底</x:v>
      </x:c>
      <x:c r="C6289" s="11" t="str">
        <x:v>RC18_approved_China</x:v>
      </x:c>
      <x:c r="D6289" s="11" t="str">
        <x:v>2028-12-31</x:v>
      </x:c>
      <x:c r="E6289" s="11" t="str">
        <x:v>CNY</x:v>
      </x:c>
      <x:c r="F6289" s="11" t="n">
        <x:v>2.001368925393566</x:v>
      </x:c>
      <x:c r="G6289" s="26" t="b">
        <x:v>1</x:v>
      </x:c>
      <x:c r="H6289" s="16" t="n">
        <x:v>1.95</x:v>
      </x:c>
      <x:c r="I6289" s="16" t="n">
        <x:v>3.5</x:v>
      </x:c>
      <x:c r="J6289" s="16" t="n">
        <x:v>5</x:v>
      </x:c>
      <x:c r="K6289" s="11" t="n">
        <x:f>CHOOSE('假设'!$B$3,H6289,I6289,J6289)</x:f>
        <x:v>3.5</x:v>
      </x:c>
      <x:c r="L6289" s="11" t="n">
        <x:f>K6289*'管线假设'!E1347*'管线假设'!F1347*'管线假设'!G1347*IF(E6289="USD",'管线假设'!I1347,1)-AM6289</x:f>
        <x:v>1.37985</x:v>
      </x:c>
      <x:c r="M6289" s="11" t="n">
        <x:f>'管线假设'!H1347</x:f>
        <x:v>0.14</x:v>
      </x:c>
      <x:c r="N6289" s="11" t="n">
        <x:f>IF(G6289,L6289*AN6289/(1+M6289)^F6289,0)</x:f>
        <x:v>1.0615593423954066</x:v>
      </x:c>
      <x:c r="AJ6289" s="42" t="n">
        <x:v>0.05</x:v>
      </x:c>
      <x:c r="AK6289" s="42" t="n">
        <x:v>0.08</x:v>
      </x:c>
      <x:c r="AL6289" s="42" t="n">
        <x:v>0.13</x:v>
      </x:c>
      <x:c r="AM6289" t="n">
        <x:f>CHOOSE('假设'!$B$3,AJ6289,AK6289,AL6289)</x:f>
        <x:v>0.08</x:v>
      </x:c>
      <x:c r="AN6289" t="n">
        <x:v>1</x:v>
      </x:c>
    </x:row>
    <x:row r="6290" ht="23" customHeight="1">
      <x:c r="A6290" s="11" t="str">
        <x:v>09995.HK</x:v>
      </x:c>
      <x:c r="B6290" s="11" t="str">
        <x:v>2026年底</x:v>
      </x:c>
      <x:c r="C6290" s="11" t="str">
        <x:v>RC18_approved_China</x:v>
      </x:c>
      <x:c r="D6290" s="11" t="str">
        <x:v>2029-12-31</x:v>
      </x:c>
      <x:c r="E6290" s="11" t="str">
        <x:v>CNY</x:v>
      </x:c>
      <x:c r="F6290" s="11" t="n">
        <x:v>3.0006844626967832</x:v>
      </x:c>
      <x:c r="G6290" s="26" t="b">
        <x:v>1</x:v>
      </x:c>
      <x:c r="H6290" s="16" t="n">
        <x:v>2.1</x:v>
      </x:c>
      <x:c r="I6290" s="16" t="n">
        <x:v>4.4</x:v>
      </x:c>
      <x:c r="J6290" s="16" t="n">
        <x:v>6.7</x:v>
      </x:c>
      <x:c r="K6290" s="11" t="n">
        <x:f>CHOOSE('假设'!$B$3,H6290,I6290,J6290)</x:f>
        <x:v>4.4</x:v>
      </x:c>
      <x:c r="L6290" s="11" t="n">
        <x:f>K6290*'管线假设'!E1347*'管线假设'!F1347*'管线假设'!G1347*IF(E6290="USD",'管线假设'!I1347,1)-AM6290</x:f>
        <x:v>1.77524</x:v>
      </x:c>
      <x:c r="M6290" s="11" t="n">
        <x:f>'管线假设'!H1347</x:f>
        <x:v>0.14</x:v>
      </x:c>
      <x:c r="N6290" s="11" t="n">
        <x:f>IF(G6290,L6290*AN6290/(1+M6290)^F6290,0)</x:f>
        <x:v>1.1981289766552892</x:v>
      </x:c>
      <x:c r="AJ6290" s="42" t="n">
        <x:v>0</x:v>
      </x:c>
      <x:c r="AK6290" s="42" t="n">
        <x:v>0.06</x:v>
      </x:c>
      <x:c r="AL6290" s="42" t="n">
        <x:v>0.1</x:v>
      </x:c>
      <x:c r="AM6290" t="n">
        <x:f>CHOOSE('假设'!$B$3,AJ6290,AK6290,AL6290)</x:f>
        <x:v>0.06</x:v>
      </x:c>
      <x:c r="AN6290" t="n">
        <x:v>1</x:v>
      </x:c>
    </x:row>
    <x:row r="6291" ht="23" customHeight="1">
      <x:c r="A6291" s="11" t="str">
        <x:v>09995.HK</x:v>
      </x:c>
      <x:c r="B6291" s="11" t="str">
        <x:v>2026年底</x:v>
      </x:c>
      <x:c r="C6291" s="11" t="str">
        <x:v>RC18_approved_China</x:v>
      </x:c>
      <x:c r="D6291" s="11" t="str">
        <x:v>2030-12-31</x:v>
      </x:c>
      <x:c r="E6291" s="11" t="str">
        <x:v>CNY</x:v>
      </x:c>
      <x:c r="F6291" s="11" t="n">
        <x:v>4</x:v>
      </x:c>
      <x:c r="G6291" s="26" t="b">
        <x:v>1</x:v>
      </x:c>
      <x:c r="H6291" s="16" t="n">
        <x:v>2.2</x:v>
      </x:c>
      <x:c r="I6291" s="16" t="n">
        <x:v>5.3</x:v>
      </x:c>
      <x:c r="J6291" s="16" t="n">
        <x:v>8.5</x:v>
      </x:c>
      <x:c r="K6291" s="11" t="n">
        <x:f>CHOOSE('假设'!$B$3,H6291,I6291,J6291)</x:f>
        <x:v>5.3</x:v>
      </x:c>
      <x:c r="L6291" s="11" t="n">
        <x:f>K6291*'管线假设'!E1347*'管线假设'!F1347*'管线假设'!G1347*IF(E6291="USD",'管线假设'!I1347,1)-AM6291</x:f>
        <x:v>2.21063</x:v>
      </x:c>
      <x:c r="M6291" s="11" t="n">
        <x:f>'管线假设'!H1347</x:f>
        <x:v>0.14</x:v>
      </x:c>
      <x:c r="N6291" s="11" t="n">
        <x:f>IF(G6291,L6291*AN6291/(1+M6291)^F6291,0)</x:f>
        <x:v>1.3088704235628619</x:v>
      </x:c>
      <x:c r="AJ6291" s="42" t="n">
        <x:v>0</x:v>
      </x:c>
      <x:c r="AK6291" s="42" t="n">
        <x:v>0</x:v>
      </x:c>
      <x:c r="AL6291" s="42" t="n">
        <x:v>0</x:v>
      </x:c>
      <x:c r="AM6291" t="n">
        <x:f>CHOOSE('假设'!$B$3,AJ6291,AK6291,AL6291)</x:f>
        <x:v>0</x:v>
      </x:c>
      <x:c r="AN6291" t="n">
        <x:v>1</x:v>
      </x:c>
    </x:row>
    <x:row r="6292" ht="23" customHeight="1">
      <x:c r="A6292" s="11" t="str">
        <x:v>09995.HK</x:v>
      </x:c>
      <x:c r="B6292" s="11" t="str">
        <x:v>2026年底</x:v>
      </x:c>
      <x:c r="C6292" s="11" t="str">
        <x:v>RC18_approved_China</x:v>
      </x:c>
      <x:c r="D6292" s="11" t="str">
        <x:v>2031-12-31</x:v>
      </x:c>
      <x:c r="E6292" s="11" t="str">
        <x:v>CNY</x:v>
      </x:c>
      <x:c r="F6292" s="11" t="n">
        <x:v>4.999315537303217</x:v>
      </x:c>
      <x:c r="G6292" s="26" t="b">
        <x:v>1</x:v>
      </x:c>
      <x:c r="H6292" s="16" t="n">
        <x:v>2.25</x:v>
      </x:c>
      <x:c r="I6292" s="16" t="n">
        <x:v>6.1</x:v>
      </x:c>
      <x:c r="J6292" s="16" t="n">
        <x:v>10</x:v>
      </x:c>
      <x:c r="K6292" s="11" t="n">
        <x:f>CHOOSE('假设'!$B$3,H6292,I6292,J6292)</x:f>
        <x:v>6.1</x:v>
      </x:c>
      <x:c r="L6292" s="11" t="n">
        <x:f>K6292*'管线假设'!E1347*'管线假设'!F1347*'管线假设'!G1347*IF(E6292="USD",'管线假设'!I1347,1)-AM6292</x:f>
        <x:v>2.54431</x:v>
      </x:c>
      <x:c r="M6292" s="11" t="n">
        <x:f>'管线假设'!H1347</x:f>
        <x:v>0.14</x:v>
      </x:c>
      <x:c r="N6292" s="11" t="n">
        <x:f>IF(G6292,L6292*AN6292/(1+M6292)^F6292,0)</x:f>
        <x:v>1.3215534032424148</x:v>
      </x:c>
      <x:c r="AJ6292" s="42" t="n">
        <x:v>0</x:v>
      </x:c>
      <x:c r="AK6292" s="42" t="n">
        <x:v>0</x:v>
      </x:c>
      <x:c r="AL6292" s="42" t="n">
        <x:v>0</x:v>
      </x:c>
      <x:c r="AM6292" t="n">
        <x:f>CHOOSE('假设'!$B$3,AJ6292,AK6292,AL6292)</x:f>
        <x:v>0</x:v>
      </x:c>
      <x:c r="AN6292" t="n">
        <x:v>1</x:v>
      </x:c>
    </x:row>
    <x:row r="6293" ht="23" customHeight="1">
      <x:c r="A6293" s="11" t="str">
        <x:v>09995.HK</x:v>
      </x:c>
      <x:c r="B6293" s="11" t="str">
        <x:v>2026年底</x:v>
      </x:c>
      <x:c r="C6293" s="11" t="str">
        <x:v>RC18_approved_China</x:v>
      </x:c>
      <x:c r="D6293" s="11" t="str">
        <x:v>2032-12-31</x:v>
      </x:c>
      <x:c r="E6293" s="11" t="str">
        <x:v>CNY</x:v>
      </x:c>
      <x:c r="F6293" s="11" t="n">
        <x:v>6.0013689253935665</x:v>
      </x:c>
      <x:c r="G6293" s="26" t="b">
        <x:v>1</x:v>
      </x:c>
      <x:c r="H6293" s="16" t="n">
        <x:v>2.2</x:v>
      </x:c>
      <x:c r="I6293" s="16" t="n">
        <x:v>6.7</x:v>
      </x:c>
      <x:c r="J6293" s="16" t="n">
        <x:v>11</x:v>
      </x:c>
      <x:c r="K6293" s="11" t="n">
        <x:f>CHOOSE('假设'!$B$3,H6293,I6293,J6293)</x:f>
        <x:v>6.7</x:v>
      </x:c>
      <x:c r="L6293" s="11" t="n">
        <x:f>K6293*'管线假设'!E1347*'管线假设'!F1347*'管线假设'!G1347*IF(E6293="USD",'管线假设'!I1347,1)-AM6293</x:f>
        <x:v>2.7945699999999998</x:v>
      </x:c>
      <x:c r="M6293" s="11" t="n">
        <x:f>'管线假设'!H1347</x:f>
        <x:v>0.14</x:v>
      </x:c>
      <x:c r="N6293" s="11" t="n">
        <x:f>IF(G6293,L6293*AN6293/(1+M6293)^F6293,0)</x:f>
        <x:v>1.2729401534610154</x:v>
      </x:c>
      <x:c r="AJ6293" s="42" t="n">
        <x:v>0</x:v>
      </x:c>
      <x:c r="AK6293" s="42" t="n">
        <x:v>0</x:v>
      </x:c>
      <x:c r="AL6293" s="42" t="n">
        <x:v>0</x:v>
      </x:c>
      <x:c r="AM6293" t="n">
        <x:f>CHOOSE('假设'!$B$3,AJ6293,AK6293,AL6293)</x:f>
        <x:v>0</x:v>
      </x:c>
      <x:c r="AN6293" t="n">
        <x:v>1</x:v>
      </x:c>
    </x:row>
    <x:row r="6294" ht="23" customHeight="1">
      <x:c r="A6294" s="11" t="str">
        <x:v>09995.HK</x:v>
      </x:c>
      <x:c r="B6294" s="11" t="str">
        <x:v>2026年底</x:v>
      </x:c>
      <x:c r="C6294" s="11" t="str">
        <x:v>RC18_approved_China</x:v>
      </x:c>
      <x:c r="D6294" s="11" t="str">
        <x:v>2033-12-31</x:v>
      </x:c>
      <x:c r="E6294" s="11" t="str">
        <x:v>CNY</x:v>
      </x:c>
      <x:c r="F6294" s="11" t="n">
        <x:v>7.000684462696783</x:v>
      </x:c>
      <x:c r="G6294" s="26" t="b">
        <x:v>1</x:v>
      </x:c>
      <x:c r="H6294" s="16" t="n">
        <x:v>2.1</x:v>
      </x:c>
      <x:c r="I6294" s="16" t="n">
        <x:v>7.2</x:v>
      </x:c>
      <x:c r="J6294" s="16" t="n">
        <x:v>12</x:v>
      </x:c>
      <x:c r="K6294" s="11" t="n">
        <x:f>CHOOSE('假设'!$B$3,H6294,I6294,J6294)</x:f>
        <x:v>7.2</x:v>
      </x:c>
      <x:c r="L6294" s="11" t="n">
        <x:f>K6294*'管线假设'!E1347*'管线假设'!F1347*'管线假设'!G1347*IF(E6294="USD",'管线假设'!I1347,1)-AM6294</x:f>
        <x:v>3.00312</x:v>
      </x:c>
      <x:c r="M6294" s="11" t="n">
        <x:f>'管线假设'!H1347</x:f>
        <x:v>0.14</x:v>
      </x:c>
      <x:c r="N6294" s="11" t="n">
        <x:f>IF(G6294,L6294*AN6294/(1+M6294)^F6294,0)</x:f>
        <x:v>1.200051205867862</x:v>
      </x:c>
      <x:c r="AJ6294" s="42" t="n">
        <x:v>0</x:v>
      </x:c>
      <x:c r="AK6294" s="42" t="n">
        <x:v>0</x:v>
      </x:c>
      <x:c r="AL6294" s="42" t="n">
        <x:v>0</x:v>
      </x:c>
      <x:c r="AM6294" t="n">
        <x:f>CHOOSE('假设'!$B$3,AJ6294,AK6294,AL6294)</x:f>
        <x:v>0</x:v>
      </x:c>
      <x:c r="AN6294" t="n">
        <x:v>1</x:v>
      </x:c>
    </x:row>
    <x:row r="6295" ht="23" customHeight="1">
      <x:c r="A6295" s="11" t="str">
        <x:v>09995.HK</x:v>
      </x:c>
      <x:c r="B6295" s="11" t="str">
        <x:v>2026年底</x:v>
      </x:c>
      <x:c r="C6295" s="11" t="str">
        <x:v>RC18_approved_China</x:v>
      </x:c>
      <x:c r="D6295" s="11" t="str">
        <x:v>2034-12-31</x:v>
      </x:c>
      <x:c r="E6295" s="11" t="str">
        <x:v>CNY</x:v>
      </x:c>
      <x:c r="F6295" s="11" t="n">
        <x:v>8</x:v>
      </x:c>
      <x:c r="G6295" s="26" t="b">
        <x:v>1</x:v>
      </x:c>
      <x:c r="H6295" s="16" t="n">
        <x:v>2</x:v>
      </x:c>
      <x:c r="I6295" s="16" t="n">
        <x:v>7.5</x:v>
      </x:c>
      <x:c r="J6295" s="16" t="n">
        <x:v>13</x:v>
      </x:c>
      <x:c r="K6295" s="11" t="n">
        <x:f>CHOOSE('假设'!$B$3,H6295,I6295,J6295)</x:f>
        <x:v>7.5</x:v>
      </x:c>
      <x:c r="L6295" s="11" t="n">
        <x:f>K6295*'管线假设'!E1347*'管线假设'!F1347*'管线假设'!G1347*IF(E6295="USD",'管线假设'!I1347,1)-AM6295</x:f>
        <x:v>3.1282499999999995</x:v>
      </x:c>
      <x:c r="M6295" s="11" t="n">
        <x:f>'管线假设'!H1347</x:f>
        <x:v>0.14</x:v>
      </x:c>
      <x:c r="N6295" s="11" t="n">
        <x:f>IF(G6295,L6295*AN6295/(1+M6295)^F6295,0)</x:f>
        <x:v>1.0966363633368914</x:v>
      </x:c>
      <x:c r="AJ6295" s="42" t="n">
        <x:v>0</x:v>
      </x:c>
      <x:c r="AK6295" s="42" t="n">
        <x:v>0</x:v>
      </x:c>
      <x:c r="AL6295" s="42" t="n">
        <x:v>0</x:v>
      </x:c>
      <x:c r="AM6295" t="n">
        <x:f>CHOOSE('假设'!$B$3,AJ6295,AK6295,AL6295)</x:f>
        <x:v>0</x:v>
      </x:c>
      <x:c r="AN6295" t="n">
        <x:v>1</x:v>
      </x:c>
    </x:row>
    <x:row r="6296" ht="23" customHeight="1">
      <x:c r="A6296" s="11" t="str">
        <x:v>09995.HK</x:v>
      </x:c>
      <x:c r="B6296" s="11" t="str">
        <x:v>2026年底</x:v>
      </x:c>
      <x:c r="C6296" s="11" t="str">
        <x:v>RC18_approved_China</x:v>
      </x:c>
      <x:c r="D6296" s="11" t="str">
        <x:v>2035-12-31</x:v>
      </x:c>
      <x:c r="E6296" s="11" t="str">
        <x:v>CNY</x:v>
      </x:c>
      <x:c r="F6296" s="11" t="n">
        <x:v>8.999315537303216</x:v>
      </x:c>
      <x:c r="G6296" s="26" t="b">
        <x:v>1</x:v>
      </x:c>
      <x:c r="H6296" s="16" t="n">
        <x:v>1.8</x:v>
      </x:c>
      <x:c r="I6296" s="16" t="n">
        <x:v>7.5</x:v>
      </x:c>
      <x:c r="J6296" s="16" t="n">
        <x:v>13</x:v>
      </x:c>
      <x:c r="K6296" s="11" t="n">
        <x:f>CHOOSE('假设'!$B$3,H6296,I6296,J6296)</x:f>
        <x:v>7.5</x:v>
      </x:c>
      <x:c r="L6296" s="11" t="n">
        <x:f>K6296*'管线假设'!E1347*'管线假设'!F1347*'管线假设'!G1347*IF(E6296="USD",'管线假设'!I1347,1)-AM6296</x:f>
        <x:v>3.1282499999999995</x:v>
      </x:c>
      <x:c r="M6296" s="11" t="n">
        <x:f>'管线假设'!H1347</x:f>
        <x:v>0.14</x:v>
      </x:c>
      <x:c r="N6296" s="11" t="n">
        <x:f>IF(G6296,L6296*AN6296/(1+M6296)^F6296,0)</x:f>
        <x:v>0.9620479986286312</x:v>
      </x:c>
      <x:c r="AJ6296" s="42" t="n">
        <x:v>0</x:v>
      </x:c>
      <x:c r="AK6296" s="42" t="n">
        <x:v>0</x:v>
      </x:c>
      <x:c r="AL6296" s="42" t="n">
        <x:v>0</x:v>
      </x:c>
      <x:c r="AM6296" t="n">
        <x:f>CHOOSE('假设'!$B$3,AJ6296,AK6296,AL6296)</x:f>
        <x:v>0</x:v>
      </x:c>
      <x:c r="AN6296" t="n">
        <x:v>1</x:v>
      </x:c>
    </x:row>
    <x:row r="6297" ht="23" customHeight="1">
      <x:c r="A6297" s="11" t="str">
        <x:v>09995.HK</x:v>
      </x:c>
      <x:c r="B6297" s="11" t="str">
        <x:v>2026年底</x:v>
      </x:c>
      <x:c r="C6297" s="11" t="str">
        <x:v>RC18_approved_China</x:v>
      </x:c>
      <x:c r="D6297" s="11" t="str">
        <x:v>2036-12-31</x:v>
      </x:c>
      <x:c r="E6297" s="11" t="str">
        <x:v>CNY</x:v>
      </x:c>
      <x:c r="F6297" s="11" t="n">
        <x:v>10.001368925393566</x:v>
      </x:c>
      <x:c r="G6297" s="26" t="b">
        <x:v>1</x:v>
      </x:c>
      <x:c r="H6297" s="16" t="n">
        <x:v>1.6</x:v>
      </x:c>
      <x:c r="I6297" s="16" t="n">
        <x:v>7.4</x:v>
      </x:c>
      <x:c r="J6297" s="16" t="n">
        <x:v>12.8</x:v>
      </x:c>
      <x:c r="K6297" s="11" t="n">
        <x:f>CHOOSE('假设'!$B$3,H6297,I6297,J6297)</x:f>
        <x:v>7.4</x:v>
      </x:c>
      <x:c r="L6297" s="11" t="n">
        <x:f>K6297*'管线假设'!E1347*'管线假设'!F1347*'管线假设'!G1347*IF(E6297="USD",'管线假设'!I1347,1)-AM6297</x:f>
        <x:v>3.08654</x:v>
      </x:c>
      <x:c r="M6297" s="11" t="n">
        <x:f>'管线假设'!H1347</x:f>
        <x:v>0.14</x:v>
      </x:c>
      <x:c r="N6297" s="11" t="n">
        <x:f>IF(G6297,L6297*AN6297/(1+M6297)^F6297,0)</x:f>
        <x:v>0.8324257339720429</x:v>
      </x:c>
      <x:c r="AJ6297" s="42" t="n">
        <x:v>0</x:v>
      </x:c>
      <x:c r="AK6297" s="42" t="n">
        <x:v>0</x:v>
      </x:c>
      <x:c r="AL6297" s="42" t="n">
        <x:v>0</x:v>
      </x:c>
      <x:c r="AM6297" t="n">
        <x:f>CHOOSE('假设'!$B$3,AJ6297,AK6297,AL6297)</x:f>
        <x:v>0</x:v>
      </x:c>
      <x:c r="AN6297" t="n">
        <x:v>1</x:v>
      </x:c>
    </x:row>
    <x:row r="6298" ht="23" customHeight="1">
      <x:c r="A6298" s="11" t="str">
        <x:v>09995.HK</x:v>
      </x:c>
      <x:c r="B6298" s="11" t="str">
        <x:v>2026年底</x:v>
      </x:c>
      <x:c r="C6298" s="11" t="str">
        <x:v>RC18_approved_China</x:v>
      </x:c>
      <x:c r="D6298" s="11" t="str">
        <x:v>2037-12-31</x:v>
      </x:c>
      <x:c r="E6298" s="11" t="str">
        <x:v>CNY</x:v>
      </x:c>
      <x:c r="F6298" s="11" t="n">
        <x:v>11.000684462696784</x:v>
      </x:c>
      <x:c r="G6298" s="26" t="b">
        <x:v>1</x:v>
      </x:c>
      <x:c r="H6298" s="16" t="n">
        <x:v>1.4</x:v>
      </x:c>
      <x:c r="I6298" s="16" t="n">
        <x:v>7.1</x:v>
      </x:c>
      <x:c r="J6298" s="16" t="n">
        <x:v>12</x:v>
      </x:c>
      <x:c r="K6298" s="11" t="n">
        <x:f>CHOOSE('假设'!$B$3,H6298,I6298,J6298)</x:f>
        <x:v>7.1</x:v>
      </x:c>
      <x:c r="L6298" s="11" t="n">
        <x:f>K6298*'管线假设'!E1347*'管线假设'!F1347*'管线假设'!G1347*IF(E6298="USD",'管线假设'!I1347,1)-AM6298</x:f>
        <x:v>2.96141</x:v>
      </x:c>
      <x:c r="M6298" s="11" t="n">
        <x:f>'管线假设'!H1347</x:f>
        <x:v>0.14</x:v>
      </x:c>
      <x:c r="N6298" s="11" t="n">
        <x:f>IF(G6298,L6298*AN6298/(1+M6298)^F6298,0)</x:f>
        <x:v>0.7006582251227201</x:v>
      </x:c>
      <x:c r="AJ6298" s="42" t="n">
        <x:v>0</x:v>
      </x:c>
      <x:c r="AK6298" s="42" t="n">
        <x:v>0</x:v>
      </x:c>
      <x:c r="AL6298" s="42" t="n">
        <x:v>0</x:v>
      </x:c>
      <x:c r="AM6298" t="n">
        <x:f>CHOOSE('假设'!$B$3,AJ6298,AK6298,AL6298)</x:f>
        <x:v>0</x:v>
      </x:c>
      <x:c r="AN6298" t="n">
        <x:v>1</x:v>
      </x:c>
    </x:row>
    <x:row r="6299" ht="23" customHeight="1">
      <x:c r="A6299" s="11" t="str">
        <x:v>09995.HK</x:v>
      </x:c>
      <x:c r="B6299" s="11" t="str">
        <x:v>2026年底</x:v>
      </x:c>
      <x:c r="C6299" s="11" t="str">
        <x:v>RC18_approved_China</x:v>
      </x:c>
      <x:c r="D6299" s="11" t="str">
        <x:v>2038-12-31</x:v>
      </x:c>
      <x:c r="E6299" s="11" t="str">
        <x:v>CNY</x:v>
      </x:c>
      <x:c r="F6299" s="11" t="n">
        <x:v>12</x:v>
      </x:c>
      <x:c r="G6299" s="26" t="b">
        <x:v>1</x:v>
      </x:c>
      <x:c r="H6299" s="16" t="n">
        <x:v>1.2</x:v>
      </x:c>
      <x:c r="I6299" s="16" t="n">
        <x:v>6.6</x:v>
      </x:c>
      <x:c r="J6299" s="16" t="n">
        <x:v>11</x:v>
      </x:c>
      <x:c r="K6299" s="11" t="n">
        <x:f>CHOOSE('假设'!$B$3,H6299,I6299,J6299)</x:f>
        <x:v>6.6</x:v>
      </x:c>
      <x:c r="L6299" s="11" t="n">
        <x:f>K6299*'管线假设'!E1347*'管线假设'!F1347*'管线假设'!G1347*IF(E6299="USD",'管线假设'!I1347,1)-AM6299</x:f>
        <x:v>2.7528599999999996</x:v>
      </x:c>
      <x:c r="M6299" s="11" t="n">
        <x:f>'管线假设'!H1347</x:f>
        <x:v>0.14</x:v>
      </x:c>
      <x:c r="N6299" s="11" t="n">
        <x:f>IF(G6299,L6299*AN6299/(1+M6299)^F6299,0)</x:f>
        <x:v>0.5713811507172933</x:v>
      </x:c>
      <x:c r="AJ6299" s="42" t="n">
        <x:v>0</x:v>
      </x:c>
      <x:c r="AK6299" s="42" t="n">
        <x:v>0</x:v>
      </x:c>
      <x:c r="AL6299" s="42" t="n">
        <x:v>0</x:v>
      </x:c>
      <x:c r="AM6299" t="n">
        <x:f>CHOOSE('假设'!$B$3,AJ6299,AK6299,AL6299)</x:f>
        <x:v>0</x:v>
      </x:c>
      <x:c r="AN6299" t="n">
        <x:v>1</x:v>
      </x:c>
    </x:row>
    <x:row r="6300" ht="23" customHeight="1">
      <x:c r="A6300" s="11" t="str">
        <x:v>09995.HK</x:v>
      </x:c>
      <x:c r="B6300" s="11" t="str">
        <x:v>2026年底</x:v>
      </x:c>
      <x:c r="C6300" s="11" t="str">
        <x:v>RC18_approved_China</x:v>
      </x:c>
      <x:c r="D6300" s="11" t="str">
        <x:v>2039-12-31</x:v>
      </x:c>
      <x:c r="E6300" s="11" t="str">
        <x:v>CNY</x:v>
      </x:c>
      <x:c r="F6300" s="11" t="n">
        <x:v>12.999315537303216</x:v>
      </x:c>
      <x:c r="G6300" s="26" t="b">
        <x:v>1</x:v>
      </x:c>
      <x:c r="H6300" s="16" t="n">
        <x:v>1</x:v>
      </x:c>
      <x:c r="I6300" s="16" t="n">
        <x:v>5.9</x:v>
      </x:c>
      <x:c r="J6300" s="16" t="n">
        <x:v>9.5</x:v>
      </x:c>
      <x:c r="K6300" s="11" t="n">
        <x:f>CHOOSE('假设'!$B$3,H6300,I6300,J6300)</x:f>
        <x:v>5.9</x:v>
      </x:c>
      <x:c r="L6300" s="11" t="n">
        <x:f>K6300*'管线假设'!E1347*'管线假设'!F1347*'管线假设'!G1347*IF(E6300="USD",'管线假设'!I1347,1)-AM6300</x:f>
        <x:v>2.46089</x:v>
      </x:c>
      <x:c r="M6300" s="11" t="n">
        <x:f>'管线假设'!H1347</x:f>
        <x:v>0.14</x:v>
      </x:c>
      <x:c r="N6300" s="11" t="n">
        <x:f>IF(G6300,L6300*AN6300/(1+M6300)^F6300,0)</x:f>
        <x:v>0.44809292141889423</x:v>
      </x:c>
      <x:c r="AJ6300" s="42" t="n">
        <x:v>0</x:v>
      </x:c>
      <x:c r="AK6300" s="42" t="n">
        <x:v>0</x:v>
      </x:c>
      <x:c r="AL6300" s="42" t="n">
        <x:v>0</x:v>
      </x:c>
      <x:c r="AM6300" t="n">
        <x:f>CHOOSE('假设'!$B$3,AJ6300,AK6300,AL6300)</x:f>
        <x:v>0</x:v>
      </x:c>
      <x:c r="AN6300" t="n">
        <x:v>1</x:v>
      </x:c>
    </x:row>
    <x:row r="6301" ht="23" customHeight="1">
      <x:c r="A6301" s="11" t="str">
        <x:v>09995.HK</x:v>
      </x:c>
      <x:c r="B6301" s="11" t="str">
        <x:v>2026年底</x:v>
      </x:c>
      <x:c r="C6301" s="11" t="str">
        <x:v>RC18_approved_China</x:v>
      </x:c>
      <x:c r="D6301" s="11" t="str">
        <x:v>2040-12-31</x:v>
      </x:c>
      <x:c r="E6301" s="11" t="str">
        <x:v>CNY</x:v>
      </x:c>
      <x:c r="F6301" s="11" t="n">
        <x:v>14.001368925393566</x:v>
      </x:c>
      <x:c r="G6301" s="26" t="b">
        <x:v>1</x:v>
      </x:c>
      <x:c r="H6301" s="16" t="n">
        <x:v>0.8</x:v>
      </x:c>
      <x:c r="I6301" s="16" t="n">
        <x:v>5</x:v>
      </x:c>
      <x:c r="J6301" s="16" t="n">
        <x:v>8</x:v>
      </x:c>
      <x:c r="K6301" s="11" t="n">
        <x:f>CHOOSE('假设'!$B$3,H6301,I6301,J6301)</x:f>
        <x:v>5</x:v>
      </x:c>
      <x:c r="L6301" s="11" t="n">
        <x:f>K6301*'管线假设'!E1347*'管线假设'!F1347*'管线假设'!G1347*IF(E6301="USD",'管线假设'!I1347,1)-AM6301</x:f>
        <x:v>2.0854999999999997</x:v>
      </x:c>
      <x:c r="M6301" s="11" t="n">
        <x:f>'管线假设'!H1347</x:f>
        <x:v>0.14</x:v>
      </x:c>
      <x:c r="N6301" s="11" t="n">
        <x:f>IF(G6301,L6301*AN6301/(1+M6301)^F6301,0)</x:f>
        <x:v>0.33301544558125046</x:v>
      </x:c>
      <x:c r="AJ6301" s="42" t="n">
        <x:v>0</x:v>
      </x:c>
      <x:c r="AK6301" s="42" t="n">
        <x:v>0</x:v>
      </x:c>
      <x:c r="AL6301" s="42" t="n">
        <x:v>0</x:v>
      </x:c>
      <x:c r="AM6301" t="n">
        <x:f>CHOOSE('假设'!$B$3,AJ6301,AK6301,AL6301)</x:f>
        <x:v>0</x:v>
      </x:c>
      <x:c r="AN6301" t="n">
        <x:v>1</x:v>
      </x:c>
    </x:row>
    <x:row r="6302" ht="23" customHeight="1">
      <x:c r="A6302" s="11" t="str">
        <x:v>09995.HK</x:v>
      </x:c>
      <x:c r="B6302" s="11" t="str">
        <x:v>2026年底</x:v>
      </x:c>
      <x:c r="C6302" s="11" t="str">
        <x:v>RC18_approved_China</x:v>
      </x:c>
      <x:c r="D6302" s="11" t="str">
        <x:v>2041-12-31</x:v>
      </x:c>
      <x:c r="E6302" s="11" t="str">
        <x:v>CNY</x:v>
      </x:c>
      <x:c r="F6302" s="11" t="n">
        <x:v>15.000684462696784</x:v>
      </x:c>
      <x:c r="G6302" s="26" t="b">
        <x:v>1</x:v>
      </x:c>
      <x:c r="H6302" s="16" t="n">
        <x:v>0.6</x:v>
      </x:c>
      <x:c r="I6302" s="16" t="n">
        <x:v>4</x:v>
      </x:c>
      <x:c r="J6302" s="16" t="n">
        <x:v>6.5</x:v>
      </x:c>
      <x:c r="K6302" s="11" t="n">
        <x:f>CHOOSE('假设'!$B$3,H6302,I6302,J6302)</x:f>
        <x:v>4</x:v>
      </x:c>
      <x:c r="L6302" s="11" t="n">
        <x:f>K6302*'管线假设'!E1347*'管线假设'!F1347*'管线假设'!G1347*IF(E6302="USD",'管线假设'!I1347,1)-AM6302</x:f>
        <x:v>1.6683999999999999</x:v>
      </x:c>
      <x:c r="M6302" s="11" t="n">
        <x:f>'管线假设'!H1347</x:f>
        <x:v>0.14</x:v>
      </x:c>
      <x:c r="N6302" s="11" t="n">
        <x:f>IF(G6302,L6302*AN6302/(1+M6302)^F6302,0)</x:f>
        <x:v>0.23371600916752946</x:v>
      </x:c>
      <x:c r="AJ6302" s="42" t="n">
        <x:v>0</x:v>
      </x:c>
      <x:c r="AK6302" s="42" t="n">
        <x:v>0</x:v>
      </x:c>
      <x:c r="AL6302" s="42" t="n">
        <x:v>0</x:v>
      </x:c>
      <x:c r="AM6302" t="n">
        <x:f>CHOOSE('假设'!$B$3,AJ6302,AK6302,AL6302)</x:f>
        <x:v>0</x:v>
      </x:c>
      <x:c r="AN6302" t="n">
        <x:v>1</x:v>
      </x:c>
    </x:row>
    <x:row r="6303" ht="23" customHeight="1">
      <x:c r="A6303" s="11" t="str">
        <x:v>09995.HK</x:v>
      </x:c>
      <x:c r="B6303" s="11" t="str">
        <x:v>2026年底</x:v>
      </x:c>
      <x:c r="C6303" s="11" t="str">
        <x:v>RC18_approved_China</x:v>
      </x:c>
      <x:c r="D6303" s="11" t="str">
        <x:v>2042-12-31</x:v>
      </x:c>
      <x:c r="E6303" s="11" t="str">
        <x:v>CNY</x:v>
      </x:c>
      <x:c r="F6303" s="11" t="n">
        <x:v>16</x:v>
      </x:c>
      <x:c r="G6303" s="26" t="b">
        <x:v>1</x:v>
      </x:c>
      <x:c r="H6303" s="16" t="n">
        <x:v>0.4</x:v>
      </x:c>
      <x:c r="I6303" s="16" t="n">
        <x:v>3</x:v>
      </x:c>
      <x:c r="J6303" s="16" t="n">
        <x:v>5</x:v>
      </x:c>
      <x:c r="K6303" s="11" t="n">
        <x:f>CHOOSE('假设'!$B$3,H6303,I6303,J6303)</x:f>
        <x:v>3</x:v>
      </x:c>
      <x:c r="L6303" s="11" t="n">
        <x:f>K6303*'管线假设'!E1347*'管线假设'!F1347*'管线假设'!G1347*IF(E6303="USD",'管线假设'!I1347,1)-AM6303</x:f>
        <x:v>1.2513</x:v>
      </x:c>
      <x:c r="M6303" s="11" t="n">
        <x:f>'管线假设'!H1347</x:f>
        <x:v>0.14</x:v>
      </x:c>
      <x:c r="N6303" s="11" t="n">
        <x:f>IF(G6303,L6303*AN6303/(1+M6303)^F6303,0)</x:f>
        <x:v>0.15377432281854236</x:v>
      </x:c>
      <x:c r="AJ6303" s="42" t="n">
        <x:v>0</x:v>
      </x:c>
      <x:c r="AK6303" s="42" t="n">
        <x:v>0</x:v>
      </x:c>
      <x:c r="AL6303" s="42" t="n">
        <x:v>0</x:v>
      </x:c>
      <x:c r="AM6303" t="n">
        <x:f>CHOOSE('假设'!$B$3,AJ6303,AK6303,AL6303)</x:f>
        <x:v>0</x:v>
      </x:c>
      <x:c r="AN6303" t="n">
        <x:v>1</x:v>
      </x:c>
    </x:row>
    <x:row r="6304" ht="23" customHeight="1">
      <x:c r="A6304" s="11" t="str">
        <x:v>09995.HK</x:v>
      </x:c>
      <x:c r="B6304" s="11" t="str">
        <x:v>2026年底</x:v>
      </x:c>
      <x:c r="C6304" s="11" t="str">
        <x:v>RC18_approved_China</x:v>
      </x:c>
      <x:c r="D6304" s="11" t="str">
        <x:v>2043-12-31</x:v>
      </x:c>
      <x:c r="E6304" s="11" t="str">
        <x:v>CNY</x:v>
      </x:c>
      <x:c r="F6304" s="11" t="n">
        <x:v>16.999315537303218</x:v>
      </x:c>
      <x:c r="G6304" s="26" t="b">
        <x:v>1</x:v>
      </x:c>
      <x:c r="H6304" s="16" t="n">
        <x:v>0.25</x:v>
      </x:c>
      <x:c r="I6304" s="16" t="n">
        <x:v>2</x:v>
      </x:c>
      <x:c r="J6304" s="16" t="n">
        <x:v>3.5</x:v>
      </x:c>
      <x:c r="K6304" s="11" t="n">
        <x:f>CHOOSE('假设'!$B$3,H6304,I6304,J6304)</x:f>
        <x:v>2</x:v>
      </x:c>
      <x:c r="L6304" s="11" t="n">
        <x:f>K6304*'管线假设'!E1347*'管线假设'!F1347*'管线假设'!G1347*IF(E6304="USD",'管线假设'!I1347,1)-AM6304</x:f>
        <x:v>0.8341999999999999</x:v>
      </x:c>
      <x:c r="M6304" s="11" t="n">
        <x:f>'管线假设'!H1347</x:f>
        <x:v>0.14</x:v>
      </x:c>
      <x:c r="N6304" s="11" t="n">
        <x:f>IF(G6304,L6304*AN6304/(1+M6304)^F6304,0)</x:f>
        <x:v>0.08993456989875163</x:v>
      </x:c>
      <x:c r="AJ6304" s="42" t="n">
        <x:v>0</x:v>
      </x:c>
      <x:c r="AK6304" s="42" t="n">
        <x:v>0</x:v>
      </x:c>
      <x:c r="AL6304" s="42" t="n">
        <x:v>0</x:v>
      </x:c>
      <x:c r="AM6304" t="n">
        <x:f>CHOOSE('假设'!$B$3,AJ6304,AK6304,AL6304)</x:f>
        <x:v>0</x:v>
      </x:c>
      <x:c r="AN6304" t="n">
        <x:v>1</x:v>
      </x:c>
    </x:row>
    <x:row r="6305" ht="23" customHeight="1">
      <x:c r="A6305" s="11" t="str">
        <x:v>09995.HK</x:v>
      </x:c>
      <x:c r="B6305" s="11" t="str">
        <x:v>2026年底</x:v>
      </x:c>
      <x:c r="C6305" s="11" t="str">
        <x:v>RC18_approved_China</x:v>
      </x:c>
      <x:c r="D6305" s="11" t="str">
        <x:v>2044-12-31</x:v>
      </x:c>
      <x:c r="E6305" s="11" t="str">
        <x:v>CNY</x:v>
      </x:c>
      <x:c r="F6305" s="11" t="n">
        <x:v>18.001368925393567</x:v>
      </x:c>
      <x:c r="G6305" s="26" t="b">
        <x:v>1</x:v>
      </x:c>
      <x:c r="H6305" s="16" t="n">
        <x:v>0.15</x:v>
      </x:c>
      <x:c r="I6305" s="16" t="n">
        <x:v>1.2</x:v>
      </x:c>
      <x:c r="J6305" s="16" t="n">
        <x:v>2</x:v>
      </x:c>
      <x:c r="K6305" s="11" t="n">
        <x:f>CHOOSE('假设'!$B$3,H6305,I6305,J6305)</x:f>
        <x:v>1.2</x:v>
      </x:c>
      <x:c r="L6305" s="11" t="n">
        <x:f>K6305*'管线假设'!E1347*'管线假设'!F1347*'管线假设'!G1347*IF(E6305="USD",'管线假设'!I1347,1)-AM6305</x:f>
        <x:v>0.50052</x:v>
      </x:c>
      <x:c r="M6305" s="11" t="n">
        <x:f>'管线假设'!H1347</x:f>
        <x:v>0.14</x:v>
      </x:c>
      <x:c r="N6305" s="11" t="n">
        <x:f>IF(G6305,L6305*AN6305/(1+M6305)^F6305,0)</x:f>
        <x:v>0.047321250573192954</x:v>
      </x:c>
      <x:c r="AJ6305" s="42" t="n">
        <x:v>0</x:v>
      </x:c>
      <x:c r="AK6305" s="42" t="n">
        <x:v>0</x:v>
      </x:c>
      <x:c r="AL6305" s="42" t="n">
        <x:v>0</x:v>
      </x:c>
      <x:c r="AM6305" t="n">
        <x:f>CHOOSE('假设'!$B$3,AJ6305,AK6305,AL6305)</x:f>
        <x:v>0</x:v>
      </x:c>
      <x:c r="AN6305" t="n">
        <x:v>1</x:v>
      </x:c>
    </x:row>
    <x:row r="6306" ht="23" customHeight="1">
      <x:c r="A6306" s="11" t="str">
        <x:v>09995.HK</x:v>
      </x:c>
      <x:c r="B6306" s="11" t="str">
        <x:v>2026年底</x:v>
      </x:c>
      <x:c r="C6306" s="11" t="str">
        <x:v>RC48_approved_China</x:v>
      </x:c>
      <x:c r="D6306" s="11" t="str">
        <x:v>2026-12-31</x:v>
      </x:c>
      <x:c r="E6306" s="11" t="str">
        <x:v>CNY</x:v>
      </x:c>
      <x:c r="F6306" s="11" t="n">
        <x:v>0</x:v>
      </x:c>
      <x:c r="G6306" s="26" t="b">
        <x:v>0</x:v>
      </x:c>
      <x:c r="H6306" s="16" t="n">
        <x:v>0.7</x:v>
      </x:c>
      <x:c r="I6306" s="16" t="n">
        <x:v>0.8</x:v>
      </x:c>
      <x:c r="J6306" s="16" t="n">
        <x:v>0.95</x:v>
      </x:c>
      <x:c r="K6306" s="11" t="n">
        <x:f>CHOOSE('假设'!$B$3,H6306,I6306,J6306)</x:f>
        <x:v>0.8</x:v>
      </x:c>
      <x:c r="L6306" s="11" t="n">
        <x:f>K6306*'管线假设'!E1351*'管线假设'!F1351*'管线假设'!G1351*IF(E6306="USD",'管线假设'!I1351,1)-AM6306</x:f>
        <x:v>0.1612</x:v>
      </x:c>
      <x:c r="M6306" s="11" t="n">
        <x:f>'管线假设'!H1351</x:f>
        <x:v>0.14</x:v>
      </x:c>
      <x:c r="N6306" s="11" t="n">
        <x:f>IF(G6306,L6306*AN6306/(1+M6306)^F6306,0)</x:f>
        <x:v>0</x:v>
      </x:c>
      <x:c r="AJ6306" s="42" t="n">
        <x:v>0.06</x:v>
      </x:c>
      <x:c r="AK6306" s="42" t="n">
        <x:v>0.12</x:v>
      </x:c>
      <x:c r="AL6306" s="42" t="n">
        <x:v>0.16</x:v>
      </x:c>
      <x:c r="AM6306" t="n">
        <x:f>CHOOSE('假设'!$B$3,AJ6306,AK6306,AL6306)</x:f>
        <x:v>0.12</x:v>
      </x:c>
      <x:c r="AN6306" t="n">
        <x:v>0</x:v>
      </x:c>
    </x:row>
    <x:row r="6307" ht="23" customHeight="1">
      <x:c r="A6307" s="11" t="str">
        <x:v>09995.HK</x:v>
      </x:c>
      <x:c r="B6307" s="11" t="str">
        <x:v>2026年底</x:v>
      </x:c>
      <x:c r="C6307" s="11" t="str">
        <x:v>RC48_approved_China</x:v>
      </x:c>
      <x:c r="D6307" s="11" t="str">
        <x:v>2027-12-31</x:v>
      </x:c>
      <x:c r="E6307" s="11" t="str">
        <x:v>CNY</x:v>
      </x:c>
      <x:c r="F6307" s="11" t="n">
        <x:v>0.999315537303217</x:v>
      </x:c>
      <x:c r="G6307" s="26" t="b">
        <x:v>1</x:v>
      </x:c>
      <x:c r="H6307" s="16" t="n">
        <x:v>0.75</x:v>
      </x:c>
      <x:c r="I6307" s="16" t="n">
        <x:v>1.2</x:v>
      </x:c>
      <x:c r="J6307" s="16" t="n">
        <x:v>1.5</x:v>
      </x:c>
      <x:c r="K6307" s="11" t="n">
        <x:f>CHOOSE('假设'!$B$3,H6307,I6307,J6307)</x:f>
        <x:v>1.2</x:v>
      </x:c>
      <x:c r="L6307" s="11" t="n">
        <x:f>K6307*'管线假设'!E1351*'管线假设'!F1351*'管线假设'!G1351*IF(E6307="USD",'管线假设'!I1351,1)-AM6307</x:f>
        <x:v>0.30179999999999996</x:v>
      </x:c>
      <x:c r="M6307" s="11" t="n">
        <x:f>'管线假设'!H1351</x:f>
        <x:v>0.14</x:v>
      </x:c>
      <x:c r="N6307" s="11" t="n">
        <x:f>IF(G6307,L6307*AN6307/(1+M6307)^F6307,0)</x:f>
        <x:v>0.2647605858177487</x:v>
      </x:c>
      <x:c r="AJ6307" s="42" t="n">
        <x:v>0.05</x:v>
      </x:c>
      <x:c r="AK6307" s="42" t="n">
        <x:v>0.12</x:v>
      </x:c>
      <x:c r="AL6307" s="42" t="n">
        <x:v>0.15</x:v>
      </x:c>
      <x:c r="AM6307" t="n">
        <x:f>CHOOSE('假设'!$B$3,AJ6307,AK6307,AL6307)</x:f>
        <x:v>0.12</x:v>
      </x:c>
      <x:c r="AN6307" t="n">
        <x:v>1</x:v>
      </x:c>
    </x:row>
    <x:row r="6308" ht="23" customHeight="1">
      <x:c r="A6308" s="11" t="str">
        <x:v>09995.HK</x:v>
      </x:c>
      <x:c r="B6308" s="11" t="str">
        <x:v>2026年底</x:v>
      </x:c>
      <x:c r="C6308" s="11" t="str">
        <x:v>RC48_approved_China</x:v>
      </x:c>
      <x:c r="D6308" s="11" t="str">
        <x:v>2028-12-31</x:v>
      </x:c>
      <x:c r="E6308" s="11" t="str">
        <x:v>CNY</x:v>
      </x:c>
      <x:c r="F6308" s="11" t="n">
        <x:v>2.001368925393566</x:v>
      </x:c>
      <x:c r="G6308" s="26" t="b">
        <x:v>1</x:v>
      </x:c>
      <x:c r="H6308" s="16" t="n">
        <x:v>0.8</x:v>
      </x:c>
      <x:c r="I6308" s="16" t="n">
        <x:v>1.7</x:v>
      </x:c>
      <x:c r="J6308" s="16" t="n">
        <x:v>2.2</x:v>
      </x:c>
      <x:c r="K6308" s="11" t="n">
        <x:f>CHOOSE('假设'!$B$3,H6308,I6308,J6308)</x:f>
        <x:v>1.7</x:v>
      </x:c>
      <x:c r="L6308" s="11" t="n">
        <x:f>K6308*'管线假设'!E1351*'管线假设'!F1351*'管线假设'!G1351*IF(E6308="USD",'管线假设'!I1351,1)-AM6308</x:f>
        <x:v>0.49755000000000005</x:v>
      </x:c>
      <x:c r="M6308" s="11" t="n">
        <x:f>'管线假设'!H1351</x:f>
        <x:v>0.14</x:v>
      </x:c>
      <x:c r="N6308" s="11" t="n">
        <x:f>IF(G6308,L6308*AN6308/(1+M6308)^F6308,0)</x:f>
        <x:v>0.38277990419888724</x:v>
      </x:c>
      <x:c r="AJ6308" s="42" t="n">
        <x:v>0.04</x:v>
      </x:c>
      <x:c r="AK6308" s="42" t="n">
        <x:v>0.1</x:v>
      </x:c>
      <x:c r="AL6308" s="42" t="n">
        <x:v>0.12</x:v>
      </x:c>
      <x:c r="AM6308" t="n">
        <x:f>CHOOSE('假设'!$B$3,AJ6308,AK6308,AL6308)</x:f>
        <x:v>0.1</x:v>
      </x:c>
      <x:c r="AN6308" t="n">
        <x:v>1</x:v>
      </x:c>
    </x:row>
    <x:row r="6309" ht="23" customHeight="1">
      <x:c r="A6309" s="11" t="str">
        <x:v>09995.HK</x:v>
      </x:c>
      <x:c r="B6309" s="11" t="str">
        <x:v>2026年底</x:v>
      </x:c>
      <x:c r="C6309" s="11" t="str">
        <x:v>RC48_approved_China</x:v>
      </x:c>
      <x:c r="D6309" s="11" t="str">
        <x:v>2029-12-31</x:v>
      </x:c>
      <x:c r="E6309" s="11" t="str">
        <x:v>CNY</x:v>
      </x:c>
      <x:c r="F6309" s="11" t="n">
        <x:v>3.0006844626967832</x:v>
      </x:c>
      <x:c r="G6309" s="26" t="b">
        <x:v>1</x:v>
      </x:c>
      <x:c r="H6309" s="16" t="n">
        <x:v>0.9</x:v>
      </x:c>
      <x:c r="I6309" s="16" t="n">
        <x:v>2.2</x:v>
      </x:c>
      <x:c r="J6309" s="16" t="n">
        <x:v>3.1</x:v>
      </x:c>
      <x:c r="K6309" s="11" t="n">
        <x:f>CHOOSE('假设'!$B$3,H6309,I6309,J6309)</x:f>
        <x:v>2.2</x:v>
      </x:c>
      <x:c r="L6309" s="11" t="n">
        <x:f>K6309*'管线假设'!E1351*'管线假设'!F1351*'管线假设'!G1351*IF(E6309="USD",'管线假设'!I1351,1)-AM6309</x:f>
        <x:v>0.7033</x:v>
      </x:c>
      <x:c r="M6309" s="11" t="n">
        <x:f>'管线假设'!H1351</x:f>
        <x:v>0.14</x:v>
      </x:c>
      <x:c r="N6309" s="11" t="n">
        <x:f>IF(G6309,L6309*AN6309/(1+M6309)^F6309,0)</x:f>
        <x:v>0.47466489560941894</x:v>
      </x:c>
      <x:c r="AJ6309" s="42" t="n">
        <x:v>0</x:v>
      </x:c>
      <x:c r="AK6309" s="42" t="n">
        <x:v>0.07</x:v>
      </x:c>
      <x:c r="AL6309" s="42" t="n">
        <x:v>0.1</x:v>
      </x:c>
      <x:c r="AM6309" t="n">
        <x:f>CHOOSE('假设'!$B$3,AJ6309,AK6309,AL6309)</x:f>
        <x:v>0.07</x:v>
      </x:c>
      <x:c r="AN6309" t="n">
        <x:v>1</x:v>
      </x:c>
    </x:row>
    <x:row r="6310" ht="23" customHeight="1">
      <x:c r="A6310" s="11" t="str">
        <x:v>09995.HK</x:v>
      </x:c>
      <x:c r="B6310" s="11" t="str">
        <x:v>2026年底</x:v>
      </x:c>
      <x:c r="C6310" s="11" t="str">
        <x:v>RC48_approved_China</x:v>
      </x:c>
      <x:c r="D6310" s="11" t="str">
        <x:v>2030-12-31</x:v>
      </x:c>
      <x:c r="E6310" s="11" t="str">
        <x:v>CNY</x:v>
      </x:c>
      <x:c r="F6310" s="11" t="n">
        <x:v>4</x:v>
      </x:c>
      <x:c r="G6310" s="26" t="b">
        <x:v>1</x:v>
      </x:c>
      <x:c r="H6310" s="16" t="n">
        <x:v>0.95</x:v>
      </x:c>
      <x:c r="I6310" s="16" t="n">
        <x:v>2.7</x:v>
      </x:c>
      <x:c r="J6310" s="16" t="n">
        <x:v>4.1</x:v>
      </x:c>
      <x:c r="K6310" s="11" t="n">
        <x:f>CHOOSE('假设'!$B$3,H6310,I6310,J6310)</x:f>
        <x:v>2.7</x:v>
      </x:c>
      <x:c r="L6310" s="11" t="n">
        <x:f>K6310*'管线假设'!E1351*'管线假设'!F1351*'管线假设'!G1351*IF(E6310="USD",'管线假设'!I1351,1)-AM6310</x:f>
        <x:v>0.94905</x:v>
      </x:c>
      <x:c r="M6310" s="11" t="n">
        <x:f>'管线假设'!H1351</x:f>
        <x:v>0.14</x:v>
      </x:c>
      <x:c r="N6310" s="11" t="n">
        <x:f>IF(G6310,L6310*AN6310/(1+M6310)^F6310,0)</x:f>
        <x:v>0.5619137872381782</x:v>
      </x:c>
      <x:c r="AJ6310" s="42" t="n">
        <x:v>0</x:v>
      </x:c>
      <x:c r="AK6310" s="42" t="n">
        <x:v>0</x:v>
      </x:c>
      <x:c r="AL6310" s="42" t="n">
        <x:v>0</x:v>
      </x:c>
      <x:c r="AM6310" t="n">
        <x:f>CHOOSE('假设'!$B$3,AJ6310,AK6310,AL6310)</x:f>
        <x:v>0</x:v>
      </x:c>
      <x:c r="AN6310" t="n">
        <x:v>1</x:v>
      </x:c>
    </x:row>
    <x:row r="6311" ht="23" customHeight="1">
      <x:c r="A6311" s="11" t="str">
        <x:v>09995.HK</x:v>
      </x:c>
      <x:c r="B6311" s="11" t="str">
        <x:v>2026年底</x:v>
      </x:c>
      <x:c r="C6311" s="11" t="str">
        <x:v>RC48_approved_China</x:v>
      </x:c>
      <x:c r="D6311" s="11" t="str">
        <x:v>2031-12-31</x:v>
      </x:c>
      <x:c r="E6311" s="11" t="str">
        <x:v>CNY</x:v>
      </x:c>
      <x:c r="F6311" s="11" t="n">
        <x:v>4.999315537303217</x:v>
      </x:c>
      <x:c r="G6311" s="26" t="b">
        <x:v>1</x:v>
      </x:c>
      <x:c r="H6311" s="16" t="n">
        <x:v>1</x:v>
      </x:c>
      <x:c r="I6311" s="16" t="n">
        <x:v>3.1</x:v>
      </x:c>
      <x:c r="J6311" s="16" t="n">
        <x:v>5</x:v>
      </x:c>
      <x:c r="K6311" s="11" t="n">
        <x:f>CHOOSE('假设'!$B$3,H6311,I6311,J6311)</x:f>
        <x:v>3.1</x:v>
      </x:c>
      <x:c r="L6311" s="11" t="n">
        <x:f>K6311*'管线假设'!E1351*'管线假设'!F1351*'管线假设'!G1351*IF(E6311="USD",'管线假设'!I1351,1)-AM6311</x:f>
        <x:v>1.08965</x:v>
      </x:c>
      <x:c r="M6311" s="11" t="n">
        <x:f>'管线假设'!H1351</x:f>
        <x:v>0.14</x:v>
      </x:c>
      <x:c r="N6311" s="11" t="n">
        <x:f>IF(G6311,L6311*AN6311/(1+M6311)^F6311,0)</x:f>
        <x:v>0.56598082224379</x:v>
      </x:c>
      <x:c r="AJ6311" s="42" t="n">
        <x:v>0</x:v>
      </x:c>
      <x:c r="AK6311" s="42" t="n">
        <x:v>0</x:v>
      </x:c>
      <x:c r="AL6311" s="42" t="n">
        <x:v>0</x:v>
      </x:c>
      <x:c r="AM6311" t="n">
        <x:f>CHOOSE('假设'!$B$3,AJ6311,AK6311,AL6311)</x:f>
        <x:v>0</x:v>
      </x:c>
      <x:c r="AN6311" t="n">
        <x:v>1</x:v>
      </x:c>
    </x:row>
    <x:row r="6312" ht="23" customHeight="1">
      <x:c r="A6312" s="11" t="str">
        <x:v>09995.HK</x:v>
      </x:c>
      <x:c r="B6312" s="11" t="str">
        <x:v>2026年底</x:v>
      </x:c>
      <x:c r="C6312" s="11" t="str">
        <x:v>RC48_approved_China</x:v>
      </x:c>
      <x:c r="D6312" s="11" t="str">
        <x:v>2032-12-31</x:v>
      </x:c>
      <x:c r="E6312" s="11" t="str">
        <x:v>CNY</x:v>
      </x:c>
      <x:c r="F6312" s="11" t="n">
        <x:v>6.0013689253935665</x:v>
      </x:c>
      <x:c r="G6312" s="26" t="b">
        <x:v>1</x:v>
      </x:c>
      <x:c r="H6312" s="16" t="n">
        <x:v>1</x:v>
      </x:c>
      <x:c r="I6312" s="16" t="n">
        <x:v>3.4</x:v>
      </x:c>
      <x:c r="J6312" s="16" t="n">
        <x:v>5.8</x:v>
      </x:c>
      <x:c r="K6312" s="11" t="n">
        <x:f>CHOOSE('假设'!$B$3,H6312,I6312,J6312)</x:f>
        <x:v>3.4</x:v>
      </x:c>
      <x:c r="L6312" s="11" t="n">
        <x:f>K6312*'管线假设'!E1351*'管线假设'!F1351*'管线假设'!G1351*IF(E6312="USD",'管线假设'!I1351,1)-AM6312</x:f>
        <x:v>1.1951</x:v>
      </x:c>
      <x:c r="M6312" s="11" t="n">
        <x:f>'管线假设'!H1351</x:f>
        <x:v>0.14</x:v>
      </x:c>
      <x:c r="N6312" s="11" t="n">
        <x:f>IF(G6312,L6312*AN6312/(1+M6312)^F6312,0)</x:f>
        <x:v>0.5443738311802029</x:v>
      </x:c>
      <x:c r="AJ6312" s="42" t="n">
        <x:v>0</x:v>
      </x:c>
      <x:c r="AK6312" s="42" t="n">
        <x:v>0</x:v>
      </x:c>
      <x:c r="AL6312" s="42" t="n">
        <x:v>0</x:v>
      </x:c>
      <x:c r="AM6312" t="n">
        <x:f>CHOOSE('假设'!$B$3,AJ6312,AK6312,AL6312)</x:f>
        <x:v>0</x:v>
      </x:c>
      <x:c r="AN6312" t="n">
        <x:v>1</x:v>
      </x:c>
    </x:row>
    <x:row r="6313" ht="23" customHeight="1">
      <x:c r="A6313" s="11" t="str">
        <x:v>09995.HK</x:v>
      </x:c>
      <x:c r="B6313" s="11" t="str">
        <x:v>2026年底</x:v>
      </x:c>
      <x:c r="C6313" s="11" t="str">
        <x:v>RC48_approved_China</x:v>
      </x:c>
      <x:c r="D6313" s="11" t="str">
        <x:v>2033-12-31</x:v>
      </x:c>
      <x:c r="E6313" s="11" t="str">
        <x:v>CNY</x:v>
      </x:c>
      <x:c r="F6313" s="11" t="n">
        <x:v>7.000684462696783</x:v>
      </x:c>
      <x:c r="G6313" s="26" t="b">
        <x:v>1</x:v>
      </x:c>
      <x:c r="H6313" s="16" t="n">
        <x:v>0.95</x:v>
      </x:c>
      <x:c r="I6313" s="16" t="n">
        <x:v>3.6</x:v>
      </x:c>
      <x:c r="J6313" s="16" t="n">
        <x:v>6.3</x:v>
      </x:c>
      <x:c r="K6313" s="11" t="n">
        <x:f>CHOOSE('假设'!$B$3,H6313,I6313,J6313)</x:f>
        <x:v>3.6</x:v>
      </x:c>
      <x:c r="L6313" s="11" t="n">
        <x:f>K6313*'管线假设'!E1351*'管线假设'!F1351*'管线假设'!G1351*IF(E6313="USD",'管线假设'!I1351,1)-AM6313</x:f>
        <x:v>1.2653999999999999</x:v>
      </x:c>
      <x:c r="M6313" s="11" t="n">
        <x:f>'管线假设'!H1351</x:f>
        <x:v>0.14</x:v>
      </x:c>
      <x:c r="N6313" s="11" t="n">
        <x:f>IF(G6313,L6313*AN6313/(1+M6313)^F6313,0)</x:f>
        <x:v>0.5056557166897069</x:v>
      </x:c>
      <x:c r="AJ6313" s="42" t="n">
        <x:v>0</x:v>
      </x:c>
      <x:c r="AK6313" s="42" t="n">
        <x:v>0</x:v>
      </x:c>
      <x:c r="AL6313" s="42" t="n">
        <x:v>0</x:v>
      </x:c>
      <x:c r="AM6313" t="n">
        <x:f>CHOOSE('假设'!$B$3,AJ6313,AK6313,AL6313)</x:f>
        <x:v>0</x:v>
      </x:c>
      <x:c r="AN6313" t="n">
        <x:v>1</x:v>
      </x:c>
    </x:row>
    <x:row r="6314" ht="23" customHeight="1">
      <x:c r="A6314" s="11" t="str">
        <x:v>09995.HK</x:v>
      </x:c>
      <x:c r="B6314" s="11" t="str">
        <x:v>2026年底</x:v>
      </x:c>
      <x:c r="C6314" s="11" t="str">
        <x:v>RC48_approved_China</x:v>
      </x:c>
      <x:c r="D6314" s="11" t="str">
        <x:v>2034-12-31</x:v>
      </x:c>
      <x:c r="E6314" s="11" t="str">
        <x:v>CNY</x:v>
      </x:c>
      <x:c r="F6314" s="11" t="n">
        <x:v>8</x:v>
      </x:c>
      <x:c r="G6314" s="26" t="b">
        <x:v>1</x:v>
      </x:c>
      <x:c r="H6314" s="16" t="n">
        <x:v>0.9</x:v>
      </x:c>
      <x:c r="I6314" s="16" t="n">
        <x:v>3.7</x:v>
      </x:c>
      <x:c r="J6314" s="16" t="n">
        <x:v>6.7</x:v>
      </x:c>
      <x:c r="K6314" s="11" t="n">
        <x:f>CHOOSE('假设'!$B$3,H6314,I6314,J6314)</x:f>
        <x:v>3.7</x:v>
      </x:c>
      <x:c r="L6314" s="11" t="n">
        <x:f>K6314*'管线假设'!E1351*'管线假设'!F1351*'管线假设'!G1351*IF(E6314="USD",'管线假设'!I1351,1)-AM6314</x:f>
        <x:v>1.30055</x:v>
      </x:c>
      <x:c r="M6314" s="11" t="n">
        <x:f>'管线假设'!H1351</x:f>
        <x:v>0.14</x:v>
      </x:c>
      <x:c r="N6314" s="11" t="n">
        <x:f>IF(G6314,L6314*AN6314/(1+M6314)^F6314,0)</x:f>
        <x:v>0.45591957878615663</x:v>
      </x:c>
      <x:c r="AJ6314" s="42" t="n">
        <x:v>0</x:v>
      </x:c>
      <x:c r="AK6314" s="42" t="n">
        <x:v>0</x:v>
      </x:c>
      <x:c r="AL6314" s="42" t="n">
        <x:v>0</x:v>
      </x:c>
      <x:c r="AM6314" t="n">
        <x:f>CHOOSE('假设'!$B$3,AJ6314,AK6314,AL6314)</x:f>
        <x:v>0</x:v>
      </x:c>
      <x:c r="AN6314" t="n">
        <x:v>1</x:v>
      </x:c>
    </x:row>
    <x:row r="6315" ht="23" customHeight="1">
      <x:c r="A6315" s="11" t="str">
        <x:v>09995.HK</x:v>
      </x:c>
      <x:c r="B6315" s="11" t="str">
        <x:v>2026年底</x:v>
      </x:c>
      <x:c r="C6315" s="11" t="str">
        <x:v>RC48_approved_China</x:v>
      </x:c>
      <x:c r="D6315" s="11" t="str">
        <x:v>2035-12-31</x:v>
      </x:c>
      <x:c r="E6315" s="11" t="str">
        <x:v>CNY</x:v>
      </x:c>
      <x:c r="F6315" s="11" t="n">
        <x:v>8.999315537303216</x:v>
      </x:c>
      <x:c r="G6315" s="26" t="b">
        <x:v>1</x:v>
      </x:c>
      <x:c r="H6315" s="16" t="n">
        <x:v>0.85</x:v>
      </x:c>
      <x:c r="I6315" s="16" t="n">
        <x:v>3.7</x:v>
      </x:c>
      <x:c r="J6315" s="16" t="n">
        <x:v>6.7</x:v>
      </x:c>
      <x:c r="K6315" s="11" t="n">
        <x:f>CHOOSE('假设'!$B$3,H6315,I6315,J6315)</x:f>
        <x:v>3.7</x:v>
      </x:c>
      <x:c r="L6315" s="11" t="n">
        <x:f>K6315*'管线假设'!E1351*'管线假设'!F1351*'管线假设'!G1351*IF(E6315="USD",'管线假设'!I1351,1)-AM6315</x:f>
        <x:v>1.30055</x:v>
      </x:c>
      <x:c r="M6315" s="11" t="n">
        <x:f>'管线假设'!H1351</x:f>
        <x:v>0.14</x:v>
      </x:c>
      <x:c r="N6315" s="11" t="n">
        <x:f>IF(G6315,L6315*AN6315/(1+M6315)^F6315,0)</x:f>
        <x:v>0.3999653239403714</x:v>
      </x:c>
      <x:c r="AJ6315" s="42" t="n">
        <x:v>0</x:v>
      </x:c>
      <x:c r="AK6315" s="42" t="n">
        <x:v>0</x:v>
      </x:c>
      <x:c r="AL6315" s="42" t="n">
        <x:v>0</x:v>
      </x:c>
      <x:c r="AM6315" t="n">
        <x:f>CHOOSE('假设'!$B$3,AJ6315,AK6315,AL6315)</x:f>
        <x:v>0</x:v>
      </x:c>
      <x:c r="AN6315" t="n">
        <x:v>1</x:v>
      </x:c>
    </x:row>
    <x:row r="6316" ht="23" customHeight="1">
      <x:c r="A6316" s="11" t="str">
        <x:v>09995.HK</x:v>
      </x:c>
      <x:c r="B6316" s="11" t="str">
        <x:v>2026年底</x:v>
      </x:c>
      <x:c r="C6316" s="11" t="str">
        <x:v>RC48_approved_China</x:v>
      </x:c>
      <x:c r="D6316" s="11" t="str">
        <x:v>2036-12-31</x:v>
      </x:c>
      <x:c r="E6316" s="11" t="str">
        <x:v>CNY</x:v>
      </x:c>
      <x:c r="F6316" s="11" t="n">
        <x:v>10.001368925393566</x:v>
      </x:c>
      <x:c r="G6316" s="26" t="b">
        <x:v>1</x:v>
      </x:c>
      <x:c r="H6316" s="16" t="n">
        <x:v>0.75</x:v>
      </x:c>
      <x:c r="I6316" s="16" t="n">
        <x:v>3.6</x:v>
      </x:c>
      <x:c r="J6316" s="16" t="n">
        <x:v>6.4</x:v>
      </x:c>
      <x:c r="K6316" s="11" t="n">
        <x:f>CHOOSE('假设'!$B$3,H6316,I6316,J6316)</x:f>
        <x:v>3.6</x:v>
      </x:c>
      <x:c r="L6316" s="11" t="n">
        <x:f>K6316*'管线假设'!E1351*'管线假设'!F1351*'管线假设'!G1351*IF(E6316="USD",'管线假设'!I1351,1)-AM6316</x:f>
        <x:v>1.2653999999999999</x:v>
      </x:c>
      <x:c r="M6316" s="11" t="n">
        <x:f>'管线假设'!H1351</x:f>
        <x:v>0.14</x:v>
      </x:c>
      <x:c r="N6316" s="11" t="n">
        <x:f>IF(G6316,L6316*AN6316/(1+M6316)^F6316,0)</x:f>
        <x:v>0.34127259772049706</x:v>
      </x:c>
      <x:c r="AJ6316" s="42" t="n">
        <x:v>0</x:v>
      </x:c>
      <x:c r="AK6316" s="42" t="n">
        <x:v>0</x:v>
      </x:c>
      <x:c r="AL6316" s="42" t="n">
        <x:v>0</x:v>
      </x:c>
      <x:c r="AM6316" t="n">
        <x:f>CHOOSE('假设'!$B$3,AJ6316,AK6316,AL6316)</x:f>
        <x:v>0</x:v>
      </x:c>
      <x:c r="AN6316" t="n">
        <x:v>1</x:v>
      </x:c>
    </x:row>
    <x:row r="6317" ht="23" customHeight="1">
      <x:c r="A6317" s="11" t="str">
        <x:v>09995.HK</x:v>
      </x:c>
      <x:c r="B6317" s="11" t="str">
        <x:v>2026年底</x:v>
      </x:c>
      <x:c r="C6317" s="11" t="str">
        <x:v>RC48_approved_China</x:v>
      </x:c>
      <x:c r="D6317" s="11" t="str">
        <x:v>2037-12-31</x:v>
      </x:c>
      <x:c r="E6317" s="11" t="str">
        <x:v>CNY</x:v>
      </x:c>
      <x:c r="F6317" s="11" t="n">
        <x:v>11.000684462696784</x:v>
      </x:c>
      <x:c r="G6317" s="26" t="b">
        <x:v>1</x:v>
      </x:c>
      <x:c r="H6317" s="16" t="n">
        <x:v>0.65</x:v>
      </x:c>
      <x:c r="I6317" s="16" t="n">
        <x:v>3.4</x:v>
      </x:c>
      <x:c r="J6317" s="16" t="n">
        <x:v>6</x:v>
      </x:c>
      <x:c r="K6317" s="11" t="n">
        <x:f>CHOOSE('假设'!$B$3,H6317,I6317,J6317)</x:f>
        <x:v>3.4</x:v>
      </x:c>
      <x:c r="L6317" s="11" t="n">
        <x:f>K6317*'管线假设'!E1351*'管线假设'!F1351*'管线假设'!G1351*IF(E6317="USD",'管线假设'!I1351,1)-AM6317</x:f>
        <x:v>1.1951</x:v>
      </x:c>
      <x:c r="M6317" s="11" t="n">
        <x:f>'管线假设'!H1351</x:f>
        <x:v>0.14</x:v>
      </x:c>
      <x:c r="N6317" s="11" t="n">
        <x:f>IF(G6317,L6317*AN6317/(1+M6317)^F6317,0)</x:f>
        <x:v>0.2827560671586045</x:v>
      </x:c>
      <x:c r="AJ6317" s="42" t="n">
        <x:v>0</x:v>
      </x:c>
      <x:c r="AK6317" s="42" t="n">
        <x:v>0</x:v>
      </x:c>
      <x:c r="AL6317" s="42" t="n">
        <x:v>0</x:v>
      </x:c>
      <x:c r="AM6317" t="n">
        <x:f>CHOOSE('假设'!$B$3,AJ6317,AK6317,AL6317)</x:f>
        <x:v>0</x:v>
      </x:c>
      <x:c r="AN6317" t="n">
        <x:v>1</x:v>
      </x:c>
    </x:row>
    <x:row r="6318" ht="23" customHeight="1">
      <x:c r="A6318" s="11" t="str">
        <x:v>09995.HK</x:v>
      </x:c>
      <x:c r="B6318" s="11" t="str">
        <x:v>2026年底</x:v>
      </x:c>
      <x:c r="C6318" s="11" t="str">
        <x:v>RC48_approved_China</x:v>
      </x:c>
      <x:c r="D6318" s="11" t="str">
        <x:v>2038-12-31</x:v>
      </x:c>
      <x:c r="E6318" s="11" t="str">
        <x:v>CNY</x:v>
      </x:c>
      <x:c r="F6318" s="11" t="n">
        <x:v>12</x:v>
      </x:c>
      <x:c r="G6318" s="26" t="b">
        <x:v>1</x:v>
      </x:c>
      <x:c r="H6318" s="16" t="n">
        <x:v>0.55</x:v>
      </x:c>
      <x:c r="I6318" s="16" t="n">
        <x:v>3.1</x:v>
      </x:c>
      <x:c r="J6318" s="16" t="n">
        <x:v>5.5</x:v>
      </x:c>
      <x:c r="K6318" s="11" t="n">
        <x:f>CHOOSE('假设'!$B$3,H6318,I6318,J6318)</x:f>
        <x:v>3.1</x:v>
      </x:c>
      <x:c r="L6318" s="11" t="n">
        <x:f>K6318*'管线假设'!E1351*'管线假设'!F1351*'管线假设'!G1351*IF(E6318="USD",'管线假设'!I1351,1)-AM6318</x:f>
        <x:v>1.08965</x:v>
      </x:c>
      <x:c r="M6318" s="11" t="n">
        <x:f>'管线假设'!H1351</x:f>
        <x:v>0.14</x:v>
      </x:c>
      <x:c r="N6318" s="11" t="n">
        <x:f>IF(G6318,L6318*AN6318/(1+M6318)^F6318,0)</x:f>
        <x:v>0.22616677596357926</x:v>
      </x:c>
      <x:c r="AJ6318" s="42" t="n">
        <x:v>0</x:v>
      </x:c>
      <x:c r="AK6318" s="42" t="n">
        <x:v>0</x:v>
      </x:c>
      <x:c r="AL6318" s="42" t="n">
        <x:v>0</x:v>
      </x:c>
      <x:c r="AM6318" t="n">
        <x:f>CHOOSE('假设'!$B$3,AJ6318,AK6318,AL6318)</x:f>
        <x:v>0</x:v>
      </x:c>
      <x:c r="AN6318" t="n">
        <x:v>1</x:v>
      </x:c>
    </x:row>
    <x:row r="6319" ht="23" customHeight="1">
      <x:c r="A6319" s="11" t="str">
        <x:v>09995.HK</x:v>
      </x:c>
      <x:c r="B6319" s="11" t="str">
        <x:v>2026年底</x:v>
      </x:c>
      <x:c r="C6319" s="11" t="str">
        <x:v>RC48_approved_China</x:v>
      </x:c>
      <x:c r="D6319" s="11" t="str">
        <x:v>2039-12-31</x:v>
      </x:c>
      <x:c r="E6319" s="11" t="str">
        <x:v>CNY</x:v>
      </x:c>
      <x:c r="F6319" s="11" t="n">
        <x:v>12.999315537303216</x:v>
      </x:c>
      <x:c r="G6319" s="26" t="b">
        <x:v>1</x:v>
      </x:c>
      <x:c r="H6319" s="16" t="n">
        <x:v>0.45</x:v>
      </x:c>
      <x:c r="I6319" s="16" t="n">
        <x:v>2.7</x:v>
      </x:c>
      <x:c r="J6319" s="16" t="n">
        <x:v>4.7</x:v>
      </x:c>
      <x:c r="K6319" s="11" t="n">
        <x:f>CHOOSE('假设'!$B$3,H6319,I6319,J6319)</x:f>
        <x:v>2.7</x:v>
      </x:c>
      <x:c r="L6319" s="11" t="n">
        <x:f>K6319*'管线假设'!E1351*'管线假设'!F1351*'管线假设'!G1351*IF(E6319="USD",'管线假设'!I1351,1)-AM6319</x:f>
        <x:v>0.94905</x:v>
      </x:c>
      <x:c r="M6319" s="11" t="n">
        <x:f>'管线假设'!H1351</x:f>
        <x:v>0.14</x:v>
      </x:c>
      <x:c r="N6319" s="11" t="n">
        <x:f>IF(G6319,L6319*AN6319/(1+M6319)^F6319,0)</x:f>
        <x:v>0.17280845022435035</x:v>
      </x:c>
      <x:c r="AJ6319" s="42" t="n">
        <x:v>0</x:v>
      </x:c>
      <x:c r="AK6319" s="42" t="n">
        <x:v>0</x:v>
      </x:c>
      <x:c r="AL6319" s="42" t="n">
        <x:v>0</x:v>
      </x:c>
      <x:c r="AM6319" t="n">
        <x:f>CHOOSE('假设'!$B$3,AJ6319,AK6319,AL6319)</x:f>
        <x:v>0</x:v>
      </x:c>
      <x:c r="AN6319" t="n">
        <x:v>1</x:v>
      </x:c>
    </x:row>
    <x:row r="6320" ht="23" customHeight="1">
      <x:c r="A6320" s="11" t="str">
        <x:v>09995.HK</x:v>
      </x:c>
      <x:c r="B6320" s="11" t="str">
        <x:v>2026年底</x:v>
      </x:c>
      <x:c r="C6320" s="11" t="str">
        <x:v>RC48_approved_China</x:v>
      </x:c>
      <x:c r="D6320" s="11" t="str">
        <x:v>2040-12-31</x:v>
      </x:c>
      <x:c r="E6320" s="11" t="str">
        <x:v>CNY</x:v>
      </x:c>
      <x:c r="F6320" s="11" t="n">
        <x:v>14.001368925393566</x:v>
      </x:c>
      <x:c r="G6320" s="26" t="b">
        <x:v>1</x:v>
      </x:c>
      <x:c r="H6320" s="16" t="n">
        <x:v>0.35</x:v>
      </x:c>
      <x:c r="I6320" s="16" t="n">
        <x:v>2.2</x:v>
      </x:c>
      <x:c r="J6320" s="16" t="n">
        <x:v>3.8</x:v>
      </x:c>
      <x:c r="K6320" s="11" t="n">
        <x:f>CHOOSE('假设'!$B$3,H6320,I6320,J6320)</x:f>
        <x:v>2.2</x:v>
      </x:c>
      <x:c r="L6320" s="11" t="n">
        <x:f>K6320*'管线假设'!E1351*'管线假设'!F1351*'管线假设'!G1351*IF(E6320="USD",'管线假设'!I1351,1)-AM6320</x:f>
        <x:v>0.7733</x:v>
      </x:c>
      <x:c r="M6320" s="11" t="n">
        <x:f>'管线假设'!H1351</x:f>
        <x:v>0.14</x:v>
      </x:c>
      <x:c r="N6320" s="11" t="n">
        <x:f>IF(G6320,L6320*AN6320/(1+M6320)^F6320,0)</x:f>
        <x:v>0.12348158430495373</x:v>
      </x:c>
      <x:c r="AJ6320" s="42" t="n">
        <x:v>0</x:v>
      </x:c>
      <x:c r="AK6320" s="42" t="n">
        <x:v>0</x:v>
      </x:c>
      <x:c r="AL6320" s="42" t="n">
        <x:v>0</x:v>
      </x:c>
      <x:c r="AM6320" t="n">
        <x:f>CHOOSE('假设'!$B$3,AJ6320,AK6320,AL6320)</x:f>
        <x:v>0</x:v>
      </x:c>
      <x:c r="AN6320" t="n">
        <x:v>1</x:v>
      </x:c>
    </x:row>
    <x:row r="6321" ht="23" customHeight="1">
      <x:c r="A6321" s="11" t="str">
        <x:v>09995.HK</x:v>
      </x:c>
      <x:c r="B6321" s="11" t="str">
        <x:v>2026年底</x:v>
      </x:c>
      <x:c r="C6321" s="11" t="str">
        <x:v>RC48_approved_China</x:v>
      </x:c>
      <x:c r="D6321" s="11" t="str">
        <x:v>2041-12-31</x:v>
      </x:c>
      <x:c r="E6321" s="11" t="str">
        <x:v>CNY</x:v>
      </x:c>
      <x:c r="F6321" s="11" t="n">
        <x:v>15.000684462696784</x:v>
      </x:c>
      <x:c r="G6321" s="26" t="b">
        <x:v>1</x:v>
      </x:c>
      <x:c r="H6321" s="16" t="n">
        <x:v>0.25</x:v>
      </x:c>
      <x:c r="I6321" s="16" t="n">
        <x:v>1.7</x:v>
      </x:c>
      <x:c r="J6321" s="16" t="n">
        <x:v>2.9</x:v>
      </x:c>
      <x:c r="K6321" s="11" t="n">
        <x:f>CHOOSE('假设'!$B$3,H6321,I6321,J6321)</x:f>
        <x:v>1.7</x:v>
      </x:c>
      <x:c r="L6321" s="11" t="n">
        <x:f>K6321*'管线假设'!E1351*'管线假设'!F1351*'管线假设'!G1351*IF(E6321="USD",'管线假设'!I1351,1)-AM6321</x:f>
        <x:v>0.59755</x:v>
      </x:c>
      <x:c r="M6321" s="11" t="n">
        <x:f>'管线假设'!H1351</x:f>
        <x:v>0.14</x:v>
      </x:c>
      <x:c r="N6321" s="11" t="n">
        <x:f>IF(G6321,L6321*AN6321/(1+M6321)^F6321,0)</x:f>
        <x:v>0.08370714533568523</x:v>
      </x:c>
      <x:c r="AJ6321" s="42" t="n">
        <x:v>0</x:v>
      </x:c>
      <x:c r="AK6321" s="42" t="n">
        <x:v>0</x:v>
      </x:c>
      <x:c r="AL6321" s="42" t="n">
        <x:v>0</x:v>
      </x:c>
      <x:c r="AM6321" t="n">
        <x:f>CHOOSE('假设'!$B$3,AJ6321,AK6321,AL6321)</x:f>
        <x:v>0</x:v>
      </x:c>
      <x:c r="AN6321" t="n">
        <x:v>1</x:v>
      </x:c>
    </x:row>
    <x:row r="6322" ht="23" customHeight="1">
      <x:c r="A6322" s="11" t="str">
        <x:v>09995.HK</x:v>
      </x:c>
      <x:c r="B6322" s="11" t="str">
        <x:v>2026年底</x:v>
      </x:c>
      <x:c r="C6322" s="11" t="str">
        <x:v>RC48_approved_China</x:v>
      </x:c>
      <x:c r="D6322" s="11" t="str">
        <x:v>2042-12-31</x:v>
      </x:c>
      <x:c r="E6322" s="11" t="str">
        <x:v>CNY</x:v>
      </x:c>
      <x:c r="F6322" s="11" t="n">
        <x:v>16</x:v>
      </x:c>
      <x:c r="G6322" s="26" t="b">
        <x:v>1</x:v>
      </x:c>
      <x:c r="H6322" s="16" t="n">
        <x:v>0.18</x:v>
      </x:c>
      <x:c r="I6322" s="16" t="n">
        <x:v>1.2</x:v>
      </x:c>
      <x:c r="J6322" s="16" t="n">
        <x:v>2.1</x:v>
      </x:c>
      <x:c r="K6322" s="11" t="n">
        <x:f>CHOOSE('假设'!$B$3,H6322,I6322,J6322)</x:f>
        <x:v>1.2</x:v>
      </x:c>
      <x:c r="L6322" s="11" t="n">
        <x:f>K6322*'管线假设'!E1351*'管线假设'!F1351*'管线假设'!G1351*IF(E6322="USD",'管线假设'!I1351,1)-AM6322</x:f>
        <x:v>0.42179999999999995</x:v>
      </x:c>
      <x:c r="M6322" s="11" t="n">
        <x:f>'管线假设'!H1351</x:f>
        <x:v>0.14</x:v>
      </x:c>
      <x:c r="N6322" s="11" t="n">
        <x:f>IF(G6322,L6322*AN6322/(1+M6322)^F6322,0)</x:f>
        <x:v>0.05183569836558871</x:v>
      </x:c>
      <x:c r="AJ6322" s="42" t="n">
        <x:v>0</x:v>
      </x:c>
      <x:c r="AK6322" s="42" t="n">
        <x:v>0</x:v>
      </x:c>
      <x:c r="AL6322" s="42" t="n">
        <x:v>0</x:v>
      </x:c>
      <x:c r="AM6322" t="n">
        <x:f>CHOOSE('假设'!$B$3,AJ6322,AK6322,AL6322)</x:f>
        <x:v>0</x:v>
      </x:c>
      <x:c r="AN6322" t="n">
        <x:v>1</x:v>
      </x:c>
    </x:row>
    <x:row r="6323" ht="23" customHeight="1">
      <x:c r="A6323" s="11" t="str">
        <x:v>09995.HK</x:v>
      </x:c>
      <x:c r="B6323" s="11" t="str">
        <x:v>2026年底</x:v>
      </x:c>
      <x:c r="C6323" s="11" t="str">
        <x:v>RC48_approved_China</x:v>
      </x:c>
      <x:c r="D6323" s="11" t="str">
        <x:v>2043-12-31</x:v>
      </x:c>
      <x:c r="E6323" s="11" t="str">
        <x:v>CNY</x:v>
      </x:c>
      <x:c r="F6323" s="11" t="n">
        <x:v>16.999315537303218</x:v>
      </x:c>
      <x:c r="G6323" s="26" t="b">
        <x:v>1</x:v>
      </x:c>
      <x:c r="H6323" s="16" t="n">
        <x:v>0.12</x:v>
      </x:c>
      <x:c r="I6323" s="16" t="n">
        <x:v>0.8</x:v>
      </x:c>
      <x:c r="J6323" s="16" t="n">
        <x:v>1.4</x:v>
      </x:c>
      <x:c r="K6323" s="11" t="n">
        <x:f>CHOOSE('假设'!$B$3,H6323,I6323,J6323)</x:f>
        <x:v>0.8</x:v>
      </x:c>
      <x:c r="L6323" s="11" t="n">
        <x:f>K6323*'管线假设'!E1351*'管线假设'!F1351*'管线假设'!G1351*IF(E6323="USD",'管线假设'!I1351,1)-AM6323</x:f>
        <x:v>0.2812</x:v>
      </x:c>
      <x:c r="M6323" s="11" t="n">
        <x:f>'管线假设'!H1351</x:f>
        <x:v>0.14</x:v>
      </x:c>
      <x:c r="N6323" s="11" t="n">
        <x:f>IF(G6323,L6323*AN6323/(1+M6323)^F6323,0)</x:f>
        <x:v>0.03031599263429509</x:v>
      </x:c>
      <x:c r="AJ6323" s="42" t="n">
        <x:v>0</x:v>
      </x:c>
      <x:c r="AK6323" s="42" t="n">
        <x:v>0</x:v>
      </x:c>
      <x:c r="AL6323" s="42" t="n">
        <x:v>0</x:v>
      </x:c>
      <x:c r="AM6323" t="n">
        <x:f>CHOOSE('假设'!$B$3,AJ6323,AK6323,AL6323)</x:f>
        <x:v>0</x:v>
      </x:c>
      <x:c r="AN6323" t="n">
        <x:v>1</x:v>
      </x:c>
    </x:row>
    <x:row r="6324" ht="23" customHeight="1">
      <x:c r="A6324" s="11" t="str">
        <x:v>09995.HK</x:v>
      </x:c>
      <x:c r="B6324" s="11" t="str">
        <x:v>2026年底</x:v>
      </x:c>
      <x:c r="C6324" s="11" t="str">
        <x:v>RC48_approved_China</x:v>
      </x:c>
      <x:c r="D6324" s="11" t="str">
        <x:v>2044-12-31</x:v>
      </x:c>
      <x:c r="E6324" s="11" t="str">
        <x:v>CNY</x:v>
      </x:c>
      <x:c r="F6324" s="11" t="n">
        <x:v>18.001368925393567</x:v>
      </x:c>
      <x:c r="G6324" s="26" t="b">
        <x:v>1</x:v>
      </x:c>
      <x:c r="H6324" s="16" t="n">
        <x:v>0.08</x:v>
      </x:c>
      <x:c r="I6324" s="16" t="n">
        <x:v>0.45</x:v>
      </x:c>
      <x:c r="J6324" s="16" t="n">
        <x:v>0.8</x:v>
      </x:c>
      <x:c r="K6324" s="11" t="n">
        <x:f>CHOOSE('假设'!$B$3,H6324,I6324,J6324)</x:f>
        <x:v>0.45</x:v>
      </x:c>
      <x:c r="L6324" s="11" t="n">
        <x:f>K6324*'管线假设'!E1351*'管线假设'!F1351*'管线假设'!G1351*IF(E6324="USD",'管线假设'!I1351,1)-AM6324</x:f>
        <x:v>0.15817499999999998</x:v>
      </x:c>
      <x:c r="M6324" s="11" t="n">
        <x:f>'管线假设'!H1351</x:f>
        <x:v>0.14</x:v>
      </x:c>
      <x:c r="N6324" s="11" t="n">
        <x:f>IF(G6324,L6324*AN6324/(1+M6324)^F6324,0)</x:f>
        <x:v>0.014954524912920153</x:v>
      </x:c>
      <x:c r="AJ6324" s="42" t="n">
        <x:v>0</x:v>
      </x:c>
      <x:c r="AK6324" s="42" t="n">
        <x:v>0</x:v>
      </x:c>
      <x:c r="AL6324" s="42" t="n">
        <x:v>0</x:v>
      </x:c>
      <x:c r="AM6324" t="n">
        <x:f>CHOOSE('假设'!$B$3,AJ6324,AK6324,AL6324)</x:f>
        <x:v>0</x:v>
      </x:c>
      <x:c r="AN6324" t="n">
        <x:v>1</x:v>
      </x:c>
    </x:row>
    <x:row r="6325" ht="23" customHeight="1">
      <x:c r="A6325" s="11" t="str">
        <x:v>09995.HK</x:v>
      </x:c>
      <x:c r="B6325" s="11" t="str">
        <x:v>2026年底</x:v>
      </x:c>
      <x:c r="C6325" s="11" t="str">
        <x:v>RC18_new_China</x:v>
      </x:c>
      <x:c r="D6325" s="11" t="str">
        <x:v>2026-12-31</x:v>
      </x:c>
      <x:c r="E6325" s="11" t="str">
        <x:v>CNY</x:v>
      </x:c>
      <x:c r="F6325" s="11" t="n">
        <x:v>0</x:v>
      </x:c>
      <x:c r="G6325" s="26" t="b">
        <x:v>0</x:v>
      </x:c>
      <x:c r="H6325" s="16" t="n">
        <x:v>0</x:v>
      </x:c>
      <x:c r="I6325" s="16" t="n">
        <x:v>0</x:v>
      </x:c>
      <x:c r="J6325" s="16" t="n">
        <x:v>0</x:v>
      </x:c>
      <x:c r="K6325" s="11" t="n">
        <x:f>CHOOSE('假设'!$B$3,H6325,I6325,J6325)</x:f>
        <x:v>0</x:v>
      </x:c>
      <x:c r="L6325" s="11" t="n">
        <x:f>K6325*'管线假设'!E1355*'管线假设'!F1355*'管线假设'!G1355*IF(E6325="USD",'管线假设'!I1355,1)-AM6325</x:f>
        <x:v>-0.13</x:v>
      </x:c>
      <x:c r="M6325" s="11" t="n">
        <x:f>'管线假设'!H1355</x:f>
        <x:v>0.14</x:v>
      </x:c>
      <x:c r="N6325" s="11" t="n">
        <x:f>IF(G6325,L6325*AN6325/(1+M6325)^F6325,0)</x:f>
        <x:v>0</x:v>
      </x:c>
      <x:c r="AJ6325" s="42" t="n">
        <x:v>0.08</x:v>
      </x:c>
      <x:c r="AK6325" s="42" t="n">
        <x:v>0.13</x:v>
      </x:c>
      <x:c r="AL6325" s="42" t="n">
        <x:v>0.18</x:v>
      </x:c>
      <x:c r="AM6325" t="n">
        <x:f>CHOOSE('假设'!$B$3,AJ6325,AK6325,AL6325)</x:f>
        <x:v>0.13</x:v>
      </x:c>
      <x:c r="AN6325" t="n">
        <x:v>0</x:v>
      </x:c>
    </x:row>
    <x:row r="6326" ht="23" customHeight="1">
      <x:c r="A6326" s="11" t="str">
        <x:v>09995.HK</x:v>
      </x:c>
      <x:c r="B6326" s="11" t="str">
        <x:v>2026年底</x:v>
      </x:c>
      <x:c r="C6326" s="11" t="str">
        <x:v>RC18_new_China</x:v>
      </x:c>
      <x:c r="D6326" s="11" t="str">
        <x:v>2027-12-31</x:v>
      </x:c>
      <x:c r="E6326" s="11" t="str">
        <x:v>CNY</x:v>
      </x:c>
      <x:c r="F6326" s="11" t="n">
        <x:v>0.999315537303217</x:v>
      </x:c>
      <x:c r="G6326" s="26" t="b">
        <x:v>1</x:v>
      </x:c>
      <x:c r="H6326" s="16" t="n">
        <x:v>0</x:v>
      </x:c>
      <x:c r="I6326" s="16" t="n">
        <x:v>0</x:v>
      </x:c>
      <x:c r="J6326" s="16" t="n">
        <x:v>0</x:v>
      </x:c>
      <x:c r="K6326" s="11" t="n">
        <x:f>CHOOSE('假设'!$B$3,H6326,I6326,J6326)</x:f>
        <x:v>0</x:v>
      </x:c>
      <x:c r="L6326" s="11" t="n">
        <x:f>K6326*'管线假设'!E1355*'管线假设'!F1355*'管线假设'!G1355*IF(E6326="USD",'管线假设'!I1355,1)-AM6326</x:f>
        <x:v>-0.16</x:v>
      </x:c>
      <x:c r="M6326" s="11" t="n">
        <x:f>'管线假设'!H1355</x:f>
        <x:v>0.14</x:v>
      </x:c>
      <x:c r="N6326" s="11" t="n">
        <x:f>IF(G6326,L6326*AN6326/(1+M6326)^F6326,0)</x:f>
        <x:v>-0.14036346497958846</x:v>
      </x:c>
      <x:c r="AJ6326" s="42" t="n">
        <x:v>0.08</x:v>
      </x:c>
      <x:c r="AK6326" s="42" t="n">
        <x:v>0.16</x:v>
      </x:c>
      <x:c r="AL6326" s="42" t="n">
        <x:v>0.22</x:v>
      </x:c>
      <x:c r="AM6326" t="n">
        <x:f>CHOOSE('假设'!$B$3,AJ6326,AK6326,AL6326)</x:f>
        <x:v>0.16</x:v>
      </x:c>
      <x:c r="AN6326" t="n">
        <x:v>1</x:v>
      </x:c>
    </x:row>
    <x:row r="6327" ht="23" customHeight="1">
      <x:c r="A6327" s="11" t="str">
        <x:v>09995.HK</x:v>
      </x:c>
      <x:c r="B6327" s="11" t="str">
        <x:v>2026年底</x:v>
      </x:c>
      <x:c r="C6327" s="11" t="str">
        <x:v>RC18_new_China</x:v>
      </x:c>
      <x:c r="D6327" s="11" t="str">
        <x:v>2028-12-31</x:v>
      </x:c>
      <x:c r="E6327" s="11" t="str">
        <x:v>CNY</x:v>
      </x:c>
      <x:c r="F6327" s="11" t="n">
        <x:v>2.001368925393566</x:v>
      </x:c>
      <x:c r="G6327" s="26" t="b">
        <x:v>1</x:v>
      </x:c>
      <x:c r="H6327" s="16" t="n">
        <x:v>0</x:v>
      </x:c>
      <x:c r="I6327" s="16" t="n">
        <x:v>0</x:v>
      </x:c>
      <x:c r="J6327" s="16" t="n">
        <x:v>0</x:v>
      </x:c>
      <x:c r="K6327" s="11" t="n">
        <x:f>CHOOSE('假设'!$B$3,H6327,I6327,J6327)</x:f>
        <x:v>0</x:v>
      </x:c>
      <x:c r="L6327" s="11" t="n">
        <x:f>K6327*'管线假设'!E1355*'管线假设'!F1355*'管线假设'!G1355*IF(E6327="USD",'管线假设'!I1355,1)-AM6327</x:f>
        <x:v>-0.15</x:v>
      </x:c>
      <x:c r="M6327" s="11" t="n">
        <x:f>'管线假设'!H1355</x:f>
        <x:v>0.14</x:v>
      </x:c>
      <x:c r="N6327" s="11" t="n">
        <x:f>IF(G6327,L6327*AN6327/(1+M6327)^F6327,0)</x:f>
        <x:v>-0.11539942845911583</x:v>
      </x:c>
      <x:c r="AJ6327" s="42" t="n">
        <x:v>0.06</x:v>
      </x:c>
      <x:c r="AK6327" s="42" t="n">
        <x:v>0.15</x:v>
      </x:c>
      <x:c r="AL6327" s="42" t="n">
        <x:v>0.2</x:v>
      </x:c>
      <x:c r="AM6327" t="n">
        <x:f>CHOOSE('假设'!$B$3,AJ6327,AK6327,AL6327)</x:f>
        <x:v>0.15</x:v>
      </x:c>
      <x:c r="AN6327" t="n">
        <x:v>1</x:v>
      </x:c>
    </x:row>
    <x:row r="6328" ht="23" customHeight="1">
      <x:c r="A6328" s="11" t="str">
        <x:v>09995.HK</x:v>
      </x:c>
      <x:c r="B6328" s="11" t="str">
        <x:v>2026年底</x:v>
      </x:c>
      <x:c r="C6328" s="11" t="str">
        <x:v>RC18_new_China</x:v>
      </x:c>
      <x:c r="D6328" s="11" t="str">
        <x:v>2029-12-31</x:v>
      </x:c>
      <x:c r="E6328" s="11" t="str">
        <x:v>CNY</x:v>
      </x:c>
      <x:c r="F6328" s="11" t="n">
        <x:v>3.0006844626967832</x:v>
      </x:c>
      <x:c r="G6328" s="26" t="b">
        <x:v>1</x:v>
      </x:c>
      <x:c r="H6328" s="16" t="n">
        <x:v>0</x:v>
      </x:c>
      <x:c r="I6328" s="16" t="n">
        <x:v>0</x:v>
      </x:c>
      <x:c r="J6328" s="16" t="n">
        <x:v>0.18</x:v>
      </x:c>
      <x:c r="K6328" s="11" t="n">
        <x:f>CHOOSE('假设'!$B$3,H6328,I6328,J6328)</x:f>
        <x:v>0</x:v>
      </x:c>
      <x:c r="L6328" s="11" t="n">
        <x:f>K6328*'管线假设'!E1355*'管线假设'!F1355*'管线假设'!G1355*IF(E6328="USD",'管线假设'!I1355,1)-AM6328</x:f>
        <x:v>-0.1</x:v>
      </x:c>
      <x:c r="M6328" s="11" t="n">
        <x:f>'管线假设'!H1355</x:f>
        <x:v>0.14</x:v>
      </x:c>
      <x:c r="N6328" s="11" t="n">
        <x:f>IF(G6328,L6328*AN6328/(1+M6328)^F6328,0)</x:f>
        <x:v>-0.06749109847994013</x:v>
      </x:c>
      <x:c r="AJ6328" s="42" t="n">
        <x:v>0</x:v>
      </x:c>
      <x:c r="AK6328" s="42" t="n">
        <x:v>0.1</x:v>
      </x:c>
      <x:c r="AL6328" s="42" t="n">
        <x:v>0.12</x:v>
      </x:c>
      <x:c r="AM6328" t="n">
        <x:f>CHOOSE('假设'!$B$3,AJ6328,AK6328,AL6328)</x:f>
        <x:v>0.1</x:v>
      </x:c>
      <x:c r="AN6328" t="n">
        <x:v>1</x:v>
      </x:c>
    </x:row>
    <x:row r="6329" ht="23" customHeight="1">
      <x:c r="A6329" s="11" t="str">
        <x:v>09995.HK</x:v>
      </x:c>
      <x:c r="B6329" s="11" t="str">
        <x:v>2026年底</x:v>
      </x:c>
      <x:c r="C6329" s="11" t="str">
        <x:v>RC18_new_China</x:v>
      </x:c>
      <x:c r="D6329" s="11" t="str">
        <x:v>2030-12-31</x:v>
      </x:c>
      <x:c r="E6329" s="11" t="str">
        <x:v>CNY</x:v>
      </x:c>
      <x:c r="F6329" s="11" t="n">
        <x:v>4</x:v>
      </x:c>
      <x:c r="G6329" s="26" t="b">
        <x:v>1</x:v>
      </x:c>
      <x:c r="H6329" s="16" t="n">
        <x:v>0</x:v>
      </x:c>
      <x:c r="I6329" s="16" t="n">
        <x:v>0.09</x:v>
      </x:c>
      <x:c r="J6329" s="16" t="n">
        <x:v>0.54</x:v>
      </x:c>
      <x:c r="K6329" s="11" t="n">
        <x:f>CHOOSE('假设'!$B$3,H6329,I6329,J6329)</x:f>
        <x:v>0.09</x:v>
      </x:c>
      <x:c r="L6329" s="11" t="n">
        <x:f>K6329*'管线假设'!E1355*'管线假设'!F1355*'管线假设'!G1355*IF(E6329="USD",'管线假设'!I1355,1)-AM6329</x:f>
        <x:v>0.015479999999999999</x:v>
      </x:c>
      <x:c r="M6329" s="11" t="n">
        <x:f>'管线假设'!H1355</x:f>
        <x:v>0.14</x:v>
      </x:c>
      <x:c r="N6329" s="11" t="n">
        <x:f>IF(G6329,L6329*AN6329/(1+M6329)^F6329,0)</x:f>
        <x:v>0.009165402693690532</x:v>
      </x:c>
      <x:c r="AJ6329" s="42" t="n">
        <x:v>0</x:v>
      </x:c>
      <x:c r="AK6329" s="42" t="n">
        <x:v>0</x:v>
      </x:c>
      <x:c r="AL6329" s="42" t="n">
        <x:v>0</x:v>
      </x:c>
      <x:c r="AM6329" t="n">
        <x:f>CHOOSE('假设'!$B$3,AJ6329,AK6329,AL6329)</x:f>
        <x:v>0</x:v>
      </x:c>
      <x:c r="AN6329" t="n">
        <x:v>1</x:v>
      </x:c>
    </x:row>
    <x:row r="6330" ht="23" customHeight="1">
      <x:c r="A6330" s="11" t="str">
        <x:v>09995.HK</x:v>
      </x:c>
      <x:c r="B6330" s="11" t="str">
        <x:v>2026年底</x:v>
      </x:c>
      <x:c r="C6330" s="11" t="str">
        <x:v>RC18_new_China</x:v>
      </x:c>
      <x:c r="D6330" s="11" t="str">
        <x:v>2031-12-31</x:v>
      </x:c>
      <x:c r="E6330" s="11" t="str">
        <x:v>CNY</x:v>
      </x:c>
      <x:c r="F6330" s="11" t="n">
        <x:v>4.999315537303217</x:v>
      </x:c>
      <x:c r="G6330" s="26" t="b">
        <x:v>1</x:v>
      </x:c>
      <x:c r="H6330" s="16" t="n">
        <x:v>0</x:v>
      </x:c>
      <x:c r="I6330" s="16" t="n">
        <x:v>0.27</x:v>
      </x:c>
      <x:c r="J6330" s="16" t="n">
        <x:v>1.1400000000000001</x:v>
      </x:c>
      <x:c r="K6330" s="11" t="n">
        <x:f>CHOOSE('假设'!$B$3,H6330,I6330,J6330)</x:f>
        <x:v>0.27</x:v>
      </x:c>
      <x:c r="L6330" s="11" t="n">
        <x:f>K6330*'管线假设'!E1355*'管线假设'!F1355*'管线假设'!G1355*IF(E6330="USD",'管线假设'!I1355,1)-AM6330</x:f>
        <x:v>0.04644</x:v>
      </x:c>
      <x:c r="M6330" s="11" t="n">
        <x:f>'管线假设'!H1355</x:f>
        <x:v>0.14</x:v>
      </x:c>
      <x:c r="N6330" s="11" t="n">
        <x:f>IF(G6330,L6330*AN6330/(1+M6330)^F6330,0)</x:f>
        <x:v>0.024121644000368564</x:v>
      </x:c>
      <x:c r="AJ6330" s="42" t="n">
        <x:v>0</x:v>
      </x:c>
      <x:c r="AK6330" s="42" t="n">
        <x:v>0</x:v>
      </x:c>
      <x:c r="AL6330" s="42" t="n">
        <x:v>0</x:v>
      </x:c>
      <x:c r="AM6330" t="n">
        <x:f>CHOOSE('假设'!$B$3,AJ6330,AK6330,AL6330)</x:f>
        <x:v>0</x:v>
      </x:c>
      <x:c r="AN6330" t="n">
        <x:v>1</x:v>
      </x:c>
    </x:row>
    <x:row r="6331" ht="23" customHeight="1">
      <x:c r="A6331" s="11" t="str">
        <x:v>09995.HK</x:v>
      </x:c>
      <x:c r="B6331" s="11" t="str">
        <x:v>2026年底</x:v>
      </x:c>
      <x:c r="C6331" s="11" t="str">
        <x:v>RC18_new_China</x:v>
      </x:c>
      <x:c r="D6331" s="11" t="str">
        <x:v>2032-12-31</x:v>
      </x:c>
      <x:c r="E6331" s="11" t="str">
        <x:v>CNY</x:v>
      </x:c>
      <x:c r="F6331" s="11" t="n">
        <x:v>6.0013689253935665</x:v>
      </x:c>
      <x:c r="G6331" s="26" t="b">
        <x:v>1</x:v>
      </x:c>
      <x:c r="H6331" s="16" t="n">
        <x:v>0.036</x:v>
      </x:c>
      <x:c r="I6331" s="16" t="n">
        <x:v>0.5700000000000001</x:v>
      </x:c>
      <x:c r="J6331" s="16" t="n">
        <x:v>1.9500000000000002</x:v>
      </x:c>
      <x:c r="K6331" s="11" t="n">
        <x:f>CHOOSE('假设'!$B$3,H6331,I6331,J6331)</x:f>
        <x:v>0.5700000000000001</x:v>
      </x:c>
      <x:c r="L6331" s="11" t="n">
        <x:f>K6331*'管线假设'!E1355*'管线假设'!F1355*'管线假设'!G1355*IF(E6331="USD",'管线假设'!I1355,1)-AM6331</x:f>
        <x:v>0.09804000000000002</x:v>
      </x:c>
      <x:c r="M6331" s="11" t="n">
        <x:f>'管线假设'!H1355</x:f>
        <x:v>0.14</x:v>
      </x:c>
      <x:c r="N6331" s="11" t="n">
        <x:f>IF(G6331,L6331*AN6331/(1+M6331)^F6331,0)</x:f>
        <x:v>0.044657694258980085</x:v>
      </x:c>
      <x:c r="AJ6331" s="42" t="n">
        <x:v>0</x:v>
      </x:c>
      <x:c r="AK6331" s="42" t="n">
        <x:v>0</x:v>
      </x:c>
      <x:c r="AL6331" s="42" t="n">
        <x:v>0</x:v>
      </x:c>
      <x:c r="AM6331" t="n">
        <x:f>CHOOSE('假设'!$B$3,AJ6331,AK6331,AL6331)</x:f>
        <x:v>0</x:v>
      </x:c>
      <x:c r="AN6331" t="n">
        <x:v>1</x:v>
      </x:c>
    </x:row>
    <x:row r="6332" ht="23" customHeight="1">
      <x:c r="A6332" s="11" t="str">
        <x:v>09995.HK</x:v>
      </x:c>
      <x:c r="B6332" s="11" t="str">
        <x:v>2026年底</x:v>
      </x:c>
      <x:c r="C6332" s="11" t="str">
        <x:v>RC18_new_China</x:v>
      </x:c>
      <x:c r="D6332" s="11" t="str">
        <x:v>2033-12-31</x:v>
      </x:c>
      <x:c r="E6332" s="11" t="str">
        <x:v>CNY</x:v>
      </x:c>
      <x:c r="F6332" s="11" t="n">
        <x:v>7.000684462696783</x:v>
      </x:c>
      <x:c r="G6332" s="26" t="b">
        <x:v>1</x:v>
      </x:c>
      <x:c r="H6332" s="16" t="n">
        <x:v>0.108</x:v>
      </x:c>
      <x:c r="I6332" s="16" t="n">
        <x:v>0.9750000000000001</x:v>
      </x:c>
      <x:c r="J6332" s="16" t="n">
        <x:v>2.55</x:v>
      </x:c>
      <x:c r="K6332" s="11" t="n">
        <x:f>CHOOSE('假设'!$B$3,H6332,I6332,J6332)</x:f>
        <x:v>0.9750000000000001</x:v>
      </x:c>
      <x:c r="L6332" s="11" t="n">
        <x:f>K6332*'管线假设'!E1355*'管线假设'!F1355*'管线假设'!G1355*IF(E6332="USD",'管线假设'!I1355,1)-AM6332</x:f>
        <x:v>0.16770000000000002</x:v>
      </x:c>
      <x:c r="M6332" s="11" t="n">
        <x:f>'管线假设'!H1355</x:f>
        <x:v>0.14</x:v>
      </x:c>
      <x:c r="N6332" s="11" t="n">
        <x:f>IF(G6332,L6332*AN6332/(1+M6332)^F6332,0)</x:f>
        <x:v>0.06701316871255243</x:v>
      </x:c>
      <x:c r="AJ6332" s="42" t="n">
        <x:v>0</x:v>
      </x:c>
      <x:c r="AK6332" s="42" t="n">
        <x:v>0</x:v>
      </x:c>
      <x:c r="AL6332" s="42" t="n">
        <x:v>0</x:v>
      </x:c>
      <x:c r="AM6332" t="n">
        <x:f>CHOOSE('假设'!$B$3,AJ6332,AK6332,AL6332)</x:f>
        <x:v>0</x:v>
      </x:c>
      <x:c r="AN6332" t="n">
        <x:v>1</x:v>
      </x:c>
    </x:row>
    <x:row r="6333" ht="23" customHeight="1">
      <x:c r="A6333" s="11" t="str">
        <x:v>09995.HK</x:v>
      </x:c>
      <x:c r="B6333" s="11" t="str">
        <x:v>2026年底</x:v>
      </x:c>
      <x:c r="C6333" s="11" t="str">
        <x:v>RC18_new_China</x:v>
      </x:c>
      <x:c r="D6333" s="11" t="str">
        <x:v>2034-12-31</x:v>
      </x:c>
      <x:c r="E6333" s="11" t="str">
        <x:v>CNY</x:v>
      </x:c>
      <x:c r="F6333" s="11" t="n">
        <x:v>8</x:v>
      </x:c>
      <x:c r="G6333" s="26" t="b">
        <x:v>1</x:v>
      </x:c>
      <x:c r="H6333" s="16" t="n">
        <x:v>0.22799999999999998</x:v>
      </x:c>
      <x:c r="I6333" s="16" t="n">
        <x:v>1.275</x:v>
      </x:c>
      <x:c r="J6333" s="16" t="n">
        <x:v>3</x:v>
      </x:c>
      <x:c r="K6333" s="11" t="n">
        <x:f>CHOOSE('假设'!$B$3,H6333,I6333,J6333)</x:f>
        <x:v>1.275</x:v>
      </x:c>
      <x:c r="L6333" s="11" t="n">
        <x:f>K6333*'管线假设'!E1355*'管线假设'!F1355*'管线假设'!G1355*IF(E6333="USD",'管线假设'!I1355,1)-AM6333</x:f>
        <x:v>0.2193</x:v>
      </x:c>
      <x:c r="M6333" s="11" t="n">
        <x:f>'管线假设'!H1355</x:f>
        <x:v>0.14</x:v>
      </x:c>
      <x:c r="N6333" s="11" t="n">
        <x:f>IF(G6333,L6333*AN6333/(1+M6333)^F6333,0)</x:f>
        <x:v>0.07687760072877178</x:v>
      </x:c>
      <x:c r="AJ6333" s="42" t="n">
        <x:v>0</x:v>
      </x:c>
      <x:c r="AK6333" s="42" t="n">
        <x:v>0</x:v>
      </x:c>
      <x:c r="AL6333" s="42" t="n">
        <x:v>0</x:v>
      </x:c>
      <x:c r="AM6333" t="n">
        <x:f>CHOOSE('假设'!$B$3,AJ6333,AK6333,AL6333)</x:f>
        <x:v>0</x:v>
      </x:c>
      <x:c r="AN6333" t="n">
        <x:v>1</x:v>
      </x:c>
    </x:row>
    <x:row r="6334" ht="23" customHeight="1">
      <x:c r="A6334" s="11" t="str">
        <x:v>09995.HK</x:v>
      </x:c>
      <x:c r="B6334" s="11" t="str">
        <x:v>2026年底</x:v>
      </x:c>
      <x:c r="C6334" s="11" t="str">
        <x:v>RC18_new_China</x:v>
      </x:c>
      <x:c r="D6334" s="11" t="str">
        <x:v>2035-12-31</x:v>
      </x:c>
      <x:c r="E6334" s="11" t="str">
        <x:v>CNY</x:v>
      </x:c>
      <x:c r="F6334" s="11" t="n">
        <x:v>8.999315537303216</x:v>
      </x:c>
      <x:c r="G6334" s="26" t="b">
        <x:v>1</x:v>
      </x:c>
      <x:c r="H6334" s="16" t="n">
        <x:v>0.39</x:v>
      </x:c>
      <x:c r="I6334" s="16" t="n">
        <x:v>1.5</x:v>
      </x:c>
      <x:c r="J6334" s="16" t="n">
        <x:v>3</x:v>
      </x:c>
      <x:c r="K6334" s="11" t="n">
        <x:f>CHOOSE('假设'!$B$3,H6334,I6334,J6334)</x:f>
        <x:v>1.5</x:v>
      </x:c>
      <x:c r="L6334" s="11" t="n">
        <x:f>K6334*'管线假设'!E1355*'管线假设'!F1355*'管线假设'!G1355*IF(E6334="USD",'管线假设'!I1355,1)-AM6334</x:f>
        <x:v>0.258</x:v>
      </x:c>
      <x:c r="M6334" s="11" t="n">
        <x:f>'管线假设'!H1355</x:f>
        <x:v>0.14</x:v>
      </x:c>
      <x:c r="N6334" s="11" t="n">
        <x:f>IF(G6334,L6334*AN6334/(1+M6334)^F6334,0)</x:f>
        <x:v>0.07934416483535105</x:v>
      </x:c>
      <x:c r="AJ6334" s="42" t="n">
        <x:v>0</x:v>
      </x:c>
      <x:c r="AK6334" s="42" t="n">
        <x:v>0</x:v>
      </x:c>
      <x:c r="AL6334" s="42" t="n">
        <x:v>0</x:v>
      </x:c>
      <x:c r="AM6334" t="n">
        <x:f>CHOOSE('假设'!$B$3,AJ6334,AK6334,AL6334)</x:f>
        <x:v>0</x:v>
      </x:c>
      <x:c r="AN6334" t="n">
        <x:v>1</x:v>
      </x:c>
    </x:row>
    <x:row r="6335" ht="23" customHeight="1">
      <x:c r="A6335" s="11" t="str">
        <x:v>09995.HK</x:v>
      </x:c>
      <x:c r="B6335" s="11" t="str">
        <x:v>2026年底</x:v>
      </x:c>
      <x:c r="C6335" s="11" t="str">
        <x:v>RC18_new_China</x:v>
      </x:c>
      <x:c r="D6335" s="11" t="str">
        <x:v>2036-12-31</x:v>
      </x:c>
      <x:c r="E6335" s="11" t="str">
        <x:v>CNY</x:v>
      </x:c>
      <x:c r="F6335" s="11" t="n">
        <x:v>10.001368925393566</x:v>
      </x:c>
      <x:c r="G6335" s="26" t="b">
        <x:v>1</x:v>
      </x:c>
      <x:c r="H6335" s="16" t="n">
        <x:v>0.51</x:v>
      </x:c>
      <x:c r="I6335" s="16" t="n">
        <x:v>1.5</x:v>
      </x:c>
      <x:c r="J6335" s="16" t="n">
        <x:v>2.8499999999999996</x:v>
      </x:c>
      <x:c r="K6335" s="11" t="n">
        <x:f>CHOOSE('假设'!$B$3,H6335,I6335,J6335)</x:f>
        <x:v>1.5</x:v>
      </x:c>
      <x:c r="L6335" s="11" t="n">
        <x:f>K6335*'管线假设'!E1355*'管线假设'!F1355*'管线假设'!G1355*IF(E6335="USD",'管线假设'!I1355,1)-AM6335</x:f>
        <x:v>0.258</x:v>
      </x:c>
      <x:c r="M6335" s="11" t="n">
        <x:f>'管线假设'!H1355</x:f>
        <x:v>0.14</x:v>
      </x:c>
      <x:c r="N6335" s="11" t="n">
        <x:f>IF(G6335,L6335*AN6335/(1+M6335)^F6335,0)</x:f>
        <x:v>0.06958142106202644</x:v>
      </x:c>
      <x:c r="AJ6335" s="42" t="n">
        <x:v>0</x:v>
      </x:c>
      <x:c r="AK6335" s="42" t="n">
        <x:v>0</x:v>
      </x:c>
      <x:c r="AL6335" s="42" t="n">
        <x:v>0</x:v>
      </x:c>
      <x:c r="AM6335" t="n">
        <x:f>CHOOSE('假设'!$B$3,AJ6335,AK6335,AL6335)</x:f>
        <x:v>0</x:v>
      </x:c>
      <x:c r="AN6335" t="n">
        <x:v>1</x:v>
      </x:c>
    </x:row>
    <x:row r="6336" ht="23" customHeight="1">
      <x:c r="A6336" s="11" t="str">
        <x:v>09995.HK</x:v>
      </x:c>
      <x:c r="B6336" s="11" t="str">
        <x:v>2026年底</x:v>
      </x:c>
      <x:c r="C6336" s="11" t="str">
        <x:v>RC18_new_China</x:v>
      </x:c>
      <x:c r="D6336" s="11" t="str">
        <x:v>2037-12-31</x:v>
      </x:c>
      <x:c r="E6336" s="11" t="str">
        <x:v>CNY</x:v>
      </x:c>
      <x:c r="F6336" s="11" t="n">
        <x:v>11.000684462696784</x:v>
      </x:c>
      <x:c r="G6336" s="26" t="b">
        <x:v>1</x:v>
      </x:c>
      <x:c r="H6336" s="16" t="n">
        <x:v>0.6</x:v>
      </x:c>
      <x:c r="I6336" s="16" t="n">
        <x:v>1.4249999999999998</x:v>
      </x:c>
      <x:c r="J6336" s="16" t="n">
        <x:v>2.7</x:v>
      </x:c>
      <x:c r="K6336" s="11" t="n">
        <x:f>CHOOSE('假设'!$B$3,H6336,I6336,J6336)</x:f>
        <x:v>1.4249999999999998</x:v>
      </x:c>
      <x:c r="L6336" s="11" t="n">
        <x:f>K6336*'管线假设'!E1355*'管线假设'!F1355*'管线假设'!G1355*IF(E6336="USD",'管线假设'!I1355,1)-AM6336</x:f>
        <x:v>0.24509999999999998</x:v>
      </x:c>
      <x:c r="M6336" s="11" t="n">
        <x:f>'管线假设'!H1355</x:f>
        <x:v>0.14</x:v>
      </x:c>
      <x:c r="N6336" s="11" t="n">
        <x:f>IF(G6336,L6336*AN6336/(1+M6336)^F6336,0)</x:f>
        <x:v>0.05798971806591411</x:v>
      </x:c>
      <x:c r="AJ6336" s="42" t="n">
        <x:v>0</x:v>
      </x:c>
      <x:c r="AK6336" s="42" t="n">
        <x:v>0</x:v>
      </x:c>
      <x:c r="AL6336" s="42" t="n">
        <x:v>0</x:v>
      </x:c>
      <x:c r="AM6336" t="n">
        <x:f>CHOOSE('假设'!$B$3,AJ6336,AK6336,AL6336)</x:f>
        <x:v>0</x:v>
      </x:c>
      <x:c r="AN6336" t="n">
        <x:v>1</x:v>
      </x:c>
    </x:row>
    <x:row r="6337" ht="23" customHeight="1">
      <x:c r="A6337" s="11" t="str">
        <x:v>09995.HK</x:v>
      </x:c>
      <x:c r="B6337" s="11" t="str">
        <x:v>2026年底</x:v>
      </x:c>
      <x:c r="C6337" s="11" t="str">
        <x:v>RC18_new_China</x:v>
      </x:c>
      <x:c r="D6337" s="11" t="str">
        <x:v>2038-12-31</x:v>
      </x:c>
      <x:c r="E6337" s="11" t="str">
        <x:v>CNY</x:v>
      </x:c>
      <x:c r="F6337" s="11" t="n">
        <x:v>12</x:v>
      </x:c>
      <x:c r="G6337" s="26" t="b">
        <x:v>1</x:v>
      </x:c>
      <x:c r="H6337" s="16" t="n">
        <x:v>0.6</x:v>
      </x:c>
      <x:c r="I6337" s="16" t="n">
        <x:v>1.35</x:v>
      </x:c>
      <x:c r="J6337" s="16" t="n">
        <x:v>2.4000000000000004</x:v>
      </x:c>
      <x:c r="K6337" s="11" t="n">
        <x:f>CHOOSE('假设'!$B$3,H6337,I6337,J6337)</x:f>
        <x:v>1.35</x:v>
      </x:c>
      <x:c r="L6337" s="11" t="n">
        <x:f>K6337*'管线假设'!E1355*'管线假设'!F1355*'管线假设'!G1355*IF(E6337="USD",'管线假设'!I1355,1)-AM6337</x:f>
        <x:v>0.23220000000000002</x:v>
      </x:c>
      <x:c r="M6337" s="11" t="n">
        <x:f>'管线假设'!H1355</x:f>
        <x:v>0.14</x:v>
      </x:c>
      <x:c r="N6337" s="11" t="n">
        <x:f>IF(G6337,L6337*AN6337/(1+M6337)^F6337,0)</x:f>
        <x:v>0.048195223584401516</x:v>
      </x:c>
      <x:c r="AJ6337" s="42" t="n">
        <x:v>0</x:v>
      </x:c>
      <x:c r="AK6337" s="42" t="n">
        <x:v>0</x:v>
      </x:c>
      <x:c r="AL6337" s="42" t="n">
        <x:v>0</x:v>
      </x:c>
      <x:c r="AM6337" t="n">
        <x:f>CHOOSE('假设'!$B$3,AJ6337,AK6337,AL6337)</x:f>
        <x:v>0</x:v>
      </x:c>
      <x:c r="AN6337" t="n">
        <x:v>1</x:v>
      </x:c>
    </x:row>
    <x:row r="6338" ht="23" customHeight="1">
      <x:c r="A6338" s="11" t="str">
        <x:v>09995.HK</x:v>
      </x:c>
      <x:c r="B6338" s="11" t="str">
        <x:v>2026年底</x:v>
      </x:c>
      <x:c r="C6338" s="11" t="str">
        <x:v>RC18_new_China</x:v>
      </x:c>
      <x:c r="D6338" s="11" t="str">
        <x:v>2039-12-31</x:v>
      </x:c>
      <x:c r="E6338" s="11" t="str">
        <x:v>CNY</x:v>
      </x:c>
      <x:c r="F6338" s="11" t="n">
        <x:v>12.999315537303216</x:v>
      </x:c>
      <x:c r="G6338" s="26" t="b">
        <x:v>1</x:v>
      </x:c>
      <x:c r="H6338" s="16" t="n">
        <x:v>0.57</x:v>
      </x:c>
      <x:c r="I6338" s="16" t="n">
        <x:v>1.2000000000000002</x:v>
      </x:c>
      <x:c r="J6338" s="16" t="n">
        <x:v>1.9500000000000002</x:v>
      </x:c>
      <x:c r="K6338" s="11" t="n">
        <x:f>CHOOSE('假设'!$B$3,H6338,I6338,J6338)</x:f>
        <x:v>1.2000000000000002</x:v>
      </x:c>
      <x:c r="L6338" s="11" t="n">
        <x:f>K6338*'管线假设'!E1355*'管线假设'!F1355*'管线假设'!G1355*IF(E6338="USD",'管线假设'!I1355,1)-AM6338</x:f>
        <x:v>0.20640000000000003</x:v>
      </x:c>
      <x:c r="M6338" s="11" t="n">
        <x:f>'管线假设'!H1355</x:f>
        <x:v>0.14</x:v>
      </x:c>
      <x:c r="N6338" s="11" t="n">
        <x:f>IF(G6338,L6338*AN6338/(1+M6338)^F6338,0)</x:f>
        <x:v>0.03758249209873655</x:v>
      </x:c>
      <x:c r="AJ6338" s="42" t="n">
        <x:v>0</x:v>
      </x:c>
      <x:c r="AK6338" s="42" t="n">
        <x:v>0</x:v>
      </x:c>
      <x:c r="AL6338" s="42" t="n">
        <x:v>0</x:v>
      </x:c>
      <x:c r="AM6338" t="n">
        <x:f>CHOOSE('假设'!$B$3,AJ6338,AK6338,AL6338)</x:f>
        <x:v>0</x:v>
      </x:c>
      <x:c r="AN6338" t="n">
        <x:v>1</x:v>
      </x:c>
    </x:row>
    <x:row r="6339" ht="23" customHeight="1">
      <x:c r="A6339" s="11" t="str">
        <x:v>09995.HK</x:v>
      </x:c>
      <x:c r="B6339" s="11" t="str">
        <x:v>2026年底</x:v>
      </x:c>
      <x:c r="C6339" s="11" t="str">
        <x:v>RC18_new_China</x:v>
      </x:c>
      <x:c r="D6339" s="11" t="str">
        <x:v>2040-12-31</x:v>
      </x:c>
      <x:c r="E6339" s="11" t="str">
        <x:v>CNY</x:v>
      </x:c>
      <x:c r="F6339" s="11" t="n">
        <x:v>14.001368925393566</x:v>
      </x:c>
      <x:c r="G6339" s="26" t="b">
        <x:v>1</x:v>
      </x:c>
      <x:c r="H6339" s="16" t="n">
        <x:v>0.54</x:v>
      </x:c>
      <x:c r="I6339" s="16" t="n">
        <x:v>0.9750000000000001</x:v>
      </x:c>
      <x:c r="J6339" s="16" t="n">
        <x:v>1.5</x:v>
      </x:c>
      <x:c r="K6339" s="11" t="n">
        <x:f>CHOOSE('假设'!$B$3,H6339,I6339,J6339)</x:f>
        <x:v>0.9750000000000001</x:v>
      </x:c>
      <x:c r="L6339" s="11" t="n">
        <x:f>K6339*'管线假设'!E1355*'管线假设'!F1355*'管线假设'!G1355*IF(E6339="USD",'管线假设'!I1355,1)-AM6339</x:f>
        <x:v>0.16770000000000002</x:v>
      </x:c>
      <x:c r="M6339" s="11" t="n">
        <x:f>'管线假设'!H1355</x:f>
        <x:v>0.14</x:v>
      </x:c>
      <x:c r="N6339" s="11" t="n">
        <x:f>IF(G6339,L6339*AN6339/(1+M6339)^F6339,0)</x:f>
        <x:v>0.026778561603440765</x:v>
      </x:c>
      <x:c r="AJ6339" s="42" t="n">
        <x:v>0</x:v>
      </x:c>
      <x:c r="AK6339" s="42" t="n">
        <x:v>0</x:v>
      </x:c>
      <x:c r="AL6339" s="42" t="n">
        <x:v>0</x:v>
      </x:c>
      <x:c r="AM6339" t="n">
        <x:f>CHOOSE('假设'!$B$3,AJ6339,AK6339,AL6339)</x:f>
        <x:v>0</x:v>
      </x:c>
      <x:c r="AN6339" t="n">
        <x:v>1</x:v>
      </x:c>
    </x:row>
    <x:row r="6340" ht="23" customHeight="1">
      <x:c r="A6340" s="11" t="str">
        <x:v>09995.HK</x:v>
      </x:c>
      <x:c r="B6340" s="11" t="str">
        <x:v>2026年底</x:v>
      </x:c>
      <x:c r="C6340" s="11" t="str">
        <x:v>RC18_new_China</x:v>
      </x:c>
      <x:c r="D6340" s="11" t="str">
        <x:v>2041-12-31</x:v>
      </x:c>
      <x:c r="E6340" s="11" t="str">
        <x:v>CNY</x:v>
      </x:c>
      <x:c r="F6340" s="11" t="n">
        <x:v>15.000684462696784</x:v>
      </x:c>
      <x:c r="G6340" s="26" t="b">
        <x:v>1</x:v>
      </x:c>
      <x:c r="H6340" s="16" t="n">
        <x:v>0.48</x:v>
      </x:c>
      <x:c r="I6340" s="16" t="n">
        <x:v>0.75</x:v>
      </x:c>
      <x:c r="J6340" s="16" t="n">
        <x:v>1.0499999999999998</x:v>
      </x:c>
      <x:c r="K6340" s="11" t="n">
        <x:f>CHOOSE('假设'!$B$3,H6340,I6340,J6340)</x:f>
        <x:v>0.75</x:v>
      </x:c>
      <x:c r="L6340" s="11" t="n">
        <x:f>K6340*'管线假设'!E1355*'管线假设'!F1355*'管线假设'!G1355*IF(E6340="USD",'管线假设'!I1355,1)-AM6340</x:f>
        <x:v>0.129</x:v>
      </x:c>
      <x:c r="M6340" s="11" t="n">
        <x:f>'管线假设'!H1355</x:f>
        <x:v>0.14</x:v>
      </x:c>
      <x:c r="N6340" s="11" t="n">
        <x:f>IF(G6340,L6340*AN6340/(1+M6340)^F6340,0)</x:f>
        <x:v>0.01807082545109764</x:v>
      </x:c>
      <x:c r="AJ6340" s="42" t="n">
        <x:v>0</x:v>
      </x:c>
      <x:c r="AK6340" s="42" t="n">
        <x:v>0</x:v>
      </x:c>
      <x:c r="AL6340" s="42" t="n">
        <x:v>0</x:v>
      </x:c>
      <x:c r="AM6340" t="n">
        <x:f>CHOOSE('假设'!$B$3,AJ6340,AK6340,AL6340)</x:f>
        <x:v>0</x:v>
      </x:c>
      <x:c r="AN6340" t="n">
        <x:v>1</x:v>
      </x:c>
    </x:row>
    <x:row r="6341" ht="23" customHeight="1">
      <x:c r="A6341" s="11" t="str">
        <x:v>09995.HK</x:v>
      </x:c>
      <x:c r="B6341" s="11" t="str">
        <x:v>2026年底</x:v>
      </x:c>
      <x:c r="C6341" s="11" t="str">
        <x:v>RC18_new_China</x:v>
      </x:c>
      <x:c r="D6341" s="11" t="str">
        <x:v>2042-12-31</x:v>
      </x:c>
      <x:c r="E6341" s="11" t="str">
        <x:v>CNY</x:v>
      </x:c>
      <x:c r="F6341" s="11" t="n">
        <x:v>16</x:v>
      </x:c>
      <x:c r="G6341" s="26" t="b">
        <x:v>1</x:v>
      </x:c>
      <x:c r="H6341" s="16" t="n">
        <x:v>0.39</x:v>
      </x:c>
      <x:c r="I6341" s="16" t="n">
        <x:v>0.5249999999999999</x:v>
      </x:c>
      <x:c r="J6341" s="16" t="n">
        <x:v>0.6000000000000001</x:v>
      </x:c>
      <x:c r="K6341" s="11" t="n">
        <x:f>CHOOSE('假设'!$B$3,H6341,I6341,J6341)</x:f>
        <x:v>0.5249999999999999</x:v>
      </x:c>
      <x:c r="L6341" s="11" t="n">
        <x:f>K6341*'管线假设'!E1355*'管线假设'!F1355*'管线假设'!G1355*IF(E6341="USD",'管线假设'!I1355,1)-AM6341</x:f>
        <x:v>0.09029999999999998</x:v>
      </x:c>
      <x:c r="M6341" s="11" t="n">
        <x:f>'管线假设'!H1355</x:f>
        <x:v>0.14</x:v>
      </x:c>
      <x:c r="N6341" s="11" t="n">
        <x:f>IF(G6341,L6341*AN6341/(1+M6341)^F6341,0)</x:f>
        <x:v>0.011097116079688621</x:v>
      </x:c>
      <x:c r="AJ6341" s="42" t="n">
        <x:v>0</x:v>
      </x:c>
      <x:c r="AK6341" s="42" t="n">
        <x:v>0</x:v>
      </x:c>
      <x:c r="AL6341" s="42" t="n">
        <x:v>0</x:v>
      </x:c>
      <x:c r="AM6341" t="n">
        <x:f>CHOOSE('假设'!$B$3,AJ6341,AK6341,AL6341)</x:f>
        <x:v>0</x:v>
      </x:c>
      <x:c r="AN6341" t="n">
        <x:v>1</x:v>
      </x:c>
    </x:row>
    <x:row r="6342" ht="23" customHeight="1">
      <x:c r="A6342" s="11" t="str">
        <x:v>09995.HK</x:v>
      </x:c>
      <x:c r="B6342" s="11" t="str">
        <x:v>2026年底</x:v>
      </x:c>
      <x:c r="C6342" s="11" t="str">
        <x:v>RC18_new_China</x:v>
      </x:c>
      <x:c r="D6342" s="11" t="str">
        <x:v>2043-12-31</x:v>
      </x:c>
      <x:c r="E6342" s="11" t="str">
        <x:v>CNY</x:v>
      </x:c>
      <x:c r="F6342" s="11" t="n">
        <x:v>16.999315537303218</x:v>
      </x:c>
      <x:c r="G6342" s="26" t="b">
        <x:v>1</x:v>
      </x:c>
      <x:c r="H6342" s="16" t="n">
        <x:v>0.3</x:v>
      </x:c>
      <x:c r="I6342" s="16" t="n">
        <x:v>0.30000000000000004</x:v>
      </x:c>
      <x:c r="J6342" s="16" t="n">
        <x:v>0.36</x:v>
      </x:c>
      <x:c r="K6342" s="11" t="n">
        <x:f>CHOOSE('假设'!$B$3,H6342,I6342,J6342)</x:f>
        <x:v>0.30000000000000004</x:v>
      </x:c>
      <x:c r="L6342" s="11" t="n">
        <x:f>K6342*'管线假设'!E1355*'管线假设'!F1355*'管线假设'!G1355*IF(E6342="USD",'管线假设'!I1355,1)-AM6342</x:f>
        <x:v>0.05160000000000001</x:v>
      </x:c>
      <x:c r="M6342" s="11" t="n">
        <x:f>'管线假设'!H1355</x:f>
        <x:v>0.14</x:v>
      </x:c>
      <x:c r="N6342" s="11" t="n">
        <x:f>IF(G6342,L6342*AN6342/(1+M6342)^F6342,0)</x:f>
        <x:v>0.005562963086520721</x:v>
      </x:c>
      <x:c r="AJ6342" s="42" t="n">
        <x:v>0</x:v>
      </x:c>
      <x:c r="AK6342" s="42" t="n">
        <x:v>0</x:v>
      </x:c>
      <x:c r="AL6342" s="42" t="n">
        <x:v>0</x:v>
      </x:c>
      <x:c r="AM6342" t="n">
        <x:f>CHOOSE('假设'!$B$3,AJ6342,AK6342,AL6342)</x:f>
        <x:v>0</x:v>
      </x:c>
      <x:c r="AN6342" t="n">
        <x:v>1</x:v>
      </x:c>
    </x:row>
    <x:row r="6343" ht="23" customHeight="1">
      <x:c r="A6343" s="11" t="str">
        <x:v>09995.HK</x:v>
      </x:c>
      <x:c r="B6343" s="11" t="str">
        <x:v>2026年底</x:v>
      </x:c>
      <x:c r="C6343" s="11" t="str">
        <x:v>RC18_new_China</x:v>
      </x:c>
      <x:c r="D6343" s="11" t="str">
        <x:v>2044-12-31</x:v>
      </x:c>
      <x:c r="E6343" s="11" t="str">
        <x:v>CNY</x:v>
      </x:c>
      <x:c r="F6343" s="11" t="n">
        <x:v>18.001368925393567</x:v>
      </x:c>
      <x:c r="G6343" s="26" t="b">
        <x:v>1</x:v>
      </x:c>
      <x:c r="H6343" s="16" t="n">
        <x:v>0.21</x:v>
      </x:c>
      <x:c r="I6343" s="16" t="n">
        <x:v>0.18</x:v>
      </x:c>
      <x:c r="J6343" s="16" t="n">
        <x:v>0.21000000000000002</x:v>
      </x:c>
      <x:c r="K6343" s="11" t="n">
        <x:f>CHOOSE('假设'!$B$3,H6343,I6343,J6343)</x:f>
        <x:v>0.18</x:v>
      </x:c>
      <x:c r="L6343" s="11" t="n">
        <x:f>K6343*'管线假设'!E1355*'管线假设'!F1355*'管线假设'!G1355*IF(E6343="USD",'管线假设'!I1355,1)-AM6343</x:f>
        <x:v>0.030959999999999998</x:v>
      </x:c>
      <x:c r="M6343" s="11" t="n">
        <x:f>'管线假设'!H1355</x:f>
        <x:v>0.14</x:v>
      </x:c>
      <x:c r="N6343" s="11" t="n">
        <x:f>IF(G6343,L6343*AN6343/(1+M6343)^F6343,0)</x:f>
        <x:v>0.0029270876643212136</x:v>
      </x:c>
      <x:c r="AJ6343" s="42" t="n">
        <x:v>0</x:v>
      </x:c>
      <x:c r="AK6343" s="42" t="n">
        <x:v>0</x:v>
      </x:c>
      <x:c r="AL6343" s="42" t="n">
        <x:v>0</x:v>
      </x:c>
      <x:c r="AM6343" t="n">
        <x:f>CHOOSE('假设'!$B$3,AJ6343,AK6343,AL6343)</x:f>
        <x:v>0</x:v>
      </x:c>
      <x:c r="AN6343" t="n">
        <x:v>1</x:v>
      </x:c>
    </x:row>
    <x:row r="6344" ht="23" customHeight="1">
      <x:c r="A6344" s="11" t="str">
        <x:v>09995.HK</x:v>
      </x:c>
      <x:c r="B6344" s="11" t="str">
        <x:v>2026年底</x:v>
      </x:c>
      <x:c r="C6344" s="11" t="str">
        <x:v>RC48_new_China</x:v>
      </x:c>
      <x:c r="D6344" s="11" t="str">
        <x:v>2026-12-31</x:v>
      </x:c>
      <x:c r="E6344" s="11" t="str">
        <x:v>CNY</x:v>
      </x:c>
      <x:c r="F6344" s="11" t="n">
        <x:v>0</x:v>
      </x:c>
      <x:c r="G6344" s="26" t="b">
        <x:v>0</x:v>
      </x:c>
      <x:c r="H6344" s="16" t="n">
        <x:v>0</x:v>
      </x:c>
      <x:c r="I6344" s="16" t="n">
        <x:v>0</x:v>
      </x:c>
      <x:c r="J6344" s="16" t="n">
        <x:v>0</x:v>
      </x:c>
      <x:c r="K6344" s="11" t="n">
        <x:f>CHOOSE('假设'!$B$3,H6344,I6344,J6344)</x:f>
        <x:v>0</x:v>
      </x:c>
      <x:c r="L6344" s="11" t="n">
        <x:f>K6344*'管线假设'!E1359*'管线假设'!F1359*'管线假设'!G1359*IF(E6344="USD",'管线假设'!I1359,1)-AM6344</x:f>
        <x:v>-0.15</x:v>
      </x:c>
      <x:c r="M6344" s="11" t="n">
        <x:f>'管线假设'!H1359</x:f>
        <x:v>0.14</x:v>
      </x:c>
      <x:c r="N6344" s="11" t="n">
        <x:f>IF(G6344,L6344*AN6344/(1+M6344)^F6344,0)</x:f>
        <x:v>0</x:v>
      </x:c>
      <x:c r="AJ6344" s="42" t="n">
        <x:v>0.08</x:v>
      </x:c>
      <x:c r="AK6344" s="42" t="n">
        <x:v>0.15</x:v>
      </x:c>
      <x:c r="AL6344" s="42" t="n">
        <x:v>0.2</x:v>
      </x:c>
      <x:c r="AM6344" t="n">
        <x:f>CHOOSE('假设'!$B$3,AJ6344,AK6344,AL6344)</x:f>
        <x:v>0.15</x:v>
      </x:c>
      <x:c r="AN6344" t="n">
        <x:v>0</x:v>
      </x:c>
    </x:row>
    <x:row r="6345" ht="23" customHeight="1">
      <x:c r="A6345" s="11" t="str">
        <x:v>09995.HK</x:v>
      </x:c>
      <x:c r="B6345" s="11" t="str">
        <x:v>2026年底</x:v>
      </x:c>
      <x:c r="C6345" s="11" t="str">
        <x:v>RC48_new_China</x:v>
      </x:c>
      <x:c r="D6345" s="11" t="str">
        <x:v>2027-12-31</x:v>
      </x:c>
      <x:c r="E6345" s="11" t="str">
        <x:v>CNY</x:v>
      </x:c>
      <x:c r="F6345" s="11" t="n">
        <x:v>0.999315537303217</x:v>
      </x:c>
      <x:c r="G6345" s="26" t="b">
        <x:v>1</x:v>
      </x:c>
      <x:c r="H6345" s="16" t="n">
        <x:v>0</x:v>
      </x:c>
      <x:c r="I6345" s="16" t="n">
        <x:v>0</x:v>
      </x:c>
      <x:c r="J6345" s="16" t="n">
        <x:v>0</x:v>
      </x:c>
      <x:c r="K6345" s="11" t="n">
        <x:f>CHOOSE('假设'!$B$3,H6345,I6345,J6345)</x:f>
        <x:v>0</x:v>
      </x:c>
      <x:c r="L6345" s="11" t="n">
        <x:f>K6345*'管线假设'!E1359*'管线假设'!F1359*'管线假设'!G1359*IF(E6345="USD",'管线假设'!I1359,1)-AM6345</x:f>
        <x:v>-0.18</x:v>
      </x:c>
      <x:c r="M6345" s="11" t="n">
        <x:f>'管线假设'!H1359</x:f>
        <x:v>0.14</x:v>
      </x:c>
      <x:c r="N6345" s="11" t="n">
        <x:f>IF(G6345,L6345*AN6345/(1+M6345)^F6345,0)</x:f>
        <x:v>-0.157908898102037</x:v>
      </x:c>
      <x:c r="AJ6345" s="42" t="n">
        <x:v>0.08</x:v>
      </x:c>
      <x:c r="AK6345" s="42" t="n">
        <x:v>0.18</x:v>
      </x:c>
      <x:c r="AL6345" s="42" t="n">
        <x:v>0.24</x:v>
      </x:c>
      <x:c r="AM6345" t="n">
        <x:f>CHOOSE('假设'!$B$3,AJ6345,AK6345,AL6345)</x:f>
        <x:v>0.18</x:v>
      </x:c>
      <x:c r="AN6345" t="n">
        <x:v>1</x:v>
      </x:c>
    </x:row>
    <x:row r="6346" ht="23" customHeight="1">
      <x:c r="A6346" s="11" t="str">
        <x:v>09995.HK</x:v>
      </x:c>
      <x:c r="B6346" s="11" t="str">
        <x:v>2026年底</x:v>
      </x:c>
      <x:c r="C6346" s="11" t="str">
        <x:v>RC48_new_China</x:v>
      </x:c>
      <x:c r="D6346" s="11" t="str">
        <x:v>2028-12-31</x:v>
      </x:c>
      <x:c r="E6346" s="11" t="str">
        <x:v>CNY</x:v>
      </x:c>
      <x:c r="F6346" s="11" t="n">
        <x:v>2.001368925393566</x:v>
      </x:c>
      <x:c r="G6346" s="26" t="b">
        <x:v>1</x:v>
      </x:c>
      <x:c r="H6346" s="16" t="n">
        <x:v>0</x:v>
      </x:c>
      <x:c r="I6346" s="16" t="n">
        <x:v>0</x:v>
      </x:c>
      <x:c r="J6346" s="16" t="n">
        <x:v>0.36</x:v>
      </x:c>
      <x:c r="K6346" s="11" t="n">
        <x:f>CHOOSE('假设'!$B$3,H6346,I6346,J6346)</x:f>
        <x:v>0</x:v>
      </x:c>
      <x:c r="L6346" s="11" t="n">
        <x:f>K6346*'管线假设'!E1359*'管线假设'!F1359*'管线假设'!G1359*IF(E6346="USD",'管线假设'!I1359,1)-AM6346</x:f>
        <x:v>-0.15</x:v>
      </x:c>
      <x:c r="M6346" s="11" t="n">
        <x:f>'管线假设'!H1359</x:f>
        <x:v>0.14</x:v>
      </x:c>
      <x:c r="N6346" s="11" t="n">
        <x:f>IF(G6346,L6346*AN6346/(1+M6346)^F6346,0)</x:f>
        <x:v>-0.11539942845911583</x:v>
      </x:c>
      <x:c r="AJ6346" s="42" t="n">
        <x:v>0.07</x:v>
      </x:c>
      <x:c r="AK6346" s="42" t="n">
        <x:v>0.15</x:v>
      </x:c>
      <x:c r="AL6346" s="42" t="n">
        <x:v>0.2</x:v>
      </x:c>
      <x:c r="AM6346" t="n">
        <x:f>CHOOSE('假设'!$B$3,AJ6346,AK6346,AL6346)</x:f>
        <x:v>0.15</x:v>
      </x:c>
      <x:c r="AN6346" t="n">
        <x:v>1</x:v>
      </x:c>
    </x:row>
    <x:row r="6347" ht="23" customHeight="1">
      <x:c r="A6347" s="11" t="str">
        <x:v>09995.HK</x:v>
      </x:c>
      <x:c r="B6347" s="11" t="str">
        <x:v>2026年底</x:v>
      </x:c>
      <x:c r="C6347" s="11" t="str">
        <x:v>RC48_new_China</x:v>
      </x:c>
      <x:c r="D6347" s="11" t="str">
        <x:v>2029-12-31</x:v>
      </x:c>
      <x:c r="E6347" s="11" t="str">
        <x:v>CNY</x:v>
      </x:c>
      <x:c r="F6347" s="11" t="n">
        <x:v>3.0006844626967832</x:v>
      </x:c>
      <x:c r="G6347" s="26" t="b">
        <x:v>1</x:v>
      </x:c>
      <x:c r="H6347" s="16" t="n">
        <x:v>0</x:v>
      </x:c>
      <x:c r="I6347" s="16" t="n">
        <x:v>0.18</x:v>
      </x:c>
      <x:c r="J6347" s="16" t="n">
        <x:v>1.08</x:v>
      </x:c>
      <x:c r="K6347" s="11" t="n">
        <x:f>CHOOSE('假设'!$B$3,H6347,I6347,J6347)</x:f>
        <x:v>0.18</x:v>
      </x:c>
      <x:c r="L6347" s="11" t="n">
        <x:f>K6347*'管线假设'!E1359*'管线假设'!F1359*'管线假设'!G1359*IF(E6347="USD",'管线假设'!I1359,1)-AM6347</x:f>
        <x:v>-0.0567</x:v>
      </x:c>
      <x:c r="M6347" s="11" t="n">
        <x:f>'管线假设'!H1359</x:f>
        <x:v>0.14</x:v>
      </x:c>
      <x:c r="N6347" s="11" t="n">
        <x:f>IF(G6347,L6347*AN6347/(1+M6347)^F6347,0)</x:f>
        <x:v>-0.038267452838126055</x:v>
      </x:c>
      <x:c r="AJ6347" s="42" t="n">
        <x:v>0</x:v>
      </x:c>
      <x:c r="AK6347" s="42" t="n">
        <x:v>0.09</x:v>
      </x:c>
      <x:c r="AL6347" s="42" t="n">
        <x:v>0.12</x:v>
      </x:c>
      <x:c r="AM6347" t="n">
        <x:f>CHOOSE('假设'!$B$3,AJ6347,AK6347,AL6347)</x:f>
        <x:v>0.09</x:v>
      </x:c>
      <x:c r="AN6347" t="n">
        <x:v>1</x:v>
      </x:c>
    </x:row>
    <x:row r="6348" ht="23" customHeight="1">
      <x:c r="A6348" s="11" t="str">
        <x:v>09995.HK</x:v>
      </x:c>
      <x:c r="B6348" s="11" t="str">
        <x:v>2026年底</x:v>
      </x:c>
      <x:c r="C6348" s="11" t="str">
        <x:v>RC48_new_China</x:v>
      </x:c>
      <x:c r="D6348" s="11" t="str">
        <x:v>2030-12-31</x:v>
      </x:c>
      <x:c r="E6348" s="11" t="str">
        <x:v>CNY</x:v>
      </x:c>
      <x:c r="F6348" s="11" t="n">
        <x:v>4</x:v>
      </x:c>
      <x:c r="G6348" s="26" t="b">
        <x:v>1</x:v>
      </x:c>
      <x:c r="H6348" s="16" t="n">
        <x:v>0</x:v>
      </x:c>
      <x:c r="I6348" s="16" t="n">
        <x:v>0.54</x:v>
      </x:c>
      <x:c r="J6348" s="16" t="n">
        <x:v>2.2800000000000002</x:v>
      </x:c>
      <x:c r="K6348" s="11" t="n">
        <x:f>CHOOSE('假设'!$B$3,H6348,I6348,J6348)</x:f>
        <x:v>0.54</x:v>
      </x:c>
      <x:c r="L6348" s="11" t="n">
        <x:f>K6348*'管线假设'!E1359*'管线假设'!F1359*'管线假设'!G1359*IF(E6348="USD",'管线假设'!I1359,1)-AM6348</x:f>
        <x:v>0.0999</x:v>
      </x:c>
      <x:c r="M6348" s="11" t="n">
        <x:f>'管线假设'!H1359</x:f>
        <x:v>0.14</x:v>
      </x:c>
      <x:c r="N6348" s="11" t="n">
        <x:f>IF(G6348,L6348*AN6348/(1+M6348)^F6348,0)</x:f>
        <x:v>0.05914881970928192</x:v>
      </x:c>
      <x:c r="AJ6348" s="42" t="n">
        <x:v>0</x:v>
      </x:c>
      <x:c r="AK6348" s="42" t="n">
        <x:v>0</x:v>
      </x:c>
      <x:c r="AL6348" s="42" t="n">
        <x:v>0</x:v>
      </x:c>
      <x:c r="AM6348" t="n">
        <x:f>CHOOSE('假设'!$B$3,AJ6348,AK6348,AL6348)</x:f>
        <x:v>0</x:v>
      </x:c>
      <x:c r="AN6348" t="n">
        <x:v>1</x:v>
      </x:c>
    </x:row>
    <x:row r="6349" ht="23" customHeight="1">
      <x:c r="A6349" s="11" t="str">
        <x:v>09995.HK</x:v>
      </x:c>
      <x:c r="B6349" s="11" t="str">
        <x:v>2026年底</x:v>
      </x:c>
      <x:c r="C6349" s="11" t="str">
        <x:v>RC48_new_China</x:v>
      </x:c>
      <x:c r="D6349" s="11" t="str">
        <x:v>2031-12-31</x:v>
      </x:c>
      <x:c r="E6349" s="11" t="str">
        <x:v>CNY</x:v>
      </x:c>
      <x:c r="F6349" s="11" t="n">
        <x:v>4.999315537303217</x:v>
      </x:c>
      <x:c r="G6349" s="26" t="b">
        <x:v>1</x:v>
      </x:c>
      <x:c r="H6349" s="16" t="n">
        <x:v>0</x:v>
      </x:c>
      <x:c r="I6349" s="16" t="n">
        <x:v>1.1400000000000001</x:v>
      </x:c>
      <x:c r="J6349" s="16" t="n">
        <x:v>3.9000000000000004</x:v>
      </x:c>
      <x:c r="K6349" s="11" t="n">
        <x:f>CHOOSE('假设'!$B$3,H6349,I6349,J6349)</x:f>
        <x:v>1.1400000000000001</x:v>
      </x:c>
      <x:c r="L6349" s="11" t="n">
        <x:f>K6349*'管线假设'!E1359*'管线假设'!F1359*'管线假设'!G1359*IF(E6349="USD",'管线假设'!I1359,1)-AM6349</x:f>
        <x:v>0.21090000000000003</x:v>
      </x:c>
      <x:c r="M6349" s="11" t="n">
        <x:f>'管线假设'!H1359</x:f>
        <x:v>0.14</x:v>
      </x:c>
      <x:c r="N6349" s="11" t="n">
        <x:f>IF(G6349,L6349*AN6349/(1+M6349)^F6349,0)</x:f>
        <x:v>0.10954467527299162</x:v>
      </x:c>
      <x:c r="AJ6349" s="42" t="n">
        <x:v>0</x:v>
      </x:c>
      <x:c r="AK6349" s="42" t="n">
        <x:v>0</x:v>
      </x:c>
      <x:c r="AL6349" s="42" t="n">
        <x:v>0</x:v>
      </x:c>
      <x:c r="AM6349" t="n">
        <x:f>CHOOSE('假设'!$B$3,AJ6349,AK6349,AL6349)</x:f>
        <x:v>0</x:v>
      </x:c>
      <x:c r="AN6349" t="n">
        <x:v>1</x:v>
      </x:c>
    </x:row>
    <x:row r="6350" ht="23" customHeight="1">
      <x:c r="A6350" s="11" t="str">
        <x:v>09995.HK</x:v>
      </x:c>
      <x:c r="B6350" s="11" t="str">
        <x:v>2026年底</x:v>
      </x:c>
      <x:c r="C6350" s="11" t="str">
        <x:v>RC48_new_China</x:v>
      </x:c>
      <x:c r="D6350" s="11" t="str">
        <x:v>2032-12-31</x:v>
      </x:c>
      <x:c r="E6350" s="11" t="str">
        <x:v>CNY</x:v>
      </x:c>
      <x:c r="F6350" s="11" t="n">
        <x:v>6.0013689253935665</x:v>
      </x:c>
      <x:c r="G6350" s="26" t="b">
        <x:v>1</x:v>
      </x:c>
      <x:c r="H6350" s="16" t="n">
        <x:v>0.06</x:v>
      </x:c>
      <x:c r="I6350" s="16" t="n">
        <x:v>1.9500000000000002</x:v>
      </x:c>
      <x:c r="J6350" s="16" t="n">
        <x:v>5.1</x:v>
      </x:c>
      <x:c r="K6350" s="11" t="n">
        <x:f>CHOOSE('假设'!$B$3,H6350,I6350,J6350)</x:f>
        <x:v>1.9500000000000002</x:v>
      </x:c>
      <x:c r="L6350" s="11" t="n">
        <x:f>K6350*'管线假设'!E1359*'管线假设'!F1359*'管线假设'!G1359*IF(E6350="USD",'管线假设'!I1359,1)-AM6350</x:f>
        <x:v>0.36075</x:v>
      </x:c>
      <x:c r="M6350" s="11" t="n">
        <x:f>'管线假设'!H1359</x:f>
        <x:v>0.14</x:v>
      </x:c>
      <x:c r="N6350" s="11" t="n">
        <x:f>IF(G6350,L6350*AN6350/(1+M6350)^F6350,0)</x:f>
        <x:v>0.1643233700930953</x:v>
      </x:c>
      <x:c r="AJ6350" s="42" t="n">
        <x:v>0</x:v>
      </x:c>
      <x:c r="AK6350" s="42" t="n">
        <x:v>0</x:v>
      </x:c>
      <x:c r="AL6350" s="42" t="n">
        <x:v>0</x:v>
      </x:c>
      <x:c r="AM6350" t="n">
        <x:f>CHOOSE('假设'!$B$3,AJ6350,AK6350,AL6350)</x:f>
        <x:v>0</x:v>
      </x:c>
      <x:c r="AN6350" t="n">
        <x:v>1</x:v>
      </x:c>
    </x:row>
    <x:row r="6351" ht="23" customHeight="1">
      <x:c r="A6351" s="11" t="str">
        <x:v>09995.HK</x:v>
      </x:c>
      <x:c r="B6351" s="11" t="str">
        <x:v>2026年底</x:v>
      </x:c>
      <x:c r="C6351" s="11" t="str">
        <x:v>RC48_new_China</x:v>
      </x:c>
      <x:c r="D6351" s="11" t="str">
        <x:v>2033-12-31</x:v>
      </x:c>
      <x:c r="E6351" s="11" t="str">
        <x:v>CNY</x:v>
      </x:c>
      <x:c r="F6351" s="11" t="n">
        <x:v>7.000684462696783</x:v>
      </x:c>
      <x:c r="G6351" s="26" t="b">
        <x:v>1</x:v>
      </x:c>
      <x:c r="H6351" s="16" t="n">
        <x:v>0.18</x:v>
      </x:c>
      <x:c r="I6351" s="16" t="n">
        <x:v>2.55</x:v>
      </x:c>
      <x:c r="J6351" s="16" t="n">
        <x:v>6</x:v>
      </x:c>
      <x:c r="K6351" s="11" t="n">
        <x:f>CHOOSE('假设'!$B$3,H6351,I6351,J6351)</x:f>
        <x:v>2.55</x:v>
      </x:c>
      <x:c r="L6351" s="11" t="n">
        <x:f>K6351*'管线假设'!E1359*'管线假设'!F1359*'管线假设'!G1359*IF(E6351="USD",'管线假设'!I1359,1)-AM6351</x:f>
        <x:v>0.47174999999999995</x:v>
      </x:c>
      <x:c r="M6351" s="11" t="n">
        <x:f>'管线假设'!H1359</x:f>
        <x:v>0.14</x:v>
      </x:c>
      <x:c r="N6351" s="11" t="n">
        <x:f>IF(G6351,L6351*AN6351/(1+M6351)^F6351,0)</x:f>
        <x:v>0.18851199964309245</x:v>
      </x:c>
      <x:c r="AJ6351" s="42" t="n">
        <x:v>0</x:v>
      </x:c>
      <x:c r="AK6351" s="42" t="n">
        <x:v>0</x:v>
      </x:c>
      <x:c r="AL6351" s="42" t="n">
        <x:v>0</x:v>
      </x:c>
      <x:c r="AM6351" t="n">
        <x:f>CHOOSE('假设'!$B$3,AJ6351,AK6351,AL6351)</x:f>
        <x:v>0</x:v>
      </x:c>
      <x:c r="AN6351" t="n">
        <x:v>1</x:v>
      </x:c>
    </x:row>
    <x:row r="6352" ht="23" customHeight="1">
      <x:c r="A6352" s="11" t="str">
        <x:v>09995.HK</x:v>
      </x:c>
      <x:c r="B6352" s="11" t="str">
        <x:v>2026年底</x:v>
      </x:c>
      <x:c r="C6352" s="11" t="str">
        <x:v>RC48_new_China</x:v>
      </x:c>
      <x:c r="D6352" s="11" t="str">
        <x:v>2034-12-31</x:v>
      </x:c>
      <x:c r="E6352" s="11" t="str">
        <x:v>CNY</x:v>
      </x:c>
      <x:c r="F6352" s="11" t="n">
        <x:v>8</x:v>
      </x:c>
      <x:c r="G6352" s="26" t="b">
        <x:v>1</x:v>
      </x:c>
      <x:c r="H6352" s="16" t="n">
        <x:v>0.38</x:v>
      </x:c>
      <x:c r="I6352" s="16" t="n">
        <x:v>3</x:v>
      </x:c>
      <x:c r="J6352" s="16" t="n">
        <x:v>6</x:v>
      </x:c>
      <x:c r="K6352" s="11" t="n">
        <x:f>CHOOSE('假设'!$B$3,H6352,I6352,J6352)</x:f>
        <x:v>3</x:v>
      </x:c>
      <x:c r="L6352" s="11" t="n">
        <x:f>K6352*'管线假设'!E1359*'管线假设'!F1359*'管线假设'!G1359*IF(E6352="USD",'管线假设'!I1359,1)-AM6352</x:f>
        <x:v>0.5549999999999999</x:v>
      </x:c>
      <x:c r="M6352" s="11" t="n">
        <x:f>'管线假设'!H1359</x:f>
        <x:v>0.14</x:v>
      </x:c>
      <x:c r="N6352" s="11" t="n">
        <x:f>IF(G6352,L6352*AN6352/(1+M6352)^F6352,0)</x:f>
        <x:v>0.19456027544217205</x:v>
      </x:c>
      <x:c r="AJ6352" s="42" t="n">
        <x:v>0</x:v>
      </x:c>
      <x:c r="AK6352" s="42" t="n">
        <x:v>0</x:v>
      </x:c>
      <x:c r="AL6352" s="42" t="n">
        <x:v>0</x:v>
      </x:c>
      <x:c r="AM6352" t="n">
        <x:f>CHOOSE('假设'!$B$3,AJ6352,AK6352,AL6352)</x:f>
        <x:v>0</x:v>
      </x:c>
      <x:c r="AN6352" t="n">
        <x:v>1</x:v>
      </x:c>
    </x:row>
    <x:row r="6353" ht="23" customHeight="1">
      <x:c r="A6353" s="11" t="str">
        <x:v>09995.HK</x:v>
      </x:c>
      <x:c r="B6353" s="11" t="str">
        <x:v>2026年底</x:v>
      </x:c>
      <x:c r="C6353" s="11" t="str">
        <x:v>RC48_new_China</x:v>
      </x:c>
      <x:c r="D6353" s="11" t="str">
        <x:v>2035-12-31</x:v>
      </x:c>
      <x:c r="E6353" s="11" t="str">
        <x:v>CNY</x:v>
      </x:c>
      <x:c r="F6353" s="11" t="n">
        <x:v>8.999315537303216</x:v>
      </x:c>
      <x:c r="G6353" s="26" t="b">
        <x:v>1</x:v>
      </x:c>
      <x:c r="H6353" s="16" t="n">
        <x:v>0.65</x:v>
      </x:c>
      <x:c r="I6353" s="16" t="n">
        <x:v>3</x:v>
      </x:c>
      <x:c r="J6353" s="16" t="n">
        <x:v>5.699999999999999</x:v>
      </x:c>
      <x:c r="K6353" s="11" t="n">
        <x:f>CHOOSE('假设'!$B$3,H6353,I6353,J6353)</x:f>
        <x:v>3</x:v>
      </x:c>
      <x:c r="L6353" s="11" t="n">
        <x:f>K6353*'管线假设'!E1359*'管线假设'!F1359*'管线假设'!G1359*IF(E6353="USD",'管线假设'!I1359,1)-AM6353</x:f>
        <x:v>0.5549999999999999</x:v>
      </x:c>
      <x:c r="M6353" s="11" t="n">
        <x:f>'管线假设'!H1359</x:f>
        <x:v>0.14</x:v>
      </x:c>
      <x:c r="N6353" s="11" t="n">
        <x:f>IF(G6353,L6353*AN6353/(1+M6353)^F6353,0)</x:f>
        <x:v>0.17068221505279002</x:v>
      </x:c>
      <x:c r="AJ6353" s="42" t="n">
        <x:v>0</x:v>
      </x:c>
      <x:c r="AK6353" s="42" t="n">
        <x:v>0</x:v>
      </x:c>
      <x:c r="AL6353" s="42" t="n">
        <x:v>0</x:v>
      </x:c>
      <x:c r="AM6353" t="n">
        <x:f>CHOOSE('假设'!$B$3,AJ6353,AK6353,AL6353)</x:f>
        <x:v>0</x:v>
      </x:c>
      <x:c r="AN6353" t="n">
        <x:v>1</x:v>
      </x:c>
    </x:row>
    <x:row r="6354" ht="23" customHeight="1">
      <x:c r="A6354" s="11" t="str">
        <x:v>09995.HK</x:v>
      </x:c>
      <x:c r="B6354" s="11" t="str">
        <x:v>2026年底</x:v>
      </x:c>
      <x:c r="C6354" s="11" t="str">
        <x:v>RC48_new_China</x:v>
      </x:c>
      <x:c r="D6354" s="11" t="str">
        <x:v>2036-12-31</x:v>
      </x:c>
      <x:c r="E6354" s="11" t="str">
        <x:v>CNY</x:v>
      </x:c>
      <x:c r="F6354" s="11" t="n">
        <x:v>10.001368925393566</x:v>
      </x:c>
      <x:c r="G6354" s="26" t="b">
        <x:v>1</x:v>
      </x:c>
      <x:c r="H6354" s="16" t="n">
        <x:v>0.85</x:v>
      </x:c>
      <x:c r="I6354" s="16" t="n">
        <x:v>2.8499999999999996</x:v>
      </x:c>
      <x:c r="J6354" s="16" t="n">
        <x:v>5.4</x:v>
      </x:c>
      <x:c r="K6354" s="11" t="n">
        <x:f>CHOOSE('假设'!$B$3,H6354,I6354,J6354)</x:f>
        <x:v>2.8499999999999996</x:v>
      </x:c>
      <x:c r="L6354" s="11" t="n">
        <x:f>K6354*'管线假设'!E1359*'管线假设'!F1359*'管线假设'!G1359*IF(E6354="USD",'管线假设'!I1359,1)-AM6354</x:f>
        <x:v>0.5272499999999999</x:v>
      </x:c>
      <x:c r="M6354" s="11" t="n">
        <x:f>'管线假设'!H1359</x:f>
        <x:v>0.14</x:v>
      </x:c>
      <x:c r="N6354" s="11" t="n">
        <x:f>IF(G6354,L6354*AN6354/(1+M6354)^F6354,0)</x:f>
        <x:v>0.14219691571687376</x:v>
      </x:c>
      <x:c r="AJ6354" s="42" t="n">
        <x:v>0</x:v>
      </x:c>
      <x:c r="AK6354" s="42" t="n">
        <x:v>0</x:v>
      </x:c>
      <x:c r="AL6354" s="42" t="n">
        <x:v>0</x:v>
      </x:c>
      <x:c r="AM6354" t="n">
        <x:f>CHOOSE('假设'!$B$3,AJ6354,AK6354,AL6354)</x:f>
        <x:v>0</x:v>
      </x:c>
      <x:c r="AN6354" t="n">
        <x:v>1</x:v>
      </x:c>
    </x:row>
    <x:row r="6355" ht="23" customHeight="1">
      <x:c r="A6355" s="11" t="str">
        <x:v>09995.HK</x:v>
      </x:c>
      <x:c r="B6355" s="11" t="str">
        <x:v>2026年底</x:v>
      </x:c>
      <x:c r="C6355" s="11" t="str">
        <x:v>RC48_new_China</x:v>
      </x:c>
      <x:c r="D6355" s="11" t="str">
        <x:v>2037-12-31</x:v>
      </x:c>
      <x:c r="E6355" s="11" t="str">
        <x:v>CNY</x:v>
      </x:c>
      <x:c r="F6355" s="11" t="n">
        <x:v>11.000684462696784</x:v>
      </x:c>
      <x:c r="G6355" s="26" t="b">
        <x:v>1</x:v>
      </x:c>
      <x:c r="H6355" s="16" t="n">
        <x:v>1</x:v>
      </x:c>
      <x:c r="I6355" s="16" t="n">
        <x:v>2.7</x:v>
      </x:c>
      <x:c r="J6355" s="16" t="n">
        <x:v>4.800000000000001</x:v>
      </x:c>
      <x:c r="K6355" s="11" t="n">
        <x:f>CHOOSE('假设'!$B$3,H6355,I6355,J6355)</x:f>
        <x:v>2.7</x:v>
      </x:c>
      <x:c r="L6355" s="11" t="n">
        <x:f>K6355*'管线假设'!E1359*'管线假设'!F1359*'管线假设'!G1359*IF(E6355="USD",'管线假设'!I1359,1)-AM6355</x:f>
        <x:v>0.4995</x:v>
      </x:c>
      <x:c r="M6355" s="11" t="n">
        <x:f>'管线假设'!H1359</x:f>
        <x:v>0.14</x:v>
      </x:c>
      <x:c r="N6355" s="11" t="n">
        <x:f>IF(G6355,L6355*AN6355/(1+M6355)^F6355,0)</x:f>
        <x:v>0.1181797803913672</x:v>
      </x:c>
      <x:c r="AJ6355" s="42" t="n">
        <x:v>0</x:v>
      </x:c>
      <x:c r="AK6355" s="42" t="n">
        <x:v>0</x:v>
      </x:c>
      <x:c r="AL6355" s="42" t="n">
        <x:v>0</x:v>
      </x:c>
      <x:c r="AM6355" t="n">
        <x:f>CHOOSE('假设'!$B$3,AJ6355,AK6355,AL6355)</x:f>
        <x:v>0</x:v>
      </x:c>
      <x:c r="AN6355" t="n">
        <x:v>1</x:v>
      </x:c>
    </x:row>
    <x:row r="6356" ht="23" customHeight="1">
      <x:c r="A6356" s="11" t="str">
        <x:v>09995.HK</x:v>
      </x:c>
      <x:c r="B6356" s="11" t="str">
        <x:v>2026年底</x:v>
      </x:c>
      <x:c r="C6356" s="11" t="str">
        <x:v>RC48_new_China</x:v>
      </x:c>
      <x:c r="D6356" s="11" t="str">
        <x:v>2038-12-31</x:v>
      </x:c>
      <x:c r="E6356" s="11" t="str">
        <x:v>CNY</x:v>
      </x:c>
      <x:c r="F6356" s="11" t="n">
        <x:v>12</x:v>
      </x:c>
      <x:c r="G6356" s="26" t="b">
        <x:v>1</x:v>
      </x:c>
      <x:c r="H6356" s="16" t="n">
        <x:v>1</x:v>
      </x:c>
      <x:c r="I6356" s="16" t="n">
        <x:v>2.4000000000000004</x:v>
      </x:c>
      <x:c r="J6356" s="16" t="n">
        <x:v>3.9000000000000004</x:v>
      </x:c>
      <x:c r="K6356" s="11" t="n">
        <x:f>CHOOSE('假设'!$B$3,H6356,I6356,J6356)</x:f>
        <x:v>2.4000000000000004</x:v>
      </x:c>
      <x:c r="L6356" s="11" t="n">
        <x:f>K6356*'管线假设'!E1359*'管线假设'!F1359*'管线假设'!G1359*IF(E6356="USD",'管线假设'!I1359,1)-AM6356</x:f>
        <x:v>0.44400000000000006</x:v>
      </x:c>
      <x:c r="M6356" s="11" t="n">
        <x:f>'管线假设'!H1359</x:f>
        <x:v>0.14</x:v>
      </x:c>
      <x:c r="N6356" s="11" t="n">
        <x:f>IF(G6356,L6356*AN6356/(1+M6356)^F6356,0)</x:f>
        <x:v>0.09215624147921737</x:v>
      </x:c>
      <x:c r="AJ6356" s="42" t="n">
        <x:v>0</x:v>
      </x:c>
      <x:c r="AK6356" s="42" t="n">
        <x:v>0</x:v>
      </x:c>
      <x:c r="AL6356" s="42" t="n">
        <x:v>0</x:v>
      </x:c>
      <x:c r="AM6356" t="n">
        <x:f>CHOOSE('假设'!$B$3,AJ6356,AK6356,AL6356)</x:f>
        <x:v>0</x:v>
      </x:c>
      <x:c r="AN6356" t="n">
        <x:v>1</x:v>
      </x:c>
    </x:row>
    <x:row r="6357" ht="23" customHeight="1">
      <x:c r="A6357" s="11" t="str">
        <x:v>09995.HK</x:v>
      </x:c>
      <x:c r="B6357" s="11" t="str">
        <x:v>2026年底</x:v>
      </x:c>
      <x:c r="C6357" s="11" t="str">
        <x:v>RC48_new_China</x:v>
      </x:c>
      <x:c r="D6357" s="11" t="str">
        <x:v>2039-12-31</x:v>
      </x:c>
      <x:c r="E6357" s="11" t="str">
        <x:v>CNY</x:v>
      </x:c>
      <x:c r="F6357" s="11" t="n">
        <x:v>12.999315537303216</x:v>
      </x:c>
      <x:c r="G6357" s="26" t="b">
        <x:v>1</x:v>
      </x:c>
      <x:c r="H6357" s="16" t="n">
        <x:v>0.95</x:v>
      </x:c>
      <x:c r="I6357" s="16" t="n">
        <x:v>1.9500000000000002</x:v>
      </x:c>
      <x:c r="J6357" s="16" t="n">
        <x:v>3</x:v>
      </x:c>
      <x:c r="K6357" s="11" t="n">
        <x:f>CHOOSE('假设'!$B$3,H6357,I6357,J6357)</x:f>
        <x:v>1.9500000000000002</x:v>
      </x:c>
      <x:c r="L6357" s="11" t="n">
        <x:f>K6357*'管线假设'!E1359*'管线假设'!F1359*'管线假设'!G1359*IF(E6357="USD",'管线假设'!I1359,1)-AM6357</x:f>
        <x:v>0.36075</x:v>
      </x:c>
      <x:c r="M6357" s="11" t="n">
        <x:f>'管线假设'!H1359</x:f>
        <x:v>0.14</x:v>
      </x:c>
      <x:c r="N6357" s="11" t="n">
        <x:f>IF(G6357,L6357*AN6357/(1+M6357)^F6357,0)</x:f>
        <x:v>0.06568742259989926</x:v>
      </x:c>
      <x:c r="AJ6357" s="42" t="n">
        <x:v>0</x:v>
      </x:c>
      <x:c r="AK6357" s="42" t="n">
        <x:v>0</x:v>
      </x:c>
      <x:c r="AL6357" s="42" t="n">
        <x:v>0</x:v>
      </x:c>
      <x:c r="AM6357" t="n">
        <x:f>CHOOSE('假设'!$B$3,AJ6357,AK6357,AL6357)</x:f>
        <x:v>0</x:v>
      </x:c>
      <x:c r="AN6357" t="n">
        <x:v>1</x:v>
      </x:c>
    </x:row>
    <x:row r="6358" ht="23" customHeight="1">
      <x:c r="A6358" s="11" t="str">
        <x:v>09995.HK</x:v>
      </x:c>
      <x:c r="B6358" s="11" t="str">
        <x:v>2026年底</x:v>
      </x:c>
      <x:c r="C6358" s="11" t="str">
        <x:v>RC48_new_China</x:v>
      </x:c>
      <x:c r="D6358" s="11" t="str">
        <x:v>2040-12-31</x:v>
      </x:c>
      <x:c r="E6358" s="11" t="str">
        <x:v>CNY</x:v>
      </x:c>
      <x:c r="F6358" s="11" t="n">
        <x:v>14.001368925393566</x:v>
      </x:c>
      <x:c r="G6358" s="26" t="b">
        <x:v>1</x:v>
      </x:c>
      <x:c r="H6358" s="16" t="n">
        <x:v>0.9</x:v>
      </x:c>
      <x:c r="I6358" s="16" t="n">
        <x:v>1.5</x:v>
      </x:c>
      <x:c r="J6358" s="16" t="n">
        <x:v>2.0999999999999996</x:v>
      </x:c>
      <x:c r="K6358" s="11" t="n">
        <x:f>CHOOSE('假设'!$B$3,H6358,I6358,J6358)</x:f>
        <x:v>1.5</x:v>
      </x:c>
      <x:c r="L6358" s="11" t="n">
        <x:f>K6358*'管线假设'!E1359*'管线假设'!F1359*'管线假设'!G1359*IF(E6358="USD",'管线假设'!I1359,1)-AM6358</x:f>
        <x:v>0.27749999999999997</x:v>
      </x:c>
      <x:c r="M6358" s="11" t="n">
        <x:f>'管线假设'!H1359</x:f>
        <x:v>0.14</x:v>
      </x:c>
      <x:c r="N6358" s="11" t="n">
        <x:f>IF(G6358,L6358*AN6358/(1+M6358)^F6358,0)</x:f>
        <x:v>0.04431157331517478</x:v>
      </x:c>
      <x:c r="AJ6358" s="42" t="n">
        <x:v>0</x:v>
      </x:c>
      <x:c r="AK6358" s="42" t="n">
        <x:v>0</x:v>
      </x:c>
      <x:c r="AL6358" s="42" t="n">
        <x:v>0</x:v>
      </x:c>
      <x:c r="AM6358" t="n">
        <x:f>CHOOSE('假设'!$B$3,AJ6358,AK6358,AL6358)</x:f>
        <x:v>0</x:v>
      </x:c>
      <x:c r="AN6358" t="n">
        <x:v>1</x:v>
      </x:c>
    </x:row>
    <x:row r="6359" ht="23" customHeight="1">
      <x:c r="A6359" s="11" t="str">
        <x:v>09995.HK</x:v>
      </x:c>
      <x:c r="B6359" s="11" t="str">
        <x:v>2026年底</x:v>
      </x:c>
      <x:c r="C6359" s="11" t="str">
        <x:v>RC48_new_China</x:v>
      </x:c>
      <x:c r="D6359" s="11" t="str">
        <x:v>2041-12-31</x:v>
      </x:c>
      <x:c r="E6359" s="11" t="str">
        <x:v>CNY</x:v>
      </x:c>
      <x:c r="F6359" s="11" t="n">
        <x:v>15.000684462696784</x:v>
      </x:c>
      <x:c r="G6359" s="26" t="b">
        <x:v>1</x:v>
      </x:c>
      <x:c r="H6359" s="16" t="n">
        <x:v>0.8</x:v>
      </x:c>
      <x:c r="I6359" s="16" t="n">
        <x:v>1.0499999999999998</x:v>
      </x:c>
      <x:c r="J6359" s="16" t="n">
        <x:v>1.2000000000000002</x:v>
      </x:c>
      <x:c r="K6359" s="11" t="n">
        <x:f>CHOOSE('假设'!$B$3,H6359,I6359,J6359)</x:f>
        <x:v>1.0499999999999998</x:v>
      </x:c>
      <x:c r="L6359" s="11" t="n">
        <x:f>K6359*'管线假设'!E1359*'管线假设'!F1359*'管线假设'!G1359*IF(E6359="USD",'管线假设'!I1359,1)-AM6359</x:f>
        <x:v>0.19424999999999998</x:v>
      </x:c>
      <x:c r="M6359" s="11" t="n">
        <x:f>'管线假设'!H1359</x:f>
        <x:v>0.14</x:v>
      </x:c>
      <x:c r="N6359" s="11" t="n">
        <x:f>IF(G6359,L6359*AN6359/(1+M6359)^F6359,0)</x:f>
        <x:v>0.02721130111531563</x:v>
      </x:c>
      <x:c r="AJ6359" s="42" t="n">
        <x:v>0</x:v>
      </x:c>
      <x:c r="AK6359" s="42" t="n">
        <x:v>0</x:v>
      </x:c>
      <x:c r="AL6359" s="42" t="n">
        <x:v>0</x:v>
      </x:c>
      <x:c r="AM6359" t="n">
        <x:f>CHOOSE('假设'!$B$3,AJ6359,AK6359,AL6359)</x:f>
        <x:v>0</x:v>
      </x:c>
      <x:c r="AN6359" t="n">
        <x:v>1</x:v>
      </x:c>
    </x:row>
    <x:row r="6360" ht="23" customHeight="1">
      <x:c r="A6360" s="11" t="str">
        <x:v>09995.HK</x:v>
      </x:c>
      <x:c r="B6360" s="11" t="str">
        <x:v>2026年底</x:v>
      </x:c>
      <x:c r="C6360" s="11" t="str">
        <x:v>RC48_new_China</x:v>
      </x:c>
      <x:c r="D6360" s="11" t="str">
        <x:v>2042-12-31</x:v>
      </x:c>
      <x:c r="E6360" s="11" t="str">
        <x:v>CNY</x:v>
      </x:c>
      <x:c r="F6360" s="11" t="n">
        <x:v>16</x:v>
      </x:c>
      <x:c r="G6360" s="26" t="b">
        <x:v>1</x:v>
      </x:c>
      <x:c r="H6360" s="16" t="n">
        <x:v>0.65</x:v>
      </x:c>
      <x:c r="I6360" s="16" t="n">
        <x:v>0.6000000000000001</x:v>
      </x:c>
      <x:c r="J6360" s="16" t="n">
        <x:v>0.72</x:v>
      </x:c>
      <x:c r="K6360" s="11" t="n">
        <x:f>CHOOSE('假设'!$B$3,H6360,I6360,J6360)</x:f>
        <x:v>0.6000000000000001</x:v>
      </x:c>
      <x:c r="L6360" s="11" t="n">
        <x:f>K6360*'管线假设'!E1359*'管线假设'!F1359*'管线假设'!G1359*IF(E6360="USD",'管线假设'!I1359,1)-AM6360</x:f>
        <x:v>0.11100000000000002</x:v>
      </x:c>
      <x:c r="M6360" s="11" t="n">
        <x:f>'管线假设'!H1359</x:f>
        <x:v>0.14</x:v>
      </x:c>
      <x:c r="N6360" s="11" t="n">
        <x:f>IF(G6360,L6360*AN6360/(1+M6360)^F6360,0)</x:f>
        <x:v>0.013640973254102295</x:v>
      </x:c>
      <x:c r="AJ6360" s="42" t="n">
        <x:v>0</x:v>
      </x:c>
      <x:c r="AK6360" s="42" t="n">
        <x:v>0</x:v>
      </x:c>
      <x:c r="AL6360" s="42" t="n">
        <x:v>0</x:v>
      </x:c>
      <x:c r="AM6360" t="n">
        <x:f>CHOOSE('假设'!$B$3,AJ6360,AK6360,AL6360)</x:f>
        <x:v>0</x:v>
      </x:c>
      <x:c r="AN6360" t="n">
        <x:v>1</x:v>
      </x:c>
    </x:row>
    <x:row r="6361" ht="23" customHeight="1">
      <x:c r="A6361" s="11" t="str">
        <x:v>09995.HK</x:v>
      </x:c>
      <x:c r="B6361" s="11" t="str">
        <x:v>2026年底</x:v>
      </x:c>
      <x:c r="C6361" s="11" t="str">
        <x:v>RC48_new_China</x:v>
      </x:c>
      <x:c r="D6361" s="11" t="str">
        <x:v>2043-12-31</x:v>
      </x:c>
      <x:c r="E6361" s="11" t="str">
        <x:v>CNY</x:v>
      </x:c>
      <x:c r="F6361" s="11" t="n">
        <x:v>16.999315537303218</x:v>
      </x:c>
      <x:c r="G6361" s="26" t="b">
        <x:v>1</x:v>
      </x:c>
      <x:c r="H6361" s="16" t="n">
        <x:v>0.5</x:v>
      </x:c>
      <x:c r="I6361" s="16" t="n">
        <x:v>0.36</x:v>
      </x:c>
      <x:c r="J6361" s="16" t="n">
        <x:v>0.42000000000000004</x:v>
      </x:c>
      <x:c r="K6361" s="11" t="n">
        <x:f>CHOOSE('假设'!$B$3,H6361,I6361,J6361)</x:f>
        <x:v>0.36</x:v>
      </x:c>
      <x:c r="L6361" s="11" t="n">
        <x:f>K6361*'管线假设'!E1359*'管线假设'!F1359*'管线假设'!G1359*IF(E6361="USD",'管线假设'!I1359,1)-AM6361</x:f>
        <x:v>0.06659999999999999</x:v>
      </x:c>
      <x:c r="M6361" s="11" t="n">
        <x:f>'管线假设'!H1359</x:f>
        <x:v>0.14</x:v>
      </x:c>
      <x:c r="N6361" s="11" t="n">
        <x:f>IF(G6361,L6361*AN6361/(1+M6361)^F6361,0)</x:f>
        <x:v>0.007180103518648836</x:v>
      </x:c>
      <x:c r="AJ6361" s="42" t="n">
        <x:v>0</x:v>
      </x:c>
      <x:c r="AK6361" s="42" t="n">
        <x:v>0</x:v>
      </x:c>
      <x:c r="AL6361" s="42" t="n">
        <x:v>0</x:v>
      </x:c>
      <x:c r="AM6361" t="n">
        <x:f>CHOOSE('假设'!$B$3,AJ6361,AK6361,AL6361)</x:f>
        <x:v>0</x:v>
      </x:c>
      <x:c r="AN6361" t="n">
        <x:v>1</x:v>
      </x:c>
    </x:row>
    <x:row r="6362" ht="23" customHeight="1">
      <x:c r="A6362" s="11" t="str">
        <x:v>09995.HK</x:v>
      </x:c>
      <x:c r="B6362" s="11" t="str">
        <x:v>2026年底</x:v>
      </x:c>
      <x:c r="C6362" s="11" t="str">
        <x:v>RC48_new_China</x:v>
      </x:c>
      <x:c r="D6362" s="11" t="str">
        <x:v>2044-12-31</x:v>
      </x:c>
      <x:c r="E6362" s="11" t="str">
        <x:v>CNY</x:v>
      </x:c>
      <x:c r="F6362" s="11" t="n">
        <x:v>18.001368925393567</x:v>
      </x:c>
      <x:c r="G6362" s="26" t="b">
        <x:v>1</x:v>
      </x:c>
      <x:c r="H6362" s="16" t="n">
        <x:v>0.35</x:v>
      </x:c>
      <x:c r="I6362" s="16" t="n">
        <x:v>0.21000000000000002</x:v>
      </x:c>
      <x:c r="J6362" s="16" t="n">
        <x:v>0.18</x:v>
      </x:c>
      <x:c r="K6362" s="11" t="n">
        <x:f>CHOOSE('假设'!$B$3,H6362,I6362,J6362)</x:f>
        <x:v>0.21000000000000002</x:v>
      </x:c>
      <x:c r="L6362" s="11" t="n">
        <x:f>K6362*'管线假设'!E1359*'管线假设'!F1359*'管线假设'!G1359*IF(E6362="USD",'管线假设'!I1359,1)-AM6362</x:f>
        <x:v>0.03885</x:v>
      </x:c>
      <x:c r="M6362" s="11" t="n">
        <x:f>'管线假设'!H1359</x:f>
        <x:v>0.14</x:v>
      </x:c>
      <x:c r="N6362" s="11" t="n">
        <x:f>IF(G6362,L6362*AN6362/(1+M6362)^F6362,0)</x:f>
        <x:v>0.0036730412066821438</x:v>
      </x:c>
      <x:c r="AJ6362" s="42" t="n">
        <x:v>0</x:v>
      </x:c>
      <x:c r="AK6362" s="42" t="n">
        <x:v>0</x:v>
      </x:c>
      <x:c r="AL6362" s="42" t="n">
        <x:v>0</x:v>
      </x:c>
      <x:c r="AM6362" t="n">
        <x:f>CHOOSE('假设'!$B$3,AJ6362,AK6362,AL6362)</x:f>
        <x:v>0</x:v>
      </x:c>
      <x:c r="AN6362" t="n">
        <x:v>1</x:v>
      </x:c>
    </x:row>
    <x:row r="6363" ht="23" customHeight="1">
      <x:c r="A6363" s="11" t="str">
        <x:v>09995.HK</x:v>
      </x:c>
      <x:c r="B6363" s="11" t="str">
        <x:v>2026年底</x:v>
      </x:c>
      <x:c r="C6363" s="11" t="str">
        <x:v>RC148_China</x:v>
      </x:c>
      <x:c r="D6363" s="11" t="str">
        <x:v>2026-12-31</x:v>
      </x:c>
      <x:c r="E6363" s="11" t="str">
        <x:v>CNY</x:v>
      </x:c>
      <x:c r="F6363" s="11" t="n">
        <x:v>0</x:v>
      </x:c>
      <x:c r="G6363" s="26" t="b">
        <x:v>0</x:v>
      </x:c>
      <x:c r="H6363" s="16" t="n">
        <x:v>0</x:v>
      </x:c>
      <x:c r="I6363" s="16" t="n">
        <x:v>0</x:v>
      </x:c>
      <x:c r="J6363" s="16" t="n">
        <x:v>0</x:v>
      </x:c>
      <x:c r="K6363" s="11" t="n">
        <x:f>CHOOSE('假设'!$B$3,H6363,I6363,J6363)</x:f>
        <x:v>0</x:v>
      </x:c>
      <x:c r="L6363" s="11" t="n">
        <x:f>K6363*'管线假设'!E1363*'管线假设'!F1363*'管线假设'!G1363*IF(E6363="USD",'管线假设'!I1363,1)-AM6363</x:f>
        <x:v>-0.18</x:v>
      </x:c>
      <x:c r="M6363" s="11" t="n">
        <x:f>'管线假设'!H1363</x:f>
        <x:v>0.14</x:v>
      </x:c>
      <x:c r="N6363" s="11" t="n">
        <x:f>IF(G6363,L6363*AN6363/(1+M6363)^F6363,0)</x:f>
        <x:v>0</x:v>
      </x:c>
      <x:c r="AJ6363" s="42" t="n">
        <x:v>0.1</x:v>
      </x:c>
      <x:c r="AK6363" s="42" t="n">
        <x:v>0.18</x:v>
      </x:c>
      <x:c r="AL6363" s="42" t="n">
        <x:v>0.24</x:v>
      </x:c>
      <x:c r="AM6363" t="n">
        <x:f>CHOOSE('假设'!$B$3,AJ6363,AK6363,AL6363)</x:f>
        <x:v>0.18</x:v>
      </x:c>
      <x:c r="AN6363" t="n">
        <x:v>0</x:v>
      </x:c>
    </x:row>
    <x:row r="6364" ht="23" customHeight="1">
      <x:c r="A6364" s="11" t="str">
        <x:v>09995.HK</x:v>
      </x:c>
      <x:c r="B6364" s="11" t="str">
        <x:v>2026年底</x:v>
      </x:c>
      <x:c r="C6364" s="11" t="str">
        <x:v>RC148_China</x:v>
      </x:c>
      <x:c r="D6364" s="11" t="str">
        <x:v>2027-12-31</x:v>
      </x:c>
      <x:c r="E6364" s="11" t="str">
        <x:v>CNY</x:v>
      </x:c>
      <x:c r="F6364" s="11" t="n">
        <x:v>0.999315537303217</x:v>
      </x:c>
      <x:c r="G6364" s="26" t="b">
        <x:v>1</x:v>
      </x:c>
      <x:c r="H6364" s="16" t="n">
        <x:v>0</x:v>
      </x:c>
      <x:c r="I6364" s="16" t="n">
        <x:v>0</x:v>
      </x:c>
      <x:c r="J6364" s="16" t="n">
        <x:v>0</x:v>
      </x:c>
      <x:c r="K6364" s="11" t="n">
        <x:f>CHOOSE('假设'!$B$3,H6364,I6364,J6364)</x:f>
        <x:v>0</x:v>
      </x:c>
      <x:c r="L6364" s="11" t="n">
        <x:f>K6364*'管线假设'!E1363*'管线假设'!F1363*'管线假设'!G1363*IF(E6364="USD",'管线假设'!I1363,1)-AM6364</x:f>
        <x:v>-0.23</x:v>
      </x:c>
      <x:c r="M6364" s="11" t="n">
        <x:f>'管线假设'!H1363</x:f>
        <x:v>0.14</x:v>
      </x:c>
      <x:c r="N6364" s="11" t="n">
        <x:f>IF(G6364,L6364*AN6364/(1+M6364)^F6364,0)</x:f>
        <x:v>-0.2017724809081584</x:v>
      </x:c>
      <x:c r="AJ6364" s="42" t="n">
        <x:v>0.12</x:v>
      </x:c>
      <x:c r="AK6364" s="42" t="n">
        <x:v>0.23</x:v>
      </x:c>
      <x:c r="AL6364" s="42" t="n">
        <x:v>0.3</x:v>
      </x:c>
      <x:c r="AM6364" t="n">
        <x:f>CHOOSE('假设'!$B$3,AJ6364,AK6364,AL6364)</x:f>
        <x:v>0.23</x:v>
      </x:c>
      <x:c r="AN6364" t="n">
        <x:v>1</x:v>
      </x:c>
    </x:row>
    <x:row r="6365" ht="23" customHeight="1">
      <x:c r="A6365" s="11" t="str">
        <x:v>09995.HK</x:v>
      </x:c>
      <x:c r="B6365" s="11" t="str">
        <x:v>2026年底</x:v>
      </x:c>
      <x:c r="C6365" s="11" t="str">
        <x:v>RC148_China</x:v>
      </x:c>
      <x:c r="D6365" s="11" t="str">
        <x:v>2028-12-31</x:v>
      </x:c>
      <x:c r="E6365" s="11" t="str">
        <x:v>CNY</x:v>
      </x:c>
      <x:c r="F6365" s="11" t="n">
        <x:v>2.001368925393566</x:v>
      </x:c>
      <x:c r="G6365" s="26" t="b">
        <x:v>1</x:v>
      </x:c>
      <x:c r="H6365" s="16" t="n">
        <x:v>0</x:v>
      </x:c>
      <x:c r="I6365" s="16" t="n">
        <x:v>0</x:v>
      </x:c>
      <x:c r="J6365" s="16" t="n">
        <x:v>0.48</x:v>
      </x:c>
      <x:c r="K6365" s="11" t="n">
        <x:f>CHOOSE('假设'!$B$3,H6365,I6365,J6365)</x:f>
        <x:v>0</x:v>
      </x:c>
      <x:c r="L6365" s="11" t="n">
        <x:f>K6365*'管线假设'!E1363*'管线假设'!F1363*'管线假设'!G1363*IF(E6365="USD",'管线假设'!I1363,1)-AM6365</x:f>
        <x:v>-0.2</x:v>
      </x:c>
      <x:c r="M6365" s="11" t="n">
        <x:f>'管线假设'!H1363</x:f>
        <x:v>0.14</x:v>
      </x:c>
      <x:c r="N6365" s="11" t="n">
        <x:f>IF(G6365,L6365*AN6365/(1+M6365)^F6365,0)</x:f>
        <x:v>-0.15386590461215446</x:v>
      </x:c>
      <x:c r="AJ6365" s="42" t="n">
        <x:v>0.1</x:v>
      </x:c>
      <x:c r="AK6365" s="42" t="n">
        <x:v>0.2</x:v>
      </x:c>
      <x:c r="AL6365" s="42" t="n">
        <x:v>0.25</x:v>
      </x:c>
      <x:c r="AM6365" t="n">
        <x:f>CHOOSE('假设'!$B$3,AJ6365,AK6365,AL6365)</x:f>
        <x:v>0.2</x:v>
      </x:c>
      <x:c r="AN6365" t="n">
        <x:v>1</x:v>
      </x:c>
    </x:row>
    <x:row r="6366" ht="23" customHeight="1">
      <x:c r="A6366" s="11" t="str">
        <x:v>09995.HK</x:v>
      </x:c>
      <x:c r="B6366" s="11" t="str">
        <x:v>2026年底</x:v>
      </x:c>
      <x:c r="C6366" s="11" t="str">
        <x:v>RC148_China</x:v>
      </x:c>
      <x:c r="D6366" s="11" t="str">
        <x:v>2029-12-31</x:v>
      </x:c>
      <x:c r="E6366" s="11" t="str">
        <x:v>CNY</x:v>
      </x:c>
      <x:c r="F6366" s="11" t="n">
        <x:v>3.0006844626967832</x:v>
      </x:c>
      <x:c r="G6366" s="26" t="b">
        <x:v>1</x:v>
      </x:c>
      <x:c r="H6366" s="16" t="n">
        <x:v>0</x:v>
      </x:c>
      <x:c r="I6366" s="16" t="n">
        <x:v>0.24</x:v>
      </x:c>
      <x:c r="J6366" s="16" t="n">
        <x:v>1.44</x:v>
      </x:c>
      <x:c r="K6366" s="11" t="n">
        <x:f>CHOOSE('假设'!$B$3,H6366,I6366,J6366)</x:f>
        <x:v>0.24</x:v>
      </x:c>
      <x:c r="L6366" s="11" t="n">
        <x:f>K6366*'管线假设'!E1363*'管线假设'!F1363*'管线假设'!G1363*IF(E6366="USD",'管线假设'!I1363,1)-AM6366</x:f>
        <x:v>-0.0796</x:v>
      </x:c>
      <x:c r="M6366" s="11" t="n">
        <x:f>'管线假设'!H1363</x:f>
        <x:v>0.14</x:v>
      </x:c>
      <x:c r="N6366" s="11" t="n">
        <x:f>IF(G6366,L6366*AN6366/(1+M6366)^F6366,0)</x:f>
        <x:v>-0.05372291439003234</x:v>
      </x:c>
      <x:c r="AJ6366" s="42" t="n">
        <x:v>0</x:v>
      </x:c>
      <x:c r="AK6366" s="42" t="n">
        <x:v>0.13</x:v>
      </x:c>
      <x:c r="AL6366" s="42" t="n">
        <x:v>0.16</x:v>
      </x:c>
      <x:c r="AM6366" t="n">
        <x:f>CHOOSE('假设'!$B$3,AJ6366,AK6366,AL6366)</x:f>
        <x:v>0.13</x:v>
      </x:c>
      <x:c r="AN6366" t="n">
        <x:v>1</x:v>
      </x:c>
    </x:row>
    <x:row r="6367" ht="23" customHeight="1">
      <x:c r="A6367" s="11" t="str">
        <x:v>09995.HK</x:v>
      </x:c>
      <x:c r="B6367" s="11" t="str">
        <x:v>2026年底</x:v>
      </x:c>
      <x:c r="C6367" s="11" t="str">
        <x:v>RC148_China</x:v>
      </x:c>
      <x:c r="D6367" s="11" t="str">
        <x:v>2030-12-31</x:v>
      </x:c>
      <x:c r="E6367" s="11" t="str">
        <x:v>CNY</x:v>
      </x:c>
      <x:c r="F6367" s="11" t="n">
        <x:v>4</x:v>
      </x:c>
      <x:c r="G6367" s="26" t="b">
        <x:v>1</x:v>
      </x:c>
      <x:c r="H6367" s="16" t="n">
        <x:v>0</x:v>
      </x:c>
      <x:c r="I6367" s="16" t="n">
        <x:v>0.72</x:v>
      </x:c>
      <x:c r="J6367" s="16" t="n">
        <x:v>3.04</x:v>
      </x:c>
      <x:c r="K6367" s="11" t="n">
        <x:f>CHOOSE('假设'!$B$3,H6367,I6367,J6367)</x:f>
        <x:v>0.72</x:v>
      </x:c>
      <x:c r="L6367" s="11" t="n">
        <x:f>K6367*'管线假设'!E1363*'管线假设'!F1363*'管线假设'!G1363*IF(E6367="USD",'管线假设'!I1363,1)-AM6367</x:f>
        <x:v>0.1512</x:v>
      </x:c>
      <x:c r="M6367" s="11" t="n">
        <x:f>'管线假设'!H1363</x:f>
        <x:v>0.14</x:v>
      </x:c>
      <x:c r="N6367" s="11" t="n">
        <x:f>IF(G6367,L6367*AN6367/(1+M6367)^F6367,0)</x:f>
        <x:v>0.08952253793837264</x:v>
      </x:c>
      <x:c r="AJ6367" s="42" t="n">
        <x:v>0</x:v>
      </x:c>
      <x:c r="AK6367" s="42" t="n">
        <x:v>0</x:v>
      </x:c>
      <x:c r="AL6367" s="42" t="n">
        <x:v>0</x:v>
      </x:c>
      <x:c r="AM6367" t="n">
        <x:f>CHOOSE('假设'!$B$3,AJ6367,AK6367,AL6367)</x:f>
        <x:v>0</x:v>
      </x:c>
      <x:c r="AN6367" t="n">
        <x:v>1</x:v>
      </x:c>
    </x:row>
    <x:row r="6368" ht="23" customHeight="1">
      <x:c r="A6368" s="11" t="str">
        <x:v>09995.HK</x:v>
      </x:c>
      <x:c r="B6368" s="11" t="str">
        <x:v>2026年底</x:v>
      </x:c>
      <x:c r="C6368" s="11" t="str">
        <x:v>RC148_China</x:v>
      </x:c>
      <x:c r="D6368" s="11" t="str">
        <x:v>2031-12-31</x:v>
      </x:c>
      <x:c r="E6368" s="11" t="str">
        <x:v>CNY</x:v>
      </x:c>
      <x:c r="F6368" s="11" t="n">
        <x:v>4.999315537303217</x:v>
      </x:c>
      <x:c r="G6368" s="26" t="b">
        <x:v>1</x:v>
      </x:c>
      <x:c r="H6368" s="16" t="n">
        <x:v>0.072</x:v>
      </x:c>
      <x:c r="I6368" s="16" t="n">
        <x:v>1.52</x:v>
      </x:c>
      <x:c r="J6368" s="16" t="n">
        <x:v>5.2</x:v>
      </x:c>
      <x:c r="K6368" s="11" t="n">
        <x:f>CHOOSE('假设'!$B$3,H6368,I6368,J6368)</x:f>
        <x:v>1.52</x:v>
      </x:c>
      <x:c r="L6368" s="11" t="n">
        <x:f>K6368*'管线假设'!E1363*'管线假设'!F1363*'管线假设'!G1363*IF(E6368="USD",'管线假设'!I1363,1)-AM6368</x:f>
        <x:v>0.3192</x:v>
      </x:c>
      <x:c r="M6368" s="11" t="n">
        <x:f>'管线假设'!H1363</x:f>
        <x:v>0.14</x:v>
      </x:c>
      <x:c r="N6368" s="11" t="n">
        <x:f>IF(G6368,L6368*AN6368/(1+M6368)^F6368,0)</x:f>
        <x:v>0.1657973463591224</x:v>
      </x:c>
      <x:c r="AJ6368" s="42" t="n">
        <x:v>0</x:v>
      </x:c>
      <x:c r="AK6368" s="42" t="n">
        <x:v>0</x:v>
      </x:c>
      <x:c r="AL6368" s="42" t="n">
        <x:v>0</x:v>
      </x:c>
      <x:c r="AM6368" t="n">
        <x:f>CHOOSE('假设'!$B$3,AJ6368,AK6368,AL6368)</x:f>
        <x:v>0</x:v>
      </x:c>
      <x:c r="AN6368" t="n">
        <x:v>1</x:v>
      </x:c>
    </x:row>
    <x:row r="6369" ht="23" customHeight="1">
      <x:c r="A6369" s="11" t="str">
        <x:v>09995.HK</x:v>
      </x:c>
      <x:c r="B6369" s="11" t="str">
        <x:v>2026年底</x:v>
      </x:c>
      <x:c r="C6369" s="11" t="str">
        <x:v>RC148_China</x:v>
      </x:c>
      <x:c r="D6369" s="11" t="str">
        <x:v>2032-12-31</x:v>
      </x:c>
      <x:c r="E6369" s="11" t="str">
        <x:v>CNY</x:v>
      </x:c>
      <x:c r="F6369" s="11" t="n">
        <x:v>6.0013689253935665</x:v>
      </x:c>
      <x:c r="G6369" s="26" t="b">
        <x:v>1</x:v>
      </x:c>
      <x:c r="H6369" s="16" t="n">
        <x:v>0.216</x:v>
      </x:c>
      <x:c r="I6369" s="16" t="n">
        <x:v>2.6</x:v>
      </x:c>
      <x:c r="J6369" s="16" t="n">
        <x:v>6.8</x:v>
      </x:c>
      <x:c r="K6369" s="11" t="n">
        <x:f>CHOOSE('假设'!$B$3,H6369,I6369,J6369)</x:f>
        <x:v>2.6</x:v>
      </x:c>
      <x:c r="L6369" s="11" t="n">
        <x:f>K6369*'管线假设'!E1363*'管线假设'!F1363*'管线假设'!G1363*IF(E6369="USD",'管线假设'!I1363,1)-AM6369</x:f>
        <x:v>0.546</x:v>
      </x:c>
      <x:c r="M6369" s="11" t="n">
        <x:f>'管线假设'!H1363</x:f>
        <x:v>0.14</x:v>
      </x:c>
      <x:c r="N6369" s="11" t="n">
        <x:f>IF(G6369,L6369*AN6369/(1+M6369)^F6369,0)</x:f>
        <x:v>0.2487056412219821</x:v>
      </x:c>
      <x:c r="AJ6369" s="42" t="n">
        <x:v>0</x:v>
      </x:c>
      <x:c r="AK6369" s="42" t="n">
        <x:v>0</x:v>
      </x:c>
      <x:c r="AL6369" s="42" t="n">
        <x:v>0</x:v>
      </x:c>
      <x:c r="AM6369" t="n">
        <x:f>CHOOSE('假设'!$B$3,AJ6369,AK6369,AL6369)</x:f>
        <x:v>0</x:v>
      </x:c>
      <x:c r="AN6369" t="n">
        <x:v>1</x:v>
      </x:c>
    </x:row>
    <x:row r="6370" ht="23" customHeight="1">
      <x:c r="A6370" s="11" t="str">
        <x:v>09995.HK</x:v>
      </x:c>
      <x:c r="B6370" s="11" t="str">
        <x:v>2026年底</x:v>
      </x:c>
      <x:c r="C6370" s="11" t="str">
        <x:v>RC148_China</x:v>
      </x:c>
      <x:c r="D6370" s="11" t="str">
        <x:v>2033-12-31</x:v>
      </x:c>
      <x:c r="E6370" s="11" t="str">
        <x:v>CNY</x:v>
      </x:c>
      <x:c r="F6370" s="11" t="n">
        <x:v>7.000684462696783</x:v>
      </x:c>
      <x:c r="G6370" s="26" t="b">
        <x:v>1</x:v>
      </x:c>
      <x:c r="H6370" s="16" t="n">
        <x:v>0.45599999999999996</x:v>
      </x:c>
      <x:c r="I6370" s="16" t="n">
        <x:v>3.4</x:v>
      </x:c>
      <x:c r="J6370" s="16" t="n">
        <x:v>8</x:v>
      </x:c>
      <x:c r="K6370" s="11" t="n">
        <x:f>CHOOSE('假设'!$B$3,H6370,I6370,J6370)</x:f>
        <x:v>3.4</x:v>
      </x:c>
      <x:c r="L6370" s="11" t="n">
        <x:f>K6370*'管线假设'!E1363*'管线假设'!F1363*'管线假设'!G1363*IF(E6370="USD",'管线假设'!I1363,1)-AM6370</x:f>
        <x:v>0.714</x:v>
      </x:c>
      <x:c r="M6370" s="11" t="n">
        <x:f>'管线假设'!H1363</x:f>
        <x:v>0.14</x:v>
      </x:c>
      <x:c r="N6370" s="11" t="n">
        <x:f>IF(G6370,L6370*AN6370/(1+M6370)^F6370,0)</x:f>
        <x:v>0.28531545891927507</x:v>
      </x:c>
      <x:c r="AJ6370" s="42" t="n">
        <x:v>0</x:v>
      </x:c>
      <x:c r="AK6370" s="42" t="n">
        <x:v>0</x:v>
      </x:c>
      <x:c r="AL6370" s="42" t="n">
        <x:v>0</x:v>
      </x:c>
      <x:c r="AM6370" t="n">
        <x:f>CHOOSE('假设'!$B$3,AJ6370,AK6370,AL6370)</x:f>
        <x:v>0</x:v>
      </x:c>
      <x:c r="AN6370" t="n">
        <x:v>1</x:v>
      </x:c>
    </x:row>
    <x:row r="6371" ht="23" customHeight="1">
      <x:c r="A6371" s="11" t="str">
        <x:v>09995.HK</x:v>
      </x:c>
      <x:c r="B6371" s="11" t="str">
        <x:v>2026年底</x:v>
      </x:c>
      <x:c r="C6371" s="11" t="str">
        <x:v>RC148_China</x:v>
      </x:c>
      <x:c r="D6371" s="11" t="str">
        <x:v>2034-12-31</x:v>
      </x:c>
      <x:c r="E6371" s="11" t="str">
        <x:v>CNY</x:v>
      </x:c>
      <x:c r="F6371" s="11" t="n">
        <x:v>8</x:v>
      </x:c>
      <x:c r="G6371" s="26" t="b">
        <x:v>1</x:v>
      </x:c>
      <x:c r="H6371" s="16" t="n">
        <x:v>0.78</x:v>
      </x:c>
      <x:c r="I6371" s="16" t="n">
        <x:v>4</x:v>
      </x:c>
      <x:c r="J6371" s="16" t="n">
        <x:v>8</x:v>
      </x:c>
      <x:c r="K6371" s="11" t="n">
        <x:f>CHOOSE('假设'!$B$3,H6371,I6371,J6371)</x:f>
        <x:v>4</x:v>
      </x:c>
      <x:c r="L6371" s="11" t="n">
        <x:f>K6371*'管线假设'!E1363*'管线假设'!F1363*'管线假设'!G1363*IF(E6371="USD",'管线假设'!I1363,1)-AM6371</x:f>
        <x:v>0.84</x:v>
      </x:c>
      <x:c r="M6371" s="11" t="n">
        <x:f>'管线假设'!H1363</x:f>
        <x:v>0.14</x:v>
      </x:c>
      <x:c r="N6371" s="11" t="n">
        <x:f>IF(G6371,L6371*AN6371/(1+M6371)^F6371,0)</x:f>
        <x:v>0.2944696060746388</x:v>
      </x:c>
      <x:c r="AJ6371" s="42" t="n">
        <x:v>0</x:v>
      </x:c>
      <x:c r="AK6371" s="42" t="n">
        <x:v>0</x:v>
      </x:c>
      <x:c r="AL6371" s="42" t="n">
        <x:v>0</x:v>
      </x:c>
      <x:c r="AM6371" t="n">
        <x:f>CHOOSE('假设'!$B$3,AJ6371,AK6371,AL6371)</x:f>
        <x:v>0</x:v>
      </x:c>
      <x:c r="AN6371" t="n">
        <x:v>1</x:v>
      </x:c>
    </x:row>
    <x:row r="6372" ht="23" customHeight="1">
      <x:c r="A6372" s="11" t="str">
        <x:v>09995.HK</x:v>
      </x:c>
      <x:c r="B6372" s="11" t="str">
        <x:v>2026年底</x:v>
      </x:c>
      <x:c r="C6372" s="11" t="str">
        <x:v>RC148_China</x:v>
      </x:c>
      <x:c r="D6372" s="11" t="str">
        <x:v>2035-12-31</x:v>
      </x:c>
      <x:c r="E6372" s="11" t="str">
        <x:v>CNY</x:v>
      </x:c>
      <x:c r="F6372" s="11" t="n">
        <x:v>8.999315537303216</x:v>
      </x:c>
      <x:c r="G6372" s="26" t="b">
        <x:v>1</x:v>
      </x:c>
      <x:c r="H6372" s="16" t="n">
        <x:v>1.02</x:v>
      </x:c>
      <x:c r="I6372" s="16" t="n">
        <x:v>4</x:v>
      </x:c>
      <x:c r="J6372" s="16" t="n">
        <x:v>7.6</x:v>
      </x:c>
      <x:c r="K6372" s="11" t="n">
        <x:f>CHOOSE('假设'!$B$3,H6372,I6372,J6372)</x:f>
        <x:v>4</x:v>
      </x:c>
      <x:c r="L6372" s="11" t="n">
        <x:f>K6372*'管线假设'!E1363*'管线假设'!F1363*'管线假设'!G1363*IF(E6372="USD",'管线假设'!I1363,1)-AM6372</x:f>
        <x:v>0.84</x:v>
      </x:c>
      <x:c r="M6372" s="11" t="n">
        <x:f>'管线假设'!H1363</x:f>
        <x:v>0.14</x:v>
      </x:c>
      <x:c r="N6372" s="11" t="n">
        <x:f>IF(G6372,L6372*AN6372/(1+M6372)^F6372,0)</x:f>
        <x:v>0.25832983899881734</x:v>
      </x:c>
      <x:c r="AJ6372" s="42" t="n">
        <x:v>0</x:v>
      </x:c>
      <x:c r="AK6372" s="42" t="n">
        <x:v>0</x:v>
      </x:c>
      <x:c r="AL6372" s="42" t="n">
        <x:v>0</x:v>
      </x:c>
      <x:c r="AM6372" t="n">
        <x:f>CHOOSE('假设'!$B$3,AJ6372,AK6372,AL6372)</x:f>
        <x:v>0</x:v>
      </x:c>
      <x:c r="AN6372" t="n">
        <x:v>1</x:v>
      </x:c>
    </x:row>
    <x:row r="6373" ht="23" customHeight="1">
      <x:c r="A6373" s="11" t="str">
        <x:v>09995.HK</x:v>
      </x:c>
      <x:c r="B6373" s="11" t="str">
        <x:v>2026年底</x:v>
      </x:c>
      <x:c r="C6373" s="11" t="str">
        <x:v>RC148_China</x:v>
      </x:c>
      <x:c r="D6373" s="11" t="str">
        <x:v>2036-12-31</x:v>
      </x:c>
      <x:c r="E6373" s="11" t="str">
        <x:v>CNY</x:v>
      </x:c>
      <x:c r="F6373" s="11" t="n">
        <x:v>10.001368925393566</x:v>
      </x:c>
      <x:c r="G6373" s="26" t="b">
        <x:v>1</x:v>
      </x:c>
      <x:c r="H6373" s="16" t="n">
        <x:v>1.2</x:v>
      </x:c>
      <x:c r="I6373" s="16" t="n">
        <x:v>3.8</x:v>
      </x:c>
      <x:c r="J6373" s="16" t="n">
        <x:v>7.2</x:v>
      </x:c>
      <x:c r="K6373" s="11" t="n">
        <x:f>CHOOSE('假设'!$B$3,H6373,I6373,J6373)</x:f>
        <x:v>3.8</x:v>
      </x:c>
      <x:c r="L6373" s="11" t="n">
        <x:f>K6373*'管线假设'!E1363*'管线假设'!F1363*'管线假设'!G1363*IF(E6373="USD",'管线假设'!I1363,1)-AM6373</x:f>
        <x:v>0.7979999999999999</x:v>
      </x:c>
      <x:c r="M6373" s="11" t="n">
        <x:f>'管线假设'!H1363</x:f>
        <x:v>0.14</x:v>
      </x:c>
      <x:c r="N6373" s="11" t="n">
        <x:f>IF(G6373,L6373*AN6373/(1+M6373)^F6373,0)</x:f>
        <x:v>0.2152169535174306</x:v>
      </x:c>
      <x:c r="AJ6373" s="42" t="n">
        <x:v>0</x:v>
      </x:c>
      <x:c r="AK6373" s="42" t="n">
        <x:v>0</x:v>
      </x:c>
      <x:c r="AL6373" s="42" t="n">
        <x:v>0</x:v>
      </x:c>
      <x:c r="AM6373" t="n">
        <x:f>CHOOSE('假设'!$B$3,AJ6373,AK6373,AL6373)</x:f>
        <x:v>0</x:v>
      </x:c>
      <x:c r="AN6373" t="n">
        <x:v>1</x:v>
      </x:c>
    </x:row>
    <x:row r="6374" ht="23" customHeight="1">
      <x:c r="A6374" s="11" t="str">
        <x:v>09995.HK</x:v>
      </x:c>
      <x:c r="B6374" s="11" t="str">
        <x:v>2026年底</x:v>
      </x:c>
      <x:c r="C6374" s="11" t="str">
        <x:v>RC148_China</x:v>
      </x:c>
      <x:c r="D6374" s="11" t="str">
        <x:v>2037-12-31</x:v>
      </x:c>
      <x:c r="E6374" s="11" t="str">
        <x:v>CNY</x:v>
      </x:c>
      <x:c r="F6374" s="11" t="n">
        <x:v>11.000684462696784</x:v>
      </x:c>
      <x:c r="G6374" s="26" t="b">
        <x:v>1</x:v>
      </x:c>
      <x:c r="H6374" s="16" t="n">
        <x:v>1.2</x:v>
      </x:c>
      <x:c r="I6374" s="16" t="n">
        <x:v>3.6</x:v>
      </x:c>
      <x:c r="J6374" s="16" t="n">
        <x:v>6.4</x:v>
      </x:c>
      <x:c r="K6374" s="11" t="n">
        <x:f>CHOOSE('假设'!$B$3,H6374,I6374,J6374)</x:f>
        <x:v>3.6</x:v>
      </x:c>
      <x:c r="L6374" s="11" t="n">
        <x:f>K6374*'管线假设'!E1363*'管线假设'!F1363*'管线假设'!G1363*IF(E6374="USD",'管线假设'!I1363,1)-AM6374</x:f>
        <x:v>0.756</x:v>
      </x:c>
      <x:c r="M6374" s="11" t="n">
        <x:f>'管线假设'!H1363</x:f>
        <x:v>0.14</x:v>
      </x:c>
      <x:c r="N6374" s="11" t="n">
        <x:f>IF(G6374,L6374*AN6374/(1+M6374)^F6374,0)</x:f>
        <x:v>0.1788666946463936</x:v>
      </x:c>
      <x:c r="AJ6374" s="42" t="n">
        <x:v>0</x:v>
      </x:c>
      <x:c r="AK6374" s="42" t="n">
        <x:v>0</x:v>
      </x:c>
      <x:c r="AL6374" s="42" t="n">
        <x:v>0</x:v>
      </x:c>
      <x:c r="AM6374" t="n">
        <x:f>CHOOSE('假设'!$B$3,AJ6374,AK6374,AL6374)</x:f>
        <x:v>0</x:v>
      </x:c>
      <x:c r="AN6374" t="n">
        <x:v>1</x:v>
      </x:c>
    </x:row>
    <x:row r="6375" ht="23" customHeight="1">
      <x:c r="A6375" s="11" t="str">
        <x:v>09995.HK</x:v>
      </x:c>
      <x:c r="B6375" s="11" t="str">
        <x:v>2026年底</x:v>
      </x:c>
      <x:c r="C6375" s="11" t="str">
        <x:v>RC148_China</x:v>
      </x:c>
      <x:c r="D6375" s="11" t="str">
        <x:v>2038-12-31</x:v>
      </x:c>
      <x:c r="E6375" s="11" t="str">
        <x:v>CNY</x:v>
      </x:c>
      <x:c r="F6375" s="11" t="n">
        <x:v>12</x:v>
      </x:c>
      <x:c r="G6375" s="26" t="b">
        <x:v>1</x:v>
      </x:c>
      <x:c r="H6375" s="16" t="n">
        <x:v>1.14</x:v>
      </x:c>
      <x:c r="I6375" s="16" t="n">
        <x:v>3.2</x:v>
      </x:c>
      <x:c r="J6375" s="16" t="n">
        <x:v>5.2</x:v>
      </x:c>
      <x:c r="K6375" s="11" t="n">
        <x:f>CHOOSE('假设'!$B$3,H6375,I6375,J6375)</x:f>
        <x:v>3.2</x:v>
      </x:c>
      <x:c r="L6375" s="11" t="n">
        <x:f>K6375*'管线假设'!E1363*'管线假设'!F1363*'管线假设'!G1363*IF(E6375="USD",'管线假设'!I1363,1)-AM6375</x:f>
        <x:v>0.672</x:v>
      </x:c>
      <x:c r="M6375" s="11" t="n">
        <x:f>'管线假设'!H1363</x:f>
        <x:v>0.14</x:v>
      </x:c>
      <x:c r="N6375" s="11" t="n">
        <x:f>IF(G6375,L6375*AN6375/(1+M6375)^F6375,0)</x:f>
        <x:v>0.13947971683341007</x:v>
      </x:c>
      <x:c r="AJ6375" s="42" t="n">
        <x:v>0</x:v>
      </x:c>
      <x:c r="AK6375" s="42" t="n">
        <x:v>0</x:v>
      </x:c>
      <x:c r="AL6375" s="42" t="n">
        <x:v>0</x:v>
      </x:c>
      <x:c r="AM6375" t="n">
        <x:f>CHOOSE('假设'!$B$3,AJ6375,AK6375,AL6375)</x:f>
        <x:v>0</x:v>
      </x:c>
      <x:c r="AN6375" t="n">
        <x:v>1</x:v>
      </x:c>
    </x:row>
    <x:row r="6376" ht="23" customHeight="1">
      <x:c r="A6376" s="11" t="str">
        <x:v>09995.HK</x:v>
      </x:c>
      <x:c r="B6376" s="11" t="str">
        <x:v>2026年底</x:v>
      </x:c>
      <x:c r="C6376" s="11" t="str">
        <x:v>RC148_China</x:v>
      </x:c>
      <x:c r="D6376" s="11" t="str">
        <x:v>2039-12-31</x:v>
      </x:c>
      <x:c r="E6376" s="11" t="str">
        <x:v>CNY</x:v>
      </x:c>
      <x:c r="F6376" s="11" t="n">
        <x:v>12.999315537303216</x:v>
      </x:c>
      <x:c r="G6376" s="26" t="b">
        <x:v>1</x:v>
      </x:c>
      <x:c r="H6376" s="16" t="n">
        <x:v>1.08</x:v>
      </x:c>
      <x:c r="I6376" s="16" t="n">
        <x:v>2.6</x:v>
      </x:c>
      <x:c r="J6376" s="16" t="n">
        <x:v>4</x:v>
      </x:c>
      <x:c r="K6376" s="11" t="n">
        <x:f>CHOOSE('假设'!$B$3,H6376,I6376,J6376)</x:f>
        <x:v>2.6</x:v>
      </x:c>
      <x:c r="L6376" s="11" t="n">
        <x:f>K6376*'管线假设'!E1363*'管线假设'!F1363*'管线假设'!G1363*IF(E6376="USD",'管线假设'!I1363,1)-AM6376</x:f>
        <x:v>0.546</x:v>
      </x:c>
      <x:c r="M6376" s="11" t="n">
        <x:f>'管线假设'!H1363</x:f>
        <x:v>0.14</x:v>
      </x:c>
      <x:c r="N6376" s="11" t="n">
        <x:f>IF(G6376,L6376*AN6376/(1+M6376)^F6376,0)</x:f>
        <x:v>0.09941880177282052</x:v>
      </x:c>
      <x:c r="AJ6376" s="42" t="n">
        <x:v>0</x:v>
      </x:c>
      <x:c r="AK6376" s="42" t="n">
        <x:v>0</x:v>
      </x:c>
      <x:c r="AL6376" s="42" t="n">
        <x:v>0</x:v>
      </x:c>
      <x:c r="AM6376" t="n">
        <x:f>CHOOSE('假设'!$B$3,AJ6376,AK6376,AL6376)</x:f>
        <x:v>0</x:v>
      </x:c>
      <x:c r="AN6376" t="n">
        <x:v>1</x:v>
      </x:c>
    </x:row>
    <x:row r="6377" ht="23" customHeight="1">
      <x:c r="A6377" s="11" t="str">
        <x:v>09995.HK</x:v>
      </x:c>
      <x:c r="B6377" s="11" t="str">
        <x:v>2026年底</x:v>
      </x:c>
      <x:c r="C6377" s="11" t="str">
        <x:v>RC148_China</x:v>
      </x:c>
      <x:c r="D6377" s="11" t="str">
        <x:v>2040-12-31</x:v>
      </x:c>
      <x:c r="E6377" s="11" t="str">
        <x:v>CNY</x:v>
      </x:c>
      <x:c r="F6377" s="11" t="n">
        <x:v>14.001368925393566</x:v>
      </x:c>
      <x:c r="G6377" s="26" t="b">
        <x:v>1</x:v>
      </x:c>
      <x:c r="H6377" s="16" t="n">
        <x:v>0.96</x:v>
      </x:c>
      <x:c r="I6377" s="16" t="n">
        <x:v>2</x:v>
      </x:c>
      <x:c r="J6377" s="16" t="n">
        <x:v>2.8</x:v>
      </x:c>
      <x:c r="K6377" s="11" t="n">
        <x:f>CHOOSE('假设'!$B$3,H6377,I6377,J6377)</x:f>
        <x:v>2</x:v>
      </x:c>
      <x:c r="L6377" s="11" t="n">
        <x:f>K6377*'管线假设'!E1363*'管线假设'!F1363*'管线假设'!G1363*IF(E6377="USD",'管线假设'!I1363,1)-AM6377</x:f>
        <x:v>0.42</x:v>
      </x:c>
      <x:c r="M6377" s="11" t="n">
        <x:f>'管线假设'!H1363</x:f>
        <x:v>0.14</x:v>
      </x:c>
      <x:c r="N6377" s="11" t="n">
        <x:f>IF(G6377,L6377*AN6377/(1+M6377)^F6377,0)</x:f>
        <x:v>0.06706616501756184</x:v>
      </x:c>
      <x:c r="AJ6377" s="42" t="n">
        <x:v>0</x:v>
      </x:c>
      <x:c r="AK6377" s="42" t="n">
        <x:v>0</x:v>
      </x:c>
      <x:c r="AL6377" s="42" t="n">
        <x:v>0</x:v>
      </x:c>
      <x:c r="AM6377" t="n">
        <x:f>CHOOSE('假设'!$B$3,AJ6377,AK6377,AL6377)</x:f>
        <x:v>0</x:v>
      </x:c>
      <x:c r="AN6377" t="n">
        <x:v>1</x:v>
      </x:c>
    </x:row>
    <x:row r="6378" ht="23" customHeight="1">
      <x:c r="A6378" s="11" t="str">
        <x:v>09995.HK</x:v>
      </x:c>
      <x:c r="B6378" s="11" t="str">
        <x:v>2026年底</x:v>
      </x:c>
      <x:c r="C6378" s="11" t="str">
        <x:v>RC148_China</x:v>
      </x:c>
      <x:c r="D6378" s="11" t="str">
        <x:v>2041-12-31</x:v>
      </x:c>
      <x:c r="E6378" s="11" t="str">
        <x:v>CNY</x:v>
      </x:c>
      <x:c r="F6378" s="11" t="n">
        <x:v>15.000684462696784</x:v>
      </x:c>
      <x:c r="G6378" s="26" t="b">
        <x:v>1</x:v>
      </x:c>
      <x:c r="H6378" s="16" t="n">
        <x:v>0.78</x:v>
      </x:c>
      <x:c r="I6378" s="16" t="n">
        <x:v>1.4</x:v>
      </x:c>
      <x:c r="J6378" s="16" t="n">
        <x:v>1.6</x:v>
      </x:c>
      <x:c r="K6378" s="11" t="n">
        <x:f>CHOOSE('假设'!$B$3,H6378,I6378,J6378)</x:f>
        <x:v>1.4</x:v>
      </x:c>
      <x:c r="L6378" s="11" t="n">
        <x:f>K6378*'管线假设'!E1363*'管线假设'!F1363*'管线假设'!G1363*IF(E6378="USD",'管线假设'!I1363,1)-AM6378</x:f>
        <x:v>0.294</x:v>
      </x:c>
      <x:c r="M6378" s="11" t="n">
        <x:f>'管线假设'!H1363</x:f>
        <x:v>0.14</x:v>
      </x:c>
      <x:c r="N6378" s="11" t="n">
        <x:f>IF(G6378,L6378*AN6378/(1+M6378)^F6378,0)</x:f>
        <x:v>0.04118467195831555</x:v>
      </x:c>
      <x:c r="AJ6378" s="42" t="n">
        <x:v>0</x:v>
      </x:c>
      <x:c r="AK6378" s="42" t="n">
        <x:v>0</x:v>
      </x:c>
      <x:c r="AL6378" s="42" t="n">
        <x:v>0</x:v>
      </x:c>
      <x:c r="AM6378" t="n">
        <x:f>CHOOSE('假设'!$B$3,AJ6378,AK6378,AL6378)</x:f>
        <x:v>0</x:v>
      </x:c>
      <x:c r="AN6378" t="n">
        <x:v>1</x:v>
      </x:c>
    </x:row>
    <x:row r="6379" ht="23" customHeight="1">
      <x:c r="A6379" s="11" t="str">
        <x:v>09995.HK</x:v>
      </x:c>
      <x:c r="B6379" s="11" t="str">
        <x:v>2026年底</x:v>
      </x:c>
      <x:c r="C6379" s="11" t="str">
        <x:v>RC148_China</x:v>
      </x:c>
      <x:c r="D6379" s="11" t="str">
        <x:v>2042-12-31</x:v>
      </x:c>
      <x:c r="E6379" s="11" t="str">
        <x:v>CNY</x:v>
      </x:c>
      <x:c r="F6379" s="11" t="n">
        <x:v>16</x:v>
      </x:c>
      <x:c r="G6379" s="26" t="b">
        <x:v>1</x:v>
      </x:c>
      <x:c r="H6379" s="16" t="n">
        <x:v>0.6</x:v>
      </x:c>
      <x:c r="I6379" s="16" t="n">
        <x:v>0.8</x:v>
      </x:c>
      <x:c r="J6379" s="16" t="n">
        <x:v>0.96</x:v>
      </x:c>
      <x:c r="K6379" s="11" t="n">
        <x:f>CHOOSE('假设'!$B$3,H6379,I6379,J6379)</x:f>
        <x:v>0.8</x:v>
      </x:c>
      <x:c r="L6379" s="11" t="n">
        <x:f>K6379*'管线假设'!E1363*'管线假设'!F1363*'管线假设'!G1363*IF(E6379="USD",'管线假设'!I1363,1)-AM6379</x:f>
        <x:v>0.168</x:v>
      </x:c>
      <x:c r="M6379" s="11" t="n">
        <x:f>'管线假设'!H1363</x:f>
        <x:v>0.14</x:v>
      </x:c>
      <x:c r="N6379" s="11" t="n">
        <x:f>IF(G6379,L6379*AN6379/(1+M6379)^F6379,0)</x:f>
        <x:v>0.02064579735756023</x:v>
      </x:c>
      <x:c r="AJ6379" s="42" t="n">
        <x:v>0</x:v>
      </x:c>
      <x:c r="AK6379" s="42" t="n">
        <x:v>0</x:v>
      </x:c>
      <x:c r="AL6379" s="42" t="n">
        <x:v>0</x:v>
      </x:c>
      <x:c r="AM6379" t="n">
        <x:f>CHOOSE('假设'!$B$3,AJ6379,AK6379,AL6379)</x:f>
        <x:v>0</x:v>
      </x:c>
      <x:c r="AN6379" t="n">
        <x:v>1</x:v>
      </x:c>
    </x:row>
    <x:row r="6380" ht="23" customHeight="1">
      <x:c r="A6380" s="11" t="str">
        <x:v>09995.HK</x:v>
      </x:c>
      <x:c r="B6380" s="11" t="str">
        <x:v>2026年底</x:v>
      </x:c>
      <x:c r="C6380" s="11" t="str">
        <x:v>RC148_China</x:v>
      </x:c>
      <x:c r="D6380" s="11" t="str">
        <x:v>2043-12-31</x:v>
      </x:c>
      <x:c r="E6380" s="11" t="str">
        <x:v>CNY</x:v>
      </x:c>
      <x:c r="F6380" s="11" t="n">
        <x:v>16.999315537303218</x:v>
      </x:c>
      <x:c r="G6380" s="26" t="b">
        <x:v>1</x:v>
      </x:c>
      <x:c r="H6380" s="16" t="n">
        <x:v>0.42</x:v>
      </x:c>
      <x:c r="I6380" s="16" t="n">
        <x:v>0.48</x:v>
      </x:c>
      <x:c r="J6380" s="16" t="n">
        <x:v>0.56</x:v>
      </x:c>
      <x:c r="K6380" s="11" t="n">
        <x:f>CHOOSE('假设'!$B$3,H6380,I6380,J6380)</x:f>
        <x:v>0.48</x:v>
      </x:c>
      <x:c r="L6380" s="11" t="n">
        <x:f>K6380*'管线假设'!E1363*'管线假设'!F1363*'管线假设'!G1363*IF(E6380="USD",'管线假设'!I1363,1)-AM6380</x:f>
        <x:v>0.10079999999999999</x:v>
      </x:c>
      <x:c r="M6380" s="11" t="n">
        <x:f>'管线假设'!H1363</x:f>
        <x:v>0.14</x:v>
      </x:c>
      <x:c r="N6380" s="11" t="n">
        <x:f>IF(G6380,L6380*AN6380/(1+M6380)^F6380,0)</x:f>
        <x:v>0.01086718370390094</x:v>
      </x:c>
      <x:c r="AJ6380" s="42" t="n">
        <x:v>0</x:v>
      </x:c>
      <x:c r="AK6380" s="42" t="n">
        <x:v>0</x:v>
      </x:c>
      <x:c r="AL6380" s="42" t="n">
        <x:v>0</x:v>
      </x:c>
      <x:c r="AM6380" t="n">
        <x:f>CHOOSE('假设'!$B$3,AJ6380,AK6380,AL6380)</x:f>
        <x:v>0</x:v>
      </x:c>
      <x:c r="AN6380" t="n">
        <x:v>1</x:v>
      </x:c>
    </x:row>
    <x:row r="6381" ht="23" customHeight="1">
      <x:c r="A6381" s="11" t="str">
        <x:v>09995.HK</x:v>
      </x:c>
      <x:c r="B6381" s="11" t="str">
        <x:v>2026年底</x:v>
      </x:c>
      <x:c r="C6381" s="11" t="str">
        <x:v>RC148_China</x:v>
      </x:c>
      <x:c r="D6381" s="11" t="str">
        <x:v>2044-12-31</x:v>
      </x:c>
      <x:c r="E6381" s="11" t="str">
        <x:v>CNY</x:v>
      </x:c>
      <x:c r="F6381" s="11" t="n">
        <x:v>18.001368925393567</x:v>
      </x:c>
      <x:c r="G6381" s="26" t="b">
        <x:v>1</x:v>
      </x:c>
      <x:c r="H6381" s="16" t="n">
        <x:v>0.24</x:v>
      </x:c>
      <x:c r="I6381" s="16" t="n">
        <x:v>0.28</x:v>
      </x:c>
      <x:c r="J6381" s="16" t="n">
        <x:v>0.24</x:v>
      </x:c>
      <x:c r="K6381" s="11" t="n">
        <x:f>CHOOSE('假设'!$B$3,H6381,I6381,J6381)</x:f>
        <x:v>0.28</x:v>
      </x:c>
      <x:c r="L6381" s="11" t="n">
        <x:f>K6381*'管线假设'!E1363*'管线假设'!F1363*'管线假设'!G1363*IF(E6381="USD",'管线假设'!I1363,1)-AM6381</x:f>
        <x:v>0.058800000000000005</x:v>
      </x:c>
      <x:c r="M6381" s="11" t="n">
        <x:f>'管线假设'!H1363</x:f>
        <x:v>0.14</x:v>
      </x:c>
      <x:c r="N6381" s="11" t="n">
        <x:f>IF(G6381,L6381*AN6381/(1+M6381)^F6381,0)</x:f>
        <x:v>0.005559197502005407</x:v>
      </x:c>
      <x:c r="AJ6381" s="42" t="n">
        <x:v>0</x:v>
      </x:c>
      <x:c r="AK6381" s="42" t="n">
        <x:v>0</x:v>
      </x:c>
      <x:c r="AL6381" s="42" t="n">
        <x:v>0</x:v>
      </x:c>
      <x:c r="AM6381" t="n">
        <x:f>CHOOSE('假设'!$B$3,AJ6381,AK6381,AL6381)</x:f>
        <x:v>0</x:v>
      </x:c>
      <x:c r="AN6381" t="n">
        <x:v>1</x:v>
      </x:c>
    </x:row>
    <x:row r="6382" ht="23" customHeight="1">
      <x:c r="A6382" s="11" t="str">
        <x:v>09995.HK</x:v>
      </x:c>
      <x:c r="B6382" s="11" t="str">
        <x:v>2026年底</x:v>
      </x:c>
      <x:c r="C6382" s="11" t="str">
        <x:v>RC148_foreign</x:v>
      </x:c>
      <x:c r="D6382" s="11" t="str">
        <x:v>2026-12-31</x:v>
      </x:c>
      <x:c r="E6382" s="11" t="str">
        <x:v>USD</x:v>
      </x:c>
      <x:c r="F6382" s="11" t="n">
        <x:v>0</x:v>
      </x:c>
      <x:c r="G6382" s="26" t="b">
        <x:v>0</x:v>
      </x:c>
      <x:c r="H6382" s="16" t="n">
        <x:v>0</x:v>
      </x:c>
      <x:c r="I6382" s="16" t="n">
        <x:v>0</x:v>
      </x:c>
      <x:c r="J6382" s="16" t="n">
        <x:v>0</x:v>
      </x:c>
      <x:c r="K6382" s="11" t="n">
        <x:f>CHOOSE('假设'!$B$3,H6382,I6382,J6382)</x:f>
        <x:v>0</x:v>
      </x:c>
      <x:c r="L6382" s="11" t="n">
        <x:f>K6382*'管线假设'!E1367*'管线假设'!F1367*'管线假设'!G1367*IF(E6382="USD",'管线假设'!I1367,1)-AM6382</x:f>
        <x:v>-0.056</x:v>
      </x:c>
      <x:c r="M6382" s="11" t="n">
        <x:f>'管线假设'!H1367</x:f>
        <x:v>0.14</x:v>
      </x:c>
      <x:c r="N6382" s="11" t="n">
        <x:f>IF(G6382,L6382*AN6382/(1+M6382)^F6382,0)</x:f>
        <x:v>0</x:v>
      </x:c>
      <x:c r="AJ6382" s="42" t="n">
        <x:v>0.021</x:v>
      </x:c>
      <x:c r="AK6382" s="42" t="n">
        <x:v>0.056</x:v>
      </x:c>
      <x:c r="AL6382" s="42" t="n">
        <x:v>0.084</x:v>
      </x:c>
      <x:c r="AM6382" t="n">
        <x:f>CHOOSE('假设'!$B$3,AJ6382,AK6382,AL6382)</x:f>
        <x:v>0.056</x:v>
      </x:c>
      <x:c r="AN6382" t="n">
        <x:v>0</x:v>
      </x:c>
    </x:row>
    <x:row r="6383" ht="23" customHeight="1">
      <x:c r="A6383" s="11" t="str">
        <x:v>09995.HK</x:v>
      </x:c>
      <x:c r="B6383" s="11" t="str">
        <x:v>2026年底</x:v>
      </x:c>
      <x:c r="C6383" s="11" t="str">
        <x:v>RC148_foreign</x:v>
      </x:c>
      <x:c r="D6383" s="11" t="str">
        <x:v>2027-12-31</x:v>
      </x:c>
      <x:c r="E6383" s="11" t="str">
        <x:v>USD</x:v>
      </x:c>
      <x:c r="F6383" s="11" t="n">
        <x:v>0.999315537303217</x:v>
      </x:c>
      <x:c r="G6383" s="26" t="b">
        <x:v>1</x:v>
      </x:c>
      <x:c r="H6383" s="16" t="n">
        <x:v>0</x:v>
      </x:c>
      <x:c r="I6383" s="16" t="n">
        <x:v>0</x:v>
      </x:c>
      <x:c r="J6383" s="16" t="n">
        <x:v>0</x:v>
      </x:c>
      <x:c r="K6383" s="11" t="n">
        <x:f>CHOOSE('假设'!$B$3,H6383,I6383,J6383)</x:f>
        <x:v>0</x:v>
      </x:c>
      <x:c r="L6383" s="11" t="n">
        <x:f>K6383*'管线假设'!E1367*'管线假设'!F1367*'管线假设'!G1367*IF(E6383="USD",'管线假设'!I1367,1)-AM6383</x:f>
        <x:v>0</x:v>
      </x:c>
      <x:c r="M6383" s="11" t="n">
        <x:f>'管线假设'!H1367</x:f>
        <x:v>0.14</x:v>
      </x:c>
      <x:c r="N6383" s="11" t="n">
        <x:f>IF(G6383,L6383*AN6383/(1+M6383)^F6383,0)</x:f>
        <x:v>0</x:v>
      </x:c>
      <x:c r="AJ6383" s="42" t="n">
        <x:v>0</x:v>
      </x:c>
      <x:c r="AK6383" s="42" t="n">
        <x:v>0</x:v>
      </x:c>
      <x:c r="AL6383" s="42" t="n">
        <x:v>0</x:v>
      </x:c>
      <x:c r="AM6383" t="n">
        <x:f>CHOOSE('假设'!$B$3,AJ6383,AK6383,AL6383)</x:f>
        <x:v>0</x:v>
      </x:c>
      <x:c r="AN6383" t="n">
        <x:v>1</x:v>
      </x:c>
    </x:row>
    <x:row r="6384" ht="23" customHeight="1">
      <x:c r="A6384" s="11" t="str">
        <x:v>09995.HK</x:v>
      </x:c>
      <x:c r="B6384" s="11" t="str">
        <x:v>2026年底</x:v>
      </x:c>
      <x:c r="C6384" s="11" t="str">
        <x:v>RC148_foreign</x:v>
      </x:c>
      <x:c r="D6384" s="11" t="str">
        <x:v>2028-12-31</x:v>
      </x:c>
      <x:c r="E6384" s="11" t="str">
        <x:v>USD</x:v>
      </x:c>
      <x:c r="F6384" s="11" t="n">
        <x:v>2.001368925393566</x:v>
      </x:c>
      <x:c r="G6384" s="26" t="b">
        <x:v>1</x:v>
      </x:c>
      <x:c r="H6384" s="16" t="n">
        <x:v>0</x:v>
      </x:c>
      <x:c r="I6384" s="16" t="n">
        <x:v>0</x:v>
      </x:c>
      <x:c r="J6384" s="16" t="n">
        <x:v>0</x:v>
      </x:c>
      <x:c r="K6384" s="11" t="n">
        <x:f>CHOOSE('假设'!$B$3,H6384,I6384,J6384)</x:f>
        <x:v>0</x:v>
      </x:c>
      <x:c r="L6384" s="11" t="n">
        <x:f>K6384*'管线假设'!E1367*'管线假设'!F1367*'管线假设'!G1367*IF(E6384="USD",'管线假设'!I1367,1)-AM6384</x:f>
        <x:v>0</x:v>
      </x:c>
      <x:c r="M6384" s="11" t="n">
        <x:f>'管线假设'!H1367</x:f>
        <x:v>0.14</x:v>
      </x:c>
      <x:c r="N6384" s="11" t="n">
        <x:f>IF(G6384,L6384*AN6384/(1+M6384)^F6384,0)</x:f>
        <x:v>0</x:v>
      </x:c>
      <x:c r="AJ6384" s="42" t="n">
        <x:v>0</x:v>
      </x:c>
      <x:c r="AK6384" s="42" t="n">
        <x:v>0</x:v>
      </x:c>
      <x:c r="AL6384" s="42" t="n">
        <x:v>0</x:v>
      </x:c>
      <x:c r="AM6384" t="n">
        <x:f>CHOOSE('假设'!$B$3,AJ6384,AK6384,AL6384)</x:f>
        <x:v>0</x:v>
      </x:c>
      <x:c r="AN6384" t="n">
        <x:v>1</x:v>
      </x:c>
    </x:row>
    <x:row r="6385" ht="23" customHeight="1">
      <x:c r="A6385" s="11" t="str">
        <x:v>09995.HK</x:v>
      </x:c>
      <x:c r="B6385" s="11" t="str">
        <x:v>2026年底</x:v>
      </x:c>
      <x:c r="C6385" s="11" t="str">
        <x:v>RC148_foreign</x:v>
      </x:c>
      <x:c r="D6385" s="11" t="str">
        <x:v>2029-12-31</x:v>
      </x:c>
      <x:c r="E6385" s="11" t="str">
        <x:v>USD</x:v>
      </x:c>
      <x:c r="F6385" s="11" t="n">
        <x:v>3.0006844626967832</x:v>
      </x:c>
      <x:c r="G6385" s="26" t="b">
        <x:v>1</x:v>
      </x:c>
      <x:c r="H6385" s="16" t="n">
        <x:v>0</x:v>
      </x:c>
      <x:c r="I6385" s="16" t="n">
        <x:v>0</x:v>
      </x:c>
      <x:c r="J6385" s="16" t="n">
        <x:v>0.6</x:v>
      </x:c>
      <x:c r="K6385" s="11" t="n">
        <x:f>CHOOSE('假设'!$B$3,H6385,I6385,J6385)</x:f>
        <x:v>0</x:v>
      </x:c>
      <x:c r="L6385" s="11" t="n">
        <x:f>K6385*'管线假设'!E1367*'管线假设'!F1367*'管线假设'!G1367*IF(E6385="USD",'管线假设'!I1367,1)-AM6385</x:f>
        <x:v>0</x:v>
      </x:c>
      <x:c r="M6385" s="11" t="n">
        <x:f>'管线假设'!H1367</x:f>
        <x:v>0.14</x:v>
      </x:c>
      <x:c r="N6385" s="11" t="n">
        <x:f>IF(G6385,L6385*AN6385/(1+M6385)^F6385,0)</x:f>
        <x:v>0</x:v>
      </x:c>
      <x:c r="AJ6385" s="42" t="n">
        <x:v>0</x:v>
      </x:c>
      <x:c r="AK6385" s="42" t="n">
        <x:v>0</x:v>
      </x:c>
      <x:c r="AL6385" s="42" t="n">
        <x:v>0</x:v>
      </x:c>
      <x:c r="AM6385" t="n">
        <x:f>CHOOSE('假设'!$B$3,AJ6385,AK6385,AL6385)</x:f>
        <x:v>0</x:v>
      </x:c>
      <x:c r="AN6385" t="n">
        <x:v>1</x:v>
      </x:c>
    </x:row>
    <x:row r="6386" ht="23" customHeight="1">
      <x:c r="A6386" s="11" t="str">
        <x:v>09995.HK</x:v>
      </x:c>
      <x:c r="B6386" s="11" t="str">
        <x:v>2026年底</x:v>
      </x:c>
      <x:c r="C6386" s="11" t="str">
        <x:v>RC148_foreign</x:v>
      </x:c>
      <x:c r="D6386" s="11" t="str">
        <x:v>2030-12-31</x:v>
      </x:c>
      <x:c r="E6386" s="11" t="str">
        <x:v>USD</x:v>
      </x:c>
      <x:c r="F6386" s="11" t="n">
        <x:v>4</x:v>
      </x:c>
      <x:c r="G6386" s="26" t="b">
        <x:v>1</x:v>
      </x:c>
      <x:c r="H6386" s="16" t="n">
        <x:v>0</x:v>
      </x:c>
      <x:c r="I6386" s="16" t="n">
        <x:v>0.3</x:v>
      </x:c>
      <x:c r="J6386" s="16" t="n">
        <x:v>1.7999999999999998</x:v>
      </x:c>
      <x:c r="K6386" s="11" t="n">
        <x:f>CHOOSE('假设'!$B$3,H6386,I6386,J6386)</x:f>
        <x:v>0.3</x:v>
      </x:c>
      <x:c r="L6386" s="11" t="n">
        <x:f>K6386*'管线假设'!E1367*'管线假设'!F1367*'管线假设'!G1367*IF(E6386="USD",'管线假设'!I1367,1)-AM6386</x:f>
        <x:v>0.12054</x:v>
      </x:c>
      <x:c r="M6386" s="11" t="n">
        <x:f>'管线假设'!H1367</x:f>
        <x:v>0.14</x:v>
      </x:c>
      <x:c r="N6386" s="11" t="n">
        <x:f>IF(G6386,L6386*AN6386/(1+M6386)^F6386,0)</x:f>
        <x:v>0.07136935663420263</x:v>
      </x:c>
      <x:c r="AJ6386" s="42" t="n">
        <x:v>0</x:v>
      </x:c>
      <x:c r="AK6386" s="42" t="n">
        <x:v>0</x:v>
      </x:c>
      <x:c r="AL6386" s="42" t="n">
        <x:v>0</x:v>
      </x:c>
      <x:c r="AM6386" t="n">
        <x:f>CHOOSE('假设'!$B$3,AJ6386,AK6386,AL6386)</x:f>
        <x:v>0</x:v>
      </x:c>
      <x:c r="AN6386" t="n">
        <x:v>1</x:v>
      </x:c>
    </x:row>
    <x:row r="6387" ht="23" customHeight="1">
      <x:c r="A6387" s="11" t="str">
        <x:v>09995.HK</x:v>
      </x:c>
      <x:c r="B6387" s="11" t="str">
        <x:v>2026年底</x:v>
      </x:c>
      <x:c r="C6387" s="11" t="str">
        <x:v>RC148_foreign</x:v>
      </x:c>
      <x:c r="D6387" s="11" t="str">
        <x:v>2031-12-31</x:v>
      </x:c>
      <x:c r="E6387" s="11" t="str">
        <x:v>USD</x:v>
      </x:c>
      <x:c r="F6387" s="11" t="n">
        <x:v>4.999315537303217</x:v>
      </x:c>
      <x:c r="G6387" s="26" t="b">
        <x:v>1</x:v>
      </x:c>
      <x:c r="H6387" s="16" t="n">
        <x:v>0</x:v>
      </x:c>
      <x:c r="I6387" s="16" t="n">
        <x:v>0.8999999999999999</x:v>
      </x:c>
      <x:c r="J6387" s="16" t="n">
        <x:v>3.8</x:v>
      </x:c>
      <x:c r="K6387" s="11" t="n">
        <x:f>CHOOSE('假设'!$B$3,H6387,I6387,J6387)</x:f>
        <x:v>0.8999999999999999</x:v>
      </x:c>
      <x:c r="L6387" s="11" t="n">
        <x:f>K6387*'管线假设'!E1367*'管线假设'!F1367*'管线假设'!G1367*IF(E6387="USD",'管线假设'!I1367,1)-AM6387</x:f>
        <x:v>0.36162</x:v>
      </x:c>
      <x:c r="M6387" s="11" t="n">
        <x:f>'管线假设'!H1367</x:f>
        <x:v>0.14</x:v>
      </x:c>
      <x:c r="N6387" s="11" t="n">
        <x:f>IF(G6387,L6387*AN6387/(1+M6387)^F6387,0)</x:f>
        <x:v>0.18783094107263737</x:v>
      </x:c>
      <x:c r="AJ6387" s="42" t="n">
        <x:v>0</x:v>
      </x:c>
      <x:c r="AK6387" s="42" t="n">
        <x:v>0</x:v>
      </x:c>
      <x:c r="AL6387" s="42" t="n">
        <x:v>0</x:v>
      </x:c>
      <x:c r="AM6387" t="n">
        <x:f>CHOOSE('假设'!$B$3,AJ6387,AK6387,AL6387)</x:f>
        <x:v>0</x:v>
      </x:c>
      <x:c r="AN6387" t="n">
        <x:v>1</x:v>
      </x:c>
    </x:row>
    <x:row r="6388" ht="23" customHeight="1">
      <x:c r="A6388" s="11" t="str">
        <x:v>09995.HK</x:v>
      </x:c>
      <x:c r="B6388" s="11" t="str">
        <x:v>2026年底</x:v>
      </x:c>
      <x:c r="C6388" s="11" t="str">
        <x:v>RC148_foreign</x:v>
      </x:c>
      <x:c r="D6388" s="11" t="str">
        <x:v>2032-12-31</x:v>
      </x:c>
      <x:c r="E6388" s="11" t="str">
        <x:v>USD</x:v>
      </x:c>
      <x:c r="F6388" s="11" t="n">
        <x:v>6.0013689253935665</x:v>
      </x:c>
      <x:c r="G6388" s="26" t="b">
        <x:v>1</x:v>
      </x:c>
      <x:c r="H6388" s="16" t="n">
        <x:v>0.12</x:v>
      </x:c>
      <x:c r="I6388" s="16" t="n">
        <x:v>1.9</x:v>
      </x:c>
      <x:c r="J6388" s="16" t="n">
        <x:v>6.5</x:v>
      </x:c>
      <x:c r="K6388" s="11" t="n">
        <x:f>CHOOSE('假设'!$B$3,H6388,I6388,J6388)</x:f>
        <x:v>1.9</x:v>
      </x:c>
      <x:c r="L6388" s="11" t="n">
        <x:f>K6388*'管线假设'!E1367*'管线假设'!F1367*'管线假设'!G1367*IF(E6388="USD",'管线假设'!I1367,1)-AM6388</x:f>
        <x:v>0.76342</x:v>
      </x:c>
      <x:c r="M6388" s="11" t="n">
        <x:f>'管线假设'!H1367</x:f>
        <x:v>0.14</x:v>
      </x:c>
      <x:c r="N6388" s="11" t="n">
        <x:f>IF(G6388,L6388*AN6388/(1+M6388)^F6388,0)</x:f>
        <x:v>0.3477415029701201</x:v>
      </x:c>
      <x:c r="AJ6388" s="42" t="n">
        <x:v>0</x:v>
      </x:c>
      <x:c r="AK6388" s="42" t="n">
        <x:v>0</x:v>
      </x:c>
      <x:c r="AL6388" s="42" t="n">
        <x:v>0</x:v>
      </x:c>
      <x:c r="AM6388" t="n">
        <x:f>CHOOSE('假设'!$B$3,AJ6388,AK6388,AL6388)</x:f>
        <x:v>0</x:v>
      </x:c>
      <x:c r="AN6388" t="n">
        <x:v>1</x:v>
      </x:c>
    </x:row>
    <x:row r="6389" ht="23" customHeight="1">
      <x:c r="A6389" s="11" t="str">
        <x:v>09995.HK</x:v>
      </x:c>
      <x:c r="B6389" s="11" t="str">
        <x:v>2026年底</x:v>
      </x:c>
      <x:c r="C6389" s="11" t="str">
        <x:v>RC148_foreign</x:v>
      </x:c>
      <x:c r="D6389" s="11" t="str">
        <x:v>2033-12-31</x:v>
      </x:c>
      <x:c r="E6389" s="11" t="str">
        <x:v>USD</x:v>
      </x:c>
      <x:c r="F6389" s="11" t="n">
        <x:v>7.000684462696783</x:v>
      </x:c>
      <x:c r="G6389" s="26" t="b">
        <x:v>1</x:v>
      </x:c>
      <x:c r="H6389" s="16" t="n">
        <x:v>0.36</x:v>
      </x:c>
      <x:c r="I6389" s="16" t="n">
        <x:v>3.25</x:v>
      </x:c>
      <x:c r="J6389" s="16" t="n">
        <x:v>8.5</x:v>
      </x:c>
      <x:c r="K6389" s="11" t="n">
        <x:f>CHOOSE('假设'!$B$3,H6389,I6389,J6389)</x:f>
        <x:v>3.25</x:v>
      </x:c>
      <x:c r="L6389" s="11" t="n">
        <x:f>K6389*'管线假设'!E1367*'管线假设'!F1367*'管线假设'!G1367*IF(E6389="USD",'管线假设'!I1367,1)-AM6389</x:f>
        <x:v>1.30585</x:v>
      </x:c>
      <x:c r="M6389" s="11" t="n">
        <x:f>'管线假设'!H1367</x:f>
        <x:v>0.14</x:v>
      </x:c>
      <x:c r="N6389" s="11" t="n">
        <x:f>IF(G6389,L6389*AN6389/(1+M6389)^F6389,0)</x:f>
        <x:v>0.5218195966803016</x:v>
      </x:c>
      <x:c r="AJ6389" s="42" t="n">
        <x:v>0</x:v>
      </x:c>
      <x:c r="AK6389" s="42" t="n">
        <x:v>0</x:v>
      </x:c>
      <x:c r="AL6389" s="42" t="n">
        <x:v>0</x:v>
      </x:c>
      <x:c r="AM6389" t="n">
        <x:f>CHOOSE('假设'!$B$3,AJ6389,AK6389,AL6389)</x:f>
        <x:v>0</x:v>
      </x:c>
      <x:c r="AN6389" t="n">
        <x:v>1</x:v>
      </x:c>
    </x:row>
    <x:row r="6390" ht="23" customHeight="1">
      <x:c r="A6390" s="11" t="str">
        <x:v>09995.HK</x:v>
      </x:c>
      <x:c r="B6390" s="11" t="str">
        <x:v>2026年底</x:v>
      </x:c>
      <x:c r="C6390" s="11" t="str">
        <x:v>RC148_foreign</x:v>
      </x:c>
      <x:c r="D6390" s="11" t="str">
        <x:v>2034-12-31</x:v>
      </x:c>
      <x:c r="E6390" s="11" t="str">
        <x:v>USD</x:v>
      </x:c>
      <x:c r="F6390" s="11" t="n">
        <x:v>8</x:v>
      </x:c>
      <x:c r="G6390" s="26" t="b">
        <x:v>1</x:v>
      </x:c>
      <x:c r="H6390" s="16" t="n">
        <x:v>0.76</x:v>
      </x:c>
      <x:c r="I6390" s="16" t="n">
        <x:v>4.25</x:v>
      </x:c>
      <x:c r="J6390" s="16" t="n">
        <x:v>10</x:v>
      </x:c>
      <x:c r="K6390" s="11" t="n">
        <x:f>CHOOSE('假设'!$B$3,H6390,I6390,J6390)</x:f>
        <x:v>4.25</x:v>
      </x:c>
      <x:c r="L6390" s="11" t="n">
        <x:f>K6390*'管线假设'!E1367*'管线假设'!F1367*'管线假设'!G1367*IF(E6390="USD",'管线假设'!I1367,1)-AM6390</x:f>
        <x:v>1.7076500000000001</x:v>
      </x:c>
      <x:c r="M6390" s="11" t="n">
        <x:f>'管线假设'!H1367</x:f>
        <x:v>0.14</x:v>
      </x:c>
      <x:c r="N6390" s="11" t="n">
        <x:f>IF(G6390,L6390*AN6390/(1+M6390)^F6390,0)</x:f>
        <x:v>0.5986321700159012</x:v>
      </x:c>
      <x:c r="AJ6390" s="42" t="n">
        <x:v>0</x:v>
      </x:c>
      <x:c r="AK6390" s="42" t="n">
        <x:v>0</x:v>
      </x:c>
      <x:c r="AL6390" s="42" t="n">
        <x:v>0</x:v>
      </x:c>
      <x:c r="AM6390" t="n">
        <x:f>CHOOSE('假设'!$B$3,AJ6390,AK6390,AL6390)</x:f>
        <x:v>0</x:v>
      </x:c>
      <x:c r="AN6390" t="n">
        <x:v>1</x:v>
      </x:c>
    </x:row>
    <x:row r="6391" ht="23" customHeight="1">
      <x:c r="A6391" s="11" t="str">
        <x:v>09995.HK</x:v>
      </x:c>
      <x:c r="B6391" s="11" t="str">
        <x:v>2026年底</x:v>
      </x:c>
      <x:c r="C6391" s="11" t="str">
        <x:v>RC148_foreign</x:v>
      </x:c>
      <x:c r="D6391" s="11" t="str">
        <x:v>2035-12-31</x:v>
      </x:c>
      <x:c r="E6391" s="11" t="str">
        <x:v>USD</x:v>
      </x:c>
      <x:c r="F6391" s="11" t="n">
        <x:v>8.999315537303216</x:v>
      </x:c>
      <x:c r="G6391" s="26" t="b">
        <x:v>1</x:v>
      </x:c>
      <x:c r="H6391" s="16" t="n">
        <x:v>1.3</x:v>
      </x:c>
      <x:c r="I6391" s="16" t="n">
        <x:v>5</x:v>
      </x:c>
      <x:c r="J6391" s="16" t="n">
        <x:v>10</x:v>
      </x:c>
      <x:c r="K6391" s="11" t="n">
        <x:f>CHOOSE('假设'!$B$3,H6391,I6391,J6391)</x:f>
        <x:v>5</x:v>
      </x:c>
      <x:c r="L6391" s="11" t="n">
        <x:f>K6391*'管线假设'!E1367*'管线假设'!F1367*'管线假设'!G1367*IF(E6391="USD",'管线假设'!I1367,1)-AM6391</x:f>
        <x:v>2.009</x:v>
      </x:c>
      <x:c r="M6391" s="11" t="n">
        <x:f>'管线假设'!H1367</x:f>
        <x:v>0.14</x:v>
      </x:c>
      <x:c r="N6391" s="11" t="n">
        <x:f>IF(G6391,L6391*AN6391/(1+M6391)^F6391,0)</x:f>
        <x:v>0.6178388649388381</x:v>
      </x:c>
      <x:c r="AJ6391" s="42" t="n">
        <x:v>0</x:v>
      </x:c>
      <x:c r="AK6391" s="42" t="n">
        <x:v>0</x:v>
      </x:c>
      <x:c r="AL6391" s="42" t="n">
        <x:v>0</x:v>
      </x:c>
      <x:c r="AM6391" t="n">
        <x:f>CHOOSE('假设'!$B$3,AJ6391,AK6391,AL6391)</x:f>
        <x:v>0</x:v>
      </x:c>
      <x:c r="AN6391" t="n">
        <x:v>1</x:v>
      </x:c>
    </x:row>
    <x:row r="6392" ht="23" customHeight="1">
      <x:c r="A6392" s="11" t="str">
        <x:v>09995.HK</x:v>
      </x:c>
      <x:c r="B6392" s="11" t="str">
        <x:v>2026年底</x:v>
      </x:c>
      <x:c r="C6392" s="11" t="str">
        <x:v>RC148_foreign</x:v>
      </x:c>
      <x:c r="D6392" s="11" t="str">
        <x:v>2036-12-31</x:v>
      </x:c>
      <x:c r="E6392" s="11" t="str">
        <x:v>USD</x:v>
      </x:c>
      <x:c r="F6392" s="11" t="n">
        <x:v>10.001368925393566</x:v>
      </x:c>
      <x:c r="G6392" s="26" t="b">
        <x:v>1</x:v>
      </x:c>
      <x:c r="H6392" s="16" t="n">
        <x:v>1.7</x:v>
      </x:c>
      <x:c r="I6392" s="16" t="n">
        <x:v>5</x:v>
      </x:c>
      <x:c r="J6392" s="16" t="n">
        <x:v>9.5</x:v>
      </x:c>
      <x:c r="K6392" s="11" t="n">
        <x:f>CHOOSE('假设'!$B$3,H6392,I6392,J6392)</x:f>
        <x:v>5</x:v>
      </x:c>
      <x:c r="L6392" s="11" t="n">
        <x:f>K6392*'管线假设'!E1367*'管线假设'!F1367*'管线假设'!G1367*IF(E6392="USD",'管线假设'!I1367,1)-AM6392</x:f>
        <x:v>2.009</x:v>
      </x:c>
      <x:c r="M6392" s="11" t="n">
        <x:f>'管线假设'!H1367</x:f>
        <x:v>0.14</x:v>
      </x:c>
      <x:c r="N6392" s="11" t="n">
        <x:f>IF(G6392,L6392*AN6392/(1+M6392)^F6392,0)</x:f>
        <x:v>0.5418181198201981</x:v>
      </x:c>
      <x:c r="AJ6392" s="42" t="n">
        <x:v>0</x:v>
      </x:c>
      <x:c r="AK6392" s="42" t="n">
        <x:v>0</x:v>
      </x:c>
      <x:c r="AL6392" s="42" t="n">
        <x:v>0</x:v>
      </x:c>
      <x:c r="AM6392" t="n">
        <x:f>CHOOSE('假设'!$B$3,AJ6392,AK6392,AL6392)</x:f>
        <x:v>0</x:v>
      </x:c>
      <x:c r="AN6392" t="n">
        <x:v>1</x:v>
      </x:c>
    </x:row>
    <x:row r="6393" ht="23" customHeight="1">
      <x:c r="A6393" s="11" t="str">
        <x:v>09995.HK</x:v>
      </x:c>
      <x:c r="B6393" s="11" t="str">
        <x:v>2026年底</x:v>
      </x:c>
      <x:c r="C6393" s="11" t="str">
        <x:v>RC148_foreign</x:v>
      </x:c>
      <x:c r="D6393" s="11" t="str">
        <x:v>2037-12-31</x:v>
      </x:c>
      <x:c r="E6393" s="11" t="str">
        <x:v>USD</x:v>
      </x:c>
      <x:c r="F6393" s="11" t="n">
        <x:v>11.000684462696784</x:v>
      </x:c>
      <x:c r="G6393" s="26" t="b">
        <x:v>1</x:v>
      </x:c>
      <x:c r="H6393" s="16" t="n">
        <x:v>2</x:v>
      </x:c>
      <x:c r="I6393" s="16" t="n">
        <x:v>4.75</x:v>
      </x:c>
      <x:c r="J6393" s="16" t="n">
        <x:v>9</x:v>
      </x:c>
      <x:c r="K6393" s="11" t="n">
        <x:f>CHOOSE('假设'!$B$3,H6393,I6393,J6393)</x:f>
        <x:v>4.75</x:v>
      </x:c>
      <x:c r="L6393" s="11" t="n">
        <x:f>K6393*'管线假设'!E1367*'管线假设'!F1367*'管线假设'!G1367*IF(E6393="USD",'管线假设'!I1367,1)-AM6393</x:f>
        <x:v>1.90855</x:v>
      </x:c>
      <x:c r="M6393" s="11" t="n">
        <x:f>'管线假设'!H1367</x:f>
        <x:v>0.14</x:v>
      </x:c>
      <x:c r="N6393" s="11" t="n">
        <x:f>IF(G6393,L6393*AN6393/(1+M6393)^F6393,0)</x:f>
        <x:v>0.45155559532721495</x:v>
      </x:c>
      <x:c r="AJ6393" s="42" t="n">
        <x:v>0</x:v>
      </x:c>
      <x:c r="AK6393" s="42" t="n">
        <x:v>0</x:v>
      </x:c>
      <x:c r="AL6393" s="42" t="n">
        <x:v>0</x:v>
      </x:c>
      <x:c r="AM6393" t="n">
        <x:f>CHOOSE('假设'!$B$3,AJ6393,AK6393,AL6393)</x:f>
        <x:v>0</x:v>
      </x:c>
      <x:c r="AN6393" t="n">
        <x:v>1</x:v>
      </x:c>
    </x:row>
    <x:row r="6394" ht="23" customHeight="1">
      <x:c r="A6394" s="11" t="str">
        <x:v>09995.HK</x:v>
      </x:c>
      <x:c r="B6394" s="11" t="str">
        <x:v>2026年底</x:v>
      </x:c>
      <x:c r="C6394" s="11" t="str">
        <x:v>RC148_foreign</x:v>
      </x:c>
      <x:c r="D6394" s="11" t="str">
        <x:v>2038-12-31</x:v>
      </x:c>
      <x:c r="E6394" s="11" t="str">
        <x:v>USD</x:v>
      </x:c>
      <x:c r="F6394" s="11" t="n">
        <x:v>12</x:v>
      </x:c>
      <x:c r="G6394" s="26" t="b">
        <x:v>1</x:v>
      </x:c>
      <x:c r="H6394" s="16" t="n">
        <x:v>2</x:v>
      </x:c>
      <x:c r="I6394" s="16" t="n">
        <x:v>4.5</x:v>
      </x:c>
      <x:c r="J6394" s="16" t="n">
        <x:v>8</x:v>
      </x:c>
      <x:c r="K6394" s="11" t="n">
        <x:f>CHOOSE('假设'!$B$3,H6394,I6394,J6394)</x:f>
        <x:v>4.5</x:v>
      </x:c>
      <x:c r="L6394" s="11" t="n">
        <x:f>K6394*'管线假设'!E1367*'管线假设'!F1367*'管线假设'!G1367*IF(E6394="USD",'管线假设'!I1367,1)-AM6394</x:f>
        <x:v>1.8080999999999998</x:v>
      </x:c>
      <x:c r="M6394" s="11" t="n">
        <x:f>'管线假设'!H1367</x:f>
        <x:v>0.14</x:v>
      </x:c>
      <x:c r="N6394" s="11" t="n">
        <x:f>IF(G6394,L6394*AN6394/(1+M6394)^F6394,0)</x:f>
        <x:v>0.3752876131048939</x:v>
      </x:c>
      <x:c r="AJ6394" s="42" t="n">
        <x:v>0</x:v>
      </x:c>
      <x:c r="AK6394" s="42" t="n">
        <x:v>0</x:v>
      </x:c>
      <x:c r="AL6394" s="42" t="n">
        <x:v>0</x:v>
      </x:c>
      <x:c r="AM6394" t="n">
        <x:f>CHOOSE('假设'!$B$3,AJ6394,AK6394,AL6394)</x:f>
        <x:v>0</x:v>
      </x:c>
      <x:c r="AN6394" t="n">
        <x:v>1</x:v>
      </x:c>
    </x:row>
    <x:row r="6395" ht="23" customHeight="1">
      <x:c r="A6395" s="11" t="str">
        <x:v>09995.HK</x:v>
      </x:c>
      <x:c r="B6395" s="11" t="str">
        <x:v>2026年底</x:v>
      </x:c>
      <x:c r="C6395" s="11" t="str">
        <x:v>RC148_foreign</x:v>
      </x:c>
      <x:c r="D6395" s="11" t="str">
        <x:v>2039-12-31</x:v>
      </x:c>
      <x:c r="E6395" s="11" t="str">
        <x:v>USD</x:v>
      </x:c>
      <x:c r="F6395" s="11" t="n">
        <x:v>12.999315537303216</x:v>
      </x:c>
      <x:c r="G6395" s="26" t="b">
        <x:v>1</x:v>
      </x:c>
      <x:c r="H6395" s="16" t="n">
        <x:v>1.9</x:v>
      </x:c>
      <x:c r="I6395" s="16" t="n">
        <x:v>4</x:v>
      </x:c>
      <x:c r="J6395" s="16" t="n">
        <x:v>6.5</x:v>
      </x:c>
      <x:c r="K6395" s="11" t="n">
        <x:f>CHOOSE('假设'!$B$3,H6395,I6395,J6395)</x:f>
        <x:v>4</x:v>
      </x:c>
      <x:c r="L6395" s="11" t="n">
        <x:f>K6395*'管线假设'!E1367*'管线假设'!F1367*'管线假设'!G1367*IF(E6395="USD",'管线假设'!I1367,1)-AM6395</x:f>
        <x:v>1.6072</x:v>
      </x:c>
      <x:c r="M6395" s="11" t="n">
        <x:f>'管线假设'!H1367</x:f>
        <x:v>0.14</x:v>
      </x:c>
      <x:c r="N6395" s="11" t="n">
        <x:f>IF(G6395,L6395*AN6395/(1+M6395)^F6395,0)</x:f>
        <x:v>0.29264816521845627</x:v>
      </x:c>
      <x:c r="AJ6395" s="42" t="n">
        <x:v>0</x:v>
      </x:c>
      <x:c r="AK6395" s="42" t="n">
        <x:v>0</x:v>
      </x:c>
      <x:c r="AL6395" s="42" t="n">
        <x:v>0</x:v>
      </x:c>
      <x:c r="AM6395" t="n">
        <x:f>CHOOSE('假设'!$B$3,AJ6395,AK6395,AL6395)</x:f>
        <x:v>0</x:v>
      </x:c>
      <x:c r="AN6395" t="n">
        <x:v>1</x:v>
      </x:c>
    </x:row>
    <x:row r="6396" ht="23" customHeight="1">
      <x:c r="A6396" s="11" t="str">
        <x:v>09995.HK</x:v>
      </x:c>
      <x:c r="B6396" s="11" t="str">
        <x:v>2026年底</x:v>
      </x:c>
      <x:c r="C6396" s="11" t="str">
        <x:v>RC148_foreign</x:v>
      </x:c>
      <x:c r="D6396" s="11" t="str">
        <x:v>2040-12-31</x:v>
      </x:c>
      <x:c r="E6396" s="11" t="str">
        <x:v>USD</x:v>
      </x:c>
      <x:c r="F6396" s="11" t="n">
        <x:v>14.001368925393566</x:v>
      </x:c>
      <x:c r="G6396" s="26" t="b">
        <x:v>1</x:v>
      </x:c>
      <x:c r="H6396" s="16" t="n">
        <x:v>1.8</x:v>
      </x:c>
      <x:c r="I6396" s="16" t="n">
        <x:v>3.25</x:v>
      </x:c>
      <x:c r="J6396" s="16" t="n">
        <x:v>5</x:v>
      </x:c>
      <x:c r="K6396" s="11" t="n">
        <x:f>CHOOSE('假设'!$B$3,H6396,I6396,J6396)</x:f>
        <x:v>3.25</x:v>
      </x:c>
      <x:c r="L6396" s="11" t="n">
        <x:f>K6396*'管线假设'!E1367*'管线假设'!F1367*'管线假设'!G1367*IF(E6396="USD",'管线假设'!I1367,1)-AM6396</x:f>
        <x:v>1.30585</x:v>
      </x:c>
      <x:c r="M6396" s="11" t="n">
        <x:f>'管线假设'!H1367</x:f>
        <x:v>0.14</x:v>
      </x:c>
      <x:c r="N6396" s="11" t="n">
        <x:f>IF(G6396,L6396*AN6396/(1+M6396)^F6396,0)</x:f>
        <x:v>0.20851988473376934</x:v>
      </x:c>
      <x:c r="AJ6396" s="42" t="n">
        <x:v>0</x:v>
      </x:c>
      <x:c r="AK6396" s="42" t="n">
        <x:v>0</x:v>
      </x:c>
      <x:c r="AL6396" s="42" t="n">
        <x:v>0</x:v>
      </x:c>
      <x:c r="AM6396" t="n">
        <x:f>CHOOSE('假设'!$B$3,AJ6396,AK6396,AL6396)</x:f>
        <x:v>0</x:v>
      </x:c>
      <x:c r="AN6396" t="n">
        <x:v>1</x:v>
      </x:c>
    </x:row>
    <x:row r="6397" ht="23" customHeight="1">
      <x:c r="A6397" s="11" t="str">
        <x:v>09995.HK</x:v>
      </x:c>
      <x:c r="B6397" s="11" t="str">
        <x:v>2026年底</x:v>
      </x:c>
      <x:c r="C6397" s="11" t="str">
        <x:v>RC148_foreign</x:v>
      </x:c>
      <x:c r="D6397" s="11" t="str">
        <x:v>2041-12-31</x:v>
      </x:c>
      <x:c r="E6397" s="11" t="str">
        <x:v>USD</x:v>
      </x:c>
      <x:c r="F6397" s="11" t="n">
        <x:v>15.000684462696784</x:v>
      </x:c>
      <x:c r="G6397" s="26" t="b">
        <x:v>1</x:v>
      </x:c>
      <x:c r="H6397" s="16" t="n">
        <x:v>1.6</x:v>
      </x:c>
      <x:c r="I6397" s="16" t="n">
        <x:v>2.5</x:v>
      </x:c>
      <x:c r="J6397" s="16" t="n">
        <x:v>3.5</x:v>
      </x:c>
      <x:c r="K6397" s="11" t="n">
        <x:f>CHOOSE('假设'!$B$3,H6397,I6397,J6397)</x:f>
        <x:v>2.5</x:v>
      </x:c>
      <x:c r="L6397" s="11" t="n">
        <x:f>K6397*'管线假设'!E1367*'管线假设'!F1367*'管线假设'!G1367*IF(E6397="USD",'管线假设'!I1367,1)-AM6397</x:f>
        <x:v>1.0045</x:v>
      </x:c>
      <x:c r="M6397" s="11" t="n">
        <x:f>'管线假设'!H1367</x:f>
        <x:v>0.14</x:v>
      </x:c>
      <x:c r="N6397" s="11" t="n">
        <x:f>IF(G6397,L6397*AN6397/(1+M6397)^F6397,0)</x:f>
        <x:v>0.1407142958575781</x:v>
      </x:c>
      <x:c r="AJ6397" s="42" t="n">
        <x:v>0</x:v>
      </x:c>
      <x:c r="AK6397" s="42" t="n">
        <x:v>0</x:v>
      </x:c>
      <x:c r="AL6397" s="42" t="n">
        <x:v>0</x:v>
      </x:c>
      <x:c r="AM6397" t="n">
        <x:f>CHOOSE('假设'!$B$3,AJ6397,AK6397,AL6397)</x:f>
        <x:v>0</x:v>
      </x:c>
      <x:c r="AN6397" t="n">
        <x:v>1</x:v>
      </x:c>
    </x:row>
    <x:row r="6398" ht="23" customHeight="1">
      <x:c r="A6398" s="11" t="str">
        <x:v>09995.HK</x:v>
      </x:c>
      <x:c r="B6398" s="11" t="str">
        <x:v>2026年底</x:v>
      </x:c>
      <x:c r="C6398" s="11" t="str">
        <x:v>RC148_foreign</x:v>
      </x:c>
      <x:c r="D6398" s="11" t="str">
        <x:v>2042-12-31</x:v>
      </x:c>
      <x:c r="E6398" s="11" t="str">
        <x:v>USD</x:v>
      </x:c>
      <x:c r="F6398" s="11" t="n">
        <x:v>16</x:v>
      </x:c>
      <x:c r="G6398" s="26" t="b">
        <x:v>1</x:v>
      </x:c>
      <x:c r="H6398" s="16" t="n">
        <x:v>1.3</x:v>
      </x:c>
      <x:c r="I6398" s="16" t="n">
        <x:v>1.75</x:v>
      </x:c>
      <x:c r="J6398" s="16" t="n">
        <x:v>2</x:v>
      </x:c>
      <x:c r="K6398" s="11" t="n">
        <x:f>CHOOSE('假设'!$B$3,H6398,I6398,J6398)</x:f>
        <x:v>1.75</x:v>
      </x:c>
      <x:c r="L6398" s="11" t="n">
        <x:f>K6398*'管线假设'!E1367*'管线假设'!F1367*'管线假设'!G1367*IF(E6398="USD",'管线假设'!I1367,1)-AM6398</x:f>
        <x:v>0.7031499999999999</x:v>
      </x:c>
      <x:c r="M6398" s="11" t="n">
        <x:f>'管线假设'!H1367</x:f>
        <x:v>0.14</x:v>
      </x:c>
      <x:c r="N6398" s="11" t="n">
        <x:f>IF(G6398,L6398*AN6398/(1+M6398)^F6398,0)</x:f>
        <x:v>0.0864112643569552</x:v>
      </x:c>
      <x:c r="AJ6398" s="42" t="n">
        <x:v>0</x:v>
      </x:c>
      <x:c r="AK6398" s="42" t="n">
        <x:v>0</x:v>
      </x:c>
      <x:c r="AL6398" s="42" t="n">
        <x:v>0</x:v>
      </x:c>
      <x:c r="AM6398" t="n">
        <x:f>CHOOSE('假设'!$B$3,AJ6398,AK6398,AL6398)</x:f>
        <x:v>0</x:v>
      </x:c>
      <x:c r="AN6398" t="n">
        <x:v>1</x:v>
      </x:c>
    </x:row>
    <x:row r="6399" ht="23" customHeight="1">
      <x:c r="A6399" s="11" t="str">
        <x:v>09995.HK</x:v>
      </x:c>
      <x:c r="B6399" s="11" t="str">
        <x:v>2026年底</x:v>
      </x:c>
      <x:c r="C6399" s="11" t="str">
        <x:v>RC148_foreign</x:v>
      </x:c>
      <x:c r="D6399" s="11" t="str">
        <x:v>2043-12-31</x:v>
      </x:c>
      <x:c r="E6399" s="11" t="str">
        <x:v>USD</x:v>
      </x:c>
      <x:c r="F6399" s="11" t="n">
        <x:v>16.999315537303218</x:v>
      </x:c>
      <x:c r="G6399" s="26" t="b">
        <x:v>1</x:v>
      </x:c>
      <x:c r="H6399" s="16" t="n">
        <x:v>1</x:v>
      </x:c>
      <x:c r="I6399" s="16" t="n">
        <x:v>1</x:v>
      </x:c>
      <x:c r="J6399" s="16" t="n">
        <x:v>1.2</x:v>
      </x:c>
      <x:c r="K6399" s="11" t="n">
        <x:f>CHOOSE('假设'!$B$3,H6399,I6399,J6399)</x:f>
        <x:v>1</x:v>
      </x:c>
      <x:c r="L6399" s="11" t="n">
        <x:f>K6399*'管线假设'!E1367*'管线假设'!F1367*'管线假设'!G1367*IF(E6399="USD",'管线假设'!I1367,1)-AM6399</x:f>
        <x:v>0.4018</x:v>
      </x:c>
      <x:c r="M6399" s="11" t="n">
        <x:f>'管线假设'!H1367</x:f>
        <x:v>0.14</x:v>
      </x:c>
      <x:c r="N6399" s="11" t="n">
        <x:f>IF(G6399,L6399*AN6399/(1+M6399)^F6399,0)</x:f>
        <x:v>0.04331780170860514</x:v>
      </x:c>
      <x:c r="AJ6399" s="42" t="n">
        <x:v>0</x:v>
      </x:c>
      <x:c r="AK6399" s="42" t="n">
        <x:v>0</x:v>
      </x:c>
      <x:c r="AL6399" s="42" t="n">
        <x:v>0</x:v>
      </x:c>
      <x:c r="AM6399" t="n">
        <x:f>CHOOSE('假设'!$B$3,AJ6399,AK6399,AL6399)</x:f>
        <x:v>0</x:v>
      </x:c>
      <x:c r="AN6399" t="n">
        <x:v>1</x:v>
      </x:c>
    </x:row>
    <x:row r="6400" ht="23" customHeight="1">
      <x:c r="A6400" s="11" t="str">
        <x:v>09995.HK</x:v>
      </x:c>
      <x:c r="B6400" s="11" t="str">
        <x:v>2026年底</x:v>
      </x:c>
      <x:c r="C6400" s="11" t="str">
        <x:v>RC148_foreign</x:v>
      </x:c>
      <x:c r="D6400" s="11" t="str">
        <x:v>2044-12-31</x:v>
      </x:c>
      <x:c r="E6400" s="11" t="str">
        <x:v>USD</x:v>
      </x:c>
      <x:c r="F6400" s="11" t="n">
        <x:v>18.001368925393567</x:v>
      </x:c>
      <x:c r="G6400" s="26" t="b">
        <x:v>1</x:v>
      </x:c>
      <x:c r="H6400" s="16" t="n">
        <x:v>0.7</x:v>
      </x:c>
      <x:c r="I6400" s="16" t="n">
        <x:v>0.6</x:v>
      </x:c>
      <x:c r="J6400" s="16" t="n">
        <x:v>0.7000000000000001</x:v>
      </x:c>
      <x:c r="K6400" s="11" t="n">
        <x:f>CHOOSE('假设'!$B$3,H6400,I6400,J6400)</x:f>
        <x:v>0.6</x:v>
      </x:c>
      <x:c r="L6400" s="11" t="n">
        <x:f>K6400*'管线假设'!E1367*'管线假设'!F1367*'管线假设'!G1367*IF(E6400="USD",'管线假设'!I1367,1)-AM6400</x:f>
        <x:v>0.24108</x:v>
      </x:c>
      <x:c r="M6400" s="11" t="n">
        <x:f>'管线假设'!H1367</x:f>
        <x:v>0.14</x:v>
      </x:c>
      <x:c r="N6400" s="11" t="n">
        <x:f>IF(G6400,L6400*AN6400/(1+M6400)^F6400,0)</x:f>
        <x:v>0.022792709758222163</x:v>
      </x:c>
      <x:c r="AJ6400" s="42" t="n">
        <x:v>0</x:v>
      </x:c>
      <x:c r="AK6400" s="42" t="n">
        <x:v>0</x:v>
      </x:c>
      <x:c r="AL6400" s="42" t="n">
        <x:v>0</x:v>
      </x:c>
      <x:c r="AM6400" t="n">
        <x:f>CHOOSE('假设'!$B$3,AJ6400,AK6400,AL6400)</x:f>
        <x:v>0</x:v>
      </x:c>
      <x:c r="AN6400" t="n">
        <x:v>1</x:v>
      </x:c>
    </x:row>
    <x:row r="6401" ht="23" customHeight="1">
      <x:c r="A6401" s="11" t="str">
        <x:v>09995.HK</x:v>
      </x:c>
      <x:c r="B6401" s="11" t="str">
        <x:v>2026年底</x:v>
      </x:c>
      <x:c r="C6401" s="11" t="str">
        <x:v>RC18_foreign</x:v>
      </x:c>
      <x:c r="D6401" s="11" t="str">
        <x:v>2026-12-31</x:v>
      </x:c>
      <x:c r="E6401" s="11" t="str">
        <x:v>USD</x:v>
      </x:c>
      <x:c r="F6401" s="11" t="n">
        <x:v>0</x:v>
      </x:c>
      <x:c r="G6401" s="26" t="b">
        <x:v>0</x:v>
      </x:c>
      <x:c r="H6401" s="16" t="n">
        <x:v>0</x:v>
      </x:c>
      <x:c r="I6401" s="16" t="n">
        <x:v>0</x:v>
      </x:c>
      <x:c r="J6401" s="16" t="n">
        <x:v>0</x:v>
      </x:c>
      <x:c r="K6401" s="11" t="n">
        <x:f>CHOOSE('假设'!$B$3,H6401,I6401,J6401)</x:f>
        <x:v>0</x:v>
      </x:c>
      <x:c r="L6401" s="11" t="n">
        <x:f>K6401*'管线假设'!E1371*'管线假设'!F1371*'管线假设'!G1371*IF(E6401="USD",'管线假设'!I1371,1)-AM6401</x:f>
        <x:v>-0.049</x:v>
      </x:c>
      <x:c r="M6401" s="11" t="n">
        <x:f>'管线假设'!H1371</x:f>
        <x:v>0.14</x:v>
      </x:c>
      <x:c r="N6401" s="11" t="n">
        <x:f>IF(G6401,L6401*AN6401/(1+M6401)^F6401,0)</x:f>
        <x:v>0</x:v>
      </x:c>
      <x:c r="AJ6401" s="42" t="n">
        <x:v>0.021</x:v>
      </x:c>
      <x:c r="AK6401" s="42" t="n">
        <x:v>0.049</x:v>
      </x:c>
      <x:c r="AL6401" s="42" t="n">
        <x:v>0.084</x:v>
      </x:c>
      <x:c r="AM6401" t="n">
        <x:f>CHOOSE('假设'!$B$3,AJ6401,AK6401,AL6401)</x:f>
        <x:v>0.049</x:v>
      </x:c>
      <x:c r="AN6401" t="n">
        <x:v>0</x:v>
      </x:c>
    </x:row>
    <x:row r="6402" ht="23" customHeight="1">
      <x:c r="A6402" s="11" t="str">
        <x:v>09995.HK</x:v>
      </x:c>
      <x:c r="B6402" s="11" t="str">
        <x:v>2026年底</x:v>
      </x:c>
      <x:c r="C6402" s="11" t="str">
        <x:v>RC18_foreign</x:v>
      </x:c>
      <x:c r="D6402" s="11" t="str">
        <x:v>2027-12-31</x:v>
      </x:c>
      <x:c r="E6402" s="11" t="str">
        <x:v>USD</x:v>
      </x:c>
      <x:c r="F6402" s="11" t="n">
        <x:v>0.999315537303217</x:v>
      </x:c>
      <x:c r="G6402" s="26" t="b">
        <x:v>1</x:v>
      </x:c>
      <x:c r="H6402" s="16" t="n">
        <x:v>0</x:v>
      </x:c>
      <x:c r="I6402" s="16" t="n">
        <x:v>0</x:v>
      </x:c>
      <x:c r="J6402" s="16" t="n">
        <x:v>0</x:v>
      </x:c>
      <x:c r="K6402" s="11" t="n">
        <x:f>CHOOSE('假设'!$B$3,H6402,I6402,J6402)</x:f>
        <x:v>0</x:v>
      </x:c>
      <x:c r="L6402" s="11" t="n">
        <x:f>K6402*'管线假设'!E1371*'管线假设'!F1371*'管线假设'!G1371*IF(E6402="USD",'管线假设'!I1371,1)-AM6402</x:f>
        <x:v>0</x:v>
      </x:c>
      <x:c r="M6402" s="11" t="n">
        <x:f>'管线假设'!H1371</x:f>
        <x:v>0.14</x:v>
      </x:c>
      <x:c r="N6402" s="11" t="n">
        <x:f>IF(G6402,L6402*AN6402/(1+M6402)^F6402,0)</x:f>
        <x:v>0</x:v>
      </x:c>
      <x:c r="AJ6402" s="42" t="n">
        <x:v>0</x:v>
      </x:c>
      <x:c r="AK6402" s="42" t="n">
        <x:v>0</x:v>
      </x:c>
      <x:c r="AL6402" s="42" t="n">
        <x:v>0</x:v>
      </x:c>
      <x:c r="AM6402" t="n">
        <x:f>CHOOSE('假设'!$B$3,AJ6402,AK6402,AL6402)</x:f>
        <x:v>0</x:v>
      </x:c>
      <x:c r="AN6402" t="n">
        <x:v>1</x:v>
      </x:c>
    </x:row>
    <x:row r="6403" ht="23" customHeight="1">
      <x:c r="A6403" s="11" t="str">
        <x:v>09995.HK</x:v>
      </x:c>
      <x:c r="B6403" s="11" t="str">
        <x:v>2026年底</x:v>
      </x:c>
      <x:c r="C6403" s="11" t="str">
        <x:v>RC18_foreign</x:v>
      </x:c>
      <x:c r="D6403" s="11" t="str">
        <x:v>2028-12-31</x:v>
      </x:c>
      <x:c r="E6403" s="11" t="str">
        <x:v>USD</x:v>
      </x:c>
      <x:c r="F6403" s="11" t="n">
        <x:v>2.001368925393566</x:v>
      </x:c>
      <x:c r="G6403" s="26" t="b">
        <x:v>1</x:v>
      </x:c>
      <x:c r="H6403" s="16" t="n">
        <x:v>0</x:v>
      </x:c>
      <x:c r="I6403" s="16" t="n">
        <x:v>0.18</x:v>
      </x:c>
      <x:c r="J6403" s="16" t="n">
        <x:v>0.36</x:v>
      </x:c>
      <x:c r="K6403" s="11" t="n">
        <x:f>CHOOSE('假设'!$B$3,H6403,I6403,J6403)</x:f>
        <x:v>0.18</x:v>
      </x:c>
      <x:c r="L6403" s="11" t="n">
        <x:f>K6403*'管线假设'!E1371*'管线假设'!F1371*'管线假设'!G1371*IF(E6403="USD",'管线假设'!I1371,1)-AM6403</x:f>
        <x:v>0.06819119999999998</x:v>
      </x:c>
      <x:c r="M6403" s="11" t="n">
        <x:f>'管线假设'!H1371</x:f>
        <x:v>0.14</x:v>
      </x:c>
      <x:c r="N6403" s="11" t="n">
        <x:f>IF(G6403,L6403*AN6403/(1+M6403)^F6403,0)</x:f>
        <x:v>0.05246150337294171</x:v>
      </x:c>
      <x:c r="AJ6403" s="42" t="n">
        <x:v>0</x:v>
      </x:c>
      <x:c r="AK6403" s="42" t="n">
        <x:v>0</x:v>
      </x:c>
      <x:c r="AL6403" s="42" t="n">
        <x:v>0</x:v>
      </x:c>
      <x:c r="AM6403" t="n">
        <x:f>CHOOSE('假设'!$B$3,AJ6403,AK6403,AL6403)</x:f>
        <x:v>0</x:v>
      </x:c>
      <x:c r="AN6403" t="n">
        <x:v>1</x:v>
      </x:c>
    </x:row>
    <x:row r="6404" ht="23" customHeight="1">
      <x:c r="A6404" s="11" t="str">
        <x:v>09995.HK</x:v>
      </x:c>
      <x:c r="B6404" s="11" t="str">
        <x:v>2026年底</x:v>
      </x:c>
      <x:c r="C6404" s="11" t="str">
        <x:v>RC18_foreign</x:v>
      </x:c>
      <x:c r="D6404" s="11" t="str">
        <x:v>2029-12-31</x:v>
      </x:c>
      <x:c r="E6404" s="11" t="str">
        <x:v>USD</x:v>
      </x:c>
      <x:c r="F6404" s="11" t="n">
        <x:v>3.0006844626967832</x:v>
      </x:c>
      <x:c r="G6404" s="26" t="b">
        <x:v>1</x:v>
      </x:c>
      <x:c r="H6404" s="16" t="n">
        <x:v>0</x:v>
      </x:c>
      <x:c r="I6404" s="16" t="n">
        <x:v>0.54</x:v>
      </x:c>
      <x:c r="J6404" s="16" t="n">
        <x:v>1.08</x:v>
      </x:c>
      <x:c r="K6404" s="11" t="n">
        <x:f>CHOOSE('假设'!$B$3,H6404,I6404,J6404)</x:f>
        <x:v>0.54</x:v>
      </x:c>
      <x:c r="L6404" s="11" t="n">
        <x:f>K6404*'管线假设'!E1371*'管线假设'!F1371*'管线假设'!G1371*IF(E6404="USD",'管线假设'!I1371,1)-AM6404</x:f>
        <x:v>0.2045736</x:v>
      </x:c>
      <x:c r="M6404" s="11" t="n">
        <x:f>'管线假设'!H1371</x:f>
        <x:v>0.14</x:v>
      </x:c>
      <x:c r="N6404" s="11" t="n">
        <x:f>IF(G6404,L6404*AN6404/(1+M6404)^F6404,0)</x:f>
        <x:v>0.13806896983995878</x:v>
      </x:c>
      <x:c r="AJ6404" s="42" t="n">
        <x:v>0</x:v>
      </x:c>
      <x:c r="AK6404" s="42" t="n">
        <x:v>0</x:v>
      </x:c>
      <x:c r="AL6404" s="42" t="n">
        <x:v>0</x:v>
      </x:c>
      <x:c r="AM6404" t="n">
        <x:f>CHOOSE('假设'!$B$3,AJ6404,AK6404,AL6404)</x:f>
        <x:v>0</x:v>
      </x:c>
      <x:c r="AN6404" t="n">
        <x:v>1</x:v>
      </x:c>
    </x:row>
    <x:row r="6405" ht="23" customHeight="1">
      <x:c r="A6405" s="11" t="str">
        <x:v>09995.HK</x:v>
      </x:c>
      <x:c r="B6405" s="11" t="str">
        <x:v>2026年底</x:v>
      </x:c>
      <x:c r="C6405" s="11" t="str">
        <x:v>RC18_foreign</x:v>
      </x:c>
      <x:c r="D6405" s="11" t="str">
        <x:v>2030-12-31</x:v>
      </x:c>
      <x:c r="E6405" s="11" t="str">
        <x:v>USD</x:v>
      </x:c>
      <x:c r="F6405" s="11" t="n">
        <x:v>4</x:v>
      </x:c>
      <x:c r="G6405" s="26" t="b">
        <x:v>1</x:v>
      </x:c>
      <x:c r="H6405" s="16" t="n">
        <x:v>0</x:v>
      </x:c>
      <x:c r="I6405" s="16" t="n">
        <x:v>1.1400000000000001</x:v>
      </x:c>
      <x:c r="J6405" s="16" t="n">
        <x:v>2.2800000000000002</x:v>
      </x:c>
      <x:c r="K6405" s="11" t="n">
        <x:f>CHOOSE('假设'!$B$3,H6405,I6405,J6405)</x:f>
        <x:v>1.1400000000000001</x:v>
      </x:c>
      <x:c r="L6405" s="11" t="n">
        <x:f>K6405*'管线假设'!E1371*'管线假设'!F1371*'管线假设'!G1371*IF(E6405="USD",'管线假设'!I1371,1)-AM6405</x:f>
        <x:v>0.4318776</x:v>
      </x:c>
      <x:c r="M6405" s="11" t="n">
        <x:f>'管线假设'!H1371</x:f>
        <x:v>0.14</x:v>
      </x:c>
      <x:c r="N6405" s="11" t="n">
        <x:f>IF(G6405,L6405*AN6405/(1+M6405)^F6405,0)</x:f>
        <x:v>0.2557062091979717</x:v>
      </x:c>
      <x:c r="AJ6405" s="42" t="n">
        <x:v>0</x:v>
      </x:c>
      <x:c r="AK6405" s="42" t="n">
        <x:v>0</x:v>
      </x:c>
      <x:c r="AL6405" s="42" t="n">
        <x:v>0</x:v>
      </x:c>
      <x:c r="AM6405" t="n">
        <x:f>CHOOSE('假设'!$B$3,AJ6405,AK6405,AL6405)</x:f>
        <x:v>0</x:v>
      </x:c>
      <x:c r="AN6405" t="n">
        <x:v>1</x:v>
      </x:c>
    </x:row>
    <x:row r="6406" ht="23" customHeight="1">
      <x:c r="A6406" s="11" t="str">
        <x:v>09995.HK</x:v>
      </x:c>
      <x:c r="B6406" s="11" t="str">
        <x:v>2026年底</x:v>
      </x:c>
      <x:c r="C6406" s="11" t="str">
        <x:v>RC18_foreign</x:v>
      </x:c>
      <x:c r="D6406" s="11" t="str">
        <x:v>2031-12-31</x:v>
      </x:c>
      <x:c r="E6406" s="11" t="str">
        <x:v>USD</x:v>
      </x:c>
      <x:c r="F6406" s="11" t="n">
        <x:v>4.999315537303217</x:v>
      </x:c>
      <x:c r="G6406" s="26" t="b">
        <x:v>1</x:v>
      </x:c>
      <x:c r="H6406" s="16" t="n">
        <x:v>0.06</x:v>
      </x:c>
      <x:c r="I6406" s="16" t="n">
        <x:v>1.9500000000000002</x:v>
      </x:c>
      <x:c r="J6406" s="16" t="n">
        <x:v>3.9000000000000004</x:v>
      </x:c>
      <x:c r="K6406" s="11" t="n">
        <x:f>CHOOSE('假设'!$B$3,H6406,I6406,J6406)</x:f>
        <x:v>1.9500000000000002</x:v>
      </x:c>
      <x:c r="L6406" s="11" t="n">
        <x:f>K6406*'管线假设'!E1371*'管线假设'!F1371*'管线假设'!G1371*IF(E6406="USD",'管线假设'!I1371,1)-AM6406</x:f>
        <x:v>0.738738</x:v>
      </x:c>
      <x:c r="M6406" s="11" t="n">
        <x:f>'管线假设'!H1371</x:f>
        <x:v>0.14</x:v>
      </x:c>
      <x:c r="N6406" s="11" t="n">
        <x:f>IF(G6406,L6406*AN6406/(1+M6406)^F6406,0)</x:f>
        <x:v>0.3837117796198164</x:v>
      </x:c>
      <x:c r="AJ6406" s="42" t="n">
        <x:v>0</x:v>
      </x:c>
      <x:c r="AK6406" s="42" t="n">
        <x:v>0</x:v>
      </x:c>
      <x:c r="AL6406" s="42" t="n">
        <x:v>0</x:v>
      </x:c>
      <x:c r="AM6406" t="n">
        <x:f>CHOOSE('假设'!$B$3,AJ6406,AK6406,AL6406)</x:f>
        <x:v>0</x:v>
      </x:c>
      <x:c r="AN6406" t="n">
        <x:v>1</x:v>
      </x:c>
    </x:row>
    <x:row r="6407" ht="23" customHeight="1">
      <x:c r="A6407" s="11" t="str">
        <x:v>09995.HK</x:v>
      </x:c>
      <x:c r="B6407" s="11" t="str">
        <x:v>2026年底</x:v>
      </x:c>
      <x:c r="C6407" s="11" t="str">
        <x:v>RC18_foreign</x:v>
      </x:c>
      <x:c r="D6407" s="11" t="str">
        <x:v>2032-12-31</x:v>
      </x:c>
      <x:c r="E6407" s="11" t="str">
        <x:v>USD</x:v>
      </x:c>
      <x:c r="F6407" s="11" t="n">
        <x:v>6.0013689253935665</x:v>
      </x:c>
      <x:c r="G6407" s="26" t="b">
        <x:v>1</x:v>
      </x:c>
      <x:c r="H6407" s="16" t="n">
        <x:v>0.18</x:v>
      </x:c>
      <x:c r="I6407" s="16" t="n">
        <x:v>2.55</x:v>
      </x:c>
      <x:c r="J6407" s="16" t="n">
        <x:v>5.1</x:v>
      </x:c>
      <x:c r="K6407" s="11" t="n">
        <x:f>CHOOSE('假设'!$B$3,H6407,I6407,J6407)</x:f>
        <x:v>2.55</x:v>
      </x:c>
      <x:c r="L6407" s="11" t="n">
        <x:f>K6407*'管线假设'!E1371*'管线假设'!F1371*'管线假设'!G1371*IF(E6407="USD",'管线假设'!I1371,1)-AM6407</x:f>
        <x:v>0.9660419999999997</x:v>
      </x:c>
      <x:c r="M6407" s="11" t="n">
        <x:f>'管线假设'!H1371</x:f>
        <x:v>0.14</x:v>
      </x:c>
      <x:c r="N6407" s="11" t="n">
        <x:f>IF(G6407,L6407*AN6407/(1+M6407)^F6407,0)</x:f>
        <x:v>0.44003680413436985</x:v>
      </x:c>
      <x:c r="AJ6407" s="42" t="n">
        <x:v>0</x:v>
      </x:c>
      <x:c r="AK6407" s="42" t="n">
        <x:v>0</x:v>
      </x:c>
      <x:c r="AL6407" s="42" t="n">
        <x:v>0</x:v>
      </x:c>
      <x:c r="AM6407" t="n">
        <x:f>CHOOSE('假设'!$B$3,AJ6407,AK6407,AL6407)</x:f>
        <x:v>0</x:v>
      </x:c>
      <x:c r="AN6407" t="n">
        <x:v>1</x:v>
      </x:c>
    </x:row>
    <x:row r="6408" ht="23" customHeight="1">
      <x:c r="A6408" s="11" t="str">
        <x:v>09995.HK</x:v>
      </x:c>
      <x:c r="B6408" s="11" t="str">
        <x:v>2026年底</x:v>
      </x:c>
      <x:c r="C6408" s="11" t="str">
        <x:v>RC18_foreign</x:v>
      </x:c>
      <x:c r="D6408" s="11" t="str">
        <x:v>2033-12-31</x:v>
      </x:c>
      <x:c r="E6408" s="11" t="str">
        <x:v>USD</x:v>
      </x:c>
      <x:c r="F6408" s="11" t="n">
        <x:v>7.000684462696783</x:v>
      </x:c>
      <x:c r="G6408" s="26" t="b">
        <x:v>1</x:v>
      </x:c>
      <x:c r="H6408" s="16" t="n">
        <x:v>0.38</x:v>
      </x:c>
      <x:c r="I6408" s="16" t="n">
        <x:v>3</x:v>
      </x:c>
      <x:c r="J6408" s="16" t="n">
        <x:v>6</x:v>
      </x:c>
      <x:c r="K6408" s="11" t="n">
        <x:f>CHOOSE('假设'!$B$3,H6408,I6408,J6408)</x:f>
        <x:v>3</x:v>
      </x:c>
      <x:c r="L6408" s="11" t="n">
        <x:f>K6408*'管线假设'!E1371*'管线假设'!F1371*'管线假设'!G1371*IF(E6408="USD",'管线假设'!I1371,1)-AM6408</x:f>
        <x:v>1.1365199999999998</x:v>
      </x:c>
      <x:c r="M6408" s="11" t="n">
        <x:f>'管线假设'!H1371</x:f>
        <x:v>0.14</x:v>
      </x:c>
      <x:c r="N6408" s="11" t="n">
        <x:f>IF(G6408,L6408*AN6408/(1+M6408)^F6408,0)</x:f>
        <x:v>0.4541550775503284</x:v>
      </x:c>
      <x:c r="AJ6408" s="42" t="n">
        <x:v>0</x:v>
      </x:c>
      <x:c r="AK6408" s="42" t="n">
        <x:v>0</x:v>
      </x:c>
      <x:c r="AL6408" s="42" t="n">
        <x:v>0</x:v>
      </x:c>
      <x:c r="AM6408" t="n">
        <x:f>CHOOSE('假设'!$B$3,AJ6408,AK6408,AL6408)</x:f>
        <x:v>0</x:v>
      </x:c>
      <x:c r="AN6408" t="n">
        <x:v>1</x:v>
      </x:c>
    </x:row>
    <x:row r="6409" ht="23" customHeight="1">
      <x:c r="A6409" s="11" t="str">
        <x:v>09995.HK</x:v>
      </x:c>
      <x:c r="B6409" s="11" t="str">
        <x:v>2026年底</x:v>
      </x:c>
      <x:c r="C6409" s="11" t="str">
        <x:v>RC18_foreign</x:v>
      </x:c>
      <x:c r="D6409" s="11" t="str">
        <x:v>2034-12-31</x:v>
      </x:c>
      <x:c r="E6409" s="11" t="str">
        <x:v>USD</x:v>
      </x:c>
      <x:c r="F6409" s="11" t="n">
        <x:v>8</x:v>
      </x:c>
      <x:c r="G6409" s="26" t="b">
        <x:v>1</x:v>
      </x:c>
      <x:c r="H6409" s="16" t="n">
        <x:v>0.65</x:v>
      </x:c>
      <x:c r="I6409" s="16" t="n">
        <x:v>3</x:v>
      </x:c>
      <x:c r="J6409" s="16" t="n">
        <x:v>6</x:v>
      </x:c>
      <x:c r="K6409" s="11" t="n">
        <x:f>CHOOSE('假设'!$B$3,H6409,I6409,J6409)</x:f>
        <x:v>3</x:v>
      </x:c>
      <x:c r="L6409" s="11" t="n">
        <x:f>K6409*'管线假设'!E1371*'管线假设'!F1371*'管线假设'!G1371*IF(E6409="USD",'管线假设'!I1371,1)-AM6409</x:f>
        <x:v>1.1365199999999998</x:v>
      </x:c>
      <x:c r="M6409" s="11" t="n">
        <x:f>'管线假设'!H1371</x:f>
        <x:v>0.14</x:v>
      </x:c>
      <x:c r="N6409" s="11" t="n">
        <x:f>IF(G6409,L6409*AN6409/(1+M6409)^F6409,0)</x:f>
        <x:v>0.3984173770189862</x:v>
      </x:c>
      <x:c r="AJ6409" s="42" t="n">
        <x:v>0</x:v>
      </x:c>
      <x:c r="AK6409" s="42" t="n">
        <x:v>0</x:v>
      </x:c>
      <x:c r="AL6409" s="42" t="n">
        <x:v>0</x:v>
      </x:c>
      <x:c r="AM6409" t="n">
        <x:f>CHOOSE('假设'!$B$3,AJ6409,AK6409,AL6409)</x:f>
        <x:v>0</x:v>
      </x:c>
      <x:c r="AN6409" t="n">
        <x:v>1</x:v>
      </x:c>
    </x:row>
    <x:row r="6410" ht="23" customHeight="1">
      <x:c r="A6410" s="11" t="str">
        <x:v>09995.HK</x:v>
      </x:c>
      <x:c r="B6410" s="11" t="str">
        <x:v>2026年底</x:v>
      </x:c>
      <x:c r="C6410" s="11" t="str">
        <x:v>RC18_foreign</x:v>
      </x:c>
      <x:c r="D6410" s="11" t="str">
        <x:v>2035-12-31</x:v>
      </x:c>
      <x:c r="E6410" s="11" t="str">
        <x:v>USD</x:v>
      </x:c>
      <x:c r="F6410" s="11" t="n">
        <x:v>8.999315537303216</x:v>
      </x:c>
      <x:c r="G6410" s="26" t="b">
        <x:v>1</x:v>
      </x:c>
      <x:c r="H6410" s="16" t="n">
        <x:v>0.85</x:v>
      </x:c>
      <x:c r="I6410" s="16" t="n">
        <x:v>2.8499999999999996</x:v>
      </x:c>
      <x:c r="J6410" s="16" t="n">
        <x:v>5.699999999999999</x:v>
      </x:c>
      <x:c r="K6410" s="11" t="n">
        <x:f>CHOOSE('假设'!$B$3,H6410,I6410,J6410)</x:f>
        <x:v>2.8499999999999996</x:v>
      </x:c>
      <x:c r="L6410" s="11" t="n">
        <x:f>K6410*'管线假设'!E1371*'管线假设'!F1371*'管线假设'!G1371*IF(E6410="USD",'管线假设'!I1371,1)-AM6410</x:f>
        <x:v>1.0796939999999997</x:v>
      </x:c>
      <x:c r="M6410" s="11" t="n">
        <x:f>'管线假设'!H1371</x:f>
        <x:v>0.14</x:v>
      </x:c>
      <x:c r="N6410" s="11" t="n">
        <x:f>IF(G6410,L6410*AN6410/(1+M6410)^F6410,0)</x:f>
        <x:v>0.3320442585571298</x:v>
      </x:c>
      <x:c r="AJ6410" s="42" t="n">
        <x:v>0</x:v>
      </x:c>
      <x:c r="AK6410" s="42" t="n">
        <x:v>0</x:v>
      </x:c>
      <x:c r="AL6410" s="42" t="n">
        <x:v>0</x:v>
      </x:c>
      <x:c r="AM6410" t="n">
        <x:f>CHOOSE('假设'!$B$3,AJ6410,AK6410,AL6410)</x:f>
        <x:v>0</x:v>
      </x:c>
      <x:c r="AN6410" t="n">
        <x:v>1</x:v>
      </x:c>
    </x:row>
    <x:row r="6411" ht="23" customHeight="1">
      <x:c r="A6411" s="11" t="str">
        <x:v>09995.HK</x:v>
      </x:c>
      <x:c r="B6411" s="11" t="str">
        <x:v>2026年底</x:v>
      </x:c>
      <x:c r="C6411" s="11" t="str">
        <x:v>RC18_foreign</x:v>
      </x:c>
      <x:c r="D6411" s="11" t="str">
        <x:v>2036-12-31</x:v>
      </x:c>
      <x:c r="E6411" s="11" t="str">
        <x:v>USD</x:v>
      </x:c>
      <x:c r="F6411" s="11" t="n">
        <x:v>10.001368925393566</x:v>
      </x:c>
      <x:c r="G6411" s="26" t="b">
        <x:v>1</x:v>
      </x:c>
      <x:c r="H6411" s="16" t="n">
        <x:v>1</x:v>
      </x:c>
      <x:c r="I6411" s="16" t="n">
        <x:v>2.7</x:v>
      </x:c>
      <x:c r="J6411" s="16" t="n">
        <x:v>5.4</x:v>
      </x:c>
      <x:c r="K6411" s="11" t="n">
        <x:f>CHOOSE('假设'!$B$3,H6411,I6411,J6411)</x:f>
        <x:v>2.7</x:v>
      </x:c>
      <x:c r="L6411" s="11" t="n">
        <x:f>K6411*'管线假设'!E1371*'管线假设'!F1371*'管线假设'!G1371*IF(E6411="USD",'管线假设'!I1371,1)-AM6411</x:f>
        <x:v>1.022868</x:v>
      </x:c>
      <x:c r="M6411" s="11" t="n">
        <x:f>'管线假设'!H1371</x:f>
        <x:v>0.14</x:v>
      </x:c>
      <x:c r="N6411" s="11" t="n">
        <x:f>IF(G6411,L6411*AN6411/(1+M6411)^F6411,0)</x:f>
        <x:v>0.2758628255770266</x:v>
      </x:c>
      <x:c r="AJ6411" s="42" t="n">
        <x:v>0</x:v>
      </x:c>
      <x:c r="AK6411" s="42" t="n">
        <x:v>0</x:v>
      </x:c>
      <x:c r="AL6411" s="42" t="n">
        <x:v>0</x:v>
      </x:c>
      <x:c r="AM6411" t="n">
        <x:f>CHOOSE('假设'!$B$3,AJ6411,AK6411,AL6411)</x:f>
        <x:v>0</x:v>
      </x:c>
      <x:c r="AN6411" t="n">
        <x:v>1</x:v>
      </x:c>
    </x:row>
    <x:row r="6412" ht="23" customHeight="1">
      <x:c r="A6412" s="11" t="str">
        <x:v>09995.HK</x:v>
      </x:c>
      <x:c r="B6412" s="11" t="str">
        <x:v>2026年底</x:v>
      </x:c>
      <x:c r="C6412" s="11" t="str">
        <x:v>RC18_foreign</x:v>
      </x:c>
      <x:c r="D6412" s="11" t="str">
        <x:v>2037-12-31</x:v>
      </x:c>
      <x:c r="E6412" s="11" t="str">
        <x:v>USD</x:v>
      </x:c>
      <x:c r="F6412" s="11" t="n">
        <x:v>11.000684462696784</x:v>
      </x:c>
      <x:c r="G6412" s="26" t="b">
        <x:v>1</x:v>
      </x:c>
      <x:c r="H6412" s="16" t="n">
        <x:v>1</x:v>
      </x:c>
      <x:c r="I6412" s="16" t="n">
        <x:v>2.4000000000000004</x:v>
      </x:c>
      <x:c r="J6412" s="16" t="n">
        <x:v>4.800000000000001</x:v>
      </x:c>
      <x:c r="K6412" s="11" t="n">
        <x:f>CHOOSE('假设'!$B$3,H6412,I6412,J6412)</x:f>
        <x:v>2.4000000000000004</x:v>
      </x:c>
      <x:c r="L6412" s="11" t="n">
        <x:f>K6412*'管线假设'!E1371*'管线假设'!F1371*'管线假设'!G1371*IF(E6412="USD",'管线假设'!I1371,1)-AM6412</x:f>
        <x:v>0.909216</x:v>
      </x:c>
      <x:c r="M6412" s="11" t="n">
        <x:f>'管线假设'!H1371</x:f>
        <x:v>0.14</x:v>
      </x:c>
      <x:c r="N6412" s="11" t="n">
        <x:f>IF(G6412,L6412*AN6412/(1+M6412)^F6412,0)</x:f>
        <x:v>0.2151170114280627</x:v>
      </x:c>
      <x:c r="AJ6412" s="42" t="n">
        <x:v>0</x:v>
      </x:c>
      <x:c r="AK6412" s="42" t="n">
        <x:v>0</x:v>
      </x:c>
      <x:c r="AL6412" s="42" t="n">
        <x:v>0</x:v>
      </x:c>
      <x:c r="AM6412" t="n">
        <x:f>CHOOSE('假设'!$B$3,AJ6412,AK6412,AL6412)</x:f>
        <x:v>0</x:v>
      </x:c>
      <x:c r="AN6412" t="n">
        <x:v>1</x:v>
      </x:c>
    </x:row>
    <x:row r="6413" ht="23" customHeight="1">
      <x:c r="A6413" s="11" t="str">
        <x:v>09995.HK</x:v>
      </x:c>
      <x:c r="B6413" s="11" t="str">
        <x:v>2026年底</x:v>
      </x:c>
      <x:c r="C6413" s="11" t="str">
        <x:v>RC18_foreign</x:v>
      </x:c>
      <x:c r="D6413" s="11" t="str">
        <x:v>2038-12-31</x:v>
      </x:c>
      <x:c r="E6413" s="11" t="str">
        <x:v>USD</x:v>
      </x:c>
      <x:c r="F6413" s="11" t="n">
        <x:v>12</x:v>
      </x:c>
      <x:c r="G6413" s="26" t="b">
        <x:v>1</x:v>
      </x:c>
      <x:c r="H6413" s="16" t="n">
        <x:v>0.95</x:v>
      </x:c>
      <x:c r="I6413" s="16" t="n">
        <x:v>1.9500000000000002</x:v>
      </x:c>
      <x:c r="J6413" s="16" t="n">
        <x:v>3.9000000000000004</x:v>
      </x:c>
      <x:c r="K6413" s="11" t="n">
        <x:f>CHOOSE('假设'!$B$3,H6413,I6413,J6413)</x:f>
        <x:v>1.9500000000000002</x:v>
      </x:c>
      <x:c r="L6413" s="11" t="n">
        <x:f>K6413*'管线假设'!E1371*'管线假设'!F1371*'管线假设'!G1371*IF(E6413="USD",'管线假设'!I1371,1)-AM6413</x:f>
        <x:v>0.738738</x:v>
      </x:c>
      <x:c r="M6413" s="11" t="n">
        <x:f>'管线假设'!H1371</x:f>
        <x:v>0.14</x:v>
      </x:c>
      <x:c r="N6413" s="11" t="n">
        <x:f>IF(G6413,L6413*AN6413/(1+M6413)^F6413,0)</x:f>
        <x:v>0.1533317962114281</x:v>
      </x:c>
      <x:c r="AJ6413" s="42" t="n">
        <x:v>0</x:v>
      </x:c>
      <x:c r="AK6413" s="42" t="n">
        <x:v>0</x:v>
      </x:c>
      <x:c r="AL6413" s="42" t="n">
        <x:v>0</x:v>
      </x:c>
      <x:c r="AM6413" t="n">
        <x:f>CHOOSE('假设'!$B$3,AJ6413,AK6413,AL6413)</x:f>
        <x:v>0</x:v>
      </x:c>
      <x:c r="AN6413" t="n">
        <x:v>1</x:v>
      </x:c>
    </x:row>
    <x:row r="6414" ht="23" customHeight="1">
      <x:c r="A6414" s="11" t="str">
        <x:v>09995.HK</x:v>
      </x:c>
      <x:c r="B6414" s="11" t="str">
        <x:v>2026年底</x:v>
      </x:c>
      <x:c r="C6414" s="11" t="str">
        <x:v>RC18_foreign</x:v>
      </x:c>
      <x:c r="D6414" s="11" t="str">
        <x:v>2039-12-31</x:v>
      </x:c>
      <x:c r="E6414" s="11" t="str">
        <x:v>USD</x:v>
      </x:c>
      <x:c r="F6414" s="11" t="n">
        <x:v>12.999315537303216</x:v>
      </x:c>
      <x:c r="G6414" s="26" t="b">
        <x:v>1</x:v>
      </x:c>
      <x:c r="H6414" s="16" t="n">
        <x:v>0.9</x:v>
      </x:c>
      <x:c r="I6414" s="16" t="n">
        <x:v>1.5</x:v>
      </x:c>
      <x:c r="J6414" s="16" t="n">
        <x:v>3</x:v>
      </x:c>
      <x:c r="K6414" s="11" t="n">
        <x:f>CHOOSE('假设'!$B$3,H6414,I6414,J6414)</x:f>
        <x:v>1.5</x:v>
      </x:c>
      <x:c r="L6414" s="11" t="n">
        <x:f>K6414*'管线假设'!E1371*'管线假设'!F1371*'管线假设'!G1371*IF(E6414="USD",'管线假设'!I1371,1)-AM6414</x:f>
        <x:v>0.5682599999999999</x:v>
      </x:c>
      <x:c r="M6414" s="11" t="n">
        <x:f>'管线假设'!H1371</x:f>
        <x:v>0.14</x:v>
      </x:c>
      <x:c r="N6414" s="11" t="n">
        <x:f>IF(G6414,L6414*AN6414/(1+M6414)^F6414,0)</x:f>
        <x:v>0.10347202984509701</x:v>
      </x:c>
      <x:c r="AJ6414" s="42" t="n">
        <x:v>0</x:v>
      </x:c>
      <x:c r="AK6414" s="42" t="n">
        <x:v>0</x:v>
      </x:c>
      <x:c r="AL6414" s="42" t="n">
        <x:v>0</x:v>
      </x:c>
      <x:c r="AM6414" t="n">
        <x:f>CHOOSE('假设'!$B$3,AJ6414,AK6414,AL6414)</x:f>
        <x:v>0</x:v>
      </x:c>
      <x:c r="AN6414" t="n">
        <x:v>1</x:v>
      </x:c>
    </x:row>
    <x:row r="6415" ht="23" customHeight="1">
      <x:c r="A6415" s="11" t="str">
        <x:v>09995.HK</x:v>
      </x:c>
      <x:c r="B6415" s="11" t="str">
        <x:v>2026年底</x:v>
      </x:c>
      <x:c r="C6415" s="11" t="str">
        <x:v>RC18_foreign</x:v>
      </x:c>
      <x:c r="D6415" s="11" t="str">
        <x:v>2040-12-31</x:v>
      </x:c>
      <x:c r="E6415" s="11" t="str">
        <x:v>USD</x:v>
      </x:c>
      <x:c r="F6415" s="11" t="n">
        <x:v>14.001368925393566</x:v>
      </x:c>
      <x:c r="G6415" s="26" t="b">
        <x:v>1</x:v>
      </x:c>
      <x:c r="H6415" s="16" t="n">
        <x:v>0.8</x:v>
      </x:c>
      <x:c r="I6415" s="16" t="n">
        <x:v>1.0499999999999998</x:v>
      </x:c>
      <x:c r="J6415" s="16" t="n">
        <x:v>2.0999999999999996</x:v>
      </x:c>
      <x:c r="K6415" s="11" t="n">
        <x:f>CHOOSE('假设'!$B$3,H6415,I6415,J6415)</x:f>
        <x:v>1.0499999999999998</x:v>
      </x:c>
      <x:c r="L6415" s="11" t="n">
        <x:f>K6415*'管线假设'!E1371*'管线假设'!F1371*'管线假设'!G1371*IF(E6415="USD",'管线假设'!I1371,1)-AM6415</x:f>
        <x:v>0.39778199999999986</x:v>
      </x:c>
      <x:c r="M6415" s="11" t="n">
        <x:f>'管线假设'!H1371</x:f>
        <x:v>0.14</x:v>
      </x:c>
      <x:c r="N6415" s="11" t="n">
        <x:f>IF(G6415,L6415*AN6415/(1+M6415)^F6415,0)</x:f>
        <x:v>0.0635183648881328</x:v>
      </x:c>
      <x:c r="AJ6415" s="42" t="n">
        <x:v>0</x:v>
      </x:c>
      <x:c r="AK6415" s="42" t="n">
        <x:v>0</x:v>
      </x:c>
      <x:c r="AL6415" s="42" t="n">
        <x:v>0</x:v>
      </x:c>
      <x:c r="AM6415" t="n">
        <x:f>CHOOSE('假设'!$B$3,AJ6415,AK6415,AL6415)</x:f>
        <x:v>0</x:v>
      </x:c>
      <x:c r="AN6415" t="n">
        <x:v>1</x:v>
      </x:c>
    </x:row>
    <x:row r="6416" ht="23" customHeight="1">
      <x:c r="A6416" s="11" t="str">
        <x:v>09995.HK</x:v>
      </x:c>
      <x:c r="B6416" s="11" t="str">
        <x:v>2026年底</x:v>
      </x:c>
      <x:c r="C6416" s="11" t="str">
        <x:v>RC18_foreign</x:v>
      </x:c>
      <x:c r="D6416" s="11" t="str">
        <x:v>2041-12-31</x:v>
      </x:c>
      <x:c r="E6416" s="11" t="str">
        <x:v>USD</x:v>
      </x:c>
      <x:c r="F6416" s="11" t="n">
        <x:v>15.000684462696784</x:v>
      </x:c>
      <x:c r="G6416" s="26" t="b">
        <x:v>1</x:v>
      </x:c>
      <x:c r="H6416" s="16" t="n">
        <x:v>0.65</x:v>
      </x:c>
      <x:c r="I6416" s="16" t="n">
        <x:v>0.6000000000000001</x:v>
      </x:c>
      <x:c r="J6416" s="16" t="n">
        <x:v>1.2000000000000002</x:v>
      </x:c>
      <x:c r="K6416" s="11" t="n">
        <x:f>CHOOSE('假设'!$B$3,H6416,I6416,J6416)</x:f>
        <x:v>0.6000000000000001</x:v>
      </x:c>
      <x:c r="L6416" s="11" t="n">
        <x:f>K6416*'管线假设'!E1371*'管线假设'!F1371*'管线假设'!G1371*IF(E6416="USD",'管线假设'!I1371,1)-AM6416</x:f>
        <x:v>0.227304</x:v>
      </x:c>
      <x:c r="M6416" s="11" t="n">
        <x:f>'管线假设'!H1371</x:f>
        <x:v>0.14</x:v>
      </x:c>
      <x:c r="N6416" s="11" t="n">
        <x:f>IF(G6416,L6416*AN6416/(1+M6416)^F6416,0)</x:f>
        <x:v>0.0318416349483434</x:v>
      </x:c>
      <x:c r="AJ6416" s="42" t="n">
        <x:v>0</x:v>
      </x:c>
      <x:c r="AK6416" s="42" t="n">
        <x:v>0</x:v>
      </x:c>
      <x:c r="AL6416" s="42" t="n">
        <x:v>0</x:v>
      </x:c>
      <x:c r="AM6416" t="n">
        <x:f>CHOOSE('假设'!$B$3,AJ6416,AK6416,AL6416)</x:f>
        <x:v>0</x:v>
      </x:c>
      <x:c r="AN6416" t="n">
        <x:v>1</x:v>
      </x:c>
    </x:row>
    <x:row r="6417" ht="23" customHeight="1">
      <x:c r="A6417" s="11" t="str">
        <x:v>09995.HK</x:v>
      </x:c>
      <x:c r="B6417" s="11" t="str">
        <x:v>2026年底</x:v>
      </x:c>
      <x:c r="C6417" s="11" t="str">
        <x:v>RC18_foreign</x:v>
      </x:c>
      <x:c r="D6417" s="11" t="str">
        <x:v>2042-12-31</x:v>
      </x:c>
      <x:c r="E6417" s="11" t="str">
        <x:v>USD</x:v>
      </x:c>
      <x:c r="F6417" s="11" t="n">
        <x:v>16</x:v>
      </x:c>
      <x:c r="G6417" s="26" t="b">
        <x:v>1</x:v>
      </x:c>
      <x:c r="H6417" s="16" t="n">
        <x:v>0.5</x:v>
      </x:c>
      <x:c r="I6417" s="16" t="n">
        <x:v>0.36</x:v>
      </x:c>
      <x:c r="J6417" s="16" t="n">
        <x:v>0.72</x:v>
      </x:c>
      <x:c r="K6417" s="11" t="n">
        <x:f>CHOOSE('假设'!$B$3,H6417,I6417,J6417)</x:f>
        <x:v>0.36</x:v>
      </x:c>
      <x:c r="L6417" s="11" t="n">
        <x:f>K6417*'管线假设'!E1371*'管线假设'!F1371*'管线假设'!G1371*IF(E6417="USD",'管线假设'!I1371,1)-AM6417</x:f>
        <x:v>0.13638239999999996</x:v>
      </x:c>
      <x:c r="M6417" s="11" t="n">
        <x:f>'管线假设'!H1371</x:f>
        <x:v>0.14</x:v>
      </x:c>
      <x:c r="N6417" s="11" t="n">
        <x:f>IF(G6417,L6417*AN6417/(1+M6417)^F6417,0)</x:f>
        <x:v>0.016760258294867388</x:v>
      </x:c>
      <x:c r="AJ6417" s="42" t="n">
        <x:v>0</x:v>
      </x:c>
      <x:c r="AK6417" s="42" t="n">
        <x:v>0</x:v>
      </x:c>
      <x:c r="AL6417" s="42" t="n">
        <x:v>0</x:v>
      </x:c>
      <x:c r="AM6417" t="n">
        <x:f>CHOOSE('假设'!$B$3,AJ6417,AK6417,AL6417)</x:f>
        <x:v>0</x:v>
      </x:c>
      <x:c r="AN6417" t="n">
        <x:v>1</x:v>
      </x:c>
    </x:row>
    <x:row r="6418" ht="23" customHeight="1">
      <x:c r="A6418" s="11" t="str">
        <x:v>09995.HK</x:v>
      </x:c>
      <x:c r="B6418" s="11" t="str">
        <x:v>2026年底</x:v>
      </x:c>
      <x:c r="C6418" s="11" t="str">
        <x:v>RC18_foreign</x:v>
      </x:c>
      <x:c r="D6418" s="11" t="str">
        <x:v>2043-12-31</x:v>
      </x:c>
      <x:c r="E6418" s="11" t="str">
        <x:v>USD</x:v>
      </x:c>
      <x:c r="F6418" s="11" t="n">
        <x:v>16.999315537303218</x:v>
      </x:c>
      <x:c r="G6418" s="26" t="b">
        <x:v>1</x:v>
      </x:c>
      <x:c r="H6418" s="16" t="n">
        <x:v>0.35</x:v>
      </x:c>
      <x:c r="I6418" s="16" t="n">
        <x:v>0.21000000000000002</x:v>
      </x:c>
      <x:c r="J6418" s="16" t="n">
        <x:v>0.42000000000000004</x:v>
      </x:c>
      <x:c r="K6418" s="11" t="n">
        <x:f>CHOOSE('假设'!$B$3,H6418,I6418,J6418)</x:f>
        <x:v>0.21000000000000002</x:v>
      </x:c>
      <x:c r="L6418" s="11" t="n">
        <x:f>K6418*'管线假设'!E1371*'管线假设'!F1371*'管线假设'!G1371*IF(E6418="USD",'管线假设'!I1371,1)-AM6418</x:f>
        <x:v>0.0795564</x:v>
      </x:c>
      <x:c r="M6418" s="11" t="n">
        <x:f>'管线假设'!H1371</x:f>
        <x:v>0.14</x:v>
      </x:c>
      <x:c r="N6418" s="11" t="n">
        <x:f>IF(G6418,L6418*AN6418/(1+M6418)^F6418,0)</x:f>
        <x:v>0.008576924738303819</x:v>
      </x:c>
      <x:c r="AJ6418" s="42" t="n">
        <x:v>0</x:v>
      </x:c>
      <x:c r="AK6418" s="42" t="n">
        <x:v>0</x:v>
      </x:c>
      <x:c r="AL6418" s="42" t="n">
        <x:v>0</x:v>
      </x:c>
      <x:c r="AM6418" t="n">
        <x:f>CHOOSE('假设'!$B$3,AJ6418,AK6418,AL6418)</x:f>
        <x:v>0</x:v>
      </x:c>
      <x:c r="AN6418" t="n">
        <x:v>1</x:v>
      </x:c>
    </x:row>
    <x:row r="6419" ht="23" customHeight="1">
      <x:c r="A6419" s="11" t="str">
        <x:v>09995.HK</x:v>
      </x:c>
      <x:c r="B6419" s="11" t="str">
        <x:v>2026年底</x:v>
      </x:c>
      <x:c r="C6419" s="11" t="str">
        <x:v>RC18_foreign</x:v>
      </x:c>
      <x:c r="D6419" s="11" t="str">
        <x:v>2044-12-31</x:v>
      </x:c>
      <x:c r="E6419" s="11" t="str">
        <x:v>USD</x:v>
      </x:c>
      <x:c r="F6419" s="11" t="n">
        <x:v>18.001368925393567</x:v>
      </x:c>
      <x:c r="G6419" s="26" t="b">
        <x:v>1</x:v>
      </x:c>
      <x:c r="H6419" s="16" t="n">
        <x:v>0.2</x:v>
      </x:c>
      <x:c r="I6419" s="16" t="n">
        <x:v>0.09</x:v>
      </x:c>
      <x:c r="J6419" s="16" t="n">
        <x:v>0.18</x:v>
      </x:c>
      <x:c r="K6419" s="11" t="n">
        <x:f>CHOOSE('假设'!$B$3,H6419,I6419,J6419)</x:f>
        <x:v>0.09</x:v>
      </x:c>
      <x:c r="L6419" s="11" t="n">
        <x:f>K6419*'管线假设'!E1371*'管线假设'!F1371*'管线假设'!G1371*IF(E6419="USD",'管线假设'!I1371,1)-AM6419</x:f>
        <x:v>0.03409559999999999</x:v>
      </x:c>
      <x:c r="M6419" s="11" t="n">
        <x:f>'管线假设'!H1371</x:f>
        <x:v>0.14</x:v>
      </x:c>
      <x:c r="N6419" s="11" t="n">
        <x:f>IF(G6419,L6419*AN6419/(1+M6419)^F6419,0)</x:f>
        <x:v>0.0032235403800914197</x:v>
      </x:c>
      <x:c r="AJ6419" s="42" t="n">
        <x:v>0</x:v>
      </x:c>
      <x:c r="AK6419" s="42" t="n">
        <x:v>0</x:v>
      </x:c>
      <x:c r="AL6419" s="42" t="n">
        <x:v>0</x:v>
      </x:c>
      <x:c r="AM6419" t="n">
        <x:f>CHOOSE('假设'!$B$3,AJ6419,AK6419,AL6419)</x:f>
        <x:v>0</x:v>
      </x:c>
      <x:c r="AN6419" t="n">
        <x:v>1</x:v>
      </x:c>
    </x:row>
    <x:row r="6420" ht="23" customHeight="1">
      <x:c r="A6420" s="11" t="str">
        <x:v>09995.HK</x:v>
      </x:c>
      <x:c r="B6420" s="11" t="str">
        <x:v>2026年底</x:v>
      </x:c>
      <x:c r="C6420" s="11" t="str">
        <x:v>RC48_foreign</x:v>
      </x:c>
      <x:c r="D6420" s="11" t="str">
        <x:v>2026-12-31</x:v>
      </x:c>
      <x:c r="E6420" s="11" t="str">
        <x:v>USD</x:v>
      </x:c>
      <x:c r="F6420" s="11" t="n">
        <x:v>0</x:v>
      </x:c>
      <x:c r="G6420" s="26" t="b">
        <x:v>0</x:v>
      </x:c>
      <x:c r="H6420" s="16" t="n">
        <x:v>0</x:v>
      </x:c>
      <x:c r="I6420" s="16" t="n">
        <x:v>0</x:v>
      </x:c>
      <x:c r="J6420" s="16" t="n">
        <x:v>0</x:v>
      </x:c>
      <x:c r="K6420" s="11" t="n">
        <x:f>CHOOSE('假设'!$B$3,H6420,I6420,J6420)</x:f>
        <x:v>0</x:v>
      </x:c>
      <x:c r="L6420" s="11" t="n">
        <x:f>K6420*'管线假设'!E1375*'管线假设'!F1375*'管线假设'!G1375*IF(E6420="USD",'管线假设'!I1375,1)-AM6420</x:f>
        <x:v>-0.049</x:v>
      </x:c>
      <x:c r="M6420" s="11" t="n">
        <x:f>'管线假设'!H1375</x:f>
        <x:v>0.14</x:v>
      </x:c>
      <x:c r="N6420" s="11" t="n">
        <x:f>IF(G6420,L6420*AN6420/(1+M6420)^F6420,0)</x:f>
        <x:v>0</x:v>
      </x:c>
      <x:c r="AJ6420" s="42" t="n">
        <x:v>0.021</x:v>
      </x:c>
      <x:c r="AK6420" s="42" t="n">
        <x:v>0.049</x:v>
      </x:c>
      <x:c r="AL6420" s="42" t="n">
        <x:v>0.084</x:v>
      </x:c>
      <x:c r="AM6420" t="n">
        <x:f>CHOOSE('假设'!$B$3,AJ6420,AK6420,AL6420)</x:f>
        <x:v>0.049</x:v>
      </x:c>
      <x:c r="AN6420" t="n">
        <x:v>0</x:v>
      </x:c>
    </x:row>
    <x:row r="6421" ht="23" customHeight="1">
      <x:c r="A6421" s="11" t="str">
        <x:v>09995.HK</x:v>
      </x:c>
      <x:c r="B6421" s="11" t="str">
        <x:v>2026年底</x:v>
      </x:c>
      <x:c r="C6421" s="11" t="str">
        <x:v>RC48_foreign</x:v>
      </x:c>
      <x:c r="D6421" s="11" t="str">
        <x:v>2027-12-31</x:v>
      </x:c>
      <x:c r="E6421" s="11" t="str">
        <x:v>USD</x:v>
      </x:c>
      <x:c r="F6421" s="11" t="n">
        <x:v>0.999315537303217</x:v>
      </x:c>
      <x:c r="G6421" s="26" t="b">
        <x:v>1</x:v>
      </x:c>
      <x:c r="H6421" s="16" t="n">
        <x:v>0</x:v>
      </x:c>
      <x:c r="I6421" s="16" t="n">
        <x:v>0</x:v>
      </x:c>
      <x:c r="J6421" s="16" t="n">
        <x:v>0</x:v>
      </x:c>
      <x:c r="K6421" s="11" t="n">
        <x:f>CHOOSE('假设'!$B$3,H6421,I6421,J6421)</x:f>
        <x:v>0</x:v>
      </x:c>
      <x:c r="L6421" s="11" t="n">
        <x:f>K6421*'管线假设'!E1375*'管线假设'!F1375*'管线假设'!G1375*IF(E6421="USD",'管线假设'!I1375,1)-AM6421</x:f>
        <x:v>0</x:v>
      </x:c>
      <x:c r="M6421" s="11" t="n">
        <x:f>'管线假设'!H1375</x:f>
        <x:v>0.14</x:v>
      </x:c>
      <x:c r="N6421" s="11" t="n">
        <x:f>IF(G6421,L6421*AN6421/(1+M6421)^F6421,0)</x:f>
        <x:v>0</x:v>
      </x:c>
      <x:c r="AJ6421" s="42" t="n">
        <x:v>0</x:v>
      </x:c>
      <x:c r="AK6421" s="42" t="n">
        <x:v>0</x:v>
      </x:c>
      <x:c r="AL6421" s="42" t="n">
        <x:v>0</x:v>
      </x:c>
      <x:c r="AM6421" t="n">
        <x:f>CHOOSE('假设'!$B$3,AJ6421,AK6421,AL6421)</x:f>
        <x:v>0</x:v>
      </x:c>
      <x:c r="AN6421" t="n">
        <x:v>1</x:v>
      </x:c>
    </x:row>
    <x:row r="6422" ht="23" customHeight="1">
      <x:c r="A6422" s="11" t="str">
        <x:v>09995.HK</x:v>
      </x:c>
      <x:c r="B6422" s="11" t="str">
        <x:v>2026年底</x:v>
      </x:c>
      <x:c r="C6422" s="11" t="str">
        <x:v>RC48_foreign</x:v>
      </x:c>
      <x:c r="D6422" s="11" t="str">
        <x:v>2028-12-31</x:v>
      </x:c>
      <x:c r="E6422" s="11" t="str">
        <x:v>USD</x:v>
      </x:c>
      <x:c r="F6422" s="11" t="n">
        <x:v>2.001368925393566</x:v>
      </x:c>
      <x:c r="G6422" s="26" t="b">
        <x:v>1</x:v>
      </x:c>
      <x:c r="H6422" s="16" t="n">
        <x:v>0</x:v>
      </x:c>
      <x:c r="I6422" s="16" t="n">
        <x:v>0</x:v>
      </x:c>
      <x:c r="J6422" s="16" t="n">
        <x:v>0.24</x:v>
      </x:c>
      <x:c r="K6422" s="11" t="n">
        <x:f>CHOOSE('假设'!$B$3,H6422,I6422,J6422)</x:f>
        <x:v>0</x:v>
      </x:c>
      <x:c r="L6422" s="11" t="n">
        <x:f>K6422*'管线假设'!E1375*'管线假设'!F1375*'管线假设'!G1375*IF(E6422="USD",'管线假设'!I1375,1)-AM6422</x:f>
        <x:v>0</x:v>
      </x:c>
      <x:c r="M6422" s="11" t="n">
        <x:f>'管线假设'!H1375</x:f>
        <x:v>0.14</x:v>
      </x:c>
      <x:c r="N6422" s="11" t="n">
        <x:f>IF(G6422,L6422*AN6422/(1+M6422)^F6422,0)</x:f>
        <x:v>0</x:v>
      </x:c>
      <x:c r="AJ6422" s="42" t="n">
        <x:v>0</x:v>
      </x:c>
      <x:c r="AK6422" s="42" t="n">
        <x:v>0</x:v>
      </x:c>
      <x:c r="AL6422" s="42" t="n">
        <x:v>0</x:v>
      </x:c>
      <x:c r="AM6422" t="n">
        <x:f>CHOOSE('假设'!$B$3,AJ6422,AK6422,AL6422)</x:f>
        <x:v>0</x:v>
      </x:c>
      <x:c r="AN6422" t="n">
        <x:v>1</x:v>
      </x:c>
    </x:row>
    <x:row r="6423" ht="23" customHeight="1">
      <x:c r="A6423" s="11" t="str">
        <x:v>09995.HK</x:v>
      </x:c>
      <x:c r="B6423" s="11" t="str">
        <x:v>2026年底</x:v>
      </x:c>
      <x:c r="C6423" s="11" t="str">
        <x:v>RC48_foreign</x:v>
      </x:c>
      <x:c r="D6423" s="11" t="str">
        <x:v>2029-12-31</x:v>
      </x:c>
      <x:c r="E6423" s="11" t="str">
        <x:v>USD</x:v>
      </x:c>
      <x:c r="F6423" s="11" t="n">
        <x:v>3.0006844626967832</x:v>
      </x:c>
      <x:c r="G6423" s="26" t="b">
        <x:v>1</x:v>
      </x:c>
      <x:c r="H6423" s="16" t="n">
        <x:v>0</x:v>
      </x:c>
      <x:c r="I6423" s="16" t="n">
        <x:v>0.15</x:v>
      </x:c>
      <x:c r="J6423" s="16" t="n">
        <x:v>0.72</x:v>
      </x:c>
      <x:c r="K6423" s="11" t="n">
        <x:f>CHOOSE('假设'!$B$3,H6423,I6423,J6423)</x:f>
        <x:v>0.15</x:v>
      </x:c>
      <x:c r="L6423" s="11" t="n">
        <x:f>K6423*'管线假设'!E1375*'管线假设'!F1375*'管线假设'!G1375*IF(E6423="USD",'管线假设'!I1375,1)-AM6423</x:f>
        <x:v>0.0520905</x:v>
      </x:c>
      <x:c r="M6423" s="11" t="n">
        <x:f>'管线假设'!H1375</x:f>
        <x:v>0.14</x:v>
      </x:c>
      <x:c r="N6423" s="11" t="n">
        <x:f>IF(G6423,L6423*AN6423/(1+M6423)^F6423,0)</x:f>
        <x:v>0.03515645065369321</x:v>
      </x:c>
      <x:c r="AJ6423" s="42" t="n">
        <x:v>0</x:v>
      </x:c>
      <x:c r="AK6423" s="42" t="n">
        <x:v>0</x:v>
      </x:c>
      <x:c r="AL6423" s="42" t="n">
        <x:v>0</x:v>
      </x:c>
      <x:c r="AM6423" t="n">
        <x:f>CHOOSE('假设'!$B$3,AJ6423,AK6423,AL6423)</x:f>
        <x:v>0</x:v>
      </x:c>
      <x:c r="AN6423" t="n">
        <x:v>1</x:v>
      </x:c>
    </x:row>
    <x:row r="6424" ht="23" customHeight="1">
      <x:c r="A6424" s="11" t="str">
        <x:v>09995.HK</x:v>
      </x:c>
      <x:c r="B6424" s="11" t="str">
        <x:v>2026年底</x:v>
      </x:c>
      <x:c r="C6424" s="11" t="str">
        <x:v>RC48_foreign</x:v>
      </x:c>
      <x:c r="D6424" s="11" t="str">
        <x:v>2030-12-31</x:v>
      </x:c>
      <x:c r="E6424" s="11" t="str">
        <x:v>USD</x:v>
      </x:c>
      <x:c r="F6424" s="11" t="n">
        <x:v>4</x:v>
      </x:c>
      <x:c r="G6424" s="26" t="b">
        <x:v>1</x:v>
      </x:c>
      <x:c r="H6424" s="16" t="n">
        <x:v>0</x:v>
      </x:c>
      <x:c r="I6424" s="16" t="n">
        <x:v>0.44999999999999996</x:v>
      </x:c>
      <x:c r="J6424" s="16" t="n">
        <x:v>1.52</x:v>
      </x:c>
      <x:c r="K6424" s="11" t="n">
        <x:f>CHOOSE('假设'!$B$3,H6424,I6424,J6424)</x:f>
        <x:v>0.44999999999999996</x:v>
      </x:c>
      <x:c r="L6424" s="11" t="n">
        <x:f>K6424*'管线假设'!E1375*'管线假设'!F1375*'管线假设'!G1375*IF(E6424="USD",'管线假设'!I1375,1)-AM6424</x:f>
        <x:v>0.15627149999999998</x:v>
      </x:c>
      <x:c r="M6424" s="11" t="n">
        <x:f>'管线假设'!H1375</x:f>
        <x:v>0.14</x:v>
      </x:c>
      <x:c r="N6424" s="11" t="n">
        <x:f>IF(G6424,L6424*AN6424/(1+M6424)^F6424,0)</x:f>
        <x:v>0.09252527306505555</x:v>
      </x:c>
      <x:c r="AJ6424" s="42" t="n">
        <x:v>0</x:v>
      </x:c>
      <x:c r="AK6424" s="42" t="n">
        <x:v>0</x:v>
      </x:c>
      <x:c r="AL6424" s="42" t="n">
        <x:v>0</x:v>
      </x:c>
      <x:c r="AM6424" t="n">
        <x:f>CHOOSE('假设'!$B$3,AJ6424,AK6424,AL6424)</x:f>
        <x:v>0</x:v>
      </x:c>
      <x:c r="AN6424" t="n">
        <x:v>1</x:v>
      </x:c>
    </x:row>
    <x:row r="6425" ht="23" customHeight="1">
      <x:c r="A6425" s="11" t="str">
        <x:v>09995.HK</x:v>
      </x:c>
      <x:c r="B6425" s="11" t="str">
        <x:v>2026年底</x:v>
      </x:c>
      <x:c r="C6425" s="11" t="str">
        <x:v>RC48_foreign</x:v>
      </x:c>
      <x:c r="D6425" s="11" t="str">
        <x:v>2031-12-31</x:v>
      </x:c>
      <x:c r="E6425" s="11" t="str">
        <x:v>USD</x:v>
      </x:c>
      <x:c r="F6425" s="11" t="n">
        <x:v>4.999315537303217</x:v>
      </x:c>
      <x:c r="G6425" s="26" t="b">
        <x:v>1</x:v>
      </x:c>
      <x:c r="H6425" s="16" t="n">
        <x:v>0.06</x:v>
      </x:c>
      <x:c r="I6425" s="16" t="n">
        <x:v>0.95</x:v>
      </x:c>
      <x:c r="J6425" s="16" t="n">
        <x:v>2.6</x:v>
      </x:c>
      <x:c r="K6425" s="11" t="n">
        <x:f>CHOOSE('假设'!$B$3,H6425,I6425,J6425)</x:f>
        <x:v>0.95</x:v>
      </x:c>
      <x:c r="L6425" s="11" t="n">
        <x:f>K6425*'管线假设'!E1375*'管线假设'!F1375*'管线假设'!G1375*IF(E6425="USD",'管线假设'!I1375,1)-AM6425</x:f>
        <x:v>0.32990649999999994</x:v>
      </x:c>
      <x:c r="M6425" s="11" t="n">
        <x:f>'管线假设'!H1375</x:f>
        <x:v>0.14</x:v>
      </x:c>
      <x:c r="N6425" s="11" t="n">
        <x:f>IF(G6425,L6425*AN6425/(1+M6425)^F6425,0)</x:f>
        <x:v>0.17135846568491797</x:v>
      </x:c>
      <x:c r="AJ6425" s="42" t="n">
        <x:v>0</x:v>
      </x:c>
      <x:c r="AK6425" s="42" t="n">
        <x:v>0</x:v>
      </x:c>
      <x:c r="AL6425" s="42" t="n">
        <x:v>0</x:v>
      </x:c>
      <x:c r="AM6425" t="n">
        <x:f>CHOOSE('假设'!$B$3,AJ6425,AK6425,AL6425)</x:f>
        <x:v>0</x:v>
      </x:c>
      <x:c r="AN6425" t="n">
        <x:v>1</x:v>
      </x:c>
    </x:row>
    <x:row r="6426" ht="23" customHeight="1">
      <x:c r="A6426" s="11" t="str">
        <x:v>09995.HK</x:v>
      </x:c>
      <x:c r="B6426" s="11" t="str">
        <x:v>2026年底</x:v>
      </x:c>
      <x:c r="C6426" s="11" t="str">
        <x:v>RC48_foreign</x:v>
      </x:c>
      <x:c r="D6426" s="11" t="str">
        <x:v>2032-12-31</x:v>
      </x:c>
      <x:c r="E6426" s="11" t="str">
        <x:v>USD</x:v>
      </x:c>
      <x:c r="F6426" s="11" t="n">
        <x:v>6.0013689253935665</x:v>
      </x:c>
      <x:c r="G6426" s="26" t="b">
        <x:v>1</x:v>
      </x:c>
      <x:c r="H6426" s="16" t="n">
        <x:v>0.18</x:v>
      </x:c>
      <x:c r="I6426" s="16" t="n">
        <x:v>1.625</x:v>
      </x:c>
      <x:c r="J6426" s="16" t="n">
        <x:v>3.4</x:v>
      </x:c>
      <x:c r="K6426" s="11" t="n">
        <x:f>CHOOSE('假设'!$B$3,H6426,I6426,J6426)</x:f>
        <x:v>1.625</x:v>
      </x:c>
      <x:c r="L6426" s="11" t="n">
        <x:f>K6426*'管线假设'!E1375*'管线假设'!F1375*'管线假设'!G1375*IF(E6426="USD",'管线假设'!I1375,1)-AM6426</x:f>
        <x:v>0.56431375</x:v>
      </x:c>
      <x:c r="M6426" s="11" t="n">
        <x:f>'管线假设'!H1375</x:f>
        <x:v>0.14</x:v>
      </x:c>
      <x:c r="N6426" s="11" t="n">
        <x:f>IF(G6426,L6426*AN6426/(1+M6426)^F6426,0)</x:f>
        <x:v>0.2570476429379694</x:v>
      </x:c>
      <x:c r="AJ6426" s="42" t="n">
        <x:v>0</x:v>
      </x:c>
      <x:c r="AK6426" s="42" t="n">
        <x:v>0</x:v>
      </x:c>
      <x:c r="AL6426" s="42" t="n">
        <x:v>0</x:v>
      </x:c>
      <x:c r="AM6426" t="n">
        <x:f>CHOOSE('假设'!$B$3,AJ6426,AK6426,AL6426)</x:f>
        <x:v>0</x:v>
      </x:c>
      <x:c r="AN6426" t="n">
        <x:v>1</x:v>
      </x:c>
    </x:row>
    <x:row r="6427" ht="23" customHeight="1">
      <x:c r="A6427" s="11" t="str">
        <x:v>09995.HK</x:v>
      </x:c>
      <x:c r="B6427" s="11" t="str">
        <x:v>2026年底</x:v>
      </x:c>
      <x:c r="C6427" s="11" t="str">
        <x:v>RC48_foreign</x:v>
      </x:c>
      <x:c r="D6427" s="11" t="str">
        <x:v>2033-12-31</x:v>
      </x:c>
      <x:c r="E6427" s="11" t="str">
        <x:v>USD</x:v>
      </x:c>
      <x:c r="F6427" s="11" t="n">
        <x:v>7.000684462696783</x:v>
      </x:c>
      <x:c r="G6427" s="26" t="b">
        <x:v>1</x:v>
      </x:c>
      <x:c r="H6427" s="16" t="n">
        <x:v>0.38</x:v>
      </x:c>
      <x:c r="I6427" s="16" t="n">
        <x:v>2.125</x:v>
      </x:c>
      <x:c r="J6427" s="16" t="n">
        <x:v>4</x:v>
      </x:c>
      <x:c r="K6427" s="11" t="n">
        <x:f>CHOOSE('假设'!$B$3,H6427,I6427,J6427)</x:f>
        <x:v>2.125</x:v>
      </x:c>
      <x:c r="L6427" s="11" t="n">
        <x:f>K6427*'管线假设'!E1375*'管线假设'!F1375*'管线假设'!G1375*IF(E6427="USD",'管线假设'!I1375,1)-AM6427</x:f>
        <x:v>0.73794875</x:v>
      </x:c>
      <x:c r="M6427" s="11" t="n">
        <x:f>'管线假设'!H1375</x:f>
        <x:v>0.14</x:v>
      </x:c>
      <x:c r="N6427" s="11" t="n">
        <x:f>IF(G6427,L6427*AN6427/(1+M6427)^F6427,0)</x:f>
        <x:v>0.29488541493719245</x:v>
      </x:c>
      <x:c r="AJ6427" s="42" t="n">
        <x:v>0</x:v>
      </x:c>
      <x:c r="AK6427" s="42" t="n">
        <x:v>0</x:v>
      </x:c>
      <x:c r="AL6427" s="42" t="n">
        <x:v>0</x:v>
      </x:c>
      <x:c r="AM6427" t="n">
        <x:f>CHOOSE('假设'!$B$3,AJ6427,AK6427,AL6427)</x:f>
        <x:v>0</x:v>
      </x:c>
      <x:c r="AN6427" t="n">
        <x:v>1</x:v>
      </x:c>
    </x:row>
    <x:row r="6428" ht="23" customHeight="1">
      <x:c r="A6428" s="11" t="str">
        <x:v>09995.HK</x:v>
      </x:c>
      <x:c r="B6428" s="11" t="str">
        <x:v>2026年底</x:v>
      </x:c>
      <x:c r="C6428" s="11" t="str">
        <x:v>RC48_foreign</x:v>
      </x:c>
      <x:c r="D6428" s="11" t="str">
        <x:v>2034-12-31</x:v>
      </x:c>
      <x:c r="E6428" s="11" t="str">
        <x:v>USD</x:v>
      </x:c>
      <x:c r="F6428" s="11" t="n">
        <x:v>8</x:v>
      </x:c>
      <x:c r="G6428" s="26" t="b">
        <x:v>1</x:v>
      </x:c>
      <x:c r="H6428" s="16" t="n">
        <x:v>0.65</x:v>
      </x:c>
      <x:c r="I6428" s="16" t="n">
        <x:v>2.5</x:v>
      </x:c>
      <x:c r="J6428" s="16" t="n">
        <x:v>4</x:v>
      </x:c>
      <x:c r="K6428" s="11" t="n">
        <x:f>CHOOSE('假设'!$B$3,H6428,I6428,J6428)</x:f>
        <x:v>2.5</x:v>
      </x:c>
      <x:c r="L6428" s="11" t="n">
        <x:f>K6428*'管线假设'!E1375*'管线假设'!F1375*'管线假设'!G1375*IF(E6428="USD",'管线假设'!I1375,1)-AM6428</x:f>
        <x:v>0.8681749999999999</x:v>
      </x:c>
      <x:c r="M6428" s="11" t="n">
        <x:f>'管线假设'!H1375</x:f>
        <x:v>0.14</x:v>
      </x:c>
      <x:c r="N6428" s="11" t="n">
        <x:f>IF(G6428,L6428*AN6428/(1+M6428)^F6428,0)</x:f>
        <x:v>0.304346607445059</x:v>
      </x:c>
      <x:c r="AJ6428" s="42" t="n">
        <x:v>0</x:v>
      </x:c>
      <x:c r="AK6428" s="42" t="n">
        <x:v>0</x:v>
      </x:c>
      <x:c r="AL6428" s="42" t="n">
        <x:v>0</x:v>
      </x:c>
      <x:c r="AM6428" t="n">
        <x:f>CHOOSE('假设'!$B$3,AJ6428,AK6428,AL6428)</x:f>
        <x:v>0</x:v>
      </x:c>
      <x:c r="AN6428" t="n">
        <x:v>1</x:v>
      </x:c>
    </x:row>
    <x:row r="6429" ht="23" customHeight="1">
      <x:c r="A6429" s="11" t="str">
        <x:v>09995.HK</x:v>
      </x:c>
      <x:c r="B6429" s="11" t="str">
        <x:v>2026年底</x:v>
      </x:c>
      <x:c r="C6429" s="11" t="str">
        <x:v>RC48_foreign</x:v>
      </x:c>
      <x:c r="D6429" s="11" t="str">
        <x:v>2035-12-31</x:v>
      </x:c>
      <x:c r="E6429" s="11" t="str">
        <x:v>USD</x:v>
      </x:c>
      <x:c r="F6429" s="11" t="n">
        <x:v>8.999315537303216</x:v>
      </x:c>
      <x:c r="G6429" s="26" t="b">
        <x:v>1</x:v>
      </x:c>
      <x:c r="H6429" s="16" t="n">
        <x:v>0.85</x:v>
      </x:c>
      <x:c r="I6429" s="16" t="n">
        <x:v>2.5</x:v>
      </x:c>
      <x:c r="J6429" s="16" t="n">
        <x:v>3.8</x:v>
      </x:c>
      <x:c r="K6429" s="11" t="n">
        <x:f>CHOOSE('假设'!$B$3,H6429,I6429,J6429)</x:f>
        <x:v>2.5</x:v>
      </x:c>
      <x:c r="L6429" s="11" t="n">
        <x:f>K6429*'管线假设'!E1375*'管线假设'!F1375*'管线假设'!G1375*IF(E6429="USD",'管线假设'!I1375,1)-AM6429</x:f>
        <x:v>0.8681749999999999</x:v>
      </x:c>
      <x:c r="M6429" s="11" t="n">
        <x:f>'管线假设'!H1375</x:f>
        <x:v>0.14</x:v>
      </x:c>
      <x:c r="N6429" s="11" t="n">
        <x:f>IF(G6429,L6429*AN6429/(1+M6429)^F6429,0)</x:f>
        <x:v>0.26699465234856934</x:v>
      </x:c>
      <x:c r="AJ6429" s="42" t="n">
        <x:v>0</x:v>
      </x:c>
      <x:c r="AK6429" s="42" t="n">
        <x:v>0</x:v>
      </x:c>
      <x:c r="AL6429" s="42" t="n">
        <x:v>0</x:v>
      </x:c>
      <x:c r="AM6429" t="n">
        <x:f>CHOOSE('假设'!$B$3,AJ6429,AK6429,AL6429)</x:f>
        <x:v>0</x:v>
      </x:c>
      <x:c r="AN6429" t="n">
        <x:v>1</x:v>
      </x:c>
    </x:row>
    <x:row r="6430" ht="23" customHeight="1">
      <x:c r="A6430" s="11" t="str">
        <x:v>09995.HK</x:v>
      </x:c>
      <x:c r="B6430" s="11" t="str">
        <x:v>2026年底</x:v>
      </x:c>
      <x:c r="C6430" s="11" t="str">
        <x:v>RC48_foreign</x:v>
      </x:c>
      <x:c r="D6430" s="11" t="str">
        <x:v>2036-12-31</x:v>
      </x:c>
      <x:c r="E6430" s="11" t="str">
        <x:v>USD</x:v>
      </x:c>
      <x:c r="F6430" s="11" t="n">
        <x:v>10.001368925393566</x:v>
      </x:c>
      <x:c r="G6430" s="26" t="b">
        <x:v>1</x:v>
      </x:c>
      <x:c r="H6430" s="16" t="n">
        <x:v>1</x:v>
      </x:c>
      <x:c r="I6430" s="16" t="n">
        <x:v>2.375</x:v>
      </x:c>
      <x:c r="J6430" s="16" t="n">
        <x:v>3.6</x:v>
      </x:c>
      <x:c r="K6430" s="11" t="n">
        <x:f>CHOOSE('假设'!$B$3,H6430,I6430,J6430)</x:f>
        <x:v>2.375</x:v>
      </x:c>
      <x:c r="L6430" s="11" t="n">
        <x:f>K6430*'管线假设'!E1375*'管线假设'!F1375*'管线假设'!G1375*IF(E6430="USD",'管线假设'!I1375,1)-AM6430</x:f>
        <x:v>0.8247662499999999</x:v>
      </x:c>
      <x:c r="M6430" s="11" t="n">
        <x:f>'管线假设'!H1375</x:f>
        <x:v>0.14</x:v>
      </x:c>
      <x:c r="N6430" s="11" t="n">
        <x:f>IF(G6430,L6430*AN6430/(1+M6430)^F6430,0)</x:f>
        <x:v>0.22243568883332773</x:v>
      </x:c>
      <x:c r="AJ6430" s="42" t="n">
        <x:v>0</x:v>
      </x:c>
      <x:c r="AK6430" s="42" t="n">
        <x:v>0</x:v>
      </x:c>
      <x:c r="AL6430" s="42" t="n">
        <x:v>0</x:v>
      </x:c>
      <x:c r="AM6430" t="n">
        <x:f>CHOOSE('假设'!$B$3,AJ6430,AK6430,AL6430)</x:f>
        <x:v>0</x:v>
      </x:c>
      <x:c r="AN6430" t="n">
        <x:v>1</x:v>
      </x:c>
    </x:row>
    <x:row r="6431" ht="23" customHeight="1">
      <x:c r="A6431" s="11" t="str">
        <x:v>09995.HK</x:v>
      </x:c>
      <x:c r="B6431" s="11" t="str">
        <x:v>2026年底</x:v>
      </x:c>
      <x:c r="C6431" s="11" t="str">
        <x:v>RC48_foreign</x:v>
      </x:c>
      <x:c r="D6431" s="11" t="str">
        <x:v>2037-12-31</x:v>
      </x:c>
      <x:c r="E6431" s="11" t="str">
        <x:v>USD</x:v>
      </x:c>
      <x:c r="F6431" s="11" t="n">
        <x:v>11.000684462696784</x:v>
      </x:c>
      <x:c r="G6431" s="26" t="b">
        <x:v>1</x:v>
      </x:c>
      <x:c r="H6431" s="16" t="n">
        <x:v>1</x:v>
      </x:c>
      <x:c r="I6431" s="16" t="n">
        <x:v>2.25</x:v>
      </x:c>
      <x:c r="J6431" s="16" t="n">
        <x:v>3.2</x:v>
      </x:c>
      <x:c r="K6431" s="11" t="n">
        <x:f>CHOOSE('假设'!$B$3,H6431,I6431,J6431)</x:f>
        <x:v>2.25</x:v>
      </x:c>
      <x:c r="L6431" s="11" t="n">
        <x:f>K6431*'管线假设'!E1375*'管线假设'!F1375*'管线假设'!G1375*IF(E6431="USD",'管线假设'!I1375,1)-AM6431</x:f>
        <x:v>0.7813574999999999</x:v>
      </x:c>
      <x:c r="M6431" s="11" t="n">
        <x:f>'管线假设'!H1375</x:f>
        <x:v>0.14</x:v>
      </x:c>
      <x:c r="N6431" s="11" t="n">
        <x:f>IF(G6431,L6431*AN6431/(1+M6431)^F6431,0)</x:f>
        <x:v>0.18486618169599137</x:v>
      </x:c>
      <x:c r="AJ6431" s="42" t="n">
        <x:v>0</x:v>
      </x:c>
      <x:c r="AK6431" s="42" t="n">
        <x:v>0</x:v>
      </x:c>
      <x:c r="AL6431" s="42" t="n">
        <x:v>0</x:v>
      </x:c>
      <x:c r="AM6431" t="n">
        <x:f>CHOOSE('假设'!$B$3,AJ6431,AK6431,AL6431)</x:f>
        <x:v>0</x:v>
      </x:c>
      <x:c r="AN6431" t="n">
        <x:v>1</x:v>
      </x:c>
    </x:row>
    <x:row r="6432" ht="23" customHeight="1">
      <x:c r="A6432" s="11" t="str">
        <x:v>09995.HK</x:v>
      </x:c>
      <x:c r="B6432" s="11" t="str">
        <x:v>2026年底</x:v>
      </x:c>
      <x:c r="C6432" s="11" t="str">
        <x:v>RC48_foreign</x:v>
      </x:c>
      <x:c r="D6432" s="11" t="str">
        <x:v>2038-12-31</x:v>
      </x:c>
      <x:c r="E6432" s="11" t="str">
        <x:v>USD</x:v>
      </x:c>
      <x:c r="F6432" s="11" t="n">
        <x:v>12</x:v>
      </x:c>
      <x:c r="G6432" s="26" t="b">
        <x:v>1</x:v>
      </x:c>
      <x:c r="H6432" s="16" t="n">
        <x:v>0.95</x:v>
      </x:c>
      <x:c r="I6432" s="16" t="n">
        <x:v>2</x:v>
      </x:c>
      <x:c r="J6432" s="16" t="n">
        <x:v>2.6</x:v>
      </x:c>
      <x:c r="K6432" s="11" t="n">
        <x:f>CHOOSE('假设'!$B$3,H6432,I6432,J6432)</x:f>
        <x:v>2</x:v>
      </x:c>
      <x:c r="L6432" s="11" t="n">
        <x:f>K6432*'管线假设'!E1375*'管线假设'!F1375*'管线假设'!G1375*IF(E6432="USD",'管线假设'!I1375,1)-AM6432</x:f>
        <x:v>0.6945399999999999</x:v>
      </x:c>
      <x:c r="M6432" s="11" t="n">
        <x:f>'管线假设'!H1375</x:f>
        <x:v>0.14</x:v>
      </x:c>
      <x:c r="N6432" s="11" t="n">
        <x:f>IF(G6432,L6432*AN6432/(1+M6432)^F6432,0)</x:f>
        <x:v>0.14415809900219734</x:v>
      </x:c>
      <x:c r="AJ6432" s="42" t="n">
        <x:v>0</x:v>
      </x:c>
      <x:c r="AK6432" s="42" t="n">
        <x:v>0</x:v>
      </x:c>
      <x:c r="AL6432" s="42" t="n">
        <x:v>0</x:v>
      </x:c>
      <x:c r="AM6432" t="n">
        <x:f>CHOOSE('假设'!$B$3,AJ6432,AK6432,AL6432)</x:f>
        <x:v>0</x:v>
      </x:c>
      <x:c r="AN6432" t="n">
        <x:v>1</x:v>
      </x:c>
    </x:row>
    <x:row r="6433" ht="23" customHeight="1">
      <x:c r="A6433" s="11" t="str">
        <x:v>09995.HK</x:v>
      </x:c>
      <x:c r="B6433" s="11" t="str">
        <x:v>2026年底</x:v>
      </x:c>
      <x:c r="C6433" s="11" t="str">
        <x:v>RC48_foreign</x:v>
      </x:c>
      <x:c r="D6433" s="11" t="str">
        <x:v>2039-12-31</x:v>
      </x:c>
      <x:c r="E6433" s="11" t="str">
        <x:v>USD</x:v>
      </x:c>
      <x:c r="F6433" s="11" t="n">
        <x:v>12.999315537303216</x:v>
      </x:c>
      <x:c r="G6433" s="26" t="b">
        <x:v>1</x:v>
      </x:c>
      <x:c r="H6433" s="16" t="n">
        <x:v>0.9</x:v>
      </x:c>
      <x:c r="I6433" s="16" t="n">
        <x:v>1.625</x:v>
      </x:c>
      <x:c r="J6433" s="16" t="n">
        <x:v>2</x:v>
      </x:c>
      <x:c r="K6433" s="11" t="n">
        <x:f>CHOOSE('假设'!$B$3,H6433,I6433,J6433)</x:f>
        <x:v>1.625</x:v>
      </x:c>
      <x:c r="L6433" s="11" t="n">
        <x:f>K6433*'管线假设'!E1375*'管线假设'!F1375*'管线假设'!G1375*IF(E6433="USD",'管线假设'!I1375,1)-AM6433</x:f>
        <x:v>0.56431375</x:v>
      </x:c>
      <x:c r="M6433" s="11" t="n">
        <x:f>'管线假设'!H1375</x:f>
        <x:v>0.14</x:v>
      </x:c>
      <x:c r="N6433" s="11" t="n">
        <x:f>IF(G6433,L6433*AN6433/(1+M6433)^F6433,0)</x:f>
        <x:v>0.10275347408228384</x:v>
      </x:c>
      <x:c r="AJ6433" s="42" t="n">
        <x:v>0</x:v>
      </x:c>
      <x:c r="AK6433" s="42" t="n">
        <x:v>0</x:v>
      </x:c>
      <x:c r="AL6433" s="42" t="n">
        <x:v>0</x:v>
      </x:c>
      <x:c r="AM6433" t="n">
        <x:f>CHOOSE('假设'!$B$3,AJ6433,AK6433,AL6433)</x:f>
        <x:v>0</x:v>
      </x:c>
      <x:c r="AN6433" t="n">
        <x:v>1</x:v>
      </x:c>
    </x:row>
    <x:row r="6434" ht="23" customHeight="1">
      <x:c r="A6434" s="11" t="str">
        <x:v>09995.HK</x:v>
      </x:c>
      <x:c r="B6434" s="11" t="str">
        <x:v>2026年底</x:v>
      </x:c>
      <x:c r="C6434" s="11" t="str">
        <x:v>RC48_foreign</x:v>
      </x:c>
      <x:c r="D6434" s="11" t="str">
        <x:v>2040-12-31</x:v>
      </x:c>
      <x:c r="E6434" s="11" t="str">
        <x:v>USD</x:v>
      </x:c>
      <x:c r="F6434" s="11" t="n">
        <x:v>14.001368925393566</x:v>
      </x:c>
      <x:c r="G6434" s="26" t="b">
        <x:v>1</x:v>
      </x:c>
      <x:c r="H6434" s="16" t="n">
        <x:v>0.8</x:v>
      </x:c>
      <x:c r="I6434" s="16" t="n">
        <x:v>1.25</x:v>
      </x:c>
      <x:c r="J6434" s="16" t="n">
        <x:v>1.4</x:v>
      </x:c>
      <x:c r="K6434" s="11" t="n">
        <x:f>CHOOSE('假设'!$B$3,H6434,I6434,J6434)</x:f>
        <x:v>1.25</x:v>
      </x:c>
      <x:c r="L6434" s="11" t="n">
        <x:f>K6434*'管线假设'!E1375*'管线假设'!F1375*'管线假设'!G1375*IF(E6434="USD",'管线假设'!I1375,1)-AM6434</x:f>
        <x:v>0.43408749999999996</x:v>
      </x:c>
      <x:c r="M6434" s="11" t="n">
        <x:f>'管线假设'!H1375</x:f>
        <x:v>0.14</x:v>
      </x:c>
      <x:c r="N6434" s="11" t="n">
        <x:f>IF(G6434,L6434*AN6434/(1+M6434)^F6434,0)</x:f>
        <x:v>0.06931567596919255</x:v>
      </x:c>
      <x:c r="AJ6434" s="42" t="n">
        <x:v>0</x:v>
      </x:c>
      <x:c r="AK6434" s="42" t="n">
        <x:v>0</x:v>
      </x:c>
      <x:c r="AL6434" s="42" t="n">
        <x:v>0</x:v>
      </x:c>
      <x:c r="AM6434" t="n">
        <x:f>CHOOSE('假设'!$B$3,AJ6434,AK6434,AL6434)</x:f>
        <x:v>0</x:v>
      </x:c>
      <x:c r="AN6434" t="n">
        <x:v>1</x:v>
      </x:c>
    </x:row>
    <x:row r="6435" ht="23" customHeight="1">
      <x:c r="A6435" s="11" t="str">
        <x:v>09995.HK</x:v>
      </x:c>
      <x:c r="B6435" s="11" t="str">
        <x:v>2026年底</x:v>
      </x:c>
      <x:c r="C6435" s="11" t="str">
        <x:v>RC48_foreign</x:v>
      </x:c>
      <x:c r="D6435" s="11" t="str">
        <x:v>2041-12-31</x:v>
      </x:c>
      <x:c r="E6435" s="11" t="str">
        <x:v>USD</x:v>
      </x:c>
      <x:c r="F6435" s="11" t="n">
        <x:v>15.000684462696784</x:v>
      </x:c>
      <x:c r="G6435" s="26" t="b">
        <x:v>1</x:v>
      </x:c>
      <x:c r="H6435" s="16" t="n">
        <x:v>0.65</x:v>
      </x:c>
      <x:c r="I6435" s="16" t="n">
        <x:v>0.875</x:v>
      </x:c>
      <x:c r="J6435" s="16" t="n">
        <x:v>0.8</x:v>
      </x:c>
      <x:c r="K6435" s="11" t="n">
        <x:f>CHOOSE('假设'!$B$3,H6435,I6435,J6435)</x:f>
        <x:v>0.875</x:v>
      </x:c>
      <x:c r="L6435" s="11" t="n">
        <x:f>K6435*'管线假设'!E1375*'管线假设'!F1375*'管线假设'!G1375*IF(E6435="USD",'管线假设'!I1375,1)-AM6435</x:f>
        <x:v>0.30386125</x:v>
      </x:c>
      <x:c r="M6435" s="11" t="n">
        <x:f>'管线假设'!H1375</x:f>
        <x:v>0.14</x:v>
      </x:c>
      <x:c r="N6435" s="11" t="n">
        <x:f>IF(G6435,L6435*AN6435/(1+M6435)^F6435,0)</x:f>
        <x:v>0.042566074496917385</x:v>
      </x:c>
      <x:c r="AJ6435" s="42" t="n">
        <x:v>0</x:v>
      </x:c>
      <x:c r="AK6435" s="42" t="n">
        <x:v>0</x:v>
      </x:c>
      <x:c r="AL6435" s="42" t="n">
        <x:v>0</x:v>
      </x:c>
      <x:c r="AM6435" t="n">
        <x:f>CHOOSE('假设'!$B$3,AJ6435,AK6435,AL6435)</x:f>
        <x:v>0</x:v>
      </x:c>
      <x:c r="AN6435" t="n">
        <x:v>1</x:v>
      </x:c>
    </x:row>
    <x:row r="6436" ht="23" customHeight="1">
      <x:c r="A6436" s="11" t="str">
        <x:v>09995.HK</x:v>
      </x:c>
      <x:c r="B6436" s="11" t="str">
        <x:v>2026年底</x:v>
      </x:c>
      <x:c r="C6436" s="11" t="str">
        <x:v>RC48_foreign</x:v>
      </x:c>
      <x:c r="D6436" s="11" t="str">
        <x:v>2042-12-31</x:v>
      </x:c>
      <x:c r="E6436" s="11" t="str">
        <x:v>USD</x:v>
      </x:c>
      <x:c r="F6436" s="11" t="n">
        <x:v>16</x:v>
      </x:c>
      <x:c r="G6436" s="26" t="b">
        <x:v>1</x:v>
      </x:c>
      <x:c r="H6436" s="16" t="n">
        <x:v>0.5</x:v>
      </x:c>
      <x:c r="I6436" s="16" t="n">
        <x:v>0.5</x:v>
      </x:c>
      <x:c r="J6436" s="16" t="n">
        <x:v>0.48</x:v>
      </x:c>
      <x:c r="K6436" s="11" t="n">
        <x:f>CHOOSE('假设'!$B$3,H6436,I6436,J6436)</x:f>
        <x:v>0.5</x:v>
      </x:c>
      <x:c r="L6436" s="11" t="n">
        <x:f>K6436*'管线假设'!E1375*'管线假设'!F1375*'管线假设'!G1375*IF(E6436="USD",'管线假设'!I1375,1)-AM6436</x:f>
        <x:v>0.17363499999999998</x:v>
      </x:c>
      <x:c r="M6436" s="11" t="n">
        <x:f>'管线假设'!H1375</x:f>
        <x:v>0.14</x:v>
      </x:c>
      <x:c r="N6436" s="11" t="n">
        <x:f>IF(G6436,L6436*AN6436/(1+M6436)^F6436,0)</x:f>
        <x:v>0.02133829181059506</x:v>
      </x:c>
      <x:c r="AJ6436" s="42" t="n">
        <x:v>0</x:v>
      </x:c>
      <x:c r="AK6436" s="42" t="n">
        <x:v>0</x:v>
      </x:c>
      <x:c r="AL6436" s="42" t="n">
        <x:v>0</x:v>
      </x:c>
      <x:c r="AM6436" t="n">
        <x:f>CHOOSE('假设'!$B$3,AJ6436,AK6436,AL6436)</x:f>
        <x:v>0</x:v>
      </x:c>
      <x:c r="AN6436" t="n">
        <x:v>1</x:v>
      </x:c>
    </x:row>
    <x:row r="6437" ht="23" customHeight="1">
      <x:c r="A6437" s="11" t="str">
        <x:v>09995.HK</x:v>
      </x:c>
      <x:c r="B6437" s="11" t="str">
        <x:v>2026年底</x:v>
      </x:c>
      <x:c r="C6437" s="11" t="str">
        <x:v>RC48_foreign</x:v>
      </x:c>
      <x:c r="D6437" s="11" t="str">
        <x:v>2043-12-31</x:v>
      </x:c>
      <x:c r="E6437" s="11" t="str">
        <x:v>USD</x:v>
      </x:c>
      <x:c r="F6437" s="11" t="n">
        <x:v>16.999315537303218</x:v>
      </x:c>
      <x:c r="G6437" s="26" t="b">
        <x:v>1</x:v>
      </x:c>
      <x:c r="H6437" s="16" t="n">
        <x:v>0.35</x:v>
      </x:c>
      <x:c r="I6437" s="16" t="n">
        <x:v>0.3</x:v>
      </x:c>
      <x:c r="J6437" s="16" t="n">
        <x:v>0.28</x:v>
      </x:c>
      <x:c r="K6437" s="11" t="n">
        <x:f>CHOOSE('假设'!$B$3,H6437,I6437,J6437)</x:f>
        <x:v>0.3</x:v>
      </x:c>
      <x:c r="L6437" s="11" t="n">
        <x:f>K6437*'管线假设'!E1375*'管线假设'!F1375*'管线假设'!G1375*IF(E6437="USD",'管线假设'!I1375,1)-AM6437</x:f>
        <x:v>0.104181</x:v>
      </x:c>
      <x:c r="M6437" s="11" t="n">
        <x:f>'管线假设'!H1375</x:f>
        <x:v>0.14</x:v>
      </x:c>
      <x:c r="N6437" s="11" t="n">
        <x:f>IF(G6437,L6437*AN6437/(1+M6437)^F6437,0)</x:f>
        <x:v>0.01123168715730262</x:v>
      </x:c>
      <x:c r="AJ6437" s="42" t="n">
        <x:v>0</x:v>
      </x:c>
      <x:c r="AK6437" s="42" t="n">
        <x:v>0</x:v>
      </x:c>
      <x:c r="AL6437" s="42" t="n">
        <x:v>0</x:v>
      </x:c>
      <x:c r="AM6437" t="n">
        <x:f>CHOOSE('假设'!$B$3,AJ6437,AK6437,AL6437)</x:f>
        <x:v>0</x:v>
      </x:c>
      <x:c r="AN6437" t="n">
        <x:v>1</x:v>
      </x:c>
    </x:row>
    <x:row r="6438" ht="23" customHeight="1">
      <x:c r="A6438" s="11" t="str">
        <x:v>09995.HK</x:v>
      </x:c>
      <x:c r="B6438" s="11" t="str">
        <x:v>2026年底</x:v>
      </x:c>
      <x:c r="C6438" s="11" t="str">
        <x:v>RC48_foreign</x:v>
      </x:c>
      <x:c r="D6438" s="11" t="str">
        <x:v>2044-12-31</x:v>
      </x:c>
      <x:c r="E6438" s="11" t="str">
        <x:v>USD</x:v>
      </x:c>
      <x:c r="F6438" s="11" t="n">
        <x:v>18.001368925393567</x:v>
      </x:c>
      <x:c r="G6438" s="26" t="b">
        <x:v>1</x:v>
      </x:c>
      <x:c r="H6438" s="16" t="n">
        <x:v>0.2</x:v>
      </x:c>
      <x:c r="I6438" s="16" t="n">
        <x:v>0.17500000000000002</x:v>
      </x:c>
      <x:c r="J6438" s="16" t="n">
        <x:v>0.12</x:v>
      </x:c>
      <x:c r="K6438" s="11" t="n">
        <x:f>CHOOSE('假设'!$B$3,H6438,I6438,J6438)</x:f>
        <x:v>0.17500000000000002</x:v>
      </x:c>
      <x:c r="L6438" s="11" t="n">
        <x:f>K6438*'管线假设'!E1375*'管线假设'!F1375*'管线假设'!G1375*IF(E6438="USD",'管线假设'!I1375,1)-AM6438</x:f>
        <x:v>0.06077225</x:v>
      </x:c>
      <x:c r="M6438" s="11" t="n">
        <x:f>'管线假设'!H1375</x:f>
        <x:v>0.14</x:v>
      </x:c>
      <x:c r="N6438" s="11" t="n">
        <x:f>IF(G6438,L6438*AN6438/(1+M6438)^F6438,0)</x:f>
        <x:v>0.005745662251551838</x:v>
      </x:c>
      <x:c r="AJ6438" s="42" t="n">
        <x:v>0</x:v>
      </x:c>
      <x:c r="AK6438" s="42" t="n">
        <x:v>0</x:v>
      </x:c>
      <x:c r="AL6438" s="42" t="n">
        <x:v>0</x:v>
      </x:c>
      <x:c r="AM6438" t="n">
        <x:f>CHOOSE('假设'!$B$3,AJ6438,AK6438,AL6438)</x:f>
        <x:v>0</x:v>
      </x:c>
      <x:c r="AN6438" t="n">
        <x:v>1</x:v>
      </x:c>
    </x:row>
    <x:row r="6439" ht="23" customHeight="1">
      <x:c r="A6439" s="11" t="str">
        <x:v>09995.HK</x:v>
      </x:c>
      <x:c r="B6439" s="11" t="str">
        <x:v>2026年底</x:v>
      </x:c>
      <x:c r="C6439" s="11" t="str">
        <x:v>RC28_China</x:v>
      </x:c>
      <x:c r="D6439" s="11" t="str">
        <x:v>2026-12-31</x:v>
      </x:c>
      <x:c r="E6439" s="11" t="str">
        <x:v>CNY</x:v>
      </x:c>
      <x:c r="F6439" s="11" t="n">
        <x:v>0</x:v>
      </x:c>
      <x:c r="G6439" s="26" t="b">
        <x:v>0</x:v>
      </x:c>
      <x:c r="H6439" s="16" t="n">
        <x:v>0</x:v>
      </x:c>
      <x:c r="I6439" s="16" t="n">
        <x:v>0</x:v>
      </x:c>
      <x:c r="J6439" s="16" t="n">
        <x:v>0</x:v>
      </x:c>
      <x:c r="K6439" s="11" t="n">
        <x:f>CHOOSE('假设'!$B$3,H6439,I6439,J6439)</x:f>
        <x:v>0</x:v>
      </x:c>
      <x:c r="L6439" s="11" t="n">
        <x:f>K6439*'管线假设'!E1379*'管线假设'!F1379*'管线假设'!G1379*IF(E6439="USD",'管线假设'!I1379,1)-AM6439</x:f>
        <x:v>-0.08</x:v>
      </x:c>
      <x:c r="M6439" s="11" t="n">
        <x:f>'管线假设'!H1379</x:f>
        <x:v>0.14</x:v>
      </x:c>
      <x:c r="N6439" s="11" t="n">
        <x:f>IF(G6439,L6439*AN6439/(1+M6439)^F6439,0)</x:f>
        <x:v>0</x:v>
      </x:c>
      <x:c r="AJ6439" s="42" t="n">
        <x:v>0.04</x:v>
      </x:c>
      <x:c r="AK6439" s="42" t="n">
        <x:v>0.08</x:v>
      </x:c>
      <x:c r="AL6439" s="42" t="n">
        <x:v>0.12</x:v>
      </x:c>
      <x:c r="AM6439" t="n">
        <x:f>CHOOSE('假设'!$B$3,AJ6439,AK6439,AL6439)</x:f>
        <x:v>0.08</x:v>
      </x:c>
      <x:c r="AN6439" t="n">
        <x:v>0</x:v>
      </x:c>
    </x:row>
    <x:row r="6440" ht="23" customHeight="1">
      <x:c r="A6440" s="11" t="str">
        <x:v>09995.HK</x:v>
      </x:c>
      <x:c r="B6440" s="11" t="str">
        <x:v>2026年底</x:v>
      </x:c>
      <x:c r="C6440" s="11" t="str">
        <x:v>RC28_China</x:v>
      </x:c>
      <x:c r="D6440" s="11" t="str">
        <x:v>2027-12-31</x:v>
      </x:c>
      <x:c r="E6440" s="11" t="str">
        <x:v>CNY</x:v>
      </x:c>
      <x:c r="F6440" s="11" t="n">
        <x:v>0.999315537303217</x:v>
      </x:c>
      <x:c r="G6440" s="26" t="b">
        <x:v>1</x:v>
      </x:c>
      <x:c r="H6440" s="16" t="n">
        <x:v>0</x:v>
      </x:c>
      <x:c r="I6440" s="16" t="n">
        <x:v>0</x:v>
      </x:c>
      <x:c r="J6440" s="16" t="n">
        <x:v>0</x:v>
      </x:c>
      <x:c r="K6440" s="11" t="n">
        <x:f>CHOOSE('假设'!$B$3,H6440,I6440,J6440)</x:f>
        <x:v>0</x:v>
      </x:c>
      <x:c r="L6440" s="11" t="n">
        <x:f>K6440*'管线假设'!E1379*'管线假设'!F1379*'管线假设'!G1379*IF(E6440="USD",'管线假设'!I1379,1)-AM6440</x:f>
        <x:v>-0.1</x:v>
      </x:c>
      <x:c r="M6440" s="11" t="n">
        <x:f>'管线假设'!H1379</x:f>
        <x:v>0.14</x:v>
      </x:c>
      <x:c r="N6440" s="11" t="n">
        <x:f>IF(G6440,L6440*AN6440/(1+M6440)^F6440,0)</x:f>
        <x:v>-0.0877271656122428</x:v>
      </x:c>
      <x:c r="AJ6440" s="42" t="n">
        <x:v>0.04</x:v>
      </x:c>
      <x:c r="AK6440" s="42" t="n">
        <x:v>0.1</x:v>
      </x:c>
      <x:c r="AL6440" s="42" t="n">
        <x:v>0.15</x:v>
      </x:c>
      <x:c r="AM6440" t="n">
        <x:f>CHOOSE('假设'!$B$3,AJ6440,AK6440,AL6440)</x:f>
        <x:v>0.1</x:v>
      </x:c>
      <x:c r="AN6440" t="n">
        <x:v>1</x:v>
      </x:c>
    </x:row>
    <x:row r="6441" ht="23" customHeight="1">
      <x:c r="A6441" s="11" t="str">
        <x:v>09995.HK</x:v>
      </x:c>
      <x:c r="B6441" s="11" t="str">
        <x:v>2026年底</x:v>
      </x:c>
      <x:c r="C6441" s="11" t="str">
        <x:v>RC28_China</x:v>
      </x:c>
      <x:c r="D6441" s="11" t="str">
        <x:v>2028-12-31</x:v>
      </x:c>
      <x:c r="E6441" s="11" t="str">
        <x:v>CNY</x:v>
      </x:c>
      <x:c r="F6441" s="11" t="n">
        <x:v>2.001368925393566</x:v>
      </x:c>
      <x:c r="G6441" s="26" t="b">
        <x:v>1</x:v>
      </x:c>
      <x:c r="H6441" s="16" t="n">
        <x:v>0</x:v>
      </x:c>
      <x:c r="I6441" s="16" t="n">
        <x:v>0</x:v>
      </x:c>
      <x:c r="J6441" s="16" t="n">
        <x:v>0</x:v>
      </x:c>
      <x:c r="K6441" s="11" t="n">
        <x:f>CHOOSE('假设'!$B$3,H6441,I6441,J6441)</x:f>
        <x:v>0</x:v>
      </x:c>
      <x:c r="L6441" s="11" t="n">
        <x:f>K6441*'管线假设'!E1379*'管线假设'!F1379*'管线假设'!G1379*IF(E6441="USD",'管线假设'!I1379,1)-AM6441</x:f>
        <x:v>-0.07</x:v>
      </x:c>
      <x:c r="M6441" s="11" t="n">
        <x:f>'管线假设'!H1379</x:f>
        <x:v>0.14</x:v>
      </x:c>
      <x:c r="N6441" s="11" t="n">
        <x:f>IF(G6441,L6441*AN6441/(1+M6441)^F6441,0)</x:f>
        <x:v>-0.05385306661425406</x:v>
      </x:c>
      <x:c r="AJ6441" s="42" t="n">
        <x:v>0</x:v>
      </x:c>
      <x:c r="AK6441" s="42" t="n">
        <x:v>0.07</x:v>
      </x:c>
      <x:c r="AL6441" s="42" t="n">
        <x:v>0.08</x:v>
      </x:c>
      <x:c r="AM6441" t="n">
        <x:f>CHOOSE('假设'!$B$3,AJ6441,AK6441,AL6441)</x:f>
        <x:v>0.07</x:v>
      </x:c>
      <x:c r="AN6441" t="n">
        <x:v>1</x:v>
      </x:c>
    </x:row>
    <x:row r="6442" ht="23" customHeight="1">
      <x:c r="A6442" s="11" t="str">
        <x:v>09995.HK</x:v>
      </x:c>
      <x:c r="B6442" s="11" t="str">
        <x:v>2026年底</x:v>
      </x:c>
      <x:c r="C6442" s="11" t="str">
        <x:v>RC28_China</x:v>
      </x:c>
      <x:c r="D6442" s="11" t="str">
        <x:v>2029-12-31</x:v>
      </x:c>
      <x:c r="E6442" s="11" t="str">
        <x:v>CNY</x:v>
      </x:c>
      <x:c r="F6442" s="11" t="n">
        <x:v>3.0006844626967832</x:v>
      </x:c>
      <x:c r="G6442" s="26" t="b">
        <x:v>1</x:v>
      </x:c>
      <x:c r="H6442" s="16" t="n">
        <x:v>0</x:v>
      </x:c>
      <x:c r="I6442" s="16" t="n">
        <x:v>0</x:v>
      </x:c>
      <x:c r="J6442" s="16" t="n">
        <x:v>0.18</x:v>
      </x:c>
      <x:c r="K6442" s="11" t="n">
        <x:f>CHOOSE('假设'!$B$3,H6442,I6442,J6442)</x:f>
        <x:v>0</x:v>
      </x:c>
      <x:c r="L6442" s="11" t="n">
        <x:f>K6442*'管线假设'!E1379*'管线假设'!F1379*'管线假设'!G1379*IF(E6442="USD",'管线假设'!I1379,1)-AM6442</x:f>
        <x:v>0</x:v>
      </x:c>
      <x:c r="M6442" s="11" t="n">
        <x:f>'管线假设'!H1379</x:f>
        <x:v>0.14</x:v>
      </x:c>
      <x:c r="N6442" s="11" t="n">
        <x:f>IF(G6442,L6442*AN6442/(1+M6442)^F6442,0)</x:f>
        <x:v>0</x:v>
      </x:c>
      <x:c r="AJ6442" s="42" t="n">
        <x:v>0</x:v>
      </x:c>
      <x:c r="AK6442" s="42" t="n">
        <x:v>0</x:v>
      </x:c>
      <x:c r="AL6442" s="42" t="n">
        <x:v>0</x:v>
      </x:c>
      <x:c r="AM6442" t="n">
        <x:f>CHOOSE('假设'!$B$3,AJ6442,AK6442,AL6442)</x:f>
        <x:v>0</x:v>
      </x:c>
      <x:c r="AN6442" t="n">
        <x:v>1</x:v>
      </x:c>
    </x:row>
    <x:row r="6443" ht="23" customHeight="1">
      <x:c r="A6443" s="11" t="str">
        <x:v>09995.HK</x:v>
      </x:c>
      <x:c r="B6443" s="11" t="str">
        <x:v>2026年底</x:v>
      </x:c>
      <x:c r="C6443" s="11" t="str">
        <x:v>RC28_China</x:v>
      </x:c>
      <x:c r="D6443" s="11" t="str">
        <x:v>2030-12-31</x:v>
      </x:c>
      <x:c r="E6443" s="11" t="str">
        <x:v>CNY</x:v>
      </x:c>
      <x:c r="F6443" s="11" t="n">
        <x:v>4</x:v>
      </x:c>
      <x:c r="G6443" s="26" t="b">
        <x:v>1</x:v>
      </x:c>
      <x:c r="H6443" s="16" t="n">
        <x:v>0</x:v>
      </x:c>
      <x:c r="I6443" s="16" t="n">
        <x:v>0.09</x:v>
      </x:c>
      <x:c r="J6443" s="16" t="n">
        <x:v>0.54</x:v>
      </x:c>
      <x:c r="K6443" s="11" t="n">
        <x:f>CHOOSE('假设'!$B$3,H6443,I6443,J6443)</x:f>
        <x:v>0.09</x:v>
      </x:c>
      <x:c r="L6443" s="11" t="n">
        <x:f>K6443*'管线假设'!E1379*'管线假设'!F1379*'管线假设'!G1379*IF(E6443="USD",'管线假设'!I1379,1)-AM6443</x:f>
        <x:v>0.0030995999999999997</x:v>
      </x:c>
      <x:c r="M6443" s="11" t="n">
        <x:f>'管线假设'!H1379</x:f>
        <x:v>0.14</x:v>
      </x:c>
      <x:c r="N6443" s="11" t="n">
        <x:f>IF(G6443,L6443*AN6443/(1+M6443)^F6443,0)</x:f>
        <x:v>0.0018352120277366389</x:v>
      </x:c>
      <x:c r="AJ6443" s="42" t="n">
        <x:v>0</x:v>
      </x:c>
      <x:c r="AK6443" s="42" t="n">
        <x:v>0</x:v>
      </x:c>
      <x:c r="AL6443" s="42" t="n">
        <x:v>0</x:v>
      </x:c>
      <x:c r="AM6443" t="n">
        <x:f>CHOOSE('假设'!$B$3,AJ6443,AK6443,AL6443)</x:f>
        <x:v>0</x:v>
      </x:c>
      <x:c r="AN6443" t="n">
        <x:v>1</x:v>
      </x:c>
    </x:row>
    <x:row r="6444" ht="23" customHeight="1">
      <x:c r="A6444" s="11" t="str">
        <x:v>09995.HK</x:v>
      </x:c>
      <x:c r="B6444" s="11" t="str">
        <x:v>2026年底</x:v>
      </x:c>
      <x:c r="C6444" s="11" t="str">
        <x:v>RC28_China</x:v>
      </x:c>
      <x:c r="D6444" s="11" t="str">
        <x:v>2031-12-31</x:v>
      </x:c>
      <x:c r="E6444" s="11" t="str">
        <x:v>CNY</x:v>
      </x:c>
      <x:c r="F6444" s="11" t="n">
        <x:v>4.999315537303217</x:v>
      </x:c>
      <x:c r="G6444" s="26" t="b">
        <x:v>1</x:v>
      </x:c>
      <x:c r="H6444" s="16" t="n">
        <x:v>0</x:v>
      </x:c>
      <x:c r="I6444" s="16" t="n">
        <x:v>0.27</x:v>
      </x:c>
      <x:c r="J6444" s="16" t="n">
        <x:v>1.1400000000000001</x:v>
      </x:c>
      <x:c r="K6444" s="11" t="n">
        <x:f>CHOOSE('假设'!$B$3,H6444,I6444,J6444)</x:f>
        <x:v>0.27</x:v>
      </x:c>
      <x:c r="L6444" s="11" t="n">
        <x:f>K6444*'管线假设'!E1379*'管线假设'!F1379*'管线假设'!G1379*IF(E6444="USD",'管线假设'!I1379,1)-AM6444</x:f>
        <x:v>0.0092988</x:v>
      </x:c>
      <x:c r="M6444" s="11" t="n">
        <x:f>'管线假设'!H1379</x:f>
        <x:v>0.14</x:v>
      </x:c>
      <x:c r="N6444" s="11" t="n">
        <x:f>IF(G6444,L6444*AN6444/(1+M6444)^F6444,0)</x:f>
        <x:v>0.004829938484724961</x:v>
      </x:c>
      <x:c r="AJ6444" s="42" t="n">
        <x:v>0</x:v>
      </x:c>
      <x:c r="AK6444" s="42" t="n">
        <x:v>0</x:v>
      </x:c>
      <x:c r="AL6444" s="42" t="n">
        <x:v>0</x:v>
      </x:c>
      <x:c r="AM6444" t="n">
        <x:f>CHOOSE('假设'!$B$3,AJ6444,AK6444,AL6444)</x:f>
        <x:v>0</x:v>
      </x:c>
      <x:c r="AN6444" t="n">
        <x:v>1</x:v>
      </x:c>
    </x:row>
    <x:row r="6445" ht="23" customHeight="1">
      <x:c r="A6445" s="11" t="str">
        <x:v>09995.HK</x:v>
      </x:c>
      <x:c r="B6445" s="11" t="str">
        <x:v>2026年底</x:v>
      </x:c>
      <x:c r="C6445" s="11" t="str">
        <x:v>RC28_China</x:v>
      </x:c>
      <x:c r="D6445" s="11" t="str">
        <x:v>2032-12-31</x:v>
      </x:c>
      <x:c r="E6445" s="11" t="str">
        <x:v>CNY</x:v>
      </x:c>
      <x:c r="F6445" s="11" t="n">
        <x:v>6.0013689253935665</x:v>
      </x:c>
      <x:c r="G6445" s="26" t="b">
        <x:v>1</x:v>
      </x:c>
      <x:c r="H6445" s="16" t="n">
        <x:v>0.03</x:v>
      </x:c>
      <x:c r="I6445" s="16" t="n">
        <x:v>0.5700000000000001</x:v>
      </x:c>
      <x:c r="J6445" s="16" t="n">
        <x:v>1.9500000000000002</x:v>
      </x:c>
      <x:c r="K6445" s="11" t="n">
        <x:f>CHOOSE('假设'!$B$3,H6445,I6445,J6445)</x:f>
        <x:v>0.5700000000000001</x:v>
      </x:c>
      <x:c r="L6445" s="11" t="n">
        <x:f>K6445*'管线假设'!E1379*'管线假设'!F1379*'管线假设'!G1379*IF(E6445="USD",'管线假设'!I1379,1)-AM6445</x:f>
        <x:v>0.019630799999999997</x:v>
      </x:c>
      <x:c r="M6445" s="11" t="n">
        <x:f>'管线假设'!H1379</x:f>
        <x:v>0.14</x:v>
      </x:c>
      <x:c r="N6445" s="11" t="n">
        <x:f>IF(G6445,L6445*AN6445/(1+M6445)^F6445,0)</x:f>
        <x:v>0.0089419243620888</x:v>
      </x:c>
      <x:c r="AJ6445" s="42" t="n">
        <x:v>0</x:v>
      </x:c>
      <x:c r="AK6445" s="42" t="n">
        <x:v>0</x:v>
      </x:c>
      <x:c r="AL6445" s="42" t="n">
        <x:v>0</x:v>
      </x:c>
      <x:c r="AM6445" t="n">
        <x:f>CHOOSE('假设'!$B$3,AJ6445,AK6445,AL6445)</x:f>
        <x:v>0</x:v>
      </x:c>
      <x:c r="AN6445" t="n">
        <x:v>1</x:v>
      </x:c>
    </x:row>
    <x:row r="6446" ht="23" customHeight="1">
      <x:c r="A6446" s="11" t="str">
        <x:v>09995.HK</x:v>
      </x:c>
      <x:c r="B6446" s="11" t="str">
        <x:v>2026年底</x:v>
      </x:c>
      <x:c r="C6446" s="11" t="str">
        <x:v>RC28_China</x:v>
      </x:c>
      <x:c r="D6446" s="11" t="str">
        <x:v>2033-12-31</x:v>
      </x:c>
      <x:c r="E6446" s="11" t="str">
        <x:v>CNY</x:v>
      </x:c>
      <x:c r="F6446" s="11" t="n">
        <x:v>7.000684462696783</x:v>
      </x:c>
      <x:c r="G6446" s="26" t="b">
        <x:v>1</x:v>
      </x:c>
      <x:c r="H6446" s="16" t="n">
        <x:v>0.09</x:v>
      </x:c>
      <x:c r="I6446" s="16" t="n">
        <x:v>0.9750000000000001</x:v>
      </x:c>
      <x:c r="J6446" s="16" t="n">
        <x:v>2.55</x:v>
      </x:c>
      <x:c r="K6446" s="11" t="n">
        <x:f>CHOOSE('假设'!$B$3,H6446,I6446,J6446)</x:f>
        <x:v>0.9750000000000001</x:v>
      </x:c>
      <x:c r="L6446" s="11" t="n">
        <x:f>K6446*'管线假设'!E1379*'管线假设'!F1379*'管线假设'!G1379*IF(E6446="USD",'管线假设'!I1379,1)-AM6446</x:f>
        <x:v>0.033579</x:v>
      </x:c>
      <x:c r="M6446" s="11" t="n">
        <x:f>'管线假设'!H1379</x:f>
        <x:v>0.14</x:v>
      </x:c>
      <x:c r="N6446" s="11" t="n">
        <x:f>IF(G6446,L6446*AN6446/(1+M6446)^F6446,0)</x:f>
        <x:v>0.013418218200350614</x:v>
      </x:c>
      <x:c r="AJ6446" s="42" t="n">
        <x:v>0</x:v>
      </x:c>
      <x:c r="AK6446" s="42" t="n">
        <x:v>0</x:v>
      </x:c>
      <x:c r="AL6446" s="42" t="n">
        <x:v>0</x:v>
      </x:c>
      <x:c r="AM6446" t="n">
        <x:f>CHOOSE('假设'!$B$3,AJ6446,AK6446,AL6446)</x:f>
        <x:v>0</x:v>
      </x:c>
      <x:c r="AN6446" t="n">
        <x:v>1</x:v>
      </x:c>
    </x:row>
    <x:row r="6447" ht="23" customHeight="1">
      <x:c r="A6447" s="11" t="str">
        <x:v>09995.HK</x:v>
      </x:c>
      <x:c r="B6447" s="11" t="str">
        <x:v>2026年底</x:v>
      </x:c>
      <x:c r="C6447" s="11" t="str">
        <x:v>RC28_China</x:v>
      </x:c>
      <x:c r="D6447" s="11" t="str">
        <x:v>2034-12-31</x:v>
      </x:c>
      <x:c r="E6447" s="11" t="str">
        <x:v>CNY</x:v>
      </x:c>
      <x:c r="F6447" s="11" t="n">
        <x:v>8</x:v>
      </x:c>
      <x:c r="G6447" s="26" t="b">
        <x:v>1</x:v>
      </x:c>
      <x:c r="H6447" s="16" t="n">
        <x:v>0.19</x:v>
      </x:c>
      <x:c r="I6447" s="16" t="n">
        <x:v>1.275</x:v>
      </x:c>
      <x:c r="J6447" s="16" t="n">
        <x:v>3</x:v>
      </x:c>
      <x:c r="K6447" s="11" t="n">
        <x:f>CHOOSE('假设'!$B$3,H6447,I6447,J6447)</x:f>
        <x:v>1.275</x:v>
      </x:c>
      <x:c r="L6447" s="11" t="n">
        <x:f>K6447*'管线假设'!E1379*'管线假设'!F1379*'管线假设'!G1379*IF(E6447="USD",'管线假设'!I1379,1)-AM6447</x:f>
        <x:v>0.043910999999999985</x:v>
      </x:c>
      <x:c r="M6447" s="11" t="n">
        <x:f>'管线假设'!H1379</x:f>
        <x:v>0.14</x:v>
      </x:c>
      <x:c r="N6447" s="11" t="n">
        <x:f>IF(G6447,L6447*AN6447/(1+M6447)^F6447,0)</x:f>
        <x:v>0.01539339865755174</x:v>
      </x:c>
      <x:c r="AJ6447" s="42" t="n">
        <x:v>0</x:v>
      </x:c>
      <x:c r="AK6447" s="42" t="n">
        <x:v>0</x:v>
      </x:c>
      <x:c r="AL6447" s="42" t="n">
        <x:v>0</x:v>
      </x:c>
      <x:c r="AM6447" t="n">
        <x:f>CHOOSE('假设'!$B$3,AJ6447,AK6447,AL6447)</x:f>
        <x:v>0</x:v>
      </x:c>
      <x:c r="AN6447" t="n">
        <x:v>1</x:v>
      </x:c>
    </x:row>
    <x:row r="6448" ht="23" customHeight="1">
      <x:c r="A6448" s="11" t="str">
        <x:v>09995.HK</x:v>
      </x:c>
      <x:c r="B6448" s="11" t="str">
        <x:v>2026年底</x:v>
      </x:c>
      <x:c r="C6448" s="11" t="str">
        <x:v>RC28_China</x:v>
      </x:c>
      <x:c r="D6448" s="11" t="str">
        <x:v>2035-12-31</x:v>
      </x:c>
      <x:c r="E6448" s="11" t="str">
        <x:v>CNY</x:v>
      </x:c>
      <x:c r="F6448" s="11" t="n">
        <x:v>8.999315537303216</x:v>
      </x:c>
      <x:c r="G6448" s="26" t="b">
        <x:v>1</x:v>
      </x:c>
      <x:c r="H6448" s="16" t="n">
        <x:v>0.325</x:v>
      </x:c>
      <x:c r="I6448" s="16" t="n">
        <x:v>1.5</x:v>
      </x:c>
      <x:c r="J6448" s="16" t="n">
        <x:v>3</x:v>
      </x:c>
      <x:c r="K6448" s="11" t="n">
        <x:f>CHOOSE('假设'!$B$3,H6448,I6448,J6448)</x:f>
        <x:v>1.5</x:v>
      </x:c>
      <x:c r="L6448" s="11" t="n">
        <x:f>K6448*'管线假设'!E1379*'管线假设'!F1379*'管线假设'!G1379*IF(E6448="USD",'管线假设'!I1379,1)-AM6448</x:f>
        <x:v>0.051659999999999984</x:v>
      </x:c>
      <x:c r="M6448" s="11" t="n">
        <x:f>'管线假设'!H1379</x:f>
        <x:v>0.14</x:v>
      </x:c>
      <x:c r="N6448" s="11" t="n">
        <x:f>IF(G6448,L6448*AN6448/(1+M6448)^F6448,0)</x:f>
        <x:v>0.015887285098427264</x:v>
      </x:c>
      <x:c r="AJ6448" s="42" t="n">
        <x:v>0</x:v>
      </x:c>
      <x:c r="AK6448" s="42" t="n">
        <x:v>0</x:v>
      </x:c>
      <x:c r="AL6448" s="42" t="n">
        <x:v>0</x:v>
      </x:c>
      <x:c r="AM6448" t="n">
        <x:f>CHOOSE('假设'!$B$3,AJ6448,AK6448,AL6448)</x:f>
        <x:v>0</x:v>
      </x:c>
      <x:c r="AN6448" t="n">
        <x:v>1</x:v>
      </x:c>
    </x:row>
    <x:row r="6449" ht="23" customHeight="1">
      <x:c r="A6449" s="11" t="str">
        <x:v>09995.HK</x:v>
      </x:c>
      <x:c r="B6449" s="11" t="str">
        <x:v>2026年底</x:v>
      </x:c>
      <x:c r="C6449" s="11" t="str">
        <x:v>RC28_China</x:v>
      </x:c>
      <x:c r="D6449" s="11" t="str">
        <x:v>2036-12-31</x:v>
      </x:c>
      <x:c r="E6449" s="11" t="str">
        <x:v>CNY</x:v>
      </x:c>
      <x:c r="F6449" s="11" t="n">
        <x:v>10.001368925393566</x:v>
      </x:c>
      <x:c r="G6449" s="26" t="b">
        <x:v>1</x:v>
      </x:c>
      <x:c r="H6449" s="16" t="n">
        <x:v>0.425</x:v>
      </x:c>
      <x:c r="I6449" s="16" t="n">
        <x:v>1.5</x:v>
      </x:c>
      <x:c r="J6449" s="16" t="n">
        <x:v>2.8499999999999996</x:v>
      </x:c>
      <x:c r="K6449" s="11" t="n">
        <x:f>CHOOSE('假设'!$B$3,H6449,I6449,J6449)</x:f>
        <x:v>1.5</x:v>
      </x:c>
      <x:c r="L6449" s="11" t="n">
        <x:f>K6449*'管线假设'!E1379*'管线假设'!F1379*'管线假设'!G1379*IF(E6449="USD",'管线假设'!I1379,1)-AM6449</x:f>
        <x:v>0.051659999999999984</x:v>
      </x:c>
      <x:c r="M6449" s="11" t="n">
        <x:f>'管线假设'!H1379</x:f>
        <x:v>0.14</x:v>
      </x:c>
      <x:c r="N6449" s="11" t="n">
        <x:f>IF(G6449,L6449*AN6449/(1+M6449)^F6449,0)</x:f>
        <x:v>0.01393246593823366</x:v>
      </x:c>
      <x:c r="AJ6449" s="42" t="n">
        <x:v>0</x:v>
      </x:c>
      <x:c r="AK6449" s="42" t="n">
        <x:v>0</x:v>
      </x:c>
      <x:c r="AL6449" s="42" t="n">
        <x:v>0</x:v>
      </x:c>
      <x:c r="AM6449" t="n">
        <x:f>CHOOSE('假设'!$B$3,AJ6449,AK6449,AL6449)</x:f>
        <x:v>0</x:v>
      </x:c>
      <x:c r="AN6449" t="n">
        <x:v>1</x:v>
      </x:c>
    </x:row>
    <x:row r="6450" ht="23" customHeight="1">
      <x:c r="A6450" s="11" t="str">
        <x:v>09995.HK</x:v>
      </x:c>
      <x:c r="B6450" s="11" t="str">
        <x:v>2026年底</x:v>
      </x:c>
      <x:c r="C6450" s="11" t="str">
        <x:v>RC28_China</x:v>
      </x:c>
      <x:c r="D6450" s="11" t="str">
        <x:v>2037-12-31</x:v>
      </x:c>
      <x:c r="E6450" s="11" t="str">
        <x:v>CNY</x:v>
      </x:c>
      <x:c r="F6450" s="11" t="n">
        <x:v>11.000684462696784</x:v>
      </x:c>
      <x:c r="G6450" s="26" t="b">
        <x:v>1</x:v>
      </x:c>
      <x:c r="H6450" s="16" t="n">
        <x:v>0.5</x:v>
      </x:c>
      <x:c r="I6450" s="16" t="n">
        <x:v>1.4249999999999998</x:v>
      </x:c>
      <x:c r="J6450" s="16" t="n">
        <x:v>2.7</x:v>
      </x:c>
      <x:c r="K6450" s="11" t="n">
        <x:f>CHOOSE('假设'!$B$3,H6450,I6450,J6450)</x:f>
        <x:v>1.4249999999999998</x:v>
      </x:c>
      <x:c r="L6450" s="11" t="n">
        <x:f>K6450*'管线假设'!E1379*'管线假设'!F1379*'管线假设'!G1379*IF(E6450="USD",'管线假设'!I1379,1)-AM6450</x:f>
        <x:v>0.04907699999999999</x:v>
      </x:c>
      <x:c r="M6450" s="11" t="n">
        <x:f>'管线假设'!H1379</x:f>
        <x:v>0.14</x:v>
      </x:c>
      <x:c r="N6450" s="11" t="n">
        <x:f>IF(G6450,L6450*AN6450/(1+M6450)^F6450,0)</x:f>
        <x:v>0.011611429594128381</x:v>
      </x:c>
      <x:c r="AJ6450" s="42" t="n">
        <x:v>0</x:v>
      </x:c>
      <x:c r="AK6450" s="42" t="n">
        <x:v>0</x:v>
      </x:c>
      <x:c r="AL6450" s="42" t="n">
        <x:v>0</x:v>
      </x:c>
      <x:c r="AM6450" t="n">
        <x:f>CHOOSE('假设'!$B$3,AJ6450,AK6450,AL6450)</x:f>
        <x:v>0</x:v>
      </x:c>
      <x:c r="AN6450" t="n">
        <x:v>1</x:v>
      </x:c>
    </x:row>
    <x:row r="6451" ht="23" customHeight="1">
      <x:c r="A6451" s="11" t="str">
        <x:v>09995.HK</x:v>
      </x:c>
      <x:c r="B6451" s="11" t="str">
        <x:v>2026年底</x:v>
      </x:c>
      <x:c r="C6451" s="11" t="str">
        <x:v>RC28_China</x:v>
      </x:c>
      <x:c r="D6451" s="11" t="str">
        <x:v>2038-12-31</x:v>
      </x:c>
      <x:c r="E6451" s="11" t="str">
        <x:v>CNY</x:v>
      </x:c>
      <x:c r="F6451" s="11" t="n">
        <x:v>12</x:v>
      </x:c>
      <x:c r="G6451" s="26" t="b">
        <x:v>1</x:v>
      </x:c>
      <x:c r="H6451" s="16" t="n">
        <x:v>0.5</x:v>
      </x:c>
      <x:c r="I6451" s="16" t="n">
        <x:v>1.35</x:v>
      </x:c>
      <x:c r="J6451" s="16" t="n">
        <x:v>2.4000000000000004</x:v>
      </x:c>
      <x:c r="K6451" s="11" t="n">
        <x:f>CHOOSE('假设'!$B$3,H6451,I6451,J6451)</x:f>
        <x:v>1.35</x:v>
      </x:c>
      <x:c r="L6451" s="11" t="n">
        <x:f>K6451*'管线假设'!E1379*'管线假设'!F1379*'管线假设'!G1379*IF(E6451="USD",'管线假设'!I1379,1)-AM6451</x:f>
        <x:v>0.046493999999999994</x:v>
      </x:c>
      <x:c r="M6451" s="11" t="n">
        <x:f>'管线假设'!H1379</x:f>
        <x:v>0.14</x:v>
      </x:c>
      <x:c r="N6451" s="11" t="n">
        <x:f>IF(G6451,L6451*AN6451/(1+M6451)^F6451,0)</x:f>
        <x:v>0.009650252908411558</x:v>
      </x:c>
      <x:c r="AJ6451" s="42" t="n">
        <x:v>0</x:v>
      </x:c>
      <x:c r="AK6451" s="42" t="n">
        <x:v>0</x:v>
      </x:c>
      <x:c r="AL6451" s="42" t="n">
        <x:v>0</x:v>
      </x:c>
      <x:c r="AM6451" t="n">
        <x:f>CHOOSE('假设'!$B$3,AJ6451,AK6451,AL6451)</x:f>
        <x:v>0</x:v>
      </x:c>
      <x:c r="AN6451" t="n">
        <x:v>1</x:v>
      </x:c>
    </x:row>
    <x:row r="6452" ht="23" customHeight="1">
      <x:c r="A6452" s="11" t="str">
        <x:v>09995.HK</x:v>
      </x:c>
      <x:c r="B6452" s="11" t="str">
        <x:v>2026年底</x:v>
      </x:c>
      <x:c r="C6452" s="11" t="str">
        <x:v>RC28_China</x:v>
      </x:c>
      <x:c r="D6452" s="11" t="str">
        <x:v>2039-12-31</x:v>
      </x:c>
      <x:c r="E6452" s="11" t="str">
        <x:v>CNY</x:v>
      </x:c>
      <x:c r="F6452" s="11" t="n">
        <x:v>12.999315537303216</x:v>
      </x:c>
      <x:c r="G6452" s="26" t="b">
        <x:v>1</x:v>
      </x:c>
      <x:c r="H6452" s="16" t="n">
        <x:v>0.475</x:v>
      </x:c>
      <x:c r="I6452" s="16" t="n">
        <x:v>1.2000000000000002</x:v>
      </x:c>
      <x:c r="J6452" s="16" t="n">
        <x:v>1.9500000000000002</x:v>
      </x:c>
      <x:c r="K6452" s="11" t="n">
        <x:f>CHOOSE('假设'!$B$3,H6452,I6452,J6452)</x:f>
        <x:v>1.2000000000000002</x:v>
      </x:c>
      <x:c r="L6452" s="11" t="n">
        <x:f>K6452*'管线假设'!E1379*'管线假设'!F1379*'管线假设'!G1379*IF(E6452="USD",'管线假设'!I1379,1)-AM6452</x:f>
        <x:v>0.041328</x:v>
      </x:c>
      <x:c r="M6452" s="11" t="n">
        <x:f>'管线假设'!H1379</x:f>
        <x:v>0.14</x:v>
      </x:c>
      <x:c r="N6452" s="11" t="n">
        <x:f>IF(G6452,L6452*AN6452/(1+M6452)^F6452,0)</x:f>
        <x:v>0.007525238534188875</x:v>
      </x:c>
      <x:c r="AJ6452" s="42" t="n">
        <x:v>0</x:v>
      </x:c>
      <x:c r="AK6452" s="42" t="n">
        <x:v>0</x:v>
      </x:c>
      <x:c r="AL6452" s="42" t="n">
        <x:v>0</x:v>
      </x:c>
      <x:c r="AM6452" t="n">
        <x:f>CHOOSE('假设'!$B$3,AJ6452,AK6452,AL6452)</x:f>
        <x:v>0</x:v>
      </x:c>
      <x:c r="AN6452" t="n">
        <x:v>1</x:v>
      </x:c>
    </x:row>
    <x:row r="6453" ht="23" customHeight="1">
      <x:c r="A6453" s="11" t="str">
        <x:v>09995.HK</x:v>
      </x:c>
      <x:c r="B6453" s="11" t="str">
        <x:v>2026年底</x:v>
      </x:c>
      <x:c r="C6453" s="11" t="str">
        <x:v>RC28_China</x:v>
      </x:c>
      <x:c r="D6453" s="11" t="str">
        <x:v>2040-12-31</x:v>
      </x:c>
      <x:c r="E6453" s="11" t="str">
        <x:v>CNY</x:v>
      </x:c>
      <x:c r="F6453" s="11" t="n">
        <x:v>14.001368925393566</x:v>
      </x:c>
      <x:c r="G6453" s="26" t="b">
        <x:v>1</x:v>
      </x:c>
      <x:c r="H6453" s="16" t="n">
        <x:v>0.45</x:v>
      </x:c>
      <x:c r="I6453" s="16" t="n">
        <x:v>0.9750000000000001</x:v>
      </x:c>
      <x:c r="J6453" s="16" t="n">
        <x:v>1.5</x:v>
      </x:c>
      <x:c r="K6453" s="11" t="n">
        <x:f>CHOOSE('假设'!$B$3,H6453,I6453,J6453)</x:f>
        <x:v>0.9750000000000001</x:v>
      </x:c>
      <x:c r="L6453" s="11" t="n">
        <x:f>K6453*'管线假设'!E1379*'管线假设'!F1379*'管线假设'!G1379*IF(E6453="USD",'管线假设'!I1379,1)-AM6453</x:f>
        <x:v>0.033579</x:v>
      </x:c>
      <x:c r="M6453" s="11" t="n">
        <x:f>'管线假设'!H1379</x:f>
        <x:v>0.14</x:v>
      </x:c>
      <x:c r="N6453" s="11" t="n">
        <x:f>IF(G6453,L6453*AN6453/(1+M6453)^F6453,0)</x:f>
        <x:v>0.0053619398931540685</x:v>
      </x:c>
      <x:c r="AJ6453" s="42" t="n">
        <x:v>0</x:v>
      </x:c>
      <x:c r="AK6453" s="42" t="n">
        <x:v>0</x:v>
      </x:c>
      <x:c r="AL6453" s="42" t="n">
        <x:v>0</x:v>
      </x:c>
      <x:c r="AM6453" t="n">
        <x:f>CHOOSE('假设'!$B$3,AJ6453,AK6453,AL6453)</x:f>
        <x:v>0</x:v>
      </x:c>
      <x:c r="AN6453" t="n">
        <x:v>1</x:v>
      </x:c>
    </x:row>
    <x:row r="6454" ht="23" customHeight="1">
      <x:c r="A6454" s="11" t="str">
        <x:v>09995.HK</x:v>
      </x:c>
      <x:c r="B6454" s="11" t="str">
        <x:v>2026年底</x:v>
      </x:c>
      <x:c r="C6454" s="11" t="str">
        <x:v>RC28_China</x:v>
      </x:c>
      <x:c r="D6454" s="11" t="str">
        <x:v>2041-12-31</x:v>
      </x:c>
      <x:c r="E6454" s="11" t="str">
        <x:v>CNY</x:v>
      </x:c>
      <x:c r="F6454" s="11" t="n">
        <x:v>15.000684462696784</x:v>
      </x:c>
      <x:c r="G6454" s="26" t="b">
        <x:v>1</x:v>
      </x:c>
      <x:c r="H6454" s="16" t="n">
        <x:v>0.4</x:v>
      </x:c>
      <x:c r="I6454" s="16" t="n">
        <x:v>0.75</x:v>
      </x:c>
      <x:c r="J6454" s="16" t="n">
        <x:v>1.0499999999999998</x:v>
      </x:c>
      <x:c r="K6454" s="11" t="n">
        <x:f>CHOOSE('假设'!$B$3,H6454,I6454,J6454)</x:f>
        <x:v>0.75</x:v>
      </x:c>
      <x:c r="L6454" s="11" t="n">
        <x:f>K6454*'管线假设'!E1379*'管线假设'!F1379*'管线假设'!G1379*IF(E6454="USD",'管线假设'!I1379,1)-AM6454</x:f>
        <x:v>0.025829999999999992</x:v>
      </x:c>
      <x:c r="M6454" s="11" t="n">
        <x:f>'管线假设'!H1379</x:f>
        <x:v>0.14</x:v>
      </x:c>
      <x:c r="N6454" s="11" t="n">
        <x:f>IF(G6454,L6454*AN6454/(1+M6454)^F6454,0)</x:f>
        <x:v>0.003618367607766294</x:v>
      </x:c>
      <x:c r="AJ6454" s="42" t="n">
        <x:v>0</x:v>
      </x:c>
      <x:c r="AK6454" s="42" t="n">
        <x:v>0</x:v>
      </x:c>
      <x:c r="AL6454" s="42" t="n">
        <x:v>0</x:v>
      </x:c>
      <x:c r="AM6454" t="n">
        <x:f>CHOOSE('假设'!$B$3,AJ6454,AK6454,AL6454)</x:f>
        <x:v>0</x:v>
      </x:c>
      <x:c r="AN6454" t="n">
        <x:v>1</x:v>
      </x:c>
    </x:row>
    <x:row r="6455" ht="23" customHeight="1">
      <x:c r="A6455" s="11" t="str">
        <x:v>09995.HK</x:v>
      </x:c>
      <x:c r="B6455" s="11" t="str">
        <x:v>2026年底</x:v>
      </x:c>
      <x:c r="C6455" s="11" t="str">
        <x:v>RC28_China</x:v>
      </x:c>
      <x:c r="D6455" s="11" t="str">
        <x:v>2042-12-31</x:v>
      </x:c>
      <x:c r="E6455" s="11" t="str">
        <x:v>CNY</x:v>
      </x:c>
      <x:c r="F6455" s="11" t="n">
        <x:v>16</x:v>
      </x:c>
      <x:c r="G6455" s="26" t="b">
        <x:v>1</x:v>
      </x:c>
      <x:c r="H6455" s="16" t="n">
        <x:v>0.325</x:v>
      </x:c>
      <x:c r="I6455" s="16" t="n">
        <x:v>0.5249999999999999</x:v>
      </x:c>
      <x:c r="J6455" s="16" t="n">
        <x:v>0.6000000000000001</x:v>
      </x:c>
      <x:c r="K6455" s="11" t="n">
        <x:f>CHOOSE('假设'!$B$3,H6455,I6455,J6455)</x:f>
        <x:v>0.5249999999999999</x:v>
      </x:c>
      <x:c r="L6455" s="11" t="n">
        <x:f>K6455*'管线假设'!E1379*'管线假设'!F1379*'管线假设'!G1379*IF(E6455="USD",'管线假设'!I1379,1)-AM6455</x:f>
        <x:v>0.018080999999999993</x:v>
      </x:c>
      <x:c r="M6455" s="11" t="n">
        <x:f>'管线假设'!H1379</x:f>
        <x:v>0.14</x:v>
      </x:c>
      <x:c r="N6455" s="11" t="n">
        <x:f>IF(G6455,L6455*AN6455/(1+M6455)^F6455,0)</x:f>
        <x:v>0.0022220039406074185</x:v>
      </x:c>
      <x:c r="AJ6455" s="42" t="n">
        <x:v>0</x:v>
      </x:c>
      <x:c r="AK6455" s="42" t="n">
        <x:v>0</x:v>
      </x:c>
      <x:c r="AL6455" s="42" t="n">
        <x:v>0</x:v>
      </x:c>
      <x:c r="AM6455" t="n">
        <x:f>CHOOSE('假设'!$B$3,AJ6455,AK6455,AL6455)</x:f>
        <x:v>0</x:v>
      </x:c>
      <x:c r="AN6455" t="n">
        <x:v>1</x:v>
      </x:c>
    </x:row>
    <x:row r="6456" ht="23" customHeight="1">
      <x:c r="A6456" s="11" t="str">
        <x:v>09995.HK</x:v>
      </x:c>
      <x:c r="B6456" s="11" t="str">
        <x:v>2026年底</x:v>
      </x:c>
      <x:c r="C6456" s="11" t="str">
        <x:v>RC28_China</x:v>
      </x:c>
      <x:c r="D6456" s="11" t="str">
        <x:v>2043-12-31</x:v>
      </x:c>
      <x:c r="E6456" s="11" t="str">
        <x:v>CNY</x:v>
      </x:c>
      <x:c r="F6456" s="11" t="n">
        <x:v>16.999315537303218</x:v>
      </x:c>
      <x:c r="G6456" s="26" t="b">
        <x:v>1</x:v>
      </x:c>
      <x:c r="H6456" s="16" t="n">
        <x:v>0.25</x:v>
      </x:c>
      <x:c r="I6456" s="16" t="n">
        <x:v>0.30000000000000004</x:v>
      </x:c>
      <x:c r="J6456" s="16" t="n">
        <x:v>0.36</x:v>
      </x:c>
      <x:c r="K6456" s="11" t="n">
        <x:f>CHOOSE('假设'!$B$3,H6456,I6456,J6456)</x:f>
        <x:v>0.30000000000000004</x:v>
      </x:c>
      <x:c r="L6456" s="11" t="n">
        <x:f>K6456*'管线假设'!E1379*'管线假设'!F1379*'管线假设'!G1379*IF(E6456="USD",'管线假设'!I1379,1)-AM6456</x:f>
        <x:v>0.010332</x:v>
      </x:c>
      <x:c r="M6456" s="11" t="n">
        <x:f>'管线假设'!H1379</x:f>
        <x:v>0.14</x:v>
      </x:c>
      <x:c r="N6456" s="11" t="n">
        <x:f>IF(G6456,L6456*AN6456/(1+M6456)^F6456,0)</x:f>
        <x:v>0.0011138863296498464</x:v>
      </x:c>
      <x:c r="AJ6456" s="42" t="n">
        <x:v>0</x:v>
      </x:c>
      <x:c r="AK6456" s="42" t="n">
        <x:v>0</x:v>
      </x:c>
      <x:c r="AL6456" s="42" t="n">
        <x:v>0</x:v>
      </x:c>
      <x:c r="AM6456" t="n">
        <x:f>CHOOSE('假设'!$B$3,AJ6456,AK6456,AL6456)</x:f>
        <x:v>0</x:v>
      </x:c>
      <x:c r="AN6456" t="n">
        <x:v>1</x:v>
      </x:c>
    </x:row>
    <x:row r="6457" ht="23" customHeight="1">
      <x:c r="A6457" s="11" t="str">
        <x:v>09995.HK</x:v>
      </x:c>
      <x:c r="B6457" s="11" t="str">
        <x:v>2026年底</x:v>
      </x:c>
      <x:c r="C6457" s="11" t="str">
        <x:v>RC28_China</x:v>
      </x:c>
      <x:c r="D6457" s="11" t="str">
        <x:v>2044-12-31</x:v>
      </x:c>
      <x:c r="E6457" s="11" t="str">
        <x:v>CNY</x:v>
      </x:c>
      <x:c r="F6457" s="11" t="n">
        <x:v>18.001368925393567</x:v>
      </x:c>
      <x:c r="G6457" s="26" t="b">
        <x:v>1</x:v>
      </x:c>
      <x:c r="H6457" s="16" t="n">
        <x:v>0.175</x:v>
      </x:c>
      <x:c r="I6457" s="16" t="n">
        <x:v>0.18</x:v>
      </x:c>
      <x:c r="J6457" s="16" t="n">
        <x:v>0.21000000000000002</x:v>
      </x:c>
      <x:c r="K6457" s="11" t="n">
        <x:f>CHOOSE('假设'!$B$3,H6457,I6457,J6457)</x:f>
        <x:v>0.18</x:v>
      </x:c>
      <x:c r="L6457" s="11" t="n">
        <x:f>K6457*'管线假设'!E1379*'管线假设'!F1379*'管线假设'!G1379*IF(E6457="USD",'管线假设'!I1379,1)-AM6457</x:f>
        <x:v>0.006199199999999999</x:v>
      </x:c>
      <x:c r="M6457" s="11" t="n">
        <x:f>'管线假设'!H1379</x:f>
        <x:v>0.14</x:v>
      </x:c>
      <x:c r="N6457" s="11" t="n">
        <x:f>IF(G6457,L6457*AN6457/(1+M6457)^F6457,0)</x:f>
        <x:v>0.0005860982509257128</x:v>
      </x:c>
      <x:c r="AJ6457" s="42" t="n">
        <x:v>0</x:v>
      </x:c>
      <x:c r="AK6457" s="42" t="n">
        <x:v>0</x:v>
      </x:c>
      <x:c r="AL6457" s="42" t="n">
        <x:v>0</x:v>
      </x:c>
      <x:c r="AM6457" t="n">
        <x:f>CHOOSE('假设'!$B$3,AJ6457,AK6457,AL6457)</x:f>
        <x:v>0</x:v>
      </x:c>
      <x:c r="AN6457" t="n">
        <x:v>1</x:v>
      </x:c>
    </x:row>
    <x:row r="6458" ht="23" customHeight="1">
      <x:c r="A6458" s="11" t="str">
        <x:v>09995.HK</x:v>
      </x:c>
      <x:c r="B6458" s="11" t="str">
        <x:v>2026年底</x:v>
      </x:c>
      <x:c r="C6458" s="11" t="str">
        <x:v>centralCost</x:v>
      </x:c>
      <x:c r="D6458" s="11" t="str">
        <x:v>2026-12-31</x:v>
      </x:c>
      <x:c r="E6458" s="11" t="str">
        <x:v>CNY</x:v>
      </x:c>
      <x:c r="F6458" s="11" t="n">
        <x:v>0</x:v>
      </x:c>
      <x:c r="G6458" s="26" t="b">
        <x:v>0</x:v>
      </x:c>
      <x:c r="H6458" s="16" t="n">
        <x:v>0</x:v>
      </x:c>
      <x:c r="I6458" s="16" t="n">
        <x:v>0</x:v>
      </x:c>
      <x:c r="J6458" s="16" t="n">
        <x:v>0</x:v>
      </x:c>
      <x:c r="K6458" s="11" t="n">
        <x:f>CHOOSE('假设'!$B$3,H6458,I6458,J6458)</x:f>
        <x:v>0</x:v>
      </x:c>
      <x:c r="L6458" s="11" t="n">
        <x:f>K6458*'管线假设'!E1383*'管线假设'!F1383*'管线假设'!G1383*IF(E6458="USD",'管线假设'!I1383,1)-AM6458</x:f>
        <x:v>-0.16</x:v>
      </x:c>
      <x:c r="M6458" s="11" t="n">
        <x:f>'管线假设'!H1383</x:f>
        <x:v>0.14</x:v>
      </x:c>
      <x:c r="N6458" s="11" t="n">
        <x:f>IF(G6458,L6458*AN6458/(1+M6458)^F6458,0)</x:f>
        <x:v>0</x:v>
      </x:c>
      <x:c r="AJ6458" s="42" t="n">
        <x:v>0.13</x:v>
      </x:c>
      <x:c r="AK6458" s="42" t="n">
        <x:v>0.16</x:v>
      </x:c>
      <x:c r="AL6458" s="42" t="n">
        <x:v>0.2</x:v>
      </x:c>
      <x:c r="AM6458" t="n">
        <x:f>CHOOSE('假设'!$B$3,AJ6458,AK6458,AL6458)</x:f>
        <x:v>0.16</x:v>
      </x:c>
      <x:c r="AN6458" t="n">
        <x:v>0</x:v>
      </x:c>
    </x:row>
    <x:row r="6459" ht="23" customHeight="1">
      <x:c r="A6459" s="11" t="str">
        <x:v>09995.HK</x:v>
      </x:c>
      <x:c r="B6459" s="11" t="str">
        <x:v>2026年底</x:v>
      </x:c>
      <x:c r="C6459" s="11" t="str">
        <x:v>centralCost</x:v>
      </x:c>
      <x:c r="D6459" s="11" t="str">
        <x:v>2027-12-31</x:v>
      </x:c>
      <x:c r="E6459" s="11" t="str">
        <x:v>CNY</x:v>
      </x:c>
      <x:c r="F6459" s="11" t="n">
        <x:v>0.999315537303217</x:v>
      </x:c>
      <x:c r="G6459" s="26" t="b">
        <x:v>1</x:v>
      </x:c>
      <x:c r="H6459" s="16" t="n">
        <x:v>0</x:v>
      </x:c>
      <x:c r="I6459" s="16" t="n">
        <x:v>0</x:v>
      </x:c>
      <x:c r="J6459" s="16" t="n">
        <x:v>0</x:v>
      </x:c>
      <x:c r="K6459" s="11" t="n">
        <x:f>CHOOSE('假设'!$B$3,H6459,I6459,J6459)</x:f>
        <x:v>0</x:v>
      </x:c>
      <x:c r="L6459" s="11" t="n">
        <x:f>K6459*'管线假设'!E1383*'管线假设'!F1383*'管线假设'!G1383*IF(E6459="USD",'管线假设'!I1383,1)-AM6459</x:f>
        <x:v>-0.1648</x:v>
      </x:c>
      <x:c r="M6459" s="11" t="n">
        <x:f>'管线假设'!H1383</x:f>
        <x:v>0.14</x:v>
      </x:c>
      <x:c r="N6459" s="11" t="n">
        <x:f>IF(G6459,L6459*AN6459/(1+M6459)^F6459,0)</x:f>
        <x:v>-0.1445743689289761</x:v>
      </x:c>
      <x:c r="AJ6459" s="42" t="n">
        <x:v>0.13390000000000002</x:v>
      </x:c>
      <x:c r="AK6459" s="42" t="n">
        <x:v>0.1648</x:v>
      </x:c>
      <x:c r="AL6459" s="42" t="n">
        <x:v>0.20800000000000002</x:v>
      </x:c>
      <x:c r="AM6459" t="n">
        <x:f>CHOOSE('假设'!$B$3,AJ6459,AK6459,AL6459)</x:f>
        <x:v>0.1648</x:v>
      </x:c>
      <x:c r="AN6459" t="n">
        <x:v>1</x:v>
      </x:c>
    </x:row>
    <x:row r="6460" ht="23" customHeight="1">
      <x:c r="A6460" s="11" t="str">
        <x:v>09995.HK</x:v>
      </x:c>
      <x:c r="B6460" s="11" t="str">
        <x:v>2026年底</x:v>
      </x:c>
      <x:c r="C6460" s="11" t="str">
        <x:v>centralCost</x:v>
      </x:c>
      <x:c r="D6460" s="11" t="str">
        <x:v>2028-12-31</x:v>
      </x:c>
      <x:c r="E6460" s="11" t="str">
        <x:v>CNY</x:v>
      </x:c>
      <x:c r="F6460" s="11" t="n">
        <x:v>2.001368925393566</x:v>
      </x:c>
      <x:c r="G6460" s="26" t="b">
        <x:v>1</x:v>
      </x:c>
      <x:c r="H6460" s="16" t="n">
        <x:v>0</x:v>
      </x:c>
      <x:c r="I6460" s="16" t="n">
        <x:v>0</x:v>
      </x:c>
      <x:c r="J6460" s="16" t="n">
        <x:v>0</x:v>
      </x:c>
      <x:c r="K6460" s="11" t="n">
        <x:f>CHOOSE('假设'!$B$3,H6460,I6460,J6460)</x:f>
        <x:v>0</x:v>
      </x:c>
      <x:c r="L6460" s="11" t="n">
        <x:f>K6460*'管线假设'!E1383*'管线假设'!F1383*'管线假设'!G1383*IF(E6460="USD",'管线假设'!I1383,1)-AM6460</x:f>
        <x:v>-0.169744</x:v>
      </x:c>
      <x:c r="M6460" s="11" t="n">
        <x:f>'管线假设'!H1383</x:f>
        <x:v>0.14</x:v>
      </x:c>
      <x:c r="N6460" s="11" t="n">
        <x:f>IF(G6460,L6460*AN6460/(1+M6460)^F6460,0)</x:f>
        <x:v>-0.13058907056242772</x:v>
      </x:c>
      <x:c r="AJ6460" s="42" t="n">
        <x:v>0.137917</x:v>
      </x:c>
      <x:c r="AK6460" s="42" t="n">
        <x:v>0.169744</x:v>
      </x:c>
      <x:c r="AL6460" s="42" t="n">
        <x:v>0.21632000000000004</x:v>
      </x:c>
      <x:c r="AM6460" t="n">
        <x:f>CHOOSE('假设'!$B$3,AJ6460,AK6460,AL6460)</x:f>
        <x:v>0.169744</x:v>
      </x:c>
      <x:c r="AN6460" t="n">
        <x:v>1</x:v>
      </x:c>
    </x:row>
    <x:row r="6461" ht="23" customHeight="1">
      <x:c r="A6461" s="11" t="str">
        <x:v>09995.HK</x:v>
      </x:c>
      <x:c r="B6461" s="11" t="str">
        <x:v>2026年底</x:v>
      </x:c>
      <x:c r="C6461" s="11" t="str">
        <x:v>centralCost</x:v>
      </x:c>
      <x:c r="D6461" s="11" t="str">
        <x:v>2029-12-31</x:v>
      </x:c>
      <x:c r="E6461" s="11" t="str">
        <x:v>CNY</x:v>
      </x:c>
      <x:c r="F6461" s="11" t="n">
        <x:v>3.0006844626967832</x:v>
      </x:c>
      <x:c r="G6461" s="26" t="b">
        <x:v>1</x:v>
      </x:c>
      <x:c r="H6461" s="16" t="n">
        <x:v>0</x:v>
      </x:c>
      <x:c r="I6461" s="16" t="n">
        <x:v>0</x:v>
      </x:c>
      <x:c r="J6461" s="16" t="n">
        <x:v>0</x:v>
      </x:c>
      <x:c r="K6461" s="11" t="n">
        <x:f>CHOOSE('假设'!$B$3,H6461,I6461,J6461)</x:f>
        <x:v>0</x:v>
      </x:c>
      <x:c r="L6461" s="11" t="n">
        <x:f>K6461*'管线假设'!E1383*'管线假设'!F1383*'管线假设'!G1383*IF(E6461="USD",'管线假设'!I1383,1)-AM6461</x:f>
        <x:v>-0.17483632000000002</x:v>
      </x:c>
      <x:c r="M6461" s="11" t="n">
        <x:f>'管线假设'!H1383</x:f>
        <x:v>0.14</x:v>
      </x:c>
      <x:c r="N6461" s="11" t="n">
        <x:f>IF(G6461,L6461*AN6461/(1+M6461)^F6461,0)</x:f>
        <x:v>-0.11799895290990327</x:v>
      </x:c>
      <x:c r="AJ6461" s="42" t="n">
        <x:v>0.14205451</x:v>
      </x:c>
      <x:c r="AK6461" s="42" t="n">
        <x:v>0.17483632000000002</x:v>
      </x:c>
      <x:c r="AL6461" s="42" t="n">
        <x:v>0.22497280000000003</x:v>
      </x:c>
      <x:c r="AM6461" t="n">
        <x:f>CHOOSE('假设'!$B$3,AJ6461,AK6461,AL6461)</x:f>
        <x:v>0.17483632000000002</x:v>
      </x:c>
      <x:c r="AN6461" t="n">
        <x:v>1</x:v>
      </x:c>
    </x:row>
    <x:row r="6462" ht="23" customHeight="1">
      <x:c r="A6462" s="11" t="str">
        <x:v>09995.HK</x:v>
      </x:c>
      <x:c r="B6462" s="11" t="str">
        <x:v>2026年底</x:v>
      </x:c>
      <x:c r="C6462" s="11" t="str">
        <x:v>centralCost</x:v>
      </x:c>
      <x:c r="D6462" s="11" t="str">
        <x:v>2030-12-31</x:v>
      </x:c>
      <x:c r="E6462" s="11" t="str">
        <x:v>CNY</x:v>
      </x:c>
      <x:c r="F6462" s="11" t="n">
        <x:v>4</x:v>
      </x:c>
      <x:c r="G6462" s="26" t="b">
        <x:v>1</x:v>
      </x:c>
      <x:c r="H6462" s="16" t="n">
        <x:v>0</x:v>
      </x:c>
      <x:c r="I6462" s="16" t="n">
        <x:v>0</x:v>
      </x:c>
      <x:c r="J6462" s="16" t="n">
        <x:v>0</x:v>
      </x:c>
      <x:c r="K6462" s="11" t="n">
        <x:f>CHOOSE('假设'!$B$3,H6462,I6462,J6462)</x:f>
        <x:v>0</x:v>
      </x:c>
      <x:c r="L6462" s="11" t="n">
        <x:f>K6462*'管线假设'!E1383*'管线假设'!F1383*'管线假设'!G1383*IF(E6462="USD",'管线假设'!I1383,1)-AM6462</x:f>
        <x:v>-0.18008140960000002</x:v>
      </x:c>
      <x:c r="M6462" s="11" t="n">
        <x:f>'管线假设'!H1383</x:f>
        <x:v>0.14</x:v>
      </x:c>
      <x:c r="N6462" s="11" t="n">
        <x:f>IF(G6462,L6462*AN6462/(1+M6462)^F6462,0)</x:f>
        <x:v>-0.10662265094518271</x:v>
      </x:c>
      <x:c r="AJ6462" s="42" t="n">
        <x:v>0.14631614530000003</x:v>
      </x:c>
      <x:c r="AK6462" s="42" t="n">
        <x:v>0.18008140960000002</x:v>
      </x:c>
      <x:c r="AL6462" s="42" t="n">
        <x:v>0.23397171200000005</x:v>
      </x:c>
      <x:c r="AM6462" t="n">
        <x:f>CHOOSE('假设'!$B$3,AJ6462,AK6462,AL6462)</x:f>
        <x:v>0.18008140960000002</x:v>
      </x:c>
      <x:c r="AN6462" t="n">
        <x:v>1</x:v>
      </x:c>
    </x:row>
    <x:row r="6463" ht="23" customHeight="1">
      <x:c r="A6463" s="11" t="str">
        <x:v>09995.HK</x:v>
      </x:c>
      <x:c r="B6463" s="11" t="str">
        <x:v>2026年底</x:v>
      </x:c>
      <x:c r="C6463" s="11" t="str">
        <x:v>centralCost</x:v>
      </x:c>
      <x:c r="D6463" s="11" t="str">
        <x:v>2031-12-31</x:v>
      </x:c>
      <x:c r="E6463" s="11" t="str">
        <x:v>CNY</x:v>
      </x:c>
      <x:c r="F6463" s="11" t="n">
        <x:v>4.999315537303217</x:v>
      </x:c>
      <x:c r="G6463" s="26" t="b">
        <x:v>1</x:v>
      </x:c>
      <x:c r="H6463" s="16" t="n">
        <x:v>0</x:v>
      </x:c>
      <x:c r="I6463" s="16" t="n">
        <x:v>0</x:v>
      </x:c>
      <x:c r="J6463" s="16" t="n">
        <x:v>0</x:v>
      </x:c>
      <x:c r="K6463" s="11" t="n">
        <x:f>CHOOSE('假设'!$B$3,H6463,I6463,J6463)</x:f>
        <x:v>0</x:v>
      </x:c>
      <x:c r="L6463" s="11" t="n">
        <x:f>K6463*'管线假设'!E1383*'管线假设'!F1383*'管线假设'!G1383*IF(E6463="USD",'管线假设'!I1383,1)-AM6463</x:f>
        <x:v>-0.185483851888</x:v>
      </x:c>
      <x:c r="M6463" s="11" t="n">
        <x:f>'管线假设'!H1383</x:f>
        <x:v>0.14</x:v>
      </x:c>
      <x:c r="N6463" s="11" t="n">
        <x:f>IF(G6463,L6463*AN6463/(1+M6463)^F6463,0)</x:f>
        <x:v>-0.09634314046208929</x:v>
      </x:c>
      <x:c r="AJ6463" s="42" t="n">
        <x:v>0.150705629659</x:v>
      </x:c>
      <x:c r="AK6463" s="42" t="n">
        <x:v>0.185483851888</x:v>
      </x:c>
      <x:c r="AL6463" s="42" t="n">
        <x:v>0.24333058048000003</x:v>
      </x:c>
      <x:c r="AM6463" t="n">
        <x:f>CHOOSE('假设'!$B$3,AJ6463,AK6463,AL6463)</x:f>
        <x:v>0.185483851888</x:v>
      </x:c>
      <x:c r="AN6463" t="n">
        <x:v>1</x:v>
      </x:c>
    </x:row>
    <x:row r="6464" ht="23" customHeight="1">
      <x:c r="A6464" s="11" t="str">
        <x:v>09995.HK</x:v>
      </x:c>
      <x:c r="B6464" s="11" t="str">
        <x:v>2026年底</x:v>
      </x:c>
      <x:c r="C6464" s="11" t="str">
        <x:v>centralCost</x:v>
      </x:c>
      <x:c r="D6464" s="11" t="str">
        <x:v>2032-12-31</x:v>
      </x:c>
      <x:c r="E6464" s="11" t="str">
        <x:v>CNY</x:v>
      </x:c>
      <x:c r="F6464" s="11" t="n">
        <x:v>6.0013689253935665</x:v>
      </x:c>
      <x:c r="G6464" s="26" t="b">
        <x:v>1</x:v>
      </x:c>
      <x:c r="H6464" s="16" t="n">
        <x:v>0</x:v>
      </x:c>
      <x:c r="I6464" s="16" t="n">
        <x:v>0</x:v>
      </x:c>
      <x:c r="J6464" s="16" t="n">
        <x:v>0</x:v>
      </x:c>
      <x:c r="K6464" s="11" t="n">
        <x:f>CHOOSE('假设'!$B$3,H6464,I6464,J6464)</x:f>
        <x:v>0</x:v>
      </x:c>
      <x:c r="L6464" s="11" t="n">
        <x:f>K6464*'管线假设'!E1383*'管线假设'!F1383*'管线假设'!G1383*IF(E6464="USD",'管线假设'!I1383,1)-AM6464</x:f>
        <x:v>-0.19104836744464002</x:v>
      </x:c>
      <x:c r="M6464" s="11" t="n">
        <x:f>'管线假设'!H1383</x:f>
        <x:v>0.14</x:v>
      </x:c>
      <x:c r="N6464" s="11" t="n">
        <x:f>IF(G6464,L6464*AN6464/(1+M6464)^F6464,0)</x:f>
        <x:v>-0.08702345554895978</x:v>
      </x:c>
      <x:c r="AJ6464" s="42" t="n">
        <x:v>0.15522679854877003</x:v>
      </x:c>
      <x:c r="AK6464" s="42" t="n">
        <x:v>0.19104836744464002</x:v>
      </x:c>
      <x:c r="AL6464" s="42" t="n">
        <x:v>0.25306380369920006</x:v>
      </x:c>
      <x:c r="AM6464" t="n">
        <x:f>CHOOSE('假设'!$B$3,AJ6464,AK6464,AL6464)</x:f>
        <x:v>0.19104836744464002</x:v>
      </x:c>
      <x:c r="AN6464" t="n">
        <x:v>1</x:v>
      </x:c>
    </x:row>
    <x:row r="6465" ht="23" customHeight="1">
      <x:c r="A6465" s="11" t="str">
        <x:v>09995.HK</x:v>
      </x:c>
      <x:c r="B6465" s="11" t="str">
        <x:v>2026年底</x:v>
      </x:c>
      <x:c r="C6465" s="11" t="str">
        <x:v>centralCost</x:v>
      </x:c>
      <x:c r="D6465" s="11" t="str">
        <x:v>2033-12-31</x:v>
      </x:c>
      <x:c r="E6465" s="11" t="str">
        <x:v>CNY</x:v>
      </x:c>
      <x:c r="F6465" s="11" t="n">
        <x:v>7.000684462696783</x:v>
      </x:c>
      <x:c r="G6465" s="26" t="b">
        <x:v>1</x:v>
      </x:c>
      <x:c r="H6465" s="16" t="n">
        <x:v>0</x:v>
      </x:c>
      <x:c r="I6465" s="16" t="n">
        <x:v>0</x:v>
      </x:c>
      <x:c r="J6465" s="16" t="n">
        <x:v>0</x:v>
      </x:c>
      <x:c r="K6465" s="11" t="n">
        <x:f>CHOOSE('假设'!$B$3,H6465,I6465,J6465)</x:f>
        <x:v>0</x:v>
      </x:c>
      <x:c r="L6465" s="11" t="n">
        <x:f>K6465*'管线假设'!E1383*'管线假设'!F1383*'管线假设'!G1383*IF(E6465="USD",'管线假设'!I1383,1)-AM6465</x:f>
        <x:v>-0.19677981846797923</x:v>
      </x:c>
      <x:c r="M6465" s="11" t="n">
        <x:f>'管线假设'!H1383</x:f>
        <x:v>0.14</x:v>
      </x:c>
      <x:c r="N6465" s="11" t="n">
        <x:f>IF(G6465,L6465*AN6465/(1+M6465)^F6465,0)</x:f>
        <x:v>-0.07863350730006043</x:v>
      </x:c>
      <x:c r="AJ6465" s="42" t="n">
        <x:v>0.15988360250523312</x:v>
      </x:c>
      <x:c r="AK6465" s="42" t="n">
        <x:v>0.19677981846797923</x:v>
      </x:c>
      <x:c r="AL6465" s="42" t="n">
        <x:v>0.26318635584716804</x:v>
      </x:c>
      <x:c r="AM6465" t="n">
        <x:f>CHOOSE('假设'!$B$3,AJ6465,AK6465,AL6465)</x:f>
        <x:v>0.19677981846797923</x:v>
      </x:c>
      <x:c r="AN6465" t="n">
        <x:v>1</x:v>
      </x:c>
    </x:row>
    <x:row r="6466" ht="23" customHeight="1">
      <x:c r="A6466" s="11" t="str">
        <x:v>09995.HK</x:v>
      </x:c>
      <x:c r="B6466" s="11" t="str">
        <x:v>2026年底</x:v>
      </x:c>
      <x:c r="C6466" s="11" t="str">
        <x:v>centralCost</x:v>
      </x:c>
      <x:c r="D6466" s="11" t="str">
        <x:v>2034-12-31</x:v>
      </x:c>
      <x:c r="E6466" s="11" t="str">
        <x:v>CNY</x:v>
      </x:c>
      <x:c r="F6466" s="11" t="n">
        <x:v>8</x:v>
      </x:c>
      <x:c r="G6466" s="26" t="b">
        <x:v>1</x:v>
      </x:c>
      <x:c r="H6466" s="16" t="n">
        <x:v>0</x:v>
      </x:c>
      <x:c r="I6466" s="16" t="n">
        <x:v>0</x:v>
      </x:c>
      <x:c r="J6466" s="16" t="n">
        <x:v>0</x:v>
      </x:c>
      <x:c r="K6466" s="11" t="n">
        <x:f>CHOOSE('假设'!$B$3,H6466,I6466,J6466)</x:f>
        <x:v>0</x:v>
      </x:c>
      <x:c r="L6466" s="11" t="n">
        <x:f>K6466*'管线假设'!E1383*'管线假设'!F1383*'管线假设'!G1383*IF(E6466="USD",'管线假设'!I1383,1)-AM6466</x:f>
        <x:v>-0.20268321302201864</x:v>
      </x:c>
      <x:c r="M6466" s="11" t="n">
        <x:f>'管线假设'!H1383</x:f>
        <x:v>0.14</x:v>
      </x:c>
      <x:c r="N6466" s="11" t="n">
        <x:f>IF(G6466,L6466*AN6466/(1+M6466)^F6466,0)</x:f>
        <x:v>-0.07105243559111421</x:v>
      </x:c>
      <x:c r="AJ6466" s="42" t="n">
        <x:v>0.16468011058039014</x:v>
      </x:c>
      <x:c r="AK6466" s="42" t="n">
        <x:v>0.20268321302201864</x:v>
      </x:c>
      <x:c r="AL6466" s="42" t="n">
        <x:v>0.2737138100810548</x:v>
      </x:c>
      <x:c r="AM6466" t="n">
        <x:f>CHOOSE('假设'!$B$3,AJ6466,AK6466,AL6466)</x:f>
        <x:v>0.20268321302201864</x:v>
      </x:c>
      <x:c r="AN6466" t="n">
        <x:v>1</x:v>
      </x:c>
    </x:row>
    <x:row r="6467" ht="23" customHeight="1">
      <x:c r="A6467" s="11" t="str">
        <x:v>09995.HK</x:v>
      </x:c>
      <x:c r="B6467" s="11" t="str">
        <x:v>2026年底</x:v>
      </x:c>
      <x:c r="C6467" s="11" t="str">
        <x:v>centralCost</x:v>
      </x:c>
      <x:c r="D6467" s="11" t="str">
        <x:v>2035-12-31</x:v>
      </x:c>
      <x:c r="E6467" s="11" t="str">
        <x:v>CNY</x:v>
      </x:c>
      <x:c r="F6467" s="11" t="n">
        <x:v>8.999315537303216</x:v>
      </x:c>
      <x:c r="G6467" s="26" t="b">
        <x:v>1</x:v>
      </x:c>
      <x:c r="H6467" s="16" t="n">
        <x:v>0</x:v>
      </x:c>
      <x:c r="I6467" s="16" t="n">
        <x:v>0</x:v>
      </x:c>
      <x:c r="J6467" s="16" t="n">
        <x:v>0</x:v>
      </x:c>
      <x:c r="K6467" s="11" t="n">
        <x:f>CHOOSE('假设'!$B$3,H6467,I6467,J6467)</x:f>
        <x:v>0</x:v>
      </x:c>
      <x:c r="L6467" s="11" t="n">
        <x:f>K6467*'管线假设'!E1383*'管线假设'!F1383*'管线假设'!G1383*IF(E6467="USD",'管线假设'!I1383,1)-AM6467</x:f>
        <x:v>-0.2087637094126792</x:v>
      </x:c>
      <x:c r="M6467" s="11" t="n">
        <x:f>'管线假设'!H1383</x:f>
        <x:v>0.14</x:v>
      </x:c>
      <x:c r="N6467" s="11" t="n">
        <x:f>IF(G6467,L6467*AN6467/(1+M6467)^F6467,0)</x:f>
        <x:v>-0.06420225647782536</x:v>
      </x:c>
      <x:c r="AJ6467" s="42" t="n">
        <x:v>0.16962051389780183</x:v>
      </x:c>
      <x:c r="AK6467" s="42" t="n">
        <x:v>0.2087637094126792</x:v>
      </x:c>
      <x:c r="AL6467" s="42" t="n">
        <x:v>0.284662362484297</x:v>
      </x:c>
      <x:c r="AM6467" t="n">
        <x:f>CHOOSE('假设'!$B$3,AJ6467,AK6467,AL6467)</x:f>
        <x:v>0.2087637094126792</x:v>
      </x:c>
      <x:c r="AN6467" t="n">
        <x:v>1</x:v>
      </x:c>
    </x:row>
    <x:row r="6468" ht="23" customHeight="1">
      <x:c r="A6468" s="11" t="str">
        <x:v>09995.HK</x:v>
      </x:c>
      <x:c r="B6468" s="11" t="str">
        <x:v>2026年底</x:v>
      </x:c>
      <x:c r="C6468" s="11" t="str">
        <x:v>centralCost</x:v>
      </x:c>
      <x:c r="D6468" s="11" t="str">
        <x:v>2036-12-31</x:v>
      </x:c>
      <x:c r="E6468" s="11" t="str">
        <x:v>CNY</x:v>
      </x:c>
      <x:c r="F6468" s="11" t="n">
        <x:v>10.001368925393566</x:v>
      </x:c>
      <x:c r="G6468" s="26" t="b">
        <x:v>1</x:v>
      </x:c>
      <x:c r="H6468" s="16" t="n">
        <x:v>0</x:v>
      </x:c>
      <x:c r="I6468" s="16" t="n">
        <x:v>0</x:v>
      </x:c>
      <x:c r="J6468" s="16" t="n">
        <x:v>0</x:v>
      </x:c>
      <x:c r="K6468" s="11" t="n">
        <x:f>CHOOSE('假设'!$B$3,H6468,I6468,J6468)</x:f>
        <x:v>0</x:v>
      </x:c>
      <x:c r="L6468" s="11" t="n">
        <x:f>K6468*'管线假设'!E1383*'管线假设'!F1383*'管线假设'!G1383*IF(E6468="USD",'管线假设'!I1383,1)-AM6468</x:f>
        <x:v>-0.21502662069505957</x:v>
      </x:c>
      <x:c r="M6468" s="11" t="n">
        <x:f>'管线假设'!H1383</x:f>
        <x:v>0.14</x:v>
      </x:c>
      <x:c r="N6468" s="11" t="n">
        <x:f>IF(G6468,L6468*AN6468/(1+M6468)^F6468,0)</x:f>
        <x:v>-0.057991697031502275</x:v>
      </x:c>
      <x:c r="AJ6468" s="42" t="n">
        <x:v>0.1747091293147359</x:v>
      </x:c>
      <x:c r="AK6468" s="42" t="n">
        <x:v>0.21502662069505957</x:v>
      </x:c>
      <x:c r="AL6468" s="42" t="n">
        <x:v>0.2960488569836689</x:v>
      </x:c>
      <x:c r="AM6468" t="n">
        <x:f>CHOOSE('假设'!$B$3,AJ6468,AK6468,AL6468)</x:f>
        <x:v>0.21502662069505957</x:v>
      </x:c>
      <x:c r="AN6468" t="n">
        <x:v>1</x:v>
      </x:c>
    </x:row>
    <x:row r="6469" ht="23" customHeight="1">
      <x:c r="A6469" s="11" t="str">
        <x:v>09995.HK</x:v>
      </x:c>
      <x:c r="B6469" s="11" t="str">
        <x:v>2026年底</x:v>
      </x:c>
      <x:c r="C6469" s="11" t="str">
        <x:v>centralCost</x:v>
      </x:c>
      <x:c r="D6469" s="11" t="str">
        <x:v>2037-12-31</x:v>
      </x:c>
      <x:c r="E6469" s="11" t="str">
        <x:v>CNY</x:v>
      </x:c>
      <x:c r="F6469" s="11" t="n">
        <x:v>11.000684462696784</x:v>
      </x:c>
      <x:c r="G6469" s="26" t="b">
        <x:v>1</x:v>
      </x:c>
      <x:c r="H6469" s="16" t="n">
        <x:v>0</x:v>
      </x:c>
      <x:c r="I6469" s="16" t="n">
        <x:v>0</x:v>
      </x:c>
      <x:c r="J6469" s="16" t="n">
        <x:v>0</x:v>
      </x:c>
      <x:c r="K6469" s="11" t="n">
        <x:f>CHOOSE('假设'!$B$3,H6469,I6469,J6469)</x:f>
        <x:v>0</x:v>
      </x:c>
      <x:c r="L6469" s="11" t="n">
        <x:f>K6469*'管线假设'!E1383*'管线假设'!F1383*'管线假设'!G1383*IF(E6469="USD",'管线假设'!I1383,1)-AM6469</x:f>
        <x:v>-0.22147741931591136</x:v>
      </x:c>
      <x:c r="M6469" s="11" t="n">
        <x:f>'管线假设'!H1383</x:f>
        <x:v>0.14</x:v>
      </x:c>
      <x:c r="N6469" s="11" t="n">
        <x:f>IF(G6469,L6469*AN6469/(1+M6469)^F6469,0)</x:f>
        <x:v>-0.05240070625906137</x:v>
      </x:c>
      <x:c r="AJ6469" s="42" t="n">
        <x:v>0.179950403194178</x:v>
      </x:c>
      <x:c r="AK6469" s="42" t="n">
        <x:v>0.22147741931591136</x:v>
      </x:c>
      <x:c r="AL6469" s="42" t="n">
        <x:v>0.30789081126301565</x:v>
      </x:c>
      <x:c r="AM6469" t="n">
        <x:f>CHOOSE('假设'!$B$3,AJ6469,AK6469,AL6469)</x:f>
        <x:v>0.22147741931591136</x:v>
      </x:c>
      <x:c r="AN6469" t="n">
        <x:v>1</x:v>
      </x:c>
    </x:row>
    <x:row r="6470" ht="23" customHeight="1">
      <x:c r="A6470" s="11" t="str">
        <x:v>09995.HK</x:v>
      </x:c>
      <x:c r="B6470" s="11" t="str">
        <x:v>2026年底</x:v>
      </x:c>
      <x:c r="C6470" s="11" t="str">
        <x:v>centralCost</x:v>
      </x:c>
      <x:c r="D6470" s="11" t="str">
        <x:v>2038-12-31</x:v>
      </x:c>
      <x:c r="E6470" s="11" t="str">
        <x:v>CNY</x:v>
      </x:c>
      <x:c r="F6470" s="11" t="n">
        <x:v>12</x:v>
      </x:c>
      <x:c r="G6470" s="26" t="b">
        <x:v>1</x:v>
      </x:c>
      <x:c r="H6470" s="16" t="n">
        <x:v>0</x:v>
      </x:c>
      <x:c r="I6470" s="16" t="n">
        <x:v>0</x:v>
      </x:c>
      <x:c r="J6470" s="16" t="n">
        <x:v>0</x:v>
      </x:c>
      <x:c r="K6470" s="11" t="n">
        <x:f>CHOOSE('假设'!$B$3,H6470,I6470,J6470)</x:f>
        <x:v>0</x:v>
      </x:c>
      <x:c r="L6470" s="11" t="n">
        <x:f>K6470*'管线假设'!E1383*'管线假设'!F1383*'管线假设'!G1383*IF(E6470="USD",'管线假设'!I1383,1)-AM6470</x:f>
        <x:v>-0.2281217418953887</x:v>
      </x:c>
      <x:c r="M6470" s="11" t="n">
        <x:f>'管线假设'!H1383</x:f>
        <x:v>0.14</x:v>
      </x:c>
      <x:c r="N6470" s="11" t="n">
        <x:f>IF(G6470,L6470*AN6470/(1+M6470)^F6470,0)</x:f>
        <x:v>-0.04734874399272778</x:v>
      </x:c>
      <x:c r="AJ6470" s="42" t="n">
        <x:v>0.1853489152900033</x:v>
      </x:c>
      <x:c r="AK6470" s="42" t="n">
        <x:v>0.2281217418953887</x:v>
      </x:c>
      <x:c r="AL6470" s="42" t="n">
        <x:v>0.32020644371353635</x:v>
      </x:c>
      <x:c r="AM6470" t="n">
        <x:f>CHOOSE('假设'!$B$3,AJ6470,AK6470,AL6470)</x:f>
        <x:v>0.2281217418953887</x:v>
      </x:c>
      <x:c r="AN6470" t="n">
        <x:v>1</x:v>
      </x:c>
    </x:row>
    <x:row r="6471" ht="23" customHeight="1">
      <x:c r="A6471" s="11" t="str">
        <x:v>09995.HK</x:v>
      </x:c>
      <x:c r="B6471" s="11" t="str">
        <x:v>2026年底</x:v>
      </x:c>
      <x:c r="C6471" s="11" t="str">
        <x:v>centralCost</x:v>
      </x:c>
      <x:c r="D6471" s="11" t="str">
        <x:v>2039-12-31</x:v>
      </x:c>
      <x:c r="E6471" s="11" t="str">
        <x:v>CNY</x:v>
      </x:c>
      <x:c r="F6471" s="11" t="n">
        <x:v>12.999315537303216</x:v>
      </x:c>
      <x:c r="G6471" s="26" t="b">
        <x:v>1</x:v>
      </x:c>
      <x:c r="H6471" s="16" t="n">
        <x:v>0</x:v>
      </x:c>
      <x:c r="I6471" s="16" t="n">
        <x:v>0</x:v>
      </x:c>
      <x:c r="J6471" s="16" t="n">
        <x:v>0</x:v>
      </x:c>
      <x:c r="K6471" s="11" t="n">
        <x:f>CHOOSE('假设'!$B$3,H6471,I6471,J6471)</x:f>
        <x:v>0</x:v>
      </x:c>
      <x:c r="L6471" s="11" t="n">
        <x:f>K6471*'管线假设'!E1383*'管线假设'!F1383*'管线假设'!G1383*IF(E6471="USD",'管线假设'!I1383,1)-AM6471</x:f>
        <x:v>-0.23496539415225037</x:v>
      </x:c>
      <x:c r="M6471" s="11" t="n">
        <x:f>'管线假设'!H1383</x:f>
        <x:v>0.14</x:v>
      </x:c>
      <x:c r="N6471" s="11" t="n">
        <x:f>IF(G6471,L6471*AN6471/(1+M6471)^F6471,0)</x:f>
        <x:v>-0.04278384238955168</x:v>
      </x:c>
      <x:c r="AJ6471" s="42" t="n">
        <x:v>0.19090938274870342</x:v>
      </x:c>
      <x:c r="AK6471" s="42" t="n">
        <x:v>0.23496539415225037</x:v>
      </x:c>
      <x:c r="AL6471" s="42" t="n">
        <x:v>0.3330147014620778</x:v>
      </x:c>
      <x:c r="AM6471" t="n">
        <x:f>CHOOSE('假设'!$B$3,AJ6471,AK6471,AL6471)</x:f>
        <x:v>0.23496539415225037</x:v>
      </x:c>
      <x:c r="AN6471" t="n">
        <x:v>1</x:v>
      </x:c>
    </x:row>
    <x:row r="6472" ht="23" customHeight="1">
      <x:c r="A6472" s="11" t="str">
        <x:v>09995.HK</x:v>
      </x:c>
      <x:c r="B6472" s="11" t="str">
        <x:v>2026年底</x:v>
      </x:c>
      <x:c r="C6472" s="11" t="str">
        <x:v>centralCost</x:v>
      </x:c>
      <x:c r="D6472" s="11" t="str">
        <x:v>2040-12-31</x:v>
      </x:c>
      <x:c r="E6472" s="11" t="str">
        <x:v>CNY</x:v>
      </x:c>
      <x:c r="F6472" s="11" t="n">
        <x:v>14.001368925393566</x:v>
      </x:c>
      <x:c r="G6472" s="26" t="b">
        <x:v>1</x:v>
      </x:c>
      <x:c r="H6472" s="16" t="n">
        <x:v>0</x:v>
      </x:c>
      <x:c r="I6472" s="16" t="n">
        <x:v>0</x:v>
      </x:c>
      <x:c r="J6472" s="16" t="n">
        <x:v>0</x:v>
      </x:c>
      <x:c r="K6472" s="11" t="n">
        <x:f>CHOOSE('假设'!$B$3,H6472,I6472,J6472)</x:f>
        <x:v>0</x:v>
      </x:c>
      <x:c r="L6472" s="11" t="n">
        <x:f>K6472*'管线假设'!E1383*'管线假设'!F1383*'管线假设'!G1383*IF(E6472="USD",'管线假设'!I1383,1)-AM6472</x:f>
        <x:v>-0.24201435597681792</x:v>
      </x:c>
      <x:c r="M6472" s="11" t="n">
        <x:f>'管线假设'!H1383</x:f>
        <x:v>0.14</x:v>
      </x:c>
      <x:c r="N6472" s="11" t="n">
        <x:f>IF(G6472,L6472*AN6472/(1+M6472)^F6472,0)</x:f>
        <x:v>-0.03864517793942911</x:v>
      </x:c>
      <x:c r="AJ6472" s="42" t="n">
        <x:v>0.19663666423116455</x:v>
      </x:c>
      <x:c r="AK6472" s="42" t="n">
        <x:v>0.24201435597681792</x:v>
      </x:c>
      <x:c r="AL6472" s="42" t="n">
        <x:v>0.3463352895205609</x:v>
      </x:c>
      <x:c r="AM6472" t="n">
        <x:f>CHOOSE('假设'!$B$3,AJ6472,AK6472,AL6472)</x:f>
        <x:v>0.24201435597681792</x:v>
      </x:c>
      <x:c r="AN6472" t="n">
        <x:v>1</x:v>
      </x:c>
    </x:row>
    <x:row r="6473" ht="23" customHeight="1">
      <x:c r="A6473" s="11" t="str">
        <x:v>09995.HK</x:v>
      </x:c>
      <x:c r="B6473" s="11" t="str">
        <x:v>2026年底</x:v>
      </x:c>
      <x:c r="C6473" s="11" t="str">
        <x:v>centralCost</x:v>
      </x:c>
      <x:c r="D6473" s="11" t="str">
        <x:v>2041-12-31</x:v>
      </x:c>
      <x:c r="E6473" s="11" t="str">
        <x:v>CNY</x:v>
      </x:c>
      <x:c r="F6473" s="11" t="n">
        <x:v>15.000684462696784</x:v>
      </x:c>
      <x:c r="G6473" s="26" t="b">
        <x:v>1</x:v>
      </x:c>
      <x:c r="H6473" s="16" t="n">
        <x:v>0</x:v>
      </x:c>
      <x:c r="I6473" s="16" t="n">
        <x:v>0</x:v>
      </x:c>
      <x:c r="J6473" s="16" t="n">
        <x:v>0</x:v>
      </x:c>
      <x:c r="K6473" s="11" t="n">
        <x:f>CHOOSE('假设'!$B$3,H6473,I6473,J6473)</x:f>
        <x:v>0</x:v>
      </x:c>
      <x:c r="L6473" s="11" t="n">
        <x:f>K6473*'管线假设'!E1383*'管线假设'!F1383*'管线假设'!G1383*IF(E6473="USD",'管线假设'!I1383,1)-AM6473</x:f>
        <x:v>-0.24927478665612243</x:v>
      </x:c>
      <x:c r="M6473" s="11" t="n">
        <x:f>'管线假设'!H1383</x:f>
        <x:v>0.14</x:v>
      </x:c>
      <x:c r="N6473" s="11" t="n">
        <x:f>IF(G6473,L6473*AN6473/(1+M6473)^F6473,0)</x:f>
        <x:v>-0.03491938882963094</x:v>
      </x:c>
      <x:c r="AJ6473" s="42" t="n">
        <x:v>0.20253576415809946</x:v>
      </x:c>
      <x:c r="AK6473" s="42" t="n">
        <x:v>0.24927478665612243</x:v>
      </x:c>
      <x:c r="AL6473" s="42" t="n">
        <x:v>0.36018870110138335</x:v>
      </x:c>
      <x:c r="AM6473" t="n">
        <x:f>CHOOSE('假设'!$B$3,AJ6473,AK6473,AL6473)</x:f>
        <x:v>0.24927478665612243</x:v>
      </x:c>
      <x:c r="AN6473" t="n">
        <x:v>1</x:v>
      </x:c>
    </x:row>
    <x:row r="6474" ht="23" customHeight="1">
      <x:c r="A6474" s="11" t="str">
        <x:v>09995.HK</x:v>
      </x:c>
      <x:c r="B6474" s="11" t="str">
        <x:v>2026年底</x:v>
      </x:c>
      <x:c r="C6474" s="11" t="str">
        <x:v>centralCost</x:v>
      </x:c>
      <x:c r="D6474" s="11" t="str">
        <x:v>2042-12-31</x:v>
      </x:c>
      <x:c r="E6474" s="11" t="str">
        <x:v>CNY</x:v>
      </x:c>
      <x:c r="F6474" s="11" t="n">
        <x:v>16</x:v>
      </x:c>
      <x:c r="G6474" s="26" t="b">
        <x:v>1</x:v>
      </x:c>
      <x:c r="H6474" s="16" t="n">
        <x:v>0</x:v>
      </x:c>
      <x:c r="I6474" s="16" t="n">
        <x:v>0</x:v>
      </x:c>
      <x:c r="J6474" s="16" t="n">
        <x:v>0</x:v>
      </x:c>
      <x:c r="K6474" s="11" t="n">
        <x:f>CHOOSE('假设'!$B$3,H6474,I6474,J6474)</x:f>
        <x:v>0</x:v>
      </x:c>
      <x:c r="L6474" s="11" t="n">
        <x:f>K6474*'管线假设'!E1383*'管线假设'!F1383*'管线假设'!G1383*IF(E6474="USD",'管线假设'!I1383,1)-AM6474</x:f>
        <x:v>-0.2567530302558061</x:v>
      </x:c>
      <x:c r="M6474" s="11" t="n">
        <x:f>'管线假设'!H1383</x:f>
        <x:v>0.14</x:v>
      </x:c>
      <x:c r="N6474" s="11" t="n">
        <x:f>IF(G6474,L6474*AN6474/(1+M6474)^F6474,0)</x:f>
        <x:v>-0.03155280377143395</x:v>
      </x:c>
      <x:c r="AJ6474" s="42" t="n">
        <x:v>0.20861183708284248</x:v>
      </x:c>
      <x:c r="AK6474" s="42" t="n">
        <x:v>0.2567530302558061</x:v>
      </x:c>
      <x:c r="AL6474" s="42" t="n">
        <x:v>0.37459624914543865</x:v>
      </x:c>
      <x:c r="AM6474" t="n">
        <x:f>CHOOSE('假设'!$B$3,AJ6474,AK6474,AL6474)</x:f>
        <x:v>0.2567530302558061</x:v>
      </x:c>
      <x:c r="AN6474" t="n">
        <x:v>1</x:v>
      </x:c>
    </x:row>
    <x:row r="6475" ht="23" customHeight="1">
      <x:c r="A6475" s="11" t="str">
        <x:v>09995.HK</x:v>
      </x:c>
      <x:c r="B6475" s="11" t="str">
        <x:v>2026年底</x:v>
      </x:c>
      <x:c r="C6475" s="11" t="str">
        <x:v>centralCost</x:v>
      </x:c>
      <x:c r="D6475" s="11" t="str">
        <x:v>2043-12-31</x:v>
      </x:c>
      <x:c r="E6475" s="11" t="str">
        <x:v>CNY</x:v>
      </x:c>
      <x:c r="F6475" s="11" t="n">
        <x:v>16.999315537303218</x:v>
      </x:c>
      <x:c r="G6475" s="26" t="b">
        <x:v>1</x:v>
      </x:c>
      <x:c r="H6475" s="16" t="n">
        <x:v>0</x:v>
      </x:c>
      <x:c r="I6475" s="16" t="n">
        <x:v>0</x:v>
      </x:c>
      <x:c r="J6475" s="16" t="n">
        <x:v>0</x:v>
      </x:c>
      <x:c r="K6475" s="11" t="n">
        <x:f>CHOOSE('假设'!$B$3,H6475,I6475,J6475)</x:f>
        <x:v>0</x:v>
      </x:c>
      <x:c r="L6475" s="11" t="n">
        <x:f>K6475*'管线假设'!E1383*'管线假设'!F1383*'管线假设'!G1383*IF(E6475="USD",'管线假设'!I1383,1)-AM6475</x:f>
        <x:v>-0.2644556211634803</x:v>
      </x:c>
      <x:c r="M6475" s="11" t="n">
        <x:f>'管线假设'!H1383</x:f>
        <x:v>0.14</x:v>
      </x:c>
      <x:c r="N6475" s="11" t="n">
        <x:f>IF(G6475,L6475*AN6475/(1+M6475)^F6475,0)</x:f>
        <x:v>-0.028510791832467998</x:v>
      </x:c>
      <x:c r="AJ6475" s="42" t="n">
        <x:v>0.21487019219532774</x:v>
      </x:c>
      <x:c r="AK6475" s="42" t="n">
        <x:v>0.2644556211634803</x:v>
      </x:c>
      <x:c r="AL6475" s="42" t="n">
        <x:v>0.38958009911125624</x:v>
      </x:c>
      <x:c r="AM6475" t="n">
        <x:f>CHOOSE('假设'!$B$3,AJ6475,AK6475,AL6475)</x:f>
        <x:v>0.2644556211634803</x:v>
      </x:c>
      <x:c r="AN6475" t="n">
        <x:v>1</x:v>
      </x:c>
    </x:row>
    <x:row r="6476" ht="23" customHeight="1">
      <x:c r="A6476" s="11" t="str">
        <x:v>09995.HK</x:v>
      </x:c>
      <x:c r="B6476" s="11" t="str">
        <x:v>2026年底</x:v>
      </x:c>
      <x:c r="C6476" s="11" t="str">
        <x:v>centralCost</x:v>
      </x:c>
      <x:c r="D6476" s="11" t="str">
        <x:v>2044-12-31</x:v>
      </x:c>
      <x:c r="E6476" s="11" t="str">
        <x:v>CNY</x:v>
      </x:c>
      <x:c r="F6476" s="11" t="n">
        <x:v>18.001368925393567</x:v>
      </x:c>
      <x:c r="G6476" s="26" t="b">
        <x:v>1</x:v>
      </x:c>
      <x:c r="H6476" s="16" t="n">
        <x:v>0</x:v>
      </x:c>
      <x:c r="I6476" s="16" t="n">
        <x:v>0</x:v>
      </x:c>
      <x:c r="J6476" s="16" t="n">
        <x:v>0</x:v>
      </x:c>
      <x:c r="K6476" s="11" t="n">
        <x:f>CHOOSE('假设'!$B$3,H6476,I6476,J6476)</x:f>
        <x:v>0</x:v>
      </x:c>
      <x:c r="L6476" s="11" t="n">
        <x:f>K6476*'管线假设'!E1383*'管线假设'!F1383*'管线假设'!G1383*IF(E6476="USD",'管线假设'!I1383,1)-AM6476</x:f>
        <x:v>-0.2723892897983847</x:v>
      </x:c>
      <x:c r="M6476" s="11" t="n">
        <x:f>'管线假设'!H1383</x:f>
        <x:v>0.14</x:v>
      </x:c>
      <x:c r="N6476" s="11" t="n">
        <x:f>IF(G6476,L6476*AN6476/(1+M6476)^F6476,0)</x:f>
        <x:v>-0.025752820738438896</x:v>
      </x:c>
      <x:c r="AJ6476" s="42" t="n">
        <x:v>0.2213162979611876</x:v>
      </x:c>
      <x:c r="AK6476" s="42" t="n">
        <x:v>0.2723892897983847</x:v>
      </x:c>
      <x:c r="AL6476" s="42" t="n">
        <x:v>0.4051633030757065</x:v>
      </x:c>
      <x:c r="AM6476" t="n">
        <x:f>CHOOSE('假设'!$B$3,AJ6476,AK6476,AL6476)</x:f>
        <x:v>0.2723892897983847</x:v>
      </x:c>
      <x:c r="AN6476" t="n">
        <x:v>1</x:v>
      </x:c>
    </x:row>
    <x:row r="6477" ht="23" customHeight="1">
      <x:c r="A6477" s="11" t="str">
        <x:v>09995.HK</x:v>
      </x:c>
      <x:c r="B6477" s="11" t="str">
        <x:v>半年</x:v>
      </x:c>
      <x:c r="C6477" s="11" t="str">
        <x:v>RC18_approved_China</x:v>
      </x:c>
      <x:c r="D6477" s="11" t="str">
        <x:v>2026-12-31</x:v>
      </x:c>
      <x:c r="E6477" s="11" t="str">
        <x:v>CNY</x:v>
      </x:c>
      <x:c r="F6477" s="11" t="n">
        <x:v>-0.27104722792607805</x:v>
      </x:c>
      <x:c r="G6477" s="26" t="b">
        <x:v>0</x:v>
      </x:c>
      <x:c r="H6477" s="16" t="n">
        <x:v>1.65</x:v>
      </x:c>
      <x:c r="I6477" s="16" t="n">
        <x:v>2</x:v>
      </x:c>
      <x:c r="J6477" s="16" t="n">
        <x:v>2.3</x:v>
      </x:c>
      <x:c r="K6477" s="11" t="n">
        <x:f>CHOOSE('假设'!$B$3,H6477,I6477,J6477)</x:f>
        <x:v>2</x:v>
      </x:c>
      <x:c r="L6477" s="11" t="n">
        <x:f>K6477*'管线假设'!E1387*'管线假设'!F1387*'管线假设'!G1387*IF(E6477="USD",'管线假设'!I1387,1)-AM6477</x:f>
        <x:v>0.6941999999999999</x:v>
      </x:c>
      <x:c r="M6477" s="11" t="n">
        <x:f>'管线假设'!H1387</x:f>
        <x:v>0.14</x:v>
      </x:c>
      <x:c r="N6477" s="11" t="n">
        <x:f>IF(G6477,L6477*AN6477/(1+M6477)^F6477,0)</x:f>
        <x:v>0</x:v>
      </x:c>
      <x:c r="AJ6477" s="42" t="n">
        <x:v>0.08</x:v>
      </x:c>
      <x:c r="AK6477" s="42" t="n">
        <x:v>0.14</x:v>
      </x:c>
      <x:c r="AL6477" s="42" t="n">
        <x:v>0.2</x:v>
      </x:c>
      <x:c r="AM6477" t="n">
        <x:f>CHOOSE('假设'!$B$3,AJ6477,AK6477,AL6477)</x:f>
        <x:v>0.14</x:v>
      </x:c>
      <x:c r="AN6477" t="n">
        <x:v>0</x:v>
      </x:c>
    </x:row>
    <x:row r="6478" ht="23" customHeight="1">
      <x:c r="A6478" s="11" t="str">
        <x:v>09995.HK</x:v>
      </x:c>
      <x:c r="B6478" s="11" t="str">
        <x:v>半年</x:v>
      </x:c>
      <x:c r="C6478" s="11" t="str">
        <x:v>RC18_approved_China</x:v>
      </x:c>
      <x:c r="D6478" s="11" t="str">
        <x:v>2027-12-31</x:v>
      </x:c>
      <x:c r="E6478" s="11" t="str">
        <x:v>CNY</x:v>
      </x:c>
      <x:c r="F6478" s="11" t="n">
        <x:v>0.7282683093771389</x:v>
      </x:c>
      <x:c r="G6478" s="26" t="b">
        <x:v>1</x:v>
      </x:c>
      <x:c r="H6478" s="16" t="n">
        <x:v>1.8</x:v>
      </x:c>
      <x:c r="I6478" s="16" t="n">
        <x:v>2.7</x:v>
      </x:c>
      <x:c r="J6478" s="16" t="n">
        <x:v>3.5</x:v>
      </x:c>
      <x:c r="K6478" s="11" t="n">
        <x:f>CHOOSE('假设'!$B$3,H6478,I6478,J6478)</x:f>
        <x:v>2.7</x:v>
      </x:c>
      <x:c r="L6478" s="11" t="n">
        <x:f>K6478*'管线假设'!E1387*'管线假设'!F1387*'管线假设'!G1387*IF(E6478="USD",'管线假设'!I1387,1)-AM6478</x:f>
        <x:v>1.00617</x:v>
      </x:c>
      <x:c r="M6478" s="11" t="n">
        <x:f>'管线假设'!H1387</x:f>
        <x:v>0.14</x:v>
      </x:c>
      <x:c r="N6478" s="11" t="n">
        <x:f>IF(G6478,L6478*AN6478/(1+M6478)^F6478,0)</x:f>
        <x:v>0.6683587180482006</x:v>
      </x:c>
      <x:c r="AJ6478" s="42" t="n">
        <x:v>0.08</x:v>
      </x:c>
      <x:c r="AK6478" s="42" t="n">
        <x:v>0.12</x:v>
      </x:c>
      <x:c r="AL6478" s="42" t="n">
        <x:v>0.18</x:v>
      </x:c>
      <x:c r="AM6478" t="n">
        <x:f>CHOOSE('假设'!$B$3,AJ6478,AK6478,AL6478)</x:f>
        <x:v>0.12</x:v>
      </x:c>
      <x:c r="AN6478" t="n">
        <x:v>0.7307692307692307</x:v>
      </x:c>
    </x:row>
    <x:row r="6479" ht="23" customHeight="1">
      <x:c r="A6479" s="11" t="str">
        <x:v>09995.HK</x:v>
      </x:c>
      <x:c r="B6479" s="11" t="str">
        <x:v>半年</x:v>
      </x:c>
      <x:c r="C6479" s="11" t="str">
        <x:v>RC18_approved_China</x:v>
      </x:c>
      <x:c r="D6479" s="11" t="str">
        <x:v>2028-12-31</x:v>
      </x:c>
      <x:c r="E6479" s="11" t="str">
        <x:v>CNY</x:v>
      </x:c>
      <x:c r="F6479" s="11" t="n">
        <x:v>1.730321697467488</x:v>
      </x:c>
      <x:c r="G6479" s="26" t="b">
        <x:v>1</x:v>
      </x:c>
      <x:c r="H6479" s="16" t="n">
        <x:v>1.95</x:v>
      </x:c>
      <x:c r="I6479" s="16" t="n">
        <x:v>3.5</x:v>
      </x:c>
      <x:c r="J6479" s="16" t="n">
        <x:v>5</x:v>
      </x:c>
      <x:c r="K6479" s="11" t="n">
        <x:f>CHOOSE('假设'!$B$3,H6479,I6479,J6479)</x:f>
        <x:v>3.5</x:v>
      </x:c>
      <x:c r="L6479" s="11" t="n">
        <x:f>K6479*'管线假设'!E1387*'管线假设'!F1387*'管线假设'!G1387*IF(E6479="USD",'管线假设'!I1387,1)-AM6479</x:f>
        <x:v>1.37985</x:v>
      </x:c>
      <x:c r="M6479" s="11" t="n">
        <x:f>'管线假设'!H1387</x:f>
        <x:v>0.14</x:v>
      </x:c>
      <x:c r="N6479" s="11" t="n">
        <x:f>IF(G6479,L6479*AN6479/(1+M6479)^F6479,0)</x:f>
        <x:v>1.0999379313709132</x:v>
      </x:c>
      <x:c r="AJ6479" s="42" t="n">
        <x:v>0.05</x:v>
      </x:c>
      <x:c r="AK6479" s="42" t="n">
        <x:v>0.08</x:v>
      </x:c>
      <x:c r="AL6479" s="42" t="n">
        <x:v>0.13</x:v>
      </x:c>
      <x:c r="AM6479" t="n">
        <x:f>CHOOSE('假设'!$B$3,AJ6479,AK6479,AL6479)</x:f>
        <x:v>0.08</x:v>
      </x:c>
      <x:c r="AN6479" t="n">
        <x:v>1</x:v>
      </x:c>
    </x:row>
    <x:row r="6480" ht="23" customHeight="1">
      <x:c r="A6480" s="11" t="str">
        <x:v>09995.HK</x:v>
      </x:c>
      <x:c r="B6480" s="11" t="str">
        <x:v>半年</x:v>
      </x:c>
      <x:c r="C6480" s="11" t="str">
        <x:v>RC18_approved_China</x:v>
      </x:c>
      <x:c r="D6480" s="11" t="str">
        <x:v>2029-12-31</x:v>
      </x:c>
      <x:c r="E6480" s="11" t="str">
        <x:v>CNY</x:v>
      </x:c>
      <x:c r="F6480" s="11" t="n">
        <x:v>2.729637234770705</x:v>
      </x:c>
      <x:c r="G6480" s="26" t="b">
        <x:v>1</x:v>
      </x:c>
      <x:c r="H6480" s="16" t="n">
        <x:v>2.1</x:v>
      </x:c>
      <x:c r="I6480" s="16" t="n">
        <x:v>4.4</x:v>
      </x:c>
      <x:c r="J6480" s="16" t="n">
        <x:v>6.7</x:v>
      </x:c>
      <x:c r="K6480" s="11" t="n">
        <x:f>CHOOSE('假设'!$B$3,H6480,I6480,J6480)</x:f>
        <x:v>4.4</x:v>
      </x:c>
      <x:c r="L6480" s="11" t="n">
        <x:f>K6480*'管线假设'!E1387*'管线假设'!F1387*'管线假设'!G1387*IF(E6480="USD",'管线假设'!I1387,1)-AM6480</x:f>
        <x:v>1.77524</x:v>
      </x:c>
      <x:c r="M6480" s="11" t="n">
        <x:f>'管线假设'!H1387</x:f>
        <x:v>0.14</x:v>
      </x:c>
      <x:c r="N6480" s="11" t="n">
        <x:f>IF(G6480,L6480*AN6480/(1+M6480)^F6480,0)</x:f>
        <x:v>1.2414449720012846</x:v>
      </x:c>
      <x:c r="AJ6480" s="42" t="n">
        <x:v>0</x:v>
      </x:c>
      <x:c r="AK6480" s="42" t="n">
        <x:v>0.06</x:v>
      </x:c>
      <x:c r="AL6480" s="42" t="n">
        <x:v>0.1</x:v>
      </x:c>
      <x:c r="AM6480" t="n">
        <x:f>CHOOSE('假设'!$B$3,AJ6480,AK6480,AL6480)</x:f>
        <x:v>0.06</x:v>
      </x:c>
      <x:c r="AN6480" t="n">
        <x:v>1</x:v>
      </x:c>
    </x:row>
    <x:row r="6481" ht="23" customHeight="1">
      <x:c r="A6481" s="11" t="str">
        <x:v>09995.HK</x:v>
      </x:c>
      <x:c r="B6481" s="11" t="str">
        <x:v>半年</x:v>
      </x:c>
      <x:c r="C6481" s="11" t="str">
        <x:v>RC18_approved_China</x:v>
      </x:c>
      <x:c r="D6481" s="11" t="str">
        <x:v>2030-12-31</x:v>
      </x:c>
      <x:c r="E6481" s="11" t="str">
        <x:v>CNY</x:v>
      </x:c>
      <x:c r="F6481" s="11" t="n">
        <x:v>3.728952772073922</x:v>
      </x:c>
      <x:c r="G6481" s="26" t="b">
        <x:v>1</x:v>
      </x:c>
      <x:c r="H6481" s="16" t="n">
        <x:v>2.2</x:v>
      </x:c>
      <x:c r="I6481" s="16" t="n">
        <x:v>5.3</x:v>
      </x:c>
      <x:c r="J6481" s="16" t="n">
        <x:v>8.5</x:v>
      </x:c>
      <x:c r="K6481" s="11" t="n">
        <x:f>CHOOSE('假设'!$B$3,H6481,I6481,J6481)</x:f>
        <x:v>5.3</x:v>
      </x:c>
      <x:c r="L6481" s="11" t="n">
        <x:f>K6481*'管线假设'!E1387*'管线假设'!F1387*'管线假设'!G1387*IF(E6481="USD",'管线假设'!I1387,1)-AM6481</x:f>
        <x:v>2.21063</x:v>
      </x:c>
      <x:c r="M6481" s="11" t="n">
        <x:f>'管线假设'!H1387</x:f>
        <x:v>0.14</x:v>
      </x:c>
      <x:c r="N6481" s="11" t="n">
        <x:f>IF(G6481,L6481*AN6481/(1+M6481)^F6481,0)</x:f>
        <x:v>1.356190057993064</x:v>
      </x:c>
      <x:c r="AJ6481" s="42" t="n">
        <x:v>0</x:v>
      </x:c>
      <x:c r="AK6481" s="42" t="n">
        <x:v>0</x:v>
      </x:c>
      <x:c r="AL6481" s="42" t="n">
        <x:v>0</x:v>
      </x:c>
      <x:c r="AM6481" t="n">
        <x:f>CHOOSE('假设'!$B$3,AJ6481,AK6481,AL6481)</x:f>
        <x:v>0</x:v>
      </x:c>
      <x:c r="AN6481" t="n">
        <x:v>1</x:v>
      </x:c>
    </x:row>
    <x:row r="6482" ht="23" customHeight="1">
      <x:c r="A6482" s="11" t="str">
        <x:v>09995.HK</x:v>
      </x:c>
      <x:c r="B6482" s="11" t="str">
        <x:v>半年</x:v>
      </x:c>
      <x:c r="C6482" s="11" t="str">
        <x:v>RC18_approved_China</x:v>
      </x:c>
      <x:c r="D6482" s="11" t="str">
        <x:v>2031-12-31</x:v>
      </x:c>
      <x:c r="E6482" s="11" t="str">
        <x:v>CNY</x:v>
      </x:c>
      <x:c r="F6482" s="11" t="n">
        <x:v>4.728268309377139</x:v>
      </x:c>
      <x:c r="G6482" s="26" t="b">
        <x:v>1</x:v>
      </x:c>
      <x:c r="H6482" s="16" t="n">
        <x:v>2.25</x:v>
      </x:c>
      <x:c r="I6482" s="16" t="n">
        <x:v>6.1</x:v>
      </x:c>
      <x:c r="J6482" s="16" t="n">
        <x:v>10</x:v>
      </x:c>
      <x:c r="K6482" s="11" t="n">
        <x:f>CHOOSE('假设'!$B$3,H6482,I6482,J6482)</x:f>
        <x:v>6.1</x:v>
      </x:c>
      <x:c r="L6482" s="11" t="n">
        <x:f>K6482*'管线假设'!E1387*'管线假设'!F1387*'管线假设'!G1387*IF(E6482="USD",'管线假设'!I1387,1)-AM6482</x:f>
        <x:v>2.54431</x:v>
      </x:c>
      <x:c r="M6482" s="11" t="n">
        <x:f>'管线假设'!H1387</x:f>
        <x:v>0.14</x:v>
      </x:c>
      <x:c r="N6482" s="11" t="n">
        <x:f>IF(G6482,L6482*AN6482/(1+M6482)^F6482,0)</x:f>
        <x:v>1.3693315658440215</x:v>
      </x:c>
      <x:c r="AJ6482" s="42" t="n">
        <x:v>0</x:v>
      </x:c>
      <x:c r="AK6482" s="42" t="n">
        <x:v>0</x:v>
      </x:c>
      <x:c r="AL6482" s="42" t="n">
        <x:v>0</x:v>
      </x:c>
      <x:c r="AM6482" t="n">
        <x:f>CHOOSE('假设'!$B$3,AJ6482,AK6482,AL6482)</x:f>
        <x:v>0</x:v>
      </x:c>
      <x:c r="AN6482" t="n">
        <x:v>1</x:v>
      </x:c>
    </x:row>
    <x:row r="6483" ht="23" customHeight="1">
      <x:c r="A6483" s="11" t="str">
        <x:v>09995.HK</x:v>
      </x:c>
      <x:c r="B6483" s="11" t="str">
        <x:v>半年</x:v>
      </x:c>
      <x:c r="C6483" s="11" t="str">
        <x:v>RC18_approved_China</x:v>
      </x:c>
      <x:c r="D6483" s="11" t="str">
        <x:v>2032-12-31</x:v>
      </x:c>
      <x:c r="E6483" s="11" t="str">
        <x:v>CNY</x:v>
      </x:c>
      <x:c r="F6483" s="11" t="n">
        <x:v>5.730321697467488</x:v>
      </x:c>
      <x:c r="G6483" s="26" t="b">
        <x:v>1</x:v>
      </x:c>
      <x:c r="H6483" s="16" t="n">
        <x:v>2.2</x:v>
      </x:c>
      <x:c r="I6483" s="16" t="n">
        <x:v>6.7</x:v>
      </x:c>
      <x:c r="J6483" s="16" t="n">
        <x:v>11</x:v>
      </x:c>
      <x:c r="K6483" s="11" t="n">
        <x:f>CHOOSE('假设'!$B$3,H6483,I6483,J6483)</x:f>
        <x:v>6.7</x:v>
      </x:c>
      <x:c r="L6483" s="11" t="n">
        <x:f>K6483*'管线假设'!E1387*'管线假设'!F1387*'管线假设'!G1387*IF(E6483="USD",'管线假设'!I1387,1)-AM6483</x:f>
        <x:v>2.7945699999999998</x:v>
      </x:c>
      <x:c r="M6483" s="11" t="n">
        <x:f>'管线假设'!H1387</x:f>
        <x:v>0.14</x:v>
      </x:c>
      <x:c r="N6483" s="11" t="n">
        <x:f>IF(G6483,L6483*AN6483/(1+M6483)^F6483,0)</x:f>
        <x:v>1.3189607996830726</x:v>
      </x:c>
      <x:c r="AJ6483" s="42" t="n">
        <x:v>0</x:v>
      </x:c>
      <x:c r="AK6483" s="42" t="n">
        <x:v>0</x:v>
      </x:c>
      <x:c r="AL6483" s="42" t="n">
        <x:v>0</x:v>
      </x:c>
      <x:c r="AM6483" t="n">
        <x:f>CHOOSE('假设'!$B$3,AJ6483,AK6483,AL6483)</x:f>
        <x:v>0</x:v>
      </x:c>
      <x:c r="AN6483" t="n">
        <x:v>1</x:v>
      </x:c>
    </x:row>
    <x:row r="6484" ht="23" customHeight="1">
      <x:c r="A6484" s="11" t="str">
        <x:v>09995.HK</x:v>
      </x:c>
      <x:c r="B6484" s="11" t="str">
        <x:v>半年</x:v>
      </x:c>
      <x:c r="C6484" s="11" t="str">
        <x:v>RC18_approved_China</x:v>
      </x:c>
      <x:c r="D6484" s="11" t="str">
        <x:v>2033-12-31</x:v>
      </x:c>
      <x:c r="E6484" s="11" t="str">
        <x:v>CNY</x:v>
      </x:c>
      <x:c r="F6484" s="11" t="n">
        <x:v>6.729637234770705</x:v>
      </x:c>
      <x:c r="G6484" s="26" t="b">
        <x:v>1</x:v>
      </x:c>
      <x:c r="H6484" s="16" t="n">
        <x:v>2.1</x:v>
      </x:c>
      <x:c r="I6484" s="16" t="n">
        <x:v>7.2</x:v>
      </x:c>
      <x:c r="J6484" s="16" t="n">
        <x:v>12</x:v>
      </x:c>
      <x:c r="K6484" s="11" t="n">
        <x:f>CHOOSE('假设'!$B$3,H6484,I6484,J6484)</x:f>
        <x:v>7.2</x:v>
      </x:c>
      <x:c r="L6484" s="11" t="n">
        <x:f>K6484*'管线假设'!E1387*'管线假设'!F1387*'管线假设'!G1387*IF(E6484="USD",'管线假设'!I1387,1)-AM6484</x:f>
        <x:v>3.00312</x:v>
      </x:c>
      <x:c r="M6484" s="11" t="n">
        <x:f>'管线假设'!H1387</x:f>
        <x:v>0.14</x:v>
      </x:c>
      <x:c r="N6484" s="11" t="n">
        <x:f>IF(G6484,L6484*AN6484/(1+M6484)^F6484,0)</x:f>
        <x:v>1.243436695628272</x:v>
      </x:c>
      <x:c r="AJ6484" s="42" t="n">
        <x:v>0</x:v>
      </x:c>
      <x:c r="AK6484" s="42" t="n">
        <x:v>0</x:v>
      </x:c>
      <x:c r="AL6484" s="42" t="n">
        <x:v>0</x:v>
      </x:c>
      <x:c r="AM6484" t="n">
        <x:f>CHOOSE('假设'!$B$3,AJ6484,AK6484,AL6484)</x:f>
        <x:v>0</x:v>
      </x:c>
      <x:c r="AN6484" t="n">
        <x:v>1</x:v>
      </x:c>
    </x:row>
    <x:row r="6485" ht="23" customHeight="1">
      <x:c r="A6485" s="11" t="str">
        <x:v>09995.HK</x:v>
      </x:c>
      <x:c r="B6485" s="11" t="str">
        <x:v>半年</x:v>
      </x:c>
      <x:c r="C6485" s="11" t="str">
        <x:v>RC18_approved_China</x:v>
      </x:c>
      <x:c r="D6485" s="11" t="str">
        <x:v>2034-12-31</x:v>
      </x:c>
      <x:c r="E6485" s="11" t="str">
        <x:v>CNY</x:v>
      </x:c>
      <x:c r="F6485" s="11" t="n">
        <x:v>7.728952772073922</x:v>
      </x:c>
      <x:c r="G6485" s="26" t="b">
        <x:v>1</x:v>
      </x:c>
      <x:c r="H6485" s="16" t="n">
        <x:v>2</x:v>
      </x:c>
      <x:c r="I6485" s="16" t="n">
        <x:v>7.5</x:v>
      </x:c>
      <x:c r="J6485" s="16" t="n">
        <x:v>13</x:v>
      </x:c>
      <x:c r="K6485" s="11" t="n">
        <x:f>CHOOSE('假设'!$B$3,H6485,I6485,J6485)</x:f>
        <x:v>7.5</x:v>
      </x:c>
      <x:c r="L6485" s="11" t="n">
        <x:f>K6485*'管线假设'!E1387*'管线假设'!F1387*'管线假设'!G1387*IF(E6485="USD",'管线假设'!I1387,1)-AM6485</x:f>
        <x:v>3.1282499999999995</x:v>
      </x:c>
      <x:c r="M6485" s="11" t="n">
        <x:f>'管线假设'!H1387</x:f>
        <x:v>0.14</x:v>
      </x:c>
      <x:c r="N6485" s="11" t="n">
        <x:f>IF(G6485,L6485*AN6485/(1+M6485)^F6485,0)</x:f>
        <x:v>1.1362830929762637</x:v>
      </x:c>
      <x:c r="AJ6485" s="42" t="n">
        <x:v>0</x:v>
      </x:c>
      <x:c r="AK6485" s="42" t="n">
        <x:v>0</x:v>
      </x:c>
      <x:c r="AL6485" s="42" t="n">
        <x:v>0</x:v>
      </x:c>
      <x:c r="AM6485" t="n">
        <x:f>CHOOSE('假设'!$B$3,AJ6485,AK6485,AL6485)</x:f>
        <x:v>0</x:v>
      </x:c>
      <x:c r="AN6485" t="n">
        <x:v>1</x:v>
      </x:c>
    </x:row>
    <x:row r="6486" ht="23" customHeight="1">
      <x:c r="A6486" s="11" t="str">
        <x:v>09995.HK</x:v>
      </x:c>
      <x:c r="B6486" s="11" t="str">
        <x:v>半年</x:v>
      </x:c>
      <x:c r="C6486" s="11" t="str">
        <x:v>RC18_approved_China</x:v>
      </x:c>
      <x:c r="D6486" s="11" t="str">
        <x:v>2035-12-31</x:v>
      </x:c>
      <x:c r="E6486" s="11" t="str">
        <x:v>CNY</x:v>
      </x:c>
      <x:c r="F6486" s="11" t="n">
        <x:v>8.728268309377139</x:v>
      </x:c>
      <x:c r="G6486" s="26" t="b">
        <x:v>1</x:v>
      </x:c>
      <x:c r="H6486" s="16" t="n">
        <x:v>1.8</x:v>
      </x:c>
      <x:c r="I6486" s="16" t="n">
        <x:v>7.5</x:v>
      </x:c>
      <x:c r="J6486" s="16" t="n">
        <x:v>13</x:v>
      </x:c>
      <x:c r="K6486" s="11" t="n">
        <x:f>CHOOSE('假设'!$B$3,H6486,I6486,J6486)</x:f>
        <x:v>7.5</x:v>
      </x:c>
      <x:c r="L6486" s="11" t="n">
        <x:f>K6486*'管线假设'!E1387*'管线假设'!F1387*'管线假设'!G1387*IF(E6486="USD",'管线假设'!I1387,1)-AM6486</x:f>
        <x:v>3.1282499999999995</x:v>
      </x:c>
      <x:c r="M6486" s="11" t="n">
        <x:f>'管线假设'!H1387</x:f>
        <x:v>0.14</x:v>
      </x:c>
      <x:c r="N6486" s="11" t="n">
        <x:f>IF(G6486,L6486*AN6486/(1+M6486)^F6486,0)</x:f>
        <x:v>0.9968289507992016</x:v>
      </x:c>
      <x:c r="AJ6486" s="42" t="n">
        <x:v>0</x:v>
      </x:c>
      <x:c r="AK6486" s="42" t="n">
        <x:v>0</x:v>
      </x:c>
      <x:c r="AL6486" s="42" t="n">
        <x:v>0</x:v>
      </x:c>
      <x:c r="AM6486" t="n">
        <x:f>CHOOSE('假设'!$B$3,AJ6486,AK6486,AL6486)</x:f>
        <x:v>0</x:v>
      </x:c>
      <x:c r="AN6486" t="n">
        <x:v>1</x:v>
      </x:c>
    </x:row>
    <x:row r="6487" ht="23" customHeight="1">
      <x:c r="A6487" s="11" t="str">
        <x:v>09995.HK</x:v>
      </x:c>
      <x:c r="B6487" s="11" t="str">
        <x:v>半年</x:v>
      </x:c>
      <x:c r="C6487" s="11" t="str">
        <x:v>RC18_approved_China</x:v>
      </x:c>
      <x:c r="D6487" s="11" t="str">
        <x:v>2036-12-31</x:v>
      </x:c>
      <x:c r="E6487" s="11" t="str">
        <x:v>CNY</x:v>
      </x:c>
      <x:c r="F6487" s="11" t="n">
        <x:v>9.730321697467488</x:v>
      </x:c>
      <x:c r="G6487" s="26" t="b">
        <x:v>1</x:v>
      </x:c>
      <x:c r="H6487" s="16" t="n">
        <x:v>1.6</x:v>
      </x:c>
      <x:c r="I6487" s="16" t="n">
        <x:v>7.4</x:v>
      </x:c>
      <x:c r="J6487" s="16" t="n">
        <x:v>12.8</x:v>
      </x:c>
      <x:c r="K6487" s="11" t="n">
        <x:f>CHOOSE('假设'!$B$3,H6487,I6487,J6487)</x:f>
        <x:v>7.4</x:v>
      </x:c>
      <x:c r="L6487" s="11" t="n">
        <x:f>K6487*'管线假设'!E1387*'管线假设'!F1387*'管线假设'!G1387*IF(E6487="USD",'管线假设'!I1387,1)-AM6487</x:f>
        <x:v>3.08654</x:v>
      </x:c>
      <x:c r="M6487" s="11" t="n">
        <x:f>'管线假设'!H1387</x:f>
        <x:v>0.14</x:v>
      </x:c>
      <x:c r="N6487" s="11" t="n">
        <x:f>IF(G6487,L6487*AN6487/(1+M6487)^F6487,0)</x:f>
        <x:v>0.8625204482483623</x:v>
      </x:c>
      <x:c r="AJ6487" s="42" t="n">
        <x:v>0</x:v>
      </x:c>
      <x:c r="AK6487" s="42" t="n">
        <x:v>0</x:v>
      </x:c>
      <x:c r="AL6487" s="42" t="n">
        <x:v>0</x:v>
      </x:c>
      <x:c r="AM6487" t="n">
        <x:f>CHOOSE('假设'!$B$3,AJ6487,AK6487,AL6487)</x:f>
        <x:v>0</x:v>
      </x:c>
      <x:c r="AN6487" t="n">
        <x:v>1</x:v>
      </x:c>
    </x:row>
    <x:row r="6488" ht="23" customHeight="1">
      <x:c r="A6488" s="11" t="str">
        <x:v>09995.HK</x:v>
      </x:c>
      <x:c r="B6488" s="11" t="str">
        <x:v>半年</x:v>
      </x:c>
      <x:c r="C6488" s="11" t="str">
        <x:v>RC18_approved_China</x:v>
      </x:c>
      <x:c r="D6488" s="11" t="str">
        <x:v>2037-12-31</x:v>
      </x:c>
      <x:c r="E6488" s="11" t="str">
        <x:v>CNY</x:v>
      </x:c>
      <x:c r="F6488" s="11" t="n">
        <x:v>10.729637234770705</x:v>
      </x:c>
      <x:c r="G6488" s="26" t="b">
        <x:v>1</x:v>
      </x:c>
      <x:c r="H6488" s="16" t="n">
        <x:v>1.4</x:v>
      </x:c>
      <x:c r="I6488" s="16" t="n">
        <x:v>7.1</x:v>
      </x:c>
      <x:c r="J6488" s="16" t="n">
        <x:v>12</x:v>
      </x:c>
      <x:c r="K6488" s="11" t="n">
        <x:f>CHOOSE('假设'!$B$3,H6488,I6488,J6488)</x:f>
        <x:v>7.1</x:v>
      </x:c>
      <x:c r="L6488" s="11" t="n">
        <x:f>K6488*'管线假设'!E1387*'管线假设'!F1387*'管线假设'!G1387*IF(E6488="USD",'管线假设'!I1387,1)-AM6488</x:f>
        <x:v>2.96141</x:v>
      </x:c>
      <x:c r="M6488" s="11" t="n">
        <x:f>'管线假设'!H1387</x:f>
        <x:v>0.14</x:v>
      </x:c>
      <x:c r="N6488" s="11" t="n">
        <x:f>IF(G6488,L6488*AN6488/(1+M6488)^F6488,0)</x:f>
        <x:v>0.7259891444226388</x:v>
      </x:c>
      <x:c r="AJ6488" s="42" t="n">
        <x:v>0</x:v>
      </x:c>
      <x:c r="AK6488" s="42" t="n">
        <x:v>0</x:v>
      </x:c>
      <x:c r="AL6488" s="42" t="n">
        <x:v>0</x:v>
      </x:c>
      <x:c r="AM6488" t="n">
        <x:f>CHOOSE('假设'!$B$3,AJ6488,AK6488,AL6488)</x:f>
        <x:v>0</x:v>
      </x:c>
      <x:c r="AN6488" t="n">
        <x:v>1</x:v>
      </x:c>
    </x:row>
    <x:row r="6489" ht="23" customHeight="1">
      <x:c r="A6489" s="11" t="str">
        <x:v>09995.HK</x:v>
      </x:c>
      <x:c r="B6489" s="11" t="str">
        <x:v>半年</x:v>
      </x:c>
      <x:c r="C6489" s="11" t="str">
        <x:v>RC18_approved_China</x:v>
      </x:c>
      <x:c r="D6489" s="11" t="str">
        <x:v>2038-12-31</x:v>
      </x:c>
      <x:c r="E6489" s="11" t="str">
        <x:v>CNY</x:v>
      </x:c>
      <x:c r="F6489" s="11" t="n">
        <x:v>11.728952772073923</x:v>
      </x:c>
      <x:c r="G6489" s="26" t="b">
        <x:v>1</x:v>
      </x:c>
      <x:c r="H6489" s="16" t="n">
        <x:v>1.2</x:v>
      </x:c>
      <x:c r="I6489" s="16" t="n">
        <x:v>6.6</x:v>
      </x:c>
      <x:c r="J6489" s="16" t="n">
        <x:v>11</x:v>
      </x:c>
      <x:c r="K6489" s="11" t="n">
        <x:f>CHOOSE('假设'!$B$3,H6489,I6489,J6489)</x:f>
        <x:v>6.6</x:v>
      </x:c>
      <x:c r="L6489" s="11" t="n">
        <x:f>K6489*'管线假设'!E1387*'管线假设'!F1387*'管线假设'!G1387*IF(E6489="USD",'管线假设'!I1387,1)-AM6489</x:f>
        <x:v>2.7528599999999996</x:v>
      </x:c>
      <x:c r="M6489" s="11" t="n">
        <x:f>'管线假设'!H1387</x:f>
        <x:v>0.14</x:v>
      </x:c>
      <x:c r="N6489" s="11" t="n">
        <x:f>IF(G6489,L6489*AN6489/(1+M6489)^F6489,0)</x:f>
        <x:v>0.5920383117971899</x:v>
      </x:c>
      <x:c r="AJ6489" s="42" t="n">
        <x:v>0</x:v>
      </x:c>
      <x:c r="AK6489" s="42" t="n">
        <x:v>0</x:v>
      </x:c>
      <x:c r="AL6489" s="42" t="n">
        <x:v>0</x:v>
      </x:c>
      <x:c r="AM6489" t="n">
        <x:f>CHOOSE('假设'!$B$3,AJ6489,AK6489,AL6489)</x:f>
        <x:v>0</x:v>
      </x:c>
      <x:c r="AN6489" t="n">
        <x:v>1</x:v>
      </x:c>
    </x:row>
    <x:row r="6490" ht="23" customHeight="1">
      <x:c r="A6490" s="11" t="str">
        <x:v>09995.HK</x:v>
      </x:c>
      <x:c r="B6490" s="11" t="str">
        <x:v>半年</x:v>
      </x:c>
      <x:c r="C6490" s="11" t="str">
        <x:v>RC18_approved_China</x:v>
      </x:c>
      <x:c r="D6490" s="11" t="str">
        <x:v>2039-12-31</x:v>
      </x:c>
      <x:c r="E6490" s="11" t="str">
        <x:v>CNY</x:v>
      </x:c>
      <x:c r="F6490" s="11" t="n">
        <x:v>12.728268309377139</x:v>
      </x:c>
      <x:c r="G6490" s="26" t="b">
        <x:v>1</x:v>
      </x:c>
      <x:c r="H6490" s="16" t="n">
        <x:v>1</x:v>
      </x:c>
      <x:c r="I6490" s="16" t="n">
        <x:v>5.9</x:v>
      </x:c>
      <x:c r="J6490" s="16" t="n">
        <x:v>9.5</x:v>
      </x:c>
      <x:c r="K6490" s="11" t="n">
        <x:f>CHOOSE('假设'!$B$3,H6490,I6490,J6490)</x:f>
        <x:v>5.9</x:v>
      </x:c>
      <x:c r="L6490" s="11" t="n">
        <x:f>K6490*'管线假设'!E1387*'管线假设'!F1387*'管线假设'!G1387*IF(E6490="USD",'管线假设'!I1387,1)-AM6490</x:f>
        <x:v>2.46089</x:v>
      </x:c>
      <x:c r="M6490" s="11" t="n">
        <x:f>'管线假设'!H1387</x:f>
        <x:v>0.14</x:v>
      </x:c>
      <x:c r="N6490" s="11" t="n">
        <x:f>IF(G6490,L6490*AN6490/(1+M6490)^F6490,0)</x:f>
        <x:v>0.46429283918813</x:v>
      </x:c>
      <x:c r="AJ6490" s="42" t="n">
        <x:v>0</x:v>
      </x:c>
      <x:c r="AK6490" s="42" t="n">
        <x:v>0</x:v>
      </x:c>
      <x:c r="AL6490" s="42" t="n">
        <x:v>0</x:v>
      </x:c>
      <x:c r="AM6490" t="n">
        <x:f>CHOOSE('假设'!$B$3,AJ6490,AK6490,AL6490)</x:f>
        <x:v>0</x:v>
      </x:c>
      <x:c r="AN6490" t="n">
        <x:v>1</x:v>
      </x:c>
    </x:row>
    <x:row r="6491" ht="23" customHeight="1">
      <x:c r="A6491" s="11" t="str">
        <x:v>09995.HK</x:v>
      </x:c>
      <x:c r="B6491" s="11" t="str">
        <x:v>半年</x:v>
      </x:c>
      <x:c r="C6491" s="11" t="str">
        <x:v>RC18_approved_China</x:v>
      </x:c>
      <x:c r="D6491" s="11" t="str">
        <x:v>2040-12-31</x:v>
      </x:c>
      <x:c r="E6491" s="11" t="str">
        <x:v>CNY</x:v>
      </x:c>
      <x:c r="F6491" s="11" t="n">
        <x:v>13.730321697467488</x:v>
      </x:c>
      <x:c r="G6491" s="26" t="b">
        <x:v>1</x:v>
      </x:c>
      <x:c r="H6491" s="16" t="n">
        <x:v>0.8</x:v>
      </x:c>
      <x:c r="I6491" s="16" t="n">
        <x:v>5</x:v>
      </x:c>
      <x:c r="J6491" s="16" t="n">
        <x:v>8</x:v>
      </x:c>
      <x:c r="K6491" s="11" t="n">
        <x:f>CHOOSE('假设'!$B$3,H6491,I6491,J6491)</x:f>
        <x:v>5</x:v>
      </x:c>
      <x:c r="L6491" s="11" t="n">
        <x:f>K6491*'管线假设'!E1387*'管线假设'!F1387*'管线假设'!G1387*IF(E6491="USD",'管线假设'!I1387,1)-AM6491</x:f>
        <x:v>2.0854999999999997</x:v>
      </x:c>
      <x:c r="M6491" s="11" t="n">
        <x:f>'管线假设'!H1387</x:f>
        <x:v>0.14</x:v>
      </x:c>
      <x:c r="N6491" s="11" t="n">
        <x:f>IF(G6491,L6491*AN6491/(1+M6491)^F6491,0)</x:f>
        <x:v>0.34505496367320976</x:v>
      </x:c>
      <x:c r="AJ6491" s="42" t="n">
        <x:v>0</x:v>
      </x:c>
      <x:c r="AK6491" s="42" t="n">
        <x:v>0</x:v>
      </x:c>
      <x:c r="AL6491" s="42" t="n">
        <x:v>0</x:v>
      </x:c>
      <x:c r="AM6491" t="n">
        <x:f>CHOOSE('假设'!$B$3,AJ6491,AK6491,AL6491)</x:f>
        <x:v>0</x:v>
      </x:c>
      <x:c r="AN6491" t="n">
        <x:v>1</x:v>
      </x:c>
    </x:row>
    <x:row r="6492" ht="23" customHeight="1">
      <x:c r="A6492" s="11" t="str">
        <x:v>09995.HK</x:v>
      </x:c>
      <x:c r="B6492" s="11" t="str">
        <x:v>半年</x:v>
      </x:c>
      <x:c r="C6492" s="11" t="str">
        <x:v>RC18_approved_China</x:v>
      </x:c>
      <x:c r="D6492" s="11" t="str">
        <x:v>2041-12-31</x:v>
      </x:c>
      <x:c r="E6492" s="11" t="str">
        <x:v>CNY</x:v>
      </x:c>
      <x:c r="F6492" s="11" t="n">
        <x:v>14.729637234770705</x:v>
      </x:c>
      <x:c r="G6492" s="26" t="b">
        <x:v>1</x:v>
      </x:c>
      <x:c r="H6492" s="16" t="n">
        <x:v>0.6</x:v>
      </x:c>
      <x:c r="I6492" s="16" t="n">
        <x:v>4</x:v>
      </x:c>
      <x:c r="J6492" s="16" t="n">
        <x:v>6.5</x:v>
      </x:c>
      <x:c r="K6492" s="11" t="n">
        <x:f>CHOOSE('假设'!$B$3,H6492,I6492,J6492)</x:f>
        <x:v>4</x:v>
      </x:c>
      <x:c r="L6492" s="11" t="n">
        <x:f>K6492*'管线假设'!E1387*'管线假设'!F1387*'管线假设'!G1387*IF(E6492="USD",'管线假设'!I1387,1)-AM6492</x:f>
        <x:v>1.6683999999999999</x:v>
      </x:c>
      <x:c r="M6492" s="11" t="n">
        <x:f>'管线假设'!H1387</x:f>
        <x:v>0.14</x:v>
      </x:c>
      <x:c r="N6492" s="11" t="n">
        <x:f>IF(G6492,L6492*AN6492/(1+M6492)^F6492,0)</x:f>
        <x:v>0.24216555154788877</x:v>
      </x:c>
      <x:c r="AJ6492" s="42" t="n">
        <x:v>0</x:v>
      </x:c>
      <x:c r="AK6492" s="42" t="n">
        <x:v>0</x:v>
      </x:c>
      <x:c r="AL6492" s="42" t="n">
        <x:v>0</x:v>
      </x:c>
      <x:c r="AM6492" t="n">
        <x:f>CHOOSE('假设'!$B$3,AJ6492,AK6492,AL6492)</x:f>
        <x:v>0</x:v>
      </x:c>
      <x:c r="AN6492" t="n">
        <x:v>1</x:v>
      </x:c>
    </x:row>
    <x:row r="6493" ht="23" customHeight="1">
      <x:c r="A6493" s="11" t="str">
        <x:v>09995.HK</x:v>
      </x:c>
      <x:c r="B6493" s="11" t="str">
        <x:v>半年</x:v>
      </x:c>
      <x:c r="C6493" s="11" t="str">
        <x:v>RC18_approved_China</x:v>
      </x:c>
      <x:c r="D6493" s="11" t="str">
        <x:v>2042-12-31</x:v>
      </x:c>
      <x:c r="E6493" s="11" t="str">
        <x:v>CNY</x:v>
      </x:c>
      <x:c r="F6493" s="11" t="n">
        <x:v>15.728952772073923</x:v>
      </x:c>
      <x:c r="G6493" s="26" t="b">
        <x:v>1</x:v>
      </x:c>
      <x:c r="H6493" s="16" t="n">
        <x:v>0.4</x:v>
      </x:c>
      <x:c r="I6493" s="16" t="n">
        <x:v>3</x:v>
      </x:c>
      <x:c r="J6493" s="16" t="n">
        <x:v>5</x:v>
      </x:c>
      <x:c r="K6493" s="11" t="n">
        <x:f>CHOOSE('假设'!$B$3,H6493,I6493,J6493)</x:f>
        <x:v>3</x:v>
      </x:c>
      <x:c r="L6493" s="11" t="n">
        <x:f>K6493*'管线假设'!E1387*'管线假设'!F1387*'管线假设'!G1387*IF(E6493="USD",'管线假设'!I1387,1)-AM6493</x:f>
        <x:v>1.2513</x:v>
      </x:c>
      <x:c r="M6493" s="11" t="n">
        <x:f>'管线假设'!H1387</x:f>
        <x:v>0.14</x:v>
      </x:c>
      <x:c r="N6493" s="11" t="n">
        <x:f>IF(G6493,L6493*AN6493/(1+M6493)^F6493,0)</x:f>
        <x:v>0.15933373084666316</x:v>
      </x:c>
      <x:c r="AJ6493" s="42" t="n">
        <x:v>0</x:v>
      </x:c>
      <x:c r="AK6493" s="42" t="n">
        <x:v>0</x:v>
      </x:c>
      <x:c r="AL6493" s="42" t="n">
        <x:v>0</x:v>
      </x:c>
      <x:c r="AM6493" t="n">
        <x:f>CHOOSE('假设'!$B$3,AJ6493,AK6493,AL6493)</x:f>
        <x:v>0</x:v>
      </x:c>
      <x:c r="AN6493" t="n">
        <x:v>1</x:v>
      </x:c>
    </x:row>
    <x:row r="6494" ht="23" customHeight="1">
      <x:c r="A6494" s="11" t="str">
        <x:v>09995.HK</x:v>
      </x:c>
      <x:c r="B6494" s="11" t="str">
        <x:v>半年</x:v>
      </x:c>
      <x:c r="C6494" s="11" t="str">
        <x:v>RC18_approved_China</x:v>
      </x:c>
      <x:c r="D6494" s="11" t="str">
        <x:v>2043-12-31</x:v>
      </x:c>
      <x:c r="E6494" s="11" t="str">
        <x:v>CNY</x:v>
      </x:c>
      <x:c r="F6494" s="11" t="n">
        <x:v>16.72826830937714</x:v>
      </x:c>
      <x:c r="G6494" s="26" t="b">
        <x:v>1</x:v>
      </x:c>
      <x:c r="H6494" s="16" t="n">
        <x:v>0.25</x:v>
      </x:c>
      <x:c r="I6494" s="16" t="n">
        <x:v>2</x:v>
      </x:c>
      <x:c r="J6494" s="16" t="n">
        <x:v>3.5</x:v>
      </x:c>
      <x:c r="K6494" s="11" t="n">
        <x:f>CHOOSE('假设'!$B$3,H6494,I6494,J6494)</x:f>
        <x:v>2</x:v>
      </x:c>
      <x:c r="L6494" s="11" t="n">
        <x:f>K6494*'管线假设'!E1387*'管线假设'!F1387*'管线假设'!G1387*IF(E6494="USD",'管线假设'!I1387,1)-AM6494</x:f>
        <x:v>0.8341999999999999</x:v>
      </x:c>
      <x:c r="M6494" s="11" t="n">
        <x:f>'管线假设'!H1387</x:f>
        <x:v>0.14</x:v>
      </x:c>
      <x:c r="N6494" s="11" t="n">
        <x:f>IF(G6494,L6494*AN6494/(1+M6494)^F6494,0)</x:f>
        <x:v>0.09318597729067823</x:v>
      </x:c>
      <x:c r="AJ6494" s="42" t="n">
        <x:v>0</x:v>
      </x:c>
      <x:c r="AK6494" s="42" t="n">
        <x:v>0</x:v>
      </x:c>
      <x:c r="AL6494" s="42" t="n">
        <x:v>0</x:v>
      </x:c>
      <x:c r="AM6494" t="n">
        <x:f>CHOOSE('假设'!$B$3,AJ6494,AK6494,AL6494)</x:f>
        <x:v>0</x:v>
      </x:c>
      <x:c r="AN6494" t="n">
        <x:v>1</x:v>
      </x:c>
    </x:row>
    <x:row r="6495" ht="23" customHeight="1">
      <x:c r="A6495" s="11" t="str">
        <x:v>09995.HK</x:v>
      </x:c>
      <x:c r="B6495" s="11" t="str">
        <x:v>半年</x:v>
      </x:c>
      <x:c r="C6495" s="11" t="str">
        <x:v>RC18_approved_China</x:v>
      </x:c>
      <x:c r="D6495" s="11" t="str">
        <x:v>2044-12-31</x:v>
      </x:c>
      <x:c r="E6495" s="11" t="str">
        <x:v>CNY</x:v>
      </x:c>
      <x:c r="F6495" s="11" t="n">
        <x:v>17.730321697467488</x:v>
      </x:c>
      <x:c r="G6495" s="26" t="b">
        <x:v>1</x:v>
      </x:c>
      <x:c r="H6495" s="16" t="n">
        <x:v>0.15</x:v>
      </x:c>
      <x:c r="I6495" s="16" t="n">
        <x:v>1.2</x:v>
      </x:c>
      <x:c r="J6495" s="16" t="n">
        <x:v>2</x:v>
      </x:c>
      <x:c r="K6495" s="11" t="n">
        <x:f>CHOOSE('假设'!$B$3,H6495,I6495,J6495)</x:f>
        <x:v>1.2</x:v>
      </x:c>
      <x:c r="L6495" s="11" t="n">
        <x:f>K6495*'管线假设'!E1387*'管线假设'!F1387*'管线假设'!G1387*IF(E6495="USD",'管线假设'!I1387,1)-AM6495</x:f>
        <x:v>0.50052</x:v>
      </x:c>
      <x:c r="M6495" s="11" t="n">
        <x:f>'管线假设'!H1387</x:f>
        <x:v>0.14</x:v>
      </x:c>
      <x:c r="N6495" s="11" t="n">
        <x:f>IF(G6495,L6495*AN6495/(1+M6495)^F6495,0)</x:f>
        <x:v>0.04903205726390272</x:v>
      </x:c>
      <x:c r="AJ6495" s="42" t="n">
        <x:v>0</x:v>
      </x:c>
      <x:c r="AK6495" s="42" t="n">
        <x:v>0</x:v>
      </x:c>
      <x:c r="AL6495" s="42" t="n">
        <x:v>0</x:v>
      </x:c>
      <x:c r="AM6495" t="n">
        <x:f>CHOOSE('假设'!$B$3,AJ6495,AK6495,AL6495)</x:f>
        <x:v>0</x:v>
      </x:c>
      <x:c r="AN6495" t="n">
        <x:v>1</x:v>
      </x:c>
    </x:row>
    <x:row r="6496" ht="23" customHeight="1">
      <x:c r="A6496" s="11" t="str">
        <x:v>09995.HK</x:v>
      </x:c>
      <x:c r="B6496" s="11" t="str">
        <x:v>半年</x:v>
      </x:c>
      <x:c r="C6496" s="11" t="str">
        <x:v>RC48_approved_China</x:v>
      </x:c>
      <x:c r="D6496" s="11" t="str">
        <x:v>2026-12-31</x:v>
      </x:c>
      <x:c r="E6496" s="11" t="str">
        <x:v>CNY</x:v>
      </x:c>
      <x:c r="F6496" s="11" t="n">
        <x:v>-0.27104722792607805</x:v>
      </x:c>
      <x:c r="G6496" s="26" t="b">
        <x:v>0</x:v>
      </x:c>
      <x:c r="H6496" s="16" t="n">
        <x:v>0.7</x:v>
      </x:c>
      <x:c r="I6496" s="16" t="n">
        <x:v>0.8</x:v>
      </x:c>
      <x:c r="J6496" s="16" t="n">
        <x:v>0.95</x:v>
      </x:c>
      <x:c r="K6496" s="11" t="n">
        <x:f>CHOOSE('假设'!$B$3,H6496,I6496,J6496)</x:f>
        <x:v>0.8</x:v>
      </x:c>
      <x:c r="L6496" s="11" t="n">
        <x:f>K6496*'管线假设'!E1391*'管线假设'!F1391*'管线假设'!G1391*IF(E6496="USD",'管线假设'!I1391,1)-AM6496</x:f>
        <x:v>0.1612</x:v>
      </x:c>
      <x:c r="M6496" s="11" t="n">
        <x:f>'管线假设'!H1391</x:f>
        <x:v>0.14</x:v>
      </x:c>
      <x:c r="N6496" s="11" t="n">
        <x:f>IF(G6496,L6496*AN6496/(1+M6496)^F6496,0)</x:f>
        <x:v>0</x:v>
      </x:c>
      <x:c r="AJ6496" s="42" t="n">
        <x:v>0.06</x:v>
      </x:c>
      <x:c r="AK6496" s="42" t="n">
        <x:v>0.12</x:v>
      </x:c>
      <x:c r="AL6496" s="42" t="n">
        <x:v>0.16</x:v>
      </x:c>
      <x:c r="AM6496" t="n">
        <x:f>CHOOSE('假设'!$B$3,AJ6496,AK6496,AL6496)</x:f>
        <x:v>0.12</x:v>
      </x:c>
      <x:c r="AN6496" t="n">
        <x:v>0</x:v>
      </x:c>
    </x:row>
    <x:row r="6497" ht="23" customHeight="1">
      <x:c r="A6497" s="11" t="str">
        <x:v>09995.HK</x:v>
      </x:c>
      <x:c r="B6497" s="11" t="str">
        <x:v>半年</x:v>
      </x:c>
      <x:c r="C6497" s="11" t="str">
        <x:v>RC48_approved_China</x:v>
      </x:c>
      <x:c r="D6497" s="11" t="str">
        <x:v>2027-12-31</x:v>
      </x:c>
      <x:c r="E6497" s="11" t="str">
        <x:v>CNY</x:v>
      </x:c>
      <x:c r="F6497" s="11" t="n">
        <x:v>0.7282683093771389</x:v>
      </x:c>
      <x:c r="G6497" s="26" t="b">
        <x:v>1</x:v>
      </x:c>
      <x:c r="H6497" s="16" t="n">
        <x:v>0.75</x:v>
      </x:c>
      <x:c r="I6497" s="16" t="n">
        <x:v>1.2</x:v>
      </x:c>
      <x:c r="J6497" s="16" t="n">
        <x:v>1.5</x:v>
      </x:c>
      <x:c r="K6497" s="11" t="n">
        <x:f>CHOOSE('假设'!$B$3,H6497,I6497,J6497)</x:f>
        <x:v>1.2</x:v>
      </x:c>
      <x:c r="L6497" s="11" t="n">
        <x:f>K6497*'管线假设'!E1391*'管线假设'!F1391*'管线假设'!G1391*IF(E6497="USD",'管线假设'!I1391,1)-AM6497</x:f>
        <x:v>0.30179999999999996</x:v>
      </x:c>
      <x:c r="M6497" s="11" t="n">
        <x:f>'管线假设'!H1391</x:f>
        <x:v>0.14</x:v>
      </x:c>
      <x:c r="N6497" s="11" t="n">
        <x:f>IF(G6497,L6497*AN6497/(1+M6497)^F6497,0)</x:f>
        <x:v>0.20047373814260702</x:v>
      </x:c>
      <x:c r="AJ6497" s="42" t="n">
        <x:v>0.05</x:v>
      </x:c>
      <x:c r="AK6497" s="42" t="n">
        <x:v>0.12</x:v>
      </x:c>
      <x:c r="AL6497" s="42" t="n">
        <x:v>0.15</x:v>
      </x:c>
      <x:c r="AM6497" t="n">
        <x:f>CHOOSE('假设'!$B$3,AJ6497,AK6497,AL6497)</x:f>
        <x:v>0.12</x:v>
      </x:c>
      <x:c r="AN6497" t="n">
        <x:v>0.7307692307692307</x:v>
      </x:c>
    </x:row>
    <x:row r="6498" ht="23" customHeight="1">
      <x:c r="A6498" s="11" t="str">
        <x:v>09995.HK</x:v>
      </x:c>
      <x:c r="B6498" s="11" t="str">
        <x:v>半年</x:v>
      </x:c>
      <x:c r="C6498" s="11" t="str">
        <x:v>RC48_approved_China</x:v>
      </x:c>
      <x:c r="D6498" s="11" t="str">
        <x:v>2028-12-31</x:v>
      </x:c>
      <x:c r="E6498" s="11" t="str">
        <x:v>CNY</x:v>
      </x:c>
      <x:c r="F6498" s="11" t="n">
        <x:v>1.730321697467488</x:v>
      </x:c>
      <x:c r="G6498" s="26" t="b">
        <x:v>1</x:v>
      </x:c>
      <x:c r="H6498" s="16" t="n">
        <x:v>0.8</x:v>
      </x:c>
      <x:c r="I6498" s="16" t="n">
        <x:v>1.7</x:v>
      </x:c>
      <x:c r="J6498" s="16" t="n">
        <x:v>2.2</x:v>
      </x:c>
      <x:c r="K6498" s="11" t="n">
        <x:f>CHOOSE('假设'!$B$3,H6498,I6498,J6498)</x:f>
        <x:v>1.7</x:v>
      </x:c>
      <x:c r="L6498" s="11" t="n">
        <x:f>K6498*'管线假设'!E1391*'管线假设'!F1391*'管线假设'!G1391*IF(E6498="USD",'管线假设'!I1391,1)-AM6498</x:f>
        <x:v>0.49755000000000005</x:v>
      </x:c>
      <x:c r="M6498" s="11" t="n">
        <x:f>'管线假设'!H1391</x:f>
        <x:v>0.14</x:v>
      </x:c>
      <x:c r="N6498" s="11" t="n">
        <x:f>IF(G6498,L6498*AN6498/(1+M6498)^F6498,0)</x:f>
        <x:v>0.3966185583604</x:v>
      </x:c>
      <x:c r="AJ6498" s="42" t="n">
        <x:v>0.04</x:v>
      </x:c>
      <x:c r="AK6498" s="42" t="n">
        <x:v>0.1</x:v>
      </x:c>
      <x:c r="AL6498" s="42" t="n">
        <x:v>0.12</x:v>
      </x:c>
      <x:c r="AM6498" t="n">
        <x:f>CHOOSE('假设'!$B$3,AJ6498,AK6498,AL6498)</x:f>
        <x:v>0.1</x:v>
      </x:c>
      <x:c r="AN6498" t="n">
        <x:v>1</x:v>
      </x:c>
    </x:row>
    <x:row r="6499" ht="23" customHeight="1">
      <x:c r="A6499" s="11" t="str">
        <x:v>09995.HK</x:v>
      </x:c>
      <x:c r="B6499" s="11" t="str">
        <x:v>半年</x:v>
      </x:c>
      <x:c r="C6499" s="11" t="str">
        <x:v>RC48_approved_China</x:v>
      </x:c>
      <x:c r="D6499" s="11" t="str">
        <x:v>2029-12-31</x:v>
      </x:c>
      <x:c r="E6499" s="11" t="str">
        <x:v>CNY</x:v>
      </x:c>
      <x:c r="F6499" s="11" t="n">
        <x:v>2.729637234770705</x:v>
      </x:c>
      <x:c r="G6499" s="26" t="b">
        <x:v>1</x:v>
      </x:c>
      <x:c r="H6499" s="16" t="n">
        <x:v>0.9</x:v>
      </x:c>
      <x:c r="I6499" s="16" t="n">
        <x:v>2.2</x:v>
      </x:c>
      <x:c r="J6499" s="16" t="n">
        <x:v>3.1</x:v>
      </x:c>
      <x:c r="K6499" s="11" t="n">
        <x:f>CHOOSE('假设'!$B$3,H6499,I6499,J6499)</x:f>
        <x:v>2.2</x:v>
      </x:c>
      <x:c r="L6499" s="11" t="n">
        <x:f>K6499*'管线假设'!E1391*'管线假设'!F1391*'管线假设'!G1391*IF(E6499="USD",'管线假设'!I1391,1)-AM6499</x:f>
        <x:v>0.7033</x:v>
      </x:c>
      <x:c r="M6499" s="11" t="n">
        <x:f>'管线假设'!H1391</x:f>
        <x:v>0.14</x:v>
      </x:c>
      <x:c r="N6499" s="11" t="n">
        <x:f>IF(G6499,L6499*AN6499/(1+M6499)^F6499,0)</x:f>
        <x:v>0.4918254708143708</x:v>
      </x:c>
      <x:c r="AJ6499" s="42" t="n">
        <x:v>0</x:v>
      </x:c>
      <x:c r="AK6499" s="42" t="n">
        <x:v>0.07</x:v>
      </x:c>
      <x:c r="AL6499" s="42" t="n">
        <x:v>0.1</x:v>
      </x:c>
      <x:c r="AM6499" t="n">
        <x:f>CHOOSE('假设'!$B$3,AJ6499,AK6499,AL6499)</x:f>
        <x:v>0.07</x:v>
      </x:c>
      <x:c r="AN6499" t="n">
        <x:v>1</x:v>
      </x:c>
    </x:row>
    <x:row r="6500" ht="23" customHeight="1">
      <x:c r="A6500" s="11" t="str">
        <x:v>09995.HK</x:v>
      </x:c>
      <x:c r="B6500" s="11" t="str">
        <x:v>半年</x:v>
      </x:c>
      <x:c r="C6500" s="11" t="str">
        <x:v>RC48_approved_China</x:v>
      </x:c>
      <x:c r="D6500" s="11" t="str">
        <x:v>2030-12-31</x:v>
      </x:c>
      <x:c r="E6500" s="11" t="str">
        <x:v>CNY</x:v>
      </x:c>
      <x:c r="F6500" s="11" t="n">
        <x:v>3.728952772073922</x:v>
      </x:c>
      <x:c r="G6500" s="26" t="b">
        <x:v>1</x:v>
      </x:c>
      <x:c r="H6500" s="16" t="n">
        <x:v>0.95</x:v>
      </x:c>
      <x:c r="I6500" s="16" t="n">
        <x:v>2.7</x:v>
      </x:c>
      <x:c r="J6500" s="16" t="n">
        <x:v>4.1</x:v>
      </x:c>
      <x:c r="K6500" s="11" t="n">
        <x:f>CHOOSE('假设'!$B$3,H6500,I6500,J6500)</x:f>
        <x:v>2.7</x:v>
      </x:c>
      <x:c r="L6500" s="11" t="n">
        <x:f>K6500*'管线假设'!E1391*'管线假设'!F1391*'管线假设'!G1391*IF(E6500="USD",'管线假设'!I1391,1)-AM6500</x:f>
        <x:v>0.94905</x:v>
      </x:c>
      <x:c r="M6500" s="11" t="n">
        <x:f>'管线假设'!H1391</x:f>
        <x:v>0.14</x:v>
      </x:c>
      <x:c r="N6500" s="11" t="n">
        <x:f>IF(G6500,L6500*AN6500/(1+M6500)^F6500,0)</x:f>
        <x:v>0.582228674422367</x:v>
      </x:c>
      <x:c r="AJ6500" s="42" t="n">
        <x:v>0</x:v>
      </x:c>
      <x:c r="AK6500" s="42" t="n">
        <x:v>0</x:v>
      </x:c>
      <x:c r="AL6500" s="42" t="n">
        <x:v>0</x:v>
      </x:c>
      <x:c r="AM6500" t="n">
        <x:f>CHOOSE('假设'!$B$3,AJ6500,AK6500,AL6500)</x:f>
        <x:v>0</x:v>
      </x:c>
      <x:c r="AN6500" t="n">
        <x:v>1</x:v>
      </x:c>
    </x:row>
    <x:row r="6501" ht="23" customHeight="1">
      <x:c r="A6501" s="11" t="str">
        <x:v>09995.HK</x:v>
      </x:c>
      <x:c r="B6501" s="11" t="str">
        <x:v>半年</x:v>
      </x:c>
      <x:c r="C6501" s="11" t="str">
        <x:v>RC48_approved_China</x:v>
      </x:c>
      <x:c r="D6501" s="11" t="str">
        <x:v>2031-12-31</x:v>
      </x:c>
      <x:c r="E6501" s="11" t="str">
        <x:v>CNY</x:v>
      </x:c>
      <x:c r="F6501" s="11" t="n">
        <x:v>4.728268309377139</x:v>
      </x:c>
      <x:c r="G6501" s="26" t="b">
        <x:v>1</x:v>
      </x:c>
      <x:c r="H6501" s="16" t="n">
        <x:v>1</x:v>
      </x:c>
      <x:c r="I6501" s="16" t="n">
        <x:v>3.1</x:v>
      </x:c>
      <x:c r="J6501" s="16" t="n">
        <x:v>5</x:v>
      </x:c>
      <x:c r="K6501" s="11" t="n">
        <x:f>CHOOSE('假设'!$B$3,H6501,I6501,J6501)</x:f>
        <x:v>3.1</x:v>
      </x:c>
      <x:c r="L6501" s="11" t="n">
        <x:f>K6501*'管线假设'!E1391*'管线假设'!F1391*'管线假设'!G1391*IF(E6501="USD",'管线假设'!I1391,1)-AM6501</x:f>
        <x:v>1.08965</x:v>
      </x:c>
      <x:c r="M6501" s="11" t="n">
        <x:f>'管线假设'!H1391</x:f>
        <x:v>0.14</x:v>
      </x:c>
      <x:c r="N6501" s="11" t="n">
        <x:f>IF(G6501,L6501*AN6501/(1+M6501)^F6501,0)</x:f>
        <x:v>0.5864427450750648</x:v>
      </x:c>
      <x:c r="AJ6501" s="42" t="n">
        <x:v>0</x:v>
      </x:c>
      <x:c r="AK6501" s="42" t="n">
        <x:v>0</x:v>
      </x:c>
      <x:c r="AL6501" s="42" t="n">
        <x:v>0</x:v>
      </x:c>
      <x:c r="AM6501" t="n">
        <x:f>CHOOSE('假设'!$B$3,AJ6501,AK6501,AL6501)</x:f>
        <x:v>0</x:v>
      </x:c>
      <x:c r="AN6501" t="n">
        <x:v>1</x:v>
      </x:c>
    </x:row>
    <x:row r="6502" ht="23" customHeight="1">
      <x:c r="A6502" s="11" t="str">
        <x:v>09995.HK</x:v>
      </x:c>
      <x:c r="B6502" s="11" t="str">
        <x:v>半年</x:v>
      </x:c>
      <x:c r="C6502" s="11" t="str">
        <x:v>RC48_approved_China</x:v>
      </x:c>
      <x:c r="D6502" s="11" t="str">
        <x:v>2032-12-31</x:v>
      </x:c>
      <x:c r="E6502" s="11" t="str">
        <x:v>CNY</x:v>
      </x:c>
      <x:c r="F6502" s="11" t="n">
        <x:v>5.730321697467488</x:v>
      </x:c>
      <x:c r="G6502" s="26" t="b">
        <x:v>1</x:v>
      </x:c>
      <x:c r="H6502" s="16" t="n">
        <x:v>1</x:v>
      </x:c>
      <x:c r="I6502" s="16" t="n">
        <x:v>3.4</x:v>
      </x:c>
      <x:c r="J6502" s="16" t="n">
        <x:v>5.8</x:v>
      </x:c>
      <x:c r="K6502" s="11" t="n">
        <x:f>CHOOSE('假设'!$B$3,H6502,I6502,J6502)</x:f>
        <x:v>3.4</x:v>
      </x:c>
      <x:c r="L6502" s="11" t="n">
        <x:f>K6502*'管线假设'!E1391*'管线假设'!F1391*'管线假设'!G1391*IF(E6502="USD",'管线假设'!I1391,1)-AM6502</x:f>
        <x:v>1.1951</x:v>
      </x:c>
      <x:c r="M6502" s="11" t="n">
        <x:f>'管线假设'!H1391</x:f>
        <x:v>0.14</x:v>
      </x:c>
      <x:c r="N6502" s="11" t="n">
        <x:f>IF(G6502,L6502*AN6502/(1+M6502)^F6502,0)</x:f>
        <x:v>0.5640545957700971</x:v>
      </x:c>
      <x:c r="AJ6502" s="42" t="n">
        <x:v>0</x:v>
      </x:c>
      <x:c r="AK6502" s="42" t="n">
        <x:v>0</x:v>
      </x:c>
      <x:c r="AL6502" s="42" t="n">
        <x:v>0</x:v>
      </x:c>
      <x:c r="AM6502" t="n">
        <x:f>CHOOSE('假设'!$B$3,AJ6502,AK6502,AL6502)</x:f>
        <x:v>0</x:v>
      </x:c>
      <x:c r="AN6502" t="n">
        <x:v>1</x:v>
      </x:c>
    </x:row>
    <x:row r="6503" ht="23" customHeight="1">
      <x:c r="A6503" s="11" t="str">
        <x:v>09995.HK</x:v>
      </x:c>
      <x:c r="B6503" s="11" t="str">
        <x:v>半年</x:v>
      </x:c>
      <x:c r="C6503" s="11" t="str">
        <x:v>RC48_approved_China</x:v>
      </x:c>
      <x:c r="D6503" s="11" t="str">
        <x:v>2033-12-31</x:v>
      </x:c>
      <x:c r="E6503" s="11" t="str">
        <x:v>CNY</x:v>
      </x:c>
      <x:c r="F6503" s="11" t="n">
        <x:v>6.729637234770705</x:v>
      </x:c>
      <x:c r="G6503" s="26" t="b">
        <x:v>1</x:v>
      </x:c>
      <x:c r="H6503" s="16" t="n">
        <x:v>0.95</x:v>
      </x:c>
      <x:c r="I6503" s="16" t="n">
        <x:v>3.6</x:v>
      </x:c>
      <x:c r="J6503" s="16" t="n">
        <x:v>6.3</x:v>
      </x:c>
      <x:c r="K6503" s="11" t="n">
        <x:f>CHOOSE('假设'!$B$3,H6503,I6503,J6503)</x:f>
        <x:v>3.6</x:v>
      </x:c>
      <x:c r="L6503" s="11" t="n">
        <x:f>K6503*'管线假设'!E1391*'管线假设'!F1391*'管线假设'!G1391*IF(E6503="USD",'管线假设'!I1391,1)-AM6503</x:f>
        <x:v>1.2653999999999999</x:v>
      </x:c>
      <x:c r="M6503" s="11" t="n">
        <x:f>'管线假设'!H1391</x:f>
        <x:v>0.14</x:v>
      </x:c>
      <x:c r="N6503" s="11" t="n">
        <x:f>IF(G6503,L6503*AN6503/(1+M6503)^F6503,0)</x:f>
        <x:v>0.5239367040437996</x:v>
      </x:c>
      <x:c r="AJ6503" s="42" t="n">
        <x:v>0</x:v>
      </x:c>
      <x:c r="AK6503" s="42" t="n">
        <x:v>0</x:v>
      </x:c>
      <x:c r="AL6503" s="42" t="n">
        <x:v>0</x:v>
      </x:c>
      <x:c r="AM6503" t="n">
        <x:f>CHOOSE('假设'!$B$3,AJ6503,AK6503,AL6503)</x:f>
        <x:v>0</x:v>
      </x:c>
      <x:c r="AN6503" t="n">
        <x:v>1</x:v>
      </x:c>
    </x:row>
    <x:row r="6504" ht="23" customHeight="1">
      <x:c r="A6504" s="11" t="str">
        <x:v>09995.HK</x:v>
      </x:c>
      <x:c r="B6504" s="11" t="str">
        <x:v>半年</x:v>
      </x:c>
      <x:c r="C6504" s="11" t="str">
        <x:v>RC48_approved_China</x:v>
      </x:c>
      <x:c r="D6504" s="11" t="str">
        <x:v>2034-12-31</x:v>
      </x:c>
      <x:c r="E6504" s="11" t="str">
        <x:v>CNY</x:v>
      </x:c>
      <x:c r="F6504" s="11" t="n">
        <x:v>7.728952772073922</x:v>
      </x:c>
      <x:c r="G6504" s="26" t="b">
        <x:v>1</x:v>
      </x:c>
      <x:c r="H6504" s="16" t="n">
        <x:v>0.9</x:v>
      </x:c>
      <x:c r="I6504" s="16" t="n">
        <x:v>3.7</x:v>
      </x:c>
      <x:c r="J6504" s="16" t="n">
        <x:v>6.7</x:v>
      </x:c>
      <x:c r="K6504" s="11" t="n">
        <x:f>CHOOSE('假设'!$B$3,H6504,I6504,J6504)</x:f>
        <x:v>3.7</x:v>
      </x:c>
      <x:c r="L6504" s="11" t="n">
        <x:f>K6504*'管线假设'!E1391*'管线假设'!F1391*'管线假设'!G1391*IF(E6504="USD",'管线假设'!I1391,1)-AM6504</x:f>
        <x:v>1.30055</x:v>
      </x:c>
      <x:c r="M6504" s="11" t="n">
        <x:f>'管线假设'!H1391</x:f>
        <x:v>0.14</x:v>
      </x:c>
      <x:c r="N6504" s="11" t="n">
        <x:f>IF(G6504,L6504*AN6504/(1+M6504)^F6504,0)</x:f>
        <x:v>0.4724024539503813</x:v>
      </x:c>
      <x:c r="AJ6504" s="42" t="n">
        <x:v>0</x:v>
      </x:c>
      <x:c r="AK6504" s="42" t="n">
        <x:v>0</x:v>
      </x:c>
      <x:c r="AL6504" s="42" t="n">
        <x:v>0</x:v>
      </x:c>
      <x:c r="AM6504" t="n">
        <x:f>CHOOSE('假设'!$B$3,AJ6504,AK6504,AL6504)</x:f>
        <x:v>0</x:v>
      </x:c>
      <x:c r="AN6504" t="n">
        <x:v>1</x:v>
      </x:c>
    </x:row>
    <x:row r="6505" ht="23" customHeight="1">
      <x:c r="A6505" s="11" t="str">
        <x:v>09995.HK</x:v>
      </x:c>
      <x:c r="B6505" s="11" t="str">
        <x:v>半年</x:v>
      </x:c>
      <x:c r="C6505" s="11" t="str">
        <x:v>RC48_approved_China</x:v>
      </x:c>
      <x:c r="D6505" s="11" t="str">
        <x:v>2035-12-31</x:v>
      </x:c>
      <x:c r="E6505" s="11" t="str">
        <x:v>CNY</x:v>
      </x:c>
      <x:c r="F6505" s="11" t="n">
        <x:v>8.728268309377139</x:v>
      </x:c>
      <x:c r="G6505" s="26" t="b">
        <x:v>1</x:v>
      </x:c>
      <x:c r="H6505" s="16" t="n">
        <x:v>0.85</x:v>
      </x:c>
      <x:c r="I6505" s="16" t="n">
        <x:v>3.7</x:v>
      </x:c>
      <x:c r="J6505" s="16" t="n">
        <x:v>6.7</x:v>
      </x:c>
      <x:c r="K6505" s="11" t="n">
        <x:f>CHOOSE('假设'!$B$3,H6505,I6505,J6505)</x:f>
        <x:v>3.7</x:v>
      </x:c>
      <x:c r="L6505" s="11" t="n">
        <x:f>K6505*'管线假设'!E1391*'管线假设'!F1391*'管线假设'!G1391*IF(E6505="USD",'管线假设'!I1391,1)-AM6505</x:f>
        <x:v>1.30055</x:v>
      </x:c>
      <x:c r="M6505" s="11" t="n">
        <x:f>'管线假设'!H1391</x:f>
        <x:v>0.14</x:v>
      </x:c>
      <x:c r="N6505" s="11" t="n">
        <x:f>IF(G6505,L6505*AN6505/(1+M6505)^F6505,0)</x:f>
        <x:v>0.4144252831333499</x:v>
      </x:c>
      <x:c r="AJ6505" s="42" t="n">
        <x:v>0</x:v>
      </x:c>
      <x:c r="AK6505" s="42" t="n">
        <x:v>0</x:v>
      </x:c>
      <x:c r="AL6505" s="42" t="n">
        <x:v>0</x:v>
      </x:c>
      <x:c r="AM6505" t="n">
        <x:f>CHOOSE('假设'!$B$3,AJ6505,AK6505,AL6505)</x:f>
        <x:v>0</x:v>
      </x:c>
      <x:c r="AN6505" t="n">
        <x:v>1</x:v>
      </x:c>
    </x:row>
    <x:row r="6506" ht="23" customHeight="1">
      <x:c r="A6506" s="11" t="str">
        <x:v>09995.HK</x:v>
      </x:c>
      <x:c r="B6506" s="11" t="str">
        <x:v>半年</x:v>
      </x:c>
      <x:c r="C6506" s="11" t="str">
        <x:v>RC48_approved_China</x:v>
      </x:c>
      <x:c r="D6506" s="11" t="str">
        <x:v>2036-12-31</x:v>
      </x:c>
      <x:c r="E6506" s="11" t="str">
        <x:v>CNY</x:v>
      </x:c>
      <x:c r="F6506" s="11" t="n">
        <x:v>9.730321697467488</x:v>
      </x:c>
      <x:c r="G6506" s="26" t="b">
        <x:v>1</x:v>
      </x:c>
      <x:c r="H6506" s="16" t="n">
        <x:v>0.75</x:v>
      </x:c>
      <x:c r="I6506" s="16" t="n">
        <x:v>3.6</x:v>
      </x:c>
      <x:c r="J6506" s="16" t="n">
        <x:v>6.4</x:v>
      </x:c>
      <x:c r="K6506" s="11" t="n">
        <x:f>CHOOSE('假设'!$B$3,H6506,I6506,J6506)</x:f>
        <x:v>3.6</x:v>
      </x:c>
      <x:c r="L6506" s="11" t="n">
        <x:f>K6506*'管线假设'!E1391*'管线假设'!F1391*'管线假设'!G1391*IF(E6506="USD",'管线假设'!I1391,1)-AM6506</x:f>
        <x:v>1.2653999999999999</x:v>
      </x:c>
      <x:c r="M6506" s="11" t="n">
        <x:f>'管线假设'!H1391</x:f>
        <x:v>0.14</x:v>
      </x:c>
      <x:c r="N6506" s="11" t="n">
        <x:f>IF(G6506,L6506*AN6506/(1+M6506)^F6506,0)</x:f>
        <x:v>0.35361063689875316</x:v>
      </x:c>
      <x:c r="AJ6506" s="42" t="n">
        <x:v>0</x:v>
      </x:c>
      <x:c r="AK6506" s="42" t="n">
        <x:v>0</x:v>
      </x:c>
      <x:c r="AL6506" s="42" t="n">
        <x:v>0</x:v>
      </x:c>
      <x:c r="AM6506" t="n">
        <x:f>CHOOSE('假设'!$B$3,AJ6506,AK6506,AL6506)</x:f>
        <x:v>0</x:v>
      </x:c>
      <x:c r="AN6506" t="n">
        <x:v>1</x:v>
      </x:c>
    </x:row>
    <x:row r="6507" ht="23" customHeight="1">
      <x:c r="A6507" s="11" t="str">
        <x:v>09995.HK</x:v>
      </x:c>
      <x:c r="B6507" s="11" t="str">
        <x:v>半年</x:v>
      </x:c>
      <x:c r="C6507" s="11" t="str">
        <x:v>RC48_approved_China</x:v>
      </x:c>
      <x:c r="D6507" s="11" t="str">
        <x:v>2037-12-31</x:v>
      </x:c>
      <x:c r="E6507" s="11" t="str">
        <x:v>CNY</x:v>
      </x:c>
      <x:c r="F6507" s="11" t="n">
        <x:v>10.729637234770705</x:v>
      </x:c>
      <x:c r="G6507" s="26" t="b">
        <x:v>1</x:v>
      </x:c>
      <x:c r="H6507" s="16" t="n">
        <x:v>0.65</x:v>
      </x:c>
      <x:c r="I6507" s="16" t="n">
        <x:v>3.4</x:v>
      </x:c>
      <x:c r="J6507" s="16" t="n">
        <x:v>6</x:v>
      </x:c>
      <x:c r="K6507" s="11" t="n">
        <x:f>CHOOSE('假设'!$B$3,H6507,I6507,J6507)</x:f>
        <x:v>3.4</x:v>
      </x:c>
      <x:c r="L6507" s="11" t="n">
        <x:f>K6507*'管线假设'!E1391*'管线假设'!F1391*'管线假设'!G1391*IF(E6507="USD",'管线假设'!I1391,1)-AM6507</x:f>
        <x:v>1.1951</x:v>
      </x:c>
      <x:c r="M6507" s="11" t="n">
        <x:f>'管线假设'!H1391</x:f>
        <x:v>0.14</x:v>
      </x:c>
      <x:c r="N6507" s="11" t="n">
        <x:f>IF(G6507,L6507*AN6507/(1+M6507)^F6507,0)</x:f>
        <x:v>0.29297855632941594</x:v>
      </x:c>
      <x:c r="AJ6507" s="42" t="n">
        <x:v>0</x:v>
      </x:c>
      <x:c r="AK6507" s="42" t="n">
        <x:v>0</x:v>
      </x:c>
      <x:c r="AL6507" s="42" t="n">
        <x:v>0</x:v>
      </x:c>
      <x:c r="AM6507" t="n">
        <x:f>CHOOSE('假设'!$B$3,AJ6507,AK6507,AL6507)</x:f>
        <x:v>0</x:v>
      </x:c>
      <x:c r="AN6507" t="n">
        <x:v>1</x:v>
      </x:c>
    </x:row>
    <x:row r="6508" ht="23" customHeight="1">
      <x:c r="A6508" s="11" t="str">
        <x:v>09995.HK</x:v>
      </x:c>
      <x:c r="B6508" s="11" t="str">
        <x:v>半年</x:v>
      </x:c>
      <x:c r="C6508" s="11" t="str">
        <x:v>RC48_approved_China</x:v>
      </x:c>
      <x:c r="D6508" s="11" t="str">
        <x:v>2038-12-31</x:v>
      </x:c>
      <x:c r="E6508" s="11" t="str">
        <x:v>CNY</x:v>
      </x:c>
      <x:c r="F6508" s="11" t="n">
        <x:v>11.728952772073923</x:v>
      </x:c>
      <x:c r="G6508" s="26" t="b">
        <x:v>1</x:v>
      </x:c>
      <x:c r="H6508" s="16" t="n">
        <x:v>0.55</x:v>
      </x:c>
      <x:c r="I6508" s="16" t="n">
        <x:v>3.1</x:v>
      </x:c>
      <x:c r="J6508" s="16" t="n">
        <x:v>5.5</x:v>
      </x:c>
      <x:c r="K6508" s="11" t="n">
        <x:f>CHOOSE('假设'!$B$3,H6508,I6508,J6508)</x:f>
        <x:v>3.1</x:v>
      </x:c>
      <x:c r="L6508" s="11" t="n">
        <x:f>K6508*'管线假设'!E1391*'管线假设'!F1391*'管线假设'!G1391*IF(E6508="USD",'管线假设'!I1391,1)-AM6508</x:f>
        <x:v>1.08965</x:v>
      </x:c>
      <x:c r="M6508" s="11" t="n">
        <x:f>'管线假设'!H1391</x:f>
        <x:v>0.14</x:v>
      </x:c>
      <x:c r="N6508" s="11" t="n">
        <x:f>IF(G6508,L6508*AN6508/(1+M6508)^F6508,0)</x:f>
        <x:v>0.2343433906736296</x:v>
      </x:c>
      <x:c r="AJ6508" s="42" t="n">
        <x:v>0</x:v>
      </x:c>
      <x:c r="AK6508" s="42" t="n">
        <x:v>0</x:v>
      </x:c>
      <x:c r="AL6508" s="42" t="n">
        <x:v>0</x:v>
      </x:c>
      <x:c r="AM6508" t="n">
        <x:f>CHOOSE('假设'!$B$3,AJ6508,AK6508,AL6508)</x:f>
        <x:v>0</x:v>
      </x:c>
      <x:c r="AN6508" t="n">
        <x:v>1</x:v>
      </x:c>
    </x:row>
    <x:row r="6509" ht="23" customHeight="1">
      <x:c r="A6509" s="11" t="str">
        <x:v>09995.HK</x:v>
      </x:c>
      <x:c r="B6509" s="11" t="str">
        <x:v>半年</x:v>
      </x:c>
      <x:c r="C6509" s="11" t="str">
        <x:v>RC48_approved_China</x:v>
      </x:c>
      <x:c r="D6509" s="11" t="str">
        <x:v>2039-12-31</x:v>
      </x:c>
      <x:c r="E6509" s="11" t="str">
        <x:v>CNY</x:v>
      </x:c>
      <x:c r="F6509" s="11" t="n">
        <x:v>12.728268309377139</x:v>
      </x:c>
      <x:c r="G6509" s="26" t="b">
        <x:v>1</x:v>
      </x:c>
      <x:c r="H6509" s="16" t="n">
        <x:v>0.45</x:v>
      </x:c>
      <x:c r="I6509" s="16" t="n">
        <x:v>2.7</x:v>
      </x:c>
      <x:c r="J6509" s="16" t="n">
        <x:v>4.7</x:v>
      </x:c>
      <x:c r="K6509" s="11" t="n">
        <x:f>CHOOSE('假设'!$B$3,H6509,I6509,J6509)</x:f>
        <x:v>2.7</x:v>
      </x:c>
      <x:c r="L6509" s="11" t="n">
        <x:f>K6509*'管线假设'!E1391*'管线假设'!F1391*'管线假设'!G1391*IF(E6509="USD",'管线假设'!I1391,1)-AM6509</x:f>
        <x:v>0.94905</x:v>
      </x:c>
      <x:c r="M6509" s="11" t="n">
        <x:f>'管线假设'!H1391</x:f>
        <x:v>0.14</x:v>
      </x:c>
      <x:c r="N6509" s="11" t="n">
        <x:f>IF(G6509,L6509*AN6509/(1+M6509)^F6509,0)</x:f>
        <x:v>0.17905599967145822</x:v>
      </x:c>
      <x:c r="AJ6509" s="42" t="n">
        <x:v>0</x:v>
      </x:c>
      <x:c r="AK6509" s="42" t="n">
        <x:v>0</x:v>
      </x:c>
      <x:c r="AL6509" s="42" t="n">
        <x:v>0</x:v>
      </x:c>
      <x:c r="AM6509" t="n">
        <x:f>CHOOSE('假设'!$B$3,AJ6509,AK6509,AL6509)</x:f>
        <x:v>0</x:v>
      </x:c>
      <x:c r="AN6509" t="n">
        <x:v>1</x:v>
      </x:c>
    </x:row>
    <x:row r="6510" ht="23" customHeight="1">
      <x:c r="A6510" s="11" t="str">
        <x:v>09995.HK</x:v>
      </x:c>
      <x:c r="B6510" s="11" t="str">
        <x:v>半年</x:v>
      </x:c>
      <x:c r="C6510" s="11" t="str">
        <x:v>RC48_approved_China</x:v>
      </x:c>
      <x:c r="D6510" s="11" t="str">
        <x:v>2040-12-31</x:v>
      </x:c>
      <x:c r="E6510" s="11" t="str">
        <x:v>CNY</x:v>
      </x:c>
      <x:c r="F6510" s="11" t="n">
        <x:v>13.730321697467488</x:v>
      </x:c>
      <x:c r="G6510" s="26" t="b">
        <x:v>1</x:v>
      </x:c>
      <x:c r="H6510" s="16" t="n">
        <x:v>0.35</x:v>
      </x:c>
      <x:c r="I6510" s="16" t="n">
        <x:v>2.2</x:v>
      </x:c>
      <x:c r="J6510" s="16" t="n">
        <x:v>3.8</x:v>
      </x:c>
      <x:c r="K6510" s="11" t="n">
        <x:f>CHOOSE('假设'!$B$3,H6510,I6510,J6510)</x:f>
        <x:v>2.2</x:v>
      </x:c>
      <x:c r="L6510" s="11" t="n">
        <x:f>K6510*'管线假设'!E1391*'管线假设'!F1391*'管线假设'!G1391*IF(E6510="USD",'管线假设'!I1391,1)-AM6510</x:f>
        <x:v>0.7733</x:v>
      </x:c>
      <x:c r="M6510" s="11" t="n">
        <x:f>'管线假设'!H1391</x:f>
        <x:v>0.14</x:v>
      </x:c>
      <x:c r="N6510" s="11" t="n">
        <x:f>IF(G6510,L6510*AN6510/(1+M6510)^F6510,0)</x:f>
        <x:v>0.12794581798537194</x:v>
      </x:c>
      <x:c r="AJ6510" s="42" t="n">
        <x:v>0</x:v>
      </x:c>
      <x:c r="AK6510" s="42" t="n">
        <x:v>0</x:v>
      </x:c>
      <x:c r="AL6510" s="42" t="n">
        <x:v>0</x:v>
      </x:c>
      <x:c r="AM6510" t="n">
        <x:f>CHOOSE('假设'!$B$3,AJ6510,AK6510,AL6510)</x:f>
        <x:v>0</x:v>
      </x:c>
      <x:c r="AN6510" t="n">
        <x:v>1</x:v>
      </x:c>
    </x:row>
    <x:row r="6511" ht="23" customHeight="1">
      <x:c r="A6511" s="11" t="str">
        <x:v>09995.HK</x:v>
      </x:c>
      <x:c r="B6511" s="11" t="str">
        <x:v>半年</x:v>
      </x:c>
      <x:c r="C6511" s="11" t="str">
        <x:v>RC48_approved_China</x:v>
      </x:c>
      <x:c r="D6511" s="11" t="str">
        <x:v>2041-12-31</x:v>
      </x:c>
      <x:c r="E6511" s="11" t="str">
        <x:v>CNY</x:v>
      </x:c>
      <x:c r="F6511" s="11" t="n">
        <x:v>14.729637234770705</x:v>
      </x:c>
      <x:c r="G6511" s="26" t="b">
        <x:v>1</x:v>
      </x:c>
      <x:c r="H6511" s="16" t="n">
        <x:v>0.25</x:v>
      </x:c>
      <x:c r="I6511" s="16" t="n">
        <x:v>1.7</x:v>
      </x:c>
      <x:c r="J6511" s="16" t="n">
        <x:v>2.9</x:v>
      </x:c>
      <x:c r="K6511" s="11" t="n">
        <x:f>CHOOSE('假设'!$B$3,H6511,I6511,J6511)</x:f>
        <x:v>1.7</x:v>
      </x:c>
      <x:c r="L6511" s="11" t="n">
        <x:f>K6511*'管线假设'!E1391*'管线假设'!F1391*'管线假设'!G1391*IF(E6511="USD",'管线假设'!I1391,1)-AM6511</x:f>
        <x:v>0.59755</x:v>
      </x:c>
      <x:c r="M6511" s="11" t="n">
        <x:f>'管线假设'!H1391</x:f>
        <x:v>0.14</x:v>
      </x:c>
      <x:c r="N6511" s="11" t="n">
        <x:f>IF(G6511,L6511*AN6511/(1+M6511)^F6511,0)</x:f>
        <x:v>0.08673341244751916</x:v>
      </x:c>
      <x:c r="AJ6511" s="42" t="n">
        <x:v>0</x:v>
      </x:c>
      <x:c r="AK6511" s="42" t="n">
        <x:v>0</x:v>
      </x:c>
      <x:c r="AL6511" s="42" t="n">
        <x:v>0</x:v>
      </x:c>
      <x:c r="AM6511" t="n">
        <x:f>CHOOSE('假设'!$B$3,AJ6511,AK6511,AL6511)</x:f>
        <x:v>0</x:v>
      </x:c>
      <x:c r="AN6511" t="n">
        <x:v>1</x:v>
      </x:c>
    </x:row>
    <x:row r="6512" ht="23" customHeight="1">
      <x:c r="A6512" s="11" t="str">
        <x:v>09995.HK</x:v>
      </x:c>
      <x:c r="B6512" s="11" t="str">
        <x:v>半年</x:v>
      </x:c>
      <x:c r="C6512" s="11" t="str">
        <x:v>RC48_approved_China</x:v>
      </x:c>
      <x:c r="D6512" s="11" t="str">
        <x:v>2042-12-31</x:v>
      </x:c>
      <x:c r="E6512" s="11" t="str">
        <x:v>CNY</x:v>
      </x:c>
      <x:c r="F6512" s="11" t="n">
        <x:v>15.728952772073923</x:v>
      </x:c>
      <x:c r="G6512" s="26" t="b">
        <x:v>1</x:v>
      </x:c>
      <x:c r="H6512" s="16" t="n">
        <x:v>0.18</x:v>
      </x:c>
      <x:c r="I6512" s="16" t="n">
        <x:v>1.2</x:v>
      </x:c>
      <x:c r="J6512" s="16" t="n">
        <x:v>2.1</x:v>
      </x:c>
      <x:c r="K6512" s="11" t="n">
        <x:f>CHOOSE('假设'!$B$3,H6512,I6512,J6512)</x:f>
        <x:v>1.2</x:v>
      </x:c>
      <x:c r="L6512" s="11" t="n">
        <x:f>K6512*'管线假设'!E1391*'管线假设'!F1391*'管线假设'!G1391*IF(E6512="USD",'管线假设'!I1391,1)-AM6512</x:f>
        <x:v>0.42179999999999995</x:v>
      </x:c>
      <x:c r="M6512" s="11" t="n">
        <x:f>'管线假设'!H1391</x:f>
        <x:v>0.14</x:v>
      </x:c>
      <x:c r="N6512" s="11" t="n">
        <x:f>IF(G6512,L6512*AN6512/(1+M6512)^F6512,0)</x:f>
        <x:v>0.05370971603222449</x:v>
      </x:c>
      <x:c r="AJ6512" s="42" t="n">
        <x:v>0</x:v>
      </x:c>
      <x:c r="AK6512" s="42" t="n">
        <x:v>0</x:v>
      </x:c>
      <x:c r="AL6512" s="42" t="n">
        <x:v>0</x:v>
      </x:c>
      <x:c r="AM6512" t="n">
        <x:f>CHOOSE('假设'!$B$3,AJ6512,AK6512,AL6512)</x:f>
        <x:v>0</x:v>
      </x:c>
      <x:c r="AN6512" t="n">
        <x:v>1</x:v>
      </x:c>
    </x:row>
    <x:row r="6513" ht="23" customHeight="1">
      <x:c r="A6513" s="11" t="str">
        <x:v>09995.HK</x:v>
      </x:c>
      <x:c r="B6513" s="11" t="str">
        <x:v>半年</x:v>
      </x:c>
      <x:c r="C6513" s="11" t="str">
        <x:v>RC48_approved_China</x:v>
      </x:c>
      <x:c r="D6513" s="11" t="str">
        <x:v>2043-12-31</x:v>
      </x:c>
      <x:c r="E6513" s="11" t="str">
        <x:v>CNY</x:v>
      </x:c>
      <x:c r="F6513" s="11" t="n">
        <x:v>16.72826830937714</x:v>
      </x:c>
      <x:c r="G6513" s="26" t="b">
        <x:v>1</x:v>
      </x:c>
      <x:c r="H6513" s="16" t="n">
        <x:v>0.12</x:v>
      </x:c>
      <x:c r="I6513" s="16" t="n">
        <x:v>0.8</x:v>
      </x:c>
      <x:c r="J6513" s="16" t="n">
        <x:v>1.4</x:v>
      </x:c>
      <x:c r="K6513" s="11" t="n">
        <x:f>CHOOSE('假设'!$B$3,H6513,I6513,J6513)</x:f>
        <x:v>0.8</x:v>
      </x:c>
      <x:c r="L6513" s="11" t="n">
        <x:f>K6513*'管线假设'!E1391*'管线假设'!F1391*'管线假设'!G1391*IF(E6513="USD",'管线假设'!I1391,1)-AM6513</x:f>
        <x:v>0.2812</x:v>
      </x:c>
      <x:c r="M6513" s="11" t="n">
        <x:f>'管线假设'!H1391</x:f>
        <x:v>0.14</x:v>
      </x:c>
      <x:c r="N6513" s="11" t="n">
        <x:f>IF(G6513,L6513*AN6513/(1+M6513)^F6513,0)</x:f>
        <x:v>0.03141200768896994</x:v>
      </x:c>
      <x:c r="AJ6513" s="42" t="n">
        <x:v>0</x:v>
      </x:c>
      <x:c r="AK6513" s="42" t="n">
        <x:v>0</x:v>
      </x:c>
      <x:c r="AL6513" s="42" t="n">
        <x:v>0</x:v>
      </x:c>
      <x:c r="AM6513" t="n">
        <x:f>CHOOSE('假设'!$B$3,AJ6513,AK6513,AL6513)</x:f>
        <x:v>0</x:v>
      </x:c>
      <x:c r="AN6513" t="n">
        <x:v>1</x:v>
      </x:c>
    </x:row>
    <x:row r="6514" ht="23" customHeight="1">
      <x:c r="A6514" s="11" t="str">
        <x:v>09995.HK</x:v>
      </x:c>
      <x:c r="B6514" s="11" t="str">
        <x:v>半年</x:v>
      </x:c>
      <x:c r="C6514" s="11" t="str">
        <x:v>RC48_approved_China</x:v>
      </x:c>
      <x:c r="D6514" s="11" t="str">
        <x:v>2044-12-31</x:v>
      </x:c>
      <x:c r="E6514" s="11" t="str">
        <x:v>CNY</x:v>
      </x:c>
      <x:c r="F6514" s="11" t="n">
        <x:v>17.730321697467488</x:v>
      </x:c>
      <x:c r="G6514" s="26" t="b">
        <x:v>1</x:v>
      </x:c>
      <x:c r="H6514" s="16" t="n">
        <x:v>0.08</x:v>
      </x:c>
      <x:c r="I6514" s="16" t="n">
        <x:v>0.45</x:v>
      </x:c>
      <x:c r="J6514" s="16" t="n">
        <x:v>0.8</x:v>
      </x:c>
      <x:c r="K6514" s="11" t="n">
        <x:f>CHOOSE('假设'!$B$3,H6514,I6514,J6514)</x:f>
        <x:v>0.45</x:v>
      </x:c>
      <x:c r="L6514" s="11" t="n">
        <x:f>K6514*'管线假设'!E1391*'管线假设'!F1391*'管线假设'!G1391*IF(E6514="USD",'管线假设'!I1391,1)-AM6514</x:f>
        <x:v>0.15817499999999998</x:v>
      </x:c>
      <x:c r="M6514" s="11" t="n">
        <x:f>'管线假设'!H1391</x:f>
        <x:v>0.14</x:v>
      </x:c>
      <x:c r="N6514" s="11" t="n">
        <x:f>IF(G6514,L6514*AN6514/(1+M6514)^F6514,0)</x:f>
        <x:v>0.015495176332050295</x:v>
      </x:c>
      <x:c r="AJ6514" s="42" t="n">
        <x:v>0</x:v>
      </x:c>
      <x:c r="AK6514" s="42" t="n">
        <x:v>0</x:v>
      </x:c>
      <x:c r="AL6514" s="42" t="n">
        <x:v>0</x:v>
      </x:c>
      <x:c r="AM6514" t="n">
        <x:f>CHOOSE('假设'!$B$3,AJ6514,AK6514,AL6514)</x:f>
        <x:v>0</x:v>
      </x:c>
      <x:c r="AN6514" t="n">
        <x:v>1</x:v>
      </x:c>
    </x:row>
    <x:row r="6515" ht="23" customHeight="1">
      <x:c r="A6515" s="11" t="str">
        <x:v>09995.HK</x:v>
      </x:c>
      <x:c r="B6515" s="11" t="str">
        <x:v>半年</x:v>
      </x:c>
      <x:c r="C6515" s="11" t="str">
        <x:v>RC18_new_China</x:v>
      </x:c>
      <x:c r="D6515" s="11" t="str">
        <x:v>2026-12-31</x:v>
      </x:c>
      <x:c r="E6515" s="11" t="str">
        <x:v>CNY</x:v>
      </x:c>
      <x:c r="F6515" s="11" t="n">
        <x:v>-0.27104722792607805</x:v>
      </x:c>
      <x:c r="G6515" s="26" t="b">
        <x:v>0</x:v>
      </x:c>
      <x:c r="H6515" s="16" t="n">
        <x:v>0</x:v>
      </x:c>
      <x:c r="I6515" s="16" t="n">
        <x:v>0</x:v>
      </x:c>
      <x:c r="J6515" s="16" t="n">
        <x:v>0</x:v>
      </x:c>
      <x:c r="K6515" s="11" t="n">
        <x:f>CHOOSE('假设'!$B$3,H6515,I6515,J6515)</x:f>
        <x:v>0</x:v>
      </x:c>
      <x:c r="L6515" s="11" t="n">
        <x:f>K6515*'管线假设'!E1395*'管线假设'!F1395*'管线假设'!G1395*IF(E6515="USD",'管线假设'!I1395,1)-AM6515</x:f>
        <x:v>-0.13</x:v>
      </x:c>
      <x:c r="M6515" s="11" t="n">
        <x:f>'管线假设'!H1395</x:f>
        <x:v>0.14</x:v>
      </x:c>
      <x:c r="N6515" s="11" t="n">
        <x:f>IF(G6515,L6515*AN6515/(1+M6515)^F6515,0)</x:f>
        <x:v>0</x:v>
      </x:c>
      <x:c r="AJ6515" s="42" t="n">
        <x:v>0.08</x:v>
      </x:c>
      <x:c r="AK6515" s="42" t="n">
        <x:v>0.13</x:v>
      </x:c>
      <x:c r="AL6515" s="42" t="n">
        <x:v>0.18</x:v>
      </x:c>
      <x:c r="AM6515" t="n">
        <x:f>CHOOSE('假设'!$B$3,AJ6515,AK6515,AL6515)</x:f>
        <x:v>0.13</x:v>
      </x:c>
      <x:c r="AN6515" t="n">
        <x:v>0</x:v>
      </x:c>
    </x:row>
    <x:row r="6516" ht="23" customHeight="1">
      <x:c r="A6516" s="11" t="str">
        <x:v>09995.HK</x:v>
      </x:c>
      <x:c r="B6516" s="11" t="str">
        <x:v>半年</x:v>
      </x:c>
      <x:c r="C6516" s="11" t="str">
        <x:v>RC18_new_China</x:v>
      </x:c>
      <x:c r="D6516" s="11" t="str">
        <x:v>2027-12-31</x:v>
      </x:c>
      <x:c r="E6516" s="11" t="str">
        <x:v>CNY</x:v>
      </x:c>
      <x:c r="F6516" s="11" t="n">
        <x:v>0.7282683093771389</x:v>
      </x:c>
      <x:c r="G6516" s="26" t="b">
        <x:v>1</x:v>
      </x:c>
      <x:c r="H6516" s="16" t="n">
        <x:v>0</x:v>
      </x:c>
      <x:c r="I6516" s="16" t="n">
        <x:v>0</x:v>
      </x:c>
      <x:c r="J6516" s="16" t="n">
        <x:v>0</x:v>
      </x:c>
      <x:c r="K6516" s="11" t="n">
        <x:f>CHOOSE('假设'!$B$3,H6516,I6516,J6516)</x:f>
        <x:v>0</x:v>
      </x:c>
      <x:c r="L6516" s="11" t="n">
        <x:f>K6516*'管线假设'!E1395*'管线假设'!F1395*'管线假设'!G1395*IF(E6516="USD",'管线假设'!I1395,1)-AM6516</x:f>
        <x:v>-0.16</x:v>
      </x:c>
      <x:c r="M6516" s="11" t="n">
        <x:f>'管线假设'!H1395</x:f>
        <x:v>0.14</x:v>
      </x:c>
      <x:c r="N6516" s="11" t="n">
        <x:f>IF(G6516,L6516*AN6516/(1+M6516)^F6516,0)</x:f>
        <x:v>-0.1062816371862728</x:v>
      </x:c>
      <x:c r="AJ6516" s="42" t="n">
        <x:v>0.08</x:v>
      </x:c>
      <x:c r="AK6516" s="42" t="n">
        <x:v>0.16</x:v>
      </x:c>
      <x:c r="AL6516" s="42" t="n">
        <x:v>0.22</x:v>
      </x:c>
      <x:c r="AM6516" t="n">
        <x:f>CHOOSE('假设'!$B$3,AJ6516,AK6516,AL6516)</x:f>
        <x:v>0.16</x:v>
      </x:c>
      <x:c r="AN6516" t="n">
        <x:v>0.7307692307692307</x:v>
      </x:c>
    </x:row>
    <x:row r="6517" ht="23" customHeight="1">
      <x:c r="A6517" s="11" t="str">
        <x:v>09995.HK</x:v>
      </x:c>
      <x:c r="B6517" s="11" t="str">
        <x:v>半年</x:v>
      </x:c>
      <x:c r="C6517" s="11" t="str">
        <x:v>RC18_new_China</x:v>
      </x:c>
      <x:c r="D6517" s="11" t="str">
        <x:v>2028-12-31</x:v>
      </x:c>
      <x:c r="E6517" s="11" t="str">
        <x:v>CNY</x:v>
      </x:c>
      <x:c r="F6517" s="11" t="n">
        <x:v>1.730321697467488</x:v>
      </x:c>
      <x:c r="G6517" s="26" t="b">
        <x:v>1</x:v>
      </x:c>
      <x:c r="H6517" s="16" t="n">
        <x:v>0</x:v>
      </x:c>
      <x:c r="I6517" s="16" t="n">
        <x:v>0</x:v>
      </x:c>
      <x:c r="J6517" s="16" t="n">
        <x:v>0</x:v>
      </x:c>
      <x:c r="K6517" s="11" t="n">
        <x:f>CHOOSE('假设'!$B$3,H6517,I6517,J6517)</x:f>
        <x:v>0</x:v>
      </x:c>
      <x:c r="L6517" s="11" t="n">
        <x:f>K6517*'管线假设'!E1395*'管线假设'!F1395*'管线假设'!G1395*IF(E6517="USD",'管线假设'!I1395,1)-AM6517</x:f>
        <x:v>-0.15</x:v>
      </x:c>
      <x:c r="M6517" s="11" t="n">
        <x:f>'管线假设'!H1395</x:f>
        <x:v>0.14</x:v>
      </x:c>
      <x:c r="N6517" s="11" t="n">
        <x:f>IF(G6517,L6517*AN6517/(1+M6517)^F6517,0)</x:f>
        <x:v>-0.11957146769984923</x:v>
      </x:c>
      <x:c r="AJ6517" s="42" t="n">
        <x:v>0.06</x:v>
      </x:c>
      <x:c r="AK6517" s="42" t="n">
        <x:v>0.15</x:v>
      </x:c>
      <x:c r="AL6517" s="42" t="n">
        <x:v>0.2</x:v>
      </x:c>
      <x:c r="AM6517" t="n">
        <x:f>CHOOSE('假设'!$B$3,AJ6517,AK6517,AL6517)</x:f>
        <x:v>0.15</x:v>
      </x:c>
      <x:c r="AN6517" t="n">
        <x:v>1</x:v>
      </x:c>
    </x:row>
    <x:row r="6518" ht="23" customHeight="1">
      <x:c r="A6518" s="11" t="str">
        <x:v>09995.HK</x:v>
      </x:c>
      <x:c r="B6518" s="11" t="str">
        <x:v>半年</x:v>
      </x:c>
      <x:c r="C6518" s="11" t="str">
        <x:v>RC18_new_China</x:v>
      </x:c>
      <x:c r="D6518" s="11" t="str">
        <x:v>2029-12-31</x:v>
      </x:c>
      <x:c r="E6518" s="11" t="str">
        <x:v>CNY</x:v>
      </x:c>
      <x:c r="F6518" s="11" t="n">
        <x:v>2.729637234770705</x:v>
      </x:c>
      <x:c r="G6518" s="26" t="b">
        <x:v>1</x:v>
      </x:c>
      <x:c r="H6518" s="16" t="n">
        <x:v>0</x:v>
      </x:c>
      <x:c r="I6518" s="16" t="n">
        <x:v>0</x:v>
      </x:c>
      <x:c r="J6518" s="16" t="n">
        <x:v>0.18</x:v>
      </x:c>
      <x:c r="K6518" s="11" t="n">
        <x:f>CHOOSE('假设'!$B$3,H6518,I6518,J6518)</x:f>
        <x:v>0</x:v>
      </x:c>
      <x:c r="L6518" s="11" t="n">
        <x:f>K6518*'管线假设'!E1395*'管线假设'!F1395*'管线假设'!G1395*IF(E6518="USD",'管线假设'!I1395,1)-AM6518</x:f>
        <x:v>-0.1</x:v>
      </x:c>
      <x:c r="M6518" s="11" t="n">
        <x:f>'管线假设'!H1395</x:f>
        <x:v>0.14</x:v>
      </x:c>
      <x:c r="N6518" s="11" t="n">
        <x:f>IF(G6518,L6518*AN6518/(1+M6518)^F6518,0)</x:f>
        <x:v>-0.06993110632935742</x:v>
      </x:c>
      <x:c r="AJ6518" s="42" t="n">
        <x:v>0</x:v>
      </x:c>
      <x:c r="AK6518" s="42" t="n">
        <x:v>0.1</x:v>
      </x:c>
      <x:c r="AL6518" s="42" t="n">
        <x:v>0.12</x:v>
      </x:c>
      <x:c r="AM6518" t="n">
        <x:f>CHOOSE('假设'!$B$3,AJ6518,AK6518,AL6518)</x:f>
        <x:v>0.1</x:v>
      </x:c>
      <x:c r="AN6518" t="n">
        <x:v>1</x:v>
      </x:c>
    </x:row>
    <x:row r="6519" ht="23" customHeight="1">
      <x:c r="A6519" s="11" t="str">
        <x:v>09995.HK</x:v>
      </x:c>
      <x:c r="B6519" s="11" t="str">
        <x:v>半年</x:v>
      </x:c>
      <x:c r="C6519" s="11" t="str">
        <x:v>RC18_new_China</x:v>
      </x:c>
      <x:c r="D6519" s="11" t="str">
        <x:v>2030-12-31</x:v>
      </x:c>
      <x:c r="E6519" s="11" t="str">
        <x:v>CNY</x:v>
      </x:c>
      <x:c r="F6519" s="11" t="n">
        <x:v>3.728952772073922</x:v>
      </x:c>
      <x:c r="G6519" s="26" t="b">
        <x:v>1</x:v>
      </x:c>
      <x:c r="H6519" s="16" t="n">
        <x:v>0</x:v>
      </x:c>
      <x:c r="I6519" s="16" t="n">
        <x:v>0.09</x:v>
      </x:c>
      <x:c r="J6519" s="16" t="n">
        <x:v>0.54</x:v>
      </x:c>
      <x:c r="K6519" s="11" t="n">
        <x:f>CHOOSE('假设'!$B$3,H6519,I6519,J6519)</x:f>
        <x:v>0.09</x:v>
      </x:c>
      <x:c r="L6519" s="11" t="n">
        <x:f>K6519*'管线假设'!E1395*'管线假设'!F1395*'管线假设'!G1395*IF(E6519="USD",'管线假设'!I1395,1)-AM6519</x:f>
        <x:v>0.015479999999999999</x:v>
      </x:c>
      <x:c r="M6519" s="11" t="n">
        <x:f>'管线假设'!H1395</x:f>
        <x:v>0.14</x:v>
      </x:c>
      <x:c r="N6519" s="11" t="n">
        <x:f>IF(G6519,L6519*AN6519/(1+M6519)^F6519,0)</x:f>
        <x:v>0.009496759791431685</x:v>
      </x:c>
      <x:c r="AJ6519" s="42" t="n">
        <x:v>0</x:v>
      </x:c>
      <x:c r="AK6519" s="42" t="n">
        <x:v>0</x:v>
      </x:c>
      <x:c r="AL6519" s="42" t="n">
        <x:v>0</x:v>
      </x:c>
      <x:c r="AM6519" t="n">
        <x:f>CHOOSE('假设'!$B$3,AJ6519,AK6519,AL6519)</x:f>
        <x:v>0</x:v>
      </x:c>
      <x:c r="AN6519" t="n">
        <x:v>1</x:v>
      </x:c>
    </x:row>
    <x:row r="6520" ht="23" customHeight="1">
      <x:c r="A6520" s="11" t="str">
        <x:v>09995.HK</x:v>
      </x:c>
      <x:c r="B6520" s="11" t="str">
        <x:v>半年</x:v>
      </x:c>
      <x:c r="C6520" s="11" t="str">
        <x:v>RC18_new_China</x:v>
      </x:c>
      <x:c r="D6520" s="11" t="str">
        <x:v>2031-12-31</x:v>
      </x:c>
      <x:c r="E6520" s="11" t="str">
        <x:v>CNY</x:v>
      </x:c>
      <x:c r="F6520" s="11" t="n">
        <x:v>4.728268309377139</x:v>
      </x:c>
      <x:c r="G6520" s="26" t="b">
        <x:v>1</x:v>
      </x:c>
      <x:c r="H6520" s="16" t="n">
        <x:v>0</x:v>
      </x:c>
      <x:c r="I6520" s="16" t="n">
        <x:v>0.27</x:v>
      </x:c>
      <x:c r="J6520" s="16" t="n">
        <x:v>1.1400000000000001</x:v>
      </x:c>
      <x:c r="K6520" s="11" t="n">
        <x:f>CHOOSE('假设'!$B$3,H6520,I6520,J6520)</x:f>
        <x:v>0.27</x:v>
      </x:c>
      <x:c r="L6520" s="11" t="n">
        <x:f>K6520*'管线假设'!E1395*'管线假设'!F1395*'管线假设'!G1395*IF(E6520="USD",'管线假设'!I1395,1)-AM6520</x:f>
        <x:v>0.04644</x:v>
      </x:c>
      <x:c r="M6520" s="11" t="n">
        <x:f>'管线假设'!H1395</x:f>
        <x:v>0.14</x:v>
      </x:c>
      <x:c r="N6520" s="11" t="n">
        <x:f>IF(G6520,L6520*AN6520/(1+M6520)^F6520,0)</x:f>
        <x:v>0.024993714570078474</x:v>
      </x:c>
      <x:c r="AJ6520" s="42" t="n">
        <x:v>0</x:v>
      </x:c>
      <x:c r="AK6520" s="42" t="n">
        <x:v>0</x:v>
      </x:c>
      <x:c r="AL6520" s="42" t="n">
        <x:v>0</x:v>
      </x:c>
      <x:c r="AM6520" t="n">
        <x:f>CHOOSE('假设'!$B$3,AJ6520,AK6520,AL6520)</x:f>
        <x:v>0</x:v>
      </x:c>
      <x:c r="AN6520" t="n">
        <x:v>1</x:v>
      </x:c>
    </x:row>
    <x:row r="6521" ht="23" customHeight="1">
      <x:c r="A6521" s="11" t="str">
        <x:v>09995.HK</x:v>
      </x:c>
      <x:c r="B6521" s="11" t="str">
        <x:v>半年</x:v>
      </x:c>
      <x:c r="C6521" s="11" t="str">
        <x:v>RC18_new_China</x:v>
      </x:c>
      <x:c r="D6521" s="11" t="str">
        <x:v>2032-12-31</x:v>
      </x:c>
      <x:c r="E6521" s="11" t="str">
        <x:v>CNY</x:v>
      </x:c>
      <x:c r="F6521" s="11" t="n">
        <x:v>5.730321697467488</x:v>
      </x:c>
      <x:c r="G6521" s="26" t="b">
        <x:v>1</x:v>
      </x:c>
      <x:c r="H6521" s="16" t="n">
        <x:v>0.036</x:v>
      </x:c>
      <x:c r="I6521" s="16" t="n">
        <x:v>0.5700000000000001</x:v>
      </x:c>
      <x:c r="J6521" s="16" t="n">
        <x:v>1.9500000000000002</x:v>
      </x:c>
      <x:c r="K6521" s="11" t="n">
        <x:f>CHOOSE('假设'!$B$3,H6521,I6521,J6521)</x:f>
        <x:v>0.5700000000000001</x:v>
      </x:c>
      <x:c r="L6521" s="11" t="n">
        <x:f>K6521*'管线假设'!E1395*'管线假设'!F1395*'管线假设'!G1395*IF(E6521="USD",'管线假设'!I1395,1)-AM6521</x:f>
        <x:v>0.09804000000000002</x:v>
      </x:c>
      <x:c r="M6521" s="11" t="n">
        <x:f>'管线假设'!H1395</x:f>
        <x:v>0.14</x:v>
      </x:c>
      <x:c r="N6521" s="11" t="n">
        <x:f>IF(G6521,L6521*AN6521/(1+M6521)^F6521,0)</x:f>
        <x:v>0.04627220531277744</x:v>
      </x:c>
      <x:c r="AJ6521" s="42" t="n">
        <x:v>0</x:v>
      </x:c>
      <x:c r="AK6521" s="42" t="n">
        <x:v>0</x:v>
      </x:c>
      <x:c r="AL6521" s="42" t="n">
        <x:v>0</x:v>
      </x:c>
      <x:c r="AM6521" t="n">
        <x:f>CHOOSE('假设'!$B$3,AJ6521,AK6521,AL6521)</x:f>
        <x:v>0</x:v>
      </x:c>
      <x:c r="AN6521" t="n">
        <x:v>1</x:v>
      </x:c>
    </x:row>
    <x:row r="6522" ht="23" customHeight="1">
      <x:c r="A6522" s="11" t="str">
        <x:v>09995.HK</x:v>
      </x:c>
      <x:c r="B6522" s="11" t="str">
        <x:v>半年</x:v>
      </x:c>
      <x:c r="C6522" s="11" t="str">
        <x:v>RC18_new_China</x:v>
      </x:c>
      <x:c r="D6522" s="11" t="str">
        <x:v>2033-12-31</x:v>
      </x:c>
      <x:c r="E6522" s="11" t="str">
        <x:v>CNY</x:v>
      </x:c>
      <x:c r="F6522" s="11" t="n">
        <x:v>6.729637234770705</x:v>
      </x:c>
      <x:c r="G6522" s="26" t="b">
        <x:v>1</x:v>
      </x:c>
      <x:c r="H6522" s="16" t="n">
        <x:v>0.108</x:v>
      </x:c>
      <x:c r="I6522" s="16" t="n">
        <x:v>0.9750000000000001</x:v>
      </x:c>
      <x:c r="J6522" s="16" t="n">
        <x:v>2.55</x:v>
      </x:c>
      <x:c r="K6522" s="11" t="n">
        <x:f>CHOOSE('假设'!$B$3,H6522,I6522,J6522)</x:f>
        <x:v>0.9750000000000001</x:v>
      </x:c>
      <x:c r="L6522" s="11" t="n">
        <x:f>K6522*'管线假设'!E1395*'管线假设'!F1395*'管线假设'!G1395*IF(E6522="USD",'管线假设'!I1395,1)-AM6522</x:f>
        <x:v>0.16770000000000002</x:v>
      </x:c>
      <x:c r="M6522" s="11" t="n">
        <x:f>'管线假设'!H1395</x:f>
        <x:v>0.14</x:v>
      </x:c>
      <x:c r="N6522" s="11" t="n">
        <x:f>IF(G6522,L6522*AN6522/(1+M6522)^F6522,0)</x:f>
        <x:v>0.06943589795175059</x:v>
      </x:c>
      <x:c r="AJ6522" s="42" t="n">
        <x:v>0</x:v>
      </x:c>
      <x:c r="AK6522" s="42" t="n">
        <x:v>0</x:v>
      </x:c>
      <x:c r="AL6522" s="42" t="n">
        <x:v>0</x:v>
      </x:c>
      <x:c r="AM6522" t="n">
        <x:f>CHOOSE('假设'!$B$3,AJ6522,AK6522,AL6522)</x:f>
        <x:v>0</x:v>
      </x:c>
      <x:c r="AN6522" t="n">
        <x:v>1</x:v>
      </x:c>
    </x:row>
    <x:row r="6523" ht="23" customHeight="1">
      <x:c r="A6523" s="11" t="str">
        <x:v>09995.HK</x:v>
      </x:c>
      <x:c r="B6523" s="11" t="str">
        <x:v>半年</x:v>
      </x:c>
      <x:c r="C6523" s="11" t="str">
        <x:v>RC18_new_China</x:v>
      </x:c>
      <x:c r="D6523" s="11" t="str">
        <x:v>2034-12-31</x:v>
      </x:c>
      <x:c r="E6523" s="11" t="str">
        <x:v>CNY</x:v>
      </x:c>
      <x:c r="F6523" s="11" t="n">
        <x:v>7.728952772073922</x:v>
      </x:c>
      <x:c r="G6523" s="26" t="b">
        <x:v>1</x:v>
      </x:c>
      <x:c r="H6523" s="16" t="n">
        <x:v>0.22799999999999998</x:v>
      </x:c>
      <x:c r="I6523" s="16" t="n">
        <x:v>1.275</x:v>
      </x:c>
      <x:c r="J6523" s="16" t="n">
        <x:v>3</x:v>
      </x:c>
      <x:c r="K6523" s="11" t="n">
        <x:f>CHOOSE('假设'!$B$3,H6523,I6523,J6523)</x:f>
        <x:v>1.275</x:v>
      </x:c>
      <x:c r="L6523" s="11" t="n">
        <x:f>K6523*'管线假设'!E1395*'管线假设'!F1395*'管线假设'!G1395*IF(E6523="USD",'管线假设'!I1395,1)-AM6523</x:f>
        <x:v>0.2193</x:v>
      </x:c>
      <x:c r="M6523" s="11" t="n">
        <x:f>'管线假设'!H1395</x:f>
        <x:v>0.14</x:v>
      </x:c>
      <x:c r="N6523" s="11" t="n">
        <x:f>IF(G6523,L6523*AN6523/(1+M6523)^F6523,0)</x:f>
        <x:v>0.07965695909524324</x:v>
      </x:c>
      <x:c r="AJ6523" s="42" t="n">
        <x:v>0</x:v>
      </x:c>
      <x:c r="AK6523" s="42" t="n">
        <x:v>0</x:v>
      </x:c>
      <x:c r="AL6523" s="42" t="n">
        <x:v>0</x:v>
      </x:c>
      <x:c r="AM6523" t="n">
        <x:f>CHOOSE('假设'!$B$3,AJ6523,AK6523,AL6523)</x:f>
        <x:v>0</x:v>
      </x:c>
      <x:c r="AN6523" t="n">
        <x:v>1</x:v>
      </x:c>
    </x:row>
    <x:row r="6524" ht="23" customHeight="1">
      <x:c r="A6524" s="11" t="str">
        <x:v>09995.HK</x:v>
      </x:c>
      <x:c r="B6524" s="11" t="str">
        <x:v>半年</x:v>
      </x:c>
      <x:c r="C6524" s="11" t="str">
        <x:v>RC18_new_China</x:v>
      </x:c>
      <x:c r="D6524" s="11" t="str">
        <x:v>2035-12-31</x:v>
      </x:c>
      <x:c r="E6524" s="11" t="str">
        <x:v>CNY</x:v>
      </x:c>
      <x:c r="F6524" s="11" t="n">
        <x:v>8.728268309377139</x:v>
      </x:c>
      <x:c r="G6524" s="26" t="b">
        <x:v>1</x:v>
      </x:c>
      <x:c r="H6524" s="16" t="n">
        <x:v>0.39</x:v>
      </x:c>
      <x:c r="I6524" s="16" t="n">
        <x:v>1.5</x:v>
      </x:c>
      <x:c r="J6524" s="16" t="n">
        <x:v>3</x:v>
      </x:c>
      <x:c r="K6524" s="11" t="n">
        <x:f>CHOOSE('假设'!$B$3,H6524,I6524,J6524)</x:f>
        <x:v>1.5</x:v>
      </x:c>
      <x:c r="L6524" s="11" t="n">
        <x:f>K6524*'管线假设'!E1395*'管线假设'!F1395*'管线假设'!G1395*IF(E6524="USD",'管线假设'!I1395,1)-AM6524</x:f>
        <x:v>0.258</x:v>
      </x:c>
      <x:c r="M6524" s="11" t="n">
        <x:f>'管线假设'!H1395</x:f>
        <x:v>0.14</x:v>
      </x:c>
      <x:c r="N6524" s="11" t="n">
        <x:f>IF(G6524,L6524*AN6524/(1+M6524)^F6524,0)</x:f>
        <x:v>0.08221269697313005</x:v>
      </x:c>
      <x:c r="AJ6524" s="42" t="n">
        <x:v>0</x:v>
      </x:c>
      <x:c r="AK6524" s="42" t="n">
        <x:v>0</x:v>
      </x:c>
      <x:c r="AL6524" s="42" t="n">
        <x:v>0</x:v>
      </x:c>
      <x:c r="AM6524" t="n">
        <x:f>CHOOSE('假设'!$B$3,AJ6524,AK6524,AL6524)</x:f>
        <x:v>0</x:v>
      </x:c>
      <x:c r="AN6524" t="n">
        <x:v>1</x:v>
      </x:c>
    </x:row>
    <x:row r="6525" ht="23" customHeight="1">
      <x:c r="A6525" s="11" t="str">
        <x:v>09995.HK</x:v>
      </x:c>
      <x:c r="B6525" s="11" t="str">
        <x:v>半年</x:v>
      </x:c>
      <x:c r="C6525" s="11" t="str">
        <x:v>RC18_new_China</x:v>
      </x:c>
      <x:c r="D6525" s="11" t="str">
        <x:v>2036-12-31</x:v>
      </x:c>
      <x:c r="E6525" s="11" t="str">
        <x:v>CNY</x:v>
      </x:c>
      <x:c r="F6525" s="11" t="n">
        <x:v>9.730321697467488</x:v>
      </x:c>
      <x:c r="G6525" s="26" t="b">
        <x:v>1</x:v>
      </x:c>
      <x:c r="H6525" s="16" t="n">
        <x:v>0.51</x:v>
      </x:c>
      <x:c r="I6525" s="16" t="n">
        <x:v>1.5</x:v>
      </x:c>
      <x:c r="J6525" s="16" t="n">
        <x:v>2.8499999999999996</x:v>
      </x:c>
      <x:c r="K6525" s="11" t="n">
        <x:f>CHOOSE('假设'!$B$3,H6525,I6525,J6525)</x:f>
        <x:v>1.5</x:v>
      </x:c>
      <x:c r="L6525" s="11" t="n">
        <x:f>K6525*'管线假设'!E1395*'管线假设'!F1395*'管线假设'!G1395*IF(E6525="USD",'管线假设'!I1395,1)-AM6525</x:f>
        <x:v>0.258</x:v>
      </x:c>
      <x:c r="M6525" s="11" t="n">
        <x:f>'管线假设'!H1395</x:f>
        <x:v>0.14</x:v>
      </x:c>
      <x:c r="N6525" s="11" t="n">
        <x:f>IF(G6525,L6525*AN6525/(1+M6525)^F6525,0)</x:f>
        <x:v>0.0720970004108411</x:v>
      </x:c>
      <x:c r="AJ6525" s="42" t="n">
        <x:v>0</x:v>
      </x:c>
      <x:c r="AK6525" s="42" t="n">
        <x:v>0</x:v>
      </x:c>
      <x:c r="AL6525" s="42" t="n">
        <x:v>0</x:v>
      </x:c>
      <x:c r="AM6525" t="n">
        <x:f>CHOOSE('假设'!$B$3,AJ6525,AK6525,AL6525)</x:f>
        <x:v>0</x:v>
      </x:c>
      <x:c r="AN6525" t="n">
        <x:v>1</x:v>
      </x:c>
    </x:row>
    <x:row r="6526" ht="23" customHeight="1">
      <x:c r="A6526" s="11" t="str">
        <x:v>09995.HK</x:v>
      </x:c>
      <x:c r="B6526" s="11" t="str">
        <x:v>半年</x:v>
      </x:c>
      <x:c r="C6526" s="11" t="str">
        <x:v>RC18_new_China</x:v>
      </x:c>
      <x:c r="D6526" s="11" t="str">
        <x:v>2037-12-31</x:v>
      </x:c>
      <x:c r="E6526" s="11" t="str">
        <x:v>CNY</x:v>
      </x:c>
      <x:c r="F6526" s="11" t="n">
        <x:v>10.729637234770705</x:v>
      </x:c>
      <x:c r="G6526" s="26" t="b">
        <x:v>1</x:v>
      </x:c>
      <x:c r="H6526" s="16" t="n">
        <x:v>0.6</x:v>
      </x:c>
      <x:c r="I6526" s="16" t="n">
        <x:v>1.4249999999999998</x:v>
      </x:c>
      <x:c r="J6526" s="16" t="n">
        <x:v>2.7</x:v>
      </x:c>
      <x:c r="K6526" s="11" t="n">
        <x:f>CHOOSE('假设'!$B$3,H6526,I6526,J6526)</x:f>
        <x:v>1.4249999999999998</x:v>
      </x:c>
      <x:c r="L6526" s="11" t="n">
        <x:f>K6526*'管线假设'!E1395*'管线假设'!F1395*'管线假设'!G1395*IF(E6526="USD",'管线假设'!I1395,1)-AM6526</x:f>
        <x:v>0.24509999999999998</x:v>
      </x:c>
      <x:c r="M6526" s="11" t="n">
        <x:f>'管线假设'!H1395</x:f>
        <x:v>0.14</x:v>
      </x:c>
      <x:c r="N6526" s="11" t="n">
        <x:f>IF(G6526,L6526*AN6526/(1+M6526)^F6526,0)</x:f>
        <x:v>0.06008622220428403</x:v>
      </x:c>
      <x:c r="AJ6526" s="42" t="n">
        <x:v>0</x:v>
      </x:c>
      <x:c r="AK6526" s="42" t="n">
        <x:v>0</x:v>
      </x:c>
      <x:c r="AL6526" s="42" t="n">
        <x:v>0</x:v>
      </x:c>
      <x:c r="AM6526" t="n">
        <x:f>CHOOSE('假设'!$B$3,AJ6526,AK6526,AL6526)</x:f>
        <x:v>0</x:v>
      </x:c>
      <x:c r="AN6526" t="n">
        <x:v>1</x:v>
      </x:c>
    </x:row>
    <x:row r="6527" ht="23" customHeight="1">
      <x:c r="A6527" s="11" t="str">
        <x:v>09995.HK</x:v>
      </x:c>
      <x:c r="B6527" s="11" t="str">
        <x:v>半年</x:v>
      </x:c>
      <x:c r="C6527" s="11" t="str">
        <x:v>RC18_new_China</x:v>
      </x:c>
      <x:c r="D6527" s="11" t="str">
        <x:v>2038-12-31</x:v>
      </x:c>
      <x:c r="E6527" s="11" t="str">
        <x:v>CNY</x:v>
      </x:c>
      <x:c r="F6527" s="11" t="n">
        <x:v>11.728952772073923</x:v>
      </x:c>
      <x:c r="G6527" s="26" t="b">
        <x:v>1</x:v>
      </x:c>
      <x:c r="H6527" s="16" t="n">
        <x:v>0.6</x:v>
      </x:c>
      <x:c r="I6527" s="16" t="n">
        <x:v>1.35</x:v>
      </x:c>
      <x:c r="J6527" s="16" t="n">
        <x:v>2.4000000000000004</x:v>
      </x:c>
      <x:c r="K6527" s="11" t="n">
        <x:f>CHOOSE('假设'!$B$3,H6527,I6527,J6527)</x:f>
        <x:v>1.35</x:v>
      </x:c>
      <x:c r="L6527" s="11" t="n">
        <x:f>K6527*'管线假设'!E1395*'管线假设'!F1395*'管线假设'!G1395*IF(E6527="USD",'管线假设'!I1395,1)-AM6527</x:f>
        <x:v>0.23220000000000002</x:v>
      </x:c>
      <x:c r="M6527" s="11" t="n">
        <x:f>'管线假设'!H1395</x:f>
        <x:v>0.14</x:v>
      </x:c>
      <x:c r="N6527" s="11" t="n">
        <x:f>IF(G6527,L6527*AN6527/(1+M6527)^F6527,0)</x:f>
        <x:v>0.049937627049434954</x:v>
      </x:c>
      <x:c r="AJ6527" s="42" t="n">
        <x:v>0</x:v>
      </x:c>
      <x:c r="AK6527" s="42" t="n">
        <x:v>0</x:v>
      </x:c>
      <x:c r="AL6527" s="42" t="n">
        <x:v>0</x:v>
      </x:c>
      <x:c r="AM6527" t="n">
        <x:f>CHOOSE('假设'!$B$3,AJ6527,AK6527,AL6527)</x:f>
        <x:v>0</x:v>
      </x:c>
      <x:c r="AN6527" t="n">
        <x:v>1</x:v>
      </x:c>
    </x:row>
    <x:row r="6528" ht="23" customHeight="1">
      <x:c r="A6528" s="11" t="str">
        <x:v>09995.HK</x:v>
      </x:c>
      <x:c r="B6528" s="11" t="str">
        <x:v>半年</x:v>
      </x:c>
      <x:c r="C6528" s="11" t="str">
        <x:v>RC18_new_China</x:v>
      </x:c>
      <x:c r="D6528" s="11" t="str">
        <x:v>2039-12-31</x:v>
      </x:c>
      <x:c r="E6528" s="11" t="str">
        <x:v>CNY</x:v>
      </x:c>
      <x:c r="F6528" s="11" t="n">
        <x:v>12.728268309377139</x:v>
      </x:c>
      <x:c r="G6528" s="26" t="b">
        <x:v>1</x:v>
      </x:c>
      <x:c r="H6528" s="16" t="n">
        <x:v>0.57</x:v>
      </x:c>
      <x:c r="I6528" s="16" t="n">
        <x:v>1.2000000000000002</x:v>
      </x:c>
      <x:c r="J6528" s="16" t="n">
        <x:v>1.9500000000000002</x:v>
      </x:c>
      <x:c r="K6528" s="11" t="n">
        <x:f>CHOOSE('假设'!$B$3,H6528,I6528,J6528)</x:f>
        <x:v>1.2000000000000002</x:v>
      </x:c>
      <x:c r="L6528" s="11" t="n">
        <x:f>K6528*'管线假设'!E1395*'管线假设'!F1395*'管线假设'!G1395*IF(E6528="USD",'管线假设'!I1395,1)-AM6528</x:f>
        <x:v>0.20640000000000003</x:v>
      </x:c>
      <x:c r="M6528" s="11" t="n">
        <x:f>'管线假设'!H1395</x:f>
        <x:v>0.14</x:v>
      </x:c>
      <x:c r="N6528" s="11" t="n">
        <x:f>IF(G6528,L6528*AN6528/(1+M6528)^F6528,0)</x:f>
        <x:v>0.038941213141761744</x:v>
      </x:c>
      <x:c r="AJ6528" s="42" t="n">
        <x:v>0</x:v>
      </x:c>
      <x:c r="AK6528" s="42" t="n">
        <x:v>0</x:v>
      </x:c>
      <x:c r="AL6528" s="42" t="n">
        <x:v>0</x:v>
      </x:c>
      <x:c r="AM6528" t="n">
        <x:f>CHOOSE('假设'!$B$3,AJ6528,AK6528,AL6528)</x:f>
        <x:v>0</x:v>
      </x:c>
      <x:c r="AN6528" t="n">
        <x:v>1</x:v>
      </x:c>
    </x:row>
    <x:row r="6529" ht="23" customHeight="1">
      <x:c r="A6529" s="11" t="str">
        <x:v>09995.HK</x:v>
      </x:c>
      <x:c r="B6529" s="11" t="str">
        <x:v>半年</x:v>
      </x:c>
      <x:c r="C6529" s="11" t="str">
        <x:v>RC18_new_China</x:v>
      </x:c>
      <x:c r="D6529" s="11" t="str">
        <x:v>2040-12-31</x:v>
      </x:c>
      <x:c r="E6529" s="11" t="str">
        <x:v>CNY</x:v>
      </x:c>
      <x:c r="F6529" s="11" t="n">
        <x:v>13.730321697467488</x:v>
      </x:c>
      <x:c r="G6529" s="26" t="b">
        <x:v>1</x:v>
      </x:c>
      <x:c r="H6529" s="16" t="n">
        <x:v>0.54</x:v>
      </x:c>
      <x:c r="I6529" s="16" t="n">
        <x:v>0.9750000000000001</x:v>
      </x:c>
      <x:c r="J6529" s="16" t="n">
        <x:v>1.5</x:v>
      </x:c>
      <x:c r="K6529" s="11" t="n">
        <x:f>CHOOSE('假设'!$B$3,H6529,I6529,J6529)</x:f>
        <x:v>0.9750000000000001</x:v>
      </x:c>
      <x:c r="L6529" s="11" t="n">
        <x:f>K6529*'管线假设'!E1395*'管线假设'!F1395*'管线假设'!G1395*IF(E6529="USD",'管线假设'!I1395,1)-AM6529</x:f>
        <x:v>0.16770000000000002</x:v>
      </x:c>
      <x:c r="M6529" s="11" t="n">
        <x:f>'管线假设'!H1395</x:f>
        <x:v>0.14</x:v>
      </x:c>
      <x:c r="N6529" s="11" t="n">
        <x:f>IF(G6529,L6529*AN6529/(1+M6529)^F6529,0)</x:f>
        <x:v>0.027746687800526155</x:v>
      </x:c>
      <x:c r="AJ6529" s="42" t="n">
        <x:v>0</x:v>
      </x:c>
      <x:c r="AK6529" s="42" t="n">
        <x:v>0</x:v>
      </x:c>
      <x:c r="AL6529" s="42" t="n">
        <x:v>0</x:v>
      </x:c>
      <x:c r="AM6529" t="n">
        <x:f>CHOOSE('假设'!$B$3,AJ6529,AK6529,AL6529)</x:f>
        <x:v>0</x:v>
      </x:c>
      <x:c r="AN6529" t="n">
        <x:v>1</x:v>
      </x:c>
    </x:row>
    <x:row r="6530" ht="23" customHeight="1">
      <x:c r="A6530" s="11" t="str">
        <x:v>09995.HK</x:v>
      </x:c>
      <x:c r="B6530" s="11" t="str">
        <x:v>半年</x:v>
      </x:c>
      <x:c r="C6530" s="11" t="str">
        <x:v>RC18_new_China</x:v>
      </x:c>
      <x:c r="D6530" s="11" t="str">
        <x:v>2041-12-31</x:v>
      </x:c>
      <x:c r="E6530" s="11" t="str">
        <x:v>CNY</x:v>
      </x:c>
      <x:c r="F6530" s="11" t="n">
        <x:v>14.729637234770705</x:v>
      </x:c>
      <x:c r="G6530" s="26" t="b">
        <x:v>1</x:v>
      </x:c>
      <x:c r="H6530" s="16" t="n">
        <x:v>0.48</x:v>
      </x:c>
      <x:c r="I6530" s="16" t="n">
        <x:v>0.75</x:v>
      </x:c>
      <x:c r="J6530" s="16" t="n">
        <x:v>1.0499999999999998</x:v>
      </x:c>
      <x:c r="K6530" s="11" t="n">
        <x:f>CHOOSE('假设'!$B$3,H6530,I6530,J6530)</x:f>
        <x:v>0.75</x:v>
      </x:c>
      <x:c r="L6530" s="11" t="n">
        <x:f>K6530*'管线假设'!E1395*'管线假设'!F1395*'管线假设'!G1395*IF(E6530="USD",'管线假设'!I1395,1)-AM6530</x:f>
        <x:v>0.129</x:v>
      </x:c>
      <x:c r="M6530" s="11" t="n">
        <x:f>'管线假设'!H1395</x:f>
        <x:v>0.14</x:v>
      </x:c>
      <x:c r="N6530" s="11" t="n">
        <x:f>IF(G6530,L6530*AN6530/(1+M6530)^F6530,0)</x:f>
        <x:v>0.018724140583599648</x:v>
      </x:c>
      <x:c r="AJ6530" s="42" t="n">
        <x:v>0</x:v>
      </x:c>
      <x:c r="AK6530" s="42" t="n">
        <x:v>0</x:v>
      </x:c>
      <x:c r="AL6530" s="42" t="n">
        <x:v>0</x:v>
      </x:c>
      <x:c r="AM6530" t="n">
        <x:f>CHOOSE('假设'!$B$3,AJ6530,AK6530,AL6530)</x:f>
        <x:v>0</x:v>
      </x:c>
      <x:c r="AN6530" t="n">
        <x:v>1</x:v>
      </x:c>
    </x:row>
    <x:row r="6531" ht="23" customHeight="1">
      <x:c r="A6531" s="11" t="str">
        <x:v>09995.HK</x:v>
      </x:c>
      <x:c r="B6531" s="11" t="str">
        <x:v>半年</x:v>
      </x:c>
      <x:c r="C6531" s="11" t="str">
        <x:v>RC18_new_China</x:v>
      </x:c>
      <x:c r="D6531" s="11" t="str">
        <x:v>2042-12-31</x:v>
      </x:c>
      <x:c r="E6531" s="11" t="str">
        <x:v>CNY</x:v>
      </x:c>
      <x:c r="F6531" s="11" t="n">
        <x:v>15.728952772073923</x:v>
      </x:c>
      <x:c r="G6531" s="26" t="b">
        <x:v>1</x:v>
      </x:c>
      <x:c r="H6531" s="16" t="n">
        <x:v>0.39</x:v>
      </x:c>
      <x:c r="I6531" s="16" t="n">
        <x:v>0.5249999999999999</x:v>
      </x:c>
      <x:c r="J6531" s="16" t="n">
        <x:v>0.6000000000000001</x:v>
      </x:c>
      <x:c r="K6531" s="11" t="n">
        <x:f>CHOOSE('假设'!$B$3,H6531,I6531,J6531)</x:f>
        <x:v>0.5249999999999999</x:v>
      </x:c>
      <x:c r="L6531" s="11" t="n">
        <x:f>K6531*'管线假设'!E1395*'管线假设'!F1395*'管线假设'!G1395*IF(E6531="USD",'管线假设'!I1395,1)-AM6531</x:f>
        <x:v>0.09029999999999998</x:v>
      </x:c>
      <x:c r="M6531" s="11" t="n">
        <x:f>'管线假设'!H1395</x:f>
        <x:v>0.14</x:v>
      </x:c>
      <x:c r="N6531" s="11" t="n">
        <x:f>IF(G6531,L6531*AN6531/(1+M6531)^F6531,0)</x:f>
        <x:v>0.011498310473470533</x:v>
      </x:c>
      <x:c r="AJ6531" s="42" t="n">
        <x:v>0</x:v>
      </x:c>
      <x:c r="AK6531" s="42" t="n">
        <x:v>0</x:v>
      </x:c>
      <x:c r="AL6531" s="42" t="n">
        <x:v>0</x:v>
      </x:c>
      <x:c r="AM6531" t="n">
        <x:f>CHOOSE('假设'!$B$3,AJ6531,AK6531,AL6531)</x:f>
        <x:v>0</x:v>
      </x:c>
      <x:c r="AN6531" t="n">
        <x:v>1</x:v>
      </x:c>
    </x:row>
    <x:row r="6532" ht="23" customHeight="1">
      <x:c r="A6532" s="11" t="str">
        <x:v>09995.HK</x:v>
      </x:c>
      <x:c r="B6532" s="11" t="str">
        <x:v>半年</x:v>
      </x:c>
      <x:c r="C6532" s="11" t="str">
        <x:v>RC18_new_China</x:v>
      </x:c>
      <x:c r="D6532" s="11" t="str">
        <x:v>2043-12-31</x:v>
      </x:c>
      <x:c r="E6532" s="11" t="str">
        <x:v>CNY</x:v>
      </x:c>
      <x:c r="F6532" s="11" t="n">
        <x:v>16.72826830937714</x:v>
      </x:c>
      <x:c r="G6532" s="26" t="b">
        <x:v>1</x:v>
      </x:c>
      <x:c r="H6532" s="16" t="n">
        <x:v>0.3</x:v>
      </x:c>
      <x:c r="I6532" s="16" t="n">
        <x:v>0.30000000000000004</x:v>
      </x:c>
      <x:c r="J6532" s="16" t="n">
        <x:v>0.36</x:v>
      </x:c>
      <x:c r="K6532" s="11" t="n">
        <x:f>CHOOSE('假设'!$B$3,H6532,I6532,J6532)</x:f>
        <x:v>0.30000000000000004</x:v>
      </x:c>
      <x:c r="L6532" s="11" t="n">
        <x:f>K6532*'管线假设'!E1395*'管线假设'!F1395*'管线假设'!G1395*IF(E6532="USD",'管线假设'!I1395,1)-AM6532</x:f>
        <x:v>0.05160000000000001</x:v>
      </x:c>
      <x:c r="M6532" s="11" t="n">
        <x:f>'管线假设'!H1395</x:f>
        <x:v>0.14</x:v>
      </x:c>
      <x:c r="N6532" s="11" t="n">
        <x:f>IF(G6532,L6532*AN6532/(1+M6532)^F6532,0)</x:f>
        <x:v>0.00576408106952649</x:v>
      </x:c>
      <x:c r="AJ6532" s="42" t="n">
        <x:v>0</x:v>
      </x:c>
      <x:c r="AK6532" s="42" t="n">
        <x:v>0</x:v>
      </x:c>
      <x:c r="AL6532" s="42" t="n">
        <x:v>0</x:v>
      </x:c>
      <x:c r="AM6532" t="n">
        <x:f>CHOOSE('假设'!$B$3,AJ6532,AK6532,AL6532)</x:f>
        <x:v>0</x:v>
      </x:c>
      <x:c r="AN6532" t="n">
        <x:v>1</x:v>
      </x:c>
    </x:row>
    <x:row r="6533" ht="23" customHeight="1">
      <x:c r="A6533" s="11" t="str">
        <x:v>09995.HK</x:v>
      </x:c>
      <x:c r="B6533" s="11" t="str">
        <x:v>半年</x:v>
      </x:c>
      <x:c r="C6533" s="11" t="str">
        <x:v>RC18_new_China</x:v>
      </x:c>
      <x:c r="D6533" s="11" t="str">
        <x:v>2044-12-31</x:v>
      </x:c>
      <x:c r="E6533" s="11" t="str">
        <x:v>CNY</x:v>
      </x:c>
      <x:c r="F6533" s="11" t="n">
        <x:v>17.730321697467488</x:v>
      </x:c>
      <x:c r="G6533" s="26" t="b">
        <x:v>1</x:v>
      </x:c>
      <x:c r="H6533" s="16" t="n">
        <x:v>0.21</x:v>
      </x:c>
      <x:c r="I6533" s="16" t="n">
        <x:v>0.18</x:v>
      </x:c>
      <x:c r="J6533" s="16" t="n">
        <x:v>0.21000000000000002</x:v>
      </x:c>
      <x:c r="K6533" s="11" t="n">
        <x:f>CHOOSE('假设'!$B$3,H6533,I6533,J6533)</x:f>
        <x:v>0.18</x:v>
      </x:c>
      <x:c r="L6533" s="11" t="n">
        <x:f>K6533*'管线假设'!E1395*'管线假设'!F1395*'管线假设'!G1395*IF(E6533="USD",'管线假设'!I1395,1)-AM6533</x:f>
        <x:v>0.030959999999999998</x:v>
      </x:c>
      <x:c r="M6533" s="11" t="n">
        <x:f>'管线假设'!H1395</x:f>
        <x:v>0.14</x:v>
      </x:c>
      <x:c r="N6533" s="11" t="n">
        <x:f>IF(G6533,L6533*AN6533/(1+M6533)^F6533,0)</x:f>
        <x:v>0.0030329107585919213</x:v>
      </x:c>
      <x:c r="AJ6533" s="42" t="n">
        <x:v>0</x:v>
      </x:c>
      <x:c r="AK6533" s="42" t="n">
        <x:v>0</x:v>
      </x:c>
      <x:c r="AL6533" s="42" t="n">
        <x:v>0</x:v>
      </x:c>
      <x:c r="AM6533" t="n">
        <x:f>CHOOSE('假设'!$B$3,AJ6533,AK6533,AL6533)</x:f>
        <x:v>0</x:v>
      </x:c>
      <x:c r="AN6533" t="n">
        <x:v>1</x:v>
      </x:c>
    </x:row>
    <x:row r="6534" ht="23" customHeight="1">
      <x:c r="A6534" s="11" t="str">
        <x:v>09995.HK</x:v>
      </x:c>
      <x:c r="B6534" s="11" t="str">
        <x:v>半年</x:v>
      </x:c>
      <x:c r="C6534" s="11" t="str">
        <x:v>RC48_new_China</x:v>
      </x:c>
      <x:c r="D6534" s="11" t="str">
        <x:v>2026-12-31</x:v>
      </x:c>
      <x:c r="E6534" s="11" t="str">
        <x:v>CNY</x:v>
      </x:c>
      <x:c r="F6534" s="11" t="n">
        <x:v>-0.27104722792607805</x:v>
      </x:c>
      <x:c r="G6534" s="26" t="b">
        <x:v>0</x:v>
      </x:c>
      <x:c r="H6534" s="16" t="n">
        <x:v>0</x:v>
      </x:c>
      <x:c r="I6534" s="16" t="n">
        <x:v>0</x:v>
      </x:c>
      <x:c r="J6534" s="16" t="n">
        <x:v>0</x:v>
      </x:c>
      <x:c r="K6534" s="11" t="n">
        <x:f>CHOOSE('假设'!$B$3,H6534,I6534,J6534)</x:f>
        <x:v>0</x:v>
      </x:c>
      <x:c r="L6534" s="11" t="n">
        <x:f>K6534*'管线假设'!E1399*'管线假设'!F1399*'管线假设'!G1399*IF(E6534="USD",'管线假设'!I1399,1)-AM6534</x:f>
        <x:v>-0.15</x:v>
      </x:c>
      <x:c r="M6534" s="11" t="n">
        <x:f>'管线假设'!H1399</x:f>
        <x:v>0.14</x:v>
      </x:c>
      <x:c r="N6534" s="11" t="n">
        <x:f>IF(G6534,L6534*AN6534/(1+M6534)^F6534,0)</x:f>
        <x:v>0</x:v>
      </x:c>
      <x:c r="AJ6534" s="42" t="n">
        <x:v>0.08</x:v>
      </x:c>
      <x:c r="AK6534" s="42" t="n">
        <x:v>0.15</x:v>
      </x:c>
      <x:c r="AL6534" s="42" t="n">
        <x:v>0.2</x:v>
      </x:c>
      <x:c r="AM6534" t="n">
        <x:f>CHOOSE('假设'!$B$3,AJ6534,AK6534,AL6534)</x:f>
        <x:v>0.15</x:v>
      </x:c>
      <x:c r="AN6534" t="n">
        <x:v>0</x:v>
      </x:c>
    </x:row>
    <x:row r="6535" ht="23" customHeight="1">
      <x:c r="A6535" s="11" t="str">
        <x:v>09995.HK</x:v>
      </x:c>
      <x:c r="B6535" s="11" t="str">
        <x:v>半年</x:v>
      </x:c>
      <x:c r="C6535" s="11" t="str">
        <x:v>RC48_new_China</x:v>
      </x:c>
      <x:c r="D6535" s="11" t="str">
        <x:v>2027-12-31</x:v>
      </x:c>
      <x:c r="E6535" s="11" t="str">
        <x:v>CNY</x:v>
      </x:c>
      <x:c r="F6535" s="11" t="n">
        <x:v>0.7282683093771389</x:v>
      </x:c>
      <x:c r="G6535" s="26" t="b">
        <x:v>1</x:v>
      </x:c>
      <x:c r="H6535" s="16" t="n">
        <x:v>0</x:v>
      </x:c>
      <x:c r="I6535" s="16" t="n">
        <x:v>0</x:v>
      </x:c>
      <x:c r="J6535" s="16" t="n">
        <x:v>0</x:v>
      </x:c>
      <x:c r="K6535" s="11" t="n">
        <x:f>CHOOSE('假设'!$B$3,H6535,I6535,J6535)</x:f>
        <x:v>0</x:v>
      </x:c>
      <x:c r="L6535" s="11" t="n">
        <x:f>K6535*'管线假设'!E1399*'管线假设'!F1399*'管线假设'!G1399*IF(E6535="USD",'管线假设'!I1399,1)-AM6535</x:f>
        <x:v>-0.18</x:v>
      </x:c>
      <x:c r="M6535" s="11" t="n">
        <x:f>'管线假设'!H1399</x:f>
        <x:v>0.14</x:v>
      </x:c>
      <x:c r="N6535" s="11" t="n">
        <x:f>IF(G6535,L6535*AN6535/(1+M6535)^F6535,0)</x:f>
        <x:v>-0.11956684183455688</x:v>
      </x:c>
      <x:c r="AJ6535" s="42" t="n">
        <x:v>0.08</x:v>
      </x:c>
      <x:c r="AK6535" s="42" t="n">
        <x:v>0.18</x:v>
      </x:c>
      <x:c r="AL6535" s="42" t="n">
        <x:v>0.24</x:v>
      </x:c>
      <x:c r="AM6535" t="n">
        <x:f>CHOOSE('假设'!$B$3,AJ6535,AK6535,AL6535)</x:f>
        <x:v>0.18</x:v>
      </x:c>
      <x:c r="AN6535" t="n">
        <x:v>0.7307692307692307</x:v>
      </x:c>
    </x:row>
    <x:row r="6536" ht="23" customHeight="1">
      <x:c r="A6536" s="11" t="str">
        <x:v>09995.HK</x:v>
      </x:c>
      <x:c r="B6536" s="11" t="str">
        <x:v>半年</x:v>
      </x:c>
      <x:c r="C6536" s="11" t="str">
        <x:v>RC48_new_China</x:v>
      </x:c>
      <x:c r="D6536" s="11" t="str">
        <x:v>2028-12-31</x:v>
      </x:c>
      <x:c r="E6536" s="11" t="str">
        <x:v>CNY</x:v>
      </x:c>
      <x:c r="F6536" s="11" t="n">
        <x:v>1.730321697467488</x:v>
      </x:c>
      <x:c r="G6536" s="26" t="b">
        <x:v>1</x:v>
      </x:c>
      <x:c r="H6536" s="16" t="n">
        <x:v>0</x:v>
      </x:c>
      <x:c r="I6536" s="16" t="n">
        <x:v>0</x:v>
      </x:c>
      <x:c r="J6536" s="16" t="n">
        <x:v>0.36</x:v>
      </x:c>
      <x:c r="K6536" s="11" t="n">
        <x:f>CHOOSE('假设'!$B$3,H6536,I6536,J6536)</x:f>
        <x:v>0</x:v>
      </x:c>
      <x:c r="L6536" s="11" t="n">
        <x:f>K6536*'管线假设'!E1399*'管线假设'!F1399*'管线假设'!G1399*IF(E6536="USD",'管线假设'!I1399,1)-AM6536</x:f>
        <x:v>-0.15</x:v>
      </x:c>
      <x:c r="M6536" s="11" t="n">
        <x:f>'管线假设'!H1399</x:f>
        <x:v>0.14</x:v>
      </x:c>
      <x:c r="N6536" s="11" t="n">
        <x:f>IF(G6536,L6536*AN6536/(1+M6536)^F6536,0)</x:f>
        <x:v>-0.11957146769984923</x:v>
      </x:c>
      <x:c r="AJ6536" s="42" t="n">
        <x:v>0.07</x:v>
      </x:c>
      <x:c r="AK6536" s="42" t="n">
        <x:v>0.15</x:v>
      </x:c>
      <x:c r="AL6536" s="42" t="n">
        <x:v>0.2</x:v>
      </x:c>
      <x:c r="AM6536" t="n">
        <x:f>CHOOSE('假设'!$B$3,AJ6536,AK6536,AL6536)</x:f>
        <x:v>0.15</x:v>
      </x:c>
      <x:c r="AN6536" t="n">
        <x:v>1</x:v>
      </x:c>
    </x:row>
    <x:row r="6537" ht="23" customHeight="1">
      <x:c r="A6537" s="11" t="str">
        <x:v>09995.HK</x:v>
      </x:c>
      <x:c r="B6537" s="11" t="str">
        <x:v>半年</x:v>
      </x:c>
      <x:c r="C6537" s="11" t="str">
        <x:v>RC48_new_China</x:v>
      </x:c>
      <x:c r="D6537" s="11" t="str">
        <x:v>2029-12-31</x:v>
      </x:c>
      <x:c r="E6537" s="11" t="str">
        <x:v>CNY</x:v>
      </x:c>
      <x:c r="F6537" s="11" t="n">
        <x:v>2.729637234770705</x:v>
      </x:c>
      <x:c r="G6537" s="26" t="b">
        <x:v>1</x:v>
      </x:c>
      <x:c r="H6537" s="16" t="n">
        <x:v>0</x:v>
      </x:c>
      <x:c r="I6537" s="16" t="n">
        <x:v>0.18</x:v>
      </x:c>
      <x:c r="J6537" s="16" t="n">
        <x:v>1.08</x:v>
      </x:c>
      <x:c r="K6537" s="11" t="n">
        <x:f>CHOOSE('假设'!$B$3,H6537,I6537,J6537)</x:f>
        <x:v>0.18</x:v>
      </x:c>
      <x:c r="L6537" s="11" t="n">
        <x:f>K6537*'管线假设'!E1399*'管线假设'!F1399*'管线假设'!G1399*IF(E6537="USD",'管线假设'!I1399,1)-AM6537</x:f>
        <x:v>-0.0567</x:v>
      </x:c>
      <x:c r="M6537" s="11" t="n">
        <x:f>'管线假设'!H1399</x:f>
        <x:v>0.14</x:v>
      </x:c>
      <x:c r="N6537" s="11" t="n">
        <x:f>IF(G6537,L6537*AN6537/(1+M6537)^F6537,0)</x:f>
        <x:v>-0.03965093728874566</x:v>
      </x:c>
      <x:c r="AJ6537" s="42" t="n">
        <x:v>0</x:v>
      </x:c>
      <x:c r="AK6537" s="42" t="n">
        <x:v>0.09</x:v>
      </x:c>
      <x:c r="AL6537" s="42" t="n">
        <x:v>0.12</x:v>
      </x:c>
      <x:c r="AM6537" t="n">
        <x:f>CHOOSE('假设'!$B$3,AJ6537,AK6537,AL6537)</x:f>
        <x:v>0.09</x:v>
      </x:c>
      <x:c r="AN6537" t="n">
        <x:v>1</x:v>
      </x:c>
    </x:row>
    <x:row r="6538" ht="23" customHeight="1">
      <x:c r="A6538" s="11" t="str">
        <x:v>09995.HK</x:v>
      </x:c>
      <x:c r="B6538" s="11" t="str">
        <x:v>半年</x:v>
      </x:c>
      <x:c r="C6538" s="11" t="str">
        <x:v>RC48_new_China</x:v>
      </x:c>
      <x:c r="D6538" s="11" t="str">
        <x:v>2030-12-31</x:v>
      </x:c>
      <x:c r="E6538" s="11" t="str">
        <x:v>CNY</x:v>
      </x:c>
      <x:c r="F6538" s="11" t="n">
        <x:v>3.728952772073922</x:v>
      </x:c>
      <x:c r="G6538" s="26" t="b">
        <x:v>1</x:v>
      </x:c>
      <x:c r="H6538" s="16" t="n">
        <x:v>0</x:v>
      </x:c>
      <x:c r="I6538" s="16" t="n">
        <x:v>0.54</x:v>
      </x:c>
      <x:c r="J6538" s="16" t="n">
        <x:v>2.2800000000000002</x:v>
      </x:c>
      <x:c r="K6538" s="11" t="n">
        <x:f>CHOOSE('假设'!$B$3,H6538,I6538,J6538)</x:f>
        <x:v>0.54</x:v>
      </x:c>
      <x:c r="L6538" s="11" t="n">
        <x:f>K6538*'管线假设'!E1399*'管线假设'!F1399*'管线假设'!G1399*IF(E6538="USD",'管线假设'!I1399,1)-AM6538</x:f>
        <x:v>0.0999</x:v>
      </x:c>
      <x:c r="M6538" s="11" t="n">
        <x:f>'管线假设'!H1399</x:f>
        <x:v>0.14</x:v>
      </x:c>
      <x:c r="N6538" s="11" t="n">
        <x:f>IF(G6538,L6538*AN6538/(1+M6538)^F6538,0)</x:f>
        <x:v>0.06128722888656495</x:v>
      </x:c>
      <x:c r="AJ6538" s="42" t="n">
        <x:v>0</x:v>
      </x:c>
      <x:c r="AK6538" s="42" t="n">
        <x:v>0</x:v>
      </x:c>
      <x:c r="AL6538" s="42" t="n">
        <x:v>0</x:v>
      </x:c>
      <x:c r="AM6538" t="n">
        <x:f>CHOOSE('假设'!$B$3,AJ6538,AK6538,AL6538)</x:f>
        <x:v>0</x:v>
      </x:c>
      <x:c r="AN6538" t="n">
        <x:v>1</x:v>
      </x:c>
    </x:row>
    <x:row r="6539" ht="23" customHeight="1">
      <x:c r="A6539" s="11" t="str">
        <x:v>09995.HK</x:v>
      </x:c>
      <x:c r="B6539" s="11" t="str">
        <x:v>半年</x:v>
      </x:c>
      <x:c r="C6539" s="11" t="str">
        <x:v>RC48_new_China</x:v>
      </x:c>
      <x:c r="D6539" s="11" t="str">
        <x:v>2031-12-31</x:v>
      </x:c>
      <x:c r="E6539" s="11" t="str">
        <x:v>CNY</x:v>
      </x:c>
      <x:c r="F6539" s="11" t="n">
        <x:v>4.728268309377139</x:v>
      </x:c>
      <x:c r="G6539" s="26" t="b">
        <x:v>1</x:v>
      </x:c>
      <x:c r="H6539" s="16" t="n">
        <x:v>0</x:v>
      </x:c>
      <x:c r="I6539" s="16" t="n">
        <x:v>1.1400000000000001</x:v>
      </x:c>
      <x:c r="J6539" s="16" t="n">
        <x:v>3.9000000000000004</x:v>
      </x:c>
      <x:c r="K6539" s="11" t="n">
        <x:f>CHOOSE('假设'!$B$3,H6539,I6539,J6539)</x:f>
        <x:v>1.1400000000000001</x:v>
      </x:c>
      <x:c r="L6539" s="11" t="n">
        <x:f>K6539*'管线假设'!E1399*'管线假设'!F1399*'管线假设'!G1399*IF(E6539="USD",'管线假设'!I1399,1)-AM6539</x:f>
        <x:v>0.21090000000000003</x:v>
      </x:c>
      <x:c r="M6539" s="11" t="n">
        <x:f>'管线假设'!H1399</x:f>
        <x:v>0.14</x:v>
      </x:c>
      <x:c r="N6539" s="11" t="n">
        <x:f>IF(G6539,L6539*AN6539/(1+M6539)^F6539,0)</x:f>
        <x:v>0.11350504743388352</x:v>
      </x:c>
      <x:c r="AJ6539" s="42" t="n">
        <x:v>0</x:v>
      </x:c>
      <x:c r="AK6539" s="42" t="n">
        <x:v>0</x:v>
      </x:c>
      <x:c r="AL6539" s="42" t="n">
        <x:v>0</x:v>
      </x:c>
      <x:c r="AM6539" t="n">
        <x:f>CHOOSE('假设'!$B$3,AJ6539,AK6539,AL6539)</x:f>
        <x:v>0</x:v>
      </x:c>
      <x:c r="AN6539" t="n">
        <x:v>1</x:v>
      </x:c>
    </x:row>
    <x:row r="6540" ht="23" customHeight="1">
      <x:c r="A6540" s="11" t="str">
        <x:v>09995.HK</x:v>
      </x:c>
      <x:c r="B6540" s="11" t="str">
        <x:v>半年</x:v>
      </x:c>
      <x:c r="C6540" s="11" t="str">
        <x:v>RC48_new_China</x:v>
      </x:c>
      <x:c r="D6540" s="11" t="str">
        <x:v>2032-12-31</x:v>
      </x:c>
      <x:c r="E6540" s="11" t="str">
        <x:v>CNY</x:v>
      </x:c>
      <x:c r="F6540" s="11" t="n">
        <x:v>5.730321697467488</x:v>
      </x:c>
      <x:c r="G6540" s="26" t="b">
        <x:v>1</x:v>
      </x:c>
      <x:c r="H6540" s="16" t="n">
        <x:v>0.06</x:v>
      </x:c>
      <x:c r="I6540" s="16" t="n">
        <x:v>1.9500000000000002</x:v>
      </x:c>
      <x:c r="J6540" s="16" t="n">
        <x:v>5.1</x:v>
      </x:c>
      <x:c r="K6540" s="11" t="n">
        <x:f>CHOOSE('假设'!$B$3,H6540,I6540,J6540)</x:f>
        <x:v>1.9500000000000002</x:v>
      </x:c>
      <x:c r="L6540" s="11" t="n">
        <x:f>K6540*'管线假设'!E1399*'管线假设'!F1399*'管线假设'!G1399*IF(E6540="USD",'管线假设'!I1399,1)-AM6540</x:f>
        <x:v>0.36075</x:v>
      </x:c>
      <x:c r="M6540" s="11" t="n">
        <x:f>'管线假设'!H1399</x:f>
        <x:v>0.14</x:v>
      </x:c>
      <x:c r="N6540" s="11" t="n">
        <x:f>IF(G6540,L6540*AN6540/(1+M6540)^F6540,0)</x:f>
        <x:v>0.17026415816589616</x:v>
      </x:c>
      <x:c r="AJ6540" s="42" t="n">
        <x:v>0</x:v>
      </x:c>
      <x:c r="AK6540" s="42" t="n">
        <x:v>0</x:v>
      </x:c>
      <x:c r="AL6540" s="42" t="n">
        <x:v>0</x:v>
      </x:c>
      <x:c r="AM6540" t="n">
        <x:f>CHOOSE('假设'!$B$3,AJ6540,AK6540,AL6540)</x:f>
        <x:v>0</x:v>
      </x:c>
      <x:c r="AN6540" t="n">
        <x:v>1</x:v>
      </x:c>
    </x:row>
    <x:row r="6541" ht="23" customHeight="1">
      <x:c r="A6541" s="11" t="str">
        <x:v>09995.HK</x:v>
      </x:c>
      <x:c r="B6541" s="11" t="str">
        <x:v>半年</x:v>
      </x:c>
      <x:c r="C6541" s="11" t="str">
        <x:v>RC48_new_China</x:v>
      </x:c>
      <x:c r="D6541" s="11" t="str">
        <x:v>2033-12-31</x:v>
      </x:c>
      <x:c r="E6541" s="11" t="str">
        <x:v>CNY</x:v>
      </x:c>
      <x:c r="F6541" s="11" t="n">
        <x:v>6.729637234770705</x:v>
      </x:c>
      <x:c r="G6541" s="26" t="b">
        <x:v>1</x:v>
      </x:c>
      <x:c r="H6541" s="16" t="n">
        <x:v>0.18</x:v>
      </x:c>
      <x:c r="I6541" s="16" t="n">
        <x:v>2.55</x:v>
      </x:c>
      <x:c r="J6541" s="16" t="n">
        <x:v>6</x:v>
      </x:c>
      <x:c r="K6541" s="11" t="n">
        <x:f>CHOOSE('假设'!$B$3,H6541,I6541,J6541)</x:f>
        <x:v>2.55</x:v>
      </x:c>
      <x:c r="L6541" s="11" t="n">
        <x:f>K6541*'管线假设'!E1399*'管线假设'!F1399*'管线假设'!G1399*IF(E6541="USD",'管线假设'!I1399,1)-AM6541</x:f>
        <x:v>0.47174999999999995</x:v>
      </x:c>
      <x:c r="M6541" s="11" t="n">
        <x:f>'管线假设'!H1399</x:f>
        <x:v>0.14</x:v>
      </x:c>
      <x:c r="N6541" s="11" t="n">
        <x:f>IF(G6541,L6541*AN6541/(1+M6541)^F6541,0)</x:f>
        <x:v>0.19532728001632876</x:v>
      </x:c>
      <x:c r="AJ6541" s="42" t="n">
        <x:v>0</x:v>
      </x:c>
      <x:c r="AK6541" s="42" t="n">
        <x:v>0</x:v>
      </x:c>
      <x:c r="AL6541" s="42" t="n">
        <x:v>0</x:v>
      </x:c>
      <x:c r="AM6541" t="n">
        <x:f>CHOOSE('假设'!$B$3,AJ6541,AK6541,AL6541)</x:f>
        <x:v>0</x:v>
      </x:c>
      <x:c r="AN6541" t="n">
        <x:v>1</x:v>
      </x:c>
    </x:row>
    <x:row r="6542" ht="23" customHeight="1">
      <x:c r="A6542" s="11" t="str">
        <x:v>09995.HK</x:v>
      </x:c>
      <x:c r="B6542" s="11" t="str">
        <x:v>半年</x:v>
      </x:c>
      <x:c r="C6542" s="11" t="str">
        <x:v>RC48_new_China</x:v>
      </x:c>
      <x:c r="D6542" s="11" t="str">
        <x:v>2034-12-31</x:v>
      </x:c>
      <x:c r="E6542" s="11" t="str">
        <x:v>CNY</x:v>
      </x:c>
      <x:c r="F6542" s="11" t="n">
        <x:v>7.728952772073922</x:v>
      </x:c>
      <x:c r="G6542" s="26" t="b">
        <x:v>1</x:v>
      </x:c>
      <x:c r="H6542" s="16" t="n">
        <x:v>0.38</x:v>
      </x:c>
      <x:c r="I6542" s="16" t="n">
        <x:v>3</x:v>
      </x:c>
      <x:c r="J6542" s="16" t="n">
        <x:v>6</x:v>
      </x:c>
      <x:c r="K6542" s="11" t="n">
        <x:f>CHOOSE('假设'!$B$3,H6542,I6542,J6542)</x:f>
        <x:v>3</x:v>
      </x:c>
      <x:c r="L6542" s="11" t="n">
        <x:f>K6542*'管线假设'!E1399*'管线假设'!F1399*'管线假设'!G1399*IF(E6542="USD",'管线假设'!I1399,1)-AM6542</x:f>
        <x:v>0.5549999999999999</x:v>
      </x:c>
      <x:c r="M6542" s="11" t="n">
        <x:f>'管线假设'!H1399</x:f>
        <x:v>0.14</x:v>
      </x:c>
      <x:c r="N6542" s="11" t="n">
        <x:f>IF(G6542,L6542*AN6542/(1+M6542)^F6542,0)</x:f>
        <x:v>0.20159421932448698</x:v>
      </x:c>
      <x:c r="AJ6542" s="42" t="n">
        <x:v>0</x:v>
      </x:c>
      <x:c r="AK6542" s="42" t="n">
        <x:v>0</x:v>
      </x:c>
      <x:c r="AL6542" s="42" t="n">
        <x:v>0</x:v>
      </x:c>
      <x:c r="AM6542" t="n">
        <x:f>CHOOSE('假设'!$B$3,AJ6542,AK6542,AL6542)</x:f>
        <x:v>0</x:v>
      </x:c>
      <x:c r="AN6542" t="n">
        <x:v>1</x:v>
      </x:c>
    </x:row>
    <x:row r="6543" ht="23" customHeight="1">
      <x:c r="A6543" s="11" t="str">
        <x:v>09995.HK</x:v>
      </x:c>
      <x:c r="B6543" s="11" t="str">
        <x:v>半年</x:v>
      </x:c>
      <x:c r="C6543" s="11" t="str">
        <x:v>RC48_new_China</x:v>
      </x:c>
      <x:c r="D6543" s="11" t="str">
        <x:v>2035-12-31</x:v>
      </x:c>
      <x:c r="E6543" s="11" t="str">
        <x:v>CNY</x:v>
      </x:c>
      <x:c r="F6543" s="11" t="n">
        <x:v>8.728268309377139</x:v>
      </x:c>
      <x:c r="G6543" s="26" t="b">
        <x:v>1</x:v>
      </x:c>
      <x:c r="H6543" s="16" t="n">
        <x:v>0.65</x:v>
      </x:c>
      <x:c r="I6543" s="16" t="n">
        <x:v>3</x:v>
      </x:c>
      <x:c r="J6543" s="16" t="n">
        <x:v>5.699999999999999</x:v>
      </x:c>
      <x:c r="K6543" s="11" t="n">
        <x:f>CHOOSE('假设'!$B$3,H6543,I6543,J6543)</x:f>
        <x:v>3</x:v>
      </x:c>
      <x:c r="L6543" s="11" t="n">
        <x:f>K6543*'管线假设'!E1399*'管线假设'!F1399*'管线假设'!G1399*IF(E6543="USD",'管线假设'!I1399,1)-AM6543</x:f>
        <x:v>0.5549999999999999</x:v>
      </x:c>
      <x:c r="M6543" s="11" t="n">
        <x:f>'管线假设'!H1399</x:f>
        <x:v>0.14</x:v>
      </x:c>
      <x:c r="N6543" s="11" t="n">
        <x:f>IF(G6543,L6543*AN6543/(1+M6543)^F6543,0)</x:f>
        <x:v>0.17685289465150064</x:v>
      </x:c>
      <x:c r="AJ6543" s="42" t="n">
        <x:v>0</x:v>
      </x:c>
      <x:c r="AK6543" s="42" t="n">
        <x:v>0</x:v>
      </x:c>
      <x:c r="AL6543" s="42" t="n">
        <x:v>0</x:v>
      </x:c>
      <x:c r="AM6543" t="n">
        <x:f>CHOOSE('假设'!$B$3,AJ6543,AK6543,AL6543)</x:f>
        <x:v>0</x:v>
      </x:c>
      <x:c r="AN6543" t="n">
        <x:v>1</x:v>
      </x:c>
    </x:row>
    <x:row r="6544" ht="23" customHeight="1">
      <x:c r="A6544" s="11" t="str">
        <x:v>09995.HK</x:v>
      </x:c>
      <x:c r="B6544" s="11" t="str">
        <x:v>半年</x:v>
      </x:c>
      <x:c r="C6544" s="11" t="str">
        <x:v>RC48_new_China</x:v>
      </x:c>
      <x:c r="D6544" s="11" t="str">
        <x:v>2036-12-31</x:v>
      </x:c>
      <x:c r="E6544" s="11" t="str">
        <x:v>CNY</x:v>
      </x:c>
      <x:c r="F6544" s="11" t="n">
        <x:v>9.730321697467488</x:v>
      </x:c>
      <x:c r="G6544" s="26" t="b">
        <x:v>1</x:v>
      </x:c>
      <x:c r="H6544" s="16" t="n">
        <x:v>0.85</x:v>
      </x:c>
      <x:c r="I6544" s="16" t="n">
        <x:v>2.8499999999999996</x:v>
      </x:c>
      <x:c r="J6544" s="16" t="n">
        <x:v>5.4</x:v>
      </x:c>
      <x:c r="K6544" s="11" t="n">
        <x:f>CHOOSE('假设'!$B$3,H6544,I6544,J6544)</x:f>
        <x:v>2.8499999999999996</x:v>
      </x:c>
      <x:c r="L6544" s="11" t="n">
        <x:f>K6544*'管线假设'!E1399*'管线假设'!F1399*'管线假设'!G1399*IF(E6544="USD",'管线假设'!I1399,1)-AM6544</x:f>
        <x:v>0.5272499999999999</x:v>
      </x:c>
      <x:c r="M6544" s="11" t="n">
        <x:f>'管线假设'!H1399</x:f>
        <x:v>0.14</x:v>
      </x:c>
      <x:c r="N6544" s="11" t="n">
        <x:f>IF(G6544,L6544*AN6544/(1+M6544)^F6544,0)</x:f>
        <x:v>0.14733776537448046</x:v>
      </x:c>
      <x:c r="AJ6544" s="42" t="n">
        <x:v>0</x:v>
      </x:c>
      <x:c r="AK6544" s="42" t="n">
        <x:v>0</x:v>
      </x:c>
      <x:c r="AL6544" s="42" t="n">
        <x:v>0</x:v>
      </x:c>
      <x:c r="AM6544" t="n">
        <x:f>CHOOSE('假设'!$B$3,AJ6544,AK6544,AL6544)</x:f>
        <x:v>0</x:v>
      </x:c>
      <x:c r="AN6544" t="n">
        <x:v>1</x:v>
      </x:c>
    </x:row>
    <x:row r="6545" ht="23" customHeight="1">
      <x:c r="A6545" s="11" t="str">
        <x:v>09995.HK</x:v>
      </x:c>
      <x:c r="B6545" s="11" t="str">
        <x:v>半年</x:v>
      </x:c>
      <x:c r="C6545" s="11" t="str">
        <x:v>RC48_new_China</x:v>
      </x:c>
      <x:c r="D6545" s="11" t="str">
        <x:v>2037-12-31</x:v>
      </x:c>
      <x:c r="E6545" s="11" t="str">
        <x:v>CNY</x:v>
      </x:c>
      <x:c r="F6545" s="11" t="n">
        <x:v>10.729637234770705</x:v>
      </x:c>
      <x:c r="G6545" s="26" t="b">
        <x:v>1</x:v>
      </x:c>
      <x:c r="H6545" s="16" t="n">
        <x:v>1</x:v>
      </x:c>
      <x:c r="I6545" s="16" t="n">
        <x:v>2.7</x:v>
      </x:c>
      <x:c r="J6545" s="16" t="n">
        <x:v>4.800000000000001</x:v>
      </x:c>
      <x:c r="K6545" s="11" t="n">
        <x:f>CHOOSE('假设'!$B$3,H6545,I6545,J6545)</x:f>
        <x:v>2.7</x:v>
      </x:c>
      <x:c r="L6545" s="11" t="n">
        <x:f>K6545*'管线假设'!E1399*'管线假设'!F1399*'管线假设'!G1399*IF(E6545="USD",'管线假设'!I1399,1)-AM6545</x:f>
        <x:v>0.4995</x:v>
      </x:c>
      <x:c r="M6545" s="11" t="n">
        <x:f>'管线假设'!H1399</x:f>
        <x:v>0.14</x:v>
      </x:c>
      <x:c r="N6545" s="11" t="n">
        <x:f>IF(G6545,L6545*AN6545/(1+M6545)^F6545,0)</x:f>
        <x:v>0.1224523377847404</x:v>
      </x:c>
      <x:c r="AJ6545" s="42" t="n">
        <x:v>0</x:v>
      </x:c>
      <x:c r="AK6545" s="42" t="n">
        <x:v>0</x:v>
      </x:c>
      <x:c r="AL6545" s="42" t="n">
        <x:v>0</x:v>
      </x:c>
      <x:c r="AM6545" t="n">
        <x:f>CHOOSE('假设'!$B$3,AJ6545,AK6545,AL6545)</x:f>
        <x:v>0</x:v>
      </x:c>
      <x:c r="AN6545" t="n">
        <x:v>1</x:v>
      </x:c>
    </x:row>
    <x:row r="6546" ht="23" customHeight="1">
      <x:c r="A6546" s="11" t="str">
        <x:v>09995.HK</x:v>
      </x:c>
      <x:c r="B6546" s="11" t="str">
        <x:v>半年</x:v>
      </x:c>
      <x:c r="C6546" s="11" t="str">
        <x:v>RC48_new_China</x:v>
      </x:c>
      <x:c r="D6546" s="11" t="str">
        <x:v>2038-12-31</x:v>
      </x:c>
      <x:c r="E6546" s="11" t="str">
        <x:v>CNY</x:v>
      </x:c>
      <x:c r="F6546" s="11" t="n">
        <x:v>11.728952772073923</x:v>
      </x:c>
      <x:c r="G6546" s="26" t="b">
        <x:v>1</x:v>
      </x:c>
      <x:c r="H6546" s="16" t="n">
        <x:v>1</x:v>
      </x:c>
      <x:c r="I6546" s="16" t="n">
        <x:v>2.4000000000000004</x:v>
      </x:c>
      <x:c r="J6546" s="16" t="n">
        <x:v>3.9000000000000004</x:v>
      </x:c>
      <x:c r="K6546" s="11" t="n">
        <x:f>CHOOSE('假设'!$B$3,H6546,I6546,J6546)</x:f>
        <x:v>2.4000000000000004</x:v>
      </x:c>
      <x:c r="L6546" s="11" t="n">
        <x:f>K6546*'管线假设'!E1399*'管线假设'!F1399*'管线假设'!G1399*IF(E6546="USD",'管线假设'!I1399,1)-AM6546</x:f>
        <x:v>0.44400000000000006</x:v>
      </x:c>
      <x:c r="M6546" s="11" t="n">
        <x:f>'管线假设'!H1399</x:f>
        <x:v>0.14</x:v>
      </x:c>
      <x:c r="N6546" s="11" t="n">
        <x:f>IF(G6546,L6546*AN6546/(1+M6546)^F6546,0)</x:f>
        <x:v>0.09548796903509527</x:v>
      </x:c>
      <x:c r="AJ6546" s="42" t="n">
        <x:v>0</x:v>
      </x:c>
      <x:c r="AK6546" s="42" t="n">
        <x:v>0</x:v>
      </x:c>
      <x:c r="AL6546" s="42" t="n">
        <x:v>0</x:v>
      </x:c>
      <x:c r="AM6546" t="n">
        <x:f>CHOOSE('假设'!$B$3,AJ6546,AK6546,AL6546)</x:f>
        <x:v>0</x:v>
      </x:c>
      <x:c r="AN6546" t="n">
        <x:v>1</x:v>
      </x:c>
    </x:row>
    <x:row r="6547" ht="23" customHeight="1">
      <x:c r="A6547" s="11" t="str">
        <x:v>09995.HK</x:v>
      </x:c>
      <x:c r="B6547" s="11" t="str">
        <x:v>半年</x:v>
      </x:c>
      <x:c r="C6547" s="11" t="str">
        <x:v>RC48_new_China</x:v>
      </x:c>
      <x:c r="D6547" s="11" t="str">
        <x:v>2039-12-31</x:v>
      </x:c>
      <x:c r="E6547" s="11" t="str">
        <x:v>CNY</x:v>
      </x:c>
      <x:c r="F6547" s="11" t="n">
        <x:v>12.728268309377139</x:v>
      </x:c>
      <x:c r="G6547" s="26" t="b">
        <x:v>1</x:v>
      </x:c>
      <x:c r="H6547" s="16" t="n">
        <x:v>0.95</x:v>
      </x:c>
      <x:c r="I6547" s="16" t="n">
        <x:v>1.9500000000000002</x:v>
      </x:c>
      <x:c r="J6547" s="16" t="n">
        <x:v>3</x:v>
      </x:c>
      <x:c r="K6547" s="11" t="n">
        <x:f>CHOOSE('假设'!$B$3,H6547,I6547,J6547)</x:f>
        <x:v>1.9500000000000002</x:v>
      </x:c>
      <x:c r="L6547" s="11" t="n">
        <x:f>K6547*'管线假设'!E1399*'管线假设'!F1399*'管线假设'!G1399*IF(E6547="USD",'管线假设'!I1399,1)-AM6547</x:f>
        <x:v>0.36075</x:v>
      </x:c>
      <x:c r="M6547" s="11" t="n">
        <x:f>'管线假设'!H1399</x:f>
        <x:v>0.14</x:v>
      </x:c>
      <x:c r="N6547" s="11" t="n">
        <x:f>IF(G6547,L6547*AN6547/(1+M6547)^F6547,0)</x:f>
        <x:v>0.06806222209733792</x:v>
      </x:c>
      <x:c r="AJ6547" s="42" t="n">
        <x:v>0</x:v>
      </x:c>
      <x:c r="AK6547" s="42" t="n">
        <x:v>0</x:v>
      </x:c>
      <x:c r="AL6547" s="42" t="n">
        <x:v>0</x:v>
      </x:c>
      <x:c r="AM6547" t="n">
        <x:f>CHOOSE('假设'!$B$3,AJ6547,AK6547,AL6547)</x:f>
        <x:v>0</x:v>
      </x:c>
      <x:c r="AN6547" t="n">
        <x:v>1</x:v>
      </x:c>
    </x:row>
    <x:row r="6548" ht="23" customHeight="1">
      <x:c r="A6548" s="11" t="str">
        <x:v>09995.HK</x:v>
      </x:c>
      <x:c r="B6548" s="11" t="str">
        <x:v>半年</x:v>
      </x:c>
      <x:c r="C6548" s="11" t="str">
        <x:v>RC48_new_China</x:v>
      </x:c>
      <x:c r="D6548" s="11" t="str">
        <x:v>2040-12-31</x:v>
      </x:c>
      <x:c r="E6548" s="11" t="str">
        <x:v>CNY</x:v>
      </x:c>
      <x:c r="F6548" s="11" t="n">
        <x:v>13.730321697467488</x:v>
      </x:c>
      <x:c r="G6548" s="26" t="b">
        <x:v>1</x:v>
      </x:c>
      <x:c r="H6548" s="16" t="n">
        <x:v>0.9</x:v>
      </x:c>
      <x:c r="I6548" s="16" t="n">
        <x:v>1.5</x:v>
      </x:c>
      <x:c r="J6548" s="16" t="n">
        <x:v>2.0999999999999996</x:v>
      </x:c>
      <x:c r="K6548" s="11" t="n">
        <x:f>CHOOSE('假设'!$B$3,H6548,I6548,J6548)</x:f>
        <x:v>1.5</x:v>
      </x:c>
      <x:c r="L6548" s="11" t="n">
        <x:f>K6548*'管线假设'!E1399*'管线假设'!F1399*'管线假设'!G1399*IF(E6548="USD",'管线假设'!I1399,1)-AM6548</x:f>
        <x:v>0.27749999999999997</x:v>
      </x:c>
      <x:c r="M6548" s="11" t="n">
        <x:f>'管线假设'!H1399</x:f>
        <x:v>0.14</x:v>
      </x:c>
      <x:c r="N6548" s="11" t="n">
        <x:f>IF(G6548,L6548*AN6548/(1+M6548)^F6548,0)</x:f>
        <x:v>0.045913571047382265</x:v>
      </x:c>
      <x:c r="AJ6548" s="42" t="n">
        <x:v>0</x:v>
      </x:c>
      <x:c r="AK6548" s="42" t="n">
        <x:v>0</x:v>
      </x:c>
      <x:c r="AL6548" s="42" t="n">
        <x:v>0</x:v>
      </x:c>
      <x:c r="AM6548" t="n">
        <x:f>CHOOSE('假设'!$B$3,AJ6548,AK6548,AL6548)</x:f>
        <x:v>0</x:v>
      </x:c>
      <x:c r="AN6548" t="n">
        <x:v>1</x:v>
      </x:c>
    </x:row>
    <x:row r="6549" ht="23" customHeight="1">
      <x:c r="A6549" s="11" t="str">
        <x:v>09995.HK</x:v>
      </x:c>
      <x:c r="B6549" s="11" t="str">
        <x:v>半年</x:v>
      </x:c>
      <x:c r="C6549" s="11" t="str">
        <x:v>RC48_new_China</x:v>
      </x:c>
      <x:c r="D6549" s="11" t="str">
        <x:v>2041-12-31</x:v>
      </x:c>
      <x:c r="E6549" s="11" t="str">
        <x:v>CNY</x:v>
      </x:c>
      <x:c r="F6549" s="11" t="n">
        <x:v>14.729637234770705</x:v>
      </x:c>
      <x:c r="G6549" s="26" t="b">
        <x:v>1</x:v>
      </x:c>
      <x:c r="H6549" s="16" t="n">
        <x:v>0.8</x:v>
      </x:c>
      <x:c r="I6549" s="16" t="n">
        <x:v>1.0499999999999998</x:v>
      </x:c>
      <x:c r="J6549" s="16" t="n">
        <x:v>1.2000000000000002</x:v>
      </x:c>
      <x:c r="K6549" s="11" t="n">
        <x:f>CHOOSE('假设'!$B$3,H6549,I6549,J6549)</x:f>
        <x:v>1.0499999999999998</x:v>
      </x:c>
      <x:c r="L6549" s="11" t="n">
        <x:f>K6549*'管线假设'!E1399*'管线假设'!F1399*'管线假设'!G1399*IF(E6549="USD",'管线假设'!I1399,1)-AM6549</x:f>
        <x:v>0.19424999999999998</x:v>
      </x:c>
      <x:c r="M6549" s="11" t="n">
        <x:f>'管线假设'!H1399</x:f>
        <x:v>0.14</x:v>
      </x:c>
      <x:c r="N6549" s="11" t="n">
        <x:f>IF(G6549,L6549*AN6549/(1+M6549)^F6549,0)</x:f>
        <x:v>0.02819507215786226</x:v>
      </x:c>
      <x:c r="AJ6549" s="42" t="n">
        <x:v>0</x:v>
      </x:c>
      <x:c r="AK6549" s="42" t="n">
        <x:v>0</x:v>
      </x:c>
      <x:c r="AL6549" s="42" t="n">
        <x:v>0</x:v>
      </x:c>
      <x:c r="AM6549" t="n">
        <x:f>CHOOSE('假设'!$B$3,AJ6549,AK6549,AL6549)</x:f>
        <x:v>0</x:v>
      </x:c>
      <x:c r="AN6549" t="n">
        <x:v>1</x:v>
      </x:c>
    </x:row>
    <x:row r="6550" ht="23" customHeight="1">
      <x:c r="A6550" s="11" t="str">
        <x:v>09995.HK</x:v>
      </x:c>
      <x:c r="B6550" s="11" t="str">
        <x:v>半年</x:v>
      </x:c>
      <x:c r="C6550" s="11" t="str">
        <x:v>RC48_new_China</x:v>
      </x:c>
      <x:c r="D6550" s="11" t="str">
        <x:v>2042-12-31</x:v>
      </x:c>
      <x:c r="E6550" s="11" t="str">
        <x:v>CNY</x:v>
      </x:c>
      <x:c r="F6550" s="11" t="n">
        <x:v>15.728952772073923</x:v>
      </x:c>
      <x:c r="G6550" s="26" t="b">
        <x:v>1</x:v>
      </x:c>
      <x:c r="H6550" s="16" t="n">
        <x:v>0.65</x:v>
      </x:c>
      <x:c r="I6550" s="16" t="n">
        <x:v>0.6000000000000001</x:v>
      </x:c>
      <x:c r="J6550" s="16" t="n">
        <x:v>0.72</x:v>
      </x:c>
      <x:c r="K6550" s="11" t="n">
        <x:f>CHOOSE('假设'!$B$3,H6550,I6550,J6550)</x:f>
        <x:v>0.6000000000000001</x:v>
      </x:c>
      <x:c r="L6550" s="11" t="n">
        <x:f>K6550*'管线假设'!E1399*'管线假设'!F1399*'管线假设'!G1399*IF(E6550="USD",'管线假设'!I1399,1)-AM6550</x:f>
        <x:v>0.11100000000000002</x:v>
      </x:c>
      <x:c r="M6550" s="11" t="n">
        <x:f>'管线假设'!H1399</x:f>
        <x:v>0.14</x:v>
      </x:c>
      <x:c r="N6550" s="11" t="n">
        <x:f>IF(G6550,L6550*AN6550/(1+M6550)^F6550,0)</x:f>
        <x:v>0.014134135797953817</x:v>
      </x:c>
      <x:c r="AJ6550" s="42" t="n">
        <x:v>0</x:v>
      </x:c>
      <x:c r="AK6550" s="42" t="n">
        <x:v>0</x:v>
      </x:c>
      <x:c r="AL6550" s="42" t="n">
        <x:v>0</x:v>
      </x:c>
      <x:c r="AM6550" t="n">
        <x:f>CHOOSE('假设'!$B$3,AJ6550,AK6550,AL6550)</x:f>
        <x:v>0</x:v>
      </x:c>
      <x:c r="AN6550" t="n">
        <x:v>1</x:v>
      </x:c>
    </x:row>
    <x:row r="6551" ht="23" customHeight="1">
      <x:c r="A6551" s="11" t="str">
        <x:v>09995.HK</x:v>
      </x:c>
      <x:c r="B6551" s="11" t="str">
        <x:v>半年</x:v>
      </x:c>
      <x:c r="C6551" s="11" t="str">
        <x:v>RC48_new_China</x:v>
      </x:c>
      <x:c r="D6551" s="11" t="str">
        <x:v>2043-12-31</x:v>
      </x:c>
      <x:c r="E6551" s="11" t="str">
        <x:v>CNY</x:v>
      </x:c>
      <x:c r="F6551" s="11" t="n">
        <x:v>16.72826830937714</x:v>
      </x:c>
      <x:c r="G6551" s="26" t="b">
        <x:v>1</x:v>
      </x:c>
      <x:c r="H6551" s="16" t="n">
        <x:v>0.5</x:v>
      </x:c>
      <x:c r="I6551" s="16" t="n">
        <x:v>0.36</x:v>
      </x:c>
      <x:c r="J6551" s="16" t="n">
        <x:v>0.42000000000000004</x:v>
      </x:c>
      <x:c r="K6551" s="11" t="n">
        <x:f>CHOOSE('假设'!$B$3,H6551,I6551,J6551)</x:f>
        <x:v>0.36</x:v>
      </x:c>
      <x:c r="L6551" s="11" t="n">
        <x:f>K6551*'管线假设'!E1399*'管线假设'!F1399*'管线假设'!G1399*IF(E6551="USD",'管线假设'!I1399,1)-AM6551</x:f>
        <x:v>0.06659999999999999</x:v>
      </x:c>
      <x:c r="M6551" s="11" t="n">
        <x:f>'管线假设'!H1399</x:f>
        <x:v>0.14</x:v>
      </x:c>
      <x:c r="N6551" s="11" t="n">
        <x:f>IF(G6551,L6551*AN6551/(1+M6551)^F6551,0)</x:f>
        <x:v>0.0074396860315981425</x:v>
      </x:c>
      <x:c r="AJ6551" s="42" t="n">
        <x:v>0</x:v>
      </x:c>
      <x:c r="AK6551" s="42" t="n">
        <x:v>0</x:v>
      </x:c>
      <x:c r="AL6551" s="42" t="n">
        <x:v>0</x:v>
      </x:c>
      <x:c r="AM6551" t="n">
        <x:f>CHOOSE('假设'!$B$3,AJ6551,AK6551,AL6551)</x:f>
        <x:v>0</x:v>
      </x:c>
      <x:c r="AN6551" t="n">
        <x:v>1</x:v>
      </x:c>
    </x:row>
    <x:row r="6552" ht="23" customHeight="1">
      <x:c r="A6552" s="11" t="str">
        <x:v>09995.HK</x:v>
      </x:c>
      <x:c r="B6552" s="11" t="str">
        <x:v>半年</x:v>
      </x:c>
      <x:c r="C6552" s="11" t="str">
        <x:v>RC48_new_China</x:v>
      </x:c>
      <x:c r="D6552" s="11" t="str">
        <x:v>2044-12-31</x:v>
      </x:c>
      <x:c r="E6552" s="11" t="str">
        <x:v>CNY</x:v>
      </x:c>
      <x:c r="F6552" s="11" t="n">
        <x:v>17.730321697467488</x:v>
      </x:c>
      <x:c r="G6552" s="26" t="b">
        <x:v>1</x:v>
      </x:c>
      <x:c r="H6552" s="16" t="n">
        <x:v>0.35</x:v>
      </x:c>
      <x:c r="I6552" s="16" t="n">
        <x:v>0.21000000000000002</x:v>
      </x:c>
      <x:c r="J6552" s="16" t="n">
        <x:v>0.18</x:v>
      </x:c>
      <x:c r="K6552" s="11" t="n">
        <x:f>CHOOSE('假设'!$B$3,H6552,I6552,J6552)</x:f>
        <x:v>0.21000000000000002</x:v>
      </x:c>
      <x:c r="L6552" s="11" t="n">
        <x:f>K6552*'管线假设'!E1399*'管线假设'!F1399*'管线假设'!G1399*IF(E6552="USD",'管线假设'!I1399,1)-AM6552</x:f>
        <x:v>0.03885</x:v>
      </x:c>
      <x:c r="M6552" s="11" t="n">
        <x:f>'管线假设'!H1399</x:f>
        <x:v>0.14</x:v>
      </x:c>
      <x:c r="N6552" s="11" t="n">
        <x:f>IF(G6552,L6552*AN6552/(1+M6552)^F6552,0)</x:f>
        <x:v>0.003805832783310599</x:v>
      </x:c>
      <x:c r="AJ6552" s="42" t="n">
        <x:v>0</x:v>
      </x:c>
      <x:c r="AK6552" s="42" t="n">
        <x:v>0</x:v>
      </x:c>
      <x:c r="AL6552" s="42" t="n">
        <x:v>0</x:v>
      </x:c>
      <x:c r="AM6552" t="n">
        <x:f>CHOOSE('假设'!$B$3,AJ6552,AK6552,AL6552)</x:f>
        <x:v>0</x:v>
      </x:c>
      <x:c r="AN6552" t="n">
        <x:v>1</x:v>
      </x:c>
    </x:row>
    <x:row r="6553" ht="23" customHeight="1">
      <x:c r="A6553" s="11" t="str">
        <x:v>09995.HK</x:v>
      </x:c>
      <x:c r="B6553" s="11" t="str">
        <x:v>半年</x:v>
      </x:c>
      <x:c r="C6553" s="11" t="str">
        <x:v>RC148_China</x:v>
      </x:c>
      <x:c r="D6553" s="11" t="str">
        <x:v>2026-12-31</x:v>
      </x:c>
      <x:c r="E6553" s="11" t="str">
        <x:v>CNY</x:v>
      </x:c>
      <x:c r="F6553" s="11" t="n">
        <x:v>-0.27104722792607805</x:v>
      </x:c>
      <x:c r="G6553" s="26" t="b">
        <x:v>0</x:v>
      </x:c>
      <x:c r="H6553" s="16" t="n">
        <x:v>0</x:v>
      </x:c>
      <x:c r="I6553" s="16" t="n">
        <x:v>0</x:v>
      </x:c>
      <x:c r="J6553" s="16" t="n">
        <x:v>0</x:v>
      </x:c>
      <x:c r="K6553" s="11" t="n">
        <x:f>CHOOSE('假设'!$B$3,H6553,I6553,J6553)</x:f>
        <x:v>0</x:v>
      </x:c>
      <x:c r="L6553" s="11" t="n">
        <x:f>K6553*'管线假设'!E1403*'管线假设'!F1403*'管线假设'!G1403*IF(E6553="USD",'管线假设'!I1403,1)-AM6553</x:f>
        <x:v>-0.18</x:v>
      </x:c>
      <x:c r="M6553" s="11" t="n">
        <x:f>'管线假设'!H1403</x:f>
        <x:v>0.14</x:v>
      </x:c>
      <x:c r="N6553" s="11" t="n">
        <x:f>IF(G6553,L6553*AN6553/(1+M6553)^F6553,0)</x:f>
        <x:v>0</x:v>
      </x:c>
      <x:c r="AJ6553" s="42" t="n">
        <x:v>0.1</x:v>
      </x:c>
      <x:c r="AK6553" s="42" t="n">
        <x:v>0.18</x:v>
      </x:c>
      <x:c r="AL6553" s="42" t="n">
        <x:v>0.24</x:v>
      </x:c>
      <x:c r="AM6553" t="n">
        <x:f>CHOOSE('假设'!$B$3,AJ6553,AK6553,AL6553)</x:f>
        <x:v>0.18</x:v>
      </x:c>
      <x:c r="AN6553" t="n">
        <x:v>0</x:v>
      </x:c>
    </x:row>
    <x:row r="6554" ht="23" customHeight="1">
      <x:c r="A6554" s="11" t="str">
        <x:v>09995.HK</x:v>
      </x:c>
      <x:c r="B6554" s="11" t="str">
        <x:v>半年</x:v>
      </x:c>
      <x:c r="C6554" s="11" t="str">
        <x:v>RC148_China</x:v>
      </x:c>
      <x:c r="D6554" s="11" t="str">
        <x:v>2027-12-31</x:v>
      </x:c>
      <x:c r="E6554" s="11" t="str">
        <x:v>CNY</x:v>
      </x:c>
      <x:c r="F6554" s="11" t="n">
        <x:v>0.7282683093771389</x:v>
      </x:c>
      <x:c r="G6554" s="26" t="b">
        <x:v>1</x:v>
      </x:c>
      <x:c r="H6554" s="16" t="n">
        <x:v>0</x:v>
      </x:c>
      <x:c r="I6554" s="16" t="n">
        <x:v>0</x:v>
      </x:c>
      <x:c r="J6554" s="16" t="n">
        <x:v>0</x:v>
      </x:c>
      <x:c r="K6554" s="11" t="n">
        <x:f>CHOOSE('假设'!$B$3,H6554,I6554,J6554)</x:f>
        <x:v>0</x:v>
      </x:c>
      <x:c r="L6554" s="11" t="n">
        <x:f>K6554*'管线假设'!E1403*'管线假设'!F1403*'管线假设'!G1403*IF(E6554="USD",'管线假设'!I1403,1)-AM6554</x:f>
        <x:v>-0.23</x:v>
      </x:c>
      <x:c r="M6554" s="11" t="n">
        <x:f>'管线假设'!H1403</x:f>
        <x:v>0.14</x:v>
      </x:c>
      <x:c r="N6554" s="11" t="n">
        <x:f>IF(G6554,L6554*AN6554/(1+M6554)^F6554,0)</x:f>
        <x:v>-0.15277985345526715</x:v>
      </x:c>
      <x:c r="AJ6554" s="42" t="n">
        <x:v>0.12</x:v>
      </x:c>
      <x:c r="AK6554" s="42" t="n">
        <x:v>0.23</x:v>
      </x:c>
      <x:c r="AL6554" s="42" t="n">
        <x:v>0.3</x:v>
      </x:c>
      <x:c r="AM6554" t="n">
        <x:f>CHOOSE('假设'!$B$3,AJ6554,AK6554,AL6554)</x:f>
        <x:v>0.23</x:v>
      </x:c>
      <x:c r="AN6554" t="n">
        <x:v>0.7307692307692307</x:v>
      </x:c>
    </x:row>
    <x:row r="6555" ht="23" customHeight="1">
      <x:c r="A6555" s="11" t="str">
        <x:v>09995.HK</x:v>
      </x:c>
      <x:c r="B6555" s="11" t="str">
        <x:v>半年</x:v>
      </x:c>
      <x:c r="C6555" s="11" t="str">
        <x:v>RC148_China</x:v>
      </x:c>
      <x:c r="D6555" s="11" t="str">
        <x:v>2028-12-31</x:v>
      </x:c>
      <x:c r="E6555" s="11" t="str">
        <x:v>CNY</x:v>
      </x:c>
      <x:c r="F6555" s="11" t="n">
        <x:v>1.730321697467488</x:v>
      </x:c>
      <x:c r="G6555" s="26" t="b">
        <x:v>1</x:v>
      </x:c>
      <x:c r="H6555" s="16" t="n">
        <x:v>0</x:v>
      </x:c>
      <x:c r="I6555" s="16" t="n">
        <x:v>0</x:v>
      </x:c>
      <x:c r="J6555" s="16" t="n">
        <x:v>0.48</x:v>
      </x:c>
      <x:c r="K6555" s="11" t="n">
        <x:f>CHOOSE('假设'!$B$3,H6555,I6555,J6555)</x:f>
        <x:v>0</x:v>
      </x:c>
      <x:c r="L6555" s="11" t="n">
        <x:f>K6555*'管线假设'!E1403*'管线假设'!F1403*'管线假设'!G1403*IF(E6555="USD",'管线假设'!I1403,1)-AM6555</x:f>
        <x:v>-0.2</x:v>
      </x:c>
      <x:c r="M6555" s="11" t="n">
        <x:f>'管线假设'!H1403</x:f>
        <x:v>0.14</x:v>
      </x:c>
      <x:c r="N6555" s="11" t="n">
        <x:f>IF(G6555,L6555*AN6555/(1+M6555)^F6555,0)</x:f>
        <x:v>-0.159428623599799</x:v>
      </x:c>
      <x:c r="AJ6555" s="42" t="n">
        <x:v>0.1</x:v>
      </x:c>
      <x:c r="AK6555" s="42" t="n">
        <x:v>0.2</x:v>
      </x:c>
      <x:c r="AL6555" s="42" t="n">
        <x:v>0.25</x:v>
      </x:c>
      <x:c r="AM6555" t="n">
        <x:f>CHOOSE('假设'!$B$3,AJ6555,AK6555,AL6555)</x:f>
        <x:v>0.2</x:v>
      </x:c>
      <x:c r="AN6555" t="n">
        <x:v>1</x:v>
      </x:c>
    </x:row>
    <x:row r="6556" ht="23" customHeight="1">
      <x:c r="A6556" s="11" t="str">
        <x:v>09995.HK</x:v>
      </x:c>
      <x:c r="B6556" s="11" t="str">
        <x:v>半年</x:v>
      </x:c>
      <x:c r="C6556" s="11" t="str">
        <x:v>RC148_China</x:v>
      </x:c>
      <x:c r="D6556" s="11" t="str">
        <x:v>2029-12-31</x:v>
      </x:c>
      <x:c r="E6556" s="11" t="str">
        <x:v>CNY</x:v>
      </x:c>
      <x:c r="F6556" s="11" t="n">
        <x:v>2.729637234770705</x:v>
      </x:c>
      <x:c r="G6556" s="26" t="b">
        <x:v>1</x:v>
      </x:c>
      <x:c r="H6556" s="16" t="n">
        <x:v>0</x:v>
      </x:c>
      <x:c r="I6556" s="16" t="n">
        <x:v>0.24</x:v>
      </x:c>
      <x:c r="J6556" s="16" t="n">
        <x:v>1.44</x:v>
      </x:c>
      <x:c r="K6556" s="11" t="n">
        <x:f>CHOOSE('假设'!$B$3,H6556,I6556,J6556)</x:f>
        <x:v>0.24</x:v>
      </x:c>
      <x:c r="L6556" s="11" t="n">
        <x:f>K6556*'管线假设'!E1403*'管线假设'!F1403*'管线假设'!G1403*IF(E6556="USD",'管线假设'!I1403,1)-AM6556</x:f>
        <x:v>-0.0796</x:v>
      </x:c>
      <x:c r="M6556" s="11" t="n">
        <x:f>'管线假设'!H1403</x:f>
        <x:v>0.14</x:v>
      </x:c>
      <x:c r="N6556" s="11" t="n">
        <x:f>IF(G6556,L6556*AN6556/(1+M6556)^F6556,0)</x:f>
        <x:v>-0.05566516063816851</x:v>
      </x:c>
      <x:c r="AJ6556" s="42" t="n">
        <x:v>0</x:v>
      </x:c>
      <x:c r="AK6556" s="42" t="n">
        <x:v>0.13</x:v>
      </x:c>
      <x:c r="AL6556" s="42" t="n">
        <x:v>0.16</x:v>
      </x:c>
      <x:c r="AM6556" t="n">
        <x:f>CHOOSE('假设'!$B$3,AJ6556,AK6556,AL6556)</x:f>
        <x:v>0.13</x:v>
      </x:c>
      <x:c r="AN6556" t="n">
        <x:v>1</x:v>
      </x:c>
    </x:row>
    <x:row r="6557" ht="23" customHeight="1">
      <x:c r="A6557" s="11" t="str">
        <x:v>09995.HK</x:v>
      </x:c>
      <x:c r="B6557" s="11" t="str">
        <x:v>半年</x:v>
      </x:c>
      <x:c r="C6557" s="11" t="str">
        <x:v>RC148_China</x:v>
      </x:c>
      <x:c r="D6557" s="11" t="str">
        <x:v>2030-12-31</x:v>
      </x:c>
      <x:c r="E6557" s="11" t="str">
        <x:v>CNY</x:v>
      </x:c>
      <x:c r="F6557" s="11" t="n">
        <x:v>3.728952772073922</x:v>
      </x:c>
      <x:c r="G6557" s="26" t="b">
        <x:v>1</x:v>
      </x:c>
      <x:c r="H6557" s="16" t="n">
        <x:v>0</x:v>
      </x:c>
      <x:c r="I6557" s="16" t="n">
        <x:v>0.72</x:v>
      </x:c>
      <x:c r="J6557" s="16" t="n">
        <x:v>3.04</x:v>
      </x:c>
      <x:c r="K6557" s="11" t="n">
        <x:f>CHOOSE('假设'!$B$3,H6557,I6557,J6557)</x:f>
        <x:v>0.72</x:v>
      </x:c>
      <x:c r="L6557" s="11" t="n">
        <x:f>K6557*'管线假设'!E1403*'管线假设'!F1403*'管线假设'!G1403*IF(E6557="USD",'管线假设'!I1403,1)-AM6557</x:f>
        <x:v>0.1512</x:v>
      </x:c>
      <x:c r="M6557" s="11" t="n">
        <x:f>'管线假设'!H1403</x:f>
        <x:v>0.14</x:v>
      </x:c>
      <x:c r="N6557" s="11" t="n">
        <x:f>IF(G6557,L6557*AN6557/(1+M6557)^F6557,0)</x:f>
        <x:v>0.09275904912561182</x:v>
      </x:c>
      <x:c r="AJ6557" s="42" t="n">
        <x:v>0</x:v>
      </x:c>
      <x:c r="AK6557" s="42" t="n">
        <x:v>0</x:v>
      </x:c>
      <x:c r="AL6557" s="42" t="n">
        <x:v>0</x:v>
      </x:c>
      <x:c r="AM6557" t="n">
        <x:f>CHOOSE('假设'!$B$3,AJ6557,AK6557,AL6557)</x:f>
        <x:v>0</x:v>
      </x:c>
      <x:c r="AN6557" t="n">
        <x:v>1</x:v>
      </x:c>
    </x:row>
    <x:row r="6558" ht="23" customHeight="1">
      <x:c r="A6558" s="11" t="str">
        <x:v>09995.HK</x:v>
      </x:c>
      <x:c r="B6558" s="11" t="str">
        <x:v>半年</x:v>
      </x:c>
      <x:c r="C6558" s="11" t="str">
        <x:v>RC148_China</x:v>
      </x:c>
      <x:c r="D6558" s="11" t="str">
        <x:v>2031-12-31</x:v>
      </x:c>
      <x:c r="E6558" s="11" t="str">
        <x:v>CNY</x:v>
      </x:c>
      <x:c r="F6558" s="11" t="n">
        <x:v>4.728268309377139</x:v>
      </x:c>
      <x:c r="G6558" s="26" t="b">
        <x:v>1</x:v>
      </x:c>
      <x:c r="H6558" s="16" t="n">
        <x:v>0.072</x:v>
      </x:c>
      <x:c r="I6558" s="16" t="n">
        <x:v>1.52</x:v>
      </x:c>
      <x:c r="J6558" s="16" t="n">
        <x:v>5.2</x:v>
      </x:c>
      <x:c r="K6558" s="11" t="n">
        <x:f>CHOOSE('假设'!$B$3,H6558,I6558,J6558)</x:f>
        <x:v>1.52</x:v>
      </x:c>
      <x:c r="L6558" s="11" t="n">
        <x:f>K6558*'管线假设'!E1403*'管线假设'!F1403*'管线假设'!G1403*IF(E6558="USD",'管线假设'!I1403,1)-AM6558</x:f>
        <x:v>0.3192</x:v>
      </x:c>
      <x:c r="M6558" s="11" t="n">
        <x:f>'管线假设'!H1403</x:f>
        <x:v>0.14</x:v>
      </x:c>
      <x:c r="N6558" s="11" t="n">
        <x:f>IF(G6558,L6558*AN6558/(1+M6558)^F6558,0)</x:f>
        <x:v>0.17179142314317503</x:v>
      </x:c>
      <x:c r="AJ6558" s="42" t="n">
        <x:v>0</x:v>
      </x:c>
      <x:c r="AK6558" s="42" t="n">
        <x:v>0</x:v>
      </x:c>
      <x:c r="AL6558" s="42" t="n">
        <x:v>0</x:v>
      </x:c>
      <x:c r="AM6558" t="n">
        <x:f>CHOOSE('假设'!$B$3,AJ6558,AK6558,AL6558)</x:f>
        <x:v>0</x:v>
      </x:c>
      <x:c r="AN6558" t="n">
        <x:v>1</x:v>
      </x:c>
    </x:row>
    <x:row r="6559" ht="23" customHeight="1">
      <x:c r="A6559" s="11" t="str">
        <x:v>09995.HK</x:v>
      </x:c>
      <x:c r="B6559" s="11" t="str">
        <x:v>半年</x:v>
      </x:c>
      <x:c r="C6559" s="11" t="str">
        <x:v>RC148_China</x:v>
      </x:c>
      <x:c r="D6559" s="11" t="str">
        <x:v>2032-12-31</x:v>
      </x:c>
      <x:c r="E6559" s="11" t="str">
        <x:v>CNY</x:v>
      </x:c>
      <x:c r="F6559" s="11" t="n">
        <x:v>5.730321697467488</x:v>
      </x:c>
      <x:c r="G6559" s="26" t="b">
        <x:v>1</x:v>
      </x:c>
      <x:c r="H6559" s="16" t="n">
        <x:v>0.216</x:v>
      </x:c>
      <x:c r="I6559" s="16" t="n">
        <x:v>2.6</x:v>
      </x:c>
      <x:c r="J6559" s="16" t="n">
        <x:v>6.8</x:v>
      </x:c>
      <x:c r="K6559" s="11" t="n">
        <x:f>CHOOSE('假设'!$B$3,H6559,I6559,J6559)</x:f>
        <x:v>2.6</x:v>
      </x:c>
      <x:c r="L6559" s="11" t="n">
        <x:f>K6559*'管线假设'!E1403*'管线假设'!F1403*'管线假设'!G1403*IF(E6559="USD",'管线假设'!I1403,1)-AM6559</x:f>
        <x:v>0.546</x:v>
      </x:c>
      <x:c r="M6559" s="11" t="n">
        <x:f>'管线假设'!H1403</x:f>
        <x:v>0.14</x:v>
      </x:c>
      <x:c r="N6559" s="11" t="n">
        <x:f>IF(G6559,L6559*AN6559/(1+M6559)^F6559,0)</x:f>
        <x:v>0.2576971042510861</x:v>
      </x:c>
      <x:c r="AJ6559" s="42" t="n">
        <x:v>0</x:v>
      </x:c>
      <x:c r="AK6559" s="42" t="n">
        <x:v>0</x:v>
      </x:c>
      <x:c r="AL6559" s="42" t="n">
        <x:v>0</x:v>
      </x:c>
      <x:c r="AM6559" t="n">
        <x:f>CHOOSE('假设'!$B$3,AJ6559,AK6559,AL6559)</x:f>
        <x:v>0</x:v>
      </x:c>
      <x:c r="AN6559" t="n">
        <x:v>1</x:v>
      </x:c>
    </x:row>
    <x:row r="6560" ht="23" customHeight="1">
      <x:c r="A6560" s="11" t="str">
        <x:v>09995.HK</x:v>
      </x:c>
      <x:c r="B6560" s="11" t="str">
        <x:v>半年</x:v>
      </x:c>
      <x:c r="C6560" s="11" t="str">
        <x:v>RC148_China</x:v>
      </x:c>
      <x:c r="D6560" s="11" t="str">
        <x:v>2033-12-31</x:v>
      </x:c>
      <x:c r="E6560" s="11" t="str">
        <x:v>CNY</x:v>
      </x:c>
      <x:c r="F6560" s="11" t="n">
        <x:v>6.729637234770705</x:v>
      </x:c>
      <x:c r="G6560" s="26" t="b">
        <x:v>1</x:v>
      </x:c>
      <x:c r="H6560" s="16" t="n">
        <x:v>0.45599999999999996</x:v>
      </x:c>
      <x:c r="I6560" s="16" t="n">
        <x:v>3.4</x:v>
      </x:c>
      <x:c r="J6560" s="16" t="n">
        <x:v>8</x:v>
      </x:c>
      <x:c r="K6560" s="11" t="n">
        <x:f>CHOOSE('假设'!$B$3,H6560,I6560,J6560)</x:f>
        <x:v>3.4</x:v>
      </x:c>
      <x:c r="L6560" s="11" t="n">
        <x:f>K6560*'管线假设'!E1403*'管线假设'!F1403*'管线假设'!G1403*IF(E6560="USD",'管线假设'!I1403,1)-AM6560</x:f>
        <x:v>0.714</x:v>
      </x:c>
      <x:c r="M6560" s="11" t="n">
        <x:f>'管线假设'!H1403</x:f>
        <x:v>0.14</x:v>
      </x:c>
      <x:c r="N6560" s="11" t="n">
        <x:f>IF(G6560,L6560*AN6560/(1+M6560)^F6560,0)</x:f>
        <x:v>0.2956304778625517</x:v>
      </x:c>
      <x:c r="AJ6560" s="42" t="n">
        <x:v>0</x:v>
      </x:c>
      <x:c r="AK6560" s="42" t="n">
        <x:v>0</x:v>
      </x:c>
      <x:c r="AL6560" s="42" t="n">
        <x:v>0</x:v>
      </x:c>
      <x:c r="AM6560" t="n">
        <x:f>CHOOSE('假设'!$B$3,AJ6560,AK6560,AL6560)</x:f>
        <x:v>0</x:v>
      </x:c>
      <x:c r="AN6560" t="n">
        <x:v>1</x:v>
      </x:c>
    </x:row>
    <x:row r="6561" ht="23" customHeight="1">
      <x:c r="A6561" s="11" t="str">
        <x:v>09995.HK</x:v>
      </x:c>
      <x:c r="B6561" s="11" t="str">
        <x:v>半年</x:v>
      </x:c>
      <x:c r="C6561" s="11" t="str">
        <x:v>RC148_China</x:v>
      </x:c>
      <x:c r="D6561" s="11" t="str">
        <x:v>2034-12-31</x:v>
      </x:c>
      <x:c r="E6561" s="11" t="str">
        <x:v>CNY</x:v>
      </x:c>
      <x:c r="F6561" s="11" t="n">
        <x:v>7.728952772073922</x:v>
      </x:c>
      <x:c r="G6561" s="26" t="b">
        <x:v>1</x:v>
      </x:c>
      <x:c r="H6561" s="16" t="n">
        <x:v>0.78</x:v>
      </x:c>
      <x:c r="I6561" s="16" t="n">
        <x:v>4</x:v>
      </x:c>
      <x:c r="J6561" s="16" t="n">
        <x:v>8</x:v>
      </x:c>
      <x:c r="K6561" s="11" t="n">
        <x:f>CHOOSE('假设'!$B$3,H6561,I6561,J6561)</x:f>
        <x:v>4</x:v>
      </x:c>
      <x:c r="L6561" s="11" t="n">
        <x:f>K6561*'管线假设'!E1403*'管线假设'!F1403*'管线假设'!G1403*IF(E6561="USD",'管线假设'!I1403,1)-AM6561</x:f>
        <x:v>0.84</x:v>
      </x:c>
      <x:c r="M6561" s="11" t="n">
        <x:f>'管线假设'!H1403</x:f>
        <x:v>0.14</x:v>
      </x:c>
      <x:c r="N6561" s="11" t="n">
        <x:f>IF(G6561,L6561*AN6561/(1+M6561)^F6561,0)</x:f>
        <x:v>0.30511557519381816</x:v>
      </x:c>
      <x:c r="AJ6561" s="42" t="n">
        <x:v>0</x:v>
      </x:c>
      <x:c r="AK6561" s="42" t="n">
        <x:v>0</x:v>
      </x:c>
      <x:c r="AL6561" s="42" t="n">
        <x:v>0</x:v>
      </x:c>
      <x:c r="AM6561" t="n">
        <x:f>CHOOSE('假设'!$B$3,AJ6561,AK6561,AL6561)</x:f>
        <x:v>0</x:v>
      </x:c>
      <x:c r="AN6561" t="n">
        <x:v>1</x:v>
      </x:c>
    </x:row>
    <x:row r="6562" ht="23" customHeight="1">
      <x:c r="A6562" s="11" t="str">
        <x:v>09995.HK</x:v>
      </x:c>
      <x:c r="B6562" s="11" t="str">
        <x:v>半年</x:v>
      </x:c>
      <x:c r="C6562" s="11" t="str">
        <x:v>RC148_China</x:v>
      </x:c>
      <x:c r="D6562" s="11" t="str">
        <x:v>2035-12-31</x:v>
      </x:c>
      <x:c r="E6562" s="11" t="str">
        <x:v>CNY</x:v>
      </x:c>
      <x:c r="F6562" s="11" t="n">
        <x:v>8.728268309377139</x:v>
      </x:c>
      <x:c r="G6562" s="26" t="b">
        <x:v>1</x:v>
      </x:c>
      <x:c r="H6562" s="16" t="n">
        <x:v>1.02</x:v>
      </x:c>
      <x:c r="I6562" s="16" t="n">
        <x:v>4</x:v>
      </x:c>
      <x:c r="J6562" s="16" t="n">
        <x:v>7.6</x:v>
      </x:c>
      <x:c r="K6562" s="11" t="n">
        <x:f>CHOOSE('假设'!$B$3,H6562,I6562,J6562)</x:f>
        <x:v>4</x:v>
      </x:c>
      <x:c r="L6562" s="11" t="n">
        <x:f>K6562*'管线假设'!E1403*'管线假设'!F1403*'管线假设'!G1403*IF(E6562="USD",'管线假设'!I1403,1)-AM6562</x:f>
        <x:v>0.84</x:v>
      </x:c>
      <x:c r="M6562" s="11" t="n">
        <x:f>'管线假设'!H1403</x:f>
        <x:v>0.14</x:v>
      </x:c>
      <x:c r="N6562" s="11" t="n">
        <x:f>IF(G6562,L6562*AN6562/(1+M6562)^F6562,0)</x:f>
        <x:v>0.267669245959028</x:v>
      </x:c>
      <x:c r="AJ6562" s="42" t="n">
        <x:v>0</x:v>
      </x:c>
      <x:c r="AK6562" s="42" t="n">
        <x:v>0</x:v>
      </x:c>
      <x:c r="AL6562" s="42" t="n">
        <x:v>0</x:v>
      </x:c>
      <x:c r="AM6562" t="n">
        <x:f>CHOOSE('假设'!$B$3,AJ6562,AK6562,AL6562)</x:f>
        <x:v>0</x:v>
      </x:c>
      <x:c r="AN6562" t="n">
        <x:v>1</x:v>
      </x:c>
    </x:row>
    <x:row r="6563" ht="23" customHeight="1">
      <x:c r="A6563" s="11" t="str">
        <x:v>09995.HK</x:v>
      </x:c>
      <x:c r="B6563" s="11" t="str">
        <x:v>半年</x:v>
      </x:c>
      <x:c r="C6563" s="11" t="str">
        <x:v>RC148_China</x:v>
      </x:c>
      <x:c r="D6563" s="11" t="str">
        <x:v>2036-12-31</x:v>
      </x:c>
      <x:c r="E6563" s="11" t="str">
        <x:v>CNY</x:v>
      </x:c>
      <x:c r="F6563" s="11" t="n">
        <x:v>9.730321697467488</x:v>
      </x:c>
      <x:c r="G6563" s="26" t="b">
        <x:v>1</x:v>
      </x:c>
      <x:c r="H6563" s="16" t="n">
        <x:v>1.2</x:v>
      </x:c>
      <x:c r="I6563" s="16" t="n">
        <x:v>3.8</x:v>
      </x:c>
      <x:c r="J6563" s="16" t="n">
        <x:v>7.2</x:v>
      </x:c>
      <x:c r="K6563" s="11" t="n">
        <x:f>CHOOSE('假设'!$B$3,H6563,I6563,J6563)</x:f>
        <x:v>3.8</x:v>
      </x:c>
      <x:c r="L6563" s="11" t="n">
        <x:f>K6563*'管线假设'!E1403*'管线假设'!F1403*'管线假设'!G1403*IF(E6563="USD",'管线假设'!I1403,1)-AM6563</x:f>
        <x:v>0.7979999999999999</x:v>
      </x:c>
      <x:c r="M6563" s="11" t="n">
        <x:f>'管线假设'!H1403</x:f>
        <x:v>0.14</x:v>
      </x:c>
      <x:c r="N6563" s="11" t="n">
        <x:f>IF(G6563,L6563*AN6563/(1+M6563)^F6563,0)</x:f>
        <x:v>0.22299769894515967</x:v>
      </x:c>
      <x:c r="AJ6563" s="42" t="n">
        <x:v>0</x:v>
      </x:c>
      <x:c r="AK6563" s="42" t="n">
        <x:v>0</x:v>
      </x:c>
      <x:c r="AL6563" s="42" t="n">
        <x:v>0</x:v>
      </x:c>
      <x:c r="AM6563" t="n">
        <x:f>CHOOSE('假设'!$B$3,AJ6563,AK6563,AL6563)</x:f>
        <x:v>0</x:v>
      </x:c>
      <x:c r="AN6563" t="n">
        <x:v>1</x:v>
      </x:c>
    </x:row>
    <x:row r="6564" ht="23" customHeight="1">
      <x:c r="A6564" s="11" t="str">
        <x:v>09995.HK</x:v>
      </x:c>
      <x:c r="B6564" s="11" t="str">
        <x:v>半年</x:v>
      </x:c>
      <x:c r="C6564" s="11" t="str">
        <x:v>RC148_China</x:v>
      </x:c>
      <x:c r="D6564" s="11" t="str">
        <x:v>2037-12-31</x:v>
      </x:c>
      <x:c r="E6564" s="11" t="str">
        <x:v>CNY</x:v>
      </x:c>
      <x:c r="F6564" s="11" t="n">
        <x:v>10.729637234770705</x:v>
      </x:c>
      <x:c r="G6564" s="26" t="b">
        <x:v>1</x:v>
      </x:c>
      <x:c r="H6564" s="16" t="n">
        <x:v>1.2</x:v>
      </x:c>
      <x:c r="I6564" s="16" t="n">
        <x:v>3.6</x:v>
      </x:c>
      <x:c r="J6564" s="16" t="n">
        <x:v>6.4</x:v>
      </x:c>
      <x:c r="K6564" s="11" t="n">
        <x:f>CHOOSE('假设'!$B$3,H6564,I6564,J6564)</x:f>
        <x:v>3.6</x:v>
      </x:c>
      <x:c r="L6564" s="11" t="n">
        <x:f>K6564*'管线假设'!E1403*'管线假设'!F1403*'管线假设'!G1403*IF(E6564="USD",'管线假设'!I1403,1)-AM6564</x:f>
        <x:v>0.756</x:v>
      </x:c>
      <x:c r="M6564" s="11" t="n">
        <x:f>'管线假设'!H1403</x:f>
        <x:v>0.14</x:v>
      </x:c>
      <x:c r="N6564" s="11" t="n">
        <x:f>IF(G6564,L6564*AN6564/(1+M6564)^F6564,0)</x:f>
        <x:v>0.18533326799852604</x:v>
      </x:c>
      <x:c r="AJ6564" s="42" t="n">
        <x:v>0</x:v>
      </x:c>
      <x:c r="AK6564" s="42" t="n">
        <x:v>0</x:v>
      </x:c>
      <x:c r="AL6564" s="42" t="n">
        <x:v>0</x:v>
      </x:c>
      <x:c r="AM6564" t="n">
        <x:f>CHOOSE('假设'!$B$3,AJ6564,AK6564,AL6564)</x:f>
        <x:v>0</x:v>
      </x:c>
      <x:c r="AN6564" t="n">
        <x:v>1</x:v>
      </x:c>
    </x:row>
    <x:row r="6565" ht="23" customHeight="1">
      <x:c r="A6565" s="11" t="str">
        <x:v>09995.HK</x:v>
      </x:c>
      <x:c r="B6565" s="11" t="str">
        <x:v>半年</x:v>
      </x:c>
      <x:c r="C6565" s="11" t="str">
        <x:v>RC148_China</x:v>
      </x:c>
      <x:c r="D6565" s="11" t="str">
        <x:v>2038-12-31</x:v>
      </x:c>
      <x:c r="E6565" s="11" t="str">
        <x:v>CNY</x:v>
      </x:c>
      <x:c r="F6565" s="11" t="n">
        <x:v>11.728952772073923</x:v>
      </x:c>
      <x:c r="G6565" s="26" t="b">
        <x:v>1</x:v>
      </x:c>
      <x:c r="H6565" s="16" t="n">
        <x:v>1.14</x:v>
      </x:c>
      <x:c r="I6565" s="16" t="n">
        <x:v>3.2</x:v>
      </x:c>
      <x:c r="J6565" s="16" t="n">
        <x:v>5.2</x:v>
      </x:c>
      <x:c r="K6565" s="11" t="n">
        <x:f>CHOOSE('假设'!$B$3,H6565,I6565,J6565)</x:f>
        <x:v>3.2</x:v>
      </x:c>
      <x:c r="L6565" s="11" t="n">
        <x:f>K6565*'管线假设'!E1403*'管线假设'!F1403*'管线假设'!G1403*IF(E6565="USD",'管线假设'!I1403,1)-AM6565</x:f>
        <x:v>0.672</x:v>
      </x:c>
      <x:c r="M6565" s="11" t="n">
        <x:f>'管线假设'!H1403</x:f>
        <x:v>0.14</x:v>
      </x:c>
      <x:c r="N6565" s="11" t="n">
        <x:f>IF(G6565,L6565*AN6565/(1+M6565)^F6565,0)</x:f>
        <x:v>0.14452233151257662</x:v>
      </x:c>
      <x:c r="AJ6565" s="42" t="n">
        <x:v>0</x:v>
      </x:c>
      <x:c r="AK6565" s="42" t="n">
        <x:v>0</x:v>
      </x:c>
      <x:c r="AL6565" s="42" t="n">
        <x:v>0</x:v>
      </x:c>
      <x:c r="AM6565" t="n">
        <x:f>CHOOSE('假设'!$B$3,AJ6565,AK6565,AL6565)</x:f>
        <x:v>0</x:v>
      </x:c>
      <x:c r="AN6565" t="n">
        <x:v>1</x:v>
      </x:c>
    </x:row>
    <x:row r="6566" ht="23" customHeight="1">
      <x:c r="A6566" s="11" t="str">
        <x:v>09995.HK</x:v>
      </x:c>
      <x:c r="B6566" s="11" t="str">
        <x:v>半年</x:v>
      </x:c>
      <x:c r="C6566" s="11" t="str">
        <x:v>RC148_China</x:v>
      </x:c>
      <x:c r="D6566" s="11" t="str">
        <x:v>2039-12-31</x:v>
      </x:c>
      <x:c r="E6566" s="11" t="str">
        <x:v>CNY</x:v>
      </x:c>
      <x:c r="F6566" s="11" t="n">
        <x:v>12.728268309377139</x:v>
      </x:c>
      <x:c r="G6566" s="26" t="b">
        <x:v>1</x:v>
      </x:c>
      <x:c r="H6566" s="16" t="n">
        <x:v>1.08</x:v>
      </x:c>
      <x:c r="I6566" s="16" t="n">
        <x:v>2.6</x:v>
      </x:c>
      <x:c r="J6566" s="16" t="n">
        <x:v>4</x:v>
      </x:c>
      <x:c r="K6566" s="11" t="n">
        <x:f>CHOOSE('假设'!$B$3,H6566,I6566,J6566)</x:f>
        <x:v>2.6</x:v>
      </x:c>
      <x:c r="L6566" s="11" t="n">
        <x:f>K6566*'管线假设'!E1403*'管线假设'!F1403*'管线假设'!G1403*IF(E6566="USD",'管线假设'!I1403,1)-AM6566</x:f>
        <x:v>0.546</x:v>
      </x:c>
      <x:c r="M6566" s="11" t="n">
        <x:f>'管线假设'!H1403</x:f>
        <x:v>0.14</x:v>
      </x:c>
      <x:c r="N6566" s="11" t="n">
        <x:f>IF(G6566,L6566*AN6566/(1+M6566)^F6566,0)</x:f>
        <x:v>0.10301309290407902</x:v>
      </x:c>
      <x:c r="AJ6566" s="42" t="n">
        <x:v>0</x:v>
      </x:c>
      <x:c r="AK6566" s="42" t="n">
        <x:v>0</x:v>
      </x:c>
      <x:c r="AL6566" s="42" t="n">
        <x:v>0</x:v>
      </x:c>
      <x:c r="AM6566" t="n">
        <x:f>CHOOSE('假设'!$B$3,AJ6566,AK6566,AL6566)</x:f>
        <x:v>0</x:v>
      </x:c>
      <x:c r="AN6566" t="n">
        <x:v>1</x:v>
      </x:c>
    </x:row>
    <x:row r="6567" ht="23" customHeight="1">
      <x:c r="A6567" s="11" t="str">
        <x:v>09995.HK</x:v>
      </x:c>
      <x:c r="B6567" s="11" t="str">
        <x:v>半年</x:v>
      </x:c>
      <x:c r="C6567" s="11" t="str">
        <x:v>RC148_China</x:v>
      </x:c>
      <x:c r="D6567" s="11" t="str">
        <x:v>2040-12-31</x:v>
      </x:c>
      <x:c r="E6567" s="11" t="str">
        <x:v>CNY</x:v>
      </x:c>
      <x:c r="F6567" s="11" t="n">
        <x:v>13.730321697467488</x:v>
      </x:c>
      <x:c r="G6567" s="26" t="b">
        <x:v>1</x:v>
      </x:c>
      <x:c r="H6567" s="16" t="n">
        <x:v>0.96</x:v>
      </x:c>
      <x:c r="I6567" s="16" t="n">
        <x:v>2</x:v>
      </x:c>
      <x:c r="J6567" s="16" t="n">
        <x:v>2.8</x:v>
      </x:c>
      <x:c r="K6567" s="11" t="n">
        <x:f>CHOOSE('假设'!$B$3,H6567,I6567,J6567)</x:f>
        <x:v>2</x:v>
      </x:c>
      <x:c r="L6567" s="11" t="n">
        <x:f>K6567*'管线假设'!E1403*'管线假设'!F1403*'管线假设'!G1403*IF(E6567="USD",'管线假设'!I1403,1)-AM6567</x:f>
        <x:v>0.42</x:v>
      </x:c>
      <x:c r="M6567" s="11" t="n">
        <x:f>'管线假设'!H1403</x:f>
        <x:v>0.14</x:v>
      </x:c>
      <x:c r="N6567" s="11" t="n">
        <x:f>IF(G6567,L6567*AN6567/(1+M6567)^F6567,0)</x:f>
        <x:v>0.06949081023387586</x:v>
      </x:c>
      <x:c r="AJ6567" s="42" t="n">
        <x:v>0</x:v>
      </x:c>
      <x:c r="AK6567" s="42" t="n">
        <x:v>0</x:v>
      </x:c>
      <x:c r="AL6567" s="42" t="n">
        <x:v>0</x:v>
      </x:c>
      <x:c r="AM6567" t="n">
        <x:f>CHOOSE('假设'!$B$3,AJ6567,AK6567,AL6567)</x:f>
        <x:v>0</x:v>
      </x:c>
      <x:c r="AN6567" t="n">
        <x:v>1</x:v>
      </x:c>
    </x:row>
    <x:row r="6568" ht="23" customHeight="1">
      <x:c r="A6568" s="11" t="str">
        <x:v>09995.HK</x:v>
      </x:c>
      <x:c r="B6568" s="11" t="str">
        <x:v>半年</x:v>
      </x:c>
      <x:c r="C6568" s="11" t="str">
        <x:v>RC148_China</x:v>
      </x:c>
      <x:c r="D6568" s="11" t="str">
        <x:v>2041-12-31</x:v>
      </x:c>
      <x:c r="E6568" s="11" t="str">
        <x:v>CNY</x:v>
      </x:c>
      <x:c r="F6568" s="11" t="n">
        <x:v>14.729637234770705</x:v>
      </x:c>
      <x:c r="G6568" s="26" t="b">
        <x:v>1</x:v>
      </x:c>
      <x:c r="H6568" s="16" t="n">
        <x:v>0.78</x:v>
      </x:c>
      <x:c r="I6568" s="16" t="n">
        <x:v>1.4</x:v>
      </x:c>
      <x:c r="J6568" s="16" t="n">
        <x:v>1.6</x:v>
      </x:c>
      <x:c r="K6568" s="11" t="n">
        <x:f>CHOOSE('假设'!$B$3,H6568,I6568,J6568)</x:f>
        <x:v>1.4</x:v>
      </x:c>
      <x:c r="L6568" s="11" t="n">
        <x:f>K6568*'管线假设'!E1403*'管线假设'!F1403*'管线假设'!G1403*IF(E6568="USD",'管线假设'!I1403,1)-AM6568</x:f>
        <x:v>0.294</x:v>
      </x:c>
      <x:c r="M6568" s="11" t="n">
        <x:f>'管线假设'!H1403</x:f>
        <x:v>0.14</x:v>
      </x:c>
      <x:c r="N6568" s="11" t="n">
        <x:f>IF(G6568,L6568*AN6568/(1+M6568)^F6568,0)</x:f>
        <x:v>0.04267362272541315</x:v>
      </x:c>
      <x:c r="AJ6568" s="42" t="n">
        <x:v>0</x:v>
      </x:c>
      <x:c r="AK6568" s="42" t="n">
        <x:v>0</x:v>
      </x:c>
      <x:c r="AL6568" s="42" t="n">
        <x:v>0</x:v>
      </x:c>
      <x:c r="AM6568" t="n">
        <x:f>CHOOSE('假设'!$B$3,AJ6568,AK6568,AL6568)</x:f>
        <x:v>0</x:v>
      </x:c>
      <x:c r="AN6568" t="n">
        <x:v>1</x:v>
      </x:c>
    </x:row>
    <x:row r="6569" ht="23" customHeight="1">
      <x:c r="A6569" s="11" t="str">
        <x:v>09995.HK</x:v>
      </x:c>
      <x:c r="B6569" s="11" t="str">
        <x:v>半年</x:v>
      </x:c>
      <x:c r="C6569" s="11" t="str">
        <x:v>RC148_China</x:v>
      </x:c>
      <x:c r="D6569" s="11" t="str">
        <x:v>2042-12-31</x:v>
      </x:c>
      <x:c r="E6569" s="11" t="str">
        <x:v>CNY</x:v>
      </x:c>
      <x:c r="F6569" s="11" t="n">
        <x:v>15.728952772073923</x:v>
      </x:c>
      <x:c r="G6569" s="26" t="b">
        <x:v>1</x:v>
      </x:c>
      <x:c r="H6569" s="16" t="n">
        <x:v>0.6</x:v>
      </x:c>
      <x:c r="I6569" s="16" t="n">
        <x:v>0.8</x:v>
      </x:c>
      <x:c r="J6569" s="16" t="n">
        <x:v>0.96</x:v>
      </x:c>
      <x:c r="K6569" s="11" t="n">
        <x:f>CHOOSE('假设'!$B$3,H6569,I6569,J6569)</x:f>
        <x:v>0.8</x:v>
      </x:c>
      <x:c r="L6569" s="11" t="n">
        <x:f>K6569*'管线假设'!E1403*'管线假设'!F1403*'管线假设'!G1403*IF(E6569="USD",'管线假设'!I1403,1)-AM6569</x:f>
        <x:v>0.168</x:v>
      </x:c>
      <x:c r="M6569" s="11" t="n">
        <x:f>'管线假设'!H1403</x:f>
        <x:v>0.14</x:v>
      </x:c>
      <x:c r="N6569" s="11" t="n">
        <x:f>IF(G6569,L6569*AN6569/(1+M6569)^F6569,0)</x:f>
        <x:v>0.02139220553203821</x:v>
      </x:c>
      <x:c r="AJ6569" s="42" t="n">
        <x:v>0</x:v>
      </x:c>
      <x:c r="AK6569" s="42" t="n">
        <x:v>0</x:v>
      </x:c>
      <x:c r="AL6569" s="42" t="n">
        <x:v>0</x:v>
      </x:c>
      <x:c r="AM6569" t="n">
        <x:f>CHOOSE('假设'!$B$3,AJ6569,AK6569,AL6569)</x:f>
        <x:v>0</x:v>
      </x:c>
      <x:c r="AN6569" t="n">
        <x:v>1</x:v>
      </x:c>
    </x:row>
    <x:row r="6570" ht="23" customHeight="1">
      <x:c r="A6570" s="11" t="str">
        <x:v>09995.HK</x:v>
      </x:c>
      <x:c r="B6570" s="11" t="str">
        <x:v>半年</x:v>
      </x:c>
      <x:c r="C6570" s="11" t="str">
        <x:v>RC148_China</x:v>
      </x:c>
      <x:c r="D6570" s="11" t="str">
        <x:v>2043-12-31</x:v>
      </x:c>
      <x:c r="E6570" s="11" t="str">
        <x:v>CNY</x:v>
      </x:c>
      <x:c r="F6570" s="11" t="n">
        <x:v>16.72826830937714</x:v>
      </x:c>
      <x:c r="G6570" s="26" t="b">
        <x:v>1</x:v>
      </x:c>
      <x:c r="H6570" s="16" t="n">
        <x:v>0.42</x:v>
      </x:c>
      <x:c r="I6570" s="16" t="n">
        <x:v>0.48</x:v>
      </x:c>
      <x:c r="J6570" s="16" t="n">
        <x:v>0.56</x:v>
      </x:c>
      <x:c r="K6570" s="11" t="n">
        <x:f>CHOOSE('假设'!$B$3,H6570,I6570,J6570)</x:f>
        <x:v>0.48</x:v>
      </x:c>
      <x:c r="L6570" s="11" t="n">
        <x:f>K6570*'管线假设'!E1403*'管线假设'!F1403*'管线假设'!G1403*IF(E6570="USD",'管线假设'!I1403,1)-AM6570</x:f>
        <x:v>0.10079999999999999</x:v>
      </x:c>
      <x:c r="M6570" s="11" t="n">
        <x:f>'管线假设'!H1403</x:f>
        <x:v>0.14</x:v>
      </x:c>
      <x:c r="N6570" s="11" t="n">
        <x:f>IF(G6570,L6570*AN6570/(1+M6570)^F6570,0)</x:f>
        <x:v>0.011260065345121513</x:v>
      </x:c>
      <x:c r="AJ6570" s="42" t="n">
        <x:v>0</x:v>
      </x:c>
      <x:c r="AK6570" s="42" t="n">
        <x:v>0</x:v>
      </x:c>
      <x:c r="AL6570" s="42" t="n">
        <x:v>0</x:v>
      </x:c>
      <x:c r="AM6570" t="n">
        <x:f>CHOOSE('假设'!$B$3,AJ6570,AK6570,AL6570)</x:f>
        <x:v>0</x:v>
      </x:c>
      <x:c r="AN6570" t="n">
        <x:v>1</x:v>
      </x:c>
    </x:row>
    <x:row r="6571" ht="23" customHeight="1">
      <x:c r="A6571" s="11" t="str">
        <x:v>09995.HK</x:v>
      </x:c>
      <x:c r="B6571" s="11" t="str">
        <x:v>半年</x:v>
      </x:c>
      <x:c r="C6571" s="11" t="str">
        <x:v>RC148_China</x:v>
      </x:c>
      <x:c r="D6571" s="11" t="str">
        <x:v>2044-12-31</x:v>
      </x:c>
      <x:c r="E6571" s="11" t="str">
        <x:v>CNY</x:v>
      </x:c>
      <x:c r="F6571" s="11" t="n">
        <x:v>17.730321697467488</x:v>
      </x:c>
      <x:c r="G6571" s="26" t="b">
        <x:v>1</x:v>
      </x:c>
      <x:c r="H6571" s="16" t="n">
        <x:v>0.24</x:v>
      </x:c>
      <x:c r="I6571" s="16" t="n">
        <x:v>0.28</x:v>
      </x:c>
      <x:c r="J6571" s="16" t="n">
        <x:v>0.24</x:v>
      </x:c>
      <x:c r="K6571" s="11" t="n">
        <x:f>CHOOSE('假设'!$B$3,H6571,I6571,J6571)</x:f>
        <x:v>0.28</x:v>
      </x:c>
      <x:c r="L6571" s="11" t="n">
        <x:f>K6571*'管线假设'!E1403*'管线假设'!F1403*'管线假设'!G1403*IF(E6571="USD",'管线假设'!I1403,1)-AM6571</x:f>
        <x:v>0.058800000000000005</x:v>
      </x:c>
      <x:c r="M6571" s="11" t="n">
        <x:f>'管线假设'!H1403</x:f>
        <x:v>0.14</x:v>
      </x:c>
      <x:c r="N6571" s="11" t="n">
        <x:f>IF(G6571,L6571*AN6571/(1+M6571)^F6571,0)</x:f>
        <x:v>0.00576017934771334</x:v>
      </x:c>
      <x:c r="AJ6571" s="42" t="n">
        <x:v>0</x:v>
      </x:c>
      <x:c r="AK6571" s="42" t="n">
        <x:v>0</x:v>
      </x:c>
      <x:c r="AL6571" s="42" t="n">
        <x:v>0</x:v>
      </x:c>
      <x:c r="AM6571" t="n">
        <x:f>CHOOSE('假设'!$B$3,AJ6571,AK6571,AL6571)</x:f>
        <x:v>0</x:v>
      </x:c>
      <x:c r="AN6571" t="n">
        <x:v>1</x:v>
      </x:c>
    </x:row>
    <x:row r="6572" ht="23" customHeight="1">
      <x:c r="A6572" s="11" t="str">
        <x:v>09995.HK</x:v>
      </x:c>
      <x:c r="B6572" s="11" t="str">
        <x:v>半年</x:v>
      </x:c>
      <x:c r="C6572" s="11" t="str">
        <x:v>RC148_foreign</x:v>
      </x:c>
      <x:c r="D6572" s="11" t="str">
        <x:v>2026-12-31</x:v>
      </x:c>
      <x:c r="E6572" s="11" t="str">
        <x:v>USD</x:v>
      </x:c>
      <x:c r="F6572" s="11" t="n">
        <x:v>-0.27104722792607805</x:v>
      </x:c>
      <x:c r="G6572" s="26" t="b">
        <x:v>0</x:v>
      </x:c>
      <x:c r="H6572" s="16" t="n">
        <x:v>0</x:v>
      </x:c>
      <x:c r="I6572" s="16" t="n">
        <x:v>0</x:v>
      </x:c>
      <x:c r="J6572" s="16" t="n">
        <x:v>0</x:v>
      </x:c>
      <x:c r="K6572" s="11" t="n">
        <x:f>CHOOSE('假设'!$B$3,H6572,I6572,J6572)</x:f>
        <x:v>0</x:v>
      </x:c>
      <x:c r="L6572" s="11" t="n">
        <x:f>K6572*'管线假设'!E1407*'管线假设'!F1407*'管线假设'!G1407*IF(E6572="USD",'管线假设'!I1407,1)-AM6572</x:f>
        <x:v>-0.056</x:v>
      </x:c>
      <x:c r="M6572" s="11" t="n">
        <x:f>'管线假设'!H1407</x:f>
        <x:v>0.14</x:v>
      </x:c>
      <x:c r="N6572" s="11" t="n">
        <x:f>IF(G6572,L6572*AN6572/(1+M6572)^F6572,0)</x:f>
        <x:v>0</x:v>
      </x:c>
      <x:c r="AJ6572" s="42" t="n">
        <x:v>0.021</x:v>
      </x:c>
      <x:c r="AK6572" s="42" t="n">
        <x:v>0.056</x:v>
      </x:c>
      <x:c r="AL6572" s="42" t="n">
        <x:v>0.084</x:v>
      </x:c>
      <x:c r="AM6572" t="n">
        <x:f>CHOOSE('假设'!$B$3,AJ6572,AK6572,AL6572)</x:f>
        <x:v>0.056</x:v>
      </x:c>
      <x:c r="AN6572" t="n">
        <x:v>0</x:v>
      </x:c>
    </x:row>
    <x:row r="6573" ht="23" customHeight="1">
      <x:c r="A6573" s="11" t="str">
        <x:v>09995.HK</x:v>
      </x:c>
      <x:c r="B6573" s="11" t="str">
        <x:v>半年</x:v>
      </x:c>
      <x:c r="C6573" s="11" t="str">
        <x:v>RC148_foreign</x:v>
      </x:c>
      <x:c r="D6573" s="11" t="str">
        <x:v>2027-12-31</x:v>
      </x:c>
      <x:c r="E6573" s="11" t="str">
        <x:v>USD</x:v>
      </x:c>
      <x:c r="F6573" s="11" t="n">
        <x:v>0.7282683093771389</x:v>
      </x:c>
      <x:c r="G6573" s="26" t="b">
        <x:v>1</x:v>
      </x:c>
      <x:c r="H6573" s="16" t="n">
        <x:v>0</x:v>
      </x:c>
      <x:c r="I6573" s="16" t="n">
        <x:v>0</x:v>
      </x:c>
      <x:c r="J6573" s="16" t="n">
        <x:v>0</x:v>
      </x:c>
      <x:c r="K6573" s="11" t="n">
        <x:f>CHOOSE('假设'!$B$3,H6573,I6573,J6573)</x:f>
        <x:v>0</x:v>
      </x:c>
      <x:c r="L6573" s="11" t="n">
        <x:f>K6573*'管线假设'!E1407*'管线假设'!F1407*'管线假设'!G1407*IF(E6573="USD",'管线假设'!I1407,1)-AM6573</x:f>
        <x:v>0</x:v>
      </x:c>
      <x:c r="M6573" s="11" t="n">
        <x:f>'管线假设'!H1407</x:f>
        <x:v>0.14</x:v>
      </x:c>
      <x:c r="N6573" s="11" t="n">
        <x:f>IF(G6573,L6573*AN6573/(1+M6573)^F6573,0)</x:f>
        <x:v>0</x:v>
      </x:c>
      <x:c r="AJ6573" s="42" t="n">
        <x:v>0</x:v>
      </x:c>
      <x:c r="AK6573" s="42" t="n">
        <x:v>0</x:v>
      </x:c>
      <x:c r="AL6573" s="42" t="n">
        <x:v>0</x:v>
      </x:c>
      <x:c r="AM6573" t="n">
        <x:f>CHOOSE('假设'!$B$3,AJ6573,AK6573,AL6573)</x:f>
        <x:v>0</x:v>
      </x:c>
      <x:c r="AN6573" t="n">
        <x:v>0.7307692307692307</x:v>
      </x:c>
    </x:row>
    <x:row r="6574" ht="23" customHeight="1">
      <x:c r="A6574" s="11" t="str">
        <x:v>09995.HK</x:v>
      </x:c>
      <x:c r="B6574" s="11" t="str">
        <x:v>半年</x:v>
      </x:c>
      <x:c r="C6574" s="11" t="str">
        <x:v>RC148_foreign</x:v>
      </x:c>
      <x:c r="D6574" s="11" t="str">
        <x:v>2028-12-31</x:v>
      </x:c>
      <x:c r="E6574" s="11" t="str">
        <x:v>USD</x:v>
      </x:c>
      <x:c r="F6574" s="11" t="n">
        <x:v>1.730321697467488</x:v>
      </x:c>
      <x:c r="G6574" s="26" t="b">
        <x:v>1</x:v>
      </x:c>
      <x:c r="H6574" s="16" t="n">
        <x:v>0</x:v>
      </x:c>
      <x:c r="I6574" s="16" t="n">
        <x:v>0</x:v>
      </x:c>
      <x:c r="J6574" s="16" t="n">
        <x:v>0</x:v>
      </x:c>
      <x:c r="K6574" s="11" t="n">
        <x:f>CHOOSE('假设'!$B$3,H6574,I6574,J6574)</x:f>
        <x:v>0</x:v>
      </x:c>
      <x:c r="L6574" s="11" t="n">
        <x:f>K6574*'管线假设'!E1407*'管线假设'!F1407*'管线假设'!G1407*IF(E6574="USD",'管线假设'!I1407,1)-AM6574</x:f>
        <x:v>0</x:v>
      </x:c>
      <x:c r="M6574" s="11" t="n">
        <x:f>'管线假设'!H1407</x:f>
        <x:v>0.14</x:v>
      </x:c>
      <x:c r="N6574" s="11" t="n">
        <x:f>IF(G6574,L6574*AN6574/(1+M6574)^F6574,0)</x:f>
        <x:v>0</x:v>
      </x:c>
      <x:c r="AJ6574" s="42" t="n">
        <x:v>0</x:v>
      </x:c>
      <x:c r="AK6574" s="42" t="n">
        <x:v>0</x:v>
      </x:c>
      <x:c r="AL6574" s="42" t="n">
        <x:v>0</x:v>
      </x:c>
      <x:c r="AM6574" t="n">
        <x:f>CHOOSE('假设'!$B$3,AJ6574,AK6574,AL6574)</x:f>
        <x:v>0</x:v>
      </x:c>
      <x:c r="AN6574" t="n">
        <x:v>1</x:v>
      </x:c>
    </x:row>
    <x:row r="6575" ht="23" customHeight="1">
      <x:c r="A6575" s="11" t="str">
        <x:v>09995.HK</x:v>
      </x:c>
      <x:c r="B6575" s="11" t="str">
        <x:v>半年</x:v>
      </x:c>
      <x:c r="C6575" s="11" t="str">
        <x:v>RC148_foreign</x:v>
      </x:c>
      <x:c r="D6575" s="11" t="str">
        <x:v>2029-12-31</x:v>
      </x:c>
      <x:c r="E6575" s="11" t="str">
        <x:v>USD</x:v>
      </x:c>
      <x:c r="F6575" s="11" t="n">
        <x:v>2.729637234770705</x:v>
      </x:c>
      <x:c r="G6575" s="26" t="b">
        <x:v>1</x:v>
      </x:c>
      <x:c r="H6575" s="16" t="n">
        <x:v>0</x:v>
      </x:c>
      <x:c r="I6575" s="16" t="n">
        <x:v>0</x:v>
      </x:c>
      <x:c r="J6575" s="16" t="n">
        <x:v>0.6</x:v>
      </x:c>
      <x:c r="K6575" s="11" t="n">
        <x:f>CHOOSE('假设'!$B$3,H6575,I6575,J6575)</x:f>
        <x:v>0</x:v>
      </x:c>
      <x:c r="L6575" s="11" t="n">
        <x:f>K6575*'管线假设'!E1407*'管线假设'!F1407*'管线假设'!G1407*IF(E6575="USD",'管线假设'!I1407,1)-AM6575</x:f>
        <x:v>0</x:v>
      </x:c>
      <x:c r="M6575" s="11" t="n">
        <x:f>'管线假设'!H1407</x:f>
        <x:v>0.14</x:v>
      </x:c>
      <x:c r="N6575" s="11" t="n">
        <x:f>IF(G6575,L6575*AN6575/(1+M6575)^F6575,0)</x:f>
        <x:v>0</x:v>
      </x:c>
      <x:c r="AJ6575" s="42" t="n">
        <x:v>0</x:v>
      </x:c>
      <x:c r="AK6575" s="42" t="n">
        <x:v>0</x:v>
      </x:c>
      <x:c r="AL6575" s="42" t="n">
        <x:v>0</x:v>
      </x:c>
      <x:c r="AM6575" t="n">
        <x:f>CHOOSE('假设'!$B$3,AJ6575,AK6575,AL6575)</x:f>
        <x:v>0</x:v>
      </x:c>
      <x:c r="AN6575" t="n">
        <x:v>1</x:v>
      </x:c>
    </x:row>
    <x:row r="6576" ht="23" customHeight="1">
      <x:c r="A6576" s="11" t="str">
        <x:v>09995.HK</x:v>
      </x:c>
      <x:c r="B6576" s="11" t="str">
        <x:v>半年</x:v>
      </x:c>
      <x:c r="C6576" s="11" t="str">
        <x:v>RC148_foreign</x:v>
      </x:c>
      <x:c r="D6576" s="11" t="str">
        <x:v>2030-12-31</x:v>
      </x:c>
      <x:c r="E6576" s="11" t="str">
        <x:v>USD</x:v>
      </x:c>
      <x:c r="F6576" s="11" t="n">
        <x:v>3.728952772073922</x:v>
      </x:c>
      <x:c r="G6576" s="26" t="b">
        <x:v>1</x:v>
      </x:c>
      <x:c r="H6576" s="16" t="n">
        <x:v>0</x:v>
      </x:c>
      <x:c r="I6576" s="16" t="n">
        <x:v>0.3</x:v>
      </x:c>
      <x:c r="J6576" s="16" t="n">
        <x:v>1.7999999999999998</x:v>
      </x:c>
      <x:c r="K6576" s="11" t="n">
        <x:f>CHOOSE('假设'!$B$3,H6576,I6576,J6576)</x:f>
        <x:v>0.3</x:v>
      </x:c>
      <x:c r="L6576" s="11" t="n">
        <x:f>K6576*'管线假设'!E1407*'管线假设'!F1407*'管线假设'!G1407*IF(E6576="USD",'管线假设'!I1407,1)-AM6576</x:f>
        <x:v>0.12054</x:v>
      </x:c>
      <x:c r="M6576" s="11" t="n">
        <x:f>'管线假设'!H1407</x:f>
        <x:v>0.14</x:v>
      </x:c>
      <x:c r="N6576" s="11" t="n">
        <x:f>IF(G6576,L6576*AN6576/(1+M6576)^F6576,0)</x:f>
        <x:v>0.07394957527514052</x:v>
      </x:c>
      <x:c r="AJ6576" s="42" t="n">
        <x:v>0</x:v>
      </x:c>
      <x:c r="AK6576" s="42" t="n">
        <x:v>0</x:v>
      </x:c>
      <x:c r="AL6576" s="42" t="n">
        <x:v>0</x:v>
      </x:c>
      <x:c r="AM6576" t="n">
        <x:f>CHOOSE('假设'!$B$3,AJ6576,AK6576,AL6576)</x:f>
        <x:v>0</x:v>
      </x:c>
      <x:c r="AN6576" t="n">
        <x:v>1</x:v>
      </x:c>
    </x:row>
    <x:row r="6577" ht="23" customHeight="1">
      <x:c r="A6577" s="11" t="str">
        <x:v>09995.HK</x:v>
      </x:c>
      <x:c r="B6577" s="11" t="str">
        <x:v>半年</x:v>
      </x:c>
      <x:c r="C6577" s="11" t="str">
        <x:v>RC148_foreign</x:v>
      </x:c>
      <x:c r="D6577" s="11" t="str">
        <x:v>2031-12-31</x:v>
      </x:c>
      <x:c r="E6577" s="11" t="str">
        <x:v>USD</x:v>
      </x:c>
      <x:c r="F6577" s="11" t="n">
        <x:v>4.728268309377139</x:v>
      </x:c>
      <x:c r="G6577" s="26" t="b">
        <x:v>1</x:v>
      </x:c>
      <x:c r="H6577" s="16" t="n">
        <x:v>0</x:v>
      </x:c>
      <x:c r="I6577" s="16" t="n">
        <x:v>0.8999999999999999</x:v>
      </x:c>
      <x:c r="J6577" s="16" t="n">
        <x:v>3.8</x:v>
      </x:c>
      <x:c r="K6577" s="11" t="n">
        <x:f>CHOOSE('假设'!$B$3,H6577,I6577,J6577)</x:f>
        <x:v>0.8999999999999999</x:v>
      </x:c>
      <x:c r="L6577" s="11" t="n">
        <x:f>K6577*'管线假设'!E1407*'管线假设'!F1407*'管线假设'!G1407*IF(E6577="USD",'管线假设'!I1407,1)-AM6577</x:f>
        <x:v>0.36162</x:v>
      </x:c>
      <x:c r="M6577" s="11" t="n">
        <x:f>'管线假设'!H1407</x:f>
        <x:v>0.14</x:v>
      </x:c>
      <x:c r="N6577" s="11" t="n">
        <x:f>IF(G6577,L6577*AN6577/(1+M6577)^F6577,0)</x:f>
        <x:v>0.19462159911351803</x:v>
      </x:c>
      <x:c r="AJ6577" s="42" t="n">
        <x:v>0</x:v>
      </x:c>
      <x:c r="AK6577" s="42" t="n">
        <x:v>0</x:v>
      </x:c>
      <x:c r="AL6577" s="42" t="n">
        <x:v>0</x:v>
      </x:c>
      <x:c r="AM6577" t="n">
        <x:f>CHOOSE('假设'!$B$3,AJ6577,AK6577,AL6577)</x:f>
        <x:v>0</x:v>
      </x:c>
      <x:c r="AN6577" t="n">
        <x:v>1</x:v>
      </x:c>
    </x:row>
    <x:row r="6578" ht="23" customHeight="1">
      <x:c r="A6578" s="11" t="str">
        <x:v>09995.HK</x:v>
      </x:c>
      <x:c r="B6578" s="11" t="str">
        <x:v>半年</x:v>
      </x:c>
      <x:c r="C6578" s="11" t="str">
        <x:v>RC148_foreign</x:v>
      </x:c>
      <x:c r="D6578" s="11" t="str">
        <x:v>2032-12-31</x:v>
      </x:c>
      <x:c r="E6578" s="11" t="str">
        <x:v>USD</x:v>
      </x:c>
      <x:c r="F6578" s="11" t="n">
        <x:v>5.730321697467488</x:v>
      </x:c>
      <x:c r="G6578" s="26" t="b">
        <x:v>1</x:v>
      </x:c>
      <x:c r="H6578" s="16" t="n">
        <x:v>0.12</x:v>
      </x:c>
      <x:c r="I6578" s="16" t="n">
        <x:v>1.9</x:v>
      </x:c>
      <x:c r="J6578" s="16" t="n">
        <x:v>6.5</x:v>
      </x:c>
      <x:c r="K6578" s="11" t="n">
        <x:f>CHOOSE('假设'!$B$3,H6578,I6578,J6578)</x:f>
        <x:v>1.9</x:v>
      </x:c>
      <x:c r="L6578" s="11" t="n">
        <x:f>K6578*'管线假设'!E1407*'管线假设'!F1407*'管线假设'!G1407*IF(E6578="USD",'管线假设'!I1407,1)-AM6578</x:f>
        <x:v>0.76342</x:v>
      </x:c>
      <x:c r="M6578" s="11" t="n">
        <x:f>'管线假设'!H1407</x:f>
        <x:v>0.14</x:v>
      </x:c>
      <x:c r="N6578" s="11" t="n">
        <x:f>IF(G6578,L6578*AN6578/(1+M6578)^F6578,0)</x:f>
        <x:v>0.3603134126874801</x:v>
      </x:c>
      <x:c r="AJ6578" s="42" t="n">
        <x:v>0</x:v>
      </x:c>
      <x:c r="AK6578" s="42" t="n">
        <x:v>0</x:v>
      </x:c>
      <x:c r="AL6578" s="42" t="n">
        <x:v>0</x:v>
      </x:c>
      <x:c r="AM6578" t="n">
        <x:f>CHOOSE('假设'!$B$3,AJ6578,AK6578,AL6578)</x:f>
        <x:v>0</x:v>
      </x:c>
      <x:c r="AN6578" t="n">
        <x:v>1</x:v>
      </x:c>
    </x:row>
    <x:row r="6579" ht="23" customHeight="1">
      <x:c r="A6579" s="11" t="str">
        <x:v>09995.HK</x:v>
      </x:c>
      <x:c r="B6579" s="11" t="str">
        <x:v>半年</x:v>
      </x:c>
      <x:c r="C6579" s="11" t="str">
        <x:v>RC148_foreign</x:v>
      </x:c>
      <x:c r="D6579" s="11" t="str">
        <x:v>2033-12-31</x:v>
      </x:c>
      <x:c r="E6579" s="11" t="str">
        <x:v>USD</x:v>
      </x:c>
      <x:c r="F6579" s="11" t="n">
        <x:v>6.729637234770705</x:v>
      </x:c>
      <x:c r="G6579" s="26" t="b">
        <x:v>1</x:v>
      </x:c>
      <x:c r="H6579" s="16" t="n">
        <x:v>0.36</x:v>
      </x:c>
      <x:c r="I6579" s="16" t="n">
        <x:v>3.25</x:v>
      </x:c>
      <x:c r="J6579" s="16" t="n">
        <x:v>8.5</x:v>
      </x:c>
      <x:c r="K6579" s="11" t="n">
        <x:f>CHOOSE('假设'!$B$3,H6579,I6579,J6579)</x:f>
        <x:v>3.25</x:v>
      </x:c>
      <x:c r="L6579" s="11" t="n">
        <x:f>K6579*'管线假设'!E1407*'管线假设'!F1407*'管线假设'!G1407*IF(E6579="USD",'管线假设'!I1407,1)-AM6579</x:f>
        <x:v>1.30585</x:v>
      </x:c>
      <x:c r="M6579" s="11" t="n">
        <x:f>'管线假设'!H1407</x:f>
        <x:v>0.14</x:v>
      </x:c>
      <x:c r="N6579" s="11" t="n">
        <x:f>IF(G6579,L6579*AN6579/(1+M6579)^F6579,0)</x:f>
        <x:v>0.5406849573064609</x:v>
      </x:c>
      <x:c r="AJ6579" s="42" t="n">
        <x:v>0</x:v>
      </x:c>
      <x:c r="AK6579" s="42" t="n">
        <x:v>0</x:v>
      </x:c>
      <x:c r="AL6579" s="42" t="n">
        <x:v>0</x:v>
      </x:c>
      <x:c r="AM6579" t="n">
        <x:f>CHOOSE('假设'!$B$3,AJ6579,AK6579,AL6579)</x:f>
        <x:v>0</x:v>
      </x:c>
      <x:c r="AN6579" t="n">
        <x:v>1</x:v>
      </x:c>
    </x:row>
    <x:row r="6580" ht="23" customHeight="1">
      <x:c r="A6580" s="11" t="str">
        <x:v>09995.HK</x:v>
      </x:c>
      <x:c r="B6580" s="11" t="str">
        <x:v>半年</x:v>
      </x:c>
      <x:c r="C6580" s="11" t="str">
        <x:v>RC148_foreign</x:v>
      </x:c>
      <x:c r="D6580" s="11" t="str">
        <x:v>2034-12-31</x:v>
      </x:c>
      <x:c r="E6580" s="11" t="str">
        <x:v>USD</x:v>
      </x:c>
      <x:c r="F6580" s="11" t="n">
        <x:v>7.728952772073922</x:v>
      </x:c>
      <x:c r="G6580" s="26" t="b">
        <x:v>1</x:v>
      </x:c>
      <x:c r="H6580" s="16" t="n">
        <x:v>0.76</x:v>
      </x:c>
      <x:c r="I6580" s="16" t="n">
        <x:v>4.25</x:v>
      </x:c>
      <x:c r="J6580" s="16" t="n">
        <x:v>10</x:v>
      </x:c>
      <x:c r="K6580" s="11" t="n">
        <x:f>CHOOSE('假设'!$B$3,H6580,I6580,J6580)</x:f>
        <x:v>4.25</x:v>
      </x:c>
      <x:c r="L6580" s="11" t="n">
        <x:f>K6580*'管线假设'!E1407*'管线假设'!F1407*'管线假设'!G1407*IF(E6580="USD",'管线假设'!I1407,1)-AM6580</x:f>
        <x:v>1.7076500000000001</x:v>
      </x:c>
      <x:c r="M6580" s="11" t="n">
        <x:f>'管线假设'!H1407</x:f>
        <x:v>0.14</x:v>
      </x:c>
      <x:c r="N6580" s="11" t="n">
        <x:f>IF(G6580,L6580*AN6580/(1+M6580)^F6580,0)</x:f>
        <x:v>0.6202745380710996</x:v>
      </x:c>
      <x:c r="AJ6580" s="42" t="n">
        <x:v>0</x:v>
      </x:c>
      <x:c r="AK6580" s="42" t="n">
        <x:v>0</x:v>
      </x:c>
      <x:c r="AL6580" s="42" t="n">
        <x:v>0</x:v>
      </x:c>
      <x:c r="AM6580" t="n">
        <x:f>CHOOSE('假设'!$B$3,AJ6580,AK6580,AL6580)</x:f>
        <x:v>0</x:v>
      </x:c>
      <x:c r="AN6580" t="n">
        <x:v>1</x:v>
      </x:c>
    </x:row>
    <x:row r="6581" ht="23" customHeight="1">
      <x:c r="A6581" s="11" t="str">
        <x:v>09995.HK</x:v>
      </x:c>
      <x:c r="B6581" s="11" t="str">
        <x:v>半年</x:v>
      </x:c>
      <x:c r="C6581" s="11" t="str">
        <x:v>RC148_foreign</x:v>
      </x:c>
      <x:c r="D6581" s="11" t="str">
        <x:v>2035-12-31</x:v>
      </x:c>
      <x:c r="E6581" s="11" t="str">
        <x:v>USD</x:v>
      </x:c>
      <x:c r="F6581" s="11" t="n">
        <x:v>8.728268309377139</x:v>
      </x:c>
      <x:c r="G6581" s="26" t="b">
        <x:v>1</x:v>
      </x:c>
      <x:c r="H6581" s="16" t="n">
        <x:v>1.3</x:v>
      </x:c>
      <x:c r="I6581" s="16" t="n">
        <x:v>5</x:v>
      </x:c>
      <x:c r="J6581" s="16" t="n">
        <x:v>10</x:v>
      </x:c>
      <x:c r="K6581" s="11" t="n">
        <x:f>CHOOSE('假设'!$B$3,H6581,I6581,J6581)</x:f>
        <x:v>5</x:v>
      </x:c>
      <x:c r="L6581" s="11" t="n">
        <x:f>K6581*'管线假设'!E1407*'管线假设'!F1407*'管线假设'!G1407*IF(E6581="USD",'管线假设'!I1407,1)-AM6581</x:f>
        <x:v>2.009</x:v>
      </x:c>
      <x:c r="M6581" s="11" t="n">
        <x:f>'管线假设'!H1407</x:f>
        <x:v>0.14</x:v>
      </x:c>
      <x:c r="N6581" s="11" t="n">
        <x:f>IF(G6581,L6581*AN6581/(1+M6581)^F6581,0)</x:f>
        <x:v>0.6401756132520087</x:v>
      </x:c>
      <x:c r="AJ6581" s="42" t="n">
        <x:v>0</x:v>
      </x:c>
      <x:c r="AK6581" s="42" t="n">
        <x:v>0</x:v>
      </x:c>
      <x:c r="AL6581" s="42" t="n">
        <x:v>0</x:v>
      </x:c>
      <x:c r="AM6581" t="n">
        <x:f>CHOOSE('假设'!$B$3,AJ6581,AK6581,AL6581)</x:f>
        <x:v>0</x:v>
      </x:c>
      <x:c r="AN6581" t="n">
        <x:v>1</x:v>
      </x:c>
    </x:row>
    <x:row r="6582" ht="23" customHeight="1">
      <x:c r="A6582" s="11" t="str">
        <x:v>09995.HK</x:v>
      </x:c>
      <x:c r="B6582" s="11" t="str">
        <x:v>半年</x:v>
      </x:c>
      <x:c r="C6582" s="11" t="str">
        <x:v>RC148_foreign</x:v>
      </x:c>
      <x:c r="D6582" s="11" t="str">
        <x:v>2036-12-31</x:v>
      </x:c>
      <x:c r="E6582" s="11" t="str">
        <x:v>USD</x:v>
      </x:c>
      <x:c r="F6582" s="11" t="n">
        <x:v>9.730321697467488</x:v>
      </x:c>
      <x:c r="G6582" s="26" t="b">
        <x:v>1</x:v>
      </x:c>
      <x:c r="H6582" s="16" t="n">
        <x:v>1.7</x:v>
      </x:c>
      <x:c r="I6582" s="16" t="n">
        <x:v>5</x:v>
      </x:c>
      <x:c r="J6582" s="16" t="n">
        <x:v>9.5</x:v>
      </x:c>
      <x:c r="K6582" s="11" t="n">
        <x:f>CHOOSE('假设'!$B$3,H6582,I6582,J6582)</x:f>
        <x:v>5</x:v>
      </x:c>
      <x:c r="L6582" s="11" t="n">
        <x:f>K6582*'管线假设'!E1407*'管线假设'!F1407*'管线假设'!G1407*IF(E6582="USD",'管线假设'!I1407,1)-AM6582</x:f>
        <x:v>2.009</x:v>
      </x:c>
      <x:c r="M6582" s="11" t="n">
        <x:f>'管线假设'!H1407</x:f>
        <x:v>0.14</x:v>
      </x:c>
      <x:c r="N6582" s="11" t="n">
        <x:f>IF(G6582,L6582*AN6582/(1+M6582)^F6582,0)</x:f>
        <x:v>0.5614064876952704</x:v>
      </x:c>
      <x:c r="AJ6582" s="42" t="n">
        <x:v>0</x:v>
      </x:c>
      <x:c r="AK6582" s="42" t="n">
        <x:v>0</x:v>
      </x:c>
      <x:c r="AL6582" s="42" t="n">
        <x:v>0</x:v>
      </x:c>
      <x:c r="AM6582" t="n">
        <x:f>CHOOSE('假设'!$B$3,AJ6582,AK6582,AL6582)</x:f>
        <x:v>0</x:v>
      </x:c>
      <x:c r="AN6582" t="n">
        <x:v>1</x:v>
      </x:c>
    </x:row>
    <x:row r="6583" ht="23" customHeight="1">
      <x:c r="A6583" s="11" t="str">
        <x:v>09995.HK</x:v>
      </x:c>
      <x:c r="B6583" s="11" t="str">
        <x:v>半年</x:v>
      </x:c>
      <x:c r="C6583" s="11" t="str">
        <x:v>RC148_foreign</x:v>
      </x:c>
      <x:c r="D6583" s="11" t="str">
        <x:v>2037-12-31</x:v>
      </x:c>
      <x:c r="E6583" s="11" t="str">
        <x:v>USD</x:v>
      </x:c>
      <x:c r="F6583" s="11" t="n">
        <x:v>10.729637234770705</x:v>
      </x:c>
      <x:c r="G6583" s="26" t="b">
        <x:v>1</x:v>
      </x:c>
      <x:c r="H6583" s="16" t="n">
        <x:v>2</x:v>
      </x:c>
      <x:c r="I6583" s="16" t="n">
        <x:v>4.75</x:v>
      </x:c>
      <x:c r="J6583" s="16" t="n">
        <x:v>9</x:v>
      </x:c>
      <x:c r="K6583" s="11" t="n">
        <x:f>CHOOSE('假设'!$B$3,H6583,I6583,J6583)</x:f>
        <x:v>4.75</x:v>
      </x:c>
      <x:c r="L6583" s="11" t="n">
        <x:f>K6583*'管线假设'!E1407*'管线假设'!F1407*'管线假设'!G1407*IF(E6583="USD",'管线假设'!I1407,1)-AM6583</x:f>
        <x:v>1.90855</x:v>
      </x:c>
      <x:c r="M6583" s="11" t="n">
        <x:f>'管线假设'!H1407</x:f>
        <x:v>0.14</x:v>
      </x:c>
      <x:c r="N6583" s="11" t="n">
        <x:f>IF(G6583,L6583*AN6583/(1+M6583)^F6583,0)</x:f>
        <x:v>0.46788069925739</x:v>
      </x:c>
      <x:c r="AJ6583" s="42" t="n">
        <x:v>0</x:v>
      </x:c>
      <x:c r="AK6583" s="42" t="n">
        <x:v>0</x:v>
      </x:c>
      <x:c r="AL6583" s="42" t="n">
        <x:v>0</x:v>
      </x:c>
      <x:c r="AM6583" t="n">
        <x:f>CHOOSE('假设'!$B$3,AJ6583,AK6583,AL6583)</x:f>
        <x:v>0</x:v>
      </x:c>
      <x:c r="AN6583" t="n">
        <x:v>1</x:v>
      </x:c>
    </x:row>
    <x:row r="6584" ht="23" customHeight="1">
      <x:c r="A6584" s="11" t="str">
        <x:v>09995.HK</x:v>
      </x:c>
      <x:c r="B6584" s="11" t="str">
        <x:v>半年</x:v>
      </x:c>
      <x:c r="C6584" s="11" t="str">
        <x:v>RC148_foreign</x:v>
      </x:c>
      <x:c r="D6584" s="11" t="str">
        <x:v>2038-12-31</x:v>
      </x:c>
      <x:c r="E6584" s="11" t="str">
        <x:v>USD</x:v>
      </x:c>
      <x:c r="F6584" s="11" t="n">
        <x:v>11.728952772073923</x:v>
      </x:c>
      <x:c r="G6584" s="26" t="b">
        <x:v>1</x:v>
      </x:c>
      <x:c r="H6584" s="16" t="n">
        <x:v>2</x:v>
      </x:c>
      <x:c r="I6584" s="16" t="n">
        <x:v>4.5</x:v>
      </x:c>
      <x:c r="J6584" s="16" t="n">
        <x:v>8</x:v>
      </x:c>
      <x:c r="K6584" s="11" t="n">
        <x:f>CHOOSE('假设'!$B$3,H6584,I6584,J6584)</x:f>
        <x:v>4.5</x:v>
      </x:c>
      <x:c r="L6584" s="11" t="n">
        <x:f>K6584*'管线假设'!E1407*'管线假设'!F1407*'管线假设'!G1407*IF(E6584="USD",'管线假设'!I1407,1)-AM6584</x:f>
        <x:v>1.8080999999999998</x:v>
      </x:c>
      <x:c r="M6584" s="11" t="n">
        <x:f>'管线假设'!H1407</x:f>
        <x:v>0.14</x:v>
      </x:c>
      <x:c r="N6584" s="11" t="n">
        <x:f>IF(G6584,L6584*AN6584/(1+M6584)^F6584,0)</x:f>
        <x:v>0.3888553982260264</x:v>
      </x:c>
      <x:c r="AJ6584" s="42" t="n">
        <x:v>0</x:v>
      </x:c>
      <x:c r="AK6584" s="42" t="n">
        <x:v>0</x:v>
      </x:c>
      <x:c r="AL6584" s="42" t="n">
        <x:v>0</x:v>
      </x:c>
      <x:c r="AM6584" t="n">
        <x:f>CHOOSE('假设'!$B$3,AJ6584,AK6584,AL6584)</x:f>
        <x:v>0</x:v>
      </x:c>
      <x:c r="AN6584" t="n">
        <x:v>1</x:v>
      </x:c>
    </x:row>
    <x:row r="6585" ht="23" customHeight="1">
      <x:c r="A6585" s="11" t="str">
        <x:v>09995.HK</x:v>
      </x:c>
      <x:c r="B6585" s="11" t="str">
        <x:v>半年</x:v>
      </x:c>
      <x:c r="C6585" s="11" t="str">
        <x:v>RC148_foreign</x:v>
      </x:c>
      <x:c r="D6585" s="11" t="str">
        <x:v>2039-12-31</x:v>
      </x:c>
      <x:c r="E6585" s="11" t="str">
        <x:v>USD</x:v>
      </x:c>
      <x:c r="F6585" s="11" t="n">
        <x:v>12.728268309377139</x:v>
      </x:c>
      <x:c r="G6585" s="26" t="b">
        <x:v>1</x:v>
      </x:c>
      <x:c r="H6585" s="16" t="n">
        <x:v>1.9</x:v>
      </x:c>
      <x:c r="I6585" s="16" t="n">
        <x:v>4</x:v>
      </x:c>
      <x:c r="J6585" s="16" t="n">
        <x:v>6.5</x:v>
      </x:c>
      <x:c r="K6585" s="11" t="n">
        <x:f>CHOOSE('假设'!$B$3,H6585,I6585,J6585)</x:f>
        <x:v>4</x:v>
      </x:c>
      <x:c r="L6585" s="11" t="n">
        <x:f>K6585*'管线假设'!E1407*'管线假设'!F1407*'管线假设'!G1407*IF(E6585="USD",'管线假设'!I1407,1)-AM6585</x:f>
        <x:v>1.6072</x:v>
      </x:c>
      <x:c r="M6585" s="11" t="n">
        <x:f>'管线假设'!H1407</x:f>
        <x:v>0.14</x:v>
      </x:c>
      <x:c r="N6585" s="11" t="n">
        <x:f>IF(G6585,L6585*AN6585/(1+M6585)^F6585,0)</x:f>
        <x:v>0.3032282837279044</x:v>
      </x:c>
      <x:c r="AJ6585" s="42" t="n">
        <x:v>0</x:v>
      </x:c>
      <x:c r="AK6585" s="42" t="n">
        <x:v>0</x:v>
      </x:c>
      <x:c r="AL6585" s="42" t="n">
        <x:v>0</x:v>
      </x:c>
      <x:c r="AM6585" t="n">
        <x:f>CHOOSE('假设'!$B$3,AJ6585,AK6585,AL6585)</x:f>
        <x:v>0</x:v>
      </x:c>
      <x:c r="AN6585" t="n">
        <x:v>1</x:v>
      </x:c>
    </x:row>
    <x:row r="6586" ht="23" customHeight="1">
      <x:c r="A6586" s="11" t="str">
        <x:v>09995.HK</x:v>
      </x:c>
      <x:c r="B6586" s="11" t="str">
        <x:v>半年</x:v>
      </x:c>
      <x:c r="C6586" s="11" t="str">
        <x:v>RC148_foreign</x:v>
      </x:c>
      <x:c r="D6586" s="11" t="str">
        <x:v>2040-12-31</x:v>
      </x:c>
      <x:c r="E6586" s="11" t="str">
        <x:v>USD</x:v>
      </x:c>
      <x:c r="F6586" s="11" t="n">
        <x:v>13.730321697467488</x:v>
      </x:c>
      <x:c r="G6586" s="26" t="b">
        <x:v>1</x:v>
      </x:c>
      <x:c r="H6586" s="16" t="n">
        <x:v>1.8</x:v>
      </x:c>
      <x:c r="I6586" s="16" t="n">
        <x:v>3.25</x:v>
      </x:c>
      <x:c r="J6586" s="16" t="n">
        <x:v>5</x:v>
      </x:c>
      <x:c r="K6586" s="11" t="n">
        <x:f>CHOOSE('假设'!$B$3,H6586,I6586,J6586)</x:f>
        <x:v>3.25</x:v>
      </x:c>
      <x:c r="L6586" s="11" t="n">
        <x:f>K6586*'管线假设'!E1407*'管线假设'!F1407*'管线假设'!G1407*IF(E6586="USD",'管线假设'!I1407,1)-AM6586</x:f>
        <x:v>1.30585</x:v>
      </x:c>
      <x:c r="M6586" s="11" t="n">
        <x:f>'管线假设'!H1407</x:f>
        <x:v>0.14</x:v>
      </x:c>
      <x:c r="N6586" s="11" t="n">
        <x:f>IF(G6586,L6586*AN6586/(1+M6586)^F6586,0)</x:f>
        <x:v>0.2160585108188257</x:v>
      </x:c>
      <x:c r="AJ6586" s="42" t="n">
        <x:v>0</x:v>
      </x:c>
      <x:c r="AK6586" s="42" t="n">
        <x:v>0</x:v>
      </x:c>
      <x:c r="AL6586" s="42" t="n">
        <x:v>0</x:v>
      </x:c>
      <x:c r="AM6586" t="n">
        <x:f>CHOOSE('假设'!$B$3,AJ6586,AK6586,AL6586)</x:f>
        <x:v>0</x:v>
      </x:c>
      <x:c r="AN6586" t="n">
        <x:v>1</x:v>
      </x:c>
    </x:row>
    <x:row r="6587" ht="23" customHeight="1">
      <x:c r="A6587" s="11" t="str">
        <x:v>09995.HK</x:v>
      </x:c>
      <x:c r="B6587" s="11" t="str">
        <x:v>半年</x:v>
      </x:c>
      <x:c r="C6587" s="11" t="str">
        <x:v>RC148_foreign</x:v>
      </x:c>
      <x:c r="D6587" s="11" t="str">
        <x:v>2041-12-31</x:v>
      </x:c>
      <x:c r="E6587" s="11" t="str">
        <x:v>USD</x:v>
      </x:c>
      <x:c r="F6587" s="11" t="n">
        <x:v>14.729637234770705</x:v>
      </x:c>
      <x:c r="G6587" s="26" t="b">
        <x:v>1</x:v>
      </x:c>
      <x:c r="H6587" s="16" t="n">
        <x:v>1.6</x:v>
      </x:c>
      <x:c r="I6587" s="16" t="n">
        <x:v>2.5</x:v>
      </x:c>
      <x:c r="J6587" s="16" t="n">
        <x:v>3.5</x:v>
      </x:c>
      <x:c r="K6587" s="11" t="n">
        <x:f>CHOOSE('假设'!$B$3,H6587,I6587,J6587)</x:f>
        <x:v>2.5</x:v>
      </x:c>
      <x:c r="L6587" s="11" t="n">
        <x:f>K6587*'管线假设'!E1407*'管线假设'!F1407*'管线假设'!G1407*IF(E6587="USD",'管线假设'!I1407,1)-AM6587</x:f>
        <x:v>1.0045</x:v>
      </x:c>
      <x:c r="M6587" s="11" t="n">
        <x:f>'管线假设'!H1407</x:f>
        <x:v>0.14</x:v>
      </x:c>
      <x:c r="N6587" s="11" t="n">
        <x:f>IF(G6587,L6587*AN6587/(1+M6587)^F6587,0)</x:f>
        <x:v>0.14580154431182826</x:v>
      </x:c>
      <x:c r="AJ6587" s="42" t="n">
        <x:v>0</x:v>
      </x:c>
      <x:c r="AK6587" s="42" t="n">
        <x:v>0</x:v>
      </x:c>
      <x:c r="AL6587" s="42" t="n">
        <x:v>0</x:v>
      </x:c>
      <x:c r="AM6587" t="n">
        <x:f>CHOOSE('假设'!$B$3,AJ6587,AK6587,AL6587)</x:f>
        <x:v>0</x:v>
      </x:c>
      <x:c r="AN6587" t="n">
        <x:v>1</x:v>
      </x:c>
    </x:row>
    <x:row r="6588" ht="23" customHeight="1">
      <x:c r="A6588" s="11" t="str">
        <x:v>09995.HK</x:v>
      </x:c>
      <x:c r="B6588" s="11" t="str">
        <x:v>半年</x:v>
      </x:c>
      <x:c r="C6588" s="11" t="str">
        <x:v>RC148_foreign</x:v>
      </x:c>
      <x:c r="D6588" s="11" t="str">
        <x:v>2042-12-31</x:v>
      </x:c>
      <x:c r="E6588" s="11" t="str">
        <x:v>USD</x:v>
      </x:c>
      <x:c r="F6588" s="11" t="n">
        <x:v>15.728952772073923</x:v>
      </x:c>
      <x:c r="G6588" s="26" t="b">
        <x:v>1</x:v>
      </x:c>
      <x:c r="H6588" s="16" t="n">
        <x:v>1.3</x:v>
      </x:c>
      <x:c r="I6588" s="16" t="n">
        <x:v>1.75</x:v>
      </x:c>
      <x:c r="J6588" s="16" t="n">
        <x:v>2</x:v>
      </x:c>
      <x:c r="K6588" s="11" t="n">
        <x:f>CHOOSE('假设'!$B$3,H6588,I6588,J6588)</x:f>
        <x:v>1.75</x:v>
      </x:c>
      <x:c r="L6588" s="11" t="n">
        <x:f>K6588*'管线假设'!E1407*'管线假设'!F1407*'管线假设'!G1407*IF(E6588="USD",'管线假设'!I1407,1)-AM6588</x:f>
        <x:v>0.7031499999999999</x:v>
      </x:c>
      <x:c r="M6588" s="11" t="n">
        <x:f>'管线假设'!H1407</x:f>
        <x:v>0.14</x:v>
      </x:c>
      <x:c r="N6588" s="11" t="n">
        <x:f>IF(G6588,L6588*AN6588/(1+M6588)^F6588,0)</x:f>
        <x:v>0.08953529357055157</x:v>
      </x:c>
      <x:c r="AJ6588" s="42" t="n">
        <x:v>0</x:v>
      </x:c>
      <x:c r="AK6588" s="42" t="n">
        <x:v>0</x:v>
      </x:c>
      <x:c r="AL6588" s="42" t="n">
        <x:v>0</x:v>
      </x:c>
      <x:c r="AM6588" t="n">
        <x:f>CHOOSE('假设'!$B$3,AJ6588,AK6588,AL6588)</x:f>
        <x:v>0</x:v>
      </x:c>
      <x:c r="AN6588" t="n">
        <x:v>1</x:v>
      </x:c>
    </x:row>
    <x:row r="6589" ht="23" customHeight="1">
      <x:c r="A6589" s="11" t="str">
        <x:v>09995.HK</x:v>
      </x:c>
      <x:c r="B6589" s="11" t="str">
        <x:v>半年</x:v>
      </x:c>
      <x:c r="C6589" s="11" t="str">
        <x:v>RC148_foreign</x:v>
      </x:c>
      <x:c r="D6589" s="11" t="str">
        <x:v>2043-12-31</x:v>
      </x:c>
      <x:c r="E6589" s="11" t="str">
        <x:v>USD</x:v>
      </x:c>
      <x:c r="F6589" s="11" t="n">
        <x:v>16.72826830937714</x:v>
      </x:c>
      <x:c r="G6589" s="26" t="b">
        <x:v>1</x:v>
      </x:c>
      <x:c r="H6589" s="16" t="n">
        <x:v>1</x:v>
      </x:c>
      <x:c r="I6589" s="16" t="n">
        <x:v>1</x:v>
      </x:c>
      <x:c r="J6589" s="16" t="n">
        <x:v>1.2</x:v>
      </x:c>
      <x:c r="K6589" s="11" t="n">
        <x:f>CHOOSE('假设'!$B$3,H6589,I6589,J6589)</x:f>
        <x:v>1</x:v>
      </x:c>
      <x:c r="L6589" s="11" t="n">
        <x:f>K6589*'管线假设'!E1407*'管线假设'!F1407*'管线假设'!G1407*IF(E6589="USD",'管线假设'!I1407,1)-AM6589</x:f>
        <x:v>0.4018</x:v>
      </x:c>
      <x:c r="M6589" s="11" t="n">
        <x:f>'管线假设'!H1407</x:f>
        <x:v>0.14</x:v>
      </x:c>
      <x:c r="N6589" s="11" t="n">
        <x:f>IF(G6589,L6589*AN6589/(1+M6589)^F6589,0)</x:f>
        <x:v>0.044883871584026035</x:v>
      </x:c>
      <x:c r="AJ6589" s="42" t="n">
        <x:v>0</x:v>
      </x:c>
      <x:c r="AK6589" s="42" t="n">
        <x:v>0</x:v>
      </x:c>
      <x:c r="AL6589" s="42" t="n">
        <x:v>0</x:v>
      </x:c>
      <x:c r="AM6589" t="n">
        <x:f>CHOOSE('假设'!$B$3,AJ6589,AK6589,AL6589)</x:f>
        <x:v>0</x:v>
      </x:c>
      <x:c r="AN6589" t="n">
        <x:v>1</x:v>
      </x:c>
    </x:row>
    <x:row r="6590" ht="23" customHeight="1">
      <x:c r="A6590" s="11" t="str">
        <x:v>09995.HK</x:v>
      </x:c>
      <x:c r="B6590" s="11" t="str">
        <x:v>半年</x:v>
      </x:c>
      <x:c r="C6590" s="11" t="str">
        <x:v>RC148_foreign</x:v>
      </x:c>
      <x:c r="D6590" s="11" t="str">
        <x:v>2044-12-31</x:v>
      </x:c>
      <x:c r="E6590" s="11" t="str">
        <x:v>USD</x:v>
      </x:c>
      <x:c r="F6590" s="11" t="n">
        <x:v>17.730321697467488</x:v>
      </x:c>
      <x:c r="G6590" s="26" t="b">
        <x:v>1</x:v>
      </x:c>
      <x:c r="H6590" s="16" t="n">
        <x:v>0.7</x:v>
      </x:c>
      <x:c r="I6590" s="16" t="n">
        <x:v>0.6</x:v>
      </x:c>
      <x:c r="J6590" s="16" t="n">
        <x:v>0.7000000000000001</x:v>
      </x:c>
      <x:c r="K6590" s="11" t="n">
        <x:f>CHOOSE('假设'!$B$3,H6590,I6590,J6590)</x:f>
        <x:v>0.6</x:v>
      </x:c>
      <x:c r="L6590" s="11" t="n">
        <x:f>K6590*'管线假设'!E1407*'管线假设'!F1407*'管线假设'!G1407*IF(E6590="USD",'管线假设'!I1407,1)-AM6590</x:f>
        <x:v>0.24108</x:v>
      </x:c>
      <x:c r="M6590" s="11" t="n">
        <x:f>'管线假设'!H1407</x:f>
        <x:v>0.14</x:v>
      </x:c>
      <x:c r="N6590" s="11" t="n">
        <x:f>IF(G6590,L6590*AN6590/(1+M6590)^F6590,0)</x:f>
        <x:v>0.02361673532562469</x:v>
      </x:c>
      <x:c r="AJ6590" s="42" t="n">
        <x:v>0</x:v>
      </x:c>
      <x:c r="AK6590" s="42" t="n">
        <x:v>0</x:v>
      </x:c>
      <x:c r="AL6590" s="42" t="n">
        <x:v>0</x:v>
      </x:c>
      <x:c r="AM6590" t="n">
        <x:f>CHOOSE('假设'!$B$3,AJ6590,AK6590,AL6590)</x:f>
        <x:v>0</x:v>
      </x:c>
      <x:c r="AN6590" t="n">
        <x:v>1</x:v>
      </x:c>
    </x:row>
    <x:row r="6591" ht="23" customHeight="1">
      <x:c r="A6591" s="11" t="str">
        <x:v>09995.HK</x:v>
      </x:c>
      <x:c r="B6591" s="11" t="str">
        <x:v>半年</x:v>
      </x:c>
      <x:c r="C6591" s="11" t="str">
        <x:v>RC18_foreign</x:v>
      </x:c>
      <x:c r="D6591" s="11" t="str">
        <x:v>2026-12-31</x:v>
      </x:c>
      <x:c r="E6591" s="11" t="str">
        <x:v>USD</x:v>
      </x:c>
      <x:c r="F6591" s="11" t="n">
        <x:v>-0.27104722792607805</x:v>
      </x:c>
      <x:c r="G6591" s="26" t="b">
        <x:v>0</x:v>
      </x:c>
      <x:c r="H6591" s="16" t="n">
        <x:v>0</x:v>
      </x:c>
      <x:c r="I6591" s="16" t="n">
        <x:v>0</x:v>
      </x:c>
      <x:c r="J6591" s="16" t="n">
        <x:v>0</x:v>
      </x:c>
      <x:c r="K6591" s="11" t="n">
        <x:f>CHOOSE('假设'!$B$3,H6591,I6591,J6591)</x:f>
        <x:v>0</x:v>
      </x:c>
      <x:c r="L6591" s="11" t="n">
        <x:f>K6591*'管线假设'!E1411*'管线假设'!F1411*'管线假设'!G1411*IF(E6591="USD",'管线假设'!I1411,1)-AM6591</x:f>
        <x:v>-0.049</x:v>
      </x:c>
      <x:c r="M6591" s="11" t="n">
        <x:f>'管线假设'!H1411</x:f>
        <x:v>0.14</x:v>
      </x:c>
      <x:c r="N6591" s="11" t="n">
        <x:f>IF(G6591,L6591*AN6591/(1+M6591)^F6591,0)</x:f>
        <x:v>0</x:v>
      </x:c>
      <x:c r="AJ6591" s="42" t="n">
        <x:v>0.021</x:v>
      </x:c>
      <x:c r="AK6591" s="42" t="n">
        <x:v>0.049</x:v>
      </x:c>
      <x:c r="AL6591" s="42" t="n">
        <x:v>0.084</x:v>
      </x:c>
      <x:c r="AM6591" t="n">
        <x:f>CHOOSE('假设'!$B$3,AJ6591,AK6591,AL6591)</x:f>
        <x:v>0.049</x:v>
      </x:c>
      <x:c r="AN6591" t="n">
        <x:v>0</x:v>
      </x:c>
    </x:row>
    <x:row r="6592" ht="23" customHeight="1">
      <x:c r="A6592" s="11" t="str">
        <x:v>09995.HK</x:v>
      </x:c>
      <x:c r="B6592" s="11" t="str">
        <x:v>半年</x:v>
      </x:c>
      <x:c r="C6592" s="11" t="str">
        <x:v>RC18_foreign</x:v>
      </x:c>
      <x:c r="D6592" s="11" t="str">
        <x:v>2027-12-31</x:v>
      </x:c>
      <x:c r="E6592" s="11" t="str">
        <x:v>USD</x:v>
      </x:c>
      <x:c r="F6592" s="11" t="n">
        <x:v>0.7282683093771389</x:v>
      </x:c>
      <x:c r="G6592" s="26" t="b">
        <x:v>1</x:v>
      </x:c>
      <x:c r="H6592" s="16" t="n">
        <x:v>0</x:v>
      </x:c>
      <x:c r="I6592" s="16" t="n">
        <x:v>0</x:v>
      </x:c>
      <x:c r="J6592" s="16" t="n">
        <x:v>0</x:v>
      </x:c>
      <x:c r="K6592" s="11" t="n">
        <x:f>CHOOSE('假设'!$B$3,H6592,I6592,J6592)</x:f>
        <x:v>0</x:v>
      </x:c>
      <x:c r="L6592" s="11" t="n">
        <x:f>K6592*'管线假设'!E1411*'管线假设'!F1411*'管线假设'!G1411*IF(E6592="USD",'管线假设'!I1411,1)-AM6592</x:f>
        <x:v>0</x:v>
      </x:c>
      <x:c r="M6592" s="11" t="n">
        <x:f>'管线假设'!H1411</x:f>
        <x:v>0.14</x:v>
      </x:c>
      <x:c r="N6592" s="11" t="n">
        <x:f>IF(G6592,L6592*AN6592/(1+M6592)^F6592,0)</x:f>
        <x:v>0</x:v>
      </x:c>
      <x:c r="AJ6592" s="42" t="n">
        <x:v>0</x:v>
      </x:c>
      <x:c r="AK6592" s="42" t="n">
        <x:v>0</x:v>
      </x:c>
      <x:c r="AL6592" s="42" t="n">
        <x:v>0</x:v>
      </x:c>
      <x:c r="AM6592" t="n">
        <x:f>CHOOSE('假设'!$B$3,AJ6592,AK6592,AL6592)</x:f>
        <x:v>0</x:v>
      </x:c>
      <x:c r="AN6592" t="n">
        <x:v>0.7307692307692307</x:v>
      </x:c>
    </x:row>
    <x:row r="6593" ht="23" customHeight="1">
      <x:c r="A6593" s="11" t="str">
        <x:v>09995.HK</x:v>
      </x:c>
      <x:c r="B6593" s="11" t="str">
        <x:v>半年</x:v>
      </x:c>
      <x:c r="C6593" s="11" t="str">
        <x:v>RC18_foreign</x:v>
      </x:c>
      <x:c r="D6593" s="11" t="str">
        <x:v>2028-12-31</x:v>
      </x:c>
      <x:c r="E6593" s="11" t="str">
        <x:v>USD</x:v>
      </x:c>
      <x:c r="F6593" s="11" t="n">
        <x:v>1.730321697467488</x:v>
      </x:c>
      <x:c r="G6593" s="26" t="b">
        <x:v>1</x:v>
      </x:c>
      <x:c r="H6593" s="16" t="n">
        <x:v>0</x:v>
      </x:c>
      <x:c r="I6593" s="16" t="n">
        <x:v>0.18</x:v>
      </x:c>
      <x:c r="J6593" s="16" t="n">
        <x:v>0.36</x:v>
      </x:c>
      <x:c r="K6593" s="11" t="n">
        <x:f>CHOOSE('假设'!$B$3,H6593,I6593,J6593)</x:f>
        <x:v>0.18</x:v>
      </x:c>
      <x:c r="L6593" s="11" t="n">
        <x:f>K6593*'管线假设'!E1411*'管线假设'!F1411*'管线假设'!G1411*IF(E6593="USD",'管线假设'!I1411,1)-AM6593</x:f>
        <x:v>0.06819119999999998</x:v>
      </x:c>
      <x:c r="M6593" s="11" t="n">
        <x:f>'管线假设'!H1411</x:f>
        <x:v>0.14</x:v>
      </x:c>
      <x:c r="N6593" s="11" t="n">
        <x:f>IF(G6593,L6593*AN6593/(1+M6593)^F6593,0)</x:f>
        <x:v>0.05435814578809305</x:v>
      </x:c>
      <x:c r="AJ6593" s="42" t="n">
        <x:v>0</x:v>
      </x:c>
      <x:c r="AK6593" s="42" t="n">
        <x:v>0</x:v>
      </x:c>
      <x:c r="AL6593" s="42" t="n">
        <x:v>0</x:v>
      </x:c>
      <x:c r="AM6593" t="n">
        <x:f>CHOOSE('假设'!$B$3,AJ6593,AK6593,AL6593)</x:f>
        <x:v>0</x:v>
      </x:c>
      <x:c r="AN6593" t="n">
        <x:v>1</x:v>
      </x:c>
    </x:row>
    <x:row r="6594" ht="23" customHeight="1">
      <x:c r="A6594" s="11" t="str">
        <x:v>09995.HK</x:v>
      </x:c>
      <x:c r="B6594" s="11" t="str">
        <x:v>半年</x:v>
      </x:c>
      <x:c r="C6594" s="11" t="str">
        <x:v>RC18_foreign</x:v>
      </x:c>
      <x:c r="D6594" s="11" t="str">
        <x:v>2029-12-31</x:v>
      </x:c>
      <x:c r="E6594" s="11" t="str">
        <x:v>USD</x:v>
      </x:c>
      <x:c r="F6594" s="11" t="n">
        <x:v>2.729637234770705</x:v>
      </x:c>
      <x:c r="G6594" s="26" t="b">
        <x:v>1</x:v>
      </x:c>
      <x:c r="H6594" s="16" t="n">
        <x:v>0</x:v>
      </x:c>
      <x:c r="I6594" s="16" t="n">
        <x:v>0.54</x:v>
      </x:c>
      <x:c r="J6594" s="16" t="n">
        <x:v>1.08</x:v>
      </x:c>
      <x:c r="K6594" s="11" t="n">
        <x:f>CHOOSE('假设'!$B$3,H6594,I6594,J6594)</x:f>
        <x:v>0.54</x:v>
      </x:c>
      <x:c r="L6594" s="11" t="n">
        <x:f>K6594*'管线假设'!E1411*'管线假设'!F1411*'管线假设'!G1411*IF(E6594="USD",'管线假设'!I1411,1)-AM6594</x:f>
        <x:v>0.2045736</x:v>
      </x:c>
      <x:c r="M6594" s="11" t="n">
        <x:f>'管线假设'!H1411</x:f>
        <x:v>0.14</x:v>
      </x:c>
      <x:c r="N6594" s="11" t="n">
        <x:f>IF(G6594,L6594*AN6594/(1+M6594)^F6594,0)</x:f>
        <x:v>0.14306058173779432</x:v>
      </x:c>
      <x:c r="AJ6594" s="42" t="n">
        <x:v>0</x:v>
      </x:c>
      <x:c r="AK6594" s="42" t="n">
        <x:v>0</x:v>
      </x:c>
      <x:c r="AL6594" s="42" t="n">
        <x:v>0</x:v>
      </x:c>
      <x:c r="AM6594" t="n">
        <x:f>CHOOSE('假设'!$B$3,AJ6594,AK6594,AL6594)</x:f>
        <x:v>0</x:v>
      </x:c>
      <x:c r="AN6594" t="n">
        <x:v>1</x:v>
      </x:c>
    </x:row>
    <x:row r="6595" ht="23" customHeight="1">
      <x:c r="A6595" s="11" t="str">
        <x:v>09995.HK</x:v>
      </x:c>
      <x:c r="B6595" s="11" t="str">
        <x:v>半年</x:v>
      </x:c>
      <x:c r="C6595" s="11" t="str">
        <x:v>RC18_foreign</x:v>
      </x:c>
      <x:c r="D6595" s="11" t="str">
        <x:v>2030-12-31</x:v>
      </x:c>
      <x:c r="E6595" s="11" t="str">
        <x:v>USD</x:v>
      </x:c>
      <x:c r="F6595" s="11" t="n">
        <x:v>3.728952772073922</x:v>
      </x:c>
      <x:c r="G6595" s="26" t="b">
        <x:v>1</x:v>
      </x:c>
      <x:c r="H6595" s="16" t="n">
        <x:v>0</x:v>
      </x:c>
      <x:c r="I6595" s="16" t="n">
        <x:v>1.1400000000000001</x:v>
      </x:c>
      <x:c r="J6595" s="16" t="n">
        <x:v>2.2800000000000002</x:v>
      </x:c>
      <x:c r="K6595" s="11" t="n">
        <x:f>CHOOSE('假设'!$B$3,H6595,I6595,J6595)</x:f>
        <x:v>1.1400000000000001</x:v>
      </x:c>
      <x:c r="L6595" s="11" t="n">
        <x:f>K6595*'管线假设'!E1411*'管线假设'!F1411*'管线假设'!G1411*IF(E6595="USD",'管线假设'!I1411,1)-AM6595</x:f>
        <x:v>0.4318776</x:v>
      </x:c>
      <x:c r="M6595" s="11" t="n">
        <x:f>'管线假设'!H1411</x:f>
        <x:v>0.14</x:v>
      </x:c>
      <x:c r="N6595" s="11" t="n">
        <x:f>IF(G6595,L6595*AN6595/(1+M6595)^F6595,0)</x:f>
        <x:v>0.2649507639857892</x:v>
      </x:c>
      <x:c r="AJ6595" s="42" t="n">
        <x:v>0</x:v>
      </x:c>
      <x:c r="AK6595" s="42" t="n">
        <x:v>0</x:v>
      </x:c>
      <x:c r="AL6595" s="42" t="n">
        <x:v>0</x:v>
      </x:c>
      <x:c r="AM6595" t="n">
        <x:f>CHOOSE('假设'!$B$3,AJ6595,AK6595,AL6595)</x:f>
        <x:v>0</x:v>
      </x:c>
      <x:c r="AN6595" t="n">
        <x:v>1</x:v>
      </x:c>
    </x:row>
    <x:row r="6596" ht="23" customHeight="1">
      <x:c r="A6596" s="11" t="str">
        <x:v>09995.HK</x:v>
      </x:c>
      <x:c r="B6596" s="11" t="str">
        <x:v>半年</x:v>
      </x:c>
      <x:c r="C6596" s="11" t="str">
        <x:v>RC18_foreign</x:v>
      </x:c>
      <x:c r="D6596" s="11" t="str">
        <x:v>2031-12-31</x:v>
      </x:c>
      <x:c r="E6596" s="11" t="str">
        <x:v>USD</x:v>
      </x:c>
      <x:c r="F6596" s="11" t="n">
        <x:v>4.728268309377139</x:v>
      </x:c>
      <x:c r="G6596" s="26" t="b">
        <x:v>1</x:v>
      </x:c>
      <x:c r="H6596" s="16" t="n">
        <x:v>0.06</x:v>
      </x:c>
      <x:c r="I6596" s="16" t="n">
        <x:v>1.9500000000000002</x:v>
      </x:c>
      <x:c r="J6596" s="16" t="n">
        <x:v>3.9000000000000004</x:v>
      </x:c>
      <x:c r="K6596" s="11" t="n">
        <x:f>CHOOSE('假设'!$B$3,H6596,I6596,J6596)</x:f>
        <x:v>1.9500000000000002</x:v>
      </x:c>
      <x:c r="L6596" s="11" t="n">
        <x:f>K6596*'管线假设'!E1411*'管线假设'!F1411*'管线假设'!G1411*IF(E6596="USD",'管线假设'!I1411,1)-AM6596</x:f>
        <x:v>0.738738</x:v>
      </x:c>
      <x:c r="M6596" s="11" t="n">
        <x:f>'管线假设'!H1411</x:f>
        <x:v>0.14</x:v>
      </x:c>
      <x:c r="N6596" s="11" t="n">
        <x:f>IF(G6596,L6596*AN6596/(1+M6596)^F6596,0)</x:f>
        <x:v>0.3975841239033297</x:v>
      </x:c>
      <x:c r="AJ6596" s="42" t="n">
        <x:v>0</x:v>
      </x:c>
      <x:c r="AK6596" s="42" t="n">
        <x:v>0</x:v>
      </x:c>
      <x:c r="AL6596" s="42" t="n">
        <x:v>0</x:v>
      </x:c>
      <x:c r="AM6596" t="n">
        <x:f>CHOOSE('假设'!$B$3,AJ6596,AK6596,AL6596)</x:f>
        <x:v>0</x:v>
      </x:c>
      <x:c r="AN6596" t="n">
        <x:v>1</x:v>
      </x:c>
    </x:row>
    <x:row r="6597" ht="23" customHeight="1">
      <x:c r="A6597" s="11" t="str">
        <x:v>09995.HK</x:v>
      </x:c>
      <x:c r="B6597" s="11" t="str">
        <x:v>半年</x:v>
      </x:c>
      <x:c r="C6597" s="11" t="str">
        <x:v>RC18_foreign</x:v>
      </x:c>
      <x:c r="D6597" s="11" t="str">
        <x:v>2032-12-31</x:v>
      </x:c>
      <x:c r="E6597" s="11" t="str">
        <x:v>USD</x:v>
      </x:c>
      <x:c r="F6597" s="11" t="n">
        <x:v>5.730321697467488</x:v>
      </x:c>
      <x:c r="G6597" s="26" t="b">
        <x:v>1</x:v>
      </x:c>
      <x:c r="H6597" s="16" t="n">
        <x:v>0.18</x:v>
      </x:c>
      <x:c r="I6597" s="16" t="n">
        <x:v>2.55</x:v>
      </x:c>
      <x:c r="J6597" s="16" t="n">
        <x:v>5.1</x:v>
      </x:c>
      <x:c r="K6597" s="11" t="n">
        <x:f>CHOOSE('假设'!$B$3,H6597,I6597,J6597)</x:f>
        <x:v>2.55</x:v>
      </x:c>
      <x:c r="L6597" s="11" t="n">
        <x:f>K6597*'管线假设'!E1411*'管线假设'!F1411*'管线假设'!G1411*IF(E6597="USD",'管线假设'!I1411,1)-AM6597</x:f>
        <x:v>0.9660419999999997</x:v>
      </x:c>
      <x:c r="M6597" s="11" t="n">
        <x:f>'管线假设'!H1411</x:f>
        <x:v>0.14</x:v>
      </x:c>
      <x:c r="N6597" s="11" t="n">
        <x:f>IF(G6597,L6597*AN6597/(1+M6597)^F6597,0)</x:f>
        <x:v>0.45594546883686377</x:v>
      </x:c>
      <x:c r="AJ6597" s="42" t="n">
        <x:v>0</x:v>
      </x:c>
      <x:c r="AK6597" s="42" t="n">
        <x:v>0</x:v>
      </x:c>
      <x:c r="AL6597" s="42" t="n">
        <x:v>0</x:v>
      </x:c>
      <x:c r="AM6597" t="n">
        <x:f>CHOOSE('假设'!$B$3,AJ6597,AK6597,AL6597)</x:f>
        <x:v>0</x:v>
      </x:c>
      <x:c r="AN6597" t="n">
        <x:v>1</x:v>
      </x:c>
    </x:row>
    <x:row r="6598" ht="23" customHeight="1">
      <x:c r="A6598" s="11" t="str">
        <x:v>09995.HK</x:v>
      </x:c>
      <x:c r="B6598" s="11" t="str">
        <x:v>半年</x:v>
      </x:c>
      <x:c r="C6598" s="11" t="str">
        <x:v>RC18_foreign</x:v>
      </x:c>
      <x:c r="D6598" s="11" t="str">
        <x:v>2033-12-31</x:v>
      </x:c>
      <x:c r="E6598" s="11" t="str">
        <x:v>USD</x:v>
      </x:c>
      <x:c r="F6598" s="11" t="n">
        <x:v>6.729637234770705</x:v>
      </x:c>
      <x:c r="G6598" s="26" t="b">
        <x:v>1</x:v>
      </x:c>
      <x:c r="H6598" s="16" t="n">
        <x:v>0.38</x:v>
      </x:c>
      <x:c r="I6598" s="16" t="n">
        <x:v>3</x:v>
      </x:c>
      <x:c r="J6598" s="16" t="n">
        <x:v>6</x:v>
      </x:c>
      <x:c r="K6598" s="11" t="n">
        <x:f>CHOOSE('假设'!$B$3,H6598,I6598,J6598)</x:f>
        <x:v>3</x:v>
      </x:c>
      <x:c r="L6598" s="11" t="n">
        <x:f>K6598*'管线假设'!E1411*'管线假设'!F1411*'管线假设'!G1411*IF(E6598="USD",'管线假设'!I1411,1)-AM6598</x:f>
        <x:v>1.1365199999999998</x:v>
      </x:c>
      <x:c r="M6598" s="11" t="n">
        <x:f>'管线假设'!H1411</x:f>
        <x:v>0.14</x:v>
      </x:c>
      <x:c r="N6598" s="11" t="n">
        <x:f>IF(G6598,L6598*AN6598/(1+M6598)^F6598,0)</x:f>
        <x:v>0.47057416064474394</x:v>
      </x:c>
      <x:c r="AJ6598" s="42" t="n">
        <x:v>0</x:v>
      </x:c>
      <x:c r="AK6598" s="42" t="n">
        <x:v>0</x:v>
      </x:c>
      <x:c r="AL6598" s="42" t="n">
        <x:v>0</x:v>
      </x:c>
      <x:c r="AM6598" t="n">
        <x:f>CHOOSE('假设'!$B$3,AJ6598,AK6598,AL6598)</x:f>
        <x:v>0</x:v>
      </x:c>
      <x:c r="AN6598" t="n">
        <x:v>1</x:v>
      </x:c>
    </x:row>
    <x:row r="6599" ht="23" customHeight="1">
      <x:c r="A6599" s="11" t="str">
        <x:v>09995.HK</x:v>
      </x:c>
      <x:c r="B6599" s="11" t="str">
        <x:v>半年</x:v>
      </x:c>
      <x:c r="C6599" s="11" t="str">
        <x:v>RC18_foreign</x:v>
      </x:c>
      <x:c r="D6599" s="11" t="str">
        <x:v>2034-12-31</x:v>
      </x:c>
      <x:c r="E6599" s="11" t="str">
        <x:v>USD</x:v>
      </x:c>
      <x:c r="F6599" s="11" t="n">
        <x:v>7.728952772073922</x:v>
      </x:c>
      <x:c r="G6599" s="26" t="b">
        <x:v>1</x:v>
      </x:c>
      <x:c r="H6599" s="16" t="n">
        <x:v>0.65</x:v>
      </x:c>
      <x:c r="I6599" s="16" t="n">
        <x:v>3</x:v>
      </x:c>
      <x:c r="J6599" s="16" t="n">
        <x:v>6</x:v>
      </x:c>
      <x:c r="K6599" s="11" t="n">
        <x:f>CHOOSE('假设'!$B$3,H6599,I6599,J6599)</x:f>
        <x:v>3</x:v>
      </x:c>
      <x:c r="L6599" s="11" t="n">
        <x:f>K6599*'管线假设'!E1411*'管线假设'!F1411*'管线假设'!G1411*IF(E6599="USD",'管线假设'!I1411,1)-AM6599</x:f>
        <x:v>1.1365199999999998</x:v>
      </x:c>
      <x:c r="M6599" s="11" t="n">
        <x:f>'管线假设'!H1411</x:f>
        <x:v>0.14</x:v>
      </x:c>
      <x:c r="N6599" s="11" t="n">
        <x:f>IF(G6599,L6599*AN6599/(1+M6599)^F6599,0)</x:f>
        <x:v>0.41282137323723594</x:v>
      </x:c>
      <x:c r="AJ6599" s="42" t="n">
        <x:v>0</x:v>
      </x:c>
      <x:c r="AK6599" s="42" t="n">
        <x:v>0</x:v>
      </x:c>
      <x:c r="AL6599" s="42" t="n">
        <x:v>0</x:v>
      </x:c>
      <x:c r="AM6599" t="n">
        <x:f>CHOOSE('假设'!$B$3,AJ6599,AK6599,AL6599)</x:f>
        <x:v>0</x:v>
      </x:c>
      <x:c r="AN6599" t="n">
        <x:v>1</x:v>
      </x:c>
    </x:row>
    <x:row r="6600" ht="23" customHeight="1">
      <x:c r="A6600" s="11" t="str">
        <x:v>09995.HK</x:v>
      </x:c>
      <x:c r="B6600" s="11" t="str">
        <x:v>半年</x:v>
      </x:c>
      <x:c r="C6600" s="11" t="str">
        <x:v>RC18_foreign</x:v>
      </x:c>
      <x:c r="D6600" s="11" t="str">
        <x:v>2035-12-31</x:v>
      </x:c>
      <x:c r="E6600" s="11" t="str">
        <x:v>USD</x:v>
      </x:c>
      <x:c r="F6600" s="11" t="n">
        <x:v>8.728268309377139</x:v>
      </x:c>
      <x:c r="G6600" s="26" t="b">
        <x:v>1</x:v>
      </x:c>
      <x:c r="H6600" s="16" t="n">
        <x:v>0.85</x:v>
      </x:c>
      <x:c r="I6600" s="16" t="n">
        <x:v>2.8499999999999996</x:v>
      </x:c>
      <x:c r="J6600" s="16" t="n">
        <x:v>5.699999999999999</x:v>
      </x:c>
      <x:c r="K6600" s="11" t="n">
        <x:f>CHOOSE('假设'!$B$3,H6600,I6600,J6600)</x:f>
        <x:v>2.8499999999999996</x:v>
      </x:c>
      <x:c r="L6600" s="11" t="n">
        <x:f>K6600*'管线假设'!E1411*'管线假设'!F1411*'管线假设'!G1411*IF(E6600="USD",'管线假设'!I1411,1)-AM6600</x:f>
        <x:v>1.0796939999999997</x:v>
      </x:c>
      <x:c r="M6600" s="11" t="n">
        <x:f>'管线假设'!H1411</x:f>
        <x:v>0.14</x:v>
      </x:c>
      <x:c r="N6600" s="11" t="n">
        <x:f>IF(G6600,L6600*AN6600/(1+M6600)^F6600,0)</x:f>
        <x:v>0.3440486652934366</x:v>
      </x:c>
      <x:c r="AJ6600" s="42" t="n">
        <x:v>0</x:v>
      </x:c>
      <x:c r="AK6600" s="42" t="n">
        <x:v>0</x:v>
      </x:c>
      <x:c r="AL6600" s="42" t="n">
        <x:v>0</x:v>
      </x:c>
      <x:c r="AM6600" t="n">
        <x:f>CHOOSE('假设'!$B$3,AJ6600,AK6600,AL6600)</x:f>
        <x:v>0</x:v>
      </x:c>
      <x:c r="AN6600" t="n">
        <x:v>1</x:v>
      </x:c>
    </x:row>
    <x:row r="6601" ht="23" customHeight="1">
      <x:c r="A6601" s="11" t="str">
        <x:v>09995.HK</x:v>
      </x:c>
      <x:c r="B6601" s="11" t="str">
        <x:v>半年</x:v>
      </x:c>
      <x:c r="C6601" s="11" t="str">
        <x:v>RC18_foreign</x:v>
      </x:c>
      <x:c r="D6601" s="11" t="str">
        <x:v>2036-12-31</x:v>
      </x:c>
      <x:c r="E6601" s="11" t="str">
        <x:v>USD</x:v>
      </x:c>
      <x:c r="F6601" s="11" t="n">
        <x:v>9.730321697467488</x:v>
      </x:c>
      <x:c r="G6601" s="26" t="b">
        <x:v>1</x:v>
      </x:c>
      <x:c r="H6601" s="16" t="n">
        <x:v>1</x:v>
      </x:c>
      <x:c r="I6601" s="16" t="n">
        <x:v>2.7</x:v>
      </x:c>
      <x:c r="J6601" s="16" t="n">
        <x:v>5.4</x:v>
      </x:c>
      <x:c r="K6601" s="11" t="n">
        <x:f>CHOOSE('假设'!$B$3,H6601,I6601,J6601)</x:f>
        <x:v>2.7</x:v>
      </x:c>
      <x:c r="L6601" s="11" t="n">
        <x:f>K6601*'管线假设'!E1411*'管线假设'!F1411*'管线假设'!G1411*IF(E6601="USD",'管线假设'!I1411,1)-AM6601</x:f>
        <x:v>1.022868</x:v>
      </x:c>
      <x:c r="M6601" s="11" t="n">
        <x:f>'管线假设'!H1411</x:f>
        <x:v>0.14</x:v>
      </x:c>
      <x:c r="N6601" s="11" t="n">
        <x:f>IF(G6601,L6601*AN6601/(1+M6601)^F6601,0)</x:f>
        <x:v>0.2858361031637063</x:v>
      </x:c>
      <x:c r="AJ6601" s="42" t="n">
        <x:v>0</x:v>
      </x:c>
      <x:c r="AK6601" s="42" t="n">
        <x:v>0</x:v>
      </x:c>
      <x:c r="AL6601" s="42" t="n">
        <x:v>0</x:v>
      </x:c>
      <x:c r="AM6601" t="n">
        <x:f>CHOOSE('假设'!$B$3,AJ6601,AK6601,AL6601)</x:f>
        <x:v>0</x:v>
      </x:c>
      <x:c r="AN6601" t="n">
        <x:v>1</x:v>
      </x:c>
    </x:row>
    <x:row r="6602" ht="23" customHeight="1">
      <x:c r="A6602" s="11" t="str">
        <x:v>09995.HK</x:v>
      </x:c>
      <x:c r="B6602" s="11" t="str">
        <x:v>半年</x:v>
      </x:c>
      <x:c r="C6602" s="11" t="str">
        <x:v>RC18_foreign</x:v>
      </x:c>
      <x:c r="D6602" s="11" t="str">
        <x:v>2037-12-31</x:v>
      </x:c>
      <x:c r="E6602" s="11" t="str">
        <x:v>USD</x:v>
      </x:c>
      <x:c r="F6602" s="11" t="n">
        <x:v>10.729637234770705</x:v>
      </x:c>
      <x:c r="G6602" s="26" t="b">
        <x:v>1</x:v>
      </x:c>
      <x:c r="H6602" s="16" t="n">
        <x:v>1</x:v>
      </x:c>
      <x:c r="I6602" s="16" t="n">
        <x:v>2.4000000000000004</x:v>
      </x:c>
      <x:c r="J6602" s="16" t="n">
        <x:v>4.800000000000001</x:v>
      </x:c>
      <x:c r="K6602" s="11" t="n">
        <x:f>CHOOSE('假设'!$B$3,H6602,I6602,J6602)</x:f>
        <x:v>2.4000000000000004</x:v>
      </x:c>
      <x:c r="L6602" s="11" t="n">
        <x:f>K6602*'管线假设'!E1411*'管线假设'!F1411*'管线假设'!G1411*IF(E6602="USD",'管线假设'!I1411,1)-AM6602</x:f>
        <x:v>0.909216</x:v>
      </x:c>
      <x:c r="M6602" s="11" t="n">
        <x:f>'管线假设'!H1411</x:f>
        <x:v>0.14</x:v>
      </x:c>
      <x:c r="N6602" s="11" t="n">
        <x:f>IF(G6602,L6602*AN6602/(1+M6602)^F6602,0)</x:f>
        <x:v>0.2228941436462273</x:v>
      </x:c>
      <x:c r="AJ6602" s="42" t="n">
        <x:v>0</x:v>
      </x:c>
      <x:c r="AK6602" s="42" t="n">
        <x:v>0</x:v>
      </x:c>
      <x:c r="AL6602" s="42" t="n">
        <x:v>0</x:v>
      </x:c>
      <x:c r="AM6602" t="n">
        <x:f>CHOOSE('假设'!$B$3,AJ6602,AK6602,AL6602)</x:f>
        <x:v>0</x:v>
      </x:c>
      <x:c r="AN6602" t="n">
        <x:v>1</x:v>
      </x:c>
    </x:row>
    <x:row r="6603" ht="23" customHeight="1">
      <x:c r="A6603" s="11" t="str">
        <x:v>09995.HK</x:v>
      </x:c>
      <x:c r="B6603" s="11" t="str">
        <x:v>半年</x:v>
      </x:c>
      <x:c r="C6603" s="11" t="str">
        <x:v>RC18_foreign</x:v>
      </x:c>
      <x:c r="D6603" s="11" t="str">
        <x:v>2038-12-31</x:v>
      </x:c>
      <x:c r="E6603" s="11" t="str">
        <x:v>USD</x:v>
      </x:c>
      <x:c r="F6603" s="11" t="n">
        <x:v>11.728952772073923</x:v>
      </x:c>
      <x:c r="G6603" s="26" t="b">
        <x:v>1</x:v>
      </x:c>
      <x:c r="H6603" s="16" t="n">
        <x:v>0.95</x:v>
      </x:c>
      <x:c r="I6603" s="16" t="n">
        <x:v>1.9500000000000002</x:v>
      </x:c>
      <x:c r="J6603" s="16" t="n">
        <x:v>3.9000000000000004</x:v>
      </x:c>
      <x:c r="K6603" s="11" t="n">
        <x:f>CHOOSE('假设'!$B$3,H6603,I6603,J6603)</x:f>
        <x:v>1.9500000000000002</x:v>
      </x:c>
      <x:c r="L6603" s="11" t="n">
        <x:f>K6603*'管线假设'!E1411*'管线假设'!F1411*'管线假设'!G1411*IF(E6603="USD",'管线假设'!I1411,1)-AM6603</x:f>
        <x:v>0.738738</x:v>
      </x:c>
      <x:c r="M6603" s="11" t="n">
        <x:f>'管线假设'!H1411</x:f>
        <x:v>0.14</x:v>
      </x:c>
      <x:c r="N6603" s="11" t="n">
        <x:f>IF(G6603,L6603*AN6603/(1+M6603)^F6603,0)</x:f>
        <x:v>0.15887520556091936</x:v>
      </x:c>
      <x:c r="AJ6603" s="42" t="n">
        <x:v>0</x:v>
      </x:c>
      <x:c r="AK6603" s="42" t="n">
        <x:v>0</x:v>
      </x:c>
      <x:c r="AL6603" s="42" t="n">
        <x:v>0</x:v>
      </x:c>
      <x:c r="AM6603" t="n">
        <x:f>CHOOSE('假设'!$B$3,AJ6603,AK6603,AL6603)</x:f>
        <x:v>0</x:v>
      </x:c>
      <x:c r="AN6603" t="n">
        <x:v>1</x:v>
      </x:c>
    </x:row>
    <x:row r="6604" ht="23" customHeight="1">
      <x:c r="A6604" s="11" t="str">
        <x:v>09995.HK</x:v>
      </x:c>
      <x:c r="B6604" s="11" t="str">
        <x:v>半年</x:v>
      </x:c>
      <x:c r="C6604" s="11" t="str">
        <x:v>RC18_foreign</x:v>
      </x:c>
      <x:c r="D6604" s="11" t="str">
        <x:v>2039-12-31</x:v>
      </x:c>
      <x:c r="E6604" s="11" t="str">
        <x:v>USD</x:v>
      </x:c>
      <x:c r="F6604" s="11" t="n">
        <x:v>12.728268309377139</x:v>
      </x:c>
      <x:c r="G6604" s="26" t="b">
        <x:v>1</x:v>
      </x:c>
      <x:c r="H6604" s="16" t="n">
        <x:v>0.9</x:v>
      </x:c>
      <x:c r="I6604" s="16" t="n">
        <x:v>1.5</x:v>
      </x:c>
      <x:c r="J6604" s="16" t="n">
        <x:v>3</x:v>
      </x:c>
      <x:c r="K6604" s="11" t="n">
        <x:f>CHOOSE('假设'!$B$3,H6604,I6604,J6604)</x:f>
        <x:v>1.5</x:v>
      </x:c>
      <x:c r="L6604" s="11" t="n">
        <x:f>K6604*'管线假设'!E1411*'管线假设'!F1411*'管线假设'!G1411*IF(E6604="USD",'管线假设'!I1411,1)-AM6604</x:f>
        <x:v>0.5682599999999999</x:v>
      </x:c>
      <x:c r="M6604" s="11" t="n">
        <x:f>'管线假设'!H1411</x:f>
        <x:v>0.14</x:v>
      </x:c>
      <x:c r="N6604" s="11" t="n">
        <x:f>IF(G6604,L6604*AN6604/(1+M6604)^F6604,0)</x:f>
        <x:v>0.10721285746093759</x:v>
      </x:c>
      <x:c r="AJ6604" s="42" t="n">
        <x:v>0</x:v>
      </x:c>
      <x:c r="AK6604" s="42" t="n">
        <x:v>0</x:v>
      </x:c>
      <x:c r="AL6604" s="42" t="n">
        <x:v>0</x:v>
      </x:c>
      <x:c r="AM6604" t="n">
        <x:f>CHOOSE('假设'!$B$3,AJ6604,AK6604,AL6604)</x:f>
        <x:v>0</x:v>
      </x:c>
      <x:c r="AN6604" t="n">
        <x:v>1</x:v>
      </x:c>
    </x:row>
    <x:row r="6605" ht="23" customHeight="1">
      <x:c r="A6605" s="11" t="str">
        <x:v>09995.HK</x:v>
      </x:c>
      <x:c r="B6605" s="11" t="str">
        <x:v>半年</x:v>
      </x:c>
      <x:c r="C6605" s="11" t="str">
        <x:v>RC18_foreign</x:v>
      </x:c>
      <x:c r="D6605" s="11" t="str">
        <x:v>2040-12-31</x:v>
      </x:c>
      <x:c r="E6605" s="11" t="str">
        <x:v>USD</x:v>
      </x:c>
      <x:c r="F6605" s="11" t="n">
        <x:v>13.730321697467488</x:v>
      </x:c>
      <x:c r="G6605" s="26" t="b">
        <x:v>1</x:v>
      </x:c>
      <x:c r="H6605" s="16" t="n">
        <x:v>0.8</x:v>
      </x:c>
      <x:c r="I6605" s="16" t="n">
        <x:v>1.0499999999999998</x:v>
      </x:c>
      <x:c r="J6605" s="16" t="n">
        <x:v>2.0999999999999996</x:v>
      </x:c>
      <x:c r="K6605" s="11" t="n">
        <x:f>CHOOSE('假设'!$B$3,H6605,I6605,J6605)</x:f>
        <x:v>1.0499999999999998</x:v>
      </x:c>
      <x:c r="L6605" s="11" t="n">
        <x:f>K6605*'管线假设'!E1411*'管线假设'!F1411*'管线假设'!G1411*IF(E6605="USD",'管线假设'!I1411,1)-AM6605</x:f>
        <x:v>0.39778199999999986</x:v>
      </x:c>
      <x:c r="M6605" s="11" t="n">
        <x:f>'管线假设'!H1411</x:f>
        <x:v>0.14</x:v>
      </x:c>
      <x:c r="N6605" s="11" t="n">
        <x:f>IF(G6605,L6605*AN6605/(1+M6605)^F6605,0)</x:f>
        <x:v>0.06581474637250381</x:v>
      </x:c>
      <x:c r="AJ6605" s="42" t="n">
        <x:v>0</x:v>
      </x:c>
      <x:c r="AK6605" s="42" t="n">
        <x:v>0</x:v>
      </x:c>
      <x:c r="AL6605" s="42" t="n">
        <x:v>0</x:v>
      </x:c>
      <x:c r="AM6605" t="n">
        <x:f>CHOOSE('假设'!$B$3,AJ6605,AK6605,AL6605)</x:f>
        <x:v>0</x:v>
      </x:c>
      <x:c r="AN6605" t="n">
        <x:v>1</x:v>
      </x:c>
    </x:row>
    <x:row r="6606" ht="23" customHeight="1">
      <x:c r="A6606" s="11" t="str">
        <x:v>09995.HK</x:v>
      </x:c>
      <x:c r="B6606" s="11" t="str">
        <x:v>半年</x:v>
      </x:c>
      <x:c r="C6606" s="11" t="str">
        <x:v>RC18_foreign</x:v>
      </x:c>
      <x:c r="D6606" s="11" t="str">
        <x:v>2041-12-31</x:v>
      </x:c>
      <x:c r="E6606" s="11" t="str">
        <x:v>USD</x:v>
      </x:c>
      <x:c r="F6606" s="11" t="n">
        <x:v>14.729637234770705</x:v>
      </x:c>
      <x:c r="G6606" s="26" t="b">
        <x:v>1</x:v>
      </x:c>
      <x:c r="H6606" s="16" t="n">
        <x:v>0.65</x:v>
      </x:c>
      <x:c r="I6606" s="16" t="n">
        <x:v>0.6000000000000001</x:v>
      </x:c>
      <x:c r="J6606" s="16" t="n">
        <x:v>1.2000000000000002</x:v>
      </x:c>
      <x:c r="K6606" s="11" t="n">
        <x:f>CHOOSE('假设'!$B$3,H6606,I6606,J6606)</x:f>
        <x:v>0.6000000000000001</x:v>
      </x:c>
      <x:c r="L6606" s="11" t="n">
        <x:f>K6606*'管线假设'!E1411*'管线假设'!F1411*'管线假设'!G1411*IF(E6606="USD",'管线假设'!I1411,1)-AM6606</x:f>
        <x:v>0.227304</x:v>
      </x:c>
      <x:c r="M6606" s="11" t="n">
        <x:f>'管线假设'!H1411</x:f>
        <x:v>0.14</x:v>
      </x:c>
      <x:c r="N6606" s="11" t="n">
        <x:f>IF(G6606,L6606*AN6606/(1+M6606)^F6606,0)</x:f>
        <x:v>0.03299280659856228</x:v>
      </x:c>
      <x:c r="AJ6606" s="42" t="n">
        <x:v>0</x:v>
      </x:c>
      <x:c r="AK6606" s="42" t="n">
        <x:v>0</x:v>
      </x:c>
      <x:c r="AL6606" s="42" t="n">
        <x:v>0</x:v>
      </x:c>
      <x:c r="AM6606" t="n">
        <x:f>CHOOSE('假设'!$B$3,AJ6606,AK6606,AL6606)</x:f>
        <x:v>0</x:v>
      </x:c>
      <x:c r="AN6606" t="n">
        <x:v>1</x:v>
      </x:c>
    </x:row>
    <x:row r="6607" ht="23" customHeight="1">
      <x:c r="A6607" s="11" t="str">
        <x:v>09995.HK</x:v>
      </x:c>
      <x:c r="B6607" s="11" t="str">
        <x:v>半年</x:v>
      </x:c>
      <x:c r="C6607" s="11" t="str">
        <x:v>RC18_foreign</x:v>
      </x:c>
      <x:c r="D6607" s="11" t="str">
        <x:v>2042-12-31</x:v>
      </x:c>
      <x:c r="E6607" s="11" t="str">
        <x:v>USD</x:v>
      </x:c>
      <x:c r="F6607" s="11" t="n">
        <x:v>15.728952772073923</x:v>
      </x:c>
      <x:c r="G6607" s="26" t="b">
        <x:v>1</x:v>
      </x:c>
      <x:c r="H6607" s="16" t="n">
        <x:v>0.5</x:v>
      </x:c>
      <x:c r="I6607" s="16" t="n">
        <x:v>0.36</x:v>
      </x:c>
      <x:c r="J6607" s="16" t="n">
        <x:v>0.72</x:v>
      </x:c>
      <x:c r="K6607" s="11" t="n">
        <x:f>CHOOSE('假设'!$B$3,H6607,I6607,J6607)</x:f>
        <x:v>0.36</x:v>
      </x:c>
      <x:c r="L6607" s="11" t="n">
        <x:f>K6607*'管线假设'!E1411*'管线假设'!F1411*'管线假设'!G1411*IF(E6607="USD",'管线假设'!I1411,1)-AM6607</x:f>
        <x:v>0.13638239999999996</x:v>
      </x:c>
      <x:c r="M6607" s="11" t="n">
        <x:f>'管线假设'!H1411</x:f>
        <x:v>0.14</x:v>
      </x:c>
      <x:c r="N6607" s="11" t="n">
        <x:f>IF(G6607,L6607*AN6607/(1+M6607)^F6607,0)</x:f>
        <x:v>0.01736619245090861</x:v>
      </x:c>
      <x:c r="AJ6607" s="42" t="n">
        <x:v>0</x:v>
      </x:c>
      <x:c r="AK6607" s="42" t="n">
        <x:v>0</x:v>
      </x:c>
      <x:c r="AL6607" s="42" t="n">
        <x:v>0</x:v>
      </x:c>
      <x:c r="AM6607" t="n">
        <x:f>CHOOSE('假设'!$B$3,AJ6607,AK6607,AL6607)</x:f>
        <x:v>0</x:v>
      </x:c>
      <x:c r="AN6607" t="n">
        <x:v>1</x:v>
      </x:c>
    </x:row>
    <x:row r="6608" ht="23" customHeight="1">
      <x:c r="A6608" s="11" t="str">
        <x:v>09995.HK</x:v>
      </x:c>
      <x:c r="B6608" s="11" t="str">
        <x:v>半年</x:v>
      </x:c>
      <x:c r="C6608" s="11" t="str">
        <x:v>RC18_foreign</x:v>
      </x:c>
      <x:c r="D6608" s="11" t="str">
        <x:v>2043-12-31</x:v>
      </x:c>
      <x:c r="E6608" s="11" t="str">
        <x:v>USD</x:v>
      </x:c>
      <x:c r="F6608" s="11" t="n">
        <x:v>16.72826830937714</x:v>
      </x:c>
      <x:c r="G6608" s="26" t="b">
        <x:v>1</x:v>
      </x:c>
      <x:c r="H6608" s="16" t="n">
        <x:v>0.35</x:v>
      </x:c>
      <x:c r="I6608" s="16" t="n">
        <x:v>0.21000000000000002</x:v>
      </x:c>
      <x:c r="J6608" s="16" t="n">
        <x:v>0.42000000000000004</x:v>
      </x:c>
      <x:c r="K6608" s="11" t="n">
        <x:f>CHOOSE('假设'!$B$3,H6608,I6608,J6608)</x:f>
        <x:v>0.21000000000000002</x:v>
      </x:c>
      <x:c r="L6608" s="11" t="n">
        <x:f>K6608*'管线假设'!E1411*'管线假设'!F1411*'管线假设'!G1411*IF(E6608="USD",'管线假设'!I1411,1)-AM6608</x:f>
        <x:v>0.0795564</x:v>
      </x:c>
      <x:c r="M6608" s="11" t="n">
        <x:f>'管线假设'!H1411</x:f>
        <x:v>0.14</x:v>
      </x:c>
      <x:c r="N6608" s="11" t="n">
        <x:f>IF(G6608,L6608*AN6608/(1+M6608)^F6608,0)</x:f>
        <x:v>0.008887006573637155</x:v>
      </x:c>
      <x:c r="AJ6608" s="42" t="n">
        <x:v>0</x:v>
      </x:c>
      <x:c r="AK6608" s="42" t="n">
        <x:v>0</x:v>
      </x:c>
      <x:c r="AL6608" s="42" t="n">
        <x:v>0</x:v>
      </x:c>
      <x:c r="AM6608" t="n">
        <x:f>CHOOSE('假设'!$B$3,AJ6608,AK6608,AL6608)</x:f>
        <x:v>0</x:v>
      </x:c>
      <x:c r="AN6608" t="n">
        <x:v>1</x:v>
      </x:c>
    </x:row>
    <x:row r="6609" ht="23" customHeight="1">
      <x:c r="A6609" s="11" t="str">
        <x:v>09995.HK</x:v>
      </x:c>
      <x:c r="B6609" s="11" t="str">
        <x:v>半年</x:v>
      </x:c>
      <x:c r="C6609" s="11" t="str">
        <x:v>RC18_foreign</x:v>
      </x:c>
      <x:c r="D6609" s="11" t="str">
        <x:v>2044-12-31</x:v>
      </x:c>
      <x:c r="E6609" s="11" t="str">
        <x:v>USD</x:v>
      </x:c>
      <x:c r="F6609" s="11" t="n">
        <x:v>17.730321697467488</x:v>
      </x:c>
      <x:c r="G6609" s="26" t="b">
        <x:v>1</x:v>
      </x:c>
      <x:c r="H6609" s="16" t="n">
        <x:v>0.2</x:v>
      </x:c>
      <x:c r="I6609" s="16" t="n">
        <x:v>0.09</x:v>
      </x:c>
      <x:c r="J6609" s="16" t="n">
        <x:v>0.18</x:v>
      </x:c>
      <x:c r="K6609" s="11" t="n">
        <x:f>CHOOSE('假设'!$B$3,H6609,I6609,J6609)</x:f>
        <x:v>0.09</x:v>
      </x:c>
      <x:c r="L6609" s="11" t="n">
        <x:f>K6609*'管线假设'!E1411*'管线假设'!F1411*'管线假设'!G1411*IF(E6609="USD",'管线假设'!I1411,1)-AM6609</x:f>
        <x:v>0.03409559999999999</x:v>
      </x:c>
      <x:c r="M6609" s="11" t="n">
        <x:f>'管线假设'!H1411</x:f>
        <x:v>0.14</x:v>
      </x:c>
      <x:c r="N6609" s="11" t="n">
        <x:f>IF(G6609,L6609*AN6609/(1+M6609)^F6609,0)</x:f>
        <x:v>0.0033400811389097764</x:v>
      </x:c>
      <x:c r="AJ6609" s="42" t="n">
        <x:v>0</x:v>
      </x:c>
      <x:c r="AK6609" s="42" t="n">
        <x:v>0</x:v>
      </x:c>
      <x:c r="AL6609" s="42" t="n">
        <x:v>0</x:v>
      </x:c>
      <x:c r="AM6609" t="n">
        <x:f>CHOOSE('假设'!$B$3,AJ6609,AK6609,AL6609)</x:f>
        <x:v>0</x:v>
      </x:c>
      <x:c r="AN6609" t="n">
        <x:v>1</x:v>
      </x:c>
    </x:row>
    <x:row r="6610" ht="23" customHeight="1">
      <x:c r="A6610" s="11" t="str">
        <x:v>09995.HK</x:v>
      </x:c>
      <x:c r="B6610" s="11" t="str">
        <x:v>半年</x:v>
      </x:c>
      <x:c r="C6610" s="11" t="str">
        <x:v>RC48_foreign</x:v>
      </x:c>
      <x:c r="D6610" s="11" t="str">
        <x:v>2026-12-31</x:v>
      </x:c>
      <x:c r="E6610" s="11" t="str">
        <x:v>USD</x:v>
      </x:c>
      <x:c r="F6610" s="11" t="n">
        <x:v>-0.27104722792607805</x:v>
      </x:c>
      <x:c r="G6610" s="26" t="b">
        <x:v>0</x:v>
      </x:c>
      <x:c r="H6610" s="16" t="n">
        <x:v>0</x:v>
      </x:c>
      <x:c r="I6610" s="16" t="n">
        <x:v>0</x:v>
      </x:c>
      <x:c r="J6610" s="16" t="n">
        <x:v>0</x:v>
      </x:c>
      <x:c r="K6610" s="11" t="n">
        <x:f>CHOOSE('假设'!$B$3,H6610,I6610,J6610)</x:f>
        <x:v>0</x:v>
      </x:c>
      <x:c r="L6610" s="11" t="n">
        <x:f>K6610*'管线假设'!E1415*'管线假设'!F1415*'管线假设'!G1415*IF(E6610="USD",'管线假设'!I1415,1)-AM6610</x:f>
        <x:v>-0.049</x:v>
      </x:c>
      <x:c r="M6610" s="11" t="n">
        <x:f>'管线假设'!H1415</x:f>
        <x:v>0.14</x:v>
      </x:c>
      <x:c r="N6610" s="11" t="n">
        <x:f>IF(G6610,L6610*AN6610/(1+M6610)^F6610,0)</x:f>
        <x:v>0</x:v>
      </x:c>
      <x:c r="AJ6610" s="42" t="n">
        <x:v>0.021</x:v>
      </x:c>
      <x:c r="AK6610" s="42" t="n">
        <x:v>0.049</x:v>
      </x:c>
      <x:c r="AL6610" s="42" t="n">
        <x:v>0.084</x:v>
      </x:c>
      <x:c r="AM6610" t="n">
        <x:f>CHOOSE('假设'!$B$3,AJ6610,AK6610,AL6610)</x:f>
        <x:v>0.049</x:v>
      </x:c>
      <x:c r="AN6610" t="n">
        <x:v>0</x:v>
      </x:c>
    </x:row>
    <x:row r="6611" ht="23" customHeight="1">
      <x:c r="A6611" s="11" t="str">
        <x:v>09995.HK</x:v>
      </x:c>
      <x:c r="B6611" s="11" t="str">
        <x:v>半年</x:v>
      </x:c>
      <x:c r="C6611" s="11" t="str">
        <x:v>RC48_foreign</x:v>
      </x:c>
      <x:c r="D6611" s="11" t="str">
        <x:v>2027-12-31</x:v>
      </x:c>
      <x:c r="E6611" s="11" t="str">
        <x:v>USD</x:v>
      </x:c>
      <x:c r="F6611" s="11" t="n">
        <x:v>0.7282683093771389</x:v>
      </x:c>
      <x:c r="G6611" s="26" t="b">
        <x:v>1</x:v>
      </x:c>
      <x:c r="H6611" s="16" t="n">
        <x:v>0</x:v>
      </x:c>
      <x:c r="I6611" s="16" t="n">
        <x:v>0</x:v>
      </x:c>
      <x:c r="J6611" s="16" t="n">
        <x:v>0</x:v>
      </x:c>
      <x:c r="K6611" s="11" t="n">
        <x:f>CHOOSE('假设'!$B$3,H6611,I6611,J6611)</x:f>
        <x:v>0</x:v>
      </x:c>
      <x:c r="L6611" s="11" t="n">
        <x:f>K6611*'管线假设'!E1415*'管线假设'!F1415*'管线假设'!G1415*IF(E6611="USD",'管线假设'!I1415,1)-AM6611</x:f>
        <x:v>0</x:v>
      </x:c>
      <x:c r="M6611" s="11" t="n">
        <x:f>'管线假设'!H1415</x:f>
        <x:v>0.14</x:v>
      </x:c>
      <x:c r="N6611" s="11" t="n">
        <x:f>IF(G6611,L6611*AN6611/(1+M6611)^F6611,0)</x:f>
        <x:v>0</x:v>
      </x:c>
      <x:c r="AJ6611" s="42" t="n">
        <x:v>0</x:v>
      </x:c>
      <x:c r="AK6611" s="42" t="n">
        <x:v>0</x:v>
      </x:c>
      <x:c r="AL6611" s="42" t="n">
        <x:v>0</x:v>
      </x:c>
      <x:c r="AM6611" t="n">
        <x:f>CHOOSE('假设'!$B$3,AJ6611,AK6611,AL6611)</x:f>
        <x:v>0</x:v>
      </x:c>
      <x:c r="AN6611" t="n">
        <x:v>0.7307692307692307</x:v>
      </x:c>
    </x:row>
    <x:row r="6612" ht="23" customHeight="1">
      <x:c r="A6612" s="11" t="str">
        <x:v>09995.HK</x:v>
      </x:c>
      <x:c r="B6612" s="11" t="str">
        <x:v>半年</x:v>
      </x:c>
      <x:c r="C6612" s="11" t="str">
        <x:v>RC48_foreign</x:v>
      </x:c>
      <x:c r="D6612" s="11" t="str">
        <x:v>2028-12-31</x:v>
      </x:c>
      <x:c r="E6612" s="11" t="str">
        <x:v>USD</x:v>
      </x:c>
      <x:c r="F6612" s="11" t="n">
        <x:v>1.730321697467488</x:v>
      </x:c>
      <x:c r="G6612" s="26" t="b">
        <x:v>1</x:v>
      </x:c>
      <x:c r="H6612" s="16" t="n">
        <x:v>0</x:v>
      </x:c>
      <x:c r="I6612" s="16" t="n">
        <x:v>0</x:v>
      </x:c>
      <x:c r="J6612" s="16" t="n">
        <x:v>0.24</x:v>
      </x:c>
      <x:c r="K6612" s="11" t="n">
        <x:f>CHOOSE('假设'!$B$3,H6612,I6612,J6612)</x:f>
        <x:v>0</x:v>
      </x:c>
      <x:c r="L6612" s="11" t="n">
        <x:f>K6612*'管线假设'!E1415*'管线假设'!F1415*'管线假设'!G1415*IF(E6612="USD",'管线假设'!I1415,1)-AM6612</x:f>
        <x:v>0</x:v>
      </x:c>
      <x:c r="M6612" s="11" t="n">
        <x:f>'管线假设'!H1415</x:f>
        <x:v>0.14</x:v>
      </x:c>
      <x:c r="N6612" s="11" t="n">
        <x:f>IF(G6612,L6612*AN6612/(1+M6612)^F6612,0)</x:f>
        <x:v>0</x:v>
      </x:c>
      <x:c r="AJ6612" s="42" t="n">
        <x:v>0</x:v>
      </x:c>
      <x:c r="AK6612" s="42" t="n">
        <x:v>0</x:v>
      </x:c>
      <x:c r="AL6612" s="42" t="n">
        <x:v>0</x:v>
      </x:c>
      <x:c r="AM6612" t="n">
        <x:f>CHOOSE('假设'!$B$3,AJ6612,AK6612,AL6612)</x:f>
        <x:v>0</x:v>
      </x:c>
      <x:c r="AN6612" t="n">
        <x:v>1</x:v>
      </x:c>
    </x:row>
    <x:row r="6613" ht="23" customHeight="1">
      <x:c r="A6613" s="11" t="str">
        <x:v>09995.HK</x:v>
      </x:c>
      <x:c r="B6613" s="11" t="str">
        <x:v>半年</x:v>
      </x:c>
      <x:c r="C6613" s="11" t="str">
        <x:v>RC48_foreign</x:v>
      </x:c>
      <x:c r="D6613" s="11" t="str">
        <x:v>2029-12-31</x:v>
      </x:c>
      <x:c r="E6613" s="11" t="str">
        <x:v>USD</x:v>
      </x:c>
      <x:c r="F6613" s="11" t="n">
        <x:v>2.729637234770705</x:v>
      </x:c>
      <x:c r="G6613" s="26" t="b">
        <x:v>1</x:v>
      </x:c>
      <x:c r="H6613" s="16" t="n">
        <x:v>0</x:v>
      </x:c>
      <x:c r="I6613" s="16" t="n">
        <x:v>0.15</x:v>
      </x:c>
      <x:c r="J6613" s="16" t="n">
        <x:v>0.72</x:v>
      </x:c>
      <x:c r="K6613" s="11" t="n">
        <x:f>CHOOSE('假设'!$B$3,H6613,I6613,J6613)</x:f>
        <x:v>0.15</x:v>
      </x:c>
      <x:c r="L6613" s="11" t="n">
        <x:f>K6613*'管线假设'!E1415*'管线假设'!F1415*'管线假设'!G1415*IF(E6613="USD",'管线假设'!I1415,1)-AM6613</x:f>
        <x:v>0.0520905</x:v>
      </x:c>
      <x:c r="M6613" s="11" t="n">
        <x:f>'管线假设'!H1415</x:f>
        <x:v>0.14</x:v>
      </x:c>
      <x:c r="N6613" s="11" t="n">
        <x:f>IF(G6613,L6613*AN6613/(1+M6613)^F6613,0)</x:f>
        <x:v>0.036427462942493924</x:v>
      </x:c>
      <x:c r="AJ6613" s="42" t="n">
        <x:v>0</x:v>
      </x:c>
      <x:c r="AK6613" s="42" t="n">
        <x:v>0</x:v>
      </x:c>
      <x:c r="AL6613" s="42" t="n">
        <x:v>0</x:v>
      </x:c>
      <x:c r="AM6613" t="n">
        <x:f>CHOOSE('假设'!$B$3,AJ6613,AK6613,AL6613)</x:f>
        <x:v>0</x:v>
      </x:c>
      <x:c r="AN6613" t="n">
        <x:v>1</x:v>
      </x:c>
    </x:row>
    <x:row r="6614" ht="23" customHeight="1">
      <x:c r="A6614" s="11" t="str">
        <x:v>09995.HK</x:v>
      </x:c>
      <x:c r="B6614" s="11" t="str">
        <x:v>半年</x:v>
      </x:c>
      <x:c r="C6614" s="11" t="str">
        <x:v>RC48_foreign</x:v>
      </x:c>
      <x:c r="D6614" s="11" t="str">
        <x:v>2030-12-31</x:v>
      </x:c>
      <x:c r="E6614" s="11" t="str">
        <x:v>USD</x:v>
      </x:c>
      <x:c r="F6614" s="11" t="n">
        <x:v>3.728952772073922</x:v>
      </x:c>
      <x:c r="G6614" s="26" t="b">
        <x:v>1</x:v>
      </x:c>
      <x:c r="H6614" s="16" t="n">
        <x:v>0</x:v>
      </x:c>
      <x:c r="I6614" s="16" t="n">
        <x:v>0.44999999999999996</x:v>
      </x:c>
      <x:c r="J6614" s="16" t="n">
        <x:v>1.52</x:v>
      </x:c>
      <x:c r="K6614" s="11" t="n">
        <x:f>CHOOSE('假设'!$B$3,H6614,I6614,J6614)</x:f>
        <x:v>0.44999999999999996</x:v>
      </x:c>
      <x:c r="L6614" s="11" t="n">
        <x:f>K6614*'管线假设'!E1415*'管线假设'!F1415*'管线假设'!G1415*IF(E6614="USD",'管线假设'!I1415,1)-AM6614</x:f>
        <x:v>0.15627149999999998</x:v>
      </x:c>
      <x:c r="M6614" s="11" t="n">
        <x:f>'管线假设'!H1415</x:f>
        <x:v>0.14</x:v>
      </x:c>
      <x:c r="N6614" s="11" t="n">
        <x:f>IF(G6614,L6614*AN6614/(1+M6614)^F6614,0)</x:f>
        <x:v>0.09587034223170003</x:v>
      </x:c>
      <x:c r="AJ6614" s="42" t="n">
        <x:v>0</x:v>
      </x:c>
      <x:c r="AK6614" s="42" t="n">
        <x:v>0</x:v>
      </x:c>
      <x:c r="AL6614" s="42" t="n">
        <x:v>0</x:v>
      </x:c>
      <x:c r="AM6614" t="n">
        <x:f>CHOOSE('假设'!$B$3,AJ6614,AK6614,AL6614)</x:f>
        <x:v>0</x:v>
      </x:c>
      <x:c r="AN6614" t="n">
        <x:v>1</x:v>
      </x:c>
    </x:row>
    <x:row r="6615" ht="23" customHeight="1">
      <x:c r="A6615" s="11" t="str">
        <x:v>09995.HK</x:v>
      </x:c>
      <x:c r="B6615" s="11" t="str">
        <x:v>半年</x:v>
      </x:c>
      <x:c r="C6615" s="11" t="str">
        <x:v>RC48_foreign</x:v>
      </x:c>
      <x:c r="D6615" s="11" t="str">
        <x:v>2031-12-31</x:v>
      </x:c>
      <x:c r="E6615" s="11" t="str">
        <x:v>USD</x:v>
      </x:c>
      <x:c r="F6615" s="11" t="n">
        <x:v>4.728268309377139</x:v>
      </x:c>
      <x:c r="G6615" s="26" t="b">
        <x:v>1</x:v>
      </x:c>
      <x:c r="H6615" s="16" t="n">
        <x:v>0.06</x:v>
      </x:c>
      <x:c r="I6615" s="16" t="n">
        <x:v>0.95</x:v>
      </x:c>
      <x:c r="J6615" s="16" t="n">
        <x:v>2.6</x:v>
      </x:c>
      <x:c r="K6615" s="11" t="n">
        <x:f>CHOOSE('假设'!$B$3,H6615,I6615,J6615)</x:f>
        <x:v>0.95</x:v>
      </x:c>
      <x:c r="L6615" s="11" t="n">
        <x:f>K6615*'管线假设'!E1415*'管线假设'!F1415*'管线假设'!G1415*IF(E6615="USD",'管线假设'!I1415,1)-AM6615</x:f>
        <x:v>0.32990649999999994</x:v>
      </x:c>
      <x:c r="M6615" s="11" t="n">
        <x:f>'管线假设'!H1415</x:f>
        <x:v>0.14</x:v>
      </x:c>
      <x:c r="N6615" s="11" t="n">
        <x:f>IF(G6615,L6615*AN6615/(1+M6615)^F6615,0)</x:f>
        <x:v>0.17755359379443567</x:v>
      </x:c>
      <x:c r="AJ6615" s="42" t="n">
        <x:v>0</x:v>
      </x:c>
      <x:c r="AK6615" s="42" t="n">
        <x:v>0</x:v>
      </x:c>
      <x:c r="AL6615" s="42" t="n">
        <x:v>0</x:v>
      </x:c>
      <x:c r="AM6615" t="n">
        <x:f>CHOOSE('假设'!$B$3,AJ6615,AK6615,AL6615)</x:f>
        <x:v>0</x:v>
      </x:c>
      <x:c r="AN6615" t="n">
        <x:v>1</x:v>
      </x:c>
    </x:row>
    <x:row r="6616" ht="23" customHeight="1">
      <x:c r="A6616" s="11" t="str">
        <x:v>09995.HK</x:v>
      </x:c>
      <x:c r="B6616" s="11" t="str">
        <x:v>半年</x:v>
      </x:c>
      <x:c r="C6616" s="11" t="str">
        <x:v>RC48_foreign</x:v>
      </x:c>
      <x:c r="D6616" s="11" t="str">
        <x:v>2032-12-31</x:v>
      </x:c>
      <x:c r="E6616" s="11" t="str">
        <x:v>USD</x:v>
      </x:c>
      <x:c r="F6616" s="11" t="n">
        <x:v>5.730321697467488</x:v>
      </x:c>
      <x:c r="G6616" s="26" t="b">
        <x:v>1</x:v>
      </x:c>
      <x:c r="H6616" s="16" t="n">
        <x:v>0.18</x:v>
      </x:c>
      <x:c r="I6616" s="16" t="n">
        <x:v>1.625</x:v>
      </x:c>
      <x:c r="J6616" s="16" t="n">
        <x:v>3.4</x:v>
      </x:c>
      <x:c r="K6616" s="11" t="n">
        <x:f>CHOOSE('假设'!$B$3,H6616,I6616,J6616)</x:f>
        <x:v>1.625</x:v>
      </x:c>
      <x:c r="L6616" s="11" t="n">
        <x:f>K6616*'管线假设'!E1415*'管线假设'!F1415*'管线假设'!G1415*IF(E6616="USD",'管线假设'!I1415,1)-AM6616</x:f>
        <x:v>0.56431375</x:v>
      </x:c>
      <x:c r="M6616" s="11" t="n">
        <x:f>'管线假设'!H1415</x:f>
        <x:v>0.14</x:v>
      </x:c>
      <x:c r="N6616" s="11" t="n">
        <x:f>IF(G6616,L6616*AN6616/(1+M6616)^F6616,0)</x:f>
        <x:v>0.2663406946228412</x:v>
      </x:c>
      <x:c r="AJ6616" s="42" t="n">
        <x:v>0</x:v>
      </x:c>
      <x:c r="AK6616" s="42" t="n">
        <x:v>0</x:v>
      </x:c>
      <x:c r="AL6616" s="42" t="n">
        <x:v>0</x:v>
      </x:c>
      <x:c r="AM6616" t="n">
        <x:f>CHOOSE('假设'!$B$3,AJ6616,AK6616,AL6616)</x:f>
        <x:v>0</x:v>
      </x:c>
      <x:c r="AN6616" t="n">
        <x:v>1</x:v>
      </x:c>
    </x:row>
    <x:row r="6617" ht="23" customHeight="1">
      <x:c r="A6617" s="11" t="str">
        <x:v>09995.HK</x:v>
      </x:c>
      <x:c r="B6617" s="11" t="str">
        <x:v>半年</x:v>
      </x:c>
      <x:c r="C6617" s="11" t="str">
        <x:v>RC48_foreign</x:v>
      </x:c>
      <x:c r="D6617" s="11" t="str">
        <x:v>2033-12-31</x:v>
      </x:c>
      <x:c r="E6617" s="11" t="str">
        <x:v>USD</x:v>
      </x:c>
      <x:c r="F6617" s="11" t="n">
        <x:v>6.729637234770705</x:v>
      </x:c>
      <x:c r="G6617" s="26" t="b">
        <x:v>1</x:v>
      </x:c>
      <x:c r="H6617" s="16" t="n">
        <x:v>0.38</x:v>
      </x:c>
      <x:c r="I6617" s="16" t="n">
        <x:v>2.125</x:v>
      </x:c>
      <x:c r="J6617" s="16" t="n">
        <x:v>4</x:v>
      </x:c>
      <x:c r="K6617" s="11" t="n">
        <x:f>CHOOSE('假设'!$B$3,H6617,I6617,J6617)</x:f>
        <x:v>2.125</x:v>
      </x:c>
      <x:c r="L6617" s="11" t="n">
        <x:f>K6617*'管线假设'!E1415*'管线假设'!F1415*'管线假设'!G1415*IF(E6617="USD",'管线假设'!I1415,1)-AM6617</x:f>
        <x:v>0.73794875</x:v>
      </x:c>
      <x:c r="M6617" s="11" t="n">
        <x:f>'管线假设'!H1415</x:f>
        <x:v>0.14</x:v>
      </x:c>
      <x:c r="N6617" s="11" t="n">
        <x:f>IF(G6617,L6617*AN6617/(1+M6617)^F6617,0)</x:f>
        <x:v>0.3055464168075248</x:v>
      </x:c>
      <x:c r="AJ6617" s="42" t="n">
        <x:v>0</x:v>
      </x:c>
      <x:c r="AK6617" s="42" t="n">
        <x:v>0</x:v>
      </x:c>
      <x:c r="AL6617" s="42" t="n">
        <x:v>0</x:v>
      </x:c>
      <x:c r="AM6617" t="n">
        <x:f>CHOOSE('假设'!$B$3,AJ6617,AK6617,AL6617)</x:f>
        <x:v>0</x:v>
      </x:c>
      <x:c r="AN6617" t="n">
        <x:v>1</x:v>
      </x:c>
    </x:row>
    <x:row r="6618" ht="23" customHeight="1">
      <x:c r="A6618" s="11" t="str">
        <x:v>09995.HK</x:v>
      </x:c>
      <x:c r="B6618" s="11" t="str">
        <x:v>半年</x:v>
      </x:c>
      <x:c r="C6618" s="11" t="str">
        <x:v>RC48_foreign</x:v>
      </x:c>
      <x:c r="D6618" s="11" t="str">
        <x:v>2034-12-31</x:v>
      </x:c>
      <x:c r="E6618" s="11" t="str">
        <x:v>USD</x:v>
      </x:c>
      <x:c r="F6618" s="11" t="n">
        <x:v>7.728952772073922</x:v>
      </x:c>
      <x:c r="G6618" s="26" t="b">
        <x:v>1</x:v>
      </x:c>
      <x:c r="H6618" s="16" t="n">
        <x:v>0.65</x:v>
      </x:c>
      <x:c r="I6618" s="16" t="n">
        <x:v>2.5</x:v>
      </x:c>
      <x:c r="J6618" s="16" t="n">
        <x:v>4</x:v>
      </x:c>
      <x:c r="K6618" s="11" t="n">
        <x:f>CHOOSE('假设'!$B$3,H6618,I6618,J6618)</x:f>
        <x:v>2.5</x:v>
      </x:c>
      <x:c r="L6618" s="11" t="n">
        <x:f>K6618*'管线假设'!E1415*'管线假设'!F1415*'管线假设'!G1415*IF(E6618="USD",'管线假设'!I1415,1)-AM6618</x:f>
        <x:v>0.8681749999999999</x:v>
      </x:c>
      <x:c r="M6618" s="11" t="n">
        <x:f>'管线假设'!H1415</x:f>
        <x:v>0.14</x:v>
      </x:c>
      <x:c r="N6618" s="11" t="n">
        <x:f>IF(G6618,L6618*AN6618/(1+M6618)^F6618,0)</x:f>
        <x:v>0.3153496601117775</x:v>
      </x:c>
      <x:c r="AJ6618" s="42" t="n">
        <x:v>0</x:v>
      </x:c>
      <x:c r="AK6618" s="42" t="n">
        <x:v>0</x:v>
      </x:c>
      <x:c r="AL6618" s="42" t="n">
        <x:v>0</x:v>
      </x:c>
      <x:c r="AM6618" t="n">
        <x:f>CHOOSE('假设'!$B$3,AJ6618,AK6618,AL6618)</x:f>
        <x:v>0</x:v>
      </x:c>
      <x:c r="AN6618" t="n">
        <x:v>1</x:v>
      </x:c>
    </x:row>
    <x:row r="6619" ht="23" customHeight="1">
      <x:c r="A6619" s="11" t="str">
        <x:v>09995.HK</x:v>
      </x:c>
      <x:c r="B6619" s="11" t="str">
        <x:v>半年</x:v>
      </x:c>
      <x:c r="C6619" s="11" t="str">
        <x:v>RC48_foreign</x:v>
      </x:c>
      <x:c r="D6619" s="11" t="str">
        <x:v>2035-12-31</x:v>
      </x:c>
      <x:c r="E6619" s="11" t="str">
        <x:v>USD</x:v>
      </x:c>
      <x:c r="F6619" s="11" t="n">
        <x:v>8.728268309377139</x:v>
      </x:c>
      <x:c r="G6619" s="26" t="b">
        <x:v>1</x:v>
      </x:c>
      <x:c r="H6619" s="16" t="n">
        <x:v>0.85</x:v>
      </x:c>
      <x:c r="I6619" s="16" t="n">
        <x:v>2.5</x:v>
      </x:c>
      <x:c r="J6619" s="16" t="n">
        <x:v>3.8</x:v>
      </x:c>
      <x:c r="K6619" s="11" t="n">
        <x:f>CHOOSE('假设'!$B$3,H6619,I6619,J6619)</x:f>
        <x:v>2.5</x:v>
      </x:c>
      <x:c r="L6619" s="11" t="n">
        <x:f>K6619*'管线假设'!E1415*'管线假设'!F1415*'管线假设'!G1415*IF(E6619="USD",'管线假设'!I1415,1)-AM6619</x:f>
        <x:v>0.8681749999999999</x:v>
      </x:c>
      <x:c r="M6619" s="11" t="n">
        <x:f>'管线假设'!H1415</x:f>
        <x:v>0.14</x:v>
      </x:c>
      <x:c r="N6619" s="11" t="n">
        <x:f>IF(G6619,L6619*AN6619/(1+M6619)^F6619,0)</x:f>
        <x:v>0.27664731858390373</x:v>
      </x:c>
      <x:c r="AJ6619" s="42" t="n">
        <x:v>0</x:v>
      </x:c>
      <x:c r="AK6619" s="42" t="n">
        <x:v>0</x:v>
      </x:c>
      <x:c r="AL6619" s="42" t="n">
        <x:v>0</x:v>
      </x:c>
      <x:c r="AM6619" t="n">
        <x:f>CHOOSE('假设'!$B$3,AJ6619,AK6619,AL6619)</x:f>
        <x:v>0</x:v>
      </x:c>
      <x:c r="AN6619" t="n">
        <x:v>1</x:v>
      </x:c>
    </x:row>
    <x:row r="6620" ht="23" customHeight="1">
      <x:c r="A6620" s="11" t="str">
        <x:v>09995.HK</x:v>
      </x:c>
      <x:c r="B6620" s="11" t="str">
        <x:v>半年</x:v>
      </x:c>
      <x:c r="C6620" s="11" t="str">
        <x:v>RC48_foreign</x:v>
      </x:c>
      <x:c r="D6620" s="11" t="str">
        <x:v>2036-12-31</x:v>
      </x:c>
      <x:c r="E6620" s="11" t="str">
        <x:v>USD</x:v>
      </x:c>
      <x:c r="F6620" s="11" t="n">
        <x:v>9.730321697467488</x:v>
      </x:c>
      <x:c r="G6620" s="26" t="b">
        <x:v>1</x:v>
      </x:c>
      <x:c r="H6620" s="16" t="n">
        <x:v>1</x:v>
      </x:c>
      <x:c r="I6620" s="16" t="n">
        <x:v>2.375</x:v>
      </x:c>
      <x:c r="J6620" s="16" t="n">
        <x:v>3.6</x:v>
      </x:c>
      <x:c r="K6620" s="11" t="n">
        <x:f>CHOOSE('假设'!$B$3,H6620,I6620,J6620)</x:f>
        <x:v>2.375</x:v>
      </x:c>
      <x:c r="L6620" s="11" t="n">
        <x:f>K6620*'管线假设'!E1415*'管线假设'!F1415*'管线假设'!G1415*IF(E6620="USD",'管线假设'!I1415,1)-AM6620</x:f>
        <x:v>0.8247662499999999</x:v>
      </x:c>
      <x:c r="M6620" s="11" t="n">
        <x:f>'管线假设'!H1415</x:f>
        <x:v>0.14</x:v>
      </x:c>
      <x:c r="N6620" s="11" t="n">
        <x:f>IF(G6620,L6620*AN6620/(1+M6620)^F6620,0)</x:f>
        <x:v>0.2304774134306119</x:v>
      </x:c>
      <x:c r="AJ6620" s="42" t="n">
        <x:v>0</x:v>
      </x:c>
      <x:c r="AK6620" s="42" t="n">
        <x:v>0</x:v>
      </x:c>
      <x:c r="AL6620" s="42" t="n">
        <x:v>0</x:v>
      </x:c>
      <x:c r="AM6620" t="n">
        <x:f>CHOOSE('假设'!$B$3,AJ6620,AK6620,AL6620)</x:f>
        <x:v>0</x:v>
      </x:c>
      <x:c r="AN6620" t="n">
        <x:v>1</x:v>
      </x:c>
    </x:row>
    <x:row r="6621" ht="23" customHeight="1">
      <x:c r="A6621" s="11" t="str">
        <x:v>09995.HK</x:v>
      </x:c>
      <x:c r="B6621" s="11" t="str">
        <x:v>半年</x:v>
      </x:c>
      <x:c r="C6621" s="11" t="str">
        <x:v>RC48_foreign</x:v>
      </x:c>
      <x:c r="D6621" s="11" t="str">
        <x:v>2037-12-31</x:v>
      </x:c>
      <x:c r="E6621" s="11" t="str">
        <x:v>USD</x:v>
      </x:c>
      <x:c r="F6621" s="11" t="n">
        <x:v>10.729637234770705</x:v>
      </x:c>
      <x:c r="G6621" s="26" t="b">
        <x:v>1</x:v>
      </x:c>
      <x:c r="H6621" s="16" t="n">
        <x:v>1</x:v>
      </x:c>
      <x:c r="I6621" s="16" t="n">
        <x:v>2.25</x:v>
      </x:c>
      <x:c r="J6621" s="16" t="n">
        <x:v>3.2</x:v>
      </x:c>
      <x:c r="K6621" s="11" t="n">
        <x:f>CHOOSE('假设'!$B$3,H6621,I6621,J6621)</x:f>
        <x:v>2.25</x:v>
      </x:c>
      <x:c r="L6621" s="11" t="n">
        <x:f>K6621*'管线假设'!E1415*'管线假设'!F1415*'管线假设'!G1415*IF(E6621="USD",'管线假设'!I1415,1)-AM6621</x:f>
        <x:v>0.7813574999999999</x:v>
      </x:c>
      <x:c r="M6621" s="11" t="n">
        <x:f>'管线假设'!H1415</x:f>
        <x:v>0.14</x:v>
      </x:c>
      <x:c r="N6621" s="11" t="n">
        <x:f>IF(G6621,L6621*AN6621/(1+M6621)^F6621,0)</x:f>
        <x:v>0.19154965469597657</x:v>
      </x:c>
      <x:c r="AJ6621" s="42" t="n">
        <x:v>0</x:v>
      </x:c>
      <x:c r="AK6621" s="42" t="n">
        <x:v>0</x:v>
      </x:c>
      <x:c r="AL6621" s="42" t="n">
        <x:v>0</x:v>
      </x:c>
      <x:c r="AM6621" t="n">
        <x:f>CHOOSE('假设'!$B$3,AJ6621,AK6621,AL6621)</x:f>
        <x:v>0</x:v>
      </x:c>
      <x:c r="AN6621" t="n">
        <x:v>1</x:v>
      </x:c>
    </x:row>
    <x:row r="6622" ht="23" customHeight="1">
      <x:c r="A6622" s="11" t="str">
        <x:v>09995.HK</x:v>
      </x:c>
      <x:c r="B6622" s="11" t="str">
        <x:v>半年</x:v>
      </x:c>
      <x:c r="C6622" s="11" t="str">
        <x:v>RC48_foreign</x:v>
      </x:c>
      <x:c r="D6622" s="11" t="str">
        <x:v>2038-12-31</x:v>
      </x:c>
      <x:c r="E6622" s="11" t="str">
        <x:v>USD</x:v>
      </x:c>
      <x:c r="F6622" s="11" t="n">
        <x:v>11.728952772073923</x:v>
      </x:c>
      <x:c r="G6622" s="26" t="b">
        <x:v>1</x:v>
      </x:c>
      <x:c r="H6622" s="16" t="n">
        <x:v>0.95</x:v>
      </x:c>
      <x:c r="I6622" s="16" t="n">
        <x:v>2</x:v>
      </x:c>
      <x:c r="J6622" s="16" t="n">
        <x:v>2.6</x:v>
      </x:c>
      <x:c r="K6622" s="11" t="n">
        <x:f>CHOOSE('假设'!$B$3,H6622,I6622,J6622)</x:f>
        <x:v>2</x:v>
      </x:c>
      <x:c r="L6622" s="11" t="n">
        <x:f>K6622*'管线假设'!E1415*'管线假设'!F1415*'管线假设'!G1415*IF(E6622="USD",'管线假设'!I1415,1)-AM6622</x:f>
        <x:v>0.6945399999999999</x:v>
      </x:c>
      <x:c r="M6622" s="11" t="n">
        <x:f>'管线假设'!H1415</x:f>
        <x:v>0.14</x:v>
      </x:c>
      <x:c r="N6622" s="11" t="n">
        <x:f>IF(G6622,L6622*AN6622/(1+M6622)^F6622,0)</x:f>
        <x:v>0.14936985138206094</x:v>
      </x:c>
      <x:c r="AJ6622" s="42" t="n">
        <x:v>0</x:v>
      </x:c>
      <x:c r="AK6622" s="42" t="n">
        <x:v>0</x:v>
      </x:c>
      <x:c r="AL6622" s="42" t="n">
        <x:v>0</x:v>
      </x:c>
      <x:c r="AM6622" t="n">
        <x:f>CHOOSE('假设'!$B$3,AJ6622,AK6622,AL6622)</x:f>
        <x:v>0</x:v>
      </x:c>
      <x:c r="AN6622" t="n">
        <x:v>1</x:v>
      </x:c>
    </x:row>
    <x:row r="6623" ht="23" customHeight="1">
      <x:c r="A6623" s="11" t="str">
        <x:v>09995.HK</x:v>
      </x:c>
      <x:c r="B6623" s="11" t="str">
        <x:v>半年</x:v>
      </x:c>
      <x:c r="C6623" s="11" t="str">
        <x:v>RC48_foreign</x:v>
      </x:c>
      <x:c r="D6623" s="11" t="str">
        <x:v>2039-12-31</x:v>
      </x:c>
      <x:c r="E6623" s="11" t="str">
        <x:v>USD</x:v>
      </x:c>
      <x:c r="F6623" s="11" t="n">
        <x:v>12.728268309377139</x:v>
      </x:c>
      <x:c r="G6623" s="26" t="b">
        <x:v>1</x:v>
      </x:c>
      <x:c r="H6623" s="16" t="n">
        <x:v>0.9</x:v>
      </x:c>
      <x:c r="I6623" s="16" t="n">
        <x:v>1.625</x:v>
      </x:c>
      <x:c r="J6623" s="16" t="n">
        <x:v>2</x:v>
      </x:c>
      <x:c r="K6623" s="11" t="n">
        <x:f>CHOOSE('假设'!$B$3,H6623,I6623,J6623)</x:f>
        <x:v>1.625</x:v>
      </x:c>
      <x:c r="L6623" s="11" t="n">
        <x:f>K6623*'管线假设'!E1415*'管线假设'!F1415*'管线假设'!G1415*IF(E6623="USD",'管线假设'!I1415,1)-AM6623</x:f>
        <x:v>0.56431375</x:v>
      </x:c>
      <x:c r="M6623" s="11" t="n">
        <x:f>'管线假设'!H1415</x:f>
        <x:v>0.14</x:v>
      </x:c>
      <x:c r="N6623" s="11" t="n">
        <x:f>IF(G6623,L6623*AN6623/(1+M6623)^F6623,0)</x:f>
        <x:v>0.10646832372856999</x:v>
      </x:c>
      <x:c r="AJ6623" s="42" t="n">
        <x:v>0</x:v>
      </x:c>
      <x:c r="AK6623" s="42" t="n">
        <x:v>0</x:v>
      </x:c>
      <x:c r="AL6623" s="42" t="n">
        <x:v>0</x:v>
      </x:c>
      <x:c r="AM6623" t="n">
        <x:f>CHOOSE('假设'!$B$3,AJ6623,AK6623,AL6623)</x:f>
        <x:v>0</x:v>
      </x:c>
      <x:c r="AN6623" t="n">
        <x:v>1</x:v>
      </x:c>
    </x:row>
    <x:row r="6624" ht="23" customHeight="1">
      <x:c r="A6624" s="11" t="str">
        <x:v>09995.HK</x:v>
      </x:c>
      <x:c r="B6624" s="11" t="str">
        <x:v>半年</x:v>
      </x:c>
      <x:c r="C6624" s="11" t="str">
        <x:v>RC48_foreign</x:v>
      </x:c>
      <x:c r="D6624" s="11" t="str">
        <x:v>2040-12-31</x:v>
      </x:c>
      <x:c r="E6624" s="11" t="str">
        <x:v>USD</x:v>
      </x:c>
      <x:c r="F6624" s="11" t="n">
        <x:v>13.730321697467488</x:v>
      </x:c>
      <x:c r="G6624" s="26" t="b">
        <x:v>1</x:v>
      </x:c>
      <x:c r="H6624" s="16" t="n">
        <x:v>0.8</x:v>
      </x:c>
      <x:c r="I6624" s="16" t="n">
        <x:v>1.25</x:v>
      </x:c>
      <x:c r="J6624" s="16" t="n">
        <x:v>1.4</x:v>
      </x:c>
      <x:c r="K6624" s="11" t="n">
        <x:f>CHOOSE('假设'!$B$3,H6624,I6624,J6624)</x:f>
        <x:v>1.25</x:v>
      </x:c>
      <x:c r="L6624" s="11" t="n">
        <x:f>K6624*'管线假设'!E1415*'管线假设'!F1415*'管线假设'!G1415*IF(E6624="USD",'管线假设'!I1415,1)-AM6624</x:f>
        <x:v>0.43408749999999996</x:v>
      </x:c>
      <x:c r="M6624" s="11" t="n">
        <x:f>'管线假设'!H1415</x:f>
        <x:v>0.14</x:v>
      </x:c>
      <x:c r="N6624" s="11" t="n">
        <x:f>IF(G6624,L6624*AN6624/(1+M6624)^F6624,0)</x:f>
        <x:v>0.07182164782713711</x:v>
      </x:c>
      <x:c r="AJ6624" s="42" t="n">
        <x:v>0</x:v>
      </x:c>
      <x:c r="AK6624" s="42" t="n">
        <x:v>0</x:v>
      </x:c>
      <x:c r="AL6624" s="42" t="n">
        <x:v>0</x:v>
      </x:c>
      <x:c r="AM6624" t="n">
        <x:f>CHOOSE('假设'!$B$3,AJ6624,AK6624,AL6624)</x:f>
        <x:v>0</x:v>
      </x:c>
      <x:c r="AN6624" t="n">
        <x:v>1</x:v>
      </x:c>
    </x:row>
    <x:row r="6625" ht="23" customHeight="1">
      <x:c r="A6625" s="11" t="str">
        <x:v>09995.HK</x:v>
      </x:c>
      <x:c r="B6625" s="11" t="str">
        <x:v>半年</x:v>
      </x:c>
      <x:c r="C6625" s="11" t="str">
        <x:v>RC48_foreign</x:v>
      </x:c>
      <x:c r="D6625" s="11" t="str">
        <x:v>2041-12-31</x:v>
      </x:c>
      <x:c r="E6625" s="11" t="str">
        <x:v>USD</x:v>
      </x:c>
      <x:c r="F6625" s="11" t="n">
        <x:v>14.729637234770705</x:v>
      </x:c>
      <x:c r="G6625" s="26" t="b">
        <x:v>1</x:v>
      </x:c>
      <x:c r="H6625" s="16" t="n">
        <x:v>0.65</x:v>
      </x:c>
      <x:c r="I6625" s="16" t="n">
        <x:v>0.875</x:v>
      </x:c>
      <x:c r="J6625" s="16" t="n">
        <x:v>0.8</x:v>
      </x:c>
      <x:c r="K6625" s="11" t="n">
        <x:f>CHOOSE('假设'!$B$3,H6625,I6625,J6625)</x:f>
        <x:v>0.875</x:v>
      </x:c>
      <x:c r="L6625" s="11" t="n">
        <x:f>K6625*'管线假设'!E1415*'管线假设'!F1415*'管线假设'!G1415*IF(E6625="USD",'管线假设'!I1415,1)-AM6625</x:f>
        <x:v>0.30386125</x:v>
      </x:c>
      <x:c r="M6625" s="11" t="n">
        <x:f>'管线假设'!H1415</x:f>
        <x:v>0.14</x:v>
      </x:c>
      <x:c r="N6625" s="11" t="n">
        <x:f>IF(G6625,L6625*AN6625/(1+M6625)^F6625,0)</x:f>
        <x:v>0.04410496715432806</x:v>
      </x:c>
      <x:c r="AJ6625" s="42" t="n">
        <x:v>0</x:v>
      </x:c>
      <x:c r="AK6625" s="42" t="n">
        <x:v>0</x:v>
      </x:c>
      <x:c r="AL6625" s="42" t="n">
        <x:v>0</x:v>
      </x:c>
      <x:c r="AM6625" t="n">
        <x:f>CHOOSE('假设'!$B$3,AJ6625,AK6625,AL6625)</x:f>
        <x:v>0</x:v>
      </x:c>
      <x:c r="AN6625" t="n">
        <x:v>1</x:v>
      </x:c>
    </x:row>
    <x:row r="6626" ht="23" customHeight="1">
      <x:c r="A6626" s="11" t="str">
        <x:v>09995.HK</x:v>
      </x:c>
      <x:c r="B6626" s="11" t="str">
        <x:v>半年</x:v>
      </x:c>
      <x:c r="C6626" s="11" t="str">
        <x:v>RC48_foreign</x:v>
      </x:c>
      <x:c r="D6626" s="11" t="str">
        <x:v>2042-12-31</x:v>
      </x:c>
      <x:c r="E6626" s="11" t="str">
        <x:v>USD</x:v>
      </x:c>
      <x:c r="F6626" s="11" t="n">
        <x:v>15.728952772073923</x:v>
      </x:c>
      <x:c r="G6626" s="26" t="b">
        <x:v>1</x:v>
      </x:c>
      <x:c r="H6626" s="16" t="n">
        <x:v>0.5</x:v>
      </x:c>
      <x:c r="I6626" s="16" t="n">
        <x:v>0.5</x:v>
      </x:c>
      <x:c r="J6626" s="16" t="n">
        <x:v>0.48</x:v>
      </x:c>
      <x:c r="K6626" s="11" t="n">
        <x:f>CHOOSE('假设'!$B$3,H6626,I6626,J6626)</x:f>
        <x:v>0.5</x:v>
      </x:c>
      <x:c r="L6626" s="11" t="n">
        <x:f>K6626*'管线假设'!E1415*'管线假设'!F1415*'管线假设'!G1415*IF(E6626="USD",'管线假设'!I1415,1)-AM6626</x:f>
        <x:v>0.17363499999999998</x:v>
      </x:c>
      <x:c r="M6626" s="11" t="n">
        <x:f>'管线假设'!H1415</x:f>
        <x:v>0.14</x:v>
      </x:c>
      <x:c r="N6626" s="11" t="n">
        <x:f>IF(G6626,L6626*AN6626/(1+M6626)^F6626,0)</x:f>
        <x:v>0.022109735759258654</x:v>
      </x:c>
      <x:c r="AJ6626" s="42" t="n">
        <x:v>0</x:v>
      </x:c>
      <x:c r="AK6626" s="42" t="n">
        <x:v>0</x:v>
      </x:c>
      <x:c r="AL6626" s="42" t="n">
        <x:v>0</x:v>
      </x:c>
      <x:c r="AM6626" t="n">
        <x:f>CHOOSE('假设'!$B$3,AJ6626,AK6626,AL6626)</x:f>
        <x:v>0</x:v>
      </x:c>
      <x:c r="AN6626" t="n">
        <x:v>1</x:v>
      </x:c>
    </x:row>
    <x:row r="6627" ht="23" customHeight="1">
      <x:c r="A6627" s="11" t="str">
        <x:v>09995.HK</x:v>
      </x:c>
      <x:c r="B6627" s="11" t="str">
        <x:v>半年</x:v>
      </x:c>
      <x:c r="C6627" s="11" t="str">
        <x:v>RC48_foreign</x:v>
      </x:c>
      <x:c r="D6627" s="11" t="str">
        <x:v>2043-12-31</x:v>
      </x:c>
      <x:c r="E6627" s="11" t="str">
        <x:v>USD</x:v>
      </x:c>
      <x:c r="F6627" s="11" t="n">
        <x:v>16.72826830937714</x:v>
      </x:c>
      <x:c r="G6627" s="26" t="b">
        <x:v>1</x:v>
      </x:c>
      <x:c r="H6627" s="16" t="n">
        <x:v>0.35</x:v>
      </x:c>
      <x:c r="I6627" s="16" t="n">
        <x:v>0.3</x:v>
      </x:c>
      <x:c r="J6627" s="16" t="n">
        <x:v>0.28</x:v>
      </x:c>
      <x:c r="K6627" s="11" t="n">
        <x:f>CHOOSE('假设'!$B$3,H6627,I6627,J6627)</x:f>
        <x:v>0.3</x:v>
      </x:c>
      <x:c r="L6627" s="11" t="n">
        <x:f>K6627*'管线假设'!E1415*'管线假设'!F1415*'管线假设'!G1415*IF(E6627="USD",'管线假设'!I1415,1)-AM6627</x:f>
        <x:v>0.104181</x:v>
      </x:c>
      <x:c r="M6627" s="11" t="n">
        <x:f>'管线假设'!H1415</x:f>
        <x:v>0.14</x:v>
      </x:c>
      <x:c r="N6627" s="11" t="n">
        <x:f>IF(G6627,L6627*AN6627/(1+M6627)^F6627,0)</x:f>
        <x:v>0.011637746703572465</x:v>
      </x:c>
      <x:c r="AJ6627" s="42" t="n">
        <x:v>0</x:v>
      </x:c>
      <x:c r="AK6627" s="42" t="n">
        <x:v>0</x:v>
      </x:c>
      <x:c r="AL6627" s="42" t="n">
        <x:v>0</x:v>
      </x:c>
      <x:c r="AM6627" t="n">
        <x:f>CHOOSE('假设'!$B$3,AJ6627,AK6627,AL6627)</x:f>
        <x:v>0</x:v>
      </x:c>
      <x:c r="AN6627" t="n">
        <x:v>1</x:v>
      </x:c>
    </x:row>
    <x:row r="6628" ht="23" customHeight="1">
      <x:c r="A6628" s="11" t="str">
        <x:v>09995.HK</x:v>
      </x:c>
      <x:c r="B6628" s="11" t="str">
        <x:v>半年</x:v>
      </x:c>
      <x:c r="C6628" s="11" t="str">
        <x:v>RC48_foreign</x:v>
      </x:c>
      <x:c r="D6628" s="11" t="str">
        <x:v>2044-12-31</x:v>
      </x:c>
      <x:c r="E6628" s="11" t="str">
        <x:v>USD</x:v>
      </x:c>
      <x:c r="F6628" s="11" t="n">
        <x:v>17.730321697467488</x:v>
      </x:c>
      <x:c r="G6628" s="26" t="b">
        <x:v>1</x:v>
      </x:c>
      <x:c r="H6628" s="16" t="n">
        <x:v>0.2</x:v>
      </x:c>
      <x:c r="I6628" s="16" t="n">
        <x:v>0.17500000000000002</x:v>
      </x:c>
      <x:c r="J6628" s="16" t="n">
        <x:v>0.12</x:v>
      </x:c>
      <x:c r="K6628" s="11" t="n">
        <x:f>CHOOSE('假设'!$B$3,H6628,I6628,J6628)</x:f>
        <x:v>0.17500000000000002</x:v>
      </x:c>
      <x:c r="L6628" s="11" t="n">
        <x:f>K6628*'管线假设'!E1415*'管线假设'!F1415*'管线假设'!G1415*IF(E6628="USD",'管线假设'!I1415,1)-AM6628</x:f>
        <x:v>0.06077225</x:v>
      </x:c>
      <x:c r="M6628" s="11" t="n">
        <x:f>'管线假设'!H1415</x:f>
        <x:v>0.14</x:v>
      </x:c>
      <x:c r="N6628" s="11" t="n">
        <x:f>IF(G6628,L6628*AN6628/(1+M6628)^F6628,0)</x:f>
        <x:v>0.005953385363334557</x:v>
      </x:c>
      <x:c r="AJ6628" s="42" t="n">
        <x:v>0</x:v>
      </x:c>
      <x:c r="AK6628" s="42" t="n">
        <x:v>0</x:v>
      </x:c>
      <x:c r="AL6628" s="42" t="n">
        <x:v>0</x:v>
      </x:c>
      <x:c r="AM6628" t="n">
        <x:f>CHOOSE('假设'!$B$3,AJ6628,AK6628,AL6628)</x:f>
        <x:v>0</x:v>
      </x:c>
      <x:c r="AN6628" t="n">
        <x:v>1</x:v>
      </x:c>
    </x:row>
    <x:row r="6629" ht="23" customHeight="1">
      <x:c r="A6629" s="11" t="str">
        <x:v>09995.HK</x:v>
      </x:c>
      <x:c r="B6629" s="11" t="str">
        <x:v>半年</x:v>
      </x:c>
      <x:c r="C6629" s="11" t="str">
        <x:v>RC28_China</x:v>
      </x:c>
      <x:c r="D6629" s="11" t="str">
        <x:v>2026-12-31</x:v>
      </x:c>
      <x:c r="E6629" s="11" t="str">
        <x:v>CNY</x:v>
      </x:c>
      <x:c r="F6629" s="11" t="n">
        <x:v>-0.27104722792607805</x:v>
      </x:c>
      <x:c r="G6629" s="26" t="b">
        <x:v>0</x:v>
      </x:c>
      <x:c r="H6629" s="16" t="n">
        <x:v>0</x:v>
      </x:c>
      <x:c r="I6629" s="16" t="n">
        <x:v>0</x:v>
      </x:c>
      <x:c r="J6629" s="16" t="n">
        <x:v>0</x:v>
      </x:c>
      <x:c r="K6629" s="11" t="n">
        <x:f>CHOOSE('假设'!$B$3,H6629,I6629,J6629)</x:f>
        <x:v>0</x:v>
      </x:c>
      <x:c r="L6629" s="11" t="n">
        <x:f>K6629*'管线假设'!E1419*'管线假设'!F1419*'管线假设'!G1419*IF(E6629="USD",'管线假设'!I1419,1)-AM6629</x:f>
        <x:v>-0.08</x:v>
      </x:c>
      <x:c r="M6629" s="11" t="n">
        <x:f>'管线假设'!H1419</x:f>
        <x:v>0.14</x:v>
      </x:c>
      <x:c r="N6629" s="11" t="n">
        <x:f>IF(G6629,L6629*AN6629/(1+M6629)^F6629,0)</x:f>
        <x:v>0</x:v>
      </x:c>
      <x:c r="AJ6629" s="42" t="n">
        <x:v>0.04</x:v>
      </x:c>
      <x:c r="AK6629" s="42" t="n">
        <x:v>0.08</x:v>
      </x:c>
      <x:c r="AL6629" s="42" t="n">
        <x:v>0.12</x:v>
      </x:c>
      <x:c r="AM6629" t="n">
        <x:f>CHOOSE('假设'!$B$3,AJ6629,AK6629,AL6629)</x:f>
        <x:v>0.08</x:v>
      </x:c>
      <x:c r="AN6629" t="n">
        <x:v>0</x:v>
      </x:c>
    </x:row>
    <x:row r="6630" ht="23" customHeight="1">
      <x:c r="A6630" s="11" t="str">
        <x:v>09995.HK</x:v>
      </x:c>
      <x:c r="B6630" s="11" t="str">
        <x:v>半年</x:v>
      </x:c>
      <x:c r="C6630" s="11" t="str">
        <x:v>RC28_China</x:v>
      </x:c>
      <x:c r="D6630" s="11" t="str">
        <x:v>2027-12-31</x:v>
      </x:c>
      <x:c r="E6630" s="11" t="str">
        <x:v>CNY</x:v>
      </x:c>
      <x:c r="F6630" s="11" t="n">
        <x:v>0.7282683093771389</x:v>
      </x:c>
      <x:c r="G6630" s="26" t="b">
        <x:v>1</x:v>
      </x:c>
      <x:c r="H6630" s="16" t="n">
        <x:v>0</x:v>
      </x:c>
      <x:c r="I6630" s="16" t="n">
        <x:v>0</x:v>
      </x:c>
      <x:c r="J6630" s="16" t="n">
        <x:v>0</x:v>
      </x:c>
      <x:c r="K6630" s="11" t="n">
        <x:f>CHOOSE('假设'!$B$3,H6630,I6630,J6630)</x:f>
        <x:v>0</x:v>
      </x:c>
      <x:c r="L6630" s="11" t="n">
        <x:f>K6630*'管线假设'!E1419*'管线假设'!F1419*'管线假设'!G1419*IF(E6630="USD",'管线假设'!I1419,1)-AM6630</x:f>
        <x:v>-0.1</x:v>
      </x:c>
      <x:c r="M6630" s="11" t="n">
        <x:f>'管线假设'!H1419</x:f>
        <x:v>0.14</x:v>
      </x:c>
      <x:c r="N6630" s="11" t="n">
        <x:f>IF(G6630,L6630*AN6630/(1+M6630)^F6630,0)</x:f>
        <x:v>-0.0664260232414205</x:v>
      </x:c>
      <x:c r="AJ6630" s="42" t="n">
        <x:v>0.04</x:v>
      </x:c>
      <x:c r="AK6630" s="42" t="n">
        <x:v>0.1</x:v>
      </x:c>
      <x:c r="AL6630" s="42" t="n">
        <x:v>0.15</x:v>
      </x:c>
      <x:c r="AM6630" t="n">
        <x:f>CHOOSE('假设'!$B$3,AJ6630,AK6630,AL6630)</x:f>
        <x:v>0.1</x:v>
      </x:c>
      <x:c r="AN6630" t="n">
        <x:v>0.7307692307692307</x:v>
      </x:c>
    </x:row>
    <x:row r="6631" ht="23" customHeight="1">
      <x:c r="A6631" s="11" t="str">
        <x:v>09995.HK</x:v>
      </x:c>
      <x:c r="B6631" s="11" t="str">
        <x:v>半年</x:v>
      </x:c>
      <x:c r="C6631" s="11" t="str">
        <x:v>RC28_China</x:v>
      </x:c>
      <x:c r="D6631" s="11" t="str">
        <x:v>2028-12-31</x:v>
      </x:c>
      <x:c r="E6631" s="11" t="str">
        <x:v>CNY</x:v>
      </x:c>
      <x:c r="F6631" s="11" t="n">
        <x:v>1.730321697467488</x:v>
      </x:c>
      <x:c r="G6631" s="26" t="b">
        <x:v>1</x:v>
      </x:c>
      <x:c r="H6631" s="16" t="n">
        <x:v>0</x:v>
      </x:c>
      <x:c r="I6631" s="16" t="n">
        <x:v>0</x:v>
      </x:c>
      <x:c r="J6631" s="16" t="n">
        <x:v>0</x:v>
      </x:c>
      <x:c r="K6631" s="11" t="n">
        <x:f>CHOOSE('假设'!$B$3,H6631,I6631,J6631)</x:f>
        <x:v>0</x:v>
      </x:c>
      <x:c r="L6631" s="11" t="n">
        <x:f>K6631*'管线假设'!E1419*'管线假设'!F1419*'管线假设'!G1419*IF(E6631="USD",'管线假设'!I1419,1)-AM6631</x:f>
        <x:v>-0.07</x:v>
      </x:c>
      <x:c r="M6631" s="11" t="n">
        <x:f>'管线假设'!H1419</x:f>
        <x:v>0.14</x:v>
      </x:c>
      <x:c r="N6631" s="11" t="n">
        <x:f>IF(G6631,L6631*AN6631/(1+M6631)^F6631,0)</x:f>
        <x:v>-0.055800018259929654</x:v>
      </x:c>
      <x:c r="AJ6631" s="42" t="n">
        <x:v>0</x:v>
      </x:c>
      <x:c r="AK6631" s="42" t="n">
        <x:v>0.07</x:v>
      </x:c>
      <x:c r="AL6631" s="42" t="n">
        <x:v>0.08</x:v>
      </x:c>
      <x:c r="AM6631" t="n">
        <x:f>CHOOSE('假设'!$B$3,AJ6631,AK6631,AL6631)</x:f>
        <x:v>0.07</x:v>
      </x:c>
      <x:c r="AN6631" t="n">
        <x:v>1</x:v>
      </x:c>
    </x:row>
    <x:row r="6632" ht="23" customHeight="1">
      <x:c r="A6632" s="11" t="str">
        <x:v>09995.HK</x:v>
      </x:c>
      <x:c r="B6632" s="11" t="str">
        <x:v>半年</x:v>
      </x:c>
      <x:c r="C6632" s="11" t="str">
        <x:v>RC28_China</x:v>
      </x:c>
      <x:c r="D6632" s="11" t="str">
        <x:v>2029-12-31</x:v>
      </x:c>
      <x:c r="E6632" s="11" t="str">
        <x:v>CNY</x:v>
      </x:c>
      <x:c r="F6632" s="11" t="n">
        <x:v>2.729637234770705</x:v>
      </x:c>
      <x:c r="G6632" s="26" t="b">
        <x:v>1</x:v>
      </x:c>
      <x:c r="H6632" s="16" t="n">
        <x:v>0</x:v>
      </x:c>
      <x:c r="I6632" s="16" t="n">
        <x:v>0</x:v>
      </x:c>
      <x:c r="J6632" s="16" t="n">
        <x:v>0.18</x:v>
      </x:c>
      <x:c r="K6632" s="11" t="n">
        <x:f>CHOOSE('假设'!$B$3,H6632,I6632,J6632)</x:f>
        <x:v>0</x:v>
      </x:c>
      <x:c r="L6632" s="11" t="n">
        <x:f>K6632*'管线假设'!E1419*'管线假设'!F1419*'管线假设'!G1419*IF(E6632="USD",'管线假设'!I1419,1)-AM6632</x:f>
        <x:v>0</x:v>
      </x:c>
      <x:c r="M6632" s="11" t="n">
        <x:f>'管线假设'!H1419</x:f>
        <x:v>0.14</x:v>
      </x:c>
      <x:c r="N6632" s="11" t="n">
        <x:f>IF(G6632,L6632*AN6632/(1+M6632)^F6632,0)</x:f>
        <x:v>0</x:v>
      </x:c>
      <x:c r="AJ6632" s="42" t="n">
        <x:v>0</x:v>
      </x:c>
      <x:c r="AK6632" s="42" t="n">
        <x:v>0</x:v>
      </x:c>
      <x:c r="AL6632" s="42" t="n">
        <x:v>0</x:v>
      </x:c>
      <x:c r="AM6632" t="n">
        <x:f>CHOOSE('假设'!$B$3,AJ6632,AK6632,AL6632)</x:f>
        <x:v>0</x:v>
      </x:c>
      <x:c r="AN6632" t="n">
        <x:v>1</x:v>
      </x:c>
    </x:row>
    <x:row r="6633" ht="23" customHeight="1">
      <x:c r="A6633" s="11" t="str">
        <x:v>09995.HK</x:v>
      </x:c>
      <x:c r="B6633" s="11" t="str">
        <x:v>半年</x:v>
      </x:c>
      <x:c r="C6633" s="11" t="str">
        <x:v>RC28_China</x:v>
      </x:c>
      <x:c r="D6633" s="11" t="str">
        <x:v>2030-12-31</x:v>
      </x:c>
      <x:c r="E6633" s="11" t="str">
        <x:v>CNY</x:v>
      </x:c>
      <x:c r="F6633" s="11" t="n">
        <x:v>3.728952772073922</x:v>
      </x:c>
      <x:c r="G6633" s="26" t="b">
        <x:v>1</x:v>
      </x:c>
      <x:c r="H6633" s="16" t="n">
        <x:v>0</x:v>
      </x:c>
      <x:c r="I6633" s="16" t="n">
        <x:v>0.09</x:v>
      </x:c>
      <x:c r="J6633" s="16" t="n">
        <x:v>0.54</x:v>
      </x:c>
      <x:c r="K6633" s="11" t="n">
        <x:f>CHOOSE('假设'!$B$3,H6633,I6633,J6633)</x:f>
        <x:v>0.09</x:v>
      </x:c>
      <x:c r="L6633" s="11" t="n">
        <x:f>K6633*'管线假设'!E1419*'管线假设'!F1419*'管线假设'!G1419*IF(E6633="USD",'管线假设'!I1419,1)-AM6633</x:f>
        <x:v>0.0030995999999999997</x:v>
      </x:c>
      <x:c r="M6633" s="11" t="n">
        <x:f>'管线假设'!H1419</x:f>
        <x:v>0.14</x:v>
      </x:c>
      <x:c r="N6633" s="11" t="n">
        <x:f>IF(G6633,L6633*AN6633/(1+M6633)^F6633,0)</x:f>
        <x:v>0.001901560507075042</x:v>
      </x:c>
      <x:c r="AJ6633" s="42" t="n">
        <x:v>0</x:v>
      </x:c>
      <x:c r="AK6633" s="42" t="n">
        <x:v>0</x:v>
      </x:c>
      <x:c r="AL6633" s="42" t="n">
        <x:v>0</x:v>
      </x:c>
      <x:c r="AM6633" t="n">
        <x:f>CHOOSE('假设'!$B$3,AJ6633,AK6633,AL6633)</x:f>
        <x:v>0</x:v>
      </x:c>
      <x:c r="AN6633" t="n">
        <x:v>1</x:v>
      </x:c>
    </x:row>
    <x:row r="6634" ht="23" customHeight="1">
      <x:c r="A6634" s="11" t="str">
        <x:v>09995.HK</x:v>
      </x:c>
      <x:c r="B6634" s="11" t="str">
        <x:v>半年</x:v>
      </x:c>
      <x:c r="C6634" s="11" t="str">
        <x:v>RC28_China</x:v>
      </x:c>
      <x:c r="D6634" s="11" t="str">
        <x:v>2031-12-31</x:v>
      </x:c>
      <x:c r="E6634" s="11" t="str">
        <x:v>CNY</x:v>
      </x:c>
      <x:c r="F6634" s="11" t="n">
        <x:v>4.728268309377139</x:v>
      </x:c>
      <x:c r="G6634" s="26" t="b">
        <x:v>1</x:v>
      </x:c>
      <x:c r="H6634" s="16" t="n">
        <x:v>0</x:v>
      </x:c>
      <x:c r="I6634" s="16" t="n">
        <x:v>0.27</x:v>
      </x:c>
      <x:c r="J6634" s="16" t="n">
        <x:v>1.1400000000000001</x:v>
      </x:c>
      <x:c r="K6634" s="11" t="n">
        <x:f>CHOOSE('假设'!$B$3,H6634,I6634,J6634)</x:f>
        <x:v>0.27</x:v>
      </x:c>
      <x:c r="L6634" s="11" t="n">
        <x:f>K6634*'管线假设'!E1419*'管线假设'!F1419*'管线假设'!G1419*IF(E6634="USD",'管线假设'!I1419,1)-AM6634</x:f>
        <x:v>0.0092988</x:v>
      </x:c>
      <x:c r="M6634" s="11" t="n">
        <x:f>'管线假设'!H1419</x:f>
        <x:v>0.14</x:v>
      </x:c>
      <x:c r="N6634" s="11" t="n">
        <x:f>IF(G6634,L6634*AN6634/(1+M6634)^F6634,0)</x:f>
        <x:v>0.005004555405776178</x:v>
      </x:c>
      <x:c r="AJ6634" s="42" t="n">
        <x:v>0</x:v>
      </x:c>
      <x:c r="AK6634" s="42" t="n">
        <x:v>0</x:v>
      </x:c>
      <x:c r="AL6634" s="42" t="n">
        <x:v>0</x:v>
      </x:c>
      <x:c r="AM6634" t="n">
        <x:f>CHOOSE('假设'!$B$3,AJ6634,AK6634,AL6634)</x:f>
        <x:v>0</x:v>
      </x:c>
      <x:c r="AN6634" t="n">
        <x:v>1</x:v>
      </x:c>
    </x:row>
    <x:row r="6635" ht="23" customHeight="1">
      <x:c r="A6635" s="11" t="str">
        <x:v>09995.HK</x:v>
      </x:c>
      <x:c r="B6635" s="11" t="str">
        <x:v>半年</x:v>
      </x:c>
      <x:c r="C6635" s="11" t="str">
        <x:v>RC28_China</x:v>
      </x:c>
      <x:c r="D6635" s="11" t="str">
        <x:v>2032-12-31</x:v>
      </x:c>
      <x:c r="E6635" s="11" t="str">
        <x:v>CNY</x:v>
      </x:c>
      <x:c r="F6635" s="11" t="n">
        <x:v>5.730321697467488</x:v>
      </x:c>
      <x:c r="G6635" s="26" t="b">
        <x:v>1</x:v>
      </x:c>
      <x:c r="H6635" s="16" t="n">
        <x:v>0.03</x:v>
      </x:c>
      <x:c r="I6635" s="16" t="n">
        <x:v>0.5700000000000001</x:v>
      </x:c>
      <x:c r="J6635" s="16" t="n">
        <x:v>1.9500000000000002</x:v>
      </x:c>
      <x:c r="K6635" s="11" t="n">
        <x:f>CHOOSE('假设'!$B$3,H6635,I6635,J6635)</x:f>
        <x:v>0.5700000000000001</x:v>
      </x:c>
      <x:c r="L6635" s="11" t="n">
        <x:f>K6635*'管线假设'!E1419*'管线假设'!F1419*'管线假设'!G1419*IF(E6635="USD",'管线假设'!I1419,1)-AM6635</x:f>
        <x:v>0.019630799999999997</x:v>
      </x:c>
      <x:c r="M6635" s="11" t="n">
        <x:f>'管线假设'!H1419</x:f>
        <x:v>0.14</x:v>
      </x:c>
      <x:c r="N6635" s="11" t="n">
        <x:f>IF(G6635,L6635*AN6635/(1+M6635)^F6635,0)</x:f>
        <x:v>0.0092652020405352</x:v>
      </x:c>
      <x:c r="AJ6635" s="42" t="n">
        <x:v>0</x:v>
      </x:c>
      <x:c r="AK6635" s="42" t="n">
        <x:v>0</x:v>
      </x:c>
      <x:c r="AL6635" s="42" t="n">
        <x:v>0</x:v>
      </x:c>
      <x:c r="AM6635" t="n">
        <x:f>CHOOSE('假设'!$B$3,AJ6635,AK6635,AL6635)</x:f>
        <x:v>0</x:v>
      </x:c>
      <x:c r="AN6635" t="n">
        <x:v>1</x:v>
      </x:c>
    </x:row>
    <x:row r="6636" ht="23" customHeight="1">
      <x:c r="A6636" s="11" t="str">
        <x:v>09995.HK</x:v>
      </x:c>
      <x:c r="B6636" s="11" t="str">
        <x:v>半年</x:v>
      </x:c>
      <x:c r="C6636" s="11" t="str">
        <x:v>RC28_China</x:v>
      </x:c>
      <x:c r="D6636" s="11" t="str">
        <x:v>2033-12-31</x:v>
      </x:c>
      <x:c r="E6636" s="11" t="str">
        <x:v>CNY</x:v>
      </x:c>
      <x:c r="F6636" s="11" t="n">
        <x:v>6.729637234770705</x:v>
      </x:c>
      <x:c r="G6636" s="26" t="b">
        <x:v>1</x:v>
      </x:c>
      <x:c r="H6636" s="16" t="n">
        <x:v>0.09</x:v>
      </x:c>
      <x:c r="I6636" s="16" t="n">
        <x:v>0.9750000000000001</x:v>
      </x:c>
      <x:c r="J6636" s="16" t="n">
        <x:v>2.55</x:v>
      </x:c>
      <x:c r="K6636" s="11" t="n">
        <x:f>CHOOSE('假设'!$B$3,H6636,I6636,J6636)</x:f>
        <x:v>0.9750000000000001</x:v>
      </x:c>
      <x:c r="L6636" s="11" t="n">
        <x:f>K6636*'管线假设'!E1419*'管线假设'!F1419*'管线假设'!G1419*IF(E6636="USD",'管线假设'!I1419,1)-AM6636</x:f>
        <x:v>0.033579</x:v>
      </x:c>
      <x:c r="M6636" s="11" t="n">
        <x:f>'管线假设'!H1419</x:f>
        <x:v>0.14</x:v>
      </x:c>
      <x:c r="N6636" s="11" t="n">
        <x:f>IF(G6636,L6636*AN6636/(1+M6636)^F6636,0)</x:f>
        <x:v>0.01390332747359471</x:v>
      </x:c>
      <x:c r="AJ6636" s="42" t="n">
        <x:v>0</x:v>
      </x:c>
      <x:c r="AK6636" s="42" t="n">
        <x:v>0</x:v>
      </x:c>
      <x:c r="AL6636" s="42" t="n">
        <x:v>0</x:v>
      </x:c>
      <x:c r="AM6636" t="n">
        <x:f>CHOOSE('假设'!$B$3,AJ6636,AK6636,AL6636)</x:f>
        <x:v>0</x:v>
      </x:c>
      <x:c r="AN6636" t="n">
        <x:v>1</x:v>
      </x:c>
    </x:row>
    <x:row r="6637" ht="23" customHeight="1">
      <x:c r="A6637" s="11" t="str">
        <x:v>09995.HK</x:v>
      </x:c>
      <x:c r="B6637" s="11" t="str">
        <x:v>半年</x:v>
      </x:c>
      <x:c r="C6637" s="11" t="str">
        <x:v>RC28_China</x:v>
      </x:c>
      <x:c r="D6637" s="11" t="str">
        <x:v>2034-12-31</x:v>
      </x:c>
      <x:c r="E6637" s="11" t="str">
        <x:v>CNY</x:v>
      </x:c>
      <x:c r="F6637" s="11" t="n">
        <x:v>7.728952772073922</x:v>
      </x:c>
      <x:c r="G6637" s="26" t="b">
        <x:v>1</x:v>
      </x:c>
      <x:c r="H6637" s="16" t="n">
        <x:v>0.19</x:v>
      </x:c>
      <x:c r="I6637" s="16" t="n">
        <x:v>1.275</x:v>
      </x:c>
      <x:c r="J6637" s="16" t="n">
        <x:v>3</x:v>
      </x:c>
      <x:c r="K6637" s="11" t="n">
        <x:f>CHOOSE('假设'!$B$3,H6637,I6637,J6637)</x:f>
        <x:v>1.275</x:v>
      </x:c>
      <x:c r="L6637" s="11" t="n">
        <x:f>K6637*'管线假设'!E1419*'管线假设'!F1419*'管线假设'!G1419*IF(E6637="USD",'管线假设'!I1419,1)-AM6637</x:f>
        <x:v>0.043910999999999985</x:v>
      </x:c>
      <x:c r="M6637" s="11" t="n">
        <x:f>'管线假设'!H1419</x:f>
        <x:v>0.14</x:v>
      </x:c>
      <x:c r="N6637" s="11" t="n">
        <x:f>IF(G6637,L6637*AN6637/(1+M6637)^F6637,0)</x:f>
        <x:v>0.01594991669325684</x:v>
      </x:c>
      <x:c r="AJ6637" s="42" t="n">
        <x:v>0</x:v>
      </x:c>
      <x:c r="AK6637" s="42" t="n">
        <x:v>0</x:v>
      </x:c>
      <x:c r="AL6637" s="42" t="n">
        <x:v>0</x:v>
      </x:c>
      <x:c r="AM6637" t="n">
        <x:f>CHOOSE('假设'!$B$3,AJ6637,AK6637,AL6637)</x:f>
        <x:v>0</x:v>
      </x:c>
      <x:c r="AN6637" t="n">
        <x:v>1</x:v>
      </x:c>
    </x:row>
    <x:row r="6638" ht="23" customHeight="1">
      <x:c r="A6638" s="11" t="str">
        <x:v>09995.HK</x:v>
      </x:c>
      <x:c r="B6638" s="11" t="str">
        <x:v>半年</x:v>
      </x:c>
      <x:c r="C6638" s="11" t="str">
        <x:v>RC28_China</x:v>
      </x:c>
      <x:c r="D6638" s="11" t="str">
        <x:v>2035-12-31</x:v>
      </x:c>
      <x:c r="E6638" s="11" t="str">
        <x:v>CNY</x:v>
      </x:c>
      <x:c r="F6638" s="11" t="n">
        <x:v>8.728268309377139</x:v>
      </x:c>
      <x:c r="G6638" s="26" t="b">
        <x:v>1</x:v>
      </x:c>
      <x:c r="H6638" s="16" t="n">
        <x:v>0.325</x:v>
      </x:c>
      <x:c r="I6638" s="16" t="n">
        <x:v>1.5</x:v>
      </x:c>
      <x:c r="J6638" s="16" t="n">
        <x:v>3</x:v>
      </x:c>
      <x:c r="K6638" s="11" t="n">
        <x:f>CHOOSE('假设'!$B$3,H6638,I6638,J6638)</x:f>
        <x:v>1.5</x:v>
      </x:c>
      <x:c r="L6638" s="11" t="n">
        <x:f>K6638*'管线假设'!E1419*'管线假设'!F1419*'管线假设'!G1419*IF(E6638="USD",'管线假设'!I1419,1)-AM6638</x:f>
        <x:v>0.051659999999999984</x:v>
      </x:c>
      <x:c r="M6638" s="11" t="n">
        <x:f>'管线假设'!H1419</x:f>
        <x:v>0.14</x:v>
      </x:c>
      <x:c r="N6638" s="11" t="n">
        <x:f>IF(G6638,L6638*AN6638/(1+M6638)^F6638,0)</x:f>
        <x:v>0.01646165862648022</x:v>
      </x:c>
      <x:c r="AJ6638" s="42" t="n">
        <x:v>0</x:v>
      </x:c>
      <x:c r="AK6638" s="42" t="n">
        <x:v>0</x:v>
      </x:c>
      <x:c r="AL6638" s="42" t="n">
        <x:v>0</x:v>
      </x:c>
      <x:c r="AM6638" t="n">
        <x:f>CHOOSE('假设'!$B$3,AJ6638,AK6638,AL6638)</x:f>
        <x:v>0</x:v>
      </x:c>
      <x:c r="AN6638" t="n">
        <x:v>1</x:v>
      </x:c>
    </x:row>
    <x:row r="6639" ht="23" customHeight="1">
      <x:c r="A6639" s="11" t="str">
        <x:v>09995.HK</x:v>
      </x:c>
      <x:c r="B6639" s="11" t="str">
        <x:v>半年</x:v>
      </x:c>
      <x:c r="C6639" s="11" t="str">
        <x:v>RC28_China</x:v>
      </x:c>
      <x:c r="D6639" s="11" t="str">
        <x:v>2036-12-31</x:v>
      </x:c>
      <x:c r="E6639" s="11" t="str">
        <x:v>CNY</x:v>
      </x:c>
      <x:c r="F6639" s="11" t="n">
        <x:v>9.730321697467488</x:v>
      </x:c>
      <x:c r="G6639" s="26" t="b">
        <x:v>1</x:v>
      </x:c>
      <x:c r="H6639" s="16" t="n">
        <x:v>0.425</x:v>
      </x:c>
      <x:c r="I6639" s="16" t="n">
        <x:v>1.5</x:v>
      </x:c>
      <x:c r="J6639" s="16" t="n">
        <x:v>2.8499999999999996</x:v>
      </x:c>
      <x:c r="K6639" s="11" t="n">
        <x:f>CHOOSE('假设'!$B$3,H6639,I6639,J6639)</x:f>
        <x:v>1.5</x:v>
      </x:c>
      <x:c r="L6639" s="11" t="n">
        <x:f>K6639*'管线假设'!E1419*'管线假设'!F1419*'管线假设'!G1419*IF(E6639="USD",'管线假设'!I1419,1)-AM6639</x:f>
        <x:v>0.051659999999999984</x:v>
      </x:c>
      <x:c r="M6639" s="11" t="n">
        <x:f>'管线假设'!H1419</x:f>
        <x:v>0.14</x:v>
      </x:c>
      <x:c r="N6639" s="11" t="n">
        <x:f>IF(G6639,L6639*AN6639/(1+M6639)^F6639,0)</x:f>
        <x:v>0.014436166826449806</x:v>
      </x:c>
      <x:c r="AJ6639" s="42" t="n">
        <x:v>0</x:v>
      </x:c>
      <x:c r="AK6639" s="42" t="n">
        <x:v>0</x:v>
      </x:c>
      <x:c r="AL6639" s="42" t="n">
        <x:v>0</x:v>
      </x:c>
      <x:c r="AM6639" t="n">
        <x:f>CHOOSE('假设'!$B$3,AJ6639,AK6639,AL6639)</x:f>
        <x:v>0</x:v>
      </x:c>
      <x:c r="AN6639" t="n">
        <x:v>1</x:v>
      </x:c>
    </x:row>
    <x:row r="6640" ht="23" customHeight="1">
      <x:c r="A6640" s="11" t="str">
        <x:v>09995.HK</x:v>
      </x:c>
      <x:c r="B6640" s="11" t="str">
        <x:v>半年</x:v>
      </x:c>
      <x:c r="C6640" s="11" t="str">
        <x:v>RC28_China</x:v>
      </x:c>
      <x:c r="D6640" s="11" t="str">
        <x:v>2037-12-31</x:v>
      </x:c>
      <x:c r="E6640" s="11" t="str">
        <x:v>CNY</x:v>
      </x:c>
      <x:c r="F6640" s="11" t="n">
        <x:v>10.729637234770705</x:v>
      </x:c>
      <x:c r="G6640" s="26" t="b">
        <x:v>1</x:v>
      </x:c>
      <x:c r="H6640" s="16" t="n">
        <x:v>0.5</x:v>
      </x:c>
      <x:c r="I6640" s="16" t="n">
        <x:v>1.4249999999999998</x:v>
      </x:c>
      <x:c r="J6640" s="16" t="n">
        <x:v>2.7</x:v>
      </x:c>
      <x:c r="K6640" s="11" t="n">
        <x:f>CHOOSE('假设'!$B$3,H6640,I6640,J6640)</x:f>
        <x:v>1.4249999999999998</x:v>
      </x:c>
      <x:c r="L6640" s="11" t="n">
        <x:f>K6640*'管线假设'!E1419*'管线假设'!F1419*'管线假设'!G1419*IF(E6640="USD",'管线假设'!I1419,1)-AM6640</x:f>
        <x:v>0.04907699999999999</x:v>
      </x:c>
      <x:c r="M6640" s="11" t="n">
        <x:f>'管线假设'!H1419</x:f>
        <x:v>0.14</x:v>
      </x:c>
      <x:c r="N6640" s="11" t="n">
        <x:f>IF(G6640,L6640*AN6640/(1+M6640)^F6640,0)</x:f>
        <x:v>0.012031217980904311</x:v>
      </x:c>
      <x:c r="AJ6640" s="42" t="n">
        <x:v>0</x:v>
      </x:c>
      <x:c r="AK6640" s="42" t="n">
        <x:v>0</x:v>
      </x:c>
      <x:c r="AL6640" s="42" t="n">
        <x:v>0</x:v>
      </x:c>
      <x:c r="AM6640" t="n">
        <x:f>CHOOSE('假设'!$B$3,AJ6640,AK6640,AL6640)</x:f>
        <x:v>0</x:v>
      </x:c>
      <x:c r="AN6640" t="n">
        <x:v>1</x:v>
      </x:c>
    </x:row>
    <x:row r="6641" ht="23" customHeight="1">
      <x:c r="A6641" s="11" t="str">
        <x:v>09995.HK</x:v>
      </x:c>
      <x:c r="B6641" s="11" t="str">
        <x:v>半年</x:v>
      </x:c>
      <x:c r="C6641" s="11" t="str">
        <x:v>RC28_China</x:v>
      </x:c>
      <x:c r="D6641" s="11" t="str">
        <x:v>2038-12-31</x:v>
      </x:c>
      <x:c r="E6641" s="11" t="str">
        <x:v>CNY</x:v>
      </x:c>
      <x:c r="F6641" s="11" t="n">
        <x:v>11.728952772073923</x:v>
      </x:c>
      <x:c r="G6641" s="26" t="b">
        <x:v>1</x:v>
      </x:c>
      <x:c r="H6641" s="16" t="n">
        <x:v>0.5</x:v>
      </x:c>
      <x:c r="I6641" s="16" t="n">
        <x:v>1.35</x:v>
      </x:c>
      <x:c r="J6641" s="16" t="n">
        <x:v>2.4000000000000004</x:v>
      </x:c>
      <x:c r="K6641" s="11" t="n">
        <x:f>CHOOSE('假设'!$B$3,H6641,I6641,J6641)</x:f>
        <x:v>1.35</x:v>
      </x:c>
      <x:c r="L6641" s="11" t="n">
        <x:f>K6641*'管线假设'!E1419*'管线假设'!F1419*'管线假设'!G1419*IF(E6641="USD",'管线假设'!I1419,1)-AM6641</x:f>
        <x:v>0.046493999999999994</x:v>
      </x:c>
      <x:c r="M6641" s="11" t="n">
        <x:f>'管线假设'!H1419</x:f>
        <x:v>0.14</x:v>
      </x:c>
      <x:c r="N6641" s="11" t="n">
        <x:f>IF(G6641,L6641*AN6641/(1+M6641)^F6641,0)</x:f>
        <x:v>0.009999138811526392</x:v>
      </x:c>
      <x:c r="AJ6641" s="42" t="n">
        <x:v>0</x:v>
      </x:c>
      <x:c r="AK6641" s="42" t="n">
        <x:v>0</x:v>
      </x:c>
      <x:c r="AL6641" s="42" t="n">
        <x:v>0</x:v>
      </x:c>
      <x:c r="AM6641" t="n">
        <x:f>CHOOSE('假设'!$B$3,AJ6641,AK6641,AL6641)</x:f>
        <x:v>0</x:v>
      </x:c>
      <x:c r="AN6641" t="n">
        <x:v>1</x:v>
      </x:c>
    </x:row>
    <x:row r="6642" ht="23" customHeight="1">
      <x:c r="A6642" s="11" t="str">
        <x:v>09995.HK</x:v>
      </x:c>
      <x:c r="B6642" s="11" t="str">
        <x:v>半年</x:v>
      </x:c>
      <x:c r="C6642" s="11" t="str">
        <x:v>RC28_China</x:v>
      </x:c>
      <x:c r="D6642" s="11" t="str">
        <x:v>2039-12-31</x:v>
      </x:c>
      <x:c r="E6642" s="11" t="str">
        <x:v>CNY</x:v>
      </x:c>
      <x:c r="F6642" s="11" t="n">
        <x:v>12.728268309377139</x:v>
      </x:c>
      <x:c r="G6642" s="26" t="b">
        <x:v>1</x:v>
      </x:c>
      <x:c r="H6642" s="16" t="n">
        <x:v>0.475</x:v>
      </x:c>
      <x:c r="I6642" s="16" t="n">
        <x:v>1.2000000000000002</x:v>
      </x:c>
      <x:c r="J6642" s="16" t="n">
        <x:v>1.9500000000000002</x:v>
      </x:c>
      <x:c r="K6642" s="11" t="n">
        <x:f>CHOOSE('假设'!$B$3,H6642,I6642,J6642)</x:f>
        <x:v>1.2000000000000002</x:v>
      </x:c>
      <x:c r="L6642" s="11" t="n">
        <x:f>K6642*'管线假设'!E1419*'管线假设'!F1419*'管线假设'!G1419*IF(E6642="USD",'管线假设'!I1419,1)-AM6642</x:f>
        <x:v>0.041328</x:v>
      </x:c>
      <x:c r="M6642" s="11" t="n">
        <x:f>'管线假设'!H1419</x:f>
        <x:v>0.14</x:v>
      </x:c>
      <x:c r="N6642" s="11" t="n">
        <x:f>IF(G6642,L6642*AN6642/(1+M6642)^F6642,0)</x:f>
        <x:v>0.007797298724431826</x:v>
      </x:c>
      <x:c r="AJ6642" s="42" t="n">
        <x:v>0</x:v>
      </x:c>
      <x:c r="AK6642" s="42" t="n">
        <x:v>0</x:v>
      </x:c>
      <x:c r="AL6642" s="42" t="n">
        <x:v>0</x:v>
      </x:c>
      <x:c r="AM6642" t="n">
        <x:f>CHOOSE('假设'!$B$3,AJ6642,AK6642,AL6642)</x:f>
        <x:v>0</x:v>
      </x:c>
      <x:c r="AN6642" t="n">
        <x:v>1</x:v>
      </x:c>
    </x:row>
    <x:row r="6643" ht="23" customHeight="1">
      <x:c r="A6643" s="11" t="str">
        <x:v>09995.HK</x:v>
      </x:c>
      <x:c r="B6643" s="11" t="str">
        <x:v>半年</x:v>
      </x:c>
      <x:c r="C6643" s="11" t="str">
        <x:v>RC28_China</x:v>
      </x:c>
      <x:c r="D6643" s="11" t="str">
        <x:v>2040-12-31</x:v>
      </x:c>
      <x:c r="E6643" s="11" t="str">
        <x:v>CNY</x:v>
      </x:c>
      <x:c r="F6643" s="11" t="n">
        <x:v>13.730321697467488</x:v>
      </x:c>
      <x:c r="G6643" s="26" t="b">
        <x:v>1</x:v>
      </x:c>
      <x:c r="H6643" s="16" t="n">
        <x:v>0.45</x:v>
      </x:c>
      <x:c r="I6643" s="16" t="n">
        <x:v>0.9750000000000001</x:v>
      </x:c>
      <x:c r="J6643" s="16" t="n">
        <x:v>1.5</x:v>
      </x:c>
      <x:c r="K6643" s="11" t="n">
        <x:f>CHOOSE('假设'!$B$3,H6643,I6643,J6643)</x:f>
        <x:v>0.9750000000000001</x:v>
      </x:c>
      <x:c r="L6643" s="11" t="n">
        <x:f>K6643*'管线假设'!E1419*'管线假设'!F1419*'管线假设'!G1419*IF(E6643="USD",'管线假设'!I1419,1)-AM6643</x:f>
        <x:v>0.033579</x:v>
      </x:c>
      <x:c r="M6643" s="11" t="n">
        <x:f>'管线假设'!H1419</x:f>
        <x:v>0.14</x:v>
      </x:c>
      <x:c r="N6643" s="11" t="n">
        <x:f>IF(G6643,L6643*AN6643/(1+M6643)^F6643,0)</x:f>
        <x:v>0.0055557902781983755</x:v>
      </x:c>
      <x:c r="AJ6643" s="42" t="n">
        <x:v>0</x:v>
      </x:c>
      <x:c r="AK6643" s="42" t="n">
        <x:v>0</x:v>
      </x:c>
      <x:c r="AL6643" s="42" t="n">
        <x:v>0</x:v>
      </x:c>
      <x:c r="AM6643" t="n">
        <x:f>CHOOSE('假设'!$B$3,AJ6643,AK6643,AL6643)</x:f>
        <x:v>0</x:v>
      </x:c>
      <x:c r="AN6643" t="n">
        <x:v>1</x:v>
      </x:c>
    </x:row>
    <x:row r="6644" ht="23" customHeight="1">
      <x:c r="A6644" s="11" t="str">
        <x:v>09995.HK</x:v>
      </x:c>
      <x:c r="B6644" s="11" t="str">
        <x:v>半年</x:v>
      </x:c>
      <x:c r="C6644" s="11" t="str">
        <x:v>RC28_China</x:v>
      </x:c>
      <x:c r="D6644" s="11" t="str">
        <x:v>2041-12-31</x:v>
      </x:c>
      <x:c r="E6644" s="11" t="str">
        <x:v>CNY</x:v>
      </x:c>
      <x:c r="F6644" s="11" t="n">
        <x:v>14.729637234770705</x:v>
      </x:c>
      <x:c r="G6644" s="26" t="b">
        <x:v>1</x:v>
      </x:c>
      <x:c r="H6644" s="16" t="n">
        <x:v>0.4</x:v>
      </x:c>
      <x:c r="I6644" s="16" t="n">
        <x:v>0.75</x:v>
      </x:c>
      <x:c r="J6644" s="16" t="n">
        <x:v>1.0499999999999998</x:v>
      </x:c>
      <x:c r="K6644" s="11" t="n">
        <x:f>CHOOSE('假设'!$B$3,H6644,I6644,J6644)</x:f>
        <x:v>0.75</x:v>
      </x:c>
      <x:c r="L6644" s="11" t="n">
        <x:f>K6644*'管线假设'!E1419*'管线假设'!F1419*'管线假设'!G1419*IF(E6644="USD",'管线假设'!I1419,1)-AM6644</x:f>
        <x:v>0.025829999999999992</x:v>
      </x:c>
      <x:c r="M6644" s="11" t="n">
        <x:f>'管线假设'!H1419</x:f>
        <x:v>0.14</x:v>
      </x:c>
      <x:c r="N6644" s="11" t="n">
        <x:f>IF(G6644,L6644*AN6644/(1+M6644)^F6644,0)</x:f>
        <x:v>0.0037491825680184402</x:v>
      </x:c>
      <x:c r="AJ6644" s="42" t="n">
        <x:v>0</x:v>
      </x:c>
      <x:c r="AK6644" s="42" t="n">
        <x:v>0</x:v>
      </x:c>
      <x:c r="AL6644" s="42" t="n">
        <x:v>0</x:v>
      </x:c>
      <x:c r="AM6644" t="n">
        <x:f>CHOOSE('假设'!$B$3,AJ6644,AK6644,AL6644)</x:f>
        <x:v>0</x:v>
      </x:c>
      <x:c r="AN6644" t="n">
        <x:v>1</x:v>
      </x:c>
    </x:row>
    <x:row r="6645" ht="23" customHeight="1">
      <x:c r="A6645" s="11" t="str">
        <x:v>09995.HK</x:v>
      </x:c>
      <x:c r="B6645" s="11" t="str">
        <x:v>半年</x:v>
      </x:c>
      <x:c r="C6645" s="11" t="str">
        <x:v>RC28_China</x:v>
      </x:c>
      <x:c r="D6645" s="11" t="str">
        <x:v>2042-12-31</x:v>
      </x:c>
      <x:c r="E6645" s="11" t="str">
        <x:v>CNY</x:v>
      </x:c>
      <x:c r="F6645" s="11" t="n">
        <x:v>15.728952772073923</x:v>
      </x:c>
      <x:c r="G6645" s="26" t="b">
        <x:v>1</x:v>
      </x:c>
      <x:c r="H6645" s="16" t="n">
        <x:v>0.325</x:v>
      </x:c>
      <x:c r="I6645" s="16" t="n">
        <x:v>0.5249999999999999</x:v>
      </x:c>
      <x:c r="J6645" s="16" t="n">
        <x:v>0.6000000000000001</x:v>
      </x:c>
      <x:c r="K6645" s="11" t="n">
        <x:f>CHOOSE('假设'!$B$3,H6645,I6645,J6645)</x:f>
        <x:v>0.5249999999999999</x:v>
      </x:c>
      <x:c r="L6645" s="11" t="n">
        <x:f>K6645*'管线假设'!E1419*'管线假设'!F1419*'管线假设'!G1419*IF(E6645="USD",'管线假设'!I1419,1)-AM6645</x:f>
        <x:v>0.018080999999999993</x:v>
      </x:c>
      <x:c r="M6645" s="11" t="n">
        <x:f>'管线假设'!H1419</x:f>
        <x:v>0.14</x:v>
      </x:c>
      <x:c r="N6645" s="11" t="n">
        <x:f>IF(G6645,L6645*AN6645/(1+M6645)^F6645,0)</x:f>
        <x:v>0.002302336120385611</x:v>
      </x:c>
      <x:c r="AJ6645" s="42" t="n">
        <x:v>0</x:v>
      </x:c>
      <x:c r="AK6645" s="42" t="n">
        <x:v>0</x:v>
      </x:c>
      <x:c r="AL6645" s="42" t="n">
        <x:v>0</x:v>
      </x:c>
      <x:c r="AM6645" t="n">
        <x:f>CHOOSE('假设'!$B$3,AJ6645,AK6645,AL6645)</x:f>
        <x:v>0</x:v>
      </x:c>
      <x:c r="AN6645" t="n">
        <x:v>1</x:v>
      </x:c>
    </x:row>
    <x:row r="6646" ht="23" customHeight="1">
      <x:c r="A6646" s="11" t="str">
        <x:v>09995.HK</x:v>
      </x:c>
      <x:c r="B6646" s="11" t="str">
        <x:v>半年</x:v>
      </x:c>
      <x:c r="C6646" s="11" t="str">
        <x:v>RC28_China</x:v>
      </x:c>
      <x:c r="D6646" s="11" t="str">
        <x:v>2043-12-31</x:v>
      </x:c>
      <x:c r="E6646" s="11" t="str">
        <x:v>CNY</x:v>
      </x:c>
      <x:c r="F6646" s="11" t="n">
        <x:v>16.72826830937714</x:v>
      </x:c>
      <x:c r="G6646" s="26" t="b">
        <x:v>1</x:v>
      </x:c>
      <x:c r="H6646" s="16" t="n">
        <x:v>0.25</x:v>
      </x:c>
      <x:c r="I6646" s="16" t="n">
        <x:v>0.30000000000000004</x:v>
      </x:c>
      <x:c r="J6646" s="16" t="n">
        <x:v>0.36</x:v>
      </x:c>
      <x:c r="K6646" s="11" t="n">
        <x:f>CHOOSE('假设'!$B$3,H6646,I6646,J6646)</x:f>
        <x:v>0.30000000000000004</x:v>
      </x:c>
      <x:c r="L6646" s="11" t="n">
        <x:f>K6646*'管线假设'!E1419*'管线假设'!F1419*'管线假设'!G1419*IF(E6646="USD",'管线假设'!I1419,1)-AM6646</x:f>
        <x:v>0.010332</x:v>
      </x:c>
      <x:c r="M6646" s="11" t="n">
        <x:f>'管线假设'!H1419</x:f>
        <x:v>0.14</x:v>
      </x:c>
      <x:c r="N6646" s="11" t="n">
        <x:f>IF(G6646,L6646*AN6646/(1+M6646)^F6646,0)</x:f>
        <x:v>0.001154156697874955</x:v>
      </x:c>
      <x:c r="AJ6646" s="42" t="n">
        <x:v>0</x:v>
      </x:c>
      <x:c r="AK6646" s="42" t="n">
        <x:v>0</x:v>
      </x:c>
      <x:c r="AL6646" s="42" t="n">
        <x:v>0</x:v>
      </x:c>
      <x:c r="AM6646" t="n">
        <x:f>CHOOSE('假设'!$B$3,AJ6646,AK6646,AL6646)</x:f>
        <x:v>0</x:v>
      </x:c>
      <x:c r="AN6646" t="n">
        <x:v>1</x:v>
      </x:c>
    </x:row>
    <x:row r="6647" ht="23" customHeight="1">
      <x:c r="A6647" s="11" t="str">
        <x:v>09995.HK</x:v>
      </x:c>
      <x:c r="B6647" s="11" t="str">
        <x:v>半年</x:v>
      </x:c>
      <x:c r="C6647" s="11" t="str">
        <x:v>RC28_China</x:v>
      </x:c>
      <x:c r="D6647" s="11" t="str">
        <x:v>2044-12-31</x:v>
      </x:c>
      <x:c r="E6647" s="11" t="str">
        <x:v>CNY</x:v>
      </x:c>
      <x:c r="F6647" s="11" t="n">
        <x:v>17.730321697467488</x:v>
      </x:c>
      <x:c r="G6647" s="26" t="b">
        <x:v>1</x:v>
      </x:c>
      <x:c r="H6647" s="16" t="n">
        <x:v>0.175</x:v>
      </x:c>
      <x:c r="I6647" s="16" t="n">
        <x:v>0.18</x:v>
      </x:c>
      <x:c r="J6647" s="16" t="n">
        <x:v>0.21000000000000002</x:v>
      </x:c>
      <x:c r="K6647" s="11" t="n">
        <x:f>CHOOSE('假设'!$B$3,H6647,I6647,J6647)</x:f>
        <x:v>0.18</x:v>
      </x:c>
      <x:c r="L6647" s="11" t="n">
        <x:f>K6647*'管线假设'!E1419*'管线假设'!F1419*'管线假设'!G1419*IF(E6647="USD",'管线假设'!I1419,1)-AM6647</x:f>
        <x:v>0.006199199999999999</x:v>
      </x:c>
      <x:c r="M6647" s="11" t="n">
        <x:f>'管线假设'!H1419</x:f>
        <x:v>0.14</x:v>
      </x:c>
      <x:c r="N6647" s="11" t="n">
        <x:f>IF(G6647,L6647*AN6647/(1+M6647)^F6647,0)</x:f>
        <x:v>0.0006072874798017777</x:v>
      </x:c>
      <x:c r="AJ6647" s="42" t="n">
        <x:v>0</x:v>
      </x:c>
      <x:c r="AK6647" s="42" t="n">
        <x:v>0</x:v>
      </x:c>
      <x:c r="AL6647" s="42" t="n">
        <x:v>0</x:v>
      </x:c>
      <x:c r="AM6647" t="n">
        <x:f>CHOOSE('假设'!$B$3,AJ6647,AK6647,AL6647)</x:f>
        <x:v>0</x:v>
      </x:c>
      <x:c r="AN6647" t="n">
        <x:v>1</x:v>
      </x:c>
    </x:row>
    <x:row r="6648" ht="23" customHeight="1">
      <x:c r="A6648" s="11" t="str">
        <x:v>09995.HK</x:v>
      </x:c>
      <x:c r="B6648" s="11" t="str">
        <x:v>半年</x:v>
      </x:c>
      <x:c r="C6648" s="11" t="str">
        <x:v>centralCost</x:v>
      </x:c>
      <x:c r="D6648" s="11" t="str">
        <x:v>2026-12-31</x:v>
      </x:c>
      <x:c r="E6648" s="11" t="str">
        <x:v>CNY</x:v>
      </x:c>
      <x:c r="F6648" s="11" t="n">
        <x:v>-0.27104722792607805</x:v>
      </x:c>
      <x:c r="G6648" s="26" t="b">
        <x:v>0</x:v>
      </x:c>
      <x:c r="H6648" s="16" t="n">
        <x:v>0</x:v>
      </x:c>
      <x:c r="I6648" s="16" t="n">
        <x:v>0</x:v>
      </x:c>
      <x:c r="J6648" s="16" t="n">
        <x:v>0</x:v>
      </x:c>
      <x:c r="K6648" s="11" t="n">
        <x:f>CHOOSE('假设'!$B$3,H6648,I6648,J6648)</x:f>
        <x:v>0</x:v>
      </x:c>
      <x:c r="L6648" s="11" t="n">
        <x:f>K6648*'管线假设'!E1423*'管线假设'!F1423*'管线假设'!G1423*IF(E6648="USD",'管线假设'!I1423,1)-AM6648</x:f>
        <x:v>-0.16</x:v>
      </x:c>
      <x:c r="M6648" s="11" t="n">
        <x:f>'管线假设'!H1423</x:f>
        <x:v>0.14</x:v>
      </x:c>
      <x:c r="N6648" s="11" t="n">
        <x:f>IF(G6648,L6648*AN6648/(1+M6648)^F6648,0)</x:f>
        <x:v>0</x:v>
      </x:c>
      <x:c r="AJ6648" s="42" t="n">
        <x:v>0.13</x:v>
      </x:c>
      <x:c r="AK6648" s="42" t="n">
        <x:v>0.16</x:v>
      </x:c>
      <x:c r="AL6648" s="42" t="n">
        <x:v>0.2</x:v>
      </x:c>
      <x:c r="AM6648" t="n">
        <x:f>CHOOSE('假设'!$B$3,AJ6648,AK6648,AL6648)</x:f>
        <x:v>0.16</x:v>
      </x:c>
      <x:c r="AN6648" t="n">
        <x:v>0</x:v>
      </x:c>
    </x:row>
    <x:row r="6649" ht="23" customHeight="1">
      <x:c r="A6649" s="11" t="str">
        <x:v>09995.HK</x:v>
      </x:c>
      <x:c r="B6649" s="11" t="str">
        <x:v>半年</x:v>
      </x:c>
      <x:c r="C6649" s="11" t="str">
        <x:v>centralCost</x:v>
      </x:c>
      <x:c r="D6649" s="11" t="str">
        <x:v>2027-12-31</x:v>
      </x:c>
      <x:c r="E6649" s="11" t="str">
        <x:v>CNY</x:v>
      </x:c>
      <x:c r="F6649" s="11" t="n">
        <x:v>0.7282683093771389</x:v>
      </x:c>
      <x:c r="G6649" s="26" t="b">
        <x:v>1</x:v>
      </x:c>
      <x:c r="H6649" s="16" t="n">
        <x:v>0</x:v>
      </x:c>
      <x:c r="I6649" s="16" t="n">
        <x:v>0</x:v>
      </x:c>
      <x:c r="J6649" s="16" t="n">
        <x:v>0</x:v>
      </x:c>
      <x:c r="K6649" s="11" t="n">
        <x:f>CHOOSE('假设'!$B$3,H6649,I6649,J6649)</x:f>
        <x:v>0</x:v>
      </x:c>
      <x:c r="L6649" s="11" t="n">
        <x:f>K6649*'管线假设'!E1423*'管线假设'!F1423*'管线假设'!G1423*IF(E6649="USD",'管线假设'!I1423,1)-AM6649</x:f>
        <x:v>-0.1648</x:v>
      </x:c>
      <x:c r="M6649" s="11" t="n">
        <x:f>'管线假设'!H1423</x:f>
        <x:v>0.14</x:v>
      </x:c>
      <x:c r="N6649" s="11" t="n">
        <x:f>IF(G6649,L6649*AN6649/(1+M6649)^F6649,0)</x:f>
        <x:v>-0.10947008630186097</x:v>
      </x:c>
      <x:c r="AJ6649" s="42" t="n">
        <x:v>0.13390000000000002</x:v>
      </x:c>
      <x:c r="AK6649" s="42" t="n">
        <x:v>0.1648</x:v>
      </x:c>
      <x:c r="AL6649" s="42" t="n">
        <x:v>0.20800000000000002</x:v>
      </x:c>
      <x:c r="AM6649" t="n">
        <x:f>CHOOSE('假设'!$B$3,AJ6649,AK6649,AL6649)</x:f>
        <x:v>0.1648</x:v>
      </x:c>
      <x:c r="AN6649" t="n">
        <x:v>0.7307692307692307</x:v>
      </x:c>
    </x:row>
    <x:row r="6650" ht="23" customHeight="1">
      <x:c r="A6650" s="11" t="str">
        <x:v>09995.HK</x:v>
      </x:c>
      <x:c r="B6650" s="11" t="str">
        <x:v>半年</x:v>
      </x:c>
      <x:c r="C6650" s="11" t="str">
        <x:v>centralCost</x:v>
      </x:c>
      <x:c r="D6650" s="11" t="str">
        <x:v>2028-12-31</x:v>
      </x:c>
      <x:c r="E6650" s="11" t="str">
        <x:v>CNY</x:v>
      </x:c>
      <x:c r="F6650" s="11" t="n">
        <x:v>1.730321697467488</x:v>
      </x:c>
      <x:c r="G6650" s="26" t="b">
        <x:v>1</x:v>
      </x:c>
      <x:c r="H6650" s="16" t="n">
        <x:v>0</x:v>
      </x:c>
      <x:c r="I6650" s="16" t="n">
        <x:v>0</x:v>
      </x:c>
      <x:c r="J6650" s="16" t="n">
        <x:v>0</x:v>
      </x:c>
      <x:c r="K6650" s="11" t="n">
        <x:f>CHOOSE('假设'!$B$3,H6650,I6650,J6650)</x:f>
        <x:v>0</x:v>
      </x:c>
      <x:c r="L6650" s="11" t="n">
        <x:f>K6650*'管线假设'!E1423*'管线假设'!F1423*'管线假设'!G1423*IF(E6650="USD",'管线假设'!I1423,1)-AM6650</x:f>
        <x:v>-0.169744</x:v>
      </x:c>
      <x:c r="M6650" s="11" t="n">
        <x:f>'管线假设'!H1423</x:f>
        <x:v>0.14</x:v>
      </x:c>
      <x:c r="N6650" s="11" t="n">
        <x:f>IF(G6650,L6650*AN6650/(1+M6650)^F6650,0)</x:f>
        <x:v>-0.13531026142162142</x:v>
      </x:c>
      <x:c r="AJ6650" s="42" t="n">
        <x:v>0.137917</x:v>
      </x:c>
      <x:c r="AK6650" s="42" t="n">
        <x:v>0.169744</x:v>
      </x:c>
      <x:c r="AL6650" s="42" t="n">
        <x:v>0.21632000000000004</x:v>
      </x:c>
      <x:c r="AM6650" t="n">
        <x:f>CHOOSE('假设'!$B$3,AJ6650,AK6650,AL6650)</x:f>
        <x:v>0.169744</x:v>
      </x:c>
      <x:c r="AN6650" t="n">
        <x:v>1</x:v>
      </x:c>
    </x:row>
    <x:row r="6651" ht="23" customHeight="1">
      <x:c r="A6651" s="11" t="str">
        <x:v>09995.HK</x:v>
      </x:c>
      <x:c r="B6651" s="11" t="str">
        <x:v>半年</x:v>
      </x:c>
      <x:c r="C6651" s="11" t="str">
        <x:v>centralCost</x:v>
      </x:c>
      <x:c r="D6651" s="11" t="str">
        <x:v>2029-12-31</x:v>
      </x:c>
      <x:c r="E6651" s="11" t="str">
        <x:v>CNY</x:v>
      </x:c>
      <x:c r="F6651" s="11" t="n">
        <x:v>2.729637234770705</x:v>
      </x:c>
      <x:c r="G6651" s="26" t="b">
        <x:v>1</x:v>
      </x:c>
      <x:c r="H6651" s="16" t="n">
        <x:v>0</x:v>
      </x:c>
      <x:c r="I6651" s="16" t="n">
        <x:v>0</x:v>
      </x:c>
      <x:c r="J6651" s="16" t="n">
        <x:v>0</x:v>
      </x:c>
      <x:c r="K6651" s="11" t="n">
        <x:f>CHOOSE('假设'!$B$3,H6651,I6651,J6651)</x:f>
        <x:v>0</x:v>
      </x:c>
      <x:c r="L6651" s="11" t="n">
        <x:f>K6651*'管线假设'!E1423*'管线假设'!F1423*'管线假设'!G1423*IF(E6651="USD",'管线假设'!I1423,1)-AM6651</x:f>
        <x:v>-0.17483632000000002</x:v>
      </x:c>
      <x:c r="M6651" s="11" t="n">
        <x:f>'管线假设'!H1423</x:f>
        <x:v>0.14</x:v>
      </x:c>
      <x:c r="N6651" s="11" t="n">
        <x:f>IF(G6651,L6651*AN6651/(1+M6651)^F6651,0)</x:f>
        <x:v>-0.1222649728415356</x:v>
      </x:c>
      <x:c r="AJ6651" s="42" t="n">
        <x:v>0.14205451</x:v>
      </x:c>
      <x:c r="AK6651" s="42" t="n">
        <x:v>0.17483632000000002</x:v>
      </x:c>
      <x:c r="AL6651" s="42" t="n">
        <x:v>0.22497280000000003</x:v>
      </x:c>
      <x:c r="AM6651" t="n">
        <x:f>CHOOSE('假设'!$B$3,AJ6651,AK6651,AL6651)</x:f>
        <x:v>0.17483632000000002</x:v>
      </x:c>
      <x:c r="AN6651" t="n">
        <x:v>1</x:v>
      </x:c>
    </x:row>
    <x:row r="6652" ht="23" customHeight="1">
      <x:c r="A6652" s="11" t="str">
        <x:v>09995.HK</x:v>
      </x:c>
      <x:c r="B6652" s="11" t="str">
        <x:v>半年</x:v>
      </x:c>
      <x:c r="C6652" s="11" t="str">
        <x:v>centralCost</x:v>
      </x:c>
      <x:c r="D6652" s="11" t="str">
        <x:v>2030-12-31</x:v>
      </x:c>
      <x:c r="E6652" s="11" t="str">
        <x:v>CNY</x:v>
      </x:c>
      <x:c r="F6652" s="11" t="n">
        <x:v>3.728952772073922</x:v>
      </x:c>
      <x:c r="G6652" s="26" t="b">
        <x:v>1</x:v>
      </x:c>
      <x:c r="H6652" s="16" t="n">
        <x:v>0</x:v>
      </x:c>
      <x:c r="I6652" s="16" t="n">
        <x:v>0</x:v>
      </x:c>
      <x:c r="J6652" s="16" t="n">
        <x:v>0</x:v>
      </x:c>
      <x:c r="K6652" s="11" t="n">
        <x:f>CHOOSE('假设'!$B$3,H6652,I6652,J6652)</x:f>
        <x:v>0</x:v>
      </x:c>
      <x:c r="L6652" s="11" t="n">
        <x:f>K6652*'管线假设'!E1423*'管线假设'!F1423*'管线假设'!G1423*IF(E6652="USD",'管线假设'!I1423,1)-AM6652</x:f>
        <x:v>-0.18008140960000002</x:v>
      </x:c>
      <x:c r="M6652" s="11" t="n">
        <x:f>'管线假设'!H1423</x:f>
        <x:v>0.14</x:v>
      </x:c>
      <x:c r="N6652" s="11" t="n">
        <x:f>IF(G6652,L6652*AN6652/(1+M6652)^F6652,0)</x:f>
        <x:v>-0.11047738306677134</x:v>
      </x:c>
      <x:c r="AJ6652" s="42" t="n">
        <x:v>0.14631614530000003</x:v>
      </x:c>
      <x:c r="AK6652" s="42" t="n">
        <x:v>0.18008140960000002</x:v>
      </x:c>
      <x:c r="AL6652" s="42" t="n">
        <x:v>0.23397171200000005</x:v>
      </x:c>
      <x:c r="AM6652" t="n">
        <x:f>CHOOSE('假设'!$B$3,AJ6652,AK6652,AL6652)</x:f>
        <x:v>0.18008140960000002</x:v>
      </x:c>
      <x:c r="AN6652" t="n">
        <x:v>1</x:v>
      </x:c>
    </x:row>
    <x:row r="6653" ht="23" customHeight="1">
      <x:c r="A6653" s="11" t="str">
        <x:v>09995.HK</x:v>
      </x:c>
      <x:c r="B6653" s="11" t="str">
        <x:v>半年</x:v>
      </x:c>
      <x:c r="C6653" s="11" t="str">
        <x:v>centralCost</x:v>
      </x:c>
      <x:c r="D6653" s="11" t="str">
        <x:v>2031-12-31</x:v>
      </x:c>
      <x:c r="E6653" s="11" t="str">
        <x:v>CNY</x:v>
      </x:c>
      <x:c r="F6653" s="11" t="n">
        <x:v>4.728268309377139</x:v>
      </x:c>
      <x:c r="G6653" s="26" t="b">
        <x:v>1</x:v>
      </x:c>
      <x:c r="H6653" s="16" t="n">
        <x:v>0</x:v>
      </x:c>
      <x:c r="I6653" s="16" t="n">
        <x:v>0</x:v>
      </x:c>
      <x:c r="J6653" s="16" t="n">
        <x:v>0</x:v>
      </x:c>
      <x:c r="K6653" s="11" t="n">
        <x:f>CHOOSE('假设'!$B$3,H6653,I6653,J6653)</x:f>
        <x:v>0</x:v>
      </x:c>
      <x:c r="L6653" s="11" t="n">
        <x:f>K6653*'管线假设'!E1423*'管线假设'!F1423*'管线假设'!G1423*IF(E6653="USD",'管线假设'!I1423,1)-AM6653</x:f>
        <x:v>-0.185483851888</x:v>
      </x:c>
      <x:c r="M6653" s="11" t="n">
        <x:f>'管线假设'!H1423</x:f>
        <x:v>0.14</x:v>
      </x:c>
      <x:c r="N6653" s="11" t="n">
        <x:f>IF(G6653,L6653*AN6653/(1+M6653)^F6653,0)</x:f>
        <x:v>-0.0998262371112701</x:v>
      </x:c>
      <x:c r="AJ6653" s="42" t="n">
        <x:v>0.150705629659</x:v>
      </x:c>
      <x:c r="AK6653" s="42" t="n">
        <x:v>0.185483851888</x:v>
      </x:c>
      <x:c r="AL6653" s="42" t="n">
        <x:v>0.24333058048000003</x:v>
      </x:c>
      <x:c r="AM6653" t="n">
        <x:f>CHOOSE('假设'!$B$3,AJ6653,AK6653,AL6653)</x:f>
        <x:v>0.185483851888</x:v>
      </x:c>
      <x:c r="AN6653" t="n">
        <x:v>1</x:v>
      </x:c>
    </x:row>
    <x:row r="6654" ht="23" customHeight="1">
      <x:c r="A6654" s="11" t="str">
        <x:v>09995.HK</x:v>
      </x:c>
      <x:c r="B6654" s="11" t="str">
        <x:v>半年</x:v>
      </x:c>
      <x:c r="C6654" s="11" t="str">
        <x:v>centralCost</x:v>
      </x:c>
      <x:c r="D6654" s="11" t="str">
        <x:v>2032-12-31</x:v>
      </x:c>
      <x:c r="E6654" s="11" t="str">
        <x:v>CNY</x:v>
      </x:c>
      <x:c r="F6654" s="11" t="n">
        <x:v>5.730321697467488</x:v>
      </x:c>
      <x:c r="G6654" s="26" t="b">
        <x:v>1</x:v>
      </x:c>
      <x:c r="H6654" s="16" t="n">
        <x:v>0</x:v>
      </x:c>
      <x:c r="I6654" s="16" t="n">
        <x:v>0</x:v>
      </x:c>
      <x:c r="J6654" s="16" t="n">
        <x:v>0</x:v>
      </x:c>
      <x:c r="K6654" s="11" t="n">
        <x:f>CHOOSE('假设'!$B$3,H6654,I6654,J6654)</x:f>
        <x:v>0</x:v>
      </x:c>
      <x:c r="L6654" s="11" t="n">
        <x:f>K6654*'管线假设'!E1423*'管线假设'!F1423*'管线假设'!G1423*IF(E6654="USD",'管线假设'!I1423,1)-AM6654</x:f>
        <x:v>-0.19104836744464002</x:v>
      </x:c>
      <x:c r="M6654" s="11" t="n">
        <x:f>'管线假设'!H1423</x:f>
        <x:v>0.14</x:v>
      </x:c>
      <x:c r="N6654" s="11" t="n">
        <x:f>IF(G6654,L6654*AN6654/(1+M6654)^F6654,0)</x:f>
        <x:v>-0.09016961733036849</x:v>
      </x:c>
      <x:c r="AJ6654" s="42" t="n">
        <x:v>0.15522679854877003</x:v>
      </x:c>
      <x:c r="AK6654" s="42" t="n">
        <x:v>0.19104836744464002</x:v>
      </x:c>
      <x:c r="AL6654" s="42" t="n">
        <x:v>0.25306380369920006</x:v>
      </x:c>
      <x:c r="AM6654" t="n">
        <x:f>CHOOSE('假设'!$B$3,AJ6654,AK6654,AL6654)</x:f>
        <x:v>0.19104836744464002</x:v>
      </x:c>
      <x:c r="AN6654" t="n">
        <x:v>1</x:v>
      </x:c>
    </x:row>
    <x:row r="6655" ht="23" customHeight="1">
      <x:c r="A6655" s="11" t="str">
        <x:v>09995.HK</x:v>
      </x:c>
      <x:c r="B6655" s="11" t="str">
        <x:v>半年</x:v>
      </x:c>
      <x:c r="C6655" s="11" t="str">
        <x:v>centralCost</x:v>
      </x:c>
      <x:c r="D6655" s="11" t="str">
        <x:v>2033-12-31</x:v>
      </x:c>
      <x:c r="E6655" s="11" t="str">
        <x:v>CNY</x:v>
      </x:c>
      <x:c r="F6655" s="11" t="n">
        <x:v>6.729637234770705</x:v>
      </x:c>
      <x:c r="G6655" s="26" t="b">
        <x:v>1</x:v>
      </x:c>
      <x:c r="H6655" s="16" t="n">
        <x:v>0</x:v>
      </x:c>
      <x:c r="I6655" s="16" t="n">
        <x:v>0</x:v>
      </x:c>
      <x:c r="J6655" s="16" t="n">
        <x:v>0</x:v>
      </x:c>
      <x:c r="K6655" s="11" t="n">
        <x:f>CHOOSE('假设'!$B$3,H6655,I6655,J6655)</x:f>
        <x:v>0</x:v>
      </x:c>
      <x:c r="L6655" s="11" t="n">
        <x:f>K6655*'管线假设'!E1423*'管线假设'!F1423*'管线假设'!G1423*IF(E6655="USD",'管线假设'!I1423,1)-AM6655</x:f>
        <x:v>-0.19677981846797923</x:v>
      </x:c>
      <x:c r="M6655" s="11" t="n">
        <x:f>'管线假设'!H1423</x:f>
        <x:v>0.14</x:v>
      </x:c>
      <x:c r="N6655" s="11" t="n">
        <x:f>IF(G6655,L6655*AN6655/(1+M6655)^F6655,0)</x:f>
        <x:v>-0.08147634701315809</x:v>
      </x:c>
      <x:c r="AJ6655" s="42" t="n">
        <x:v>0.15988360250523312</x:v>
      </x:c>
      <x:c r="AK6655" s="42" t="n">
        <x:v>0.19677981846797923</x:v>
      </x:c>
      <x:c r="AL6655" s="42" t="n">
        <x:v>0.26318635584716804</x:v>
      </x:c>
      <x:c r="AM6655" t="n">
        <x:f>CHOOSE('假设'!$B$3,AJ6655,AK6655,AL6655)</x:f>
        <x:v>0.19677981846797923</x:v>
      </x:c>
      <x:c r="AN6655" t="n">
        <x:v>1</x:v>
      </x:c>
    </x:row>
    <x:row r="6656" ht="23" customHeight="1">
      <x:c r="A6656" s="11" t="str">
        <x:v>09995.HK</x:v>
      </x:c>
      <x:c r="B6656" s="11" t="str">
        <x:v>半年</x:v>
      </x:c>
      <x:c r="C6656" s="11" t="str">
        <x:v>centralCost</x:v>
      </x:c>
      <x:c r="D6656" s="11" t="str">
        <x:v>2034-12-31</x:v>
      </x:c>
      <x:c r="E6656" s="11" t="str">
        <x:v>CNY</x:v>
      </x:c>
      <x:c r="F6656" s="11" t="n">
        <x:v>7.728952772073922</x:v>
      </x:c>
      <x:c r="G6656" s="26" t="b">
        <x:v>1</x:v>
      </x:c>
      <x:c r="H6656" s="16" t="n">
        <x:v>0</x:v>
      </x:c>
      <x:c r="I6656" s="16" t="n">
        <x:v>0</x:v>
      </x:c>
      <x:c r="J6656" s="16" t="n">
        <x:v>0</x:v>
      </x:c>
      <x:c r="K6656" s="11" t="n">
        <x:f>CHOOSE('假设'!$B$3,H6656,I6656,J6656)</x:f>
        <x:v>0</x:v>
      </x:c>
      <x:c r="L6656" s="11" t="n">
        <x:f>K6656*'管线假设'!E1423*'管线假设'!F1423*'管线假设'!G1423*IF(E6656="USD",'管线假设'!I1423,1)-AM6656</x:f>
        <x:v>-0.20268321302201864</x:v>
      </x:c>
      <x:c r="M6656" s="11" t="n">
        <x:f>'管线假设'!H1423</x:f>
        <x:v>0.14</x:v>
      </x:c>
      <x:c r="N6656" s="11" t="n">
        <x:f>IF(G6656,L6656*AN6656/(1+M6656)^F6656,0)</x:f>
        <x:v>-0.07362119657541</x:v>
      </x:c>
      <x:c r="AJ6656" s="42" t="n">
        <x:v>0.16468011058039014</x:v>
      </x:c>
      <x:c r="AK6656" s="42" t="n">
        <x:v>0.20268321302201864</x:v>
      </x:c>
      <x:c r="AL6656" s="42" t="n">
        <x:v>0.2737138100810548</x:v>
      </x:c>
      <x:c r="AM6656" t="n">
        <x:f>CHOOSE('假设'!$B$3,AJ6656,AK6656,AL6656)</x:f>
        <x:v>0.20268321302201864</x:v>
      </x:c>
      <x:c r="AN6656" t="n">
        <x:v>1</x:v>
      </x:c>
    </x:row>
    <x:row r="6657" ht="23" customHeight="1">
      <x:c r="A6657" s="11" t="str">
        <x:v>09995.HK</x:v>
      </x:c>
      <x:c r="B6657" s="11" t="str">
        <x:v>半年</x:v>
      </x:c>
      <x:c r="C6657" s="11" t="str">
        <x:v>centralCost</x:v>
      </x:c>
      <x:c r="D6657" s="11" t="str">
        <x:v>2035-12-31</x:v>
      </x:c>
      <x:c r="E6657" s="11" t="str">
        <x:v>CNY</x:v>
      </x:c>
      <x:c r="F6657" s="11" t="n">
        <x:v>8.728268309377139</x:v>
      </x:c>
      <x:c r="G6657" s="26" t="b">
        <x:v>1</x:v>
      </x:c>
      <x:c r="H6657" s="16" t="n">
        <x:v>0</x:v>
      </x:c>
      <x:c r="I6657" s="16" t="n">
        <x:v>0</x:v>
      </x:c>
      <x:c r="J6657" s="16" t="n">
        <x:v>0</x:v>
      </x:c>
      <x:c r="K6657" s="11" t="n">
        <x:f>CHOOSE('假设'!$B$3,H6657,I6657,J6657)</x:f>
        <x:v>0</x:v>
      </x:c>
      <x:c r="L6657" s="11" t="n">
        <x:f>K6657*'管线假设'!E1423*'管线假设'!F1423*'管线假设'!G1423*IF(E6657="USD",'管线假设'!I1423,1)-AM6657</x:f>
        <x:v>-0.2087637094126792</x:v>
      </x:c>
      <x:c r="M6657" s="11" t="n">
        <x:f>'管线假设'!H1423</x:f>
        <x:v>0.14</x:v>
      </x:c>
      <x:c r="N6657" s="11" t="n">
        <x:f>IF(G6657,L6657*AN6657/(1+M6657)^F6657,0)</x:f>
        <x:v>-0.06652336271678748</x:v>
      </x:c>
      <x:c r="AJ6657" s="42" t="n">
        <x:v>0.16962051389780183</x:v>
      </x:c>
      <x:c r="AK6657" s="42" t="n">
        <x:v>0.2087637094126792</x:v>
      </x:c>
      <x:c r="AL6657" s="42" t="n">
        <x:v>0.284662362484297</x:v>
      </x:c>
      <x:c r="AM6657" t="n">
        <x:f>CHOOSE('假设'!$B$3,AJ6657,AK6657,AL6657)</x:f>
        <x:v>0.2087637094126792</x:v>
      </x:c>
      <x:c r="AN6657" t="n">
        <x:v>1</x:v>
      </x:c>
    </x:row>
    <x:row r="6658" ht="23" customHeight="1">
      <x:c r="A6658" s="11" t="str">
        <x:v>09995.HK</x:v>
      </x:c>
      <x:c r="B6658" s="11" t="str">
        <x:v>半年</x:v>
      </x:c>
      <x:c r="C6658" s="11" t="str">
        <x:v>centralCost</x:v>
      </x:c>
      <x:c r="D6658" s="11" t="str">
        <x:v>2036-12-31</x:v>
      </x:c>
      <x:c r="E6658" s="11" t="str">
        <x:v>CNY</x:v>
      </x:c>
      <x:c r="F6658" s="11" t="n">
        <x:v>9.730321697467488</x:v>
      </x:c>
      <x:c r="G6658" s="26" t="b">
        <x:v>1</x:v>
      </x:c>
      <x:c r="H6658" s="16" t="n">
        <x:v>0</x:v>
      </x:c>
      <x:c r="I6658" s="16" t="n">
        <x:v>0</x:v>
      </x:c>
      <x:c r="J6658" s="16" t="n">
        <x:v>0</x:v>
      </x:c>
      <x:c r="K6658" s="11" t="n">
        <x:f>CHOOSE('假设'!$B$3,H6658,I6658,J6658)</x:f>
        <x:v>0</x:v>
      </x:c>
      <x:c r="L6658" s="11" t="n">
        <x:f>K6658*'管线假设'!E1423*'管线假设'!F1423*'管线假设'!G1423*IF(E6658="USD",'管线假设'!I1423,1)-AM6658</x:f>
        <x:v>-0.21502662069505957</x:v>
      </x:c>
      <x:c r="M6658" s="11" t="n">
        <x:f>'管线假设'!H1423</x:f>
        <x:v>0.14</x:v>
      </x:c>
      <x:c r="N6658" s="11" t="n">
        <x:f>IF(G6658,L6658*AN6658/(1+M6658)^F6658,0)</x:f>
        <x:v>-0.06008827271547862</x:v>
      </x:c>
      <x:c r="AJ6658" s="42" t="n">
        <x:v>0.1747091293147359</x:v>
      </x:c>
      <x:c r="AK6658" s="42" t="n">
        <x:v>0.21502662069505957</x:v>
      </x:c>
      <x:c r="AL6658" s="42" t="n">
        <x:v>0.2960488569836689</x:v>
      </x:c>
      <x:c r="AM6658" t="n">
        <x:f>CHOOSE('假设'!$B$3,AJ6658,AK6658,AL6658)</x:f>
        <x:v>0.21502662069505957</x:v>
      </x:c>
      <x:c r="AN6658" t="n">
        <x:v>1</x:v>
      </x:c>
    </x:row>
    <x:row r="6659" ht="23" customHeight="1">
      <x:c r="A6659" s="11" t="str">
        <x:v>09995.HK</x:v>
      </x:c>
      <x:c r="B6659" s="11" t="str">
        <x:v>半年</x:v>
      </x:c>
      <x:c r="C6659" s="11" t="str">
        <x:v>centralCost</x:v>
      </x:c>
      <x:c r="D6659" s="11" t="str">
        <x:v>2037-12-31</x:v>
      </x:c>
      <x:c r="E6659" s="11" t="str">
        <x:v>CNY</x:v>
      </x:c>
      <x:c r="F6659" s="11" t="n">
        <x:v>10.729637234770705</x:v>
      </x:c>
      <x:c r="G6659" s="26" t="b">
        <x:v>1</x:v>
      </x:c>
      <x:c r="H6659" s="16" t="n">
        <x:v>0</x:v>
      </x:c>
      <x:c r="I6659" s="16" t="n">
        <x:v>0</x:v>
      </x:c>
      <x:c r="J6659" s="16" t="n">
        <x:v>0</x:v>
      </x:c>
      <x:c r="K6659" s="11" t="n">
        <x:f>CHOOSE('假设'!$B$3,H6659,I6659,J6659)</x:f>
        <x:v>0</x:v>
      </x:c>
      <x:c r="L6659" s="11" t="n">
        <x:f>K6659*'管线假设'!E1423*'管线假设'!F1423*'管线假设'!G1423*IF(E6659="USD",'管线假设'!I1423,1)-AM6659</x:f>
        <x:v>-0.22147741931591136</x:v>
      </x:c>
      <x:c r="M6659" s="11" t="n">
        <x:f>'管线假设'!H1423</x:f>
        <x:v>0.14</x:v>
      </x:c>
      <x:c r="N6659" s="11" t="n">
        <x:f>IF(G6659,L6659*AN6659/(1+M6659)^F6659,0)</x:f>
        <x:v>-0.05429515067420334</x:v>
      </x:c>
      <x:c r="AJ6659" s="42" t="n">
        <x:v>0.179950403194178</x:v>
      </x:c>
      <x:c r="AK6659" s="42" t="n">
        <x:v>0.22147741931591136</x:v>
      </x:c>
      <x:c r="AL6659" s="42" t="n">
        <x:v>0.30789081126301565</x:v>
      </x:c>
      <x:c r="AM6659" t="n">
        <x:f>CHOOSE('假设'!$B$3,AJ6659,AK6659,AL6659)</x:f>
        <x:v>0.22147741931591136</x:v>
      </x:c>
      <x:c r="AN6659" t="n">
        <x:v>1</x:v>
      </x:c>
    </x:row>
    <x:row r="6660" ht="23" customHeight="1">
      <x:c r="A6660" s="11" t="str">
        <x:v>09995.HK</x:v>
      </x:c>
      <x:c r="B6660" s="11" t="str">
        <x:v>半年</x:v>
      </x:c>
      <x:c r="C6660" s="11" t="str">
        <x:v>centralCost</x:v>
      </x:c>
      <x:c r="D6660" s="11" t="str">
        <x:v>2038-12-31</x:v>
      </x:c>
      <x:c r="E6660" s="11" t="str">
        <x:v>CNY</x:v>
      </x:c>
      <x:c r="F6660" s="11" t="n">
        <x:v>11.728952772073923</x:v>
      </x:c>
      <x:c r="G6660" s="26" t="b">
        <x:v>1</x:v>
      </x:c>
      <x:c r="H6660" s="16" t="n">
        <x:v>0</x:v>
      </x:c>
      <x:c r="I6660" s="16" t="n">
        <x:v>0</x:v>
      </x:c>
      <x:c r="J6660" s="16" t="n">
        <x:v>0</x:v>
      </x:c>
      <x:c r="K6660" s="11" t="n">
        <x:f>CHOOSE('假设'!$B$3,H6660,I6660,J6660)</x:f>
        <x:v>0</x:v>
      </x:c>
      <x:c r="L6660" s="11" t="n">
        <x:f>K6660*'管线假设'!E1423*'管线假设'!F1423*'管线假设'!G1423*IF(E6660="USD",'管线假设'!I1423,1)-AM6660</x:f>
        <x:v>-0.2281217418953887</x:v>
      </x:c>
      <x:c r="M6660" s="11" t="n">
        <x:f>'管线假设'!H1423</x:f>
        <x:v>0.14</x:v>
      </x:c>
      <x:c r="N6660" s="11" t="n">
        <x:f>IF(G6660,L6660*AN6660/(1+M6660)^F6660,0)</x:f>
        <x:v>-0.04906054465391637</x:v>
      </x:c>
      <x:c r="AJ6660" s="42" t="n">
        <x:v>0.1853489152900033</x:v>
      </x:c>
      <x:c r="AK6660" s="42" t="n">
        <x:v>0.2281217418953887</x:v>
      </x:c>
      <x:c r="AL6660" s="42" t="n">
        <x:v>0.32020644371353635</x:v>
      </x:c>
      <x:c r="AM6660" t="n">
        <x:f>CHOOSE('假设'!$B$3,AJ6660,AK6660,AL6660)</x:f>
        <x:v>0.2281217418953887</x:v>
      </x:c>
      <x:c r="AN6660" t="n">
        <x:v>1</x:v>
      </x:c>
    </x:row>
    <x:row r="6661" ht="23" customHeight="1">
      <x:c r="A6661" s="11" t="str">
        <x:v>09995.HK</x:v>
      </x:c>
      <x:c r="B6661" s="11" t="str">
        <x:v>半年</x:v>
      </x:c>
      <x:c r="C6661" s="11" t="str">
        <x:v>centralCost</x:v>
      </x:c>
      <x:c r="D6661" s="11" t="str">
        <x:v>2039-12-31</x:v>
      </x:c>
      <x:c r="E6661" s="11" t="str">
        <x:v>CNY</x:v>
      </x:c>
      <x:c r="F6661" s="11" t="n">
        <x:v>12.728268309377139</x:v>
      </x:c>
      <x:c r="G6661" s="26" t="b">
        <x:v>1</x:v>
      </x:c>
      <x:c r="H6661" s="16" t="n">
        <x:v>0</x:v>
      </x:c>
      <x:c r="I6661" s="16" t="n">
        <x:v>0</x:v>
      </x:c>
      <x:c r="J6661" s="16" t="n">
        <x:v>0</x:v>
      </x:c>
      <x:c r="K6661" s="11" t="n">
        <x:f>CHOOSE('假设'!$B$3,H6661,I6661,J6661)</x:f>
        <x:v>0</x:v>
      </x:c>
      <x:c r="L6661" s="11" t="n">
        <x:f>K6661*'管线假设'!E1423*'管线假设'!F1423*'管线假设'!G1423*IF(E6661="USD",'管线假设'!I1423,1)-AM6661</x:f>
        <x:v>-0.23496539415225037</x:v>
      </x:c>
      <x:c r="M6661" s="11" t="n">
        <x:f>'管线假设'!H1423</x:f>
        <x:v>0.14</x:v>
      </x:c>
      <x:c r="N6661" s="11" t="n">
        <x:f>IF(G6661,L6661*AN6661/(1+M6661)^F6661,0)</x:f>
        <x:v>-0.044330608016573826</x:v>
      </x:c>
      <x:c r="AJ6661" s="42" t="n">
        <x:v>0.19090938274870342</x:v>
      </x:c>
      <x:c r="AK6661" s="42" t="n">
        <x:v>0.23496539415225037</x:v>
      </x:c>
      <x:c r="AL6661" s="42" t="n">
        <x:v>0.3330147014620778</x:v>
      </x:c>
      <x:c r="AM6661" t="n">
        <x:f>CHOOSE('假设'!$B$3,AJ6661,AK6661,AL6661)</x:f>
        <x:v>0.23496539415225037</x:v>
      </x:c>
      <x:c r="AN6661" t="n">
        <x:v>1</x:v>
      </x:c>
    </x:row>
    <x:row r="6662" ht="23" customHeight="1">
      <x:c r="A6662" s="11" t="str">
        <x:v>09995.HK</x:v>
      </x:c>
      <x:c r="B6662" s="11" t="str">
        <x:v>半年</x:v>
      </x:c>
      <x:c r="C6662" s="11" t="str">
        <x:v>centralCost</x:v>
      </x:c>
      <x:c r="D6662" s="11" t="str">
        <x:v>2040-12-31</x:v>
      </x:c>
      <x:c r="E6662" s="11" t="str">
        <x:v>CNY</x:v>
      </x:c>
      <x:c r="F6662" s="11" t="n">
        <x:v>13.730321697467488</x:v>
      </x:c>
      <x:c r="G6662" s="26" t="b">
        <x:v>1</x:v>
      </x:c>
      <x:c r="H6662" s="16" t="n">
        <x:v>0</x:v>
      </x:c>
      <x:c r="I6662" s="16" t="n">
        <x:v>0</x:v>
      </x:c>
      <x:c r="J6662" s="16" t="n">
        <x:v>0</x:v>
      </x:c>
      <x:c r="K6662" s="11" t="n">
        <x:f>CHOOSE('假设'!$B$3,H6662,I6662,J6662)</x:f>
        <x:v>0</x:v>
      </x:c>
      <x:c r="L6662" s="11" t="n">
        <x:f>K6662*'管线假设'!E1423*'管线假设'!F1423*'管线假设'!G1423*IF(E6662="USD",'管线假设'!I1423,1)-AM6662</x:f>
        <x:v>-0.24201435597681792</x:v>
      </x:c>
      <x:c r="M6662" s="11" t="n">
        <x:f>'管线假设'!H1423</x:f>
        <x:v>0.14</x:v>
      </x:c>
      <x:c r="N6662" s="11" t="n">
        <x:f>IF(G6662,L6662*AN6662/(1+M6662)^F6662,0)</x:f>
        <x:v>-0.040042318297758894</x:v>
      </x:c>
      <x:c r="AJ6662" s="42" t="n">
        <x:v>0.19663666423116455</x:v>
      </x:c>
      <x:c r="AK6662" s="42" t="n">
        <x:v>0.24201435597681792</x:v>
      </x:c>
      <x:c r="AL6662" s="42" t="n">
        <x:v>0.3463352895205609</x:v>
      </x:c>
      <x:c r="AM6662" t="n">
        <x:f>CHOOSE('假设'!$B$3,AJ6662,AK6662,AL6662)</x:f>
        <x:v>0.24201435597681792</x:v>
      </x:c>
      <x:c r="AN6662" t="n">
        <x:v>1</x:v>
      </x:c>
    </x:row>
    <x:row r="6663" ht="23" customHeight="1">
      <x:c r="A6663" s="11" t="str">
        <x:v>09995.HK</x:v>
      </x:c>
      <x:c r="B6663" s="11" t="str">
        <x:v>半年</x:v>
      </x:c>
      <x:c r="C6663" s="11" t="str">
        <x:v>centralCost</x:v>
      </x:c>
      <x:c r="D6663" s="11" t="str">
        <x:v>2041-12-31</x:v>
      </x:c>
      <x:c r="E6663" s="11" t="str">
        <x:v>CNY</x:v>
      </x:c>
      <x:c r="F6663" s="11" t="n">
        <x:v>14.729637234770705</x:v>
      </x:c>
      <x:c r="G6663" s="26" t="b">
        <x:v>1</x:v>
      </x:c>
      <x:c r="H6663" s="16" t="n">
        <x:v>0</x:v>
      </x:c>
      <x:c r="I6663" s="16" t="n">
        <x:v>0</x:v>
      </x:c>
      <x:c r="J6663" s="16" t="n">
        <x:v>0</x:v>
      </x:c>
      <x:c r="K6663" s="11" t="n">
        <x:f>CHOOSE('假设'!$B$3,H6663,I6663,J6663)</x:f>
        <x:v>0</x:v>
      </x:c>
      <x:c r="L6663" s="11" t="n">
        <x:f>K6663*'管线假设'!E1423*'管线假设'!F1423*'管线假设'!G1423*IF(E6663="USD",'管线假设'!I1423,1)-AM6663</x:f>
        <x:v>-0.24927478665612243</x:v>
      </x:c>
      <x:c r="M6663" s="11" t="n">
        <x:f>'管线假设'!H1423</x:f>
        <x:v>0.14</x:v>
      </x:c>
      <x:c r="N6663" s="11" t="n">
        <x:f>IF(G6663,L6663*AN6663/(1+M6663)^F6663,0)</x:f>
        <x:v>-0.036181830614698034</x:v>
      </x:c>
      <x:c r="AJ6663" s="42" t="n">
        <x:v>0.20253576415809946</x:v>
      </x:c>
      <x:c r="AK6663" s="42" t="n">
        <x:v>0.24927478665612243</x:v>
      </x:c>
      <x:c r="AL6663" s="42" t="n">
        <x:v>0.36018870110138335</x:v>
      </x:c>
      <x:c r="AM6663" t="n">
        <x:f>CHOOSE('假设'!$B$3,AJ6663,AK6663,AL6663)</x:f>
        <x:v>0.24927478665612243</x:v>
      </x:c>
      <x:c r="AN6663" t="n">
        <x:v>1</x:v>
      </x:c>
    </x:row>
    <x:row r="6664" ht="23" customHeight="1">
      <x:c r="A6664" s="11" t="str">
        <x:v>09995.HK</x:v>
      </x:c>
      <x:c r="B6664" s="11" t="str">
        <x:v>半年</x:v>
      </x:c>
      <x:c r="C6664" s="11" t="str">
        <x:v>centralCost</x:v>
      </x:c>
      <x:c r="D6664" s="11" t="str">
        <x:v>2042-12-31</x:v>
      </x:c>
      <x:c r="E6664" s="11" t="str">
        <x:v>CNY</x:v>
      </x:c>
      <x:c r="F6664" s="11" t="n">
        <x:v>15.728952772073923</x:v>
      </x:c>
      <x:c r="G6664" s="26" t="b">
        <x:v>1</x:v>
      </x:c>
      <x:c r="H6664" s="16" t="n">
        <x:v>0</x:v>
      </x:c>
      <x:c r="I6664" s="16" t="n">
        <x:v>0</x:v>
      </x:c>
      <x:c r="J6664" s="16" t="n">
        <x:v>0</x:v>
      </x:c>
      <x:c r="K6664" s="11" t="n">
        <x:f>CHOOSE('假设'!$B$3,H6664,I6664,J6664)</x:f>
        <x:v>0</x:v>
      </x:c>
      <x:c r="L6664" s="11" t="n">
        <x:f>K6664*'管线假设'!E1423*'管线假设'!F1423*'管线假设'!G1423*IF(E6664="USD",'管线假设'!I1423,1)-AM6664</x:f>
        <x:v>-0.2567530302558061</x:v>
      </x:c>
      <x:c r="M6664" s="11" t="n">
        <x:f>'管线假设'!H1423</x:f>
        <x:v>0.14</x:v>
      </x:c>
      <x:c r="N6664" s="11" t="n">
        <x:f>IF(G6664,L6664*AN6664/(1+M6664)^F6664,0)</x:f>
        <x:v>-0.03269353329884422</x:v>
      </x:c>
      <x:c r="AJ6664" s="42" t="n">
        <x:v>0.20861183708284248</x:v>
      </x:c>
      <x:c r="AK6664" s="42" t="n">
        <x:v>0.2567530302558061</x:v>
      </x:c>
      <x:c r="AL6664" s="42" t="n">
        <x:v>0.37459624914543865</x:v>
      </x:c>
      <x:c r="AM6664" t="n">
        <x:f>CHOOSE('假设'!$B$3,AJ6664,AK6664,AL6664)</x:f>
        <x:v>0.2567530302558061</x:v>
      </x:c>
      <x:c r="AN6664" t="n">
        <x:v>1</x:v>
      </x:c>
    </x:row>
    <x:row r="6665" ht="23" customHeight="1">
      <x:c r="A6665" s="11" t="str">
        <x:v>09995.HK</x:v>
      </x:c>
      <x:c r="B6665" s="11" t="str">
        <x:v>半年</x:v>
      </x:c>
      <x:c r="C6665" s="11" t="str">
        <x:v>centralCost</x:v>
      </x:c>
      <x:c r="D6665" s="11" t="str">
        <x:v>2043-12-31</x:v>
      </x:c>
      <x:c r="E6665" s="11" t="str">
        <x:v>CNY</x:v>
      </x:c>
      <x:c r="F6665" s="11" t="n">
        <x:v>16.72826830937714</x:v>
      </x:c>
      <x:c r="G6665" s="26" t="b">
        <x:v>1</x:v>
      </x:c>
      <x:c r="H6665" s="16" t="n">
        <x:v>0</x:v>
      </x:c>
      <x:c r="I6665" s="16" t="n">
        <x:v>0</x:v>
      </x:c>
      <x:c r="J6665" s="16" t="n">
        <x:v>0</x:v>
      </x:c>
      <x:c r="K6665" s="11" t="n">
        <x:f>CHOOSE('假设'!$B$3,H6665,I6665,J6665)</x:f>
        <x:v>0</x:v>
      </x:c>
      <x:c r="L6665" s="11" t="n">
        <x:f>K6665*'管线假设'!E1423*'管线假设'!F1423*'管线假设'!G1423*IF(E6665="USD",'管线假设'!I1423,1)-AM6665</x:f>
        <x:v>-0.2644556211634803</x:v>
      </x:c>
      <x:c r="M6665" s="11" t="n">
        <x:f>'管线假设'!H1423</x:f>
        <x:v>0.14</x:v>
      </x:c>
      <x:c r="N6665" s="11" t="n">
        <x:f>IF(G6665,L6665*AN6665/(1+M6665)^F6665,0)</x:f>
        <x:v>-0.02954154340461794</x:v>
      </x:c>
      <x:c r="AJ6665" s="42" t="n">
        <x:v>0.21487019219532774</x:v>
      </x:c>
      <x:c r="AK6665" s="42" t="n">
        <x:v>0.2644556211634803</x:v>
      </x:c>
      <x:c r="AL6665" s="42" t="n">
        <x:v>0.38958009911125624</x:v>
      </x:c>
      <x:c r="AM6665" t="n">
        <x:f>CHOOSE('假设'!$B$3,AJ6665,AK6665,AL6665)</x:f>
        <x:v>0.2644556211634803</x:v>
      </x:c>
      <x:c r="AN6665" t="n">
        <x:v>1</x:v>
      </x:c>
    </x:row>
    <x:row r="6666" ht="23" customHeight="1">
      <x:c r="A6666" s="11" t="str">
        <x:v>09995.HK</x:v>
      </x:c>
      <x:c r="B6666" s="11" t="str">
        <x:v>半年</x:v>
      </x:c>
      <x:c r="C6666" s="11" t="str">
        <x:v>centralCost</x:v>
      </x:c>
      <x:c r="D6666" s="11" t="str">
        <x:v>2044-12-31</x:v>
      </x:c>
      <x:c r="E6666" s="11" t="str">
        <x:v>CNY</x:v>
      </x:c>
      <x:c r="F6666" s="11" t="n">
        <x:v>17.730321697467488</x:v>
      </x:c>
      <x:c r="G6666" s="26" t="b">
        <x:v>1</x:v>
      </x:c>
      <x:c r="H6666" s="16" t="n">
        <x:v>0</x:v>
      </x:c>
      <x:c r="I6666" s="16" t="n">
        <x:v>0</x:v>
      </x:c>
      <x:c r="J6666" s="16" t="n">
        <x:v>0</x:v>
      </x:c>
      <x:c r="K6666" s="11" t="n">
        <x:f>CHOOSE('假设'!$B$3,H6666,I6666,J6666)</x:f>
        <x:v>0</x:v>
      </x:c>
      <x:c r="L6666" s="11" t="n">
        <x:f>K6666*'管线假设'!E1423*'管线假设'!F1423*'管线假设'!G1423*IF(E6666="USD",'管线假设'!I1423,1)-AM6666</x:f>
        <x:v>-0.2723892897983847</x:v>
      </x:c>
      <x:c r="M6666" s="11" t="n">
        <x:f>'管线假设'!H1423</x:f>
        <x:v>0.14</x:v>
      </x:c>
      <x:c r="N6666" s="11" t="n">
        <x:f>IF(G6666,L6666*AN6666/(1+M6666)^F6666,0)</x:f>
        <x:v>-0.026683863293111554</x:v>
      </x:c>
      <x:c r="AJ6666" s="42" t="n">
        <x:v>0.2213162979611876</x:v>
      </x:c>
      <x:c r="AK6666" s="42" t="n">
        <x:v>0.2723892897983847</x:v>
      </x:c>
      <x:c r="AL6666" s="42" t="n">
        <x:v>0.4051633030757065</x:v>
      </x:c>
      <x:c r="AM6666" t="n">
        <x:f>CHOOSE('假设'!$B$3,AJ6666,AK6666,AL6666)</x:f>
        <x:v>0.2723892897983847</x:v>
      </x:c>
      <x:c r="AN6666" t="n">
        <x:v>1</x:v>
      </x:c>
    </x:row>
    <x:row r="6667" ht="23" customHeight="1">
      <x:c r="A6667" s="11" t="str">
        <x:v>09995.HK</x:v>
      </x:c>
      <x:c r="B6667" s="11" t="str">
        <x:v>一年</x:v>
      </x:c>
      <x:c r="C6667" s="11" t="str">
        <x:v>RC18_approved_China</x:v>
      </x:c>
      <x:c r="D6667" s="11" t="str">
        <x:v>2026-12-31</x:v>
      </x:c>
      <x:c r="E6667" s="11" t="str">
        <x:v>CNY</x:v>
      </x:c>
      <x:c r="F6667" s="11" t="n">
        <x:v>-0.7720739219712526</x:v>
      </x:c>
      <x:c r="G6667" s="26" t="b">
        <x:v>0</x:v>
      </x:c>
      <x:c r="H6667" s="16" t="n">
        <x:v>1.65</x:v>
      </x:c>
      <x:c r="I6667" s="16" t="n">
        <x:v>2</x:v>
      </x:c>
      <x:c r="J6667" s="16" t="n">
        <x:v>2.3</x:v>
      </x:c>
      <x:c r="K6667" s="11" t="n">
        <x:f>CHOOSE('假设'!$B$3,H6667,I6667,J6667)</x:f>
        <x:v>2</x:v>
      </x:c>
      <x:c r="L6667" s="11" t="n">
        <x:f>K6667*'管线假设'!E1427*'管线假设'!F1427*'管线假设'!G1427*IF(E6667="USD",'管线假设'!I1427,1)-AM6667</x:f>
        <x:v>0.6941999999999999</x:v>
      </x:c>
      <x:c r="M6667" s="11" t="n">
        <x:f>'管线假设'!H1427</x:f>
        <x:v>0.14</x:v>
      </x:c>
      <x:c r="N6667" s="11" t="n">
        <x:f>IF(G6667,L6667*AN6667/(1+M6667)^F6667,0)</x:f>
        <x:v>0</x:v>
      </x:c>
      <x:c r="AJ6667" s="42" t="n">
        <x:v>0.08</x:v>
      </x:c>
      <x:c r="AK6667" s="42" t="n">
        <x:v>0.14</x:v>
      </x:c>
      <x:c r="AL6667" s="42" t="n">
        <x:v>0.2</x:v>
      </x:c>
      <x:c r="AM6667" t="n">
        <x:f>CHOOSE('假设'!$B$3,AJ6667,AK6667,AL6667)</x:f>
        <x:v>0.14</x:v>
      </x:c>
      <x:c r="AN6667" t="n">
        <x:v>0</x:v>
      </x:c>
    </x:row>
    <x:row r="6668" ht="23" customHeight="1">
      <x:c r="A6668" s="11" t="str">
        <x:v>09995.HK</x:v>
      </x:c>
      <x:c r="B6668" s="11" t="str">
        <x:v>一年</x:v>
      </x:c>
      <x:c r="C6668" s="11" t="str">
        <x:v>RC18_approved_China</x:v>
      </x:c>
      <x:c r="D6668" s="11" t="str">
        <x:v>2027-12-31</x:v>
      </x:c>
      <x:c r="E6668" s="11" t="str">
        <x:v>CNY</x:v>
      </x:c>
      <x:c r="F6668" s="11" t="n">
        <x:v>0.2272416153319644</x:v>
      </x:c>
      <x:c r="G6668" s="26" t="b">
        <x:v>1</x:v>
      </x:c>
      <x:c r="H6668" s="16" t="n">
        <x:v>1.8</x:v>
      </x:c>
      <x:c r="I6668" s="16" t="n">
        <x:v>2.7</x:v>
      </x:c>
      <x:c r="J6668" s="16" t="n">
        <x:v>3.5</x:v>
      </x:c>
      <x:c r="K6668" s="11" t="n">
        <x:f>CHOOSE('假设'!$B$3,H6668,I6668,J6668)</x:f>
        <x:v>2.7</x:v>
      </x:c>
      <x:c r="L6668" s="11" t="n">
        <x:f>K6668*'管线假设'!E1427*'管线假设'!F1427*'管线假设'!G1427*IF(E6668="USD",'管线假设'!I1427,1)-AM6668</x:f>
        <x:v>1.00617</x:v>
      </x:c>
      <x:c r="M6668" s="11" t="n">
        <x:f>'管线假设'!H1427</x:f>
        <x:v>0.14</x:v>
      </x:c>
      <x:c r="N6668" s="11" t="n">
        <x:f>IF(G6668,L6668*AN6668/(1+M6668)^F6668,0)</x:f>
        <x:v>0.22269831068433635</x:v>
      </x:c>
      <x:c r="AJ6668" s="42" t="n">
        <x:v>0.08</x:v>
      </x:c>
      <x:c r="AK6668" s="42" t="n">
        <x:v>0.12</x:v>
      </x:c>
      <x:c r="AL6668" s="42" t="n">
        <x:v>0.18</x:v>
      </x:c>
      <x:c r="AM6668" t="n">
        <x:f>CHOOSE('假设'!$B$3,AJ6668,AK6668,AL6668)</x:f>
        <x:v>0.12</x:v>
      </x:c>
      <x:c r="AN6668" t="n">
        <x:v>0.22802197802197802</x:v>
      </x:c>
    </x:row>
    <x:row r="6669" ht="23" customHeight="1">
      <x:c r="A6669" s="11" t="str">
        <x:v>09995.HK</x:v>
      </x:c>
      <x:c r="B6669" s="11" t="str">
        <x:v>一年</x:v>
      </x:c>
      <x:c r="C6669" s="11" t="str">
        <x:v>RC18_approved_China</x:v>
      </x:c>
      <x:c r="D6669" s="11" t="str">
        <x:v>2028-12-31</x:v>
      </x:c>
      <x:c r="E6669" s="11" t="str">
        <x:v>CNY</x:v>
      </x:c>
      <x:c r="F6669" s="11" t="n">
        <x:v>1.2292950034223136</x:v>
      </x:c>
      <x:c r="G6669" s="26" t="b">
        <x:v>1</x:v>
      </x:c>
      <x:c r="H6669" s="16" t="n">
        <x:v>1.95</x:v>
      </x:c>
      <x:c r="I6669" s="16" t="n">
        <x:v>3.5</x:v>
      </x:c>
      <x:c r="J6669" s="16" t="n">
        <x:v>5</x:v>
      </x:c>
      <x:c r="K6669" s="11" t="n">
        <x:f>CHOOSE('假设'!$B$3,H6669,I6669,J6669)</x:f>
        <x:v>3.5</x:v>
      </x:c>
      <x:c r="L6669" s="11" t="n">
        <x:f>K6669*'管线假设'!E1427*'管线假设'!F1427*'管线假设'!G1427*IF(E6669="USD",'管线假设'!I1427,1)-AM6669</x:f>
        <x:v>1.37985</x:v>
      </x:c>
      <x:c r="M6669" s="11" t="n">
        <x:f>'管线假设'!H1427</x:f>
        <x:v>0.14</x:v>
      </x:c>
      <x:c r="N6669" s="11" t="n">
        <x:f>IF(G6669,L6669*AN6669/(1+M6669)^F6669,0)</x:f>
        <x:v>1.1745703361094701</x:v>
      </x:c>
      <x:c r="AJ6669" s="42" t="n">
        <x:v>0.05</x:v>
      </x:c>
      <x:c r="AK6669" s="42" t="n">
        <x:v>0.08</x:v>
      </x:c>
      <x:c r="AL6669" s="42" t="n">
        <x:v>0.13</x:v>
      </x:c>
      <x:c r="AM6669" t="n">
        <x:f>CHOOSE('假设'!$B$3,AJ6669,AK6669,AL6669)</x:f>
        <x:v>0.08</x:v>
      </x:c>
      <x:c r="AN6669" t="n">
        <x:v>1</x:v>
      </x:c>
    </x:row>
    <x:row r="6670" ht="23" customHeight="1">
      <x:c r="A6670" s="11" t="str">
        <x:v>09995.HK</x:v>
      </x:c>
      <x:c r="B6670" s="11" t="str">
        <x:v>一年</x:v>
      </x:c>
      <x:c r="C6670" s="11" t="str">
        <x:v>RC18_approved_China</x:v>
      </x:c>
      <x:c r="D6670" s="11" t="str">
        <x:v>2029-12-31</x:v>
      </x:c>
      <x:c r="E6670" s="11" t="str">
        <x:v>CNY</x:v>
      </x:c>
      <x:c r="F6670" s="11" t="n">
        <x:v>2.2286105407255303</x:v>
      </x:c>
      <x:c r="G6670" s="26" t="b">
        <x:v>1</x:v>
      </x:c>
      <x:c r="H6670" s="16" t="n">
        <x:v>2.1</x:v>
      </x:c>
      <x:c r="I6670" s="16" t="n">
        <x:v>4.4</x:v>
      </x:c>
      <x:c r="J6670" s="16" t="n">
        <x:v>6.7</x:v>
      </x:c>
      <x:c r="K6670" s="11" t="n">
        <x:f>CHOOSE('假设'!$B$3,H6670,I6670,J6670)</x:f>
        <x:v>4.4</x:v>
      </x:c>
      <x:c r="L6670" s="11" t="n">
        <x:f>K6670*'管线假设'!E1427*'管线假设'!F1427*'管线假设'!G1427*IF(E6670="USD",'管线假设'!I1427,1)-AM6670</x:f>
        <x:v>1.77524</x:v>
      </x:c>
      <x:c r="M6670" s="11" t="n">
        <x:f>'管线假设'!H1427</x:f>
        <x:v>0.14</x:v>
      </x:c>
      <x:c r="N6670" s="11" t="n">
        <x:f>IF(G6670,L6670*AN6670/(1+M6670)^F6670,0)</x:f>
        <x:v>1.3256788373572772</x:v>
      </x:c>
      <x:c r="AJ6670" s="42" t="n">
        <x:v>0</x:v>
      </x:c>
      <x:c r="AK6670" s="42" t="n">
        <x:v>0.06</x:v>
      </x:c>
      <x:c r="AL6670" s="42" t="n">
        <x:v>0.1</x:v>
      </x:c>
      <x:c r="AM6670" t="n">
        <x:f>CHOOSE('假设'!$B$3,AJ6670,AK6670,AL6670)</x:f>
        <x:v>0.06</x:v>
      </x:c>
      <x:c r="AN6670" t="n">
        <x:v>1</x:v>
      </x:c>
    </x:row>
    <x:row r="6671" ht="23" customHeight="1">
      <x:c r="A6671" s="11" t="str">
        <x:v>09995.HK</x:v>
      </x:c>
      <x:c r="B6671" s="11" t="str">
        <x:v>一年</x:v>
      </x:c>
      <x:c r="C6671" s="11" t="str">
        <x:v>RC18_approved_China</x:v>
      </x:c>
      <x:c r="D6671" s="11" t="str">
        <x:v>2030-12-31</x:v>
      </x:c>
      <x:c r="E6671" s="11" t="str">
        <x:v>CNY</x:v>
      </x:c>
      <x:c r="F6671" s="11" t="n">
        <x:v>3.2279260780287475</x:v>
      </x:c>
      <x:c r="G6671" s="26" t="b">
        <x:v>1</x:v>
      </x:c>
      <x:c r="H6671" s="16" t="n">
        <x:v>2.2</x:v>
      </x:c>
      <x:c r="I6671" s="16" t="n">
        <x:v>5.3</x:v>
      </x:c>
      <x:c r="J6671" s="16" t="n">
        <x:v>8.5</x:v>
      </x:c>
      <x:c r="K6671" s="11" t="n">
        <x:f>CHOOSE('假设'!$B$3,H6671,I6671,J6671)</x:f>
        <x:v>5.3</x:v>
      </x:c>
      <x:c r="L6671" s="11" t="n">
        <x:f>K6671*'管线假设'!E1427*'管线假设'!F1427*'管线假设'!G1427*IF(E6671="USD",'管线假设'!I1427,1)-AM6671</x:f>
        <x:v>2.21063</x:v>
      </x:c>
      <x:c r="M6671" s="11" t="n">
        <x:f>'管线假设'!H1427</x:f>
        <x:v>0.14</x:v>
      </x:c>
      <x:c r="N6671" s="11" t="n">
        <x:f>IF(G6671,L6671*AN6671/(1+M6671)^F6671,0)</x:f>
        <x:v>1.448209546023988</x:v>
      </x:c>
      <x:c r="AJ6671" s="42" t="n">
        <x:v>0</x:v>
      </x:c>
      <x:c r="AK6671" s="42" t="n">
        <x:v>0</x:v>
      </x:c>
      <x:c r="AL6671" s="42" t="n">
        <x:v>0</x:v>
      </x:c>
      <x:c r="AM6671" t="n">
        <x:f>CHOOSE('假设'!$B$3,AJ6671,AK6671,AL6671)</x:f>
        <x:v>0</x:v>
      </x:c>
      <x:c r="AN6671" t="n">
        <x:v>1</x:v>
      </x:c>
    </x:row>
    <x:row r="6672" ht="23" customHeight="1">
      <x:c r="A6672" s="11" t="str">
        <x:v>09995.HK</x:v>
      </x:c>
      <x:c r="B6672" s="11" t="str">
        <x:v>一年</x:v>
      </x:c>
      <x:c r="C6672" s="11" t="str">
        <x:v>RC18_approved_China</x:v>
      </x:c>
      <x:c r="D6672" s="11" t="str">
        <x:v>2031-12-31</x:v>
      </x:c>
      <x:c r="E6672" s="11" t="str">
        <x:v>CNY</x:v>
      </x:c>
      <x:c r="F6672" s="11" t="n">
        <x:v>4.227241615331964</x:v>
      </x:c>
      <x:c r="G6672" s="26" t="b">
        <x:v>1</x:v>
      </x:c>
      <x:c r="H6672" s="16" t="n">
        <x:v>2.25</x:v>
      </x:c>
      <x:c r="I6672" s="16" t="n">
        <x:v>6.1</x:v>
      </x:c>
      <x:c r="J6672" s="16" t="n">
        <x:v>10</x:v>
      </x:c>
      <x:c r="K6672" s="11" t="n">
        <x:f>CHOOSE('假设'!$B$3,H6672,I6672,J6672)</x:f>
        <x:v>6.1</x:v>
      </x:c>
      <x:c r="L6672" s="11" t="n">
        <x:f>K6672*'管线假设'!E1427*'管线假设'!F1427*'管线假设'!G1427*IF(E6672="USD",'管线假设'!I1427,1)-AM6672</x:f>
        <x:v>2.54431</x:v>
      </x:c>
      <x:c r="M6672" s="11" t="n">
        <x:f>'管线假设'!H1427</x:f>
        <x:v>0.14</x:v>
      </x:c>
      <x:c r="N6672" s="11" t="n">
        <x:f>IF(G6672,L6672*AN6672/(1+M6672)^F6672,0)</x:f>
        <x:v>1.4622427244909277</x:v>
      </x:c>
      <x:c r="AJ6672" s="42" t="n">
        <x:v>0</x:v>
      </x:c>
      <x:c r="AK6672" s="42" t="n">
        <x:v>0</x:v>
      </x:c>
      <x:c r="AL6672" s="42" t="n">
        <x:v>0</x:v>
      </x:c>
      <x:c r="AM6672" t="n">
        <x:f>CHOOSE('假设'!$B$3,AJ6672,AK6672,AL6672)</x:f>
        <x:v>0</x:v>
      </x:c>
      <x:c r="AN6672" t="n">
        <x:v>1</x:v>
      </x:c>
    </x:row>
    <x:row r="6673" ht="23" customHeight="1">
      <x:c r="A6673" s="11" t="str">
        <x:v>09995.HK</x:v>
      </x:c>
      <x:c r="B6673" s="11" t="str">
        <x:v>一年</x:v>
      </x:c>
      <x:c r="C6673" s="11" t="str">
        <x:v>RC18_approved_China</x:v>
      </x:c>
      <x:c r="D6673" s="11" t="str">
        <x:v>2032-12-31</x:v>
      </x:c>
      <x:c r="E6673" s="11" t="str">
        <x:v>CNY</x:v>
      </x:c>
      <x:c r="F6673" s="11" t="n">
        <x:v>5.229295003422314</x:v>
      </x:c>
      <x:c r="G6673" s="26" t="b">
        <x:v>1</x:v>
      </x:c>
      <x:c r="H6673" s="16" t="n">
        <x:v>2.2</x:v>
      </x:c>
      <x:c r="I6673" s="16" t="n">
        <x:v>6.7</x:v>
      </x:c>
      <x:c r="J6673" s="16" t="n">
        <x:v>11</x:v>
      </x:c>
      <x:c r="K6673" s="11" t="n">
        <x:f>CHOOSE('假设'!$B$3,H6673,I6673,J6673)</x:f>
        <x:v>6.7</x:v>
      </x:c>
      <x:c r="L6673" s="11" t="n">
        <x:f>K6673*'管线假设'!E1427*'管线假设'!F1427*'管线假设'!G1427*IF(E6673="USD",'管线假设'!I1427,1)-AM6673</x:f>
        <x:v>2.7945699999999998</x:v>
      </x:c>
      <x:c r="M6673" s="11" t="n">
        <x:f>'管线假设'!H1427</x:f>
        <x:v>0.14</x:v>
      </x:c>
      <x:c r="N6673" s="11" t="n">
        <x:f>IF(G6673,L6673*AN6673/(1+M6673)^F6673,0)</x:f>
        <x:v>1.4084542278381957</x:v>
      </x:c>
      <x:c r="AJ6673" s="42" t="n">
        <x:v>0</x:v>
      </x:c>
      <x:c r="AK6673" s="42" t="n">
        <x:v>0</x:v>
      </x:c>
      <x:c r="AL6673" s="42" t="n">
        <x:v>0</x:v>
      </x:c>
      <x:c r="AM6673" t="n">
        <x:f>CHOOSE('假设'!$B$3,AJ6673,AK6673,AL6673)</x:f>
        <x:v>0</x:v>
      </x:c>
      <x:c r="AN6673" t="n">
        <x:v>1</x:v>
      </x:c>
    </x:row>
    <x:row r="6674" ht="23" customHeight="1">
      <x:c r="A6674" s="11" t="str">
        <x:v>09995.HK</x:v>
      </x:c>
      <x:c r="B6674" s="11" t="str">
        <x:v>一年</x:v>
      </x:c>
      <x:c r="C6674" s="11" t="str">
        <x:v>RC18_approved_China</x:v>
      </x:c>
      <x:c r="D6674" s="11" t="str">
        <x:v>2033-12-31</x:v>
      </x:c>
      <x:c r="E6674" s="11" t="str">
        <x:v>CNY</x:v>
      </x:c>
      <x:c r="F6674" s="11" t="n">
        <x:v>6.228610540725531</x:v>
      </x:c>
      <x:c r="G6674" s="26" t="b">
        <x:v>1</x:v>
      </x:c>
      <x:c r="H6674" s="16" t="n">
        <x:v>2.1</x:v>
      </x:c>
      <x:c r="I6674" s="16" t="n">
        <x:v>7.2</x:v>
      </x:c>
      <x:c r="J6674" s="16" t="n">
        <x:v>12</x:v>
      </x:c>
      <x:c r="K6674" s="11" t="n">
        <x:f>CHOOSE('假设'!$B$3,H6674,I6674,J6674)</x:f>
        <x:v>7.2</x:v>
      </x:c>
      <x:c r="L6674" s="11" t="n">
        <x:f>K6674*'管线假设'!E1427*'管线假设'!F1427*'管线假设'!G1427*IF(E6674="USD",'管线假设'!I1427,1)-AM6674</x:f>
        <x:v>3.00312</x:v>
      </x:c>
      <x:c r="M6674" s="11" t="n">
        <x:f>'管线假设'!H1427</x:f>
        <x:v>0.14</x:v>
      </x:c>
      <x:c r="N6674" s="11" t="n">
        <x:f>IF(G6674,L6674*AN6674/(1+M6674)^F6674,0)</x:f>
        <x:v>1.3278057023587158</x:v>
      </x:c>
      <x:c r="AJ6674" s="42" t="n">
        <x:v>0</x:v>
      </x:c>
      <x:c r="AK6674" s="42" t="n">
        <x:v>0</x:v>
      </x:c>
      <x:c r="AL6674" s="42" t="n">
        <x:v>0</x:v>
      </x:c>
      <x:c r="AM6674" t="n">
        <x:f>CHOOSE('假设'!$B$3,AJ6674,AK6674,AL6674)</x:f>
        <x:v>0</x:v>
      </x:c>
      <x:c r="AN6674" t="n">
        <x:v>1</x:v>
      </x:c>
    </x:row>
    <x:row r="6675" ht="23" customHeight="1">
      <x:c r="A6675" s="11" t="str">
        <x:v>09995.HK</x:v>
      </x:c>
      <x:c r="B6675" s="11" t="str">
        <x:v>一年</x:v>
      </x:c>
      <x:c r="C6675" s="11" t="str">
        <x:v>RC18_approved_China</x:v>
      </x:c>
      <x:c r="D6675" s="11" t="str">
        <x:v>2034-12-31</x:v>
      </x:c>
      <x:c r="E6675" s="11" t="str">
        <x:v>CNY</x:v>
      </x:c>
      <x:c r="F6675" s="11" t="n">
        <x:v>7.227926078028747</x:v>
      </x:c>
      <x:c r="G6675" s="26" t="b">
        <x:v>1</x:v>
      </x:c>
      <x:c r="H6675" s="16" t="n">
        <x:v>2</x:v>
      </x:c>
      <x:c r="I6675" s="16" t="n">
        <x:v>7.5</x:v>
      </x:c>
      <x:c r="J6675" s="16" t="n">
        <x:v>13</x:v>
      </x:c>
      <x:c r="K6675" s="11" t="n">
        <x:f>CHOOSE('假设'!$B$3,H6675,I6675,J6675)</x:f>
        <x:v>7.5</x:v>
      </x:c>
      <x:c r="L6675" s="11" t="n">
        <x:f>K6675*'管线假设'!E1427*'管线假设'!F1427*'管线假设'!G1427*IF(E6675="USD",'管线假设'!I1427,1)-AM6675</x:f>
        <x:v>3.1282499999999995</x:v>
      </x:c>
      <x:c r="M6675" s="11" t="n">
        <x:f>'管线假设'!H1427</x:f>
        <x:v>0.14</x:v>
      </x:c>
      <x:c r="N6675" s="11" t="n">
        <x:f>IF(G6675,L6675*AN6675/(1+M6675)^F6675,0)</x:f>
        <x:v>1.2133815703302437</x:v>
      </x:c>
      <x:c r="AJ6675" s="42" t="n">
        <x:v>0</x:v>
      </x:c>
      <x:c r="AK6675" s="42" t="n">
        <x:v>0</x:v>
      </x:c>
      <x:c r="AL6675" s="42" t="n">
        <x:v>0</x:v>
      </x:c>
      <x:c r="AM6675" t="n">
        <x:f>CHOOSE('假设'!$B$3,AJ6675,AK6675,AL6675)</x:f>
        <x:v>0</x:v>
      </x:c>
      <x:c r="AN6675" t="n">
        <x:v>1</x:v>
      </x:c>
    </x:row>
    <x:row r="6676" ht="23" customHeight="1">
      <x:c r="A6676" s="11" t="str">
        <x:v>09995.HK</x:v>
      </x:c>
      <x:c r="B6676" s="11" t="str">
        <x:v>一年</x:v>
      </x:c>
      <x:c r="C6676" s="11" t="str">
        <x:v>RC18_approved_China</x:v>
      </x:c>
      <x:c r="D6676" s="11" t="str">
        <x:v>2035-12-31</x:v>
      </x:c>
      <x:c r="E6676" s="11" t="str">
        <x:v>CNY</x:v>
      </x:c>
      <x:c r="F6676" s="11" t="n">
        <x:v>8.227241615331964</x:v>
      </x:c>
      <x:c r="G6676" s="26" t="b">
        <x:v>1</x:v>
      </x:c>
      <x:c r="H6676" s="16" t="n">
        <x:v>1.8</x:v>
      </x:c>
      <x:c r="I6676" s="16" t="n">
        <x:v>7.5</x:v>
      </x:c>
      <x:c r="J6676" s="16" t="n">
        <x:v>13</x:v>
      </x:c>
      <x:c r="K6676" s="11" t="n">
        <x:f>CHOOSE('假设'!$B$3,H6676,I6676,J6676)</x:f>
        <x:v>7.5</x:v>
      </x:c>
      <x:c r="L6676" s="11" t="n">
        <x:f>K6676*'管线假设'!E1427*'管线假设'!F1427*'管线假设'!G1427*IF(E6676="USD",'管线假设'!I1427,1)-AM6676</x:f>
        <x:v>3.1282499999999995</x:v>
      </x:c>
      <x:c r="M6676" s="11" t="n">
        <x:f>'管线假设'!H1427</x:f>
        <x:v>0.14</x:v>
      </x:c>
      <x:c r="N6676" s="11" t="n">
        <x:f>IF(G6676,L6676*AN6676/(1+M6676)^F6676,0)</x:f>
        <x:v>1.064465259712045</x:v>
      </x:c>
      <x:c r="AJ6676" s="42" t="n">
        <x:v>0</x:v>
      </x:c>
      <x:c r="AK6676" s="42" t="n">
        <x:v>0</x:v>
      </x:c>
      <x:c r="AL6676" s="42" t="n">
        <x:v>0</x:v>
      </x:c>
      <x:c r="AM6676" t="n">
        <x:f>CHOOSE('假设'!$B$3,AJ6676,AK6676,AL6676)</x:f>
        <x:v>0</x:v>
      </x:c>
      <x:c r="AN6676" t="n">
        <x:v>1</x:v>
      </x:c>
    </x:row>
    <x:row r="6677" ht="23" customHeight="1">
      <x:c r="A6677" s="11" t="str">
        <x:v>09995.HK</x:v>
      </x:c>
      <x:c r="B6677" s="11" t="str">
        <x:v>一年</x:v>
      </x:c>
      <x:c r="C6677" s="11" t="str">
        <x:v>RC18_approved_China</x:v>
      </x:c>
      <x:c r="D6677" s="11" t="str">
        <x:v>2036-12-31</x:v>
      </x:c>
      <x:c r="E6677" s="11" t="str">
        <x:v>CNY</x:v>
      </x:c>
      <x:c r="F6677" s="11" t="n">
        <x:v>9.229295003422314</x:v>
      </x:c>
      <x:c r="G6677" s="26" t="b">
        <x:v>1</x:v>
      </x:c>
      <x:c r="H6677" s="16" t="n">
        <x:v>1.6</x:v>
      </x:c>
      <x:c r="I6677" s="16" t="n">
        <x:v>7.4</x:v>
      </x:c>
      <x:c r="J6677" s="16" t="n">
        <x:v>12.8</x:v>
      </x:c>
      <x:c r="K6677" s="11" t="n">
        <x:f>CHOOSE('假设'!$B$3,H6677,I6677,J6677)</x:f>
        <x:v>7.4</x:v>
      </x:c>
      <x:c r="L6677" s="11" t="n">
        <x:f>K6677*'管线假设'!E1427*'管线假设'!F1427*'管线假设'!G1427*IF(E6677="USD",'管线假设'!I1427,1)-AM6677</x:f>
        <x:v>3.08654</x:v>
      </x:c>
      <x:c r="M6677" s="11" t="n">
        <x:f>'管线假设'!H1427</x:f>
        <x:v>0.14</x:v>
      </x:c>
      <x:c r="N6677" s="11" t="n">
        <x:f>IF(G6677,L6677*AN6677/(1+M6677)^F6677,0)</x:f>
        <x:v>0.921043727928992</x:v>
      </x:c>
      <x:c r="AJ6677" s="42" t="n">
        <x:v>0</x:v>
      </x:c>
      <x:c r="AK6677" s="42" t="n">
        <x:v>0</x:v>
      </x:c>
      <x:c r="AL6677" s="42" t="n">
        <x:v>0</x:v>
      </x:c>
      <x:c r="AM6677" t="n">
        <x:f>CHOOSE('假设'!$B$3,AJ6677,AK6677,AL6677)</x:f>
        <x:v>0</x:v>
      </x:c>
      <x:c r="AN6677" t="n">
        <x:v>1</x:v>
      </x:c>
    </x:row>
    <x:row r="6678" ht="23" customHeight="1">
      <x:c r="A6678" s="11" t="str">
        <x:v>09995.HK</x:v>
      </x:c>
      <x:c r="B6678" s="11" t="str">
        <x:v>一年</x:v>
      </x:c>
      <x:c r="C6678" s="11" t="str">
        <x:v>RC18_approved_China</x:v>
      </x:c>
      <x:c r="D6678" s="11" t="str">
        <x:v>2037-12-31</x:v>
      </x:c>
      <x:c r="E6678" s="11" t="str">
        <x:v>CNY</x:v>
      </x:c>
      <x:c r="F6678" s="11" t="n">
        <x:v>10.22861054072553</x:v>
      </x:c>
      <x:c r="G6678" s="26" t="b">
        <x:v>1</x:v>
      </x:c>
      <x:c r="H6678" s="16" t="n">
        <x:v>1.4</x:v>
      </x:c>
      <x:c r="I6678" s="16" t="n">
        <x:v>7.1</x:v>
      </x:c>
      <x:c r="J6678" s="16" t="n">
        <x:v>12</x:v>
      </x:c>
      <x:c r="K6678" s="11" t="n">
        <x:f>CHOOSE('假设'!$B$3,H6678,I6678,J6678)</x:f>
        <x:v>7.1</x:v>
      </x:c>
      <x:c r="L6678" s="11" t="n">
        <x:f>K6678*'管线假设'!E1427*'管线假设'!F1427*'管线假设'!G1427*IF(E6678="USD",'管线假设'!I1427,1)-AM6678</x:f>
        <x:v>2.96141</x:v>
      </x:c>
      <x:c r="M6678" s="11" t="n">
        <x:f>'管线假设'!H1427</x:f>
        <x:v>0.14</x:v>
      </x:c>
      <x:c r="N6678" s="11" t="n">
        <x:f>IF(G6678,L6678*AN6678/(1+M6678)^F6678,0)</x:f>
        <x:v>0.7752485745386807</x:v>
      </x:c>
      <x:c r="AJ6678" s="42" t="n">
        <x:v>0</x:v>
      </x:c>
      <x:c r="AK6678" s="42" t="n">
        <x:v>0</x:v>
      </x:c>
      <x:c r="AL6678" s="42" t="n">
        <x:v>0</x:v>
      </x:c>
      <x:c r="AM6678" t="n">
        <x:f>CHOOSE('假设'!$B$3,AJ6678,AK6678,AL6678)</x:f>
        <x:v>0</x:v>
      </x:c>
      <x:c r="AN6678" t="n">
        <x:v>1</x:v>
      </x:c>
    </x:row>
    <x:row r="6679" ht="23" customHeight="1">
      <x:c r="A6679" s="11" t="str">
        <x:v>09995.HK</x:v>
      </x:c>
      <x:c r="B6679" s="11" t="str">
        <x:v>一年</x:v>
      </x:c>
      <x:c r="C6679" s="11" t="str">
        <x:v>RC18_approved_China</x:v>
      </x:c>
      <x:c r="D6679" s="11" t="str">
        <x:v>2038-12-31</x:v>
      </x:c>
      <x:c r="E6679" s="11" t="str">
        <x:v>CNY</x:v>
      </x:c>
      <x:c r="F6679" s="11" t="n">
        <x:v>11.227926078028748</x:v>
      </x:c>
      <x:c r="G6679" s="26" t="b">
        <x:v>1</x:v>
      </x:c>
      <x:c r="H6679" s="16" t="n">
        <x:v>1.2</x:v>
      </x:c>
      <x:c r="I6679" s="16" t="n">
        <x:v>6.6</x:v>
      </x:c>
      <x:c r="J6679" s="16" t="n">
        <x:v>11</x:v>
      </x:c>
      <x:c r="K6679" s="11" t="n">
        <x:f>CHOOSE('假设'!$B$3,H6679,I6679,J6679)</x:f>
        <x:v>6.6</x:v>
      </x:c>
      <x:c r="L6679" s="11" t="n">
        <x:f>K6679*'管线假设'!E1427*'管线假设'!F1427*'管线假设'!G1427*IF(E6679="USD",'管线假设'!I1427,1)-AM6679</x:f>
        <x:v>2.7528599999999996</x:v>
      </x:c>
      <x:c r="M6679" s="11" t="n">
        <x:f>'管线假设'!H1427</x:f>
        <x:v>0.14</x:v>
      </x:c>
      <x:c r="N6679" s="11" t="n">
        <x:f>IF(G6679,L6679*AN6679/(1+M6679)^F6679,0)</x:f>
        <x:v>0.6322089811109658</x:v>
      </x:c>
      <x:c r="AJ6679" s="42" t="n">
        <x:v>0</x:v>
      </x:c>
      <x:c r="AK6679" s="42" t="n">
        <x:v>0</x:v>
      </x:c>
      <x:c r="AL6679" s="42" t="n">
        <x:v>0</x:v>
      </x:c>
      <x:c r="AM6679" t="n">
        <x:f>CHOOSE('假设'!$B$3,AJ6679,AK6679,AL6679)</x:f>
        <x:v>0</x:v>
      </x:c>
      <x:c r="AN6679" t="n">
        <x:v>1</x:v>
      </x:c>
    </x:row>
    <x:row r="6680" ht="23" customHeight="1">
      <x:c r="A6680" s="11" t="str">
        <x:v>09995.HK</x:v>
      </x:c>
      <x:c r="B6680" s="11" t="str">
        <x:v>一年</x:v>
      </x:c>
      <x:c r="C6680" s="11" t="str">
        <x:v>RC18_approved_China</x:v>
      </x:c>
      <x:c r="D6680" s="11" t="str">
        <x:v>2039-12-31</x:v>
      </x:c>
      <x:c r="E6680" s="11" t="str">
        <x:v>CNY</x:v>
      </x:c>
      <x:c r="F6680" s="11" t="n">
        <x:v>12.227241615331964</x:v>
      </x:c>
      <x:c r="G6680" s="26" t="b">
        <x:v>1</x:v>
      </x:c>
      <x:c r="H6680" s="16" t="n">
        <x:v>1</x:v>
      </x:c>
      <x:c r="I6680" s="16" t="n">
        <x:v>5.9</x:v>
      </x:c>
      <x:c r="J6680" s="16" t="n">
        <x:v>9.5</x:v>
      </x:c>
      <x:c r="K6680" s="11" t="n">
        <x:f>CHOOSE('假设'!$B$3,H6680,I6680,J6680)</x:f>
        <x:v>5.9</x:v>
      </x:c>
      <x:c r="L6680" s="11" t="n">
        <x:f>K6680*'管线假设'!E1427*'管线假设'!F1427*'管线假设'!G1427*IF(E6680="USD",'管线假设'!I1427,1)-AM6680</x:f>
        <x:v>2.46089</x:v>
      </x:c>
      <x:c r="M6680" s="11" t="n">
        <x:f>'管线假设'!H1427</x:f>
        <x:v>0.14</x:v>
      </x:c>
      <x:c r="N6680" s="11" t="n">
        <x:f>IF(G6680,L6680*AN6680/(1+M6680)^F6680,0)</x:f>
        <x:v>0.495795790494041</x:v>
      </x:c>
      <x:c r="AJ6680" s="42" t="n">
        <x:v>0</x:v>
      </x:c>
      <x:c r="AK6680" s="42" t="n">
        <x:v>0</x:v>
      </x:c>
      <x:c r="AL6680" s="42" t="n">
        <x:v>0</x:v>
      </x:c>
      <x:c r="AM6680" t="n">
        <x:f>CHOOSE('假设'!$B$3,AJ6680,AK6680,AL6680)</x:f>
        <x:v>0</x:v>
      </x:c>
      <x:c r="AN6680" t="n">
        <x:v>1</x:v>
      </x:c>
    </x:row>
    <x:row r="6681" ht="23" customHeight="1">
      <x:c r="A6681" s="11" t="str">
        <x:v>09995.HK</x:v>
      </x:c>
      <x:c r="B6681" s="11" t="str">
        <x:v>一年</x:v>
      </x:c>
      <x:c r="C6681" s="11" t="str">
        <x:v>RC18_approved_China</x:v>
      </x:c>
      <x:c r="D6681" s="11" t="str">
        <x:v>2040-12-31</x:v>
      </x:c>
      <x:c r="E6681" s="11" t="str">
        <x:v>CNY</x:v>
      </x:c>
      <x:c r="F6681" s="11" t="n">
        <x:v>13.229295003422314</x:v>
      </x:c>
      <x:c r="G6681" s="26" t="b">
        <x:v>1</x:v>
      </x:c>
      <x:c r="H6681" s="16" t="n">
        <x:v>0.8</x:v>
      </x:c>
      <x:c r="I6681" s="16" t="n">
        <x:v>5</x:v>
      </x:c>
      <x:c r="J6681" s="16" t="n">
        <x:v>8</x:v>
      </x:c>
      <x:c r="K6681" s="11" t="n">
        <x:f>CHOOSE('假设'!$B$3,H6681,I6681,J6681)</x:f>
        <x:v>5</x:v>
      </x:c>
      <x:c r="L6681" s="11" t="n">
        <x:f>K6681*'管线假设'!E1427*'管线假设'!F1427*'管线假设'!G1427*IF(E6681="USD",'管线假设'!I1427,1)-AM6681</x:f>
        <x:v>2.0854999999999997</x:v>
      </x:c>
      <x:c r="M6681" s="11" t="n">
        <x:f>'管线假设'!H1427</x:f>
        <x:v>0.14</x:v>
      </x:c>
      <x:c r="N6681" s="11" t="n">
        <x:f>IF(G6681,L6681*AN6681/(1+M6681)^F6681,0)</x:f>
        <x:v>0.36846744993396685</x:v>
      </x:c>
      <x:c r="AJ6681" s="42" t="n">
        <x:v>0</x:v>
      </x:c>
      <x:c r="AK6681" s="42" t="n">
        <x:v>0</x:v>
      </x:c>
      <x:c r="AL6681" s="42" t="n">
        <x:v>0</x:v>
      </x:c>
      <x:c r="AM6681" t="n">
        <x:f>CHOOSE('假设'!$B$3,AJ6681,AK6681,AL6681)</x:f>
        <x:v>0</x:v>
      </x:c>
      <x:c r="AN6681" t="n">
        <x:v>1</x:v>
      </x:c>
    </x:row>
    <x:row r="6682" ht="23" customHeight="1">
      <x:c r="A6682" s="11" t="str">
        <x:v>09995.HK</x:v>
      </x:c>
      <x:c r="B6682" s="11" t="str">
        <x:v>一年</x:v>
      </x:c>
      <x:c r="C6682" s="11" t="str">
        <x:v>RC18_approved_China</x:v>
      </x:c>
      <x:c r="D6682" s="11" t="str">
        <x:v>2041-12-31</x:v>
      </x:c>
      <x:c r="E6682" s="11" t="str">
        <x:v>CNY</x:v>
      </x:c>
      <x:c r="F6682" s="11" t="n">
        <x:v>14.22861054072553</x:v>
      </x:c>
      <x:c r="G6682" s="26" t="b">
        <x:v>1</x:v>
      </x:c>
      <x:c r="H6682" s="16" t="n">
        <x:v>0.6</x:v>
      </x:c>
      <x:c r="I6682" s="16" t="n">
        <x:v>4</x:v>
      </x:c>
      <x:c r="J6682" s="16" t="n">
        <x:v>6.5</x:v>
      </x:c>
      <x:c r="K6682" s="11" t="n">
        <x:f>CHOOSE('假设'!$B$3,H6682,I6682,J6682)</x:f>
        <x:v>4</x:v>
      </x:c>
      <x:c r="L6682" s="11" t="n">
        <x:f>K6682*'管线假设'!E1427*'管线假设'!F1427*'管线假设'!G1427*IF(E6682="USD",'管线假设'!I1427,1)-AM6682</x:f>
        <x:v>1.6683999999999999</x:v>
      </x:c>
      <x:c r="M6682" s="11" t="n">
        <x:f>'管线假设'!H1427</x:f>
        <x:v>0.14</x:v>
      </x:c>
      <x:c r="N6682" s="11" t="n">
        <x:f>IF(G6682,L6682*AN6682/(1+M6682)^F6682,0)</x:f>
        <x:v>0.2585968400246231</x:v>
      </x:c>
      <x:c r="AJ6682" s="42" t="n">
        <x:v>0</x:v>
      </x:c>
      <x:c r="AK6682" s="42" t="n">
        <x:v>0</x:v>
      </x:c>
      <x:c r="AL6682" s="42" t="n">
        <x:v>0</x:v>
      </x:c>
      <x:c r="AM6682" t="n">
        <x:f>CHOOSE('假设'!$B$3,AJ6682,AK6682,AL6682)</x:f>
        <x:v>0</x:v>
      </x:c>
      <x:c r="AN6682" t="n">
        <x:v>1</x:v>
      </x:c>
    </x:row>
    <x:row r="6683" ht="23" customHeight="1">
      <x:c r="A6683" s="11" t="str">
        <x:v>09995.HK</x:v>
      </x:c>
      <x:c r="B6683" s="11" t="str">
        <x:v>一年</x:v>
      </x:c>
      <x:c r="C6683" s="11" t="str">
        <x:v>RC18_approved_China</x:v>
      </x:c>
      <x:c r="D6683" s="11" t="str">
        <x:v>2042-12-31</x:v>
      </x:c>
      <x:c r="E6683" s="11" t="str">
        <x:v>CNY</x:v>
      </x:c>
      <x:c r="F6683" s="11" t="n">
        <x:v>15.227926078028748</x:v>
      </x:c>
      <x:c r="G6683" s="26" t="b">
        <x:v>1</x:v>
      </x:c>
      <x:c r="H6683" s="16" t="n">
        <x:v>0.4</x:v>
      </x:c>
      <x:c r="I6683" s="16" t="n">
        <x:v>3</x:v>
      </x:c>
      <x:c r="J6683" s="16" t="n">
        <x:v>5</x:v>
      </x:c>
      <x:c r="K6683" s="11" t="n">
        <x:f>CHOOSE('假设'!$B$3,H6683,I6683,J6683)</x:f>
        <x:v>3</x:v>
      </x:c>
      <x:c r="L6683" s="11" t="n">
        <x:f>K6683*'管线假设'!E1427*'管线假设'!F1427*'管线假设'!G1427*IF(E6683="USD",'管线假设'!I1427,1)-AM6683</x:f>
        <x:v>1.2513</x:v>
      </x:c>
      <x:c r="M6683" s="11" t="n">
        <x:f>'管线假设'!H1427</x:f>
        <x:v>0.14</x:v>
      </x:c>
      <x:c r="N6683" s="11" t="n">
        <x:f>IF(G6683,L6683*AN6683/(1+M6683)^F6683,0)</x:f>
        <x:v>0.17014475858732073</x:v>
      </x:c>
      <x:c r="AJ6683" s="42" t="n">
        <x:v>0</x:v>
      </x:c>
      <x:c r="AK6683" s="42" t="n">
        <x:v>0</x:v>
      </x:c>
      <x:c r="AL6683" s="42" t="n">
        <x:v>0</x:v>
      </x:c>
      <x:c r="AM6683" t="n">
        <x:f>CHOOSE('假设'!$B$3,AJ6683,AK6683,AL6683)</x:f>
        <x:v>0</x:v>
      </x:c>
      <x:c r="AN6683" t="n">
        <x:v>1</x:v>
      </x:c>
    </x:row>
    <x:row r="6684" ht="23" customHeight="1">
      <x:c r="A6684" s="11" t="str">
        <x:v>09995.HK</x:v>
      </x:c>
      <x:c r="B6684" s="11" t="str">
        <x:v>一年</x:v>
      </x:c>
      <x:c r="C6684" s="11" t="str">
        <x:v>RC18_approved_China</x:v>
      </x:c>
      <x:c r="D6684" s="11" t="str">
        <x:v>2043-12-31</x:v>
      </x:c>
      <x:c r="E6684" s="11" t="str">
        <x:v>CNY</x:v>
      </x:c>
      <x:c r="F6684" s="11" t="n">
        <x:v>16.227241615331966</x:v>
      </x:c>
      <x:c r="G6684" s="26" t="b">
        <x:v>1</x:v>
      </x:c>
      <x:c r="H6684" s="16" t="n">
        <x:v>0.25</x:v>
      </x:c>
      <x:c r="I6684" s="16" t="n">
        <x:v>2</x:v>
      </x:c>
      <x:c r="J6684" s="16" t="n">
        <x:v>3.5</x:v>
      </x:c>
      <x:c r="K6684" s="11" t="n">
        <x:f>CHOOSE('假设'!$B$3,H6684,I6684,J6684)</x:f>
        <x:v>2</x:v>
      </x:c>
      <x:c r="L6684" s="11" t="n">
        <x:f>K6684*'管线假设'!E1427*'管线假设'!F1427*'管线假设'!G1427*IF(E6684="USD",'管线假设'!I1427,1)-AM6684</x:f>
        <x:v>0.8341999999999999</x:v>
      </x:c>
      <x:c r="M6684" s="11" t="n">
        <x:f>'管线假设'!H1427</x:f>
        <x:v>0.14</x:v>
      </x:c>
      <x:c r="N6684" s="11" t="n">
        <x:f>IF(G6684,L6684*AN6684/(1+M6684)^F6684,0)</x:f>
        <x:v>0.09950878276429967</x:v>
      </x:c>
      <x:c r="AJ6684" s="42" t="n">
        <x:v>0</x:v>
      </x:c>
      <x:c r="AK6684" s="42" t="n">
        <x:v>0</x:v>
      </x:c>
      <x:c r="AL6684" s="42" t="n">
        <x:v>0</x:v>
      </x:c>
      <x:c r="AM6684" t="n">
        <x:f>CHOOSE('假设'!$B$3,AJ6684,AK6684,AL6684)</x:f>
        <x:v>0</x:v>
      </x:c>
      <x:c r="AN6684" t="n">
        <x:v>1</x:v>
      </x:c>
    </x:row>
    <x:row r="6685" ht="23" customHeight="1">
      <x:c r="A6685" s="11" t="str">
        <x:v>09995.HK</x:v>
      </x:c>
      <x:c r="B6685" s="11" t="str">
        <x:v>一年</x:v>
      </x:c>
      <x:c r="C6685" s="11" t="str">
        <x:v>RC18_approved_China</x:v>
      </x:c>
      <x:c r="D6685" s="11" t="str">
        <x:v>2044-12-31</x:v>
      </x:c>
      <x:c r="E6685" s="11" t="str">
        <x:v>CNY</x:v>
      </x:c>
      <x:c r="F6685" s="11" t="n">
        <x:v>17.229295003422312</x:v>
      </x:c>
      <x:c r="G6685" s="26" t="b">
        <x:v>1</x:v>
      </x:c>
      <x:c r="H6685" s="16" t="n">
        <x:v>0.15</x:v>
      </x:c>
      <x:c r="I6685" s="16" t="n">
        <x:v>1.2</x:v>
      </x:c>
      <x:c r="J6685" s="16" t="n">
        <x:v>2</x:v>
      </x:c>
      <x:c r="K6685" s="11" t="n">
        <x:f>CHOOSE('假设'!$B$3,H6685,I6685,J6685)</x:f>
        <x:v>1.2</x:v>
      </x:c>
      <x:c r="L6685" s="11" t="n">
        <x:f>K6685*'管线假设'!E1427*'管线假设'!F1427*'管线假设'!G1427*IF(E6685="USD",'管线假设'!I1427,1)-AM6685</x:f>
        <x:v>0.50052</x:v>
      </x:c>
      <x:c r="M6685" s="11" t="n">
        <x:f>'管线假设'!H1427</x:f>
        <x:v>0.14</x:v>
      </x:c>
      <x:c r="N6685" s="11" t="n">
        <x:f>IF(G6685,L6685*AN6685/(1+M6685)^F6685,0)</x:f>
        <x:v>0.05235895439010949</x:v>
      </x:c>
      <x:c r="AJ6685" s="42" t="n">
        <x:v>0</x:v>
      </x:c>
      <x:c r="AK6685" s="42" t="n">
        <x:v>0</x:v>
      </x:c>
      <x:c r="AL6685" s="42" t="n">
        <x:v>0</x:v>
      </x:c>
      <x:c r="AM6685" t="n">
        <x:f>CHOOSE('假设'!$B$3,AJ6685,AK6685,AL6685)</x:f>
        <x:v>0</x:v>
      </x:c>
      <x:c r="AN6685" t="n">
        <x:v>1</x:v>
      </x:c>
    </x:row>
    <x:row r="6686" ht="23" customHeight="1">
      <x:c r="A6686" s="11" t="str">
        <x:v>09995.HK</x:v>
      </x:c>
      <x:c r="B6686" s="11" t="str">
        <x:v>一年</x:v>
      </x:c>
      <x:c r="C6686" s="11" t="str">
        <x:v>RC48_approved_China</x:v>
      </x:c>
      <x:c r="D6686" s="11" t="str">
        <x:v>2026-12-31</x:v>
      </x:c>
      <x:c r="E6686" s="11" t="str">
        <x:v>CNY</x:v>
      </x:c>
      <x:c r="F6686" s="11" t="n">
        <x:v>-0.7720739219712526</x:v>
      </x:c>
      <x:c r="G6686" s="26" t="b">
        <x:v>0</x:v>
      </x:c>
      <x:c r="H6686" s="16" t="n">
        <x:v>0.7</x:v>
      </x:c>
      <x:c r="I6686" s="16" t="n">
        <x:v>0.8</x:v>
      </x:c>
      <x:c r="J6686" s="16" t="n">
        <x:v>0.95</x:v>
      </x:c>
      <x:c r="K6686" s="11" t="n">
        <x:f>CHOOSE('假设'!$B$3,H6686,I6686,J6686)</x:f>
        <x:v>0.8</x:v>
      </x:c>
      <x:c r="L6686" s="11" t="n">
        <x:f>K6686*'管线假设'!E1431*'管线假设'!F1431*'管线假设'!G1431*IF(E6686="USD",'管线假设'!I1431,1)-AM6686</x:f>
        <x:v>0.1612</x:v>
      </x:c>
      <x:c r="M6686" s="11" t="n">
        <x:f>'管线假设'!H1431</x:f>
        <x:v>0.14</x:v>
      </x:c>
      <x:c r="N6686" s="11" t="n">
        <x:f>IF(G6686,L6686*AN6686/(1+M6686)^F6686,0)</x:f>
        <x:v>0</x:v>
      </x:c>
      <x:c r="AJ6686" s="42" t="n">
        <x:v>0.06</x:v>
      </x:c>
      <x:c r="AK6686" s="42" t="n">
        <x:v>0.12</x:v>
      </x:c>
      <x:c r="AL6686" s="42" t="n">
        <x:v>0.16</x:v>
      </x:c>
      <x:c r="AM6686" t="n">
        <x:f>CHOOSE('假设'!$B$3,AJ6686,AK6686,AL6686)</x:f>
        <x:v>0.12</x:v>
      </x:c>
      <x:c r="AN6686" t="n">
        <x:v>0</x:v>
      </x:c>
    </x:row>
    <x:row r="6687" ht="23" customHeight="1">
      <x:c r="A6687" s="11" t="str">
        <x:v>09995.HK</x:v>
      </x:c>
      <x:c r="B6687" s="11" t="str">
        <x:v>一年</x:v>
      </x:c>
      <x:c r="C6687" s="11" t="str">
        <x:v>RC48_approved_China</x:v>
      </x:c>
      <x:c r="D6687" s="11" t="str">
        <x:v>2027-12-31</x:v>
      </x:c>
      <x:c r="E6687" s="11" t="str">
        <x:v>CNY</x:v>
      </x:c>
      <x:c r="F6687" s="11" t="n">
        <x:v>0.2272416153319644</x:v>
      </x:c>
      <x:c r="G6687" s="26" t="b">
        <x:v>1</x:v>
      </x:c>
      <x:c r="H6687" s="16" t="n">
        <x:v>0.75</x:v>
      </x:c>
      <x:c r="I6687" s="16" t="n">
        <x:v>1.2</x:v>
      </x:c>
      <x:c r="J6687" s="16" t="n">
        <x:v>1.5</x:v>
      </x:c>
      <x:c r="K6687" s="11" t="n">
        <x:f>CHOOSE('假设'!$B$3,H6687,I6687,J6687)</x:f>
        <x:v>1.2</x:v>
      </x:c>
      <x:c r="L6687" s="11" t="n">
        <x:f>K6687*'管线假设'!E1431*'管线假设'!F1431*'管线假设'!G1431*IF(E6687="USD",'管线假设'!I1431,1)-AM6687</x:f>
        <x:v>0.30179999999999996</x:v>
      </x:c>
      <x:c r="M6687" s="11" t="n">
        <x:f>'管线假设'!H1431</x:f>
        <x:v>0.14</x:v>
      </x:c>
      <x:c r="N6687" s="11" t="n">
        <x:f>IF(G6687,L6687*AN6687/(1+M6687)^F6687,0)</x:f>
        <x:v>0.06679820523821292</x:v>
      </x:c>
      <x:c r="AJ6687" s="42" t="n">
        <x:v>0.05</x:v>
      </x:c>
      <x:c r="AK6687" s="42" t="n">
        <x:v>0.12</x:v>
      </x:c>
      <x:c r="AL6687" s="42" t="n">
        <x:v>0.15</x:v>
      </x:c>
      <x:c r="AM6687" t="n">
        <x:f>CHOOSE('假设'!$B$3,AJ6687,AK6687,AL6687)</x:f>
        <x:v>0.12</x:v>
      </x:c>
      <x:c r="AN6687" t="n">
        <x:v>0.22802197802197802</x:v>
      </x:c>
    </x:row>
    <x:row r="6688" ht="23" customHeight="1">
      <x:c r="A6688" s="11" t="str">
        <x:v>09995.HK</x:v>
      </x:c>
      <x:c r="B6688" s="11" t="str">
        <x:v>一年</x:v>
      </x:c>
      <x:c r="C6688" s="11" t="str">
        <x:v>RC48_approved_China</x:v>
      </x:c>
      <x:c r="D6688" s="11" t="str">
        <x:v>2028-12-31</x:v>
      </x:c>
      <x:c r="E6688" s="11" t="str">
        <x:v>CNY</x:v>
      </x:c>
      <x:c r="F6688" s="11" t="n">
        <x:v>1.2292950034223136</x:v>
      </x:c>
      <x:c r="G6688" s="26" t="b">
        <x:v>1</x:v>
      </x:c>
      <x:c r="H6688" s="16" t="n">
        <x:v>0.8</x:v>
      </x:c>
      <x:c r="I6688" s="16" t="n">
        <x:v>1.7</x:v>
      </x:c>
      <x:c r="J6688" s="16" t="n">
        <x:v>2.2</x:v>
      </x:c>
      <x:c r="K6688" s="11" t="n">
        <x:f>CHOOSE('假设'!$B$3,H6688,I6688,J6688)</x:f>
        <x:v>1.7</x:v>
      </x:c>
      <x:c r="L6688" s="11" t="n">
        <x:f>K6688*'管线假设'!E1431*'管线假设'!F1431*'管线假设'!G1431*IF(E6688="USD",'管线假设'!I1431,1)-AM6688</x:f>
        <x:v>0.49755000000000005</x:v>
      </x:c>
      <x:c r="M6688" s="11" t="n">
        <x:f>'管线假设'!H1431</x:f>
        <x:v>0.14</x:v>
      </x:c>
      <x:c r="N6688" s="11" t="n">
        <x:f>IF(G6688,L6688*AN6688/(1+M6688)^F6688,0)</x:f>
        <x:v>0.42352971028102104</x:v>
      </x:c>
      <x:c r="AJ6688" s="42" t="n">
        <x:v>0.04</x:v>
      </x:c>
      <x:c r="AK6688" s="42" t="n">
        <x:v>0.1</x:v>
      </x:c>
      <x:c r="AL6688" s="42" t="n">
        <x:v>0.12</x:v>
      </x:c>
      <x:c r="AM6688" t="n">
        <x:f>CHOOSE('假设'!$B$3,AJ6688,AK6688,AL6688)</x:f>
        <x:v>0.1</x:v>
      </x:c>
      <x:c r="AN6688" t="n">
        <x:v>1</x:v>
      </x:c>
    </x:row>
    <x:row r="6689" ht="23" customHeight="1">
      <x:c r="A6689" s="11" t="str">
        <x:v>09995.HK</x:v>
      </x:c>
      <x:c r="B6689" s="11" t="str">
        <x:v>一年</x:v>
      </x:c>
      <x:c r="C6689" s="11" t="str">
        <x:v>RC48_approved_China</x:v>
      </x:c>
      <x:c r="D6689" s="11" t="str">
        <x:v>2029-12-31</x:v>
      </x:c>
      <x:c r="E6689" s="11" t="str">
        <x:v>CNY</x:v>
      </x:c>
      <x:c r="F6689" s="11" t="n">
        <x:v>2.2286105407255303</x:v>
      </x:c>
      <x:c r="G6689" s="26" t="b">
        <x:v>1</x:v>
      </x:c>
      <x:c r="H6689" s="16" t="n">
        <x:v>0.9</x:v>
      </x:c>
      <x:c r="I6689" s="16" t="n">
        <x:v>2.2</x:v>
      </x:c>
      <x:c r="J6689" s="16" t="n">
        <x:v>3.1</x:v>
      </x:c>
      <x:c r="K6689" s="11" t="n">
        <x:f>CHOOSE('假设'!$B$3,H6689,I6689,J6689)</x:f>
        <x:v>2.2</x:v>
      </x:c>
      <x:c r="L6689" s="11" t="n">
        <x:f>K6689*'管线假设'!E1431*'管线假设'!F1431*'管线假设'!G1431*IF(E6689="USD",'管线假设'!I1431,1)-AM6689</x:f>
        <x:v>0.7033</x:v>
      </x:c>
      <x:c r="M6689" s="11" t="n">
        <x:f>'管线假设'!H1431</x:f>
        <x:v>0.14</x:v>
      </x:c>
      <x:c r="N6689" s="11" t="n">
        <x:f>IF(G6689,L6689*AN6689/(1+M6689)^F6689,0)</x:f>
        <x:v>0.5251965516287224</x:v>
      </x:c>
      <x:c r="AJ6689" s="42" t="n">
        <x:v>0</x:v>
      </x:c>
      <x:c r="AK6689" s="42" t="n">
        <x:v>0.07</x:v>
      </x:c>
      <x:c r="AL6689" s="42" t="n">
        <x:v>0.1</x:v>
      </x:c>
      <x:c r="AM6689" t="n">
        <x:f>CHOOSE('假设'!$B$3,AJ6689,AK6689,AL6689)</x:f>
        <x:v>0.07</x:v>
      </x:c>
      <x:c r="AN6689" t="n">
        <x:v>1</x:v>
      </x:c>
    </x:row>
    <x:row r="6690" ht="23" customHeight="1">
      <x:c r="A6690" s="11" t="str">
        <x:v>09995.HK</x:v>
      </x:c>
      <x:c r="B6690" s="11" t="str">
        <x:v>一年</x:v>
      </x:c>
      <x:c r="C6690" s="11" t="str">
        <x:v>RC48_approved_China</x:v>
      </x:c>
      <x:c r="D6690" s="11" t="str">
        <x:v>2030-12-31</x:v>
      </x:c>
      <x:c r="E6690" s="11" t="str">
        <x:v>CNY</x:v>
      </x:c>
      <x:c r="F6690" s="11" t="n">
        <x:v>3.2279260780287475</x:v>
      </x:c>
      <x:c r="G6690" s="26" t="b">
        <x:v>1</x:v>
      </x:c>
      <x:c r="H6690" s="16" t="n">
        <x:v>0.95</x:v>
      </x:c>
      <x:c r="I6690" s="16" t="n">
        <x:v>2.7</x:v>
      </x:c>
      <x:c r="J6690" s="16" t="n">
        <x:v>4.1</x:v>
      </x:c>
      <x:c r="K6690" s="11" t="n">
        <x:f>CHOOSE('假设'!$B$3,H6690,I6690,J6690)</x:f>
        <x:v>2.7</x:v>
      </x:c>
      <x:c r="L6690" s="11" t="n">
        <x:f>K6690*'管线假设'!E1431*'管线假设'!F1431*'管线假设'!G1431*IF(E6690="USD",'管线假设'!I1431,1)-AM6690</x:f>
        <x:v>0.94905</x:v>
      </x:c>
      <x:c r="M6690" s="11" t="n">
        <x:f>'管线假设'!H1431</x:f>
        <x:v>0.14</x:v>
      </x:c>
      <x:c r="N6690" s="11" t="n">
        <x:f>IF(G6690,L6690*AN6690/(1+M6690)^F6690,0)</x:f>
        <x:v>0.6217337454273514</x:v>
      </x:c>
      <x:c r="AJ6690" s="42" t="n">
        <x:v>0</x:v>
      </x:c>
      <x:c r="AK6690" s="42" t="n">
        <x:v>0</x:v>
      </x:c>
      <x:c r="AL6690" s="42" t="n">
        <x:v>0</x:v>
      </x:c>
      <x:c r="AM6690" t="n">
        <x:f>CHOOSE('假设'!$B$3,AJ6690,AK6690,AL6690)</x:f>
        <x:v>0</x:v>
      </x:c>
      <x:c r="AN6690" t="n">
        <x:v>1</x:v>
      </x:c>
    </x:row>
    <x:row r="6691" ht="23" customHeight="1">
      <x:c r="A6691" s="11" t="str">
        <x:v>09995.HK</x:v>
      </x:c>
      <x:c r="B6691" s="11" t="str">
        <x:v>一年</x:v>
      </x:c>
      <x:c r="C6691" s="11" t="str">
        <x:v>RC48_approved_China</x:v>
      </x:c>
      <x:c r="D6691" s="11" t="str">
        <x:v>2031-12-31</x:v>
      </x:c>
      <x:c r="E6691" s="11" t="str">
        <x:v>CNY</x:v>
      </x:c>
      <x:c r="F6691" s="11" t="n">
        <x:v>4.227241615331964</x:v>
      </x:c>
      <x:c r="G6691" s="26" t="b">
        <x:v>1</x:v>
      </x:c>
      <x:c r="H6691" s="16" t="n">
        <x:v>1</x:v>
      </x:c>
      <x:c r="I6691" s="16" t="n">
        <x:v>3.1</x:v>
      </x:c>
      <x:c r="J6691" s="16" t="n">
        <x:v>5</x:v>
      </x:c>
      <x:c r="K6691" s="11" t="n">
        <x:f>CHOOSE('假设'!$B$3,H6691,I6691,J6691)</x:f>
        <x:v>3.1</x:v>
      </x:c>
      <x:c r="L6691" s="11" t="n">
        <x:f>K6691*'管线假设'!E1431*'管线假设'!F1431*'管线假设'!G1431*IF(E6691="USD",'管线假设'!I1431,1)-AM6691</x:f>
        <x:v>1.08965</x:v>
      </x:c>
      <x:c r="M6691" s="11" t="n">
        <x:f>'管线假设'!H1431</x:f>
        <x:v>0.14</x:v>
      </x:c>
      <x:c r="N6691" s="11" t="n">
        <x:f>IF(G6691,L6691*AN6691/(1+M6691)^F6691,0)</x:f>
        <x:v>0.626233746965401</x:v>
      </x:c>
      <x:c r="AJ6691" s="42" t="n">
        <x:v>0</x:v>
      </x:c>
      <x:c r="AK6691" s="42" t="n">
        <x:v>0</x:v>
      </x:c>
      <x:c r="AL6691" s="42" t="n">
        <x:v>0</x:v>
      </x:c>
      <x:c r="AM6691" t="n">
        <x:f>CHOOSE('假设'!$B$3,AJ6691,AK6691,AL6691)</x:f>
        <x:v>0</x:v>
      </x:c>
      <x:c r="AN6691" t="n">
        <x:v>1</x:v>
      </x:c>
    </x:row>
    <x:row r="6692" ht="23" customHeight="1">
      <x:c r="A6692" s="11" t="str">
        <x:v>09995.HK</x:v>
      </x:c>
      <x:c r="B6692" s="11" t="str">
        <x:v>一年</x:v>
      </x:c>
      <x:c r="C6692" s="11" t="str">
        <x:v>RC48_approved_China</x:v>
      </x:c>
      <x:c r="D6692" s="11" t="str">
        <x:v>2032-12-31</x:v>
      </x:c>
      <x:c r="E6692" s="11" t="str">
        <x:v>CNY</x:v>
      </x:c>
      <x:c r="F6692" s="11" t="n">
        <x:v>5.229295003422314</x:v>
      </x:c>
      <x:c r="G6692" s="26" t="b">
        <x:v>1</x:v>
      </x:c>
      <x:c r="H6692" s="16" t="n">
        <x:v>1</x:v>
      </x:c>
      <x:c r="I6692" s="16" t="n">
        <x:v>3.4</x:v>
      </x:c>
      <x:c r="J6692" s="16" t="n">
        <x:v>5.8</x:v>
      </x:c>
      <x:c r="K6692" s="11" t="n">
        <x:f>CHOOSE('假设'!$B$3,H6692,I6692,J6692)</x:f>
        <x:v>3.4</x:v>
      </x:c>
      <x:c r="L6692" s="11" t="n">
        <x:f>K6692*'管线假设'!E1431*'管线假设'!F1431*'管线假设'!G1431*IF(E6692="USD",'管线假设'!I1431,1)-AM6692</x:f>
        <x:v>1.1951</x:v>
      </x:c>
      <x:c r="M6692" s="11" t="n">
        <x:f>'管线假设'!H1431</x:f>
        <x:v>0.14</x:v>
      </x:c>
      <x:c r="N6692" s="11" t="n">
        <x:f>IF(G6692,L6692*AN6692/(1+M6692)^F6692,0)</x:f>
        <x:v>0.6023265288360742</x:v>
      </x:c>
      <x:c r="AJ6692" s="42" t="n">
        <x:v>0</x:v>
      </x:c>
      <x:c r="AK6692" s="42" t="n">
        <x:v>0</x:v>
      </x:c>
      <x:c r="AL6692" s="42" t="n">
        <x:v>0</x:v>
      </x:c>
      <x:c r="AM6692" t="n">
        <x:f>CHOOSE('假设'!$B$3,AJ6692,AK6692,AL6692)</x:f>
        <x:v>0</x:v>
      </x:c>
      <x:c r="AN6692" t="n">
        <x:v>1</x:v>
      </x:c>
    </x:row>
    <x:row r="6693" ht="23" customHeight="1">
      <x:c r="A6693" s="11" t="str">
        <x:v>09995.HK</x:v>
      </x:c>
      <x:c r="B6693" s="11" t="str">
        <x:v>一年</x:v>
      </x:c>
      <x:c r="C6693" s="11" t="str">
        <x:v>RC48_approved_China</x:v>
      </x:c>
      <x:c r="D6693" s="11" t="str">
        <x:v>2033-12-31</x:v>
      </x:c>
      <x:c r="E6693" s="11" t="str">
        <x:v>CNY</x:v>
      </x:c>
      <x:c r="F6693" s="11" t="n">
        <x:v>6.228610540725531</x:v>
      </x:c>
      <x:c r="G6693" s="26" t="b">
        <x:v>1</x:v>
      </x:c>
      <x:c r="H6693" s="16" t="n">
        <x:v>0.95</x:v>
      </x:c>
      <x:c r="I6693" s="16" t="n">
        <x:v>3.6</x:v>
      </x:c>
      <x:c r="J6693" s="16" t="n">
        <x:v>6.3</x:v>
      </x:c>
      <x:c r="K6693" s="11" t="n">
        <x:f>CHOOSE('假设'!$B$3,H6693,I6693,J6693)</x:f>
        <x:v>3.6</x:v>
      </x:c>
      <x:c r="L6693" s="11" t="n">
        <x:f>K6693*'管线假设'!E1431*'管线假设'!F1431*'管线假设'!G1431*IF(E6693="USD",'管线假设'!I1431,1)-AM6693</x:f>
        <x:v>1.2653999999999999</x:v>
      </x:c>
      <x:c r="M6693" s="11" t="n">
        <x:f>'管线假设'!H1431</x:f>
        <x:v>0.14</x:v>
      </x:c>
      <x:c r="N6693" s="11" t="n">
        <x:f>IF(G6693,L6693*AN6693/(1+M6693)^F6693,0)</x:f>
        <x:v>0.5594865792125252</x:v>
      </x:c>
      <x:c r="AJ6693" s="42" t="n">
        <x:v>0</x:v>
      </x:c>
      <x:c r="AK6693" s="42" t="n">
        <x:v>0</x:v>
      </x:c>
      <x:c r="AL6693" s="42" t="n">
        <x:v>0</x:v>
      </x:c>
      <x:c r="AM6693" t="n">
        <x:f>CHOOSE('假设'!$B$3,AJ6693,AK6693,AL6693)</x:f>
        <x:v>0</x:v>
      </x:c>
      <x:c r="AN6693" t="n">
        <x:v>1</x:v>
      </x:c>
    </x:row>
    <x:row r="6694" ht="23" customHeight="1">
      <x:c r="A6694" s="11" t="str">
        <x:v>09995.HK</x:v>
      </x:c>
      <x:c r="B6694" s="11" t="str">
        <x:v>一年</x:v>
      </x:c>
      <x:c r="C6694" s="11" t="str">
        <x:v>RC48_approved_China</x:v>
      </x:c>
      <x:c r="D6694" s="11" t="str">
        <x:v>2034-12-31</x:v>
      </x:c>
      <x:c r="E6694" s="11" t="str">
        <x:v>CNY</x:v>
      </x:c>
      <x:c r="F6694" s="11" t="n">
        <x:v>7.227926078028747</x:v>
      </x:c>
      <x:c r="G6694" s="26" t="b">
        <x:v>1</x:v>
      </x:c>
      <x:c r="H6694" s="16" t="n">
        <x:v>0.9</x:v>
      </x:c>
      <x:c r="I6694" s="16" t="n">
        <x:v>3.7</x:v>
      </x:c>
      <x:c r="J6694" s="16" t="n">
        <x:v>6.7</x:v>
      </x:c>
      <x:c r="K6694" s="11" t="n">
        <x:f>CHOOSE('假设'!$B$3,H6694,I6694,J6694)</x:f>
        <x:v>3.7</x:v>
      </x:c>
      <x:c r="L6694" s="11" t="n">
        <x:f>K6694*'管线假设'!E1431*'管线假设'!F1431*'管线假设'!G1431*IF(E6694="USD",'管线假设'!I1431,1)-AM6694</x:f>
        <x:v>1.30055</x:v>
      </x:c>
      <x:c r="M6694" s="11" t="n">
        <x:f>'管线假设'!H1431</x:f>
        <x:v>0.14</x:v>
      </x:c>
      <x:c r="N6694" s="11" t="n">
        <x:f>IF(G6694,L6694*AN6694/(1+M6694)^F6694,0)</x:f>
        <x:v>0.5044556545330452</x:v>
      </x:c>
      <x:c r="AJ6694" s="42" t="n">
        <x:v>0</x:v>
      </x:c>
      <x:c r="AK6694" s="42" t="n">
        <x:v>0</x:v>
      </x:c>
      <x:c r="AL6694" s="42" t="n">
        <x:v>0</x:v>
      </x:c>
      <x:c r="AM6694" t="n">
        <x:f>CHOOSE('假设'!$B$3,AJ6694,AK6694,AL6694)</x:f>
        <x:v>0</x:v>
      </x:c>
      <x:c r="AN6694" t="n">
        <x:v>1</x:v>
      </x:c>
    </x:row>
    <x:row r="6695" ht="23" customHeight="1">
      <x:c r="A6695" s="11" t="str">
        <x:v>09995.HK</x:v>
      </x:c>
      <x:c r="B6695" s="11" t="str">
        <x:v>一年</x:v>
      </x:c>
      <x:c r="C6695" s="11" t="str">
        <x:v>RC48_approved_China</x:v>
      </x:c>
      <x:c r="D6695" s="11" t="str">
        <x:v>2035-12-31</x:v>
      </x:c>
      <x:c r="E6695" s="11" t="str">
        <x:v>CNY</x:v>
      </x:c>
      <x:c r="F6695" s="11" t="n">
        <x:v>8.227241615331964</x:v>
      </x:c>
      <x:c r="G6695" s="26" t="b">
        <x:v>1</x:v>
      </x:c>
      <x:c r="H6695" s="16" t="n">
        <x:v>0.85</x:v>
      </x:c>
      <x:c r="I6695" s="16" t="n">
        <x:v>3.7</x:v>
      </x:c>
      <x:c r="J6695" s="16" t="n">
        <x:v>6.7</x:v>
      </x:c>
      <x:c r="K6695" s="11" t="n">
        <x:f>CHOOSE('假设'!$B$3,H6695,I6695,J6695)</x:f>
        <x:v>3.7</x:v>
      </x:c>
      <x:c r="L6695" s="11" t="n">
        <x:f>K6695*'管线假设'!E1431*'管线假设'!F1431*'管线假设'!G1431*IF(E6695="USD",'管线假设'!I1431,1)-AM6695</x:f>
        <x:v>1.30055</x:v>
      </x:c>
      <x:c r="M6695" s="11" t="n">
        <x:f>'管线假设'!H1431</x:f>
        <x:v>0.14</x:v>
      </x:c>
      <x:c r="N6695" s="11" t="n">
        <x:f>IF(G6695,L6695*AN6695/(1+M6695)^F6695,0)</x:f>
        <x:v>0.4425446474925279</x:v>
      </x:c>
      <x:c r="AJ6695" s="42" t="n">
        <x:v>0</x:v>
      </x:c>
      <x:c r="AK6695" s="42" t="n">
        <x:v>0</x:v>
      </x:c>
      <x:c r="AL6695" s="42" t="n">
        <x:v>0</x:v>
      </x:c>
      <x:c r="AM6695" t="n">
        <x:f>CHOOSE('假设'!$B$3,AJ6695,AK6695,AL6695)</x:f>
        <x:v>0</x:v>
      </x:c>
      <x:c r="AN6695" t="n">
        <x:v>1</x:v>
      </x:c>
    </x:row>
    <x:row r="6696" ht="23" customHeight="1">
      <x:c r="A6696" s="11" t="str">
        <x:v>09995.HK</x:v>
      </x:c>
      <x:c r="B6696" s="11" t="str">
        <x:v>一年</x:v>
      </x:c>
      <x:c r="C6696" s="11" t="str">
        <x:v>RC48_approved_China</x:v>
      </x:c>
      <x:c r="D6696" s="11" t="str">
        <x:v>2036-12-31</x:v>
      </x:c>
      <x:c r="E6696" s="11" t="str">
        <x:v>CNY</x:v>
      </x:c>
      <x:c r="F6696" s="11" t="n">
        <x:v>9.229295003422314</x:v>
      </x:c>
      <x:c r="G6696" s="26" t="b">
        <x:v>1</x:v>
      </x:c>
      <x:c r="H6696" s="16" t="n">
        <x:v>0.75</x:v>
      </x:c>
      <x:c r="I6696" s="16" t="n">
        <x:v>3.6</x:v>
      </x:c>
      <x:c r="J6696" s="16" t="n">
        <x:v>6.4</x:v>
      </x:c>
      <x:c r="K6696" s="11" t="n">
        <x:f>CHOOSE('假设'!$B$3,H6696,I6696,J6696)</x:f>
        <x:v>3.6</x:v>
      </x:c>
      <x:c r="L6696" s="11" t="n">
        <x:f>K6696*'管线假设'!E1431*'管线假设'!F1431*'管线假设'!G1431*IF(E6696="USD",'管线假设'!I1431,1)-AM6696</x:f>
        <x:v>1.2653999999999999</x:v>
      </x:c>
      <x:c r="M6696" s="11" t="n">
        <x:f>'管线假设'!H1431</x:f>
        <x:v>0.14</x:v>
      </x:c>
      <x:c r="N6696" s="11" t="n">
        <x:f>IF(G6696,L6696*AN6696/(1+M6696)^F6696,0)</x:f>
        <x:v>0.3776036381583736</x:v>
      </x:c>
      <x:c r="AJ6696" s="42" t="n">
        <x:v>0</x:v>
      </x:c>
      <x:c r="AK6696" s="42" t="n">
        <x:v>0</x:v>
      </x:c>
      <x:c r="AL6696" s="42" t="n">
        <x:v>0</x:v>
      </x:c>
      <x:c r="AM6696" t="n">
        <x:f>CHOOSE('假设'!$B$3,AJ6696,AK6696,AL6696)</x:f>
        <x:v>0</x:v>
      </x:c>
      <x:c r="AN6696" t="n">
        <x:v>1</x:v>
      </x:c>
    </x:row>
    <x:row r="6697" ht="23" customHeight="1">
      <x:c r="A6697" s="11" t="str">
        <x:v>09995.HK</x:v>
      </x:c>
      <x:c r="B6697" s="11" t="str">
        <x:v>一年</x:v>
      </x:c>
      <x:c r="C6697" s="11" t="str">
        <x:v>RC48_approved_China</x:v>
      </x:c>
      <x:c r="D6697" s="11" t="str">
        <x:v>2037-12-31</x:v>
      </x:c>
      <x:c r="E6697" s="11" t="str">
        <x:v>CNY</x:v>
      </x:c>
      <x:c r="F6697" s="11" t="n">
        <x:v>10.22861054072553</x:v>
      </x:c>
      <x:c r="G6697" s="26" t="b">
        <x:v>1</x:v>
      </x:c>
      <x:c r="H6697" s="16" t="n">
        <x:v>0.65</x:v>
      </x:c>
      <x:c r="I6697" s="16" t="n">
        <x:v>3.4</x:v>
      </x:c>
      <x:c r="J6697" s="16" t="n">
        <x:v>6</x:v>
      </x:c>
      <x:c r="K6697" s="11" t="n">
        <x:f>CHOOSE('假设'!$B$3,H6697,I6697,J6697)</x:f>
        <x:v>3.4</x:v>
      </x:c>
      <x:c r="L6697" s="11" t="n">
        <x:f>K6697*'管线假设'!E1431*'管线假设'!F1431*'管线假设'!G1431*IF(E6697="USD",'管线假设'!I1431,1)-AM6697</x:f>
        <x:v>1.1951</x:v>
      </x:c>
      <x:c r="M6697" s="11" t="n">
        <x:f>'管线假设'!H1431</x:f>
        <x:v>0.14</x:v>
      </x:c>
      <x:c r="N6697" s="11" t="n">
        <x:f>IF(G6697,L6697*AN6697/(1+M6697)^F6697,0)</x:f>
        <x:v>0.31285758183810325</x:v>
      </x:c>
      <x:c r="AJ6697" s="42" t="n">
        <x:v>0</x:v>
      </x:c>
      <x:c r="AK6697" s="42" t="n">
        <x:v>0</x:v>
      </x:c>
      <x:c r="AL6697" s="42" t="n">
        <x:v>0</x:v>
      </x:c>
      <x:c r="AM6697" t="n">
        <x:f>CHOOSE('假设'!$B$3,AJ6697,AK6697,AL6697)</x:f>
        <x:v>0</x:v>
      </x:c>
      <x:c r="AN6697" t="n">
        <x:v>1</x:v>
      </x:c>
    </x:row>
    <x:row r="6698" ht="23" customHeight="1">
      <x:c r="A6698" s="11" t="str">
        <x:v>09995.HK</x:v>
      </x:c>
      <x:c r="B6698" s="11" t="str">
        <x:v>一年</x:v>
      </x:c>
      <x:c r="C6698" s="11" t="str">
        <x:v>RC48_approved_China</x:v>
      </x:c>
      <x:c r="D6698" s="11" t="str">
        <x:v>2038-12-31</x:v>
      </x:c>
      <x:c r="E6698" s="11" t="str">
        <x:v>CNY</x:v>
      </x:c>
      <x:c r="F6698" s="11" t="n">
        <x:v>11.227926078028748</x:v>
      </x:c>
      <x:c r="G6698" s="26" t="b">
        <x:v>1</x:v>
      </x:c>
      <x:c r="H6698" s="16" t="n">
        <x:v>0.55</x:v>
      </x:c>
      <x:c r="I6698" s="16" t="n">
        <x:v>3.1</x:v>
      </x:c>
      <x:c r="J6698" s="16" t="n">
        <x:v>5.5</x:v>
      </x:c>
      <x:c r="K6698" s="11" t="n">
        <x:f>CHOOSE('假设'!$B$3,H6698,I6698,J6698)</x:f>
        <x:v>3.1</x:v>
      </x:c>
      <x:c r="L6698" s="11" t="n">
        <x:f>K6698*'管线假设'!E1431*'管线假设'!F1431*'管线假设'!G1431*IF(E6698="USD",'管线假设'!I1431,1)-AM6698</x:f>
        <x:v>1.08965</x:v>
      </x:c>
      <x:c r="M6698" s="11" t="n">
        <x:f>'管线假设'!H1431</x:f>
        <x:v>0.14</x:v>
      </x:c>
      <x:c r="N6698" s="11" t="n">
        <x:f>IF(G6698,L6698*AN6698/(1+M6698)^F6698,0)</x:f>
        <x:v>0.2502439340422557</x:v>
      </x:c>
      <x:c r="AJ6698" s="42" t="n">
        <x:v>0</x:v>
      </x:c>
      <x:c r="AK6698" s="42" t="n">
        <x:v>0</x:v>
      </x:c>
      <x:c r="AL6698" s="42" t="n">
        <x:v>0</x:v>
      </x:c>
      <x:c r="AM6698" t="n">
        <x:f>CHOOSE('假设'!$B$3,AJ6698,AK6698,AL6698)</x:f>
        <x:v>0</x:v>
      </x:c>
      <x:c r="AN6698" t="n">
        <x:v>1</x:v>
      </x:c>
    </x:row>
    <x:row r="6699" ht="23" customHeight="1">
      <x:c r="A6699" s="11" t="str">
        <x:v>09995.HK</x:v>
      </x:c>
      <x:c r="B6699" s="11" t="str">
        <x:v>一年</x:v>
      </x:c>
      <x:c r="C6699" s="11" t="str">
        <x:v>RC48_approved_China</x:v>
      </x:c>
      <x:c r="D6699" s="11" t="str">
        <x:v>2039-12-31</x:v>
      </x:c>
      <x:c r="E6699" s="11" t="str">
        <x:v>CNY</x:v>
      </x:c>
      <x:c r="F6699" s="11" t="n">
        <x:v>12.227241615331964</x:v>
      </x:c>
      <x:c r="G6699" s="26" t="b">
        <x:v>1</x:v>
      </x:c>
      <x:c r="H6699" s="16" t="n">
        <x:v>0.45</x:v>
      </x:c>
      <x:c r="I6699" s="16" t="n">
        <x:v>2.7</x:v>
      </x:c>
      <x:c r="J6699" s="16" t="n">
        <x:v>4.7</x:v>
      </x:c>
      <x:c r="K6699" s="11" t="n">
        <x:f>CHOOSE('假设'!$B$3,H6699,I6699,J6699)</x:f>
        <x:v>2.7</x:v>
      </x:c>
      <x:c r="L6699" s="11" t="n">
        <x:f>K6699*'管线假设'!E1431*'管线假设'!F1431*'管线假设'!G1431*IF(E6699="USD",'管线假设'!I1431,1)-AM6699</x:f>
        <x:v>0.94905</x:v>
      </x:c>
      <x:c r="M6699" s="11" t="n">
        <x:f>'管线假设'!H1431</x:f>
        <x:v>0.14</x:v>
      </x:c>
      <x:c r="N6699" s="11" t="n">
        <x:f>IF(G6699,L6699*AN6699/(1+M6699)^F6699,0)</x:f>
        <x:v>0.19120521232902304</x:v>
      </x:c>
      <x:c r="AJ6699" s="42" t="n">
        <x:v>0</x:v>
      </x:c>
      <x:c r="AK6699" s="42" t="n">
        <x:v>0</x:v>
      </x:c>
      <x:c r="AL6699" s="42" t="n">
        <x:v>0</x:v>
      </x:c>
      <x:c r="AM6699" t="n">
        <x:f>CHOOSE('假设'!$B$3,AJ6699,AK6699,AL6699)</x:f>
        <x:v>0</x:v>
      </x:c>
      <x:c r="AN6699" t="n">
        <x:v>1</x:v>
      </x:c>
    </x:row>
    <x:row r="6700" ht="23" customHeight="1">
      <x:c r="A6700" s="11" t="str">
        <x:v>09995.HK</x:v>
      </x:c>
      <x:c r="B6700" s="11" t="str">
        <x:v>一年</x:v>
      </x:c>
      <x:c r="C6700" s="11" t="str">
        <x:v>RC48_approved_China</x:v>
      </x:c>
      <x:c r="D6700" s="11" t="str">
        <x:v>2040-12-31</x:v>
      </x:c>
      <x:c r="E6700" s="11" t="str">
        <x:v>CNY</x:v>
      </x:c>
      <x:c r="F6700" s="11" t="n">
        <x:v>13.229295003422314</x:v>
      </x:c>
      <x:c r="G6700" s="26" t="b">
        <x:v>1</x:v>
      </x:c>
      <x:c r="H6700" s="16" t="n">
        <x:v>0.35</x:v>
      </x:c>
      <x:c r="I6700" s="16" t="n">
        <x:v>2.2</x:v>
      </x:c>
      <x:c r="J6700" s="16" t="n">
        <x:v>3.8</x:v>
      </x:c>
      <x:c r="K6700" s="11" t="n">
        <x:f>CHOOSE('假设'!$B$3,H6700,I6700,J6700)</x:f>
        <x:v>2.2</x:v>
      </x:c>
      <x:c r="L6700" s="11" t="n">
        <x:f>K6700*'管线假设'!E1431*'管线假设'!F1431*'管线假设'!G1431*IF(E6700="USD",'管线假设'!I1431,1)-AM6700</x:f>
        <x:v>0.7733</x:v>
      </x:c>
      <x:c r="M6700" s="11" t="n">
        <x:f>'管线假设'!H1431</x:f>
        <x:v>0.14</x:v>
      </x:c>
      <x:c r="N6700" s="11" t="n">
        <x:f>IF(G6700,L6700*AN6700/(1+M6700)^F6700,0)</x:f>
        <x:v>0.13662712972137933</x:v>
      </x:c>
      <x:c r="AJ6700" s="42" t="n">
        <x:v>0</x:v>
      </x:c>
      <x:c r="AK6700" s="42" t="n">
        <x:v>0</x:v>
      </x:c>
      <x:c r="AL6700" s="42" t="n">
        <x:v>0</x:v>
      </x:c>
      <x:c r="AM6700" t="n">
        <x:f>CHOOSE('假设'!$B$3,AJ6700,AK6700,AL6700)</x:f>
        <x:v>0</x:v>
      </x:c>
      <x:c r="AN6700" t="n">
        <x:v>1</x:v>
      </x:c>
    </x:row>
    <x:row r="6701" ht="23" customHeight="1">
      <x:c r="A6701" s="11" t="str">
        <x:v>09995.HK</x:v>
      </x:c>
      <x:c r="B6701" s="11" t="str">
        <x:v>一年</x:v>
      </x:c>
      <x:c r="C6701" s="11" t="str">
        <x:v>RC48_approved_China</x:v>
      </x:c>
      <x:c r="D6701" s="11" t="str">
        <x:v>2041-12-31</x:v>
      </x:c>
      <x:c r="E6701" s="11" t="str">
        <x:v>CNY</x:v>
      </x:c>
      <x:c r="F6701" s="11" t="n">
        <x:v>14.22861054072553</x:v>
      </x:c>
      <x:c r="G6701" s="26" t="b">
        <x:v>1</x:v>
      </x:c>
      <x:c r="H6701" s="16" t="n">
        <x:v>0.25</x:v>
      </x:c>
      <x:c r="I6701" s="16" t="n">
        <x:v>1.7</x:v>
      </x:c>
      <x:c r="J6701" s="16" t="n">
        <x:v>2.9</x:v>
      </x:c>
      <x:c r="K6701" s="11" t="n">
        <x:f>CHOOSE('假设'!$B$3,H6701,I6701,J6701)</x:f>
        <x:v>1.7</x:v>
      </x:c>
      <x:c r="L6701" s="11" t="n">
        <x:f>K6701*'管线假设'!E1431*'管线假设'!F1431*'管线假设'!G1431*IF(E6701="USD",'管线假设'!I1431,1)-AM6701</x:f>
        <x:v>0.59755</x:v>
      </x:c>
      <x:c r="M6701" s="11" t="n">
        <x:f>'管线假设'!H1431</x:f>
        <x:v>0.14</x:v>
      </x:c>
      <x:c r="N6701" s="11" t="n">
        <x:f>IF(G6701,L6701*AN6701/(1+M6701)^F6701,0)</x:f>
        <x:v>0.09261840191603546</x:v>
      </x:c>
      <x:c r="AJ6701" s="42" t="n">
        <x:v>0</x:v>
      </x:c>
      <x:c r="AK6701" s="42" t="n">
        <x:v>0</x:v>
      </x:c>
      <x:c r="AL6701" s="42" t="n">
        <x:v>0</x:v>
      </x:c>
      <x:c r="AM6701" t="n">
        <x:f>CHOOSE('假设'!$B$3,AJ6701,AK6701,AL6701)</x:f>
        <x:v>0</x:v>
      </x:c>
      <x:c r="AN6701" t="n">
        <x:v>1</x:v>
      </x:c>
    </x:row>
    <x:row r="6702" ht="23" customHeight="1">
      <x:c r="A6702" s="11" t="str">
        <x:v>09995.HK</x:v>
      </x:c>
      <x:c r="B6702" s="11" t="str">
        <x:v>一年</x:v>
      </x:c>
      <x:c r="C6702" s="11" t="str">
        <x:v>RC48_approved_China</x:v>
      </x:c>
      <x:c r="D6702" s="11" t="str">
        <x:v>2042-12-31</x:v>
      </x:c>
      <x:c r="E6702" s="11" t="str">
        <x:v>CNY</x:v>
      </x:c>
      <x:c r="F6702" s="11" t="n">
        <x:v>15.227926078028748</x:v>
      </x:c>
      <x:c r="G6702" s="26" t="b">
        <x:v>1</x:v>
      </x:c>
      <x:c r="H6702" s="16" t="n">
        <x:v>0.18</x:v>
      </x:c>
      <x:c r="I6702" s="16" t="n">
        <x:v>1.2</x:v>
      </x:c>
      <x:c r="J6702" s="16" t="n">
        <x:v>2.1</x:v>
      </x:c>
      <x:c r="K6702" s="11" t="n">
        <x:f>CHOOSE('假设'!$B$3,H6702,I6702,J6702)</x:f>
        <x:v>1.2</x:v>
      </x:c>
      <x:c r="L6702" s="11" t="n">
        <x:f>K6702*'管线假设'!E1431*'管线假设'!F1431*'管线假设'!G1431*IF(E6702="USD",'管线假设'!I1431,1)-AM6702</x:f>
        <x:v>0.42179999999999995</x:v>
      </x:c>
      <x:c r="M6702" s="11" t="n">
        <x:f>'管线假设'!H1431</x:f>
        <x:v>0.14</x:v>
      </x:c>
      <x:c r="N6702" s="11" t="n">
        <x:f>IF(G6702,L6702*AN6702/(1+M6702)^F6702,0)</x:f>
        <x:v>0.057353999178559795</x:v>
      </x:c>
      <x:c r="AJ6702" s="42" t="n">
        <x:v>0</x:v>
      </x:c>
      <x:c r="AK6702" s="42" t="n">
        <x:v>0</x:v>
      </x:c>
      <x:c r="AL6702" s="42" t="n">
        <x:v>0</x:v>
      </x:c>
      <x:c r="AM6702" t="n">
        <x:f>CHOOSE('假设'!$B$3,AJ6702,AK6702,AL6702)</x:f>
        <x:v>0</x:v>
      </x:c>
      <x:c r="AN6702" t="n">
        <x:v>1</x:v>
      </x:c>
    </x:row>
    <x:row r="6703" ht="23" customHeight="1">
      <x:c r="A6703" s="11" t="str">
        <x:v>09995.HK</x:v>
      </x:c>
      <x:c r="B6703" s="11" t="str">
        <x:v>一年</x:v>
      </x:c>
      <x:c r="C6703" s="11" t="str">
        <x:v>RC48_approved_China</x:v>
      </x:c>
      <x:c r="D6703" s="11" t="str">
        <x:v>2043-12-31</x:v>
      </x:c>
      <x:c r="E6703" s="11" t="str">
        <x:v>CNY</x:v>
      </x:c>
      <x:c r="F6703" s="11" t="n">
        <x:v>16.227241615331966</x:v>
      </x:c>
      <x:c r="G6703" s="26" t="b">
        <x:v>1</x:v>
      </x:c>
      <x:c r="H6703" s="16" t="n">
        <x:v>0.12</x:v>
      </x:c>
      <x:c r="I6703" s="16" t="n">
        <x:v>0.8</x:v>
      </x:c>
      <x:c r="J6703" s="16" t="n">
        <x:v>1.4</x:v>
      </x:c>
      <x:c r="K6703" s="11" t="n">
        <x:f>CHOOSE('假设'!$B$3,H6703,I6703,J6703)</x:f>
        <x:v>0.8</x:v>
      </x:c>
      <x:c r="L6703" s="11" t="n">
        <x:f>K6703*'管线假设'!E1431*'管线假设'!F1431*'管线假设'!G1431*IF(E6703="USD",'管线假设'!I1431,1)-AM6703</x:f>
        <x:v>0.2812</x:v>
      </x:c>
      <x:c r="M6703" s="11" t="n">
        <x:f>'管线假设'!H1431</x:f>
        <x:v>0.14</x:v>
      </x:c>
      <x:c r="N6703" s="11" t="n">
        <x:f>IF(G6703,L6703*AN6703/(1+M6703)^F6703,0)</x:f>
        <x:v>0.03354335856307968</x:v>
      </x:c>
      <x:c r="AJ6703" s="42" t="n">
        <x:v>0</x:v>
      </x:c>
      <x:c r="AK6703" s="42" t="n">
        <x:v>0</x:v>
      </x:c>
      <x:c r="AL6703" s="42" t="n">
        <x:v>0</x:v>
      </x:c>
      <x:c r="AM6703" t="n">
        <x:f>CHOOSE('假设'!$B$3,AJ6703,AK6703,AL6703)</x:f>
        <x:v>0</x:v>
      </x:c>
      <x:c r="AN6703" t="n">
        <x:v>1</x:v>
      </x:c>
    </x:row>
    <x:row r="6704" ht="23" customHeight="1">
      <x:c r="A6704" s="11" t="str">
        <x:v>09995.HK</x:v>
      </x:c>
      <x:c r="B6704" s="11" t="str">
        <x:v>一年</x:v>
      </x:c>
      <x:c r="C6704" s="11" t="str">
        <x:v>RC48_approved_China</x:v>
      </x:c>
      <x:c r="D6704" s="11" t="str">
        <x:v>2044-12-31</x:v>
      </x:c>
      <x:c r="E6704" s="11" t="str">
        <x:v>CNY</x:v>
      </x:c>
      <x:c r="F6704" s="11" t="n">
        <x:v>17.229295003422312</x:v>
      </x:c>
      <x:c r="G6704" s="26" t="b">
        <x:v>1</x:v>
      </x:c>
      <x:c r="H6704" s="16" t="n">
        <x:v>0.08</x:v>
      </x:c>
      <x:c r="I6704" s="16" t="n">
        <x:v>0.45</x:v>
      </x:c>
      <x:c r="J6704" s="16" t="n">
        <x:v>0.8</x:v>
      </x:c>
      <x:c r="K6704" s="11" t="n">
        <x:f>CHOOSE('假设'!$B$3,H6704,I6704,J6704)</x:f>
        <x:v>0.45</x:v>
      </x:c>
      <x:c r="L6704" s="11" t="n">
        <x:f>K6704*'管线假设'!E1431*'管线假设'!F1431*'管线假设'!G1431*IF(E6704="USD",'管线假设'!I1431,1)-AM6704</x:f>
        <x:v>0.15817499999999998</x:v>
      </x:c>
      <x:c r="M6704" s="11" t="n">
        <x:f>'管线假设'!H1431</x:f>
        <x:v>0.14</x:v>
      </x:c>
      <x:c r="N6704" s="11" t="n">
        <x:f>IF(G6704,L6704*AN6704/(1+M6704)^F6704,0)</x:f>
        <x:v>0.016546546812626003</x:v>
      </x:c>
      <x:c r="AJ6704" s="42" t="n">
        <x:v>0</x:v>
      </x:c>
      <x:c r="AK6704" s="42" t="n">
        <x:v>0</x:v>
      </x:c>
      <x:c r="AL6704" s="42" t="n">
        <x:v>0</x:v>
      </x:c>
      <x:c r="AM6704" t="n">
        <x:f>CHOOSE('假设'!$B$3,AJ6704,AK6704,AL6704)</x:f>
        <x:v>0</x:v>
      </x:c>
      <x:c r="AN6704" t="n">
        <x:v>1</x:v>
      </x:c>
    </x:row>
    <x:row r="6705" ht="23" customHeight="1">
      <x:c r="A6705" s="11" t="str">
        <x:v>09995.HK</x:v>
      </x:c>
      <x:c r="B6705" s="11" t="str">
        <x:v>一年</x:v>
      </x:c>
      <x:c r="C6705" s="11" t="str">
        <x:v>RC18_new_China</x:v>
      </x:c>
      <x:c r="D6705" s="11" t="str">
        <x:v>2026-12-31</x:v>
      </x:c>
      <x:c r="E6705" s="11" t="str">
        <x:v>CNY</x:v>
      </x:c>
      <x:c r="F6705" s="11" t="n">
        <x:v>-0.7720739219712526</x:v>
      </x:c>
      <x:c r="G6705" s="26" t="b">
        <x:v>0</x:v>
      </x:c>
      <x:c r="H6705" s="16" t="n">
        <x:v>0</x:v>
      </x:c>
      <x:c r="I6705" s="16" t="n">
        <x:v>0</x:v>
      </x:c>
      <x:c r="J6705" s="16" t="n">
        <x:v>0</x:v>
      </x:c>
      <x:c r="K6705" s="11" t="n">
        <x:f>CHOOSE('假设'!$B$3,H6705,I6705,J6705)</x:f>
        <x:v>0</x:v>
      </x:c>
      <x:c r="L6705" s="11" t="n">
        <x:f>K6705*'管线假设'!E1435*'管线假设'!F1435*'管线假设'!G1435*IF(E6705="USD",'管线假设'!I1435,1)-AM6705</x:f>
        <x:v>-0.13</x:v>
      </x:c>
      <x:c r="M6705" s="11" t="n">
        <x:f>'管线假设'!H1435</x:f>
        <x:v>0.14</x:v>
      </x:c>
      <x:c r="N6705" s="11" t="n">
        <x:f>IF(G6705,L6705*AN6705/(1+M6705)^F6705,0)</x:f>
        <x:v>0</x:v>
      </x:c>
      <x:c r="AJ6705" s="42" t="n">
        <x:v>0.08</x:v>
      </x:c>
      <x:c r="AK6705" s="42" t="n">
        <x:v>0.13</x:v>
      </x:c>
      <x:c r="AL6705" s="42" t="n">
        <x:v>0.18</x:v>
      </x:c>
      <x:c r="AM6705" t="n">
        <x:f>CHOOSE('假设'!$B$3,AJ6705,AK6705,AL6705)</x:f>
        <x:v>0.13</x:v>
      </x:c>
      <x:c r="AN6705" t="n">
        <x:v>0</x:v>
      </x:c>
    </x:row>
    <x:row r="6706" ht="23" customHeight="1">
      <x:c r="A6706" s="11" t="str">
        <x:v>09995.HK</x:v>
      </x:c>
      <x:c r="B6706" s="11" t="str">
        <x:v>一年</x:v>
      </x:c>
      <x:c r="C6706" s="11" t="str">
        <x:v>RC18_new_China</x:v>
      </x:c>
      <x:c r="D6706" s="11" t="str">
        <x:v>2027-12-31</x:v>
      </x:c>
      <x:c r="E6706" s="11" t="str">
        <x:v>CNY</x:v>
      </x:c>
      <x:c r="F6706" s="11" t="n">
        <x:v>0.2272416153319644</x:v>
      </x:c>
      <x:c r="G6706" s="26" t="b">
        <x:v>1</x:v>
      </x:c>
      <x:c r="H6706" s="16" t="n">
        <x:v>0</x:v>
      </x:c>
      <x:c r="I6706" s="16" t="n">
        <x:v>0</x:v>
      </x:c>
      <x:c r="J6706" s="16" t="n">
        <x:v>0</x:v>
      </x:c>
      <x:c r="K6706" s="11" t="n">
        <x:f>CHOOSE('假设'!$B$3,H6706,I6706,J6706)</x:f>
        <x:v>0</x:v>
      </x:c>
      <x:c r="L6706" s="11" t="n">
        <x:f>K6706*'管线假设'!E1435*'管线假设'!F1435*'管线假设'!G1435*IF(E6706="USD",'管线假设'!I1435,1)-AM6706</x:f>
        <x:v>-0.16</x:v>
      </x:c>
      <x:c r="M6706" s="11" t="n">
        <x:f>'管线假设'!H1435</x:f>
        <x:v>0.14</x:v>
      </x:c>
      <x:c r="N6706" s="11" t="n">
        <x:f>IF(G6706,L6706*AN6706/(1+M6706)^F6706,0)</x:f>
        <x:v>-0.035413230079900826</x:v>
      </x:c>
      <x:c r="AJ6706" s="42" t="n">
        <x:v>0.08</x:v>
      </x:c>
      <x:c r="AK6706" s="42" t="n">
        <x:v>0.16</x:v>
      </x:c>
      <x:c r="AL6706" s="42" t="n">
        <x:v>0.22</x:v>
      </x:c>
      <x:c r="AM6706" t="n">
        <x:f>CHOOSE('假设'!$B$3,AJ6706,AK6706,AL6706)</x:f>
        <x:v>0.16</x:v>
      </x:c>
      <x:c r="AN6706" t="n">
        <x:v>0.22802197802197802</x:v>
      </x:c>
    </x:row>
    <x:row r="6707" ht="23" customHeight="1">
      <x:c r="A6707" s="11" t="str">
        <x:v>09995.HK</x:v>
      </x:c>
      <x:c r="B6707" s="11" t="str">
        <x:v>一年</x:v>
      </x:c>
      <x:c r="C6707" s="11" t="str">
        <x:v>RC18_new_China</x:v>
      </x:c>
      <x:c r="D6707" s="11" t="str">
        <x:v>2028-12-31</x:v>
      </x:c>
      <x:c r="E6707" s="11" t="str">
        <x:v>CNY</x:v>
      </x:c>
      <x:c r="F6707" s="11" t="n">
        <x:v>1.2292950034223136</x:v>
      </x:c>
      <x:c r="G6707" s="26" t="b">
        <x:v>1</x:v>
      </x:c>
      <x:c r="H6707" s="16" t="n">
        <x:v>0</x:v>
      </x:c>
      <x:c r="I6707" s="16" t="n">
        <x:v>0</x:v>
      </x:c>
      <x:c r="J6707" s="16" t="n">
        <x:v>0</x:v>
      </x:c>
      <x:c r="K6707" s="11" t="n">
        <x:f>CHOOSE('假设'!$B$3,H6707,I6707,J6707)</x:f>
        <x:v>0</x:v>
      </x:c>
      <x:c r="L6707" s="11" t="n">
        <x:f>K6707*'管线假设'!E1435*'管线假设'!F1435*'管线假设'!G1435*IF(E6707="USD",'管线假设'!I1435,1)-AM6707</x:f>
        <x:v>-0.15</x:v>
      </x:c>
      <x:c r="M6707" s="11" t="n">
        <x:f>'管线假设'!H1435</x:f>
        <x:v>0.14</x:v>
      </x:c>
      <x:c r="N6707" s="11" t="n">
        <x:f>IF(G6707,L6707*AN6707/(1+M6707)^F6707,0)</x:f>
        <x:v>-0.12768456746488424</x:v>
      </x:c>
      <x:c r="AJ6707" s="42" t="n">
        <x:v>0.06</x:v>
      </x:c>
      <x:c r="AK6707" s="42" t="n">
        <x:v>0.15</x:v>
      </x:c>
      <x:c r="AL6707" s="42" t="n">
        <x:v>0.2</x:v>
      </x:c>
      <x:c r="AM6707" t="n">
        <x:f>CHOOSE('假设'!$B$3,AJ6707,AK6707,AL6707)</x:f>
        <x:v>0.15</x:v>
      </x:c>
      <x:c r="AN6707" t="n">
        <x:v>1</x:v>
      </x:c>
    </x:row>
    <x:row r="6708" ht="23" customHeight="1">
      <x:c r="A6708" s="11" t="str">
        <x:v>09995.HK</x:v>
      </x:c>
      <x:c r="B6708" s="11" t="str">
        <x:v>一年</x:v>
      </x:c>
      <x:c r="C6708" s="11" t="str">
        <x:v>RC18_new_China</x:v>
      </x:c>
      <x:c r="D6708" s="11" t="str">
        <x:v>2029-12-31</x:v>
      </x:c>
      <x:c r="E6708" s="11" t="str">
        <x:v>CNY</x:v>
      </x:c>
      <x:c r="F6708" s="11" t="n">
        <x:v>2.2286105407255303</x:v>
      </x:c>
      <x:c r="G6708" s="26" t="b">
        <x:v>1</x:v>
      </x:c>
      <x:c r="H6708" s="16" t="n">
        <x:v>0</x:v>
      </x:c>
      <x:c r="I6708" s="16" t="n">
        <x:v>0</x:v>
      </x:c>
      <x:c r="J6708" s="16" t="n">
        <x:v>0.18</x:v>
      </x:c>
      <x:c r="K6708" s="11" t="n">
        <x:f>CHOOSE('假设'!$B$3,H6708,I6708,J6708)</x:f>
        <x:v>0</x:v>
      </x:c>
      <x:c r="L6708" s="11" t="n">
        <x:f>K6708*'管线假设'!E1435*'管线假设'!F1435*'管线假设'!G1435*IF(E6708="USD",'管线假设'!I1435,1)-AM6708</x:f>
        <x:v>-0.1</x:v>
      </x:c>
      <x:c r="M6708" s="11" t="n">
        <x:f>'管线假设'!H1435</x:f>
        <x:v>0.14</x:v>
      </x:c>
      <x:c r="N6708" s="11" t="n">
        <x:f>IF(G6708,L6708*AN6708/(1+M6708)^F6708,0)</x:f>
        <x:v>-0.07467603464079658</x:v>
      </x:c>
      <x:c r="AJ6708" s="42" t="n">
        <x:v>0</x:v>
      </x:c>
      <x:c r="AK6708" s="42" t="n">
        <x:v>0.1</x:v>
      </x:c>
      <x:c r="AL6708" s="42" t="n">
        <x:v>0.12</x:v>
      </x:c>
      <x:c r="AM6708" t="n">
        <x:f>CHOOSE('假设'!$B$3,AJ6708,AK6708,AL6708)</x:f>
        <x:v>0.1</x:v>
      </x:c>
      <x:c r="AN6708" t="n">
        <x:v>1</x:v>
      </x:c>
    </x:row>
    <x:row r="6709" ht="23" customHeight="1">
      <x:c r="A6709" s="11" t="str">
        <x:v>09995.HK</x:v>
      </x:c>
      <x:c r="B6709" s="11" t="str">
        <x:v>一年</x:v>
      </x:c>
      <x:c r="C6709" s="11" t="str">
        <x:v>RC18_new_China</x:v>
      </x:c>
      <x:c r="D6709" s="11" t="str">
        <x:v>2030-12-31</x:v>
      </x:c>
      <x:c r="E6709" s="11" t="str">
        <x:v>CNY</x:v>
      </x:c>
      <x:c r="F6709" s="11" t="n">
        <x:v>3.2279260780287475</x:v>
      </x:c>
      <x:c r="G6709" s="26" t="b">
        <x:v>1</x:v>
      </x:c>
      <x:c r="H6709" s="16" t="n">
        <x:v>0</x:v>
      </x:c>
      <x:c r="I6709" s="16" t="n">
        <x:v>0.09</x:v>
      </x:c>
      <x:c r="J6709" s="16" t="n">
        <x:v>0.54</x:v>
      </x:c>
      <x:c r="K6709" s="11" t="n">
        <x:f>CHOOSE('假设'!$B$3,H6709,I6709,J6709)</x:f>
        <x:v>0.09</x:v>
      </x:c>
      <x:c r="L6709" s="11" t="n">
        <x:f>K6709*'管线假设'!E1435*'管线假设'!F1435*'管线假设'!G1435*IF(E6709="USD",'管线假设'!I1435,1)-AM6709</x:f>
        <x:v>0.015479999999999999</x:v>
      </x:c>
      <x:c r="M6709" s="11" t="n">
        <x:f>'管线假设'!H1435</x:f>
        <x:v>0.14</x:v>
      </x:c>
      <x:c r="N6709" s="11" t="n">
        <x:f>IF(G6709,L6709*AN6709/(1+M6709)^F6709,0)</x:f>
        <x:v>0.01014112889649165</x:v>
      </x:c>
      <x:c r="AJ6709" s="42" t="n">
        <x:v>0</x:v>
      </x:c>
      <x:c r="AK6709" s="42" t="n">
        <x:v>0</x:v>
      </x:c>
      <x:c r="AL6709" s="42" t="n">
        <x:v>0</x:v>
      </x:c>
      <x:c r="AM6709" t="n">
        <x:f>CHOOSE('假设'!$B$3,AJ6709,AK6709,AL6709)</x:f>
        <x:v>0</x:v>
      </x:c>
      <x:c r="AN6709" t="n">
        <x:v>1</x:v>
      </x:c>
    </x:row>
    <x:row r="6710" ht="23" customHeight="1">
      <x:c r="A6710" s="11" t="str">
        <x:v>09995.HK</x:v>
      </x:c>
      <x:c r="B6710" s="11" t="str">
        <x:v>一年</x:v>
      </x:c>
      <x:c r="C6710" s="11" t="str">
        <x:v>RC18_new_China</x:v>
      </x:c>
      <x:c r="D6710" s="11" t="str">
        <x:v>2031-12-31</x:v>
      </x:c>
      <x:c r="E6710" s="11" t="str">
        <x:v>CNY</x:v>
      </x:c>
      <x:c r="F6710" s="11" t="n">
        <x:v>4.227241615331964</x:v>
      </x:c>
      <x:c r="G6710" s="26" t="b">
        <x:v>1</x:v>
      </x:c>
      <x:c r="H6710" s="16" t="n">
        <x:v>0</x:v>
      </x:c>
      <x:c r="I6710" s="16" t="n">
        <x:v>0.27</x:v>
      </x:c>
      <x:c r="J6710" s="16" t="n">
        <x:v>1.1400000000000001</x:v>
      </x:c>
      <x:c r="K6710" s="11" t="n">
        <x:f>CHOOSE('假设'!$B$3,H6710,I6710,J6710)</x:f>
        <x:v>0.27</x:v>
      </x:c>
      <x:c r="L6710" s="11" t="n">
        <x:f>K6710*'管线假设'!E1435*'管线假设'!F1435*'管线假设'!G1435*IF(E6710="USD",'管线假设'!I1435,1)-AM6710</x:f>
        <x:v>0.04644</x:v>
      </x:c>
      <x:c r="M6710" s="11" t="n">
        <x:f>'管线假设'!H1435</x:f>
        <x:v>0.14</x:v>
      </x:c>
      <x:c r="N6710" s="11" t="n">
        <x:f>IF(G6710,L6710*AN6710/(1+M6710)^F6710,0)</x:f>
        <x:v>0.026689574825928715</x:v>
      </x:c>
      <x:c r="AJ6710" s="42" t="n">
        <x:v>0</x:v>
      </x:c>
      <x:c r="AK6710" s="42" t="n">
        <x:v>0</x:v>
      </x:c>
      <x:c r="AL6710" s="42" t="n">
        <x:v>0</x:v>
      </x:c>
      <x:c r="AM6710" t="n">
        <x:f>CHOOSE('假设'!$B$3,AJ6710,AK6710,AL6710)</x:f>
        <x:v>0</x:v>
      </x:c>
      <x:c r="AN6710" t="n">
        <x:v>1</x:v>
      </x:c>
    </x:row>
    <x:row r="6711" ht="23" customHeight="1">
      <x:c r="A6711" s="11" t="str">
        <x:v>09995.HK</x:v>
      </x:c>
      <x:c r="B6711" s="11" t="str">
        <x:v>一年</x:v>
      </x:c>
      <x:c r="C6711" s="11" t="str">
        <x:v>RC18_new_China</x:v>
      </x:c>
      <x:c r="D6711" s="11" t="str">
        <x:v>2032-12-31</x:v>
      </x:c>
      <x:c r="E6711" s="11" t="str">
        <x:v>CNY</x:v>
      </x:c>
      <x:c r="F6711" s="11" t="n">
        <x:v>5.229295003422314</x:v>
      </x:c>
      <x:c r="G6711" s="26" t="b">
        <x:v>1</x:v>
      </x:c>
      <x:c r="H6711" s="16" t="n">
        <x:v>0.036</x:v>
      </x:c>
      <x:c r="I6711" s="16" t="n">
        <x:v>0.5700000000000001</x:v>
      </x:c>
      <x:c r="J6711" s="16" t="n">
        <x:v>1.9500000000000002</x:v>
      </x:c>
      <x:c r="K6711" s="11" t="n">
        <x:f>CHOOSE('假设'!$B$3,H6711,I6711,J6711)</x:f>
        <x:v>0.5700000000000001</x:v>
      </x:c>
      <x:c r="L6711" s="11" t="n">
        <x:f>K6711*'管线假设'!E1435*'管线假设'!F1435*'管线假设'!G1435*IF(E6711="USD",'管线假设'!I1435,1)-AM6711</x:f>
        <x:v>0.09804000000000002</x:v>
      </x:c>
      <x:c r="M6711" s="11" t="n">
        <x:f>'管线假设'!H1435</x:f>
        <x:v>0.14</x:v>
      </x:c>
      <x:c r="N6711" s="11" t="n">
        <x:f>IF(G6711,L6711*AN6711/(1+M6711)^F6711,0)</x:f>
        <x:v>0.04941184242915967</x:v>
      </x:c>
      <x:c r="AJ6711" s="42" t="n">
        <x:v>0</x:v>
      </x:c>
      <x:c r="AK6711" s="42" t="n">
        <x:v>0</x:v>
      </x:c>
      <x:c r="AL6711" s="42" t="n">
        <x:v>0</x:v>
      </x:c>
      <x:c r="AM6711" t="n">
        <x:f>CHOOSE('假设'!$B$3,AJ6711,AK6711,AL6711)</x:f>
        <x:v>0</x:v>
      </x:c>
      <x:c r="AN6711" t="n">
        <x:v>1</x:v>
      </x:c>
    </x:row>
    <x:row r="6712" ht="23" customHeight="1">
      <x:c r="A6712" s="11" t="str">
        <x:v>09995.HK</x:v>
      </x:c>
      <x:c r="B6712" s="11" t="str">
        <x:v>一年</x:v>
      </x:c>
      <x:c r="C6712" s="11" t="str">
        <x:v>RC18_new_China</x:v>
      </x:c>
      <x:c r="D6712" s="11" t="str">
        <x:v>2033-12-31</x:v>
      </x:c>
      <x:c r="E6712" s="11" t="str">
        <x:v>CNY</x:v>
      </x:c>
      <x:c r="F6712" s="11" t="n">
        <x:v>6.228610540725531</x:v>
      </x:c>
      <x:c r="G6712" s="26" t="b">
        <x:v>1</x:v>
      </x:c>
      <x:c r="H6712" s="16" t="n">
        <x:v>0.108</x:v>
      </x:c>
      <x:c r="I6712" s="16" t="n">
        <x:v>0.9750000000000001</x:v>
      </x:c>
      <x:c r="J6712" s="16" t="n">
        <x:v>2.55</x:v>
      </x:c>
      <x:c r="K6712" s="11" t="n">
        <x:f>CHOOSE('假设'!$B$3,H6712,I6712,J6712)</x:f>
        <x:v>0.9750000000000001</x:v>
      </x:c>
      <x:c r="L6712" s="11" t="n">
        <x:f>K6712*'管线假设'!E1435*'管线假设'!F1435*'管线假设'!G1435*IF(E6712="USD",'管线假设'!I1435,1)-AM6712</x:f>
        <x:v>0.16770000000000002</x:v>
      </x:c>
      <x:c r="M6712" s="11" t="n">
        <x:f>'管线假设'!H1435</x:f>
        <x:v>0.14</x:v>
      </x:c>
      <x:c r="N6712" s="11" t="n">
        <x:f>IF(G6712,L6712*AN6712/(1+M6712)^F6712,0)</x:f>
        <x:v>0.07414722564717915</x:v>
      </x:c>
      <x:c r="AJ6712" s="42" t="n">
        <x:v>0</x:v>
      </x:c>
      <x:c r="AK6712" s="42" t="n">
        <x:v>0</x:v>
      </x:c>
      <x:c r="AL6712" s="42" t="n">
        <x:v>0</x:v>
      </x:c>
      <x:c r="AM6712" t="n">
        <x:f>CHOOSE('假设'!$B$3,AJ6712,AK6712,AL6712)</x:f>
        <x:v>0</x:v>
      </x:c>
      <x:c r="AN6712" t="n">
        <x:v>1</x:v>
      </x:c>
    </x:row>
    <x:row r="6713" ht="23" customHeight="1">
      <x:c r="A6713" s="11" t="str">
        <x:v>09995.HK</x:v>
      </x:c>
      <x:c r="B6713" s="11" t="str">
        <x:v>一年</x:v>
      </x:c>
      <x:c r="C6713" s="11" t="str">
        <x:v>RC18_new_China</x:v>
      </x:c>
      <x:c r="D6713" s="11" t="str">
        <x:v>2034-12-31</x:v>
      </x:c>
      <x:c r="E6713" s="11" t="str">
        <x:v>CNY</x:v>
      </x:c>
      <x:c r="F6713" s="11" t="n">
        <x:v>7.227926078028747</x:v>
      </x:c>
      <x:c r="G6713" s="26" t="b">
        <x:v>1</x:v>
      </x:c>
      <x:c r="H6713" s="16" t="n">
        <x:v>0.22799999999999998</x:v>
      </x:c>
      <x:c r="I6713" s="16" t="n">
        <x:v>1.275</x:v>
      </x:c>
      <x:c r="J6713" s="16" t="n">
        <x:v>3</x:v>
      </x:c>
      <x:c r="K6713" s="11" t="n">
        <x:f>CHOOSE('假设'!$B$3,H6713,I6713,J6713)</x:f>
        <x:v>1.275</x:v>
      </x:c>
      <x:c r="L6713" s="11" t="n">
        <x:f>K6713*'管线假设'!E1435*'管线假设'!F1435*'管线假设'!G1435*IF(E6713="USD",'管线假设'!I1435,1)-AM6713</x:f>
        <x:v>0.2193</x:v>
      </x:c>
      <x:c r="M6713" s="11" t="n">
        <x:f>'管线假设'!H1435</x:f>
        <x:v>0.14</x:v>
      </x:c>
      <x:c r="N6713" s="11" t="n">
        <x:f>IF(G6713,L6713*AN6713/(1+M6713)^F6713,0)</x:f>
        <x:v>0.08506180080665626</x:v>
      </x:c>
      <x:c r="AJ6713" s="42" t="n">
        <x:v>0</x:v>
      </x:c>
      <x:c r="AK6713" s="42" t="n">
        <x:v>0</x:v>
      </x:c>
      <x:c r="AL6713" s="42" t="n">
        <x:v>0</x:v>
      </x:c>
      <x:c r="AM6713" t="n">
        <x:f>CHOOSE('假设'!$B$3,AJ6713,AK6713,AL6713)</x:f>
        <x:v>0</x:v>
      </x:c>
      <x:c r="AN6713" t="n">
        <x:v>1</x:v>
      </x:c>
    </x:row>
    <x:row r="6714" ht="23" customHeight="1">
      <x:c r="A6714" s="11" t="str">
        <x:v>09995.HK</x:v>
      </x:c>
      <x:c r="B6714" s="11" t="str">
        <x:v>一年</x:v>
      </x:c>
      <x:c r="C6714" s="11" t="str">
        <x:v>RC18_new_China</x:v>
      </x:c>
      <x:c r="D6714" s="11" t="str">
        <x:v>2035-12-31</x:v>
      </x:c>
      <x:c r="E6714" s="11" t="str">
        <x:v>CNY</x:v>
      </x:c>
      <x:c r="F6714" s="11" t="n">
        <x:v>8.227241615331964</x:v>
      </x:c>
      <x:c r="G6714" s="26" t="b">
        <x:v>1</x:v>
      </x:c>
      <x:c r="H6714" s="16" t="n">
        <x:v>0.39</x:v>
      </x:c>
      <x:c r="I6714" s="16" t="n">
        <x:v>1.5</x:v>
      </x:c>
      <x:c r="J6714" s="16" t="n">
        <x:v>3</x:v>
      </x:c>
      <x:c r="K6714" s="11" t="n">
        <x:f>CHOOSE('假设'!$B$3,H6714,I6714,J6714)</x:f>
        <x:v>1.5</x:v>
      </x:c>
      <x:c r="L6714" s="11" t="n">
        <x:f>K6714*'管线假设'!E1435*'管线假设'!F1435*'管线假设'!G1435*IF(E6714="USD",'管线假设'!I1435,1)-AM6714</x:f>
        <x:v>0.258</x:v>
      </x:c>
      <x:c r="M6714" s="11" t="n">
        <x:f>'管线假设'!H1435</x:f>
        <x:v>0.14</x:v>
      </x:c>
      <x:c r="N6714" s="11" t="n">
        <x:f>IF(G6714,L6714*AN6714/(1+M6714)^F6714,0)</x:f>
        <x:v>0.08779094925460167</x:v>
      </x:c>
      <x:c r="AJ6714" s="42" t="n">
        <x:v>0</x:v>
      </x:c>
      <x:c r="AK6714" s="42" t="n">
        <x:v>0</x:v>
      </x:c>
      <x:c r="AL6714" s="42" t="n">
        <x:v>0</x:v>
      </x:c>
      <x:c r="AM6714" t="n">
        <x:f>CHOOSE('假设'!$B$3,AJ6714,AK6714,AL6714)</x:f>
        <x:v>0</x:v>
      </x:c>
      <x:c r="AN6714" t="n">
        <x:v>1</x:v>
      </x:c>
    </x:row>
    <x:row r="6715" ht="23" customHeight="1">
      <x:c r="A6715" s="11" t="str">
        <x:v>09995.HK</x:v>
      </x:c>
      <x:c r="B6715" s="11" t="str">
        <x:v>一年</x:v>
      </x:c>
      <x:c r="C6715" s="11" t="str">
        <x:v>RC18_new_China</x:v>
      </x:c>
      <x:c r="D6715" s="11" t="str">
        <x:v>2036-12-31</x:v>
      </x:c>
      <x:c r="E6715" s="11" t="str">
        <x:v>CNY</x:v>
      </x:c>
      <x:c r="F6715" s="11" t="n">
        <x:v>9.229295003422314</x:v>
      </x:c>
      <x:c r="G6715" s="26" t="b">
        <x:v>1</x:v>
      </x:c>
      <x:c r="H6715" s="16" t="n">
        <x:v>0.51</x:v>
      </x:c>
      <x:c r="I6715" s="16" t="n">
        <x:v>1.5</x:v>
      </x:c>
      <x:c r="J6715" s="16" t="n">
        <x:v>2.8499999999999996</x:v>
      </x:c>
      <x:c r="K6715" s="11" t="n">
        <x:f>CHOOSE('假设'!$B$3,H6715,I6715,J6715)</x:f>
        <x:v>1.5</x:v>
      </x:c>
      <x:c r="L6715" s="11" t="n">
        <x:f>K6715*'管线假设'!E1435*'管线假设'!F1435*'管线假设'!G1435*IF(E6715="USD",'管线假设'!I1435,1)-AM6715</x:f>
        <x:v>0.258</x:v>
      </x:c>
      <x:c r="M6715" s="11" t="n">
        <x:f>'管线假设'!H1435</x:f>
        <x:v>0.14</x:v>
      </x:c>
      <x:c r="N6715" s="11" t="n">
        <x:f>IF(G6715,L6715*AN6715/(1+M6715)^F6715,0)</x:f>
        <x:v>0.07698888781797092</x:v>
      </x:c>
      <x:c r="AJ6715" s="42" t="n">
        <x:v>0</x:v>
      </x:c>
      <x:c r="AK6715" s="42" t="n">
        <x:v>0</x:v>
      </x:c>
      <x:c r="AL6715" s="42" t="n">
        <x:v>0</x:v>
      </x:c>
      <x:c r="AM6715" t="n">
        <x:f>CHOOSE('假设'!$B$3,AJ6715,AK6715,AL6715)</x:f>
        <x:v>0</x:v>
      </x:c>
      <x:c r="AN6715" t="n">
        <x:v>1</x:v>
      </x:c>
    </x:row>
    <x:row r="6716" ht="23" customHeight="1">
      <x:c r="A6716" s="11" t="str">
        <x:v>09995.HK</x:v>
      </x:c>
      <x:c r="B6716" s="11" t="str">
        <x:v>一年</x:v>
      </x:c>
      <x:c r="C6716" s="11" t="str">
        <x:v>RC18_new_China</x:v>
      </x:c>
      <x:c r="D6716" s="11" t="str">
        <x:v>2037-12-31</x:v>
      </x:c>
      <x:c r="E6716" s="11" t="str">
        <x:v>CNY</x:v>
      </x:c>
      <x:c r="F6716" s="11" t="n">
        <x:v>10.22861054072553</x:v>
      </x:c>
      <x:c r="G6716" s="26" t="b">
        <x:v>1</x:v>
      </x:c>
      <x:c r="H6716" s="16" t="n">
        <x:v>0.6</x:v>
      </x:c>
      <x:c r="I6716" s="16" t="n">
        <x:v>1.4249999999999998</x:v>
      </x:c>
      <x:c r="J6716" s="16" t="n">
        <x:v>2.7</x:v>
      </x:c>
      <x:c r="K6716" s="11" t="n">
        <x:f>CHOOSE('假设'!$B$3,H6716,I6716,J6716)</x:f>
        <x:v>1.4249999999999998</x:v>
      </x:c>
      <x:c r="L6716" s="11" t="n">
        <x:f>K6716*'管线假设'!E1435*'管线假设'!F1435*'管线假设'!G1435*IF(E6716="USD",'管线假设'!I1435,1)-AM6716</x:f>
        <x:v>0.24509999999999998</x:v>
      </x:c>
      <x:c r="M6716" s="11" t="n">
        <x:f>'管线假设'!H1435</x:f>
        <x:v>0.14</x:v>
      </x:c>
      <x:c r="N6716" s="11" t="n">
        <x:f>IF(G6716,L6716*AN6716/(1+M6716)^F6716,0)</x:f>
        <x:v>0.0641631606631404</x:v>
      </x:c>
      <x:c r="AJ6716" s="42" t="n">
        <x:v>0</x:v>
      </x:c>
      <x:c r="AK6716" s="42" t="n">
        <x:v>0</x:v>
      </x:c>
      <x:c r="AL6716" s="42" t="n">
        <x:v>0</x:v>
      </x:c>
      <x:c r="AM6716" t="n">
        <x:f>CHOOSE('假设'!$B$3,AJ6716,AK6716,AL6716)</x:f>
        <x:v>0</x:v>
      </x:c>
      <x:c r="AN6716" t="n">
        <x:v>1</x:v>
      </x:c>
    </x:row>
    <x:row r="6717" ht="23" customHeight="1">
      <x:c r="A6717" s="11" t="str">
        <x:v>09995.HK</x:v>
      </x:c>
      <x:c r="B6717" s="11" t="str">
        <x:v>一年</x:v>
      </x:c>
      <x:c r="C6717" s="11" t="str">
        <x:v>RC18_new_China</x:v>
      </x:c>
      <x:c r="D6717" s="11" t="str">
        <x:v>2038-12-31</x:v>
      </x:c>
      <x:c r="E6717" s="11" t="str">
        <x:v>CNY</x:v>
      </x:c>
      <x:c r="F6717" s="11" t="n">
        <x:v>11.227926078028748</x:v>
      </x:c>
      <x:c r="G6717" s="26" t="b">
        <x:v>1</x:v>
      </x:c>
      <x:c r="H6717" s="16" t="n">
        <x:v>0.6</x:v>
      </x:c>
      <x:c r="I6717" s="16" t="n">
        <x:v>1.35</x:v>
      </x:c>
      <x:c r="J6717" s="16" t="n">
        <x:v>2.4000000000000004</x:v>
      </x:c>
      <x:c r="K6717" s="11" t="n">
        <x:f>CHOOSE('假设'!$B$3,H6717,I6717,J6717)</x:f>
        <x:v>1.35</x:v>
      </x:c>
      <x:c r="L6717" s="11" t="n">
        <x:f>K6717*'管线假设'!E1435*'管线假设'!F1435*'管线假设'!G1435*IF(E6717="USD",'管线假设'!I1435,1)-AM6717</x:f>
        <x:v>0.23220000000000002</x:v>
      </x:c>
      <x:c r="M6717" s="11" t="n">
        <x:f>'管线假设'!H1435</x:f>
        <x:v>0.14</x:v>
      </x:c>
      <x:c r="N6717" s="11" t="n">
        <x:f>IF(G6717,L6717*AN6717/(1+M6717)^F6717,0)</x:f>
        <x:v>0.05332596841610772</x:v>
      </x:c>
      <x:c r="AJ6717" s="42" t="n">
        <x:v>0</x:v>
      </x:c>
      <x:c r="AK6717" s="42" t="n">
        <x:v>0</x:v>
      </x:c>
      <x:c r="AL6717" s="42" t="n">
        <x:v>0</x:v>
      </x:c>
      <x:c r="AM6717" t="n">
        <x:f>CHOOSE('假设'!$B$3,AJ6717,AK6717,AL6717)</x:f>
        <x:v>0</x:v>
      </x:c>
      <x:c r="AN6717" t="n">
        <x:v>1</x:v>
      </x:c>
    </x:row>
    <x:row r="6718" ht="23" customHeight="1">
      <x:c r="A6718" s="11" t="str">
        <x:v>09995.HK</x:v>
      </x:c>
      <x:c r="B6718" s="11" t="str">
        <x:v>一年</x:v>
      </x:c>
      <x:c r="C6718" s="11" t="str">
        <x:v>RC18_new_China</x:v>
      </x:c>
      <x:c r="D6718" s="11" t="str">
        <x:v>2039-12-31</x:v>
      </x:c>
      <x:c r="E6718" s="11" t="str">
        <x:v>CNY</x:v>
      </x:c>
      <x:c r="F6718" s="11" t="n">
        <x:v>12.227241615331964</x:v>
      </x:c>
      <x:c r="G6718" s="26" t="b">
        <x:v>1</x:v>
      </x:c>
      <x:c r="H6718" s="16" t="n">
        <x:v>0.57</x:v>
      </x:c>
      <x:c r="I6718" s="16" t="n">
        <x:v>1.2000000000000002</x:v>
      </x:c>
      <x:c r="J6718" s="16" t="n">
        <x:v>1.9500000000000002</x:v>
      </x:c>
      <x:c r="K6718" s="11" t="n">
        <x:f>CHOOSE('假设'!$B$3,H6718,I6718,J6718)</x:f>
        <x:v>1.2000000000000002</x:v>
      </x:c>
      <x:c r="L6718" s="11" t="n">
        <x:f>K6718*'管线假设'!E1435*'管线假设'!F1435*'管线假设'!G1435*IF(E6718="USD",'管线假设'!I1435,1)-AM6718</x:f>
        <x:v>0.20640000000000003</x:v>
      </x:c>
      <x:c r="M6718" s="11" t="n">
        <x:f>'管线假设'!H1435</x:f>
        <x:v>0.14</x:v>
      </x:c>
      <x:c r="N6718" s="11" t="n">
        <x:f>IF(G6718,L6718*AN6718/(1+M6718)^F6718,0)</x:f>
        <x:v>0.04158343166820543</x:v>
      </x:c>
      <x:c r="AJ6718" s="42" t="n">
        <x:v>0</x:v>
      </x:c>
      <x:c r="AK6718" s="42" t="n">
        <x:v>0</x:v>
      </x:c>
      <x:c r="AL6718" s="42" t="n">
        <x:v>0</x:v>
      </x:c>
      <x:c r="AM6718" t="n">
        <x:f>CHOOSE('假设'!$B$3,AJ6718,AK6718,AL6718)</x:f>
        <x:v>0</x:v>
      </x:c>
      <x:c r="AN6718" t="n">
        <x:v>1</x:v>
      </x:c>
    </x:row>
    <x:row r="6719" ht="23" customHeight="1">
      <x:c r="A6719" s="11" t="str">
        <x:v>09995.HK</x:v>
      </x:c>
      <x:c r="B6719" s="11" t="str">
        <x:v>一年</x:v>
      </x:c>
      <x:c r="C6719" s="11" t="str">
        <x:v>RC18_new_China</x:v>
      </x:c>
      <x:c r="D6719" s="11" t="str">
        <x:v>2040-12-31</x:v>
      </x:c>
      <x:c r="E6719" s="11" t="str">
        <x:v>CNY</x:v>
      </x:c>
      <x:c r="F6719" s="11" t="n">
        <x:v>13.229295003422314</x:v>
      </x:c>
      <x:c r="G6719" s="26" t="b">
        <x:v>1</x:v>
      </x:c>
      <x:c r="H6719" s="16" t="n">
        <x:v>0.54</x:v>
      </x:c>
      <x:c r="I6719" s="16" t="n">
        <x:v>0.9750000000000001</x:v>
      </x:c>
      <x:c r="J6719" s="16" t="n">
        <x:v>1.5</x:v>
      </x:c>
      <x:c r="K6719" s="11" t="n">
        <x:f>CHOOSE('假设'!$B$3,H6719,I6719,J6719)</x:f>
        <x:v>0.9750000000000001</x:v>
      </x:c>
      <x:c r="L6719" s="11" t="n">
        <x:f>K6719*'管线假设'!E1435*'管线假设'!F1435*'管线假设'!G1435*IF(E6719="USD",'管线假设'!I1435,1)-AM6719</x:f>
        <x:v>0.16770000000000002</x:v>
      </x:c>
      <x:c r="M6719" s="11" t="n">
        <x:f>'管线假设'!H1435</x:f>
        <x:v>0.14</x:v>
      </x:c>
      <x:c r="N6719" s="11" t="n">
        <x:f>IF(G6719,L6719*AN6719/(1+M6719)^F6719,0)</x:f>
        <x:v>0.029629341334896312</x:v>
      </x:c>
      <x:c r="AJ6719" s="42" t="n">
        <x:v>0</x:v>
      </x:c>
      <x:c r="AK6719" s="42" t="n">
        <x:v>0</x:v>
      </x:c>
      <x:c r="AL6719" s="42" t="n">
        <x:v>0</x:v>
      </x:c>
      <x:c r="AM6719" t="n">
        <x:f>CHOOSE('假设'!$B$3,AJ6719,AK6719,AL6719)</x:f>
        <x:v>0</x:v>
      </x:c>
      <x:c r="AN6719" t="n">
        <x:v>1</x:v>
      </x:c>
    </x:row>
    <x:row r="6720" ht="23" customHeight="1">
      <x:c r="A6720" s="11" t="str">
        <x:v>09995.HK</x:v>
      </x:c>
      <x:c r="B6720" s="11" t="str">
        <x:v>一年</x:v>
      </x:c>
      <x:c r="C6720" s="11" t="str">
        <x:v>RC18_new_China</x:v>
      </x:c>
      <x:c r="D6720" s="11" t="str">
        <x:v>2041-12-31</x:v>
      </x:c>
      <x:c r="E6720" s="11" t="str">
        <x:v>CNY</x:v>
      </x:c>
      <x:c r="F6720" s="11" t="n">
        <x:v>14.22861054072553</x:v>
      </x:c>
      <x:c r="G6720" s="26" t="b">
        <x:v>1</x:v>
      </x:c>
      <x:c r="H6720" s="16" t="n">
        <x:v>0.48</x:v>
      </x:c>
      <x:c r="I6720" s="16" t="n">
        <x:v>0.75</x:v>
      </x:c>
      <x:c r="J6720" s="16" t="n">
        <x:v>1.0499999999999998</x:v>
      </x:c>
      <x:c r="K6720" s="11" t="n">
        <x:f>CHOOSE('假设'!$B$3,H6720,I6720,J6720)</x:f>
        <x:v>0.75</x:v>
      </x:c>
      <x:c r="L6720" s="11" t="n">
        <x:f>K6720*'管线假设'!E1435*'管线假设'!F1435*'管线假设'!G1435*IF(E6720="USD",'管线假设'!I1435,1)-AM6720</x:f>
        <x:v>0.129</x:v>
      </x:c>
      <x:c r="M6720" s="11" t="n">
        <x:f>'管线假设'!H1435</x:f>
        <x:v>0.14</x:v>
      </x:c>
      <x:c r="N6720" s="11" t="n">
        <x:f>IF(G6720,L6720*AN6720/(1+M6720)^F6720,0)</x:f>
        <x:v>0.019994601032831686</x:v>
      </x:c>
      <x:c r="AJ6720" s="42" t="n">
        <x:v>0</x:v>
      </x:c>
      <x:c r="AK6720" s="42" t="n">
        <x:v>0</x:v>
      </x:c>
      <x:c r="AL6720" s="42" t="n">
        <x:v>0</x:v>
      </x:c>
      <x:c r="AM6720" t="n">
        <x:f>CHOOSE('假设'!$B$3,AJ6720,AK6720,AL6720)</x:f>
        <x:v>0</x:v>
      </x:c>
      <x:c r="AN6720" t="n">
        <x:v>1</x:v>
      </x:c>
    </x:row>
    <x:row r="6721" ht="23" customHeight="1">
      <x:c r="A6721" s="11" t="str">
        <x:v>09995.HK</x:v>
      </x:c>
      <x:c r="B6721" s="11" t="str">
        <x:v>一年</x:v>
      </x:c>
      <x:c r="C6721" s="11" t="str">
        <x:v>RC18_new_China</x:v>
      </x:c>
      <x:c r="D6721" s="11" t="str">
        <x:v>2042-12-31</x:v>
      </x:c>
      <x:c r="E6721" s="11" t="str">
        <x:v>CNY</x:v>
      </x:c>
      <x:c r="F6721" s="11" t="n">
        <x:v>15.227926078028748</x:v>
      </x:c>
      <x:c r="G6721" s="26" t="b">
        <x:v>1</x:v>
      </x:c>
      <x:c r="H6721" s="16" t="n">
        <x:v>0.39</x:v>
      </x:c>
      <x:c r="I6721" s="16" t="n">
        <x:v>0.5249999999999999</x:v>
      </x:c>
      <x:c r="J6721" s="16" t="n">
        <x:v>0.6000000000000001</x:v>
      </x:c>
      <x:c r="K6721" s="11" t="n">
        <x:f>CHOOSE('假设'!$B$3,H6721,I6721,J6721)</x:f>
        <x:v>0.5249999999999999</x:v>
      </x:c>
      <x:c r="L6721" s="11" t="n">
        <x:f>K6721*'管线假设'!E1435*'管线假设'!F1435*'管线假设'!G1435*IF(E6721="USD",'管线假设'!I1435,1)-AM6721</x:f>
        <x:v>0.09029999999999998</x:v>
      </x:c>
      <x:c r="M6721" s="11" t="n">
        <x:f>'管线假设'!H1435</x:f>
        <x:v>0.14</x:v>
      </x:c>
      <x:c r="N6721" s="11" t="n">
        <x:f>IF(G6721,L6721*AN6721/(1+M6721)^F6721,0)</x:f>
        <x:v>0.012278487733105617</x:v>
      </x:c>
      <x:c r="AJ6721" s="42" t="n">
        <x:v>0</x:v>
      </x:c>
      <x:c r="AK6721" s="42" t="n">
        <x:v>0</x:v>
      </x:c>
      <x:c r="AL6721" s="42" t="n">
        <x:v>0</x:v>
      </x:c>
      <x:c r="AM6721" t="n">
        <x:f>CHOOSE('假设'!$B$3,AJ6721,AK6721,AL6721)</x:f>
        <x:v>0</x:v>
      </x:c>
      <x:c r="AN6721" t="n">
        <x:v>1</x:v>
      </x:c>
    </x:row>
    <x:row r="6722" ht="23" customHeight="1">
      <x:c r="A6722" s="11" t="str">
        <x:v>09995.HK</x:v>
      </x:c>
      <x:c r="B6722" s="11" t="str">
        <x:v>一年</x:v>
      </x:c>
      <x:c r="C6722" s="11" t="str">
        <x:v>RC18_new_China</x:v>
      </x:c>
      <x:c r="D6722" s="11" t="str">
        <x:v>2043-12-31</x:v>
      </x:c>
      <x:c r="E6722" s="11" t="str">
        <x:v>CNY</x:v>
      </x:c>
      <x:c r="F6722" s="11" t="n">
        <x:v>16.227241615331966</x:v>
      </x:c>
      <x:c r="G6722" s="26" t="b">
        <x:v>1</x:v>
      </x:c>
      <x:c r="H6722" s="16" t="n">
        <x:v>0.3</x:v>
      </x:c>
      <x:c r="I6722" s="16" t="n">
        <x:v>0.30000000000000004</x:v>
      </x:c>
      <x:c r="J6722" s="16" t="n">
        <x:v>0.36</x:v>
      </x:c>
      <x:c r="K6722" s="11" t="n">
        <x:f>CHOOSE('假设'!$B$3,H6722,I6722,J6722)</x:f>
        <x:v>0.30000000000000004</x:v>
      </x:c>
      <x:c r="L6722" s="11" t="n">
        <x:f>K6722*'管线假设'!E1435*'管线假设'!F1435*'管线假设'!G1435*IF(E6722="USD",'管线假设'!I1435,1)-AM6722</x:f>
        <x:v>0.05160000000000001</x:v>
      </x:c>
      <x:c r="M6722" s="11" t="n">
        <x:f>'管线假设'!H1435</x:f>
        <x:v>0.14</x:v>
      </x:c>
      <x:c r="N6722" s="11" t="n">
        <x:f>IF(G6722,L6722*AN6722/(1+M6722)^F6722,0)</x:f>
        <x:v>0.0061551824390288475</x:v>
      </x:c>
      <x:c r="AJ6722" s="42" t="n">
        <x:v>0</x:v>
      </x:c>
      <x:c r="AK6722" s="42" t="n">
        <x:v>0</x:v>
      </x:c>
      <x:c r="AL6722" s="42" t="n">
        <x:v>0</x:v>
      </x:c>
      <x:c r="AM6722" t="n">
        <x:f>CHOOSE('假设'!$B$3,AJ6722,AK6722,AL6722)</x:f>
        <x:v>0</x:v>
      </x:c>
      <x:c r="AN6722" t="n">
        <x:v>1</x:v>
      </x:c>
    </x:row>
    <x:row r="6723" ht="23" customHeight="1">
      <x:c r="A6723" s="11" t="str">
        <x:v>09995.HK</x:v>
      </x:c>
      <x:c r="B6723" s="11" t="str">
        <x:v>一年</x:v>
      </x:c>
      <x:c r="C6723" s="11" t="str">
        <x:v>RC18_new_China</x:v>
      </x:c>
      <x:c r="D6723" s="11" t="str">
        <x:v>2044-12-31</x:v>
      </x:c>
      <x:c r="E6723" s="11" t="str">
        <x:v>CNY</x:v>
      </x:c>
      <x:c r="F6723" s="11" t="n">
        <x:v>17.229295003422312</x:v>
      </x:c>
      <x:c r="G6723" s="26" t="b">
        <x:v>1</x:v>
      </x:c>
      <x:c r="H6723" s="16" t="n">
        <x:v>0.21</x:v>
      </x:c>
      <x:c r="I6723" s="16" t="n">
        <x:v>0.18</x:v>
      </x:c>
      <x:c r="J6723" s="16" t="n">
        <x:v>0.21000000000000002</x:v>
      </x:c>
      <x:c r="K6723" s="11" t="n">
        <x:f>CHOOSE('假设'!$B$3,H6723,I6723,J6723)</x:f>
        <x:v>0.18</x:v>
      </x:c>
      <x:c r="L6723" s="11" t="n">
        <x:f>K6723*'管线假设'!E1435*'管线假设'!F1435*'管线假设'!G1435*IF(E6723="USD",'管线假设'!I1435,1)-AM6723</x:f>
        <x:v>0.030959999999999998</x:v>
      </x:c>
      <x:c r="M6723" s="11" t="n">
        <x:f>'管线假设'!H1435</x:f>
        <x:v>0.14</x:v>
      </x:c>
      <x:c r="N6723" s="11" t="n">
        <x:f>IF(G6723,L6723*AN6723/(1+M6723)^F6723,0)</x:f>
        <x:v>0.003238698209697494</x:v>
      </x:c>
      <x:c r="AJ6723" s="42" t="n">
        <x:v>0</x:v>
      </x:c>
      <x:c r="AK6723" s="42" t="n">
        <x:v>0</x:v>
      </x:c>
      <x:c r="AL6723" s="42" t="n">
        <x:v>0</x:v>
      </x:c>
      <x:c r="AM6723" t="n">
        <x:f>CHOOSE('假设'!$B$3,AJ6723,AK6723,AL6723)</x:f>
        <x:v>0</x:v>
      </x:c>
      <x:c r="AN6723" t="n">
        <x:v>1</x:v>
      </x:c>
    </x:row>
    <x:row r="6724" ht="23" customHeight="1">
      <x:c r="A6724" s="11" t="str">
        <x:v>09995.HK</x:v>
      </x:c>
      <x:c r="B6724" s="11" t="str">
        <x:v>一年</x:v>
      </x:c>
      <x:c r="C6724" s="11" t="str">
        <x:v>RC48_new_China</x:v>
      </x:c>
      <x:c r="D6724" s="11" t="str">
        <x:v>2026-12-31</x:v>
      </x:c>
      <x:c r="E6724" s="11" t="str">
        <x:v>CNY</x:v>
      </x:c>
      <x:c r="F6724" s="11" t="n">
        <x:v>-0.7720739219712526</x:v>
      </x:c>
      <x:c r="G6724" s="26" t="b">
        <x:v>0</x:v>
      </x:c>
      <x:c r="H6724" s="16" t="n">
        <x:v>0</x:v>
      </x:c>
      <x:c r="I6724" s="16" t="n">
        <x:v>0</x:v>
      </x:c>
      <x:c r="J6724" s="16" t="n">
        <x:v>0</x:v>
      </x:c>
      <x:c r="K6724" s="11" t="n">
        <x:f>CHOOSE('假设'!$B$3,H6724,I6724,J6724)</x:f>
        <x:v>0</x:v>
      </x:c>
      <x:c r="L6724" s="11" t="n">
        <x:f>K6724*'管线假设'!E1439*'管线假设'!F1439*'管线假设'!G1439*IF(E6724="USD",'管线假设'!I1439,1)-AM6724</x:f>
        <x:v>-0.15</x:v>
      </x:c>
      <x:c r="M6724" s="11" t="n">
        <x:f>'管线假设'!H1439</x:f>
        <x:v>0.14</x:v>
      </x:c>
      <x:c r="N6724" s="11" t="n">
        <x:f>IF(G6724,L6724*AN6724/(1+M6724)^F6724,0)</x:f>
        <x:v>0</x:v>
      </x:c>
      <x:c r="AJ6724" s="42" t="n">
        <x:v>0.08</x:v>
      </x:c>
      <x:c r="AK6724" s="42" t="n">
        <x:v>0.15</x:v>
      </x:c>
      <x:c r="AL6724" s="42" t="n">
        <x:v>0.2</x:v>
      </x:c>
      <x:c r="AM6724" t="n">
        <x:f>CHOOSE('假设'!$B$3,AJ6724,AK6724,AL6724)</x:f>
        <x:v>0.15</x:v>
      </x:c>
      <x:c r="AN6724" t="n">
        <x:v>0</x:v>
      </x:c>
    </x:row>
    <x:row r="6725" ht="23" customHeight="1">
      <x:c r="A6725" s="11" t="str">
        <x:v>09995.HK</x:v>
      </x:c>
      <x:c r="B6725" s="11" t="str">
        <x:v>一年</x:v>
      </x:c>
      <x:c r="C6725" s="11" t="str">
        <x:v>RC48_new_China</x:v>
      </x:c>
      <x:c r="D6725" s="11" t="str">
        <x:v>2027-12-31</x:v>
      </x:c>
      <x:c r="E6725" s="11" t="str">
        <x:v>CNY</x:v>
      </x:c>
      <x:c r="F6725" s="11" t="n">
        <x:v>0.2272416153319644</x:v>
      </x:c>
      <x:c r="G6725" s="26" t="b">
        <x:v>1</x:v>
      </x:c>
      <x:c r="H6725" s="16" t="n">
        <x:v>0</x:v>
      </x:c>
      <x:c r="I6725" s="16" t="n">
        <x:v>0</x:v>
      </x:c>
      <x:c r="J6725" s="16" t="n">
        <x:v>0</x:v>
      </x:c>
      <x:c r="K6725" s="11" t="n">
        <x:f>CHOOSE('假设'!$B$3,H6725,I6725,J6725)</x:f>
        <x:v>0</x:v>
      </x:c>
      <x:c r="L6725" s="11" t="n">
        <x:f>K6725*'管线假设'!E1439*'管线假设'!F1439*'管线假设'!G1439*IF(E6725="USD",'管线假设'!I1439,1)-AM6725</x:f>
        <x:v>-0.18</x:v>
      </x:c>
      <x:c r="M6725" s="11" t="n">
        <x:f>'管线假设'!H1439</x:f>
        <x:v>0.14</x:v>
      </x:c>
      <x:c r="N6725" s="11" t="n">
        <x:f>IF(G6725,L6725*AN6725/(1+M6725)^F6725,0)</x:f>
        <x:v>-0.03983988383988843</x:v>
      </x:c>
      <x:c r="AJ6725" s="42" t="n">
        <x:v>0.08</x:v>
      </x:c>
      <x:c r="AK6725" s="42" t="n">
        <x:v>0.18</x:v>
      </x:c>
      <x:c r="AL6725" s="42" t="n">
        <x:v>0.24</x:v>
      </x:c>
      <x:c r="AM6725" t="n">
        <x:f>CHOOSE('假设'!$B$3,AJ6725,AK6725,AL6725)</x:f>
        <x:v>0.18</x:v>
      </x:c>
      <x:c r="AN6725" t="n">
        <x:v>0.22802197802197802</x:v>
      </x:c>
    </x:row>
    <x:row r="6726" ht="23" customHeight="1">
      <x:c r="A6726" s="11" t="str">
        <x:v>09995.HK</x:v>
      </x:c>
      <x:c r="B6726" s="11" t="str">
        <x:v>一年</x:v>
      </x:c>
      <x:c r="C6726" s="11" t="str">
        <x:v>RC48_new_China</x:v>
      </x:c>
      <x:c r="D6726" s="11" t="str">
        <x:v>2028-12-31</x:v>
      </x:c>
      <x:c r="E6726" s="11" t="str">
        <x:v>CNY</x:v>
      </x:c>
      <x:c r="F6726" s="11" t="n">
        <x:v>1.2292950034223136</x:v>
      </x:c>
      <x:c r="G6726" s="26" t="b">
        <x:v>1</x:v>
      </x:c>
      <x:c r="H6726" s="16" t="n">
        <x:v>0</x:v>
      </x:c>
      <x:c r="I6726" s="16" t="n">
        <x:v>0</x:v>
      </x:c>
      <x:c r="J6726" s="16" t="n">
        <x:v>0.36</x:v>
      </x:c>
      <x:c r="K6726" s="11" t="n">
        <x:f>CHOOSE('假设'!$B$3,H6726,I6726,J6726)</x:f>
        <x:v>0</x:v>
      </x:c>
      <x:c r="L6726" s="11" t="n">
        <x:f>K6726*'管线假设'!E1439*'管线假设'!F1439*'管线假设'!G1439*IF(E6726="USD",'管线假设'!I1439,1)-AM6726</x:f>
        <x:v>-0.15</x:v>
      </x:c>
      <x:c r="M6726" s="11" t="n">
        <x:f>'管线假设'!H1439</x:f>
        <x:v>0.14</x:v>
      </x:c>
      <x:c r="N6726" s="11" t="n">
        <x:f>IF(G6726,L6726*AN6726/(1+M6726)^F6726,0)</x:f>
        <x:v>-0.12768456746488424</x:v>
      </x:c>
      <x:c r="AJ6726" s="42" t="n">
        <x:v>0.07</x:v>
      </x:c>
      <x:c r="AK6726" s="42" t="n">
        <x:v>0.15</x:v>
      </x:c>
      <x:c r="AL6726" s="42" t="n">
        <x:v>0.2</x:v>
      </x:c>
      <x:c r="AM6726" t="n">
        <x:f>CHOOSE('假设'!$B$3,AJ6726,AK6726,AL6726)</x:f>
        <x:v>0.15</x:v>
      </x:c>
      <x:c r="AN6726" t="n">
        <x:v>1</x:v>
      </x:c>
    </x:row>
    <x:row r="6727" ht="23" customHeight="1">
      <x:c r="A6727" s="11" t="str">
        <x:v>09995.HK</x:v>
      </x:c>
      <x:c r="B6727" s="11" t="str">
        <x:v>一年</x:v>
      </x:c>
      <x:c r="C6727" s="11" t="str">
        <x:v>RC48_new_China</x:v>
      </x:c>
      <x:c r="D6727" s="11" t="str">
        <x:v>2029-12-31</x:v>
      </x:c>
      <x:c r="E6727" s="11" t="str">
        <x:v>CNY</x:v>
      </x:c>
      <x:c r="F6727" s="11" t="n">
        <x:v>2.2286105407255303</x:v>
      </x:c>
      <x:c r="G6727" s="26" t="b">
        <x:v>1</x:v>
      </x:c>
      <x:c r="H6727" s="16" t="n">
        <x:v>0</x:v>
      </x:c>
      <x:c r="I6727" s="16" t="n">
        <x:v>0.18</x:v>
      </x:c>
      <x:c r="J6727" s="16" t="n">
        <x:v>1.08</x:v>
      </x:c>
      <x:c r="K6727" s="11" t="n">
        <x:f>CHOOSE('假设'!$B$3,H6727,I6727,J6727)</x:f>
        <x:v>0.18</x:v>
      </x:c>
      <x:c r="L6727" s="11" t="n">
        <x:f>K6727*'管线假设'!E1439*'管线假设'!F1439*'管线假设'!G1439*IF(E6727="USD",'管线假设'!I1439,1)-AM6727</x:f>
        <x:v>-0.0567</x:v>
      </x:c>
      <x:c r="M6727" s="11" t="n">
        <x:f>'管线假设'!H1439</x:f>
        <x:v>0.14</x:v>
      </x:c>
      <x:c r="N6727" s="11" t="n">
        <x:f>IF(G6727,L6727*AN6727/(1+M6727)^F6727,0)</x:f>
        <x:v>-0.04234131164133166</x:v>
      </x:c>
      <x:c r="AJ6727" s="42" t="n">
        <x:v>0</x:v>
      </x:c>
      <x:c r="AK6727" s="42" t="n">
        <x:v>0.09</x:v>
      </x:c>
      <x:c r="AL6727" s="42" t="n">
        <x:v>0.12</x:v>
      </x:c>
      <x:c r="AM6727" t="n">
        <x:f>CHOOSE('假设'!$B$3,AJ6727,AK6727,AL6727)</x:f>
        <x:v>0.09</x:v>
      </x:c>
      <x:c r="AN6727" t="n">
        <x:v>1</x:v>
      </x:c>
    </x:row>
    <x:row r="6728" ht="23" customHeight="1">
      <x:c r="A6728" s="11" t="str">
        <x:v>09995.HK</x:v>
      </x:c>
      <x:c r="B6728" s="11" t="str">
        <x:v>一年</x:v>
      </x:c>
      <x:c r="C6728" s="11" t="str">
        <x:v>RC48_new_China</x:v>
      </x:c>
      <x:c r="D6728" s="11" t="str">
        <x:v>2030-12-31</x:v>
      </x:c>
      <x:c r="E6728" s="11" t="str">
        <x:v>CNY</x:v>
      </x:c>
      <x:c r="F6728" s="11" t="n">
        <x:v>3.2279260780287475</x:v>
      </x:c>
      <x:c r="G6728" s="26" t="b">
        <x:v>1</x:v>
      </x:c>
      <x:c r="H6728" s="16" t="n">
        <x:v>0</x:v>
      </x:c>
      <x:c r="I6728" s="16" t="n">
        <x:v>0.54</x:v>
      </x:c>
      <x:c r="J6728" s="16" t="n">
        <x:v>2.2800000000000002</x:v>
      </x:c>
      <x:c r="K6728" s="11" t="n">
        <x:f>CHOOSE('假设'!$B$3,H6728,I6728,J6728)</x:f>
        <x:v>0.54</x:v>
      </x:c>
      <x:c r="L6728" s="11" t="n">
        <x:f>K6728*'管线假设'!E1439*'管线假设'!F1439*'管线假设'!G1439*IF(E6728="USD",'管线假设'!I1439,1)-AM6728</x:f>
        <x:v>0.0999</x:v>
      </x:c>
      <x:c r="M6728" s="11" t="n">
        <x:f>'管线假设'!H1439</x:f>
        <x:v>0.14</x:v>
      </x:c>
      <x:c r="N6728" s="11" t="n">
        <x:f>IF(G6728,L6728*AN6728/(1+M6728)^F6728,0)</x:f>
        <x:v>0.06544565741340541</x:v>
      </x:c>
      <x:c r="AJ6728" s="42" t="n">
        <x:v>0</x:v>
      </x:c>
      <x:c r="AK6728" s="42" t="n">
        <x:v>0</x:v>
      </x:c>
      <x:c r="AL6728" s="42" t="n">
        <x:v>0</x:v>
      </x:c>
      <x:c r="AM6728" t="n">
        <x:f>CHOOSE('假设'!$B$3,AJ6728,AK6728,AL6728)</x:f>
        <x:v>0</x:v>
      </x:c>
      <x:c r="AN6728" t="n">
        <x:v>1</x:v>
      </x:c>
    </x:row>
    <x:row r="6729" ht="23" customHeight="1">
      <x:c r="A6729" s="11" t="str">
        <x:v>09995.HK</x:v>
      </x:c>
      <x:c r="B6729" s="11" t="str">
        <x:v>一年</x:v>
      </x:c>
      <x:c r="C6729" s="11" t="str">
        <x:v>RC48_new_China</x:v>
      </x:c>
      <x:c r="D6729" s="11" t="str">
        <x:v>2031-12-31</x:v>
      </x:c>
      <x:c r="E6729" s="11" t="str">
        <x:v>CNY</x:v>
      </x:c>
      <x:c r="F6729" s="11" t="n">
        <x:v>4.227241615331964</x:v>
      </x:c>
      <x:c r="G6729" s="26" t="b">
        <x:v>1</x:v>
      </x:c>
      <x:c r="H6729" s="16" t="n">
        <x:v>0</x:v>
      </x:c>
      <x:c r="I6729" s="16" t="n">
        <x:v>1.1400000000000001</x:v>
      </x:c>
      <x:c r="J6729" s="16" t="n">
        <x:v>3.9000000000000004</x:v>
      </x:c>
      <x:c r="K6729" s="11" t="n">
        <x:f>CHOOSE('假设'!$B$3,H6729,I6729,J6729)</x:f>
        <x:v>1.1400000000000001</x:v>
      </x:c>
      <x:c r="L6729" s="11" t="n">
        <x:f>K6729*'管线假设'!E1439*'管线假设'!F1439*'管线假设'!G1439*IF(E6729="USD",'管线假设'!I1439,1)-AM6729</x:f>
        <x:v>0.21090000000000003</x:v>
      </x:c>
      <x:c r="M6729" s="11" t="n">
        <x:f>'管线假设'!H1439</x:f>
        <x:v>0.14</x:v>
      </x:c>
      <x:c r="N6729" s="11" t="n">
        <x:f>IF(G6729,L6729*AN6729/(1+M6729)^F6729,0)</x:f>
        <x:v>0.1212065316707228</x:v>
      </x:c>
      <x:c r="AJ6729" s="42" t="n">
        <x:v>0</x:v>
      </x:c>
      <x:c r="AK6729" s="42" t="n">
        <x:v>0</x:v>
      </x:c>
      <x:c r="AL6729" s="42" t="n">
        <x:v>0</x:v>
      </x:c>
      <x:c r="AM6729" t="n">
        <x:f>CHOOSE('假设'!$B$3,AJ6729,AK6729,AL6729)</x:f>
        <x:v>0</x:v>
      </x:c>
      <x:c r="AN6729" t="n">
        <x:v>1</x:v>
      </x:c>
    </x:row>
    <x:row r="6730" ht="23" customHeight="1">
      <x:c r="A6730" s="11" t="str">
        <x:v>09995.HK</x:v>
      </x:c>
      <x:c r="B6730" s="11" t="str">
        <x:v>一年</x:v>
      </x:c>
      <x:c r="C6730" s="11" t="str">
        <x:v>RC48_new_China</x:v>
      </x:c>
      <x:c r="D6730" s="11" t="str">
        <x:v>2032-12-31</x:v>
      </x:c>
      <x:c r="E6730" s="11" t="str">
        <x:v>CNY</x:v>
      </x:c>
      <x:c r="F6730" s="11" t="n">
        <x:v>5.229295003422314</x:v>
      </x:c>
      <x:c r="G6730" s="26" t="b">
        <x:v>1</x:v>
      </x:c>
      <x:c r="H6730" s="16" t="n">
        <x:v>0.06</x:v>
      </x:c>
      <x:c r="I6730" s="16" t="n">
        <x:v>1.9500000000000002</x:v>
      </x:c>
      <x:c r="J6730" s="16" t="n">
        <x:v>5.1</x:v>
      </x:c>
      <x:c r="K6730" s="11" t="n">
        <x:f>CHOOSE('假设'!$B$3,H6730,I6730,J6730)</x:f>
        <x:v>1.9500000000000002</x:v>
      </x:c>
      <x:c r="L6730" s="11" t="n">
        <x:f>K6730*'管线假设'!E1439*'管线假设'!F1439*'管线假设'!G1439*IF(E6730="USD",'管线假设'!I1439,1)-AM6730</x:f>
        <x:v>0.36075</x:v>
      </x:c>
      <x:c r="M6730" s="11" t="n">
        <x:f>'管线假设'!H1439</x:f>
        <x:v>0.14</x:v>
      </x:c>
      <x:c r="N6730" s="11" t="n">
        <x:f>IF(G6730,L6730*AN6730/(1+M6730)^F6730,0)</x:f>
        <x:v>0.18181683145980568</x:v>
      </x:c>
      <x:c r="AJ6730" s="42" t="n">
        <x:v>0</x:v>
      </x:c>
      <x:c r="AK6730" s="42" t="n">
        <x:v>0</x:v>
      </x:c>
      <x:c r="AL6730" s="42" t="n">
        <x:v>0</x:v>
      </x:c>
      <x:c r="AM6730" t="n">
        <x:f>CHOOSE('假设'!$B$3,AJ6730,AK6730,AL6730)</x:f>
        <x:v>0</x:v>
      </x:c>
      <x:c r="AN6730" t="n">
        <x:v>1</x:v>
      </x:c>
    </x:row>
    <x:row r="6731" ht="23" customHeight="1">
      <x:c r="A6731" s="11" t="str">
        <x:v>09995.HK</x:v>
      </x:c>
      <x:c r="B6731" s="11" t="str">
        <x:v>一年</x:v>
      </x:c>
      <x:c r="C6731" s="11" t="str">
        <x:v>RC48_new_China</x:v>
      </x:c>
      <x:c r="D6731" s="11" t="str">
        <x:v>2033-12-31</x:v>
      </x:c>
      <x:c r="E6731" s="11" t="str">
        <x:v>CNY</x:v>
      </x:c>
      <x:c r="F6731" s="11" t="n">
        <x:v>6.228610540725531</x:v>
      </x:c>
      <x:c r="G6731" s="26" t="b">
        <x:v>1</x:v>
      </x:c>
      <x:c r="H6731" s="16" t="n">
        <x:v>0.18</x:v>
      </x:c>
      <x:c r="I6731" s="16" t="n">
        <x:v>2.55</x:v>
      </x:c>
      <x:c r="J6731" s="16" t="n">
        <x:v>6</x:v>
      </x:c>
      <x:c r="K6731" s="11" t="n">
        <x:f>CHOOSE('假设'!$B$3,H6731,I6731,J6731)</x:f>
        <x:v>2.55</x:v>
      </x:c>
      <x:c r="L6731" s="11" t="n">
        <x:f>K6731*'管线假设'!E1439*'管线假设'!F1439*'管线假设'!G1439*IF(E6731="USD",'管线假设'!I1439,1)-AM6731</x:f>
        <x:v>0.47174999999999995</x:v>
      </x:c>
      <x:c r="M6731" s="11" t="n">
        <x:f>'管线假设'!H1439</x:f>
        <x:v>0.14</x:v>
      </x:c>
      <x:c r="N6731" s="11" t="n">
        <x:f>IF(G6731,L6731*AN6731/(1+M6731)^F6731,0)</x:f>
        <x:v>0.2085805229520379</x:v>
      </x:c>
      <x:c r="AJ6731" s="42" t="n">
        <x:v>0</x:v>
      </x:c>
      <x:c r="AK6731" s="42" t="n">
        <x:v>0</x:v>
      </x:c>
      <x:c r="AL6731" s="42" t="n">
        <x:v>0</x:v>
      </x:c>
      <x:c r="AM6731" t="n">
        <x:f>CHOOSE('假设'!$B$3,AJ6731,AK6731,AL6731)</x:f>
        <x:v>0</x:v>
      </x:c>
      <x:c r="AN6731" t="n">
        <x:v>1</x:v>
      </x:c>
    </x:row>
    <x:row r="6732" ht="23" customHeight="1">
      <x:c r="A6732" s="11" t="str">
        <x:v>09995.HK</x:v>
      </x:c>
      <x:c r="B6732" s="11" t="str">
        <x:v>一年</x:v>
      </x:c>
      <x:c r="C6732" s="11" t="str">
        <x:v>RC48_new_China</x:v>
      </x:c>
      <x:c r="D6732" s="11" t="str">
        <x:v>2034-12-31</x:v>
      </x:c>
      <x:c r="E6732" s="11" t="str">
        <x:v>CNY</x:v>
      </x:c>
      <x:c r="F6732" s="11" t="n">
        <x:v>7.227926078028747</x:v>
      </x:c>
      <x:c r="G6732" s="26" t="b">
        <x:v>1</x:v>
      </x:c>
      <x:c r="H6732" s="16" t="n">
        <x:v>0.38</x:v>
      </x:c>
      <x:c r="I6732" s="16" t="n">
        <x:v>3</x:v>
      </x:c>
      <x:c r="J6732" s="16" t="n">
        <x:v>6</x:v>
      </x:c>
      <x:c r="K6732" s="11" t="n">
        <x:f>CHOOSE('假设'!$B$3,H6732,I6732,J6732)</x:f>
        <x:v>3</x:v>
      </x:c>
      <x:c r="L6732" s="11" t="n">
        <x:f>K6732*'管线假设'!E1439*'管线假设'!F1439*'管线假设'!G1439*IF(E6732="USD",'管线假设'!I1439,1)-AM6732</x:f>
        <x:v>0.5549999999999999</x:v>
      </x:c>
      <x:c r="M6732" s="11" t="n">
        <x:f>'管线假设'!H1439</x:f>
        <x:v>0.14</x:v>
      </x:c>
      <x:c r="N6732" s="11" t="n">
        <x:f>IF(G6732,L6732*AN6732/(1+M6732)^F6732,0)</x:f>
        <x:v>0.21527268330001925</x:v>
      </x:c>
      <x:c r="AJ6732" s="42" t="n">
        <x:v>0</x:v>
      </x:c>
      <x:c r="AK6732" s="42" t="n">
        <x:v>0</x:v>
      </x:c>
      <x:c r="AL6732" s="42" t="n">
        <x:v>0</x:v>
      </x:c>
      <x:c r="AM6732" t="n">
        <x:f>CHOOSE('假设'!$B$3,AJ6732,AK6732,AL6732)</x:f>
        <x:v>0</x:v>
      </x:c>
      <x:c r="AN6732" t="n">
        <x:v>1</x:v>
      </x:c>
    </x:row>
    <x:row r="6733" ht="23" customHeight="1">
      <x:c r="A6733" s="11" t="str">
        <x:v>09995.HK</x:v>
      </x:c>
      <x:c r="B6733" s="11" t="str">
        <x:v>一年</x:v>
      </x:c>
      <x:c r="C6733" s="11" t="str">
        <x:v>RC48_new_China</x:v>
      </x:c>
      <x:c r="D6733" s="11" t="str">
        <x:v>2035-12-31</x:v>
      </x:c>
      <x:c r="E6733" s="11" t="str">
        <x:v>CNY</x:v>
      </x:c>
      <x:c r="F6733" s="11" t="n">
        <x:v>8.227241615331964</x:v>
      </x:c>
      <x:c r="G6733" s="26" t="b">
        <x:v>1</x:v>
      </x:c>
      <x:c r="H6733" s="16" t="n">
        <x:v>0.65</x:v>
      </x:c>
      <x:c r="I6733" s="16" t="n">
        <x:v>3</x:v>
      </x:c>
      <x:c r="J6733" s="16" t="n">
        <x:v>5.699999999999999</x:v>
      </x:c>
      <x:c r="K6733" s="11" t="n">
        <x:f>CHOOSE('假设'!$B$3,H6733,I6733,J6733)</x:f>
        <x:v>3</x:v>
      </x:c>
      <x:c r="L6733" s="11" t="n">
        <x:f>K6733*'管线假设'!E1439*'管线假设'!F1439*'管线假设'!G1439*IF(E6733="USD",'管线假设'!I1439,1)-AM6733</x:f>
        <x:v>0.5549999999999999</x:v>
      </x:c>
      <x:c r="M6733" s="11" t="n">
        <x:f>'管线假设'!H1439</x:f>
        <x:v>0.14</x:v>
      </x:c>
      <x:c r="N6733" s="11" t="n">
        <x:f>IF(G6733,L6733*AN6733/(1+M6733)^F6733,0)</x:f>
        <x:v>0.18885262339652684</x:v>
      </x:c>
      <x:c r="AJ6733" s="42" t="n">
        <x:v>0</x:v>
      </x:c>
      <x:c r="AK6733" s="42" t="n">
        <x:v>0</x:v>
      </x:c>
      <x:c r="AL6733" s="42" t="n">
        <x:v>0</x:v>
      </x:c>
      <x:c r="AM6733" t="n">
        <x:f>CHOOSE('假设'!$B$3,AJ6733,AK6733,AL6733)</x:f>
        <x:v>0</x:v>
      </x:c>
      <x:c r="AN6733" t="n">
        <x:v>1</x:v>
      </x:c>
    </x:row>
    <x:row r="6734" ht="23" customHeight="1">
      <x:c r="A6734" s="11" t="str">
        <x:v>09995.HK</x:v>
      </x:c>
      <x:c r="B6734" s="11" t="str">
        <x:v>一年</x:v>
      </x:c>
      <x:c r="C6734" s="11" t="str">
        <x:v>RC48_new_China</x:v>
      </x:c>
      <x:c r="D6734" s="11" t="str">
        <x:v>2036-12-31</x:v>
      </x:c>
      <x:c r="E6734" s="11" t="str">
        <x:v>CNY</x:v>
      </x:c>
      <x:c r="F6734" s="11" t="n">
        <x:v>9.229295003422314</x:v>
      </x:c>
      <x:c r="G6734" s="26" t="b">
        <x:v>1</x:v>
      </x:c>
      <x:c r="H6734" s="16" t="n">
        <x:v>0.85</x:v>
      </x:c>
      <x:c r="I6734" s="16" t="n">
        <x:v>2.8499999999999996</x:v>
      </x:c>
      <x:c r="J6734" s="16" t="n">
        <x:v>5.4</x:v>
      </x:c>
      <x:c r="K6734" s="11" t="n">
        <x:f>CHOOSE('假设'!$B$3,H6734,I6734,J6734)</x:f>
        <x:v>2.8499999999999996</x:v>
      </x:c>
      <x:c r="L6734" s="11" t="n">
        <x:f>K6734*'管线假设'!E1439*'管线假设'!F1439*'管线假设'!G1439*IF(E6734="USD",'管线假设'!I1439,1)-AM6734</x:f>
        <x:v>0.5272499999999999</x:v>
      </x:c>
      <x:c r="M6734" s="11" t="n">
        <x:f>'管线假设'!H1439</x:f>
        <x:v>0.14</x:v>
      </x:c>
      <x:c r="N6734" s="11" t="n">
        <x:f>IF(G6734,L6734*AN6734/(1+M6734)^F6734,0)</x:f>
        <x:v>0.15733484923265564</x:v>
      </x:c>
      <x:c r="AJ6734" s="42" t="n">
        <x:v>0</x:v>
      </x:c>
      <x:c r="AK6734" s="42" t="n">
        <x:v>0</x:v>
      </x:c>
      <x:c r="AL6734" s="42" t="n">
        <x:v>0</x:v>
      </x:c>
      <x:c r="AM6734" t="n">
        <x:f>CHOOSE('假设'!$B$3,AJ6734,AK6734,AL6734)</x:f>
        <x:v>0</x:v>
      </x:c>
      <x:c r="AN6734" t="n">
        <x:v>1</x:v>
      </x:c>
    </x:row>
    <x:row r="6735" ht="23" customHeight="1">
      <x:c r="A6735" s="11" t="str">
        <x:v>09995.HK</x:v>
      </x:c>
      <x:c r="B6735" s="11" t="str">
        <x:v>一年</x:v>
      </x:c>
      <x:c r="C6735" s="11" t="str">
        <x:v>RC48_new_China</x:v>
      </x:c>
      <x:c r="D6735" s="11" t="str">
        <x:v>2037-12-31</x:v>
      </x:c>
      <x:c r="E6735" s="11" t="str">
        <x:v>CNY</x:v>
      </x:c>
      <x:c r="F6735" s="11" t="n">
        <x:v>10.22861054072553</x:v>
      </x:c>
      <x:c r="G6735" s="26" t="b">
        <x:v>1</x:v>
      </x:c>
      <x:c r="H6735" s="16" t="n">
        <x:v>1</x:v>
      </x:c>
      <x:c r="I6735" s="16" t="n">
        <x:v>2.7</x:v>
      </x:c>
      <x:c r="J6735" s="16" t="n">
        <x:v>4.800000000000001</x:v>
      </x:c>
      <x:c r="K6735" s="11" t="n">
        <x:f>CHOOSE('假设'!$B$3,H6735,I6735,J6735)</x:f>
        <x:v>2.7</x:v>
      </x:c>
      <x:c r="L6735" s="11" t="n">
        <x:f>K6735*'管线假设'!E1439*'管线假设'!F1439*'管线假设'!G1439*IF(E6735="USD",'管线假设'!I1439,1)-AM6735</x:f>
        <x:v>0.4995</x:v>
      </x:c>
      <x:c r="M6735" s="11" t="n">
        <x:f>'管线假设'!H1439</x:f>
        <x:v>0.14</x:v>
      </x:c>
      <x:c r="N6735" s="11" t="n">
        <x:f>IF(G6735,L6735*AN6735/(1+M6735)^F6735,0)</x:f>
        <x:v>0.13076090881778307</x:v>
      </x:c>
      <x:c r="AJ6735" s="42" t="n">
        <x:v>0</x:v>
      </x:c>
      <x:c r="AK6735" s="42" t="n">
        <x:v>0</x:v>
      </x:c>
      <x:c r="AL6735" s="42" t="n">
        <x:v>0</x:v>
      </x:c>
      <x:c r="AM6735" t="n">
        <x:f>CHOOSE('假设'!$B$3,AJ6735,AK6735,AL6735)</x:f>
        <x:v>0</x:v>
      </x:c>
      <x:c r="AN6735" t="n">
        <x:v>1</x:v>
      </x:c>
    </x:row>
    <x:row r="6736" ht="23" customHeight="1">
      <x:c r="A6736" s="11" t="str">
        <x:v>09995.HK</x:v>
      </x:c>
      <x:c r="B6736" s="11" t="str">
        <x:v>一年</x:v>
      </x:c>
      <x:c r="C6736" s="11" t="str">
        <x:v>RC48_new_China</x:v>
      </x:c>
      <x:c r="D6736" s="11" t="str">
        <x:v>2038-12-31</x:v>
      </x:c>
      <x:c r="E6736" s="11" t="str">
        <x:v>CNY</x:v>
      </x:c>
      <x:c r="F6736" s="11" t="n">
        <x:v>11.227926078028748</x:v>
      </x:c>
      <x:c r="G6736" s="26" t="b">
        <x:v>1</x:v>
      </x:c>
      <x:c r="H6736" s="16" t="n">
        <x:v>1</x:v>
      </x:c>
      <x:c r="I6736" s="16" t="n">
        <x:v>2.4000000000000004</x:v>
      </x:c>
      <x:c r="J6736" s="16" t="n">
        <x:v>3.9000000000000004</x:v>
      </x:c>
      <x:c r="K6736" s="11" t="n">
        <x:f>CHOOSE('假设'!$B$3,H6736,I6736,J6736)</x:f>
        <x:v>2.4000000000000004</x:v>
      </x:c>
      <x:c r="L6736" s="11" t="n">
        <x:f>K6736*'管线假设'!E1439*'管线假设'!F1439*'管线假设'!G1439*IF(E6736="USD",'管线假设'!I1439,1)-AM6736</x:f>
        <x:v>0.44400000000000006</x:v>
      </x:c>
      <x:c r="M6736" s="11" t="n">
        <x:f>'管线假设'!H1439</x:f>
        <x:v>0.14</x:v>
      </x:c>
      <x:c r="N6736" s="11" t="n">
        <x:f>IF(G6736,L6736*AN6736/(1+M6736)^F6736,0)</x:f>
        <x:v>0.1019669680308003</x:v>
      </x:c>
      <x:c r="AJ6736" s="42" t="n">
        <x:v>0</x:v>
      </x:c>
      <x:c r="AK6736" s="42" t="n">
        <x:v>0</x:v>
      </x:c>
      <x:c r="AL6736" s="42" t="n">
        <x:v>0</x:v>
      </x:c>
      <x:c r="AM6736" t="n">
        <x:f>CHOOSE('假设'!$B$3,AJ6736,AK6736,AL6736)</x:f>
        <x:v>0</x:v>
      </x:c>
      <x:c r="AN6736" t="n">
        <x:v>1</x:v>
      </x:c>
    </x:row>
    <x:row r="6737" ht="23" customHeight="1">
      <x:c r="A6737" s="11" t="str">
        <x:v>09995.HK</x:v>
      </x:c>
      <x:c r="B6737" s="11" t="str">
        <x:v>一年</x:v>
      </x:c>
      <x:c r="C6737" s="11" t="str">
        <x:v>RC48_new_China</x:v>
      </x:c>
      <x:c r="D6737" s="11" t="str">
        <x:v>2039-12-31</x:v>
      </x:c>
      <x:c r="E6737" s="11" t="str">
        <x:v>CNY</x:v>
      </x:c>
      <x:c r="F6737" s="11" t="n">
        <x:v>12.227241615331964</x:v>
      </x:c>
      <x:c r="G6737" s="26" t="b">
        <x:v>1</x:v>
      </x:c>
      <x:c r="H6737" s="16" t="n">
        <x:v>0.95</x:v>
      </x:c>
      <x:c r="I6737" s="16" t="n">
        <x:v>1.9500000000000002</x:v>
      </x:c>
      <x:c r="J6737" s="16" t="n">
        <x:v>3</x:v>
      </x:c>
      <x:c r="K6737" s="11" t="n">
        <x:f>CHOOSE('假设'!$B$3,H6737,I6737,J6737)</x:f>
        <x:v>1.9500000000000002</x:v>
      </x:c>
      <x:c r="L6737" s="11" t="n">
        <x:f>K6737*'管线假设'!E1439*'管线假设'!F1439*'管线假设'!G1439*IF(E6737="USD",'管线假设'!I1439,1)-AM6737</x:f>
        <x:v>0.36075</x:v>
      </x:c>
      <x:c r="M6737" s="11" t="n">
        <x:f>'管线假设'!H1439</x:f>
        <x:v>0.14</x:v>
      </x:c>
      <x:c r="N6737" s="11" t="n">
        <x:f>IF(G6737,L6737*AN6737/(1+M6737)^F6737,0)</x:f>
        <x:v>0.0726803438677573</x:v>
      </x:c>
      <x:c r="AJ6737" s="42" t="n">
        <x:v>0</x:v>
      </x:c>
      <x:c r="AK6737" s="42" t="n">
        <x:v>0</x:v>
      </x:c>
      <x:c r="AL6737" s="42" t="n">
        <x:v>0</x:v>
      </x:c>
      <x:c r="AM6737" t="n">
        <x:f>CHOOSE('假设'!$B$3,AJ6737,AK6737,AL6737)</x:f>
        <x:v>0</x:v>
      </x:c>
      <x:c r="AN6737" t="n">
        <x:v>1</x:v>
      </x:c>
    </x:row>
    <x:row r="6738" ht="23" customHeight="1">
      <x:c r="A6738" s="11" t="str">
        <x:v>09995.HK</x:v>
      </x:c>
      <x:c r="B6738" s="11" t="str">
        <x:v>一年</x:v>
      </x:c>
      <x:c r="C6738" s="11" t="str">
        <x:v>RC48_new_China</x:v>
      </x:c>
      <x:c r="D6738" s="11" t="str">
        <x:v>2040-12-31</x:v>
      </x:c>
      <x:c r="E6738" s="11" t="str">
        <x:v>CNY</x:v>
      </x:c>
      <x:c r="F6738" s="11" t="n">
        <x:v>13.229295003422314</x:v>
      </x:c>
      <x:c r="G6738" s="26" t="b">
        <x:v>1</x:v>
      </x:c>
      <x:c r="H6738" s="16" t="n">
        <x:v>0.9</x:v>
      </x:c>
      <x:c r="I6738" s="16" t="n">
        <x:v>1.5</x:v>
      </x:c>
      <x:c r="J6738" s="16" t="n">
        <x:v>2.0999999999999996</x:v>
      </x:c>
      <x:c r="K6738" s="11" t="n">
        <x:f>CHOOSE('假设'!$B$3,H6738,I6738,J6738)</x:f>
        <x:v>1.5</x:v>
      </x:c>
      <x:c r="L6738" s="11" t="n">
        <x:f>K6738*'管线假设'!E1439*'管线假设'!F1439*'管线假设'!G1439*IF(E6738="USD",'管线假设'!I1439,1)-AM6738</x:f>
        <x:v>0.27749999999999997</x:v>
      </x:c>
      <x:c r="M6738" s="11" t="n">
        <x:f>'管线假设'!H1439</x:f>
        <x:v>0.14</x:v>
      </x:c>
      <x:c r="N6738" s="11" t="n">
        <x:f>IF(G6738,L6738*AN6738/(1+M6738)^F6738,0)</x:f>
        <x:v>0.04902887430193038</x:v>
      </x:c>
      <x:c r="AJ6738" s="42" t="n">
        <x:v>0</x:v>
      </x:c>
      <x:c r="AK6738" s="42" t="n">
        <x:v>0</x:v>
      </x:c>
      <x:c r="AL6738" s="42" t="n">
        <x:v>0</x:v>
      </x:c>
      <x:c r="AM6738" t="n">
        <x:f>CHOOSE('假设'!$B$3,AJ6738,AK6738,AL6738)</x:f>
        <x:v>0</x:v>
      </x:c>
      <x:c r="AN6738" t="n">
        <x:v>1</x:v>
      </x:c>
    </x:row>
    <x:row r="6739" ht="23" customHeight="1">
      <x:c r="A6739" s="11" t="str">
        <x:v>09995.HK</x:v>
      </x:c>
      <x:c r="B6739" s="11" t="str">
        <x:v>一年</x:v>
      </x:c>
      <x:c r="C6739" s="11" t="str">
        <x:v>RC48_new_China</x:v>
      </x:c>
      <x:c r="D6739" s="11" t="str">
        <x:v>2041-12-31</x:v>
      </x:c>
      <x:c r="E6739" s="11" t="str">
        <x:v>CNY</x:v>
      </x:c>
      <x:c r="F6739" s="11" t="n">
        <x:v>14.22861054072553</x:v>
      </x:c>
      <x:c r="G6739" s="26" t="b">
        <x:v>1</x:v>
      </x:c>
      <x:c r="H6739" s="16" t="n">
        <x:v>0.8</x:v>
      </x:c>
      <x:c r="I6739" s="16" t="n">
        <x:v>1.0499999999999998</x:v>
      </x:c>
      <x:c r="J6739" s="16" t="n">
        <x:v>1.2000000000000002</x:v>
      </x:c>
      <x:c r="K6739" s="11" t="n">
        <x:f>CHOOSE('假设'!$B$3,H6739,I6739,J6739)</x:f>
        <x:v>1.0499999999999998</x:v>
      </x:c>
      <x:c r="L6739" s="11" t="n">
        <x:f>K6739*'管线假设'!E1439*'管线假设'!F1439*'管线假设'!G1439*IF(E6739="USD",'管线假设'!I1439,1)-AM6739</x:f>
        <x:v>0.19424999999999998</x:v>
      </x:c>
      <x:c r="M6739" s="11" t="n">
        <x:f>'管线假设'!H1439</x:f>
        <x:v>0.14</x:v>
      </x:c>
      <x:c r="N6739" s="11" t="n">
        <x:f>IF(G6739,L6739*AN6739/(1+M6739)^F6739,0)</x:f>
        <x:v>0.030108149229670964</x:v>
      </x:c>
      <x:c r="AJ6739" s="42" t="n">
        <x:v>0</x:v>
      </x:c>
      <x:c r="AK6739" s="42" t="n">
        <x:v>0</x:v>
      </x:c>
      <x:c r="AL6739" s="42" t="n">
        <x:v>0</x:v>
      </x:c>
      <x:c r="AM6739" t="n">
        <x:f>CHOOSE('假设'!$B$3,AJ6739,AK6739,AL6739)</x:f>
        <x:v>0</x:v>
      </x:c>
      <x:c r="AN6739" t="n">
        <x:v>1</x:v>
      </x:c>
    </x:row>
    <x:row r="6740" ht="23" customHeight="1">
      <x:c r="A6740" s="11" t="str">
        <x:v>09995.HK</x:v>
      </x:c>
      <x:c r="B6740" s="11" t="str">
        <x:v>一年</x:v>
      </x:c>
      <x:c r="C6740" s="11" t="str">
        <x:v>RC48_new_China</x:v>
      </x:c>
      <x:c r="D6740" s="11" t="str">
        <x:v>2042-12-31</x:v>
      </x:c>
      <x:c r="E6740" s="11" t="str">
        <x:v>CNY</x:v>
      </x:c>
      <x:c r="F6740" s="11" t="n">
        <x:v>15.227926078028748</x:v>
      </x:c>
      <x:c r="G6740" s="26" t="b">
        <x:v>1</x:v>
      </x:c>
      <x:c r="H6740" s="16" t="n">
        <x:v>0.65</x:v>
      </x:c>
      <x:c r="I6740" s="16" t="n">
        <x:v>0.6000000000000001</x:v>
      </x:c>
      <x:c r="J6740" s="16" t="n">
        <x:v>0.72</x:v>
      </x:c>
      <x:c r="K6740" s="11" t="n">
        <x:f>CHOOSE('假设'!$B$3,H6740,I6740,J6740)</x:f>
        <x:v>0.6000000000000001</x:v>
      </x:c>
      <x:c r="L6740" s="11" t="n">
        <x:f>K6740*'管线假设'!E1439*'管线假设'!F1439*'管线假设'!G1439*IF(E6740="USD",'管线假设'!I1439,1)-AM6740</x:f>
        <x:v>0.11100000000000002</x:v>
      </x:c>
      <x:c r="M6740" s="11" t="n">
        <x:f>'管线假设'!H1439</x:f>
        <x:v>0.14</x:v>
      </x:c>
      <x:c r="N6740" s="11" t="n">
        <x:f>IF(G6740,L6740*AN6740/(1+M6740)^F6740,0)</x:f>
        <x:v>0.015093157678568371</x:v>
      </x:c>
      <x:c r="AJ6740" s="42" t="n">
        <x:v>0</x:v>
      </x:c>
      <x:c r="AK6740" s="42" t="n">
        <x:v>0</x:v>
      </x:c>
      <x:c r="AL6740" s="42" t="n">
        <x:v>0</x:v>
      </x:c>
      <x:c r="AM6740" t="n">
        <x:f>CHOOSE('假设'!$B$3,AJ6740,AK6740,AL6740)</x:f>
        <x:v>0</x:v>
      </x:c>
      <x:c r="AN6740" t="n">
        <x:v>1</x:v>
      </x:c>
    </x:row>
    <x:row r="6741" ht="23" customHeight="1">
      <x:c r="A6741" s="11" t="str">
        <x:v>09995.HK</x:v>
      </x:c>
      <x:c r="B6741" s="11" t="str">
        <x:v>一年</x:v>
      </x:c>
      <x:c r="C6741" s="11" t="str">
        <x:v>RC48_new_China</x:v>
      </x:c>
      <x:c r="D6741" s="11" t="str">
        <x:v>2043-12-31</x:v>
      </x:c>
      <x:c r="E6741" s="11" t="str">
        <x:v>CNY</x:v>
      </x:c>
      <x:c r="F6741" s="11" t="n">
        <x:v>16.227241615331966</x:v>
      </x:c>
      <x:c r="G6741" s="26" t="b">
        <x:v>1</x:v>
      </x:c>
      <x:c r="H6741" s="16" t="n">
        <x:v>0.5</x:v>
      </x:c>
      <x:c r="I6741" s="16" t="n">
        <x:v>0.36</x:v>
      </x:c>
      <x:c r="J6741" s="16" t="n">
        <x:v>0.42000000000000004</x:v>
      </x:c>
      <x:c r="K6741" s="11" t="n">
        <x:f>CHOOSE('假设'!$B$3,H6741,I6741,J6741)</x:f>
        <x:v>0.36</x:v>
      </x:c>
      <x:c r="L6741" s="11" t="n">
        <x:f>K6741*'管线假设'!E1439*'管线假设'!F1439*'管线假设'!G1439*IF(E6741="USD",'管线假设'!I1439,1)-AM6741</x:f>
        <x:v>0.06659999999999999</x:v>
      </x:c>
      <x:c r="M6741" s="11" t="n">
        <x:f>'管线假设'!H1439</x:f>
        <x:v>0.14</x:v>
      </x:c>
      <x:c r="N6741" s="11" t="n">
        <x:f>IF(G6741,L6741*AN6741/(1+M6741)^F6741,0)</x:f>
        <x:v>0.007944479659676765</x:v>
      </x:c>
      <x:c r="AJ6741" s="42" t="n">
        <x:v>0</x:v>
      </x:c>
      <x:c r="AK6741" s="42" t="n">
        <x:v>0</x:v>
      </x:c>
      <x:c r="AL6741" s="42" t="n">
        <x:v>0</x:v>
      </x:c>
      <x:c r="AM6741" t="n">
        <x:f>CHOOSE('假设'!$B$3,AJ6741,AK6741,AL6741)</x:f>
        <x:v>0</x:v>
      </x:c>
      <x:c r="AN6741" t="n">
        <x:v>1</x:v>
      </x:c>
    </x:row>
    <x:row r="6742" ht="23" customHeight="1">
      <x:c r="A6742" s="11" t="str">
        <x:v>09995.HK</x:v>
      </x:c>
      <x:c r="B6742" s="11" t="str">
        <x:v>一年</x:v>
      </x:c>
      <x:c r="C6742" s="11" t="str">
        <x:v>RC48_new_China</x:v>
      </x:c>
      <x:c r="D6742" s="11" t="str">
        <x:v>2044-12-31</x:v>
      </x:c>
      <x:c r="E6742" s="11" t="str">
        <x:v>CNY</x:v>
      </x:c>
      <x:c r="F6742" s="11" t="n">
        <x:v>17.229295003422312</x:v>
      </x:c>
      <x:c r="G6742" s="26" t="b">
        <x:v>1</x:v>
      </x:c>
      <x:c r="H6742" s="16" t="n">
        <x:v>0.35</x:v>
      </x:c>
      <x:c r="I6742" s="16" t="n">
        <x:v>0.21000000000000002</x:v>
      </x:c>
      <x:c r="J6742" s="16" t="n">
        <x:v>0.18</x:v>
      </x:c>
      <x:c r="K6742" s="11" t="n">
        <x:f>CHOOSE('假设'!$B$3,H6742,I6742,J6742)</x:f>
        <x:v>0.21000000000000002</x:v>
      </x:c>
      <x:c r="L6742" s="11" t="n">
        <x:f>K6742*'管线假设'!E1439*'管线假设'!F1439*'管线假设'!G1439*IF(E6742="USD",'管线假设'!I1439,1)-AM6742</x:f>
        <x:v>0.03885</x:v>
      </x:c>
      <x:c r="M6742" s="11" t="n">
        <x:f>'管线假设'!H1439</x:f>
        <x:v>0.14</x:v>
      </x:c>
      <x:c r="N6742" s="11" t="n">
        <x:f>IF(G6742,L6742*AN6742/(1+M6742)^F6742,0)</x:f>
        <x:v>0.004064064129416914</x:v>
      </x:c>
      <x:c r="AJ6742" s="42" t="n">
        <x:v>0</x:v>
      </x:c>
      <x:c r="AK6742" s="42" t="n">
        <x:v>0</x:v>
      </x:c>
      <x:c r="AL6742" s="42" t="n">
        <x:v>0</x:v>
      </x:c>
      <x:c r="AM6742" t="n">
        <x:f>CHOOSE('假设'!$B$3,AJ6742,AK6742,AL6742)</x:f>
        <x:v>0</x:v>
      </x:c>
      <x:c r="AN6742" t="n">
        <x:v>1</x:v>
      </x:c>
    </x:row>
    <x:row r="6743" ht="23" customHeight="1">
      <x:c r="A6743" s="11" t="str">
        <x:v>09995.HK</x:v>
      </x:c>
      <x:c r="B6743" s="11" t="str">
        <x:v>一年</x:v>
      </x:c>
      <x:c r="C6743" s="11" t="str">
        <x:v>RC148_China</x:v>
      </x:c>
      <x:c r="D6743" s="11" t="str">
        <x:v>2026-12-31</x:v>
      </x:c>
      <x:c r="E6743" s="11" t="str">
        <x:v>CNY</x:v>
      </x:c>
      <x:c r="F6743" s="11" t="n">
        <x:v>-0.7720739219712526</x:v>
      </x:c>
      <x:c r="G6743" s="26" t="b">
        <x:v>0</x:v>
      </x:c>
      <x:c r="H6743" s="16" t="n">
        <x:v>0</x:v>
      </x:c>
      <x:c r="I6743" s="16" t="n">
        <x:v>0</x:v>
      </x:c>
      <x:c r="J6743" s="16" t="n">
        <x:v>0</x:v>
      </x:c>
      <x:c r="K6743" s="11" t="n">
        <x:f>CHOOSE('假设'!$B$3,H6743,I6743,J6743)</x:f>
        <x:v>0</x:v>
      </x:c>
      <x:c r="L6743" s="11" t="n">
        <x:f>K6743*'管线假设'!E1443*'管线假设'!F1443*'管线假设'!G1443*IF(E6743="USD",'管线假设'!I1443,1)-AM6743</x:f>
        <x:v>-0.18</x:v>
      </x:c>
      <x:c r="M6743" s="11" t="n">
        <x:f>'管线假设'!H1443</x:f>
        <x:v>0.14</x:v>
      </x:c>
      <x:c r="N6743" s="11" t="n">
        <x:f>IF(G6743,L6743*AN6743/(1+M6743)^F6743,0)</x:f>
        <x:v>0</x:v>
      </x:c>
      <x:c r="AJ6743" s="42" t="n">
        <x:v>0.1</x:v>
      </x:c>
      <x:c r="AK6743" s="42" t="n">
        <x:v>0.18</x:v>
      </x:c>
      <x:c r="AL6743" s="42" t="n">
        <x:v>0.24</x:v>
      </x:c>
      <x:c r="AM6743" t="n">
        <x:f>CHOOSE('假设'!$B$3,AJ6743,AK6743,AL6743)</x:f>
        <x:v>0.18</x:v>
      </x:c>
      <x:c r="AN6743" t="n">
        <x:v>0</x:v>
      </x:c>
    </x:row>
    <x:row r="6744" ht="23" customHeight="1">
      <x:c r="A6744" s="11" t="str">
        <x:v>09995.HK</x:v>
      </x:c>
      <x:c r="B6744" s="11" t="str">
        <x:v>一年</x:v>
      </x:c>
      <x:c r="C6744" s="11" t="str">
        <x:v>RC148_China</x:v>
      </x:c>
      <x:c r="D6744" s="11" t="str">
        <x:v>2027-12-31</x:v>
      </x:c>
      <x:c r="E6744" s="11" t="str">
        <x:v>CNY</x:v>
      </x:c>
      <x:c r="F6744" s="11" t="n">
        <x:v>0.2272416153319644</x:v>
      </x:c>
      <x:c r="G6744" s="26" t="b">
        <x:v>1</x:v>
      </x:c>
      <x:c r="H6744" s="16" t="n">
        <x:v>0</x:v>
      </x:c>
      <x:c r="I6744" s="16" t="n">
        <x:v>0</x:v>
      </x:c>
      <x:c r="J6744" s="16" t="n">
        <x:v>0</x:v>
      </x:c>
      <x:c r="K6744" s="11" t="n">
        <x:f>CHOOSE('假设'!$B$3,H6744,I6744,J6744)</x:f>
        <x:v>0</x:v>
      </x:c>
      <x:c r="L6744" s="11" t="n">
        <x:f>K6744*'管线假设'!E1443*'管线假设'!F1443*'管线假设'!G1443*IF(E6744="USD",'管线假设'!I1443,1)-AM6744</x:f>
        <x:v>-0.23</x:v>
      </x:c>
      <x:c r="M6744" s="11" t="n">
        <x:f>'管线假设'!H1443</x:f>
        <x:v>0.14</x:v>
      </x:c>
      <x:c r="N6744" s="11" t="n">
        <x:f>IF(G6744,L6744*AN6744/(1+M6744)^F6744,0)</x:f>
        <x:v>-0.050906518239857444</x:v>
      </x:c>
      <x:c r="AJ6744" s="42" t="n">
        <x:v>0.12</x:v>
      </x:c>
      <x:c r="AK6744" s="42" t="n">
        <x:v>0.23</x:v>
      </x:c>
      <x:c r="AL6744" s="42" t="n">
        <x:v>0.3</x:v>
      </x:c>
      <x:c r="AM6744" t="n">
        <x:f>CHOOSE('假设'!$B$3,AJ6744,AK6744,AL6744)</x:f>
        <x:v>0.23</x:v>
      </x:c>
      <x:c r="AN6744" t="n">
        <x:v>0.22802197802197802</x:v>
      </x:c>
    </x:row>
    <x:row r="6745" ht="23" customHeight="1">
      <x:c r="A6745" s="11" t="str">
        <x:v>09995.HK</x:v>
      </x:c>
      <x:c r="B6745" s="11" t="str">
        <x:v>一年</x:v>
      </x:c>
      <x:c r="C6745" s="11" t="str">
        <x:v>RC148_China</x:v>
      </x:c>
      <x:c r="D6745" s="11" t="str">
        <x:v>2028-12-31</x:v>
      </x:c>
      <x:c r="E6745" s="11" t="str">
        <x:v>CNY</x:v>
      </x:c>
      <x:c r="F6745" s="11" t="n">
        <x:v>1.2292950034223136</x:v>
      </x:c>
      <x:c r="G6745" s="26" t="b">
        <x:v>1</x:v>
      </x:c>
      <x:c r="H6745" s="16" t="n">
        <x:v>0</x:v>
      </x:c>
      <x:c r="I6745" s="16" t="n">
        <x:v>0</x:v>
      </x:c>
      <x:c r="J6745" s="16" t="n">
        <x:v>0.48</x:v>
      </x:c>
      <x:c r="K6745" s="11" t="n">
        <x:f>CHOOSE('假设'!$B$3,H6745,I6745,J6745)</x:f>
        <x:v>0</x:v>
      </x:c>
      <x:c r="L6745" s="11" t="n">
        <x:f>K6745*'管线假设'!E1443*'管线假设'!F1443*'管线假设'!G1443*IF(E6745="USD",'管线假设'!I1443,1)-AM6745</x:f>
        <x:v>-0.2</x:v>
      </x:c>
      <x:c r="M6745" s="11" t="n">
        <x:f>'管线假设'!H1443</x:f>
        <x:v>0.14</x:v>
      </x:c>
      <x:c r="N6745" s="11" t="n">
        <x:f>IF(G6745,L6745*AN6745/(1+M6745)^F6745,0)</x:f>
        <x:v>-0.170246089953179</x:v>
      </x:c>
      <x:c r="AJ6745" s="42" t="n">
        <x:v>0.1</x:v>
      </x:c>
      <x:c r="AK6745" s="42" t="n">
        <x:v>0.2</x:v>
      </x:c>
      <x:c r="AL6745" s="42" t="n">
        <x:v>0.25</x:v>
      </x:c>
      <x:c r="AM6745" t="n">
        <x:f>CHOOSE('假设'!$B$3,AJ6745,AK6745,AL6745)</x:f>
        <x:v>0.2</x:v>
      </x:c>
      <x:c r="AN6745" t="n">
        <x:v>1</x:v>
      </x:c>
    </x:row>
    <x:row r="6746" ht="23" customHeight="1">
      <x:c r="A6746" s="11" t="str">
        <x:v>09995.HK</x:v>
      </x:c>
      <x:c r="B6746" s="11" t="str">
        <x:v>一年</x:v>
      </x:c>
      <x:c r="C6746" s="11" t="str">
        <x:v>RC148_China</x:v>
      </x:c>
      <x:c r="D6746" s="11" t="str">
        <x:v>2029-12-31</x:v>
      </x:c>
      <x:c r="E6746" s="11" t="str">
        <x:v>CNY</x:v>
      </x:c>
      <x:c r="F6746" s="11" t="n">
        <x:v>2.2286105407255303</x:v>
      </x:c>
      <x:c r="G6746" s="26" t="b">
        <x:v>1</x:v>
      </x:c>
      <x:c r="H6746" s="16" t="n">
        <x:v>0</x:v>
      </x:c>
      <x:c r="I6746" s="16" t="n">
        <x:v>0.24</x:v>
      </x:c>
      <x:c r="J6746" s="16" t="n">
        <x:v>1.44</x:v>
      </x:c>
      <x:c r="K6746" s="11" t="n">
        <x:f>CHOOSE('假设'!$B$3,H6746,I6746,J6746)</x:f>
        <x:v>0.24</x:v>
      </x:c>
      <x:c r="L6746" s="11" t="n">
        <x:f>K6746*'管线假设'!E1443*'管线假设'!F1443*'管线假设'!G1443*IF(E6746="USD",'管线假设'!I1443,1)-AM6746</x:f>
        <x:v>-0.0796</x:v>
      </x:c>
      <x:c r="M6746" s="11" t="n">
        <x:f>'管线假设'!H1443</x:f>
        <x:v>0.14</x:v>
      </x:c>
      <x:c r="N6746" s="11" t="n">
        <x:f>IF(G6746,L6746*AN6746/(1+M6746)^F6746,0)</x:f>
        <x:v>-0.05944212357407408</x:v>
      </x:c>
      <x:c r="AJ6746" s="42" t="n">
        <x:v>0</x:v>
      </x:c>
      <x:c r="AK6746" s="42" t="n">
        <x:v>0.13</x:v>
      </x:c>
      <x:c r="AL6746" s="42" t="n">
        <x:v>0.16</x:v>
      </x:c>
      <x:c r="AM6746" t="n">
        <x:f>CHOOSE('假设'!$B$3,AJ6746,AK6746,AL6746)</x:f>
        <x:v>0.13</x:v>
      </x:c>
      <x:c r="AN6746" t="n">
        <x:v>1</x:v>
      </x:c>
    </x:row>
    <x:row r="6747" ht="23" customHeight="1">
      <x:c r="A6747" s="11" t="str">
        <x:v>09995.HK</x:v>
      </x:c>
      <x:c r="B6747" s="11" t="str">
        <x:v>一年</x:v>
      </x:c>
      <x:c r="C6747" s="11" t="str">
        <x:v>RC148_China</x:v>
      </x:c>
      <x:c r="D6747" s="11" t="str">
        <x:v>2030-12-31</x:v>
      </x:c>
      <x:c r="E6747" s="11" t="str">
        <x:v>CNY</x:v>
      </x:c>
      <x:c r="F6747" s="11" t="n">
        <x:v>3.2279260780287475</x:v>
      </x:c>
      <x:c r="G6747" s="26" t="b">
        <x:v>1</x:v>
      </x:c>
      <x:c r="H6747" s="16" t="n">
        <x:v>0</x:v>
      </x:c>
      <x:c r="I6747" s="16" t="n">
        <x:v>0.72</x:v>
      </x:c>
      <x:c r="J6747" s="16" t="n">
        <x:v>3.04</x:v>
      </x:c>
      <x:c r="K6747" s="11" t="n">
        <x:f>CHOOSE('假设'!$B$3,H6747,I6747,J6747)</x:f>
        <x:v>0.72</x:v>
      </x:c>
      <x:c r="L6747" s="11" t="n">
        <x:f>K6747*'管线假设'!E1443*'管线假设'!F1443*'管线假设'!G1443*IF(E6747="USD",'管线假设'!I1443,1)-AM6747</x:f>
        <x:v>0.1512</x:v>
      </x:c>
      <x:c r="M6747" s="11" t="n">
        <x:f>'管线假设'!H1443</x:f>
        <x:v>0.14</x:v>
      </x:c>
      <x:c r="N6747" s="11" t="n">
        <x:f>IF(G6747,L6747*AN6747/(1+M6747)^F6747,0)</x:f>
        <x:v>0.09905288689596495</x:v>
      </x:c>
      <x:c r="AJ6747" s="42" t="n">
        <x:v>0</x:v>
      </x:c>
      <x:c r="AK6747" s="42" t="n">
        <x:v>0</x:v>
      </x:c>
      <x:c r="AL6747" s="42" t="n">
        <x:v>0</x:v>
      </x:c>
      <x:c r="AM6747" t="n">
        <x:f>CHOOSE('假设'!$B$3,AJ6747,AK6747,AL6747)</x:f>
        <x:v>0</x:v>
      </x:c>
      <x:c r="AN6747" t="n">
        <x:v>1</x:v>
      </x:c>
    </x:row>
    <x:row r="6748" ht="23" customHeight="1">
      <x:c r="A6748" s="11" t="str">
        <x:v>09995.HK</x:v>
      </x:c>
      <x:c r="B6748" s="11" t="str">
        <x:v>一年</x:v>
      </x:c>
      <x:c r="C6748" s="11" t="str">
        <x:v>RC148_China</x:v>
      </x:c>
      <x:c r="D6748" s="11" t="str">
        <x:v>2031-12-31</x:v>
      </x:c>
      <x:c r="E6748" s="11" t="str">
        <x:v>CNY</x:v>
      </x:c>
      <x:c r="F6748" s="11" t="n">
        <x:v>4.227241615331964</x:v>
      </x:c>
      <x:c r="G6748" s="26" t="b">
        <x:v>1</x:v>
      </x:c>
      <x:c r="H6748" s="16" t="n">
        <x:v>0.072</x:v>
      </x:c>
      <x:c r="I6748" s="16" t="n">
        <x:v>1.52</x:v>
      </x:c>
      <x:c r="J6748" s="16" t="n">
        <x:v>5.2</x:v>
      </x:c>
      <x:c r="K6748" s="11" t="n">
        <x:f>CHOOSE('假设'!$B$3,H6748,I6748,J6748)</x:f>
        <x:v>1.52</x:v>
      </x:c>
      <x:c r="L6748" s="11" t="n">
        <x:f>K6748*'管线假设'!E1443*'管线假设'!F1443*'管线假设'!G1443*IF(E6748="USD",'管线假设'!I1443,1)-AM6748</x:f>
        <x:v>0.3192</x:v>
      </x:c>
      <x:c r="M6748" s="11" t="n">
        <x:f>'管线假设'!H1443</x:f>
        <x:v>0.14</x:v>
      </x:c>
      <x:c r="N6748" s="11" t="n">
        <x:f>IF(G6748,L6748*AN6748/(1+M6748)^F6748,0)</x:f>
        <x:v>0.18344772360974257</x:v>
      </x:c>
      <x:c r="AJ6748" s="42" t="n">
        <x:v>0</x:v>
      </x:c>
      <x:c r="AK6748" s="42" t="n">
        <x:v>0</x:v>
      </x:c>
      <x:c r="AL6748" s="42" t="n">
        <x:v>0</x:v>
      </x:c>
      <x:c r="AM6748" t="n">
        <x:f>CHOOSE('假设'!$B$3,AJ6748,AK6748,AL6748)</x:f>
        <x:v>0</x:v>
      </x:c>
      <x:c r="AN6748" t="n">
        <x:v>1</x:v>
      </x:c>
    </x:row>
    <x:row r="6749" ht="23" customHeight="1">
      <x:c r="A6749" s="11" t="str">
        <x:v>09995.HK</x:v>
      </x:c>
      <x:c r="B6749" s="11" t="str">
        <x:v>一年</x:v>
      </x:c>
      <x:c r="C6749" s="11" t="str">
        <x:v>RC148_China</x:v>
      </x:c>
      <x:c r="D6749" s="11" t="str">
        <x:v>2032-12-31</x:v>
      </x:c>
      <x:c r="E6749" s="11" t="str">
        <x:v>CNY</x:v>
      </x:c>
      <x:c r="F6749" s="11" t="n">
        <x:v>5.229295003422314</x:v>
      </x:c>
      <x:c r="G6749" s="26" t="b">
        <x:v>1</x:v>
      </x:c>
      <x:c r="H6749" s="16" t="n">
        <x:v>0.216</x:v>
      </x:c>
      <x:c r="I6749" s="16" t="n">
        <x:v>2.6</x:v>
      </x:c>
      <x:c r="J6749" s="16" t="n">
        <x:v>6.8</x:v>
      </x:c>
      <x:c r="K6749" s="11" t="n">
        <x:f>CHOOSE('假设'!$B$3,H6749,I6749,J6749)</x:f>
        <x:v>2.6</x:v>
      </x:c>
      <x:c r="L6749" s="11" t="n">
        <x:f>K6749*'管线假设'!E1443*'管线假设'!F1443*'管线假设'!G1443*IF(E6749="USD",'管线假设'!I1443,1)-AM6749</x:f>
        <x:v>0.546</x:v>
      </x:c>
      <x:c r="M6749" s="11" t="n">
        <x:f>'管线假设'!H1443</x:f>
        <x:v>0.14</x:v>
      </x:c>
      <x:c r="N6749" s="11" t="n">
        <x:f>IF(G6749,L6749*AN6749/(1+M6749)^F6749,0)</x:f>
        <x:v>0.27518223139862485</x:v>
      </x:c>
      <x:c r="AJ6749" s="42" t="n">
        <x:v>0</x:v>
      </x:c>
      <x:c r="AK6749" s="42" t="n">
        <x:v>0</x:v>
      </x:c>
      <x:c r="AL6749" s="42" t="n">
        <x:v>0</x:v>
      </x:c>
      <x:c r="AM6749" t="n">
        <x:f>CHOOSE('假设'!$B$3,AJ6749,AK6749,AL6749)</x:f>
        <x:v>0</x:v>
      </x:c>
      <x:c r="AN6749" t="n">
        <x:v>1</x:v>
      </x:c>
    </x:row>
    <x:row r="6750" ht="23" customHeight="1">
      <x:c r="A6750" s="11" t="str">
        <x:v>09995.HK</x:v>
      </x:c>
      <x:c r="B6750" s="11" t="str">
        <x:v>一年</x:v>
      </x:c>
      <x:c r="C6750" s="11" t="str">
        <x:v>RC148_China</x:v>
      </x:c>
      <x:c r="D6750" s="11" t="str">
        <x:v>2033-12-31</x:v>
      </x:c>
      <x:c r="E6750" s="11" t="str">
        <x:v>CNY</x:v>
      </x:c>
      <x:c r="F6750" s="11" t="n">
        <x:v>6.228610540725531</x:v>
      </x:c>
      <x:c r="G6750" s="26" t="b">
        <x:v>1</x:v>
      </x:c>
      <x:c r="H6750" s="16" t="n">
        <x:v>0.45599999999999996</x:v>
      </x:c>
      <x:c r="I6750" s="16" t="n">
        <x:v>3.4</x:v>
      </x:c>
      <x:c r="J6750" s="16" t="n">
        <x:v>8</x:v>
      </x:c>
      <x:c r="K6750" s="11" t="n">
        <x:f>CHOOSE('假设'!$B$3,H6750,I6750,J6750)</x:f>
        <x:v>3.4</x:v>
      </x:c>
      <x:c r="L6750" s="11" t="n">
        <x:f>K6750*'管线假设'!E1443*'管线假设'!F1443*'管线假设'!G1443*IF(E6750="USD",'管线假设'!I1443,1)-AM6750</x:f>
        <x:v>0.714</x:v>
      </x:c>
      <x:c r="M6750" s="11" t="n">
        <x:f>'管线假设'!H1443</x:f>
        <x:v>0.14</x:v>
      </x:c>
      <x:c r="N6750" s="11" t="n">
        <x:f>IF(G6750,L6750*AN6750/(1+M6750)^F6750,0)</x:f>
        <x:v>0.315689440143625</x:v>
      </x:c>
      <x:c r="AJ6750" s="42" t="n">
        <x:v>0</x:v>
      </x:c>
      <x:c r="AK6750" s="42" t="n">
        <x:v>0</x:v>
      </x:c>
      <x:c r="AL6750" s="42" t="n">
        <x:v>0</x:v>
      </x:c>
      <x:c r="AM6750" t="n">
        <x:f>CHOOSE('假设'!$B$3,AJ6750,AK6750,AL6750)</x:f>
        <x:v>0</x:v>
      </x:c>
      <x:c r="AN6750" t="n">
        <x:v>1</x:v>
      </x:c>
    </x:row>
    <x:row r="6751" ht="23" customHeight="1">
      <x:c r="A6751" s="11" t="str">
        <x:v>09995.HK</x:v>
      </x:c>
      <x:c r="B6751" s="11" t="str">
        <x:v>一年</x:v>
      </x:c>
      <x:c r="C6751" s="11" t="str">
        <x:v>RC148_China</x:v>
      </x:c>
      <x:c r="D6751" s="11" t="str">
        <x:v>2034-12-31</x:v>
      </x:c>
      <x:c r="E6751" s="11" t="str">
        <x:v>CNY</x:v>
      </x:c>
      <x:c r="F6751" s="11" t="n">
        <x:v>7.227926078028747</x:v>
      </x:c>
      <x:c r="G6751" s="26" t="b">
        <x:v>1</x:v>
      </x:c>
      <x:c r="H6751" s="16" t="n">
        <x:v>0.78</x:v>
      </x:c>
      <x:c r="I6751" s="16" t="n">
        <x:v>4</x:v>
      </x:c>
      <x:c r="J6751" s="16" t="n">
        <x:v>8</x:v>
      </x:c>
      <x:c r="K6751" s="11" t="n">
        <x:f>CHOOSE('假设'!$B$3,H6751,I6751,J6751)</x:f>
        <x:v>4</x:v>
      </x:c>
      <x:c r="L6751" s="11" t="n">
        <x:f>K6751*'管线假设'!E1443*'管线假设'!F1443*'管线假设'!G1443*IF(E6751="USD",'管线假设'!I1443,1)-AM6751</x:f>
        <x:v>0.84</x:v>
      </x:c>
      <x:c r="M6751" s="11" t="n">
        <x:f>'管线假设'!H1443</x:f>
        <x:v>0.14</x:v>
      </x:c>
      <x:c r="N6751" s="11" t="n">
        <x:f>IF(G6751,L6751*AN6751/(1+M6751)^F6751,0)</x:f>
        <x:v>0.32581811526489407</x:v>
      </x:c>
      <x:c r="AJ6751" s="42" t="n">
        <x:v>0</x:v>
      </x:c>
      <x:c r="AK6751" s="42" t="n">
        <x:v>0</x:v>
      </x:c>
      <x:c r="AL6751" s="42" t="n">
        <x:v>0</x:v>
      </x:c>
      <x:c r="AM6751" t="n">
        <x:f>CHOOSE('假设'!$B$3,AJ6751,AK6751,AL6751)</x:f>
        <x:v>0</x:v>
      </x:c>
      <x:c r="AN6751" t="n">
        <x:v>1</x:v>
      </x:c>
    </x:row>
    <x:row r="6752" ht="23" customHeight="1">
      <x:c r="A6752" s="11" t="str">
        <x:v>09995.HK</x:v>
      </x:c>
      <x:c r="B6752" s="11" t="str">
        <x:v>一年</x:v>
      </x:c>
      <x:c r="C6752" s="11" t="str">
        <x:v>RC148_China</x:v>
      </x:c>
      <x:c r="D6752" s="11" t="str">
        <x:v>2035-12-31</x:v>
      </x:c>
      <x:c r="E6752" s="11" t="str">
        <x:v>CNY</x:v>
      </x:c>
      <x:c r="F6752" s="11" t="n">
        <x:v>8.227241615331964</x:v>
      </x:c>
      <x:c r="G6752" s="26" t="b">
        <x:v>1</x:v>
      </x:c>
      <x:c r="H6752" s="16" t="n">
        <x:v>1.02</x:v>
      </x:c>
      <x:c r="I6752" s="16" t="n">
        <x:v>4</x:v>
      </x:c>
      <x:c r="J6752" s="16" t="n">
        <x:v>7.6</x:v>
      </x:c>
      <x:c r="K6752" s="11" t="n">
        <x:f>CHOOSE('假设'!$B$3,H6752,I6752,J6752)</x:f>
        <x:v>4</x:v>
      </x:c>
      <x:c r="L6752" s="11" t="n">
        <x:f>K6752*'管线假设'!E1443*'管线假设'!F1443*'管线假设'!G1443*IF(E6752="USD",'管线假设'!I1443,1)-AM6752</x:f>
        <x:v>0.84</x:v>
      </x:c>
      <x:c r="M6752" s="11" t="n">
        <x:f>'管线假设'!H1443</x:f>
        <x:v>0.14</x:v>
      </x:c>
      <x:c r="N6752" s="11" t="n">
        <x:f>IF(G6752,L6752*AN6752/(1+M6752)^F6752,0)</x:f>
        <x:v>0.2858309975731217</x:v>
      </x:c>
      <x:c r="AJ6752" s="42" t="n">
        <x:v>0</x:v>
      </x:c>
      <x:c r="AK6752" s="42" t="n">
        <x:v>0</x:v>
      </x:c>
      <x:c r="AL6752" s="42" t="n">
        <x:v>0</x:v>
      </x:c>
      <x:c r="AM6752" t="n">
        <x:f>CHOOSE('假设'!$B$3,AJ6752,AK6752,AL6752)</x:f>
        <x:v>0</x:v>
      </x:c>
      <x:c r="AN6752" t="n">
        <x:v>1</x:v>
      </x:c>
    </x:row>
    <x:row r="6753" ht="23" customHeight="1">
      <x:c r="A6753" s="11" t="str">
        <x:v>09995.HK</x:v>
      </x:c>
      <x:c r="B6753" s="11" t="str">
        <x:v>一年</x:v>
      </x:c>
      <x:c r="C6753" s="11" t="str">
        <x:v>RC148_China</x:v>
      </x:c>
      <x:c r="D6753" s="11" t="str">
        <x:v>2036-12-31</x:v>
      </x:c>
      <x:c r="E6753" s="11" t="str">
        <x:v>CNY</x:v>
      </x:c>
      <x:c r="F6753" s="11" t="n">
        <x:v>9.229295003422314</x:v>
      </x:c>
      <x:c r="G6753" s="26" t="b">
        <x:v>1</x:v>
      </x:c>
      <x:c r="H6753" s="16" t="n">
        <x:v>1.2</x:v>
      </x:c>
      <x:c r="I6753" s="16" t="n">
        <x:v>3.8</x:v>
      </x:c>
      <x:c r="J6753" s="16" t="n">
        <x:v>7.2</x:v>
      </x:c>
      <x:c r="K6753" s="11" t="n">
        <x:f>CHOOSE('假设'!$B$3,H6753,I6753,J6753)</x:f>
        <x:v>3.8</x:v>
      </x:c>
      <x:c r="L6753" s="11" t="n">
        <x:f>K6753*'管线假设'!E1443*'管线假设'!F1443*'管线假设'!G1443*IF(E6753="USD",'管线假设'!I1443,1)-AM6753</x:f>
        <x:v>0.7979999999999999</x:v>
      </x:c>
      <x:c r="M6753" s="11" t="n">
        <x:f>'管线假设'!H1443</x:f>
        <x:v>0.14</x:v>
      </x:c>
      <x:c r="N6753" s="11" t="n">
        <x:f>IF(G6753,L6753*AN6753/(1+M6753)^F6753,0)</x:f>
        <x:v>0.2381284204602356</x:v>
      </x:c>
      <x:c r="AJ6753" s="42" t="n">
        <x:v>0</x:v>
      </x:c>
      <x:c r="AK6753" s="42" t="n">
        <x:v>0</x:v>
      </x:c>
      <x:c r="AL6753" s="42" t="n">
        <x:v>0</x:v>
      </x:c>
      <x:c r="AM6753" t="n">
        <x:f>CHOOSE('假设'!$B$3,AJ6753,AK6753,AL6753)</x:f>
        <x:v>0</x:v>
      </x:c>
      <x:c r="AN6753" t="n">
        <x:v>1</x:v>
      </x:c>
    </x:row>
    <x:row r="6754" ht="23" customHeight="1">
      <x:c r="A6754" s="11" t="str">
        <x:v>09995.HK</x:v>
      </x:c>
      <x:c r="B6754" s="11" t="str">
        <x:v>一年</x:v>
      </x:c>
      <x:c r="C6754" s="11" t="str">
        <x:v>RC148_China</x:v>
      </x:c>
      <x:c r="D6754" s="11" t="str">
        <x:v>2037-12-31</x:v>
      </x:c>
      <x:c r="E6754" s="11" t="str">
        <x:v>CNY</x:v>
      </x:c>
      <x:c r="F6754" s="11" t="n">
        <x:v>10.22861054072553</x:v>
      </x:c>
      <x:c r="G6754" s="26" t="b">
        <x:v>1</x:v>
      </x:c>
      <x:c r="H6754" s="16" t="n">
        <x:v>1.2</x:v>
      </x:c>
      <x:c r="I6754" s="16" t="n">
        <x:v>3.6</x:v>
      </x:c>
      <x:c r="J6754" s="16" t="n">
        <x:v>6.4</x:v>
      </x:c>
      <x:c r="K6754" s="11" t="n">
        <x:f>CHOOSE('假设'!$B$3,H6754,I6754,J6754)</x:f>
        <x:v>3.6</x:v>
      </x:c>
      <x:c r="L6754" s="11" t="n">
        <x:f>K6754*'管线假设'!E1443*'管线假设'!F1443*'管线假设'!G1443*IF(E6754="USD",'管线假设'!I1443,1)-AM6754</x:f>
        <x:v>0.756</x:v>
      </x:c>
      <x:c r="M6754" s="11" t="n">
        <x:f>'管线假设'!H1443</x:f>
        <x:v>0.14</x:v>
      </x:c>
      <x:c r="N6754" s="11" t="n">
        <x:f>IF(G6754,L6754*AN6754/(1+M6754)^F6754,0)</x:f>
        <x:v>0.19790840253502306</x:v>
      </x:c>
      <x:c r="AJ6754" s="42" t="n">
        <x:v>0</x:v>
      </x:c>
      <x:c r="AK6754" s="42" t="n">
        <x:v>0</x:v>
      </x:c>
      <x:c r="AL6754" s="42" t="n">
        <x:v>0</x:v>
      </x:c>
      <x:c r="AM6754" t="n">
        <x:f>CHOOSE('假设'!$B$3,AJ6754,AK6754,AL6754)</x:f>
        <x:v>0</x:v>
      </x:c>
      <x:c r="AN6754" t="n">
        <x:v>1</x:v>
      </x:c>
    </x:row>
    <x:row r="6755" ht="23" customHeight="1">
      <x:c r="A6755" s="11" t="str">
        <x:v>09995.HK</x:v>
      </x:c>
      <x:c r="B6755" s="11" t="str">
        <x:v>一年</x:v>
      </x:c>
      <x:c r="C6755" s="11" t="str">
        <x:v>RC148_China</x:v>
      </x:c>
      <x:c r="D6755" s="11" t="str">
        <x:v>2038-12-31</x:v>
      </x:c>
      <x:c r="E6755" s="11" t="str">
        <x:v>CNY</x:v>
      </x:c>
      <x:c r="F6755" s="11" t="n">
        <x:v>11.227926078028748</x:v>
      </x:c>
      <x:c r="G6755" s="26" t="b">
        <x:v>1</x:v>
      </x:c>
      <x:c r="H6755" s="16" t="n">
        <x:v>1.14</x:v>
      </x:c>
      <x:c r="I6755" s="16" t="n">
        <x:v>3.2</x:v>
      </x:c>
      <x:c r="J6755" s="16" t="n">
        <x:v>5.2</x:v>
      </x:c>
      <x:c r="K6755" s="11" t="n">
        <x:f>CHOOSE('假设'!$B$3,H6755,I6755,J6755)</x:f>
        <x:v>3.2</x:v>
      </x:c>
      <x:c r="L6755" s="11" t="n">
        <x:f>K6755*'管线假设'!E1443*'管线假设'!F1443*'管线假设'!G1443*IF(E6755="USD",'管线假设'!I1443,1)-AM6755</x:f>
        <x:v>0.672</x:v>
      </x:c>
      <x:c r="M6755" s="11" t="n">
        <x:f>'管线假设'!H1443</x:f>
        <x:v>0.14</x:v>
      </x:c>
      <x:c r="N6755" s="11" t="n">
        <x:f>IF(G6755,L6755*AN6755/(1+M6755)^F6755,0)</x:f>
        <x:v>0.15432838404661667</x:v>
      </x:c>
      <x:c r="AJ6755" s="42" t="n">
        <x:v>0</x:v>
      </x:c>
      <x:c r="AK6755" s="42" t="n">
        <x:v>0</x:v>
      </x:c>
      <x:c r="AL6755" s="42" t="n">
        <x:v>0</x:v>
      </x:c>
      <x:c r="AM6755" t="n">
        <x:f>CHOOSE('假设'!$B$3,AJ6755,AK6755,AL6755)</x:f>
        <x:v>0</x:v>
      </x:c>
      <x:c r="AN6755" t="n">
        <x:v>1</x:v>
      </x:c>
    </x:row>
    <x:row r="6756" ht="23" customHeight="1">
      <x:c r="A6756" s="11" t="str">
        <x:v>09995.HK</x:v>
      </x:c>
      <x:c r="B6756" s="11" t="str">
        <x:v>一年</x:v>
      </x:c>
      <x:c r="C6756" s="11" t="str">
        <x:v>RC148_China</x:v>
      </x:c>
      <x:c r="D6756" s="11" t="str">
        <x:v>2039-12-31</x:v>
      </x:c>
      <x:c r="E6756" s="11" t="str">
        <x:v>CNY</x:v>
      </x:c>
      <x:c r="F6756" s="11" t="n">
        <x:v>12.227241615331964</x:v>
      </x:c>
      <x:c r="G6756" s="26" t="b">
        <x:v>1</x:v>
      </x:c>
      <x:c r="H6756" s="16" t="n">
        <x:v>1.08</x:v>
      </x:c>
      <x:c r="I6756" s="16" t="n">
        <x:v>2.6</x:v>
      </x:c>
      <x:c r="J6756" s="16" t="n">
        <x:v>4</x:v>
      </x:c>
      <x:c r="K6756" s="11" t="n">
        <x:f>CHOOSE('假设'!$B$3,H6756,I6756,J6756)</x:f>
        <x:v>2.6</x:v>
      </x:c>
      <x:c r="L6756" s="11" t="n">
        <x:f>K6756*'管线假设'!E1443*'管线假设'!F1443*'管线假设'!G1443*IF(E6756="USD",'管线假设'!I1443,1)-AM6756</x:f>
        <x:v>0.546</x:v>
      </x:c>
      <x:c r="M6756" s="11" t="n">
        <x:f>'管线假设'!H1443</x:f>
        <x:v>0.14</x:v>
      </x:c>
      <x:c r="N6756" s="11" t="n">
        <x:f>IF(G6756,L6756*AN6756/(1+M6756)^F6756,0)</x:f>
        <x:v>0.11000268261065972</x:v>
      </x:c>
      <x:c r="AJ6756" s="42" t="n">
        <x:v>0</x:v>
      </x:c>
      <x:c r="AK6756" s="42" t="n">
        <x:v>0</x:v>
      </x:c>
      <x:c r="AL6756" s="42" t="n">
        <x:v>0</x:v>
      </x:c>
      <x:c r="AM6756" t="n">
        <x:f>CHOOSE('假设'!$B$3,AJ6756,AK6756,AL6756)</x:f>
        <x:v>0</x:v>
      </x:c>
      <x:c r="AN6756" t="n">
        <x:v>1</x:v>
      </x:c>
    </x:row>
    <x:row r="6757" ht="23" customHeight="1">
      <x:c r="A6757" s="11" t="str">
        <x:v>09995.HK</x:v>
      </x:c>
      <x:c r="B6757" s="11" t="str">
        <x:v>一年</x:v>
      </x:c>
      <x:c r="C6757" s="11" t="str">
        <x:v>RC148_China</x:v>
      </x:c>
      <x:c r="D6757" s="11" t="str">
        <x:v>2040-12-31</x:v>
      </x:c>
      <x:c r="E6757" s="11" t="str">
        <x:v>CNY</x:v>
      </x:c>
      <x:c r="F6757" s="11" t="n">
        <x:v>13.229295003422314</x:v>
      </x:c>
      <x:c r="G6757" s="26" t="b">
        <x:v>1</x:v>
      </x:c>
      <x:c r="H6757" s="16" t="n">
        <x:v>0.96</x:v>
      </x:c>
      <x:c r="I6757" s="16" t="n">
        <x:v>2</x:v>
      </x:c>
      <x:c r="J6757" s="16" t="n">
        <x:v>2.8</x:v>
      </x:c>
      <x:c r="K6757" s="11" t="n">
        <x:f>CHOOSE('假设'!$B$3,H6757,I6757,J6757)</x:f>
        <x:v>2</x:v>
      </x:c>
      <x:c r="L6757" s="11" t="n">
        <x:f>K6757*'管线假设'!E1443*'管线假设'!F1443*'管线假设'!G1443*IF(E6757="USD",'管线假设'!I1443,1)-AM6757</x:f>
        <x:v>0.42</x:v>
      </x:c>
      <x:c r="M6757" s="11" t="n">
        <x:f>'管线假设'!H1443</x:f>
        <x:v>0.14</x:v>
      </x:c>
      <x:c r="N6757" s="11" t="n">
        <x:f>IF(G6757,L6757*AN6757/(1+M6757)^F6757,0)</x:f>
        <x:v>0.07420586380832707</x:v>
      </x:c>
      <x:c r="AJ6757" s="42" t="n">
        <x:v>0</x:v>
      </x:c>
      <x:c r="AK6757" s="42" t="n">
        <x:v>0</x:v>
      </x:c>
      <x:c r="AL6757" s="42" t="n">
        <x:v>0</x:v>
      </x:c>
      <x:c r="AM6757" t="n">
        <x:f>CHOOSE('假设'!$B$3,AJ6757,AK6757,AL6757)</x:f>
        <x:v>0</x:v>
      </x:c>
      <x:c r="AN6757" t="n">
        <x:v>1</x:v>
      </x:c>
    </x:row>
    <x:row r="6758" ht="23" customHeight="1">
      <x:c r="A6758" s="11" t="str">
        <x:v>09995.HK</x:v>
      </x:c>
      <x:c r="B6758" s="11" t="str">
        <x:v>一年</x:v>
      </x:c>
      <x:c r="C6758" s="11" t="str">
        <x:v>RC148_China</x:v>
      </x:c>
      <x:c r="D6758" s="11" t="str">
        <x:v>2041-12-31</x:v>
      </x:c>
      <x:c r="E6758" s="11" t="str">
        <x:v>CNY</x:v>
      </x:c>
      <x:c r="F6758" s="11" t="n">
        <x:v>14.22861054072553</x:v>
      </x:c>
      <x:c r="G6758" s="26" t="b">
        <x:v>1</x:v>
      </x:c>
      <x:c r="H6758" s="16" t="n">
        <x:v>0.78</x:v>
      </x:c>
      <x:c r="I6758" s="16" t="n">
        <x:v>1.4</x:v>
      </x:c>
      <x:c r="J6758" s="16" t="n">
        <x:v>1.6</x:v>
      </x:c>
      <x:c r="K6758" s="11" t="n">
        <x:f>CHOOSE('假设'!$B$3,H6758,I6758,J6758)</x:f>
        <x:v>1.4</x:v>
      </x:c>
      <x:c r="L6758" s="11" t="n">
        <x:f>K6758*'管线假设'!E1443*'管线假设'!F1443*'管线假设'!G1443*IF(E6758="USD",'管线假设'!I1443,1)-AM6758</x:f>
        <x:v>0.294</x:v>
      </x:c>
      <x:c r="M6758" s="11" t="n">
        <x:f>'管线假设'!H1443</x:f>
        <x:v>0.14</x:v>
      </x:c>
      <x:c r="N6758" s="11" t="n">
        <x:f>IF(G6758,L6758*AN6758/(1+M6758)^F6758,0)</x:f>
        <x:v>0.04556909072598849</x:v>
      </x:c>
      <x:c r="AJ6758" s="42" t="n">
        <x:v>0</x:v>
      </x:c>
      <x:c r="AK6758" s="42" t="n">
        <x:v>0</x:v>
      </x:c>
      <x:c r="AL6758" s="42" t="n">
        <x:v>0</x:v>
      </x:c>
      <x:c r="AM6758" t="n">
        <x:f>CHOOSE('假设'!$B$3,AJ6758,AK6758,AL6758)</x:f>
        <x:v>0</x:v>
      </x:c>
      <x:c r="AN6758" t="n">
        <x:v>1</x:v>
      </x:c>
    </x:row>
    <x:row r="6759" ht="23" customHeight="1">
      <x:c r="A6759" s="11" t="str">
        <x:v>09995.HK</x:v>
      </x:c>
      <x:c r="B6759" s="11" t="str">
        <x:v>一年</x:v>
      </x:c>
      <x:c r="C6759" s="11" t="str">
        <x:v>RC148_China</x:v>
      </x:c>
      <x:c r="D6759" s="11" t="str">
        <x:v>2042-12-31</x:v>
      </x:c>
      <x:c r="E6759" s="11" t="str">
        <x:v>CNY</x:v>
      </x:c>
      <x:c r="F6759" s="11" t="n">
        <x:v>15.227926078028748</x:v>
      </x:c>
      <x:c r="G6759" s="26" t="b">
        <x:v>1</x:v>
      </x:c>
      <x:c r="H6759" s="16" t="n">
        <x:v>0.6</x:v>
      </x:c>
      <x:c r="I6759" s="16" t="n">
        <x:v>0.8</x:v>
      </x:c>
      <x:c r="J6759" s="16" t="n">
        <x:v>0.96</x:v>
      </x:c>
      <x:c r="K6759" s="11" t="n">
        <x:f>CHOOSE('假设'!$B$3,H6759,I6759,J6759)</x:f>
        <x:v>0.8</x:v>
      </x:c>
      <x:c r="L6759" s="11" t="n">
        <x:f>K6759*'管线假设'!E1443*'管线假设'!F1443*'管线假设'!G1443*IF(E6759="USD",'管线假设'!I1443,1)-AM6759</x:f>
        <x:v>0.168</x:v>
      </x:c>
      <x:c r="M6759" s="11" t="n">
        <x:f>'管线假设'!H1443</x:f>
        <x:v>0.14</x:v>
      </x:c>
      <x:c r="N6759" s="11" t="n">
        <x:f>IF(G6759,L6759*AN6759/(1+M6759)^F6759,0)</x:f>
        <x:v>0.02284369810810348</x:v>
      </x:c>
      <x:c r="AJ6759" s="42" t="n">
        <x:v>0</x:v>
      </x:c>
      <x:c r="AK6759" s="42" t="n">
        <x:v>0</x:v>
      </x:c>
      <x:c r="AL6759" s="42" t="n">
        <x:v>0</x:v>
      </x:c>
      <x:c r="AM6759" t="n">
        <x:f>CHOOSE('假设'!$B$3,AJ6759,AK6759,AL6759)</x:f>
        <x:v>0</x:v>
      </x:c>
      <x:c r="AN6759" t="n">
        <x:v>1</x:v>
      </x:c>
    </x:row>
    <x:row r="6760" ht="23" customHeight="1">
      <x:c r="A6760" s="11" t="str">
        <x:v>09995.HK</x:v>
      </x:c>
      <x:c r="B6760" s="11" t="str">
        <x:v>一年</x:v>
      </x:c>
      <x:c r="C6760" s="11" t="str">
        <x:v>RC148_China</x:v>
      </x:c>
      <x:c r="D6760" s="11" t="str">
        <x:v>2043-12-31</x:v>
      </x:c>
      <x:c r="E6760" s="11" t="str">
        <x:v>CNY</x:v>
      </x:c>
      <x:c r="F6760" s="11" t="n">
        <x:v>16.227241615331966</x:v>
      </x:c>
      <x:c r="G6760" s="26" t="b">
        <x:v>1</x:v>
      </x:c>
      <x:c r="H6760" s="16" t="n">
        <x:v>0.42</x:v>
      </x:c>
      <x:c r="I6760" s="16" t="n">
        <x:v>0.48</x:v>
      </x:c>
      <x:c r="J6760" s="16" t="n">
        <x:v>0.56</x:v>
      </x:c>
      <x:c r="K6760" s="11" t="n">
        <x:f>CHOOSE('假设'!$B$3,H6760,I6760,J6760)</x:f>
        <x:v>0.48</x:v>
      </x:c>
      <x:c r="L6760" s="11" t="n">
        <x:f>K6760*'管线假设'!E1443*'管线假设'!F1443*'管线假设'!G1443*IF(E6760="USD",'管线假设'!I1443,1)-AM6760</x:f>
        <x:v>0.10079999999999999</x:v>
      </x:c>
      <x:c r="M6760" s="11" t="n">
        <x:f>'管线假设'!H1443</x:f>
        <x:v>0.14</x:v>
      </x:c>
      <x:c r="N6760" s="11" t="n">
        <x:f>IF(G6760,L6760*AN6760/(1+M6760)^F6760,0)</x:f>
        <x:v>0.012024077322754024</x:v>
      </x:c>
      <x:c r="AJ6760" s="42" t="n">
        <x:v>0</x:v>
      </x:c>
      <x:c r="AK6760" s="42" t="n">
        <x:v>0</x:v>
      </x:c>
      <x:c r="AL6760" s="42" t="n">
        <x:v>0</x:v>
      </x:c>
      <x:c r="AM6760" t="n">
        <x:f>CHOOSE('假设'!$B$3,AJ6760,AK6760,AL6760)</x:f>
        <x:v>0</x:v>
      </x:c>
      <x:c r="AN6760" t="n">
        <x:v>1</x:v>
      </x:c>
    </x:row>
    <x:row r="6761" ht="23" customHeight="1">
      <x:c r="A6761" s="11" t="str">
        <x:v>09995.HK</x:v>
      </x:c>
      <x:c r="B6761" s="11" t="str">
        <x:v>一年</x:v>
      </x:c>
      <x:c r="C6761" s="11" t="str">
        <x:v>RC148_China</x:v>
      </x:c>
      <x:c r="D6761" s="11" t="str">
        <x:v>2044-12-31</x:v>
      </x:c>
      <x:c r="E6761" s="11" t="str">
        <x:v>CNY</x:v>
      </x:c>
      <x:c r="F6761" s="11" t="n">
        <x:v>17.229295003422312</x:v>
      </x:c>
      <x:c r="G6761" s="26" t="b">
        <x:v>1</x:v>
      </x:c>
      <x:c r="H6761" s="16" t="n">
        <x:v>0.24</x:v>
      </x:c>
      <x:c r="I6761" s="16" t="n">
        <x:v>0.28</x:v>
      </x:c>
      <x:c r="J6761" s="16" t="n">
        <x:v>0.24</x:v>
      </x:c>
      <x:c r="K6761" s="11" t="n">
        <x:f>CHOOSE('假设'!$B$3,H6761,I6761,J6761)</x:f>
        <x:v>0.28</x:v>
      </x:c>
      <x:c r="L6761" s="11" t="n">
        <x:f>K6761*'管线假设'!E1443*'管线假设'!F1443*'管线假设'!G1443*IF(E6761="USD",'管线假设'!I1443,1)-AM6761</x:f>
        <x:v>0.058800000000000005</x:v>
      </x:c>
      <x:c r="M6761" s="11" t="n">
        <x:f>'管线假设'!H1443</x:f>
        <x:v>0.14</x:v>
      </x:c>
      <x:c r="N6761" s="11" t="n">
        <x:f>IF(G6761,L6761*AN6761/(1+M6761)^F6761,0)</x:f>
        <x:v>0.006151015979658033</x:v>
      </x:c>
      <x:c r="AJ6761" s="42" t="n">
        <x:v>0</x:v>
      </x:c>
      <x:c r="AK6761" s="42" t="n">
        <x:v>0</x:v>
      </x:c>
      <x:c r="AL6761" s="42" t="n">
        <x:v>0</x:v>
      </x:c>
      <x:c r="AM6761" t="n">
        <x:f>CHOOSE('假设'!$B$3,AJ6761,AK6761,AL6761)</x:f>
        <x:v>0</x:v>
      </x:c>
      <x:c r="AN6761" t="n">
        <x:v>1</x:v>
      </x:c>
    </x:row>
    <x:row r="6762" ht="23" customHeight="1">
      <x:c r="A6762" s="11" t="str">
        <x:v>09995.HK</x:v>
      </x:c>
      <x:c r="B6762" s="11" t="str">
        <x:v>一年</x:v>
      </x:c>
      <x:c r="C6762" s="11" t="str">
        <x:v>RC148_foreign</x:v>
      </x:c>
      <x:c r="D6762" s="11" t="str">
        <x:v>2026-12-31</x:v>
      </x:c>
      <x:c r="E6762" s="11" t="str">
        <x:v>USD</x:v>
      </x:c>
      <x:c r="F6762" s="11" t="n">
        <x:v>-0.7720739219712526</x:v>
      </x:c>
      <x:c r="G6762" s="26" t="b">
        <x:v>0</x:v>
      </x:c>
      <x:c r="H6762" s="16" t="n">
        <x:v>0</x:v>
      </x:c>
      <x:c r="I6762" s="16" t="n">
        <x:v>0</x:v>
      </x:c>
      <x:c r="J6762" s="16" t="n">
        <x:v>0</x:v>
      </x:c>
      <x:c r="K6762" s="11" t="n">
        <x:f>CHOOSE('假设'!$B$3,H6762,I6762,J6762)</x:f>
        <x:v>0</x:v>
      </x:c>
      <x:c r="L6762" s="11" t="n">
        <x:f>K6762*'管线假设'!E1447*'管线假设'!F1447*'管线假设'!G1447*IF(E6762="USD",'管线假设'!I1447,1)-AM6762</x:f>
        <x:v>-0.056</x:v>
      </x:c>
      <x:c r="M6762" s="11" t="n">
        <x:f>'管线假设'!H1447</x:f>
        <x:v>0.14</x:v>
      </x:c>
      <x:c r="N6762" s="11" t="n">
        <x:f>IF(G6762,L6762*AN6762/(1+M6762)^F6762,0)</x:f>
        <x:v>0</x:v>
      </x:c>
      <x:c r="AJ6762" s="42" t="n">
        <x:v>0.021</x:v>
      </x:c>
      <x:c r="AK6762" s="42" t="n">
        <x:v>0.056</x:v>
      </x:c>
      <x:c r="AL6762" s="42" t="n">
        <x:v>0.084</x:v>
      </x:c>
      <x:c r="AM6762" t="n">
        <x:f>CHOOSE('假设'!$B$3,AJ6762,AK6762,AL6762)</x:f>
        <x:v>0.056</x:v>
      </x:c>
      <x:c r="AN6762" t="n">
        <x:v>0</x:v>
      </x:c>
    </x:row>
    <x:row r="6763" ht="23" customHeight="1">
      <x:c r="A6763" s="11" t="str">
        <x:v>09995.HK</x:v>
      </x:c>
      <x:c r="B6763" s="11" t="str">
        <x:v>一年</x:v>
      </x:c>
      <x:c r="C6763" s="11" t="str">
        <x:v>RC148_foreign</x:v>
      </x:c>
      <x:c r="D6763" s="11" t="str">
        <x:v>2027-12-31</x:v>
      </x:c>
      <x:c r="E6763" s="11" t="str">
        <x:v>USD</x:v>
      </x:c>
      <x:c r="F6763" s="11" t="n">
        <x:v>0.2272416153319644</x:v>
      </x:c>
      <x:c r="G6763" s="26" t="b">
        <x:v>1</x:v>
      </x:c>
      <x:c r="H6763" s="16" t="n">
        <x:v>0</x:v>
      </x:c>
      <x:c r="I6763" s="16" t="n">
        <x:v>0</x:v>
      </x:c>
      <x:c r="J6763" s="16" t="n">
        <x:v>0</x:v>
      </x:c>
      <x:c r="K6763" s="11" t="n">
        <x:f>CHOOSE('假设'!$B$3,H6763,I6763,J6763)</x:f>
        <x:v>0</x:v>
      </x:c>
      <x:c r="L6763" s="11" t="n">
        <x:f>K6763*'管线假设'!E1447*'管线假设'!F1447*'管线假设'!G1447*IF(E6763="USD",'管线假设'!I1447,1)-AM6763</x:f>
        <x:v>0</x:v>
      </x:c>
      <x:c r="M6763" s="11" t="n">
        <x:f>'管线假设'!H1447</x:f>
        <x:v>0.14</x:v>
      </x:c>
      <x:c r="N6763" s="11" t="n">
        <x:f>IF(G6763,L6763*AN6763/(1+M6763)^F6763,0)</x:f>
        <x:v>0</x:v>
      </x:c>
      <x:c r="AJ6763" s="42" t="n">
        <x:v>0</x:v>
      </x:c>
      <x:c r="AK6763" s="42" t="n">
        <x:v>0</x:v>
      </x:c>
      <x:c r="AL6763" s="42" t="n">
        <x:v>0</x:v>
      </x:c>
      <x:c r="AM6763" t="n">
        <x:f>CHOOSE('假设'!$B$3,AJ6763,AK6763,AL6763)</x:f>
        <x:v>0</x:v>
      </x:c>
      <x:c r="AN6763" t="n">
        <x:v>0.22802197802197802</x:v>
      </x:c>
    </x:row>
    <x:row r="6764" ht="23" customHeight="1">
      <x:c r="A6764" s="11" t="str">
        <x:v>09995.HK</x:v>
      </x:c>
      <x:c r="B6764" s="11" t="str">
        <x:v>一年</x:v>
      </x:c>
      <x:c r="C6764" s="11" t="str">
        <x:v>RC148_foreign</x:v>
      </x:c>
      <x:c r="D6764" s="11" t="str">
        <x:v>2028-12-31</x:v>
      </x:c>
      <x:c r="E6764" s="11" t="str">
        <x:v>USD</x:v>
      </x:c>
      <x:c r="F6764" s="11" t="n">
        <x:v>1.2292950034223136</x:v>
      </x:c>
      <x:c r="G6764" s="26" t="b">
        <x:v>1</x:v>
      </x:c>
      <x:c r="H6764" s="16" t="n">
        <x:v>0</x:v>
      </x:c>
      <x:c r="I6764" s="16" t="n">
        <x:v>0</x:v>
      </x:c>
      <x:c r="J6764" s="16" t="n">
        <x:v>0</x:v>
      </x:c>
      <x:c r="K6764" s="11" t="n">
        <x:f>CHOOSE('假设'!$B$3,H6764,I6764,J6764)</x:f>
        <x:v>0</x:v>
      </x:c>
      <x:c r="L6764" s="11" t="n">
        <x:f>K6764*'管线假设'!E1447*'管线假设'!F1447*'管线假设'!G1447*IF(E6764="USD",'管线假设'!I1447,1)-AM6764</x:f>
        <x:v>0</x:v>
      </x:c>
      <x:c r="M6764" s="11" t="n">
        <x:f>'管线假设'!H1447</x:f>
        <x:v>0.14</x:v>
      </x:c>
      <x:c r="N6764" s="11" t="n">
        <x:f>IF(G6764,L6764*AN6764/(1+M6764)^F6764,0)</x:f>
        <x:v>0</x:v>
      </x:c>
      <x:c r="AJ6764" s="42" t="n">
        <x:v>0</x:v>
      </x:c>
      <x:c r="AK6764" s="42" t="n">
        <x:v>0</x:v>
      </x:c>
      <x:c r="AL6764" s="42" t="n">
        <x:v>0</x:v>
      </x:c>
      <x:c r="AM6764" t="n">
        <x:f>CHOOSE('假设'!$B$3,AJ6764,AK6764,AL6764)</x:f>
        <x:v>0</x:v>
      </x:c>
      <x:c r="AN6764" t="n">
        <x:v>1</x:v>
      </x:c>
    </x:row>
    <x:row r="6765" ht="23" customHeight="1">
      <x:c r="A6765" s="11" t="str">
        <x:v>09995.HK</x:v>
      </x:c>
      <x:c r="B6765" s="11" t="str">
        <x:v>一年</x:v>
      </x:c>
      <x:c r="C6765" s="11" t="str">
        <x:v>RC148_foreign</x:v>
      </x:c>
      <x:c r="D6765" s="11" t="str">
        <x:v>2029-12-31</x:v>
      </x:c>
      <x:c r="E6765" s="11" t="str">
        <x:v>USD</x:v>
      </x:c>
      <x:c r="F6765" s="11" t="n">
        <x:v>2.2286105407255303</x:v>
      </x:c>
      <x:c r="G6765" s="26" t="b">
        <x:v>1</x:v>
      </x:c>
      <x:c r="H6765" s="16" t="n">
        <x:v>0</x:v>
      </x:c>
      <x:c r="I6765" s="16" t="n">
        <x:v>0</x:v>
      </x:c>
      <x:c r="J6765" s="16" t="n">
        <x:v>0.6</x:v>
      </x:c>
      <x:c r="K6765" s="11" t="n">
        <x:f>CHOOSE('假设'!$B$3,H6765,I6765,J6765)</x:f>
        <x:v>0</x:v>
      </x:c>
      <x:c r="L6765" s="11" t="n">
        <x:f>K6765*'管线假设'!E1447*'管线假设'!F1447*'管线假设'!G1447*IF(E6765="USD",'管线假设'!I1447,1)-AM6765</x:f>
        <x:v>0</x:v>
      </x:c>
      <x:c r="M6765" s="11" t="n">
        <x:f>'管线假设'!H1447</x:f>
        <x:v>0.14</x:v>
      </x:c>
      <x:c r="N6765" s="11" t="n">
        <x:f>IF(G6765,L6765*AN6765/(1+M6765)^F6765,0)</x:f>
        <x:v>0</x:v>
      </x:c>
      <x:c r="AJ6765" s="42" t="n">
        <x:v>0</x:v>
      </x:c>
      <x:c r="AK6765" s="42" t="n">
        <x:v>0</x:v>
      </x:c>
      <x:c r="AL6765" s="42" t="n">
        <x:v>0</x:v>
      </x:c>
      <x:c r="AM6765" t="n">
        <x:f>CHOOSE('假设'!$B$3,AJ6765,AK6765,AL6765)</x:f>
        <x:v>0</x:v>
      </x:c>
      <x:c r="AN6765" t="n">
        <x:v>1</x:v>
      </x:c>
    </x:row>
    <x:row r="6766" ht="23" customHeight="1">
      <x:c r="A6766" s="11" t="str">
        <x:v>09995.HK</x:v>
      </x:c>
      <x:c r="B6766" s="11" t="str">
        <x:v>一年</x:v>
      </x:c>
      <x:c r="C6766" s="11" t="str">
        <x:v>RC148_foreign</x:v>
      </x:c>
      <x:c r="D6766" s="11" t="str">
        <x:v>2030-12-31</x:v>
      </x:c>
      <x:c r="E6766" s="11" t="str">
        <x:v>USD</x:v>
      </x:c>
      <x:c r="F6766" s="11" t="n">
        <x:v>3.2279260780287475</x:v>
      </x:c>
      <x:c r="G6766" s="26" t="b">
        <x:v>1</x:v>
      </x:c>
      <x:c r="H6766" s="16" t="n">
        <x:v>0</x:v>
      </x:c>
      <x:c r="I6766" s="16" t="n">
        <x:v>0.3</x:v>
      </x:c>
      <x:c r="J6766" s="16" t="n">
        <x:v>1.7999999999999998</x:v>
      </x:c>
      <x:c r="K6766" s="11" t="n">
        <x:f>CHOOSE('假设'!$B$3,H6766,I6766,J6766)</x:f>
        <x:v>0.3</x:v>
      </x:c>
      <x:c r="L6766" s="11" t="n">
        <x:f>K6766*'管线假设'!E1447*'管线假设'!F1447*'管线假设'!G1447*IF(E6766="USD",'管线假设'!I1447,1)-AM6766</x:f>
        <x:v>0.12054</x:v>
      </x:c>
      <x:c r="M6766" s="11" t="n">
        <x:f>'管线假设'!H1447</x:f>
        <x:v>0.14</x:v>
      </x:c>
      <x:c r="N6766" s="11" t="n">
        <x:f>IF(G6766,L6766*AN6766/(1+M6766)^F6766,0)</x:f>
        <x:v>0.0789671626087276</x:v>
      </x:c>
      <x:c r="AJ6766" s="42" t="n">
        <x:v>0</x:v>
      </x:c>
      <x:c r="AK6766" s="42" t="n">
        <x:v>0</x:v>
      </x:c>
      <x:c r="AL6766" s="42" t="n">
        <x:v>0</x:v>
      </x:c>
      <x:c r="AM6766" t="n">
        <x:f>CHOOSE('假设'!$B$3,AJ6766,AK6766,AL6766)</x:f>
        <x:v>0</x:v>
      </x:c>
      <x:c r="AN6766" t="n">
        <x:v>1</x:v>
      </x:c>
    </x:row>
    <x:row r="6767" ht="23" customHeight="1">
      <x:c r="A6767" s="11" t="str">
        <x:v>09995.HK</x:v>
      </x:c>
      <x:c r="B6767" s="11" t="str">
        <x:v>一年</x:v>
      </x:c>
      <x:c r="C6767" s="11" t="str">
        <x:v>RC148_foreign</x:v>
      </x:c>
      <x:c r="D6767" s="11" t="str">
        <x:v>2031-12-31</x:v>
      </x:c>
      <x:c r="E6767" s="11" t="str">
        <x:v>USD</x:v>
      </x:c>
      <x:c r="F6767" s="11" t="n">
        <x:v>4.227241615331964</x:v>
      </x:c>
      <x:c r="G6767" s="26" t="b">
        <x:v>1</x:v>
      </x:c>
      <x:c r="H6767" s="16" t="n">
        <x:v>0</x:v>
      </x:c>
      <x:c r="I6767" s="16" t="n">
        <x:v>0.8999999999999999</x:v>
      </x:c>
      <x:c r="J6767" s="16" t="n">
        <x:v>3.8</x:v>
      </x:c>
      <x:c r="K6767" s="11" t="n">
        <x:f>CHOOSE('假设'!$B$3,H6767,I6767,J6767)</x:f>
        <x:v>0.8999999999999999</x:v>
      </x:c>
      <x:c r="L6767" s="11" t="n">
        <x:f>K6767*'管线假设'!E1447*'管线假设'!F1447*'管线假设'!G1447*IF(E6767="USD",'管线假设'!I1447,1)-AM6767</x:f>
        <x:v>0.36162</x:v>
      </x:c>
      <x:c r="M6767" s="11" t="n">
        <x:f>'管线假设'!H1447</x:f>
        <x:v>0.14</x:v>
      </x:c>
      <x:c r="N6767" s="11" t="n">
        <x:f>IF(G6767,L6767*AN6767/(1+M6767)^F6767,0)</x:f>
        <x:v>0.2078269605631426</x:v>
      </x:c>
      <x:c r="AJ6767" s="42" t="n">
        <x:v>0</x:v>
      </x:c>
      <x:c r="AK6767" s="42" t="n">
        <x:v>0</x:v>
      </x:c>
      <x:c r="AL6767" s="42" t="n">
        <x:v>0</x:v>
      </x:c>
      <x:c r="AM6767" t="n">
        <x:f>CHOOSE('假设'!$B$3,AJ6767,AK6767,AL6767)</x:f>
        <x:v>0</x:v>
      </x:c>
      <x:c r="AN6767" t="n">
        <x:v>1</x:v>
      </x:c>
    </x:row>
    <x:row r="6768" ht="23" customHeight="1">
      <x:c r="A6768" s="11" t="str">
        <x:v>09995.HK</x:v>
      </x:c>
      <x:c r="B6768" s="11" t="str">
        <x:v>一年</x:v>
      </x:c>
      <x:c r="C6768" s="11" t="str">
        <x:v>RC148_foreign</x:v>
      </x:c>
      <x:c r="D6768" s="11" t="str">
        <x:v>2032-12-31</x:v>
      </x:c>
      <x:c r="E6768" s="11" t="str">
        <x:v>USD</x:v>
      </x:c>
      <x:c r="F6768" s="11" t="n">
        <x:v>5.229295003422314</x:v>
      </x:c>
      <x:c r="G6768" s="26" t="b">
        <x:v>1</x:v>
      </x:c>
      <x:c r="H6768" s="16" t="n">
        <x:v>0.12</x:v>
      </x:c>
      <x:c r="I6768" s="16" t="n">
        <x:v>1.9</x:v>
      </x:c>
      <x:c r="J6768" s="16" t="n">
        <x:v>6.5</x:v>
      </x:c>
      <x:c r="K6768" s="11" t="n">
        <x:f>CHOOSE('假设'!$B$3,H6768,I6768,J6768)</x:f>
        <x:v>1.9</x:v>
      </x:c>
      <x:c r="L6768" s="11" t="n">
        <x:f>K6768*'管线假设'!E1447*'管线假设'!F1447*'管线假设'!G1447*IF(E6768="USD",'管线假设'!I1447,1)-AM6768</x:f>
        <x:v>0.76342</x:v>
      </x:c>
      <x:c r="M6768" s="11" t="n">
        <x:f>'管线假设'!H1447</x:f>
        <x:v>0.14</x:v>
      </x:c>
      <x:c r="N6768" s="11" t="n">
        <x:f>IF(G6768,L6768*AN6768/(1+M6768)^F6768,0)</x:f>
        <x:v>0.38476120713248746</x:v>
      </x:c>
      <x:c r="AJ6768" s="42" t="n">
        <x:v>0</x:v>
      </x:c>
      <x:c r="AK6768" s="42" t="n">
        <x:v>0</x:v>
      </x:c>
      <x:c r="AL6768" s="42" t="n">
        <x:v>0</x:v>
      </x:c>
      <x:c r="AM6768" t="n">
        <x:f>CHOOSE('假设'!$B$3,AJ6768,AK6768,AL6768)</x:f>
        <x:v>0</x:v>
      </x:c>
      <x:c r="AN6768" t="n">
        <x:v>1</x:v>
      </x:c>
    </x:row>
    <x:row r="6769" ht="23" customHeight="1">
      <x:c r="A6769" s="11" t="str">
        <x:v>09995.HK</x:v>
      </x:c>
      <x:c r="B6769" s="11" t="str">
        <x:v>一年</x:v>
      </x:c>
      <x:c r="C6769" s="11" t="str">
        <x:v>RC148_foreign</x:v>
      </x:c>
      <x:c r="D6769" s="11" t="str">
        <x:v>2033-12-31</x:v>
      </x:c>
      <x:c r="E6769" s="11" t="str">
        <x:v>USD</x:v>
      </x:c>
      <x:c r="F6769" s="11" t="n">
        <x:v>6.228610540725531</x:v>
      </x:c>
      <x:c r="G6769" s="26" t="b">
        <x:v>1</x:v>
      </x:c>
      <x:c r="H6769" s="16" t="n">
        <x:v>0.36</x:v>
      </x:c>
      <x:c r="I6769" s="16" t="n">
        <x:v>3.25</x:v>
      </x:c>
      <x:c r="J6769" s="16" t="n">
        <x:v>8.5</x:v>
      </x:c>
      <x:c r="K6769" s="11" t="n">
        <x:f>CHOOSE('假设'!$B$3,H6769,I6769,J6769)</x:f>
        <x:v>3.25</x:v>
      </x:c>
      <x:c r="L6769" s="11" t="n">
        <x:f>K6769*'管线假设'!E1447*'管线假设'!F1447*'管线假设'!G1447*IF(E6769="USD",'管线假设'!I1447,1)-AM6769</x:f>
        <x:v>1.30585</x:v>
      </x:c>
      <x:c r="M6769" s="11" t="n">
        <x:f>'管线假设'!H1447</x:f>
        <x:v>0.14</x:v>
      </x:c>
      <x:c r="N6769" s="11" t="n">
        <x:f>IF(G6769,L6769*AN6769/(1+M6769)^F6769,0)</x:f>
        <x:v>0.5773712260666004</x:v>
      </x:c>
      <x:c r="AJ6769" s="42" t="n">
        <x:v>0</x:v>
      </x:c>
      <x:c r="AK6769" s="42" t="n">
        <x:v>0</x:v>
      </x:c>
      <x:c r="AL6769" s="42" t="n">
        <x:v>0</x:v>
      </x:c>
      <x:c r="AM6769" t="n">
        <x:f>CHOOSE('假设'!$B$3,AJ6769,AK6769,AL6769)</x:f>
        <x:v>0</x:v>
      </x:c>
      <x:c r="AN6769" t="n">
        <x:v>1</x:v>
      </x:c>
    </x:row>
    <x:row r="6770" ht="23" customHeight="1">
      <x:c r="A6770" s="11" t="str">
        <x:v>09995.HK</x:v>
      </x:c>
      <x:c r="B6770" s="11" t="str">
        <x:v>一年</x:v>
      </x:c>
      <x:c r="C6770" s="11" t="str">
        <x:v>RC148_foreign</x:v>
      </x:c>
      <x:c r="D6770" s="11" t="str">
        <x:v>2034-12-31</x:v>
      </x:c>
      <x:c r="E6770" s="11" t="str">
        <x:v>USD</x:v>
      </x:c>
      <x:c r="F6770" s="11" t="n">
        <x:v>7.227926078028747</x:v>
      </x:c>
      <x:c r="G6770" s="26" t="b">
        <x:v>1</x:v>
      </x:c>
      <x:c r="H6770" s="16" t="n">
        <x:v>0.76</x:v>
      </x:c>
      <x:c r="I6770" s="16" t="n">
        <x:v>4.25</x:v>
      </x:c>
      <x:c r="J6770" s="16" t="n">
        <x:v>10</x:v>
      </x:c>
      <x:c r="K6770" s="11" t="n">
        <x:f>CHOOSE('假设'!$B$3,H6770,I6770,J6770)</x:f>
        <x:v>4.25</x:v>
      </x:c>
      <x:c r="L6770" s="11" t="n">
        <x:f>K6770*'管线假设'!E1447*'管线假设'!F1447*'管线假设'!G1447*IF(E6770="USD",'管线假设'!I1447,1)-AM6770</x:f>
        <x:v>1.7076500000000001</x:v>
      </x:c>
      <x:c r="M6770" s="11" t="n">
        <x:f>'管线假设'!H1447</x:f>
        <x:v>0.14</x:v>
      </x:c>
      <x:c r="N6770" s="11" t="n">
        <x:f>IF(G6770,L6770*AN6770/(1+M6770)^F6770,0)</x:f>
        <x:v>0.6623610768239243</x:v>
      </x:c>
      <x:c r="AJ6770" s="42" t="n">
        <x:v>0</x:v>
      </x:c>
      <x:c r="AK6770" s="42" t="n">
        <x:v>0</x:v>
      </x:c>
      <x:c r="AL6770" s="42" t="n">
        <x:v>0</x:v>
      </x:c>
      <x:c r="AM6770" t="n">
        <x:f>CHOOSE('假设'!$B$3,AJ6770,AK6770,AL6770)</x:f>
        <x:v>0</x:v>
      </x:c>
      <x:c r="AN6770" t="n">
        <x:v>1</x:v>
      </x:c>
    </x:row>
    <x:row r="6771" ht="23" customHeight="1">
      <x:c r="A6771" s="11" t="str">
        <x:v>09995.HK</x:v>
      </x:c>
      <x:c r="B6771" s="11" t="str">
        <x:v>一年</x:v>
      </x:c>
      <x:c r="C6771" s="11" t="str">
        <x:v>RC148_foreign</x:v>
      </x:c>
      <x:c r="D6771" s="11" t="str">
        <x:v>2035-12-31</x:v>
      </x:c>
      <x:c r="E6771" s="11" t="str">
        <x:v>USD</x:v>
      </x:c>
      <x:c r="F6771" s="11" t="n">
        <x:v>8.227241615331964</x:v>
      </x:c>
      <x:c r="G6771" s="26" t="b">
        <x:v>1</x:v>
      </x:c>
      <x:c r="H6771" s="16" t="n">
        <x:v>1.3</x:v>
      </x:c>
      <x:c r="I6771" s="16" t="n">
        <x:v>5</x:v>
      </x:c>
      <x:c r="J6771" s="16" t="n">
        <x:v>10</x:v>
      </x:c>
      <x:c r="K6771" s="11" t="n">
        <x:f>CHOOSE('假设'!$B$3,H6771,I6771,J6771)</x:f>
        <x:v>5</x:v>
      </x:c>
      <x:c r="L6771" s="11" t="n">
        <x:f>K6771*'管线假设'!E1447*'管线假设'!F1447*'管线假设'!G1447*IF(E6771="USD",'管线假设'!I1447,1)-AM6771</x:f>
        <x:v>2.009</x:v>
      </x:c>
      <x:c r="M6771" s="11" t="n">
        <x:f>'管线假设'!H1447</x:f>
        <x:v>0.14</x:v>
      </x:c>
      <x:c r="N6771" s="11" t="n">
        <x:f>IF(G6771,L6771*AN6771/(1+M6771)^F6771,0)</x:f>
        <x:v>0.683612469195716</x:v>
      </x:c>
      <x:c r="AJ6771" s="42" t="n">
        <x:v>0</x:v>
      </x:c>
      <x:c r="AK6771" s="42" t="n">
        <x:v>0</x:v>
      </x:c>
      <x:c r="AL6771" s="42" t="n">
        <x:v>0</x:v>
      </x:c>
      <x:c r="AM6771" t="n">
        <x:f>CHOOSE('假设'!$B$3,AJ6771,AK6771,AL6771)</x:f>
        <x:v>0</x:v>
      </x:c>
      <x:c r="AN6771" t="n">
        <x:v>1</x:v>
      </x:c>
    </x:row>
    <x:row r="6772" ht="23" customHeight="1">
      <x:c r="A6772" s="11" t="str">
        <x:v>09995.HK</x:v>
      </x:c>
      <x:c r="B6772" s="11" t="str">
        <x:v>一年</x:v>
      </x:c>
      <x:c r="C6772" s="11" t="str">
        <x:v>RC148_foreign</x:v>
      </x:c>
      <x:c r="D6772" s="11" t="str">
        <x:v>2036-12-31</x:v>
      </x:c>
      <x:c r="E6772" s="11" t="str">
        <x:v>USD</x:v>
      </x:c>
      <x:c r="F6772" s="11" t="n">
        <x:v>9.229295003422314</x:v>
      </x:c>
      <x:c r="G6772" s="26" t="b">
        <x:v>1</x:v>
      </x:c>
      <x:c r="H6772" s="16" t="n">
        <x:v>1.7</x:v>
      </x:c>
      <x:c r="I6772" s="16" t="n">
        <x:v>5</x:v>
      </x:c>
      <x:c r="J6772" s="16" t="n">
        <x:v>9.5</x:v>
      </x:c>
      <x:c r="K6772" s="11" t="n">
        <x:f>CHOOSE('假设'!$B$3,H6772,I6772,J6772)</x:f>
        <x:v>5</x:v>
      </x:c>
      <x:c r="L6772" s="11" t="n">
        <x:f>K6772*'管线假设'!E1447*'管线假设'!F1447*'管线假设'!G1447*IF(E6772="USD",'管线假设'!I1447,1)-AM6772</x:f>
        <x:v>2.009</x:v>
      </x:c>
      <x:c r="M6772" s="11" t="n">
        <x:f>'管线假设'!H1447</x:f>
        <x:v>0.14</x:v>
      </x:c>
      <x:c r="N6772" s="11" t="n">
        <x:f>IF(G6772,L6772*AN6772/(1+M6772)^F6772,0)</x:f>
        <x:v>0.5994987427376107</x:v>
      </x:c>
      <x:c r="AJ6772" s="42" t="n">
        <x:v>0</x:v>
      </x:c>
      <x:c r="AK6772" s="42" t="n">
        <x:v>0</x:v>
      </x:c>
      <x:c r="AL6772" s="42" t="n">
        <x:v>0</x:v>
      </x:c>
      <x:c r="AM6772" t="n">
        <x:f>CHOOSE('假设'!$B$3,AJ6772,AK6772,AL6772)</x:f>
        <x:v>0</x:v>
      </x:c>
      <x:c r="AN6772" t="n">
        <x:v>1</x:v>
      </x:c>
    </x:row>
    <x:row r="6773" ht="23" customHeight="1">
      <x:c r="A6773" s="11" t="str">
        <x:v>09995.HK</x:v>
      </x:c>
      <x:c r="B6773" s="11" t="str">
        <x:v>一年</x:v>
      </x:c>
      <x:c r="C6773" s="11" t="str">
        <x:v>RC148_foreign</x:v>
      </x:c>
      <x:c r="D6773" s="11" t="str">
        <x:v>2037-12-31</x:v>
      </x:c>
      <x:c r="E6773" s="11" t="str">
        <x:v>USD</x:v>
      </x:c>
      <x:c r="F6773" s="11" t="n">
        <x:v>10.22861054072553</x:v>
      </x:c>
      <x:c r="G6773" s="26" t="b">
        <x:v>1</x:v>
      </x:c>
      <x:c r="H6773" s="16" t="n">
        <x:v>2</x:v>
      </x:c>
      <x:c r="I6773" s="16" t="n">
        <x:v>4.75</x:v>
      </x:c>
      <x:c r="J6773" s="16" t="n">
        <x:v>9</x:v>
      </x:c>
      <x:c r="K6773" s="11" t="n">
        <x:f>CHOOSE('假设'!$B$3,H6773,I6773,J6773)</x:f>
        <x:v>4.75</x:v>
      </x:c>
      <x:c r="L6773" s="11" t="n">
        <x:f>K6773*'管线假设'!E1447*'管线假设'!F1447*'管线假设'!G1447*IF(E6773="USD",'管线假设'!I1447,1)-AM6773</x:f>
        <x:v>1.90855</x:v>
      </x:c>
      <x:c r="M6773" s="11" t="n">
        <x:f>'管线假设'!H1447</x:f>
        <x:v>0.14</x:v>
      </x:c>
      <x:c r="N6773" s="11" t="n">
        <x:f>IF(G6773,L6773*AN6773/(1+M6773)^F6773,0)</x:f>
        <x:v>0.49962709214050033</x:v>
      </x:c>
      <x:c r="AJ6773" s="42" t="n">
        <x:v>0</x:v>
      </x:c>
      <x:c r="AK6773" s="42" t="n">
        <x:v>0</x:v>
      </x:c>
      <x:c r="AL6773" s="42" t="n">
        <x:v>0</x:v>
      </x:c>
      <x:c r="AM6773" t="n">
        <x:f>CHOOSE('假设'!$B$3,AJ6773,AK6773,AL6773)</x:f>
        <x:v>0</x:v>
      </x:c>
      <x:c r="AN6773" t="n">
        <x:v>1</x:v>
      </x:c>
    </x:row>
    <x:row r="6774" ht="23" customHeight="1">
      <x:c r="A6774" s="11" t="str">
        <x:v>09995.HK</x:v>
      </x:c>
      <x:c r="B6774" s="11" t="str">
        <x:v>一年</x:v>
      </x:c>
      <x:c r="C6774" s="11" t="str">
        <x:v>RC148_foreign</x:v>
      </x:c>
      <x:c r="D6774" s="11" t="str">
        <x:v>2038-12-31</x:v>
      </x:c>
      <x:c r="E6774" s="11" t="str">
        <x:v>USD</x:v>
      </x:c>
      <x:c r="F6774" s="11" t="n">
        <x:v>11.227926078028748</x:v>
      </x:c>
      <x:c r="G6774" s="26" t="b">
        <x:v>1</x:v>
      </x:c>
      <x:c r="H6774" s="16" t="n">
        <x:v>2</x:v>
      </x:c>
      <x:c r="I6774" s="16" t="n">
        <x:v>4.5</x:v>
      </x:c>
      <x:c r="J6774" s="16" t="n">
        <x:v>8</x:v>
      </x:c>
      <x:c r="K6774" s="11" t="n">
        <x:f>CHOOSE('假设'!$B$3,H6774,I6774,J6774)</x:f>
        <x:v>4.5</x:v>
      </x:c>
      <x:c r="L6774" s="11" t="n">
        <x:f>K6774*'管线假设'!E1447*'管线假设'!F1447*'管线假设'!G1447*IF(E6774="USD",'管线假设'!I1447,1)-AM6774</x:f>
        <x:v>1.8080999999999998</x:v>
      </x:c>
      <x:c r="M6774" s="11" t="n">
        <x:f>'管线假设'!H1447</x:f>
        <x:v>0.14</x:v>
      </x:c>
      <x:c r="N6774" s="11" t="n">
        <x:f>IF(G6774,L6774*AN6774/(1+M6774)^F6774,0)</x:f>
        <x:v>0.4152398083254279</x:v>
      </x:c>
      <x:c r="AJ6774" s="42" t="n">
        <x:v>0</x:v>
      </x:c>
      <x:c r="AK6774" s="42" t="n">
        <x:v>0</x:v>
      </x:c>
      <x:c r="AL6774" s="42" t="n">
        <x:v>0</x:v>
      </x:c>
      <x:c r="AM6774" t="n">
        <x:f>CHOOSE('假设'!$B$3,AJ6774,AK6774,AL6774)</x:f>
        <x:v>0</x:v>
      </x:c>
      <x:c r="AN6774" t="n">
        <x:v>1</x:v>
      </x:c>
    </x:row>
    <x:row r="6775" ht="23" customHeight="1">
      <x:c r="A6775" s="11" t="str">
        <x:v>09995.HK</x:v>
      </x:c>
      <x:c r="B6775" s="11" t="str">
        <x:v>一年</x:v>
      </x:c>
      <x:c r="C6775" s="11" t="str">
        <x:v>RC148_foreign</x:v>
      </x:c>
      <x:c r="D6775" s="11" t="str">
        <x:v>2039-12-31</x:v>
      </x:c>
      <x:c r="E6775" s="11" t="str">
        <x:v>USD</x:v>
      </x:c>
      <x:c r="F6775" s="11" t="n">
        <x:v>12.227241615331964</x:v>
      </x:c>
      <x:c r="G6775" s="26" t="b">
        <x:v>1</x:v>
      </x:c>
      <x:c r="H6775" s="16" t="n">
        <x:v>1.9</x:v>
      </x:c>
      <x:c r="I6775" s="16" t="n">
        <x:v>4</x:v>
      </x:c>
      <x:c r="J6775" s="16" t="n">
        <x:v>6.5</x:v>
      </x:c>
      <x:c r="K6775" s="11" t="n">
        <x:f>CHOOSE('假设'!$B$3,H6775,I6775,J6775)</x:f>
        <x:v>4</x:v>
      </x:c>
      <x:c r="L6775" s="11" t="n">
        <x:f>K6775*'管线假设'!E1447*'管线假设'!F1447*'管线假设'!G1447*IF(E6775="USD",'管线假设'!I1447,1)-AM6775</x:f>
        <x:v>1.6072</x:v>
      </x:c>
      <x:c r="M6775" s="11" t="n">
        <x:f>'管线假设'!H1447</x:f>
        <x:v>0.14</x:v>
      </x:c>
      <x:c r="N6775" s="11" t="n">
        <x:f>IF(G6775,L6775*AN6775/(1+M6775)^F6775,0)</x:f>
        <x:v>0.32380276830009574</x:v>
      </x:c>
      <x:c r="AJ6775" s="42" t="n">
        <x:v>0</x:v>
      </x:c>
      <x:c r="AK6775" s="42" t="n">
        <x:v>0</x:v>
      </x:c>
      <x:c r="AL6775" s="42" t="n">
        <x:v>0</x:v>
      </x:c>
      <x:c r="AM6775" t="n">
        <x:f>CHOOSE('假设'!$B$3,AJ6775,AK6775,AL6775)</x:f>
        <x:v>0</x:v>
      </x:c>
      <x:c r="AN6775" t="n">
        <x:v>1</x:v>
      </x:c>
    </x:row>
    <x:row r="6776" ht="23" customHeight="1">
      <x:c r="A6776" s="11" t="str">
        <x:v>09995.HK</x:v>
      </x:c>
      <x:c r="B6776" s="11" t="str">
        <x:v>一年</x:v>
      </x:c>
      <x:c r="C6776" s="11" t="str">
        <x:v>RC148_foreign</x:v>
      </x:c>
      <x:c r="D6776" s="11" t="str">
        <x:v>2040-12-31</x:v>
      </x:c>
      <x:c r="E6776" s="11" t="str">
        <x:v>USD</x:v>
      </x:c>
      <x:c r="F6776" s="11" t="n">
        <x:v>13.229295003422314</x:v>
      </x:c>
      <x:c r="G6776" s="26" t="b">
        <x:v>1</x:v>
      </x:c>
      <x:c r="H6776" s="16" t="n">
        <x:v>1.8</x:v>
      </x:c>
      <x:c r="I6776" s="16" t="n">
        <x:v>3.25</x:v>
      </x:c>
      <x:c r="J6776" s="16" t="n">
        <x:v>5</x:v>
      </x:c>
      <x:c r="K6776" s="11" t="n">
        <x:f>CHOOSE('假设'!$B$3,H6776,I6776,J6776)</x:f>
        <x:v>3.25</x:v>
      </x:c>
      <x:c r="L6776" s="11" t="n">
        <x:f>K6776*'管线假设'!E1447*'管线假设'!F1447*'管线假设'!G1447*IF(E6776="USD",'管线假设'!I1447,1)-AM6776</x:f>
        <x:v>1.30585</x:v>
      </x:c>
      <x:c r="M6776" s="11" t="n">
        <x:f>'管线假设'!H1447</x:f>
        <x:v>0.14</x:v>
      </x:c>
      <x:c r="N6776" s="11" t="n">
        <x:f>IF(G6776,L6776*AN6776/(1+M6776)^F6776,0)</x:f>
        <x:v>0.2307183982240569</x:v>
      </x:c>
      <x:c r="AJ6776" s="42" t="n">
        <x:v>0</x:v>
      </x:c>
      <x:c r="AK6776" s="42" t="n">
        <x:v>0</x:v>
      </x:c>
      <x:c r="AL6776" s="42" t="n">
        <x:v>0</x:v>
      </x:c>
      <x:c r="AM6776" t="n">
        <x:f>CHOOSE('假设'!$B$3,AJ6776,AK6776,AL6776)</x:f>
        <x:v>0</x:v>
      </x:c>
      <x:c r="AN6776" t="n">
        <x:v>1</x:v>
      </x:c>
    </x:row>
    <x:row r="6777" ht="23" customHeight="1">
      <x:c r="A6777" s="11" t="str">
        <x:v>09995.HK</x:v>
      </x:c>
      <x:c r="B6777" s="11" t="str">
        <x:v>一年</x:v>
      </x:c>
      <x:c r="C6777" s="11" t="str">
        <x:v>RC148_foreign</x:v>
      </x:c>
      <x:c r="D6777" s="11" t="str">
        <x:v>2041-12-31</x:v>
      </x:c>
      <x:c r="E6777" s="11" t="str">
        <x:v>USD</x:v>
      </x:c>
      <x:c r="F6777" s="11" t="n">
        <x:v>14.22861054072553</x:v>
      </x:c>
      <x:c r="G6777" s="26" t="b">
        <x:v>1</x:v>
      </x:c>
      <x:c r="H6777" s="16" t="n">
        <x:v>1.6</x:v>
      </x:c>
      <x:c r="I6777" s="16" t="n">
        <x:v>2.5</x:v>
      </x:c>
      <x:c r="J6777" s="16" t="n">
        <x:v>3.5</x:v>
      </x:c>
      <x:c r="K6777" s="11" t="n">
        <x:f>CHOOSE('假设'!$B$3,H6777,I6777,J6777)</x:f>
        <x:v>2.5</x:v>
      </x:c>
      <x:c r="L6777" s="11" t="n">
        <x:f>K6777*'管线假设'!E1447*'管线假设'!F1447*'管线假设'!G1447*IF(E6777="USD",'管线假设'!I1447,1)-AM6777</x:f>
        <x:v>1.0045</x:v>
      </x:c>
      <x:c r="M6777" s="11" t="n">
        <x:f>'管线假设'!H1447</x:f>
        <x:v>0.14</x:v>
      </x:c>
      <x:c r="N6777" s="11" t="n">
        <x:f>IF(G6777,L6777*AN6777/(1+M6777)^F6777,0)</x:f>
        <x:v>0.155694393313794</x:v>
      </x:c>
      <x:c r="AJ6777" s="42" t="n">
        <x:v>0</x:v>
      </x:c>
      <x:c r="AK6777" s="42" t="n">
        <x:v>0</x:v>
      </x:c>
      <x:c r="AL6777" s="42" t="n">
        <x:v>0</x:v>
      </x:c>
      <x:c r="AM6777" t="n">
        <x:f>CHOOSE('假设'!$B$3,AJ6777,AK6777,AL6777)</x:f>
        <x:v>0</x:v>
      </x:c>
      <x:c r="AN6777" t="n">
        <x:v>1</x:v>
      </x:c>
    </x:row>
    <x:row r="6778" ht="23" customHeight="1">
      <x:c r="A6778" s="11" t="str">
        <x:v>09995.HK</x:v>
      </x:c>
      <x:c r="B6778" s="11" t="str">
        <x:v>一年</x:v>
      </x:c>
      <x:c r="C6778" s="11" t="str">
        <x:v>RC148_foreign</x:v>
      </x:c>
      <x:c r="D6778" s="11" t="str">
        <x:v>2042-12-31</x:v>
      </x:c>
      <x:c r="E6778" s="11" t="str">
        <x:v>USD</x:v>
      </x:c>
      <x:c r="F6778" s="11" t="n">
        <x:v>15.227926078028748</x:v>
      </x:c>
      <x:c r="G6778" s="26" t="b">
        <x:v>1</x:v>
      </x:c>
      <x:c r="H6778" s="16" t="n">
        <x:v>1.3</x:v>
      </x:c>
      <x:c r="I6778" s="16" t="n">
        <x:v>1.75</x:v>
      </x:c>
      <x:c r="J6778" s="16" t="n">
        <x:v>2</x:v>
      </x:c>
      <x:c r="K6778" s="11" t="n">
        <x:f>CHOOSE('假设'!$B$3,H6778,I6778,J6778)</x:f>
        <x:v>1.75</x:v>
      </x:c>
      <x:c r="L6778" s="11" t="n">
        <x:f>K6778*'管线假设'!E1447*'管线假设'!F1447*'管线假设'!G1447*IF(E6778="USD",'管线假设'!I1447,1)-AM6778</x:f>
        <x:v>0.7031499999999999</x:v>
      </x:c>
      <x:c r="M6778" s="11" t="n">
        <x:f>'管线假设'!H1447</x:f>
        <x:v>0.14</x:v>
      </x:c>
      <x:c r="N6778" s="11" t="n">
        <x:f>IF(G6778,L6778*AN6778/(1+M6778)^F6778,0)</x:f>
        <x:v>0.09561039478995809</x:v>
      </x:c>
      <x:c r="AJ6778" s="42" t="n">
        <x:v>0</x:v>
      </x:c>
      <x:c r="AK6778" s="42" t="n">
        <x:v>0</x:v>
      </x:c>
      <x:c r="AL6778" s="42" t="n">
        <x:v>0</x:v>
      </x:c>
      <x:c r="AM6778" t="n">
        <x:f>CHOOSE('假设'!$B$3,AJ6778,AK6778,AL6778)</x:f>
        <x:v>0</x:v>
      </x:c>
      <x:c r="AN6778" t="n">
        <x:v>1</x:v>
      </x:c>
    </x:row>
    <x:row r="6779" ht="23" customHeight="1">
      <x:c r="A6779" s="11" t="str">
        <x:v>09995.HK</x:v>
      </x:c>
      <x:c r="B6779" s="11" t="str">
        <x:v>一年</x:v>
      </x:c>
      <x:c r="C6779" s="11" t="str">
        <x:v>RC148_foreign</x:v>
      </x:c>
      <x:c r="D6779" s="11" t="str">
        <x:v>2043-12-31</x:v>
      </x:c>
      <x:c r="E6779" s="11" t="str">
        <x:v>USD</x:v>
      </x:c>
      <x:c r="F6779" s="11" t="n">
        <x:v>16.227241615331966</x:v>
      </x:c>
      <x:c r="G6779" s="26" t="b">
        <x:v>1</x:v>
      </x:c>
      <x:c r="H6779" s="16" t="n">
        <x:v>1</x:v>
      </x:c>
      <x:c r="I6779" s="16" t="n">
        <x:v>1</x:v>
      </x:c>
      <x:c r="J6779" s="16" t="n">
        <x:v>1.2</x:v>
      </x:c>
      <x:c r="K6779" s="11" t="n">
        <x:f>CHOOSE('假设'!$B$3,H6779,I6779,J6779)</x:f>
        <x:v>1</x:v>
      </x:c>
      <x:c r="L6779" s="11" t="n">
        <x:f>K6779*'管线假设'!E1447*'管线假设'!F1447*'管线假设'!G1447*IF(E6779="USD",'管线假设'!I1447,1)-AM6779</x:f>
        <x:v>0.4018</x:v>
      </x:c>
      <x:c r="M6779" s="11" t="n">
        <x:f>'管线假设'!H1447</x:f>
        <x:v>0.14</x:v>
      </x:c>
      <x:c r="N6779" s="11" t="n">
        <x:f>IF(G6779,L6779*AN6779/(1+M6779)^F6779,0)</x:f>
        <x:v>0.04792930821708896</x:v>
      </x:c>
      <x:c r="AJ6779" s="42" t="n">
        <x:v>0</x:v>
      </x:c>
      <x:c r="AK6779" s="42" t="n">
        <x:v>0</x:v>
      </x:c>
      <x:c r="AL6779" s="42" t="n">
        <x:v>0</x:v>
      </x:c>
      <x:c r="AM6779" t="n">
        <x:f>CHOOSE('假设'!$B$3,AJ6779,AK6779,AL6779)</x:f>
        <x:v>0</x:v>
      </x:c>
      <x:c r="AN6779" t="n">
        <x:v>1</x:v>
      </x:c>
    </x:row>
    <x:row r="6780" ht="23" customHeight="1">
      <x:c r="A6780" s="11" t="str">
        <x:v>09995.HK</x:v>
      </x:c>
      <x:c r="B6780" s="11" t="str">
        <x:v>一年</x:v>
      </x:c>
      <x:c r="C6780" s="11" t="str">
        <x:v>RC148_foreign</x:v>
      </x:c>
      <x:c r="D6780" s="11" t="str">
        <x:v>2044-12-31</x:v>
      </x:c>
      <x:c r="E6780" s="11" t="str">
        <x:v>USD</x:v>
      </x:c>
      <x:c r="F6780" s="11" t="n">
        <x:v>17.229295003422312</x:v>
      </x:c>
      <x:c r="G6780" s="26" t="b">
        <x:v>1</x:v>
      </x:c>
      <x:c r="H6780" s="16" t="n">
        <x:v>0.7</x:v>
      </x:c>
      <x:c r="I6780" s="16" t="n">
        <x:v>0.6</x:v>
      </x:c>
      <x:c r="J6780" s="16" t="n">
        <x:v>0.7000000000000001</x:v>
      </x:c>
      <x:c r="K6780" s="11" t="n">
        <x:f>CHOOSE('假设'!$B$3,H6780,I6780,J6780)</x:f>
        <x:v>0.6</x:v>
      </x:c>
      <x:c r="L6780" s="11" t="n">
        <x:f>K6780*'管线假设'!E1447*'管线假设'!F1447*'管线假设'!G1447*IF(E6780="USD",'管线假设'!I1447,1)-AM6780</x:f>
        <x:v>0.24108</x:v>
      </x:c>
      <x:c r="M6780" s="11" t="n">
        <x:f>'管线假设'!H1447</x:f>
        <x:v>0.14</x:v>
      </x:c>
      <x:c r="N6780" s="11" t="n">
        <x:f>IF(G6780,L6780*AN6780/(1+M6780)^F6780,0)</x:f>
        <x:v>0.02521916551659793</x:v>
      </x:c>
      <x:c r="AJ6780" s="42" t="n">
        <x:v>0</x:v>
      </x:c>
      <x:c r="AK6780" s="42" t="n">
        <x:v>0</x:v>
      </x:c>
      <x:c r="AL6780" s="42" t="n">
        <x:v>0</x:v>
      </x:c>
      <x:c r="AM6780" t="n">
        <x:f>CHOOSE('假设'!$B$3,AJ6780,AK6780,AL6780)</x:f>
        <x:v>0</x:v>
      </x:c>
      <x:c r="AN6780" t="n">
        <x:v>1</x:v>
      </x:c>
    </x:row>
    <x:row r="6781" ht="23" customHeight="1">
      <x:c r="A6781" s="11" t="str">
        <x:v>09995.HK</x:v>
      </x:c>
      <x:c r="B6781" s="11" t="str">
        <x:v>一年</x:v>
      </x:c>
      <x:c r="C6781" s="11" t="str">
        <x:v>RC18_foreign</x:v>
      </x:c>
      <x:c r="D6781" s="11" t="str">
        <x:v>2026-12-31</x:v>
      </x:c>
      <x:c r="E6781" s="11" t="str">
        <x:v>USD</x:v>
      </x:c>
      <x:c r="F6781" s="11" t="n">
        <x:v>-0.7720739219712526</x:v>
      </x:c>
      <x:c r="G6781" s="26" t="b">
        <x:v>0</x:v>
      </x:c>
      <x:c r="H6781" s="16" t="n">
        <x:v>0</x:v>
      </x:c>
      <x:c r="I6781" s="16" t="n">
        <x:v>0</x:v>
      </x:c>
      <x:c r="J6781" s="16" t="n">
        <x:v>0</x:v>
      </x:c>
      <x:c r="K6781" s="11" t="n">
        <x:f>CHOOSE('假设'!$B$3,H6781,I6781,J6781)</x:f>
        <x:v>0</x:v>
      </x:c>
      <x:c r="L6781" s="11" t="n">
        <x:f>K6781*'管线假设'!E1451*'管线假设'!F1451*'管线假设'!G1451*IF(E6781="USD",'管线假设'!I1451,1)-AM6781</x:f>
        <x:v>-0.049</x:v>
      </x:c>
      <x:c r="M6781" s="11" t="n">
        <x:f>'管线假设'!H1451</x:f>
        <x:v>0.14</x:v>
      </x:c>
      <x:c r="N6781" s="11" t="n">
        <x:f>IF(G6781,L6781*AN6781/(1+M6781)^F6781,0)</x:f>
        <x:v>0</x:v>
      </x:c>
      <x:c r="AJ6781" s="42" t="n">
        <x:v>0.021</x:v>
      </x:c>
      <x:c r="AK6781" s="42" t="n">
        <x:v>0.049</x:v>
      </x:c>
      <x:c r="AL6781" s="42" t="n">
        <x:v>0.084</x:v>
      </x:c>
      <x:c r="AM6781" t="n">
        <x:f>CHOOSE('假设'!$B$3,AJ6781,AK6781,AL6781)</x:f>
        <x:v>0.049</x:v>
      </x:c>
      <x:c r="AN6781" t="n">
        <x:v>0</x:v>
      </x:c>
    </x:row>
    <x:row r="6782" ht="23" customHeight="1">
      <x:c r="A6782" s="11" t="str">
        <x:v>09995.HK</x:v>
      </x:c>
      <x:c r="B6782" s="11" t="str">
        <x:v>一年</x:v>
      </x:c>
      <x:c r="C6782" s="11" t="str">
        <x:v>RC18_foreign</x:v>
      </x:c>
      <x:c r="D6782" s="11" t="str">
        <x:v>2027-12-31</x:v>
      </x:c>
      <x:c r="E6782" s="11" t="str">
        <x:v>USD</x:v>
      </x:c>
      <x:c r="F6782" s="11" t="n">
        <x:v>0.2272416153319644</x:v>
      </x:c>
      <x:c r="G6782" s="26" t="b">
        <x:v>1</x:v>
      </x:c>
      <x:c r="H6782" s="16" t="n">
        <x:v>0</x:v>
      </x:c>
      <x:c r="I6782" s="16" t="n">
        <x:v>0</x:v>
      </x:c>
      <x:c r="J6782" s="16" t="n">
        <x:v>0</x:v>
      </x:c>
      <x:c r="K6782" s="11" t="n">
        <x:f>CHOOSE('假设'!$B$3,H6782,I6782,J6782)</x:f>
        <x:v>0</x:v>
      </x:c>
      <x:c r="L6782" s="11" t="n">
        <x:f>K6782*'管线假设'!E1451*'管线假设'!F1451*'管线假设'!G1451*IF(E6782="USD",'管线假设'!I1451,1)-AM6782</x:f>
        <x:v>0</x:v>
      </x:c>
      <x:c r="M6782" s="11" t="n">
        <x:f>'管线假设'!H1451</x:f>
        <x:v>0.14</x:v>
      </x:c>
      <x:c r="N6782" s="11" t="n">
        <x:f>IF(G6782,L6782*AN6782/(1+M6782)^F6782,0)</x:f>
        <x:v>0</x:v>
      </x:c>
      <x:c r="AJ6782" s="42" t="n">
        <x:v>0</x:v>
      </x:c>
      <x:c r="AK6782" s="42" t="n">
        <x:v>0</x:v>
      </x:c>
      <x:c r="AL6782" s="42" t="n">
        <x:v>0</x:v>
      </x:c>
      <x:c r="AM6782" t="n">
        <x:f>CHOOSE('假设'!$B$3,AJ6782,AK6782,AL6782)</x:f>
        <x:v>0</x:v>
      </x:c>
      <x:c r="AN6782" t="n">
        <x:v>0.22802197802197802</x:v>
      </x:c>
    </x:row>
    <x:row r="6783" ht="23" customHeight="1">
      <x:c r="A6783" s="11" t="str">
        <x:v>09995.HK</x:v>
      </x:c>
      <x:c r="B6783" s="11" t="str">
        <x:v>一年</x:v>
      </x:c>
      <x:c r="C6783" s="11" t="str">
        <x:v>RC18_foreign</x:v>
      </x:c>
      <x:c r="D6783" s="11" t="str">
        <x:v>2028-12-31</x:v>
      </x:c>
      <x:c r="E6783" s="11" t="str">
        <x:v>USD</x:v>
      </x:c>
      <x:c r="F6783" s="11" t="n">
        <x:v>1.2292950034223136</x:v>
      </x:c>
      <x:c r="G6783" s="26" t="b">
        <x:v>1</x:v>
      </x:c>
      <x:c r="H6783" s="16" t="n">
        <x:v>0</x:v>
      </x:c>
      <x:c r="I6783" s="16" t="n">
        <x:v>0.18</x:v>
      </x:c>
      <x:c r="J6783" s="16" t="n">
        <x:v>0.36</x:v>
      </x:c>
      <x:c r="K6783" s="11" t="n">
        <x:f>CHOOSE('假设'!$B$3,H6783,I6783,J6783)</x:f>
        <x:v>0.18</x:v>
      </x:c>
      <x:c r="L6783" s="11" t="n">
        <x:f>K6783*'管线假设'!E1451*'管线假设'!F1451*'管线假设'!G1451*IF(E6783="USD",'管线假设'!I1451,1)-AM6783</x:f>
        <x:v>0.06819119999999998</x:v>
      </x:c>
      <x:c r="M6783" s="11" t="n">
        <x:f>'管线假设'!H1451</x:f>
        <x:v>0.14</x:v>
      </x:c>
      <x:c r="N6783" s="11" t="n">
        <x:f>IF(G6783,L6783*AN6783/(1+M6783)^F6783,0)</x:f>
        <x:v>0.058046425846076076</x:v>
      </x:c>
      <x:c r="AJ6783" s="42" t="n">
        <x:v>0</x:v>
      </x:c>
      <x:c r="AK6783" s="42" t="n">
        <x:v>0</x:v>
      </x:c>
      <x:c r="AL6783" s="42" t="n">
        <x:v>0</x:v>
      </x:c>
      <x:c r="AM6783" t="n">
        <x:f>CHOOSE('假设'!$B$3,AJ6783,AK6783,AL6783)</x:f>
        <x:v>0</x:v>
      </x:c>
      <x:c r="AN6783" t="n">
        <x:v>1</x:v>
      </x:c>
    </x:row>
    <x:row r="6784" ht="23" customHeight="1">
      <x:c r="A6784" s="11" t="str">
        <x:v>09995.HK</x:v>
      </x:c>
      <x:c r="B6784" s="11" t="str">
        <x:v>一年</x:v>
      </x:c>
      <x:c r="C6784" s="11" t="str">
        <x:v>RC18_foreign</x:v>
      </x:c>
      <x:c r="D6784" s="11" t="str">
        <x:v>2029-12-31</x:v>
      </x:c>
      <x:c r="E6784" s="11" t="str">
        <x:v>USD</x:v>
      </x:c>
      <x:c r="F6784" s="11" t="n">
        <x:v>2.2286105407255303</x:v>
      </x:c>
      <x:c r="G6784" s="26" t="b">
        <x:v>1</x:v>
      </x:c>
      <x:c r="H6784" s="16" t="n">
        <x:v>0</x:v>
      </x:c>
      <x:c r="I6784" s="16" t="n">
        <x:v>0.54</x:v>
      </x:c>
      <x:c r="J6784" s="16" t="n">
        <x:v>1.08</x:v>
      </x:c>
      <x:c r="K6784" s="11" t="n">
        <x:f>CHOOSE('假设'!$B$3,H6784,I6784,J6784)</x:f>
        <x:v>0.54</x:v>
      </x:c>
      <x:c r="L6784" s="11" t="n">
        <x:f>K6784*'管线假设'!E1451*'管线假设'!F1451*'管线假设'!G1451*IF(E6784="USD",'管线假设'!I1451,1)-AM6784</x:f>
        <x:v>0.2045736</x:v>
      </x:c>
      <x:c r="M6784" s="11" t="n">
        <x:f>'管线假设'!H1451</x:f>
        <x:v>0.14</x:v>
      </x:c>
      <x:c r="N6784" s="11" t="n">
        <x:f>IF(G6784,L6784*AN6784/(1+M6784)^F6784,0)</x:f>
        <x:v>0.15276745240192463</x:v>
      </x:c>
      <x:c r="AJ6784" s="42" t="n">
        <x:v>0</x:v>
      </x:c>
      <x:c r="AK6784" s="42" t="n">
        <x:v>0</x:v>
      </x:c>
      <x:c r="AL6784" s="42" t="n">
        <x:v>0</x:v>
      </x:c>
      <x:c r="AM6784" t="n">
        <x:f>CHOOSE('假设'!$B$3,AJ6784,AK6784,AL6784)</x:f>
        <x:v>0</x:v>
      </x:c>
      <x:c r="AN6784" t="n">
        <x:v>1</x:v>
      </x:c>
    </x:row>
    <x:row r="6785" ht="23" customHeight="1">
      <x:c r="A6785" s="11" t="str">
        <x:v>09995.HK</x:v>
      </x:c>
      <x:c r="B6785" s="11" t="str">
        <x:v>一年</x:v>
      </x:c>
      <x:c r="C6785" s="11" t="str">
        <x:v>RC18_foreign</x:v>
      </x:c>
      <x:c r="D6785" s="11" t="str">
        <x:v>2030-12-31</x:v>
      </x:c>
      <x:c r="E6785" s="11" t="str">
        <x:v>USD</x:v>
      </x:c>
      <x:c r="F6785" s="11" t="n">
        <x:v>3.2279260780287475</x:v>
      </x:c>
      <x:c r="G6785" s="26" t="b">
        <x:v>1</x:v>
      </x:c>
      <x:c r="H6785" s="16" t="n">
        <x:v>0</x:v>
      </x:c>
      <x:c r="I6785" s="16" t="n">
        <x:v>1.1400000000000001</x:v>
      </x:c>
      <x:c r="J6785" s="16" t="n">
        <x:v>2.2800000000000002</x:v>
      </x:c>
      <x:c r="K6785" s="11" t="n">
        <x:f>CHOOSE('假设'!$B$3,H6785,I6785,J6785)</x:f>
        <x:v>1.1400000000000001</x:v>
      </x:c>
      <x:c r="L6785" s="11" t="n">
        <x:f>K6785*'管线假设'!E1451*'管线假设'!F1451*'管线假设'!G1451*IF(E6785="USD",'管线假设'!I1451,1)-AM6785</x:f>
        <x:v>0.4318776</x:v>
      </x:c>
      <x:c r="M6785" s="11" t="n">
        <x:f>'管线假设'!H1451</x:f>
        <x:v>0.14</x:v>
      </x:c>
      <x:c r="N6785" s="11" t="n">
        <x:f>IF(G6785,L6785*AN6785/(1+M6785)^F6785,0)</x:f>
        <x:v>0.2829280626038412</x:v>
      </x:c>
      <x:c r="AJ6785" s="42" t="n">
        <x:v>0</x:v>
      </x:c>
      <x:c r="AK6785" s="42" t="n">
        <x:v>0</x:v>
      </x:c>
      <x:c r="AL6785" s="42" t="n">
        <x:v>0</x:v>
      </x:c>
      <x:c r="AM6785" t="n">
        <x:f>CHOOSE('假设'!$B$3,AJ6785,AK6785,AL6785)</x:f>
        <x:v>0</x:v>
      </x:c>
      <x:c r="AN6785" t="n">
        <x:v>1</x:v>
      </x:c>
    </x:row>
    <x:row r="6786" ht="23" customHeight="1">
      <x:c r="A6786" s="11" t="str">
        <x:v>09995.HK</x:v>
      </x:c>
      <x:c r="B6786" s="11" t="str">
        <x:v>一年</x:v>
      </x:c>
      <x:c r="C6786" s="11" t="str">
        <x:v>RC18_foreign</x:v>
      </x:c>
      <x:c r="D6786" s="11" t="str">
        <x:v>2031-12-31</x:v>
      </x:c>
      <x:c r="E6786" s="11" t="str">
        <x:v>USD</x:v>
      </x:c>
      <x:c r="F6786" s="11" t="n">
        <x:v>4.227241615331964</x:v>
      </x:c>
      <x:c r="G6786" s="26" t="b">
        <x:v>1</x:v>
      </x:c>
      <x:c r="H6786" s="16" t="n">
        <x:v>0.06</x:v>
      </x:c>
      <x:c r="I6786" s="16" t="n">
        <x:v>1.9500000000000002</x:v>
      </x:c>
      <x:c r="J6786" s="16" t="n">
        <x:v>3.9000000000000004</x:v>
      </x:c>
      <x:c r="K6786" s="11" t="n">
        <x:f>CHOOSE('假设'!$B$3,H6786,I6786,J6786)</x:f>
        <x:v>1.9500000000000002</x:v>
      </x:c>
      <x:c r="L6786" s="11" t="n">
        <x:f>K6786*'管线假设'!E1451*'管线假设'!F1451*'管线假设'!G1451*IF(E6786="USD",'管线假设'!I1451,1)-AM6786</x:f>
        <x:v>0.738738</x:v>
      </x:c>
      <x:c r="M6786" s="11" t="n">
        <x:f>'管线假设'!H1451</x:f>
        <x:v>0.14</x:v>
      </x:c>
      <x:c r="N6786" s="11" t="n">
        <x:f>IF(G6786,L6786*AN6786/(1+M6786)^F6786,0)</x:f>
        <x:v>0.4245607908647056</x:v>
      </x:c>
      <x:c r="AJ6786" s="42" t="n">
        <x:v>0</x:v>
      </x:c>
      <x:c r="AK6786" s="42" t="n">
        <x:v>0</x:v>
      </x:c>
      <x:c r="AL6786" s="42" t="n">
        <x:v>0</x:v>
      </x:c>
      <x:c r="AM6786" t="n">
        <x:f>CHOOSE('假设'!$B$3,AJ6786,AK6786,AL6786)</x:f>
        <x:v>0</x:v>
      </x:c>
      <x:c r="AN6786" t="n">
        <x:v>1</x:v>
      </x:c>
    </x:row>
    <x:row r="6787" ht="23" customHeight="1">
      <x:c r="A6787" s="11" t="str">
        <x:v>09995.HK</x:v>
      </x:c>
      <x:c r="B6787" s="11" t="str">
        <x:v>一年</x:v>
      </x:c>
      <x:c r="C6787" s="11" t="str">
        <x:v>RC18_foreign</x:v>
      </x:c>
      <x:c r="D6787" s="11" t="str">
        <x:v>2032-12-31</x:v>
      </x:c>
      <x:c r="E6787" s="11" t="str">
        <x:v>USD</x:v>
      </x:c>
      <x:c r="F6787" s="11" t="n">
        <x:v>5.229295003422314</x:v>
      </x:c>
      <x:c r="G6787" s="26" t="b">
        <x:v>1</x:v>
      </x:c>
      <x:c r="H6787" s="16" t="n">
        <x:v>0.18</x:v>
      </x:c>
      <x:c r="I6787" s="16" t="n">
        <x:v>2.55</x:v>
      </x:c>
      <x:c r="J6787" s="16" t="n">
        <x:v>5.1</x:v>
      </x:c>
      <x:c r="K6787" s="11" t="n">
        <x:f>CHOOSE('假设'!$B$3,H6787,I6787,J6787)</x:f>
        <x:v>2.55</x:v>
      </x:c>
      <x:c r="L6787" s="11" t="n">
        <x:f>K6787*'管线假设'!E1451*'管线假设'!F1451*'管线假设'!G1451*IF(E6787="USD",'管线假设'!I1451,1)-AM6787</x:f>
        <x:v>0.9660419999999997</x:v>
      </x:c>
      <x:c r="M6787" s="11" t="n">
        <x:f>'管线假设'!H1451</x:f>
        <x:v>0.14</x:v>
      </x:c>
      <x:c r="N6787" s="11" t="n">
        <x:f>IF(G6787,L6787*AN6787/(1+M6787)^F6787,0)</x:f>
        <x:v>0.4868820387999821</x:v>
      </x:c>
      <x:c r="AJ6787" s="42" t="n">
        <x:v>0</x:v>
      </x:c>
      <x:c r="AK6787" s="42" t="n">
        <x:v>0</x:v>
      </x:c>
      <x:c r="AL6787" s="42" t="n">
        <x:v>0</x:v>
      </x:c>
      <x:c r="AM6787" t="n">
        <x:f>CHOOSE('假设'!$B$3,AJ6787,AK6787,AL6787)</x:f>
        <x:v>0</x:v>
      </x:c>
      <x:c r="AN6787" t="n">
        <x:v>1</x:v>
      </x:c>
    </x:row>
    <x:row r="6788" ht="23" customHeight="1">
      <x:c r="A6788" s="11" t="str">
        <x:v>09995.HK</x:v>
      </x:c>
      <x:c r="B6788" s="11" t="str">
        <x:v>一年</x:v>
      </x:c>
      <x:c r="C6788" s="11" t="str">
        <x:v>RC18_foreign</x:v>
      </x:c>
      <x:c r="D6788" s="11" t="str">
        <x:v>2033-12-31</x:v>
      </x:c>
      <x:c r="E6788" s="11" t="str">
        <x:v>USD</x:v>
      </x:c>
      <x:c r="F6788" s="11" t="n">
        <x:v>6.228610540725531</x:v>
      </x:c>
      <x:c r="G6788" s="26" t="b">
        <x:v>1</x:v>
      </x:c>
      <x:c r="H6788" s="16" t="n">
        <x:v>0.38</x:v>
      </x:c>
      <x:c r="I6788" s="16" t="n">
        <x:v>3</x:v>
      </x:c>
      <x:c r="J6788" s="16" t="n">
        <x:v>6</x:v>
      </x:c>
      <x:c r="K6788" s="11" t="n">
        <x:f>CHOOSE('假设'!$B$3,H6788,I6788,J6788)</x:f>
        <x:v>3</x:v>
      </x:c>
      <x:c r="L6788" s="11" t="n">
        <x:f>K6788*'管线假设'!E1451*'管线假设'!F1451*'管线假设'!G1451*IF(E6788="USD",'管线假设'!I1451,1)-AM6788</x:f>
        <x:v>1.1365199999999998</x:v>
      </x:c>
      <x:c r="M6788" s="11" t="n">
        <x:f>'管线假设'!H1451</x:f>
        <x:v>0.14</x:v>
      </x:c>
      <x:c r="N6788" s="11" t="n">
        <x:f>IF(G6788,L6788*AN6788/(1+M6788)^F6788,0)</x:f>
        <x:v>0.5025033088403817</x:v>
      </x:c>
      <x:c r="AJ6788" s="42" t="n">
        <x:v>0</x:v>
      </x:c>
      <x:c r="AK6788" s="42" t="n">
        <x:v>0</x:v>
      </x:c>
      <x:c r="AL6788" s="42" t="n">
        <x:v>0</x:v>
      </x:c>
      <x:c r="AM6788" t="n">
        <x:f>CHOOSE('假设'!$B$3,AJ6788,AK6788,AL6788)</x:f>
        <x:v>0</x:v>
      </x:c>
      <x:c r="AN6788" t="n">
        <x:v>1</x:v>
      </x:c>
    </x:row>
    <x:row r="6789" ht="23" customHeight="1">
      <x:c r="A6789" s="11" t="str">
        <x:v>09995.HK</x:v>
      </x:c>
      <x:c r="B6789" s="11" t="str">
        <x:v>一年</x:v>
      </x:c>
      <x:c r="C6789" s="11" t="str">
        <x:v>RC18_foreign</x:v>
      </x:c>
      <x:c r="D6789" s="11" t="str">
        <x:v>2034-12-31</x:v>
      </x:c>
      <x:c r="E6789" s="11" t="str">
        <x:v>USD</x:v>
      </x:c>
      <x:c r="F6789" s="11" t="n">
        <x:v>7.227926078028747</x:v>
      </x:c>
      <x:c r="G6789" s="26" t="b">
        <x:v>1</x:v>
      </x:c>
      <x:c r="H6789" s="16" t="n">
        <x:v>0.65</x:v>
      </x:c>
      <x:c r="I6789" s="16" t="n">
        <x:v>3</x:v>
      </x:c>
      <x:c r="J6789" s="16" t="n">
        <x:v>6</x:v>
      </x:c>
      <x:c r="K6789" s="11" t="n">
        <x:f>CHOOSE('假设'!$B$3,H6789,I6789,J6789)</x:f>
        <x:v>3</x:v>
      </x:c>
      <x:c r="L6789" s="11" t="n">
        <x:f>K6789*'管线假设'!E1451*'管线假设'!F1451*'管线假设'!G1451*IF(E6789="USD",'管线假设'!I1451,1)-AM6789</x:f>
        <x:v>1.1365199999999998</x:v>
      </x:c>
      <x:c r="M6789" s="11" t="n">
        <x:f>'管线假设'!H1451</x:f>
        <x:v>0.14</x:v>
      </x:c>
      <x:c r="N6789" s="11" t="n">
        <x:f>IF(G6789,L6789*AN6789/(1+M6789)^F6789,0)</x:f>
        <x:v>0.44083190995340155</x:v>
      </x:c>
      <x:c r="AJ6789" s="42" t="n">
        <x:v>0</x:v>
      </x:c>
      <x:c r="AK6789" s="42" t="n">
        <x:v>0</x:v>
      </x:c>
      <x:c r="AL6789" s="42" t="n">
        <x:v>0</x:v>
      </x:c>
      <x:c r="AM6789" t="n">
        <x:f>CHOOSE('假设'!$B$3,AJ6789,AK6789,AL6789)</x:f>
        <x:v>0</x:v>
      </x:c>
      <x:c r="AN6789" t="n">
        <x:v>1</x:v>
      </x:c>
    </x:row>
    <x:row r="6790" ht="23" customHeight="1">
      <x:c r="A6790" s="11" t="str">
        <x:v>09995.HK</x:v>
      </x:c>
      <x:c r="B6790" s="11" t="str">
        <x:v>一年</x:v>
      </x:c>
      <x:c r="C6790" s="11" t="str">
        <x:v>RC18_foreign</x:v>
      </x:c>
      <x:c r="D6790" s="11" t="str">
        <x:v>2035-12-31</x:v>
      </x:c>
      <x:c r="E6790" s="11" t="str">
        <x:v>USD</x:v>
      </x:c>
      <x:c r="F6790" s="11" t="n">
        <x:v>8.227241615331964</x:v>
      </x:c>
      <x:c r="G6790" s="26" t="b">
        <x:v>1</x:v>
      </x:c>
      <x:c r="H6790" s="16" t="n">
        <x:v>0.85</x:v>
      </x:c>
      <x:c r="I6790" s="16" t="n">
        <x:v>2.8499999999999996</x:v>
      </x:c>
      <x:c r="J6790" s="16" t="n">
        <x:v>5.699999999999999</x:v>
      </x:c>
      <x:c r="K6790" s="11" t="n">
        <x:f>CHOOSE('假设'!$B$3,H6790,I6790,J6790)</x:f>
        <x:v>2.8499999999999996</x:v>
      </x:c>
      <x:c r="L6790" s="11" t="n">
        <x:f>K6790*'管线假设'!E1451*'管线假设'!F1451*'管线假设'!G1451*IF(E6790="USD",'管线假设'!I1451,1)-AM6790</x:f>
        <x:v>1.0796939999999997</x:v>
      </x:c>
      <x:c r="M6790" s="11" t="n">
        <x:f>'管线假设'!H1451</x:f>
        <x:v>0.14</x:v>
      </x:c>
      <x:c r="N6790" s="11" t="n">
        <x:f>IF(G6790,L6790*AN6790/(1+M6790)^F6790,0)</x:f>
        <x:v>0.3673928727306119</x:v>
      </x:c>
      <x:c r="AJ6790" s="42" t="n">
        <x:v>0</x:v>
      </x:c>
      <x:c r="AK6790" s="42" t="n">
        <x:v>0</x:v>
      </x:c>
      <x:c r="AL6790" s="42" t="n">
        <x:v>0</x:v>
      </x:c>
      <x:c r="AM6790" t="n">
        <x:f>CHOOSE('假设'!$B$3,AJ6790,AK6790,AL6790)</x:f>
        <x:v>0</x:v>
      </x:c>
      <x:c r="AN6790" t="n">
        <x:v>1</x:v>
      </x:c>
    </x:row>
    <x:row r="6791" ht="23" customHeight="1">
      <x:c r="A6791" s="11" t="str">
        <x:v>09995.HK</x:v>
      </x:c>
      <x:c r="B6791" s="11" t="str">
        <x:v>一年</x:v>
      </x:c>
      <x:c r="C6791" s="11" t="str">
        <x:v>RC18_foreign</x:v>
      </x:c>
      <x:c r="D6791" s="11" t="str">
        <x:v>2036-12-31</x:v>
      </x:c>
      <x:c r="E6791" s="11" t="str">
        <x:v>USD</x:v>
      </x:c>
      <x:c r="F6791" s="11" t="n">
        <x:v>9.229295003422314</x:v>
      </x:c>
      <x:c r="G6791" s="26" t="b">
        <x:v>1</x:v>
      </x:c>
      <x:c r="H6791" s="16" t="n">
        <x:v>1</x:v>
      </x:c>
      <x:c r="I6791" s="16" t="n">
        <x:v>2.7</x:v>
      </x:c>
      <x:c r="J6791" s="16" t="n">
        <x:v>5.4</x:v>
      </x:c>
      <x:c r="K6791" s="11" t="n">
        <x:f>CHOOSE('假设'!$B$3,H6791,I6791,J6791)</x:f>
        <x:v>2.7</x:v>
      </x:c>
      <x:c r="L6791" s="11" t="n">
        <x:f>K6791*'管线假设'!E1451*'管线假设'!F1451*'管线假设'!G1451*IF(E6791="USD",'管线假设'!I1451,1)-AM6791</x:f>
        <x:v>1.022868</x:v>
      </x:c>
      <x:c r="M6791" s="11" t="n">
        <x:f>'管线假设'!H1451</x:f>
        <x:v>0.14</x:v>
      </x:c>
      <x:c r="N6791" s="11" t="n">
        <x:f>IF(G6791,L6791*AN6791/(1+M6791)^F6791,0)</x:f>
        <x:v>0.30523050273097785</x:v>
      </x:c>
      <x:c r="AJ6791" s="42" t="n">
        <x:v>0</x:v>
      </x:c>
      <x:c r="AK6791" s="42" t="n">
        <x:v>0</x:v>
      </x:c>
      <x:c r="AL6791" s="42" t="n">
        <x:v>0</x:v>
      </x:c>
      <x:c r="AM6791" t="n">
        <x:f>CHOOSE('假设'!$B$3,AJ6791,AK6791,AL6791)</x:f>
        <x:v>0</x:v>
      </x:c>
      <x:c r="AN6791" t="n">
        <x:v>1</x:v>
      </x:c>
    </x:row>
    <x:row r="6792" ht="23" customHeight="1">
      <x:c r="A6792" s="11" t="str">
        <x:v>09995.HK</x:v>
      </x:c>
      <x:c r="B6792" s="11" t="str">
        <x:v>一年</x:v>
      </x:c>
      <x:c r="C6792" s="11" t="str">
        <x:v>RC18_foreign</x:v>
      </x:c>
      <x:c r="D6792" s="11" t="str">
        <x:v>2037-12-31</x:v>
      </x:c>
      <x:c r="E6792" s="11" t="str">
        <x:v>USD</x:v>
      </x:c>
      <x:c r="F6792" s="11" t="n">
        <x:v>10.22861054072553</x:v>
      </x:c>
      <x:c r="G6792" s="26" t="b">
        <x:v>1</x:v>
      </x:c>
      <x:c r="H6792" s="16" t="n">
        <x:v>1</x:v>
      </x:c>
      <x:c r="I6792" s="16" t="n">
        <x:v>2.4000000000000004</x:v>
      </x:c>
      <x:c r="J6792" s="16" t="n">
        <x:v>4.800000000000001</x:v>
      </x:c>
      <x:c r="K6792" s="11" t="n">
        <x:f>CHOOSE('假设'!$B$3,H6792,I6792,J6792)</x:f>
        <x:v>2.4000000000000004</x:v>
      </x:c>
      <x:c r="L6792" s="11" t="n">
        <x:f>K6792*'管线假设'!E1451*'管线假设'!F1451*'管线假设'!G1451*IF(E6792="USD",'管线假设'!I1451,1)-AM6792</x:f>
        <x:v>0.909216</x:v>
      </x:c>
      <x:c r="M6792" s="11" t="n">
        <x:f>'管线假设'!H1451</x:f>
        <x:v>0.14</x:v>
      </x:c>
      <x:c r="N6792" s="11" t="n">
        <x:f>IF(G6792,L6792*AN6792/(1+M6792)^F6792,0)</x:f>
        <x:v>0.23801783878212107</x:v>
      </x:c>
      <x:c r="AJ6792" s="42" t="n">
        <x:v>0</x:v>
      </x:c>
      <x:c r="AK6792" s="42" t="n">
        <x:v>0</x:v>
      </x:c>
      <x:c r="AL6792" s="42" t="n">
        <x:v>0</x:v>
      </x:c>
      <x:c r="AM6792" t="n">
        <x:f>CHOOSE('假设'!$B$3,AJ6792,AK6792,AL6792)</x:f>
        <x:v>0</x:v>
      </x:c>
      <x:c r="AN6792" t="n">
        <x:v>1</x:v>
      </x:c>
    </x:row>
    <x:row r="6793" ht="23" customHeight="1">
      <x:c r="A6793" s="11" t="str">
        <x:v>09995.HK</x:v>
      </x:c>
      <x:c r="B6793" s="11" t="str">
        <x:v>一年</x:v>
      </x:c>
      <x:c r="C6793" s="11" t="str">
        <x:v>RC18_foreign</x:v>
      </x:c>
      <x:c r="D6793" s="11" t="str">
        <x:v>2038-12-31</x:v>
      </x:c>
      <x:c r="E6793" s="11" t="str">
        <x:v>USD</x:v>
      </x:c>
      <x:c r="F6793" s="11" t="n">
        <x:v>11.227926078028748</x:v>
      </x:c>
      <x:c r="G6793" s="26" t="b">
        <x:v>1</x:v>
      </x:c>
      <x:c r="H6793" s="16" t="n">
        <x:v>0.95</x:v>
      </x:c>
      <x:c r="I6793" s="16" t="n">
        <x:v>1.9500000000000002</x:v>
      </x:c>
      <x:c r="J6793" s="16" t="n">
        <x:v>3.9000000000000004</x:v>
      </x:c>
      <x:c r="K6793" s="11" t="n">
        <x:f>CHOOSE('假设'!$B$3,H6793,I6793,J6793)</x:f>
        <x:v>1.9500000000000002</x:v>
      </x:c>
      <x:c r="L6793" s="11" t="n">
        <x:f>K6793*'管线假设'!E1451*'管线假设'!F1451*'管线假设'!G1451*IF(E6793="USD",'管线假设'!I1451,1)-AM6793</x:f>
        <x:v>0.738738</x:v>
      </x:c>
      <x:c r="M6793" s="11" t="n">
        <x:f>'管线假设'!H1451</x:f>
        <x:v>0.14</x:v>
      </x:c>
      <x:c r="N6793" s="11" t="n">
        <x:f>IF(G6793,L6793*AN6793/(1+M6793)^F6793,0)</x:f>
        <x:v>0.16965512168724625</x:v>
      </x:c>
      <x:c r="AJ6793" s="42" t="n">
        <x:v>0</x:v>
      </x:c>
      <x:c r="AK6793" s="42" t="n">
        <x:v>0</x:v>
      </x:c>
      <x:c r="AL6793" s="42" t="n">
        <x:v>0</x:v>
      </x:c>
      <x:c r="AM6793" t="n">
        <x:f>CHOOSE('假设'!$B$3,AJ6793,AK6793,AL6793)</x:f>
        <x:v>0</x:v>
      </x:c>
      <x:c r="AN6793" t="n">
        <x:v>1</x:v>
      </x:c>
    </x:row>
    <x:row r="6794" ht="23" customHeight="1">
      <x:c r="A6794" s="11" t="str">
        <x:v>09995.HK</x:v>
      </x:c>
      <x:c r="B6794" s="11" t="str">
        <x:v>一年</x:v>
      </x:c>
      <x:c r="C6794" s="11" t="str">
        <x:v>RC18_foreign</x:v>
      </x:c>
      <x:c r="D6794" s="11" t="str">
        <x:v>2039-12-31</x:v>
      </x:c>
      <x:c r="E6794" s="11" t="str">
        <x:v>USD</x:v>
      </x:c>
      <x:c r="F6794" s="11" t="n">
        <x:v>12.227241615331964</x:v>
      </x:c>
      <x:c r="G6794" s="26" t="b">
        <x:v>1</x:v>
      </x:c>
      <x:c r="H6794" s="16" t="n">
        <x:v>0.9</x:v>
      </x:c>
      <x:c r="I6794" s="16" t="n">
        <x:v>1.5</x:v>
      </x:c>
      <x:c r="J6794" s="16" t="n">
        <x:v>3</x:v>
      </x:c>
      <x:c r="K6794" s="11" t="n">
        <x:f>CHOOSE('假设'!$B$3,H6794,I6794,J6794)</x:f>
        <x:v>1.5</x:v>
      </x:c>
      <x:c r="L6794" s="11" t="n">
        <x:f>K6794*'管线假设'!E1451*'管线假设'!F1451*'管线假设'!G1451*IF(E6794="USD",'管线假设'!I1451,1)-AM6794</x:f>
        <x:v>0.5682599999999999</x:v>
      </x:c>
      <x:c r="M6794" s="11" t="n">
        <x:f>'管线假设'!H1451</x:f>
        <x:v>0.14</x:v>
      </x:c>
      <x:c r="N6794" s="11" t="n">
        <x:f>IF(G6794,L6794*AN6794/(1+M6794)^F6794,0)</x:f>
        <x:v>0.11448740736324811</x:v>
      </x:c>
      <x:c r="AJ6794" s="42" t="n">
        <x:v>0</x:v>
      </x:c>
      <x:c r="AK6794" s="42" t="n">
        <x:v>0</x:v>
      </x:c>
      <x:c r="AL6794" s="42" t="n">
        <x:v>0</x:v>
      </x:c>
      <x:c r="AM6794" t="n">
        <x:f>CHOOSE('假设'!$B$3,AJ6794,AK6794,AL6794)</x:f>
        <x:v>0</x:v>
      </x:c>
      <x:c r="AN6794" t="n">
        <x:v>1</x:v>
      </x:c>
    </x:row>
    <x:row r="6795" ht="23" customHeight="1">
      <x:c r="A6795" s="11" t="str">
        <x:v>09995.HK</x:v>
      </x:c>
      <x:c r="B6795" s="11" t="str">
        <x:v>一年</x:v>
      </x:c>
      <x:c r="C6795" s="11" t="str">
        <x:v>RC18_foreign</x:v>
      </x:c>
      <x:c r="D6795" s="11" t="str">
        <x:v>2040-12-31</x:v>
      </x:c>
      <x:c r="E6795" s="11" t="str">
        <x:v>USD</x:v>
      </x:c>
      <x:c r="F6795" s="11" t="n">
        <x:v>13.229295003422314</x:v>
      </x:c>
      <x:c r="G6795" s="26" t="b">
        <x:v>1</x:v>
      </x:c>
      <x:c r="H6795" s="16" t="n">
        <x:v>0.8</x:v>
      </x:c>
      <x:c r="I6795" s="16" t="n">
        <x:v>1.0499999999999998</x:v>
      </x:c>
      <x:c r="J6795" s="16" t="n">
        <x:v>2.0999999999999996</x:v>
      </x:c>
      <x:c r="K6795" s="11" t="n">
        <x:f>CHOOSE('假设'!$B$3,H6795,I6795,J6795)</x:f>
        <x:v>1.0499999999999998</x:v>
      </x:c>
      <x:c r="L6795" s="11" t="n">
        <x:f>K6795*'管线假设'!E1451*'管线假设'!F1451*'管线假设'!G1451*IF(E6795="USD",'管线假设'!I1451,1)-AM6795</x:f>
        <x:v>0.39778199999999986</x:v>
      </x:c>
      <x:c r="M6795" s="11" t="n">
        <x:f>'管线假设'!H1451</x:f>
        <x:v>0.14</x:v>
      </x:c>
      <x:c r="N6795" s="11" t="n">
        <x:f>IF(G6795,L6795*AN6795/(1+M6795)^F6795,0)</x:f>
        <x:v>0.07028037361286654</x:v>
      </x:c>
      <x:c r="AJ6795" s="42" t="n">
        <x:v>0</x:v>
      </x:c>
      <x:c r="AK6795" s="42" t="n">
        <x:v>0</x:v>
      </x:c>
      <x:c r="AL6795" s="42" t="n">
        <x:v>0</x:v>
      </x:c>
      <x:c r="AM6795" t="n">
        <x:f>CHOOSE('假设'!$B$3,AJ6795,AK6795,AL6795)</x:f>
        <x:v>0</x:v>
      </x:c>
      <x:c r="AN6795" t="n">
        <x:v>1</x:v>
      </x:c>
    </x:row>
    <x:row r="6796" ht="23" customHeight="1">
      <x:c r="A6796" s="11" t="str">
        <x:v>09995.HK</x:v>
      </x:c>
      <x:c r="B6796" s="11" t="str">
        <x:v>一年</x:v>
      </x:c>
      <x:c r="C6796" s="11" t="str">
        <x:v>RC18_foreign</x:v>
      </x:c>
      <x:c r="D6796" s="11" t="str">
        <x:v>2041-12-31</x:v>
      </x:c>
      <x:c r="E6796" s="11" t="str">
        <x:v>USD</x:v>
      </x:c>
      <x:c r="F6796" s="11" t="n">
        <x:v>14.22861054072553</x:v>
      </x:c>
      <x:c r="G6796" s="26" t="b">
        <x:v>1</x:v>
      </x:c>
      <x:c r="H6796" s="16" t="n">
        <x:v>0.65</x:v>
      </x:c>
      <x:c r="I6796" s="16" t="n">
        <x:v>0.6000000000000001</x:v>
      </x:c>
      <x:c r="J6796" s="16" t="n">
        <x:v>1.2000000000000002</x:v>
      </x:c>
      <x:c r="K6796" s="11" t="n">
        <x:f>CHOOSE('假设'!$B$3,H6796,I6796,J6796)</x:f>
        <x:v>0.6000000000000001</x:v>
      </x:c>
      <x:c r="L6796" s="11" t="n">
        <x:f>K6796*'管线假设'!E1451*'管线假设'!F1451*'管线假设'!G1451*IF(E6796="USD",'管线假设'!I1451,1)-AM6796</x:f>
        <x:v>0.227304</x:v>
      </x:c>
      <x:c r="M6796" s="11" t="n">
        <x:f>'管线假设'!H1451</x:f>
        <x:v>0.14</x:v>
      </x:c>
      <x:c r="N6796" s="11" t="n">
        <x:f>IF(G6796,L6796*AN6796/(1+M6796)^F6796,0)</x:f>
        <x:v>0.035231417001292814</x:v>
      </x:c>
      <x:c r="AJ6796" s="42" t="n">
        <x:v>0</x:v>
      </x:c>
      <x:c r="AK6796" s="42" t="n">
        <x:v>0</x:v>
      </x:c>
      <x:c r="AL6796" s="42" t="n">
        <x:v>0</x:v>
      </x:c>
      <x:c r="AM6796" t="n">
        <x:f>CHOOSE('假设'!$B$3,AJ6796,AK6796,AL6796)</x:f>
        <x:v>0</x:v>
      </x:c>
      <x:c r="AN6796" t="n">
        <x:v>1</x:v>
      </x:c>
    </x:row>
    <x:row r="6797" ht="23" customHeight="1">
      <x:c r="A6797" s="11" t="str">
        <x:v>09995.HK</x:v>
      </x:c>
      <x:c r="B6797" s="11" t="str">
        <x:v>一年</x:v>
      </x:c>
      <x:c r="C6797" s="11" t="str">
        <x:v>RC18_foreign</x:v>
      </x:c>
      <x:c r="D6797" s="11" t="str">
        <x:v>2042-12-31</x:v>
      </x:c>
      <x:c r="E6797" s="11" t="str">
        <x:v>USD</x:v>
      </x:c>
      <x:c r="F6797" s="11" t="n">
        <x:v>15.227926078028748</x:v>
      </x:c>
      <x:c r="G6797" s="26" t="b">
        <x:v>1</x:v>
      </x:c>
      <x:c r="H6797" s="16" t="n">
        <x:v>0.5</x:v>
      </x:c>
      <x:c r="I6797" s="16" t="n">
        <x:v>0.36</x:v>
      </x:c>
      <x:c r="J6797" s="16" t="n">
        <x:v>0.72</x:v>
      </x:c>
      <x:c r="K6797" s="11" t="n">
        <x:f>CHOOSE('假设'!$B$3,H6797,I6797,J6797)</x:f>
        <x:v>0.36</x:v>
      </x:c>
      <x:c r="L6797" s="11" t="n">
        <x:f>K6797*'管线假设'!E1451*'管线假设'!F1451*'管线假设'!G1451*IF(E6797="USD",'管线假设'!I1451,1)-AM6797</x:f>
        <x:v>0.13638239999999996</x:v>
      </x:c>
      <x:c r="M6797" s="11" t="n">
        <x:f>'管线假设'!H1451</x:f>
        <x:v>0.14</x:v>
      </x:c>
      <x:c r="N6797" s="11" t="n">
        <x:f>IF(G6797,L6797*AN6797/(1+M6797)^F6797,0)</x:f>
        <x:v>0.018544514124158397</x:v>
      </x:c>
      <x:c r="AJ6797" s="42" t="n">
        <x:v>0</x:v>
      </x:c>
      <x:c r="AK6797" s="42" t="n">
        <x:v>0</x:v>
      </x:c>
      <x:c r="AL6797" s="42" t="n">
        <x:v>0</x:v>
      </x:c>
      <x:c r="AM6797" t="n">
        <x:f>CHOOSE('假设'!$B$3,AJ6797,AK6797,AL6797)</x:f>
        <x:v>0</x:v>
      </x:c>
      <x:c r="AN6797" t="n">
        <x:v>1</x:v>
      </x:c>
    </x:row>
    <x:row r="6798" ht="23" customHeight="1">
      <x:c r="A6798" s="11" t="str">
        <x:v>09995.HK</x:v>
      </x:c>
      <x:c r="B6798" s="11" t="str">
        <x:v>一年</x:v>
      </x:c>
      <x:c r="C6798" s="11" t="str">
        <x:v>RC18_foreign</x:v>
      </x:c>
      <x:c r="D6798" s="11" t="str">
        <x:v>2043-12-31</x:v>
      </x:c>
      <x:c r="E6798" s="11" t="str">
        <x:v>USD</x:v>
      </x:c>
      <x:c r="F6798" s="11" t="n">
        <x:v>16.227241615331966</x:v>
      </x:c>
      <x:c r="G6798" s="26" t="b">
        <x:v>1</x:v>
      </x:c>
      <x:c r="H6798" s="16" t="n">
        <x:v>0.35</x:v>
      </x:c>
      <x:c r="I6798" s="16" t="n">
        <x:v>0.21000000000000002</x:v>
      </x:c>
      <x:c r="J6798" s="16" t="n">
        <x:v>0.42000000000000004</x:v>
      </x:c>
      <x:c r="K6798" s="11" t="n">
        <x:f>CHOOSE('假设'!$B$3,H6798,I6798,J6798)</x:f>
        <x:v>0.21000000000000002</x:v>
      </x:c>
      <x:c r="L6798" s="11" t="n">
        <x:f>K6798*'管线假设'!E1451*'管线假设'!F1451*'管线假设'!G1451*IF(E6798="USD",'管线假设'!I1451,1)-AM6798</x:f>
        <x:v>0.0795564</x:v>
      </x:c>
      <x:c r="M6798" s="11" t="n">
        <x:f>'管线假设'!H1451</x:f>
        <x:v>0.14</x:v>
      </x:c>
      <x:c r="N6798" s="11" t="n">
        <x:f>IF(G6798,L6798*AN6798/(1+M6798)^F6798,0)</x:f>
        <x:v>0.009490003026983614</x:v>
      </x:c>
      <x:c r="AJ6798" s="42" t="n">
        <x:v>0</x:v>
      </x:c>
      <x:c r="AK6798" s="42" t="n">
        <x:v>0</x:v>
      </x:c>
      <x:c r="AL6798" s="42" t="n">
        <x:v>0</x:v>
      </x:c>
      <x:c r="AM6798" t="n">
        <x:f>CHOOSE('假设'!$B$3,AJ6798,AK6798,AL6798)</x:f>
        <x:v>0</x:v>
      </x:c>
      <x:c r="AN6798" t="n">
        <x:v>1</x:v>
      </x:c>
    </x:row>
    <x:row r="6799" ht="23" customHeight="1">
      <x:c r="A6799" s="11" t="str">
        <x:v>09995.HK</x:v>
      </x:c>
      <x:c r="B6799" s="11" t="str">
        <x:v>一年</x:v>
      </x:c>
      <x:c r="C6799" s="11" t="str">
        <x:v>RC18_foreign</x:v>
      </x:c>
      <x:c r="D6799" s="11" t="str">
        <x:v>2044-12-31</x:v>
      </x:c>
      <x:c r="E6799" s="11" t="str">
        <x:v>USD</x:v>
      </x:c>
      <x:c r="F6799" s="11" t="n">
        <x:v>17.229295003422312</x:v>
      </x:c>
      <x:c r="G6799" s="26" t="b">
        <x:v>1</x:v>
      </x:c>
      <x:c r="H6799" s="16" t="n">
        <x:v>0.2</x:v>
      </x:c>
      <x:c r="I6799" s="16" t="n">
        <x:v>0.09</x:v>
      </x:c>
      <x:c r="J6799" s="16" t="n">
        <x:v>0.18</x:v>
      </x:c>
      <x:c r="K6799" s="11" t="n">
        <x:f>CHOOSE('假设'!$B$3,H6799,I6799,J6799)</x:f>
        <x:v>0.09</x:v>
      </x:c>
      <x:c r="L6799" s="11" t="n">
        <x:f>K6799*'管线假设'!E1451*'管线假设'!F1451*'管线假设'!G1451*IF(E6799="USD",'管线假设'!I1451,1)-AM6799</x:f>
        <x:v>0.03409559999999999</x:v>
      </x:c>
      <x:c r="M6799" s="11" t="n">
        <x:f>'管线假设'!H1451</x:f>
        <x:v>0.14</x:v>
      </x:c>
      <x:c r="N6799" s="11" t="n">
        <x:f>IF(G6799,L6799*AN6799/(1+M6799)^F6799,0)</x:f>
        <x:v>0.003566710551633135</x:v>
      </x:c>
      <x:c r="AJ6799" s="42" t="n">
        <x:v>0</x:v>
      </x:c>
      <x:c r="AK6799" s="42" t="n">
        <x:v>0</x:v>
      </x:c>
      <x:c r="AL6799" s="42" t="n">
        <x:v>0</x:v>
      </x:c>
      <x:c r="AM6799" t="n">
        <x:f>CHOOSE('假设'!$B$3,AJ6799,AK6799,AL6799)</x:f>
        <x:v>0</x:v>
      </x:c>
      <x:c r="AN6799" t="n">
        <x:v>1</x:v>
      </x:c>
    </x:row>
    <x:row r="6800" ht="23" customHeight="1">
      <x:c r="A6800" s="11" t="str">
        <x:v>09995.HK</x:v>
      </x:c>
      <x:c r="B6800" s="11" t="str">
        <x:v>一年</x:v>
      </x:c>
      <x:c r="C6800" s="11" t="str">
        <x:v>RC48_foreign</x:v>
      </x:c>
      <x:c r="D6800" s="11" t="str">
        <x:v>2026-12-31</x:v>
      </x:c>
      <x:c r="E6800" s="11" t="str">
        <x:v>USD</x:v>
      </x:c>
      <x:c r="F6800" s="11" t="n">
        <x:v>-0.7720739219712526</x:v>
      </x:c>
      <x:c r="G6800" s="26" t="b">
        <x:v>0</x:v>
      </x:c>
      <x:c r="H6800" s="16" t="n">
        <x:v>0</x:v>
      </x:c>
      <x:c r="I6800" s="16" t="n">
        <x:v>0</x:v>
      </x:c>
      <x:c r="J6800" s="16" t="n">
        <x:v>0</x:v>
      </x:c>
      <x:c r="K6800" s="11" t="n">
        <x:f>CHOOSE('假设'!$B$3,H6800,I6800,J6800)</x:f>
        <x:v>0</x:v>
      </x:c>
      <x:c r="L6800" s="11" t="n">
        <x:f>K6800*'管线假设'!E1455*'管线假设'!F1455*'管线假设'!G1455*IF(E6800="USD",'管线假设'!I1455,1)-AM6800</x:f>
        <x:v>-0.049</x:v>
      </x:c>
      <x:c r="M6800" s="11" t="n">
        <x:f>'管线假设'!H1455</x:f>
        <x:v>0.14</x:v>
      </x:c>
      <x:c r="N6800" s="11" t="n">
        <x:f>IF(G6800,L6800*AN6800/(1+M6800)^F6800,0)</x:f>
        <x:v>0</x:v>
      </x:c>
      <x:c r="AJ6800" s="42" t="n">
        <x:v>0.021</x:v>
      </x:c>
      <x:c r="AK6800" s="42" t="n">
        <x:v>0.049</x:v>
      </x:c>
      <x:c r="AL6800" s="42" t="n">
        <x:v>0.084</x:v>
      </x:c>
      <x:c r="AM6800" t="n">
        <x:f>CHOOSE('假设'!$B$3,AJ6800,AK6800,AL6800)</x:f>
        <x:v>0.049</x:v>
      </x:c>
      <x:c r="AN6800" t="n">
        <x:v>0</x:v>
      </x:c>
    </x:row>
    <x:row r="6801" ht="23" customHeight="1">
      <x:c r="A6801" s="11" t="str">
        <x:v>09995.HK</x:v>
      </x:c>
      <x:c r="B6801" s="11" t="str">
        <x:v>一年</x:v>
      </x:c>
      <x:c r="C6801" s="11" t="str">
        <x:v>RC48_foreign</x:v>
      </x:c>
      <x:c r="D6801" s="11" t="str">
        <x:v>2027-12-31</x:v>
      </x:c>
      <x:c r="E6801" s="11" t="str">
        <x:v>USD</x:v>
      </x:c>
      <x:c r="F6801" s="11" t="n">
        <x:v>0.2272416153319644</x:v>
      </x:c>
      <x:c r="G6801" s="26" t="b">
        <x:v>1</x:v>
      </x:c>
      <x:c r="H6801" s="16" t="n">
        <x:v>0</x:v>
      </x:c>
      <x:c r="I6801" s="16" t="n">
        <x:v>0</x:v>
      </x:c>
      <x:c r="J6801" s="16" t="n">
        <x:v>0</x:v>
      </x:c>
      <x:c r="K6801" s="11" t="n">
        <x:f>CHOOSE('假设'!$B$3,H6801,I6801,J6801)</x:f>
        <x:v>0</x:v>
      </x:c>
      <x:c r="L6801" s="11" t="n">
        <x:f>K6801*'管线假设'!E1455*'管线假设'!F1455*'管线假设'!G1455*IF(E6801="USD",'管线假设'!I1455,1)-AM6801</x:f>
        <x:v>0</x:v>
      </x:c>
      <x:c r="M6801" s="11" t="n">
        <x:f>'管线假设'!H1455</x:f>
        <x:v>0.14</x:v>
      </x:c>
      <x:c r="N6801" s="11" t="n">
        <x:f>IF(G6801,L6801*AN6801/(1+M6801)^F6801,0)</x:f>
        <x:v>0</x:v>
      </x:c>
      <x:c r="AJ6801" s="42" t="n">
        <x:v>0</x:v>
      </x:c>
      <x:c r="AK6801" s="42" t="n">
        <x:v>0</x:v>
      </x:c>
      <x:c r="AL6801" s="42" t="n">
        <x:v>0</x:v>
      </x:c>
      <x:c r="AM6801" t="n">
        <x:f>CHOOSE('假设'!$B$3,AJ6801,AK6801,AL6801)</x:f>
        <x:v>0</x:v>
      </x:c>
      <x:c r="AN6801" t="n">
        <x:v>0.22802197802197802</x:v>
      </x:c>
    </x:row>
    <x:row r="6802" ht="23" customHeight="1">
      <x:c r="A6802" s="11" t="str">
        <x:v>09995.HK</x:v>
      </x:c>
      <x:c r="B6802" s="11" t="str">
        <x:v>一年</x:v>
      </x:c>
      <x:c r="C6802" s="11" t="str">
        <x:v>RC48_foreign</x:v>
      </x:c>
      <x:c r="D6802" s="11" t="str">
        <x:v>2028-12-31</x:v>
      </x:c>
      <x:c r="E6802" s="11" t="str">
        <x:v>USD</x:v>
      </x:c>
      <x:c r="F6802" s="11" t="n">
        <x:v>1.2292950034223136</x:v>
      </x:c>
      <x:c r="G6802" s="26" t="b">
        <x:v>1</x:v>
      </x:c>
      <x:c r="H6802" s="16" t="n">
        <x:v>0</x:v>
      </x:c>
      <x:c r="I6802" s="16" t="n">
        <x:v>0</x:v>
      </x:c>
      <x:c r="J6802" s="16" t="n">
        <x:v>0.24</x:v>
      </x:c>
      <x:c r="K6802" s="11" t="n">
        <x:f>CHOOSE('假设'!$B$3,H6802,I6802,J6802)</x:f>
        <x:v>0</x:v>
      </x:c>
      <x:c r="L6802" s="11" t="n">
        <x:f>K6802*'管线假设'!E1455*'管线假设'!F1455*'管线假设'!G1455*IF(E6802="USD",'管线假设'!I1455,1)-AM6802</x:f>
        <x:v>0</x:v>
      </x:c>
      <x:c r="M6802" s="11" t="n">
        <x:f>'管线假设'!H1455</x:f>
        <x:v>0.14</x:v>
      </x:c>
      <x:c r="N6802" s="11" t="n">
        <x:f>IF(G6802,L6802*AN6802/(1+M6802)^F6802,0)</x:f>
        <x:v>0</x:v>
      </x:c>
      <x:c r="AJ6802" s="42" t="n">
        <x:v>0</x:v>
      </x:c>
      <x:c r="AK6802" s="42" t="n">
        <x:v>0</x:v>
      </x:c>
      <x:c r="AL6802" s="42" t="n">
        <x:v>0</x:v>
      </x:c>
      <x:c r="AM6802" t="n">
        <x:f>CHOOSE('假设'!$B$3,AJ6802,AK6802,AL6802)</x:f>
        <x:v>0</x:v>
      </x:c>
      <x:c r="AN6802" t="n">
        <x:v>1</x:v>
      </x:c>
    </x:row>
    <x:row r="6803" ht="23" customHeight="1">
      <x:c r="A6803" s="11" t="str">
        <x:v>09995.HK</x:v>
      </x:c>
      <x:c r="B6803" s="11" t="str">
        <x:v>一年</x:v>
      </x:c>
      <x:c r="C6803" s="11" t="str">
        <x:v>RC48_foreign</x:v>
      </x:c>
      <x:c r="D6803" s="11" t="str">
        <x:v>2029-12-31</x:v>
      </x:c>
      <x:c r="E6803" s="11" t="str">
        <x:v>USD</x:v>
      </x:c>
      <x:c r="F6803" s="11" t="n">
        <x:v>2.2286105407255303</x:v>
      </x:c>
      <x:c r="G6803" s="26" t="b">
        <x:v>1</x:v>
      </x:c>
      <x:c r="H6803" s="16" t="n">
        <x:v>0</x:v>
      </x:c>
      <x:c r="I6803" s="16" t="n">
        <x:v>0.15</x:v>
      </x:c>
      <x:c r="J6803" s="16" t="n">
        <x:v>0.72</x:v>
      </x:c>
      <x:c r="K6803" s="11" t="n">
        <x:f>CHOOSE('假设'!$B$3,H6803,I6803,J6803)</x:f>
        <x:v>0.15</x:v>
      </x:c>
      <x:c r="L6803" s="11" t="n">
        <x:f>K6803*'管线假设'!E1455*'管线假设'!F1455*'管线假设'!G1455*IF(E6803="USD",'管线假设'!I1455,1)-AM6803</x:f>
        <x:v>0.0520905</x:v>
      </x:c>
      <x:c r="M6803" s="11" t="n">
        <x:f>'管线假设'!H1455</x:f>
        <x:v>0.14</x:v>
      </x:c>
      <x:c r="N6803" s="11" t="n">
        <x:f>IF(G6803,L6803*AN6803/(1+M6803)^F6803,0)</x:f>
        <x:v>0.03889911982456414</x:v>
      </x:c>
      <x:c r="AJ6803" s="42" t="n">
        <x:v>0</x:v>
      </x:c>
      <x:c r="AK6803" s="42" t="n">
        <x:v>0</x:v>
      </x:c>
      <x:c r="AL6803" s="42" t="n">
        <x:v>0</x:v>
      </x:c>
      <x:c r="AM6803" t="n">
        <x:f>CHOOSE('假设'!$B$3,AJ6803,AK6803,AL6803)</x:f>
        <x:v>0</x:v>
      </x:c>
      <x:c r="AN6803" t="n">
        <x:v>1</x:v>
      </x:c>
    </x:row>
    <x:row r="6804" ht="23" customHeight="1">
      <x:c r="A6804" s="11" t="str">
        <x:v>09995.HK</x:v>
      </x:c>
      <x:c r="B6804" s="11" t="str">
        <x:v>一年</x:v>
      </x:c>
      <x:c r="C6804" s="11" t="str">
        <x:v>RC48_foreign</x:v>
      </x:c>
      <x:c r="D6804" s="11" t="str">
        <x:v>2030-12-31</x:v>
      </x:c>
      <x:c r="E6804" s="11" t="str">
        <x:v>USD</x:v>
      </x:c>
      <x:c r="F6804" s="11" t="n">
        <x:v>3.2279260780287475</x:v>
      </x:c>
      <x:c r="G6804" s="26" t="b">
        <x:v>1</x:v>
      </x:c>
      <x:c r="H6804" s="16" t="n">
        <x:v>0</x:v>
      </x:c>
      <x:c r="I6804" s="16" t="n">
        <x:v>0.44999999999999996</x:v>
      </x:c>
      <x:c r="J6804" s="16" t="n">
        <x:v>1.52</x:v>
      </x:c>
      <x:c r="K6804" s="11" t="n">
        <x:f>CHOOSE('假设'!$B$3,H6804,I6804,J6804)</x:f>
        <x:v>0.44999999999999996</x:v>
      </x:c>
      <x:c r="L6804" s="11" t="n">
        <x:f>K6804*'管线假设'!E1455*'管线假设'!F1455*'管线假设'!G1455*IF(E6804="USD",'管线假设'!I1455,1)-AM6804</x:f>
        <x:v>0.15627149999999998</x:v>
      </x:c>
      <x:c r="M6804" s="11" t="n">
        <x:f>'管线假设'!H1455</x:f>
        <x:v>0.14</x:v>
      </x:c>
      <x:c r="N6804" s="11" t="n">
        <x:f>IF(G6804,L6804*AN6804/(1+M6804)^F6804,0)</x:f>
        <x:v>0.10237528581060043</x:v>
      </x:c>
      <x:c r="AJ6804" s="42" t="n">
        <x:v>0</x:v>
      </x:c>
      <x:c r="AK6804" s="42" t="n">
        <x:v>0</x:v>
      </x:c>
      <x:c r="AL6804" s="42" t="n">
        <x:v>0</x:v>
      </x:c>
      <x:c r="AM6804" t="n">
        <x:f>CHOOSE('假设'!$B$3,AJ6804,AK6804,AL6804)</x:f>
        <x:v>0</x:v>
      </x:c>
      <x:c r="AN6804" t="n">
        <x:v>1</x:v>
      </x:c>
    </x:row>
    <x:row r="6805" ht="23" customHeight="1">
      <x:c r="A6805" s="11" t="str">
        <x:v>09995.HK</x:v>
      </x:c>
      <x:c r="B6805" s="11" t="str">
        <x:v>一年</x:v>
      </x:c>
      <x:c r="C6805" s="11" t="str">
        <x:v>RC48_foreign</x:v>
      </x:c>
      <x:c r="D6805" s="11" t="str">
        <x:v>2031-12-31</x:v>
      </x:c>
      <x:c r="E6805" s="11" t="str">
        <x:v>USD</x:v>
      </x:c>
      <x:c r="F6805" s="11" t="n">
        <x:v>4.227241615331964</x:v>
      </x:c>
      <x:c r="G6805" s="26" t="b">
        <x:v>1</x:v>
      </x:c>
      <x:c r="H6805" s="16" t="n">
        <x:v>0.06</x:v>
      </x:c>
      <x:c r="I6805" s="16" t="n">
        <x:v>0.95</x:v>
      </x:c>
      <x:c r="J6805" s="16" t="n">
        <x:v>2.6</x:v>
      </x:c>
      <x:c r="K6805" s="11" t="n">
        <x:f>CHOOSE('假设'!$B$3,H6805,I6805,J6805)</x:f>
        <x:v>0.95</x:v>
      </x:c>
      <x:c r="L6805" s="11" t="n">
        <x:f>K6805*'管线假设'!E1455*'管线假设'!F1455*'管线假设'!G1455*IF(E6805="USD",'管线假设'!I1455,1)-AM6805</x:f>
        <x:v>0.32990649999999994</x:v>
      </x:c>
      <x:c r="M6805" s="11" t="n">
        <x:f>'管线假设'!H1455</x:f>
        <x:v>0.14</x:v>
      </x:c>
      <x:c r="N6805" s="11" t="n">
        <x:f>IF(G6805,L6805*AN6805/(1+M6805)^F6805,0)</x:f>
        <x:v>0.18960086600581932</x:v>
      </x:c>
      <x:c r="AJ6805" s="42" t="n">
        <x:v>0</x:v>
      </x:c>
      <x:c r="AK6805" s="42" t="n">
        <x:v>0</x:v>
      </x:c>
      <x:c r="AL6805" s="42" t="n">
        <x:v>0</x:v>
      </x:c>
      <x:c r="AM6805" t="n">
        <x:f>CHOOSE('假设'!$B$3,AJ6805,AK6805,AL6805)</x:f>
        <x:v>0</x:v>
      </x:c>
      <x:c r="AN6805" t="n">
        <x:v>1</x:v>
      </x:c>
    </x:row>
    <x:row r="6806" ht="23" customHeight="1">
      <x:c r="A6806" s="11" t="str">
        <x:v>09995.HK</x:v>
      </x:c>
      <x:c r="B6806" s="11" t="str">
        <x:v>一年</x:v>
      </x:c>
      <x:c r="C6806" s="11" t="str">
        <x:v>RC48_foreign</x:v>
      </x:c>
      <x:c r="D6806" s="11" t="str">
        <x:v>2032-12-31</x:v>
      </x:c>
      <x:c r="E6806" s="11" t="str">
        <x:v>USD</x:v>
      </x:c>
      <x:c r="F6806" s="11" t="n">
        <x:v>5.229295003422314</x:v>
      </x:c>
      <x:c r="G6806" s="26" t="b">
        <x:v>1</x:v>
      </x:c>
      <x:c r="H6806" s="16" t="n">
        <x:v>0.18</x:v>
      </x:c>
      <x:c r="I6806" s="16" t="n">
        <x:v>1.625</x:v>
      </x:c>
      <x:c r="J6806" s="16" t="n">
        <x:v>3.4</x:v>
      </x:c>
      <x:c r="K6806" s="11" t="n">
        <x:f>CHOOSE('假设'!$B$3,H6806,I6806,J6806)</x:f>
        <x:v>1.625</x:v>
      </x:c>
      <x:c r="L6806" s="11" t="n">
        <x:f>K6806*'管线假设'!E1455*'管线假设'!F1455*'管线假设'!G1455*IF(E6806="USD",'管线假设'!I1455,1)-AM6806</x:f>
        <x:v>0.56431375</x:v>
      </x:c>
      <x:c r="M6806" s="11" t="n">
        <x:f>'管线假设'!H1455</x:f>
        <x:v>0.14</x:v>
      </x:c>
      <x:c r="N6806" s="11" t="n">
        <x:f>IF(G6806,L6806*AN6806/(1+M6806)^F6806,0)</x:f>
        <x:v>0.28441230207678697</x:v>
      </x:c>
      <x:c r="AJ6806" s="42" t="n">
        <x:v>0</x:v>
      </x:c>
      <x:c r="AK6806" s="42" t="n">
        <x:v>0</x:v>
      </x:c>
      <x:c r="AL6806" s="42" t="n">
        <x:v>0</x:v>
      </x:c>
      <x:c r="AM6806" t="n">
        <x:f>CHOOSE('假设'!$B$3,AJ6806,AK6806,AL6806)</x:f>
        <x:v>0</x:v>
      </x:c>
      <x:c r="AN6806" t="n">
        <x:v>1</x:v>
      </x:c>
    </x:row>
    <x:row r="6807" ht="23" customHeight="1">
      <x:c r="A6807" s="11" t="str">
        <x:v>09995.HK</x:v>
      </x:c>
      <x:c r="B6807" s="11" t="str">
        <x:v>一年</x:v>
      </x:c>
      <x:c r="C6807" s="11" t="str">
        <x:v>RC48_foreign</x:v>
      </x:c>
      <x:c r="D6807" s="11" t="str">
        <x:v>2033-12-31</x:v>
      </x:c>
      <x:c r="E6807" s="11" t="str">
        <x:v>USD</x:v>
      </x:c>
      <x:c r="F6807" s="11" t="n">
        <x:v>6.228610540725531</x:v>
      </x:c>
      <x:c r="G6807" s="26" t="b">
        <x:v>1</x:v>
      </x:c>
      <x:c r="H6807" s="16" t="n">
        <x:v>0.38</x:v>
      </x:c>
      <x:c r="I6807" s="16" t="n">
        <x:v>2.125</x:v>
      </x:c>
      <x:c r="J6807" s="16" t="n">
        <x:v>4</x:v>
      </x:c>
      <x:c r="K6807" s="11" t="n">
        <x:f>CHOOSE('假设'!$B$3,H6807,I6807,J6807)</x:f>
        <x:v>2.125</x:v>
      </x:c>
      <x:c r="L6807" s="11" t="n">
        <x:f>K6807*'管线假设'!E1455*'管线假设'!F1455*'管线假设'!G1455*IF(E6807="USD",'管线假设'!I1455,1)-AM6807</x:f>
        <x:v>0.73794875</x:v>
      </x:c>
      <x:c r="M6807" s="11" t="n">
        <x:f>'管线假设'!H1455</x:f>
        <x:v>0.14</x:v>
      </x:c>
      <x:c r="N6807" s="11" t="n">
        <x:f>IF(G6807,L6807*AN6807/(1+M6807)^F6807,0)</x:f>
        <x:v>0.3262781901151091</x:v>
      </x:c>
      <x:c r="AJ6807" s="42" t="n">
        <x:v>0</x:v>
      </x:c>
      <x:c r="AK6807" s="42" t="n">
        <x:v>0</x:v>
      </x:c>
      <x:c r="AL6807" s="42" t="n">
        <x:v>0</x:v>
      </x:c>
      <x:c r="AM6807" t="n">
        <x:f>CHOOSE('假设'!$B$3,AJ6807,AK6807,AL6807)</x:f>
        <x:v>0</x:v>
      </x:c>
      <x:c r="AN6807" t="n">
        <x:v>1</x:v>
      </x:c>
    </x:row>
    <x:row r="6808" ht="23" customHeight="1">
      <x:c r="A6808" s="11" t="str">
        <x:v>09995.HK</x:v>
      </x:c>
      <x:c r="B6808" s="11" t="str">
        <x:v>一年</x:v>
      </x:c>
      <x:c r="C6808" s="11" t="str">
        <x:v>RC48_foreign</x:v>
      </x:c>
      <x:c r="D6808" s="11" t="str">
        <x:v>2034-12-31</x:v>
      </x:c>
      <x:c r="E6808" s="11" t="str">
        <x:v>USD</x:v>
      </x:c>
      <x:c r="F6808" s="11" t="n">
        <x:v>7.227926078028747</x:v>
      </x:c>
      <x:c r="G6808" s="26" t="b">
        <x:v>1</x:v>
      </x:c>
      <x:c r="H6808" s="16" t="n">
        <x:v>0.65</x:v>
      </x:c>
      <x:c r="I6808" s="16" t="n">
        <x:v>2.5</x:v>
      </x:c>
      <x:c r="J6808" s="16" t="n">
        <x:v>4</x:v>
      </x:c>
      <x:c r="K6808" s="11" t="n">
        <x:f>CHOOSE('假设'!$B$3,H6808,I6808,J6808)</x:f>
        <x:v>2.5</x:v>
      </x:c>
      <x:c r="L6808" s="11" t="n">
        <x:f>K6808*'管线假设'!E1455*'管线假设'!F1455*'管线假设'!G1455*IF(E6808="USD",'管线假设'!I1455,1)-AM6808</x:f>
        <x:v>0.8681749999999999</x:v>
      </x:c>
      <x:c r="M6808" s="11" t="n">
        <x:f>'管线假设'!H1455</x:f>
        <x:v>0.14</x:v>
      </x:c>
      <x:c r="N6808" s="11" t="n">
        <x:f>IF(G6808,L6808*AN6808/(1+M6808)^F6808,0)</x:f>
        <x:v>0.3367465978810707</x:v>
      </x:c>
      <x:c r="AJ6808" s="42" t="n">
        <x:v>0</x:v>
      </x:c>
      <x:c r="AK6808" s="42" t="n">
        <x:v>0</x:v>
      </x:c>
      <x:c r="AL6808" s="42" t="n">
        <x:v>0</x:v>
      </x:c>
      <x:c r="AM6808" t="n">
        <x:f>CHOOSE('假设'!$B$3,AJ6808,AK6808,AL6808)</x:f>
        <x:v>0</x:v>
      </x:c>
      <x:c r="AN6808" t="n">
        <x:v>1</x:v>
      </x:c>
    </x:row>
    <x:row r="6809" ht="23" customHeight="1">
      <x:c r="A6809" s="11" t="str">
        <x:v>09995.HK</x:v>
      </x:c>
      <x:c r="B6809" s="11" t="str">
        <x:v>一年</x:v>
      </x:c>
      <x:c r="C6809" s="11" t="str">
        <x:v>RC48_foreign</x:v>
      </x:c>
      <x:c r="D6809" s="11" t="str">
        <x:v>2035-12-31</x:v>
      </x:c>
      <x:c r="E6809" s="11" t="str">
        <x:v>USD</x:v>
      </x:c>
      <x:c r="F6809" s="11" t="n">
        <x:v>8.227241615331964</x:v>
      </x:c>
      <x:c r="G6809" s="26" t="b">
        <x:v>1</x:v>
      </x:c>
      <x:c r="H6809" s="16" t="n">
        <x:v>0.85</x:v>
      </x:c>
      <x:c r="I6809" s="16" t="n">
        <x:v>2.5</x:v>
      </x:c>
      <x:c r="J6809" s="16" t="n">
        <x:v>3.8</x:v>
      </x:c>
      <x:c r="K6809" s="11" t="n">
        <x:f>CHOOSE('假设'!$B$3,H6809,I6809,J6809)</x:f>
        <x:v>2.5</x:v>
      </x:c>
      <x:c r="L6809" s="11" t="n">
        <x:f>K6809*'管线假设'!E1455*'管线假设'!F1455*'管线假设'!G1455*IF(E6809="USD",'管线假设'!I1455,1)-AM6809</x:f>
        <x:v>0.8681749999999999</x:v>
      </x:c>
      <x:c r="M6809" s="11" t="n">
        <x:f>'管线假设'!H1455</x:f>
        <x:v>0.14</x:v>
      </x:c>
      <x:c r="N6809" s="11" t="n">
        <x:f>IF(G6809,L6809*AN6809/(1+M6809)^F6809,0)</x:f>
        <x:v>0.29541824561672014</x:v>
      </x:c>
      <x:c r="AJ6809" s="42" t="n">
        <x:v>0</x:v>
      </x:c>
      <x:c r="AK6809" s="42" t="n">
        <x:v>0</x:v>
      </x:c>
      <x:c r="AL6809" s="42" t="n">
        <x:v>0</x:v>
      </x:c>
      <x:c r="AM6809" t="n">
        <x:f>CHOOSE('假设'!$B$3,AJ6809,AK6809,AL6809)</x:f>
        <x:v>0</x:v>
      </x:c>
      <x:c r="AN6809" t="n">
        <x:v>1</x:v>
      </x:c>
    </x:row>
    <x:row r="6810" ht="23" customHeight="1">
      <x:c r="A6810" s="11" t="str">
        <x:v>09995.HK</x:v>
      </x:c>
      <x:c r="B6810" s="11" t="str">
        <x:v>一年</x:v>
      </x:c>
      <x:c r="C6810" s="11" t="str">
        <x:v>RC48_foreign</x:v>
      </x:c>
      <x:c r="D6810" s="11" t="str">
        <x:v>2036-12-31</x:v>
      </x:c>
      <x:c r="E6810" s="11" t="str">
        <x:v>USD</x:v>
      </x:c>
      <x:c r="F6810" s="11" t="n">
        <x:v>9.229295003422314</x:v>
      </x:c>
      <x:c r="G6810" s="26" t="b">
        <x:v>1</x:v>
      </x:c>
      <x:c r="H6810" s="16" t="n">
        <x:v>1</x:v>
      </x:c>
      <x:c r="I6810" s="16" t="n">
        <x:v>2.375</x:v>
      </x:c>
      <x:c r="J6810" s="16" t="n">
        <x:v>3.6</x:v>
      </x:c>
      <x:c r="K6810" s="11" t="n">
        <x:f>CHOOSE('假设'!$B$3,H6810,I6810,J6810)</x:f>
        <x:v>2.375</x:v>
      </x:c>
      <x:c r="L6810" s="11" t="n">
        <x:f>K6810*'管线假设'!E1455*'管线假设'!F1455*'管线假设'!G1455*IF(E6810="USD",'管线假设'!I1455,1)-AM6810</x:f>
        <x:v>0.8247662499999999</x:v>
      </x:c>
      <x:c r="M6810" s="11" t="n">
        <x:f>'管线假设'!H1455</x:f>
        <x:v>0.14</x:v>
      </x:c>
      <x:c r="N6810" s="11" t="n">
        <x:f>IF(G6810,L6810*AN6810/(1+M6810)^F6810,0)</x:f>
        <x:v>0.24611564456317267</x:v>
      </x:c>
      <x:c r="AJ6810" s="42" t="n">
        <x:v>0</x:v>
      </x:c>
      <x:c r="AK6810" s="42" t="n">
        <x:v>0</x:v>
      </x:c>
      <x:c r="AL6810" s="42" t="n">
        <x:v>0</x:v>
      </x:c>
      <x:c r="AM6810" t="n">
        <x:f>CHOOSE('假设'!$B$3,AJ6810,AK6810,AL6810)</x:f>
        <x:v>0</x:v>
      </x:c>
      <x:c r="AN6810" t="n">
        <x:v>1</x:v>
      </x:c>
    </x:row>
    <x:row r="6811" ht="23" customHeight="1">
      <x:c r="A6811" s="11" t="str">
        <x:v>09995.HK</x:v>
      </x:c>
      <x:c r="B6811" s="11" t="str">
        <x:v>一年</x:v>
      </x:c>
      <x:c r="C6811" s="11" t="str">
        <x:v>RC48_foreign</x:v>
      </x:c>
      <x:c r="D6811" s="11" t="str">
        <x:v>2037-12-31</x:v>
      </x:c>
      <x:c r="E6811" s="11" t="str">
        <x:v>USD</x:v>
      </x:c>
      <x:c r="F6811" s="11" t="n">
        <x:v>10.22861054072553</x:v>
      </x:c>
      <x:c r="G6811" s="26" t="b">
        <x:v>1</x:v>
      </x:c>
      <x:c r="H6811" s="16" t="n">
        <x:v>1</x:v>
      </x:c>
      <x:c r="I6811" s="16" t="n">
        <x:v>2.25</x:v>
      </x:c>
      <x:c r="J6811" s="16" t="n">
        <x:v>3.2</x:v>
      </x:c>
      <x:c r="K6811" s="11" t="n">
        <x:f>CHOOSE('假设'!$B$3,H6811,I6811,J6811)</x:f>
        <x:v>2.25</x:v>
      </x:c>
      <x:c r="L6811" s="11" t="n">
        <x:f>K6811*'管线假设'!E1455*'管线假设'!F1455*'管线假设'!G1455*IF(E6811="USD",'管线假设'!I1455,1)-AM6811</x:f>
        <x:v>0.7813574999999999</x:v>
      </x:c>
      <x:c r="M6811" s="11" t="n">
        <x:f>'管线假设'!H1455</x:f>
        <x:v>0.14</x:v>
      </x:c>
      <x:c r="N6811" s="11" t="n">
        <x:f>IF(G6811,L6811*AN6811/(1+M6811)^F6811,0)</x:f>
        <x:v>0.20454658020338526</x:v>
      </x:c>
      <x:c r="AJ6811" s="42" t="n">
        <x:v>0</x:v>
      </x:c>
      <x:c r="AK6811" s="42" t="n">
        <x:v>0</x:v>
      </x:c>
      <x:c r="AL6811" s="42" t="n">
        <x:v>0</x:v>
      </x:c>
      <x:c r="AM6811" t="n">
        <x:f>CHOOSE('假设'!$B$3,AJ6811,AK6811,AL6811)</x:f>
        <x:v>0</x:v>
      </x:c>
      <x:c r="AN6811" t="n">
        <x:v>1</x:v>
      </x:c>
    </x:row>
    <x:row r="6812" ht="23" customHeight="1">
      <x:c r="A6812" s="11" t="str">
        <x:v>09995.HK</x:v>
      </x:c>
      <x:c r="B6812" s="11" t="str">
        <x:v>一年</x:v>
      </x:c>
      <x:c r="C6812" s="11" t="str">
        <x:v>RC48_foreign</x:v>
      </x:c>
      <x:c r="D6812" s="11" t="str">
        <x:v>2038-12-31</x:v>
      </x:c>
      <x:c r="E6812" s="11" t="str">
        <x:v>USD</x:v>
      </x:c>
      <x:c r="F6812" s="11" t="n">
        <x:v>11.227926078028748</x:v>
      </x:c>
      <x:c r="G6812" s="26" t="b">
        <x:v>1</x:v>
      </x:c>
      <x:c r="H6812" s="16" t="n">
        <x:v>0.95</x:v>
      </x:c>
      <x:c r="I6812" s="16" t="n">
        <x:v>2</x:v>
      </x:c>
      <x:c r="J6812" s="16" t="n">
        <x:v>2.6</x:v>
      </x:c>
      <x:c r="K6812" s="11" t="n">
        <x:f>CHOOSE('假设'!$B$3,H6812,I6812,J6812)</x:f>
        <x:v>2</x:v>
      </x:c>
      <x:c r="L6812" s="11" t="n">
        <x:f>K6812*'管线假设'!E1455*'管线假设'!F1455*'管线假设'!G1455*IF(E6812="USD",'管线假设'!I1455,1)-AM6812</x:f>
        <x:v>0.6945399999999999</x:v>
      </x:c>
      <x:c r="M6812" s="11" t="n">
        <x:f>'管线假设'!H1455</x:f>
        <x:v>0.14</x:v>
      </x:c>
      <x:c r="N6812" s="11" t="n">
        <x:f>IF(G6812,L6812*AN6812/(1+M6812)^F6812,0)</x:f>
        <x:v>0.15950481526151356</x:v>
      </x:c>
      <x:c r="AJ6812" s="42" t="n">
        <x:v>0</x:v>
      </x:c>
      <x:c r="AK6812" s="42" t="n">
        <x:v>0</x:v>
      </x:c>
      <x:c r="AL6812" s="42" t="n">
        <x:v>0</x:v>
      </x:c>
      <x:c r="AM6812" t="n">
        <x:f>CHOOSE('假设'!$B$3,AJ6812,AK6812,AL6812)</x:f>
        <x:v>0</x:v>
      </x:c>
      <x:c r="AN6812" t="n">
        <x:v>1</x:v>
      </x:c>
    </x:row>
    <x:row r="6813" ht="23" customHeight="1">
      <x:c r="A6813" s="11" t="str">
        <x:v>09995.HK</x:v>
      </x:c>
      <x:c r="B6813" s="11" t="str">
        <x:v>一年</x:v>
      </x:c>
      <x:c r="C6813" s="11" t="str">
        <x:v>RC48_foreign</x:v>
      </x:c>
      <x:c r="D6813" s="11" t="str">
        <x:v>2039-12-31</x:v>
      </x:c>
      <x:c r="E6813" s="11" t="str">
        <x:v>USD</x:v>
      </x:c>
      <x:c r="F6813" s="11" t="n">
        <x:v>12.227241615331964</x:v>
      </x:c>
      <x:c r="G6813" s="26" t="b">
        <x:v>1</x:v>
      </x:c>
      <x:c r="H6813" s="16" t="n">
        <x:v>0.9</x:v>
      </x:c>
      <x:c r="I6813" s="16" t="n">
        <x:v>1.625</x:v>
      </x:c>
      <x:c r="J6813" s="16" t="n">
        <x:v>2</x:v>
      </x:c>
      <x:c r="K6813" s="11" t="n">
        <x:f>CHOOSE('假设'!$B$3,H6813,I6813,J6813)</x:f>
        <x:v>1.625</x:v>
      </x:c>
      <x:c r="L6813" s="11" t="n">
        <x:f>K6813*'管线假设'!E1455*'管线假设'!F1455*'管线假设'!G1455*IF(E6813="USD",'管线假设'!I1455,1)-AM6813</x:f>
        <x:v>0.56431375</x:v>
      </x:c>
      <x:c r="M6813" s="11" t="n">
        <x:f>'管线假设'!H1455</x:f>
        <x:v>0.14</x:v>
      </x:c>
      <x:c r="N6813" s="11" t="n">
        <x:f>IF(G6813,L6813*AN6813/(1+M6813)^F6813,0)</x:f>
        <x:v>0.11369235592322557</x:v>
      </x:c>
      <x:c r="AJ6813" s="42" t="n">
        <x:v>0</x:v>
      </x:c>
      <x:c r="AK6813" s="42" t="n">
        <x:v>0</x:v>
      </x:c>
      <x:c r="AL6813" s="42" t="n">
        <x:v>0</x:v>
      </x:c>
      <x:c r="AM6813" t="n">
        <x:f>CHOOSE('假设'!$B$3,AJ6813,AK6813,AL6813)</x:f>
        <x:v>0</x:v>
      </x:c>
      <x:c r="AN6813" t="n">
        <x:v>1</x:v>
      </x:c>
    </x:row>
    <x:row r="6814" ht="23" customHeight="1">
      <x:c r="A6814" s="11" t="str">
        <x:v>09995.HK</x:v>
      </x:c>
      <x:c r="B6814" s="11" t="str">
        <x:v>一年</x:v>
      </x:c>
      <x:c r="C6814" s="11" t="str">
        <x:v>RC48_foreign</x:v>
      </x:c>
      <x:c r="D6814" s="11" t="str">
        <x:v>2040-12-31</x:v>
      </x:c>
      <x:c r="E6814" s="11" t="str">
        <x:v>USD</x:v>
      </x:c>
      <x:c r="F6814" s="11" t="n">
        <x:v>13.229295003422314</x:v>
      </x:c>
      <x:c r="G6814" s="26" t="b">
        <x:v>1</x:v>
      </x:c>
      <x:c r="H6814" s="16" t="n">
        <x:v>0.8</x:v>
      </x:c>
      <x:c r="I6814" s="16" t="n">
        <x:v>1.25</x:v>
      </x:c>
      <x:c r="J6814" s="16" t="n">
        <x:v>1.4</x:v>
      </x:c>
      <x:c r="K6814" s="11" t="n">
        <x:f>CHOOSE('假设'!$B$3,H6814,I6814,J6814)</x:f>
        <x:v>1.25</x:v>
      </x:c>
      <x:c r="L6814" s="11" t="n">
        <x:f>K6814*'管线假设'!E1455*'管线假设'!F1455*'管线假设'!G1455*IF(E6814="USD",'管线假设'!I1455,1)-AM6814</x:f>
        <x:v>0.43408749999999996</x:v>
      </x:c>
      <x:c r="M6814" s="11" t="n">
        <x:f>'管线假设'!H1455</x:f>
        <x:v>0.14</x:v>
      </x:c>
      <x:c r="N6814" s="11" t="n">
        <x:f>IF(G6814,L6814*AN6814/(1+M6814)^F6814,0)</x:f>
        <x:v>0.07669485215689803</x:v>
      </x:c>
      <x:c r="AJ6814" s="42" t="n">
        <x:v>0</x:v>
      </x:c>
      <x:c r="AK6814" s="42" t="n">
        <x:v>0</x:v>
      </x:c>
      <x:c r="AL6814" s="42" t="n">
        <x:v>0</x:v>
      </x:c>
      <x:c r="AM6814" t="n">
        <x:f>CHOOSE('假设'!$B$3,AJ6814,AK6814,AL6814)</x:f>
        <x:v>0</x:v>
      </x:c>
      <x:c r="AN6814" t="n">
        <x:v>1</x:v>
      </x:c>
    </x:row>
    <x:row r="6815" ht="23" customHeight="1">
      <x:c r="A6815" s="11" t="str">
        <x:v>09995.HK</x:v>
      </x:c>
      <x:c r="B6815" s="11" t="str">
        <x:v>一年</x:v>
      </x:c>
      <x:c r="C6815" s="11" t="str">
        <x:v>RC48_foreign</x:v>
      </x:c>
      <x:c r="D6815" s="11" t="str">
        <x:v>2041-12-31</x:v>
      </x:c>
      <x:c r="E6815" s="11" t="str">
        <x:v>USD</x:v>
      </x:c>
      <x:c r="F6815" s="11" t="n">
        <x:v>14.22861054072553</x:v>
      </x:c>
      <x:c r="G6815" s="26" t="b">
        <x:v>1</x:v>
      </x:c>
      <x:c r="H6815" s="16" t="n">
        <x:v>0.65</x:v>
      </x:c>
      <x:c r="I6815" s="16" t="n">
        <x:v>0.875</x:v>
      </x:c>
      <x:c r="J6815" s="16" t="n">
        <x:v>0.8</x:v>
      </x:c>
      <x:c r="K6815" s="11" t="n">
        <x:f>CHOOSE('假设'!$B$3,H6815,I6815,J6815)</x:f>
        <x:v>0.875</x:v>
      </x:c>
      <x:c r="L6815" s="11" t="n">
        <x:f>K6815*'管线假设'!E1455*'管线假设'!F1455*'管线假设'!G1455*IF(E6815="USD",'管线假设'!I1455,1)-AM6815</x:f>
        <x:v>0.30386125</x:v>
      </x:c>
      <x:c r="M6815" s="11" t="n">
        <x:f>'管线假设'!H1455</x:f>
        <x:v>0.14</x:v>
      </x:c>
      <x:c r="N6815" s="11" t="n">
        <x:f>IF(G6815,L6815*AN6815/(1+M6815)^F6815,0)</x:f>
        <x:v>0.04709755397742269</x:v>
      </x:c>
      <x:c r="AJ6815" s="42" t="n">
        <x:v>0</x:v>
      </x:c>
      <x:c r="AK6815" s="42" t="n">
        <x:v>0</x:v>
      </x:c>
      <x:c r="AL6815" s="42" t="n">
        <x:v>0</x:v>
      </x:c>
      <x:c r="AM6815" t="n">
        <x:f>CHOOSE('假设'!$B$3,AJ6815,AK6815,AL6815)</x:f>
        <x:v>0</x:v>
      </x:c>
      <x:c r="AN6815" t="n">
        <x:v>1</x:v>
      </x:c>
    </x:row>
    <x:row r="6816" ht="23" customHeight="1">
      <x:c r="A6816" s="11" t="str">
        <x:v>09995.HK</x:v>
      </x:c>
      <x:c r="B6816" s="11" t="str">
        <x:v>一年</x:v>
      </x:c>
      <x:c r="C6816" s="11" t="str">
        <x:v>RC48_foreign</x:v>
      </x:c>
      <x:c r="D6816" s="11" t="str">
        <x:v>2042-12-31</x:v>
      </x:c>
      <x:c r="E6816" s="11" t="str">
        <x:v>USD</x:v>
      </x:c>
      <x:c r="F6816" s="11" t="n">
        <x:v>15.227926078028748</x:v>
      </x:c>
      <x:c r="G6816" s="26" t="b">
        <x:v>1</x:v>
      </x:c>
      <x:c r="H6816" s="16" t="n">
        <x:v>0.5</x:v>
      </x:c>
      <x:c r="I6816" s="16" t="n">
        <x:v>0.5</x:v>
      </x:c>
      <x:c r="J6816" s="16" t="n">
        <x:v>0.48</x:v>
      </x:c>
      <x:c r="K6816" s="11" t="n">
        <x:f>CHOOSE('假设'!$B$3,H6816,I6816,J6816)</x:f>
        <x:v>0.5</x:v>
      </x:c>
      <x:c r="L6816" s="11" t="n">
        <x:f>K6816*'管线假设'!E1455*'管线假设'!F1455*'管线假设'!G1455*IF(E6816="USD",'管线假设'!I1455,1)-AM6816</x:f>
        <x:v>0.17363499999999998</x:v>
      </x:c>
      <x:c r="M6816" s="11" t="n">
        <x:f>'管线假设'!H1455</x:f>
        <x:v>0.14</x:v>
      </x:c>
      <x:c r="N6816" s="11" t="n">
        <x:f>IF(G6816,L6816*AN6816/(1+M6816)^F6816,0)</x:f>
        <x:v>0.023609913815479448</x:v>
      </x:c>
      <x:c r="AJ6816" s="42" t="n">
        <x:v>0</x:v>
      </x:c>
      <x:c r="AK6816" s="42" t="n">
        <x:v>0</x:v>
      </x:c>
      <x:c r="AL6816" s="42" t="n">
        <x:v>0</x:v>
      </x:c>
      <x:c r="AM6816" t="n">
        <x:f>CHOOSE('假设'!$B$3,AJ6816,AK6816,AL6816)</x:f>
        <x:v>0</x:v>
      </x:c>
      <x:c r="AN6816" t="n">
        <x:v>1</x:v>
      </x:c>
    </x:row>
    <x:row r="6817" ht="23" customHeight="1">
      <x:c r="A6817" s="11" t="str">
        <x:v>09995.HK</x:v>
      </x:c>
      <x:c r="B6817" s="11" t="str">
        <x:v>一年</x:v>
      </x:c>
      <x:c r="C6817" s="11" t="str">
        <x:v>RC48_foreign</x:v>
      </x:c>
      <x:c r="D6817" s="11" t="str">
        <x:v>2043-12-31</x:v>
      </x:c>
      <x:c r="E6817" s="11" t="str">
        <x:v>USD</x:v>
      </x:c>
      <x:c r="F6817" s="11" t="n">
        <x:v>16.227241615331966</x:v>
      </x:c>
      <x:c r="G6817" s="26" t="b">
        <x:v>1</x:v>
      </x:c>
      <x:c r="H6817" s="16" t="n">
        <x:v>0.35</x:v>
      </x:c>
      <x:c r="I6817" s="16" t="n">
        <x:v>0.3</x:v>
      </x:c>
      <x:c r="J6817" s="16" t="n">
        <x:v>0.28</x:v>
      </x:c>
      <x:c r="K6817" s="11" t="n">
        <x:f>CHOOSE('假设'!$B$3,H6817,I6817,J6817)</x:f>
        <x:v>0.3</x:v>
      </x:c>
      <x:c r="L6817" s="11" t="n">
        <x:f>K6817*'管线假设'!E1455*'管线假设'!F1455*'管线假设'!G1455*IF(E6817="USD",'管线假设'!I1455,1)-AM6817</x:f>
        <x:v>0.104181</x:v>
      </x:c>
      <x:c r="M6817" s="11" t="n">
        <x:f>'管线假设'!H1455</x:f>
        <x:v>0.14</x:v>
      </x:c>
      <x:c r="N6817" s="11" t="n">
        <x:f>IF(G6817,L6817*AN6817/(1+M6817)^F6817,0)</x:f>
        <x:v>0.012427384916288066</x:v>
      </x:c>
      <x:c r="AJ6817" s="42" t="n">
        <x:v>0</x:v>
      </x:c>
      <x:c r="AK6817" s="42" t="n">
        <x:v>0</x:v>
      </x:c>
      <x:c r="AL6817" s="42" t="n">
        <x:v>0</x:v>
      </x:c>
      <x:c r="AM6817" t="n">
        <x:f>CHOOSE('假设'!$B$3,AJ6817,AK6817,AL6817)</x:f>
        <x:v>0</x:v>
      </x:c>
      <x:c r="AN6817" t="n">
        <x:v>1</x:v>
      </x:c>
    </x:row>
    <x:row r="6818" ht="23" customHeight="1">
      <x:c r="A6818" s="11" t="str">
        <x:v>09995.HK</x:v>
      </x:c>
      <x:c r="B6818" s="11" t="str">
        <x:v>一年</x:v>
      </x:c>
      <x:c r="C6818" s="11" t="str">
        <x:v>RC48_foreign</x:v>
      </x:c>
      <x:c r="D6818" s="11" t="str">
        <x:v>2044-12-31</x:v>
      </x:c>
      <x:c r="E6818" s="11" t="str">
        <x:v>USD</x:v>
      </x:c>
      <x:c r="F6818" s="11" t="n">
        <x:v>17.229295003422312</x:v>
      </x:c>
      <x:c r="G6818" s="26" t="b">
        <x:v>1</x:v>
      </x:c>
      <x:c r="H6818" s="16" t="n">
        <x:v>0.2</x:v>
      </x:c>
      <x:c r="I6818" s="16" t="n">
        <x:v>0.17500000000000002</x:v>
      </x:c>
      <x:c r="J6818" s="16" t="n">
        <x:v>0.12</x:v>
      </x:c>
      <x:c r="K6818" s="11" t="n">
        <x:f>CHOOSE('假设'!$B$3,H6818,I6818,J6818)</x:f>
        <x:v>0.17500000000000002</x:v>
      </x:c>
      <x:c r="L6818" s="11" t="n">
        <x:f>K6818*'管线假设'!E1455*'管线假设'!F1455*'管线假设'!G1455*IF(E6818="USD",'管线假设'!I1455,1)-AM6818</x:f>
        <x:v>0.06077225</x:v>
      </x:c>
      <x:c r="M6818" s="11" t="n">
        <x:f>'管线假设'!H1455</x:f>
        <x:v>0.14</x:v>
      </x:c>
      <x:c r="N6818" s="11" t="n">
        <x:f>IF(G6818,L6818*AN6818/(1+M6818)^F6818,0)</x:f>
        <x:v>0.006357331307309062</x:v>
      </x:c>
      <x:c r="AJ6818" s="42" t="n">
        <x:v>0</x:v>
      </x:c>
      <x:c r="AK6818" s="42" t="n">
        <x:v>0</x:v>
      </x:c>
      <x:c r="AL6818" s="42" t="n">
        <x:v>0</x:v>
      </x:c>
      <x:c r="AM6818" t="n">
        <x:f>CHOOSE('假设'!$B$3,AJ6818,AK6818,AL6818)</x:f>
        <x:v>0</x:v>
      </x:c>
      <x:c r="AN6818" t="n">
        <x:v>1</x:v>
      </x:c>
    </x:row>
    <x:row r="6819" ht="23" customHeight="1">
      <x:c r="A6819" s="11" t="str">
        <x:v>09995.HK</x:v>
      </x:c>
      <x:c r="B6819" s="11" t="str">
        <x:v>一年</x:v>
      </x:c>
      <x:c r="C6819" s="11" t="str">
        <x:v>RC28_China</x:v>
      </x:c>
      <x:c r="D6819" s="11" t="str">
        <x:v>2026-12-31</x:v>
      </x:c>
      <x:c r="E6819" s="11" t="str">
        <x:v>CNY</x:v>
      </x:c>
      <x:c r="F6819" s="11" t="n">
        <x:v>-0.7720739219712526</x:v>
      </x:c>
      <x:c r="G6819" s="26" t="b">
        <x:v>0</x:v>
      </x:c>
      <x:c r="H6819" s="16" t="n">
        <x:v>0</x:v>
      </x:c>
      <x:c r="I6819" s="16" t="n">
        <x:v>0</x:v>
      </x:c>
      <x:c r="J6819" s="16" t="n">
        <x:v>0</x:v>
      </x:c>
      <x:c r="K6819" s="11" t="n">
        <x:f>CHOOSE('假设'!$B$3,H6819,I6819,J6819)</x:f>
        <x:v>0</x:v>
      </x:c>
      <x:c r="L6819" s="11" t="n">
        <x:f>K6819*'管线假设'!E1459*'管线假设'!F1459*'管线假设'!G1459*IF(E6819="USD",'管线假设'!I1459,1)-AM6819</x:f>
        <x:v>-0.08</x:v>
      </x:c>
      <x:c r="M6819" s="11" t="n">
        <x:f>'管线假设'!H1459</x:f>
        <x:v>0.14</x:v>
      </x:c>
      <x:c r="N6819" s="11" t="n">
        <x:f>IF(G6819,L6819*AN6819/(1+M6819)^F6819,0)</x:f>
        <x:v>0</x:v>
      </x:c>
      <x:c r="AJ6819" s="42" t="n">
        <x:v>0.04</x:v>
      </x:c>
      <x:c r="AK6819" s="42" t="n">
        <x:v>0.08</x:v>
      </x:c>
      <x:c r="AL6819" s="42" t="n">
        <x:v>0.12</x:v>
      </x:c>
      <x:c r="AM6819" t="n">
        <x:f>CHOOSE('假设'!$B$3,AJ6819,AK6819,AL6819)</x:f>
        <x:v>0.08</x:v>
      </x:c>
      <x:c r="AN6819" t="n">
        <x:v>0</x:v>
      </x:c>
    </x:row>
    <x:row r="6820" ht="23" customHeight="1">
      <x:c r="A6820" s="11" t="str">
        <x:v>09995.HK</x:v>
      </x:c>
      <x:c r="B6820" s="11" t="str">
        <x:v>一年</x:v>
      </x:c>
      <x:c r="C6820" s="11" t="str">
        <x:v>RC28_China</x:v>
      </x:c>
      <x:c r="D6820" s="11" t="str">
        <x:v>2027-12-31</x:v>
      </x:c>
      <x:c r="E6820" s="11" t="str">
        <x:v>CNY</x:v>
      </x:c>
      <x:c r="F6820" s="11" t="n">
        <x:v>0.2272416153319644</x:v>
      </x:c>
      <x:c r="G6820" s="26" t="b">
        <x:v>1</x:v>
      </x:c>
      <x:c r="H6820" s="16" t="n">
        <x:v>0</x:v>
      </x:c>
      <x:c r="I6820" s="16" t="n">
        <x:v>0</x:v>
      </x:c>
      <x:c r="J6820" s="16" t="n">
        <x:v>0</x:v>
      </x:c>
      <x:c r="K6820" s="11" t="n">
        <x:f>CHOOSE('假设'!$B$3,H6820,I6820,J6820)</x:f>
        <x:v>0</x:v>
      </x:c>
      <x:c r="L6820" s="11" t="n">
        <x:f>K6820*'管线假设'!E1459*'管线假设'!F1459*'管线假设'!G1459*IF(E6820="USD",'管线假设'!I1459,1)-AM6820</x:f>
        <x:v>-0.1</x:v>
      </x:c>
      <x:c r="M6820" s="11" t="n">
        <x:f>'管线假设'!H1459</x:f>
        <x:v>0.14</x:v>
      </x:c>
      <x:c r="N6820" s="11" t="n">
        <x:f>IF(G6820,L6820*AN6820/(1+M6820)^F6820,0)</x:f>
        <x:v>-0.02213326879993802</x:v>
      </x:c>
      <x:c r="AJ6820" s="42" t="n">
        <x:v>0.04</x:v>
      </x:c>
      <x:c r="AK6820" s="42" t="n">
        <x:v>0.1</x:v>
      </x:c>
      <x:c r="AL6820" s="42" t="n">
        <x:v>0.15</x:v>
      </x:c>
      <x:c r="AM6820" t="n">
        <x:f>CHOOSE('假设'!$B$3,AJ6820,AK6820,AL6820)</x:f>
        <x:v>0.1</x:v>
      </x:c>
      <x:c r="AN6820" t="n">
        <x:v>0.22802197802197802</x:v>
      </x:c>
    </x:row>
    <x:row r="6821" ht="23" customHeight="1">
      <x:c r="A6821" s="11" t="str">
        <x:v>09995.HK</x:v>
      </x:c>
      <x:c r="B6821" s="11" t="str">
        <x:v>一年</x:v>
      </x:c>
      <x:c r="C6821" s="11" t="str">
        <x:v>RC28_China</x:v>
      </x:c>
      <x:c r="D6821" s="11" t="str">
        <x:v>2028-12-31</x:v>
      </x:c>
      <x:c r="E6821" s="11" t="str">
        <x:v>CNY</x:v>
      </x:c>
      <x:c r="F6821" s="11" t="n">
        <x:v>1.2292950034223136</x:v>
      </x:c>
      <x:c r="G6821" s="26" t="b">
        <x:v>1</x:v>
      </x:c>
      <x:c r="H6821" s="16" t="n">
        <x:v>0</x:v>
      </x:c>
      <x:c r="I6821" s="16" t="n">
        <x:v>0</x:v>
      </x:c>
      <x:c r="J6821" s="16" t="n">
        <x:v>0</x:v>
      </x:c>
      <x:c r="K6821" s="11" t="n">
        <x:f>CHOOSE('假设'!$B$3,H6821,I6821,J6821)</x:f>
        <x:v>0</x:v>
      </x:c>
      <x:c r="L6821" s="11" t="n">
        <x:f>K6821*'管线假设'!E1459*'管线假设'!F1459*'管线假设'!G1459*IF(E6821="USD",'管线假设'!I1459,1)-AM6821</x:f>
        <x:v>-0.07</x:v>
      </x:c>
      <x:c r="M6821" s="11" t="n">
        <x:f>'管线假设'!H1459</x:f>
        <x:v>0.14</x:v>
      </x:c>
      <x:c r="N6821" s="11" t="n">
        <x:f>IF(G6821,L6821*AN6821/(1+M6821)^F6821,0)</x:f>
        <x:v>-0.05958613148361265</x:v>
      </x:c>
      <x:c r="AJ6821" s="42" t="n">
        <x:v>0</x:v>
      </x:c>
      <x:c r="AK6821" s="42" t="n">
        <x:v>0.07</x:v>
      </x:c>
      <x:c r="AL6821" s="42" t="n">
        <x:v>0.08</x:v>
      </x:c>
      <x:c r="AM6821" t="n">
        <x:f>CHOOSE('假设'!$B$3,AJ6821,AK6821,AL6821)</x:f>
        <x:v>0.07</x:v>
      </x:c>
      <x:c r="AN6821" t="n">
        <x:v>1</x:v>
      </x:c>
    </x:row>
    <x:row r="6822" ht="23" customHeight="1">
      <x:c r="A6822" s="11" t="str">
        <x:v>09995.HK</x:v>
      </x:c>
      <x:c r="B6822" s="11" t="str">
        <x:v>一年</x:v>
      </x:c>
      <x:c r="C6822" s="11" t="str">
        <x:v>RC28_China</x:v>
      </x:c>
      <x:c r="D6822" s="11" t="str">
        <x:v>2029-12-31</x:v>
      </x:c>
      <x:c r="E6822" s="11" t="str">
        <x:v>CNY</x:v>
      </x:c>
      <x:c r="F6822" s="11" t="n">
        <x:v>2.2286105407255303</x:v>
      </x:c>
      <x:c r="G6822" s="26" t="b">
        <x:v>1</x:v>
      </x:c>
      <x:c r="H6822" s="16" t="n">
        <x:v>0</x:v>
      </x:c>
      <x:c r="I6822" s="16" t="n">
        <x:v>0</x:v>
      </x:c>
      <x:c r="J6822" s="16" t="n">
        <x:v>0.18</x:v>
      </x:c>
      <x:c r="K6822" s="11" t="n">
        <x:f>CHOOSE('假设'!$B$3,H6822,I6822,J6822)</x:f>
        <x:v>0</x:v>
      </x:c>
      <x:c r="L6822" s="11" t="n">
        <x:f>K6822*'管线假设'!E1459*'管线假设'!F1459*'管线假设'!G1459*IF(E6822="USD",'管线假设'!I1459,1)-AM6822</x:f>
        <x:v>0</x:v>
      </x:c>
      <x:c r="M6822" s="11" t="n">
        <x:f>'管线假设'!H1459</x:f>
        <x:v>0.14</x:v>
      </x:c>
      <x:c r="N6822" s="11" t="n">
        <x:f>IF(G6822,L6822*AN6822/(1+M6822)^F6822,0)</x:f>
        <x:v>0</x:v>
      </x:c>
      <x:c r="AJ6822" s="42" t="n">
        <x:v>0</x:v>
      </x:c>
      <x:c r="AK6822" s="42" t="n">
        <x:v>0</x:v>
      </x:c>
      <x:c r="AL6822" s="42" t="n">
        <x:v>0</x:v>
      </x:c>
      <x:c r="AM6822" t="n">
        <x:f>CHOOSE('假设'!$B$3,AJ6822,AK6822,AL6822)</x:f>
        <x:v>0</x:v>
      </x:c>
      <x:c r="AN6822" t="n">
        <x:v>1</x:v>
      </x:c>
    </x:row>
    <x:row r="6823" ht="23" customHeight="1">
      <x:c r="A6823" s="11" t="str">
        <x:v>09995.HK</x:v>
      </x:c>
      <x:c r="B6823" s="11" t="str">
        <x:v>一年</x:v>
      </x:c>
      <x:c r="C6823" s="11" t="str">
        <x:v>RC28_China</x:v>
      </x:c>
      <x:c r="D6823" s="11" t="str">
        <x:v>2030-12-31</x:v>
      </x:c>
      <x:c r="E6823" s="11" t="str">
        <x:v>CNY</x:v>
      </x:c>
      <x:c r="F6823" s="11" t="n">
        <x:v>3.2279260780287475</x:v>
      </x:c>
      <x:c r="G6823" s="26" t="b">
        <x:v>1</x:v>
      </x:c>
      <x:c r="H6823" s="16" t="n">
        <x:v>0</x:v>
      </x:c>
      <x:c r="I6823" s="16" t="n">
        <x:v>0.09</x:v>
      </x:c>
      <x:c r="J6823" s="16" t="n">
        <x:v>0.54</x:v>
      </x:c>
      <x:c r="K6823" s="11" t="n">
        <x:f>CHOOSE('假设'!$B$3,H6823,I6823,J6823)</x:f>
        <x:v>0.09</x:v>
      </x:c>
      <x:c r="L6823" s="11" t="n">
        <x:f>K6823*'管线假设'!E1459*'管线假设'!F1459*'管线假设'!G1459*IF(E6823="USD",'管线假设'!I1459,1)-AM6823</x:f>
        <x:v>0.0030995999999999997</x:v>
      </x:c>
      <x:c r="M6823" s="11" t="n">
        <x:f>'管线假设'!H1459</x:f>
        <x:v>0.14</x:v>
      </x:c>
      <x:c r="N6823" s="11" t="n">
        <x:f>IF(G6823,L6823*AN6823/(1+M6823)^F6823,0)</x:f>
        <x:v>0.002030584181367281</x:v>
      </x:c>
      <x:c r="AJ6823" s="42" t="n">
        <x:v>0</x:v>
      </x:c>
      <x:c r="AK6823" s="42" t="n">
        <x:v>0</x:v>
      </x:c>
      <x:c r="AL6823" s="42" t="n">
        <x:v>0</x:v>
      </x:c>
      <x:c r="AM6823" t="n">
        <x:f>CHOOSE('假设'!$B$3,AJ6823,AK6823,AL6823)</x:f>
        <x:v>0</x:v>
      </x:c>
      <x:c r="AN6823" t="n">
        <x:v>1</x:v>
      </x:c>
    </x:row>
    <x:row r="6824" ht="23" customHeight="1">
      <x:c r="A6824" s="11" t="str">
        <x:v>09995.HK</x:v>
      </x:c>
      <x:c r="B6824" s="11" t="str">
        <x:v>一年</x:v>
      </x:c>
      <x:c r="C6824" s="11" t="str">
        <x:v>RC28_China</x:v>
      </x:c>
      <x:c r="D6824" s="11" t="str">
        <x:v>2031-12-31</x:v>
      </x:c>
      <x:c r="E6824" s="11" t="str">
        <x:v>CNY</x:v>
      </x:c>
      <x:c r="F6824" s="11" t="n">
        <x:v>4.227241615331964</x:v>
      </x:c>
      <x:c r="G6824" s="26" t="b">
        <x:v>1</x:v>
      </x:c>
      <x:c r="H6824" s="16" t="n">
        <x:v>0</x:v>
      </x:c>
      <x:c r="I6824" s="16" t="n">
        <x:v>0.27</x:v>
      </x:c>
      <x:c r="J6824" s="16" t="n">
        <x:v>1.1400000000000001</x:v>
      </x:c>
      <x:c r="K6824" s="11" t="n">
        <x:f>CHOOSE('假设'!$B$3,H6824,I6824,J6824)</x:f>
        <x:v>0.27</x:v>
      </x:c>
      <x:c r="L6824" s="11" t="n">
        <x:f>K6824*'管线假设'!E1459*'管线假设'!F1459*'管线假设'!G1459*IF(E6824="USD",'管线假设'!I1459,1)-AM6824</x:f>
        <x:v>0.0092988</x:v>
      </x:c>
      <x:c r="M6824" s="11" t="n">
        <x:f>'管线假设'!H1459</x:f>
        <x:v>0.14</x:v>
      </x:c>
      <x:c r="N6824" s="11" t="n">
        <x:f>IF(G6824,L6824*AN6824/(1+M6824)^F6824,0)</x:f>
        <x:v>0.005344121843052238</x:v>
      </x:c>
      <x:c r="AJ6824" s="42" t="n">
        <x:v>0</x:v>
      </x:c>
      <x:c r="AK6824" s="42" t="n">
        <x:v>0</x:v>
      </x:c>
      <x:c r="AL6824" s="42" t="n">
        <x:v>0</x:v>
      </x:c>
      <x:c r="AM6824" t="n">
        <x:f>CHOOSE('假设'!$B$3,AJ6824,AK6824,AL6824)</x:f>
        <x:v>0</x:v>
      </x:c>
      <x:c r="AN6824" t="n">
        <x:v>1</x:v>
      </x:c>
    </x:row>
    <x:row r="6825" ht="23" customHeight="1">
      <x:c r="A6825" s="11" t="str">
        <x:v>09995.HK</x:v>
      </x:c>
      <x:c r="B6825" s="11" t="str">
        <x:v>一年</x:v>
      </x:c>
      <x:c r="C6825" s="11" t="str">
        <x:v>RC28_China</x:v>
      </x:c>
      <x:c r="D6825" s="11" t="str">
        <x:v>2032-12-31</x:v>
      </x:c>
      <x:c r="E6825" s="11" t="str">
        <x:v>CNY</x:v>
      </x:c>
      <x:c r="F6825" s="11" t="n">
        <x:v>5.229295003422314</x:v>
      </x:c>
      <x:c r="G6825" s="26" t="b">
        <x:v>1</x:v>
      </x:c>
      <x:c r="H6825" s="16" t="n">
        <x:v>0.03</x:v>
      </x:c>
      <x:c r="I6825" s="16" t="n">
        <x:v>0.5700000000000001</x:v>
      </x:c>
      <x:c r="J6825" s="16" t="n">
        <x:v>1.9500000000000002</x:v>
      </x:c>
      <x:c r="K6825" s="11" t="n">
        <x:f>CHOOSE('假设'!$B$3,H6825,I6825,J6825)</x:f>
        <x:v>0.5700000000000001</x:v>
      </x:c>
      <x:c r="L6825" s="11" t="n">
        <x:f>K6825*'管线假设'!E1459*'管线假设'!F1459*'管线假设'!G1459*IF(E6825="USD",'管线假设'!I1459,1)-AM6825</x:f>
        <x:v>0.019630799999999997</x:v>
      </x:c>
      <x:c r="M6825" s="11" t="n">
        <x:f>'管线假设'!H1459</x:f>
        <x:v>0.14</x:v>
      </x:c>
      <x:c r="N6825" s="11" t="n">
        <x:f>IF(G6825,L6825*AN6825/(1+M6825)^F6825,0)</x:f>
        <x:v>0.009893859611978247</x:v>
      </x:c>
      <x:c r="AJ6825" s="42" t="n">
        <x:v>0</x:v>
      </x:c>
      <x:c r="AK6825" s="42" t="n">
        <x:v>0</x:v>
      </x:c>
      <x:c r="AL6825" s="42" t="n">
        <x:v>0</x:v>
      </x:c>
      <x:c r="AM6825" t="n">
        <x:f>CHOOSE('假设'!$B$3,AJ6825,AK6825,AL6825)</x:f>
        <x:v>0</x:v>
      </x:c>
      <x:c r="AN6825" t="n">
        <x:v>1</x:v>
      </x:c>
    </x:row>
    <x:row r="6826" ht="23" customHeight="1">
      <x:c r="A6826" s="11" t="str">
        <x:v>09995.HK</x:v>
      </x:c>
      <x:c r="B6826" s="11" t="str">
        <x:v>一年</x:v>
      </x:c>
      <x:c r="C6826" s="11" t="str">
        <x:v>RC28_China</x:v>
      </x:c>
      <x:c r="D6826" s="11" t="str">
        <x:v>2033-12-31</x:v>
      </x:c>
      <x:c r="E6826" s="11" t="str">
        <x:v>CNY</x:v>
      </x:c>
      <x:c r="F6826" s="11" t="n">
        <x:v>6.228610540725531</x:v>
      </x:c>
      <x:c r="G6826" s="26" t="b">
        <x:v>1</x:v>
      </x:c>
      <x:c r="H6826" s="16" t="n">
        <x:v>0.09</x:v>
      </x:c>
      <x:c r="I6826" s="16" t="n">
        <x:v>0.9750000000000001</x:v>
      </x:c>
      <x:c r="J6826" s="16" t="n">
        <x:v>2.55</x:v>
      </x:c>
      <x:c r="K6826" s="11" t="n">
        <x:f>CHOOSE('假设'!$B$3,H6826,I6826,J6826)</x:f>
        <x:v>0.9750000000000001</x:v>
      </x:c>
      <x:c r="L6826" s="11" t="n">
        <x:f>K6826*'管线假设'!E1459*'管线假设'!F1459*'管线假设'!G1459*IF(E6826="USD",'管线假设'!I1459,1)-AM6826</x:f>
        <x:v>0.033579</x:v>
      </x:c>
      <x:c r="M6826" s="11" t="n">
        <x:f>'管线假设'!H1459</x:f>
        <x:v>0.14</x:v>
      </x:c>
      <x:c r="N6826" s="11" t="n">
        <x:f>IF(G6826,L6826*AN6826/(1+M6826)^F6826,0)</x:f>
        <x:v>0.014846688670284009</x:v>
      </x:c>
      <x:c r="AJ6826" s="42" t="n">
        <x:v>0</x:v>
      </x:c>
      <x:c r="AK6826" s="42" t="n">
        <x:v>0</x:v>
      </x:c>
      <x:c r="AL6826" s="42" t="n">
        <x:v>0</x:v>
      </x:c>
      <x:c r="AM6826" t="n">
        <x:f>CHOOSE('假设'!$B$3,AJ6826,AK6826,AL6826)</x:f>
        <x:v>0</x:v>
      </x:c>
      <x:c r="AN6826" t="n">
        <x:v>1</x:v>
      </x:c>
    </x:row>
    <x:row r="6827" ht="23" customHeight="1">
      <x:c r="A6827" s="11" t="str">
        <x:v>09995.HK</x:v>
      </x:c>
      <x:c r="B6827" s="11" t="str">
        <x:v>一年</x:v>
      </x:c>
      <x:c r="C6827" s="11" t="str">
        <x:v>RC28_China</x:v>
      </x:c>
      <x:c r="D6827" s="11" t="str">
        <x:v>2034-12-31</x:v>
      </x:c>
      <x:c r="E6827" s="11" t="str">
        <x:v>CNY</x:v>
      </x:c>
      <x:c r="F6827" s="11" t="n">
        <x:v>7.227926078028747</x:v>
      </x:c>
      <x:c r="G6827" s="26" t="b">
        <x:v>1</x:v>
      </x:c>
      <x:c r="H6827" s="16" t="n">
        <x:v>0.19</x:v>
      </x:c>
      <x:c r="I6827" s="16" t="n">
        <x:v>1.275</x:v>
      </x:c>
      <x:c r="J6827" s="16" t="n">
        <x:v>3</x:v>
      </x:c>
      <x:c r="K6827" s="11" t="n">
        <x:f>CHOOSE('假设'!$B$3,H6827,I6827,J6827)</x:f>
        <x:v>1.275</x:v>
      </x:c>
      <x:c r="L6827" s="11" t="n">
        <x:f>K6827*'管线假设'!E1459*'管线假设'!F1459*'管线假设'!G1459*IF(E6827="USD",'管线假设'!I1459,1)-AM6827</x:f>
        <x:v>0.043910999999999985</x:v>
      </x:c>
      <x:c r="M6827" s="11" t="n">
        <x:f>'管线假设'!H1459</x:f>
        <x:v>0.14</x:v>
      </x:c>
      <x:c r="N6827" s="11" t="n">
        <x:f>IF(G6827,L6827*AN6827/(1+M6827)^F6827,0)</x:f>
        <x:v>0.017032141975472332</x:v>
      </x:c>
      <x:c r="AJ6827" s="42" t="n">
        <x:v>0</x:v>
      </x:c>
      <x:c r="AK6827" s="42" t="n">
        <x:v>0</x:v>
      </x:c>
      <x:c r="AL6827" s="42" t="n">
        <x:v>0</x:v>
      </x:c>
      <x:c r="AM6827" t="n">
        <x:f>CHOOSE('假设'!$B$3,AJ6827,AK6827,AL6827)</x:f>
        <x:v>0</x:v>
      </x:c>
      <x:c r="AN6827" t="n">
        <x:v>1</x:v>
      </x:c>
    </x:row>
    <x:row r="6828" ht="23" customHeight="1">
      <x:c r="A6828" s="11" t="str">
        <x:v>09995.HK</x:v>
      </x:c>
      <x:c r="B6828" s="11" t="str">
        <x:v>一年</x:v>
      </x:c>
      <x:c r="C6828" s="11" t="str">
        <x:v>RC28_China</x:v>
      </x:c>
      <x:c r="D6828" s="11" t="str">
        <x:v>2035-12-31</x:v>
      </x:c>
      <x:c r="E6828" s="11" t="str">
        <x:v>CNY</x:v>
      </x:c>
      <x:c r="F6828" s="11" t="n">
        <x:v>8.227241615331964</x:v>
      </x:c>
      <x:c r="G6828" s="26" t="b">
        <x:v>1</x:v>
      </x:c>
      <x:c r="H6828" s="16" t="n">
        <x:v>0.325</x:v>
      </x:c>
      <x:c r="I6828" s="16" t="n">
        <x:v>1.5</x:v>
      </x:c>
      <x:c r="J6828" s="16" t="n">
        <x:v>3</x:v>
      </x:c>
      <x:c r="K6828" s="11" t="n">
        <x:f>CHOOSE('假设'!$B$3,H6828,I6828,J6828)</x:f>
        <x:v>1.5</x:v>
      </x:c>
      <x:c r="L6828" s="11" t="n">
        <x:f>K6828*'管线假设'!E1459*'管线假设'!F1459*'管线假设'!G1459*IF(E6828="USD",'管线假设'!I1459,1)-AM6828</x:f>
        <x:v>0.051659999999999984</x:v>
      </x:c>
      <x:c r="M6828" s="11" t="n">
        <x:f>'管线假设'!H1459</x:f>
        <x:v>0.14</x:v>
      </x:c>
      <x:c r="N6828" s="11" t="n">
        <x:f>IF(G6828,L6828*AN6828/(1+M6828)^F6828,0)</x:f>
        <x:v>0.01757860635074698</x:v>
      </x:c>
      <x:c r="AJ6828" s="42" t="n">
        <x:v>0</x:v>
      </x:c>
      <x:c r="AK6828" s="42" t="n">
        <x:v>0</x:v>
      </x:c>
      <x:c r="AL6828" s="42" t="n">
        <x:v>0</x:v>
      </x:c>
      <x:c r="AM6828" t="n">
        <x:f>CHOOSE('假设'!$B$3,AJ6828,AK6828,AL6828)</x:f>
        <x:v>0</x:v>
      </x:c>
      <x:c r="AN6828" t="n">
        <x:v>1</x:v>
      </x:c>
    </x:row>
    <x:row r="6829" ht="23" customHeight="1">
      <x:c r="A6829" s="11" t="str">
        <x:v>09995.HK</x:v>
      </x:c>
      <x:c r="B6829" s="11" t="str">
        <x:v>一年</x:v>
      </x:c>
      <x:c r="C6829" s="11" t="str">
        <x:v>RC28_China</x:v>
      </x:c>
      <x:c r="D6829" s="11" t="str">
        <x:v>2036-12-31</x:v>
      </x:c>
      <x:c r="E6829" s="11" t="str">
        <x:v>CNY</x:v>
      </x:c>
      <x:c r="F6829" s="11" t="n">
        <x:v>9.229295003422314</x:v>
      </x:c>
      <x:c r="G6829" s="26" t="b">
        <x:v>1</x:v>
      </x:c>
      <x:c r="H6829" s="16" t="n">
        <x:v>0.425</x:v>
      </x:c>
      <x:c r="I6829" s="16" t="n">
        <x:v>1.5</x:v>
      </x:c>
      <x:c r="J6829" s="16" t="n">
        <x:v>2.8499999999999996</x:v>
      </x:c>
      <x:c r="K6829" s="11" t="n">
        <x:f>CHOOSE('假设'!$B$3,H6829,I6829,J6829)</x:f>
        <x:v>1.5</x:v>
      </x:c>
      <x:c r="L6829" s="11" t="n">
        <x:f>K6829*'管线假设'!E1459*'管线假设'!F1459*'管线假设'!G1459*IF(E6829="USD",'管线假设'!I1459,1)-AM6829</x:f>
        <x:v>0.051659999999999984</x:v>
      </x:c>
      <x:c r="M6829" s="11" t="n">
        <x:f>'管线假设'!H1459</x:f>
        <x:v>0.14</x:v>
      </x:c>
      <x:c r="N6829" s="11" t="n">
        <x:f>IF(G6829,L6829*AN6829/(1+M6829)^F6829,0)</x:f>
        <x:v>0.015415681956109987</x:v>
      </x:c>
      <x:c r="AJ6829" s="42" t="n">
        <x:v>0</x:v>
      </x:c>
      <x:c r="AK6829" s="42" t="n">
        <x:v>0</x:v>
      </x:c>
      <x:c r="AL6829" s="42" t="n">
        <x:v>0</x:v>
      </x:c>
      <x:c r="AM6829" t="n">
        <x:f>CHOOSE('假设'!$B$3,AJ6829,AK6829,AL6829)</x:f>
        <x:v>0</x:v>
      </x:c>
      <x:c r="AN6829" t="n">
        <x:v>1</x:v>
      </x:c>
    </x:row>
    <x:row r="6830" ht="23" customHeight="1">
      <x:c r="A6830" s="11" t="str">
        <x:v>09995.HK</x:v>
      </x:c>
      <x:c r="B6830" s="11" t="str">
        <x:v>一年</x:v>
      </x:c>
      <x:c r="C6830" s="11" t="str">
        <x:v>RC28_China</x:v>
      </x:c>
      <x:c r="D6830" s="11" t="str">
        <x:v>2037-12-31</x:v>
      </x:c>
      <x:c r="E6830" s="11" t="str">
        <x:v>CNY</x:v>
      </x:c>
      <x:c r="F6830" s="11" t="n">
        <x:v>10.22861054072553</x:v>
      </x:c>
      <x:c r="G6830" s="26" t="b">
        <x:v>1</x:v>
      </x:c>
      <x:c r="H6830" s="16" t="n">
        <x:v>0.5</x:v>
      </x:c>
      <x:c r="I6830" s="16" t="n">
        <x:v>1.4249999999999998</x:v>
      </x:c>
      <x:c r="J6830" s="16" t="n">
        <x:v>2.7</x:v>
      </x:c>
      <x:c r="K6830" s="11" t="n">
        <x:f>CHOOSE('假设'!$B$3,H6830,I6830,J6830)</x:f>
        <x:v>1.4249999999999998</x:v>
      </x:c>
      <x:c r="L6830" s="11" t="n">
        <x:f>K6830*'管线假设'!E1459*'管线假设'!F1459*'管线假设'!G1459*IF(E6830="USD",'管线假设'!I1459,1)-AM6830</x:f>
        <x:v>0.04907699999999999</x:v>
      </x:c>
      <x:c r="M6830" s="11" t="n">
        <x:f>'管线假设'!H1459</x:f>
        <x:v>0.14</x:v>
      </x:c>
      <x:c r="N6830" s="11" t="n">
        <x:f>IF(G6830,L6830*AN6830/(1+M6830)^F6830,0)</x:f>
        <x:v>0.012847553797898576</x:v>
      </x:c>
      <x:c r="AJ6830" s="42" t="n">
        <x:v>0</x:v>
      </x:c>
      <x:c r="AK6830" s="42" t="n">
        <x:v>0</x:v>
      </x:c>
      <x:c r="AL6830" s="42" t="n">
        <x:v>0</x:v>
      </x:c>
      <x:c r="AM6830" t="n">
        <x:f>CHOOSE('假设'!$B$3,AJ6830,AK6830,AL6830)</x:f>
        <x:v>0</x:v>
      </x:c>
      <x:c r="AN6830" t="n">
        <x:v>1</x:v>
      </x:c>
    </x:row>
    <x:row r="6831" ht="23" customHeight="1">
      <x:c r="A6831" s="11" t="str">
        <x:v>09995.HK</x:v>
      </x:c>
      <x:c r="B6831" s="11" t="str">
        <x:v>一年</x:v>
      </x:c>
      <x:c r="C6831" s="11" t="str">
        <x:v>RC28_China</x:v>
      </x:c>
      <x:c r="D6831" s="11" t="str">
        <x:v>2038-12-31</x:v>
      </x:c>
      <x:c r="E6831" s="11" t="str">
        <x:v>CNY</x:v>
      </x:c>
      <x:c r="F6831" s="11" t="n">
        <x:v>11.227926078028748</x:v>
      </x:c>
      <x:c r="G6831" s="26" t="b">
        <x:v>1</x:v>
      </x:c>
      <x:c r="H6831" s="16" t="n">
        <x:v>0.5</x:v>
      </x:c>
      <x:c r="I6831" s="16" t="n">
        <x:v>1.35</x:v>
      </x:c>
      <x:c r="J6831" s="16" t="n">
        <x:v>2.4000000000000004</x:v>
      </x:c>
      <x:c r="K6831" s="11" t="n">
        <x:f>CHOOSE('假设'!$B$3,H6831,I6831,J6831)</x:f>
        <x:v>1.35</x:v>
      </x:c>
      <x:c r="L6831" s="11" t="n">
        <x:f>K6831*'管线假设'!E1459*'管线假设'!F1459*'管线假设'!G1459*IF(E6831="USD",'管线假设'!I1459,1)-AM6831</x:f>
        <x:v>0.046493999999999994</x:v>
      </x:c>
      <x:c r="M6831" s="11" t="n">
        <x:f>'管线假设'!H1459</x:f>
        <x:v>0.14</x:v>
      </x:c>
      <x:c r="N6831" s="11" t="n">
        <x:f>IF(G6831,L6831*AN6831/(1+M6831)^F6831,0)</x:f>
        <x:v>0.010677595071225288</x:v>
      </x:c>
      <x:c r="AJ6831" s="42" t="n">
        <x:v>0</x:v>
      </x:c>
      <x:c r="AK6831" s="42" t="n">
        <x:v>0</x:v>
      </x:c>
      <x:c r="AL6831" s="42" t="n">
        <x:v>0</x:v>
      </x:c>
      <x:c r="AM6831" t="n">
        <x:f>CHOOSE('假设'!$B$3,AJ6831,AK6831,AL6831)</x:f>
        <x:v>0</x:v>
      </x:c>
      <x:c r="AN6831" t="n">
        <x:v>1</x:v>
      </x:c>
    </x:row>
    <x:row r="6832" ht="23" customHeight="1">
      <x:c r="A6832" s="11" t="str">
        <x:v>09995.HK</x:v>
      </x:c>
      <x:c r="B6832" s="11" t="str">
        <x:v>一年</x:v>
      </x:c>
      <x:c r="C6832" s="11" t="str">
        <x:v>RC28_China</x:v>
      </x:c>
      <x:c r="D6832" s="11" t="str">
        <x:v>2039-12-31</x:v>
      </x:c>
      <x:c r="E6832" s="11" t="str">
        <x:v>CNY</x:v>
      </x:c>
      <x:c r="F6832" s="11" t="n">
        <x:v>12.227241615331964</x:v>
      </x:c>
      <x:c r="G6832" s="26" t="b">
        <x:v>1</x:v>
      </x:c>
      <x:c r="H6832" s="16" t="n">
        <x:v>0.475</x:v>
      </x:c>
      <x:c r="I6832" s="16" t="n">
        <x:v>1.2000000000000002</x:v>
      </x:c>
      <x:c r="J6832" s="16" t="n">
        <x:v>1.9500000000000002</x:v>
      </x:c>
      <x:c r="K6832" s="11" t="n">
        <x:f>CHOOSE('假设'!$B$3,H6832,I6832,J6832)</x:f>
        <x:v>1.2000000000000002</x:v>
      </x:c>
      <x:c r="L6832" s="11" t="n">
        <x:f>K6832*'管线假设'!E1459*'管线假设'!F1459*'管线假设'!G1459*IF(E6832="USD",'管线假设'!I1459,1)-AM6832</x:f>
        <x:v>0.041328</x:v>
      </x:c>
      <x:c r="M6832" s="11" t="n">
        <x:f>'管线假设'!H1459</x:f>
        <x:v>0.14</x:v>
      </x:c>
      <x:c r="N6832" s="11" t="n">
        <x:f>IF(G6832,L6832*AN6832/(1+M6832)^F6832,0)</x:f>
        <x:v>0.008326356899145319</x:v>
      </x:c>
      <x:c r="AJ6832" s="42" t="n">
        <x:v>0</x:v>
      </x:c>
      <x:c r="AK6832" s="42" t="n">
        <x:v>0</x:v>
      </x:c>
      <x:c r="AL6832" s="42" t="n">
        <x:v>0</x:v>
      </x:c>
      <x:c r="AM6832" t="n">
        <x:f>CHOOSE('假设'!$B$3,AJ6832,AK6832,AL6832)</x:f>
        <x:v>0</x:v>
      </x:c>
      <x:c r="AN6832" t="n">
        <x:v>1</x:v>
      </x:c>
    </x:row>
    <x:row r="6833" ht="23" customHeight="1">
      <x:c r="A6833" s="11" t="str">
        <x:v>09995.HK</x:v>
      </x:c>
      <x:c r="B6833" s="11" t="str">
        <x:v>一年</x:v>
      </x:c>
      <x:c r="C6833" s="11" t="str">
        <x:v>RC28_China</x:v>
      </x:c>
      <x:c r="D6833" s="11" t="str">
        <x:v>2040-12-31</x:v>
      </x:c>
      <x:c r="E6833" s="11" t="str">
        <x:v>CNY</x:v>
      </x:c>
      <x:c r="F6833" s="11" t="n">
        <x:v>13.229295003422314</x:v>
      </x:c>
      <x:c r="G6833" s="26" t="b">
        <x:v>1</x:v>
      </x:c>
      <x:c r="H6833" s="16" t="n">
        <x:v>0.45</x:v>
      </x:c>
      <x:c r="I6833" s="16" t="n">
        <x:v>0.9750000000000001</x:v>
      </x:c>
      <x:c r="J6833" s="16" t="n">
        <x:v>1.5</x:v>
      </x:c>
      <x:c r="K6833" s="11" t="n">
        <x:f>CHOOSE('假设'!$B$3,H6833,I6833,J6833)</x:f>
        <x:v>0.9750000000000001</x:v>
      </x:c>
      <x:c r="L6833" s="11" t="n">
        <x:f>K6833*'管线假设'!E1459*'管线假设'!F1459*'管线假设'!G1459*IF(E6833="USD",'管线假设'!I1459,1)-AM6833</x:f>
        <x:v>0.033579</x:v>
      </x:c>
      <x:c r="M6833" s="11" t="n">
        <x:f>'管线假设'!H1459</x:f>
        <x:v>0.14</x:v>
      </x:c>
      <x:c r="N6833" s="11" t="n">
        <x:f>IF(G6833,L6833*AN6833/(1+M6833)^F6833,0)</x:f>
        <x:v>0.005932758811475748</x:v>
      </x:c>
      <x:c r="AJ6833" s="42" t="n">
        <x:v>0</x:v>
      </x:c>
      <x:c r="AK6833" s="42" t="n">
        <x:v>0</x:v>
      </x:c>
      <x:c r="AL6833" s="42" t="n">
        <x:v>0</x:v>
      </x:c>
      <x:c r="AM6833" t="n">
        <x:f>CHOOSE('假设'!$B$3,AJ6833,AK6833,AL6833)</x:f>
        <x:v>0</x:v>
      </x:c>
      <x:c r="AN6833" t="n">
        <x:v>1</x:v>
      </x:c>
    </x:row>
    <x:row r="6834" ht="23" customHeight="1">
      <x:c r="A6834" s="11" t="str">
        <x:v>09995.HK</x:v>
      </x:c>
      <x:c r="B6834" s="11" t="str">
        <x:v>一年</x:v>
      </x:c>
      <x:c r="C6834" s="11" t="str">
        <x:v>RC28_China</x:v>
      </x:c>
      <x:c r="D6834" s="11" t="str">
        <x:v>2041-12-31</x:v>
      </x:c>
      <x:c r="E6834" s="11" t="str">
        <x:v>CNY</x:v>
      </x:c>
      <x:c r="F6834" s="11" t="n">
        <x:v>14.22861054072553</x:v>
      </x:c>
      <x:c r="G6834" s="26" t="b">
        <x:v>1</x:v>
      </x:c>
      <x:c r="H6834" s="16" t="n">
        <x:v>0.4</x:v>
      </x:c>
      <x:c r="I6834" s="16" t="n">
        <x:v>0.75</x:v>
      </x:c>
      <x:c r="J6834" s="16" t="n">
        <x:v>1.0499999999999998</x:v>
      </x:c>
      <x:c r="K6834" s="11" t="n">
        <x:f>CHOOSE('假设'!$B$3,H6834,I6834,J6834)</x:f>
        <x:v>0.75</x:v>
      </x:c>
      <x:c r="L6834" s="11" t="n">
        <x:f>K6834*'管线假设'!E1459*'管线假设'!F1459*'管线假设'!G1459*IF(E6834="USD",'管线假设'!I1459,1)-AM6834</x:f>
        <x:v>0.025829999999999992</x:v>
      </x:c>
      <x:c r="M6834" s="11" t="n">
        <x:f>'管线假设'!H1459</x:f>
        <x:v>0.14</x:v>
      </x:c>
      <x:c r="N6834" s="11" t="n">
        <x:f>IF(G6834,L6834*AN6834/(1+M6834)^F6834,0)</x:f>
        <x:v>0.004003570113783273</x:v>
      </x:c>
      <x:c r="AJ6834" s="42" t="n">
        <x:v>0</x:v>
      </x:c>
      <x:c r="AK6834" s="42" t="n">
        <x:v>0</x:v>
      </x:c>
      <x:c r="AL6834" s="42" t="n">
        <x:v>0</x:v>
      </x:c>
      <x:c r="AM6834" t="n">
        <x:f>CHOOSE('假设'!$B$3,AJ6834,AK6834,AL6834)</x:f>
        <x:v>0</x:v>
      </x:c>
      <x:c r="AN6834" t="n">
        <x:v>1</x:v>
      </x:c>
    </x:row>
    <x:row r="6835" ht="23" customHeight="1">
      <x:c r="A6835" s="11" t="str">
        <x:v>09995.HK</x:v>
      </x:c>
      <x:c r="B6835" s="11" t="str">
        <x:v>一年</x:v>
      </x:c>
      <x:c r="C6835" s="11" t="str">
        <x:v>RC28_China</x:v>
      </x:c>
      <x:c r="D6835" s="11" t="str">
        <x:v>2042-12-31</x:v>
      </x:c>
      <x:c r="E6835" s="11" t="str">
        <x:v>CNY</x:v>
      </x:c>
      <x:c r="F6835" s="11" t="n">
        <x:v>15.227926078028748</x:v>
      </x:c>
      <x:c r="G6835" s="26" t="b">
        <x:v>1</x:v>
      </x:c>
      <x:c r="H6835" s="16" t="n">
        <x:v>0.325</x:v>
      </x:c>
      <x:c r="I6835" s="16" t="n">
        <x:v>0.5249999999999999</x:v>
      </x:c>
      <x:c r="J6835" s="16" t="n">
        <x:v>0.6000000000000001</x:v>
      </x:c>
      <x:c r="K6835" s="11" t="n">
        <x:f>CHOOSE('假设'!$B$3,H6835,I6835,J6835)</x:f>
        <x:v>0.5249999999999999</x:v>
      </x:c>
      <x:c r="L6835" s="11" t="n">
        <x:f>K6835*'管线假设'!E1459*'管线假设'!F1459*'管线假设'!G1459*IF(E6835="USD",'管线假设'!I1459,1)-AM6835</x:f>
        <x:v>0.018080999999999993</x:v>
      </x:c>
      <x:c r="M6835" s="11" t="n">
        <x:f>'管线假设'!H1459</x:f>
        <x:v>0.14</x:v>
      </x:c>
      <x:c r="N6835" s="11" t="n">
        <x:f>IF(G6835,L6835*AN6835/(1+M6835)^F6835,0)</x:f>
        <x:v>0.0024585530088846357</x:v>
      </x:c>
      <x:c r="AJ6835" s="42" t="n">
        <x:v>0</x:v>
      </x:c>
      <x:c r="AK6835" s="42" t="n">
        <x:v>0</x:v>
      </x:c>
      <x:c r="AL6835" s="42" t="n">
        <x:v>0</x:v>
      </x:c>
      <x:c r="AM6835" t="n">
        <x:f>CHOOSE('假设'!$B$3,AJ6835,AK6835,AL6835)</x:f>
        <x:v>0</x:v>
      </x:c>
      <x:c r="AN6835" t="n">
        <x:v>1</x:v>
      </x:c>
    </x:row>
    <x:row r="6836" ht="23" customHeight="1">
      <x:c r="A6836" s="11" t="str">
        <x:v>09995.HK</x:v>
      </x:c>
      <x:c r="B6836" s="11" t="str">
        <x:v>一年</x:v>
      </x:c>
      <x:c r="C6836" s="11" t="str">
        <x:v>RC28_China</x:v>
      </x:c>
      <x:c r="D6836" s="11" t="str">
        <x:v>2043-12-31</x:v>
      </x:c>
      <x:c r="E6836" s="11" t="str">
        <x:v>CNY</x:v>
      </x:c>
      <x:c r="F6836" s="11" t="n">
        <x:v>16.227241615331966</x:v>
      </x:c>
      <x:c r="G6836" s="26" t="b">
        <x:v>1</x:v>
      </x:c>
      <x:c r="H6836" s="16" t="n">
        <x:v>0.25</x:v>
      </x:c>
      <x:c r="I6836" s="16" t="n">
        <x:v>0.30000000000000004</x:v>
      </x:c>
      <x:c r="J6836" s="16" t="n">
        <x:v>0.36</x:v>
      </x:c>
      <x:c r="K6836" s="11" t="n">
        <x:f>CHOOSE('假设'!$B$3,H6836,I6836,J6836)</x:f>
        <x:v>0.30000000000000004</x:v>
      </x:c>
      <x:c r="L6836" s="11" t="n">
        <x:f>K6836*'管线假设'!E1459*'管线假设'!F1459*'管线假设'!G1459*IF(E6836="USD",'管线假设'!I1459,1)-AM6836</x:f>
        <x:v>0.010332</x:v>
      </x:c>
      <x:c r="M6836" s="11" t="n">
        <x:f>'管线假设'!H1459</x:f>
        <x:v>0.14</x:v>
      </x:c>
      <x:c r="N6836" s="11" t="n">
        <x:f>IF(G6836,L6836*AN6836/(1+M6836)^F6836,0)</x:f>
        <x:v>0.0012324679255822876</x:v>
      </x:c>
      <x:c r="AJ6836" s="42" t="n">
        <x:v>0</x:v>
      </x:c>
      <x:c r="AK6836" s="42" t="n">
        <x:v>0</x:v>
      </x:c>
      <x:c r="AL6836" s="42" t="n">
        <x:v>0</x:v>
      </x:c>
      <x:c r="AM6836" t="n">
        <x:f>CHOOSE('假设'!$B$3,AJ6836,AK6836,AL6836)</x:f>
        <x:v>0</x:v>
      </x:c>
      <x:c r="AN6836" t="n">
        <x:v>1</x:v>
      </x:c>
    </x:row>
    <x:row r="6837" ht="23" customHeight="1">
      <x:c r="A6837" s="11" t="str">
        <x:v>09995.HK</x:v>
      </x:c>
      <x:c r="B6837" s="11" t="str">
        <x:v>一年</x:v>
      </x:c>
      <x:c r="C6837" s="11" t="str">
        <x:v>RC28_China</x:v>
      </x:c>
      <x:c r="D6837" s="11" t="str">
        <x:v>2044-12-31</x:v>
      </x:c>
      <x:c r="E6837" s="11" t="str">
        <x:v>CNY</x:v>
      </x:c>
      <x:c r="F6837" s="11" t="n">
        <x:v>17.229295003422312</x:v>
      </x:c>
      <x:c r="G6837" s="26" t="b">
        <x:v>1</x:v>
      </x:c>
      <x:c r="H6837" s="16" t="n">
        <x:v>0.175</x:v>
      </x:c>
      <x:c r="I6837" s="16" t="n">
        <x:v>0.18</x:v>
      </x:c>
      <x:c r="J6837" s="16" t="n">
        <x:v>0.21000000000000002</x:v>
      </x:c>
      <x:c r="K6837" s="11" t="n">
        <x:f>CHOOSE('假设'!$B$3,H6837,I6837,J6837)</x:f>
        <x:v>0.18</x:v>
      </x:c>
      <x:c r="L6837" s="11" t="n">
        <x:f>K6837*'管线假设'!E1459*'管线假设'!F1459*'管线假设'!G1459*IF(E6837="USD",'管线假设'!I1459,1)-AM6837</x:f>
        <x:v>0.006199199999999999</x:v>
      </x:c>
      <x:c r="M6837" s="11" t="n">
        <x:f>'管线假设'!H1459</x:f>
        <x:v>0.14</x:v>
      </x:c>
      <x:c r="N6837" s="11" t="n">
        <x:f>IF(G6837,L6837*AN6837/(1+M6837)^F6837,0)</x:f>
        <x:v>0.000648492827569661</x:v>
      </x:c>
      <x:c r="AJ6837" s="42" t="n">
        <x:v>0</x:v>
      </x:c>
      <x:c r="AK6837" s="42" t="n">
        <x:v>0</x:v>
      </x:c>
      <x:c r="AL6837" s="42" t="n">
        <x:v>0</x:v>
      </x:c>
      <x:c r="AM6837" t="n">
        <x:f>CHOOSE('假设'!$B$3,AJ6837,AK6837,AL6837)</x:f>
        <x:v>0</x:v>
      </x:c>
      <x:c r="AN6837" t="n">
        <x:v>1</x:v>
      </x:c>
    </x:row>
    <x:row r="6838" ht="23" customHeight="1">
      <x:c r="A6838" s="11" t="str">
        <x:v>09995.HK</x:v>
      </x:c>
      <x:c r="B6838" s="11" t="str">
        <x:v>一年</x:v>
      </x:c>
      <x:c r="C6838" s="11" t="str">
        <x:v>centralCost</x:v>
      </x:c>
      <x:c r="D6838" s="11" t="str">
        <x:v>2026-12-31</x:v>
      </x:c>
      <x:c r="E6838" s="11" t="str">
        <x:v>CNY</x:v>
      </x:c>
      <x:c r="F6838" s="11" t="n">
        <x:v>-0.7720739219712526</x:v>
      </x:c>
      <x:c r="G6838" s="26" t="b">
        <x:v>0</x:v>
      </x:c>
      <x:c r="H6838" s="16" t="n">
        <x:v>0</x:v>
      </x:c>
      <x:c r="I6838" s="16" t="n">
        <x:v>0</x:v>
      </x:c>
      <x:c r="J6838" s="16" t="n">
        <x:v>0</x:v>
      </x:c>
      <x:c r="K6838" s="11" t="n">
        <x:f>CHOOSE('假设'!$B$3,H6838,I6838,J6838)</x:f>
        <x:v>0</x:v>
      </x:c>
      <x:c r="L6838" s="11" t="n">
        <x:f>K6838*'管线假设'!E1463*'管线假设'!F1463*'管线假设'!G1463*IF(E6838="USD",'管线假设'!I1463,1)-AM6838</x:f>
        <x:v>-0.16</x:v>
      </x:c>
      <x:c r="M6838" s="11" t="n">
        <x:f>'管线假设'!H1463</x:f>
        <x:v>0.14</x:v>
      </x:c>
      <x:c r="N6838" s="11" t="n">
        <x:f>IF(G6838,L6838*AN6838/(1+M6838)^F6838,0)</x:f>
        <x:v>0</x:v>
      </x:c>
      <x:c r="AJ6838" s="42" t="n">
        <x:v>0.13</x:v>
      </x:c>
      <x:c r="AK6838" s="42" t="n">
        <x:v>0.16</x:v>
      </x:c>
      <x:c r="AL6838" s="42" t="n">
        <x:v>0.2</x:v>
      </x:c>
      <x:c r="AM6838" t="n">
        <x:f>CHOOSE('假设'!$B$3,AJ6838,AK6838,AL6838)</x:f>
        <x:v>0.16</x:v>
      </x:c>
      <x:c r="AN6838" t="n">
        <x:v>0</x:v>
      </x:c>
    </x:row>
    <x:row r="6839" ht="23" customHeight="1">
      <x:c r="A6839" s="11" t="str">
        <x:v>09995.HK</x:v>
      </x:c>
      <x:c r="B6839" s="11" t="str">
        <x:v>一年</x:v>
      </x:c>
      <x:c r="C6839" s="11" t="str">
        <x:v>centralCost</x:v>
      </x:c>
      <x:c r="D6839" s="11" t="str">
        <x:v>2027-12-31</x:v>
      </x:c>
      <x:c r="E6839" s="11" t="str">
        <x:v>CNY</x:v>
      </x:c>
      <x:c r="F6839" s="11" t="n">
        <x:v>0.2272416153319644</x:v>
      </x:c>
      <x:c r="G6839" s="26" t="b">
        <x:v>1</x:v>
      </x:c>
      <x:c r="H6839" s="16" t="n">
        <x:v>0</x:v>
      </x:c>
      <x:c r="I6839" s="16" t="n">
        <x:v>0</x:v>
      </x:c>
      <x:c r="J6839" s="16" t="n">
        <x:v>0</x:v>
      </x:c>
      <x:c r="K6839" s="11" t="n">
        <x:f>CHOOSE('假设'!$B$3,H6839,I6839,J6839)</x:f>
        <x:v>0</x:v>
      </x:c>
      <x:c r="L6839" s="11" t="n">
        <x:f>K6839*'管线假设'!E1463*'管线假设'!F1463*'管线假设'!G1463*IF(E6839="USD",'管线假设'!I1463,1)-AM6839</x:f>
        <x:v>-0.1648</x:v>
      </x:c>
      <x:c r="M6839" s="11" t="n">
        <x:f>'管线假设'!H1463</x:f>
        <x:v>0.14</x:v>
      </x:c>
      <x:c r="N6839" s="11" t="n">
        <x:f>IF(G6839,L6839*AN6839/(1+M6839)^F6839,0)</x:f>
        <x:v>-0.03647562698229785</x:v>
      </x:c>
      <x:c r="AJ6839" s="42" t="n">
        <x:v>0.13390000000000002</x:v>
      </x:c>
      <x:c r="AK6839" s="42" t="n">
        <x:v>0.1648</x:v>
      </x:c>
      <x:c r="AL6839" s="42" t="n">
        <x:v>0.20800000000000002</x:v>
      </x:c>
      <x:c r="AM6839" t="n">
        <x:f>CHOOSE('假设'!$B$3,AJ6839,AK6839,AL6839)</x:f>
        <x:v>0.1648</x:v>
      </x:c>
      <x:c r="AN6839" t="n">
        <x:v>0.22802197802197802</x:v>
      </x:c>
    </x:row>
    <x:row r="6840" ht="23" customHeight="1">
      <x:c r="A6840" s="11" t="str">
        <x:v>09995.HK</x:v>
      </x:c>
      <x:c r="B6840" s="11" t="str">
        <x:v>一年</x:v>
      </x:c>
      <x:c r="C6840" s="11" t="str">
        <x:v>centralCost</x:v>
      </x:c>
      <x:c r="D6840" s="11" t="str">
        <x:v>2028-12-31</x:v>
      </x:c>
      <x:c r="E6840" s="11" t="str">
        <x:v>CNY</x:v>
      </x:c>
      <x:c r="F6840" s="11" t="n">
        <x:v>1.2292950034223136</x:v>
      </x:c>
      <x:c r="G6840" s="26" t="b">
        <x:v>1</x:v>
      </x:c>
      <x:c r="H6840" s="16" t="n">
        <x:v>0</x:v>
      </x:c>
      <x:c r="I6840" s="16" t="n">
        <x:v>0</x:v>
      </x:c>
      <x:c r="J6840" s="16" t="n">
        <x:v>0</x:v>
      </x:c>
      <x:c r="K6840" s="11" t="n">
        <x:f>CHOOSE('假设'!$B$3,H6840,I6840,J6840)</x:f>
        <x:v>0</x:v>
      </x:c>
      <x:c r="L6840" s="11" t="n">
        <x:f>K6840*'管线假设'!E1463*'管线假设'!F1463*'管线假设'!G1463*IF(E6840="USD",'管线假设'!I1463,1)-AM6840</x:f>
        <x:v>-0.169744</x:v>
      </x:c>
      <x:c r="M6840" s="11" t="n">
        <x:f>'管线假设'!H1463</x:f>
        <x:v>0.14</x:v>
      </x:c>
      <x:c r="N6840" s="11" t="n">
        <x:f>IF(G6840,L6840*AN6840/(1+M6840)^F6840,0)</x:f>
        <x:v>-0.14449126146506208</x:v>
      </x:c>
      <x:c r="AJ6840" s="42" t="n">
        <x:v>0.137917</x:v>
      </x:c>
      <x:c r="AK6840" s="42" t="n">
        <x:v>0.169744</x:v>
      </x:c>
      <x:c r="AL6840" s="42" t="n">
        <x:v>0.21632000000000004</x:v>
      </x:c>
      <x:c r="AM6840" t="n">
        <x:f>CHOOSE('假设'!$B$3,AJ6840,AK6840,AL6840)</x:f>
        <x:v>0.169744</x:v>
      </x:c>
      <x:c r="AN6840" t="n">
        <x:v>1</x:v>
      </x:c>
    </x:row>
    <x:row r="6841" ht="23" customHeight="1">
      <x:c r="A6841" s="11" t="str">
        <x:v>09995.HK</x:v>
      </x:c>
      <x:c r="B6841" s="11" t="str">
        <x:v>一年</x:v>
      </x:c>
      <x:c r="C6841" s="11" t="str">
        <x:v>centralCost</x:v>
      </x:c>
      <x:c r="D6841" s="11" t="str">
        <x:v>2029-12-31</x:v>
      </x:c>
      <x:c r="E6841" s="11" t="str">
        <x:v>CNY</x:v>
      </x:c>
      <x:c r="F6841" s="11" t="n">
        <x:v>2.2286105407255303</x:v>
      </x:c>
      <x:c r="G6841" s="26" t="b">
        <x:v>1</x:v>
      </x:c>
      <x:c r="H6841" s="16" t="n">
        <x:v>0</x:v>
      </x:c>
      <x:c r="I6841" s="16" t="n">
        <x:v>0</x:v>
      </x:c>
      <x:c r="J6841" s="16" t="n">
        <x:v>0</x:v>
      </x:c>
      <x:c r="K6841" s="11" t="n">
        <x:f>CHOOSE('假设'!$B$3,H6841,I6841,J6841)</x:f>
        <x:v>0</x:v>
      </x:c>
      <x:c r="L6841" s="11" t="n">
        <x:f>K6841*'管线假设'!E1463*'管线假设'!F1463*'管线假设'!G1463*IF(E6841="USD",'管线假设'!I1463,1)-AM6841</x:f>
        <x:v>-0.17483632000000002</x:v>
      </x:c>
      <x:c r="M6841" s="11" t="n">
        <x:f>'管线假设'!H1463</x:f>
        <x:v>0.14</x:v>
      </x:c>
      <x:c r="N6841" s="11" t="n">
        <x:f>IF(G6841,L6841*AN6841/(1+M6841)^F6841,0)</x:f>
        <x:v>-0.13056083088789397</x:v>
      </x:c>
      <x:c r="AJ6841" s="42" t="n">
        <x:v>0.14205451</x:v>
      </x:c>
      <x:c r="AK6841" s="42" t="n">
        <x:v>0.17483632000000002</x:v>
      </x:c>
      <x:c r="AL6841" s="42" t="n">
        <x:v>0.22497280000000003</x:v>
      </x:c>
      <x:c r="AM6841" t="n">
        <x:f>CHOOSE('假设'!$B$3,AJ6841,AK6841,AL6841)</x:f>
        <x:v>0.17483632000000002</x:v>
      </x:c>
      <x:c r="AN6841" t="n">
        <x:v>1</x:v>
      </x:c>
    </x:row>
    <x:row r="6842" ht="23" customHeight="1">
      <x:c r="A6842" s="11" t="str">
        <x:v>09995.HK</x:v>
      </x:c>
      <x:c r="B6842" s="11" t="str">
        <x:v>一年</x:v>
      </x:c>
      <x:c r="C6842" s="11" t="str">
        <x:v>centralCost</x:v>
      </x:c>
      <x:c r="D6842" s="11" t="str">
        <x:v>2030-12-31</x:v>
      </x:c>
      <x:c r="E6842" s="11" t="str">
        <x:v>CNY</x:v>
      </x:c>
      <x:c r="F6842" s="11" t="n">
        <x:v>3.2279260780287475</x:v>
      </x:c>
      <x:c r="G6842" s="26" t="b">
        <x:v>1</x:v>
      </x:c>
      <x:c r="H6842" s="16" t="n">
        <x:v>0</x:v>
      </x:c>
      <x:c r="I6842" s="16" t="n">
        <x:v>0</x:v>
      </x:c>
      <x:c r="J6842" s="16" t="n">
        <x:v>0</x:v>
      </x:c>
      <x:c r="K6842" s="11" t="n">
        <x:f>CHOOSE('假设'!$B$3,H6842,I6842,J6842)</x:f>
        <x:v>0</x:v>
      </x:c>
      <x:c r="L6842" s="11" t="n">
        <x:f>K6842*'管线假设'!E1463*'管线假设'!F1463*'管线假设'!G1463*IF(E6842="USD",'管线假设'!I1463,1)-AM6842</x:f>
        <x:v>-0.18008140960000002</x:v>
      </x:c>
      <x:c r="M6842" s="11" t="n">
        <x:f>'管线假设'!H1463</x:f>
        <x:v>0.14</x:v>
      </x:c>
      <x:c r="N6842" s="11" t="n">
        <x:f>IF(G6842,L6842*AN6842/(1+M6842)^F6842,0)</x:f>
        <x:v>-0.11797343582787526</x:v>
      </x:c>
      <x:c r="AJ6842" s="42" t="n">
        <x:v>0.14631614530000003</x:v>
      </x:c>
      <x:c r="AK6842" s="42" t="n">
        <x:v>0.18008140960000002</x:v>
      </x:c>
      <x:c r="AL6842" s="42" t="n">
        <x:v>0.23397171200000005</x:v>
      </x:c>
      <x:c r="AM6842" t="n">
        <x:f>CHOOSE('假设'!$B$3,AJ6842,AK6842,AL6842)</x:f>
        <x:v>0.18008140960000002</x:v>
      </x:c>
      <x:c r="AN6842" t="n">
        <x:v>1</x:v>
      </x:c>
    </x:row>
    <x:row r="6843" ht="23" customHeight="1">
      <x:c r="A6843" s="11" t="str">
        <x:v>09995.HK</x:v>
      </x:c>
      <x:c r="B6843" s="11" t="str">
        <x:v>一年</x:v>
      </x:c>
      <x:c r="C6843" s="11" t="str">
        <x:v>centralCost</x:v>
      </x:c>
      <x:c r="D6843" s="11" t="str">
        <x:v>2031-12-31</x:v>
      </x:c>
      <x:c r="E6843" s="11" t="str">
        <x:v>CNY</x:v>
      </x:c>
      <x:c r="F6843" s="11" t="n">
        <x:v>4.227241615331964</x:v>
      </x:c>
      <x:c r="G6843" s="26" t="b">
        <x:v>1</x:v>
      </x:c>
      <x:c r="H6843" s="16" t="n">
        <x:v>0</x:v>
      </x:c>
      <x:c r="I6843" s="16" t="n">
        <x:v>0</x:v>
      </x:c>
      <x:c r="J6843" s="16" t="n">
        <x:v>0</x:v>
      </x:c>
      <x:c r="K6843" s="11" t="n">
        <x:f>CHOOSE('假设'!$B$3,H6843,I6843,J6843)</x:f>
        <x:v>0</x:v>
      </x:c>
      <x:c r="L6843" s="11" t="n">
        <x:f>K6843*'管线假设'!E1463*'管线假设'!F1463*'管线假设'!G1463*IF(E6843="USD",'管线假设'!I1463,1)-AM6843</x:f>
        <x:v>-0.185483851888</x:v>
      </x:c>
      <x:c r="M6843" s="11" t="n">
        <x:f>'管线假设'!H1463</x:f>
        <x:v>0.14</x:v>
      </x:c>
      <x:c r="N6843" s="11" t="n">
        <x:f>IF(G6843,L6843*AN6843/(1+M6843)^F6843,0)</x:f>
        <x:v>-0.10659959396998828</x:v>
      </x:c>
      <x:c r="AJ6843" s="42" t="n">
        <x:v>0.150705629659</x:v>
      </x:c>
      <x:c r="AK6843" s="42" t="n">
        <x:v>0.185483851888</x:v>
      </x:c>
      <x:c r="AL6843" s="42" t="n">
        <x:v>0.24333058048000003</x:v>
      </x:c>
      <x:c r="AM6843" t="n">
        <x:f>CHOOSE('假设'!$B$3,AJ6843,AK6843,AL6843)</x:f>
        <x:v>0.185483851888</x:v>
      </x:c>
      <x:c r="AN6843" t="n">
        <x:v>1</x:v>
      </x:c>
    </x:row>
    <x:row r="6844" ht="23" customHeight="1">
      <x:c r="A6844" s="11" t="str">
        <x:v>09995.HK</x:v>
      </x:c>
      <x:c r="B6844" s="11" t="str">
        <x:v>一年</x:v>
      </x:c>
      <x:c r="C6844" s="11" t="str">
        <x:v>centralCost</x:v>
      </x:c>
      <x:c r="D6844" s="11" t="str">
        <x:v>2032-12-31</x:v>
      </x:c>
      <x:c r="E6844" s="11" t="str">
        <x:v>CNY</x:v>
      </x:c>
      <x:c r="F6844" s="11" t="n">
        <x:v>5.229295003422314</x:v>
      </x:c>
      <x:c r="G6844" s="26" t="b">
        <x:v>1</x:v>
      </x:c>
      <x:c r="H6844" s="16" t="n">
        <x:v>0</x:v>
      </x:c>
      <x:c r="I6844" s="16" t="n">
        <x:v>0</x:v>
      </x:c>
      <x:c r="J6844" s="16" t="n">
        <x:v>0</x:v>
      </x:c>
      <x:c r="K6844" s="11" t="n">
        <x:f>CHOOSE('假设'!$B$3,H6844,I6844,J6844)</x:f>
        <x:v>0</x:v>
      </x:c>
      <x:c r="L6844" s="11" t="n">
        <x:f>K6844*'管线假设'!E1463*'管线假设'!F1463*'管线假设'!G1463*IF(E6844="USD",'管线假设'!I1463,1)-AM6844</x:f>
        <x:v>-0.19104836744464002</x:v>
      </x:c>
      <x:c r="M6844" s="11" t="n">
        <x:f>'管线假设'!H1463</x:f>
        <x:v>0.14</x:v>
      </x:c>
      <x:c r="N6844" s="11" t="n">
        <x:f>IF(G6844,L6844*AN6844/(1+M6844)^F6844,0)</x:f>
        <x:v>-0.09628775834886526</x:v>
      </x:c>
      <x:c r="AJ6844" s="42" t="n">
        <x:v>0.15522679854877003</x:v>
      </x:c>
      <x:c r="AK6844" s="42" t="n">
        <x:v>0.19104836744464002</x:v>
      </x:c>
      <x:c r="AL6844" s="42" t="n">
        <x:v>0.25306380369920006</x:v>
      </x:c>
      <x:c r="AM6844" t="n">
        <x:f>CHOOSE('假设'!$B$3,AJ6844,AK6844,AL6844)</x:f>
        <x:v>0.19104836744464002</x:v>
      </x:c>
      <x:c r="AN6844" t="n">
        <x:v>1</x:v>
      </x:c>
    </x:row>
    <x:row r="6845" ht="23" customHeight="1">
      <x:c r="A6845" s="11" t="str">
        <x:v>09995.HK</x:v>
      </x:c>
      <x:c r="B6845" s="11" t="str">
        <x:v>一年</x:v>
      </x:c>
      <x:c r="C6845" s="11" t="str">
        <x:v>centralCost</x:v>
      </x:c>
      <x:c r="D6845" s="11" t="str">
        <x:v>2033-12-31</x:v>
      </x:c>
      <x:c r="E6845" s="11" t="str">
        <x:v>CNY</x:v>
      </x:c>
      <x:c r="F6845" s="11" t="n">
        <x:v>6.228610540725531</x:v>
      </x:c>
      <x:c r="G6845" s="26" t="b">
        <x:v>1</x:v>
      </x:c>
      <x:c r="H6845" s="16" t="n">
        <x:v>0</x:v>
      </x:c>
      <x:c r="I6845" s="16" t="n">
        <x:v>0</x:v>
      </x:c>
      <x:c r="J6845" s="16" t="n">
        <x:v>0</x:v>
      </x:c>
      <x:c r="K6845" s="11" t="n">
        <x:f>CHOOSE('假设'!$B$3,H6845,I6845,J6845)</x:f>
        <x:v>0</x:v>
      </x:c>
      <x:c r="L6845" s="11" t="n">
        <x:f>K6845*'管线假设'!E1463*'管线假设'!F1463*'管线假设'!G1463*IF(E6845="USD",'管线假设'!I1463,1)-AM6845</x:f>
        <x:v>-0.19677981846797923</x:v>
      </x:c>
      <x:c r="M6845" s="11" t="n">
        <x:f>'管线假设'!H1463</x:f>
        <x:v>0.14</x:v>
      </x:c>
      <x:c r="N6845" s="11" t="n">
        <x:f>IF(G6845,L6845*AN6845/(1+M6845)^F6845,0)</x:f>
        <x:v>-0.08700463686795591</x:v>
      </x:c>
      <x:c r="AJ6845" s="42" t="n">
        <x:v>0.15988360250523312</x:v>
      </x:c>
      <x:c r="AK6845" s="42" t="n">
        <x:v>0.19677981846797923</x:v>
      </x:c>
      <x:c r="AL6845" s="42" t="n">
        <x:v>0.26318635584716804</x:v>
      </x:c>
      <x:c r="AM6845" t="n">
        <x:f>CHOOSE('假设'!$B$3,AJ6845,AK6845,AL6845)</x:f>
        <x:v>0.19677981846797923</x:v>
      </x:c>
      <x:c r="AN6845" t="n">
        <x:v>1</x:v>
      </x:c>
    </x:row>
    <x:row r="6846" ht="23" customHeight="1">
      <x:c r="A6846" s="11" t="str">
        <x:v>09995.HK</x:v>
      </x:c>
      <x:c r="B6846" s="11" t="str">
        <x:v>一年</x:v>
      </x:c>
      <x:c r="C6846" s="11" t="str">
        <x:v>centralCost</x:v>
      </x:c>
      <x:c r="D6846" s="11" t="str">
        <x:v>2034-12-31</x:v>
      </x:c>
      <x:c r="E6846" s="11" t="str">
        <x:v>CNY</x:v>
      </x:c>
      <x:c r="F6846" s="11" t="n">
        <x:v>7.227926078028747</x:v>
      </x:c>
      <x:c r="G6846" s="26" t="b">
        <x:v>1</x:v>
      </x:c>
      <x:c r="H6846" s="16" t="n">
        <x:v>0</x:v>
      </x:c>
      <x:c r="I6846" s="16" t="n">
        <x:v>0</x:v>
      </x:c>
      <x:c r="J6846" s="16" t="n">
        <x:v>0</x:v>
      </x:c>
      <x:c r="K6846" s="11" t="n">
        <x:f>CHOOSE('假设'!$B$3,H6846,I6846,J6846)</x:f>
        <x:v>0</x:v>
      </x:c>
      <x:c r="L6846" s="11" t="n">
        <x:f>K6846*'管线假设'!E1463*'管线假设'!F1463*'管线假设'!G1463*IF(E6846="USD",'管线假设'!I1463,1)-AM6846</x:f>
        <x:v>-0.20268321302201864</x:v>
      </x:c>
      <x:c r="M6846" s="11" t="n">
        <x:f>'管线假设'!H1463</x:f>
        <x:v>0.14</x:v>
      </x:c>
      <x:c r="N6846" s="11" t="n">
        <x:f>IF(G6846,L6846*AN6846/(1+M6846)^F6846,0)</x:f>
        <x:v>-0.0786165029317466</x:v>
      </x:c>
      <x:c r="AJ6846" s="42" t="n">
        <x:v>0.16468011058039014</x:v>
      </x:c>
      <x:c r="AK6846" s="42" t="n">
        <x:v>0.20268321302201864</x:v>
      </x:c>
      <x:c r="AL6846" s="42" t="n">
        <x:v>0.2737138100810548</x:v>
      </x:c>
      <x:c r="AM6846" t="n">
        <x:f>CHOOSE('假设'!$B$3,AJ6846,AK6846,AL6846)</x:f>
        <x:v>0.20268321302201864</x:v>
      </x:c>
      <x:c r="AN6846" t="n">
        <x:v>1</x:v>
      </x:c>
    </x:row>
    <x:row r="6847" ht="23" customHeight="1">
      <x:c r="A6847" s="11" t="str">
        <x:v>09995.HK</x:v>
      </x:c>
      <x:c r="B6847" s="11" t="str">
        <x:v>一年</x:v>
      </x:c>
      <x:c r="C6847" s="11" t="str">
        <x:v>centralCost</x:v>
      </x:c>
      <x:c r="D6847" s="11" t="str">
        <x:v>2035-12-31</x:v>
      </x:c>
      <x:c r="E6847" s="11" t="str">
        <x:v>CNY</x:v>
      </x:c>
      <x:c r="F6847" s="11" t="n">
        <x:v>8.227241615331964</x:v>
      </x:c>
      <x:c r="G6847" s="26" t="b">
        <x:v>1</x:v>
      </x:c>
      <x:c r="H6847" s="16" t="n">
        <x:v>0</x:v>
      </x:c>
      <x:c r="I6847" s="16" t="n">
        <x:v>0</x:v>
      </x:c>
      <x:c r="J6847" s="16" t="n">
        <x:v>0</x:v>
      </x:c>
      <x:c r="K6847" s="11" t="n">
        <x:f>CHOOSE('假设'!$B$3,H6847,I6847,J6847)</x:f>
        <x:v>0</x:v>
      </x:c>
      <x:c r="L6847" s="11" t="n">
        <x:f>K6847*'管线假设'!E1463*'管线假设'!F1463*'管线假设'!G1463*IF(E6847="USD",'管线假设'!I1463,1)-AM6847</x:f>
        <x:v>-0.2087637094126792</x:v>
      </x:c>
      <x:c r="M6847" s="11" t="n">
        <x:f>'管线假设'!H1463</x:f>
        <x:v>0.14</x:v>
      </x:c>
      <x:c r="N6847" s="11" t="n">
        <x:f>IF(G6847,L6847*AN6847/(1+M6847)^F6847,0)</x:f>
        <x:v>-0.07103707061725166</x:v>
      </x:c>
      <x:c r="AJ6847" s="42" t="n">
        <x:v>0.16962051389780183</x:v>
      </x:c>
      <x:c r="AK6847" s="42" t="n">
        <x:v>0.2087637094126792</x:v>
      </x:c>
      <x:c r="AL6847" s="42" t="n">
        <x:v>0.284662362484297</x:v>
      </x:c>
      <x:c r="AM6847" t="n">
        <x:f>CHOOSE('假设'!$B$3,AJ6847,AK6847,AL6847)</x:f>
        <x:v>0.2087637094126792</x:v>
      </x:c>
      <x:c r="AN6847" t="n">
        <x:v>1</x:v>
      </x:c>
    </x:row>
    <x:row r="6848" ht="23" customHeight="1">
      <x:c r="A6848" s="11" t="str">
        <x:v>09995.HK</x:v>
      </x:c>
      <x:c r="B6848" s="11" t="str">
        <x:v>一年</x:v>
      </x:c>
      <x:c r="C6848" s="11" t="str">
        <x:v>centralCost</x:v>
      </x:c>
      <x:c r="D6848" s="11" t="str">
        <x:v>2036-12-31</x:v>
      </x:c>
      <x:c r="E6848" s="11" t="str">
        <x:v>CNY</x:v>
      </x:c>
      <x:c r="F6848" s="11" t="n">
        <x:v>9.229295003422314</x:v>
      </x:c>
      <x:c r="G6848" s="26" t="b">
        <x:v>1</x:v>
      </x:c>
      <x:c r="H6848" s="16" t="n">
        <x:v>0</x:v>
      </x:c>
      <x:c r="I6848" s="16" t="n">
        <x:v>0</x:v>
      </x:c>
      <x:c r="J6848" s="16" t="n">
        <x:v>0</x:v>
      </x:c>
      <x:c r="K6848" s="11" t="n">
        <x:f>CHOOSE('假设'!$B$3,H6848,I6848,J6848)</x:f>
        <x:v>0</x:v>
      </x:c>
      <x:c r="L6848" s="11" t="n">
        <x:f>K6848*'管线假设'!E1463*'管线假设'!F1463*'管线假设'!G1463*IF(E6848="USD",'管线假设'!I1463,1)-AM6848</x:f>
        <x:v>-0.21502662069505957</x:v>
      </x:c>
      <x:c r="M6848" s="11" t="n">
        <x:f>'管线假设'!H1463</x:f>
        <x:v>0.14</x:v>
      </x:c>
      <x:c r="N6848" s="11" t="n">
        <x:f>IF(G6848,L6848*AN6848/(1+M6848)^F6848,0)</x:f>
        <x:v>-0.06416535030453227</x:v>
      </x:c>
      <x:c r="AJ6848" s="42" t="n">
        <x:v>0.1747091293147359</x:v>
      </x:c>
      <x:c r="AK6848" s="42" t="n">
        <x:v>0.21502662069505957</x:v>
      </x:c>
      <x:c r="AL6848" s="42" t="n">
        <x:v>0.2960488569836689</x:v>
      </x:c>
      <x:c r="AM6848" t="n">
        <x:f>CHOOSE('假设'!$B$3,AJ6848,AK6848,AL6848)</x:f>
        <x:v>0.21502662069505957</x:v>
      </x:c>
      <x:c r="AN6848" t="n">
        <x:v>1</x:v>
      </x:c>
    </x:row>
    <x:row r="6849" ht="23" customHeight="1">
      <x:c r="A6849" s="11" t="str">
        <x:v>09995.HK</x:v>
      </x:c>
      <x:c r="B6849" s="11" t="str">
        <x:v>一年</x:v>
      </x:c>
      <x:c r="C6849" s="11" t="str">
        <x:v>centralCost</x:v>
      </x:c>
      <x:c r="D6849" s="11" t="str">
        <x:v>2037-12-31</x:v>
      </x:c>
      <x:c r="E6849" s="11" t="str">
        <x:v>CNY</x:v>
      </x:c>
      <x:c r="F6849" s="11" t="n">
        <x:v>10.22861054072553</x:v>
      </x:c>
      <x:c r="G6849" s="26" t="b">
        <x:v>1</x:v>
      </x:c>
      <x:c r="H6849" s="16" t="n">
        <x:v>0</x:v>
      </x:c>
      <x:c r="I6849" s="16" t="n">
        <x:v>0</x:v>
      </x:c>
      <x:c r="J6849" s="16" t="n">
        <x:v>0</x:v>
      </x:c>
      <x:c r="K6849" s="11" t="n">
        <x:f>CHOOSE('假设'!$B$3,H6849,I6849,J6849)</x:f>
        <x:v>0</x:v>
      </x:c>
      <x:c r="L6849" s="11" t="n">
        <x:f>K6849*'管线假设'!E1463*'管线假设'!F1463*'管线假设'!G1463*IF(E6849="USD",'管线假设'!I1463,1)-AM6849</x:f>
        <x:v>-0.22147741931591136</x:v>
      </x:c>
      <x:c r="M6849" s="11" t="n">
        <x:f>'管线假设'!H1463</x:f>
        <x:v>0.14</x:v>
      </x:c>
      <x:c r="N6849" s="11" t="n">
        <x:f>IF(G6849,L6849*AN6849/(1+M6849)^F6849,0)</x:f>
        <x:v>-0.05797915642115274</x:v>
      </x:c>
      <x:c r="AJ6849" s="42" t="n">
        <x:v>0.179950403194178</x:v>
      </x:c>
      <x:c r="AK6849" s="42" t="n">
        <x:v>0.22147741931591136</x:v>
      </x:c>
      <x:c r="AL6849" s="42" t="n">
        <x:v>0.30789081126301565</x:v>
      </x:c>
      <x:c r="AM6849" t="n">
        <x:f>CHOOSE('假设'!$B$3,AJ6849,AK6849,AL6849)</x:f>
        <x:v>0.22147741931591136</x:v>
      </x:c>
      <x:c r="AN6849" t="n">
        <x:v>1</x:v>
      </x:c>
    </x:row>
    <x:row r="6850" ht="23" customHeight="1">
      <x:c r="A6850" s="11" t="str">
        <x:v>09995.HK</x:v>
      </x:c>
      <x:c r="B6850" s="11" t="str">
        <x:v>一年</x:v>
      </x:c>
      <x:c r="C6850" s="11" t="str">
        <x:v>centralCost</x:v>
      </x:c>
      <x:c r="D6850" s="11" t="str">
        <x:v>2038-12-31</x:v>
      </x:c>
      <x:c r="E6850" s="11" t="str">
        <x:v>CNY</x:v>
      </x:c>
      <x:c r="F6850" s="11" t="n">
        <x:v>11.227926078028748</x:v>
      </x:c>
      <x:c r="G6850" s="26" t="b">
        <x:v>1</x:v>
      </x:c>
      <x:c r="H6850" s="16" t="n">
        <x:v>0</x:v>
      </x:c>
      <x:c r="I6850" s="16" t="n">
        <x:v>0</x:v>
      </x:c>
      <x:c r="J6850" s="16" t="n">
        <x:v>0</x:v>
      </x:c>
      <x:c r="K6850" s="11" t="n">
        <x:f>CHOOSE('假设'!$B$3,H6850,I6850,J6850)</x:f>
        <x:v>0</x:v>
      </x:c>
      <x:c r="L6850" s="11" t="n">
        <x:f>K6850*'管线假设'!E1463*'管线假设'!F1463*'管线假设'!G1463*IF(E6850="USD",'管线假设'!I1463,1)-AM6850</x:f>
        <x:v>-0.2281217418953887</x:v>
      </x:c>
      <x:c r="M6850" s="11" t="n">
        <x:f>'管线假设'!H1463</x:f>
        <x:v>0.14</x:v>
      </x:c>
      <x:c r="N6850" s="11" t="n">
        <x:f>IF(G6850,L6850*AN6850/(1+M6850)^F6850,0)</x:f>
        <x:v>-0.05238937469139093</x:v>
      </x:c>
      <x:c r="AJ6850" s="42" t="n">
        <x:v>0.1853489152900033</x:v>
      </x:c>
      <x:c r="AK6850" s="42" t="n">
        <x:v>0.2281217418953887</x:v>
      </x:c>
      <x:c r="AL6850" s="42" t="n">
        <x:v>0.32020644371353635</x:v>
      </x:c>
      <x:c r="AM6850" t="n">
        <x:f>CHOOSE('假设'!$B$3,AJ6850,AK6850,AL6850)</x:f>
        <x:v>0.2281217418953887</x:v>
      </x:c>
      <x:c r="AN6850" t="n">
        <x:v>1</x:v>
      </x:c>
    </x:row>
    <x:row r="6851" ht="23" customHeight="1">
      <x:c r="A6851" s="11" t="str">
        <x:v>09995.HK</x:v>
      </x:c>
      <x:c r="B6851" s="11" t="str">
        <x:v>一年</x:v>
      </x:c>
      <x:c r="C6851" s="11" t="str">
        <x:v>centralCost</x:v>
      </x:c>
      <x:c r="D6851" s="11" t="str">
        <x:v>2039-12-31</x:v>
      </x:c>
      <x:c r="E6851" s="11" t="str">
        <x:v>CNY</x:v>
      </x:c>
      <x:c r="F6851" s="11" t="n">
        <x:v>12.227241615331964</x:v>
      </x:c>
      <x:c r="G6851" s="26" t="b">
        <x:v>1</x:v>
      </x:c>
      <x:c r="H6851" s="16" t="n">
        <x:v>0</x:v>
      </x:c>
      <x:c r="I6851" s="16" t="n">
        <x:v>0</x:v>
      </x:c>
      <x:c r="J6851" s="16" t="n">
        <x:v>0</x:v>
      </x:c>
      <x:c r="K6851" s="11" t="n">
        <x:f>CHOOSE('假设'!$B$3,H6851,I6851,J6851)</x:f>
        <x:v>0</x:v>
      </x:c>
      <x:c r="L6851" s="11" t="n">
        <x:f>K6851*'管线假设'!E1463*'管线假设'!F1463*'管线假设'!G1463*IF(E6851="USD",'管线假设'!I1463,1)-AM6851</x:f>
        <x:v>-0.23496539415225037</x:v>
      </x:c>
      <x:c r="M6851" s="11" t="n">
        <x:f>'管线假设'!H1463</x:f>
        <x:v>0.14</x:v>
      </x:c>
      <x:c r="N6851" s="11" t="n">
        <x:f>IF(G6851,L6851*AN6851/(1+M6851)^F6851,0)</x:f>
        <x:v>-0.04733850490369699</x:v>
      </x:c>
      <x:c r="AJ6851" s="42" t="n">
        <x:v>0.19090938274870342</x:v>
      </x:c>
      <x:c r="AK6851" s="42" t="n">
        <x:v>0.23496539415225037</x:v>
      </x:c>
      <x:c r="AL6851" s="42" t="n">
        <x:v>0.3330147014620778</x:v>
      </x:c>
      <x:c r="AM6851" t="n">
        <x:f>CHOOSE('假设'!$B$3,AJ6851,AK6851,AL6851)</x:f>
        <x:v>0.23496539415225037</x:v>
      </x:c>
      <x:c r="AN6851" t="n">
        <x:v>1</x:v>
      </x:c>
    </x:row>
    <x:row r="6852" ht="23" customHeight="1">
      <x:c r="A6852" s="11" t="str">
        <x:v>09995.HK</x:v>
      </x:c>
      <x:c r="B6852" s="11" t="str">
        <x:v>一年</x:v>
      </x:c>
      <x:c r="C6852" s="11" t="str">
        <x:v>centralCost</x:v>
      </x:c>
      <x:c r="D6852" s="11" t="str">
        <x:v>2040-12-31</x:v>
      </x:c>
      <x:c r="E6852" s="11" t="str">
        <x:v>CNY</x:v>
      </x:c>
      <x:c r="F6852" s="11" t="n">
        <x:v>13.229295003422314</x:v>
      </x:c>
      <x:c r="G6852" s="26" t="b">
        <x:v>1</x:v>
      </x:c>
      <x:c r="H6852" s="16" t="n">
        <x:v>0</x:v>
      </x:c>
      <x:c r="I6852" s="16" t="n">
        <x:v>0</x:v>
      </x:c>
      <x:c r="J6852" s="16" t="n">
        <x:v>0</x:v>
      </x:c>
      <x:c r="K6852" s="11" t="n">
        <x:f>CHOOSE('假设'!$B$3,H6852,I6852,J6852)</x:f>
        <x:v>0</x:v>
      </x:c>
      <x:c r="L6852" s="11" t="n">
        <x:f>K6852*'管线假设'!E1463*'管线假设'!F1463*'管线假设'!G1463*IF(E6852="USD",'管线假设'!I1463,1)-AM6852</x:f>
        <x:v>-0.24201435597681792</x:v>
      </x:c>
      <x:c r="M6852" s="11" t="n">
        <x:f>'管线假设'!H1463</x:f>
        <x:v>0.14</x:v>
      </x:c>
      <x:c r="N6852" s="11" t="n">
        <x:f>IF(G6852,L6852*AN6852/(1+M6852)^F6852,0)</x:f>
        <x:v>-0.04275924842684699</x:v>
      </x:c>
      <x:c r="AJ6852" s="42" t="n">
        <x:v>0.19663666423116455</x:v>
      </x:c>
      <x:c r="AK6852" s="42" t="n">
        <x:v>0.24201435597681792</x:v>
      </x:c>
      <x:c r="AL6852" s="42" t="n">
        <x:v>0.3463352895205609</x:v>
      </x:c>
      <x:c r="AM6852" t="n">
        <x:f>CHOOSE('假设'!$B$3,AJ6852,AK6852,AL6852)</x:f>
        <x:v>0.24201435597681792</x:v>
      </x:c>
      <x:c r="AN6852" t="n">
        <x:v>1</x:v>
      </x:c>
    </x:row>
    <x:row r="6853" ht="23" customHeight="1">
      <x:c r="A6853" s="11" t="str">
        <x:v>09995.HK</x:v>
      </x:c>
      <x:c r="B6853" s="11" t="str">
        <x:v>一年</x:v>
      </x:c>
      <x:c r="C6853" s="11" t="str">
        <x:v>centralCost</x:v>
      </x:c>
      <x:c r="D6853" s="11" t="str">
        <x:v>2041-12-31</x:v>
      </x:c>
      <x:c r="E6853" s="11" t="str">
        <x:v>CNY</x:v>
      </x:c>
      <x:c r="F6853" s="11" t="n">
        <x:v>14.22861054072553</x:v>
      </x:c>
      <x:c r="G6853" s="26" t="b">
        <x:v>1</x:v>
      </x:c>
      <x:c r="H6853" s="16" t="n">
        <x:v>0</x:v>
      </x:c>
      <x:c r="I6853" s="16" t="n">
        <x:v>0</x:v>
      </x:c>
      <x:c r="J6853" s="16" t="n">
        <x:v>0</x:v>
      </x:c>
      <x:c r="K6853" s="11" t="n">
        <x:f>CHOOSE('假设'!$B$3,H6853,I6853,J6853)</x:f>
        <x:v>0</x:v>
      </x:c>
      <x:c r="L6853" s="11" t="n">
        <x:f>K6853*'管线假设'!E1463*'管线假设'!F1463*'管线假设'!G1463*IF(E6853="USD",'管线假设'!I1463,1)-AM6853</x:f>
        <x:v>-0.24927478665612243</x:v>
      </x:c>
      <x:c r="M6853" s="11" t="n">
        <x:f>'管线假设'!H1463</x:f>
        <x:v>0.14</x:v>
      </x:c>
      <x:c r="N6853" s="11" t="n">
        <x:f>IF(G6853,L6853*AN6853/(1+M6853)^F6853,0)</x:f>
        <x:v>-0.03863682098242949</x:v>
      </x:c>
      <x:c r="AJ6853" s="42" t="n">
        <x:v>0.20253576415809946</x:v>
      </x:c>
      <x:c r="AK6853" s="42" t="n">
        <x:v>0.24927478665612243</x:v>
      </x:c>
      <x:c r="AL6853" s="42" t="n">
        <x:v>0.36018870110138335</x:v>
      </x:c>
      <x:c r="AM6853" t="n">
        <x:f>CHOOSE('假设'!$B$3,AJ6853,AK6853,AL6853)</x:f>
        <x:v>0.24927478665612243</x:v>
      </x:c>
      <x:c r="AN6853" t="n">
        <x:v>1</x:v>
      </x:c>
    </x:row>
    <x:row r="6854" ht="23" customHeight="1">
      <x:c r="A6854" s="11" t="str">
        <x:v>09995.HK</x:v>
      </x:c>
      <x:c r="B6854" s="11" t="str">
        <x:v>一年</x:v>
      </x:c>
      <x:c r="C6854" s="11" t="str">
        <x:v>centralCost</x:v>
      </x:c>
      <x:c r="D6854" s="11" t="str">
        <x:v>2042-12-31</x:v>
      </x:c>
      <x:c r="E6854" s="11" t="str">
        <x:v>CNY</x:v>
      </x:c>
      <x:c r="F6854" s="11" t="n">
        <x:v>15.227926078028748</x:v>
      </x:c>
      <x:c r="G6854" s="26" t="b">
        <x:v>1</x:v>
      </x:c>
      <x:c r="H6854" s="16" t="n">
        <x:v>0</x:v>
      </x:c>
      <x:c r="I6854" s="16" t="n">
        <x:v>0</x:v>
      </x:c>
      <x:c r="J6854" s="16" t="n">
        <x:v>0</x:v>
      </x:c>
      <x:c r="K6854" s="11" t="n">
        <x:f>CHOOSE('假设'!$B$3,H6854,I6854,J6854)</x:f>
        <x:v>0</x:v>
      </x:c>
      <x:c r="L6854" s="11" t="n">
        <x:f>K6854*'管线假设'!E1463*'管线假设'!F1463*'管线假设'!G1463*IF(E6854="USD",'管线假设'!I1463,1)-AM6854</x:f>
        <x:v>-0.2567530302558061</x:v>
      </x:c>
      <x:c r="M6854" s="11" t="n">
        <x:f>'管线假设'!H1463</x:f>
        <x:v>0.14</x:v>
      </x:c>
      <x:c r="N6854" s="11" t="n">
        <x:f>IF(G6854,L6854*AN6854/(1+M6854)^F6854,0)</x:f>
        <x:v>-0.03491183756847853</x:v>
      </x:c>
      <x:c r="AJ6854" s="42" t="n">
        <x:v>0.20861183708284248</x:v>
      </x:c>
      <x:c r="AK6854" s="42" t="n">
        <x:v>0.2567530302558061</x:v>
      </x:c>
      <x:c r="AL6854" s="42" t="n">
        <x:v>0.37459624914543865</x:v>
      </x:c>
      <x:c r="AM6854" t="n">
        <x:f>CHOOSE('假设'!$B$3,AJ6854,AK6854,AL6854)</x:f>
        <x:v>0.2567530302558061</x:v>
      </x:c>
      <x:c r="AN6854" t="n">
        <x:v>1</x:v>
      </x:c>
    </x:row>
    <x:row r="6855" ht="23" customHeight="1">
      <x:c r="A6855" s="11" t="str">
        <x:v>09995.HK</x:v>
      </x:c>
      <x:c r="B6855" s="11" t="str">
        <x:v>一年</x:v>
      </x:c>
      <x:c r="C6855" s="11" t="str">
        <x:v>centralCost</x:v>
      </x:c>
      <x:c r="D6855" s="11" t="str">
        <x:v>2043-12-31</x:v>
      </x:c>
      <x:c r="E6855" s="11" t="str">
        <x:v>CNY</x:v>
      </x:c>
      <x:c r="F6855" s="11" t="n">
        <x:v>16.227241615331966</x:v>
      </x:c>
      <x:c r="G6855" s="26" t="b">
        <x:v>1</x:v>
      </x:c>
      <x:c r="H6855" s="16" t="n">
        <x:v>0</x:v>
      </x:c>
      <x:c r="I6855" s="16" t="n">
        <x:v>0</x:v>
      </x:c>
      <x:c r="J6855" s="16" t="n">
        <x:v>0</x:v>
      </x:c>
      <x:c r="K6855" s="11" t="n">
        <x:f>CHOOSE('假设'!$B$3,H6855,I6855,J6855)</x:f>
        <x:v>0</x:v>
      </x:c>
      <x:c r="L6855" s="11" t="n">
        <x:f>K6855*'管线假设'!E1463*'管线假设'!F1463*'管线假设'!G1463*IF(E6855="USD",'管线假设'!I1463,1)-AM6855</x:f>
        <x:v>-0.2644556211634803</x:v>
      </x:c>
      <x:c r="M6855" s="11" t="n">
        <x:f>'管线假设'!H1463</x:f>
        <x:v>0.14</x:v>
      </x:c>
      <x:c r="N6855" s="11" t="n">
        <x:f>IF(G6855,L6855*AN6855/(1+M6855)^F6855,0)</x:f>
        <x:v>-0.03154598052883564</x:v>
      </x:c>
      <x:c r="AJ6855" s="42" t="n">
        <x:v>0.21487019219532774</x:v>
      </x:c>
      <x:c r="AK6855" s="42" t="n">
        <x:v>0.2644556211634803</x:v>
      </x:c>
      <x:c r="AL6855" s="42" t="n">
        <x:v>0.38958009911125624</x:v>
      </x:c>
      <x:c r="AM6855" t="n">
        <x:f>CHOOSE('假设'!$B$3,AJ6855,AK6855,AL6855)</x:f>
        <x:v>0.2644556211634803</x:v>
      </x:c>
      <x:c r="AN6855" t="n">
        <x:v>1</x:v>
      </x:c>
    </x:row>
    <x:row r="6856" ht="23" customHeight="1">
      <x:c r="A6856" s="11" t="str">
        <x:v>09995.HK</x:v>
      </x:c>
      <x:c r="B6856" s="11" t="str">
        <x:v>一年</x:v>
      </x:c>
      <x:c r="C6856" s="11" t="str">
        <x:v>centralCost</x:v>
      </x:c>
      <x:c r="D6856" s="11" t="str">
        <x:v>2044-12-31</x:v>
      </x:c>
      <x:c r="E6856" s="11" t="str">
        <x:v>CNY</x:v>
      </x:c>
      <x:c r="F6856" s="11" t="n">
        <x:v>17.229295003422312</x:v>
      </x:c>
      <x:c r="G6856" s="26" t="b">
        <x:v>1</x:v>
      </x:c>
      <x:c r="H6856" s="16" t="n">
        <x:v>0</x:v>
      </x:c>
      <x:c r="I6856" s="16" t="n">
        <x:v>0</x:v>
      </x:c>
      <x:c r="J6856" s="16" t="n">
        <x:v>0</x:v>
      </x:c>
      <x:c r="K6856" s="11" t="n">
        <x:f>CHOOSE('假设'!$B$3,H6856,I6856,J6856)</x:f>
        <x:v>0</x:v>
      </x:c>
      <x:c r="L6856" s="11" t="n">
        <x:f>K6856*'管线假设'!E1463*'管线假设'!F1463*'管线假设'!G1463*IF(E6856="USD",'管线假设'!I1463,1)-AM6856</x:f>
        <x:v>-0.2723892897983847</x:v>
      </x:c>
      <x:c r="M6856" s="11" t="n">
        <x:f>'管线假设'!H1463</x:f>
        <x:v>0.14</x:v>
      </x:c>
      <x:c r="N6856" s="11" t="n">
        <x:f>IF(G6856,L6856*AN6856/(1+M6856)^F6856,0)</x:f>
        <x:v>-0.028494402623087875</x:v>
      </x:c>
      <x:c r="AJ6856" s="42" t="n">
        <x:v>0.2213162979611876</x:v>
      </x:c>
      <x:c r="AK6856" s="42" t="n">
        <x:v>0.2723892897983847</x:v>
      </x:c>
      <x:c r="AL6856" s="42" t="n">
        <x:v>0.4051633030757065</x:v>
      </x:c>
      <x:c r="AM6856" t="n">
        <x:f>CHOOSE('假设'!$B$3,AJ6856,AK6856,AL6856)</x:f>
        <x:v>0.2723892897983847</x:v>
      </x:c>
      <x:c r="AN6856" t="n">
        <x:v>1</x:v>
      </x:c>
    </x:row>
    <x:row r="6857" ht="23" customHeight="1">
      <x:c r="A6857" s="11" t="str">
        <x:v>09995.HK</x:v>
      </x:c>
      <x:c r="B6857" s="11" t="str">
        <x:v>三年</x:v>
      </x:c>
      <x:c r="C6857" s="11" t="str">
        <x:v>RC18_approved_China</x:v>
      </x:c>
      <x:c r="D6857" s="11" t="str">
        <x:v>2026-12-31</x:v>
      </x:c>
      <x:c r="E6857" s="11" t="str">
        <x:v>CNY</x:v>
      </x:c>
      <x:c r="F6857" s="11" t="n">
        <x:v>-2.7734428473648185</x:v>
      </x:c>
      <x:c r="G6857" s="26" t="b">
        <x:v>0</x:v>
      </x:c>
      <x:c r="H6857" s="16" t="n">
        <x:v>1.65</x:v>
      </x:c>
      <x:c r="I6857" s="16" t="n">
        <x:v>2</x:v>
      </x:c>
      <x:c r="J6857" s="16" t="n">
        <x:v>2.3</x:v>
      </x:c>
      <x:c r="K6857" s="11" t="n">
        <x:f>CHOOSE('假设'!$B$3,H6857,I6857,J6857)</x:f>
        <x:v>2</x:v>
      </x:c>
      <x:c r="L6857" s="11" t="n">
        <x:f>K6857*'管线假设'!E1467*'管线假设'!F1467*'管线假设'!G1467*IF(E6857="USD",'管线假设'!I1467,1)-AM6857</x:f>
        <x:v>0.6941999999999999</x:v>
      </x:c>
      <x:c r="M6857" s="11" t="n">
        <x:f>'管线假设'!H1467</x:f>
        <x:v>0.14</x:v>
      </x:c>
      <x:c r="N6857" s="11" t="n">
        <x:f>IF(G6857,L6857*AN6857/(1+M6857)^F6857,0)</x:f>
        <x:v>0</x:v>
      </x:c>
      <x:c r="AJ6857" s="42" t="n">
        <x:v>0.08</x:v>
      </x:c>
      <x:c r="AK6857" s="42" t="n">
        <x:v>0.14</x:v>
      </x:c>
      <x:c r="AL6857" s="42" t="n">
        <x:v>0.2</x:v>
      </x:c>
      <x:c r="AM6857" t="n">
        <x:f>CHOOSE('假设'!$B$3,AJ6857,AK6857,AL6857)</x:f>
        <x:v>0.14</x:v>
      </x:c>
      <x:c r="AN6857" t="n">
        <x:v>0</x:v>
      </x:c>
    </x:row>
    <x:row r="6858" ht="23" customHeight="1">
      <x:c r="A6858" s="11" t="str">
        <x:v>09995.HK</x:v>
      </x:c>
      <x:c r="B6858" s="11" t="str">
        <x:v>三年</x:v>
      </x:c>
      <x:c r="C6858" s="11" t="str">
        <x:v>RC18_approved_China</x:v>
      </x:c>
      <x:c r="D6858" s="11" t="str">
        <x:v>2027-12-31</x:v>
      </x:c>
      <x:c r="E6858" s="11" t="str">
        <x:v>CNY</x:v>
      </x:c>
      <x:c r="F6858" s="11" t="n">
        <x:v>-1.7741273100616017</x:v>
      </x:c>
      <x:c r="G6858" s="26" t="b">
        <x:v>0</x:v>
      </x:c>
      <x:c r="H6858" s="16" t="n">
        <x:v>1.8</x:v>
      </x:c>
      <x:c r="I6858" s="16" t="n">
        <x:v>2.7</x:v>
      </x:c>
      <x:c r="J6858" s="16" t="n">
        <x:v>3.5</x:v>
      </x:c>
      <x:c r="K6858" s="11" t="n">
        <x:f>CHOOSE('假设'!$B$3,H6858,I6858,J6858)</x:f>
        <x:v>2.7</x:v>
      </x:c>
      <x:c r="L6858" s="11" t="n">
        <x:f>K6858*'管线假设'!E1467*'管线假设'!F1467*'管线假设'!G1467*IF(E6858="USD",'管线假设'!I1467,1)-AM6858</x:f>
        <x:v>1.00617</x:v>
      </x:c>
      <x:c r="M6858" s="11" t="n">
        <x:f>'管线假设'!H1467</x:f>
        <x:v>0.14</x:v>
      </x:c>
      <x:c r="N6858" s="11" t="n">
        <x:f>IF(G6858,L6858*AN6858/(1+M6858)^F6858,0)</x:f>
        <x:v>0</x:v>
      </x:c>
      <x:c r="AJ6858" s="42" t="n">
        <x:v>0.08</x:v>
      </x:c>
      <x:c r="AK6858" s="42" t="n">
        <x:v>0.12</x:v>
      </x:c>
      <x:c r="AL6858" s="42" t="n">
        <x:v>0.18</x:v>
      </x:c>
      <x:c r="AM6858" t="n">
        <x:f>CHOOSE('假设'!$B$3,AJ6858,AK6858,AL6858)</x:f>
        <x:v>0.12</x:v>
      </x:c>
      <x:c r="AN6858" t="n">
        <x:v>0</x:v>
      </x:c>
    </x:row>
    <x:row r="6859" ht="23" customHeight="1">
      <x:c r="A6859" s="11" t="str">
        <x:v>09995.HK</x:v>
      </x:c>
      <x:c r="B6859" s="11" t="str">
        <x:v>三年</x:v>
      </x:c>
      <x:c r="C6859" s="11" t="str">
        <x:v>RC18_approved_China</x:v>
      </x:c>
      <x:c r="D6859" s="11" t="str">
        <x:v>2028-12-31</x:v>
      </x:c>
      <x:c r="E6859" s="11" t="str">
        <x:v>CNY</x:v>
      </x:c>
      <x:c r="F6859" s="11" t="n">
        <x:v>-0.7720739219712526</x:v>
      </x:c>
      <x:c r="G6859" s="26" t="b">
        <x:v>0</x:v>
      </x:c>
      <x:c r="H6859" s="16" t="n">
        <x:v>1.95</x:v>
      </x:c>
      <x:c r="I6859" s="16" t="n">
        <x:v>3.5</x:v>
      </x:c>
      <x:c r="J6859" s="16" t="n">
        <x:v>5</x:v>
      </x:c>
      <x:c r="K6859" s="11" t="n">
        <x:f>CHOOSE('假设'!$B$3,H6859,I6859,J6859)</x:f>
        <x:v>3.5</x:v>
      </x:c>
      <x:c r="L6859" s="11" t="n">
        <x:f>K6859*'管线假设'!E1467*'管线假设'!F1467*'管线假设'!G1467*IF(E6859="USD",'管线假设'!I1467,1)-AM6859</x:f>
        <x:v>1.37985</x:v>
      </x:c>
      <x:c r="M6859" s="11" t="n">
        <x:f>'管线假设'!H1467</x:f>
        <x:v>0.14</x:v>
      </x:c>
      <x:c r="N6859" s="11" t="n">
        <x:f>IF(G6859,L6859*AN6859/(1+M6859)^F6859,0)</x:f>
        <x:v>0</x:v>
      </x:c>
      <x:c r="AJ6859" s="42" t="n">
        <x:v>0.05</x:v>
      </x:c>
      <x:c r="AK6859" s="42" t="n">
        <x:v>0.08</x:v>
      </x:c>
      <x:c r="AL6859" s="42" t="n">
        <x:v>0.13</x:v>
      </x:c>
      <x:c r="AM6859" t="n">
        <x:f>CHOOSE('假设'!$B$3,AJ6859,AK6859,AL6859)</x:f>
        <x:v>0.08</x:v>
      </x:c>
      <x:c r="AN6859" t="n">
        <x:v>0</x:v>
      </x:c>
    </x:row>
    <x:row r="6860" ht="23" customHeight="1">
      <x:c r="A6860" s="11" t="str">
        <x:v>09995.HK</x:v>
      </x:c>
      <x:c r="B6860" s="11" t="str">
        <x:v>三年</x:v>
      </x:c>
      <x:c r="C6860" s="11" t="str">
        <x:v>RC18_approved_China</x:v>
      </x:c>
      <x:c r="D6860" s="11" t="str">
        <x:v>2029-12-31</x:v>
      </x:c>
      <x:c r="E6860" s="11" t="str">
        <x:v>CNY</x:v>
      </x:c>
      <x:c r="F6860" s="11" t="n">
        <x:v>0.2272416153319644</x:v>
      </x:c>
      <x:c r="G6860" s="26" t="b">
        <x:v>1</x:v>
      </x:c>
      <x:c r="H6860" s="16" t="n">
        <x:v>2.1</x:v>
      </x:c>
      <x:c r="I6860" s="16" t="n">
        <x:v>4.4</x:v>
      </x:c>
      <x:c r="J6860" s="16" t="n">
        <x:v>6.7</x:v>
      </x:c>
      <x:c r="K6860" s="11" t="n">
        <x:f>CHOOSE('假设'!$B$3,H6860,I6860,J6860)</x:f>
        <x:v>4.4</x:v>
      </x:c>
      <x:c r="L6860" s="11" t="n">
        <x:f>K6860*'管线假设'!E1467*'管线假设'!F1467*'管线假设'!G1467*IF(E6860="USD",'管线假设'!I1467,1)-AM6860</x:f>
        <x:v>1.77524</x:v>
      </x:c>
      <x:c r="M6860" s="11" t="n">
        <x:f>'管线假设'!H1467</x:f>
        <x:v>0.14</x:v>
      </x:c>
      <x:c r="N6860" s="11" t="n">
        <x:f>IF(G6860,L6860*AN6860/(1+M6860)^F6860,0)</x:f>
        <x:v>0.3929186410440196</x:v>
      </x:c>
      <x:c r="AJ6860" s="42" t="n">
        <x:v>0</x:v>
      </x:c>
      <x:c r="AK6860" s="42" t="n">
        <x:v>0.06</x:v>
      </x:c>
      <x:c r="AL6860" s="42" t="n">
        <x:v>0.1</x:v>
      </x:c>
      <x:c r="AM6860" t="n">
        <x:f>CHOOSE('假设'!$B$3,AJ6860,AK6860,AL6860)</x:f>
        <x:v>0.06</x:v>
      </x:c>
      <x:c r="AN6860" t="n">
        <x:v>0.22802197802197802</x:v>
      </x:c>
    </x:row>
    <x:row r="6861" ht="23" customHeight="1">
      <x:c r="A6861" s="11" t="str">
        <x:v>09995.HK</x:v>
      </x:c>
      <x:c r="B6861" s="11" t="str">
        <x:v>三年</x:v>
      </x:c>
      <x:c r="C6861" s="11" t="str">
        <x:v>RC18_approved_China</x:v>
      </x:c>
      <x:c r="D6861" s="11" t="str">
        <x:v>2030-12-31</x:v>
      </x:c>
      <x:c r="E6861" s="11" t="str">
        <x:v>CNY</x:v>
      </x:c>
      <x:c r="F6861" s="11" t="n">
        <x:v>1.2265571526351813</x:v>
      </x:c>
      <x:c r="G6861" s="26" t="b">
        <x:v>1</x:v>
      </x:c>
      <x:c r="H6861" s="16" t="n">
        <x:v>2.2</x:v>
      </x:c>
      <x:c r="I6861" s="16" t="n">
        <x:v>5.3</x:v>
      </x:c>
      <x:c r="J6861" s="16" t="n">
        <x:v>8.5</x:v>
      </x:c>
      <x:c r="K6861" s="11" t="n">
        <x:f>CHOOSE('假设'!$B$3,H6861,I6861,J6861)</x:f>
        <x:v>5.3</x:v>
      </x:c>
      <x:c r="L6861" s="11" t="n">
        <x:f>K6861*'管线假设'!E1467*'管线假设'!F1467*'管线假设'!G1467*IF(E6861="USD",'管线假设'!I1467,1)-AM6861</x:f>
        <x:v>2.21063</x:v>
      </x:c>
      <x:c r="M6861" s="11" t="n">
        <x:f>'管线假设'!H1467</x:f>
        <x:v>0.14</x:v>
      </x:c>
      <x:c r="N6861" s="11" t="n">
        <x:f>IF(G6861,L6861*AN6861/(1+M6861)^F6861,0)</x:f>
        <x:v>1.882430743411869</x:v>
      </x:c>
      <x:c r="AJ6861" s="42" t="n">
        <x:v>0</x:v>
      </x:c>
      <x:c r="AK6861" s="42" t="n">
        <x:v>0</x:v>
      </x:c>
      <x:c r="AL6861" s="42" t="n">
        <x:v>0</x:v>
      </x:c>
      <x:c r="AM6861" t="n">
        <x:f>CHOOSE('假设'!$B$3,AJ6861,AK6861,AL6861)</x:f>
        <x:v>0</x:v>
      </x:c>
      <x:c r="AN6861" t="n">
        <x:v>1</x:v>
      </x:c>
    </x:row>
    <x:row r="6862" ht="23" customHeight="1">
      <x:c r="A6862" s="11" t="str">
        <x:v>09995.HK</x:v>
      </x:c>
      <x:c r="B6862" s="11" t="str">
        <x:v>三年</x:v>
      </x:c>
      <x:c r="C6862" s="11" t="str">
        <x:v>RC18_approved_China</x:v>
      </x:c>
      <x:c r="D6862" s="11" t="str">
        <x:v>2031-12-31</x:v>
      </x:c>
      <x:c r="E6862" s="11" t="str">
        <x:v>CNY</x:v>
      </x:c>
      <x:c r="F6862" s="11" t="n">
        <x:v>2.2258726899383983</x:v>
      </x:c>
      <x:c r="G6862" s="26" t="b">
        <x:v>1</x:v>
      </x:c>
      <x:c r="H6862" s="16" t="n">
        <x:v>2.25</x:v>
      </x:c>
      <x:c r="I6862" s="16" t="n">
        <x:v>6.1</x:v>
      </x:c>
      <x:c r="J6862" s="16" t="n">
        <x:v>10</x:v>
      </x:c>
      <x:c r="K6862" s="11" t="n">
        <x:f>CHOOSE('假设'!$B$3,H6862,I6862,J6862)</x:f>
        <x:v>6.1</x:v>
      </x:c>
      <x:c r="L6862" s="11" t="n">
        <x:f>K6862*'管线假设'!E1467*'管线假设'!F1467*'管线假设'!G1467*IF(E6862="USD",'管线假设'!I1467,1)-AM6862</x:f>
        <x:v>2.54431</x:v>
      </x:c>
      <x:c r="M6862" s="11" t="n">
        <x:f>'管线假设'!H1467</x:f>
        <x:v>0.14</x:v>
      </x:c>
      <x:c r="N6862" s="11" t="n">
        <x:f>IF(G6862,L6862*AN6862/(1+M6862)^F6862,0)</x:f>
        <x:v>1.9006715336666204</x:v>
      </x:c>
      <x:c r="AJ6862" s="42" t="n">
        <x:v>0</x:v>
      </x:c>
      <x:c r="AK6862" s="42" t="n">
        <x:v>0</x:v>
      </x:c>
      <x:c r="AL6862" s="42" t="n">
        <x:v>0</x:v>
      </x:c>
      <x:c r="AM6862" t="n">
        <x:f>CHOOSE('假设'!$B$3,AJ6862,AK6862,AL6862)</x:f>
        <x:v>0</x:v>
      </x:c>
      <x:c r="AN6862" t="n">
        <x:v>1</x:v>
      </x:c>
    </x:row>
    <x:row r="6863" ht="23" customHeight="1">
      <x:c r="A6863" s="11" t="str">
        <x:v>09995.HK</x:v>
      </x:c>
      <x:c r="B6863" s="11" t="str">
        <x:v>三年</x:v>
      </x:c>
      <x:c r="C6863" s="11" t="str">
        <x:v>RC18_approved_China</x:v>
      </x:c>
      <x:c r="D6863" s="11" t="str">
        <x:v>2032-12-31</x:v>
      </x:c>
      <x:c r="E6863" s="11" t="str">
        <x:v>CNY</x:v>
      </x:c>
      <x:c r="F6863" s="11" t="n">
        <x:v>3.2279260780287475</x:v>
      </x:c>
      <x:c r="G6863" s="26" t="b">
        <x:v>1</x:v>
      </x:c>
      <x:c r="H6863" s="16" t="n">
        <x:v>2.2</x:v>
      </x:c>
      <x:c r="I6863" s="16" t="n">
        <x:v>6.7</x:v>
      </x:c>
      <x:c r="J6863" s="16" t="n">
        <x:v>11</x:v>
      </x:c>
      <x:c r="K6863" s="11" t="n">
        <x:f>CHOOSE('假设'!$B$3,H6863,I6863,J6863)</x:f>
        <x:v>6.7</x:v>
      </x:c>
      <x:c r="L6863" s="11" t="n">
        <x:f>K6863*'管线假设'!E1467*'管线假设'!F1467*'管线假设'!G1467*IF(E6863="USD",'管线假设'!I1467,1)-AM6863</x:f>
        <x:v>2.7945699999999998</x:v>
      </x:c>
      <x:c r="M6863" s="11" t="n">
        <x:f>'管线假设'!H1467</x:f>
        <x:v>0.14</x:v>
      </x:c>
      <x:c r="N6863" s="11" t="n">
        <x:f>IF(G6863,L6863*AN6863/(1+M6863)^F6863,0)</x:f>
        <x:v>1.8307554638416452</x:v>
      </x:c>
      <x:c r="AJ6863" s="42" t="n">
        <x:v>0</x:v>
      </x:c>
      <x:c r="AK6863" s="42" t="n">
        <x:v>0</x:v>
      </x:c>
      <x:c r="AL6863" s="42" t="n">
        <x:v>0</x:v>
      </x:c>
      <x:c r="AM6863" t="n">
        <x:f>CHOOSE('假设'!$B$3,AJ6863,AK6863,AL6863)</x:f>
        <x:v>0</x:v>
      </x:c>
      <x:c r="AN6863" t="n">
        <x:v>1</x:v>
      </x:c>
    </x:row>
    <x:row r="6864" ht="23" customHeight="1">
      <x:c r="A6864" s="11" t="str">
        <x:v>09995.HK</x:v>
      </x:c>
      <x:c r="B6864" s="11" t="str">
        <x:v>三年</x:v>
      </x:c>
      <x:c r="C6864" s="11" t="str">
        <x:v>RC18_approved_China</x:v>
      </x:c>
      <x:c r="D6864" s="11" t="str">
        <x:v>2033-12-31</x:v>
      </x:c>
      <x:c r="E6864" s="11" t="str">
        <x:v>CNY</x:v>
      </x:c>
      <x:c r="F6864" s="11" t="n">
        <x:v>4.227241615331964</x:v>
      </x:c>
      <x:c r="G6864" s="26" t="b">
        <x:v>1</x:v>
      </x:c>
      <x:c r="H6864" s="16" t="n">
        <x:v>2.1</x:v>
      </x:c>
      <x:c r="I6864" s="16" t="n">
        <x:v>7.2</x:v>
      </x:c>
      <x:c r="J6864" s="16" t="n">
        <x:v>12</x:v>
      </x:c>
      <x:c r="K6864" s="11" t="n">
        <x:f>CHOOSE('假设'!$B$3,H6864,I6864,J6864)</x:f>
        <x:v>7.2</x:v>
      </x:c>
      <x:c r="L6864" s="11" t="n">
        <x:f>K6864*'管线假设'!E1467*'管线假设'!F1467*'管线假设'!G1467*IF(E6864="USD",'管线假设'!I1467,1)-AM6864</x:f>
        <x:v>3.00312</x:v>
      </x:c>
      <x:c r="M6864" s="11" t="n">
        <x:f>'管线假设'!H1467</x:f>
        <x:v>0.14</x:v>
      </x:c>
      <x:c r="N6864" s="11" t="n">
        <x:f>IF(G6864,L6864*AN6864/(1+M6864)^F6864,0)</x:f>
        <x:v>1.7259258387433902</x:v>
      </x:c>
      <x:c r="AJ6864" s="42" t="n">
        <x:v>0</x:v>
      </x:c>
      <x:c r="AK6864" s="42" t="n">
        <x:v>0</x:v>
      </x:c>
      <x:c r="AL6864" s="42" t="n">
        <x:v>0</x:v>
      </x:c>
      <x:c r="AM6864" t="n">
        <x:f>CHOOSE('假设'!$B$3,AJ6864,AK6864,AL6864)</x:f>
        <x:v>0</x:v>
      </x:c>
      <x:c r="AN6864" t="n">
        <x:v>1</x:v>
      </x:c>
    </x:row>
    <x:row r="6865" ht="23" customHeight="1">
      <x:c r="A6865" s="11" t="str">
        <x:v>09995.HK</x:v>
      </x:c>
      <x:c r="B6865" s="11" t="str">
        <x:v>三年</x:v>
      </x:c>
      <x:c r="C6865" s="11" t="str">
        <x:v>RC18_approved_China</x:v>
      </x:c>
      <x:c r="D6865" s="11" t="str">
        <x:v>2034-12-31</x:v>
      </x:c>
      <x:c r="E6865" s="11" t="str">
        <x:v>CNY</x:v>
      </x:c>
      <x:c r="F6865" s="11" t="n">
        <x:v>5.2265571526351815</x:v>
      </x:c>
      <x:c r="G6865" s="26" t="b">
        <x:v>1</x:v>
      </x:c>
      <x:c r="H6865" s="16" t="n">
        <x:v>2</x:v>
      </x:c>
      <x:c r="I6865" s="16" t="n">
        <x:v>7.5</x:v>
      </x:c>
      <x:c r="J6865" s="16" t="n">
        <x:v>13</x:v>
      </x:c>
      <x:c r="K6865" s="11" t="n">
        <x:f>CHOOSE('假设'!$B$3,H6865,I6865,J6865)</x:f>
        <x:v>7.5</x:v>
      </x:c>
      <x:c r="L6865" s="11" t="n">
        <x:f>K6865*'管线假设'!E1467*'管线假设'!F1467*'管线假设'!G1467*IF(E6865="USD",'管线假设'!I1467,1)-AM6865</x:f>
        <x:v>3.1282499999999995</x:v>
      </x:c>
      <x:c r="M6865" s="11" t="n">
        <x:f>'管线假设'!H1467</x:f>
        <x:v>0.14</x:v>
      </x:c>
      <x:c r="N6865" s="11" t="n">
        <x:f>IF(G6865,L6865*AN6865/(1+M6865)^F6865,0)</x:f>
        <x:v>1.5771935613530252</x:v>
      </x:c>
      <x:c r="AJ6865" s="42" t="n">
        <x:v>0</x:v>
      </x:c>
      <x:c r="AK6865" s="42" t="n">
        <x:v>0</x:v>
      </x:c>
      <x:c r="AL6865" s="42" t="n">
        <x:v>0</x:v>
      </x:c>
      <x:c r="AM6865" t="n">
        <x:f>CHOOSE('假设'!$B$3,AJ6865,AK6865,AL6865)</x:f>
        <x:v>0</x:v>
      </x:c>
      <x:c r="AN6865" t="n">
        <x:v>1</x:v>
      </x:c>
    </x:row>
    <x:row r="6866" ht="23" customHeight="1">
      <x:c r="A6866" s="11" t="str">
        <x:v>09995.HK</x:v>
      </x:c>
      <x:c r="B6866" s="11" t="str">
        <x:v>三年</x:v>
      </x:c>
      <x:c r="C6866" s="11" t="str">
        <x:v>RC18_approved_China</x:v>
      </x:c>
      <x:c r="D6866" s="11" t="str">
        <x:v>2035-12-31</x:v>
      </x:c>
      <x:c r="E6866" s="11" t="str">
        <x:v>CNY</x:v>
      </x:c>
      <x:c r="F6866" s="11" t="n">
        <x:v>6.225872689938399</x:v>
      </x:c>
      <x:c r="G6866" s="26" t="b">
        <x:v>1</x:v>
      </x:c>
      <x:c r="H6866" s="16" t="n">
        <x:v>1.8</x:v>
      </x:c>
      <x:c r="I6866" s="16" t="n">
        <x:v>7.5</x:v>
      </x:c>
      <x:c r="J6866" s="16" t="n">
        <x:v>13</x:v>
      </x:c>
      <x:c r="K6866" s="11" t="n">
        <x:f>CHOOSE('假设'!$B$3,H6866,I6866,J6866)</x:f>
        <x:v>7.5</x:v>
      </x:c>
      <x:c r="L6866" s="11" t="n">
        <x:f>K6866*'管线假设'!E1467*'管线假设'!F1467*'管线假设'!G1467*IF(E6866="USD",'管线假设'!I1467,1)-AM6866</x:f>
        <x:v>3.1282499999999995</x:v>
      </x:c>
      <x:c r="M6866" s="11" t="n">
        <x:f>'管线假设'!H1467</x:f>
        <x:v>0.14</x:v>
      </x:c>
      <x:c r="N6866" s="11" t="n">
        <x:f>IF(G6866,L6866*AN6866/(1+M6866)^F6866,0)</x:f>
        <x:v>1.3836272075937983</x:v>
      </x:c>
      <x:c r="AJ6866" s="42" t="n">
        <x:v>0</x:v>
      </x:c>
      <x:c r="AK6866" s="42" t="n">
        <x:v>0</x:v>
      </x:c>
      <x:c r="AL6866" s="42" t="n">
        <x:v>0</x:v>
      </x:c>
      <x:c r="AM6866" t="n">
        <x:f>CHOOSE('假设'!$B$3,AJ6866,AK6866,AL6866)</x:f>
        <x:v>0</x:v>
      </x:c>
      <x:c r="AN6866" t="n">
        <x:v>1</x:v>
      </x:c>
    </x:row>
    <x:row r="6867" ht="23" customHeight="1">
      <x:c r="A6867" s="11" t="str">
        <x:v>09995.HK</x:v>
      </x:c>
      <x:c r="B6867" s="11" t="str">
        <x:v>三年</x:v>
      </x:c>
      <x:c r="C6867" s="11" t="str">
        <x:v>RC18_approved_China</x:v>
      </x:c>
      <x:c r="D6867" s="11" t="str">
        <x:v>2036-12-31</x:v>
      </x:c>
      <x:c r="E6867" s="11" t="str">
        <x:v>CNY</x:v>
      </x:c>
      <x:c r="F6867" s="11" t="n">
        <x:v>7.227926078028747</x:v>
      </x:c>
      <x:c r="G6867" s="26" t="b">
        <x:v>1</x:v>
      </x:c>
      <x:c r="H6867" s="16" t="n">
        <x:v>1.6</x:v>
      </x:c>
      <x:c r="I6867" s="16" t="n">
        <x:v>7.4</x:v>
      </x:c>
      <x:c r="J6867" s="16" t="n">
        <x:v>12.8</x:v>
      </x:c>
      <x:c r="K6867" s="11" t="n">
        <x:f>CHOOSE('假设'!$B$3,H6867,I6867,J6867)</x:f>
        <x:v>7.4</x:v>
      </x:c>
      <x:c r="L6867" s="11" t="n">
        <x:f>K6867*'管线假设'!E1467*'管线假设'!F1467*'管线假设'!G1467*IF(E6867="USD",'管线假设'!I1467,1)-AM6867</x:f>
        <x:v>3.08654</x:v>
      </x:c>
      <x:c r="M6867" s="11" t="n">
        <x:f>'管线假设'!H1467</x:f>
        <x:v>0.14</x:v>
      </x:c>
      <x:c r="N6867" s="11" t="n">
        <x:f>IF(G6867,L6867*AN6867/(1+M6867)^F6867,0)</x:f>
        <x:v>1.1972031493925073</x:v>
      </x:c>
      <x:c r="AJ6867" s="42" t="n">
        <x:v>0</x:v>
      </x:c>
      <x:c r="AK6867" s="42" t="n">
        <x:v>0</x:v>
      </x:c>
      <x:c r="AL6867" s="42" t="n">
        <x:v>0</x:v>
      </x:c>
      <x:c r="AM6867" t="n">
        <x:f>CHOOSE('假设'!$B$3,AJ6867,AK6867,AL6867)</x:f>
        <x:v>0</x:v>
      </x:c>
      <x:c r="AN6867" t="n">
        <x:v>1</x:v>
      </x:c>
    </x:row>
    <x:row r="6868" ht="23" customHeight="1">
      <x:c r="A6868" s="11" t="str">
        <x:v>09995.HK</x:v>
      </x:c>
      <x:c r="B6868" s="11" t="str">
        <x:v>三年</x:v>
      </x:c>
      <x:c r="C6868" s="11" t="str">
        <x:v>RC18_approved_China</x:v>
      </x:c>
      <x:c r="D6868" s="11" t="str">
        <x:v>2037-12-31</x:v>
      </x:c>
      <x:c r="E6868" s="11" t="str">
        <x:v>CNY</x:v>
      </x:c>
      <x:c r="F6868" s="11" t="n">
        <x:v>8.227241615331964</x:v>
      </x:c>
      <x:c r="G6868" s="26" t="b">
        <x:v>1</x:v>
      </x:c>
      <x:c r="H6868" s="16" t="n">
        <x:v>1.4</x:v>
      </x:c>
      <x:c r="I6868" s="16" t="n">
        <x:v>7.1</x:v>
      </x:c>
      <x:c r="J6868" s="16" t="n">
        <x:v>12</x:v>
      </x:c>
      <x:c r="K6868" s="11" t="n">
        <x:f>CHOOSE('假设'!$B$3,H6868,I6868,J6868)</x:f>
        <x:v>7.1</x:v>
      </x:c>
      <x:c r="L6868" s="11" t="n">
        <x:f>K6868*'管线假设'!E1467*'管线假设'!F1467*'管线假设'!G1467*IF(E6868="USD",'管线假设'!I1467,1)-AM6868</x:f>
        <x:v>2.96141</x:v>
      </x:c>
      <x:c r="M6868" s="11" t="n">
        <x:f>'管线假设'!H1467</x:f>
        <x:v>0.14</x:v>
      </x:c>
      <x:c r="N6868" s="11" t="n">
        <x:f>IF(G6868,L6868*AN6868/(1+M6868)^F6868,0)</x:f>
        <x:v>1.0076937791940694</x:v>
      </x:c>
      <x:c r="AJ6868" s="42" t="n">
        <x:v>0</x:v>
      </x:c>
      <x:c r="AK6868" s="42" t="n">
        <x:v>0</x:v>
      </x:c>
      <x:c r="AL6868" s="42" t="n">
        <x:v>0</x:v>
      </x:c>
      <x:c r="AM6868" t="n">
        <x:f>CHOOSE('假设'!$B$3,AJ6868,AK6868,AL6868)</x:f>
        <x:v>0</x:v>
      </x:c>
      <x:c r="AN6868" t="n">
        <x:v>1</x:v>
      </x:c>
    </x:row>
    <x:row r="6869" ht="23" customHeight="1">
      <x:c r="A6869" s="11" t="str">
        <x:v>09995.HK</x:v>
      </x:c>
      <x:c r="B6869" s="11" t="str">
        <x:v>三年</x:v>
      </x:c>
      <x:c r="C6869" s="11" t="str">
        <x:v>RC18_approved_China</x:v>
      </x:c>
      <x:c r="D6869" s="11" t="str">
        <x:v>2038-12-31</x:v>
      </x:c>
      <x:c r="E6869" s="11" t="str">
        <x:v>CNY</x:v>
      </x:c>
      <x:c r="F6869" s="11" t="n">
        <x:v>9.22655715263518</x:v>
      </x:c>
      <x:c r="G6869" s="26" t="b">
        <x:v>1</x:v>
      </x:c>
      <x:c r="H6869" s="16" t="n">
        <x:v>1.2</x:v>
      </x:c>
      <x:c r="I6869" s="16" t="n">
        <x:v>6.6</x:v>
      </x:c>
      <x:c r="J6869" s="16" t="n">
        <x:v>11</x:v>
      </x:c>
      <x:c r="K6869" s="11" t="n">
        <x:f>CHOOSE('假设'!$B$3,H6869,I6869,J6869)</x:f>
        <x:v>6.6</x:v>
      </x:c>
      <x:c r="L6869" s="11" t="n">
        <x:f>K6869*'管线假设'!E1467*'管线假设'!F1467*'管线假设'!G1467*IF(E6869="USD",'管线假设'!I1467,1)-AM6869</x:f>
        <x:v>2.7528599999999996</x:v>
      </x:c>
      <x:c r="M6869" s="11" t="n">
        <x:f>'管线假设'!H1467</x:f>
        <x:v>0.14</x:v>
      </x:c>
      <x:c r="N6869" s="11" t="n">
        <x:f>IF(G6869,L6869*AN6869/(1+M6869)^F6869,0)</x:f>
        <x:v>0.821766177119691</x:v>
      </x:c>
      <x:c r="AJ6869" s="42" t="n">
        <x:v>0</x:v>
      </x:c>
      <x:c r="AK6869" s="42" t="n">
        <x:v>0</x:v>
      </x:c>
      <x:c r="AL6869" s="42" t="n">
        <x:v>0</x:v>
      </x:c>
      <x:c r="AM6869" t="n">
        <x:f>CHOOSE('假设'!$B$3,AJ6869,AK6869,AL6869)</x:f>
        <x:v>0</x:v>
      </x:c>
      <x:c r="AN6869" t="n">
        <x:v>1</x:v>
      </x:c>
    </x:row>
    <x:row r="6870" ht="23" customHeight="1">
      <x:c r="A6870" s="11" t="str">
        <x:v>09995.HK</x:v>
      </x:c>
      <x:c r="B6870" s="11" t="str">
        <x:v>三年</x:v>
      </x:c>
      <x:c r="C6870" s="11" t="str">
        <x:v>RC18_approved_China</x:v>
      </x:c>
      <x:c r="D6870" s="11" t="str">
        <x:v>2039-12-31</x:v>
      </x:c>
      <x:c r="E6870" s="11" t="str">
        <x:v>CNY</x:v>
      </x:c>
      <x:c r="F6870" s="11" t="n">
        <x:v>10.225872689938399</x:v>
      </x:c>
      <x:c r="G6870" s="26" t="b">
        <x:v>1</x:v>
      </x:c>
      <x:c r="H6870" s="16" t="n">
        <x:v>1</x:v>
      </x:c>
      <x:c r="I6870" s="16" t="n">
        <x:v>5.9</x:v>
      </x:c>
      <x:c r="J6870" s="16" t="n">
        <x:v>9.5</x:v>
      </x:c>
      <x:c r="K6870" s="11" t="n">
        <x:f>CHOOSE('假设'!$B$3,H6870,I6870,J6870)</x:f>
        <x:v>5.9</x:v>
      </x:c>
      <x:c r="L6870" s="11" t="n">
        <x:f>K6870*'管线假设'!E1467*'管线假设'!F1467*'管线假设'!G1467*IF(E6870="USD",'管线假设'!I1467,1)-AM6870</x:f>
        <x:v>2.46089</x:v>
      </x:c>
      <x:c r="M6870" s="11" t="n">
        <x:f>'管线假设'!H1467</x:f>
        <x:v>0.14</x:v>
      </x:c>
      <x:c r="N6870" s="11" t="n">
        <x:f>IF(G6870,L6870*AN6870/(1+M6870)^F6870,0)</x:f>
        <x:v>0.6444517929346072</x:v>
      </x:c>
      <x:c r="AJ6870" s="42" t="n">
        <x:v>0</x:v>
      </x:c>
      <x:c r="AK6870" s="42" t="n">
        <x:v>0</x:v>
      </x:c>
      <x:c r="AL6870" s="42" t="n">
        <x:v>0</x:v>
      </x:c>
      <x:c r="AM6870" t="n">
        <x:f>CHOOSE('假设'!$B$3,AJ6870,AK6870,AL6870)</x:f>
        <x:v>0</x:v>
      </x:c>
      <x:c r="AN6870" t="n">
        <x:v>1</x:v>
      </x:c>
    </x:row>
    <x:row r="6871" ht="23" customHeight="1">
      <x:c r="A6871" s="11" t="str">
        <x:v>09995.HK</x:v>
      </x:c>
      <x:c r="B6871" s="11" t="str">
        <x:v>三年</x:v>
      </x:c>
      <x:c r="C6871" s="11" t="str">
        <x:v>RC18_approved_China</x:v>
      </x:c>
      <x:c r="D6871" s="11" t="str">
        <x:v>2040-12-31</x:v>
      </x:c>
      <x:c r="E6871" s="11" t="str">
        <x:v>CNY</x:v>
      </x:c>
      <x:c r="F6871" s="11" t="n">
        <x:v>11.227926078028748</x:v>
      </x:c>
      <x:c r="G6871" s="26" t="b">
        <x:v>1</x:v>
      </x:c>
      <x:c r="H6871" s="16" t="n">
        <x:v>0.8</x:v>
      </x:c>
      <x:c r="I6871" s="16" t="n">
        <x:v>5</x:v>
      </x:c>
      <x:c r="J6871" s="16" t="n">
        <x:v>8</x:v>
      </x:c>
      <x:c r="K6871" s="11" t="n">
        <x:f>CHOOSE('假设'!$B$3,H6871,I6871,J6871)</x:f>
        <x:v>5</x:v>
      </x:c>
      <x:c r="L6871" s="11" t="n">
        <x:f>K6871*'管线假设'!E1467*'管线假设'!F1467*'管线假设'!G1467*IF(E6871="USD",'管线假设'!I1467,1)-AM6871</x:f>
        <x:v>2.0854999999999997</x:v>
      </x:c>
      <x:c r="M6871" s="11" t="n">
        <x:f>'管线假设'!H1467</x:f>
        <x:v>0.14</x:v>
      </x:c>
      <x:c r="N6871" s="11" t="n">
        <x:f>IF(G6871,L6871*AN6871/(1+M6871)^F6871,0)</x:f>
        <x:v>0.47894619781133774</x:v>
      </x:c>
      <x:c r="AJ6871" s="42" t="n">
        <x:v>0</x:v>
      </x:c>
      <x:c r="AK6871" s="42" t="n">
        <x:v>0</x:v>
      </x:c>
      <x:c r="AL6871" s="42" t="n">
        <x:v>0</x:v>
      </x:c>
      <x:c r="AM6871" t="n">
        <x:f>CHOOSE('假设'!$B$3,AJ6871,AK6871,AL6871)</x:f>
        <x:v>0</x:v>
      </x:c>
      <x:c r="AN6871" t="n">
        <x:v>1</x:v>
      </x:c>
    </x:row>
    <x:row r="6872" ht="23" customHeight="1">
      <x:c r="A6872" s="11" t="str">
        <x:v>09995.HK</x:v>
      </x:c>
      <x:c r="B6872" s="11" t="str">
        <x:v>三年</x:v>
      </x:c>
      <x:c r="C6872" s="11" t="str">
        <x:v>RC18_approved_China</x:v>
      </x:c>
      <x:c r="D6872" s="11" t="str">
        <x:v>2041-12-31</x:v>
      </x:c>
      <x:c r="E6872" s="11" t="str">
        <x:v>CNY</x:v>
      </x:c>
      <x:c r="F6872" s="11" t="n">
        <x:v>12.227241615331964</x:v>
      </x:c>
      <x:c r="G6872" s="26" t="b">
        <x:v>1</x:v>
      </x:c>
      <x:c r="H6872" s="16" t="n">
        <x:v>0.6</x:v>
      </x:c>
      <x:c r="I6872" s="16" t="n">
        <x:v>4</x:v>
      </x:c>
      <x:c r="J6872" s="16" t="n">
        <x:v>6.5</x:v>
      </x:c>
      <x:c r="K6872" s="11" t="n">
        <x:f>CHOOSE('假设'!$B$3,H6872,I6872,J6872)</x:f>
        <x:v>4</x:v>
      </x:c>
      <x:c r="L6872" s="11" t="n">
        <x:f>K6872*'管线假设'!E1467*'管线假设'!F1467*'管线假设'!G1467*IF(E6872="USD",'管线假设'!I1467,1)-AM6872</x:f>
        <x:v>1.6683999999999999</x:v>
      </x:c>
      <x:c r="M6872" s="11" t="n">
        <x:f>'管线假设'!H1467</x:f>
        <x:v>0.14</x:v>
      </x:c>
      <x:c r="N6872" s="11" t="n">
        <x:f>IF(G6872,L6872*AN6872/(1+M6872)^F6872,0)</x:f>
        <x:v>0.33613273931799387</x:v>
      </x:c>
      <x:c r="AJ6872" s="42" t="n">
        <x:v>0</x:v>
      </x:c>
      <x:c r="AK6872" s="42" t="n">
        <x:v>0</x:v>
      </x:c>
      <x:c r="AL6872" s="42" t="n">
        <x:v>0</x:v>
      </x:c>
      <x:c r="AM6872" t="n">
        <x:f>CHOOSE('假设'!$B$3,AJ6872,AK6872,AL6872)</x:f>
        <x:v>0</x:v>
      </x:c>
      <x:c r="AN6872" t="n">
        <x:v>1</x:v>
      </x:c>
    </x:row>
    <x:row r="6873" ht="23" customHeight="1">
      <x:c r="A6873" s="11" t="str">
        <x:v>09995.HK</x:v>
      </x:c>
      <x:c r="B6873" s="11" t="str">
        <x:v>三年</x:v>
      </x:c>
      <x:c r="C6873" s="11" t="str">
        <x:v>RC18_approved_China</x:v>
      </x:c>
      <x:c r="D6873" s="11" t="str">
        <x:v>2042-12-31</x:v>
      </x:c>
      <x:c r="E6873" s="11" t="str">
        <x:v>CNY</x:v>
      </x:c>
      <x:c r="F6873" s="11" t="n">
        <x:v>13.22655715263518</x:v>
      </x:c>
      <x:c r="G6873" s="26" t="b">
        <x:v>1</x:v>
      </x:c>
      <x:c r="H6873" s="16" t="n">
        <x:v>0.4</x:v>
      </x:c>
      <x:c r="I6873" s="16" t="n">
        <x:v>3</x:v>
      </x:c>
      <x:c r="J6873" s="16" t="n">
        <x:v>5</x:v>
      </x:c>
      <x:c r="K6873" s="11" t="n">
        <x:f>CHOOSE('假设'!$B$3,H6873,I6873,J6873)</x:f>
        <x:v>3</x:v>
      </x:c>
      <x:c r="L6873" s="11" t="n">
        <x:f>K6873*'管线假设'!E1467*'管线假设'!F1467*'管线假设'!G1467*IF(E6873="USD",'管线假设'!I1467,1)-AM6873</x:f>
        <x:v>1.2513</x:v>
      </x:c>
      <x:c r="M6873" s="11" t="n">
        <x:f>'管线假设'!H1467</x:f>
        <x:v>0.14</x:v>
      </x:c>
      <x:c r="N6873" s="11" t="n">
        <x:f>IF(G6873,L6873*AN6873/(1+M6873)^F6873,0)</x:f>
        <x:v>0.22115979367384864</x:v>
      </x:c>
      <x:c r="AJ6873" s="42" t="n">
        <x:v>0</x:v>
      </x:c>
      <x:c r="AK6873" s="42" t="n">
        <x:v>0</x:v>
      </x:c>
      <x:c r="AL6873" s="42" t="n">
        <x:v>0</x:v>
      </x:c>
      <x:c r="AM6873" t="n">
        <x:f>CHOOSE('假设'!$B$3,AJ6873,AK6873,AL6873)</x:f>
        <x:v>0</x:v>
      </x:c>
      <x:c r="AN6873" t="n">
        <x:v>1</x:v>
      </x:c>
    </x:row>
    <x:row r="6874" ht="23" customHeight="1">
      <x:c r="A6874" s="11" t="str">
        <x:v>09995.HK</x:v>
      </x:c>
      <x:c r="B6874" s="11" t="str">
        <x:v>三年</x:v>
      </x:c>
      <x:c r="C6874" s="11" t="str">
        <x:v>RC18_approved_China</x:v>
      </x:c>
      <x:c r="D6874" s="11" t="str">
        <x:v>2043-12-31</x:v>
      </x:c>
      <x:c r="E6874" s="11" t="str">
        <x:v>CNY</x:v>
      </x:c>
      <x:c r="F6874" s="11" t="n">
        <x:v>14.225872689938399</x:v>
      </x:c>
      <x:c r="G6874" s="26" t="b">
        <x:v>1</x:v>
      </x:c>
      <x:c r="H6874" s="16" t="n">
        <x:v>0.25</x:v>
      </x:c>
      <x:c r="I6874" s="16" t="n">
        <x:v>2</x:v>
      </x:c>
      <x:c r="J6874" s="16" t="n">
        <x:v>3.5</x:v>
      </x:c>
      <x:c r="K6874" s="11" t="n">
        <x:f>CHOOSE('假设'!$B$3,H6874,I6874,J6874)</x:f>
        <x:v>2</x:v>
      </x:c>
      <x:c r="L6874" s="11" t="n">
        <x:f>K6874*'管线假设'!E1467*'管线假设'!F1467*'管线假设'!G1467*IF(E6874="USD",'管线假设'!I1467,1)-AM6874</x:f>
        <x:v>0.8341999999999999</x:v>
      </x:c>
      <x:c r="M6874" s="11" t="n">
        <x:f>'管线假设'!H1467</x:f>
        <x:v>0.14</x:v>
      </x:c>
      <x:c r="N6874" s="11" t="n">
        <x:f>IF(G6874,L6874*AN6874/(1+M6874)^F6874,0)</x:f>
        <x:v>0.12934481230930106</x:v>
      </x:c>
      <x:c r="AJ6874" s="42" t="n">
        <x:v>0</x:v>
      </x:c>
      <x:c r="AK6874" s="42" t="n">
        <x:v>0</x:v>
      </x:c>
      <x:c r="AL6874" s="42" t="n">
        <x:v>0</x:v>
      </x:c>
      <x:c r="AM6874" t="n">
        <x:f>CHOOSE('假设'!$B$3,AJ6874,AK6874,AL6874)</x:f>
        <x:v>0</x:v>
      </x:c>
      <x:c r="AN6874" t="n">
        <x:v>1</x:v>
      </x:c>
    </x:row>
    <x:row r="6875" ht="23" customHeight="1">
      <x:c r="A6875" s="11" t="str">
        <x:v>09995.HK</x:v>
      </x:c>
      <x:c r="B6875" s="11" t="str">
        <x:v>三年</x:v>
      </x:c>
      <x:c r="C6875" s="11" t="str">
        <x:v>RC18_approved_China</x:v>
      </x:c>
      <x:c r="D6875" s="11" t="str">
        <x:v>2044-12-31</x:v>
      </x:c>
      <x:c r="E6875" s="11" t="str">
        <x:v>CNY</x:v>
      </x:c>
      <x:c r="F6875" s="11" t="n">
        <x:v>15.227926078028748</x:v>
      </x:c>
      <x:c r="G6875" s="26" t="b">
        <x:v>1</x:v>
      </x:c>
      <x:c r="H6875" s="16" t="n">
        <x:v>0.15</x:v>
      </x:c>
      <x:c r="I6875" s="16" t="n">
        <x:v>1.2</x:v>
      </x:c>
      <x:c r="J6875" s="16" t="n">
        <x:v>2</x:v>
      </x:c>
      <x:c r="K6875" s="11" t="n">
        <x:f>CHOOSE('假设'!$B$3,H6875,I6875,J6875)</x:f>
        <x:v>1.2</x:v>
      </x:c>
      <x:c r="L6875" s="11" t="n">
        <x:f>K6875*'管线假设'!E1467*'管线假设'!F1467*'管线假设'!G1467*IF(E6875="USD",'管线假设'!I1467,1)-AM6875</x:f>
        <x:v>0.50052</x:v>
      </x:c>
      <x:c r="M6875" s="11" t="n">
        <x:f>'管线假设'!H1467</x:f>
        <x:v>0.14</x:v>
      </x:c>
      <x:c r="N6875" s="11" t="n">
        <x:f>IF(G6875,L6875*AN6875/(1+M6875)^F6875,0)</x:f>
        <x:v>0.06805790343492829</x:v>
      </x:c>
      <x:c r="AJ6875" s="42" t="n">
        <x:v>0</x:v>
      </x:c>
      <x:c r="AK6875" s="42" t="n">
        <x:v>0</x:v>
      </x:c>
      <x:c r="AL6875" s="42" t="n">
        <x:v>0</x:v>
      </x:c>
      <x:c r="AM6875" t="n">
        <x:f>CHOOSE('假设'!$B$3,AJ6875,AK6875,AL6875)</x:f>
        <x:v>0</x:v>
      </x:c>
      <x:c r="AN6875" t="n">
        <x:v>1</x:v>
      </x:c>
    </x:row>
    <x:row r="6876" ht="23" customHeight="1">
      <x:c r="A6876" s="11" t="str">
        <x:v>09995.HK</x:v>
      </x:c>
      <x:c r="B6876" s="11" t="str">
        <x:v>三年</x:v>
      </x:c>
      <x:c r="C6876" s="11" t="str">
        <x:v>RC48_approved_China</x:v>
      </x:c>
      <x:c r="D6876" s="11" t="str">
        <x:v>2026-12-31</x:v>
      </x:c>
      <x:c r="E6876" s="11" t="str">
        <x:v>CNY</x:v>
      </x:c>
      <x:c r="F6876" s="11" t="n">
        <x:v>-2.7734428473648185</x:v>
      </x:c>
      <x:c r="G6876" s="26" t="b">
        <x:v>0</x:v>
      </x:c>
      <x:c r="H6876" s="16" t="n">
        <x:v>0.7</x:v>
      </x:c>
      <x:c r="I6876" s="16" t="n">
        <x:v>0.8</x:v>
      </x:c>
      <x:c r="J6876" s="16" t="n">
        <x:v>0.95</x:v>
      </x:c>
      <x:c r="K6876" s="11" t="n">
        <x:f>CHOOSE('假设'!$B$3,H6876,I6876,J6876)</x:f>
        <x:v>0.8</x:v>
      </x:c>
      <x:c r="L6876" s="11" t="n">
        <x:f>K6876*'管线假设'!E1471*'管线假设'!F1471*'管线假设'!G1471*IF(E6876="USD",'管线假设'!I1471,1)-AM6876</x:f>
        <x:v>0.1612</x:v>
      </x:c>
      <x:c r="M6876" s="11" t="n">
        <x:f>'管线假设'!H1471</x:f>
        <x:v>0.14</x:v>
      </x:c>
      <x:c r="N6876" s="11" t="n">
        <x:f>IF(G6876,L6876*AN6876/(1+M6876)^F6876,0)</x:f>
        <x:v>0</x:v>
      </x:c>
      <x:c r="AJ6876" s="42" t="n">
        <x:v>0.06</x:v>
      </x:c>
      <x:c r="AK6876" s="42" t="n">
        <x:v>0.12</x:v>
      </x:c>
      <x:c r="AL6876" s="42" t="n">
        <x:v>0.16</x:v>
      </x:c>
      <x:c r="AM6876" t="n">
        <x:f>CHOOSE('假设'!$B$3,AJ6876,AK6876,AL6876)</x:f>
        <x:v>0.12</x:v>
      </x:c>
      <x:c r="AN6876" t="n">
        <x:v>0</x:v>
      </x:c>
    </x:row>
    <x:row r="6877" ht="23" customHeight="1">
      <x:c r="A6877" s="11" t="str">
        <x:v>09995.HK</x:v>
      </x:c>
      <x:c r="B6877" s="11" t="str">
        <x:v>三年</x:v>
      </x:c>
      <x:c r="C6877" s="11" t="str">
        <x:v>RC48_approved_China</x:v>
      </x:c>
      <x:c r="D6877" s="11" t="str">
        <x:v>2027-12-31</x:v>
      </x:c>
      <x:c r="E6877" s="11" t="str">
        <x:v>CNY</x:v>
      </x:c>
      <x:c r="F6877" s="11" t="n">
        <x:v>-1.7741273100616017</x:v>
      </x:c>
      <x:c r="G6877" s="26" t="b">
        <x:v>0</x:v>
      </x:c>
      <x:c r="H6877" s="16" t="n">
        <x:v>0.75</x:v>
      </x:c>
      <x:c r="I6877" s="16" t="n">
        <x:v>1.2</x:v>
      </x:c>
      <x:c r="J6877" s="16" t="n">
        <x:v>1.5</x:v>
      </x:c>
      <x:c r="K6877" s="11" t="n">
        <x:f>CHOOSE('假设'!$B$3,H6877,I6877,J6877)</x:f>
        <x:v>1.2</x:v>
      </x:c>
      <x:c r="L6877" s="11" t="n">
        <x:f>K6877*'管线假设'!E1471*'管线假设'!F1471*'管线假设'!G1471*IF(E6877="USD",'管线假设'!I1471,1)-AM6877</x:f>
        <x:v>0.30179999999999996</x:v>
      </x:c>
      <x:c r="M6877" s="11" t="n">
        <x:f>'管线假设'!H1471</x:f>
        <x:v>0.14</x:v>
      </x:c>
      <x:c r="N6877" s="11" t="n">
        <x:f>IF(G6877,L6877*AN6877/(1+M6877)^F6877,0)</x:f>
        <x:v>0</x:v>
      </x:c>
      <x:c r="AJ6877" s="42" t="n">
        <x:v>0.05</x:v>
      </x:c>
      <x:c r="AK6877" s="42" t="n">
        <x:v>0.12</x:v>
      </x:c>
      <x:c r="AL6877" s="42" t="n">
        <x:v>0.15</x:v>
      </x:c>
      <x:c r="AM6877" t="n">
        <x:f>CHOOSE('假设'!$B$3,AJ6877,AK6877,AL6877)</x:f>
        <x:v>0.12</x:v>
      </x:c>
      <x:c r="AN6877" t="n">
        <x:v>0</x:v>
      </x:c>
    </x:row>
    <x:row r="6878" ht="23" customHeight="1">
      <x:c r="A6878" s="11" t="str">
        <x:v>09995.HK</x:v>
      </x:c>
      <x:c r="B6878" s="11" t="str">
        <x:v>三年</x:v>
      </x:c>
      <x:c r="C6878" s="11" t="str">
        <x:v>RC48_approved_China</x:v>
      </x:c>
      <x:c r="D6878" s="11" t="str">
        <x:v>2028-12-31</x:v>
      </x:c>
      <x:c r="E6878" s="11" t="str">
        <x:v>CNY</x:v>
      </x:c>
      <x:c r="F6878" s="11" t="n">
        <x:v>-0.7720739219712526</x:v>
      </x:c>
      <x:c r="G6878" s="26" t="b">
        <x:v>0</x:v>
      </x:c>
      <x:c r="H6878" s="16" t="n">
        <x:v>0.8</x:v>
      </x:c>
      <x:c r="I6878" s="16" t="n">
        <x:v>1.7</x:v>
      </x:c>
      <x:c r="J6878" s="16" t="n">
        <x:v>2.2</x:v>
      </x:c>
      <x:c r="K6878" s="11" t="n">
        <x:f>CHOOSE('假设'!$B$3,H6878,I6878,J6878)</x:f>
        <x:v>1.7</x:v>
      </x:c>
      <x:c r="L6878" s="11" t="n">
        <x:f>K6878*'管线假设'!E1471*'管线假设'!F1471*'管线假设'!G1471*IF(E6878="USD",'管线假设'!I1471,1)-AM6878</x:f>
        <x:v>0.49755000000000005</x:v>
      </x:c>
      <x:c r="M6878" s="11" t="n">
        <x:f>'管线假设'!H1471</x:f>
        <x:v>0.14</x:v>
      </x:c>
      <x:c r="N6878" s="11" t="n">
        <x:f>IF(G6878,L6878*AN6878/(1+M6878)^F6878,0)</x:f>
        <x:v>0</x:v>
      </x:c>
      <x:c r="AJ6878" s="42" t="n">
        <x:v>0.04</x:v>
      </x:c>
      <x:c r="AK6878" s="42" t="n">
        <x:v>0.1</x:v>
      </x:c>
      <x:c r="AL6878" s="42" t="n">
        <x:v>0.12</x:v>
      </x:c>
      <x:c r="AM6878" t="n">
        <x:f>CHOOSE('假设'!$B$3,AJ6878,AK6878,AL6878)</x:f>
        <x:v>0.1</x:v>
      </x:c>
      <x:c r="AN6878" t="n">
        <x:v>0</x:v>
      </x:c>
    </x:row>
    <x:row r="6879" ht="23" customHeight="1">
      <x:c r="A6879" s="11" t="str">
        <x:v>09995.HK</x:v>
      </x:c>
      <x:c r="B6879" s="11" t="str">
        <x:v>三年</x:v>
      </x:c>
      <x:c r="C6879" s="11" t="str">
        <x:v>RC48_approved_China</x:v>
      </x:c>
      <x:c r="D6879" s="11" t="str">
        <x:v>2029-12-31</x:v>
      </x:c>
      <x:c r="E6879" s="11" t="str">
        <x:v>CNY</x:v>
      </x:c>
      <x:c r="F6879" s="11" t="n">
        <x:v>0.2272416153319644</x:v>
      </x:c>
      <x:c r="G6879" s="26" t="b">
        <x:v>1</x:v>
      </x:c>
      <x:c r="H6879" s="16" t="n">
        <x:v>0.9</x:v>
      </x:c>
      <x:c r="I6879" s="16" t="n">
        <x:v>2.2</x:v>
      </x:c>
      <x:c r="J6879" s="16" t="n">
        <x:v>3.1</x:v>
      </x:c>
      <x:c r="K6879" s="11" t="n">
        <x:f>CHOOSE('假设'!$B$3,H6879,I6879,J6879)</x:f>
        <x:v>2.2</x:v>
      </x:c>
      <x:c r="L6879" s="11" t="n">
        <x:f>K6879*'管线假设'!E1471*'管线假设'!F1471*'管线假设'!G1471*IF(E6879="USD",'管线假设'!I1471,1)-AM6879</x:f>
        <x:v>0.7033</x:v>
      </x:c>
      <x:c r="M6879" s="11" t="n">
        <x:f>'管线假设'!H1471</x:f>
        <x:v>0.14</x:v>
      </x:c>
      <x:c r="N6879" s="11" t="n">
        <x:f>IF(G6879,L6879*AN6879/(1+M6879)^F6879,0)</x:f>
        <x:v>0.15566327946996408</x:v>
      </x:c>
      <x:c r="AJ6879" s="42" t="n">
        <x:v>0</x:v>
      </x:c>
      <x:c r="AK6879" s="42" t="n">
        <x:v>0.07</x:v>
      </x:c>
      <x:c r="AL6879" s="42" t="n">
        <x:v>0.1</x:v>
      </x:c>
      <x:c r="AM6879" t="n">
        <x:f>CHOOSE('假设'!$B$3,AJ6879,AK6879,AL6879)</x:f>
        <x:v>0.07</x:v>
      </x:c>
      <x:c r="AN6879" t="n">
        <x:v>0.22802197802197802</x:v>
      </x:c>
    </x:row>
    <x:row r="6880" ht="23" customHeight="1">
      <x:c r="A6880" s="11" t="str">
        <x:v>09995.HK</x:v>
      </x:c>
      <x:c r="B6880" s="11" t="str">
        <x:v>三年</x:v>
      </x:c>
      <x:c r="C6880" s="11" t="str">
        <x:v>RC48_approved_China</x:v>
      </x:c>
      <x:c r="D6880" s="11" t="str">
        <x:v>2030-12-31</x:v>
      </x:c>
      <x:c r="E6880" s="11" t="str">
        <x:v>CNY</x:v>
      </x:c>
      <x:c r="F6880" s="11" t="n">
        <x:v>1.2265571526351813</x:v>
      </x:c>
      <x:c r="G6880" s="26" t="b">
        <x:v>1</x:v>
      </x:c>
      <x:c r="H6880" s="16" t="n">
        <x:v>0.95</x:v>
      </x:c>
      <x:c r="I6880" s="16" t="n">
        <x:v>2.7</x:v>
      </x:c>
      <x:c r="J6880" s="16" t="n">
        <x:v>4.1</x:v>
      </x:c>
      <x:c r="K6880" s="11" t="n">
        <x:f>CHOOSE('假设'!$B$3,H6880,I6880,J6880)</x:f>
        <x:v>2.7</x:v>
      </x:c>
      <x:c r="L6880" s="11" t="n">
        <x:f>K6880*'管线假设'!E1471*'管线假设'!F1471*'管线假设'!G1471*IF(E6880="USD",'管线假设'!I1471,1)-AM6880</x:f>
        <x:v>0.94905</x:v>
      </x:c>
      <x:c r="M6880" s="11" t="n">
        <x:f>'管线假设'!H1471</x:f>
        <x:v>0.14</x:v>
      </x:c>
      <x:c r="N6880" s="11" t="n">
        <x:f>IF(G6880,L6880*AN6880/(1+M6880)^F6880,0)</x:f>
        <x:v>0.8081501187602783</x:v>
      </x:c>
      <x:c r="AJ6880" s="42" t="n">
        <x:v>0</x:v>
      </x:c>
      <x:c r="AK6880" s="42" t="n">
        <x:v>0</x:v>
      </x:c>
      <x:c r="AL6880" s="42" t="n">
        <x:v>0</x:v>
      </x:c>
      <x:c r="AM6880" t="n">
        <x:f>CHOOSE('假设'!$B$3,AJ6880,AK6880,AL6880)</x:f>
        <x:v>0</x:v>
      </x:c>
      <x:c r="AN6880" t="n">
        <x:v>1</x:v>
      </x:c>
    </x:row>
    <x:row r="6881" ht="23" customHeight="1">
      <x:c r="A6881" s="11" t="str">
        <x:v>09995.HK</x:v>
      </x:c>
      <x:c r="B6881" s="11" t="str">
        <x:v>三年</x:v>
      </x:c>
      <x:c r="C6881" s="11" t="str">
        <x:v>RC48_approved_China</x:v>
      </x:c>
      <x:c r="D6881" s="11" t="str">
        <x:v>2031-12-31</x:v>
      </x:c>
      <x:c r="E6881" s="11" t="str">
        <x:v>CNY</x:v>
      </x:c>
      <x:c r="F6881" s="11" t="n">
        <x:v>2.2258726899383983</x:v>
      </x:c>
      <x:c r="G6881" s="26" t="b">
        <x:v>1</x:v>
      </x:c>
      <x:c r="H6881" s="16" t="n">
        <x:v>1</x:v>
      </x:c>
      <x:c r="I6881" s="16" t="n">
        <x:v>3.1</x:v>
      </x:c>
      <x:c r="J6881" s="16" t="n">
        <x:v>5</x:v>
      </x:c>
      <x:c r="K6881" s="11" t="n">
        <x:f>CHOOSE('假设'!$B$3,H6881,I6881,J6881)</x:f>
        <x:v>3.1</x:v>
      </x:c>
      <x:c r="L6881" s="11" t="n">
        <x:f>K6881*'管线假设'!E1471*'管线假设'!F1471*'管线假设'!G1471*IF(E6881="USD",'管线假设'!I1471,1)-AM6881</x:f>
        <x:v>1.08965</x:v>
      </x:c>
      <x:c r="M6881" s="11" t="n">
        <x:f>'管线假设'!H1471</x:f>
        <x:v>0.14</x:v>
      </x:c>
      <x:c r="N6881" s="11" t="n">
        <x:f>IF(G6881,L6881*AN6881/(1+M6881)^F6881,0)</x:f>
        <x:v>0.8139993698330129</x:v>
      </x:c>
      <x:c r="AJ6881" s="42" t="n">
        <x:v>0</x:v>
      </x:c>
      <x:c r="AK6881" s="42" t="n">
        <x:v>0</x:v>
      </x:c>
      <x:c r="AL6881" s="42" t="n">
        <x:v>0</x:v>
      </x:c>
      <x:c r="AM6881" t="n">
        <x:f>CHOOSE('假设'!$B$3,AJ6881,AK6881,AL6881)</x:f>
        <x:v>0</x:v>
      </x:c>
      <x:c r="AN6881" t="n">
        <x:v>1</x:v>
      </x:c>
    </x:row>
    <x:row r="6882" ht="23" customHeight="1">
      <x:c r="A6882" s="11" t="str">
        <x:v>09995.HK</x:v>
      </x:c>
      <x:c r="B6882" s="11" t="str">
        <x:v>三年</x:v>
      </x:c>
      <x:c r="C6882" s="11" t="str">
        <x:v>RC48_approved_China</x:v>
      </x:c>
      <x:c r="D6882" s="11" t="str">
        <x:v>2032-12-31</x:v>
      </x:c>
      <x:c r="E6882" s="11" t="str">
        <x:v>CNY</x:v>
      </x:c>
      <x:c r="F6882" s="11" t="n">
        <x:v>3.2279260780287475</x:v>
      </x:c>
      <x:c r="G6882" s="26" t="b">
        <x:v>1</x:v>
      </x:c>
      <x:c r="H6882" s="16" t="n">
        <x:v>1</x:v>
      </x:c>
      <x:c r="I6882" s="16" t="n">
        <x:v>3.4</x:v>
      </x:c>
      <x:c r="J6882" s="16" t="n">
        <x:v>5.8</x:v>
      </x:c>
      <x:c r="K6882" s="11" t="n">
        <x:f>CHOOSE('假设'!$B$3,H6882,I6882,J6882)</x:f>
        <x:v>3.4</x:v>
      </x:c>
      <x:c r="L6882" s="11" t="n">
        <x:f>K6882*'管线假设'!E1471*'管线假设'!F1471*'管线假设'!G1471*IF(E6882="USD",'管线假设'!I1471,1)-AM6882</x:f>
        <x:v>1.1951</x:v>
      </x:c>
      <x:c r="M6882" s="11" t="n">
        <x:f>'管线假设'!H1471</x:f>
        <x:v>0.14</x:v>
      </x:c>
      <x:c r="N6882" s="11" t="n">
        <x:f>IF(G6882,L6882*AN6882/(1+M6882)^F6882,0)</x:f>
        <x:v>0.7829239757233315</x:v>
      </x:c>
      <x:c r="AJ6882" s="42" t="n">
        <x:v>0</x:v>
      </x:c>
      <x:c r="AK6882" s="42" t="n">
        <x:v>0</x:v>
      </x:c>
      <x:c r="AL6882" s="42" t="n">
        <x:v>0</x:v>
      </x:c>
      <x:c r="AM6882" t="n">
        <x:f>CHOOSE('假设'!$B$3,AJ6882,AK6882,AL6882)</x:f>
        <x:v>0</x:v>
      </x:c>
      <x:c r="AN6882" t="n">
        <x:v>1</x:v>
      </x:c>
    </x:row>
    <x:row r="6883" ht="23" customHeight="1">
      <x:c r="A6883" s="11" t="str">
        <x:v>09995.HK</x:v>
      </x:c>
      <x:c r="B6883" s="11" t="str">
        <x:v>三年</x:v>
      </x:c>
      <x:c r="C6883" s="11" t="str">
        <x:v>RC48_approved_China</x:v>
      </x:c>
      <x:c r="D6883" s="11" t="str">
        <x:v>2033-12-31</x:v>
      </x:c>
      <x:c r="E6883" s="11" t="str">
        <x:v>CNY</x:v>
      </x:c>
      <x:c r="F6883" s="11" t="n">
        <x:v>4.227241615331964</x:v>
      </x:c>
      <x:c r="G6883" s="26" t="b">
        <x:v>1</x:v>
      </x:c>
      <x:c r="H6883" s="16" t="n">
        <x:v>0.95</x:v>
      </x:c>
      <x:c r="I6883" s="16" t="n">
        <x:v>3.6</x:v>
      </x:c>
      <x:c r="J6883" s="16" t="n">
        <x:v>6.3</x:v>
      </x:c>
      <x:c r="K6883" s="11" t="n">
        <x:f>CHOOSE('假设'!$B$3,H6883,I6883,J6883)</x:f>
        <x:v>3.6</x:v>
      </x:c>
      <x:c r="L6883" s="11" t="n">
        <x:f>K6883*'管线假设'!E1471*'管线假设'!F1471*'管线假设'!G1471*IF(E6883="USD",'管线假设'!I1471,1)-AM6883</x:f>
        <x:v>1.2653999999999999</x:v>
      </x:c>
      <x:c r="M6883" s="11" t="n">
        <x:f>'管线假设'!H1471</x:f>
        <x:v>0.14</x:v>
      </x:c>
      <x:c r="N6883" s="11" t="n">
        <x:f>IF(G6883,L6883*AN6883/(1+M6883)^F6883,0)</x:f>
        <x:v>0.7272391900243366</x:v>
      </x:c>
      <x:c r="AJ6883" s="42" t="n">
        <x:v>0</x:v>
      </x:c>
      <x:c r="AK6883" s="42" t="n">
        <x:v>0</x:v>
      </x:c>
      <x:c r="AL6883" s="42" t="n">
        <x:v>0</x:v>
      </x:c>
      <x:c r="AM6883" t="n">
        <x:f>CHOOSE('假设'!$B$3,AJ6883,AK6883,AL6883)</x:f>
        <x:v>0</x:v>
      </x:c>
      <x:c r="AN6883" t="n">
        <x:v>1</x:v>
      </x:c>
    </x:row>
    <x:row r="6884" ht="23" customHeight="1">
      <x:c r="A6884" s="11" t="str">
        <x:v>09995.HK</x:v>
      </x:c>
      <x:c r="B6884" s="11" t="str">
        <x:v>三年</x:v>
      </x:c>
      <x:c r="C6884" s="11" t="str">
        <x:v>RC48_approved_China</x:v>
      </x:c>
      <x:c r="D6884" s="11" t="str">
        <x:v>2034-12-31</x:v>
      </x:c>
      <x:c r="E6884" s="11" t="str">
        <x:v>CNY</x:v>
      </x:c>
      <x:c r="F6884" s="11" t="n">
        <x:v>5.2265571526351815</x:v>
      </x:c>
      <x:c r="G6884" s="26" t="b">
        <x:v>1</x:v>
      </x:c>
      <x:c r="H6884" s="16" t="n">
        <x:v>0.9</x:v>
      </x:c>
      <x:c r="I6884" s="16" t="n">
        <x:v>3.7</x:v>
      </x:c>
      <x:c r="J6884" s="16" t="n">
        <x:v>6.7</x:v>
      </x:c>
      <x:c r="K6884" s="11" t="n">
        <x:f>CHOOSE('假设'!$B$3,H6884,I6884,J6884)</x:f>
        <x:v>3.7</x:v>
      </x:c>
      <x:c r="L6884" s="11" t="n">
        <x:f>K6884*'管线假设'!E1471*'管线假设'!F1471*'管线假设'!G1471*IF(E6884="USD",'管线假设'!I1471,1)-AM6884</x:f>
        <x:v>1.30055</x:v>
      </x:c>
      <x:c r="M6884" s="11" t="n">
        <x:f>'管线假设'!H1471</x:f>
        <x:v>0.14</x:v>
      </x:c>
      <x:c r="N6884" s="11" t="n">
        <x:f>IF(G6884,L6884*AN6884/(1+M6884)^F6884,0)</x:f>
        <x:v>0.6557081710917214</x:v>
      </x:c>
      <x:c r="AJ6884" s="42" t="n">
        <x:v>0</x:v>
      </x:c>
      <x:c r="AK6884" s="42" t="n">
        <x:v>0</x:v>
      </x:c>
      <x:c r="AL6884" s="42" t="n">
        <x:v>0</x:v>
      </x:c>
      <x:c r="AM6884" t="n">
        <x:f>CHOOSE('假设'!$B$3,AJ6884,AK6884,AL6884)</x:f>
        <x:v>0</x:v>
      </x:c>
      <x:c r="AN6884" t="n">
        <x:v>1</x:v>
      </x:c>
    </x:row>
    <x:row r="6885" ht="23" customHeight="1">
      <x:c r="A6885" s="11" t="str">
        <x:v>09995.HK</x:v>
      </x:c>
      <x:c r="B6885" s="11" t="str">
        <x:v>三年</x:v>
      </x:c>
      <x:c r="C6885" s="11" t="str">
        <x:v>RC48_approved_China</x:v>
      </x:c>
      <x:c r="D6885" s="11" t="str">
        <x:v>2035-12-31</x:v>
      </x:c>
      <x:c r="E6885" s="11" t="str">
        <x:v>CNY</x:v>
      </x:c>
      <x:c r="F6885" s="11" t="n">
        <x:v>6.225872689938399</x:v>
      </x:c>
      <x:c r="G6885" s="26" t="b">
        <x:v>1</x:v>
      </x:c>
      <x:c r="H6885" s="16" t="n">
        <x:v>0.85</x:v>
      </x:c>
      <x:c r="I6885" s="16" t="n">
        <x:v>3.7</x:v>
      </x:c>
      <x:c r="J6885" s="16" t="n">
        <x:v>6.7</x:v>
      </x:c>
      <x:c r="K6885" s="11" t="n">
        <x:f>CHOOSE('假设'!$B$3,H6885,I6885,J6885)</x:f>
        <x:v>3.7</x:v>
      </x:c>
      <x:c r="L6885" s="11" t="n">
        <x:f>K6885*'管线假设'!E1471*'管线假设'!F1471*'管线假设'!G1471*IF(E6885="USD",'管线假设'!I1471,1)-AM6885</x:f>
        <x:v>1.30055</x:v>
      </x:c>
      <x:c r="M6885" s="11" t="n">
        <x:f>'管线假设'!H1471</x:f>
        <x:v>0.14</x:v>
      </x:c>
      <x:c r="N6885" s="11" t="n">
        <x:f>IF(G6885,L6885*AN6885/(1+M6885)^F6885,0)</x:f>
        <x:v>0.5752341931866426</x:v>
      </x:c>
      <x:c r="AJ6885" s="42" t="n">
        <x:v>0</x:v>
      </x:c>
      <x:c r="AK6885" s="42" t="n">
        <x:v>0</x:v>
      </x:c>
      <x:c r="AL6885" s="42" t="n">
        <x:v>0</x:v>
      </x:c>
      <x:c r="AM6885" t="n">
        <x:f>CHOOSE('假设'!$B$3,AJ6885,AK6885,AL6885)</x:f>
        <x:v>0</x:v>
      </x:c>
      <x:c r="AN6885" t="n">
        <x:v>1</x:v>
      </x:c>
    </x:row>
    <x:row r="6886" ht="23" customHeight="1">
      <x:c r="A6886" s="11" t="str">
        <x:v>09995.HK</x:v>
      </x:c>
      <x:c r="B6886" s="11" t="str">
        <x:v>三年</x:v>
      </x:c>
      <x:c r="C6886" s="11" t="str">
        <x:v>RC48_approved_China</x:v>
      </x:c>
      <x:c r="D6886" s="11" t="str">
        <x:v>2036-12-31</x:v>
      </x:c>
      <x:c r="E6886" s="11" t="str">
        <x:v>CNY</x:v>
      </x:c>
      <x:c r="F6886" s="11" t="n">
        <x:v>7.227926078028747</x:v>
      </x:c>
      <x:c r="G6886" s="26" t="b">
        <x:v>1</x:v>
      </x:c>
      <x:c r="H6886" s="16" t="n">
        <x:v>0.75</x:v>
      </x:c>
      <x:c r="I6886" s="16" t="n">
        <x:v>3.6</x:v>
      </x:c>
      <x:c r="J6886" s="16" t="n">
        <x:v>6.4</x:v>
      </x:c>
      <x:c r="K6886" s="11" t="n">
        <x:f>CHOOSE('假设'!$B$3,H6886,I6886,J6886)</x:f>
        <x:v>3.6</x:v>
      </x:c>
      <x:c r="L6886" s="11" t="n">
        <x:f>K6886*'管线假设'!E1471*'管线假设'!F1471*'管线假设'!G1471*IF(E6886="USD",'管线假设'!I1471,1)-AM6886</x:f>
        <x:v>1.2653999999999999</x:v>
      </x:c>
      <x:c r="M6886" s="11" t="n">
        <x:f>'管线假设'!H1471</x:f>
        <x:v>0.14</x:v>
      </x:c>
      <x:c r="N6886" s="11" t="n">
        <x:f>IF(G6886,L6886*AN6886/(1+M6886)^F6886,0)</x:f>
        <x:v>0.49082171792404394</x:v>
      </x:c>
      <x:c r="AJ6886" s="42" t="n">
        <x:v>0</x:v>
      </x:c>
      <x:c r="AK6886" s="42" t="n">
        <x:v>0</x:v>
      </x:c>
      <x:c r="AL6886" s="42" t="n">
        <x:v>0</x:v>
      </x:c>
      <x:c r="AM6886" t="n">
        <x:f>CHOOSE('假设'!$B$3,AJ6886,AK6886,AL6886)</x:f>
        <x:v>0</x:v>
      </x:c>
      <x:c r="AN6886" t="n">
        <x:v>1</x:v>
      </x:c>
    </x:row>
    <x:row r="6887" ht="23" customHeight="1">
      <x:c r="A6887" s="11" t="str">
        <x:v>09995.HK</x:v>
      </x:c>
      <x:c r="B6887" s="11" t="str">
        <x:v>三年</x:v>
      </x:c>
      <x:c r="C6887" s="11" t="str">
        <x:v>RC48_approved_China</x:v>
      </x:c>
      <x:c r="D6887" s="11" t="str">
        <x:v>2037-12-31</x:v>
      </x:c>
      <x:c r="E6887" s="11" t="str">
        <x:v>CNY</x:v>
      </x:c>
      <x:c r="F6887" s="11" t="n">
        <x:v>8.227241615331964</x:v>
      </x:c>
      <x:c r="G6887" s="26" t="b">
        <x:v>1</x:v>
      </x:c>
      <x:c r="H6887" s="16" t="n">
        <x:v>0.65</x:v>
      </x:c>
      <x:c r="I6887" s="16" t="n">
        <x:v>3.4</x:v>
      </x:c>
      <x:c r="J6887" s="16" t="n">
        <x:v>6</x:v>
      </x:c>
      <x:c r="K6887" s="11" t="n">
        <x:f>CHOOSE('假设'!$B$3,H6887,I6887,J6887)</x:f>
        <x:v>3.4</x:v>
      </x:c>
      <x:c r="L6887" s="11" t="n">
        <x:f>K6887*'管线假设'!E1471*'管线假设'!F1471*'管线假设'!G1471*IF(E6887="USD",'管线假设'!I1471,1)-AM6887</x:f>
        <x:v>1.1951</x:v>
      </x:c>
      <x:c r="M6887" s="11" t="n">
        <x:f>'管线假设'!H1471</x:f>
        <x:v>0.14</x:v>
      </x:c>
      <x:c r="N6887" s="11" t="n">
        <x:f>IF(G6887,L6887*AN6887/(1+M6887)^F6887,0)</x:f>
        <x:v>0.4066626490471878</x:v>
      </x:c>
      <x:c r="AJ6887" s="42" t="n">
        <x:v>0</x:v>
      </x:c>
      <x:c r="AK6887" s="42" t="n">
        <x:v>0</x:v>
      </x:c>
      <x:c r="AL6887" s="42" t="n">
        <x:v>0</x:v>
      </x:c>
      <x:c r="AM6887" t="n">
        <x:f>CHOOSE('假设'!$B$3,AJ6887,AK6887,AL6887)</x:f>
        <x:v>0</x:v>
      </x:c>
      <x:c r="AN6887" t="n">
        <x:v>1</x:v>
      </x:c>
    </x:row>
    <x:row r="6888" ht="23" customHeight="1">
      <x:c r="A6888" s="11" t="str">
        <x:v>09995.HK</x:v>
      </x:c>
      <x:c r="B6888" s="11" t="str">
        <x:v>三年</x:v>
      </x:c>
      <x:c r="C6888" s="11" t="str">
        <x:v>RC48_approved_China</x:v>
      </x:c>
      <x:c r="D6888" s="11" t="str">
        <x:v>2038-12-31</x:v>
      </x:c>
      <x:c r="E6888" s="11" t="str">
        <x:v>CNY</x:v>
      </x:c>
      <x:c r="F6888" s="11" t="n">
        <x:v>9.22655715263518</x:v>
      </x:c>
      <x:c r="G6888" s="26" t="b">
        <x:v>1</x:v>
      </x:c>
      <x:c r="H6888" s="16" t="n">
        <x:v>0.55</x:v>
      </x:c>
      <x:c r="I6888" s="16" t="n">
        <x:v>3.1</x:v>
      </x:c>
      <x:c r="J6888" s="16" t="n">
        <x:v>5.5</x:v>
      </x:c>
      <x:c r="K6888" s="11" t="n">
        <x:f>CHOOSE('假设'!$B$3,H6888,I6888,J6888)</x:f>
        <x:v>3.1</x:v>
      </x:c>
      <x:c r="L6888" s="11" t="n">
        <x:f>K6888*'管线假设'!E1471*'管线假设'!F1471*'管线假设'!G1471*IF(E6888="USD",'管线假设'!I1471,1)-AM6888</x:f>
        <x:v>1.08965</x:v>
      </x:c>
      <x:c r="M6888" s="11" t="n">
        <x:f>'管线假设'!H1471</x:f>
        <x:v>0.14</x:v>
      </x:c>
      <x:c r="N6888" s="11" t="n">
        <x:f>IF(G6888,L6888*AN6888/(1+M6888)^F6888,0)</x:f>
        <x:v>0.3252753554116342</x:v>
      </x:c>
      <x:c r="AJ6888" s="42" t="n">
        <x:v>0</x:v>
      </x:c>
      <x:c r="AK6888" s="42" t="n">
        <x:v>0</x:v>
      </x:c>
      <x:c r="AL6888" s="42" t="n">
        <x:v>0</x:v>
      </x:c>
      <x:c r="AM6888" t="n">
        <x:f>CHOOSE('假设'!$B$3,AJ6888,AK6888,AL6888)</x:f>
        <x:v>0</x:v>
      </x:c>
      <x:c r="AN6888" t="n">
        <x:v>1</x:v>
      </x:c>
    </x:row>
    <x:row r="6889" ht="23" customHeight="1">
      <x:c r="A6889" s="11" t="str">
        <x:v>09995.HK</x:v>
      </x:c>
      <x:c r="B6889" s="11" t="str">
        <x:v>三年</x:v>
      </x:c>
      <x:c r="C6889" s="11" t="str">
        <x:v>RC48_approved_China</x:v>
      </x:c>
      <x:c r="D6889" s="11" t="str">
        <x:v>2039-12-31</x:v>
      </x:c>
      <x:c r="E6889" s="11" t="str">
        <x:v>CNY</x:v>
      </x:c>
      <x:c r="F6889" s="11" t="n">
        <x:v>10.225872689938399</x:v>
      </x:c>
      <x:c r="G6889" s="26" t="b">
        <x:v>1</x:v>
      </x:c>
      <x:c r="H6889" s="16" t="n">
        <x:v>0.45</x:v>
      </x:c>
      <x:c r="I6889" s="16" t="n">
        <x:v>2.7</x:v>
      </x:c>
      <x:c r="J6889" s="16" t="n">
        <x:v>4.7</x:v>
      </x:c>
      <x:c r="K6889" s="11" t="n">
        <x:f>CHOOSE('假设'!$B$3,H6889,I6889,J6889)</x:f>
        <x:v>2.7</x:v>
      </x:c>
      <x:c r="L6889" s="11" t="n">
        <x:f>K6889*'管线假设'!E1471*'管线假设'!F1471*'管线假设'!G1471*IF(E6889="USD",'管线假设'!I1471,1)-AM6889</x:f>
        <x:v>0.94905</x:v>
      </x:c>
      <x:c r="M6889" s="11" t="n">
        <x:f>'管线假设'!H1471</x:f>
        <x:v>0.14</x:v>
      </x:c>
      <x:c r="N6889" s="11" t="n">
        <x:f>IF(G6889,L6889*AN6889/(1+M6889)^F6889,0)</x:f>
        <x:v>0.24853486912644976</x:v>
      </x:c>
      <x:c r="AJ6889" s="42" t="n">
        <x:v>0</x:v>
      </x:c>
      <x:c r="AK6889" s="42" t="n">
        <x:v>0</x:v>
      </x:c>
      <x:c r="AL6889" s="42" t="n">
        <x:v>0</x:v>
      </x:c>
      <x:c r="AM6889" t="n">
        <x:f>CHOOSE('假设'!$B$3,AJ6889,AK6889,AL6889)</x:f>
        <x:v>0</x:v>
      </x:c>
      <x:c r="AN6889" t="n">
        <x:v>1</x:v>
      </x:c>
    </x:row>
    <x:row r="6890" ht="23" customHeight="1">
      <x:c r="A6890" s="11" t="str">
        <x:v>09995.HK</x:v>
      </x:c>
      <x:c r="B6890" s="11" t="str">
        <x:v>三年</x:v>
      </x:c>
      <x:c r="C6890" s="11" t="str">
        <x:v>RC48_approved_China</x:v>
      </x:c>
      <x:c r="D6890" s="11" t="str">
        <x:v>2040-12-31</x:v>
      </x:c>
      <x:c r="E6890" s="11" t="str">
        <x:v>CNY</x:v>
      </x:c>
      <x:c r="F6890" s="11" t="n">
        <x:v>11.227926078028748</x:v>
      </x:c>
      <x:c r="G6890" s="26" t="b">
        <x:v>1</x:v>
      </x:c>
      <x:c r="H6890" s="16" t="n">
        <x:v>0.35</x:v>
      </x:c>
      <x:c r="I6890" s="16" t="n">
        <x:v>2.2</x:v>
      </x:c>
      <x:c r="J6890" s="16" t="n">
        <x:v>3.8</x:v>
      </x:c>
      <x:c r="K6890" s="11" t="n">
        <x:f>CHOOSE('假设'!$B$3,H6890,I6890,J6890)</x:f>
        <x:v>2.2</x:v>
      </x:c>
      <x:c r="L6890" s="11" t="n">
        <x:f>K6890*'管线假设'!E1471*'管线假设'!F1471*'管线假设'!G1471*IF(E6890="USD",'管线假设'!I1471,1)-AM6890</x:f>
        <x:v>0.7733</x:v>
      </x:c>
      <x:c r="M6890" s="11" t="n">
        <x:f>'管线假设'!H1471</x:f>
        <x:v>0.14</x:v>
      </x:c>
      <x:c r="N6890" s="11" t="n">
        <x:f>IF(G6890,L6890*AN6890/(1+M6890)^F6890,0)</x:f>
        <x:v>0.1775924693203105</x:v>
      </x:c>
      <x:c r="AJ6890" s="42" t="n">
        <x:v>0</x:v>
      </x:c>
      <x:c r="AK6890" s="42" t="n">
        <x:v>0</x:v>
      </x:c>
      <x:c r="AL6890" s="42" t="n">
        <x:v>0</x:v>
      </x:c>
      <x:c r="AM6890" t="n">
        <x:f>CHOOSE('假设'!$B$3,AJ6890,AK6890,AL6890)</x:f>
        <x:v>0</x:v>
      </x:c>
      <x:c r="AN6890" t="n">
        <x:v>1</x:v>
      </x:c>
    </x:row>
    <x:row r="6891" ht="23" customHeight="1">
      <x:c r="A6891" s="11" t="str">
        <x:v>09995.HK</x:v>
      </x:c>
      <x:c r="B6891" s="11" t="str">
        <x:v>三年</x:v>
      </x:c>
      <x:c r="C6891" s="11" t="str">
        <x:v>RC48_approved_China</x:v>
      </x:c>
      <x:c r="D6891" s="11" t="str">
        <x:v>2041-12-31</x:v>
      </x:c>
      <x:c r="E6891" s="11" t="str">
        <x:v>CNY</x:v>
      </x:c>
      <x:c r="F6891" s="11" t="n">
        <x:v>12.227241615331964</x:v>
      </x:c>
      <x:c r="G6891" s="26" t="b">
        <x:v>1</x:v>
      </x:c>
      <x:c r="H6891" s="16" t="n">
        <x:v>0.25</x:v>
      </x:c>
      <x:c r="I6891" s="16" t="n">
        <x:v>1.7</x:v>
      </x:c>
      <x:c r="J6891" s="16" t="n">
        <x:v>2.9</x:v>
      </x:c>
      <x:c r="K6891" s="11" t="n">
        <x:f>CHOOSE('假设'!$B$3,H6891,I6891,J6891)</x:f>
        <x:v>1.7</x:v>
      </x:c>
      <x:c r="L6891" s="11" t="n">
        <x:f>K6891*'管线假设'!E1471*'管线假设'!F1471*'管线假设'!G1471*IF(E6891="USD",'管线假设'!I1471,1)-AM6891</x:f>
        <x:v>0.59755</x:v>
      </x:c>
      <x:c r="M6891" s="11" t="n">
        <x:f>'管线假设'!H1471</x:f>
        <x:v>0.14</x:v>
      </x:c>
      <x:c r="N6891" s="11" t="n">
        <x:f>IF(G6891,L6891*AN6891/(1+M6891)^F6891,0)</x:f>
        <x:v>0.12038846702197749</x:v>
      </x:c>
      <x:c r="AJ6891" s="42" t="n">
        <x:v>0</x:v>
      </x:c>
      <x:c r="AK6891" s="42" t="n">
        <x:v>0</x:v>
      </x:c>
      <x:c r="AL6891" s="42" t="n">
        <x:v>0</x:v>
      </x:c>
      <x:c r="AM6891" t="n">
        <x:f>CHOOSE('假设'!$B$3,AJ6891,AK6891,AL6891)</x:f>
        <x:v>0</x:v>
      </x:c>
      <x:c r="AN6891" t="n">
        <x:v>1</x:v>
      </x:c>
    </x:row>
    <x:row r="6892" ht="23" customHeight="1">
      <x:c r="A6892" s="11" t="str">
        <x:v>09995.HK</x:v>
      </x:c>
      <x:c r="B6892" s="11" t="str">
        <x:v>三年</x:v>
      </x:c>
      <x:c r="C6892" s="11" t="str">
        <x:v>RC48_approved_China</x:v>
      </x:c>
      <x:c r="D6892" s="11" t="str">
        <x:v>2042-12-31</x:v>
      </x:c>
      <x:c r="E6892" s="11" t="str">
        <x:v>CNY</x:v>
      </x:c>
      <x:c r="F6892" s="11" t="n">
        <x:v>13.22655715263518</x:v>
      </x:c>
      <x:c r="G6892" s="26" t="b">
        <x:v>1</x:v>
      </x:c>
      <x:c r="H6892" s="16" t="n">
        <x:v>0.18</x:v>
      </x:c>
      <x:c r="I6892" s="16" t="n">
        <x:v>1.2</x:v>
      </x:c>
      <x:c r="J6892" s="16" t="n">
        <x:v>2.1</x:v>
      </x:c>
      <x:c r="K6892" s="11" t="n">
        <x:f>CHOOSE('假设'!$B$3,H6892,I6892,J6892)</x:f>
        <x:v>1.2</x:v>
      </x:c>
      <x:c r="L6892" s="11" t="n">
        <x:f>K6892*'管线假设'!E1471*'管线假设'!F1471*'管线假设'!G1471*IF(E6892="USD",'管线假设'!I1471,1)-AM6892</x:f>
        <x:v>0.42179999999999995</x:v>
      </x:c>
      <x:c r="M6892" s="11" t="n">
        <x:f>'管线假设'!H1471</x:f>
        <x:v>0.14</x:v>
      </x:c>
      <x:c r="N6892" s="11" t="n">
        <x:f>IF(G6892,L6892*AN6892/(1+M6892)^F6892,0)</x:f>
        <x:v>0.07455062812405445</x:v>
      </x:c>
      <x:c r="AJ6892" s="42" t="n">
        <x:v>0</x:v>
      </x:c>
      <x:c r="AK6892" s="42" t="n">
        <x:v>0</x:v>
      </x:c>
      <x:c r="AL6892" s="42" t="n">
        <x:v>0</x:v>
      </x:c>
      <x:c r="AM6892" t="n">
        <x:f>CHOOSE('假设'!$B$3,AJ6892,AK6892,AL6892)</x:f>
        <x:v>0</x:v>
      </x:c>
      <x:c r="AN6892" t="n">
        <x:v>1</x:v>
      </x:c>
    </x:row>
    <x:row r="6893" ht="23" customHeight="1">
      <x:c r="A6893" s="11" t="str">
        <x:v>09995.HK</x:v>
      </x:c>
      <x:c r="B6893" s="11" t="str">
        <x:v>三年</x:v>
      </x:c>
      <x:c r="C6893" s="11" t="str">
        <x:v>RC48_approved_China</x:v>
      </x:c>
      <x:c r="D6893" s="11" t="str">
        <x:v>2043-12-31</x:v>
      </x:c>
      <x:c r="E6893" s="11" t="str">
        <x:v>CNY</x:v>
      </x:c>
      <x:c r="F6893" s="11" t="n">
        <x:v>14.225872689938399</x:v>
      </x:c>
      <x:c r="G6893" s="26" t="b">
        <x:v>1</x:v>
      </x:c>
      <x:c r="H6893" s="16" t="n">
        <x:v>0.12</x:v>
      </x:c>
      <x:c r="I6893" s="16" t="n">
        <x:v>0.8</x:v>
      </x:c>
      <x:c r="J6893" s="16" t="n">
        <x:v>1.4</x:v>
      </x:c>
      <x:c r="K6893" s="11" t="n">
        <x:f>CHOOSE('假设'!$B$3,H6893,I6893,J6893)</x:f>
        <x:v>0.8</x:v>
      </x:c>
      <x:c r="L6893" s="11" t="n">
        <x:f>K6893*'管线假设'!E1471*'管线假设'!F1471*'管线假设'!G1471*IF(E6893="USD",'管线假设'!I1471,1)-AM6893</x:f>
        <x:v>0.2812</x:v>
      </x:c>
      <x:c r="M6893" s="11" t="n">
        <x:f>'管线假设'!H1471</x:f>
        <x:v>0.14</x:v>
      </x:c>
      <x:c r="N6893" s="11" t="n">
        <x:f>IF(G6893,L6893*AN6893/(1+M6893)^F6893,0)</x:f>
        <x:v>0.04360076866623766</x:v>
      </x:c>
      <x:c r="AJ6893" s="42" t="n">
        <x:v>0</x:v>
      </x:c>
      <x:c r="AK6893" s="42" t="n">
        <x:v>0</x:v>
      </x:c>
      <x:c r="AL6893" s="42" t="n">
        <x:v>0</x:v>
      </x:c>
      <x:c r="AM6893" t="n">
        <x:f>CHOOSE('假设'!$B$3,AJ6893,AK6893,AL6893)</x:f>
        <x:v>0</x:v>
      </x:c>
      <x:c r="AN6893" t="n">
        <x:v>1</x:v>
      </x:c>
    </x:row>
    <x:row r="6894" ht="23" customHeight="1">
      <x:c r="A6894" s="11" t="str">
        <x:v>09995.HK</x:v>
      </x:c>
      <x:c r="B6894" s="11" t="str">
        <x:v>三年</x:v>
      </x:c>
      <x:c r="C6894" s="11" t="str">
        <x:v>RC48_approved_China</x:v>
      </x:c>
      <x:c r="D6894" s="11" t="str">
        <x:v>2044-12-31</x:v>
      </x:c>
      <x:c r="E6894" s="11" t="str">
        <x:v>CNY</x:v>
      </x:c>
      <x:c r="F6894" s="11" t="n">
        <x:v>15.227926078028748</x:v>
      </x:c>
      <x:c r="G6894" s="26" t="b">
        <x:v>1</x:v>
      </x:c>
      <x:c r="H6894" s="16" t="n">
        <x:v>0.08</x:v>
      </x:c>
      <x:c r="I6894" s="16" t="n">
        <x:v>0.45</x:v>
      </x:c>
      <x:c r="J6894" s="16" t="n">
        <x:v>0.8</x:v>
      </x:c>
      <x:c r="K6894" s="11" t="n">
        <x:f>CHOOSE('假设'!$B$3,H6894,I6894,J6894)</x:f>
        <x:v>0.45</x:v>
      </x:c>
      <x:c r="L6894" s="11" t="n">
        <x:f>K6894*'管线假设'!E1471*'管线假设'!F1471*'管线假设'!G1471*IF(E6894="USD",'管线假设'!I1471,1)-AM6894</x:f>
        <x:v>0.15817499999999998</x:v>
      </x:c>
      <x:c r="M6894" s="11" t="n">
        <x:f>'管线假设'!H1471</x:f>
        <x:v>0.14</x:v>
      </x:c>
      <x:c r="N6894" s="11" t="n">
        <x:f>IF(G6894,L6894*AN6894/(1+M6894)^F6894,0)</x:f>
        <x:v>0.021507749691959923</x:v>
      </x:c>
      <x:c r="AJ6894" s="42" t="n">
        <x:v>0</x:v>
      </x:c>
      <x:c r="AK6894" s="42" t="n">
        <x:v>0</x:v>
      </x:c>
      <x:c r="AL6894" s="42" t="n">
        <x:v>0</x:v>
      </x:c>
      <x:c r="AM6894" t="n">
        <x:f>CHOOSE('假设'!$B$3,AJ6894,AK6894,AL6894)</x:f>
        <x:v>0</x:v>
      </x:c>
      <x:c r="AN6894" t="n">
        <x:v>1</x:v>
      </x:c>
    </x:row>
    <x:row r="6895" ht="23" customHeight="1">
      <x:c r="A6895" s="11" t="str">
        <x:v>09995.HK</x:v>
      </x:c>
      <x:c r="B6895" s="11" t="str">
        <x:v>三年</x:v>
      </x:c>
      <x:c r="C6895" s="11" t="str">
        <x:v>RC18_new_China</x:v>
      </x:c>
      <x:c r="D6895" s="11" t="str">
        <x:v>2026-12-31</x:v>
      </x:c>
      <x:c r="E6895" s="11" t="str">
        <x:v>CNY</x:v>
      </x:c>
      <x:c r="F6895" s="11" t="n">
        <x:v>-2.7734428473648185</x:v>
      </x:c>
      <x:c r="G6895" s="26" t="b">
        <x:v>0</x:v>
      </x:c>
      <x:c r="H6895" s="16" t="n">
        <x:v>0</x:v>
      </x:c>
      <x:c r="I6895" s="16" t="n">
        <x:v>0</x:v>
      </x:c>
      <x:c r="J6895" s="16" t="n">
        <x:v>0</x:v>
      </x:c>
      <x:c r="K6895" s="11" t="n">
        <x:f>CHOOSE('假设'!$B$3,H6895,I6895,J6895)</x:f>
        <x:v>0</x:v>
      </x:c>
      <x:c r="L6895" s="11" t="n">
        <x:f>K6895*'管线假设'!E1475*'管线假设'!F1475*'管线假设'!G1475*IF(E6895="USD",'管线假设'!I1475,1)-AM6895</x:f>
        <x:v>-0.13</x:v>
      </x:c>
      <x:c r="M6895" s="11" t="n">
        <x:f>'管线假设'!H1475</x:f>
        <x:v>0.14</x:v>
      </x:c>
      <x:c r="N6895" s="11" t="n">
        <x:f>IF(G6895,L6895*AN6895/(1+M6895)^F6895,0)</x:f>
        <x:v>0</x:v>
      </x:c>
      <x:c r="AJ6895" s="42" t="n">
        <x:v>0.08</x:v>
      </x:c>
      <x:c r="AK6895" s="42" t="n">
        <x:v>0.13</x:v>
      </x:c>
      <x:c r="AL6895" s="42" t="n">
        <x:v>0.18</x:v>
      </x:c>
      <x:c r="AM6895" t="n">
        <x:f>CHOOSE('假设'!$B$3,AJ6895,AK6895,AL6895)</x:f>
        <x:v>0.13</x:v>
      </x:c>
      <x:c r="AN6895" t="n">
        <x:v>0</x:v>
      </x:c>
    </x:row>
    <x:row r="6896" ht="23" customHeight="1">
      <x:c r="A6896" s="11" t="str">
        <x:v>09995.HK</x:v>
      </x:c>
      <x:c r="B6896" s="11" t="str">
        <x:v>三年</x:v>
      </x:c>
      <x:c r="C6896" s="11" t="str">
        <x:v>RC18_new_China</x:v>
      </x:c>
      <x:c r="D6896" s="11" t="str">
        <x:v>2027-12-31</x:v>
      </x:c>
      <x:c r="E6896" s="11" t="str">
        <x:v>CNY</x:v>
      </x:c>
      <x:c r="F6896" s="11" t="n">
        <x:v>-1.7741273100616017</x:v>
      </x:c>
      <x:c r="G6896" s="26" t="b">
        <x:v>0</x:v>
      </x:c>
      <x:c r="H6896" s="16" t="n">
        <x:v>0</x:v>
      </x:c>
      <x:c r="I6896" s="16" t="n">
        <x:v>0</x:v>
      </x:c>
      <x:c r="J6896" s="16" t="n">
        <x:v>0</x:v>
      </x:c>
      <x:c r="K6896" s="11" t="n">
        <x:f>CHOOSE('假设'!$B$3,H6896,I6896,J6896)</x:f>
        <x:v>0</x:v>
      </x:c>
      <x:c r="L6896" s="11" t="n">
        <x:f>K6896*'管线假设'!E1475*'管线假设'!F1475*'管线假设'!G1475*IF(E6896="USD",'管线假设'!I1475,1)-AM6896</x:f>
        <x:v>-0.16</x:v>
      </x:c>
      <x:c r="M6896" s="11" t="n">
        <x:f>'管线假设'!H1475</x:f>
        <x:v>0.14</x:v>
      </x:c>
      <x:c r="N6896" s="11" t="n">
        <x:f>IF(G6896,L6896*AN6896/(1+M6896)^F6896,0)</x:f>
        <x:v>0</x:v>
      </x:c>
      <x:c r="AJ6896" s="42" t="n">
        <x:v>0.08</x:v>
      </x:c>
      <x:c r="AK6896" s="42" t="n">
        <x:v>0.16</x:v>
      </x:c>
      <x:c r="AL6896" s="42" t="n">
        <x:v>0.22</x:v>
      </x:c>
      <x:c r="AM6896" t="n">
        <x:f>CHOOSE('假设'!$B$3,AJ6896,AK6896,AL6896)</x:f>
        <x:v>0.16</x:v>
      </x:c>
      <x:c r="AN6896" t="n">
        <x:v>0</x:v>
      </x:c>
    </x:row>
    <x:row r="6897" ht="23" customHeight="1">
      <x:c r="A6897" s="11" t="str">
        <x:v>09995.HK</x:v>
      </x:c>
      <x:c r="B6897" s="11" t="str">
        <x:v>三年</x:v>
      </x:c>
      <x:c r="C6897" s="11" t="str">
        <x:v>RC18_new_China</x:v>
      </x:c>
      <x:c r="D6897" s="11" t="str">
        <x:v>2028-12-31</x:v>
      </x:c>
      <x:c r="E6897" s="11" t="str">
        <x:v>CNY</x:v>
      </x:c>
      <x:c r="F6897" s="11" t="n">
        <x:v>-0.7720739219712526</x:v>
      </x:c>
      <x:c r="G6897" s="26" t="b">
        <x:v>0</x:v>
      </x:c>
      <x:c r="H6897" s="16" t="n">
        <x:v>0</x:v>
      </x:c>
      <x:c r="I6897" s="16" t="n">
        <x:v>0</x:v>
      </x:c>
      <x:c r="J6897" s="16" t="n">
        <x:v>0</x:v>
      </x:c>
      <x:c r="K6897" s="11" t="n">
        <x:f>CHOOSE('假设'!$B$3,H6897,I6897,J6897)</x:f>
        <x:v>0</x:v>
      </x:c>
      <x:c r="L6897" s="11" t="n">
        <x:f>K6897*'管线假设'!E1475*'管线假设'!F1475*'管线假设'!G1475*IF(E6897="USD",'管线假设'!I1475,1)-AM6897</x:f>
        <x:v>-0.15</x:v>
      </x:c>
      <x:c r="M6897" s="11" t="n">
        <x:f>'管线假设'!H1475</x:f>
        <x:v>0.14</x:v>
      </x:c>
      <x:c r="N6897" s="11" t="n">
        <x:f>IF(G6897,L6897*AN6897/(1+M6897)^F6897,0)</x:f>
        <x:v>0</x:v>
      </x:c>
      <x:c r="AJ6897" s="42" t="n">
        <x:v>0.06</x:v>
      </x:c>
      <x:c r="AK6897" s="42" t="n">
        <x:v>0.15</x:v>
      </x:c>
      <x:c r="AL6897" s="42" t="n">
        <x:v>0.2</x:v>
      </x:c>
      <x:c r="AM6897" t="n">
        <x:f>CHOOSE('假设'!$B$3,AJ6897,AK6897,AL6897)</x:f>
        <x:v>0.15</x:v>
      </x:c>
      <x:c r="AN6897" t="n">
        <x:v>0</x:v>
      </x:c>
    </x:row>
    <x:row r="6898" ht="23" customHeight="1">
      <x:c r="A6898" s="11" t="str">
        <x:v>09995.HK</x:v>
      </x:c>
      <x:c r="B6898" s="11" t="str">
        <x:v>三年</x:v>
      </x:c>
      <x:c r="C6898" s="11" t="str">
        <x:v>RC18_new_China</x:v>
      </x:c>
      <x:c r="D6898" s="11" t="str">
        <x:v>2029-12-31</x:v>
      </x:c>
      <x:c r="E6898" s="11" t="str">
        <x:v>CNY</x:v>
      </x:c>
      <x:c r="F6898" s="11" t="n">
        <x:v>0.2272416153319644</x:v>
      </x:c>
      <x:c r="G6898" s="26" t="b">
        <x:v>1</x:v>
      </x:c>
      <x:c r="H6898" s="16" t="n">
        <x:v>0</x:v>
      </x:c>
      <x:c r="I6898" s="16" t="n">
        <x:v>0</x:v>
      </x:c>
      <x:c r="J6898" s="16" t="n">
        <x:v>0.18</x:v>
      </x:c>
      <x:c r="K6898" s="11" t="n">
        <x:f>CHOOSE('假设'!$B$3,H6898,I6898,J6898)</x:f>
        <x:v>0</x:v>
      </x:c>
      <x:c r="L6898" s="11" t="n">
        <x:f>K6898*'管线假设'!E1475*'管线假设'!F1475*'管线假设'!G1475*IF(E6898="USD",'管线假设'!I1475,1)-AM6898</x:f>
        <x:v>-0.1</x:v>
      </x:c>
      <x:c r="M6898" s="11" t="n">
        <x:f>'管线假设'!H1475</x:f>
        <x:v>0.14</x:v>
      </x:c>
      <x:c r="N6898" s="11" t="n">
        <x:f>IF(G6898,L6898*AN6898/(1+M6898)^F6898,0)</x:f>
        <x:v>-0.02213326879993802</x:v>
      </x:c>
      <x:c r="AJ6898" s="42" t="n">
        <x:v>0</x:v>
      </x:c>
      <x:c r="AK6898" s="42" t="n">
        <x:v>0.1</x:v>
      </x:c>
      <x:c r="AL6898" s="42" t="n">
        <x:v>0.12</x:v>
      </x:c>
      <x:c r="AM6898" t="n">
        <x:f>CHOOSE('假设'!$B$3,AJ6898,AK6898,AL6898)</x:f>
        <x:v>0.1</x:v>
      </x:c>
      <x:c r="AN6898" t="n">
        <x:v>0.22802197802197802</x:v>
      </x:c>
    </x:row>
    <x:row r="6899" ht="23" customHeight="1">
      <x:c r="A6899" s="11" t="str">
        <x:v>09995.HK</x:v>
      </x:c>
      <x:c r="B6899" s="11" t="str">
        <x:v>三年</x:v>
      </x:c>
      <x:c r="C6899" s="11" t="str">
        <x:v>RC18_new_China</x:v>
      </x:c>
      <x:c r="D6899" s="11" t="str">
        <x:v>2030-12-31</x:v>
      </x:c>
      <x:c r="E6899" s="11" t="str">
        <x:v>CNY</x:v>
      </x:c>
      <x:c r="F6899" s="11" t="n">
        <x:v>1.2265571526351813</x:v>
      </x:c>
      <x:c r="G6899" s="26" t="b">
        <x:v>1</x:v>
      </x:c>
      <x:c r="H6899" s="16" t="n">
        <x:v>0</x:v>
      </x:c>
      <x:c r="I6899" s="16" t="n">
        <x:v>0.09</x:v>
      </x:c>
      <x:c r="J6899" s="16" t="n">
        <x:v>0.54</x:v>
      </x:c>
      <x:c r="K6899" s="11" t="n">
        <x:f>CHOOSE('假设'!$B$3,H6899,I6899,J6899)</x:f>
        <x:v>0.09</x:v>
      </x:c>
      <x:c r="L6899" s="11" t="n">
        <x:f>K6899*'管线假设'!E1475*'管线假设'!F1475*'管线假设'!G1475*IF(E6899="USD",'管线假设'!I1475,1)-AM6899</x:f>
        <x:v>0.015479999999999999</x:v>
      </x:c>
      <x:c r="M6899" s="11" t="n">
        <x:f>'管线假设'!H1475</x:f>
        <x:v>0.14</x:v>
      </x:c>
      <x:c r="N6899" s="11" t="n">
        <x:f>IF(G6899,L6899*AN6899/(1+M6899)^F6899,0)</x:f>
        <x:v>0.013181775289404256</x:v>
      </x:c>
      <x:c r="AJ6899" s="42" t="n">
        <x:v>0</x:v>
      </x:c>
      <x:c r="AK6899" s="42" t="n">
        <x:v>0</x:v>
      </x:c>
      <x:c r="AL6899" s="42" t="n">
        <x:v>0</x:v>
      </x:c>
      <x:c r="AM6899" t="n">
        <x:f>CHOOSE('假设'!$B$3,AJ6899,AK6899,AL6899)</x:f>
        <x:v>0</x:v>
      </x:c>
      <x:c r="AN6899" t="n">
        <x:v>1</x:v>
      </x:c>
    </x:row>
    <x:row r="6900" ht="23" customHeight="1">
      <x:c r="A6900" s="11" t="str">
        <x:v>09995.HK</x:v>
      </x:c>
      <x:c r="B6900" s="11" t="str">
        <x:v>三年</x:v>
      </x:c>
      <x:c r="C6900" s="11" t="str">
        <x:v>RC18_new_China</x:v>
      </x:c>
      <x:c r="D6900" s="11" t="str">
        <x:v>2031-12-31</x:v>
      </x:c>
      <x:c r="E6900" s="11" t="str">
        <x:v>CNY</x:v>
      </x:c>
      <x:c r="F6900" s="11" t="n">
        <x:v>2.2258726899383983</x:v>
      </x:c>
      <x:c r="G6900" s="26" t="b">
        <x:v>1</x:v>
      </x:c>
      <x:c r="H6900" s="16" t="n">
        <x:v>0</x:v>
      </x:c>
      <x:c r="I6900" s="16" t="n">
        <x:v>0.27</x:v>
      </x:c>
      <x:c r="J6900" s="16" t="n">
        <x:v>1.1400000000000001</x:v>
      </x:c>
      <x:c r="K6900" s="11" t="n">
        <x:f>CHOOSE('假设'!$B$3,H6900,I6900,J6900)</x:f>
        <x:v>0.27</x:v>
      </x:c>
      <x:c r="L6900" s="11" t="n">
        <x:f>K6900*'管线假设'!E1475*'管线假设'!F1475*'管线假设'!G1475*IF(E6900="USD",'管线假设'!I1475,1)-AM6900</x:f>
        <x:v>0.04644</x:v>
      </x:c>
      <x:c r="M6900" s="11" t="n">
        <x:f>'管线假设'!H1475</x:f>
        <x:v>0.14</x:v>
      </x:c>
      <x:c r="N6900" s="11" t="n">
        <x:f>IF(G6900,L6900*AN6900/(1+M6900)^F6900,0)</x:f>
        <x:v>0.034691993516308105</x:v>
      </x:c>
      <x:c r="AJ6900" s="42" t="n">
        <x:v>0</x:v>
      </x:c>
      <x:c r="AK6900" s="42" t="n">
        <x:v>0</x:v>
      </x:c>
      <x:c r="AL6900" s="42" t="n">
        <x:v>0</x:v>
      </x:c>
      <x:c r="AM6900" t="n">
        <x:f>CHOOSE('假设'!$B$3,AJ6900,AK6900,AL6900)</x:f>
        <x:v>0</x:v>
      </x:c>
      <x:c r="AN6900" t="n">
        <x:v>1</x:v>
      </x:c>
    </x:row>
    <x:row r="6901" ht="23" customHeight="1">
      <x:c r="A6901" s="11" t="str">
        <x:v>09995.HK</x:v>
      </x:c>
      <x:c r="B6901" s="11" t="str">
        <x:v>三年</x:v>
      </x:c>
      <x:c r="C6901" s="11" t="str">
        <x:v>RC18_new_China</x:v>
      </x:c>
      <x:c r="D6901" s="11" t="str">
        <x:v>2032-12-31</x:v>
      </x:c>
      <x:c r="E6901" s="11" t="str">
        <x:v>CNY</x:v>
      </x:c>
      <x:c r="F6901" s="11" t="n">
        <x:v>3.2279260780287475</x:v>
      </x:c>
      <x:c r="G6901" s="26" t="b">
        <x:v>1</x:v>
      </x:c>
      <x:c r="H6901" s="16" t="n">
        <x:v>0.036</x:v>
      </x:c>
      <x:c r="I6901" s="16" t="n">
        <x:v>0.5700000000000001</x:v>
      </x:c>
      <x:c r="J6901" s="16" t="n">
        <x:v>1.9500000000000002</x:v>
      </x:c>
      <x:c r="K6901" s="11" t="n">
        <x:f>CHOOSE('假设'!$B$3,H6901,I6901,J6901)</x:f>
        <x:v>0.5700000000000001</x:v>
      </x:c>
      <x:c r="L6901" s="11" t="n">
        <x:f>K6901*'管线假设'!E1475*'管线假设'!F1475*'管线假设'!G1475*IF(E6901="USD",'管线假设'!I1475,1)-AM6901</x:f>
        <x:v>0.09804000000000002</x:v>
      </x:c>
      <x:c r="M6901" s="11" t="n">
        <x:f>'管线假设'!H1475</x:f>
        <x:v>0.14</x:v>
      </x:c>
      <x:c r="N6901" s="11" t="n">
        <x:f>IF(G6901,L6901*AN6901/(1+M6901)^F6901,0)</x:f>
        <x:v>0.06422714967778045</x:v>
      </x:c>
      <x:c r="AJ6901" s="42" t="n">
        <x:v>0</x:v>
      </x:c>
      <x:c r="AK6901" s="42" t="n">
        <x:v>0</x:v>
      </x:c>
      <x:c r="AL6901" s="42" t="n">
        <x:v>0</x:v>
      </x:c>
      <x:c r="AM6901" t="n">
        <x:f>CHOOSE('假设'!$B$3,AJ6901,AK6901,AL6901)</x:f>
        <x:v>0</x:v>
      </x:c>
      <x:c r="AN6901" t="n">
        <x:v>1</x:v>
      </x:c>
    </x:row>
    <x:row r="6902" ht="23" customHeight="1">
      <x:c r="A6902" s="11" t="str">
        <x:v>09995.HK</x:v>
      </x:c>
      <x:c r="B6902" s="11" t="str">
        <x:v>三年</x:v>
      </x:c>
      <x:c r="C6902" s="11" t="str">
        <x:v>RC18_new_China</x:v>
      </x:c>
      <x:c r="D6902" s="11" t="str">
        <x:v>2033-12-31</x:v>
      </x:c>
      <x:c r="E6902" s="11" t="str">
        <x:v>CNY</x:v>
      </x:c>
      <x:c r="F6902" s="11" t="n">
        <x:v>4.227241615331964</x:v>
      </x:c>
      <x:c r="G6902" s="26" t="b">
        <x:v>1</x:v>
      </x:c>
      <x:c r="H6902" s="16" t="n">
        <x:v>0.108</x:v>
      </x:c>
      <x:c r="I6902" s="16" t="n">
        <x:v>0.9750000000000001</x:v>
      </x:c>
      <x:c r="J6902" s="16" t="n">
        <x:v>2.55</x:v>
      </x:c>
      <x:c r="K6902" s="11" t="n">
        <x:f>CHOOSE('假设'!$B$3,H6902,I6902,J6902)</x:f>
        <x:v>0.9750000000000001</x:v>
      </x:c>
      <x:c r="L6902" s="11" t="n">
        <x:f>K6902*'管线假设'!E1475*'管线假设'!F1475*'管线假设'!G1475*IF(E6902="USD",'管线假设'!I1475,1)-AM6902</x:f>
        <x:v>0.16770000000000002</x:v>
      </x:c>
      <x:c r="M6902" s="11" t="n">
        <x:f>'管线假设'!H1475</x:f>
        <x:v>0.14</x:v>
      </x:c>
      <x:c r="N6902" s="11" t="n">
        <x:f>IF(G6902,L6902*AN6902/(1+M6902)^F6902,0)</x:f>
        <x:v>0.0963790202047426</x:v>
      </x:c>
      <x:c r="AJ6902" s="42" t="n">
        <x:v>0</x:v>
      </x:c>
      <x:c r="AK6902" s="42" t="n">
        <x:v>0</x:v>
      </x:c>
      <x:c r="AL6902" s="42" t="n">
        <x:v>0</x:v>
      </x:c>
      <x:c r="AM6902" t="n">
        <x:f>CHOOSE('假设'!$B$3,AJ6902,AK6902,AL6902)</x:f>
        <x:v>0</x:v>
      </x:c>
      <x:c r="AN6902" t="n">
        <x:v>1</x:v>
      </x:c>
    </x:row>
    <x:row r="6903" ht="23" customHeight="1">
      <x:c r="A6903" s="11" t="str">
        <x:v>09995.HK</x:v>
      </x:c>
      <x:c r="B6903" s="11" t="str">
        <x:v>三年</x:v>
      </x:c>
      <x:c r="C6903" s="11" t="str">
        <x:v>RC18_new_China</x:v>
      </x:c>
      <x:c r="D6903" s="11" t="str">
        <x:v>2034-12-31</x:v>
      </x:c>
      <x:c r="E6903" s="11" t="str">
        <x:v>CNY</x:v>
      </x:c>
      <x:c r="F6903" s="11" t="n">
        <x:v>5.2265571526351815</x:v>
      </x:c>
      <x:c r="G6903" s="26" t="b">
        <x:v>1</x:v>
      </x:c>
      <x:c r="H6903" s="16" t="n">
        <x:v>0.22799999999999998</x:v>
      </x:c>
      <x:c r="I6903" s="16" t="n">
        <x:v>1.275</x:v>
      </x:c>
      <x:c r="J6903" s="16" t="n">
        <x:v>3</x:v>
      </x:c>
      <x:c r="K6903" s="11" t="n">
        <x:f>CHOOSE('假设'!$B$3,H6903,I6903,J6903)</x:f>
        <x:v>1.275</x:v>
      </x:c>
      <x:c r="L6903" s="11" t="n">
        <x:f>K6903*'管线假设'!E1475*'管线假设'!F1475*'管线假设'!G1475*IF(E6903="USD",'管线假设'!I1475,1)-AM6903</x:f>
        <x:v>0.2193</x:v>
      </x:c>
      <x:c r="M6903" s="11" t="n">
        <x:f>'管线假设'!H1475</x:f>
        <x:v>0.14</x:v>
      </x:c>
      <x:c r="N6903" s="11" t="n">
        <x:f>IF(G6903,L6903*AN6903/(1+M6903)^F6903,0)</x:f>
        <x:v>0.11056614656907807</x:v>
      </x:c>
      <x:c r="AJ6903" s="42" t="n">
        <x:v>0</x:v>
      </x:c>
      <x:c r="AK6903" s="42" t="n">
        <x:v>0</x:v>
      </x:c>
      <x:c r="AL6903" s="42" t="n">
        <x:v>0</x:v>
      </x:c>
      <x:c r="AM6903" t="n">
        <x:f>CHOOSE('假设'!$B$3,AJ6903,AK6903,AL6903)</x:f>
        <x:v>0</x:v>
      </x:c>
      <x:c r="AN6903" t="n">
        <x:v>1</x:v>
      </x:c>
    </x:row>
    <x:row r="6904" ht="23" customHeight="1">
      <x:c r="A6904" s="11" t="str">
        <x:v>09995.HK</x:v>
      </x:c>
      <x:c r="B6904" s="11" t="str">
        <x:v>三年</x:v>
      </x:c>
      <x:c r="C6904" s="11" t="str">
        <x:v>RC18_new_China</x:v>
      </x:c>
      <x:c r="D6904" s="11" t="str">
        <x:v>2035-12-31</x:v>
      </x:c>
      <x:c r="E6904" s="11" t="str">
        <x:v>CNY</x:v>
      </x:c>
      <x:c r="F6904" s="11" t="n">
        <x:v>6.225872689938399</x:v>
      </x:c>
      <x:c r="G6904" s="26" t="b">
        <x:v>1</x:v>
      </x:c>
      <x:c r="H6904" s="16" t="n">
        <x:v>0.39</x:v>
      </x:c>
      <x:c r="I6904" s="16" t="n">
        <x:v>1.5</x:v>
      </x:c>
      <x:c r="J6904" s="16" t="n">
        <x:v>3</x:v>
      </x:c>
      <x:c r="K6904" s="11" t="n">
        <x:f>CHOOSE('假设'!$B$3,H6904,I6904,J6904)</x:f>
        <x:v>1.5</x:v>
      </x:c>
      <x:c r="L6904" s="11" t="n">
        <x:f>K6904*'管线假设'!E1475*'管线假设'!F1475*'管线假设'!G1475*IF(E6904="USD",'管线假设'!I1475,1)-AM6904</x:f>
        <x:v>0.258</x:v>
      </x:c>
      <x:c r="M6904" s="11" t="n">
        <x:f>'管线假设'!H1475</x:f>
        <x:v>0.14</x:v>
      </x:c>
      <x:c r="N6904" s="11" t="n">
        <x:f>IF(G6904,L6904*AN6904/(1+M6904)^F6904,0)</x:f>
        <x:v>0.1141135841314473</x:v>
      </x:c>
      <x:c r="AJ6904" s="42" t="n">
        <x:v>0</x:v>
      </x:c>
      <x:c r="AK6904" s="42" t="n">
        <x:v>0</x:v>
      </x:c>
      <x:c r="AL6904" s="42" t="n">
        <x:v>0</x:v>
      </x:c>
      <x:c r="AM6904" t="n">
        <x:f>CHOOSE('假设'!$B$3,AJ6904,AK6904,AL6904)</x:f>
        <x:v>0</x:v>
      </x:c>
      <x:c r="AN6904" t="n">
        <x:v>1</x:v>
      </x:c>
    </x:row>
    <x:row r="6905" ht="23" customHeight="1">
      <x:c r="A6905" s="11" t="str">
        <x:v>09995.HK</x:v>
      </x:c>
      <x:c r="B6905" s="11" t="str">
        <x:v>三年</x:v>
      </x:c>
      <x:c r="C6905" s="11" t="str">
        <x:v>RC18_new_China</x:v>
      </x:c>
      <x:c r="D6905" s="11" t="str">
        <x:v>2036-12-31</x:v>
      </x:c>
      <x:c r="E6905" s="11" t="str">
        <x:v>CNY</x:v>
      </x:c>
      <x:c r="F6905" s="11" t="n">
        <x:v>7.227926078028747</x:v>
      </x:c>
      <x:c r="G6905" s="26" t="b">
        <x:v>1</x:v>
      </x:c>
      <x:c r="H6905" s="16" t="n">
        <x:v>0.51</x:v>
      </x:c>
      <x:c r="I6905" s="16" t="n">
        <x:v>1.5</x:v>
      </x:c>
      <x:c r="J6905" s="16" t="n">
        <x:v>2.8499999999999996</x:v>
      </x:c>
      <x:c r="K6905" s="11" t="n">
        <x:f>CHOOSE('假设'!$B$3,H6905,I6905,J6905)</x:f>
        <x:v>1.5</x:v>
      </x:c>
      <x:c r="L6905" s="11" t="n">
        <x:f>K6905*'管线假设'!E1475*'管线假设'!F1475*'管线假设'!G1475*IF(E6905="USD",'管线假设'!I1475,1)-AM6905</x:f>
        <x:v>0.258</x:v>
      </x:c>
      <x:c r="M6905" s="11" t="n">
        <x:f>'管线假设'!H1475</x:f>
        <x:v>0.14</x:v>
      </x:c>
      <x:c r="N6905" s="11" t="n">
        <x:f>IF(G6905,L6905*AN6905/(1+M6905)^F6905,0)</x:f>
        <x:v>0.10007270683136033</x:v>
      </x:c>
      <x:c r="AJ6905" s="42" t="n">
        <x:v>0</x:v>
      </x:c>
      <x:c r="AK6905" s="42" t="n">
        <x:v>0</x:v>
      </x:c>
      <x:c r="AL6905" s="42" t="n">
        <x:v>0</x:v>
      </x:c>
      <x:c r="AM6905" t="n">
        <x:f>CHOOSE('假设'!$B$3,AJ6905,AK6905,AL6905)</x:f>
        <x:v>0</x:v>
      </x:c>
      <x:c r="AN6905" t="n">
        <x:v>1</x:v>
      </x:c>
    </x:row>
    <x:row r="6906" ht="23" customHeight="1">
      <x:c r="A6906" s="11" t="str">
        <x:v>09995.HK</x:v>
      </x:c>
      <x:c r="B6906" s="11" t="str">
        <x:v>三年</x:v>
      </x:c>
      <x:c r="C6906" s="11" t="str">
        <x:v>RC18_new_China</x:v>
      </x:c>
      <x:c r="D6906" s="11" t="str">
        <x:v>2037-12-31</x:v>
      </x:c>
      <x:c r="E6906" s="11" t="str">
        <x:v>CNY</x:v>
      </x:c>
      <x:c r="F6906" s="11" t="n">
        <x:v>8.227241615331964</x:v>
      </x:c>
      <x:c r="G6906" s="26" t="b">
        <x:v>1</x:v>
      </x:c>
      <x:c r="H6906" s="16" t="n">
        <x:v>0.6</x:v>
      </x:c>
      <x:c r="I6906" s="16" t="n">
        <x:v>1.4249999999999998</x:v>
      </x:c>
      <x:c r="J6906" s="16" t="n">
        <x:v>2.7</x:v>
      </x:c>
      <x:c r="K6906" s="11" t="n">
        <x:f>CHOOSE('假设'!$B$3,H6906,I6906,J6906)</x:f>
        <x:v>1.4249999999999998</x:v>
      </x:c>
      <x:c r="L6906" s="11" t="n">
        <x:f>K6906*'管线假设'!E1475*'管线假设'!F1475*'管线假设'!G1475*IF(E6906="USD",'管线假设'!I1475,1)-AM6906</x:f>
        <x:v>0.24509999999999998</x:v>
      </x:c>
      <x:c r="M6906" s="11" t="n">
        <x:f>'管线假设'!H1475</x:f>
        <x:v>0.14</x:v>
      </x:c>
      <x:c r="N6906" s="11" t="n">
        <x:f>IF(G6906,L6906*AN6906/(1+M6906)^F6906,0)</x:f>
        <x:v>0.08340140179187158</x:v>
      </x:c>
      <x:c r="AJ6906" s="42" t="n">
        <x:v>0</x:v>
      </x:c>
      <x:c r="AK6906" s="42" t="n">
        <x:v>0</x:v>
      </x:c>
      <x:c r="AL6906" s="42" t="n">
        <x:v>0</x:v>
      </x:c>
      <x:c r="AM6906" t="n">
        <x:f>CHOOSE('假设'!$B$3,AJ6906,AK6906,AL6906)</x:f>
        <x:v>0</x:v>
      </x:c>
      <x:c r="AN6906" t="n">
        <x:v>1</x:v>
      </x:c>
    </x:row>
    <x:row r="6907" ht="23" customHeight="1">
      <x:c r="A6907" s="11" t="str">
        <x:v>09995.HK</x:v>
      </x:c>
      <x:c r="B6907" s="11" t="str">
        <x:v>三年</x:v>
      </x:c>
      <x:c r="C6907" s="11" t="str">
        <x:v>RC18_new_China</x:v>
      </x:c>
      <x:c r="D6907" s="11" t="str">
        <x:v>2038-12-31</x:v>
      </x:c>
      <x:c r="E6907" s="11" t="str">
        <x:v>CNY</x:v>
      </x:c>
      <x:c r="F6907" s="11" t="n">
        <x:v>9.22655715263518</x:v>
      </x:c>
      <x:c r="G6907" s="26" t="b">
        <x:v>1</x:v>
      </x:c>
      <x:c r="H6907" s="16" t="n">
        <x:v>0.6</x:v>
      </x:c>
      <x:c r="I6907" s="16" t="n">
        <x:v>1.35</x:v>
      </x:c>
      <x:c r="J6907" s="16" t="n">
        <x:v>2.4000000000000004</x:v>
      </x:c>
      <x:c r="K6907" s="11" t="n">
        <x:f>CHOOSE('假设'!$B$3,H6907,I6907,J6907)</x:f>
        <x:v>1.35</x:v>
      </x:c>
      <x:c r="L6907" s="11" t="n">
        <x:f>K6907*'管线假设'!E1475*'管线假设'!F1475*'管线假设'!G1475*IF(E6907="USD",'管线假设'!I1475,1)-AM6907</x:f>
        <x:v>0.23220000000000002</x:v>
      </x:c>
      <x:c r="M6907" s="11" t="n">
        <x:f>'管线假设'!H1475</x:f>
        <x:v>0.14</x:v>
      </x:c>
      <x:c r="N6907" s="11" t="n">
        <x:f>IF(G6907,L6907*AN6907/(1+M6907)^F6907,0)</x:f>
        <x:v>0.06931486030063</x:v>
      </x:c>
      <x:c r="AJ6907" s="42" t="n">
        <x:v>0</x:v>
      </x:c>
      <x:c r="AK6907" s="42" t="n">
        <x:v>0</x:v>
      </x:c>
      <x:c r="AL6907" s="42" t="n">
        <x:v>0</x:v>
      </x:c>
      <x:c r="AM6907" t="n">
        <x:f>CHOOSE('假设'!$B$3,AJ6907,AK6907,AL6907)</x:f>
        <x:v>0</x:v>
      </x:c>
      <x:c r="AN6907" t="n">
        <x:v>1</x:v>
      </x:c>
    </x:row>
    <x:row r="6908" ht="23" customHeight="1">
      <x:c r="A6908" s="11" t="str">
        <x:v>09995.HK</x:v>
      </x:c>
      <x:c r="B6908" s="11" t="str">
        <x:v>三年</x:v>
      </x:c>
      <x:c r="C6908" s="11" t="str">
        <x:v>RC18_new_China</x:v>
      </x:c>
      <x:c r="D6908" s="11" t="str">
        <x:v>2039-12-31</x:v>
      </x:c>
      <x:c r="E6908" s="11" t="str">
        <x:v>CNY</x:v>
      </x:c>
      <x:c r="F6908" s="11" t="n">
        <x:v>10.225872689938399</x:v>
      </x:c>
      <x:c r="G6908" s="26" t="b">
        <x:v>1</x:v>
      </x:c>
      <x:c r="H6908" s="16" t="n">
        <x:v>0.57</x:v>
      </x:c>
      <x:c r="I6908" s="16" t="n">
        <x:v>1.2000000000000002</x:v>
      </x:c>
      <x:c r="J6908" s="16" t="n">
        <x:v>1.9500000000000002</x:v>
      </x:c>
      <x:c r="K6908" s="11" t="n">
        <x:f>CHOOSE('假设'!$B$3,H6908,I6908,J6908)</x:f>
        <x:v>1.2000000000000002</x:v>
      </x:c>
      <x:c r="L6908" s="11" t="n">
        <x:f>K6908*'管线假设'!E1475*'管线假设'!F1475*'管线假设'!G1475*IF(E6908="USD",'管线假设'!I1475,1)-AM6908</x:f>
        <x:v>0.20640000000000003</x:v>
      </x:c>
      <x:c r="M6908" s="11" t="n">
        <x:f>'管线假设'!H1475</x:f>
        <x:v>0.14</x:v>
      </x:c>
      <x:c r="N6908" s="11" t="n">
        <x:f>IF(G6908,L6908*AN6908/(1+M6908)^F6908,0)</x:f>
        <x:v>0.054051522035403025</x:v>
      </x:c>
      <x:c r="AJ6908" s="42" t="n">
        <x:v>0</x:v>
      </x:c>
      <x:c r="AK6908" s="42" t="n">
        <x:v>0</x:v>
      </x:c>
      <x:c r="AL6908" s="42" t="n">
        <x:v>0</x:v>
      </x:c>
      <x:c r="AM6908" t="n">
        <x:f>CHOOSE('假设'!$B$3,AJ6908,AK6908,AL6908)</x:f>
        <x:v>0</x:v>
      </x:c>
      <x:c r="AN6908" t="n">
        <x:v>1</x:v>
      </x:c>
    </x:row>
    <x:row r="6909" ht="23" customHeight="1">
      <x:c r="A6909" s="11" t="str">
        <x:v>09995.HK</x:v>
      </x:c>
      <x:c r="B6909" s="11" t="str">
        <x:v>三年</x:v>
      </x:c>
      <x:c r="C6909" s="11" t="str">
        <x:v>RC18_new_China</x:v>
      </x:c>
      <x:c r="D6909" s="11" t="str">
        <x:v>2040-12-31</x:v>
      </x:c>
      <x:c r="E6909" s="11" t="str">
        <x:v>CNY</x:v>
      </x:c>
      <x:c r="F6909" s="11" t="n">
        <x:v>11.227926078028748</x:v>
      </x:c>
      <x:c r="G6909" s="26" t="b">
        <x:v>1</x:v>
      </x:c>
      <x:c r="H6909" s="16" t="n">
        <x:v>0.54</x:v>
      </x:c>
      <x:c r="I6909" s="16" t="n">
        <x:v>0.9750000000000001</x:v>
      </x:c>
      <x:c r="J6909" s="16" t="n">
        <x:v>1.5</x:v>
      </x:c>
      <x:c r="K6909" s="11" t="n">
        <x:f>CHOOSE('假设'!$B$3,H6909,I6909,J6909)</x:f>
        <x:v>0.9750000000000001</x:v>
      </x:c>
      <x:c r="L6909" s="11" t="n">
        <x:f>K6909*'管线假设'!E1475*'管线假设'!F1475*'管线假设'!G1475*IF(E6909="USD",'管线假设'!I1475,1)-AM6909</x:f>
        <x:v>0.16770000000000002</x:v>
      </x:c>
      <x:c r="M6909" s="11" t="n">
        <x:f>'管线假设'!H1475</x:f>
        <x:v>0.14</x:v>
      </x:c>
      <x:c r="N6909" s="11" t="n">
        <x:f>IF(G6909,L6909*AN6909/(1+M6909)^F6909,0)</x:f>
        <x:v>0.03851319941163336</x:v>
      </x:c>
      <x:c r="AJ6909" s="42" t="n">
        <x:v>0</x:v>
      </x:c>
      <x:c r="AK6909" s="42" t="n">
        <x:v>0</x:v>
      </x:c>
      <x:c r="AL6909" s="42" t="n">
        <x:v>0</x:v>
      </x:c>
      <x:c r="AM6909" t="n">
        <x:f>CHOOSE('假设'!$B$3,AJ6909,AK6909,AL6909)</x:f>
        <x:v>0</x:v>
      </x:c>
      <x:c r="AN6909" t="n">
        <x:v>1</x:v>
      </x:c>
    </x:row>
    <x:row r="6910" ht="23" customHeight="1">
      <x:c r="A6910" s="11" t="str">
        <x:v>09995.HK</x:v>
      </x:c>
      <x:c r="B6910" s="11" t="str">
        <x:v>三年</x:v>
      </x:c>
      <x:c r="C6910" s="11" t="str">
        <x:v>RC18_new_China</x:v>
      </x:c>
      <x:c r="D6910" s="11" t="str">
        <x:v>2041-12-31</x:v>
      </x:c>
      <x:c r="E6910" s="11" t="str">
        <x:v>CNY</x:v>
      </x:c>
      <x:c r="F6910" s="11" t="n">
        <x:v>12.227241615331964</x:v>
      </x:c>
      <x:c r="G6910" s="26" t="b">
        <x:v>1</x:v>
      </x:c>
      <x:c r="H6910" s="16" t="n">
        <x:v>0.48</x:v>
      </x:c>
      <x:c r="I6910" s="16" t="n">
        <x:v>0.75</x:v>
      </x:c>
      <x:c r="J6910" s="16" t="n">
        <x:v>1.0499999999999998</x:v>
      </x:c>
      <x:c r="K6910" s="11" t="n">
        <x:f>CHOOSE('假设'!$B$3,H6910,I6910,J6910)</x:f>
        <x:v>0.75</x:v>
      </x:c>
      <x:c r="L6910" s="11" t="n">
        <x:f>K6910*'管线假设'!E1475*'管线假设'!F1475*'管线假设'!G1475*IF(E6910="USD",'管线假设'!I1475,1)-AM6910</x:f>
        <x:v>0.129</x:v>
      </x:c>
      <x:c r="M6910" s="11" t="n">
        <x:f>'管线假设'!H1475</x:f>
        <x:v>0.14</x:v>
      </x:c>
      <x:c r="N6910" s="11" t="n">
        <x:f>IF(G6910,L6910*AN6910/(1+M6910)^F6910,0)</x:f>
        <x:v>0.025989644792628393</x:v>
      </x:c>
      <x:c r="AJ6910" s="42" t="n">
        <x:v>0</x:v>
      </x:c>
      <x:c r="AK6910" s="42" t="n">
        <x:v>0</x:v>
      </x:c>
      <x:c r="AL6910" s="42" t="n">
        <x:v>0</x:v>
      </x:c>
      <x:c r="AM6910" t="n">
        <x:f>CHOOSE('假设'!$B$3,AJ6910,AK6910,AL6910)</x:f>
        <x:v>0</x:v>
      </x:c>
      <x:c r="AN6910" t="n">
        <x:v>1</x:v>
      </x:c>
    </x:row>
    <x:row r="6911" ht="23" customHeight="1">
      <x:c r="A6911" s="11" t="str">
        <x:v>09995.HK</x:v>
      </x:c>
      <x:c r="B6911" s="11" t="str">
        <x:v>三年</x:v>
      </x:c>
      <x:c r="C6911" s="11" t="str">
        <x:v>RC18_new_China</x:v>
      </x:c>
      <x:c r="D6911" s="11" t="str">
        <x:v>2042-12-31</x:v>
      </x:c>
      <x:c r="E6911" s="11" t="str">
        <x:v>CNY</x:v>
      </x:c>
      <x:c r="F6911" s="11" t="n">
        <x:v>13.22655715263518</x:v>
      </x:c>
      <x:c r="G6911" s="26" t="b">
        <x:v>1</x:v>
      </x:c>
      <x:c r="H6911" s="16" t="n">
        <x:v>0.39</x:v>
      </x:c>
      <x:c r="I6911" s="16" t="n">
        <x:v>0.5249999999999999</x:v>
      </x:c>
      <x:c r="J6911" s="16" t="n">
        <x:v>0.6000000000000001</x:v>
      </x:c>
      <x:c r="K6911" s="11" t="n">
        <x:f>CHOOSE('假设'!$B$3,H6911,I6911,J6911)</x:f>
        <x:v>0.5249999999999999</x:v>
      </x:c>
      <x:c r="L6911" s="11" t="n">
        <x:f>K6911*'管线假设'!E1475*'管线假设'!F1475*'管线假设'!G1475*IF(E6911="USD",'管线假设'!I1475,1)-AM6911</x:f>
        <x:v>0.09029999999999998</x:v>
      </x:c>
      <x:c r="M6911" s="11" t="n">
        <x:f>'管线假设'!H1475</x:f>
        <x:v>0.14</x:v>
      </x:c>
      <x:c r="N6911" s="11" t="n">
        <x:f>IF(G6911,L6911*AN6911/(1+M6911)^F6911,0)</x:f>
        <x:v>0.015959985110483917</x:v>
      </x:c>
      <x:c r="AJ6911" s="42" t="n">
        <x:v>0</x:v>
      </x:c>
      <x:c r="AK6911" s="42" t="n">
        <x:v>0</x:v>
      </x:c>
      <x:c r="AL6911" s="42" t="n">
        <x:v>0</x:v>
      </x:c>
      <x:c r="AM6911" t="n">
        <x:f>CHOOSE('假设'!$B$3,AJ6911,AK6911,AL6911)</x:f>
        <x:v>0</x:v>
      </x:c>
      <x:c r="AN6911" t="n">
        <x:v>1</x:v>
      </x:c>
    </x:row>
    <x:row r="6912" ht="23" customHeight="1">
      <x:c r="A6912" s="11" t="str">
        <x:v>09995.HK</x:v>
      </x:c>
      <x:c r="B6912" s="11" t="str">
        <x:v>三年</x:v>
      </x:c>
      <x:c r="C6912" s="11" t="str">
        <x:v>RC18_new_China</x:v>
      </x:c>
      <x:c r="D6912" s="11" t="str">
        <x:v>2043-12-31</x:v>
      </x:c>
      <x:c r="E6912" s="11" t="str">
        <x:v>CNY</x:v>
      </x:c>
      <x:c r="F6912" s="11" t="n">
        <x:v>14.225872689938399</x:v>
      </x:c>
      <x:c r="G6912" s="26" t="b">
        <x:v>1</x:v>
      </x:c>
      <x:c r="H6912" s="16" t="n">
        <x:v>0.3</x:v>
      </x:c>
      <x:c r="I6912" s="16" t="n">
        <x:v>0.30000000000000004</x:v>
      </x:c>
      <x:c r="J6912" s="16" t="n">
        <x:v>0.36</x:v>
      </x:c>
      <x:c r="K6912" s="11" t="n">
        <x:f>CHOOSE('假设'!$B$3,H6912,I6912,J6912)</x:f>
        <x:v>0.30000000000000004</x:v>
      </x:c>
      <x:c r="L6912" s="11" t="n">
        <x:f>K6912*'管线假设'!E1475*'管线假设'!F1475*'管线假设'!G1475*IF(E6912="USD",'管线假设'!I1475,1)-AM6912</x:f>
        <x:v>0.05160000000000001</x:v>
      </x:c>
      <x:c r="M6912" s="11" t="n">
        <x:f>'管线假设'!H1475</x:f>
        <x:v>0.14</x:v>
      </x:c>
      <x:c r="N6912" s="11" t="n">
        <x:f>IF(G6912,L6912*AN6912/(1+M6912)^F6912,0)</x:f>
        <x:v>0.008000710039750582</x:v>
      </x:c>
      <x:c r="AJ6912" s="42" t="n">
        <x:v>0</x:v>
      </x:c>
      <x:c r="AK6912" s="42" t="n">
        <x:v>0</x:v>
      </x:c>
      <x:c r="AL6912" s="42" t="n">
        <x:v>0</x:v>
      </x:c>
      <x:c r="AM6912" t="n">
        <x:f>CHOOSE('假设'!$B$3,AJ6912,AK6912,AL6912)</x:f>
        <x:v>0</x:v>
      </x:c>
      <x:c r="AN6912" t="n">
        <x:v>1</x:v>
      </x:c>
    </x:row>
    <x:row r="6913" ht="23" customHeight="1">
      <x:c r="A6913" s="11" t="str">
        <x:v>09995.HK</x:v>
      </x:c>
      <x:c r="B6913" s="11" t="str">
        <x:v>三年</x:v>
      </x:c>
      <x:c r="C6913" s="11" t="str">
        <x:v>RC18_new_China</x:v>
      </x:c>
      <x:c r="D6913" s="11" t="str">
        <x:v>2044-12-31</x:v>
      </x:c>
      <x:c r="E6913" s="11" t="str">
        <x:v>CNY</x:v>
      </x:c>
      <x:c r="F6913" s="11" t="n">
        <x:v>15.227926078028748</x:v>
      </x:c>
      <x:c r="G6913" s="26" t="b">
        <x:v>1</x:v>
      </x:c>
      <x:c r="H6913" s="16" t="n">
        <x:v>0.21</x:v>
      </x:c>
      <x:c r="I6913" s="16" t="n">
        <x:v>0.18</x:v>
      </x:c>
      <x:c r="J6913" s="16" t="n">
        <x:v>0.21000000000000002</x:v>
      </x:c>
      <x:c r="K6913" s="11" t="n">
        <x:f>CHOOSE('假设'!$B$3,H6913,I6913,J6913)</x:f>
        <x:v>0.18</x:v>
      </x:c>
      <x:c r="L6913" s="11" t="n">
        <x:f>K6913*'管线假设'!E1475*'管线假设'!F1475*'管线假设'!G1475*IF(E6913="USD",'管线假设'!I1475,1)-AM6913</x:f>
        <x:v>0.030959999999999998</x:v>
      </x:c>
      <x:c r="M6913" s="11" t="n">
        <x:f>'管线假设'!H1475</x:f>
        <x:v>0.14</x:v>
      </x:c>
      <x:c r="N6913" s="11" t="n">
        <x:f>IF(G6913,L6913*AN6913/(1+M6913)^F6913,0)</x:f>
        <x:v>0.004209767222779069</x:v>
      </x:c>
      <x:c r="AJ6913" s="42" t="n">
        <x:v>0</x:v>
      </x:c>
      <x:c r="AK6913" s="42" t="n">
        <x:v>0</x:v>
      </x:c>
      <x:c r="AL6913" s="42" t="n">
        <x:v>0</x:v>
      </x:c>
      <x:c r="AM6913" t="n">
        <x:f>CHOOSE('假设'!$B$3,AJ6913,AK6913,AL6913)</x:f>
        <x:v>0</x:v>
      </x:c>
      <x:c r="AN6913" t="n">
        <x:v>1</x:v>
      </x:c>
    </x:row>
    <x:row r="6914" ht="23" customHeight="1">
      <x:c r="A6914" s="11" t="str">
        <x:v>09995.HK</x:v>
      </x:c>
      <x:c r="B6914" s="11" t="str">
        <x:v>三年</x:v>
      </x:c>
      <x:c r="C6914" s="11" t="str">
        <x:v>RC48_new_China</x:v>
      </x:c>
      <x:c r="D6914" s="11" t="str">
        <x:v>2026-12-31</x:v>
      </x:c>
      <x:c r="E6914" s="11" t="str">
        <x:v>CNY</x:v>
      </x:c>
      <x:c r="F6914" s="11" t="n">
        <x:v>-2.7734428473648185</x:v>
      </x:c>
      <x:c r="G6914" s="26" t="b">
        <x:v>0</x:v>
      </x:c>
      <x:c r="H6914" s="16" t="n">
        <x:v>0</x:v>
      </x:c>
      <x:c r="I6914" s="16" t="n">
        <x:v>0</x:v>
      </x:c>
      <x:c r="J6914" s="16" t="n">
        <x:v>0</x:v>
      </x:c>
      <x:c r="K6914" s="11" t="n">
        <x:f>CHOOSE('假设'!$B$3,H6914,I6914,J6914)</x:f>
        <x:v>0</x:v>
      </x:c>
      <x:c r="L6914" s="11" t="n">
        <x:f>K6914*'管线假设'!E1479*'管线假设'!F1479*'管线假设'!G1479*IF(E6914="USD",'管线假设'!I1479,1)-AM6914</x:f>
        <x:v>-0.15</x:v>
      </x:c>
      <x:c r="M6914" s="11" t="n">
        <x:f>'管线假设'!H1479</x:f>
        <x:v>0.14</x:v>
      </x:c>
      <x:c r="N6914" s="11" t="n">
        <x:f>IF(G6914,L6914*AN6914/(1+M6914)^F6914,0)</x:f>
        <x:v>0</x:v>
      </x:c>
      <x:c r="AJ6914" s="42" t="n">
        <x:v>0.08</x:v>
      </x:c>
      <x:c r="AK6914" s="42" t="n">
        <x:v>0.15</x:v>
      </x:c>
      <x:c r="AL6914" s="42" t="n">
        <x:v>0.2</x:v>
      </x:c>
      <x:c r="AM6914" t="n">
        <x:f>CHOOSE('假设'!$B$3,AJ6914,AK6914,AL6914)</x:f>
        <x:v>0.15</x:v>
      </x:c>
      <x:c r="AN6914" t="n">
        <x:v>0</x:v>
      </x:c>
    </x:row>
    <x:row r="6915" ht="23" customHeight="1">
      <x:c r="A6915" s="11" t="str">
        <x:v>09995.HK</x:v>
      </x:c>
      <x:c r="B6915" s="11" t="str">
        <x:v>三年</x:v>
      </x:c>
      <x:c r="C6915" s="11" t="str">
        <x:v>RC48_new_China</x:v>
      </x:c>
      <x:c r="D6915" s="11" t="str">
        <x:v>2027-12-31</x:v>
      </x:c>
      <x:c r="E6915" s="11" t="str">
        <x:v>CNY</x:v>
      </x:c>
      <x:c r="F6915" s="11" t="n">
        <x:v>-1.7741273100616017</x:v>
      </x:c>
      <x:c r="G6915" s="26" t="b">
        <x:v>0</x:v>
      </x:c>
      <x:c r="H6915" s="16" t="n">
        <x:v>0</x:v>
      </x:c>
      <x:c r="I6915" s="16" t="n">
        <x:v>0</x:v>
      </x:c>
      <x:c r="J6915" s="16" t="n">
        <x:v>0</x:v>
      </x:c>
      <x:c r="K6915" s="11" t="n">
        <x:f>CHOOSE('假设'!$B$3,H6915,I6915,J6915)</x:f>
        <x:v>0</x:v>
      </x:c>
      <x:c r="L6915" s="11" t="n">
        <x:f>K6915*'管线假设'!E1479*'管线假设'!F1479*'管线假设'!G1479*IF(E6915="USD",'管线假设'!I1479,1)-AM6915</x:f>
        <x:v>-0.18</x:v>
      </x:c>
      <x:c r="M6915" s="11" t="n">
        <x:f>'管线假设'!H1479</x:f>
        <x:v>0.14</x:v>
      </x:c>
      <x:c r="N6915" s="11" t="n">
        <x:f>IF(G6915,L6915*AN6915/(1+M6915)^F6915,0)</x:f>
        <x:v>0</x:v>
      </x:c>
      <x:c r="AJ6915" s="42" t="n">
        <x:v>0.08</x:v>
      </x:c>
      <x:c r="AK6915" s="42" t="n">
        <x:v>0.18</x:v>
      </x:c>
      <x:c r="AL6915" s="42" t="n">
        <x:v>0.24</x:v>
      </x:c>
      <x:c r="AM6915" t="n">
        <x:f>CHOOSE('假设'!$B$3,AJ6915,AK6915,AL6915)</x:f>
        <x:v>0.18</x:v>
      </x:c>
      <x:c r="AN6915" t="n">
        <x:v>0</x:v>
      </x:c>
    </x:row>
    <x:row r="6916" ht="23" customHeight="1">
      <x:c r="A6916" s="11" t="str">
        <x:v>09995.HK</x:v>
      </x:c>
      <x:c r="B6916" s="11" t="str">
        <x:v>三年</x:v>
      </x:c>
      <x:c r="C6916" s="11" t="str">
        <x:v>RC48_new_China</x:v>
      </x:c>
      <x:c r="D6916" s="11" t="str">
        <x:v>2028-12-31</x:v>
      </x:c>
      <x:c r="E6916" s="11" t="str">
        <x:v>CNY</x:v>
      </x:c>
      <x:c r="F6916" s="11" t="n">
        <x:v>-0.7720739219712526</x:v>
      </x:c>
      <x:c r="G6916" s="26" t="b">
        <x:v>0</x:v>
      </x:c>
      <x:c r="H6916" s="16" t="n">
        <x:v>0</x:v>
      </x:c>
      <x:c r="I6916" s="16" t="n">
        <x:v>0</x:v>
      </x:c>
      <x:c r="J6916" s="16" t="n">
        <x:v>0.36</x:v>
      </x:c>
      <x:c r="K6916" s="11" t="n">
        <x:f>CHOOSE('假设'!$B$3,H6916,I6916,J6916)</x:f>
        <x:v>0</x:v>
      </x:c>
      <x:c r="L6916" s="11" t="n">
        <x:f>K6916*'管线假设'!E1479*'管线假设'!F1479*'管线假设'!G1479*IF(E6916="USD",'管线假设'!I1479,1)-AM6916</x:f>
        <x:v>-0.15</x:v>
      </x:c>
      <x:c r="M6916" s="11" t="n">
        <x:f>'管线假设'!H1479</x:f>
        <x:v>0.14</x:v>
      </x:c>
      <x:c r="N6916" s="11" t="n">
        <x:f>IF(G6916,L6916*AN6916/(1+M6916)^F6916,0)</x:f>
        <x:v>0</x:v>
      </x:c>
      <x:c r="AJ6916" s="42" t="n">
        <x:v>0.07</x:v>
      </x:c>
      <x:c r="AK6916" s="42" t="n">
        <x:v>0.15</x:v>
      </x:c>
      <x:c r="AL6916" s="42" t="n">
        <x:v>0.2</x:v>
      </x:c>
      <x:c r="AM6916" t="n">
        <x:f>CHOOSE('假设'!$B$3,AJ6916,AK6916,AL6916)</x:f>
        <x:v>0.15</x:v>
      </x:c>
      <x:c r="AN6916" t="n">
        <x:v>0</x:v>
      </x:c>
    </x:row>
    <x:row r="6917" ht="23" customHeight="1">
      <x:c r="A6917" s="11" t="str">
        <x:v>09995.HK</x:v>
      </x:c>
      <x:c r="B6917" s="11" t="str">
        <x:v>三年</x:v>
      </x:c>
      <x:c r="C6917" s="11" t="str">
        <x:v>RC48_new_China</x:v>
      </x:c>
      <x:c r="D6917" s="11" t="str">
        <x:v>2029-12-31</x:v>
      </x:c>
      <x:c r="E6917" s="11" t="str">
        <x:v>CNY</x:v>
      </x:c>
      <x:c r="F6917" s="11" t="n">
        <x:v>0.2272416153319644</x:v>
      </x:c>
      <x:c r="G6917" s="26" t="b">
        <x:v>1</x:v>
      </x:c>
      <x:c r="H6917" s="16" t="n">
        <x:v>0</x:v>
      </x:c>
      <x:c r="I6917" s="16" t="n">
        <x:v>0.18</x:v>
      </x:c>
      <x:c r="J6917" s="16" t="n">
        <x:v>1.08</x:v>
      </x:c>
      <x:c r="K6917" s="11" t="n">
        <x:f>CHOOSE('假设'!$B$3,H6917,I6917,J6917)</x:f>
        <x:v>0.18</x:v>
      </x:c>
      <x:c r="L6917" s="11" t="n">
        <x:f>K6917*'管线假设'!E1479*'管线假设'!F1479*'管线假设'!G1479*IF(E6917="USD",'管线假设'!I1479,1)-AM6917</x:f>
        <x:v>-0.0567</x:v>
      </x:c>
      <x:c r="M6917" s="11" t="n">
        <x:f>'管线假设'!H1479</x:f>
        <x:v>0.14</x:v>
      </x:c>
      <x:c r="N6917" s="11" t="n">
        <x:f>IF(G6917,L6917*AN6917/(1+M6917)^F6917,0)</x:f>
        <x:v>-0.012549563409564856</x:v>
      </x:c>
      <x:c r="AJ6917" s="42" t="n">
        <x:v>0</x:v>
      </x:c>
      <x:c r="AK6917" s="42" t="n">
        <x:v>0.09</x:v>
      </x:c>
      <x:c r="AL6917" s="42" t="n">
        <x:v>0.12</x:v>
      </x:c>
      <x:c r="AM6917" t="n">
        <x:f>CHOOSE('假设'!$B$3,AJ6917,AK6917,AL6917)</x:f>
        <x:v>0.09</x:v>
      </x:c>
      <x:c r="AN6917" t="n">
        <x:v>0.22802197802197802</x:v>
      </x:c>
    </x:row>
    <x:row r="6918" ht="23" customHeight="1">
      <x:c r="A6918" s="11" t="str">
        <x:v>09995.HK</x:v>
      </x:c>
      <x:c r="B6918" s="11" t="str">
        <x:v>三年</x:v>
      </x:c>
      <x:c r="C6918" s="11" t="str">
        <x:v>RC48_new_China</x:v>
      </x:c>
      <x:c r="D6918" s="11" t="str">
        <x:v>2030-12-31</x:v>
      </x:c>
      <x:c r="E6918" s="11" t="str">
        <x:v>CNY</x:v>
      </x:c>
      <x:c r="F6918" s="11" t="n">
        <x:v>1.2265571526351813</x:v>
      </x:c>
      <x:c r="G6918" s="26" t="b">
        <x:v>1</x:v>
      </x:c>
      <x:c r="H6918" s="16" t="n">
        <x:v>0</x:v>
      </x:c>
      <x:c r="I6918" s="16" t="n">
        <x:v>0.54</x:v>
      </x:c>
      <x:c r="J6918" s="16" t="n">
        <x:v>2.2800000000000002</x:v>
      </x:c>
      <x:c r="K6918" s="11" t="n">
        <x:f>CHOOSE('假设'!$B$3,H6918,I6918,J6918)</x:f>
        <x:v>0.54</x:v>
      </x:c>
      <x:c r="L6918" s="11" t="n">
        <x:f>K6918*'管线假设'!E1479*'管线假设'!F1479*'管线假设'!G1479*IF(E6918="USD",'管线假设'!I1479,1)-AM6918</x:f>
        <x:v>0.0999</x:v>
      </x:c>
      <x:c r="M6918" s="11" t="n">
        <x:f>'管线假设'!H1479</x:f>
        <x:v>0.14</x:v>
      </x:c>
      <x:c r="N6918" s="11" t="n">
        <x:f>IF(G6918,L6918*AN6918/(1+M6918)^F6918,0)</x:f>
        <x:v>0.08506843355371352</x:v>
      </x:c>
      <x:c r="AJ6918" s="42" t="n">
        <x:v>0</x:v>
      </x:c>
      <x:c r="AK6918" s="42" t="n">
        <x:v>0</x:v>
      </x:c>
      <x:c r="AL6918" s="42" t="n">
        <x:v>0</x:v>
      </x:c>
      <x:c r="AM6918" t="n">
        <x:f>CHOOSE('假设'!$B$3,AJ6918,AK6918,AL6918)</x:f>
        <x:v>0</x:v>
      </x:c>
      <x:c r="AN6918" t="n">
        <x:v>1</x:v>
      </x:c>
    </x:row>
    <x:row r="6919" ht="23" customHeight="1">
      <x:c r="A6919" s="11" t="str">
        <x:v>09995.HK</x:v>
      </x:c>
      <x:c r="B6919" s="11" t="str">
        <x:v>三年</x:v>
      </x:c>
      <x:c r="C6919" s="11" t="str">
        <x:v>RC48_new_China</x:v>
      </x:c>
      <x:c r="D6919" s="11" t="str">
        <x:v>2031-12-31</x:v>
      </x:c>
      <x:c r="E6919" s="11" t="str">
        <x:v>CNY</x:v>
      </x:c>
      <x:c r="F6919" s="11" t="n">
        <x:v>2.2258726899383983</x:v>
      </x:c>
      <x:c r="G6919" s="26" t="b">
        <x:v>1</x:v>
      </x:c>
      <x:c r="H6919" s="16" t="n">
        <x:v>0</x:v>
      </x:c>
      <x:c r="I6919" s="16" t="n">
        <x:v>1.1400000000000001</x:v>
      </x:c>
      <x:c r="J6919" s="16" t="n">
        <x:v>3.9000000000000004</x:v>
      </x:c>
      <x:c r="K6919" s="11" t="n">
        <x:f>CHOOSE('假设'!$B$3,H6919,I6919,J6919)</x:f>
        <x:v>1.1400000000000001</x:v>
      </x:c>
      <x:c r="L6919" s="11" t="n">
        <x:f>K6919*'管线假设'!E1479*'管线假设'!F1479*'管线假设'!G1479*IF(E6919="USD",'管线假设'!I1479,1)-AM6919</x:f>
        <x:v>0.21090000000000003</x:v>
      </x:c>
      <x:c r="M6919" s="11" t="n">
        <x:f>'管线假设'!H1479</x:f>
        <x:v>0.14</x:v>
      </x:c>
      <x:c r="N6919" s="11" t="n">
        <x:f>IF(G6919,L6919*AN6919/(1+M6919)^F6919,0)</x:f>
        <x:v>0.15754826512897027</x:v>
      </x:c>
      <x:c r="AJ6919" s="42" t="n">
        <x:v>0</x:v>
      </x:c>
      <x:c r="AK6919" s="42" t="n">
        <x:v>0</x:v>
      </x:c>
      <x:c r="AL6919" s="42" t="n">
        <x:v>0</x:v>
      </x:c>
      <x:c r="AM6919" t="n">
        <x:f>CHOOSE('假设'!$B$3,AJ6919,AK6919,AL6919)</x:f>
        <x:v>0</x:v>
      </x:c>
      <x:c r="AN6919" t="n">
        <x:v>1</x:v>
      </x:c>
    </x:row>
    <x:row r="6920" ht="23" customHeight="1">
      <x:c r="A6920" s="11" t="str">
        <x:v>09995.HK</x:v>
      </x:c>
      <x:c r="B6920" s="11" t="str">
        <x:v>三年</x:v>
      </x:c>
      <x:c r="C6920" s="11" t="str">
        <x:v>RC48_new_China</x:v>
      </x:c>
      <x:c r="D6920" s="11" t="str">
        <x:v>2032-12-31</x:v>
      </x:c>
      <x:c r="E6920" s="11" t="str">
        <x:v>CNY</x:v>
      </x:c>
      <x:c r="F6920" s="11" t="n">
        <x:v>3.2279260780287475</x:v>
      </x:c>
      <x:c r="G6920" s="26" t="b">
        <x:v>1</x:v>
      </x:c>
      <x:c r="H6920" s="16" t="n">
        <x:v>0.06</x:v>
      </x:c>
      <x:c r="I6920" s="16" t="n">
        <x:v>1.9500000000000002</x:v>
      </x:c>
      <x:c r="J6920" s="16" t="n">
        <x:v>5.1</x:v>
      </x:c>
      <x:c r="K6920" s="11" t="n">
        <x:f>CHOOSE('假设'!$B$3,H6920,I6920,J6920)</x:f>
        <x:v>1.9500000000000002</x:v>
      </x:c>
      <x:c r="L6920" s="11" t="n">
        <x:f>K6920*'管线假设'!E1479*'管线假设'!F1479*'管线假设'!G1479*IF(E6920="USD",'管线假设'!I1479,1)-AM6920</x:f>
        <x:v>0.36075</x:v>
      </x:c>
      <x:c r="M6920" s="11" t="n">
        <x:f>'管线假设'!H1479</x:f>
        <x:v>0.14</x:v>
      </x:c>
      <x:c r="N6920" s="11" t="n">
        <x:f>IF(G6920,L6920*AN6920/(1+M6920)^F6920,0)</x:f>
        <x:v>0.23633154065951956</x:v>
      </x:c>
      <x:c r="AJ6920" s="42" t="n">
        <x:v>0</x:v>
      </x:c>
      <x:c r="AK6920" s="42" t="n">
        <x:v>0</x:v>
      </x:c>
      <x:c r="AL6920" s="42" t="n">
        <x:v>0</x:v>
      </x:c>
      <x:c r="AM6920" t="n">
        <x:f>CHOOSE('假设'!$B$3,AJ6920,AK6920,AL6920)</x:f>
        <x:v>0</x:v>
      </x:c>
      <x:c r="AN6920" t="n">
        <x:v>1</x:v>
      </x:c>
    </x:row>
    <x:row r="6921" ht="23" customHeight="1">
      <x:c r="A6921" s="11" t="str">
        <x:v>09995.HK</x:v>
      </x:c>
      <x:c r="B6921" s="11" t="str">
        <x:v>三年</x:v>
      </x:c>
      <x:c r="C6921" s="11" t="str">
        <x:v>RC48_new_China</x:v>
      </x:c>
      <x:c r="D6921" s="11" t="str">
        <x:v>2033-12-31</x:v>
      </x:c>
      <x:c r="E6921" s="11" t="str">
        <x:v>CNY</x:v>
      </x:c>
      <x:c r="F6921" s="11" t="n">
        <x:v>4.227241615331964</x:v>
      </x:c>
      <x:c r="G6921" s="26" t="b">
        <x:v>1</x:v>
      </x:c>
      <x:c r="H6921" s="16" t="n">
        <x:v>0.18</x:v>
      </x:c>
      <x:c r="I6921" s="16" t="n">
        <x:v>2.55</x:v>
      </x:c>
      <x:c r="J6921" s="16" t="n">
        <x:v>6</x:v>
      </x:c>
      <x:c r="K6921" s="11" t="n">
        <x:f>CHOOSE('假设'!$B$3,H6921,I6921,J6921)</x:f>
        <x:v>2.55</x:v>
      </x:c>
      <x:c r="L6921" s="11" t="n">
        <x:f>K6921*'管线假设'!E1479*'管线假设'!F1479*'管线假设'!G1479*IF(E6921="USD",'管线假设'!I1479,1)-AM6921</x:f>
        <x:v>0.47174999999999995</x:v>
      </x:c>
      <x:c r="M6921" s="11" t="n">
        <x:f>'管线假设'!H1479</x:f>
        <x:v>0.14</x:v>
      </x:c>
      <x:c r="N6921" s="11" t="n">
        <x:f>IF(G6921,L6921*AN6921/(1+M6921)^F6921,0)</x:f>
        <x:v>0.27111987347398514</x:v>
      </x:c>
      <x:c r="AJ6921" s="42" t="n">
        <x:v>0</x:v>
      </x:c>
      <x:c r="AK6921" s="42" t="n">
        <x:v>0</x:v>
      </x:c>
      <x:c r="AL6921" s="42" t="n">
        <x:v>0</x:v>
      </x:c>
      <x:c r="AM6921" t="n">
        <x:f>CHOOSE('假设'!$B$3,AJ6921,AK6921,AL6921)</x:f>
        <x:v>0</x:v>
      </x:c>
      <x:c r="AN6921" t="n">
        <x:v>1</x:v>
      </x:c>
    </x:row>
    <x:row r="6922" ht="23" customHeight="1">
      <x:c r="A6922" s="11" t="str">
        <x:v>09995.HK</x:v>
      </x:c>
      <x:c r="B6922" s="11" t="str">
        <x:v>三年</x:v>
      </x:c>
      <x:c r="C6922" s="11" t="str">
        <x:v>RC48_new_China</x:v>
      </x:c>
      <x:c r="D6922" s="11" t="str">
        <x:v>2034-12-31</x:v>
      </x:c>
      <x:c r="E6922" s="11" t="str">
        <x:v>CNY</x:v>
      </x:c>
      <x:c r="F6922" s="11" t="n">
        <x:v>5.2265571526351815</x:v>
      </x:c>
      <x:c r="G6922" s="26" t="b">
        <x:v>1</x:v>
      </x:c>
      <x:c r="H6922" s="16" t="n">
        <x:v>0.38</x:v>
      </x:c>
      <x:c r="I6922" s="16" t="n">
        <x:v>3</x:v>
      </x:c>
      <x:c r="J6922" s="16" t="n">
        <x:v>6</x:v>
      </x:c>
      <x:c r="K6922" s="11" t="n">
        <x:f>CHOOSE('假设'!$B$3,H6922,I6922,J6922)</x:f>
        <x:v>3</x:v>
      </x:c>
      <x:c r="L6922" s="11" t="n">
        <x:f>K6922*'管线假设'!E1479*'管线假设'!F1479*'管线假设'!G1479*IF(E6922="USD",'管线假设'!I1479,1)-AM6922</x:f>
        <x:v>0.5549999999999999</x:v>
      </x:c>
      <x:c r="M6922" s="11" t="n">
        <x:f>'管线假设'!H1479</x:f>
        <x:v>0.14</x:v>
      </x:c>
      <x:c r="N6922" s="11" t="n">
        <x:f>IF(G6922,L6922*AN6922/(1+M6922)^F6922,0)</x:f>
        <x:v>0.27981856518850123</x:v>
      </x:c>
      <x:c r="AJ6922" s="42" t="n">
        <x:v>0</x:v>
      </x:c>
      <x:c r="AK6922" s="42" t="n">
        <x:v>0</x:v>
      </x:c>
      <x:c r="AL6922" s="42" t="n">
        <x:v>0</x:v>
      </x:c>
      <x:c r="AM6922" t="n">
        <x:f>CHOOSE('假设'!$B$3,AJ6922,AK6922,AL6922)</x:f>
        <x:v>0</x:v>
      </x:c>
      <x:c r="AN6922" t="n">
        <x:v>1</x:v>
      </x:c>
    </x:row>
    <x:row r="6923" ht="23" customHeight="1">
      <x:c r="A6923" s="11" t="str">
        <x:v>09995.HK</x:v>
      </x:c>
      <x:c r="B6923" s="11" t="str">
        <x:v>三年</x:v>
      </x:c>
      <x:c r="C6923" s="11" t="str">
        <x:v>RC48_new_China</x:v>
      </x:c>
      <x:c r="D6923" s="11" t="str">
        <x:v>2035-12-31</x:v>
      </x:c>
      <x:c r="E6923" s="11" t="str">
        <x:v>CNY</x:v>
      </x:c>
      <x:c r="F6923" s="11" t="n">
        <x:v>6.225872689938399</x:v>
      </x:c>
      <x:c r="G6923" s="26" t="b">
        <x:v>1</x:v>
      </x:c>
      <x:c r="H6923" s="16" t="n">
        <x:v>0.65</x:v>
      </x:c>
      <x:c r="I6923" s="16" t="n">
        <x:v>3</x:v>
      </x:c>
      <x:c r="J6923" s="16" t="n">
        <x:v>5.699999999999999</x:v>
      </x:c>
      <x:c r="K6923" s="11" t="n">
        <x:f>CHOOSE('假设'!$B$3,H6923,I6923,J6923)</x:f>
        <x:v>3</x:v>
      </x:c>
      <x:c r="L6923" s="11" t="n">
        <x:f>K6923*'管线假设'!E1479*'管线假设'!F1479*'管线假设'!G1479*IF(E6923="USD",'管线假设'!I1479,1)-AM6923</x:f>
        <x:v>0.5549999999999999</x:v>
      </x:c>
      <x:c r="M6923" s="11" t="n">
        <x:f>'管线假设'!H1479</x:f>
        <x:v>0.14</x:v>
      </x:c>
      <x:c r="N6923" s="11" t="n">
        <x:f>IF(G6923,L6923*AN6923/(1+M6923)^F6923,0)</x:f>
        <x:v>0.245476896096718</x:v>
      </x:c>
      <x:c r="AJ6923" s="42" t="n">
        <x:v>0</x:v>
      </x:c>
      <x:c r="AK6923" s="42" t="n">
        <x:v>0</x:v>
      </x:c>
      <x:c r="AL6923" s="42" t="n">
        <x:v>0</x:v>
      </x:c>
      <x:c r="AM6923" t="n">
        <x:f>CHOOSE('假设'!$B$3,AJ6923,AK6923,AL6923)</x:f>
        <x:v>0</x:v>
      </x:c>
      <x:c r="AN6923" t="n">
        <x:v>1</x:v>
      </x:c>
    </x:row>
    <x:row r="6924" ht="23" customHeight="1">
      <x:c r="A6924" s="11" t="str">
        <x:v>09995.HK</x:v>
      </x:c>
      <x:c r="B6924" s="11" t="str">
        <x:v>三年</x:v>
      </x:c>
      <x:c r="C6924" s="11" t="str">
        <x:v>RC48_new_China</x:v>
      </x:c>
      <x:c r="D6924" s="11" t="str">
        <x:v>2036-12-31</x:v>
      </x:c>
      <x:c r="E6924" s="11" t="str">
        <x:v>CNY</x:v>
      </x:c>
      <x:c r="F6924" s="11" t="n">
        <x:v>7.227926078028747</x:v>
      </x:c>
      <x:c r="G6924" s="26" t="b">
        <x:v>1</x:v>
      </x:c>
      <x:c r="H6924" s="16" t="n">
        <x:v>0.85</x:v>
      </x:c>
      <x:c r="I6924" s="16" t="n">
        <x:v>2.8499999999999996</x:v>
      </x:c>
      <x:c r="J6924" s="16" t="n">
        <x:v>5.4</x:v>
      </x:c>
      <x:c r="K6924" s="11" t="n">
        <x:f>CHOOSE('假设'!$B$3,H6924,I6924,J6924)</x:f>
        <x:v>2.8499999999999996</x:v>
      </x:c>
      <x:c r="L6924" s="11" t="n">
        <x:f>K6924*'管线假设'!E1479*'管线假设'!F1479*'管线假设'!G1479*IF(E6924="USD",'管线假设'!I1479,1)-AM6924</x:f>
        <x:v>0.5272499999999999</x:v>
      </x:c>
      <x:c r="M6924" s="11" t="n">
        <x:f>'管线假设'!H1479</x:f>
        <x:v>0.14</x:v>
      </x:c>
      <x:c r="N6924" s="11" t="n">
        <x:f>IF(G6924,L6924*AN6924/(1+M6924)^F6924,0)</x:f>
        <x:v>0.20450904913501827</x:v>
      </x:c>
      <x:c r="AJ6924" s="42" t="n">
        <x:v>0</x:v>
      </x:c>
      <x:c r="AK6924" s="42" t="n">
        <x:v>0</x:v>
      </x:c>
      <x:c r="AL6924" s="42" t="n">
        <x:v>0</x:v>
      </x:c>
      <x:c r="AM6924" t="n">
        <x:f>CHOOSE('假设'!$B$3,AJ6924,AK6924,AL6924)</x:f>
        <x:v>0</x:v>
      </x:c>
      <x:c r="AN6924" t="n">
        <x:v>1</x:v>
      </x:c>
    </x:row>
    <x:row r="6925" ht="23" customHeight="1">
      <x:c r="A6925" s="11" t="str">
        <x:v>09995.HK</x:v>
      </x:c>
      <x:c r="B6925" s="11" t="str">
        <x:v>三年</x:v>
      </x:c>
      <x:c r="C6925" s="11" t="str">
        <x:v>RC48_new_China</x:v>
      </x:c>
      <x:c r="D6925" s="11" t="str">
        <x:v>2037-12-31</x:v>
      </x:c>
      <x:c r="E6925" s="11" t="str">
        <x:v>CNY</x:v>
      </x:c>
      <x:c r="F6925" s="11" t="n">
        <x:v>8.227241615331964</x:v>
      </x:c>
      <x:c r="G6925" s="26" t="b">
        <x:v>1</x:v>
      </x:c>
      <x:c r="H6925" s="16" t="n">
        <x:v>1</x:v>
      </x:c>
      <x:c r="I6925" s="16" t="n">
        <x:v>2.7</x:v>
      </x:c>
      <x:c r="J6925" s="16" t="n">
        <x:v>4.800000000000001</x:v>
      </x:c>
      <x:c r="K6925" s="11" t="n">
        <x:f>CHOOSE('假设'!$B$3,H6925,I6925,J6925)</x:f>
        <x:v>2.7</x:v>
      </x:c>
      <x:c r="L6925" s="11" t="n">
        <x:f>K6925*'管线假设'!E1479*'管线假设'!F1479*'管线假设'!G1479*IF(E6925="USD",'管线假设'!I1479,1)-AM6925</x:f>
        <x:v>0.4995</x:v>
      </x:c>
      <x:c r="M6925" s="11" t="n">
        <x:f>'管线假设'!H1479</x:f>
        <x:v>0.14</x:v>
      </x:c>
      <x:c r="N6925" s="11" t="n">
        <x:f>IF(G6925,L6925*AN6925/(1+M6925)^F6925,0)</x:f>
        <x:v>0.16996736105687416</x:v>
      </x:c>
      <x:c r="AJ6925" s="42" t="n">
        <x:v>0</x:v>
      </x:c>
      <x:c r="AK6925" s="42" t="n">
        <x:v>0</x:v>
      </x:c>
      <x:c r="AL6925" s="42" t="n">
        <x:v>0</x:v>
      </x:c>
      <x:c r="AM6925" t="n">
        <x:f>CHOOSE('假设'!$B$3,AJ6925,AK6925,AL6925)</x:f>
        <x:v>0</x:v>
      </x:c>
      <x:c r="AN6925" t="n">
        <x:v>1</x:v>
      </x:c>
    </x:row>
    <x:row r="6926" ht="23" customHeight="1">
      <x:c r="A6926" s="11" t="str">
        <x:v>09995.HK</x:v>
      </x:c>
      <x:c r="B6926" s="11" t="str">
        <x:v>三年</x:v>
      </x:c>
      <x:c r="C6926" s="11" t="str">
        <x:v>RC48_new_China</x:v>
      </x:c>
      <x:c r="D6926" s="11" t="str">
        <x:v>2038-12-31</x:v>
      </x:c>
      <x:c r="E6926" s="11" t="str">
        <x:v>CNY</x:v>
      </x:c>
      <x:c r="F6926" s="11" t="n">
        <x:v>9.22655715263518</x:v>
      </x:c>
      <x:c r="G6926" s="26" t="b">
        <x:v>1</x:v>
      </x:c>
      <x:c r="H6926" s="16" t="n">
        <x:v>1</x:v>
      </x:c>
      <x:c r="I6926" s="16" t="n">
        <x:v>2.4000000000000004</x:v>
      </x:c>
      <x:c r="J6926" s="16" t="n">
        <x:v>3.9000000000000004</x:v>
      </x:c>
      <x:c r="K6926" s="11" t="n">
        <x:f>CHOOSE('假设'!$B$3,H6926,I6926,J6926)</x:f>
        <x:v>2.4000000000000004</x:v>
      </x:c>
      <x:c r="L6926" s="11" t="n">
        <x:f>K6926*'管线假设'!E1479*'管线假设'!F1479*'管线假设'!G1479*IF(E6926="USD",'管线假设'!I1479,1)-AM6926</x:f>
        <x:v>0.44400000000000006</x:v>
      </x:c>
      <x:c r="M6926" s="11" t="n">
        <x:f>'管线假设'!H1479</x:f>
        <x:v>0.14</x:v>
      </x:c>
      <x:c r="N6926" s="11" t="n">
        <x:f>IF(G6926,L6926*AN6926/(1+M6926)^F6926,0)</x:f>
        <x:v>0.13254004295210906</x:v>
      </x:c>
      <x:c r="AJ6926" s="42" t="n">
        <x:v>0</x:v>
      </x:c>
      <x:c r="AK6926" s="42" t="n">
        <x:v>0</x:v>
      </x:c>
      <x:c r="AL6926" s="42" t="n">
        <x:v>0</x:v>
      </x:c>
      <x:c r="AM6926" t="n">
        <x:f>CHOOSE('假设'!$B$3,AJ6926,AK6926,AL6926)</x:f>
        <x:v>0</x:v>
      </x:c>
      <x:c r="AN6926" t="n">
        <x:v>1</x:v>
      </x:c>
    </x:row>
    <x:row r="6927" ht="23" customHeight="1">
      <x:c r="A6927" s="11" t="str">
        <x:v>09995.HK</x:v>
      </x:c>
      <x:c r="B6927" s="11" t="str">
        <x:v>三年</x:v>
      </x:c>
      <x:c r="C6927" s="11" t="str">
        <x:v>RC48_new_China</x:v>
      </x:c>
      <x:c r="D6927" s="11" t="str">
        <x:v>2039-12-31</x:v>
      </x:c>
      <x:c r="E6927" s="11" t="str">
        <x:v>CNY</x:v>
      </x:c>
      <x:c r="F6927" s="11" t="n">
        <x:v>10.225872689938399</x:v>
      </x:c>
      <x:c r="G6927" s="26" t="b">
        <x:v>1</x:v>
      </x:c>
      <x:c r="H6927" s="16" t="n">
        <x:v>0.95</x:v>
      </x:c>
      <x:c r="I6927" s="16" t="n">
        <x:v>1.9500000000000002</x:v>
      </x:c>
      <x:c r="J6927" s="16" t="n">
        <x:v>3</x:v>
      </x:c>
      <x:c r="K6927" s="11" t="n">
        <x:f>CHOOSE('假设'!$B$3,H6927,I6927,J6927)</x:f>
        <x:v>1.9500000000000002</x:v>
      </x:c>
      <x:c r="L6927" s="11" t="n">
        <x:f>K6927*'管线假设'!E1479*'管线假设'!F1479*'管线假设'!G1479*IF(E6927="USD",'管线假设'!I1479,1)-AM6927</x:f>
        <x:v>0.36075</x:v>
      </x:c>
      <x:c r="M6927" s="11" t="n">
        <x:f>'管线假设'!H1479</x:f>
        <x:v>0.14</x:v>
      </x:c>
      <x:c r="N6927" s="11" t="n">
        <x:f>IF(G6927,L6927*AN6927/(1+M6927)^F6927,0)</x:f>
        <x:v>0.0944723186737967</x:v>
      </x:c>
      <x:c r="AJ6927" s="42" t="n">
        <x:v>0</x:v>
      </x:c>
      <x:c r="AK6927" s="42" t="n">
        <x:v>0</x:v>
      </x:c>
      <x:c r="AL6927" s="42" t="n">
        <x:v>0</x:v>
      </x:c>
      <x:c r="AM6927" t="n">
        <x:f>CHOOSE('假设'!$B$3,AJ6927,AK6927,AL6927)</x:f>
        <x:v>0</x:v>
      </x:c>
      <x:c r="AN6927" t="n">
        <x:v>1</x:v>
      </x:c>
    </x:row>
    <x:row r="6928" ht="23" customHeight="1">
      <x:c r="A6928" s="11" t="str">
        <x:v>09995.HK</x:v>
      </x:c>
      <x:c r="B6928" s="11" t="str">
        <x:v>三年</x:v>
      </x:c>
      <x:c r="C6928" s="11" t="str">
        <x:v>RC48_new_China</x:v>
      </x:c>
      <x:c r="D6928" s="11" t="str">
        <x:v>2040-12-31</x:v>
      </x:c>
      <x:c r="E6928" s="11" t="str">
        <x:v>CNY</x:v>
      </x:c>
      <x:c r="F6928" s="11" t="n">
        <x:v>11.227926078028748</x:v>
      </x:c>
      <x:c r="G6928" s="26" t="b">
        <x:v>1</x:v>
      </x:c>
      <x:c r="H6928" s="16" t="n">
        <x:v>0.9</x:v>
      </x:c>
      <x:c r="I6928" s="16" t="n">
        <x:v>1.5</x:v>
      </x:c>
      <x:c r="J6928" s="16" t="n">
        <x:v>2.0999999999999996</x:v>
      </x:c>
      <x:c r="K6928" s="11" t="n">
        <x:f>CHOOSE('假设'!$B$3,H6928,I6928,J6928)</x:f>
        <x:v>1.5</x:v>
      </x:c>
      <x:c r="L6928" s="11" t="n">
        <x:f>K6928*'管线假设'!E1479*'管线假设'!F1479*'管线假设'!G1479*IF(E6928="USD",'管线假设'!I1479,1)-AM6928</x:f>
        <x:v>0.27749999999999997</x:v>
      </x:c>
      <x:c r="M6928" s="11" t="n">
        <x:f>'管线假设'!H1479</x:f>
        <x:v>0.14</x:v>
      </x:c>
      <x:c r="N6928" s="11" t="n">
        <x:f>IF(G6928,L6928*AN6928/(1+M6928)^F6928,0)</x:f>
        <x:v>0.06372935501925017</x:v>
      </x:c>
      <x:c r="AJ6928" s="42" t="n">
        <x:v>0</x:v>
      </x:c>
      <x:c r="AK6928" s="42" t="n">
        <x:v>0</x:v>
      </x:c>
      <x:c r="AL6928" s="42" t="n">
        <x:v>0</x:v>
      </x:c>
      <x:c r="AM6928" t="n">
        <x:f>CHOOSE('假设'!$B$3,AJ6928,AK6928,AL6928)</x:f>
        <x:v>0</x:v>
      </x:c>
      <x:c r="AN6928" t="n">
        <x:v>1</x:v>
      </x:c>
    </x:row>
    <x:row r="6929" ht="23" customHeight="1">
      <x:c r="A6929" s="11" t="str">
        <x:v>09995.HK</x:v>
      </x:c>
      <x:c r="B6929" s="11" t="str">
        <x:v>三年</x:v>
      </x:c>
      <x:c r="C6929" s="11" t="str">
        <x:v>RC48_new_China</x:v>
      </x:c>
      <x:c r="D6929" s="11" t="str">
        <x:v>2041-12-31</x:v>
      </x:c>
      <x:c r="E6929" s="11" t="str">
        <x:v>CNY</x:v>
      </x:c>
      <x:c r="F6929" s="11" t="n">
        <x:v>12.227241615331964</x:v>
      </x:c>
      <x:c r="G6929" s="26" t="b">
        <x:v>1</x:v>
      </x:c>
      <x:c r="H6929" s="16" t="n">
        <x:v>0.8</x:v>
      </x:c>
      <x:c r="I6929" s="16" t="n">
        <x:v>1.0499999999999998</x:v>
      </x:c>
      <x:c r="J6929" s="16" t="n">
        <x:v>1.2000000000000002</x:v>
      </x:c>
      <x:c r="K6929" s="11" t="n">
        <x:f>CHOOSE('假设'!$B$3,H6929,I6929,J6929)</x:f>
        <x:v>1.0499999999999998</x:v>
      </x:c>
      <x:c r="L6929" s="11" t="n">
        <x:f>K6929*'管线假设'!E1479*'管线假设'!F1479*'管线假设'!G1479*IF(E6929="USD",'管线假设'!I1479,1)-AM6929</x:f>
        <x:v>0.19424999999999998</x:v>
      </x:c>
      <x:c r="M6929" s="11" t="n">
        <x:f>'管线假设'!H1479</x:f>
        <x:v>0.14</x:v>
      </x:c>
      <x:c r="N6929" s="11" t="n">
        <x:f>IF(G6929,L6929*AN6929/(1+M6929)^F6929,0)</x:f>
        <x:v>0.039135569774946234</x:v>
      </x:c>
      <x:c r="AJ6929" s="42" t="n">
        <x:v>0</x:v>
      </x:c>
      <x:c r="AK6929" s="42" t="n">
        <x:v>0</x:v>
      </x:c>
      <x:c r="AL6929" s="42" t="n">
        <x:v>0</x:v>
      </x:c>
      <x:c r="AM6929" t="n">
        <x:f>CHOOSE('假设'!$B$3,AJ6929,AK6929,AL6929)</x:f>
        <x:v>0</x:v>
      </x:c>
      <x:c r="AN6929" t="n">
        <x:v>1</x:v>
      </x:c>
    </x:row>
    <x:row r="6930" ht="23" customHeight="1">
      <x:c r="A6930" s="11" t="str">
        <x:v>09995.HK</x:v>
      </x:c>
      <x:c r="B6930" s="11" t="str">
        <x:v>三年</x:v>
      </x:c>
      <x:c r="C6930" s="11" t="str">
        <x:v>RC48_new_China</x:v>
      </x:c>
      <x:c r="D6930" s="11" t="str">
        <x:v>2042-12-31</x:v>
      </x:c>
      <x:c r="E6930" s="11" t="str">
        <x:v>CNY</x:v>
      </x:c>
      <x:c r="F6930" s="11" t="n">
        <x:v>13.22655715263518</x:v>
      </x:c>
      <x:c r="G6930" s="26" t="b">
        <x:v>1</x:v>
      </x:c>
      <x:c r="H6930" s="16" t="n">
        <x:v>0.65</x:v>
      </x:c>
      <x:c r="I6930" s="16" t="n">
        <x:v>0.6000000000000001</x:v>
      </x:c>
      <x:c r="J6930" s="16" t="n">
        <x:v>0.72</x:v>
      </x:c>
      <x:c r="K6930" s="11" t="n">
        <x:f>CHOOSE('假设'!$B$3,H6930,I6930,J6930)</x:f>
        <x:v>0.6000000000000001</x:v>
      </x:c>
      <x:c r="L6930" s="11" t="n">
        <x:f>K6930*'管线假设'!E1479*'管线假设'!F1479*'管线假设'!G1479*IF(E6930="USD",'管线假设'!I1479,1)-AM6930</x:f>
        <x:v>0.11100000000000002</x:v>
      </x:c>
      <x:c r="M6930" s="11" t="n">
        <x:f>'管线假设'!H1479</x:f>
        <x:v>0.14</x:v>
      </x:c>
      <x:c r="N6930" s="11" t="n">
        <x:f>IF(G6930,L6930*AN6930/(1+M6930)^F6930,0)</x:f>
        <x:v>0.01961858634843539</x:v>
      </x:c>
      <x:c r="AJ6930" s="42" t="n">
        <x:v>0</x:v>
      </x:c>
      <x:c r="AK6930" s="42" t="n">
        <x:v>0</x:v>
      </x:c>
      <x:c r="AL6930" s="42" t="n">
        <x:v>0</x:v>
      </x:c>
      <x:c r="AM6930" t="n">
        <x:f>CHOOSE('假设'!$B$3,AJ6930,AK6930,AL6930)</x:f>
        <x:v>0</x:v>
      </x:c>
      <x:c r="AN6930" t="n">
        <x:v>1</x:v>
      </x:c>
    </x:row>
    <x:row r="6931" ht="23" customHeight="1">
      <x:c r="A6931" s="11" t="str">
        <x:v>09995.HK</x:v>
      </x:c>
      <x:c r="B6931" s="11" t="str">
        <x:v>三年</x:v>
      </x:c>
      <x:c r="C6931" s="11" t="str">
        <x:v>RC48_new_China</x:v>
      </x:c>
      <x:c r="D6931" s="11" t="str">
        <x:v>2043-12-31</x:v>
      </x:c>
      <x:c r="E6931" s="11" t="str">
        <x:v>CNY</x:v>
      </x:c>
      <x:c r="F6931" s="11" t="n">
        <x:v>14.225872689938399</x:v>
      </x:c>
      <x:c r="G6931" s="26" t="b">
        <x:v>1</x:v>
      </x:c>
      <x:c r="H6931" s="16" t="n">
        <x:v>0.5</x:v>
      </x:c>
      <x:c r="I6931" s="16" t="n">
        <x:v>0.36</x:v>
      </x:c>
      <x:c r="J6931" s="16" t="n">
        <x:v>0.42000000000000004</x:v>
      </x:c>
      <x:c r="K6931" s="11" t="n">
        <x:f>CHOOSE('假设'!$B$3,H6931,I6931,J6931)</x:f>
        <x:v>0.36</x:v>
      </x:c>
      <x:c r="L6931" s="11" t="n">
        <x:f>K6931*'管线假设'!E1479*'管线假设'!F1479*'管线假设'!G1479*IF(E6931="USD",'管线假设'!I1479,1)-AM6931</x:f>
        <x:v>0.06659999999999999</x:v>
      </x:c>
      <x:c r="M6931" s="11" t="n">
        <x:f>'管线假设'!H1479</x:f>
        <x:v>0.14</x:v>
      </x:c>
      <x:c r="N6931" s="11" t="n">
        <x:f>IF(G6931,L6931*AN6931/(1+M6931)^F6931,0)</x:f>
        <x:v>0.010326497842003655</x:v>
      </x:c>
      <x:c r="AJ6931" s="42" t="n">
        <x:v>0</x:v>
      </x:c>
      <x:c r="AK6931" s="42" t="n">
        <x:v>0</x:v>
      </x:c>
      <x:c r="AL6931" s="42" t="n">
        <x:v>0</x:v>
      </x:c>
      <x:c r="AM6931" t="n">
        <x:f>CHOOSE('假设'!$B$3,AJ6931,AK6931,AL6931)</x:f>
        <x:v>0</x:v>
      </x:c>
      <x:c r="AN6931" t="n">
        <x:v>1</x:v>
      </x:c>
    </x:row>
    <x:row r="6932" ht="23" customHeight="1">
      <x:c r="A6932" s="11" t="str">
        <x:v>09995.HK</x:v>
      </x:c>
      <x:c r="B6932" s="11" t="str">
        <x:v>三年</x:v>
      </x:c>
      <x:c r="C6932" s="11" t="str">
        <x:v>RC48_new_China</x:v>
      </x:c>
      <x:c r="D6932" s="11" t="str">
        <x:v>2044-12-31</x:v>
      </x:c>
      <x:c r="E6932" s="11" t="str">
        <x:v>CNY</x:v>
      </x:c>
      <x:c r="F6932" s="11" t="n">
        <x:v>15.227926078028748</x:v>
      </x:c>
      <x:c r="G6932" s="26" t="b">
        <x:v>1</x:v>
      </x:c>
      <x:c r="H6932" s="16" t="n">
        <x:v>0.35</x:v>
      </x:c>
      <x:c r="I6932" s="16" t="n">
        <x:v>0.21000000000000002</x:v>
      </x:c>
      <x:c r="J6932" s="16" t="n">
        <x:v>0.18</x:v>
      </x:c>
      <x:c r="K6932" s="11" t="n">
        <x:f>CHOOSE('假设'!$B$3,H6932,I6932,J6932)</x:f>
        <x:v>0.21000000000000002</x:v>
      </x:c>
      <x:c r="L6932" s="11" t="n">
        <x:f>K6932*'管线假设'!E1479*'管线假设'!F1479*'管线假设'!G1479*IF(E6932="USD",'管线假设'!I1479,1)-AM6932</x:f>
        <x:v>0.03885</x:v>
      </x:c>
      <x:c r="M6932" s="11" t="n">
        <x:f>'管线假设'!H1479</x:f>
        <x:v>0.14</x:v>
      </x:c>
      <x:c r="N6932" s="11" t="n">
        <x:f>IF(G6932,L6932*AN6932/(1+M6932)^F6932,0)</x:f>
        <x:v>0.00528260518749893</x:v>
      </x:c>
      <x:c r="AJ6932" s="42" t="n">
        <x:v>0</x:v>
      </x:c>
      <x:c r="AK6932" s="42" t="n">
        <x:v>0</x:v>
      </x:c>
      <x:c r="AL6932" s="42" t="n">
        <x:v>0</x:v>
      </x:c>
      <x:c r="AM6932" t="n">
        <x:f>CHOOSE('假设'!$B$3,AJ6932,AK6932,AL6932)</x:f>
        <x:v>0</x:v>
      </x:c>
      <x:c r="AN6932" t="n">
        <x:v>1</x:v>
      </x:c>
    </x:row>
    <x:row r="6933" ht="23" customHeight="1">
      <x:c r="A6933" s="11" t="str">
        <x:v>09995.HK</x:v>
      </x:c>
      <x:c r="B6933" s="11" t="str">
        <x:v>三年</x:v>
      </x:c>
      <x:c r="C6933" s="11" t="str">
        <x:v>RC148_China</x:v>
      </x:c>
      <x:c r="D6933" s="11" t="str">
        <x:v>2026-12-31</x:v>
      </x:c>
      <x:c r="E6933" s="11" t="str">
        <x:v>CNY</x:v>
      </x:c>
      <x:c r="F6933" s="11" t="n">
        <x:v>-2.7734428473648185</x:v>
      </x:c>
      <x:c r="G6933" s="26" t="b">
        <x:v>0</x:v>
      </x:c>
      <x:c r="H6933" s="16" t="n">
        <x:v>0</x:v>
      </x:c>
      <x:c r="I6933" s="16" t="n">
        <x:v>0</x:v>
      </x:c>
      <x:c r="J6933" s="16" t="n">
        <x:v>0</x:v>
      </x:c>
      <x:c r="K6933" s="11" t="n">
        <x:f>CHOOSE('假设'!$B$3,H6933,I6933,J6933)</x:f>
        <x:v>0</x:v>
      </x:c>
      <x:c r="L6933" s="11" t="n">
        <x:f>K6933*'管线假设'!E1483*'管线假设'!F1483*'管线假设'!G1483*IF(E6933="USD",'管线假设'!I1483,1)-AM6933</x:f>
        <x:v>-0.18</x:v>
      </x:c>
      <x:c r="M6933" s="11" t="n">
        <x:f>'管线假设'!H1483</x:f>
        <x:v>0.14</x:v>
      </x:c>
      <x:c r="N6933" s="11" t="n">
        <x:f>IF(G6933,L6933*AN6933/(1+M6933)^F6933,0)</x:f>
        <x:v>0</x:v>
      </x:c>
      <x:c r="AJ6933" s="42" t="n">
        <x:v>0.1</x:v>
      </x:c>
      <x:c r="AK6933" s="42" t="n">
        <x:v>0.18</x:v>
      </x:c>
      <x:c r="AL6933" s="42" t="n">
        <x:v>0.24</x:v>
      </x:c>
      <x:c r="AM6933" t="n">
        <x:f>CHOOSE('假设'!$B$3,AJ6933,AK6933,AL6933)</x:f>
        <x:v>0.18</x:v>
      </x:c>
      <x:c r="AN6933" t="n">
        <x:v>0</x:v>
      </x:c>
    </x:row>
    <x:row r="6934" ht="23" customHeight="1">
      <x:c r="A6934" s="11" t="str">
        <x:v>09995.HK</x:v>
      </x:c>
      <x:c r="B6934" s="11" t="str">
        <x:v>三年</x:v>
      </x:c>
      <x:c r="C6934" s="11" t="str">
        <x:v>RC148_China</x:v>
      </x:c>
      <x:c r="D6934" s="11" t="str">
        <x:v>2027-12-31</x:v>
      </x:c>
      <x:c r="E6934" s="11" t="str">
        <x:v>CNY</x:v>
      </x:c>
      <x:c r="F6934" s="11" t="n">
        <x:v>-1.7741273100616017</x:v>
      </x:c>
      <x:c r="G6934" s="26" t="b">
        <x:v>0</x:v>
      </x:c>
      <x:c r="H6934" s="16" t="n">
        <x:v>0</x:v>
      </x:c>
      <x:c r="I6934" s="16" t="n">
        <x:v>0</x:v>
      </x:c>
      <x:c r="J6934" s="16" t="n">
        <x:v>0</x:v>
      </x:c>
      <x:c r="K6934" s="11" t="n">
        <x:f>CHOOSE('假设'!$B$3,H6934,I6934,J6934)</x:f>
        <x:v>0</x:v>
      </x:c>
      <x:c r="L6934" s="11" t="n">
        <x:f>K6934*'管线假设'!E1483*'管线假设'!F1483*'管线假设'!G1483*IF(E6934="USD",'管线假设'!I1483,1)-AM6934</x:f>
        <x:v>-0.23</x:v>
      </x:c>
      <x:c r="M6934" s="11" t="n">
        <x:f>'管线假设'!H1483</x:f>
        <x:v>0.14</x:v>
      </x:c>
      <x:c r="N6934" s="11" t="n">
        <x:f>IF(G6934,L6934*AN6934/(1+M6934)^F6934,0)</x:f>
        <x:v>0</x:v>
      </x:c>
      <x:c r="AJ6934" s="42" t="n">
        <x:v>0.12</x:v>
      </x:c>
      <x:c r="AK6934" s="42" t="n">
        <x:v>0.23</x:v>
      </x:c>
      <x:c r="AL6934" s="42" t="n">
        <x:v>0.3</x:v>
      </x:c>
      <x:c r="AM6934" t="n">
        <x:f>CHOOSE('假设'!$B$3,AJ6934,AK6934,AL6934)</x:f>
        <x:v>0.23</x:v>
      </x:c>
      <x:c r="AN6934" t="n">
        <x:v>0</x:v>
      </x:c>
    </x:row>
    <x:row r="6935" ht="23" customHeight="1">
      <x:c r="A6935" s="11" t="str">
        <x:v>09995.HK</x:v>
      </x:c>
      <x:c r="B6935" s="11" t="str">
        <x:v>三年</x:v>
      </x:c>
      <x:c r="C6935" s="11" t="str">
        <x:v>RC148_China</x:v>
      </x:c>
      <x:c r="D6935" s="11" t="str">
        <x:v>2028-12-31</x:v>
      </x:c>
      <x:c r="E6935" s="11" t="str">
        <x:v>CNY</x:v>
      </x:c>
      <x:c r="F6935" s="11" t="n">
        <x:v>-0.7720739219712526</x:v>
      </x:c>
      <x:c r="G6935" s="26" t="b">
        <x:v>0</x:v>
      </x:c>
      <x:c r="H6935" s="16" t="n">
        <x:v>0</x:v>
      </x:c>
      <x:c r="I6935" s="16" t="n">
        <x:v>0</x:v>
      </x:c>
      <x:c r="J6935" s="16" t="n">
        <x:v>0.48</x:v>
      </x:c>
      <x:c r="K6935" s="11" t="n">
        <x:f>CHOOSE('假设'!$B$3,H6935,I6935,J6935)</x:f>
        <x:v>0</x:v>
      </x:c>
      <x:c r="L6935" s="11" t="n">
        <x:f>K6935*'管线假设'!E1483*'管线假设'!F1483*'管线假设'!G1483*IF(E6935="USD",'管线假设'!I1483,1)-AM6935</x:f>
        <x:v>-0.2</x:v>
      </x:c>
      <x:c r="M6935" s="11" t="n">
        <x:f>'管线假设'!H1483</x:f>
        <x:v>0.14</x:v>
      </x:c>
      <x:c r="N6935" s="11" t="n">
        <x:f>IF(G6935,L6935*AN6935/(1+M6935)^F6935,0)</x:f>
        <x:v>0</x:v>
      </x:c>
      <x:c r="AJ6935" s="42" t="n">
        <x:v>0.1</x:v>
      </x:c>
      <x:c r="AK6935" s="42" t="n">
        <x:v>0.2</x:v>
      </x:c>
      <x:c r="AL6935" s="42" t="n">
        <x:v>0.25</x:v>
      </x:c>
      <x:c r="AM6935" t="n">
        <x:f>CHOOSE('假设'!$B$3,AJ6935,AK6935,AL6935)</x:f>
        <x:v>0.2</x:v>
      </x:c>
      <x:c r="AN6935" t="n">
        <x:v>0</x:v>
      </x:c>
    </x:row>
    <x:row r="6936" ht="23" customHeight="1">
      <x:c r="A6936" s="11" t="str">
        <x:v>09995.HK</x:v>
      </x:c>
      <x:c r="B6936" s="11" t="str">
        <x:v>三年</x:v>
      </x:c>
      <x:c r="C6936" s="11" t="str">
        <x:v>RC148_China</x:v>
      </x:c>
      <x:c r="D6936" s="11" t="str">
        <x:v>2029-12-31</x:v>
      </x:c>
      <x:c r="E6936" s="11" t="str">
        <x:v>CNY</x:v>
      </x:c>
      <x:c r="F6936" s="11" t="n">
        <x:v>0.2272416153319644</x:v>
      </x:c>
      <x:c r="G6936" s="26" t="b">
        <x:v>1</x:v>
      </x:c>
      <x:c r="H6936" s="16" t="n">
        <x:v>0</x:v>
      </x:c>
      <x:c r="I6936" s="16" t="n">
        <x:v>0.24</x:v>
      </x:c>
      <x:c r="J6936" s="16" t="n">
        <x:v>1.44</x:v>
      </x:c>
      <x:c r="K6936" s="11" t="n">
        <x:f>CHOOSE('假设'!$B$3,H6936,I6936,J6936)</x:f>
        <x:v>0.24</x:v>
      </x:c>
      <x:c r="L6936" s="11" t="n">
        <x:f>K6936*'管线假设'!E1483*'管线假设'!F1483*'管线假设'!G1483*IF(E6936="USD",'管线假设'!I1483,1)-AM6936</x:f>
        <x:v>-0.0796</x:v>
      </x:c>
      <x:c r="M6936" s="11" t="n">
        <x:f>'管线假设'!H1483</x:f>
        <x:v>0.14</x:v>
      </x:c>
      <x:c r="N6936" s="11" t="n">
        <x:f>IF(G6936,L6936*AN6936/(1+M6936)^F6936,0)</x:f>
        <x:v>-0.017618081964750662</x:v>
      </x:c>
      <x:c r="AJ6936" s="42" t="n">
        <x:v>0</x:v>
      </x:c>
      <x:c r="AK6936" s="42" t="n">
        <x:v>0.13</x:v>
      </x:c>
      <x:c r="AL6936" s="42" t="n">
        <x:v>0.16</x:v>
      </x:c>
      <x:c r="AM6936" t="n">
        <x:f>CHOOSE('假设'!$B$3,AJ6936,AK6936,AL6936)</x:f>
        <x:v>0.13</x:v>
      </x:c>
      <x:c r="AN6936" t="n">
        <x:v>0.22802197802197802</x:v>
      </x:c>
    </x:row>
    <x:row r="6937" ht="23" customHeight="1">
      <x:c r="A6937" s="11" t="str">
        <x:v>09995.HK</x:v>
      </x:c>
      <x:c r="B6937" s="11" t="str">
        <x:v>三年</x:v>
      </x:c>
      <x:c r="C6937" s="11" t="str">
        <x:v>RC148_China</x:v>
      </x:c>
      <x:c r="D6937" s="11" t="str">
        <x:v>2030-12-31</x:v>
      </x:c>
      <x:c r="E6937" s="11" t="str">
        <x:v>CNY</x:v>
      </x:c>
      <x:c r="F6937" s="11" t="n">
        <x:v>1.2265571526351813</x:v>
      </x:c>
      <x:c r="G6937" s="26" t="b">
        <x:v>1</x:v>
      </x:c>
      <x:c r="H6937" s="16" t="n">
        <x:v>0</x:v>
      </x:c>
      <x:c r="I6937" s="16" t="n">
        <x:v>0.72</x:v>
      </x:c>
      <x:c r="J6937" s="16" t="n">
        <x:v>3.04</x:v>
      </x:c>
      <x:c r="K6937" s="11" t="n">
        <x:f>CHOOSE('假设'!$B$3,H6937,I6937,J6937)</x:f>
        <x:v>0.72</x:v>
      </x:c>
      <x:c r="L6937" s="11" t="n">
        <x:f>K6937*'管线假设'!E1483*'管线假设'!F1483*'管线假设'!G1483*IF(E6937="USD",'管线假设'!I1483,1)-AM6937</x:f>
        <x:v>0.1512</x:v>
      </x:c>
      <x:c r="M6937" s="11" t="n">
        <x:f>'管线假设'!H1483</x:f>
        <x:v>0.14</x:v>
      </x:c>
      <x:c r="N6937" s="11" t="n">
        <x:f>IF(G6937,L6937*AN6937/(1+M6937)^F6937,0)</x:f>
        <x:v>0.1287522237569718</x:v>
      </x:c>
      <x:c r="AJ6937" s="42" t="n">
        <x:v>0</x:v>
      </x:c>
      <x:c r="AK6937" s="42" t="n">
        <x:v>0</x:v>
      </x:c>
      <x:c r="AL6937" s="42" t="n">
        <x:v>0</x:v>
      </x:c>
      <x:c r="AM6937" t="n">
        <x:f>CHOOSE('假设'!$B$3,AJ6937,AK6937,AL6937)</x:f>
        <x:v>0</x:v>
      </x:c>
      <x:c r="AN6937" t="n">
        <x:v>1</x:v>
      </x:c>
    </x:row>
    <x:row r="6938" ht="23" customHeight="1">
      <x:c r="A6938" s="11" t="str">
        <x:v>09995.HK</x:v>
      </x:c>
      <x:c r="B6938" s="11" t="str">
        <x:v>三年</x:v>
      </x:c>
      <x:c r="C6938" s="11" t="str">
        <x:v>RC148_China</x:v>
      </x:c>
      <x:c r="D6938" s="11" t="str">
        <x:v>2031-12-31</x:v>
      </x:c>
      <x:c r="E6938" s="11" t="str">
        <x:v>CNY</x:v>
      </x:c>
      <x:c r="F6938" s="11" t="n">
        <x:v>2.2258726899383983</x:v>
      </x:c>
      <x:c r="G6938" s="26" t="b">
        <x:v>1</x:v>
      </x:c>
      <x:c r="H6938" s="16" t="n">
        <x:v>0.072</x:v>
      </x:c>
      <x:c r="I6938" s="16" t="n">
        <x:v>1.52</x:v>
      </x:c>
      <x:c r="J6938" s="16" t="n">
        <x:v>5.2</x:v>
      </x:c>
      <x:c r="K6938" s="11" t="n">
        <x:f>CHOOSE('假设'!$B$3,H6938,I6938,J6938)</x:f>
        <x:v>1.52</x:v>
      </x:c>
      <x:c r="L6938" s="11" t="n">
        <x:f>K6938*'管线假设'!E1483*'管线假设'!F1483*'管线假设'!G1483*IF(E6938="USD",'管线假设'!I1483,1)-AM6938</x:f>
        <x:v>0.3192</x:v>
      </x:c>
      <x:c r="M6938" s="11" t="n">
        <x:f>'管线假设'!H1483</x:f>
        <x:v>0.14</x:v>
      </x:c>
      <x:c r="N6938" s="11" t="n">
        <x:f>IF(G6938,L6938*AN6938/(1+M6938)^F6938,0)</x:f>
        <x:v>0.23845142830330632</x:v>
      </x:c>
      <x:c r="AJ6938" s="42" t="n">
        <x:v>0</x:v>
      </x:c>
      <x:c r="AK6938" s="42" t="n">
        <x:v>0</x:v>
      </x:c>
      <x:c r="AL6938" s="42" t="n">
        <x:v>0</x:v>
      </x:c>
      <x:c r="AM6938" t="n">
        <x:f>CHOOSE('假设'!$B$3,AJ6938,AK6938,AL6938)</x:f>
        <x:v>0</x:v>
      </x:c>
      <x:c r="AN6938" t="n">
        <x:v>1</x:v>
      </x:c>
    </x:row>
    <x:row r="6939" ht="23" customHeight="1">
      <x:c r="A6939" s="11" t="str">
        <x:v>09995.HK</x:v>
      </x:c>
      <x:c r="B6939" s="11" t="str">
        <x:v>三年</x:v>
      </x:c>
      <x:c r="C6939" s="11" t="str">
        <x:v>RC148_China</x:v>
      </x:c>
      <x:c r="D6939" s="11" t="str">
        <x:v>2032-12-31</x:v>
      </x:c>
      <x:c r="E6939" s="11" t="str">
        <x:v>CNY</x:v>
      </x:c>
      <x:c r="F6939" s="11" t="n">
        <x:v>3.2279260780287475</x:v>
      </x:c>
      <x:c r="G6939" s="26" t="b">
        <x:v>1</x:v>
      </x:c>
      <x:c r="H6939" s="16" t="n">
        <x:v>0.216</x:v>
      </x:c>
      <x:c r="I6939" s="16" t="n">
        <x:v>2.6</x:v>
      </x:c>
      <x:c r="J6939" s="16" t="n">
        <x:v>6.8</x:v>
      </x:c>
      <x:c r="K6939" s="11" t="n">
        <x:f>CHOOSE('假设'!$B$3,H6939,I6939,J6939)</x:f>
        <x:v>2.6</x:v>
      </x:c>
      <x:c r="L6939" s="11" t="n">
        <x:f>K6939*'管线假设'!E1483*'管线假设'!F1483*'管线假设'!G1483*IF(E6939="USD",'管线假设'!I1483,1)-AM6939</x:f>
        <x:v>0.546</x:v>
      </x:c>
      <x:c r="M6939" s="11" t="n">
        <x:f>'管线假设'!H1483</x:f>
        <x:v>0.14</x:v>
      </x:c>
      <x:c r="N6939" s="11" t="n">
        <x:f>IF(G6939,L6939*AN6939/(1+M6939)^F6939,0)</x:f>
        <x:v>0.35769098045765124</x:v>
      </x:c>
      <x:c r="AJ6939" s="42" t="n">
        <x:v>0</x:v>
      </x:c>
      <x:c r="AK6939" s="42" t="n">
        <x:v>0</x:v>
      </x:c>
      <x:c r="AL6939" s="42" t="n">
        <x:v>0</x:v>
      </x:c>
      <x:c r="AM6939" t="n">
        <x:f>CHOOSE('假设'!$B$3,AJ6939,AK6939,AL6939)</x:f>
        <x:v>0</x:v>
      </x:c>
      <x:c r="AN6939" t="n">
        <x:v>1</x:v>
      </x:c>
    </x:row>
    <x:row r="6940" ht="23" customHeight="1">
      <x:c r="A6940" s="11" t="str">
        <x:v>09995.HK</x:v>
      </x:c>
      <x:c r="B6940" s="11" t="str">
        <x:v>三年</x:v>
      </x:c>
      <x:c r="C6940" s="11" t="str">
        <x:v>RC148_China</x:v>
      </x:c>
      <x:c r="D6940" s="11" t="str">
        <x:v>2033-12-31</x:v>
      </x:c>
      <x:c r="E6940" s="11" t="str">
        <x:v>CNY</x:v>
      </x:c>
      <x:c r="F6940" s="11" t="n">
        <x:v>4.227241615331964</x:v>
      </x:c>
      <x:c r="G6940" s="26" t="b">
        <x:v>1</x:v>
      </x:c>
      <x:c r="H6940" s="16" t="n">
        <x:v>0.45599999999999996</x:v>
      </x:c>
      <x:c r="I6940" s="16" t="n">
        <x:v>3.4</x:v>
      </x:c>
      <x:c r="J6940" s="16" t="n">
        <x:v>8</x:v>
      </x:c>
      <x:c r="K6940" s="11" t="n">
        <x:f>CHOOSE('假设'!$B$3,H6940,I6940,J6940)</x:f>
        <x:v>3.4</x:v>
      </x:c>
      <x:c r="L6940" s="11" t="n">
        <x:f>K6940*'管线假设'!E1483*'管线假设'!F1483*'管线假设'!G1483*IF(E6940="USD",'管线假设'!I1483,1)-AM6940</x:f>
        <x:v>0.714</x:v>
      </x:c>
      <x:c r="M6940" s="11" t="n">
        <x:f>'管线假设'!H1483</x:f>
        <x:v>0.14</x:v>
      </x:c>
      <x:c r="N6940" s="11" t="n">
        <x:f>IF(G6940,L6940*AN6940/(1+M6940)^F6940,0)</x:f>
        <x:v>0.41034359228495054</x:v>
      </x:c>
      <x:c r="AJ6940" s="42" t="n">
        <x:v>0</x:v>
      </x:c>
      <x:c r="AK6940" s="42" t="n">
        <x:v>0</x:v>
      </x:c>
      <x:c r="AL6940" s="42" t="n">
        <x:v>0</x:v>
      </x:c>
      <x:c r="AM6940" t="n">
        <x:f>CHOOSE('假设'!$B$3,AJ6940,AK6940,AL6940)</x:f>
        <x:v>0</x:v>
      </x:c>
      <x:c r="AN6940" t="n">
        <x:v>1</x:v>
      </x:c>
    </x:row>
    <x:row r="6941" ht="23" customHeight="1">
      <x:c r="A6941" s="11" t="str">
        <x:v>09995.HK</x:v>
      </x:c>
      <x:c r="B6941" s="11" t="str">
        <x:v>三年</x:v>
      </x:c>
      <x:c r="C6941" s="11" t="str">
        <x:v>RC148_China</x:v>
      </x:c>
      <x:c r="D6941" s="11" t="str">
        <x:v>2034-12-31</x:v>
      </x:c>
      <x:c r="E6941" s="11" t="str">
        <x:v>CNY</x:v>
      </x:c>
      <x:c r="F6941" s="11" t="n">
        <x:v>5.2265571526351815</x:v>
      </x:c>
      <x:c r="G6941" s="26" t="b">
        <x:v>1</x:v>
      </x:c>
      <x:c r="H6941" s="16" t="n">
        <x:v>0.78</x:v>
      </x:c>
      <x:c r="I6941" s="16" t="n">
        <x:v>4</x:v>
      </x:c>
      <x:c r="J6941" s="16" t="n">
        <x:v>8</x:v>
      </x:c>
      <x:c r="K6941" s="11" t="n">
        <x:f>CHOOSE('假设'!$B$3,H6941,I6941,J6941)</x:f>
        <x:v>4</x:v>
      </x:c>
      <x:c r="L6941" s="11" t="n">
        <x:f>K6941*'管线假设'!E1483*'管线假设'!F1483*'管线假设'!G1483*IF(E6941="USD",'管线假设'!I1483,1)-AM6941</x:f>
        <x:v>0.84</x:v>
      </x:c>
      <x:c r="M6941" s="11" t="n">
        <x:f>'管线假设'!H1483</x:f>
        <x:v>0.14</x:v>
      </x:c>
      <x:c r="N6941" s="11" t="n">
        <x:f>IF(G6941,L6941*AN6941/(1+M6941)^F6941,0)</x:f>
        <x:v>0.42350917974475866</x:v>
      </x:c>
      <x:c r="AJ6941" s="42" t="n">
        <x:v>0</x:v>
      </x:c>
      <x:c r="AK6941" s="42" t="n">
        <x:v>0</x:v>
      </x:c>
      <x:c r="AL6941" s="42" t="n">
        <x:v>0</x:v>
      </x:c>
      <x:c r="AM6941" t="n">
        <x:f>CHOOSE('假设'!$B$3,AJ6941,AK6941,AL6941)</x:f>
        <x:v>0</x:v>
      </x:c>
      <x:c r="AN6941" t="n">
        <x:v>1</x:v>
      </x:c>
    </x:row>
    <x:row r="6942" ht="23" customHeight="1">
      <x:c r="A6942" s="11" t="str">
        <x:v>09995.HK</x:v>
      </x:c>
      <x:c r="B6942" s="11" t="str">
        <x:v>三年</x:v>
      </x:c>
      <x:c r="C6942" s="11" t="str">
        <x:v>RC148_China</x:v>
      </x:c>
      <x:c r="D6942" s="11" t="str">
        <x:v>2035-12-31</x:v>
      </x:c>
      <x:c r="E6942" s="11" t="str">
        <x:v>CNY</x:v>
      </x:c>
      <x:c r="F6942" s="11" t="n">
        <x:v>6.225872689938399</x:v>
      </x:c>
      <x:c r="G6942" s="26" t="b">
        <x:v>1</x:v>
      </x:c>
      <x:c r="H6942" s="16" t="n">
        <x:v>1.02</x:v>
      </x:c>
      <x:c r="I6942" s="16" t="n">
        <x:v>4</x:v>
      </x:c>
      <x:c r="J6942" s="16" t="n">
        <x:v>7.6</x:v>
      </x:c>
      <x:c r="K6942" s="11" t="n">
        <x:f>CHOOSE('假设'!$B$3,H6942,I6942,J6942)</x:f>
        <x:v>4</x:v>
      </x:c>
      <x:c r="L6942" s="11" t="n">
        <x:f>K6942*'管线假设'!E1483*'管线假设'!F1483*'管线假设'!G1483*IF(E6942="USD",'管线假设'!I1483,1)-AM6942</x:f>
        <x:v>0.84</x:v>
      </x:c>
      <x:c r="M6942" s="11" t="n">
        <x:f>'管线假设'!H1483</x:f>
        <x:v>0.14</x:v>
      </x:c>
      <x:c r="N6942" s="11" t="n">
        <x:f>IF(G6942,L6942*AN6942/(1+M6942)^F6942,0)</x:f>
        <x:v>0.37153259949773537</x:v>
      </x:c>
      <x:c r="AJ6942" s="42" t="n">
        <x:v>0</x:v>
      </x:c>
      <x:c r="AK6942" s="42" t="n">
        <x:v>0</x:v>
      </x:c>
      <x:c r="AL6942" s="42" t="n">
        <x:v>0</x:v>
      </x:c>
      <x:c r="AM6942" t="n">
        <x:f>CHOOSE('假设'!$B$3,AJ6942,AK6942,AL6942)</x:f>
        <x:v>0</x:v>
      </x:c>
      <x:c r="AN6942" t="n">
        <x:v>1</x:v>
      </x:c>
    </x:row>
    <x:row r="6943" ht="23" customHeight="1">
      <x:c r="A6943" s="11" t="str">
        <x:v>09995.HK</x:v>
      </x:c>
      <x:c r="B6943" s="11" t="str">
        <x:v>三年</x:v>
      </x:c>
      <x:c r="C6943" s="11" t="str">
        <x:v>RC148_China</x:v>
      </x:c>
      <x:c r="D6943" s="11" t="str">
        <x:v>2036-12-31</x:v>
      </x:c>
      <x:c r="E6943" s="11" t="str">
        <x:v>CNY</x:v>
      </x:c>
      <x:c r="F6943" s="11" t="n">
        <x:v>7.227926078028747</x:v>
      </x:c>
      <x:c r="G6943" s="26" t="b">
        <x:v>1</x:v>
      </x:c>
      <x:c r="H6943" s="16" t="n">
        <x:v>1.2</x:v>
      </x:c>
      <x:c r="I6943" s="16" t="n">
        <x:v>3.8</x:v>
      </x:c>
      <x:c r="J6943" s="16" t="n">
        <x:v>7.2</x:v>
      </x:c>
      <x:c r="K6943" s="11" t="n">
        <x:f>CHOOSE('假设'!$B$3,H6943,I6943,J6943)</x:f>
        <x:v>3.8</x:v>
      </x:c>
      <x:c r="L6943" s="11" t="n">
        <x:f>K6943*'管线假设'!E1483*'管线假设'!F1483*'管线假设'!G1483*IF(E6943="USD",'管线假设'!I1483,1)-AM6943</x:f>
        <x:v>0.7979999999999999</x:v>
      </x:c>
      <x:c r="M6943" s="11" t="n">
        <x:f>'管线假设'!H1483</x:f>
        <x:v>0.14</x:v>
      </x:c>
      <x:c r="N6943" s="11" t="n">
        <x:f>IF(G6943,L6943*AN6943/(1+M6943)^F6943,0)</x:f>
        <x:v>0.3095272095016493</x:v>
      </x:c>
      <x:c r="AJ6943" s="42" t="n">
        <x:v>0</x:v>
      </x:c>
      <x:c r="AK6943" s="42" t="n">
        <x:v>0</x:v>
      </x:c>
      <x:c r="AL6943" s="42" t="n">
        <x:v>0</x:v>
      </x:c>
      <x:c r="AM6943" t="n">
        <x:f>CHOOSE('假设'!$B$3,AJ6943,AK6943,AL6943)</x:f>
        <x:v>0</x:v>
      </x:c>
      <x:c r="AN6943" t="n">
        <x:v>1</x:v>
      </x:c>
    </x:row>
    <x:row r="6944" ht="23" customHeight="1">
      <x:c r="A6944" s="11" t="str">
        <x:v>09995.HK</x:v>
      </x:c>
      <x:c r="B6944" s="11" t="str">
        <x:v>三年</x:v>
      </x:c>
      <x:c r="C6944" s="11" t="str">
        <x:v>RC148_China</x:v>
      </x:c>
      <x:c r="D6944" s="11" t="str">
        <x:v>2037-12-31</x:v>
      </x:c>
      <x:c r="E6944" s="11" t="str">
        <x:v>CNY</x:v>
      </x:c>
      <x:c r="F6944" s="11" t="n">
        <x:v>8.227241615331964</x:v>
      </x:c>
      <x:c r="G6944" s="26" t="b">
        <x:v>1</x:v>
      </x:c>
      <x:c r="H6944" s="16" t="n">
        <x:v>1.2</x:v>
      </x:c>
      <x:c r="I6944" s="16" t="n">
        <x:v>3.6</x:v>
      </x:c>
      <x:c r="J6944" s="16" t="n">
        <x:v>6.4</x:v>
      </x:c>
      <x:c r="K6944" s="11" t="n">
        <x:f>CHOOSE('假设'!$B$3,H6944,I6944,J6944)</x:f>
        <x:v>3.6</x:v>
      </x:c>
      <x:c r="L6944" s="11" t="n">
        <x:f>K6944*'管线假设'!E1483*'管线假设'!F1483*'管线假设'!G1483*IF(E6944="USD",'管线假设'!I1483,1)-AM6944</x:f>
        <x:v>0.756</x:v>
      </x:c>
      <x:c r="M6944" s="11" t="n">
        <x:f>'管线假设'!H1483</x:f>
        <x:v>0.14</x:v>
      </x:c>
      <x:c r="N6944" s="11" t="n">
        <x:f>IF(G6944,L6944*AN6944/(1+M6944)^F6944,0)</x:f>
        <x:v>0.25724789781580953</x:v>
      </x:c>
      <x:c r="AJ6944" s="42" t="n">
        <x:v>0</x:v>
      </x:c>
      <x:c r="AK6944" s="42" t="n">
        <x:v>0</x:v>
      </x:c>
      <x:c r="AL6944" s="42" t="n">
        <x:v>0</x:v>
      </x:c>
      <x:c r="AM6944" t="n">
        <x:f>CHOOSE('假设'!$B$3,AJ6944,AK6944,AL6944)</x:f>
        <x:v>0</x:v>
      </x:c>
      <x:c r="AN6944" t="n">
        <x:v>1</x:v>
      </x:c>
    </x:row>
    <x:row r="6945" ht="23" customHeight="1">
      <x:c r="A6945" s="11" t="str">
        <x:v>09995.HK</x:v>
      </x:c>
      <x:c r="B6945" s="11" t="str">
        <x:v>三年</x:v>
      </x:c>
      <x:c r="C6945" s="11" t="str">
        <x:v>RC148_China</x:v>
      </x:c>
      <x:c r="D6945" s="11" t="str">
        <x:v>2038-12-31</x:v>
      </x:c>
      <x:c r="E6945" s="11" t="str">
        <x:v>CNY</x:v>
      </x:c>
      <x:c r="F6945" s="11" t="n">
        <x:v>9.22655715263518</x:v>
      </x:c>
      <x:c r="G6945" s="26" t="b">
        <x:v>1</x:v>
      </x:c>
      <x:c r="H6945" s="16" t="n">
        <x:v>1.14</x:v>
      </x:c>
      <x:c r="I6945" s="16" t="n">
        <x:v>3.2</x:v>
      </x:c>
      <x:c r="J6945" s="16" t="n">
        <x:v>5.2</x:v>
      </x:c>
      <x:c r="K6945" s="11" t="n">
        <x:f>CHOOSE('假设'!$B$3,H6945,I6945,J6945)</x:f>
        <x:v>3.2</x:v>
      </x:c>
      <x:c r="L6945" s="11" t="n">
        <x:f>K6945*'管线假设'!E1483*'管线假设'!F1483*'管线假设'!G1483*IF(E6945="USD",'管线假设'!I1483,1)-AM6945</x:f>
        <x:v>0.672</x:v>
      </x:c>
      <x:c r="M6945" s="11" t="n">
        <x:f>'管线假设'!H1483</x:f>
        <x:v>0.14</x:v>
      </x:c>
      <x:c r="N6945" s="11" t="n">
        <x:f>IF(G6945,L6945*AN6945/(1+M6945)^F6945,0)</x:f>
        <x:v>0.20060114608967855</x:v>
      </x:c>
      <x:c r="AJ6945" s="42" t="n">
        <x:v>0</x:v>
      </x:c>
      <x:c r="AK6945" s="42" t="n">
        <x:v>0</x:v>
      </x:c>
      <x:c r="AL6945" s="42" t="n">
        <x:v>0</x:v>
      </x:c>
      <x:c r="AM6945" t="n">
        <x:f>CHOOSE('假设'!$B$3,AJ6945,AK6945,AL6945)</x:f>
        <x:v>0</x:v>
      </x:c>
      <x:c r="AN6945" t="n">
        <x:v>1</x:v>
      </x:c>
    </x:row>
    <x:row r="6946" ht="23" customHeight="1">
      <x:c r="A6946" s="11" t="str">
        <x:v>09995.HK</x:v>
      </x:c>
      <x:c r="B6946" s="11" t="str">
        <x:v>三年</x:v>
      </x:c>
      <x:c r="C6946" s="11" t="str">
        <x:v>RC148_China</x:v>
      </x:c>
      <x:c r="D6946" s="11" t="str">
        <x:v>2039-12-31</x:v>
      </x:c>
      <x:c r="E6946" s="11" t="str">
        <x:v>CNY</x:v>
      </x:c>
      <x:c r="F6946" s="11" t="n">
        <x:v>10.225872689938399</x:v>
      </x:c>
      <x:c r="G6946" s="26" t="b">
        <x:v>1</x:v>
      </x:c>
      <x:c r="H6946" s="16" t="n">
        <x:v>1.08</x:v>
      </x:c>
      <x:c r="I6946" s="16" t="n">
        <x:v>2.6</x:v>
      </x:c>
      <x:c r="J6946" s="16" t="n">
        <x:v>4</x:v>
      </x:c>
      <x:c r="K6946" s="11" t="n">
        <x:f>CHOOSE('假设'!$B$3,H6946,I6946,J6946)</x:f>
        <x:v>2.6</x:v>
      </x:c>
      <x:c r="L6946" s="11" t="n">
        <x:f>K6946*'管线假设'!E1483*'管线假设'!F1483*'管线假设'!G1483*IF(E6946="USD",'管线假设'!I1483,1)-AM6946</x:f>
        <x:v>0.546</x:v>
      </x:c>
      <x:c r="M6946" s="11" t="n">
        <x:f>'管线假设'!H1483</x:f>
        <x:v>0.14</x:v>
      </x:c>
      <x:c r="N6946" s="11" t="n">
        <x:f>IF(G6946,L6946*AN6946/(1+M6946)^F6946,0)</x:f>
        <x:v>0.14298513096574636</x:v>
      </x:c>
      <x:c r="AJ6946" s="42" t="n">
        <x:v>0</x:v>
      </x:c>
      <x:c r="AK6946" s="42" t="n">
        <x:v>0</x:v>
      </x:c>
      <x:c r="AL6946" s="42" t="n">
        <x:v>0</x:v>
      </x:c>
      <x:c r="AM6946" t="n">
        <x:f>CHOOSE('假设'!$B$3,AJ6946,AK6946,AL6946)</x:f>
        <x:v>0</x:v>
      </x:c>
      <x:c r="AN6946" t="n">
        <x:v>1</x:v>
      </x:c>
    </x:row>
    <x:row r="6947" ht="23" customHeight="1">
      <x:c r="A6947" s="11" t="str">
        <x:v>09995.HK</x:v>
      </x:c>
      <x:c r="B6947" s="11" t="str">
        <x:v>三年</x:v>
      </x:c>
      <x:c r="C6947" s="11" t="str">
        <x:v>RC148_China</x:v>
      </x:c>
      <x:c r="D6947" s="11" t="str">
        <x:v>2040-12-31</x:v>
      </x:c>
      <x:c r="E6947" s="11" t="str">
        <x:v>CNY</x:v>
      </x:c>
      <x:c r="F6947" s="11" t="n">
        <x:v>11.227926078028748</x:v>
      </x:c>
      <x:c r="G6947" s="26" t="b">
        <x:v>1</x:v>
      </x:c>
      <x:c r="H6947" s="16" t="n">
        <x:v>0.96</x:v>
      </x:c>
      <x:c r="I6947" s="16" t="n">
        <x:v>2</x:v>
      </x:c>
      <x:c r="J6947" s="16" t="n">
        <x:v>2.8</x:v>
      </x:c>
      <x:c r="K6947" s="11" t="n">
        <x:f>CHOOSE('假设'!$B$3,H6947,I6947,J6947)</x:f>
        <x:v>2</x:v>
      </x:c>
      <x:c r="L6947" s="11" t="n">
        <x:f>K6947*'管线假设'!E1483*'管线假设'!F1483*'管线假设'!G1483*IF(E6947="USD",'管线假设'!I1483,1)-AM6947</x:f>
        <x:v>0.42</x:v>
      </x:c>
      <x:c r="M6947" s="11" t="n">
        <x:f>'管线假设'!H1483</x:f>
        <x:v>0.14</x:v>
      </x:c>
      <x:c r="N6947" s="11" t="n">
        <x:f>IF(G6947,L6947*AN6947/(1+M6947)^F6947,0)</x:f>
        <x:v>0.0964552400291354</x:v>
      </x:c>
      <x:c r="AJ6947" s="42" t="n">
        <x:v>0</x:v>
      </x:c>
      <x:c r="AK6947" s="42" t="n">
        <x:v>0</x:v>
      </x:c>
      <x:c r="AL6947" s="42" t="n">
        <x:v>0</x:v>
      </x:c>
      <x:c r="AM6947" t="n">
        <x:f>CHOOSE('假设'!$B$3,AJ6947,AK6947,AL6947)</x:f>
        <x:v>0</x:v>
      </x:c>
      <x:c r="AN6947" t="n">
        <x:v>1</x:v>
      </x:c>
    </x:row>
    <x:row r="6948" ht="23" customHeight="1">
      <x:c r="A6948" s="11" t="str">
        <x:v>09995.HK</x:v>
      </x:c>
      <x:c r="B6948" s="11" t="str">
        <x:v>三年</x:v>
      </x:c>
      <x:c r="C6948" s="11" t="str">
        <x:v>RC148_China</x:v>
      </x:c>
      <x:c r="D6948" s="11" t="str">
        <x:v>2041-12-31</x:v>
      </x:c>
      <x:c r="E6948" s="11" t="str">
        <x:v>CNY</x:v>
      </x:c>
      <x:c r="F6948" s="11" t="n">
        <x:v>12.227241615331964</x:v>
      </x:c>
      <x:c r="G6948" s="26" t="b">
        <x:v>1</x:v>
      </x:c>
      <x:c r="H6948" s="16" t="n">
        <x:v>0.78</x:v>
      </x:c>
      <x:c r="I6948" s="16" t="n">
        <x:v>1.4</x:v>
      </x:c>
      <x:c r="J6948" s="16" t="n">
        <x:v>1.6</x:v>
      </x:c>
      <x:c r="K6948" s="11" t="n">
        <x:f>CHOOSE('假设'!$B$3,H6948,I6948,J6948)</x:f>
        <x:v>1.4</x:v>
      </x:c>
      <x:c r="L6948" s="11" t="n">
        <x:f>K6948*'管线假设'!E1483*'管线假设'!F1483*'管线假设'!G1483*IF(E6948="USD",'管线假设'!I1483,1)-AM6948</x:f>
        <x:v>0.294</x:v>
      </x:c>
      <x:c r="M6948" s="11" t="n">
        <x:f>'管线假设'!H1483</x:f>
        <x:v>0.14</x:v>
      </x:c>
      <x:c r="N6948" s="11" t="n">
        <x:f>IF(G6948,L6948*AN6948/(1+M6948)^F6948,0)</x:f>
        <x:v>0.059232213713432146</x:v>
      </x:c>
      <x:c r="AJ6948" s="42" t="n">
        <x:v>0</x:v>
      </x:c>
      <x:c r="AK6948" s="42" t="n">
        <x:v>0</x:v>
      </x:c>
      <x:c r="AL6948" s="42" t="n">
        <x:v>0</x:v>
      </x:c>
      <x:c r="AM6948" t="n">
        <x:f>CHOOSE('假设'!$B$3,AJ6948,AK6948,AL6948)</x:f>
        <x:v>0</x:v>
      </x:c>
      <x:c r="AN6948" t="n">
        <x:v>1</x:v>
      </x:c>
    </x:row>
    <x:row r="6949" ht="23" customHeight="1">
      <x:c r="A6949" s="11" t="str">
        <x:v>09995.HK</x:v>
      </x:c>
      <x:c r="B6949" s="11" t="str">
        <x:v>三年</x:v>
      </x:c>
      <x:c r="C6949" s="11" t="str">
        <x:v>RC148_China</x:v>
      </x:c>
      <x:c r="D6949" s="11" t="str">
        <x:v>2042-12-31</x:v>
      </x:c>
      <x:c r="E6949" s="11" t="str">
        <x:v>CNY</x:v>
      </x:c>
      <x:c r="F6949" s="11" t="n">
        <x:v>13.22655715263518</x:v>
      </x:c>
      <x:c r="G6949" s="26" t="b">
        <x:v>1</x:v>
      </x:c>
      <x:c r="H6949" s="16" t="n">
        <x:v>0.6</x:v>
      </x:c>
      <x:c r="I6949" s="16" t="n">
        <x:v>0.8</x:v>
      </x:c>
      <x:c r="J6949" s="16" t="n">
        <x:v>0.96</x:v>
      </x:c>
      <x:c r="K6949" s="11" t="n">
        <x:f>CHOOSE('假设'!$B$3,H6949,I6949,J6949)</x:f>
        <x:v>0.8</x:v>
      </x:c>
      <x:c r="L6949" s="11" t="n">
        <x:f>K6949*'管线假设'!E1483*'管线假设'!F1483*'管线假设'!G1483*IF(E6949="USD",'管线假设'!I1483,1)-AM6949</x:f>
        <x:v>0.168</x:v>
      </x:c>
      <x:c r="M6949" s="11" t="n">
        <x:f>'管线假设'!H1483</x:f>
        <x:v>0.14</x:v>
      </x:c>
      <x:c r="N6949" s="11" t="n">
        <x:f>IF(G6949,L6949*AN6949/(1+M6949)^F6949,0)</x:f>
        <x:v>0.029692995554388694</x:v>
      </x:c>
      <x:c r="AJ6949" s="42" t="n">
        <x:v>0</x:v>
      </x:c>
      <x:c r="AK6949" s="42" t="n">
        <x:v>0</x:v>
      </x:c>
      <x:c r="AL6949" s="42" t="n">
        <x:v>0</x:v>
      </x:c>
      <x:c r="AM6949" t="n">
        <x:f>CHOOSE('假设'!$B$3,AJ6949,AK6949,AL6949)</x:f>
        <x:v>0</x:v>
      </x:c>
      <x:c r="AN6949" t="n">
        <x:v>1</x:v>
      </x:c>
    </x:row>
    <x:row r="6950" ht="23" customHeight="1">
      <x:c r="A6950" s="11" t="str">
        <x:v>09995.HK</x:v>
      </x:c>
      <x:c r="B6950" s="11" t="str">
        <x:v>三年</x:v>
      </x:c>
      <x:c r="C6950" s="11" t="str">
        <x:v>RC148_China</x:v>
      </x:c>
      <x:c r="D6950" s="11" t="str">
        <x:v>2043-12-31</x:v>
      </x:c>
      <x:c r="E6950" s="11" t="str">
        <x:v>CNY</x:v>
      </x:c>
      <x:c r="F6950" s="11" t="n">
        <x:v>14.225872689938399</x:v>
      </x:c>
      <x:c r="G6950" s="26" t="b">
        <x:v>1</x:v>
      </x:c>
      <x:c r="H6950" s="16" t="n">
        <x:v>0.42</x:v>
      </x:c>
      <x:c r="I6950" s="16" t="n">
        <x:v>0.48</x:v>
      </x:c>
      <x:c r="J6950" s="16" t="n">
        <x:v>0.56</x:v>
      </x:c>
      <x:c r="K6950" s="11" t="n">
        <x:f>CHOOSE('假设'!$B$3,H6950,I6950,J6950)</x:f>
        <x:v>0.48</x:v>
      </x:c>
      <x:c r="L6950" s="11" t="n">
        <x:f>K6950*'管线假设'!E1483*'管线假设'!F1483*'管线假设'!G1483*IF(E6950="USD",'管线假设'!I1483,1)-AM6950</x:f>
        <x:v>0.10079999999999999</x:v>
      </x:c>
      <x:c r="M6950" s="11" t="n">
        <x:f>'管线假设'!H1483</x:f>
        <x:v>0.14</x:v>
      </x:c>
      <x:c r="N6950" s="11" t="n">
        <x:f>IF(G6950,L6950*AN6950/(1+M6950)^F6950,0)</x:f>
        <x:v>0.01562929403114067</x:v>
      </x:c>
      <x:c r="AJ6950" s="42" t="n">
        <x:v>0</x:v>
      </x:c>
      <x:c r="AK6950" s="42" t="n">
        <x:v>0</x:v>
      </x:c>
      <x:c r="AL6950" s="42" t="n">
        <x:v>0</x:v>
      </x:c>
      <x:c r="AM6950" t="n">
        <x:f>CHOOSE('假设'!$B$3,AJ6950,AK6950,AL6950)</x:f>
        <x:v>0</x:v>
      </x:c>
      <x:c r="AN6950" t="n">
        <x:v>1</x:v>
      </x:c>
    </x:row>
    <x:row r="6951" ht="23" customHeight="1">
      <x:c r="A6951" s="11" t="str">
        <x:v>09995.HK</x:v>
      </x:c>
      <x:c r="B6951" s="11" t="str">
        <x:v>三年</x:v>
      </x:c>
      <x:c r="C6951" s="11" t="str">
        <x:v>RC148_China</x:v>
      </x:c>
      <x:c r="D6951" s="11" t="str">
        <x:v>2044-12-31</x:v>
      </x:c>
      <x:c r="E6951" s="11" t="str">
        <x:v>CNY</x:v>
      </x:c>
      <x:c r="F6951" s="11" t="n">
        <x:v>15.227926078028748</x:v>
      </x:c>
      <x:c r="G6951" s="26" t="b">
        <x:v>1</x:v>
      </x:c>
      <x:c r="H6951" s="16" t="n">
        <x:v>0.24</x:v>
      </x:c>
      <x:c r="I6951" s="16" t="n">
        <x:v>0.28</x:v>
      </x:c>
      <x:c r="J6951" s="16" t="n">
        <x:v>0.24</x:v>
      </x:c>
      <x:c r="K6951" s="11" t="n">
        <x:f>CHOOSE('假设'!$B$3,H6951,I6951,J6951)</x:f>
        <x:v>0.28</x:v>
      </x:c>
      <x:c r="L6951" s="11" t="n">
        <x:f>K6951*'管线假设'!E1483*'管线假设'!F1483*'管线假设'!G1483*IF(E6951="USD",'管线假设'!I1483,1)-AM6951</x:f>
        <x:v>0.058800000000000005</x:v>
      </x:c>
      <x:c r="M6951" s="11" t="n">
        <x:f>'管线假设'!H1483</x:f>
        <x:v>0.14</x:v>
      </x:c>
      <x:c r="N6951" s="11" t="n">
        <x:f>IF(G6951,L6951*AN6951/(1+M6951)^F6951,0)</x:f>
        <x:v>0.007995294337836217</x:v>
      </x:c>
      <x:c r="AJ6951" s="42" t="n">
        <x:v>0</x:v>
      </x:c>
      <x:c r="AK6951" s="42" t="n">
        <x:v>0</x:v>
      </x:c>
      <x:c r="AL6951" s="42" t="n">
        <x:v>0</x:v>
      </x:c>
      <x:c r="AM6951" t="n">
        <x:f>CHOOSE('假设'!$B$3,AJ6951,AK6951,AL6951)</x:f>
        <x:v>0</x:v>
      </x:c>
      <x:c r="AN6951" t="n">
        <x:v>1</x:v>
      </x:c>
    </x:row>
    <x:row r="6952" ht="23" customHeight="1">
      <x:c r="A6952" s="11" t="str">
        <x:v>09995.HK</x:v>
      </x:c>
      <x:c r="B6952" s="11" t="str">
        <x:v>三年</x:v>
      </x:c>
      <x:c r="C6952" s="11" t="str">
        <x:v>RC148_foreign</x:v>
      </x:c>
      <x:c r="D6952" s="11" t="str">
        <x:v>2026-12-31</x:v>
      </x:c>
      <x:c r="E6952" s="11" t="str">
        <x:v>USD</x:v>
      </x:c>
      <x:c r="F6952" s="11" t="n">
        <x:v>-2.7734428473648185</x:v>
      </x:c>
      <x:c r="G6952" s="26" t="b">
        <x:v>0</x:v>
      </x:c>
      <x:c r="H6952" s="16" t="n">
        <x:v>0</x:v>
      </x:c>
      <x:c r="I6952" s="16" t="n">
        <x:v>0</x:v>
      </x:c>
      <x:c r="J6952" s="16" t="n">
        <x:v>0</x:v>
      </x:c>
      <x:c r="K6952" s="11" t="n">
        <x:f>CHOOSE('假设'!$B$3,H6952,I6952,J6952)</x:f>
        <x:v>0</x:v>
      </x:c>
      <x:c r="L6952" s="11" t="n">
        <x:f>K6952*'管线假设'!E1487*'管线假设'!F1487*'管线假设'!G1487*IF(E6952="USD",'管线假设'!I1487,1)-AM6952</x:f>
        <x:v>-0.056</x:v>
      </x:c>
      <x:c r="M6952" s="11" t="n">
        <x:f>'管线假设'!H1487</x:f>
        <x:v>0.14</x:v>
      </x:c>
      <x:c r="N6952" s="11" t="n">
        <x:f>IF(G6952,L6952*AN6952/(1+M6952)^F6952,0)</x:f>
        <x:v>0</x:v>
      </x:c>
      <x:c r="AJ6952" s="42" t="n">
        <x:v>0.021</x:v>
      </x:c>
      <x:c r="AK6952" s="42" t="n">
        <x:v>0.056</x:v>
      </x:c>
      <x:c r="AL6952" s="42" t="n">
        <x:v>0.084</x:v>
      </x:c>
      <x:c r="AM6952" t="n">
        <x:f>CHOOSE('假设'!$B$3,AJ6952,AK6952,AL6952)</x:f>
        <x:v>0.056</x:v>
      </x:c>
      <x:c r="AN6952" t="n">
        <x:v>0</x:v>
      </x:c>
    </x:row>
    <x:row r="6953" ht="23" customHeight="1">
      <x:c r="A6953" s="11" t="str">
        <x:v>09995.HK</x:v>
      </x:c>
      <x:c r="B6953" s="11" t="str">
        <x:v>三年</x:v>
      </x:c>
      <x:c r="C6953" s="11" t="str">
        <x:v>RC148_foreign</x:v>
      </x:c>
      <x:c r="D6953" s="11" t="str">
        <x:v>2027-12-31</x:v>
      </x:c>
      <x:c r="E6953" s="11" t="str">
        <x:v>USD</x:v>
      </x:c>
      <x:c r="F6953" s="11" t="n">
        <x:v>-1.7741273100616017</x:v>
      </x:c>
      <x:c r="G6953" s="26" t="b">
        <x:v>0</x:v>
      </x:c>
      <x:c r="H6953" s="16" t="n">
        <x:v>0</x:v>
      </x:c>
      <x:c r="I6953" s="16" t="n">
        <x:v>0</x:v>
      </x:c>
      <x:c r="J6953" s="16" t="n">
        <x:v>0</x:v>
      </x:c>
      <x:c r="K6953" s="11" t="n">
        <x:f>CHOOSE('假设'!$B$3,H6953,I6953,J6953)</x:f>
        <x:v>0</x:v>
      </x:c>
      <x:c r="L6953" s="11" t="n">
        <x:f>K6953*'管线假设'!E1487*'管线假设'!F1487*'管线假设'!G1487*IF(E6953="USD",'管线假设'!I1487,1)-AM6953</x:f>
        <x:v>0</x:v>
      </x:c>
      <x:c r="M6953" s="11" t="n">
        <x:f>'管线假设'!H1487</x:f>
        <x:v>0.14</x:v>
      </x:c>
      <x:c r="N6953" s="11" t="n">
        <x:f>IF(G6953,L6953*AN6953/(1+M6953)^F6953,0)</x:f>
        <x:v>0</x:v>
      </x:c>
      <x:c r="AJ6953" s="42" t="n">
        <x:v>0</x:v>
      </x:c>
      <x:c r="AK6953" s="42" t="n">
        <x:v>0</x:v>
      </x:c>
      <x:c r="AL6953" s="42" t="n">
        <x:v>0</x:v>
      </x:c>
      <x:c r="AM6953" t="n">
        <x:f>CHOOSE('假设'!$B$3,AJ6953,AK6953,AL6953)</x:f>
        <x:v>0</x:v>
      </x:c>
      <x:c r="AN6953" t="n">
        <x:v>0</x:v>
      </x:c>
    </x:row>
    <x:row r="6954" ht="23" customHeight="1">
      <x:c r="A6954" s="11" t="str">
        <x:v>09995.HK</x:v>
      </x:c>
      <x:c r="B6954" s="11" t="str">
        <x:v>三年</x:v>
      </x:c>
      <x:c r="C6954" s="11" t="str">
        <x:v>RC148_foreign</x:v>
      </x:c>
      <x:c r="D6954" s="11" t="str">
        <x:v>2028-12-31</x:v>
      </x:c>
      <x:c r="E6954" s="11" t="str">
        <x:v>USD</x:v>
      </x:c>
      <x:c r="F6954" s="11" t="n">
        <x:v>-0.7720739219712526</x:v>
      </x:c>
      <x:c r="G6954" s="26" t="b">
        <x:v>0</x:v>
      </x:c>
      <x:c r="H6954" s="16" t="n">
        <x:v>0</x:v>
      </x:c>
      <x:c r="I6954" s="16" t="n">
        <x:v>0</x:v>
      </x:c>
      <x:c r="J6954" s="16" t="n">
        <x:v>0</x:v>
      </x:c>
      <x:c r="K6954" s="11" t="n">
        <x:f>CHOOSE('假设'!$B$3,H6954,I6954,J6954)</x:f>
        <x:v>0</x:v>
      </x:c>
      <x:c r="L6954" s="11" t="n">
        <x:f>K6954*'管线假设'!E1487*'管线假设'!F1487*'管线假设'!G1487*IF(E6954="USD",'管线假设'!I1487,1)-AM6954</x:f>
        <x:v>0</x:v>
      </x:c>
      <x:c r="M6954" s="11" t="n">
        <x:f>'管线假设'!H1487</x:f>
        <x:v>0.14</x:v>
      </x:c>
      <x:c r="N6954" s="11" t="n">
        <x:f>IF(G6954,L6954*AN6954/(1+M6954)^F6954,0)</x:f>
        <x:v>0</x:v>
      </x:c>
      <x:c r="AJ6954" s="42" t="n">
        <x:v>0</x:v>
      </x:c>
      <x:c r="AK6954" s="42" t="n">
        <x:v>0</x:v>
      </x:c>
      <x:c r="AL6954" s="42" t="n">
        <x:v>0</x:v>
      </x:c>
      <x:c r="AM6954" t="n">
        <x:f>CHOOSE('假设'!$B$3,AJ6954,AK6954,AL6954)</x:f>
        <x:v>0</x:v>
      </x:c>
      <x:c r="AN6954" t="n">
        <x:v>0</x:v>
      </x:c>
    </x:row>
    <x:row r="6955" ht="23" customHeight="1">
      <x:c r="A6955" s="11" t="str">
        <x:v>09995.HK</x:v>
      </x:c>
      <x:c r="B6955" s="11" t="str">
        <x:v>三年</x:v>
      </x:c>
      <x:c r="C6955" s="11" t="str">
        <x:v>RC148_foreign</x:v>
      </x:c>
      <x:c r="D6955" s="11" t="str">
        <x:v>2029-12-31</x:v>
      </x:c>
      <x:c r="E6955" s="11" t="str">
        <x:v>USD</x:v>
      </x:c>
      <x:c r="F6955" s="11" t="n">
        <x:v>0.2272416153319644</x:v>
      </x:c>
      <x:c r="G6955" s="26" t="b">
        <x:v>1</x:v>
      </x:c>
      <x:c r="H6955" s="16" t="n">
        <x:v>0</x:v>
      </x:c>
      <x:c r="I6955" s="16" t="n">
        <x:v>0</x:v>
      </x:c>
      <x:c r="J6955" s="16" t="n">
        <x:v>0.6</x:v>
      </x:c>
      <x:c r="K6955" s="11" t="n">
        <x:f>CHOOSE('假设'!$B$3,H6955,I6955,J6955)</x:f>
        <x:v>0</x:v>
      </x:c>
      <x:c r="L6955" s="11" t="n">
        <x:f>K6955*'管线假设'!E1487*'管线假设'!F1487*'管线假设'!G1487*IF(E6955="USD",'管线假设'!I1487,1)-AM6955</x:f>
        <x:v>0</x:v>
      </x:c>
      <x:c r="M6955" s="11" t="n">
        <x:f>'管线假设'!H1487</x:f>
        <x:v>0.14</x:v>
      </x:c>
      <x:c r="N6955" s="11" t="n">
        <x:f>IF(G6955,L6955*AN6955/(1+M6955)^F6955,0)</x:f>
        <x:v>0</x:v>
      </x:c>
      <x:c r="AJ6955" s="42" t="n">
        <x:v>0</x:v>
      </x:c>
      <x:c r="AK6955" s="42" t="n">
        <x:v>0</x:v>
      </x:c>
      <x:c r="AL6955" s="42" t="n">
        <x:v>0</x:v>
      </x:c>
      <x:c r="AM6955" t="n">
        <x:f>CHOOSE('假设'!$B$3,AJ6955,AK6955,AL6955)</x:f>
        <x:v>0</x:v>
      </x:c>
      <x:c r="AN6955" t="n">
        <x:v>0.22802197802197802</x:v>
      </x:c>
    </x:row>
    <x:row r="6956" ht="23" customHeight="1">
      <x:c r="A6956" s="11" t="str">
        <x:v>09995.HK</x:v>
      </x:c>
      <x:c r="B6956" s="11" t="str">
        <x:v>三年</x:v>
      </x:c>
      <x:c r="C6956" s="11" t="str">
        <x:v>RC148_foreign</x:v>
      </x:c>
      <x:c r="D6956" s="11" t="str">
        <x:v>2030-12-31</x:v>
      </x:c>
      <x:c r="E6956" s="11" t="str">
        <x:v>USD</x:v>
      </x:c>
      <x:c r="F6956" s="11" t="n">
        <x:v>1.2265571526351813</x:v>
      </x:c>
      <x:c r="G6956" s="26" t="b">
        <x:v>1</x:v>
      </x:c>
      <x:c r="H6956" s="16" t="n">
        <x:v>0</x:v>
      </x:c>
      <x:c r="I6956" s="16" t="n">
        <x:v>0.3</x:v>
      </x:c>
      <x:c r="J6956" s="16" t="n">
        <x:v>1.7999999999999998</x:v>
      </x:c>
      <x:c r="K6956" s="11" t="n">
        <x:f>CHOOSE('假设'!$B$3,H6956,I6956,J6956)</x:f>
        <x:v>0.3</x:v>
      </x:c>
      <x:c r="L6956" s="11" t="n">
        <x:f>K6956*'管线假设'!E1487*'管线假设'!F1487*'管线假设'!G1487*IF(E6956="USD",'管线假设'!I1487,1)-AM6956</x:f>
        <x:v>0.12054</x:v>
      </x:c>
      <x:c r="M6956" s="11" t="n">
        <x:f>'管线假设'!H1487</x:f>
        <x:v>0.14</x:v>
      </x:c>
      <x:c r="N6956" s="11" t="n">
        <x:f>IF(G6956,L6956*AN6956/(1+M6956)^F6956,0)</x:f>
        <x:v>0.10264413393958585</x:v>
      </x:c>
      <x:c r="AJ6956" s="42" t="n">
        <x:v>0</x:v>
      </x:c>
      <x:c r="AK6956" s="42" t="n">
        <x:v>0</x:v>
      </x:c>
      <x:c r="AL6956" s="42" t="n">
        <x:v>0</x:v>
      </x:c>
      <x:c r="AM6956" t="n">
        <x:f>CHOOSE('假设'!$B$3,AJ6956,AK6956,AL6956)</x:f>
        <x:v>0</x:v>
      </x:c>
      <x:c r="AN6956" t="n">
        <x:v>1</x:v>
      </x:c>
    </x:row>
    <x:row r="6957" ht="23" customHeight="1">
      <x:c r="A6957" s="11" t="str">
        <x:v>09995.HK</x:v>
      </x:c>
      <x:c r="B6957" s="11" t="str">
        <x:v>三年</x:v>
      </x:c>
      <x:c r="C6957" s="11" t="str">
        <x:v>RC148_foreign</x:v>
      </x:c>
      <x:c r="D6957" s="11" t="str">
        <x:v>2031-12-31</x:v>
      </x:c>
      <x:c r="E6957" s="11" t="str">
        <x:v>USD</x:v>
      </x:c>
      <x:c r="F6957" s="11" t="n">
        <x:v>2.2258726899383983</x:v>
      </x:c>
      <x:c r="G6957" s="26" t="b">
        <x:v>1</x:v>
      </x:c>
      <x:c r="H6957" s="16" t="n">
        <x:v>0</x:v>
      </x:c>
      <x:c r="I6957" s="16" t="n">
        <x:v>0.8999999999999999</x:v>
      </x:c>
      <x:c r="J6957" s="16" t="n">
        <x:v>3.8</x:v>
      </x:c>
      <x:c r="K6957" s="11" t="n">
        <x:f>CHOOSE('假设'!$B$3,H6957,I6957,J6957)</x:f>
        <x:v>0.8999999999999999</x:v>
      </x:c>
      <x:c r="L6957" s="11" t="n">
        <x:f>K6957*'管线假设'!E1487*'管线假设'!F1487*'管线假设'!G1487*IF(E6957="USD",'管线假设'!I1487,1)-AM6957</x:f>
        <x:v>0.36162</x:v>
      </x:c>
      <x:c r="M6957" s="11" t="n">
        <x:f>'管线假设'!H1487</x:f>
        <x:v>0.14</x:v>
      </x:c>
      <x:c r="N6957" s="11" t="n">
        <x:f>IF(G6957,L6957*AN6957/(1+M6957)^F6957,0)</x:f>
        <x:v>0.27014036811729836</x:v>
      </x:c>
      <x:c r="AJ6957" s="42" t="n">
        <x:v>0</x:v>
      </x:c>
      <x:c r="AK6957" s="42" t="n">
        <x:v>0</x:v>
      </x:c>
      <x:c r="AL6957" s="42" t="n">
        <x:v>0</x:v>
      </x:c>
      <x:c r="AM6957" t="n">
        <x:f>CHOOSE('假设'!$B$3,AJ6957,AK6957,AL6957)</x:f>
        <x:v>0</x:v>
      </x:c>
      <x:c r="AN6957" t="n">
        <x:v>1</x:v>
      </x:c>
    </x:row>
    <x:row r="6958" ht="23" customHeight="1">
      <x:c r="A6958" s="11" t="str">
        <x:v>09995.HK</x:v>
      </x:c>
      <x:c r="B6958" s="11" t="str">
        <x:v>三年</x:v>
      </x:c>
      <x:c r="C6958" s="11" t="str">
        <x:v>RC148_foreign</x:v>
      </x:c>
      <x:c r="D6958" s="11" t="str">
        <x:v>2032-12-31</x:v>
      </x:c>
      <x:c r="E6958" s="11" t="str">
        <x:v>USD</x:v>
      </x:c>
      <x:c r="F6958" s="11" t="n">
        <x:v>3.2279260780287475</x:v>
      </x:c>
      <x:c r="G6958" s="26" t="b">
        <x:v>1</x:v>
      </x:c>
      <x:c r="H6958" s="16" t="n">
        <x:v>0.12</x:v>
      </x:c>
      <x:c r="I6958" s="16" t="n">
        <x:v>1.9</x:v>
      </x:c>
      <x:c r="J6958" s="16" t="n">
        <x:v>6.5</x:v>
      </x:c>
      <x:c r="K6958" s="11" t="n">
        <x:f>CHOOSE('假设'!$B$3,H6958,I6958,J6958)</x:f>
        <x:v>1.9</x:v>
      </x:c>
      <x:c r="L6958" s="11" t="n">
        <x:f>K6958*'管线假设'!E1487*'管线假设'!F1487*'管线假设'!G1487*IF(E6958="USD",'管线假设'!I1487,1)-AM6958</x:f>
        <x:v>0.76342</x:v>
      </x:c>
      <x:c r="M6958" s="11" t="n">
        <x:f>'管线假设'!H1487</x:f>
        <x:v>0.14</x:v>
      </x:c>
      <x:c r="N6958" s="11" t="n">
        <x:f>IF(G6958,L6958*AN6958/(1+M6958)^F6958,0)</x:f>
        <x:v>0.5001253631886082</x:v>
      </x:c>
      <x:c r="AJ6958" s="42" t="n">
        <x:v>0</x:v>
      </x:c>
      <x:c r="AK6958" s="42" t="n">
        <x:v>0</x:v>
      </x:c>
      <x:c r="AL6958" s="42" t="n">
        <x:v>0</x:v>
      </x:c>
      <x:c r="AM6958" t="n">
        <x:f>CHOOSE('假设'!$B$3,AJ6958,AK6958,AL6958)</x:f>
        <x:v>0</x:v>
      </x:c>
      <x:c r="AN6958" t="n">
        <x:v>1</x:v>
      </x:c>
    </x:row>
    <x:row r="6959" ht="23" customHeight="1">
      <x:c r="A6959" s="11" t="str">
        <x:v>09995.HK</x:v>
      </x:c>
      <x:c r="B6959" s="11" t="str">
        <x:v>三年</x:v>
      </x:c>
      <x:c r="C6959" s="11" t="str">
        <x:v>RC148_foreign</x:v>
      </x:c>
      <x:c r="D6959" s="11" t="str">
        <x:v>2033-12-31</x:v>
      </x:c>
      <x:c r="E6959" s="11" t="str">
        <x:v>USD</x:v>
      </x:c>
      <x:c r="F6959" s="11" t="n">
        <x:v>4.227241615331964</x:v>
      </x:c>
      <x:c r="G6959" s="26" t="b">
        <x:v>1</x:v>
      </x:c>
      <x:c r="H6959" s="16" t="n">
        <x:v>0.36</x:v>
      </x:c>
      <x:c r="I6959" s="16" t="n">
        <x:v>3.25</x:v>
      </x:c>
      <x:c r="J6959" s="16" t="n">
        <x:v>8.5</x:v>
      </x:c>
      <x:c r="K6959" s="11" t="n">
        <x:f>CHOOSE('假设'!$B$3,H6959,I6959,J6959)</x:f>
        <x:v>3.25</x:v>
      </x:c>
      <x:c r="L6959" s="11" t="n">
        <x:f>K6959*'管线假设'!E1487*'管线假设'!F1487*'管线假设'!G1487*IF(E6959="USD",'管线假设'!I1487,1)-AM6959</x:f>
        <x:v>1.30585</x:v>
      </x:c>
      <x:c r="M6959" s="11" t="n">
        <x:f>'管线假设'!H1487</x:f>
        <x:v>0.14</x:v>
      </x:c>
      <x:c r="N6959" s="11" t="n">
        <x:f>IF(G6959,L6959*AN6959/(1+M6959)^F6959,0)</x:f>
        <x:v>0.7504862464780149</x:v>
      </x:c>
      <x:c r="AJ6959" s="42" t="n">
        <x:v>0</x:v>
      </x:c>
      <x:c r="AK6959" s="42" t="n">
        <x:v>0</x:v>
      </x:c>
      <x:c r="AL6959" s="42" t="n">
        <x:v>0</x:v>
      </x:c>
      <x:c r="AM6959" t="n">
        <x:f>CHOOSE('假设'!$B$3,AJ6959,AK6959,AL6959)</x:f>
        <x:v>0</x:v>
      </x:c>
      <x:c r="AN6959" t="n">
        <x:v>1</x:v>
      </x:c>
    </x:row>
    <x:row r="6960" ht="23" customHeight="1">
      <x:c r="A6960" s="11" t="str">
        <x:v>09995.HK</x:v>
      </x:c>
      <x:c r="B6960" s="11" t="str">
        <x:v>三年</x:v>
      </x:c>
      <x:c r="C6960" s="11" t="str">
        <x:v>RC148_foreign</x:v>
      </x:c>
      <x:c r="D6960" s="11" t="str">
        <x:v>2034-12-31</x:v>
      </x:c>
      <x:c r="E6960" s="11" t="str">
        <x:v>USD</x:v>
      </x:c>
      <x:c r="F6960" s="11" t="n">
        <x:v>5.2265571526351815</x:v>
      </x:c>
      <x:c r="G6960" s="26" t="b">
        <x:v>1</x:v>
      </x:c>
      <x:c r="H6960" s="16" t="n">
        <x:v>0.76</x:v>
      </x:c>
      <x:c r="I6960" s="16" t="n">
        <x:v>4.25</x:v>
      </x:c>
      <x:c r="J6960" s="16" t="n">
        <x:v>10</x:v>
      </x:c>
      <x:c r="K6960" s="11" t="n">
        <x:f>CHOOSE('假设'!$B$3,H6960,I6960,J6960)</x:f>
        <x:v>4.25</x:v>
      </x:c>
      <x:c r="L6960" s="11" t="n">
        <x:f>K6960*'管线假设'!E1487*'管线假设'!F1487*'管线假设'!G1487*IF(E6960="USD",'管线假设'!I1487,1)-AM6960</x:f>
        <x:v>1.7076500000000001</x:v>
      </x:c>
      <x:c r="M6960" s="11" t="n">
        <x:f>'管线假设'!H1487</x:f>
        <x:v>0.14</x:v>
      </x:c>
      <x:c r="N6960" s="11" t="n">
        <x:f>IF(G6960,L6960*AN6960/(1+M6960)^F6960,0)</x:f>
        <x:v>0.860958869989449</x:v>
      </x:c>
      <x:c r="AJ6960" s="42" t="n">
        <x:v>0</x:v>
      </x:c>
      <x:c r="AK6960" s="42" t="n">
        <x:v>0</x:v>
      </x:c>
      <x:c r="AL6960" s="42" t="n">
        <x:v>0</x:v>
      </x:c>
      <x:c r="AM6960" t="n">
        <x:f>CHOOSE('假设'!$B$3,AJ6960,AK6960,AL6960)</x:f>
        <x:v>0</x:v>
      </x:c>
      <x:c r="AN6960" t="n">
        <x:v>1</x:v>
      </x:c>
    </x:row>
    <x:row r="6961" ht="23" customHeight="1">
      <x:c r="A6961" s="11" t="str">
        <x:v>09995.HK</x:v>
      </x:c>
      <x:c r="B6961" s="11" t="str">
        <x:v>三年</x:v>
      </x:c>
      <x:c r="C6961" s="11" t="str">
        <x:v>RC148_foreign</x:v>
      </x:c>
      <x:c r="D6961" s="11" t="str">
        <x:v>2035-12-31</x:v>
      </x:c>
      <x:c r="E6961" s="11" t="str">
        <x:v>USD</x:v>
      </x:c>
      <x:c r="F6961" s="11" t="n">
        <x:v>6.225872689938399</x:v>
      </x:c>
      <x:c r="G6961" s="26" t="b">
        <x:v>1</x:v>
      </x:c>
      <x:c r="H6961" s="16" t="n">
        <x:v>1.3</x:v>
      </x:c>
      <x:c r="I6961" s="16" t="n">
        <x:v>5</x:v>
      </x:c>
      <x:c r="J6961" s="16" t="n">
        <x:v>10</x:v>
      </x:c>
      <x:c r="K6961" s="11" t="n">
        <x:f>CHOOSE('假设'!$B$3,H6961,I6961,J6961)</x:f>
        <x:v>5</x:v>
      </x:c>
      <x:c r="L6961" s="11" t="n">
        <x:f>K6961*'管线假设'!E1487*'管线假设'!F1487*'管线假设'!G1487*IF(E6961="USD",'管线假设'!I1487,1)-AM6961</x:f>
        <x:v>2.009</x:v>
      </x:c>
      <x:c r="M6961" s="11" t="n">
        <x:f>'管线假设'!H1487</x:f>
        <x:v>0.14</x:v>
      </x:c>
      <x:c r="N6961" s="11" t="n">
        <x:f>IF(G6961,L6961*AN6961/(1+M6961)^F6961,0)</x:f>
        <x:v>0.8885821337987504</x:v>
      </x:c>
      <x:c r="AJ6961" s="42" t="n">
        <x:v>0</x:v>
      </x:c>
      <x:c r="AK6961" s="42" t="n">
        <x:v>0</x:v>
      </x:c>
      <x:c r="AL6961" s="42" t="n">
        <x:v>0</x:v>
      </x:c>
      <x:c r="AM6961" t="n">
        <x:f>CHOOSE('假设'!$B$3,AJ6961,AK6961,AL6961)</x:f>
        <x:v>0</x:v>
      </x:c>
      <x:c r="AN6961" t="n">
        <x:v>1</x:v>
      </x:c>
    </x:row>
    <x:row r="6962" ht="23" customHeight="1">
      <x:c r="A6962" s="11" t="str">
        <x:v>09995.HK</x:v>
      </x:c>
      <x:c r="B6962" s="11" t="str">
        <x:v>三年</x:v>
      </x:c>
      <x:c r="C6962" s="11" t="str">
        <x:v>RC148_foreign</x:v>
      </x:c>
      <x:c r="D6962" s="11" t="str">
        <x:v>2036-12-31</x:v>
      </x:c>
      <x:c r="E6962" s="11" t="str">
        <x:v>USD</x:v>
      </x:c>
      <x:c r="F6962" s="11" t="n">
        <x:v>7.227926078028747</x:v>
      </x:c>
      <x:c r="G6962" s="26" t="b">
        <x:v>1</x:v>
      </x:c>
      <x:c r="H6962" s="16" t="n">
        <x:v>1.7</x:v>
      </x:c>
      <x:c r="I6962" s="16" t="n">
        <x:v>5</x:v>
      </x:c>
      <x:c r="J6962" s="16" t="n">
        <x:v>9.5</x:v>
      </x:c>
      <x:c r="K6962" s="11" t="n">
        <x:f>CHOOSE('假设'!$B$3,H6962,I6962,J6962)</x:f>
        <x:v>5</x:v>
      </x:c>
      <x:c r="L6962" s="11" t="n">
        <x:f>K6962*'管线假设'!E1487*'管线假设'!F1487*'管线假设'!G1487*IF(E6962="USD",'管线假设'!I1487,1)-AM6962</x:f>
        <x:v>2.009</x:v>
      </x:c>
      <x:c r="M6962" s="11" t="n">
        <x:f>'管线假设'!H1487</x:f>
        <x:v>0.14</x:v>
      </x:c>
      <x:c r="N6962" s="11" t="n">
        <x:f>IF(G6962,L6962*AN6962/(1+M6962)^F6962,0)</x:f>
        <x:v>0.779248325675205</x:v>
      </x:c>
      <x:c r="AJ6962" s="42" t="n">
        <x:v>0</x:v>
      </x:c>
      <x:c r="AK6962" s="42" t="n">
        <x:v>0</x:v>
      </x:c>
      <x:c r="AL6962" s="42" t="n">
        <x:v>0</x:v>
      </x:c>
      <x:c r="AM6962" t="n">
        <x:f>CHOOSE('假设'!$B$3,AJ6962,AK6962,AL6962)</x:f>
        <x:v>0</x:v>
      </x:c>
      <x:c r="AN6962" t="n">
        <x:v>1</x:v>
      </x:c>
    </x:row>
    <x:row r="6963" ht="23" customHeight="1">
      <x:c r="A6963" s="11" t="str">
        <x:v>09995.HK</x:v>
      </x:c>
      <x:c r="B6963" s="11" t="str">
        <x:v>三年</x:v>
      </x:c>
      <x:c r="C6963" s="11" t="str">
        <x:v>RC148_foreign</x:v>
      </x:c>
      <x:c r="D6963" s="11" t="str">
        <x:v>2037-12-31</x:v>
      </x:c>
      <x:c r="E6963" s="11" t="str">
        <x:v>USD</x:v>
      </x:c>
      <x:c r="F6963" s="11" t="n">
        <x:v>8.227241615331964</x:v>
      </x:c>
      <x:c r="G6963" s="26" t="b">
        <x:v>1</x:v>
      </x:c>
      <x:c r="H6963" s="16" t="n">
        <x:v>2</x:v>
      </x:c>
      <x:c r="I6963" s="16" t="n">
        <x:v>4.75</x:v>
      </x:c>
      <x:c r="J6963" s="16" t="n">
        <x:v>9</x:v>
      </x:c>
      <x:c r="K6963" s="11" t="n">
        <x:f>CHOOSE('假设'!$B$3,H6963,I6963,J6963)</x:f>
        <x:v>4.75</x:v>
      </x:c>
      <x:c r="L6963" s="11" t="n">
        <x:f>K6963*'管线假设'!E1487*'管线假设'!F1487*'管线假设'!G1487*IF(E6963="USD",'管线假设'!I1487,1)-AM6963</x:f>
        <x:v>1.90855</x:v>
      </x:c>
      <x:c r="M6963" s="11" t="n">
        <x:f>'管线假设'!H1487</x:f>
        <x:v>0.14</x:v>
      </x:c>
      <x:c r="N6963" s="11" t="n">
        <x:f>IF(G6963,L6963*AN6963/(1+M6963)^F6963,0)</x:f>
        <x:v>0.6494318457359303</x:v>
      </x:c>
      <x:c r="AJ6963" s="42" t="n">
        <x:v>0</x:v>
      </x:c>
      <x:c r="AK6963" s="42" t="n">
        <x:v>0</x:v>
      </x:c>
      <x:c r="AL6963" s="42" t="n">
        <x:v>0</x:v>
      </x:c>
      <x:c r="AM6963" t="n">
        <x:f>CHOOSE('假设'!$B$3,AJ6963,AK6963,AL6963)</x:f>
        <x:v>0</x:v>
      </x:c>
      <x:c r="AN6963" t="n">
        <x:v>1</x:v>
      </x:c>
    </x:row>
    <x:row r="6964" ht="23" customHeight="1">
      <x:c r="A6964" s="11" t="str">
        <x:v>09995.HK</x:v>
      </x:c>
      <x:c r="B6964" s="11" t="str">
        <x:v>三年</x:v>
      </x:c>
      <x:c r="C6964" s="11" t="str">
        <x:v>RC148_foreign</x:v>
      </x:c>
      <x:c r="D6964" s="11" t="str">
        <x:v>2038-12-31</x:v>
      </x:c>
      <x:c r="E6964" s="11" t="str">
        <x:v>USD</x:v>
      </x:c>
      <x:c r="F6964" s="11" t="n">
        <x:v>9.22655715263518</x:v>
      </x:c>
      <x:c r="G6964" s="26" t="b">
        <x:v>1</x:v>
      </x:c>
      <x:c r="H6964" s="16" t="n">
        <x:v>2</x:v>
      </x:c>
      <x:c r="I6964" s="16" t="n">
        <x:v>4.5</x:v>
      </x:c>
      <x:c r="J6964" s="16" t="n">
        <x:v>8</x:v>
      </x:c>
      <x:c r="K6964" s="11" t="n">
        <x:f>CHOOSE('假设'!$B$3,H6964,I6964,J6964)</x:f>
        <x:v>4.5</x:v>
      </x:c>
      <x:c r="L6964" s="11" t="n">
        <x:f>K6964*'管线假设'!E1487*'管线假设'!F1487*'管线假设'!G1487*IF(E6964="USD",'管线假设'!I1487,1)-AM6964</x:f>
        <x:v>1.8080999999999998</x:v>
      </x:c>
      <x:c r="M6964" s="11" t="n">
        <x:f>'管线假设'!H1487</x:f>
        <x:v>0.14</x:v>
      </x:c>
      <x:c r="N6964" s="11" t="n">
        <x:f>IF(G6964,L6964*AN6964/(1+M6964)^F6964,0)</x:f>
        <x:v>0.5397424586975412</x:v>
      </x:c>
      <x:c r="AJ6964" s="42" t="n">
        <x:v>0</x:v>
      </x:c>
      <x:c r="AK6964" s="42" t="n">
        <x:v>0</x:v>
      </x:c>
      <x:c r="AL6964" s="42" t="n">
        <x:v>0</x:v>
      </x:c>
      <x:c r="AM6964" t="n">
        <x:f>CHOOSE('假设'!$B$3,AJ6964,AK6964,AL6964)</x:f>
        <x:v>0</x:v>
      </x:c>
      <x:c r="AN6964" t="n">
        <x:v>1</x:v>
      </x:c>
    </x:row>
    <x:row r="6965" ht="23" customHeight="1">
      <x:c r="A6965" s="11" t="str">
        <x:v>09995.HK</x:v>
      </x:c>
      <x:c r="B6965" s="11" t="str">
        <x:v>三年</x:v>
      </x:c>
      <x:c r="C6965" s="11" t="str">
        <x:v>RC148_foreign</x:v>
      </x:c>
      <x:c r="D6965" s="11" t="str">
        <x:v>2039-12-31</x:v>
      </x:c>
      <x:c r="E6965" s="11" t="str">
        <x:v>USD</x:v>
      </x:c>
      <x:c r="F6965" s="11" t="n">
        <x:v>10.225872689938399</x:v>
      </x:c>
      <x:c r="G6965" s="26" t="b">
        <x:v>1</x:v>
      </x:c>
      <x:c r="H6965" s="16" t="n">
        <x:v>1.9</x:v>
      </x:c>
      <x:c r="I6965" s="16" t="n">
        <x:v>4</x:v>
      </x:c>
      <x:c r="J6965" s="16" t="n">
        <x:v>6.5</x:v>
      </x:c>
      <x:c r="K6965" s="11" t="n">
        <x:f>CHOOSE('假设'!$B$3,H6965,I6965,J6965)</x:f>
        <x:v>4</x:v>
      </x:c>
      <x:c r="L6965" s="11" t="n">
        <x:f>K6965*'管线假设'!E1487*'管线假设'!F1487*'管线假设'!G1487*IF(E6965="USD",'管线假设'!I1487,1)-AM6965</x:f>
        <x:v>1.6072</x:v>
      </x:c>
      <x:c r="M6965" s="11" t="n">
        <x:f>'管线假设'!H1487</x:f>
        <x:v>0.14</x:v>
      </x:c>
      <x:c r="N6965" s="11" t="n">
        <x:f>IF(G6965,L6965*AN6965/(1+M6965)^F6965,0)</x:f>
        <x:v>0.4208895649966072</x:v>
      </x:c>
      <x:c r="AJ6965" s="42" t="n">
        <x:v>0</x:v>
      </x:c>
      <x:c r="AK6965" s="42" t="n">
        <x:v>0</x:v>
      </x:c>
      <x:c r="AL6965" s="42" t="n">
        <x:v>0</x:v>
      </x:c>
      <x:c r="AM6965" t="n">
        <x:f>CHOOSE('假设'!$B$3,AJ6965,AK6965,AL6965)</x:f>
        <x:v>0</x:v>
      </x:c>
      <x:c r="AN6965" t="n">
        <x:v>1</x:v>
      </x:c>
    </x:row>
    <x:row r="6966" ht="23" customHeight="1">
      <x:c r="A6966" s="11" t="str">
        <x:v>09995.HK</x:v>
      </x:c>
      <x:c r="B6966" s="11" t="str">
        <x:v>三年</x:v>
      </x:c>
      <x:c r="C6966" s="11" t="str">
        <x:v>RC148_foreign</x:v>
      </x:c>
      <x:c r="D6966" s="11" t="str">
        <x:v>2040-12-31</x:v>
      </x:c>
      <x:c r="E6966" s="11" t="str">
        <x:v>USD</x:v>
      </x:c>
      <x:c r="F6966" s="11" t="n">
        <x:v>11.227926078028748</x:v>
      </x:c>
      <x:c r="G6966" s="26" t="b">
        <x:v>1</x:v>
      </x:c>
      <x:c r="H6966" s="16" t="n">
        <x:v>1.8</x:v>
      </x:c>
      <x:c r="I6966" s="16" t="n">
        <x:v>3.25</x:v>
      </x:c>
      <x:c r="J6966" s="16" t="n">
        <x:v>5</x:v>
      </x:c>
      <x:c r="K6966" s="11" t="n">
        <x:f>CHOOSE('假设'!$B$3,H6966,I6966,J6966)</x:f>
        <x:v>3.25</x:v>
      </x:c>
      <x:c r="L6966" s="11" t="n">
        <x:f>K6966*'管线假设'!E1487*'管线假设'!F1487*'管线假设'!G1487*IF(E6966="USD",'管线假设'!I1487,1)-AM6966</x:f>
        <x:v>1.30585</x:v>
      </x:c>
      <x:c r="M6966" s="11" t="n">
        <x:f>'管线假设'!H1487</x:f>
        <x:v>0.14</x:v>
      </x:c>
      <x:c r="N6966" s="11" t="n">
        <x:f>IF(G6966,L6966*AN6966/(1+M6966)^F6966,0)</x:f>
        <x:v>0.29989541712392015</x:v>
      </x:c>
      <x:c r="AJ6966" s="42" t="n">
        <x:v>0</x:v>
      </x:c>
      <x:c r="AK6966" s="42" t="n">
        <x:v>0</x:v>
      </x:c>
      <x:c r="AL6966" s="42" t="n">
        <x:v>0</x:v>
      </x:c>
      <x:c r="AM6966" t="n">
        <x:f>CHOOSE('假设'!$B$3,AJ6966,AK6966,AL6966)</x:f>
        <x:v>0</x:v>
      </x:c>
      <x:c r="AN6966" t="n">
        <x:v>1</x:v>
      </x:c>
    </x:row>
    <x:row r="6967" ht="23" customHeight="1">
      <x:c r="A6967" s="11" t="str">
        <x:v>09995.HK</x:v>
      </x:c>
      <x:c r="B6967" s="11" t="str">
        <x:v>三年</x:v>
      </x:c>
      <x:c r="C6967" s="11" t="str">
        <x:v>RC148_foreign</x:v>
      </x:c>
      <x:c r="D6967" s="11" t="str">
        <x:v>2041-12-31</x:v>
      </x:c>
      <x:c r="E6967" s="11" t="str">
        <x:v>USD</x:v>
      </x:c>
      <x:c r="F6967" s="11" t="n">
        <x:v>12.227241615331964</x:v>
      </x:c>
      <x:c r="G6967" s="26" t="b">
        <x:v>1</x:v>
      </x:c>
      <x:c r="H6967" s="16" t="n">
        <x:v>1.6</x:v>
      </x:c>
      <x:c r="I6967" s="16" t="n">
        <x:v>2.5</x:v>
      </x:c>
      <x:c r="J6967" s="16" t="n">
        <x:v>3.5</x:v>
      </x:c>
      <x:c r="K6967" s="11" t="n">
        <x:f>CHOOSE('假设'!$B$3,H6967,I6967,J6967)</x:f>
        <x:v>2.5</x:v>
      </x:c>
      <x:c r="L6967" s="11" t="n">
        <x:f>K6967*'管线假设'!E1487*'管线假设'!F1487*'管线假设'!G1487*IF(E6967="USD",'管线假设'!I1487,1)-AM6967</x:f>
        <x:v>1.0045</x:v>
      </x:c>
      <x:c r="M6967" s="11" t="n">
        <x:f>'管线假设'!H1487</x:f>
        <x:v>0.14</x:v>
      </x:c>
      <x:c r="N6967" s="11" t="n">
        <x:f>IF(G6967,L6967*AN6967/(1+M6967)^F6967,0)</x:f>
        <x:v>0.20237673018755983</x:v>
      </x:c>
      <x:c r="AJ6967" s="42" t="n">
        <x:v>0</x:v>
      </x:c>
      <x:c r="AK6967" s="42" t="n">
        <x:v>0</x:v>
      </x:c>
      <x:c r="AL6967" s="42" t="n">
        <x:v>0</x:v>
      </x:c>
      <x:c r="AM6967" t="n">
        <x:f>CHOOSE('假设'!$B$3,AJ6967,AK6967,AL6967)</x:f>
        <x:v>0</x:v>
      </x:c>
      <x:c r="AN6967" t="n">
        <x:v>1</x:v>
      </x:c>
    </x:row>
    <x:row r="6968" ht="23" customHeight="1">
      <x:c r="A6968" s="11" t="str">
        <x:v>09995.HK</x:v>
      </x:c>
      <x:c r="B6968" s="11" t="str">
        <x:v>三年</x:v>
      </x:c>
      <x:c r="C6968" s="11" t="str">
        <x:v>RC148_foreign</x:v>
      </x:c>
      <x:c r="D6968" s="11" t="str">
        <x:v>2042-12-31</x:v>
      </x:c>
      <x:c r="E6968" s="11" t="str">
        <x:v>USD</x:v>
      </x:c>
      <x:c r="F6968" s="11" t="n">
        <x:v>13.22655715263518</x:v>
      </x:c>
      <x:c r="G6968" s="26" t="b">
        <x:v>1</x:v>
      </x:c>
      <x:c r="H6968" s="16" t="n">
        <x:v>1.3</x:v>
      </x:c>
      <x:c r="I6968" s="16" t="n">
        <x:v>1.75</x:v>
      </x:c>
      <x:c r="J6968" s="16" t="n">
        <x:v>2</x:v>
      </x:c>
      <x:c r="K6968" s="11" t="n">
        <x:f>CHOOSE('假设'!$B$3,H6968,I6968,J6968)</x:f>
        <x:v>1.75</x:v>
      </x:c>
      <x:c r="L6968" s="11" t="n">
        <x:f>K6968*'管线假设'!E1487*'管线假设'!F1487*'管线假设'!G1487*IF(E6968="USD",'管线假设'!I1487,1)-AM6968</x:f>
        <x:v>0.7031499999999999</x:v>
      </x:c>
      <x:c r="M6968" s="11" t="n">
        <x:f>'管线假设'!H1487</x:f>
        <x:v>0.14</x:v>
      </x:c>
      <x:c r="N6968" s="11" t="n">
        <x:f>IF(G6968,L6968*AN6968/(1+M6968)^F6968,0)</x:f>
        <x:v>0.12427755847659766</x:v>
      </x:c>
      <x:c r="AJ6968" s="42" t="n">
        <x:v>0</x:v>
      </x:c>
      <x:c r="AK6968" s="42" t="n">
        <x:v>0</x:v>
      </x:c>
      <x:c r="AL6968" s="42" t="n">
        <x:v>0</x:v>
      </x:c>
      <x:c r="AM6968" t="n">
        <x:f>CHOOSE('假设'!$B$3,AJ6968,AK6968,AL6968)</x:f>
        <x:v>0</x:v>
      </x:c>
      <x:c r="AN6968" t="n">
        <x:v>1</x:v>
      </x:c>
    </x:row>
    <x:row r="6969" ht="23" customHeight="1">
      <x:c r="A6969" s="11" t="str">
        <x:v>09995.HK</x:v>
      </x:c>
      <x:c r="B6969" s="11" t="str">
        <x:v>三年</x:v>
      </x:c>
      <x:c r="C6969" s="11" t="str">
        <x:v>RC148_foreign</x:v>
      </x:c>
      <x:c r="D6969" s="11" t="str">
        <x:v>2043-12-31</x:v>
      </x:c>
      <x:c r="E6969" s="11" t="str">
        <x:v>USD</x:v>
      </x:c>
      <x:c r="F6969" s="11" t="n">
        <x:v>14.225872689938399</x:v>
      </x:c>
      <x:c r="G6969" s="26" t="b">
        <x:v>1</x:v>
      </x:c>
      <x:c r="H6969" s="16" t="n">
        <x:v>1</x:v>
      </x:c>
      <x:c r="I6969" s="16" t="n">
        <x:v>1</x:v>
      </x:c>
      <x:c r="J6969" s="16" t="n">
        <x:v>1.2</x:v>
      </x:c>
      <x:c r="K6969" s="11" t="n">
        <x:f>CHOOSE('假设'!$B$3,H6969,I6969,J6969)</x:f>
        <x:v>1</x:v>
      </x:c>
      <x:c r="L6969" s="11" t="n">
        <x:f>K6969*'管线假设'!E1487*'管线假设'!F1487*'管线假设'!G1487*IF(E6969="USD",'管线假设'!I1487,1)-AM6969</x:f>
        <x:v>0.4018</x:v>
      </x:c>
      <x:c r="M6969" s="11" t="n">
        <x:f>'管线假设'!H1487</x:f>
        <x:v>0.14</x:v>
      </x:c>
      <x:c r="N6969" s="11" t="n">
        <x:f>IF(G6969,L6969*AN6969/(1+M6969)^F6969,0)</x:f>
        <x:v>0.06230010259635239</x:v>
      </x:c>
      <x:c r="AJ6969" s="42" t="n">
        <x:v>0</x:v>
      </x:c>
      <x:c r="AK6969" s="42" t="n">
        <x:v>0</x:v>
      </x:c>
      <x:c r="AL6969" s="42" t="n">
        <x:v>0</x:v>
      </x:c>
      <x:c r="AM6969" t="n">
        <x:f>CHOOSE('假设'!$B$3,AJ6969,AK6969,AL6969)</x:f>
        <x:v>0</x:v>
      </x:c>
      <x:c r="AN6969" t="n">
        <x:v>1</x:v>
      </x:c>
    </x:row>
    <x:row r="6970" ht="23" customHeight="1">
      <x:c r="A6970" s="11" t="str">
        <x:v>09995.HK</x:v>
      </x:c>
      <x:c r="B6970" s="11" t="str">
        <x:v>三年</x:v>
      </x:c>
      <x:c r="C6970" s="11" t="str">
        <x:v>RC148_foreign</x:v>
      </x:c>
      <x:c r="D6970" s="11" t="str">
        <x:v>2044-12-31</x:v>
      </x:c>
      <x:c r="E6970" s="11" t="str">
        <x:v>USD</x:v>
      </x:c>
      <x:c r="F6970" s="11" t="n">
        <x:v>15.227926078028748</x:v>
      </x:c>
      <x:c r="G6970" s="26" t="b">
        <x:v>1</x:v>
      </x:c>
      <x:c r="H6970" s="16" t="n">
        <x:v>0.7</x:v>
      </x:c>
      <x:c r="I6970" s="16" t="n">
        <x:v>0.6</x:v>
      </x:c>
      <x:c r="J6970" s="16" t="n">
        <x:v>0.7000000000000001</x:v>
      </x:c>
      <x:c r="K6970" s="11" t="n">
        <x:f>CHOOSE('假设'!$B$3,H6970,I6970,J6970)</x:f>
        <x:v>0.6</x:v>
      </x:c>
      <x:c r="L6970" s="11" t="n">
        <x:f>K6970*'管线假设'!E1487*'管线假设'!F1487*'管线假设'!G1487*IF(E6970="USD",'管线假设'!I1487,1)-AM6970</x:f>
        <x:v>0.24108</x:v>
      </x:c>
      <x:c r="M6970" s="11" t="n">
        <x:f>'管线假设'!H1487</x:f>
        <x:v>0.14</x:v>
      </x:c>
      <x:c r="N6970" s="11" t="n">
        <x:f>IF(G6970,L6970*AN6970/(1+M6970)^F6970,0)</x:f>
        <x:v>0.03278070678512849</x:v>
      </x:c>
      <x:c r="AJ6970" s="42" t="n">
        <x:v>0</x:v>
      </x:c>
      <x:c r="AK6970" s="42" t="n">
        <x:v>0</x:v>
      </x:c>
      <x:c r="AL6970" s="42" t="n">
        <x:v>0</x:v>
      </x:c>
      <x:c r="AM6970" t="n">
        <x:f>CHOOSE('假设'!$B$3,AJ6970,AK6970,AL6970)</x:f>
        <x:v>0</x:v>
      </x:c>
      <x:c r="AN6970" t="n">
        <x:v>1</x:v>
      </x:c>
    </x:row>
    <x:row r="6971" ht="23" customHeight="1">
      <x:c r="A6971" s="11" t="str">
        <x:v>09995.HK</x:v>
      </x:c>
      <x:c r="B6971" s="11" t="str">
        <x:v>三年</x:v>
      </x:c>
      <x:c r="C6971" s="11" t="str">
        <x:v>RC18_foreign</x:v>
      </x:c>
      <x:c r="D6971" s="11" t="str">
        <x:v>2026-12-31</x:v>
      </x:c>
      <x:c r="E6971" s="11" t="str">
        <x:v>USD</x:v>
      </x:c>
      <x:c r="F6971" s="11" t="n">
        <x:v>-2.7734428473648185</x:v>
      </x:c>
      <x:c r="G6971" s="26" t="b">
        <x:v>0</x:v>
      </x:c>
      <x:c r="H6971" s="16" t="n">
        <x:v>0</x:v>
      </x:c>
      <x:c r="I6971" s="16" t="n">
        <x:v>0</x:v>
      </x:c>
      <x:c r="J6971" s="16" t="n">
        <x:v>0</x:v>
      </x:c>
      <x:c r="K6971" s="11" t="n">
        <x:f>CHOOSE('假设'!$B$3,H6971,I6971,J6971)</x:f>
        <x:v>0</x:v>
      </x:c>
      <x:c r="L6971" s="11" t="n">
        <x:f>K6971*'管线假设'!E1491*'管线假设'!F1491*'管线假设'!G1491*IF(E6971="USD",'管线假设'!I1491,1)-AM6971</x:f>
        <x:v>-0.049</x:v>
      </x:c>
      <x:c r="M6971" s="11" t="n">
        <x:f>'管线假设'!H1491</x:f>
        <x:v>0.14</x:v>
      </x:c>
      <x:c r="N6971" s="11" t="n">
        <x:f>IF(G6971,L6971*AN6971/(1+M6971)^F6971,0)</x:f>
        <x:v>0</x:v>
      </x:c>
      <x:c r="AJ6971" s="42" t="n">
        <x:v>0.021</x:v>
      </x:c>
      <x:c r="AK6971" s="42" t="n">
        <x:v>0.049</x:v>
      </x:c>
      <x:c r="AL6971" s="42" t="n">
        <x:v>0.084</x:v>
      </x:c>
      <x:c r="AM6971" t="n">
        <x:f>CHOOSE('假设'!$B$3,AJ6971,AK6971,AL6971)</x:f>
        <x:v>0.049</x:v>
      </x:c>
      <x:c r="AN6971" t="n">
        <x:v>0</x:v>
      </x:c>
    </x:row>
    <x:row r="6972" ht="23" customHeight="1">
      <x:c r="A6972" s="11" t="str">
        <x:v>09995.HK</x:v>
      </x:c>
      <x:c r="B6972" s="11" t="str">
        <x:v>三年</x:v>
      </x:c>
      <x:c r="C6972" s="11" t="str">
        <x:v>RC18_foreign</x:v>
      </x:c>
      <x:c r="D6972" s="11" t="str">
        <x:v>2027-12-31</x:v>
      </x:c>
      <x:c r="E6972" s="11" t="str">
        <x:v>USD</x:v>
      </x:c>
      <x:c r="F6972" s="11" t="n">
        <x:v>-1.7741273100616017</x:v>
      </x:c>
      <x:c r="G6972" s="26" t="b">
        <x:v>0</x:v>
      </x:c>
      <x:c r="H6972" s="16" t="n">
        <x:v>0</x:v>
      </x:c>
      <x:c r="I6972" s="16" t="n">
        <x:v>0</x:v>
      </x:c>
      <x:c r="J6972" s="16" t="n">
        <x:v>0</x:v>
      </x:c>
      <x:c r="K6972" s="11" t="n">
        <x:f>CHOOSE('假设'!$B$3,H6972,I6972,J6972)</x:f>
        <x:v>0</x:v>
      </x:c>
      <x:c r="L6972" s="11" t="n">
        <x:f>K6972*'管线假设'!E1491*'管线假设'!F1491*'管线假设'!G1491*IF(E6972="USD",'管线假设'!I1491,1)-AM6972</x:f>
        <x:v>0</x:v>
      </x:c>
      <x:c r="M6972" s="11" t="n">
        <x:f>'管线假设'!H1491</x:f>
        <x:v>0.14</x:v>
      </x:c>
      <x:c r="N6972" s="11" t="n">
        <x:f>IF(G6972,L6972*AN6972/(1+M6972)^F6972,0)</x:f>
        <x:v>0</x:v>
      </x:c>
      <x:c r="AJ6972" s="42" t="n">
        <x:v>0</x:v>
      </x:c>
      <x:c r="AK6972" s="42" t="n">
        <x:v>0</x:v>
      </x:c>
      <x:c r="AL6972" s="42" t="n">
        <x:v>0</x:v>
      </x:c>
      <x:c r="AM6972" t="n">
        <x:f>CHOOSE('假设'!$B$3,AJ6972,AK6972,AL6972)</x:f>
        <x:v>0</x:v>
      </x:c>
      <x:c r="AN6972" t="n">
        <x:v>0</x:v>
      </x:c>
    </x:row>
    <x:row r="6973" ht="23" customHeight="1">
      <x:c r="A6973" s="11" t="str">
        <x:v>09995.HK</x:v>
      </x:c>
      <x:c r="B6973" s="11" t="str">
        <x:v>三年</x:v>
      </x:c>
      <x:c r="C6973" s="11" t="str">
        <x:v>RC18_foreign</x:v>
      </x:c>
      <x:c r="D6973" s="11" t="str">
        <x:v>2028-12-31</x:v>
      </x:c>
      <x:c r="E6973" s="11" t="str">
        <x:v>USD</x:v>
      </x:c>
      <x:c r="F6973" s="11" t="n">
        <x:v>-0.7720739219712526</x:v>
      </x:c>
      <x:c r="G6973" s="26" t="b">
        <x:v>0</x:v>
      </x:c>
      <x:c r="H6973" s="16" t="n">
        <x:v>0</x:v>
      </x:c>
      <x:c r="I6973" s="16" t="n">
        <x:v>0.18</x:v>
      </x:c>
      <x:c r="J6973" s="16" t="n">
        <x:v>0.36</x:v>
      </x:c>
      <x:c r="K6973" s="11" t="n">
        <x:f>CHOOSE('假设'!$B$3,H6973,I6973,J6973)</x:f>
        <x:v>0.18</x:v>
      </x:c>
      <x:c r="L6973" s="11" t="n">
        <x:f>K6973*'管线假设'!E1491*'管线假设'!F1491*'管线假设'!G1491*IF(E6973="USD",'管线假设'!I1491,1)-AM6973</x:f>
        <x:v>0.06819119999999998</x:v>
      </x:c>
      <x:c r="M6973" s="11" t="n">
        <x:f>'管线假设'!H1491</x:f>
        <x:v>0.14</x:v>
      </x:c>
      <x:c r="N6973" s="11" t="n">
        <x:f>IF(G6973,L6973*AN6973/(1+M6973)^F6973,0)</x:f>
        <x:v>0</x:v>
      </x:c>
      <x:c r="AJ6973" s="42" t="n">
        <x:v>0</x:v>
      </x:c>
      <x:c r="AK6973" s="42" t="n">
        <x:v>0</x:v>
      </x:c>
      <x:c r="AL6973" s="42" t="n">
        <x:v>0</x:v>
      </x:c>
      <x:c r="AM6973" t="n">
        <x:f>CHOOSE('假设'!$B$3,AJ6973,AK6973,AL6973)</x:f>
        <x:v>0</x:v>
      </x:c>
      <x:c r="AN6973" t="n">
        <x:v>0</x:v>
      </x:c>
    </x:row>
    <x:row r="6974" ht="23" customHeight="1">
      <x:c r="A6974" s="11" t="str">
        <x:v>09995.HK</x:v>
      </x:c>
      <x:c r="B6974" s="11" t="str">
        <x:v>三年</x:v>
      </x:c>
      <x:c r="C6974" s="11" t="str">
        <x:v>RC18_foreign</x:v>
      </x:c>
      <x:c r="D6974" s="11" t="str">
        <x:v>2029-12-31</x:v>
      </x:c>
      <x:c r="E6974" s="11" t="str">
        <x:v>USD</x:v>
      </x:c>
      <x:c r="F6974" s="11" t="n">
        <x:v>0.2272416153319644</x:v>
      </x:c>
      <x:c r="G6974" s="26" t="b">
        <x:v>1</x:v>
      </x:c>
      <x:c r="H6974" s="16" t="n">
        <x:v>0</x:v>
      </x:c>
      <x:c r="I6974" s="16" t="n">
        <x:v>0.54</x:v>
      </x:c>
      <x:c r="J6974" s="16" t="n">
        <x:v>1.08</x:v>
      </x:c>
      <x:c r="K6974" s="11" t="n">
        <x:f>CHOOSE('假设'!$B$3,H6974,I6974,J6974)</x:f>
        <x:v>0.54</x:v>
      </x:c>
      <x:c r="L6974" s="11" t="n">
        <x:f>K6974*'管线假设'!E1491*'管线假设'!F1491*'管线假设'!G1491*IF(E6974="USD",'管线假设'!I1491,1)-AM6974</x:f>
        <x:v>0.2045736</x:v>
      </x:c>
      <x:c r="M6974" s="11" t="n">
        <x:f>'管线假设'!H1491</x:f>
        <x:v>0.14</x:v>
      </x:c>
      <x:c r="N6974" s="11" t="n">
        <x:f>IF(G6974,L6974*AN6974/(1+M6974)^F6974,0)</x:f>
        <x:v>0.04527882478171</x:v>
      </x:c>
      <x:c r="AJ6974" s="42" t="n">
        <x:v>0</x:v>
      </x:c>
      <x:c r="AK6974" s="42" t="n">
        <x:v>0</x:v>
      </x:c>
      <x:c r="AL6974" s="42" t="n">
        <x:v>0</x:v>
      </x:c>
      <x:c r="AM6974" t="n">
        <x:f>CHOOSE('假设'!$B$3,AJ6974,AK6974,AL6974)</x:f>
        <x:v>0</x:v>
      </x:c>
      <x:c r="AN6974" t="n">
        <x:v>0.22802197802197802</x:v>
      </x:c>
    </x:row>
    <x:row r="6975" ht="23" customHeight="1">
      <x:c r="A6975" s="11" t="str">
        <x:v>09995.HK</x:v>
      </x:c>
      <x:c r="B6975" s="11" t="str">
        <x:v>三年</x:v>
      </x:c>
      <x:c r="C6975" s="11" t="str">
        <x:v>RC18_foreign</x:v>
      </x:c>
      <x:c r="D6975" s="11" t="str">
        <x:v>2030-12-31</x:v>
      </x:c>
      <x:c r="E6975" s="11" t="str">
        <x:v>USD</x:v>
      </x:c>
      <x:c r="F6975" s="11" t="n">
        <x:v>1.2265571526351813</x:v>
      </x:c>
      <x:c r="G6975" s="26" t="b">
        <x:v>1</x:v>
      </x:c>
      <x:c r="H6975" s="16" t="n">
        <x:v>0</x:v>
      </x:c>
      <x:c r="I6975" s="16" t="n">
        <x:v>1.1400000000000001</x:v>
      </x:c>
      <x:c r="J6975" s="16" t="n">
        <x:v>2.2800000000000002</x:v>
      </x:c>
      <x:c r="K6975" s="11" t="n">
        <x:f>CHOOSE('假设'!$B$3,H6975,I6975,J6975)</x:f>
        <x:v>1.1400000000000001</x:v>
      </x:c>
      <x:c r="L6975" s="11" t="n">
        <x:f>K6975*'管线假设'!E1491*'管线假设'!F1491*'管线假设'!G1491*IF(E6975="USD",'管线假设'!I1491,1)-AM6975</x:f>
        <x:v>0.4318776</x:v>
      </x:c>
      <x:c r="M6975" s="11" t="n">
        <x:f>'管线假设'!H1491</x:f>
        <x:v>0.14</x:v>
      </x:c>
      <x:c r="N6975" s="11" t="n">
        <x:f>IF(G6975,L6975*AN6975/(1+M6975)^F6975,0)</x:f>
        <x:v>0.3677592684578304</x:v>
      </x:c>
      <x:c r="AJ6975" s="42" t="n">
        <x:v>0</x:v>
      </x:c>
      <x:c r="AK6975" s="42" t="n">
        <x:v>0</x:v>
      </x:c>
      <x:c r="AL6975" s="42" t="n">
        <x:v>0</x:v>
      </x:c>
      <x:c r="AM6975" t="n">
        <x:f>CHOOSE('假设'!$B$3,AJ6975,AK6975,AL6975)</x:f>
        <x:v>0</x:v>
      </x:c>
      <x:c r="AN6975" t="n">
        <x:v>1</x:v>
      </x:c>
    </x:row>
    <x:row r="6976" ht="23" customHeight="1">
      <x:c r="A6976" s="11" t="str">
        <x:v>09995.HK</x:v>
      </x:c>
      <x:c r="B6976" s="11" t="str">
        <x:v>三年</x:v>
      </x:c>
      <x:c r="C6976" s="11" t="str">
        <x:v>RC18_foreign</x:v>
      </x:c>
      <x:c r="D6976" s="11" t="str">
        <x:v>2031-12-31</x:v>
      </x:c>
      <x:c r="E6976" s="11" t="str">
        <x:v>USD</x:v>
      </x:c>
      <x:c r="F6976" s="11" t="n">
        <x:v>2.2258726899383983</x:v>
      </x:c>
      <x:c r="G6976" s="26" t="b">
        <x:v>1</x:v>
      </x:c>
      <x:c r="H6976" s="16" t="n">
        <x:v>0.06</x:v>
      </x:c>
      <x:c r="I6976" s="16" t="n">
        <x:v>1.9500000000000002</x:v>
      </x:c>
      <x:c r="J6976" s="16" t="n">
        <x:v>3.9000000000000004</x:v>
      </x:c>
      <x:c r="K6976" s="11" t="n">
        <x:f>CHOOSE('假设'!$B$3,H6976,I6976,J6976)</x:f>
        <x:v>1.9500000000000002</x:v>
      </x:c>
      <x:c r="L6976" s="11" t="n">
        <x:f>K6976*'管线假设'!E1491*'管线假设'!F1491*'管线假设'!G1491*IF(E6976="USD",'管线假设'!I1491,1)-AM6976</x:f>
        <x:v>0.738738</x:v>
      </x:c>
      <x:c r="M6976" s="11" t="n">
        <x:f>'管线假设'!H1491</x:f>
        <x:v>0.14</x:v>
      </x:c>
      <x:c r="N6976" s="11" t="n">
        <x:f>IF(G6976,L6976*AN6976/(1+M6976)^F6976,0)</x:f>
        <x:v>0.5518581805824809</x:v>
      </x:c>
      <x:c r="AJ6976" s="42" t="n">
        <x:v>0</x:v>
      </x:c>
      <x:c r="AK6976" s="42" t="n">
        <x:v>0</x:v>
      </x:c>
      <x:c r="AL6976" s="42" t="n">
        <x:v>0</x:v>
      </x:c>
      <x:c r="AM6976" t="n">
        <x:f>CHOOSE('假设'!$B$3,AJ6976,AK6976,AL6976)</x:f>
        <x:v>0</x:v>
      </x:c>
      <x:c r="AN6976" t="n">
        <x:v>1</x:v>
      </x:c>
    </x:row>
    <x:row r="6977" ht="23" customHeight="1">
      <x:c r="A6977" s="11" t="str">
        <x:v>09995.HK</x:v>
      </x:c>
      <x:c r="B6977" s="11" t="str">
        <x:v>三年</x:v>
      </x:c>
      <x:c r="C6977" s="11" t="str">
        <x:v>RC18_foreign</x:v>
      </x:c>
      <x:c r="D6977" s="11" t="str">
        <x:v>2032-12-31</x:v>
      </x:c>
      <x:c r="E6977" s="11" t="str">
        <x:v>USD</x:v>
      </x:c>
      <x:c r="F6977" s="11" t="n">
        <x:v>3.2279260780287475</x:v>
      </x:c>
      <x:c r="G6977" s="26" t="b">
        <x:v>1</x:v>
      </x:c>
      <x:c r="H6977" s="16" t="n">
        <x:v>0.18</x:v>
      </x:c>
      <x:c r="I6977" s="16" t="n">
        <x:v>2.55</x:v>
      </x:c>
      <x:c r="J6977" s="16" t="n">
        <x:v>5.1</x:v>
      </x:c>
      <x:c r="K6977" s="11" t="n">
        <x:f>CHOOSE('假设'!$B$3,H6977,I6977,J6977)</x:f>
        <x:v>2.55</x:v>
      </x:c>
      <x:c r="L6977" s="11" t="n">
        <x:f>K6977*'管线假设'!E1491*'管线假设'!F1491*'管线假设'!G1491*IF(E6977="USD",'管线假设'!I1491,1)-AM6977</x:f>
        <x:v>0.9660419999999997</x:v>
      </x:c>
      <x:c r="M6977" s="11" t="n">
        <x:f>'管线假设'!H1491</x:f>
        <x:v>0.14</x:v>
      </x:c>
      <x:c r="N6977" s="11" t="n">
        <x:f>IF(G6977,L6977*AN6977/(1+M6977)^F6977,0)</x:f>
        <x:v>0.6328654031928026</x:v>
      </x:c>
      <x:c r="AJ6977" s="42" t="n">
        <x:v>0</x:v>
      </x:c>
      <x:c r="AK6977" s="42" t="n">
        <x:v>0</x:v>
      </x:c>
      <x:c r="AL6977" s="42" t="n">
        <x:v>0</x:v>
      </x:c>
      <x:c r="AM6977" t="n">
        <x:f>CHOOSE('假设'!$B$3,AJ6977,AK6977,AL6977)</x:f>
        <x:v>0</x:v>
      </x:c>
      <x:c r="AN6977" t="n">
        <x:v>1</x:v>
      </x:c>
    </x:row>
    <x:row r="6978" ht="23" customHeight="1">
      <x:c r="A6978" s="11" t="str">
        <x:v>09995.HK</x:v>
      </x:c>
      <x:c r="B6978" s="11" t="str">
        <x:v>三年</x:v>
      </x:c>
      <x:c r="C6978" s="11" t="str">
        <x:v>RC18_foreign</x:v>
      </x:c>
      <x:c r="D6978" s="11" t="str">
        <x:v>2033-12-31</x:v>
      </x:c>
      <x:c r="E6978" s="11" t="str">
        <x:v>USD</x:v>
      </x:c>
      <x:c r="F6978" s="11" t="n">
        <x:v>4.227241615331964</x:v>
      </x:c>
      <x:c r="G6978" s="26" t="b">
        <x:v>1</x:v>
      </x:c>
      <x:c r="H6978" s="16" t="n">
        <x:v>0.38</x:v>
      </x:c>
      <x:c r="I6978" s="16" t="n">
        <x:v>3</x:v>
      </x:c>
      <x:c r="J6978" s="16" t="n">
        <x:v>6</x:v>
      </x:c>
      <x:c r="K6978" s="11" t="n">
        <x:f>CHOOSE('假设'!$B$3,H6978,I6978,J6978)</x:f>
        <x:v>3</x:v>
      </x:c>
      <x:c r="L6978" s="11" t="n">
        <x:f>K6978*'管线假设'!E1491*'管线假设'!F1491*'管线假设'!G1491*IF(E6978="USD",'管线假设'!I1491,1)-AM6978</x:f>
        <x:v>1.1365199999999998</x:v>
      </x:c>
      <x:c r="M6978" s="11" t="n">
        <x:f>'管线假设'!H1491</x:f>
        <x:v>0.14</x:v>
      </x:c>
      <x:c r="N6978" s="11" t="n">
        <x:f>IF(G6978,L6978*AN6978/(1+M6978)^F6978,0)</x:f>
        <x:v>0.6531704474841623</x:v>
      </x:c>
      <x:c r="AJ6978" s="42" t="n">
        <x:v>0</x:v>
      </x:c>
      <x:c r="AK6978" s="42" t="n">
        <x:v>0</x:v>
      </x:c>
      <x:c r="AL6978" s="42" t="n">
        <x:v>0</x:v>
      </x:c>
      <x:c r="AM6978" t="n">
        <x:f>CHOOSE('假设'!$B$3,AJ6978,AK6978,AL6978)</x:f>
        <x:v>0</x:v>
      </x:c>
      <x:c r="AN6978" t="n">
        <x:v>1</x:v>
      </x:c>
    </x:row>
    <x:row r="6979" ht="23" customHeight="1">
      <x:c r="A6979" s="11" t="str">
        <x:v>09995.HK</x:v>
      </x:c>
      <x:c r="B6979" s="11" t="str">
        <x:v>三年</x:v>
      </x:c>
      <x:c r="C6979" s="11" t="str">
        <x:v>RC18_foreign</x:v>
      </x:c>
      <x:c r="D6979" s="11" t="str">
        <x:v>2034-12-31</x:v>
      </x:c>
      <x:c r="E6979" s="11" t="str">
        <x:v>USD</x:v>
      </x:c>
      <x:c r="F6979" s="11" t="n">
        <x:v>5.2265571526351815</x:v>
      </x:c>
      <x:c r="G6979" s="26" t="b">
        <x:v>1</x:v>
      </x:c>
      <x:c r="H6979" s="16" t="n">
        <x:v>0.65</x:v>
      </x:c>
      <x:c r="I6979" s="16" t="n">
        <x:v>3</x:v>
      </x:c>
      <x:c r="J6979" s="16" t="n">
        <x:v>6</x:v>
      </x:c>
      <x:c r="K6979" s="11" t="n">
        <x:f>CHOOSE('假设'!$B$3,H6979,I6979,J6979)</x:f>
        <x:v>3</x:v>
      </x:c>
      <x:c r="L6979" s="11" t="n">
        <x:f>K6979*'管线假设'!E1491*'管线假设'!F1491*'管线假设'!G1491*IF(E6979="USD",'管线假设'!I1491,1)-AM6979</x:f>
        <x:v>1.1365199999999998</x:v>
      </x:c>
      <x:c r="M6979" s="11" t="n">
        <x:f>'管线假设'!H1491</x:f>
        <x:v>0.14</x:v>
      </x:c>
      <x:c r="N6979" s="11" t="n">
        <x:f>IF(G6979,L6979*AN6979/(1+M6979)^F6979,0)</x:f>
        <x:v>0.5730079201946584</x:v>
      </x:c>
      <x:c r="AJ6979" s="42" t="n">
        <x:v>0</x:v>
      </x:c>
      <x:c r="AK6979" s="42" t="n">
        <x:v>0</x:v>
      </x:c>
      <x:c r="AL6979" s="42" t="n">
        <x:v>0</x:v>
      </x:c>
      <x:c r="AM6979" t="n">
        <x:f>CHOOSE('假设'!$B$3,AJ6979,AK6979,AL6979)</x:f>
        <x:v>0</x:v>
      </x:c>
      <x:c r="AN6979" t="n">
        <x:v>1</x:v>
      </x:c>
    </x:row>
    <x:row r="6980" ht="23" customHeight="1">
      <x:c r="A6980" s="11" t="str">
        <x:v>09995.HK</x:v>
      </x:c>
      <x:c r="B6980" s="11" t="str">
        <x:v>三年</x:v>
      </x:c>
      <x:c r="C6980" s="11" t="str">
        <x:v>RC18_foreign</x:v>
      </x:c>
      <x:c r="D6980" s="11" t="str">
        <x:v>2035-12-31</x:v>
      </x:c>
      <x:c r="E6980" s="11" t="str">
        <x:v>USD</x:v>
      </x:c>
      <x:c r="F6980" s="11" t="n">
        <x:v>6.225872689938399</x:v>
      </x:c>
      <x:c r="G6980" s="26" t="b">
        <x:v>1</x:v>
      </x:c>
      <x:c r="H6980" s="16" t="n">
        <x:v>0.85</x:v>
      </x:c>
      <x:c r="I6980" s="16" t="n">
        <x:v>2.8499999999999996</x:v>
      </x:c>
      <x:c r="J6980" s="16" t="n">
        <x:v>5.699999999999999</x:v>
      </x:c>
      <x:c r="K6980" s="11" t="n">
        <x:f>CHOOSE('假设'!$B$3,H6980,I6980,J6980)</x:f>
        <x:v>2.8499999999999996</x:v>
      </x:c>
      <x:c r="L6980" s="11" t="n">
        <x:f>K6980*'管线假设'!E1491*'管线假设'!F1491*'管线假设'!G1491*IF(E6980="USD",'管线假设'!I1491,1)-AM6980</x:f>
        <x:v>1.0796939999999997</x:v>
      </x:c>
      <x:c r="M6980" s="11" t="n">
        <x:f>'管线假设'!H1491</x:f>
        <x:v>0.14</x:v>
      </x:c>
      <x:c r="N6980" s="11" t="n">
        <x:f>IF(G6980,L6980*AN6980/(1+M6980)^F6980,0)</x:f>
        <x:v>0.47754942676441403</x:v>
      </x:c>
      <x:c r="AJ6980" s="42" t="n">
        <x:v>0</x:v>
      </x:c>
      <x:c r="AK6980" s="42" t="n">
        <x:v>0</x:v>
      </x:c>
      <x:c r="AL6980" s="42" t="n">
        <x:v>0</x:v>
      </x:c>
      <x:c r="AM6980" t="n">
        <x:f>CHOOSE('假设'!$B$3,AJ6980,AK6980,AL6980)</x:f>
        <x:v>0</x:v>
      </x:c>
      <x:c r="AN6980" t="n">
        <x:v>1</x:v>
      </x:c>
    </x:row>
    <x:row r="6981" ht="23" customHeight="1">
      <x:c r="A6981" s="11" t="str">
        <x:v>09995.HK</x:v>
      </x:c>
      <x:c r="B6981" s="11" t="str">
        <x:v>三年</x:v>
      </x:c>
      <x:c r="C6981" s="11" t="str">
        <x:v>RC18_foreign</x:v>
      </x:c>
      <x:c r="D6981" s="11" t="str">
        <x:v>2036-12-31</x:v>
      </x:c>
      <x:c r="E6981" s="11" t="str">
        <x:v>USD</x:v>
      </x:c>
      <x:c r="F6981" s="11" t="n">
        <x:v>7.227926078028747</x:v>
      </x:c>
      <x:c r="G6981" s="26" t="b">
        <x:v>1</x:v>
      </x:c>
      <x:c r="H6981" s="16" t="n">
        <x:v>1</x:v>
      </x:c>
      <x:c r="I6981" s="16" t="n">
        <x:v>2.7</x:v>
      </x:c>
      <x:c r="J6981" s="16" t="n">
        <x:v>5.4</x:v>
      </x:c>
      <x:c r="K6981" s="11" t="n">
        <x:f>CHOOSE('假设'!$B$3,H6981,I6981,J6981)</x:f>
        <x:v>2.7</x:v>
      </x:c>
      <x:c r="L6981" s="11" t="n">
        <x:f>K6981*'管线假设'!E1491*'管线假设'!F1491*'管线假设'!G1491*IF(E6981="USD",'管线假设'!I1491,1)-AM6981</x:f>
        <x:v>1.022868</x:v>
      </x:c>
      <x:c r="M6981" s="11" t="n">
        <x:f>'管线假设'!H1491</x:f>
        <x:v>0.14</x:v>
      </x:c>
      <x:c r="N6981" s="11" t="n">
        <x:f>IF(G6981,L6981*AN6981/(1+M6981)^F6981,0)</x:f>
        <x:v>0.3967487189580615</x:v>
      </x:c>
      <x:c r="AJ6981" s="42" t="n">
        <x:v>0</x:v>
      </x:c>
      <x:c r="AK6981" s="42" t="n">
        <x:v>0</x:v>
      </x:c>
      <x:c r="AL6981" s="42" t="n">
        <x:v>0</x:v>
      </x:c>
      <x:c r="AM6981" t="n">
        <x:f>CHOOSE('假设'!$B$3,AJ6981,AK6981,AL6981)</x:f>
        <x:v>0</x:v>
      </x:c>
      <x:c r="AN6981" t="n">
        <x:v>1</x:v>
      </x:c>
    </x:row>
    <x:row r="6982" ht="23" customHeight="1">
      <x:c r="A6982" s="11" t="str">
        <x:v>09995.HK</x:v>
      </x:c>
      <x:c r="B6982" s="11" t="str">
        <x:v>三年</x:v>
      </x:c>
      <x:c r="C6982" s="11" t="str">
        <x:v>RC18_foreign</x:v>
      </x:c>
      <x:c r="D6982" s="11" t="str">
        <x:v>2037-12-31</x:v>
      </x:c>
      <x:c r="E6982" s="11" t="str">
        <x:v>USD</x:v>
      </x:c>
      <x:c r="F6982" s="11" t="n">
        <x:v>8.227241615331964</x:v>
      </x:c>
      <x:c r="G6982" s="26" t="b">
        <x:v>1</x:v>
      </x:c>
      <x:c r="H6982" s="16" t="n">
        <x:v>1</x:v>
      </x:c>
      <x:c r="I6982" s="16" t="n">
        <x:v>2.4000000000000004</x:v>
      </x:c>
      <x:c r="J6982" s="16" t="n">
        <x:v>4.800000000000001</x:v>
      </x:c>
      <x:c r="K6982" s="11" t="n">
        <x:f>CHOOSE('假设'!$B$3,H6982,I6982,J6982)</x:f>
        <x:v>2.4000000000000004</x:v>
      </x:c>
      <x:c r="L6982" s="11" t="n">
        <x:f>K6982*'管线假设'!E1491*'管线假设'!F1491*'管线假设'!G1491*IF(E6982="USD",'管线假设'!I1491,1)-AM6982</x:f>
        <x:v>0.909216</x:v>
      </x:c>
      <x:c r="M6982" s="11" t="n">
        <x:f>'管线假设'!H1491</x:f>
        <x:v>0.14</x:v>
      </x:c>
      <x:c r="N6982" s="11" t="n">
        <x:f>IF(G6982,L6982*AN6982/(1+M6982)^F6982,0)</x:f>
        <x:v>0.30938347177314696</x:v>
      </x:c>
      <x:c r="AJ6982" s="42" t="n">
        <x:v>0</x:v>
      </x:c>
      <x:c r="AK6982" s="42" t="n">
        <x:v>0</x:v>
      </x:c>
      <x:c r="AL6982" s="42" t="n">
        <x:v>0</x:v>
      </x:c>
      <x:c r="AM6982" t="n">
        <x:f>CHOOSE('假设'!$B$3,AJ6982,AK6982,AL6982)</x:f>
        <x:v>0</x:v>
      </x:c>
      <x:c r="AN6982" t="n">
        <x:v>1</x:v>
      </x:c>
    </x:row>
    <x:row r="6983" ht="23" customHeight="1">
      <x:c r="A6983" s="11" t="str">
        <x:v>09995.HK</x:v>
      </x:c>
      <x:c r="B6983" s="11" t="str">
        <x:v>三年</x:v>
      </x:c>
      <x:c r="C6983" s="11" t="str">
        <x:v>RC18_foreign</x:v>
      </x:c>
      <x:c r="D6983" s="11" t="str">
        <x:v>2038-12-31</x:v>
      </x:c>
      <x:c r="E6983" s="11" t="str">
        <x:v>USD</x:v>
      </x:c>
      <x:c r="F6983" s="11" t="n">
        <x:v>9.22655715263518</x:v>
      </x:c>
      <x:c r="G6983" s="26" t="b">
        <x:v>1</x:v>
      </x:c>
      <x:c r="H6983" s="16" t="n">
        <x:v>0.95</x:v>
      </x:c>
      <x:c r="I6983" s="16" t="n">
        <x:v>1.9500000000000002</x:v>
      </x:c>
      <x:c r="J6983" s="16" t="n">
        <x:v>3.9000000000000004</x:v>
      </x:c>
      <x:c r="K6983" s="11" t="n">
        <x:f>CHOOSE('假设'!$B$3,H6983,I6983,J6983)</x:f>
        <x:v>1.9500000000000002</x:v>
      </x:c>
      <x:c r="L6983" s="11" t="n">
        <x:f>K6983*'管线假设'!E1491*'管线假设'!F1491*'管线假设'!G1491*IF(E6983="USD",'管线假设'!I1491,1)-AM6983</x:f>
        <x:v>0.738738</x:v>
      </x:c>
      <x:c r="M6983" s="11" t="n">
        <x:f>'管线假设'!H1491</x:f>
        <x:v>0.14</x:v>
      </x:c>
      <x:c r="N6983" s="11" t="n">
        <x:f>IF(G6983,L6983*AN6983/(1+M6983)^F6983,0)</x:f>
        <x:v>0.22052334741070972</x:v>
      </x:c>
      <x:c r="AJ6983" s="42" t="n">
        <x:v>0</x:v>
      </x:c>
      <x:c r="AK6983" s="42" t="n">
        <x:v>0</x:v>
      </x:c>
      <x:c r="AL6983" s="42" t="n">
        <x:v>0</x:v>
      </x:c>
      <x:c r="AM6983" t="n">
        <x:f>CHOOSE('假设'!$B$3,AJ6983,AK6983,AL6983)</x:f>
        <x:v>0</x:v>
      </x:c>
      <x:c r="AN6983" t="n">
        <x:v>1</x:v>
      </x:c>
    </x:row>
    <x:row r="6984" ht="23" customHeight="1">
      <x:c r="A6984" s="11" t="str">
        <x:v>09995.HK</x:v>
      </x:c>
      <x:c r="B6984" s="11" t="str">
        <x:v>三年</x:v>
      </x:c>
      <x:c r="C6984" s="11" t="str">
        <x:v>RC18_foreign</x:v>
      </x:c>
      <x:c r="D6984" s="11" t="str">
        <x:v>2039-12-31</x:v>
      </x:c>
      <x:c r="E6984" s="11" t="str">
        <x:v>USD</x:v>
      </x:c>
      <x:c r="F6984" s="11" t="n">
        <x:v>10.225872689938399</x:v>
      </x:c>
      <x:c r="G6984" s="26" t="b">
        <x:v>1</x:v>
      </x:c>
      <x:c r="H6984" s="16" t="n">
        <x:v>0.9</x:v>
      </x:c>
      <x:c r="I6984" s="16" t="n">
        <x:v>1.5</x:v>
      </x:c>
      <x:c r="J6984" s="16" t="n">
        <x:v>3</x:v>
      </x:c>
      <x:c r="K6984" s="11" t="n">
        <x:f>CHOOSE('假设'!$B$3,H6984,I6984,J6984)</x:f>
        <x:v>1.5</x:v>
      </x:c>
      <x:c r="L6984" s="11" t="n">
        <x:f>K6984*'管线假设'!E1491*'管线假设'!F1491*'管线假设'!G1491*IF(E6984="USD",'管线假设'!I1491,1)-AM6984</x:f>
        <x:v>0.5682599999999999</x:v>
      </x:c>
      <x:c r="M6984" s="11" t="n">
        <x:f>'管线假设'!H1491</x:f>
        <x:v>0.14</x:v>
      </x:c>
      <x:c r="N6984" s="11" t="n">
        <x:f>IF(G6984,L6984*AN6984/(1+M6984)^F6984,0)</x:f>
        <x:v>0.14881452476665752</x:v>
      </x:c>
      <x:c r="AJ6984" s="42" t="n">
        <x:v>0</x:v>
      </x:c>
      <x:c r="AK6984" s="42" t="n">
        <x:v>0</x:v>
      </x:c>
      <x:c r="AL6984" s="42" t="n">
        <x:v>0</x:v>
      </x:c>
      <x:c r="AM6984" t="n">
        <x:f>CHOOSE('假设'!$B$3,AJ6984,AK6984,AL6984)</x:f>
        <x:v>0</x:v>
      </x:c>
      <x:c r="AN6984" t="n">
        <x:v>1</x:v>
      </x:c>
    </x:row>
    <x:row r="6985" ht="23" customHeight="1">
      <x:c r="A6985" s="11" t="str">
        <x:v>09995.HK</x:v>
      </x:c>
      <x:c r="B6985" s="11" t="str">
        <x:v>三年</x:v>
      </x:c>
      <x:c r="C6985" s="11" t="str">
        <x:v>RC18_foreign</x:v>
      </x:c>
      <x:c r="D6985" s="11" t="str">
        <x:v>2040-12-31</x:v>
      </x:c>
      <x:c r="E6985" s="11" t="str">
        <x:v>USD</x:v>
      </x:c>
      <x:c r="F6985" s="11" t="n">
        <x:v>11.227926078028748</x:v>
      </x:c>
      <x:c r="G6985" s="26" t="b">
        <x:v>1</x:v>
      </x:c>
      <x:c r="H6985" s="16" t="n">
        <x:v>0.8</x:v>
      </x:c>
      <x:c r="I6985" s="16" t="n">
        <x:v>1.0499999999999998</x:v>
      </x:c>
      <x:c r="J6985" s="16" t="n">
        <x:v>2.0999999999999996</x:v>
      </x:c>
      <x:c r="K6985" s="11" t="n">
        <x:f>CHOOSE('假设'!$B$3,H6985,I6985,J6985)</x:f>
        <x:v>1.0499999999999998</x:v>
      </x:c>
      <x:c r="L6985" s="11" t="n">
        <x:f>K6985*'管线假设'!E1491*'管线假设'!F1491*'管线假设'!G1491*IF(E6985="USD",'管线假设'!I1491,1)-AM6985</x:f>
        <x:v>0.39778199999999986</x:v>
      </x:c>
      <x:c r="M6985" s="11" t="n">
        <x:f>'管线假设'!H1491</x:f>
        <x:v>0.14</x:v>
      </x:c>
      <x:c r="N6985" s="11" t="n">
        <x:f>IF(G6985,L6985*AN6985/(1+M6985)^F6985,0)</x:f>
        <x:v>0.0913527578315941</x:v>
      </x:c>
      <x:c r="AJ6985" s="42" t="n">
        <x:v>0</x:v>
      </x:c>
      <x:c r="AK6985" s="42" t="n">
        <x:v>0</x:v>
      </x:c>
      <x:c r="AL6985" s="42" t="n">
        <x:v>0</x:v>
      </x:c>
      <x:c r="AM6985" t="n">
        <x:f>CHOOSE('假设'!$B$3,AJ6985,AK6985,AL6985)</x:f>
        <x:v>0</x:v>
      </x:c>
      <x:c r="AN6985" t="n">
        <x:v>1</x:v>
      </x:c>
    </x:row>
    <x:row r="6986" ht="23" customHeight="1">
      <x:c r="A6986" s="11" t="str">
        <x:v>09995.HK</x:v>
      </x:c>
      <x:c r="B6986" s="11" t="str">
        <x:v>三年</x:v>
      </x:c>
      <x:c r="C6986" s="11" t="str">
        <x:v>RC18_foreign</x:v>
      </x:c>
      <x:c r="D6986" s="11" t="str">
        <x:v>2041-12-31</x:v>
      </x:c>
      <x:c r="E6986" s="11" t="str">
        <x:v>USD</x:v>
      </x:c>
      <x:c r="F6986" s="11" t="n">
        <x:v>12.227241615331964</x:v>
      </x:c>
      <x:c r="G6986" s="26" t="b">
        <x:v>1</x:v>
      </x:c>
      <x:c r="H6986" s="16" t="n">
        <x:v>0.65</x:v>
      </x:c>
      <x:c r="I6986" s="16" t="n">
        <x:v>0.6000000000000001</x:v>
      </x:c>
      <x:c r="J6986" s="16" t="n">
        <x:v>1.2000000000000002</x:v>
      </x:c>
      <x:c r="K6986" s="11" t="n">
        <x:f>CHOOSE('假设'!$B$3,H6986,I6986,J6986)</x:f>
        <x:v>0.6000000000000001</x:v>
      </x:c>
      <x:c r="L6986" s="11" t="n">
        <x:f>K6986*'管线假设'!E1491*'管线假设'!F1491*'管线假设'!G1491*IF(E6986="USD",'管线假设'!I1491,1)-AM6986</x:f>
        <x:v>0.227304</x:v>
      </x:c>
      <x:c r="M6986" s="11" t="n">
        <x:f>'管线假设'!H1491</x:f>
        <x:v>0.14</x:v>
      </x:c>
      <x:c r="N6986" s="11" t="n">
        <x:f>IF(G6986,L6986*AN6986/(1+M6986)^F6986,0)</x:f>
        <x:v>0.04579496294529926</x:v>
      </x:c>
      <x:c r="AJ6986" s="42" t="n">
        <x:v>0</x:v>
      </x:c>
      <x:c r="AK6986" s="42" t="n">
        <x:v>0</x:v>
      </x:c>
      <x:c r="AL6986" s="42" t="n">
        <x:v>0</x:v>
      </x:c>
      <x:c r="AM6986" t="n">
        <x:f>CHOOSE('假设'!$B$3,AJ6986,AK6986,AL6986)</x:f>
        <x:v>0</x:v>
      </x:c>
      <x:c r="AN6986" t="n">
        <x:v>1</x:v>
      </x:c>
    </x:row>
    <x:row r="6987" ht="23" customHeight="1">
      <x:c r="A6987" s="11" t="str">
        <x:v>09995.HK</x:v>
      </x:c>
      <x:c r="B6987" s="11" t="str">
        <x:v>三年</x:v>
      </x:c>
      <x:c r="C6987" s="11" t="str">
        <x:v>RC18_foreign</x:v>
      </x:c>
      <x:c r="D6987" s="11" t="str">
        <x:v>2042-12-31</x:v>
      </x:c>
      <x:c r="E6987" s="11" t="str">
        <x:v>USD</x:v>
      </x:c>
      <x:c r="F6987" s="11" t="n">
        <x:v>13.22655715263518</x:v>
      </x:c>
      <x:c r="G6987" s="26" t="b">
        <x:v>1</x:v>
      </x:c>
      <x:c r="H6987" s="16" t="n">
        <x:v>0.5</x:v>
      </x:c>
      <x:c r="I6987" s="16" t="n">
        <x:v>0.36</x:v>
      </x:c>
      <x:c r="J6987" s="16" t="n">
        <x:v>0.72</x:v>
      </x:c>
      <x:c r="K6987" s="11" t="n">
        <x:f>CHOOSE('假设'!$B$3,H6987,I6987,J6987)</x:f>
        <x:v>0.36</x:v>
      </x:c>
      <x:c r="L6987" s="11" t="n">
        <x:f>K6987*'管线假设'!E1491*'管线假设'!F1491*'管线假设'!G1491*IF(E6987="USD",'管线假设'!I1491,1)-AM6987</x:f>
        <x:v>0.13638239999999996</x:v>
      </x:c>
      <x:c r="M6987" s="11" t="n">
        <x:f>'管线假设'!H1491</x:f>
        <x:v>0.14</x:v>
      </x:c>
      <x:c r="N6987" s="11" t="n">
        <x:f>IF(G6987,L6987*AN6987/(1+M6987)^F6987,0)</x:f>
        <x:v>0.024104773791052733</x:v>
      </x:c>
      <x:c r="AJ6987" s="42" t="n">
        <x:v>0</x:v>
      </x:c>
      <x:c r="AK6987" s="42" t="n">
        <x:v>0</x:v>
      </x:c>
      <x:c r="AL6987" s="42" t="n">
        <x:v>0</x:v>
      </x:c>
      <x:c r="AM6987" t="n">
        <x:f>CHOOSE('假设'!$B$3,AJ6987,AK6987,AL6987)</x:f>
        <x:v>0</x:v>
      </x:c>
      <x:c r="AN6987" t="n">
        <x:v>1</x:v>
      </x:c>
    </x:row>
    <x:row r="6988" ht="23" customHeight="1">
      <x:c r="A6988" s="11" t="str">
        <x:v>09995.HK</x:v>
      </x:c>
      <x:c r="B6988" s="11" t="str">
        <x:v>三年</x:v>
      </x:c>
      <x:c r="C6988" s="11" t="str">
        <x:v>RC18_foreign</x:v>
      </x:c>
      <x:c r="D6988" s="11" t="str">
        <x:v>2043-12-31</x:v>
      </x:c>
      <x:c r="E6988" s="11" t="str">
        <x:v>USD</x:v>
      </x:c>
      <x:c r="F6988" s="11" t="n">
        <x:v>14.225872689938399</x:v>
      </x:c>
      <x:c r="G6988" s="26" t="b">
        <x:v>1</x:v>
      </x:c>
      <x:c r="H6988" s="16" t="n">
        <x:v>0.35</x:v>
      </x:c>
      <x:c r="I6988" s="16" t="n">
        <x:v>0.21000000000000002</x:v>
      </x:c>
      <x:c r="J6988" s="16" t="n">
        <x:v>0.42000000000000004</x:v>
      </x:c>
      <x:c r="K6988" s="11" t="n">
        <x:f>CHOOSE('假设'!$B$3,H6988,I6988,J6988)</x:f>
        <x:v>0.21000000000000002</x:v>
      </x:c>
      <x:c r="L6988" s="11" t="n">
        <x:f>K6988*'管线假设'!E1491*'管线假设'!F1491*'管线假设'!G1491*IF(E6988="USD",'管线假设'!I1491,1)-AM6988</x:f>
        <x:v>0.0795564</x:v>
      </x:c>
      <x:c r="M6988" s="11" t="n">
        <x:f>'管线假设'!H1491</x:f>
        <x:v>0.14</x:v>
      </x:c>
      <x:c r="N6988" s="11" t="n">
        <x:f>IF(G6988,L6988*AN6988/(1+M6988)^F6988,0)</x:f>
        <x:v>0.012335420314077774</x:v>
      </x:c>
      <x:c r="AJ6988" s="42" t="n">
        <x:v>0</x:v>
      </x:c>
      <x:c r="AK6988" s="42" t="n">
        <x:v>0</x:v>
      </x:c>
      <x:c r="AL6988" s="42" t="n">
        <x:v>0</x:v>
      </x:c>
      <x:c r="AM6988" t="n">
        <x:f>CHOOSE('假设'!$B$3,AJ6988,AK6988,AL6988)</x:f>
        <x:v>0</x:v>
      </x:c>
      <x:c r="AN6988" t="n">
        <x:v>1</x:v>
      </x:c>
    </x:row>
    <x:row r="6989" ht="23" customHeight="1">
      <x:c r="A6989" s="11" t="str">
        <x:v>09995.HK</x:v>
      </x:c>
      <x:c r="B6989" s="11" t="str">
        <x:v>三年</x:v>
      </x:c>
      <x:c r="C6989" s="11" t="str">
        <x:v>RC18_foreign</x:v>
      </x:c>
      <x:c r="D6989" s="11" t="str">
        <x:v>2044-12-31</x:v>
      </x:c>
      <x:c r="E6989" s="11" t="str">
        <x:v>USD</x:v>
      </x:c>
      <x:c r="F6989" s="11" t="n">
        <x:v>15.227926078028748</x:v>
      </x:c>
      <x:c r="G6989" s="26" t="b">
        <x:v>1</x:v>
      </x:c>
      <x:c r="H6989" s="16" t="n">
        <x:v>0.2</x:v>
      </x:c>
      <x:c r="I6989" s="16" t="n">
        <x:v>0.09</x:v>
      </x:c>
      <x:c r="J6989" s="16" t="n">
        <x:v>0.18</x:v>
      </x:c>
      <x:c r="K6989" s="11" t="n">
        <x:f>CHOOSE('假设'!$B$3,H6989,I6989,J6989)</x:f>
        <x:v>0.09</x:v>
      </x:c>
      <x:c r="L6989" s="11" t="n">
        <x:f>K6989*'管线假设'!E1491*'管线假设'!F1491*'管线假设'!G1491*IF(E6989="USD",'管线假设'!I1491,1)-AM6989</x:f>
        <x:v>0.03409559999999999</x:v>
      </x:c>
      <x:c r="M6989" s="11" t="n">
        <x:f>'管线假设'!H1491</x:f>
        <x:v>0.14</x:v>
      </x:c>
      <x:c r="N6989" s="11" t="n">
        <x:f>IF(G6989,L6989*AN6989/(1+M6989)^F6989,0)</x:f>
        <x:v>0.004636128531039599</x:v>
      </x:c>
      <x:c r="AJ6989" s="42" t="n">
        <x:v>0</x:v>
      </x:c>
      <x:c r="AK6989" s="42" t="n">
        <x:v>0</x:v>
      </x:c>
      <x:c r="AL6989" s="42" t="n">
        <x:v>0</x:v>
      </x:c>
      <x:c r="AM6989" t="n">
        <x:f>CHOOSE('假设'!$B$3,AJ6989,AK6989,AL6989)</x:f>
        <x:v>0</x:v>
      </x:c>
      <x:c r="AN6989" t="n">
        <x:v>1</x:v>
      </x:c>
    </x:row>
    <x:row r="6990" ht="23" customHeight="1">
      <x:c r="A6990" s="11" t="str">
        <x:v>09995.HK</x:v>
      </x:c>
      <x:c r="B6990" s="11" t="str">
        <x:v>三年</x:v>
      </x:c>
      <x:c r="C6990" s="11" t="str">
        <x:v>RC48_foreign</x:v>
      </x:c>
      <x:c r="D6990" s="11" t="str">
        <x:v>2026-12-31</x:v>
      </x:c>
      <x:c r="E6990" s="11" t="str">
        <x:v>USD</x:v>
      </x:c>
      <x:c r="F6990" s="11" t="n">
        <x:v>-2.7734428473648185</x:v>
      </x:c>
      <x:c r="G6990" s="26" t="b">
        <x:v>0</x:v>
      </x:c>
      <x:c r="H6990" s="16" t="n">
        <x:v>0</x:v>
      </x:c>
      <x:c r="I6990" s="16" t="n">
        <x:v>0</x:v>
      </x:c>
      <x:c r="J6990" s="16" t="n">
        <x:v>0</x:v>
      </x:c>
      <x:c r="K6990" s="11" t="n">
        <x:f>CHOOSE('假设'!$B$3,H6990,I6990,J6990)</x:f>
        <x:v>0</x:v>
      </x:c>
      <x:c r="L6990" s="11" t="n">
        <x:f>K6990*'管线假设'!E1495*'管线假设'!F1495*'管线假设'!G1495*IF(E6990="USD",'管线假设'!I1495,1)-AM6990</x:f>
        <x:v>-0.049</x:v>
      </x:c>
      <x:c r="M6990" s="11" t="n">
        <x:f>'管线假设'!H1495</x:f>
        <x:v>0.14</x:v>
      </x:c>
      <x:c r="N6990" s="11" t="n">
        <x:f>IF(G6990,L6990*AN6990/(1+M6990)^F6990,0)</x:f>
        <x:v>0</x:v>
      </x:c>
      <x:c r="AJ6990" s="42" t="n">
        <x:v>0.021</x:v>
      </x:c>
      <x:c r="AK6990" s="42" t="n">
        <x:v>0.049</x:v>
      </x:c>
      <x:c r="AL6990" s="42" t="n">
        <x:v>0.084</x:v>
      </x:c>
      <x:c r="AM6990" t="n">
        <x:f>CHOOSE('假设'!$B$3,AJ6990,AK6990,AL6990)</x:f>
        <x:v>0.049</x:v>
      </x:c>
      <x:c r="AN6990" t="n">
        <x:v>0</x:v>
      </x:c>
    </x:row>
    <x:row r="6991" ht="23" customHeight="1">
      <x:c r="A6991" s="11" t="str">
        <x:v>09995.HK</x:v>
      </x:c>
      <x:c r="B6991" s="11" t="str">
        <x:v>三年</x:v>
      </x:c>
      <x:c r="C6991" s="11" t="str">
        <x:v>RC48_foreign</x:v>
      </x:c>
      <x:c r="D6991" s="11" t="str">
        <x:v>2027-12-31</x:v>
      </x:c>
      <x:c r="E6991" s="11" t="str">
        <x:v>USD</x:v>
      </x:c>
      <x:c r="F6991" s="11" t="n">
        <x:v>-1.7741273100616017</x:v>
      </x:c>
      <x:c r="G6991" s="26" t="b">
        <x:v>0</x:v>
      </x:c>
      <x:c r="H6991" s="16" t="n">
        <x:v>0</x:v>
      </x:c>
      <x:c r="I6991" s="16" t="n">
        <x:v>0</x:v>
      </x:c>
      <x:c r="J6991" s="16" t="n">
        <x:v>0</x:v>
      </x:c>
      <x:c r="K6991" s="11" t="n">
        <x:f>CHOOSE('假设'!$B$3,H6991,I6991,J6991)</x:f>
        <x:v>0</x:v>
      </x:c>
      <x:c r="L6991" s="11" t="n">
        <x:f>K6991*'管线假设'!E1495*'管线假设'!F1495*'管线假设'!G1495*IF(E6991="USD",'管线假设'!I1495,1)-AM6991</x:f>
        <x:v>0</x:v>
      </x:c>
      <x:c r="M6991" s="11" t="n">
        <x:f>'管线假设'!H1495</x:f>
        <x:v>0.14</x:v>
      </x:c>
      <x:c r="N6991" s="11" t="n">
        <x:f>IF(G6991,L6991*AN6991/(1+M6991)^F6991,0)</x:f>
        <x:v>0</x:v>
      </x:c>
      <x:c r="AJ6991" s="42" t="n">
        <x:v>0</x:v>
      </x:c>
      <x:c r="AK6991" s="42" t="n">
        <x:v>0</x:v>
      </x:c>
      <x:c r="AL6991" s="42" t="n">
        <x:v>0</x:v>
      </x:c>
      <x:c r="AM6991" t="n">
        <x:f>CHOOSE('假设'!$B$3,AJ6991,AK6991,AL6991)</x:f>
        <x:v>0</x:v>
      </x:c>
      <x:c r="AN6991" t="n">
        <x:v>0</x:v>
      </x:c>
    </x:row>
    <x:row r="6992" ht="23" customHeight="1">
      <x:c r="A6992" s="11" t="str">
        <x:v>09995.HK</x:v>
      </x:c>
      <x:c r="B6992" s="11" t="str">
        <x:v>三年</x:v>
      </x:c>
      <x:c r="C6992" s="11" t="str">
        <x:v>RC48_foreign</x:v>
      </x:c>
      <x:c r="D6992" s="11" t="str">
        <x:v>2028-12-31</x:v>
      </x:c>
      <x:c r="E6992" s="11" t="str">
        <x:v>USD</x:v>
      </x:c>
      <x:c r="F6992" s="11" t="n">
        <x:v>-0.7720739219712526</x:v>
      </x:c>
      <x:c r="G6992" s="26" t="b">
        <x:v>0</x:v>
      </x:c>
      <x:c r="H6992" s="16" t="n">
        <x:v>0</x:v>
      </x:c>
      <x:c r="I6992" s="16" t="n">
        <x:v>0</x:v>
      </x:c>
      <x:c r="J6992" s="16" t="n">
        <x:v>0.24</x:v>
      </x:c>
      <x:c r="K6992" s="11" t="n">
        <x:f>CHOOSE('假设'!$B$3,H6992,I6992,J6992)</x:f>
        <x:v>0</x:v>
      </x:c>
      <x:c r="L6992" s="11" t="n">
        <x:f>K6992*'管线假设'!E1495*'管线假设'!F1495*'管线假设'!G1495*IF(E6992="USD",'管线假设'!I1495,1)-AM6992</x:f>
        <x:v>0</x:v>
      </x:c>
      <x:c r="M6992" s="11" t="n">
        <x:f>'管线假设'!H1495</x:f>
        <x:v>0.14</x:v>
      </x:c>
      <x:c r="N6992" s="11" t="n">
        <x:f>IF(G6992,L6992*AN6992/(1+M6992)^F6992,0)</x:f>
        <x:v>0</x:v>
      </x:c>
      <x:c r="AJ6992" s="42" t="n">
        <x:v>0</x:v>
      </x:c>
      <x:c r="AK6992" s="42" t="n">
        <x:v>0</x:v>
      </x:c>
      <x:c r="AL6992" s="42" t="n">
        <x:v>0</x:v>
      </x:c>
      <x:c r="AM6992" t="n">
        <x:f>CHOOSE('假设'!$B$3,AJ6992,AK6992,AL6992)</x:f>
        <x:v>0</x:v>
      </x:c>
      <x:c r="AN6992" t="n">
        <x:v>0</x:v>
      </x:c>
    </x:row>
    <x:row r="6993" ht="23" customHeight="1">
      <x:c r="A6993" s="11" t="str">
        <x:v>09995.HK</x:v>
      </x:c>
      <x:c r="B6993" s="11" t="str">
        <x:v>三年</x:v>
      </x:c>
      <x:c r="C6993" s="11" t="str">
        <x:v>RC48_foreign</x:v>
      </x:c>
      <x:c r="D6993" s="11" t="str">
        <x:v>2029-12-31</x:v>
      </x:c>
      <x:c r="E6993" s="11" t="str">
        <x:v>USD</x:v>
      </x:c>
      <x:c r="F6993" s="11" t="n">
        <x:v>0.2272416153319644</x:v>
      </x:c>
      <x:c r="G6993" s="26" t="b">
        <x:v>1</x:v>
      </x:c>
      <x:c r="H6993" s="16" t="n">
        <x:v>0</x:v>
      </x:c>
      <x:c r="I6993" s="16" t="n">
        <x:v>0.15</x:v>
      </x:c>
      <x:c r="J6993" s="16" t="n">
        <x:v>0.72</x:v>
      </x:c>
      <x:c r="K6993" s="11" t="n">
        <x:f>CHOOSE('假设'!$B$3,H6993,I6993,J6993)</x:f>
        <x:v>0.15</x:v>
      </x:c>
      <x:c r="L6993" s="11" t="n">
        <x:f>K6993*'管线假设'!E1495*'管线假设'!F1495*'管线假设'!G1495*IF(E6993="USD",'管线假设'!I1495,1)-AM6993</x:f>
        <x:v>0.0520905</x:v>
      </x:c>
      <x:c r="M6993" s="11" t="n">
        <x:f>'管线假设'!H1495</x:f>
        <x:v>0.14</x:v>
      </x:c>
      <x:c r="N6993" s="11" t="n">
        <x:f>IF(G6993,L6993*AN6993/(1+M6993)^F6993,0)</x:f>
        <x:v>0.011529330384231712</x:v>
      </x:c>
      <x:c r="AJ6993" s="42" t="n">
        <x:v>0</x:v>
      </x:c>
      <x:c r="AK6993" s="42" t="n">
        <x:v>0</x:v>
      </x:c>
      <x:c r="AL6993" s="42" t="n">
        <x:v>0</x:v>
      </x:c>
      <x:c r="AM6993" t="n">
        <x:f>CHOOSE('假设'!$B$3,AJ6993,AK6993,AL6993)</x:f>
        <x:v>0</x:v>
      </x:c>
      <x:c r="AN6993" t="n">
        <x:v>0.22802197802197802</x:v>
      </x:c>
    </x:row>
    <x:row r="6994" ht="23" customHeight="1">
      <x:c r="A6994" s="11" t="str">
        <x:v>09995.HK</x:v>
      </x:c>
      <x:c r="B6994" s="11" t="str">
        <x:v>三年</x:v>
      </x:c>
      <x:c r="C6994" s="11" t="str">
        <x:v>RC48_foreign</x:v>
      </x:c>
      <x:c r="D6994" s="11" t="str">
        <x:v>2030-12-31</x:v>
      </x:c>
      <x:c r="E6994" s="11" t="str">
        <x:v>USD</x:v>
      </x:c>
      <x:c r="F6994" s="11" t="n">
        <x:v>1.2265571526351813</x:v>
      </x:c>
      <x:c r="G6994" s="26" t="b">
        <x:v>1</x:v>
      </x:c>
      <x:c r="H6994" s="16" t="n">
        <x:v>0</x:v>
      </x:c>
      <x:c r="I6994" s="16" t="n">
        <x:v>0.44999999999999996</x:v>
      </x:c>
      <x:c r="J6994" s="16" t="n">
        <x:v>1.52</x:v>
      </x:c>
      <x:c r="K6994" s="11" t="n">
        <x:f>CHOOSE('假设'!$B$3,H6994,I6994,J6994)</x:f>
        <x:v>0.44999999999999996</x:v>
      </x:c>
      <x:c r="L6994" s="11" t="n">
        <x:f>K6994*'管线假设'!E1495*'管线假设'!F1495*'管线假设'!G1495*IF(E6994="USD",'管线假设'!I1495,1)-AM6994</x:f>
        <x:v>0.15627149999999998</x:v>
      </x:c>
      <x:c r="M6994" s="11" t="n">
        <x:f>'管线假设'!H1495</x:f>
        <x:v>0.14</x:v>
      </x:c>
      <x:c r="N6994" s="11" t="n">
        <x:f>IF(G6994,L6994*AN6994/(1+M6994)^F6994,0)</x:f>
        <x:v>0.1330707879288202</x:v>
      </x:c>
      <x:c r="AJ6994" s="42" t="n">
        <x:v>0</x:v>
      </x:c>
      <x:c r="AK6994" s="42" t="n">
        <x:v>0</x:v>
      </x:c>
      <x:c r="AL6994" s="42" t="n">
        <x:v>0</x:v>
      </x:c>
      <x:c r="AM6994" t="n">
        <x:f>CHOOSE('假设'!$B$3,AJ6994,AK6994,AL6994)</x:f>
        <x:v>0</x:v>
      </x:c>
      <x:c r="AN6994" t="n">
        <x:v>1</x:v>
      </x:c>
    </x:row>
    <x:row r="6995" ht="23" customHeight="1">
      <x:c r="A6995" s="11" t="str">
        <x:v>09995.HK</x:v>
      </x:c>
      <x:c r="B6995" s="11" t="str">
        <x:v>三年</x:v>
      </x:c>
      <x:c r="C6995" s="11" t="str">
        <x:v>RC48_foreign</x:v>
      </x:c>
      <x:c r="D6995" s="11" t="str">
        <x:v>2031-12-31</x:v>
      </x:c>
      <x:c r="E6995" s="11" t="str">
        <x:v>USD</x:v>
      </x:c>
      <x:c r="F6995" s="11" t="n">
        <x:v>2.2258726899383983</x:v>
      </x:c>
      <x:c r="G6995" s="26" t="b">
        <x:v>1</x:v>
      </x:c>
      <x:c r="H6995" s="16" t="n">
        <x:v>0.06</x:v>
      </x:c>
      <x:c r="I6995" s="16" t="n">
        <x:v>0.95</x:v>
      </x:c>
      <x:c r="J6995" s="16" t="n">
        <x:v>2.6</x:v>
      </x:c>
      <x:c r="K6995" s="11" t="n">
        <x:f>CHOOSE('假设'!$B$3,H6995,I6995,J6995)</x:f>
        <x:v>0.95</x:v>
      </x:c>
      <x:c r="L6995" s="11" t="n">
        <x:f>K6995*'管线假设'!E1495*'管线假设'!F1495*'管线假设'!G1495*IF(E6995="USD",'管线假设'!I1495,1)-AM6995</x:f>
        <x:v>0.32990649999999994</x:v>
      </x:c>
      <x:c r="M6995" s="11" t="n">
        <x:f>'管线假设'!H1495</x:f>
        <x:v>0.14</x:v>
      </x:c>
      <x:c r="N6995" s="11" t="n">
        <x:f>IF(G6995,L6995*AN6995/(1+M6995)^F6995,0)</x:f>
        <x:v>0.24644948662764635</x:v>
      </x:c>
      <x:c r="AJ6995" s="42" t="n">
        <x:v>0</x:v>
      </x:c>
      <x:c r="AK6995" s="42" t="n">
        <x:v>0</x:v>
      </x:c>
      <x:c r="AL6995" s="42" t="n">
        <x:v>0</x:v>
      </x:c>
      <x:c r="AM6995" t="n">
        <x:f>CHOOSE('假设'!$B$3,AJ6995,AK6995,AL6995)</x:f>
        <x:v>0</x:v>
      </x:c>
      <x:c r="AN6995" t="n">
        <x:v>1</x:v>
      </x:c>
    </x:row>
    <x:row r="6996" ht="23" customHeight="1">
      <x:c r="A6996" s="11" t="str">
        <x:v>09995.HK</x:v>
      </x:c>
      <x:c r="B6996" s="11" t="str">
        <x:v>三年</x:v>
      </x:c>
      <x:c r="C6996" s="11" t="str">
        <x:v>RC48_foreign</x:v>
      </x:c>
      <x:c r="D6996" s="11" t="str">
        <x:v>2032-12-31</x:v>
      </x:c>
      <x:c r="E6996" s="11" t="str">
        <x:v>USD</x:v>
      </x:c>
      <x:c r="F6996" s="11" t="n">
        <x:v>3.2279260780287475</x:v>
      </x:c>
      <x:c r="G6996" s="26" t="b">
        <x:v>1</x:v>
      </x:c>
      <x:c r="H6996" s="16" t="n">
        <x:v>0.18</x:v>
      </x:c>
      <x:c r="I6996" s="16" t="n">
        <x:v>1.625</x:v>
      </x:c>
      <x:c r="J6996" s="16" t="n">
        <x:v>3.4</x:v>
      </x:c>
      <x:c r="K6996" s="11" t="n">
        <x:f>CHOOSE('假设'!$B$3,H6996,I6996,J6996)</x:f>
        <x:v>1.625</x:v>
      </x:c>
      <x:c r="L6996" s="11" t="n">
        <x:f>K6996*'管线假设'!E1495*'管线假设'!F1495*'管线假设'!G1495*IF(E6996="USD",'管线假设'!I1495,1)-AM6996</x:f>
        <x:v>0.56431375</x:v>
      </x:c>
      <x:c r="M6996" s="11" t="n">
        <x:f>'管线假设'!H1495</x:f>
        <x:v>0.14</x:v>
      </x:c>
      <x:c r="N6996" s="11" t="n">
        <x:f>IF(G6996,L6996*AN6996/(1+M6996)^F6996,0)</x:f>
        <x:v>0.3696885320938349</x:v>
      </x:c>
      <x:c r="AJ6996" s="42" t="n">
        <x:v>0</x:v>
      </x:c>
      <x:c r="AK6996" s="42" t="n">
        <x:v>0</x:v>
      </x:c>
      <x:c r="AL6996" s="42" t="n">
        <x:v>0</x:v>
      </x:c>
      <x:c r="AM6996" t="n">
        <x:f>CHOOSE('假设'!$B$3,AJ6996,AK6996,AL6996)</x:f>
        <x:v>0</x:v>
      </x:c>
      <x:c r="AN6996" t="n">
        <x:v>1</x:v>
      </x:c>
    </x:row>
    <x:row r="6997" ht="23" customHeight="1">
      <x:c r="A6997" s="11" t="str">
        <x:v>09995.HK</x:v>
      </x:c>
      <x:c r="B6997" s="11" t="str">
        <x:v>三年</x:v>
      </x:c>
      <x:c r="C6997" s="11" t="str">
        <x:v>RC48_foreign</x:v>
      </x:c>
      <x:c r="D6997" s="11" t="str">
        <x:v>2033-12-31</x:v>
      </x:c>
      <x:c r="E6997" s="11" t="str">
        <x:v>USD</x:v>
      </x:c>
      <x:c r="F6997" s="11" t="n">
        <x:v>4.227241615331964</x:v>
      </x:c>
      <x:c r="G6997" s="26" t="b">
        <x:v>1</x:v>
      </x:c>
      <x:c r="H6997" s="16" t="n">
        <x:v>0.38</x:v>
      </x:c>
      <x:c r="I6997" s="16" t="n">
        <x:v>2.125</x:v>
      </x:c>
      <x:c r="J6997" s="16" t="n">
        <x:v>4</x:v>
      </x:c>
      <x:c r="K6997" s="11" t="n">
        <x:f>CHOOSE('假设'!$B$3,H6997,I6997,J6997)</x:f>
        <x:v>2.125</x:v>
      </x:c>
      <x:c r="L6997" s="11" t="n">
        <x:f>K6997*'管线假设'!E1495*'管线假设'!F1495*'管线假设'!G1495*IF(E6997="USD",'管线假设'!I1495,1)-AM6997</x:f>
        <x:v>0.73794875</x:v>
      </x:c>
      <x:c r="M6997" s="11" t="n">
        <x:f>'管线假设'!H1495</x:f>
        <x:v>0.14</x:v>
      </x:c>
      <x:c r="N6997" s="11" t="n">
        <x:f>IF(G6997,L6997*AN6997/(1+M6997)^F6997,0)</x:f>
        <x:v>0.42410720027617493</x:v>
      </x:c>
      <x:c r="AJ6997" s="42" t="n">
        <x:v>0</x:v>
      </x:c>
      <x:c r="AK6997" s="42" t="n">
        <x:v>0</x:v>
      </x:c>
      <x:c r="AL6997" s="42" t="n">
        <x:v>0</x:v>
      </x:c>
      <x:c r="AM6997" t="n">
        <x:f>CHOOSE('假设'!$B$3,AJ6997,AK6997,AL6997)</x:f>
        <x:v>0</x:v>
      </x:c>
      <x:c r="AN6997" t="n">
        <x:v>1</x:v>
      </x:c>
    </x:row>
    <x:row r="6998" ht="23" customHeight="1">
      <x:c r="A6998" s="11" t="str">
        <x:v>09995.HK</x:v>
      </x:c>
      <x:c r="B6998" s="11" t="str">
        <x:v>三年</x:v>
      </x:c>
      <x:c r="C6998" s="11" t="str">
        <x:v>RC48_foreign</x:v>
      </x:c>
      <x:c r="D6998" s="11" t="str">
        <x:v>2034-12-31</x:v>
      </x:c>
      <x:c r="E6998" s="11" t="str">
        <x:v>USD</x:v>
      </x:c>
      <x:c r="F6998" s="11" t="n">
        <x:v>5.2265571526351815</x:v>
      </x:c>
      <x:c r="G6998" s="26" t="b">
        <x:v>1</x:v>
      </x:c>
      <x:c r="H6998" s="16" t="n">
        <x:v>0.65</x:v>
      </x:c>
      <x:c r="I6998" s="16" t="n">
        <x:v>2.5</x:v>
      </x:c>
      <x:c r="J6998" s="16" t="n">
        <x:v>4</x:v>
      </x:c>
      <x:c r="K6998" s="11" t="n">
        <x:f>CHOOSE('假设'!$B$3,H6998,I6998,J6998)</x:f>
        <x:v>2.5</x:v>
      </x:c>
      <x:c r="L6998" s="11" t="n">
        <x:f>K6998*'管线假设'!E1495*'管线假设'!F1495*'管线假设'!G1495*IF(E6998="USD",'管线假设'!I1495,1)-AM6998</x:f>
        <x:v>0.8681749999999999</x:v>
      </x:c>
      <x:c r="M6998" s="11" t="n">
        <x:f>'管线假设'!H1495</x:f>
        <x:v>0.14</x:v>
      </x:c>
      <x:c r="N6998" s="11" t="n">
        <x:f>IF(G6998,L6998*AN6998/(1+M6998)^F6998,0)</x:f>
        <x:v>0.43771438348203073</x:v>
      </x:c>
      <x:c r="AJ6998" s="42" t="n">
        <x:v>0</x:v>
      </x:c>
      <x:c r="AK6998" s="42" t="n">
        <x:v>0</x:v>
      </x:c>
      <x:c r="AL6998" s="42" t="n">
        <x:v>0</x:v>
      </x:c>
      <x:c r="AM6998" t="n">
        <x:f>CHOOSE('假设'!$B$3,AJ6998,AK6998,AL6998)</x:f>
        <x:v>0</x:v>
      </x:c>
      <x:c r="AN6998" t="n">
        <x:v>1</x:v>
      </x:c>
    </x:row>
    <x:row r="6999" ht="23" customHeight="1">
      <x:c r="A6999" s="11" t="str">
        <x:v>09995.HK</x:v>
      </x:c>
      <x:c r="B6999" s="11" t="str">
        <x:v>三年</x:v>
      </x:c>
      <x:c r="C6999" s="11" t="str">
        <x:v>RC48_foreign</x:v>
      </x:c>
      <x:c r="D6999" s="11" t="str">
        <x:v>2035-12-31</x:v>
      </x:c>
      <x:c r="E6999" s="11" t="str">
        <x:v>USD</x:v>
      </x:c>
      <x:c r="F6999" s="11" t="n">
        <x:v>6.225872689938399</x:v>
      </x:c>
      <x:c r="G6999" s="26" t="b">
        <x:v>1</x:v>
      </x:c>
      <x:c r="H6999" s="16" t="n">
        <x:v>0.85</x:v>
      </x:c>
      <x:c r="I6999" s="16" t="n">
        <x:v>2.5</x:v>
      </x:c>
      <x:c r="J6999" s="16" t="n">
        <x:v>3.8</x:v>
      </x:c>
      <x:c r="K6999" s="11" t="n">
        <x:f>CHOOSE('假设'!$B$3,H6999,I6999,J6999)</x:f>
        <x:v>2.5</x:v>
      </x:c>
      <x:c r="L6999" s="11" t="n">
        <x:f>K6999*'管线假设'!E1495*'管线假设'!F1495*'管线假设'!G1495*IF(E6999="USD",'管线假设'!I1495,1)-AM6999</x:f>
        <x:v>0.8681749999999999</x:v>
      </x:c>
      <x:c r="M6999" s="11" t="n">
        <x:f>'管线假设'!H1495</x:f>
        <x:v>0.14</x:v>
      </x:c>
      <x:c r="N6999" s="11" t="n">
        <x:f>IF(G6999,L6999*AN6999/(1+M6999)^F6999,0)</x:f>
        <x:v>0.3839944221058886</x:v>
      </x:c>
      <x:c r="AJ6999" s="42" t="n">
        <x:v>0</x:v>
      </x:c>
      <x:c r="AK6999" s="42" t="n">
        <x:v>0</x:v>
      </x:c>
      <x:c r="AL6999" s="42" t="n">
        <x:v>0</x:v>
      </x:c>
      <x:c r="AM6999" t="n">
        <x:f>CHOOSE('假设'!$B$3,AJ6999,AK6999,AL6999)</x:f>
        <x:v>0</x:v>
      </x:c>
      <x:c r="AN6999" t="n">
        <x:v>1</x:v>
      </x:c>
    </x:row>
    <x:row r="7000" ht="23" customHeight="1">
      <x:c r="A7000" s="11" t="str">
        <x:v>09995.HK</x:v>
      </x:c>
      <x:c r="B7000" s="11" t="str">
        <x:v>三年</x:v>
      </x:c>
      <x:c r="C7000" s="11" t="str">
        <x:v>RC48_foreign</x:v>
      </x:c>
      <x:c r="D7000" s="11" t="str">
        <x:v>2036-12-31</x:v>
      </x:c>
      <x:c r="E7000" s="11" t="str">
        <x:v>USD</x:v>
      </x:c>
      <x:c r="F7000" s="11" t="n">
        <x:v>7.227926078028747</x:v>
      </x:c>
      <x:c r="G7000" s="26" t="b">
        <x:v>1</x:v>
      </x:c>
      <x:c r="H7000" s="16" t="n">
        <x:v>1</x:v>
      </x:c>
      <x:c r="I7000" s="16" t="n">
        <x:v>2.375</x:v>
      </x:c>
      <x:c r="J7000" s="16" t="n">
        <x:v>3.6</x:v>
      </x:c>
      <x:c r="K7000" s="11" t="n">
        <x:f>CHOOSE('假设'!$B$3,H7000,I7000,J7000)</x:f>
        <x:v>2.375</x:v>
      </x:c>
      <x:c r="L7000" s="11" t="n">
        <x:f>K7000*'管线假设'!E1495*'管线假设'!F1495*'管线假设'!G1495*IF(E7000="USD",'管线假设'!I1495,1)-AM7000</x:f>
        <x:v>0.8247662499999999</x:v>
      </x:c>
      <x:c r="M7000" s="11" t="n">
        <x:f>'管线假设'!H1495</x:f>
        <x:v>0.14</x:v>
      </x:c>
      <x:c r="N7000" s="11" t="n">
        <x:f>IF(G7000,L7000*AN7000/(1+M7000)^F7000,0)</x:f>
        <x:v>0.31990926798701713</x:v>
      </x:c>
      <x:c r="AJ7000" s="42" t="n">
        <x:v>0</x:v>
      </x:c>
      <x:c r="AK7000" s="42" t="n">
        <x:v>0</x:v>
      </x:c>
      <x:c r="AL7000" s="42" t="n">
        <x:v>0</x:v>
      </x:c>
      <x:c r="AM7000" t="n">
        <x:f>CHOOSE('假设'!$B$3,AJ7000,AK7000,AL7000)</x:f>
        <x:v>0</x:v>
      </x:c>
      <x:c r="AN7000" t="n">
        <x:v>1</x:v>
      </x:c>
    </x:row>
    <x:row r="7001" ht="23" customHeight="1">
      <x:c r="A7001" s="11" t="str">
        <x:v>09995.HK</x:v>
      </x:c>
      <x:c r="B7001" s="11" t="str">
        <x:v>三年</x:v>
      </x:c>
      <x:c r="C7001" s="11" t="str">
        <x:v>RC48_foreign</x:v>
      </x:c>
      <x:c r="D7001" s="11" t="str">
        <x:v>2037-12-31</x:v>
      </x:c>
      <x:c r="E7001" s="11" t="str">
        <x:v>USD</x:v>
      </x:c>
      <x:c r="F7001" s="11" t="n">
        <x:v>8.227241615331964</x:v>
      </x:c>
      <x:c r="G7001" s="26" t="b">
        <x:v>1</x:v>
      </x:c>
      <x:c r="H7001" s="16" t="n">
        <x:v>1</x:v>
      </x:c>
      <x:c r="I7001" s="16" t="n">
        <x:v>2.25</x:v>
      </x:c>
      <x:c r="J7001" s="16" t="n">
        <x:v>3.2</x:v>
      </x:c>
      <x:c r="K7001" s="11" t="n">
        <x:f>CHOOSE('假设'!$B$3,H7001,I7001,J7001)</x:f>
        <x:v>2.25</x:v>
      </x:c>
      <x:c r="L7001" s="11" t="n">
        <x:f>K7001*'管线假设'!E1495*'管线假设'!F1495*'管线假设'!G1495*IF(E7001="USD",'管线假设'!I1495,1)-AM7001</x:f>
        <x:v>0.7813574999999999</x:v>
      </x:c>
      <x:c r="M7001" s="11" t="n">
        <x:f>'管线假设'!H1495</x:f>
        <x:v>0.14</x:v>
      </x:c>
      <x:c r="N7001" s="11" t="n">
        <x:f>IF(G7001,L7001*AN7001/(1+M7001)^F7001,0)</x:f>
        <x:v>0.2658764210550481</x:v>
      </x:c>
      <x:c r="AJ7001" s="42" t="n">
        <x:v>0</x:v>
      </x:c>
      <x:c r="AK7001" s="42" t="n">
        <x:v>0</x:v>
      </x:c>
      <x:c r="AL7001" s="42" t="n">
        <x:v>0</x:v>
      </x:c>
      <x:c r="AM7001" t="n">
        <x:f>CHOOSE('假设'!$B$3,AJ7001,AK7001,AL7001)</x:f>
        <x:v>0</x:v>
      </x:c>
      <x:c r="AN7001" t="n">
        <x:v>1</x:v>
      </x:c>
    </x:row>
    <x:row r="7002" ht="23" customHeight="1">
      <x:c r="A7002" s="11" t="str">
        <x:v>09995.HK</x:v>
      </x:c>
      <x:c r="B7002" s="11" t="str">
        <x:v>三年</x:v>
      </x:c>
      <x:c r="C7002" s="11" t="str">
        <x:v>RC48_foreign</x:v>
      </x:c>
      <x:c r="D7002" s="11" t="str">
        <x:v>2038-12-31</x:v>
      </x:c>
      <x:c r="E7002" s="11" t="str">
        <x:v>USD</x:v>
      </x:c>
      <x:c r="F7002" s="11" t="n">
        <x:v>9.22655715263518</x:v>
      </x:c>
      <x:c r="G7002" s="26" t="b">
        <x:v>1</x:v>
      </x:c>
      <x:c r="H7002" s="16" t="n">
        <x:v>0.95</x:v>
      </x:c>
      <x:c r="I7002" s="16" t="n">
        <x:v>2</x:v>
      </x:c>
      <x:c r="J7002" s="16" t="n">
        <x:v>2.6</x:v>
      </x:c>
      <x:c r="K7002" s="11" t="n">
        <x:f>CHOOSE('假设'!$B$3,H7002,I7002,J7002)</x:f>
        <x:v>2</x:v>
      </x:c>
      <x:c r="L7002" s="11" t="n">
        <x:f>K7002*'管线假设'!E1495*'管线假设'!F1495*'管线假设'!G1495*IF(E7002="USD",'管线假设'!I1495,1)-AM7002</x:f>
        <x:v>0.6945399999999999</x:v>
      </x:c>
      <x:c r="M7002" s="11" t="n">
        <x:f>'管线假设'!H1495</x:f>
        <x:v>0.14</x:v>
      </x:c>
      <x:c r="N7002" s="11" t="n">
        <x:f>IF(G7002,L7002*AN7002/(1+M7002)^F7002,0)</x:f>
        <x:v>0.20732964286476982</x:v>
      </x:c>
      <x:c r="AJ7002" s="42" t="n">
        <x:v>0</x:v>
      </x:c>
      <x:c r="AK7002" s="42" t="n">
        <x:v>0</x:v>
      </x:c>
      <x:c r="AL7002" s="42" t="n">
        <x:v>0</x:v>
      </x:c>
      <x:c r="AM7002" t="n">
        <x:f>CHOOSE('假设'!$B$3,AJ7002,AK7002,AL7002)</x:f>
        <x:v>0</x:v>
      </x:c>
      <x:c r="AN7002" t="n">
        <x:v>1</x:v>
      </x:c>
    </x:row>
    <x:row r="7003" ht="23" customHeight="1">
      <x:c r="A7003" s="11" t="str">
        <x:v>09995.HK</x:v>
      </x:c>
      <x:c r="B7003" s="11" t="str">
        <x:v>三年</x:v>
      </x:c>
      <x:c r="C7003" s="11" t="str">
        <x:v>RC48_foreign</x:v>
      </x:c>
      <x:c r="D7003" s="11" t="str">
        <x:v>2039-12-31</x:v>
      </x:c>
      <x:c r="E7003" s="11" t="str">
        <x:v>USD</x:v>
      </x:c>
      <x:c r="F7003" s="11" t="n">
        <x:v>10.225872689938399</x:v>
      </x:c>
      <x:c r="G7003" s="26" t="b">
        <x:v>1</x:v>
      </x:c>
      <x:c r="H7003" s="16" t="n">
        <x:v>0.9</x:v>
      </x:c>
      <x:c r="I7003" s="16" t="n">
        <x:v>1.625</x:v>
      </x:c>
      <x:c r="J7003" s="16" t="n">
        <x:v>2</x:v>
      </x:c>
      <x:c r="K7003" s="11" t="n">
        <x:f>CHOOSE('假设'!$B$3,H7003,I7003,J7003)</x:f>
        <x:v>1.625</x:v>
      </x:c>
      <x:c r="L7003" s="11" t="n">
        <x:f>K7003*'管线假设'!E1495*'管线假设'!F1495*'管线假设'!G1495*IF(E7003="USD",'管线假设'!I1495,1)-AM7003</x:f>
        <x:v>0.56431375</x:v>
      </x:c>
      <x:c r="M7003" s="11" t="n">
        <x:f>'管线假设'!H1495</x:f>
        <x:v>0.14</x:v>
      </x:c>
      <x:c r="N7003" s="11" t="n">
        <x:f>IF(G7003,L7003*AN7003/(1+M7003)^F7003,0)</x:f>
        <x:v>0.14778109056688907</x:v>
      </x:c>
      <x:c r="AJ7003" s="42" t="n">
        <x:v>0</x:v>
      </x:c>
      <x:c r="AK7003" s="42" t="n">
        <x:v>0</x:v>
      </x:c>
      <x:c r="AL7003" s="42" t="n">
        <x:v>0</x:v>
      </x:c>
      <x:c r="AM7003" t="n">
        <x:f>CHOOSE('假设'!$B$3,AJ7003,AK7003,AL7003)</x:f>
        <x:v>0</x:v>
      </x:c>
      <x:c r="AN7003" t="n">
        <x:v>1</x:v>
      </x:c>
    </x:row>
    <x:row r="7004" ht="23" customHeight="1">
      <x:c r="A7004" s="11" t="str">
        <x:v>09995.HK</x:v>
      </x:c>
      <x:c r="B7004" s="11" t="str">
        <x:v>三年</x:v>
      </x:c>
      <x:c r="C7004" s="11" t="str">
        <x:v>RC48_foreign</x:v>
      </x:c>
      <x:c r="D7004" s="11" t="str">
        <x:v>2040-12-31</x:v>
      </x:c>
      <x:c r="E7004" s="11" t="str">
        <x:v>USD</x:v>
      </x:c>
      <x:c r="F7004" s="11" t="n">
        <x:v>11.227926078028748</x:v>
      </x:c>
      <x:c r="G7004" s="26" t="b">
        <x:v>1</x:v>
      </x:c>
      <x:c r="H7004" s="16" t="n">
        <x:v>0.8</x:v>
      </x:c>
      <x:c r="I7004" s="16" t="n">
        <x:v>1.25</x:v>
      </x:c>
      <x:c r="J7004" s="16" t="n">
        <x:v>1.4</x:v>
      </x:c>
      <x:c r="K7004" s="11" t="n">
        <x:f>CHOOSE('假设'!$B$3,H7004,I7004,J7004)</x:f>
        <x:v>1.25</x:v>
      </x:c>
      <x:c r="L7004" s="11" t="n">
        <x:f>K7004*'管线假设'!E1495*'管线假设'!F1495*'管线假设'!G1495*IF(E7004="USD",'管线假设'!I1495,1)-AM7004</x:f>
        <x:v>0.43408749999999996</x:v>
      </x:c>
      <x:c r="M7004" s="11" t="n">
        <x:f>'管线假设'!H1495</x:f>
        <x:v>0.14</x:v>
      </x:c>
      <x:c r="N7004" s="11" t="n">
        <x:f>IF(G7004,L7004*AN7004/(1+M7004)^F7004,0)</x:f>
        <x:v>0.09969050953844598</x:v>
      </x:c>
      <x:c r="AJ7004" s="42" t="n">
        <x:v>0</x:v>
      </x:c>
      <x:c r="AK7004" s="42" t="n">
        <x:v>0</x:v>
      </x:c>
      <x:c r="AL7004" s="42" t="n">
        <x:v>0</x:v>
      </x:c>
      <x:c r="AM7004" t="n">
        <x:f>CHOOSE('假设'!$B$3,AJ7004,AK7004,AL7004)</x:f>
        <x:v>0</x:v>
      </x:c>
      <x:c r="AN7004" t="n">
        <x:v>1</x:v>
      </x:c>
    </x:row>
    <x:row r="7005" ht="23" customHeight="1">
      <x:c r="A7005" s="11" t="str">
        <x:v>09995.HK</x:v>
      </x:c>
      <x:c r="B7005" s="11" t="str">
        <x:v>三年</x:v>
      </x:c>
      <x:c r="C7005" s="11" t="str">
        <x:v>RC48_foreign</x:v>
      </x:c>
      <x:c r="D7005" s="11" t="str">
        <x:v>2041-12-31</x:v>
      </x:c>
      <x:c r="E7005" s="11" t="str">
        <x:v>USD</x:v>
      </x:c>
      <x:c r="F7005" s="11" t="n">
        <x:v>12.227241615331964</x:v>
      </x:c>
      <x:c r="G7005" s="26" t="b">
        <x:v>1</x:v>
      </x:c>
      <x:c r="H7005" s="16" t="n">
        <x:v>0.65</x:v>
      </x:c>
      <x:c r="I7005" s="16" t="n">
        <x:v>0.875</x:v>
      </x:c>
      <x:c r="J7005" s="16" t="n">
        <x:v>0.8</x:v>
      </x:c>
      <x:c r="K7005" s="11" t="n">
        <x:f>CHOOSE('假设'!$B$3,H7005,I7005,J7005)</x:f>
        <x:v>0.875</x:v>
      </x:c>
      <x:c r="L7005" s="11" t="n">
        <x:f>K7005*'管线假设'!E1495*'管线假设'!F1495*'管线假设'!G1495*IF(E7005="USD",'管线假设'!I1495,1)-AM7005</x:f>
        <x:v>0.30386125</x:v>
      </x:c>
      <x:c r="M7005" s="11" t="n">
        <x:f>'管线假设'!H1495</x:f>
        <x:v>0.14</x:v>
      </x:c>
      <x:c r="N7005" s="11" t="n">
        <x:f>IF(G7005,L7005*AN7005/(1+M7005)^F7005,0)</x:f>
        <x:v>0.06121896088173686</x:v>
      </x:c>
      <x:c r="AJ7005" s="42" t="n">
        <x:v>0</x:v>
      </x:c>
      <x:c r="AK7005" s="42" t="n">
        <x:v>0</x:v>
      </x:c>
      <x:c r="AL7005" s="42" t="n">
        <x:v>0</x:v>
      </x:c>
      <x:c r="AM7005" t="n">
        <x:f>CHOOSE('假设'!$B$3,AJ7005,AK7005,AL7005)</x:f>
        <x:v>0</x:v>
      </x:c>
      <x:c r="AN7005" t="n">
        <x:v>1</x:v>
      </x:c>
    </x:row>
    <x:row r="7006" ht="23" customHeight="1">
      <x:c r="A7006" s="11" t="str">
        <x:v>09995.HK</x:v>
      </x:c>
      <x:c r="B7006" s="11" t="str">
        <x:v>三年</x:v>
      </x:c>
      <x:c r="C7006" s="11" t="str">
        <x:v>RC48_foreign</x:v>
      </x:c>
      <x:c r="D7006" s="11" t="str">
        <x:v>2042-12-31</x:v>
      </x:c>
      <x:c r="E7006" s="11" t="str">
        <x:v>USD</x:v>
      </x:c>
      <x:c r="F7006" s="11" t="n">
        <x:v>13.22655715263518</x:v>
      </x:c>
      <x:c r="G7006" s="26" t="b">
        <x:v>1</x:v>
      </x:c>
      <x:c r="H7006" s="16" t="n">
        <x:v>0.5</x:v>
      </x:c>
      <x:c r="I7006" s="16" t="n">
        <x:v>0.5</x:v>
      </x:c>
      <x:c r="J7006" s="16" t="n">
        <x:v>0.48</x:v>
      </x:c>
      <x:c r="K7006" s="11" t="n">
        <x:f>CHOOSE('假设'!$B$3,H7006,I7006,J7006)</x:f>
        <x:v>0.5</x:v>
      </x:c>
      <x:c r="L7006" s="11" t="n">
        <x:f>K7006*'管线假设'!E1495*'管线假设'!F1495*'管线假设'!G1495*IF(E7006="USD",'管线假设'!I1495,1)-AM7006</x:f>
        <x:v>0.17363499999999998</x:v>
      </x:c>
      <x:c r="M7006" s="11" t="n">
        <x:f>'管线假设'!H1495</x:f>
        <x:v>0.14</x:v>
      </x:c>
      <x:c r="N7006" s="11" t="n">
        <x:f>IF(G7006,L7006*AN7006/(1+M7006)^F7006,0)</x:f>
        <x:v>0.03068894811360881</x:v>
      </x:c>
      <x:c r="AJ7006" s="42" t="n">
        <x:v>0</x:v>
      </x:c>
      <x:c r="AK7006" s="42" t="n">
        <x:v>0</x:v>
      </x:c>
      <x:c r="AL7006" s="42" t="n">
        <x:v>0</x:v>
      </x:c>
      <x:c r="AM7006" t="n">
        <x:f>CHOOSE('假设'!$B$3,AJ7006,AK7006,AL7006)</x:f>
        <x:v>0</x:v>
      </x:c>
      <x:c r="AN7006" t="n">
        <x:v>1</x:v>
      </x:c>
    </x:row>
    <x:row r="7007" ht="23" customHeight="1">
      <x:c r="A7007" s="11" t="str">
        <x:v>09995.HK</x:v>
      </x:c>
      <x:c r="B7007" s="11" t="str">
        <x:v>三年</x:v>
      </x:c>
      <x:c r="C7007" s="11" t="str">
        <x:v>RC48_foreign</x:v>
      </x:c>
      <x:c r="D7007" s="11" t="str">
        <x:v>2043-12-31</x:v>
      </x:c>
      <x:c r="E7007" s="11" t="str">
        <x:v>USD</x:v>
      </x:c>
      <x:c r="F7007" s="11" t="n">
        <x:v>14.225872689938399</x:v>
      </x:c>
      <x:c r="G7007" s="26" t="b">
        <x:v>1</x:v>
      </x:c>
      <x:c r="H7007" s="16" t="n">
        <x:v>0.35</x:v>
      </x:c>
      <x:c r="I7007" s="16" t="n">
        <x:v>0.3</x:v>
      </x:c>
      <x:c r="J7007" s="16" t="n">
        <x:v>0.28</x:v>
      </x:c>
      <x:c r="K7007" s="11" t="n">
        <x:f>CHOOSE('假设'!$B$3,H7007,I7007,J7007)</x:f>
        <x:v>0.3</x:v>
      </x:c>
      <x:c r="L7007" s="11" t="n">
        <x:f>K7007*'管线假设'!E1495*'管线假设'!F1495*'管线假设'!G1495*IF(E7007="USD",'管线假设'!I1495,1)-AM7007</x:f>
        <x:v>0.104181</x:v>
      </x:c>
      <x:c r="M7007" s="11" t="n">
        <x:f>'管线假设'!H1495</x:f>
        <x:v>0.14</x:v>
      </x:c>
      <x:c r="N7007" s="11" t="n">
        <x:f>IF(G7007,L7007*AN7007/(1+M7007)^F7007,0)</x:f>
        <x:v>0.01615352660176851</x:v>
      </x:c>
      <x:c r="AJ7007" s="42" t="n">
        <x:v>0</x:v>
      </x:c>
      <x:c r="AK7007" s="42" t="n">
        <x:v>0</x:v>
      </x:c>
      <x:c r="AL7007" s="42" t="n">
        <x:v>0</x:v>
      </x:c>
      <x:c r="AM7007" t="n">
        <x:f>CHOOSE('假设'!$B$3,AJ7007,AK7007,AL7007)</x:f>
        <x:v>0</x:v>
      </x:c>
      <x:c r="AN7007" t="n">
        <x:v>1</x:v>
      </x:c>
    </x:row>
    <x:row r="7008" ht="23" customHeight="1">
      <x:c r="A7008" s="11" t="str">
        <x:v>09995.HK</x:v>
      </x:c>
      <x:c r="B7008" s="11" t="str">
        <x:v>三年</x:v>
      </x:c>
      <x:c r="C7008" s="11" t="str">
        <x:v>RC48_foreign</x:v>
      </x:c>
      <x:c r="D7008" s="11" t="str">
        <x:v>2044-12-31</x:v>
      </x:c>
      <x:c r="E7008" s="11" t="str">
        <x:v>USD</x:v>
      </x:c>
      <x:c r="F7008" s="11" t="n">
        <x:v>15.227926078028748</x:v>
      </x:c>
      <x:c r="G7008" s="26" t="b">
        <x:v>1</x:v>
      </x:c>
      <x:c r="H7008" s="16" t="n">
        <x:v>0.2</x:v>
      </x:c>
      <x:c r="I7008" s="16" t="n">
        <x:v>0.17500000000000002</x:v>
      </x:c>
      <x:c r="J7008" s="16" t="n">
        <x:v>0.12</x:v>
      </x:c>
      <x:c r="K7008" s="11" t="n">
        <x:f>CHOOSE('假设'!$B$3,H7008,I7008,J7008)</x:f>
        <x:v>0.17500000000000002</x:v>
      </x:c>
      <x:c r="L7008" s="11" t="n">
        <x:f>K7008*'管线假设'!E1495*'管线假设'!F1495*'管线假设'!G1495*IF(E7008="USD",'管线假设'!I1495,1)-AM7008</x:f>
        <x:v>0.06077225</x:v>
      </x:c>
      <x:c r="M7008" s="11" t="n">
        <x:f>'管线假设'!H1495</x:f>
        <x:v>0.14</x:v>
      </x:c>
      <x:c r="N7008" s="11" t="n">
        <x:f>IF(G7008,L7008*AN7008/(1+M7008)^F7008,0)</x:f>
        <x:v>0.008263469835417807</x:v>
      </x:c>
      <x:c r="AJ7008" s="42" t="n">
        <x:v>0</x:v>
      </x:c>
      <x:c r="AK7008" s="42" t="n">
        <x:v>0</x:v>
      </x:c>
      <x:c r="AL7008" s="42" t="n">
        <x:v>0</x:v>
      </x:c>
      <x:c r="AM7008" t="n">
        <x:f>CHOOSE('假设'!$B$3,AJ7008,AK7008,AL7008)</x:f>
        <x:v>0</x:v>
      </x:c>
      <x:c r="AN7008" t="n">
        <x:v>1</x:v>
      </x:c>
    </x:row>
    <x:row r="7009" ht="23" customHeight="1">
      <x:c r="A7009" s="11" t="str">
        <x:v>09995.HK</x:v>
      </x:c>
      <x:c r="B7009" s="11" t="str">
        <x:v>三年</x:v>
      </x:c>
      <x:c r="C7009" s="11" t="str">
        <x:v>RC28_China</x:v>
      </x:c>
      <x:c r="D7009" s="11" t="str">
        <x:v>2026-12-31</x:v>
      </x:c>
      <x:c r="E7009" s="11" t="str">
        <x:v>CNY</x:v>
      </x:c>
      <x:c r="F7009" s="11" t="n">
        <x:v>-2.7734428473648185</x:v>
      </x:c>
      <x:c r="G7009" s="26" t="b">
        <x:v>0</x:v>
      </x:c>
      <x:c r="H7009" s="16" t="n">
        <x:v>0</x:v>
      </x:c>
      <x:c r="I7009" s="16" t="n">
        <x:v>0</x:v>
      </x:c>
      <x:c r="J7009" s="16" t="n">
        <x:v>0</x:v>
      </x:c>
      <x:c r="K7009" s="11" t="n">
        <x:f>CHOOSE('假设'!$B$3,H7009,I7009,J7009)</x:f>
        <x:v>0</x:v>
      </x:c>
      <x:c r="L7009" s="11" t="n">
        <x:f>K7009*'管线假设'!E1499*'管线假设'!F1499*'管线假设'!G1499*IF(E7009="USD",'管线假设'!I1499,1)-AM7009</x:f>
        <x:v>-0.08</x:v>
      </x:c>
      <x:c r="M7009" s="11" t="n">
        <x:f>'管线假设'!H1499</x:f>
        <x:v>0.14</x:v>
      </x:c>
      <x:c r="N7009" s="11" t="n">
        <x:f>IF(G7009,L7009*AN7009/(1+M7009)^F7009,0)</x:f>
        <x:v>0</x:v>
      </x:c>
      <x:c r="AJ7009" s="42" t="n">
        <x:v>0.04</x:v>
      </x:c>
      <x:c r="AK7009" s="42" t="n">
        <x:v>0.08</x:v>
      </x:c>
      <x:c r="AL7009" s="42" t="n">
        <x:v>0.12</x:v>
      </x:c>
      <x:c r="AM7009" t="n">
        <x:f>CHOOSE('假设'!$B$3,AJ7009,AK7009,AL7009)</x:f>
        <x:v>0.08</x:v>
      </x:c>
      <x:c r="AN7009" t="n">
        <x:v>0</x:v>
      </x:c>
    </x:row>
    <x:row r="7010" ht="23" customHeight="1">
      <x:c r="A7010" s="11" t="str">
        <x:v>09995.HK</x:v>
      </x:c>
      <x:c r="B7010" s="11" t="str">
        <x:v>三年</x:v>
      </x:c>
      <x:c r="C7010" s="11" t="str">
        <x:v>RC28_China</x:v>
      </x:c>
      <x:c r="D7010" s="11" t="str">
        <x:v>2027-12-31</x:v>
      </x:c>
      <x:c r="E7010" s="11" t="str">
        <x:v>CNY</x:v>
      </x:c>
      <x:c r="F7010" s="11" t="n">
        <x:v>-1.7741273100616017</x:v>
      </x:c>
      <x:c r="G7010" s="26" t="b">
        <x:v>0</x:v>
      </x:c>
      <x:c r="H7010" s="16" t="n">
        <x:v>0</x:v>
      </x:c>
      <x:c r="I7010" s="16" t="n">
        <x:v>0</x:v>
      </x:c>
      <x:c r="J7010" s="16" t="n">
        <x:v>0</x:v>
      </x:c>
      <x:c r="K7010" s="11" t="n">
        <x:f>CHOOSE('假设'!$B$3,H7010,I7010,J7010)</x:f>
        <x:v>0</x:v>
      </x:c>
      <x:c r="L7010" s="11" t="n">
        <x:f>K7010*'管线假设'!E1499*'管线假设'!F1499*'管线假设'!G1499*IF(E7010="USD",'管线假设'!I1499,1)-AM7010</x:f>
        <x:v>-0.1</x:v>
      </x:c>
      <x:c r="M7010" s="11" t="n">
        <x:f>'管线假设'!H1499</x:f>
        <x:v>0.14</x:v>
      </x:c>
      <x:c r="N7010" s="11" t="n">
        <x:f>IF(G7010,L7010*AN7010/(1+M7010)^F7010,0)</x:f>
        <x:v>0</x:v>
      </x:c>
      <x:c r="AJ7010" s="42" t="n">
        <x:v>0.04</x:v>
      </x:c>
      <x:c r="AK7010" s="42" t="n">
        <x:v>0.1</x:v>
      </x:c>
      <x:c r="AL7010" s="42" t="n">
        <x:v>0.15</x:v>
      </x:c>
      <x:c r="AM7010" t="n">
        <x:f>CHOOSE('假设'!$B$3,AJ7010,AK7010,AL7010)</x:f>
        <x:v>0.1</x:v>
      </x:c>
      <x:c r="AN7010" t="n">
        <x:v>0</x:v>
      </x:c>
    </x:row>
    <x:row r="7011" ht="23" customHeight="1">
      <x:c r="A7011" s="11" t="str">
        <x:v>09995.HK</x:v>
      </x:c>
      <x:c r="B7011" s="11" t="str">
        <x:v>三年</x:v>
      </x:c>
      <x:c r="C7011" s="11" t="str">
        <x:v>RC28_China</x:v>
      </x:c>
      <x:c r="D7011" s="11" t="str">
        <x:v>2028-12-31</x:v>
      </x:c>
      <x:c r="E7011" s="11" t="str">
        <x:v>CNY</x:v>
      </x:c>
      <x:c r="F7011" s="11" t="n">
        <x:v>-0.7720739219712526</x:v>
      </x:c>
      <x:c r="G7011" s="26" t="b">
        <x:v>0</x:v>
      </x:c>
      <x:c r="H7011" s="16" t="n">
        <x:v>0</x:v>
      </x:c>
      <x:c r="I7011" s="16" t="n">
        <x:v>0</x:v>
      </x:c>
      <x:c r="J7011" s="16" t="n">
        <x:v>0</x:v>
      </x:c>
      <x:c r="K7011" s="11" t="n">
        <x:f>CHOOSE('假设'!$B$3,H7011,I7011,J7011)</x:f>
        <x:v>0</x:v>
      </x:c>
      <x:c r="L7011" s="11" t="n">
        <x:f>K7011*'管线假设'!E1499*'管线假设'!F1499*'管线假设'!G1499*IF(E7011="USD",'管线假设'!I1499,1)-AM7011</x:f>
        <x:v>-0.07</x:v>
      </x:c>
      <x:c r="M7011" s="11" t="n">
        <x:f>'管线假设'!H1499</x:f>
        <x:v>0.14</x:v>
      </x:c>
      <x:c r="N7011" s="11" t="n">
        <x:f>IF(G7011,L7011*AN7011/(1+M7011)^F7011,0)</x:f>
        <x:v>0</x:v>
      </x:c>
      <x:c r="AJ7011" s="42" t="n">
        <x:v>0</x:v>
      </x:c>
      <x:c r="AK7011" s="42" t="n">
        <x:v>0.07</x:v>
      </x:c>
      <x:c r="AL7011" s="42" t="n">
        <x:v>0.08</x:v>
      </x:c>
      <x:c r="AM7011" t="n">
        <x:f>CHOOSE('假设'!$B$3,AJ7011,AK7011,AL7011)</x:f>
        <x:v>0.07</x:v>
      </x:c>
      <x:c r="AN7011" t="n">
        <x:v>0</x:v>
      </x:c>
    </x:row>
    <x:row r="7012" ht="23" customHeight="1">
      <x:c r="A7012" s="11" t="str">
        <x:v>09995.HK</x:v>
      </x:c>
      <x:c r="B7012" s="11" t="str">
        <x:v>三年</x:v>
      </x:c>
      <x:c r="C7012" s="11" t="str">
        <x:v>RC28_China</x:v>
      </x:c>
      <x:c r="D7012" s="11" t="str">
        <x:v>2029-12-31</x:v>
      </x:c>
      <x:c r="E7012" s="11" t="str">
        <x:v>CNY</x:v>
      </x:c>
      <x:c r="F7012" s="11" t="n">
        <x:v>0.2272416153319644</x:v>
      </x:c>
      <x:c r="G7012" s="26" t="b">
        <x:v>1</x:v>
      </x:c>
      <x:c r="H7012" s="16" t="n">
        <x:v>0</x:v>
      </x:c>
      <x:c r="I7012" s="16" t="n">
        <x:v>0</x:v>
      </x:c>
      <x:c r="J7012" s="16" t="n">
        <x:v>0.18</x:v>
      </x:c>
      <x:c r="K7012" s="11" t="n">
        <x:f>CHOOSE('假设'!$B$3,H7012,I7012,J7012)</x:f>
        <x:v>0</x:v>
      </x:c>
      <x:c r="L7012" s="11" t="n">
        <x:f>K7012*'管线假设'!E1499*'管线假设'!F1499*'管线假设'!G1499*IF(E7012="USD",'管线假设'!I1499,1)-AM7012</x:f>
        <x:v>0</x:v>
      </x:c>
      <x:c r="M7012" s="11" t="n">
        <x:f>'管线假设'!H1499</x:f>
        <x:v>0.14</x:v>
      </x:c>
      <x:c r="N7012" s="11" t="n">
        <x:f>IF(G7012,L7012*AN7012/(1+M7012)^F7012,0)</x:f>
        <x:v>0</x:v>
      </x:c>
      <x:c r="AJ7012" s="42" t="n">
        <x:v>0</x:v>
      </x:c>
      <x:c r="AK7012" s="42" t="n">
        <x:v>0</x:v>
      </x:c>
      <x:c r="AL7012" s="42" t="n">
        <x:v>0</x:v>
      </x:c>
      <x:c r="AM7012" t="n">
        <x:f>CHOOSE('假设'!$B$3,AJ7012,AK7012,AL7012)</x:f>
        <x:v>0</x:v>
      </x:c>
      <x:c r="AN7012" t="n">
        <x:v>0.22802197802197802</x:v>
      </x:c>
    </x:row>
    <x:row r="7013" ht="23" customHeight="1">
      <x:c r="A7013" s="11" t="str">
        <x:v>09995.HK</x:v>
      </x:c>
      <x:c r="B7013" s="11" t="str">
        <x:v>三年</x:v>
      </x:c>
      <x:c r="C7013" s="11" t="str">
        <x:v>RC28_China</x:v>
      </x:c>
      <x:c r="D7013" s="11" t="str">
        <x:v>2030-12-31</x:v>
      </x:c>
      <x:c r="E7013" s="11" t="str">
        <x:v>CNY</x:v>
      </x:c>
      <x:c r="F7013" s="11" t="n">
        <x:v>1.2265571526351813</x:v>
      </x:c>
      <x:c r="G7013" s="26" t="b">
        <x:v>1</x:v>
      </x:c>
      <x:c r="H7013" s="16" t="n">
        <x:v>0</x:v>
      </x:c>
      <x:c r="I7013" s="16" t="n">
        <x:v>0.09</x:v>
      </x:c>
      <x:c r="J7013" s="16" t="n">
        <x:v>0.54</x:v>
      </x:c>
      <x:c r="K7013" s="11" t="n">
        <x:f>CHOOSE('假设'!$B$3,H7013,I7013,J7013)</x:f>
        <x:v>0.09</x:v>
      </x:c>
      <x:c r="L7013" s="11" t="n">
        <x:f>K7013*'管线假设'!E1499*'管线假设'!F1499*'管线假设'!G1499*IF(E7013="USD",'管线假设'!I1499,1)-AM7013</x:f>
        <x:v>0.0030995999999999997</x:v>
      </x:c>
      <x:c r="M7013" s="11" t="n">
        <x:f>'管线假设'!H1499</x:f>
        <x:v>0.14</x:v>
      </x:c>
      <x:c r="N7013" s="11" t="n">
        <x:f>IF(G7013,L7013*AN7013/(1+M7013)^F7013,0)</x:f>
        <x:v>0.0026394205870179216</x:v>
      </x:c>
      <x:c r="AJ7013" s="42" t="n">
        <x:v>0</x:v>
      </x:c>
      <x:c r="AK7013" s="42" t="n">
        <x:v>0</x:v>
      </x:c>
      <x:c r="AL7013" s="42" t="n">
        <x:v>0</x:v>
      </x:c>
      <x:c r="AM7013" t="n">
        <x:f>CHOOSE('假设'!$B$3,AJ7013,AK7013,AL7013)</x:f>
        <x:v>0</x:v>
      </x:c>
      <x:c r="AN7013" t="n">
        <x:v>1</x:v>
      </x:c>
    </x:row>
    <x:row r="7014" ht="23" customHeight="1">
      <x:c r="A7014" s="11" t="str">
        <x:v>09995.HK</x:v>
      </x:c>
      <x:c r="B7014" s="11" t="str">
        <x:v>三年</x:v>
      </x:c>
      <x:c r="C7014" s="11" t="str">
        <x:v>RC28_China</x:v>
      </x:c>
      <x:c r="D7014" s="11" t="str">
        <x:v>2031-12-31</x:v>
      </x:c>
      <x:c r="E7014" s="11" t="str">
        <x:v>CNY</x:v>
      </x:c>
      <x:c r="F7014" s="11" t="n">
        <x:v>2.2258726899383983</x:v>
      </x:c>
      <x:c r="G7014" s="26" t="b">
        <x:v>1</x:v>
      </x:c>
      <x:c r="H7014" s="16" t="n">
        <x:v>0</x:v>
      </x:c>
      <x:c r="I7014" s="16" t="n">
        <x:v>0.27</x:v>
      </x:c>
      <x:c r="J7014" s="16" t="n">
        <x:v>1.1400000000000001</x:v>
      </x:c>
      <x:c r="K7014" s="11" t="n">
        <x:f>CHOOSE('假设'!$B$3,H7014,I7014,J7014)</x:f>
        <x:v>0.27</x:v>
      </x:c>
      <x:c r="L7014" s="11" t="n">
        <x:f>K7014*'管线假设'!E1499*'管线假设'!F1499*'管线假设'!G1499*IF(E7014="USD",'管线假设'!I1499,1)-AM7014</x:f>
        <x:v>0.0092988</x:v>
      </x:c>
      <x:c r="M7014" s="11" t="n">
        <x:f>'管线假设'!H1499</x:f>
        <x:v>0.14</x:v>
      </x:c>
      <x:c r="N7014" s="11" t="n">
        <x:f>IF(G7014,L7014*AN7014/(1+M7014)^F7014,0)</x:f>
        <x:v>0.006946466608730529</x:v>
      </x:c>
      <x:c r="AJ7014" s="42" t="n">
        <x:v>0</x:v>
      </x:c>
      <x:c r="AK7014" s="42" t="n">
        <x:v>0</x:v>
      </x:c>
      <x:c r="AL7014" s="42" t="n">
        <x:v>0</x:v>
      </x:c>
      <x:c r="AM7014" t="n">
        <x:f>CHOOSE('假设'!$B$3,AJ7014,AK7014,AL7014)</x:f>
        <x:v>0</x:v>
      </x:c>
      <x:c r="AN7014" t="n">
        <x:v>1</x:v>
      </x:c>
    </x:row>
    <x:row r="7015" ht="23" customHeight="1">
      <x:c r="A7015" s="11" t="str">
        <x:v>09995.HK</x:v>
      </x:c>
      <x:c r="B7015" s="11" t="str">
        <x:v>三年</x:v>
      </x:c>
      <x:c r="C7015" s="11" t="str">
        <x:v>RC28_China</x:v>
      </x:c>
      <x:c r="D7015" s="11" t="str">
        <x:v>2032-12-31</x:v>
      </x:c>
      <x:c r="E7015" s="11" t="str">
        <x:v>CNY</x:v>
      </x:c>
      <x:c r="F7015" s="11" t="n">
        <x:v>3.2279260780287475</x:v>
      </x:c>
      <x:c r="G7015" s="26" t="b">
        <x:v>1</x:v>
      </x:c>
      <x:c r="H7015" s="16" t="n">
        <x:v>0.03</x:v>
      </x:c>
      <x:c r="I7015" s="16" t="n">
        <x:v>0.5700000000000001</x:v>
      </x:c>
      <x:c r="J7015" s="16" t="n">
        <x:v>1.9500000000000002</x:v>
      </x:c>
      <x:c r="K7015" s="11" t="n">
        <x:f>CHOOSE('假设'!$B$3,H7015,I7015,J7015)</x:f>
        <x:v>0.5700000000000001</x:v>
      </x:c>
      <x:c r="L7015" s="11" t="n">
        <x:f>K7015*'管线假设'!E1499*'管线假设'!F1499*'管线假设'!G1499*IF(E7015="USD",'管线假设'!I1499,1)-AM7015</x:f>
        <x:v>0.019630799999999997</x:v>
      </x:c>
      <x:c r="M7015" s="11" t="n">
        <x:f>'管线假设'!H1499</x:f>
        <x:v>0.14</x:v>
      </x:c>
      <x:c r="N7015" s="11" t="n">
        <x:f>IF(G7015,L7015*AN7015/(1+M7015)^F7015,0)</x:f>
        <x:v>0.01286036648199278</x:v>
      </x:c>
      <x:c r="AJ7015" s="42" t="n">
        <x:v>0</x:v>
      </x:c>
      <x:c r="AK7015" s="42" t="n">
        <x:v>0</x:v>
      </x:c>
      <x:c r="AL7015" s="42" t="n">
        <x:v>0</x:v>
      </x:c>
      <x:c r="AM7015" t="n">
        <x:f>CHOOSE('假设'!$B$3,AJ7015,AK7015,AL7015)</x:f>
        <x:v>0</x:v>
      </x:c>
      <x:c r="AN7015" t="n">
        <x:v>1</x:v>
      </x:c>
    </x:row>
    <x:row r="7016" ht="23" customHeight="1">
      <x:c r="A7016" s="11" t="str">
        <x:v>09995.HK</x:v>
      </x:c>
      <x:c r="B7016" s="11" t="str">
        <x:v>三年</x:v>
      </x:c>
      <x:c r="C7016" s="11" t="str">
        <x:v>RC28_China</x:v>
      </x:c>
      <x:c r="D7016" s="11" t="str">
        <x:v>2033-12-31</x:v>
      </x:c>
      <x:c r="E7016" s="11" t="str">
        <x:v>CNY</x:v>
      </x:c>
      <x:c r="F7016" s="11" t="n">
        <x:v>4.227241615331964</x:v>
      </x:c>
      <x:c r="G7016" s="26" t="b">
        <x:v>1</x:v>
      </x:c>
      <x:c r="H7016" s="16" t="n">
        <x:v>0.09</x:v>
      </x:c>
      <x:c r="I7016" s="16" t="n">
        <x:v>0.9750000000000001</x:v>
      </x:c>
      <x:c r="J7016" s="16" t="n">
        <x:v>2.55</x:v>
      </x:c>
      <x:c r="K7016" s="11" t="n">
        <x:f>CHOOSE('假设'!$B$3,H7016,I7016,J7016)</x:f>
        <x:v>0.9750000000000001</x:v>
      </x:c>
      <x:c r="L7016" s="11" t="n">
        <x:f>K7016*'管线假设'!E1499*'管线假设'!F1499*'管线假设'!G1499*IF(E7016="USD",'管线假设'!I1499,1)-AM7016</x:f>
        <x:v>0.033579</x:v>
      </x:c>
      <x:c r="M7016" s="11" t="n">
        <x:f>'管线假设'!H1499</x:f>
        <x:v>0.14</x:v>
      </x:c>
      <x:c r="N7016" s="11" t="n">
        <x:f>IF(G7016,L7016*AN7016/(1+M7016)^F7016,0)</x:f>
        <x:v>0.019298217766577527</x:v>
      </x:c>
      <x:c r="AJ7016" s="42" t="n">
        <x:v>0</x:v>
      </x:c>
      <x:c r="AK7016" s="42" t="n">
        <x:v>0</x:v>
      </x:c>
      <x:c r="AL7016" s="42" t="n">
        <x:v>0</x:v>
      </x:c>
      <x:c r="AM7016" t="n">
        <x:f>CHOOSE('假设'!$B$3,AJ7016,AK7016,AL7016)</x:f>
        <x:v>0</x:v>
      </x:c>
      <x:c r="AN7016" t="n">
        <x:v>1</x:v>
      </x:c>
    </x:row>
    <x:row r="7017" ht="23" customHeight="1">
      <x:c r="A7017" s="11" t="str">
        <x:v>09995.HK</x:v>
      </x:c>
      <x:c r="B7017" s="11" t="str">
        <x:v>三年</x:v>
      </x:c>
      <x:c r="C7017" s="11" t="str">
        <x:v>RC28_China</x:v>
      </x:c>
      <x:c r="D7017" s="11" t="str">
        <x:v>2034-12-31</x:v>
      </x:c>
      <x:c r="E7017" s="11" t="str">
        <x:v>CNY</x:v>
      </x:c>
      <x:c r="F7017" s="11" t="n">
        <x:v>5.2265571526351815</x:v>
      </x:c>
      <x:c r="G7017" s="26" t="b">
        <x:v>1</x:v>
      </x:c>
      <x:c r="H7017" s="16" t="n">
        <x:v>0.19</x:v>
      </x:c>
      <x:c r="I7017" s="16" t="n">
        <x:v>1.275</x:v>
      </x:c>
      <x:c r="J7017" s="16" t="n">
        <x:v>3</x:v>
      </x:c>
      <x:c r="K7017" s="11" t="n">
        <x:f>CHOOSE('假设'!$B$3,H7017,I7017,J7017)</x:f>
        <x:v>1.275</x:v>
      </x:c>
      <x:c r="L7017" s="11" t="n">
        <x:f>K7017*'管线假设'!E1499*'管线假设'!F1499*'管线假设'!G1499*IF(E7017="USD",'管线假设'!I1499,1)-AM7017</x:f>
        <x:v>0.043910999999999985</x:v>
      </x:c>
      <x:c r="M7017" s="11" t="n">
        <x:f>'管线假设'!H1499</x:f>
        <x:v>0.14</x:v>
      </x:c>
      <x:c r="N7017" s="11" t="n">
        <x:f>IF(G7017,L7017*AN7017/(1+M7017)^F7017,0)</x:f>
        <x:v>0.022138942371157252</x:v>
      </x:c>
      <x:c r="AJ7017" s="42" t="n">
        <x:v>0</x:v>
      </x:c>
      <x:c r="AK7017" s="42" t="n">
        <x:v>0</x:v>
      </x:c>
      <x:c r="AL7017" s="42" t="n">
        <x:v>0</x:v>
      </x:c>
      <x:c r="AM7017" t="n">
        <x:f>CHOOSE('假设'!$B$3,AJ7017,AK7017,AL7017)</x:f>
        <x:v>0</x:v>
      </x:c>
      <x:c r="AN7017" t="n">
        <x:v>1</x:v>
      </x:c>
    </x:row>
    <x:row r="7018" ht="23" customHeight="1">
      <x:c r="A7018" s="11" t="str">
        <x:v>09995.HK</x:v>
      </x:c>
      <x:c r="B7018" s="11" t="str">
        <x:v>三年</x:v>
      </x:c>
      <x:c r="C7018" s="11" t="str">
        <x:v>RC28_China</x:v>
      </x:c>
      <x:c r="D7018" s="11" t="str">
        <x:v>2035-12-31</x:v>
      </x:c>
      <x:c r="E7018" s="11" t="str">
        <x:v>CNY</x:v>
      </x:c>
      <x:c r="F7018" s="11" t="n">
        <x:v>6.225872689938399</x:v>
      </x:c>
      <x:c r="G7018" s="26" t="b">
        <x:v>1</x:v>
      </x:c>
      <x:c r="H7018" s="16" t="n">
        <x:v>0.325</x:v>
      </x:c>
      <x:c r="I7018" s="16" t="n">
        <x:v>1.5</x:v>
      </x:c>
      <x:c r="J7018" s="16" t="n">
        <x:v>3</x:v>
      </x:c>
      <x:c r="K7018" s="11" t="n">
        <x:f>CHOOSE('假设'!$B$3,H7018,I7018,J7018)</x:f>
        <x:v>1.5</x:v>
      </x:c>
      <x:c r="L7018" s="11" t="n">
        <x:f>K7018*'管线假设'!E1499*'管线假设'!F1499*'管线假设'!G1499*IF(E7018="USD",'管线假设'!I1499,1)-AM7018</x:f>
        <x:v>0.051659999999999984</x:v>
      </x:c>
      <x:c r="M7018" s="11" t="n">
        <x:f>'管线假设'!H1499</x:f>
        <x:v>0.14</x:v>
      </x:c>
      <x:c r="N7018" s="11" t="n">
        <x:f>IF(G7018,L7018*AN7018/(1+M7018)^F7018,0)</x:f>
        <x:v>0.02284925486911072</x:v>
      </x:c>
      <x:c r="AJ7018" s="42" t="n">
        <x:v>0</x:v>
      </x:c>
      <x:c r="AK7018" s="42" t="n">
        <x:v>0</x:v>
      </x:c>
      <x:c r="AL7018" s="42" t="n">
        <x:v>0</x:v>
      </x:c>
      <x:c r="AM7018" t="n">
        <x:f>CHOOSE('假设'!$B$3,AJ7018,AK7018,AL7018)</x:f>
        <x:v>0</x:v>
      </x:c>
      <x:c r="AN7018" t="n">
        <x:v>1</x:v>
      </x:c>
    </x:row>
    <x:row r="7019" ht="23" customHeight="1">
      <x:c r="A7019" s="11" t="str">
        <x:v>09995.HK</x:v>
      </x:c>
      <x:c r="B7019" s="11" t="str">
        <x:v>三年</x:v>
      </x:c>
      <x:c r="C7019" s="11" t="str">
        <x:v>RC28_China</x:v>
      </x:c>
      <x:c r="D7019" s="11" t="str">
        <x:v>2036-12-31</x:v>
      </x:c>
      <x:c r="E7019" s="11" t="str">
        <x:v>CNY</x:v>
      </x:c>
      <x:c r="F7019" s="11" t="n">
        <x:v>7.227926078028747</x:v>
      </x:c>
      <x:c r="G7019" s="26" t="b">
        <x:v>1</x:v>
      </x:c>
      <x:c r="H7019" s="16" t="n">
        <x:v>0.425</x:v>
      </x:c>
      <x:c r="I7019" s="16" t="n">
        <x:v>1.5</x:v>
      </x:c>
      <x:c r="J7019" s="16" t="n">
        <x:v>2.8499999999999996</x:v>
      </x:c>
      <x:c r="K7019" s="11" t="n">
        <x:f>CHOOSE('假设'!$B$3,H7019,I7019,J7019)</x:f>
        <x:v>1.5</x:v>
      </x:c>
      <x:c r="L7019" s="11" t="n">
        <x:f>K7019*'管线假设'!E1499*'管线假设'!F1499*'管线假设'!G1499*IF(E7019="USD",'管线假设'!I1499,1)-AM7019</x:f>
        <x:v>0.051659999999999984</x:v>
      </x:c>
      <x:c r="M7019" s="11" t="n">
        <x:f>'管线假设'!H1499</x:f>
        <x:v>0.14</x:v>
      </x:c>
      <x:c r="N7019" s="11" t="n">
        <x:f>IF(G7019,L7019*AN7019/(1+M7019)^F7019,0)</x:f>
        <x:v>0.02003781408879098</x:v>
      </x:c>
      <x:c r="AJ7019" s="42" t="n">
        <x:v>0</x:v>
      </x:c>
      <x:c r="AK7019" s="42" t="n">
        <x:v>0</x:v>
      </x:c>
      <x:c r="AL7019" s="42" t="n">
        <x:v>0</x:v>
      </x:c>
      <x:c r="AM7019" t="n">
        <x:f>CHOOSE('假设'!$B$3,AJ7019,AK7019,AL7019)</x:f>
        <x:v>0</x:v>
      </x:c>
      <x:c r="AN7019" t="n">
        <x:v>1</x:v>
      </x:c>
    </x:row>
    <x:row r="7020" ht="23" customHeight="1">
      <x:c r="A7020" s="11" t="str">
        <x:v>09995.HK</x:v>
      </x:c>
      <x:c r="B7020" s="11" t="str">
        <x:v>三年</x:v>
      </x:c>
      <x:c r="C7020" s="11" t="str">
        <x:v>RC28_China</x:v>
      </x:c>
      <x:c r="D7020" s="11" t="str">
        <x:v>2037-12-31</x:v>
      </x:c>
      <x:c r="E7020" s="11" t="str">
        <x:v>CNY</x:v>
      </x:c>
      <x:c r="F7020" s="11" t="n">
        <x:v>8.227241615331964</x:v>
      </x:c>
      <x:c r="G7020" s="26" t="b">
        <x:v>1</x:v>
      </x:c>
      <x:c r="H7020" s="16" t="n">
        <x:v>0.5</x:v>
      </x:c>
      <x:c r="I7020" s="16" t="n">
        <x:v>1.4249999999999998</x:v>
      </x:c>
      <x:c r="J7020" s="16" t="n">
        <x:v>2.7</x:v>
      </x:c>
      <x:c r="K7020" s="11" t="n">
        <x:f>CHOOSE('假设'!$B$3,H7020,I7020,J7020)</x:f>
        <x:v>1.4249999999999998</x:v>
      </x:c>
      <x:c r="L7020" s="11" t="n">
        <x:f>K7020*'管线假设'!E1499*'管线假设'!F1499*'管线假设'!G1499*IF(E7020="USD",'管线假设'!I1499,1)-AM7020</x:f>
        <x:v>0.04907699999999999</x:v>
      </x:c>
      <x:c r="M7020" s="11" t="n">
        <x:f>'管线假设'!H1499</x:f>
        <x:v>0.14</x:v>
      </x:c>
      <x:c r="N7020" s="11" t="n">
        <x:f>IF(G7020,L7020*AN7020/(1+M7020)^F7020,0)</x:f>
        <x:v>0.016699676033209633</x:v>
      </x:c>
      <x:c r="AJ7020" s="42" t="n">
        <x:v>0</x:v>
      </x:c>
      <x:c r="AK7020" s="42" t="n">
        <x:v>0</x:v>
      </x:c>
      <x:c r="AL7020" s="42" t="n">
        <x:v>0</x:v>
      </x:c>
      <x:c r="AM7020" t="n">
        <x:f>CHOOSE('假设'!$B$3,AJ7020,AK7020,AL7020)</x:f>
        <x:v>0</x:v>
      </x:c>
      <x:c r="AN7020" t="n">
        <x:v>1</x:v>
      </x:c>
    </x:row>
    <x:row r="7021" ht="23" customHeight="1">
      <x:c r="A7021" s="11" t="str">
        <x:v>09995.HK</x:v>
      </x:c>
      <x:c r="B7021" s="11" t="str">
        <x:v>三年</x:v>
      </x:c>
      <x:c r="C7021" s="11" t="str">
        <x:v>RC28_China</x:v>
      </x:c>
      <x:c r="D7021" s="11" t="str">
        <x:v>2038-12-31</x:v>
      </x:c>
      <x:c r="E7021" s="11" t="str">
        <x:v>CNY</x:v>
      </x:c>
      <x:c r="F7021" s="11" t="n">
        <x:v>9.22655715263518</x:v>
      </x:c>
      <x:c r="G7021" s="26" t="b">
        <x:v>1</x:v>
      </x:c>
      <x:c r="H7021" s="16" t="n">
        <x:v>0.5</x:v>
      </x:c>
      <x:c r="I7021" s="16" t="n">
        <x:v>1.35</x:v>
      </x:c>
      <x:c r="J7021" s="16" t="n">
        <x:v>2.4000000000000004</x:v>
      </x:c>
      <x:c r="K7021" s="11" t="n">
        <x:f>CHOOSE('假设'!$B$3,H7021,I7021,J7021)</x:f>
        <x:v>1.35</x:v>
      </x:c>
      <x:c r="L7021" s="11" t="n">
        <x:f>K7021*'管线假设'!E1499*'管线假设'!F1499*'管线假设'!G1499*IF(E7021="USD",'管线假设'!I1499,1)-AM7021</x:f>
        <x:v>0.046493999999999994</x:v>
      </x:c>
      <x:c r="M7021" s="11" t="n">
        <x:f>'管线假设'!H1499</x:f>
        <x:v>0.14</x:v>
      </x:c>
      <x:c r="N7021" s="11" t="n">
        <x:f>IF(G7021,L7021*AN7021/(1+M7021)^F7021,0)</x:f>
        <x:v>0.013879091795079632</x:v>
      </x:c>
      <x:c r="AJ7021" s="42" t="n">
        <x:v>0</x:v>
      </x:c>
      <x:c r="AK7021" s="42" t="n">
        <x:v>0</x:v>
      </x:c>
      <x:c r="AL7021" s="42" t="n">
        <x:v>0</x:v>
      </x:c>
      <x:c r="AM7021" t="n">
        <x:f>CHOOSE('假设'!$B$3,AJ7021,AK7021,AL7021)</x:f>
        <x:v>0</x:v>
      </x:c>
      <x:c r="AN7021" t="n">
        <x:v>1</x:v>
      </x:c>
    </x:row>
    <x:row r="7022" ht="23" customHeight="1">
      <x:c r="A7022" s="11" t="str">
        <x:v>09995.HK</x:v>
      </x:c>
      <x:c r="B7022" s="11" t="str">
        <x:v>三年</x:v>
      </x:c>
      <x:c r="C7022" s="11" t="str">
        <x:v>RC28_China</x:v>
      </x:c>
      <x:c r="D7022" s="11" t="str">
        <x:v>2039-12-31</x:v>
      </x:c>
      <x:c r="E7022" s="11" t="str">
        <x:v>CNY</x:v>
      </x:c>
      <x:c r="F7022" s="11" t="n">
        <x:v>10.225872689938399</x:v>
      </x:c>
      <x:c r="G7022" s="26" t="b">
        <x:v>1</x:v>
      </x:c>
      <x:c r="H7022" s="16" t="n">
        <x:v>0.475</x:v>
      </x:c>
      <x:c r="I7022" s="16" t="n">
        <x:v>1.2000000000000002</x:v>
      </x:c>
      <x:c r="J7022" s="16" t="n">
        <x:v>1.9500000000000002</x:v>
      </x:c>
      <x:c r="K7022" s="11" t="n">
        <x:f>CHOOSE('假设'!$B$3,H7022,I7022,J7022)</x:f>
        <x:v>1.2000000000000002</x:v>
      </x:c>
      <x:c r="L7022" s="11" t="n">
        <x:f>K7022*'管线假设'!E1499*'管线假设'!F1499*'管线假设'!G1499*IF(E7022="USD",'管线假设'!I1499,1)-AM7022</x:f>
        <x:v>0.041328</x:v>
      </x:c>
      <x:c r="M7022" s="11" t="n">
        <x:f>'管线假设'!H1499</x:f>
        <x:v>0.14</x:v>
      </x:c>
      <x:c r="N7022" s="11" t="n">
        <x:f>IF(G7022,L7022*AN7022/(1+M7022)^F7022,0)</x:f>
        <x:v>0.010822874528484185</x:v>
      </x:c>
      <x:c r="AJ7022" s="42" t="n">
        <x:v>0</x:v>
      </x:c>
      <x:c r="AK7022" s="42" t="n">
        <x:v>0</x:v>
      </x:c>
      <x:c r="AL7022" s="42" t="n">
        <x:v>0</x:v>
      </x:c>
      <x:c r="AM7022" t="n">
        <x:f>CHOOSE('假设'!$B$3,AJ7022,AK7022,AL7022)</x:f>
        <x:v>0</x:v>
      </x:c>
      <x:c r="AN7022" t="n">
        <x:v>1</x:v>
      </x:c>
    </x:row>
    <x:row r="7023" ht="23" customHeight="1">
      <x:c r="A7023" s="11" t="str">
        <x:v>09995.HK</x:v>
      </x:c>
      <x:c r="B7023" s="11" t="str">
        <x:v>三年</x:v>
      </x:c>
      <x:c r="C7023" s="11" t="str">
        <x:v>RC28_China</x:v>
      </x:c>
      <x:c r="D7023" s="11" t="str">
        <x:v>2040-12-31</x:v>
      </x:c>
      <x:c r="E7023" s="11" t="str">
        <x:v>CNY</x:v>
      </x:c>
      <x:c r="F7023" s="11" t="n">
        <x:v>11.227926078028748</x:v>
      </x:c>
      <x:c r="G7023" s="26" t="b">
        <x:v>1</x:v>
      </x:c>
      <x:c r="H7023" s="16" t="n">
        <x:v>0.45</x:v>
      </x:c>
      <x:c r="I7023" s="16" t="n">
        <x:v>0.9750000000000001</x:v>
      </x:c>
      <x:c r="J7023" s="16" t="n">
        <x:v>1.5</x:v>
      </x:c>
      <x:c r="K7023" s="11" t="n">
        <x:f>CHOOSE('假设'!$B$3,H7023,I7023,J7023)</x:f>
        <x:v>0.9750000000000001</x:v>
      </x:c>
      <x:c r="L7023" s="11" t="n">
        <x:f>K7023*'管线假设'!E1499*'管线假设'!F1499*'管线假设'!G1499*IF(E7023="USD",'管线假设'!I1499,1)-AM7023</x:f>
        <x:v>0.033579</x:v>
      </x:c>
      <x:c r="M7023" s="11" t="n">
        <x:f>'管线假设'!H1499</x:f>
        <x:v>0.14</x:v>
      </x:c>
      <x:c r="N7023" s="11" t="n">
        <x:f>IF(G7023,L7023*AN7023/(1+M7023)^F7023,0)</x:f>
        <x:v>0.007711596440329375</x:v>
      </x:c>
      <x:c r="AJ7023" s="42" t="n">
        <x:v>0</x:v>
      </x:c>
      <x:c r="AK7023" s="42" t="n">
        <x:v>0</x:v>
      </x:c>
      <x:c r="AL7023" s="42" t="n">
        <x:v>0</x:v>
      </x:c>
      <x:c r="AM7023" t="n">
        <x:f>CHOOSE('假设'!$B$3,AJ7023,AK7023,AL7023)</x:f>
        <x:v>0</x:v>
      </x:c>
      <x:c r="AN7023" t="n">
        <x:v>1</x:v>
      </x:c>
    </x:row>
    <x:row r="7024" ht="23" customHeight="1">
      <x:c r="A7024" s="11" t="str">
        <x:v>09995.HK</x:v>
      </x:c>
      <x:c r="B7024" s="11" t="str">
        <x:v>三年</x:v>
      </x:c>
      <x:c r="C7024" s="11" t="str">
        <x:v>RC28_China</x:v>
      </x:c>
      <x:c r="D7024" s="11" t="str">
        <x:v>2041-12-31</x:v>
      </x:c>
      <x:c r="E7024" s="11" t="str">
        <x:v>CNY</x:v>
      </x:c>
      <x:c r="F7024" s="11" t="n">
        <x:v>12.227241615331964</x:v>
      </x:c>
      <x:c r="G7024" s="26" t="b">
        <x:v>1</x:v>
      </x:c>
      <x:c r="H7024" s="16" t="n">
        <x:v>0.4</x:v>
      </x:c>
      <x:c r="I7024" s="16" t="n">
        <x:v>0.75</x:v>
      </x:c>
      <x:c r="J7024" s="16" t="n">
        <x:v>1.0499999999999998</x:v>
      </x:c>
      <x:c r="K7024" s="11" t="n">
        <x:f>CHOOSE('假设'!$B$3,H7024,I7024,J7024)</x:f>
        <x:v>0.75</x:v>
      </x:c>
      <x:c r="L7024" s="11" t="n">
        <x:f>K7024*'管线假设'!E1499*'管线假设'!F1499*'管线假设'!G1499*IF(E7024="USD",'管线假设'!I1499,1)-AM7024</x:f>
        <x:v>0.025829999999999992</x:v>
      </x:c>
      <x:c r="M7024" s="11" t="n">
        <x:f>'管线假设'!H1499</x:f>
        <x:v>0.14</x:v>
      </x:c>
      <x:c r="N7024" s="11" t="n">
        <x:f>IF(G7024,L7024*AN7024/(1+M7024)^F7024,0)</x:f>
        <x:v>0.005203973061965823</x:v>
      </x:c>
      <x:c r="AJ7024" s="42" t="n">
        <x:v>0</x:v>
      </x:c>
      <x:c r="AK7024" s="42" t="n">
        <x:v>0</x:v>
      </x:c>
      <x:c r="AL7024" s="42" t="n">
        <x:v>0</x:v>
      </x:c>
      <x:c r="AM7024" t="n">
        <x:f>CHOOSE('假设'!$B$3,AJ7024,AK7024,AL7024)</x:f>
        <x:v>0</x:v>
      </x:c>
      <x:c r="AN7024" t="n">
        <x:v>1</x:v>
      </x:c>
    </x:row>
    <x:row r="7025" ht="23" customHeight="1">
      <x:c r="A7025" s="11" t="str">
        <x:v>09995.HK</x:v>
      </x:c>
      <x:c r="B7025" s="11" t="str">
        <x:v>三年</x:v>
      </x:c>
      <x:c r="C7025" s="11" t="str">
        <x:v>RC28_China</x:v>
      </x:c>
      <x:c r="D7025" s="11" t="str">
        <x:v>2042-12-31</x:v>
      </x:c>
      <x:c r="E7025" s="11" t="str">
        <x:v>CNY</x:v>
      </x:c>
      <x:c r="F7025" s="11" t="n">
        <x:v>13.22655715263518</x:v>
      </x:c>
      <x:c r="G7025" s="26" t="b">
        <x:v>1</x:v>
      </x:c>
      <x:c r="H7025" s="16" t="n">
        <x:v>0.325</x:v>
      </x:c>
      <x:c r="I7025" s="16" t="n">
        <x:v>0.5249999999999999</x:v>
      </x:c>
      <x:c r="J7025" s="16" t="n">
        <x:v>0.6000000000000001</x:v>
      </x:c>
      <x:c r="K7025" s="11" t="n">
        <x:f>CHOOSE('假设'!$B$3,H7025,I7025,J7025)</x:f>
        <x:v>0.5249999999999999</x:v>
      </x:c>
      <x:c r="L7025" s="11" t="n">
        <x:f>K7025*'管线假设'!E1499*'管线假设'!F1499*'管线假设'!G1499*IF(E7025="USD",'管线假设'!I1499,1)-AM7025</x:f>
        <x:v>0.018080999999999993</x:v>
      </x:c>
      <x:c r="M7025" s="11" t="n">
        <x:f>'管线假设'!H1499</x:f>
        <x:v>0.14</x:v>
      </x:c>
      <x:c r="N7025" s="11" t="n">
        <x:f>IF(G7025,L7025*AN7025/(1+M7025)^F7025,0)</x:f>
        <x:v>0.0031957086465410818</x:v>
      </x:c>
      <x:c r="AJ7025" s="42" t="n">
        <x:v>0</x:v>
      </x:c>
      <x:c r="AK7025" s="42" t="n">
        <x:v>0</x:v>
      </x:c>
      <x:c r="AL7025" s="42" t="n">
        <x:v>0</x:v>
      </x:c>
      <x:c r="AM7025" t="n">
        <x:f>CHOOSE('假设'!$B$3,AJ7025,AK7025,AL7025)</x:f>
        <x:v>0</x:v>
      </x:c>
      <x:c r="AN7025" t="n">
        <x:v>1</x:v>
      </x:c>
    </x:row>
    <x:row r="7026" ht="23" customHeight="1">
      <x:c r="A7026" s="11" t="str">
        <x:v>09995.HK</x:v>
      </x:c>
      <x:c r="B7026" s="11" t="str">
        <x:v>三年</x:v>
      </x:c>
      <x:c r="C7026" s="11" t="str">
        <x:v>RC28_China</x:v>
      </x:c>
      <x:c r="D7026" s="11" t="str">
        <x:v>2043-12-31</x:v>
      </x:c>
      <x:c r="E7026" s="11" t="str">
        <x:v>CNY</x:v>
      </x:c>
      <x:c r="F7026" s="11" t="n">
        <x:v>14.225872689938399</x:v>
      </x:c>
      <x:c r="G7026" s="26" t="b">
        <x:v>1</x:v>
      </x:c>
      <x:c r="H7026" s="16" t="n">
        <x:v>0.25</x:v>
      </x:c>
      <x:c r="I7026" s="16" t="n">
        <x:v>0.30000000000000004</x:v>
      </x:c>
      <x:c r="J7026" s="16" t="n">
        <x:v>0.36</x:v>
      </x:c>
      <x:c r="K7026" s="11" t="n">
        <x:f>CHOOSE('假设'!$B$3,H7026,I7026,J7026)</x:f>
        <x:v>0.30000000000000004</x:v>
      </x:c>
      <x:c r="L7026" s="11" t="n">
        <x:f>K7026*'管线假设'!E1499*'管线假设'!F1499*'管线假设'!G1499*IF(E7026="USD",'管线假设'!I1499,1)-AM7026</x:f>
        <x:v>0.010332</x:v>
      </x:c>
      <x:c r="M7026" s="11" t="n">
        <x:f>'管线假设'!H1499</x:f>
        <x:v>0.14</x:v>
      </x:c>
      <x:c r="N7026" s="11" t="n">
        <x:f>IF(G7026,L7026*AN7026/(1+M7026)^F7026,0)</x:f>
        <x:v>0.0016020026381919185</x:v>
      </x:c>
      <x:c r="AJ7026" s="42" t="n">
        <x:v>0</x:v>
      </x:c>
      <x:c r="AK7026" s="42" t="n">
        <x:v>0</x:v>
      </x:c>
      <x:c r="AL7026" s="42" t="n">
        <x:v>0</x:v>
      </x:c>
      <x:c r="AM7026" t="n">
        <x:f>CHOOSE('假设'!$B$3,AJ7026,AK7026,AL7026)</x:f>
        <x:v>0</x:v>
      </x:c>
      <x:c r="AN7026" t="n">
        <x:v>1</x:v>
      </x:c>
    </x:row>
    <x:row r="7027" ht="23" customHeight="1">
      <x:c r="A7027" s="11" t="str">
        <x:v>09995.HK</x:v>
      </x:c>
      <x:c r="B7027" s="11" t="str">
        <x:v>三年</x:v>
      </x:c>
      <x:c r="C7027" s="11" t="str">
        <x:v>RC28_China</x:v>
      </x:c>
      <x:c r="D7027" s="11" t="str">
        <x:v>2044-12-31</x:v>
      </x:c>
      <x:c r="E7027" s="11" t="str">
        <x:v>CNY</x:v>
      </x:c>
      <x:c r="F7027" s="11" t="n">
        <x:v>15.227926078028748</x:v>
      </x:c>
      <x:c r="G7027" s="26" t="b">
        <x:v>1</x:v>
      </x:c>
      <x:c r="H7027" s="16" t="n">
        <x:v>0.175</x:v>
      </x:c>
      <x:c r="I7027" s="16" t="n">
        <x:v>0.18</x:v>
      </x:c>
      <x:c r="J7027" s="16" t="n">
        <x:v>0.21000000000000002</x:v>
      </x:c>
      <x:c r="K7027" s="11" t="n">
        <x:f>CHOOSE('假设'!$B$3,H7027,I7027,J7027)</x:f>
        <x:v>0.18</x:v>
      </x:c>
      <x:c r="L7027" s="11" t="n">
        <x:f>K7027*'管线假设'!E1499*'管线假设'!F1499*'管线假设'!G1499*IF(E7027="USD",'管线假设'!I1499,1)-AM7027</x:f>
        <x:v>0.006199199999999999</x:v>
      </x:c>
      <x:c r="M7027" s="11" t="n">
        <x:f>'管线假设'!H1499</x:f>
        <x:v>0.14</x:v>
      </x:c>
      <x:c r="N7027" s="11" t="n">
        <x:f>IF(G7027,L7027*AN7027/(1+M7027)^F7027,0)</x:f>
        <x:v>0.0008429324601890183</x:v>
      </x:c>
      <x:c r="AJ7027" s="42" t="n">
        <x:v>0</x:v>
      </x:c>
      <x:c r="AK7027" s="42" t="n">
        <x:v>0</x:v>
      </x:c>
      <x:c r="AL7027" s="42" t="n">
        <x:v>0</x:v>
      </x:c>
      <x:c r="AM7027" t="n">
        <x:f>CHOOSE('假设'!$B$3,AJ7027,AK7027,AL7027)</x:f>
        <x:v>0</x:v>
      </x:c>
      <x:c r="AN7027" t="n">
        <x:v>1</x:v>
      </x:c>
    </x:row>
    <x:row r="7028" ht="23" customHeight="1">
      <x:c r="A7028" s="11" t="str">
        <x:v>09995.HK</x:v>
      </x:c>
      <x:c r="B7028" s="11" t="str">
        <x:v>三年</x:v>
      </x:c>
      <x:c r="C7028" s="11" t="str">
        <x:v>centralCost</x:v>
      </x:c>
      <x:c r="D7028" s="11" t="str">
        <x:v>2026-12-31</x:v>
      </x:c>
      <x:c r="E7028" s="11" t="str">
        <x:v>CNY</x:v>
      </x:c>
      <x:c r="F7028" s="11" t="n">
        <x:v>-2.7734428473648185</x:v>
      </x:c>
      <x:c r="G7028" s="26" t="b">
        <x:v>0</x:v>
      </x:c>
      <x:c r="H7028" s="16" t="n">
        <x:v>0</x:v>
      </x:c>
      <x:c r="I7028" s="16" t="n">
        <x:v>0</x:v>
      </x:c>
      <x:c r="J7028" s="16" t="n">
        <x:v>0</x:v>
      </x:c>
      <x:c r="K7028" s="11" t="n">
        <x:f>CHOOSE('假设'!$B$3,H7028,I7028,J7028)</x:f>
        <x:v>0</x:v>
      </x:c>
      <x:c r="L7028" s="11" t="n">
        <x:f>K7028*'管线假设'!E1503*'管线假设'!F1503*'管线假设'!G1503*IF(E7028="USD",'管线假设'!I1503,1)-AM7028</x:f>
        <x:v>-0.16</x:v>
      </x:c>
      <x:c r="M7028" s="11" t="n">
        <x:f>'管线假设'!H1503</x:f>
        <x:v>0.14</x:v>
      </x:c>
      <x:c r="N7028" s="11" t="n">
        <x:f>IF(G7028,L7028*AN7028/(1+M7028)^F7028,0)</x:f>
        <x:v>0</x:v>
      </x:c>
      <x:c r="AJ7028" s="42" t="n">
        <x:v>0.13</x:v>
      </x:c>
      <x:c r="AK7028" s="42" t="n">
        <x:v>0.16</x:v>
      </x:c>
      <x:c r="AL7028" s="42" t="n">
        <x:v>0.2</x:v>
      </x:c>
      <x:c r="AM7028" t="n">
        <x:f>CHOOSE('假设'!$B$3,AJ7028,AK7028,AL7028)</x:f>
        <x:v>0.16</x:v>
      </x:c>
      <x:c r="AN7028" t="n">
        <x:v>0</x:v>
      </x:c>
    </x:row>
    <x:row r="7029" ht="23" customHeight="1">
      <x:c r="A7029" s="11" t="str">
        <x:v>09995.HK</x:v>
      </x:c>
      <x:c r="B7029" s="11" t="str">
        <x:v>三年</x:v>
      </x:c>
      <x:c r="C7029" s="11" t="str">
        <x:v>centralCost</x:v>
      </x:c>
      <x:c r="D7029" s="11" t="str">
        <x:v>2027-12-31</x:v>
      </x:c>
      <x:c r="E7029" s="11" t="str">
        <x:v>CNY</x:v>
      </x:c>
      <x:c r="F7029" s="11" t="n">
        <x:v>-1.7741273100616017</x:v>
      </x:c>
      <x:c r="G7029" s="26" t="b">
        <x:v>0</x:v>
      </x:c>
      <x:c r="H7029" s="16" t="n">
        <x:v>0</x:v>
      </x:c>
      <x:c r="I7029" s="16" t="n">
        <x:v>0</x:v>
      </x:c>
      <x:c r="J7029" s="16" t="n">
        <x:v>0</x:v>
      </x:c>
      <x:c r="K7029" s="11" t="n">
        <x:f>CHOOSE('假设'!$B$3,H7029,I7029,J7029)</x:f>
        <x:v>0</x:v>
      </x:c>
      <x:c r="L7029" s="11" t="n">
        <x:f>K7029*'管线假设'!E1503*'管线假设'!F1503*'管线假设'!G1503*IF(E7029="USD",'管线假设'!I1503,1)-AM7029</x:f>
        <x:v>-0.1648</x:v>
      </x:c>
      <x:c r="M7029" s="11" t="n">
        <x:f>'管线假设'!H1503</x:f>
        <x:v>0.14</x:v>
      </x:c>
      <x:c r="N7029" s="11" t="n">
        <x:f>IF(G7029,L7029*AN7029/(1+M7029)^F7029,0)</x:f>
        <x:v>0</x:v>
      </x:c>
      <x:c r="AJ7029" s="42" t="n">
        <x:v>0.13390000000000002</x:v>
      </x:c>
      <x:c r="AK7029" s="42" t="n">
        <x:v>0.1648</x:v>
      </x:c>
      <x:c r="AL7029" s="42" t="n">
        <x:v>0.20800000000000002</x:v>
      </x:c>
      <x:c r="AM7029" t="n">
        <x:f>CHOOSE('假设'!$B$3,AJ7029,AK7029,AL7029)</x:f>
        <x:v>0.1648</x:v>
      </x:c>
      <x:c r="AN7029" t="n">
        <x:v>0</x:v>
      </x:c>
    </x:row>
    <x:row r="7030" ht="23" customHeight="1">
      <x:c r="A7030" s="11" t="str">
        <x:v>09995.HK</x:v>
      </x:c>
      <x:c r="B7030" s="11" t="str">
        <x:v>三年</x:v>
      </x:c>
      <x:c r="C7030" s="11" t="str">
        <x:v>centralCost</x:v>
      </x:c>
      <x:c r="D7030" s="11" t="str">
        <x:v>2028-12-31</x:v>
      </x:c>
      <x:c r="E7030" s="11" t="str">
        <x:v>CNY</x:v>
      </x:c>
      <x:c r="F7030" s="11" t="n">
        <x:v>-0.7720739219712526</x:v>
      </x:c>
      <x:c r="G7030" s="26" t="b">
        <x:v>0</x:v>
      </x:c>
      <x:c r="H7030" s="16" t="n">
        <x:v>0</x:v>
      </x:c>
      <x:c r="I7030" s="16" t="n">
        <x:v>0</x:v>
      </x:c>
      <x:c r="J7030" s="16" t="n">
        <x:v>0</x:v>
      </x:c>
      <x:c r="K7030" s="11" t="n">
        <x:f>CHOOSE('假设'!$B$3,H7030,I7030,J7030)</x:f>
        <x:v>0</x:v>
      </x:c>
      <x:c r="L7030" s="11" t="n">
        <x:f>K7030*'管线假设'!E1503*'管线假设'!F1503*'管线假设'!G1503*IF(E7030="USD",'管线假设'!I1503,1)-AM7030</x:f>
        <x:v>-0.169744</x:v>
      </x:c>
      <x:c r="M7030" s="11" t="n">
        <x:f>'管线假设'!H1503</x:f>
        <x:v>0.14</x:v>
      </x:c>
      <x:c r="N7030" s="11" t="n">
        <x:f>IF(G7030,L7030*AN7030/(1+M7030)^F7030,0)</x:f>
        <x:v>0</x:v>
      </x:c>
      <x:c r="AJ7030" s="42" t="n">
        <x:v>0.137917</x:v>
      </x:c>
      <x:c r="AK7030" s="42" t="n">
        <x:v>0.169744</x:v>
      </x:c>
      <x:c r="AL7030" s="42" t="n">
        <x:v>0.21632000000000004</x:v>
      </x:c>
      <x:c r="AM7030" t="n">
        <x:f>CHOOSE('假设'!$B$3,AJ7030,AK7030,AL7030)</x:f>
        <x:v>0.169744</x:v>
      </x:c>
      <x:c r="AN7030" t="n">
        <x:v>0</x:v>
      </x:c>
    </x:row>
    <x:row r="7031" ht="23" customHeight="1">
      <x:c r="A7031" s="11" t="str">
        <x:v>09995.HK</x:v>
      </x:c>
      <x:c r="B7031" s="11" t="str">
        <x:v>三年</x:v>
      </x:c>
      <x:c r="C7031" s="11" t="str">
        <x:v>centralCost</x:v>
      </x:c>
      <x:c r="D7031" s="11" t="str">
        <x:v>2029-12-31</x:v>
      </x:c>
      <x:c r="E7031" s="11" t="str">
        <x:v>CNY</x:v>
      </x:c>
      <x:c r="F7031" s="11" t="n">
        <x:v>0.2272416153319644</x:v>
      </x:c>
      <x:c r="G7031" s="26" t="b">
        <x:v>1</x:v>
      </x:c>
      <x:c r="H7031" s="16" t="n">
        <x:v>0</x:v>
      </x:c>
      <x:c r="I7031" s="16" t="n">
        <x:v>0</x:v>
      </x:c>
      <x:c r="J7031" s="16" t="n">
        <x:v>0</x:v>
      </x:c>
      <x:c r="K7031" s="11" t="n">
        <x:f>CHOOSE('假设'!$B$3,H7031,I7031,J7031)</x:f>
        <x:v>0</x:v>
      </x:c>
      <x:c r="L7031" s="11" t="n">
        <x:f>K7031*'管线假设'!E1503*'管线假设'!F1503*'管线假设'!G1503*IF(E7031="USD",'管线假设'!I1503,1)-AM7031</x:f>
        <x:v>-0.17483632000000002</x:v>
      </x:c>
      <x:c r="M7031" s="11" t="n">
        <x:f>'管线假设'!H1503</x:f>
        <x:v>0.14</x:v>
      </x:c>
      <x:c r="N7031" s="11" t="n">
        <x:f>IF(G7031,L7031*AN7031/(1+M7031)^F7031,0)</x:f>
        <x:v>-0.03869699266551979</x:v>
      </x:c>
      <x:c r="AJ7031" s="42" t="n">
        <x:v>0.14205451</x:v>
      </x:c>
      <x:c r="AK7031" s="42" t="n">
        <x:v>0.17483632000000002</x:v>
      </x:c>
      <x:c r="AL7031" s="42" t="n">
        <x:v>0.22497280000000003</x:v>
      </x:c>
      <x:c r="AM7031" t="n">
        <x:f>CHOOSE('假设'!$B$3,AJ7031,AK7031,AL7031)</x:f>
        <x:v>0.17483632000000002</x:v>
      </x:c>
      <x:c r="AN7031" t="n">
        <x:v>0.22802197802197802</x:v>
      </x:c>
    </x:row>
    <x:row r="7032" ht="23" customHeight="1">
      <x:c r="A7032" s="11" t="str">
        <x:v>09995.HK</x:v>
      </x:c>
      <x:c r="B7032" s="11" t="str">
        <x:v>三年</x:v>
      </x:c>
      <x:c r="C7032" s="11" t="str">
        <x:v>centralCost</x:v>
      </x:c>
      <x:c r="D7032" s="11" t="str">
        <x:v>2030-12-31</x:v>
      </x:c>
      <x:c r="E7032" s="11" t="str">
        <x:v>CNY</x:v>
      </x:c>
      <x:c r="F7032" s="11" t="n">
        <x:v>1.2265571526351813</x:v>
      </x:c>
      <x:c r="G7032" s="26" t="b">
        <x:v>1</x:v>
      </x:c>
      <x:c r="H7032" s="16" t="n">
        <x:v>0</x:v>
      </x:c>
      <x:c r="I7032" s="16" t="n">
        <x:v>0</x:v>
      </x:c>
      <x:c r="J7032" s="16" t="n">
        <x:v>0</x:v>
      </x:c>
      <x:c r="K7032" s="11" t="n">
        <x:f>CHOOSE('假设'!$B$3,H7032,I7032,J7032)</x:f>
        <x:v>0</x:v>
      </x:c>
      <x:c r="L7032" s="11" t="n">
        <x:f>K7032*'管线假设'!E1503*'管线假设'!F1503*'管线假设'!G1503*IF(E7032="USD",'管线假设'!I1503,1)-AM7032</x:f>
        <x:v>-0.18008140960000002</x:v>
      </x:c>
      <x:c r="M7032" s="11" t="n">
        <x:f>'管线假设'!H1503</x:f>
        <x:v>0.14</x:v>
      </x:c>
      <x:c r="N7032" s="11" t="n">
        <x:f>IF(G7032,L7032*AN7032/(1+M7032)^F7032,0)</x:f>
        <x:v>-0.1533457800482149</x:v>
      </x:c>
      <x:c r="AJ7032" s="42" t="n">
        <x:v>0.14631614530000003</x:v>
      </x:c>
      <x:c r="AK7032" s="42" t="n">
        <x:v>0.18008140960000002</x:v>
      </x:c>
      <x:c r="AL7032" s="42" t="n">
        <x:v>0.23397171200000005</x:v>
      </x:c>
      <x:c r="AM7032" t="n">
        <x:f>CHOOSE('假设'!$B$3,AJ7032,AK7032,AL7032)</x:f>
        <x:v>0.18008140960000002</x:v>
      </x:c>
      <x:c r="AN7032" t="n">
        <x:v>1</x:v>
      </x:c>
    </x:row>
    <x:row r="7033" ht="23" customHeight="1">
      <x:c r="A7033" s="11" t="str">
        <x:v>09995.HK</x:v>
      </x:c>
      <x:c r="B7033" s="11" t="str">
        <x:v>三年</x:v>
      </x:c>
      <x:c r="C7033" s="11" t="str">
        <x:v>centralCost</x:v>
      </x:c>
      <x:c r="D7033" s="11" t="str">
        <x:v>2031-12-31</x:v>
      </x:c>
      <x:c r="E7033" s="11" t="str">
        <x:v>CNY</x:v>
      </x:c>
      <x:c r="F7033" s="11" t="n">
        <x:v>2.2258726899383983</x:v>
      </x:c>
      <x:c r="G7033" s="26" t="b">
        <x:v>1</x:v>
      </x:c>
      <x:c r="H7033" s="16" t="n">
        <x:v>0</x:v>
      </x:c>
      <x:c r="I7033" s="16" t="n">
        <x:v>0</x:v>
      </x:c>
      <x:c r="J7033" s="16" t="n">
        <x:v>0</x:v>
      </x:c>
      <x:c r="K7033" s="11" t="n">
        <x:f>CHOOSE('假设'!$B$3,H7033,I7033,J7033)</x:f>
        <x:v>0</x:v>
      </x:c>
      <x:c r="L7033" s="11" t="n">
        <x:f>K7033*'管线假设'!E1503*'管线假设'!F1503*'管线假设'!G1503*IF(E7033="USD",'管线假设'!I1503,1)-AM7033</x:f>
        <x:v>-0.185483851888</x:v>
      </x:c>
      <x:c r="M7033" s="11" t="n">
        <x:f>'管线假设'!H1503</x:f>
        <x:v>0.14</x:v>
      </x:c>
      <x:c r="N7033" s="11" t="n">
        <x:f>IF(G7033,L7033*AN7033/(1+M7033)^F7033,0)</x:f>
        <x:v>-0.13856168361495153</x:v>
      </x:c>
      <x:c r="AJ7033" s="42" t="n">
        <x:v>0.150705629659</x:v>
      </x:c>
      <x:c r="AK7033" s="42" t="n">
        <x:v>0.185483851888</x:v>
      </x:c>
      <x:c r="AL7033" s="42" t="n">
        <x:v>0.24333058048000003</x:v>
      </x:c>
      <x:c r="AM7033" t="n">
        <x:f>CHOOSE('假设'!$B$3,AJ7033,AK7033,AL7033)</x:f>
        <x:v>0.185483851888</x:v>
      </x:c>
      <x:c r="AN7033" t="n">
        <x:v>1</x:v>
      </x:c>
    </x:row>
    <x:row r="7034" ht="23" customHeight="1">
      <x:c r="A7034" s="11" t="str">
        <x:v>09995.HK</x:v>
      </x:c>
      <x:c r="B7034" s="11" t="str">
        <x:v>三年</x:v>
      </x:c>
      <x:c r="C7034" s="11" t="str">
        <x:v>centralCost</x:v>
      </x:c>
      <x:c r="D7034" s="11" t="str">
        <x:v>2032-12-31</x:v>
      </x:c>
      <x:c r="E7034" s="11" t="str">
        <x:v>CNY</x:v>
      </x:c>
      <x:c r="F7034" s="11" t="n">
        <x:v>3.2279260780287475</x:v>
      </x:c>
      <x:c r="G7034" s="26" t="b">
        <x:v>1</x:v>
      </x:c>
      <x:c r="H7034" s="16" t="n">
        <x:v>0</x:v>
      </x:c>
      <x:c r="I7034" s="16" t="n">
        <x:v>0</x:v>
      </x:c>
      <x:c r="J7034" s="16" t="n">
        <x:v>0</x:v>
      </x:c>
      <x:c r="K7034" s="11" t="n">
        <x:f>CHOOSE('假设'!$B$3,H7034,I7034,J7034)</x:f>
        <x:v>0</x:v>
      </x:c>
      <x:c r="L7034" s="11" t="n">
        <x:f>K7034*'管线假设'!E1503*'管线假设'!F1503*'管线假设'!G1503*IF(E7034="USD",'管线假设'!I1503,1)-AM7034</x:f>
        <x:v>-0.19104836744464002</x:v>
      </x:c>
      <x:c r="M7034" s="11" t="n">
        <x:f>'管线假设'!H1503</x:f>
        <x:v>0.14</x:v>
      </x:c>
      <x:c r="N7034" s="11" t="n">
        <x:f>IF(G7034,L7034*AN7034/(1+M7034)^F7034,0)</x:f>
        <x:v>-0.12515801806979285</x:v>
      </x:c>
      <x:c r="AJ7034" s="42" t="n">
        <x:v>0.15522679854877003</x:v>
      </x:c>
      <x:c r="AK7034" s="42" t="n">
        <x:v>0.19104836744464002</x:v>
      </x:c>
      <x:c r="AL7034" s="42" t="n">
        <x:v>0.25306380369920006</x:v>
      </x:c>
      <x:c r="AM7034" t="n">
        <x:f>CHOOSE('假设'!$B$3,AJ7034,AK7034,AL7034)</x:f>
        <x:v>0.19104836744464002</x:v>
      </x:c>
      <x:c r="AN7034" t="n">
        <x:v>1</x:v>
      </x:c>
    </x:row>
    <x:row r="7035" ht="23" customHeight="1">
      <x:c r="A7035" s="11" t="str">
        <x:v>09995.HK</x:v>
      </x:c>
      <x:c r="B7035" s="11" t="str">
        <x:v>三年</x:v>
      </x:c>
      <x:c r="C7035" s="11" t="str">
        <x:v>centralCost</x:v>
      </x:c>
      <x:c r="D7035" s="11" t="str">
        <x:v>2033-12-31</x:v>
      </x:c>
      <x:c r="E7035" s="11" t="str">
        <x:v>CNY</x:v>
      </x:c>
      <x:c r="F7035" s="11" t="n">
        <x:v>4.227241615331964</x:v>
      </x:c>
      <x:c r="G7035" s="26" t="b">
        <x:v>1</x:v>
      </x:c>
      <x:c r="H7035" s="16" t="n">
        <x:v>0</x:v>
      </x:c>
      <x:c r="I7035" s="16" t="n">
        <x:v>0</x:v>
      </x:c>
      <x:c r="J7035" s="16" t="n">
        <x:v>0</x:v>
      </x:c>
      <x:c r="K7035" s="11" t="n">
        <x:f>CHOOSE('假设'!$B$3,H7035,I7035,J7035)</x:f>
        <x:v>0</x:v>
      </x:c>
      <x:c r="L7035" s="11" t="n">
        <x:f>K7035*'管线假设'!E1503*'管线假设'!F1503*'管线假设'!G1503*IF(E7035="USD",'管线假设'!I1503,1)-AM7035</x:f>
        <x:v>-0.19677981846797923</x:v>
      </x:c>
      <x:c r="M7035" s="11" t="n">
        <x:f>'管线假设'!H1503</x:f>
        <x:v>0.14</x:v>
      </x:c>
      <x:c r="N7035" s="11" t="n">
        <x:f>IF(G7035,L7035*AN7035/(1+M7035)^F7035,0)</x:f>
        <x:v>-0.11309150924276057</x:v>
      </x:c>
      <x:c r="AJ7035" s="42" t="n">
        <x:v>0.15988360250523312</x:v>
      </x:c>
      <x:c r="AK7035" s="42" t="n">
        <x:v>0.19677981846797923</x:v>
      </x:c>
      <x:c r="AL7035" s="42" t="n">
        <x:v>0.26318635584716804</x:v>
      </x:c>
      <x:c r="AM7035" t="n">
        <x:f>CHOOSE('假设'!$B$3,AJ7035,AK7035,AL7035)</x:f>
        <x:v>0.19677981846797923</x:v>
      </x:c>
      <x:c r="AN7035" t="n">
        <x:v>1</x:v>
      </x:c>
    </x:row>
    <x:row r="7036" ht="23" customHeight="1">
      <x:c r="A7036" s="11" t="str">
        <x:v>09995.HK</x:v>
      </x:c>
      <x:c r="B7036" s="11" t="str">
        <x:v>三年</x:v>
      </x:c>
      <x:c r="C7036" s="11" t="str">
        <x:v>centralCost</x:v>
      </x:c>
      <x:c r="D7036" s="11" t="str">
        <x:v>2034-12-31</x:v>
      </x:c>
      <x:c r="E7036" s="11" t="str">
        <x:v>CNY</x:v>
      </x:c>
      <x:c r="F7036" s="11" t="n">
        <x:v>5.2265571526351815</x:v>
      </x:c>
      <x:c r="G7036" s="26" t="b">
        <x:v>1</x:v>
      </x:c>
      <x:c r="H7036" s="16" t="n">
        <x:v>0</x:v>
      </x:c>
      <x:c r="I7036" s="16" t="n">
        <x:v>0</x:v>
      </x:c>
      <x:c r="J7036" s="16" t="n">
        <x:v>0</x:v>
      </x:c>
      <x:c r="K7036" s="11" t="n">
        <x:f>CHOOSE('假设'!$B$3,H7036,I7036,J7036)</x:f>
        <x:v>0</x:v>
      </x:c>
      <x:c r="L7036" s="11" t="n">
        <x:f>K7036*'管线假设'!E1503*'管线假设'!F1503*'管线假设'!G1503*IF(E7036="USD",'管线假设'!I1503,1)-AM7036</x:f>
        <x:v>-0.20268321302201864</x:v>
      </x:c>
      <x:c r="M7036" s="11" t="n">
        <x:f>'管线假设'!H1503</x:f>
        <x:v>0.14</x:v>
      </x:c>
      <x:c r="N7036" s="11" t="n">
        <x:f>IF(G7036,L7036*AN7036/(1+M7036)^F7036,0)</x:f>
        <x:v>-0.10218833487498488</x:v>
      </x:c>
      <x:c r="AJ7036" s="42" t="n">
        <x:v>0.16468011058039014</x:v>
      </x:c>
      <x:c r="AK7036" s="42" t="n">
        <x:v>0.20268321302201864</x:v>
      </x:c>
      <x:c r="AL7036" s="42" t="n">
        <x:v>0.2737138100810548</x:v>
      </x:c>
      <x:c r="AM7036" t="n">
        <x:f>CHOOSE('假设'!$B$3,AJ7036,AK7036,AL7036)</x:f>
        <x:v>0.20268321302201864</x:v>
      </x:c>
      <x:c r="AN7036" t="n">
        <x:v>1</x:v>
      </x:c>
    </x:row>
    <x:row r="7037" ht="23" customHeight="1">
      <x:c r="A7037" s="11" t="str">
        <x:v>09995.HK</x:v>
      </x:c>
      <x:c r="B7037" s="11" t="str">
        <x:v>三年</x:v>
      </x:c>
      <x:c r="C7037" s="11" t="str">
        <x:v>centralCost</x:v>
      </x:c>
      <x:c r="D7037" s="11" t="str">
        <x:v>2035-12-31</x:v>
      </x:c>
      <x:c r="E7037" s="11" t="str">
        <x:v>CNY</x:v>
      </x:c>
      <x:c r="F7037" s="11" t="n">
        <x:v>6.225872689938399</x:v>
      </x:c>
      <x:c r="G7037" s="26" t="b">
        <x:v>1</x:v>
      </x:c>
      <x:c r="H7037" s="16" t="n">
        <x:v>0</x:v>
      </x:c>
      <x:c r="I7037" s="16" t="n">
        <x:v>0</x:v>
      </x:c>
      <x:c r="J7037" s="16" t="n">
        <x:v>0</x:v>
      </x:c>
      <x:c r="K7037" s="11" t="n">
        <x:f>CHOOSE('假设'!$B$3,H7037,I7037,J7037)</x:f>
        <x:v>0</x:v>
      </x:c>
      <x:c r="L7037" s="11" t="n">
        <x:f>K7037*'管线假设'!E1503*'管线假设'!F1503*'管线假设'!G1503*IF(E7037="USD",'管线假设'!I1503,1)-AM7037</x:f>
        <x:v>-0.2087637094126792</x:v>
      </x:c>
      <x:c r="M7037" s="11" t="n">
        <x:f>'管线假设'!H1503</x:f>
        <x:v>0.14</x:v>
      </x:c>
      <x:c r="N7037" s="11" t="n">
        <x:f>IF(G7037,L7037*AN7037/(1+M7037)^F7037,0)</x:f>
        <x:v>-0.09233633766533636</x:v>
      </x:c>
      <x:c r="AJ7037" s="42" t="n">
        <x:v>0.16962051389780183</x:v>
      </x:c>
      <x:c r="AK7037" s="42" t="n">
        <x:v>0.2087637094126792</x:v>
      </x:c>
      <x:c r="AL7037" s="42" t="n">
        <x:v>0.284662362484297</x:v>
      </x:c>
      <x:c r="AM7037" t="n">
        <x:f>CHOOSE('假设'!$B$3,AJ7037,AK7037,AL7037)</x:f>
        <x:v>0.2087637094126792</x:v>
      </x:c>
      <x:c r="AN7037" t="n">
        <x:v>1</x:v>
      </x:c>
    </x:row>
    <x:row r="7038" ht="23" customHeight="1">
      <x:c r="A7038" s="11" t="str">
        <x:v>09995.HK</x:v>
      </x:c>
      <x:c r="B7038" s="11" t="str">
        <x:v>三年</x:v>
      </x:c>
      <x:c r="C7038" s="11" t="str">
        <x:v>centralCost</x:v>
      </x:c>
      <x:c r="D7038" s="11" t="str">
        <x:v>2036-12-31</x:v>
      </x:c>
      <x:c r="E7038" s="11" t="str">
        <x:v>CNY</x:v>
      </x:c>
      <x:c r="F7038" s="11" t="n">
        <x:v>7.227926078028747</x:v>
      </x:c>
      <x:c r="G7038" s="26" t="b">
        <x:v>1</x:v>
      </x:c>
      <x:c r="H7038" s="16" t="n">
        <x:v>0</x:v>
      </x:c>
      <x:c r="I7038" s="16" t="n">
        <x:v>0</x:v>
      </x:c>
      <x:c r="J7038" s="16" t="n">
        <x:v>0</x:v>
      </x:c>
      <x:c r="K7038" s="11" t="n">
        <x:f>CHOOSE('假设'!$B$3,H7038,I7038,J7038)</x:f>
        <x:v>0</x:v>
      </x:c>
      <x:c r="L7038" s="11" t="n">
        <x:f>K7038*'管线假设'!E1503*'管线假设'!F1503*'管线假设'!G1503*IF(E7038="USD",'管线假设'!I1503,1)-AM7038</x:f>
        <x:v>-0.21502662069505957</x:v>
      </x:c>
      <x:c r="M7038" s="11" t="n">
        <x:f>'管线假设'!H1503</x:f>
        <x:v>0.14</x:v>
      </x:c>
      <x:c r="N7038" s="11" t="n">
        <x:f>IF(G7038,L7038*AN7038/(1+M7038)^F7038,0)</x:f>
        <x:v>-0.08340424796028997</x:v>
      </x:c>
      <x:c r="AJ7038" s="42" t="n">
        <x:v>0.1747091293147359</x:v>
      </x:c>
      <x:c r="AK7038" s="42" t="n">
        <x:v>0.21502662069505957</x:v>
      </x:c>
      <x:c r="AL7038" s="42" t="n">
        <x:v>0.2960488569836689</x:v>
      </x:c>
      <x:c r="AM7038" t="n">
        <x:f>CHOOSE('假设'!$B$3,AJ7038,AK7038,AL7038)</x:f>
        <x:v>0.21502662069505957</x:v>
      </x:c>
      <x:c r="AN7038" t="n">
        <x:v>1</x:v>
      </x:c>
    </x:row>
    <x:row r="7039" ht="23" customHeight="1">
      <x:c r="A7039" s="11" t="str">
        <x:v>09995.HK</x:v>
      </x:c>
      <x:c r="B7039" s="11" t="str">
        <x:v>三年</x:v>
      </x:c>
      <x:c r="C7039" s="11" t="str">
        <x:v>centralCost</x:v>
      </x:c>
      <x:c r="D7039" s="11" t="str">
        <x:v>2037-12-31</x:v>
      </x:c>
      <x:c r="E7039" s="11" t="str">
        <x:v>CNY</x:v>
      </x:c>
      <x:c r="F7039" s="11" t="n">
        <x:v>8.227241615331964</x:v>
      </x:c>
      <x:c r="G7039" s="26" t="b">
        <x:v>1</x:v>
      </x:c>
      <x:c r="H7039" s="16" t="n">
        <x:v>0</x:v>
      </x:c>
      <x:c r="I7039" s="16" t="n">
        <x:v>0</x:v>
      </x:c>
      <x:c r="J7039" s="16" t="n">
        <x:v>0</x:v>
      </x:c>
      <x:c r="K7039" s="11" t="n">
        <x:f>CHOOSE('假设'!$B$3,H7039,I7039,J7039)</x:f>
        <x:v>0</x:v>
      </x:c>
      <x:c r="L7039" s="11" t="n">
        <x:f>K7039*'管线假设'!E1503*'管线假设'!F1503*'管线假设'!G1503*IF(E7039="USD",'管线假设'!I1503,1)-AM7039</x:f>
        <x:v>-0.22147741931591136</x:v>
      </x:c>
      <x:c r="M7039" s="11" t="n">
        <x:f>'管线假设'!H1503</x:f>
        <x:v>0.14</x:v>
      </x:c>
      <x:c r="N7039" s="11" t="n">
        <x:f>IF(G7039,L7039*AN7039/(1+M7039)^F7039,0)</x:f>
        <x:v>-0.07536322821784229</x:v>
      </x:c>
      <x:c r="AJ7039" s="42" t="n">
        <x:v>0.179950403194178</x:v>
      </x:c>
      <x:c r="AK7039" s="42" t="n">
        <x:v>0.22147741931591136</x:v>
      </x:c>
      <x:c r="AL7039" s="42" t="n">
        <x:v>0.30789081126301565</x:v>
      </x:c>
      <x:c r="AM7039" t="n">
        <x:f>CHOOSE('假设'!$B$3,AJ7039,AK7039,AL7039)</x:f>
        <x:v>0.22147741931591136</x:v>
      </x:c>
      <x:c r="AN7039" t="n">
        <x:v>1</x:v>
      </x:c>
    </x:row>
    <x:row r="7040" ht="23" customHeight="1">
      <x:c r="A7040" s="11" t="str">
        <x:v>09995.HK</x:v>
      </x:c>
      <x:c r="B7040" s="11" t="str">
        <x:v>三年</x:v>
      </x:c>
      <x:c r="C7040" s="11" t="str">
        <x:v>centralCost</x:v>
      </x:c>
      <x:c r="D7040" s="11" t="str">
        <x:v>2038-12-31</x:v>
      </x:c>
      <x:c r="E7040" s="11" t="str">
        <x:v>CNY</x:v>
      </x:c>
      <x:c r="F7040" s="11" t="n">
        <x:v>9.22655715263518</x:v>
      </x:c>
      <x:c r="G7040" s="26" t="b">
        <x:v>1</x:v>
      </x:c>
      <x:c r="H7040" s="16" t="n">
        <x:v>0</x:v>
      </x:c>
      <x:c r="I7040" s="16" t="n">
        <x:v>0</x:v>
      </x:c>
      <x:c r="J7040" s="16" t="n">
        <x:v>0</x:v>
      </x:c>
      <x:c r="K7040" s="11" t="n">
        <x:f>CHOOSE('假设'!$B$3,H7040,I7040,J7040)</x:f>
        <x:v>0</x:v>
      </x:c>
      <x:c r="L7040" s="11" t="n">
        <x:f>K7040*'管线假设'!E1503*'管线假设'!F1503*'管线假设'!G1503*IF(E7040="USD",'管线假设'!I1503,1)-AM7040</x:f>
        <x:v>-0.2281217418953887</x:v>
      </x:c>
      <x:c r="M7040" s="11" t="n">
        <x:f>'管线假设'!H1503</x:f>
        <x:v>0.14</x:v>
      </x:c>
      <x:c r="N7040" s="11" t="n">
        <x:f>IF(G7040,L7040*AN7040/(1+M7040)^F7040,0)</x:f>
        <x:v>-0.06809744475028096</x:v>
      </x:c>
      <x:c r="AJ7040" s="42" t="n">
        <x:v>0.1853489152900033</x:v>
      </x:c>
      <x:c r="AK7040" s="42" t="n">
        <x:v>0.2281217418953887</x:v>
      </x:c>
      <x:c r="AL7040" s="42" t="n">
        <x:v>0.32020644371353635</x:v>
      </x:c>
      <x:c r="AM7040" t="n">
        <x:f>CHOOSE('假设'!$B$3,AJ7040,AK7040,AL7040)</x:f>
        <x:v>0.2281217418953887</x:v>
      </x:c>
      <x:c r="AN7040" t="n">
        <x:v>1</x:v>
      </x:c>
    </x:row>
    <x:row r="7041" ht="23" customHeight="1">
      <x:c r="A7041" s="11" t="str">
        <x:v>09995.HK</x:v>
      </x:c>
      <x:c r="B7041" s="11" t="str">
        <x:v>三年</x:v>
      </x:c>
      <x:c r="C7041" s="11" t="str">
        <x:v>centralCost</x:v>
      </x:c>
      <x:c r="D7041" s="11" t="str">
        <x:v>2039-12-31</x:v>
      </x:c>
      <x:c r="E7041" s="11" t="str">
        <x:v>CNY</x:v>
      </x:c>
      <x:c r="F7041" s="11" t="n">
        <x:v>10.225872689938399</x:v>
      </x:c>
      <x:c r="G7041" s="26" t="b">
        <x:v>1</x:v>
      </x:c>
      <x:c r="H7041" s="16" t="n">
        <x:v>0</x:v>
      </x:c>
      <x:c r="I7041" s="16" t="n">
        <x:v>0</x:v>
      </x:c>
      <x:c r="J7041" s="16" t="n">
        <x:v>0</x:v>
      </x:c>
      <x:c r="K7041" s="11" t="n">
        <x:f>CHOOSE('假设'!$B$3,H7041,I7041,J7041)</x:f>
        <x:v>0</x:v>
      </x:c>
      <x:c r="L7041" s="11" t="n">
        <x:f>K7041*'管线假设'!E1503*'管线假设'!F1503*'管线假设'!G1503*IF(E7041="USD",'管线假设'!I1503,1)-AM7041</x:f>
        <x:v>-0.23496539415225037</x:v>
      </x:c>
      <x:c r="M7041" s="11" t="n">
        <x:f>'管线假设'!H1503</x:f>
        <x:v>0.14</x:v>
      </x:c>
      <x:c r="N7041" s="11" t="n">
        <x:f>IF(G7041,L7041*AN7041/(1+M7041)^F7041,0)</x:f>
        <x:v>-0.06153215687779804</x:v>
      </x:c>
      <x:c r="AJ7041" s="42" t="n">
        <x:v>0.19090938274870342</x:v>
      </x:c>
      <x:c r="AK7041" s="42" t="n">
        <x:v>0.23496539415225037</x:v>
      </x:c>
      <x:c r="AL7041" s="42" t="n">
        <x:v>0.3330147014620778</x:v>
      </x:c>
      <x:c r="AM7041" t="n">
        <x:f>CHOOSE('假设'!$B$3,AJ7041,AK7041,AL7041)</x:f>
        <x:v>0.23496539415225037</x:v>
      </x:c>
      <x:c r="AN7041" t="n">
        <x:v>1</x:v>
      </x:c>
    </x:row>
    <x:row r="7042" ht="23" customHeight="1">
      <x:c r="A7042" s="11" t="str">
        <x:v>09995.HK</x:v>
      </x:c>
      <x:c r="B7042" s="11" t="str">
        <x:v>三年</x:v>
      </x:c>
      <x:c r="C7042" s="11" t="str">
        <x:v>centralCost</x:v>
      </x:c>
      <x:c r="D7042" s="11" t="str">
        <x:v>2040-12-31</x:v>
      </x:c>
      <x:c r="E7042" s="11" t="str">
        <x:v>CNY</x:v>
      </x:c>
      <x:c r="F7042" s="11" t="n">
        <x:v>11.227926078028748</x:v>
      </x:c>
      <x:c r="G7042" s="26" t="b">
        <x:v>1</x:v>
      </x:c>
      <x:c r="H7042" s="16" t="n">
        <x:v>0</x:v>
      </x:c>
      <x:c r="I7042" s="16" t="n">
        <x:v>0</x:v>
      </x:c>
      <x:c r="J7042" s="16" t="n">
        <x:v>0</x:v>
      </x:c>
      <x:c r="K7042" s="11" t="n">
        <x:f>CHOOSE('假设'!$B$3,H7042,I7042,J7042)</x:f>
        <x:v>0</x:v>
      </x:c>
      <x:c r="L7042" s="11" t="n">
        <x:f>K7042*'管线假设'!E1503*'管线假设'!F1503*'管线假设'!G1503*IF(E7042="USD",'管线假设'!I1503,1)-AM7042</x:f>
        <x:v>-0.24201435597681792</x:v>
      </x:c>
      <x:c r="M7042" s="11" t="n">
        <x:f>'管线假设'!H1503</x:f>
        <x:v>0.14</x:v>
      </x:c>
      <x:c r="N7042" s="11" t="n">
        <x:f>IF(G7042,L7042*AN7042/(1+M7042)^F7042,0)</x:f>
        <x:v>-0.05557988761009665</x:v>
      </x:c>
      <x:c r="AJ7042" s="42" t="n">
        <x:v>0.19663666423116455</x:v>
      </x:c>
      <x:c r="AK7042" s="42" t="n">
        <x:v>0.24201435597681792</x:v>
      </x:c>
      <x:c r="AL7042" s="42" t="n">
        <x:v>0.3463352895205609</x:v>
      </x:c>
      <x:c r="AM7042" t="n">
        <x:f>CHOOSE('假设'!$B$3,AJ7042,AK7042,AL7042)</x:f>
        <x:v>0.24201435597681792</x:v>
      </x:c>
      <x:c r="AN7042" t="n">
        <x:v>1</x:v>
      </x:c>
    </x:row>
    <x:row r="7043" ht="23" customHeight="1">
      <x:c r="A7043" s="11" t="str">
        <x:v>09995.HK</x:v>
      </x:c>
      <x:c r="B7043" s="11" t="str">
        <x:v>三年</x:v>
      </x:c>
      <x:c r="C7043" s="11" t="str">
        <x:v>centralCost</x:v>
      </x:c>
      <x:c r="D7043" s="11" t="str">
        <x:v>2041-12-31</x:v>
      </x:c>
      <x:c r="E7043" s="11" t="str">
        <x:v>CNY</x:v>
      </x:c>
      <x:c r="F7043" s="11" t="n">
        <x:v>12.227241615331964</x:v>
      </x:c>
      <x:c r="G7043" s="26" t="b">
        <x:v>1</x:v>
      </x:c>
      <x:c r="H7043" s="16" t="n">
        <x:v>0</x:v>
      </x:c>
      <x:c r="I7043" s="16" t="n">
        <x:v>0</x:v>
      </x:c>
      <x:c r="J7043" s="16" t="n">
        <x:v>0</x:v>
      </x:c>
      <x:c r="K7043" s="11" t="n">
        <x:f>CHOOSE('假设'!$B$3,H7043,I7043,J7043)</x:f>
        <x:v>0</x:v>
      </x:c>
      <x:c r="L7043" s="11" t="n">
        <x:f>K7043*'管线假设'!E1503*'管线假设'!F1503*'管线假设'!G1503*IF(E7043="USD",'管线假设'!I1503,1)-AM7043</x:f>
        <x:v>-0.24927478665612243</x:v>
      </x:c>
      <x:c r="M7043" s="11" t="n">
        <x:f>'管线假设'!H1503</x:f>
        <x:v>0.14</x:v>
      </x:c>
      <x:c r="N7043" s="11" t="n">
        <x:f>IF(G7043,L7043*AN7043/(1+M7043)^F7043,0)</x:f>
        <x:v>-0.05022141985233214</x:v>
      </x:c>
      <x:c r="AJ7043" s="42" t="n">
        <x:v>0.20253576415809946</x:v>
      </x:c>
      <x:c r="AK7043" s="42" t="n">
        <x:v>0.24927478665612243</x:v>
      </x:c>
      <x:c r="AL7043" s="42" t="n">
        <x:v>0.36018870110138335</x:v>
      </x:c>
      <x:c r="AM7043" t="n">
        <x:f>CHOOSE('假设'!$B$3,AJ7043,AK7043,AL7043)</x:f>
        <x:v>0.24927478665612243</x:v>
      </x:c>
      <x:c r="AN7043" t="n">
        <x:v>1</x:v>
      </x:c>
    </x:row>
    <x:row r="7044" ht="23" customHeight="1">
      <x:c r="A7044" s="11" t="str">
        <x:v>09995.HK</x:v>
      </x:c>
      <x:c r="B7044" s="11" t="str">
        <x:v>三年</x:v>
      </x:c>
      <x:c r="C7044" s="11" t="str">
        <x:v>centralCost</x:v>
      </x:c>
      <x:c r="D7044" s="11" t="str">
        <x:v>2042-12-31</x:v>
      </x:c>
      <x:c r="E7044" s="11" t="str">
        <x:v>CNY</x:v>
      </x:c>
      <x:c r="F7044" s="11" t="n">
        <x:v>13.22655715263518</x:v>
      </x:c>
      <x:c r="G7044" s="26" t="b">
        <x:v>1</x:v>
      </x:c>
      <x:c r="H7044" s="16" t="n">
        <x:v>0</x:v>
      </x:c>
      <x:c r="I7044" s="16" t="n">
        <x:v>0</x:v>
      </x:c>
      <x:c r="J7044" s="16" t="n">
        <x:v>0</x:v>
      </x:c>
      <x:c r="K7044" s="11" t="n">
        <x:f>CHOOSE('假设'!$B$3,H7044,I7044,J7044)</x:f>
        <x:v>0</x:v>
      </x:c>
      <x:c r="L7044" s="11" t="n">
        <x:f>K7044*'管线假设'!E1503*'管线假设'!F1503*'管线假设'!G1503*IF(E7044="USD",'管线假设'!I1503,1)-AM7044</x:f>
        <x:v>-0.2567530302558061</x:v>
      </x:c>
      <x:c r="M7044" s="11" t="n">
        <x:f>'管线假设'!H1503</x:f>
        <x:v>0.14</x:v>
      </x:c>
      <x:c r="N7044" s="11" t="n">
        <x:f>IF(G7044,L7044*AN7044/(1+M7044)^F7044,0)</x:f>
        <x:v>-0.04537956301167545</x:v>
      </x:c>
      <x:c r="AJ7044" s="42" t="n">
        <x:v>0.20861183708284248</x:v>
      </x:c>
      <x:c r="AK7044" s="42" t="n">
        <x:v>0.2567530302558061</x:v>
      </x:c>
      <x:c r="AL7044" s="42" t="n">
        <x:v>0.37459624914543865</x:v>
      </x:c>
      <x:c r="AM7044" t="n">
        <x:f>CHOOSE('假设'!$B$3,AJ7044,AK7044,AL7044)</x:f>
        <x:v>0.2567530302558061</x:v>
      </x:c>
      <x:c r="AN7044" t="n">
        <x:v>1</x:v>
      </x:c>
    </x:row>
    <x:row r="7045" ht="23" customHeight="1">
      <x:c r="A7045" s="11" t="str">
        <x:v>09995.HK</x:v>
      </x:c>
      <x:c r="B7045" s="11" t="str">
        <x:v>三年</x:v>
      </x:c>
      <x:c r="C7045" s="11" t="str">
        <x:v>centralCost</x:v>
      </x:c>
      <x:c r="D7045" s="11" t="str">
        <x:v>2043-12-31</x:v>
      </x:c>
      <x:c r="E7045" s="11" t="str">
        <x:v>CNY</x:v>
      </x:c>
      <x:c r="F7045" s="11" t="n">
        <x:v>14.225872689938399</x:v>
      </x:c>
      <x:c r="G7045" s="26" t="b">
        <x:v>1</x:v>
      </x:c>
      <x:c r="H7045" s="16" t="n">
        <x:v>0</x:v>
      </x:c>
      <x:c r="I7045" s="16" t="n">
        <x:v>0</x:v>
      </x:c>
      <x:c r="J7045" s="16" t="n">
        <x:v>0</x:v>
      </x:c>
      <x:c r="K7045" s="11" t="n">
        <x:f>CHOOSE('假设'!$B$3,H7045,I7045,J7045)</x:f>
        <x:v>0</x:v>
      </x:c>
      <x:c r="L7045" s="11" t="n">
        <x:f>K7045*'管线假设'!E1503*'管线假设'!F1503*'管线假设'!G1503*IF(E7045="USD",'管线假设'!I1503,1)-AM7045</x:f>
        <x:v>-0.2644556211634803</x:v>
      </x:c>
      <x:c r="M7045" s="11" t="n">
        <x:f>'管线假设'!H1503</x:f>
        <x:v>0.14</x:v>
      </x:c>
      <x:c r="N7045" s="11" t="n">
        <x:f>IF(G7045,L7045*AN7045/(1+M7045)^F7045,0)</x:f>
        <x:v>-0.041004510529285526</x:v>
      </x:c>
      <x:c r="AJ7045" s="42" t="n">
        <x:v>0.21487019219532774</x:v>
      </x:c>
      <x:c r="AK7045" s="42" t="n">
        <x:v>0.2644556211634803</x:v>
      </x:c>
      <x:c r="AL7045" s="42" t="n">
        <x:v>0.38958009911125624</x:v>
      </x:c>
      <x:c r="AM7045" t="n">
        <x:f>CHOOSE('假设'!$B$3,AJ7045,AK7045,AL7045)</x:f>
        <x:v>0.2644556211634803</x:v>
      </x:c>
      <x:c r="AN7045" t="n">
        <x:v>1</x:v>
      </x:c>
    </x:row>
    <x:row r="7046" ht="23" customHeight="1">
      <x:c r="A7046" s="11" t="str">
        <x:v>09995.HK</x:v>
      </x:c>
      <x:c r="B7046" s="11" t="str">
        <x:v>三年</x:v>
      </x:c>
      <x:c r="C7046" s="11" t="str">
        <x:v>centralCost</x:v>
      </x:c>
      <x:c r="D7046" s="11" t="str">
        <x:v>2044-12-31</x:v>
      </x:c>
      <x:c r="E7046" s="11" t="str">
        <x:v>CNY</x:v>
      </x:c>
      <x:c r="F7046" s="11" t="n">
        <x:v>15.227926078028748</x:v>
      </x:c>
      <x:c r="G7046" s="26" t="b">
        <x:v>1</x:v>
      </x:c>
      <x:c r="H7046" s="16" t="n">
        <x:v>0</x:v>
      </x:c>
      <x:c r="I7046" s="16" t="n">
        <x:v>0</x:v>
      </x:c>
      <x:c r="J7046" s="16" t="n">
        <x:v>0</x:v>
      </x:c>
      <x:c r="K7046" s="11" t="n">
        <x:f>CHOOSE('假设'!$B$3,H7046,I7046,J7046)</x:f>
        <x:v>0</x:v>
      </x:c>
      <x:c r="L7046" s="11" t="n">
        <x:f>K7046*'管线假设'!E1503*'管线假设'!F1503*'管线假设'!G1503*IF(E7046="USD",'管线假设'!I1503,1)-AM7046</x:f>
        <x:v>-0.2723892897983847</x:v>
      </x:c>
      <x:c r="M7046" s="11" t="n">
        <x:f>'管线假设'!H1503</x:f>
        <x:v>0.14</x:v>
      </x:c>
      <x:c r="N7046" s="11" t="n">
        <x:f>IF(G7046,L7046*AN7046/(1+M7046)^F7046,0)</x:f>
        <x:v>-0.037037968476398876</x:v>
      </x:c>
      <x:c r="AJ7046" s="42" t="n">
        <x:v>0.2213162979611876</x:v>
      </x:c>
      <x:c r="AK7046" s="42" t="n">
        <x:v>0.2723892897983847</x:v>
      </x:c>
      <x:c r="AL7046" s="42" t="n">
        <x:v>0.4051633030757065</x:v>
      </x:c>
      <x:c r="AM7046" t="n">
        <x:f>CHOOSE('假设'!$B$3,AJ7046,AK7046,AL7046)</x:f>
        <x:v>0.2723892897983847</x:v>
      </x:c>
      <x:c r="AN7046" t="n">
        <x:v>1</x:v>
      </x:c>
    </x:row>
    <x:row r="7047" ht="23" customHeight="1">
      <x:c r="A7047" s="11" t="str">
        <x:v>09995.HK</x:v>
      </x:c>
      <x:c r="B7047" s="11" t="str">
        <x:v>五年</x:v>
      </x:c>
      <x:c r="C7047" s="11" t="str">
        <x:v>RC18_approved_China</x:v>
      </x:c>
      <x:c r="D7047" s="11" t="str">
        <x:v>2026-12-31</x:v>
      </x:c>
      <x:c r="E7047" s="11" t="str">
        <x:v>CNY</x:v>
      </x:c>
      <x:c r="F7047" s="11" t="n">
        <x:v>-4.772073921971253</x:v>
      </x:c>
      <x:c r="G7047" s="26" t="b">
        <x:v>0</x:v>
      </x:c>
      <x:c r="H7047" s="16" t="n">
        <x:v>1.65</x:v>
      </x:c>
      <x:c r="I7047" s="16" t="n">
        <x:v>2</x:v>
      </x:c>
      <x:c r="J7047" s="16" t="n">
        <x:v>2.3</x:v>
      </x:c>
      <x:c r="K7047" s="11" t="n">
        <x:f>CHOOSE('假设'!$B$3,H7047,I7047,J7047)</x:f>
        <x:v>2</x:v>
      </x:c>
      <x:c r="L7047" s="11" t="n">
        <x:f>K7047*'管线假设'!E1507*'管线假设'!F1507*'管线假设'!G1507*IF(E7047="USD",'管线假设'!I1507,1)-AM7047</x:f>
        <x:v>0.6941999999999999</x:v>
      </x:c>
      <x:c r="M7047" s="11" t="n">
        <x:f>'管线假设'!H1507</x:f>
        <x:v>0.14</x:v>
      </x:c>
      <x:c r="N7047" s="11" t="n">
        <x:f>IF(G7047,L7047*AN7047/(1+M7047)^F7047,0)</x:f>
        <x:v>0</x:v>
      </x:c>
      <x:c r="AJ7047" s="42" t="n">
        <x:v>0.08</x:v>
      </x:c>
      <x:c r="AK7047" s="42" t="n">
        <x:v>0.14</x:v>
      </x:c>
      <x:c r="AL7047" s="42" t="n">
        <x:v>0.2</x:v>
      </x:c>
      <x:c r="AM7047" t="n">
        <x:f>CHOOSE('假设'!$B$3,AJ7047,AK7047,AL7047)</x:f>
        <x:v>0.14</x:v>
      </x:c>
      <x:c r="AN7047" t="n">
        <x:v>0</x:v>
      </x:c>
    </x:row>
    <x:row r="7048" ht="23" customHeight="1">
      <x:c r="A7048" s="11" t="str">
        <x:v>09995.HK</x:v>
      </x:c>
      <x:c r="B7048" s="11" t="str">
        <x:v>五年</x:v>
      </x:c>
      <x:c r="C7048" s="11" t="str">
        <x:v>RC18_approved_China</x:v>
      </x:c>
      <x:c r="D7048" s="11" t="str">
        <x:v>2027-12-31</x:v>
      </x:c>
      <x:c r="E7048" s="11" t="str">
        <x:v>CNY</x:v>
      </x:c>
      <x:c r="F7048" s="11" t="n">
        <x:v>-3.7727583846680357</x:v>
      </x:c>
      <x:c r="G7048" s="26" t="b">
        <x:v>0</x:v>
      </x:c>
      <x:c r="H7048" s="16" t="n">
        <x:v>1.8</x:v>
      </x:c>
      <x:c r="I7048" s="16" t="n">
        <x:v>2.7</x:v>
      </x:c>
      <x:c r="J7048" s="16" t="n">
        <x:v>3.5</x:v>
      </x:c>
      <x:c r="K7048" s="11" t="n">
        <x:f>CHOOSE('假设'!$B$3,H7048,I7048,J7048)</x:f>
        <x:v>2.7</x:v>
      </x:c>
      <x:c r="L7048" s="11" t="n">
        <x:f>K7048*'管线假设'!E1507*'管线假设'!F1507*'管线假设'!G1507*IF(E7048="USD",'管线假设'!I1507,1)-AM7048</x:f>
        <x:v>1.00617</x:v>
      </x:c>
      <x:c r="M7048" s="11" t="n">
        <x:f>'管线假设'!H1507</x:f>
        <x:v>0.14</x:v>
      </x:c>
      <x:c r="N7048" s="11" t="n">
        <x:f>IF(G7048,L7048*AN7048/(1+M7048)^F7048,0)</x:f>
        <x:v>0</x:v>
      </x:c>
      <x:c r="AJ7048" s="42" t="n">
        <x:v>0.08</x:v>
      </x:c>
      <x:c r="AK7048" s="42" t="n">
        <x:v>0.12</x:v>
      </x:c>
      <x:c r="AL7048" s="42" t="n">
        <x:v>0.18</x:v>
      </x:c>
      <x:c r="AM7048" t="n">
        <x:f>CHOOSE('假设'!$B$3,AJ7048,AK7048,AL7048)</x:f>
        <x:v>0.12</x:v>
      </x:c>
      <x:c r="AN7048" t="n">
        <x:v>0</x:v>
      </x:c>
    </x:row>
    <x:row r="7049" ht="23" customHeight="1">
      <x:c r="A7049" s="11" t="str">
        <x:v>09995.HK</x:v>
      </x:c>
      <x:c r="B7049" s="11" t="str">
        <x:v>五年</x:v>
      </x:c>
      <x:c r="C7049" s="11" t="str">
        <x:v>RC18_approved_China</x:v>
      </x:c>
      <x:c r="D7049" s="11" t="str">
        <x:v>2028-12-31</x:v>
      </x:c>
      <x:c r="E7049" s="11" t="str">
        <x:v>CNY</x:v>
      </x:c>
      <x:c r="F7049" s="11" t="n">
        <x:v>-2.7707049965776864</x:v>
      </x:c>
      <x:c r="G7049" s="26" t="b">
        <x:v>0</x:v>
      </x:c>
      <x:c r="H7049" s="16" t="n">
        <x:v>1.95</x:v>
      </x:c>
      <x:c r="I7049" s="16" t="n">
        <x:v>3.5</x:v>
      </x:c>
      <x:c r="J7049" s="16" t="n">
        <x:v>5</x:v>
      </x:c>
      <x:c r="K7049" s="11" t="n">
        <x:f>CHOOSE('假设'!$B$3,H7049,I7049,J7049)</x:f>
        <x:v>3.5</x:v>
      </x:c>
      <x:c r="L7049" s="11" t="n">
        <x:f>K7049*'管线假设'!E1507*'管线假设'!F1507*'管线假设'!G1507*IF(E7049="USD",'管线假设'!I1507,1)-AM7049</x:f>
        <x:v>1.37985</x:v>
      </x:c>
      <x:c r="M7049" s="11" t="n">
        <x:f>'管线假设'!H1507</x:f>
        <x:v>0.14</x:v>
      </x:c>
      <x:c r="N7049" s="11" t="n">
        <x:f>IF(G7049,L7049*AN7049/(1+M7049)^F7049,0)</x:f>
        <x:v>0</x:v>
      </x:c>
      <x:c r="AJ7049" s="42" t="n">
        <x:v>0.05</x:v>
      </x:c>
      <x:c r="AK7049" s="42" t="n">
        <x:v>0.08</x:v>
      </x:c>
      <x:c r="AL7049" s="42" t="n">
        <x:v>0.13</x:v>
      </x:c>
      <x:c r="AM7049" t="n">
        <x:f>CHOOSE('假设'!$B$3,AJ7049,AK7049,AL7049)</x:f>
        <x:v>0.08</x:v>
      </x:c>
      <x:c r="AN7049" t="n">
        <x:v>0</x:v>
      </x:c>
    </x:row>
    <x:row r="7050" ht="23" customHeight="1">
      <x:c r="A7050" s="11" t="str">
        <x:v>09995.HK</x:v>
      </x:c>
      <x:c r="B7050" s="11" t="str">
        <x:v>五年</x:v>
      </x:c>
      <x:c r="C7050" s="11" t="str">
        <x:v>RC18_approved_China</x:v>
      </x:c>
      <x:c r="D7050" s="11" t="str">
        <x:v>2029-12-31</x:v>
      </x:c>
      <x:c r="E7050" s="11" t="str">
        <x:v>CNY</x:v>
      </x:c>
      <x:c r="F7050" s="11" t="n">
        <x:v>-1.7713894592744694</x:v>
      </x:c>
      <x:c r="G7050" s="26" t="b">
        <x:v>0</x:v>
      </x:c>
      <x:c r="H7050" s="16" t="n">
        <x:v>2.1</x:v>
      </x:c>
      <x:c r="I7050" s="16" t="n">
        <x:v>4.4</x:v>
      </x:c>
      <x:c r="J7050" s="16" t="n">
        <x:v>6.7</x:v>
      </x:c>
      <x:c r="K7050" s="11" t="n">
        <x:f>CHOOSE('假设'!$B$3,H7050,I7050,J7050)</x:f>
        <x:v>4.4</x:v>
      </x:c>
      <x:c r="L7050" s="11" t="n">
        <x:f>K7050*'管线假设'!E1507*'管线假设'!F1507*'管线假设'!G1507*IF(E7050="USD",'管线假设'!I1507,1)-AM7050</x:f>
        <x:v>1.77524</x:v>
      </x:c>
      <x:c r="M7050" s="11" t="n">
        <x:f>'管线假设'!H1507</x:f>
        <x:v>0.14</x:v>
      </x:c>
      <x:c r="N7050" s="11" t="n">
        <x:f>IF(G7050,L7050*AN7050/(1+M7050)^F7050,0)</x:f>
        <x:v>0</x:v>
      </x:c>
      <x:c r="AJ7050" s="42" t="n">
        <x:v>0</x:v>
      </x:c>
      <x:c r="AK7050" s="42" t="n">
        <x:v>0.06</x:v>
      </x:c>
      <x:c r="AL7050" s="42" t="n">
        <x:v>0.1</x:v>
      </x:c>
      <x:c r="AM7050" t="n">
        <x:f>CHOOSE('假设'!$B$3,AJ7050,AK7050,AL7050)</x:f>
        <x:v>0.06</x:v>
      </x:c>
      <x:c r="AN7050" t="n">
        <x:v>0</x:v>
      </x:c>
    </x:row>
    <x:row r="7051" ht="23" customHeight="1">
      <x:c r="A7051" s="11" t="str">
        <x:v>09995.HK</x:v>
      </x:c>
      <x:c r="B7051" s="11" t="str">
        <x:v>五年</x:v>
      </x:c>
      <x:c r="C7051" s="11" t="str">
        <x:v>RC18_approved_China</x:v>
      </x:c>
      <x:c r="D7051" s="11" t="str">
        <x:v>2030-12-31</x:v>
      </x:c>
      <x:c r="E7051" s="11" t="str">
        <x:v>CNY</x:v>
      </x:c>
      <x:c r="F7051" s="11" t="n">
        <x:v>-0.7720739219712526</x:v>
      </x:c>
      <x:c r="G7051" s="26" t="b">
        <x:v>0</x:v>
      </x:c>
      <x:c r="H7051" s="16" t="n">
        <x:v>2.2</x:v>
      </x:c>
      <x:c r="I7051" s="16" t="n">
        <x:v>5.3</x:v>
      </x:c>
      <x:c r="J7051" s="16" t="n">
        <x:v>8.5</x:v>
      </x:c>
      <x:c r="K7051" s="11" t="n">
        <x:f>CHOOSE('假设'!$B$3,H7051,I7051,J7051)</x:f>
        <x:v>5.3</x:v>
      </x:c>
      <x:c r="L7051" s="11" t="n">
        <x:f>K7051*'管线假设'!E1507*'管线假设'!F1507*'管线假设'!G1507*IF(E7051="USD",'管线假设'!I1507,1)-AM7051</x:f>
        <x:v>2.21063</x:v>
      </x:c>
      <x:c r="M7051" s="11" t="n">
        <x:f>'管线假设'!H1507</x:f>
        <x:v>0.14</x:v>
      </x:c>
      <x:c r="N7051" s="11" t="n">
        <x:f>IF(G7051,L7051*AN7051/(1+M7051)^F7051,0)</x:f>
        <x:v>0</x:v>
      </x:c>
      <x:c r="AJ7051" s="42" t="n">
        <x:v>0</x:v>
      </x:c>
      <x:c r="AK7051" s="42" t="n">
        <x:v>0</x:v>
      </x:c>
      <x:c r="AL7051" s="42" t="n">
        <x:v>0</x:v>
      </x:c>
      <x:c r="AM7051" t="n">
        <x:f>CHOOSE('假设'!$B$3,AJ7051,AK7051,AL7051)</x:f>
        <x:v>0</x:v>
      </x:c>
      <x:c r="AN7051" t="n">
        <x:v>0</x:v>
      </x:c>
    </x:row>
    <x:row r="7052" ht="23" customHeight="1">
      <x:c r="A7052" s="11" t="str">
        <x:v>09995.HK</x:v>
      </x:c>
      <x:c r="B7052" s="11" t="str">
        <x:v>五年</x:v>
      </x:c>
      <x:c r="C7052" s="11" t="str">
        <x:v>RC18_approved_China</x:v>
      </x:c>
      <x:c r="D7052" s="11" t="str">
        <x:v>2031-12-31</x:v>
      </x:c>
      <x:c r="E7052" s="11" t="str">
        <x:v>CNY</x:v>
      </x:c>
      <x:c r="F7052" s="11" t="n">
        <x:v>0.2272416153319644</x:v>
      </x:c>
      <x:c r="G7052" s="26" t="b">
        <x:v>1</x:v>
      </x:c>
      <x:c r="H7052" s="16" t="n">
        <x:v>2.25</x:v>
      </x:c>
      <x:c r="I7052" s="16" t="n">
        <x:v>6.1</x:v>
      </x:c>
      <x:c r="J7052" s="16" t="n">
        <x:v>10</x:v>
      </x:c>
      <x:c r="K7052" s="11" t="n">
        <x:f>CHOOSE('假设'!$B$3,H7052,I7052,J7052)</x:f>
        <x:v>6.1</x:v>
      </x:c>
      <x:c r="L7052" s="11" t="n">
        <x:f>K7052*'管线假设'!E1507*'管线假设'!F1507*'管线假设'!G1507*IF(E7052="USD",'管线假设'!I1507,1)-AM7052</x:f>
        <x:v>2.54431</x:v>
      </x:c>
      <x:c r="M7052" s="11" t="n">
        <x:f>'管线假设'!H1507</x:f>
        <x:v>0.14</x:v>
      </x:c>
      <x:c r="N7052" s="11" t="n">
        <x:f>IF(G7052,L7052*AN7052/(1+M7052)^F7052,0)</x:f>
        <x:v>0.563138971403703</x:v>
      </x:c>
      <x:c r="AJ7052" s="42" t="n">
        <x:v>0</x:v>
      </x:c>
      <x:c r="AK7052" s="42" t="n">
        <x:v>0</x:v>
      </x:c>
      <x:c r="AL7052" s="42" t="n">
        <x:v>0</x:v>
      </x:c>
      <x:c r="AM7052" t="n">
        <x:f>CHOOSE('假设'!$B$3,AJ7052,AK7052,AL7052)</x:f>
        <x:v>0</x:v>
      </x:c>
      <x:c r="AN7052" t="n">
        <x:v>0.22802197802197802</x:v>
      </x:c>
    </x:row>
    <x:row r="7053" ht="23" customHeight="1">
      <x:c r="A7053" s="11" t="str">
        <x:v>09995.HK</x:v>
      </x:c>
      <x:c r="B7053" s="11" t="str">
        <x:v>五年</x:v>
      </x:c>
      <x:c r="C7053" s="11" t="str">
        <x:v>RC18_approved_China</x:v>
      </x:c>
      <x:c r="D7053" s="11" t="str">
        <x:v>2032-12-31</x:v>
      </x:c>
      <x:c r="E7053" s="11" t="str">
        <x:v>CNY</x:v>
      </x:c>
      <x:c r="F7053" s="11" t="n">
        <x:v>1.2292950034223136</x:v>
      </x:c>
      <x:c r="G7053" s="26" t="b">
        <x:v>1</x:v>
      </x:c>
      <x:c r="H7053" s="16" t="n">
        <x:v>2.2</x:v>
      </x:c>
      <x:c r="I7053" s="16" t="n">
        <x:v>6.7</x:v>
      </x:c>
      <x:c r="J7053" s="16" t="n">
        <x:v>11</x:v>
      </x:c>
      <x:c r="K7053" s="11" t="n">
        <x:f>CHOOSE('假设'!$B$3,H7053,I7053,J7053)</x:f>
        <x:v>6.7</x:v>
      </x:c>
      <x:c r="L7053" s="11" t="n">
        <x:f>K7053*'管线假设'!E1507*'管线假设'!F1507*'管线假设'!G1507*IF(E7053="USD",'管线假设'!I1507,1)-AM7053</x:f>
        <x:v>2.7945699999999998</x:v>
      </x:c>
      <x:c r="M7053" s="11" t="n">
        <x:f>'管线假设'!H1507</x:f>
        <x:v>0.14</x:v>
      </x:c>
      <x:c r="N7053" s="11" t="n">
        <x:f>IF(G7053,L7053*AN7053/(1+M7053)^F7053,0)</x:f>
        <x:v>2.3788230780022768</x:v>
      </x:c>
      <x:c r="AJ7053" s="42" t="n">
        <x:v>0</x:v>
      </x:c>
      <x:c r="AK7053" s="42" t="n">
        <x:v>0</x:v>
      </x:c>
      <x:c r="AL7053" s="42" t="n">
        <x:v>0</x:v>
      </x:c>
      <x:c r="AM7053" t="n">
        <x:f>CHOOSE('假设'!$B$3,AJ7053,AK7053,AL7053)</x:f>
        <x:v>0</x:v>
      </x:c>
      <x:c r="AN7053" t="n">
        <x:v>1</x:v>
      </x:c>
    </x:row>
    <x:row r="7054" ht="23" customHeight="1">
      <x:c r="A7054" s="11" t="str">
        <x:v>09995.HK</x:v>
      </x:c>
      <x:c r="B7054" s="11" t="str">
        <x:v>五年</x:v>
      </x:c>
      <x:c r="C7054" s="11" t="str">
        <x:v>RC18_approved_China</x:v>
      </x:c>
      <x:c r="D7054" s="11" t="str">
        <x:v>2033-12-31</x:v>
      </x:c>
      <x:c r="E7054" s="11" t="str">
        <x:v>CNY</x:v>
      </x:c>
      <x:c r="F7054" s="11" t="n">
        <x:v>2.2286105407255303</x:v>
      </x:c>
      <x:c r="G7054" s="26" t="b">
        <x:v>1</x:v>
      </x:c>
      <x:c r="H7054" s="16" t="n">
        <x:v>2.1</x:v>
      </x:c>
      <x:c r="I7054" s="16" t="n">
        <x:v>7.2</x:v>
      </x:c>
      <x:c r="J7054" s="16" t="n">
        <x:v>12</x:v>
      </x:c>
      <x:c r="K7054" s="11" t="n">
        <x:f>CHOOSE('假设'!$B$3,H7054,I7054,J7054)</x:f>
        <x:v>7.2</x:v>
      </x:c>
      <x:c r="L7054" s="11" t="n">
        <x:f>K7054*'管线假设'!E1507*'管线假设'!F1507*'管线假设'!G1507*IF(E7054="USD",'管线假设'!I1507,1)-AM7054</x:f>
        <x:v>3.00312</x:v>
      </x:c>
      <x:c r="M7054" s="11" t="n">
        <x:f>'管线假设'!H1507</x:f>
        <x:v>0.14</x:v>
      </x:c>
      <x:c r="N7054" s="11" t="n">
        <x:f>IF(G7054,L7054*AN7054/(1+M7054)^F7054,0)</x:f>
        <x:v>2.2426109315046903</x:v>
      </x:c>
      <x:c r="AJ7054" s="42" t="n">
        <x:v>0</x:v>
      </x:c>
      <x:c r="AK7054" s="42" t="n">
        <x:v>0</x:v>
      </x:c>
      <x:c r="AL7054" s="42" t="n">
        <x:v>0</x:v>
      </x:c>
      <x:c r="AM7054" t="n">
        <x:f>CHOOSE('假设'!$B$3,AJ7054,AK7054,AL7054)</x:f>
        <x:v>0</x:v>
      </x:c>
      <x:c r="AN7054" t="n">
        <x:v>1</x:v>
      </x:c>
    </x:row>
    <x:row r="7055" ht="23" customHeight="1">
      <x:c r="A7055" s="11" t="str">
        <x:v>09995.HK</x:v>
      </x:c>
      <x:c r="B7055" s="11" t="str">
        <x:v>五年</x:v>
      </x:c>
      <x:c r="C7055" s="11" t="str">
        <x:v>RC18_approved_China</x:v>
      </x:c>
      <x:c r="D7055" s="11" t="str">
        <x:v>2034-12-31</x:v>
      </x:c>
      <x:c r="E7055" s="11" t="str">
        <x:v>CNY</x:v>
      </x:c>
      <x:c r="F7055" s="11" t="n">
        <x:v>3.2279260780287475</x:v>
      </x:c>
      <x:c r="G7055" s="26" t="b">
        <x:v>1</x:v>
      </x:c>
      <x:c r="H7055" s="16" t="n">
        <x:v>2</x:v>
      </x:c>
      <x:c r="I7055" s="16" t="n">
        <x:v>7.5</x:v>
      </x:c>
      <x:c r="J7055" s="16" t="n">
        <x:v>13</x:v>
      </x:c>
      <x:c r="K7055" s="11" t="n">
        <x:f>CHOOSE('假设'!$B$3,H7055,I7055,J7055)</x:f>
        <x:v>7.5</x:v>
      </x:c>
      <x:c r="L7055" s="11" t="n">
        <x:f>K7055*'管线假设'!E1507*'管线假设'!F1507*'管线假设'!G1507*IF(E7055="USD",'管线假设'!I1507,1)-AM7055</x:f>
        <x:v>3.1282499999999995</x:v>
      </x:c>
      <x:c r="M7055" s="11" t="n">
        <x:f>'管线假设'!H1507</x:f>
        <x:v>0.14</x:v>
      </x:c>
      <x:c r="N7055" s="11" t="n">
        <x:f>IF(G7055,L7055*AN7055/(1+M7055)^F7055,0)</x:f>
        <x:v>2.0493531311660207</x:v>
      </x:c>
      <x:c r="AJ7055" s="42" t="n">
        <x:v>0</x:v>
      </x:c>
      <x:c r="AK7055" s="42" t="n">
        <x:v>0</x:v>
      </x:c>
      <x:c r="AL7055" s="42" t="n">
        <x:v>0</x:v>
      </x:c>
      <x:c r="AM7055" t="n">
        <x:f>CHOOSE('假设'!$B$3,AJ7055,AK7055,AL7055)</x:f>
        <x:v>0</x:v>
      </x:c>
      <x:c r="AN7055" t="n">
        <x:v>1</x:v>
      </x:c>
    </x:row>
    <x:row r="7056" ht="23" customHeight="1">
      <x:c r="A7056" s="11" t="str">
        <x:v>09995.HK</x:v>
      </x:c>
      <x:c r="B7056" s="11" t="str">
        <x:v>五年</x:v>
      </x:c>
      <x:c r="C7056" s="11" t="str">
        <x:v>RC18_approved_China</x:v>
      </x:c>
      <x:c r="D7056" s="11" t="str">
        <x:v>2035-12-31</x:v>
      </x:c>
      <x:c r="E7056" s="11" t="str">
        <x:v>CNY</x:v>
      </x:c>
      <x:c r="F7056" s="11" t="n">
        <x:v>4.227241615331964</x:v>
      </x:c>
      <x:c r="G7056" s="26" t="b">
        <x:v>1</x:v>
      </x:c>
      <x:c r="H7056" s="16" t="n">
        <x:v>1.8</x:v>
      </x:c>
      <x:c r="I7056" s="16" t="n">
        <x:v>7.5</x:v>
      </x:c>
      <x:c r="J7056" s="16" t="n">
        <x:v>13</x:v>
      </x:c>
      <x:c r="K7056" s="11" t="n">
        <x:f>CHOOSE('假设'!$B$3,H7056,I7056,J7056)</x:f>
        <x:v>7.5</x:v>
      </x:c>
      <x:c r="L7056" s="11" t="n">
        <x:f>K7056*'管线假设'!E1507*'管线假设'!F1507*'管线假设'!G1507*IF(E7056="USD",'管线假设'!I1507,1)-AM7056</x:f>
        <x:v>3.1282499999999995</x:v>
      </x:c>
      <x:c r="M7056" s="11" t="n">
        <x:f>'管线假设'!H1507</x:f>
        <x:v>0.14</x:v>
      </x:c>
      <x:c r="N7056" s="11" t="n">
        <x:f>IF(G7056,L7056*AN7056/(1+M7056)^F7056,0)</x:f>
        <x:v>1.797839415357698</x:v>
      </x:c>
      <x:c r="AJ7056" s="42" t="n">
        <x:v>0</x:v>
      </x:c>
      <x:c r="AK7056" s="42" t="n">
        <x:v>0</x:v>
      </x:c>
      <x:c r="AL7056" s="42" t="n">
        <x:v>0</x:v>
      </x:c>
      <x:c r="AM7056" t="n">
        <x:f>CHOOSE('假设'!$B$3,AJ7056,AK7056,AL7056)</x:f>
        <x:v>0</x:v>
      </x:c>
      <x:c r="AN7056" t="n">
        <x:v>1</x:v>
      </x:c>
    </x:row>
    <x:row r="7057" ht="23" customHeight="1">
      <x:c r="A7057" s="11" t="str">
        <x:v>09995.HK</x:v>
      </x:c>
      <x:c r="B7057" s="11" t="str">
        <x:v>五年</x:v>
      </x:c>
      <x:c r="C7057" s="11" t="str">
        <x:v>RC18_approved_China</x:v>
      </x:c>
      <x:c r="D7057" s="11" t="str">
        <x:v>2036-12-31</x:v>
      </x:c>
      <x:c r="E7057" s="11" t="str">
        <x:v>CNY</x:v>
      </x:c>
      <x:c r="F7057" s="11" t="n">
        <x:v>5.229295003422314</x:v>
      </x:c>
      <x:c r="G7057" s="26" t="b">
        <x:v>1</x:v>
      </x:c>
      <x:c r="H7057" s="16" t="n">
        <x:v>1.6</x:v>
      </x:c>
      <x:c r="I7057" s="16" t="n">
        <x:v>7.4</x:v>
      </x:c>
      <x:c r="J7057" s="16" t="n">
        <x:v>12.8</x:v>
      </x:c>
      <x:c r="K7057" s="11" t="n">
        <x:f>CHOOSE('假设'!$B$3,H7057,I7057,J7057)</x:f>
        <x:v>7.4</x:v>
      </x:c>
      <x:c r="L7057" s="11" t="n">
        <x:f>K7057*'管线假设'!E1507*'管线假设'!F1507*'管线假设'!G1507*IF(E7057="USD",'管线假设'!I1507,1)-AM7057</x:f>
        <x:v>3.08654</x:v>
      </x:c>
      <x:c r="M7057" s="11" t="n">
        <x:f>'管线假设'!H1507</x:f>
        <x:v>0.14</x:v>
      </x:c>
      <x:c r="N7057" s="11" t="n">
        <x:f>IF(G7057,L7057*AN7057/(1+M7057)^F7057,0)</x:f>
        <x:v>1.5556061620899475</x:v>
      </x:c>
      <x:c r="AJ7057" s="42" t="n">
        <x:v>0</x:v>
      </x:c>
      <x:c r="AK7057" s="42" t="n">
        <x:v>0</x:v>
      </x:c>
      <x:c r="AL7057" s="42" t="n">
        <x:v>0</x:v>
      </x:c>
      <x:c r="AM7057" t="n">
        <x:f>CHOOSE('假设'!$B$3,AJ7057,AK7057,AL7057)</x:f>
        <x:v>0</x:v>
      </x:c>
      <x:c r="AN7057" t="n">
        <x:v>1</x:v>
      </x:c>
    </x:row>
    <x:row r="7058" ht="23" customHeight="1">
      <x:c r="A7058" s="11" t="str">
        <x:v>09995.HK</x:v>
      </x:c>
      <x:c r="B7058" s="11" t="str">
        <x:v>五年</x:v>
      </x:c>
      <x:c r="C7058" s="11" t="str">
        <x:v>RC18_approved_China</x:v>
      </x:c>
      <x:c r="D7058" s="11" t="str">
        <x:v>2037-12-31</x:v>
      </x:c>
      <x:c r="E7058" s="11" t="str">
        <x:v>CNY</x:v>
      </x:c>
      <x:c r="F7058" s="11" t="n">
        <x:v>6.228610540725531</x:v>
      </x:c>
      <x:c r="G7058" s="26" t="b">
        <x:v>1</x:v>
      </x:c>
      <x:c r="H7058" s="16" t="n">
        <x:v>1.4</x:v>
      </x:c>
      <x:c r="I7058" s="16" t="n">
        <x:v>7.1</x:v>
      </x:c>
      <x:c r="J7058" s="16" t="n">
        <x:v>12</x:v>
      </x:c>
      <x:c r="K7058" s="11" t="n">
        <x:f>CHOOSE('假设'!$B$3,H7058,I7058,J7058)</x:f>
        <x:v>7.1</x:v>
      </x:c>
      <x:c r="L7058" s="11" t="n">
        <x:f>K7058*'管线假设'!E1507*'管线假设'!F1507*'管线假设'!G1507*IF(E7058="USD",'管线假设'!I1507,1)-AM7058</x:f>
        <x:v>2.96141</x:v>
      </x:c>
      <x:c r="M7058" s="11" t="n">
        <x:f>'管线假设'!H1507</x:f>
        <x:v>0.14</x:v>
      </x:c>
      <x:c r="N7058" s="11" t="n">
        <x:f>IF(G7058,L7058*AN7058/(1+M7058)^F7058,0)</x:f>
        <x:v>1.3093639564926225</x:v>
      </x:c>
      <x:c r="AJ7058" s="42" t="n">
        <x:v>0</x:v>
      </x:c>
      <x:c r="AK7058" s="42" t="n">
        <x:v>0</x:v>
      </x:c>
      <x:c r="AL7058" s="42" t="n">
        <x:v>0</x:v>
      </x:c>
      <x:c r="AM7058" t="n">
        <x:f>CHOOSE('假设'!$B$3,AJ7058,AK7058,AL7058)</x:f>
        <x:v>0</x:v>
      </x:c>
      <x:c r="AN7058" t="n">
        <x:v>1</x:v>
      </x:c>
    </x:row>
    <x:row r="7059" ht="23" customHeight="1">
      <x:c r="A7059" s="11" t="str">
        <x:v>09995.HK</x:v>
      </x:c>
      <x:c r="B7059" s="11" t="str">
        <x:v>五年</x:v>
      </x:c>
      <x:c r="C7059" s="11" t="str">
        <x:v>RC18_approved_China</x:v>
      </x:c>
      <x:c r="D7059" s="11" t="str">
        <x:v>2038-12-31</x:v>
      </x:c>
      <x:c r="E7059" s="11" t="str">
        <x:v>CNY</x:v>
      </x:c>
      <x:c r="F7059" s="11" t="n">
        <x:v>7.227926078028747</x:v>
      </x:c>
      <x:c r="G7059" s="26" t="b">
        <x:v>1</x:v>
      </x:c>
      <x:c r="H7059" s="16" t="n">
        <x:v>1.2</x:v>
      </x:c>
      <x:c r="I7059" s="16" t="n">
        <x:v>6.6</x:v>
      </x:c>
      <x:c r="J7059" s="16" t="n">
        <x:v>11</x:v>
      </x:c>
      <x:c r="K7059" s="11" t="n">
        <x:f>CHOOSE('假设'!$B$3,H7059,I7059,J7059)</x:f>
        <x:v>6.6</x:v>
      </x:c>
      <x:c r="L7059" s="11" t="n">
        <x:f>K7059*'管线假设'!E1507*'管线假设'!F1507*'管线假设'!G1507*IF(E7059="USD",'管线假设'!I1507,1)-AM7059</x:f>
        <x:v>2.7528599999999996</x:v>
      </x:c>
      <x:c r="M7059" s="11" t="n">
        <x:f>'管线假设'!H1507</x:f>
        <x:v>0.14</x:v>
      </x:c>
      <x:c r="N7059" s="11" t="n">
        <x:f>IF(G7059,L7059*AN7059/(1+M7059)^F7059,0)</x:f>
        <x:v>1.0677757818906144</x:v>
      </x:c>
      <x:c r="AJ7059" s="42" t="n">
        <x:v>0</x:v>
      </x:c>
      <x:c r="AK7059" s="42" t="n">
        <x:v>0</x:v>
      </x:c>
      <x:c r="AL7059" s="42" t="n">
        <x:v>0</x:v>
      </x:c>
      <x:c r="AM7059" t="n">
        <x:f>CHOOSE('假设'!$B$3,AJ7059,AK7059,AL7059)</x:f>
        <x:v>0</x:v>
      </x:c>
      <x:c r="AN7059" t="n">
        <x:v>1</x:v>
      </x:c>
    </x:row>
    <x:row r="7060" ht="23" customHeight="1">
      <x:c r="A7060" s="11" t="str">
        <x:v>09995.HK</x:v>
      </x:c>
      <x:c r="B7060" s="11" t="str">
        <x:v>五年</x:v>
      </x:c>
      <x:c r="C7060" s="11" t="str">
        <x:v>RC18_approved_China</x:v>
      </x:c>
      <x:c r="D7060" s="11" t="str">
        <x:v>2039-12-31</x:v>
      </x:c>
      <x:c r="E7060" s="11" t="str">
        <x:v>CNY</x:v>
      </x:c>
      <x:c r="F7060" s="11" t="n">
        <x:v>8.227241615331964</x:v>
      </x:c>
      <x:c r="G7060" s="26" t="b">
        <x:v>1</x:v>
      </x:c>
      <x:c r="H7060" s="16" t="n">
        <x:v>1</x:v>
      </x:c>
      <x:c r="I7060" s="16" t="n">
        <x:v>5.9</x:v>
      </x:c>
      <x:c r="J7060" s="16" t="n">
        <x:v>9.5</x:v>
      </x:c>
      <x:c r="K7060" s="11" t="n">
        <x:f>CHOOSE('假设'!$B$3,H7060,I7060,J7060)</x:f>
        <x:v>5.9</x:v>
      </x:c>
      <x:c r="L7060" s="11" t="n">
        <x:f>K7060*'管线假设'!E1507*'管线假设'!F1507*'管线假设'!G1507*IF(E7060="USD",'管线假设'!I1507,1)-AM7060</x:f>
        <x:v>2.46089</x:v>
      </x:c>
      <x:c r="M7060" s="11" t="n">
        <x:f>'管线假设'!H1507</x:f>
        <x:v>0.14</x:v>
      </x:c>
      <x:c r="N7060" s="11" t="n">
        <x:f>IF(G7060,L7060*AN7060/(1+M7060)^F7060,0)</x:f>
        <x:v>0.8373793376401423</x:v>
      </x:c>
      <x:c r="AJ7060" s="42" t="n">
        <x:v>0</x:v>
      </x:c>
      <x:c r="AK7060" s="42" t="n">
        <x:v>0</x:v>
      </x:c>
      <x:c r="AL7060" s="42" t="n">
        <x:v>0</x:v>
      </x:c>
      <x:c r="AM7060" t="n">
        <x:f>CHOOSE('假设'!$B$3,AJ7060,AK7060,AL7060)</x:f>
        <x:v>0</x:v>
      </x:c>
      <x:c r="AN7060" t="n">
        <x:v>1</x:v>
      </x:c>
    </x:row>
    <x:row r="7061" ht="23" customHeight="1">
      <x:c r="A7061" s="11" t="str">
        <x:v>09995.HK</x:v>
      </x:c>
      <x:c r="B7061" s="11" t="str">
        <x:v>五年</x:v>
      </x:c>
      <x:c r="C7061" s="11" t="str">
        <x:v>RC18_approved_China</x:v>
      </x:c>
      <x:c r="D7061" s="11" t="str">
        <x:v>2040-12-31</x:v>
      </x:c>
      <x:c r="E7061" s="11" t="str">
        <x:v>CNY</x:v>
      </x:c>
      <x:c r="F7061" s="11" t="n">
        <x:v>9.229295003422314</x:v>
      </x:c>
      <x:c r="G7061" s="26" t="b">
        <x:v>1</x:v>
      </x:c>
      <x:c r="H7061" s="16" t="n">
        <x:v>0.8</x:v>
      </x:c>
      <x:c r="I7061" s="16" t="n">
        <x:v>5</x:v>
      </x:c>
      <x:c r="J7061" s="16" t="n">
        <x:v>8</x:v>
      </x:c>
      <x:c r="K7061" s="11" t="n">
        <x:f>CHOOSE('假设'!$B$3,H7061,I7061,J7061)</x:f>
        <x:v>5</x:v>
      </x:c>
      <x:c r="L7061" s="11" t="n">
        <x:f>K7061*'管线假设'!E1507*'管线假设'!F1507*'管线假设'!G1507*IF(E7061="USD",'管线假设'!I1507,1)-AM7061</x:f>
        <x:v>2.0854999999999997</x:v>
      </x:c>
      <x:c r="M7061" s="11" t="n">
        <x:f>'管线假设'!H1507</x:f>
        <x:v>0.14</x:v>
      </x:c>
      <x:c r="N7061" s="11" t="n">
        <x:f>IF(G7061,L7061*AN7061/(1+M7061)^F7061,0)</x:f>
        <x:v>0.6223268431952649</x:v>
      </x:c>
      <x:c r="AJ7061" s="42" t="n">
        <x:v>0</x:v>
      </x:c>
      <x:c r="AK7061" s="42" t="n">
        <x:v>0</x:v>
      </x:c>
      <x:c r="AL7061" s="42" t="n">
        <x:v>0</x:v>
      </x:c>
      <x:c r="AM7061" t="n">
        <x:f>CHOOSE('假设'!$B$3,AJ7061,AK7061,AL7061)</x:f>
        <x:v>0</x:v>
      </x:c>
      <x:c r="AN7061" t="n">
        <x:v>1</x:v>
      </x:c>
    </x:row>
    <x:row r="7062" ht="23" customHeight="1">
      <x:c r="A7062" s="11" t="str">
        <x:v>09995.HK</x:v>
      </x:c>
      <x:c r="B7062" s="11" t="str">
        <x:v>五年</x:v>
      </x:c>
      <x:c r="C7062" s="11" t="str">
        <x:v>RC18_approved_China</x:v>
      </x:c>
      <x:c r="D7062" s="11" t="str">
        <x:v>2041-12-31</x:v>
      </x:c>
      <x:c r="E7062" s="11" t="str">
        <x:v>CNY</x:v>
      </x:c>
      <x:c r="F7062" s="11" t="n">
        <x:v>10.22861054072553</x:v>
      </x:c>
      <x:c r="G7062" s="26" t="b">
        <x:v>1</x:v>
      </x:c>
      <x:c r="H7062" s="16" t="n">
        <x:v>0.6</x:v>
      </x:c>
      <x:c r="I7062" s="16" t="n">
        <x:v>4</x:v>
      </x:c>
      <x:c r="J7062" s="16" t="n">
        <x:v>6.5</x:v>
      </x:c>
      <x:c r="K7062" s="11" t="n">
        <x:f>CHOOSE('假设'!$B$3,H7062,I7062,J7062)</x:f>
        <x:v>4</x:v>
      </x:c>
      <x:c r="L7062" s="11" t="n">
        <x:f>K7062*'管线假设'!E1507*'管线假设'!F1507*'管线假设'!G1507*IF(E7062="USD",'管线假设'!I1507,1)-AM7062</x:f>
        <x:v>1.6683999999999999</x:v>
      </x:c>
      <x:c r="M7062" s="11" t="n">
        <x:f>'管线假设'!H1507</x:f>
        <x:v>0.14</x:v>
      </x:c>
      <x:c r="N7062" s="11" t="n">
        <x:f>IF(G7062,L7062*AN7062/(1+M7062)^F7062,0)</x:f>
        <x:v>0.43675976030348207</x:v>
      </x:c>
      <x:c r="AJ7062" s="42" t="n">
        <x:v>0</x:v>
      </x:c>
      <x:c r="AK7062" s="42" t="n">
        <x:v>0</x:v>
      </x:c>
      <x:c r="AL7062" s="42" t="n">
        <x:v>0</x:v>
      </x:c>
      <x:c r="AM7062" t="n">
        <x:f>CHOOSE('假设'!$B$3,AJ7062,AK7062,AL7062)</x:f>
        <x:v>0</x:v>
      </x:c>
      <x:c r="AN7062" t="n">
        <x:v>1</x:v>
      </x:c>
    </x:row>
    <x:row r="7063" ht="23" customHeight="1">
      <x:c r="A7063" s="11" t="str">
        <x:v>09995.HK</x:v>
      </x:c>
      <x:c r="B7063" s="11" t="str">
        <x:v>五年</x:v>
      </x:c>
      <x:c r="C7063" s="11" t="str">
        <x:v>RC18_approved_China</x:v>
      </x:c>
      <x:c r="D7063" s="11" t="str">
        <x:v>2042-12-31</x:v>
      </x:c>
      <x:c r="E7063" s="11" t="str">
        <x:v>CNY</x:v>
      </x:c>
      <x:c r="F7063" s="11" t="n">
        <x:v>11.227926078028748</x:v>
      </x:c>
      <x:c r="G7063" s="26" t="b">
        <x:v>1</x:v>
      </x:c>
      <x:c r="H7063" s="16" t="n">
        <x:v>0.4</x:v>
      </x:c>
      <x:c r="I7063" s="16" t="n">
        <x:v>3</x:v>
      </x:c>
      <x:c r="J7063" s="16" t="n">
        <x:v>5</x:v>
      </x:c>
      <x:c r="K7063" s="11" t="n">
        <x:f>CHOOSE('假设'!$B$3,H7063,I7063,J7063)</x:f>
        <x:v>3</x:v>
      </x:c>
      <x:c r="L7063" s="11" t="n">
        <x:f>K7063*'管线假设'!E1507*'管线假设'!F1507*'管线假设'!G1507*IF(E7063="USD",'管线假设'!I1507,1)-AM7063</x:f>
        <x:v>1.2513</x:v>
      </x:c>
      <x:c r="M7063" s="11" t="n">
        <x:f>'管线假设'!H1507</x:f>
        <x:v>0.14</x:v>
      </x:c>
      <x:c r="N7063" s="11" t="n">
        <x:f>IF(G7063,L7063*AN7063/(1+M7063)^F7063,0)</x:f>
        <x:v>0.2873677186868027</x:v>
      </x:c>
      <x:c r="AJ7063" s="42" t="n">
        <x:v>0</x:v>
      </x:c>
      <x:c r="AK7063" s="42" t="n">
        <x:v>0</x:v>
      </x:c>
      <x:c r="AL7063" s="42" t="n">
        <x:v>0</x:v>
      </x:c>
      <x:c r="AM7063" t="n">
        <x:f>CHOOSE('假设'!$B$3,AJ7063,AK7063,AL7063)</x:f>
        <x:v>0</x:v>
      </x:c>
      <x:c r="AN7063" t="n">
        <x:v>1</x:v>
      </x:c>
    </x:row>
    <x:row r="7064" ht="23" customHeight="1">
      <x:c r="A7064" s="11" t="str">
        <x:v>09995.HK</x:v>
      </x:c>
      <x:c r="B7064" s="11" t="str">
        <x:v>五年</x:v>
      </x:c>
      <x:c r="C7064" s="11" t="str">
        <x:v>RC18_approved_China</x:v>
      </x:c>
      <x:c r="D7064" s="11" t="str">
        <x:v>2043-12-31</x:v>
      </x:c>
      <x:c r="E7064" s="11" t="str">
        <x:v>CNY</x:v>
      </x:c>
      <x:c r="F7064" s="11" t="n">
        <x:v>12.227241615331964</x:v>
      </x:c>
      <x:c r="G7064" s="26" t="b">
        <x:v>1</x:v>
      </x:c>
      <x:c r="H7064" s="16" t="n">
        <x:v>0.25</x:v>
      </x:c>
      <x:c r="I7064" s="16" t="n">
        <x:v>2</x:v>
      </x:c>
      <x:c r="J7064" s="16" t="n">
        <x:v>3.5</x:v>
      </x:c>
      <x:c r="K7064" s="11" t="n">
        <x:f>CHOOSE('假设'!$B$3,H7064,I7064,J7064)</x:f>
        <x:v>2</x:v>
      </x:c>
      <x:c r="L7064" s="11" t="n">
        <x:f>K7064*'管线假设'!E1507*'管线假设'!F1507*'管线假设'!G1507*IF(E7064="USD",'管线假设'!I1507,1)-AM7064</x:f>
        <x:v>0.8341999999999999</x:v>
      </x:c>
      <x:c r="M7064" s="11" t="n">
        <x:f>'管线假设'!H1507</x:f>
        <x:v>0.14</x:v>
      </x:c>
      <x:c r="N7064" s="11" t="n">
        <x:f>IF(G7064,L7064*AN7064/(1+M7064)^F7064,0)</x:f>
        <x:v>0.16806636965899693</x:v>
      </x:c>
      <x:c r="AJ7064" s="42" t="n">
        <x:v>0</x:v>
      </x:c>
      <x:c r="AK7064" s="42" t="n">
        <x:v>0</x:v>
      </x:c>
      <x:c r="AL7064" s="42" t="n">
        <x:v>0</x:v>
      </x:c>
      <x:c r="AM7064" t="n">
        <x:f>CHOOSE('假设'!$B$3,AJ7064,AK7064,AL7064)</x:f>
        <x:v>0</x:v>
      </x:c>
      <x:c r="AN7064" t="n">
        <x:v>1</x:v>
      </x:c>
    </x:row>
    <x:row r="7065" ht="23" customHeight="1">
      <x:c r="A7065" s="11" t="str">
        <x:v>09995.HK</x:v>
      </x:c>
      <x:c r="B7065" s="11" t="str">
        <x:v>五年</x:v>
      </x:c>
      <x:c r="C7065" s="11" t="str">
        <x:v>RC18_approved_China</x:v>
      </x:c>
      <x:c r="D7065" s="11" t="str">
        <x:v>2044-12-31</x:v>
      </x:c>
      <x:c r="E7065" s="11" t="str">
        <x:v>CNY</x:v>
      </x:c>
      <x:c r="F7065" s="11" t="n">
        <x:v>13.229295003422314</x:v>
      </x:c>
      <x:c r="G7065" s="26" t="b">
        <x:v>1</x:v>
      </x:c>
      <x:c r="H7065" s="16" t="n">
        <x:v>0.15</x:v>
      </x:c>
      <x:c r="I7065" s="16" t="n">
        <x:v>1.2</x:v>
      </x:c>
      <x:c r="J7065" s="16" t="n">
        <x:v>2</x:v>
      </x:c>
      <x:c r="K7065" s="11" t="n">
        <x:f>CHOOSE('假设'!$B$3,H7065,I7065,J7065)</x:f>
        <x:v>1.2</x:v>
      </x:c>
      <x:c r="L7065" s="11" t="n">
        <x:f>K7065*'管线假设'!E1507*'管线假设'!F1507*'管线假设'!G1507*IF(E7065="USD",'管线假设'!I1507,1)-AM7065</x:f>
        <x:v>0.50052</x:v>
      </x:c>
      <x:c r="M7065" s="11" t="n">
        <x:f>'管线假设'!H1507</x:f>
        <x:v>0.14</x:v>
      </x:c>
      <x:c r="N7065" s="11" t="n">
        <x:f>IF(G7065,L7065*AN7065/(1+M7065)^F7065,0)</x:f>
        <x:v>0.08843218798415205</x:v>
      </x:c>
      <x:c r="AJ7065" s="42" t="n">
        <x:v>0</x:v>
      </x:c>
      <x:c r="AK7065" s="42" t="n">
        <x:v>0</x:v>
      </x:c>
      <x:c r="AL7065" s="42" t="n">
        <x:v>0</x:v>
      </x:c>
      <x:c r="AM7065" t="n">
        <x:f>CHOOSE('假设'!$B$3,AJ7065,AK7065,AL7065)</x:f>
        <x:v>0</x:v>
      </x:c>
      <x:c r="AN7065" t="n">
        <x:v>1</x:v>
      </x:c>
    </x:row>
    <x:row r="7066" ht="23" customHeight="1">
      <x:c r="A7066" s="11" t="str">
        <x:v>09995.HK</x:v>
      </x:c>
      <x:c r="B7066" s="11" t="str">
        <x:v>五年</x:v>
      </x:c>
      <x:c r="C7066" s="11" t="str">
        <x:v>RC48_approved_China</x:v>
      </x:c>
      <x:c r="D7066" s="11" t="str">
        <x:v>2026-12-31</x:v>
      </x:c>
      <x:c r="E7066" s="11" t="str">
        <x:v>CNY</x:v>
      </x:c>
      <x:c r="F7066" s="11" t="n">
        <x:v>-4.772073921971253</x:v>
      </x:c>
      <x:c r="G7066" s="26" t="b">
        <x:v>0</x:v>
      </x:c>
      <x:c r="H7066" s="16" t="n">
        <x:v>0.7</x:v>
      </x:c>
      <x:c r="I7066" s="16" t="n">
        <x:v>0.8</x:v>
      </x:c>
      <x:c r="J7066" s="16" t="n">
        <x:v>0.95</x:v>
      </x:c>
      <x:c r="K7066" s="11" t="n">
        <x:f>CHOOSE('假设'!$B$3,H7066,I7066,J7066)</x:f>
        <x:v>0.8</x:v>
      </x:c>
      <x:c r="L7066" s="11" t="n">
        <x:f>K7066*'管线假设'!E1511*'管线假设'!F1511*'管线假设'!G1511*IF(E7066="USD",'管线假设'!I1511,1)-AM7066</x:f>
        <x:v>0.1612</x:v>
      </x:c>
      <x:c r="M7066" s="11" t="n">
        <x:f>'管线假设'!H1511</x:f>
        <x:v>0.14</x:v>
      </x:c>
      <x:c r="N7066" s="11" t="n">
        <x:f>IF(G7066,L7066*AN7066/(1+M7066)^F7066,0)</x:f>
        <x:v>0</x:v>
      </x:c>
      <x:c r="AJ7066" s="42" t="n">
        <x:v>0.06</x:v>
      </x:c>
      <x:c r="AK7066" s="42" t="n">
        <x:v>0.12</x:v>
      </x:c>
      <x:c r="AL7066" s="42" t="n">
        <x:v>0.16</x:v>
      </x:c>
      <x:c r="AM7066" t="n">
        <x:f>CHOOSE('假设'!$B$3,AJ7066,AK7066,AL7066)</x:f>
        <x:v>0.12</x:v>
      </x:c>
      <x:c r="AN7066" t="n">
        <x:v>0</x:v>
      </x:c>
    </x:row>
    <x:row r="7067" ht="23" customHeight="1">
      <x:c r="A7067" s="11" t="str">
        <x:v>09995.HK</x:v>
      </x:c>
      <x:c r="B7067" s="11" t="str">
        <x:v>五年</x:v>
      </x:c>
      <x:c r="C7067" s="11" t="str">
        <x:v>RC48_approved_China</x:v>
      </x:c>
      <x:c r="D7067" s="11" t="str">
        <x:v>2027-12-31</x:v>
      </x:c>
      <x:c r="E7067" s="11" t="str">
        <x:v>CNY</x:v>
      </x:c>
      <x:c r="F7067" s="11" t="n">
        <x:v>-3.7727583846680357</x:v>
      </x:c>
      <x:c r="G7067" s="26" t="b">
        <x:v>0</x:v>
      </x:c>
      <x:c r="H7067" s="16" t="n">
        <x:v>0.75</x:v>
      </x:c>
      <x:c r="I7067" s="16" t="n">
        <x:v>1.2</x:v>
      </x:c>
      <x:c r="J7067" s="16" t="n">
        <x:v>1.5</x:v>
      </x:c>
      <x:c r="K7067" s="11" t="n">
        <x:f>CHOOSE('假设'!$B$3,H7067,I7067,J7067)</x:f>
        <x:v>1.2</x:v>
      </x:c>
      <x:c r="L7067" s="11" t="n">
        <x:f>K7067*'管线假设'!E1511*'管线假设'!F1511*'管线假设'!G1511*IF(E7067="USD",'管线假设'!I1511,1)-AM7067</x:f>
        <x:v>0.30179999999999996</x:v>
      </x:c>
      <x:c r="M7067" s="11" t="n">
        <x:f>'管线假设'!H1511</x:f>
        <x:v>0.14</x:v>
      </x:c>
      <x:c r="N7067" s="11" t="n">
        <x:f>IF(G7067,L7067*AN7067/(1+M7067)^F7067,0)</x:f>
        <x:v>0</x:v>
      </x:c>
      <x:c r="AJ7067" s="42" t="n">
        <x:v>0.05</x:v>
      </x:c>
      <x:c r="AK7067" s="42" t="n">
        <x:v>0.12</x:v>
      </x:c>
      <x:c r="AL7067" s="42" t="n">
        <x:v>0.15</x:v>
      </x:c>
      <x:c r="AM7067" t="n">
        <x:f>CHOOSE('假设'!$B$3,AJ7067,AK7067,AL7067)</x:f>
        <x:v>0.12</x:v>
      </x:c>
      <x:c r="AN7067" t="n">
        <x:v>0</x:v>
      </x:c>
    </x:row>
    <x:row r="7068" ht="23" customHeight="1">
      <x:c r="A7068" s="11" t="str">
        <x:v>09995.HK</x:v>
      </x:c>
      <x:c r="B7068" s="11" t="str">
        <x:v>五年</x:v>
      </x:c>
      <x:c r="C7068" s="11" t="str">
        <x:v>RC48_approved_China</x:v>
      </x:c>
      <x:c r="D7068" s="11" t="str">
        <x:v>2028-12-31</x:v>
      </x:c>
      <x:c r="E7068" s="11" t="str">
        <x:v>CNY</x:v>
      </x:c>
      <x:c r="F7068" s="11" t="n">
        <x:v>-2.7707049965776864</x:v>
      </x:c>
      <x:c r="G7068" s="26" t="b">
        <x:v>0</x:v>
      </x:c>
      <x:c r="H7068" s="16" t="n">
        <x:v>0.8</x:v>
      </x:c>
      <x:c r="I7068" s="16" t="n">
        <x:v>1.7</x:v>
      </x:c>
      <x:c r="J7068" s="16" t="n">
        <x:v>2.2</x:v>
      </x:c>
      <x:c r="K7068" s="11" t="n">
        <x:f>CHOOSE('假设'!$B$3,H7068,I7068,J7068)</x:f>
        <x:v>1.7</x:v>
      </x:c>
      <x:c r="L7068" s="11" t="n">
        <x:f>K7068*'管线假设'!E1511*'管线假设'!F1511*'管线假设'!G1511*IF(E7068="USD",'管线假设'!I1511,1)-AM7068</x:f>
        <x:v>0.49755000000000005</x:v>
      </x:c>
      <x:c r="M7068" s="11" t="n">
        <x:f>'管线假设'!H1511</x:f>
        <x:v>0.14</x:v>
      </x:c>
      <x:c r="N7068" s="11" t="n">
        <x:f>IF(G7068,L7068*AN7068/(1+M7068)^F7068,0)</x:f>
        <x:v>0</x:v>
      </x:c>
      <x:c r="AJ7068" s="42" t="n">
        <x:v>0.04</x:v>
      </x:c>
      <x:c r="AK7068" s="42" t="n">
        <x:v>0.1</x:v>
      </x:c>
      <x:c r="AL7068" s="42" t="n">
        <x:v>0.12</x:v>
      </x:c>
      <x:c r="AM7068" t="n">
        <x:f>CHOOSE('假设'!$B$3,AJ7068,AK7068,AL7068)</x:f>
        <x:v>0.1</x:v>
      </x:c>
      <x:c r="AN7068" t="n">
        <x:v>0</x:v>
      </x:c>
    </x:row>
    <x:row r="7069" ht="23" customHeight="1">
      <x:c r="A7069" s="11" t="str">
        <x:v>09995.HK</x:v>
      </x:c>
      <x:c r="B7069" s="11" t="str">
        <x:v>五年</x:v>
      </x:c>
      <x:c r="C7069" s="11" t="str">
        <x:v>RC48_approved_China</x:v>
      </x:c>
      <x:c r="D7069" s="11" t="str">
        <x:v>2029-12-31</x:v>
      </x:c>
      <x:c r="E7069" s="11" t="str">
        <x:v>CNY</x:v>
      </x:c>
      <x:c r="F7069" s="11" t="n">
        <x:v>-1.7713894592744694</x:v>
      </x:c>
      <x:c r="G7069" s="26" t="b">
        <x:v>0</x:v>
      </x:c>
      <x:c r="H7069" s="16" t="n">
        <x:v>0.9</x:v>
      </x:c>
      <x:c r="I7069" s="16" t="n">
        <x:v>2.2</x:v>
      </x:c>
      <x:c r="J7069" s="16" t="n">
        <x:v>3.1</x:v>
      </x:c>
      <x:c r="K7069" s="11" t="n">
        <x:f>CHOOSE('假设'!$B$3,H7069,I7069,J7069)</x:f>
        <x:v>2.2</x:v>
      </x:c>
      <x:c r="L7069" s="11" t="n">
        <x:f>K7069*'管线假设'!E1511*'管线假设'!F1511*'管线假设'!G1511*IF(E7069="USD",'管线假设'!I1511,1)-AM7069</x:f>
        <x:v>0.7033</x:v>
      </x:c>
      <x:c r="M7069" s="11" t="n">
        <x:f>'管线假设'!H1511</x:f>
        <x:v>0.14</x:v>
      </x:c>
      <x:c r="N7069" s="11" t="n">
        <x:f>IF(G7069,L7069*AN7069/(1+M7069)^F7069,0)</x:f>
        <x:v>0</x:v>
      </x:c>
      <x:c r="AJ7069" s="42" t="n">
        <x:v>0</x:v>
      </x:c>
      <x:c r="AK7069" s="42" t="n">
        <x:v>0.07</x:v>
      </x:c>
      <x:c r="AL7069" s="42" t="n">
        <x:v>0.1</x:v>
      </x:c>
      <x:c r="AM7069" t="n">
        <x:f>CHOOSE('假设'!$B$3,AJ7069,AK7069,AL7069)</x:f>
        <x:v>0.07</x:v>
      </x:c>
      <x:c r="AN7069" t="n">
        <x:v>0</x:v>
      </x:c>
    </x:row>
    <x:row r="7070" ht="23" customHeight="1">
      <x:c r="A7070" s="11" t="str">
        <x:v>09995.HK</x:v>
      </x:c>
      <x:c r="B7070" s="11" t="str">
        <x:v>五年</x:v>
      </x:c>
      <x:c r="C7070" s="11" t="str">
        <x:v>RC48_approved_China</x:v>
      </x:c>
      <x:c r="D7070" s="11" t="str">
        <x:v>2030-12-31</x:v>
      </x:c>
      <x:c r="E7070" s="11" t="str">
        <x:v>CNY</x:v>
      </x:c>
      <x:c r="F7070" s="11" t="n">
        <x:v>-0.7720739219712526</x:v>
      </x:c>
      <x:c r="G7070" s="26" t="b">
        <x:v>0</x:v>
      </x:c>
      <x:c r="H7070" s="16" t="n">
        <x:v>0.95</x:v>
      </x:c>
      <x:c r="I7070" s="16" t="n">
        <x:v>2.7</x:v>
      </x:c>
      <x:c r="J7070" s="16" t="n">
        <x:v>4.1</x:v>
      </x:c>
      <x:c r="K7070" s="11" t="n">
        <x:f>CHOOSE('假设'!$B$3,H7070,I7070,J7070)</x:f>
        <x:v>2.7</x:v>
      </x:c>
      <x:c r="L7070" s="11" t="n">
        <x:f>K7070*'管线假设'!E1511*'管线假设'!F1511*'管线假设'!G1511*IF(E7070="USD",'管线假设'!I1511,1)-AM7070</x:f>
        <x:v>0.94905</x:v>
      </x:c>
      <x:c r="M7070" s="11" t="n">
        <x:f>'管线假设'!H1511</x:f>
        <x:v>0.14</x:v>
      </x:c>
      <x:c r="N7070" s="11" t="n">
        <x:f>IF(G7070,L7070*AN7070/(1+M7070)^F7070,0)</x:f>
        <x:v>0</x:v>
      </x:c>
      <x:c r="AJ7070" s="42" t="n">
        <x:v>0</x:v>
      </x:c>
      <x:c r="AK7070" s="42" t="n">
        <x:v>0</x:v>
      </x:c>
      <x:c r="AL7070" s="42" t="n">
        <x:v>0</x:v>
      </x:c>
      <x:c r="AM7070" t="n">
        <x:f>CHOOSE('假设'!$B$3,AJ7070,AK7070,AL7070)</x:f>
        <x:v>0</x:v>
      </x:c>
      <x:c r="AN7070" t="n">
        <x:v>0</x:v>
      </x:c>
    </x:row>
    <x:row r="7071" ht="23" customHeight="1">
      <x:c r="A7071" s="11" t="str">
        <x:v>09995.HK</x:v>
      </x:c>
      <x:c r="B7071" s="11" t="str">
        <x:v>五年</x:v>
      </x:c>
      <x:c r="C7071" s="11" t="str">
        <x:v>RC48_approved_China</x:v>
      </x:c>
      <x:c r="D7071" s="11" t="str">
        <x:v>2031-12-31</x:v>
      </x:c>
      <x:c r="E7071" s="11" t="str">
        <x:v>CNY</x:v>
      </x:c>
      <x:c r="F7071" s="11" t="n">
        <x:v>0.2272416153319644</x:v>
      </x:c>
      <x:c r="G7071" s="26" t="b">
        <x:v>1</x:v>
      </x:c>
      <x:c r="H7071" s="16" t="n">
        <x:v>1</x:v>
      </x:c>
      <x:c r="I7071" s="16" t="n">
        <x:v>3.1</x:v>
      </x:c>
      <x:c r="J7071" s="16" t="n">
        <x:v>5</x:v>
      </x:c>
      <x:c r="K7071" s="11" t="n">
        <x:f>CHOOSE('假设'!$B$3,H7071,I7071,J7071)</x:f>
        <x:v>3.1</x:v>
      </x:c>
      <x:c r="L7071" s="11" t="n">
        <x:f>K7071*'管线假设'!E1511*'管线假设'!F1511*'管线假设'!G1511*IF(E7071="USD",'管线假设'!I1511,1)-AM7071</x:f>
        <x:v>1.08965</x:v>
      </x:c>
      <x:c r="M7071" s="11" t="n">
        <x:f>'管线假设'!H1511</x:f>
        <x:v>0.14</x:v>
      </x:c>
      <x:c r="N7071" s="11" t="n">
        <x:f>IF(G7071,L7071*AN7071/(1+M7071)^F7071,0)</x:f>
        <x:v>0.2411751634785246</x:v>
      </x:c>
      <x:c r="AJ7071" s="42" t="n">
        <x:v>0</x:v>
      </x:c>
      <x:c r="AK7071" s="42" t="n">
        <x:v>0</x:v>
      </x:c>
      <x:c r="AL7071" s="42" t="n">
        <x:v>0</x:v>
      </x:c>
      <x:c r="AM7071" t="n">
        <x:f>CHOOSE('假设'!$B$3,AJ7071,AK7071,AL7071)</x:f>
        <x:v>0</x:v>
      </x:c>
      <x:c r="AN7071" t="n">
        <x:v>0.22802197802197802</x:v>
      </x:c>
    </x:row>
    <x:row r="7072" ht="23" customHeight="1">
      <x:c r="A7072" s="11" t="str">
        <x:v>09995.HK</x:v>
      </x:c>
      <x:c r="B7072" s="11" t="str">
        <x:v>五年</x:v>
      </x:c>
      <x:c r="C7072" s="11" t="str">
        <x:v>RC48_approved_China</x:v>
      </x:c>
      <x:c r="D7072" s="11" t="str">
        <x:v>2032-12-31</x:v>
      </x:c>
      <x:c r="E7072" s="11" t="str">
        <x:v>CNY</x:v>
      </x:c>
      <x:c r="F7072" s="11" t="n">
        <x:v>1.2292950034223136</x:v>
      </x:c>
      <x:c r="G7072" s="26" t="b">
        <x:v>1</x:v>
      </x:c>
      <x:c r="H7072" s="16" t="n">
        <x:v>1</x:v>
      </x:c>
      <x:c r="I7072" s="16" t="n">
        <x:v>3.4</x:v>
      </x:c>
      <x:c r="J7072" s="16" t="n">
        <x:v>5.8</x:v>
      </x:c>
      <x:c r="K7072" s="11" t="n">
        <x:f>CHOOSE('假设'!$B$3,H7072,I7072,J7072)</x:f>
        <x:v>3.4</x:v>
      </x:c>
      <x:c r="L7072" s="11" t="n">
        <x:f>K7072*'管线假设'!E1511*'管线假设'!F1511*'管线假设'!G1511*IF(E7072="USD",'管线假设'!I1511,1)-AM7072</x:f>
        <x:v>1.1951</x:v>
      </x:c>
      <x:c r="M7072" s="11" t="n">
        <x:f>'管线假设'!H1511</x:f>
        <x:v>0.14</x:v>
      </x:c>
      <x:c r="N7072" s="11" t="n">
        <x:f>IF(G7072,L7072*AN7072/(1+M7072)^F7072,0)</x:f>
        <x:v>1.0173055105152211</x:v>
      </x:c>
      <x:c r="AJ7072" s="42" t="n">
        <x:v>0</x:v>
      </x:c>
      <x:c r="AK7072" s="42" t="n">
        <x:v>0</x:v>
      </x:c>
      <x:c r="AL7072" s="42" t="n">
        <x:v>0</x:v>
      </x:c>
      <x:c r="AM7072" t="n">
        <x:f>CHOOSE('假设'!$B$3,AJ7072,AK7072,AL7072)</x:f>
        <x:v>0</x:v>
      </x:c>
      <x:c r="AN7072" t="n">
        <x:v>1</x:v>
      </x:c>
    </x:row>
    <x:row r="7073" ht="23" customHeight="1">
      <x:c r="A7073" s="11" t="str">
        <x:v>09995.HK</x:v>
      </x:c>
      <x:c r="B7073" s="11" t="str">
        <x:v>五年</x:v>
      </x:c>
      <x:c r="C7073" s="11" t="str">
        <x:v>RC48_approved_China</x:v>
      </x:c>
      <x:c r="D7073" s="11" t="str">
        <x:v>2033-12-31</x:v>
      </x:c>
      <x:c r="E7073" s="11" t="str">
        <x:v>CNY</x:v>
      </x:c>
      <x:c r="F7073" s="11" t="n">
        <x:v>2.2286105407255303</x:v>
      </x:c>
      <x:c r="G7073" s="26" t="b">
        <x:v>1</x:v>
      </x:c>
      <x:c r="H7073" s="16" t="n">
        <x:v>0.95</x:v>
      </x:c>
      <x:c r="I7073" s="16" t="n">
        <x:v>3.6</x:v>
      </x:c>
      <x:c r="J7073" s="16" t="n">
        <x:v>6.3</x:v>
      </x:c>
      <x:c r="K7073" s="11" t="n">
        <x:f>CHOOSE('假设'!$B$3,H7073,I7073,J7073)</x:f>
        <x:v>3.6</x:v>
      </x:c>
      <x:c r="L7073" s="11" t="n">
        <x:f>K7073*'管线假设'!E1511*'管线假设'!F1511*'管线假设'!G1511*IF(E7073="USD",'管线假设'!I1511,1)-AM7073</x:f>
        <x:v>1.2653999999999999</x:v>
      </x:c>
      <x:c r="M7073" s="11" t="n">
        <x:f>'管线假设'!H1511</x:f>
        <x:v>0.14</x:v>
      </x:c>
      <x:c r="N7073" s="11" t="n">
        <x:f>IF(G7073,L7073*AN7073/(1+M7073)^F7073,0)</x:f>
        <x:v>0.9449505423446398</x:v>
      </x:c>
      <x:c r="AJ7073" s="42" t="n">
        <x:v>0</x:v>
      </x:c>
      <x:c r="AK7073" s="42" t="n">
        <x:v>0</x:v>
      </x:c>
      <x:c r="AL7073" s="42" t="n">
        <x:v>0</x:v>
      </x:c>
      <x:c r="AM7073" t="n">
        <x:f>CHOOSE('假设'!$B$3,AJ7073,AK7073,AL7073)</x:f>
        <x:v>0</x:v>
      </x:c>
      <x:c r="AN7073" t="n">
        <x:v>1</x:v>
      </x:c>
    </x:row>
    <x:row r="7074" ht="23" customHeight="1">
      <x:c r="A7074" s="11" t="str">
        <x:v>09995.HK</x:v>
      </x:c>
      <x:c r="B7074" s="11" t="str">
        <x:v>五年</x:v>
      </x:c>
      <x:c r="C7074" s="11" t="str">
        <x:v>RC48_approved_China</x:v>
      </x:c>
      <x:c r="D7074" s="11" t="str">
        <x:v>2034-12-31</x:v>
      </x:c>
      <x:c r="E7074" s="11" t="str">
        <x:v>CNY</x:v>
      </x:c>
      <x:c r="F7074" s="11" t="n">
        <x:v>3.2279260780287475</x:v>
      </x:c>
      <x:c r="G7074" s="26" t="b">
        <x:v>1</x:v>
      </x:c>
      <x:c r="H7074" s="16" t="n">
        <x:v>0.9</x:v>
      </x:c>
      <x:c r="I7074" s="16" t="n">
        <x:v>3.7</x:v>
      </x:c>
      <x:c r="J7074" s="16" t="n">
        <x:v>6.7</x:v>
      </x:c>
      <x:c r="K7074" s="11" t="n">
        <x:f>CHOOSE('假设'!$B$3,H7074,I7074,J7074)</x:f>
        <x:v>3.7</x:v>
      </x:c>
      <x:c r="L7074" s="11" t="n">
        <x:f>K7074*'管线假设'!E1511*'管线假设'!F1511*'管线假设'!G1511*IF(E7074="USD",'管线假设'!I1511,1)-AM7074</x:f>
        <x:v>1.30055</x:v>
      </x:c>
      <x:c r="M7074" s="11" t="n">
        <x:f>'管线假设'!H1511</x:f>
        <x:v>0.14</x:v>
      </x:c>
      <x:c r="N7074" s="11" t="n">
        <x:f>IF(G7074,L7074*AN7074/(1+M7074)^F7074,0)</x:f>
        <x:v>0.8520055029930372</x:v>
      </x:c>
      <x:c r="AJ7074" s="42" t="n">
        <x:v>0</x:v>
      </x:c>
      <x:c r="AK7074" s="42" t="n">
        <x:v>0</x:v>
      </x:c>
      <x:c r="AL7074" s="42" t="n">
        <x:v>0</x:v>
      </x:c>
      <x:c r="AM7074" t="n">
        <x:f>CHOOSE('假设'!$B$3,AJ7074,AK7074,AL7074)</x:f>
        <x:v>0</x:v>
      </x:c>
      <x:c r="AN7074" t="n">
        <x:v>1</x:v>
      </x:c>
    </x:row>
    <x:row r="7075" ht="23" customHeight="1">
      <x:c r="A7075" s="11" t="str">
        <x:v>09995.HK</x:v>
      </x:c>
      <x:c r="B7075" s="11" t="str">
        <x:v>五年</x:v>
      </x:c>
      <x:c r="C7075" s="11" t="str">
        <x:v>RC48_approved_China</x:v>
      </x:c>
      <x:c r="D7075" s="11" t="str">
        <x:v>2035-12-31</x:v>
      </x:c>
      <x:c r="E7075" s="11" t="str">
        <x:v>CNY</x:v>
      </x:c>
      <x:c r="F7075" s="11" t="n">
        <x:v>4.227241615331964</x:v>
      </x:c>
      <x:c r="G7075" s="26" t="b">
        <x:v>1</x:v>
      </x:c>
      <x:c r="H7075" s="16" t="n">
        <x:v>0.85</x:v>
      </x:c>
      <x:c r="I7075" s="16" t="n">
        <x:v>3.7</x:v>
      </x:c>
      <x:c r="J7075" s="16" t="n">
        <x:v>6.7</x:v>
      </x:c>
      <x:c r="K7075" s="11" t="n">
        <x:f>CHOOSE('假设'!$B$3,H7075,I7075,J7075)</x:f>
        <x:v>3.7</x:v>
      </x:c>
      <x:c r="L7075" s="11" t="n">
        <x:f>K7075*'管线假设'!E1511*'管线假设'!F1511*'管线假设'!G1511*IF(E7075="USD",'管线假设'!I1511,1)-AM7075</x:f>
        <x:v>1.30055</x:v>
      </x:c>
      <x:c r="M7075" s="11" t="n">
        <x:f>'管线假设'!H1511</x:f>
        <x:v>0.14</x:v>
      </x:c>
      <x:c r="N7075" s="11" t="n">
        <x:f>IF(G7075,L7075*AN7075/(1+M7075)^F7075,0)</x:f>
        <x:v>0.7474402786361238</x:v>
      </x:c>
      <x:c r="AJ7075" s="42" t="n">
        <x:v>0</x:v>
      </x:c>
      <x:c r="AK7075" s="42" t="n">
        <x:v>0</x:v>
      </x:c>
      <x:c r="AL7075" s="42" t="n">
        <x:v>0</x:v>
      </x:c>
      <x:c r="AM7075" t="n">
        <x:f>CHOOSE('假设'!$B$3,AJ7075,AK7075,AL7075)</x:f>
        <x:v>0</x:v>
      </x:c>
      <x:c r="AN7075" t="n">
        <x:v>1</x:v>
      </x:c>
    </x:row>
    <x:row r="7076" ht="23" customHeight="1">
      <x:c r="A7076" s="11" t="str">
        <x:v>09995.HK</x:v>
      </x:c>
      <x:c r="B7076" s="11" t="str">
        <x:v>五年</x:v>
      </x:c>
      <x:c r="C7076" s="11" t="str">
        <x:v>RC48_approved_China</x:v>
      </x:c>
      <x:c r="D7076" s="11" t="str">
        <x:v>2036-12-31</x:v>
      </x:c>
      <x:c r="E7076" s="11" t="str">
        <x:v>CNY</x:v>
      </x:c>
      <x:c r="F7076" s="11" t="n">
        <x:v>5.229295003422314</x:v>
      </x:c>
      <x:c r="G7076" s="26" t="b">
        <x:v>1</x:v>
      </x:c>
      <x:c r="H7076" s="16" t="n">
        <x:v>0.75</x:v>
      </x:c>
      <x:c r="I7076" s="16" t="n">
        <x:v>3.6</x:v>
      </x:c>
      <x:c r="J7076" s="16" t="n">
        <x:v>6.4</x:v>
      </x:c>
      <x:c r="K7076" s="11" t="n">
        <x:f>CHOOSE('假设'!$B$3,H7076,I7076,J7076)</x:f>
        <x:v>3.6</x:v>
      </x:c>
      <x:c r="L7076" s="11" t="n">
        <x:f>K7076*'管线假设'!E1511*'管线假设'!F1511*'管线假设'!G1511*IF(E7076="USD",'管线假设'!I1511,1)-AM7076</x:f>
        <x:v>1.2653999999999999</x:v>
      </x:c>
      <x:c r="M7076" s="11" t="n">
        <x:f>'管线假设'!H1511</x:f>
        <x:v>0.14</x:v>
      </x:c>
      <x:c r="N7076" s="11" t="n">
        <x:f>IF(G7076,L7076*AN7076/(1+M7076)^F7076,0)</x:f>
        <x:v>0.6377575011205491</x:v>
      </x:c>
      <x:c r="AJ7076" s="42" t="n">
        <x:v>0</x:v>
      </x:c>
      <x:c r="AK7076" s="42" t="n">
        <x:v>0</x:v>
      </x:c>
      <x:c r="AL7076" s="42" t="n">
        <x:v>0</x:v>
      </x:c>
      <x:c r="AM7076" t="n">
        <x:f>CHOOSE('假设'!$B$3,AJ7076,AK7076,AL7076)</x:f>
        <x:v>0</x:v>
      </x:c>
      <x:c r="AN7076" t="n">
        <x:v>1</x:v>
      </x:c>
    </x:row>
    <x:row r="7077" ht="23" customHeight="1">
      <x:c r="A7077" s="11" t="str">
        <x:v>09995.HK</x:v>
      </x:c>
      <x:c r="B7077" s="11" t="str">
        <x:v>五年</x:v>
      </x:c>
      <x:c r="C7077" s="11" t="str">
        <x:v>RC48_approved_China</x:v>
      </x:c>
      <x:c r="D7077" s="11" t="str">
        <x:v>2037-12-31</x:v>
      </x:c>
      <x:c r="E7077" s="11" t="str">
        <x:v>CNY</x:v>
      </x:c>
      <x:c r="F7077" s="11" t="n">
        <x:v>6.228610540725531</x:v>
      </x:c>
      <x:c r="G7077" s="26" t="b">
        <x:v>1</x:v>
      </x:c>
      <x:c r="H7077" s="16" t="n">
        <x:v>0.65</x:v>
      </x:c>
      <x:c r="I7077" s="16" t="n">
        <x:v>3.4</x:v>
      </x:c>
      <x:c r="J7077" s="16" t="n">
        <x:v>6</x:v>
      </x:c>
      <x:c r="K7077" s="11" t="n">
        <x:f>CHOOSE('假设'!$B$3,H7077,I7077,J7077)</x:f>
        <x:v>3.4</x:v>
      </x:c>
      <x:c r="L7077" s="11" t="n">
        <x:f>K7077*'管线假设'!E1511*'管线假设'!F1511*'管线假设'!G1511*IF(E7077="USD",'管线假设'!I1511,1)-AM7077</x:f>
        <x:v>1.1951</x:v>
      </x:c>
      <x:c r="M7077" s="11" t="n">
        <x:f>'管线假设'!H1511</x:f>
        <x:v>0.14</x:v>
      </x:c>
      <x:c r="N7077" s="11" t="n">
        <x:f>IF(G7077,L7077*AN7077/(1+M7077)^F7077,0)</x:f>
        <x:v>0.5284039914784961</x:v>
      </x:c>
      <x:c r="AJ7077" s="42" t="n">
        <x:v>0</x:v>
      </x:c>
      <x:c r="AK7077" s="42" t="n">
        <x:v>0</x:v>
      </x:c>
      <x:c r="AL7077" s="42" t="n">
        <x:v>0</x:v>
      </x:c>
      <x:c r="AM7077" t="n">
        <x:f>CHOOSE('假设'!$B$3,AJ7077,AK7077,AL7077)</x:f>
        <x:v>0</x:v>
      </x:c>
      <x:c r="AN7077" t="n">
        <x:v>1</x:v>
      </x:c>
    </x:row>
    <x:row r="7078" ht="23" customHeight="1">
      <x:c r="A7078" s="11" t="str">
        <x:v>09995.HK</x:v>
      </x:c>
      <x:c r="B7078" s="11" t="str">
        <x:v>五年</x:v>
      </x:c>
      <x:c r="C7078" s="11" t="str">
        <x:v>RC48_approved_China</x:v>
      </x:c>
      <x:c r="D7078" s="11" t="str">
        <x:v>2038-12-31</x:v>
      </x:c>
      <x:c r="E7078" s="11" t="str">
        <x:v>CNY</x:v>
      </x:c>
      <x:c r="F7078" s="11" t="n">
        <x:v>7.227926078028747</x:v>
      </x:c>
      <x:c r="G7078" s="26" t="b">
        <x:v>1</x:v>
      </x:c>
      <x:c r="H7078" s="16" t="n">
        <x:v>0.55</x:v>
      </x:c>
      <x:c r="I7078" s="16" t="n">
        <x:v>3.1</x:v>
      </x:c>
      <x:c r="J7078" s="16" t="n">
        <x:v>5.5</x:v>
      </x:c>
      <x:c r="K7078" s="11" t="n">
        <x:f>CHOOSE('假设'!$B$3,H7078,I7078,J7078)</x:f>
        <x:v>3.1</x:v>
      </x:c>
      <x:c r="L7078" s="11" t="n">
        <x:f>K7078*'管线假设'!E1511*'管线假设'!F1511*'管线假设'!G1511*IF(E7078="USD",'管线假设'!I1511,1)-AM7078</x:f>
        <x:v>1.08965</x:v>
      </x:c>
      <x:c r="M7078" s="11" t="n">
        <x:f>'管线假设'!H1511</x:f>
        <x:v>0.14</x:v>
      </x:c>
      <x:c r="N7078" s="11" t="n">
        <x:f>IF(G7078,L7078*AN7078/(1+M7078)^F7078,0)</x:f>
        <x:v>0.42265203487903785</x:v>
      </x:c>
      <x:c r="AJ7078" s="42" t="n">
        <x:v>0</x:v>
      </x:c>
      <x:c r="AK7078" s="42" t="n">
        <x:v>0</x:v>
      </x:c>
      <x:c r="AL7078" s="42" t="n">
        <x:v>0</x:v>
      </x:c>
      <x:c r="AM7078" t="n">
        <x:f>CHOOSE('假设'!$B$3,AJ7078,AK7078,AL7078)</x:f>
        <x:v>0</x:v>
      </x:c>
      <x:c r="AN7078" t="n">
        <x:v>1</x:v>
      </x:c>
    </x:row>
    <x:row r="7079" ht="23" customHeight="1">
      <x:c r="A7079" s="11" t="str">
        <x:v>09995.HK</x:v>
      </x:c>
      <x:c r="B7079" s="11" t="str">
        <x:v>五年</x:v>
      </x:c>
      <x:c r="C7079" s="11" t="str">
        <x:v>RC48_approved_China</x:v>
      </x:c>
      <x:c r="D7079" s="11" t="str">
        <x:v>2039-12-31</x:v>
      </x:c>
      <x:c r="E7079" s="11" t="str">
        <x:v>CNY</x:v>
      </x:c>
      <x:c r="F7079" s="11" t="n">
        <x:v>8.227241615331964</x:v>
      </x:c>
      <x:c r="G7079" s="26" t="b">
        <x:v>1</x:v>
      </x:c>
      <x:c r="H7079" s="16" t="n">
        <x:v>0.45</x:v>
      </x:c>
      <x:c r="I7079" s="16" t="n">
        <x:v>2.7</x:v>
      </x:c>
      <x:c r="J7079" s="16" t="n">
        <x:v>4.7</x:v>
      </x:c>
      <x:c r="K7079" s="11" t="n">
        <x:f>CHOOSE('假设'!$B$3,H7079,I7079,J7079)</x:f>
        <x:v>2.7</x:v>
      </x:c>
      <x:c r="L7079" s="11" t="n">
        <x:f>K7079*'管线假设'!E1511*'管线假设'!F1511*'管线假设'!G1511*IF(E7079="USD",'管线假设'!I1511,1)-AM7079</x:f>
        <x:v>0.94905</x:v>
      </x:c>
      <x:c r="M7079" s="11" t="n">
        <x:f>'管线假设'!H1511</x:f>
        <x:v>0.14</x:v>
      </x:c>
      <x:c r="N7079" s="11" t="n">
        <x:f>IF(G7079,L7079*AN7079/(1+M7079)^F7079,0)</x:f>
        <x:v>0.3229379860080609</x:v>
      </x:c>
      <x:c r="AJ7079" s="42" t="n">
        <x:v>0</x:v>
      </x:c>
      <x:c r="AK7079" s="42" t="n">
        <x:v>0</x:v>
      </x:c>
      <x:c r="AL7079" s="42" t="n">
        <x:v>0</x:v>
      </x:c>
      <x:c r="AM7079" t="n">
        <x:f>CHOOSE('假设'!$B$3,AJ7079,AK7079,AL7079)</x:f>
        <x:v>0</x:v>
      </x:c>
      <x:c r="AN7079" t="n">
        <x:v>1</x:v>
      </x:c>
    </x:row>
    <x:row r="7080" ht="23" customHeight="1">
      <x:c r="A7080" s="11" t="str">
        <x:v>09995.HK</x:v>
      </x:c>
      <x:c r="B7080" s="11" t="str">
        <x:v>五年</x:v>
      </x:c>
      <x:c r="C7080" s="11" t="str">
        <x:v>RC48_approved_China</x:v>
      </x:c>
      <x:c r="D7080" s="11" t="str">
        <x:v>2040-12-31</x:v>
      </x:c>
      <x:c r="E7080" s="11" t="str">
        <x:v>CNY</x:v>
      </x:c>
      <x:c r="F7080" s="11" t="n">
        <x:v>9.229295003422314</x:v>
      </x:c>
      <x:c r="G7080" s="26" t="b">
        <x:v>1</x:v>
      </x:c>
      <x:c r="H7080" s="16" t="n">
        <x:v>0.35</x:v>
      </x:c>
      <x:c r="I7080" s="16" t="n">
        <x:v>2.2</x:v>
      </x:c>
      <x:c r="J7080" s="16" t="n">
        <x:v>3.8</x:v>
      </x:c>
      <x:c r="K7080" s="11" t="n">
        <x:f>CHOOSE('假设'!$B$3,H7080,I7080,J7080)</x:f>
        <x:v>2.2</x:v>
      </x:c>
      <x:c r="L7080" s="11" t="n">
        <x:f>K7080*'管线假设'!E1511*'管线假设'!F1511*'管线假设'!G1511*IF(E7080="USD",'管线假设'!I1511,1)-AM7080</x:f>
        <x:v>0.7733</x:v>
      </x:c>
      <x:c r="M7080" s="11" t="n">
        <x:f>'管线假设'!H1511</x:f>
        <x:v>0.14</x:v>
      </x:c>
      <x:c r="N7080" s="11" t="n">
        <x:f>IF(G7080,L7080*AN7080/(1+M7080)^F7080,0)</x:f>
        <x:v>0.23075777887456167</x:v>
      </x:c>
      <x:c r="AJ7080" s="42" t="n">
        <x:v>0</x:v>
      </x:c>
      <x:c r="AK7080" s="42" t="n">
        <x:v>0</x:v>
      </x:c>
      <x:c r="AL7080" s="42" t="n">
        <x:v>0</x:v>
      </x:c>
      <x:c r="AM7080" t="n">
        <x:f>CHOOSE('假设'!$B$3,AJ7080,AK7080,AL7080)</x:f>
        <x:v>0</x:v>
      </x:c>
      <x:c r="AN7080" t="n">
        <x:v>1</x:v>
      </x:c>
    </x:row>
    <x:row r="7081" ht="23" customHeight="1">
      <x:c r="A7081" s="11" t="str">
        <x:v>09995.HK</x:v>
      </x:c>
      <x:c r="B7081" s="11" t="str">
        <x:v>五年</x:v>
      </x:c>
      <x:c r="C7081" s="11" t="str">
        <x:v>RC48_approved_China</x:v>
      </x:c>
      <x:c r="D7081" s="11" t="str">
        <x:v>2041-12-31</x:v>
      </x:c>
      <x:c r="E7081" s="11" t="str">
        <x:v>CNY</x:v>
      </x:c>
      <x:c r="F7081" s="11" t="n">
        <x:v>10.22861054072553</x:v>
      </x:c>
      <x:c r="G7081" s="26" t="b">
        <x:v>1</x:v>
      </x:c>
      <x:c r="H7081" s="16" t="n">
        <x:v>0.25</x:v>
      </x:c>
      <x:c r="I7081" s="16" t="n">
        <x:v>1.7</x:v>
      </x:c>
      <x:c r="J7081" s="16" t="n">
        <x:v>2.9</x:v>
      </x:c>
      <x:c r="K7081" s="11" t="n">
        <x:f>CHOOSE('假设'!$B$3,H7081,I7081,J7081)</x:f>
        <x:v>1.7</x:v>
      </x:c>
      <x:c r="L7081" s="11" t="n">
        <x:f>K7081*'管线假设'!E1511*'管线假设'!F1511*'管线假设'!G1511*IF(E7081="USD",'管线假设'!I1511,1)-AM7081</x:f>
        <x:v>0.59755</x:v>
      </x:c>
      <x:c r="M7081" s="11" t="n">
        <x:f>'管线假设'!H1511</x:f>
        <x:v>0.14</x:v>
      </x:c>
      <x:c r="N7081" s="11" t="n">
        <x:f>IF(G7081,L7081*AN7081/(1+M7081)^F7081,0)</x:f>
        <x:v>0.15642879091905162</x:v>
      </x:c>
      <x:c r="AJ7081" s="42" t="n">
        <x:v>0</x:v>
      </x:c>
      <x:c r="AK7081" s="42" t="n">
        <x:v>0</x:v>
      </x:c>
      <x:c r="AL7081" s="42" t="n">
        <x:v>0</x:v>
      </x:c>
      <x:c r="AM7081" t="n">
        <x:f>CHOOSE('假设'!$B$3,AJ7081,AK7081,AL7081)</x:f>
        <x:v>0</x:v>
      </x:c>
      <x:c r="AN7081" t="n">
        <x:v>1</x:v>
      </x:c>
    </x:row>
    <x:row r="7082" ht="23" customHeight="1">
      <x:c r="A7082" s="11" t="str">
        <x:v>09995.HK</x:v>
      </x:c>
      <x:c r="B7082" s="11" t="str">
        <x:v>五年</x:v>
      </x:c>
      <x:c r="C7082" s="11" t="str">
        <x:v>RC48_approved_China</x:v>
      </x:c>
      <x:c r="D7082" s="11" t="str">
        <x:v>2042-12-31</x:v>
      </x:c>
      <x:c r="E7082" s="11" t="str">
        <x:v>CNY</x:v>
      </x:c>
      <x:c r="F7082" s="11" t="n">
        <x:v>11.227926078028748</x:v>
      </x:c>
      <x:c r="G7082" s="26" t="b">
        <x:v>1</x:v>
      </x:c>
      <x:c r="H7082" s="16" t="n">
        <x:v>0.18</x:v>
      </x:c>
      <x:c r="I7082" s="16" t="n">
        <x:v>1.2</x:v>
      </x:c>
      <x:c r="J7082" s="16" t="n">
        <x:v>2.1</x:v>
      </x:c>
      <x:c r="K7082" s="11" t="n">
        <x:f>CHOOSE('假设'!$B$3,H7082,I7082,J7082)</x:f>
        <x:v>1.2</x:v>
      </x:c>
      <x:c r="L7082" s="11" t="n">
        <x:f>K7082*'管线假设'!E1511*'管线假设'!F1511*'管线假设'!G1511*IF(E7082="USD",'管线假设'!I1511,1)-AM7082</x:f>
        <x:v>0.42179999999999995</x:v>
      </x:c>
      <x:c r="M7082" s="11" t="n">
        <x:f>'管线假设'!H1511</x:f>
        <x:v>0.14</x:v>
      </x:c>
      <x:c r="N7082" s="11" t="n">
        <x:f>IF(G7082,L7082*AN7082/(1+M7082)^F7082,0)</x:f>
        <x:v>0.09686861962926026</x:v>
      </x:c>
      <x:c r="AJ7082" s="42" t="n">
        <x:v>0</x:v>
      </x:c>
      <x:c r="AK7082" s="42" t="n">
        <x:v>0</x:v>
      </x:c>
      <x:c r="AL7082" s="42" t="n">
        <x:v>0</x:v>
      </x:c>
      <x:c r="AM7082" t="n">
        <x:f>CHOOSE('假设'!$B$3,AJ7082,AK7082,AL7082)</x:f>
        <x:v>0</x:v>
      </x:c>
      <x:c r="AN7082" t="n">
        <x:v>1</x:v>
      </x:c>
    </x:row>
    <x:row r="7083" ht="23" customHeight="1">
      <x:c r="A7083" s="11" t="str">
        <x:v>09995.HK</x:v>
      </x:c>
      <x:c r="B7083" s="11" t="str">
        <x:v>五年</x:v>
      </x:c>
      <x:c r="C7083" s="11" t="str">
        <x:v>RC48_approved_China</x:v>
      </x:c>
      <x:c r="D7083" s="11" t="str">
        <x:v>2043-12-31</x:v>
      </x:c>
      <x:c r="E7083" s="11" t="str">
        <x:v>CNY</x:v>
      </x:c>
      <x:c r="F7083" s="11" t="n">
        <x:v>12.227241615331964</x:v>
      </x:c>
      <x:c r="G7083" s="26" t="b">
        <x:v>1</x:v>
      </x:c>
      <x:c r="H7083" s="16" t="n">
        <x:v>0.12</x:v>
      </x:c>
      <x:c r="I7083" s="16" t="n">
        <x:v>0.8</x:v>
      </x:c>
      <x:c r="J7083" s="16" t="n">
        <x:v>1.4</x:v>
      </x:c>
      <x:c r="K7083" s="11" t="n">
        <x:f>CHOOSE('假设'!$B$3,H7083,I7083,J7083)</x:f>
        <x:v>0.8</x:v>
      </x:c>
      <x:c r="L7083" s="11" t="n">
        <x:f>K7083*'管线假设'!E1511*'管线假设'!F1511*'管线假设'!G1511*IF(E7083="USD",'管线假设'!I1511,1)-AM7083</x:f>
        <x:v>0.2812</x:v>
      </x:c>
      <x:c r="M7083" s="11" t="n">
        <x:f>'管线假设'!H1511</x:f>
        <x:v>0.14</x:v>
      </x:c>
      <x:c r="N7083" s="11" t="n">
        <x:f>IF(G7083,L7083*AN7083/(1+M7083)^F7083,0)</x:f>
        <x:v>0.056653396245636464</x:v>
      </x:c>
      <x:c r="AJ7083" s="42" t="n">
        <x:v>0</x:v>
      </x:c>
      <x:c r="AK7083" s="42" t="n">
        <x:v>0</x:v>
      </x:c>
      <x:c r="AL7083" s="42" t="n">
        <x:v>0</x:v>
      </x:c>
      <x:c r="AM7083" t="n">
        <x:f>CHOOSE('假设'!$B$3,AJ7083,AK7083,AL7083)</x:f>
        <x:v>0</x:v>
      </x:c>
      <x:c r="AN7083" t="n">
        <x:v>1</x:v>
      </x:c>
    </x:row>
    <x:row r="7084" ht="23" customHeight="1">
      <x:c r="A7084" s="11" t="str">
        <x:v>09995.HK</x:v>
      </x:c>
      <x:c r="B7084" s="11" t="str">
        <x:v>五年</x:v>
      </x:c>
      <x:c r="C7084" s="11" t="str">
        <x:v>RC48_approved_China</x:v>
      </x:c>
      <x:c r="D7084" s="11" t="str">
        <x:v>2044-12-31</x:v>
      </x:c>
      <x:c r="E7084" s="11" t="str">
        <x:v>CNY</x:v>
      </x:c>
      <x:c r="F7084" s="11" t="n">
        <x:v>13.229295003422314</x:v>
      </x:c>
      <x:c r="G7084" s="26" t="b">
        <x:v>1</x:v>
      </x:c>
      <x:c r="H7084" s="16" t="n">
        <x:v>0.08</x:v>
      </x:c>
      <x:c r="I7084" s="16" t="n">
        <x:v>0.45</x:v>
      </x:c>
      <x:c r="J7084" s="16" t="n">
        <x:v>0.8</x:v>
      </x:c>
      <x:c r="K7084" s="11" t="n">
        <x:f>CHOOSE('假设'!$B$3,H7084,I7084,J7084)</x:f>
        <x:v>0.45</x:v>
      </x:c>
      <x:c r="L7084" s="11" t="n">
        <x:f>K7084*'管线假设'!E1511*'管线假设'!F1511*'管线假设'!G1511*IF(E7084="USD",'管线假设'!I1511,1)-AM7084</x:f>
        <x:v>0.15817499999999998</x:v>
      </x:c>
      <x:c r="M7084" s="11" t="n">
        <x:f>'管线假设'!H1511</x:f>
        <x:v>0.14</x:v>
      </x:c>
      <x:c r="N7084" s="11" t="n">
        <x:f>IF(G7084,L7084*AN7084/(1+M7084)^F7084,0)</x:f>
        <x:v>0.027946458352100315</x:v>
      </x:c>
      <x:c r="AJ7084" s="42" t="n">
        <x:v>0</x:v>
      </x:c>
      <x:c r="AK7084" s="42" t="n">
        <x:v>0</x:v>
      </x:c>
      <x:c r="AL7084" s="42" t="n">
        <x:v>0</x:v>
      </x:c>
      <x:c r="AM7084" t="n">
        <x:f>CHOOSE('假设'!$B$3,AJ7084,AK7084,AL7084)</x:f>
        <x:v>0</x:v>
      </x:c>
      <x:c r="AN7084" t="n">
        <x:v>1</x:v>
      </x:c>
    </x:row>
    <x:row r="7085" ht="23" customHeight="1">
      <x:c r="A7085" s="11" t="str">
        <x:v>09995.HK</x:v>
      </x:c>
      <x:c r="B7085" s="11" t="str">
        <x:v>五年</x:v>
      </x:c>
      <x:c r="C7085" s="11" t="str">
        <x:v>RC18_new_China</x:v>
      </x:c>
      <x:c r="D7085" s="11" t="str">
        <x:v>2026-12-31</x:v>
      </x:c>
      <x:c r="E7085" s="11" t="str">
        <x:v>CNY</x:v>
      </x:c>
      <x:c r="F7085" s="11" t="n">
        <x:v>-4.772073921971253</x:v>
      </x:c>
      <x:c r="G7085" s="26" t="b">
        <x:v>0</x:v>
      </x:c>
      <x:c r="H7085" s="16" t="n">
        <x:v>0</x:v>
      </x:c>
      <x:c r="I7085" s="16" t="n">
        <x:v>0</x:v>
      </x:c>
      <x:c r="J7085" s="16" t="n">
        <x:v>0</x:v>
      </x:c>
      <x:c r="K7085" s="11" t="n">
        <x:f>CHOOSE('假设'!$B$3,H7085,I7085,J7085)</x:f>
        <x:v>0</x:v>
      </x:c>
      <x:c r="L7085" s="11" t="n">
        <x:f>K7085*'管线假设'!E1515*'管线假设'!F1515*'管线假设'!G1515*IF(E7085="USD",'管线假设'!I1515,1)-AM7085</x:f>
        <x:v>-0.13</x:v>
      </x:c>
      <x:c r="M7085" s="11" t="n">
        <x:f>'管线假设'!H1515</x:f>
        <x:v>0.14</x:v>
      </x:c>
      <x:c r="N7085" s="11" t="n">
        <x:f>IF(G7085,L7085*AN7085/(1+M7085)^F7085,0)</x:f>
        <x:v>0</x:v>
      </x:c>
      <x:c r="AJ7085" s="42" t="n">
        <x:v>0.08</x:v>
      </x:c>
      <x:c r="AK7085" s="42" t="n">
        <x:v>0.13</x:v>
      </x:c>
      <x:c r="AL7085" s="42" t="n">
        <x:v>0.18</x:v>
      </x:c>
      <x:c r="AM7085" t="n">
        <x:f>CHOOSE('假设'!$B$3,AJ7085,AK7085,AL7085)</x:f>
        <x:v>0.13</x:v>
      </x:c>
      <x:c r="AN7085" t="n">
        <x:v>0</x:v>
      </x:c>
    </x:row>
    <x:row r="7086" ht="23" customHeight="1">
      <x:c r="A7086" s="11" t="str">
        <x:v>09995.HK</x:v>
      </x:c>
      <x:c r="B7086" s="11" t="str">
        <x:v>五年</x:v>
      </x:c>
      <x:c r="C7086" s="11" t="str">
        <x:v>RC18_new_China</x:v>
      </x:c>
      <x:c r="D7086" s="11" t="str">
        <x:v>2027-12-31</x:v>
      </x:c>
      <x:c r="E7086" s="11" t="str">
        <x:v>CNY</x:v>
      </x:c>
      <x:c r="F7086" s="11" t="n">
        <x:v>-3.7727583846680357</x:v>
      </x:c>
      <x:c r="G7086" s="26" t="b">
        <x:v>0</x:v>
      </x:c>
      <x:c r="H7086" s="16" t="n">
        <x:v>0</x:v>
      </x:c>
      <x:c r="I7086" s="16" t="n">
        <x:v>0</x:v>
      </x:c>
      <x:c r="J7086" s="16" t="n">
        <x:v>0</x:v>
      </x:c>
      <x:c r="K7086" s="11" t="n">
        <x:f>CHOOSE('假设'!$B$3,H7086,I7086,J7086)</x:f>
        <x:v>0</x:v>
      </x:c>
      <x:c r="L7086" s="11" t="n">
        <x:f>K7086*'管线假设'!E1515*'管线假设'!F1515*'管线假设'!G1515*IF(E7086="USD",'管线假设'!I1515,1)-AM7086</x:f>
        <x:v>-0.16</x:v>
      </x:c>
      <x:c r="M7086" s="11" t="n">
        <x:f>'管线假设'!H1515</x:f>
        <x:v>0.14</x:v>
      </x:c>
      <x:c r="N7086" s="11" t="n">
        <x:f>IF(G7086,L7086*AN7086/(1+M7086)^F7086,0)</x:f>
        <x:v>0</x:v>
      </x:c>
      <x:c r="AJ7086" s="42" t="n">
        <x:v>0.08</x:v>
      </x:c>
      <x:c r="AK7086" s="42" t="n">
        <x:v>0.16</x:v>
      </x:c>
      <x:c r="AL7086" s="42" t="n">
        <x:v>0.22</x:v>
      </x:c>
      <x:c r="AM7086" t="n">
        <x:f>CHOOSE('假设'!$B$3,AJ7086,AK7086,AL7086)</x:f>
        <x:v>0.16</x:v>
      </x:c>
      <x:c r="AN7086" t="n">
        <x:v>0</x:v>
      </x:c>
    </x:row>
    <x:row r="7087" ht="23" customHeight="1">
      <x:c r="A7087" s="11" t="str">
        <x:v>09995.HK</x:v>
      </x:c>
      <x:c r="B7087" s="11" t="str">
        <x:v>五年</x:v>
      </x:c>
      <x:c r="C7087" s="11" t="str">
        <x:v>RC18_new_China</x:v>
      </x:c>
      <x:c r="D7087" s="11" t="str">
        <x:v>2028-12-31</x:v>
      </x:c>
      <x:c r="E7087" s="11" t="str">
        <x:v>CNY</x:v>
      </x:c>
      <x:c r="F7087" s="11" t="n">
        <x:v>-2.7707049965776864</x:v>
      </x:c>
      <x:c r="G7087" s="26" t="b">
        <x:v>0</x:v>
      </x:c>
      <x:c r="H7087" s="16" t="n">
        <x:v>0</x:v>
      </x:c>
      <x:c r="I7087" s="16" t="n">
        <x:v>0</x:v>
      </x:c>
      <x:c r="J7087" s="16" t="n">
        <x:v>0</x:v>
      </x:c>
      <x:c r="K7087" s="11" t="n">
        <x:f>CHOOSE('假设'!$B$3,H7087,I7087,J7087)</x:f>
        <x:v>0</x:v>
      </x:c>
      <x:c r="L7087" s="11" t="n">
        <x:f>K7087*'管线假设'!E1515*'管线假设'!F1515*'管线假设'!G1515*IF(E7087="USD",'管线假设'!I1515,1)-AM7087</x:f>
        <x:v>-0.15</x:v>
      </x:c>
      <x:c r="M7087" s="11" t="n">
        <x:f>'管线假设'!H1515</x:f>
        <x:v>0.14</x:v>
      </x:c>
      <x:c r="N7087" s="11" t="n">
        <x:f>IF(G7087,L7087*AN7087/(1+M7087)^F7087,0)</x:f>
        <x:v>0</x:v>
      </x:c>
      <x:c r="AJ7087" s="42" t="n">
        <x:v>0.06</x:v>
      </x:c>
      <x:c r="AK7087" s="42" t="n">
        <x:v>0.15</x:v>
      </x:c>
      <x:c r="AL7087" s="42" t="n">
        <x:v>0.2</x:v>
      </x:c>
      <x:c r="AM7087" t="n">
        <x:f>CHOOSE('假设'!$B$3,AJ7087,AK7087,AL7087)</x:f>
        <x:v>0.15</x:v>
      </x:c>
      <x:c r="AN7087" t="n">
        <x:v>0</x:v>
      </x:c>
    </x:row>
    <x:row r="7088" ht="23" customHeight="1">
      <x:c r="A7088" s="11" t="str">
        <x:v>09995.HK</x:v>
      </x:c>
      <x:c r="B7088" s="11" t="str">
        <x:v>五年</x:v>
      </x:c>
      <x:c r="C7088" s="11" t="str">
        <x:v>RC18_new_China</x:v>
      </x:c>
      <x:c r="D7088" s="11" t="str">
        <x:v>2029-12-31</x:v>
      </x:c>
      <x:c r="E7088" s="11" t="str">
        <x:v>CNY</x:v>
      </x:c>
      <x:c r="F7088" s="11" t="n">
        <x:v>-1.7713894592744694</x:v>
      </x:c>
      <x:c r="G7088" s="26" t="b">
        <x:v>0</x:v>
      </x:c>
      <x:c r="H7088" s="16" t="n">
        <x:v>0</x:v>
      </x:c>
      <x:c r="I7088" s="16" t="n">
        <x:v>0</x:v>
      </x:c>
      <x:c r="J7088" s="16" t="n">
        <x:v>0.18</x:v>
      </x:c>
      <x:c r="K7088" s="11" t="n">
        <x:f>CHOOSE('假设'!$B$3,H7088,I7088,J7088)</x:f>
        <x:v>0</x:v>
      </x:c>
      <x:c r="L7088" s="11" t="n">
        <x:f>K7088*'管线假设'!E1515*'管线假设'!F1515*'管线假设'!G1515*IF(E7088="USD",'管线假设'!I1515,1)-AM7088</x:f>
        <x:v>-0.1</x:v>
      </x:c>
      <x:c r="M7088" s="11" t="n">
        <x:f>'管线假设'!H1515</x:f>
        <x:v>0.14</x:v>
      </x:c>
      <x:c r="N7088" s="11" t="n">
        <x:f>IF(G7088,L7088*AN7088/(1+M7088)^F7088,0)</x:f>
        <x:v>0</x:v>
      </x:c>
      <x:c r="AJ7088" s="42" t="n">
        <x:v>0</x:v>
      </x:c>
      <x:c r="AK7088" s="42" t="n">
        <x:v>0.1</x:v>
      </x:c>
      <x:c r="AL7088" s="42" t="n">
        <x:v>0.12</x:v>
      </x:c>
      <x:c r="AM7088" t="n">
        <x:f>CHOOSE('假设'!$B$3,AJ7088,AK7088,AL7088)</x:f>
        <x:v>0.1</x:v>
      </x:c>
      <x:c r="AN7088" t="n">
        <x:v>0</x:v>
      </x:c>
    </x:row>
    <x:row r="7089" ht="23" customHeight="1">
      <x:c r="A7089" s="11" t="str">
        <x:v>09995.HK</x:v>
      </x:c>
      <x:c r="B7089" s="11" t="str">
        <x:v>五年</x:v>
      </x:c>
      <x:c r="C7089" s="11" t="str">
        <x:v>RC18_new_China</x:v>
      </x:c>
      <x:c r="D7089" s="11" t="str">
        <x:v>2030-12-31</x:v>
      </x:c>
      <x:c r="E7089" s="11" t="str">
        <x:v>CNY</x:v>
      </x:c>
      <x:c r="F7089" s="11" t="n">
        <x:v>-0.7720739219712526</x:v>
      </x:c>
      <x:c r="G7089" s="26" t="b">
        <x:v>0</x:v>
      </x:c>
      <x:c r="H7089" s="16" t="n">
        <x:v>0</x:v>
      </x:c>
      <x:c r="I7089" s="16" t="n">
        <x:v>0.09</x:v>
      </x:c>
      <x:c r="J7089" s="16" t="n">
        <x:v>0.54</x:v>
      </x:c>
      <x:c r="K7089" s="11" t="n">
        <x:f>CHOOSE('假设'!$B$3,H7089,I7089,J7089)</x:f>
        <x:v>0.09</x:v>
      </x:c>
      <x:c r="L7089" s="11" t="n">
        <x:f>K7089*'管线假设'!E1515*'管线假设'!F1515*'管线假设'!G1515*IF(E7089="USD",'管线假设'!I1515,1)-AM7089</x:f>
        <x:v>0.015479999999999999</x:v>
      </x:c>
      <x:c r="M7089" s="11" t="n">
        <x:f>'管线假设'!H1515</x:f>
        <x:v>0.14</x:v>
      </x:c>
      <x:c r="N7089" s="11" t="n">
        <x:f>IF(G7089,L7089*AN7089/(1+M7089)^F7089,0)</x:f>
        <x:v>0</x:v>
      </x:c>
      <x:c r="AJ7089" s="42" t="n">
        <x:v>0</x:v>
      </x:c>
      <x:c r="AK7089" s="42" t="n">
        <x:v>0</x:v>
      </x:c>
      <x:c r="AL7089" s="42" t="n">
        <x:v>0</x:v>
      </x:c>
      <x:c r="AM7089" t="n">
        <x:f>CHOOSE('假设'!$B$3,AJ7089,AK7089,AL7089)</x:f>
        <x:v>0</x:v>
      </x:c>
      <x:c r="AN7089" t="n">
        <x:v>0</x:v>
      </x:c>
    </x:row>
    <x:row r="7090" ht="23" customHeight="1">
      <x:c r="A7090" s="11" t="str">
        <x:v>09995.HK</x:v>
      </x:c>
      <x:c r="B7090" s="11" t="str">
        <x:v>五年</x:v>
      </x:c>
      <x:c r="C7090" s="11" t="str">
        <x:v>RC18_new_China</x:v>
      </x:c>
      <x:c r="D7090" s="11" t="str">
        <x:v>2031-12-31</x:v>
      </x:c>
      <x:c r="E7090" s="11" t="str">
        <x:v>CNY</x:v>
      </x:c>
      <x:c r="F7090" s="11" t="n">
        <x:v>0.2272416153319644</x:v>
      </x:c>
      <x:c r="G7090" s="26" t="b">
        <x:v>1</x:v>
      </x:c>
      <x:c r="H7090" s="16" t="n">
        <x:v>0</x:v>
      </x:c>
      <x:c r="I7090" s="16" t="n">
        <x:v>0.27</x:v>
      </x:c>
      <x:c r="J7090" s="16" t="n">
        <x:v>1.1400000000000001</x:v>
      </x:c>
      <x:c r="K7090" s="11" t="n">
        <x:f>CHOOSE('假设'!$B$3,H7090,I7090,J7090)</x:f>
        <x:v>0.27</x:v>
      </x:c>
      <x:c r="L7090" s="11" t="n">
        <x:f>K7090*'管线假设'!E1515*'管线假设'!F1515*'管线假设'!G1515*IF(E7090="USD",'管线假设'!I1515,1)-AM7090</x:f>
        <x:v>0.04644</x:v>
      </x:c>
      <x:c r="M7090" s="11" t="n">
        <x:f>'管线假设'!H1515</x:f>
        <x:v>0.14</x:v>
      </x:c>
      <x:c r="N7090" s="11" t="n">
        <x:f>IF(G7090,L7090*AN7090/(1+M7090)^F7090,0)</x:f>
        <x:v>0.010278690030691215</x:v>
      </x:c>
      <x:c r="AJ7090" s="42" t="n">
        <x:v>0</x:v>
      </x:c>
      <x:c r="AK7090" s="42" t="n">
        <x:v>0</x:v>
      </x:c>
      <x:c r="AL7090" s="42" t="n">
        <x:v>0</x:v>
      </x:c>
      <x:c r="AM7090" t="n">
        <x:f>CHOOSE('假设'!$B$3,AJ7090,AK7090,AL7090)</x:f>
        <x:v>0</x:v>
      </x:c>
      <x:c r="AN7090" t="n">
        <x:v>0.22802197802197802</x:v>
      </x:c>
    </x:row>
    <x:row r="7091" ht="23" customHeight="1">
      <x:c r="A7091" s="11" t="str">
        <x:v>09995.HK</x:v>
      </x:c>
      <x:c r="B7091" s="11" t="str">
        <x:v>五年</x:v>
      </x:c>
      <x:c r="C7091" s="11" t="str">
        <x:v>RC18_new_China</x:v>
      </x:c>
      <x:c r="D7091" s="11" t="str">
        <x:v>2032-12-31</x:v>
      </x:c>
      <x:c r="E7091" s="11" t="str">
        <x:v>CNY</x:v>
      </x:c>
      <x:c r="F7091" s="11" t="n">
        <x:v>1.2292950034223136</x:v>
      </x:c>
      <x:c r="G7091" s="26" t="b">
        <x:v>1</x:v>
      </x:c>
      <x:c r="H7091" s="16" t="n">
        <x:v>0.036</x:v>
      </x:c>
      <x:c r="I7091" s="16" t="n">
        <x:v>0.5700000000000001</x:v>
      </x:c>
      <x:c r="J7091" s="16" t="n">
        <x:v>1.9500000000000002</x:v>
      </x:c>
      <x:c r="K7091" s="11" t="n">
        <x:f>CHOOSE('假设'!$B$3,H7091,I7091,J7091)</x:f>
        <x:v>0.5700000000000001</x:v>
      </x:c>
      <x:c r="L7091" s="11" t="n">
        <x:f>K7091*'管线假设'!E1515*'管线假设'!F1515*'管线假设'!G1515*IF(E7091="USD",'管线假设'!I1515,1)-AM7091</x:f>
        <x:v>0.09804000000000002</x:v>
      </x:c>
      <x:c r="M7091" s="11" t="n">
        <x:f>'管线假设'!H1515</x:f>
        <x:v>0.14</x:v>
      </x:c>
      <x:c r="N7091" s="11" t="n">
        <x:f>IF(G7091,L7091*AN7091/(1+M7091)^F7091,0)</x:f>
        <x:v>0.08345463329504835</x:v>
      </x:c>
      <x:c r="AJ7091" s="42" t="n">
        <x:v>0</x:v>
      </x:c>
      <x:c r="AK7091" s="42" t="n">
        <x:v>0</x:v>
      </x:c>
      <x:c r="AL7091" s="42" t="n">
        <x:v>0</x:v>
      </x:c>
      <x:c r="AM7091" t="n">
        <x:f>CHOOSE('假设'!$B$3,AJ7091,AK7091,AL7091)</x:f>
        <x:v>0</x:v>
      </x:c>
      <x:c r="AN7091" t="n">
        <x:v>1</x:v>
      </x:c>
    </x:row>
    <x:row r="7092" ht="23" customHeight="1">
      <x:c r="A7092" s="11" t="str">
        <x:v>09995.HK</x:v>
      </x:c>
      <x:c r="B7092" s="11" t="str">
        <x:v>五年</x:v>
      </x:c>
      <x:c r="C7092" s="11" t="str">
        <x:v>RC18_new_China</x:v>
      </x:c>
      <x:c r="D7092" s="11" t="str">
        <x:v>2033-12-31</x:v>
      </x:c>
      <x:c r="E7092" s="11" t="str">
        <x:v>CNY</x:v>
      </x:c>
      <x:c r="F7092" s="11" t="n">
        <x:v>2.2286105407255303</x:v>
      </x:c>
      <x:c r="G7092" s="26" t="b">
        <x:v>1</x:v>
      </x:c>
      <x:c r="H7092" s="16" t="n">
        <x:v>0.108</x:v>
      </x:c>
      <x:c r="I7092" s="16" t="n">
        <x:v>0.9750000000000001</x:v>
      </x:c>
      <x:c r="J7092" s="16" t="n">
        <x:v>2.55</x:v>
      </x:c>
      <x:c r="K7092" s="11" t="n">
        <x:f>CHOOSE('假设'!$B$3,H7092,I7092,J7092)</x:f>
        <x:v>0.9750000000000001</x:v>
      </x:c>
      <x:c r="L7092" s="11" t="n">
        <x:f>K7092*'管线假设'!E1515*'管线假设'!F1515*'管线假设'!G1515*IF(E7092="USD",'管线假设'!I1515,1)-AM7092</x:f>
        <x:v>0.16770000000000002</x:v>
      </x:c>
      <x:c r="M7092" s="11" t="n">
        <x:f>'管线假设'!H1515</x:f>
        <x:v>0.14</x:v>
      </x:c>
      <x:c r="N7092" s="11" t="n">
        <x:f>IF(G7092,L7092*AN7092/(1+M7092)^F7092,0)</x:f>
        <x:v>0.12523171009261588</x:v>
      </x:c>
      <x:c r="AJ7092" s="42" t="n">
        <x:v>0</x:v>
      </x:c>
      <x:c r="AK7092" s="42" t="n">
        <x:v>0</x:v>
      </x:c>
      <x:c r="AL7092" s="42" t="n">
        <x:v>0</x:v>
      </x:c>
      <x:c r="AM7092" t="n">
        <x:f>CHOOSE('假设'!$B$3,AJ7092,AK7092,AL7092)</x:f>
        <x:v>0</x:v>
      </x:c>
      <x:c r="AN7092" t="n">
        <x:v>1</x:v>
      </x:c>
    </x:row>
    <x:row r="7093" ht="23" customHeight="1">
      <x:c r="A7093" s="11" t="str">
        <x:v>09995.HK</x:v>
      </x:c>
      <x:c r="B7093" s="11" t="str">
        <x:v>五年</x:v>
      </x:c>
      <x:c r="C7093" s="11" t="str">
        <x:v>RC18_new_China</x:v>
      </x:c>
      <x:c r="D7093" s="11" t="str">
        <x:v>2034-12-31</x:v>
      </x:c>
      <x:c r="E7093" s="11" t="str">
        <x:v>CNY</x:v>
      </x:c>
      <x:c r="F7093" s="11" t="n">
        <x:v>3.2279260780287475</x:v>
      </x:c>
      <x:c r="G7093" s="26" t="b">
        <x:v>1</x:v>
      </x:c>
      <x:c r="H7093" s="16" t="n">
        <x:v>0.22799999999999998</x:v>
      </x:c>
      <x:c r="I7093" s="16" t="n">
        <x:v>1.275</x:v>
      </x:c>
      <x:c r="J7093" s="16" t="n">
        <x:v>3</x:v>
      </x:c>
      <x:c r="K7093" s="11" t="n">
        <x:f>CHOOSE('假设'!$B$3,H7093,I7093,J7093)</x:f>
        <x:v>1.275</x:v>
      </x:c>
      <x:c r="L7093" s="11" t="n">
        <x:f>K7093*'管线假设'!E1515*'管线假设'!F1515*'管线假设'!G1515*IF(E7093="USD",'管线假设'!I1515,1)-AM7093</x:f>
        <x:v>0.2193</x:v>
      </x:c>
      <x:c r="M7093" s="11" t="n">
        <x:f>'管线假设'!H1515</x:f>
        <x:v>0.14</x:v>
      </x:c>
      <x:c r="N7093" s="11" t="n">
        <x:f>IF(G7093,L7093*AN7093/(1+M7093)^F7093,0)</x:f>
        <x:v>0.14366599270029837</x:v>
      </x:c>
      <x:c r="AJ7093" s="42" t="n">
        <x:v>0</x:v>
      </x:c>
      <x:c r="AK7093" s="42" t="n">
        <x:v>0</x:v>
      </x:c>
      <x:c r="AL7093" s="42" t="n">
        <x:v>0</x:v>
      </x:c>
      <x:c r="AM7093" t="n">
        <x:f>CHOOSE('假设'!$B$3,AJ7093,AK7093,AL7093)</x:f>
        <x:v>0</x:v>
      </x:c>
      <x:c r="AN7093" t="n">
        <x:v>1</x:v>
      </x:c>
    </x:row>
    <x:row r="7094" ht="23" customHeight="1">
      <x:c r="A7094" s="11" t="str">
        <x:v>09995.HK</x:v>
      </x:c>
      <x:c r="B7094" s="11" t="str">
        <x:v>五年</x:v>
      </x:c>
      <x:c r="C7094" s="11" t="str">
        <x:v>RC18_new_China</x:v>
      </x:c>
      <x:c r="D7094" s="11" t="str">
        <x:v>2035-12-31</x:v>
      </x:c>
      <x:c r="E7094" s="11" t="str">
        <x:v>CNY</x:v>
      </x:c>
      <x:c r="F7094" s="11" t="n">
        <x:v>4.227241615331964</x:v>
      </x:c>
      <x:c r="G7094" s="26" t="b">
        <x:v>1</x:v>
      </x:c>
      <x:c r="H7094" s="16" t="n">
        <x:v>0.39</x:v>
      </x:c>
      <x:c r="I7094" s="16" t="n">
        <x:v>1.5</x:v>
      </x:c>
      <x:c r="J7094" s="16" t="n">
        <x:v>3</x:v>
      </x:c>
      <x:c r="K7094" s="11" t="n">
        <x:f>CHOOSE('假设'!$B$3,H7094,I7094,J7094)</x:f>
        <x:v>1.5</x:v>
      </x:c>
      <x:c r="L7094" s="11" t="n">
        <x:f>K7094*'管线假设'!E1515*'管线假设'!F1515*'管线假设'!G1515*IF(E7094="USD",'管线假设'!I1515,1)-AM7094</x:f>
        <x:v>0.258</x:v>
      </x:c>
      <x:c r="M7094" s="11" t="n">
        <x:f>'管线假设'!H1515</x:f>
        <x:v>0.14</x:v>
      </x:c>
      <x:c r="N7094" s="11" t="n">
        <x:f>IF(G7094,L7094*AN7094/(1+M7094)^F7094,0)</x:f>
        <x:v>0.14827541569960398</x:v>
      </x:c>
      <x:c r="AJ7094" s="42" t="n">
        <x:v>0</x:v>
      </x:c>
      <x:c r="AK7094" s="42" t="n">
        <x:v>0</x:v>
      </x:c>
      <x:c r="AL7094" s="42" t="n">
        <x:v>0</x:v>
      </x:c>
      <x:c r="AM7094" t="n">
        <x:f>CHOOSE('假设'!$B$3,AJ7094,AK7094,AL7094)</x:f>
        <x:v>0</x:v>
      </x:c>
      <x:c r="AN7094" t="n">
        <x:v>1</x:v>
      </x:c>
    </x:row>
    <x:row r="7095" ht="23" customHeight="1">
      <x:c r="A7095" s="11" t="str">
        <x:v>09995.HK</x:v>
      </x:c>
      <x:c r="B7095" s="11" t="str">
        <x:v>五年</x:v>
      </x:c>
      <x:c r="C7095" s="11" t="str">
        <x:v>RC18_new_China</x:v>
      </x:c>
      <x:c r="D7095" s="11" t="str">
        <x:v>2036-12-31</x:v>
      </x:c>
      <x:c r="E7095" s="11" t="str">
        <x:v>CNY</x:v>
      </x:c>
      <x:c r="F7095" s="11" t="n">
        <x:v>5.229295003422314</x:v>
      </x:c>
      <x:c r="G7095" s="26" t="b">
        <x:v>1</x:v>
      </x:c>
      <x:c r="H7095" s="16" t="n">
        <x:v>0.51</x:v>
      </x:c>
      <x:c r="I7095" s="16" t="n">
        <x:v>1.5</x:v>
      </x:c>
      <x:c r="J7095" s="16" t="n">
        <x:v>2.8499999999999996</x:v>
      </x:c>
      <x:c r="K7095" s="11" t="n">
        <x:f>CHOOSE('假设'!$B$3,H7095,I7095,J7095)</x:f>
        <x:v>1.5</x:v>
      </x:c>
      <x:c r="L7095" s="11" t="n">
        <x:f>K7095*'管线假设'!E1515*'管线假设'!F1515*'管线假设'!G1515*IF(E7095="USD",'管线假设'!I1515,1)-AM7095</x:f>
        <x:v>0.258</x:v>
      </x:c>
      <x:c r="M7095" s="11" t="n">
        <x:f>'管线假设'!H1515</x:f>
        <x:v>0.14</x:v>
      </x:c>
      <x:c r="N7095" s="11" t="n">
        <x:f>IF(G7095,L7095*AN7095/(1+M7095)^F7095,0)</x:f>
        <x:v>0.13003116428726227</x:v>
      </x:c>
      <x:c r="AJ7095" s="42" t="n">
        <x:v>0</x:v>
      </x:c>
      <x:c r="AK7095" s="42" t="n">
        <x:v>0</x:v>
      </x:c>
      <x:c r="AL7095" s="42" t="n">
        <x:v>0</x:v>
      </x:c>
      <x:c r="AM7095" t="n">
        <x:f>CHOOSE('假设'!$B$3,AJ7095,AK7095,AL7095)</x:f>
        <x:v>0</x:v>
      </x:c>
      <x:c r="AN7095" t="n">
        <x:v>1</x:v>
      </x:c>
    </x:row>
    <x:row r="7096" ht="23" customHeight="1">
      <x:c r="A7096" s="11" t="str">
        <x:v>09995.HK</x:v>
      </x:c>
      <x:c r="B7096" s="11" t="str">
        <x:v>五年</x:v>
      </x:c>
      <x:c r="C7096" s="11" t="str">
        <x:v>RC18_new_China</x:v>
      </x:c>
      <x:c r="D7096" s="11" t="str">
        <x:v>2037-12-31</x:v>
      </x:c>
      <x:c r="E7096" s="11" t="str">
        <x:v>CNY</x:v>
      </x:c>
      <x:c r="F7096" s="11" t="n">
        <x:v>6.228610540725531</x:v>
      </x:c>
      <x:c r="G7096" s="26" t="b">
        <x:v>1</x:v>
      </x:c>
      <x:c r="H7096" s="16" t="n">
        <x:v>0.6</x:v>
      </x:c>
      <x:c r="I7096" s="16" t="n">
        <x:v>1.4249999999999998</x:v>
      </x:c>
      <x:c r="J7096" s="16" t="n">
        <x:v>2.7</x:v>
      </x:c>
      <x:c r="K7096" s="11" t="n">
        <x:f>CHOOSE('假设'!$B$3,H7096,I7096,J7096)</x:f>
        <x:v>1.4249999999999998</x:v>
      </x:c>
      <x:c r="L7096" s="11" t="n">
        <x:f>K7096*'管线假设'!E1515*'管线假设'!F1515*'管线假设'!G1515*IF(E7096="USD",'管线假设'!I1515,1)-AM7096</x:f>
        <x:v>0.24509999999999998</x:v>
      </x:c>
      <x:c r="M7096" s="11" t="n">
        <x:f>'管线假设'!H1515</x:f>
        <x:v>0.14</x:v>
      </x:c>
      <x:c r="N7096" s="11" t="n">
        <x:f>IF(G7096,L7096*AN7096/(1+M7096)^F7096,0)</x:f>
        <x:v>0.10836902209972336</x:v>
      </x:c>
      <x:c r="AJ7096" s="42" t="n">
        <x:v>0</x:v>
      </x:c>
      <x:c r="AK7096" s="42" t="n">
        <x:v>0</x:v>
      </x:c>
      <x:c r="AL7096" s="42" t="n">
        <x:v>0</x:v>
      </x:c>
      <x:c r="AM7096" t="n">
        <x:f>CHOOSE('假设'!$B$3,AJ7096,AK7096,AL7096)</x:f>
        <x:v>0</x:v>
      </x:c>
      <x:c r="AN7096" t="n">
        <x:v>1</x:v>
      </x:c>
    </x:row>
    <x:row r="7097" ht="23" customHeight="1">
      <x:c r="A7097" s="11" t="str">
        <x:v>09995.HK</x:v>
      </x:c>
      <x:c r="B7097" s="11" t="str">
        <x:v>五年</x:v>
      </x:c>
      <x:c r="C7097" s="11" t="str">
        <x:v>RC18_new_China</x:v>
      </x:c>
      <x:c r="D7097" s="11" t="str">
        <x:v>2038-12-31</x:v>
      </x:c>
      <x:c r="E7097" s="11" t="str">
        <x:v>CNY</x:v>
      </x:c>
      <x:c r="F7097" s="11" t="n">
        <x:v>7.227926078028747</x:v>
      </x:c>
      <x:c r="G7097" s="26" t="b">
        <x:v>1</x:v>
      </x:c>
      <x:c r="H7097" s="16" t="n">
        <x:v>0.6</x:v>
      </x:c>
      <x:c r="I7097" s="16" t="n">
        <x:v>1.35</x:v>
      </x:c>
      <x:c r="J7097" s="16" t="n">
        <x:v>2.4000000000000004</x:v>
      </x:c>
      <x:c r="K7097" s="11" t="n">
        <x:f>CHOOSE('假设'!$B$3,H7097,I7097,J7097)</x:f>
        <x:v>1.35</x:v>
      </x:c>
      <x:c r="L7097" s="11" t="n">
        <x:f>K7097*'管线假设'!E1515*'管线假设'!F1515*'管线假设'!G1515*IF(E7097="USD",'管线假设'!I1515,1)-AM7097</x:f>
        <x:v>0.23220000000000002</x:v>
      </x:c>
      <x:c r="M7097" s="11" t="n">
        <x:f>'管线假设'!H1515</x:f>
        <x:v>0.14</x:v>
      </x:c>
      <x:c r="N7097" s="11" t="n">
        <x:f>IF(G7097,L7097*AN7097/(1+M7097)^F7097,0)</x:f>
        <x:v>0.09006543614822429</x:v>
      </x:c>
      <x:c r="AJ7097" s="42" t="n">
        <x:v>0</x:v>
      </x:c>
      <x:c r="AK7097" s="42" t="n">
        <x:v>0</x:v>
      </x:c>
      <x:c r="AL7097" s="42" t="n">
        <x:v>0</x:v>
      </x:c>
      <x:c r="AM7097" t="n">
        <x:f>CHOOSE('假设'!$B$3,AJ7097,AK7097,AL7097)</x:f>
        <x:v>0</x:v>
      </x:c>
      <x:c r="AN7097" t="n">
        <x:v>1</x:v>
      </x:c>
    </x:row>
    <x:row r="7098" ht="23" customHeight="1">
      <x:c r="A7098" s="11" t="str">
        <x:v>09995.HK</x:v>
      </x:c>
      <x:c r="B7098" s="11" t="str">
        <x:v>五年</x:v>
      </x:c>
      <x:c r="C7098" s="11" t="str">
        <x:v>RC18_new_China</x:v>
      </x:c>
      <x:c r="D7098" s="11" t="str">
        <x:v>2039-12-31</x:v>
      </x:c>
      <x:c r="E7098" s="11" t="str">
        <x:v>CNY</x:v>
      </x:c>
      <x:c r="F7098" s="11" t="n">
        <x:v>8.227241615331964</x:v>
      </x:c>
      <x:c r="G7098" s="26" t="b">
        <x:v>1</x:v>
      </x:c>
      <x:c r="H7098" s="16" t="n">
        <x:v>0.57</x:v>
      </x:c>
      <x:c r="I7098" s="16" t="n">
        <x:v>1.2000000000000002</x:v>
      </x:c>
      <x:c r="J7098" s="16" t="n">
        <x:v>1.9500000000000002</x:v>
      </x:c>
      <x:c r="K7098" s="11" t="n">
        <x:f>CHOOSE('假设'!$B$3,H7098,I7098,J7098)</x:f>
        <x:v>1.2000000000000002</x:v>
      </x:c>
      <x:c r="L7098" s="11" t="n">
        <x:f>K7098*'管线假设'!E1515*'管线假设'!F1515*'管线假设'!G1515*IF(E7098="USD",'管线假设'!I1515,1)-AM7098</x:f>
        <x:v>0.20640000000000003</x:v>
      </x:c>
      <x:c r="M7098" s="11" t="n">
        <x:f>'管线假设'!H1515</x:f>
        <x:v>0.14</x:v>
      </x:c>
      <x:c r="N7098" s="11" t="n">
        <x:f>IF(G7098,L7098*AN7098/(1+M7098)^F7098,0)</x:f>
        <x:v>0.07023275940368134</x:v>
      </x:c>
      <x:c r="AJ7098" s="42" t="n">
        <x:v>0</x:v>
      </x:c>
      <x:c r="AK7098" s="42" t="n">
        <x:v>0</x:v>
      </x:c>
      <x:c r="AL7098" s="42" t="n">
        <x:v>0</x:v>
      </x:c>
      <x:c r="AM7098" t="n">
        <x:f>CHOOSE('假设'!$B$3,AJ7098,AK7098,AL7098)</x:f>
        <x:v>0</x:v>
      </x:c>
      <x:c r="AN7098" t="n">
        <x:v>1</x:v>
      </x:c>
    </x:row>
    <x:row r="7099" ht="23" customHeight="1">
      <x:c r="A7099" s="11" t="str">
        <x:v>09995.HK</x:v>
      </x:c>
      <x:c r="B7099" s="11" t="str">
        <x:v>五年</x:v>
      </x:c>
      <x:c r="C7099" s="11" t="str">
        <x:v>RC18_new_China</x:v>
      </x:c>
      <x:c r="D7099" s="11" t="str">
        <x:v>2040-12-31</x:v>
      </x:c>
      <x:c r="E7099" s="11" t="str">
        <x:v>CNY</x:v>
      </x:c>
      <x:c r="F7099" s="11" t="n">
        <x:v>9.229295003422314</x:v>
      </x:c>
      <x:c r="G7099" s="26" t="b">
        <x:v>1</x:v>
      </x:c>
      <x:c r="H7099" s="16" t="n">
        <x:v>0.54</x:v>
      </x:c>
      <x:c r="I7099" s="16" t="n">
        <x:v>0.9750000000000001</x:v>
      </x:c>
      <x:c r="J7099" s="16" t="n">
        <x:v>1.5</x:v>
      </x:c>
      <x:c r="K7099" s="11" t="n">
        <x:f>CHOOSE('假设'!$B$3,H7099,I7099,J7099)</x:f>
        <x:v>0.9750000000000001</x:v>
      </x:c>
      <x:c r="L7099" s="11" t="n">
        <x:f>K7099*'管线假设'!E1515*'管线假设'!F1515*'管线假设'!G1515*IF(E7099="USD",'管线假设'!I1515,1)-AM7099</x:f>
        <x:v>0.16770000000000002</x:v>
      </x:c>
      <x:c r="M7099" s="11" t="n">
        <x:f>'管线假设'!H1515</x:f>
        <x:v>0.14</x:v>
      </x:c>
      <x:c r="N7099" s="11" t="n">
        <x:f>IF(G7099,L7099*AN7099/(1+M7099)^F7099,0)</x:f>
        <x:v>0.0500427770816811</x:v>
      </x:c>
      <x:c r="AJ7099" s="42" t="n">
        <x:v>0</x:v>
      </x:c>
      <x:c r="AK7099" s="42" t="n">
        <x:v>0</x:v>
      </x:c>
      <x:c r="AL7099" s="42" t="n">
        <x:v>0</x:v>
      </x:c>
      <x:c r="AM7099" t="n">
        <x:f>CHOOSE('假设'!$B$3,AJ7099,AK7099,AL7099)</x:f>
        <x:v>0</x:v>
      </x:c>
      <x:c r="AN7099" t="n">
        <x:v>1</x:v>
      </x:c>
    </x:row>
    <x:row r="7100" ht="23" customHeight="1">
      <x:c r="A7100" s="11" t="str">
        <x:v>09995.HK</x:v>
      </x:c>
      <x:c r="B7100" s="11" t="str">
        <x:v>五年</x:v>
      </x:c>
      <x:c r="C7100" s="11" t="str">
        <x:v>RC18_new_China</x:v>
      </x:c>
      <x:c r="D7100" s="11" t="str">
        <x:v>2041-12-31</x:v>
      </x:c>
      <x:c r="E7100" s="11" t="str">
        <x:v>CNY</x:v>
      </x:c>
      <x:c r="F7100" s="11" t="n">
        <x:v>10.22861054072553</x:v>
      </x:c>
      <x:c r="G7100" s="26" t="b">
        <x:v>1</x:v>
      </x:c>
      <x:c r="H7100" s="16" t="n">
        <x:v>0.48</x:v>
      </x:c>
      <x:c r="I7100" s="16" t="n">
        <x:v>0.75</x:v>
      </x:c>
      <x:c r="J7100" s="16" t="n">
        <x:v>1.0499999999999998</x:v>
      </x:c>
      <x:c r="K7100" s="11" t="n">
        <x:f>CHOOSE('假设'!$B$3,H7100,I7100,J7100)</x:f>
        <x:v>0.75</x:v>
      </x:c>
      <x:c r="L7100" s="11" t="n">
        <x:f>K7100*'管线假设'!E1515*'管线假设'!F1515*'管线假设'!G1515*IF(E7100="USD",'管线假设'!I1515,1)-AM7100</x:f>
        <x:v>0.129</x:v>
      </x:c>
      <x:c r="M7100" s="11" t="n">
        <x:f>'管线假设'!H1515</x:f>
        <x:v>0.14</x:v>
      </x:c>
      <x:c r="N7100" s="11" t="n">
        <x:f>IF(G7100,L7100*AN7100/(1+M7100)^F7100,0)</x:f>
        <x:v>0.03377008455954759</x:v>
      </x:c>
      <x:c r="AJ7100" s="42" t="n">
        <x:v>0</x:v>
      </x:c>
      <x:c r="AK7100" s="42" t="n">
        <x:v>0</x:v>
      </x:c>
      <x:c r="AL7100" s="42" t="n">
        <x:v>0</x:v>
      </x:c>
      <x:c r="AM7100" t="n">
        <x:f>CHOOSE('假设'!$B$3,AJ7100,AK7100,AL7100)</x:f>
        <x:v>0</x:v>
      </x:c>
      <x:c r="AN7100" t="n">
        <x:v>1</x:v>
      </x:c>
    </x:row>
    <x:row r="7101" ht="23" customHeight="1">
      <x:c r="A7101" s="11" t="str">
        <x:v>09995.HK</x:v>
      </x:c>
      <x:c r="B7101" s="11" t="str">
        <x:v>五年</x:v>
      </x:c>
      <x:c r="C7101" s="11" t="str">
        <x:v>RC18_new_China</x:v>
      </x:c>
      <x:c r="D7101" s="11" t="str">
        <x:v>2042-12-31</x:v>
      </x:c>
      <x:c r="E7101" s="11" t="str">
        <x:v>CNY</x:v>
      </x:c>
      <x:c r="F7101" s="11" t="n">
        <x:v>11.227926078028748</x:v>
      </x:c>
      <x:c r="G7101" s="26" t="b">
        <x:v>1</x:v>
      </x:c>
      <x:c r="H7101" s="16" t="n">
        <x:v>0.39</x:v>
      </x:c>
      <x:c r="I7101" s="16" t="n">
        <x:v>0.5249999999999999</x:v>
      </x:c>
      <x:c r="J7101" s="16" t="n">
        <x:v>0.6000000000000001</x:v>
      </x:c>
      <x:c r="K7101" s="11" t="n">
        <x:f>CHOOSE('假设'!$B$3,H7101,I7101,J7101)</x:f>
        <x:v>0.5249999999999999</x:v>
      </x:c>
      <x:c r="L7101" s="11" t="n">
        <x:f>K7101*'管线假设'!E1515*'管线假设'!F1515*'管线假设'!G1515*IF(E7101="USD",'管线假设'!I1515,1)-AM7101</x:f>
        <x:v>0.09029999999999998</x:v>
      </x:c>
      <x:c r="M7101" s="11" t="n">
        <x:f>'管线假设'!H1515</x:f>
        <x:v>0.14</x:v>
      </x:c>
      <x:c r="N7101" s="11" t="n">
        <x:f>IF(G7101,L7101*AN7101/(1+M7101)^F7101,0)</x:f>
        <x:v>0.020737876606264107</x:v>
      </x:c>
      <x:c r="AJ7101" s="42" t="n">
        <x:v>0</x:v>
      </x:c>
      <x:c r="AK7101" s="42" t="n">
        <x:v>0</x:v>
      </x:c>
      <x:c r="AL7101" s="42" t="n">
        <x:v>0</x:v>
      </x:c>
      <x:c r="AM7101" t="n">
        <x:f>CHOOSE('假设'!$B$3,AJ7101,AK7101,AL7101)</x:f>
        <x:v>0</x:v>
      </x:c>
      <x:c r="AN7101" t="n">
        <x:v>1</x:v>
      </x:c>
    </x:row>
    <x:row r="7102" ht="23" customHeight="1">
      <x:c r="A7102" s="11" t="str">
        <x:v>09995.HK</x:v>
      </x:c>
      <x:c r="B7102" s="11" t="str">
        <x:v>五年</x:v>
      </x:c>
      <x:c r="C7102" s="11" t="str">
        <x:v>RC18_new_China</x:v>
      </x:c>
      <x:c r="D7102" s="11" t="str">
        <x:v>2043-12-31</x:v>
      </x:c>
      <x:c r="E7102" s="11" t="str">
        <x:v>CNY</x:v>
      </x:c>
      <x:c r="F7102" s="11" t="n">
        <x:v>12.227241615331964</x:v>
      </x:c>
      <x:c r="G7102" s="26" t="b">
        <x:v>1</x:v>
      </x:c>
      <x:c r="H7102" s="16" t="n">
        <x:v>0.3</x:v>
      </x:c>
      <x:c r="I7102" s="16" t="n">
        <x:v>0.30000000000000004</x:v>
      </x:c>
      <x:c r="J7102" s="16" t="n">
        <x:v>0.36</x:v>
      </x:c>
      <x:c r="K7102" s="11" t="n">
        <x:f>CHOOSE('假设'!$B$3,H7102,I7102,J7102)</x:f>
        <x:v>0.30000000000000004</x:v>
      </x:c>
      <x:c r="L7102" s="11" t="n">
        <x:f>K7102*'管线假设'!E1515*'管线假设'!F1515*'管线假设'!G1515*IF(E7102="USD",'管线假设'!I1515,1)-AM7102</x:f>
        <x:v>0.05160000000000001</x:v>
      </x:c>
      <x:c r="M7102" s="11" t="n">
        <x:f>'管线假设'!H1515</x:f>
        <x:v>0.14</x:v>
      </x:c>
      <x:c r="N7102" s="11" t="n">
        <x:f>IF(G7102,L7102*AN7102/(1+M7102)^F7102,0)</x:f>
        <x:v>0.010395857917051358</x:v>
      </x:c>
      <x:c r="AJ7102" s="42" t="n">
        <x:v>0</x:v>
      </x:c>
      <x:c r="AK7102" s="42" t="n">
        <x:v>0</x:v>
      </x:c>
      <x:c r="AL7102" s="42" t="n">
        <x:v>0</x:v>
      </x:c>
      <x:c r="AM7102" t="n">
        <x:f>CHOOSE('假设'!$B$3,AJ7102,AK7102,AL7102)</x:f>
        <x:v>0</x:v>
      </x:c>
      <x:c r="AN7102" t="n">
        <x:v>1</x:v>
      </x:c>
    </x:row>
    <x:row r="7103" ht="23" customHeight="1">
      <x:c r="A7103" s="11" t="str">
        <x:v>09995.HK</x:v>
      </x:c>
      <x:c r="B7103" s="11" t="str">
        <x:v>五年</x:v>
      </x:c>
      <x:c r="C7103" s="11" t="str">
        <x:v>RC18_new_China</x:v>
      </x:c>
      <x:c r="D7103" s="11" t="str">
        <x:v>2044-12-31</x:v>
      </x:c>
      <x:c r="E7103" s="11" t="str">
        <x:v>CNY</x:v>
      </x:c>
      <x:c r="F7103" s="11" t="n">
        <x:v>13.229295003422314</x:v>
      </x:c>
      <x:c r="G7103" s="26" t="b">
        <x:v>1</x:v>
      </x:c>
      <x:c r="H7103" s="16" t="n">
        <x:v>0.21</x:v>
      </x:c>
      <x:c r="I7103" s="16" t="n">
        <x:v>0.18</x:v>
      </x:c>
      <x:c r="J7103" s="16" t="n">
        <x:v>0.21000000000000002</x:v>
      </x:c>
      <x:c r="K7103" s="11" t="n">
        <x:f>CHOOSE('假设'!$B$3,H7103,I7103,J7103)</x:f>
        <x:v>0.18</x:v>
      </x:c>
      <x:c r="L7103" s="11" t="n">
        <x:f>K7103*'管线假设'!E1515*'管线假设'!F1515*'管线假设'!G1515*IF(E7103="USD",'管线假设'!I1515,1)-AM7103</x:f>
        <x:v>0.030959999999999998</x:v>
      </x:c>
      <x:c r="M7103" s="11" t="n">
        <x:f>'管线假设'!H1515</x:f>
        <x:v>0.14</x:v>
      </x:c>
      <x:c r="N7103" s="11" t="n">
        <x:f>IF(G7103,L7103*AN7103/(1+M7103)^F7103,0)</x:f>
        <x:v>0.005470032246442395</x:v>
      </x:c>
      <x:c r="AJ7103" s="42" t="n">
        <x:v>0</x:v>
      </x:c>
      <x:c r="AK7103" s="42" t="n">
        <x:v>0</x:v>
      </x:c>
      <x:c r="AL7103" s="42" t="n">
        <x:v>0</x:v>
      </x:c>
      <x:c r="AM7103" t="n">
        <x:f>CHOOSE('假设'!$B$3,AJ7103,AK7103,AL7103)</x:f>
        <x:v>0</x:v>
      </x:c>
      <x:c r="AN7103" t="n">
        <x:v>1</x:v>
      </x:c>
    </x:row>
    <x:row r="7104" ht="23" customHeight="1">
      <x:c r="A7104" s="11" t="str">
        <x:v>09995.HK</x:v>
      </x:c>
      <x:c r="B7104" s="11" t="str">
        <x:v>五年</x:v>
      </x:c>
      <x:c r="C7104" s="11" t="str">
        <x:v>RC48_new_China</x:v>
      </x:c>
      <x:c r="D7104" s="11" t="str">
        <x:v>2026-12-31</x:v>
      </x:c>
      <x:c r="E7104" s="11" t="str">
        <x:v>CNY</x:v>
      </x:c>
      <x:c r="F7104" s="11" t="n">
        <x:v>-4.772073921971253</x:v>
      </x:c>
      <x:c r="G7104" s="26" t="b">
        <x:v>0</x:v>
      </x:c>
      <x:c r="H7104" s="16" t="n">
        <x:v>0</x:v>
      </x:c>
      <x:c r="I7104" s="16" t="n">
        <x:v>0</x:v>
      </x:c>
      <x:c r="J7104" s="16" t="n">
        <x:v>0</x:v>
      </x:c>
      <x:c r="K7104" s="11" t="n">
        <x:f>CHOOSE('假设'!$B$3,H7104,I7104,J7104)</x:f>
        <x:v>0</x:v>
      </x:c>
      <x:c r="L7104" s="11" t="n">
        <x:f>K7104*'管线假设'!E1519*'管线假设'!F1519*'管线假设'!G1519*IF(E7104="USD",'管线假设'!I1519,1)-AM7104</x:f>
        <x:v>-0.15</x:v>
      </x:c>
      <x:c r="M7104" s="11" t="n">
        <x:f>'管线假设'!H1519</x:f>
        <x:v>0.14</x:v>
      </x:c>
      <x:c r="N7104" s="11" t="n">
        <x:f>IF(G7104,L7104*AN7104/(1+M7104)^F7104,0)</x:f>
        <x:v>0</x:v>
      </x:c>
      <x:c r="AJ7104" s="42" t="n">
        <x:v>0.08</x:v>
      </x:c>
      <x:c r="AK7104" s="42" t="n">
        <x:v>0.15</x:v>
      </x:c>
      <x:c r="AL7104" s="42" t="n">
        <x:v>0.2</x:v>
      </x:c>
      <x:c r="AM7104" t="n">
        <x:f>CHOOSE('假设'!$B$3,AJ7104,AK7104,AL7104)</x:f>
        <x:v>0.15</x:v>
      </x:c>
      <x:c r="AN7104" t="n">
        <x:v>0</x:v>
      </x:c>
    </x:row>
    <x:row r="7105" ht="23" customHeight="1">
      <x:c r="A7105" s="11" t="str">
        <x:v>09995.HK</x:v>
      </x:c>
      <x:c r="B7105" s="11" t="str">
        <x:v>五年</x:v>
      </x:c>
      <x:c r="C7105" s="11" t="str">
        <x:v>RC48_new_China</x:v>
      </x:c>
      <x:c r="D7105" s="11" t="str">
        <x:v>2027-12-31</x:v>
      </x:c>
      <x:c r="E7105" s="11" t="str">
        <x:v>CNY</x:v>
      </x:c>
      <x:c r="F7105" s="11" t="n">
        <x:v>-3.7727583846680357</x:v>
      </x:c>
      <x:c r="G7105" s="26" t="b">
        <x:v>0</x:v>
      </x:c>
      <x:c r="H7105" s="16" t="n">
        <x:v>0</x:v>
      </x:c>
      <x:c r="I7105" s="16" t="n">
        <x:v>0</x:v>
      </x:c>
      <x:c r="J7105" s="16" t="n">
        <x:v>0</x:v>
      </x:c>
      <x:c r="K7105" s="11" t="n">
        <x:f>CHOOSE('假设'!$B$3,H7105,I7105,J7105)</x:f>
        <x:v>0</x:v>
      </x:c>
      <x:c r="L7105" s="11" t="n">
        <x:f>K7105*'管线假设'!E1519*'管线假设'!F1519*'管线假设'!G1519*IF(E7105="USD",'管线假设'!I1519,1)-AM7105</x:f>
        <x:v>-0.18</x:v>
      </x:c>
      <x:c r="M7105" s="11" t="n">
        <x:f>'管线假设'!H1519</x:f>
        <x:v>0.14</x:v>
      </x:c>
      <x:c r="N7105" s="11" t="n">
        <x:f>IF(G7105,L7105*AN7105/(1+M7105)^F7105,0)</x:f>
        <x:v>0</x:v>
      </x:c>
      <x:c r="AJ7105" s="42" t="n">
        <x:v>0.08</x:v>
      </x:c>
      <x:c r="AK7105" s="42" t="n">
        <x:v>0.18</x:v>
      </x:c>
      <x:c r="AL7105" s="42" t="n">
        <x:v>0.24</x:v>
      </x:c>
      <x:c r="AM7105" t="n">
        <x:f>CHOOSE('假设'!$B$3,AJ7105,AK7105,AL7105)</x:f>
        <x:v>0.18</x:v>
      </x:c>
      <x:c r="AN7105" t="n">
        <x:v>0</x:v>
      </x:c>
    </x:row>
    <x:row r="7106" ht="23" customHeight="1">
      <x:c r="A7106" s="11" t="str">
        <x:v>09995.HK</x:v>
      </x:c>
      <x:c r="B7106" s="11" t="str">
        <x:v>五年</x:v>
      </x:c>
      <x:c r="C7106" s="11" t="str">
        <x:v>RC48_new_China</x:v>
      </x:c>
      <x:c r="D7106" s="11" t="str">
        <x:v>2028-12-31</x:v>
      </x:c>
      <x:c r="E7106" s="11" t="str">
        <x:v>CNY</x:v>
      </x:c>
      <x:c r="F7106" s="11" t="n">
        <x:v>-2.7707049965776864</x:v>
      </x:c>
      <x:c r="G7106" s="26" t="b">
        <x:v>0</x:v>
      </x:c>
      <x:c r="H7106" s="16" t="n">
        <x:v>0</x:v>
      </x:c>
      <x:c r="I7106" s="16" t="n">
        <x:v>0</x:v>
      </x:c>
      <x:c r="J7106" s="16" t="n">
        <x:v>0.36</x:v>
      </x:c>
      <x:c r="K7106" s="11" t="n">
        <x:f>CHOOSE('假设'!$B$3,H7106,I7106,J7106)</x:f>
        <x:v>0</x:v>
      </x:c>
      <x:c r="L7106" s="11" t="n">
        <x:f>K7106*'管线假设'!E1519*'管线假设'!F1519*'管线假设'!G1519*IF(E7106="USD",'管线假设'!I1519,1)-AM7106</x:f>
        <x:v>-0.15</x:v>
      </x:c>
      <x:c r="M7106" s="11" t="n">
        <x:f>'管线假设'!H1519</x:f>
        <x:v>0.14</x:v>
      </x:c>
      <x:c r="N7106" s="11" t="n">
        <x:f>IF(G7106,L7106*AN7106/(1+M7106)^F7106,0)</x:f>
        <x:v>0</x:v>
      </x:c>
      <x:c r="AJ7106" s="42" t="n">
        <x:v>0.07</x:v>
      </x:c>
      <x:c r="AK7106" s="42" t="n">
        <x:v>0.15</x:v>
      </x:c>
      <x:c r="AL7106" s="42" t="n">
        <x:v>0.2</x:v>
      </x:c>
      <x:c r="AM7106" t="n">
        <x:f>CHOOSE('假设'!$B$3,AJ7106,AK7106,AL7106)</x:f>
        <x:v>0.15</x:v>
      </x:c>
      <x:c r="AN7106" t="n">
        <x:v>0</x:v>
      </x:c>
    </x:row>
    <x:row r="7107" ht="23" customHeight="1">
      <x:c r="A7107" s="11" t="str">
        <x:v>09995.HK</x:v>
      </x:c>
      <x:c r="B7107" s="11" t="str">
        <x:v>五年</x:v>
      </x:c>
      <x:c r="C7107" s="11" t="str">
        <x:v>RC48_new_China</x:v>
      </x:c>
      <x:c r="D7107" s="11" t="str">
        <x:v>2029-12-31</x:v>
      </x:c>
      <x:c r="E7107" s="11" t="str">
        <x:v>CNY</x:v>
      </x:c>
      <x:c r="F7107" s="11" t="n">
        <x:v>-1.7713894592744694</x:v>
      </x:c>
      <x:c r="G7107" s="26" t="b">
        <x:v>0</x:v>
      </x:c>
      <x:c r="H7107" s="16" t="n">
        <x:v>0</x:v>
      </x:c>
      <x:c r="I7107" s="16" t="n">
        <x:v>0.18</x:v>
      </x:c>
      <x:c r="J7107" s="16" t="n">
        <x:v>1.08</x:v>
      </x:c>
      <x:c r="K7107" s="11" t="n">
        <x:f>CHOOSE('假设'!$B$3,H7107,I7107,J7107)</x:f>
        <x:v>0.18</x:v>
      </x:c>
      <x:c r="L7107" s="11" t="n">
        <x:f>K7107*'管线假设'!E1519*'管线假设'!F1519*'管线假设'!G1519*IF(E7107="USD",'管线假设'!I1519,1)-AM7107</x:f>
        <x:v>-0.0567</x:v>
      </x:c>
      <x:c r="M7107" s="11" t="n">
        <x:f>'管线假设'!H1519</x:f>
        <x:v>0.14</x:v>
      </x:c>
      <x:c r="N7107" s="11" t="n">
        <x:f>IF(G7107,L7107*AN7107/(1+M7107)^F7107,0)</x:f>
        <x:v>0</x:v>
      </x:c>
      <x:c r="AJ7107" s="42" t="n">
        <x:v>0</x:v>
      </x:c>
      <x:c r="AK7107" s="42" t="n">
        <x:v>0.09</x:v>
      </x:c>
      <x:c r="AL7107" s="42" t="n">
        <x:v>0.12</x:v>
      </x:c>
      <x:c r="AM7107" t="n">
        <x:f>CHOOSE('假设'!$B$3,AJ7107,AK7107,AL7107)</x:f>
        <x:v>0.09</x:v>
      </x:c>
      <x:c r="AN7107" t="n">
        <x:v>0</x:v>
      </x:c>
    </x:row>
    <x:row r="7108" ht="23" customHeight="1">
      <x:c r="A7108" s="11" t="str">
        <x:v>09995.HK</x:v>
      </x:c>
      <x:c r="B7108" s="11" t="str">
        <x:v>五年</x:v>
      </x:c>
      <x:c r="C7108" s="11" t="str">
        <x:v>RC48_new_China</x:v>
      </x:c>
      <x:c r="D7108" s="11" t="str">
        <x:v>2030-12-31</x:v>
      </x:c>
      <x:c r="E7108" s="11" t="str">
        <x:v>CNY</x:v>
      </x:c>
      <x:c r="F7108" s="11" t="n">
        <x:v>-0.7720739219712526</x:v>
      </x:c>
      <x:c r="G7108" s="26" t="b">
        <x:v>0</x:v>
      </x:c>
      <x:c r="H7108" s="16" t="n">
        <x:v>0</x:v>
      </x:c>
      <x:c r="I7108" s="16" t="n">
        <x:v>0.54</x:v>
      </x:c>
      <x:c r="J7108" s="16" t="n">
        <x:v>2.2800000000000002</x:v>
      </x:c>
      <x:c r="K7108" s="11" t="n">
        <x:f>CHOOSE('假设'!$B$3,H7108,I7108,J7108)</x:f>
        <x:v>0.54</x:v>
      </x:c>
      <x:c r="L7108" s="11" t="n">
        <x:f>K7108*'管线假设'!E1519*'管线假设'!F1519*'管线假设'!G1519*IF(E7108="USD",'管线假设'!I1519,1)-AM7108</x:f>
        <x:v>0.0999</x:v>
      </x:c>
      <x:c r="M7108" s="11" t="n">
        <x:f>'管线假设'!H1519</x:f>
        <x:v>0.14</x:v>
      </x:c>
      <x:c r="N7108" s="11" t="n">
        <x:f>IF(G7108,L7108*AN7108/(1+M7108)^F7108,0)</x:f>
        <x:v>0</x:v>
      </x:c>
      <x:c r="AJ7108" s="42" t="n">
        <x:v>0</x:v>
      </x:c>
      <x:c r="AK7108" s="42" t="n">
        <x:v>0</x:v>
      </x:c>
      <x:c r="AL7108" s="42" t="n">
        <x:v>0</x:v>
      </x:c>
      <x:c r="AM7108" t="n">
        <x:f>CHOOSE('假设'!$B$3,AJ7108,AK7108,AL7108)</x:f>
        <x:v>0</x:v>
      </x:c>
      <x:c r="AN7108" t="n">
        <x:v>0</x:v>
      </x:c>
    </x:row>
    <x:row r="7109" ht="23" customHeight="1">
      <x:c r="A7109" s="11" t="str">
        <x:v>09995.HK</x:v>
      </x:c>
      <x:c r="B7109" s="11" t="str">
        <x:v>五年</x:v>
      </x:c>
      <x:c r="C7109" s="11" t="str">
        <x:v>RC48_new_China</x:v>
      </x:c>
      <x:c r="D7109" s="11" t="str">
        <x:v>2031-12-31</x:v>
      </x:c>
      <x:c r="E7109" s="11" t="str">
        <x:v>CNY</x:v>
      </x:c>
      <x:c r="F7109" s="11" t="n">
        <x:v>0.2272416153319644</x:v>
      </x:c>
      <x:c r="G7109" s="26" t="b">
        <x:v>1</x:v>
      </x:c>
      <x:c r="H7109" s="16" t="n">
        <x:v>0</x:v>
      </x:c>
      <x:c r="I7109" s="16" t="n">
        <x:v>1.1400000000000001</x:v>
      </x:c>
      <x:c r="J7109" s="16" t="n">
        <x:v>3.9000000000000004</x:v>
      </x:c>
      <x:c r="K7109" s="11" t="n">
        <x:f>CHOOSE('假设'!$B$3,H7109,I7109,J7109)</x:f>
        <x:v>1.1400000000000001</x:v>
      </x:c>
      <x:c r="L7109" s="11" t="n">
        <x:f>K7109*'管线假设'!E1519*'管线假设'!F1519*'管线假设'!G1519*IF(E7109="USD",'管线假设'!I1519,1)-AM7109</x:f>
        <x:v>0.21090000000000003</x:v>
      </x:c>
      <x:c r="M7109" s="11" t="n">
        <x:f>'管线假设'!H1519</x:f>
        <x:v>0.14</x:v>
      </x:c>
      <x:c r="N7109" s="11" t="n">
        <x:f>IF(G7109,L7109*AN7109/(1+M7109)^F7109,0)</x:f>
        <x:v>0.046679063899069284</x:v>
      </x:c>
      <x:c r="AJ7109" s="42" t="n">
        <x:v>0</x:v>
      </x:c>
      <x:c r="AK7109" s="42" t="n">
        <x:v>0</x:v>
      </x:c>
      <x:c r="AL7109" s="42" t="n">
        <x:v>0</x:v>
      </x:c>
      <x:c r="AM7109" t="n">
        <x:f>CHOOSE('假设'!$B$3,AJ7109,AK7109,AL7109)</x:f>
        <x:v>0</x:v>
      </x:c>
      <x:c r="AN7109" t="n">
        <x:v>0.22802197802197802</x:v>
      </x:c>
    </x:row>
    <x:row r="7110" ht="23" customHeight="1">
      <x:c r="A7110" s="11" t="str">
        <x:v>09995.HK</x:v>
      </x:c>
      <x:c r="B7110" s="11" t="str">
        <x:v>五年</x:v>
      </x:c>
      <x:c r="C7110" s="11" t="str">
        <x:v>RC48_new_China</x:v>
      </x:c>
      <x:c r="D7110" s="11" t="str">
        <x:v>2032-12-31</x:v>
      </x:c>
      <x:c r="E7110" s="11" t="str">
        <x:v>CNY</x:v>
      </x:c>
      <x:c r="F7110" s="11" t="n">
        <x:v>1.2292950034223136</x:v>
      </x:c>
      <x:c r="G7110" s="26" t="b">
        <x:v>1</x:v>
      </x:c>
      <x:c r="H7110" s="16" t="n">
        <x:v>0.06</x:v>
      </x:c>
      <x:c r="I7110" s="16" t="n">
        <x:v>1.9500000000000002</x:v>
      </x:c>
      <x:c r="J7110" s="16" t="n">
        <x:v>5.1</x:v>
      </x:c>
      <x:c r="K7110" s="11" t="n">
        <x:f>CHOOSE('假设'!$B$3,H7110,I7110,J7110)</x:f>
        <x:v>1.9500000000000002</x:v>
      </x:c>
      <x:c r="L7110" s="11" t="n">
        <x:f>K7110*'管线假设'!E1519*'管线假设'!F1519*'管线假设'!G1519*IF(E7110="USD",'管线假设'!I1519,1)-AM7110</x:f>
        <x:v>0.36075</x:v>
      </x:c>
      <x:c r="M7110" s="11" t="n">
        <x:f>'管线假设'!H1519</x:f>
        <x:v>0.14</x:v>
      </x:c>
      <x:c r="N7110" s="11" t="n">
        <x:f>IF(G7110,L7110*AN7110/(1+M7110)^F7110,0)</x:f>
        <x:v>0.30708138475304664</x:v>
      </x:c>
      <x:c r="AJ7110" s="42" t="n">
        <x:v>0</x:v>
      </x:c>
      <x:c r="AK7110" s="42" t="n">
        <x:v>0</x:v>
      </x:c>
      <x:c r="AL7110" s="42" t="n">
        <x:v>0</x:v>
      </x:c>
      <x:c r="AM7110" t="n">
        <x:f>CHOOSE('假设'!$B$3,AJ7110,AK7110,AL7110)</x:f>
        <x:v>0</x:v>
      </x:c>
      <x:c r="AN7110" t="n">
        <x:v>1</x:v>
      </x:c>
    </x:row>
    <x:row r="7111" ht="23" customHeight="1">
      <x:c r="A7111" s="11" t="str">
        <x:v>09995.HK</x:v>
      </x:c>
      <x:c r="B7111" s="11" t="str">
        <x:v>五年</x:v>
      </x:c>
      <x:c r="C7111" s="11" t="str">
        <x:v>RC48_new_China</x:v>
      </x:c>
      <x:c r="D7111" s="11" t="str">
        <x:v>2033-12-31</x:v>
      </x:c>
      <x:c r="E7111" s="11" t="str">
        <x:v>CNY</x:v>
      </x:c>
      <x:c r="F7111" s="11" t="n">
        <x:v>2.2286105407255303</x:v>
      </x:c>
      <x:c r="G7111" s="26" t="b">
        <x:v>1</x:v>
      </x:c>
      <x:c r="H7111" s="16" t="n">
        <x:v>0.18</x:v>
      </x:c>
      <x:c r="I7111" s="16" t="n">
        <x:v>2.55</x:v>
      </x:c>
      <x:c r="J7111" s="16" t="n">
        <x:v>6</x:v>
      </x:c>
      <x:c r="K7111" s="11" t="n">
        <x:f>CHOOSE('假设'!$B$3,H7111,I7111,J7111)</x:f>
        <x:v>2.55</x:v>
      </x:c>
      <x:c r="L7111" s="11" t="n">
        <x:f>K7111*'管线假设'!E1519*'管线假设'!F1519*'管线假设'!G1519*IF(E7111="USD",'管线假设'!I1519,1)-AM7111</x:f>
        <x:v>0.47174999999999995</x:v>
      </x:c>
      <x:c r="M7111" s="11" t="n">
        <x:f>'管线假设'!H1519</x:f>
        <x:v>0.14</x:v>
      </x:c>
      <x:c r="N7111" s="11" t="n">
        <x:f>IF(G7111,L7111*AN7111/(1+M7111)^F7111,0)</x:f>
        <x:v>0.3522841934179578</x:v>
      </x:c>
      <x:c r="AJ7111" s="42" t="n">
        <x:v>0</x:v>
      </x:c>
      <x:c r="AK7111" s="42" t="n">
        <x:v>0</x:v>
      </x:c>
      <x:c r="AL7111" s="42" t="n">
        <x:v>0</x:v>
      </x:c>
      <x:c r="AM7111" t="n">
        <x:f>CHOOSE('假设'!$B$3,AJ7111,AK7111,AL7111)</x:f>
        <x:v>0</x:v>
      </x:c>
      <x:c r="AN7111" t="n">
        <x:v>1</x:v>
      </x:c>
    </x:row>
    <x:row r="7112" ht="23" customHeight="1">
      <x:c r="A7112" s="11" t="str">
        <x:v>09995.HK</x:v>
      </x:c>
      <x:c r="B7112" s="11" t="str">
        <x:v>五年</x:v>
      </x:c>
      <x:c r="C7112" s="11" t="str">
        <x:v>RC48_new_China</x:v>
      </x:c>
      <x:c r="D7112" s="11" t="str">
        <x:v>2034-12-31</x:v>
      </x:c>
      <x:c r="E7112" s="11" t="str">
        <x:v>CNY</x:v>
      </x:c>
      <x:c r="F7112" s="11" t="n">
        <x:v>3.2279260780287475</x:v>
      </x:c>
      <x:c r="G7112" s="26" t="b">
        <x:v>1</x:v>
      </x:c>
      <x:c r="H7112" s="16" t="n">
        <x:v>0.38</x:v>
      </x:c>
      <x:c r="I7112" s="16" t="n">
        <x:v>3</x:v>
      </x:c>
      <x:c r="J7112" s="16" t="n">
        <x:v>6</x:v>
      </x:c>
      <x:c r="K7112" s="11" t="n">
        <x:f>CHOOSE('假设'!$B$3,H7112,I7112,J7112)</x:f>
        <x:v>3</x:v>
      </x:c>
      <x:c r="L7112" s="11" t="n">
        <x:f>K7112*'管线假设'!E1519*'管线假设'!F1519*'管线假设'!G1519*IF(E7112="USD",'管线假设'!I1519,1)-AM7112</x:f>
        <x:v>0.5549999999999999</x:v>
      </x:c>
      <x:c r="M7112" s="11" t="n">
        <x:f>'管线假设'!H1519</x:f>
        <x:v>0.14</x:v>
      </x:c>
      <x:c r="N7112" s="11" t="n">
        <x:f>IF(G7112,L7112*AN7112/(1+M7112)^F7112,0)</x:f>
        <x:v>0.36358698563003006</x:v>
      </x:c>
      <x:c r="AJ7112" s="42" t="n">
        <x:v>0</x:v>
      </x:c>
      <x:c r="AK7112" s="42" t="n">
        <x:v>0</x:v>
      </x:c>
      <x:c r="AL7112" s="42" t="n">
        <x:v>0</x:v>
      </x:c>
      <x:c r="AM7112" t="n">
        <x:f>CHOOSE('假设'!$B$3,AJ7112,AK7112,AL7112)</x:f>
        <x:v>0</x:v>
      </x:c>
      <x:c r="AN7112" t="n">
        <x:v>1</x:v>
      </x:c>
    </x:row>
    <x:row r="7113" ht="23" customHeight="1">
      <x:c r="A7113" s="11" t="str">
        <x:v>09995.HK</x:v>
      </x:c>
      <x:c r="B7113" s="11" t="str">
        <x:v>五年</x:v>
      </x:c>
      <x:c r="C7113" s="11" t="str">
        <x:v>RC48_new_China</x:v>
      </x:c>
      <x:c r="D7113" s="11" t="str">
        <x:v>2035-12-31</x:v>
      </x:c>
      <x:c r="E7113" s="11" t="str">
        <x:v>CNY</x:v>
      </x:c>
      <x:c r="F7113" s="11" t="n">
        <x:v>4.227241615331964</x:v>
      </x:c>
      <x:c r="G7113" s="26" t="b">
        <x:v>1</x:v>
      </x:c>
      <x:c r="H7113" s="16" t="n">
        <x:v>0.65</x:v>
      </x:c>
      <x:c r="I7113" s="16" t="n">
        <x:v>3</x:v>
      </x:c>
      <x:c r="J7113" s="16" t="n">
        <x:v>5.699999999999999</x:v>
      </x:c>
      <x:c r="K7113" s="11" t="n">
        <x:f>CHOOSE('假设'!$B$3,H7113,I7113,J7113)</x:f>
        <x:v>3</x:v>
      </x:c>
      <x:c r="L7113" s="11" t="n">
        <x:f>K7113*'管线假设'!E1519*'管线假设'!F1519*'管线假设'!G1519*IF(E7113="USD",'管线假设'!I1519,1)-AM7113</x:f>
        <x:v>0.5549999999999999</x:v>
      </x:c>
      <x:c r="M7113" s="11" t="n">
        <x:f>'管线假设'!H1519</x:f>
        <x:v>0.14</x:v>
      </x:c>
      <x:c r="N7113" s="11" t="n">
        <x:f>IF(G7113,L7113*AN7113/(1+M7113)^F7113,0)</x:f>
        <x:v>0.3189645570282178</x:v>
      </x:c>
      <x:c r="AJ7113" s="42" t="n">
        <x:v>0</x:v>
      </x:c>
      <x:c r="AK7113" s="42" t="n">
        <x:v>0</x:v>
      </x:c>
      <x:c r="AL7113" s="42" t="n">
        <x:v>0</x:v>
      </x:c>
      <x:c r="AM7113" t="n">
        <x:f>CHOOSE('假设'!$B$3,AJ7113,AK7113,AL7113)</x:f>
        <x:v>0</x:v>
      </x:c>
      <x:c r="AN7113" t="n">
        <x:v>1</x:v>
      </x:c>
    </x:row>
    <x:row r="7114" ht="23" customHeight="1">
      <x:c r="A7114" s="11" t="str">
        <x:v>09995.HK</x:v>
      </x:c>
      <x:c r="B7114" s="11" t="str">
        <x:v>五年</x:v>
      </x:c>
      <x:c r="C7114" s="11" t="str">
        <x:v>RC48_new_China</x:v>
      </x:c>
      <x:c r="D7114" s="11" t="str">
        <x:v>2036-12-31</x:v>
      </x:c>
      <x:c r="E7114" s="11" t="str">
        <x:v>CNY</x:v>
      </x:c>
      <x:c r="F7114" s="11" t="n">
        <x:v>5.229295003422314</x:v>
      </x:c>
      <x:c r="G7114" s="26" t="b">
        <x:v>1</x:v>
      </x:c>
      <x:c r="H7114" s="16" t="n">
        <x:v>0.85</x:v>
      </x:c>
      <x:c r="I7114" s="16" t="n">
        <x:v>2.8499999999999996</x:v>
      </x:c>
      <x:c r="J7114" s="16" t="n">
        <x:v>5.4</x:v>
      </x:c>
      <x:c r="K7114" s="11" t="n">
        <x:f>CHOOSE('假设'!$B$3,H7114,I7114,J7114)</x:f>
        <x:v>2.8499999999999996</x:v>
      </x:c>
      <x:c r="L7114" s="11" t="n">
        <x:f>K7114*'管线假设'!E1519*'管线假设'!F1519*'管线假设'!G1519*IF(E7114="USD",'管线假设'!I1519,1)-AM7114</x:f>
        <x:v>0.5272499999999999</x:v>
      </x:c>
      <x:c r="M7114" s="11" t="n">
        <x:f>'管线假设'!H1519</x:f>
        <x:v>0.14</x:v>
      </x:c>
      <x:c r="N7114" s="11" t="n">
        <x:f>IF(G7114,L7114*AN7114/(1+M7114)^F7114,0)</x:f>
        <x:v>0.2657322921335621</x:v>
      </x:c>
      <x:c r="AJ7114" s="42" t="n">
        <x:v>0</x:v>
      </x:c>
      <x:c r="AK7114" s="42" t="n">
        <x:v>0</x:v>
      </x:c>
      <x:c r="AL7114" s="42" t="n">
        <x:v>0</x:v>
      </x:c>
      <x:c r="AM7114" t="n">
        <x:f>CHOOSE('假设'!$B$3,AJ7114,AK7114,AL7114)</x:f>
        <x:v>0</x:v>
      </x:c>
      <x:c r="AN7114" t="n">
        <x:v>1</x:v>
      </x:c>
    </x:row>
    <x:row r="7115" ht="23" customHeight="1">
      <x:c r="A7115" s="11" t="str">
        <x:v>09995.HK</x:v>
      </x:c>
      <x:c r="B7115" s="11" t="str">
        <x:v>五年</x:v>
      </x:c>
      <x:c r="C7115" s="11" t="str">
        <x:v>RC48_new_China</x:v>
      </x:c>
      <x:c r="D7115" s="11" t="str">
        <x:v>2037-12-31</x:v>
      </x:c>
      <x:c r="E7115" s="11" t="str">
        <x:v>CNY</x:v>
      </x:c>
      <x:c r="F7115" s="11" t="n">
        <x:v>6.228610540725531</x:v>
      </x:c>
      <x:c r="G7115" s="26" t="b">
        <x:v>1</x:v>
      </x:c>
      <x:c r="H7115" s="16" t="n">
        <x:v>1</x:v>
      </x:c>
      <x:c r="I7115" s="16" t="n">
        <x:v>2.7</x:v>
      </x:c>
      <x:c r="J7115" s="16" t="n">
        <x:v>4.800000000000001</x:v>
      </x:c>
      <x:c r="K7115" s="11" t="n">
        <x:f>CHOOSE('假设'!$B$3,H7115,I7115,J7115)</x:f>
        <x:v>2.7</x:v>
      </x:c>
      <x:c r="L7115" s="11" t="n">
        <x:f>K7115*'管线假设'!E1519*'管线假设'!F1519*'管线假设'!G1519*IF(E7115="USD",'管线假设'!I1519,1)-AM7115</x:f>
        <x:v>0.4995</x:v>
      </x:c>
      <x:c r="M7115" s="11" t="n">
        <x:f>'管线假设'!H1519</x:f>
        <x:v>0.14</x:v>
      </x:c>
      <x:c r="N7115" s="11" t="n">
        <x:f>IF(G7115,L7115*AN7115/(1+M7115)^F7115,0)</x:f>
        <x:v>0.2208499654786284</x:v>
      </x:c>
      <x:c r="AJ7115" s="42" t="n">
        <x:v>0</x:v>
      </x:c>
      <x:c r="AK7115" s="42" t="n">
        <x:v>0</x:v>
      </x:c>
      <x:c r="AL7115" s="42" t="n">
        <x:v>0</x:v>
      </x:c>
      <x:c r="AM7115" t="n">
        <x:f>CHOOSE('假设'!$B$3,AJ7115,AK7115,AL7115)</x:f>
        <x:v>0</x:v>
      </x:c>
      <x:c r="AN7115" t="n">
        <x:v>1</x:v>
      </x:c>
    </x:row>
    <x:row r="7116" ht="23" customHeight="1">
      <x:c r="A7116" s="11" t="str">
        <x:v>09995.HK</x:v>
      </x:c>
      <x:c r="B7116" s="11" t="str">
        <x:v>五年</x:v>
      </x:c>
      <x:c r="C7116" s="11" t="str">
        <x:v>RC48_new_China</x:v>
      </x:c>
      <x:c r="D7116" s="11" t="str">
        <x:v>2038-12-31</x:v>
      </x:c>
      <x:c r="E7116" s="11" t="str">
        <x:v>CNY</x:v>
      </x:c>
      <x:c r="F7116" s="11" t="n">
        <x:v>7.227926078028747</x:v>
      </x:c>
      <x:c r="G7116" s="26" t="b">
        <x:v>1</x:v>
      </x:c>
      <x:c r="H7116" s="16" t="n">
        <x:v>1</x:v>
      </x:c>
      <x:c r="I7116" s="16" t="n">
        <x:v>2.4000000000000004</x:v>
      </x:c>
      <x:c r="J7116" s="16" t="n">
        <x:v>3.9000000000000004</x:v>
      </x:c>
      <x:c r="K7116" s="11" t="n">
        <x:f>CHOOSE('假设'!$B$3,H7116,I7116,J7116)</x:f>
        <x:v>2.4000000000000004</x:v>
      </x:c>
      <x:c r="L7116" s="11" t="n">
        <x:f>K7116*'管线假设'!E1519*'管线假设'!F1519*'管线假设'!G1519*IF(E7116="USD",'管线假设'!I1519,1)-AM7116</x:f>
        <x:v>0.44400000000000006</x:v>
      </x:c>
      <x:c r="M7116" s="11" t="n">
        <x:f>'管线假设'!H1519</x:f>
        <x:v>0.14</x:v>
      </x:c>
      <x:c r="N7116" s="11" t="n">
        <x:f>IF(G7116,L7116*AN7116/(1+M7116)^F7116,0)</x:f>
        <x:v>0.17221814664001545</x:v>
      </x:c>
      <x:c r="AJ7116" s="42" t="n">
        <x:v>0</x:v>
      </x:c>
      <x:c r="AK7116" s="42" t="n">
        <x:v>0</x:v>
      </x:c>
      <x:c r="AL7116" s="42" t="n">
        <x:v>0</x:v>
      </x:c>
      <x:c r="AM7116" t="n">
        <x:f>CHOOSE('假设'!$B$3,AJ7116,AK7116,AL7116)</x:f>
        <x:v>0</x:v>
      </x:c>
      <x:c r="AN7116" t="n">
        <x:v>1</x:v>
      </x:c>
    </x:row>
    <x:row r="7117" ht="23" customHeight="1">
      <x:c r="A7117" s="11" t="str">
        <x:v>09995.HK</x:v>
      </x:c>
      <x:c r="B7117" s="11" t="str">
        <x:v>五年</x:v>
      </x:c>
      <x:c r="C7117" s="11" t="str">
        <x:v>RC48_new_China</x:v>
      </x:c>
      <x:c r="D7117" s="11" t="str">
        <x:v>2039-12-31</x:v>
      </x:c>
      <x:c r="E7117" s="11" t="str">
        <x:v>CNY</x:v>
      </x:c>
      <x:c r="F7117" s="11" t="n">
        <x:v>8.227241615331964</x:v>
      </x:c>
      <x:c r="G7117" s="26" t="b">
        <x:v>1</x:v>
      </x:c>
      <x:c r="H7117" s="16" t="n">
        <x:v>0.95</x:v>
      </x:c>
      <x:c r="I7117" s="16" t="n">
        <x:v>1.9500000000000002</x:v>
      </x:c>
      <x:c r="J7117" s="16" t="n">
        <x:v>3</x:v>
      </x:c>
      <x:c r="K7117" s="11" t="n">
        <x:f>CHOOSE('假设'!$B$3,H7117,I7117,J7117)</x:f>
        <x:v>1.9500000000000002</x:v>
      </x:c>
      <x:c r="L7117" s="11" t="n">
        <x:f>K7117*'管线假设'!E1519*'管线假设'!F1519*'管线假设'!G1519*IF(E7117="USD",'管线假设'!I1519,1)-AM7117</x:f>
        <x:v>0.36075</x:v>
      </x:c>
      <x:c r="M7117" s="11" t="n">
        <x:f>'管线假设'!H1519</x:f>
        <x:v>0.14</x:v>
      </x:c>
      <x:c r="N7117" s="11" t="n">
        <x:f>IF(G7117,L7117*AN7117/(1+M7117)^F7117,0)</x:f>
        <x:v>0.12275420520774245</x:v>
      </x:c>
      <x:c r="AJ7117" s="42" t="n">
        <x:v>0</x:v>
      </x:c>
      <x:c r="AK7117" s="42" t="n">
        <x:v>0</x:v>
      </x:c>
      <x:c r="AL7117" s="42" t="n">
        <x:v>0</x:v>
      </x:c>
      <x:c r="AM7117" t="n">
        <x:f>CHOOSE('假设'!$B$3,AJ7117,AK7117,AL7117)</x:f>
        <x:v>0</x:v>
      </x:c>
      <x:c r="AN7117" t="n">
        <x:v>1</x:v>
      </x:c>
    </x:row>
    <x:row r="7118" ht="23" customHeight="1">
      <x:c r="A7118" s="11" t="str">
        <x:v>09995.HK</x:v>
      </x:c>
      <x:c r="B7118" s="11" t="str">
        <x:v>五年</x:v>
      </x:c>
      <x:c r="C7118" s="11" t="str">
        <x:v>RC48_new_China</x:v>
      </x:c>
      <x:c r="D7118" s="11" t="str">
        <x:v>2040-12-31</x:v>
      </x:c>
      <x:c r="E7118" s="11" t="str">
        <x:v>CNY</x:v>
      </x:c>
      <x:c r="F7118" s="11" t="n">
        <x:v>9.229295003422314</x:v>
      </x:c>
      <x:c r="G7118" s="26" t="b">
        <x:v>1</x:v>
      </x:c>
      <x:c r="H7118" s="16" t="n">
        <x:v>0.9</x:v>
      </x:c>
      <x:c r="I7118" s="16" t="n">
        <x:v>1.5</x:v>
      </x:c>
      <x:c r="J7118" s="16" t="n">
        <x:v>2.0999999999999996</x:v>
      </x:c>
      <x:c r="K7118" s="11" t="n">
        <x:f>CHOOSE('假设'!$B$3,H7118,I7118,J7118)</x:f>
        <x:v>1.5</x:v>
      </x:c>
      <x:c r="L7118" s="11" t="n">
        <x:f>K7118*'管线假设'!E1519*'管线假设'!F1519*'管线假设'!G1519*IF(E7118="USD",'管线假设'!I1519,1)-AM7118</x:f>
        <x:v>0.27749999999999997</x:v>
      </x:c>
      <x:c r="M7118" s="11" t="n">
        <x:f>'管线假设'!H1519</x:f>
        <x:v>0.14</x:v>
      </x:c>
      <x:c r="N7118" s="11" t="n">
        <x:f>IF(G7118,L7118*AN7118/(1+M7118)^F7118,0)</x:f>
        <x:v>0.08280781538560825</x:v>
      </x:c>
      <x:c r="AJ7118" s="42" t="n">
        <x:v>0</x:v>
      </x:c>
      <x:c r="AK7118" s="42" t="n">
        <x:v>0</x:v>
      </x:c>
      <x:c r="AL7118" s="42" t="n">
        <x:v>0</x:v>
      </x:c>
      <x:c r="AM7118" t="n">
        <x:f>CHOOSE('假设'!$B$3,AJ7118,AK7118,AL7118)</x:f>
        <x:v>0</x:v>
      </x:c>
      <x:c r="AN7118" t="n">
        <x:v>1</x:v>
      </x:c>
    </x:row>
    <x:row r="7119" ht="23" customHeight="1">
      <x:c r="A7119" s="11" t="str">
        <x:v>09995.HK</x:v>
      </x:c>
      <x:c r="B7119" s="11" t="str">
        <x:v>五年</x:v>
      </x:c>
      <x:c r="C7119" s="11" t="str">
        <x:v>RC48_new_China</x:v>
      </x:c>
      <x:c r="D7119" s="11" t="str">
        <x:v>2041-12-31</x:v>
      </x:c>
      <x:c r="E7119" s="11" t="str">
        <x:v>CNY</x:v>
      </x:c>
      <x:c r="F7119" s="11" t="n">
        <x:v>10.22861054072553</x:v>
      </x:c>
      <x:c r="G7119" s="26" t="b">
        <x:v>1</x:v>
      </x:c>
      <x:c r="H7119" s="16" t="n">
        <x:v>0.8</x:v>
      </x:c>
      <x:c r="I7119" s="16" t="n">
        <x:v>1.0499999999999998</x:v>
      </x:c>
      <x:c r="J7119" s="16" t="n">
        <x:v>1.2000000000000002</x:v>
      </x:c>
      <x:c r="K7119" s="11" t="n">
        <x:f>CHOOSE('假设'!$B$3,H7119,I7119,J7119)</x:f>
        <x:v>1.0499999999999998</x:v>
      </x:c>
      <x:c r="L7119" s="11" t="n">
        <x:f>K7119*'管线假设'!E1519*'管线假设'!F1519*'管线假设'!G1519*IF(E7119="USD",'管线假设'!I1519,1)-AM7119</x:f>
        <x:v>0.19424999999999998</x:v>
      </x:c>
      <x:c r="M7119" s="11" t="n">
        <x:f>'管线假设'!H1519</x:f>
        <x:v>0.14</x:v>
      </x:c>
      <x:c r="N7119" s="11" t="n">
        <x:f>IF(G7119,L7119*AN7119/(1+M7119)^F7119,0)</x:f>
        <x:v>0.05085146454024897</x:v>
      </x:c>
      <x:c r="AJ7119" s="42" t="n">
        <x:v>0</x:v>
      </x:c>
      <x:c r="AK7119" s="42" t="n">
        <x:v>0</x:v>
      </x:c>
      <x:c r="AL7119" s="42" t="n">
        <x:v>0</x:v>
      </x:c>
      <x:c r="AM7119" t="n">
        <x:f>CHOOSE('假设'!$B$3,AJ7119,AK7119,AL7119)</x:f>
        <x:v>0</x:v>
      </x:c>
      <x:c r="AN7119" t="n">
        <x:v>1</x:v>
      </x:c>
    </x:row>
    <x:row r="7120" ht="23" customHeight="1">
      <x:c r="A7120" s="11" t="str">
        <x:v>09995.HK</x:v>
      </x:c>
      <x:c r="B7120" s="11" t="str">
        <x:v>五年</x:v>
      </x:c>
      <x:c r="C7120" s="11" t="str">
        <x:v>RC48_new_China</x:v>
      </x:c>
      <x:c r="D7120" s="11" t="str">
        <x:v>2042-12-31</x:v>
      </x:c>
      <x:c r="E7120" s="11" t="str">
        <x:v>CNY</x:v>
      </x:c>
      <x:c r="F7120" s="11" t="n">
        <x:v>11.227926078028748</x:v>
      </x:c>
      <x:c r="G7120" s="26" t="b">
        <x:v>1</x:v>
      </x:c>
      <x:c r="H7120" s="16" t="n">
        <x:v>0.65</x:v>
      </x:c>
      <x:c r="I7120" s="16" t="n">
        <x:v>0.6000000000000001</x:v>
      </x:c>
      <x:c r="J7120" s="16" t="n">
        <x:v>0.72</x:v>
      </x:c>
      <x:c r="K7120" s="11" t="n">
        <x:f>CHOOSE('假设'!$B$3,H7120,I7120,J7120)</x:f>
        <x:v>0.6000000000000001</x:v>
      </x:c>
      <x:c r="L7120" s="11" t="n">
        <x:f>K7120*'管线假设'!E1519*'管线假设'!F1519*'管线假设'!G1519*IF(E7120="USD",'管线假设'!I1519,1)-AM7120</x:f>
        <x:v>0.11100000000000002</x:v>
      </x:c>
      <x:c r="M7120" s="11" t="n">
        <x:f>'管线假设'!H1519</x:f>
        <x:v>0.14</x:v>
      </x:c>
      <x:c r="N7120" s="11" t="n">
        <x:f>IF(G7120,L7120*AN7120/(1+M7120)^F7120,0)</x:f>
        <x:v>0.025491742007700074</x:v>
      </x:c>
      <x:c r="AJ7120" s="42" t="n">
        <x:v>0</x:v>
      </x:c>
      <x:c r="AK7120" s="42" t="n">
        <x:v>0</x:v>
      </x:c>
      <x:c r="AL7120" s="42" t="n">
        <x:v>0</x:v>
      </x:c>
      <x:c r="AM7120" t="n">
        <x:f>CHOOSE('假设'!$B$3,AJ7120,AK7120,AL7120)</x:f>
        <x:v>0</x:v>
      </x:c>
      <x:c r="AN7120" t="n">
        <x:v>1</x:v>
      </x:c>
    </x:row>
    <x:row r="7121" ht="23" customHeight="1">
      <x:c r="A7121" s="11" t="str">
        <x:v>09995.HK</x:v>
      </x:c>
      <x:c r="B7121" s="11" t="str">
        <x:v>五年</x:v>
      </x:c>
      <x:c r="C7121" s="11" t="str">
        <x:v>RC48_new_China</x:v>
      </x:c>
      <x:c r="D7121" s="11" t="str">
        <x:v>2043-12-31</x:v>
      </x:c>
      <x:c r="E7121" s="11" t="str">
        <x:v>CNY</x:v>
      </x:c>
      <x:c r="F7121" s="11" t="n">
        <x:v>12.227241615331964</x:v>
      </x:c>
      <x:c r="G7121" s="26" t="b">
        <x:v>1</x:v>
      </x:c>
      <x:c r="H7121" s="16" t="n">
        <x:v>0.5</x:v>
      </x:c>
      <x:c r="I7121" s="16" t="n">
        <x:v>0.36</x:v>
      </x:c>
      <x:c r="J7121" s="16" t="n">
        <x:v>0.42000000000000004</x:v>
      </x:c>
      <x:c r="K7121" s="11" t="n">
        <x:f>CHOOSE('假设'!$B$3,H7121,I7121,J7121)</x:f>
        <x:v>0.36</x:v>
      </x:c>
      <x:c r="L7121" s="11" t="n">
        <x:f>K7121*'管线假设'!E1519*'管线假设'!F1519*'管线假设'!G1519*IF(E7121="USD",'管线假设'!I1519,1)-AM7121</x:f>
        <x:v>0.06659999999999999</x:v>
      </x:c>
      <x:c r="M7121" s="11" t="n">
        <x:f>'管线假设'!H1519</x:f>
        <x:v>0.14</x:v>
      </x:c>
      <x:c r="N7121" s="11" t="n">
        <x:f>IF(G7121,L7121*AN7121/(1+M7121)^F7121,0)</x:f>
        <x:v>0.013417909637124425</x:v>
      </x:c>
      <x:c r="AJ7121" s="42" t="n">
        <x:v>0</x:v>
      </x:c>
      <x:c r="AK7121" s="42" t="n">
        <x:v>0</x:v>
      </x:c>
      <x:c r="AL7121" s="42" t="n">
        <x:v>0</x:v>
      </x:c>
      <x:c r="AM7121" t="n">
        <x:f>CHOOSE('假设'!$B$3,AJ7121,AK7121,AL7121)</x:f>
        <x:v>0</x:v>
      </x:c>
      <x:c r="AN7121" t="n">
        <x:v>1</x:v>
      </x:c>
    </x:row>
    <x:row r="7122" ht="23" customHeight="1">
      <x:c r="A7122" s="11" t="str">
        <x:v>09995.HK</x:v>
      </x:c>
      <x:c r="B7122" s="11" t="str">
        <x:v>五年</x:v>
      </x:c>
      <x:c r="C7122" s="11" t="str">
        <x:v>RC48_new_China</x:v>
      </x:c>
      <x:c r="D7122" s="11" t="str">
        <x:v>2044-12-31</x:v>
      </x:c>
      <x:c r="E7122" s="11" t="str">
        <x:v>CNY</x:v>
      </x:c>
      <x:c r="F7122" s="11" t="n">
        <x:v>13.229295003422314</x:v>
      </x:c>
      <x:c r="G7122" s="26" t="b">
        <x:v>1</x:v>
      </x:c>
      <x:c r="H7122" s="16" t="n">
        <x:v>0.35</x:v>
      </x:c>
      <x:c r="I7122" s="16" t="n">
        <x:v>0.21000000000000002</x:v>
      </x:c>
      <x:c r="J7122" s="16" t="n">
        <x:v>0.18</x:v>
      </x:c>
      <x:c r="K7122" s="11" t="n">
        <x:f>CHOOSE('假设'!$B$3,H7122,I7122,J7122)</x:f>
        <x:v>0.21000000000000002</x:v>
      </x:c>
      <x:c r="L7122" s="11" t="n">
        <x:f>K7122*'管线假设'!E1519*'管线假设'!F1519*'管线假设'!G1519*IF(E7122="USD",'管线假设'!I1519,1)-AM7122</x:f>
        <x:v>0.03885</x:v>
      </x:c>
      <x:c r="M7122" s="11" t="n">
        <x:f>'管线假设'!H1519</x:f>
        <x:v>0.14</x:v>
      </x:c>
      <x:c r="N7122" s="11" t="n">
        <x:f>IF(G7122,L7122*AN7122/(1+M7122)^F7122,0)</x:f>
        <x:v>0.006864042402270254</x:v>
      </x:c>
      <x:c r="AJ7122" s="42" t="n">
        <x:v>0</x:v>
      </x:c>
      <x:c r="AK7122" s="42" t="n">
        <x:v>0</x:v>
      </x:c>
      <x:c r="AL7122" s="42" t="n">
        <x:v>0</x:v>
      </x:c>
      <x:c r="AM7122" t="n">
        <x:f>CHOOSE('假设'!$B$3,AJ7122,AK7122,AL7122)</x:f>
        <x:v>0</x:v>
      </x:c>
      <x:c r="AN7122" t="n">
        <x:v>1</x:v>
      </x:c>
    </x:row>
    <x:row r="7123" ht="23" customHeight="1">
      <x:c r="A7123" s="11" t="str">
        <x:v>09995.HK</x:v>
      </x:c>
      <x:c r="B7123" s="11" t="str">
        <x:v>五年</x:v>
      </x:c>
      <x:c r="C7123" s="11" t="str">
        <x:v>RC148_China</x:v>
      </x:c>
      <x:c r="D7123" s="11" t="str">
        <x:v>2026-12-31</x:v>
      </x:c>
      <x:c r="E7123" s="11" t="str">
        <x:v>CNY</x:v>
      </x:c>
      <x:c r="F7123" s="11" t="n">
        <x:v>-4.772073921971253</x:v>
      </x:c>
      <x:c r="G7123" s="26" t="b">
        <x:v>0</x:v>
      </x:c>
      <x:c r="H7123" s="16" t="n">
        <x:v>0</x:v>
      </x:c>
      <x:c r="I7123" s="16" t="n">
        <x:v>0</x:v>
      </x:c>
      <x:c r="J7123" s="16" t="n">
        <x:v>0</x:v>
      </x:c>
      <x:c r="K7123" s="11" t="n">
        <x:f>CHOOSE('假设'!$B$3,H7123,I7123,J7123)</x:f>
        <x:v>0</x:v>
      </x:c>
      <x:c r="L7123" s="11" t="n">
        <x:f>K7123*'管线假设'!E1523*'管线假设'!F1523*'管线假设'!G1523*IF(E7123="USD",'管线假设'!I1523,1)-AM7123</x:f>
        <x:v>-0.18</x:v>
      </x:c>
      <x:c r="M7123" s="11" t="n">
        <x:f>'管线假设'!H1523</x:f>
        <x:v>0.14</x:v>
      </x:c>
      <x:c r="N7123" s="11" t="n">
        <x:f>IF(G7123,L7123*AN7123/(1+M7123)^F7123,0)</x:f>
        <x:v>0</x:v>
      </x:c>
      <x:c r="AJ7123" s="42" t="n">
        <x:v>0.1</x:v>
      </x:c>
      <x:c r="AK7123" s="42" t="n">
        <x:v>0.18</x:v>
      </x:c>
      <x:c r="AL7123" s="42" t="n">
        <x:v>0.24</x:v>
      </x:c>
      <x:c r="AM7123" t="n">
        <x:f>CHOOSE('假设'!$B$3,AJ7123,AK7123,AL7123)</x:f>
        <x:v>0.18</x:v>
      </x:c>
      <x:c r="AN7123" t="n">
        <x:v>0</x:v>
      </x:c>
    </x:row>
    <x:row r="7124" ht="23" customHeight="1">
      <x:c r="A7124" s="11" t="str">
        <x:v>09995.HK</x:v>
      </x:c>
      <x:c r="B7124" s="11" t="str">
        <x:v>五年</x:v>
      </x:c>
      <x:c r="C7124" s="11" t="str">
        <x:v>RC148_China</x:v>
      </x:c>
      <x:c r="D7124" s="11" t="str">
        <x:v>2027-12-31</x:v>
      </x:c>
      <x:c r="E7124" s="11" t="str">
        <x:v>CNY</x:v>
      </x:c>
      <x:c r="F7124" s="11" t="n">
        <x:v>-3.7727583846680357</x:v>
      </x:c>
      <x:c r="G7124" s="26" t="b">
        <x:v>0</x:v>
      </x:c>
      <x:c r="H7124" s="16" t="n">
        <x:v>0</x:v>
      </x:c>
      <x:c r="I7124" s="16" t="n">
        <x:v>0</x:v>
      </x:c>
      <x:c r="J7124" s="16" t="n">
        <x:v>0</x:v>
      </x:c>
      <x:c r="K7124" s="11" t="n">
        <x:f>CHOOSE('假设'!$B$3,H7124,I7124,J7124)</x:f>
        <x:v>0</x:v>
      </x:c>
      <x:c r="L7124" s="11" t="n">
        <x:f>K7124*'管线假设'!E1523*'管线假设'!F1523*'管线假设'!G1523*IF(E7124="USD",'管线假设'!I1523,1)-AM7124</x:f>
        <x:v>-0.23</x:v>
      </x:c>
      <x:c r="M7124" s="11" t="n">
        <x:f>'管线假设'!H1523</x:f>
        <x:v>0.14</x:v>
      </x:c>
      <x:c r="N7124" s="11" t="n">
        <x:f>IF(G7124,L7124*AN7124/(1+M7124)^F7124,0)</x:f>
        <x:v>0</x:v>
      </x:c>
      <x:c r="AJ7124" s="42" t="n">
        <x:v>0.12</x:v>
      </x:c>
      <x:c r="AK7124" s="42" t="n">
        <x:v>0.23</x:v>
      </x:c>
      <x:c r="AL7124" s="42" t="n">
        <x:v>0.3</x:v>
      </x:c>
      <x:c r="AM7124" t="n">
        <x:f>CHOOSE('假设'!$B$3,AJ7124,AK7124,AL7124)</x:f>
        <x:v>0.23</x:v>
      </x:c>
      <x:c r="AN7124" t="n">
        <x:v>0</x:v>
      </x:c>
    </x:row>
    <x:row r="7125" ht="23" customHeight="1">
      <x:c r="A7125" s="11" t="str">
        <x:v>09995.HK</x:v>
      </x:c>
      <x:c r="B7125" s="11" t="str">
        <x:v>五年</x:v>
      </x:c>
      <x:c r="C7125" s="11" t="str">
        <x:v>RC148_China</x:v>
      </x:c>
      <x:c r="D7125" s="11" t="str">
        <x:v>2028-12-31</x:v>
      </x:c>
      <x:c r="E7125" s="11" t="str">
        <x:v>CNY</x:v>
      </x:c>
      <x:c r="F7125" s="11" t="n">
        <x:v>-2.7707049965776864</x:v>
      </x:c>
      <x:c r="G7125" s="26" t="b">
        <x:v>0</x:v>
      </x:c>
      <x:c r="H7125" s="16" t="n">
        <x:v>0</x:v>
      </x:c>
      <x:c r="I7125" s="16" t="n">
        <x:v>0</x:v>
      </x:c>
      <x:c r="J7125" s="16" t="n">
        <x:v>0.48</x:v>
      </x:c>
      <x:c r="K7125" s="11" t="n">
        <x:f>CHOOSE('假设'!$B$3,H7125,I7125,J7125)</x:f>
        <x:v>0</x:v>
      </x:c>
      <x:c r="L7125" s="11" t="n">
        <x:f>K7125*'管线假设'!E1523*'管线假设'!F1523*'管线假设'!G1523*IF(E7125="USD",'管线假设'!I1523,1)-AM7125</x:f>
        <x:v>-0.2</x:v>
      </x:c>
      <x:c r="M7125" s="11" t="n">
        <x:f>'管线假设'!H1523</x:f>
        <x:v>0.14</x:v>
      </x:c>
      <x:c r="N7125" s="11" t="n">
        <x:f>IF(G7125,L7125*AN7125/(1+M7125)^F7125,0)</x:f>
        <x:v>0</x:v>
      </x:c>
      <x:c r="AJ7125" s="42" t="n">
        <x:v>0.1</x:v>
      </x:c>
      <x:c r="AK7125" s="42" t="n">
        <x:v>0.2</x:v>
      </x:c>
      <x:c r="AL7125" s="42" t="n">
        <x:v>0.25</x:v>
      </x:c>
      <x:c r="AM7125" t="n">
        <x:f>CHOOSE('假设'!$B$3,AJ7125,AK7125,AL7125)</x:f>
        <x:v>0.2</x:v>
      </x:c>
      <x:c r="AN7125" t="n">
        <x:v>0</x:v>
      </x:c>
    </x:row>
    <x:row r="7126" ht="23" customHeight="1">
      <x:c r="A7126" s="11" t="str">
        <x:v>09995.HK</x:v>
      </x:c>
      <x:c r="B7126" s="11" t="str">
        <x:v>五年</x:v>
      </x:c>
      <x:c r="C7126" s="11" t="str">
        <x:v>RC148_China</x:v>
      </x:c>
      <x:c r="D7126" s="11" t="str">
        <x:v>2029-12-31</x:v>
      </x:c>
      <x:c r="E7126" s="11" t="str">
        <x:v>CNY</x:v>
      </x:c>
      <x:c r="F7126" s="11" t="n">
        <x:v>-1.7713894592744694</x:v>
      </x:c>
      <x:c r="G7126" s="26" t="b">
        <x:v>0</x:v>
      </x:c>
      <x:c r="H7126" s="16" t="n">
        <x:v>0</x:v>
      </x:c>
      <x:c r="I7126" s="16" t="n">
        <x:v>0.24</x:v>
      </x:c>
      <x:c r="J7126" s="16" t="n">
        <x:v>1.44</x:v>
      </x:c>
      <x:c r="K7126" s="11" t="n">
        <x:f>CHOOSE('假设'!$B$3,H7126,I7126,J7126)</x:f>
        <x:v>0.24</x:v>
      </x:c>
      <x:c r="L7126" s="11" t="n">
        <x:f>K7126*'管线假设'!E1523*'管线假设'!F1523*'管线假设'!G1523*IF(E7126="USD",'管线假设'!I1523,1)-AM7126</x:f>
        <x:v>-0.0796</x:v>
      </x:c>
      <x:c r="M7126" s="11" t="n">
        <x:f>'管线假设'!H1523</x:f>
        <x:v>0.14</x:v>
      </x:c>
      <x:c r="N7126" s="11" t="n">
        <x:f>IF(G7126,L7126*AN7126/(1+M7126)^F7126,0)</x:f>
        <x:v>0</x:v>
      </x:c>
      <x:c r="AJ7126" s="42" t="n">
        <x:v>0</x:v>
      </x:c>
      <x:c r="AK7126" s="42" t="n">
        <x:v>0.13</x:v>
      </x:c>
      <x:c r="AL7126" s="42" t="n">
        <x:v>0.16</x:v>
      </x:c>
      <x:c r="AM7126" t="n">
        <x:f>CHOOSE('假设'!$B$3,AJ7126,AK7126,AL7126)</x:f>
        <x:v>0.13</x:v>
      </x:c>
      <x:c r="AN7126" t="n">
        <x:v>0</x:v>
      </x:c>
    </x:row>
    <x:row r="7127" ht="23" customHeight="1">
      <x:c r="A7127" s="11" t="str">
        <x:v>09995.HK</x:v>
      </x:c>
      <x:c r="B7127" s="11" t="str">
        <x:v>五年</x:v>
      </x:c>
      <x:c r="C7127" s="11" t="str">
        <x:v>RC148_China</x:v>
      </x:c>
      <x:c r="D7127" s="11" t="str">
        <x:v>2030-12-31</x:v>
      </x:c>
      <x:c r="E7127" s="11" t="str">
        <x:v>CNY</x:v>
      </x:c>
      <x:c r="F7127" s="11" t="n">
        <x:v>-0.7720739219712526</x:v>
      </x:c>
      <x:c r="G7127" s="26" t="b">
        <x:v>0</x:v>
      </x:c>
      <x:c r="H7127" s="16" t="n">
        <x:v>0</x:v>
      </x:c>
      <x:c r="I7127" s="16" t="n">
        <x:v>0.72</x:v>
      </x:c>
      <x:c r="J7127" s="16" t="n">
        <x:v>3.04</x:v>
      </x:c>
      <x:c r="K7127" s="11" t="n">
        <x:f>CHOOSE('假设'!$B$3,H7127,I7127,J7127)</x:f>
        <x:v>0.72</x:v>
      </x:c>
      <x:c r="L7127" s="11" t="n">
        <x:f>K7127*'管线假设'!E1523*'管线假设'!F1523*'管线假设'!G1523*IF(E7127="USD",'管线假设'!I1523,1)-AM7127</x:f>
        <x:v>0.1512</x:v>
      </x:c>
      <x:c r="M7127" s="11" t="n">
        <x:f>'管线假设'!H1523</x:f>
        <x:v>0.14</x:v>
      </x:c>
      <x:c r="N7127" s="11" t="n">
        <x:f>IF(G7127,L7127*AN7127/(1+M7127)^F7127,0)</x:f>
        <x:v>0</x:v>
      </x:c>
      <x:c r="AJ7127" s="42" t="n">
        <x:v>0</x:v>
      </x:c>
      <x:c r="AK7127" s="42" t="n">
        <x:v>0</x:v>
      </x:c>
      <x:c r="AL7127" s="42" t="n">
        <x:v>0</x:v>
      </x:c>
      <x:c r="AM7127" t="n">
        <x:f>CHOOSE('假设'!$B$3,AJ7127,AK7127,AL7127)</x:f>
        <x:v>0</x:v>
      </x:c>
      <x:c r="AN7127" t="n">
        <x:v>0</x:v>
      </x:c>
    </x:row>
    <x:row r="7128" ht="23" customHeight="1">
      <x:c r="A7128" s="11" t="str">
        <x:v>09995.HK</x:v>
      </x:c>
      <x:c r="B7128" s="11" t="str">
        <x:v>五年</x:v>
      </x:c>
      <x:c r="C7128" s="11" t="str">
        <x:v>RC148_China</x:v>
      </x:c>
      <x:c r="D7128" s="11" t="str">
        <x:v>2031-12-31</x:v>
      </x:c>
      <x:c r="E7128" s="11" t="str">
        <x:v>CNY</x:v>
      </x:c>
      <x:c r="F7128" s="11" t="n">
        <x:v>0.2272416153319644</x:v>
      </x:c>
      <x:c r="G7128" s="26" t="b">
        <x:v>1</x:v>
      </x:c>
      <x:c r="H7128" s="16" t="n">
        <x:v>0.072</x:v>
      </x:c>
      <x:c r="I7128" s="16" t="n">
        <x:v>1.52</x:v>
      </x:c>
      <x:c r="J7128" s="16" t="n">
        <x:v>5.2</x:v>
      </x:c>
      <x:c r="K7128" s="11" t="n">
        <x:f>CHOOSE('假设'!$B$3,H7128,I7128,J7128)</x:f>
        <x:v>1.52</x:v>
      </x:c>
      <x:c r="L7128" s="11" t="n">
        <x:f>K7128*'管线假设'!E1523*'管线假设'!F1523*'管线假设'!G1523*IF(E7128="USD",'管线假设'!I1523,1)-AM7128</x:f>
        <x:v>0.3192</x:v>
      </x:c>
      <x:c r="M7128" s="11" t="n">
        <x:f>'管线假设'!H1523</x:f>
        <x:v>0.14</x:v>
      </x:c>
      <x:c r="N7128" s="11" t="n">
        <x:f>IF(G7128,L7128*AN7128/(1+M7128)^F7128,0)</x:f>
        <x:v>0.07064939400940215</x:v>
      </x:c>
      <x:c r="AJ7128" s="42" t="n">
        <x:v>0</x:v>
      </x:c>
      <x:c r="AK7128" s="42" t="n">
        <x:v>0</x:v>
      </x:c>
      <x:c r="AL7128" s="42" t="n">
        <x:v>0</x:v>
      </x:c>
      <x:c r="AM7128" t="n">
        <x:f>CHOOSE('假设'!$B$3,AJ7128,AK7128,AL7128)</x:f>
        <x:v>0</x:v>
      </x:c>
      <x:c r="AN7128" t="n">
        <x:v>0.22802197802197802</x:v>
      </x:c>
    </x:row>
    <x:row r="7129" ht="23" customHeight="1">
      <x:c r="A7129" s="11" t="str">
        <x:v>09995.HK</x:v>
      </x:c>
      <x:c r="B7129" s="11" t="str">
        <x:v>五年</x:v>
      </x:c>
      <x:c r="C7129" s="11" t="str">
        <x:v>RC148_China</x:v>
      </x:c>
      <x:c r="D7129" s="11" t="str">
        <x:v>2032-12-31</x:v>
      </x:c>
      <x:c r="E7129" s="11" t="str">
        <x:v>CNY</x:v>
      </x:c>
      <x:c r="F7129" s="11" t="n">
        <x:v>1.2292950034223136</x:v>
      </x:c>
      <x:c r="G7129" s="26" t="b">
        <x:v>1</x:v>
      </x:c>
      <x:c r="H7129" s="16" t="n">
        <x:v>0.216</x:v>
      </x:c>
      <x:c r="I7129" s="16" t="n">
        <x:v>2.6</x:v>
      </x:c>
      <x:c r="J7129" s="16" t="n">
        <x:v>6.8</x:v>
      </x:c>
      <x:c r="K7129" s="11" t="n">
        <x:f>CHOOSE('假设'!$B$3,H7129,I7129,J7129)</x:f>
        <x:v>2.6</x:v>
      </x:c>
      <x:c r="L7129" s="11" t="n">
        <x:f>K7129*'管线假设'!E1523*'管线假设'!F1523*'管线假设'!G1523*IF(E7129="USD",'管线假设'!I1523,1)-AM7129</x:f>
        <x:v>0.546</x:v>
      </x:c>
      <x:c r="M7129" s="11" t="n">
        <x:f>'管线假设'!H1523</x:f>
        <x:v>0.14</x:v>
      </x:c>
      <x:c r="N7129" s="11" t="n">
        <x:f>IF(G7129,L7129*AN7129/(1+M7129)^F7129,0)</x:f>
        <x:v>0.46477182557217867</x:v>
      </x:c>
      <x:c r="AJ7129" s="42" t="n">
        <x:v>0</x:v>
      </x:c>
      <x:c r="AK7129" s="42" t="n">
        <x:v>0</x:v>
      </x:c>
      <x:c r="AL7129" s="42" t="n">
        <x:v>0</x:v>
      </x:c>
      <x:c r="AM7129" t="n">
        <x:f>CHOOSE('假设'!$B$3,AJ7129,AK7129,AL7129)</x:f>
        <x:v>0</x:v>
      </x:c>
      <x:c r="AN7129" t="n">
        <x:v>1</x:v>
      </x:c>
    </x:row>
    <x:row r="7130" ht="23" customHeight="1">
      <x:c r="A7130" s="11" t="str">
        <x:v>09995.HK</x:v>
      </x:c>
      <x:c r="B7130" s="11" t="str">
        <x:v>五年</x:v>
      </x:c>
      <x:c r="C7130" s="11" t="str">
        <x:v>RC148_China</x:v>
      </x:c>
      <x:c r="D7130" s="11" t="str">
        <x:v>2033-12-31</x:v>
      </x:c>
      <x:c r="E7130" s="11" t="str">
        <x:v>CNY</x:v>
      </x:c>
      <x:c r="F7130" s="11" t="n">
        <x:v>2.2286105407255303</x:v>
      </x:c>
      <x:c r="G7130" s="26" t="b">
        <x:v>1</x:v>
      </x:c>
      <x:c r="H7130" s="16" t="n">
        <x:v>0.45599999999999996</x:v>
      </x:c>
      <x:c r="I7130" s="16" t="n">
        <x:v>3.4</x:v>
      </x:c>
      <x:c r="J7130" s="16" t="n">
        <x:v>8</x:v>
      </x:c>
      <x:c r="K7130" s="11" t="n">
        <x:f>CHOOSE('假设'!$B$3,H7130,I7130,J7130)</x:f>
        <x:v>3.4</x:v>
      </x:c>
      <x:c r="L7130" s="11" t="n">
        <x:f>K7130*'管线假设'!E1523*'管线假设'!F1523*'管线假设'!G1523*IF(E7130="USD",'管线假设'!I1523,1)-AM7130</x:f>
        <x:v>0.714</x:v>
      </x:c>
      <x:c r="M7130" s="11" t="n">
        <x:f>'管线假设'!H1523</x:f>
        <x:v>0.14</x:v>
      </x:c>
      <x:c r="N7130" s="11" t="n">
        <x:f>IF(G7130,L7130*AN7130/(1+M7130)^F7130,0)</x:f>
        <x:v>0.5331868873352875</x:v>
      </x:c>
      <x:c r="AJ7130" s="42" t="n">
        <x:v>0</x:v>
      </x:c>
      <x:c r="AK7130" s="42" t="n">
        <x:v>0</x:v>
      </x:c>
      <x:c r="AL7130" s="42" t="n">
        <x:v>0</x:v>
      </x:c>
      <x:c r="AM7130" t="n">
        <x:f>CHOOSE('假设'!$B$3,AJ7130,AK7130,AL7130)</x:f>
        <x:v>0</x:v>
      </x:c>
      <x:c r="AN7130" t="n">
        <x:v>1</x:v>
      </x:c>
    </x:row>
    <x:row r="7131" ht="23" customHeight="1">
      <x:c r="A7131" s="11" t="str">
        <x:v>09995.HK</x:v>
      </x:c>
      <x:c r="B7131" s="11" t="str">
        <x:v>五年</x:v>
      </x:c>
      <x:c r="C7131" s="11" t="str">
        <x:v>RC148_China</x:v>
      </x:c>
      <x:c r="D7131" s="11" t="str">
        <x:v>2034-12-31</x:v>
      </x:c>
      <x:c r="E7131" s="11" t="str">
        <x:v>CNY</x:v>
      </x:c>
      <x:c r="F7131" s="11" t="n">
        <x:v>3.2279260780287475</x:v>
      </x:c>
      <x:c r="G7131" s="26" t="b">
        <x:v>1</x:v>
      </x:c>
      <x:c r="H7131" s="16" t="n">
        <x:v>0.78</x:v>
      </x:c>
      <x:c r="I7131" s="16" t="n">
        <x:v>4</x:v>
      </x:c>
      <x:c r="J7131" s="16" t="n">
        <x:v>8</x:v>
      </x:c>
      <x:c r="K7131" s="11" t="n">
        <x:f>CHOOSE('假设'!$B$3,H7131,I7131,J7131)</x:f>
        <x:v>4</x:v>
      </x:c>
      <x:c r="L7131" s="11" t="n">
        <x:f>K7131*'管线假设'!E1523*'管线假设'!F1523*'管线假设'!G1523*IF(E7131="USD",'管线假设'!I1523,1)-AM7131</x:f>
        <x:v>0.84</x:v>
      </x:c>
      <x:c r="M7131" s="11" t="n">
        <x:f>'管线假设'!H1523</x:f>
        <x:v>0.14</x:v>
      </x:c>
      <x:c r="N7131" s="11" t="n">
        <x:f>IF(G7131,L7131*AN7131/(1+M7131)^F7131,0)</x:f>
        <x:v>0.5502938160886941</x:v>
      </x:c>
      <x:c r="AJ7131" s="42" t="n">
        <x:v>0</x:v>
      </x:c>
      <x:c r="AK7131" s="42" t="n">
        <x:v>0</x:v>
      </x:c>
      <x:c r="AL7131" s="42" t="n">
        <x:v>0</x:v>
      </x:c>
      <x:c r="AM7131" t="n">
        <x:f>CHOOSE('假设'!$B$3,AJ7131,AK7131,AL7131)</x:f>
        <x:v>0</x:v>
      </x:c>
      <x:c r="AN7131" t="n">
        <x:v>1</x:v>
      </x:c>
    </x:row>
    <x:row r="7132" ht="23" customHeight="1">
      <x:c r="A7132" s="11" t="str">
        <x:v>09995.HK</x:v>
      </x:c>
      <x:c r="B7132" s="11" t="str">
        <x:v>五年</x:v>
      </x:c>
      <x:c r="C7132" s="11" t="str">
        <x:v>RC148_China</x:v>
      </x:c>
      <x:c r="D7132" s="11" t="str">
        <x:v>2035-12-31</x:v>
      </x:c>
      <x:c r="E7132" s="11" t="str">
        <x:v>CNY</x:v>
      </x:c>
      <x:c r="F7132" s="11" t="n">
        <x:v>4.227241615331964</x:v>
      </x:c>
      <x:c r="G7132" s="26" t="b">
        <x:v>1</x:v>
      </x:c>
      <x:c r="H7132" s="16" t="n">
        <x:v>1.02</x:v>
      </x:c>
      <x:c r="I7132" s="16" t="n">
        <x:v>4</x:v>
      </x:c>
      <x:c r="J7132" s="16" t="n">
        <x:v>7.6</x:v>
      </x:c>
      <x:c r="K7132" s="11" t="n">
        <x:f>CHOOSE('假设'!$B$3,H7132,I7132,J7132)</x:f>
        <x:v>4</x:v>
      </x:c>
      <x:c r="L7132" s="11" t="n">
        <x:f>K7132*'管线假设'!E1523*'管线假设'!F1523*'管线假设'!G1523*IF(E7132="USD",'管线假设'!I1523,1)-AM7132</x:f>
        <x:v>0.84</x:v>
      </x:c>
      <x:c r="M7132" s="11" t="n">
        <x:f>'管线假设'!H1523</x:f>
        <x:v>0.14</x:v>
      </x:c>
      <x:c r="N7132" s="11" t="n">
        <x:f>IF(G7132,L7132*AN7132/(1+M7132)^F7132,0)</x:f>
        <x:v>0.48275716739405944</x:v>
      </x:c>
      <x:c r="AJ7132" s="42" t="n">
        <x:v>0</x:v>
      </x:c>
      <x:c r="AK7132" s="42" t="n">
        <x:v>0</x:v>
      </x:c>
      <x:c r="AL7132" s="42" t="n">
        <x:v>0</x:v>
      </x:c>
      <x:c r="AM7132" t="n">
        <x:f>CHOOSE('假设'!$B$3,AJ7132,AK7132,AL7132)</x:f>
        <x:v>0</x:v>
      </x:c>
      <x:c r="AN7132" t="n">
        <x:v>1</x:v>
      </x:c>
    </x:row>
    <x:row r="7133" ht="23" customHeight="1">
      <x:c r="A7133" s="11" t="str">
        <x:v>09995.HK</x:v>
      </x:c>
      <x:c r="B7133" s="11" t="str">
        <x:v>五年</x:v>
      </x:c>
      <x:c r="C7133" s="11" t="str">
        <x:v>RC148_China</x:v>
      </x:c>
      <x:c r="D7133" s="11" t="str">
        <x:v>2036-12-31</x:v>
      </x:c>
      <x:c r="E7133" s="11" t="str">
        <x:v>CNY</x:v>
      </x:c>
      <x:c r="F7133" s="11" t="n">
        <x:v>5.229295003422314</x:v>
      </x:c>
      <x:c r="G7133" s="26" t="b">
        <x:v>1</x:v>
      </x:c>
      <x:c r="H7133" s="16" t="n">
        <x:v>1.2</x:v>
      </x:c>
      <x:c r="I7133" s="16" t="n">
        <x:v>3.8</x:v>
      </x:c>
      <x:c r="J7133" s="16" t="n">
        <x:v>7.2</x:v>
      </x:c>
      <x:c r="K7133" s="11" t="n">
        <x:f>CHOOSE('假设'!$B$3,H7133,I7133,J7133)</x:f>
        <x:v>3.8</x:v>
      </x:c>
      <x:c r="L7133" s="11" t="n">
        <x:f>K7133*'管线假设'!E1523*'管线假设'!F1523*'管线假设'!G1523*IF(E7133="USD",'管线假设'!I1523,1)-AM7133</x:f>
        <x:v>0.7979999999999999</x:v>
      </x:c>
      <x:c r="M7133" s="11" t="n">
        <x:f>'管线假设'!H1523</x:f>
        <x:v>0.14</x:v>
      </x:c>
      <x:c r="N7133" s="11" t="n">
        <x:f>IF(G7133,L7133*AN7133/(1+M7133)^F7133,0)</x:f>
        <x:v>0.402189415121067</x:v>
      </x:c>
      <x:c r="AJ7133" s="42" t="n">
        <x:v>0</x:v>
      </x:c>
      <x:c r="AK7133" s="42" t="n">
        <x:v>0</x:v>
      </x:c>
      <x:c r="AL7133" s="42" t="n">
        <x:v>0</x:v>
      </x:c>
      <x:c r="AM7133" t="n">
        <x:f>CHOOSE('假设'!$B$3,AJ7133,AK7133,AL7133)</x:f>
        <x:v>0</x:v>
      </x:c>
      <x:c r="AN7133" t="n">
        <x:v>1</x:v>
      </x:c>
    </x:row>
    <x:row r="7134" ht="23" customHeight="1">
      <x:c r="A7134" s="11" t="str">
        <x:v>09995.HK</x:v>
      </x:c>
      <x:c r="B7134" s="11" t="str">
        <x:v>五年</x:v>
      </x:c>
      <x:c r="C7134" s="11" t="str">
        <x:v>RC148_China</x:v>
      </x:c>
      <x:c r="D7134" s="11" t="str">
        <x:v>2037-12-31</x:v>
      </x:c>
      <x:c r="E7134" s="11" t="str">
        <x:v>CNY</x:v>
      </x:c>
      <x:c r="F7134" s="11" t="n">
        <x:v>6.228610540725531</x:v>
      </x:c>
      <x:c r="G7134" s="26" t="b">
        <x:v>1</x:v>
      </x:c>
      <x:c r="H7134" s="16" t="n">
        <x:v>1.2</x:v>
      </x:c>
      <x:c r="I7134" s="16" t="n">
        <x:v>3.6</x:v>
      </x:c>
      <x:c r="J7134" s="16" t="n">
        <x:v>6.4</x:v>
      </x:c>
      <x:c r="K7134" s="11" t="n">
        <x:f>CHOOSE('假设'!$B$3,H7134,I7134,J7134)</x:f>
        <x:v>3.6</x:v>
      </x:c>
      <x:c r="L7134" s="11" t="n">
        <x:f>K7134*'管线假设'!E1523*'管线假设'!F1523*'管线假设'!G1523*IF(E7134="USD",'管线假设'!I1523,1)-AM7134</x:f>
        <x:v>0.756</x:v>
      </x:c>
      <x:c r="M7134" s="11" t="n">
        <x:f>'管线假设'!H1523</x:f>
        <x:v>0.14</x:v>
      </x:c>
      <x:c r="N7134" s="11" t="n">
        <x:f>IF(G7134,L7134*AN7134/(1+M7134)^F7134,0)</x:f>
        <x:v>0.33425940721089703</x:v>
      </x:c>
      <x:c r="AJ7134" s="42" t="n">
        <x:v>0</x:v>
      </x:c>
      <x:c r="AK7134" s="42" t="n">
        <x:v>0</x:v>
      </x:c>
      <x:c r="AL7134" s="42" t="n">
        <x:v>0</x:v>
      </x:c>
      <x:c r="AM7134" t="n">
        <x:f>CHOOSE('假设'!$B$3,AJ7134,AK7134,AL7134)</x:f>
        <x:v>0</x:v>
      </x:c>
      <x:c r="AN7134" t="n">
        <x:v>1</x:v>
      </x:c>
    </x:row>
    <x:row r="7135" ht="23" customHeight="1">
      <x:c r="A7135" s="11" t="str">
        <x:v>09995.HK</x:v>
      </x:c>
      <x:c r="B7135" s="11" t="str">
        <x:v>五年</x:v>
      </x:c>
      <x:c r="C7135" s="11" t="str">
        <x:v>RC148_China</x:v>
      </x:c>
      <x:c r="D7135" s="11" t="str">
        <x:v>2038-12-31</x:v>
      </x:c>
      <x:c r="E7135" s="11" t="str">
        <x:v>CNY</x:v>
      </x:c>
      <x:c r="F7135" s="11" t="n">
        <x:v>7.227926078028747</x:v>
      </x:c>
      <x:c r="G7135" s="26" t="b">
        <x:v>1</x:v>
      </x:c>
      <x:c r="H7135" s="16" t="n">
        <x:v>1.14</x:v>
      </x:c>
      <x:c r="I7135" s="16" t="n">
        <x:v>3.2</x:v>
      </x:c>
      <x:c r="J7135" s="16" t="n">
        <x:v>5.2</x:v>
      </x:c>
      <x:c r="K7135" s="11" t="n">
        <x:f>CHOOSE('假设'!$B$3,H7135,I7135,J7135)</x:f>
        <x:v>3.2</x:v>
      </x:c>
      <x:c r="L7135" s="11" t="n">
        <x:f>K7135*'管线假设'!E1523*'管线假设'!F1523*'管线假设'!G1523*IF(E7135="USD",'管线假设'!I1523,1)-AM7135</x:f>
        <x:v>0.672</x:v>
      </x:c>
      <x:c r="M7135" s="11" t="n">
        <x:f>'管线假设'!H1523</x:f>
        <x:v>0.14</x:v>
      </x:c>
      <x:c r="N7135" s="11" t="n">
        <x:f>IF(G7135,L7135*AN7135/(1+M7135)^F7135,0)</x:f>
        <x:v>0.2606544922119153</x:v>
      </x:c>
      <x:c r="AJ7135" s="42" t="n">
        <x:v>0</x:v>
      </x:c>
      <x:c r="AK7135" s="42" t="n">
        <x:v>0</x:v>
      </x:c>
      <x:c r="AL7135" s="42" t="n">
        <x:v>0</x:v>
      </x:c>
      <x:c r="AM7135" t="n">
        <x:f>CHOOSE('假设'!$B$3,AJ7135,AK7135,AL7135)</x:f>
        <x:v>0</x:v>
      </x:c>
      <x:c r="AN7135" t="n">
        <x:v>1</x:v>
      </x:c>
    </x:row>
    <x:row r="7136" ht="23" customHeight="1">
      <x:c r="A7136" s="11" t="str">
        <x:v>09995.HK</x:v>
      </x:c>
      <x:c r="B7136" s="11" t="str">
        <x:v>五年</x:v>
      </x:c>
      <x:c r="C7136" s="11" t="str">
        <x:v>RC148_China</x:v>
      </x:c>
      <x:c r="D7136" s="11" t="str">
        <x:v>2039-12-31</x:v>
      </x:c>
      <x:c r="E7136" s="11" t="str">
        <x:v>CNY</x:v>
      </x:c>
      <x:c r="F7136" s="11" t="n">
        <x:v>8.227241615331964</x:v>
      </x:c>
      <x:c r="G7136" s="26" t="b">
        <x:v>1</x:v>
      </x:c>
      <x:c r="H7136" s="16" t="n">
        <x:v>1.08</x:v>
      </x:c>
      <x:c r="I7136" s="16" t="n">
        <x:v>2.6</x:v>
      </x:c>
      <x:c r="J7136" s="16" t="n">
        <x:v>4</x:v>
      </x:c>
      <x:c r="K7136" s="11" t="n">
        <x:f>CHOOSE('假设'!$B$3,H7136,I7136,J7136)</x:f>
        <x:v>2.6</x:v>
      </x:c>
      <x:c r="L7136" s="11" t="n">
        <x:f>K7136*'管线假设'!E1523*'管线假设'!F1523*'管线假设'!G1523*IF(E7136="USD",'管线假设'!I1523,1)-AM7136</x:f>
        <x:v>0.546</x:v>
      </x:c>
      <x:c r="M7136" s="11" t="n">
        <x:f>'管线假设'!H1523</x:f>
        <x:v>0.14</x:v>
      </x:c>
      <x:c r="N7136" s="11" t="n">
        <x:f>IF(G7136,L7136*AN7136/(1+M7136)^F7136,0)</x:f>
        <x:v>0.18579014842252914</x:v>
      </x:c>
      <x:c r="AJ7136" s="42" t="n">
        <x:v>0</x:v>
      </x:c>
      <x:c r="AK7136" s="42" t="n">
        <x:v>0</x:v>
      </x:c>
      <x:c r="AL7136" s="42" t="n">
        <x:v>0</x:v>
      </x:c>
      <x:c r="AM7136" t="n">
        <x:f>CHOOSE('假设'!$B$3,AJ7136,AK7136,AL7136)</x:f>
        <x:v>0</x:v>
      </x:c>
      <x:c r="AN7136" t="n">
        <x:v>1</x:v>
      </x:c>
    </x:row>
    <x:row r="7137" ht="23" customHeight="1">
      <x:c r="A7137" s="11" t="str">
        <x:v>09995.HK</x:v>
      </x:c>
      <x:c r="B7137" s="11" t="str">
        <x:v>五年</x:v>
      </x:c>
      <x:c r="C7137" s="11" t="str">
        <x:v>RC148_China</x:v>
      </x:c>
      <x:c r="D7137" s="11" t="str">
        <x:v>2040-12-31</x:v>
      </x:c>
      <x:c r="E7137" s="11" t="str">
        <x:v>CNY</x:v>
      </x:c>
      <x:c r="F7137" s="11" t="n">
        <x:v>9.229295003422314</x:v>
      </x:c>
      <x:c r="G7137" s="26" t="b">
        <x:v>1</x:v>
      </x:c>
      <x:c r="H7137" s="16" t="n">
        <x:v>0.96</x:v>
      </x:c>
      <x:c r="I7137" s="16" t="n">
        <x:v>2</x:v>
      </x:c>
      <x:c r="J7137" s="16" t="n">
        <x:v>2.8</x:v>
      </x:c>
      <x:c r="K7137" s="11" t="n">
        <x:f>CHOOSE('假设'!$B$3,H7137,I7137,J7137)</x:f>
        <x:v>2</x:v>
      </x:c>
      <x:c r="L7137" s="11" t="n">
        <x:f>K7137*'管线假设'!E1523*'管线假设'!F1523*'管线假设'!G1523*IF(E7137="USD",'管线假设'!I1523,1)-AM7137</x:f>
        <x:v>0.42</x:v>
      </x:c>
      <x:c r="M7137" s="11" t="n">
        <x:f>'管线假设'!H1523</x:f>
        <x:v>0.14</x:v>
      </x:c>
      <x:c r="N7137" s="11" t="n">
        <x:f>IF(G7137,L7137*AN7137/(1+M7137)^F7137,0)</x:f>
        <x:v>0.12533074761065033</x:v>
      </x:c>
      <x:c r="AJ7137" s="42" t="n">
        <x:v>0</x:v>
      </x:c>
      <x:c r="AK7137" s="42" t="n">
        <x:v>0</x:v>
      </x:c>
      <x:c r="AL7137" s="42" t="n">
        <x:v>0</x:v>
      </x:c>
      <x:c r="AM7137" t="n">
        <x:f>CHOOSE('假设'!$B$3,AJ7137,AK7137,AL7137)</x:f>
        <x:v>0</x:v>
      </x:c>
      <x:c r="AN7137" t="n">
        <x:v>1</x:v>
      </x:c>
    </x:row>
    <x:row r="7138" ht="23" customHeight="1">
      <x:c r="A7138" s="11" t="str">
        <x:v>09995.HK</x:v>
      </x:c>
      <x:c r="B7138" s="11" t="str">
        <x:v>五年</x:v>
      </x:c>
      <x:c r="C7138" s="11" t="str">
        <x:v>RC148_China</x:v>
      </x:c>
      <x:c r="D7138" s="11" t="str">
        <x:v>2041-12-31</x:v>
      </x:c>
      <x:c r="E7138" s="11" t="str">
        <x:v>CNY</x:v>
      </x:c>
      <x:c r="F7138" s="11" t="n">
        <x:v>10.22861054072553</x:v>
      </x:c>
      <x:c r="G7138" s="26" t="b">
        <x:v>1</x:v>
      </x:c>
      <x:c r="H7138" s="16" t="n">
        <x:v>0.78</x:v>
      </x:c>
      <x:c r="I7138" s="16" t="n">
        <x:v>1.4</x:v>
      </x:c>
      <x:c r="J7138" s="16" t="n">
        <x:v>1.6</x:v>
      </x:c>
      <x:c r="K7138" s="11" t="n">
        <x:f>CHOOSE('假设'!$B$3,H7138,I7138,J7138)</x:f>
        <x:v>1.4</x:v>
      </x:c>
      <x:c r="L7138" s="11" t="n">
        <x:f>K7138*'管线假设'!E1523*'管线假设'!F1523*'管线假设'!G1523*IF(E7138="USD",'管线假设'!I1523,1)-AM7138</x:f>
        <x:v>0.294</x:v>
      </x:c>
      <x:c r="M7138" s="11" t="n">
        <x:f>'管线假设'!H1523</x:f>
        <x:v>0.14</x:v>
      </x:c>
      <x:c r="N7138" s="11" t="n">
        <x:f>IF(G7138,L7138*AN7138/(1+M7138)^F7138,0)</x:f>
        <x:v>0.07696437876362007</x:v>
      </x:c>
      <x:c r="AJ7138" s="42" t="n">
        <x:v>0</x:v>
      </x:c>
      <x:c r="AK7138" s="42" t="n">
        <x:v>0</x:v>
      </x:c>
      <x:c r="AL7138" s="42" t="n">
        <x:v>0</x:v>
      </x:c>
      <x:c r="AM7138" t="n">
        <x:f>CHOOSE('假设'!$B$3,AJ7138,AK7138,AL7138)</x:f>
        <x:v>0</x:v>
      </x:c>
      <x:c r="AN7138" t="n">
        <x:v>1</x:v>
      </x:c>
    </x:row>
    <x:row r="7139" ht="23" customHeight="1">
      <x:c r="A7139" s="11" t="str">
        <x:v>09995.HK</x:v>
      </x:c>
      <x:c r="B7139" s="11" t="str">
        <x:v>五年</x:v>
      </x:c>
      <x:c r="C7139" s="11" t="str">
        <x:v>RC148_China</x:v>
      </x:c>
      <x:c r="D7139" s="11" t="str">
        <x:v>2042-12-31</x:v>
      </x:c>
      <x:c r="E7139" s="11" t="str">
        <x:v>CNY</x:v>
      </x:c>
      <x:c r="F7139" s="11" t="n">
        <x:v>11.227926078028748</x:v>
      </x:c>
      <x:c r="G7139" s="26" t="b">
        <x:v>1</x:v>
      </x:c>
      <x:c r="H7139" s="16" t="n">
        <x:v>0.6</x:v>
      </x:c>
      <x:c r="I7139" s="16" t="n">
        <x:v>0.8</x:v>
      </x:c>
      <x:c r="J7139" s="16" t="n">
        <x:v>0.96</x:v>
      </x:c>
      <x:c r="K7139" s="11" t="n">
        <x:f>CHOOSE('假设'!$B$3,H7139,I7139,J7139)</x:f>
        <x:v>0.8</x:v>
      </x:c>
      <x:c r="L7139" s="11" t="n">
        <x:f>K7139*'管线假设'!E1523*'管线假设'!F1523*'管线假设'!G1523*IF(E7139="USD",'管线假设'!I1523,1)-AM7139</x:f>
        <x:v>0.168</x:v>
      </x:c>
      <x:c r="M7139" s="11" t="n">
        <x:f>'管线假设'!H1523</x:f>
        <x:v>0.14</x:v>
      </x:c>
      <x:c r="N7139" s="11" t="n">
        <x:f>IF(G7139,L7139*AN7139/(1+M7139)^F7139,0)</x:f>
        <x:v>0.03858209601165417</x:v>
      </x:c>
      <x:c r="AJ7139" s="42" t="n">
        <x:v>0</x:v>
      </x:c>
      <x:c r="AK7139" s="42" t="n">
        <x:v>0</x:v>
      </x:c>
      <x:c r="AL7139" s="42" t="n">
        <x:v>0</x:v>
      </x:c>
      <x:c r="AM7139" t="n">
        <x:f>CHOOSE('假设'!$B$3,AJ7139,AK7139,AL7139)</x:f>
        <x:v>0</x:v>
      </x:c>
      <x:c r="AN7139" t="n">
        <x:v>1</x:v>
      </x:c>
    </x:row>
    <x:row r="7140" ht="23" customHeight="1">
      <x:c r="A7140" s="11" t="str">
        <x:v>09995.HK</x:v>
      </x:c>
      <x:c r="B7140" s="11" t="str">
        <x:v>五年</x:v>
      </x:c>
      <x:c r="C7140" s="11" t="str">
        <x:v>RC148_China</x:v>
      </x:c>
      <x:c r="D7140" s="11" t="str">
        <x:v>2043-12-31</x:v>
      </x:c>
      <x:c r="E7140" s="11" t="str">
        <x:v>CNY</x:v>
      </x:c>
      <x:c r="F7140" s="11" t="n">
        <x:v>12.227241615331964</x:v>
      </x:c>
      <x:c r="G7140" s="26" t="b">
        <x:v>1</x:v>
      </x:c>
      <x:c r="H7140" s="16" t="n">
        <x:v>0.42</x:v>
      </x:c>
      <x:c r="I7140" s="16" t="n">
        <x:v>0.48</x:v>
      </x:c>
      <x:c r="J7140" s="16" t="n">
        <x:v>0.56</x:v>
      </x:c>
      <x:c r="K7140" s="11" t="n">
        <x:f>CHOOSE('假设'!$B$3,H7140,I7140,J7140)</x:f>
        <x:v>0.48</x:v>
      </x:c>
      <x:c r="L7140" s="11" t="n">
        <x:f>K7140*'管线假设'!E1523*'管线假设'!F1523*'管线假设'!G1523*IF(E7140="USD",'管线假设'!I1523,1)-AM7140</x:f>
        <x:v>0.10079999999999999</x:v>
      </x:c>
      <x:c r="M7140" s="11" t="n">
        <x:f>'管线假设'!H1523</x:f>
        <x:v>0.14</x:v>
      </x:c>
      <x:c r="N7140" s="11" t="n">
        <x:f>IF(G7140,L7140*AN7140/(1+M7140)^F7140,0)</x:f>
        <x:v>0.02030818755889102</x:v>
      </x:c>
      <x:c r="AJ7140" s="42" t="n">
        <x:v>0</x:v>
      </x:c>
      <x:c r="AK7140" s="42" t="n">
        <x:v>0</x:v>
      </x:c>
      <x:c r="AL7140" s="42" t="n">
        <x:v>0</x:v>
      </x:c>
      <x:c r="AM7140" t="n">
        <x:f>CHOOSE('假设'!$B$3,AJ7140,AK7140,AL7140)</x:f>
        <x:v>0</x:v>
      </x:c>
      <x:c r="AN7140" t="n">
        <x:v>1</x:v>
      </x:c>
    </x:row>
    <x:row r="7141" ht="23" customHeight="1">
      <x:c r="A7141" s="11" t="str">
        <x:v>09995.HK</x:v>
      </x:c>
      <x:c r="B7141" s="11" t="str">
        <x:v>五年</x:v>
      </x:c>
      <x:c r="C7141" s="11" t="str">
        <x:v>RC148_China</x:v>
      </x:c>
      <x:c r="D7141" s="11" t="str">
        <x:v>2044-12-31</x:v>
      </x:c>
      <x:c r="E7141" s="11" t="str">
        <x:v>CNY</x:v>
      </x:c>
      <x:c r="F7141" s="11" t="n">
        <x:v>13.229295003422314</x:v>
      </x:c>
      <x:c r="G7141" s="26" t="b">
        <x:v>1</x:v>
      </x:c>
      <x:c r="H7141" s="16" t="n">
        <x:v>0.24</x:v>
      </x:c>
      <x:c r="I7141" s="16" t="n">
        <x:v>0.28</x:v>
      </x:c>
      <x:c r="J7141" s="16" t="n">
        <x:v>0.24</x:v>
      </x:c>
      <x:c r="K7141" s="11" t="n">
        <x:f>CHOOSE('假设'!$B$3,H7141,I7141,J7141)</x:f>
        <x:v>0.28</x:v>
      </x:c>
      <x:c r="L7141" s="11" t="n">
        <x:f>K7141*'管线假设'!E1523*'管线假设'!F1523*'管线假设'!G1523*IF(E7141="USD",'管线假设'!I1523,1)-AM7141</x:f>
        <x:v>0.058800000000000005</x:v>
      </x:c>
      <x:c r="M7141" s="11" t="n">
        <x:f>'管线假设'!H1523</x:f>
        <x:v>0.14</x:v>
      </x:c>
      <x:c r="N7141" s="11" t="n">
        <x:f>IF(G7141,L7141*AN7141/(1+M7141)^F7141,0)</x:f>
        <x:v>0.010388820933165791</x:v>
      </x:c>
      <x:c r="AJ7141" s="42" t="n">
        <x:v>0</x:v>
      </x:c>
      <x:c r="AK7141" s="42" t="n">
        <x:v>0</x:v>
      </x:c>
      <x:c r="AL7141" s="42" t="n">
        <x:v>0</x:v>
      </x:c>
      <x:c r="AM7141" t="n">
        <x:f>CHOOSE('假设'!$B$3,AJ7141,AK7141,AL7141)</x:f>
        <x:v>0</x:v>
      </x:c>
      <x:c r="AN7141" t="n">
        <x:v>1</x:v>
      </x:c>
    </x:row>
    <x:row r="7142" ht="23" customHeight="1">
      <x:c r="A7142" s="11" t="str">
        <x:v>09995.HK</x:v>
      </x:c>
      <x:c r="B7142" s="11" t="str">
        <x:v>五年</x:v>
      </x:c>
      <x:c r="C7142" s="11" t="str">
        <x:v>RC148_foreign</x:v>
      </x:c>
      <x:c r="D7142" s="11" t="str">
        <x:v>2026-12-31</x:v>
      </x:c>
      <x:c r="E7142" s="11" t="str">
        <x:v>USD</x:v>
      </x:c>
      <x:c r="F7142" s="11" t="n">
        <x:v>-4.772073921971253</x:v>
      </x:c>
      <x:c r="G7142" s="26" t="b">
        <x:v>0</x:v>
      </x:c>
      <x:c r="H7142" s="16" t="n">
        <x:v>0</x:v>
      </x:c>
      <x:c r="I7142" s="16" t="n">
        <x:v>0</x:v>
      </x:c>
      <x:c r="J7142" s="16" t="n">
        <x:v>0</x:v>
      </x:c>
      <x:c r="K7142" s="11" t="n">
        <x:f>CHOOSE('假设'!$B$3,H7142,I7142,J7142)</x:f>
        <x:v>0</x:v>
      </x:c>
      <x:c r="L7142" s="11" t="n">
        <x:f>K7142*'管线假设'!E1527*'管线假设'!F1527*'管线假设'!G1527*IF(E7142="USD",'管线假设'!I1527,1)-AM7142</x:f>
        <x:v>-0.056</x:v>
      </x:c>
      <x:c r="M7142" s="11" t="n">
        <x:f>'管线假设'!H1527</x:f>
        <x:v>0.14</x:v>
      </x:c>
      <x:c r="N7142" s="11" t="n">
        <x:f>IF(G7142,L7142*AN7142/(1+M7142)^F7142,0)</x:f>
        <x:v>0</x:v>
      </x:c>
      <x:c r="AJ7142" s="42" t="n">
        <x:v>0.021</x:v>
      </x:c>
      <x:c r="AK7142" s="42" t="n">
        <x:v>0.056</x:v>
      </x:c>
      <x:c r="AL7142" s="42" t="n">
        <x:v>0.084</x:v>
      </x:c>
      <x:c r="AM7142" t="n">
        <x:f>CHOOSE('假设'!$B$3,AJ7142,AK7142,AL7142)</x:f>
        <x:v>0.056</x:v>
      </x:c>
      <x:c r="AN7142" t="n">
        <x:v>0</x:v>
      </x:c>
    </x:row>
    <x:row r="7143" ht="23" customHeight="1">
      <x:c r="A7143" s="11" t="str">
        <x:v>09995.HK</x:v>
      </x:c>
      <x:c r="B7143" s="11" t="str">
        <x:v>五年</x:v>
      </x:c>
      <x:c r="C7143" s="11" t="str">
        <x:v>RC148_foreign</x:v>
      </x:c>
      <x:c r="D7143" s="11" t="str">
        <x:v>2027-12-31</x:v>
      </x:c>
      <x:c r="E7143" s="11" t="str">
        <x:v>USD</x:v>
      </x:c>
      <x:c r="F7143" s="11" t="n">
        <x:v>-3.7727583846680357</x:v>
      </x:c>
      <x:c r="G7143" s="26" t="b">
        <x:v>0</x:v>
      </x:c>
      <x:c r="H7143" s="16" t="n">
        <x:v>0</x:v>
      </x:c>
      <x:c r="I7143" s="16" t="n">
        <x:v>0</x:v>
      </x:c>
      <x:c r="J7143" s="16" t="n">
        <x:v>0</x:v>
      </x:c>
      <x:c r="K7143" s="11" t="n">
        <x:f>CHOOSE('假设'!$B$3,H7143,I7143,J7143)</x:f>
        <x:v>0</x:v>
      </x:c>
      <x:c r="L7143" s="11" t="n">
        <x:f>K7143*'管线假设'!E1527*'管线假设'!F1527*'管线假设'!G1527*IF(E7143="USD",'管线假设'!I1527,1)-AM7143</x:f>
        <x:v>0</x:v>
      </x:c>
      <x:c r="M7143" s="11" t="n">
        <x:f>'管线假设'!H1527</x:f>
        <x:v>0.14</x:v>
      </x:c>
      <x:c r="N7143" s="11" t="n">
        <x:f>IF(G7143,L7143*AN7143/(1+M7143)^F7143,0)</x:f>
        <x:v>0</x:v>
      </x:c>
      <x:c r="AJ7143" s="42" t="n">
        <x:v>0</x:v>
      </x:c>
      <x:c r="AK7143" s="42" t="n">
        <x:v>0</x:v>
      </x:c>
      <x:c r="AL7143" s="42" t="n">
        <x:v>0</x:v>
      </x:c>
      <x:c r="AM7143" t="n">
        <x:f>CHOOSE('假设'!$B$3,AJ7143,AK7143,AL7143)</x:f>
        <x:v>0</x:v>
      </x:c>
      <x:c r="AN7143" t="n">
        <x:v>0</x:v>
      </x:c>
    </x:row>
    <x:row r="7144" ht="23" customHeight="1">
      <x:c r="A7144" s="11" t="str">
        <x:v>09995.HK</x:v>
      </x:c>
      <x:c r="B7144" s="11" t="str">
        <x:v>五年</x:v>
      </x:c>
      <x:c r="C7144" s="11" t="str">
        <x:v>RC148_foreign</x:v>
      </x:c>
      <x:c r="D7144" s="11" t="str">
        <x:v>2028-12-31</x:v>
      </x:c>
      <x:c r="E7144" s="11" t="str">
        <x:v>USD</x:v>
      </x:c>
      <x:c r="F7144" s="11" t="n">
        <x:v>-2.7707049965776864</x:v>
      </x:c>
      <x:c r="G7144" s="26" t="b">
        <x:v>0</x:v>
      </x:c>
      <x:c r="H7144" s="16" t="n">
        <x:v>0</x:v>
      </x:c>
      <x:c r="I7144" s="16" t="n">
        <x:v>0</x:v>
      </x:c>
      <x:c r="J7144" s="16" t="n">
        <x:v>0</x:v>
      </x:c>
      <x:c r="K7144" s="11" t="n">
        <x:f>CHOOSE('假设'!$B$3,H7144,I7144,J7144)</x:f>
        <x:v>0</x:v>
      </x:c>
      <x:c r="L7144" s="11" t="n">
        <x:f>K7144*'管线假设'!E1527*'管线假设'!F1527*'管线假设'!G1527*IF(E7144="USD",'管线假设'!I1527,1)-AM7144</x:f>
        <x:v>0</x:v>
      </x:c>
      <x:c r="M7144" s="11" t="n">
        <x:f>'管线假设'!H1527</x:f>
        <x:v>0.14</x:v>
      </x:c>
      <x:c r="N7144" s="11" t="n">
        <x:f>IF(G7144,L7144*AN7144/(1+M7144)^F7144,0)</x:f>
        <x:v>0</x:v>
      </x:c>
      <x:c r="AJ7144" s="42" t="n">
        <x:v>0</x:v>
      </x:c>
      <x:c r="AK7144" s="42" t="n">
        <x:v>0</x:v>
      </x:c>
      <x:c r="AL7144" s="42" t="n">
        <x:v>0</x:v>
      </x:c>
      <x:c r="AM7144" t="n">
        <x:f>CHOOSE('假设'!$B$3,AJ7144,AK7144,AL7144)</x:f>
        <x:v>0</x:v>
      </x:c>
      <x:c r="AN7144" t="n">
        <x:v>0</x:v>
      </x:c>
    </x:row>
    <x:row r="7145" ht="23" customHeight="1">
      <x:c r="A7145" s="11" t="str">
        <x:v>09995.HK</x:v>
      </x:c>
      <x:c r="B7145" s="11" t="str">
        <x:v>五年</x:v>
      </x:c>
      <x:c r="C7145" s="11" t="str">
        <x:v>RC148_foreign</x:v>
      </x:c>
      <x:c r="D7145" s="11" t="str">
        <x:v>2029-12-31</x:v>
      </x:c>
      <x:c r="E7145" s="11" t="str">
        <x:v>USD</x:v>
      </x:c>
      <x:c r="F7145" s="11" t="n">
        <x:v>-1.7713894592744694</x:v>
      </x:c>
      <x:c r="G7145" s="26" t="b">
        <x:v>0</x:v>
      </x:c>
      <x:c r="H7145" s="16" t="n">
        <x:v>0</x:v>
      </x:c>
      <x:c r="I7145" s="16" t="n">
        <x:v>0</x:v>
      </x:c>
      <x:c r="J7145" s="16" t="n">
        <x:v>0.6</x:v>
      </x:c>
      <x:c r="K7145" s="11" t="n">
        <x:f>CHOOSE('假设'!$B$3,H7145,I7145,J7145)</x:f>
        <x:v>0</x:v>
      </x:c>
      <x:c r="L7145" s="11" t="n">
        <x:f>K7145*'管线假设'!E1527*'管线假设'!F1527*'管线假设'!G1527*IF(E7145="USD",'管线假设'!I1527,1)-AM7145</x:f>
        <x:v>0</x:v>
      </x:c>
      <x:c r="M7145" s="11" t="n">
        <x:f>'管线假设'!H1527</x:f>
        <x:v>0.14</x:v>
      </x:c>
      <x:c r="N7145" s="11" t="n">
        <x:f>IF(G7145,L7145*AN7145/(1+M7145)^F7145,0)</x:f>
        <x:v>0</x:v>
      </x:c>
      <x:c r="AJ7145" s="42" t="n">
        <x:v>0</x:v>
      </x:c>
      <x:c r="AK7145" s="42" t="n">
        <x:v>0</x:v>
      </x:c>
      <x:c r="AL7145" s="42" t="n">
        <x:v>0</x:v>
      </x:c>
      <x:c r="AM7145" t="n">
        <x:f>CHOOSE('假设'!$B$3,AJ7145,AK7145,AL7145)</x:f>
        <x:v>0</x:v>
      </x:c>
      <x:c r="AN7145" t="n">
        <x:v>0</x:v>
      </x:c>
    </x:row>
    <x:row r="7146" ht="23" customHeight="1">
      <x:c r="A7146" s="11" t="str">
        <x:v>09995.HK</x:v>
      </x:c>
      <x:c r="B7146" s="11" t="str">
        <x:v>五年</x:v>
      </x:c>
      <x:c r="C7146" s="11" t="str">
        <x:v>RC148_foreign</x:v>
      </x:c>
      <x:c r="D7146" s="11" t="str">
        <x:v>2030-12-31</x:v>
      </x:c>
      <x:c r="E7146" s="11" t="str">
        <x:v>USD</x:v>
      </x:c>
      <x:c r="F7146" s="11" t="n">
        <x:v>-0.7720739219712526</x:v>
      </x:c>
      <x:c r="G7146" s="26" t="b">
        <x:v>0</x:v>
      </x:c>
      <x:c r="H7146" s="16" t="n">
        <x:v>0</x:v>
      </x:c>
      <x:c r="I7146" s="16" t="n">
        <x:v>0.3</x:v>
      </x:c>
      <x:c r="J7146" s="16" t="n">
        <x:v>1.7999999999999998</x:v>
      </x:c>
      <x:c r="K7146" s="11" t="n">
        <x:f>CHOOSE('假设'!$B$3,H7146,I7146,J7146)</x:f>
        <x:v>0.3</x:v>
      </x:c>
      <x:c r="L7146" s="11" t="n">
        <x:f>K7146*'管线假设'!E1527*'管线假设'!F1527*'管线假设'!G1527*IF(E7146="USD",'管线假设'!I1527,1)-AM7146</x:f>
        <x:v>0.12054</x:v>
      </x:c>
      <x:c r="M7146" s="11" t="n">
        <x:f>'管线假设'!H1527</x:f>
        <x:v>0.14</x:v>
      </x:c>
      <x:c r="N7146" s="11" t="n">
        <x:f>IF(G7146,L7146*AN7146/(1+M7146)^F7146,0)</x:f>
        <x:v>0</x:v>
      </x:c>
      <x:c r="AJ7146" s="42" t="n">
        <x:v>0</x:v>
      </x:c>
      <x:c r="AK7146" s="42" t="n">
        <x:v>0</x:v>
      </x:c>
      <x:c r="AL7146" s="42" t="n">
        <x:v>0</x:v>
      </x:c>
      <x:c r="AM7146" t="n">
        <x:f>CHOOSE('假设'!$B$3,AJ7146,AK7146,AL7146)</x:f>
        <x:v>0</x:v>
      </x:c>
      <x:c r="AN7146" t="n">
        <x:v>0</x:v>
      </x:c>
    </x:row>
    <x:row r="7147" ht="23" customHeight="1">
      <x:c r="A7147" s="11" t="str">
        <x:v>09995.HK</x:v>
      </x:c>
      <x:c r="B7147" s="11" t="str">
        <x:v>五年</x:v>
      </x:c>
      <x:c r="C7147" s="11" t="str">
        <x:v>RC148_foreign</x:v>
      </x:c>
      <x:c r="D7147" s="11" t="str">
        <x:v>2031-12-31</x:v>
      </x:c>
      <x:c r="E7147" s="11" t="str">
        <x:v>USD</x:v>
      </x:c>
      <x:c r="F7147" s="11" t="n">
        <x:v>0.2272416153319644</x:v>
      </x:c>
      <x:c r="G7147" s="26" t="b">
        <x:v>1</x:v>
      </x:c>
      <x:c r="H7147" s="16" t="n">
        <x:v>0</x:v>
      </x:c>
      <x:c r="I7147" s="16" t="n">
        <x:v>0.8999999999999999</x:v>
      </x:c>
      <x:c r="J7147" s="16" t="n">
        <x:v>3.8</x:v>
      </x:c>
      <x:c r="K7147" s="11" t="n">
        <x:f>CHOOSE('假设'!$B$3,H7147,I7147,J7147)</x:f>
        <x:v>0.8999999999999999</x:v>
      </x:c>
      <x:c r="L7147" s="11" t="n">
        <x:f>K7147*'管线假设'!E1527*'管线假设'!F1527*'管线假设'!G1527*IF(E7147="USD",'管线假设'!I1527,1)-AM7147</x:f>
        <x:v>0.36162</x:v>
      </x:c>
      <x:c r="M7147" s="11" t="n">
        <x:f>'管线假设'!H1527</x:f>
        <x:v>0.14</x:v>
      </x:c>
      <x:c r="N7147" s="11" t="n">
        <x:f>IF(G7147,L7147*AN7147/(1+M7147)^F7147,0)</x:f>
        <x:v>0.08003832663433585</x:v>
      </x:c>
      <x:c r="AJ7147" s="42" t="n">
        <x:v>0</x:v>
      </x:c>
      <x:c r="AK7147" s="42" t="n">
        <x:v>0</x:v>
      </x:c>
      <x:c r="AL7147" s="42" t="n">
        <x:v>0</x:v>
      </x:c>
      <x:c r="AM7147" t="n">
        <x:f>CHOOSE('假设'!$B$3,AJ7147,AK7147,AL7147)</x:f>
        <x:v>0</x:v>
      </x:c>
      <x:c r="AN7147" t="n">
        <x:v>0.22802197802197802</x:v>
      </x:c>
    </x:row>
    <x:row r="7148" ht="23" customHeight="1">
      <x:c r="A7148" s="11" t="str">
        <x:v>09995.HK</x:v>
      </x:c>
      <x:c r="B7148" s="11" t="str">
        <x:v>五年</x:v>
      </x:c>
      <x:c r="C7148" s="11" t="str">
        <x:v>RC148_foreign</x:v>
      </x:c>
      <x:c r="D7148" s="11" t="str">
        <x:v>2032-12-31</x:v>
      </x:c>
      <x:c r="E7148" s="11" t="str">
        <x:v>USD</x:v>
      </x:c>
      <x:c r="F7148" s="11" t="n">
        <x:v>1.2292950034223136</x:v>
      </x:c>
      <x:c r="G7148" s="26" t="b">
        <x:v>1</x:v>
      </x:c>
      <x:c r="H7148" s="16" t="n">
        <x:v>0.12</x:v>
      </x:c>
      <x:c r="I7148" s="16" t="n">
        <x:v>1.9</x:v>
      </x:c>
      <x:c r="J7148" s="16" t="n">
        <x:v>6.5</x:v>
      </x:c>
      <x:c r="K7148" s="11" t="n">
        <x:f>CHOOSE('假设'!$B$3,H7148,I7148,J7148)</x:f>
        <x:v>1.9</x:v>
      </x:c>
      <x:c r="L7148" s="11" t="n">
        <x:f>K7148*'管线假设'!E1527*'管线假设'!F1527*'管线假设'!G1527*IF(E7148="USD",'管线假设'!I1527,1)-AM7148</x:f>
        <x:v>0.76342</x:v>
      </x:c>
      <x:c r="M7148" s="11" t="n">
        <x:f>'管线假设'!H1527</x:f>
        <x:v>0.14</x:v>
      </x:c>
      <x:c r="N7148" s="11" t="n">
        <x:f>IF(G7148,L7148*AN7148/(1+M7148)^F7148,0)</x:f>
        <x:v>0.6498463499602795</x:v>
      </x:c>
      <x:c r="AJ7148" s="42" t="n">
        <x:v>0</x:v>
      </x:c>
      <x:c r="AK7148" s="42" t="n">
        <x:v>0</x:v>
      </x:c>
      <x:c r="AL7148" s="42" t="n">
        <x:v>0</x:v>
      </x:c>
      <x:c r="AM7148" t="n">
        <x:f>CHOOSE('假设'!$B$3,AJ7148,AK7148,AL7148)</x:f>
        <x:v>0</x:v>
      </x:c>
      <x:c r="AN7148" t="n">
        <x:v>1</x:v>
      </x:c>
    </x:row>
    <x:row r="7149" ht="23" customHeight="1">
      <x:c r="A7149" s="11" t="str">
        <x:v>09995.HK</x:v>
      </x:c>
      <x:c r="B7149" s="11" t="str">
        <x:v>五年</x:v>
      </x:c>
      <x:c r="C7149" s="11" t="str">
        <x:v>RC148_foreign</x:v>
      </x:c>
      <x:c r="D7149" s="11" t="str">
        <x:v>2033-12-31</x:v>
      </x:c>
      <x:c r="E7149" s="11" t="str">
        <x:v>USD</x:v>
      </x:c>
      <x:c r="F7149" s="11" t="n">
        <x:v>2.2286105407255303</x:v>
      </x:c>
      <x:c r="G7149" s="26" t="b">
        <x:v>1</x:v>
      </x:c>
      <x:c r="H7149" s="16" t="n">
        <x:v>0.36</x:v>
      </x:c>
      <x:c r="I7149" s="16" t="n">
        <x:v>3.25</x:v>
      </x:c>
      <x:c r="J7149" s="16" t="n">
        <x:v>8.5</x:v>
      </x:c>
      <x:c r="K7149" s="11" t="n">
        <x:f>CHOOSE('假设'!$B$3,H7149,I7149,J7149)</x:f>
        <x:v>3.25</x:v>
      </x:c>
      <x:c r="L7149" s="11" t="n">
        <x:f>K7149*'管线假设'!E1527*'管线假设'!F1527*'管线假设'!G1527*IF(E7149="USD",'管线假设'!I1527,1)-AM7149</x:f>
        <x:v>1.30585</x:v>
      </x:c>
      <x:c r="M7149" s="11" t="n">
        <x:f>'管线假设'!H1527</x:f>
        <x:v>0.14</x:v>
      </x:c>
      <x:c r="N7149" s="11" t="n">
        <x:f>IF(G7149,L7149*AN7149/(1+M7149)^F7149,0)</x:f>
        <x:v>0.9751569983568421</x:v>
      </x:c>
      <x:c r="AJ7149" s="42" t="n">
        <x:v>0</x:v>
      </x:c>
      <x:c r="AK7149" s="42" t="n">
        <x:v>0</x:v>
      </x:c>
      <x:c r="AL7149" s="42" t="n">
        <x:v>0</x:v>
      </x:c>
      <x:c r="AM7149" t="n">
        <x:f>CHOOSE('假设'!$B$3,AJ7149,AK7149,AL7149)</x:f>
        <x:v>0</x:v>
      </x:c>
      <x:c r="AN7149" t="n">
        <x:v>1</x:v>
      </x:c>
    </x:row>
    <x:row r="7150" ht="23" customHeight="1">
      <x:c r="A7150" s="11" t="str">
        <x:v>09995.HK</x:v>
      </x:c>
      <x:c r="B7150" s="11" t="str">
        <x:v>五年</x:v>
      </x:c>
      <x:c r="C7150" s="11" t="str">
        <x:v>RC148_foreign</x:v>
      </x:c>
      <x:c r="D7150" s="11" t="str">
        <x:v>2034-12-31</x:v>
      </x:c>
      <x:c r="E7150" s="11" t="str">
        <x:v>USD</x:v>
      </x:c>
      <x:c r="F7150" s="11" t="n">
        <x:v>3.2279260780287475</x:v>
      </x:c>
      <x:c r="G7150" s="26" t="b">
        <x:v>1</x:v>
      </x:c>
      <x:c r="H7150" s="16" t="n">
        <x:v>0.76</x:v>
      </x:c>
      <x:c r="I7150" s="16" t="n">
        <x:v>4.25</x:v>
      </x:c>
      <x:c r="J7150" s="16" t="n">
        <x:v>10</x:v>
      </x:c>
      <x:c r="K7150" s="11" t="n">
        <x:f>CHOOSE('假设'!$B$3,H7150,I7150,J7150)</x:f>
        <x:v>4.25</x:v>
      </x:c>
      <x:c r="L7150" s="11" t="n">
        <x:f>K7150*'管线假设'!E1527*'管线假设'!F1527*'管线假设'!G1527*IF(E7150="USD",'管线假设'!I1527,1)-AM7150</x:f>
        <x:v>1.7076500000000001</x:v>
      </x:c>
      <x:c r="M7150" s="11" t="n">
        <x:f>'管线假设'!H1527</x:f>
        <x:v>0.14</x:v>
      </x:c>
      <x:c r="N7150" s="11" t="n">
        <x:f>IF(G7150,L7150*AN7150/(1+M7150)^F7150,0)</x:f>
        <x:v>1.118701470290308</x:v>
      </x:c>
      <x:c r="AJ7150" s="42" t="n">
        <x:v>0</x:v>
      </x:c>
      <x:c r="AK7150" s="42" t="n">
        <x:v>0</x:v>
      </x:c>
      <x:c r="AL7150" s="42" t="n">
        <x:v>0</x:v>
      </x:c>
      <x:c r="AM7150" t="n">
        <x:f>CHOOSE('假设'!$B$3,AJ7150,AK7150,AL7150)</x:f>
        <x:v>0</x:v>
      </x:c>
      <x:c r="AN7150" t="n">
        <x:v>1</x:v>
      </x:c>
    </x:row>
    <x:row r="7151" ht="23" customHeight="1">
      <x:c r="A7151" s="11" t="str">
        <x:v>09995.HK</x:v>
      </x:c>
      <x:c r="B7151" s="11" t="str">
        <x:v>五年</x:v>
      </x:c>
      <x:c r="C7151" s="11" t="str">
        <x:v>RC148_foreign</x:v>
      </x:c>
      <x:c r="D7151" s="11" t="str">
        <x:v>2035-12-31</x:v>
      </x:c>
      <x:c r="E7151" s="11" t="str">
        <x:v>USD</x:v>
      </x:c>
      <x:c r="F7151" s="11" t="n">
        <x:v>4.227241615331964</x:v>
      </x:c>
      <x:c r="G7151" s="26" t="b">
        <x:v>1</x:v>
      </x:c>
      <x:c r="H7151" s="16" t="n">
        <x:v>1.3</x:v>
      </x:c>
      <x:c r="I7151" s="16" t="n">
        <x:v>5</x:v>
      </x:c>
      <x:c r="J7151" s="16" t="n">
        <x:v>10</x:v>
      </x:c>
      <x:c r="K7151" s="11" t="n">
        <x:f>CHOOSE('假设'!$B$3,H7151,I7151,J7151)</x:f>
        <x:v>5</x:v>
      </x:c>
      <x:c r="L7151" s="11" t="n">
        <x:f>K7151*'管线假设'!E1527*'管线假设'!F1527*'管线假设'!G1527*IF(E7151="USD",'管线假设'!I1527,1)-AM7151</x:f>
        <x:v>2.009</x:v>
      </x:c>
      <x:c r="M7151" s="11" t="n">
        <x:f>'管线假设'!H1527</x:f>
        <x:v>0.14</x:v>
      </x:c>
      <x:c r="N7151" s="11" t="n">
        <x:f>IF(G7151,L7151*AN7151/(1+M7151)^F7151,0)</x:f>
        <x:v>1.1545942253507921</x:v>
      </x:c>
      <x:c r="AJ7151" s="42" t="n">
        <x:v>0</x:v>
      </x:c>
      <x:c r="AK7151" s="42" t="n">
        <x:v>0</x:v>
      </x:c>
      <x:c r="AL7151" s="42" t="n">
        <x:v>0</x:v>
      </x:c>
      <x:c r="AM7151" t="n">
        <x:f>CHOOSE('假设'!$B$3,AJ7151,AK7151,AL7151)</x:f>
        <x:v>0</x:v>
      </x:c>
      <x:c r="AN7151" t="n">
        <x:v>1</x:v>
      </x:c>
    </x:row>
    <x:row r="7152" ht="23" customHeight="1">
      <x:c r="A7152" s="11" t="str">
        <x:v>09995.HK</x:v>
      </x:c>
      <x:c r="B7152" s="11" t="str">
        <x:v>五年</x:v>
      </x:c>
      <x:c r="C7152" s="11" t="str">
        <x:v>RC148_foreign</x:v>
      </x:c>
      <x:c r="D7152" s="11" t="str">
        <x:v>2036-12-31</x:v>
      </x:c>
      <x:c r="E7152" s="11" t="str">
        <x:v>USD</x:v>
      </x:c>
      <x:c r="F7152" s="11" t="n">
        <x:v>5.229295003422314</x:v>
      </x:c>
      <x:c r="G7152" s="26" t="b">
        <x:v>1</x:v>
      </x:c>
      <x:c r="H7152" s="16" t="n">
        <x:v>1.7</x:v>
      </x:c>
      <x:c r="I7152" s="16" t="n">
        <x:v>5</x:v>
      </x:c>
      <x:c r="J7152" s="16" t="n">
        <x:v>9.5</x:v>
      </x:c>
      <x:c r="K7152" s="11" t="n">
        <x:f>CHOOSE('假设'!$B$3,H7152,I7152,J7152)</x:f>
        <x:v>5</x:v>
      </x:c>
      <x:c r="L7152" s="11" t="n">
        <x:f>K7152*'管线假设'!E1527*'管线假设'!F1527*'管线假设'!G1527*IF(E7152="USD",'管线假设'!I1527,1)-AM7152</x:f>
        <x:v>2.009</x:v>
      </x:c>
      <x:c r="M7152" s="11" t="n">
        <x:f>'管线假设'!H1527</x:f>
        <x:v>0.14</x:v>
      </x:c>
      <x:c r="N7152" s="11" t="n">
        <x:f>IF(G7152,L7152*AN7152/(1+M7152)^F7152,0)</x:f>
        <x:v>1.0125294924539143</x:v>
      </x:c>
      <x:c r="AJ7152" s="42" t="n">
        <x:v>0</x:v>
      </x:c>
      <x:c r="AK7152" s="42" t="n">
        <x:v>0</x:v>
      </x:c>
      <x:c r="AL7152" s="42" t="n">
        <x:v>0</x:v>
      </x:c>
      <x:c r="AM7152" t="n">
        <x:f>CHOOSE('假设'!$B$3,AJ7152,AK7152,AL7152)</x:f>
        <x:v>0</x:v>
      </x:c>
      <x:c r="AN7152" t="n">
        <x:v>1</x:v>
      </x:c>
    </x:row>
    <x:row r="7153" ht="23" customHeight="1">
      <x:c r="A7153" s="11" t="str">
        <x:v>09995.HK</x:v>
      </x:c>
      <x:c r="B7153" s="11" t="str">
        <x:v>五年</x:v>
      </x:c>
      <x:c r="C7153" s="11" t="str">
        <x:v>RC148_foreign</x:v>
      </x:c>
      <x:c r="D7153" s="11" t="str">
        <x:v>2037-12-31</x:v>
      </x:c>
      <x:c r="E7153" s="11" t="str">
        <x:v>USD</x:v>
      </x:c>
      <x:c r="F7153" s="11" t="n">
        <x:v>6.228610540725531</x:v>
      </x:c>
      <x:c r="G7153" s="26" t="b">
        <x:v>1</x:v>
      </x:c>
      <x:c r="H7153" s="16" t="n">
        <x:v>2</x:v>
      </x:c>
      <x:c r="I7153" s="16" t="n">
        <x:v>4.75</x:v>
      </x:c>
      <x:c r="J7153" s="16" t="n">
        <x:v>9</x:v>
      </x:c>
      <x:c r="K7153" s="11" t="n">
        <x:f>CHOOSE('假设'!$B$3,H7153,I7153,J7153)</x:f>
        <x:v>4.75</x:v>
      </x:c>
      <x:c r="L7153" s="11" t="n">
        <x:f>K7153*'管线假设'!E1527*'管线假设'!F1527*'管线假设'!G1527*IF(E7153="USD",'管线假设'!I1527,1)-AM7153</x:f>
        <x:v>1.90855</x:v>
      </x:c>
      <x:c r="M7153" s="11" t="n">
        <x:f>'管线假设'!H1527</x:f>
        <x:v>0.14</x:v>
      </x:c>
      <x:c r="N7153" s="11" t="n">
        <x:f>IF(G7153,L7153*AN7153/(1+M7153)^F7153,0)</x:f>
        <x:v>0.8438502534819544</x:v>
      </x:c>
      <x:c r="AJ7153" s="42" t="n">
        <x:v>0</x:v>
      </x:c>
      <x:c r="AK7153" s="42" t="n">
        <x:v>0</x:v>
      </x:c>
      <x:c r="AL7153" s="42" t="n">
        <x:v>0</x:v>
      </x:c>
      <x:c r="AM7153" t="n">
        <x:f>CHOOSE('假设'!$B$3,AJ7153,AK7153,AL7153)</x:f>
        <x:v>0</x:v>
      </x:c>
      <x:c r="AN7153" t="n">
        <x:v>1</x:v>
      </x:c>
    </x:row>
    <x:row r="7154" ht="23" customHeight="1">
      <x:c r="A7154" s="11" t="str">
        <x:v>09995.HK</x:v>
      </x:c>
      <x:c r="B7154" s="11" t="str">
        <x:v>五年</x:v>
      </x:c>
      <x:c r="C7154" s="11" t="str">
        <x:v>RC148_foreign</x:v>
      </x:c>
      <x:c r="D7154" s="11" t="str">
        <x:v>2038-12-31</x:v>
      </x:c>
      <x:c r="E7154" s="11" t="str">
        <x:v>USD</x:v>
      </x:c>
      <x:c r="F7154" s="11" t="n">
        <x:v>7.227926078028747</x:v>
      </x:c>
      <x:c r="G7154" s="26" t="b">
        <x:v>1</x:v>
      </x:c>
      <x:c r="H7154" s="16" t="n">
        <x:v>2</x:v>
      </x:c>
      <x:c r="I7154" s="16" t="n">
        <x:v>4.5</x:v>
      </x:c>
      <x:c r="J7154" s="16" t="n">
        <x:v>8</x:v>
      </x:c>
      <x:c r="K7154" s="11" t="n">
        <x:f>CHOOSE('假设'!$B$3,H7154,I7154,J7154)</x:f>
        <x:v>4.5</x:v>
      </x:c>
      <x:c r="L7154" s="11" t="n">
        <x:f>K7154*'管线假设'!E1527*'管线假设'!F1527*'管线假设'!G1527*IF(E7154="USD",'管线假设'!I1527,1)-AM7154</x:f>
        <x:v>1.8080999999999998</x:v>
      </x:c>
      <x:c r="M7154" s="11" t="n">
        <x:f>'管线假设'!H1527</x:f>
        <x:v>0.14</x:v>
      </x:c>
      <x:c r="N7154" s="11" t="n">
        <x:f>IF(G7154,L7154*AN7154/(1+M7154)^F7154,0)</x:f>
        <x:v>0.7013234931076844</x:v>
      </x:c>
      <x:c r="AJ7154" s="42" t="n">
        <x:v>0</x:v>
      </x:c>
      <x:c r="AK7154" s="42" t="n">
        <x:v>0</x:v>
      </x:c>
      <x:c r="AL7154" s="42" t="n">
        <x:v>0</x:v>
      </x:c>
      <x:c r="AM7154" t="n">
        <x:f>CHOOSE('假设'!$B$3,AJ7154,AK7154,AL7154)</x:f>
        <x:v>0</x:v>
      </x:c>
      <x:c r="AN7154" t="n">
        <x:v>1</x:v>
      </x:c>
    </x:row>
    <x:row r="7155" ht="23" customHeight="1">
      <x:c r="A7155" s="11" t="str">
        <x:v>09995.HK</x:v>
      </x:c>
      <x:c r="B7155" s="11" t="str">
        <x:v>五年</x:v>
      </x:c>
      <x:c r="C7155" s="11" t="str">
        <x:v>RC148_foreign</x:v>
      </x:c>
      <x:c r="D7155" s="11" t="str">
        <x:v>2039-12-31</x:v>
      </x:c>
      <x:c r="E7155" s="11" t="str">
        <x:v>USD</x:v>
      </x:c>
      <x:c r="F7155" s="11" t="n">
        <x:v>8.227241615331964</x:v>
      </x:c>
      <x:c r="G7155" s="26" t="b">
        <x:v>1</x:v>
      </x:c>
      <x:c r="H7155" s="16" t="n">
        <x:v>1.9</x:v>
      </x:c>
      <x:c r="I7155" s="16" t="n">
        <x:v>4</x:v>
      </x:c>
      <x:c r="J7155" s="16" t="n">
        <x:v>6.5</x:v>
      </x:c>
      <x:c r="K7155" s="11" t="n">
        <x:f>CHOOSE('假设'!$B$3,H7155,I7155,J7155)</x:f>
        <x:v>4</x:v>
      </x:c>
      <x:c r="L7155" s="11" t="n">
        <x:f>K7155*'管线假设'!E1527*'管线假设'!F1527*'管线假设'!G1527*IF(E7155="USD",'管线假设'!I1527,1)-AM7155</x:f>
        <x:v>1.6072</x:v>
      </x:c>
      <x:c r="M7155" s="11" t="n">
        <x:f>'管线假设'!H1527</x:f>
        <x:v>0.14</x:v>
      </x:c>
      <x:c r="N7155" s="11" t="n">
        <x:f>IF(G7155,L7155*AN7155/(1+M7155)^F7155,0)</x:f>
        <x:v>0.5468899753565729</x:v>
      </x:c>
      <x:c r="AJ7155" s="42" t="n">
        <x:v>0</x:v>
      </x:c>
      <x:c r="AK7155" s="42" t="n">
        <x:v>0</x:v>
      </x:c>
      <x:c r="AL7155" s="42" t="n">
        <x:v>0</x:v>
      </x:c>
      <x:c r="AM7155" t="n">
        <x:f>CHOOSE('假设'!$B$3,AJ7155,AK7155,AL7155)</x:f>
        <x:v>0</x:v>
      </x:c>
      <x:c r="AN7155" t="n">
        <x:v>1</x:v>
      </x:c>
    </x:row>
    <x:row r="7156" ht="23" customHeight="1">
      <x:c r="A7156" s="11" t="str">
        <x:v>09995.HK</x:v>
      </x:c>
      <x:c r="B7156" s="11" t="str">
        <x:v>五年</x:v>
      </x:c>
      <x:c r="C7156" s="11" t="str">
        <x:v>RC148_foreign</x:v>
      </x:c>
      <x:c r="D7156" s="11" t="str">
        <x:v>2040-12-31</x:v>
      </x:c>
      <x:c r="E7156" s="11" t="str">
        <x:v>USD</x:v>
      </x:c>
      <x:c r="F7156" s="11" t="n">
        <x:v>9.229295003422314</x:v>
      </x:c>
      <x:c r="G7156" s="26" t="b">
        <x:v>1</x:v>
      </x:c>
      <x:c r="H7156" s="16" t="n">
        <x:v>1.8</x:v>
      </x:c>
      <x:c r="I7156" s="16" t="n">
        <x:v>3.25</x:v>
      </x:c>
      <x:c r="J7156" s="16" t="n">
        <x:v>5</x:v>
      </x:c>
      <x:c r="K7156" s="11" t="n">
        <x:f>CHOOSE('假设'!$B$3,H7156,I7156,J7156)</x:f>
        <x:v>3.25</x:v>
      </x:c>
      <x:c r="L7156" s="11" t="n">
        <x:f>K7156*'管线假设'!E1527*'管线假设'!F1527*'管线假设'!G1527*IF(E7156="USD",'管线假设'!I1527,1)-AM7156</x:f>
        <x:v>1.30585</x:v>
      </x:c>
      <x:c r="M7156" s="11" t="n">
        <x:f>'管线假设'!H1527</x:f>
        <x:v>0.14</x:v>
      </x:c>
      <x:c r="N7156" s="11" t="n">
        <x:f>IF(G7156,L7156*AN7156/(1+M7156)^F7156,0)</x:f>
        <x:v>0.389674182779447</x:v>
      </x:c>
      <x:c r="AJ7156" s="42" t="n">
        <x:v>0</x:v>
      </x:c>
      <x:c r="AK7156" s="42" t="n">
        <x:v>0</x:v>
      </x:c>
      <x:c r="AL7156" s="42" t="n">
        <x:v>0</x:v>
      </x:c>
      <x:c r="AM7156" t="n">
        <x:f>CHOOSE('假设'!$B$3,AJ7156,AK7156,AL7156)</x:f>
        <x:v>0</x:v>
      </x:c>
      <x:c r="AN7156" t="n">
        <x:v>1</x:v>
      </x:c>
    </x:row>
    <x:row r="7157" ht="23" customHeight="1">
      <x:c r="A7157" s="11" t="str">
        <x:v>09995.HK</x:v>
      </x:c>
      <x:c r="B7157" s="11" t="str">
        <x:v>五年</x:v>
      </x:c>
      <x:c r="C7157" s="11" t="str">
        <x:v>RC148_foreign</x:v>
      </x:c>
      <x:c r="D7157" s="11" t="str">
        <x:v>2041-12-31</x:v>
      </x:c>
      <x:c r="E7157" s="11" t="str">
        <x:v>USD</x:v>
      </x:c>
      <x:c r="F7157" s="11" t="n">
        <x:v>10.22861054072553</x:v>
      </x:c>
      <x:c r="G7157" s="26" t="b">
        <x:v>1</x:v>
      </x:c>
      <x:c r="H7157" s="16" t="n">
        <x:v>1.6</x:v>
      </x:c>
      <x:c r="I7157" s="16" t="n">
        <x:v>2.5</x:v>
      </x:c>
      <x:c r="J7157" s="16" t="n">
        <x:v>3.5</x:v>
      </x:c>
      <x:c r="K7157" s="11" t="n">
        <x:f>CHOOSE('假设'!$B$3,H7157,I7157,J7157)</x:f>
        <x:v>2.5</x:v>
      </x:c>
      <x:c r="L7157" s="11" t="n">
        <x:f>K7157*'管线假设'!E1527*'管线假设'!F1527*'管线假设'!G1527*IF(E7157="USD",'管线假设'!I1527,1)-AM7157</x:f>
        <x:v>1.0045</x:v>
      </x:c>
      <x:c r="M7157" s="11" t="n">
        <x:f>'管线假设'!H1527</x:f>
        <x:v>0.14</x:v>
      </x:c>
      <x:c r="N7157" s="11" t="n">
        <x:f>IF(G7157,L7157*AN7157/(1+M7157)^F7157,0)</x:f>
        <x:v>0.26296162744236856</x:v>
      </x:c>
      <x:c r="AJ7157" s="42" t="n">
        <x:v>0</x:v>
      </x:c>
      <x:c r="AK7157" s="42" t="n">
        <x:v>0</x:v>
      </x:c>
      <x:c r="AL7157" s="42" t="n">
        <x:v>0</x:v>
      </x:c>
      <x:c r="AM7157" t="n">
        <x:f>CHOOSE('假设'!$B$3,AJ7157,AK7157,AL7157)</x:f>
        <x:v>0</x:v>
      </x:c>
      <x:c r="AN7157" t="n">
        <x:v>1</x:v>
      </x:c>
    </x:row>
    <x:row r="7158" ht="23" customHeight="1">
      <x:c r="A7158" s="11" t="str">
        <x:v>09995.HK</x:v>
      </x:c>
      <x:c r="B7158" s="11" t="str">
        <x:v>五年</x:v>
      </x:c>
      <x:c r="C7158" s="11" t="str">
        <x:v>RC148_foreign</x:v>
      </x:c>
      <x:c r="D7158" s="11" t="str">
        <x:v>2042-12-31</x:v>
      </x:c>
      <x:c r="E7158" s="11" t="str">
        <x:v>USD</x:v>
      </x:c>
      <x:c r="F7158" s="11" t="n">
        <x:v>11.227926078028748</x:v>
      </x:c>
      <x:c r="G7158" s="26" t="b">
        <x:v>1</x:v>
      </x:c>
      <x:c r="H7158" s="16" t="n">
        <x:v>1.3</x:v>
      </x:c>
      <x:c r="I7158" s="16" t="n">
        <x:v>1.75</x:v>
      </x:c>
      <x:c r="J7158" s="16" t="n">
        <x:v>2</x:v>
      </x:c>
      <x:c r="K7158" s="11" t="n">
        <x:f>CHOOSE('假设'!$B$3,H7158,I7158,J7158)</x:f>
        <x:v>1.75</x:v>
      </x:c>
      <x:c r="L7158" s="11" t="n">
        <x:f>K7158*'管线假设'!E1527*'管线假设'!F1527*'管线假设'!G1527*IF(E7158="USD",'管线假设'!I1527,1)-AM7158</x:f>
        <x:v>0.7031499999999999</x:v>
      </x:c>
      <x:c r="M7158" s="11" t="n">
        <x:f>'管线假设'!H1527</x:f>
        <x:v>0.14</x:v>
      </x:c>
      <x:c r="N7158" s="11" t="n">
        <x:f>IF(G7158,L7158*AN7158/(1+M7158)^F7158,0)</x:f>
        <x:v>0.16148214768211083</x:v>
      </x:c>
      <x:c r="AJ7158" s="42" t="n">
        <x:v>0</x:v>
      </x:c>
      <x:c r="AK7158" s="42" t="n">
        <x:v>0</x:v>
      </x:c>
      <x:c r="AL7158" s="42" t="n">
        <x:v>0</x:v>
      </x:c>
      <x:c r="AM7158" t="n">
        <x:f>CHOOSE('假设'!$B$3,AJ7158,AK7158,AL7158)</x:f>
        <x:v>0</x:v>
      </x:c>
      <x:c r="AN7158" t="n">
        <x:v>1</x:v>
      </x:c>
    </x:row>
    <x:row r="7159" ht="23" customHeight="1">
      <x:c r="A7159" s="11" t="str">
        <x:v>09995.HK</x:v>
      </x:c>
      <x:c r="B7159" s="11" t="str">
        <x:v>五年</x:v>
      </x:c>
      <x:c r="C7159" s="11" t="str">
        <x:v>RC148_foreign</x:v>
      </x:c>
      <x:c r="D7159" s="11" t="str">
        <x:v>2043-12-31</x:v>
      </x:c>
      <x:c r="E7159" s="11" t="str">
        <x:v>USD</x:v>
      </x:c>
      <x:c r="F7159" s="11" t="n">
        <x:v>12.227241615331964</x:v>
      </x:c>
      <x:c r="G7159" s="26" t="b">
        <x:v>1</x:v>
      </x:c>
      <x:c r="H7159" s="16" t="n">
        <x:v>1</x:v>
      </x:c>
      <x:c r="I7159" s="16" t="n">
        <x:v>1</x:v>
      </x:c>
      <x:c r="J7159" s="16" t="n">
        <x:v>1.2</x:v>
      </x:c>
      <x:c r="K7159" s="11" t="n">
        <x:f>CHOOSE('假设'!$B$3,H7159,I7159,J7159)</x:f>
        <x:v>1</x:v>
      </x:c>
      <x:c r="L7159" s="11" t="n">
        <x:f>K7159*'管线假设'!E1527*'管线假设'!F1527*'管线假设'!G1527*IF(E7159="USD",'管线假设'!I1527,1)-AM7159</x:f>
        <x:v>0.4018</x:v>
      </x:c>
      <x:c r="M7159" s="11" t="n">
        <x:f>'管线假设'!H1527</x:f>
        <x:v>0.14</x:v>
      </x:c>
      <x:c r="N7159" s="11" t="n">
        <x:f>IF(G7159,L7159*AN7159/(1+M7159)^F7159,0)</x:f>
        <x:v>0.08095069207502394</x:v>
      </x:c>
      <x:c r="AJ7159" s="42" t="n">
        <x:v>0</x:v>
      </x:c>
      <x:c r="AK7159" s="42" t="n">
        <x:v>0</x:v>
      </x:c>
      <x:c r="AL7159" s="42" t="n">
        <x:v>0</x:v>
      </x:c>
      <x:c r="AM7159" t="n">
        <x:f>CHOOSE('假设'!$B$3,AJ7159,AK7159,AL7159)</x:f>
        <x:v>0</x:v>
      </x:c>
      <x:c r="AN7159" t="n">
        <x:v>1</x:v>
      </x:c>
    </x:row>
    <x:row r="7160" ht="23" customHeight="1">
      <x:c r="A7160" s="11" t="str">
        <x:v>09995.HK</x:v>
      </x:c>
      <x:c r="B7160" s="11" t="str">
        <x:v>五年</x:v>
      </x:c>
      <x:c r="C7160" s="11" t="str">
        <x:v>RC148_foreign</x:v>
      </x:c>
      <x:c r="D7160" s="11" t="str">
        <x:v>2044-12-31</x:v>
      </x:c>
      <x:c r="E7160" s="11" t="str">
        <x:v>USD</x:v>
      </x:c>
      <x:c r="F7160" s="11" t="n">
        <x:v>13.229295003422314</x:v>
      </x:c>
      <x:c r="G7160" s="26" t="b">
        <x:v>1</x:v>
      </x:c>
      <x:c r="H7160" s="16" t="n">
        <x:v>0.7</x:v>
      </x:c>
      <x:c r="I7160" s="16" t="n">
        <x:v>0.6</x:v>
      </x:c>
      <x:c r="J7160" s="16" t="n">
        <x:v>0.7000000000000001</x:v>
      </x:c>
      <x:c r="K7160" s="11" t="n">
        <x:f>CHOOSE('假设'!$B$3,H7160,I7160,J7160)</x:f>
        <x:v>0.6</x:v>
      </x:c>
      <x:c r="L7160" s="11" t="n">
        <x:f>K7160*'管线假设'!E1527*'管线假设'!F1527*'管线假设'!G1527*IF(E7160="USD",'管线假设'!I1527,1)-AM7160</x:f>
        <x:v>0.24108</x:v>
      </x:c>
      <x:c r="M7160" s="11" t="n">
        <x:f>'管线假设'!H1527</x:f>
        <x:v>0.14</x:v>
      </x:c>
      <x:c r="N7160" s="11" t="n">
        <x:f>IF(G7160,L7160*AN7160/(1+M7160)^F7160,0)</x:f>
        <x:v>0.04259416582597973</x:v>
      </x:c>
      <x:c r="AJ7160" s="42" t="n">
        <x:v>0</x:v>
      </x:c>
      <x:c r="AK7160" s="42" t="n">
        <x:v>0</x:v>
      </x:c>
      <x:c r="AL7160" s="42" t="n">
        <x:v>0</x:v>
      </x:c>
      <x:c r="AM7160" t="n">
        <x:f>CHOOSE('假设'!$B$3,AJ7160,AK7160,AL7160)</x:f>
        <x:v>0</x:v>
      </x:c>
      <x:c r="AN7160" t="n">
        <x:v>1</x:v>
      </x:c>
    </x:row>
    <x:row r="7161" ht="23" customHeight="1">
      <x:c r="A7161" s="11" t="str">
        <x:v>09995.HK</x:v>
      </x:c>
      <x:c r="B7161" s="11" t="str">
        <x:v>五年</x:v>
      </x:c>
      <x:c r="C7161" s="11" t="str">
        <x:v>RC18_foreign</x:v>
      </x:c>
      <x:c r="D7161" s="11" t="str">
        <x:v>2026-12-31</x:v>
      </x:c>
      <x:c r="E7161" s="11" t="str">
        <x:v>USD</x:v>
      </x:c>
      <x:c r="F7161" s="11" t="n">
        <x:v>-4.772073921971253</x:v>
      </x:c>
      <x:c r="G7161" s="26" t="b">
        <x:v>0</x:v>
      </x:c>
      <x:c r="H7161" s="16" t="n">
        <x:v>0</x:v>
      </x:c>
      <x:c r="I7161" s="16" t="n">
        <x:v>0</x:v>
      </x:c>
      <x:c r="J7161" s="16" t="n">
        <x:v>0</x:v>
      </x:c>
      <x:c r="K7161" s="11" t="n">
        <x:f>CHOOSE('假设'!$B$3,H7161,I7161,J7161)</x:f>
        <x:v>0</x:v>
      </x:c>
      <x:c r="L7161" s="11" t="n">
        <x:f>K7161*'管线假设'!E1531*'管线假设'!F1531*'管线假设'!G1531*IF(E7161="USD",'管线假设'!I1531,1)-AM7161</x:f>
        <x:v>-0.049</x:v>
      </x:c>
      <x:c r="M7161" s="11" t="n">
        <x:f>'管线假设'!H1531</x:f>
        <x:v>0.14</x:v>
      </x:c>
      <x:c r="N7161" s="11" t="n">
        <x:f>IF(G7161,L7161*AN7161/(1+M7161)^F7161,0)</x:f>
        <x:v>0</x:v>
      </x:c>
      <x:c r="AJ7161" s="42" t="n">
        <x:v>0.021</x:v>
      </x:c>
      <x:c r="AK7161" s="42" t="n">
        <x:v>0.049</x:v>
      </x:c>
      <x:c r="AL7161" s="42" t="n">
        <x:v>0.084</x:v>
      </x:c>
      <x:c r="AM7161" t="n">
        <x:f>CHOOSE('假设'!$B$3,AJ7161,AK7161,AL7161)</x:f>
        <x:v>0.049</x:v>
      </x:c>
      <x:c r="AN7161" t="n">
        <x:v>0</x:v>
      </x:c>
    </x:row>
    <x:row r="7162" ht="23" customHeight="1">
      <x:c r="A7162" s="11" t="str">
        <x:v>09995.HK</x:v>
      </x:c>
      <x:c r="B7162" s="11" t="str">
        <x:v>五年</x:v>
      </x:c>
      <x:c r="C7162" s="11" t="str">
        <x:v>RC18_foreign</x:v>
      </x:c>
      <x:c r="D7162" s="11" t="str">
        <x:v>2027-12-31</x:v>
      </x:c>
      <x:c r="E7162" s="11" t="str">
        <x:v>USD</x:v>
      </x:c>
      <x:c r="F7162" s="11" t="n">
        <x:v>-3.7727583846680357</x:v>
      </x:c>
      <x:c r="G7162" s="26" t="b">
        <x:v>0</x:v>
      </x:c>
      <x:c r="H7162" s="16" t="n">
        <x:v>0</x:v>
      </x:c>
      <x:c r="I7162" s="16" t="n">
        <x:v>0</x:v>
      </x:c>
      <x:c r="J7162" s="16" t="n">
        <x:v>0</x:v>
      </x:c>
      <x:c r="K7162" s="11" t="n">
        <x:f>CHOOSE('假设'!$B$3,H7162,I7162,J7162)</x:f>
        <x:v>0</x:v>
      </x:c>
      <x:c r="L7162" s="11" t="n">
        <x:f>K7162*'管线假设'!E1531*'管线假设'!F1531*'管线假设'!G1531*IF(E7162="USD",'管线假设'!I1531,1)-AM7162</x:f>
        <x:v>0</x:v>
      </x:c>
      <x:c r="M7162" s="11" t="n">
        <x:f>'管线假设'!H1531</x:f>
        <x:v>0.14</x:v>
      </x:c>
      <x:c r="N7162" s="11" t="n">
        <x:f>IF(G7162,L7162*AN7162/(1+M7162)^F7162,0)</x:f>
        <x:v>0</x:v>
      </x:c>
      <x:c r="AJ7162" s="42" t="n">
        <x:v>0</x:v>
      </x:c>
      <x:c r="AK7162" s="42" t="n">
        <x:v>0</x:v>
      </x:c>
      <x:c r="AL7162" s="42" t="n">
        <x:v>0</x:v>
      </x:c>
      <x:c r="AM7162" t="n">
        <x:f>CHOOSE('假设'!$B$3,AJ7162,AK7162,AL7162)</x:f>
        <x:v>0</x:v>
      </x:c>
      <x:c r="AN7162" t="n">
        <x:v>0</x:v>
      </x:c>
    </x:row>
    <x:row r="7163" ht="23" customHeight="1">
      <x:c r="A7163" s="11" t="str">
        <x:v>09995.HK</x:v>
      </x:c>
      <x:c r="B7163" s="11" t="str">
        <x:v>五年</x:v>
      </x:c>
      <x:c r="C7163" s="11" t="str">
        <x:v>RC18_foreign</x:v>
      </x:c>
      <x:c r="D7163" s="11" t="str">
        <x:v>2028-12-31</x:v>
      </x:c>
      <x:c r="E7163" s="11" t="str">
        <x:v>USD</x:v>
      </x:c>
      <x:c r="F7163" s="11" t="n">
        <x:v>-2.7707049965776864</x:v>
      </x:c>
      <x:c r="G7163" s="26" t="b">
        <x:v>0</x:v>
      </x:c>
      <x:c r="H7163" s="16" t="n">
        <x:v>0</x:v>
      </x:c>
      <x:c r="I7163" s="16" t="n">
        <x:v>0.18</x:v>
      </x:c>
      <x:c r="J7163" s="16" t="n">
        <x:v>0.36</x:v>
      </x:c>
      <x:c r="K7163" s="11" t="n">
        <x:f>CHOOSE('假设'!$B$3,H7163,I7163,J7163)</x:f>
        <x:v>0.18</x:v>
      </x:c>
      <x:c r="L7163" s="11" t="n">
        <x:f>K7163*'管线假设'!E1531*'管线假设'!F1531*'管线假设'!G1531*IF(E7163="USD",'管线假设'!I1531,1)-AM7163</x:f>
        <x:v>0.06819119999999998</x:v>
      </x:c>
      <x:c r="M7163" s="11" t="n">
        <x:f>'管线假设'!H1531</x:f>
        <x:v>0.14</x:v>
      </x:c>
      <x:c r="N7163" s="11" t="n">
        <x:f>IF(G7163,L7163*AN7163/(1+M7163)^F7163,0)</x:f>
        <x:v>0</x:v>
      </x:c>
      <x:c r="AJ7163" s="42" t="n">
        <x:v>0</x:v>
      </x:c>
      <x:c r="AK7163" s="42" t="n">
        <x:v>0</x:v>
      </x:c>
      <x:c r="AL7163" s="42" t="n">
        <x:v>0</x:v>
      </x:c>
      <x:c r="AM7163" t="n">
        <x:f>CHOOSE('假设'!$B$3,AJ7163,AK7163,AL7163)</x:f>
        <x:v>0</x:v>
      </x:c>
      <x:c r="AN7163" t="n">
        <x:v>0</x:v>
      </x:c>
    </x:row>
    <x:row r="7164" ht="23" customHeight="1">
      <x:c r="A7164" s="11" t="str">
        <x:v>09995.HK</x:v>
      </x:c>
      <x:c r="B7164" s="11" t="str">
        <x:v>五年</x:v>
      </x:c>
      <x:c r="C7164" s="11" t="str">
        <x:v>RC18_foreign</x:v>
      </x:c>
      <x:c r="D7164" s="11" t="str">
        <x:v>2029-12-31</x:v>
      </x:c>
      <x:c r="E7164" s="11" t="str">
        <x:v>USD</x:v>
      </x:c>
      <x:c r="F7164" s="11" t="n">
        <x:v>-1.7713894592744694</x:v>
      </x:c>
      <x:c r="G7164" s="26" t="b">
        <x:v>0</x:v>
      </x:c>
      <x:c r="H7164" s="16" t="n">
        <x:v>0</x:v>
      </x:c>
      <x:c r="I7164" s="16" t="n">
        <x:v>0.54</x:v>
      </x:c>
      <x:c r="J7164" s="16" t="n">
        <x:v>1.08</x:v>
      </x:c>
      <x:c r="K7164" s="11" t="n">
        <x:f>CHOOSE('假设'!$B$3,H7164,I7164,J7164)</x:f>
        <x:v>0.54</x:v>
      </x:c>
      <x:c r="L7164" s="11" t="n">
        <x:f>K7164*'管线假设'!E1531*'管线假设'!F1531*'管线假设'!G1531*IF(E7164="USD",'管线假设'!I1531,1)-AM7164</x:f>
        <x:v>0.2045736</x:v>
      </x:c>
      <x:c r="M7164" s="11" t="n">
        <x:f>'管线假设'!H1531</x:f>
        <x:v>0.14</x:v>
      </x:c>
      <x:c r="N7164" s="11" t="n">
        <x:f>IF(G7164,L7164*AN7164/(1+M7164)^F7164,0)</x:f>
        <x:v>0</x:v>
      </x:c>
      <x:c r="AJ7164" s="42" t="n">
        <x:v>0</x:v>
      </x:c>
      <x:c r="AK7164" s="42" t="n">
        <x:v>0</x:v>
      </x:c>
      <x:c r="AL7164" s="42" t="n">
        <x:v>0</x:v>
      </x:c>
      <x:c r="AM7164" t="n">
        <x:f>CHOOSE('假设'!$B$3,AJ7164,AK7164,AL7164)</x:f>
        <x:v>0</x:v>
      </x:c>
      <x:c r="AN7164" t="n">
        <x:v>0</x:v>
      </x:c>
    </x:row>
    <x:row r="7165" ht="23" customHeight="1">
      <x:c r="A7165" s="11" t="str">
        <x:v>09995.HK</x:v>
      </x:c>
      <x:c r="B7165" s="11" t="str">
        <x:v>五年</x:v>
      </x:c>
      <x:c r="C7165" s="11" t="str">
        <x:v>RC18_foreign</x:v>
      </x:c>
      <x:c r="D7165" s="11" t="str">
        <x:v>2030-12-31</x:v>
      </x:c>
      <x:c r="E7165" s="11" t="str">
        <x:v>USD</x:v>
      </x:c>
      <x:c r="F7165" s="11" t="n">
        <x:v>-0.7720739219712526</x:v>
      </x:c>
      <x:c r="G7165" s="26" t="b">
        <x:v>0</x:v>
      </x:c>
      <x:c r="H7165" s="16" t="n">
        <x:v>0</x:v>
      </x:c>
      <x:c r="I7165" s="16" t="n">
        <x:v>1.1400000000000001</x:v>
      </x:c>
      <x:c r="J7165" s="16" t="n">
        <x:v>2.2800000000000002</x:v>
      </x:c>
      <x:c r="K7165" s="11" t="n">
        <x:f>CHOOSE('假设'!$B$3,H7165,I7165,J7165)</x:f>
        <x:v>1.1400000000000001</x:v>
      </x:c>
      <x:c r="L7165" s="11" t="n">
        <x:f>K7165*'管线假设'!E1531*'管线假设'!F1531*'管线假设'!G1531*IF(E7165="USD",'管线假设'!I1531,1)-AM7165</x:f>
        <x:v>0.4318776</x:v>
      </x:c>
      <x:c r="M7165" s="11" t="n">
        <x:f>'管线假设'!H1531</x:f>
        <x:v>0.14</x:v>
      </x:c>
      <x:c r="N7165" s="11" t="n">
        <x:f>IF(G7165,L7165*AN7165/(1+M7165)^F7165,0)</x:f>
        <x:v>0</x:v>
      </x:c>
      <x:c r="AJ7165" s="42" t="n">
        <x:v>0</x:v>
      </x:c>
      <x:c r="AK7165" s="42" t="n">
        <x:v>0</x:v>
      </x:c>
      <x:c r="AL7165" s="42" t="n">
        <x:v>0</x:v>
      </x:c>
      <x:c r="AM7165" t="n">
        <x:f>CHOOSE('假设'!$B$3,AJ7165,AK7165,AL7165)</x:f>
        <x:v>0</x:v>
      </x:c>
      <x:c r="AN7165" t="n">
        <x:v>0</x:v>
      </x:c>
    </x:row>
    <x:row r="7166" ht="23" customHeight="1">
      <x:c r="A7166" s="11" t="str">
        <x:v>09995.HK</x:v>
      </x:c>
      <x:c r="B7166" s="11" t="str">
        <x:v>五年</x:v>
      </x:c>
      <x:c r="C7166" s="11" t="str">
        <x:v>RC18_foreign</x:v>
      </x:c>
      <x:c r="D7166" s="11" t="str">
        <x:v>2031-12-31</x:v>
      </x:c>
      <x:c r="E7166" s="11" t="str">
        <x:v>USD</x:v>
      </x:c>
      <x:c r="F7166" s="11" t="n">
        <x:v>0.2272416153319644</x:v>
      </x:c>
      <x:c r="G7166" s="26" t="b">
        <x:v>1</x:v>
      </x:c>
      <x:c r="H7166" s="16" t="n">
        <x:v>0.06</x:v>
      </x:c>
      <x:c r="I7166" s="16" t="n">
        <x:v>1.9500000000000002</x:v>
      </x:c>
      <x:c r="J7166" s="16" t="n">
        <x:v>3.9000000000000004</x:v>
      </x:c>
      <x:c r="K7166" s="11" t="n">
        <x:f>CHOOSE('假设'!$B$3,H7166,I7166,J7166)</x:f>
        <x:v>1.9500000000000002</x:v>
      </x:c>
      <x:c r="L7166" s="11" t="n">
        <x:f>K7166*'管线假设'!E1531*'管线假设'!F1531*'管线假设'!G1531*IF(E7166="USD",'管线假设'!I1531,1)-AM7166</x:f>
        <x:v>0.738738</x:v>
      </x:c>
      <x:c r="M7166" s="11" t="n">
        <x:f>'管线假设'!H1531</x:f>
        <x:v>0.14</x:v>
      </x:c>
      <x:c r="N7166" s="11" t="n">
        <x:f>IF(G7166,L7166*AN7166/(1+M7166)^F7166,0)</x:f>
        <x:v>0.1635068672672861</x:v>
      </x:c>
      <x:c r="AJ7166" s="42" t="n">
        <x:v>0</x:v>
      </x:c>
      <x:c r="AK7166" s="42" t="n">
        <x:v>0</x:v>
      </x:c>
      <x:c r="AL7166" s="42" t="n">
        <x:v>0</x:v>
      </x:c>
      <x:c r="AM7166" t="n">
        <x:f>CHOOSE('假设'!$B$3,AJ7166,AK7166,AL7166)</x:f>
        <x:v>0</x:v>
      </x:c>
      <x:c r="AN7166" t="n">
        <x:v>0.22802197802197802</x:v>
      </x:c>
    </x:row>
    <x:row r="7167" ht="23" customHeight="1">
      <x:c r="A7167" s="11" t="str">
        <x:v>09995.HK</x:v>
      </x:c>
      <x:c r="B7167" s="11" t="str">
        <x:v>五年</x:v>
      </x:c>
      <x:c r="C7167" s="11" t="str">
        <x:v>RC18_foreign</x:v>
      </x:c>
      <x:c r="D7167" s="11" t="str">
        <x:v>2032-12-31</x:v>
      </x:c>
      <x:c r="E7167" s="11" t="str">
        <x:v>USD</x:v>
      </x:c>
      <x:c r="F7167" s="11" t="n">
        <x:v>1.2292950034223136</x:v>
      </x:c>
      <x:c r="G7167" s="26" t="b">
        <x:v>1</x:v>
      </x:c>
      <x:c r="H7167" s="16" t="n">
        <x:v>0.18</x:v>
      </x:c>
      <x:c r="I7167" s="16" t="n">
        <x:v>2.55</x:v>
      </x:c>
      <x:c r="J7167" s="16" t="n">
        <x:v>5.1</x:v>
      </x:c>
      <x:c r="K7167" s="11" t="n">
        <x:f>CHOOSE('假设'!$B$3,H7167,I7167,J7167)</x:f>
        <x:v>2.55</x:v>
      </x:c>
      <x:c r="L7167" s="11" t="n">
        <x:f>K7167*'管线假设'!E1531*'管线假设'!F1531*'管线假设'!G1531*IF(E7167="USD",'管线假设'!I1531,1)-AM7167</x:f>
        <x:v>0.9660419999999997</x:v>
      </x:c>
      <x:c r="M7167" s="11" t="n">
        <x:f>'管线假设'!H1531</x:f>
        <x:v>0.14</x:v>
      </x:c>
      <x:c r="N7167" s="11" t="n">
        <x:f>IF(G7167,L7167*AN7167/(1+M7167)^F7167,0)</x:f>
        <x:v>0.8223243661527444</x:v>
      </x:c>
      <x:c r="AJ7167" s="42" t="n">
        <x:v>0</x:v>
      </x:c>
      <x:c r="AK7167" s="42" t="n">
        <x:v>0</x:v>
      </x:c>
      <x:c r="AL7167" s="42" t="n">
        <x:v>0</x:v>
      </x:c>
      <x:c r="AM7167" t="n">
        <x:f>CHOOSE('假设'!$B$3,AJ7167,AK7167,AL7167)</x:f>
        <x:v>0</x:v>
      </x:c>
      <x:c r="AN7167" t="n">
        <x:v>1</x:v>
      </x:c>
    </x:row>
    <x:row r="7168" ht="23" customHeight="1">
      <x:c r="A7168" s="11" t="str">
        <x:v>09995.HK</x:v>
      </x:c>
      <x:c r="B7168" s="11" t="str">
        <x:v>五年</x:v>
      </x:c>
      <x:c r="C7168" s="11" t="str">
        <x:v>RC18_foreign</x:v>
      </x:c>
      <x:c r="D7168" s="11" t="str">
        <x:v>2033-12-31</x:v>
      </x:c>
      <x:c r="E7168" s="11" t="str">
        <x:v>USD</x:v>
      </x:c>
      <x:c r="F7168" s="11" t="n">
        <x:v>2.2286105407255303</x:v>
      </x:c>
      <x:c r="G7168" s="26" t="b">
        <x:v>1</x:v>
      </x:c>
      <x:c r="H7168" s="16" t="n">
        <x:v>0.38</x:v>
      </x:c>
      <x:c r="I7168" s="16" t="n">
        <x:v>3</x:v>
      </x:c>
      <x:c r="J7168" s="16" t="n">
        <x:v>6</x:v>
      </x:c>
      <x:c r="K7168" s="11" t="n">
        <x:f>CHOOSE('假设'!$B$3,H7168,I7168,J7168)</x:f>
        <x:v>3</x:v>
      </x:c>
      <x:c r="L7168" s="11" t="n">
        <x:f>K7168*'管线假设'!E1531*'管线假设'!F1531*'管线假设'!G1531*IF(E7168="USD",'管线假设'!I1531,1)-AM7168</x:f>
        <x:v>1.1365199999999998</x:v>
      </x:c>
      <x:c r="M7168" s="11" t="n">
        <x:f>'管线假设'!H1531</x:f>
        <x:v>0.14</x:v>
      </x:c>
      <x:c r="N7168" s="11" t="n">
        <x:f>IF(G7168,L7168*AN7168/(1+M7168)^F7168,0)</x:f>
        <x:v>0.8487080688995811</x:v>
      </x:c>
      <x:c r="AJ7168" s="42" t="n">
        <x:v>0</x:v>
      </x:c>
      <x:c r="AK7168" s="42" t="n">
        <x:v>0</x:v>
      </x:c>
      <x:c r="AL7168" s="42" t="n">
        <x:v>0</x:v>
      </x:c>
      <x:c r="AM7168" t="n">
        <x:f>CHOOSE('假设'!$B$3,AJ7168,AK7168,AL7168)</x:f>
        <x:v>0</x:v>
      </x:c>
      <x:c r="AN7168" t="n">
        <x:v>1</x:v>
      </x:c>
    </x:row>
    <x:row r="7169" ht="23" customHeight="1">
      <x:c r="A7169" s="11" t="str">
        <x:v>09995.HK</x:v>
      </x:c>
      <x:c r="B7169" s="11" t="str">
        <x:v>五年</x:v>
      </x:c>
      <x:c r="C7169" s="11" t="str">
        <x:v>RC18_foreign</x:v>
      </x:c>
      <x:c r="D7169" s="11" t="str">
        <x:v>2034-12-31</x:v>
      </x:c>
      <x:c r="E7169" s="11" t="str">
        <x:v>USD</x:v>
      </x:c>
      <x:c r="F7169" s="11" t="n">
        <x:v>3.2279260780287475</x:v>
      </x:c>
      <x:c r="G7169" s="26" t="b">
        <x:v>1</x:v>
      </x:c>
      <x:c r="H7169" s="16" t="n">
        <x:v>0.65</x:v>
      </x:c>
      <x:c r="I7169" s="16" t="n">
        <x:v>3</x:v>
      </x:c>
      <x:c r="J7169" s="16" t="n">
        <x:v>6</x:v>
      </x:c>
      <x:c r="K7169" s="11" t="n">
        <x:f>CHOOSE('假设'!$B$3,H7169,I7169,J7169)</x:f>
        <x:v>3</x:v>
      </x:c>
      <x:c r="L7169" s="11" t="n">
        <x:f>K7169*'管线假设'!E1531*'管线假设'!F1531*'管线假设'!G1531*IF(E7169="USD",'管线假设'!I1531,1)-AM7169</x:f>
        <x:v>1.1365199999999998</x:v>
      </x:c>
      <x:c r="M7169" s="11" t="n">
        <x:f>'管线假设'!H1531</x:f>
        <x:v>0.14</x:v>
      </x:c>
      <x:c r="N7169" s="11" t="n">
        <x:f>IF(G7169,L7169*AN7169/(1+M7169)^F7169,0)</x:f>
        <x:v>0.744547533168003</x:v>
      </x:c>
      <x:c r="AJ7169" s="42" t="n">
        <x:v>0</x:v>
      </x:c>
      <x:c r="AK7169" s="42" t="n">
        <x:v>0</x:v>
      </x:c>
      <x:c r="AL7169" s="42" t="n">
        <x:v>0</x:v>
      </x:c>
      <x:c r="AM7169" t="n">
        <x:f>CHOOSE('假设'!$B$3,AJ7169,AK7169,AL7169)</x:f>
        <x:v>0</x:v>
      </x:c>
      <x:c r="AN7169" t="n">
        <x:v>1</x:v>
      </x:c>
    </x:row>
    <x:row r="7170" ht="23" customHeight="1">
      <x:c r="A7170" s="11" t="str">
        <x:v>09995.HK</x:v>
      </x:c>
      <x:c r="B7170" s="11" t="str">
        <x:v>五年</x:v>
      </x:c>
      <x:c r="C7170" s="11" t="str">
        <x:v>RC18_foreign</x:v>
      </x:c>
      <x:c r="D7170" s="11" t="str">
        <x:v>2035-12-31</x:v>
      </x:c>
      <x:c r="E7170" s="11" t="str">
        <x:v>USD</x:v>
      </x:c>
      <x:c r="F7170" s="11" t="n">
        <x:v>4.227241615331964</x:v>
      </x:c>
      <x:c r="G7170" s="26" t="b">
        <x:v>1</x:v>
      </x:c>
      <x:c r="H7170" s="16" t="n">
        <x:v>0.85</x:v>
      </x:c>
      <x:c r="I7170" s="16" t="n">
        <x:v>2.8499999999999996</x:v>
      </x:c>
      <x:c r="J7170" s="16" t="n">
        <x:v>5.699999999999999</x:v>
      </x:c>
      <x:c r="K7170" s="11" t="n">
        <x:f>CHOOSE('假设'!$B$3,H7170,I7170,J7170)</x:f>
        <x:v>2.8499999999999996</x:v>
      </x:c>
      <x:c r="L7170" s="11" t="n">
        <x:f>K7170*'管线假设'!E1531*'管线假设'!F1531*'管线假设'!G1531*IF(E7170="USD",'管线假设'!I1531,1)-AM7170</x:f>
        <x:v>1.0796939999999997</x:v>
      </x:c>
      <x:c r="M7170" s="11" t="n">
        <x:f>'管线假设'!H1531</x:f>
        <x:v>0.14</x:v>
      </x:c>
      <x:c r="N7170" s="11" t="n">
        <x:f>IF(G7170,L7170*AN7170/(1+M7170)^F7170,0)</x:f>
        <x:v>0.6205119251099541</x:v>
      </x:c>
      <x:c r="AJ7170" s="42" t="n">
        <x:v>0</x:v>
      </x:c>
      <x:c r="AK7170" s="42" t="n">
        <x:v>0</x:v>
      </x:c>
      <x:c r="AL7170" s="42" t="n">
        <x:v>0</x:v>
      </x:c>
      <x:c r="AM7170" t="n">
        <x:f>CHOOSE('假设'!$B$3,AJ7170,AK7170,AL7170)</x:f>
        <x:v>0</x:v>
      </x:c>
      <x:c r="AN7170" t="n">
        <x:v>1</x:v>
      </x:c>
    </x:row>
    <x:row r="7171" ht="23" customHeight="1">
      <x:c r="A7171" s="11" t="str">
        <x:v>09995.HK</x:v>
      </x:c>
      <x:c r="B7171" s="11" t="str">
        <x:v>五年</x:v>
      </x:c>
      <x:c r="C7171" s="11" t="str">
        <x:v>RC18_foreign</x:v>
      </x:c>
      <x:c r="D7171" s="11" t="str">
        <x:v>2036-12-31</x:v>
      </x:c>
      <x:c r="E7171" s="11" t="str">
        <x:v>USD</x:v>
      </x:c>
      <x:c r="F7171" s="11" t="n">
        <x:v>5.229295003422314</x:v>
      </x:c>
      <x:c r="G7171" s="26" t="b">
        <x:v>1</x:v>
      </x:c>
      <x:c r="H7171" s="16" t="n">
        <x:v>1</x:v>
      </x:c>
      <x:c r="I7171" s="16" t="n">
        <x:v>2.7</x:v>
      </x:c>
      <x:c r="J7171" s="16" t="n">
        <x:v>5.4</x:v>
      </x:c>
      <x:c r="K7171" s="11" t="n">
        <x:f>CHOOSE('假设'!$B$3,H7171,I7171,J7171)</x:f>
        <x:v>2.7</x:v>
      </x:c>
      <x:c r="L7171" s="11" t="n">
        <x:f>K7171*'管线假设'!E1531*'管线假设'!F1531*'管线假设'!G1531*IF(E7171="USD",'管线假设'!I1531,1)-AM7171</x:f>
        <x:v>1.022868</x:v>
      </x:c>
      <x:c r="M7171" s="11" t="n">
        <x:f>'管线假设'!H1531</x:f>
        <x:v>0.14</x:v>
      </x:c>
      <x:c r="N7171" s="11" t="n">
        <x:f>IF(G7171,L7171*AN7171/(1+M7171)^F7171,0)</x:f>
        <x:v>0.515522158729393</x:v>
      </x:c>
      <x:c r="AJ7171" s="42" t="n">
        <x:v>0</x:v>
      </x:c>
      <x:c r="AK7171" s="42" t="n">
        <x:v>0</x:v>
      </x:c>
      <x:c r="AL7171" s="42" t="n">
        <x:v>0</x:v>
      </x:c>
      <x:c r="AM7171" t="n">
        <x:f>CHOOSE('假设'!$B$3,AJ7171,AK7171,AL7171)</x:f>
        <x:v>0</x:v>
      </x:c>
      <x:c r="AN7171" t="n">
        <x:v>1</x:v>
      </x:c>
    </x:row>
    <x:row r="7172" ht="23" customHeight="1">
      <x:c r="A7172" s="11" t="str">
        <x:v>09995.HK</x:v>
      </x:c>
      <x:c r="B7172" s="11" t="str">
        <x:v>五年</x:v>
      </x:c>
      <x:c r="C7172" s="11" t="str">
        <x:v>RC18_foreign</x:v>
      </x:c>
      <x:c r="D7172" s="11" t="str">
        <x:v>2037-12-31</x:v>
      </x:c>
      <x:c r="E7172" s="11" t="str">
        <x:v>USD</x:v>
      </x:c>
      <x:c r="F7172" s="11" t="n">
        <x:v>6.228610540725531</x:v>
      </x:c>
      <x:c r="G7172" s="26" t="b">
        <x:v>1</x:v>
      </x:c>
      <x:c r="H7172" s="16" t="n">
        <x:v>1</x:v>
      </x:c>
      <x:c r="I7172" s="16" t="n">
        <x:v>2.4000000000000004</x:v>
      </x:c>
      <x:c r="J7172" s="16" t="n">
        <x:v>4.800000000000001</x:v>
      </x:c>
      <x:c r="K7172" s="11" t="n">
        <x:f>CHOOSE('假设'!$B$3,H7172,I7172,J7172)</x:f>
        <x:v>2.4000000000000004</x:v>
      </x:c>
      <x:c r="L7172" s="11" t="n">
        <x:f>K7172*'管线假设'!E1531*'管线假设'!F1531*'管线假设'!G1531*IF(E7172="USD",'管线假设'!I1531,1)-AM7172</x:f>
        <x:v>0.909216</x:v>
      </x:c>
      <x:c r="M7172" s="11" t="n">
        <x:f>'管线假设'!H1531</x:f>
        <x:v>0.14</x:v>
      </x:c>
      <x:c r="N7172" s="11" t="n">
        <x:f>IF(G7172,L7172*AN7172/(1+M7172)^F7172,0)</x:f>
        <x:v>0.40200264707230554</x:v>
      </x:c>
      <x:c r="AJ7172" s="42" t="n">
        <x:v>0</x:v>
      </x:c>
      <x:c r="AK7172" s="42" t="n">
        <x:v>0</x:v>
      </x:c>
      <x:c r="AL7172" s="42" t="n">
        <x:v>0</x:v>
      </x:c>
      <x:c r="AM7172" t="n">
        <x:f>CHOOSE('假设'!$B$3,AJ7172,AK7172,AL7172)</x:f>
        <x:v>0</x:v>
      </x:c>
      <x:c r="AN7172" t="n">
        <x:v>1</x:v>
      </x:c>
    </x:row>
    <x:row r="7173" ht="23" customHeight="1">
      <x:c r="A7173" s="11" t="str">
        <x:v>09995.HK</x:v>
      </x:c>
      <x:c r="B7173" s="11" t="str">
        <x:v>五年</x:v>
      </x:c>
      <x:c r="C7173" s="11" t="str">
        <x:v>RC18_foreign</x:v>
      </x:c>
      <x:c r="D7173" s="11" t="str">
        <x:v>2038-12-31</x:v>
      </x:c>
      <x:c r="E7173" s="11" t="str">
        <x:v>USD</x:v>
      </x:c>
      <x:c r="F7173" s="11" t="n">
        <x:v>7.227926078028747</x:v>
      </x:c>
      <x:c r="G7173" s="26" t="b">
        <x:v>1</x:v>
      </x:c>
      <x:c r="H7173" s="16" t="n">
        <x:v>0.95</x:v>
      </x:c>
      <x:c r="I7173" s="16" t="n">
        <x:v>1.9500000000000002</x:v>
      </x:c>
      <x:c r="J7173" s="16" t="n">
        <x:v>3.9000000000000004</x:v>
      </x:c>
      <x:c r="K7173" s="11" t="n">
        <x:f>CHOOSE('假设'!$B$3,H7173,I7173,J7173)</x:f>
        <x:v>1.9500000000000002</x:v>
      </x:c>
      <x:c r="L7173" s="11" t="n">
        <x:f>K7173*'管线假设'!E1531*'管线假设'!F1531*'管线假设'!G1531*IF(E7173="USD",'管线假设'!I1531,1)-AM7173</x:f>
        <x:v>0.738738</x:v>
      </x:c>
      <x:c r="M7173" s="11" t="n">
        <x:f>'管线假设'!H1531</x:f>
        <x:v>0.14</x:v>
      </x:c>
      <x:c r="N7173" s="11" t="n">
        <x:f>IF(G7173,L7173*AN7173/(1+M7173)^F7173,0)</x:f>
        <x:v>0.2865407414697111</x:v>
      </x:c>
      <x:c r="AJ7173" s="42" t="n">
        <x:v>0</x:v>
      </x:c>
      <x:c r="AK7173" s="42" t="n">
        <x:v>0</x:v>
      </x:c>
      <x:c r="AL7173" s="42" t="n">
        <x:v>0</x:v>
      </x:c>
      <x:c r="AM7173" t="n">
        <x:f>CHOOSE('假设'!$B$3,AJ7173,AK7173,AL7173)</x:f>
        <x:v>0</x:v>
      </x:c>
      <x:c r="AN7173" t="n">
        <x:v>1</x:v>
      </x:c>
    </x:row>
    <x:row r="7174" ht="23" customHeight="1">
      <x:c r="A7174" s="11" t="str">
        <x:v>09995.HK</x:v>
      </x:c>
      <x:c r="B7174" s="11" t="str">
        <x:v>五年</x:v>
      </x:c>
      <x:c r="C7174" s="11" t="str">
        <x:v>RC18_foreign</x:v>
      </x:c>
      <x:c r="D7174" s="11" t="str">
        <x:v>2039-12-31</x:v>
      </x:c>
      <x:c r="E7174" s="11" t="str">
        <x:v>USD</x:v>
      </x:c>
      <x:c r="F7174" s="11" t="n">
        <x:v>8.227241615331964</x:v>
      </x:c>
      <x:c r="G7174" s="26" t="b">
        <x:v>1</x:v>
      </x:c>
      <x:c r="H7174" s="16" t="n">
        <x:v>0.9</x:v>
      </x:c>
      <x:c r="I7174" s="16" t="n">
        <x:v>1.5</x:v>
      </x:c>
      <x:c r="J7174" s="16" t="n">
        <x:v>3</x:v>
      </x:c>
      <x:c r="K7174" s="11" t="n">
        <x:f>CHOOSE('假设'!$B$3,H7174,I7174,J7174)</x:f>
        <x:v>1.5</x:v>
      </x:c>
      <x:c r="L7174" s="11" t="n">
        <x:f>K7174*'管线假设'!E1531*'管线假设'!F1531*'管线假设'!G1531*IF(E7174="USD",'管线假设'!I1531,1)-AM7174</x:f>
        <x:v>0.5682599999999999</x:v>
      </x:c>
      <x:c r="M7174" s="11" t="n">
        <x:f>'管线假设'!H1531</x:f>
        <x:v>0.14</x:v>
      </x:c>
      <x:c r="N7174" s="11" t="n">
        <x:f>IF(G7174,L7174*AN7174/(1+M7174)^F7174,0)</x:f>
        <x:v>0.1933646698582168</x:v>
      </x:c>
      <x:c r="AJ7174" s="42" t="n">
        <x:v>0</x:v>
      </x:c>
      <x:c r="AK7174" s="42" t="n">
        <x:v>0</x:v>
      </x:c>
      <x:c r="AL7174" s="42" t="n">
        <x:v>0</x:v>
      </x:c>
      <x:c r="AM7174" t="n">
        <x:f>CHOOSE('假设'!$B$3,AJ7174,AK7174,AL7174)</x:f>
        <x:v>0</x:v>
      </x:c>
      <x:c r="AN7174" t="n">
        <x:v>1</x:v>
      </x:c>
    </x:row>
    <x:row r="7175" ht="23" customHeight="1">
      <x:c r="A7175" s="11" t="str">
        <x:v>09995.HK</x:v>
      </x:c>
      <x:c r="B7175" s="11" t="str">
        <x:v>五年</x:v>
      </x:c>
      <x:c r="C7175" s="11" t="str">
        <x:v>RC18_foreign</x:v>
      </x:c>
      <x:c r="D7175" s="11" t="str">
        <x:v>2040-12-31</x:v>
      </x:c>
      <x:c r="E7175" s="11" t="str">
        <x:v>USD</x:v>
      </x:c>
      <x:c r="F7175" s="11" t="n">
        <x:v>9.229295003422314</x:v>
      </x:c>
      <x:c r="G7175" s="26" t="b">
        <x:v>1</x:v>
      </x:c>
      <x:c r="H7175" s="16" t="n">
        <x:v>0.8</x:v>
      </x:c>
      <x:c r="I7175" s="16" t="n">
        <x:v>1.0499999999999998</x:v>
      </x:c>
      <x:c r="J7175" s="16" t="n">
        <x:v>2.0999999999999996</x:v>
      </x:c>
      <x:c r="K7175" s="11" t="n">
        <x:f>CHOOSE('假设'!$B$3,H7175,I7175,J7175)</x:f>
        <x:v>1.0499999999999998</x:v>
      </x:c>
      <x:c r="L7175" s="11" t="n">
        <x:f>K7175*'管线假设'!E1531*'管线假设'!F1531*'管线假设'!G1531*IF(E7175="USD",'管线假设'!I1531,1)-AM7175</x:f>
        <x:v>0.39778199999999986</x:v>
      </x:c>
      <x:c r="M7175" s="11" t="n">
        <x:f>'管线假设'!H1531</x:f>
        <x:v>0.14</x:v>
      </x:c>
      <x:c r="N7175" s="11" t="n">
        <x:f>IF(G7175,L7175*AN7175/(1+M7175)^F7175,0)</x:f>
        <x:v>0.11870075106204689</x:v>
      </x:c>
      <x:c r="AJ7175" s="42" t="n">
        <x:v>0</x:v>
      </x:c>
      <x:c r="AK7175" s="42" t="n">
        <x:v>0</x:v>
      </x:c>
      <x:c r="AL7175" s="42" t="n">
        <x:v>0</x:v>
      </x:c>
      <x:c r="AM7175" t="n">
        <x:f>CHOOSE('假设'!$B$3,AJ7175,AK7175,AL7175)</x:f>
        <x:v>0</x:v>
      </x:c>
      <x:c r="AN7175" t="n">
        <x:v>1</x:v>
      </x:c>
    </x:row>
    <x:row r="7176" ht="23" customHeight="1">
      <x:c r="A7176" s="11" t="str">
        <x:v>09995.HK</x:v>
      </x:c>
      <x:c r="B7176" s="11" t="str">
        <x:v>五年</x:v>
      </x:c>
      <x:c r="C7176" s="11" t="str">
        <x:v>RC18_foreign</x:v>
      </x:c>
      <x:c r="D7176" s="11" t="str">
        <x:v>2041-12-31</x:v>
      </x:c>
      <x:c r="E7176" s="11" t="str">
        <x:v>USD</x:v>
      </x:c>
      <x:c r="F7176" s="11" t="n">
        <x:v>10.22861054072553</x:v>
      </x:c>
      <x:c r="G7176" s="26" t="b">
        <x:v>1</x:v>
      </x:c>
      <x:c r="H7176" s="16" t="n">
        <x:v>0.65</x:v>
      </x:c>
      <x:c r="I7176" s="16" t="n">
        <x:v>0.6000000000000001</x:v>
      </x:c>
      <x:c r="J7176" s="16" t="n">
        <x:v>1.2000000000000002</x:v>
      </x:c>
      <x:c r="K7176" s="11" t="n">
        <x:f>CHOOSE('假设'!$B$3,H7176,I7176,J7176)</x:f>
        <x:v>0.6000000000000001</x:v>
      </x:c>
      <x:c r="L7176" s="11" t="n">
        <x:f>K7176*'管线假设'!E1531*'管线假设'!F1531*'管线假设'!G1531*IF(E7176="USD",'管线假设'!I1531,1)-AM7176</x:f>
        <x:v>0.227304</x:v>
      </x:c>
      <x:c r="M7176" s="11" t="n">
        <x:f>'管线假设'!H1531</x:f>
        <x:v>0.14</x:v>
      </x:c>
      <x:c r="N7176" s="11" t="n">
        <x:f>IF(G7176,L7176*AN7176/(1+M7176)^F7176,0)</x:f>
        <x:v>0.05950445969553027</x:v>
      </x:c>
      <x:c r="AJ7176" s="42" t="n">
        <x:v>0</x:v>
      </x:c>
      <x:c r="AK7176" s="42" t="n">
        <x:v>0</x:v>
      </x:c>
      <x:c r="AL7176" s="42" t="n">
        <x:v>0</x:v>
      </x:c>
      <x:c r="AM7176" t="n">
        <x:f>CHOOSE('假设'!$B$3,AJ7176,AK7176,AL7176)</x:f>
        <x:v>0</x:v>
      </x:c>
      <x:c r="AN7176" t="n">
        <x:v>1</x:v>
      </x:c>
    </x:row>
    <x:row r="7177" ht="23" customHeight="1">
      <x:c r="A7177" s="11" t="str">
        <x:v>09995.HK</x:v>
      </x:c>
      <x:c r="B7177" s="11" t="str">
        <x:v>五年</x:v>
      </x:c>
      <x:c r="C7177" s="11" t="str">
        <x:v>RC18_foreign</x:v>
      </x:c>
      <x:c r="D7177" s="11" t="str">
        <x:v>2042-12-31</x:v>
      </x:c>
      <x:c r="E7177" s="11" t="str">
        <x:v>USD</x:v>
      </x:c>
      <x:c r="F7177" s="11" t="n">
        <x:v>11.227926078028748</x:v>
      </x:c>
      <x:c r="G7177" s="26" t="b">
        <x:v>1</x:v>
      </x:c>
      <x:c r="H7177" s="16" t="n">
        <x:v>0.5</x:v>
      </x:c>
      <x:c r="I7177" s="16" t="n">
        <x:v>0.36</x:v>
      </x:c>
      <x:c r="J7177" s="16" t="n">
        <x:v>0.72</x:v>
      </x:c>
      <x:c r="K7177" s="11" t="n">
        <x:f>CHOOSE('假设'!$B$3,H7177,I7177,J7177)</x:f>
        <x:v>0.36</x:v>
      </x:c>
      <x:c r="L7177" s="11" t="n">
        <x:f>K7177*'管线假设'!E1531*'管线假设'!F1531*'管线假设'!G1531*IF(E7177="USD",'管线假设'!I1531,1)-AM7177</x:f>
        <x:v>0.13638239999999996</x:v>
      </x:c>
      <x:c r="M7177" s="11" t="n">
        <x:f>'管线假设'!H1531</x:f>
        <x:v>0.14</x:v>
      </x:c>
      <x:c r="N7177" s="11" t="n">
        <x:f>IF(G7177,L7177*AN7177/(1+M7177)^F7177,0)</x:f>
        <x:v>0.031320945542260836</x:v>
      </x:c>
      <x:c r="AJ7177" s="42" t="n">
        <x:v>0</x:v>
      </x:c>
      <x:c r="AK7177" s="42" t="n">
        <x:v>0</x:v>
      </x:c>
      <x:c r="AL7177" s="42" t="n">
        <x:v>0</x:v>
      </x:c>
      <x:c r="AM7177" t="n">
        <x:f>CHOOSE('假设'!$B$3,AJ7177,AK7177,AL7177)</x:f>
        <x:v>0</x:v>
      </x:c>
      <x:c r="AN7177" t="n">
        <x:v>1</x:v>
      </x:c>
    </x:row>
    <x:row r="7178" ht="23" customHeight="1">
      <x:c r="A7178" s="11" t="str">
        <x:v>09995.HK</x:v>
      </x:c>
      <x:c r="B7178" s="11" t="str">
        <x:v>五年</x:v>
      </x:c>
      <x:c r="C7178" s="11" t="str">
        <x:v>RC18_foreign</x:v>
      </x:c>
      <x:c r="D7178" s="11" t="str">
        <x:v>2043-12-31</x:v>
      </x:c>
      <x:c r="E7178" s="11" t="str">
        <x:v>USD</x:v>
      </x:c>
      <x:c r="F7178" s="11" t="n">
        <x:v>12.227241615331964</x:v>
      </x:c>
      <x:c r="G7178" s="26" t="b">
        <x:v>1</x:v>
      </x:c>
      <x:c r="H7178" s="16" t="n">
        <x:v>0.35</x:v>
      </x:c>
      <x:c r="I7178" s="16" t="n">
        <x:v>0.21000000000000002</x:v>
      </x:c>
      <x:c r="J7178" s="16" t="n">
        <x:v>0.42000000000000004</x:v>
      </x:c>
      <x:c r="K7178" s="11" t="n">
        <x:f>CHOOSE('假设'!$B$3,H7178,I7178,J7178)</x:f>
        <x:v>0.21000000000000002</x:v>
      </x:c>
      <x:c r="L7178" s="11" t="n">
        <x:f>K7178*'管线假设'!E1531*'管线假设'!F1531*'管线假设'!G1531*IF(E7178="USD",'管线假设'!I1531,1)-AM7178</x:f>
        <x:v>0.0795564</x:v>
      </x:c>
      <x:c r="M7178" s="11" t="n">
        <x:f>'管线假设'!H1531</x:f>
        <x:v>0.14</x:v>
      </x:c>
      <x:c r="N7178" s="11" t="n">
        <x:f>IF(G7178,L7178*AN7178/(1+M7178)^F7178,0)</x:f>
        <x:v>0.01602823703085474</x:v>
      </x:c>
      <x:c r="AJ7178" s="42" t="n">
        <x:v>0</x:v>
      </x:c>
      <x:c r="AK7178" s="42" t="n">
        <x:v>0</x:v>
      </x:c>
      <x:c r="AL7178" s="42" t="n">
        <x:v>0</x:v>
      </x:c>
      <x:c r="AM7178" t="n">
        <x:f>CHOOSE('假设'!$B$3,AJ7178,AK7178,AL7178)</x:f>
        <x:v>0</x:v>
      </x:c>
      <x:c r="AN7178" t="n">
        <x:v>1</x:v>
      </x:c>
    </x:row>
    <x:row r="7179" ht="23" customHeight="1">
      <x:c r="A7179" s="11" t="str">
        <x:v>09995.HK</x:v>
      </x:c>
      <x:c r="B7179" s="11" t="str">
        <x:v>五年</x:v>
      </x:c>
      <x:c r="C7179" s="11" t="str">
        <x:v>RC18_foreign</x:v>
      </x:c>
      <x:c r="D7179" s="11" t="str">
        <x:v>2044-12-31</x:v>
      </x:c>
      <x:c r="E7179" s="11" t="str">
        <x:v>USD</x:v>
      </x:c>
      <x:c r="F7179" s="11" t="n">
        <x:v>13.229295003422314</x:v>
      </x:c>
      <x:c r="G7179" s="26" t="b">
        <x:v>1</x:v>
      </x:c>
      <x:c r="H7179" s="16" t="n">
        <x:v>0.2</x:v>
      </x:c>
      <x:c r="I7179" s="16" t="n">
        <x:v>0.09</x:v>
      </x:c>
      <x:c r="J7179" s="16" t="n">
        <x:v>0.18</x:v>
      </x:c>
      <x:c r="K7179" s="11" t="n">
        <x:f>CHOOSE('假设'!$B$3,H7179,I7179,J7179)</x:f>
        <x:v>0.09</x:v>
      </x:c>
      <x:c r="L7179" s="11" t="n">
        <x:f>K7179*'管线假设'!E1531*'管线假设'!F1531*'管线假设'!G1531*IF(E7179="USD",'管线假设'!I1531,1)-AM7179</x:f>
        <x:v>0.03409559999999999</x:v>
      </x:c>
      <x:c r="M7179" s="11" t="n">
        <x:f>'管线假设'!H1531</x:f>
        <x:v>0.14</x:v>
      </x:c>
      <x:c r="N7179" s="11" t="n">
        <x:f>IF(G7179,L7179*AN7179/(1+M7179)^F7179,0)</x:f>
        <x:v>0.00602403202395999</x:v>
      </x:c>
      <x:c r="AJ7179" s="42" t="n">
        <x:v>0</x:v>
      </x:c>
      <x:c r="AK7179" s="42" t="n">
        <x:v>0</x:v>
      </x:c>
      <x:c r="AL7179" s="42" t="n">
        <x:v>0</x:v>
      </x:c>
      <x:c r="AM7179" t="n">
        <x:f>CHOOSE('假设'!$B$3,AJ7179,AK7179,AL7179)</x:f>
        <x:v>0</x:v>
      </x:c>
      <x:c r="AN7179" t="n">
        <x:v>1</x:v>
      </x:c>
    </x:row>
    <x:row r="7180" ht="23" customHeight="1">
      <x:c r="A7180" s="11" t="str">
        <x:v>09995.HK</x:v>
      </x:c>
      <x:c r="B7180" s="11" t="str">
        <x:v>五年</x:v>
      </x:c>
      <x:c r="C7180" s="11" t="str">
        <x:v>RC48_foreign</x:v>
      </x:c>
      <x:c r="D7180" s="11" t="str">
        <x:v>2026-12-31</x:v>
      </x:c>
      <x:c r="E7180" s="11" t="str">
        <x:v>USD</x:v>
      </x:c>
      <x:c r="F7180" s="11" t="n">
        <x:v>-4.772073921971253</x:v>
      </x:c>
      <x:c r="G7180" s="26" t="b">
        <x:v>0</x:v>
      </x:c>
      <x:c r="H7180" s="16" t="n">
        <x:v>0</x:v>
      </x:c>
      <x:c r="I7180" s="16" t="n">
        <x:v>0</x:v>
      </x:c>
      <x:c r="J7180" s="16" t="n">
        <x:v>0</x:v>
      </x:c>
      <x:c r="K7180" s="11" t="n">
        <x:f>CHOOSE('假设'!$B$3,H7180,I7180,J7180)</x:f>
        <x:v>0</x:v>
      </x:c>
      <x:c r="L7180" s="11" t="n">
        <x:f>K7180*'管线假设'!E1535*'管线假设'!F1535*'管线假设'!G1535*IF(E7180="USD",'管线假设'!I1535,1)-AM7180</x:f>
        <x:v>-0.049</x:v>
      </x:c>
      <x:c r="M7180" s="11" t="n">
        <x:f>'管线假设'!H1535</x:f>
        <x:v>0.14</x:v>
      </x:c>
      <x:c r="N7180" s="11" t="n">
        <x:f>IF(G7180,L7180*AN7180/(1+M7180)^F7180,0)</x:f>
        <x:v>0</x:v>
      </x:c>
      <x:c r="AJ7180" s="42" t="n">
        <x:v>0.021</x:v>
      </x:c>
      <x:c r="AK7180" s="42" t="n">
        <x:v>0.049</x:v>
      </x:c>
      <x:c r="AL7180" s="42" t="n">
        <x:v>0.084</x:v>
      </x:c>
      <x:c r="AM7180" t="n">
        <x:f>CHOOSE('假设'!$B$3,AJ7180,AK7180,AL7180)</x:f>
        <x:v>0.049</x:v>
      </x:c>
      <x:c r="AN7180" t="n">
        <x:v>0</x:v>
      </x:c>
    </x:row>
    <x:row r="7181" ht="23" customHeight="1">
      <x:c r="A7181" s="11" t="str">
        <x:v>09995.HK</x:v>
      </x:c>
      <x:c r="B7181" s="11" t="str">
        <x:v>五年</x:v>
      </x:c>
      <x:c r="C7181" s="11" t="str">
        <x:v>RC48_foreign</x:v>
      </x:c>
      <x:c r="D7181" s="11" t="str">
        <x:v>2027-12-31</x:v>
      </x:c>
      <x:c r="E7181" s="11" t="str">
        <x:v>USD</x:v>
      </x:c>
      <x:c r="F7181" s="11" t="n">
        <x:v>-3.7727583846680357</x:v>
      </x:c>
      <x:c r="G7181" s="26" t="b">
        <x:v>0</x:v>
      </x:c>
      <x:c r="H7181" s="16" t="n">
        <x:v>0</x:v>
      </x:c>
      <x:c r="I7181" s="16" t="n">
        <x:v>0</x:v>
      </x:c>
      <x:c r="J7181" s="16" t="n">
        <x:v>0</x:v>
      </x:c>
      <x:c r="K7181" s="11" t="n">
        <x:f>CHOOSE('假设'!$B$3,H7181,I7181,J7181)</x:f>
        <x:v>0</x:v>
      </x:c>
      <x:c r="L7181" s="11" t="n">
        <x:f>K7181*'管线假设'!E1535*'管线假设'!F1535*'管线假设'!G1535*IF(E7181="USD",'管线假设'!I1535,1)-AM7181</x:f>
        <x:v>0</x:v>
      </x:c>
      <x:c r="M7181" s="11" t="n">
        <x:f>'管线假设'!H1535</x:f>
        <x:v>0.14</x:v>
      </x:c>
      <x:c r="N7181" s="11" t="n">
        <x:f>IF(G7181,L7181*AN7181/(1+M7181)^F7181,0)</x:f>
        <x:v>0</x:v>
      </x:c>
      <x:c r="AJ7181" s="42" t="n">
        <x:v>0</x:v>
      </x:c>
      <x:c r="AK7181" s="42" t="n">
        <x:v>0</x:v>
      </x:c>
      <x:c r="AL7181" s="42" t="n">
        <x:v>0</x:v>
      </x:c>
      <x:c r="AM7181" t="n">
        <x:f>CHOOSE('假设'!$B$3,AJ7181,AK7181,AL7181)</x:f>
        <x:v>0</x:v>
      </x:c>
      <x:c r="AN7181" t="n">
        <x:v>0</x:v>
      </x:c>
    </x:row>
    <x:row r="7182" ht="23" customHeight="1">
      <x:c r="A7182" s="11" t="str">
        <x:v>09995.HK</x:v>
      </x:c>
      <x:c r="B7182" s="11" t="str">
        <x:v>五年</x:v>
      </x:c>
      <x:c r="C7182" s="11" t="str">
        <x:v>RC48_foreign</x:v>
      </x:c>
      <x:c r="D7182" s="11" t="str">
        <x:v>2028-12-31</x:v>
      </x:c>
      <x:c r="E7182" s="11" t="str">
        <x:v>USD</x:v>
      </x:c>
      <x:c r="F7182" s="11" t="n">
        <x:v>-2.7707049965776864</x:v>
      </x:c>
      <x:c r="G7182" s="26" t="b">
        <x:v>0</x:v>
      </x:c>
      <x:c r="H7182" s="16" t="n">
        <x:v>0</x:v>
      </x:c>
      <x:c r="I7182" s="16" t="n">
        <x:v>0</x:v>
      </x:c>
      <x:c r="J7182" s="16" t="n">
        <x:v>0.24</x:v>
      </x:c>
      <x:c r="K7182" s="11" t="n">
        <x:f>CHOOSE('假设'!$B$3,H7182,I7182,J7182)</x:f>
        <x:v>0</x:v>
      </x:c>
      <x:c r="L7182" s="11" t="n">
        <x:f>K7182*'管线假设'!E1535*'管线假设'!F1535*'管线假设'!G1535*IF(E7182="USD",'管线假设'!I1535,1)-AM7182</x:f>
        <x:v>0</x:v>
      </x:c>
      <x:c r="M7182" s="11" t="n">
        <x:f>'管线假设'!H1535</x:f>
        <x:v>0.14</x:v>
      </x:c>
      <x:c r="N7182" s="11" t="n">
        <x:f>IF(G7182,L7182*AN7182/(1+M7182)^F7182,0)</x:f>
        <x:v>0</x:v>
      </x:c>
      <x:c r="AJ7182" s="42" t="n">
        <x:v>0</x:v>
      </x:c>
      <x:c r="AK7182" s="42" t="n">
        <x:v>0</x:v>
      </x:c>
      <x:c r="AL7182" s="42" t="n">
        <x:v>0</x:v>
      </x:c>
      <x:c r="AM7182" t="n">
        <x:f>CHOOSE('假设'!$B$3,AJ7182,AK7182,AL7182)</x:f>
        <x:v>0</x:v>
      </x:c>
      <x:c r="AN7182" t="n">
        <x:v>0</x:v>
      </x:c>
    </x:row>
    <x:row r="7183" ht="23" customHeight="1">
      <x:c r="A7183" s="11" t="str">
        <x:v>09995.HK</x:v>
      </x:c>
      <x:c r="B7183" s="11" t="str">
        <x:v>五年</x:v>
      </x:c>
      <x:c r="C7183" s="11" t="str">
        <x:v>RC48_foreign</x:v>
      </x:c>
      <x:c r="D7183" s="11" t="str">
        <x:v>2029-12-31</x:v>
      </x:c>
      <x:c r="E7183" s="11" t="str">
        <x:v>USD</x:v>
      </x:c>
      <x:c r="F7183" s="11" t="n">
        <x:v>-1.7713894592744694</x:v>
      </x:c>
      <x:c r="G7183" s="26" t="b">
        <x:v>0</x:v>
      </x:c>
      <x:c r="H7183" s="16" t="n">
        <x:v>0</x:v>
      </x:c>
      <x:c r="I7183" s="16" t="n">
        <x:v>0.15</x:v>
      </x:c>
      <x:c r="J7183" s="16" t="n">
        <x:v>0.72</x:v>
      </x:c>
      <x:c r="K7183" s="11" t="n">
        <x:f>CHOOSE('假设'!$B$3,H7183,I7183,J7183)</x:f>
        <x:v>0.15</x:v>
      </x:c>
      <x:c r="L7183" s="11" t="n">
        <x:f>K7183*'管线假设'!E1535*'管线假设'!F1535*'管线假设'!G1535*IF(E7183="USD",'管线假设'!I1535,1)-AM7183</x:f>
        <x:v>0.0520905</x:v>
      </x:c>
      <x:c r="M7183" s="11" t="n">
        <x:f>'管线假设'!H1535</x:f>
        <x:v>0.14</x:v>
      </x:c>
      <x:c r="N7183" s="11" t="n">
        <x:f>IF(G7183,L7183*AN7183/(1+M7183)^F7183,0)</x:f>
        <x:v>0</x:v>
      </x:c>
      <x:c r="AJ7183" s="42" t="n">
        <x:v>0</x:v>
      </x:c>
      <x:c r="AK7183" s="42" t="n">
        <x:v>0</x:v>
      </x:c>
      <x:c r="AL7183" s="42" t="n">
        <x:v>0</x:v>
      </x:c>
      <x:c r="AM7183" t="n">
        <x:f>CHOOSE('假设'!$B$3,AJ7183,AK7183,AL7183)</x:f>
        <x:v>0</x:v>
      </x:c>
      <x:c r="AN7183" t="n">
        <x:v>0</x:v>
      </x:c>
    </x:row>
    <x:row r="7184" ht="23" customHeight="1">
      <x:c r="A7184" s="11" t="str">
        <x:v>09995.HK</x:v>
      </x:c>
      <x:c r="B7184" s="11" t="str">
        <x:v>五年</x:v>
      </x:c>
      <x:c r="C7184" s="11" t="str">
        <x:v>RC48_foreign</x:v>
      </x:c>
      <x:c r="D7184" s="11" t="str">
        <x:v>2030-12-31</x:v>
      </x:c>
      <x:c r="E7184" s="11" t="str">
        <x:v>USD</x:v>
      </x:c>
      <x:c r="F7184" s="11" t="n">
        <x:v>-0.7720739219712526</x:v>
      </x:c>
      <x:c r="G7184" s="26" t="b">
        <x:v>0</x:v>
      </x:c>
      <x:c r="H7184" s="16" t="n">
        <x:v>0</x:v>
      </x:c>
      <x:c r="I7184" s="16" t="n">
        <x:v>0.44999999999999996</x:v>
      </x:c>
      <x:c r="J7184" s="16" t="n">
        <x:v>1.52</x:v>
      </x:c>
      <x:c r="K7184" s="11" t="n">
        <x:f>CHOOSE('假设'!$B$3,H7184,I7184,J7184)</x:f>
        <x:v>0.44999999999999996</x:v>
      </x:c>
      <x:c r="L7184" s="11" t="n">
        <x:f>K7184*'管线假设'!E1535*'管线假设'!F1535*'管线假设'!G1535*IF(E7184="USD",'管线假设'!I1535,1)-AM7184</x:f>
        <x:v>0.15627149999999998</x:v>
      </x:c>
      <x:c r="M7184" s="11" t="n">
        <x:f>'管线假设'!H1535</x:f>
        <x:v>0.14</x:v>
      </x:c>
      <x:c r="N7184" s="11" t="n">
        <x:f>IF(G7184,L7184*AN7184/(1+M7184)^F7184,0)</x:f>
        <x:v>0</x:v>
      </x:c>
      <x:c r="AJ7184" s="42" t="n">
        <x:v>0</x:v>
      </x:c>
      <x:c r="AK7184" s="42" t="n">
        <x:v>0</x:v>
      </x:c>
      <x:c r="AL7184" s="42" t="n">
        <x:v>0</x:v>
      </x:c>
      <x:c r="AM7184" t="n">
        <x:f>CHOOSE('假设'!$B$3,AJ7184,AK7184,AL7184)</x:f>
        <x:v>0</x:v>
      </x:c>
      <x:c r="AN7184" t="n">
        <x:v>0</x:v>
      </x:c>
    </x:row>
    <x:row r="7185" ht="23" customHeight="1">
      <x:c r="A7185" s="11" t="str">
        <x:v>09995.HK</x:v>
      </x:c>
      <x:c r="B7185" s="11" t="str">
        <x:v>五年</x:v>
      </x:c>
      <x:c r="C7185" s="11" t="str">
        <x:v>RC48_foreign</x:v>
      </x:c>
      <x:c r="D7185" s="11" t="str">
        <x:v>2031-12-31</x:v>
      </x:c>
      <x:c r="E7185" s="11" t="str">
        <x:v>USD</x:v>
      </x:c>
      <x:c r="F7185" s="11" t="n">
        <x:v>0.2272416153319644</x:v>
      </x:c>
      <x:c r="G7185" s="26" t="b">
        <x:v>1</x:v>
      </x:c>
      <x:c r="H7185" s="16" t="n">
        <x:v>0.06</x:v>
      </x:c>
      <x:c r="I7185" s="16" t="n">
        <x:v>0.95</x:v>
      </x:c>
      <x:c r="J7185" s="16" t="n">
        <x:v>2.6</x:v>
      </x:c>
      <x:c r="K7185" s="11" t="n">
        <x:f>CHOOSE('假设'!$B$3,H7185,I7185,J7185)</x:f>
        <x:v>0.95</x:v>
      </x:c>
      <x:c r="L7185" s="11" t="n">
        <x:f>K7185*'管线假设'!E1535*'管线假设'!F1535*'管线假设'!G1535*IF(E7185="USD",'管线假设'!I1535,1)-AM7185</x:f>
        <x:v>0.32990649999999994</x:v>
      </x:c>
      <x:c r="M7185" s="11" t="n">
        <x:f>'管线假设'!H1535</x:f>
        <x:v>0.14</x:v>
      </x:c>
      <x:c r="N7185" s="11" t="n">
        <x:f>IF(G7185,L7185*AN7185/(1+M7185)^F7185,0)</x:f>
        <x:v>0.0730190924334675</x:v>
      </x:c>
      <x:c r="AJ7185" s="42" t="n">
        <x:v>0</x:v>
      </x:c>
      <x:c r="AK7185" s="42" t="n">
        <x:v>0</x:v>
      </x:c>
      <x:c r="AL7185" s="42" t="n">
        <x:v>0</x:v>
      </x:c>
      <x:c r="AM7185" t="n">
        <x:f>CHOOSE('假设'!$B$3,AJ7185,AK7185,AL7185)</x:f>
        <x:v>0</x:v>
      </x:c>
      <x:c r="AN7185" t="n">
        <x:v>0.22802197802197802</x:v>
      </x:c>
    </x:row>
    <x:row r="7186" ht="23" customHeight="1">
      <x:c r="A7186" s="11" t="str">
        <x:v>09995.HK</x:v>
      </x:c>
      <x:c r="B7186" s="11" t="str">
        <x:v>五年</x:v>
      </x:c>
      <x:c r="C7186" s="11" t="str">
        <x:v>RC48_foreign</x:v>
      </x:c>
      <x:c r="D7186" s="11" t="str">
        <x:v>2032-12-31</x:v>
      </x:c>
      <x:c r="E7186" s="11" t="str">
        <x:v>USD</x:v>
      </x:c>
      <x:c r="F7186" s="11" t="n">
        <x:v>1.2292950034223136</x:v>
      </x:c>
      <x:c r="G7186" s="26" t="b">
        <x:v>1</x:v>
      </x:c>
      <x:c r="H7186" s="16" t="n">
        <x:v>0.18</x:v>
      </x:c>
      <x:c r="I7186" s="16" t="n">
        <x:v>1.625</x:v>
      </x:c>
      <x:c r="J7186" s="16" t="n">
        <x:v>3.4</x:v>
      </x:c>
      <x:c r="K7186" s="11" t="n">
        <x:f>CHOOSE('假设'!$B$3,H7186,I7186,J7186)</x:f>
        <x:v>1.625</x:v>
      </x:c>
      <x:c r="L7186" s="11" t="n">
        <x:f>K7186*'管线假设'!E1535*'管线假设'!F1535*'管线假设'!G1535*IF(E7186="USD",'管线假设'!I1535,1)-AM7186</x:f>
        <x:v>0.56431375</x:v>
      </x:c>
      <x:c r="M7186" s="11" t="n">
        <x:f>'管线假设'!H1535</x:f>
        <x:v>0.14</x:v>
      </x:c>
      <x:c r="N7186" s="11" t="n">
        <x:f>IF(G7186,L7186*AN7186/(1+M7186)^F7186,0)</x:f>
        <x:v>0.48036104722157874</x:v>
      </x:c>
      <x:c r="AJ7186" s="42" t="n">
        <x:v>0</x:v>
      </x:c>
      <x:c r="AK7186" s="42" t="n">
        <x:v>0</x:v>
      </x:c>
      <x:c r="AL7186" s="42" t="n">
        <x:v>0</x:v>
      </x:c>
      <x:c r="AM7186" t="n">
        <x:f>CHOOSE('假设'!$B$3,AJ7186,AK7186,AL7186)</x:f>
        <x:v>0</x:v>
      </x:c>
      <x:c r="AN7186" t="n">
        <x:v>1</x:v>
      </x:c>
    </x:row>
    <x:row r="7187" ht="23" customHeight="1">
      <x:c r="A7187" s="11" t="str">
        <x:v>09995.HK</x:v>
      </x:c>
      <x:c r="B7187" s="11" t="str">
        <x:v>五年</x:v>
      </x:c>
      <x:c r="C7187" s="11" t="str">
        <x:v>RC48_foreign</x:v>
      </x:c>
      <x:c r="D7187" s="11" t="str">
        <x:v>2033-12-31</x:v>
      </x:c>
      <x:c r="E7187" s="11" t="str">
        <x:v>USD</x:v>
      </x:c>
      <x:c r="F7187" s="11" t="n">
        <x:v>2.2286105407255303</x:v>
      </x:c>
      <x:c r="G7187" s="26" t="b">
        <x:v>1</x:v>
      </x:c>
      <x:c r="H7187" s="16" t="n">
        <x:v>0.38</x:v>
      </x:c>
      <x:c r="I7187" s="16" t="n">
        <x:v>2.125</x:v>
      </x:c>
      <x:c r="J7187" s="16" t="n">
        <x:v>4</x:v>
      </x:c>
      <x:c r="K7187" s="11" t="n">
        <x:f>CHOOSE('假设'!$B$3,H7187,I7187,J7187)</x:f>
        <x:v>2.125</x:v>
      </x:c>
      <x:c r="L7187" s="11" t="n">
        <x:f>K7187*'管线假设'!E1535*'管线假设'!F1535*'管线假设'!G1535*IF(E7187="USD",'管线假设'!I1535,1)-AM7187</x:f>
        <x:v>0.73794875</x:v>
      </x:c>
      <x:c r="M7187" s="11" t="n">
        <x:f>'管线假设'!H1535</x:f>
        <x:v>0.14</x:v>
      </x:c>
      <x:c r="N7187" s="11" t="n">
        <x:f>IF(G7187,L7187*AN7187/(1+M7187)^F7187,0)</x:f>
        <x:v>0.5510708641813253</x:v>
      </x:c>
      <x:c r="AJ7187" s="42" t="n">
        <x:v>0</x:v>
      </x:c>
      <x:c r="AK7187" s="42" t="n">
        <x:v>0</x:v>
      </x:c>
      <x:c r="AL7187" s="42" t="n">
        <x:v>0</x:v>
      </x:c>
      <x:c r="AM7187" t="n">
        <x:f>CHOOSE('假设'!$B$3,AJ7187,AK7187,AL7187)</x:f>
        <x:v>0</x:v>
      </x:c>
      <x:c r="AN7187" t="n">
        <x:v>1</x:v>
      </x:c>
    </x:row>
    <x:row r="7188" ht="23" customHeight="1">
      <x:c r="A7188" s="11" t="str">
        <x:v>09995.HK</x:v>
      </x:c>
      <x:c r="B7188" s="11" t="str">
        <x:v>五年</x:v>
      </x:c>
      <x:c r="C7188" s="11" t="str">
        <x:v>RC48_foreign</x:v>
      </x:c>
      <x:c r="D7188" s="11" t="str">
        <x:v>2034-12-31</x:v>
      </x:c>
      <x:c r="E7188" s="11" t="str">
        <x:v>USD</x:v>
      </x:c>
      <x:c r="F7188" s="11" t="n">
        <x:v>3.2279260780287475</x:v>
      </x:c>
      <x:c r="G7188" s="26" t="b">
        <x:v>1</x:v>
      </x:c>
      <x:c r="H7188" s="16" t="n">
        <x:v>0.65</x:v>
      </x:c>
      <x:c r="I7188" s="16" t="n">
        <x:v>2.5</x:v>
      </x:c>
      <x:c r="J7188" s="16" t="n">
        <x:v>4</x:v>
      </x:c>
      <x:c r="K7188" s="11" t="n">
        <x:f>CHOOSE('假设'!$B$3,H7188,I7188,J7188)</x:f>
        <x:v>2.5</x:v>
      </x:c>
      <x:c r="L7188" s="11" t="n">
        <x:f>K7188*'管线假设'!E1535*'管线假设'!F1535*'管线假设'!G1535*IF(E7188="USD",'管线假设'!I1535,1)-AM7188</x:f>
        <x:v>0.8681749999999999</x:v>
      </x:c>
      <x:c r="M7188" s="11" t="n">
        <x:f>'管线假设'!H1535</x:f>
        <x:v>0.14</x:v>
      </x:c>
      <x:c r="N7188" s="11" t="n">
        <x:f>IF(G7188,L7188*AN7188/(1+M7188)^F7188,0)</x:f>
        <x:v>0.568751587836669</x:v>
      </x:c>
      <x:c r="AJ7188" s="42" t="n">
        <x:v>0</x:v>
      </x:c>
      <x:c r="AK7188" s="42" t="n">
        <x:v>0</x:v>
      </x:c>
      <x:c r="AL7188" s="42" t="n">
        <x:v>0</x:v>
      </x:c>
      <x:c r="AM7188" t="n">
        <x:f>CHOOSE('假设'!$B$3,AJ7188,AK7188,AL7188)</x:f>
        <x:v>0</x:v>
      </x:c>
      <x:c r="AN7188" t="n">
        <x:v>1</x:v>
      </x:c>
    </x:row>
    <x:row r="7189" ht="23" customHeight="1">
      <x:c r="A7189" s="11" t="str">
        <x:v>09995.HK</x:v>
      </x:c>
      <x:c r="B7189" s="11" t="str">
        <x:v>五年</x:v>
      </x:c>
      <x:c r="C7189" s="11" t="str">
        <x:v>RC48_foreign</x:v>
      </x:c>
      <x:c r="D7189" s="11" t="str">
        <x:v>2035-12-31</x:v>
      </x:c>
      <x:c r="E7189" s="11" t="str">
        <x:v>USD</x:v>
      </x:c>
      <x:c r="F7189" s="11" t="n">
        <x:v>4.227241615331964</x:v>
      </x:c>
      <x:c r="G7189" s="26" t="b">
        <x:v>1</x:v>
      </x:c>
      <x:c r="H7189" s="16" t="n">
        <x:v>0.85</x:v>
      </x:c>
      <x:c r="I7189" s="16" t="n">
        <x:v>2.5</x:v>
      </x:c>
      <x:c r="J7189" s="16" t="n">
        <x:v>3.8</x:v>
      </x:c>
      <x:c r="K7189" s="11" t="n">
        <x:f>CHOOSE('假设'!$B$3,H7189,I7189,J7189)</x:f>
        <x:v>2.5</x:v>
      </x:c>
      <x:c r="L7189" s="11" t="n">
        <x:f>K7189*'管线假设'!E1535*'管线假设'!F1535*'管线假设'!G1535*IF(E7189="USD",'管线假设'!I1535,1)-AM7189</x:f>
        <x:v>0.8681749999999999</x:v>
      </x:c>
      <x:c r="M7189" s="11" t="n">
        <x:f>'管线假设'!H1535</x:f>
        <x:v>0.14</x:v>
      </x:c>
      <x:c r="N7189" s="11" t="n">
        <x:f>IF(G7189,L7189*AN7189/(1+M7189)^F7189,0)</x:f>
        <x:v>0.49894964738373515</x:v>
      </x:c>
      <x:c r="AJ7189" s="42" t="n">
        <x:v>0</x:v>
      </x:c>
      <x:c r="AK7189" s="42" t="n">
        <x:v>0</x:v>
      </x:c>
      <x:c r="AL7189" s="42" t="n">
        <x:v>0</x:v>
      </x:c>
      <x:c r="AM7189" t="n">
        <x:f>CHOOSE('假设'!$B$3,AJ7189,AK7189,AL7189)</x:f>
        <x:v>0</x:v>
      </x:c>
      <x:c r="AN7189" t="n">
        <x:v>1</x:v>
      </x:c>
    </x:row>
    <x:row r="7190" ht="23" customHeight="1">
      <x:c r="A7190" s="11" t="str">
        <x:v>09995.HK</x:v>
      </x:c>
      <x:c r="B7190" s="11" t="str">
        <x:v>五年</x:v>
      </x:c>
      <x:c r="C7190" s="11" t="str">
        <x:v>RC48_foreign</x:v>
      </x:c>
      <x:c r="D7190" s="11" t="str">
        <x:v>2036-12-31</x:v>
      </x:c>
      <x:c r="E7190" s="11" t="str">
        <x:v>USD</x:v>
      </x:c>
      <x:c r="F7190" s="11" t="n">
        <x:v>5.229295003422314</x:v>
      </x:c>
      <x:c r="G7190" s="26" t="b">
        <x:v>1</x:v>
      </x:c>
      <x:c r="H7190" s="16" t="n">
        <x:v>1</x:v>
      </x:c>
      <x:c r="I7190" s="16" t="n">
        <x:v>2.375</x:v>
      </x:c>
      <x:c r="J7190" s="16" t="n">
        <x:v>3.6</x:v>
      </x:c>
      <x:c r="K7190" s="11" t="n">
        <x:f>CHOOSE('假设'!$B$3,H7190,I7190,J7190)</x:f>
        <x:v>2.375</x:v>
      </x:c>
      <x:c r="L7190" s="11" t="n">
        <x:f>K7190*'管线假设'!E1535*'管线假设'!F1535*'管线假设'!G1535*IF(E7190="USD",'管线假设'!I1535,1)-AM7190</x:f>
        <x:v>0.8247662499999999</x:v>
      </x:c>
      <x:c r="M7190" s="11" t="n">
        <x:f>'管线假设'!H1535</x:f>
        <x:v>0.14</x:v>
      </x:c>
      <x:c r="N7190" s="11" t="n">
        <x:f>IF(G7190,L7190*AN7190/(1+M7190)^F7190,0)</x:f>
        <x:v>0.41567951841991946</x:v>
      </x:c>
      <x:c r="AJ7190" s="42" t="n">
        <x:v>0</x:v>
      </x:c>
      <x:c r="AK7190" s="42" t="n">
        <x:v>0</x:v>
      </x:c>
      <x:c r="AL7190" s="42" t="n">
        <x:v>0</x:v>
      </x:c>
      <x:c r="AM7190" t="n">
        <x:f>CHOOSE('假设'!$B$3,AJ7190,AK7190,AL7190)</x:f>
        <x:v>0</x:v>
      </x:c>
      <x:c r="AN7190" t="n">
        <x:v>1</x:v>
      </x:c>
    </x:row>
    <x:row r="7191" ht="23" customHeight="1">
      <x:c r="A7191" s="11" t="str">
        <x:v>09995.HK</x:v>
      </x:c>
      <x:c r="B7191" s="11" t="str">
        <x:v>五年</x:v>
      </x:c>
      <x:c r="C7191" s="11" t="str">
        <x:v>RC48_foreign</x:v>
      </x:c>
      <x:c r="D7191" s="11" t="str">
        <x:v>2037-12-31</x:v>
      </x:c>
      <x:c r="E7191" s="11" t="str">
        <x:v>USD</x:v>
      </x:c>
      <x:c r="F7191" s="11" t="n">
        <x:v>6.228610540725531</x:v>
      </x:c>
      <x:c r="G7191" s="26" t="b">
        <x:v>1</x:v>
      </x:c>
      <x:c r="H7191" s="16" t="n">
        <x:v>1</x:v>
      </x:c>
      <x:c r="I7191" s="16" t="n">
        <x:v>2.25</x:v>
      </x:c>
      <x:c r="J7191" s="16" t="n">
        <x:v>3.2</x:v>
      </x:c>
      <x:c r="K7191" s="11" t="n">
        <x:f>CHOOSE('假设'!$B$3,H7191,I7191,J7191)</x:f>
        <x:v>2.25</x:v>
      </x:c>
      <x:c r="L7191" s="11" t="n">
        <x:f>K7191*'管线假设'!E1535*'管线假设'!F1535*'管线假设'!G1535*IF(E7191="USD",'管线假设'!I1535,1)-AM7191</x:f>
        <x:v>0.7813574999999999</x:v>
      </x:c>
      <x:c r="M7191" s="11" t="n">
        <x:f>'管线假设'!H1535</x:f>
        <x:v>0.14</x:v>
      </x:c>
      <x:c r="N7191" s="11" t="n">
        <x:f>IF(G7191,L7191*AN7191/(1+M7191)^F7191,0)</x:f>
        <x:v>0.34547102482776254</x:v>
      </x:c>
      <x:c r="AJ7191" s="42" t="n">
        <x:v>0</x:v>
      </x:c>
      <x:c r="AK7191" s="42" t="n">
        <x:v>0</x:v>
      </x:c>
      <x:c r="AL7191" s="42" t="n">
        <x:v>0</x:v>
      </x:c>
      <x:c r="AM7191" t="n">
        <x:f>CHOOSE('假设'!$B$3,AJ7191,AK7191,AL7191)</x:f>
        <x:v>0</x:v>
      </x:c>
      <x:c r="AN7191" t="n">
        <x:v>1</x:v>
      </x:c>
    </x:row>
    <x:row r="7192" ht="23" customHeight="1">
      <x:c r="A7192" s="11" t="str">
        <x:v>09995.HK</x:v>
      </x:c>
      <x:c r="B7192" s="11" t="str">
        <x:v>五年</x:v>
      </x:c>
      <x:c r="C7192" s="11" t="str">
        <x:v>RC48_foreign</x:v>
      </x:c>
      <x:c r="D7192" s="11" t="str">
        <x:v>2038-12-31</x:v>
      </x:c>
      <x:c r="E7192" s="11" t="str">
        <x:v>USD</x:v>
      </x:c>
      <x:c r="F7192" s="11" t="n">
        <x:v>7.227926078028747</x:v>
      </x:c>
      <x:c r="G7192" s="26" t="b">
        <x:v>1</x:v>
      </x:c>
      <x:c r="H7192" s="16" t="n">
        <x:v>0.95</x:v>
      </x:c>
      <x:c r="I7192" s="16" t="n">
        <x:v>2</x:v>
      </x:c>
      <x:c r="J7192" s="16" t="n">
        <x:v>2.6</x:v>
      </x:c>
      <x:c r="K7192" s="11" t="n">
        <x:f>CHOOSE('假设'!$B$3,H7192,I7192,J7192)</x:f>
        <x:v>2</x:v>
      </x:c>
      <x:c r="L7192" s="11" t="n">
        <x:f>K7192*'管线假设'!E1535*'管线假设'!F1535*'管线假设'!G1535*IF(E7192="USD",'管线假设'!I1535,1)-AM7192</x:f>
        <x:v>0.6945399999999999</x:v>
      </x:c>
      <x:c r="M7192" s="11" t="n">
        <x:f>'管线假设'!H1535</x:f>
        <x:v>0.14</x:v>
      </x:c>
      <x:c r="N7192" s="11" t="n">
        <x:f>IF(G7192,L7192*AN7192/(1+M7192)^F7192,0)</x:f>
        <x:v>0.26939727830485655</x:v>
      </x:c>
      <x:c r="AJ7192" s="42" t="n">
        <x:v>0</x:v>
      </x:c>
      <x:c r="AK7192" s="42" t="n">
        <x:v>0</x:v>
      </x:c>
      <x:c r="AL7192" s="42" t="n">
        <x:v>0</x:v>
      </x:c>
      <x:c r="AM7192" t="n">
        <x:f>CHOOSE('假设'!$B$3,AJ7192,AK7192,AL7192)</x:f>
        <x:v>0</x:v>
      </x:c>
      <x:c r="AN7192" t="n">
        <x:v>1</x:v>
      </x:c>
    </x:row>
    <x:row r="7193" ht="23" customHeight="1">
      <x:c r="A7193" s="11" t="str">
        <x:v>09995.HK</x:v>
      </x:c>
      <x:c r="B7193" s="11" t="str">
        <x:v>五年</x:v>
      </x:c>
      <x:c r="C7193" s="11" t="str">
        <x:v>RC48_foreign</x:v>
      </x:c>
      <x:c r="D7193" s="11" t="str">
        <x:v>2039-12-31</x:v>
      </x:c>
      <x:c r="E7193" s="11" t="str">
        <x:v>USD</x:v>
      </x:c>
      <x:c r="F7193" s="11" t="n">
        <x:v>8.227241615331964</x:v>
      </x:c>
      <x:c r="G7193" s="26" t="b">
        <x:v>1</x:v>
      </x:c>
      <x:c r="H7193" s="16" t="n">
        <x:v>0.9</x:v>
      </x:c>
      <x:c r="I7193" s="16" t="n">
        <x:v>1.625</x:v>
      </x:c>
      <x:c r="J7193" s="16" t="n">
        <x:v>2</x:v>
      </x:c>
      <x:c r="K7193" s="11" t="n">
        <x:f>CHOOSE('假设'!$B$3,H7193,I7193,J7193)</x:f>
        <x:v>1.625</x:v>
      </x:c>
      <x:c r="L7193" s="11" t="n">
        <x:f>K7193*'管线假设'!E1535*'管线假设'!F1535*'管线假设'!G1535*IF(E7193="USD",'管线假设'!I1535,1)-AM7193</x:f>
        <x:v>0.56431375</x:v>
      </x:c>
      <x:c r="M7193" s="11" t="n">
        <x:f>'管线假设'!H1535</x:f>
        <x:v>0.14</x:v>
      </x:c>
      <x:c r="N7193" s="11" t="n">
        <x:f>IF(G7193,L7193*AN7193/(1+M7193)^F7193,0)</x:f>
        <x:v>0.1920218596508681</x:v>
      </x:c>
      <x:c r="AJ7193" s="42" t="n">
        <x:v>0</x:v>
      </x:c>
      <x:c r="AK7193" s="42" t="n">
        <x:v>0</x:v>
      </x:c>
      <x:c r="AL7193" s="42" t="n">
        <x:v>0</x:v>
      </x:c>
      <x:c r="AM7193" t="n">
        <x:f>CHOOSE('假设'!$B$3,AJ7193,AK7193,AL7193)</x:f>
        <x:v>0</x:v>
      </x:c>
      <x:c r="AN7193" t="n">
        <x:v>1</x:v>
      </x:c>
    </x:row>
    <x:row r="7194" ht="23" customHeight="1">
      <x:c r="A7194" s="11" t="str">
        <x:v>09995.HK</x:v>
      </x:c>
      <x:c r="B7194" s="11" t="str">
        <x:v>五年</x:v>
      </x:c>
      <x:c r="C7194" s="11" t="str">
        <x:v>RC48_foreign</x:v>
      </x:c>
      <x:c r="D7194" s="11" t="str">
        <x:v>2040-12-31</x:v>
      </x:c>
      <x:c r="E7194" s="11" t="str">
        <x:v>USD</x:v>
      </x:c>
      <x:c r="F7194" s="11" t="n">
        <x:v>9.229295003422314</x:v>
      </x:c>
      <x:c r="G7194" s="26" t="b">
        <x:v>1</x:v>
      </x:c>
      <x:c r="H7194" s="16" t="n">
        <x:v>0.8</x:v>
      </x:c>
      <x:c r="I7194" s="16" t="n">
        <x:v>1.25</x:v>
      </x:c>
      <x:c r="J7194" s="16" t="n">
        <x:v>1.4</x:v>
      </x:c>
      <x:c r="K7194" s="11" t="n">
        <x:f>CHOOSE('假设'!$B$3,H7194,I7194,J7194)</x:f>
        <x:v>1.25</x:v>
      </x:c>
      <x:c r="L7194" s="11" t="n">
        <x:f>K7194*'管线假设'!E1535*'管线假设'!F1535*'管线假设'!G1535*IF(E7194="USD",'管线假设'!I1535,1)-AM7194</x:f>
        <x:v>0.43408749999999996</x:v>
      </x:c>
      <x:c r="M7194" s="11" t="n">
        <x:f>'管线假设'!H1535</x:f>
        <x:v>0.14</x:v>
      </x:c>
      <x:c r="N7194" s="11" t="n">
        <x:f>IF(G7194,L7194*AN7194/(1+M7194)^F7194,0)</x:f>
        <x:v>0.12953454977009088</x:v>
      </x:c>
      <x:c r="AJ7194" s="42" t="n">
        <x:v>0</x:v>
      </x:c>
      <x:c r="AK7194" s="42" t="n">
        <x:v>0</x:v>
      </x:c>
      <x:c r="AL7194" s="42" t="n">
        <x:v>0</x:v>
      </x:c>
      <x:c r="AM7194" t="n">
        <x:f>CHOOSE('假设'!$B$3,AJ7194,AK7194,AL7194)</x:f>
        <x:v>0</x:v>
      </x:c>
      <x:c r="AN7194" t="n">
        <x:v>1</x:v>
      </x:c>
    </x:row>
    <x:row r="7195" ht="23" customHeight="1">
      <x:c r="A7195" s="11" t="str">
        <x:v>09995.HK</x:v>
      </x:c>
      <x:c r="B7195" s="11" t="str">
        <x:v>五年</x:v>
      </x:c>
      <x:c r="C7195" s="11" t="str">
        <x:v>RC48_foreign</x:v>
      </x:c>
      <x:c r="D7195" s="11" t="str">
        <x:v>2041-12-31</x:v>
      </x:c>
      <x:c r="E7195" s="11" t="str">
        <x:v>USD</x:v>
      </x:c>
      <x:c r="F7195" s="11" t="n">
        <x:v>10.22861054072553</x:v>
      </x:c>
      <x:c r="G7195" s="26" t="b">
        <x:v>1</x:v>
      </x:c>
      <x:c r="H7195" s="16" t="n">
        <x:v>0.65</x:v>
      </x:c>
      <x:c r="I7195" s="16" t="n">
        <x:v>0.875</x:v>
      </x:c>
      <x:c r="J7195" s="16" t="n">
        <x:v>0.8</x:v>
      </x:c>
      <x:c r="K7195" s="11" t="n">
        <x:f>CHOOSE('假设'!$B$3,H7195,I7195,J7195)</x:f>
        <x:v>0.875</x:v>
      </x:c>
      <x:c r="L7195" s="11" t="n">
        <x:f>K7195*'管线假设'!E1535*'管线假设'!F1535*'管线假设'!G1535*IF(E7195="USD",'管线假设'!I1535,1)-AM7195</x:f>
        <x:v>0.30386125</x:v>
      </x:c>
      <x:c r="M7195" s="11" t="n">
        <x:f>'管线假设'!H1535</x:f>
        <x:v>0.14</x:v>
      </x:c>
      <x:c r="N7195" s="11" t="n">
        <x:f>IF(G7195,L7195*AN7195/(1+M7195)^F7195,0)</x:f>
        <x:v>0.0795458923013165</x:v>
      </x:c>
      <x:c r="AJ7195" s="42" t="n">
        <x:v>0</x:v>
      </x:c>
      <x:c r="AK7195" s="42" t="n">
        <x:v>0</x:v>
      </x:c>
      <x:c r="AL7195" s="42" t="n">
        <x:v>0</x:v>
      </x:c>
      <x:c r="AM7195" t="n">
        <x:f>CHOOSE('假设'!$B$3,AJ7195,AK7195,AL7195)</x:f>
        <x:v>0</x:v>
      </x:c>
      <x:c r="AN7195" t="n">
        <x:v>1</x:v>
      </x:c>
    </x:row>
    <x:row r="7196" ht="23" customHeight="1">
      <x:c r="A7196" s="11" t="str">
        <x:v>09995.HK</x:v>
      </x:c>
      <x:c r="B7196" s="11" t="str">
        <x:v>五年</x:v>
      </x:c>
      <x:c r="C7196" s="11" t="str">
        <x:v>RC48_foreign</x:v>
      </x:c>
      <x:c r="D7196" s="11" t="str">
        <x:v>2042-12-31</x:v>
      </x:c>
      <x:c r="E7196" s="11" t="str">
        <x:v>USD</x:v>
      </x:c>
      <x:c r="F7196" s="11" t="n">
        <x:v>11.227926078028748</x:v>
      </x:c>
      <x:c r="G7196" s="26" t="b">
        <x:v>1</x:v>
      </x:c>
      <x:c r="H7196" s="16" t="n">
        <x:v>0.5</x:v>
      </x:c>
      <x:c r="I7196" s="16" t="n">
        <x:v>0.5</x:v>
      </x:c>
      <x:c r="J7196" s="16" t="n">
        <x:v>0.48</x:v>
      </x:c>
      <x:c r="K7196" s="11" t="n">
        <x:f>CHOOSE('假设'!$B$3,H7196,I7196,J7196)</x:f>
        <x:v>0.5</x:v>
      </x:c>
      <x:c r="L7196" s="11" t="n">
        <x:f>K7196*'管线假设'!E1535*'管线假设'!F1535*'管线假设'!G1535*IF(E7196="USD",'管线假设'!I1535,1)-AM7196</x:f>
        <x:v>0.17363499999999998</x:v>
      </x:c>
      <x:c r="M7196" s="11" t="n">
        <x:f>'管线假设'!H1535</x:f>
        <x:v>0.14</x:v>
      </x:c>
      <x:c r="N7196" s="11" t="n">
        <x:f>IF(G7196,L7196*AN7196/(1+M7196)^F7196,0)</x:f>
        <x:v>0.03987620381537839</x:v>
      </x:c>
      <x:c r="AJ7196" s="42" t="n">
        <x:v>0</x:v>
      </x:c>
      <x:c r="AK7196" s="42" t="n">
        <x:v>0</x:v>
      </x:c>
      <x:c r="AL7196" s="42" t="n">
        <x:v>0</x:v>
      </x:c>
      <x:c r="AM7196" t="n">
        <x:f>CHOOSE('假设'!$B$3,AJ7196,AK7196,AL7196)</x:f>
        <x:v>0</x:v>
      </x:c>
      <x:c r="AN7196" t="n">
        <x:v>1</x:v>
      </x:c>
    </x:row>
    <x:row r="7197" ht="23" customHeight="1">
      <x:c r="A7197" s="11" t="str">
        <x:v>09995.HK</x:v>
      </x:c>
      <x:c r="B7197" s="11" t="str">
        <x:v>五年</x:v>
      </x:c>
      <x:c r="C7197" s="11" t="str">
        <x:v>RC48_foreign</x:v>
      </x:c>
      <x:c r="D7197" s="11" t="str">
        <x:v>2043-12-31</x:v>
      </x:c>
      <x:c r="E7197" s="11" t="str">
        <x:v>USD</x:v>
      </x:c>
      <x:c r="F7197" s="11" t="n">
        <x:v>12.227241615331964</x:v>
      </x:c>
      <x:c r="G7197" s="26" t="b">
        <x:v>1</x:v>
      </x:c>
      <x:c r="H7197" s="16" t="n">
        <x:v>0.35</x:v>
      </x:c>
      <x:c r="I7197" s="16" t="n">
        <x:v>0.3</x:v>
      </x:c>
      <x:c r="J7197" s="16" t="n">
        <x:v>0.28</x:v>
      </x:c>
      <x:c r="K7197" s="11" t="n">
        <x:f>CHOOSE('假设'!$B$3,H7197,I7197,J7197)</x:f>
        <x:v>0.3</x:v>
      </x:c>
      <x:c r="L7197" s="11" t="n">
        <x:f>K7197*'管线假设'!E1535*'管线假设'!F1535*'管线假设'!G1535*IF(E7197="USD",'管线假设'!I1535,1)-AM7197</x:f>
        <x:v>0.104181</x:v>
      </x:c>
      <x:c r="M7197" s="11" t="n">
        <x:f>'管线假设'!H1535</x:f>
        <x:v>0.14</x:v>
      </x:c>
      <x:c r="N7197" s="11" t="n">
        <x:f>IF(G7197,L7197*AN7197/(1+M7197)^F7197,0)</x:f>
        <x:v>0.020989358016595492</x:v>
      </x:c>
      <x:c r="AJ7197" s="42" t="n">
        <x:v>0</x:v>
      </x:c>
      <x:c r="AK7197" s="42" t="n">
        <x:v>0</x:v>
      </x:c>
      <x:c r="AL7197" s="42" t="n">
        <x:v>0</x:v>
      </x:c>
      <x:c r="AM7197" t="n">
        <x:f>CHOOSE('假设'!$B$3,AJ7197,AK7197,AL7197)</x:f>
        <x:v>0</x:v>
      </x:c>
      <x:c r="AN7197" t="n">
        <x:v>1</x:v>
      </x:c>
    </x:row>
    <x:row r="7198" ht="23" customHeight="1">
      <x:c r="A7198" s="11" t="str">
        <x:v>09995.HK</x:v>
      </x:c>
      <x:c r="B7198" s="11" t="str">
        <x:v>五年</x:v>
      </x:c>
      <x:c r="C7198" s="11" t="str">
        <x:v>RC48_foreign</x:v>
      </x:c>
      <x:c r="D7198" s="11" t="str">
        <x:v>2044-12-31</x:v>
      </x:c>
      <x:c r="E7198" s="11" t="str">
        <x:v>USD</x:v>
      </x:c>
      <x:c r="F7198" s="11" t="n">
        <x:v>13.229295003422314</x:v>
      </x:c>
      <x:c r="G7198" s="26" t="b">
        <x:v>1</x:v>
      </x:c>
      <x:c r="H7198" s="16" t="n">
        <x:v>0.2</x:v>
      </x:c>
      <x:c r="I7198" s="16" t="n">
        <x:v>0.17500000000000002</x:v>
      </x:c>
      <x:c r="J7198" s="16" t="n">
        <x:v>0.12</x:v>
      </x:c>
      <x:c r="K7198" s="11" t="n">
        <x:f>CHOOSE('假设'!$B$3,H7198,I7198,J7198)</x:f>
        <x:v>0.17500000000000002</x:v>
      </x:c>
      <x:c r="L7198" s="11" t="n">
        <x:f>K7198*'管线假设'!E1535*'管线假设'!F1535*'管线假设'!G1535*IF(E7198="USD",'管线假设'!I1535,1)-AM7198</x:f>
        <x:v>0.06077225</x:v>
      </x:c>
      <x:c r="M7198" s="11" t="n">
        <x:f>'管线假设'!H1535</x:f>
        <x:v>0.14</x:v>
      </x:c>
      <x:c r="N7198" s="11" t="n">
        <x:f>IF(G7198,L7198*AN7198/(1+M7198)^F7198,0)</x:f>
        <x:v>0.010737279301965726</x:v>
      </x:c>
      <x:c r="AJ7198" s="42" t="n">
        <x:v>0</x:v>
      </x:c>
      <x:c r="AK7198" s="42" t="n">
        <x:v>0</x:v>
      </x:c>
      <x:c r="AL7198" s="42" t="n">
        <x:v>0</x:v>
      </x:c>
      <x:c r="AM7198" t="n">
        <x:f>CHOOSE('假设'!$B$3,AJ7198,AK7198,AL7198)</x:f>
        <x:v>0</x:v>
      </x:c>
      <x:c r="AN7198" t="n">
        <x:v>1</x:v>
      </x:c>
    </x:row>
    <x:row r="7199" ht="23" customHeight="1">
      <x:c r="A7199" s="11" t="str">
        <x:v>09995.HK</x:v>
      </x:c>
      <x:c r="B7199" s="11" t="str">
        <x:v>五年</x:v>
      </x:c>
      <x:c r="C7199" s="11" t="str">
        <x:v>RC28_China</x:v>
      </x:c>
      <x:c r="D7199" s="11" t="str">
        <x:v>2026-12-31</x:v>
      </x:c>
      <x:c r="E7199" s="11" t="str">
        <x:v>CNY</x:v>
      </x:c>
      <x:c r="F7199" s="11" t="n">
        <x:v>-4.772073921971253</x:v>
      </x:c>
      <x:c r="G7199" s="26" t="b">
        <x:v>0</x:v>
      </x:c>
      <x:c r="H7199" s="16" t="n">
        <x:v>0</x:v>
      </x:c>
      <x:c r="I7199" s="16" t="n">
        <x:v>0</x:v>
      </x:c>
      <x:c r="J7199" s="16" t="n">
        <x:v>0</x:v>
      </x:c>
      <x:c r="K7199" s="11" t="n">
        <x:f>CHOOSE('假设'!$B$3,H7199,I7199,J7199)</x:f>
        <x:v>0</x:v>
      </x:c>
      <x:c r="L7199" s="11" t="n">
        <x:f>K7199*'管线假设'!E1539*'管线假设'!F1539*'管线假设'!G1539*IF(E7199="USD",'管线假设'!I1539,1)-AM7199</x:f>
        <x:v>-0.08</x:v>
      </x:c>
      <x:c r="M7199" s="11" t="n">
        <x:f>'管线假设'!H1539</x:f>
        <x:v>0.14</x:v>
      </x:c>
      <x:c r="N7199" s="11" t="n">
        <x:f>IF(G7199,L7199*AN7199/(1+M7199)^F7199,0)</x:f>
        <x:v>0</x:v>
      </x:c>
      <x:c r="AJ7199" s="42" t="n">
        <x:v>0.04</x:v>
      </x:c>
      <x:c r="AK7199" s="42" t="n">
        <x:v>0.08</x:v>
      </x:c>
      <x:c r="AL7199" s="42" t="n">
        <x:v>0.12</x:v>
      </x:c>
      <x:c r="AM7199" t="n">
        <x:f>CHOOSE('假设'!$B$3,AJ7199,AK7199,AL7199)</x:f>
        <x:v>0.08</x:v>
      </x:c>
      <x:c r="AN7199" t="n">
        <x:v>0</x:v>
      </x:c>
    </x:row>
    <x:row r="7200" ht="23" customHeight="1">
      <x:c r="A7200" s="11" t="str">
        <x:v>09995.HK</x:v>
      </x:c>
      <x:c r="B7200" s="11" t="str">
        <x:v>五年</x:v>
      </x:c>
      <x:c r="C7200" s="11" t="str">
        <x:v>RC28_China</x:v>
      </x:c>
      <x:c r="D7200" s="11" t="str">
        <x:v>2027-12-31</x:v>
      </x:c>
      <x:c r="E7200" s="11" t="str">
        <x:v>CNY</x:v>
      </x:c>
      <x:c r="F7200" s="11" t="n">
        <x:v>-3.7727583846680357</x:v>
      </x:c>
      <x:c r="G7200" s="26" t="b">
        <x:v>0</x:v>
      </x:c>
      <x:c r="H7200" s="16" t="n">
        <x:v>0</x:v>
      </x:c>
      <x:c r="I7200" s="16" t="n">
        <x:v>0</x:v>
      </x:c>
      <x:c r="J7200" s="16" t="n">
        <x:v>0</x:v>
      </x:c>
      <x:c r="K7200" s="11" t="n">
        <x:f>CHOOSE('假设'!$B$3,H7200,I7200,J7200)</x:f>
        <x:v>0</x:v>
      </x:c>
      <x:c r="L7200" s="11" t="n">
        <x:f>K7200*'管线假设'!E1539*'管线假设'!F1539*'管线假设'!G1539*IF(E7200="USD",'管线假设'!I1539,1)-AM7200</x:f>
        <x:v>-0.1</x:v>
      </x:c>
      <x:c r="M7200" s="11" t="n">
        <x:f>'管线假设'!H1539</x:f>
        <x:v>0.14</x:v>
      </x:c>
      <x:c r="N7200" s="11" t="n">
        <x:f>IF(G7200,L7200*AN7200/(1+M7200)^F7200,0)</x:f>
        <x:v>0</x:v>
      </x:c>
      <x:c r="AJ7200" s="42" t="n">
        <x:v>0.04</x:v>
      </x:c>
      <x:c r="AK7200" s="42" t="n">
        <x:v>0.1</x:v>
      </x:c>
      <x:c r="AL7200" s="42" t="n">
        <x:v>0.15</x:v>
      </x:c>
      <x:c r="AM7200" t="n">
        <x:f>CHOOSE('假设'!$B$3,AJ7200,AK7200,AL7200)</x:f>
        <x:v>0.1</x:v>
      </x:c>
      <x:c r="AN7200" t="n">
        <x:v>0</x:v>
      </x:c>
    </x:row>
    <x:row r="7201" ht="23" customHeight="1">
      <x:c r="A7201" s="11" t="str">
        <x:v>09995.HK</x:v>
      </x:c>
      <x:c r="B7201" s="11" t="str">
        <x:v>五年</x:v>
      </x:c>
      <x:c r="C7201" s="11" t="str">
        <x:v>RC28_China</x:v>
      </x:c>
      <x:c r="D7201" s="11" t="str">
        <x:v>2028-12-31</x:v>
      </x:c>
      <x:c r="E7201" s="11" t="str">
        <x:v>CNY</x:v>
      </x:c>
      <x:c r="F7201" s="11" t="n">
        <x:v>-2.7707049965776864</x:v>
      </x:c>
      <x:c r="G7201" s="26" t="b">
        <x:v>0</x:v>
      </x:c>
      <x:c r="H7201" s="16" t="n">
        <x:v>0</x:v>
      </x:c>
      <x:c r="I7201" s="16" t="n">
        <x:v>0</x:v>
      </x:c>
      <x:c r="J7201" s="16" t="n">
        <x:v>0</x:v>
      </x:c>
      <x:c r="K7201" s="11" t="n">
        <x:f>CHOOSE('假设'!$B$3,H7201,I7201,J7201)</x:f>
        <x:v>0</x:v>
      </x:c>
      <x:c r="L7201" s="11" t="n">
        <x:f>K7201*'管线假设'!E1539*'管线假设'!F1539*'管线假设'!G1539*IF(E7201="USD",'管线假设'!I1539,1)-AM7201</x:f>
        <x:v>-0.07</x:v>
      </x:c>
      <x:c r="M7201" s="11" t="n">
        <x:f>'管线假设'!H1539</x:f>
        <x:v>0.14</x:v>
      </x:c>
      <x:c r="N7201" s="11" t="n">
        <x:f>IF(G7201,L7201*AN7201/(1+M7201)^F7201,0)</x:f>
        <x:v>0</x:v>
      </x:c>
      <x:c r="AJ7201" s="42" t="n">
        <x:v>0</x:v>
      </x:c>
      <x:c r="AK7201" s="42" t="n">
        <x:v>0.07</x:v>
      </x:c>
      <x:c r="AL7201" s="42" t="n">
        <x:v>0.08</x:v>
      </x:c>
      <x:c r="AM7201" t="n">
        <x:f>CHOOSE('假设'!$B$3,AJ7201,AK7201,AL7201)</x:f>
        <x:v>0.07</x:v>
      </x:c>
      <x:c r="AN7201" t="n">
        <x:v>0</x:v>
      </x:c>
    </x:row>
    <x:row r="7202" ht="23" customHeight="1">
      <x:c r="A7202" s="11" t="str">
        <x:v>09995.HK</x:v>
      </x:c>
      <x:c r="B7202" s="11" t="str">
        <x:v>五年</x:v>
      </x:c>
      <x:c r="C7202" s="11" t="str">
        <x:v>RC28_China</x:v>
      </x:c>
      <x:c r="D7202" s="11" t="str">
        <x:v>2029-12-31</x:v>
      </x:c>
      <x:c r="E7202" s="11" t="str">
        <x:v>CNY</x:v>
      </x:c>
      <x:c r="F7202" s="11" t="n">
        <x:v>-1.7713894592744694</x:v>
      </x:c>
      <x:c r="G7202" s="26" t="b">
        <x:v>0</x:v>
      </x:c>
      <x:c r="H7202" s="16" t="n">
        <x:v>0</x:v>
      </x:c>
      <x:c r="I7202" s="16" t="n">
        <x:v>0</x:v>
      </x:c>
      <x:c r="J7202" s="16" t="n">
        <x:v>0.18</x:v>
      </x:c>
      <x:c r="K7202" s="11" t="n">
        <x:f>CHOOSE('假设'!$B$3,H7202,I7202,J7202)</x:f>
        <x:v>0</x:v>
      </x:c>
      <x:c r="L7202" s="11" t="n">
        <x:f>K7202*'管线假设'!E1539*'管线假设'!F1539*'管线假设'!G1539*IF(E7202="USD",'管线假设'!I1539,1)-AM7202</x:f>
        <x:v>0</x:v>
      </x:c>
      <x:c r="M7202" s="11" t="n">
        <x:f>'管线假设'!H1539</x:f>
        <x:v>0.14</x:v>
      </x:c>
      <x:c r="N7202" s="11" t="n">
        <x:f>IF(G7202,L7202*AN7202/(1+M7202)^F7202,0)</x:f>
        <x:v>0</x:v>
      </x:c>
      <x:c r="AJ7202" s="42" t="n">
        <x:v>0</x:v>
      </x:c>
      <x:c r="AK7202" s="42" t="n">
        <x:v>0</x:v>
      </x:c>
      <x:c r="AL7202" s="42" t="n">
        <x:v>0</x:v>
      </x:c>
      <x:c r="AM7202" t="n">
        <x:f>CHOOSE('假设'!$B$3,AJ7202,AK7202,AL7202)</x:f>
        <x:v>0</x:v>
      </x:c>
      <x:c r="AN7202" t="n">
        <x:v>0</x:v>
      </x:c>
    </x:row>
    <x:row r="7203" ht="23" customHeight="1">
      <x:c r="A7203" s="11" t="str">
        <x:v>09995.HK</x:v>
      </x:c>
      <x:c r="B7203" s="11" t="str">
        <x:v>五年</x:v>
      </x:c>
      <x:c r="C7203" s="11" t="str">
        <x:v>RC28_China</x:v>
      </x:c>
      <x:c r="D7203" s="11" t="str">
        <x:v>2030-12-31</x:v>
      </x:c>
      <x:c r="E7203" s="11" t="str">
        <x:v>CNY</x:v>
      </x:c>
      <x:c r="F7203" s="11" t="n">
        <x:v>-0.7720739219712526</x:v>
      </x:c>
      <x:c r="G7203" s="26" t="b">
        <x:v>0</x:v>
      </x:c>
      <x:c r="H7203" s="16" t="n">
        <x:v>0</x:v>
      </x:c>
      <x:c r="I7203" s="16" t="n">
        <x:v>0.09</x:v>
      </x:c>
      <x:c r="J7203" s="16" t="n">
        <x:v>0.54</x:v>
      </x:c>
      <x:c r="K7203" s="11" t="n">
        <x:f>CHOOSE('假设'!$B$3,H7203,I7203,J7203)</x:f>
        <x:v>0.09</x:v>
      </x:c>
      <x:c r="L7203" s="11" t="n">
        <x:f>K7203*'管线假设'!E1539*'管线假设'!F1539*'管线假设'!G1539*IF(E7203="USD",'管线假设'!I1539,1)-AM7203</x:f>
        <x:v>0.0030995999999999997</x:v>
      </x:c>
      <x:c r="M7203" s="11" t="n">
        <x:f>'管线假设'!H1539</x:f>
        <x:v>0.14</x:v>
      </x:c>
      <x:c r="N7203" s="11" t="n">
        <x:f>IF(G7203,L7203*AN7203/(1+M7203)^F7203,0)</x:f>
        <x:v>0</x:v>
      </x:c>
      <x:c r="AJ7203" s="42" t="n">
        <x:v>0</x:v>
      </x:c>
      <x:c r="AK7203" s="42" t="n">
        <x:v>0</x:v>
      </x:c>
      <x:c r="AL7203" s="42" t="n">
        <x:v>0</x:v>
      </x:c>
      <x:c r="AM7203" t="n">
        <x:f>CHOOSE('假设'!$B$3,AJ7203,AK7203,AL7203)</x:f>
        <x:v>0</x:v>
      </x:c>
      <x:c r="AN7203" t="n">
        <x:v>0</x:v>
      </x:c>
    </x:row>
    <x:row r="7204" ht="23" customHeight="1">
      <x:c r="A7204" s="11" t="str">
        <x:v>09995.HK</x:v>
      </x:c>
      <x:c r="B7204" s="11" t="str">
        <x:v>五年</x:v>
      </x:c>
      <x:c r="C7204" s="11" t="str">
        <x:v>RC28_China</x:v>
      </x:c>
      <x:c r="D7204" s="11" t="str">
        <x:v>2031-12-31</x:v>
      </x:c>
      <x:c r="E7204" s="11" t="str">
        <x:v>CNY</x:v>
      </x:c>
      <x:c r="F7204" s="11" t="n">
        <x:v>0.2272416153319644</x:v>
      </x:c>
      <x:c r="G7204" s="26" t="b">
        <x:v>1</x:v>
      </x:c>
      <x:c r="H7204" s="16" t="n">
        <x:v>0</x:v>
      </x:c>
      <x:c r="I7204" s="16" t="n">
        <x:v>0.27</x:v>
      </x:c>
      <x:c r="J7204" s="16" t="n">
        <x:v>1.1400000000000001</x:v>
      </x:c>
      <x:c r="K7204" s="11" t="n">
        <x:f>CHOOSE('假设'!$B$3,H7204,I7204,J7204)</x:f>
        <x:v>0.27</x:v>
      </x:c>
      <x:c r="L7204" s="11" t="n">
        <x:f>K7204*'管线假设'!E1539*'管线假设'!F1539*'管线假设'!G1539*IF(E7204="USD",'管线假设'!I1539,1)-AM7204</x:f>
        <x:v>0.0092988</x:v>
      </x:c>
      <x:c r="M7204" s="11" t="n">
        <x:f>'管线假设'!H1539</x:f>
        <x:v>0.14</x:v>
      </x:c>
      <x:c r="N7204" s="11" t="n">
        <x:f>IF(G7204,L7204*AN7204/(1+M7204)^F7204,0)</x:f>
        <x:v>0.0020581283991686363</x:v>
      </x:c>
      <x:c r="AJ7204" s="42" t="n">
        <x:v>0</x:v>
      </x:c>
      <x:c r="AK7204" s="42" t="n">
        <x:v>0</x:v>
      </x:c>
      <x:c r="AL7204" s="42" t="n">
        <x:v>0</x:v>
      </x:c>
      <x:c r="AM7204" t="n">
        <x:f>CHOOSE('假设'!$B$3,AJ7204,AK7204,AL7204)</x:f>
        <x:v>0</x:v>
      </x:c>
      <x:c r="AN7204" t="n">
        <x:v>0.22802197802197802</x:v>
      </x:c>
    </x:row>
    <x:row r="7205" ht="23" customHeight="1">
      <x:c r="A7205" s="11" t="str">
        <x:v>09995.HK</x:v>
      </x:c>
      <x:c r="B7205" s="11" t="str">
        <x:v>五年</x:v>
      </x:c>
      <x:c r="C7205" s="11" t="str">
        <x:v>RC28_China</x:v>
      </x:c>
      <x:c r="D7205" s="11" t="str">
        <x:v>2032-12-31</x:v>
      </x:c>
      <x:c r="E7205" s="11" t="str">
        <x:v>CNY</x:v>
      </x:c>
      <x:c r="F7205" s="11" t="n">
        <x:v>1.2292950034223136</x:v>
      </x:c>
      <x:c r="G7205" s="26" t="b">
        <x:v>1</x:v>
      </x:c>
      <x:c r="H7205" s="16" t="n">
        <x:v>0.03</x:v>
      </x:c>
      <x:c r="I7205" s="16" t="n">
        <x:v>0.5700000000000001</x:v>
      </x:c>
      <x:c r="J7205" s="16" t="n">
        <x:v>1.9500000000000002</x:v>
      </x:c>
      <x:c r="K7205" s="11" t="n">
        <x:f>CHOOSE('假设'!$B$3,H7205,I7205,J7205)</x:f>
        <x:v>0.5700000000000001</x:v>
      </x:c>
      <x:c r="L7205" s="11" t="n">
        <x:f>K7205*'管线假设'!E1539*'管线假设'!F1539*'管线假设'!G1539*IF(E7205="USD",'管线假设'!I1539,1)-AM7205</x:f>
        <x:v>0.019630799999999997</x:v>
      </x:c>
      <x:c r="M7205" s="11" t="n">
        <x:f>'管线假设'!H1539</x:f>
        <x:v>0.14</x:v>
      </x:c>
      <x:c r="N7205" s="11" t="n">
        <x:f>IF(G7205,L7205*AN7205/(1+M7205)^F7205,0)</x:f>
        <x:v>0.016710334713264326</x:v>
      </x:c>
      <x:c r="AJ7205" s="42" t="n">
        <x:v>0</x:v>
      </x:c>
      <x:c r="AK7205" s="42" t="n">
        <x:v>0</x:v>
      </x:c>
      <x:c r="AL7205" s="42" t="n">
        <x:v>0</x:v>
      </x:c>
      <x:c r="AM7205" t="n">
        <x:f>CHOOSE('假设'!$B$3,AJ7205,AK7205,AL7205)</x:f>
        <x:v>0</x:v>
      </x:c>
      <x:c r="AN7205" t="n">
        <x:v>1</x:v>
      </x:c>
    </x:row>
    <x:row r="7206" ht="23" customHeight="1">
      <x:c r="A7206" s="11" t="str">
        <x:v>09995.HK</x:v>
      </x:c>
      <x:c r="B7206" s="11" t="str">
        <x:v>五年</x:v>
      </x:c>
      <x:c r="C7206" s="11" t="str">
        <x:v>RC28_China</x:v>
      </x:c>
      <x:c r="D7206" s="11" t="str">
        <x:v>2033-12-31</x:v>
      </x:c>
      <x:c r="E7206" s="11" t="str">
        <x:v>CNY</x:v>
      </x:c>
      <x:c r="F7206" s="11" t="n">
        <x:v>2.2286105407255303</x:v>
      </x:c>
      <x:c r="G7206" s="26" t="b">
        <x:v>1</x:v>
      </x:c>
      <x:c r="H7206" s="16" t="n">
        <x:v>0.09</x:v>
      </x:c>
      <x:c r="I7206" s="16" t="n">
        <x:v>0.9750000000000001</x:v>
      </x:c>
      <x:c r="J7206" s="16" t="n">
        <x:v>2.55</x:v>
      </x:c>
      <x:c r="K7206" s="11" t="n">
        <x:f>CHOOSE('假设'!$B$3,H7206,I7206,J7206)</x:f>
        <x:v>0.9750000000000001</x:v>
      </x:c>
      <x:c r="L7206" s="11" t="n">
        <x:f>K7206*'管线假设'!E1539*'管线假设'!F1539*'管线假设'!G1539*IF(E7206="USD",'管线假设'!I1539,1)-AM7206</x:f>
        <x:v>0.033579</x:v>
      </x:c>
      <x:c r="M7206" s="11" t="n">
        <x:f>'管线假设'!H1539</x:f>
        <x:v>0.14</x:v>
      </x:c>
      <x:c r="N7206" s="11" t="n">
        <x:f>IF(G7206,L7206*AN7206/(1+M7206)^F7206,0)</x:f>
        <x:v>0.02507546567203308</x:v>
      </x:c>
      <x:c r="AJ7206" s="42" t="n">
        <x:v>0</x:v>
      </x:c>
      <x:c r="AK7206" s="42" t="n">
        <x:v>0</x:v>
      </x:c>
      <x:c r="AL7206" s="42" t="n">
        <x:v>0</x:v>
      </x:c>
      <x:c r="AM7206" t="n">
        <x:f>CHOOSE('假设'!$B$3,AJ7206,AK7206,AL7206)</x:f>
        <x:v>0</x:v>
      </x:c>
      <x:c r="AN7206" t="n">
        <x:v>1</x:v>
      </x:c>
    </x:row>
    <x:row r="7207" ht="23" customHeight="1">
      <x:c r="A7207" s="11" t="str">
        <x:v>09995.HK</x:v>
      </x:c>
      <x:c r="B7207" s="11" t="str">
        <x:v>五年</x:v>
      </x:c>
      <x:c r="C7207" s="11" t="str">
        <x:v>RC28_China</x:v>
      </x:c>
      <x:c r="D7207" s="11" t="str">
        <x:v>2034-12-31</x:v>
      </x:c>
      <x:c r="E7207" s="11" t="str">
        <x:v>CNY</x:v>
      </x:c>
      <x:c r="F7207" s="11" t="n">
        <x:v>3.2279260780287475</x:v>
      </x:c>
      <x:c r="G7207" s="26" t="b">
        <x:v>1</x:v>
      </x:c>
      <x:c r="H7207" s="16" t="n">
        <x:v>0.19</x:v>
      </x:c>
      <x:c r="I7207" s="16" t="n">
        <x:v>1.275</x:v>
      </x:c>
      <x:c r="J7207" s="16" t="n">
        <x:v>3</x:v>
      </x:c>
      <x:c r="K7207" s="11" t="n">
        <x:f>CHOOSE('假设'!$B$3,H7207,I7207,J7207)</x:f>
        <x:v>1.275</x:v>
      </x:c>
      <x:c r="L7207" s="11" t="n">
        <x:f>K7207*'管线假设'!E1539*'管线假设'!F1539*'管线假设'!G1539*IF(E7207="USD",'管线假设'!I1539,1)-AM7207</x:f>
        <x:v>0.043910999999999985</x:v>
      </x:c>
      <x:c r="M7207" s="11" t="n">
        <x:f>'管线假设'!H1539</x:f>
        <x:v>0.14</x:v>
      </x:c>
      <x:c r="N7207" s="11" t="n">
        <x:f>IF(G7207,L7207*AN7207/(1+M7207)^F7207,0)</x:f>
        <x:v>0.028766609236036477</x:v>
      </x:c>
      <x:c r="AJ7207" s="42" t="n">
        <x:v>0</x:v>
      </x:c>
      <x:c r="AK7207" s="42" t="n">
        <x:v>0</x:v>
      </x:c>
      <x:c r="AL7207" s="42" t="n">
        <x:v>0</x:v>
      </x:c>
      <x:c r="AM7207" t="n">
        <x:f>CHOOSE('假设'!$B$3,AJ7207,AK7207,AL7207)</x:f>
        <x:v>0</x:v>
      </x:c>
      <x:c r="AN7207" t="n">
        <x:v>1</x:v>
      </x:c>
    </x:row>
    <x:row r="7208" ht="23" customHeight="1">
      <x:c r="A7208" s="11" t="str">
        <x:v>09995.HK</x:v>
      </x:c>
      <x:c r="B7208" s="11" t="str">
        <x:v>五年</x:v>
      </x:c>
      <x:c r="C7208" s="11" t="str">
        <x:v>RC28_China</x:v>
      </x:c>
      <x:c r="D7208" s="11" t="str">
        <x:v>2035-12-31</x:v>
      </x:c>
      <x:c r="E7208" s="11" t="str">
        <x:v>CNY</x:v>
      </x:c>
      <x:c r="F7208" s="11" t="n">
        <x:v>4.227241615331964</x:v>
      </x:c>
      <x:c r="G7208" s="26" t="b">
        <x:v>1</x:v>
      </x:c>
      <x:c r="H7208" s="16" t="n">
        <x:v>0.325</x:v>
      </x:c>
      <x:c r="I7208" s="16" t="n">
        <x:v>1.5</x:v>
      </x:c>
      <x:c r="J7208" s="16" t="n">
        <x:v>3</x:v>
      </x:c>
      <x:c r="K7208" s="11" t="n">
        <x:f>CHOOSE('假设'!$B$3,H7208,I7208,J7208)</x:f>
        <x:v>1.5</x:v>
      </x:c>
      <x:c r="L7208" s="11" t="n">
        <x:f>K7208*'管线假设'!E1539*'管线假设'!F1539*'管线假设'!G1539*IF(E7208="USD",'管线假设'!I1539,1)-AM7208</x:f>
        <x:v>0.051659999999999984</x:v>
      </x:c>
      <x:c r="M7208" s="11" t="n">
        <x:f>'管线假设'!H1539</x:f>
        <x:v>0.14</x:v>
      </x:c>
      <x:c r="N7208" s="11" t="n">
        <x:f>IF(G7208,L7208*AN7208/(1+M7208)^F7208,0)</x:f>
        <x:v>0.029689565794734647</x:v>
      </x:c>
      <x:c r="AJ7208" s="42" t="n">
        <x:v>0</x:v>
      </x:c>
      <x:c r="AK7208" s="42" t="n">
        <x:v>0</x:v>
      </x:c>
      <x:c r="AL7208" s="42" t="n">
        <x:v>0</x:v>
      </x:c>
      <x:c r="AM7208" t="n">
        <x:f>CHOOSE('假设'!$B$3,AJ7208,AK7208,AL7208)</x:f>
        <x:v>0</x:v>
      </x:c>
      <x:c r="AN7208" t="n">
        <x:v>1</x:v>
      </x:c>
    </x:row>
    <x:row r="7209" ht="23" customHeight="1">
      <x:c r="A7209" s="11" t="str">
        <x:v>09995.HK</x:v>
      </x:c>
      <x:c r="B7209" s="11" t="str">
        <x:v>五年</x:v>
      </x:c>
      <x:c r="C7209" s="11" t="str">
        <x:v>RC28_China</x:v>
      </x:c>
      <x:c r="D7209" s="11" t="str">
        <x:v>2036-12-31</x:v>
      </x:c>
      <x:c r="E7209" s="11" t="str">
        <x:v>CNY</x:v>
      </x:c>
      <x:c r="F7209" s="11" t="n">
        <x:v>5.229295003422314</x:v>
      </x:c>
      <x:c r="G7209" s="26" t="b">
        <x:v>1</x:v>
      </x:c>
      <x:c r="H7209" s="16" t="n">
        <x:v>0.425</x:v>
      </x:c>
      <x:c r="I7209" s="16" t="n">
        <x:v>1.5</x:v>
      </x:c>
      <x:c r="J7209" s="16" t="n">
        <x:v>2.8499999999999996</x:v>
      </x:c>
      <x:c r="K7209" s="11" t="n">
        <x:f>CHOOSE('假设'!$B$3,H7209,I7209,J7209)</x:f>
        <x:v>1.5</x:v>
      </x:c>
      <x:c r="L7209" s="11" t="n">
        <x:f>K7209*'管线假设'!E1539*'管线假设'!F1539*'管线假设'!G1539*IF(E7209="USD",'管线假设'!I1539,1)-AM7209</x:f>
        <x:v>0.051659999999999984</x:v>
      </x:c>
      <x:c r="M7209" s="11" t="n">
        <x:f>'管线假设'!H1539</x:f>
        <x:v>0.14</x:v>
      </x:c>
      <x:c r="N7209" s="11" t="n">
        <x:f>IF(G7209,L7209*AN7209/(1+M7209)^F7209,0)</x:f>
        <x:v>0.026036472663100645</x:v>
      </x:c>
      <x:c r="AJ7209" s="42" t="n">
        <x:v>0</x:v>
      </x:c>
      <x:c r="AK7209" s="42" t="n">
        <x:v>0</x:v>
      </x:c>
      <x:c r="AL7209" s="42" t="n">
        <x:v>0</x:v>
      </x:c>
      <x:c r="AM7209" t="n">
        <x:f>CHOOSE('假设'!$B$3,AJ7209,AK7209,AL7209)</x:f>
        <x:v>0</x:v>
      </x:c>
      <x:c r="AN7209" t="n">
        <x:v>1</x:v>
      </x:c>
    </x:row>
    <x:row r="7210" ht="23" customHeight="1">
      <x:c r="A7210" s="11" t="str">
        <x:v>09995.HK</x:v>
      </x:c>
      <x:c r="B7210" s="11" t="str">
        <x:v>五年</x:v>
      </x:c>
      <x:c r="C7210" s="11" t="str">
        <x:v>RC28_China</x:v>
      </x:c>
      <x:c r="D7210" s="11" t="str">
        <x:v>2037-12-31</x:v>
      </x:c>
      <x:c r="E7210" s="11" t="str">
        <x:v>CNY</x:v>
      </x:c>
      <x:c r="F7210" s="11" t="n">
        <x:v>6.228610540725531</x:v>
      </x:c>
      <x:c r="G7210" s="26" t="b">
        <x:v>1</x:v>
      </x:c>
      <x:c r="H7210" s="16" t="n">
        <x:v>0.5</x:v>
      </x:c>
      <x:c r="I7210" s="16" t="n">
        <x:v>1.4249999999999998</x:v>
      </x:c>
      <x:c r="J7210" s="16" t="n">
        <x:v>2.7</x:v>
      </x:c>
      <x:c r="K7210" s="11" t="n">
        <x:f>CHOOSE('假设'!$B$3,H7210,I7210,J7210)</x:f>
        <x:v>1.4249999999999998</x:v>
      </x:c>
      <x:c r="L7210" s="11" t="n">
        <x:f>K7210*'管线假设'!E1539*'管线假设'!F1539*'管线假设'!G1539*IF(E7210="USD",'管线假设'!I1539,1)-AM7210</x:f>
        <x:v>0.04907699999999999</x:v>
      </x:c>
      <x:c r="M7210" s="11" t="n">
        <x:f>'管线假设'!H1539</x:f>
        <x:v>0.14</x:v>
      </x:c>
      <x:c r="N7210" s="11" t="n">
        <x:f>IF(G7210,L7210*AN7210/(1+M7210)^F7210,0)</x:f>
        <x:v>0.021699006518107394</x:v>
      </x:c>
      <x:c r="AJ7210" s="42" t="n">
        <x:v>0</x:v>
      </x:c>
      <x:c r="AK7210" s="42" t="n">
        <x:v>0</x:v>
      </x:c>
      <x:c r="AL7210" s="42" t="n">
        <x:v>0</x:v>
      </x:c>
      <x:c r="AM7210" t="n">
        <x:f>CHOOSE('假设'!$B$3,AJ7210,AK7210,AL7210)</x:f>
        <x:v>0</x:v>
      </x:c>
      <x:c r="AN7210" t="n">
        <x:v>1</x:v>
      </x:c>
    </x:row>
    <x:row r="7211" ht="23" customHeight="1">
      <x:c r="A7211" s="11" t="str">
        <x:v>09995.HK</x:v>
      </x:c>
      <x:c r="B7211" s="11" t="str">
        <x:v>五年</x:v>
      </x:c>
      <x:c r="C7211" s="11" t="str">
        <x:v>RC28_China</x:v>
      </x:c>
      <x:c r="D7211" s="11" t="str">
        <x:v>2038-12-31</x:v>
      </x:c>
      <x:c r="E7211" s="11" t="str">
        <x:v>CNY</x:v>
      </x:c>
      <x:c r="F7211" s="11" t="n">
        <x:v>7.227926078028747</x:v>
      </x:c>
      <x:c r="G7211" s="26" t="b">
        <x:v>1</x:v>
      </x:c>
      <x:c r="H7211" s="16" t="n">
        <x:v>0.5</x:v>
      </x:c>
      <x:c r="I7211" s="16" t="n">
        <x:v>1.35</x:v>
      </x:c>
      <x:c r="J7211" s="16" t="n">
        <x:v>2.4000000000000004</x:v>
      </x:c>
      <x:c r="K7211" s="11" t="n">
        <x:f>CHOOSE('假设'!$B$3,H7211,I7211,J7211)</x:f>
        <x:v>1.35</x:v>
      </x:c>
      <x:c r="L7211" s="11" t="n">
        <x:f>K7211*'管线假设'!E1539*'管线假设'!F1539*'管线假设'!G1539*IF(E7211="USD",'管线假设'!I1539,1)-AM7211</x:f>
        <x:v>0.046493999999999994</x:v>
      </x:c>
      <x:c r="M7211" s="11" t="n">
        <x:f>'管线假设'!H1539</x:f>
        <x:v>0.14</x:v>
      </x:c>
      <x:c r="N7211" s="11" t="n">
        <x:f>IF(G7211,L7211*AN7211/(1+M7211)^F7211,0)</x:f>
        <x:v>0.018034032679911882</x:v>
      </x:c>
      <x:c r="AJ7211" s="42" t="n">
        <x:v>0</x:v>
      </x:c>
      <x:c r="AK7211" s="42" t="n">
        <x:v>0</x:v>
      </x:c>
      <x:c r="AL7211" s="42" t="n">
        <x:v>0</x:v>
      </x:c>
      <x:c r="AM7211" t="n">
        <x:f>CHOOSE('假设'!$B$3,AJ7211,AK7211,AL7211)</x:f>
        <x:v>0</x:v>
      </x:c>
      <x:c r="AN7211" t="n">
        <x:v>1</x:v>
      </x:c>
    </x:row>
    <x:row r="7212" ht="23" customHeight="1">
      <x:c r="A7212" s="11" t="str">
        <x:v>09995.HK</x:v>
      </x:c>
      <x:c r="B7212" s="11" t="str">
        <x:v>五年</x:v>
      </x:c>
      <x:c r="C7212" s="11" t="str">
        <x:v>RC28_China</x:v>
      </x:c>
      <x:c r="D7212" s="11" t="str">
        <x:v>2039-12-31</x:v>
      </x:c>
      <x:c r="E7212" s="11" t="str">
        <x:v>CNY</x:v>
      </x:c>
      <x:c r="F7212" s="11" t="n">
        <x:v>8.227241615331964</x:v>
      </x:c>
      <x:c r="G7212" s="26" t="b">
        <x:v>1</x:v>
      </x:c>
      <x:c r="H7212" s="16" t="n">
        <x:v>0.475</x:v>
      </x:c>
      <x:c r="I7212" s="16" t="n">
        <x:v>1.2000000000000002</x:v>
      </x:c>
      <x:c r="J7212" s="16" t="n">
        <x:v>1.9500000000000002</x:v>
      </x:c>
      <x:c r="K7212" s="11" t="n">
        <x:f>CHOOSE('假设'!$B$3,H7212,I7212,J7212)</x:f>
        <x:v>1.2000000000000002</x:v>
      </x:c>
      <x:c r="L7212" s="11" t="n">
        <x:f>K7212*'管线假设'!E1539*'管线假设'!F1539*'管线假设'!G1539*IF(E7212="USD",'管线假设'!I1539,1)-AM7212</x:f>
        <x:v>0.041328</x:v>
      </x:c>
      <x:c r="M7212" s="11" t="n">
        <x:f>'管线假设'!H1539</x:f>
        <x:v>0.14</x:v>
      </x:c>
      <x:c r="N7212" s="11" t="n">
        <x:f>IF(G7212,L7212*AN7212/(1+M7212)^F7212,0)</x:f>
        <x:v>0.014062885080597587</x:v>
      </x:c>
      <x:c r="AJ7212" s="42" t="n">
        <x:v>0</x:v>
      </x:c>
      <x:c r="AK7212" s="42" t="n">
        <x:v>0</x:v>
      </x:c>
      <x:c r="AL7212" s="42" t="n">
        <x:v>0</x:v>
      </x:c>
      <x:c r="AM7212" t="n">
        <x:f>CHOOSE('假设'!$B$3,AJ7212,AK7212,AL7212)</x:f>
        <x:v>0</x:v>
      </x:c>
      <x:c r="AN7212" t="n">
        <x:v>1</x:v>
      </x:c>
    </x:row>
    <x:row r="7213" ht="23" customHeight="1">
      <x:c r="A7213" s="11" t="str">
        <x:v>09995.HK</x:v>
      </x:c>
      <x:c r="B7213" s="11" t="str">
        <x:v>五年</x:v>
      </x:c>
      <x:c r="C7213" s="11" t="str">
        <x:v>RC28_China</x:v>
      </x:c>
      <x:c r="D7213" s="11" t="str">
        <x:v>2040-12-31</x:v>
      </x:c>
      <x:c r="E7213" s="11" t="str">
        <x:v>CNY</x:v>
      </x:c>
      <x:c r="F7213" s="11" t="n">
        <x:v>9.229295003422314</x:v>
      </x:c>
      <x:c r="G7213" s="26" t="b">
        <x:v>1</x:v>
      </x:c>
      <x:c r="H7213" s="16" t="n">
        <x:v>0.45</x:v>
      </x:c>
      <x:c r="I7213" s="16" t="n">
        <x:v>0.9750000000000001</x:v>
      </x:c>
      <x:c r="J7213" s="16" t="n">
        <x:v>1.5</x:v>
      </x:c>
      <x:c r="K7213" s="11" t="n">
        <x:f>CHOOSE('假设'!$B$3,H7213,I7213,J7213)</x:f>
        <x:v>0.9750000000000001</x:v>
      </x:c>
      <x:c r="L7213" s="11" t="n">
        <x:f>K7213*'管线假设'!E1539*'管线假设'!F1539*'管线假设'!G1539*IF(E7213="USD",'管线假设'!I1539,1)-AM7213</x:f>
        <x:v>0.033579</x:v>
      </x:c>
      <x:c r="M7213" s="11" t="n">
        <x:f>'管线假设'!H1539</x:f>
        <x:v>0.14</x:v>
      </x:c>
      <x:c r="N7213" s="11" t="n">
        <x:f>IF(G7213,L7213*AN7213/(1+M7213)^F7213,0)</x:f>
        <x:v>0.010020193271471493</x:v>
      </x:c>
      <x:c r="AJ7213" s="42" t="n">
        <x:v>0</x:v>
      </x:c>
      <x:c r="AK7213" s="42" t="n">
        <x:v>0</x:v>
      </x:c>
      <x:c r="AL7213" s="42" t="n">
        <x:v>0</x:v>
      </x:c>
      <x:c r="AM7213" t="n">
        <x:f>CHOOSE('假设'!$B$3,AJ7213,AK7213,AL7213)</x:f>
        <x:v>0</x:v>
      </x:c>
      <x:c r="AN7213" t="n">
        <x:v>1</x:v>
      </x:c>
    </x:row>
    <x:row r="7214" ht="23" customHeight="1">
      <x:c r="A7214" s="11" t="str">
        <x:v>09995.HK</x:v>
      </x:c>
      <x:c r="B7214" s="11" t="str">
        <x:v>五年</x:v>
      </x:c>
      <x:c r="C7214" s="11" t="str">
        <x:v>RC28_China</x:v>
      </x:c>
      <x:c r="D7214" s="11" t="str">
        <x:v>2041-12-31</x:v>
      </x:c>
      <x:c r="E7214" s="11" t="str">
        <x:v>CNY</x:v>
      </x:c>
      <x:c r="F7214" s="11" t="n">
        <x:v>10.22861054072553</x:v>
      </x:c>
      <x:c r="G7214" s="26" t="b">
        <x:v>1</x:v>
      </x:c>
      <x:c r="H7214" s="16" t="n">
        <x:v>0.4</x:v>
      </x:c>
      <x:c r="I7214" s="16" t="n">
        <x:v>0.75</x:v>
      </x:c>
      <x:c r="J7214" s="16" t="n">
        <x:v>1.0499999999999998</x:v>
      </x:c>
      <x:c r="K7214" s="11" t="n">
        <x:f>CHOOSE('假设'!$B$3,H7214,I7214,J7214)</x:f>
        <x:v>0.75</x:v>
      </x:c>
      <x:c r="L7214" s="11" t="n">
        <x:f>K7214*'管线假设'!E1539*'管线假设'!F1539*'管线假设'!G1539*IF(E7214="USD",'管线假设'!I1539,1)-AM7214</x:f>
        <x:v>0.025829999999999992</x:v>
      </x:c>
      <x:c r="M7214" s="11" t="n">
        <x:f>'管线假设'!H1539</x:f>
        <x:v>0.14</x:v>
      </x:c>
      <x:c r="N7214" s="11" t="n">
        <x:f>IF(G7214,L7214*AN7214/(1+M7214)^F7214,0)</x:f>
        <x:v>0.006761870419946619</x:v>
      </x:c>
      <x:c r="AJ7214" s="42" t="n">
        <x:v>0</x:v>
      </x:c>
      <x:c r="AK7214" s="42" t="n">
        <x:v>0</x:v>
      </x:c>
      <x:c r="AL7214" s="42" t="n">
        <x:v>0</x:v>
      </x:c>
      <x:c r="AM7214" t="n">
        <x:f>CHOOSE('假设'!$B$3,AJ7214,AK7214,AL7214)</x:f>
        <x:v>0</x:v>
      </x:c>
      <x:c r="AN7214" t="n">
        <x:v>1</x:v>
      </x:c>
    </x:row>
    <x:row r="7215" ht="23" customHeight="1">
      <x:c r="A7215" s="11" t="str">
        <x:v>09995.HK</x:v>
      </x:c>
      <x:c r="B7215" s="11" t="str">
        <x:v>五年</x:v>
      </x:c>
      <x:c r="C7215" s="11" t="str">
        <x:v>RC28_China</x:v>
      </x:c>
      <x:c r="D7215" s="11" t="str">
        <x:v>2042-12-31</x:v>
      </x:c>
      <x:c r="E7215" s="11" t="str">
        <x:v>CNY</x:v>
      </x:c>
      <x:c r="F7215" s="11" t="n">
        <x:v>11.227926078028748</x:v>
      </x:c>
      <x:c r="G7215" s="26" t="b">
        <x:v>1</x:v>
      </x:c>
      <x:c r="H7215" s="16" t="n">
        <x:v>0.325</x:v>
      </x:c>
      <x:c r="I7215" s="16" t="n">
        <x:v>0.5249999999999999</x:v>
      </x:c>
      <x:c r="J7215" s="16" t="n">
        <x:v>0.6000000000000001</x:v>
      </x:c>
      <x:c r="K7215" s="11" t="n">
        <x:f>CHOOSE('假设'!$B$3,H7215,I7215,J7215)</x:f>
        <x:v>0.5249999999999999</x:v>
      </x:c>
      <x:c r="L7215" s="11" t="n">
        <x:f>K7215*'管线假设'!E1539*'管线假设'!F1539*'管线假设'!G1539*IF(E7215="USD",'管线假设'!I1539,1)-AM7215</x:f>
        <x:v>0.018080999999999993</x:v>
      </x:c>
      <x:c r="M7215" s="11" t="n">
        <x:f>'管线假设'!H1539</x:f>
        <x:v>0.14</x:v>
      </x:c>
      <x:c r="N7215" s="11" t="n">
        <x:f>IF(G7215,L7215*AN7215/(1+M7215)^F7215,0)</x:f>
        <x:v>0.0041523980832542775</x:v>
      </x:c>
      <x:c r="AJ7215" s="42" t="n">
        <x:v>0</x:v>
      </x:c>
      <x:c r="AK7215" s="42" t="n">
        <x:v>0</x:v>
      </x:c>
      <x:c r="AL7215" s="42" t="n">
        <x:v>0</x:v>
      </x:c>
      <x:c r="AM7215" t="n">
        <x:f>CHOOSE('假设'!$B$3,AJ7215,AK7215,AL7215)</x:f>
        <x:v>0</x:v>
      </x:c>
      <x:c r="AN7215" t="n">
        <x:v>1</x:v>
      </x:c>
    </x:row>
    <x:row r="7216" ht="23" customHeight="1">
      <x:c r="A7216" s="11" t="str">
        <x:v>09995.HK</x:v>
      </x:c>
      <x:c r="B7216" s="11" t="str">
        <x:v>五年</x:v>
      </x:c>
      <x:c r="C7216" s="11" t="str">
        <x:v>RC28_China</x:v>
      </x:c>
      <x:c r="D7216" s="11" t="str">
        <x:v>2043-12-31</x:v>
      </x:c>
      <x:c r="E7216" s="11" t="str">
        <x:v>CNY</x:v>
      </x:c>
      <x:c r="F7216" s="11" t="n">
        <x:v>12.227241615331964</x:v>
      </x:c>
      <x:c r="G7216" s="26" t="b">
        <x:v>1</x:v>
      </x:c>
      <x:c r="H7216" s="16" t="n">
        <x:v>0.25</x:v>
      </x:c>
      <x:c r="I7216" s="16" t="n">
        <x:v>0.30000000000000004</x:v>
      </x:c>
      <x:c r="J7216" s="16" t="n">
        <x:v>0.36</x:v>
      </x:c>
      <x:c r="K7216" s="11" t="n">
        <x:f>CHOOSE('假设'!$B$3,H7216,I7216,J7216)</x:f>
        <x:v>0.30000000000000004</x:v>
      </x:c>
      <x:c r="L7216" s="11" t="n">
        <x:f>K7216*'管线假设'!E1539*'管线假设'!F1539*'管线假设'!G1539*IF(E7216="USD",'管线假设'!I1539,1)-AM7216</x:f>
        <x:v>0.010332</x:v>
      </x:c>
      <x:c r="M7216" s="11" t="n">
        <x:f>'管线假设'!H1539</x:f>
        <x:v>0.14</x:v>
      </x:c>
      <x:c r="N7216" s="11" t="n">
        <x:f>IF(G7216,L7216*AN7216/(1+M7216)^F7216,0)</x:f>
        <x:v>0.0020815892247863297</x:v>
      </x:c>
      <x:c r="AJ7216" s="42" t="n">
        <x:v>0</x:v>
      </x:c>
      <x:c r="AK7216" s="42" t="n">
        <x:v>0</x:v>
      </x:c>
      <x:c r="AL7216" s="42" t="n">
        <x:v>0</x:v>
      </x:c>
      <x:c r="AM7216" t="n">
        <x:f>CHOOSE('假设'!$B$3,AJ7216,AK7216,AL7216)</x:f>
        <x:v>0</x:v>
      </x:c>
      <x:c r="AN7216" t="n">
        <x:v>1</x:v>
      </x:c>
    </x:row>
    <x:row r="7217" ht="23" customHeight="1">
      <x:c r="A7217" s="11" t="str">
        <x:v>09995.HK</x:v>
      </x:c>
      <x:c r="B7217" s="11" t="str">
        <x:v>五年</x:v>
      </x:c>
      <x:c r="C7217" s="11" t="str">
        <x:v>RC28_China</x:v>
      </x:c>
      <x:c r="D7217" s="11" t="str">
        <x:v>2044-12-31</x:v>
      </x:c>
      <x:c r="E7217" s="11" t="str">
        <x:v>CNY</x:v>
      </x:c>
      <x:c r="F7217" s="11" t="n">
        <x:v>13.229295003422314</x:v>
      </x:c>
      <x:c r="G7217" s="26" t="b">
        <x:v>1</x:v>
      </x:c>
      <x:c r="H7217" s="16" t="n">
        <x:v>0.175</x:v>
      </x:c>
      <x:c r="I7217" s="16" t="n">
        <x:v>0.18</x:v>
      </x:c>
      <x:c r="J7217" s="16" t="n">
        <x:v>0.21000000000000002</x:v>
      </x:c>
      <x:c r="K7217" s="11" t="n">
        <x:f>CHOOSE('假设'!$B$3,H7217,I7217,J7217)</x:f>
        <x:v>0.18</x:v>
      </x:c>
      <x:c r="L7217" s="11" t="n">
        <x:f>K7217*'管线假设'!E1539*'管线假设'!F1539*'管线假设'!G1539*IF(E7217="USD",'管线假设'!I1539,1)-AM7217</x:f>
        <x:v>0.006199199999999999</x:v>
      </x:c>
      <x:c r="M7217" s="11" t="n">
        <x:f>'管线假设'!H1539</x:f>
        <x:v>0.14</x:v>
      </x:c>
      <x:c r="N7217" s="11" t="n">
        <x:f>IF(G7217,L7217*AN7217/(1+M7217)^F7217,0)</x:f>
        <x:v>0.0010952785498109074</x:v>
      </x:c>
      <x:c r="AJ7217" s="42" t="n">
        <x:v>0</x:v>
      </x:c>
      <x:c r="AK7217" s="42" t="n">
        <x:v>0</x:v>
      </x:c>
      <x:c r="AL7217" s="42" t="n">
        <x:v>0</x:v>
      </x:c>
      <x:c r="AM7217" t="n">
        <x:f>CHOOSE('假设'!$B$3,AJ7217,AK7217,AL7217)</x:f>
        <x:v>0</x:v>
      </x:c>
      <x:c r="AN7217" t="n">
        <x:v>1</x:v>
      </x:c>
    </x:row>
    <x:row r="7218" ht="23" customHeight="1">
      <x:c r="A7218" s="11" t="str">
        <x:v>09995.HK</x:v>
      </x:c>
      <x:c r="B7218" s="11" t="str">
        <x:v>五年</x:v>
      </x:c>
      <x:c r="C7218" s="11" t="str">
        <x:v>centralCost</x:v>
      </x:c>
      <x:c r="D7218" s="11" t="str">
        <x:v>2026-12-31</x:v>
      </x:c>
      <x:c r="E7218" s="11" t="str">
        <x:v>CNY</x:v>
      </x:c>
      <x:c r="F7218" s="11" t="n">
        <x:v>-4.772073921971253</x:v>
      </x:c>
      <x:c r="G7218" s="26" t="b">
        <x:v>0</x:v>
      </x:c>
      <x:c r="H7218" s="16" t="n">
        <x:v>0</x:v>
      </x:c>
      <x:c r="I7218" s="16" t="n">
        <x:v>0</x:v>
      </x:c>
      <x:c r="J7218" s="16" t="n">
        <x:v>0</x:v>
      </x:c>
      <x:c r="K7218" s="11" t="n">
        <x:f>CHOOSE('假设'!$B$3,H7218,I7218,J7218)</x:f>
        <x:v>0</x:v>
      </x:c>
      <x:c r="L7218" s="11" t="n">
        <x:f>K7218*'管线假设'!E1543*'管线假设'!F1543*'管线假设'!G1543*IF(E7218="USD",'管线假设'!I1543,1)-AM7218</x:f>
        <x:v>-0.16</x:v>
      </x:c>
      <x:c r="M7218" s="11" t="n">
        <x:f>'管线假设'!H1543</x:f>
        <x:v>0.14</x:v>
      </x:c>
      <x:c r="N7218" s="11" t="n">
        <x:f>IF(G7218,L7218*AN7218/(1+M7218)^F7218,0)</x:f>
        <x:v>0</x:v>
      </x:c>
      <x:c r="AJ7218" s="42" t="n">
        <x:v>0.13</x:v>
      </x:c>
      <x:c r="AK7218" s="42" t="n">
        <x:v>0.16</x:v>
      </x:c>
      <x:c r="AL7218" s="42" t="n">
        <x:v>0.2</x:v>
      </x:c>
      <x:c r="AM7218" t="n">
        <x:f>CHOOSE('假设'!$B$3,AJ7218,AK7218,AL7218)</x:f>
        <x:v>0.16</x:v>
      </x:c>
      <x:c r="AN7218" t="n">
        <x:v>0</x:v>
      </x:c>
    </x:row>
    <x:row r="7219" ht="23" customHeight="1">
      <x:c r="A7219" s="11" t="str">
        <x:v>09995.HK</x:v>
      </x:c>
      <x:c r="B7219" s="11" t="str">
        <x:v>五年</x:v>
      </x:c>
      <x:c r="C7219" s="11" t="str">
        <x:v>centralCost</x:v>
      </x:c>
      <x:c r="D7219" s="11" t="str">
        <x:v>2027-12-31</x:v>
      </x:c>
      <x:c r="E7219" s="11" t="str">
        <x:v>CNY</x:v>
      </x:c>
      <x:c r="F7219" s="11" t="n">
        <x:v>-3.7727583846680357</x:v>
      </x:c>
      <x:c r="G7219" s="26" t="b">
        <x:v>0</x:v>
      </x:c>
      <x:c r="H7219" s="16" t="n">
        <x:v>0</x:v>
      </x:c>
      <x:c r="I7219" s="16" t="n">
        <x:v>0</x:v>
      </x:c>
      <x:c r="J7219" s="16" t="n">
        <x:v>0</x:v>
      </x:c>
      <x:c r="K7219" s="11" t="n">
        <x:f>CHOOSE('假设'!$B$3,H7219,I7219,J7219)</x:f>
        <x:v>0</x:v>
      </x:c>
      <x:c r="L7219" s="11" t="n">
        <x:f>K7219*'管线假设'!E1543*'管线假设'!F1543*'管线假设'!G1543*IF(E7219="USD",'管线假设'!I1543,1)-AM7219</x:f>
        <x:v>-0.1648</x:v>
      </x:c>
      <x:c r="M7219" s="11" t="n">
        <x:f>'管线假设'!H1543</x:f>
        <x:v>0.14</x:v>
      </x:c>
      <x:c r="N7219" s="11" t="n">
        <x:f>IF(G7219,L7219*AN7219/(1+M7219)^F7219,0)</x:f>
        <x:v>0</x:v>
      </x:c>
      <x:c r="AJ7219" s="42" t="n">
        <x:v>0.13390000000000002</x:v>
      </x:c>
      <x:c r="AK7219" s="42" t="n">
        <x:v>0.1648</x:v>
      </x:c>
      <x:c r="AL7219" s="42" t="n">
        <x:v>0.20800000000000002</x:v>
      </x:c>
      <x:c r="AM7219" t="n">
        <x:f>CHOOSE('假设'!$B$3,AJ7219,AK7219,AL7219)</x:f>
        <x:v>0.1648</x:v>
      </x:c>
      <x:c r="AN7219" t="n">
        <x:v>0</x:v>
      </x:c>
    </x:row>
    <x:row r="7220" ht="23" customHeight="1">
      <x:c r="A7220" s="11" t="str">
        <x:v>09995.HK</x:v>
      </x:c>
      <x:c r="B7220" s="11" t="str">
        <x:v>五年</x:v>
      </x:c>
      <x:c r="C7220" s="11" t="str">
        <x:v>centralCost</x:v>
      </x:c>
      <x:c r="D7220" s="11" t="str">
        <x:v>2028-12-31</x:v>
      </x:c>
      <x:c r="E7220" s="11" t="str">
        <x:v>CNY</x:v>
      </x:c>
      <x:c r="F7220" s="11" t="n">
        <x:v>-2.7707049965776864</x:v>
      </x:c>
      <x:c r="G7220" s="26" t="b">
        <x:v>0</x:v>
      </x:c>
      <x:c r="H7220" s="16" t="n">
        <x:v>0</x:v>
      </x:c>
      <x:c r="I7220" s="16" t="n">
        <x:v>0</x:v>
      </x:c>
      <x:c r="J7220" s="16" t="n">
        <x:v>0</x:v>
      </x:c>
      <x:c r="K7220" s="11" t="n">
        <x:f>CHOOSE('假设'!$B$3,H7220,I7220,J7220)</x:f>
        <x:v>0</x:v>
      </x:c>
      <x:c r="L7220" s="11" t="n">
        <x:f>K7220*'管线假设'!E1543*'管线假设'!F1543*'管线假设'!G1543*IF(E7220="USD",'管线假设'!I1543,1)-AM7220</x:f>
        <x:v>-0.169744</x:v>
      </x:c>
      <x:c r="M7220" s="11" t="n">
        <x:f>'管线假设'!H1543</x:f>
        <x:v>0.14</x:v>
      </x:c>
      <x:c r="N7220" s="11" t="n">
        <x:f>IF(G7220,L7220*AN7220/(1+M7220)^F7220,0)</x:f>
        <x:v>0</x:v>
      </x:c>
      <x:c r="AJ7220" s="42" t="n">
        <x:v>0.137917</x:v>
      </x:c>
      <x:c r="AK7220" s="42" t="n">
        <x:v>0.169744</x:v>
      </x:c>
      <x:c r="AL7220" s="42" t="n">
        <x:v>0.21632000000000004</x:v>
      </x:c>
      <x:c r="AM7220" t="n">
        <x:f>CHOOSE('假设'!$B$3,AJ7220,AK7220,AL7220)</x:f>
        <x:v>0.169744</x:v>
      </x:c>
      <x:c r="AN7220" t="n">
        <x:v>0</x:v>
      </x:c>
    </x:row>
    <x:row r="7221" ht="23" customHeight="1">
      <x:c r="A7221" s="11" t="str">
        <x:v>09995.HK</x:v>
      </x:c>
      <x:c r="B7221" s="11" t="str">
        <x:v>五年</x:v>
      </x:c>
      <x:c r="C7221" s="11" t="str">
        <x:v>centralCost</x:v>
      </x:c>
      <x:c r="D7221" s="11" t="str">
        <x:v>2029-12-31</x:v>
      </x:c>
      <x:c r="E7221" s="11" t="str">
        <x:v>CNY</x:v>
      </x:c>
      <x:c r="F7221" s="11" t="n">
        <x:v>-1.7713894592744694</x:v>
      </x:c>
      <x:c r="G7221" s="26" t="b">
        <x:v>0</x:v>
      </x:c>
      <x:c r="H7221" s="16" t="n">
        <x:v>0</x:v>
      </x:c>
      <x:c r="I7221" s="16" t="n">
        <x:v>0</x:v>
      </x:c>
      <x:c r="J7221" s="16" t="n">
        <x:v>0</x:v>
      </x:c>
      <x:c r="K7221" s="11" t="n">
        <x:f>CHOOSE('假设'!$B$3,H7221,I7221,J7221)</x:f>
        <x:v>0</x:v>
      </x:c>
      <x:c r="L7221" s="11" t="n">
        <x:f>K7221*'管线假设'!E1543*'管线假设'!F1543*'管线假设'!G1543*IF(E7221="USD",'管线假设'!I1543,1)-AM7221</x:f>
        <x:v>-0.17483632000000002</x:v>
      </x:c>
      <x:c r="M7221" s="11" t="n">
        <x:f>'管线假设'!H1543</x:f>
        <x:v>0.14</x:v>
      </x:c>
      <x:c r="N7221" s="11" t="n">
        <x:f>IF(G7221,L7221*AN7221/(1+M7221)^F7221,0)</x:f>
        <x:v>0</x:v>
      </x:c>
      <x:c r="AJ7221" s="42" t="n">
        <x:v>0.14205451</x:v>
      </x:c>
      <x:c r="AK7221" s="42" t="n">
        <x:v>0.17483632000000002</x:v>
      </x:c>
      <x:c r="AL7221" s="42" t="n">
        <x:v>0.22497280000000003</x:v>
      </x:c>
      <x:c r="AM7221" t="n">
        <x:f>CHOOSE('假设'!$B$3,AJ7221,AK7221,AL7221)</x:f>
        <x:v>0.17483632000000002</x:v>
      </x:c>
      <x:c r="AN7221" t="n">
        <x:v>0</x:v>
      </x:c>
    </x:row>
    <x:row r="7222" ht="23" customHeight="1">
      <x:c r="A7222" s="11" t="str">
        <x:v>09995.HK</x:v>
      </x:c>
      <x:c r="B7222" s="11" t="str">
        <x:v>五年</x:v>
      </x:c>
      <x:c r="C7222" s="11" t="str">
        <x:v>centralCost</x:v>
      </x:c>
      <x:c r="D7222" s="11" t="str">
        <x:v>2030-12-31</x:v>
      </x:c>
      <x:c r="E7222" s="11" t="str">
        <x:v>CNY</x:v>
      </x:c>
      <x:c r="F7222" s="11" t="n">
        <x:v>-0.7720739219712526</x:v>
      </x:c>
      <x:c r="G7222" s="26" t="b">
        <x:v>0</x:v>
      </x:c>
      <x:c r="H7222" s="16" t="n">
        <x:v>0</x:v>
      </x:c>
      <x:c r="I7222" s="16" t="n">
        <x:v>0</x:v>
      </x:c>
      <x:c r="J7222" s="16" t="n">
        <x:v>0</x:v>
      </x:c>
      <x:c r="K7222" s="11" t="n">
        <x:f>CHOOSE('假设'!$B$3,H7222,I7222,J7222)</x:f>
        <x:v>0</x:v>
      </x:c>
      <x:c r="L7222" s="11" t="n">
        <x:f>K7222*'管线假设'!E1543*'管线假设'!F1543*'管线假设'!G1543*IF(E7222="USD",'管线假设'!I1543,1)-AM7222</x:f>
        <x:v>-0.18008140960000002</x:v>
      </x:c>
      <x:c r="M7222" s="11" t="n">
        <x:f>'管线假设'!H1543</x:f>
        <x:v>0.14</x:v>
      </x:c>
      <x:c r="N7222" s="11" t="n">
        <x:f>IF(G7222,L7222*AN7222/(1+M7222)^F7222,0)</x:f>
        <x:v>0</x:v>
      </x:c>
      <x:c r="AJ7222" s="42" t="n">
        <x:v>0.14631614530000003</x:v>
      </x:c>
      <x:c r="AK7222" s="42" t="n">
        <x:v>0.18008140960000002</x:v>
      </x:c>
      <x:c r="AL7222" s="42" t="n">
        <x:v>0.23397171200000005</x:v>
      </x:c>
      <x:c r="AM7222" t="n">
        <x:f>CHOOSE('假设'!$B$3,AJ7222,AK7222,AL7222)</x:f>
        <x:v>0.18008140960000002</x:v>
      </x:c>
      <x:c r="AN7222" t="n">
        <x:v>0</x:v>
      </x:c>
    </x:row>
    <x:row r="7223" ht="23" customHeight="1">
      <x:c r="A7223" s="11" t="str">
        <x:v>09995.HK</x:v>
      </x:c>
      <x:c r="B7223" s="11" t="str">
        <x:v>五年</x:v>
      </x:c>
      <x:c r="C7223" s="11" t="str">
        <x:v>centralCost</x:v>
      </x:c>
      <x:c r="D7223" s="11" t="str">
        <x:v>2031-12-31</x:v>
      </x:c>
      <x:c r="E7223" s="11" t="str">
        <x:v>CNY</x:v>
      </x:c>
      <x:c r="F7223" s="11" t="n">
        <x:v>0.2272416153319644</x:v>
      </x:c>
      <x:c r="G7223" s="26" t="b">
        <x:v>1</x:v>
      </x:c>
      <x:c r="H7223" s="16" t="n">
        <x:v>0</x:v>
      </x:c>
      <x:c r="I7223" s="16" t="n">
        <x:v>0</x:v>
      </x:c>
      <x:c r="J7223" s="16" t="n">
        <x:v>0</x:v>
      </x:c>
      <x:c r="K7223" s="11" t="n">
        <x:f>CHOOSE('假设'!$B$3,H7223,I7223,J7223)</x:f>
        <x:v>0</x:v>
      </x:c>
      <x:c r="L7223" s="11" t="n">
        <x:f>K7223*'管线假设'!E1543*'管线假设'!F1543*'管线假设'!G1543*IF(E7223="USD",'管线假设'!I1543,1)-AM7223</x:f>
        <x:v>-0.185483851888</x:v>
      </x:c>
      <x:c r="M7223" s="11" t="n">
        <x:f>'管线假设'!H1543</x:f>
        <x:v>0.14</x:v>
      </x:c>
      <x:c r="N7223" s="11" t="n">
        <x:f>IF(G7223,L7223*AN7223/(1+M7223)^F7223,0)</x:f>
        <x:v>-0.041053639518849945</x:v>
      </x:c>
      <x:c r="AJ7223" s="42" t="n">
        <x:v>0.150705629659</x:v>
      </x:c>
      <x:c r="AK7223" s="42" t="n">
        <x:v>0.185483851888</x:v>
      </x:c>
      <x:c r="AL7223" s="42" t="n">
        <x:v>0.24333058048000003</x:v>
      </x:c>
      <x:c r="AM7223" t="n">
        <x:f>CHOOSE('假设'!$B$3,AJ7223,AK7223,AL7223)</x:f>
        <x:v>0.185483851888</x:v>
      </x:c>
      <x:c r="AN7223" t="n">
        <x:v>0.22802197802197802</x:v>
      </x:c>
    </x:row>
    <x:row r="7224" ht="23" customHeight="1">
      <x:c r="A7224" s="11" t="str">
        <x:v>09995.HK</x:v>
      </x:c>
      <x:c r="B7224" s="11" t="str">
        <x:v>五年</x:v>
      </x:c>
      <x:c r="C7224" s="11" t="str">
        <x:v>centralCost</x:v>
      </x:c>
      <x:c r="D7224" s="11" t="str">
        <x:v>2032-12-31</x:v>
      </x:c>
      <x:c r="E7224" s="11" t="str">
        <x:v>CNY</x:v>
      </x:c>
      <x:c r="F7224" s="11" t="n">
        <x:v>1.2292950034223136</x:v>
      </x:c>
      <x:c r="G7224" s="26" t="b">
        <x:v>1</x:v>
      </x:c>
      <x:c r="H7224" s="16" t="n">
        <x:v>0</x:v>
      </x:c>
      <x:c r="I7224" s="16" t="n">
        <x:v>0</x:v>
      </x:c>
      <x:c r="J7224" s="16" t="n">
        <x:v>0</x:v>
      </x:c>
      <x:c r="K7224" s="11" t="n">
        <x:f>CHOOSE('假设'!$B$3,H7224,I7224,J7224)</x:f>
        <x:v>0</x:v>
      </x:c>
      <x:c r="L7224" s="11" t="n">
        <x:f>K7224*'管线假设'!E1543*'管线假设'!F1543*'管线假设'!G1543*IF(E7224="USD",'管线假设'!I1543,1)-AM7224</x:f>
        <x:v>-0.19104836744464002</x:v>
      </x:c>
      <x:c r="M7224" s="11" t="n">
        <x:f>'管线假设'!H1543</x:f>
        <x:v>0.14</x:v>
      </x:c>
      <x:c r="N7224" s="11" t="n">
        <x:f>IF(G7224,L7224*AN7224/(1+M7224)^F7224,0)</x:f>
        <x:v>-0.16262618774694088</x:v>
      </x:c>
      <x:c r="AJ7224" s="42" t="n">
        <x:v>0.15522679854877003</x:v>
      </x:c>
      <x:c r="AK7224" s="42" t="n">
        <x:v>0.19104836744464002</x:v>
      </x:c>
      <x:c r="AL7224" s="42" t="n">
        <x:v>0.25306380369920006</x:v>
      </x:c>
      <x:c r="AM7224" t="n">
        <x:f>CHOOSE('假设'!$B$3,AJ7224,AK7224,AL7224)</x:f>
        <x:v>0.19104836744464002</x:v>
      </x:c>
      <x:c r="AN7224" t="n">
        <x:v>1</x:v>
      </x:c>
    </x:row>
    <x:row r="7225" ht="23" customHeight="1">
      <x:c r="A7225" s="11" t="str">
        <x:v>09995.HK</x:v>
      </x:c>
      <x:c r="B7225" s="11" t="str">
        <x:v>五年</x:v>
      </x:c>
      <x:c r="C7225" s="11" t="str">
        <x:v>centralCost</x:v>
      </x:c>
      <x:c r="D7225" s="11" t="str">
        <x:v>2033-12-31</x:v>
      </x:c>
      <x:c r="E7225" s="11" t="str">
        <x:v>CNY</x:v>
      </x:c>
      <x:c r="F7225" s="11" t="n">
        <x:v>2.2286105407255303</x:v>
      </x:c>
      <x:c r="G7225" s="26" t="b">
        <x:v>1</x:v>
      </x:c>
      <x:c r="H7225" s="16" t="n">
        <x:v>0</x:v>
      </x:c>
      <x:c r="I7225" s="16" t="n">
        <x:v>0</x:v>
      </x:c>
      <x:c r="J7225" s="16" t="n">
        <x:v>0</x:v>
      </x:c>
      <x:c r="K7225" s="11" t="n">
        <x:f>CHOOSE('假设'!$B$3,H7225,I7225,J7225)</x:f>
        <x:v>0</x:v>
      </x:c>
      <x:c r="L7225" s="11" t="n">
        <x:f>K7225*'管线假设'!E1543*'管线假设'!F1543*'管线假设'!G1543*IF(E7225="USD",'管线假设'!I1543,1)-AM7225</x:f>
        <x:v>-0.19677981846797923</x:v>
      </x:c>
      <x:c r="M7225" s="11" t="n">
        <x:f>'管线假设'!H1543</x:f>
        <x:v>0.14</x:v>
      </x:c>
      <x:c r="N7225" s="11" t="n">
        <x:f>IF(G7225,L7225*AN7225/(1+M7225)^F7225,0)</x:f>
        <x:v>-0.1469473654052448</x:v>
      </x:c>
      <x:c r="AJ7225" s="42" t="n">
        <x:v>0.15988360250523312</x:v>
      </x:c>
      <x:c r="AK7225" s="42" t="n">
        <x:v>0.19677981846797923</x:v>
      </x:c>
      <x:c r="AL7225" s="42" t="n">
        <x:v>0.26318635584716804</x:v>
      </x:c>
      <x:c r="AM7225" t="n">
        <x:f>CHOOSE('假设'!$B$3,AJ7225,AK7225,AL7225)</x:f>
        <x:v>0.19677981846797923</x:v>
      </x:c>
      <x:c r="AN7225" t="n">
        <x:v>1</x:v>
      </x:c>
    </x:row>
    <x:row r="7226" ht="23" customHeight="1">
      <x:c r="A7226" s="11" t="str">
        <x:v>09995.HK</x:v>
      </x:c>
      <x:c r="B7226" s="11" t="str">
        <x:v>五年</x:v>
      </x:c>
      <x:c r="C7226" s="11" t="str">
        <x:v>centralCost</x:v>
      </x:c>
      <x:c r="D7226" s="11" t="str">
        <x:v>2034-12-31</x:v>
      </x:c>
      <x:c r="E7226" s="11" t="str">
        <x:v>CNY</x:v>
      </x:c>
      <x:c r="F7226" s="11" t="n">
        <x:v>3.2279260780287475</x:v>
      </x:c>
      <x:c r="G7226" s="26" t="b">
        <x:v>1</x:v>
      </x:c>
      <x:c r="H7226" s="16" t="n">
        <x:v>0</x:v>
      </x:c>
      <x:c r="I7226" s="16" t="n">
        <x:v>0</x:v>
      </x:c>
      <x:c r="J7226" s="16" t="n">
        <x:v>0</x:v>
      </x:c>
      <x:c r="K7226" s="11" t="n">
        <x:f>CHOOSE('假设'!$B$3,H7226,I7226,J7226)</x:f>
        <x:v>0</x:v>
      </x:c>
      <x:c r="L7226" s="11" t="n">
        <x:f>K7226*'管线假设'!E1543*'管线假设'!F1543*'管线假设'!G1543*IF(E7226="USD",'管线假设'!I1543,1)-AM7226</x:f>
        <x:v>-0.20268321302201864</x:v>
      </x:c>
      <x:c r="M7226" s="11" t="n">
        <x:f>'管线假设'!H1543</x:f>
        <x:v>0.14</x:v>
      </x:c>
      <x:c r="N7226" s="11" t="n">
        <x:f>IF(G7226,L7226*AN7226/(1+M7226)^F7226,0)</x:f>
        <x:v>-0.13278014137024327</x:v>
      </x:c>
      <x:c r="AJ7226" s="42" t="n">
        <x:v>0.16468011058039014</x:v>
      </x:c>
      <x:c r="AK7226" s="42" t="n">
        <x:v>0.20268321302201864</x:v>
      </x:c>
      <x:c r="AL7226" s="42" t="n">
        <x:v>0.2737138100810548</x:v>
      </x:c>
      <x:c r="AM7226" t="n">
        <x:f>CHOOSE('假设'!$B$3,AJ7226,AK7226,AL7226)</x:f>
        <x:v>0.20268321302201864</x:v>
      </x:c>
      <x:c r="AN7226" t="n">
        <x:v>1</x:v>
      </x:c>
    </x:row>
    <x:row r="7227" ht="23" customHeight="1">
      <x:c r="A7227" s="11" t="str">
        <x:v>09995.HK</x:v>
      </x:c>
      <x:c r="B7227" s="11" t="str">
        <x:v>五年</x:v>
      </x:c>
      <x:c r="C7227" s="11" t="str">
        <x:v>centralCost</x:v>
      </x:c>
      <x:c r="D7227" s="11" t="str">
        <x:v>2035-12-31</x:v>
      </x:c>
      <x:c r="E7227" s="11" t="str">
        <x:v>CNY</x:v>
      </x:c>
      <x:c r="F7227" s="11" t="n">
        <x:v>4.227241615331964</x:v>
      </x:c>
      <x:c r="G7227" s="26" t="b">
        <x:v>1</x:v>
      </x:c>
      <x:c r="H7227" s="16" t="n">
        <x:v>0</x:v>
      </x:c>
      <x:c r="I7227" s="16" t="n">
        <x:v>0</x:v>
      </x:c>
      <x:c r="J7227" s="16" t="n">
        <x:v>0</x:v>
      </x:c>
      <x:c r="K7227" s="11" t="n">
        <x:f>CHOOSE('假设'!$B$3,H7227,I7227,J7227)</x:f>
        <x:v>0</x:v>
      </x:c>
      <x:c r="L7227" s="11" t="n">
        <x:f>K7227*'管线假设'!E1543*'管线假设'!F1543*'管线假设'!G1543*IF(E7227="USD",'管线假设'!I1543,1)-AM7227</x:f>
        <x:v>-0.2087637094126792</x:v>
      </x:c>
      <x:c r="M7227" s="11" t="n">
        <x:f>'管线假设'!H1543</x:f>
        <x:v>0.14</x:v>
      </x:c>
      <x:c r="N7227" s="11" t="n">
        <x:f>IF(G7227,L7227*AN7227/(1+M7227)^F7227,0)</x:f>
        <x:v>-0.1199787821556447</x:v>
      </x:c>
      <x:c r="AJ7227" s="42" t="n">
        <x:v>0.16962051389780183</x:v>
      </x:c>
      <x:c r="AK7227" s="42" t="n">
        <x:v>0.2087637094126792</x:v>
      </x:c>
      <x:c r="AL7227" s="42" t="n">
        <x:v>0.284662362484297</x:v>
      </x:c>
      <x:c r="AM7227" t="n">
        <x:f>CHOOSE('假设'!$B$3,AJ7227,AK7227,AL7227)</x:f>
        <x:v>0.2087637094126792</x:v>
      </x:c>
      <x:c r="AN7227" t="n">
        <x:v>1</x:v>
      </x:c>
    </x:row>
    <x:row r="7228" ht="23" customHeight="1">
      <x:c r="A7228" s="11" t="str">
        <x:v>09995.HK</x:v>
      </x:c>
      <x:c r="B7228" s="11" t="str">
        <x:v>五年</x:v>
      </x:c>
      <x:c r="C7228" s="11" t="str">
        <x:v>centralCost</x:v>
      </x:c>
      <x:c r="D7228" s="11" t="str">
        <x:v>2036-12-31</x:v>
      </x:c>
      <x:c r="E7228" s="11" t="str">
        <x:v>CNY</x:v>
      </x:c>
      <x:c r="F7228" s="11" t="n">
        <x:v>5.229295003422314</x:v>
      </x:c>
      <x:c r="G7228" s="26" t="b">
        <x:v>1</x:v>
      </x:c>
      <x:c r="H7228" s="16" t="n">
        <x:v>0</x:v>
      </x:c>
      <x:c r="I7228" s="16" t="n">
        <x:v>0</x:v>
      </x:c>
      <x:c r="J7228" s="16" t="n">
        <x:v>0</x:v>
      </x:c>
      <x:c r="K7228" s="11" t="n">
        <x:f>CHOOSE('假设'!$B$3,H7228,I7228,J7228)</x:f>
        <x:v>0</x:v>
      </x:c>
      <x:c r="L7228" s="11" t="n">
        <x:f>K7228*'管线假设'!E1543*'管线假设'!F1543*'管线假设'!G1543*IF(E7228="USD",'管线假设'!I1543,1)-AM7228</x:f>
        <x:v>-0.21502662069505957</x:v>
      </x:c>
      <x:c r="M7228" s="11" t="n">
        <x:f>'管线假设'!H1543</x:f>
        <x:v>0.14</x:v>
      </x:c>
      <x:c r="N7228" s="11" t="n">
        <x:f>IF(G7228,L7228*AN7228/(1+M7228)^F7228,0)</x:f>
        <x:v>-0.10837272031679891</x:v>
      </x:c>
      <x:c r="AJ7228" s="42" t="n">
        <x:v>0.1747091293147359</x:v>
      </x:c>
      <x:c r="AK7228" s="42" t="n">
        <x:v>0.21502662069505957</x:v>
      </x:c>
      <x:c r="AL7228" s="42" t="n">
        <x:v>0.2960488569836689</x:v>
      </x:c>
      <x:c r="AM7228" t="n">
        <x:f>CHOOSE('假设'!$B$3,AJ7228,AK7228,AL7228)</x:f>
        <x:v>0.21502662069505957</x:v>
      </x:c>
      <x:c r="AN7228" t="n">
        <x:v>1</x:v>
      </x:c>
    </x:row>
    <x:row r="7229" ht="23" customHeight="1">
      <x:c r="A7229" s="11" t="str">
        <x:v>09995.HK</x:v>
      </x:c>
      <x:c r="B7229" s="11" t="str">
        <x:v>五年</x:v>
      </x:c>
      <x:c r="C7229" s="11" t="str">
        <x:v>centralCost</x:v>
      </x:c>
      <x:c r="D7229" s="11" t="str">
        <x:v>2037-12-31</x:v>
      </x:c>
      <x:c r="E7229" s="11" t="str">
        <x:v>CNY</x:v>
      </x:c>
      <x:c r="F7229" s="11" t="n">
        <x:v>6.228610540725531</x:v>
      </x:c>
      <x:c r="G7229" s="26" t="b">
        <x:v>1</x:v>
      </x:c>
      <x:c r="H7229" s="16" t="n">
        <x:v>0</x:v>
      </x:c>
      <x:c r="I7229" s="16" t="n">
        <x:v>0</x:v>
      </x:c>
      <x:c r="J7229" s="16" t="n">
        <x:v>0</x:v>
      </x:c>
      <x:c r="K7229" s="11" t="n">
        <x:f>CHOOSE('假设'!$B$3,H7229,I7229,J7229)</x:f>
        <x:v>0</x:v>
      </x:c>
      <x:c r="L7229" s="11" t="n">
        <x:f>K7229*'管线假设'!E1543*'管线假设'!F1543*'管线假设'!G1543*IF(E7229="USD",'管线假设'!I1543,1)-AM7229</x:f>
        <x:v>-0.22147741931591136</x:v>
      </x:c>
      <x:c r="M7229" s="11" t="n">
        <x:f>'管线假设'!H1543</x:f>
        <x:v>0.14</x:v>
      </x:c>
      <x:c r="N7229" s="11" t="n">
        <x:f>IF(G7229,L7229*AN7229/(1+M7229)^F7229,0)</x:f>
        <x:v>-0.0979244853057352</x:v>
      </x:c>
      <x:c r="AJ7229" s="42" t="n">
        <x:v>0.179950403194178</x:v>
      </x:c>
      <x:c r="AK7229" s="42" t="n">
        <x:v>0.22147741931591136</x:v>
      </x:c>
      <x:c r="AL7229" s="42" t="n">
        <x:v>0.30789081126301565</x:v>
      </x:c>
      <x:c r="AM7229" t="n">
        <x:f>CHOOSE('假设'!$B$3,AJ7229,AK7229,AL7229)</x:f>
        <x:v>0.22147741931591136</x:v>
      </x:c>
      <x:c r="AN7229" t="n">
        <x:v>1</x:v>
      </x:c>
    </x:row>
    <x:row r="7230" ht="23" customHeight="1">
      <x:c r="A7230" s="11" t="str">
        <x:v>09995.HK</x:v>
      </x:c>
      <x:c r="B7230" s="11" t="str">
        <x:v>五年</x:v>
      </x:c>
      <x:c r="C7230" s="11" t="str">
        <x:v>centralCost</x:v>
      </x:c>
      <x:c r="D7230" s="11" t="str">
        <x:v>2038-12-31</x:v>
      </x:c>
      <x:c r="E7230" s="11" t="str">
        <x:v>CNY</x:v>
      </x:c>
      <x:c r="F7230" s="11" t="n">
        <x:v>7.227926078028747</x:v>
      </x:c>
      <x:c r="G7230" s="26" t="b">
        <x:v>1</x:v>
      </x:c>
      <x:c r="H7230" s="16" t="n">
        <x:v>0</x:v>
      </x:c>
      <x:c r="I7230" s="16" t="n">
        <x:v>0</x:v>
      </x:c>
      <x:c r="J7230" s="16" t="n">
        <x:v>0</x:v>
      </x:c>
      <x:c r="K7230" s="11" t="n">
        <x:f>CHOOSE('假设'!$B$3,H7230,I7230,J7230)</x:f>
        <x:v>0</x:v>
      </x:c>
      <x:c r="L7230" s="11" t="n">
        <x:f>K7230*'管线假设'!E1543*'管线假设'!F1543*'管线假设'!G1543*IF(E7230="USD",'管线假设'!I1543,1)-AM7230</x:f>
        <x:v>-0.2281217418953887</x:v>
      </x:c>
      <x:c r="M7230" s="11" t="n">
        <x:f>'管线假设'!H1543</x:f>
        <x:v>0.14</x:v>
      </x:c>
      <x:c r="N7230" s="11" t="n">
        <x:f>IF(G7230,L7230*AN7230/(1+M7230)^F7230,0)</x:f>
        <x:v>-0.08848356666107163</x:v>
      </x:c>
      <x:c r="AJ7230" s="42" t="n">
        <x:v>0.1853489152900033</x:v>
      </x:c>
      <x:c r="AK7230" s="42" t="n">
        <x:v>0.2281217418953887</x:v>
      </x:c>
      <x:c r="AL7230" s="42" t="n">
        <x:v>0.32020644371353635</x:v>
      </x:c>
      <x:c r="AM7230" t="n">
        <x:f>CHOOSE('假设'!$B$3,AJ7230,AK7230,AL7230)</x:f>
        <x:v>0.2281217418953887</x:v>
      </x:c>
      <x:c r="AN7230" t="n">
        <x:v>1</x:v>
      </x:c>
    </x:row>
    <x:row r="7231" ht="23" customHeight="1">
      <x:c r="A7231" s="11" t="str">
        <x:v>09995.HK</x:v>
      </x:c>
      <x:c r="B7231" s="11" t="str">
        <x:v>五年</x:v>
      </x:c>
      <x:c r="C7231" s="11" t="str">
        <x:v>centralCost</x:v>
      </x:c>
      <x:c r="D7231" s="11" t="str">
        <x:v>2039-12-31</x:v>
      </x:c>
      <x:c r="E7231" s="11" t="str">
        <x:v>CNY</x:v>
      </x:c>
      <x:c r="F7231" s="11" t="n">
        <x:v>8.227241615331964</x:v>
      </x:c>
      <x:c r="G7231" s="26" t="b">
        <x:v>1</x:v>
      </x:c>
      <x:c r="H7231" s="16" t="n">
        <x:v>0</x:v>
      </x:c>
      <x:c r="I7231" s="16" t="n">
        <x:v>0</x:v>
      </x:c>
      <x:c r="J7231" s="16" t="n">
        <x:v>0</x:v>
      </x:c>
      <x:c r="K7231" s="11" t="n">
        <x:f>CHOOSE('假设'!$B$3,H7231,I7231,J7231)</x:f>
        <x:v>0</x:v>
      </x:c>
      <x:c r="L7231" s="11" t="n">
        <x:f>K7231*'管线假设'!E1543*'管线假设'!F1543*'管线假设'!G1543*IF(E7231="USD",'管线假设'!I1543,1)-AM7231</x:f>
        <x:v>-0.23496539415225037</x:v>
      </x:c>
      <x:c r="M7231" s="11" t="n">
        <x:f>'管线假设'!H1543</x:f>
        <x:v>0.14</x:v>
      </x:c>
      <x:c r="N7231" s="11" t="n">
        <x:f>IF(G7231,L7231*AN7231/(1+M7231)^F7231,0)</x:f>
        <x:v>-0.07995284881630889</x:v>
      </x:c>
      <x:c r="AJ7231" s="42" t="n">
        <x:v>0.19090938274870342</x:v>
      </x:c>
      <x:c r="AK7231" s="42" t="n">
        <x:v>0.23496539415225037</x:v>
      </x:c>
      <x:c r="AL7231" s="42" t="n">
        <x:v>0.3330147014620778</x:v>
      </x:c>
      <x:c r="AM7231" t="n">
        <x:f>CHOOSE('假设'!$B$3,AJ7231,AK7231,AL7231)</x:f>
        <x:v>0.23496539415225037</x:v>
      </x:c>
      <x:c r="AN7231" t="n">
        <x:v>1</x:v>
      </x:c>
    </x:row>
    <x:row r="7232" ht="23" customHeight="1">
      <x:c r="A7232" s="11" t="str">
        <x:v>09995.HK</x:v>
      </x:c>
      <x:c r="B7232" s="11" t="str">
        <x:v>五年</x:v>
      </x:c>
      <x:c r="C7232" s="11" t="str">
        <x:v>centralCost</x:v>
      </x:c>
      <x:c r="D7232" s="11" t="str">
        <x:v>2040-12-31</x:v>
      </x:c>
      <x:c r="E7232" s="11" t="str">
        <x:v>CNY</x:v>
      </x:c>
      <x:c r="F7232" s="11" t="n">
        <x:v>9.229295003422314</x:v>
      </x:c>
      <x:c r="G7232" s="26" t="b">
        <x:v>1</x:v>
      </x:c>
      <x:c r="H7232" s="16" t="n">
        <x:v>0</x:v>
      </x:c>
      <x:c r="I7232" s="16" t="n">
        <x:v>0</x:v>
      </x:c>
      <x:c r="J7232" s="16" t="n">
        <x:v>0</x:v>
      </x:c>
      <x:c r="K7232" s="11" t="n">
        <x:f>CHOOSE('假设'!$B$3,H7232,I7232,J7232)</x:f>
        <x:v>0</x:v>
      </x:c>
      <x:c r="L7232" s="11" t="n">
        <x:f>K7232*'管线假设'!E1543*'管线假设'!F1543*'管线假设'!G1543*IF(E7232="USD",'管线假设'!I1543,1)-AM7232</x:f>
        <x:v>-0.24201435597681792</x:v>
      </x:c>
      <x:c r="M7232" s="11" t="n">
        <x:f>'管线假设'!H1543</x:f>
        <x:v>0.14</x:v>
      </x:c>
      <x:c r="N7232" s="11" t="n">
        <x:f>IF(G7232,L7232*AN7232/(1+M7232)^F7232,0)</x:f>
        <x:v>-0.07221866706448726</x:v>
      </x:c>
      <x:c r="AJ7232" s="42" t="n">
        <x:v>0.19663666423116455</x:v>
      </x:c>
      <x:c r="AK7232" s="42" t="n">
        <x:v>0.24201435597681792</x:v>
      </x:c>
      <x:c r="AL7232" s="42" t="n">
        <x:v>0.3463352895205609</x:v>
      </x:c>
      <x:c r="AM7232" t="n">
        <x:f>CHOOSE('假设'!$B$3,AJ7232,AK7232,AL7232)</x:f>
        <x:v>0.24201435597681792</x:v>
      </x:c>
      <x:c r="AN7232" t="n">
        <x:v>1</x:v>
      </x:c>
    </x:row>
    <x:row r="7233" ht="23" customHeight="1">
      <x:c r="A7233" s="11" t="str">
        <x:v>09995.HK</x:v>
      </x:c>
      <x:c r="B7233" s="11" t="str">
        <x:v>五年</x:v>
      </x:c>
      <x:c r="C7233" s="11" t="str">
        <x:v>centralCost</x:v>
      </x:c>
      <x:c r="D7233" s="11" t="str">
        <x:v>2041-12-31</x:v>
      </x:c>
      <x:c r="E7233" s="11" t="str">
        <x:v>CNY</x:v>
      </x:c>
      <x:c r="F7233" s="11" t="n">
        <x:v>10.22861054072553</x:v>
      </x:c>
      <x:c r="G7233" s="26" t="b">
        <x:v>1</x:v>
      </x:c>
      <x:c r="H7233" s="16" t="n">
        <x:v>0</x:v>
      </x:c>
      <x:c r="I7233" s="16" t="n">
        <x:v>0</x:v>
      </x:c>
      <x:c r="J7233" s="16" t="n">
        <x:v>0</x:v>
      </x:c>
      <x:c r="K7233" s="11" t="n">
        <x:f>CHOOSE('假设'!$B$3,H7233,I7233,J7233)</x:f>
        <x:v>0</x:v>
      </x:c>
      <x:c r="L7233" s="11" t="n">
        <x:f>K7233*'管线假设'!E1543*'管线假设'!F1543*'管线假设'!G1543*IF(E7233="USD",'管线假设'!I1543,1)-AM7233</x:f>
        <x:v>-0.24927478665612243</x:v>
      </x:c>
      <x:c r="M7233" s="11" t="n">
        <x:f>'管线假设'!H1543</x:f>
        <x:v>0.14</x:v>
      </x:c>
      <x:c r="N7233" s="11" t="n">
        <x:f>IF(G7233,L7233*AN7233/(1+M7233)^F7233,0)</x:f>
        <x:v>-0.06525605134837549</x:v>
      </x:c>
      <x:c r="AJ7233" s="42" t="n">
        <x:v>0.20253576415809946</x:v>
      </x:c>
      <x:c r="AK7233" s="42" t="n">
        <x:v>0.24927478665612243</x:v>
      </x:c>
      <x:c r="AL7233" s="42" t="n">
        <x:v>0.36018870110138335</x:v>
      </x:c>
      <x:c r="AM7233" t="n">
        <x:f>CHOOSE('假设'!$B$3,AJ7233,AK7233,AL7233)</x:f>
        <x:v>0.24927478665612243</x:v>
      </x:c>
      <x:c r="AN7233" t="n">
        <x:v>1</x:v>
      </x:c>
    </x:row>
    <x:row r="7234" ht="23" customHeight="1">
      <x:c r="A7234" s="11" t="str">
        <x:v>09995.HK</x:v>
      </x:c>
      <x:c r="B7234" s="11" t="str">
        <x:v>五年</x:v>
      </x:c>
      <x:c r="C7234" s="11" t="str">
        <x:v>centralCost</x:v>
      </x:c>
      <x:c r="D7234" s="11" t="str">
        <x:v>2042-12-31</x:v>
      </x:c>
      <x:c r="E7234" s="11" t="str">
        <x:v>CNY</x:v>
      </x:c>
      <x:c r="F7234" s="11" t="n">
        <x:v>11.227926078028748</x:v>
      </x:c>
      <x:c r="G7234" s="26" t="b">
        <x:v>1</x:v>
      </x:c>
      <x:c r="H7234" s="16" t="n">
        <x:v>0</x:v>
      </x:c>
      <x:c r="I7234" s="16" t="n">
        <x:v>0</x:v>
      </x:c>
      <x:c r="J7234" s="16" t="n">
        <x:v>0</x:v>
      </x:c>
      <x:c r="K7234" s="11" t="n">
        <x:f>CHOOSE('假设'!$B$3,H7234,I7234,J7234)</x:f>
        <x:v>0</x:v>
      </x:c>
      <x:c r="L7234" s="11" t="n">
        <x:f>K7234*'管线假设'!E1543*'管线假设'!F1543*'管线假设'!G1543*IF(E7234="USD",'管线假设'!I1543,1)-AM7234</x:f>
        <x:v>-0.2567530302558061</x:v>
      </x:c>
      <x:c r="M7234" s="11" t="n">
        <x:f>'管线假设'!H1543</x:f>
        <x:v>0.14</x:v>
      </x:c>
      <x:c r="N7234" s="11" t="n">
        <x:f>IF(G7234,L7234*AN7234/(1+M7234)^F7234,0)</x:f>
        <x:v>-0.058964702765551526</x:v>
      </x:c>
      <x:c r="AJ7234" s="42" t="n">
        <x:v>0.20861183708284248</x:v>
      </x:c>
      <x:c r="AK7234" s="42" t="n">
        <x:v>0.2567530302558061</x:v>
      </x:c>
      <x:c r="AL7234" s="42" t="n">
        <x:v>0.37459624914543865</x:v>
      </x:c>
      <x:c r="AM7234" t="n">
        <x:f>CHOOSE('假设'!$B$3,AJ7234,AK7234,AL7234)</x:f>
        <x:v>0.2567530302558061</x:v>
      </x:c>
      <x:c r="AN7234" t="n">
        <x:v>1</x:v>
      </x:c>
    </x:row>
    <x:row r="7235" ht="23" customHeight="1">
      <x:c r="A7235" s="11" t="str">
        <x:v>09995.HK</x:v>
      </x:c>
      <x:c r="B7235" s="11" t="str">
        <x:v>五年</x:v>
      </x:c>
      <x:c r="C7235" s="11" t="str">
        <x:v>centralCost</x:v>
      </x:c>
      <x:c r="D7235" s="11" t="str">
        <x:v>2043-12-31</x:v>
      </x:c>
      <x:c r="E7235" s="11" t="str">
        <x:v>CNY</x:v>
      </x:c>
      <x:c r="F7235" s="11" t="n">
        <x:v>12.227241615331964</x:v>
      </x:c>
      <x:c r="G7235" s="26" t="b">
        <x:v>1</x:v>
      </x:c>
      <x:c r="H7235" s="16" t="n">
        <x:v>0</x:v>
      </x:c>
      <x:c r="I7235" s="16" t="n">
        <x:v>0</x:v>
      </x:c>
      <x:c r="J7235" s="16" t="n">
        <x:v>0</x:v>
      </x:c>
      <x:c r="K7235" s="11" t="n">
        <x:f>CHOOSE('假设'!$B$3,H7235,I7235,J7235)</x:f>
        <x:v>0</x:v>
      </x:c>
      <x:c r="L7235" s="11" t="n">
        <x:f>K7235*'管线假设'!E1543*'管线假设'!F1543*'管线假设'!G1543*IF(E7235="USD",'管线假设'!I1543,1)-AM7235</x:f>
        <x:v>-0.2644556211634803</x:v>
      </x:c>
      <x:c r="M7235" s="11" t="n">
        <x:f>'管线假设'!H1543</x:f>
        <x:v>0.14</x:v>
      </x:c>
      <x:c r="N7235" s="11" t="n">
        <x:f>IF(G7235,L7235*AN7235/(1+M7235)^F7235,0)</x:f>
        <x:v>-0.053279904321339173</x:v>
      </x:c>
      <x:c r="AJ7235" s="42" t="n">
        <x:v>0.21487019219532774</x:v>
      </x:c>
      <x:c r="AK7235" s="42" t="n">
        <x:v>0.2644556211634803</x:v>
      </x:c>
      <x:c r="AL7235" s="42" t="n">
        <x:v>0.38958009911125624</x:v>
      </x:c>
      <x:c r="AM7235" t="n">
        <x:f>CHOOSE('假设'!$B$3,AJ7235,AK7235,AL7235)</x:f>
        <x:v>0.2644556211634803</x:v>
      </x:c>
      <x:c r="AN7235" t="n">
        <x:v>1</x:v>
      </x:c>
    </x:row>
    <x:row r="7236" ht="23" customHeight="1">
      <x:c r="A7236" s="11" t="str">
        <x:v>09995.HK</x:v>
      </x:c>
      <x:c r="B7236" s="11" t="str">
        <x:v>五年</x:v>
      </x:c>
      <x:c r="C7236" s="11" t="str">
        <x:v>centralCost</x:v>
      </x:c>
      <x:c r="D7236" s="11" t="str">
        <x:v>2044-12-31</x:v>
      </x:c>
      <x:c r="E7236" s="11" t="str">
        <x:v>CNY</x:v>
      </x:c>
      <x:c r="F7236" s="11" t="n">
        <x:v>13.229295003422314</x:v>
      </x:c>
      <x:c r="G7236" s="26" t="b">
        <x:v>1</x:v>
      </x:c>
      <x:c r="H7236" s="16" t="n">
        <x:v>0</x:v>
      </x:c>
      <x:c r="I7236" s="16" t="n">
        <x:v>0</x:v>
      </x:c>
      <x:c r="J7236" s="16" t="n">
        <x:v>0</x:v>
      </x:c>
      <x:c r="K7236" s="11" t="n">
        <x:f>CHOOSE('假设'!$B$3,H7236,I7236,J7236)</x:f>
        <x:v>0</x:v>
      </x:c>
      <x:c r="L7236" s="11" t="n">
        <x:f>K7236*'管线假设'!E1543*'管线假设'!F1543*'管线假设'!G1543*IF(E7236="USD",'管线假设'!I1543,1)-AM7236</x:f>
        <x:v>-0.2723892897983847</x:v>
      </x:c>
      <x:c r="M7236" s="11" t="n">
        <x:f>'管线假设'!H1543</x:f>
        <x:v>0.14</x:v>
      </x:c>
      <x:c r="N7236" s="11" t="n">
        <x:f>IF(G7236,L7236*AN7236/(1+M7236)^F7236,0)</x:f>
        <x:v>-0.04812591081339493</x:v>
      </x:c>
      <x:c r="AJ7236" s="42" t="n">
        <x:v>0.2213162979611876</x:v>
      </x:c>
      <x:c r="AK7236" s="42" t="n">
        <x:v>0.2723892897983847</x:v>
      </x:c>
      <x:c r="AL7236" s="42" t="n">
        <x:v>0.4051633030757065</x:v>
      </x:c>
      <x:c r="AM7236" t="n">
        <x:f>CHOOSE('假设'!$B$3,AJ7236,AK7236,AL7236)</x:f>
        <x:v>0.2723892897983847</x:v>
      </x:c>
      <x:c r="AN7236" t="n">
        <x:v>1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4" t="str">
        <x:v>Vor剩余权益假设 先扣版税和里程碑 不加六月账面权证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版税前现金率</x:v>
      </x:c>
      <x:c r="E6" s="12" t="str">
        <x:v>版税税抵扣率</x:v>
      </x:c>
      <x:c r="F6" s="12" t="str">
        <x:v>许可方净现金系数</x:v>
      </x:c>
      <x:c r="G6" s="12" t="str">
        <x:v>Vor未来现金USD十亿</x:v>
      </x:c>
      <x:c r="H6" s="12" t="str">
        <x:v>Vor稀释股数十亿</x:v>
      </x:c>
      <x:c r="I6" s="12" t="str">
        <x:v>权证标的股数十亿</x:v>
      </x:c>
      <x:c r="J6" s="12" t="str">
        <x:v>行权USD每股</x:v>
      </x:c>
      <x:c r="K6" s="12" t="str">
        <x:v>持股折扣</x:v>
      </x:c>
    </x:row>
    <x:row r="7" ht="23" customHeight="1">
      <x:c r="A7" s="11" t="str">
        <x:v>09995.HK</x:v>
      </x:c>
      <x:c r="B7" s="11" t="str">
        <x:v>2026年底</x:v>
      </x:c>
      <x:c r="C7" s="11" t="str">
        <x:v>活动输入</x:v>
      </x:c>
      <x:c r="D7" s="11" t="n">
        <x:f>CHOOSE('假设'!$B$3,D8,D9,D10)</x:f>
        <x:v>0.34</x:v>
      </x:c>
      <x:c r="E7" s="11" t="n">
        <x:f>CHOOSE('假设'!$B$3,E8,E9,E10)</x:f>
        <x:v>0.8</x:v>
      </x:c>
      <x:c r="F7" s="11" t="n">
        <x:f>CHOOSE('假设'!$B$3,F8,F9,F10)</x:f>
        <x:v>0.82</x:v>
      </x:c>
      <x:c r="G7" s="11" t="n">
        <x:f>CHOOSE('假设'!$B$3,G8,G9,G10)</x:f>
        <x:v>1.46</x:v>
      </x:c>
      <x:c r="H7" s="11" t="n">
        <x:f>CHOOSE('假设'!$B$3,H8,H9,H10)</x:f>
        <x:v>0.112</x:v>
      </x:c>
      <x:c r="I7" s="11" t="n">
        <x:f>CHOOSE('假设'!$B$3,I8,I9,I10)</x:f>
        <x:v>0.016</x:v>
      </x:c>
      <x:c r="J7" s="11" t="n">
        <x:f>CHOOSE('假设'!$B$3,J8,J9,J10)</x:f>
        <x:v>0.002</x:v>
      </x:c>
      <x:c r="K7" s="11" t="n">
        <x:f>CHOOSE('假设'!$B$3,K8,K9,K10)</x:f>
        <x:v>0.9</x:v>
      </x:c>
    </x:row>
    <x:row r="8" ht="23" customHeight="1">
      <x:c r="A8" s="11" t="str">
        <x:v>09995.HK</x:v>
      </x:c>
      <x:c r="B8" s="11" t="str">
        <x:v>2026年底</x:v>
      </x:c>
      <x:c r="C8" s="11" t="str">
        <x:v>悲观</x:v>
      </x:c>
      <x:c r="D8" s="16" t="n">
        <x:v>0.24</x:v>
      </x:c>
      <x:c r="E8" s="16" t="n">
        <x:v>0.8</x:v>
      </x:c>
      <x:c r="F8" s="16" t="n">
        <x:v>0.78</x:v>
      </x:c>
      <x:c r="G8" s="16" t="n">
        <x:v>0.38</x:v>
      </x:c>
      <x:c r="H8" s="16" t="n">
        <x:v>0.13</x:v>
      </x:c>
      <x:c r="I8" s="16" t="n">
        <x:v>0.016</x:v>
      </x:c>
      <x:c r="J8" s="16" t="n">
        <x:v>0.002</x:v>
      </x:c>
      <x:c r="K8" s="16" t="n">
        <x:v>0.8</x:v>
      </x:c>
    </x:row>
    <x:row r="9" ht="23" customHeight="1">
      <x:c r="A9" s="11" t="str">
        <x:v>09995.HK</x:v>
      </x:c>
      <x:c r="B9" s="11" t="str">
        <x:v>2026年底</x:v>
      </x:c>
      <x:c r="C9" s="11" t="str">
        <x:v>基准</x:v>
      </x:c>
      <x:c r="D9" s="16" t="n">
        <x:v>0.34</x:v>
      </x:c>
      <x:c r="E9" s="16" t="n">
        <x:v>0.8</x:v>
      </x:c>
      <x:c r="F9" s="16" t="n">
        <x:v>0.82</x:v>
      </x:c>
      <x:c r="G9" s="16" t="n">
        <x:v>1.46</x:v>
      </x:c>
      <x:c r="H9" s="16" t="n">
        <x:v>0.112</x:v>
      </x:c>
      <x:c r="I9" s="16" t="n">
        <x:v>0.016</x:v>
      </x:c>
      <x:c r="J9" s="16" t="n">
        <x:v>0.002</x:v>
      </x:c>
      <x:c r="K9" s="16" t="n">
        <x:v>0.9</x:v>
      </x:c>
    </x:row>
    <x:row r="10" ht="23" customHeight="1">
      <x:c r="A10" s="11" t="str">
        <x:v>09995.HK</x:v>
      </x:c>
      <x:c r="B10" s="11" t="str">
        <x:v>2026年底</x:v>
      </x:c>
      <x:c r="C10" s="11" t="str">
        <x:v>乐观</x:v>
      </x:c>
      <x:c r="D10" s="16" t="n">
        <x:v>0.42</x:v>
      </x:c>
      <x:c r="E10" s="16" t="n">
        <x:v>0.8</x:v>
      </x:c>
      <x:c r="F10" s="16" t="n">
        <x:v>0.85</x:v>
      </x:c>
      <x:c r="G10" s="16" t="n">
        <x:v>0.52</x:v>
      </x:c>
      <x:c r="H10" s="16" t="n">
        <x:v>0.104</x:v>
      </x:c>
      <x:c r="I10" s="16" t="n">
        <x:v>0.016</x:v>
      </x:c>
      <x:c r="J10" s="16" t="n">
        <x:v>0.002</x:v>
      </x:c>
      <x:c r="K10" s="16" t="n">
        <x:v>0.95</x:v>
      </x:c>
    </x:row>
    <x:row r="11" ht="23" customHeight="1">
      <x:c r="A11" s="11" t="str">
        <x:v>09995.HK</x:v>
      </x:c>
      <x:c r="B11" s="11" t="str">
        <x:v>半年</x:v>
      </x:c>
      <x:c r="C11" s="11" t="str">
        <x:v>活动输入</x:v>
      </x:c>
      <x:c r="D11" s="11" t="n">
        <x:f>CHOOSE('假设'!$B$3,D12,D13,D14)</x:f>
        <x:v>0.34</x:v>
      </x:c>
      <x:c r="E11" s="11" t="n">
        <x:f>CHOOSE('假设'!$B$3,E12,E13,E14)</x:f>
        <x:v>0.8</x:v>
      </x:c>
      <x:c r="F11" s="11" t="n">
        <x:f>CHOOSE('假设'!$B$3,F12,F13,F14)</x:f>
        <x:v>0.82</x:v>
      </x:c>
      <x:c r="G11" s="11" t="n">
        <x:f>CHOOSE('假设'!$B$3,G12,G13,G14)</x:f>
        <x:v>0.39</x:v>
      </x:c>
      <x:c r="H11" s="11" t="n">
        <x:f>CHOOSE('假设'!$B$3,H12,H13,H14)</x:f>
        <x:v>0.12</x:v>
      </x:c>
      <x:c r="I11" s="11" t="n">
        <x:f>CHOOSE('假设'!$B$3,I12,I13,I14)</x:f>
        <x:v>0.016</x:v>
      </x:c>
      <x:c r="J11" s="11" t="n">
        <x:f>CHOOSE('假设'!$B$3,J12,J13,J14)</x:f>
        <x:v>0.002</x:v>
      </x:c>
      <x:c r="K11" s="11" t="n">
        <x:f>CHOOSE('假设'!$B$3,K12,K13,K14)</x:f>
        <x:v>0.9</x:v>
      </x:c>
    </x:row>
    <x:row r="12" ht="23" customHeight="1">
      <x:c r="A12" s="11" t="str">
        <x:v>09995.HK</x:v>
      </x:c>
      <x:c r="B12" s="11" t="str">
        <x:v>半年</x:v>
      </x:c>
      <x:c r="C12" s="11" t="str">
        <x:v>悲观</x:v>
      </x:c>
      <x:c r="D12" s="16" t="n">
        <x:v>0.24</x:v>
      </x:c>
      <x:c r="E12" s="16" t="n">
        <x:v>0.8</x:v>
      </x:c>
      <x:c r="F12" s="16" t="n">
        <x:v>0.78</x:v>
      </x:c>
      <x:c r="G12" s="16" t="n">
        <x:v>0.25</x:v>
      </x:c>
      <x:c r="H12" s="16" t="n">
        <x:v>0.145</x:v>
      </x:c>
      <x:c r="I12" s="16" t="n">
        <x:v>0.016</x:v>
      </x:c>
      <x:c r="J12" s="16" t="n">
        <x:v>0.002</x:v>
      </x:c>
      <x:c r="K12" s="16" t="n">
        <x:v>0.8</x:v>
      </x:c>
    </x:row>
    <x:row r="13" ht="23" customHeight="1">
      <x:c r="A13" s="11" t="str">
        <x:v>09995.HK</x:v>
      </x:c>
      <x:c r="B13" s="11" t="str">
        <x:v>半年</x:v>
      </x:c>
      <x:c r="C13" s="11" t="str">
        <x:v>基准</x:v>
      </x:c>
      <x:c r="D13" s="16" t="n">
        <x:v>0.34</x:v>
      </x:c>
      <x:c r="E13" s="16" t="n">
        <x:v>0.8</x:v>
      </x:c>
      <x:c r="F13" s="16" t="n">
        <x:v>0.82</x:v>
      </x:c>
      <x:c r="G13" s="16" t="n">
        <x:v>0.39</x:v>
      </x:c>
      <x:c r="H13" s="16" t="n">
        <x:v>0.12</x:v>
      </x:c>
      <x:c r="I13" s="16" t="n">
        <x:v>0.016</x:v>
      </x:c>
      <x:c r="J13" s="16" t="n">
        <x:v>0.002</x:v>
      </x:c>
      <x:c r="K13" s="16" t="n">
        <x:v>0.9</x:v>
      </x:c>
    </x:row>
    <x:row r="14" ht="23" customHeight="1">
      <x:c r="A14" s="11" t="str">
        <x:v>09995.HK</x:v>
      </x:c>
      <x:c r="B14" s="11" t="str">
        <x:v>半年</x:v>
      </x:c>
      <x:c r="C14" s="11" t="str">
        <x:v>乐观</x:v>
      </x:c>
      <x:c r="D14" s="16" t="n">
        <x:v>0.42</x:v>
      </x:c>
      <x:c r="E14" s="16" t="n">
        <x:v>0.8</x:v>
      </x:c>
      <x:c r="F14" s="16" t="n">
        <x:v>0.85</x:v>
      </x:c>
      <x:c r="G14" s="16" t="n">
        <x:v>0.49</x:v>
      </x:c>
      <x:c r="H14" s="16" t="n">
        <x:v>0.11</x:v>
      </x:c>
      <x:c r="I14" s="16" t="n">
        <x:v>0.016</x:v>
      </x:c>
      <x:c r="J14" s="16" t="n">
        <x:v>0.002</x:v>
      </x:c>
      <x:c r="K14" s="16" t="n">
        <x:v>0.95</x:v>
      </x:c>
    </x:row>
    <x:row r="15" ht="23" customHeight="1">
      <x:c r="A15" s="11" t="str">
        <x:v>09995.HK</x:v>
      </x:c>
      <x:c r="B15" s="11" t="str">
        <x:v>一年</x:v>
      </x:c>
      <x:c r="C15" s="11" t="str">
        <x:v>活动输入</x:v>
      </x:c>
      <x:c r="D15" s="11" t="n">
        <x:f>CHOOSE('假设'!$B$3,D16,D17,D18)</x:f>
        <x:v>0.34</x:v>
      </x:c>
      <x:c r="E15" s="11" t="n">
        <x:f>CHOOSE('假设'!$B$3,E16,E17,E18)</x:f>
        <x:v>0.8</x:v>
      </x:c>
      <x:c r="F15" s="11" t="n">
        <x:f>CHOOSE('假设'!$B$3,F16,F17,F18)</x:f>
        <x:v>0.82</x:v>
      </x:c>
      <x:c r="G15" s="11" t="n">
        <x:f>CHOOSE('假设'!$B$3,G16,G17,G18)</x:f>
        <x:v>0.3</x:v>
      </x:c>
      <x:c r="H15" s="11" t="n">
        <x:f>CHOOSE('假设'!$B$3,H16,H17,H18)</x:f>
        <x:v>0.13</x:v>
      </x:c>
      <x:c r="I15" s="11" t="n">
        <x:f>CHOOSE('假设'!$B$3,I16,I17,I18)</x:f>
        <x:v>0.016</x:v>
      </x:c>
      <x:c r="J15" s="11" t="n">
        <x:f>CHOOSE('假设'!$B$3,J16,J17,J18)</x:f>
        <x:v>0.002</x:v>
      </x:c>
      <x:c r="K15" s="11" t="n">
        <x:f>CHOOSE('假设'!$B$3,K16,K17,K18)</x:f>
        <x:v>0.9</x:v>
      </x:c>
    </x:row>
    <x:row r="16" ht="23" customHeight="1">
      <x:c r="A16" s="11" t="str">
        <x:v>09995.HK</x:v>
      </x:c>
      <x:c r="B16" s="11" t="str">
        <x:v>一年</x:v>
      </x:c>
      <x:c r="C16" s="11" t="str">
        <x:v>悲观</x:v>
      </x:c>
      <x:c r="D16" s="16" t="n">
        <x:v>0.24</x:v>
      </x:c>
      <x:c r="E16" s="16" t="n">
        <x:v>0.8</x:v>
      </x:c>
      <x:c r="F16" s="16" t="n">
        <x:v>0.78</x:v>
      </x:c>
      <x:c r="G16" s="16" t="n">
        <x:v>0.12</x:v>
      </x:c>
      <x:c r="H16" s="16" t="n">
        <x:v>0.16</x:v>
      </x:c>
      <x:c r="I16" s="16" t="n">
        <x:v>0.016</x:v>
      </x:c>
      <x:c r="J16" s="16" t="n">
        <x:v>0.002</x:v>
      </x:c>
      <x:c r="K16" s="16" t="n">
        <x:v>0.8</x:v>
      </x:c>
    </x:row>
    <x:row r="17" ht="23" customHeight="1">
      <x:c r="A17" s="11" t="str">
        <x:v>09995.HK</x:v>
      </x:c>
      <x:c r="B17" s="11" t="str">
        <x:v>一年</x:v>
      </x:c>
      <x:c r="C17" s="11" t="str">
        <x:v>基准</x:v>
      </x:c>
      <x:c r="D17" s="16" t="n">
        <x:v>0.34</x:v>
      </x:c>
      <x:c r="E17" s="16" t="n">
        <x:v>0.8</x:v>
      </x:c>
      <x:c r="F17" s="16" t="n">
        <x:v>0.82</x:v>
      </x:c>
      <x:c r="G17" s="16" t="n">
        <x:v>0.3</x:v>
      </x:c>
      <x:c r="H17" s="16" t="n">
        <x:v>0.13</x:v>
      </x:c>
      <x:c r="I17" s="16" t="n">
        <x:v>0.016</x:v>
      </x:c>
      <x:c r="J17" s="16" t="n">
        <x:v>0.002</x:v>
      </x:c>
      <x:c r="K17" s="16" t="n">
        <x:v>0.9</x:v>
      </x:c>
    </x:row>
    <x:row r="18" ht="23" customHeight="1">
      <x:c r="A18" s="11" t="str">
        <x:v>09995.HK</x:v>
      </x:c>
      <x:c r="B18" s="11" t="str">
        <x:v>一年</x:v>
      </x:c>
      <x:c r="C18" s="11" t="str">
        <x:v>乐观</x:v>
      </x:c>
      <x:c r="D18" s="16" t="n">
        <x:v>0.42</x:v>
      </x:c>
      <x:c r="E18" s="16" t="n">
        <x:v>0.8</x:v>
      </x:c>
      <x:c r="F18" s="16" t="n">
        <x:v>0.85</x:v>
      </x:c>
      <x:c r="G18" s="16" t="n">
        <x:v>0.5</x:v>
      </x:c>
      <x:c r="H18" s="16" t="n">
        <x:v>0.116</x:v>
      </x:c>
      <x:c r="I18" s="16" t="n">
        <x:v>0.016</x:v>
      </x:c>
      <x:c r="J18" s="16" t="n">
        <x:v>0.002</x:v>
      </x:c>
      <x:c r="K18" s="16" t="n">
        <x:v>0.95</x:v>
      </x:c>
    </x:row>
    <x:row r="19" ht="23" customHeight="1">
      <x:c r="A19" s="11" t="str">
        <x:v>09995.HK</x:v>
      </x:c>
      <x:c r="B19" s="11" t="str">
        <x:v>三年</x:v>
      </x:c>
      <x:c r="C19" s="11" t="str">
        <x:v>活动输入</x:v>
      </x:c>
      <x:c r="D19" s="11" t="n">
        <x:f>CHOOSE('假设'!$B$3,D20,D21,D22)</x:f>
        <x:v>0.34</x:v>
      </x:c>
      <x:c r="E19" s="11" t="n">
        <x:f>CHOOSE('假设'!$B$3,E20,E21,E22)</x:f>
        <x:v>0.8</x:v>
      </x:c>
      <x:c r="F19" s="11" t="n">
        <x:f>CHOOSE('假设'!$B$3,F20,F21,F22)</x:f>
        <x:v>0.82</x:v>
      </x:c>
      <x:c r="G19" s="11" t="n">
        <x:f>CHOOSE('假设'!$B$3,G20,G21,G22)</x:f>
        <x:v>0.3</x:v>
      </x:c>
      <x:c r="H19" s="11" t="n">
        <x:f>CHOOSE('假设'!$B$3,H20,H21,H22)</x:f>
        <x:v>0.155</x:v>
      </x:c>
      <x:c r="I19" s="11" t="n">
        <x:f>CHOOSE('假设'!$B$3,I20,I21,I22)</x:f>
        <x:v>0.016</x:v>
      </x:c>
      <x:c r="J19" s="11" t="n">
        <x:f>CHOOSE('假设'!$B$3,J20,J21,J22)</x:f>
        <x:v>0.002</x:v>
      </x:c>
      <x:c r="K19" s="11" t="n">
        <x:f>CHOOSE('假设'!$B$3,K20,K21,K22)</x:f>
        <x:v>0.9</x:v>
      </x:c>
    </x:row>
    <x:row r="20" ht="23" customHeight="1">
      <x:c r="A20" s="11" t="str">
        <x:v>09995.HK</x:v>
      </x:c>
      <x:c r="B20" s="11" t="str">
        <x:v>三年</x:v>
      </x:c>
      <x:c r="C20" s="11" t="str">
        <x:v>悲观</x:v>
      </x:c>
      <x:c r="D20" s="16" t="n">
        <x:v>0.24</x:v>
      </x:c>
      <x:c r="E20" s="16" t="n">
        <x:v>0.8</x:v>
      </x:c>
      <x:c r="F20" s="16" t="n">
        <x:v>0.78</x:v>
      </x:c>
      <x:c r="G20" s="16" t="n">
        <x:v>0</x:v>
      </x:c>
      <x:c r="H20" s="16" t="n">
        <x:v>0.22</x:v>
      </x:c>
      <x:c r="I20" s="16" t="n">
        <x:v>0.016</x:v>
      </x:c>
      <x:c r="J20" s="16" t="n">
        <x:v>0.002</x:v>
      </x:c>
      <x:c r="K20" s="16" t="n">
        <x:v>0.8</x:v>
      </x:c>
    </x:row>
    <x:row r="21" ht="23" customHeight="1">
      <x:c r="A21" s="11" t="str">
        <x:v>09995.HK</x:v>
      </x:c>
      <x:c r="B21" s="11" t="str">
        <x:v>三年</x:v>
      </x:c>
      <x:c r="C21" s="11" t="str">
        <x:v>基准</x:v>
      </x:c>
      <x:c r="D21" s="16" t="n">
        <x:v>0.34</x:v>
      </x:c>
      <x:c r="E21" s="16" t="n">
        <x:v>0.8</x:v>
      </x:c>
      <x:c r="F21" s="16" t="n">
        <x:v>0.82</x:v>
      </x:c>
      <x:c r="G21" s="16" t="n">
        <x:v>0.3</x:v>
      </x:c>
      <x:c r="H21" s="16" t="n">
        <x:v>0.155</x:v>
      </x:c>
      <x:c r="I21" s="16" t="n">
        <x:v>0.016</x:v>
      </x:c>
      <x:c r="J21" s="16" t="n">
        <x:v>0.002</x:v>
      </x:c>
      <x:c r="K21" s="16" t="n">
        <x:v>0.9</x:v>
      </x:c>
    </x:row>
    <x:row r="22" ht="23" customHeight="1">
      <x:c r="A22" s="11" t="str">
        <x:v>09995.HK</x:v>
      </x:c>
      <x:c r="B22" s="11" t="str">
        <x:v>三年</x:v>
      </x:c>
      <x:c r="C22" s="11" t="str">
        <x:v>乐观</x:v>
      </x:c>
      <x:c r="D22" s="16" t="n">
        <x:v>0.42</x:v>
      </x:c>
      <x:c r="E22" s="16" t="n">
        <x:v>0.8</x:v>
      </x:c>
      <x:c r="F22" s="16" t="n">
        <x:v>0.85</x:v>
      </x:c>
      <x:c r="G22" s="16" t="n">
        <x:v>1.2</x:v>
      </x:c>
      <x:c r="H22" s="16" t="n">
        <x:v>0.13</x:v>
      </x:c>
      <x:c r="I22" s="16" t="n">
        <x:v>0.016</x:v>
      </x:c>
      <x:c r="J22" s="16" t="n">
        <x:v>0.002</x:v>
      </x:c>
      <x:c r="K22" s="16" t="n">
        <x:v>0.95</x:v>
      </x:c>
    </x:row>
    <x:row r="23" ht="23" customHeight="1">
      <x:c r="A23" s="11" t="str">
        <x:v>09995.HK</x:v>
      </x:c>
      <x:c r="B23" s="11" t="str">
        <x:v>五年</x:v>
      </x:c>
      <x:c r="C23" s="11" t="str">
        <x:v>活动输入</x:v>
      </x:c>
      <x:c r="D23" s="11" t="n">
        <x:f>CHOOSE('假设'!$B$3,D24,D25,D26)</x:f>
        <x:v>0.34</x:v>
      </x:c>
      <x:c r="E23" s="11" t="n">
        <x:f>CHOOSE('假设'!$B$3,E24,E25,E26)</x:f>
        <x:v>0.8</x:v>
      </x:c>
      <x:c r="F23" s="11" t="n">
        <x:f>CHOOSE('假设'!$B$3,F24,F25,F26)</x:f>
        <x:v>0.82</x:v>
      </x:c>
      <x:c r="G23" s="11" t="n">
        <x:f>CHOOSE('假设'!$B$3,G24,G25,G26)</x:f>
        <x:v>0.8</x:v>
      </x:c>
      <x:c r="H23" s="11" t="n">
        <x:f>CHOOSE('假设'!$B$3,H24,H25,H26)</x:f>
        <x:v>0.18</x:v>
      </x:c>
      <x:c r="I23" s="11" t="n">
        <x:f>CHOOSE('假设'!$B$3,I24,I25,I26)</x:f>
        <x:v>0.016</x:v>
      </x:c>
      <x:c r="J23" s="11" t="n">
        <x:f>CHOOSE('假设'!$B$3,J24,J25,J26)</x:f>
        <x:v>0.002</x:v>
      </x:c>
      <x:c r="K23" s="11" t="n">
        <x:f>CHOOSE('假设'!$B$3,K24,K25,K26)</x:f>
        <x:v>0.9</x:v>
      </x:c>
    </x:row>
    <x:row r="24" ht="23" customHeight="1">
      <x:c r="A24" s="11" t="str">
        <x:v>09995.HK</x:v>
      </x:c>
      <x:c r="B24" s="11" t="str">
        <x:v>五年</x:v>
      </x:c>
      <x:c r="C24" s="11" t="str">
        <x:v>悲观</x:v>
      </x:c>
      <x:c r="D24" s="16" t="n">
        <x:v>0.24</x:v>
      </x:c>
      <x:c r="E24" s="16" t="n">
        <x:v>0.8</x:v>
      </x:c>
      <x:c r="F24" s="16" t="n">
        <x:v>0.78</x:v>
      </x:c>
      <x:c r="G24" s="16" t="n">
        <x:v>0</x:v>
      </x:c>
      <x:c r="H24" s="16" t="n">
        <x:v>0.28</x:v>
      </x:c>
      <x:c r="I24" s="16" t="n">
        <x:v>0.016</x:v>
      </x:c>
      <x:c r="J24" s="16" t="n">
        <x:v>0.002</x:v>
      </x:c>
      <x:c r="K24" s="16" t="n">
        <x:v>0.8</x:v>
      </x:c>
    </x:row>
    <x:row r="25" ht="23" customHeight="1">
      <x:c r="A25" s="11" t="str">
        <x:v>09995.HK</x:v>
      </x:c>
      <x:c r="B25" s="11" t="str">
        <x:v>五年</x:v>
      </x:c>
      <x:c r="C25" s="11" t="str">
        <x:v>基准</x:v>
      </x:c>
      <x:c r="D25" s="16" t="n">
        <x:v>0.34</x:v>
      </x:c>
      <x:c r="E25" s="16" t="n">
        <x:v>0.8</x:v>
      </x:c>
      <x:c r="F25" s="16" t="n">
        <x:v>0.82</x:v>
      </x:c>
      <x:c r="G25" s="16" t="n">
        <x:v>0.8</x:v>
      </x:c>
      <x:c r="H25" s="16" t="n">
        <x:v>0.18</x:v>
      </x:c>
      <x:c r="I25" s="16" t="n">
        <x:v>0.016</x:v>
      </x:c>
      <x:c r="J25" s="16" t="n">
        <x:v>0.002</x:v>
      </x:c>
      <x:c r="K25" s="16" t="n">
        <x:v>0.9</x:v>
      </x:c>
    </x:row>
    <x:row r="26" ht="23" customHeight="1">
      <x:c r="A26" s="11" t="str">
        <x:v>09995.HK</x:v>
      </x:c>
      <x:c r="B26" s="11" t="str">
        <x:v>五年</x:v>
      </x:c>
      <x:c r="C26" s="11" t="str">
        <x:v>乐观</x:v>
      </x:c>
      <x:c r="D26" s="16" t="n">
        <x:v>0.42</x:v>
      </x:c>
      <x:c r="E26" s="16" t="n">
        <x:v>0.8</x:v>
      </x:c>
      <x:c r="F26" s="16" t="n">
        <x:v>0.85</x:v>
      </x:c>
      <x:c r="G26" s="16" t="n">
        <x:v>2.5</x:v>
      </x:c>
      <x:c r="H26" s="16" t="n">
        <x:v>0.145</x:v>
      </x:c>
      <x:c r="I26" s="16" t="n">
        <x:v>0.016</x:v>
      </x:c>
      <x:c r="J26" s="16" t="n">
        <x:v>0.002</x:v>
      </x:c>
      <x:c r="K26" s="16" t="n">
        <x:v>0.95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4" t="str">
        <x:v>Vor销售扣版税 研发和里程碑 有限现金流 不设终值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52" customHeight="1">
      <x:c r="A6" s="12" t="str">
        <x:v>代码</x:v>
      </x:c>
      <x:c r="B6" s="12" t="str">
        <x:v>期限</x:v>
      </x:c>
      <x:c r="C6" s="12" t="str">
        <x:v>现金日</x:v>
      </x:c>
      <x:c r="D6" s="12" t="str">
        <x:v>折现年数</x:v>
      </x:c>
      <x:c r="E6" s="12" t="str">
        <x:v>当年剩余比例</x:v>
      </x:c>
      <x:c r="F6" s="12" t="str">
        <x:v>关联销售USD十亿</x:v>
      </x:c>
      <x:c r="G6" s="12" t="str">
        <x:v>关联成功因子</x:v>
      </x:c>
      <x:c r="H6" s="12" t="str">
        <x:v>合同版税率</x:v>
      </x:c>
      <x:c r="I6" s="12" t="str">
        <x:v>版税前现金率</x:v>
      </x:c>
      <x:c r="J6" s="12" t="str">
        <x:v>版税抵扣率</x:v>
      </x:c>
      <x:c r="K6" s="12" t="str">
        <x:v>版税后经营现金CNY</x:v>
      </x:c>
      <x:c r="L6" s="12" t="str">
        <x:v>活动研发CNY</x:v>
      </x:c>
      <x:c r="M6" s="12" t="str">
        <x:v>里程碑支付CNY</x:v>
      </x:c>
      <x:c r="N6" s="12" t="str">
        <x:v>净现值CNY</x:v>
      </x:c>
      <x:c r="O6" s="12" t="str">
        <x:v>悲观研发CNY</x:v>
      </x:c>
      <x:c r="P6" s="12" t="str">
        <x:v>基准研发CNY</x:v>
      </x:c>
      <x:c r="Q6" s="12" t="str">
        <x:v>乐观研发CNY</x:v>
      </x:c>
      <x:c r="R6" s="12" t="str">
        <x:v>CNY/USD</x:v>
      </x:c>
    </x:row>
    <x:row r="7" ht="23" customHeight="1">
      <x:c r="A7" s="11" t="str">
        <x:v>09995.HK</x:v>
      </x:c>
      <x:c r="B7" s="11" t="str">
        <x:v>2026年底</x:v>
      </x:c>
      <x:c r="C7" s="11" t="str">
        <x:v>2026-12-31</x:v>
      </x:c>
      <x:c r="D7" s="11" t="n">
        <x:v>0</x:v>
      </x:c>
      <x:c r="E7" s="11" t="n">
        <x:v>0</x:v>
      </x:c>
      <x:c r="F7" s="11" t="n">
        <x:f>'管线现金流'!K6401</x:f>
        <x:v>0</x:v>
      </x:c>
      <x:c r="G7" s="11" t="n">
        <x:f>'管线假设'!E1371</x:f>
        <x:v>0.6</x:v>
      </x:c>
      <x:c r="H7" s="11" t="n">
        <x:f>'管线假设'!F1371/'许可受让方假设'!F7</x:f>
        <x:v>0.10999999999999999</x:v>
      </x:c>
      <x:c r="I7" s="11" t="n">
        <x:f>'许可受让方假设'!D7</x:f>
        <x:v>0.34</x:v>
      </x:c>
      <x:c r="J7" s="11" t="n">
        <x:f>'许可受让方假设'!E7</x:f>
        <x:v>0.8</x:v>
      </x:c>
      <x:c r="K7" s="11" t="n">
        <x:f>F7*G7*(I7-H7*J7)*R7</x:f>
        <x:v>0</x:v>
      </x:c>
      <x:c r="L7" s="11" t="n">
        <x:f>CHOOSE('假设'!$B$3,O7,P7,Q7)</x:f>
        <x:v>0.84</x:v>
      </x:c>
      <x:c r="M7" s="11" t="n">
        <x:f>0</x:f>
        <x:v>0</x:v>
      </x:c>
      <x:c r="N7" s="11" t="n">
        <x:f>((K7-L7)*E7-M7)/(1+'管线假设'!H1371)^D7</x:f>
        <x:v>0</x:v>
      </x:c>
      <x:c r="O7" s="16" t="n">
        <x:v>0.63</x:v>
      </x:c>
      <x:c r="P7" s="16" t="n">
        <x:v>0.84</x:v>
      </x:c>
      <x:c r="Q7" s="16" t="n">
        <x:v>1.1900000000000002</x:v>
      </x:c>
      <x:c r="R7" s="11" t="n">
        <x:f>'管线假设'!I1371</x:f>
        <x:v>7</x:v>
      </x:c>
    </x:row>
    <x:row r="8" ht="23" customHeight="1">
      <x:c r="A8" s="11" t="str">
        <x:v>09995.HK</x:v>
      </x:c>
      <x:c r="B8" s="11" t="str">
        <x:v>2026年底</x:v>
      </x:c>
      <x:c r="C8" s="11" t="str">
        <x:v>2027-12-31</x:v>
      </x:c>
      <x:c r="D8" s="11" t="n">
        <x:v>0.999315537303217</x:v>
      </x:c>
      <x:c r="E8" s="11" t="n">
        <x:v>1</x:v>
      </x:c>
      <x:c r="F8" s="11" t="n">
        <x:f>'管线现金流'!K6402</x:f>
        <x:v>0</x:v>
      </x:c>
      <x:c r="G8" s="11" t="n">
        <x:f>'管线假设'!E1371</x:f>
        <x:v>0.6</x:v>
      </x:c>
      <x:c r="H8" s="11" t="n">
        <x:f>'管线假设'!F1371/'许可受让方假设'!F7</x:f>
        <x:v>0.10999999999999999</x:v>
      </x:c>
      <x:c r="I8" s="11" t="n">
        <x:f>'许可受让方假设'!D7</x:f>
        <x:v>0.34</x:v>
      </x:c>
      <x:c r="J8" s="11" t="n">
        <x:f>'许可受让方假设'!E7</x:f>
        <x:v>0.8</x:v>
      </x:c>
      <x:c r="K8" s="11" t="n">
        <x:f>F8*G8*(I8-H8*J8)*R8</x:f>
        <x:v>0</x:v>
      </x:c>
      <x:c r="L8" s="11" t="n">
        <x:f>CHOOSE('假设'!$B$3,O8,P8,Q8)</x:f>
        <x:v>0.8652</x:v>
      </x:c>
      <x:c r="M8" s="11" t="n">
        <x:f>0</x:f>
        <x:v>0</x:v>
      </x:c>
      <x:c r="N8" s="11" t="n">
        <x:f>((K8-L8)*E8-M8)/(1+'管线假设'!H1371)^D8</x:f>
        <x:v>-0.7590154368771246</x:v>
      </x:c>
      <x:c r="O8" s="16" t="n">
        <x:v>0.6489</x:v>
      </x:c>
      <x:c r="P8" s="16" t="n">
        <x:v>0.8652</x:v>
      </x:c>
      <x:c r="Q8" s="16" t="n">
        <x:v>1.2376000000000003</x:v>
      </x:c>
      <x:c r="R8" s="11" t="n">
        <x:f>'管线假设'!I1371</x:f>
        <x:v>7</x:v>
      </x:c>
    </x:row>
    <x:row r="9" ht="23" customHeight="1">
      <x:c r="A9" s="11" t="str">
        <x:v>09995.HK</x:v>
      </x:c>
      <x:c r="B9" s="11" t="str">
        <x:v>2026年底</x:v>
      </x:c>
      <x:c r="C9" s="11" t="str">
        <x:v>2028-12-31</x:v>
      </x:c>
      <x:c r="D9" s="11" t="n">
        <x:v>2.001368925393566</x:v>
      </x:c>
      <x:c r="E9" s="11" t="n">
        <x:v>1</x:v>
      </x:c>
      <x:c r="F9" s="11" t="n">
        <x:f>'管线现金流'!K6403</x:f>
        <x:v>0.18</x:v>
      </x:c>
      <x:c r="G9" s="11" t="n">
        <x:f>'管线假设'!E1371</x:f>
        <x:v>0.6</x:v>
      </x:c>
      <x:c r="H9" s="11" t="n">
        <x:f>'管线假设'!F1371/'许可受让方假设'!F7</x:f>
        <x:v>0.10999999999999999</x:v>
      </x:c>
      <x:c r="I9" s="11" t="n">
        <x:f>'许可受让方假设'!D7</x:f>
        <x:v>0.34</x:v>
      </x:c>
      <x:c r="J9" s="11" t="n">
        <x:f>'许可受让方假设'!E7</x:f>
        <x:v>0.8</x:v>
      </x:c>
      <x:c r="K9" s="11" t="n">
        <x:f>F9*G9*(I9-H9*J9)*R9</x:f>
        <x:v>0.19051200000000001</x:v>
      </x:c>
      <x:c r="L9" s="11" t="n">
        <x:f>CHOOSE('假设'!$B$3,O9,P9,Q9)</x:f>
        <x:v>0.891156</x:v>
      </x:c>
      <x:c r="M9" s="11" t="n">
        <x:f>'管线现金流'!AB103</x:f>
        <x:v>0.2016</x:v>
      </x:c>
      <x:c r="N9" s="11" t="n">
        <x:f>((K9-L9)*E9-M9)/(1+'管线假设'!H1371)^D9</x:f>
        <x:v>-0.6941229462044434</x:v>
      </x:c>
      <x:c r="O9" s="16" t="n">
        <x:v>0.6683669999999999</x:v>
      </x:c>
      <x:c r="P9" s="16" t="n">
        <x:v>0.891156</x:v>
      </x:c>
      <x:c r="Q9" s="16" t="n">
        <x:v>1.2871040000000002</x:v>
      </x:c>
      <x:c r="R9" s="11" t="n">
        <x:f>'管线假设'!I1371</x:f>
        <x:v>7</x:v>
      </x:c>
    </x:row>
    <x:row r="10" ht="23" customHeight="1">
      <x:c r="A10" s="11" t="str">
        <x:v>09995.HK</x:v>
      </x:c>
      <x:c r="B10" s="11" t="str">
        <x:v>2026年底</x:v>
      </x:c>
      <x:c r="C10" s="11" t="str">
        <x:v>2029-12-31</x:v>
      </x:c>
      <x:c r="D10" s="11" t="n">
        <x:v>3.0006844626967832</x:v>
      </x:c>
      <x:c r="E10" s="11" t="n">
        <x:v>1</x:v>
      </x:c>
      <x:c r="F10" s="11" t="n">
        <x:f>'管线现金流'!K6404</x:f>
        <x:v>0.54</x:v>
      </x:c>
      <x:c r="G10" s="11" t="n">
        <x:f>'管线假设'!E1371</x:f>
        <x:v>0.6</x:v>
      </x:c>
      <x:c r="H10" s="11" t="n">
        <x:f>'管线假设'!F1371/'许可受让方假设'!F7</x:f>
        <x:v>0.10999999999999999</x:v>
      </x:c>
      <x:c r="I10" s="11" t="n">
        <x:f>'许可受让方假设'!D7</x:f>
        <x:v>0.34</x:v>
      </x:c>
      <x:c r="J10" s="11" t="n">
        <x:f>'许可受让方假设'!E7</x:f>
        <x:v>0.8</x:v>
      </x:c>
      <x:c r="K10" s="11" t="n">
        <x:f>F10*G10*(I10-H10*J10)*R10</x:f>
        <x:v>0.571536</x:v>
      </x:c>
      <x:c r="L10" s="11" t="n">
        <x:f>CHOOSE('假设'!$B$3,O10,P10,Q10)</x:f>
        <x:v>0.91789068</x:v>
      </x:c>
      <x:c r="M10" s="11" t="n">
        <x:f>'管线现金流'!AB105</x:f>
        <x:v>0</x:v>
      </x:c>
      <x:c r="N10" s="11" t="n">
        <x:f>((K10-L10)*E10-M10)/(1+'管线假设'!H1371)^D10</x:f>
        <x:v>-0.23375857816868142</x:v>
      </x:c>
      <x:c r="O10" s="16" t="n">
        <x:v>0.68841801</x:v>
      </x:c>
      <x:c r="P10" s="16" t="n">
        <x:v>0.91789068</x:v>
      </x:c>
      <x:c r="Q10" s="16" t="n">
        <x:v>1.3385881600000002</x:v>
      </x:c>
      <x:c r="R10" s="11" t="n">
        <x:f>'管线假设'!I1371</x:f>
        <x:v>7</x:v>
      </x:c>
    </x:row>
    <x:row r="11" ht="23" customHeight="1">
      <x:c r="A11" s="11" t="str">
        <x:v>09995.HK</x:v>
      </x:c>
      <x:c r="B11" s="11" t="str">
        <x:v>2026年底</x:v>
      </x:c>
      <x:c r="C11" s="11" t="str">
        <x:v>2030-12-31</x:v>
      </x:c>
      <x:c r="D11" s="11" t="n">
        <x:v>4</x:v>
      </x:c>
      <x:c r="E11" s="11" t="n">
        <x:v>1</x:v>
      </x:c>
      <x:c r="F11" s="11" t="n">
        <x:f>'管线现金流'!K6405</x:f>
        <x:v>1.1400000000000001</x:v>
      </x:c>
      <x:c r="G11" s="11" t="n">
        <x:f>'管线假设'!E1371</x:f>
        <x:v>0.6</x:v>
      </x:c>
      <x:c r="H11" s="11" t="n">
        <x:f>'管线假设'!F1371/'许可受让方假设'!F7</x:f>
        <x:v>0.10999999999999999</x:v>
      </x:c>
      <x:c r="I11" s="11" t="n">
        <x:f>'许可受让方假设'!D7</x:f>
        <x:v>0.34</x:v>
      </x:c>
      <x:c r="J11" s="11" t="n">
        <x:f>'许可受让方假设'!E7</x:f>
        <x:v>0.8</x:v>
      </x:c>
      <x:c r="K11" s="11" t="n">
        <x:f>F11*G11*(I11-H11*J11)*R11</x:f>
        <x:v>1.206576</x:v>
      </x:c>
      <x:c r="L11" s="11" t="n">
        <x:f>CHOOSE('假设'!$B$3,O11,P11,Q11)</x:f>
        <x:v>0.9454274004000001</x:v>
      </x:c>
      <x:c r="M11" s="11" t="n">
        <x:f>'管线现金流'!AB108</x:f>
        <x:v>0.224</x:v>
      </x:c>
      <x:c r="N11" s="11" t="n">
        <x:f>((K11-L11)*E11-M11)/(1+'管线假设'!H1371)^D11</x:f>
        <x:v>0.021994953155082122</x:v>
      </x:c>
      <x:c r="O11" s="16" t="n">
        <x:v>0.7090705503000001</x:v>
      </x:c>
      <x:c r="P11" s="16" t="n">
        <x:v>0.9454274004000001</x:v>
      </x:c>
      <x:c r="Q11" s="16" t="n">
        <x:v>1.3921316864000004</x:v>
      </x:c>
      <x:c r="R11" s="11" t="n">
        <x:f>'管线假设'!I1371</x:f>
        <x:v>7</x:v>
      </x:c>
    </x:row>
    <x:row r="12" ht="23" customHeight="1">
      <x:c r="A12" s="11" t="str">
        <x:v>09995.HK</x:v>
      </x:c>
      <x:c r="B12" s="11" t="str">
        <x:v>2026年底</x:v>
      </x:c>
      <x:c r="C12" s="11" t="str">
        <x:v>2031-12-31</x:v>
      </x:c>
      <x:c r="D12" s="11" t="n">
        <x:v>4.999315537303217</x:v>
      </x:c>
      <x:c r="E12" s="11" t="n">
        <x:v>1</x:v>
      </x:c>
      <x:c r="F12" s="11" t="n">
        <x:f>'管线现金流'!K6406</x:f>
        <x:v>1.9500000000000002</x:v>
      </x:c>
      <x:c r="G12" s="11" t="n">
        <x:f>'管线假设'!E1371</x:f>
        <x:v>0.6</x:v>
      </x:c>
      <x:c r="H12" s="11" t="n">
        <x:f>'管线假设'!F1371/'许可受让方假设'!F7</x:f>
        <x:v>0.10999999999999999</x:v>
      </x:c>
      <x:c r="I12" s="11" t="n">
        <x:f>'许可受让方假设'!D7</x:f>
        <x:v>0.34</x:v>
      </x:c>
      <x:c r="J12" s="11" t="n">
        <x:f>'许可受让方假设'!E7</x:f>
        <x:v>0.8</x:v>
      </x:c>
      <x:c r="K12" s="11" t="n">
        <x:f>F12*G12*(I12-H12*J12)*R12</x:f>
        <x:v>2.06388</x:v>
      </x:c>
      <x:c r="L12" s="11" t="n">
        <x:f>CHOOSE('假设'!$B$3,O12,P12,Q12)</x:f>
        <x:v>0.973790222412</x:v>
      </x:c>
      <x:c r="M12" s="11" t="n">
        <x:f>0</x:f>
        <x:v>0</x:v>
      </x:c>
      <x:c r="N12" s="11" t="n">
        <x:f>((K12-L12)*E12-M12)/(1+'管线假设'!H1371)^D12</x:f>
        <x:v>0.5662092494276203</x:v>
      </x:c>
      <x:c r="O12" s="16" t="n">
        <x:v>0.7303426668090001</x:v>
      </x:c>
      <x:c r="P12" s="16" t="n">
        <x:v>0.973790222412</x:v>
      </x:c>
      <x:c r="Q12" s="16" t="n">
        <x:v>1.4478169538560004</x:v>
      </x:c>
      <x:c r="R12" s="11" t="n">
        <x:f>'管线假设'!I1371</x:f>
        <x:v>7</x:v>
      </x:c>
    </x:row>
    <x:row r="13" ht="23" customHeight="1">
      <x:c r="A13" s="11" t="str">
        <x:v>09995.HK</x:v>
      </x:c>
      <x:c r="B13" s="11" t="str">
        <x:v>2026年底</x:v>
      </x:c>
      <x:c r="C13" s="11" t="str">
        <x:v>2032-12-31</x:v>
      </x:c>
      <x:c r="D13" s="11" t="n">
        <x:v>6.0013689253935665</x:v>
      </x:c>
      <x:c r="E13" s="11" t="n">
        <x:v>1</x:v>
      </x:c>
      <x:c r="F13" s="11" t="n">
        <x:f>'管线现金流'!K6407</x:f>
        <x:v>2.55</x:v>
      </x:c>
      <x:c r="G13" s="11" t="n">
        <x:f>'管线假设'!E1371</x:f>
        <x:v>0.6</x:v>
      </x:c>
      <x:c r="H13" s="11" t="n">
        <x:f>'管线假设'!F1371/'许可受让方假设'!F7</x:f>
        <x:v>0.10999999999999999</x:v>
      </x:c>
      <x:c r="I13" s="11" t="n">
        <x:f>'许可受让方假设'!D7</x:f>
        <x:v>0.34</x:v>
      </x:c>
      <x:c r="J13" s="11" t="n">
        <x:f>'许可受让方假设'!E7</x:f>
        <x:v>0.8</x:v>
      </x:c>
      <x:c r="K13" s="11" t="n">
        <x:f>F13*G13*(I13-H13*J13)*R13</x:f>
        <x:v>2.6989199999999998</x:v>
      </x:c>
      <x:c r="L13" s="11" t="n">
        <x:f>CHOOSE('假设'!$B$3,O13,P13,Q13)</x:f>
        <x:v>1.00300392908436</x:v>
      </x:c>
      <x:c r="M13" s="11" t="n">
        <x:f>0</x:f>
        <x:v>0</x:v>
      </x:c>
      <x:c r="N13" s="11" t="n">
        <x:f>((K13-L13)*E13-M13)/(1+'管线假设'!H1371)^D13</x:f>
        <x:v>0.7724979741313894</x:v>
      </x:c>
      <x:c r="O13" s="16" t="n">
        <x:v>0.75225294681327</x:v>
      </x:c>
      <x:c r="P13" s="16" t="n">
        <x:v>1.00300392908436</x:v>
      </x:c>
      <x:c r="Q13" s="16" t="n">
        <x:v>1.5057296320102407</x:v>
      </x:c>
      <x:c r="R13" s="11" t="n">
        <x:f>'管线假设'!I1371</x:f>
        <x:v>7</x:v>
      </x:c>
    </x:row>
    <x:row r="14" ht="23" customHeight="1">
      <x:c r="A14" s="11" t="str">
        <x:v>09995.HK</x:v>
      </x:c>
      <x:c r="B14" s="11" t="str">
        <x:v>2026年底</x:v>
      </x:c>
      <x:c r="C14" s="11" t="str">
        <x:v>2033-12-31</x:v>
      </x:c>
      <x:c r="D14" s="11" t="n">
        <x:v>7.000684462696783</x:v>
      </x:c>
      <x:c r="E14" s="11" t="n">
        <x:v>1</x:v>
      </x:c>
      <x:c r="F14" s="11" t="n">
        <x:f>'管线现金流'!K6408</x:f>
        <x:v>3</x:v>
      </x:c>
      <x:c r="G14" s="11" t="n">
        <x:f>'管线假设'!E1371</x:f>
        <x:v>0.6</x:v>
      </x:c>
      <x:c r="H14" s="11" t="n">
        <x:f>'管线假设'!F1371/'许可受让方假设'!F7</x:f>
        <x:v>0.10999999999999999</x:v>
      </x:c>
      <x:c r="I14" s="11" t="n">
        <x:f>'许可受让方假设'!D7</x:f>
        <x:v>0.34</x:v>
      </x:c>
      <x:c r="J14" s="11" t="n">
        <x:f>'许可受让方假设'!E7</x:f>
        <x:v>0.8</x:v>
      </x:c>
      <x:c r="K14" s="11" t="n">
        <x:f>F14*G14*(I14-H14*J14)*R14</x:f>
        <x:v>3.1752</x:v>
      </x:c>
      <x:c r="L14" s="11" t="n">
        <x:f>CHOOSE('假设'!$B$3,O14,P14,Q14)</x:f>
        <x:v>1.033094046956891</x:v>
      </x:c>
      <x:c r="M14" s="11" t="n">
        <x:f>0</x:f>
        <x:v>0</x:v>
      </x:c>
      <x:c r="N14" s="11" t="n">
        <x:f>((K14-L14)*E14-M14)/(1+'管线假设'!H1371)^D14</x:f>
        <x:v>0.8559887157509884</x:v>
      </x:c>
      <x:c r="O14" s="16" t="n">
        <x:v>0.7748205352176682</x:v>
      </x:c>
      <x:c r="P14" s="16" t="n">
        <x:v>1.033094046956891</x:v>
      </x:c>
      <x:c r="Q14" s="16" t="n">
        <x:v>1.5659588172906502</x:v>
      </x:c>
      <x:c r="R14" s="11" t="n">
        <x:f>'管线假设'!I1371</x:f>
        <x:v>7</x:v>
      </x:c>
    </x:row>
    <x:row r="15" ht="23" customHeight="1">
      <x:c r="A15" s="11" t="str">
        <x:v>09995.HK</x:v>
      </x:c>
      <x:c r="B15" s="11" t="str">
        <x:v>2026年底</x:v>
      </x:c>
      <x:c r="C15" s="11" t="str">
        <x:v>2034-12-31</x:v>
      </x:c>
      <x:c r="D15" s="11" t="n">
        <x:v>8</x:v>
      </x:c>
      <x:c r="E15" s="11" t="n">
        <x:v>1</x:v>
      </x:c>
      <x:c r="F15" s="11" t="n">
        <x:f>'管线现金流'!K6409</x:f>
        <x:v>3</x:v>
      </x:c>
      <x:c r="G15" s="11" t="n">
        <x:f>'管线假设'!E1371</x:f>
        <x:v>0.6</x:v>
      </x:c>
      <x:c r="H15" s="11" t="n">
        <x:f>'管线假设'!F1371/'许可受让方假设'!F7</x:f>
        <x:v>0.10999999999999999</x:v>
      </x:c>
      <x:c r="I15" s="11" t="n">
        <x:f>'许可受让方假设'!D7</x:f>
        <x:v>0.34</x:v>
      </x:c>
      <x:c r="J15" s="11" t="n">
        <x:f>'许可受让方假设'!E7</x:f>
        <x:v>0.8</x:v>
      </x:c>
      <x:c r="K15" s="11" t="n">
        <x:f>F15*G15*(I15-H15*J15)*R15</x:f>
        <x:v>3.1752</x:v>
      </x:c>
      <x:c r="L15" s="11" t="n">
        <x:f>CHOOSE('假设'!$B$3,O15,P15,Q15)</x:f>
        <x:v>1.0640868683655977</x:v>
      </x:c>
      <x:c r="M15" s="11" t="n">
        <x:f>0</x:f>
        <x:v>0</x:v>
      </x:c>
      <x:c r="N15" s="11" t="n">
        <x:f>((K15-L15)*E15-M15)/(1+'管线假设'!H1371)^D15</x:f>
        <x:v>0.7400698241087851</x:v>
      </x:c>
      <x:c r="O15" s="16" t="n">
        <x:v>0.7980651512741983</x:v>
      </x:c>
      <x:c r="P15" s="16" t="n">
        <x:v>1.0640868683655977</x:v>
      </x:c>
      <x:c r="Q15" s="16" t="n">
        <x:v>1.628597169982276</x:v>
      </x:c>
      <x:c r="R15" s="11" t="n">
        <x:f>'管线假设'!I1371</x:f>
        <x:v>7</x:v>
      </x:c>
    </x:row>
    <x:row r="16" ht="23" customHeight="1">
      <x:c r="A16" s="11" t="str">
        <x:v>09995.HK</x:v>
      </x:c>
      <x:c r="B16" s="11" t="str">
        <x:v>2026年底</x:v>
      </x:c>
      <x:c r="C16" s="11" t="str">
        <x:v>2035-12-31</x:v>
      </x:c>
      <x:c r="D16" s="11" t="n">
        <x:v>8.999315537303216</x:v>
      </x:c>
      <x:c r="E16" s="11" t="n">
        <x:v>1</x:v>
      </x:c>
      <x:c r="F16" s="11" t="n">
        <x:f>'管线现金流'!K6410</x:f>
        <x:v>2.8499999999999996</x:v>
      </x:c>
      <x:c r="G16" s="11" t="n">
        <x:f>'管线假设'!E1371</x:f>
        <x:v>0.6</x:v>
      </x:c>
      <x:c r="H16" s="11" t="n">
        <x:f>'管线假设'!F1371/'许可受让方假设'!F7</x:f>
        <x:v>0.10999999999999999</x:v>
      </x:c>
      <x:c r="I16" s="11" t="n">
        <x:f>'许可受让方假设'!D7</x:f>
        <x:v>0.34</x:v>
      </x:c>
      <x:c r="J16" s="11" t="n">
        <x:f>'许可受让方假设'!E7</x:f>
        <x:v>0.8</x:v>
      </x:c>
      <x:c r="K16" s="11" t="n">
        <x:f>F16*G16*(I16-H16*J16)*R16</x:f>
        <x:v>3.0164399999999993</x:v>
      </x:c>
      <x:c r="L16" s="11" t="n">
        <x:f>CHOOSE('假设'!$B$3,O16,P16,Q16)</x:f>
        <x:v>1.0960094744165656</x:v>
      </x:c>
      <x:c r="M16" s="11" t="n">
        <x:f>0</x:f>
        <x:v>0</x:v>
      </x:c>
      <x:c r="N16" s="11" t="n">
        <x:f>((K16-L16)*E16-M16)/(1+'管线假设'!H1371)^D16</x:f>
        <x:v>0.5906006053361698</x:v>
      </x:c>
      <x:c r="O16" s="16" t="n">
        <x:v>0.8220071058124243</x:v>
      </x:c>
      <x:c r="P16" s="16" t="n">
        <x:v>1.0960094744165656</x:v>
      </x:c>
      <x:c r="Q16" s="16" t="n">
        <x:v>1.6937410567815674</x:v>
      </x:c>
      <x:c r="R16" s="11" t="n">
        <x:f>'管线假设'!I1371</x:f>
        <x:v>7</x:v>
      </x:c>
    </x:row>
    <x:row r="17" ht="23" customHeight="1">
      <x:c r="A17" s="11" t="str">
        <x:v>09995.HK</x:v>
      </x:c>
      <x:c r="B17" s="11" t="str">
        <x:v>2026年底</x:v>
      </x:c>
      <x:c r="C17" s="11" t="str">
        <x:v>2036-12-31</x:v>
      </x:c>
      <x:c r="D17" s="11" t="n">
        <x:v>10.001368925393566</x:v>
      </x:c>
      <x:c r="E17" s="11" t="n">
        <x:v>1</x:v>
      </x:c>
      <x:c r="F17" s="11" t="n">
        <x:f>'管线现金流'!K6411</x:f>
        <x:v>2.7</x:v>
      </x:c>
      <x:c r="G17" s="11" t="n">
        <x:f>'管线假设'!E1371</x:f>
        <x:v>0.6</x:v>
      </x:c>
      <x:c r="H17" s="11" t="n">
        <x:f>'管线假设'!F1371/'许可受让方假设'!F7</x:f>
        <x:v>0.10999999999999999</x:v>
      </x:c>
      <x:c r="I17" s="11" t="n">
        <x:f>'许可受让方假设'!D7</x:f>
        <x:v>0.34</x:v>
      </x:c>
      <x:c r="J17" s="11" t="n">
        <x:f>'许可受让方假设'!E7</x:f>
        <x:v>0.8</x:v>
      </x:c>
      <x:c r="K17" s="11" t="n">
        <x:f>F17*G17*(I17-H17*J17)*R17</x:f>
        <x:v>2.85768</x:v>
      </x:c>
      <x:c r="L17" s="11" t="n">
        <x:f>CHOOSE('假设'!$B$3,O17,P17,Q17)</x:f>
        <x:v>1.1288897586490627</x:v>
      </x:c>
      <x:c r="M17" s="11" t="n">
        <x:f>0</x:f>
        <x:v>0</x:v>
      </x:c>
      <x:c r="N17" s="11" t="n">
        <x:f>((K17-L17)*E17-M17)/(1+'管线假设'!H1371)^D17</x:f>
        <x:v>0.466246828338612</x:v>
      </x:c>
      <x:c r="O17" s="16" t="n">
        <x:v>0.846667318986797</x:v>
      </x:c>
      <x:c r="P17" s="16" t="n">
        <x:v>1.1288897586490627</x:v>
      </x:c>
      <x:c r="Q17" s="16" t="n">
        <x:v>1.76149069905283</x:v>
      </x:c>
      <x:c r="R17" s="11" t="n">
        <x:f>'管线假设'!I1371</x:f>
        <x:v>7</x:v>
      </x:c>
    </x:row>
    <x:row r="18" ht="23" customHeight="1">
      <x:c r="A18" s="11" t="str">
        <x:v>09995.HK</x:v>
      </x:c>
      <x:c r="B18" s="11" t="str">
        <x:v>2026年底</x:v>
      </x:c>
      <x:c r="C18" s="11" t="str">
        <x:v>2037-12-31</x:v>
      </x:c>
      <x:c r="D18" s="11" t="n">
        <x:v>11.000684462696784</x:v>
      </x:c>
      <x:c r="E18" s="11" t="n">
        <x:v>1</x:v>
      </x:c>
      <x:c r="F18" s="11" t="n">
        <x:f>'管线现金流'!K6412</x:f>
        <x:v>2.4000000000000004</x:v>
      </x:c>
      <x:c r="G18" s="11" t="n">
        <x:f>'管线假设'!E1371</x:f>
        <x:v>0.6</x:v>
      </x:c>
      <x:c r="H18" s="11" t="n">
        <x:f>'管线假设'!F1371/'许可受让方假设'!F7</x:f>
        <x:v>0.10999999999999999</x:v>
      </x:c>
      <x:c r="I18" s="11" t="n">
        <x:f>'许可受让方假设'!D7</x:f>
        <x:v>0.34</x:v>
      </x:c>
      <x:c r="J18" s="11" t="n">
        <x:f>'许可受让方假设'!E7</x:f>
        <x:v>0.8</x:v>
      </x:c>
      <x:c r="K18" s="11" t="n">
        <x:f>F18*G18*(I18-H18*J18)*R18</x:f>
        <x:v>2.54016</x:v>
      </x:c>
      <x:c r="L18" s="11" t="n">
        <x:f>CHOOSE('假设'!$B$3,O18,P18,Q18)</x:f>
        <x:v>1.1627564514085345</x:v>
      </x:c>
      <x:c r="M18" s="11" t="n">
        <x:f>0</x:f>
        <x:v>0</x:v>
      </x:c>
      <x:c r="N18" s="11" t="n">
        <x:f>((K18-L18)*E18-M18)/(1+'管线假设'!H1371)^D18</x:f>
        <x:v>0.3258883861518104</x:v>
      </x:c>
      <x:c r="O18" s="16" t="n">
        <x:v>0.872067338556401</x:v>
      </x:c>
      <x:c r="P18" s="16" t="n">
        <x:v>1.1627564514085345</x:v>
      </x:c>
      <x:c r="Q18" s="16" t="n">
        <x:v>1.8319503270149433</x:v>
      </x:c>
      <x:c r="R18" s="11" t="n">
        <x:f>'管线假设'!I1371</x:f>
        <x:v>7</x:v>
      </x:c>
    </x:row>
    <x:row r="19" ht="23" customHeight="1">
      <x:c r="A19" s="11" t="str">
        <x:v>09995.HK</x:v>
      </x:c>
      <x:c r="B19" s="11" t="str">
        <x:v>2026年底</x:v>
      </x:c>
      <x:c r="C19" s="11" t="str">
        <x:v>2038-12-31</x:v>
      </x:c>
      <x:c r="D19" s="11" t="n">
        <x:v>12</x:v>
      </x:c>
      <x:c r="E19" s="11" t="n">
        <x:v>1</x:v>
      </x:c>
      <x:c r="F19" s="11" t="n">
        <x:f>'管线现金流'!K6413</x:f>
        <x:v>1.9500000000000002</x:v>
      </x:c>
      <x:c r="G19" s="11" t="n">
        <x:f>'管线假设'!E1371</x:f>
        <x:v>0.6</x:v>
      </x:c>
      <x:c r="H19" s="11" t="n">
        <x:f>'管线假设'!F1371/'许可受让方假设'!F7</x:f>
        <x:v>0.10999999999999999</x:v>
      </x:c>
      <x:c r="I19" s="11" t="n">
        <x:f>'许可受让方假设'!D7</x:f>
        <x:v>0.34</x:v>
      </x:c>
      <x:c r="J19" s="11" t="n">
        <x:f>'许可受让方假设'!E7</x:f>
        <x:v>0.8</x:v>
      </x:c>
      <x:c r="K19" s="11" t="n">
        <x:f>F19*G19*(I19-H19*J19)*R19</x:f>
        <x:v>2.06388</x:v>
      </x:c>
      <x:c r="L19" s="11" t="n">
        <x:f>CHOOSE('假设'!$B$3,O19,P19,Q19)</x:f>
        <x:v>1.1976391449507906</x:v>
      </x:c>
      <x:c r="M19" s="11" t="n">
        <x:f>0</x:f>
        <x:v>0</x:v>
      </x:c>
      <x:c r="N19" s="11" t="n">
        <x:f>((K19-L19)*E19-M19)/(1+'管线假设'!H1371)^D19</x:f>
        <x:v>0.1797961743627898</x:v>
      </x:c>
      <x:c r="O19" s="16" t="n">
        <x:v>0.898229358713093</x:v>
      </x:c>
      <x:c r="P19" s="16" t="n">
        <x:v>1.1976391449507906</x:v>
      </x:c>
      <x:c r="Q19" s="16" t="n">
        <x:v>1.9052283400955412</x:v>
      </x:c>
      <x:c r="R19" s="11" t="n">
        <x:f>'管线假设'!I1371</x:f>
        <x:v>7</x:v>
      </x:c>
    </x:row>
    <x:row r="20" ht="23" customHeight="1">
      <x:c r="A20" s="11" t="str">
        <x:v>09995.HK</x:v>
      </x:c>
      <x:c r="B20" s="11" t="str">
        <x:v>2026年底</x:v>
      </x:c>
      <x:c r="C20" s="11" t="str">
        <x:v>2039-12-31</x:v>
      </x:c>
      <x:c r="D20" s="11" t="n">
        <x:v>12.999315537303216</x:v>
      </x:c>
      <x:c r="E20" s="11" t="n">
        <x:v>1</x:v>
      </x:c>
      <x:c r="F20" s="11" t="n">
        <x:f>'管线现金流'!K6414</x:f>
        <x:v>1.5</x:v>
      </x:c>
      <x:c r="G20" s="11" t="n">
        <x:f>'管线假设'!E1371</x:f>
        <x:v>0.6</x:v>
      </x:c>
      <x:c r="H20" s="11" t="n">
        <x:f>'管线假设'!F1371/'许可受让方假设'!F7</x:f>
        <x:v>0.10999999999999999</x:v>
      </x:c>
      <x:c r="I20" s="11" t="n">
        <x:f>'许可受让方假设'!D7</x:f>
        <x:v>0.34</x:v>
      </x:c>
      <x:c r="J20" s="11" t="n">
        <x:f>'许可受让方假设'!E7</x:f>
        <x:v>0.8</x:v>
      </x:c>
      <x:c r="K20" s="11" t="n">
        <x:f>F20*G20*(I20-H20*J20)*R20</x:f>
        <x:v>1.5876</x:v>
      </x:c>
      <x:c r="L20" s="11" t="n">
        <x:f>CHOOSE('假设'!$B$3,O20,P20,Q20)</x:f>
        <x:v>1.2335683192993143</x:v>
      </x:c>
      <x:c r="M20" s="11" t="n">
        <x:f>0</x:f>
        <x:v>0</x:v>
      </x:c>
      <x:c r="N20" s="11" t="n">
        <x:f>((K20-L20)*E20-M20)/(1+'管线假设'!H1371)^D20</x:f>
        <x:v>0.06446411260967022</x:v>
      </x:c>
      <x:c r="O20" s="16" t="n">
        <x:v>0.9251762394744858</x:v>
      </x:c>
      <x:c r="P20" s="16" t="n">
        <x:v>1.2335683192993143</x:v>
      </x:c>
      <x:c r="Q20" s="16" t="n">
        <x:v>1.981437473699363</x:v>
      </x:c>
      <x:c r="R20" s="11" t="n">
        <x:f>'管线假设'!I1371</x:f>
        <x:v>7</x:v>
      </x:c>
    </x:row>
    <x:row r="21" ht="23" customHeight="1">
      <x:c r="A21" s="11" t="str">
        <x:v>09995.HK</x:v>
      </x:c>
      <x:c r="B21" s="11" t="str">
        <x:v>2026年底</x:v>
      </x:c>
      <x:c r="C21" s="11" t="str">
        <x:v>2040-12-31</x:v>
      </x:c>
      <x:c r="D21" s="11" t="n">
        <x:v>14.001368925393566</x:v>
      </x:c>
      <x:c r="E21" s="11" t="n">
        <x:v>1</x:v>
      </x:c>
      <x:c r="F21" s="11" t="n">
        <x:f>'管线现金流'!K6415</x:f>
        <x:v>1.0499999999999998</x:v>
      </x:c>
      <x:c r="G21" s="11" t="n">
        <x:f>'管线假设'!E1371</x:f>
        <x:v>0.6</x:v>
      </x:c>
      <x:c r="H21" s="11" t="n">
        <x:f>'管线假设'!F1371/'许可受让方假设'!F7</x:f>
        <x:v>0.10999999999999999</x:v>
      </x:c>
      <x:c r="I21" s="11" t="n">
        <x:f>'许可受让方假设'!D7</x:f>
        <x:v>0.34</x:v>
      </x:c>
      <x:c r="J21" s="11" t="n">
        <x:f>'许可受让方假设'!E7</x:f>
        <x:v>0.8</x:v>
      </x:c>
      <x:c r="K21" s="11" t="n">
        <x:f>F21*G21*(I21-H21*J21)*R21</x:f>
        <x:v>1.1113199999999999</x:v>
      </x:c>
      <x:c r="L21" s="11" t="n">
        <x:f>CHOOSE('假设'!$B$3,O21,P21,Q21)</x:f>
        <x:v>1.270575368878294</x:v>
      </x:c>
      <x:c r="M21" s="11" t="n">
        <x:f>0</x:f>
        <x:v>0</x:v>
      </x:c>
      <x:c r="N21" s="11" t="n">
        <x:f>((K21-L21)*E21-M21)/(1+'管线假设'!H1371)^D21</x:f>
        <x:v>-0.025430111545534168</x:v>
      </x:c>
      <x:c r="O21" s="16" t="n">
        <x:v>0.9529315266587205</x:v>
      </x:c>
      <x:c r="P21" s="16" t="n">
        <x:v>1.270575368878294</x:v>
      </x:c>
      <x:c r="Q21" s="16" t="n">
        <x:v>2.0606949726473376</x:v>
      </x:c>
      <x:c r="R21" s="11" t="n">
        <x:f>'管线假设'!I1371</x:f>
        <x:v>7</x:v>
      </x:c>
    </x:row>
    <x:row r="22" ht="23" customHeight="1">
      <x:c r="A22" s="11" t="str">
        <x:v>09995.HK</x:v>
      </x:c>
      <x:c r="B22" s="11" t="str">
        <x:v>2026年底</x:v>
      </x:c>
      <x:c r="C22" s="11" t="str">
        <x:v>2041-12-31</x:v>
      </x:c>
      <x:c r="D22" s="11" t="n">
        <x:v>15.000684462696784</x:v>
      </x:c>
      <x:c r="E22" s="11" t="n">
        <x:v>1</x:v>
      </x:c>
      <x:c r="F22" s="11" t="n">
        <x:f>'管线现金流'!K6416</x:f>
        <x:v>0.6000000000000001</x:v>
      </x:c>
      <x:c r="G22" s="11" t="n">
        <x:f>'管线假设'!E1371</x:f>
        <x:v>0.6</x:v>
      </x:c>
      <x:c r="H22" s="11" t="n">
        <x:f>'管线假设'!F1371/'许可受让方假设'!F7</x:f>
        <x:v>0.10999999999999999</x:v>
      </x:c>
      <x:c r="I22" s="11" t="n">
        <x:f>'许可受让方假设'!D7</x:f>
        <x:v>0.34</x:v>
      </x:c>
      <x:c r="J22" s="11" t="n">
        <x:f>'许可受让方假设'!E7</x:f>
        <x:v>0.8</x:v>
      </x:c>
      <x:c r="K22" s="11" t="n">
        <x:f>F22*G22*(I22-H22*J22)*R22</x:f>
        <x:v>0.63504</x:v>
      </x:c>
      <x:c r="L22" s="11" t="n">
        <x:f>CHOOSE('假设'!$B$3,O22,P22,Q22)</x:f>
        <x:v>1.3086926299446426</x:v>
      </x:c>
      <x:c r="M22" s="11" t="n">
        <x:f>0</x:f>
        <x:v>0</x:v>
      </x:c>
      <x:c r="N22" s="11" t="n">
        <x:f>((K22-L22)*E22-M22)/(1+'管线假设'!H1371)^D22</x:f>
        <x:v>-0.09436789992560082</x:v>
      </x:c>
      <x:c r="O22" s="16" t="n">
        <x:v>0.981519472458482</x:v>
      </x:c>
      <x:c r="P22" s="16" t="n">
        <x:v>1.3086926299446426</x:v>
      </x:c>
      <x:c r="Q22" s="16" t="n">
        <x:v>2.143122771553231</x:v>
      </x:c>
      <x:c r="R22" s="11" t="n">
        <x:f>'管线假设'!I1371</x:f>
        <x:v>7</x:v>
      </x:c>
    </x:row>
    <x:row r="23" ht="23" customHeight="1">
      <x:c r="A23" s="11" t="str">
        <x:v>09995.HK</x:v>
      </x:c>
      <x:c r="B23" s="11" t="str">
        <x:v>2026年底</x:v>
      </x:c>
      <x:c r="C23" s="11" t="str">
        <x:v>2042-12-31</x:v>
      </x:c>
      <x:c r="D23" s="11" t="n">
        <x:v>16</x:v>
      </x:c>
      <x:c r="E23" s="11" t="n">
        <x:v>1</x:v>
      </x:c>
      <x:c r="F23" s="11" t="n">
        <x:f>'管线现金流'!K6417</x:f>
        <x:v>0.36</x:v>
      </x:c>
      <x:c r="G23" s="11" t="n">
        <x:f>'管线假设'!E1371</x:f>
        <x:v>0.6</x:v>
      </x:c>
      <x:c r="H23" s="11" t="n">
        <x:f>'管线假设'!F1371/'许可受让方假设'!F7</x:f>
        <x:v>0.10999999999999999</x:v>
      </x:c>
      <x:c r="I23" s="11" t="n">
        <x:f>'许可受让方假设'!D7</x:f>
        <x:v>0.34</x:v>
      </x:c>
      <x:c r="J23" s="11" t="n">
        <x:f>'许可受让方假设'!E7</x:f>
        <x:v>0.8</x:v>
      </x:c>
      <x:c r="K23" s="11" t="n">
        <x:f>F23*G23*(I23-H23*J23)*R23</x:f>
        <x:v>0.38102400000000003</x:v>
      </x:c>
      <x:c r="L23" s="11" t="n">
        <x:f>CHOOSE('假设'!$B$3,O23,P23,Q23)</x:f>
        <x:v>1.347953408842982</x:v>
      </x:c>
      <x:c r="M23" s="11" t="n">
        <x:f>0</x:f>
        <x:v>0</x:v>
      </x:c>
      <x:c r="N23" s="11" t="n">
        <x:f>((K23-L23)*E23-M23)/(1+'管线假设'!H1371)^D23</x:f>
        <x:v>-0.11882755139308163</x:v>
      </x:c>
      <x:c r="O23" s="16" t="n">
        <x:v>1.0109650566322366</x:v>
      </x:c>
      <x:c r="P23" s="16" t="n">
        <x:v>1.347953408842982</x:v>
      </x:c>
      <x:c r="Q23" s="16" t="n">
        <x:v>2.2288476824153602</x:v>
      </x:c>
      <x:c r="R23" s="11" t="n">
        <x:f>'管线假设'!I1371</x:f>
        <x:v>7</x:v>
      </x:c>
    </x:row>
    <x:row r="24" ht="23" customHeight="1">
      <x:c r="A24" s="11" t="str">
        <x:v>09995.HK</x:v>
      </x:c>
      <x:c r="B24" s="11" t="str">
        <x:v>2026年底</x:v>
      </x:c>
      <x:c r="C24" s="11" t="str">
        <x:v>2043-12-31</x:v>
      </x:c>
      <x:c r="D24" s="11" t="n">
        <x:v>16.999315537303218</x:v>
      </x:c>
      <x:c r="E24" s="11" t="n">
        <x:v>1</x:v>
      </x:c>
      <x:c r="F24" s="11" t="n">
        <x:f>'管线现金流'!K6418</x:f>
        <x:v>0.21000000000000002</x:v>
      </x:c>
      <x:c r="G24" s="11" t="n">
        <x:f>'管线假设'!E1371</x:f>
        <x:v>0.6</x:v>
      </x:c>
      <x:c r="H24" s="11" t="n">
        <x:f>'管线假设'!F1371/'许可受让方假设'!F7</x:f>
        <x:v>0.10999999999999999</x:v>
      </x:c>
      <x:c r="I24" s="11" t="n">
        <x:f>'许可受让方假设'!D7</x:f>
        <x:v>0.34</x:v>
      </x:c>
      <x:c r="J24" s="11" t="n">
        <x:f>'许可受让方假设'!E7</x:f>
        <x:v>0.8</x:v>
      </x:c>
      <x:c r="K24" s="11" t="n">
        <x:f>F24*G24*(I24-H24*J24)*R24</x:f>
        <x:v>0.22226400000000002</x:v>
      </x:c>
      <x:c r="L24" s="11" t="n">
        <x:f>CHOOSE('假设'!$B$3,O24,P24,Q24)</x:f>
        <x:v>1.3883920111082715</x:v>
      </x:c>
      <x:c r="M24" s="11" t="n">
        <x:f>0</x:f>
        <x:v>0</x:v>
      </x:c>
      <x:c r="N24" s="11" t="n">
        <x:f>((K24-L24)*E24-M24)/(1+'管线假设'!H1371)^D24</x:f>
        <x:v>-0.1257195170533554</x:v>
      </x:c>
      <x:c r="O24" s="16" t="n">
        <x:v>1.0412940083312037</x:v>
      </x:c>
      <x:c r="P24" s="16" t="n">
        <x:v>1.3883920111082715</x:v>
      </x:c>
      <x:c r="Q24" s="16" t="n">
        <x:v>2.318001589711975</x:v>
      </x:c>
      <x:c r="R24" s="11" t="n">
        <x:f>'管线假设'!I1371</x:f>
        <x:v>7</x:v>
      </x:c>
    </x:row>
    <x:row r="25" ht="23" customHeight="1">
      <x:c r="A25" s="11" t="str">
        <x:v>09995.HK</x:v>
      </x:c>
      <x:c r="B25" s="11" t="str">
        <x:v>2026年底</x:v>
      </x:c>
      <x:c r="C25" s="11" t="str">
        <x:v>2044-12-31</x:v>
      </x:c>
      <x:c r="D25" s="11" t="n">
        <x:v>18.001368925393567</x:v>
      </x:c>
      <x:c r="E25" s="11" t="n">
        <x:v>1</x:v>
      </x:c>
      <x:c r="F25" s="11" t="n">
        <x:f>'管线现金流'!K6419</x:f>
        <x:v>0.09</x:v>
      </x:c>
      <x:c r="G25" s="11" t="n">
        <x:f>'管线假设'!E1371</x:f>
        <x:v>0.6</x:v>
      </x:c>
      <x:c r="H25" s="11" t="n">
        <x:f>'管线假设'!F1371/'许可受让方假设'!F7</x:f>
        <x:v>0.10999999999999999</x:v>
      </x:c>
      <x:c r="I25" s="11" t="n">
        <x:f>'许可受让方假设'!D7</x:f>
        <x:v>0.34</x:v>
      </x:c>
      <x:c r="J25" s="11" t="n">
        <x:f>'许可受让方假设'!E7</x:f>
        <x:v>0.8</x:v>
      </x:c>
      <x:c r="K25" s="11" t="n">
        <x:f>F25*G25*(I25-H25*J25)*R25</x:f>
        <x:v>0.09525600000000001</x:v>
      </x:c>
      <x:c r="L25" s="11" t="n">
        <x:f>CHOOSE('假设'!$B$3,O25,P25,Q25)</x:f>
        <x:v>1.4300437714415197</x:v>
      </x:c>
      <x:c r="M25" s="11" t="n">
        <x:f>0</x:f>
        <x:v>0</x:v>
      </x:c>
      <x:c r="N25" s="11" t="n">
        <x:f>((K25-L25)*E25-M25)/(1+'管线假设'!H1371)^D25</x:f>
        <x:v>-0.12619640892355544</x:v>
      </x:c>
      <x:c r="O25" s="16" t="n">
        <x:v>1.07253282858114</x:v>
      </x:c>
      <x:c r="P25" s="16" t="n">
        <x:v>1.4300437714415197</x:v>
      </x:c>
      <x:c r="Q25" s="16" t="n">
        <x:v>2.4107216533004543</x:v>
      </x:c>
      <x:c r="R25" s="11" t="n">
        <x:f>'管线假设'!I1371</x:f>
        <x:v>7</x:v>
      </x:c>
    </x:row>
    <x:row r="26" ht="23" customHeight="1">
      <x:c r="A26" s="11" t="str">
        <x:v>09995.HK</x:v>
      </x:c>
      <x:c r="B26" s="11" t="str">
        <x:v>半年</x:v>
      </x:c>
      <x:c r="C26" s="11" t="str">
        <x:v>2026-12-31</x:v>
      </x:c>
      <x:c r="D26" s="11" t="n">
        <x:v>0</x:v>
      </x:c>
      <x:c r="E26" s="11" t="n">
        <x:v>0</x:v>
      </x:c>
      <x:c r="F26" s="11" t="n">
        <x:f>'管线现金流'!K6591</x:f>
        <x:v>0</x:v>
      </x:c>
      <x:c r="G26" s="11" t="n">
        <x:f>'管线假设'!E1411</x:f>
        <x:v>0.6</x:v>
      </x:c>
      <x:c r="H26" s="11" t="n">
        <x:f>'管线假设'!F1411/'许可受让方假设'!F11</x:f>
        <x:v>0.10999999999999999</x:v>
      </x:c>
      <x:c r="I26" s="11" t="n">
        <x:f>'许可受让方假设'!D11</x:f>
        <x:v>0.34</x:v>
      </x:c>
      <x:c r="J26" s="11" t="n">
        <x:f>'许可受让方假设'!E11</x:f>
        <x:v>0.8</x:v>
      </x:c>
      <x:c r="K26" s="11" t="n">
        <x:f>F26*G26*(I26-H26*J26)*R26</x:f>
        <x:v>0</x:v>
      </x:c>
      <x:c r="L26" s="11" t="n">
        <x:f>CHOOSE('假设'!$B$3,O26,P26,Q26)</x:f>
        <x:v>0.84</x:v>
      </x:c>
      <x:c r="M26" s="11" t="n">
        <x:f>0</x:f>
        <x:v>0</x:v>
      </x:c>
      <x:c r="N26" s="11" t="n">
        <x:f>((K26-L26)*E26-M26)/(1+'管线假设'!H1411)^D26</x:f>
        <x:v>0</x:v>
      </x:c>
      <x:c r="O26" s="16" t="n">
        <x:v>0.63</x:v>
      </x:c>
      <x:c r="P26" s="16" t="n">
        <x:v>0.84</x:v>
      </x:c>
      <x:c r="Q26" s="16" t="n">
        <x:v>1.1900000000000002</x:v>
      </x:c>
      <x:c r="R26" s="11" t="n">
        <x:f>'管线假设'!I1411</x:f>
        <x:v>7</x:v>
      </x:c>
    </x:row>
    <x:row r="27" ht="23" customHeight="1">
      <x:c r="A27" s="11" t="str">
        <x:v>09995.HK</x:v>
      </x:c>
      <x:c r="B27" s="11" t="str">
        <x:v>半年</x:v>
      </x:c>
      <x:c r="C27" s="11" t="str">
        <x:v>2027-12-31</x:v>
      </x:c>
      <x:c r="D27" s="11" t="n">
        <x:v>0.7282683093771389</x:v>
      </x:c>
      <x:c r="E27" s="11" t="n">
        <x:v>0.7307692307692307</x:v>
      </x:c>
      <x:c r="F27" s="11" t="n">
        <x:f>'管线现金流'!K6592</x:f>
        <x:v>0</x:v>
      </x:c>
      <x:c r="G27" s="11" t="n">
        <x:f>'管线假设'!E1411</x:f>
        <x:v>0.6</x:v>
      </x:c>
      <x:c r="H27" s="11" t="n">
        <x:f>'管线假设'!F1411/'许可受让方假设'!F11</x:f>
        <x:v>0.10999999999999999</x:v>
      </x:c>
      <x:c r="I27" s="11" t="n">
        <x:f>'许可受让方假设'!D11</x:f>
        <x:v>0.34</x:v>
      </x:c>
      <x:c r="J27" s="11" t="n">
        <x:f>'许可受让方假设'!E11</x:f>
        <x:v>0.8</x:v>
      </x:c>
      <x:c r="K27" s="11" t="n">
        <x:f>F27*G27*(I27-H27*J27)*R27</x:f>
        <x:v>0</x:v>
      </x:c>
      <x:c r="L27" s="11" t="n">
        <x:f>CHOOSE('假设'!$B$3,O27,P27,Q27)</x:f>
        <x:v>0.8652</x:v>
      </x:c>
      <x:c r="M27" s="11" t="n">
        <x:f>0</x:f>
        <x:v>0</x:v>
      </x:c>
      <x:c r="N27" s="11" t="n">
        <x:f>((K27-L27)*E27-M27)/(1+'管线假设'!H1411)^D27</x:f>
        <x:v>-0.5747179530847701</x:v>
      </x:c>
      <x:c r="O27" s="16" t="n">
        <x:v>0.6489</x:v>
      </x:c>
      <x:c r="P27" s="16" t="n">
        <x:v>0.8652</x:v>
      </x:c>
      <x:c r="Q27" s="16" t="n">
        <x:v>1.2376000000000003</x:v>
      </x:c>
      <x:c r="R27" s="11" t="n">
        <x:f>'管线假设'!I1411</x:f>
        <x:v>7</x:v>
      </x:c>
    </x:row>
    <x:row r="28" ht="23" customHeight="1">
      <x:c r="A28" s="11" t="str">
        <x:v>09995.HK</x:v>
      </x:c>
      <x:c r="B28" s="11" t="str">
        <x:v>半年</x:v>
      </x:c>
      <x:c r="C28" s="11" t="str">
        <x:v>2028-12-31</x:v>
      </x:c>
      <x:c r="D28" s="11" t="n">
        <x:v>1.730321697467488</x:v>
      </x:c>
      <x:c r="E28" s="11" t="n">
        <x:v>1</x:v>
      </x:c>
      <x:c r="F28" s="11" t="n">
        <x:f>'管线现金流'!K6593</x:f>
        <x:v>0.18</x:v>
      </x:c>
      <x:c r="G28" s="11" t="n">
        <x:f>'管线假设'!E1411</x:f>
        <x:v>0.6</x:v>
      </x:c>
      <x:c r="H28" s="11" t="n">
        <x:f>'管线假设'!F1411/'许可受让方假设'!F11</x:f>
        <x:v>0.10999999999999999</x:v>
      </x:c>
      <x:c r="I28" s="11" t="n">
        <x:f>'许可受让方假设'!D11</x:f>
        <x:v>0.34</x:v>
      </x:c>
      <x:c r="J28" s="11" t="n">
        <x:f>'许可受让方假设'!E11</x:f>
        <x:v>0.8</x:v>
      </x:c>
      <x:c r="K28" s="11" t="n">
        <x:f>F28*G28*(I28-H28*J28)*R28</x:f>
        <x:v>0.19051200000000001</x:v>
      </x:c>
      <x:c r="L28" s="11" t="n">
        <x:f>CHOOSE('假设'!$B$3,O28,P28,Q28)</x:f>
        <x:v>0.901156</x:v>
      </x:c>
      <x:c r="M28" s="11" t="n">
        <x:f>'管线现金流'!AB113</x:f>
        <x:v>0.2016</x:v>
      </x:c>
      <x:c r="N28" s="11" t="n">
        <x:f>((K28-L28)*E28-M28)/(1+'管线假设'!H1411)^D28</x:f>
        <x:v>-0.7271890265358751</x:v>
      </x:c>
      <x:c r="O28" s="16" t="n">
        <x:v>0.6683669999999999</x:v>
      </x:c>
      <x:c r="P28" s="16" t="n">
        <x:v>0.901156</x:v>
      </x:c>
      <x:c r="Q28" s="16" t="n">
        <x:v>1.2871040000000002</x:v>
      </x:c>
      <x:c r="R28" s="11" t="n">
        <x:f>'管线假设'!I1411</x:f>
        <x:v>7</x:v>
      </x:c>
    </x:row>
    <x:row r="29" ht="23" customHeight="1">
      <x:c r="A29" s="11" t="str">
        <x:v>09995.HK</x:v>
      </x:c>
      <x:c r="B29" s="11" t="str">
        <x:v>半年</x:v>
      </x:c>
      <x:c r="C29" s="11" t="str">
        <x:v>2029-12-31</x:v>
      </x:c>
      <x:c r="D29" s="11" t="n">
        <x:v>2.729637234770705</x:v>
      </x:c>
      <x:c r="E29" s="11" t="n">
        <x:v>1</x:v>
      </x:c>
      <x:c r="F29" s="11" t="n">
        <x:f>'管线现金流'!K6594</x:f>
        <x:v>0.54</x:v>
      </x:c>
      <x:c r="G29" s="11" t="n">
        <x:f>'管线假设'!E1411</x:f>
        <x:v>0.6</x:v>
      </x:c>
      <x:c r="H29" s="11" t="n">
        <x:f>'管线假设'!F1411/'许可受让方假设'!F11</x:f>
        <x:v>0.10999999999999999</x:v>
      </x:c>
      <x:c r="I29" s="11" t="n">
        <x:f>'许可受让方假设'!D11</x:f>
        <x:v>0.34</x:v>
      </x:c>
      <x:c r="J29" s="11" t="n">
        <x:f>'许可受让方假设'!E11</x:f>
        <x:v>0.8</x:v>
      </x:c>
      <x:c r="K29" s="11" t="n">
        <x:f>F29*G29*(I29-H29*J29)*R29</x:f>
        <x:v>0.571536</x:v>
      </x:c>
      <x:c r="L29" s="11" t="n">
        <x:f>CHOOSE('假设'!$B$3,O29,P29,Q29)</x:f>
        <x:v>0.91789068</x:v>
      </x:c>
      <x:c r="M29" s="11" t="n">
        <x:f>'管线现金流'!AB115</x:f>
        <x:v>0</x:v>
      </x:c>
      <x:c r="N29" s="11" t="n">
        <x:f>((K29-L29)*E29-M29)/(1+'管线假设'!H1411)^D29</x:f>
        <x:v>-0.2422096595475056</x:v>
      </x:c>
      <x:c r="O29" s="16" t="n">
        <x:v>0.68841801</x:v>
      </x:c>
      <x:c r="P29" s="16" t="n">
        <x:v>0.91789068</x:v>
      </x:c>
      <x:c r="Q29" s="16" t="n">
        <x:v>1.3385881600000002</x:v>
      </x:c>
      <x:c r="R29" s="11" t="n">
        <x:f>'管线假设'!I1411</x:f>
        <x:v>7</x:v>
      </x:c>
    </x:row>
    <x:row r="30" ht="23" customHeight="1">
      <x:c r="A30" s="11" t="str">
        <x:v>09995.HK</x:v>
      </x:c>
      <x:c r="B30" s="11" t="str">
        <x:v>半年</x:v>
      </x:c>
      <x:c r="C30" s="11" t="str">
        <x:v>2030-12-31</x:v>
      </x:c>
      <x:c r="D30" s="11" t="n">
        <x:v>3.728952772073922</x:v>
      </x:c>
      <x:c r="E30" s="11" t="n">
        <x:v>1</x:v>
      </x:c>
      <x:c r="F30" s="11" t="n">
        <x:f>'管线现金流'!K6595</x:f>
        <x:v>1.1400000000000001</x:v>
      </x:c>
      <x:c r="G30" s="11" t="n">
        <x:f>'管线假设'!E1411</x:f>
        <x:v>0.6</x:v>
      </x:c>
      <x:c r="H30" s="11" t="n">
        <x:f>'管线假设'!F1411/'许可受让方假设'!F11</x:f>
        <x:v>0.10999999999999999</x:v>
      </x:c>
      <x:c r="I30" s="11" t="n">
        <x:f>'许可受让方假设'!D11</x:f>
        <x:v>0.34</x:v>
      </x:c>
      <x:c r="J30" s="11" t="n">
        <x:f>'许可受让方假设'!E11</x:f>
        <x:v>0.8</x:v>
      </x:c>
      <x:c r="K30" s="11" t="n">
        <x:f>F30*G30*(I30-H30*J30)*R30</x:f>
        <x:v>1.206576</x:v>
      </x:c>
      <x:c r="L30" s="11" t="n">
        <x:f>CHOOSE('假设'!$B$3,O30,P30,Q30)</x:f>
        <x:v>0.9454274004000001</x:v>
      </x:c>
      <x:c r="M30" s="11" t="n">
        <x:f>'管线现金流'!AB118</x:f>
        <x:v>0.224</x:v>
      </x:c>
      <x:c r="N30" s="11" t="n">
        <x:f>((K30-L30)*E30-M30)/(1+'管线假设'!H1411)^D30</x:f>
        <x:v>0.022790137402407977</x:v>
      </x:c>
      <x:c r="O30" s="16" t="n">
        <x:v>0.7090705503000001</x:v>
      </x:c>
      <x:c r="P30" s="16" t="n">
        <x:v>0.9454274004000001</x:v>
      </x:c>
      <x:c r="Q30" s="16" t="n">
        <x:v>1.3921316864000004</x:v>
      </x:c>
      <x:c r="R30" s="11" t="n">
        <x:f>'管线假设'!I1411</x:f>
        <x:v>7</x:v>
      </x:c>
    </x:row>
    <x:row r="31" ht="23" customHeight="1">
      <x:c r="A31" s="11" t="str">
        <x:v>09995.HK</x:v>
      </x:c>
      <x:c r="B31" s="11" t="str">
        <x:v>半年</x:v>
      </x:c>
      <x:c r="C31" s="11" t="str">
        <x:v>2031-12-31</x:v>
      </x:c>
      <x:c r="D31" s="11" t="n">
        <x:v>4.728268309377139</x:v>
      </x:c>
      <x:c r="E31" s="11" t="n">
        <x:v>1</x:v>
      </x:c>
      <x:c r="F31" s="11" t="n">
        <x:f>'管线现金流'!K6596</x:f>
        <x:v>1.9500000000000002</x:v>
      </x:c>
      <x:c r="G31" s="11" t="n">
        <x:f>'管线假设'!E1411</x:f>
        <x:v>0.6</x:v>
      </x:c>
      <x:c r="H31" s="11" t="n">
        <x:f>'管线假设'!F1411/'许可受让方假设'!F11</x:f>
        <x:v>0.10999999999999999</x:v>
      </x:c>
      <x:c r="I31" s="11" t="n">
        <x:f>'许可受让方假设'!D11</x:f>
        <x:v>0.34</x:v>
      </x:c>
      <x:c r="J31" s="11" t="n">
        <x:f>'许可受让方假设'!E11</x:f>
        <x:v>0.8</x:v>
      </x:c>
      <x:c r="K31" s="11" t="n">
        <x:f>F31*G31*(I31-H31*J31)*R31</x:f>
        <x:v>2.06388</x:v>
      </x:c>
      <x:c r="L31" s="11" t="n">
        <x:f>CHOOSE('假设'!$B$3,O31,P31,Q31)</x:f>
        <x:v>0.973790222412</x:v>
      </x:c>
      <x:c r="M31" s="11" t="n">
        <x:f>0</x:f>
        <x:v>0</x:v>
      </x:c>
      <x:c r="N31" s="11" t="n">
        <x:f>((K31-L31)*E31-M31)/(1+'管线假设'!H1411)^D31</x:f>
        <x:v>0.5866794305942032</x:v>
      </x:c>
      <x:c r="O31" s="16" t="n">
        <x:v>0.7303426668090001</x:v>
      </x:c>
      <x:c r="P31" s="16" t="n">
        <x:v>0.973790222412</x:v>
      </x:c>
      <x:c r="Q31" s="16" t="n">
        <x:v>1.4478169538560004</x:v>
      </x:c>
      <x:c r="R31" s="11" t="n">
        <x:f>'管线假设'!I1411</x:f>
        <x:v>7</x:v>
      </x:c>
    </x:row>
    <x:row r="32" ht="23" customHeight="1">
      <x:c r="A32" s="11" t="str">
        <x:v>09995.HK</x:v>
      </x:c>
      <x:c r="B32" s="11" t="str">
        <x:v>半年</x:v>
      </x:c>
      <x:c r="C32" s="11" t="str">
        <x:v>2032-12-31</x:v>
      </x:c>
      <x:c r="D32" s="11" t="n">
        <x:v>5.730321697467488</x:v>
      </x:c>
      <x:c r="E32" s="11" t="n">
        <x:v>1</x:v>
      </x:c>
      <x:c r="F32" s="11" t="n">
        <x:f>'管线现金流'!K6597</x:f>
        <x:v>2.55</x:v>
      </x:c>
      <x:c r="G32" s="11" t="n">
        <x:f>'管线假设'!E1411</x:f>
        <x:v>0.6</x:v>
      </x:c>
      <x:c r="H32" s="11" t="n">
        <x:f>'管线假设'!F1411/'许可受让方假设'!F11</x:f>
        <x:v>0.10999999999999999</x:v>
      </x:c>
      <x:c r="I32" s="11" t="n">
        <x:f>'许可受让方假设'!D11</x:f>
        <x:v>0.34</x:v>
      </x:c>
      <x:c r="J32" s="11" t="n">
        <x:f>'许可受让方假设'!E11</x:f>
        <x:v>0.8</x:v>
      </x:c>
      <x:c r="K32" s="11" t="n">
        <x:f>F32*G32*(I32-H32*J32)*R32</x:f>
        <x:v>2.6989199999999998</x:v>
      </x:c>
      <x:c r="L32" s="11" t="n">
        <x:f>CHOOSE('假设'!$B$3,O32,P32,Q32)</x:f>
        <x:v>1.00300392908436</x:v>
      </x:c>
      <x:c r="M32" s="11" t="n">
        <x:f>0</x:f>
        <x:v>0</x:v>
      </x:c>
      <x:c r="N32" s="11" t="n">
        <x:f>((K32-L32)*E32-M32)/(1+'管线假设'!H1411)^D32</x:f>
        <x:v>0.800426118182857</x:v>
      </x:c>
      <x:c r="O32" s="16" t="n">
        <x:v>0.75225294681327</x:v>
      </x:c>
      <x:c r="P32" s="16" t="n">
        <x:v>1.00300392908436</x:v>
      </x:c>
      <x:c r="Q32" s="16" t="n">
        <x:v>1.5057296320102407</x:v>
      </x:c>
      <x:c r="R32" s="11" t="n">
        <x:f>'管线假设'!I1411</x:f>
        <x:v>7</x:v>
      </x:c>
    </x:row>
    <x:row r="33" ht="23" customHeight="1">
      <x:c r="A33" s="11" t="str">
        <x:v>09995.HK</x:v>
      </x:c>
      <x:c r="B33" s="11" t="str">
        <x:v>半年</x:v>
      </x:c>
      <x:c r="C33" s="11" t="str">
        <x:v>2033-12-31</x:v>
      </x:c>
      <x:c r="D33" s="11" t="n">
        <x:v>6.729637234770705</x:v>
      </x:c>
      <x:c r="E33" s="11" t="n">
        <x:v>1</x:v>
      </x:c>
      <x:c r="F33" s="11" t="n">
        <x:f>'管线现金流'!K6598</x:f>
        <x:v>3</x:v>
      </x:c>
      <x:c r="G33" s="11" t="n">
        <x:f>'管线假设'!E1411</x:f>
        <x:v>0.6</x:v>
      </x:c>
      <x:c r="H33" s="11" t="n">
        <x:f>'管线假设'!F1411/'许可受让方假设'!F11</x:f>
        <x:v>0.10999999999999999</x:v>
      </x:c>
      <x:c r="I33" s="11" t="n">
        <x:f>'许可受让方假设'!D11</x:f>
        <x:v>0.34</x:v>
      </x:c>
      <x:c r="J33" s="11" t="n">
        <x:f>'许可受让方假设'!E11</x:f>
        <x:v>0.8</x:v>
      </x:c>
      <x:c r="K33" s="11" t="n">
        <x:f>F33*G33*(I33-H33*J33)*R33</x:f>
        <x:v>3.1752</x:v>
      </x:c>
      <x:c r="L33" s="11" t="n">
        <x:f>CHOOSE('假设'!$B$3,O33,P33,Q33)</x:f>
        <x:v>1.033094046956891</x:v>
      </x:c>
      <x:c r="M33" s="11" t="n">
        <x:f>0</x:f>
        <x:v>0</x:v>
      </x:c>
      <x:c r="N33" s="11" t="n">
        <x:f>((K33-L33)*E33-M33)/(1+'管线假设'!H1411)^D33</x:f>
        <x:v>0.8869353032637969</x:v>
      </x:c>
      <x:c r="O33" s="16" t="n">
        <x:v>0.7748205352176682</x:v>
      </x:c>
      <x:c r="P33" s="16" t="n">
        <x:v>1.033094046956891</x:v>
      </x:c>
      <x:c r="Q33" s="16" t="n">
        <x:v>1.5659588172906502</x:v>
      </x:c>
      <x:c r="R33" s="11" t="n">
        <x:f>'管线假设'!I1411</x:f>
        <x:v>7</x:v>
      </x:c>
    </x:row>
    <x:row r="34" ht="23" customHeight="1">
      <x:c r="A34" s="11" t="str">
        <x:v>09995.HK</x:v>
      </x:c>
      <x:c r="B34" s="11" t="str">
        <x:v>半年</x:v>
      </x:c>
      <x:c r="C34" s="11" t="str">
        <x:v>2034-12-31</x:v>
      </x:c>
      <x:c r="D34" s="11" t="n">
        <x:v>7.728952772073922</x:v>
      </x:c>
      <x:c r="E34" s="11" t="n">
        <x:v>1</x:v>
      </x:c>
      <x:c r="F34" s="11" t="n">
        <x:f>'管线现金流'!K6599</x:f>
        <x:v>3</x:v>
      </x:c>
      <x:c r="G34" s="11" t="n">
        <x:f>'管线假设'!E1411</x:f>
        <x:v>0.6</x:v>
      </x:c>
      <x:c r="H34" s="11" t="n">
        <x:f>'管线假设'!F1411/'许可受让方假设'!F11</x:f>
        <x:v>0.10999999999999999</x:v>
      </x:c>
      <x:c r="I34" s="11" t="n">
        <x:f>'许可受让方假设'!D11</x:f>
        <x:v>0.34</x:v>
      </x:c>
      <x:c r="J34" s="11" t="n">
        <x:f>'许可受让方假设'!E11</x:f>
        <x:v>0.8</x:v>
      </x:c>
      <x:c r="K34" s="11" t="n">
        <x:f>F34*G34*(I34-H34*J34)*R34</x:f>
        <x:v>3.1752</x:v>
      </x:c>
      <x:c r="L34" s="11" t="n">
        <x:f>CHOOSE('假设'!$B$3,O34,P34,Q34)</x:f>
        <x:v>1.0640868683655977</x:v>
      </x:c>
      <x:c r="M34" s="11" t="n">
        <x:f>0</x:f>
        <x:v>0</x:v>
      </x:c>
      <x:c r="N34" s="11" t="n">
        <x:f>((K34-L34)*E34-M34)/(1+'管线假设'!H1411)^D34</x:f>
        <x:v>0.7668255922117303</x:v>
      </x:c>
      <x:c r="O34" s="16" t="n">
        <x:v>0.7980651512741983</x:v>
      </x:c>
      <x:c r="P34" s="16" t="n">
        <x:v>1.0640868683655977</x:v>
      </x:c>
      <x:c r="Q34" s="16" t="n">
        <x:v>1.628597169982276</x:v>
      </x:c>
      <x:c r="R34" s="11" t="n">
        <x:f>'管线假设'!I1411</x:f>
        <x:v>7</x:v>
      </x:c>
    </x:row>
    <x:row r="35" ht="23" customHeight="1">
      <x:c r="A35" s="11" t="str">
        <x:v>09995.HK</x:v>
      </x:c>
      <x:c r="B35" s="11" t="str">
        <x:v>半年</x:v>
      </x:c>
      <x:c r="C35" s="11" t="str">
        <x:v>2035-12-31</x:v>
      </x:c>
      <x:c r="D35" s="11" t="n">
        <x:v>8.728268309377139</x:v>
      </x:c>
      <x:c r="E35" s="11" t="n">
        <x:v>1</x:v>
      </x:c>
      <x:c r="F35" s="11" t="n">
        <x:f>'管线现金流'!K6600</x:f>
        <x:v>2.8499999999999996</x:v>
      </x:c>
      <x:c r="G35" s="11" t="n">
        <x:f>'管线假设'!E1411</x:f>
        <x:v>0.6</x:v>
      </x:c>
      <x:c r="H35" s="11" t="n">
        <x:f>'管线假设'!F1411/'许可受让方假设'!F11</x:f>
        <x:v>0.10999999999999999</x:v>
      </x:c>
      <x:c r="I35" s="11" t="n">
        <x:f>'许可受让方假设'!D11</x:f>
        <x:v>0.34</x:v>
      </x:c>
      <x:c r="J35" s="11" t="n">
        <x:f>'许可受让方假设'!E11</x:f>
        <x:v>0.8</x:v>
      </x:c>
      <x:c r="K35" s="11" t="n">
        <x:f>F35*G35*(I35-H35*J35)*R35</x:f>
        <x:v>3.0164399999999993</x:v>
      </x:c>
      <x:c r="L35" s="11" t="n">
        <x:f>CHOOSE('假设'!$B$3,O35,P35,Q35)</x:f>
        <x:v>1.0960094744165656</x:v>
      </x:c>
      <x:c r="M35" s="11" t="n">
        <x:f>0</x:f>
        <x:v>0</x:v>
      </x:c>
      <x:c r="N35" s="11" t="n">
        <x:f>((K35-L35)*E35-M35)/(1+'管线假设'!H1411)^D35</x:f>
        <x:v>0.6119526079757353</x:v>
      </x:c>
      <x:c r="O35" s="16" t="n">
        <x:v>0.8220071058124243</x:v>
      </x:c>
      <x:c r="P35" s="16" t="n">
        <x:v>1.0960094744165656</x:v>
      </x:c>
      <x:c r="Q35" s="16" t="n">
        <x:v>1.6937410567815674</x:v>
      </x:c>
      <x:c r="R35" s="11" t="n">
        <x:f>'管线假设'!I1411</x:f>
        <x:v>7</x:v>
      </x:c>
    </x:row>
    <x:row r="36" ht="23" customHeight="1">
      <x:c r="A36" s="11" t="str">
        <x:v>09995.HK</x:v>
      </x:c>
      <x:c r="B36" s="11" t="str">
        <x:v>半年</x:v>
      </x:c>
      <x:c r="C36" s="11" t="str">
        <x:v>2036-12-31</x:v>
      </x:c>
      <x:c r="D36" s="11" t="n">
        <x:v>9.730321697467488</x:v>
      </x:c>
      <x:c r="E36" s="11" t="n">
        <x:v>1</x:v>
      </x:c>
      <x:c r="F36" s="11" t="n">
        <x:f>'管线现金流'!K6601</x:f>
        <x:v>2.7</x:v>
      </x:c>
      <x:c r="G36" s="11" t="n">
        <x:f>'管线假设'!E1411</x:f>
        <x:v>0.6</x:v>
      </x:c>
      <x:c r="H36" s="11" t="n">
        <x:f>'管线假设'!F1411/'许可受让方假设'!F11</x:f>
        <x:v>0.10999999999999999</x:v>
      </x:c>
      <x:c r="I36" s="11" t="n">
        <x:f>'许可受让方假设'!D11</x:f>
        <x:v>0.34</x:v>
      </x:c>
      <x:c r="J36" s="11" t="n">
        <x:f>'许可受让方假设'!E11</x:f>
        <x:v>0.8</x:v>
      </x:c>
      <x:c r="K36" s="11" t="n">
        <x:f>F36*G36*(I36-H36*J36)*R36</x:f>
        <x:v>2.85768</x:v>
      </x:c>
      <x:c r="L36" s="11" t="n">
        <x:f>CHOOSE('假设'!$B$3,O36,P36,Q36)</x:f>
        <x:v>1.1288897586490627</x:v>
      </x:c>
      <x:c r="M36" s="11" t="n">
        <x:f>0</x:f>
        <x:v>0</x:v>
      </x:c>
      <x:c r="N36" s="11" t="n">
        <x:f>((K36-L36)*E36-M36)/(1+'管线假设'!H1411)^D36</x:f>
        <x:v>0.4831030648873513</x:v>
      </x:c>
      <x:c r="O36" s="16" t="n">
        <x:v>0.846667318986797</x:v>
      </x:c>
      <x:c r="P36" s="16" t="n">
        <x:v>1.1288897586490627</x:v>
      </x:c>
      <x:c r="Q36" s="16" t="n">
        <x:v>1.76149069905283</x:v>
      </x:c>
      <x:c r="R36" s="11" t="n">
        <x:f>'管线假设'!I1411</x:f>
        <x:v>7</x:v>
      </x:c>
    </x:row>
    <x:row r="37" ht="23" customHeight="1">
      <x:c r="A37" s="11" t="str">
        <x:v>09995.HK</x:v>
      </x:c>
      <x:c r="B37" s="11" t="str">
        <x:v>半年</x:v>
      </x:c>
      <x:c r="C37" s="11" t="str">
        <x:v>2037-12-31</x:v>
      </x:c>
      <x:c r="D37" s="11" t="n">
        <x:v>10.729637234770705</x:v>
      </x:c>
      <x:c r="E37" s="11" t="n">
        <x:v>1</x:v>
      </x:c>
      <x:c r="F37" s="11" t="n">
        <x:f>'管线现金流'!K6602</x:f>
        <x:v>2.4000000000000004</x:v>
      </x:c>
      <x:c r="G37" s="11" t="n">
        <x:f>'管线假设'!E1411</x:f>
        <x:v>0.6</x:v>
      </x:c>
      <x:c r="H37" s="11" t="n">
        <x:f>'管线假设'!F1411/'许可受让方假设'!F11</x:f>
        <x:v>0.10999999999999999</x:v>
      </x:c>
      <x:c r="I37" s="11" t="n">
        <x:f>'许可受让方假设'!D11</x:f>
        <x:v>0.34</x:v>
      </x:c>
      <x:c r="J37" s="11" t="n">
        <x:f>'许可受让方假设'!E11</x:f>
        <x:v>0.8</x:v>
      </x:c>
      <x:c r="K37" s="11" t="n">
        <x:f>F37*G37*(I37-H37*J37)*R37</x:f>
        <x:v>2.54016</x:v>
      </x:c>
      <x:c r="L37" s="11" t="n">
        <x:f>CHOOSE('假设'!$B$3,O37,P37,Q37)</x:f>
        <x:v>1.1627564514085345</x:v>
      </x:c>
      <x:c r="M37" s="11" t="n">
        <x:f>0</x:f>
        <x:v>0</x:v>
      </x:c>
      <x:c r="N37" s="11" t="n">
        <x:f>((K37-L37)*E37-M37)/(1+'管线假设'!H1411)^D37</x:f>
        <x:v>0.33767023943548</x:v>
      </x:c>
      <x:c r="O37" s="16" t="n">
        <x:v>0.872067338556401</x:v>
      </x:c>
      <x:c r="P37" s="16" t="n">
        <x:v>1.1627564514085345</x:v>
      </x:c>
      <x:c r="Q37" s="16" t="n">
        <x:v>1.8319503270149433</x:v>
      </x:c>
      <x:c r="R37" s="11" t="n">
        <x:f>'管线假设'!I1411</x:f>
        <x:v>7</x:v>
      </x:c>
    </x:row>
    <x:row r="38" ht="23" customHeight="1">
      <x:c r="A38" s="11" t="str">
        <x:v>09995.HK</x:v>
      </x:c>
      <x:c r="B38" s="11" t="str">
        <x:v>半年</x:v>
      </x:c>
      <x:c r="C38" s="11" t="str">
        <x:v>2038-12-31</x:v>
      </x:c>
      <x:c r="D38" s="11" t="n">
        <x:v>11.728952772073923</x:v>
      </x:c>
      <x:c r="E38" s="11" t="n">
        <x:v>1</x:v>
      </x:c>
      <x:c r="F38" s="11" t="n">
        <x:f>'管线现金流'!K6603</x:f>
        <x:v>1.9500000000000002</x:v>
      </x:c>
      <x:c r="G38" s="11" t="n">
        <x:f>'管线假设'!E1411</x:f>
        <x:v>0.6</x:v>
      </x:c>
      <x:c r="H38" s="11" t="n">
        <x:f>'管线假设'!F1411/'许可受让方假设'!F11</x:f>
        <x:v>0.10999999999999999</x:v>
      </x:c>
      <x:c r="I38" s="11" t="n">
        <x:f>'许可受让方假设'!D11</x:f>
        <x:v>0.34</x:v>
      </x:c>
      <x:c r="J38" s="11" t="n">
        <x:f>'许可受让方假设'!E11</x:f>
        <x:v>0.8</x:v>
      </x:c>
      <x:c r="K38" s="11" t="n">
        <x:f>F38*G38*(I38-H38*J38)*R38</x:f>
        <x:v>2.06388</x:v>
      </x:c>
      <x:c r="L38" s="11" t="n">
        <x:f>CHOOSE('假设'!$B$3,O38,P38,Q38)</x:f>
        <x:v>1.1976391449507906</x:v>
      </x:c>
      <x:c r="M38" s="11" t="n">
        <x:f>0</x:f>
        <x:v>0</x:v>
      </x:c>
      <x:c r="N38" s="11" t="n">
        <x:f>((K38-L38)*E38-M38)/(1+'管线假设'!H1411)^D38</x:f>
        <x:v>0.18629635122494</x:v>
      </x:c>
      <x:c r="O38" s="16" t="n">
        <x:v>0.898229358713093</x:v>
      </x:c>
      <x:c r="P38" s="16" t="n">
        <x:v>1.1976391449507906</x:v>
      </x:c>
      <x:c r="Q38" s="16" t="n">
        <x:v>1.9052283400955412</x:v>
      </x:c>
      <x:c r="R38" s="11" t="n">
        <x:f>'管线假设'!I1411</x:f>
        <x:v>7</x:v>
      </x:c>
    </x:row>
    <x:row r="39" ht="23" customHeight="1">
      <x:c r="A39" s="11" t="str">
        <x:v>09995.HK</x:v>
      </x:c>
      <x:c r="B39" s="11" t="str">
        <x:v>半年</x:v>
      </x:c>
      <x:c r="C39" s="11" t="str">
        <x:v>2039-12-31</x:v>
      </x:c>
      <x:c r="D39" s="11" t="n">
        <x:v>12.728268309377139</x:v>
      </x:c>
      <x:c r="E39" s="11" t="n">
        <x:v>1</x:v>
      </x:c>
      <x:c r="F39" s="11" t="n">
        <x:f>'管线现金流'!K6604</x:f>
        <x:v>1.5</x:v>
      </x:c>
      <x:c r="G39" s="11" t="n">
        <x:f>'管线假设'!E1411</x:f>
        <x:v>0.6</x:v>
      </x:c>
      <x:c r="H39" s="11" t="n">
        <x:f>'管线假设'!F1411/'许可受让方假设'!F11</x:f>
        <x:v>0.10999999999999999</x:v>
      </x:c>
      <x:c r="I39" s="11" t="n">
        <x:f>'许可受让方假设'!D11</x:f>
        <x:v>0.34</x:v>
      </x:c>
      <x:c r="J39" s="11" t="n">
        <x:f>'许可受让方假设'!E11</x:f>
        <x:v>0.8</x:v>
      </x:c>
      <x:c r="K39" s="11" t="n">
        <x:f>F39*G39*(I39-H39*J39)*R39</x:f>
        <x:v>1.5876</x:v>
      </x:c>
      <x:c r="L39" s="11" t="n">
        <x:f>CHOOSE('假设'!$B$3,O39,P39,Q39)</x:f>
        <x:v>1.2335683192993143</x:v>
      </x:c>
      <x:c r="M39" s="11" t="n">
        <x:f>0</x:f>
        <x:v>0</x:v>
      </x:c>
      <x:c r="N39" s="11" t="n">
        <x:f>((K39-L39)*E39-M39)/(1+'管线假设'!H1411)^D39</x:f>
        <x:v>0.06679468574177098</x:v>
      </x:c>
      <x:c r="O39" s="16" t="n">
        <x:v>0.9251762394744858</x:v>
      </x:c>
      <x:c r="P39" s="16" t="n">
        <x:v>1.2335683192993143</x:v>
      </x:c>
      <x:c r="Q39" s="16" t="n">
        <x:v>1.981437473699363</x:v>
      </x:c>
      <x:c r="R39" s="11" t="n">
        <x:f>'管线假设'!I1411</x:f>
        <x:v>7</x:v>
      </x:c>
    </x:row>
    <x:row r="40" ht="23" customHeight="1">
      <x:c r="A40" s="11" t="str">
        <x:v>09995.HK</x:v>
      </x:c>
      <x:c r="B40" s="11" t="str">
        <x:v>半年</x:v>
      </x:c>
      <x:c r="C40" s="11" t="str">
        <x:v>2040-12-31</x:v>
      </x:c>
      <x:c r="D40" s="11" t="n">
        <x:v>13.730321697467488</x:v>
      </x:c>
      <x:c r="E40" s="11" t="n">
        <x:v>1</x:v>
      </x:c>
      <x:c r="F40" s="11" t="n">
        <x:f>'管线现金流'!K6605</x:f>
        <x:v>1.0499999999999998</x:v>
      </x:c>
      <x:c r="G40" s="11" t="n">
        <x:f>'管线假设'!E1411</x:f>
        <x:v>0.6</x:v>
      </x:c>
      <x:c r="H40" s="11" t="n">
        <x:f>'管线假设'!F1411/'许可受让方假设'!F11</x:f>
        <x:v>0.10999999999999999</x:v>
      </x:c>
      <x:c r="I40" s="11" t="n">
        <x:f>'许可受让方假设'!D11</x:f>
        <x:v>0.34</x:v>
      </x:c>
      <x:c r="J40" s="11" t="n">
        <x:f>'许可受让方假设'!E11</x:f>
        <x:v>0.8</x:v>
      </x:c>
      <x:c r="K40" s="11" t="n">
        <x:f>F40*G40*(I40-H40*J40)*R40</x:f>
        <x:v>1.1113199999999999</x:v>
      </x:c>
      <x:c r="L40" s="11" t="n">
        <x:f>CHOOSE('假设'!$B$3,O40,P40,Q40)</x:f>
        <x:v>1.270575368878294</x:v>
      </x:c>
      <x:c r="M40" s="11" t="n">
        <x:f>0</x:f>
        <x:v>0</x:v>
      </x:c>
      <x:c r="N40" s="11" t="n">
        <x:f>((K40-L40)*E40-M40)/(1+'管线假设'!H1411)^D40</x:f>
        <x:v>-0.02634948718439865</x:v>
      </x:c>
      <x:c r="O40" s="16" t="n">
        <x:v>0.9529315266587205</x:v>
      </x:c>
      <x:c r="P40" s="16" t="n">
        <x:v>1.270575368878294</x:v>
      </x:c>
      <x:c r="Q40" s="16" t="n">
        <x:v>2.0606949726473376</x:v>
      </x:c>
      <x:c r="R40" s="11" t="n">
        <x:f>'管线假设'!I1411</x:f>
        <x:v>7</x:v>
      </x:c>
    </x:row>
    <x:row r="41" ht="23" customHeight="1">
      <x:c r="A41" s="11" t="str">
        <x:v>09995.HK</x:v>
      </x:c>
      <x:c r="B41" s="11" t="str">
        <x:v>半年</x:v>
      </x:c>
      <x:c r="C41" s="11" t="str">
        <x:v>2041-12-31</x:v>
      </x:c>
      <x:c r="D41" s="11" t="n">
        <x:v>14.729637234770705</x:v>
      </x:c>
      <x:c r="E41" s="11" t="n">
        <x:v>1</x:v>
      </x:c>
      <x:c r="F41" s="11" t="n">
        <x:f>'管线现金流'!K6606</x:f>
        <x:v>0.6000000000000001</x:v>
      </x:c>
      <x:c r="G41" s="11" t="n">
        <x:f>'管线假设'!E1411</x:f>
        <x:v>0.6</x:v>
      </x:c>
      <x:c r="H41" s="11" t="n">
        <x:f>'管线假设'!F1411/'许可受让方假设'!F11</x:f>
        <x:v>0.10999999999999999</x:v>
      </x:c>
      <x:c r="I41" s="11" t="n">
        <x:f>'许可受让方假设'!D11</x:f>
        <x:v>0.34</x:v>
      </x:c>
      <x:c r="J41" s="11" t="n">
        <x:f>'许可受让方假设'!E11</x:f>
        <x:v>0.8</x:v>
      </x:c>
      <x:c r="K41" s="11" t="n">
        <x:f>F41*G41*(I41-H41*J41)*R41</x:f>
        <x:v>0.63504</x:v>
      </x:c>
      <x:c r="L41" s="11" t="n">
        <x:f>CHOOSE('假设'!$B$3,O41,P41,Q41)</x:f>
        <x:v>1.3086926299446426</x:v>
      </x:c>
      <x:c r="M41" s="11" t="n">
        <x:f>0</x:f>
        <x:v>0</x:v>
      </x:c>
      <x:c r="N41" s="11" t="n">
        <x:f>((K41-L41)*E41-M41)/(1+'管线假设'!H1411)^D41</x:f>
        <x:v>-0.09777958564027224</x:v>
      </x:c>
      <x:c r="O41" s="16" t="n">
        <x:v>0.981519472458482</x:v>
      </x:c>
      <x:c r="P41" s="16" t="n">
        <x:v>1.3086926299446426</x:v>
      </x:c>
      <x:c r="Q41" s="16" t="n">
        <x:v>2.143122771553231</x:v>
      </x:c>
      <x:c r="R41" s="11" t="n">
        <x:f>'管线假设'!I1411</x:f>
        <x:v>7</x:v>
      </x:c>
    </x:row>
    <x:row r="42" ht="23" customHeight="1">
      <x:c r="A42" s="11" t="str">
        <x:v>09995.HK</x:v>
      </x:c>
      <x:c r="B42" s="11" t="str">
        <x:v>半年</x:v>
      </x:c>
      <x:c r="C42" s="11" t="str">
        <x:v>2042-12-31</x:v>
      </x:c>
      <x:c r="D42" s="11" t="n">
        <x:v>15.728952772073923</x:v>
      </x:c>
      <x:c r="E42" s="11" t="n">
        <x:v>1</x:v>
      </x:c>
      <x:c r="F42" s="11" t="n">
        <x:f>'管线现金流'!K6607</x:f>
        <x:v>0.36</x:v>
      </x:c>
      <x:c r="G42" s="11" t="n">
        <x:f>'管线假设'!E1411</x:f>
        <x:v>0.6</x:v>
      </x:c>
      <x:c r="H42" s="11" t="n">
        <x:f>'管线假设'!F1411/'许可受让方假设'!F11</x:f>
        <x:v>0.10999999999999999</x:v>
      </x:c>
      <x:c r="I42" s="11" t="n">
        <x:f>'许可受让方假设'!D11</x:f>
        <x:v>0.34</x:v>
      </x:c>
      <x:c r="J42" s="11" t="n">
        <x:f>'许可受让方假设'!E11</x:f>
        <x:v>0.8</x:v>
      </x:c>
      <x:c r="K42" s="11" t="n">
        <x:f>F42*G42*(I42-H42*J42)*R42</x:f>
        <x:v>0.38102400000000003</x:v>
      </x:c>
      <x:c r="L42" s="11" t="n">
        <x:f>CHOOSE('假设'!$B$3,O42,P42,Q42)</x:f>
        <x:v>1.347953408842982</x:v>
      </x:c>
      <x:c r="M42" s="11" t="n">
        <x:f>0</x:f>
        <x:v>0</x:v>
      </x:c>
      <x:c r="N42" s="11" t="n">
        <x:f>((K42-L42)*E42-M42)/(1+'管线假设'!H1411)^D42</x:f>
        <x:v>-0.12312352767226949</x:v>
      </x:c>
      <x:c r="O42" s="16" t="n">
        <x:v>1.0109650566322366</x:v>
      </x:c>
      <x:c r="P42" s="16" t="n">
        <x:v>1.347953408842982</x:v>
      </x:c>
      <x:c r="Q42" s="16" t="n">
        <x:v>2.2288476824153602</x:v>
      </x:c>
      <x:c r="R42" s="11" t="n">
        <x:f>'管线假设'!I1411</x:f>
        <x:v>7</x:v>
      </x:c>
    </x:row>
    <x:row r="43" ht="23" customHeight="1">
      <x:c r="A43" s="11" t="str">
        <x:v>09995.HK</x:v>
      </x:c>
      <x:c r="B43" s="11" t="str">
        <x:v>半年</x:v>
      </x:c>
      <x:c r="C43" s="11" t="str">
        <x:v>2043-12-31</x:v>
      </x:c>
      <x:c r="D43" s="11" t="n">
        <x:v>16.72826830937714</x:v>
      </x:c>
      <x:c r="E43" s="11" t="n">
        <x:v>1</x:v>
      </x:c>
      <x:c r="F43" s="11" t="n">
        <x:f>'管线现金流'!K6608</x:f>
        <x:v>0.21000000000000002</x:v>
      </x:c>
      <x:c r="G43" s="11" t="n">
        <x:f>'管线假设'!E1411</x:f>
        <x:v>0.6</x:v>
      </x:c>
      <x:c r="H43" s="11" t="n">
        <x:f>'管线假设'!F1411/'许可受让方假设'!F11</x:f>
        <x:v>0.10999999999999999</x:v>
      </x:c>
      <x:c r="I43" s="11" t="n">
        <x:f>'许可受让方假设'!D11</x:f>
        <x:v>0.34</x:v>
      </x:c>
      <x:c r="J43" s="11" t="n">
        <x:f>'许可受让方假设'!E11</x:f>
        <x:v>0.8</x:v>
      </x:c>
      <x:c r="K43" s="11" t="n">
        <x:f>F43*G43*(I43-H43*J43)*R43</x:f>
        <x:v>0.22226400000000002</x:v>
      </x:c>
      <x:c r="L43" s="11" t="n">
        <x:f>CHOOSE('假设'!$B$3,O43,P43,Q43)</x:f>
        <x:v>1.3883920111082715</x:v>
      </x:c>
      <x:c r="M43" s="11" t="n">
        <x:f>0</x:f>
        <x:v>0</x:v>
      </x:c>
      <x:c r="N43" s="11" t="n">
        <x:f>((K43-L43)*E43-M43)/(1+'管线假设'!H1411)^D43</x:f>
        <x:v>-0.13026465878825122</x:v>
      </x:c>
      <x:c r="O43" s="16" t="n">
        <x:v>1.0412940083312037</x:v>
      </x:c>
      <x:c r="P43" s="16" t="n">
        <x:v>1.3883920111082715</x:v>
      </x:c>
      <x:c r="Q43" s="16" t="n">
        <x:v>2.318001589711975</x:v>
      </x:c>
      <x:c r="R43" s="11" t="n">
        <x:f>'管线假设'!I1411</x:f>
        <x:v>7</x:v>
      </x:c>
    </x:row>
    <x:row r="44" ht="23" customHeight="1">
      <x:c r="A44" s="11" t="str">
        <x:v>09995.HK</x:v>
      </x:c>
      <x:c r="B44" s="11" t="str">
        <x:v>半年</x:v>
      </x:c>
      <x:c r="C44" s="11" t="str">
        <x:v>2044-12-31</x:v>
      </x:c>
      <x:c r="D44" s="11" t="n">
        <x:v>17.730321697467488</x:v>
      </x:c>
      <x:c r="E44" s="11" t="n">
        <x:v>1</x:v>
      </x:c>
      <x:c r="F44" s="11" t="n">
        <x:f>'管线现金流'!K6609</x:f>
        <x:v>0.09</x:v>
      </x:c>
      <x:c r="G44" s="11" t="n">
        <x:f>'管线假设'!E1411</x:f>
        <x:v>0.6</x:v>
      </x:c>
      <x:c r="H44" s="11" t="n">
        <x:f>'管线假设'!F1411/'许可受让方假设'!F11</x:f>
        <x:v>0.10999999999999999</x:v>
      </x:c>
      <x:c r="I44" s="11" t="n">
        <x:f>'许可受让方假设'!D11</x:f>
        <x:v>0.34</x:v>
      </x:c>
      <x:c r="J44" s="11" t="n">
        <x:f>'许可受让方假设'!E11</x:f>
        <x:v>0.8</x:v>
      </x:c>
      <x:c r="K44" s="11" t="n">
        <x:f>F44*G44*(I44-H44*J44)*R44</x:f>
        <x:v>0.09525600000000001</x:v>
      </x:c>
      <x:c r="L44" s="11" t="n">
        <x:f>CHOOSE('假设'!$B$3,O44,P44,Q44)</x:f>
        <x:v>1.4300437714415197</x:v>
      </x:c>
      <x:c r="M44" s="11" t="n">
        <x:f>0</x:f>
        <x:v>0</x:v>
      </x:c>
      <x:c r="N44" s="11" t="n">
        <x:f>((K44-L44)*E44-M44)/(1+'管线假设'!H1411)^D44</x:f>
        <x:v>-0.13075879174554003</x:v>
      </x:c>
      <x:c r="O44" s="16" t="n">
        <x:v>1.07253282858114</x:v>
      </x:c>
      <x:c r="P44" s="16" t="n">
        <x:v>1.4300437714415197</x:v>
      </x:c>
      <x:c r="Q44" s="16" t="n">
        <x:v>2.4107216533004543</x:v>
      </x:c>
      <x:c r="R44" s="11" t="n">
        <x:f>'管线假设'!I1411</x:f>
        <x:v>7</x:v>
      </x:c>
    </x:row>
    <x:row r="45" ht="23" customHeight="1">
      <x:c r="A45" s="11" t="str">
        <x:v>09995.HK</x:v>
      </x:c>
      <x:c r="B45" s="11" t="str">
        <x:v>一年</x:v>
      </x:c>
      <x:c r="C45" s="11" t="str">
        <x:v>2026-12-31</x:v>
      </x:c>
      <x:c r="D45" s="11" t="n">
        <x:v>0</x:v>
      </x:c>
      <x:c r="E45" s="11" t="n">
        <x:v>0</x:v>
      </x:c>
      <x:c r="F45" s="11" t="n">
        <x:f>'管线现金流'!K6781</x:f>
        <x:v>0</x:v>
      </x:c>
      <x:c r="G45" s="11" t="n">
        <x:f>'管线假设'!E1451</x:f>
        <x:v>0.6</x:v>
      </x:c>
      <x:c r="H45" s="11" t="n">
        <x:f>'管线假设'!F1451/'许可受让方假设'!F15</x:f>
        <x:v>0.10999999999999999</x:v>
      </x:c>
      <x:c r="I45" s="11" t="n">
        <x:f>'许可受让方假设'!D15</x:f>
        <x:v>0.34</x:v>
      </x:c>
      <x:c r="J45" s="11" t="n">
        <x:f>'许可受让方假设'!E15</x:f>
        <x:v>0.8</x:v>
      </x:c>
      <x:c r="K45" s="11" t="n">
        <x:f>F45*G45*(I45-H45*J45)*R45</x:f>
        <x:v>0</x:v>
      </x:c>
      <x:c r="L45" s="11" t="n">
        <x:f>CHOOSE('假设'!$B$3,O45,P45,Q45)</x:f>
        <x:v>0.84</x:v>
      </x:c>
      <x:c r="M45" s="11" t="n">
        <x:f>0</x:f>
        <x:v>0</x:v>
      </x:c>
      <x:c r="N45" s="11" t="n">
        <x:f>((K45-L45)*E45-M45)/(1+'管线假设'!H1451)^D45</x:f>
        <x:v>0</x:v>
      </x:c>
      <x:c r="O45" s="16" t="n">
        <x:v>0.63</x:v>
      </x:c>
      <x:c r="P45" s="16" t="n">
        <x:v>0.84</x:v>
      </x:c>
      <x:c r="Q45" s="16" t="n">
        <x:v>1.1900000000000002</x:v>
      </x:c>
      <x:c r="R45" s="11" t="n">
        <x:f>'管线假设'!I1451</x:f>
        <x:v>7</x:v>
      </x:c>
    </x:row>
    <x:row r="46" ht="23" customHeight="1">
      <x:c r="A46" s="11" t="str">
        <x:v>09995.HK</x:v>
      </x:c>
      <x:c r="B46" s="11" t="str">
        <x:v>一年</x:v>
      </x:c>
      <x:c r="C46" s="11" t="str">
        <x:v>2027-12-31</x:v>
      </x:c>
      <x:c r="D46" s="11" t="n">
        <x:v>0.2272416153319644</x:v>
      </x:c>
      <x:c r="E46" s="11" t="n">
        <x:v>0.22802197802197802</x:v>
      </x:c>
      <x:c r="F46" s="11" t="n">
        <x:f>'管线现金流'!K6782</x:f>
        <x:v>0</x:v>
      </x:c>
      <x:c r="G46" s="11" t="n">
        <x:f>'管线假设'!E1451</x:f>
        <x:v>0.6</x:v>
      </x:c>
      <x:c r="H46" s="11" t="n">
        <x:f>'管线假设'!F1451/'许可受让方假设'!F15</x:f>
        <x:v>0.10999999999999999</x:v>
      </x:c>
      <x:c r="I46" s="11" t="n">
        <x:f>'许可受让方假设'!D15</x:f>
        <x:v>0.34</x:v>
      </x:c>
      <x:c r="J46" s="11" t="n">
        <x:f>'许可受让方假设'!E15</x:f>
        <x:v>0.8</x:v>
      </x:c>
      <x:c r="K46" s="11" t="n">
        <x:f>F46*G46*(I46-H46*J46)*R46</x:f>
        <x:v>0</x:v>
      </x:c>
      <x:c r="L46" s="11" t="n">
        <x:f>CHOOSE('假设'!$B$3,O46,P46,Q46)</x:f>
        <x:v>0.8652</x:v>
      </x:c>
      <x:c r="M46" s="11" t="n">
        <x:f>0</x:f>
        <x:v>0</x:v>
      </x:c>
      <x:c r="N46" s="11" t="n">
        <x:f>((K46-L46)*E46-M46)/(1+'管线假设'!H1451)^D46</x:f>
        <x:v>-0.19149704165706372</x:v>
      </x:c>
      <x:c r="O46" s="16" t="n">
        <x:v>0.6489</x:v>
      </x:c>
      <x:c r="P46" s="16" t="n">
        <x:v>0.8652</x:v>
      </x:c>
      <x:c r="Q46" s="16" t="n">
        <x:v>1.2376000000000003</x:v>
      </x:c>
      <x:c r="R46" s="11" t="n">
        <x:f>'管线假设'!I1451</x:f>
        <x:v>7</x:v>
      </x:c>
    </x:row>
    <x:row r="47" ht="23" customHeight="1">
      <x:c r="A47" s="11" t="str">
        <x:v>09995.HK</x:v>
      </x:c>
      <x:c r="B47" s="11" t="str">
        <x:v>一年</x:v>
      </x:c>
      <x:c r="C47" s="11" t="str">
        <x:v>2028-12-31</x:v>
      </x:c>
      <x:c r="D47" s="11" t="n">
        <x:v>1.2292950034223136</x:v>
      </x:c>
      <x:c r="E47" s="11" t="n">
        <x:v>1</x:v>
      </x:c>
      <x:c r="F47" s="11" t="n">
        <x:f>'管线现金流'!K6783</x:f>
        <x:v>0.18</x:v>
      </x:c>
      <x:c r="G47" s="11" t="n">
        <x:f>'管线假设'!E1451</x:f>
        <x:v>0.6</x:v>
      </x:c>
      <x:c r="H47" s="11" t="n">
        <x:f>'管线假设'!F1451/'许可受让方假设'!F15</x:f>
        <x:v>0.10999999999999999</x:v>
      </x:c>
      <x:c r="I47" s="11" t="n">
        <x:f>'许可受让方假设'!D15</x:f>
        <x:v>0.34</x:v>
      </x:c>
      <x:c r="J47" s="11" t="n">
        <x:f>'许可受让方假设'!E15</x:f>
        <x:v>0.8</x:v>
      </x:c>
      <x:c r="K47" s="11" t="n">
        <x:f>F47*G47*(I47-H47*J47)*R47</x:f>
        <x:v>0.19051200000000001</x:v>
      </x:c>
      <x:c r="L47" s="11" t="n">
        <x:f>CHOOSE('假设'!$B$3,O47,P47,Q47)</x:f>
        <x:v>0.891156</x:v>
      </x:c>
      <x:c r="M47" s="11" t="n">
        <x:f>'管线现金流'!AB123</x:f>
        <x:v>0.2016</x:v>
      </x:c>
      <x:c r="N47" s="11" t="n">
        <x:f>((K47-L47)*E47-M47)/(1+'管线假设'!H1451)^D47</x:f>
        <x:v>-0.7680175659185801</x:v>
      </x:c>
      <x:c r="O47" s="16" t="n">
        <x:v>0.6683669999999999</x:v>
      </x:c>
      <x:c r="P47" s="16" t="n">
        <x:v>0.891156</x:v>
      </x:c>
      <x:c r="Q47" s="16" t="n">
        <x:v>1.2871040000000002</x:v>
      </x:c>
      <x:c r="R47" s="11" t="n">
        <x:f>'管线假设'!I1451</x:f>
        <x:v>7</x:v>
      </x:c>
    </x:row>
    <x:row r="48" ht="23" customHeight="1">
      <x:c r="A48" s="11" t="str">
        <x:v>09995.HK</x:v>
      </x:c>
      <x:c r="B48" s="11" t="str">
        <x:v>一年</x:v>
      </x:c>
      <x:c r="C48" s="11" t="str">
        <x:v>2029-12-31</x:v>
      </x:c>
      <x:c r="D48" s="11" t="n">
        <x:v>2.2286105407255303</x:v>
      </x:c>
      <x:c r="E48" s="11" t="n">
        <x:v>1</x:v>
      </x:c>
      <x:c r="F48" s="11" t="n">
        <x:f>'管线现金流'!K6784</x:f>
        <x:v>0.54</x:v>
      </x:c>
      <x:c r="G48" s="11" t="n">
        <x:f>'管线假设'!E1451</x:f>
        <x:v>0.6</x:v>
      </x:c>
      <x:c r="H48" s="11" t="n">
        <x:f>'管线假设'!F1451/'许可受让方假设'!F15</x:f>
        <x:v>0.10999999999999999</x:v>
      </x:c>
      <x:c r="I48" s="11" t="n">
        <x:f>'许可受让方假设'!D15</x:f>
        <x:v>0.34</x:v>
      </x:c>
      <x:c r="J48" s="11" t="n">
        <x:f>'许可受让方假设'!E15</x:f>
        <x:v>0.8</x:v>
      </x:c>
      <x:c r="K48" s="11" t="n">
        <x:f>F48*G48*(I48-H48*J48)*R48</x:f>
        <x:v>0.571536</x:v>
      </x:c>
      <x:c r="L48" s="11" t="n">
        <x:f>CHOOSE('假设'!$B$3,O48,P48,Q48)</x:f>
        <x:v>0.91789068</x:v>
      </x:c>
      <x:c r="M48" s="11" t="n">
        <x:f>'管线现金流'!AB125</x:f>
        <x:v>0</x:v>
      </x:c>
      <x:c r="N48" s="11" t="n">
        <x:f>((K48-L48)*E48-M48)/(1+'管线假设'!H1451)^D48</x:f>
        <x:v>-0.2586439408168201</x:v>
      </x:c>
      <x:c r="O48" s="16" t="n">
        <x:v>0.68841801</x:v>
      </x:c>
      <x:c r="P48" s="16" t="n">
        <x:v>0.91789068</x:v>
      </x:c>
      <x:c r="Q48" s="16" t="n">
        <x:v>1.3385881600000002</x:v>
      </x:c>
      <x:c r="R48" s="11" t="n">
        <x:f>'管线假设'!I1451</x:f>
        <x:v>7</x:v>
      </x:c>
    </x:row>
    <x:row r="49" ht="23" customHeight="1">
      <x:c r="A49" s="11" t="str">
        <x:v>09995.HK</x:v>
      </x:c>
      <x:c r="B49" s="11" t="str">
        <x:v>一年</x:v>
      </x:c>
      <x:c r="C49" s="11" t="str">
        <x:v>2030-12-31</x:v>
      </x:c>
      <x:c r="D49" s="11" t="n">
        <x:v>3.2279260780287475</x:v>
      </x:c>
      <x:c r="E49" s="11" t="n">
        <x:v>1</x:v>
      </x:c>
      <x:c r="F49" s="11" t="n">
        <x:f>'管线现金流'!K6785</x:f>
        <x:v>1.1400000000000001</x:v>
      </x:c>
      <x:c r="G49" s="11" t="n">
        <x:f>'管线假设'!E1451</x:f>
        <x:v>0.6</x:v>
      </x:c>
      <x:c r="H49" s="11" t="n">
        <x:f>'管线假设'!F1451/'许可受让方假设'!F15</x:f>
        <x:v>0.10999999999999999</x:v>
      </x:c>
      <x:c r="I49" s="11" t="n">
        <x:f>'许可受让方假设'!D15</x:f>
        <x:v>0.34</x:v>
      </x:c>
      <x:c r="J49" s="11" t="n">
        <x:f>'许可受让方假设'!E15</x:f>
        <x:v>0.8</x:v>
      </x:c>
      <x:c r="K49" s="11" t="n">
        <x:f>F49*G49*(I49-H49*J49)*R49</x:f>
        <x:v>1.206576</x:v>
      </x:c>
      <x:c r="L49" s="11" t="n">
        <x:f>CHOOSE('假设'!$B$3,O49,P49,Q49)</x:f>
        <x:v>0.9454274004000001</x:v>
      </x:c>
      <x:c r="M49" s="11" t="n">
        <x:f>'管线现金流'!AB128</x:f>
        <x:v>0.224</x:v>
      </x:c>
      <x:c r="N49" s="11" t="n">
        <x:f>((K49-L49)*E49-M49)/(1+'管线假设'!H1451)^D49</x:f>
        <x:v>0.024336481709803515</x:v>
      </x:c>
      <x:c r="O49" s="16" t="n">
        <x:v>0.7090705503000001</x:v>
      </x:c>
      <x:c r="P49" s="16" t="n">
        <x:v>0.9454274004000001</x:v>
      </x:c>
      <x:c r="Q49" s="16" t="n">
        <x:v>1.3921316864000004</x:v>
      </x:c>
      <x:c r="R49" s="11" t="n">
        <x:f>'管线假设'!I1451</x:f>
        <x:v>7</x:v>
      </x:c>
    </x:row>
    <x:row r="50" ht="23" customHeight="1">
      <x:c r="A50" s="11" t="str">
        <x:v>09995.HK</x:v>
      </x:c>
      <x:c r="B50" s="11" t="str">
        <x:v>一年</x:v>
      </x:c>
      <x:c r="C50" s="11" t="str">
        <x:v>2031-12-31</x:v>
      </x:c>
      <x:c r="D50" s="11" t="n">
        <x:v>4.227241615331964</x:v>
      </x:c>
      <x:c r="E50" s="11" t="n">
        <x:v>1</x:v>
      </x:c>
      <x:c r="F50" s="11" t="n">
        <x:f>'管线现金流'!K6786</x:f>
        <x:v>1.9500000000000002</x:v>
      </x:c>
      <x:c r="G50" s="11" t="n">
        <x:f>'管线假设'!E1451</x:f>
        <x:v>0.6</x:v>
      </x:c>
      <x:c r="H50" s="11" t="n">
        <x:f>'管线假设'!F1451/'许可受让方假设'!F15</x:f>
        <x:v>0.10999999999999999</x:v>
      </x:c>
      <x:c r="I50" s="11" t="n">
        <x:f>'许可受让方假设'!D15</x:f>
        <x:v>0.34</x:v>
      </x:c>
      <x:c r="J50" s="11" t="n">
        <x:f>'许可受让方假设'!E15</x:f>
        <x:v>0.8</x:v>
      </x:c>
      <x:c r="K50" s="11" t="n">
        <x:f>F50*G50*(I50-H50*J50)*R50</x:f>
        <x:v>2.06388</x:v>
      </x:c>
      <x:c r="L50" s="11" t="n">
        <x:f>CHOOSE('假设'!$B$3,O50,P50,Q50)</x:f>
        <x:v>0.973790222412</x:v>
      </x:c>
      <x:c r="M50" s="11" t="n">
        <x:f>0</x:f>
        <x:v>0</x:v>
      </x:c>
      <x:c r="N50" s="11" t="n">
        <x:f>((K50-L50)*E50-M50)/(1+'管线假设'!H1451)^D50</x:f>
        <x:v>0.6264864919447657</x:v>
      </x:c>
      <x:c r="O50" s="16" t="n">
        <x:v>0.7303426668090001</x:v>
      </x:c>
      <x:c r="P50" s="16" t="n">
        <x:v>0.973790222412</x:v>
      </x:c>
      <x:c r="Q50" s="16" t="n">
        <x:v>1.4478169538560004</x:v>
      </x:c>
      <x:c r="R50" s="11" t="n">
        <x:f>'管线假设'!I1451</x:f>
        <x:v>7</x:v>
      </x:c>
    </x:row>
    <x:row r="51" ht="23" customHeight="1">
      <x:c r="A51" s="11" t="str">
        <x:v>09995.HK</x:v>
      </x:c>
      <x:c r="B51" s="11" t="str">
        <x:v>一年</x:v>
      </x:c>
      <x:c r="C51" s="11" t="str">
        <x:v>2032-12-31</x:v>
      </x:c>
      <x:c r="D51" s="11" t="n">
        <x:v>5.229295003422314</x:v>
      </x:c>
      <x:c r="E51" s="11" t="n">
        <x:v>1</x:v>
      </x:c>
      <x:c r="F51" s="11" t="n">
        <x:f>'管线现金流'!K6787</x:f>
        <x:v>2.55</x:v>
      </x:c>
      <x:c r="G51" s="11" t="n">
        <x:f>'管线假设'!E1451</x:f>
        <x:v>0.6</x:v>
      </x:c>
      <x:c r="H51" s="11" t="n">
        <x:f>'管线假设'!F1451/'许可受让方假设'!F15</x:f>
        <x:v>0.10999999999999999</x:v>
      </x:c>
      <x:c r="I51" s="11" t="n">
        <x:f>'许可受让方假设'!D15</x:f>
        <x:v>0.34</x:v>
      </x:c>
      <x:c r="J51" s="11" t="n">
        <x:f>'许可受让方假设'!E15</x:f>
        <x:v>0.8</x:v>
      </x:c>
      <x:c r="K51" s="11" t="n">
        <x:f>F51*G51*(I51-H51*J51)*R51</x:f>
        <x:v>2.6989199999999998</x:v>
      </x:c>
      <x:c r="L51" s="11" t="n">
        <x:f>CHOOSE('假设'!$B$3,O51,P51,Q51)</x:f>
        <x:v>1.00300392908436</x:v>
      </x:c>
      <x:c r="M51" s="11" t="n">
        <x:f>0</x:f>
        <x:v>0</x:v>
      </x:c>
      <x:c r="N51" s="11" t="n">
        <x:f>((K51-L51)*E51-M51)/(1+'管线假设'!H1451)^D51</x:f>
        <x:v>0.8547362063358135</x:v>
      </x:c>
      <x:c r="O51" s="16" t="n">
        <x:v>0.75225294681327</x:v>
      </x:c>
      <x:c r="P51" s="16" t="n">
        <x:v>1.00300392908436</x:v>
      </x:c>
      <x:c r="Q51" s="16" t="n">
        <x:v>1.5057296320102407</x:v>
      </x:c>
      <x:c r="R51" s="11" t="n">
        <x:f>'管线假设'!I1451</x:f>
        <x:v>7</x:v>
      </x:c>
    </x:row>
    <x:row r="52" ht="23" customHeight="1">
      <x:c r="A52" s="11" t="str">
        <x:v>09995.HK</x:v>
      </x:c>
      <x:c r="B52" s="11" t="str">
        <x:v>一年</x:v>
      </x:c>
      <x:c r="C52" s="11" t="str">
        <x:v>2033-12-31</x:v>
      </x:c>
      <x:c r="D52" s="11" t="n">
        <x:v>6.228610540725531</x:v>
      </x:c>
      <x:c r="E52" s="11" t="n">
        <x:v>1</x:v>
      </x:c>
      <x:c r="F52" s="11" t="n">
        <x:f>'管线现金流'!K6788</x:f>
        <x:v>3</x:v>
      </x:c>
      <x:c r="G52" s="11" t="n">
        <x:f>'管线假设'!E1451</x:f>
        <x:v>0.6</x:v>
      </x:c>
      <x:c r="H52" s="11" t="n">
        <x:f>'管线假设'!F1451/'许可受让方假设'!F15</x:f>
        <x:v>0.10999999999999999</x:v>
      </x:c>
      <x:c r="I52" s="11" t="n">
        <x:f>'许可受让方假设'!D15</x:f>
        <x:v>0.34</x:v>
      </x:c>
      <x:c r="J52" s="11" t="n">
        <x:f>'许可受让方假设'!E15</x:f>
        <x:v>0.8</x:v>
      </x:c>
      <x:c r="K52" s="11" t="n">
        <x:f>F52*G52*(I52-H52*J52)*R52</x:f>
        <x:v>3.1752</x:v>
      </x:c>
      <x:c r="L52" s="11" t="n">
        <x:f>CHOOSE('假设'!$B$3,O52,P52,Q52)</x:f>
        <x:v>1.033094046956891</x:v>
      </x:c>
      <x:c r="M52" s="11" t="n">
        <x:f>0</x:f>
        <x:v>0</x:v>
      </x:c>
      <x:c r="N52" s="11" t="n">
        <x:f>((K52-L52)*E52-M52)/(1+'管线假设'!H1451)^D52</x:f>
        <x:v>0.947115166728999</x:v>
      </x:c>
      <x:c r="O52" s="16" t="n">
        <x:v>0.7748205352176682</x:v>
      </x:c>
      <x:c r="P52" s="16" t="n">
        <x:v>1.033094046956891</x:v>
      </x:c>
      <x:c r="Q52" s="16" t="n">
        <x:v>1.5659588172906502</x:v>
      </x:c>
      <x:c r="R52" s="11" t="n">
        <x:f>'管线假设'!I1451</x:f>
        <x:v>7</x:v>
      </x:c>
    </x:row>
    <x:row r="53" ht="23" customHeight="1">
      <x:c r="A53" s="11" t="str">
        <x:v>09995.HK</x:v>
      </x:c>
      <x:c r="B53" s="11" t="str">
        <x:v>一年</x:v>
      </x:c>
      <x:c r="C53" s="11" t="str">
        <x:v>2034-12-31</x:v>
      </x:c>
      <x:c r="D53" s="11" t="n">
        <x:v>7.227926078028747</x:v>
      </x:c>
      <x:c r="E53" s="11" t="n">
        <x:v>1</x:v>
      </x:c>
      <x:c r="F53" s="11" t="n">
        <x:f>'管线现金流'!K6789</x:f>
        <x:v>3</x:v>
      </x:c>
      <x:c r="G53" s="11" t="n">
        <x:f>'管线假设'!E1451</x:f>
        <x:v>0.6</x:v>
      </x:c>
      <x:c r="H53" s="11" t="n">
        <x:f>'管线假设'!F1451/'许可受让方假设'!F15</x:f>
        <x:v>0.10999999999999999</x:v>
      </x:c>
      <x:c r="I53" s="11" t="n">
        <x:f>'许可受让方假设'!D15</x:f>
        <x:v>0.34</x:v>
      </x:c>
      <x:c r="J53" s="11" t="n">
        <x:f>'许可受让方假设'!E15</x:f>
        <x:v>0.8</x:v>
      </x:c>
      <x:c r="K53" s="11" t="n">
        <x:f>F53*G53*(I53-H53*J53)*R53</x:f>
        <x:v>3.1752</x:v>
      </x:c>
      <x:c r="L53" s="11" t="n">
        <x:f>CHOOSE('假设'!$B$3,O53,P53,Q53)</x:f>
        <x:v>1.0640868683655977</x:v>
      </x:c>
      <x:c r="M53" s="11" t="n">
        <x:f>0</x:f>
        <x:v>0</x:v>
      </x:c>
      <x:c r="N53" s="11" t="n">
        <x:f>((K53-L53)*E53-M53)/(1+'管线假设'!H1451)^D53</x:f>
        <x:v>0.8188558353096298</x:v>
      </x:c>
      <x:c r="O53" s="16" t="n">
        <x:v>0.7980651512741983</x:v>
      </x:c>
      <x:c r="P53" s="16" t="n">
        <x:v>1.0640868683655977</x:v>
      </x:c>
      <x:c r="Q53" s="16" t="n">
        <x:v>1.628597169982276</x:v>
      </x:c>
      <x:c r="R53" s="11" t="n">
        <x:f>'管线假设'!I1451</x:f>
        <x:v>7</x:v>
      </x:c>
    </x:row>
    <x:row r="54" ht="23" customHeight="1">
      <x:c r="A54" s="11" t="str">
        <x:v>09995.HK</x:v>
      </x:c>
      <x:c r="B54" s="11" t="str">
        <x:v>一年</x:v>
      </x:c>
      <x:c r="C54" s="11" t="str">
        <x:v>2035-12-31</x:v>
      </x:c>
      <x:c r="D54" s="11" t="n">
        <x:v>8.227241615331964</x:v>
      </x:c>
      <x:c r="E54" s="11" t="n">
        <x:v>1</x:v>
      </x:c>
      <x:c r="F54" s="11" t="n">
        <x:f>'管线现金流'!K6790</x:f>
        <x:v>2.8499999999999996</x:v>
      </x:c>
      <x:c r="G54" s="11" t="n">
        <x:f>'管线假设'!E1451</x:f>
        <x:v>0.6</x:v>
      </x:c>
      <x:c r="H54" s="11" t="n">
        <x:f>'管线假设'!F1451/'许可受让方假设'!F15</x:f>
        <x:v>0.10999999999999999</x:v>
      </x:c>
      <x:c r="I54" s="11" t="n">
        <x:f>'许可受让方假设'!D15</x:f>
        <x:v>0.34</x:v>
      </x:c>
      <x:c r="J54" s="11" t="n">
        <x:f>'许可受让方假设'!E15</x:f>
        <x:v>0.8</x:v>
      </x:c>
      <x:c r="K54" s="11" t="n">
        <x:f>F54*G54*(I54-H54*J54)*R54</x:f>
        <x:v>3.0164399999999993</x:v>
      </x:c>
      <x:c r="L54" s="11" t="n">
        <x:f>CHOOSE('假设'!$B$3,O54,P54,Q54)</x:f>
        <x:v>1.0960094744165656</x:v>
      </x:c>
      <x:c r="M54" s="11" t="n">
        <x:f>0</x:f>
        <x:v>0</x:v>
      </x:c>
      <x:c r="N54" s="11" t="n">
        <x:f>((K54-L54)*E54-M54)/(1+'管线假设'!H1451)^D54</x:f>
        <x:v>0.6534744915445087</x:v>
      </x:c>
      <x:c r="O54" s="16" t="n">
        <x:v>0.8220071058124243</x:v>
      </x:c>
      <x:c r="P54" s="16" t="n">
        <x:v>1.0960094744165656</x:v>
      </x:c>
      <x:c r="Q54" s="16" t="n">
        <x:v>1.6937410567815674</x:v>
      </x:c>
      <x:c r="R54" s="11" t="n">
        <x:f>'管线假设'!I1451</x:f>
        <x:v>7</x:v>
      </x:c>
    </x:row>
    <x:row r="55" ht="23" customHeight="1">
      <x:c r="A55" s="11" t="str">
        <x:v>09995.HK</x:v>
      </x:c>
      <x:c r="B55" s="11" t="str">
        <x:v>一年</x:v>
      </x:c>
      <x:c r="C55" s="11" t="str">
        <x:v>2036-12-31</x:v>
      </x:c>
      <x:c r="D55" s="11" t="n">
        <x:v>9.229295003422314</x:v>
      </x:c>
      <x:c r="E55" s="11" t="n">
        <x:v>1</x:v>
      </x:c>
      <x:c r="F55" s="11" t="n">
        <x:f>'管线现金流'!K6791</x:f>
        <x:v>2.7</x:v>
      </x:c>
      <x:c r="G55" s="11" t="n">
        <x:f>'管线假设'!E1451</x:f>
        <x:v>0.6</x:v>
      </x:c>
      <x:c r="H55" s="11" t="n">
        <x:f>'管线假设'!F1451/'许可受让方假设'!F15</x:f>
        <x:v>0.10999999999999999</x:v>
      </x:c>
      <x:c r="I55" s="11" t="n">
        <x:f>'许可受让方假设'!D15</x:f>
        <x:v>0.34</x:v>
      </x:c>
      <x:c r="J55" s="11" t="n">
        <x:f>'许可受让方假设'!E15</x:f>
        <x:v>0.8</x:v>
      </x:c>
      <x:c r="K55" s="11" t="n">
        <x:f>F55*G55*(I55-H55*J55)*R55</x:f>
        <x:v>2.85768</x:v>
      </x:c>
      <x:c r="L55" s="11" t="n">
        <x:f>CHOOSE('假设'!$B$3,O55,P55,Q55)</x:f>
        <x:v>1.1288897586490627</x:v>
      </x:c>
      <x:c r="M55" s="11" t="n">
        <x:f>0</x:f>
        <x:v>0</x:v>
      </x:c>
      <x:c r="N55" s="11" t="n">
        <x:f>((K55-L55)*E55-M55)/(1+'管线假设'!H1451)^D55</x:f>
        <x:v>0.5158823176440706</x:v>
      </x:c>
      <x:c r="O55" s="16" t="n">
        <x:v>0.846667318986797</x:v>
      </x:c>
      <x:c r="P55" s="16" t="n">
        <x:v>1.1288897586490627</x:v>
      </x:c>
      <x:c r="Q55" s="16" t="n">
        <x:v>1.76149069905283</x:v>
      </x:c>
      <x:c r="R55" s="11" t="n">
        <x:f>'管线假设'!I1451</x:f>
        <x:v>7</x:v>
      </x:c>
    </x:row>
    <x:row r="56" ht="23" customHeight="1">
      <x:c r="A56" s="11" t="str">
        <x:v>09995.HK</x:v>
      </x:c>
      <x:c r="B56" s="11" t="str">
        <x:v>一年</x:v>
      </x:c>
      <x:c r="C56" s="11" t="str">
        <x:v>2037-12-31</x:v>
      </x:c>
      <x:c r="D56" s="11" t="n">
        <x:v>10.22861054072553</x:v>
      </x:c>
      <x:c r="E56" s="11" t="n">
        <x:v>1</x:v>
      </x:c>
      <x:c r="F56" s="11" t="n">
        <x:f>'管线现金流'!K6792</x:f>
        <x:v>2.4000000000000004</x:v>
      </x:c>
      <x:c r="G56" s="11" t="n">
        <x:f>'管线假设'!E1451</x:f>
        <x:v>0.6</x:v>
      </x:c>
      <x:c r="H56" s="11" t="n">
        <x:f>'管线假设'!F1451/'许可受让方假设'!F15</x:f>
        <x:v>0.10999999999999999</x:v>
      </x:c>
      <x:c r="I56" s="11" t="n">
        <x:f>'许可受让方假设'!D15</x:f>
        <x:v>0.34</x:v>
      </x:c>
      <x:c r="J56" s="11" t="n">
        <x:f>'许可受让方假设'!E15</x:f>
        <x:v>0.8</x:v>
      </x:c>
      <x:c r="K56" s="11" t="n">
        <x:f>F56*G56*(I56-H56*J56)*R56</x:f>
        <x:v>2.54016</x:v>
      </x:c>
      <x:c r="L56" s="11" t="n">
        <x:f>CHOOSE('假设'!$B$3,O56,P56,Q56)</x:f>
        <x:v>1.1627564514085345</x:v>
      </x:c>
      <x:c r="M56" s="11" t="n">
        <x:f>0</x:f>
        <x:v>0</x:v>
      </x:c>
      <x:c r="N56" s="11" t="n">
        <x:f>((K56-L56)*E56-M56)/(1+'管线假设'!H1451)^D56</x:f>
        <x:v>0.3605816613066256</x:v>
      </x:c>
      <x:c r="O56" s="16" t="n">
        <x:v>0.872067338556401</x:v>
      </x:c>
      <x:c r="P56" s="16" t="n">
        <x:v>1.1627564514085345</x:v>
      </x:c>
      <x:c r="Q56" s="16" t="n">
        <x:v>1.8319503270149433</x:v>
      </x:c>
      <x:c r="R56" s="11" t="n">
        <x:f>'管线假设'!I1451</x:f>
        <x:v>7</x:v>
      </x:c>
    </x:row>
    <x:row r="57" ht="23" customHeight="1">
      <x:c r="A57" s="11" t="str">
        <x:v>09995.HK</x:v>
      </x:c>
      <x:c r="B57" s="11" t="str">
        <x:v>一年</x:v>
      </x:c>
      <x:c r="C57" s="11" t="str">
        <x:v>2038-12-31</x:v>
      </x:c>
      <x:c r="D57" s="11" t="n">
        <x:v>11.227926078028748</x:v>
      </x:c>
      <x:c r="E57" s="11" t="n">
        <x:v>1</x:v>
      </x:c>
      <x:c r="F57" s="11" t="n">
        <x:f>'管线现金流'!K6793</x:f>
        <x:v>1.9500000000000002</x:v>
      </x:c>
      <x:c r="G57" s="11" t="n">
        <x:f>'管线假设'!E1451</x:f>
        <x:v>0.6</x:v>
      </x:c>
      <x:c r="H57" s="11" t="n">
        <x:f>'管线假设'!F1451/'许可受让方假设'!F15</x:f>
        <x:v>0.10999999999999999</x:v>
      </x:c>
      <x:c r="I57" s="11" t="n">
        <x:f>'许可受让方假设'!D15</x:f>
        <x:v>0.34</x:v>
      </x:c>
      <x:c r="J57" s="11" t="n">
        <x:f>'许可受让方假设'!E15</x:f>
        <x:v>0.8</x:v>
      </x:c>
      <x:c r="K57" s="11" t="n">
        <x:f>F57*G57*(I57-H57*J57)*R57</x:f>
        <x:v>2.06388</x:v>
      </x:c>
      <x:c r="L57" s="11" t="n">
        <x:f>CHOOSE('假设'!$B$3,O57,P57,Q57)</x:f>
        <x:v>1.1976391449507906</x:v>
      </x:c>
      <x:c r="M57" s="11" t="n">
        <x:f>0</x:f>
        <x:v>0</x:v>
      </x:c>
      <x:c r="N57" s="11" t="n">
        <x:f>((K57-L57)*E57-M57)/(1+'管线假设'!H1451)^D57</x:f>
        <x:v>0.19893683237336904</x:v>
      </x:c>
      <x:c r="O57" s="16" t="n">
        <x:v>0.898229358713093</x:v>
      </x:c>
      <x:c r="P57" s="16" t="n">
        <x:v>1.1976391449507906</x:v>
      </x:c>
      <x:c r="Q57" s="16" t="n">
        <x:v>1.9052283400955412</x:v>
      </x:c>
      <x:c r="R57" s="11" t="n">
        <x:f>'管线假设'!I1451</x:f>
        <x:v>7</x:v>
      </x:c>
    </x:row>
    <x:row r="58" ht="23" customHeight="1">
      <x:c r="A58" s="11" t="str">
        <x:v>09995.HK</x:v>
      </x:c>
      <x:c r="B58" s="11" t="str">
        <x:v>一年</x:v>
      </x:c>
      <x:c r="C58" s="11" t="str">
        <x:v>2039-12-31</x:v>
      </x:c>
      <x:c r="D58" s="11" t="n">
        <x:v>12.227241615331964</x:v>
      </x:c>
      <x:c r="E58" s="11" t="n">
        <x:v>1</x:v>
      </x:c>
      <x:c r="F58" s="11" t="n">
        <x:f>'管线现金流'!K6794</x:f>
        <x:v>1.5</x:v>
      </x:c>
      <x:c r="G58" s="11" t="n">
        <x:f>'管线假设'!E1451</x:f>
        <x:v>0.6</x:v>
      </x:c>
      <x:c r="H58" s="11" t="n">
        <x:f>'管线假设'!F1451/'许可受让方假设'!F15</x:f>
        <x:v>0.10999999999999999</x:v>
      </x:c>
      <x:c r="I58" s="11" t="n">
        <x:f>'许可受让方假设'!D15</x:f>
        <x:v>0.34</x:v>
      </x:c>
      <x:c r="J58" s="11" t="n">
        <x:f>'许可受让方假设'!E15</x:f>
        <x:v>0.8</x:v>
      </x:c>
      <x:c r="K58" s="11" t="n">
        <x:f>F58*G58*(I58-H58*J58)*R58</x:f>
        <x:v>1.5876</x:v>
      </x:c>
      <x:c r="L58" s="11" t="n">
        <x:f>CHOOSE('假设'!$B$3,O58,P58,Q58)</x:f>
        <x:v>1.2335683192993143</x:v>
      </x:c>
      <x:c r="M58" s="11" t="n">
        <x:f>0</x:f>
        <x:v>0</x:v>
      </x:c>
      <x:c r="N58" s="11" t="n">
        <x:f>((K58-L58)*E58-M58)/(1+'管线假设'!H1451)^D58</x:f>
        <x:v>0.07132680330812442</x:v>
      </x:c>
      <x:c r="O58" s="16" t="n">
        <x:v>0.9251762394744858</x:v>
      </x:c>
      <x:c r="P58" s="16" t="n">
        <x:v>1.2335683192993143</x:v>
      </x:c>
      <x:c r="Q58" s="16" t="n">
        <x:v>1.981437473699363</x:v>
      </x:c>
      <x:c r="R58" s="11" t="n">
        <x:f>'管线假设'!I1451</x:f>
        <x:v>7</x:v>
      </x:c>
    </x:row>
    <x:row r="59" ht="23" customHeight="1">
      <x:c r="A59" s="11" t="str">
        <x:v>09995.HK</x:v>
      </x:c>
      <x:c r="B59" s="11" t="str">
        <x:v>一年</x:v>
      </x:c>
      <x:c r="C59" s="11" t="str">
        <x:v>2040-12-31</x:v>
      </x:c>
      <x:c r="D59" s="11" t="n">
        <x:v>13.229295003422314</x:v>
      </x:c>
      <x:c r="E59" s="11" t="n">
        <x:v>1</x:v>
      </x:c>
      <x:c r="F59" s="11" t="n">
        <x:f>'管线现金流'!K6795</x:f>
        <x:v>1.0499999999999998</x:v>
      </x:c>
      <x:c r="G59" s="11" t="n">
        <x:f>'管线假设'!E1451</x:f>
        <x:v>0.6</x:v>
      </x:c>
      <x:c r="H59" s="11" t="n">
        <x:f>'管线假设'!F1451/'许可受让方假设'!F15</x:f>
        <x:v>0.10999999999999999</x:v>
      </x:c>
      <x:c r="I59" s="11" t="n">
        <x:f>'许可受让方假设'!D15</x:f>
        <x:v>0.34</x:v>
      </x:c>
      <x:c r="J59" s="11" t="n">
        <x:f>'许可受让方假设'!E15</x:f>
        <x:v>0.8</x:v>
      </x:c>
      <x:c r="K59" s="11" t="n">
        <x:f>F59*G59*(I59-H59*J59)*R59</x:f>
        <x:v>1.1113199999999999</x:v>
      </x:c>
      <x:c r="L59" s="11" t="n">
        <x:f>CHOOSE('假设'!$B$3,O59,P59,Q59)</x:f>
        <x:v>1.270575368878294</x:v>
      </x:c>
      <x:c r="M59" s="11" t="n">
        <x:f>0</x:f>
        <x:v>0</x:v>
      </x:c>
      <x:c r="N59" s="11" t="n">
        <x:f>((K59-L59)*E59-M59)/(1+'管线假设'!H1451)^D59</x:f>
        <x:v>-0.02813733860411328</x:v>
      </x:c>
      <x:c r="O59" s="16" t="n">
        <x:v>0.9529315266587205</x:v>
      </x:c>
      <x:c r="P59" s="16" t="n">
        <x:v>1.270575368878294</x:v>
      </x:c>
      <x:c r="Q59" s="16" t="n">
        <x:v>2.0606949726473376</x:v>
      </x:c>
      <x:c r="R59" s="11" t="n">
        <x:f>'管线假设'!I1451</x:f>
        <x:v>7</x:v>
      </x:c>
    </x:row>
    <x:row r="60" ht="23" customHeight="1">
      <x:c r="A60" s="11" t="str">
        <x:v>09995.HK</x:v>
      </x:c>
      <x:c r="B60" s="11" t="str">
        <x:v>一年</x:v>
      </x:c>
      <x:c r="C60" s="11" t="str">
        <x:v>2041-12-31</x:v>
      </x:c>
      <x:c r="D60" s="11" t="n">
        <x:v>14.22861054072553</x:v>
      </x:c>
      <x:c r="E60" s="11" t="n">
        <x:v>1</x:v>
      </x:c>
      <x:c r="F60" s="11" t="n">
        <x:f>'管线现金流'!K6796</x:f>
        <x:v>0.6000000000000001</x:v>
      </x:c>
      <x:c r="G60" s="11" t="n">
        <x:f>'管线假设'!E1451</x:f>
        <x:v>0.6</x:v>
      </x:c>
      <x:c r="H60" s="11" t="n">
        <x:f>'管线假设'!F1451/'许可受让方假设'!F15</x:f>
        <x:v>0.10999999999999999</x:v>
      </x:c>
      <x:c r="I60" s="11" t="n">
        <x:f>'许可受让方假设'!D15</x:f>
        <x:v>0.34</x:v>
      </x:c>
      <x:c r="J60" s="11" t="n">
        <x:f>'许可受让方假设'!E15</x:f>
        <x:v>0.8</x:v>
      </x:c>
      <x:c r="K60" s="11" t="n">
        <x:f>F60*G60*(I60-H60*J60)*R60</x:f>
        <x:v>0.63504</x:v>
      </x:c>
      <x:c r="L60" s="11" t="n">
        <x:f>CHOOSE('假设'!$B$3,O60,P60,Q60)</x:f>
        <x:v>1.3086926299446426</x:v>
      </x:c>
      <x:c r="M60" s="11" t="n">
        <x:f>0</x:f>
        <x:v>0</x:v>
      </x:c>
      <x:c r="N60" s="11" t="n">
        <x:f>((K60-L60)*E60-M60)/(1+'管线假设'!H1451)^D60</x:f>
        <x:v>-0.10441407418961962</x:v>
      </x:c>
      <x:c r="O60" s="16" t="n">
        <x:v>0.981519472458482</x:v>
      </x:c>
      <x:c r="P60" s="16" t="n">
        <x:v>1.3086926299446426</x:v>
      </x:c>
      <x:c r="Q60" s="16" t="n">
        <x:v>2.143122771553231</x:v>
      </x:c>
      <x:c r="R60" s="11" t="n">
        <x:f>'管线假设'!I1451</x:f>
        <x:v>7</x:v>
      </x:c>
    </x:row>
    <x:row r="61" ht="23" customHeight="1">
      <x:c r="A61" s="11" t="str">
        <x:v>09995.HK</x:v>
      </x:c>
      <x:c r="B61" s="11" t="str">
        <x:v>一年</x:v>
      </x:c>
      <x:c r="C61" s="11" t="str">
        <x:v>2042-12-31</x:v>
      </x:c>
      <x:c r="D61" s="11" t="n">
        <x:v>15.227926078028748</x:v>
      </x:c>
      <x:c r="E61" s="11" t="n">
        <x:v>1</x:v>
      </x:c>
      <x:c r="F61" s="11" t="n">
        <x:f>'管线现金流'!K6797</x:f>
        <x:v>0.36</x:v>
      </x:c>
      <x:c r="G61" s="11" t="n">
        <x:f>'管线假设'!E1451</x:f>
        <x:v>0.6</x:v>
      </x:c>
      <x:c r="H61" s="11" t="n">
        <x:f>'管线假设'!F1451/'许可受让方假设'!F15</x:f>
        <x:v>0.10999999999999999</x:v>
      </x:c>
      <x:c r="I61" s="11" t="n">
        <x:f>'许可受让方假设'!D15</x:f>
        <x:v>0.34</x:v>
      </x:c>
      <x:c r="J61" s="11" t="n">
        <x:f>'许可受让方假设'!E15</x:f>
        <x:v>0.8</x:v>
      </x:c>
      <x:c r="K61" s="11" t="n">
        <x:f>F61*G61*(I61-H61*J61)*R61</x:f>
        <x:v>0.38102400000000003</x:v>
      </x:c>
      <x:c r="L61" s="11" t="n">
        <x:f>CHOOSE('假设'!$B$3,O61,P61,Q61)</x:f>
        <x:v>1.347953408842982</x:v>
      </x:c>
      <x:c r="M61" s="11" t="n">
        <x:f>0</x:f>
        <x:v>0</x:v>
      </x:c>
      <x:c r="N61" s="11" t="n">
        <x:f>((K61-L61)*E61-M61)/(1+'管线假设'!H1451)^D61</x:f>
        <x:v>-0.1314776399253336</x:v>
      </x:c>
      <x:c r="O61" s="16" t="n">
        <x:v>1.0109650566322366</x:v>
      </x:c>
      <x:c r="P61" s="16" t="n">
        <x:v>1.347953408842982</x:v>
      </x:c>
      <x:c r="Q61" s="16" t="n">
        <x:v>2.2288476824153602</x:v>
      </x:c>
      <x:c r="R61" s="11" t="n">
        <x:f>'管线假设'!I1451</x:f>
        <x:v>7</x:v>
      </x:c>
    </x:row>
    <x:row r="62" ht="23" customHeight="1">
      <x:c r="A62" s="11" t="str">
        <x:v>09995.HK</x:v>
      </x:c>
      <x:c r="B62" s="11" t="str">
        <x:v>一年</x:v>
      </x:c>
      <x:c r="C62" s="11" t="str">
        <x:v>2043-12-31</x:v>
      </x:c>
      <x:c r="D62" s="11" t="n">
        <x:v>16.227241615331966</x:v>
      </x:c>
      <x:c r="E62" s="11" t="n">
        <x:v>1</x:v>
      </x:c>
      <x:c r="F62" s="11" t="n">
        <x:f>'管线现金流'!K6798</x:f>
        <x:v>0.21000000000000002</x:v>
      </x:c>
      <x:c r="G62" s="11" t="n">
        <x:f>'管线假设'!E1451</x:f>
        <x:v>0.6</x:v>
      </x:c>
      <x:c r="H62" s="11" t="n">
        <x:f>'管线假设'!F1451/'许可受让方假设'!F15</x:f>
        <x:v>0.10999999999999999</x:v>
      </x:c>
      <x:c r="I62" s="11" t="n">
        <x:f>'许可受让方假设'!D15</x:f>
        <x:v>0.34</x:v>
      </x:c>
      <x:c r="J62" s="11" t="n">
        <x:f>'许可受让方假设'!E15</x:f>
        <x:v>0.8</x:v>
      </x:c>
      <x:c r="K62" s="11" t="n">
        <x:f>F62*G62*(I62-H62*J62)*R62</x:f>
        <x:v>0.22226400000000002</x:v>
      </x:c>
      <x:c r="L62" s="11" t="n">
        <x:f>CHOOSE('假设'!$B$3,O62,P62,Q62)</x:f>
        <x:v>1.3883920111082715</x:v>
      </x:c>
      <x:c r="M62" s="11" t="n">
        <x:f>0</x:f>
        <x:v>0</x:v>
      </x:c>
      <x:c r="N62" s="11" t="n">
        <x:f>((K62-L62)*E62-M62)/(1+'管线假设'!H1451)^D62</x:f>
        <x:v>-0.13910330727971448</x:v>
      </x:c>
      <x:c r="O62" s="16" t="n">
        <x:v>1.0412940083312037</x:v>
      </x:c>
      <x:c r="P62" s="16" t="n">
        <x:v>1.3883920111082715</x:v>
      </x:c>
      <x:c r="Q62" s="16" t="n">
        <x:v>2.318001589711975</x:v>
      </x:c>
      <x:c r="R62" s="11" t="n">
        <x:f>'管线假设'!I1451</x:f>
        <x:v>7</x:v>
      </x:c>
    </x:row>
    <x:row r="63" ht="23" customHeight="1">
      <x:c r="A63" s="11" t="str">
        <x:v>09995.HK</x:v>
      </x:c>
      <x:c r="B63" s="11" t="str">
        <x:v>一年</x:v>
      </x:c>
      <x:c r="C63" s="11" t="str">
        <x:v>2044-12-31</x:v>
      </x:c>
      <x:c r="D63" s="11" t="n">
        <x:v>17.229295003422312</x:v>
      </x:c>
      <x:c r="E63" s="11" t="n">
        <x:v>1</x:v>
      </x:c>
      <x:c r="F63" s="11" t="n">
        <x:f>'管线现金流'!K6799</x:f>
        <x:v>0.09</x:v>
      </x:c>
      <x:c r="G63" s="11" t="n">
        <x:f>'管线假设'!E1451</x:f>
        <x:v>0.6</x:v>
      </x:c>
      <x:c r="H63" s="11" t="n">
        <x:f>'管线假设'!F1451/'许可受让方假设'!F15</x:f>
        <x:v>0.10999999999999999</x:v>
      </x:c>
      <x:c r="I63" s="11" t="n">
        <x:f>'许可受让方假设'!D15</x:f>
        <x:v>0.34</x:v>
      </x:c>
      <x:c r="J63" s="11" t="n">
        <x:f>'许可受让方假设'!E15</x:f>
        <x:v>0.8</x:v>
      </x:c>
      <x:c r="K63" s="11" t="n">
        <x:f>F63*G63*(I63-H63*J63)*R63</x:f>
        <x:v>0.09525600000000001</x:v>
      </x:c>
      <x:c r="L63" s="11" t="n">
        <x:f>CHOOSE('假设'!$B$3,O63,P63,Q63)</x:f>
        <x:v>1.4300437714415197</x:v>
      </x:c>
      <x:c r="M63" s="11" t="n">
        <x:f>0</x:f>
        <x:v>0</x:v>
      </x:c>
      <x:c r="N63" s="11" t="n">
        <x:f>((K63-L63)*E63-M63)/(1+'管线假设'!H1451)^D63</x:f>
        <x:v>-0.13963096788416532</x:v>
      </x:c>
      <x:c r="O63" s="16" t="n">
        <x:v>1.07253282858114</x:v>
      </x:c>
      <x:c r="P63" s="16" t="n">
        <x:v>1.4300437714415197</x:v>
      </x:c>
      <x:c r="Q63" s="16" t="n">
        <x:v>2.4107216533004543</x:v>
      </x:c>
      <x:c r="R63" s="11" t="n">
        <x:f>'管线假设'!I1451</x:f>
        <x:v>7</x:v>
      </x:c>
    </x:row>
    <x:row r="64" ht="23" customHeight="1">
      <x:c r="A64" s="11" t="str">
        <x:v>09995.HK</x:v>
      </x:c>
      <x:c r="B64" s="11" t="str">
        <x:v>三年</x:v>
      </x:c>
      <x:c r="C64" s="11" t="str">
        <x:v>2026-12-31</x:v>
      </x:c>
      <x:c r="D64" s="11" t="n">
        <x:v>0</x:v>
      </x:c>
      <x:c r="E64" s="11" t="n">
        <x:v>0</x:v>
      </x:c>
      <x:c r="F64" s="11" t="n">
        <x:f>'管线现金流'!K6971</x:f>
        <x:v>0</x:v>
      </x:c>
      <x:c r="G64" s="11" t="n">
        <x:f>'管线假设'!E1491</x:f>
        <x:v>0.6</x:v>
      </x:c>
      <x:c r="H64" s="11" t="n">
        <x:f>'管线假设'!F1491/'许可受让方假设'!F19</x:f>
        <x:v>0.10999999999999999</x:v>
      </x:c>
      <x:c r="I64" s="11" t="n">
        <x:f>'许可受让方假设'!D19</x:f>
        <x:v>0.34</x:v>
      </x:c>
      <x:c r="J64" s="11" t="n">
        <x:f>'许可受让方假设'!E19</x:f>
        <x:v>0.8</x:v>
      </x:c>
      <x:c r="K64" s="11" t="n">
        <x:f>F64*G64*(I64-H64*J64)*R64</x:f>
        <x:v>0</x:v>
      </x:c>
      <x:c r="L64" s="11" t="n">
        <x:f>CHOOSE('假设'!$B$3,O64,P64,Q64)</x:f>
        <x:v>0.84</x:v>
      </x:c>
      <x:c r="M64" s="11" t="n">
        <x:f>0</x:f>
        <x:v>0</x:v>
      </x:c>
      <x:c r="N64" s="11" t="n">
        <x:f>((K64-L64)*E64-M64)/(1+'管线假设'!H1491)^D64</x:f>
        <x:v>0</x:v>
      </x:c>
      <x:c r="O64" s="16" t="n">
        <x:v>0.63</x:v>
      </x:c>
      <x:c r="P64" s="16" t="n">
        <x:v>0.84</x:v>
      </x:c>
      <x:c r="Q64" s="16" t="n">
        <x:v>1.1900000000000002</x:v>
      </x:c>
      <x:c r="R64" s="11" t="n">
        <x:f>'管线假设'!I1491</x:f>
        <x:v>7</x:v>
      </x:c>
    </x:row>
    <x:row r="65" ht="23" customHeight="1">
      <x:c r="A65" s="11" t="str">
        <x:v>09995.HK</x:v>
      </x:c>
      <x:c r="B65" s="11" t="str">
        <x:v>三年</x:v>
      </x:c>
      <x:c r="C65" s="11" t="str">
        <x:v>2027-12-31</x:v>
      </x:c>
      <x:c r="D65" s="11" t="n">
        <x:v>0</x:v>
      </x:c>
      <x:c r="E65" s="11" t="n">
        <x:v>0</x:v>
      </x:c>
      <x:c r="F65" s="11" t="n">
        <x:f>'管线现金流'!K6972</x:f>
        <x:v>0</x:v>
      </x:c>
      <x:c r="G65" s="11" t="n">
        <x:f>'管线假设'!E1491</x:f>
        <x:v>0.6</x:v>
      </x:c>
      <x:c r="H65" s="11" t="n">
        <x:f>'管线假设'!F1491/'许可受让方假设'!F19</x:f>
        <x:v>0.10999999999999999</x:v>
      </x:c>
      <x:c r="I65" s="11" t="n">
        <x:f>'许可受让方假设'!D19</x:f>
        <x:v>0.34</x:v>
      </x:c>
      <x:c r="J65" s="11" t="n">
        <x:f>'许可受让方假设'!E19</x:f>
        <x:v>0.8</x:v>
      </x:c>
      <x:c r="K65" s="11" t="n">
        <x:f>F65*G65*(I65-H65*J65)*R65</x:f>
        <x:v>0</x:v>
      </x:c>
      <x:c r="L65" s="11" t="n">
        <x:f>CHOOSE('假设'!$B$3,O65,P65,Q65)</x:f>
        <x:v>0.8652</x:v>
      </x:c>
      <x:c r="M65" s="11" t="n">
        <x:f>0</x:f>
        <x:v>0</x:v>
      </x:c>
      <x:c r="N65" s="11" t="n">
        <x:f>((K65-L65)*E65-M65)/(1+'管线假设'!H1491)^D65</x:f>
        <x:v>0</x:v>
      </x:c>
      <x:c r="O65" s="16" t="n">
        <x:v>0.6489</x:v>
      </x:c>
      <x:c r="P65" s="16" t="n">
        <x:v>0.8652</x:v>
      </x:c>
      <x:c r="Q65" s="16" t="n">
        <x:v>1.2376000000000003</x:v>
      </x:c>
      <x:c r="R65" s="11" t="n">
        <x:f>'管线假设'!I1491</x:f>
        <x:v>7</x:v>
      </x:c>
    </x:row>
    <x:row r="66" ht="23" customHeight="1">
      <x:c r="A66" s="11" t="str">
        <x:v>09995.HK</x:v>
      </x:c>
      <x:c r="B66" s="11" t="str">
        <x:v>三年</x:v>
      </x:c>
      <x:c r="C66" s="11" t="str">
        <x:v>2028-12-31</x:v>
      </x:c>
      <x:c r="D66" s="11" t="n">
        <x:v>0</x:v>
      </x:c>
      <x:c r="E66" s="11" t="n">
        <x:v>0</x:v>
      </x:c>
      <x:c r="F66" s="11" t="n">
        <x:f>'管线现金流'!K6973</x:f>
        <x:v>0.18</x:v>
      </x:c>
      <x:c r="G66" s="11" t="n">
        <x:f>'管线假设'!E1491</x:f>
        <x:v>0.6</x:v>
      </x:c>
      <x:c r="H66" s="11" t="n">
        <x:f>'管线假设'!F1491/'许可受让方假设'!F19</x:f>
        <x:v>0.10999999999999999</x:v>
      </x:c>
      <x:c r="I66" s="11" t="n">
        <x:f>'许可受让方假设'!D19</x:f>
        <x:v>0.34</x:v>
      </x:c>
      <x:c r="J66" s="11" t="n">
        <x:f>'许可受让方假设'!E19</x:f>
        <x:v>0.8</x:v>
      </x:c>
      <x:c r="K66" s="11" t="n">
        <x:f>F66*G66*(I66-H66*J66)*R66</x:f>
        <x:v>0.19051200000000001</x:v>
      </x:c>
      <x:c r="L66" s="11" t="n">
        <x:f>CHOOSE('假设'!$B$3,O66,P66,Q66)</x:f>
        <x:v>0.891156</x:v>
      </x:c>
      <x:c r="M66" s="11" t="n">
        <x:f>'管线现金流'!AB133</x:f>
        <x:v>0</x:v>
      </x:c>
      <x:c r="N66" s="11" t="n">
        <x:f>((K66-L66)*E66-M66)/(1+'管线假设'!H1491)^D66</x:f>
        <x:v>0</x:v>
      </x:c>
      <x:c r="O66" s="16" t="n">
        <x:v>0.6683669999999999</x:v>
      </x:c>
      <x:c r="P66" s="16" t="n">
        <x:v>0.891156</x:v>
      </x:c>
      <x:c r="Q66" s="16" t="n">
        <x:v>1.2871040000000002</x:v>
      </x:c>
      <x:c r="R66" s="11" t="n">
        <x:f>'管线假设'!I1491</x:f>
        <x:v>7</x:v>
      </x:c>
    </x:row>
    <x:row r="67" ht="23" customHeight="1">
      <x:c r="A67" s="11" t="str">
        <x:v>09995.HK</x:v>
      </x:c>
      <x:c r="B67" s="11" t="str">
        <x:v>三年</x:v>
      </x:c>
      <x:c r="C67" s="11" t="str">
        <x:v>2029-12-31</x:v>
      </x:c>
      <x:c r="D67" s="11" t="n">
        <x:v>0.2272416153319644</x:v>
      </x:c>
      <x:c r="E67" s="11" t="n">
        <x:v>0.22802197802197802</x:v>
      </x:c>
      <x:c r="F67" s="11" t="n">
        <x:f>'管线现金流'!K6974</x:f>
        <x:v>0.54</x:v>
      </x:c>
      <x:c r="G67" s="11" t="n">
        <x:f>'管线假设'!E1491</x:f>
        <x:v>0.6</x:v>
      </x:c>
      <x:c r="H67" s="11" t="n">
        <x:f>'管线假设'!F1491/'许可受让方假设'!F19</x:f>
        <x:v>0.10999999999999999</x:v>
      </x:c>
      <x:c r="I67" s="11" t="n">
        <x:f>'许可受让方假设'!D19</x:f>
        <x:v>0.34</x:v>
      </x:c>
      <x:c r="J67" s="11" t="n">
        <x:f>'许可受让方假设'!E19</x:f>
        <x:v>0.8</x:v>
      </x:c>
      <x:c r="K67" s="11" t="n">
        <x:f>F67*G67*(I67-H67*J67)*R67</x:f>
        <x:v>0.571536</x:v>
      </x:c>
      <x:c r="L67" s="11" t="n">
        <x:f>CHOOSE('假设'!$B$3,O67,P67,Q67)</x:f>
        <x:v>0.91789068</x:v>
      </x:c>
      <x:c r="M67" s="11" t="n">
        <x:f>'管线现金流'!AB135</x:f>
        <x:v>0</x:v>
      </x:c>
      <x:c r="N67" s="11" t="n">
        <x:f>((K67-L67)*E67-M67)/(1+'管线假设'!H1491)^D67</x:f>
        <x:v>-0.07665961232556515</x:v>
      </x:c>
      <x:c r="O67" s="16" t="n">
        <x:v>0.68841801</x:v>
      </x:c>
      <x:c r="P67" s="16" t="n">
        <x:v>0.91789068</x:v>
      </x:c>
      <x:c r="Q67" s="16" t="n">
        <x:v>1.3385881600000002</x:v>
      </x:c>
      <x:c r="R67" s="11" t="n">
        <x:f>'管线假设'!I1491</x:f>
        <x:v>7</x:v>
      </x:c>
    </x:row>
    <x:row r="68" ht="23" customHeight="1">
      <x:c r="A68" s="11" t="str">
        <x:v>09995.HK</x:v>
      </x:c>
      <x:c r="B68" s="11" t="str">
        <x:v>三年</x:v>
      </x:c>
      <x:c r="C68" s="11" t="str">
        <x:v>2030-12-31</x:v>
      </x:c>
      <x:c r="D68" s="11" t="n">
        <x:v>1.2265571526351813</x:v>
      </x:c>
      <x:c r="E68" s="11" t="n">
        <x:v>1</x:v>
      </x:c>
      <x:c r="F68" s="11" t="n">
        <x:f>'管线现金流'!K6975</x:f>
        <x:v>1.1400000000000001</x:v>
      </x:c>
      <x:c r="G68" s="11" t="n">
        <x:f>'管线假设'!E1491</x:f>
        <x:v>0.6</x:v>
      </x:c>
      <x:c r="H68" s="11" t="n">
        <x:f>'管线假设'!F1491/'许可受让方假设'!F19</x:f>
        <x:v>0.10999999999999999</x:v>
      </x:c>
      <x:c r="I68" s="11" t="n">
        <x:f>'许可受让方假设'!D19</x:f>
        <x:v>0.34</x:v>
      </x:c>
      <x:c r="J68" s="11" t="n">
        <x:f>'许可受让方假设'!E19</x:f>
        <x:v>0.8</x:v>
      </x:c>
      <x:c r="K68" s="11" t="n">
        <x:f>F68*G68*(I68-H68*J68)*R68</x:f>
        <x:v>1.206576</x:v>
      </x:c>
      <x:c r="L68" s="11" t="n">
        <x:f>CHOOSE('假设'!$B$3,O68,P68,Q68)</x:f>
        <x:v>0.9454274004000001</x:v>
      </x:c>
      <x:c r="M68" s="11" t="n">
        <x:f>'管线现金流'!AB138</x:f>
        <x:v>0.224</x:v>
      </x:c>
      <x:c r="N68" s="11" t="n">
        <x:f>((K68-L68)*E68-M68)/(1+'管线假设'!H1491)^D68</x:f>
        <x:v>0.0316333651319931</x:v>
      </x:c>
      <x:c r="O68" s="16" t="n">
        <x:v>0.7090705503000001</x:v>
      </x:c>
      <x:c r="P68" s="16" t="n">
        <x:v>0.9454274004000001</x:v>
      </x:c>
      <x:c r="Q68" s="16" t="n">
        <x:v>1.3921316864000004</x:v>
      </x:c>
      <x:c r="R68" s="11" t="n">
        <x:f>'管线假设'!I1491</x:f>
        <x:v>7</x:v>
      </x:c>
    </x:row>
    <x:row r="69" ht="23" customHeight="1">
      <x:c r="A69" s="11" t="str">
        <x:v>09995.HK</x:v>
      </x:c>
      <x:c r="B69" s="11" t="str">
        <x:v>三年</x:v>
      </x:c>
      <x:c r="C69" s="11" t="str">
        <x:v>2031-12-31</x:v>
      </x:c>
      <x:c r="D69" s="11" t="n">
        <x:v>2.2258726899383983</x:v>
      </x:c>
      <x:c r="E69" s="11" t="n">
        <x:v>1</x:v>
      </x:c>
      <x:c r="F69" s="11" t="n">
        <x:f>'管线现金流'!K6976</x:f>
        <x:v>1.9500000000000002</x:v>
      </x:c>
      <x:c r="G69" s="11" t="n">
        <x:f>'管线假设'!E1491</x:f>
        <x:v>0.6</x:v>
      </x:c>
      <x:c r="H69" s="11" t="n">
        <x:f>'管线假设'!F1491/'许可受让方假设'!F19</x:f>
        <x:v>0.10999999999999999</x:v>
      </x:c>
      <x:c r="I69" s="11" t="n">
        <x:f>'许可受让方假设'!D19</x:f>
        <x:v>0.34</x:v>
      </x:c>
      <x:c r="J69" s="11" t="n">
        <x:f>'许可受让方假设'!E19</x:f>
        <x:v>0.8</x:v>
      </x:c>
      <x:c r="K69" s="11" t="n">
        <x:f>F69*G69*(I69-H69*J69)*R69</x:f>
        <x:v>2.06388</x:v>
      </x:c>
      <x:c r="L69" s="11" t="n">
        <x:f>CHOOSE('假设'!$B$3,O69,P69,Q69)</x:f>
        <x:v>0.973790222412</x:v>
      </x:c>
      <x:c r="M69" s="11" t="n">
        <x:f>0</x:f>
        <x:v>0</x:v>
      </x:c>
      <x:c r="N69" s="11" t="n">
        <x:f>((K69-L69)*E69-M69)/(1+'管线假设'!H1491)^D69</x:f>
        <x:v>0.8143278961299879</x:v>
      </x:c>
      <x:c r="O69" s="16" t="n">
        <x:v>0.7303426668090001</x:v>
      </x:c>
      <x:c r="P69" s="16" t="n">
        <x:v>0.973790222412</x:v>
      </x:c>
      <x:c r="Q69" s="16" t="n">
        <x:v>1.4478169538560004</x:v>
      </x:c>
      <x:c r="R69" s="11" t="n">
        <x:f>'管线假设'!I1491</x:f>
        <x:v>7</x:v>
      </x:c>
    </x:row>
    <x:row r="70" ht="23" customHeight="1">
      <x:c r="A70" s="11" t="str">
        <x:v>09995.HK</x:v>
      </x:c>
      <x:c r="B70" s="11" t="str">
        <x:v>三年</x:v>
      </x:c>
      <x:c r="C70" s="11" t="str">
        <x:v>2032-12-31</x:v>
      </x:c>
      <x:c r="D70" s="11" t="n">
        <x:v>3.2279260780287475</x:v>
      </x:c>
      <x:c r="E70" s="11" t="n">
        <x:v>1</x:v>
      </x:c>
      <x:c r="F70" s="11" t="n">
        <x:f>'管线现金流'!K6977</x:f>
        <x:v>2.55</x:v>
      </x:c>
      <x:c r="G70" s="11" t="n">
        <x:f>'管线假设'!E1491</x:f>
        <x:v>0.6</x:v>
      </x:c>
      <x:c r="H70" s="11" t="n">
        <x:f>'管线假设'!F1491/'许可受让方假设'!F19</x:f>
        <x:v>0.10999999999999999</x:v>
      </x:c>
      <x:c r="I70" s="11" t="n">
        <x:f>'许可受让方假设'!D19</x:f>
        <x:v>0.34</x:v>
      </x:c>
      <x:c r="J70" s="11" t="n">
        <x:f>'许可受让方假设'!E19</x:f>
        <x:v>0.8</x:v>
      </x:c>
      <x:c r="K70" s="11" t="n">
        <x:f>F70*G70*(I70-H70*J70)*R70</x:f>
        <x:v>2.6989199999999998</x:v>
      </x:c>
      <x:c r="L70" s="11" t="n">
        <x:f>CHOOSE('假设'!$B$3,O70,P70,Q70)</x:f>
        <x:v>1.00300392908436</x:v>
      </x:c>
      <x:c r="M70" s="11" t="n">
        <x:f>0</x:f>
        <x:v>0</x:v>
      </x:c>
      <x:c r="N70" s="11" t="n">
        <x:f>((K70-L70)*E70-M70)/(1+'管线假设'!H1491)^D70</x:f>
        <x:v>1.1110144362265617</x:v>
      </x:c>
      <x:c r="O70" s="16" t="n">
        <x:v>0.75225294681327</x:v>
      </x:c>
      <x:c r="P70" s="16" t="n">
        <x:v>1.00300392908436</x:v>
      </x:c>
      <x:c r="Q70" s="16" t="n">
        <x:v>1.5057296320102407</x:v>
      </x:c>
      <x:c r="R70" s="11" t="n">
        <x:f>'管线假设'!I1491</x:f>
        <x:v>7</x:v>
      </x:c>
    </x:row>
    <x:row r="71" ht="23" customHeight="1">
      <x:c r="A71" s="11" t="str">
        <x:v>09995.HK</x:v>
      </x:c>
      <x:c r="B71" s="11" t="str">
        <x:v>三年</x:v>
      </x:c>
      <x:c r="C71" s="11" t="str">
        <x:v>2033-12-31</x:v>
      </x:c>
      <x:c r="D71" s="11" t="n">
        <x:v>4.227241615331964</x:v>
      </x:c>
      <x:c r="E71" s="11" t="n">
        <x:v>1</x:v>
      </x:c>
      <x:c r="F71" s="11" t="n">
        <x:f>'管线现金流'!K6978</x:f>
        <x:v>3</x:v>
      </x:c>
      <x:c r="G71" s="11" t="n">
        <x:f>'管线假设'!E1491</x:f>
        <x:v>0.6</x:v>
      </x:c>
      <x:c r="H71" s="11" t="n">
        <x:f>'管线假设'!F1491/'许可受让方假设'!F19</x:f>
        <x:v>0.10999999999999999</x:v>
      </x:c>
      <x:c r="I71" s="11" t="n">
        <x:f>'许可受让方假设'!D19</x:f>
        <x:v>0.34</x:v>
      </x:c>
      <x:c r="J71" s="11" t="n">
        <x:f>'许可受让方假设'!E19</x:f>
        <x:v>0.8</x:v>
      </x:c>
      <x:c r="K71" s="11" t="n">
        <x:f>F71*G71*(I71-H71*J71)*R71</x:f>
        <x:v>3.1752</x:v>
      </x:c>
      <x:c r="L71" s="11" t="n">
        <x:f>CHOOSE('假设'!$B$3,O71,P71,Q71)</x:f>
        <x:v>1.033094046956891</x:v>
      </x:c>
      <x:c r="M71" s="11" t="n">
        <x:f>0</x:f>
        <x:v>0</x:v>
      </x:c>
      <x:c r="N71" s="11" t="n">
        <x:f>((K71-L71)*E71-M71)/(1+'管线假设'!H1491)^D71</x:f>
        <x:v>1.2310916692250515</x:v>
      </x:c>
      <x:c r="O71" s="16" t="n">
        <x:v>0.7748205352176682</x:v>
      </x:c>
      <x:c r="P71" s="16" t="n">
        <x:v>1.033094046956891</x:v>
      </x:c>
      <x:c r="Q71" s="16" t="n">
        <x:v>1.5659588172906502</x:v>
      </x:c>
      <x:c r="R71" s="11" t="n">
        <x:f>'管线假设'!I1491</x:f>
        <x:v>7</x:v>
      </x:c>
    </x:row>
    <x:row r="72" ht="23" customHeight="1">
      <x:c r="A72" s="11" t="str">
        <x:v>09995.HK</x:v>
      </x:c>
      <x:c r="B72" s="11" t="str">
        <x:v>三年</x:v>
      </x:c>
      <x:c r="C72" s="11" t="str">
        <x:v>2034-12-31</x:v>
      </x:c>
      <x:c r="D72" s="11" t="n">
        <x:v>5.2265571526351815</x:v>
      </x:c>
      <x:c r="E72" s="11" t="n">
        <x:v>1</x:v>
      </x:c>
      <x:c r="F72" s="11" t="n">
        <x:f>'管线现金流'!K6979</x:f>
        <x:v>3</x:v>
      </x:c>
      <x:c r="G72" s="11" t="n">
        <x:f>'管线假设'!E1491</x:f>
        <x:v>0.6</x:v>
      </x:c>
      <x:c r="H72" s="11" t="n">
        <x:f>'管线假设'!F1491/'许可受让方假设'!F19</x:f>
        <x:v>0.10999999999999999</x:v>
      </x:c>
      <x:c r="I72" s="11" t="n">
        <x:f>'许可受让方假设'!D19</x:f>
        <x:v>0.34</x:v>
      </x:c>
      <x:c r="J72" s="11" t="n">
        <x:f>'许可受让方假设'!E19</x:f>
        <x:v>0.8</x:v>
      </x:c>
      <x:c r="K72" s="11" t="n">
        <x:f>F72*G72*(I72-H72*J72)*R72</x:f>
        <x:v>3.1752</x:v>
      </x:c>
      <x:c r="L72" s="11" t="n">
        <x:f>CHOOSE('假设'!$B$3,O72,P72,Q72)</x:f>
        <x:v>1.0640868683655977</x:v>
      </x:c>
      <x:c r="M72" s="11" t="n">
        <x:f>0</x:f>
        <x:v>0</x:v>
      </x:c>
      <x:c r="N72" s="11" t="n">
        <x:f>((K72-L72)*E72-M72)/(1+'管线假设'!H1491)^D72</x:f>
        <x:v>1.064375941341517</x:v>
      </x:c>
      <x:c r="O72" s="16" t="n">
        <x:v>0.7980651512741983</x:v>
      </x:c>
      <x:c r="P72" s="16" t="n">
        <x:v>1.0640868683655977</x:v>
      </x:c>
      <x:c r="Q72" s="16" t="n">
        <x:v>1.628597169982276</x:v>
      </x:c>
      <x:c r="R72" s="11" t="n">
        <x:f>'管线假设'!I1491</x:f>
        <x:v>7</x:v>
      </x:c>
    </x:row>
    <x:row r="73" ht="23" customHeight="1">
      <x:c r="A73" s="11" t="str">
        <x:v>09995.HK</x:v>
      </x:c>
      <x:c r="B73" s="11" t="str">
        <x:v>三年</x:v>
      </x:c>
      <x:c r="C73" s="11" t="str">
        <x:v>2035-12-31</x:v>
      </x:c>
      <x:c r="D73" s="11" t="n">
        <x:v>6.225872689938399</x:v>
      </x:c>
      <x:c r="E73" s="11" t="n">
        <x:v>1</x:v>
      </x:c>
      <x:c r="F73" s="11" t="n">
        <x:f>'管线现金流'!K6980</x:f>
        <x:v>2.8499999999999996</x:v>
      </x:c>
      <x:c r="G73" s="11" t="n">
        <x:f>'管线假设'!E1491</x:f>
        <x:v>0.6</x:v>
      </x:c>
      <x:c r="H73" s="11" t="n">
        <x:f>'管线假设'!F1491/'许可受让方假设'!F19</x:f>
        <x:v>0.10999999999999999</x:v>
      </x:c>
      <x:c r="I73" s="11" t="n">
        <x:f>'许可受让方假设'!D19</x:f>
        <x:v>0.34</x:v>
      </x:c>
      <x:c r="J73" s="11" t="n">
        <x:f>'许可受让方假设'!E19</x:f>
        <x:v>0.8</x:v>
      </x:c>
      <x:c r="K73" s="11" t="n">
        <x:f>F73*G73*(I73-H73*J73)*R73</x:f>
        <x:v>3.0164399999999993</x:v>
      </x:c>
      <x:c r="L73" s="11" t="n">
        <x:f>CHOOSE('假设'!$B$3,O73,P73,Q73)</x:f>
        <x:v>1.0960094744165656</x:v>
      </x:c>
      <x:c r="M73" s="11" t="n">
        <x:f>0</x:f>
        <x:v>0</x:v>
      </x:c>
      <x:c r="N73" s="11" t="n">
        <x:f>((K73-L73)*E73-M73)/(1+'管线假设'!H1491)^D73</x:f>
        <x:v>0.8494077920533516</x:v>
      </x:c>
      <x:c r="O73" s="16" t="n">
        <x:v>0.8220071058124243</x:v>
      </x:c>
      <x:c r="P73" s="16" t="n">
        <x:v>1.0960094744165656</x:v>
      </x:c>
      <x:c r="Q73" s="16" t="n">
        <x:v>1.6937410567815674</x:v>
      </x:c>
      <x:c r="R73" s="11" t="n">
        <x:f>'管线假设'!I1491</x:f>
        <x:v>7</x:v>
      </x:c>
    </x:row>
    <x:row r="74" ht="23" customHeight="1">
      <x:c r="A74" s="11" t="str">
        <x:v>09995.HK</x:v>
      </x:c>
      <x:c r="B74" s="11" t="str">
        <x:v>三年</x:v>
      </x:c>
      <x:c r="C74" s="11" t="str">
        <x:v>2036-12-31</x:v>
      </x:c>
      <x:c r="D74" s="11" t="n">
        <x:v>7.227926078028747</x:v>
      </x:c>
      <x:c r="E74" s="11" t="n">
        <x:v>1</x:v>
      </x:c>
      <x:c r="F74" s="11" t="n">
        <x:f>'管线现金流'!K6981</x:f>
        <x:v>2.7</x:v>
      </x:c>
      <x:c r="G74" s="11" t="n">
        <x:f>'管线假设'!E1491</x:f>
        <x:v>0.6</x:v>
      </x:c>
      <x:c r="H74" s="11" t="n">
        <x:f>'管线假设'!F1491/'许可受让方假设'!F19</x:f>
        <x:v>0.10999999999999999</x:v>
      </x:c>
      <x:c r="I74" s="11" t="n">
        <x:f>'许可受让方假设'!D19</x:f>
        <x:v>0.34</x:v>
      </x:c>
      <x:c r="J74" s="11" t="n">
        <x:f>'许可受让方假设'!E19</x:f>
        <x:v>0.8</x:v>
      </x:c>
      <x:c r="K74" s="11" t="n">
        <x:f>F74*G74*(I74-H74*J74)*R74</x:f>
        <x:v>2.85768</x:v>
      </x:c>
      <x:c r="L74" s="11" t="n">
        <x:f>CHOOSE('假设'!$B$3,O74,P74,Q74)</x:f>
        <x:v>1.1288897586490627</x:v>
      </x:c>
      <x:c r="M74" s="11" t="n">
        <x:f>0</x:f>
        <x:v>0</x:v>
      </x:c>
      <x:c r="N74" s="11" t="n">
        <x:f>((K74-L74)*E74-M74)/(1+'管线假设'!H1491)^D74</x:f>
        <x:v>0.6705609263396474</x:v>
      </x:c>
      <x:c r="O74" s="16" t="n">
        <x:v>0.846667318986797</x:v>
      </x:c>
      <x:c r="P74" s="16" t="n">
        <x:v>1.1288897586490627</x:v>
      </x:c>
      <x:c r="Q74" s="16" t="n">
        <x:v>1.76149069905283</x:v>
      </x:c>
      <x:c r="R74" s="11" t="n">
        <x:f>'管线假设'!I1491</x:f>
        <x:v>7</x:v>
      </x:c>
    </x:row>
    <x:row r="75" ht="23" customHeight="1">
      <x:c r="A75" s="11" t="str">
        <x:v>09995.HK</x:v>
      </x:c>
      <x:c r="B75" s="11" t="str">
        <x:v>三年</x:v>
      </x:c>
      <x:c r="C75" s="11" t="str">
        <x:v>2037-12-31</x:v>
      </x:c>
      <x:c r="D75" s="11" t="n">
        <x:v>8.227241615331964</x:v>
      </x:c>
      <x:c r="E75" s="11" t="n">
        <x:v>1</x:v>
      </x:c>
      <x:c r="F75" s="11" t="n">
        <x:f>'管线现金流'!K6982</x:f>
        <x:v>2.4000000000000004</x:v>
      </x:c>
      <x:c r="G75" s="11" t="n">
        <x:f>'管线假设'!E1491</x:f>
        <x:v>0.6</x:v>
      </x:c>
      <x:c r="H75" s="11" t="n">
        <x:f>'管线假设'!F1491/'许可受让方假设'!F19</x:f>
        <x:v>0.10999999999999999</x:v>
      </x:c>
      <x:c r="I75" s="11" t="n">
        <x:f>'许可受让方假设'!D19</x:f>
        <x:v>0.34</x:v>
      </x:c>
      <x:c r="J75" s="11" t="n">
        <x:f>'许可受让方假设'!E19</x:f>
        <x:v>0.8</x:v>
      </x:c>
      <x:c r="K75" s="11" t="n">
        <x:f>F75*G75*(I75-H75*J75)*R75</x:f>
        <x:v>2.54016</x:v>
      </x:c>
      <x:c r="L75" s="11" t="n">
        <x:f>CHOOSE('假设'!$B$3,O75,P75,Q75)</x:f>
        <x:v>1.1627564514085345</x:v>
      </x:c>
      <x:c r="M75" s="11" t="n">
        <x:f>0</x:f>
        <x:v>0</x:v>
      </x:c>
      <x:c r="N75" s="11" t="n">
        <x:f>((K75-L75)*E75-M75)/(1+'管线假设'!H1491)^D75</x:f>
        <x:v>0.4686959885174482</x:v>
      </x:c>
      <x:c r="O75" s="16" t="n">
        <x:v>0.872067338556401</x:v>
      </x:c>
      <x:c r="P75" s="16" t="n">
        <x:v>1.1627564514085345</x:v>
      </x:c>
      <x:c r="Q75" s="16" t="n">
        <x:v>1.8319503270149433</x:v>
      </x:c>
      <x:c r="R75" s="11" t="n">
        <x:f>'管线假设'!I1491</x:f>
        <x:v>7</x:v>
      </x:c>
    </x:row>
    <x:row r="76" ht="23" customHeight="1">
      <x:c r="A76" s="11" t="str">
        <x:v>09995.HK</x:v>
      </x:c>
      <x:c r="B76" s="11" t="str">
        <x:v>三年</x:v>
      </x:c>
      <x:c r="C76" s="11" t="str">
        <x:v>2038-12-31</x:v>
      </x:c>
      <x:c r="D76" s="11" t="n">
        <x:v>9.22655715263518</x:v>
      </x:c>
      <x:c r="E76" s="11" t="n">
        <x:v>1</x:v>
      </x:c>
      <x:c r="F76" s="11" t="n">
        <x:f>'管线现金流'!K6983</x:f>
        <x:v>1.9500000000000002</x:v>
      </x:c>
      <x:c r="G76" s="11" t="n">
        <x:f>'管线假设'!E1491</x:f>
        <x:v>0.6</x:v>
      </x:c>
      <x:c r="H76" s="11" t="n">
        <x:f>'管线假设'!F1491/'许可受让方假设'!F19</x:f>
        <x:v>0.10999999999999999</x:v>
      </x:c>
      <x:c r="I76" s="11" t="n">
        <x:f>'许可受让方假设'!D19</x:f>
        <x:v>0.34</x:v>
      </x:c>
      <x:c r="J76" s="11" t="n">
        <x:f>'许可受让方假设'!E19</x:f>
        <x:v>0.8</x:v>
      </x:c>
      <x:c r="K76" s="11" t="n">
        <x:f>F76*G76*(I76-H76*J76)*R76</x:f>
        <x:v>2.06388</x:v>
      </x:c>
      <x:c r="L76" s="11" t="n">
        <x:f>CHOOSE('假设'!$B$3,O76,P76,Q76)</x:f>
        <x:v>1.1976391449507906</x:v>
      </x:c>
      <x:c r="M76" s="11" t="n">
        <x:f>0</x:f>
        <x:v>0</x:v>
      </x:c>
      <x:c r="N76" s="11" t="n">
        <x:f>((K76-L76)*E76-M76)/(1+'管线假设'!H1491)^D76</x:f>
        <x:v>0.2585846849889502</x:v>
      </x:c>
      <x:c r="O76" s="16" t="n">
        <x:v>0.898229358713093</x:v>
      </x:c>
      <x:c r="P76" s="16" t="n">
        <x:v>1.1976391449507906</x:v>
      </x:c>
      <x:c r="Q76" s="16" t="n">
        <x:v>1.9052283400955412</x:v>
      </x:c>
      <x:c r="R76" s="11" t="n">
        <x:f>'管线假设'!I1491</x:f>
        <x:v>7</x:v>
      </x:c>
    </x:row>
    <x:row r="77" ht="23" customHeight="1">
      <x:c r="A77" s="11" t="str">
        <x:v>09995.HK</x:v>
      </x:c>
      <x:c r="B77" s="11" t="str">
        <x:v>三年</x:v>
      </x:c>
      <x:c r="C77" s="11" t="str">
        <x:v>2039-12-31</x:v>
      </x:c>
      <x:c r="D77" s="11" t="n">
        <x:v>10.225872689938399</x:v>
      </x:c>
      <x:c r="E77" s="11" t="n">
        <x:v>1</x:v>
      </x:c>
      <x:c r="F77" s="11" t="n">
        <x:f>'管线现金流'!K6984</x:f>
        <x:v>1.5</x:v>
      </x:c>
      <x:c r="G77" s="11" t="n">
        <x:f>'管线假设'!E1491</x:f>
        <x:v>0.6</x:v>
      </x:c>
      <x:c r="H77" s="11" t="n">
        <x:f>'管线假设'!F1491/'许可受让方假设'!F19</x:f>
        <x:v>0.10999999999999999</x:v>
      </x:c>
      <x:c r="I77" s="11" t="n">
        <x:f>'许可受让方假设'!D19</x:f>
        <x:v>0.34</x:v>
      </x:c>
      <x:c r="J77" s="11" t="n">
        <x:f>'许可受让方假设'!E19</x:f>
        <x:v>0.8</x:v>
      </x:c>
      <x:c r="K77" s="11" t="n">
        <x:f>F77*G77*(I77-H77*J77)*R77</x:f>
        <x:v>1.5876</x:v>
      </x:c>
      <x:c r="L77" s="11" t="n">
        <x:f>CHOOSE('假设'!$B$3,O77,P77,Q77)</x:f>
        <x:v>1.2335683192993143</x:v>
      </x:c>
      <x:c r="M77" s="11" t="n">
        <x:f>0</x:f>
        <x:v>0</x:v>
      </x:c>
      <x:c r="N77" s="11" t="n">
        <x:f>((K77-L77)*E77-M77)/(1+'管线假设'!H1491)^D77</x:f>
        <x:v>0.09271294181503814</x:v>
      </x:c>
      <x:c r="O77" s="16" t="n">
        <x:v>0.9251762394744858</x:v>
      </x:c>
      <x:c r="P77" s="16" t="n">
        <x:v>1.2335683192993143</x:v>
      </x:c>
      <x:c r="Q77" s="16" t="n">
        <x:v>1.981437473699363</x:v>
      </x:c>
      <x:c r="R77" s="11" t="n">
        <x:f>'管线假设'!I1491</x:f>
        <x:v>7</x:v>
      </x:c>
    </x:row>
    <x:row r="78" ht="23" customHeight="1">
      <x:c r="A78" s="11" t="str">
        <x:v>09995.HK</x:v>
      </x:c>
      <x:c r="B78" s="11" t="str">
        <x:v>三年</x:v>
      </x:c>
      <x:c r="C78" s="11" t="str">
        <x:v>2040-12-31</x:v>
      </x:c>
      <x:c r="D78" s="11" t="n">
        <x:v>11.227926078028748</x:v>
      </x:c>
      <x:c r="E78" s="11" t="n">
        <x:v>1</x:v>
      </x:c>
      <x:c r="F78" s="11" t="n">
        <x:f>'管线现金流'!K6985</x:f>
        <x:v>1.0499999999999998</x:v>
      </x:c>
      <x:c r="G78" s="11" t="n">
        <x:f>'管线假设'!E1491</x:f>
        <x:v>0.6</x:v>
      </x:c>
      <x:c r="H78" s="11" t="n">
        <x:f>'管线假设'!F1491/'许可受让方假设'!F19</x:f>
        <x:v>0.10999999999999999</x:v>
      </x:c>
      <x:c r="I78" s="11" t="n">
        <x:f>'许可受让方假设'!D19</x:f>
        <x:v>0.34</x:v>
      </x:c>
      <x:c r="J78" s="11" t="n">
        <x:f>'许可受让方假设'!E19</x:f>
        <x:v>0.8</x:v>
      </x:c>
      <x:c r="K78" s="11" t="n">
        <x:f>F78*G78*(I78-H78*J78)*R78</x:f>
        <x:v>1.1113199999999999</x:v>
      </x:c>
      <x:c r="L78" s="11" t="n">
        <x:f>CHOOSE('假设'!$B$3,O78,P78,Q78)</x:f>
        <x:v>1.270575368878294</x:v>
      </x:c>
      <x:c r="M78" s="11" t="n">
        <x:f>0</x:f>
        <x:v>0</x:v>
      </x:c>
      <x:c r="N78" s="11" t="n">
        <x:f>((K78-L78)*E78-M78)/(1+'管线假设'!H1491)^D78</x:f>
        <x:v>-0.03657384483591513</x:v>
      </x:c>
      <x:c r="O78" s="16" t="n">
        <x:v>0.9529315266587205</x:v>
      </x:c>
      <x:c r="P78" s="16" t="n">
        <x:v>1.270575368878294</x:v>
      </x:c>
      <x:c r="Q78" s="16" t="n">
        <x:v>2.0606949726473376</x:v>
      </x:c>
      <x:c r="R78" s="11" t="n">
        <x:f>'管线假设'!I1491</x:f>
        <x:v>7</x:v>
      </x:c>
    </x:row>
    <x:row r="79" ht="23" customHeight="1">
      <x:c r="A79" s="11" t="str">
        <x:v>09995.HK</x:v>
      </x:c>
      <x:c r="B79" s="11" t="str">
        <x:v>三年</x:v>
      </x:c>
      <x:c r="C79" s="11" t="str">
        <x:v>2041-12-31</x:v>
      </x:c>
      <x:c r="D79" s="11" t="n">
        <x:v>12.227241615331964</x:v>
      </x:c>
      <x:c r="E79" s="11" t="n">
        <x:v>1</x:v>
      </x:c>
      <x:c r="F79" s="11" t="n">
        <x:f>'管线现金流'!K6986</x:f>
        <x:v>0.6000000000000001</x:v>
      </x:c>
      <x:c r="G79" s="11" t="n">
        <x:f>'管线假设'!E1491</x:f>
        <x:v>0.6</x:v>
      </x:c>
      <x:c r="H79" s="11" t="n">
        <x:f>'管线假设'!F1491/'许可受让方假设'!F19</x:f>
        <x:v>0.10999999999999999</x:v>
      </x:c>
      <x:c r="I79" s="11" t="n">
        <x:f>'许可受让方假设'!D19</x:f>
        <x:v>0.34</x:v>
      </x:c>
      <x:c r="J79" s="11" t="n">
        <x:f>'许可受让方假设'!E19</x:f>
        <x:v>0.8</x:v>
      </x:c>
      <x:c r="K79" s="11" t="n">
        <x:f>F79*G79*(I79-H79*J79)*R79</x:f>
        <x:v>0.63504</x:v>
      </x:c>
      <x:c r="L79" s="11" t="n">
        <x:f>CHOOSE('假设'!$B$3,O79,P79,Q79)</x:f>
        <x:v>1.3086926299446426</x:v>
      </x:c>
      <x:c r="M79" s="11" t="n">
        <x:f>0</x:f>
        <x:v>0</x:v>
      </x:c>
      <x:c r="N79" s="11" t="n">
        <x:f>((K79-L79)*E79-M79)/(1+'管线假设'!H1491)^D79</x:f>
        <x:v>-0.13572087260373025</x:v>
      </x:c>
      <x:c r="O79" s="16" t="n">
        <x:v>0.981519472458482</x:v>
      </x:c>
      <x:c r="P79" s="16" t="n">
        <x:v>1.3086926299446426</x:v>
      </x:c>
      <x:c r="Q79" s="16" t="n">
        <x:v>2.143122771553231</x:v>
      </x:c>
      <x:c r="R79" s="11" t="n">
        <x:f>'管线假设'!I1491</x:f>
        <x:v>7</x:v>
      </x:c>
    </x:row>
    <x:row r="80" ht="23" customHeight="1">
      <x:c r="A80" s="11" t="str">
        <x:v>09995.HK</x:v>
      </x:c>
      <x:c r="B80" s="11" t="str">
        <x:v>三年</x:v>
      </x:c>
      <x:c r="C80" s="11" t="str">
        <x:v>2042-12-31</x:v>
      </x:c>
      <x:c r="D80" s="11" t="n">
        <x:v>13.22655715263518</x:v>
      </x:c>
      <x:c r="E80" s="11" t="n">
        <x:v>1</x:v>
      </x:c>
      <x:c r="F80" s="11" t="n">
        <x:f>'管线现金流'!K6987</x:f>
        <x:v>0.36</x:v>
      </x:c>
      <x:c r="G80" s="11" t="n">
        <x:f>'管线假设'!E1491</x:f>
        <x:v>0.6</x:v>
      </x:c>
      <x:c r="H80" s="11" t="n">
        <x:f>'管线假设'!F1491/'许可受让方假设'!F19</x:f>
        <x:v>0.10999999999999999</x:v>
      </x:c>
      <x:c r="I80" s="11" t="n">
        <x:f>'许可受让方假设'!D19</x:f>
        <x:v>0.34</x:v>
      </x:c>
      <x:c r="J80" s="11" t="n">
        <x:f>'许可受让方假设'!E19</x:f>
        <x:v>0.8</x:v>
      </x:c>
      <x:c r="K80" s="11" t="n">
        <x:f>F80*G80*(I80-H80*J80)*R80</x:f>
        <x:v>0.38102400000000003</x:v>
      </x:c>
      <x:c r="L80" s="11" t="n">
        <x:f>CHOOSE('假设'!$B$3,O80,P80,Q80)</x:f>
        <x:v>1.347953408842982</x:v>
      </x:c>
      <x:c r="M80" s="11" t="n">
        <x:f>0</x:f>
        <x:v>0</x:v>
      </x:c>
      <x:c r="N80" s="11" t="n">
        <x:f>((K80-L80)*E80-M80)/(1+'管线假设'!H1491)^D80</x:f>
        <x:v>-0.17089899189394256</x:v>
      </x:c>
      <x:c r="O80" s="16" t="n">
        <x:v>1.0109650566322366</x:v>
      </x:c>
      <x:c r="P80" s="16" t="n">
        <x:v>1.347953408842982</x:v>
      </x:c>
      <x:c r="Q80" s="16" t="n">
        <x:v>2.2288476824153602</x:v>
      </x:c>
      <x:c r="R80" s="11" t="n">
        <x:f>'管线假设'!I1491</x:f>
        <x:v>7</x:v>
      </x:c>
    </x:row>
    <x:row r="81" ht="23" customHeight="1">
      <x:c r="A81" s="11" t="str">
        <x:v>09995.HK</x:v>
      </x:c>
      <x:c r="B81" s="11" t="str">
        <x:v>三年</x:v>
      </x:c>
      <x:c r="C81" s="11" t="str">
        <x:v>2043-12-31</x:v>
      </x:c>
      <x:c r="D81" s="11" t="n">
        <x:v>14.225872689938399</x:v>
      </x:c>
      <x:c r="E81" s="11" t="n">
        <x:v>1</x:v>
      </x:c>
      <x:c r="F81" s="11" t="n">
        <x:f>'管线现金流'!K6988</x:f>
        <x:v>0.21000000000000002</x:v>
      </x:c>
      <x:c r="G81" s="11" t="n">
        <x:f>'管线假设'!E1491</x:f>
        <x:v>0.6</x:v>
      </x:c>
      <x:c r="H81" s="11" t="n">
        <x:f>'管线假设'!F1491/'许可受让方假设'!F19</x:f>
        <x:v>0.10999999999999999</x:v>
      </x:c>
      <x:c r="I81" s="11" t="n">
        <x:f>'许可受让方假设'!D19</x:f>
        <x:v>0.34</x:v>
      </x:c>
      <x:c r="J81" s="11" t="n">
        <x:f>'许可受让方假设'!E19</x:f>
        <x:v>0.8</x:v>
      </x:c>
      <x:c r="K81" s="11" t="n">
        <x:f>F81*G81*(I81-H81*J81)*R81</x:f>
        <x:v>0.22226400000000002</x:v>
      </x:c>
      <x:c r="L81" s="11" t="n">
        <x:f>CHOOSE('假设'!$B$3,O81,P81,Q81)</x:f>
        <x:v>1.3883920111082715</x:v>
      </x:c>
      <x:c r="M81" s="11" t="n">
        <x:f>0</x:f>
        <x:v>0</x:v>
      </x:c>
      <x:c r="N81" s="11" t="n">
        <x:f>((K81-L81)*E81-M81)/(1+'管线假设'!H1491)^D81</x:f>
        <x:v>-0.1808110869400838</x:v>
      </x:c>
      <x:c r="O81" s="16" t="n">
        <x:v>1.0412940083312037</x:v>
      </x:c>
      <x:c r="P81" s="16" t="n">
        <x:v>1.3883920111082715</x:v>
      </x:c>
      <x:c r="Q81" s="16" t="n">
        <x:v>2.318001589711975</x:v>
      </x:c>
      <x:c r="R81" s="11" t="n">
        <x:f>'管线假设'!I1491</x:f>
        <x:v>7</x:v>
      </x:c>
    </x:row>
    <x:row r="82" ht="23" customHeight="1">
      <x:c r="A82" s="11" t="str">
        <x:v>09995.HK</x:v>
      </x:c>
      <x:c r="B82" s="11" t="str">
        <x:v>三年</x:v>
      </x:c>
      <x:c r="C82" s="11" t="str">
        <x:v>2044-12-31</x:v>
      </x:c>
      <x:c r="D82" s="11" t="n">
        <x:v>15.227926078028748</x:v>
      </x:c>
      <x:c r="E82" s="11" t="n">
        <x:v>1</x:v>
      </x:c>
      <x:c r="F82" s="11" t="n">
        <x:f>'管线现金流'!K6989</x:f>
        <x:v>0.09</x:v>
      </x:c>
      <x:c r="G82" s="11" t="n">
        <x:f>'管线假设'!E1491</x:f>
        <x:v>0.6</x:v>
      </x:c>
      <x:c r="H82" s="11" t="n">
        <x:f>'管线假设'!F1491/'许可受让方假设'!F19</x:f>
        <x:v>0.10999999999999999</x:v>
      </x:c>
      <x:c r="I82" s="11" t="n">
        <x:f>'许可受让方假设'!D19</x:f>
        <x:v>0.34</x:v>
      </x:c>
      <x:c r="J82" s="11" t="n">
        <x:f>'许可受让方假设'!E19</x:f>
        <x:v>0.8</x:v>
      </x:c>
      <x:c r="K82" s="11" t="n">
        <x:f>F82*G82*(I82-H82*J82)*R82</x:f>
        <x:v>0.09525600000000001</x:v>
      </x:c>
      <x:c r="L82" s="11" t="n">
        <x:f>CHOOSE('假设'!$B$3,O82,P82,Q82)</x:f>
        <x:v>1.4300437714415197</x:v>
      </x:c>
      <x:c r="M82" s="11" t="n">
        <x:f>0</x:f>
        <x:v>0</x:v>
      </x:c>
      <x:c r="N82" s="11" t="n">
        <x:f>((K82-L82)*E82-M82)/(1+'管线假设'!H1491)^D82</x:f>
        <x:v>-0.18149695767379942</x:v>
      </x:c>
      <x:c r="O82" s="16" t="n">
        <x:v>1.07253282858114</x:v>
      </x:c>
      <x:c r="P82" s="16" t="n">
        <x:v>1.4300437714415197</x:v>
      </x:c>
      <x:c r="Q82" s="16" t="n">
        <x:v>2.4107216533004543</x:v>
      </x:c>
      <x:c r="R82" s="11" t="n">
        <x:f>'管线假设'!I1491</x:f>
        <x:v>7</x:v>
      </x:c>
    </x:row>
    <x:row r="83" ht="23" customHeight="1">
      <x:c r="A83" s="11" t="str">
        <x:v>09995.HK</x:v>
      </x:c>
      <x:c r="B83" s="11" t="str">
        <x:v>五年</x:v>
      </x:c>
      <x:c r="C83" s="11" t="str">
        <x:v>2026-12-31</x:v>
      </x:c>
      <x:c r="D83" s="11" t="n">
        <x:v>0</x:v>
      </x:c>
      <x:c r="E83" s="11" t="n">
        <x:v>0</x:v>
      </x:c>
      <x:c r="F83" s="11" t="n">
        <x:f>'管线现金流'!K7161</x:f>
        <x:v>0</x:v>
      </x:c>
      <x:c r="G83" s="11" t="n">
        <x:f>'管线假设'!E1531</x:f>
        <x:v>0.6</x:v>
      </x:c>
      <x:c r="H83" s="11" t="n">
        <x:f>'管线假设'!F1531/'许可受让方假设'!F23</x:f>
        <x:v>0.10999999999999999</x:v>
      </x:c>
      <x:c r="I83" s="11" t="n">
        <x:f>'许可受让方假设'!D23</x:f>
        <x:v>0.34</x:v>
      </x:c>
      <x:c r="J83" s="11" t="n">
        <x:f>'许可受让方假设'!E23</x:f>
        <x:v>0.8</x:v>
      </x:c>
      <x:c r="K83" s="11" t="n">
        <x:f>F83*G83*(I83-H83*J83)*R83</x:f>
        <x:v>0</x:v>
      </x:c>
      <x:c r="L83" s="11" t="n">
        <x:f>CHOOSE('假设'!$B$3,O83,P83,Q83)</x:f>
        <x:v>0.84</x:v>
      </x:c>
      <x:c r="M83" s="11" t="n">
        <x:f>0</x:f>
        <x:v>0</x:v>
      </x:c>
      <x:c r="N83" s="11" t="n">
        <x:f>((K83-L83)*E83-M83)/(1+'管线假设'!H1531)^D83</x:f>
        <x:v>0</x:v>
      </x:c>
      <x:c r="O83" s="16" t="n">
        <x:v>0.63</x:v>
      </x:c>
      <x:c r="P83" s="16" t="n">
        <x:v>0.84</x:v>
      </x:c>
      <x:c r="Q83" s="16" t="n">
        <x:v>1.1900000000000002</x:v>
      </x:c>
      <x:c r="R83" s="11" t="n">
        <x:f>'管线假设'!I1531</x:f>
        <x:v>7</x:v>
      </x:c>
    </x:row>
    <x:row r="84" ht="23" customHeight="1">
      <x:c r="A84" s="11" t="str">
        <x:v>09995.HK</x:v>
      </x:c>
      <x:c r="B84" s="11" t="str">
        <x:v>五年</x:v>
      </x:c>
      <x:c r="C84" s="11" t="str">
        <x:v>2027-12-31</x:v>
      </x:c>
      <x:c r="D84" s="11" t="n">
        <x:v>0</x:v>
      </x:c>
      <x:c r="E84" s="11" t="n">
        <x:v>0</x:v>
      </x:c>
      <x:c r="F84" s="11" t="n">
        <x:f>'管线现金流'!K7162</x:f>
        <x:v>0</x:v>
      </x:c>
      <x:c r="G84" s="11" t="n">
        <x:f>'管线假设'!E1531</x:f>
        <x:v>0.6</x:v>
      </x:c>
      <x:c r="H84" s="11" t="n">
        <x:f>'管线假设'!F1531/'许可受让方假设'!F23</x:f>
        <x:v>0.10999999999999999</x:v>
      </x:c>
      <x:c r="I84" s="11" t="n">
        <x:f>'许可受让方假设'!D23</x:f>
        <x:v>0.34</x:v>
      </x:c>
      <x:c r="J84" s="11" t="n">
        <x:f>'许可受让方假设'!E23</x:f>
        <x:v>0.8</x:v>
      </x:c>
      <x:c r="K84" s="11" t="n">
        <x:f>F84*G84*(I84-H84*J84)*R84</x:f>
        <x:v>0</x:v>
      </x:c>
      <x:c r="L84" s="11" t="n">
        <x:f>CHOOSE('假设'!$B$3,O84,P84,Q84)</x:f>
        <x:v>0.8652</x:v>
      </x:c>
      <x:c r="M84" s="11" t="n">
        <x:f>0</x:f>
        <x:v>0</x:v>
      </x:c>
      <x:c r="N84" s="11" t="n">
        <x:f>((K84-L84)*E84-M84)/(1+'管线假设'!H1531)^D84</x:f>
        <x:v>0</x:v>
      </x:c>
      <x:c r="O84" s="16" t="n">
        <x:v>0.6489</x:v>
      </x:c>
      <x:c r="P84" s="16" t="n">
        <x:v>0.8652</x:v>
      </x:c>
      <x:c r="Q84" s="16" t="n">
        <x:v>1.2376000000000003</x:v>
      </x:c>
      <x:c r="R84" s="11" t="n">
        <x:f>'管线假设'!I1531</x:f>
        <x:v>7</x:v>
      </x:c>
    </x:row>
    <x:row r="85" ht="23" customHeight="1">
      <x:c r="A85" s="11" t="str">
        <x:v>09995.HK</x:v>
      </x:c>
      <x:c r="B85" s="11" t="str">
        <x:v>五年</x:v>
      </x:c>
      <x:c r="C85" s="11" t="str">
        <x:v>2028-12-31</x:v>
      </x:c>
      <x:c r="D85" s="11" t="n">
        <x:v>0</x:v>
      </x:c>
      <x:c r="E85" s="11" t="n">
        <x:v>0</x:v>
      </x:c>
      <x:c r="F85" s="11" t="n">
        <x:f>'管线现金流'!K7163</x:f>
        <x:v>0.18</x:v>
      </x:c>
      <x:c r="G85" s="11" t="n">
        <x:f>'管线假设'!E1531</x:f>
        <x:v>0.6</x:v>
      </x:c>
      <x:c r="H85" s="11" t="n">
        <x:f>'管线假设'!F1531/'许可受让方假设'!F23</x:f>
        <x:v>0.10999999999999999</x:v>
      </x:c>
      <x:c r="I85" s="11" t="n">
        <x:f>'许可受让方假设'!D23</x:f>
        <x:v>0.34</x:v>
      </x:c>
      <x:c r="J85" s="11" t="n">
        <x:f>'许可受让方假设'!E23</x:f>
        <x:v>0.8</x:v>
      </x:c>
      <x:c r="K85" s="11" t="n">
        <x:f>F85*G85*(I85-H85*J85)*R85</x:f>
        <x:v>0.19051200000000001</x:v>
      </x:c>
      <x:c r="L85" s="11" t="n">
        <x:f>CHOOSE('假设'!$B$3,O85,P85,Q85)</x:f>
        <x:v>0.891156</x:v>
      </x:c>
      <x:c r="M85" s="11" t="n">
        <x:f>'管线现金流'!AB143</x:f>
        <x:v>0</x:v>
      </x:c>
      <x:c r="N85" s="11" t="n">
        <x:f>((K85-L85)*E85-M85)/(1+'管线假设'!H1531)^D85</x:f>
        <x:v>0</x:v>
      </x:c>
      <x:c r="O85" s="16" t="n">
        <x:v>0.6683669999999999</x:v>
      </x:c>
      <x:c r="P85" s="16" t="n">
        <x:v>0.891156</x:v>
      </x:c>
      <x:c r="Q85" s="16" t="n">
        <x:v>1.2871040000000002</x:v>
      </x:c>
      <x:c r="R85" s="11" t="n">
        <x:f>'管线假设'!I1531</x:f>
        <x:v>7</x:v>
      </x:c>
    </x:row>
    <x:row r="86" ht="23" customHeight="1">
      <x:c r="A86" s="11" t="str">
        <x:v>09995.HK</x:v>
      </x:c>
      <x:c r="B86" s="11" t="str">
        <x:v>五年</x:v>
      </x:c>
      <x:c r="C86" s="11" t="str">
        <x:v>2029-12-31</x:v>
      </x:c>
      <x:c r="D86" s="11" t="n">
        <x:v>0</x:v>
      </x:c>
      <x:c r="E86" s="11" t="n">
        <x:v>0</x:v>
      </x:c>
      <x:c r="F86" s="11" t="n">
        <x:f>'管线现金流'!K7164</x:f>
        <x:v>0.54</x:v>
      </x:c>
      <x:c r="G86" s="11" t="n">
        <x:f>'管线假设'!E1531</x:f>
        <x:v>0.6</x:v>
      </x:c>
      <x:c r="H86" s="11" t="n">
        <x:f>'管线假设'!F1531/'许可受让方假设'!F23</x:f>
        <x:v>0.10999999999999999</x:v>
      </x:c>
      <x:c r="I86" s="11" t="n">
        <x:f>'许可受让方假设'!D23</x:f>
        <x:v>0.34</x:v>
      </x:c>
      <x:c r="J86" s="11" t="n">
        <x:f>'许可受让方假设'!E23</x:f>
        <x:v>0.8</x:v>
      </x:c>
      <x:c r="K86" s="11" t="n">
        <x:f>F86*G86*(I86-H86*J86)*R86</x:f>
        <x:v>0.571536</x:v>
      </x:c>
      <x:c r="L86" s="11" t="n">
        <x:f>CHOOSE('假设'!$B$3,O86,P86,Q86)</x:f>
        <x:v>0.91789068</x:v>
      </x:c>
      <x:c r="M86" s="11" t="n">
        <x:f>'管线现金流'!AB145</x:f>
        <x:v>0</x:v>
      </x:c>
      <x:c r="N86" s="11" t="n">
        <x:f>((K86-L86)*E86-M86)/(1+'管线假设'!H1531)^D86</x:f>
        <x:v>0</x:v>
      </x:c>
      <x:c r="O86" s="16" t="n">
        <x:v>0.68841801</x:v>
      </x:c>
      <x:c r="P86" s="16" t="n">
        <x:v>0.91789068</x:v>
      </x:c>
      <x:c r="Q86" s="16" t="n">
        <x:v>1.3385881600000002</x:v>
      </x:c>
      <x:c r="R86" s="11" t="n">
        <x:f>'管线假设'!I1531</x:f>
        <x:v>7</x:v>
      </x:c>
    </x:row>
    <x:row r="87" ht="23" customHeight="1">
      <x:c r="A87" s="11" t="str">
        <x:v>09995.HK</x:v>
      </x:c>
      <x:c r="B87" s="11" t="str">
        <x:v>五年</x:v>
      </x:c>
      <x:c r="C87" s="11" t="str">
        <x:v>2030-12-31</x:v>
      </x:c>
      <x:c r="D87" s="11" t="n">
        <x:v>0</x:v>
      </x:c>
      <x:c r="E87" s="11" t="n">
        <x:v>0</x:v>
      </x:c>
      <x:c r="F87" s="11" t="n">
        <x:f>'管线现金流'!K7165</x:f>
        <x:v>1.1400000000000001</x:v>
      </x:c>
      <x:c r="G87" s="11" t="n">
        <x:f>'管线假设'!E1531</x:f>
        <x:v>0.6</x:v>
      </x:c>
      <x:c r="H87" s="11" t="n">
        <x:f>'管线假设'!F1531/'许可受让方假设'!F23</x:f>
        <x:v>0.10999999999999999</x:v>
      </x:c>
      <x:c r="I87" s="11" t="n">
        <x:f>'许可受让方假设'!D23</x:f>
        <x:v>0.34</x:v>
      </x:c>
      <x:c r="J87" s="11" t="n">
        <x:f>'许可受让方假设'!E23</x:f>
        <x:v>0.8</x:v>
      </x:c>
      <x:c r="K87" s="11" t="n">
        <x:f>F87*G87*(I87-H87*J87)*R87</x:f>
        <x:v>1.206576</x:v>
      </x:c>
      <x:c r="L87" s="11" t="n">
        <x:f>CHOOSE('假设'!$B$3,O87,P87,Q87)</x:f>
        <x:v>0.9454274004000001</x:v>
      </x:c>
      <x:c r="M87" s="11" t="n">
        <x:f>'管线现金流'!AB148</x:f>
        <x:v>0</x:v>
      </x:c>
      <x:c r="N87" s="11" t="n">
        <x:f>((K87-L87)*E87-M87)/(1+'管线假设'!H1531)^D87</x:f>
        <x:v>0</x:v>
      </x:c>
      <x:c r="O87" s="16" t="n">
        <x:v>0.7090705503000001</x:v>
      </x:c>
      <x:c r="P87" s="16" t="n">
        <x:v>0.9454274004000001</x:v>
      </x:c>
      <x:c r="Q87" s="16" t="n">
        <x:v>1.3921316864000004</x:v>
      </x:c>
      <x:c r="R87" s="11" t="n">
        <x:f>'管线假设'!I1531</x:f>
        <x:v>7</x:v>
      </x:c>
    </x:row>
    <x:row r="88" ht="23" customHeight="1">
      <x:c r="A88" s="11" t="str">
        <x:v>09995.HK</x:v>
      </x:c>
      <x:c r="B88" s="11" t="str">
        <x:v>五年</x:v>
      </x:c>
      <x:c r="C88" s="11" t="str">
        <x:v>2031-12-31</x:v>
      </x:c>
      <x:c r="D88" s="11" t="n">
        <x:v>0.2272416153319644</x:v>
      </x:c>
      <x:c r="E88" s="11" t="n">
        <x:v>0.22802197802197802</x:v>
      </x:c>
      <x:c r="F88" s="11" t="n">
        <x:f>'管线现金流'!K7166</x:f>
        <x:v>1.9500000000000002</x:v>
      </x:c>
      <x:c r="G88" s="11" t="n">
        <x:f>'管线假设'!E1531</x:f>
        <x:v>0.6</x:v>
      </x:c>
      <x:c r="H88" s="11" t="n">
        <x:f>'管线假设'!F1531/'许可受让方假设'!F23</x:f>
        <x:v>0.10999999999999999</x:v>
      </x:c>
      <x:c r="I88" s="11" t="n">
        <x:f>'许可受让方假设'!D23</x:f>
        <x:v>0.34</x:v>
      </x:c>
      <x:c r="J88" s="11" t="n">
        <x:f>'许可受让方假设'!E23</x:f>
        <x:v>0.8</x:v>
      </x:c>
      <x:c r="K88" s="11" t="n">
        <x:f>F88*G88*(I88-H88*J88)*R88</x:f>
        <x:v>2.06388</x:v>
      </x:c>
      <x:c r="L88" s="11" t="n">
        <x:f>CHOOSE('假设'!$B$3,O88,P88,Q88)</x:f>
        <x:v>0.973790222412</x:v>
      </x:c>
      <x:c r="M88" s="11" t="n">
        <x:f>0</x:f>
        <x:v>0</x:v>
      </x:c>
      <x:c r="N88" s="11" t="n">
        <x:f>((K88-L88)*E88-M88)/(1+'管线假设'!H1531)^D88</x:f>
        <x:v>0.24127250063419853</x:v>
      </x:c>
      <x:c r="O88" s="16" t="n">
        <x:v>0.7303426668090001</x:v>
      </x:c>
      <x:c r="P88" s="16" t="n">
        <x:v>0.973790222412</x:v>
      </x:c>
      <x:c r="Q88" s="16" t="n">
        <x:v>1.4478169538560004</x:v>
      </x:c>
      <x:c r="R88" s="11" t="n">
        <x:f>'管线假设'!I1531</x:f>
        <x:v>7</x:v>
      </x:c>
    </x:row>
    <x:row r="89" ht="23" customHeight="1">
      <x:c r="A89" s="11" t="str">
        <x:v>09995.HK</x:v>
      </x:c>
      <x:c r="B89" s="11" t="str">
        <x:v>五年</x:v>
      </x:c>
      <x:c r="C89" s="11" t="str">
        <x:v>2032-12-31</x:v>
      </x:c>
      <x:c r="D89" s="11" t="n">
        <x:v>1.2292950034223136</x:v>
      </x:c>
      <x:c r="E89" s="11" t="n">
        <x:v>1</x:v>
      </x:c>
      <x:c r="F89" s="11" t="n">
        <x:f>'管线现金流'!K7167</x:f>
        <x:v>2.55</x:v>
      </x:c>
      <x:c r="G89" s="11" t="n">
        <x:f>'管线假设'!E1531</x:f>
        <x:v>0.6</x:v>
      </x:c>
      <x:c r="H89" s="11" t="n">
        <x:f>'管线假设'!F1531/'许可受让方假设'!F23</x:f>
        <x:v>0.10999999999999999</x:v>
      </x:c>
      <x:c r="I89" s="11" t="n">
        <x:f>'许可受让方假设'!D23</x:f>
        <x:v>0.34</x:v>
      </x:c>
      <x:c r="J89" s="11" t="n">
        <x:f>'许可受让方假设'!E23</x:f>
        <x:v>0.8</x:v>
      </x:c>
      <x:c r="K89" s="11" t="n">
        <x:f>F89*G89*(I89-H89*J89)*R89</x:f>
        <x:v>2.6989199999999998</x:v>
      </x:c>
      <x:c r="L89" s="11" t="n">
        <x:f>CHOOSE('假设'!$B$3,O89,P89,Q89)</x:f>
        <x:v>1.00300392908436</x:v>
      </x:c>
      <x:c r="M89" s="11" t="n">
        <x:f>0</x:f>
        <x:v>0</x:v>
      </x:c>
      <x:c r="N89" s="11" t="n">
        <x:f>((K89-L89)*E89-M89)/(1+'管线假设'!H1531)^D89</x:f>
        <x:v>1.4436153998107295</x:v>
      </x:c>
      <x:c r="O89" s="16" t="n">
        <x:v>0.75225294681327</x:v>
      </x:c>
      <x:c r="P89" s="16" t="n">
        <x:v>1.00300392908436</x:v>
      </x:c>
      <x:c r="Q89" s="16" t="n">
        <x:v>1.5057296320102407</x:v>
      </x:c>
      <x:c r="R89" s="11" t="n">
        <x:f>'管线假设'!I1531</x:f>
        <x:v>7</x:v>
      </x:c>
    </x:row>
    <x:row r="90" ht="23" customHeight="1">
      <x:c r="A90" s="11" t="str">
        <x:v>09995.HK</x:v>
      </x:c>
      <x:c r="B90" s="11" t="str">
        <x:v>五年</x:v>
      </x:c>
      <x:c r="C90" s="11" t="str">
        <x:v>2033-12-31</x:v>
      </x:c>
      <x:c r="D90" s="11" t="n">
        <x:v>2.2286105407255303</x:v>
      </x:c>
      <x:c r="E90" s="11" t="n">
        <x:v>1</x:v>
      </x:c>
      <x:c r="F90" s="11" t="n">
        <x:f>'管线现金流'!K7168</x:f>
        <x:v>3</x:v>
      </x:c>
      <x:c r="G90" s="11" t="n">
        <x:f>'管线假设'!E1531</x:f>
        <x:v>0.6</x:v>
      </x:c>
      <x:c r="H90" s="11" t="n">
        <x:f>'管线假设'!F1531/'许可受让方假设'!F23</x:f>
        <x:v>0.10999999999999999</x:v>
      </x:c>
      <x:c r="I90" s="11" t="n">
        <x:f>'许可受让方假设'!D23</x:f>
        <x:v>0.34</x:v>
      </x:c>
      <x:c r="J90" s="11" t="n">
        <x:f>'许可受让方假设'!E23</x:f>
        <x:v>0.8</x:v>
      </x:c>
      <x:c r="K90" s="11" t="n">
        <x:f>F90*G90*(I90-H90*J90)*R90</x:f>
        <x:v>3.1752</x:v>
      </x:c>
      <x:c r="L90" s="11" t="n">
        <x:f>CHOOSE('假设'!$B$3,O90,P90,Q90)</x:f>
        <x:v>1.033094046956891</x:v>
      </x:c>
      <x:c r="M90" s="11" t="n">
        <x:f>0</x:f>
        <x:v>0</x:v>
      </x:c>
      <x:c r="N90" s="11" t="n">
        <x:f>((K90-L90)*E90-M90)/(1+'管线假设'!H1531)^D90</x:f>
        <x:v>1.5996397835370375</x:v>
      </x:c>
      <x:c r="O90" s="16" t="n">
        <x:v>0.7748205352176682</x:v>
      </x:c>
      <x:c r="P90" s="16" t="n">
        <x:v>1.033094046956891</x:v>
      </x:c>
      <x:c r="Q90" s="16" t="n">
        <x:v>1.5659588172906502</x:v>
      </x:c>
      <x:c r="R90" s="11" t="n">
        <x:f>'管线假设'!I1531</x:f>
        <x:v>7</x:v>
      </x:c>
    </x:row>
    <x:row r="91" ht="23" customHeight="1">
      <x:c r="A91" s="11" t="str">
        <x:v>09995.HK</x:v>
      </x:c>
      <x:c r="B91" s="11" t="str">
        <x:v>五年</x:v>
      </x:c>
      <x:c r="C91" s="11" t="str">
        <x:v>2034-12-31</x:v>
      </x:c>
      <x:c r="D91" s="11" t="n">
        <x:v>3.2279260780287475</x:v>
      </x:c>
      <x:c r="E91" s="11" t="n">
        <x:v>1</x:v>
      </x:c>
      <x:c r="F91" s="11" t="n">
        <x:f>'管线现金流'!K7169</x:f>
        <x:v>3</x:v>
      </x:c>
      <x:c r="G91" s="11" t="n">
        <x:f>'管线假设'!E1531</x:f>
        <x:v>0.6</x:v>
      </x:c>
      <x:c r="H91" s="11" t="n">
        <x:f>'管线假设'!F1531/'许可受让方假设'!F23</x:f>
        <x:v>0.10999999999999999</x:v>
      </x:c>
      <x:c r="I91" s="11" t="n">
        <x:f>'许可受让方假设'!D23</x:f>
        <x:v>0.34</x:v>
      </x:c>
      <x:c r="J91" s="11" t="n">
        <x:f>'许可受让方假设'!E23</x:f>
        <x:v>0.8</x:v>
      </x:c>
      <x:c r="K91" s="11" t="n">
        <x:f>F91*G91*(I91-H91*J91)*R91</x:f>
        <x:v>3.1752</x:v>
      </x:c>
      <x:c r="L91" s="11" t="n">
        <x:f>CHOOSE('假设'!$B$3,O91,P91,Q91)</x:f>
        <x:v>1.0640868683655977</x:v>
      </x:c>
      <x:c r="M91" s="11" t="n">
        <x:f>0</x:f>
        <x:v>0</x:v>
      </x:c>
      <x:c r="N91" s="11" t="n">
        <x:f>((K91-L91)*E91-M91)/(1+'管线假设'!H1531)^D91</x:f>
        <x:v>1.3830148826214868</x:v>
      </x:c>
      <x:c r="O91" s="16" t="n">
        <x:v>0.7980651512741983</x:v>
      </x:c>
      <x:c r="P91" s="16" t="n">
        <x:v>1.0640868683655977</x:v>
      </x:c>
      <x:c r="Q91" s="16" t="n">
        <x:v>1.628597169982276</x:v>
      </x:c>
      <x:c r="R91" s="11" t="n">
        <x:f>'管线假设'!I1531</x:f>
        <x:v>7</x:v>
      </x:c>
    </x:row>
    <x:row r="92" ht="23" customHeight="1">
      <x:c r="A92" s="11" t="str">
        <x:v>09995.HK</x:v>
      </x:c>
      <x:c r="B92" s="11" t="str">
        <x:v>五年</x:v>
      </x:c>
      <x:c r="C92" s="11" t="str">
        <x:v>2035-12-31</x:v>
      </x:c>
      <x:c r="D92" s="11" t="n">
        <x:v>4.227241615331964</x:v>
      </x:c>
      <x:c r="E92" s="11" t="n">
        <x:v>1</x:v>
      </x:c>
      <x:c r="F92" s="11" t="n">
        <x:f>'管线现金流'!K7170</x:f>
        <x:v>2.8499999999999996</x:v>
      </x:c>
      <x:c r="G92" s="11" t="n">
        <x:f>'管线假设'!E1531</x:f>
        <x:v>0.6</x:v>
      </x:c>
      <x:c r="H92" s="11" t="n">
        <x:f>'管线假设'!F1531/'许可受让方假设'!F23</x:f>
        <x:v>0.10999999999999999</x:v>
      </x:c>
      <x:c r="I92" s="11" t="n">
        <x:f>'许可受让方假设'!D23</x:f>
        <x:v>0.34</x:v>
      </x:c>
      <x:c r="J92" s="11" t="n">
        <x:f>'许可受让方假设'!E23</x:f>
        <x:v>0.8</x:v>
      </x:c>
      <x:c r="K92" s="11" t="n">
        <x:f>F92*G92*(I92-H92*J92)*R92</x:f>
        <x:v>3.0164399999999993</x:v>
      </x:c>
      <x:c r="L92" s="11" t="n">
        <x:f>CHOOSE('假设'!$B$3,O92,P92,Q92)</x:f>
        <x:v>1.0960094744165656</x:v>
      </x:c>
      <x:c r="M92" s="11" t="n">
        <x:f>0</x:f>
        <x:v>0</x:v>
      </x:c>
      <x:c r="N92" s="11" t="n">
        <x:f>((K92-L92)*E92-M92)/(1+'管线假设'!H1531)^D92</x:f>
        <x:v>1.1036923817949325</x:v>
      </x:c>
      <x:c r="O92" s="16" t="n">
        <x:v>0.8220071058124243</x:v>
      </x:c>
      <x:c r="P92" s="16" t="n">
        <x:v>1.0960094744165656</x:v>
      </x:c>
      <x:c r="Q92" s="16" t="n">
        <x:v>1.6937410567815674</x:v>
      </x:c>
      <x:c r="R92" s="11" t="n">
        <x:f>'管线假设'!I1531</x:f>
        <x:v>7</x:v>
      </x:c>
    </x:row>
    <x:row r="93" ht="23" customHeight="1">
      <x:c r="A93" s="11" t="str">
        <x:v>09995.HK</x:v>
      </x:c>
      <x:c r="B93" s="11" t="str">
        <x:v>五年</x:v>
      </x:c>
      <x:c r="C93" s="11" t="str">
        <x:v>2036-12-31</x:v>
      </x:c>
      <x:c r="D93" s="11" t="n">
        <x:v>5.229295003422314</x:v>
      </x:c>
      <x:c r="E93" s="11" t="n">
        <x:v>1</x:v>
      </x:c>
      <x:c r="F93" s="11" t="n">
        <x:f>'管线现金流'!K7171</x:f>
        <x:v>2.7</x:v>
      </x:c>
      <x:c r="G93" s="11" t="n">
        <x:f>'管线假设'!E1531</x:f>
        <x:v>0.6</x:v>
      </x:c>
      <x:c r="H93" s="11" t="n">
        <x:f>'管线假设'!F1531/'许可受让方假设'!F23</x:f>
        <x:v>0.10999999999999999</x:v>
      </x:c>
      <x:c r="I93" s="11" t="n">
        <x:f>'许可受让方假设'!D23</x:f>
        <x:v>0.34</x:v>
      </x:c>
      <x:c r="J93" s="11" t="n">
        <x:f>'许可受让方假设'!E23</x:f>
        <x:v>0.8</x:v>
      </x:c>
      <x:c r="K93" s="11" t="n">
        <x:f>F93*G93*(I93-H93*J93)*R93</x:f>
        <x:v>2.85768</x:v>
      </x:c>
      <x:c r="L93" s="11" t="n">
        <x:f>CHOOSE('假设'!$B$3,O93,P93,Q93)</x:f>
        <x:v>1.1288897586490627</x:v>
      </x:c>
      <x:c r="M93" s="11" t="n">
        <x:f>0</x:f>
        <x:v>0</x:v>
      </x:c>
      <x:c r="N93" s="11" t="n">
        <x:f>((K93-L93)*E93-M93)/(1+'管线假设'!H1531)^D93</x:f>
        <x:v>0.8713046817493005</x:v>
      </x:c>
      <x:c r="O93" s="16" t="n">
        <x:v>0.846667318986797</x:v>
      </x:c>
      <x:c r="P93" s="16" t="n">
        <x:v>1.1288897586490627</x:v>
      </x:c>
      <x:c r="Q93" s="16" t="n">
        <x:v>1.76149069905283</x:v>
      </x:c>
      <x:c r="R93" s="11" t="n">
        <x:f>'管线假设'!I1531</x:f>
        <x:v>7</x:v>
      </x:c>
    </x:row>
    <x:row r="94" ht="23" customHeight="1">
      <x:c r="A94" s="11" t="str">
        <x:v>09995.HK</x:v>
      </x:c>
      <x:c r="B94" s="11" t="str">
        <x:v>五年</x:v>
      </x:c>
      <x:c r="C94" s="11" t="str">
        <x:v>2037-12-31</x:v>
      </x:c>
      <x:c r="D94" s="11" t="n">
        <x:v>6.228610540725531</x:v>
      </x:c>
      <x:c r="E94" s="11" t="n">
        <x:v>1</x:v>
      </x:c>
      <x:c r="F94" s="11" t="n">
        <x:f>'管线现金流'!K7172</x:f>
        <x:v>2.4000000000000004</x:v>
      </x:c>
      <x:c r="G94" s="11" t="n">
        <x:f>'管线假设'!E1531</x:f>
        <x:v>0.6</x:v>
      </x:c>
      <x:c r="H94" s="11" t="n">
        <x:f>'管线假设'!F1531/'许可受让方假设'!F23</x:f>
        <x:v>0.10999999999999999</x:v>
      </x:c>
      <x:c r="I94" s="11" t="n">
        <x:f>'许可受让方假设'!D23</x:f>
        <x:v>0.34</x:v>
      </x:c>
      <x:c r="J94" s="11" t="n">
        <x:f>'许可受让方假设'!E23</x:f>
        <x:v>0.8</x:v>
      </x:c>
      <x:c r="K94" s="11" t="n">
        <x:f>F94*G94*(I94-H94*J94)*R94</x:f>
        <x:v>2.54016</x:v>
      </x:c>
      <x:c r="L94" s="11" t="n">
        <x:f>CHOOSE('假设'!$B$3,O94,P94,Q94)</x:f>
        <x:v>1.1627564514085345</x:v>
      </x:c>
      <x:c r="M94" s="11" t="n">
        <x:f>0</x:f>
        <x:v>0</x:v>
      </x:c>
      <x:c r="N94" s="11" t="n">
        <x:f>((K94-L94)*E94-M94)/(1+'管线假设'!H1531)^D94</x:f>
        <x:v>0.6090080603735044</x:v>
      </x:c>
      <x:c r="O94" s="16" t="n">
        <x:v>0.872067338556401</x:v>
      </x:c>
      <x:c r="P94" s="16" t="n">
        <x:v>1.1627564514085345</x:v>
      </x:c>
      <x:c r="Q94" s="16" t="n">
        <x:v>1.8319503270149433</x:v>
      </x:c>
      <x:c r="R94" s="11" t="n">
        <x:f>'管线假设'!I1531</x:f>
        <x:v>7</x:v>
      </x:c>
    </x:row>
    <x:row r="95" ht="23" customHeight="1">
      <x:c r="A95" s="11" t="str">
        <x:v>09995.HK</x:v>
      </x:c>
      <x:c r="B95" s="11" t="str">
        <x:v>五年</x:v>
      </x:c>
      <x:c r="C95" s="11" t="str">
        <x:v>2038-12-31</x:v>
      </x:c>
      <x:c r="D95" s="11" t="n">
        <x:v>7.227926078028747</x:v>
      </x:c>
      <x:c r="E95" s="11" t="n">
        <x:v>1</x:v>
      </x:c>
      <x:c r="F95" s="11" t="n">
        <x:f>'管线现金流'!K7173</x:f>
        <x:v>1.9500000000000002</x:v>
      </x:c>
      <x:c r="G95" s="11" t="n">
        <x:f>'管线假设'!E1531</x:f>
        <x:v>0.6</x:v>
      </x:c>
      <x:c r="H95" s="11" t="n">
        <x:f>'管线假设'!F1531/'许可受让方假设'!F23</x:f>
        <x:v>0.10999999999999999</x:v>
      </x:c>
      <x:c r="I95" s="11" t="n">
        <x:f>'许可受让方假设'!D23</x:f>
        <x:v>0.34</x:v>
      </x:c>
      <x:c r="J95" s="11" t="n">
        <x:f>'许可受让方假设'!E23</x:f>
        <x:v>0.8</x:v>
      </x:c>
      <x:c r="K95" s="11" t="n">
        <x:f>F95*G95*(I95-H95*J95)*R95</x:f>
        <x:v>2.06388</x:v>
      </x:c>
      <x:c r="L95" s="11" t="n">
        <x:f>CHOOSE('假设'!$B$3,O95,P95,Q95)</x:f>
        <x:v>1.1976391449507906</x:v>
      </x:c>
      <x:c r="M95" s="11" t="n">
        <x:f>0</x:f>
        <x:v>0</x:v>
      </x:c>
      <x:c r="N95" s="11" t="n">
        <x:f>((K95-L95)*E95-M95)/(1+'管线假设'!H1531)^D95</x:f>
        <x:v>0.33599638423521877</x:v>
      </x:c>
      <x:c r="O95" s="16" t="n">
        <x:v>0.898229358713093</x:v>
      </x:c>
      <x:c r="P95" s="16" t="n">
        <x:v>1.1976391449507906</x:v>
      </x:c>
      <x:c r="Q95" s="16" t="n">
        <x:v>1.9052283400955412</x:v>
      </x:c>
      <x:c r="R95" s="11" t="n">
        <x:f>'管线假设'!I1531</x:f>
        <x:v>7</x:v>
      </x:c>
    </x:row>
    <x:row r="96" ht="23" customHeight="1">
      <x:c r="A96" s="11" t="str">
        <x:v>09995.HK</x:v>
      </x:c>
      <x:c r="B96" s="11" t="str">
        <x:v>五年</x:v>
      </x:c>
      <x:c r="C96" s="11" t="str">
        <x:v>2039-12-31</x:v>
      </x:c>
      <x:c r="D96" s="11" t="n">
        <x:v>8.227241615331964</x:v>
      </x:c>
      <x:c r="E96" s="11" t="n">
        <x:v>1</x:v>
      </x:c>
      <x:c r="F96" s="11" t="n">
        <x:f>'管线现金流'!K7174</x:f>
        <x:v>1.5</x:v>
      </x:c>
      <x:c r="G96" s="11" t="n">
        <x:f>'管线假设'!E1531</x:f>
        <x:v>0.6</x:v>
      </x:c>
      <x:c r="H96" s="11" t="n">
        <x:f>'管线假设'!F1531/'许可受让方假设'!F23</x:f>
        <x:v>0.10999999999999999</x:v>
      </x:c>
      <x:c r="I96" s="11" t="n">
        <x:f>'许可受让方假设'!D23</x:f>
        <x:v>0.34</x:v>
      </x:c>
      <x:c r="J96" s="11" t="n">
        <x:f>'许可受让方假设'!E23</x:f>
        <x:v>0.8</x:v>
      </x:c>
      <x:c r="K96" s="11" t="n">
        <x:f>F96*G96*(I96-H96*J96)*R96</x:f>
        <x:v>1.5876</x:v>
      </x:c>
      <x:c r="L96" s="11" t="n">
        <x:f>CHOOSE('假设'!$B$3,O96,P96,Q96)</x:f>
        <x:v>1.2335683192993143</x:v>
      </x:c>
      <x:c r="M96" s="11" t="n">
        <x:f>0</x:f>
        <x:v>0</x:v>
      </x:c>
      <x:c r="N96" s="11" t="n">
        <x:f>((K96-L96)*E96-M96)/(1+'管线假设'!H1531)^D96</x:f>
        <x:v>0.1204681291275784</x:v>
      </x:c>
      <x:c r="O96" s="16" t="n">
        <x:v>0.9251762394744858</x:v>
      </x:c>
      <x:c r="P96" s="16" t="n">
        <x:v>1.2335683192993143</x:v>
      </x:c>
      <x:c r="Q96" s="16" t="n">
        <x:v>1.981437473699363</x:v>
      </x:c>
      <x:c r="R96" s="11" t="n">
        <x:f>'管线假设'!I1531</x:f>
        <x:v>7</x:v>
      </x:c>
    </x:row>
    <x:row r="97" ht="23" customHeight="1">
      <x:c r="A97" s="11" t="str">
        <x:v>09995.HK</x:v>
      </x:c>
      <x:c r="B97" s="11" t="str">
        <x:v>五年</x:v>
      </x:c>
      <x:c r="C97" s="11" t="str">
        <x:v>2040-12-31</x:v>
      </x:c>
      <x:c r="D97" s="11" t="n">
        <x:v>9.229295003422314</x:v>
      </x:c>
      <x:c r="E97" s="11" t="n">
        <x:v>1</x:v>
      </x:c>
      <x:c r="F97" s="11" t="n">
        <x:f>'管线现金流'!K7175</x:f>
        <x:v>1.0499999999999998</x:v>
      </x:c>
      <x:c r="G97" s="11" t="n">
        <x:f>'管线假设'!E1531</x:f>
        <x:v>0.6</x:v>
      </x:c>
      <x:c r="H97" s="11" t="n">
        <x:f>'管线假设'!F1531/'许可受让方假设'!F23</x:f>
        <x:v>0.10999999999999999</x:v>
      </x:c>
      <x:c r="I97" s="11" t="n">
        <x:f>'许可受让方假设'!D23</x:f>
        <x:v>0.34</x:v>
      </x:c>
      <x:c r="J97" s="11" t="n">
        <x:f>'许可受让方假设'!E23</x:f>
        <x:v>0.8</x:v>
      </x:c>
      <x:c r="K97" s="11" t="n">
        <x:f>F97*G97*(I97-H97*J97)*R97</x:f>
        <x:v>1.1113199999999999</x:v>
      </x:c>
      <x:c r="L97" s="11" t="n">
        <x:f>CHOOSE('假设'!$B$3,O97,P97,Q97)</x:f>
        <x:v>1.270575368878294</x:v>
      </x:c>
      <x:c r="M97" s="11" t="n">
        <x:f>0</x:f>
        <x:v>0</x:v>
      </x:c>
      <x:c r="N97" s="11" t="n">
        <x:f>((K97-L97)*E97-M97)/(1+'管线假设'!H1531)^D97</x:f>
        <x:v>-0.04752284391077736</x:v>
      </x:c>
      <x:c r="O97" s="16" t="n">
        <x:v>0.9529315266587205</x:v>
      </x:c>
      <x:c r="P97" s="16" t="n">
        <x:v>1.270575368878294</x:v>
      </x:c>
      <x:c r="Q97" s="16" t="n">
        <x:v>2.0606949726473376</x:v>
      </x:c>
      <x:c r="R97" s="11" t="n">
        <x:f>'管线假设'!I1531</x:f>
        <x:v>7</x:v>
      </x:c>
    </x:row>
    <x:row r="98" ht="23" customHeight="1">
      <x:c r="A98" s="11" t="str">
        <x:v>09995.HK</x:v>
      </x:c>
      <x:c r="B98" s="11" t="str">
        <x:v>五年</x:v>
      </x:c>
      <x:c r="C98" s="11" t="str">
        <x:v>2041-12-31</x:v>
      </x:c>
      <x:c r="D98" s="11" t="n">
        <x:v>10.22861054072553</x:v>
      </x:c>
      <x:c r="E98" s="11" t="n">
        <x:v>1</x:v>
      </x:c>
      <x:c r="F98" s="11" t="n">
        <x:f>'管线现金流'!K7176</x:f>
        <x:v>0.6000000000000001</x:v>
      </x:c>
      <x:c r="G98" s="11" t="n">
        <x:f>'管线假设'!E1531</x:f>
        <x:v>0.6</x:v>
      </x:c>
      <x:c r="H98" s="11" t="n">
        <x:f>'管线假设'!F1531/'许可受让方假设'!F23</x:f>
        <x:v>0.10999999999999999</x:v>
      </x:c>
      <x:c r="I98" s="11" t="n">
        <x:f>'许可受让方假设'!D23</x:f>
        <x:v>0.34</x:v>
      </x:c>
      <x:c r="J98" s="11" t="n">
        <x:f>'许可受让方假设'!E23</x:f>
        <x:v>0.8</x:v>
      </x:c>
      <x:c r="K98" s="11" t="n">
        <x:f>F98*G98*(I98-H98*J98)*R98</x:f>
        <x:v>0.63504</x:v>
      </x:c>
      <x:c r="L98" s="11" t="n">
        <x:f>CHOOSE('假设'!$B$3,O98,P98,Q98)</x:f>
        <x:v>1.3086926299446426</x:v>
      </x:c>
      <x:c r="M98" s="11" t="n">
        <x:f>0</x:f>
        <x:v>0</x:v>
      </x:c>
      <x:c r="N98" s="11" t="n">
        <x:f>((K98-L98)*E98-M98)/(1+'管线假设'!H1531)^D98</x:f>
        <x:v>-0.1763512114495519</x:v>
      </x:c>
      <x:c r="O98" s="16" t="n">
        <x:v>0.981519472458482</x:v>
      </x:c>
      <x:c r="P98" s="16" t="n">
        <x:v>1.3086926299446426</x:v>
      </x:c>
      <x:c r="Q98" s="16" t="n">
        <x:v>2.143122771553231</x:v>
      </x:c>
      <x:c r="R98" s="11" t="n">
        <x:f>'管线假设'!I1531</x:f>
        <x:v>7</x:v>
      </x:c>
    </x:row>
    <x:row r="99" ht="23" customHeight="1">
      <x:c r="A99" s="11" t="str">
        <x:v>09995.HK</x:v>
      </x:c>
      <x:c r="B99" s="11" t="str">
        <x:v>五年</x:v>
      </x:c>
      <x:c r="C99" s="11" t="str">
        <x:v>2042-12-31</x:v>
      </x:c>
      <x:c r="D99" s="11" t="n">
        <x:v>11.227926078028748</x:v>
      </x:c>
      <x:c r="E99" s="11" t="n">
        <x:v>1</x:v>
      </x:c>
      <x:c r="F99" s="11" t="n">
        <x:f>'管线现金流'!K7177</x:f>
        <x:v>0.36</x:v>
      </x:c>
      <x:c r="G99" s="11" t="n">
        <x:f>'管线假设'!E1531</x:f>
        <x:v>0.6</x:v>
      </x:c>
      <x:c r="H99" s="11" t="n">
        <x:f>'管线假设'!F1531/'许可受让方假设'!F23</x:f>
        <x:v>0.10999999999999999</x:v>
      </x:c>
      <x:c r="I99" s="11" t="n">
        <x:f>'许可受让方假设'!D23</x:f>
        <x:v>0.34</x:v>
      </x:c>
      <x:c r="J99" s="11" t="n">
        <x:f>'许可受让方假设'!E23</x:f>
        <x:v>0.8</x:v>
      </x:c>
      <x:c r="K99" s="11" t="n">
        <x:f>F99*G99*(I99-H99*J99)*R99</x:f>
        <x:v>0.38102400000000003</x:v>
      </x:c>
      <x:c r="L99" s="11" t="n">
        <x:f>CHOOSE('假设'!$B$3,O99,P99,Q99)</x:f>
        <x:v>1.347953408842982</x:v>
      </x:c>
      <x:c r="M99" s="11" t="n">
        <x:f>0</x:f>
        <x:v>0</x:v>
      </x:c>
      <x:c r="N99" s="11" t="n">
        <x:f>((K99-L99)*E99-M99)/(1+'管线假设'!H1531)^D99</x:f>
        <x:v>-0.2220604957647139</x:v>
      </x:c>
      <x:c r="O99" s="16" t="n">
        <x:v>1.0109650566322366</x:v>
      </x:c>
      <x:c r="P99" s="16" t="n">
        <x:v>1.347953408842982</x:v>
      </x:c>
      <x:c r="Q99" s="16" t="n">
        <x:v>2.2288476824153602</x:v>
      </x:c>
      <x:c r="R99" s="11" t="n">
        <x:f>'管线假设'!I1531</x:f>
        <x:v>7</x:v>
      </x:c>
    </x:row>
    <x:row r="100" ht="23" customHeight="1">
      <x:c r="A100" s="11" t="str">
        <x:v>09995.HK</x:v>
      </x:c>
      <x:c r="B100" s="11" t="str">
        <x:v>五年</x:v>
      </x:c>
      <x:c r="C100" s="11" t="str">
        <x:v>2043-12-31</x:v>
      </x:c>
      <x:c r="D100" s="11" t="n">
        <x:v>12.227241615331964</x:v>
      </x:c>
      <x:c r="E100" s="11" t="n">
        <x:v>1</x:v>
      </x:c>
      <x:c r="F100" s="11" t="n">
        <x:f>'管线现金流'!K7178</x:f>
        <x:v>0.21000000000000002</x:v>
      </x:c>
      <x:c r="G100" s="11" t="n">
        <x:f>'管线假设'!E1531</x:f>
        <x:v>0.6</x:v>
      </x:c>
      <x:c r="H100" s="11" t="n">
        <x:f>'管线假设'!F1531/'许可受让方假设'!F23</x:f>
        <x:v>0.10999999999999999</x:v>
      </x:c>
      <x:c r="I100" s="11" t="n">
        <x:f>'许可受让方假设'!D23</x:f>
        <x:v>0.34</x:v>
      </x:c>
      <x:c r="J100" s="11" t="n">
        <x:f>'许可受让方假设'!E23</x:f>
        <x:v>0.8</x:v>
      </x:c>
      <x:c r="K100" s="11" t="n">
        <x:f>F100*G100*(I100-H100*J100)*R100</x:f>
        <x:v>0.22226400000000002</x:v>
      </x:c>
      <x:c r="L100" s="11" t="n">
        <x:f>CHOOSE('假设'!$B$3,O100,P100,Q100)</x:f>
        <x:v>1.3883920111082715</x:v>
      </x:c>
      <x:c r="M100" s="11" t="n">
        <x:f>0</x:f>
        <x:v>0</x:v>
      </x:c>
      <x:c r="N100" s="11" t="n">
        <x:f>((K100-L100)*E100-M100)/(1+'管线假设'!H1531)^D100</x:f>
        <x:v>-0.2349399441196759</x:v>
      </x:c>
      <x:c r="O100" s="16" t="n">
        <x:v>1.0412940083312037</x:v>
      </x:c>
      <x:c r="P100" s="16" t="n">
        <x:v>1.3883920111082715</x:v>
      </x:c>
      <x:c r="Q100" s="16" t="n">
        <x:v>2.318001589711975</x:v>
      </x:c>
      <x:c r="R100" s="11" t="n">
        <x:f>'管线假设'!I1531</x:f>
        <x:v>7</x:v>
      </x:c>
    </x:row>
    <x:row r="101" ht="23" customHeight="1">
      <x:c r="A101" s="11" t="str">
        <x:v>09995.HK</x:v>
      </x:c>
      <x:c r="B101" s="11" t="str">
        <x:v>五年</x:v>
      </x:c>
      <x:c r="C101" s="11" t="str">
        <x:v>2044-12-31</x:v>
      </x:c>
      <x:c r="D101" s="11" t="n">
        <x:v>13.229295003422314</x:v>
      </x:c>
      <x:c r="E101" s="11" t="n">
        <x:v>1</x:v>
      </x:c>
      <x:c r="F101" s="11" t="n">
        <x:f>'管线现金流'!K7179</x:f>
        <x:v>0.09</x:v>
      </x:c>
      <x:c r="G101" s="11" t="n">
        <x:f>'管线假设'!E1531</x:f>
        <x:v>0.6</x:v>
      </x:c>
      <x:c r="H101" s="11" t="n">
        <x:f>'管线假设'!F1531/'许可受让方假设'!F23</x:f>
        <x:v>0.10999999999999999</x:v>
      </x:c>
      <x:c r="I101" s="11" t="n">
        <x:f>'许可受让方假设'!D23</x:f>
        <x:v>0.34</x:v>
      </x:c>
      <x:c r="J101" s="11" t="n">
        <x:f>'许可受让方假设'!E23</x:f>
        <x:v>0.8</x:v>
      </x:c>
      <x:c r="K101" s="11" t="n">
        <x:f>F101*G101*(I101-H101*J101)*R101</x:f>
        <x:v>0.09525600000000001</x:v>
      </x:c>
      <x:c r="L101" s="11" t="n">
        <x:f>CHOOSE('假设'!$B$3,O101,P101,Q101)</x:f>
        <x:v>1.4300437714415197</x:v>
      </x:c>
      <x:c r="M101" s="11" t="n">
        <x:f>0</x:f>
        <x:v>0</x:v>
      </x:c>
      <x:c r="N101" s="11" t="n">
        <x:f>((K101-L101)*E101-M101)/(1+'管线假设'!H1531)^D101</x:f>
        <x:v>-0.23583114185859477</x:v>
      </x:c>
      <x:c r="O101" s="16" t="n">
        <x:v>1.07253282858114</x:v>
      </x:c>
      <x:c r="P101" s="16" t="n">
        <x:v>1.4300437714415197</x:v>
      </x:c>
      <x:c r="Q101" s="16" t="n">
        <x:v>2.4107216533004543</x:v>
      </x:c>
      <x:c r="R101" s="11" t="n">
        <x:f>'管线假设'!I1531</x:f>
        <x:v>7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Vor剩余股权到荣昌权证价值 双层稀释与零下限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期限</x:v>
      </x:c>
      <x:c r="C6" s="12" t="str">
        <x:v>未来经营PV CNY十亿</x:v>
      </x:c>
      <x:c r="D6" s="12" t="str">
        <x:v>Vor现金USD十亿</x:v>
      </x:c>
      <x:c r="E6" s="12" t="str">
        <x:v>CNY/USD</x:v>
      </x:c>
      <x:c r="F6" s="12" t="str">
        <x:v>Vor股权CNY十亿</x:v>
      </x:c>
      <x:c r="G6" s="12" t="str">
        <x:v>标的股数十亿</x:v>
      </x:c>
      <x:c r="H6" s="12" t="str">
        <x:v>Vor稀释股数十亿</x:v>
      </x:c>
      <x:c r="I6" s="12" t="str">
        <x:v>经济持股率</x:v>
      </x:c>
      <x:c r="J6" s="12" t="str">
        <x:v>行权USD每股</x:v>
      </x:c>
      <x:c r="K6" s="12" t="str">
        <x:v>行权现金CNY十亿</x:v>
      </x:c>
      <x:c r="L6" s="12" t="str">
        <x:v>持股折扣</x:v>
      </x:c>
      <x:c r="M6" s="12" t="str">
        <x:v>母公司权证值CNY十亿</x:v>
      </x:c>
    </x:row>
    <x:row r="7" ht="23" customHeight="1">
      <x:c r="A7" s="11" t="str">
        <x:v>09995.HK</x:v>
      </x:c>
      <x:c r="B7" s="11" t="str">
        <x:v>2026年底</x:v>
      </x:c>
      <x:c r="C7" s="11" t="n">
        <x:f>SUM('许可受让方现金流'!N7:N25)</x:f>
        <x:v>2.4063183732815405</x:v>
      </x:c>
      <x:c r="D7" s="11" t="n">
        <x:f>'许可受让方假设'!G7</x:f>
        <x:v>1.46</x:v>
      </x:c>
      <x:c r="E7" s="11" t="n">
        <x:f>'管线假设'!I1347</x:f>
        <x:v>7</x:v>
      </x:c>
      <x:c r="F7" s="11" t="n">
        <x:f>MAX(0,C7+D7*E7)</x:f>
        <x:v>12.626318373281538</x:v>
      </x:c>
      <x:c r="G7" s="11" t="n">
        <x:f>'许可受让方假设'!I7</x:f>
        <x:v>0.016</x:v>
      </x:c>
      <x:c r="H7" s="11" t="n">
        <x:f>'许可受让方假设'!H7</x:f>
        <x:v>0.112</x:v>
      </x:c>
      <x:c r="I7" s="11" t="n">
        <x:f>G7/H7</x:f>
        <x:v>0.14285714285714285</x:v>
      </x:c>
      <x:c r="J7" s="11" t="n">
        <x:f>'许可受让方假设'!J7</x:f>
        <x:v>0.002</x:v>
      </x:c>
      <x:c r="K7" s="11" t="n">
        <x:f>G7*J7*E7</x:f>
        <x:v>0.000224</x:v>
      </x:c>
      <x:c r="L7" s="11" t="n">
        <x:f>'许可受让方假设'!K7</x:f>
        <x:v>0.9</x:v>
      </x:c>
      <x:c r="M7" s="11" t="n">
        <x:f>MAX(0,F7*I7-K7)*L7</x:f>
        <x:v>1.6231821908504835</x:v>
      </x:c>
    </x:row>
    <x:row r="8" ht="23" customHeight="1">
      <x:c r="A8" s="11" t="str">
        <x:v>09995.HK</x:v>
      </x:c>
      <x:c r="B8" s="11" t="str">
        <x:v>半年</x:v>
      </x:c>
      <x:c r="C8" s="11" t="n">
        <x:f>SUM('许可受让方现金流'!N26:N44)</x:f>
        <x:v>2.6970808407213904</x:v>
      </x:c>
      <x:c r="D8" s="11" t="n">
        <x:f>'许可受让方假设'!G11</x:f>
        <x:v>0.39</x:v>
      </x:c>
      <x:c r="E8" s="11" t="n">
        <x:f>'管线假设'!I1387</x:f>
        <x:v>7</x:v>
      </x:c>
      <x:c r="F8" s="11" t="n">
        <x:f>MAX(0,C8+D8*E8)</x:f>
        <x:v>5.42708084072139</x:v>
      </x:c>
      <x:c r="G8" s="11" t="n">
        <x:f>'许可受让方假设'!I11</x:f>
        <x:v>0.016</x:v>
      </x:c>
      <x:c r="H8" s="11" t="n">
        <x:f>'许可受让方假设'!H11</x:f>
        <x:v>0.12</x:v>
      </x:c>
      <x:c r="I8" s="11" t="n">
        <x:f>G8/H8</x:f>
        <x:v>0.13333333333333333</x:v>
      </x:c>
      <x:c r="J8" s="11" t="n">
        <x:f>'许可受让方假设'!J11</x:f>
        <x:v>0.002</x:v>
      </x:c>
      <x:c r="K8" s="11" t="n">
        <x:f>G8*J8*E8</x:f>
        <x:v>0.000224</x:v>
      </x:c>
      <x:c r="L8" s="11" t="n">
        <x:f>'许可受让方假设'!K11</x:f>
        <x:v>0.9</x:v>
      </x:c>
      <x:c r="M8" s="11" t="n">
        <x:f>MAX(0,F8*I8-K8)*L8</x:f>
        <x:v>0.6510481008865668</x:v>
      </x:c>
    </x:row>
    <x:row r="9" ht="23" customHeight="1">
      <x:c r="A9" s="11" t="str">
        <x:v>09995.HK</x:v>
      </x:c>
      <x:c r="B9" s="11" t="str">
        <x:v>一年</x:v>
      </x:c>
      <x:c r="C9" s="11" t="n">
        <x:f>SUM('许可受让方现金流'!N45:N63)</x:f>
        <x:v>3.3108104119303006</x:v>
      </x:c>
      <x:c r="D9" s="11" t="n">
        <x:f>'许可受让方假设'!G15</x:f>
        <x:v>0.3</x:v>
      </x:c>
      <x:c r="E9" s="11" t="n">
        <x:f>'管线假设'!I1427</x:f>
        <x:v>7</x:v>
      </x:c>
      <x:c r="F9" s="11" t="n">
        <x:f>MAX(0,C9+D9*E9)</x:f>
        <x:v>5.410810411930301</x:v>
      </x:c>
      <x:c r="G9" s="11" t="n">
        <x:f>'许可受让方假设'!I15</x:f>
        <x:v>0.016</x:v>
      </x:c>
      <x:c r="H9" s="11" t="n">
        <x:f>'许可受让方假设'!H15</x:f>
        <x:v>0.13</x:v>
      </x:c>
      <x:c r="I9" s="11" t="n">
        <x:f>G9/H9</x:f>
        <x:v>0.12307692307692307</x:v>
      </x:c>
      <x:c r="J9" s="11" t="n">
        <x:f>'许可受让方假设'!J15</x:f>
        <x:v>0.002</x:v>
      </x:c>
      <x:c r="K9" s="11" t="n">
        <x:f>G9*J9*E9</x:f>
        <x:v>0.000224</x:v>
      </x:c>
      <x:c r="L9" s="11" t="n">
        <x:f>'许可受让方假设'!K15</x:f>
        <x:v>0.9</x:v>
      </x:c>
      <x:c r="M9" s="11" t="n">
        <x:f>MAX(0,F9*I9-K9)*L9</x:f>
        <x:v>0.5991497071676641</x:v>
      </x:c>
    </x:row>
    <x:row r="10" ht="23" customHeight="1">
      <x:c r="A10" s="11" t="str">
        <x:v>09995.HK</x:v>
      </x:c>
      <x:c r="B10" s="11" t="str">
        <x:v>三年</x:v>
      </x:c>
      <x:c r="C10" s="11" t="n">
        <x:f>SUM('许可受让方现金流'!N64:N82)</x:f>
        <x:v>5.810244275496512</x:v>
      </x:c>
      <x:c r="D10" s="11" t="n">
        <x:f>'许可受让方假设'!G19</x:f>
        <x:v>0.3</x:v>
      </x:c>
      <x:c r="E10" s="11" t="n">
        <x:f>'管线假设'!I1467</x:f>
        <x:v>7</x:v>
      </x:c>
      <x:c r="F10" s="11" t="n">
        <x:f>MAX(0,C10+D10*E10)</x:f>
        <x:v>7.910244275496511</x:v>
      </x:c>
      <x:c r="G10" s="11" t="n">
        <x:f>'许可受让方假设'!I19</x:f>
        <x:v>0.016</x:v>
      </x:c>
      <x:c r="H10" s="11" t="n">
        <x:f>'许可受让方假设'!H19</x:f>
        <x:v>0.155</x:v>
      </x:c>
      <x:c r="I10" s="11" t="n">
        <x:f>G10/H10</x:f>
        <x:v>0.1032258064516129</x:v>
      </x:c>
      <x:c r="J10" s="11" t="n">
        <x:f>'许可受让方假设'!J19</x:f>
        <x:v>0.002</x:v>
      </x:c>
      <x:c r="K10" s="11" t="n">
        <x:f>G10*J10*E10</x:f>
        <x:v>0.000224</x:v>
      </x:c>
      <x:c r="L10" s="11" t="n">
        <x:f>'许可受让方假设'!K19</x:f>
        <x:v>0.9</x:v>
      </x:c>
      <x:c r="M10" s="11" t="n">
        <x:f>MAX(0,F10*I10-K10)*L10</x:f>
        <x:v>0.7346856101106436</x:v>
      </x:c>
    </x:row>
    <x:row r="11" ht="23" customHeight="1">
      <x:c r="A11" s="11" t="str">
        <x:v>09995.HK</x:v>
      </x:c>
      <x:c r="B11" s="11" t="str">
        <x:v>五年</x:v>
      </x:c>
      <x:c r="C11" s="11" t="n">
        <x:f>SUM('许可受让方现金流'!N83:N101)</x:f>
        <x:v>6.7913065667806745</x:v>
      </x:c>
      <x:c r="D11" s="11" t="n">
        <x:f>'许可受让方假设'!G23</x:f>
        <x:v>0.8</x:v>
      </x:c>
      <x:c r="E11" s="11" t="n">
        <x:f>'管线假设'!I1507</x:f>
        <x:v>7</x:v>
      </x:c>
      <x:c r="F11" s="11" t="n">
        <x:f>MAX(0,C11+D11*E11)</x:f>
        <x:v>12.391306566780674</x:v>
      </x:c>
      <x:c r="G11" s="11" t="n">
        <x:f>'许可受让方假设'!I23</x:f>
        <x:v>0.016</x:v>
      </x:c>
      <x:c r="H11" s="11" t="n">
        <x:f>'许可受让方假设'!H23</x:f>
        <x:v>0.18</x:v>
      </x:c>
      <x:c r="I11" s="11" t="n">
        <x:f>G11/H11</x:f>
        <x:v>0.08888888888888889</x:v>
      </x:c>
      <x:c r="J11" s="11" t="n">
        <x:f>'许可受让方假设'!J23</x:f>
        <x:v>0.002</x:v>
      </x:c>
      <x:c r="K11" s="11" t="n">
        <x:f>G11*J11*E11</x:f>
        <x:v>0.000224</x:v>
      </x:c>
      <x:c r="L11" s="11" t="n">
        <x:f>'许可受让方假设'!K23</x:f>
        <x:v>0.9</x:v>
      </x:c>
      <x:c r="M11" s="11" t="n">
        <x:f>MAX(0,F11*I11-K11)*L11</x:f>
        <x:v>0.991102925342454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Pr>
    <x:tabColor rgb="FF52718D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4" hidden="0" customWidth="1"/>
    <x:col min="13" max="13" width="3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唯一活动情景与经营假设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14" t="n">
        <x:v>2</x:v>
      </x:c>
      <x:c r="C3" s="2" t="str">
        <x:v>1悲观 / 2基准 / 3乐观；币种见O列，汇率均为研究假设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期限</x:v>
      </x:c>
      <x:c r="C6" s="12" t="str">
        <x:v>输入层</x:v>
      </x:c>
      <x:c r="D6" s="12" t="str">
        <x:v>EPS方法</x:v>
      </x:c>
      <x:c r="E6" s="12" t="str">
        <x:v>EPS 盈利币种</x:v>
      </x:c>
      <x:c r="F6" s="12" t="str">
        <x:v>PE倍</x:v>
      </x:c>
      <x:c r="G6" s="12" t="str">
        <x:v>本币/盈利币种</x:v>
      </x:c>
      <x:c r="H6" s="12" t="str">
        <x:v>累计分红本币</x:v>
      </x:c>
      <x:c r="I6" s="12" t="str">
        <x:v>核心收入盈利币种十亿</x:v>
      </x:c>
      <x:c r="J6" s="12" t="str">
        <x:v>核心净利率</x:v>
      </x:c>
      <x:c r="K6" s="12" t="str">
        <x:v>摊薄股数十亿</x:v>
      </x:c>
      <x:c r="L6" s="12" t="str">
        <x:v>模型版本</x:v>
      </x:c>
      <x:c r="M6" s="12" t="str">
        <x:v>名义目标日</x:v>
      </x:c>
      <x:c r="N6" t="str">
        <x:v>超额净现金CNY十亿</x:v>
      </x:c>
      <x:c r="O6" t="str">
        <x:v>盈利币种</x:v>
      </x:c>
      <x:c r="P6" t="str">
        <x:v>战略投资折扣CNY十亿</x:v>
      </x:c>
      <x:c r="Q6" t="str">
        <x:v>开发总部储备CNY十亿</x:v>
      </x:c>
      <x:c r="R6" t="str">
        <x:v>超额净现金USD十亿</x:v>
      </x:c>
      <x:c r="S6" t="str">
        <x:v>A股现金溢价因子</x:v>
      </x:c>
      <x:c r="U6" t="str">
        <x:v>市场确认系数研究假设</x:v>
      </x:c>
      <x:c r="V6" t="str">
        <x:v>前一工作日 周末已解析</x:v>
      </x:c>
      <x:c r="W6" t="str">
        <x:v>已核实际交易日</x:v>
      </x:c>
      <x:c r="X6" t="str">
        <x:v>交易所日历状态</x:v>
      </x:c>
    </x:row>
    <x:row r="7" ht="23" customHeight="1">
      <x:c r="A7" s="15" t="str">
        <x:v>01530.HK</x:v>
      </x:c>
      <x:c r="B7" s="15" t="str">
        <x:v>2026年底</x:v>
      </x:c>
      <x:c r="C7" s="15" t="str">
        <x:v>活动输入</x:v>
      </x:c>
      <x:c r="D7" s="15" t="str">
        <x:v>收入利润率</x:v>
      </x:c>
      <x:c r="E7" s="17" t="n">
        <x:f>CHOOSE($B$3,E8,E9,E10)</x:f>
        <x:v>0.7</x:v>
      </x:c>
      <x:c r="F7" s="17" t="n">
        <x:f>CHOOSE($B$3,F8,F9,F10)</x:f>
        <x:v>15</x:v>
      </x:c>
      <x:c r="G7" s="17" t="n">
        <x:f>CHOOSE($B$3,G8,G9,G10)</x:f>
        <x:v>1.1</x:v>
      </x:c>
      <x:c r="H7" s="17" t="n">
        <x:f>CHOOSE($B$3,H8,H9,H10)</x:f>
        <x:v>0</x:v>
      </x:c>
      <x:c r="I7" s="17" t="n">
        <x:f>CHOOSE($B$3,I8,I9,I10)</x:f>
        <x:v>8.2</x:v>
      </x:c>
      <x:c r="J7" s="19" t="n">
        <x:f>CHOOSE($B$3,J8,J9,J10)</x:f>
        <x:v>0.219390243902439</x:v>
      </x:c>
      <x:c r="K7" s="21" t="n">
        <x:f>CHOOSE($B$3,K8,K9,K10)</x:f>
        <x:v>2.57</x:v>
      </x:c>
      <x:c r="L7" s="15" t="str">
        <x:v>3sbio-v1-core-plus-707-rnPV</x:v>
      </x:c>
      <x:c r="M7" s="15" t="str">
        <x:v>2026-12-31</x:v>
      </x:c>
      <x:c r="N7" t="n">
        <x:f>CHOOSE($B$3,N8,N9,N10)</x:f>
        <x:v>11.8</x:v>
      </x:c>
      <x:c r="O7" t="str">
        <x:v>CNY</x:v>
      </x:c>
      <x:c r="V7" t="str">
        <x:v>2026-12-31</x:v>
      </x:c>
      <x:c r="W7" t="str">
        <x:v>待核</x:v>
      </x:c>
      <x:c r="X7" t="str">
        <x:v>周末已解析；节假日需交易所对应年度日历核验，实际交易日待核</x:v>
      </x:c>
    </x:row>
    <x:row r="8" ht="23" customHeight="1">
      <x:c r="A8" s="11" t="str">
        <x:v>01530.HK</x:v>
      </x:c>
      <x:c r="B8" s="11" t="str">
        <x:v>2026年底</x:v>
      </x:c>
      <x:c r="C8" s="11" t="str">
        <x:v>悲观</x:v>
      </x:c>
      <x:c r="D8" s="11" t="str">
        <x:v>收入利润率</x:v>
      </x:c>
      <x:c r="E8" s="18" t="n">
        <x:v>0.5</x:v>
      </x:c>
      <x:c r="F8" s="18" t="n">
        <x:v>11</x:v>
      </x:c>
      <x:c r="G8" s="18" t="n">
        <x:v>1.1</x:v>
      </x:c>
      <x:c r="H8" s="18" t="n">
        <x:v>0</x:v>
      </x:c>
      <x:c r="I8" s="18" t="n">
        <x:v>7.1</x:v>
      </x:c>
      <x:c r="J8" s="20" t="n">
        <x:v>0.18309859154929578</x:v>
      </x:c>
      <x:c r="K8" s="22" t="n">
        <x:v>2.6</x:v>
      </x:c>
      <x:c r="L8" s="11" t="str">
        <x:v>3sbio-v1-core-plus-707-rnPV</x:v>
      </x:c>
      <x:c r="M8" s="11" t="str">
        <x:v>2026-12-31</x:v>
      </x:c>
      <x:c r="N8" s="42" t="n">
        <x:v>8</x:v>
      </x:c>
      <x:c r="O8" t="str">
        <x:v>CNY</x:v>
      </x:c>
      <x:c r="V8" t="str">
        <x:v>2026-12-31</x:v>
      </x:c>
      <x:c r="W8" t="str">
        <x:v>待核</x:v>
      </x:c>
      <x:c r="X8" t="str">
        <x:v>周末已解析；节假日需交易所对应年度日历核验，实际交易日待核</x:v>
      </x:c>
    </x:row>
    <x:row r="9" ht="23" customHeight="1">
      <x:c r="A9" s="11" t="str">
        <x:v>01530.HK</x:v>
      </x:c>
      <x:c r="B9" s="11" t="str">
        <x:v>2026年底</x:v>
      </x:c>
      <x:c r="C9" s="11" t="str">
        <x:v>基准</x:v>
      </x:c>
      <x:c r="D9" s="11" t="str">
        <x:v>收入利润率</x:v>
      </x:c>
      <x:c r="E9" s="18" t="n">
        <x:v>0.7</x:v>
      </x:c>
      <x:c r="F9" s="18" t="n">
        <x:v>15</x:v>
      </x:c>
      <x:c r="G9" s="18" t="n">
        <x:v>1.1</x:v>
      </x:c>
      <x:c r="H9" s="18" t="n">
        <x:v>0</x:v>
      </x:c>
      <x:c r="I9" s="18" t="n">
        <x:v>8.2</x:v>
      </x:c>
      <x:c r="J9" s="20" t="n">
        <x:v>0.219390243902439</x:v>
      </x:c>
      <x:c r="K9" s="22" t="n">
        <x:v>2.57</x:v>
      </x:c>
      <x:c r="L9" s="11" t="str">
        <x:v>3sbio-v1-core-plus-707-rnPV</x:v>
      </x:c>
      <x:c r="M9" s="11" t="str">
        <x:v>2026-12-31</x:v>
      </x:c>
      <x:c r="N9" s="42" t="n">
        <x:v>11.8</x:v>
      </x:c>
      <x:c r="O9" t="str">
        <x:v>CNY</x:v>
      </x:c>
      <x:c r="V9" t="str">
        <x:v>2026-12-31</x:v>
      </x:c>
      <x:c r="W9" t="str">
        <x:v>待核</x:v>
      </x:c>
      <x:c r="X9" t="str">
        <x:v>周末已解析；节假日需交易所对应年度日历核验，实际交易日待核</x:v>
      </x:c>
    </x:row>
    <x:row r="10" ht="23" customHeight="1">
      <x:c r="A10" s="11" t="str">
        <x:v>01530.HK</x:v>
      </x:c>
      <x:c r="B10" s="11" t="str">
        <x:v>2026年底</x:v>
      </x:c>
      <x:c r="C10" s="11" t="str">
        <x:v>乐观</x:v>
      </x:c>
      <x:c r="D10" s="11" t="str">
        <x:v>收入利润率</x:v>
      </x:c>
      <x:c r="E10" s="18" t="n">
        <x:v>0.95</x:v>
      </x:c>
      <x:c r="F10" s="18" t="n">
        <x:v>19</x:v>
      </x:c>
      <x:c r="G10" s="18" t="n">
        <x:v>1.1</x:v>
      </x:c>
      <x:c r="H10" s="18" t="n">
        <x:v>0</x:v>
      </x:c>
      <x:c r="I10" s="18" t="n">
        <x:v>9.3</x:v>
      </x:c>
      <x:c r="J10" s="20" t="n">
        <x:v>0.2604838709677419</x:v>
      </x:c>
      <x:c r="K10" s="22" t="n">
        <x:v>2.55</x:v>
      </x:c>
      <x:c r="L10" s="11" t="str">
        <x:v>3sbio-v1-core-plus-707-rnPV</x:v>
      </x:c>
      <x:c r="M10" s="11" t="str">
        <x:v>2026-12-31</x:v>
      </x:c>
      <x:c r="N10" s="42" t="n">
        <x:v>13.5</x:v>
      </x:c>
      <x:c r="O10" t="str">
        <x:v>CNY</x:v>
      </x:c>
      <x:c r="V10" t="str">
        <x:v>2026-12-31</x:v>
      </x:c>
      <x:c r="W10" t="str">
        <x:v>待核</x:v>
      </x:c>
      <x:c r="X10" t="str">
        <x:v>周末已解析；节假日需交易所对应年度日历核验，实际交易日待核</x:v>
      </x:c>
    </x:row>
    <x:row r="11" ht="23" customHeight="1">
      <x:c r="A11" s="15" t="str">
        <x:v>01530.HK</x:v>
      </x:c>
      <x:c r="B11" s="15" t="str">
        <x:v>半年</x:v>
      </x:c>
      <x:c r="C11" s="15" t="str">
        <x:v>活动输入</x:v>
      </x:c>
      <x:c r="D11" s="15" t="str">
        <x:v>收入利润率</x:v>
      </x:c>
      <x:c r="E11" s="17" t="n">
        <x:f>CHOOSE($B$3,E12,E13,E14)</x:f>
        <x:v>0.7</x:v>
      </x:c>
      <x:c r="F11" s="17" t="n">
        <x:f>CHOOSE($B$3,F12,F13,F14)</x:f>
        <x:v>16</x:v>
      </x:c>
      <x:c r="G11" s="17" t="n">
        <x:f>CHOOSE($B$3,G12,G13,G14)</x:f>
        <x:v>1.1</x:v>
      </x:c>
      <x:c r="H11" s="17" t="n">
        <x:f>CHOOSE($B$3,H12,H13,H14)</x:f>
        <x:v>0</x:v>
      </x:c>
      <x:c r="I11" s="17" t="n">
        <x:f>CHOOSE($B$3,I12,I13,I14)</x:f>
        <x:v>8.2</x:v>
      </x:c>
      <x:c r="J11" s="19" t="n">
        <x:f>CHOOSE($B$3,J12,J13,J14)</x:f>
        <x:v>0.219390243902439</x:v>
      </x:c>
      <x:c r="K11" s="21" t="n">
        <x:f>CHOOSE($B$3,K12,K13,K14)</x:f>
        <x:v>2.57</x:v>
      </x:c>
      <x:c r="L11" s="15" t="str">
        <x:v>3sbio-v1-core-plus-707-rnPV</x:v>
      </x:c>
      <x:c r="M11" s="15" t="str">
        <x:v>2027-04-09</x:v>
      </x:c>
      <x:c r="N11" t="n">
        <x:f>CHOOSE($B$3,N12,N13,N14)</x:f>
        <x:v>12</x:v>
      </x:c>
      <x:c r="O11" t="str">
        <x:v>CNY</x:v>
      </x:c>
      <x:c r="V11" t="str">
        <x:v>2027-04-09</x:v>
      </x:c>
      <x:c r="W11" t="str">
        <x:v>待核</x:v>
      </x:c>
      <x:c r="X11" t="str">
        <x:v>周末已解析；节假日需交易所对应年度日历核验，实际交易日待核</x:v>
      </x:c>
    </x:row>
    <x:row r="12" ht="23" customHeight="1">
      <x:c r="A12" s="11" t="str">
        <x:v>01530.HK</x:v>
      </x:c>
      <x:c r="B12" s="11" t="str">
        <x:v>半年</x:v>
      </x:c>
      <x:c r="C12" s="11" t="str">
        <x:v>悲观</x:v>
      </x:c>
      <x:c r="D12" s="11" t="str">
        <x:v>收入利润率</x:v>
      </x:c>
      <x:c r="E12" s="18" t="n">
        <x:v>0.5</x:v>
      </x:c>
      <x:c r="F12" s="18" t="n">
        <x:v>12</x:v>
      </x:c>
      <x:c r="G12" s="18" t="n">
        <x:v>1.1</x:v>
      </x:c>
      <x:c r="H12" s="18" t="n">
        <x:v>0</x:v>
      </x:c>
      <x:c r="I12" s="18" t="n">
        <x:v>7.1</x:v>
      </x:c>
      <x:c r="J12" s="20" t="n">
        <x:v>0.18309859154929578</x:v>
      </x:c>
      <x:c r="K12" s="22" t="n">
        <x:v>2.6</x:v>
      </x:c>
      <x:c r="L12" s="11" t="str">
        <x:v>3sbio-v1-core-plus-707-rnPV</x:v>
      </x:c>
      <x:c r="M12" s="11" t="str">
        <x:v>2027-04-09</x:v>
      </x:c>
      <x:c r="N12" s="42" t="n">
        <x:v>7.8</x:v>
      </x:c>
      <x:c r="O12" t="str">
        <x:v>CNY</x:v>
      </x:c>
      <x:c r="V12" t="str">
        <x:v>2027-04-09</x:v>
      </x:c>
      <x:c r="W12" t="str">
        <x:v>待核</x:v>
      </x:c>
      <x:c r="X12" t="str">
        <x:v>周末已解析；节假日需交易所对应年度日历核验，实际交易日待核</x:v>
      </x:c>
    </x:row>
    <x:row r="13" ht="23" customHeight="1">
      <x:c r="A13" s="11" t="str">
        <x:v>01530.HK</x:v>
      </x:c>
      <x:c r="B13" s="11" t="str">
        <x:v>半年</x:v>
      </x:c>
      <x:c r="C13" s="11" t="str">
        <x:v>基准</x:v>
      </x:c>
      <x:c r="D13" s="11" t="str">
        <x:v>收入利润率</x:v>
      </x:c>
      <x:c r="E13" s="18" t="n">
        <x:v>0.7</x:v>
      </x:c>
      <x:c r="F13" s="18" t="n">
        <x:v>16</x:v>
      </x:c>
      <x:c r="G13" s="18" t="n">
        <x:v>1.1</x:v>
      </x:c>
      <x:c r="H13" s="18" t="n">
        <x:v>0</x:v>
      </x:c>
      <x:c r="I13" s="18" t="n">
        <x:v>8.2</x:v>
      </x:c>
      <x:c r="J13" s="20" t="n">
        <x:v>0.219390243902439</x:v>
      </x:c>
      <x:c r="K13" s="22" t="n">
        <x:v>2.57</x:v>
      </x:c>
      <x:c r="L13" s="11" t="str">
        <x:v>3sbio-v1-core-plus-707-rnPV</x:v>
      </x:c>
      <x:c r="M13" s="11" t="str">
        <x:v>2027-04-09</x:v>
      </x:c>
      <x:c r="N13" s="42" t="n">
        <x:v>12</x:v>
      </x:c>
      <x:c r="O13" t="str">
        <x:v>CNY</x:v>
      </x:c>
      <x:c r="V13" t="str">
        <x:v>2027-04-09</x:v>
      </x:c>
      <x:c r="W13" t="str">
        <x:v>待核</x:v>
      </x:c>
      <x:c r="X13" t="str">
        <x:v>周末已解析；节假日需交易所对应年度日历核验，实际交易日待核</x:v>
      </x:c>
    </x:row>
    <x:row r="14" ht="23" customHeight="1">
      <x:c r="A14" s="11" t="str">
        <x:v>01530.HK</x:v>
      </x:c>
      <x:c r="B14" s="11" t="str">
        <x:v>半年</x:v>
      </x:c>
      <x:c r="C14" s="11" t="str">
        <x:v>乐观</x:v>
      </x:c>
      <x:c r="D14" s="11" t="str">
        <x:v>收入利润率</x:v>
      </x:c>
      <x:c r="E14" s="18" t="n">
        <x:v>0.95</x:v>
      </x:c>
      <x:c r="F14" s="18" t="n">
        <x:v>20</x:v>
      </x:c>
      <x:c r="G14" s="18" t="n">
        <x:v>1.1</x:v>
      </x:c>
      <x:c r="H14" s="18" t="n">
        <x:v>0</x:v>
      </x:c>
      <x:c r="I14" s="18" t="n">
        <x:v>9.3</x:v>
      </x:c>
      <x:c r="J14" s="20" t="n">
        <x:v>0.2604838709677419</x:v>
      </x:c>
      <x:c r="K14" s="22" t="n">
        <x:v>2.55</x:v>
      </x:c>
      <x:c r="L14" s="11" t="str">
        <x:v>3sbio-v1-core-plus-707-rnPV</x:v>
      </x:c>
      <x:c r="M14" s="11" t="str">
        <x:v>2027-04-09</x:v>
      </x:c>
      <x:c r="N14" s="42" t="n">
        <x:v>13.8</x:v>
      </x:c>
      <x:c r="O14" t="str">
        <x:v>CNY</x:v>
      </x:c>
      <x:c r="V14" t="str">
        <x:v>2027-04-09</x:v>
      </x:c>
      <x:c r="W14" t="str">
        <x:v>待核</x:v>
      </x:c>
      <x:c r="X14" t="str">
        <x:v>周末已解析；节假日需交易所对应年度日历核验，实际交易日待核</x:v>
      </x:c>
    </x:row>
    <x:row r="15" ht="23" customHeight="1">
      <x:c r="A15" s="15" t="str">
        <x:v>01530.HK</x:v>
      </x:c>
      <x:c r="B15" s="15" t="str">
        <x:v>一年</x:v>
      </x:c>
      <x:c r="C15" s="15" t="str">
        <x:v>活动输入</x:v>
      </x:c>
      <x:c r="D15" s="15" t="str">
        <x:v>收入利润率</x:v>
      </x:c>
      <x:c r="E15" s="17" t="n">
        <x:f>CHOOSE($B$3,E16,E17,E18)</x:f>
        <x:v>0.88</x:v>
      </x:c>
      <x:c r="F15" s="17" t="n">
        <x:f>CHOOSE($B$3,F16,F17,F18)</x:f>
        <x:v>17</x:v>
      </x:c>
      <x:c r="G15" s="17" t="n">
        <x:f>CHOOSE($B$3,G16,G17,G18)</x:f>
        <x:v>1.1</x:v>
      </x:c>
      <x:c r="H15" s="17" t="n">
        <x:f>CHOOSE($B$3,H16,H17,H18)</x:f>
        <x:v>0.25</x:v>
      </x:c>
      <x:c r="I15" s="17" t="n">
        <x:f>CHOOSE($B$3,I16,I17,I18)</x:f>
        <x:v>9.6</x:v>
      </x:c>
      <x:c r="J15" s="19" t="n">
        <x:f>CHOOSE($B$3,J16,J17,J18)</x:f>
        <x:v>0.23833333333333337</x:v>
      </x:c>
      <x:c r="K15" s="21" t="n">
        <x:f>CHOOSE($B$3,K16,K17,K18)</x:f>
        <x:v>2.6</x:v>
      </x:c>
      <x:c r="L15" s="15" t="str">
        <x:v>3sbio-v1-core-plus-707-rnPV</x:v>
      </x:c>
      <x:c r="M15" s="15" t="str">
        <x:v>2027-10-09</x:v>
      </x:c>
      <x:c r="N15" t="n">
        <x:f>CHOOSE($B$3,N16,N17,N18)</x:f>
        <x:v>12.8</x:v>
      </x:c>
      <x:c r="O15" t="str">
        <x:v>CNY</x:v>
      </x:c>
      <x:c r="V15" t="str">
        <x:v>2027-10-08</x:v>
      </x:c>
      <x:c r="W15" t="str">
        <x:v>待核</x:v>
      </x:c>
      <x:c r="X15" t="str">
        <x:v>周末已解析；节假日需交易所对应年度日历核验，实际交易日待核</x:v>
      </x:c>
    </x:row>
    <x:row r="16" ht="23" customHeight="1">
      <x:c r="A16" s="11" t="str">
        <x:v>01530.HK</x:v>
      </x:c>
      <x:c r="B16" s="11" t="str">
        <x:v>一年</x:v>
      </x:c>
      <x:c r="C16" s="11" t="str">
        <x:v>悲观</x:v>
      </x:c>
      <x:c r="D16" s="11" t="str">
        <x:v>收入利润率</x:v>
      </x:c>
      <x:c r="E16" s="18" t="n">
        <x:v>0.56</x:v>
      </x:c>
      <x:c r="F16" s="18" t="n">
        <x:v>11</x:v>
      </x:c>
      <x:c r="G16" s="18" t="n">
        <x:v>1.1</x:v>
      </x:c>
      <x:c r="H16" s="18" t="n">
        <x:v>0.15</x:v>
      </x:c>
      <x:c r="I16" s="18" t="n">
        <x:v>7.5</x:v>
      </x:c>
      <x:c r="J16" s="20" t="n">
        <x:v>0.19786666666666666</x:v>
      </x:c>
      <x:c r="K16" s="22" t="n">
        <x:v>2.65</x:v>
      </x:c>
      <x:c r="L16" s="11" t="str">
        <x:v>3sbio-v1-core-plus-707-rnPV</x:v>
      </x:c>
      <x:c r="M16" s="11" t="str">
        <x:v>2027-10-09</x:v>
      </x:c>
      <x:c r="N16" s="42" t="n">
        <x:v>7.5</x:v>
      </x:c>
      <x:c r="O16" t="str">
        <x:v>CNY</x:v>
      </x:c>
      <x:c r="V16" t="str">
        <x:v>2027-10-08</x:v>
      </x:c>
      <x:c r="W16" t="str">
        <x:v>待核</x:v>
      </x:c>
      <x:c r="X16" t="str">
        <x:v>周末已解析；节假日需交易所对应年度日历核验，实际交易日待核</x:v>
      </x:c>
    </x:row>
    <x:row r="17" ht="23" customHeight="1">
      <x:c r="A17" s="11" t="str">
        <x:v>01530.HK</x:v>
      </x:c>
      <x:c r="B17" s="11" t="str">
        <x:v>一年</x:v>
      </x:c>
      <x:c r="C17" s="11" t="str">
        <x:v>基准</x:v>
      </x:c>
      <x:c r="D17" s="11" t="str">
        <x:v>收入利润率</x:v>
      </x:c>
      <x:c r="E17" s="18" t="n">
        <x:v>0.88</x:v>
      </x:c>
      <x:c r="F17" s="18" t="n">
        <x:v>17</x:v>
      </x:c>
      <x:c r="G17" s="18" t="n">
        <x:v>1.1</x:v>
      </x:c>
      <x:c r="H17" s="18" t="n">
        <x:v>0.25</x:v>
      </x:c>
      <x:c r="I17" s="18" t="n">
        <x:v>9.6</x:v>
      </x:c>
      <x:c r="J17" s="20" t="n">
        <x:v>0.23833333333333337</x:v>
      </x:c>
      <x:c r="K17" s="22" t="n">
        <x:v>2.6</x:v>
      </x:c>
      <x:c r="L17" s="11" t="str">
        <x:v>3sbio-v1-core-plus-707-rnPV</x:v>
      </x:c>
      <x:c r="M17" s="11" t="str">
        <x:v>2027-10-09</x:v>
      </x:c>
      <x:c r="N17" s="42" t="n">
        <x:v>12.8</x:v>
      </x:c>
      <x:c r="O17" t="str">
        <x:v>CNY</x:v>
      </x:c>
      <x:c r="V17" t="str">
        <x:v>2027-10-08</x:v>
      </x:c>
      <x:c r="W17" t="str">
        <x:v>待核</x:v>
      </x:c>
      <x:c r="X17" t="str">
        <x:v>周末已解析；节假日需交易所对应年度日历核验，实际交易日待核</x:v>
      </x:c>
    </x:row>
    <x:row r="18" ht="23" customHeight="1">
      <x:c r="A18" s="11" t="str">
        <x:v>01530.HK</x:v>
      </x:c>
      <x:c r="B18" s="11" t="str">
        <x:v>一年</x:v>
      </x:c>
      <x:c r="C18" s="11" t="str">
        <x:v>乐观</x:v>
      </x:c>
      <x:c r="D18" s="11" t="str">
        <x:v>收入利润率</x:v>
      </x:c>
      <x:c r="E18" s="18" t="n">
        <x:v>1.22</x:v>
      </x:c>
      <x:c r="F18" s="18" t="n">
        <x:v>22</x:v>
      </x:c>
      <x:c r="G18" s="18" t="n">
        <x:v>1.1</x:v>
      </x:c>
      <x:c r="H18" s="18" t="n">
        <x:v>0.35</x:v>
      </x:c>
      <x:c r="I18" s="18" t="n">
        <x:v>11.5</x:v>
      </x:c>
      <x:c r="J18" s="20" t="n">
        <x:v>0.27264347826086954</x:v>
      </x:c>
      <x:c r="K18" s="22" t="n">
        <x:v>2.57</x:v>
      </x:c>
      <x:c r="L18" s="11" t="str">
        <x:v>3sbio-v1-core-plus-707-rnPV</x:v>
      </x:c>
      <x:c r="M18" s="11" t="str">
        <x:v>2027-10-09</x:v>
      </x:c>
      <x:c r="N18" s="42" t="n">
        <x:v>15</x:v>
      </x:c>
      <x:c r="O18" t="str">
        <x:v>CNY</x:v>
      </x:c>
      <x:c r="V18" t="str">
        <x:v>2027-10-08</x:v>
      </x:c>
      <x:c r="W18" t="str">
        <x:v>待核</x:v>
      </x:c>
      <x:c r="X18" t="str">
        <x:v>周末已解析；节假日需交易所对应年度日历核验，实际交易日待核</x:v>
      </x:c>
    </x:row>
    <x:row r="19" ht="23" customHeight="1">
      <x:c r="A19" s="15" t="str">
        <x:v>01530.HK</x:v>
      </x:c>
      <x:c r="B19" s="15" t="str">
        <x:v>三年</x:v>
      </x:c>
      <x:c r="C19" s="15" t="str">
        <x:v>活动输入</x:v>
      </x:c>
      <x:c r="D19" s="15" t="str">
        <x:v>收入利润率</x:v>
      </x:c>
      <x:c r="E19" s="17" t="n">
        <x:f>CHOOSE($B$3,E20,E21,E22)</x:f>
        <x:v>1.12</x:v>
      </x:c>
      <x:c r="F19" s="17" t="n">
        <x:f>CHOOSE($B$3,F20,F21,F22)</x:f>
        <x:v>18</x:v>
      </x:c>
      <x:c r="G19" s="17" t="n">
        <x:f>CHOOSE($B$3,G20,G21,G22)</x:f>
        <x:v>1.1</x:v>
      </x:c>
      <x:c r="H19" s="17" t="n">
        <x:f>CHOOSE($B$3,H20,H21,H22)</x:f>
        <x:v>0.85</x:v>
      </x:c>
      <x:c r="I19" s="17" t="n">
        <x:f>CHOOSE($B$3,I20,I21,I22)</x:f>
        <x:v>11.5</x:v>
      </x:c>
      <x:c r="J19" s="19" t="n">
        <x:f>CHOOSE($B$3,J20,J21,J22)</x:f>
        <x:v>0.25906086956521746</x:v>
      </x:c>
      <x:c r="K19" s="21" t="n">
        <x:f>CHOOSE($B$3,K20,K21,K22)</x:f>
        <x:v>2.66</x:v>
      </x:c>
      <x:c r="L19" s="15" t="str">
        <x:v>3sbio-v1-core-plus-707-rnPV</x:v>
      </x:c>
      <x:c r="M19" s="15" t="str">
        <x:v>2029-10-09</x:v>
      </x:c>
      <x:c r="N19" t="n">
        <x:f>CHOOSE($B$3,N20,N21,N22)</x:f>
        <x:v>13.5</x:v>
      </x:c>
      <x:c r="O19" t="str">
        <x:v>CNY</x:v>
      </x:c>
      <x:c r="V19" t="str">
        <x:v>2029-10-09</x:v>
      </x:c>
      <x:c r="W19" t="str">
        <x:v>待核</x:v>
      </x:c>
      <x:c r="X19" t="str">
        <x:v>周末已解析；节假日需交易所对应年度日历核验，实际交易日待核</x:v>
      </x:c>
    </x:row>
    <x:row r="20" ht="23" customHeight="1">
      <x:c r="A20" s="11" t="str">
        <x:v>01530.HK</x:v>
      </x:c>
      <x:c r="B20" s="11" t="str">
        <x:v>三年</x:v>
      </x:c>
      <x:c r="C20" s="11" t="str">
        <x:v>悲观</x:v>
      </x:c>
      <x:c r="D20" s="11" t="str">
        <x:v>收入利润率</x:v>
      </x:c>
      <x:c r="E20" s="18" t="n">
        <x:v>0.65</x:v>
      </x:c>
      <x:c r="F20" s="18" t="n">
        <x:v>10</x:v>
      </x:c>
      <x:c r="G20" s="18" t="n">
        <x:v>1.1</x:v>
      </x:c>
      <x:c r="H20" s="18" t="n">
        <x:v>0.45</x:v>
      </x:c>
      <x:c r="I20" s="18" t="n">
        <x:v>8.1</x:v>
      </x:c>
      <x:c r="J20" s="20" t="n">
        <x:v>0.22067901234567902</x:v>
      </x:c>
      <x:c r="K20" s="22" t="n">
        <x:v>2.75</x:v>
      </x:c>
      <x:c r="L20" s="11" t="str">
        <x:v>3sbio-v1-core-plus-707-rnPV</x:v>
      </x:c>
      <x:c r="M20" s="11" t="str">
        <x:v>2029-10-09</x:v>
      </x:c>
      <x:c r="N20" s="42" t="n">
        <x:v>6</x:v>
      </x:c>
      <x:c r="O20" t="str">
        <x:v>CNY</x:v>
      </x:c>
      <x:c r="V20" t="str">
        <x:v>2029-10-09</x:v>
      </x:c>
      <x:c r="W20" t="str">
        <x:v>待核</x:v>
      </x:c>
      <x:c r="X20" t="str">
        <x:v>周末已解析；节假日需交易所对应年度日历核验，实际交易日待核</x:v>
      </x:c>
    </x:row>
    <x:row r="21" ht="23" customHeight="1">
      <x:c r="A21" s="11" t="str">
        <x:v>01530.HK</x:v>
      </x:c>
      <x:c r="B21" s="11" t="str">
        <x:v>三年</x:v>
      </x:c>
      <x:c r="C21" s="11" t="str">
        <x:v>基准</x:v>
      </x:c>
      <x:c r="D21" s="11" t="str">
        <x:v>收入利润率</x:v>
      </x:c>
      <x:c r="E21" s="18" t="n">
        <x:v>1.12</x:v>
      </x:c>
      <x:c r="F21" s="18" t="n">
        <x:v>18</x:v>
      </x:c>
      <x:c r="G21" s="18" t="n">
        <x:v>1.1</x:v>
      </x:c>
      <x:c r="H21" s="18" t="n">
        <x:v>0.85</x:v>
      </x:c>
      <x:c r="I21" s="18" t="n">
        <x:v>11.5</x:v>
      </x:c>
      <x:c r="J21" s="20" t="n">
        <x:v>0.25906086956521746</x:v>
      </x:c>
      <x:c r="K21" s="22" t="n">
        <x:v>2.66</x:v>
      </x:c>
      <x:c r="L21" s="11" t="str">
        <x:v>3sbio-v1-core-plus-707-rnPV</x:v>
      </x:c>
      <x:c r="M21" s="11" t="str">
        <x:v>2029-10-09</x:v>
      </x:c>
      <x:c r="N21" s="42" t="n">
        <x:v>13.5</x:v>
      </x:c>
      <x:c r="O21" t="str">
        <x:v>CNY</x:v>
      </x:c>
      <x:c r="V21" t="str">
        <x:v>2029-10-09</x:v>
      </x:c>
      <x:c r="W21" t="str">
        <x:v>待核</x:v>
      </x:c>
      <x:c r="X21" t="str">
        <x:v>周末已解析；节假日需交易所对应年度日历核验，实际交易日待核</x:v>
      </x:c>
    </x:row>
    <x:row r="22" ht="23" customHeight="1">
      <x:c r="A22" s="11" t="str">
        <x:v>01530.HK</x:v>
      </x:c>
      <x:c r="B22" s="11" t="str">
        <x:v>三年</x:v>
      </x:c>
      <x:c r="C22" s="11" t="str">
        <x:v>乐观</x:v>
      </x:c>
      <x:c r="D22" s="11" t="str">
        <x:v>收入利润率</x:v>
      </x:c>
      <x:c r="E22" s="18" t="n">
        <x:v>1.65</x:v>
      </x:c>
      <x:c r="F22" s="18" t="n">
        <x:v>24</x:v>
      </x:c>
      <x:c r="G22" s="18" t="n">
        <x:v>1.1</x:v>
      </x:c>
      <x:c r="H22" s="18" t="n">
        <x:v>1.3</x:v>
      </x:c>
      <x:c r="I22" s="18" t="n">
        <x:v>15</x:v>
      </x:c>
      <x:c r="J22" s="20" t="n">
        <x:v>0.28819999999999996</x:v>
      </x:c>
      <x:c r="K22" s="22" t="n">
        <x:v>2.62</x:v>
      </x:c>
      <x:c r="L22" s="11" t="str">
        <x:v>3sbio-v1-core-plus-707-rnPV</x:v>
      </x:c>
      <x:c r="M22" s="11" t="str">
        <x:v>2029-10-09</x:v>
      </x:c>
      <x:c r="N22" s="42" t="n">
        <x:v>17</x:v>
      </x:c>
      <x:c r="O22" t="str">
        <x:v>CNY</x:v>
      </x:c>
      <x:c r="V22" t="str">
        <x:v>2029-10-09</x:v>
      </x:c>
      <x:c r="W22" t="str">
        <x:v>待核</x:v>
      </x:c>
      <x:c r="X22" t="str">
        <x:v>周末已解析；节假日需交易所对应年度日历核验，实际交易日待核</x:v>
      </x:c>
    </x:row>
    <x:row r="23" ht="23" customHeight="1">
      <x:c r="A23" s="15" t="str">
        <x:v>01530.HK</x:v>
      </x:c>
      <x:c r="B23" s="15" t="str">
        <x:v>五年</x:v>
      </x:c>
      <x:c r="C23" s="15" t="str">
        <x:v>活动输入</x:v>
      </x:c>
      <x:c r="D23" s="15" t="str">
        <x:v>收入利润率</x:v>
      </x:c>
      <x:c r="E23" s="17" t="n">
        <x:f>CHOOSE($B$3,E24,E25,E26)</x:f>
        <x:v>1.5</x:v>
      </x:c>
      <x:c r="F23" s="17" t="n">
        <x:f>CHOOSE($B$3,F24,F25,F26)</x:f>
        <x:v>17</x:v>
      </x:c>
      <x:c r="G23" s="17" t="n">
        <x:f>CHOOSE($B$3,G24,G25,G26)</x:f>
        <x:v>1.1</x:v>
      </x:c>
      <x:c r="H23" s="17" t="n">
        <x:f>CHOOSE($B$3,H24,H25,H26)</x:f>
        <x:v>1.65</x:v>
      </x:c>
      <x:c r="I23" s="17" t="n">
        <x:f>CHOOSE($B$3,I24,I25,I26)</x:f>
        <x:v>15</x:v>
      </x:c>
      <x:c r="J23" s="19" t="n">
        <x:f>CHOOSE($B$3,J24,J25,J26)</x:f>
        <x:v>0.27799999999999997</x:v>
      </x:c>
      <x:c r="K23" s="21" t="n">
        <x:f>CHOOSE($B$3,K24,K25,K26)</x:f>
        <x:v>2.78</x:v>
      </x:c>
      <x:c r="L23" s="15" t="str">
        <x:v>3sbio-v1-core-plus-707-rnPV</x:v>
      </x:c>
      <x:c r="M23" s="15" t="str">
        <x:v>2031-10-09</x:v>
      </x:c>
      <x:c r="N23" t="n">
        <x:f>CHOOSE($B$3,N24,N25,N26)</x:f>
        <x:v>15</x:v>
      </x:c>
      <x:c r="O23" t="str">
        <x:v>CNY</x:v>
      </x:c>
      <x:c r="V23" t="str">
        <x:v>2031-10-09</x:v>
      </x:c>
      <x:c r="W23" t="str">
        <x:v>待核</x:v>
      </x:c>
      <x:c r="X23" t="str">
        <x:v>周末已解析；节假日需交易所对应年度日历核验，实际交易日待核</x:v>
      </x:c>
    </x:row>
    <x:row r="24" ht="23" customHeight="1">
      <x:c r="A24" s="11" t="str">
        <x:v>01530.HK</x:v>
      </x:c>
      <x:c r="B24" s="11" t="str">
        <x:v>五年</x:v>
      </x:c>
      <x:c r="C24" s="11" t="str">
        <x:v>悲观</x:v>
      </x:c>
      <x:c r="D24" s="11" t="str">
        <x:v>收入利润率</x:v>
      </x:c>
      <x:c r="E24" s="18" t="n">
        <x:v>0.75</x:v>
      </x:c>
      <x:c r="F24" s="18" t="n">
        <x:v>9</x:v>
      </x:c>
      <x:c r="G24" s="18" t="n">
        <x:v>1.1</x:v>
      </x:c>
      <x:c r="H24" s="18" t="n">
        <x:v>0.85</x:v>
      </x:c>
      <x:c r="I24" s="18" t="n">
        <x:v>9</x:v>
      </x:c>
      <x:c r="J24" s="20" t="n">
        <x:v>0.24166666666666664</x:v>
      </x:c>
      <x:c r="K24" s="22" t="n">
        <x:v>2.9</x:v>
      </x:c>
      <x:c r="L24" s="11" t="str">
        <x:v>3sbio-v1-core-plus-707-rnPV</x:v>
      </x:c>
      <x:c r="M24" s="11" t="str">
        <x:v>2031-10-09</x:v>
      </x:c>
      <x:c r="N24" s="42" t="n">
        <x:v>4.5</x:v>
      </x:c>
      <x:c r="O24" t="str">
        <x:v>CNY</x:v>
      </x:c>
      <x:c r="V24" t="str">
        <x:v>2031-10-09</x:v>
      </x:c>
      <x:c r="W24" t="str">
        <x:v>待核</x:v>
      </x:c>
      <x:c r="X24" t="str">
        <x:v>周末已解析；节假日需交易所对应年度日历核验，实际交易日待核</x:v>
      </x:c>
    </x:row>
    <x:row r="25" ht="23" customHeight="1">
      <x:c r="A25" s="11" t="str">
        <x:v>01530.HK</x:v>
      </x:c>
      <x:c r="B25" s="11" t="str">
        <x:v>五年</x:v>
      </x:c>
      <x:c r="C25" s="11" t="str">
        <x:v>基准</x:v>
      </x:c>
      <x:c r="D25" s="11" t="str">
        <x:v>收入利润率</x:v>
      </x:c>
      <x:c r="E25" s="18" t="n">
        <x:v>1.5</x:v>
      </x:c>
      <x:c r="F25" s="18" t="n">
        <x:v>17</x:v>
      </x:c>
      <x:c r="G25" s="18" t="n">
        <x:v>1.1</x:v>
      </x:c>
      <x:c r="H25" s="18" t="n">
        <x:v>1.65</x:v>
      </x:c>
      <x:c r="I25" s="18" t="n">
        <x:v>15</x:v>
      </x:c>
      <x:c r="J25" s="20" t="n">
        <x:v>0.27799999999999997</x:v>
      </x:c>
      <x:c r="K25" s="22" t="n">
        <x:v>2.78</x:v>
      </x:c>
      <x:c r="L25" s="11" t="str">
        <x:v>3sbio-v1-core-plus-707-rnPV</x:v>
      </x:c>
      <x:c r="M25" s="11" t="str">
        <x:v>2031-10-09</x:v>
      </x:c>
      <x:c r="N25" s="42" t="n">
        <x:v>15</x:v>
      </x:c>
      <x:c r="O25" t="str">
        <x:v>CNY</x:v>
      </x:c>
      <x:c r="V25" t="str">
        <x:v>2031-10-09</x:v>
      </x:c>
      <x:c r="W25" t="str">
        <x:v>待核</x:v>
      </x:c>
      <x:c r="X25" t="str">
        <x:v>周末已解析；节假日需交易所对应年度日历核验，实际交易日待核</x:v>
      </x:c>
    </x:row>
    <x:row r="26" ht="23" customHeight="1">
      <x:c r="A26" s="11" t="str">
        <x:v>01530.HK</x:v>
      </x:c>
      <x:c r="B26" s="11" t="str">
        <x:v>五年</x:v>
      </x:c>
      <x:c r="C26" s="11" t="str">
        <x:v>乐观</x:v>
      </x:c>
      <x:c r="D26" s="11" t="str">
        <x:v>收入利润率</x:v>
      </x:c>
      <x:c r="E26" s="18" t="n">
        <x:v>2.35</x:v>
      </x:c>
      <x:c r="F26" s="18" t="n">
        <x:v>23</x:v>
      </x:c>
      <x:c r="G26" s="18" t="n">
        <x:v>1.1</x:v>
      </x:c>
      <x:c r="H26" s="18" t="n">
        <x:v>2.7</x:v>
      </x:c>
      <x:c r="I26" s="18" t="n">
        <x:v>22</x:v>
      </x:c>
      <x:c r="J26" s="20" t="n">
        <x:v>0.29054545454545455</x:v>
      </x:c>
      <x:c r="K26" s="22" t="n">
        <x:v>2.72</x:v>
      </x:c>
      <x:c r="L26" s="11" t="str">
        <x:v>3sbio-v1-core-plus-707-rnPV</x:v>
      </x:c>
      <x:c r="M26" s="11" t="str">
        <x:v>2031-10-09</x:v>
      </x:c>
      <x:c r="N26" s="42" t="n">
        <x:v>22</x:v>
      </x:c>
      <x:c r="O26" t="str">
        <x:v>CNY</x:v>
      </x:c>
      <x:c r="V26" t="str">
        <x:v>2031-10-09</x:v>
      </x:c>
      <x:c r="W26" t="str">
        <x:v>待核</x:v>
      </x:c>
      <x:c r="X26" t="str">
        <x:v>周末已解析；节假日需交易所对应年度日历核验，实际交易日待核</x:v>
      </x:c>
    </x:row>
    <x:row r="27" ht="23" customHeight="1">
      <x:c r="A27" s="15" t="str">
        <x:v>09926.HK</x:v>
      </x:c>
      <x:c r="B27" s="15" t="str">
        <x:v>2026年底</x:v>
      </x:c>
      <x:c r="C27" s="15" t="str">
        <x:v>活动输入</x:v>
      </x:c>
      <x:c r="D27" s="15" t="str">
        <x:v>EPS</x:v>
      </x:c>
      <x:c r="E27" s="17" t="str">
        <x:f>CHOOSE($B$3,E28,E29,E30)</x:f>
      </x:c>
      <x:c r="F27" s="17" t="n">
        <x:f>CHOOSE($B$3,F28,F29,F30)</x:f>
        <x:v>30</x:v>
      </x:c>
      <x:c r="G27" s="17" t="n">
        <x:f>CHOOSE($B$3,G28,G29,G30)</x:f>
        <x:v>1.1</x:v>
      </x:c>
      <x:c r="H27" s="17" t="n">
        <x:f>CHOOSE($B$3,H28,H29,H30)</x:f>
        <x:v>0</x:v>
      </x:c>
      <x:c r="I27" s="17" t="str">
        <x:f>CHOOSE($B$3,I28,I29,I30)</x:f>
      </x:c>
      <x:c r="J27" s="19" t="str">
        <x:f>CHOOSE($B$3,J28,J29,J30)</x:f>
      </x:c>
      <x:c r="K27" s="21" t="n">
        <x:f>CHOOSE($B$3,K28,K29,K30)</x:f>
        <x:v>0.95</x:v>
      </x:c>
      <x:c r="L27" s="15" t="str">
        <x:v>akeso-v2-year-end-cashflows</x:v>
      </x:c>
      <x:c r="M27" s="15" t="str">
        <x:v>2026-12-31</x:v>
      </x:c>
      <x:c r="O27" t="str">
        <x:v>CNY</x:v>
      </x:c>
      <x:c r="V27" t="str">
        <x:v>2026-12-31</x:v>
      </x:c>
      <x:c r="W27" t="str">
        <x:v>待核</x:v>
      </x:c>
      <x:c r="X27" t="str">
        <x:v>周末已解析；节假日需交易所对应年度日历核验，实际交易日待核</x:v>
      </x:c>
    </x:row>
    <x:row r="28" ht="23" customHeight="1">
      <x:c r="A28" s="11" t="str">
        <x:v>09926.HK</x:v>
      </x:c>
      <x:c r="B28" s="11" t="str">
        <x:v>2026年底</x:v>
      </x:c>
      <x:c r="C28" s="11" t="str">
        <x:v>悲观</x:v>
      </x:c>
      <x:c r="D28" s="11" t="str">
        <x:v>EPS</x:v>
      </x:c>
      <x:c r="E28" s="18"/>
      <x:c r="F28" s="18" t="n">
        <x:v>20</x:v>
      </x:c>
      <x:c r="G28" s="18" t="n">
        <x:v>1.1</x:v>
      </x:c>
      <x:c r="H28" s="18" t="n">
        <x:v>0</x:v>
      </x:c>
      <x:c r="I28" s="18"/>
      <x:c r="J28" s="20"/>
      <x:c r="K28" s="22" t="n">
        <x:v>0.97</x:v>
      </x:c>
      <x:c r="L28" s="11" t="str">
        <x:v>akeso-v2-year-end-cashflows</x:v>
      </x:c>
      <x:c r="M28" s="11" t="str">
        <x:v>2026-12-31</x:v>
      </x:c>
      <x:c r="O28" t="str">
        <x:v>CNY</x:v>
      </x:c>
      <x:c r="V28" t="str">
        <x:v>2026-12-31</x:v>
      </x:c>
      <x:c r="W28" t="str">
        <x:v>待核</x:v>
      </x:c>
      <x:c r="X28" t="str">
        <x:v>周末已解析；节假日需交易所对应年度日历核验，实际交易日待核</x:v>
      </x:c>
    </x:row>
    <x:row r="29" ht="23" customHeight="1">
      <x:c r="A29" s="11" t="str">
        <x:v>09926.HK</x:v>
      </x:c>
      <x:c r="B29" s="11" t="str">
        <x:v>2026年底</x:v>
      </x:c>
      <x:c r="C29" s="11" t="str">
        <x:v>基准</x:v>
      </x:c>
      <x:c r="D29" s="11" t="str">
        <x:v>EPS</x:v>
      </x:c>
      <x:c r="E29" s="18"/>
      <x:c r="F29" s="18" t="n">
        <x:v>30</x:v>
      </x:c>
      <x:c r="G29" s="18" t="n">
        <x:v>1.1</x:v>
      </x:c>
      <x:c r="H29" s="18" t="n">
        <x:v>0</x:v>
      </x:c>
      <x:c r="I29" s="18"/>
      <x:c r="J29" s="20"/>
      <x:c r="K29" s="22" t="n">
        <x:v>0.95</x:v>
      </x:c>
      <x:c r="L29" s="11" t="str">
        <x:v>akeso-v2-year-end-cashflows</x:v>
      </x:c>
      <x:c r="M29" s="11" t="str">
        <x:v>2026-12-31</x:v>
      </x:c>
      <x:c r="O29" t="str">
        <x:v>CNY</x:v>
      </x:c>
      <x:c r="V29" t="str">
        <x:v>2026-12-31</x:v>
      </x:c>
      <x:c r="W29" t="str">
        <x:v>待核</x:v>
      </x:c>
      <x:c r="X29" t="str">
        <x:v>周末已解析；节假日需交易所对应年度日历核验，实际交易日待核</x:v>
      </x:c>
    </x:row>
    <x:row r="30" ht="23" customHeight="1">
      <x:c r="A30" s="11" t="str">
        <x:v>09926.HK</x:v>
      </x:c>
      <x:c r="B30" s="11" t="str">
        <x:v>2026年底</x:v>
      </x:c>
      <x:c r="C30" s="11" t="str">
        <x:v>乐观</x:v>
      </x:c>
      <x:c r="D30" s="11" t="str">
        <x:v>EPS</x:v>
      </x:c>
      <x:c r="E30" s="18"/>
      <x:c r="F30" s="18" t="n">
        <x:v>36</x:v>
      </x:c>
      <x:c r="G30" s="18" t="n">
        <x:v>1.1</x:v>
      </x:c>
      <x:c r="H30" s="18" t="n">
        <x:v>0</x:v>
      </x:c>
      <x:c r="I30" s="18"/>
      <x:c r="J30" s="20"/>
      <x:c r="K30" s="22" t="n">
        <x:v>0.95</x:v>
      </x:c>
      <x:c r="L30" s="11" t="str">
        <x:v>akeso-v2-year-end-cashflows</x:v>
      </x:c>
      <x:c r="M30" s="11" t="str">
        <x:v>2026-12-31</x:v>
      </x:c>
      <x:c r="O30" t="str">
        <x:v>CNY</x:v>
      </x:c>
      <x:c r="V30" t="str">
        <x:v>2026-12-31</x:v>
      </x:c>
      <x:c r="W30" t="str">
        <x:v>待核</x:v>
      </x:c>
      <x:c r="X30" t="str">
        <x:v>周末已解析；节假日需交易所对应年度日历核验，实际交易日待核</x:v>
      </x:c>
    </x:row>
    <x:row r="31" ht="23" customHeight="1">
      <x:c r="A31" s="15" t="str">
        <x:v>09926.HK</x:v>
      </x:c>
      <x:c r="B31" s="15" t="str">
        <x:v>半年</x:v>
      </x:c>
      <x:c r="C31" s="15" t="str">
        <x:v>活动输入</x:v>
      </x:c>
      <x:c r="D31" s="15" t="str">
        <x:v>EPS</x:v>
      </x:c>
      <x:c r="E31" s="17" t="str">
        <x:f>CHOOSE($B$3,E32,E33,E34)</x:f>
      </x:c>
      <x:c r="F31" s="17" t="n">
        <x:f>CHOOSE($B$3,F32,F33,F34)</x:f>
        <x:v>32</x:v>
      </x:c>
      <x:c r="G31" s="17" t="n">
        <x:f>CHOOSE($B$3,G32,G33,G34)</x:f>
        <x:v>1.1</x:v>
      </x:c>
      <x:c r="H31" s="17" t="n">
        <x:f>CHOOSE($B$3,H32,H33,H34)</x:f>
        <x:v>0</x:v>
      </x:c>
      <x:c r="I31" s="17" t="str">
        <x:f>CHOOSE($B$3,I32,I33,I34)</x:f>
      </x:c>
      <x:c r="J31" s="19" t="str">
        <x:f>CHOOSE($B$3,J32,J33,J34)</x:f>
      </x:c>
      <x:c r="K31" s="21" t="n">
        <x:f>CHOOSE($B$3,K32,K33,K34)</x:f>
        <x:v>0.955</x:v>
      </x:c>
      <x:c r="L31" s="15" t="str">
        <x:v>akeso-v2-year-end-cashflows</x:v>
      </x:c>
      <x:c r="M31" s="15" t="str">
        <x:v>2027-04-09</x:v>
      </x:c>
      <x:c r="O31" t="str">
        <x:v>CNY</x:v>
      </x:c>
      <x:c r="V31" t="str">
        <x:v>2027-04-09</x:v>
      </x:c>
      <x:c r="W31" t="str">
        <x:v>待核</x:v>
      </x:c>
      <x:c r="X31" t="str">
        <x:v>周末已解析；节假日需交易所对应年度日历核验，实际交易日待核</x:v>
      </x:c>
    </x:row>
    <x:row r="32" ht="23" customHeight="1">
      <x:c r="A32" s="11" t="str">
        <x:v>09926.HK</x:v>
      </x:c>
      <x:c r="B32" s="11" t="str">
        <x:v>半年</x:v>
      </x:c>
      <x:c r="C32" s="11" t="str">
        <x:v>悲观</x:v>
      </x:c>
      <x:c r="D32" s="11" t="str">
        <x:v>EPS</x:v>
      </x:c>
      <x:c r="E32" s="18"/>
      <x:c r="F32" s="18" t="n">
        <x:v>20</x:v>
      </x:c>
      <x:c r="G32" s="18" t="n">
        <x:v>1.1</x:v>
      </x:c>
      <x:c r="H32" s="18" t="n">
        <x:v>0</x:v>
      </x:c>
      <x:c r="I32" s="18"/>
      <x:c r="J32" s="20"/>
      <x:c r="K32" s="22" t="n">
        <x:v>0.975</x:v>
      </x:c>
      <x:c r="L32" s="11" t="str">
        <x:v>akeso-v2-year-end-cashflows</x:v>
      </x:c>
      <x:c r="M32" s="11" t="str">
        <x:v>2027-04-09</x:v>
      </x:c>
      <x:c r="O32" t="str">
        <x:v>CNY</x:v>
      </x:c>
      <x:c r="V32" t="str">
        <x:v>2027-04-09</x:v>
      </x:c>
      <x:c r="W32" t="str">
        <x:v>待核</x:v>
      </x:c>
      <x:c r="X32" t="str">
        <x:v>周末已解析；节假日需交易所对应年度日历核验，实际交易日待核</x:v>
      </x:c>
    </x:row>
    <x:row r="33" ht="23" customHeight="1">
      <x:c r="A33" s="11" t="str">
        <x:v>09926.HK</x:v>
      </x:c>
      <x:c r="B33" s="11" t="str">
        <x:v>半年</x:v>
      </x:c>
      <x:c r="C33" s="11" t="str">
        <x:v>基准</x:v>
      </x:c>
      <x:c r="D33" s="11" t="str">
        <x:v>EPS</x:v>
      </x:c>
      <x:c r="E33" s="18"/>
      <x:c r="F33" s="18" t="n">
        <x:v>32</x:v>
      </x:c>
      <x:c r="G33" s="18" t="n">
        <x:v>1.1</x:v>
      </x:c>
      <x:c r="H33" s="18" t="n">
        <x:v>0</x:v>
      </x:c>
      <x:c r="I33" s="18"/>
      <x:c r="J33" s="20"/>
      <x:c r="K33" s="22" t="n">
        <x:v>0.955</x:v>
      </x:c>
      <x:c r="L33" s="11" t="str">
        <x:v>akeso-v2-year-end-cashflows</x:v>
      </x:c>
      <x:c r="M33" s="11" t="str">
        <x:v>2027-04-09</x:v>
      </x:c>
      <x:c r="O33" t="str">
        <x:v>CNY</x:v>
      </x:c>
      <x:c r="V33" t="str">
        <x:v>2027-04-09</x:v>
      </x:c>
      <x:c r="W33" t="str">
        <x:v>待核</x:v>
      </x:c>
      <x:c r="X33" t="str">
        <x:v>周末已解析；节假日需交易所对应年度日历核验，实际交易日待核</x:v>
      </x:c>
    </x:row>
    <x:row r="34" ht="23" customHeight="1">
      <x:c r="A34" s="11" t="str">
        <x:v>09926.HK</x:v>
      </x:c>
      <x:c r="B34" s="11" t="str">
        <x:v>半年</x:v>
      </x:c>
      <x:c r="C34" s="11" t="str">
        <x:v>乐观</x:v>
      </x:c>
      <x:c r="D34" s="11" t="str">
        <x:v>EPS</x:v>
      </x:c>
      <x:c r="E34" s="18"/>
      <x:c r="F34" s="18" t="n">
        <x:v>38</x:v>
      </x:c>
      <x:c r="G34" s="18" t="n">
        <x:v>1.1</x:v>
      </x:c>
      <x:c r="H34" s="18" t="n">
        <x:v>0</x:v>
      </x:c>
      <x:c r="I34" s="18"/>
      <x:c r="J34" s="20"/>
      <x:c r="K34" s="22" t="n">
        <x:v>0.955</x:v>
      </x:c>
      <x:c r="L34" s="11" t="str">
        <x:v>akeso-v2-year-end-cashflows</x:v>
      </x:c>
      <x:c r="M34" s="11" t="str">
        <x:v>2027-04-09</x:v>
      </x:c>
      <x:c r="O34" t="str">
        <x:v>CNY</x:v>
      </x:c>
      <x:c r="V34" t="str">
        <x:v>2027-04-09</x:v>
      </x:c>
      <x:c r="W34" t="str">
        <x:v>待核</x:v>
      </x:c>
      <x:c r="X34" t="str">
        <x:v>周末已解析；节假日需交易所对应年度日历核验，实际交易日待核</x:v>
      </x:c>
    </x:row>
    <x:row r="35" ht="23" customHeight="1">
      <x:c r="A35" s="15" t="str">
        <x:v>09926.HK</x:v>
      </x:c>
      <x:c r="B35" s="15" t="str">
        <x:v>一年</x:v>
      </x:c>
      <x:c r="C35" s="15" t="str">
        <x:v>活动输入</x:v>
      </x:c>
      <x:c r="D35" s="15" t="str">
        <x:v>EPS</x:v>
      </x:c>
      <x:c r="E35" s="17" t="str">
        <x:f>CHOOSE($B$3,E36,E37,E38)</x:f>
      </x:c>
      <x:c r="F35" s="17" t="n">
        <x:f>CHOOSE($B$3,F36,F37,F38)</x:f>
        <x:v>29</x:v>
      </x:c>
      <x:c r="G35" s="17" t="n">
        <x:f>CHOOSE($B$3,G36,G37,G38)</x:f>
        <x:v>1.1</x:v>
      </x:c>
      <x:c r="H35" s="17" t="n">
        <x:f>CHOOSE($B$3,H36,H37,H38)</x:f>
        <x:v>0</x:v>
      </x:c>
      <x:c r="I35" s="17" t="str">
        <x:f>CHOOSE($B$3,I36,I37,I38)</x:f>
      </x:c>
      <x:c r="J35" s="19" t="str">
        <x:f>CHOOSE($B$3,J36,J37,J38)</x:f>
      </x:c>
      <x:c r="K35" s="21" t="n">
        <x:f>CHOOSE($B$3,K36,K37,K38)</x:f>
        <x:v>0.97</x:v>
      </x:c>
      <x:c r="L35" s="15" t="str">
        <x:v>akeso-v2-year-end-cashflows</x:v>
      </x:c>
      <x:c r="M35" s="15" t="str">
        <x:v>2027-10-09</x:v>
      </x:c>
      <x:c r="O35" t="str">
        <x:v>CNY</x:v>
      </x:c>
      <x:c r="V35" t="str">
        <x:v>2027-10-08</x:v>
      </x:c>
      <x:c r="W35" t="str">
        <x:v>待核</x:v>
      </x:c>
      <x:c r="X35" t="str">
        <x:v>周末已解析；节假日需交易所对应年度日历核验，实际交易日待核</x:v>
      </x:c>
    </x:row>
    <x:row r="36" ht="23" customHeight="1">
      <x:c r="A36" s="11" t="str">
        <x:v>09926.HK</x:v>
      </x:c>
      <x:c r="B36" s="11" t="str">
        <x:v>一年</x:v>
      </x:c>
      <x:c r="C36" s="11" t="str">
        <x:v>悲观</x:v>
      </x:c>
      <x:c r="D36" s="11" t="str">
        <x:v>EPS</x:v>
      </x:c>
      <x:c r="E36" s="18"/>
      <x:c r="F36" s="18" t="n">
        <x:v>19</x:v>
      </x:c>
      <x:c r="G36" s="18" t="n">
        <x:v>1.1</x:v>
      </x:c>
      <x:c r="H36" s="18" t="n">
        <x:v>0</x:v>
      </x:c>
      <x:c r="I36" s="18"/>
      <x:c r="J36" s="20"/>
      <x:c r="K36" s="22" t="n">
        <x:v>0.985</x:v>
      </x:c>
      <x:c r="L36" s="11" t="str">
        <x:v>akeso-v2-year-end-cashflows</x:v>
      </x:c>
      <x:c r="M36" s="11" t="str">
        <x:v>2027-10-09</x:v>
      </x:c>
      <x:c r="O36" t="str">
        <x:v>CNY</x:v>
      </x:c>
      <x:c r="V36" t="str">
        <x:v>2027-10-08</x:v>
      </x:c>
      <x:c r="W36" t="str">
        <x:v>待核</x:v>
      </x:c>
      <x:c r="X36" t="str">
        <x:v>周末已解析；节假日需交易所对应年度日历核验，实际交易日待核</x:v>
      </x:c>
    </x:row>
    <x:row r="37" ht="23" customHeight="1">
      <x:c r="A37" s="11" t="str">
        <x:v>09926.HK</x:v>
      </x:c>
      <x:c r="B37" s="11" t="str">
        <x:v>一年</x:v>
      </x:c>
      <x:c r="C37" s="11" t="str">
        <x:v>基准</x:v>
      </x:c>
      <x:c r="D37" s="11" t="str">
        <x:v>EPS</x:v>
      </x:c>
      <x:c r="E37" s="18"/>
      <x:c r="F37" s="18" t="n">
        <x:v>29</x:v>
      </x:c>
      <x:c r="G37" s="18" t="n">
        <x:v>1.1</x:v>
      </x:c>
      <x:c r="H37" s="18" t="n">
        <x:v>0</x:v>
      </x:c>
      <x:c r="I37" s="18"/>
      <x:c r="J37" s="20"/>
      <x:c r="K37" s="22" t="n">
        <x:v>0.97</x:v>
      </x:c>
      <x:c r="L37" s="11" t="str">
        <x:v>akeso-v2-year-end-cashflows</x:v>
      </x:c>
      <x:c r="M37" s="11" t="str">
        <x:v>2027-10-09</x:v>
      </x:c>
      <x:c r="O37" t="str">
        <x:v>CNY</x:v>
      </x:c>
      <x:c r="V37" t="str">
        <x:v>2027-10-08</x:v>
      </x:c>
      <x:c r="W37" t="str">
        <x:v>待核</x:v>
      </x:c>
      <x:c r="X37" t="str">
        <x:v>周末已解析；节假日需交易所对应年度日历核验，实际交易日待核</x:v>
      </x:c>
    </x:row>
    <x:row r="38" ht="23" customHeight="1">
      <x:c r="A38" s="11" t="str">
        <x:v>09926.HK</x:v>
      </x:c>
      <x:c r="B38" s="11" t="str">
        <x:v>一年</x:v>
      </x:c>
      <x:c r="C38" s="11" t="str">
        <x:v>乐观</x:v>
      </x:c>
      <x:c r="D38" s="11" t="str">
        <x:v>EPS</x:v>
      </x:c>
      <x:c r="E38" s="18"/>
      <x:c r="F38" s="18" t="n">
        <x:v>35</x:v>
      </x:c>
      <x:c r="G38" s="18" t="n">
        <x:v>1.1</x:v>
      </x:c>
      <x:c r="H38" s="18" t="n">
        <x:v>0</x:v>
      </x:c>
      <x:c r="I38" s="18"/>
      <x:c r="J38" s="20"/>
      <x:c r="K38" s="22" t="n">
        <x:v>0.97</x:v>
      </x:c>
      <x:c r="L38" s="11" t="str">
        <x:v>akeso-v2-year-end-cashflows</x:v>
      </x:c>
      <x:c r="M38" s="11" t="str">
        <x:v>2027-10-09</x:v>
      </x:c>
      <x:c r="O38" t="str">
        <x:v>CNY</x:v>
      </x:c>
      <x:c r="V38" t="str">
        <x:v>2027-10-08</x:v>
      </x:c>
      <x:c r="W38" t="str">
        <x:v>待核</x:v>
      </x:c>
      <x:c r="X38" t="str">
        <x:v>周末已解析；节假日需交易所对应年度日历核验，实际交易日待核</x:v>
      </x:c>
    </x:row>
    <x:row r="39" ht="23" customHeight="1">
      <x:c r="A39" s="15" t="str">
        <x:v>09926.HK</x:v>
      </x:c>
      <x:c r="B39" s="15" t="str">
        <x:v>三年</x:v>
      </x:c>
      <x:c r="C39" s="15" t="str">
        <x:v>活动输入</x:v>
      </x:c>
      <x:c r="D39" s="15" t="str">
        <x:v>EPS</x:v>
      </x:c>
      <x:c r="E39" s="17" t="str">
        <x:f>CHOOSE($B$3,E40,E41,E42)</x:f>
      </x:c>
      <x:c r="F39" s="17" t="n">
        <x:f>CHOOSE($B$3,F40,F41,F42)</x:f>
        <x:v>25</x:v>
      </x:c>
      <x:c r="G39" s="17" t="n">
        <x:f>CHOOSE($B$3,G40,G41,G42)</x:f>
        <x:v>1.1</x:v>
      </x:c>
      <x:c r="H39" s="17" t="n">
        <x:f>CHOOSE($B$3,H40,H41,H42)</x:f>
        <x:v>0</x:v>
      </x:c>
      <x:c r="I39" s="17" t="str">
        <x:f>CHOOSE($B$3,I40,I41,I42)</x:f>
      </x:c>
      <x:c r="J39" s="19" t="str">
        <x:f>CHOOSE($B$3,J40,J41,J42)</x:f>
      </x:c>
      <x:c r="K39" s="21" t="n">
        <x:f>CHOOSE($B$3,K40,K41,K42)</x:f>
        <x:v>1</x:v>
      </x:c>
      <x:c r="L39" s="15" t="str">
        <x:v>akeso-v2-year-end-cashflows</x:v>
      </x:c>
      <x:c r="M39" s="15" t="str">
        <x:v>2029-10-09</x:v>
      </x:c>
      <x:c r="O39" t="str">
        <x:v>CNY</x:v>
      </x:c>
      <x:c r="V39" t="str">
        <x:v>2029-10-09</x:v>
      </x:c>
      <x:c r="W39" t="str">
        <x:v>待核</x:v>
      </x:c>
      <x:c r="X39" t="str">
        <x:v>周末已解析；节假日需交易所对应年度日历核验，实际交易日待核</x:v>
      </x:c>
    </x:row>
    <x:row r="40" ht="23" customHeight="1">
      <x:c r="A40" s="11" t="str">
        <x:v>09926.HK</x:v>
      </x:c>
      <x:c r="B40" s="11" t="str">
        <x:v>三年</x:v>
      </x:c>
      <x:c r="C40" s="11" t="str">
        <x:v>悲观</x:v>
      </x:c>
      <x:c r="D40" s="11" t="str">
        <x:v>EPS</x:v>
      </x:c>
      <x:c r="E40" s="18"/>
      <x:c r="F40" s="18" t="n">
        <x:v>17</x:v>
      </x:c>
      <x:c r="G40" s="18" t="n">
        <x:v>1.1</x:v>
      </x:c>
      <x:c r="H40" s="18" t="n">
        <x:v>0</x:v>
      </x:c>
      <x:c r="I40" s="18"/>
      <x:c r="J40" s="20"/>
      <x:c r="K40" s="22" t="n">
        <x:v>1.03</x:v>
      </x:c>
      <x:c r="L40" s="11" t="str">
        <x:v>akeso-v2-year-end-cashflows</x:v>
      </x:c>
      <x:c r="M40" s="11" t="str">
        <x:v>2029-10-09</x:v>
      </x:c>
      <x:c r="O40" t="str">
        <x:v>CNY</x:v>
      </x:c>
      <x:c r="V40" t="str">
        <x:v>2029-10-09</x:v>
      </x:c>
      <x:c r="W40" t="str">
        <x:v>待核</x:v>
      </x:c>
      <x:c r="X40" t="str">
        <x:v>周末已解析；节假日需交易所对应年度日历核验，实际交易日待核</x:v>
      </x:c>
    </x:row>
    <x:row r="41" ht="23" customHeight="1">
      <x:c r="A41" s="11" t="str">
        <x:v>09926.HK</x:v>
      </x:c>
      <x:c r="B41" s="11" t="str">
        <x:v>三年</x:v>
      </x:c>
      <x:c r="C41" s="11" t="str">
        <x:v>基准</x:v>
      </x:c>
      <x:c r="D41" s="11" t="str">
        <x:v>EPS</x:v>
      </x:c>
      <x:c r="E41" s="18"/>
      <x:c r="F41" s="18" t="n">
        <x:v>25</x:v>
      </x:c>
      <x:c r="G41" s="18" t="n">
        <x:v>1.1</x:v>
      </x:c>
      <x:c r="H41" s="18" t="n">
        <x:v>0</x:v>
      </x:c>
      <x:c r="I41" s="18"/>
      <x:c r="J41" s="20"/>
      <x:c r="K41" s="22" t="n">
        <x:v>1</x:v>
      </x:c>
      <x:c r="L41" s="11" t="str">
        <x:v>akeso-v2-year-end-cashflows</x:v>
      </x:c>
      <x:c r="M41" s="11" t="str">
        <x:v>2029-10-09</x:v>
      </x:c>
      <x:c r="O41" t="str">
        <x:v>CNY</x:v>
      </x:c>
      <x:c r="V41" t="str">
        <x:v>2029-10-09</x:v>
      </x:c>
      <x:c r="W41" t="str">
        <x:v>待核</x:v>
      </x:c>
      <x:c r="X41" t="str">
        <x:v>周末已解析；节假日需交易所对应年度日历核验，实际交易日待核</x:v>
      </x:c>
    </x:row>
    <x:row r="42" ht="23" customHeight="1">
      <x:c r="A42" s="11" t="str">
        <x:v>09926.HK</x:v>
      </x:c>
      <x:c r="B42" s="11" t="str">
        <x:v>三年</x:v>
      </x:c>
      <x:c r="C42" s="11" t="str">
        <x:v>乐观</x:v>
      </x:c>
      <x:c r="D42" s="11" t="str">
        <x:v>EPS</x:v>
      </x:c>
      <x:c r="E42" s="18"/>
      <x:c r="F42" s="18" t="n">
        <x:v>32</x:v>
      </x:c>
      <x:c r="G42" s="18" t="n">
        <x:v>1.1</x:v>
      </x:c>
      <x:c r="H42" s="18" t="n">
        <x:v>0</x:v>
      </x:c>
      <x:c r="I42" s="18"/>
      <x:c r="J42" s="20"/>
      <x:c r="K42" s="22" t="n">
        <x:v>1</x:v>
      </x:c>
      <x:c r="L42" s="11" t="str">
        <x:v>akeso-v2-year-end-cashflows</x:v>
      </x:c>
      <x:c r="M42" s="11" t="str">
        <x:v>2029-10-09</x:v>
      </x:c>
      <x:c r="O42" t="str">
        <x:v>CNY</x:v>
      </x:c>
      <x:c r="V42" t="str">
        <x:v>2029-10-09</x:v>
      </x:c>
      <x:c r="W42" t="str">
        <x:v>待核</x:v>
      </x:c>
      <x:c r="X42" t="str">
        <x:v>周末已解析；节假日需交易所对应年度日历核验，实际交易日待核</x:v>
      </x:c>
    </x:row>
    <x:row r="43" ht="23" customHeight="1">
      <x:c r="A43" s="15" t="str">
        <x:v>09926.HK</x:v>
      </x:c>
      <x:c r="B43" s="15" t="str">
        <x:v>五年</x:v>
      </x:c>
      <x:c r="C43" s="15" t="str">
        <x:v>活动输入</x:v>
      </x:c>
      <x:c r="D43" s="15" t="str">
        <x:v>EPS</x:v>
      </x:c>
      <x:c r="E43" s="17" t="str">
        <x:f>CHOOSE($B$3,E44,E45,E46)</x:f>
      </x:c>
      <x:c r="F43" s="17" t="n">
        <x:f>CHOOSE($B$3,F44,F45,F46)</x:f>
        <x:v>22</x:v>
      </x:c>
      <x:c r="G43" s="17" t="n">
        <x:f>CHOOSE($B$3,G44,G45,G46)</x:f>
        <x:v>1.1</x:v>
      </x:c>
      <x:c r="H43" s="17" t="n">
        <x:f>CHOOSE($B$3,H44,H45,H46)</x:f>
        <x:v>0</x:v>
      </x:c>
      <x:c r="I43" s="17" t="str">
        <x:f>CHOOSE($B$3,I44,I45,I46)</x:f>
      </x:c>
      <x:c r="J43" s="19" t="str">
        <x:f>CHOOSE($B$3,J44,J45,J46)</x:f>
      </x:c>
      <x:c r="K43" s="21" t="n">
        <x:f>CHOOSE($B$3,K44,K45,K46)</x:f>
        <x:v>1.04</x:v>
      </x:c>
      <x:c r="L43" s="15" t="str">
        <x:v>akeso-v2-year-end-cashflows</x:v>
      </x:c>
      <x:c r="M43" s="15" t="str">
        <x:v>2031-10-09</x:v>
      </x:c>
      <x:c r="O43" t="str">
        <x:v>CNY</x:v>
      </x:c>
      <x:c r="V43" t="str">
        <x:v>2031-10-09</x:v>
      </x:c>
      <x:c r="W43" t="str">
        <x:v>待核</x:v>
      </x:c>
      <x:c r="X43" t="str">
        <x:v>周末已解析；节假日需交易所对应年度日历核验，实际交易日待核</x:v>
      </x:c>
    </x:row>
    <x:row r="44" ht="23" customHeight="1">
      <x:c r="A44" s="11" t="str">
        <x:v>09926.HK</x:v>
      </x:c>
      <x:c r="B44" s="11" t="str">
        <x:v>五年</x:v>
      </x:c>
      <x:c r="C44" s="11" t="str">
        <x:v>悲观</x:v>
      </x:c>
      <x:c r="D44" s="11" t="str">
        <x:v>EPS</x:v>
      </x:c>
      <x:c r="E44" s="18"/>
      <x:c r="F44" s="18" t="n">
        <x:v>15</x:v>
      </x:c>
      <x:c r="G44" s="18" t="n">
        <x:v>1.1</x:v>
      </x:c>
      <x:c r="H44" s="18" t="n">
        <x:v>0</x:v>
      </x:c>
      <x:c r="I44" s="18"/>
      <x:c r="J44" s="20"/>
      <x:c r="K44" s="22" t="n">
        <x:v>1.09</x:v>
      </x:c>
      <x:c r="L44" s="11" t="str">
        <x:v>akeso-v2-year-end-cashflows</x:v>
      </x:c>
      <x:c r="M44" s="11" t="str">
        <x:v>2031-10-09</x:v>
      </x:c>
      <x:c r="O44" t="str">
        <x:v>CNY</x:v>
      </x:c>
      <x:c r="V44" t="str">
        <x:v>2031-10-09</x:v>
      </x:c>
      <x:c r="W44" t="str">
        <x:v>待核</x:v>
      </x:c>
      <x:c r="X44" t="str">
        <x:v>周末已解析；节假日需交易所对应年度日历核验，实际交易日待核</x:v>
      </x:c>
    </x:row>
    <x:row r="45" ht="23" customHeight="1">
      <x:c r="A45" s="11" t="str">
        <x:v>09926.HK</x:v>
      </x:c>
      <x:c r="B45" s="11" t="str">
        <x:v>五年</x:v>
      </x:c>
      <x:c r="C45" s="11" t="str">
        <x:v>基准</x:v>
      </x:c>
      <x:c r="D45" s="11" t="str">
        <x:v>EPS</x:v>
      </x:c>
      <x:c r="E45" s="18"/>
      <x:c r="F45" s="18" t="n">
        <x:v>22</x:v>
      </x:c>
      <x:c r="G45" s="18" t="n">
        <x:v>1.1</x:v>
      </x:c>
      <x:c r="H45" s="18" t="n">
        <x:v>0</x:v>
      </x:c>
      <x:c r="I45" s="18"/>
      <x:c r="J45" s="20"/>
      <x:c r="K45" s="22" t="n">
        <x:v>1.04</x:v>
      </x:c>
      <x:c r="L45" s="11" t="str">
        <x:v>akeso-v2-year-end-cashflows</x:v>
      </x:c>
      <x:c r="M45" s="11" t="str">
        <x:v>2031-10-09</x:v>
      </x:c>
      <x:c r="O45" t="str">
        <x:v>CNY</x:v>
      </x:c>
      <x:c r="V45" t="str">
        <x:v>2031-10-09</x:v>
      </x:c>
      <x:c r="W45" t="str">
        <x:v>待核</x:v>
      </x:c>
      <x:c r="X45" t="str">
        <x:v>周末已解析；节假日需交易所对应年度日历核验，实际交易日待核</x:v>
      </x:c>
    </x:row>
    <x:row r="46" ht="23" customHeight="1">
      <x:c r="A46" s="11" t="str">
        <x:v>09926.HK</x:v>
      </x:c>
      <x:c r="B46" s="11" t="str">
        <x:v>五年</x:v>
      </x:c>
      <x:c r="C46" s="11" t="str">
        <x:v>乐观</x:v>
      </x:c>
      <x:c r="D46" s="11" t="str">
        <x:v>EPS</x:v>
      </x:c>
      <x:c r="E46" s="18"/>
      <x:c r="F46" s="18" t="n">
        <x:v>28</x:v>
      </x:c>
      <x:c r="G46" s="18" t="n">
        <x:v>1.1</x:v>
      </x:c>
      <x:c r="H46" s="18" t="n">
        <x:v>0</x:v>
      </x:c>
      <x:c r="I46" s="18"/>
      <x:c r="J46" s="20"/>
      <x:c r="K46" s="22" t="n">
        <x:v>1.04</x:v>
      </x:c>
      <x:c r="L46" s="11" t="str">
        <x:v>akeso-v2-year-end-cashflows</x:v>
      </x:c>
      <x:c r="M46" s="11" t="str">
        <x:v>2031-10-09</x:v>
      </x:c>
      <x:c r="O46" t="str">
        <x:v>CNY</x:v>
      </x:c>
      <x:c r="V46" t="str">
        <x:v>2031-10-09</x:v>
      </x:c>
      <x:c r="W46" t="str">
        <x:v>待核</x:v>
      </x:c>
      <x:c r="X46" t="str">
        <x:v>周末已解析；节假日需交易所对应年度日历核验，实际交易日待核</x:v>
      </x:c>
    </x:row>
    <x:row r="47" ht="23" customHeight="1">
      <x:c r="A47" s="15" t="str">
        <x:v>09988.HK</x:v>
      </x:c>
      <x:c r="B47" s="15" t="str">
        <x:v>2026年底</x:v>
      </x:c>
      <x:c r="C47" s="15" t="str">
        <x:v>活动输入</x:v>
      </x:c>
      <x:c r="D47" s="15" t="str">
        <x:v>EPS</x:v>
      </x:c>
      <x:c r="E47" s="17" t="n">
        <x:f>CHOOSE($B$3,E48,E49,E50)</x:f>
        <x:v>5.5</x:v>
      </x:c>
      <x:c r="F47" s="17" t="n">
        <x:f>CHOOSE($B$3,F48,F49,F50)</x:f>
        <x:v>22</x:v>
      </x:c>
      <x:c r="G47" s="17" t="n">
        <x:f>CHOOSE($B$3,G48,G49,G50)</x:f>
        <x:v>1.1</x:v>
      </x:c>
      <x:c r="H47" s="17" t="n">
        <x:f>CHOOSE($B$3,H48,H49,H50)</x:f>
        <x:v>0</x:v>
      </x:c>
      <x:c r="I47" s="17" t="str">
        <x:f>CHOOSE($B$3,I48,I49,I50)</x:f>
      </x:c>
      <x:c r="J47" s="19" t="str">
        <x:f>CHOOSE($B$3,J48,J49,J50)</x:f>
      </x:c>
      <x:c r="K47" s="21" t="str">
        <x:f>CHOOSE($B$3,K48,K49,K50)</x:f>
      </x:c>
      <x:c r="L47" s="15" t="str">
        <x:v>alibaba-operating-bridge-pe-v1.0</x:v>
      </x:c>
      <x:c r="M47" s="15" t="str">
        <x:v>2026-12-31</x:v>
      </x:c>
      <x:c r="O47" t="str">
        <x:v>CNY</x:v>
      </x:c>
      <x:c r="V47" t="str">
        <x:v>2026-12-31</x:v>
      </x:c>
      <x:c r="W47" t="str">
        <x:v>待核</x:v>
      </x:c>
      <x:c r="X47" t="str">
        <x:v>周末已解析；节假日需交易所对应年度日历核验，实际交易日待核</x:v>
      </x:c>
    </x:row>
    <x:row r="48" ht="23" customHeight="1">
      <x:c r="A48" s="11" t="str">
        <x:v>09988.HK</x:v>
      </x:c>
      <x:c r="B48" s="11" t="str">
        <x:v>2026年底</x:v>
      </x:c>
      <x:c r="C48" s="11" t="str">
        <x:v>悲观</x:v>
      </x:c>
      <x:c r="D48" s="11" t="str">
        <x:v>EPS</x:v>
      </x:c>
      <x:c r="E48" s="18" t="n">
        <x:v>3.48</x:v>
      </x:c>
      <x:c r="F48" s="18" t="n">
        <x:v>15</x:v>
      </x:c>
      <x:c r="G48" s="18" t="n">
        <x:v>1.1</x:v>
      </x:c>
      <x:c r="H48" s="18" t="n">
        <x:v>0</x:v>
      </x:c>
      <x:c r="I48" s="18"/>
      <x:c r="J48" s="20"/>
      <x:c r="K48" s="22"/>
      <x:c r="L48" s="11" t="str">
        <x:v>alibaba-operating-bridge-pe-v1.0</x:v>
      </x:c>
      <x:c r="M48" s="11" t="str">
        <x:v>2026-12-31</x:v>
      </x:c>
      <x:c r="O48" t="str">
        <x:v>CNY</x:v>
      </x:c>
      <x:c r="V48" t="str">
        <x:v>2026-12-31</x:v>
      </x:c>
      <x:c r="W48" t="str">
        <x:v>待核</x:v>
      </x:c>
      <x:c r="X48" t="str">
        <x:v>周末已解析；节假日需交易所对应年度日历核验，实际交易日待核</x:v>
      </x:c>
    </x:row>
    <x:row r="49" ht="23" customHeight="1">
      <x:c r="A49" s="11" t="str">
        <x:v>09988.HK</x:v>
      </x:c>
      <x:c r="B49" s="11" t="str">
        <x:v>2026年底</x:v>
      </x:c>
      <x:c r="C49" s="11" t="str">
        <x:v>基准</x:v>
      </x:c>
      <x:c r="D49" s="11" t="str">
        <x:v>EPS</x:v>
      </x:c>
      <x:c r="E49" s="18" t="n">
        <x:v>5.5</x:v>
      </x:c>
      <x:c r="F49" s="18" t="n">
        <x:v>22</x:v>
      </x:c>
      <x:c r="G49" s="18" t="n">
        <x:v>1.1</x:v>
      </x:c>
      <x:c r="H49" s="18" t="n">
        <x:v>0</x:v>
      </x:c>
      <x:c r="I49" s="18"/>
      <x:c r="J49" s="20"/>
      <x:c r="K49" s="22"/>
      <x:c r="L49" s="11" t="str">
        <x:v>alibaba-operating-bridge-pe-v1.0</x:v>
      </x:c>
      <x:c r="M49" s="11" t="str">
        <x:v>2026-12-31</x:v>
      </x:c>
      <x:c r="O49" t="str">
        <x:v>CNY</x:v>
      </x:c>
      <x:c r="V49" t="str">
        <x:v>2026-12-31</x:v>
      </x:c>
      <x:c r="W49" t="str">
        <x:v>待核</x:v>
      </x:c>
      <x:c r="X49" t="str">
        <x:v>周末已解析；节假日需交易所对应年度日历核验，实际交易日待核</x:v>
      </x:c>
    </x:row>
    <x:row r="50" ht="23" customHeight="1">
      <x:c r="A50" s="11" t="str">
        <x:v>09988.HK</x:v>
      </x:c>
      <x:c r="B50" s="11" t="str">
        <x:v>2026年底</x:v>
      </x:c>
      <x:c r="C50" s="11" t="str">
        <x:v>乐观</x:v>
      </x:c>
      <x:c r="D50" s="11" t="str">
        <x:v>EPS</x:v>
      </x:c>
      <x:c r="E50" s="18" t="n">
        <x:v>7.5</x:v>
      </x:c>
      <x:c r="F50" s="18" t="n">
        <x:v>28</x:v>
      </x:c>
      <x:c r="G50" s="18" t="n">
        <x:v>1.1</x:v>
      </x:c>
      <x:c r="H50" s="18" t="n">
        <x:v>0</x:v>
      </x:c>
      <x:c r="I50" s="18"/>
      <x:c r="J50" s="20"/>
      <x:c r="K50" s="22"/>
      <x:c r="L50" s="11" t="str">
        <x:v>alibaba-operating-bridge-pe-v1.0</x:v>
      </x:c>
      <x:c r="M50" s="11" t="str">
        <x:v>2026-12-31</x:v>
      </x:c>
      <x:c r="O50" t="str">
        <x:v>CNY</x:v>
      </x:c>
      <x:c r="V50" t="str">
        <x:v>2026-12-31</x:v>
      </x:c>
      <x:c r="W50" t="str">
        <x:v>待核</x:v>
      </x:c>
      <x:c r="X50" t="str">
        <x:v>周末已解析；节假日需交易所对应年度日历核验，实际交易日待核</x:v>
      </x:c>
    </x:row>
    <x:row r="51" ht="23" customHeight="1">
      <x:c r="A51" s="15" t="str">
        <x:v>09988.HK</x:v>
      </x:c>
      <x:c r="B51" s="15" t="str">
        <x:v>半年</x:v>
      </x:c>
      <x:c r="C51" s="15" t="str">
        <x:v>活动输入</x:v>
      </x:c>
      <x:c r="D51" s="15" t="str">
        <x:v>EPS</x:v>
      </x:c>
      <x:c r="E51" s="17" t="n">
        <x:f>CHOOSE($B$3,E52,E53,E54)</x:f>
        <x:v>6.28</x:v>
      </x:c>
      <x:c r="F51" s="17" t="n">
        <x:f>CHOOSE($B$3,F52,F53,F54)</x:f>
        <x:v>22</x:v>
      </x:c>
      <x:c r="G51" s="17" t="n">
        <x:f>CHOOSE($B$3,G52,G53,G54)</x:f>
        <x:v>1.1</x:v>
      </x:c>
      <x:c r="H51" s="17" t="n">
        <x:f>CHOOSE($B$3,H52,H53,H54)</x:f>
        <x:v>0</x:v>
      </x:c>
      <x:c r="I51" s="17" t="str">
        <x:f>CHOOSE($B$3,I52,I53,I54)</x:f>
      </x:c>
      <x:c r="J51" s="19" t="str">
        <x:f>CHOOSE($B$3,J52,J53,J54)</x:f>
      </x:c>
      <x:c r="K51" s="21" t="str">
        <x:f>CHOOSE($B$3,K52,K53,K54)</x:f>
      </x:c>
      <x:c r="L51" s="15" t="str">
        <x:v>alibaba-operating-bridge-pe-v1.0</x:v>
      </x:c>
      <x:c r="M51" s="15" t="str">
        <x:v>2027-04-09</x:v>
      </x:c>
      <x:c r="O51" t="str">
        <x:v>CNY</x:v>
      </x:c>
      <x:c r="V51" t="str">
        <x:v>2027-04-09</x:v>
      </x:c>
      <x:c r="W51" t="str">
        <x:v>待核</x:v>
      </x:c>
      <x:c r="X51" t="str">
        <x:v>周末已解析；节假日需交易所对应年度日历核验，实际交易日待核</x:v>
      </x:c>
    </x:row>
    <x:row r="52" ht="23" customHeight="1">
      <x:c r="A52" s="11" t="str">
        <x:v>09988.HK</x:v>
      </x:c>
      <x:c r="B52" s="11" t="str">
        <x:v>半年</x:v>
      </x:c>
      <x:c r="C52" s="11" t="str">
        <x:v>悲观</x:v>
      </x:c>
      <x:c r="D52" s="11" t="str">
        <x:v>EPS</x:v>
      </x:c>
      <x:c r="E52" s="18" t="n">
        <x:v>3.48</x:v>
      </x:c>
      <x:c r="F52" s="18" t="n">
        <x:v>15</x:v>
      </x:c>
      <x:c r="G52" s="18" t="n">
        <x:v>1.1</x:v>
      </x:c>
      <x:c r="H52" s="18" t="n">
        <x:v>0</x:v>
      </x:c>
      <x:c r="I52" s="18"/>
      <x:c r="J52" s="20"/>
      <x:c r="K52" s="22"/>
      <x:c r="L52" s="11" t="str">
        <x:v>alibaba-operating-bridge-pe-v1.0</x:v>
      </x:c>
      <x:c r="M52" s="11" t="str">
        <x:v>2027-04-09</x:v>
      </x:c>
      <x:c r="O52" t="str">
        <x:v>CNY</x:v>
      </x:c>
      <x:c r="V52" t="str">
        <x:v>2027-04-09</x:v>
      </x:c>
      <x:c r="W52" t="str">
        <x:v>待核</x:v>
      </x:c>
      <x:c r="X52" t="str">
        <x:v>周末已解析；节假日需交易所对应年度日历核验，实际交易日待核</x:v>
      </x:c>
    </x:row>
    <x:row r="53" ht="23" customHeight="1">
      <x:c r="A53" s="11" t="str">
        <x:v>09988.HK</x:v>
      </x:c>
      <x:c r="B53" s="11" t="str">
        <x:v>半年</x:v>
      </x:c>
      <x:c r="C53" s="11" t="str">
        <x:v>基准</x:v>
      </x:c>
      <x:c r="D53" s="11" t="str">
        <x:v>EPS</x:v>
      </x:c>
      <x:c r="E53" s="18" t="n">
        <x:v>6.28</x:v>
      </x:c>
      <x:c r="F53" s="18" t="n">
        <x:v>22</x:v>
      </x:c>
      <x:c r="G53" s="18" t="n">
        <x:v>1.1</x:v>
      </x:c>
      <x:c r="H53" s="18" t="n">
        <x:v>0</x:v>
      </x:c>
      <x:c r="I53" s="18"/>
      <x:c r="J53" s="20"/>
      <x:c r="K53" s="22"/>
      <x:c r="L53" s="11" t="str">
        <x:v>alibaba-operating-bridge-pe-v1.0</x:v>
      </x:c>
      <x:c r="M53" s="11" t="str">
        <x:v>2027-04-09</x:v>
      </x:c>
      <x:c r="O53" t="str">
        <x:v>CNY</x:v>
      </x:c>
      <x:c r="V53" t="str">
        <x:v>2027-04-09</x:v>
      </x:c>
      <x:c r="W53" t="str">
        <x:v>待核</x:v>
      </x:c>
      <x:c r="X53" t="str">
        <x:v>周末已解析；节假日需交易所对应年度日历核验，实际交易日待核</x:v>
      </x:c>
    </x:row>
    <x:row r="54" ht="23" customHeight="1">
      <x:c r="A54" s="11" t="str">
        <x:v>09988.HK</x:v>
      </x:c>
      <x:c r="B54" s="11" t="str">
        <x:v>半年</x:v>
      </x:c>
      <x:c r="C54" s="11" t="str">
        <x:v>乐观</x:v>
      </x:c>
      <x:c r="D54" s="11" t="str">
        <x:v>EPS</x:v>
      </x:c>
      <x:c r="E54" s="18" t="n">
        <x:v>9.02</x:v>
      </x:c>
      <x:c r="F54" s="18" t="n">
        <x:v>28</x:v>
      </x:c>
      <x:c r="G54" s="18" t="n">
        <x:v>1.1</x:v>
      </x:c>
      <x:c r="H54" s="18" t="n">
        <x:v>0</x:v>
      </x:c>
      <x:c r="I54" s="18"/>
      <x:c r="J54" s="20"/>
      <x:c r="K54" s="22"/>
      <x:c r="L54" s="11" t="str">
        <x:v>alibaba-operating-bridge-pe-v1.0</x:v>
      </x:c>
      <x:c r="M54" s="11" t="str">
        <x:v>2027-04-09</x:v>
      </x:c>
      <x:c r="O54" t="str">
        <x:v>CNY</x:v>
      </x:c>
      <x:c r="V54" t="str">
        <x:v>2027-04-09</x:v>
      </x:c>
      <x:c r="W54" t="str">
        <x:v>待核</x:v>
      </x:c>
      <x:c r="X54" t="str">
        <x:v>周末已解析；节假日需交易所对应年度日历核验，实际交易日待核</x:v>
      </x:c>
    </x:row>
    <x:row r="55" ht="23" customHeight="1">
      <x:c r="A55" s="15" t="str">
        <x:v>09988.HK</x:v>
      </x:c>
      <x:c r="B55" s="15" t="str">
        <x:v>一年</x:v>
      </x:c>
      <x:c r="C55" s="15" t="str">
        <x:v>活动输入</x:v>
      </x:c>
      <x:c r="D55" s="15" t="str">
        <x:v>EPS</x:v>
      </x:c>
      <x:c r="E55" s="17" t="n">
        <x:f>CHOOSE($B$3,E56,E57,E58)</x:f>
        <x:v>7.43</x:v>
      </x:c>
      <x:c r="F55" s="17" t="n">
        <x:f>CHOOSE($B$3,F56,F57,F58)</x:f>
        <x:v>21</x:v>
      </x:c>
      <x:c r="G55" s="17" t="n">
        <x:f>CHOOSE($B$3,G56,G57,G58)</x:f>
        <x:v>1.1</x:v>
      </x:c>
      <x:c r="H55" s="17" t="n">
        <x:f>CHOOSE($B$3,H56,H57,H58)</x:f>
        <x:v>1.2</x:v>
      </x:c>
      <x:c r="I55" s="17" t="str">
        <x:f>CHOOSE($B$3,I56,I57,I58)</x:f>
      </x:c>
      <x:c r="J55" s="19" t="str">
        <x:f>CHOOSE($B$3,J56,J57,J58)</x:f>
      </x:c>
      <x:c r="K55" s="21" t="str">
        <x:f>CHOOSE($B$3,K56,K57,K58)</x:f>
      </x:c>
      <x:c r="L55" s="15" t="str">
        <x:v>alibaba-operating-bridge-pe-v1.0</x:v>
      </x:c>
      <x:c r="M55" s="15" t="str">
        <x:v>2027-10-09</x:v>
      </x:c>
      <x:c r="O55" t="str">
        <x:v>CNY</x:v>
      </x:c>
      <x:c r="V55" t="str">
        <x:v>2027-10-08</x:v>
      </x:c>
      <x:c r="W55" t="str">
        <x:v>待核</x:v>
      </x:c>
      <x:c r="X55" t="str">
        <x:v>周末已解析；节假日需交易所对应年度日历核验，实际交易日待核</x:v>
      </x:c>
    </x:row>
    <x:row r="56" ht="23" customHeight="1">
      <x:c r="A56" s="11" t="str">
        <x:v>09988.HK</x:v>
      </x:c>
      <x:c r="B56" s="11" t="str">
        <x:v>一年</x:v>
      </x:c>
      <x:c r="C56" s="11" t="str">
        <x:v>悲观</x:v>
      </x:c>
      <x:c r="D56" s="11" t="str">
        <x:v>EPS</x:v>
      </x:c>
      <x:c r="E56" s="18" t="n">
        <x:v>3.49</x:v>
      </x:c>
      <x:c r="F56" s="18" t="n">
        <x:v>14</x:v>
      </x:c>
      <x:c r="G56" s="18" t="n">
        <x:v>1.1</x:v>
      </x:c>
      <x:c r="H56" s="18" t="n">
        <x:v>0.5</x:v>
      </x:c>
      <x:c r="I56" s="18"/>
      <x:c r="J56" s="20"/>
      <x:c r="K56" s="22"/>
      <x:c r="L56" s="11" t="str">
        <x:v>alibaba-operating-bridge-pe-v1.0</x:v>
      </x:c>
      <x:c r="M56" s="11" t="str">
        <x:v>2027-10-09</x:v>
      </x:c>
      <x:c r="O56" t="str">
        <x:v>CNY</x:v>
      </x:c>
      <x:c r="V56" t="str">
        <x:v>2027-10-08</x:v>
      </x:c>
      <x:c r="W56" t="str">
        <x:v>待核</x:v>
      </x:c>
      <x:c r="X56" t="str">
        <x:v>周末已解析；节假日需交易所对应年度日历核验，实际交易日待核</x:v>
      </x:c>
    </x:row>
    <x:row r="57" ht="23" customHeight="1">
      <x:c r="A57" s="11" t="str">
        <x:v>09988.HK</x:v>
      </x:c>
      <x:c r="B57" s="11" t="str">
        <x:v>一年</x:v>
      </x:c>
      <x:c r="C57" s="11" t="str">
        <x:v>基准</x:v>
      </x:c>
      <x:c r="D57" s="11" t="str">
        <x:v>EPS</x:v>
      </x:c>
      <x:c r="E57" s="18" t="n">
        <x:v>7.43</x:v>
      </x:c>
      <x:c r="F57" s="18" t="n">
        <x:v>21</x:v>
      </x:c>
      <x:c r="G57" s="18" t="n">
        <x:v>1.1</x:v>
      </x:c>
      <x:c r="H57" s="18" t="n">
        <x:v>1.2</x:v>
      </x:c>
      <x:c r="I57" s="18"/>
      <x:c r="J57" s="20"/>
      <x:c r="K57" s="22"/>
      <x:c r="L57" s="11" t="str">
        <x:v>alibaba-operating-bridge-pe-v1.0</x:v>
      </x:c>
      <x:c r="M57" s="11" t="str">
        <x:v>2027-10-09</x:v>
      </x:c>
      <x:c r="O57" t="str">
        <x:v>CNY</x:v>
      </x:c>
      <x:c r="V57" t="str">
        <x:v>2027-10-08</x:v>
      </x:c>
      <x:c r="W57" t="str">
        <x:v>待核</x:v>
      </x:c>
      <x:c r="X57" t="str">
        <x:v>周末已解析；节假日需交易所对应年度日历核验，实际交易日待核</x:v>
      </x:c>
    </x:row>
    <x:row r="58" ht="23" customHeight="1">
      <x:c r="A58" s="11" t="str">
        <x:v>09988.HK</x:v>
      </x:c>
      <x:c r="B58" s="11" t="str">
        <x:v>一年</x:v>
      </x:c>
      <x:c r="C58" s="11" t="str">
        <x:v>乐观</x:v>
      </x:c>
      <x:c r="D58" s="11" t="str">
        <x:v>EPS</x:v>
      </x:c>
      <x:c r="E58" s="18" t="n">
        <x:v>10.98</x:v>
      </x:c>
      <x:c r="F58" s="18" t="n">
        <x:v>27</x:v>
      </x:c>
      <x:c r="G58" s="18" t="n">
        <x:v>1.1</x:v>
      </x:c>
      <x:c r="H58" s="18" t="n">
        <x:v>1.8</x:v>
      </x:c>
      <x:c r="I58" s="18"/>
      <x:c r="J58" s="20"/>
      <x:c r="K58" s="22"/>
      <x:c r="L58" s="11" t="str">
        <x:v>alibaba-operating-bridge-pe-v1.0</x:v>
      </x:c>
      <x:c r="M58" s="11" t="str">
        <x:v>2027-10-09</x:v>
      </x:c>
      <x:c r="O58" t="str">
        <x:v>CNY</x:v>
      </x:c>
      <x:c r="V58" t="str">
        <x:v>2027-10-08</x:v>
      </x:c>
      <x:c r="W58" t="str">
        <x:v>待核</x:v>
      </x:c>
      <x:c r="X58" t="str">
        <x:v>周末已解析；节假日需交易所对应年度日历核验，实际交易日待核</x:v>
      </x:c>
    </x:row>
    <x:row r="59" ht="23" customHeight="1">
      <x:c r="A59" s="15" t="str">
        <x:v>09988.HK</x:v>
      </x:c>
      <x:c r="B59" s="15" t="str">
        <x:v>三年</x:v>
      </x:c>
      <x:c r="C59" s="15" t="str">
        <x:v>活动输入</x:v>
      </x:c>
      <x:c r="D59" s="15" t="str">
        <x:v>EPS</x:v>
      </x:c>
      <x:c r="E59" s="17" t="n">
        <x:f>CHOOSE($B$3,E60,E61,E62)</x:f>
        <x:v>10.98</x:v>
      </x:c>
      <x:c r="F59" s="17" t="n">
        <x:f>CHOOSE($B$3,F60,F61,F62)</x:f>
        <x:v>20</x:v>
      </x:c>
      <x:c r="G59" s="17" t="n">
        <x:f>CHOOSE($B$3,G60,G61,G62)</x:f>
        <x:v>1.1</x:v>
      </x:c>
      <x:c r="H59" s="17" t="n">
        <x:f>CHOOSE($B$3,H60,H61,H62)</x:f>
        <x:v>4.5</x:v>
      </x:c>
      <x:c r="I59" s="17" t="str">
        <x:f>CHOOSE($B$3,I60,I61,I62)</x:f>
      </x:c>
      <x:c r="J59" s="19" t="str">
        <x:f>CHOOSE($B$3,J60,J61,J62)</x:f>
      </x:c>
      <x:c r="K59" s="21" t="str">
        <x:f>CHOOSE($B$3,K60,K61,K62)</x:f>
      </x:c>
      <x:c r="L59" s="15" t="str">
        <x:v>alibaba-operating-bridge-pe-v1.0</x:v>
      </x:c>
      <x:c r="M59" s="15" t="str">
        <x:v>2029-10-09</x:v>
      </x:c>
      <x:c r="O59" t="str">
        <x:v>CNY</x:v>
      </x:c>
      <x:c r="V59" t="str">
        <x:v>2029-10-09</x:v>
      </x:c>
      <x:c r="W59" t="str">
        <x:v>待核</x:v>
      </x:c>
      <x:c r="X59" t="str">
        <x:v>周末已解析；节假日需交易所对应年度日历核验，实际交易日待核</x:v>
      </x:c>
    </x:row>
    <x:row r="60" ht="23" customHeight="1">
      <x:c r="A60" s="11" t="str">
        <x:v>09988.HK</x:v>
      </x:c>
      <x:c r="B60" s="11" t="str">
        <x:v>三年</x:v>
      </x:c>
      <x:c r="C60" s="11" t="str">
        <x:v>悲观</x:v>
      </x:c>
      <x:c r="D60" s="11" t="str">
        <x:v>EPS</x:v>
      </x:c>
      <x:c r="E60" s="18" t="n">
        <x:v>3.02</x:v>
      </x:c>
      <x:c r="F60" s="18" t="n">
        <x:v>12</x:v>
      </x:c>
      <x:c r="G60" s="18" t="n">
        <x:v>1.1</x:v>
      </x:c>
      <x:c r="H60" s="18" t="n">
        <x:v>1.5</x:v>
      </x:c>
      <x:c r="I60" s="18"/>
      <x:c r="J60" s="20"/>
      <x:c r="K60" s="22"/>
      <x:c r="L60" s="11" t="str">
        <x:v>alibaba-operating-bridge-pe-v1.0</x:v>
      </x:c>
      <x:c r="M60" s="11" t="str">
        <x:v>2029-10-09</x:v>
      </x:c>
      <x:c r="O60" t="str">
        <x:v>CNY</x:v>
      </x:c>
      <x:c r="V60" t="str">
        <x:v>2029-10-09</x:v>
      </x:c>
      <x:c r="W60" t="str">
        <x:v>待核</x:v>
      </x:c>
      <x:c r="X60" t="str">
        <x:v>周末已解析；节假日需交易所对应年度日历核验，实际交易日待核</x:v>
      </x:c>
    </x:row>
    <x:row r="61" ht="23" customHeight="1">
      <x:c r="A61" s="11" t="str">
        <x:v>09988.HK</x:v>
      </x:c>
      <x:c r="B61" s="11" t="str">
        <x:v>三年</x:v>
      </x:c>
      <x:c r="C61" s="11" t="str">
        <x:v>基准</x:v>
      </x:c>
      <x:c r="D61" s="11" t="str">
        <x:v>EPS</x:v>
      </x:c>
      <x:c r="E61" s="18" t="n">
        <x:v>10.98</x:v>
      </x:c>
      <x:c r="F61" s="18" t="n">
        <x:v>20</x:v>
      </x:c>
      <x:c r="G61" s="18" t="n">
        <x:v>1.1</x:v>
      </x:c>
      <x:c r="H61" s="18" t="n">
        <x:v>4.5</x:v>
      </x:c>
      <x:c r="I61" s="18"/>
      <x:c r="J61" s="20"/>
      <x:c r="K61" s="22"/>
      <x:c r="L61" s="11" t="str">
        <x:v>alibaba-operating-bridge-pe-v1.0</x:v>
      </x:c>
      <x:c r="M61" s="11" t="str">
        <x:v>2029-10-09</x:v>
      </x:c>
      <x:c r="O61" t="str">
        <x:v>CNY</x:v>
      </x:c>
      <x:c r="V61" t="str">
        <x:v>2029-10-09</x:v>
      </x:c>
      <x:c r="W61" t="str">
        <x:v>待核</x:v>
      </x:c>
      <x:c r="X61" t="str">
        <x:v>周末已解析；节假日需交易所对应年度日历核验，实际交易日待核</x:v>
      </x:c>
    </x:row>
    <x:row r="62" ht="23" customHeight="1">
      <x:c r="A62" s="11" t="str">
        <x:v>09988.HK</x:v>
      </x:c>
      <x:c r="B62" s="11" t="str">
        <x:v>三年</x:v>
      </x:c>
      <x:c r="C62" s="11" t="str">
        <x:v>乐观</x:v>
      </x:c>
      <x:c r="D62" s="11" t="str">
        <x:v>EPS</x:v>
      </x:c>
      <x:c r="E62" s="18" t="n">
        <x:v>17.94</x:v>
      </x:c>
      <x:c r="F62" s="18" t="n">
        <x:v>27</x:v>
      </x:c>
      <x:c r="G62" s="18" t="n">
        <x:v>1.1</x:v>
      </x:c>
      <x:c r="H62" s="18" t="n">
        <x:v>7</x:v>
      </x:c>
      <x:c r="I62" s="18"/>
      <x:c r="J62" s="20"/>
      <x:c r="K62" s="22"/>
      <x:c r="L62" s="11" t="str">
        <x:v>alibaba-operating-bridge-pe-v1.0</x:v>
      </x:c>
      <x:c r="M62" s="11" t="str">
        <x:v>2029-10-09</x:v>
      </x:c>
      <x:c r="O62" t="str">
        <x:v>CNY</x:v>
      </x:c>
      <x:c r="V62" t="str">
        <x:v>2029-10-09</x:v>
      </x:c>
      <x:c r="W62" t="str">
        <x:v>待核</x:v>
      </x:c>
      <x:c r="X62" t="str">
        <x:v>周末已解析；节假日需交易所对应年度日历核验，实际交易日待核</x:v>
      </x:c>
    </x:row>
    <x:row r="63" ht="23" customHeight="1">
      <x:c r="A63" s="15" t="str">
        <x:v>09988.HK</x:v>
      </x:c>
      <x:c r="B63" s="15" t="str">
        <x:v>五年</x:v>
      </x:c>
      <x:c r="C63" s="15" t="str">
        <x:v>活动输入</x:v>
      </x:c>
      <x:c r="D63" s="15" t="str">
        <x:v>EPS</x:v>
      </x:c>
      <x:c r="E63" s="17" t="n">
        <x:f>CHOOSE($B$3,E64,E65,E66)</x:f>
        <x:v>15.02</x:v>
      </x:c>
      <x:c r="F63" s="17" t="n">
        <x:f>CHOOSE($B$3,F64,F65,F66)</x:f>
        <x:v>18</x:v>
      </x:c>
      <x:c r="G63" s="17" t="n">
        <x:f>CHOOSE($B$3,G64,G65,G66)</x:f>
        <x:v>1.1</x:v>
      </x:c>
      <x:c r="H63" s="17" t="n">
        <x:f>CHOOSE($B$3,H64,H65,H66)</x:f>
        <x:v>8</x:v>
      </x:c>
      <x:c r="I63" s="17" t="str">
        <x:f>CHOOSE($B$3,I64,I65,I66)</x:f>
      </x:c>
      <x:c r="J63" s="19" t="str">
        <x:f>CHOOSE($B$3,J64,J65,J66)</x:f>
      </x:c>
      <x:c r="K63" s="21" t="str">
        <x:f>CHOOSE($B$3,K64,K65,K66)</x:f>
      </x:c>
      <x:c r="L63" s="15" t="str">
        <x:v>alibaba-operating-bridge-pe-v1.0</x:v>
      </x:c>
      <x:c r="M63" s="15" t="str">
        <x:v>2031-10-09</x:v>
      </x:c>
      <x:c r="O63" t="str">
        <x:v>CNY</x:v>
      </x:c>
      <x:c r="V63" t="str">
        <x:v>2031-10-09</x:v>
      </x:c>
      <x:c r="W63" t="str">
        <x:v>待核</x:v>
      </x:c>
      <x:c r="X63" t="str">
        <x:v>周末已解析；节假日需交易所对应年度日历核验，实际交易日待核</x:v>
      </x:c>
    </x:row>
    <x:row r="64" ht="23" customHeight="1">
      <x:c r="A64" s="11" t="str">
        <x:v>09988.HK</x:v>
      </x:c>
      <x:c r="B64" s="11" t="str">
        <x:v>五年</x:v>
      </x:c>
      <x:c r="C64" s="11" t="str">
        <x:v>悲观</x:v>
      </x:c>
      <x:c r="D64" s="11" t="str">
        <x:v>EPS</x:v>
      </x:c>
      <x:c r="E64" s="18" t="n">
        <x:v>2.49</x:v>
      </x:c>
      <x:c r="F64" s="18" t="n">
        <x:v>10</x:v>
      </x:c>
      <x:c r="G64" s="18" t="n">
        <x:v>1.1</x:v>
      </x:c>
      <x:c r="H64" s="18" t="n">
        <x:v>2.5</x:v>
      </x:c>
      <x:c r="I64" s="18"/>
      <x:c r="J64" s="20"/>
      <x:c r="K64" s="22"/>
      <x:c r="L64" s="11" t="str">
        <x:v>alibaba-operating-bridge-pe-v1.0</x:v>
      </x:c>
      <x:c r="M64" s="11" t="str">
        <x:v>2031-10-09</x:v>
      </x:c>
      <x:c r="O64" t="str">
        <x:v>CNY</x:v>
      </x:c>
      <x:c r="V64" t="str">
        <x:v>2031-10-09</x:v>
      </x:c>
      <x:c r="W64" t="str">
        <x:v>待核</x:v>
      </x:c>
      <x:c r="X64" t="str">
        <x:v>周末已解析；节假日需交易所对应年度日历核验，实际交易日待核</x:v>
      </x:c>
    </x:row>
    <x:row r="65" ht="23" customHeight="1">
      <x:c r="A65" s="11" t="str">
        <x:v>09988.HK</x:v>
      </x:c>
      <x:c r="B65" s="11" t="str">
        <x:v>五年</x:v>
      </x:c>
      <x:c r="C65" s="11" t="str">
        <x:v>基准</x:v>
      </x:c>
      <x:c r="D65" s="11" t="str">
        <x:v>EPS</x:v>
      </x:c>
      <x:c r="E65" s="18" t="n">
        <x:v>15.02</x:v>
      </x:c>
      <x:c r="F65" s="18" t="n">
        <x:v>18</x:v>
      </x:c>
      <x:c r="G65" s="18" t="n">
        <x:v>1.1</x:v>
      </x:c>
      <x:c r="H65" s="18" t="n">
        <x:v>8</x:v>
      </x:c>
      <x:c r="I65" s="18"/>
      <x:c r="J65" s="20"/>
      <x:c r="K65" s="22"/>
      <x:c r="L65" s="11" t="str">
        <x:v>alibaba-operating-bridge-pe-v1.0</x:v>
      </x:c>
      <x:c r="M65" s="11" t="str">
        <x:v>2031-10-09</x:v>
      </x:c>
      <x:c r="O65" t="str">
        <x:v>CNY</x:v>
      </x:c>
      <x:c r="V65" t="str">
        <x:v>2031-10-09</x:v>
      </x:c>
      <x:c r="W65" t="str">
        <x:v>待核</x:v>
      </x:c>
      <x:c r="X65" t="str">
        <x:v>周末已解析；节假日需交易所对应年度日历核验，实际交易日待核</x:v>
      </x:c>
    </x:row>
    <x:row r="66" ht="23" customHeight="1">
      <x:c r="A66" s="11" t="str">
        <x:v>09988.HK</x:v>
      </x:c>
      <x:c r="B66" s="11" t="str">
        <x:v>五年</x:v>
      </x:c>
      <x:c r="C66" s="11" t="str">
        <x:v>乐观</x:v>
      </x:c>
      <x:c r="D66" s="11" t="str">
        <x:v>EPS</x:v>
      </x:c>
      <x:c r="E66" s="18" t="n">
        <x:v>27.97</x:v>
      </x:c>
      <x:c r="F66" s="18" t="n">
        <x:v>25</x:v>
      </x:c>
      <x:c r="G66" s="18" t="n">
        <x:v>1.1</x:v>
      </x:c>
      <x:c r="H66" s="18" t="n">
        <x:v>15</x:v>
      </x:c>
      <x:c r="I66" s="18"/>
      <x:c r="J66" s="20"/>
      <x:c r="K66" s="22"/>
      <x:c r="L66" s="11" t="str">
        <x:v>alibaba-operating-bridge-pe-v1.0</x:v>
      </x:c>
      <x:c r="M66" s="11" t="str">
        <x:v>2031-10-09</x:v>
      </x:c>
      <x:c r="O66" t="str">
        <x:v>CNY</x:v>
      </x:c>
      <x:c r="V66" t="str">
        <x:v>2031-10-09</x:v>
      </x:c>
      <x:c r="W66" t="str">
        <x:v>待核</x:v>
      </x:c>
      <x:c r="X66" t="str">
        <x:v>周末已解析；节假日需交易所对应年度日历核验，实际交易日待核</x:v>
      </x:c>
    </x:row>
    <x:row r="67" ht="23" customHeight="1">
      <x:c r="A67" s="15" t="str">
        <x:v>002821.SZ</x:v>
      </x:c>
      <x:c r="B67" s="15" t="str">
        <x:v>2026年底</x:v>
      </x:c>
      <x:c r="C67" s="15" t="str">
        <x:v>活动输入</x:v>
      </x:c>
      <x:c r="D67" s="15" t="str">
        <x:v>EPS</x:v>
      </x:c>
      <x:c r="E67" s="17" t="n">
        <x:f>CHOOSE($B$3,E68,E69,E70)</x:f>
        <x:v>4</x:v>
      </x:c>
      <x:c r="F67" s="17" t="n">
        <x:f>CHOOSE($B$3,F68,F69,F70)</x:f>
        <x:v>43</x:v>
      </x:c>
      <x:c r="G67" s="17" t="n">
        <x:f>CHOOSE($B$3,G68,G69,G70)</x:f>
        <x:v>1</x:v>
      </x:c>
      <x:c r="H67" s="17" t="n">
        <x:f>CHOOSE($B$3,H68,H69,H70)</x:f>
        <x:v>0</x:v>
      </x:c>
      <x:c r="I67" s="17" t="str">
        <x:f>CHOOSE($B$3,I68,I69,I70)</x:f>
      </x:c>
      <x:c r="J67" s="19" t="str">
        <x:f>CHOOSE($B$3,J68,J69,J70)</x:f>
      </x:c>
      <x:c r="K67" s="21" t="str">
        <x:f>CHOOSE($B$3,K68,K69,K70)</x:f>
      </x:c>
      <x:c r="L67" s="15" t="str">
        <x:v>asymchem-AH-pe-v1.0</x:v>
      </x:c>
      <x:c r="M67" s="15" t="str">
        <x:v>2026-12-31</x:v>
      </x:c>
      <x:c r="O67" t="str">
        <x:v>CNY</x:v>
      </x:c>
      <x:c r="V67" t="str">
        <x:v>2026-12-31</x:v>
      </x:c>
      <x:c r="W67" t="str">
        <x:v>待核</x:v>
      </x:c>
      <x:c r="X67" t="str">
        <x:v>周末已解析；节假日需交易所对应年度日历核验，实际交易日待核</x:v>
      </x:c>
    </x:row>
    <x:row r="68" ht="23" customHeight="1">
      <x:c r="A68" s="11" t="str">
        <x:v>002821.SZ</x:v>
      </x:c>
      <x:c r="B68" s="11" t="str">
        <x:v>2026年底</x:v>
      </x:c>
      <x:c r="C68" s="11" t="str">
        <x:v>悲观</x:v>
      </x:c>
      <x:c r="D68" s="11" t="str">
        <x:v>EPS</x:v>
      </x:c>
      <x:c r="E68" s="18" t="n">
        <x:v>2.8</x:v>
      </x:c>
      <x:c r="F68" s="18" t="n">
        <x:v>24</x:v>
      </x:c>
      <x:c r="G68" s="18" t="n">
        <x:v>1</x:v>
      </x:c>
      <x:c r="H68" s="18" t="n">
        <x:v>0</x:v>
      </x:c>
      <x:c r="I68" s="18"/>
      <x:c r="J68" s="20"/>
      <x:c r="K68" s="22"/>
      <x:c r="L68" s="11" t="str">
        <x:v>asymchem-AH-pe-v1.0</x:v>
      </x:c>
      <x:c r="M68" s="11" t="str">
        <x:v>2026-12-31</x:v>
      </x:c>
      <x:c r="O68" t="str">
        <x:v>CNY</x:v>
      </x:c>
      <x:c r="V68" t="str">
        <x:v>2026-12-31</x:v>
      </x:c>
      <x:c r="W68" t="str">
        <x:v>待核</x:v>
      </x:c>
      <x:c r="X68" t="str">
        <x:v>周末已解析；节假日需交易所对应年度日历核验，实际交易日待核</x:v>
      </x:c>
    </x:row>
    <x:row r="69" ht="23" customHeight="1">
      <x:c r="A69" s="11" t="str">
        <x:v>002821.SZ</x:v>
      </x:c>
      <x:c r="B69" s="11" t="str">
        <x:v>2026年底</x:v>
      </x:c>
      <x:c r="C69" s="11" t="str">
        <x:v>基准</x:v>
      </x:c>
      <x:c r="D69" s="11" t="str">
        <x:v>EPS</x:v>
      </x:c>
      <x:c r="E69" s="18" t="n">
        <x:v>4</x:v>
      </x:c>
      <x:c r="F69" s="18" t="n">
        <x:v>43</x:v>
      </x:c>
      <x:c r="G69" s="18" t="n">
        <x:v>1</x:v>
      </x:c>
      <x:c r="H69" s="18" t="n">
        <x:v>0</x:v>
      </x:c>
      <x:c r="I69" s="18"/>
      <x:c r="J69" s="20"/>
      <x:c r="K69" s="22"/>
      <x:c r="L69" s="11" t="str">
        <x:v>asymchem-AH-pe-v1.0</x:v>
      </x:c>
      <x:c r="M69" s="11" t="str">
        <x:v>2026-12-31</x:v>
      </x:c>
      <x:c r="O69" t="str">
        <x:v>CNY</x:v>
      </x:c>
      <x:c r="V69" t="str">
        <x:v>2026-12-31</x:v>
      </x:c>
      <x:c r="W69" t="str">
        <x:v>待核</x:v>
      </x:c>
      <x:c r="X69" t="str">
        <x:v>周末已解析；节假日需交易所对应年度日历核验，实际交易日待核</x:v>
      </x:c>
    </x:row>
    <x:row r="70" ht="23" customHeight="1">
      <x:c r="A70" s="11" t="str">
        <x:v>002821.SZ</x:v>
      </x:c>
      <x:c r="B70" s="11" t="str">
        <x:v>2026年底</x:v>
      </x:c>
      <x:c r="C70" s="11" t="str">
        <x:v>乐观</x:v>
      </x:c>
      <x:c r="D70" s="11" t="str">
        <x:v>EPS</x:v>
      </x:c>
      <x:c r="E70" s="18" t="n">
        <x:v>5</x:v>
      </x:c>
      <x:c r="F70" s="18" t="n">
        <x:v>54</x:v>
      </x:c>
      <x:c r="G70" s="18" t="n">
        <x:v>1</x:v>
      </x:c>
      <x:c r="H70" s="18" t="n">
        <x:v>0</x:v>
      </x:c>
      <x:c r="I70" s="18"/>
      <x:c r="J70" s="20"/>
      <x:c r="K70" s="22"/>
      <x:c r="L70" s="11" t="str">
        <x:v>asymchem-AH-pe-v1.0</x:v>
      </x:c>
      <x:c r="M70" s="11" t="str">
        <x:v>2026-12-31</x:v>
      </x:c>
      <x:c r="O70" t="str">
        <x:v>CNY</x:v>
      </x:c>
      <x:c r="V70" t="str">
        <x:v>2026-12-31</x:v>
      </x:c>
      <x:c r="W70" t="str">
        <x:v>待核</x:v>
      </x:c>
      <x:c r="X70" t="str">
        <x:v>周末已解析；节假日需交易所对应年度日历核验，实际交易日待核</x:v>
      </x:c>
    </x:row>
    <x:row r="71" ht="23" customHeight="1">
      <x:c r="A71" s="15" t="str">
        <x:v>002821.SZ</x:v>
      </x:c>
      <x:c r="B71" s="15" t="str">
        <x:v>半年</x:v>
      </x:c>
      <x:c r="C71" s="15" t="str">
        <x:v>活动输入</x:v>
      </x:c>
      <x:c r="D71" s="15" t="str">
        <x:v>EPS</x:v>
      </x:c>
      <x:c r="E71" s="17" t="n">
        <x:f>CHOOSE($B$3,E72,E73,E74)</x:f>
        <x:v>4.5</x:v>
      </x:c>
      <x:c r="F71" s="17" t="n">
        <x:f>CHOOSE($B$3,F72,F73,F74)</x:f>
        <x:v>42</x:v>
      </x:c>
      <x:c r="G71" s="17" t="n">
        <x:f>CHOOSE($B$3,G72,G73,G74)</x:f>
        <x:v>1</x:v>
      </x:c>
      <x:c r="H71" s="17" t="n">
        <x:f>CHOOSE($B$3,H72,H73,H74)</x:f>
        <x:v>0</x:v>
      </x:c>
      <x:c r="I71" s="17" t="str">
        <x:f>CHOOSE($B$3,I72,I73,I74)</x:f>
      </x:c>
      <x:c r="J71" s="19" t="str">
        <x:f>CHOOSE($B$3,J72,J73,J74)</x:f>
      </x:c>
      <x:c r="K71" s="21" t="str">
        <x:f>CHOOSE($B$3,K72,K73,K74)</x:f>
      </x:c>
      <x:c r="L71" s="15" t="str">
        <x:v>asymchem-AH-pe-v1.0</x:v>
      </x:c>
      <x:c r="M71" s="15" t="str">
        <x:v>2027-04-09</x:v>
      </x:c>
      <x:c r="O71" t="str">
        <x:v>CNY</x:v>
      </x:c>
      <x:c r="V71" t="str">
        <x:v>2027-04-09</x:v>
      </x:c>
      <x:c r="W71" t="str">
        <x:v>待核</x:v>
      </x:c>
      <x:c r="X71" t="str">
        <x:v>周末已解析；节假日需交易所对应年度日历核验，实际交易日待核</x:v>
      </x:c>
    </x:row>
    <x:row r="72" ht="23" customHeight="1">
      <x:c r="A72" s="11" t="str">
        <x:v>002821.SZ</x:v>
      </x:c>
      <x:c r="B72" s="11" t="str">
        <x:v>半年</x:v>
      </x:c>
      <x:c r="C72" s="11" t="str">
        <x:v>悲观</x:v>
      </x:c>
      <x:c r="D72" s="11" t="str">
        <x:v>EPS</x:v>
      </x:c>
      <x:c r="E72" s="18" t="n">
        <x:v>3</x:v>
      </x:c>
      <x:c r="F72" s="18" t="n">
        <x:v>24</x:v>
      </x:c>
      <x:c r="G72" s="18" t="n">
        <x:v>1</x:v>
      </x:c>
      <x:c r="H72" s="18" t="n">
        <x:v>0</x:v>
      </x:c>
      <x:c r="I72" s="18"/>
      <x:c r="J72" s="20"/>
      <x:c r="K72" s="22"/>
      <x:c r="L72" s="11" t="str">
        <x:v>asymchem-AH-pe-v1.0</x:v>
      </x:c>
      <x:c r="M72" s="11" t="str">
        <x:v>2027-04-09</x:v>
      </x:c>
      <x:c r="O72" t="str">
        <x:v>CNY</x:v>
      </x:c>
      <x:c r="V72" t="str">
        <x:v>2027-04-09</x:v>
      </x:c>
      <x:c r="W72" t="str">
        <x:v>待核</x:v>
      </x:c>
      <x:c r="X72" t="str">
        <x:v>周末已解析；节假日需交易所对应年度日历核验，实际交易日待核</x:v>
      </x:c>
    </x:row>
    <x:row r="73" ht="23" customHeight="1">
      <x:c r="A73" s="11" t="str">
        <x:v>002821.SZ</x:v>
      </x:c>
      <x:c r="B73" s="11" t="str">
        <x:v>半年</x:v>
      </x:c>
      <x:c r="C73" s="11" t="str">
        <x:v>基准</x:v>
      </x:c>
      <x:c r="D73" s="11" t="str">
        <x:v>EPS</x:v>
      </x:c>
      <x:c r="E73" s="18" t="n">
        <x:v>4.5</x:v>
      </x:c>
      <x:c r="F73" s="18" t="n">
        <x:v>42</x:v>
      </x:c>
      <x:c r="G73" s="18" t="n">
        <x:v>1</x:v>
      </x:c>
      <x:c r="H73" s="18" t="n">
        <x:v>0</x:v>
      </x:c>
      <x:c r="I73" s="18"/>
      <x:c r="J73" s="20"/>
      <x:c r="K73" s="22"/>
      <x:c r="L73" s="11" t="str">
        <x:v>asymchem-AH-pe-v1.0</x:v>
      </x:c>
      <x:c r="M73" s="11" t="str">
        <x:v>2027-04-09</x:v>
      </x:c>
      <x:c r="O73" t="str">
        <x:v>CNY</x:v>
      </x:c>
      <x:c r="V73" t="str">
        <x:v>2027-04-09</x:v>
      </x:c>
      <x:c r="W73" t="str">
        <x:v>待核</x:v>
      </x:c>
      <x:c r="X73" t="str">
        <x:v>周末已解析；节假日需交易所对应年度日历核验，实际交易日待核</x:v>
      </x:c>
    </x:row>
    <x:row r="74" ht="23" customHeight="1">
      <x:c r="A74" s="11" t="str">
        <x:v>002821.SZ</x:v>
      </x:c>
      <x:c r="B74" s="11" t="str">
        <x:v>半年</x:v>
      </x:c>
      <x:c r="C74" s="11" t="str">
        <x:v>乐观</x:v>
      </x:c>
      <x:c r="D74" s="11" t="str">
        <x:v>EPS</x:v>
      </x:c>
      <x:c r="E74" s="18" t="n">
        <x:v>5.8</x:v>
      </x:c>
      <x:c r="F74" s="18" t="n">
        <x:v>54</x:v>
      </x:c>
      <x:c r="G74" s="18" t="n">
        <x:v>1</x:v>
      </x:c>
      <x:c r="H74" s="18" t="n">
        <x:v>0</x:v>
      </x:c>
      <x:c r="I74" s="18"/>
      <x:c r="J74" s="20"/>
      <x:c r="K74" s="22"/>
      <x:c r="L74" s="11" t="str">
        <x:v>asymchem-AH-pe-v1.0</x:v>
      </x:c>
      <x:c r="M74" s="11" t="str">
        <x:v>2027-04-09</x:v>
      </x:c>
      <x:c r="O74" t="str">
        <x:v>CNY</x:v>
      </x:c>
      <x:c r="V74" t="str">
        <x:v>2027-04-09</x:v>
      </x:c>
      <x:c r="W74" t="str">
        <x:v>待核</x:v>
      </x:c>
      <x:c r="X74" t="str">
        <x:v>周末已解析；节假日需交易所对应年度日历核验，实际交易日待核</x:v>
      </x:c>
    </x:row>
    <x:row r="75" ht="23" customHeight="1">
      <x:c r="A75" s="15" t="str">
        <x:v>002821.SZ</x:v>
      </x:c>
      <x:c r="B75" s="15" t="str">
        <x:v>一年</x:v>
      </x:c>
      <x:c r="C75" s="15" t="str">
        <x:v>活动输入</x:v>
      </x:c>
      <x:c r="D75" s="15" t="str">
        <x:v>EPS</x:v>
      </x:c>
      <x:c r="E75" s="17" t="n">
        <x:f>CHOOSE($B$3,E76,E77,E78)</x:f>
        <x:v>6.5</x:v>
      </x:c>
      <x:c r="F75" s="17" t="n">
        <x:f>CHOOSE($B$3,F76,F77,F78)</x:f>
        <x:v>40</x:v>
      </x:c>
      <x:c r="G75" s="17" t="n">
        <x:f>CHOOSE($B$3,G76,G77,G78)</x:f>
        <x:v>1</x:v>
      </x:c>
      <x:c r="H75" s="17" t="n">
        <x:f>CHOOSE($B$3,H76,H77,H78)</x:f>
        <x:v>1.5</x:v>
      </x:c>
      <x:c r="I75" s="17" t="str">
        <x:f>CHOOSE($B$3,I76,I77,I78)</x:f>
      </x:c>
      <x:c r="J75" s="19" t="str">
        <x:f>CHOOSE($B$3,J76,J77,J78)</x:f>
      </x:c>
      <x:c r="K75" s="21" t="str">
        <x:f>CHOOSE($B$3,K76,K77,K78)</x:f>
      </x:c>
      <x:c r="L75" s="15" t="str">
        <x:v>asymchem-AH-pe-v1.0</x:v>
      </x:c>
      <x:c r="M75" s="15" t="str">
        <x:v>2027-10-09</x:v>
      </x:c>
      <x:c r="O75" t="str">
        <x:v>CNY</x:v>
      </x:c>
      <x:c r="V75" t="str">
        <x:v>2027-10-08</x:v>
      </x:c>
      <x:c r="W75" t="str">
        <x:v>待核</x:v>
      </x:c>
      <x:c r="X75" t="str">
        <x:v>周末已解析；节假日需交易所对应年度日历核验，实际交易日待核</x:v>
      </x:c>
    </x:row>
    <x:row r="76" ht="23" customHeight="1">
      <x:c r="A76" s="11" t="str">
        <x:v>002821.SZ</x:v>
      </x:c>
      <x:c r="B76" s="11" t="str">
        <x:v>一年</x:v>
      </x:c>
      <x:c r="C76" s="11" t="str">
        <x:v>悲观</x:v>
      </x:c>
      <x:c r="D76" s="11" t="str">
        <x:v>EPS</x:v>
      </x:c>
      <x:c r="E76" s="18" t="n">
        <x:v>3.3</x:v>
      </x:c>
      <x:c r="F76" s="18" t="n">
        <x:v>23</x:v>
      </x:c>
      <x:c r="G76" s="18" t="n">
        <x:v>1</x:v>
      </x:c>
      <x:c r="H76" s="18" t="n">
        <x:v>0.8</x:v>
      </x:c>
      <x:c r="I76" s="18"/>
      <x:c r="J76" s="20"/>
      <x:c r="K76" s="22"/>
      <x:c r="L76" s="11" t="str">
        <x:v>asymchem-AH-pe-v1.0</x:v>
      </x:c>
      <x:c r="M76" s="11" t="str">
        <x:v>2027-10-09</x:v>
      </x:c>
      <x:c r="O76" t="str">
        <x:v>CNY</x:v>
      </x:c>
      <x:c r="V76" t="str">
        <x:v>2027-10-08</x:v>
      </x:c>
      <x:c r="W76" t="str">
        <x:v>待核</x:v>
      </x:c>
      <x:c r="X76" t="str">
        <x:v>周末已解析；节假日需交易所对应年度日历核验，实际交易日待核</x:v>
      </x:c>
    </x:row>
    <x:row r="77" ht="23" customHeight="1">
      <x:c r="A77" s="11" t="str">
        <x:v>002821.SZ</x:v>
      </x:c>
      <x:c r="B77" s="11" t="str">
        <x:v>一年</x:v>
      </x:c>
      <x:c r="C77" s="11" t="str">
        <x:v>基准</x:v>
      </x:c>
      <x:c r="D77" s="11" t="str">
        <x:v>EPS</x:v>
      </x:c>
      <x:c r="E77" s="18" t="n">
        <x:v>6.5</x:v>
      </x:c>
      <x:c r="F77" s="18" t="n">
        <x:v>40</x:v>
      </x:c>
      <x:c r="G77" s="18" t="n">
        <x:v>1</x:v>
      </x:c>
      <x:c r="H77" s="18" t="n">
        <x:v>1.5</x:v>
      </x:c>
      <x:c r="I77" s="18"/>
      <x:c r="J77" s="20"/>
      <x:c r="K77" s="22"/>
      <x:c r="L77" s="11" t="str">
        <x:v>asymchem-AH-pe-v1.0</x:v>
      </x:c>
      <x:c r="M77" s="11" t="str">
        <x:v>2027-10-09</x:v>
      </x:c>
      <x:c r="O77" t="str">
        <x:v>CNY</x:v>
      </x:c>
      <x:c r="V77" t="str">
        <x:v>2027-10-08</x:v>
      </x:c>
      <x:c r="W77" t="str">
        <x:v>待核</x:v>
      </x:c>
      <x:c r="X77" t="str">
        <x:v>周末已解析；节假日需交易所对应年度日历核验，实际交易日待核</x:v>
      </x:c>
    </x:row>
    <x:row r="78" ht="23" customHeight="1">
      <x:c r="A78" s="11" t="str">
        <x:v>002821.SZ</x:v>
      </x:c>
      <x:c r="B78" s="11" t="str">
        <x:v>一年</x:v>
      </x:c>
      <x:c r="C78" s="11" t="str">
        <x:v>乐观</x:v>
      </x:c>
      <x:c r="D78" s="11" t="str">
        <x:v>EPS</x:v>
      </x:c>
      <x:c r="E78" s="18" t="n">
        <x:v>7.3</x:v>
      </x:c>
      <x:c r="F78" s="18" t="n">
        <x:v>50</x:v>
      </x:c>
      <x:c r="G78" s="18" t="n">
        <x:v>1</x:v>
      </x:c>
      <x:c r="H78" s="18" t="n">
        <x:v>2</x:v>
      </x:c>
      <x:c r="I78" s="18"/>
      <x:c r="J78" s="20"/>
      <x:c r="K78" s="22"/>
      <x:c r="L78" s="11" t="str">
        <x:v>asymchem-AH-pe-v1.0</x:v>
      </x:c>
      <x:c r="M78" s="11" t="str">
        <x:v>2027-10-09</x:v>
      </x:c>
      <x:c r="O78" t="str">
        <x:v>CNY</x:v>
      </x:c>
      <x:c r="V78" t="str">
        <x:v>2027-10-08</x:v>
      </x:c>
      <x:c r="W78" t="str">
        <x:v>待核</x:v>
      </x:c>
      <x:c r="X78" t="str">
        <x:v>周末已解析；节假日需交易所对应年度日历核验，实际交易日待核</x:v>
      </x:c>
    </x:row>
    <x:row r="79" ht="23" customHeight="1">
      <x:c r="A79" s="15" t="str">
        <x:v>002821.SZ</x:v>
      </x:c>
      <x:c r="B79" s="15" t="str">
        <x:v>三年</x:v>
      </x:c>
      <x:c r="C79" s="15" t="str">
        <x:v>活动输入</x:v>
      </x:c>
      <x:c r="D79" s="15" t="str">
        <x:v>EPS</x:v>
      </x:c>
      <x:c r="E79" s="17" t="n">
        <x:f>CHOOSE($B$3,E80,E81,E82)</x:f>
        <x:v>8.3</x:v>
      </x:c>
      <x:c r="F79" s="17" t="n">
        <x:f>CHOOSE($B$3,F80,F81,F82)</x:f>
        <x:v>35</x:v>
      </x:c>
      <x:c r="G79" s="17" t="n">
        <x:f>CHOOSE($B$3,G80,G81,G82)</x:f>
        <x:v>1</x:v>
      </x:c>
      <x:c r="H79" s="17" t="n">
        <x:f>CHOOSE($B$3,H80,H81,H82)</x:f>
        <x:v>6</x:v>
      </x:c>
      <x:c r="I79" s="17" t="str">
        <x:f>CHOOSE($B$3,I80,I81,I82)</x:f>
      </x:c>
      <x:c r="J79" s="19" t="str">
        <x:f>CHOOSE($B$3,J80,J81,J82)</x:f>
      </x:c>
      <x:c r="K79" s="21" t="str">
        <x:f>CHOOSE($B$3,K80,K81,K82)</x:f>
      </x:c>
      <x:c r="L79" s="15" t="str">
        <x:v>asymchem-AH-pe-v1.0</x:v>
      </x:c>
      <x:c r="M79" s="15" t="str">
        <x:v>2029-10-09</x:v>
      </x:c>
      <x:c r="O79" t="str">
        <x:v>CNY</x:v>
      </x:c>
      <x:c r="V79" t="str">
        <x:v>2029-10-09</x:v>
      </x:c>
      <x:c r="W79" t="str">
        <x:v>待核</x:v>
      </x:c>
      <x:c r="X79" t="str">
        <x:v>周末已解析；节假日需交易所对应年度日历核验，实际交易日待核</x:v>
      </x:c>
    </x:row>
    <x:row r="80" ht="23" customHeight="1">
      <x:c r="A80" s="11" t="str">
        <x:v>002821.SZ</x:v>
      </x:c>
      <x:c r="B80" s="11" t="str">
        <x:v>三年</x:v>
      </x:c>
      <x:c r="C80" s="11" t="str">
        <x:v>悲观</x:v>
      </x:c>
      <x:c r="D80" s="11" t="str">
        <x:v>EPS</x:v>
      </x:c>
      <x:c r="E80" s="18" t="n">
        <x:v>3.8</x:v>
      </x:c>
      <x:c r="F80" s="18" t="n">
        <x:v>22</x:v>
      </x:c>
      <x:c r="G80" s="18" t="n">
        <x:v>1</x:v>
      </x:c>
      <x:c r="H80" s="18" t="n">
        <x:v>3.3</x:v>
      </x:c>
      <x:c r="I80" s="18"/>
      <x:c r="J80" s="20"/>
      <x:c r="K80" s="22"/>
      <x:c r="L80" s="11" t="str">
        <x:v>asymchem-AH-pe-v1.0</x:v>
      </x:c>
      <x:c r="M80" s="11" t="str">
        <x:v>2029-10-09</x:v>
      </x:c>
      <x:c r="O80" t="str">
        <x:v>CNY</x:v>
      </x:c>
      <x:c r="V80" t="str">
        <x:v>2029-10-09</x:v>
      </x:c>
      <x:c r="W80" t="str">
        <x:v>待核</x:v>
      </x:c>
      <x:c r="X80" t="str">
        <x:v>周末已解析；节假日需交易所对应年度日历核验，实际交易日待核</x:v>
      </x:c>
    </x:row>
    <x:row r="81" ht="23" customHeight="1">
      <x:c r="A81" s="11" t="str">
        <x:v>002821.SZ</x:v>
      </x:c>
      <x:c r="B81" s="11" t="str">
        <x:v>三年</x:v>
      </x:c>
      <x:c r="C81" s="11" t="str">
        <x:v>基准</x:v>
      </x:c>
      <x:c r="D81" s="11" t="str">
        <x:v>EPS</x:v>
      </x:c>
      <x:c r="E81" s="18" t="n">
        <x:v>8.3</x:v>
      </x:c>
      <x:c r="F81" s="18" t="n">
        <x:v>35</x:v>
      </x:c>
      <x:c r="G81" s="18" t="n">
        <x:v>1</x:v>
      </x:c>
      <x:c r="H81" s="18" t="n">
        <x:v>6</x:v>
      </x:c>
      <x:c r="I81" s="18"/>
      <x:c r="J81" s="20"/>
      <x:c r="K81" s="22"/>
      <x:c r="L81" s="11" t="str">
        <x:v>asymchem-AH-pe-v1.0</x:v>
      </x:c>
      <x:c r="M81" s="11" t="str">
        <x:v>2029-10-09</x:v>
      </x:c>
      <x:c r="O81" t="str">
        <x:v>CNY</x:v>
      </x:c>
      <x:c r="V81" t="str">
        <x:v>2029-10-09</x:v>
      </x:c>
      <x:c r="W81" t="str">
        <x:v>待核</x:v>
      </x:c>
      <x:c r="X81" t="str">
        <x:v>周末已解析；节假日需交易所对应年度日历核验，实际交易日待核</x:v>
      </x:c>
    </x:row>
    <x:row r="82" ht="23" customHeight="1">
      <x:c r="A82" s="11" t="str">
        <x:v>002821.SZ</x:v>
      </x:c>
      <x:c r="B82" s="11" t="str">
        <x:v>三年</x:v>
      </x:c>
      <x:c r="C82" s="11" t="str">
        <x:v>乐观</x:v>
      </x:c>
      <x:c r="D82" s="11" t="str">
        <x:v>EPS</x:v>
      </x:c>
      <x:c r="E82" s="18" t="n">
        <x:v>12.5</x:v>
      </x:c>
      <x:c r="F82" s="18" t="n">
        <x:v>44</x:v>
      </x:c>
      <x:c r="G82" s="18" t="n">
        <x:v>1</x:v>
      </x:c>
      <x:c r="H82" s="18" t="n">
        <x:v>8.5</x:v>
      </x:c>
      <x:c r="I82" s="18"/>
      <x:c r="J82" s="20"/>
      <x:c r="K82" s="22"/>
      <x:c r="L82" s="11" t="str">
        <x:v>asymchem-AH-pe-v1.0</x:v>
      </x:c>
      <x:c r="M82" s="11" t="str">
        <x:v>2029-10-09</x:v>
      </x:c>
      <x:c r="O82" t="str">
        <x:v>CNY</x:v>
      </x:c>
      <x:c r="V82" t="str">
        <x:v>2029-10-09</x:v>
      </x:c>
      <x:c r="W82" t="str">
        <x:v>待核</x:v>
      </x:c>
      <x:c r="X82" t="str">
        <x:v>周末已解析；节假日需交易所对应年度日历核验，实际交易日待核</x:v>
      </x:c>
    </x:row>
    <x:row r="83" ht="23" customHeight="1">
      <x:c r="A83" s="15" t="str">
        <x:v>002821.SZ</x:v>
      </x:c>
      <x:c r="B83" s="15" t="str">
        <x:v>五年</x:v>
      </x:c>
      <x:c r="C83" s="15" t="str">
        <x:v>活动输入</x:v>
      </x:c>
      <x:c r="D83" s="15" t="str">
        <x:v>EPS</x:v>
      </x:c>
      <x:c r="E83" s="17" t="n">
        <x:f>CHOOSE($B$3,E84,E85,E86)</x:f>
        <x:v>11.5</x:v>
      </x:c>
      <x:c r="F83" s="17" t="n">
        <x:f>CHOOSE($B$3,F84,F85,F86)</x:f>
        <x:v>32</x:v>
      </x:c>
      <x:c r="G83" s="17" t="n">
        <x:f>CHOOSE($B$3,G84,G85,G86)</x:f>
        <x:v>1</x:v>
      </x:c>
      <x:c r="H83" s="17" t="n">
        <x:f>CHOOSE($B$3,H84,H85,H86)</x:f>
        <x:v>11</x:v>
      </x:c>
      <x:c r="I83" s="17" t="str">
        <x:f>CHOOSE($B$3,I84,I85,I86)</x:f>
      </x:c>
      <x:c r="J83" s="19" t="str">
        <x:f>CHOOSE($B$3,J84,J85,J86)</x:f>
      </x:c>
      <x:c r="K83" s="21" t="str">
        <x:f>CHOOSE($B$3,K84,K85,K86)</x:f>
      </x:c>
      <x:c r="L83" s="15" t="str">
        <x:v>asymchem-AH-pe-v1.0</x:v>
      </x:c>
      <x:c r="M83" s="15" t="str">
        <x:v>2031-10-09</x:v>
      </x:c>
      <x:c r="O83" t="str">
        <x:v>CNY</x:v>
      </x:c>
      <x:c r="V83" t="str">
        <x:v>2031-10-09</x:v>
      </x:c>
      <x:c r="W83" t="str">
        <x:v>待核</x:v>
      </x:c>
      <x:c r="X83" t="str">
        <x:v>周末已解析；节假日需交易所对应年度日历核验，实际交易日待核</x:v>
      </x:c>
    </x:row>
    <x:row r="84" ht="23" customHeight="1">
      <x:c r="A84" s="11" t="str">
        <x:v>002821.SZ</x:v>
      </x:c>
      <x:c r="B84" s="11" t="str">
        <x:v>五年</x:v>
      </x:c>
      <x:c r="C84" s="11" t="str">
        <x:v>悲观</x:v>
      </x:c>
      <x:c r="D84" s="11" t="str">
        <x:v>EPS</x:v>
      </x:c>
      <x:c r="E84" s="18" t="n">
        <x:v>4.2</x:v>
      </x:c>
      <x:c r="F84" s="18" t="n">
        <x:v>20</x:v>
      </x:c>
      <x:c r="G84" s="18" t="n">
        <x:v>1</x:v>
      </x:c>
      <x:c r="H84" s="18" t="n">
        <x:v>6</x:v>
      </x:c>
      <x:c r="I84" s="18"/>
      <x:c r="J84" s="20"/>
      <x:c r="K84" s="22"/>
      <x:c r="L84" s="11" t="str">
        <x:v>asymchem-AH-pe-v1.0</x:v>
      </x:c>
      <x:c r="M84" s="11" t="str">
        <x:v>2031-10-09</x:v>
      </x:c>
      <x:c r="O84" t="str">
        <x:v>CNY</x:v>
      </x:c>
      <x:c r="V84" t="str">
        <x:v>2031-10-09</x:v>
      </x:c>
      <x:c r="W84" t="str">
        <x:v>待核</x:v>
      </x:c>
      <x:c r="X84" t="str">
        <x:v>周末已解析；节假日需交易所对应年度日历核验，实际交易日待核</x:v>
      </x:c>
    </x:row>
    <x:row r="85" ht="23" customHeight="1">
      <x:c r="A85" s="11" t="str">
        <x:v>002821.SZ</x:v>
      </x:c>
      <x:c r="B85" s="11" t="str">
        <x:v>五年</x:v>
      </x:c>
      <x:c r="C85" s="11" t="str">
        <x:v>基准</x:v>
      </x:c>
      <x:c r="D85" s="11" t="str">
        <x:v>EPS</x:v>
      </x:c>
      <x:c r="E85" s="18" t="n">
        <x:v>11.5</x:v>
      </x:c>
      <x:c r="F85" s="18" t="n">
        <x:v>32</x:v>
      </x:c>
      <x:c r="G85" s="18" t="n">
        <x:v>1</x:v>
      </x:c>
      <x:c r="H85" s="18" t="n">
        <x:v>11</x:v>
      </x:c>
      <x:c r="I85" s="18"/>
      <x:c r="J85" s="20"/>
      <x:c r="K85" s="22"/>
      <x:c r="L85" s="11" t="str">
        <x:v>asymchem-AH-pe-v1.0</x:v>
      </x:c>
      <x:c r="M85" s="11" t="str">
        <x:v>2031-10-09</x:v>
      </x:c>
      <x:c r="O85" t="str">
        <x:v>CNY</x:v>
      </x:c>
      <x:c r="V85" t="str">
        <x:v>2031-10-09</x:v>
      </x:c>
      <x:c r="W85" t="str">
        <x:v>待核</x:v>
      </x:c>
      <x:c r="X85" t="str">
        <x:v>周末已解析；节假日需交易所对应年度日历核验，实际交易日待核</x:v>
      </x:c>
    </x:row>
    <x:row r="86" ht="23" customHeight="1">
      <x:c r="A86" s="11" t="str">
        <x:v>002821.SZ</x:v>
      </x:c>
      <x:c r="B86" s="11" t="str">
        <x:v>五年</x:v>
      </x:c>
      <x:c r="C86" s="11" t="str">
        <x:v>乐观</x:v>
      </x:c>
      <x:c r="D86" s="11" t="str">
        <x:v>EPS</x:v>
      </x:c>
      <x:c r="E86" s="18" t="n">
        <x:v>19</x:v>
      </x:c>
      <x:c r="F86" s="18" t="n">
        <x:v>40</x:v>
      </x:c>
      <x:c r="G86" s="18" t="n">
        <x:v>1</x:v>
      </x:c>
      <x:c r="H86" s="18" t="n">
        <x:v>17</x:v>
      </x:c>
      <x:c r="I86" s="18"/>
      <x:c r="J86" s="20"/>
      <x:c r="K86" s="22"/>
      <x:c r="L86" s="11" t="str">
        <x:v>asymchem-AH-pe-v1.0</x:v>
      </x:c>
      <x:c r="M86" s="11" t="str">
        <x:v>2031-10-09</x:v>
      </x:c>
      <x:c r="O86" t="str">
        <x:v>CNY</x:v>
      </x:c>
      <x:c r="V86" t="str">
        <x:v>2031-10-09</x:v>
      </x:c>
      <x:c r="W86" t="str">
        <x:v>待核</x:v>
      </x:c>
      <x:c r="X86" t="str">
        <x:v>周末已解析；节假日需交易所对应年度日历核验，实际交易日待核</x:v>
      </x:c>
    </x:row>
    <x:row r="87" ht="23" customHeight="1">
      <x:c r="A87" s="15" t="str">
        <x:v>06821.HK</x:v>
      </x:c>
      <x:c r="B87" s="15" t="str">
        <x:v>2026年底</x:v>
      </x:c>
      <x:c r="C87" s="15" t="str">
        <x:v>活动输入</x:v>
      </x:c>
      <x:c r="D87" s="15" t="str">
        <x:v>EPS</x:v>
      </x:c>
      <x:c r="E87" s="17" t="n">
        <x:f>CHOOSE($B$3,E88,E89,E90)</x:f>
        <x:v>4</x:v>
      </x:c>
      <x:c r="F87" s="17" t="n">
        <x:f>CHOOSE($B$3,F88,F89,F90)</x:f>
        <x:v>33</x:v>
      </x:c>
      <x:c r="G87" s="17" t="n">
        <x:f>CHOOSE($B$3,G88,G89,G90)</x:f>
        <x:v>1.1</x:v>
      </x:c>
      <x:c r="H87" s="17" t="n">
        <x:f>CHOOSE($B$3,H88,H89,H90)</x:f>
        <x:v>0</x:v>
      </x:c>
      <x:c r="I87" s="17" t="n">
        <x:f>CHOOSE($B$3,I88,I89,I90)</x:f>
        <x:v>0</x:v>
      </x:c>
      <x:c r="J87" s="19" t="n">
        <x:f>CHOOSE($B$3,J88,J89,J90)</x:f>
        <x:v>0</x:v>
      </x:c>
      <x:c r="K87" s="21" t="str">
        <x:f>CHOOSE($B$3,K88,K89,K90)</x:f>
      </x:c>
      <x:c r="L87" s="15" t="str">
        <x:v>asymchem-AH-pe-v1.0</x:v>
      </x:c>
      <x:c r="M87" s="15" t="str">
        <x:v>2026-12-31</x:v>
      </x:c>
      <x:c r="O87" t="str">
        <x:v>CNY</x:v>
      </x:c>
      <x:c r="V87" t="str">
        <x:v>2026-12-31</x:v>
      </x:c>
      <x:c r="W87" t="str">
        <x:v>待核</x:v>
      </x:c>
      <x:c r="X87" t="str">
        <x:v>周末已解析；节假日需交易所对应年度日历核验，实际交易日待核</x:v>
      </x:c>
    </x:row>
    <x:row r="88" ht="23" customHeight="1">
      <x:c r="A88" s="11" t="str">
        <x:v>06821.HK</x:v>
      </x:c>
      <x:c r="B88" s="11" t="str">
        <x:v>2026年底</x:v>
      </x:c>
      <x:c r="C88" s="11" t="str">
        <x:v>悲观</x:v>
      </x:c>
      <x:c r="D88" s="11" t="str">
        <x:v>EPS</x:v>
      </x:c>
      <x:c r="E88" s="18" t="n">
        <x:f>E68</x:f>
        <x:v>2.8</x:v>
      </x:c>
      <x:c r="F88" s="18" t="n">
        <x:v>20</x:v>
      </x:c>
      <x:c r="G88" s="18" t="n">
        <x:v>1.1</x:v>
      </x:c>
      <x:c r="H88" s="18" t="n">
        <x:v>0</x:v>
      </x:c>
      <x:c r="I88" s="18" t="n">
        <x:f>I68</x:f>
        <x:v>0</x:v>
      </x:c>
      <x:c r="J88" s="20" t="n">
        <x:f>J68</x:f>
        <x:v>0</x:v>
      </x:c>
      <x:c r="K88" s="22" t="n">
        <x:f>K68</x:f>
        <x:v>0</x:v>
      </x:c>
      <x:c r="L88" s="11" t="str">
        <x:v>asymchem-AH-pe-v1.0</x:v>
      </x:c>
      <x:c r="M88" s="11" t="str">
        <x:v>2026-12-31</x:v>
      </x:c>
      <x:c r="O88" t="str">
        <x:v>CNY</x:v>
      </x:c>
      <x:c r="V88" t="str">
        <x:v>2026-12-31</x:v>
      </x:c>
      <x:c r="W88" t="str">
        <x:v>待核</x:v>
      </x:c>
      <x:c r="X88" t="str">
        <x:v>周末已解析；节假日需交易所对应年度日历核验，实际交易日待核</x:v>
      </x:c>
    </x:row>
    <x:row r="89" ht="23" customHeight="1">
      <x:c r="A89" s="11" t="str">
        <x:v>06821.HK</x:v>
      </x:c>
      <x:c r="B89" s="11" t="str">
        <x:v>2026年底</x:v>
      </x:c>
      <x:c r="C89" s="11" t="str">
        <x:v>基准</x:v>
      </x:c>
      <x:c r="D89" s="11" t="str">
        <x:v>EPS</x:v>
      </x:c>
      <x:c r="E89" s="18" t="n">
        <x:f>E69</x:f>
        <x:v>4</x:v>
      </x:c>
      <x:c r="F89" s="18" t="n">
        <x:v>33</x:v>
      </x:c>
      <x:c r="G89" s="18" t="n">
        <x:v>1.1</x:v>
      </x:c>
      <x:c r="H89" s="18" t="n">
        <x:v>0</x:v>
      </x:c>
      <x:c r="I89" s="18" t="n">
        <x:f>I69</x:f>
        <x:v>0</x:v>
      </x:c>
      <x:c r="J89" s="20" t="n">
        <x:f>J69</x:f>
        <x:v>0</x:v>
      </x:c>
      <x:c r="K89" s="22" t="n">
        <x:f>K69</x:f>
        <x:v>0</x:v>
      </x:c>
      <x:c r="L89" s="11" t="str">
        <x:v>asymchem-AH-pe-v1.0</x:v>
      </x:c>
      <x:c r="M89" s="11" t="str">
        <x:v>2026-12-31</x:v>
      </x:c>
      <x:c r="O89" t="str">
        <x:v>CNY</x:v>
      </x:c>
      <x:c r="V89" t="str">
        <x:v>2026-12-31</x:v>
      </x:c>
      <x:c r="W89" t="str">
        <x:v>待核</x:v>
      </x:c>
      <x:c r="X89" t="str">
        <x:v>周末已解析；节假日需交易所对应年度日历核验，实际交易日待核</x:v>
      </x:c>
    </x:row>
    <x:row r="90" ht="23" customHeight="1">
      <x:c r="A90" s="11" t="str">
        <x:v>06821.HK</x:v>
      </x:c>
      <x:c r="B90" s="11" t="str">
        <x:v>2026年底</x:v>
      </x:c>
      <x:c r="C90" s="11" t="str">
        <x:v>乐观</x:v>
      </x:c>
      <x:c r="D90" s="11" t="str">
        <x:v>EPS</x:v>
      </x:c>
      <x:c r="E90" s="18" t="n">
        <x:f>E70</x:f>
        <x:v>5</x:v>
      </x:c>
      <x:c r="F90" s="18" t="n">
        <x:v>44</x:v>
      </x:c>
      <x:c r="G90" s="18" t="n">
        <x:v>1.1</x:v>
      </x:c>
      <x:c r="H90" s="18" t="n">
        <x:v>0</x:v>
      </x:c>
      <x:c r="I90" s="18" t="n">
        <x:f>I70</x:f>
        <x:v>0</x:v>
      </x:c>
      <x:c r="J90" s="20" t="n">
        <x:f>J70</x:f>
        <x:v>0</x:v>
      </x:c>
      <x:c r="K90" s="22" t="n">
        <x:f>K70</x:f>
        <x:v>0</x:v>
      </x:c>
      <x:c r="L90" s="11" t="str">
        <x:v>asymchem-AH-pe-v1.0</x:v>
      </x:c>
      <x:c r="M90" s="11" t="str">
        <x:v>2026-12-31</x:v>
      </x:c>
      <x:c r="O90" t="str">
        <x:v>CNY</x:v>
      </x:c>
      <x:c r="V90" t="str">
        <x:v>2026-12-31</x:v>
      </x:c>
      <x:c r="W90" t="str">
        <x:v>待核</x:v>
      </x:c>
      <x:c r="X90" t="str">
        <x:v>周末已解析；节假日需交易所对应年度日历核验，实际交易日待核</x:v>
      </x:c>
    </x:row>
    <x:row r="91" ht="23" customHeight="1">
      <x:c r="A91" s="15" t="str">
        <x:v>06821.HK</x:v>
      </x:c>
      <x:c r="B91" s="15" t="str">
        <x:v>半年</x:v>
      </x:c>
      <x:c r="C91" s="15" t="str">
        <x:v>活动输入</x:v>
      </x:c>
      <x:c r="D91" s="15" t="str">
        <x:v>EPS</x:v>
      </x:c>
      <x:c r="E91" s="17" t="n">
        <x:f>CHOOSE($B$3,E92,E93,E94)</x:f>
        <x:v>4.5</x:v>
      </x:c>
      <x:c r="F91" s="17" t="n">
        <x:f>CHOOSE($B$3,F92,F93,F94)</x:f>
        <x:v>34</x:v>
      </x:c>
      <x:c r="G91" s="17" t="n">
        <x:f>CHOOSE($B$3,G92,G93,G94)</x:f>
        <x:v>1.1</x:v>
      </x:c>
      <x:c r="H91" s="17" t="n">
        <x:f>CHOOSE($B$3,H92,H93,H94)</x:f>
        <x:v>0</x:v>
      </x:c>
      <x:c r="I91" s="17" t="n">
        <x:f>CHOOSE($B$3,I92,I93,I94)</x:f>
        <x:v>0</x:v>
      </x:c>
      <x:c r="J91" s="19" t="n">
        <x:f>CHOOSE($B$3,J92,J93,J94)</x:f>
        <x:v>0</x:v>
      </x:c>
      <x:c r="K91" s="21" t="str">
        <x:f>CHOOSE($B$3,K92,K93,K94)</x:f>
      </x:c>
      <x:c r="L91" s="15" t="str">
        <x:v>asymchem-AH-pe-v1.0</x:v>
      </x:c>
      <x:c r="M91" s="15" t="str">
        <x:v>2027-04-09</x:v>
      </x:c>
      <x:c r="O91" t="str">
        <x:v>CNY</x:v>
      </x:c>
      <x:c r="V91" t="str">
        <x:v>2027-04-09</x:v>
      </x:c>
      <x:c r="W91" t="str">
        <x:v>待核</x:v>
      </x:c>
      <x:c r="X91" t="str">
        <x:v>周末已解析；节假日需交易所对应年度日历核验，实际交易日待核</x:v>
      </x:c>
    </x:row>
    <x:row r="92" ht="23" customHeight="1">
      <x:c r="A92" s="11" t="str">
        <x:v>06821.HK</x:v>
      </x:c>
      <x:c r="B92" s="11" t="str">
        <x:v>半年</x:v>
      </x:c>
      <x:c r="C92" s="11" t="str">
        <x:v>悲观</x:v>
      </x:c>
      <x:c r="D92" s="11" t="str">
        <x:v>EPS</x:v>
      </x:c>
      <x:c r="E92" s="18" t="n">
        <x:f>E72</x:f>
        <x:v>3</x:v>
      </x:c>
      <x:c r="F92" s="18" t="n">
        <x:v>20</x:v>
      </x:c>
      <x:c r="G92" s="18" t="n">
        <x:v>1.1</x:v>
      </x:c>
      <x:c r="H92" s="18" t="n">
        <x:v>0</x:v>
      </x:c>
      <x:c r="I92" s="18" t="n">
        <x:f>I72</x:f>
        <x:v>0</x:v>
      </x:c>
      <x:c r="J92" s="20" t="n">
        <x:f>J72</x:f>
        <x:v>0</x:v>
      </x:c>
      <x:c r="K92" s="22" t="n">
        <x:f>K72</x:f>
        <x:v>0</x:v>
      </x:c>
      <x:c r="L92" s="11" t="str">
        <x:v>asymchem-AH-pe-v1.0</x:v>
      </x:c>
      <x:c r="M92" s="11" t="str">
        <x:v>2027-04-09</x:v>
      </x:c>
      <x:c r="O92" t="str">
        <x:v>CNY</x:v>
      </x:c>
      <x:c r="V92" t="str">
        <x:v>2027-04-09</x:v>
      </x:c>
      <x:c r="W92" t="str">
        <x:v>待核</x:v>
      </x:c>
      <x:c r="X92" t="str">
        <x:v>周末已解析；节假日需交易所对应年度日历核验，实际交易日待核</x:v>
      </x:c>
    </x:row>
    <x:row r="93" ht="23" customHeight="1">
      <x:c r="A93" s="11" t="str">
        <x:v>06821.HK</x:v>
      </x:c>
      <x:c r="B93" s="11" t="str">
        <x:v>半年</x:v>
      </x:c>
      <x:c r="C93" s="11" t="str">
        <x:v>基准</x:v>
      </x:c>
      <x:c r="D93" s="11" t="str">
        <x:v>EPS</x:v>
      </x:c>
      <x:c r="E93" s="18" t="n">
        <x:f>E73</x:f>
        <x:v>4.5</x:v>
      </x:c>
      <x:c r="F93" s="18" t="n">
        <x:v>34</x:v>
      </x:c>
      <x:c r="G93" s="18" t="n">
        <x:v>1.1</x:v>
      </x:c>
      <x:c r="H93" s="18" t="n">
        <x:v>0</x:v>
      </x:c>
      <x:c r="I93" s="18" t="n">
        <x:f>I73</x:f>
        <x:v>0</x:v>
      </x:c>
      <x:c r="J93" s="20" t="n">
        <x:f>J73</x:f>
        <x:v>0</x:v>
      </x:c>
      <x:c r="K93" s="22" t="n">
        <x:f>K73</x:f>
        <x:v>0</x:v>
      </x:c>
      <x:c r="L93" s="11" t="str">
        <x:v>asymchem-AH-pe-v1.0</x:v>
      </x:c>
      <x:c r="M93" s="11" t="str">
        <x:v>2027-04-09</x:v>
      </x:c>
      <x:c r="O93" t="str">
        <x:v>CNY</x:v>
      </x:c>
      <x:c r="V93" t="str">
        <x:v>2027-04-09</x:v>
      </x:c>
      <x:c r="W93" t="str">
        <x:v>待核</x:v>
      </x:c>
      <x:c r="X93" t="str">
        <x:v>周末已解析；节假日需交易所对应年度日历核验，实际交易日待核</x:v>
      </x:c>
    </x:row>
    <x:row r="94" ht="23" customHeight="1">
      <x:c r="A94" s="11" t="str">
        <x:v>06821.HK</x:v>
      </x:c>
      <x:c r="B94" s="11" t="str">
        <x:v>半年</x:v>
      </x:c>
      <x:c r="C94" s="11" t="str">
        <x:v>乐观</x:v>
      </x:c>
      <x:c r="D94" s="11" t="str">
        <x:v>EPS</x:v>
      </x:c>
      <x:c r="E94" s="18" t="n">
        <x:f>E74</x:f>
        <x:v>5.8</x:v>
      </x:c>
      <x:c r="F94" s="18" t="n">
        <x:v>44</x:v>
      </x:c>
      <x:c r="G94" s="18" t="n">
        <x:v>1.1</x:v>
      </x:c>
      <x:c r="H94" s="18" t="n">
        <x:v>0</x:v>
      </x:c>
      <x:c r="I94" s="18" t="n">
        <x:f>I74</x:f>
        <x:v>0</x:v>
      </x:c>
      <x:c r="J94" s="20" t="n">
        <x:f>J74</x:f>
        <x:v>0</x:v>
      </x:c>
      <x:c r="K94" s="22" t="n">
        <x:f>K74</x:f>
        <x:v>0</x:v>
      </x:c>
      <x:c r="L94" s="11" t="str">
        <x:v>asymchem-AH-pe-v1.0</x:v>
      </x:c>
      <x:c r="M94" s="11" t="str">
        <x:v>2027-04-09</x:v>
      </x:c>
      <x:c r="O94" t="str">
        <x:v>CNY</x:v>
      </x:c>
      <x:c r="V94" t="str">
        <x:v>2027-04-09</x:v>
      </x:c>
      <x:c r="W94" t="str">
        <x:v>待核</x:v>
      </x:c>
      <x:c r="X94" t="str">
        <x:v>周末已解析；节假日需交易所对应年度日历核验，实际交易日待核</x:v>
      </x:c>
    </x:row>
    <x:row r="95" ht="23" customHeight="1">
      <x:c r="A95" s="15" t="str">
        <x:v>06821.HK</x:v>
      </x:c>
      <x:c r="B95" s="15" t="str">
        <x:v>一年</x:v>
      </x:c>
      <x:c r="C95" s="15" t="str">
        <x:v>活动输入</x:v>
      </x:c>
      <x:c r="D95" s="15" t="str">
        <x:v>EPS</x:v>
      </x:c>
      <x:c r="E95" s="17" t="n">
        <x:f>CHOOSE($B$3,E96,E97,E98)</x:f>
        <x:v>6.5</x:v>
      </x:c>
      <x:c r="F95" s="17" t="n">
        <x:f>CHOOSE($B$3,F96,F97,F98)</x:f>
        <x:v>34</x:v>
      </x:c>
      <x:c r="G95" s="17" t="n">
        <x:f>CHOOSE($B$3,G96,G97,G98)</x:f>
        <x:v>1.1</x:v>
      </x:c>
      <x:c r="H95" s="17" t="n">
        <x:f>CHOOSE($B$3,H96,H97,H98)</x:f>
        <x:v>1.6500000000000001</x:v>
      </x:c>
      <x:c r="I95" s="17" t="n">
        <x:f>CHOOSE($B$3,I96,I97,I98)</x:f>
        <x:v>0</x:v>
      </x:c>
      <x:c r="J95" s="19" t="n">
        <x:f>CHOOSE($B$3,J96,J97,J98)</x:f>
        <x:v>0</x:v>
      </x:c>
      <x:c r="K95" s="21" t="str">
        <x:f>CHOOSE($B$3,K96,K97,K98)</x:f>
      </x:c>
      <x:c r="L95" s="15" t="str">
        <x:v>asymchem-AH-pe-v1.0</x:v>
      </x:c>
      <x:c r="M95" s="15" t="str">
        <x:v>2027-10-09</x:v>
      </x:c>
      <x:c r="O95" t="str">
        <x:v>CNY</x:v>
      </x:c>
      <x:c r="V95" t="str">
        <x:v>2027-10-08</x:v>
      </x:c>
      <x:c r="W95" t="str">
        <x:v>待核</x:v>
      </x:c>
      <x:c r="X95" t="str">
        <x:v>周末已解析；节假日需交易所对应年度日历核验，实际交易日待核</x:v>
      </x:c>
    </x:row>
    <x:row r="96" ht="23" customHeight="1">
      <x:c r="A96" s="11" t="str">
        <x:v>06821.HK</x:v>
      </x:c>
      <x:c r="B96" s="11" t="str">
        <x:v>一年</x:v>
      </x:c>
      <x:c r="C96" s="11" t="str">
        <x:v>悲观</x:v>
      </x:c>
      <x:c r="D96" s="11" t="str">
        <x:v>EPS</x:v>
      </x:c>
      <x:c r="E96" s="18" t="n">
        <x:f>E76</x:f>
        <x:v>3.3</x:v>
      </x:c>
      <x:c r="F96" s="18" t="n">
        <x:v>20</x:v>
      </x:c>
      <x:c r="G96" s="18" t="n">
        <x:v>1.1</x:v>
      </x:c>
      <x:c r="H96" s="18" t="n">
        <x:v>0.8800000000000001</x:v>
      </x:c>
      <x:c r="I96" s="18" t="n">
        <x:f>I76</x:f>
        <x:v>0</x:v>
      </x:c>
      <x:c r="J96" s="20" t="n">
        <x:f>J76</x:f>
        <x:v>0</x:v>
      </x:c>
      <x:c r="K96" s="22" t="n">
        <x:f>K76</x:f>
        <x:v>0</x:v>
      </x:c>
      <x:c r="L96" s="11" t="str">
        <x:v>asymchem-AH-pe-v1.0</x:v>
      </x:c>
      <x:c r="M96" s="11" t="str">
        <x:v>2027-10-09</x:v>
      </x:c>
      <x:c r="O96" t="str">
        <x:v>CNY</x:v>
      </x:c>
      <x:c r="V96" t="str">
        <x:v>2027-10-08</x:v>
      </x:c>
      <x:c r="W96" t="str">
        <x:v>待核</x:v>
      </x:c>
      <x:c r="X96" t="str">
        <x:v>周末已解析；节假日需交易所对应年度日历核验，实际交易日待核</x:v>
      </x:c>
    </x:row>
    <x:row r="97" ht="23" customHeight="1">
      <x:c r="A97" s="11" t="str">
        <x:v>06821.HK</x:v>
      </x:c>
      <x:c r="B97" s="11" t="str">
        <x:v>一年</x:v>
      </x:c>
      <x:c r="C97" s="11" t="str">
        <x:v>基准</x:v>
      </x:c>
      <x:c r="D97" s="11" t="str">
        <x:v>EPS</x:v>
      </x:c>
      <x:c r="E97" s="18" t="n">
        <x:f>E77</x:f>
        <x:v>6.5</x:v>
      </x:c>
      <x:c r="F97" s="18" t="n">
        <x:v>34</x:v>
      </x:c>
      <x:c r="G97" s="18" t="n">
        <x:v>1.1</x:v>
      </x:c>
      <x:c r="H97" s="18" t="n">
        <x:v>1.6500000000000001</x:v>
      </x:c>
      <x:c r="I97" s="18" t="n">
        <x:f>I77</x:f>
        <x:v>0</x:v>
      </x:c>
      <x:c r="J97" s="20" t="n">
        <x:f>J77</x:f>
        <x:v>0</x:v>
      </x:c>
      <x:c r="K97" s="22" t="n">
        <x:f>K77</x:f>
        <x:v>0</x:v>
      </x:c>
      <x:c r="L97" s="11" t="str">
        <x:v>asymchem-AH-pe-v1.0</x:v>
      </x:c>
      <x:c r="M97" s="11" t="str">
        <x:v>2027-10-09</x:v>
      </x:c>
      <x:c r="O97" t="str">
        <x:v>CNY</x:v>
      </x:c>
      <x:c r="V97" t="str">
        <x:v>2027-10-08</x:v>
      </x:c>
      <x:c r="W97" t="str">
        <x:v>待核</x:v>
      </x:c>
      <x:c r="X97" t="str">
        <x:v>周末已解析；节假日需交易所对应年度日历核验，实际交易日待核</x:v>
      </x:c>
    </x:row>
    <x:row r="98" ht="23" customHeight="1">
      <x:c r="A98" s="11" t="str">
        <x:v>06821.HK</x:v>
      </x:c>
      <x:c r="B98" s="11" t="str">
        <x:v>一年</x:v>
      </x:c>
      <x:c r="C98" s="11" t="str">
        <x:v>乐观</x:v>
      </x:c>
      <x:c r="D98" s="11" t="str">
        <x:v>EPS</x:v>
      </x:c>
      <x:c r="E98" s="18" t="n">
        <x:f>E78</x:f>
        <x:v>7.3</x:v>
      </x:c>
      <x:c r="F98" s="18" t="n">
        <x:v>42</x:v>
      </x:c>
      <x:c r="G98" s="18" t="n">
        <x:v>1.1</x:v>
      </x:c>
      <x:c r="H98" s="18" t="n">
        <x:v>2.2</x:v>
      </x:c>
      <x:c r="I98" s="18" t="n">
        <x:f>I78</x:f>
        <x:v>0</x:v>
      </x:c>
      <x:c r="J98" s="20" t="n">
        <x:f>J78</x:f>
        <x:v>0</x:v>
      </x:c>
      <x:c r="K98" s="22" t="n">
        <x:f>K78</x:f>
        <x:v>0</x:v>
      </x:c>
      <x:c r="L98" s="11" t="str">
        <x:v>asymchem-AH-pe-v1.0</x:v>
      </x:c>
      <x:c r="M98" s="11" t="str">
        <x:v>2027-10-09</x:v>
      </x:c>
      <x:c r="O98" t="str">
        <x:v>CNY</x:v>
      </x:c>
      <x:c r="V98" t="str">
        <x:v>2027-10-08</x:v>
      </x:c>
      <x:c r="W98" t="str">
        <x:v>待核</x:v>
      </x:c>
      <x:c r="X98" t="str">
        <x:v>周末已解析；节假日需交易所对应年度日历核验，实际交易日待核</x:v>
      </x:c>
    </x:row>
    <x:row r="99" ht="23" customHeight="1">
      <x:c r="A99" s="15" t="str">
        <x:v>06821.HK</x:v>
      </x:c>
      <x:c r="B99" s="15" t="str">
        <x:v>三年</x:v>
      </x:c>
      <x:c r="C99" s="15" t="str">
        <x:v>活动输入</x:v>
      </x:c>
      <x:c r="D99" s="15" t="str">
        <x:v>EPS</x:v>
      </x:c>
      <x:c r="E99" s="17" t="n">
        <x:f>CHOOSE($B$3,E100,E101,E102)</x:f>
        <x:v>8.3</x:v>
      </x:c>
      <x:c r="F99" s="17" t="n">
        <x:f>CHOOSE($B$3,F100,F101,F102)</x:f>
        <x:v>30</x:v>
      </x:c>
      <x:c r="G99" s="17" t="n">
        <x:f>CHOOSE($B$3,G100,G101,G102)</x:f>
        <x:v>1.1</x:v>
      </x:c>
      <x:c r="H99" s="17" t="n">
        <x:f>CHOOSE($B$3,H100,H101,H102)</x:f>
        <x:v>6.6000000000000005</x:v>
      </x:c>
      <x:c r="I99" s="17" t="n">
        <x:f>CHOOSE($B$3,I100,I101,I102)</x:f>
        <x:v>0</x:v>
      </x:c>
      <x:c r="J99" s="19" t="n">
        <x:f>CHOOSE($B$3,J100,J101,J102)</x:f>
        <x:v>0</x:v>
      </x:c>
      <x:c r="K99" s="21" t="str">
        <x:f>CHOOSE($B$3,K100,K101,K102)</x:f>
      </x:c>
      <x:c r="L99" s="15" t="str">
        <x:v>asymchem-AH-pe-v1.0</x:v>
      </x:c>
      <x:c r="M99" s="15" t="str">
        <x:v>2029-10-09</x:v>
      </x:c>
      <x:c r="O99" t="str">
        <x:v>CNY</x:v>
      </x:c>
      <x:c r="V99" t="str">
        <x:v>2029-10-09</x:v>
      </x:c>
      <x:c r="W99" t="str">
        <x:v>待核</x:v>
      </x:c>
      <x:c r="X99" t="str">
        <x:v>周末已解析；节假日需交易所对应年度日历核验，实际交易日待核</x:v>
      </x:c>
    </x:row>
    <x:row r="100" ht="23" customHeight="1">
      <x:c r="A100" s="11" t="str">
        <x:v>06821.HK</x:v>
      </x:c>
      <x:c r="B100" s="11" t="str">
        <x:v>三年</x:v>
      </x:c>
      <x:c r="C100" s="11" t="str">
        <x:v>悲观</x:v>
      </x:c>
      <x:c r="D100" s="11" t="str">
        <x:v>EPS</x:v>
      </x:c>
      <x:c r="E100" s="18" t="n">
        <x:f>E80</x:f>
        <x:v>3.8</x:v>
      </x:c>
      <x:c r="F100" s="18" t="n">
        <x:v>20</x:v>
      </x:c>
      <x:c r="G100" s="18" t="n">
        <x:v>1.1</x:v>
      </x:c>
      <x:c r="H100" s="18" t="n">
        <x:v>3.63</x:v>
      </x:c>
      <x:c r="I100" s="18" t="n">
        <x:f>I80</x:f>
        <x:v>0</x:v>
      </x:c>
      <x:c r="J100" s="20" t="n">
        <x:f>J80</x:f>
        <x:v>0</x:v>
      </x:c>
      <x:c r="K100" s="22" t="n">
        <x:f>K80</x:f>
        <x:v>0</x:v>
      </x:c>
      <x:c r="L100" s="11" t="str">
        <x:v>asymchem-AH-pe-v1.0</x:v>
      </x:c>
      <x:c r="M100" s="11" t="str">
        <x:v>2029-10-09</x:v>
      </x:c>
      <x:c r="O100" t="str">
        <x:v>CNY</x:v>
      </x:c>
      <x:c r="V100" t="str">
        <x:v>2029-10-09</x:v>
      </x:c>
      <x:c r="W100" t="str">
        <x:v>待核</x:v>
      </x:c>
      <x:c r="X100" t="str">
        <x:v>周末已解析；节假日需交易所对应年度日历核验，实际交易日待核</x:v>
      </x:c>
    </x:row>
    <x:row r="101" ht="23" customHeight="1">
      <x:c r="A101" s="11" t="str">
        <x:v>06821.HK</x:v>
      </x:c>
      <x:c r="B101" s="11" t="str">
        <x:v>三年</x:v>
      </x:c>
      <x:c r="C101" s="11" t="str">
        <x:v>基准</x:v>
      </x:c>
      <x:c r="D101" s="11" t="str">
        <x:v>EPS</x:v>
      </x:c>
      <x:c r="E101" s="18" t="n">
        <x:f>E81</x:f>
        <x:v>8.3</x:v>
      </x:c>
      <x:c r="F101" s="18" t="n">
        <x:v>30</x:v>
      </x:c>
      <x:c r="G101" s="18" t="n">
        <x:v>1.1</x:v>
      </x:c>
      <x:c r="H101" s="18" t="n">
        <x:v>6.6000000000000005</x:v>
      </x:c>
      <x:c r="I101" s="18" t="n">
        <x:f>I81</x:f>
        <x:v>0</x:v>
      </x:c>
      <x:c r="J101" s="20" t="n">
        <x:f>J81</x:f>
        <x:v>0</x:v>
      </x:c>
      <x:c r="K101" s="22" t="n">
        <x:f>K81</x:f>
        <x:v>0</x:v>
      </x:c>
      <x:c r="L101" s="11" t="str">
        <x:v>asymchem-AH-pe-v1.0</x:v>
      </x:c>
      <x:c r="M101" s="11" t="str">
        <x:v>2029-10-09</x:v>
      </x:c>
      <x:c r="O101" t="str">
        <x:v>CNY</x:v>
      </x:c>
      <x:c r="V101" t="str">
        <x:v>2029-10-09</x:v>
      </x:c>
      <x:c r="W101" t="str">
        <x:v>待核</x:v>
      </x:c>
      <x:c r="X101" t="str">
        <x:v>周末已解析；节假日需交易所对应年度日历核验，实际交易日待核</x:v>
      </x:c>
    </x:row>
    <x:row r="102" ht="23" customHeight="1">
      <x:c r="A102" s="11" t="str">
        <x:v>06821.HK</x:v>
      </x:c>
      <x:c r="B102" s="11" t="str">
        <x:v>三年</x:v>
      </x:c>
      <x:c r="C102" s="11" t="str">
        <x:v>乐观</x:v>
      </x:c>
      <x:c r="D102" s="11" t="str">
        <x:v>EPS</x:v>
      </x:c>
      <x:c r="E102" s="18" t="n">
        <x:f>E82</x:f>
        <x:v>12.5</x:v>
      </x:c>
      <x:c r="F102" s="18" t="n">
        <x:v>39</x:v>
      </x:c>
      <x:c r="G102" s="18" t="n">
        <x:v>1.1</x:v>
      </x:c>
      <x:c r="H102" s="18" t="n">
        <x:v>9.350000000000001</x:v>
      </x:c>
      <x:c r="I102" s="18" t="n">
        <x:f>I82</x:f>
        <x:v>0</x:v>
      </x:c>
      <x:c r="J102" s="20" t="n">
        <x:f>J82</x:f>
        <x:v>0</x:v>
      </x:c>
      <x:c r="K102" s="22" t="n">
        <x:f>K82</x:f>
        <x:v>0</x:v>
      </x:c>
      <x:c r="L102" s="11" t="str">
        <x:v>asymchem-AH-pe-v1.0</x:v>
      </x:c>
      <x:c r="M102" s="11" t="str">
        <x:v>2029-10-09</x:v>
      </x:c>
      <x:c r="O102" t="str">
        <x:v>CNY</x:v>
      </x:c>
      <x:c r="V102" t="str">
        <x:v>2029-10-09</x:v>
      </x:c>
      <x:c r="W102" t="str">
        <x:v>待核</x:v>
      </x:c>
      <x:c r="X102" t="str">
        <x:v>周末已解析；节假日需交易所对应年度日历核验，实际交易日待核</x:v>
      </x:c>
    </x:row>
    <x:row r="103" ht="23" customHeight="1">
      <x:c r="A103" s="15" t="str">
        <x:v>06821.HK</x:v>
      </x:c>
      <x:c r="B103" s="15" t="str">
        <x:v>五年</x:v>
      </x:c>
      <x:c r="C103" s="15" t="str">
        <x:v>活动输入</x:v>
      </x:c>
      <x:c r="D103" s="15" t="str">
        <x:v>EPS</x:v>
      </x:c>
      <x:c r="E103" s="17" t="n">
        <x:f>CHOOSE($B$3,E104,E105,E106)</x:f>
        <x:v>11.5</x:v>
      </x:c>
      <x:c r="F103" s="17" t="n">
        <x:f>CHOOSE($B$3,F104,F105,F106)</x:f>
        <x:v>28</x:v>
      </x:c>
      <x:c r="G103" s="17" t="n">
        <x:f>CHOOSE($B$3,G104,G105,G106)</x:f>
        <x:v>1.1</x:v>
      </x:c>
      <x:c r="H103" s="17" t="n">
        <x:f>CHOOSE($B$3,H104,H105,H106)</x:f>
        <x:v>12.100000000000001</x:v>
      </x:c>
      <x:c r="I103" s="17" t="n">
        <x:f>CHOOSE($B$3,I104,I105,I106)</x:f>
        <x:v>0</x:v>
      </x:c>
      <x:c r="J103" s="19" t="n">
        <x:f>CHOOSE($B$3,J104,J105,J106)</x:f>
        <x:v>0</x:v>
      </x:c>
      <x:c r="K103" s="21" t="str">
        <x:f>CHOOSE($B$3,K104,K105,K106)</x:f>
      </x:c>
      <x:c r="L103" s="15" t="str">
        <x:v>asymchem-AH-pe-v1.0</x:v>
      </x:c>
      <x:c r="M103" s="15" t="str">
        <x:v>2031-10-09</x:v>
      </x:c>
      <x:c r="O103" t="str">
        <x:v>CNY</x:v>
      </x:c>
      <x:c r="V103" t="str">
        <x:v>2031-10-09</x:v>
      </x:c>
      <x:c r="W103" t="str">
        <x:v>待核</x:v>
      </x:c>
      <x:c r="X103" t="str">
        <x:v>周末已解析；节假日需交易所对应年度日历核验，实际交易日待核</x:v>
      </x:c>
    </x:row>
    <x:row r="104" ht="23" customHeight="1">
      <x:c r="A104" s="11" t="str">
        <x:v>06821.HK</x:v>
      </x:c>
      <x:c r="B104" s="11" t="str">
        <x:v>五年</x:v>
      </x:c>
      <x:c r="C104" s="11" t="str">
        <x:v>悲观</x:v>
      </x:c>
      <x:c r="D104" s="11" t="str">
        <x:v>EPS</x:v>
      </x:c>
      <x:c r="E104" s="18" t="n">
        <x:f>E84</x:f>
        <x:v>4.2</x:v>
      </x:c>
      <x:c r="F104" s="18" t="n">
        <x:v>18</x:v>
      </x:c>
      <x:c r="G104" s="18" t="n">
        <x:v>1.1</x:v>
      </x:c>
      <x:c r="H104" s="18" t="n">
        <x:v>6.6000000000000005</x:v>
      </x:c>
      <x:c r="I104" s="18" t="n">
        <x:f>I84</x:f>
        <x:v>0</x:v>
      </x:c>
      <x:c r="J104" s="20" t="n">
        <x:f>J84</x:f>
        <x:v>0</x:v>
      </x:c>
      <x:c r="K104" s="22" t="n">
        <x:f>K84</x:f>
        <x:v>0</x:v>
      </x:c>
      <x:c r="L104" s="11" t="str">
        <x:v>asymchem-AH-pe-v1.0</x:v>
      </x:c>
      <x:c r="M104" s="11" t="str">
        <x:v>2031-10-09</x:v>
      </x:c>
      <x:c r="O104" t="str">
        <x:v>CNY</x:v>
      </x:c>
      <x:c r="V104" t="str">
        <x:v>2031-10-09</x:v>
      </x:c>
      <x:c r="W104" t="str">
        <x:v>待核</x:v>
      </x:c>
      <x:c r="X104" t="str">
        <x:v>周末已解析；节假日需交易所对应年度日历核验，实际交易日待核</x:v>
      </x:c>
    </x:row>
    <x:row r="105" ht="23" customHeight="1">
      <x:c r="A105" s="11" t="str">
        <x:v>06821.HK</x:v>
      </x:c>
      <x:c r="B105" s="11" t="str">
        <x:v>五年</x:v>
      </x:c>
      <x:c r="C105" s="11" t="str">
        <x:v>基准</x:v>
      </x:c>
      <x:c r="D105" s="11" t="str">
        <x:v>EPS</x:v>
      </x:c>
      <x:c r="E105" s="18" t="n">
        <x:f>E85</x:f>
        <x:v>11.5</x:v>
      </x:c>
      <x:c r="F105" s="18" t="n">
        <x:v>28</x:v>
      </x:c>
      <x:c r="G105" s="18" t="n">
        <x:v>1.1</x:v>
      </x:c>
      <x:c r="H105" s="18" t="n">
        <x:v>12.100000000000001</x:v>
      </x:c>
      <x:c r="I105" s="18" t="n">
        <x:f>I85</x:f>
        <x:v>0</x:v>
      </x:c>
      <x:c r="J105" s="20" t="n">
        <x:f>J85</x:f>
        <x:v>0</x:v>
      </x:c>
      <x:c r="K105" s="22" t="n">
        <x:f>K85</x:f>
        <x:v>0</x:v>
      </x:c>
      <x:c r="L105" s="11" t="str">
        <x:v>asymchem-AH-pe-v1.0</x:v>
      </x:c>
      <x:c r="M105" s="11" t="str">
        <x:v>2031-10-09</x:v>
      </x:c>
      <x:c r="O105" t="str">
        <x:v>CNY</x:v>
      </x:c>
      <x:c r="V105" t="str">
        <x:v>2031-10-09</x:v>
      </x:c>
      <x:c r="W105" t="str">
        <x:v>待核</x:v>
      </x:c>
      <x:c r="X105" t="str">
        <x:v>周末已解析；节假日需交易所对应年度日历核验，实际交易日待核</x:v>
      </x:c>
    </x:row>
    <x:row r="106" ht="23" customHeight="1">
      <x:c r="A106" s="11" t="str">
        <x:v>06821.HK</x:v>
      </x:c>
      <x:c r="B106" s="11" t="str">
        <x:v>五年</x:v>
      </x:c>
      <x:c r="C106" s="11" t="str">
        <x:v>乐观</x:v>
      </x:c>
      <x:c r="D106" s="11" t="str">
        <x:v>EPS</x:v>
      </x:c>
      <x:c r="E106" s="18" t="n">
        <x:f>E86</x:f>
        <x:v>19</x:v>
      </x:c>
      <x:c r="F106" s="18" t="n">
        <x:v>36</x:v>
      </x:c>
      <x:c r="G106" s="18" t="n">
        <x:v>1.1</x:v>
      </x:c>
      <x:c r="H106" s="18" t="n">
        <x:v>18.700000000000003</x:v>
      </x:c>
      <x:c r="I106" s="18" t="n">
        <x:f>I86</x:f>
        <x:v>0</x:v>
      </x:c>
      <x:c r="J106" s="20" t="n">
        <x:f>J86</x:f>
        <x:v>0</x:v>
      </x:c>
      <x:c r="K106" s="22" t="n">
        <x:f>K86</x:f>
        <x:v>0</x:v>
      </x:c>
      <x:c r="L106" s="11" t="str">
        <x:v>asymchem-AH-pe-v1.0</x:v>
      </x:c>
      <x:c r="M106" s="11" t="str">
        <x:v>2031-10-09</x:v>
      </x:c>
      <x:c r="O106" t="str">
        <x:v>CNY</x:v>
      </x:c>
      <x:c r="V106" t="str">
        <x:v>2031-10-09</x:v>
      </x:c>
      <x:c r="W106" t="str">
        <x:v>待核</x:v>
      </x:c>
      <x:c r="X106" t="str">
        <x:v>周末已解析；节假日需交易所对应年度日历核验，实际交易日待核</x:v>
      </x:c>
    </x:row>
    <x:row r="107" ht="23" customHeight="1">
      <x:c r="A107" s="15" t="str">
        <x:v>09888.HK</x:v>
      </x:c>
      <x:c r="B107" s="15" t="str">
        <x:v>2026年底</x:v>
      </x:c>
      <x:c r="C107" s="15" t="str">
        <x:v>活动输入</x:v>
      </x:c>
      <x:c r="D107" s="15" t="str">
        <x:v>EPS</x:v>
      </x:c>
      <x:c r="E107" s="17" t="n">
        <x:f>CHOOSE($B$3,E108,E109,E110)</x:f>
        <x:v>4.806</x:v>
      </x:c>
      <x:c r="F107" s="17" t="n">
        <x:f>CHOOSE($B$3,F108,F109,F110)</x:f>
        <x:v>19</x:v>
      </x:c>
      <x:c r="G107" s="17" t="n">
        <x:f>CHOOSE($B$3,G108,G109,G110)</x:f>
        <x:v>1.1</x:v>
      </x:c>
      <x:c r="H107" s="17" t="n">
        <x:f>CHOOSE($B$3,H108,H109,H110)</x:f>
        <x:v>0</x:v>
      </x:c>
      <x:c r="I107" s="17" t="str">
        <x:f>CHOOSE($B$3,I108,I109,I110)</x:f>
      </x:c>
      <x:c r="J107" s="19" t="str">
        <x:f>CHOOSE($B$3,J108,J109,J110)</x:f>
      </x:c>
      <x:c r="K107" s="21" t="str">
        <x:f>CHOOSE($B$3,K108,K109,K110)</x:f>
      </x:c>
      <x:c r="L107" s="15" t="str">
        <x:v>baidu-mutually-exclusive-normalized-v1.0</x:v>
      </x:c>
      <x:c r="M107" s="15" t="str">
        <x:v>2026-12-31</x:v>
      </x:c>
      <x:c r="O107" t="str">
        <x:v>CNY</x:v>
      </x:c>
      <x:c r="V107" t="str">
        <x:v>2026-12-31</x:v>
      </x:c>
      <x:c r="W107" t="str">
        <x:v>待核</x:v>
      </x:c>
      <x:c r="X107" t="str">
        <x:v>周末已解析；节假日需交易所对应年度日历核验，实际交易日待核</x:v>
      </x:c>
    </x:row>
    <x:row r="108" ht="23" customHeight="1">
      <x:c r="A108" s="11" t="str">
        <x:v>09888.HK</x:v>
      </x:c>
      <x:c r="B108" s="11" t="str">
        <x:v>2026年底</x:v>
      </x:c>
      <x:c r="C108" s="11" t="str">
        <x:v>悲观</x:v>
      </x:c>
      <x:c r="D108" s="11" t="str">
        <x:v>EPS</x:v>
      </x:c>
      <x:c r="E108" s="18" t="n">
        <x:v>2.228</x:v>
      </x:c>
      <x:c r="F108" s="18" t="n">
        <x:v>12</x:v>
      </x:c>
      <x:c r="G108" s="18" t="n">
        <x:v>1.1</x:v>
      </x:c>
      <x:c r="H108" s="18" t="n">
        <x:v>0</x:v>
      </x:c>
      <x:c r="I108" s="18"/>
      <x:c r="J108" s="20"/>
      <x:c r="K108" s="22"/>
      <x:c r="L108" s="11" t="str">
        <x:v>baidu-mutually-exclusive-normalized-v1.0</x:v>
      </x:c>
      <x:c r="M108" s="11" t="str">
        <x:v>2026-12-31</x:v>
      </x:c>
      <x:c r="O108" t="str">
        <x:v>CNY</x:v>
      </x:c>
      <x:c r="V108" t="str">
        <x:v>2026-12-31</x:v>
      </x:c>
      <x:c r="W108" t="str">
        <x:v>待核</x:v>
      </x:c>
      <x:c r="X108" t="str">
        <x:v>周末已解析；节假日需交易所对应年度日历核验，实际交易日待核</x:v>
      </x:c>
    </x:row>
    <x:row r="109" ht="23" customHeight="1">
      <x:c r="A109" s="11" t="str">
        <x:v>09888.HK</x:v>
      </x:c>
      <x:c r="B109" s="11" t="str">
        <x:v>2026年底</x:v>
      </x:c>
      <x:c r="C109" s="11" t="str">
        <x:v>基准</x:v>
      </x:c>
      <x:c r="D109" s="11" t="str">
        <x:v>EPS</x:v>
      </x:c>
      <x:c r="E109" s="18" t="n">
        <x:v>4.806</x:v>
      </x:c>
      <x:c r="F109" s="18" t="n">
        <x:v>19</x:v>
      </x:c>
      <x:c r="G109" s="18" t="n">
        <x:v>1.1</x:v>
      </x:c>
      <x:c r="H109" s="18" t="n">
        <x:v>0</x:v>
      </x:c>
      <x:c r="I109" s="18"/>
      <x:c r="J109" s="20"/>
      <x:c r="K109" s="22"/>
      <x:c r="L109" s="11" t="str">
        <x:v>baidu-mutually-exclusive-normalized-v1.0</x:v>
      </x:c>
      <x:c r="M109" s="11" t="str">
        <x:v>2026-12-31</x:v>
      </x:c>
      <x:c r="O109" t="str">
        <x:v>CNY</x:v>
      </x:c>
      <x:c r="V109" t="str">
        <x:v>2026-12-31</x:v>
      </x:c>
      <x:c r="W109" t="str">
        <x:v>待核</x:v>
      </x:c>
      <x:c r="X109" t="str">
        <x:v>周末已解析；节假日需交易所对应年度日历核验，实际交易日待核</x:v>
      </x:c>
    </x:row>
    <x:row r="110" ht="23" customHeight="1">
      <x:c r="A110" s="11" t="str">
        <x:v>09888.HK</x:v>
      </x:c>
      <x:c r="B110" s="11" t="str">
        <x:v>2026年底</x:v>
      </x:c>
      <x:c r="C110" s="11" t="str">
        <x:v>乐观</x:v>
      </x:c>
      <x:c r="D110" s="11" t="str">
        <x:v>EPS</x:v>
      </x:c>
      <x:c r="E110" s="18" t="n">
        <x:v>7.548</x:v>
      </x:c>
      <x:c r="F110" s="18" t="n">
        <x:v>24</x:v>
      </x:c>
      <x:c r="G110" s="18" t="n">
        <x:v>1.1</x:v>
      </x:c>
      <x:c r="H110" s="18" t="n">
        <x:v>0</x:v>
      </x:c>
      <x:c r="I110" s="18"/>
      <x:c r="J110" s="20"/>
      <x:c r="K110" s="22"/>
      <x:c r="L110" s="11" t="str">
        <x:v>baidu-mutually-exclusive-normalized-v1.0</x:v>
      </x:c>
      <x:c r="M110" s="11" t="str">
        <x:v>2026-12-31</x:v>
      </x:c>
      <x:c r="O110" t="str">
        <x:v>CNY</x:v>
      </x:c>
      <x:c r="V110" t="str">
        <x:v>2026-12-31</x:v>
      </x:c>
      <x:c r="W110" t="str">
        <x:v>待核</x:v>
      </x:c>
      <x:c r="X110" t="str">
        <x:v>周末已解析；节假日需交易所对应年度日历核验，实际交易日待核</x:v>
      </x:c>
    </x:row>
    <x:row r="111" ht="23" customHeight="1">
      <x:c r="A111" s="15" t="str">
        <x:v>09888.HK</x:v>
      </x:c>
      <x:c r="B111" s="15" t="str">
        <x:v>半年</x:v>
      </x:c>
      <x:c r="C111" s="15" t="str">
        <x:v>活动输入</x:v>
      </x:c>
      <x:c r="D111" s="15" t="str">
        <x:v>EPS</x:v>
      </x:c>
      <x:c r="E111" s="17" t="n">
        <x:f>CHOOSE($B$3,E112,E113,E114)</x:f>
        <x:v>4.888</x:v>
      </x:c>
      <x:c r="F111" s="17" t="n">
        <x:f>CHOOSE($B$3,F112,F113,F114)</x:f>
        <x:v>20</x:v>
      </x:c>
      <x:c r="G111" s="17" t="n">
        <x:f>CHOOSE($B$3,G112,G113,G114)</x:f>
        <x:v>1.1</x:v>
      </x:c>
      <x:c r="H111" s="17" t="n">
        <x:f>CHOOSE($B$3,H112,H113,H114)</x:f>
        <x:v>0</x:v>
      </x:c>
      <x:c r="I111" s="17" t="str">
        <x:f>CHOOSE($B$3,I112,I113,I114)</x:f>
      </x:c>
      <x:c r="J111" s="19" t="str">
        <x:f>CHOOSE($B$3,J112,J113,J114)</x:f>
      </x:c>
      <x:c r="K111" s="21" t="str">
        <x:f>CHOOSE($B$3,K112,K113,K114)</x:f>
      </x:c>
      <x:c r="L111" s="15" t="str">
        <x:v>baidu-mutually-exclusive-normalized-v1.0</x:v>
      </x:c>
      <x:c r="M111" s="15" t="str">
        <x:v>2027-04-09</x:v>
      </x:c>
      <x:c r="O111" t="str">
        <x:v>CNY</x:v>
      </x:c>
      <x:c r="V111" t="str">
        <x:v>2027-04-09</x:v>
      </x:c>
      <x:c r="W111" t="str">
        <x:v>待核</x:v>
      </x:c>
      <x:c r="X111" t="str">
        <x:v>周末已解析；节假日需交易所对应年度日历核验，实际交易日待核</x:v>
      </x:c>
    </x:row>
    <x:row r="112" ht="23" customHeight="1">
      <x:c r="A112" s="11" t="str">
        <x:v>09888.HK</x:v>
      </x:c>
      <x:c r="B112" s="11" t="str">
        <x:v>半年</x:v>
      </x:c>
      <x:c r="C112" s="11" t="str">
        <x:v>悲观</x:v>
      </x:c>
      <x:c r="D112" s="11" t="str">
        <x:v>EPS</x:v>
      </x:c>
      <x:c r="E112" s="18" t="n">
        <x:v>1.804</x:v>
      </x:c>
      <x:c r="F112" s="18" t="n">
        <x:v>12</x:v>
      </x:c>
      <x:c r="G112" s="18" t="n">
        <x:v>1.1</x:v>
      </x:c>
      <x:c r="H112" s="18" t="n">
        <x:v>0</x:v>
      </x:c>
      <x:c r="I112" s="18"/>
      <x:c r="J112" s="20"/>
      <x:c r="K112" s="22"/>
      <x:c r="L112" s="11" t="str">
        <x:v>baidu-mutually-exclusive-normalized-v1.0</x:v>
      </x:c>
      <x:c r="M112" s="11" t="str">
        <x:v>2027-04-09</x:v>
      </x:c>
      <x:c r="O112" t="str">
        <x:v>CNY</x:v>
      </x:c>
      <x:c r="V112" t="str">
        <x:v>2027-04-09</x:v>
      </x:c>
      <x:c r="W112" t="str">
        <x:v>待核</x:v>
      </x:c>
      <x:c r="X112" t="str">
        <x:v>周末已解析；节假日需交易所对应年度日历核验，实际交易日待核</x:v>
      </x:c>
    </x:row>
    <x:row r="113" ht="23" customHeight="1">
      <x:c r="A113" s="11" t="str">
        <x:v>09888.HK</x:v>
      </x:c>
      <x:c r="B113" s="11" t="str">
        <x:v>半年</x:v>
      </x:c>
      <x:c r="C113" s="11" t="str">
        <x:v>基准</x:v>
      </x:c>
      <x:c r="D113" s="11" t="str">
        <x:v>EPS</x:v>
      </x:c>
      <x:c r="E113" s="18" t="n">
        <x:v>4.888</x:v>
      </x:c>
      <x:c r="F113" s="18" t="n">
        <x:v>20</x:v>
      </x:c>
      <x:c r="G113" s="18" t="n">
        <x:v>1.1</x:v>
      </x:c>
      <x:c r="H113" s="18" t="n">
        <x:v>0</x:v>
      </x:c>
      <x:c r="I113" s="18"/>
      <x:c r="J113" s="20"/>
      <x:c r="K113" s="22"/>
      <x:c r="L113" s="11" t="str">
        <x:v>baidu-mutually-exclusive-normalized-v1.0</x:v>
      </x:c>
      <x:c r="M113" s="11" t="str">
        <x:v>2027-04-09</x:v>
      </x:c>
      <x:c r="O113" t="str">
        <x:v>CNY</x:v>
      </x:c>
      <x:c r="V113" t="str">
        <x:v>2027-04-09</x:v>
      </x:c>
      <x:c r="W113" t="str">
        <x:v>待核</x:v>
      </x:c>
      <x:c r="X113" t="str">
        <x:v>周末已解析；节假日需交易所对应年度日历核验，实际交易日待核</x:v>
      </x:c>
    </x:row>
    <x:row r="114" ht="23" customHeight="1">
      <x:c r="A114" s="11" t="str">
        <x:v>09888.HK</x:v>
      </x:c>
      <x:c r="B114" s="11" t="str">
        <x:v>半年</x:v>
      </x:c>
      <x:c r="C114" s="11" t="str">
        <x:v>乐观</x:v>
      </x:c>
      <x:c r="D114" s="11" t="str">
        <x:v>EPS</x:v>
      </x:c>
      <x:c r="E114" s="18" t="n">
        <x:v>8.302</x:v>
      </x:c>
      <x:c r="F114" s="18" t="n">
        <x:v>25</x:v>
      </x:c>
      <x:c r="G114" s="18" t="n">
        <x:v>1.1</x:v>
      </x:c>
      <x:c r="H114" s="18" t="n">
        <x:v>0</x:v>
      </x:c>
      <x:c r="I114" s="18"/>
      <x:c r="J114" s="20"/>
      <x:c r="K114" s="22"/>
      <x:c r="L114" s="11" t="str">
        <x:v>baidu-mutually-exclusive-normalized-v1.0</x:v>
      </x:c>
      <x:c r="M114" s="11" t="str">
        <x:v>2027-04-09</x:v>
      </x:c>
      <x:c r="O114" t="str">
        <x:v>CNY</x:v>
      </x:c>
      <x:c r="V114" t="str">
        <x:v>2027-04-09</x:v>
      </x:c>
      <x:c r="W114" t="str">
        <x:v>待核</x:v>
      </x:c>
      <x:c r="X114" t="str">
        <x:v>周末已解析；节假日需交易所对应年度日历核验，实际交易日待核</x:v>
      </x:c>
    </x:row>
    <x:row r="115" ht="23" customHeight="1">
      <x:c r="A115" s="15" t="str">
        <x:v>09888.HK</x:v>
      </x:c>
      <x:c r="B115" s="15" t="str">
        <x:v>一年</x:v>
      </x:c>
      <x:c r="C115" s="15" t="str">
        <x:v>活动输入</x:v>
      </x:c>
      <x:c r="D115" s="15" t="str">
        <x:v>EPS</x:v>
      </x:c>
      <x:c r="E115" s="17" t="n">
        <x:f>CHOOSE($B$3,E116,E117,E118)</x:f>
        <x:v>5.131</x:v>
      </x:c>
      <x:c r="F115" s="17" t="n">
        <x:f>CHOOSE($B$3,F116,F117,F118)</x:f>
        <x:v>21</x:v>
      </x:c>
      <x:c r="G115" s="17" t="n">
        <x:f>CHOOSE($B$3,G116,G117,G118)</x:f>
        <x:v>1.1</x:v>
      </x:c>
      <x:c r="H115" s="17" t="n">
        <x:f>CHOOSE($B$3,H116,H117,H118)</x:f>
        <x:v>0</x:v>
      </x:c>
      <x:c r="I115" s="17" t="str">
        <x:f>CHOOSE($B$3,I116,I117,I118)</x:f>
      </x:c>
      <x:c r="J115" s="19" t="str">
        <x:f>CHOOSE($B$3,J116,J117,J118)</x:f>
      </x:c>
      <x:c r="K115" s="21" t="str">
        <x:f>CHOOSE($B$3,K116,K117,K118)</x:f>
      </x:c>
      <x:c r="L115" s="15" t="str">
        <x:v>baidu-mutually-exclusive-normalized-v1.0</x:v>
      </x:c>
      <x:c r="M115" s="15" t="str">
        <x:v>2027-10-09</x:v>
      </x:c>
      <x:c r="O115" t="str">
        <x:v>CNY</x:v>
      </x:c>
      <x:c r="V115" t="str">
        <x:v>2027-10-08</x:v>
      </x:c>
      <x:c r="W115" t="str">
        <x:v>待核</x:v>
      </x:c>
      <x:c r="X115" t="str">
        <x:v>周末已解析；节假日需交易所对应年度日历核验，实际交易日待核</x:v>
      </x:c>
    </x:row>
    <x:row r="116" ht="23" customHeight="1">
      <x:c r="A116" s="11" t="str">
        <x:v>09888.HK</x:v>
      </x:c>
      <x:c r="B116" s="11" t="str">
        <x:v>一年</x:v>
      </x:c>
      <x:c r="C116" s="11" t="str">
        <x:v>悲观</x:v>
      </x:c>
      <x:c r="D116" s="11" t="str">
        <x:v>EPS</x:v>
      </x:c>
      <x:c r="E116" s="18" t="n">
        <x:v>1.272</x:v>
      </x:c>
      <x:c r="F116" s="18" t="n">
        <x:v>11</x:v>
      </x:c>
      <x:c r="G116" s="18" t="n">
        <x:v>1.1</x:v>
      </x:c>
      <x:c r="H116" s="18" t="n">
        <x:v>0</x:v>
      </x:c>
      <x:c r="I116" s="18"/>
      <x:c r="J116" s="20"/>
      <x:c r="K116" s="22"/>
      <x:c r="L116" s="11" t="str">
        <x:v>baidu-mutually-exclusive-normalized-v1.0</x:v>
      </x:c>
      <x:c r="M116" s="11" t="str">
        <x:v>2027-10-09</x:v>
      </x:c>
      <x:c r="O116" t="str">
        <x:v>CNY</x:v>
      </x:c>
      <x:c r="V116" t="str">
        <x:v>2027-10-08</x:v>
      </x:c>
      <x:c r="W116" t="str">
        <x:v>待核</x:v>
      </x:c>
      <x:c r="X116" t="str">
        <x:v>周末已解析；节假日需交易所对应年度日历核验，实际交易日待核</x:v>
      </x:c>
    </x:row>
    <x:row r="117" ht="23" customHeight="1">
      <x:c r="A117" s="11" t="str">
        <x:v>09888.HK</x:v>
      </x:c>
      <x:c r="B117" s="11" t="str">
        <x:v>一年</x:v>
      </x:c>
      <x:c r="C117" s="11" t="str">
        <x:v>基准</x:v>
      </x:c>
      <x:c r="D117" s="11" t="str">
        <x:v>EPS</x:v>
      </x:c>
      <x:c r="E117" s="18" t="n">
        <x:v>5.131</x:v>
      </x:c>
      <x:c r="F117" s="18" t="n">
        <x:v>21</x:v>
      </x:c>
      <x:c r="G117" s="18" t="n">
        <x:v>1.1</x:v>
      </x:c>
      <x:c r="H117" s="18" t="n">
        <x:v>0</x:v>
      </x:c>
      <x:c r="I117" s="18"/>
      <x:c r="J117" s="20"/>
      <x:c r="K117" s="22"/>
      <x:c r="L117" s="11" t="str">
        <x:v>baidu-mutually-exclusive-normalized-v1.0</x:v>
      </x:c>
      <x:c r="M117" s="11" t="str">
        <x:v>2027-10-09</x:v>
      </x:c>
      <x:c r="O117" t="str">
        <x:v>CNY</x:v>
      </x:c>
      <x:c r="V117" t="str">
        <x:v>2027-10-08</x:v>
      </x:c>
      <x:c r="W117" t="str">
        <x:v>待核</x:v>
      </x:c>
      <x:c r="X117" t="str">
        <x:v>周末已解析；节假日需交易所对应年度日历核验，实际交易日待核</x:v>
      </x:c>
    </x:row>
    <x:row r="118" ht="23" customHeight="1">
      <x:c r="A118" s="11" t="str">
        <x:v>09888.HK</x:v>
      </x:c>
      <x:c r="B118" s="11" t="str">
        <x:v>一年</x:v>
      </x:c>
      <x:c r="C118" s="11" t="str">
        <x:v>乐观</x:v>
      </x:c>
      <x:c r="D118" s="11" t="str">
        <x:v>EPS</x:v>
      </x:c>
      <x:c r="E118" s="18" t="n">
        <x:v>10.09</x:v>
      </x:c>
      <x:c r="F118" s="18" t="n">
        <x:v>26</x:v>
      </x:c>
      <x:c r="G118" s="18" t="n">
        <x:v>1.1</x:v>
      </x:c>
      <x:c r="H118" s="18" t="n">
        <x:v>1</x:v>
      </x:c>
      <x:c r="I118" s="18"/>
      <x:c r="J118" s="20"/>
      <x:c r="K118" s="22"/>
      <x:c r="L118" s="11" t="str">
        <x:v>baidu-mutually-exclusive-normalized-v1.0</x:v>
      </x:c>
      <x:c r="M118" s="11" t="str">
        <x:v>2027-10-09</x:v>
      </x:c>
      <x:c r="O118" t="str">
        <x:v>CNY</x:v>
      </x:c>
      <x:c r="V118" t="str">
        <x:v>2027-10-08</x:v>
      </x:c>
      <x:c r="W118" t="str">
        <x:v>待核</x:v>
      </x:c>
      <x:c r="X118" t="str">
        <x:v>周末已解析；节假日需交易所对应年度日历核验，实际交易日待核</x:v>
      </x:c>
    </x:row>
    <x:row r="119" ht="23" customHeight="1">
      <x:c r="A119" s="15" t="str">
        <x:v>09888.HK</x:v>
      </x:c>
      <x:c r="B119" s="15" t="str">
        <x:v>三年</x:v>
      </x:c>
      <x:c r="C119" s="15" t="str">
        <x:v>活动输入</x:v>
      </x:c>
      <x:c r="D119" s="15" t="str">
        <x:v>EPS</x:v>
      </x:c>
      <x:c r="E119" s="17" t="n">
        <x:f>CHOOSE($B$3,E120,E121,E122)</x:f>
        <x:v>6.82</x:v>
      </x:c>
      <x:c r="F119" s="17" t="n">
        <x:f>CHOOSE($B$3,F120,F121,F122)</x:f>
        <x:v>23</x:v>
      </x:c>
      <x:c r="G119" s="17" t="n">
        <x:f>CHOOSE($B$3,G120,G121,G122)</x:f>
        <x:v>1.1</x:v>
      </x:c>
      <x:c r="H119" s="17" t="n">
        <x:f>CHOOSE($B$3,H120,H121,H122)</x:f>
        <x:v>3</x:v>
      </x:c>
      <x:c r="I119" s="17" t="str">
        <x:f>CHOOSE($B$3,I120,I121,I122)</x:f>
      </x:c>
      <x:c r="J119" s="19" t="str">
        <x:f>CHOOSE($B$3,J120,J121,J122)</x:f>
      </x:c>
      <x:c r="K119" s="21" t="str">
        <x:f>CHOOSE($B$3,K120,K121,K122)</x:f>
      </x:c>
      <x:c r="L119" s="15" t="str">
        <x:v>baidu-mutually-exclusive-normalized-v1.0</x:v>
      </x:c>
      <x:c r="M119" s="15" t="str">
        <x:v>2029-10-09</x:v>
      </x:c>
      <x:c r="O119" t="str">
        <x:v>CNY</x:v>
      </x:c>
      <x:c r="V119" t="str">
        <x:v>2029-10-09</x:v>
      </x:c>
      <x:c r="W119" t="str">
        <x:v>待核</x:v>
      </x:c>
      <x:c r="X119" t="str">
        <x:v>周末已解析；节假日需交易所对应年度日历核验，实际交易日待核</x:v>
      </x:c>
    </x:row>
    <x:row r="120" ht="23" customHeight="1">
      <x:c r="A120" s="11" t="str">
        <x:v>09888.HK</x:v>
      </x:c>
      <x:c r="B120" s="11" t="str">
        <x:v>三年</x:v>
      </x:c>
      <x:c r="C120" s="11" t="str">
        <x:v>悲观</x:v>
      </x:c>
      <x:c r="D120" s="11" t="str">
        <x:v>EPS</x:v>
      </x:c>
      <x:c r="E120" s="18" t="n">
        <x:v>0.388</x:v>
      </x:c>
      <x:c r="F120" s="18" t="n">
        <x:v>10</x:v>
      </x:c>
      <x:c r="G120" s="18" t="n">
        <x:v>1.1</x:v>
      </x:c>
      <x:c r="H120" s="18" t="n">
        <x:v>0</x:v>
      </x:c>
      <x:c r="I120" s="18"/>
      <x:c r="J120" s="20"/>
      <x:c r="K120" s="22"/>
      <x:c r="L120" s="11" t="str">
        <x:v>baidu-mutually-exclusive-normalized-v1.0</x:v>
      </x:c>
      <x:c r="M120" s="11" t="str">
        <x:v>2029-10-09</x:v>
      </x:c>
      <x:c r="O120" t="str">
        <x:v>CNY</x:v>
      </x:c>
      <x:c r="V120" t="str">
        <x:v>2029-10-09</x:v>
      </x:c>
      <x:c r="W120" t="str">
        <x:v>待核</x:v>
      </x:c>
      <x:c r="X120" t="str">
        <x:v>周末已解析；节假日需交易所对应年度日历核验，实际交易日待核</x:v>
      </x:c>
    </x:row>
    <x:row r="121" ht="23" customHeight="1">
      <x:c r="A121" s="11" t="str">
        <x:v>09888.HK</x:v>
      </x:c>
      <x:c r="B121" s="11" t="str">
        <x:v>三年</x:v>
      </x:c>
      <x:c r="C121" s="11" t="str">
        <x:v>基准</x:v>
      </x:c>
      <x:c r="D121" s="11" t="str">
        <x:v>EPS</x:v>
      </x:c>
      <x:c r="E121" s="18" t="n">
        <x:v>6.82</x:v>
      </x:c>
      <x:c r="F121" s="18" t="n">
        <x:v>23</x:v>
      </x:c>
      <x:c r="G121" s="18" t="n">
        <x:v>1.1</x:v>
      </x:c>
      <x:c r="H121" s="18" t="n">
        <x:v>3</x:v>
      </x:c>
      <x:c r="I121" s="18"/>
      <x:c r="J121" s="20"/>
      <x:c r="K121" s="22"/>
      <x:c r="L121" s="11" t="str">
        <x:v>baidu-mutually-exclusive-normalized-v1.0</x:v>
      </x:c>
      <x:c r="M121" s="11" t="str">
        <x:v>2029-10-09</x:v>
      </x:c>
      <x:c r="O121" t="str">
        <x:v>CNY</x:v>
      </x:c>
      <x:c r="V121" t="str">
        <x:v>2029-10-09</x:v>
      </x:c>
      <x:c r="W121" t="str">
        <x:v>待核</x:v>
      </x:c>
      <x:c r="X121" t="str">
        <x:v>周末已解析；节假日需交易所对应年度日历核验，实际交易日待核</x:v>
      </x:c>
    </x:row>
    <x:row r="122" ht="23" customHeight="1">
      <x:c r="A122" s="11" t="str">
        <x:v>09888.HK</x:v>
      </x:c>
      <x:c r="B122" s="11" t="str">
        <x:v>三年</x:v>
      </x:c>
      <x:c r="C122" s="11" t="str">
        <x:v>乐观</x:v>
      </x:c>
      <x:c r="D122" s="11" t="str">
        <x:v>EPS</x:v>
      </x:c>
      <x:c r="E122" s="18" t="n">
        <x:v>17.814</x:v>
      </x:c>
      <x:c r="F122" s="18" t="n">
        <x:v>29</x:v>
      </x:c>
      <x:c r="G122" s="18" t="n">
        <x:v>1.1</x:v>
      </x:c>
      <x:c r="H122" s="18" t="n">
        <x:v>8</x:v>
      </x:c>
      <x:c r="I122" s="18"/>
      <x:c r="J122" s="20"/>
      <x:c r="K122" s="22"/>
      <x:c r="L122" s="11" t="str">
        <x:v>baidu-mutually-exclusive-normalized-v1.0</x:v>
      </x:c>
      <x:c r="M122" s="11" t="str">
        <x:v>2029-10-09</x:v>
      </x:c>
      <x:c r="O122" t="str">
        <x:v>CNY</x:v>
      </x:c>
      <x:c r="V122" t="str">
        <x:v>2029-10-09</x:v>
      </x:c>
      <x:c r="W122" t="str">
        <x:v>待核</x:v>
      </x:c>
      <x:c r="X122" t="str">
        <x:v>周末已解析；节假日需交易所对应年度日历核验，实际交易日待核</x:v>
      </x:c>
    </x:row>
    <x:row r="123" ht="23" customHeight="1">
      <x:c r="A123" s="15" t="str">
        <x:v>09888.HK</x:v>
      </x:c>
      <x:c r="B123" s="15" t="str">
        <x:v>五年</x:v>
      </x:c>
      <x:c r="C123" s="15" t="str">
        <x:v>活动输入</x:v>
      </x:c>
      <x:c r="D123" s="15" t="str">
        <x:v>EPS</x:v>
      </x:c>
      <x:c r="E123" s="17" t="n">
        <x:f>CHOOSE($B$3,E124,E125,E126)</x:f>
        <x:v>8.539</x:v>
      </x:c>
      <x:c r="F123" s="17" t="n">
        <x:f>CHOOSE($B$3,F124,F125,F126)</x:f>
        <x:v>23</x:v>
      </x:c>
      <x:c r="G123" s="17" t="n">
        <x:f>CHOOSE($B$3,G124,G125,G126)</x:f>
        <x:v>1.1</x:v>
      </x:c>
      <x:c r="H123" s="17" t="n">
        <x:f>CHOOSE($B$3,H124,H125,H126)</x:f>
        <x:v>7</x:v>
      </x:c>
      <x:c r="I123" s="17" t="str">
        <x:f>CHOOSE($B$3,I124,I125,I126)</x:f>
      </x:c>
      <x:c r="J123" s="19" t="str">
        <x:f>CHOOSE($B$3,J124,J125,J126)</x:f>
      </x:c>
      <x:c r="K123" s="21" t="str">
        <x:f>CHOOSE($B$3,K124,K125,K126)</x:f>
      </x:c>
      <x:c r="L123" s="15" t="str">
        <x:v>baidu-mutually-exclusive-normalized-v1.0</x:v>
      </x:c>
      <x:c r="M123" s="15" t="str">
        <x:v>2031-10-09</x:v>
      </x:c>
      <x:c r="O123" t="str">
        <x:v>CNY</x:v>
      </x:c>
      <x:c r="V123" t="str">
        <x:v>2031-10-09</x:v>
      </x:c>
      <x:c r="W123" t="str">
        <x:v>待核</x:v>
      </x:c>
      <x:c r="X123" t="str">
        <x:v>周末已解析；节假日需交易所对应年度日历核验，实际交易日待核</x:v>
      </x:c>
    </x:row>
    <x:row r="124" ht="23" customHeight="1">
      <x:c r="A124" s="11" t="str">
        <x:v>09888.HK</x:v>
      </x:c>
      <x:c r="B124" s="11" t="str">
        <x:v>五年</x:v>
      </x:c>
      <x:c r="C124" s="11" t="str">
        <x:v>悲观</x:v>
      </x:c>
      <x:c r="D124" s="11" t="str">
        <x:v>EPS</x:v>
      </x:c>
      <x:c r="E124" s="18" t="n">
        <x:v>0.321</x:v>
      </x:c>
      <x:c r="F124" s="18" t="n">
        <x:v>9</x:v>
      </x:c>
      <x:c r="G124" s="18" t="n">
        <x:v>1.1</x:v>
      </x:c>
      <x:c r="H124" s="18" t="n">
        <x:v>0</x:v>
      </x:c>
      <x:c r="I124" s="18"/>
      <x:c r="J124" s="20"/>
      <x:c r="K124" s="22"/>
      <x:c r="L124" s="11" t="str">
        <x:v>baidu-mutually-exclusive-normalized-v1.0</x:v>
      </x:c>
      <x:c r="M124" s="11" t="str">
        <x:v>2031-10-09</x:v>
      </x:c>
      <x:c r="O124" t="str">
        <x:v>CNY</x:v>
      </x:c>
      <x:c r="V124" t="str">
        <x:v>2031-10-09</x:v>
      </x:c>
      <x:c r="W124" t="str">
        <x:v>待核</x:v>
      </x:c>
      <x:c r="X124" t="str">
        <x:v>周末已解析；节假日需交易所对应年度日历核验，实际交易日待核</x:v>
      </x:c>
    </x:row>
    <x:row r="125" ht="23" customHeight="1">
      <x:c r="A125" s="11" t="str">
        <x:v>09888.HK</x:v>
      </x:c>
      <x:c r="B125" s="11" t="str">
        <x:v>五年</x:v>
      </x:c>
      <x:c r="C125" s="11" t="str">
        <x:v>基准</x:v>
      </x:c>
      <x:c r="D125" s="11" t="str">
        <x:v>EPS</x:v>
      </x:c>
      <x:c r="E125" s="18" t="n">
        <x:v>8.539</x:v>
      </x:c>
      <x:c r="F125" s="18" t="n">
        <x:v>23</x:v>
      </x:c>
      <x:c r="G125" s="18" t="n">
        <x:v>1.1</x:v>
      </x:c>
      <x:c r="H125" s="18" t="n">
        <x:v>7</x:v>
      </x:c>
      <x:c r="I125" s="18"/>
      <x:c r="J125" s="20"/>
      <x:c r="K125" s="22"/>
      <x:c r="L125" s="11" t="str">
        <x:v>baidu-mutually-exclusive-normalized-v1.0</x:v>
      </x:c>
      <x:c r="M125" s="11" t="str">
        <x:v>2031-10-09</x:v>
      </x:c>
      <x:c r="O125" t="str">
        <x:v>CNY</x:v>
      </x:c>
      <x:c r="V125" t="str">
        <x:v>2031-10-09</x:v>
      </x:c>
      <x:c r="W125" t="str">
        <x:v>待核</x:v>
      </x:c>
      <x:c r="X125" t="str">
        <x:v>周末已解析；节假日需交易所对应年度日历核验，实际交易日待核</x:v>
      </x:c>
    </x:row>
    <x:row r="126" ht="23" customHeight="1">
      <x:c r="A126" s="11" t="str">
        <x:v>09888.HK</x:v>
      </x:c>
      <x:c r="B126" s="11" t="str">
        <x:v>五年</x:v>
      </x:c>
      <x:c r="C126" s="11" t="str">
        <x:v>乐观</x:v>
      </x:c>
      <x:c r="D126" s="11" t="str">
        <x:v>EPS</x:v>
      </x:c>
      <x:c r="E126" s="18" t="n">
        <x:v>28.273</x:v>
      </x:c>
      <x:c r="F126" s="18" t="n">
        <x:v>30</x:v>
      </x:c>
      <x:c r="G126" s="18" t="n">
        <x:v>1.1</x:v>
      </x:c>
      <x:c r="H126" s="18" t="n">
        <x:v>20</x:v>
      </x:c>
      <x:c r="I126" s="18"/>
      <x:c r="J126" s="20"/>
      <x:c r="K126" s="22"/>
      <x:c r="L126" s="11" t="str">
        <x:v>baidu-mutually-exclusive-normalized-v1.0</x:v>
      </x:c>
      <x:c r="M126" s="11" t="str">
        <x:v>2031-10-09</x:v>
      </x:c>
      <x:c r="O126" t="str">
        <x:v>CNY</x:v>
      </x:c>
      <x:c r="V126" t="str">
        <x:v>2031-10-09</x:v>
      </x:c>
      <x:c r="W126" t="str">
        <x:v>待核</x:v>
      </x:c>
      <x:c r="X126" t="str">
        <x:v>周末已解析；节假日需交易所对应年度日历核验，实际交易日待核</x:v>
      </x:c>
    </x:row>
    <x:row r="127" ht="23" customHeight="1">
      <x:c r="A127" s="15" t="str">
        <x:v>688235.SH</x:v>
      </x:c>
      <x:c r="B127" s="15" t="str">
        <x:v>2026年底</x:v>
      </x:c>
      <x:c r="C127" s="15" t="str">
        <x:v>活动输入</x:v>
      </x:c>
      <x:c r="D127" s="15" t="str">
        <x:v>EPS</x:v>
      </x:c>
      <x:c r="E127" s="17" t="n">
        <x:f>CHOOSE($B$3,E128,E129,E130)</x:f>
        <x:v>0.9483246753246749</x:v>
      </x:c>
      <x:c r="F127" s="17" t="n">
        <x:f>CHOOSE($B$3,F128,F129,F130)</x:f>
        <x:v>40</x:v>
      </x:c>
      <x:c r="G127" s="17" t="n">
        <x:f>CHOOSE($B$3,G128,G129,G130)</x:f>
        <x:v>7.090909090909091</x:v>
      </x:c>
      <x:c r="H127" s="17" t="n">
        <x:f>CHOOSE($B$3,H128,H129,H130)</x:f>
        <x:v>0</x:v>
      </x:c>
      <x:c r="I127" s="17" t="str">
        <x:f>CHOOSE($B$3,I128,I129,I130)</x:f>
      </x:c>
      <x:c r="J127" s="19" t="n">
        <x:f>CHOOSE($B$3,J128,J129,J130)</x:f>
        <x:v>0.18486329113924047</x:v>
      </x:c>
      <x:c r="K127" s="21" t="n">
        <x:f>CHOOSE($B$3,K128,K129,K130)</x:f>
        <x:v>1.54</x:v>
      </x:c>
      <x:c r="L127" s="15" t="str">
        <x:v>beone-v1-operating-profit-AH-royalty-excluded</x:v>
      </x:c>
      <x:c r="M127" s="15" t="str">
        <x:v>2026-12-31</x:v>
      </x:c>
      <x:c r="O127" t="str">
        <x:v>USD</x:v>
      </x:c>
      <x:c r="R127" t="n">
        <x:f>CHOOSE($B$3,R128,R129,R130)</x:f>
        <x:v>2.15</x:v>
      </x:c>
      <x:c r="S127" t="n">
        <x:f>CHOOSE($B$3,S128,S129,S130)</x:f>
        <x:v>1.25</x:v>
      </x:c>
      <x:c r="V127" t="str">
        <x:v>2026-12-31</x:v>
      </x:c>
      <x:c r="W127" t="str">
        <x:v>待核</x:v>
      </x:c>
      <x:c r="X127" t="str">
        <x:v>周末已解析；节假日需交易所对应年度日历核验，实际交易日待核</x:v>
      </x:c>
    </x:row>
    <x:row r="128" ht="23" customHeight="1">
      <x:c r="A128" s="11" t="str">
        <x:v>688235.SH</x:v>
      </x:c>
      <x:c r="B128" s="11" t="str">
        <x:v>2026年底</x:v>
      </x:c>
      <x:c r="C128" s="11" t="str">
        <x:v>悲观</x:v>
      </x:c>
      <x:c r="D128" s="11" t="str">
        <x:v>EPS</x:v>
      </x:c>
      <x:c r="E128" s="18" t="n">
        <x:v>0.40800000000000036</x:v>
      </x:c>
      <x:c r="F128" s="18" t="n">
        <x:v>28.749999999999996</x:v>
      </x:c>
      <x:c r="G128" s="18" t="n">
        <x:v>7.090909090909091</x:v>
      </x:c>
      <x:c r="H128" s="18" t="n">
        <x:v>0</x:v>
      </x:c>
      <x:c r="I128" s="18"/>
      <x:c r="J128" s="20" t="n">
        <x:v>0.09360000000000007</x:v>
      </x:c>
      <x:c r="K128" s="22" t="n">
        <x:v>1.56</x:v>
      </x:c>
      <x:c r="L128" s="11" t="str">
        <x:v>beone-v1-operating-profit-AH-royalty-excluded</x:v>
      </x:c>
      <x:c r="M128" s="11" t="str">
        <x:v>2026-12-31</x:v>
      </x:c>
      <x:c r="O128" t="str">
        <x:v>USD</x:v>
      </x:c>
      <x:c r="R128" s="42" t="n">
        <x:v>1.55</x:v>
      </x:c>
      <x:c r="S128" s="42" t="n">
        <x:v>1.15</x:v>
      </x:c>
      <x:c r="V128" t="str">
        <x:v>2026-12-31</x:v>
      </x:c>
      <x:c r="W128" t="str">
        <x:v>待核</x:v>
      </x:c>
      <x:c r="X128" t="str">
        <x:v>周末已解析；节假日需交易所对应年度日历核验，实际交易日待核</x:v>
      </x:c>
    </x:row>
    <x:row r="129" ht="23" customHeight="1">
      <x:c r="A129" s="11" t="str">
        <x:v>688235.SH</x:v>
      </x:c>
      <x:c r="B129" s="11" t="str">
        <x:v>2026年底</x:v>
      </x:c>
      <x:c r="C129" s="11" t="str">
        <x:v>基准</x:v>
      </x:c>
      <x:c r="D129" s="11" t="str">
        <x:v>EPS</x:v>
      </x:c>
      <x:c r="E129" s="18" t="n">
        <x:v>0.9483246753246749</x:v>
      </x:c>
      <x:c r="F129" s="18" t="n">
        <x:v>40</x:v>
      </x:c>
      <x:c r="G129" s="18" t="n">
        <x:v>7.090909090909091</x:v>
      </x:c>
      <x:c r="H129" s="18" t="n">
        <x:v>0</x:v>
      </x:c>
      <x:c r="I129" s="18"/>
      <x:c r="J129" s="20" t="n">
        <x:v>0.18486329113924047</x:v>
      </x:c>
      <x:c r="K129" s="22" t="n">
        <x:v>1.54</x:v>
      </x:c>
      <x:c r="L129" s="11" t="str">
        <x:v>beone-v1-operating-profit-AH-royalty-excluded</x:v>
      </x:c>
      <x:c r="M129" s="11" t="str">
        <x:v>2026-12-31</x:v>
      </x:c>
      <x:c r="O129" t="str">
        <x:v>USD</x:v>
      </x:c>
      <x:c r="R129" s="42" t="n">
        <x:v>2.15</x:v>
      </x:c>
      <x:c r="S129" s="42" t="n">
        <x:v>1.25</x:v>
      </x:c>
      <x:c r="V129" t="str">
        <x:v>2026-12-31</x:v>
      </x:c>
      <x:c r="W129" t="str">
        <x:v>待核</x:v>
      </x:c>
      <x:c r="X129" t="str">
        <x:v>周末已解析；节假日需交易所对应年度日历核验，实际交易日待核</x:v>
      </x:c>
    </x:row>
    <x:row r="130" ht="23" customHeight="1">
      <x:c r="A130" s="11" t="str">
        <x:v>688235.SH</x:v>
      </x:c>
      <x:c r="B130" s="11" t="str">
        <x:v>2026年底</x:v>
      </x:c>
      <x:c r="C130" s="11" t="str">
        <x:v>乐观</x:v>
      </x:c>
      <x:c r="D130" s="11" t="str">
        <x:v>EPS</x:v>
      </x:c>
      <x:c r="E130" s="18" t="n">
        <x:v>1.4777777777777776</x:v>
      </x:c>
      <x:c r="F130" s="18" t="n">
        <x:v>49.95</x:v>
      </x:c>
      <x:c r="G130" s="18" t="n">
        <x:v>7.090909090909091</x:v>
      </x:c>
      <x:c r="H130" s="18" t="n">
        <x:v>0</x:v>
      </x:c>
      <x:c r="I130" s="18"/>
      <x:c r="J130" s="20" t="n">
        <x:v>0.2540449438202247</x:v>
      </x:c>
      <x:c r="K130" s="22" t="n">
        <x:v>1.53</x:v>
      </x:c>
      <x:c r="L130" s="11" t="str">
        <x:v>beone-v1-operating-profit-AH-royalty-excluded</x:v>
      </x:c>
      <x:c r="M130" s="11" t="str">
        <x:v>2026-12-31</x:v>
      </x:c>
      <x:c r="O130" t="str">
        <x:v>USD</x:v>
      </x:c>
      <x:c r="R130" s="42" t="n">
        <x:v>2.65</x:v>
      </x:c>
      <x:c r="S130" s="42" t="n">
        <x:v>1.35</x:v>
      </x:c>
      <x:c r="V130" t="str">
        <x:v>2026-12-31</x:v>
      </x:c>
      <x:c r="W130" t="str">
        <x:v>待核</x:v>
      </x:c>
      <x:c r="X130" t="str">
        <x:v>周末已解析；节假日需交易所对应年度日历核验，实际交易日待核</x:v>
      </x:c>
    </x:row>
    <x:row r="131" ht="23" customHeight="1">
      <x:c r="A131" s="15" t="str">
        <x:v>688235.SH</x:v>
      </x:c>
      <x:c r="B131" s="15" t="str">
        <x:v>半年</x:v>
      </x:c>
      <x:c r="C131" s="15" t="str">
        <x:v>活动输入</x:v>
      </x:c>
      <x:c r="D131" s="15" t="str">
        <x:v>EPS</x:v>
      </x:c>
      <x:c r="E131" s="17" t="n">
        <x:f>CHOOSE($B$3,E132,E133,E134)</x:f>
        <x:v>1.1437948717948712</x:v>
      </x:c>
      <x:c r="F131" s="17" t="n">
        <x:f>CHOOSE($B$3,F132,F133,F134)</x:f>
        <x:v>36</x:v>
      </x:c>
      <x:c r="G131" s="17" t="n">
        <x:f>CHOOSE($B$3,G132,G133,G134)</x:f>
        <x:v>7.090909090909091</x:v>
      </x:c>
      <x:c r="H131" s="17" t="n">
        <x:f>CHOOSE($B$3,H132,H133,H134)</x:f>
        <x:v>0</x:v>
      </x:c>
      <x:c r="I131" s="17" t="str">
        <x:f>CHOOSE($B$3,I132,I133,I134)</x:f>
      </x:c>
      <x:c r="J131" s="19" t="n">
        <x:f>CHOOSE($B$3,J132,J133,J134)</x:f>
        <x:v>0.21241904761904756</x:v>
      </x:c>
      <x:c r="K131" s="21" t="n">
        <x:f>CHOOSE($B$3,K132,K133,K134)</x:f>
        <x:v>1.56</x:v>
      </x:c>
      <x:c r="L131" s="15" t="str">
        <x:v>beone-v1-operating-profit-AH-royalty-excluded</x:v>
      </x:c>
      <x:c r="M131" s="15" t="str">
        <x:v>2027-04-09</x:v>
      </x:c>
      <x:c r="O131" t="str">
        <x:v>USD</x:v>
      </x:c>
      <x:c r="R131" t="n">
        <x:f>CHOOSE($B$3,R132,R133,R134)</x:f>
        <x:v>2.5</x:v>
      </x:c>
      <x:c r="S131" t="n">
        <x:f>CHOOSE($B$3,S132,S133,S134)</x:f>
        <x:v>1.2</x:v>
      </x:c>
      <x:c r="V131" t="str">
        <x:v>2027-04-09</x:v>
      </x:c>
      <x:c r="W131" t="str">
        <x:v>待核</x:v>
      </x:c>
      <x:c r="X131" t="str">
        <x:v>周末已解析；节假日需交易所对应年度日历核验，实际交易日待核</x:v>
      </x:c>
    </x:row>
    <x:row r="132" ht="23" customHeight="1">
      <x:c r="A132" s="11" t="str">
        <x:v>688235.SH</x:v>
      </x:c>
      <x:c r="B132" s="11" t="str">
        <x:v>半年</x:v>
      </x:c>
      <x:c r="C132" s="11" t="str">
        <x:v>悲观</x:v>
      </x:c>
      <x:c r="D132" s="11" t="str">
        <x:v>EPS</x:v>
      </x:c>
      <x:c r="E132" s="18" t="n">
        <x:v>0.32236708860759533</x:v>
      </x:c>
      <x:c r="F132" s="18" t="n">
        <x:v>27.500000000000004</x:v>
      </x:c>
      <x:c r="G132" s="18" t="n">
        <x:v>7.090909090909091</x:v>
      </x:c>
      <x:c r="H132" s="18" t="n">
        <x:v>0</x:v>
      </x:c>
      <x:c r="I132" s="18"/>
      <x:c r="J132" s="20" t="n">
        <x:v>0.07381739130434792</x:v>
      </x:c>
      <x:c r="K132" s="22" t="n">
        <x:v>1.58</x:v>
      </x:c>
      <x:c r="L132" s="11" t="str">
        <x:v>beone-v1-operating-profit-AH-royalty-excluded</x:v>
      </x:c>
      <x:c r="M132" s="11" t="str">
        <x:v>2027-04-09</x:v>
      </x:c>
      <x:c r="O132" t="str">
        <x:v>USD</x:v>
      </x:c>
      <x:c r="R132" s="42" t="n">
        <x:v>1.4</x:v>
      </x:c>
      <x:c r="S132" s="42" t="n">
        <x:v>1.1</x:v>
      </x:c>
      <x:c r="V132" t="str">
        <x:v>2027-04-09</x:v>
      </x:c>
      <x:c r="W132" t="str">
        <x:v>待核</x:v>
      </x:c>
      <x:c r="X132" t="str">
        <x:v>周末已解析；节假日需交易所对应年度日历核验，实际交易日待核</x:v>
      </x:c>
    </x:row>
    <x:row r="133" ht="23" customHeight="1">
      <x:c r="A133" s="11" t="str">
        <x:v>688235.SH</x:v>
      </x:c>
      <x:c r="B133" s="11" t="str">
        <x:v>半年</x:v>
      </x:c>
      <x:c r="C133" s="11" t="str">
        <x:v>基准</x:v>
      </x:c>
      <x:c r="D133" s="11" t="str">
        <x:v>EPS</x:v>
      </x:c>
      <x:c r="E133" s="18" t="n">
        <x:v>1.1437948717948712</x:v>
      </x:c>
      <x:c r="F133" s="18" t="n">
        <x:v>36</x:v>
      </x:c>
      <x:c r="G133" s="18" t="n">
        <x:v>7.090909090909091</x:v>
      </x:c>
      <x:c r="H133" s="18" t="n">
        <x:v>0</x:v>
      </x:c>
      <x:c r="I133" s="18"/>
      <x:c r="J133" s="20" t="n">
        <x:v>0.21241904761904756</x:v>
      </x:c>
      <x:c r="K133" s="22" t="n">
        <x:v>1.56</x:v>
      </x:c>
      <x:c r="L133" s="11" t="str">
        <x:v>beone-v1-operating-profit-AH-royalty-excluded</x:v>
      </x:c>
      <x:c r="M133" s="11" t="str">
        <x:v>2027-04-09</x:v>
      </x:c>
      <x:c r="O133" t="str">
        <x:v>USD</x:v>
      </x:c>
      <x:c r="R133" s="42" t="n">
        <x:v>2.5</x:v>
      </x:c>
      <x:c r="S133" s="42" t="n">
        <x:v>1.2</x:v>
      </x:c>
      <x:c r="V133" t="str">
        <x:v>2027-04-09</x:v>
      </x:c>
      <x:c r="W133" t="str">
        <x:v>待核</x:v>
      </x:c>
      <x:c r="X133" t="str">
        <x:v>周末已解析；节假日需交易所对应年度日历核验，实际交易日待核</x:v>
      </x:c>
    </x:row>
    <x:row r="134" ht="23" customHeight="1">
      <x:c r="A134" s="11" t="str">
        <x:v>688235.SH</x:v>
      </x:c>
      <x:c r="B134" s="11" t="str">
        <x:v>半年</x:v>
      </x:c>
      <x:c r="C134" s="11" t="str">
        <x:v>乐观</x:v>
      </x:c>
      <x:c r="D134" s="11" t="str">
        <x:v>EPS</x:v>
      </x:c>
      <x:c r="E134" s="18" t="n">
        <x:v>1.819548387096776</x:v>
      </x:c>
      <x:c r="F134" s="18" t="n">
        <x:v>45.5</x:v>
      </x:c>
      <x:c r="G134" s="18" t="n">
        <x:v>7.090909090909091</x:v>
      </x:c>
      <x:c r="H134" s="18" t="n">
        <x:v>0</x:v>
      </x:c>
      <x:c r="I134" s="18"/>
      <x:c r="J134" s="20" t="n">
        <x:v>0.2877857142857145</x:v>
      </x:c>
      <x:c r="K134" s="22" t="n">
        <x:v>1.55</x:v>
      </x:c>
      <x:c r="L134" s="11" t="str">
        <x:v>beone-v1-operating-profit-AH-royalty-excluded</x:v>
      </x:c>
      <x:c r="M134" s="11" t="str">
        <x:v>2027-04-09</x:v>
      </x:c>
      <x:c r="O134" t="str">
        <x:v>USD</x:v>
      </x:c>
      <x:c r="R134" s="42" t="n">
        <x:v>3.1</x:v>
      </x:c>
      <x:c r="S134" s="42" t="n">
        <x:v>1.3</x:v>
      </x:c>
      <x:c r="V134" t="str">
        <x:v>2027-04-09</x:v>
      </x:c>
      <x:c r="W134" t="str">
        <x:v>待核</x:v>
      </x:c>
      <x:c r="X134" t="str">
        <x:v>周末已解析；节假日需交易所对应年度日历核验，实际交易日待核</x:v>
      </x:c>
    </x:row>
    <x:row r="135" ht="23" customHeight="1">
      <x:c r="A135" s="15" t="str">
        <x:v>688235.SH</x:v>
      </x:c>
      <x:c r="B135" s="15" t="str">
        <x:v>一年</x:v>
      </x:c>
      <x:c r="C135" s="15" t="str">
        <x:v>活动输入</x:v>
      </x:c>
      <x:c r="D135" s="15" t="str">
        <x:v>EPS</x:v>
      </x:c>
      <x:c r="E135" s="17" t="n">
        <x:f>CHOOSE($B$3,E136,E137,E138)</x:f>
        <x:v>1.6557499999999994</x:v>
      </x:c>
      <x:c r="F135" s="17" t="n">
        <x:f>CHOOSE($B$3,F136,F137,F138)</x:f>
        <x:v>33.349999999999994</x:v>
      </x:c>
      <x:c r="G135" s="17" t="n">
        <x:f>CHOOSE($B$3,G136,G137,G138)</x:f>
        <x:v>7.090909090909091</x:v>
      </x:c>
      <x:c r="H135" s="17" t="n">
        <x:f>CHOOSE($B$3,H136,H137,H138)</x:f>
        <x:v>0</x:v>
      </x:c>
      <x:c r="I135" s="17" t="str">
        <x:f>CHOOSE($B$3,I136,I137,I138)</x:f>
      </x:c>
      <x:c r="J135" s="19" t="n">
        <x:f>CHOOSE($B$3,J136,J137,J138)</x:f>
        <x:v>0.25596135265700476</x:v>
      </x:c>
      <x:c r="K135" s="21" t="n">
        <x:f>CHOOSE($B$3,K136,K137,K138)</x:f>
        <x:v>1.6</x:v>
      </x:c>
      <x:c r="L135" s="15" t="str">
        <x:v>beone-v1-operating-profit-AH-royalty-excluded</x:v>
      </x:c>
      <x:c r="M135" s="15" t="str">
        <x:v>2027-10-09</x:v>
      </x:c>
      <x:c r="O135" t="str">
        <x:v>USD</x:v>
      </x:c>
      <x:c r="R135" t="n">
        <x:f>CHOOSE($B$3,R136,R137,R138)</x:f>
        <x:v>3.8</x:v>
      </x:c>
      <x:c r="S135" t="n">
        <x:f>CHOOSE($B$3,S136,S137,S138)</x:f>
        <x:v>1.15</x:v>
      </x:c>
      <x:c r="V135" t="str">
        <x:v>2027-10-08</x:v>
      </x:c>
      <x:c r="W135" t="str">
        <x:v>待核</x:v>
      </x:c>
      <x:c r="X135" t="str">
        <x:v>周末已解析；节假日需交易所对应年度日历核验，实际交易日待核</x:v>
      </x:c>
    </x:row>
    <x:row r="136" ht="23" customHeight="1">
      <x:c r="A136" s="11" t="str">
        <x:v>688235.SH</x:v>
      </x:c>
      <x:c r="B136" s="11" t="str">
        <x:v>一年</x:v>
      </x:c>
      <x:c r="C136" s="11" t="str">
        <x:v>悲观</x:v>
      </x:c>
      <x:c r="D136" s="11" t="str">
        <x:v>EPS</x:v>
      </x:c>
      <x:c r="E136" s="18" t="n">
        <x:v>0.26529629629629636</x:v>
      </x:c>
      <x:c r="F136" s="18" t="n">
        <x:v>24.150000000000002</x:v>
      </x:c>
      <x:c r="G136" s="18" t="n">
        <x:v>7.090909090909091</x:v>
      </x:c>
      <x:c r="H136" s="18" t="n">
        <x:v>0</x:v>
      </x:c>
      <x:c r="I136" s="18"/>
      <x:c r="J136" s="20" t="n">
        <x:v>0.05887397260273975</x:v>
      </x:c>
      <x:c r="K136" s="22" t="n">
        <x:v>1.62</x:v>
      </x:c>
      <x:c r="L136" s="11" t="str">
        <x:v>beone-v1-operating-profit-AH-royalty-excluded</x:v>
      </x:c>
      <x:c r="M136" s="11" t="str">
        <x:v>2027-10-09</x:v>
      </x:c>
      <x:c r="O136" t="str">
        <x:v>USD</x:v>
      </x:c>
      <x:c r="R136" s="42" t="n">
        <x:v>1.2</x:v>
      </x:c>
      <x:c r="S136" s="42" t="n">
        <x:v>1.05</x:v>
      </x:c>
      <x:c r="V136" t="str">
        <x:v>2027-10-08</x:v>
      </x:c>
      <x:c r="W136" t="str">
        <x:v>待核</x:v>
      </x:c>
      <x:c r="X136" t="str">
        <x:v>周末已解析；节假日需交易所对应年度日历核验，实际交易日待核</x:v>
      </x:c>
    </x:row>
    <x:row r="137" ht="23" customHeight="1">
      <x:c r="A137" s="11" t="str">
        <x:v>688235.SH</x:v>
      </x:c>
      <x:c r="B137" s="11" t="str">
        <x:v>一年</x:v>
      </x:c>
      <x:c r="C137" s="11" t="str">
        <x:v>基准</x:v>
      </x:c>
      <x:c r="D137" s="11" t="str">
        <x:v>EPS</x:v>
      </x:c>
      <x:c r="E137" s="18" t="n">
        <x:v>1.6557499999999994</x:v>
      </x:c>
      <x:c r="F137" s="18" t="n">
        <x:v>33.349999999999994</x:v>
      </x:c>
      <x:c r="G137" s="18" t="n">
        <x:v>7.090909090909091</x:v>
      </x:c>
      <x:c r="H137" s="18" t="n">
        <x:v>0</x:v>
      </x:c>
      <x:c r="I137" s="18"/>
      <x:c r="J137" s="20" t="n">
        <x:v>0.25596135265700476</x:v>
      </x:c>
      <x:c r="K137" s="22" t="n">
        <x:v>1.6</x:v>
      </x:c>
      <x:c r="L137" s="11" t="str">
        <x:v>beone-v1-operating-profit-AH-royalty-excluded</x:v>
      </x:c>
      <x:c r="M137" s="11" t="str">
        <x:v>2027-10-09</x:v>
      </x:c>
      <x:c r="O137" t="str">
        <x:v>USD</x:v>
      </x:c>
      <x:c r="R137" s="42" t="n">
        <x:v>3.8</x:v>
      </x:c>
      <x:c r="S137" s="42" t="n">
        <x:v>1.15</x:v>
      </x:c>
      <x:c r="V137" t="str">
        <x:v>2027-10-08</x:v>
      </x:c>
      <x:c r="W137" t="str">
        <x:v>待核</x:v>
      </x:c>
      <x:c r="X137" t="str">
        <x:v>周末已解析；节假日需交易所对应年度日历核验，实际交易日待核</x:v>
      </x:c>
    </x:row>
    <x:row r="138" ht="23" customHeight="1">
      <x:c r="A138" s="11" t="str">
        <x:v>688235.SH</x:v>
      </x:c>
      <x:c r="B138" s="11" t="str">
        <x:v>一年</x:v>
      </x:c>
      <x:c r="C138" s="11" t="str">
        <x:v>乐观</x:v>
      </x:c>
      <x:c r="D138" s="11" t="str">
        <x:v>EPS</x:v>
      </x:c>
      <x:c r="E138" s="18" t="n">
        <x:v>2.8465828025477715</x:v>
      </x:c>
      <x:c r="F138" s="18" t="n">
        <x:v>42.5</x:v>
      </x:c>
      <x:c r="G138" s="18" t="n">
        <x:v>7.090909090909091</x:v>
      </x:c>
      <x:c r="H138" s="18" t="n">
        <x:v>0</x:v>
      </x:c>
      <x:c r="I138" s="18"/>
      <x:c r="J138" s="20" t="n">
        <x:v>0.3451069498069499</x:v>
      </x:c>
      <x:c r="K138" s="22" t="n">
        <x:v>1.57</x:v>
      </x:c>
      <x:c r="L138" s="11" t="str">
        <x:v>beone-v1-operating-profit-AH-royalty-excluded</x:v>
      </x:c>
      <x:c r="M138" s="11" t="str">
        <x:v>2027-10-09</x:v>
      </x:c>
      <x:c r="O138" t="str">
        <x:v>USD</x:v>
      </x:c>
      <x:c r="R138" s="42" t="n">
        <x:v>5.2</x:v>
      </x:c>
      <x:c r="S138" s="42" t="n">
        <x:v>1.25</x:v>
      </x:c>
      <x:c r="V138" t="str">
        <x:v>2027-10-08</x:v>
      </x:c>
      <x:c r="W138" t="str">
        <x:v>待核</x:v>
      </x:c>
      <x:c r="X138" t="str">
        <x:v>周末已解析；节假日需交易所对应年度日历核验，实际交易日待核</x:v>
      </x:c>
    </x:row>
    <x:row r="139" ht="23" customHeight="1">
      <x:c r="A139" s="15" t="str">
        <x:v>688235.SH</x:v>
      </x:c>
      <x:c r="B139" s="15" t="str">
        <x:v>三年</x:v>
      </x:c>
      <x:c r="C139" s="15" t="str">
        <x:v>活动输入</x:v>
      </x:c>
      <x:c r="D139" s="15" t="str">
        <x:v>EPS</x:v>
      </x:c>
      <x:c r="E139" s="17" t="n">
        <x:f>CHOOSE($B$3,E140,E141,E142)</x:f>
        <x:v>2.222345238095239</x:v>
      </x:c>
      <x:c r="F139" s="17" t="n">
        <x:f>CHOOSE($B$3,F140,F141,F142)</x:f>
        <x:v>29.160000000000004</x:v>
      </x:c>
      <x:c r="G139" s="17" t="n">
        <x:f>CHOOSE($B$3,G140,G141,G142)</x:f>
        <x:v>7.090909090909091</x:v>
      </x:c>
      <x:c r="H139" s="17" t="n">
        <x:f>CHOOSE($B$3,H140,H141,H142)</x:f>
        <x:v>0</x:v>
      </x:c>
      <x:c r="I139" s="17" t="str">
        <x:f>CHOOSE($B$3,I140,I141,I142)</x:f>
      </x:c>
      <x:c r="J139" s="19" t="n">
        <x:f>CHOOSE($B$3,J140,J141,J142)</x:f>
        <x:v>0.2786223880597016</x:v>
      </x:c>
      <x:c r="K139" s="21" t="n">
        <x:f>CHOOSE($B$3,K140,K141,K142)</x:f>
        <x:v>1.68</x:v>
      </x:c>
      <x:c r="L139" s="15" t="str">
        <x:v>beone-v1-operating-profit-AH-royalty-excluded</x:v>
      </x:c>
      <x:c r="M139" s="15" t="str">
        <x:v>2029-10-09</x:v>
      </x:c>
      <x:c r="O139" t="str">
        <x:v>USD</x:v>
      </x:c>
      <x:c r="R139" t="n">
        <x:f>CHOOSE($B$3,R140,R141,R142)</x:f>
        <x:v>7.5</x:v>
      </x:c>
      <x:c r="S139" t="n">
        <x:f>CHOOSE($B$3,S140,S141,S142)</x:f>
        <x:v>1.08</x:v>
      </x:c>
      <x:c r="V139" t="str">
        <x:v>2029-10-09</x:v>
      </x:c>
      <x:c r="W139" t="str">
        <x:v>待核</x:v>
      </x:c>
      <x:c r="X139" t="str">
        <x:v>周末已解析；节假日需交易所对应年度日历核验，实际交易日待核</x:v>
      </x:c>
    </x:row>
    <x:row r="140" ht="23" customHeight="1">
      <x:c r="A140" s="11" t="str">
        <x:v>688235.SH</x:v>
      </x:c>
      <x:c r="B140" s="11" t="str">
        <x:v>三年</x:v>
      </x:c>
      <x:c r="C140" s="11" t="str">
        <x:v>悲观</x:v>
      </x:c>
      <x:c r="D140" s="11" t="str">
        <x:v>EPS</x:v>
      </x:c>
      <x:c r="E140" s="18" t="n">
        <x:v>0.32948837209302356</x:v>
      </x:c>
      <x:c r="F140" s="18" t="n">
        <x:v>21</x:v>
      </x:c>
      <x:c r="G140" s="18" t="n">
        <x:v>7.090909090909091</x:v>
      </x:c>
      <x:c r="H140" s="18" t="n">
        <x:v>0</x:v>
      </x:c>
      <x:c r="I140" s="18"/>
      <x:c r="J140" s="20" t="n">
        <x:v>0.07456842105263164</x:v>
      </x:c>
      <x:c r="K140" s="22" t="n">
        <x:v>1.72</x:v>
      </x:c>
      <x:c r="L140" s="11" t="str">
        <x:v>beone-v1-operating-profit-AH-royalty-excluded</x:v>
      </x:c>
      <x:c r="M140" s="11" t="str">
        <x:v>2029-10-09</x:v>
      </x:c>
      <x:c r="O140" t="str">
        <x:v>USD</x:v>
      </x:c>
      <x:c r="R140" s="42" t="n">
        <x:v>0.8</x:v>
      </x:c>
      <x:c r="S140" s="42" t="n">
        <x:v>1</x:v>
      </x:c>
      <x:c r="V140" t="str">
        <x:v>2029-10-09</x:v>
      </x:c>
      <x:c r="W140" t="str">
        <x:v>待核</x:v>
      </x:c>
      <x:c r="X140" t="str">
        <x:v>周末已解析；节假日需交易所对应年度日历核验，实际交易日待核</x:v>
      </x:c>
    </x:row>
    <x:row r="141" ht="23" customHeight="1">
      <x:c r="A141" s="11" t="str">
        <x:v>688235.SH</x:v>
      </x:c>
      <x:c r="B141" s="11" t="str">
        <x:v>三年</x:v>
      </x:c>
      <x:c r="C141" s="11" t="str">
        <x:v>基准</x:v>
      </x:c>
      <x:c r="D141" s="11" t="str">
        <x:v>EPS</x:v>
      </x:c>
      <x:c r="E141" s="18" t="n">
        <x:v>2.222345238095239</x:v>
      </x:c>
      <x:c r="F141" s="18" t="n">
        <x:v>29.160000000000004</x:v>
      </x:c>
      <x:c r="G141" s="18" t="n">
        <x:v>7.090909090909091</x:v>
      </x:c>
      <x:c r="H141" s="18" t="n">
        <x:v>0</x:v>
      </x:c>
      <x:c r="I141" s="18"/>
      <x:c r="J141" s="20" t="n">
        <x:v>0.2786223880597016</x:v>
      </x:c>
      <x:c r="K141" s="22" t="n">
        <x:v>1.68</x:v>
      </x:c>
      <x:c r="L141" s="11" t="str">
        <x:v>beone-v1-operating-profit-AH-royalty-excluded</x:v>
      </x:c>
      <x:c r="M141" s="11" t="str">
        <x:v>2029-10-09</x:v>
      </x:c>
      <x:c r="O141" t="str">
        <x:v>USD</x:v>
      </x:c>
      <x:c r="R141" s="42" t="n">
        <x:v>7.5</x:v>
      </x:c>
      <x:c r="S141" s="42" t="n">
        <x:v>1.08</x:v>
      </x:c>
      <x:c r="V141" t="str">
        <x:v>2029-10-09</x:v>
      </x:c>
      <x:c r="W141" t="str">
        <x:v>待核</x:v>
      </x:c>
      <x:c r="X141" t="str">
        <x:v>周末已解析；节假日需交易所对应年度日历核验，实际交易日待核</x:v>
      </x:c>
    </x:row>
    <x:row r="142" ht="23" customHeight="1">
      <x:c r="A142" s="11" t="str">
        <x:v>688235.SH</x:v>
      </x:c>
      <x:c r="B142" s="11" t="str">
        <x:v>三年</x:v>
      </x:c>
      <x:c r="C142" s="11" t="str">
        <x:v>乐观</x:v>
      </x:c>
      <x:c r="D142" s="11" t="str">
        <x:v>EPS</x:v>
      </x:c>
      <x:c r="E142" s="18" t="n">
        <x:v>4.131382716049385</x:v>
      </x:c>
      <x:c r="F142" s="18" t="n">
        <x:v>36.8</x:v>
      </x:c>
      <x:c r="G142" s="18" t="n">
        <x:v>7.090909090909091</x:v>
      </x:c>
      <x:c r="H142" s="18" t="n">
        <x:v>0</x:v>
      </x:c>
      <x:c r="I142" s="18"/>
      <x:c r="J142" s="20" t="n">
        <x:v>0.36773846153846174</x:v>
      </x:c>
      <x:c r="K142" s="22" t="n">
        <x:v>1.62</x:v>
      </x:c>
      <x:c r="L142" s="11" t="str">
        <x:v>beone-v1-operating-profit-AH-royalty-excluded</x:v>
      </x:c>
      <x:c r="M142" s="11" t="str">
        <x:v>2029-10-09</x:v>
      </x:c>
      <x:c r="O142" t="str">
        <x:v>USD</x:v>
      </x:c>
      <x:c r="R142" s="42" t="n">
        <x:v>12</x:v>
      </x:c>
      <x:c r="S142" s="42" t="n">
        <x:v>1.15</x:v>
      </x:c>
      <x:c r="V142" t="str">
        <x:v>2029-10-09</x:v>
      </x:c>
      <x:c r="W142" t="str">
        <x:v>待核</x:v>
      </x:c>
      <x:c r="X142" t="str">
        <x:v>周末已解析；节假日需交易所对应年度日历核验，实际交易日待核</x:v>
      </x:c>
    </x:row>
    <x:row r="143" ht="23" customHeight="1">
      <x:c r="A143" s="15" t="str">
        <x:v>688235.SH</x:v>
      </x:c>
      <x:c r="B143" s="15" t="str">
        <x:v>五年</x:v>
      </x:c>
      <x:c r="C143" s="15" t="str">
        <x:v>活动输入</x:v>
      </x:c>
      <x:c r="D143" s="15" t="str">
        <x:v>EPS</x:v>
      </x:c>
      <x:c r="E143" s="17" t="n">
        <x:f>CHOOSE($B$3,E144,E145,E146)</x:f>
        <x:v>2.9358333333333335</x:v>
      </x:c>
      <x:c r="F143" s="17" t="n">
        <x:f>CHOOSE($B$3,F144,F145,F146)</x:f>
        <x:v>26</x:v>
      </x:c>
      <x:c r="G143" s="17" t="n">
        <x:f>CHOOSE($B$3,G144,G145,G146)</x:f>
        <x:v>7.090909090909091</x:v>
      </x:c>
      <x:c r="H143" s="17" t="n">
        <x:f>CHOOSE($B$3,H144,H145,H146)</x:f>
        <x:v>0</x:v>
      </x:c>
      <x:c r="I143" s="17" t="str">
        <x:f>CHOOSE($B$3,I144,I145,I146)</x:f>
      </x:c>
      <x:c r="J143" s="19" t="n">
        <x:f>CHOOSE($B$3,J144,J145,J146)</x:f>
        <x:v>0.3019714285714286</x:v>
      </x:c>
      <x:c r="K143" s="21" t="n">
        <x:f>CHOOSE($B$3,K144,K145,K146)</x:f>
        <x:v>1.8</x:v>
      </x:c>
      <x:c r="L143" s="15" t="str">
        <x:v>beone-v1-operating-profit-AH-royalty-excluded</x:v>
      </x:c>
      <x:c r="M143" s="15" t="str">
        <x:v>2031-10-09</x:v>
      </x:c>
      <x:c r="O143" t="str">
        <x:v>USD</x:v>
      </x:c>
      <x:c r="R143" t="n">
        <x:f>CHOOSE($B$3,R144,R145,R146)</x:f>
        <x:v>13</x:v>
      </x:c>
      <x:c r="S143" t="n">
        <x:f>CHOOSE($B$3,S144,S145,S146)</x:f>
        <x:v>1.04</x:v>
      </x:c>
      <x:c r="V143" t="str">
        <x:v>2031-10-09</x:v>
      </x:c>
      <x:c r="W143" t="str">
        <x:v>待核</x:v>
      </x:c>
      <x:c r="X143" t="str">
        <x:v>周末已解析；节假日需交易所对应年度日历核验，实际交易日待核</x:v>
      </x:c>
    </x:row>
    <x:row r="144" ht="23" customHeight="1">
      <x:c r="A144" s="11" t="str">
        <x:v>688235.SH</x:v>
      </x:c>
      <x:c r="B144" s="11" t="str">
        <x:v>五年</x:v>
      </x:c>
      <x:c r="C144" s="11" t="str">
        <x:v>悲观</x:v>
      </x:c>
      <x:c r="D144" s="11" t="str">
        <x:v>EPS</x:v>
      </x:c>
      <x:c r="E144" s="18" t="n">
        <x:v>0.22510869565217387</x:v>
      </x:c>
      <x:c r="F144" s="18" t="n">
        <x:v>19</x:v>
      </x:c>
      <x:c r="G144" s="18" t="n">
        <x:v>7.090909090909091</x:v>
      </x:c>
      <x:c r="H144" s="18" t="n">
        <x:v>0</x:v>
      </x:c>
      <x:c r="I144" s="18"/>
      <x:c r="J144" s="20" t="n">
        <x:v>0.05379220779220779</x:v>
      </x:c>
      <x:c r="K144" s="22" t="n">
        <x:v>1.84</x:v>
      </x:c>
      <x:c r="L144" s="11" t="str">
        <x:v>beone-v1-operating-profit-AH-royalty-excluded</x:v>
      </x:c>
      <x:c r="M144" s="11" t="str">
        <x:v>2031-10-09</x:v>
      </x:c>
      <x:c r="O144" t="str">
        <x:v>USD</x:v>
      </x:c>
      <x:c r="R144" s="42" t="n">
        <x:v>0.3</x:v>
      </x:c>
      <x:c r="S144" s="42" t="n">
        <x:v>1</x:v>
      </x:c>
      <x:c r="V144" t="str">
        <x:v>2031-10-09</x:v>
      </x:c>
      <x:c r="W144" t="str">
        <x:v>待核</x:v>
      </x:c>
      <x:c r="X144" t="str">
        <x:v>周末已解析；节假日需交易所对应年度日历核验，实际交易日待核</x:v>
      </x:c>
    </x:row>
    <x:row r="145" ht="23" customHeight="1">
      <x:c r="A145" s="11" t="str">
        <x:v>688235.SH</x:v>
      </x:c>
      <x:c r="B145" s="11" t="str">
        <x:v>五年</x:v>
      </x:c>
      <x:c r="C145" s="11" t="str">
        <x:v>基准</x:v>
      </x:c>
      <x:c r="D145" s="11" t="str">
        <x:v>EPS</x:v>
      </x:c>
      <x:c r="E145" s="18" t="n">
        <x:v>2.9358333333333335</x:v>
      </x:c>
      <x:c r="F145" s="18" t="n">
        <x:v>26</x:v>
      </x:c>
      <x:c r="G145" s="18" t="n">
        <x:v>7.090909090909091</x:v>
      </x:c>
      <x:c r="H145" s="18" t="n">
        <x:v>0</x:v>
      </x:c>
      <x:c r="I145" s="18"/>
      <x:c r="J145" s="20" t="n">
        <x:v>0.3019714285714286</x:v>
      </x:c>
      <x:c r="K145" s="22" t="n">
        <x:v>1.8</x:v>
      </x:c>
      <x:c r="L145" s="11" t="str">
        <x:v>beone-v1-operating-profit-AH-royalty-excluded</x:v>
      </x:c>
      <x:c r="M145" s="11" t="str">
        <x:v>2031-10-09</x:v>
      </x:c>
      <x:c r="O145" t="str">
        <x:v>USD</x:v>
      </x:c>
      <x:c r="R145" s="42" t="n">
        <x:v>13</x:v>
      </x:c>
      <x:c r="S145" s="42" t="n">
        <x:v>1.04</x:v>
      </x:c>
      <x:c r="V145" t="str">
        <x:v>2031-10-09</x:v>
      </x:c>
      <x:c r="W145" t="str">
        <x:v>待核</x:v>
      </x:c>
      <x:c r="X145" t="str">
        <x:v>周末已解析；节假日需交易所对应年度日历核验，实际交易日待核</x:v>
      </x:c>
    </x:row>
    <x:row r="146" ht="23" customHeight="1">
      <x:c r="A146" s="11" t="str">
        <x:v>688235.SH</x:v>
      </x:c>
      <x:c r="B146" s="11" t="str">
        <x:v>五年</x:v>
      </x:c>
      <x:c r="C146" s="11" t="str">
        <x:v>乐观</x:v>
      </x:c>
      <x:c r="D146" s="11" t="str">
        <x:v>EPS</x:v>
      </x:c>
      <x:c r="E146" s="18" t="n">
        <x:v>5.2724705882352945</x:v>
      </x:c>
      <x:c r="F146" s="18" t="n">
        <x:v>31.32</x:v>
      </x:c>
      <x:c r="G146" s="18" t="n">
        <x:v>7.090909090909091</x:v>
      </x:c>
      <x:c r="H146" s="18" t="n">
        <x:v>0</x:v>
      </x:c>
      <x:c r="I146" s="18"/>
      <x:c r="J146" s="20" t="n">
        <x:v>0.367344262295082</x:v>
      </x:c>
      <x:c r="K146" s="22" t="n">
        <x:v>1.7</x:v>
      </x:c>
      <x:c r="L146" s="11" t="str">
        <x:v>beone-v1-operating-profit-AH-royalty-excluded</x:v>
      </x:c>
      <x:c r="M146" s="11" t="str">
        <x:v>2031-10-09</x:v>
      </x:c>
      <x:c r="O146" t="str">
        <x:v>USD</x:v>
      </x:c>
      <x:c r="R146" s="42" t="n">
        <x:v>23</x:v>
      </x:c>
      <x:c r="S146" s="42" t="n">
        <x:v>1.08</x:v>
      </x:c>
      <x:c r="V146" t="str">
        <x:v>2031-10-09</x:v>
      </x:c>
      <x:c r="W146" t="str">
        <x:v>待核</x:v>
      </x:c>
      <x:c r="X146" t="str">
        <x:v>周末已解析；节假日需交易所对应年度日历核验，实际交易日待核</x:v>
      </x:c>
    </x:row>
    <x:row r="147" ht="23" customHeight="1">
      <x:c r="A147" s="15" t="str">
        <x:v>06160.HK</x:v>
      </x:c>
      <x:c r="B147" s="15" t="str">
        <x:v>2026年底</x:v>
      </x:c>
      <x:c r="C147" s="15" t="str">
        <x:v>活动输入</x:v>
      </x:c>
      <x:c r="D147" s="15" t="str">
        <x:v>EPS</x:v>
      </x:c>
      <x:c r="E147" s="17" t="n">
        <x:f>CHOOSE($B$3,E148,E149,E150)</x:f>
        <x:v>0.9483246753246749</x:v>
      </x:c>
      <x:c r="F147" s="17" t="n">
        <x:f>CHOOSE($B$3,F148,F149,F150)</x:f>
        <x:v>32</x:v>
      </x:c>
      <x:c r="G147" s="17" t="n">
        <x:f>CHOOSE($B$3,G148,G149,G150)</x:f>
        <x:v>7.8</x:v>
      </x:c>
      <x:c r="H147" s="17" t="n">
        <x:f>CHOOSE($B$3,H148,H149,H150)</x:f>
        <x:v>0</x:v>
      </x:c>
      <x:c r="I147" s="17" t="str">
        <x:f>CHOOSE($B$3,I148,I149,I150)</x:f>
      </x:c>
      <x:c r="J147" s="19" t="n">
        <x:f>CHOOSE($B$3,J148,J149,J150)</x:f>
        <x:v>0.18486329113924047</x:v>
      </x:c>
      <x:c r="K147" s="21" t="n">
        <x:f>CHOOSE($B$3,K148,K149,K150)</x:f>
        <x:v>1.54</x:v>
      </x:c>
      <x:c r="L147" s="15" t="str">
        <x:v>beone-v1-operating-profit-AH-royalty-excluded</x:v>
      </x:c>
      <x:c r="M147" s="15" t="str">
        <x:v>2026-12-31</x:v>
      </x:c>
      <x:c r="O147" t="str">
        <x:v>USD</x:v>
      </x:c>
      <x:c r="R147" t="n">
        <x:f>CHOOSE($B$3,R148,R149,R150)</x:f>
        <x:v>2.15</x:v>
      </x:c>
      <x:c r="S147" t="n">
        <x:f>CHOOSE($B$3,S148,S149,S150)</x:f>
        <x:v>1</x:v>
      </x:c>
      <x:c r="V147" t="str">
        <x:v>2026-12-31</x:v>
      </x:c>
      <x:c r="W147" t="str">
        <x:v>待核</x:v>
      </x:c>
      <x:c r="X147" t="str">
        <x:v>周末已解析；节假日需交易所对应年度日历核验，实际交易日待核</x:v>
      </x:c>
    </x:row>
    <x:row r="148" ht="23" customHeight="1">
      <x:c r="A148" s="11" t="str">
        <x:v>06160.HK</x:v>
      </x:c>
      <x:c r="B148" s="11" t="str">
        <x:v>2026年底</x:v>
      </x:c>
      <x:c r="C148" s="11" t="str">
        <x:v>悲观</x:v>
      </x:c>
      <x:c r="D148" s="11" t="str">
        <x:v>EPS</x:v>
      </x:c>
      <x:c r="E148" s="18" t="n">
        <x:f>E128</x:f>
        <x:v>0.40800000000000036</x:v>
      </x:c>
      <x:c r="F148" s="18" t="n">
        <x:v>25</x:v>
      </x:c>
      <x:c r="G148" s="18" t="n">
        <x:v>7.8</x:v>
      </x:c>
      <x:c r="H148" s="18" t="n">
        <x:v>0</x:v>
      </x:c>
      <x:c r="I148" s="18" t="n">
        <x:f>I128</x:f>
        <x:v>0</x:v>
      </x:c>
      <x:c r="J148" s="20" t="n">
        <x:f>J128</x:f>
        <x:v>0.09360000000000007</x:v>
      </x:c>
      <x:c r="K148" s="22" t="n">
        <x:f>K128</x:f>
        <x:v>1.56</x:v>
      </x:c>
      <x:c r="L148" s="11" t="str">
        <x:v>beone-v1-operating-profit-AH-royalty-excluded</x:v>
      </x:c>
      <x:c r="M148" s="11" t="str">
        <x:v>2026-12-31</x:v>
      </x:c>
      <x:c r="O148" t="str">
        <x:v>USD</x:v>
      </x:c>
      <x:c r="R148" t="n">
        <x:f>R128</x:f>
        <x:v>1.55</x:v>
      </x:c>
      <x:c r="S148" t="n">
        <x:v>1</x:v>
      </x:c>
      <x:c r="V148" t="str">
        <x:v>2026-12-31</x:v>
      </x:c>
      <x:c r="W148" t="str">
        <x:v>待核</x:v>
      </x:c>
      <x:c r="X148" t="str">
        <x:v>周末已解析；节假日需交易所对应年度日历核验，实际交易日待核</x:v>
      </x:c>
    </x:row>
    <x:row r="149" ht="23" customHeight="1">
      <x:c r="A149" s="11" t="str">
        <x:v>06160.HK</x:v>
      </x:c>
      <x:c r="B149" s="11" t="str">
        <x:v>2026年底</x:v>
      </x:c>
      <x:c r="C149" s="11" t="str">
        <x:v>基准</x:v>
      </x:c>
      <x:c r="D149" s="11" t="str">
        <x:v>EPS</x:v>
      </x:c>
      <x:c r="E149" s="18" t="n">
        <x:f>E129</x:f>
        <x:v>0.9483246753246749</x:v>
      </x:c>
      <x:c r="F149" s="18" t="n">
        <x:v>32</x:v>
      </x:c>
      <x:c r="G149" s="18" t="n">
        <x:v>7.8</x:v>
      </x:c>
      <x:c r="H149" s="18" t="n">
        <x:v>0</x:v>
      </x:c>
      <x:c r="I149" s="18" t="n">
        <x:f>I129</x:f>
        <x:v>0</x:v>
      </x:c>
      <x:c r="J149" s="20" t="n">
        <x:f>J129</x:f>
        <x:v>0.18486329113924047</x:v>
      </x:c>
      <x:c r="K149" s="22" t="n">
        <x:f>K129</x:f>
        <x:v>1.54</x:v>
      </x:c>
      <x:c r="L149" s="11" t="str">
        <x:v>beone-v1-operating-profit-AH-royalty-excluded</x:v>
      </x:c>
      <x:c r="M149" s="11" t="str">
        <x:v>2026-12-31</x:v>
      </x:c>
      <x:c r="O149" t="str">
        <x:v>USD</x:v>
      </x:c>
      <x:c r="R149" t="n">
        <x:f>R129</x:f>
        <x:v>2.15</x:v>
      </x:c>
      <x:c r="S149" t="n">
        <x:v>1</x:v>
      </x:c>
      <x:c r="V149" t="str">
        <x:v>2026-12-31</x:v>
      </x:c>
      <x:c r="W149" t="str">
        <x:v>待核</x:v>
      </x:c>
      <x:c r="X149" t="str">
        <x:v>周末已解析；节假日需交易所对应年度日历核验，实际交易日待核</x:v>
      </x:c>
    </x:row>
    <x:row r="150" ht="23" customHeight="1">
      <x:c r="A150" s="11" t="str">
        <x:v>06160.HK</x:v>
      </x:c>
      <x:c r="B150" s="11" t="str">
        <x:v>2026年底</x:v>
      </x:c>
      <x:c r="C150" s="11" t="str">
        <x:v>乐观</x:v>
      </x:c>
      <x:c r="D150" s="11" t="str">
        <x:v>EPS</x:v>
      </x:c>
      <x:c r="E150" s="18" t="n">
        <x:f>E130</x:f>
        <x:v>1.4777777777777776</x:v>
      </x:c>
      <x:c r="F150" s="18" t="n">
        <x:v>37</x:v>
      </x:c>
      <x:c r="G150" s="18" t="n">
        <x:v>7.8</x:v>
      </x:c>
      <x:c r="H150" s="18" t="n">
        <x:v>0</x:v>
      </x:c>
      <x:c r="I150" s="18" t="n">
        <x:f>I130</x:f>
        <x:v>0</x:v>
      </x:c>
      <x:c r="J150" s="20" t="n">
        <x:f>J130</x:f>
        <x:v>0.2540449438202247</x:v>
      </x:c>
      <x:c r="K150" s="22" t="n">
        <x:f>K130</x:f>
        <x:v>1.53</x:v>
      </x:c>
      <x:c r="L150" s="11" t="str">
        <x:v>beone-v1-operating-profit-AH-royalty-excluded</x:v>
      </x:c>
      <x:c r="M150" s="11" t="str">
        <x:v>2026-12-31</x:v>
      </x:c>
      <x:c r="O150" t="str">
        <x:v>USD</x:v>
      </x:c>
      <x:c r="R150" t="n">
        <x:f>R130</x:f>
        <x:v>2.65</x:v>
      </x:c>
      <x:c r="S150" t="n">
        <x:v>1</x:v>
      </x:c>
      <x:c r="V150" t="str">
        <x:v>2026-12-31</x:v>
      </x:c>
      <x:c r="W150" t="str">
        <x:v>待核</x:v>
      </x:c>
      <x:c r="X150" t="str">
        <x:v>周末已解析；节假日需交易所对应年度日历核验，实际交易日待核</x:v>
      </x:c>
    </x:row>
    <x:row r="151" ht="23" customHeight="1">
      <x:c r="A151" s="15" t="str">
        <x:v>06160.HK</x:v>
      </x:c>
      <x:c r="B151" s="15" t="str">
        <x:v>半年</x:v>
      </x:c>
      <x:c r="C151" s="15" t="str">
        <x:v>活动输入</x:v>
      </x:c>
      <x:c r="D151" s="15" t="str">
        <x:v>EPS</x:v>
      </x:c>
      <x:c r="E151" s="17" t="n">
        <x:f>CHOOSE($B$3,E152,E153,E154)</x:f>
        <x:v>1.1437948717948712</x:v>
      </x:c>
      <x:c r="F151" s="17" t="n">
        <x:f>CHOOSE($B$3,F152,F153,F154)</x:f>
        <x:v>30</x:v>
      </x:c>
      <x:c r="G151" s="17" t="n">
        <x:f>CHOOSE($B$3,G152,G153,G154)</x:f>
        <x:v>7.8</x:v>
      </x:c>
      <x:c r="H151" s="17" t="n">
        <x:f>CHOOSE($B$3,H152,H153,H154)</x:f>
        <x:v>0</x:v>
      </x:c>
      <x:c r="I151" s="17" t="str">
        <x:f>CHOOSE($B$3,I152,I153,I154)</x:f>
      </x:c>
      <x:c r="J151" s="19" t="n">
        <x:f>CHOOSE($B$3,J152,J153,J154)</x:f>
        <x:v>0.21241904761904756</x:v>
      </x:c>
      <x:c r="K151" s="21" t="n">
        <x:f>CHOOSE($B$3,K152,K153,K154)</x:f>
        <x:v>1.56</x:v>
      </x:c>
      <x:c r="L151" s="15" t="str">
        <x:v>beone-v1-operating-profit-AH-royalty-excluded</x:v>
      </x:c>
      <x:c r="M151" s="15" t="str">
        <x:v>2027-04-09</x:v>
      </x:c>
      <x:c r="O151" t="str">
        <x:v>USD</x:v>
      </x:c>
      <x:c r="R151" t="n">
        <x:f>CHOOSE($B$3,R152,R153,R154)</x:f>
        <x:v>2.5</x:v>
      </x:c>
      <x:c r="S151" t="n">
        <x:f>CHOOSE($B$3,S152,S153,S154)</x:f>
        <x:v>1</x:v>
      </x:c>
      <x:c r="V151" t="str">
        <x:v>2027-04-09</x:v>
      </x:c>
      <x:c r="W151" t="str">
        <x:v>待核</x:v>
      </x:c>
      <x:c r="X151" t="str">
        <x:v>周末已解析；节假日需交易所对应年度日历核验，实际交易日待核</x:v>
      </x:c>
    </x:row>
    <x:row r="152" ht="23" customHeight="1">
      <x:c r="A152" s="11" t="str">
        <x:v>06160.HK</x:v>
      </x:c>
      <x:c r="B152" s="11" t="str">
        <x:v>半年</x:v>
      </x:c>
      <x:c r="C152" s="11" t="str">
        <x:v>悲观</x:v>
      </x:c>
      <x:c r="D152" s="11" t="str">
        <x:v>EPS</x:v>
      </x:c>
      <x:c r="E152" s="18" t="n">
        <x:f>E132</x:f>
        <x:v>0.32236708860759533</x:v>
      </x:c>
      <x:c r="F152" s="18" t="n">
        <x:v>25</x:v>
      </x:c>
      <x:c r="G152" s="18" t="n">
        <x:v>7.8</x:v>
      </x:c>
      <x:c r="H152" s="18" t="n">
        <x:v>0</x:v>
      </x:c>
      <x:c r="I152" s="18" t="n">
        <x:f>I132</x:f>
        <x:v>0</x:v>
      </x:c>
      <x:c r="J152" s="20" t="n">
        <x:f>J132</x:f>
        <x:v>0.07381739130434792</x:v>
      </x:c>
      <x:c r="K152" s="22" t="n">
        <x:f>K132</x:f>
        <x:v>1.58</x:v>
      </x:c>
      <x:c r="L152" s="11" t="str">
        <x:v>beone-v1-operating-profit-AH-royalty-excluded</x:v>
      </x:c>
      <x:c r="M152" s="11" t="str">
        <x:v>2027-04-09</x:v>
      </x:c>
      <x:c r="O152" t="str">
        <x:v>USD</x:v>
      </x:c>
      <x:c r="R152" t="n">
        <x:f>R132</x:f>
        <x:v>1.4</x:v>
      </x:c>
      <x:c r="S152" t="n">
        <x:v>1</x:v>
      </x:c>
      <x:c r="V152" t="str">
        <x:v>2027-04-09</x:v>
      </x:c>
      <x:c r="W152" t="str">
        <x:v>待核</x:v>
      </x:c>
      <x:c r="X152" t="str">
        <x:v>周末已解析；节假日需交易所对应年度日历核验，实际交易日待核</x:v>
      </x:c>
    </x:row>
    <x:row r="153" ht="23" customHeight="1">
      <x:c r="A153" s="11" t="str">
        <x:v>06160.HK</x:v>
      </x:c>
      <x:c r="B153" s="11" t="str">
        <x:v>半年</x:v>
      </x:c>
      <x:c r="C153" s="11" t="str">
        <x:v>基准</x:v>
      </x:c>
      <x:c r="D153" s="11" t="str">
        <x:v>EPS</x:v>
      </x:c>
      <x:c r="E153" s="18" t="n">
        <x:f>E133</x:f>
        <x:v>1.1437948717948712</x:v>
      </x:c>
      <x:c r="F153" s="18" t="n">
        <x:v>30</x:v>
      </x:c>
      <x:c r="G153" s="18" t="n">
        <x:v>7.8</x:v>
      </x:c>
      <x:c r="H153" s="18" t="n">
        <x:v>0</x:v>
      </x:c>
      <x:c r="I153" s="18" t="n">
        <x:f>I133</x:f>
        <x:v>0</x:v>
      </x:c>
      <x:c r="J153" s="20" t="n">
        <x:f>J133</x:f>
        <x:v>0.21241904761904756</x:v>
      </x:c>
      <x:c r="K153" s="22" t="n">
        <x:f>K133</x:f>
        <x:v>1.56</x:v>
      </x:c>
      <x:c r="L153" s="11" t="str">
        <x:v>beone-v1-operating-profit-AH-royalty-excluded</x:v>
      </x:c>
      <x:c r="M153" s="11" t="str">
        <x:v>2027-04-09</x:v>
      </x:c>
      <x:c r="O153" t="str">
        <x:v>USD</x:v>
      </x:c>
      <x:c r="R153" t="n">
        <x:f>R133</x:f>
        <x:v>2.5</x:v>
      </x:c>
      <x:c r="S153" t="n">
        <x:v>1</x:v>
      </x:c>
      <x:c r="V153" t="str">
        <x:v>2027-04-09</x:v>
      </x:c>
      <x:c r="W153" t="str">
        <x:v>待核</x:v>
      </x:c>
      <x:c r="X153" t="str">
        <x:v>周末已解析；节假日需交易所对应年度日历核验，实际交易日待核</x:v>
      </x:c>
    </x:row>
    <x:row r="154" ht="23" customHeight="1">
      <x:c r="A154" s="11" t="str">
        <x:v>06160.HK</x:v>
      </x:c>
      <x:c r="B154" s="11" t="str">
        <x:v>半年</x:v>
      </x:c>
      <x:c r="C154" s="11" t="str">
        <x:v>乐观</x:v>
      </x:c>
      <x:c r="D154" s="11" t="str">
        <x:v>EPS</x:v>
      </x:c>
      <x:c r="E154" s="18" t="n">
        <x:f>E134</x:f>
        <x:v>1.819548387096776</x:v>
      </x:c>
      <x:c r="F154" s="18" t="n">
        <x:v>35</x:v>
      </x:c>
      <x:c r="G154" s="18" t="n">
        <x:v>7.8</x:v>
      </x:c>
      <x:c r="H154" s="18" t="n">
        <x:v>0</x:v>
      </x:c>
      <x:c r="I154" s="18" t="n">
        <x:f>I134</x:f>
        <x:v>0</x:v>
      </x:c>
      <x:c r="J154" s="20" t="n">
        <x:f>J134</x:f>
        <x:v>0.2877857142857145</x:v>
      </x:c>
      <x:c r="K154" s="22" t="n">
        <x:f>K134</x:f>
        <x:v>1.55</x:v>
      </x:c>
      <x:c r="L154" s="11" t="str">
        <x:v>beone-v1-operating-profit-AH-royalty-excluded</x:v>
      </x:c>
      <x:c r="M154" s="11" t="str">
        <x:v>2027-04-09</x:v>
      </x:c>
      <x:c r="O154" t="str">
        <x:v>USD</x:v>
      </x:c>
      <x:c r="R154" t="n">
        <x:f>R134</x:f>
        <x:v>3.1</x:v>
      </x:c>
      <x:c r="S154" t="n">
        <x:v>1</x:v>
      </x:c>
      <x:c r="V154" t="str">
        <x:v>2027-04-09</x:v>
      </x:c>
      <x:c r="W154" t="str">
        <x:v>待核</x:v>
      </x:c>
      <x:c r="X154" t="str">
        <x:v>周末已解析；节假日需交易所对应年度日历核验，实际交易日待核</x:v>
      </x:c>
    </x:row>
    <x:row r="155" ht="23" customHeight="1">
      <x:c r="A155" s="15" t="str">
        <x:v>06160.HK</x:v>
      </x:c>
      <x:c r="B155" s="15" t="str">
        <x:v>一年</x:v>
      </x:c>
      <x:c r="C155" s="15" t="str">
        <x:v>活动输入</x:v>
      </x:c>
      <x:c r="D155" s="15" t="str">
        <x:v>EPS</x:v>
      </x:c>
      <x:c r="E155" s="17" t="n">
        <x:f>CHOOSE($B$3,E156,E157,E158)</x:f>
        <x:v>1.6557499999999994</x:v>
      </x:c>
      <x:c r="F155" s="17" t="n">
        <x:f>CHOOSE($B$3,F156,F157,F158)</x:f>
        <x:v>29</x:v>
      </x:c>
      <x:c r="G155" s="17" t="n">
        <x:f>CHOOSE($B$3,G156,G157,G158)</x:f>
        <x:v>7.8</x:v>
      </x:c>
      <x:c r="H155" s="17" t="n">
        <x:f>CHOOSE($B$3,H156,H157,H158)</x:f>
        <x:v>0</x:v>
      </x:c>
      <x:c r="I155" s="17" t="str">
        <x:f>CHOOSE($B$3,I156,I157,I158)</x:f>
      </x:c>
      <x:c r="J155" s="19" t="n">
        <x:f>CHOOSE($B$3,J156,J157,J158)</x:f>
        <x:v>0.25596135265700476</x:v>
      </x:c>
      <x:c r="K155" s="21" t="n">
        <x:f>CHOOSE($B$3,K156,K157,K158)</x:f>
        <x:v>1.6</x:v>
      </x:c>
      <x:c r="L155" s="15" t="str">
        <x:v>beone-v1-operating-profit-AH-royalty-excluded</x:v>
      </x:c>
      <x:c r="M155" s="15" t="str">
        <x:v>2027-10-09</x:v>
      </x:c>
      <x:c r="O155" t="str">
        <x:v>USD</x:v>
      </x:c>
      <x:c r="R155" t="n">
        <x:f>CHOOSE($B$3,R156,R157,R158)</x:f>
        <x:v>3.8</x:v>
      </x:c>
      <x:c r="S155" t="n">
        <x:f>CHOOSE($B$3,S156,S157,S158)</x:f>
        <x:v>1</x:v>
      </x:c>
      <x:c r="V155" t="str">
        <x:v>2027-10-08</x:v>
      </x:c>
      <x:c r="W155" t="str">
        <x:v>待核</x:v>
      </x:c>
      <x:c r="X155" t="str">
        <x:v>周末已解析；节假日需交易所对应年度日历核验，实际交易日待核</x:v>
      </x:c>
    </x:row>
    <x:row r="156" ht="23" customHeight="1">
      <x:c r="A156" s="11" t="str">
        <x:v>06160.HK</x:v>
      </x:c>
      <x:c r="B156" s="11" t="str">
        <x:v>一年</x:v>
      </x:c>
      <x:c r="C156" s="11" t="str">
        <x:v>悲观</x:v>
      </x:c>
      <x:c r="D156" s="11" t="str">
        <x:v>EPS</x:v>
      </x:c>
      <x:c r="E156" s="18" t="n">
        <x:f>E136</x:f>
        <x:v>0.26529629629629636</x:v>
      </x:c>
      <x:c r="F156" s="18" t="n">
        <x:v>23</x:v>
      </x:c>
      <x:c r="G156" s="18" t="n">
        <x:v>7.8</x:v>
      </x:c>
      <x:c r="H156" s="18" t="n">
        <x:v>0</x:v>
      </x:c>
      <x:c r="I156" s="18" t="n">
        <x:f>I136</x:f>
        <x:v>0</x:v>
      </x:c>
      <x:c r="J156" s="20" t="n">
        <x:f>J136</x:f>
        <x:v>0.05887397260273975</x:v>
      </x:c>
      <x:c r="K156" s="22" t="n">
        <x:f>K136</x:f>
        <x:v>1.62</x:v>
      </x:c>
      <x:c r="L156" s="11" t="str">
        <x:v>beone-v1-operating-profit-AH-royalty-excluded</x:v>
      </x:c>
      <x:c r="M156" s="11" t="str">
        <x:v>2027-10-09</x:v>
      </x:c>
      <x:c r="O156" t="str">
        <x:v>USD</x:v>
      </x:c>
      <x:c r="R156" t="n">
        <x:f>R136</x:f>
        <x:v>1.2</x:v>
      </x:c>
      <x:c r="S156" t="n">
        <x:v>1</x:v>
      </x:c>
      <x:c r="V156" t="str">
        <x:v>2027-10-08</x:v>
      </x:c>
      <x:c r="W156" t="str">
        <x:v>待核</x:v>
      </x:c>
      <x:c r="X156" t="str">
        <x:v>周末已解析；节假日需交易所对应年度日历核验，实际交易日待核</x:v>
      </x:c>
    </x:row>
    <x:row r="157" ht="23" customHeight="1">
      <x:c r="A157" s="11" t="str">
        <x:v>06160.HK</x:v>
      </x:c>
      <x:c r="B157" s="11" t="str">
        <x:v>一年</x:v>
      </x:c>
      <x:c r="C157" s="11" t="str">
        <x:v>基准</x:v>
      </x:c>
      <x:c r="D157" s="11" t="str">
        <x:v>EPS</x:v>
      </x:c>
      <x:c r="E157" s="18" t="n">
        <x:f>E137</x:f>
        <x:v>1.6557499999999994</x:v>
      </x:c>
      <x:c r="F157" s="18" t="n">
        <x:v>29</x:v>
      </x:c>
      <x:c r="G157" s="18" t="n">
        <x:v>7.8</x:v>
      </x:c>
      <x:c r="H157" s="18" t="n">
        <x:v>0</x:v>
      </x:c>
      <x:c r="I157" s="18" t="n">
        <x:f>I137</x:f>
        <x:v>0</x:v>
      </x:c>
      <x:c r="J157" s="20" t="n">
        <x:f>J137</x:f>
        <x:v>0.25596135265700476</x:v>
      </x:c>
      <x:c r="K157" s="22" t="n">
        <x:f>K137</x:f>
        <x:v>1.6</x:v>
      </x:c>
      <x:c r="L157" s="11" t="str">
        <x:v>beone-v1-operating-profit-AH-royalty-excluded</x:v>
      </x:c>
      <x:c r="M157" s="11" t="str">
        <x:v>2027-10-09</x:v>
      </x:c>
      <x:c r="O157" t="str">
        <x:v>USD</x:v>
      </x:c>
      <x:c r="R157" t="n">
        <x:f>R137</x:f>
        <x:v>3.8</x:v>
      </x:c>
      <x:c r="S157" t="n">
        <x:v>1</x:v>
      </x:c>
      <x:c r="V157" t="str">
        <x:v>2027-10-08</x:v>
      </x:c>
      <x:c r="W157" t="str">
        <x:v>待核</x:v>
      </x:c>
      <x:c r="X157" t="str">
        <x:v>周末已解析；节假日需交易所对应年度日历核验，实际交易日待核</x:v>
      </x:c>
    </x:row>
    <x:row r="158" ht="23" customHeight="1">
      <x:c r="A158" s="11" t="str">
        <x:v>06160.HK</x:v>
      </x:c>
      <x:c r="B158" s="11" t="str">
        <x:v>一年</x:v>
      </x:c>
      <x:c r="C158" s="11" t="str">
        <x:v>乐观</x:v>
      </x:c>
      <x:c r="D158" s="11" t="str">
        <x:v>EPS</x:v>
      </x:c>
      <x:c r="E158" s="18" t="n">
        <x:f>E138</x:f>
        <x:v>2.8465828025477715</x:v>
      </x:c>
      <x:c r="F158" s="18" t="n">
        <x:v>34</x:v>
      </x:c>
      <x:c r="G158" s="18" t="n">
        <x:v>7.8</x:v>
      </x:c>
      <x:c r="H158" s="18" t="n">
        <x:v>0</x:v>
      </x:c>
      <x:c r="I158" s="18" t="n">
        <x:f>I138</x:f>
        <x:v>0</x:v>
      </x:c>
      <x:c r="J158" s="20" t="n">
        <x:f>J138</x:f>
        <x:v>0.3451069498069499</x:v>
      </x:c>
      <x:c r="K158" s="22" t="n">
        <x:f>K138</x:f>
        <x:v>1.57</x:v>
      </x:c>
      <x:c r="L158" s="11" t="str">
        <x:v>beone-v1-operating-profit-AH-royalty-excluded</x:v>
      </x:c>
      <x:c r="M158" s="11" t="str">
        <x:v>2027-10-09</x:v>
      </x:c>
      <x:c r="O158" t="str">
        <x:v>USD</x:v>
      </x:c>
      <x:c r="R158" t="n">
        <x:f>R138</x:f>
        <x:v>5.2</x:v>
      </x:c>
      <x:c r="S158" t="n">
        <x:v>1</x:v>
      </x:c>
      <x:c r="V158" t="str">
        <x:v>2027-10-08</x:v>
      </x:c>
      <x:c r="W158" t="str">
        <x:v>待核</x:v>
      </x:c>
      <x:c r="X158" t="str">
        <x:v>周末已解析；节假日需交易所对应年度日历核验，实际交易日待核</x:v>
      </x:c>
    </x:row>
    <x:row r="159" ht="23" customHeight="1">
      <x:c r="A159" s="15" t="str">
        <x:v>06160.HK</x:v>
      </x:c>
      <x:c r="B159" s="15" t="str">
        <x:v>三年</x:v>
      </x:c>
      <x:c r="C159" s="15" t="str">
        <x:v>活动输入</x:v>
      </x:c>
      <x:c r="D159" s="15" t="str">
        <x:v>EPS</x:v>
      </x:c>
      <x:c r="E159" s="17" t="n">
        <x:f>CHOOSE($B$3,E160,E161,E162)</x:f>
        <x:v>2.222345238095239</x:v>
      </x:c>
      <x:c r="F159" s="17" t="n">
        <x:f>CHOOSE($B$3,F160,F161,F162)</x:f>
        <x:v>27</x:v>
      </x:c>
      <x:c r="G159" s="17" t="n">
        <x:f>CHOOSE($B$3,G160,G161,G162)</x:f>
        <x:v>7.8</x:v>
      </x:c>
      <x:c r="H159" s="17" t="n">
        <x:f>CHOOSE($B$3,H160,H161,H162)</x:f>
        <x:v>0</x:v>
      </x:c>
      <x:c r="I159" s="17" t="str">
        <x:f>CHOOSE($B$3,I160,I161,I162)</x:f>
      </x:c>
      <x:c r="J159" s="19" t="n">
        <x:f>CHOOSE($B$3,J160,J161,J162)</x:f>
        <x:v>0.2786223880597016</x:v>
      </x:c>
      <x:c r="K159" s="21" t="n">
        <x:f>CHOOSE($B$3,K160,K161,K162)</x:f>
        <x:v>1.68</x:v>
      </x:c>
      <x:c r="L159" s="15" t="str">
        <x:v>beone-v1-operating-profit-AH-royalty-excluded</x:v>
      </x:c>
      <x:c r="M159" s="15" t="str">
        <x:v>2029-10-09</x:v>
      </x:c>
      <x:c r="O159" t="str">
        <x:v>USD</x:v>
      </x:c>
      <x:c r="R159" t="n">
        <x:f>CHOOSE($B$3,R160,R161,R162)</x:f>
        <x:v>7.5</x:v>
      </x:c>
      <x:c r="S159" t="n">
        <x:f>CHOOSE($B$3,S160,S161,S162)</x:f>
        <x:v>1</x:v>
      </x:c>
      <x:c r="V159" t="str">
        <x:v>2029-10-09</x:v>
      </x:c>
      <x:c r="W159" t="str">
        <x:v>待核</x:v>
      </x:c>
      <x:c r="X159" t="str">
        <x:v>周末已解析；节假日需交易所对应年度日历核验，实际交易日待核</x:v>
      </x:c>
    </x:row>
    <x:row r="160" ht="23" customHeight="1">
      <x:c r="A160" s="11" t="str">
        <x:v>06160.HK</x:v>
      </x:c>
      <x:c r="B160" s="11" t="str">
        <x:v>三年</x:v>
      </x:c>
      <x:c r="C160" s="11" t="str">
        <x:v>悲观</x:v>
      </x:c>
      <x:c r="D160" s="11" t="str">
        <x:v>EPS</x:v>
      </x:c>
      <x:c r="E160" s="18" t="n">
        <x:f>E140</x:f>
        <x:v>0.32948837209302356</x:v>
      </x:c>
      <x:c r="F160" s="18" t="n">
        <x:v>21</x:v>
      </x:c>
      <x:c r="G160" s="18" t="n">
        <x:v>7.8</x:v>
      </x:c>
      <x:c r="H160" s="18" t="n">
        <x:v>0</x:v>
      </x:c>
      <x:c r="I160" s="18" t="n">
        <x:f>I140</x:f>
        <x:v>0</x:v>
      </x:c>
      <x:c r="J160" s="20" t="n">
        <x:f>J140</x:f>
        <x:v>0.07456842105263164</x:v>
      </x:c>
      <x:c r="K160" s="22" t="n">
        <x:f>K140</x:f>
        <x:v>1.72</x:v>
      </x:c>
      <x:c r="L160" s="11" t="str">
        <x:v>beone-v1-operating-profit-AH-royalty-excluded</x:v>
      </x:c>
      <x:c r="M160" s="11" t="str">
        <x:v>2029-10-09</x:v>
      </x:c>
      <x:c r="O160" t="str">
        <x:v>USD</x:v>
      </x:c>
      <x:c r="R160" t="n">
        <x:f>R140</x:f>
        <x:v>0.8</x:v>
      </x:c>
      <x:c r="S160" t="n">
        <x:v>1</x:v>
      </x:c>
      <x:c r="V160" t="str">
        <x:v>2029-10-09</x:v>
      </x:c>
      <x:c r="W160" t="str">
        <x:v>待核</x:v>
      </x:c>
      <x:c r="X160" t="str">
        <x:v>周末已解析；节假日需交易所对应年度日历核验，实际交易日待核</x:v>
      </x:c>
    </x:row>
    <x:row r="161" ht="23" customHeight="1">
      <x:c r="A161" s="11" t="str">
        <x:v>06160.HK</x:v>
      </x:c>
      <x:c r="B161" s="11" t="str">
        <x:v>三年</x:v>
      </x:c>
      <x:c r="C161" s="11" t="str">
        <x:v>基准</x:v>
      </x:c>
      <x:c r="D161" s="11" t="str">
        <x:v>EPS</x:v>
      </x:c>
      <x:c r="E161" s="18" t="n">
        <x:f>E141</x:f>
        <x:v>2.222345238095239</x:v>
      </x:c>
      <x:c r="F161" s="18" t="n">
        <x:v>27</x:v>
      </x:c>
      <x:c r="G161" s="18" t="n">
        <x:v>7.8</x:v>
      </x:c>
      <x:c r="H161" s="18" t="n">
        <x:v>0</x:v>
      </x:c>
      <x:c r="I161" s="18" t="n">
        <x:f>I141</x:f>
        <x:v>0</x:v>
      </x:c>
      <x:c r="J161" s="20" t="n">
        <x:f>J141</x:f>
        <x:v>0.2786223880597016</x:v>
      </x:c>
      <x:c r="K161" s="22" t="n">
        <x:f>K141</x:f>
        <x:v>1.68</x:v>
      </x:c>
      <x:c r="L161" s="11" t="str">
        <x:v>beone-v1-operating-profit-AH-royalty-excluded</x:v>
      </x:c>
      <x:c r="M161" s="11" t="str">
        <x:v>2029-10-09</x:v>
      </x:c>
      <x:c r="O161" t="str">
        <x:v>USD</x:v>
      </x:c>
      <x:c r="R161" t="n">
        <x:f>R141</x:f>
        <x:v>7.5</x:v>
      </x:c>
      <x:c r="S161" t="n">
        <x:v>1</x:v>
      </x:c>
      <x:c r="V161" t="str">
        <x:v>2029-10-09</x:v>
      </x:c>
      <x:c r="W161" t="str">
        <x:v>待核</x:v>
      </x:c>
      <x:c r="X161" t="str">
        <x:v>周末已解析；节假日需交易所对应年度日历核验，实际交易日待核</x:v>
      </x:c>
    </x:row>
    <x:row r="162" ht="23" customHeight="1">
      <x:c r="A162" s="11" t="str">
        <x:v>06160.HK</x:v>
      </x:c>
      <x:c r="B162" s="11" t="str">
        <x:v>三年</x:v>
      </x:c>
      <x:c r="C162" s="11" t="str">
        <x:v>乐观</x:v>
      </x:c>
      <x:c r="D162" s="11" t="str">
        <x:v>EPS</x:v>
      </x:c>
      <x:c r="E162" s="18" t="n">
        <x:f>E142</x:f>
        <x:v>4.131382716049385</x:v>
      </x:c>
      <x:c r="F162" s="18" t="n">
        <x:v>32</x:v>
      </x:c>
      <x:c r="G162" s="18" t="n">
        <x:v>7.8</x:v>
      </x:c>
      <x:c r="H162" s="18" t="n">
        <x:v>0</x:v>
      </x:c>
      <x:c r="I162" s="18" t="n">
        <x:f>I142</x:f>
        <x:v>0</x:v>
      </x:c>
      <x:c r="J162" s="20" t="n">
        <x:f>J142</x:f>
        <x:v>0.36773846153846174</x:v>
      </x:c>
      <x:c r="K162" s="22" t="n">
        <x:f>K142</x:f>
        <x:v>1.62</x:v>
      </x:c>
      <x:c r="L162" s="11" t="str">
        <x:v>beone-v1-operating-profit-AH-royalty-excluded</x:v>
      </x:c>
      <x:c r="M162" s="11" t="str">
        <x:v>2029-10-09</x:v>
      </x:c>
      <x:c r="O162" t="str">
        <x:v>USD</x:v>
      </x:c>
      <x:c r="R162" t="n">
        <x:f>R142</x:f>
        <x:v>12</x:v>
      </x:c>
      <x:c r="S162" t="n">
        <x:v>1</x:v>
      </x:c>
      <x:c r="V162" t="str">
        <x:v>2029-10-09</x:v>
      </x:c>
      <x:c r="W162" t="str">
        <x:v>待核</x:v>
      </x:c>
      <x:c r="X162" t="str">
        <x:v>周末已解析；节假日需交易所对应年度日历核验，实际交易日待核</x:v>
      </x:c>
    </x:row>
    <x:row r="163" ht="23" customHeight="1">
      <x:c r="A163" s="15" t="str">
        <x:v>06160.HK</x:v>
      </x:c>
      <x:c r="B163" s="15" t="str">
        <x:v>五年</x:v>
      </x:c>
      <x:c r="C163" s="15" t="str">
        <x:v>活动输入</x:v>
      </x:c>
      <x:c r="D163" s="15" t="str">
        <x:v>EPS</x:v>
      </x:c>
      <x:c r="E163" s="17" t="n">
        <x:f>CHOOSE($B$3,E164,E165,E166)</x:f>
        <x:v>2.9358333333333335</x:v>
      </x:c>
      <x:c r="F163" s="17" t="n">
        <x:f>CHOOSE($B$3,F164,F165,F166)</x:f>
        <x:v>25</x:v>
      </x:c>
      <x:c r="G163" s="17" t="n">
        <x:f>CHOOSE($B$3,G164,G165,G166)</x:f>
        <x:v>7.8</x:v>
      </x:c>
      <x:c r="H163" s="17" t="n">
        <x:f>CHOOSE($B$3,H164,H165,H166)</x:f>
        <x:v>0</x:v>
      </x:c>
      <x:c r="I163" s="17" t="str">
        <x:f>CHOOSE($B$3,I164,I165,I166)</x:f>
      </x:c>
      <x:c r="J163" s="19" t="n">
        <x:f>CHOOSE($B$3,J164,J165,J166)</x:f>
        <x:v>0.3019714285714286</x:v>
      </x:c>
      <x:c r="K163" s="21" t="n">
        <x:f>CHOOSE($B$3,K164,K165,K166)</x:f>
        <x:v>1.8</x:v>
      </x:c>
      <x:c r="L163" s="15" t="str">
        <x:v>beone-v1-operating-profit-AH-royalty-excluded</x:v>
      </x:c>
      <x:c r="M163" s="15" t="str">
        <x:v>2031-10-09</x:v>
      </x:c>
      <x:c r="O163" t="str">
        <x:v>USD</x:v>
      </x:c>
      <x:c r="R163" t="n">
        <x:f>CHOOSE($B$3,R164,R165,R166)</x:f>
        <x:v>13</x:v>
      </x:c>
      <x:c r="S163" t="n">
        <x:f>CHOOSE($B$3,S164,S165,S166)</x:f>
        <x:v>1</x:v>
      </x:c>
      <x:c r="V163" t="str">
        <x:v>2031-10-09</x:v>
      </x:c>
      <x:c r="W163" t="str">
        <x:v>待核</x:v>
      </x:c>
      <x:c r="X163" t="str">
        <x:v>周末已解析；节假日需交易所对应年度日历核验，实际交易日待核</x:v>
      </x:c>
    </x:row>
    <x:row r="164" ht="23" customHeight="1">
      <x:c r="A164" s="11" t="str">
        <x:v>06160.HK</x:v>
      </x:c>
      <x:c r="B164" s="11" t="str">
        <x:v>五年</x:v>
      </x:c>
      <x:c r="C164" s="11" t="str">
        <x:v>悲观</x:v>
      </x:c>
      <x:c r="D164" s="11" t="str">
        <x:v>EPS</x:v>
      </x:c>
      <x:c r="E164" s="18" t="n">
        <x:f>E144</x:f>
        <x:v>0.22510869565217387</x:v>
      </x:c>
      <x:c r="F164" s="18" t="n">
        <x:v>19</x:v>
      </x:c>
      <x:c r="G164" s="18" t="n">
        <x:v>7.8</x:v>
      </x:c>
      <x:c r="H164" s="18" t="n">
        <x:v>0</x:v>
      </x:c>
      <x:c r="I164" s="18" t="n">
        <x:f>I144</x:f>
        <x:v>0</x:v>
      </x:c>
      <x:c r="J164" s="20" t="n">
        <x:f>J144</x:f>
        <x:v>0.05379220779220779</x:v>
      </x:c>
      <x:c r="K164" s="22" t="n">
        <x:f>K144</x:f>
        <x:v>1.84</x:v>
      </x:c>
      <x:c r="L164" s="11" t="str">
        <x:v>beone-v1-operating-profit-AH-royalty-excluded</x:v>
      </x:c>
      <x:c r="M164" s="11" t="str">
        <x:v>2031-10-09</x:v>
      </x:c>
      <x:c r="O164" t="str">
        <x:v>USD</x:v>
      </x:c>
      <x:c r="R164" t="n">
        <x:f>R144</x:f>
        <x:v>0.3</x:v>
      </x:c>
      <x:c r="S164" t="n">
        <x:v>1</x:v>
      </x:c>
      <x:c r="V164" t="str">
        <x:v>2031-10-09</x:v>
      </x:c>
      <x:c r="W164" t="str">
        <x:v>待核</x:v>
      </x:c>
      <x:c r="X164" t="str">
        <x:v>周末已解析；节假日需交易所对应年度日历核验，实际交易日待核</x:v>
      </x:c>
    </x:row>
    <x:row r="165" ht="23" customHeight="1">
      <x:c r="A165" s="11" t="str">
        <x:v>06160.HK</x:v>
      </x:c>
      <x:c r="B165" s="11" t="str">
        <x:v>五年</x:v>
      </x:c>
      <x:c r="C165" s="11" t="str">
        <x:v>基准</x:v>
      </x:c>
      <x:c r="D165" s="11" t="str">
        <x:v>EPS</x:v>
      </x:c>
      <x:c r="E165" s="18" t="n">
        <x:f>E145</x:f>
        <x:v>2.9358333333333335</x:v>
      </x:c>
      <x:c r="F165" s="18" t="n">
        <x:v>25</x:v>
      </x:c>
      <x:c r="G165" s="18" t="n">
        <x:v>7.8</x:v>
      </x:c>
      <x:c r="H165" s="18" t="n">
        <x:v>0</x:v>
      </x:c>
      <x:c r="I165" s="18" t="n">
        <x:f>I145</x:f>
        <x:v>0</x:v>
      </x:c>
      <x:c r="J165" s="20" t="n">
        <x:f>J145</x:f>
        <x:v>0.3019714285714286</x:v>
      </x:c>
      <x:c r="K165" s="22" t="n">
        <x:f>K145</x:f>
        <x:v>1.8</x:v>
      </x:c>
      <x:c r="L165" s="11" t="str">
        <x:v>beone-v1-operating-profit-AH-royalty-excluded</x:v>
      </x:c>
      <x:c r="M165" s="11" t="str">
        <x:v>2031-10-09</x:v>
      </x:c>
      <x:c r="O165" t="str">
        <x:v>USD</x:v>
      </x:c>
      <x:c r="R165" t="n">
        <x:f>R145</x:f>
        <x:v>13</x:v>
      </x:c>
      <x:c r="S165" t="n">
        <x:v>1</x:v>
      </x:c>
      <x:c r="V165" t="str">
        <x:v>2031-10-09</x:v>
      </x:c>
      <x:c r="W165" t="str">
        <x:v>待核</x:v>
      </x:c>
      <x:c r="X165" t="str">
        <x:v>周末已解析；节假日需交易所对应年度日历核验，实际交易日待核</x:v>
      </x:c>
    </x:row>
    <x:row r="166" ht="23" customHeight="1">
      <x:c r="A166" s="11" t="str">
        <x:v>06160.HK</x:v>
      </x:c>
      <x:c r="B166" s="11" t="str">
        <x:v>五年</x:v>
      </x:c>
      <x:c r="C166" s="11" t="str">
        <x:v>乐观</x:v>
      </x:c>
      <x:c r="D166" s="11" t="str">
        <x:v>EPS</x:v>
      </x:c>
      <x:c r="E166" s="18" t="n">
        <x:f>E146</x:f>
        <x:v>5.2724705882352945</x:v>
      </x:c>
      <x:c r="F166" s="18" t="n">
        <x:v>29</x:v>
      </x:c>
      <x:c r="G166" s="18" t="n">
        <x:v>7.8</x:v>
      </x:c>
      <x:c r="H166" s="18" t="n">
        <x:v>0</x:v>
      </x:c>
      <x:c r="I166" s="18" t="n">
        <x:f>I146</x:f>
        <x:v>0</x:v>
      </x:c>
      <x:c r="J166" s="20" t="n">
        <x:f>J146</x:f>
        <x:v>0.367344262295082</x:v>
      </x:c>
      <x:c r="K166" s="22" t="n">
        <x:f>K146</x:f>
        <x:v>1.7</x:v>
      </x:c>
      <x:c r="L166" s="11" t="str">
        <x:v>beone-v1-operating-profit-AH-royalty-excluded</x:v>
      </x:c>
      <x:c r="M166" s="11" t="str">
        <x:v>2031-10-09</x:v>
      </x:c>
      <x:c r="O166" t="str">
        <x:v>USD</x:v>
      </x:c>
      <x:c r="R166" t="n">
        <x:f>R146</x:f>
        <x:v>23</x:v>
      </x:c>
      <x:c r="S166" t="n">
        <x:v>1</x:v>
      </x:c>
      <x:c r="V166" t="str">
        <x:v>2031-10-09</x:v>
      </x:c>
      <x:c r="W166" t="str">
        <x:v>待核</x:v>
      </x:c>
      <x:c r="X166" t="str">
        <x:v>周末已解析；节假日需交易所对应年度日历核验，实际交易日待核</x:v>
      </x:c>
    </x:row>
    <x:row r="167" ht="23" customHeight="1">
      <x:c r="A167" s="15" t="str">
        <x:v>09626.HK</x:v>
      </x:c>
      <x:c r="B167" s="15" t="str">
        <x:v>2026年底</x:v>
      </x:c>
      <x:c r="C167" s="15" t="str">
        <x:v>活动输入</x:v>
      </x:c>
      <x:c r="D167" s="15" t="str">
        <x:v>EPS</x:v>
      </x:c>
      <x:c r="E167" s="17" t="n">
        <x:f>CHOOSE($B$3,E168,E169,E170)</x:f>
        <x:v>5.454316</x:v>
      </x:c>
      <x:c r="F167" s="17" t="n">
        <x:f>CHOOSE($B$3,F168,F169,F170)</x:f>
        <x:v>23</x:v>
      </x:c>
      <x:c r="G167" s="17" t="n">
        <x:f>CHOOSE($B$3,G168,G169,G170)</x:f>
        <x:v>1.1</x:v>
      </x:c>
      <x:c r="H167" s="17" t="n">
        <x:f>CHOOSE($B$3,H168,H169,H170)</x:f>
        <x:v>0</x:v>
      </x:c>
      <x:c r="I167" s="17" t="str">
        <x:f>CHOOSE($B$3,I168,I169,I170)</x:f>
      </x:c>
      <x:c r="J167" s="19" t="str">
        <x:f>CHOOSE($B$3,J168,J169,J170)</x:f>
      </x:c>
      <x:c r="K167" s="21" t="str">
        <x:f>CHOOSE($B$3,K168,K169,K170)</x:f>
      </x:c>
      <x:c r="L167" s="15" t="str">
        <x:v>bilibili-normalized-content-games-dilution-v1.0</x:v>
      </x:c>
      <x:c r="M167" s="15" t="str">
        <x:v>2026-12-31</x:v>
      </x:c>
      <x:c r="O167" t="str">
        <x:v>CNY</x:v>
      </x:c>
      <x:c r="V167" t="str">
        <x:v>2026-12-31</x:v>
      </x:c>
      <x:c r="W167" t="str">
        <x:v>待核</x:v>
      </x:c>
      <x:c r="X167" t="str">
        <x:v>周末已解析；节假日需交易所对应年度日历核验，实际交易日待核</x:v>
      </x:c>
    </x:row>
    <x:row r="168" ht="23" customHeight="1">
      <x:c r="A168" s="11" t="str">
        <x:v>09626.HK</x:v>
      </x:c>
      <x:c r="B168" s="11" t="str">
        <x:v>2026年底</x:v>
      </x:c>
      <x:c r="C168" s="11" t="str">
        <x:v>悲观</x:v>
      </x:c>
      <x:c r="D168" s="11" t="str">
        <x:v>EPS</x:v>
      </x:c>
      <x:c r="E168" s="18" t="n">
        <x:v>1.5816</x:v>
      </x:c>
      <x:c r="F168" s="18" t="n">
        <x:v>12</x:v>
      </x:c>
      <x:c r="G168" s="18" t="n">
        <x:v>1.1</x:v>
      </x:c>
      <x:c r="H168" s="18" t="n">
        <x:v>0</x:v>
      </x:c>
      <x:c r="I168" s="18"/>
      <x:c r="J168" s="20"/>
      <x:c r="K168" s="22"/>
      <x:c r="L168" s="11" t="str">
        <x:v>bilibili-normalized-content-games-dilution-v1.0</x:v>
      </x:c>
      <x:c r="M168" s="11" t="str">
        <x:v>2026-12-31</x:v>
      </x:c>
      <x:c r="O168" t="str">
        <x:v>CNY</x:v>
      </x:c>
      <x:c r="V168" t="str">
        <x:v>2026-12-31</x:v>
      </x:c>
      <x:c r="W168" t="str">
        <x:v>待核</x:v>
      </x:c>
      <x:c r="X168" t="str">
        <x:v>周末已解析；节假日需交易所对应年度日历核验，实际交易日待核</x:v>
      </x:c>
    </x:row>
    <x:row r="169" ht="23" customHeight="1">
      <x:c r="A169" s="11" t="str">
        <x:v>09626.HK</x:v>
      </x:c>
      <x:c r="B169" s="11" t="str">
        <x:v>2026年底</x:v>
      </x:c>
      <x:c r="C169" s="11" t="str">
        <x:v>基准</x:v>
      </x:c>
      <x:c r="D169" s="11" t="str">
        <x:v>EPS</x:v>
      </x:c>
      <x:c r="E169" s="18" t="n">
        <x:v>5.454316</x:v>
      </x:c>
      <x:c r="F169" s="18" t="n">
        <x:v>23</x:v>
      </x:c>
      <x:c r="G169" s="18" t="n">
        <x:v>1.1</x:v>
      </x:c>
      <x:c r="H169" s="18" t="n">
        <x:v>0</x:v>
      </x:c>
      <x:c r="I169" s="18"/>
      <x:c r="J169" s="20"/>
      <x:c r="K169" s="22"/>
      <x:c r="L169" s="11" t="str">
        <x:v>bilibili-normalized-content-games-dilution-v1.0</x:v>
      </x:c>
      <x:c r="M169" s="11" t="str">
        <x:v>2026-12-31</x:v>
      </x:c>
      <x:c r="O169" t="str">
        <x:v>CNY</x:v>
      </x:c>
      <x:c r="V169" t="str">
        <x:v>2026-12-31</x:v>
      </x:c>
      <x:c r="W169" t="str">
        <x:v>待核</x:v>
      </x:c>
      <x:c r="X169" t="str">
        <x:v>周末已解析；节假日需交易所对应年度日历核验，实际交易日待核</x:v>
      </x:c>
    </x:row>
    <x:row r="170" ht="23" customHeight="1">
      <x:c r="A170" s="11" t="str">
        <x:v>09626.HK</x:v>
      </x:c>
      <x:c r="B170" s="11" t="str">
        <x:v>2026年底</x:v>
      </x:c>
      <x:c r="C170" s="11" t="str">
        <x:v>乐观</x:v>
      </x:c>
      <x:c r="D170" s="11" t="str">
        <x:v>EPS</x:v>
      </x:c>
      <x:c r="E170" s="18" t="n">
        <x:v>8.05617</x:v>
      </x:c>
      <x:c r="F170" s="18" t="n">
        <x:v>28</x:v>
      </x:c>
      <x:c r="G170" s="18" t="n">
        <x:v>1.1</x:v>
      </x:c>
      <x:c r="H170" s="18" t="n">
        <x:v>0</x:v>
      </x:c>
      <x:c r="I170" s="18"/>
      <x:c r="J170" s="20"/>
      <x:c r="K170" s="22"/>
      <x:c r="L170" s="11" t="str">
        <x:v>bilibili-normalized-content-games-dilution-v1.0</x:v>
      </x:c>
      <x:c r="M170" s="11" t="str">
        <x:v>2026-12-31</x:v>
      </x:c>
      <x:c r="O170" t="str">
        <x:v>CNY</x:v>
      </x:c>
      <x:c r="V170" t="str">
        <x:v>2026-12-31</x:v>
      </x:c>
      <x:c r="W170" t="str">
        <x:v>待核</x:v>
      </x:c>
      <x:c r="X170" t="str">
        <x:v>周末已解析；节假日需交易所对应年度日历核验，实际交易日待核</x:v>
      </x:c>
    </x:row>
    <x:row r="171" ht="23" customHeight="1">
      <x:c r="A171" s="15" t="str">
        <x:v>09626.HK</x:v>
      </x:c>
      <x:c r="B171" s="15" t="str">
        <x:v>半年</x:v>
      </x:c>
      <x:c r="C171" s="15" t="str">
        <x:v>活动输入</x:v>
      </x:c>
      <x:c r="D171" s="15" t="str">
        <x:v>EPS</x:v>
      </x:c>
      <x:c r="E171" s="17" t="n">
        <x:f>CHOOSE($B$3,E172,E173,E174)</x:f>
        <x:v>6.21841</x:v>
      </x:c>
      <x:c r="F171" s="17" t="n">
        <x:f>CHOOSE($B$3,F172,F173,F174)</x:f>
        <x:v>23</x:v>
      </x:c>
      <x:c r="G171" s="17" t="n">
        <x:f>CHOOSE($B$3,G172,G173,G174)</x:f>
        <x:v>1.1</x:v>
      </x:c>
      <x:c r="H171" s="17" t="n">
        <x:f>CHOOSE($B$3,H172,H173,H174)</x:f>
        <x:v>0</x:v>
      </x:c>
      <x:c r="I171" s="17" t="str">
        <x:f>CHOOSE($B$3,I172,I173,I174)</x:f>
      </x:c>
      <x:c r="J171" s="19" t="str">
        <x:f>CHOOSE($B$3,J172,J173,J174)</x:f>
      </x:c>
      <x:c r="K171" s="21" t="str">
        <x:f>CHOOSE($B$3,K172,K173,K174)</x:f>
      </x:c>
      <x:c r="L171" s="15" t="str">
        <x:v>bilibili-normalized-content-games-dilution-v1.0</x:v>
      </x:c>
      <x:c r="M171" s="15" t="str">
        <x:v>2027-04-09</x:v>
      </x:c>
      <x:c r="O171" t="str">
        <x:v>CNY</x:v>
      </x:c>
      <x:c r="V171" t="str">
        <x:v>2027-04-09</x:v>
      </x:c>
      <x:c r="W171" t="str">
        <x:v>待核</x:v>
      </x:c>
      <x:c r="X171" t="str">
        <x:v>周末已解析；节假日需交易所对应年度日历核验，实际交易日待核</x:v>
      </x:c>
    </x:row>
    <x:row r="172" ht="23" customHeight="1">
      <x:c r="A172" s="11" t="str">
        <x:v>09626.HK</x:v>
      </x:c>
      <x:c r="B172" s="11" t="str">
        <x:v>半年</x:v>
      </x:c>
      <x:c r="C172" s="11" t="str">
        <x:v>悲观</x:v>
      </x:c>
      <x:c r="D172" s="11" t="str">
        <x:v>EPS</x:v>
      </x:c>
      <x:c r="E172" s="18" t="n">
        <x:v>1.108661</x:v>
      </x:c>
      <x:c r="F172" s="18" t="n">
        <x:v>11</x:v>
      </x:c>
      <x:c r="G172" s="18" t="n">
        <x:v>1.1</x:v>
      </x:c>
      <x:c r="H172" s="18" t="n">
        <x:v>0</x:v>
      </x:c>
      <x:c r="I172" s="18"/>
      <x:c r="J172" s="20"/>
      <x:c r="K172" s="22"/>
      <x:c r="L172" s="11" t="str">
        <x:v>bilibili-normalized-content-games-dilution-v1.0</x:v>
      </x:c>
      <x:c r="M172" s="11" t="str">
        <x:v>2027-04-09</x:v>
      </x:c>
      <x:c r="O172" t="str">
        <x:v>CNY</x:v>
      </x:c>
      <x:c r="V172" t="str">
        <x:v>2027-04-09</x:v>
      </x:c>
      <x:c r="W172" t="str">
        <x:v>待核</x:v>
      </x:c>
      <x:c r="X172" t="str">
        <x:v>周末已解析；节假日需交易所对应年度日历核验，实际交易日待核</x:v>
      </x:c>
    </x:row>
    <x:row r="173" ht="23" customHeight="1">
      <x:c r="A173" s="11" t="str">
        <x:v>09626.HK</x:v>
      </x:c>
      <x:c r="B173" s="11" t="str">
        <x:v>半年</x:v>
      </x:c>
      <x:c r="C173" s="11" t="str">
        <x:v>基准</x:v>
      </x:c>
      <x:c r="D173" s="11" t="str">
        <x:v>EPS</x:v>
      </x:c>
      <x:c r="E173" s="18" t="n">
        <x:v>6.21841</x:v>
      </x:c>
      <x:c r="F173" s="18" t="n">
        <x:v>23</x:v>
      </x:c>
      <x:c r="G173" s="18" t="n">
        <x:v>1.1</x:v>
      </x:c>
      <x:c r="H173" s="18" t="n">
        <x:v>0</x:v>
      </x:c>
      <x:c r="I173" s="18"/>
      <x:c r="J173" s="20"/>
      <x:c r="K173" s="22"/>
      <x:c r="L173" s="11" t="str">
        <x:v>bilibili-normalized-content-games-dilution-v1.0</x:v>
      </x:c>
      <x:c r="M173" s="11" t="str">
        <x:v>2027-04-09</x:v>
      </x:c>
      <x:c r="O173" t="str">
        <x:v>CNY</x:v>
      </x:c>
      <x:c r="V173" t="str">
        <x:v>2027-04-09</x:v>
      </x:c>
      <x:c r="W173" t="str">
        <x:v>待核</x:v>
      </x:c>
      <x:c r="X173" t="str">
        <x:v>周末已解析；节假日需交易所对应年度日历核验，实际交易日待核</x:v>
      </x:c>
    </x:row>
    <x:row r="174" ht="23" customHeight="1">
      <x:c r="A174" s="11" t="str">
        <x:v>09626.HK</x:v>
      </x:c>
      <x:c r="B174" s="11" t="str">
        <x:v>半年</x:v>
      </x:c>
      <x:c r="C174" s="11" t="str">
        <x:v>乐观</x:v>
      </x:c>
      <x:c r="D174" s="11" t="str">
        <x:v>EPS</x:v>
      </x:c>
      <x:c r="E174" s="18" t="n">
        <x:v>9.553191</x:v>
      </x:c>
      <x:c r="F174" s="18" t="n">
        <x:v>28</x:v>
      </x:c>
      <x:c r="G174" s="18" t="n">
        <x:v>1.1</x:v>
      </x:c>
      <x:c r="H174" s="18" t="n">
        <x:v>0</x:v>
      </x:c>
      <x:c r="I174" s="18"/>
      <x:c r="J174" s="20"/>
      <x:c r="K174" s="22"/>
      <x:c r="L174" s="11" t="str">
        <x:v>bilibili-normalized-content-games-dilution-v1.0</x:v>
      </x:c>
      <x:c r="M174" s="11" t="str">
        <x:v>2027-04-09</x:v>
      </x:c>
      <x:c r="O174" t="str">
        <x:v>CNY</x:v>
      </x:c>
      <x:c r="V174" t="str">
        <x:v>2027-04-09</x:v>
      </x:c>
      <x:c r="W174" t="str">
        <x:v>待核</x:v>
      </x:c>
      <x:c r="X174" t="str">
        <x:v>周末已解析；节假日需交易所对应年度日历核验，实际交易日待核</x:v>
      </x:c>
    </x:row>
    <x:row r="175" ht="23" customHeight="1">
      <x:c r="A175" s="15" t="str">
        <x:v>09626.HK</x:v>
      </x:c>
      <x:c r="B175" s="15" t="str">
        <x:v>一年</x:v>
      </x:c>
      <x:c r="C175" s="15" t="str">
        <x:v>活动输入</x:v>
      </x:c>
      <x:c r="D175" s="15" t="str">
        <x:v>EPS</x:v>
      </x:c>
      <x:c r="E175" s="17" t="n">
        <x:f>CHOOSE($B$3,E176,E177,E178)</x:f>
        <x:v>7.550207</x:v>
      </x:c>
      <x:c r="F175" s="17" t="n">
        <x:f>CHOOSE($B$3,F176,F177,F178)</x:f>
        <x:v>22</x:v>
      </x:c>
      <x:c r="G175" s="17" t="n">
        <x:f>CHOOSE($B$3,G176,G177,G178)</x:f>
        <x:v>1.1</x:v>
      </x:c>
      <x:c r="H175" s="17" t="n">
        <x:f>CHOOSE($B$3,H176,H177,H178)</x:f>
        <x:v>0</x:v>
      </x:c>
      <x:c r="I175" s="17" t="str">
        <x:f>CHOOSE($B$3,I176,I177,I178)</x:f>
      </x:c>
      <x:c r="J175" s="19" t="str">
        <x:f>CHOOSE($B$3,J176,J177,J178)</x:f>
      </x:c>
      <x:c r="K175" s="21" t="str">
        <x:f>CHOOSE($B$3,K176,K177,K178)</x:f>
      </x:c>
      <x:c r="L175" s="15" t="str">
        <x:v>bilibili-normalized-content-games-dilution-v1.0</x:v>
      </x:c>
      <x:c r="M175" s="15" t="str">
        <x:v>2027-10-09</x:v>
      </x:c>
      <x:c r="O175" t="str">
        <x:v>CNY</x:v>
      </x:c>
      <x:c r="V175" t="str">
        <x:v>2027-10-08</x:v>
      </x:c>
      <x:c r="W175" t="str">
        <x:v>待核</x:v>
      </x:c>
      <x:c r="X175" t="str">
        <x:v>周末已解析；节假日需交易所对应年度日历核验，实际交易日待核</x:v>
      </x:c>
    </x:row>
    <x:row r="176" ht="23" customHeight="1">
      <x:c r="A176" s="11" t="str">
        <x:v>09626.HK</x:v>
      </x:c>
      <x:c r="B176" s="11" t="str">
        <x:v>一年</x:v>
      </x:c>
      <x:c r="C176" s="11" t="str">
        <x:v>悲观</x:v>
      </x:c>
      <x:c r="D176" s="11" t="str">
        <x:v>EPS</x:v>
      </x:c>
      <x:c r="E176" s="18" t="n">
        <x:v>0.888462</x:v>
      </x:c>
      <x:c r="F176" s="18" t="n">
        <x:v>10</x:v>
      </x:c>
      <x:c r="G176" s="18" t="n">
        <x:v>1.1</x:v>
      </x:c>
      <x:c r="H176" s="18" t="n">
        <x:v>0</x:v>
      </x:c>
      <x:c r="I176" s="18"/>
      <x:c r="J176" s="20"/>
      <x:c r="K176" s="22"/>
      <x:c r="L176" s="11" t="str">
        <x:v>bilibili-normalized-content-games-dilution-v1.0</x:v>
      </x:c>
      <x:c r="M176" s="11" t="str">
        <x:v>2027-10-09</x:v>
      </x:c>
      <x:c r="O176" t="str">
        <x:v>CNY</x:v>
      </x:c>
      <x:c r="V176" t="str">
        <x:v>2027-10-08</x:v>
      </x:c>
      <x:c r="W176" t="str">
        <x:v>待核</x:v>
      </x:c>
      <x:c r="X176" t="str">
        <x:v>周末已解析；节假日需交易所对应年度日历核验，实际交易日待核</x:v>
      </x:c>
    </x:row>
    <x:row r="177" ht="23" customHeight="1">
      <x:c r="A177" s="11" t="str">
        <x:v>09626.HK</x:v>
      </x:c>
      <x:c r="B177" s="11" t="str">
        <x:v>一年</x:v>
      </x:c>
      <x:c r="C177" s="11" t="str">
        <x:v>基准</x:v>
      </x:c>
      <x:c r="D177" s="11" t="str">
        <x:v>EPS</x:v>
      </x:c>
      <x:c r="E177" s="18" t="n">
        <x:v>7.550207</x:v>
      </x:c>
      <x:c r="F177" s="18" t="n">
        <x:v>22</x:v>
      </x:c>
      <x:c r="G177" s="18" t="n">
        <x:v>1.1</x:v>
      </x:c>
      <x:c r="H177" s="18" t="n">
        <x:v>0</x:v>
      </x:c>
      <x:c r="I177" s="18"/>
      <x:c r="J177" s="20"/>
      <x:c r="K177" s="22"/>
      <x:c r="L177" s="11" t="str">
        <x:v>bilibili-normalized-content-games-dilution-v1.0</x:v>
      </x:c>
      <x:c r="M177" s="11" t="str">
        <x:v>2027-10-09</x:v>
      </x:c>
      <x:c r="O177" t="str">
        <x:v>CNY</x:v>
      </x:c>
      <x:c r="V177" t="str">
        <x:v>2027-10-08</x:v>
      </x:c>
      <x:c r="W177" t="str">
        <x:v>待核</x:v>
      </x:c>
      <x:c r="X177" t="str">
        <x:v>周末已解析；节假日需交易所对应年度日历核验，实际交易日待核</x:v>
      </x:c>
    </x:row>
    <x:row r="178" ht="23" customHeight="1">
      <x:c r="A178" s="11" t="str">
        <x:v>09626.HK</x:v>
      </x:c>
      <x:c r="B178" s="11" t="str">
        <x:v>一年</x:v>
      </x:c>
      <x:c r="C178" s="11" t="str">
        <x:v>乐观</x:v>
      </x:c>
      <x:c r="D178" s="11" t="str">
        <x:v>EPS</x:v>
      </x:c>
      <x:c r="E178" s="18" t="n">
        <x:v>12.097021</x:v>
      </x:c>
      <x:c r="F178" s="18" t="n">
        <x:v>28</x:v>
      </x:c>
      <x:c r="G178" s="18" t="n">
        <x:v>1.1</x:v>
      </x:c>
      <x:c r="H178" s="18" t="n">
        <x:v>0</x:v>
      </x:c>
      <x:c r="I178" s="18"/>
      <x:c r="J178" s="20"/>
      <x:c r="K178" s="22"/>
      <x:c r="L178" s="11" t="str">
        <x:v>bilibili-normalized-content-games-dilution-v1.0</x:v>
      </x:c>
      <x:c r="M178" s="11" t="str">
        <x:v>2027-10-09</x:v>
      </x:c>
      <x:c r="O178" t="str">
        <x:v>CNY</x:v>
      </x:c>
      <x:c r="V178" t="str">
        <x:v>2027-10-08</x:v>
      </x:c>
      <x:c r="W178" t="str">
        <x:v>待核</x:v>
      </x:c>
      <x:c r="X178" t="str">
        <x:v>周末已解析；节假日需交易所对应年度日历核验，实际交易日待核</x:v>
      </x:c>
    </x:row>
    <x:row r="179" ht="23" customHeight="1">
      <x:c r="A179" s="15" t="str">
        <x:v>09626.HK</x:v>
      </x:c>
      <x:c r="B179" s="15" t="str">
        <x:v>三年</x:v>
      </x:c>
      <x:c r="C179" s="15" t="str">
        <x:v>活动输入</x:v>
      </x:c>
      <x:c r="D179" s="15" t="str">
        <x:v>EPS</x:v>
      </x:c>
      <x:c r="E179" s="17" t="n">
        <x:f>CHOOSE($B$3,E180,E181,E182)</x:f>
        <x:v>11.978776</x:v>
      </x:c>
      <x:c r="F179" s="17" t="n">
        <x:f>CHOOSE($B$3,F180,F181,F182)</x:f>
        <x:v>21</x:v>
      </x:c>
      <x:c r="G179" s="17" t="n">
        <x:f>CHOOSE($B$3,G180,G181,G182)</x:f>
        <x:v>1.1</x:v>
      </x:c>
      <x:c r="H179" s="17" t="n">
        <x:f>CHOOSE($B$3,H180,H181,H182)</x:f>
        <x:v>1</x:v>
      </x:c>
      <x:c r="I179" s="17" t="str">
        <x:f>CHOOSE($B$3,I180,I181,I182)</x:f>
      </x:c>
      <x:c r="J179" s="19" t="str">
        <x:f>CHOOSE($B$3,J180,J181,J182)</x:f>
      </x:c>
      <x:c r="K179" s="21" t="str">
        <x:f>CHOOSE($B$3,K180,K181,K182)</x:f>
      </x:c>
      <x:c r="L179" s="15" t="str">
        <x:v>bilibili-normalized-content-games-dilution-v1.0</x:v>
      </x:c>
      <x:c r="M179" s="15" t="str">
        <x:v>2029-10-09</x:v>
      </x:c>
      <x:c r="O179" t="str">
        <x:v>CNY</x:v>
      </x:c>
      <x:c r="V179" t="str">
        <x:v>2029-10-09</x:v>
      </x:c>
      <x:c r="W179" t="str">
        <x:v>待核</x:v>
      </x:c>
      <x:c r="X179" t="str">
        <x:v>周末已解析；节假日需交易所对应年度日历核验，实际交易日待核</x:v>
      </x:c>
    </x:row>
    <x:row r="180" ht="23" customHeight="1">
      <x:c r="A180" s="11" t="str">
        <x:v>09626.HK</x:v>
      </x:c>
      <x:c r="B180" s="11" t="str">
        <x:v>三年</x:v>
      </x:c>
      <x:c r="C180" s="11" t="str">
        <x:v>悲观</x:v>
      </x:c>
      <x:c r="D180" s="11" t="str">
        <x:v>EPS</x:v>
      </x:c>
      <x:c r="E180" s="18" t="n">
        <x:v>0.432286</x:v>
      </x:c>
      <x:c r="F180" s="18" t="n">
        <x:v>9</x:v>
      </x:c>
      <x:c r="G180" s="18" t="n">
        <x:v>1.1</x:v>
      </x:c>
      <x:c r="H180" s="18" t="n">
        <x:v>0</x:v>
      </x:c>
      <x:c r="I180" s="18"/>
      <x:c r="J180" s="20"/>
      <x:c r="K180" s="22"/>
      <x:c r="L180" s="11" t="str">
        <x:v>bilibili-normalized-content-games-dilution-v1.0</x:v>
      </x:c>
      <x:c r="M180" s="11" t="str">
        <x:v>2029-10-09</x:v>
      </x:c>
      <x:c r="O180" t="str">
        <x:v>CNY</x:v>
      </x:c>
      <x:c r="V180" t="str">
        <x:v>2029-10-09</x:v>
      </x:c>
      <x:c r="W180" t="str">
        <x:v>待核</x:v>
      </x:c>
      <x:c r="X180" t="str">
        <x:v>周末已解析；节假日需交易所对应年度日历核验，实际交易日待核</x:v>
      </x:c>
    </x:row>
    <x:row r="181" ht="23" customHeight="1">
      <x:c r="A181" s="11" t="str">
        <x:v>09626.HK</x:v>
      </x:c>
      <x:c r="B181" s="11" t="str">
        <x:v>三年</x:v>
      </x:c>
      <x:c r="C181" s="11" t="str">
        <x:v>基准</x:v>
      </x:c>
      <x:c r="D181" s="11" t="str">
        <x:v>EPS</x:v>
      </x:c>
      <x:c r="E181" s="18" t="n">
        <x:v>11.978776</x:v>
      </x:c>
      <x:c r="F181" s="18" t="n">
        <x:v>21</x:v>
      </x:c>
      <x:c r="G181" s="18" t="n">
        <x:v>1.1</x:v>
      </x:c>
      <x:c r="H181" s="18" t="n">
        <x:v>1</x:v>
      </x:c>
      <x:c r="I181" s="18"/>
      <x:c r="J181" s="20"/>
      <x:c r="K181" s="22"/>
      <x:c r="L181" s="11" t="str">
        <x:v>bilibili-normalized-content-games-dilution-v1.0</x:v>
      </x:c>
      <x:c r="M181" s="11" t="str">
        <x:v>2029-10-09</x:v>
      </x:c>
      <x:c r="O181" t="str">
        <x:v>CNY</x:v>
      </x:c>
      <x:c r="V181" t="str">
        <x:v>2029-10-09</x:v>
      </x:c>
      <x:c r="W181" t="str">
        <x:v>待核</x:v>
      </x:c>
      <x:c r="X181" t="str">
        <x:v>周末已解析；节假日需交易所对应年度日历核验，实际交易日待核</x:v>
      </x:c>
    </x:row>
    <x:row r="182" ht="23" customHeight="1">
      <x:c r="A182" s="11" t="str">
        <x:v>09626.HK</x:v>
      </x:c>
      <x:c r="B182" s="11" t="str">
        <x:v>三年</x:v>
      </x:c>
      <x:c r="C182" s="11" t="str">
        <x:v>乐观</x:v>
      </x:c>
      <x:c r="D182" s="11" t="str">
        <x:v>EPS</x:v>
      </x:c>
      <x:c r="E182" s="18" t="n">
        <x:v>21.830638</x:v>
      </x:c>
      <x:c r="F182" s="18" t="n">
        <x:v>27</x:v>
      </x:c>
      <x:c r="G182" s="18" t="n">
        <x:v>1.1</x:v>
      </x:c>
      <x:c r="H182" s="18" t="n">
        <x:v>3</x:v>
      </x:c>
      <x:c r="I182" s="18"/>
      <x:c r="J182" s="20"/>
      <x:c r="K182" s="22"/>
      <x:c r="L182" s="11" t="str">
        <x:v>bilibili-normalized-content-games-dilution-v1.0</x:v>
      </x:c>
      <x:c r="M182" s="11" t="str">
        <x:v>2029-10-09</x:v>
      </x:c>
      <x:c r="O182" t="str">
        <x:v>CNY</x:v>
      </x:c>
      <x:c r="V182" t="str">
        <x:v>2029-10-09</x:v>
      </x:c>
      <x:c r="W182" t="str">
        <x:v>待核</x:v>
      </x:c>
      <x:c r="X182" t="str">
        <x:v>周末已解析；节假日需交易所对应年度日历核验，实际交易日待核</x:v>
      </x:c>
    </x:row>
    <x:row r="183" ht="23" customHeight="1">
      <x:c r="A183" s="15" t="str">
        <x:v>09626.HK</x:v>
      </x:c>
      <x:c r="B183" s="15" t="str">
        <x:v>五年</x:v>
      </x:c>
      <x:c r="C183" s="15" t="str">
        <x:v>活动输入</x:v>
      </x:c>
      <x:c r="D183" s="15" t="str">
        <x:v>EPS</x:v>
      </x:c>
      <x:c r="E183" s="17" t="n">
        <x:f>CHOOSE($B$3,E184,E185,E186)</x:f>
        <x:v>15.291089</x:v>
      </x:c>
      <x:c r="F183" s="17" t="n">
        <x:f>CHOOSE($B$3,F184,F185,F186)</x:f>
        <x:v>19</x:v>
      </x:c>
      <x:c r="G183" s="17" t="n">
        <x:f>CHOOSE($B$3,G184,G185,G186)</x:f>
        <x:v>1.1</x:v>
      </x:c>
      <x:c r="H183" s="17" t="n">
        <x:f>CHOOSE($B$3,H184,H185,H186)</x:f>
        <x:v>4</x:v>
      </x:c>
      <x:c r="I183" s="17" t="str">
        <x:f>CHOOSE($B$3,I184,I185,I186)</x:f>
      </x:c>
      <x:c r="J183" s="19" t="str">
        <x:f>CHOOSE($B$3,J184,J185,J186)</x:f>
      </x:c>
      <x:c r="K183" s="21" t="str">
        <x:f>CHOOSE($B$3,K184,K185,K186)</x:f>
      </x:c>
      <x:c r="L183" s="15" t="str">
        <x:v>bilibili-normalized-content-games-dilution-v1.0</x:v>
      </x:c>
      <x:c r="M183" s="15" t="str">
        <x:v>2031-10-09</x:v>
      </x:c>
      <x:c r="O183" t="str">
        <x:v>CNY</x:v>
      </x:c>
      <x:c r="V183" t="str">
        <x:v>2031-10-09</x:v>
      </x:c>
      <x:c r="W183" t="str">
        <x:v>待核</x:v>
      </x:c>
      <x:c r="X183" t="str">
        <x:v>周末已解析；节假日需交易所对应年度日历核验，实际交易日待核</x:v>
      </x:c>
    </x:row>
    <x:row r="184" ht="23" customHeight="1">
      <x:c r="A184" s="11" t="str">
        <x:v>09626.HK</x:v>
      </x:c>
      <x:c r="B184" s="11" t="str">
        <x:v>五年</x:v>
      </x:c>
      <x:c r="C184" s="11" t="str">
        <x:v>悲观</x:v>
      </x:c>
      <x:c r="D184" s="11" t="str">
        <x:v>EPS</x:v>
      </x:c>
      <x:c r="E184" s="18" t="n">
        <x:v>0.072331</x:v>
      </x:c>
      <x:c r="F184" s="18" t="n">
        <x:v>8</x:v>
      </x:c>
      <x:c r="G184" s="18" t="n">
        <x:v>1.1</x:v>
      </x:c>
      <x:c r="H184" s="18" t="n">
        <x:v>0</x:v>
      </x:c>
      <x:c r="I184" s="18"/>
      <x:c r="J184" s="20"/>
      <x:c r="K184" s="22"/>
      <x:c r="L184" s="11" t="str">
        <x:v>bilibili-normalized-content-games-dilution-v1.0</x:v>
      </x:c>
      <x:c r="M184" s="11" t="str">
        <x:v>2031-10-09</x:v>
      </x:c>
      <x:c r="O184" t="str">
        <x:v>CNY</x:v>
      </x:c>
      <x:c r="V184" t="str">
        <x:v>2031-10-09</x:v>
      </x:c>
      <x:c r="W184" t="str">
        <x:v>待核</x:v>
      </x:c>
      <x:c r="X184" t="str">
        <x:v>周末已解析；节假日需交易所对应年度日历核验，实际交易日待核</x:v>
      </x:c>
    </x:row>
    <x:row r="185" ht="23" customHeight="1">
      <x:c r="A185" s="11" t="str">
        <x:v>09626.HK</x:v>
      </x:c>
      <x:c r="B185" s="11" t="str">
        <x:v>五年</x:v>
      </x:c>
      <x:c r="C185" s="11" t="str">
        <x:v>基准</x:v>
      </x:c>
      <x:c r="D185" s="11" t="str">
        <x:v>EPS</x:v>
      </x:c>
      <x:c r="E185" s="18" t="n">
        <x:v>15.291089</x:v>
      </x:c>
      <x:c r="F185" s="18" t="n">
        <x:v>19</x:v>
      </x:c>
      <x:c r="G185" s="18" t="n">
        <x:v>1.1</x:v>
      </x:c>
      <x:c r="H185" s="18" t="n">
        <x:v>4</x:v>
      </x:c>
      <x:c r="I185" s="18"/>
      <x:c r="J185" s="20"/>
      <x:c r="K185" s="22"/>
      <x:c r="L185" s="11" t="str">
        <x:v>bilibili-normalized-content-games-dilution-v1.0</x:v>
      </x:c>
      <x:c r="M185" s="11" t="str">
        <x:v>2031-10-09</x:v>
      </x:c>
      <x:c r="O185" t="str">
        <x:v>CNY</x:v>
      </x:c>
      <x:c r="V185" t="str">
        <x:v>2031-10-09</x:v>
      </x:c>
      <x:c r="W185" t="str">
        <x:v>待核</x:v>
      </x:c>
      <x:c r="X185" t="str">
        <x:v>周末已解析；节假日需交易所对应年度日历核验，实际交易日待核</x:v>
      </x:c>
    </x:row>
    <x:row r="186" ht="23" customHeight="1">
      <x:c r="A186" s="11" t="str">
        <x:v>09626.HK</x:v>
      </x:c>
      <x:c r="B186" s="11" t="str">
        <x:v>五年</x:v>
      </x:c>
      <x:c r="C186" s="11" t="str">
        <x:v>乐观</x:v>
      </x:c>
      <x:c r="D186" s="11" t="str">
        <x:v>EPS</x:v>
      </x:c>
      <x:c r="E186" s="18" t="n">
        <x:v>32.781667</x:v>
      </x:c>
      <x:c r="F186" s="18" t="n">
        <x:v>25</x:v>
      </x:c>
      <x:c r="G186" s="18" t="n">
        <x:v>1.1</x:v>
      </x:c>
      <x:c r="H186" s="18" t="n">
        <x:v>10</x:v>
      </x:c>
      <x:c r="I186" s="18"/>
      <x:c r="J186" s="20"/>
      <x:c r="K186" s="22"/>
      <x:c r="L186" s="11" t="str">
        <x:v>bilibili-normalized-content-games-dilution-v1.0</x:v>
      </x:c>
      <x:c r="M186" s="11" t="str">
        <x:v>2031-10-09</x:v>
      </x:c>
      <x:c r="O186" t="str">
        <x:v>CNY</x:v>
      </x:c>
      <x:c r="V186" t="str">
        <x:v>2031-10-09</x:v>
      </x:c>
      <x:c r="W186" t="str">
        <x:v>待核</x:v>
      </x:c>
      <x:c r="X186" t="str">
        <x:v>周末已解析；节假日需交易所对应年度日历核验，实际交易日待核</x:v>
      </x:c>
    </x:row>
    <x:row r="187" ht="23" customHeight="1">
      <x:c r="A187" s="15" t="str">
        <x:v>01211.HK</x:v>
      </x:c>
      <x:c r="B187" s="15" t="str">
        <x:v>2026年底</x:v>
      </x:c>
      <x:c r="C187" s="15" t="str">
        <x:v>活动输入</x:v>
      </x:c>
      <x:c r="D187" s="15" t="str">
        <x:v>EPS</x:v>
      </x:c>
      <x:c r="E187" s="17" t="n">
        <x:f>CHOOSE($B$3,E188,E189,E190)</x:f>
        <x:v>4.69</x:v>
      </x:c>
      <x:c r="F187" s="17" t="n">
        <x:f>CHOOSE($B$3,F188,F189,F190)</x:f>
        <x:v>20</x:v>
      </x:c>
      <x:c r="G187" s="17" t="n">
        <x:f>CHOOSE($B$3,G188,G189,G190)</x:f>
        <x:v>1.1</x:v>
      </x:c>
      <x:c r="H187" s="17" t="n">
        <x:f>CHOOSE($B$3,H188,H189,H190)</x:f>
        <x:v>0</x:v>
      </x:c>
      <x:c r="I187" s="17" t="str">
        <x:f>CHOOSE($B$3,I188,I189,I190)</x:f>
      </x:c>
      <x:c r="J187" s="19" t="str">
        <x:f>CHOOSE($B$3,J188,J189,J190)</x:f>
      </x:c>
      <x:c r="K187" s="21" t="str">
        <x:f>CHOOSE($B$3,K188,K189,K190)</x:f>
      </x:c>
      <x:c r="L187" s="15" t="str">
        <x:v>byd-unit-owner-profit-v1.0</x:v>
      </x:c>
      <x:c r="M187" s="15" t="str">
        <x:v>2026-12-31</x:v>
      </x:c>
      <x:c r="O187" t="str">
        <x:v>CNY</x:v>
      </x:c>
      <x:c r="V187" t="str">
        <x:v>2026-12-31</x:v>
      </x:c>
      <x:c r="W187" t="str">
        <x:v>待核</x:v>
      </x:c>
      <x:c r="X187" t="str">
        <x:v>周末已解析；节假日需交易所对应年度日历核验，实际交易日待核</x:v>
      </x:c>
    </x:row>
    <x:row r="188" ht="23" customHeight="1">
      <x:c r="A188" s="11" t="str">
        <x:v>01211.HK</x:v>
      </x:c>
      <x:c r="B188" s="11" t="str">
        <x:v>2026年底</x:v>
      </x:c>
      <x:c r="C188" s="11" t="str">
        <x:v>悲观</x:v>
      </x:c>
      <x:c r="D188" s="11" t="str">
        <x:v>EPS</x:v>
      </x:c>
      <x:c r="E188" s="18" t="n">
        <x:v>1.957</x:v>
      </x:c>
      <x:c r="F188" s="18" t="n">
        <x:v>12</x:v>
      </x:c>
      <x:c r="G188" s="18" t="n">
        <x:v>1.1</x:v>
      </x:c>
      <x:c r="H188" s="18" t="n">
        <x:v>0</x:v>
      </x:c>
      <x:c r="I188" s="18"/>
      <x:c r="J188" s="20"/>
      <x:c r="K188" s="22"/>
      <x:c r="L188" s="11" t="str">
        <x:v>byd-unit-owner-profit-v1.0</x:v>
      </x:c>
      <x:c r="M188" s="11" t="str">
        <x:v>2026-12-31</x:v>
      </x:c>
      <x:c r="O188" t="str">
        <x:v>CNY</x:v>
      </x:c>
      <x:c r="V188" t="str">
        <x:v>2026-12-31</x:v>
      </x:c>
      <x:c r="W188" t="str">
        <x:v>待核</x:v>
      </x:c>
      <x:c r="X188" t="str">
        <x:v>周末已解析；节假日需交易所对应年度日历核验，实际交易日待核</x:v>
      </x:c>
    </x:row>
    <x:row r="189" ht="23" customHeight="1">
      <x:c r="A189" s="11" t="str">
        <x:v>01211.HK</x:v>
      </x:c>
      <x:c r="B189" s="11" t="str">
        <x:v>2026年底</x:v>
      </x:c>
      <x:c r="C189" s="11" t="str">
        <x:v>基准</x:v>
      </x:c>
      <x:c r="D189" s="11" t="str">
        <x:v>EPS</x:v>
      </x:c>
      <x:c r="E189" s="18" t="n">
        <x:v>4.69</x:v>
      </x:c>
      <x:c r="F189" s="18" t="n">
        <x:v>20</x:v>
      </x:c>
      <x:c r="G189" s="18" t="n">
        <x:v>1.1</x:v>
      </x:c>
      <x:c r="H189" s="18" t="n">
        <x:v>0</x:v>
      </x:c>
      <x:c r="I189" s="18"/>
      <x:c r="J189" s="20"/>
      <x:c r="K189" s="22"/>
      <x:c r="L189" s="11" t="str">
        <x:v>byd-unit-owner-profit-v1.0</x:v>
      </x:c>
      <x:c r="M189" s="11" t="str">
        <x:v>2026-12-31</x:v>
      </x:c>
      <x:c r="O189" t="str">
        <x:v>CNY</x:v>
      </x:c>
      <x:c r="V189" t="str">
        <x:v>2026-12-31</x:v>
      </x:c>
      <x:c r="W189" t="str">
        <x:v>待核</x:v>
      </x:c>
      <x:c r="X189" t="str">
        <x:v>周末已解析；节假日需交易所对应年度日历核验，实际交易日待核</x:v>
      </x:c>
    </x:row>
    <x:row r="190" ht="23" customHeight="1">
      <x:c r="A190" s="11" t="str">
        <x:v>01211.HK</x:v>
      </x:c>
      <x:c r="B190" s="11" t="str">
        <x:v>2026年底</x:v>
      </x:c>
      <x:c r="C190" s="11" t="str">
        <x:v>乐观</x:v>
      </x:c>
      <x:c r="D190" s="11" t="str">
        <x:v>EPS</x:v>
      </x:c>
      <x:c r="E190" s="18" t="n">
        <x:v>7.582</x:v>
      </x:c>
      <x:c r="F190" s="18" t="n">
        <x:v>26</x:v>
      </x:c>
      <x:c r="G190" s="18" t="n">
        <x:v>1.1</x:v>
      </x:c>
      <x:c r="H190" s="18" t="n">
        <x:v>0</x:v>
      </x:c>
      <x:c r="I190" s="18"/>
      <x:c r="J190" s="20"/>
      <x:c r="K190" s="22"/>
      <x:c r="L190" s="11" t="str">
        <x:v>byd-unit-owner-profit-v1.0</x:v>
      </x:c>
      <x:c r="M190" s="11" t="str">
        <x:v>2026-12-31</x:v>
      </x:c>
      <x:c r="O190" t="str">
        <x:v>CNY</x:v>
      </x:c>
      <x:c r="V190" t="str">
        <x:v>2026-12-31</x:v>
      </x:c>
      <x:c r="W190" t="str">
        <x:v>待核</x:v>
      </x:c>
      <x:c r="X190" t="str">
        <x:v>周末已解析；节假日需交易所对应年度日历核验，实际交易日待核</x:v>
      </x:c>
    </x:row>
    <x:row r="191" ht="23" customHeight="1">
      <x:c r="A191" s="15" t="str">
        <x:v>01211.HK</x:v>
      </x:c>
      <x:c r="B191" s="15" t="str">
        <x:v>半年</x:v>
      </x:c>
      <x:c r="C191" s="15" t="str">
        <x:v>活动输入</x:v>
      </x:c>
      <x:c r="D191" s="15" t="str">
        <x:v>EPS</x:v>
      </x:c>
      <x:c r="E191" s="17" t="n">
        <x:f>CHOOSE($B$3,E192,E193,E194)</x:f>
        <x:v>5.269</x:v>
      </x:c>
      <x:c r="F191" s="17" t="n">
        <x:f>CHOOSE($B$3,F192,F193,F194)</x:f>
        <x:v>20</x:v>
      </x:c>
      <x:c r="G191" s="17" t="n">
        <x:f>CHOOSE($B$3,G192,G193,G194)</x:f>
        <x:v>1.1</x:v>
      </x:c>
      <x:c r="H191" s="17" t="n">
        <x:f>CHOOSE($B$3,H192,H193,H194)</x:f>
        <x:v>0</x:v>
      </x:c>
      <x:c r="I191" s="17" t="str">
        <x:f>CHOOSE($B$3,I192,I193,I194)</x:f>
      </x:c>
      <x:c r="J191" s="19" t="str">
        <x:f>CHOOSE($B$3,J192,J193,J194)</x:f>
      </x:c>
      <x:c r="K191" s="21" t="str">
        <x:f>CHOOSE($B$3,K192,K193,K194)</x:f>
      </x:c>
      <x:c r="L191" s="15" t="str">
        <x:v>byd-unit-owner-profit-v1.0</x:v>
      </x:c>
      <x:c r="M191" s="15" t="str">
        <x:v>2027-04-09</x:v>
      </x:c>
      <x:c r="O191" t="str">
        <x:v>CNY</x:v>
      </x:c>
      <x:c r="V191" t="str">
        <x:v>2027-04-09</x:v>
      </x:c>
      <x:c r="W191" t="str">
        <x:v>待核</x:v>
      </x:c>
      <x:c r="X191" t="str">
        <x:v>周末已解析；节假日需交易所对应年度日历核验，实际交易日待核</x:v>
      </x:c>
    </x:row>
    <x:row r="192" ht="23" customHeight="1">
      <x:c r="A192" s="11" t="str">
        <x:v>01211.HK</x:v>
      </x:c>
      <x:c r="B192" s="11" t="str">
        <x:v>半年</x:v>
      </x:c>
      <x:c r="C192" s="11" t="str">
        <x:v>悲观</x:v>
      </x:c>
      <x:c r="D192" s="11" t="str">
        <x:v>EPS</x:v>
      </x:c>
      <x:c r="E192" s="18" t="n">
        <x:v>1.963</x:v>
      </x:c>
      <x:c r="F192" s="18" t="n">
        <x:v>12</x:v>
      </x:c>
      <x:c r="G192" s="18" t="n">
        <x:v>1.1</x:v>
      </x:c>
      <x:c r="H192" s="18" t="n">
        <x:v>0</x:v>
      </x:c>
      <x:c r="I192" s="18"/>
      <x:c r="J192" s="20"/>
      <x:c r="K192" s="22"/>
      <x:c r="L192" s="11" t="str">
        <x:v>byd-unit-owner-profit-v1.0</x:v>
      </x:c>
      <x:c r="M192" s="11" t="str">
        <x:v>2027-04-09</x:v>
      </x:c>
      <x:c r="O192" t="str">
        <x:v>CNY</x:v>
      </x:c>
      <x:c r="V192" t="str">
        <x:v>2027-04-09</x:v>
      </x:c>
      <x:c r="W192" t="str">
        <x:v>待核</x:v>
      </x:c>
      <x:c r="X192" t="str">
        <x:v>周末已解析；节假日需交易所对应年度日历核验，实际交易日待核</x:v>
      </x:c>
    </x:row>
    <x:row r="193" ht="23" customHeight="1">
      <x:c r="A193" s="11" t="str">
        <x:v>01211.HK</x:v>
      </x:c>
      <x:c r="B193" s="11" t="str">
        <x:v>半年</x:v>
      </x:c>
      <x:c r="C193" s="11" t="str">
        <x:v>基准</x:v>
      </x:c>
      <x:c r="D193" s="11" t="str">
        <x:v>EPS</x:v>
      </x:c>
      <x:c r="E193" s="18" t="n">
        <x:v>5.269</x:v>
      </x:c>
      <x:c r="F193" s="18" t="n">
        <x:v>20</x:v>
      </x:c>
      <x:c r="G193" s="18" t="n">
        <x:v>1.1</x:v>
      </x:c>
      <x:c r="H193" s="18" t="n">
        <x:v>0</x:v>
      </x:c>
      <x:c r="I193" s="18"/>
      <x:c r="J193" s="20"/>
      <x:c r="K193" s="22"/>
      <x:c r="L193" s="11" t="str">
        <x:v>byd-unit-owner-profit-v1.0</x:v>
      </x:c>
      <x:c r="M193" s="11" t="str">
        <x:v>2027-04-09</x:v>
      </x:c>
      <x:c r="O193" t="str">
        <x:v>CNY</x:v>
      </x:c>
      <x:c r="V193" t="str">
        <x:v>2027-04-09</x:v>
      </x:c>
      <x:c r="W193" t="str">
        <x:v>待核</x:v>
      </x:c>
      <x:c r="X193" t="str">
        <x:v>周末已解析；节假日需交易所对应年度日历核验，实际交易日待核</x:v>
      </x:c>
    </x:row>
    <x:row r="194" ht="23" customHeight="1">
      <x:c r="A194" s="11" t="str">
        <x:v>01211.HK</x:v>
      </x:c>
      <x:c r="B194" s="11" t="str">
        <x:v>半年</x:v>
      </x:c>
      <x:c r="C194" s="11" t="str">
        <x:v>乐观</x:v>
      </x:c>
      <x:c r="D194" s="11" t="str">
        <x:v>EPS</x:v>
      </x:c>
      <x:c r="E194" s="18" t="n">
        <x:v>8.731</x:v>
      </x:c>
      <x:c r="F194" s="18" t="n">
        <x:v>26</x:v>
      </x:c>
      <x:c r="G194" s="18" t="n">
        <x:v>1.1</x:v>
      </x:c>
      <x:c r="H194" s="18" t="n">
        <x:v>0</x:v>
      </x:c>
      <x:c r="I194" s="18"/>
      <x:c r="J194" s="20"/>
      <x:c r="K194" s="22"/>
      <x:c r="L194" s="11" t="str">
        <x:v>byd-unit-owner-profit-v1.0</x:v>
      </x:c>
      <x:c r="M194" s="11" t="str">
        <x:v>2027-04-09</x:v>
      </x:c>
      <x:c r="O194" t="str">
        <x:v>CNY</x:v>
      </x:c>
      <x:c r="V194" t="str">
        <x:v>2027-04-09</x:v>
      </x:c>
      <x:c r="W194" t="str">
        <x:v>待核</x:v>
      </x:c>
      <x:c r="X194" t="str">
        <x:v>周末已解析；节假日需交易所对应年度日历核验，实际交易日待核</x:v>
      </x:c>
    </x:row>
    <x:row r="195" ht="23" customHeight="1">
      <x:c r="A195" s="15" t="str">
        <x:v>01211.HK</x:v>
      </x:c>
      <x:c r="B195" s="15" t="str">
        <x:v>一年</x:v>
      </x:c>
      <x:c r="C195" s="15" t="str">
        <x:v>活动输入</x:v>
      </x:c>
      <x:c r="D195" s="15" t="str">
        <x:v>EPS</x:v>
      </x:c>
      <x:c r="E195" s="17" t="n">
        <x:f>CHOOSE($B$3,E196,E197,E198)</x:f>
        <x:v>6.047</x:v>
      </x:c>
      <x:c r="F195" s="17" t="n">
        <x:f>CHOOSE($B$3,F196,F197,F198)</x:f>
        <x:v>19</x:v>
      </x:c>
      <x:c r="G195" s="17" t="n">
        <x:f>CHOOSE($B$3,G196,G197,G198)</x:f>
        <x:v>1.1</x:v>
      </x:c>
      <x:c r="H195" s="17" t="n">
        <x:f>CHOOSE($B$3,H196,H197,H198)</x:f>
        <x:v>0.5</x:v>
      </x:c>
      <x:c r="I195" s="17" t="str">
        <x:f>CHOOSE($B$3,I196,I197,I198)</x:f>
      </x:c>
      <x:c r="J195" s="19" t="str">
        <x:f>CHOOSE($B$3,J196,J197,J198)</x:f>
      </x:c>
      <x:c r="K195" s="21" t="str">
        <x:f>CHOOSE($B$3,K196,K197,K198)</x:f>
      </x:c>
      <x:c r="L195" s="15" t="str">
        <x:v>byd-unit-owner-profit-v1.0</x:v>
      </x:c>
      <x:c r="M195" s="15" t="str">
        <x:v>2027-10-09</x:v>
      </x:c>
      <x:c r="O195" t="str">
        <x:v>CNY</x:v>
      </x:c>
      <x:c r="V195" t="str">
        <x:v>2027-10-08</x:v>
      </x:c>
      <x:c r="W195" t="str">
        <x:v>待核</x:v>
      </x:c>
      <x:c r="X195" t="str">
        <x:v>周末已解析；节假日需交易所对应年度日历核验，实际交易日待核</x:v>
      </x:c>
    </x:row>
    <x:row r="196" ht="23" customHeight="1">
      <x:c r="A196" s="11" t="str">
        <x:v>01211.HK</x:v>
      </x:c>
      <x:c r="B196" s="11" t="str">
        <x:v>一年</x:v>
      </x:c>
      <x:c r="C196" s="11" t="str">
        <x:v>悲观</x:v>
      </x:c>
      <x:c r="D196" s="11" t="str">
        <x:v>EPS</x:v>
      </x:c>
      <x:c r="E196" s="18" t="n">
        <x:v>1.947</x:v>
      </x:c>
      <x:c r="F196" s="18" t="n">
        <x:v>11</x:v>
      </x:c>
      <x:c r="G196" s="18" t="n">
        <x:v>1.1</x:v>
      </x:c>
      <x:c r="H196" s="18" t="n">
        <x:v>0.25</x:v>
      </x:c>
      <x:c r="I196" s="18"/>
      <x:c r="J196" s="20"/>
      <x:c r="K196" s="22"/>
      <x:c r="L196" s="11" t="str">
        <x:v>byd-unit-owner-profit-v1.0</x:v>
      </x:c>
      <x:c r="M196" s="11" t="str">
        <x:v>2027-10-09</x:v>
      </x:c>
      <x:c r="O196" t="str">
        <x:v>CNY</x:v>
      </x:c>
      <x:c r="V196" t="str">
        <x:v>2027-10-08</x:v>
      </x:c>
      <x:c r="W196" t="str">
        <x:v>待核</x:v>
      </x:c>
      <x:c r="X196" t="str">
        <x:v>周末已解析；节假日需交易所对应年度日历核验，实际交易日待核</x:v>
      </x:c>
    </x:row>
    <x:row r="197" ht="23" customHeight="1">
      <x:c r="A197" s="11" t="str">
        <x:v>01211.HK</x:v>
      </x:c>
      <x:c r="B197" s="11" t="str">
        <x:v>一年</x:v>
      </x:c>
      <x:c r="C197" s="11" t="str">
        <x:v>基准</x:v>
      </x:c>
      <x:c r="D197" s="11" t="str">
        <x:v>EPS</x:v>
      </x:c>
      <x:c r="E197" s="18" t="n">
        <x:v>6.047</x:v>
      </x:c>
      <x:c r="F197" s="18" t="n">
        <x:v>19</x:v>
      </x:c>
      <x:c r="G197" s="18" t="n">
        <x:v>1.1</x:v>
      </x:c>
      <x:c r="H197" s="18" t="n">
        <x:v>0.5</x:v>
      </x:c>
      <x:c r="I197" s="18"/>
      <x:c r="J197" s="20"/>
      <x:c r="K197" s="22"/>
      <x:c r="L197" s="11" t="str">
        <x:v>byd-unit-owner-profit-v1.0</x:v>
      </x:c>
      <x:c r="M197" s="11" t="str">
        <x:v>2027-10-09</x:v>
      </x:c>
      <x:c r="O197" t="str">
        <x:v>CNY</x:v>
      </x:c>
      <x:c r="V197" t="str">
        <x:v>2027-10-08</x:v>
      </x:c>
      <x:c r="W197" t="str">
        <x:v>待核</x:v>
      </x:c>
      <x:c r="X197" t="str">
        <x:v>周末已解析；节假日需交易所对应年度日历核验，实际交易日待核</x:v>
      </x:c>
    </x:row>
    <x:row r="198" ht="23" customHeight="1">
      <x:c r="A198" s="11" t="str">
        <x:v>01211.HK</x:v>
      </x:c>
      <x:c r="B198" s="11" t="str">
        <x:v>一年</x:v>
      </x:c>
      <x:c r="C198" s="11" t="str">
        <x:v>乐观</x:v>
      </x:c>
      <x:c r="D198" s="11" t="str">
        <x:v>EPS</x:v>
      </x:c>
      <x:c r="E198" s="18" t="n">
        <x:v>10.033</x:v>
      </x:c>
      <x:c r="F198" s="18" t="n">
        <x:v>25</x:v>
      </x:c>
      <x:c r="G198" s="18" t="n">
        <x:v>1.1</x:v>
      </x:c>
      <x:c r="H198" s="18" t="n">
        <x:v>0.9</x:v>
      </x:c>
      <x:c r="I198" s="18"/>
      <x:c r="J198" s="20"/>
      <x:c r="K198" s="22"/>
      <x:c r="L198" s="11" t="str">
        <x:v>byd-unit-owner-profit-v1.0</x:v>
      </x:c>
      <x:c r="M198" s="11" t="str">
        <x:v>2027-10-09</x:v>
      </x:c>
      <x:c r="O198" t="str">
        <x:v>CNY</x:v>
      </x:c>
      <x:c r="V198" t="str">
        <x:v>2027-10-08</x:v>
      </x:c>
      <x:c r="W198" t="str">
        <x:v>待核</x:v>
      </x:c>
      <x:c r="X198" t="str">
        <x:v>周末已解析；节假日需交易所对应年度日历核验，实际交易日待核</x:v>
      </x:c>
    </x:row>
    <x:row r="199" ht="23" customHeight="1">
      <x:c r="A199" s="15" t="str">
        <x:v>01211.HK</x:v>
      </x:c>
      <x:c r="B199" s="15" t="str">
        <x:v>三年</x:v>
      </x:c>
      <x:c r="C199" s="15" t="str">
        <x:v>活动输入</x:v>
      </x:c>
      <x:c r="D199" s="15" t="str">
        <x:v>EPS</x:v>
      </x:c>
      <x:c r="E199" s="17" t="n">
        <x:f>CHOOSE($B$3,E200,E201,E202)</x:f>
        <x:v>8.495</x:v>
      </x:c>
      <x:c r="F199" s="17" t="n">
        <x:f>CHOOSE($B$3,F200,F201,F202)</x:f>
        <x:v>18</x:v>
      </x:c>
      <x:c r="G199" s="17" t="n">
        <x:f>CHOOSE($B$3,G200,G201,G202)</x:f>
        <x:v>1.1</x:v>
      </x:c>
      <x:c r="H199" s="17" t="n">
        <x:f>CHOOSE($B$3,H200,H201,H202)</x:f>
        <x:v>2</x:v>
      </x:c>
      <x:c r="I199" s="17" t="str">
        <x:f>CHOOSE($B$3,I200,I201,I202)</x:f>
      </x:c>
      <x:c r="J199" s="19" t="str">
        <x:f>CHOOSE($B$3,J200,J201,J202)</x:f>
      </x:c>
      <x:c r="K199" s="21" t="str">
        <x:f>CHOOSE($B$3,K200,K201,K202)</x:f>
      </x:c>
      <x:c r="L199" s="15" t="str">
        <x:v>byd-unit-owner-profit-v1.0</x:v>
      </x:c>
      <x:c r="M199" s="15" t="str">
        <x:v>2029-10-09</x:v>
      </x:c>
      <x:c r="O199" t="str">
        <x:v>CNY</x:v>
      </x:c>
      <x:c r="V199" t="str">
        <x:v>2029-10-09</x:v>
      </x:c>
      <x:c r="W199" t="str">
        <x:v>待核</x:v>
      </x:c>
      <x:c r="X199" t="str">
        <x:v>周末已解析；节假日需交易所对应年度日历核验，实际交易日待核</x:v>
      </x:c>
    </x:row>
    <x:row r="200" ht="23" customHeight="1">
      <x:c r="A200" s="11" t="str">
        <x:v>01211.HK</x:v>
      </x:c>
      <x:c r="B200" s="11" t="str">
        <x:v>三年</x:v>
      </x:c>
      <x:c r="C200" s="11" t="str">
        <x:v>悲观</x:v>
      </x:c>
      <x:c r="D200" s="11" t="str">
        <x:v>EPS</x:v>
      </x:c>
      <x:c r="E200" s="18" t="n">
        <x:v>1.82</x:v>
      </x:c>
      <x:c r="F200" s="18" t="n">
        <x:v>10</x:v>
      </x:c>
      <x:c r="G200" s="18" t="n">
        <x:v>1.1</x:v>
      </x:c>
      <x:c r="H200" s="18" t="n">
        <x:v>0.8</x:v>
      </x:c>
      <x:c r="I200" s="18"/>
      <x:c r="J200" s="20"/>
      <x:c r="K200" s="22"/>
      <x:c r="L200" s="11" t="str">
        <x:v>byd-unit-owner-profit-v1.0</x:v>
      </x:c>
      <x:c r="M200" s="11" t="str">
        <x:v>2029-10-09</x:v>
      </x:c>
      <x:c r="O200" t="str">
        <x:v>CNY</x:v>
      </x:c>
      <x:c r="V200" t="str">
        <x:v>2029-10-09</x:v>
      </x:c>
      <x:c r="W200" t="str">
        <x:v>待核</x:v>
      </x:c>
      <x:c r="X200" t="str">
        <x:v>周末已解析；节假日需交易所对应年度日历核验，实际交易日待核</x:v>
      </x:c>
    </x:row>
    <x:row r="201" ht="23" customHeight="1">
      <x:c r="A201" s="11" t="str">
        <x:v>01211.HK</x:v>
      </x:c>
      <x:c r="B201" s="11" t="str">
        <x:v>三年</x:v>
      </x:c>
      <x:c r="C201" s="11" t="str">
        <x:v>基准</x:v>
      </x:c>
      <x:c r="D201" s="11" t="str">
        <x:v>EPS</x:v>
      </x:c>
      <x:c r="E201" s="18" t="n">
        <x:v>8.495</x:v>
      </x:c>
      <x:c r="F201" s="18" t="n">
        <x:v>18</x:v>
      </x:c>
      <x:c r="G201" s="18" t="n">
        <x:v>1.1</x:v>
      </x:c>
      <x:c r="H201" s="18" t="n">
        <x:v>2</x:v>
      </x:c>
      <x:c r="I201" s="18"/>
      <x:c r="J201" s="20"/>
      <x:c r="K201" s="22"/>
      <x:c r="L201" s="11" t="str">
        <x:v>byd-unit-owner-profit-v1.0</x:v>
      </x:c>
      <x:c r="M201" s="11" t="str">
        <x:v>2029-10-09</x:v>
      </x:c>
      <x:c r="O201" t="str">
        <x:v>CNY</x:v>
      </x:c>
      <x:c r="V201" t="str">
        <x:v>2029-10-09</x:v>
      </x:c>
      <x:c r="W201" t="str">
        <x:v>待核</x:v>
      </x:c>
      <x:c r="X201" t="str">
        <x:v>周末已解析；节假日需交易所对应年度日历核验，实际交易日待核</x:v>
      </x:c>
    </x:row>
    <x:row r="202" ht="23" customHeight="1">
      <x:c r="A202" s="11" t="str">
        <x:v>01211.HK</x:v>
      </x:c>
      <x:c r="B202" s="11" t="str">
        <x:v>三年</x:v>
      </x:c>
      <x:c r="C202" s="11" t="str">
        <x:v>乐观</x:v>
      </x:c>
      <x:c r="D202" s="11" t="str">
        <x:v>EPS</x:v>
      </x:c>
      <x:c r="E202" s="18" t="n">
        <x:v>15.016</x:v>
      </x:c>
      <x:c r="F202" s="18" t="n">
        <x:v>24</x:v>
      </x:c>
      <x:c r="G202" s="18" t="n">
        <x:v>1.1</x:v>
      </x:c>
      <x:c r="H202" s="18" t="n">
        <x:v>3.5</x:v>
      </x:c>
      <x:c r="I202" s="18"/>
      <x:c r="J202" s="20"/>
      <x:c r="K202" s="22"/>
      <x:c r="L202" s="11" t="str">
        <x:v>byd-unit-owner-profit-v1.0</x:v>
      </x:c>
      <x:c r="M202" s="11" t="str">
        <x:v>2029-10-09</x:v>
      </x:c>
      <x:c r="O202" t="str">
        <x:v>CNY</x:v>
      </x:c>
      <x:c r="V202" t="str">
        <x:v>2029-10-09</x:v>
      </x:c>
      <x:c r="W202" t="str">
        <x:v>待核</x:v>
      </x:c>
      <x:c r="X202" t="str">
        <x:v>周末已解析；节假日需交易所对应年度日历核验，实际交易日待核</x:v>
      </x:c>
    </x:row>
    <x:row r="203" ht="23" customHeight="1">
      <x:c r="A203" s="15" t="str">
        <x:v>01211.HK</x:v>
      </x:c>
      <x:c r="B203" s="15" t="str">
        <x:v>五年</x:v>
      </x:c>
      <x:c r="C203" s="15" t="str">
        <x:v>活动输入</x:v>
      </x:c>
      <x:c r="D203" s="15" t="str">
        <x:v>EPS</x:v>
      </x:c>
      <x:c r="E203" s="17" t="n">
        <x:f>CHOOSE($B$3,E204,E205,E206)</x:f>
        <x:v>10.681</x:v>
      </x:c>
      <x:c r="F203" s="17" t="n">
        <x:f>CHOOSE($B$3,F204,F205,F206)</x:f>
        <x:v>17</x:v>
      </x:c>
      <x:c r="G203" s="17" t="n">
        <x:f>CHOOSE($B$3,G204,G205,G206)</x:f>
        <x:v>1.1</x:v>
      </x:c>
      <x:c r="H203" s="17" t="n">
        <x:f>CHOOSE($B$3,H204,H205,H206)</x:f>
        <x:v>4</x:v>
      </x:c>
      <x:c r="I203" s="17" t="str">
        <x:f>CHOOSE($B$3,I204,I205,I206)</x:f>
      </x:c>
      <x:c r="J203" s="19" t="str">
        <x:f>CHOOSE($B$3,J204,J205,J206)</x:f>
      </x:c>
      <x:c r="K203" s="21" t="str">
        <x:f>CHOOSE($B$3,K204,K205,K206)</x:f>
      </x:c>
      <x:c r="L203" s="15" t="str">
        <x:v>byd-unit-owner-profit-v1.0</x:v>
      </x:c>
      <x:c r="M203" s="15" t="str">
        <x:v>2031-10-09</x:v>
      </x:c>
      <x:c r="O203" t="str">
        <x:v>CNY</x:v>
      </x:c>
      <x:c r="V203" t="str">
        <x:v>2031-10-09</x:v>
      </x:c>
      <x:c r="W203" t="str">
        <x:v>待核</x:v>
      </x:c>
      <x:c r="X203" t="str">
        <x:v>周末已解析；节假日需交易所对应年度日历核验，实际交易日待核</x:v>
      </x:c>
    </x:row>
    <x:row r="204" ht="23" customHeight="1">
      <x:c r="A204" s="11" t="str">
        <x:v>01211.HK</x:v>
      </x:c>
      <x:c r="B204" s="11" t="str">
        <x:v>五年</x:v>
      </x:c>
      <x:c r="C204" s="11" t="str">
        <x:v>悲观</x:v>
      </x:c>
      <x:c r="D204" s="11" t="str">
        <x:v>EPS</x:v>
      </x:c>
      <x:c r="E204" s="18" t="n">
        <x:v>1.682</x:v>
      </x:c>
      <x:c r="F204" s="18" t="n">
        <x:v>9</x:v>
      </x:c>
      <x:c r="G204" s="18" t="n">
        <x:v>1.1</x:v>
      </x:c>
      <x:c r="H204" s="18" t="n">
        <x:v>1.5</x:v>
      </x:c>
      <x:c r="I204" s="18"/>
      <x:c r="J204" s="20"/>
      <x:c r="K204" s="22"/>
      <x:c r="L204" s="11" t="str">
        <x:v>byd-unit-owner-profit-v1.0</x:v>
      </x:c>
      <x:c r="M204" s="11" t="str">
        <x:v>2031-10-09</x:v>
      </x:c>
      <x:c r="O204" t="str">
        <x:v>CNY</x:v>
      </x:c>
      <x:c r="V204" t="str">
        <x:v>2031-10-09</x:v>
      </x:c>
      <x:c r="W204" t="str">
        <x:v>待核</x:v>
      </x:c>
      <x:c r="X204" t="str">
        <x:v>周末已解析；节假日需交易所对应年度日历核验，实际交易日待核</x:v>
      </x:c>
    </x:row>
    <x:row r="205" ht="23" customHeight="1">
      <x:c r="A205" s="11" t="str">
        <x:v>01211.HK</x:v>
      </x:c>
      <x:c r="B205" s="11" t="str">
        <x:v>五年</x:v>
      </x:c>
      <x:c r="C205" s="11" t="str">
        <x:v>基准</x:v>
      </x:c>
      <x:c r="D205" s="11" t="str">
        <x:v>EPS</x:v>
      </x:c>
      <x:c r="E205" s="18" t="n">
        <x:v>10.681</x:v>
      </x:c>
      <x:c r="F205" s="18" t="n">
        <x:v>17</x:v>
      </x:c>
      <x:c r="G205" s="18" t="n">
        <x:v>1.1</x:v>
      </x:c>
      <x:c r="H205" s="18" t="n">
        <x:v>4</x:v>
      </x:c>
      <x:c r="I205" s="18"/>
      <x:c r="J205" s="20"/>
      <x:c r="K205" s="22"/>
      <x:c r="L205" s="11" t="str">
        <x:v>byd-unit-owner-profit-v1.0</x:v>
      </x:c>
      <x:c r="M205" s="11" t="str">
        <x:v>2031-10-09</x:v>
      </x:c>
      <x:c r="O205" t="str">
        <x:v>CNY</x:v>
      </x:c>
      <x:c r="V205" t="str">
        <x:v>2031-10-09</x:v>
      </x:c>
      <x:c r="W205" t="str">
        <x:v>待核</x:v>
      </x:c>
      <x:c r="X205" t="str">
        <x:v>周末已解析；节假日需交易所对应年度日历核验，实际交易日待核</x:v>
      </x:c>
    </x:row>
    <x:row r="206" ht="23" customHeight="1">
      <x:c r="A206" s="11" t="str">
        <x:v>01211.HK</x:v>
      </x:c>
      <x:c r="B206" s="11" t="str">
        <x:v>五年</x:v>
      </x:c>
      <x:c r="C206" s="11" t="str">
        <x:v>乐观</x:v>
      </x:c>
      <x:c r="D206" s="11" t="str">
        <x:v>EPS</x:v>
      </x:c>
      <x:c r="E206" s="18" t="n">
        <x:v>21.467</x:v>
      </x:c>
      <x:c r="F206" s="18" t="n">
        <x:v>22</x:v>
      </x:c>
      <x:c r="G206" s="18" t="n">
        <x:v>1.1</x:v>
      </x:c>
      <x:c r="H206" s="18" t="n">
        <x:v>7</x:v>
      </x:c>
      <x:c r="I206" s="18"/>
      <x:c r="J206" s="20"/>
      <x:c r="K206" s="22"/>
      <x:c r="L206" s="11" t="str">
        <x:v>byd-unit-owner-profit-v1.0</x:v>
      </x:c>
      <x:c r="M206" s="11" t="str">
        <x:v>2031-10-09</x:v>
      </x:c>
      <x:c r="O206" t="str">
        <x:v>CNY</x:v>
      </x:c>
      <x:c r="V206" t="str">
        <x:v>2031-10-09</x:v>
      </x:c>
      <x:c r="W206" t="str">
        <x:v>待核</x:v>
      </x:c>
      <x:c r="X206" t="str">
        <x:v>周末已解析；节假日需交易所对应年度日历核验，实际交易日待核</x:v>
      </x:c>
    </x:row>
    <x:row r="207" ht="23" customHeight="1">
      <x:c r="A207" s="15" t="str">
        <x:v>03750.HK</x:v>
      </x:c>
      <x:c r="B207" s="15" t="str">
        <x:v>2026年底</x:v>
      </x:c>
      <x:c r="C207" s="15" t="str">
        <x:v>活动输入</x:v>
      </x:c>
      <x:c r="D207" s="15" t="str">
        <x:v>EPS</x:v>
      </x:c>
      <x:c r="E207" s="17" t="n">
        <x:f>CHOOSE($B$3,E208,E209,E210)</x:f>
        <x:v>18.216</x:v>
      </x:c>
      <x:c r="F207" s="17" t="n">
        <x:f>CHOOSE($B$3,F208,F209,F210)</x:f>
        <x:v>26</x:v>
      </x:c>
      <x:c r="G207" s="17" t="n">
        <x:f>CHOOSE($B$3,G208,G209,G210)</x:f>
        <x:v>1.1</x:v>
      </x:c>
      <x:c r="H207" s="17" t="n">
        <x:f>CHOOSE($B$3,H208,H209,H210)</x:f>
        <x:v>0</x:v>
      </x:c>
      <x:c r="I207" s="17" t="str">
        <x:f>CHOOSE($B$3,I208,I209,I210)</x:f>
      </x:c>
      <x:c r="J207" s="19" t="str">
        <x:f>CHOOSE($B$3,J208,J209,J210)</x:f>
      </x:c>
      <x:c r="K207" s="21" t="str">
        <x:f>CHOOSE($B$3,K208,K209,K210)</x:f>
      </x:c>
      <x:c r="L207" s="15" t="str">
        <x:v>catl-normalized-four-segment-v1.0</x:v>
      </x:c>
      <x:c r="M207" s="15" t="str">
        <x:v>2026-12-31</x:v>
      </x:c>
      <x:c r="O207" t="str">
        <x:v>CNY</x:v>
      </x:c>
      <x:c r="V207" t="str">
        <x:v>2026-12-31</x:v>
      </x:c>
      <x:c r="W207" t="str">
        <x:v>待核</x:v>
      </x:c>
      <x:c r="X207" t="str">
        <x:v>周末已解析；节假日需交易所对应年度日历核验，实际交易日待核</x:v>
      </x:c>
    </x:row>
    <x:row r="208" ht="23" customHeight="1">
      <x:c r="A208" s="11" t="str">
        <x:v>03750.HK</x:v>
      </x:c>
      <x:c r="B208" s="11" t="str">
        <x:v>2026年底</x:v>
      </x:c>
      <x:c r="C208" s="11" t="str">
        <x:v>悲观</x:v>
      </x:c>
      <x:c r="D208" s="11" t="str">
        <x:v>EPS</x:v>
      </x:c>
      <x:c r="E208" s="18" t="n">
        <x:v>9.258</x:v>
      </x:c>
      <x:c r="F208" s="18" t="n">
        <x:v>17</x:v>
      </x:c>
      <x:c r="G208" s="18" t="n">
        <x:v>1.1</x:v>
      </x:c>
      <x:c r="H208" s="18" t="n">
        <x:v>0</x:v>
      </x:c>
      <x:c r="I208" s="18"/>
      <x:c r="J208" s="20"/>
      <x:c r="K208" s="22"/>
      <x:c r="L208" s="11" t="str">
        <x:v>catl-normalized-four-segment-v1.0</x:v>
      </x:c>
      <x:c r="M208" s="11" t="str">
        <x:v>2026-12-31</x:v>
      </x:c>
      <x:c r="O208" t="str">
        <x:v>CNY</x:v>
      </x:c>
      <x:c r="V208" t="str">
        <x:v>2026-12-31</x:v>
      </x:c>
      <x:c r="W208" t="str">
        <x:v>待核</x:v>
      </x:c>
      <x:c r="X208" t="str">
        <x:v>周末已解析；节假日需交易所对应年度日历核验，实际交易日待核</x:v>
      </x:c>
    </x:row>
    <x:row r="209" ht="23" customHeight="1">
      <x:c r="A209" s="11" t="str">
        <x:v>03750.HK</x:v>
      </x:c>
      <x:c r="B209" s="11" t="str">
        <x:v>2026年底</x:v>
      </x:c>
      <x:c r="C209" s="11" t="str">
        <x:v>基准</x:v>
      </x:c>
      <x:c r="D209" s="11" t="str">
        <x:v>EPS</x:v>
      </x:c>
      <x:c r="E209" s="18" t="n">
        <x:v>18.216</x:v>
      </x:c>
      <x:c r="F209" s="18" t="n">
        <x:v>26</x:v>
      </x:c>
      <x:c r="G209" s="18" t="n">
        <x:v>1.1</x:v>
      </x:c>
      <x:c r="H209" s="18" t="n">
        <x:v>0</x:v>
      </x:c>
      <x:c r="I209" s="18"/>
      <x:c r="J209" s="20"/>
      <x:c r="K209" s="22"/>
      <x:c r="L209" s="11" t="str">
        <x:v>catl-normalized-four-segment-v1.0</x:v>
      </x:c>
      <x:c r="M209" s="11" t="str">
        <x:v>2026-12-31</x:v>
      </x:c>
      <x:c r="O209" t="str">
        <x:v>CNY</x:v>
      </x:c>
      <x:c r="V209" t="str">
        <x:v>2026-12-31</x:v>
      </x:c>
      <x:c r="W209" t="str">
        <x:v>待核</x:v>
      </x:c>
      <x:c r="X209" t="str">
        <x:v>周末已解析；节假日需交易所对应年度日历核验，实际交易日待核</x:v>
      </x:c>
    </x:row>
    <x:row r="210" ht="23" customHeight="1">
      <x:c r="A210" s="11" t="str">
        <x:v>03750.HK</x:v>
      </x:c>
      <x:c r="B210" s="11" t="str">
        <x:v>2026年底</x:v>
      </x:c>
      <x:c r="C210" s="11" t="str">
        <x:v>乐观</x:v>
      </x:c>
      <x:c r="D210" s="11" t="str">
        <x:v>EPS</x:v>
      </x:c>
      <x:c r="E210" s="18" t="n">
        <x:v>26.005</x:v>
      </x:c>
      <x:c r="F210" s="18" t="n">
        <x:v>32</x:v>
      </x:c>
      <x:c r="G210" s="18" t="n">
        <x:v>1.1</x:v>
      </x:c>
      <x:c r="H210" s="18" t="n">
        <x:v>0</x:v>
      </x:c>
      <x:c r="I210" s="18"/>
      <x:c r="J210" s="20"/>
      <x:c r="K210" s="22"/>
      <x:c r="L210" s="11" t="str">
        <x:v>catl-normalized-four-segment-v1.0</x:v>
      </x:c>
      <x:c r="M210" s="11" t="str">
        <x:v>2026-12-31</x:v>
      </x:c>
      <x:c r="O210" t="str">
        <x:v>CNY</x:v>
      </x:c>
      <x:c r="V210" t="str">
        <x:v>2026-12-31</x:v>
      </x:c>
      <x:c r="W210" t="str">
        <x:v>待核</x:v>
      </x:c>
      <x:c r="X210" t="str">
        <x:v>周末已解析；节假日需交易所对应年度日历核验，实际交易日待核</x:v>
      </x:c>
    </x:row>
    <x:row r="211" ht="23" customHeight="1">
      <x:c r="A211" s="15" t="str">
        <x:v>03750.HK</x:v>
      </x:c>
      <x:c r="B211" s="15" t="str">
        <x:v>半年</x:v>
      </x:c>
      <x:c r="C211" s="15" t="str">
        <x:v>活动输入</x:v>
      </x:c>
      <x:c r="D211" s="15" t="str">
        <x:v>EPS</x:v>
      </x:c>
      <x:c r="E211" s="17" t="n">
        <x:f>CHOOSE($B$3,E212,E213,E214)</x:f>
        <x:v>20.289</x:v>
      </x:c>
      <x:c r="F211" s="17" t="n">
        <x:f>CHOOSE($B$3,F212,F213,F214)</x:f>
        <x:v>26</x:v>
      </x:c>
      <x:c r="G211" s="17" t="n">
        <x:f>CHOOSE($B$3,G212,G213,G214)</x:f>
        <x:v>1.1</x:v>
      </x:c>
      <x:c r="H211" s="17" t="n">
        <x:f>CHOOSE($B$3,H212,H213,H214)</x:f>
        <x:v>0</x:v>
      </x:c>
      <x:c r="I211" s="17" t="str">
        <x:f>CHOOSE($B$3,I212,I213,I214)</x:f>
      </x:c>
      <x:c r="J211" s="19" t="str">
        <x:f>CHOOSE($B$3,J212,J213,J214)</x:f>
      </x:c>
      <x:c r="K211" s="21" t="str">
        <x:f>CHOOSE($B$3,K212,K213,K214)</x:f>
      </x:c>
      <x:c r="L211" s="15" t="str">
        <x:v>catl-normalized-four-segment-v1.0</x:v>
      </x:c>
      <x:c r="M211" s="15" t="str">
        <x:v>2027-04-09</x:v>
      </x:c>
      <x:c r="O211" t="str">
        <x:v>CNY</x:v>
      </x:c>
      <x:c r="V211" t="str">
        <x:v>2027-04-09</x:v>
      </x:c>
      <x:c r="W211" t="str">
        <x:v>待核</x:v>
      </x:c>
      <x:c r="X211" t="str">
        <x:v>周末已解析；节假日需交易所对应年度日历核验，实际交易日待核</x:v>
      </x:c>
    </x:row>
    <x:row r="212" ht="23" customHeight="1">
      <x:c r="A212" s="11" t="str">
        <x:v>03750.HK</x:v>
      </x:c>
      <x:c r="B212" s="11" t="str">
        <x:v>半年</x:v>
      </x:c>
      <x:c r="C212" s="11" t="str">
        <x:v>悲观</x:v>
      </x:c>
      <x:c r="D212" s="11" t="str">
        <x:v>EPS</x:v>
      </x:c>
      <x:c r="E212" s="18" t="n">
        <x:v>8.843</x:v>
      </x:c>
      <x:c r="F212" s="18" t="n">
        <x:v>17</x:v>
      </x:c>
      <x:c r="G212" s="18" t="n">
        <x:v>1.1</x:v>
      </x:c>
      <x:c r="H212" s="18" t="n">
        <x:v>0</x:v>
      </x:c>
      <x:c r="I212" s="18"/>
      <x:c r="J212" s="20"/>
      <x:c r="K212" s="22"/>
      <x:c r="L212" s="11" t="str">
        <x:v>catl-normalized-four-segment-v1.0</x:v>
      </x:c>
      <x:c r="M212" s="11" t="str">
        <x:v>2027-04-09</x:v>
      </x:c>
      <x:c r="O212" t="str">
        <x:v>CNY</x:v>
      </x:c>
      <x:c r="V212" t="str">
        <x:v>2027-04-09</x:v>
      </x:c>
      <x:c r="W212" t="str">
        <x:v>待核</x:v>
      </x:c>
      <x:c r="X212" t="str">
        <x:v>周末已解析；节假日需交易所对应年度日历核验，实际交易日待核</x:v>
      </x:c>
    </x:row>
    <x:row r="213" ht="23" customHeight="1">
      <x:c r="A213" s="11" t="str">
        <x:v>03750.HK</x:v>
      </x:c>
      <x:c r="B213" s="11" t="str">
        <x:v>半年</x:v>
      </x:c>
      <x:c r="C213" s="11" t="str">
        <x:v>基准</x:v>
      </x:c>
      <x:c r="D213" s="11" t="str">
        <x:v>EPS</x:v>
      </x:c>
      <x:c r="E213" s="18" t="n">
        <x:v>20.289</x:v>
      </x:c>
      <x:c r="F213" s="18" t="n">
        <x:v>26</x:v>
      </x:c>
      <x:c r="G213" s="18" t="n">
        <x:v>1.1</x:v>
      </x:c>
      <x:c r="H213" s="18" t="n">
        <x:v>0</x:v>
      </x:c>
      <x:c r="I213" s="18"/>
      <x:c r="J213" s="20"/>
      <x:c r="K213" s="22"/>
      <x:c r="L213" s="11" t="str">
        <x:v>catl-normalized-four-segment-v1.0</x:v>
      </x:c>
      <x:c r="M213" s="11" t="str">
        <x:v>2027-04-09</x:v>
      </x:c>
      <x:c r="O213" t="str">
        <x:v>CNY</x:v>
      </x:c>
      <x:c r="V213" t="str">
        <x:v>2027-04-09</x:v>
      </x:c>
      <x:c r="W213" t="str">
        <x:v>待核</x:v>
      </x:c>
      <x:c r="X213" t="str">
        <x:v>周末已解析；节假日需交易所对应年度日历核验，实际交易日待核</x:v>
      </x:c>
    </x:row>
    <x:row r="214" ht="23" customHeight="1">
      <x:c r="A214" s="11" t="str">
        <x:v>03750.HK</x:v>
      </x:c>
      <x:c r="B214" s="11" t="str">
        <x:v>半年</x:v>
      </x:c>
      <x:c r="C214" s="11" t="str">
        <x:v>乐观</x:v>
      </x:c>
      <x:c r="D214" s="11" t="str">
        <x:v>EPS</x:v>
      </x:c>
      <x:c r="E214" s="18" t="n">
        <x:v>30.018</x:v>
      </x:c>
      <x:c r="F214" s="18" t="n">
        <x:v>32</x:v>
      </x:c>
      <x:c r="G214" s="18" t="n">
        <x:v>1.1</x:v>
      </x:c>
      <x:c r="H214" s="18" t="n">
        <x:v>0</x:v>
      </x:c>
      <x:c r="I214" s="18"/>
      <x:c r="J214" s="20"/>
      <x:c r="K214" s="22"/>
      <x:c r="L214" s="11" t="str">
        <x:v>catl-normalized-four-segment-v1.0</x:v>
      </x:c>
      <x:c r="M214" s="11" t="str">
        <x:v>2027-04-09</x:v>
      </x:c>
      <x:c r="O214" t="str">
        <x:v>CNY</x:v>
      </x:c>
      <x:c r="V214" t="str">
        <x:v>2027-04-09</x:v>
      </x:c>
      <x:c r="W214" t="str">
        <x:v>待核</x:v>
      </x:c>
      <x:c r="X214" t="str">
        <x:v>周末已解析；节假日需交易所对应年度日历核验，实际交易日待核</x:v>
      </x:c>
    </x:row>
    <x:row r="215" ht="23" customHeight="1">
      <x:c r="A215" s="15" t="str">
        <x:v>03750.HK</x:v>
      </x:c>
      <x:c r="B215" s="15" t="str">
        <x:v>一年</x:v>
      </x:c>
      <x:c r="C215" s="15" t="str">
        <x:v>活动输入</x:v>
      </x:c>
      <x:c r="D215" s="15" t="str">
        <x:v>EPS</x:v>
      </x:c>
      <x:c r="E215" s="17" t="n">
        <x:f>CHOOSE($B$3,E216,E217,E218)</x:f>
        <x:v>23.937</x:v>
      </x:c>
      <x:c r="F215" s="17" t="n">
        <x:f>CHOOSE($B$3,F216,F217,F218)</x:f>
        <x:v>25</x:v>
      </x:c>
      <x:c r="G215" s="17" t="n">
        <x:f>CHOOSE($B$3,G216,G217,G218)</x:f>
        <x:v>1.1</x:v>
      </x:c>
      <x:c r="H215" s="17" t="n">
        <x:f>CHOOSE($B$3,H216,H217,H218)</x:f>
        <x:v>8</x:v>
      </x:c>
      <x:c r="I215" s="17" t="str">
        <x:f>CHOOSE($B$3,I216,I217,I218)</x:f>
      </x:c>
      <x:c r="J215" s="19" t="str">
        <x:f>CHOOSE($B$3,J216,J217,J218)</x:f>
      </x:c>
      <x:c r="K215" s="21" t="str">
        <x:f>CHOOSE($B$3,K216,K217,K218)</x:f>
      </x:c>
      <x:c r="L215" s="15" t="str">
        <x:v>catl-normalized-four-segment-v1.0</x:v>
      </x:c>
      <x:c r="M215" s="15" t="str">
        <x:v>2027-10-09</x:v>
      </x:c>
      <x:c r="O215" t="str">
        <x:v>CNY</x:v>
      </x:c>
      <x:c r="V215" t="str">
        <x:v>2027-10-08</x:v>
      </x:c>
      <x:c r="W215" t="str">
        <x:v>待核</x:v>
      </x:c>
      <x:c r="X215" t="str">
        <x:v>周末已解析；节假日需交易所对应年度日历核验，实际交易日待核</x:v>
      </x:c>
    </x:row>
    <x:row r="216" ht="23" customHeight="1">
      <x:c r="A216" s="11" t="str">
        <x:v>03750.HK</x:v>
      </x:c>
      <x:c r="B216" s="11" t="str">
        <x:v>一年</x:v>
      </x:c>
      <x:c r="C216" s="11" t="str">
        <x:v>悲观</x:v>
      </x:c>
      <x:c r="D216" s="11" t="str">
        <x:v>EPS</x:v>
      </x:c>
      <x:c r="E216" s="18" t="n">
        <x:v>8.8</x:v>
      </x:c>
      <x:c r="F216" s="18" t="n">
        <x:v>16</x:v>
      </x:c>
      <x:c r="G216" s="18" t="n">
        <x:v>1.1</x:v>
      </x:c>
      <x:c r="H216" s="18" t="n">
        <x:v>4</x:v>
      </x:c>
      <x:c r="I216" s="18"/>
      <x:c r="J216" s="20"/>
      <x:c r="K216" s="22"/>
      <x:c r="L216" s="11" t="str">
        <x:v>catl-normalized-four-segment-v1.0</x:v>
      </x:c>
      <x:c r="M216" s="11" t="str">
        <x:v>2027-10-09</x:v>
      </x:c>
      <x:c r="O216" t="str">
        <x:v>CNY</x:v>
      </x:c>
      <x:c r="V216" t="str">
        <x:v>2027-10-08</x:v>
      </x:c>
      <x:c r="W216" t="str">
        <x:v>待核</x:v>
      </x:c>
      <x:c r="X216" t="str">
        <x:v>周末已解析；节假日需交易所对应年度日历核验，实际交易日待核</x:v>
      </x:c>
    </x:row>
    <x:row r="217" ht="23" customHeight="1">
      <x:c r="A217" s="11" t="str">
        <x:v>03750.HK</x:v>
      </x:c>
      <x:c r="B217" s="11" t="str">
        <x:v>一年</x:v>
      </x:c>
      <x:c r="C217" s="11" t="str">
        <x:v>基准</x:v>
      </x:c>
      <x:c r="D217" s="11" t="str">
        <x:v>EPS</x:v>
      </x:c>
      <x:c r="E217" s="18" t="n">
        <x:v>23.937</x:v>
      </x:c>
      <x:c r="F217" s="18" t="n">
        <x:v>25</x:v>
      </x:c>
      <x:c r="G217" s="18" t="n">
        <x:v>1.1</x:v>
      </x:c>
      <x:c r="H217" s="18" t="n">
        <x:v>8</x:v>
      </x:c>
      <x:c r="I217" s="18"/>
      <x:c r="J217" s="20"/>
      <x:c r="K217" s="22"/>
      <x:c r="L217" s="11" t="str">
        <x:v>catl-normalized-four-segment-v1.0</x:v>
      </x:c>
      <x:c r="M217" s="11" t="str">
        <x:v>2027-10-09</x:v>
      </x:c>
      <x:c r="O217" t="str">
        <x:v>CNY</x:v>
      </x:c>
      <x:c r="V217" t="str">
        <x:v>2027-10-08</x:v>
      </x:c>
      <x:c r="W217" t="str">
        <x:v>待核</x:v>
      </x:c>
      <x:c r="X217" t="str">
        <x:v>周末已解析；节假日需交易所对应年度日历核验，实际交易日待核</x:v>
      </x:c>
    </x:row>
    <x:row r="218" ht="23" customHeight="1">
      <x:c r="A218" s="11" t="str">
        <x:v>03750.HK</x:v>
      </x:c>
      <x:c r="B218" s="11" t="str">
        <x:v>一年</x:v>
      </x:c>
      <x:c r="C218" s="11" t="str">
        <x:v>乐观</x:v>
      </x:c>
      <x:c r="D218" s="11" t="str">
        <x:v>EPS</x:v>
      </x:c>
      <x:c r="E218" s="18" t="n">
        <x:v>37.05</x:v>
      </x:c>
      <x:c r="F218" s="18" t="n">
        <x:v>32</x:v>
      </x:c>
      <x:c r="G218" s="18" t="n">
        <x:v>1.1</x:v>
      </x:c>
      <x:c r="H218" s="18" t="n">
        <x:v>11</x:v>
      </x:c>
      <x:c r="I218" s="18"/>
      <x:c r="J218" s="20"/>
      <x:c r="K218" s="22"/>
      <x:c r="L218" s="11" t="str">
        <x:v>catl-normalized-four-segment-v1.0</x:v>
      </x:c>
      <x:c r="M218" s="11" t="str">
        <x:v>2027-10-09</x:v>
      </x:c>
      <x:c r="O218" t="str">
        <x:v>CNY</x:v>
      </x:c>
      <x:c r="V218" t="str">
        <x:v>2027-10-08</x:v>
      </x:c>
      <x:c r="W218" t="str">
        <x:v>待核</x:v>
      </x:c>
      <x:c r="X218" t="str">
        <x:v>周末已解析；节假日需交易所对应年度日历核验，实际交易日待核</x:v>
      </x:c>
    </x:row>
    <x:row r="219" ht="23" customHeight="1">
      <x:c r="A219" s="15" t="str">
        <x:v>03750.HK</x:v>
      </x:c>
      <x:c r="B219" s="15" t="str">
        <x:v>三年</x:v>
      </x:c>
      <x:c r="C219" s="15" t="str">
        <x:v>活动输入</x:v>
      </x:c>
      <x:c r="D219" s="15" t="str">
        <x:v>EPS</x:v>
      </x:c>
      <x:c r="E219" s="17" t="n">
        <x:f>CHOOSE($B$3,E220,E221,E222)</x:f>
        <x:v>34.768</x:v>
      </x:c>
      <x:c r="F219" s="17" t="n">
        <x:f>CHOOSE($B$3,F220,F221,F222)</x:f>
        <x:v>24</x:v>
      </x:c>
      <x:c r="G219" s="17" t="n">
        <x:f>CHOOSE($B$3,G220,G221,G222)</x:f>
        <x:v>1.1</x:v>
      </x:c>
      <x:c r="H219" s="17" t="n">
        <x:f>CHOOSE($B$3,H220,H221,H222)</x:f>
        <x:v>27</x:v>
      </x:c>
      <x:c r="I219" s="17" t="str">
        <x:f>CHOOSE($B$3,I220,I221,I222)</x:f>
      </x:c>
      <x:c r="J219" s="19" t="str">
        <x:f>CHOOSE($B$3,J220,J221,J222)</x:f>
      </x:c>
      <x:c r="K219" s="21" t="str">
        <x:f>CHOOSE($B$3,K220,K221,K222)</x:f>
      </x:c>
      <x:c r="L219" s="15" t="str">
        <x:v>catl-normalized-four-segment-v1.0</x:v>
      </x:c>
      <x:c r="M219" s="15" t="str">
        <x:v>2029-10-09</x:v>
      </x:c>
      <x:c r="O219" t="str">
        <x:v>CNY</x:v>
      </x:c>
      <x:c r="V219" t="str">
        <x:v>2029-10-09</x:v>
      </x:c>
      <x:c r="W219" t="str">
        <x:v>待核</x:v>
      </x:c>
      <x:c r="X219" t="str">
        <x:v>周末已解析；节假日需交易所对应年度日历核验，实际交易日待核</x:v>
      </x:c>
    </x:row>
    <x:row r="220" ht="23" customHeight="1">
      <x:c r="A220" s="11" t="str">
        <x:v>03750.HK</x:v>
      </x:c>
      <x:c r="B220" s="11" t="str">
        <x:v>三年</x:v>
      </x:c>
      <x:c r="C220" s="11" t="str">
        <x:v>悲观</x:v>
      </x:c>
      <x:c r="D220" s="11" t="str">
        <x:v>EPS</x:v>
      </x:c>
      <x:c r="E220" s="18" t="n">
        <x:v>7.413</x:v>
      </x:c>
      <x:c r="F220" s="18" t="n">
        <x:v>15</x:v>
      </x:c>
      <x:c r="G220" s="18" t="n">
        <x:v>1.1</x:v>
      </x:c>
      <x:c r="H220" s="18" t="n">
        <x:v>12</x:v>
      </x:c>
      <x:c r="I220" s="18"/>
      <x:c r="J220" s="20"/>
      <x:c r="K220" s="22"/>
      <x:c r="L220" s="11" t="str">
        <x:v>catl-normalized-four-segment-v1.0</x:v>
      </x:c>
      <x:c r="M220" s="11" t="str">
        <x:v>2029-10-09</x:v>
      </x:c>
      <x:c r="O220" t="str">
        <x:v>CNY</x:v>
      </x:c>
      <x:c r="V220" t="str">
        <x:v>2029-10-09</x:v>
      </x:c>
      <x:c r="W220" t="str">
        <x:v>待核</x:v>
      </x:c>
      <x:c r="X220" t="str">
        <x:v>周末已解析；节假日需交易所对应年度日历核验，实际交易日待核</x:v>
      </x:c>
    </x:row>
    <x:row r="221" ht="23" customHeight="1">
      <x:c r="A221" s="11" t="str">
        <x:v>03750.HK</x:v>
      </x:c>
      <x:c r="B221" s="11" t="str">
        <x:v>三年</x:v>
      </x:c>
      <x:c r="C221" s="11" t="str">
        <x:v>基准</x:v>
      </x:c>
      <x:c r="D221" s="11" t="str">
        <x:v>EPS</x:v>
      </x:c>
      <x:c r="E221" s="18" t="n">
        <x:v>34.768</x:v>
      </x:c>
      <x:c r="F221" s="18" t="n">
        <x:v>24</x:v>
      </x:c>
      <x:c r="G221" s="18" t="n">
        <x:v>1.1</x:v>
      </x:c>
      <x:c r="H221" s="18" t="n">
        <x:v>27</x:v>
      </x:c>
      <x:c r="I221" s="18"/>
      <x:c r="J221" s="20"/>
      <x:c r="K221" s="22"/>
      <x:c r="L221" s="11" t="str">
        <x:v>catl-normalized-four-segment-v1.0</x:v>
      </x:c>
      <x:c r="M221" s="11" t="str">
        <x:v>2029-10-09</x:v>
      </x:c>
      <x:c r="O221" t="str">
        <x:v>CNY</x:v>
      </x:c>
      <x:c r="V221" t="str">
        <x:v>2029-10-09</x:v>
      </x:c>
      <x:c r="W221" t="str">
        <x:v>待核</x:v>
      </x:c>
      <x:c r="X221" t="str">
        <x:v>周末已解析；节假日需交易所对应年度日历核验，实际交易日待核</x:v>
      </x:c>
    </x:row>
    <x:row r="222" ht="23" customHeight="1">
      <x:c r="A222" s="11" t="str">
        <x:v>03750.HK</x:v>
      </x:c>
      <x:c r="B222" s="11" t="str">
        <x:v>三年</x:v>
      </x:c>
      <x:c r="C222" s="11" t="str">
        <x:v>乐观</x:v>
      </x:c>
      <x:c r="D222" s="11" t="str">
        <x:v>EPS</x:v>
      </x:c>
      <x:c r="E222" s="18" t="n">
        <x:v>64.405</x:v>
      </x:c>
      <x:c r="F222" s="18" t="n">
        <x:v>32</x:v>
      </x:c>
      <x:c r="G222" s="18" t="n">
        <x:v>1.1</x:v>
      </x:c>
      <x:c r="H222" s="18" t="n">
        <x:v>42</x:v>
      </x:c>
      <x:c r="I222" s="18"/>
      <x:c r="J222" s="20"/>
      <x:c r="K222" s="22"/>
      <x:c r="L222" s="11" t="str">
        <x:v>catl-normalized-four-segment-v1.0</x:v>
      </x:c>
      <x:c r="M222" s="11" t="str">
        <x:v>2029-10-09</x:v>
      </x:c>
      <x:c r="O222" t="str">
        <x:v>CNY</x:v>
      </x:c>
      <x:c r="V222" t="str">
        <x:v>2029-10-09</x:v>
      </x:c>
      <x:c r="W222" t="str">
        <x:v>待核</x:v>
      </x:c>
      <x:c r="X222" t="str">
        <x:v>周末已解析；节假日需交易所对应年度日历核验，实际交易日待核</x:v>
      </x:c>
    </x:row>
    <x:row r="223" ht="23" customHeight="1">
      <x:c r="A223" s="15" t="str">
        <x:v>03750.HK</x:v>
      </x:c>
      <x:c r="B223" s="15" t="str">
        <x:v>五年</x:v>
      </x:c>
      <x:c r="C223" s="15" t="str">
        <x:v>活动输入</x:v>
      </x:c>
      <x:c r="D223" s="15" t="str">
        <x:v>EPS</x:v>
      </x:c>
      <x:c r="E223" s="17" t="n">
        <x:f>CHOOSE($B$3,E224,E225,E226)</x:f>
        <x:v>46.301</x:v>
      </x:c>
      <x:c r="F223" s="17" t="n">
        <x:f>CHOOSE($B$3,F224,F225,F226)</x:f>
        <x:v>23</x:v>
      </x:c>
      <x:c r="G223" s="17" t="n">
        <x:f>CHOOSE($B$3,G224,G225,G226)</x:f>
        <x:v>1.1</x:v>
      </x:c>
      <x:c r="H223" s="17" t="n">
        <x:f>CHOOSE($B$3,H224,H225,H226)</x:f>
        <x:v>53</x:v>
      </x:c>
      <x:c r="I223" s="17" t="str">
        <x:f>CHOOSE($B$3,I224,I225,I226)</x:f>
      </x:c>
      <x:c r="J223" s="19" t="str">
        <x:f>CHOOSE($B$3,J224,J225,J226)</x:f>
      </x:c>
      <x:c r="K223" s="21" t="str">
        <x:f>CHOOSE($B$3,K224,K225,K226)</x:f>
      </x:c>
      <x:c r="L223" s="15" t="str">
        <x:v>catl-normalized-four-segment-v1.0</x:v>
      </x:c>
      <x:c r="M223" s="15" t="str">
        <x:v>2031-10-09</x:v>
      </x:c>
      <x:c r="O223" t="str">
        <x:v>CNY</x:v>
      </x:c>
      <x:c r="V223" t="str">
        <x:v>2031-10-09</x:v>
      </x:c>
      <x:c r="W223" t="str">
        <x:v>待核</x:v>
      </x:c>
      <x:c r="X223" t="str">
        <x:v>周末已解析；节假日需交易所对应年度日历核验，实际交易日待核</x:v>
      </x:c>
    </x:row>
    <x:row r="224" ht="23" customHeight="1">
      <x:c r="A224" s="11" t="str">
        <x:v>03750.HK</x:v>
      </x:c>
      <x:c r="B224" s="11" t="str">
        <x:v>五年</x:v>
      </x:c>
      <x:c r="C224" s="11" t="str">
        <x:v>悲观</x:v>
      </x:c>
      <x:c r="D224" s="11" t="str">
        <x:v>EPS</x:v>
      </x:c>
      <x:c r="E224" s="18" t="n">
        <x:v>6.793</x:v>
      </x:c>
      <x:c r="F224" s="18" t="n">
        <x:v>14</x:v>
      </x:c>
      <x:c r="G224" s="18" t="n">
        <x:v>1.1</x:v>
      </x:c>
      <x:c r="H224" s="18" t="n">
        <x:v>20</x:v>
      </x:c>
      <x:c r="I224" s="18"/>
      <x:c r="J224" s="20"/>
      <x:c r="K224" s="22"/>
      <x:c r="L224" s="11" t="str">
        <x:v>catl-normalized-four-segment-v1.0</x:v>
      </x:c>
      <x:c r="M224" s="11" t="str">
        <x:v>2031-10-09</x:v>
      </x:c>
      <x:c r="O224" t="str">
        <x:v>CNY</x:v>
      </x:c>
      <x:c r="V224" t="str">
        <x:v>2031-10-09</x:v>
      </x:c>
      <x:c r="W224" t="str">
        <x:v>待核</x:v>
      </x:c>
      <x:c r="X224" t="str">
        <x:v>周末已解析；节假日需交易所对应年度日历核验，实际交易日待核</x:v>
      </x:c>
    </x:row>
    <x:row r="225" ht="23" customHeight="1">
      <x:c r="A225" s="11" t="str">
        <x:v>03750.HK</x:v>
      </x:c>
      <x:c r="B225" s="11" t="str">
        <x:v>五年</x:v>
      </x:c>
      <x:c r="C225" s="11" t="str">
        <x:v>基准</x:v>
      </x:c>
      <x:c r="D225" s="11" t="str">
        <x:v>EPS</x:v>
      </x:c>
      <x:c r="E225" s="18" t="n">
        <x:v>46.301</x:v>
      </x:c>
      <x:c r="F225" s="18" t="n">
        <x:v>23</x:v>
      </x:c>
      <x:c r="G225" s="18" t="n">
        <x:v>1.1</x:v>
      </x:c>
      <x:c r="H225" s="18" t="n">
        <x:v>53</x:v>
      </x:c>
      <x:c r="I225" s="18"/>
      <x:c r="J225" s="20"/>
      <x:c r="K225" s="22"/>
      <x:c r="L225" s="11" t="str">
        <x:v>catl-normalized-four-segment-v1.0</x:v>
      </x:c>
      <x:c r="M225" s="11" t="str">
        <x:v>2031-10-09</x:v>
      </x:c>
      <x:c r="O225" t="str">
        <x:v>CNY</x:v>
      </x:c>
      <x:c r="V225" t="str">
        <x:v>2031-10-09</x:v>
      </x:c>
      <x:c r="W225" t="str">
        <x:v>待核</x:v>
      </x:c>
      <x:c r="X225" t="str">
        <x:v>周末已解析；节假日需交易所对应年度日历核验，实际交易日待核</x:v>
      </x:c>
    </x:row>
    <x:row r="226" ht="23" customHeight="1">
      <x:c r="A226" s="11" t="str">
        <x:v>03750.HK</x:v>
      </x:c>
      <x:c r="B226" s="11" t="str">
        <x:v>五年</x:v>
      </x:c>
      <x:c r="C226" s="11" t="str">
        <x:v>乐观</x:v>
      </x:c>
      <x:c r="D226" s="11" t="str">
        <x:v>EPS</x:v>
      </x:c>
      <x:c r="E226" s="18" t="n">
        <x:v>100.048</x:v>
      </x:c>
      <x:c r="F226" s="18" t="n">
        <x:v>30</x:v>
      </x:c>
      <x:c r="G226" s="18" t="n">
        <x:v>1.1</x:v>
      </x:c>
      <x:c r="H226" s="18" t="n">
        <x:v>90</x:v>
      </x:c>
      <x:c r="I226" s="18"/>
      <x:c r="J226" s="20"/>
      <x:c r="K226" s="22"/>
      <x:c r="L226" s="11" t="str">
        <x:v>catl-normalized-four-segment-v1.0</x:v>
      </x:c>
      <x:c r="M226" s="11" t="str">
        <x:v>2031-10-09</x:v>
      </x:c>
      <x:c r="O226" t="str">
        <x:v>CNY</x:v>
      </x:c>
      <x:c r="V226" t="str">
        <x:v>2031-10-09</x:v>
      </x:c>
      <x:c r="W226" t="str">
        <x:v>待核</x:v>
      </x:c>
      <x:c r="X226" t="str">
        <x:v>周末已解析；节假日需交易所对应年度日历核验，实际交易日待核</x:v>
      </x:c>
    </x:row>
    <x:row r="227" ht="23" customHeight="1">
      <x:c r="A227" s="15" t="str">
        <x:v>01093.HK</x:v>
      </x:c>
      <x:c r="B227" s="15" t="str">
        <x:v>2026年底</x:v>
      </x:c>
      <x:c r="C227" s="15" t="str">
        <x:v>活动输入</x:v>
      </x:c>
      <x:c r="D227" s="15" t="str">
        <x:v>EPS</x:v>
      </x:c>
      <x:c r="E227" s="17" t="n">
        <x:f>CHOOSE($B$3,E228,E229,E230)</x:f>
        <x:v>0.34</x:v>
      </x:c>
      <x:c r="F227" s="17" t="n">
        <x:f>CHOOSE($B$3,F228,F229,F230)</x:f>
        <x:v>19</x:v>
      </x:c>
      <x:c r="G227" s="17" t="n">
        <x:f>CHOOSE($B$3,G228,G229,G230)</x:f>
        <x:v>1.1</x:v>
      </x:c>
      <x:c r="H227" s="17" t="n">
        <x:f>CHOOSE($B$3,H228,H229,H230)</x:f>
        <x:v>0.18</x:v>
      </x:c>
      <x:c r="I227" s="17" t="str">
        <x:f>CHOOSE($B$3,I228,I229,I230)</x:f>
      </x:c>
      <x:c r="J227" s="19" t="n">
        <x:f>CHOOSE($B$3,J228,J229,J230)</x:f>
        <x:v>0.14544444444444446</x:v>
      </x:c>
      <x:c r="K227" s="21" t="n">
        <x:f>CHOOSE($B$3,K228,K229,K230)</x:f>
        <x:v>11.55</x:v>
      </x:c>
      <x:c r="L227" s="15" t="str">
        <x:v>cspc-v1-core-cash-assetgroups</x:v>
      </x:c>
      <x:c r="M227" s="15" t="str">
        <x:v>2026-12-31</x:v>
      </x:c>
      <x:c r="N227" t="n">
        <x:f>CHOOSE($B$3,N228,N229,N230)</x:f>
        <x:v>14.2</x:v>
      </x:c>
      <x:c r="O227" t="str">
        <x:v>CNY</x:v>
      </x:c>
      <x:c r="V227" t="str">
        <x:v>2026-12-31</x:v>
      </x:c>
      <x:c r="W227" t="str">
        <x:v>待核</x:v>
      </x:c>
      <x:c r="X227" t="str">
        <x:v>周末已解析；节假日需交易所对应年度日历核验，实际交易日待核</x:v>
      </x:c>
    </x:row>
    <x:row r="228" ht="23" customHeight="1">
      <x:c r="A228" s="11" t="str">
        <x:v>01093.HK</x:v>
      </x:c>
      <x:c r="B228" s="11" t="str">
        <x:v>2026年底</x:v>
      </x:c>
      <x:c r="C228" s="11" t="str">
        <x:v>悲观</x:v>
      </x:c>
      <x:c r="D228" s="11" t="str">
        <x:v>EPS</x:v>
      </x:c>
      <x:c r="E228" s="18" t="n">
        <x:v>0.22</x:v>
      </x:c>
      <x:c r="F228" s="18" t="n">
        <x:v>13</x:v>
      </x:c>
      <x:c r="G228" s="18" t="n">
        <x:v>1.1</x:v>
      </x:c>
      <x:c r="H228" s="18" t="n">
        <x:v>0.18</x:v>
      </x:c>
      <x:c r="I228" s="18"/>
      <x:c r="J228" s="20" t="n">
        <x:v>0.10633333333333334</x:v>
      </x:c>
      <x:c r="K228" s="22" t="n">
        <x:v>11.6</x:v>
      </x:c>
      <x:c r="L228" s="11" t="str">
        <x:v>cspc-v1-core-cash-assetgroups</x:v>
      </x:c>
      <x:c r="M228" s="11" t="str">
        <x:v>2026-12-31</x:v>
      </x:c>
      <x:c r="N228" s="42" t="n">
        <x:v>11.5</x:v>
      </x:c>
      <x:c r="O228" t="str">
        <x:v>CNY</x:v>
      </x:c>
      <x:c r="V228" t="str">
        <x:v>2026-12-31</x:v>
      </x:c>
      <x:c r="W228" t="str">
        <x:v>待核</x:v>
      </x:c>
      <x:c r="X228" t="str">
        <x:v>周末已解析；节假日需交易所对应年度日历核验，实际交易日待核</x:v>
      </x:c>
    </x:row>
    <x:row r="229" ht="23" customHeight="1">
      <x:c r="A229" s="11" t="str">
        <x:v>01093.HK</x:v>
      </x:c>
      <x:c r="B229" s="11" t="str">
        <x:v>2026年底</x:v>
      </x:c>
      <x:c r="C229" s="11" t="str">
        <x:v>基准</x:v>
      </x:c>
      <x:c r="D229" s="11" t="str">
        <x:v>EPS</x:v>
      </x:c>
      <x:c r="E229" s="18" t="n">
        <x:v>0.34</x:v>
      </x:c>
      <x:c r="F229" s="18" t="n">
        <x:v>19</x:v>
      </x:c>
      <x:c r="G229" s="18" t="n">
        <x:v>1.1</x:v>
      </x:c>
      <x:c r="H229" s="18" t="n">
        <x:v>0.18</x:v>
      </x:c>
      <x:c r="I229" s="18"/>
      <x:c r="J229" s="20" t="n">
        <x:v>0.14544444444444446</x:v>
      </x:c>
      <x:c r="K229" s="22" t="n">
        <x:v>11.55</x:v>
      </x:c>
      <x:c r="L229" s="11" t="str">
        <x:v>cspc-v1-core-cash-assetgroups</x:v>
      </x:c>
      <x:c r="M229" s="11" t="str">
        <x:v>2026-12-31</x:v>
      </x:c>
      <x:c r="N229" s="42" t="n">
        <x:v>14.2</x:v>
      </x:c>
      <x:c r="O229" t="str">
        <x:v>CNY</x:v>
      </x:c>
      <x:c r="V229" t="str">
        <x:v>2026-12-31</x:v>
      </x:c>
      <x:c r="W229" t="str">
        <x:v>待核</x:v>
      </x:c>
      <x:c r="X229" t="str">
        <x:v>周末已解析；节假日需交易所对应年度日历核验，实际交易日待核</x:v>
      </x:c>
    </x:row>
    <x:row r="230" ht="23" customHeight="1">
      <x:c r="A230" s="11" t="str">
        <x:v>01093.HK</x:v>
      </x:c>
      <x:c r="B230" s="11" t="str">
        <x:v>2026年底</x:v>
      </x:c>
      <x:c r="C230" s="11" t="str">
        <x:v>乐观</x:v>
      </x:c>
      <x:c r="D230" s="11" t="str">
        <x:v>EPS</x:v>
      </x:c>
      <x:c r="E230" s="18" t="n">
        <x:v>0.45</x:v>
      </x:c>
      <x:c r="F230" s="18" t="n">
        <x:v>25</x:v>
      </x:c>
      <x:c r="G230" s="18" t="n">
        <x:v>1.1</x:v>
      </x:c>
      <x:c r="H230" s="18" t="n">
        <x:v>0.18</x:v>
      </x:c>
      <x:c r="I230" s="18"/>
      <x:c r="J230" s="20" t="n">
        <x:v>0.1728</x:v>
      </x:c>
      <x:c r="K230" s="22" t="n">
        <x:v>11.52</x:v>
      </x:c>
      <x:c r="L230" s="11" t="str">
        <x:v>cspc-v1-core-cash-assetgroups</x:v>
      </x:c>
      <x:c r="M230" s="11" t="str">
        <x:v>2026-12-31</x:v>
      </x:c>
      <x:c r="N230" s="42" t="n">
        <x:v>16</x:v>
      </x:c>
      <x:c r="O230" t="str">
        <x:v>CNY</x:v>
      </x:c>
      <x:c r="V230" t="str">
        <x:v>2026-12-31</x:v>
      </x:c>
      <x:c r="W230" t="str">
        <x:v>待核</x:v>
      </x:c>
      <x:c r="X230" t="str">
        <x:v>周末已解析；节假日需交易所对应年度日历核验，实际交易日待核</x:v>
      </x:c>
    </x:row>
    <x:row r="231" ht="23" customHeight="1">
      <x:c r="A231" s="15" t="str">
        <x:v>01093.HK</x:v>
      </x:c>
      <x:c r="B231" s="15" t="str">
        <x:v>半年</x:v>
      </x:c>
      <x:c r="C231" s="15" t="str">
        <x:v>活动输入</x:v>
      </x:c>
      <x:c r="D231" s="15" t="str">
        <x:v>EPS</x:v>
      </x:c>
      <x:c r="E231" s="17" t="n">
        <x:f>CHOOSE($B$3,E232,E233,E234)</x:f>
        <x:v>0.34</x:v>
      </x:c>
      <x:c r="F231" s="17" t="n">
        <x:f>CHOOSE($B$3,F232,F233,F234)</x:f>
        <x:v>20</x:v>
      </x:c>
      <x:c r="G231" s="17" t="n">
        <x:f>CHOOSE($B$3,G232,G233,G234)</x:f>
        <x:v>1.1</x:v>
      </x:c>
      <x:c r="H231" s="17" t="n">
        <x:f>CHOOSE($B$3,H232,H233,H234)</x:f>
        <x:v>0.18</x:v>
      </x:c>
      <x:c r="I231" s="17" t="str">
        <x:f>CHOOSE($B$3,I232,I233,I234)</x:f>
      </x:c>
      <x:c r="J231" s="19" t="n">
        <x:f>CHOOSE($B$3,J232,J233,J234)</x:f>
        <x:v>0.14557037037037038</x:v>
      </x:c>
      <x:c r="K231" s="21" t="n">
        <x:f>CHOOSE($B$3,K232,K233,K234)</x:f>
        <x:v>11.56</x:v>
      </x:c>
      <x:c r="L231" s="15" t="str">
        <x:v>cspc-v1-core-cash-assetgroups</x:v>
      </x:c>
      <x:c r="M231" s="15" t="str">
        <x:v>2027-04-09</x:v>
      </x:c>
      <x:c r="N231" t="n">
        <x:f>CHOOSE($B$3,N232,N233,N234)</x:f>
        <x:v>14.8</x:v>
      </x:c>
      <x:c r="O231" t="str">
        <x:v>CNY</x:v>
      </x:c>
      <x:c r="V231" t="str">
        <x:v>2027-04-09</x:v>
      </x:c>
      <x:c r="W231" t="str">
        <x:v>待核</x:v>
      </x:c>
      <x:c r="X231" t="str">
        <x:v>周末已解析；节假日需交易所对应年度日历核验，实际交易日待核</x:v>
      </x:c>
    </x:row>
    <x:row r="232" ht="23" customHeight="1">
      <x:c r="A232" s="11" t="str">
        <x:v>01093.HK</x:v>
      </x:c>
      <x:c r="B232" s="11" t="str">
        <x:v>半年</x:v>
      </x:c>
      <x:c r="C232" s="11" t="str">
        <x:v>悲观</x:v>
      </x:c>
      <x:c r="D232" s="11" t="str">
        <x:v>EPS</x:v>
      </x:c>
      <x:c r="E232" s="18" t="n">
        <x:v>0.22</x:v>
      </x:c>
      <x:c r="F232" s="18" t="n">
        <x:v>13</x:v>
      </x:c>
      <x:c r="G232" s="18" t="n">
        <x:v>1.1</x:v>
      </x:c>
      <x:c r="H232" s="18" t="n">
        <x:v>0.18</x:v>
      </x:c>
      <x:c r="I232" s="18"/>
      <x:c r="J232" s="20" t="n">
        <x:v>0.10679166666666667</x:v>
      </x:c>
      <x:c r="K232" s="22" t="n">
        <x:v>11.65</x:v>
      </x:c>
      <x:c r="L232" s="11" t="str">
        <x:v>cspc-v1-core-cash-assetgroups</x:v>
      </x:c>
      <x:c r="M232" s="11" t="str">
        <x:v>2027-04-09</x:v>
      </x:c>
      <x:c r="N232" s="42" t="n">
        <x:v>11.2</x:v>
      </x:c>
      <x:c r="O232" t="str">
        <x:v>CNY</x:v>
      </x:c>
      <x:c r="V232" t="str">
        <x:v>2027-04-09</x:v>
      </x:c>
      <x:c r="W232" t="str">
        <x:v>待核</x:v>
      </x:c>
      <x:c r="X232" t="str">
        <x:v>周末已解析；节假日需交易所对应年度日历核验，实际交易日待核</x:v>
      </x:c>
    </x:row>
    <x:row r="233" ht="23" customHeight="1">
      <x:c r="A233" s="11" t="str">
        <x:v>01093.HK</x:v>
      </x:c>
      <x:c r="B233" s="11" t="str">
        <x:v>半年</x:v>
      </x:c>
      <x:c r="C233" s="11" t="str">
        <x:v>基准</x:v>
      </x:c>
      <x:c r="D233" s="11" t="str">
        <x:v>EPS</x:v>
      </x:c>
      <x:c r="E233" s="18" t="n">
        <x:v>0.34</x:v>
      </x:c>
      <x:c r="F233" s="18" t="n">
        <x:v>20</x:v>
      </x:c>
      <x:c r="G233" s="18" t="n">
        <x:v>1.1</x:v>
      </x:c>
      <x:c r="H233" s="18" t="n">
        <x:v>0.18</x:v>
      </x:c>
      <x:c r="I233" s="18"/>
      <x:c r="J233" s="20" t="n">
        <x:v>0.14557037037037038</x:v>
      </x:c>
      <x:c r="K233" s="22" t="n">
        <x:v>11.56</x:v>
      </x:c>
      <x:c r="L233" s="11" t="str">
        <x:v>cspc-v1-core-cash-assetgroups</x:v>
      </x:c>
      <x:c r="M233" s="11" t="str">
        <x:v>2027-04-09</x:v>
      </x:c>
      <x:c r="N233" s="42" t="n">
        <x:v>14.8</x:v>
      </x:c>
      <x:c r="O233" t="str">
        <x:v>CNY</x:v>
      </x:c>
      <x:c r="V233" t="str">
        <x:v>2027-04-09</x:v>
      </x:c>
      <x:c r="W233" t="str">
        <x:v>待核</x:v>
      </x:c>
      <x:c r="X233" t="str">
        <x:v>周末已解析；节假日需交易所对应年度日历核验，实际交易日待核</x:v>
      </x:c>
    </x:row>
    <x:row r="234" ht="23" customHeight="1">
      <x:c r="A234" s="11" t="str">
        <x:v>01093.HK</x:v>
      </x:c>
      <x:c r="B234" s="11" t="str">
        <x:v>半年</x:v>
      </x:c>
      <x:c r="C234" s="11" t="str">
        <x:v>乐观</x:v>
      </x:c>
      <x:c r="D234" s="11" t="str">
        <x:v>EPS</x:v>
      </x:c>
      <x:c r="E234" s="18" t="n">
        <x:v>0.45</x:v>
      </x:c>
      <x:c r="F234" s="18" t="n">
        <x:v>26</x:v>
      </x:c>
      <x:c r="G234" s="18" t="n">
        <x:v>1.1</x:v>
      </x:c>
      <x:c r="H234" s="18" t="n">
        <x:v>0.18</x:v>
      </x:c>
      <x:c r="I234" s="18"/>
      <x:c r="J234" s="20" t="n">
        <x:v>0.1728</x:v>
      </x:c>
      <x:c r="K234" s="22" t="n">
        <x:v>11.52</x:v>
      </x:c>
      <x:c r="L234" s="11" t="str">
        <x:v>cspc-v1-core-cash-assetgroups</x:v>
      </x:c>
      <x:c r="M234" s="11" t="str">
        <x:v>2027-04-09</x:v>
      </x:c>
      <x:c r="N234" s="42" t="n">
        <x:v>17</x:v>
      </x:c>
      <x:c r="O234" t="str">
        <x:v>CNY</x:v>
      </x:c>
      <x:c r="V234" t="str">
        <x:v>2027-04-09</x:v>
      </x:c>
      <x:c r="W234" t="str">
        <x:v>待核</x:v>
      </x:c>
      <x:c r="X234" t="str">
        <x:v>周末已解析；节假日需交易所对应年度日历核验，实际交易日待核</x:v>
      </x:c>
    </x:row>
    <x:row r="235" ht="23" customHeight="1">
      <x:c r="A235" s="15" t="str">
        <x:v>01093.HK</x:v>
      </x:c>
      <x:c r="B235" s="15" t="str">
        <x:v>一年</x:v>
      </x:c>
      <x:c r="C235" s="15" t="str">
        <x:v>活动输入</x:v>
      </x:c>
      <x:c r="D235" s="15" t="str">
        <x:v>EPS</x:v>
      </x:c>
      <x:c r="E235" s="17" t="n">
        <x:f>CHOOSE($B$3,E236,E237,E238)</x:f>
        <x:v>0.39</x:v>
      </x:c>
      <x:c r="F235" s="17" t="n">
        <x:f>CHOOSE($B$3,F236,F237,F238)</x:f>
        <x:v>20</x:v>
      </x:c>
      <x:c r="G235" s="17" t="n">
        <x:f>CHOOSE($B$3,G236,G237,G238)</x:f>
        <x:v>1.1</x:v>
      </x:c>
      <x:c r="H235" s="17" t="n">
        <x:f>CHOOSE($B$3,H236,H237,H238)</x:f>
        <x:v>0.35</x:v>
      </x:c>
      <x:c r="I235" s="17" t="str">
        <x:f>CHOOSE($B$3,I236,I237,I238)</x:f>
      </x:c>
      <x:c r="J235" s="19" t="n">
        <x:f>CHOOSE($B$3,J236,J237,J238)</x:f>
        <x:v>0.15626896551724137</x:v>
      </x:c>
      <x:c r="K235" s="21" t="n">
        <x:f>CHOOSE($B$3,K236,K237,K238)</x:f>
        <x:v>11.62</x:v>
      </x:c>
      <x:c r="L235" s="15" t="str">
        <x:v>cspc-v1-core-cash-assetgroups</x:v>
      </x:c>
      <x:c r="M235" s="15" t="str">
        <x:v>2027-10-09</x:v>
      </x:c>
      <x:c r="N235" t="n">
        <x:f>CHOOSE($B$3,N236,N237,N238)</x:f>
        <x:v>16</x:v>
      </x:c>
      <x:c r="O235" t="str">
        <x:v>CNY</x:v>
      </x:c>
      <x:c r="V235" t="str">
        <x:v>2027-10-08</x:v>
      </x:c>
      <x:c r="W235" t="str">
        <x:v>待核</x:v>
      </x:c>
      <x:c r="X235" t="str">
        <x:v>周末已解析；节假日需交易所对应年度日历核验，实际交易日待核</x:v>
      </x:c>
    </x:row>
    <x:row r="236" ht="23" customHeight="1">
      <x:c r="A236" s="11" t="str">
        <x:v>01093.HK</x:v>
      </x:c>
      <x:c r="B236" s="11" t="str">
        <x:v>一年</x:v>
      </x:c>
      <x:c r="C236" s="11" t="str">
        <x:v>悲观</x:v>
      </x:c>
      <x:c r="D236" s="11" t="str">
        <x:v>EPS</x:v>
      </x:c>
      <x:c r="E236" s="18" t="n">
        <x:v>0.25</x:v>
      </x:c>
      <x:c r="F236" s="18" t="n">
        <x:v>12</x:v>
      </x:c>
      <x:c r="G236" s="18" t="n">
        <x:v>1.1</x:v>
      </x:c>
      <x:c r="H236" s="18" t="n">
        <x:v>0.3</x:v>
      </x:c>
      <x:c r="I236" s="18"/>
      <x:c r="J236" s="20" t="n">
        <x:v>0.1175</x:v>
      </x:c>
      <x:c r="K236" s="22" t="n">
        <x:v>11.75</x:v>
      </x:c>
      <x:c r="L236" s="11" t="str">
        <x:v>cspc-v1-core-cash-assetgroups</x:v>
      </x:c>
      <x:c r="M236" s="11" t="str">
        <x:v>2027-10-09</x:v>
      </x:c>
      <x:c r="N236" s="42" t="n">
        <x:v>10.5</x:v>
      </x:c>
      <x:c r="O236" t="str">
        <x:v>CNY</x:v>
      </x:c>
      <x:c r="V236" t="str">
        <x:v>2027-10-08</x:v>
      </x:c>
      <x:c r="W236" t="str">
        <x:v>待核</x:v>
      </x:c>
      <x:c r="X236" t="str">
        <x:v>周末已解析；节假日需交易所对应年度日历核验，实际交易日待核</x:v>
      </x:c>
    </x:row>
    <x:row r="237" ht="23" customHeight="1">
      <x:c r="A237" s="11" t="str">
        <x:v>01093.HK</x:v>
      </x:c>
      <x:c r="B237" s="11" t="str">
        <x:v>一年</x:v>
      </x:c>
      <x:c r="C237" s="11" t="str">
        <x:v>基准</x:v>
      </x:c>
      <x:c r="D237" s="11" t="str">
        <x:v>EPS</x:v>
      </x:c>
      <x:c r="E237" s="18" t="n">
        <x:v>0.39</x:v>
      </x:c>
      <x:c r="F237" s="18" t="n">
        <x:v>20</x:v>
      </x:c>
      <x:c r="G237" s="18" t="n">
        <x:v>1.1</x:v>
      </x:c>
      <x:c r="H237" s="18" t="n">
        <x:v>0.35</x:v>
      </x:c>
      <x:c r="I237" s="18"/>
      <x:c r="J237" s="20" t="n">
        <x:v>0.15626896551724137</x:v>
      </x:c>
      <x:c r="K237" s="22" t="n">
        <x:v>11.62</x:v>
      </x:c>
      <x:c r="L237" s="11" t="str">
        <x:v>cspc-v1-core-cash-assetgroups</x:v>
      </x:c>
      <x:c r="M237" s="11" t="str">
        <x:v>2027-10-09</x:v>
      </x:c>
      <x:c r="N237" s="42" t="n">
        <x:v>16</x:v>
      </x:c>
      <x:c r="O237" t="str">
        <x:v>CNY</x:v>
      </x:c>
      <x:c r="V237" t="str">
        <x:v>2027-10-08</x:v>
      </x:c>
      <x:c r="W237" t="str">
        <x:v>待核</x:v>
      </x:c>
      <x:c r="X237" t="str">
        <x:v>周末已解析；节假日需交易所对应年度日历核验，实际交易日待核</x:v>
      </x:c>
    </x:row>
    <x:row r="238" ht="23" customHeight="1">
      <x:c r="A238" s="11" t="str">
        <x:v>01093.HK</x:v>
      </x:c>
      <x:c r="B238" s="11" t="str">
        <x:v>一年</x:v>
      </x:c>
      <x:c r="C238" s="11" t="str">
        <x:v>乐观</x:v>
      </x:c>
      <x:c r="D238" s="11" t="str">
        <x:v>EPS</x:v>
      </x:c>
      <x:c r="E238" s="18" t="n">
        <x:v>0.54</x:v>
      </x:c>
      <x:c r="F238" s="18" t="n">
        <x:v>27</x:v>
      </x:c>
      <x:c r="G238" s="18" t="n">
        <x:v>1.1</x:v>
      </x:c>
      <x:c r="H238" s="18" t="n">
        <x:v>0.4</x:v>
      </x:c>
      <x:c r="I238" s="18"/>
      <x:c r="J238" s="20" t="n">
        <x:v>0.1891636363636364</x:v>
      </x:c>
      <x:c r="K238" s="22" t="n">
        <x:v>11.56</x:v>
      </x:c>
      <x:c r="L238" s="11" t="str">
        <x:v>cspc-v1-core-cash-assetgroups</x:v>
      </x:c>
      <x:c r="M238" s="11" t="str">
        <x:v>2027-10-09</x:v>
      </x:c>
      <x:c r="N238" s="42" t="n">
        <x:v>19</x:v>
      </x:c>
      <x:c r="O238" t="str">
        <x:v>CNY</x:v>
      </x:c>
      <x:c r="V238" t="str">
        <x:v>2027-10-08</x:v>
      </x:c>
      <x:c r="W238" t="str">
        <x:v>待核</x:v>
      </x:c>
      <x:c r="X238" t="str">
        <x:v>周末已解析；节假日需交易所对应年度日历核验，实际交易日待核</x:v>
      </x:c>
    </x:row>
    <x:row r="239" ht="23" customHeight="1">
      <x:c r="A239" s="15" t="str">
        <x:v>01093.HK</x:v>
      </x:c>
      <x:c r="B239" s="15" t="str">
        <x:v>三年</x:v>
      </x:c>
      <x:c r="C239" s="15" t="str">
        <x:v>活动输入</x:v>
      </x:c>
      <x:c r="D239" s="15" t="str">
        <x:v>EPS</x:v>
      </x:c>
      <x:c r="E239" s="17" t="n">
        <x:f>CHOOSE($B$3,E240,E241,E242)</x:f>
        <x:v>0.48</x:v>
      </x:c>
      <x:c r="F239" s="17" t="n">
        <x:f>CHOOSE($B$3,F240,F241,F242)</x:f>
        <x:v>19</x:v>
      </x:c>
      <x:c r="G239" s="17" t="n">
        <x:f>CHOOSE($B$3,G240,G241,G242)</x:f>
        <x:v>1.1</x:v>
      </x:c>
      <x:c r="H239" s="17" t="n">
        <x:f>CHOOSE($B$3,H240,H241,H242)</x:f>
        <x:v>1.1</x:v>
      </x:c>
      <x:c r="I239" s="17" t="str">
        <x:f>CHOOSE($B$3,I240,I241,I242)</x:f>
      </x:c>
      <x:c r="J239" s="19" t="n">
        <x:f>CHOOSE($B$3,J240,J241,J242)</x:f>
        <x:v>0.17236363636363636</x:v>
      </x:c>
      <x:c r="K239" s="21" t="n">
        <x:f>CHOOSE($B$3,K240,K241,K242)</x:f>
        <x:v>11.85</x:v>
      </x:c>
      <x:c r="L239" s="15" t="str">
        <x:v>cspc-v1-core-cash-assetgroups</x:v>
      </x:c>
      <x:c r="M239" s="15" t="str">
        <x:v>2029-10-09</x:v>
      </x:c>
      <x:c r="N239" t="n">
        <x:f>CHOOSE($B$3,N240,N241,N242)</x:f>
        <x:v>20</x:v>
      </x:c>
      <x:c r="O239" t="str">
        <x:v>CNY</x:v>
      </x:c>
      <x:c r="V239" t="str">
        <x:v>2029-10-09</x:v>
      </x:c>
      <x:c r="W239" t="str">
        <x:v>待核</x:v>
      </x:c>
      <x:c r="X239" t="str">
        <x:v>周末已解析；节假日需交易所对应年度日历核验，实际交易日待核</x:v>
      </x:c>
    </x:row>
    <x:row r="240" ht="23" customHeight="1">
      <x:c r="A240" s="11" t="str">
        <x:v>01093.HK</x:v>
      </x:c>
      <x:c r="B240" s="11" t="str">
        <x:v>三年</x:v>
      </x:c>
      <x:c r="C240" s="11" t="str">
        <x:v>悲观</x:v>
      </x:c>
      <x:c r="D240" s="11" t="str">
        <x:v>EPS</x:v>
      </x:c>
      <x:c r="E240" s="18" t="n">
        <x:v>0.28</x:v>
      </x:c>
      <x:c r="F240" s="18" t="n">
        <x:v>11</x:v>
      </x:c>
      <x:c r="G240" s="18" t="n">
        <x:v>1.1</x:v>
      </x:c>
      <x:c r="H240" s="18" t="n">
        <x:v>0.8</x:v>
      </x:c>
      <x:c r="I240" s="18"/>
      <x:c r="J240" s="20" t="n">
        <x:v>0.12923076923076923</x:v>
      </x:c>
      <x:c r="K240" s="22" t="n">
        <x:v>12</x:v>
      </x:c>
      <x:c r="L240" s="11" t="str">
        <x:v>cspc-v1-core-cash-assetgroups</x:v>
      </x:c>
      <x:c r="M240" s="11" t="str">
        <x:v>2029-10-09</x:v>
      </x:c>
      <x:c r="N240" s="42" t="n">
        <x:v>9</x:v>
      </x:c>
      <x:c r="O240" t="str">
        <x:v>CNY</x:v>
      </x:c>
      <x:c r="V240" t="str">
        <x:v>2029-10-09</x:v>
      </x:c>
      <x:c r="W240" t="str">
        <x:v>待核</x:v>
      </x:c>
      <x:c r="X240" t="str">
        <x:v>周末已解析；节假日需交易所对应年度日历核验，实际交易日待核</x:v>
      </x:c>
    </x:row>
    <x:row r="241" ht="23" customHeight="1">
      <x:c r="A241" s="11" t="str">
        <x:v>01093.HK</x:v>
      </x:c>
      <x:c r="B241" s="11" t="str">
        <x:v>三年</x:v>
      </x:c>
      <x:c r="C241" s="11" t="str">
        <x:v>基准</x:v>
      </x:c>
      <x:c r="D241" s="11" t="str">
        <x:v>EPS</x:v>
      </x:c>
      <x:c r="E241" s="18" t="n">
        <x:v>0.48</x:v>
      </x:c>
      <x:c r="F241" s="18" t="n">
        <x:v>19</x:v>
      </x:c>
      <x:c r="G241" s="18" t="n">
        <x:v>1.1</x:v>
      </x:c>
      <x:c r="H241" s="18" t="n">
        <x:v>1.1</x:v>
      </x:c>
      <x:c r="I241" s="18"/>
      <x:c r="J241" s="20" t="n">
        <x:v>0.17236363636363636</x:v>
      </x:c>
      <x:c r="K241" s="22" t="n">
        <x:v>11.85</x:v>
      </x:c>
      <x:c r="L241" s="11" t="str">
        <x:v>cspc-v1-core-cash-assetgroups</x:v>
      </x:c>
      <x:c r="M241" s="11" t="str">
        <x:v>2029-10-09</x:v>
      </x:c>
      <x:c r="N241" s="42" t="n">
        <x:v>20</x:v>
      </x:c>
      <x:c r="O241" t="str">
        <x:v>CNY</x:v>
      </x:c>
      <x:c r="V241" t="str">
        <x:v>2029-10-09</x:v>
      </x:c>
      <x:c r="W241" t="str">
        <x:v>待核</x:v>
      </x:c>
      <x:c r="X241" t="str">
        <x:v>周末已解析；节假日需交易所对应年度日历核验，实际交易日待核</x:v>
      </x:c>
    </x:row>
    <x:row r="242" ht="23" customHeight="1">
      <x:c r="A242" s="11" t="str">
        <x:v>01093.HK</x:v>
      </x:c>
      <x:c r="B242" s="11" t="str">
        <x:v>三年</x:v>
      </x:c>
      <x:c r="C242" s="11" t="str">
        <x:v>乐观</x:v>
      </x:c>
      <x:c r="D242" s="11" t="str">
        <x:v>EPS</x:v>
      </x:c>
      <x:c r="E242" s="18" t="n">
        <x:v>0.72</x:v>
      </x:c>
      <x:c r="F242" s="18" t="n">
        <x:v>26</x:v>
      </x:c>
      <x:c r="G242" s="18" t="n">
        <x:v>1.1</x:v>
      </x:c>
      <x:c r="H242" s="18" t="n">
        <x:v>1.4</x:v>
      </x:c>
      <x:c r="I242" s="18"/>
      <x:c r="J242" s="20" t="n">
        <x:v>0.2097</x:v>
      </x:c>
      <x:c r="K242" s="22" t="n">
        <x:v>11.65</x:v>
      </x:c>
      <x:c r="L242" s="11" t="str">
        <x:v>cspc-v1-core-cash-assetgroups</x:v>
      </x:c>
      <x:c r="M242" s="11" t="str">
        <x:v>2029-10-09</x:v>
      </x:c>
      <x:c r="N242" s="42" t="n">
        <x:v>29</x:v>
      </x:c>
      <x:c r="O242" t="str">
        <x:v>CNY</x:v>
      </x:c>
      <x:c r="V242" t="str">
        <x:v>2029-10-09</x:v>
      </x:c>
      <x:c r="W242" t="str">
        <x:v>待核</x:v>
      </x:c>
      <x:c r="X242" t="str">
        <x:v>周末已解析；节假日需交易所对应年度日历核验，实际交易日待核</x:v>
      </x:c>
    </x:row>
    <x:row r="243" ht="23" customHeight="1">
      <x:c r="A243" s="15" t="str">
        <x:v>01093.HK</x:v>
      </x:c>
      <x:c r="B243" s="15" t="str">
        <x:v>五年</x:v>
      </x:c>
      <x:c r="C243" s="15" t="str">
        <x:v>活动输入</x:v>
      </x:c>
      <x:c r="D243" s="15" t="str">
        <x:v>EPS</x:v>
      </x:c>
      <x:c r="E243" s="17" t="n">
        <x:f>CHOOSE($B$3,E244,E245,E246)</x:f>
        <x:v>0.62</x:v>
      </x:c>
      <x:c r="F243" s="17" t="n">
        <x:f>CHOOSE($B$3,F244,F245,F246)</x:f>
        <x:v>18</x:v>
      </x:c>
      <x:c r="G243" s="17" t="n">
        <x:f>CHOOSE($B$3,G244,G245,G246)</x:f>
        <x:v>1.1</x:v>
      </x:c>
      <x:c r="H243" s="17" t="n">
        <x:f>CHOOSE($B$3,H244,H245,H246)</x:f>
        <x:v>2</x:v>
      </x:c>
      <x:c r="I243" s="17" t="str">
        <x:f>CHOOSE($B$3,I244,I245,I246)</x:f>
      </x:c>
      <x:c r="J243" s="19" t="n">
        <x:f>CHOOSE($B$3,J244,J245,J246)</x:f>
        <x:v>0.19394871794871793</x:v>
      </x:c>
      <x:c r="K243" s="21" t="n">
        <x:f>CHOOSE($B$3,K244,K245,K246)</x:f>
        <x:v>12.2</x:v>
      </x:c>
      <x:c r="L243" s="15" t="str">
        <x:v>cspc-v1-core-cash-assetgroups</x:v>
      </x:c>
      <x:c r="M243" s="15" t="str">
        <x:v>2031-10-09</x:v>
      </x:c>
      <x:c r="N243" t="n">
        <x:f>CHOOSE($B$3,N244,N245,N246)</x:f>
        <x:v>25</x:v>
      </x:c>
      <x:c r="O243" t="str">
        <x:v>CNY</x:v>
      </x:c>
      <x:c r="V243" t="str">
        <x:v>2031-10-09</x:v>
      </x:c>
      <x:c r="W243" t="str">
        <x:v>待核</x:v>
      </x:c>
      <x:c r="X243" t="str">
        <x:v>周末已解析；节假日需交易所对应年度日历核验，实际交易日待核</x:v>
      </x:c>
    </x:row>
    <x:row r="244" ht="23" customHeight="1">
      <x:c r="A244" s="11" t="str">
        <x:v>01093.HK</x:v>
      </x:c>
      <x:c r="B244" s="11" t="str">
        <x:v>五年</x:v>
      </x:c>
      <x:c r="C244" s="11" t="str">
        <x:v>悲观</x:v>
      </x:c>
      <x:c r="D244" s="11" t="str">
        <x:v>EPS</x:v>
      </x:c>
      <x:c r="E244" s="18" t="n">
        <x:v>0.32</x:v>
      </x:c>
      <x:c r="F244" s="18" t="n">
        <x:v>10</x:v>
      </x:c>
      <x:c r="G244" s="18" t="n">
        <x:v>1.1</x:v>
      </x:c>
      <x:c r="H244" s="18" t="n">
        <x:v>1.3</x:v>
      </x:c>
      <x:c r="I244" s="18"/>
      <x:c r="J244" s="20" t="n">
        <x:v>0.14285714285714285</x:v>
      </x:c>
      <x:c r="K244" s="22" t="n">
        <x:v>12.5</x:v>
      </x:c>
      <x:c r="L244" s="11" t="str">
        <x:v>cspc-v1-core-cash-assetgroups</x:v>
      </x:c>
      <x:c r="M244" s="11" t="str">
        <x:v>2031-10-09</x:v>
      </x:c>
      <x:c r="N244" s="42" t="n">
        <x:v>7</x:v>
      </x:c>
      <x:c r="O244" t="str">
        <x:v>CNY</x:v>
      </x:c>
      <x:c r="V244" t="str">
        <x:v>2031-10-09</x:v>
      </x:c>
      <x:c r="W244" t="str">
        <x:v>待核</x:v>
      </x:c>
      <x:c r="X244" t="str">
        <x:v>周末已解析；节假日需交易所对应年度日历核验，实际交易日待核</x:v>
      </x:c>
    </x:row>
    <x:row r="245" ht="23" customHeight="1">
      <x:c r="A245" s="11" t="str">
        <x:v>01093.HK</x:v>
      </x:c>
      <x:c r="B245" s="11" t="str">
        <x:v>五年</x:v>
      </x:c>
      <x:c r="C245" s="11" t="str">
        <x:v>基准</x:v>
      </x:c>
      <x:c r="D245" s="11" t="str">
        <x:v>EPS</x:v>
      </x:c>
      <x:c r="E245" s="18" t="n">
        <x:v>0.62</x:v>
      </x:c>
      <x:c r="F245" s="18" t="n">
        <x:v>18</x:v>
      </x:c>
      <x:c r="G245" s="18" t="n">
        <x:v>1.1</x:v>
      </x:c>
      <x:c r="H245" s="18" t="n">
        <x:v>2</x:v>
      </x:c>
      <x:c r="I245" s="18"/>
      <x:c r="J245" s="20" t="n">
        <x:v>0.19394871794871793</x:v>
      </x:c>
      <x:c r="K245" s="22" t="n">
        <x:v>12.2</x:v>
      </x:c>
      <x:c r="L245" s="11" t="str">
        <x:v>cspc-v1-core-cash-assetgroups</x:v>
      </x:c>
      <x:c r="M245" s="11" t="str">
        <x:v>2031-10-09</x:v>
      </x:c>
      <x:c r="N245" s="42" t="n">
        <x:v>25</x:v>
      </x:c>
      <x:c r="O245" t="str">
        <x:v>CNY</x:v>
      </x:c>
      <x:c r="V245" t="str">
        <x:v>2031-10-09</x:v>
      </x:c>
      <x:c r="W245" t="str">
        <x:v>待核</x:v>
      </x:c>
      <x:c r="X245" t="str">
        <x:v>周末已解析；节假日需交易所对应年度日历核验，实际交易日待核</x:v>
      </x:c>
    </x:row>
    <x:row r="246" ht="23" customHeight="1">
      <x:c r="A246" s="11" t="str">
        <x:v>01093.HK</x:v>
      </x:c>
      <x:c r="B246" s="11" t="str">
        <x:v>五年</x:v>
      </x:c>
      <x:c r="C246" s="11" t="str">
        <x:v>乐观</x:v>
      </x:c>
      <x:c r="D246" s="11" t="str">
        <x:v>EPS</x:v>
      </x:c>
      <x:c r="E246" s="18" t="n">
        <x:v>0.94</x:v>
      </x:c>
      <x:c r="F246" s="18" t="n">
        <x:v>25</x:v>
      </x:c>
      <x:c r="G246" s="18" t="n">
        <x:v>1.1</x:v>
      </x:c>
      <x:c r="H246" s="18" t="n">
        <x:v>2.8</x:v>
      </x:c>
      <x:c r="I246" s="18"/>
      <x:c r="J246" s="20" t="n">
        <x:v>0.21933333333333332</x:v>
      </x:c>
      <x:c r="K246" s="22" t="n">
        <x:v>11.9</x:v>
      </x:c>
      <x:c r="L246" s="11" t="str">
        <x:v>cspc-v1-core-cash-assetgroups</x:v>
      </x:c>
      <x:c r="M246" s="11" t="str">
        <x:v>2031-10-09</x:v>
      </x:c>
      <x:c r="N246" s="42" t="n">
        <x:v>43</x:v>
      </x:c>
      <x:c r="O246" t="str">
        <x:v>CNY</x:v>
      </x:c>
      <x:c r="V246" t="str">
        <x:v>2031-10-09</x:v>
      </x:c>
      <x:c r="W246" t="str">
        <x:v>待核</x:v>
      </x:c>
      <x:c r="X246" t="str">
        <x:v>周末已解析；节假日需交易所对应年度日历核验，实际交易日待核</x:v>
      </x:c>
    </x:row>
    <x:row r="247" ht="23" customHeight="1">
      <x:c r="A247" s="15" t="str">
        <x:v>688192.SH</x:v>
      </x:c>
      <x:c r="B247" s="15" t="str">
        <x:v>2026年底</x:v>
      </x:c>
      <x:c r="C247" s="15" t="str">
        <x:v>活动输入</x:v>
      </x:c>
      <x:c r="D247" s="15" t="str">
        <x:v>收入利润率</x:v>
      </x:c>
      <x:c r="E247" s="17" t="n">
        <x:f>CHOOSE($B$3,E248,E249,E250)</x:f>
        <x:v>0</x:v>
      </x:c>
      <x:c r="F247" s="17" t="n">
        <x:f>CHOOSE($B$3,F248,F249,F250)</x:f>
        <x:v>0</x:v>
      </x:c>
      <x:c r="G247" s="17" t="n">
        <x:f>CHOOSE($B$3,G248,G249,G250)</x:f>
        <x:v>1</x:v>
      </x:c>
      <x:c r="H247" s="17" t="n">
        <x:f>CHOOSE($B$3,H248,H249,H250)</x:f>
        <x:v>0</x:v>
      </x:c>
      <x:c r="I247" s="17" t="n">
        <x:f>CHOOSE($B$3,I248,I249,I250)</x:f>
        <x:v>0</x:v>
      </x:c>
      <x:c r="J247" s="19" t="n">
        <x:f>CHOOSE($B$3,J248,J249,J250)</x:f>
        <x:v>0</x:v>
      </x:c>
      <x:c r="K247" s="21" t="n">
        <x:f>CHOOSE($B$3,K248,K249,K250)</x:f>
        <x:v>0.48</x:v>
      </x:c>
      <x:c r="L247" s="15" t="str">
        <x:v>dizal-rnpv-v1.0</x:v>
      </x:c>
      <x:c r="M247" s="15" t="str">
        <x:v>2026-12-31</x:v>
      </x:c>
      <x:c r="N247" t="n">
        <x:f>CHOOSE($B$3,N248,N249,N250)</x:f>
        <x:v>4.15</x:v>
      </x:c>
      <x:c r="O247" t="str">
        <x:v>CNY</x:v>
      </x:c>
      <x:c r="Q247" t="n">
        <x:f>CHOOSE($B$3,Q248,Q249,Q250)</x:f>
        <x:v>2.5</x:v>
      </x:c>
      <x:c r="V247" t="str">
        <x:v>2026-12-31</x:v>
      </x:c>
      <x:c r="W247" t="str">
        <x:v>待核</x:v>
      </x:c>
      <x:c r="X247" t="str">
        <x:v>周末已解析；节假日需交易所对应年度日历核验，实际交易日待核</x:v>
      </x:c>
    </x:row>
    <x:row r="248" ht="23" customHeight="1">
      <x:c r="A248" s="11" t="str">
        <x:v>688192.SH</x:v>
      </x:c>
      <x:c r="B248" s="11" t="str">
        <x:v>2026年底</x:v>
      </x:c>
      <x:c r="C248" s="11" t="str">
        <x:v>悲观</x:v>
      </x:c>
      <x:c r="D248" s="11" t="str">
        <x:v>收入利润率</x:v>
      </x:c>
      <x:c r="E248" s="18" t="n">
        <x:v>0</x:v>
      </x:c>
      <x:c r="F248" s="18" t="n">
        <x:v>0</x:v>
      </x:c>
      <x:c r="G248" s="18" t="n">
        <x:v>1</x:v>
      </x:c>
      <x:c r="H248" s="18" t="n">
        <x:v>0</x:v>
      </x:c>
      <x:c r="I248" s="18" t="n">
        <x:v>0</x:v>
      </x:c>
      <x:c r="J248" s="20" t="n">
        <x:v>0</x:v>
      </x:c>
      <x:c r="K248" s="22" t="n">
        <x:v>0.49</x:v>
      </x:c>
      <x:c r="L248" s="11" t="str">
        <x:v>dizal-rnpv-v1.0</x:v>
      </x:c>
      <x:c r="M248" s="11" t="str">
        <x:v>2026-12-31</x:v>
      </x:c>
      <x:c r="N248" s="42" t="n">
        <x:v>3.7</x:v>
      </x:c>
      <x:c r="O248" t="str">
        <x:v>CNY</x:v>
      </x:c>
      <x:c r="Q248" s="42" t="n">
        <x:v>2.7</x:v>
      </x:c>
      <x:c r="V248" t="str">
        <x:v>2026-12-31</x:v>
      </x:c>
      <x:c r="W248" t="str">
        <x:v>待核</x:v>
      </x:c>
      <x:c r="X248" t="str">
        <x:v>周末已解析；节假日需交易所对应年度日历核验，实际交易日待核</x:v>
      </x:c>
    </x:row>
    <x:row r="249" ht="23" customHeight="1">
      <x:c r="A249" s="11" t="str">
        <x:v>688192.SH</x:v>
      </x:c>
      <x:c r="B249" s="11" t="str">
        <x:v>2026年底</x:v>
      </x:c>
      <x:c r="C249" s="11" t="str">
        <x:v>基准</x:v>
      </x:c>
      <x:c r="D249" s="11" t="str">
        <x:v>收入利润率</x:v>
      </x:c>
      <x:c r="E249" s="18" t="n">
        <x:v>0</x:v>
      </x:c>
      <x:c r="F249" s="18" t="n">
        <x:v>0</x:v>
      </x:c>
      <x:c r="G249" s="18" t="n">
        <x:v>1</x:v>
      </x:c>
      <x:c r="H249" s="18" t="n">
        <x:v>0</x:v>
      </x:c>
      <x:c r="I249" s="18" t="n">
        <x:v>0</x:v>
      </x:c>
      <x:c r="J249" s="20" t="n">
        <x:v>0</x:v>
      </x:c>
      <x:c r="K249" s="22" t="n">
        <x:v>0.48</x:v>
      </x:c>
      <x:c r="L249" s="11" t="str">
        <x:v>dizal-rnpv-v1.0</x:v>
      </x:c>
      <x:c r="M249" s="11" t="str">
        <x:v>2026-12-31</x:v>
      </x:c>
      <x:c r="N249" s="42" t="n">
        <x:v>4.15</x:v>
      </x:c>
      <x:c r="O249" t="str">
        <x:v>CNY</x:v>
      </x:c>
      <x:c r="Q249" s="42" t="n">
        <x:v>2.5</x:v>
      </x:c>
      <x:c r="V249" t="str">
        <x:v>2026-12-31</x:v>
      </x:c>
      <x:c r="W249" t="str">
        <x:v>待核</x:v>
      </x:c>
      <x:c r="X249" t="str">
        <x:v>周末已解析；节假日需交易所对应年度日历核验，实际交易日待核</x:v>
      </x:c>
    </x:row>
    <x:row r="250" ht="23" customHeight="1">
      <x:c r="A250" s="11" t="str">
        <x:v>688192.SH</x:v>
      </x:c>
      <x:c r="B250" s="11" t="str">
        <x:v>2026年底</x:v>
      </x:c>
      <x:c r="C250" s="11" t="str">
        <x:v>乐观</x:v>
      </x:c>
      <x:c r="D250" s="11" t="str">
        <x:v>收入利润率</x:v>
      </x:c>
      <x:c r="E250" s="18" t="n">
        <x:v>0</x:v>
      </x:c>
      <x:c r="F250" s="18" t="n">
        <x:v>0</x:v>
      </x:c>
      <x:c r="G250" s="18" t="n">
        <x:v>1</x:v>
      </x:c>
      <x:c r="H250" s="18" t="n">
        <x:v>0</x:v>
      </x:c>
      <x:c r="I250" s="18" t="n">
        <x:v>0</x:v>
      </x:c>
      <x:c r="J250" s="20" t="n">
        <x:v>0</x:v>
      </x:c>
      <x:c r="K250" s="22" t="n">
        <x:v>0.475</x:v>
      </x:c>
      <x:c r="L250" s="11" t="str">
        <x:v>dizal-rnpv-v1.0</x:v>
      </x:c>
      <x:c r="M250" s="11" t="str">
        <x:v>2026-12-31</x:v>
      </x:c>
      <x:c r="N250" s="42" t="n">
        <x:v>4.5</x:v>
      </x:c>
      <x:c r="O250" t="str">
        <x:v>CNY</x:v>
      </x:c>
      <x:c r="Q250" s="42" t="n">
        <x:v>2.7</x:v>
      </x:c>
      <x:c r="V250" t="str">
        <x:v>2026-12-31</x:v>
      </x:c>
      <x:c r="W250" t="str">
        <x:v>待核</x:v>
      </x:c>
      <x:c r="X250" t="str">
        <x:v>周末已解析；节假日需交易所对应年度日历核验，实际交易日待核</x:v>
      </x:c>
    </x:row>
    <x:row r="251" ht="23" customHeight="1">
      <x:c r="A251" s="15" t="str">
        <x:v>688192.SH</x:v>
      </x:c>
      <x:c r="B251" s="15" t="str">
        <x:v>半年</x:v>
      </x:c>
      <x:c r="C251" s="15" t="str">
        <x:v>活动输入</x:v>
      </x:c>
      <x:c r="D251" s="15" t="str">
        <x:v>收入利润率</x:v>
      </x:c>
      <x:c r="E251" s="17" t="n">
        <x:f>CHOOSE($B$3,E252,E253,E254)</x:f>
        <x:v>0</x:v>
      </x:c>
      <x:c r="F251" s="17" t="n">
        <x:f>CHOOSE($B$3,F252,F253,F254)</x:f>
        <x:v>0</x:v>
      </x:c>
      <x:c r="G251" s="17" t="n">
        <x:f>CHOOSE($B$3,G252,G253,G254)</x:f>
        <x:v>1</x:v>
      </x:c>
      <x:c r="H251" s="17" t="n">
        <x:f>CHOOSE($B$3,H252,H253,H254)</x:f>
        <x:v>0</x:v>
      </x:c>
      <x:c r="I251" s="17" t="n">
        <x:f>CHOOSE($B$3,I252,I253,I254)</x:f>
        <x:v>0</x:v>
      </x:c>
      <x:c r="J251" s="19" t="n">
        <x:f>CHOOSE($B$3,J252,J253,J254)</x:f>
        <x:v>0</x:v>
      </x:c>
      <x:c r="K251" s="21" t="n">
        <x:f>CHOOSE($B$3,K252,K253,K254)</x:f>
        <x:v>0.485</x:v>
      </x:c>
      <x:c r="L251" s="15" t="str">
        <x:v>dizal-rnpv-v1.0</x:v>
      </x:c>
      <x:c r="M251" s="15" t="str">
        <x:v>2027-04-09</x:v>
      </x:c>
      <x:c r="N251" t="n">
        <x:f>CHOOSE($B$3,N252,N253,N254)</x:f>
        <x:v>4.05</x:v>
      </x:c>
      <x:c r="O251" t="str">
        <x:v>CNY</x:v>
      </x:c>
      <x:c r="Q251" t="n">
        <x:f>CHOOSE($B$3,Q252,Q253,Q254)</x:f>
        <x:v>2.4</x:v>
      </x:c>
      <x:c r="V251" t="str">
        <x:v>2027-04-09</x:v>
      </x:c>
      <x:c r="W251" t="str">
        <x:v>待核</x:v>
      </x:c>
      <x:c r="X251" t="str">
        <x:v>周末已解析；节假日需交易所对应年度日历核验，实际交易日待核</x:v>
      </x:c>
    </x:row>
    <x:row r="252" ht="23" customHeight="1">
      <x:c r="A252" s="11" t="str">
        <x:v>688192.SH</x:v>
      </x:c>
      <x:c r="B252" s="11" t="str">
        <x:v>半年</x:v>
      </x:c>
      <x:c r="C252" s="11" t="str">
        <x:v>悲观</x:v>
      </x:c>
      <x:c r="D252" s="11" t="str">
        <x:v>收入利润率</x:v>
      </x:c>
      <x:c r="E252" s="18" t="n">
        <x:v>0</x:v>
      </x:c>
      <x:c r="F252" s="18" t="n">
        <x:v>0</x:v>
      </x:c>
      <x:c r="G252" s="18" t="n">
        <x:v>1</x:v>
      </x:c>
      <x:c r="H252" s="18" t="n">
        <x:v>0</x:v>
      </x:c>
      <x:c r="I252" s="18" t="n">
        <x:v>0</x:v>
      </x:c>
      <x:c r="J252" s="20" t="n">
        <x:v>0</x:v>
      </x:c>
      <x:c r="K252" s="22" t="n">
        <x:v>0.5</x:v>
      </x:c>
      <x:c r="L252" s="11" t="str">
        <x:v>dizal-rnpv-v1.0</x:v>
      </x:c>
      <x:c r="M252" s="11" t="str">
        <x:v>2027-04-09</x:v>
      </x:c>
      <x:c r="N252" s="42" t="n">
        <x:v>3.5</x:v>
      </x:c>
      <x:c r="O252" t="str">
        <x:v>CNY</x:v>
      </x:c>
      <x:c r="Q252" s="42" t="n">
        <x:v>2.7</x:v>
      </x:c>
      <x:c r="V252" t="str">
        <x:v>2027-04-09</x:v>
      </x:c>
      <x:c r="W252" t="str">
        <x:v>待核</x:v>
      </x:c>
      <x:c r="X252" t="str">
        <x:v>周末已解析；节假日需交易所对应年度日历核验，实际交易日待核</x:v>
      </x:c>
    </x:row>
    <x:row r="253" ht="23" customHeight="1">
      <x:c r="A253" s="11" t="str">
        <x:v>688192.SH</x:v>
      </x:c>
      <x:c r="B253" s="11" t="str">
        <x:v>半年</x:v>
      </x:c>
      <x:c r="C253" s="11" t="str">
        <x:v>基准</x:v>
      </x:c>
      <x:c r="D253" s="11" t="str">
        <x:v>收入利润率</x:v>
      </x:c>
      <x:c r="E253" s="18" t="n">
        <x:v>0</x:v>
      </x:c>
      <x:c r="F253" s="18" t="n">
        <x:v>0</x:v>
      </x:c>
      <x:c r="G253" s="18" t="n">
        <x:v>1</x:v>
      </x:c>
      <x:c r="H253" s="18" t="n">
        <x:v>0</x:v>
      </x:c>
      <x:c r="I253" s="18" t="n">
        <x:v>0</x:v>
      </x:c>
      <x:c r="J253" s="20" t="n">
        <x:v>0</x:v>
      </x:c>
      <x:c r="K253" s="22" t="n">
        <x:v>0.485</x:v>
      </x:c>
      <x:c r="L253" s="11" t="str">
        <x:v>dizal-rnpv-v1.0</x:v>
      </x:c>
      <x:c r="M253" s="11" t="str">
        <x:v>2027-04-09</x:v>
      </x:c>
      <x:c r="N253" s="42" t="n">
        <x:v>4.05</x:v>
      </x:c>
      <x:c r="O253" t="str">
        <x:v>CNY</x:v>
      </x:c>
      <x:c r="Q253" s="42" t="n">
        <x:v>2.4</x:v>
      </x:c>
      <x:c r="V253" t="str">
        <x:v>2027-04-09</x:v>
      </x:c>
      <x:c r="W253" t="str">
        <x:v>待核</x:v>
      </x:c>
      <x:c r="X253" t="str">
        <x:v>周末已解析；节假日需交易所对应年度日历核验，实际交易日待核</x:v>
      </x:c>
    </x:row>
    <x:row r="254" ht="23" customHeight="1">
      <x:c r="A254" s="11" t="str">
        <x:v>688192.SH</x:v>
      </x:c>
      <x:c r="B254" s="11" t="str">
        <x:v>半年</x:v>
      </x:c>
      <x:c r="C254" s="11" t="str">
        <x:v>乐观</x:v>
      </x:c>
      <x:c r="D254" s="11" t="str">
        <x:v>收入利润率</x:v>
      </x:c>
      <x:c r="E254" s="18" t="n">
        <x:v>0</x:v>
      </x:c>
      <x:c r="F254" s="18" t="n">
        <x:v>0</x:v>
      </x:c>
      <x:c r="G254" s="18" t="n">
        <x:v>1</x:v>
      </x:c>
      <x:c r="H254" s="18" t="n">
        <x:v>0</x:v>
      </x:c>
      <x:c r="I254" s="18" t="n">
        <x:v>0</x:v>
      </x:c>
      <x:c r="J254" s="20" t="n">
        <x:v>0</x:v>
      </x:c>
      <x:c r="K254" s="22" t="n">
        <x:v>0.48</x:v>
      </x:c>
      <x:c r="L254" s="11" t="str">
        <x:v>dizal-rnpv-v1.0</x:v>
      </x:c>
      <x:c r="M254" s="11" t="str">
        <x:v>2027-04-09</x:v>
      </x:c>
      <x:c r="N254" s="42" t="n">
        <x:v>4.5</x:v>
      </x:c>
      <x:c r="O254" t="str">
        <x:v>CNY</x:v>
      </x:c>
      <x:c r="Q254" s="42" t="n">
        <x:v>2.6</x:v>
      </x:c>
      <x:c r="V254" t="str">
        <x:v>2027-04-09</x:v>
      </x:c>
      <x:c r="W254" t="str">
        <x:v>待核</x:v>
      </x:c>
      <x:c r="X254" t="str">
        <x:v>周末已解析；节假日需交易所对应年度日历核验，实际交易日待核</x:v>
      </x:c>
    </x:row>
    <x:row r="255" ht="23" customHeight="1">
      <x:c r="A255" s="15" t="str">
        <x:v>688192.SH</x:v>
      </x:c>
      <x:c r="B255" s="15" t="str">
        <x:v>一年</x:v>
      </x:c>
      <x:c r="C255" s="15" t="str">
        <x:v>活动输入</x:v>
      </x:c>
      <x:c r="D255" s="15" t="str">
        <x:v>收入利润率</x:v>
      </x:c>
      <x:c r="E255" s="17" t="n">
        <x:f>CHOOSE($B$3,E256,E257,E258)</x:f>
        <x:v>0</x:v>
      </x:c>
      <x:c r="F255" s="17" t="n">
        <x:f>CHOOSE($B$3,F256,F257,F258)</x:f>
        <x:v>0</x:v>
      </x:c>
      <x:c r="G255" s="17" t="n">
        <x:f>CHOOSE($B$3,G256,G257,G258)</x:f>
        <x:v>1</x:v>
      </x:c>
      <x:c r="H255" s="17" t="n">
        <x:f>CHOOSE($B$3,H256,H257,H258)</x:f>
        <x:v>0</x:v>
      </x:c>
      <x:c r="I255" s="17" t="n">
        <x:f>CHOOSE($B$3,I256,I257,I258)</x:f>
        <x:v>0</x:v>
      </x:c>
      <x:c r="J255" s="19" t="n">
        <x:f>CHOOSE($B$3,J256,J257,J258)</x:f>
        <x:v>0</x:v>
      </x:c>
      <x:c r="K255" s="21" t="n">
        <x:f>CHOOSE($B$3,K256,K257,K258)</x:f>
        <x:v>0.495</x:v>
      </x:c>
      <x:c r="L255" s="15" t="str">
        <x:v>dizal-rnpv-v1.0</x:v>
      </x:c>
      <x:c r="M255" s="15" t="str">
        <x:v>2027-10-09</x:v>
      </x:c>
      <x:c r="N255" t="n">
        <x:f>CHOOSE($B$3,N256,N257,N258)</x:f>
        <x:v>4</x:v>
      </x:c>
      <x:c r="O255" t="str">
        <x:v>CNY</x:v>
      </x:c>
      <x:c r="Q255" t="n">
        <x:f>CHOOSE($B$3,Q256,Q257,Q258)</x:f>
        <x:v>2.25</x:v>
      </x:c>
      <x:c r="V255" t="str">
        <x:v>2027-10-08</x:v>
      </x:c>
      <x:c r="W255" t="str">
        <x:v>待核</x:v>
      </x:c>
      <x:c r="X255" t="str">
        <x:v>周末已解析；节假日需交易所对应年度日历核验，实际交易日待核</x:v>
      </x:c>
    </x:row>
    <x:row r="256" ht="23" customHeight="1">
      <x:c r="A256" s="11" t="str">
        <x:v>688192.SH</x:v>
      </x:c>
      <x:c r="B256" s="11" t="str">
        <x:v>一年</x:v>
      </x:c>
      <x:c r="C256" s="11" t="str">
        <x:v>悲观</x:v>
      </x:c>
      <x:c r="D256" s="11" t="str">
        <x:v>收入利润率</x:v>
      </x:c>
      <x:c r="E256" s="18" t="n">
        <x:v>0</x:v>
      </x:c>
      <x:c r="F256" s="18" t="n">
        <x:v>0</x:v>
      </x:c>
      <x:c r="G256" s="18" t="n">
        <x:v>1</x:v>
      </x:c>
      <x:c r="H256" s="18" t="n">
        <x:v>0</x:v>
      </x:c>
      <x:c r="I256" s="18" t="n">
        <x:v>0</x:v>
      </x:c>
      <x:c r="J256" s="20" t="n">
        <x:v>0</x:v>
      </x:c>
      <x:c r="K256" s="22" t="n">
        <x:v>0.51</x:v>
      </x:c>
      <x:c r="L256" s="11" t="str">
        <x:v>dizal-rnpv-v1.0</x:v>
      </x:c>
      <x:c r="M256" s="11" t="str">
        <x:v>2027-10-09</x:v>
      </x:c>
      <x:c r="N256" s="42" t="n">
        <x:v>3.1</x:v>
      </x:c>
      <x:c r="O256" t="str">
        <x:v>CNY</x:v>
      </x:c>
      <x:c r="Q256" s="42" t="n">
        <x:v>2.6</x:v>
      </x:c>
      <x:c r="V256" t="str">
        <x:v>2027-10-08</x:v>
      </x:c>
      <x:c r="W256" t="str">
        <x:v>待核</x:v>
      </x:c>
      <x:c r="X256" t="str">
        <x:v>周末已解析；节假日需交易所对应年度日历核验，实际交易日待核</x:v>
      </x:c>
    </x:row>
    <x:row r="257" ht="23" customHeight="1">
      <x:c r="A257" s="11" t="str">
        <x:v>688192.SH</x:v>
      </x:c>
      <x:c r="B257" s="11" t="str">
        <x:v>一年</x:v>
      </x:c>
      <x:c r="C257" s="11" t="str">
        <x:v>基准</x:v>
      </x:c>
      <x:c r="D257" s="11" t="str">
        <x:v>收入利润率</x:v>
      </x:c>
      <x:c r="E257" s="18" t="n">
        <x:v>0</x:v>
      </x:c>
      <x:c r="F257" s="18" t="n">
        <x:v>0</x:v>
      </x:c>
      <x:c r="G257" s="18" t="n">
        <x:v>1</x:v>
      </x:c>
      <x:c r="H257" s="18" t="n">
        <x:v>0</x:v>
      </x:c>
      <x:c r="I257" s="18" t="n">
        <x:v>0</x:v>
      </x:c>
      <x:c r="J257" s="20" t="n">
        <x:v>0</x:v>
      </x:c>
      <x:c r="K257" s="22" t="n">
        <x:v>0.495</x:v>
      </x:c>
      <x:c r="L257" s="11" t="str">
        <x:v>dizal-rnpv-v1.0</x:v>
      </x:c>
      <x:c r="M257" s="11" t="str">
        <x:v>2027-10-09</x:v>
      </x:c>
      <x:c r="N257" s="42" t="n">
        <x:v>4</x:v>
      </x:c>
      <x:c r="O257" t="str">
        <x:v>CNY</x:v>
      </x:c>
      <x:c r="Q257" s="42" t="n">
        <x:v>2.25</x:v>
      </x:c>
      <x:c r="V257" t="str">
        <x:v>2027-10-08</x:v>
      </x:c>
      <x:c r="W257" t="str">
        <x:v>待核</x:v>
      </x:c>
      <x:c r="X257" t="str">
        <x:v>周末已解析；节假日需交易所对应年度日历核验，实际交易日待核</x:v>
      </x:c>
    </x:row>
    <x:row r="258" ht="23" customHeight="1">
      <x:c r="A258" s="11" t="str">
        <x:v>688192.SH</x:v>
      </x:c>
      <x:c r="B258" s="11" t="str">
        <x:v>一年</x:v>
      </x:c>
      <x:c r="C258" s="11" t="str">
        <x:v>乐观</x:v>
      </x:c>
      <x:c r="D258" s="11" t="str">
        <x:v>收入利润率</x:v>
      </x:c>
      <x:c r="E258" s="18" t="n">
        <x:v>0</x:v>
      </x:c>
      <x:c r="F258" s="18" t="n">
        <x:v>0</x:v>
      </x:c>
      <x:c r="G258" s="18" t="n">
        <x:v>1</x:v>
      </x:c>
      <x:c r="H258" s="18" t="n">
        <x:v>0</x:v>
      </x:c>
      <x:c r="I258" s="18" t="n">
        <x:v>0</x:v>
      </x:c>
      <x:c r="J258" s="20" t="n">
        <x:v>0</x:v>
      </x:c>
      <x:c r="K258" s="22" t="n">
        <x:v>0.485</x:v>
      </x:c>
      <x:c r="L258" s="11" t="str">
        <x:v>dizal-rnpv-v1.0</x:v>
      </x:c>
      <x:c r="M258" s="11" t="str">
        <x:v>2027-10-09</x:v>
      </x:c>
      <x:c r="N258" s="42" t="n">
        <x:v>4.6</x:v>
      </x:c>
      <x:c r="O258" t="str">
        <x:v>CNY</x:v>
      </x:c>
      <x:c r="Q258" s="42" t="n">
        <x:v>2.5</x:v>
      </x:c>
      <x:c r="V258" t="str">
        <x:v>2027-10-08</x:v>
      </x:c>
      <x:c r="W258" t="str">
        <x:v>待核</x:v>
      </x:c>
      <x:c r="X258" t="str">
        <x:v>周末已解析；节假日需交易所对应年度日历核验，实际交易日待核</x:v>
      </x:c>
    </x:row>
    <x:row r="259" ht="23" customHeight="1">
      <x:c r="A259" s="15" t="str">
        <x:v>688192.SH</x:v>
      </x:c>
      <x:c r="B259" s="15" t="str">
        <x:v>三年</x:v>
      </x:c>
      <x:c r="C259" s="15" t="str">
        <x:v>活动输入</x:v>
      </x:c>
      <x:c r="D259" s="15" t="str">
        <x:v>收入利润率</x:v>
      </x:c>
      <x:c r="E259" s="17" t="n">
        <x:f>CHOOSE($B$3,E260,E261,E262)</x:f>
        <x:v>0</x:v>
      </x:c>
      <x:c r="F259" s="17" t="n">
        <x:f>CHOOSE($B$3,F260,F261,F262)</x:f>
        <x:v>0</x:v>
      </x:c>
      <x:c r="G259" s="17" t="n">
        <x:f>CHOOSE($B$3,G260,G261,G262)</x:f>
        <x:v>1</x:v>
      </x:c>
      <x:c r="H259" s="17" t="n">
        <x:f>CHOOSE($B$3,H260,H261,H262)</x:f>
        <x:v>0</x:v>
      </x:c>
      <x:c r="I259" s="17" t="n">
        <x:f>CHOOSE($B$3,I260,I261,I262)</x:f>
        <x:v>0</x:v>
      </x:c>
      <x:c r="J259" s="19" t="n">
        <x:f>CHOOSE($B$3,J260,J261,J262)</x:f>
        <x:v>0</x:v>
      </x:c>
      <x:c r="K259" s="21" t="n">
        <x:f>CHOOSE($B$3,K260,K261,K262)</x:f>
        <x:v>0.52</x:v>
      </x:c>
      <x:c r="L259" s="15" t="str">
        <x:v>dizal-rnpv-v1.0</x:v>
      </x:c>
      <x:c r="M259" s="15" t="str">
        <x:v>2029-10-09</x:v>
      </x:c>
      <x:c r="N259" t="n">
        <x:f>CHOOSE($B$3,N260,N261,N262)</x:f>
        <x:v>4.4</x:v>
      </x:c>
      <x:c r="O259" t="str">
        <x:v>CNY</x:v>
      </x:c>
      <x:c r="Q259" t="n">
        <x:f>CHOOSE($B$3,Q260,Q261,Q262)</x:f>
        <x:v>1.7</x:v>
      </x:c>
      <x:c r="V259" t="str">
        <x:v>2029-10-09</x:v>
      </x:c>
      <x:c r="W259" t="str">
        <x:v>待核</x:v>
      </x:c>
      <x:c r="X259" t="str">
        <x:v>周末已解析；节假日需交易所对应年度日历核验，实际交易日待核</x:v>
      </x:c>
    </x:row>
    <x:row r="260" ht="23" customHeight="1">
      <x:c r="A260" s="11" t="str">
        <x:v>688192.SH</x:v>
      </x:c>
      <x:c r="B260" s="11" t="str">
        <x:v>三年</x:v>
      </x:c>
      <x:c r="C260" s="11" t="str">
        <x:v>悲观</x:v>
      </x:c>
      <x:c r="D260" s="11" t="str">
        <x:v>收入利润率</x:v>
      </x:c>
      <x:c r="E260" s="18" t="n">
        <x:v>0</x:v>
      </x:c>
      <x:c r="F260" s="18" t="n">
        <x:v>0</x:v>
      </x:c>
      <x:c r="G260" s="18" t="n">
        <x:v>1</x:v>
      </x:c>
      <x:c r="H260" s="18" t="n">
        <x:v>0</x:v>
      </x:c>
      <x:c r="I260" s="18" t="n">
        <x:v>0</x:v>
      </x:c>
      <x:c r="J260" s="20" t="n">
        <x:v>0</x:v>
      </x:c>
      <x:c r="K260" s="22" t="n">
        <x:v>0.55</x:v>
      </x:c>
      <x:c r="L260" s="11" t="str">
        <x:v>dizal-rnpv-v1.0</x:v>
      </x:c>
      <x:c r="M260" s="11" t="str">
        <x:v>2029-10-09</x:v>
      </x:c>
      <x:c r="N260" s="42" t="n">
        <x:v>1.8</x:v>
      </x:c>
      <x:c r="O260" t="str">
        <x:v>CNY</x:v>
      </x:c>
      <x:c r="Q260" s="42" t="n">
        <x:v>2.3</x:v>
      </x:c>
      <x:c r="V260" t="str">
        <x:v>2029-10-09</x:v>
      </x:c>
      <x:c r="W260" t="str">
        <x:v>待核</x:v>
      </x:c>
      <x:c r="X260" t="str">
        <x:v>周末已解析；节假日需交易所对应年度日历核验，实际交易日待核</x:v>
      </x:c>
    </x:row>
    <x:row r="261" ht="23" customHeight="1">
      <x:c r="A261" s="11" t="str">
        <x:v>688192.SH</x:v>
      </x:c>
      <x:c r="B261" s="11" t="str">
        <x:v>三年</x:v>
      </x:c>
      <x:c r="C261" s="11" t="str">
        <x:v>基准</x:v>
      </x:c>
      <x:c r="D261" s="11" t="str">
        <x:v>收入利润率</x:v>
      </x:c>
      <x:c r="E261" s="18" t="n">
        <x:v>0</x:v>
      </x:c>
      <x:c r="F261" s="18" t="n">
        <x:v>0</x:v>
      </x:c>
      <x:c r="G261" s="18" t="n">
        <x:v>1</x:v>
      </x:c>
      <x:c r="H261" s="18" t="n">
        <x:v>0</x:v>
      </x:c>
      <x:c r="I261" s="18" t="n">
        <x:v>0</x:v>
      </x:c>
      <x:c r="J261" s="20" t="n">
        <x:v>0</x:v>
      </x:c>
      <x:c r="K261" s="22" t="n">
        <x:v>0.52</x:v>
      </x:c>
      <x:c r="L261" s="11" t="str">
        <x:v>dizal-rnpv-v1.0</x:v>
      </x:c>
      <x:c r="M261" s="11" t="str">
        <x:v>2029-10-09</x:v>
      </x:c>
      <x:c r="N261" s="42" t="n">
        <x:v>4.4</x:v>
      </x:c>
      <x:c r="O261" t="str">
        <x:v>CNY</x:v>
      </x:c>
      <x:c r="Q261" s="42" t="n">
        <x:v>1.7</x:v>
      </x:c>
      <x:c r="V261" t="str">
        <x:v>2029-10-09</x:v>
      </x:c>
      <x:c r="W261" t="str">
        <x:v>待核</x:v>
      </x:c>
      <x:c r="X261" t="str">
        <x:v>周末已解析；节假日需交易所对应年度日历核验，实际交易日待核</x:v>
      </x:c>
    </x:row>
    <x:row r="262" ht="23" customHeight="1">
      <x:c r="A262" s="11" t="str">
        <x:v>688192.SH</x:v>
      </x:c>
      <x:c r="B262" s="11" t="str">
        <x:v>三年</x:v>
      </x:c>
      <x:c r="C262" s="11" t="str">
        <x:v>乐观</x:v>
      </x:c>
      <x:c r="D262" s="11" t="str">
        <x:v>收入利润率</x:v>
      </x:c>
      <x:c r="E262" s="18" t="n">
        <x:v>0</x:v>
      </x:c>
      <x:c r="F262" s="18" t="n">
        <x:v>0</x:v>
      </x:c>
      <x:c r="G262" s="18" t="n">
        <x:v>1</x:v>
      </x:c>
      <x:c r="H262" s="18" t="n">
        <x:v>0</x:v>
      </x:c>
      <x:c r="I262" s="18" t="n">
        <x:v>0</x:v>
      </x:c>
      <x:c r="J262" s="20" t="n">
        <x:v>0</x:v>
      </x:c>
      <x:c r="K262" s="22" t="n">
        <x:v>0.505</x:v>
      </x:c>
      <x:c r="L262" s="11" t="str">
        <x:v>dizal-rnpv-v1.0</x:v>
      </x:c>
      <x:c r="M262" s="11" t="str">
        <x:v>2029-10-09</x:v>
      </x:c>
      <x:c r="N262" s="42" t="n">
        <x:v>5.8</x:v>
      </x:c>
      <x:c r="O262" t="str">
        <x:v>CNY</x:v>
      </x:c>
      <x:c r="Q262" s="42" t="n">
        <x:v>2.1</x:v>
      </x:c>
      <x:c r="V262" t="str">
        <x:v>2029-10-09</x:v>
      </x:c>
      <x:c r="W262" t="str">
        <x:v>待核</x:v>
      </x:c>
      <x:c r="X262" t="str">
        <x:v>周末已解析；节假日需交易所对应年度日历核验，实际交易日待核</x:v>
      </x:c>
    </x:row>
    <x:row r="263" ht="23" customHeight="1">
      <x:c r="A263" s="15" t="str">
        <x:v>688192.SH</x:v>
      </x:c>
      <x:c r="B263" s="15" t="str">
        <x:v>五年</x:v>
      </x:c>
      <x:c r="C263" s="15" t="str">
        <x:v>活动输入</x:v>
      </x:c>
      <x:c r="D263" s="15" t="str">
        <x:v>收入利润率</x:v>
      </x:c>
      <x:c r="E263" s="17" t="n">
        <x:f>CHOOSE($B$3,E264,E265,E266)</x:f>
        <x:v>0</x:v>
      </x:c>
      <x:c r="F263" s="17" t="n">
        <x:f>CHOOSE($B$3,F264,F265,F266)</x:f>
        <x:v>0</x:v>
      </x:c>
      <x:c r="G263" s="17" t="n">
        <x:f>CHOOSE($B$3,G264,G265,G266)</x:f>
        <x:v>1</x:v>
      </x:c>
      <x:c r="H263" s="17" t="n">
        <x:f>CHOOSE($B$3,H264,H265,H266)</x:f>
        <x:v>0</x:v>
      </x:c>
      <x:c r="I263" s="17" t="n">
        <x:f>CHOOSE($B$3,I264,I265,I266)</x:f>
        <x:v>0</x:v>
      </x:c>
      <x:c r="J263" s="19" t="n">
        <x:f>CHOOSE($B$3,J264,J265,J266)</x:f>
        <x:v>0</x:v>
      </x:c>
      <x:c r="K263" s="21" t="n">
        <x:f>CHOOSE($B$3,K264,K265,K266)</x:f>
        <x:v>0.55</x:v>
      </x:c>
      <x:c r="L263" s="15" t="str">
        <x:v>dizal-rnpv-v1.0</x:v>
      </x:c>
      <x:c r="M263" s="15" t="str">
        <x:v>2031-10-09</x:v>
      </x:c>
      <x:c r="N263" t="n">
        <x:f>CHOOSE($B$3,N264,N265,N266)</x:f>
        <x:v>5.5</x:v>
      </x:c>
      <x:c r="O263" t="str">
        <x:v>CNY</x:v>
      </x:c>
      <x:c r="Q263" t="n">
        <x:f>CHOOSE($B$3,Q264,Q265,Q266)</x:f>
        <x:v>1.2</x:v>
      </x:c>
      <x:c r="V263" t="str">
        <x:v>2031-10-09</x:v>
      </x:c>
      <x:c r="W263" t="str">
        <x:v>待核</x:v>
      </x:c>
      <x:c r="X263" t="str">
        <x:v>周末已解析；节假日需交易所对应年度日历核验，实际交易日待核</x:v>
      </x:c>
    </x:row>
    <x:row r="264" ht="23" customHeight="1">
      <x:c r="A264" s="11" t="str">
        <x:v>688192.SH</x:v>
      </x:c>
      <x:c r="B264" s="11" t="str">
        <x:v>五年</x:v>
      </x:c>
      <x:c r="C264" s="11" t="str">
        <x:v>悲观</x:v>
      </x:c>
      <x:c r="D264" s="11" t="str">
        <x:v>收入利润率</x:v>
      </x:c>
      <x:c r="E264" s="18" t="n">
        <x:v>0</x:v>
      </x:c>
      <x:c r="F264" s="18" t="n">
        <x:v>0</x:v>
      </x:c>
      <x:c r="G264" s="18" t="n">
        <x:v>1</x:v>
      </x:c>
      <x:c r="H264" s="18" t="n">
        <x:v>0</x:v>
      </x:c>
      <x:c r="I264" s="18" t="n">
        <x:v>0</x:v>
      </x:c>
      <x:c r="J264" s="20" t="n">
        <x:v>0</x:v>
      </x:c>
      <x:c r="K264" s="22" t="n">
        <x:v>0.6</x:v>
      </x:c>
      <x:c r="L264" s="11" t="str">
        <x:v>dizal-rnpv-v1.0</x:v>
      </x:c>
      <x:c r="M264" s="11" t="str">
        <x:v>2031-10-09</x:v>
      </x:c>
      <x:c r="N264" s="42" t="n">
        <x:v>1</x:v>
      </x:c>
      <x:c r="O264" t="str">
        <x:v>CNY</x:v>
      </x:c>
      <x:c r="Q264" s="42" t="n">
        <x:v>2</x:v>
      </x:c>
      <x:c r="V264" t="str">
        <x:v>2031-10-09</x:v>
      </x:c>
      <x:c r="W264" t="str">
        <x:v>待核</x:v>
      </x:c>
      <x:c r="X264" t="str">
        <x:v>周末已解析；节假日需交易所对应年度日历核验，实际交易日待核</x:v>
      </x:c>
    </x:row>
    <x:row r="265" ht="23" customHeight="1">
      <x:c r="A265" s="11" t="str">
        <x:v>688192.SH</x:v>
      </x:c>
      <x:c r="B265" s="11" t="str">
        <x:v>五年</x:v>
      </x:c>
      <x:c r="C265" s="11" t="str">
        <x:v>基准</x:v>
      </x:c>
      <x:c r="D265" s="11" t="str">
        <x:v>收入利润率</x:v>
      </x:c>
      <x:c r="E265" s="18" t="n">
        <x:v>0</x:v>
      </x:c>
      <x:c r="F265" s="18" t="n">
        <x:v>0</x:v>
      </x:c>
      <x:c r="G265" s="18" t="n">
        <x:v>1</x:v>
      </x:c>
      <x:c r="H265" s="18" t="n">
        <x:v>0</x:v>
      </x:c>
      <x:c r="I265" s="18" t="n">
        <x:v>0</x:v>
      </x:c>
      <x:c r="J265" s="20" t="n">
        <x:v>0</x:v>
      </x:c>
      <x:c r="K265" s="22" t="n">
        <x:v>0.55</x:v>
      </x:c>
      <x:c r="L265" s="11" t="str">
        <x:v>dizal-rnpv-v1.0</x:v>
      </x:c>
      <x:c r="M265" s="11" t="str">
        <x:v>2031-10-09</x:v>
      </x:c>
      <x:c r="N265" s="42" t="n">
        <x:v>5.5</x:v>
      </x:c>
      <x:c r="O265" t="str">
        <x:v>CNY</x:v>
      </x:c>
      <x:c r="Q265" s="42" t="n">
        <x:v>1.2</x:v>
      </x:c>
      <x:c r="V265" t="str">
        <x:v>2031-10-09</x:v>
      </x:c>
      <x:c r="W265" t="str">
        <x:v>待核</x:v>
      </x:c>
      <x:c r="X265" t="str">
        <x:v>周末已解析；节假日需交易所对应年度日历核验，实际交易日待核</x:v>
      </x:c>
    </x:row>
    <x:row r="266" ht="23" customHeight="1">
      <x:c r="A266" s="11" t="str">
        <x:v>688192.SH</x:v>
      </x:c>
      <x:c r="B266" s="11" t="str">
        <x:v>五年</x:v>
      </x:c>
      <x:c r="C266" s="11" t="str">
        <x:v>乐观</x:v>
      </x:c>
      <x:c r="D266" s="11" t="str">
        <x:v>收入利润率</x:v>
      </x:c>
      <x:c r="E266" s="18" t="n">
        <x:v>0</x:v>
      </x:c>
      <x:c r="F266" s="18" t="n">
        <x:v>0</x:v>
      </x:c>
      <x:c r="G266" s="18" t="n">
        <x:v>1</x:v>
      </x:c>
      <x:c r="H266" s="18" t="n">
        <x:v>0</x:v>
      </x:c>
      <x:c r="I266" s="18" t="n">
        <x:v>0</x:v>
      </x:c>
      <x:c r="J266" s="20" t="n">
        <x:v>0</x:v>
      </x:c>
      <x:c r="K266" s="22" t="n">
        <x:v>0.53</x:v>
      </x:c>
      <x:c r="L266" s="11" t="str">
        <x:v>dizal-rnpv-v1.0</x:v>
      </x:c>
      <x:c r="M266" s="11" t="str">
        <x:v>2031-10-09</x:v>
      </x:c>
      <x:c r="N266" s="42" t="n">
        <x:v>9</x:v>
      </x:c>
      <x:c r="O266" t="str">
        <x:v>CNY</x:v>
      </x:c>
      <x:c r="Q266" s="42" t="n">
        <x:v>1.6</x:v>
      </x:c>
      <x:c r="V266" t="str">
        <x:v>2031-10-09</x:v>
      </x:c>
      <x:c r="W266" t="str">
        <x:v>待核</x:v>
      </x:c>
      <x:c r="X266" t="str">
        <x:v>周末已解析；节假日需交易所对应年度日历核验，实际交易日待核</x:v>
      </x:c>
    </x:row>
    <x:row r="267" ht="23" customHeight="1">
      <x:c r="A267" s="15" t="str">
        <x:v>02196.HK</x:v>
      </x:c>
      <x:c r="B267" s="15" t="str">
        <x:v>2026年底</x:v>
      </x:c>
      <x:c r="C267" s="15" t="str">
        <x:v>活动输入</x:v>
      </x:c>
      <x:c r="D267" s="15" t="str">
        <x:v>EPS</x:v>
      </x:c>
      <x:c r="E267" s="17" t="n">
        <x:f>CHOOSE($B$3,E268,E269,E270)</x:f>
        <x:v>0.9962817495647458</x:v>
      </x:c>
      <x:c r="F267" s="17" t="n">
        <x:f>CHOOSE($B$3,F268,F269,F270)</x:f>
        <x:v>17</x:v>
      </x:c>
      <x:c r="G267" s="17" t="n">
        <x:f>CHOOSE($B$3,G268,G269,G270)</x:f>
        <x:v>1.1</x:v>
      </x:c>
      <x:c r="H267" s="17" t="n">
        <x:f>CHOOSE($B$3,H268,H269,H270)</x:f>
        <x:v>0</x:v>
      </x:c>
      <x:c r="I267" s="17" t="str">
        <x:f>CHOOSE($B$3,I268,I269,I270)</x:f>
      </x:c>
      <x:c r="J267" s="19" t="str">
        <x:f>CHOOSE($B$3,J268,J269,J270)</x:f>
      </x:c>
      <x:c r="K267" s="21" t="str">
        <x:f>CHOOSE($B$3,K268,K269,K270)</x:f>
      </x:c>
      <x:c r="L267" s="15" t="str">
        <x:v>fosun-H-native-normal-profit-v1.0</x:v>
      </x:c>
      <x:c r="M267" s="15" t="str">
        <x:v>2026-12-31</x:v>
      </x:c>
      <x:c r="O267" t="str">
        <x:v>CNY</x:v>
      </x:c>
      <x:c r="V267" t="str">
        <x:v>2026-12-31</x:v>
      </x:c>
      <x:c r="W267" t="str">
        <x:v>待核</x:v>
      </x:c>
      <x:c r="X267" t="str">
        <x:v>周末已解析；节假日需交易所对应年度日历核验，实际交易日待核</x:v>
      </x:c>
    </x:row>
    <x:row r="268" ht="23" customHeight="1">
      <x:c r="A268" s="11" t="str">
        <x:v>02196.HK</x:v>
      </x:c>
      <x:c r="B268" s="11" t="str">
        <x:v>2026年底</x:v>
      </x:c>
      <x:c r="C268" s="11" t="str">
        <x:v>悲观</x:v>
      </x:c>
      <x:c r="D268" s="11" t="str">
        <x:v>EPS</x:v>
      </x:c>
      <x:c r="E268" s="18" t="n">
        <x:v>0.6691058936749797</x:v>
      </x:c>
      <x:c r="F268" s="18" t="n">
        <x:v>14</x:v>
      </x:c>
      <x:c r="G268" s="18" t="n">
        <x:v>1.1</x:v>
      </x:c>
      <x:c r="H268" s="18" t="n">
        <x:v>0</x:v>
      </x:c>
      <x:c r="I268" s="18"/>
      <x:c r="J268" s="20"/>
      <x:c r="K268" s="22"/>
      <x:c r="L268" s="11" t="str">
        <x:v>fosun-H-native-normal-profit-v1.0</x:v>
      </x:c>
      <x:c r="M268" s="11" t="str">
        <x:v>2026-12-31</x:v>
      </x:c>
      <x:c r="O268" t="str">
        <x:v>CNY</x:v>
      </x:c>
      <x:c r="V268" t="str">
        <x:v>2026-12-31</x:v>
      </x:c>
      <x:c r="W268" t="str">
        <x:v>待核</x:v>
      </x:c>
      <x:c r="X268" t="str">
        <x:v>周末已解析；节假日需交易所对应年度日历核验，实际交易日待核</x:v>
      </x:c>
    </x:row>
    <x:row r="269" ht="23" customHeight="1">
      <x:c r="A269" s="11" t="str">
        <x:v>02196.HK</x:v>
      </x:c>
      <x:c r="B269" s="11" t="str">
        <x:v>2026年底</x:v>
      </x:c>
      <x:c r="C269" s="11" t="str">
        <x:v>基准</x:v>
      </x:c>
      <x:c r="D269" s="11" t="str">
        <x:v>EPS</x:v>
      </x:c>
      <x:c r="E269" s="18" t="n">
        <x:v>0.9962817495647458</x:v>
      </x:c>
      <x:c r="F269" s="18" t="n">
        <x:v>17</x:v>
      </x:c>
      <x:c r="G269" s="18" t="n">
        <x:v>1.1</x:v>
      </x:c>
      <x:c r="H269" s="18" t="n">
        <x:v>0</x:v>
      </x:c>
      <x:c r="I269" s="18"/>
      <x:c r="J269" s="20"/>
      <x:c r="K269" s="22"/>
      <x:c r="L269" s="11" t="str">
        <x:v>fosun-H-native-normal-profit-v1.0</x:v>
      </x:c>
      <x:c r="M269" s="11" t="str">
        <x:v>2026-12-31</x:v>
      </x:c>
      <x:c r="O269" t="str">
        <x:v>CNY</x:v>
      </x:c>
      <x:c r="V269" t="str">
        <x:v>2026-12-31</x:v>
      </x:c>
      <x:c r="W269" t="str">
        <x:v>待核</x:v>
      </x:c>
      <x:c r="X269" t="str">
        <x:v>周末已解析；节假日需交易所对应年度日历核验，实际交易日待核</x:v>
      </x:c>
    </x:row>
    <x:row r="270" ht="23" customHeight="1">
      <x:c r="A270" s="11" t="str">
        <x:v>02196.HK</x:v>
      </x:c>
      <x:c r="B270" s="11" t="str">
        <x:v>2026年底</x:v>
      </x:c>
      <x:c r="C270" s="11" t="str">
        <x:v>乐观</x:v>
      </x:c>
      <x:c r="D270" s="11" t="str">
        <x:v>EPS</x:v>
      </x:c>
      <x:c r="E270" s="18" t="n">
        <x:v>1.2378908398933202</x:v>
      </x:c>
      <x:c r="F270" s="18" t="n">
        <x:v>20</x:v>
      </x:c>
      <x:c r="G270" s="18" t="n">
        <x:v>1.1</x:v>
      </x:c>
      <x:c r="H270" s="18" t="n">
        <x:v>0</x:v>
      </x:c>
      <x:c r="I270" s="18"/>
      <x:c r="J270" s="20"/>
      <x:c r="K270" s="22"/>
      <x:c r="L270" s="11" t="str">
        <x:v>fosun-H-native-normal-profit-v1.0</x:v>
      </x:c>
      <x:c r="M270" s="11" t="str">
        <x:v>2026-12-31</x:v>
      </x:c>
      <x:c r="O270" t="str">
        <x:v>CNY</x:v>
      </x:c>
      <x:c r="V270" t="str">
        <x:v>2026-12-31</x:v>
      </x:c>
      <x:c r="W270" t="str">
        <x:v>待核</x:v>
      </x:c>
      <x:c r="X270" t="str">
        <x:v>周末已解析；节假日需交易所对应年度日历核验，实际交易日待核</x:v>
      </x:c>
    </x:row>
    <x:row r="271" ht="23" customHeight="1">
      <x:c r="A271" s="15" t="str">
        <x:v>02196.HK</x:v>
      </x:c>
      <x:c r="B271" s="15" t="str">
        <x:v>半年</x:v>
      </x:c>
      <x:c r="C271" s="15" t="str">
        <x:v>活动输入</x:v>
      </x:c>
      <x:c r="D271" s="15" t="str">
        <x:v>EPS</x:v>
      </x:c>
      <x:c r="E271" s="17" t="n">
        <x:f>CHOOSE($B$3,E272,E273,E274)</x:f>
        <x:v>1.0768283582089573</x:v>
      </x:c>
      <x:c r="F271" s="17" t="n">
        <x:f>CHOOSE($B$3,F272,F273,F274)</x:f>
        <x:v>17.5</x:v>
      </x:c>
      <x:c r="G271" s="17" t="n">
        <x:f>CHOOSE($B$3,G272,G273,G274)</x:f>
        <x:v>1.1</x:v>
      </x:c>
      <x:c r="H271" s="17" t="n">
        <x:f>CHOOSE($B$3,H272,H273,H274)</x:f>
        <x:v>0</x:v>
      </x:c>
      <x:c r="I271" s="17" t="str">
        <x:f>CHOOSE($B$3,I272,I273,I274)</x:f>
      </x:c>
      <x:c r="J271" s="19" t="str">
        <x:f>CHOOSE($B$3,J272,J273,J274)</x:f>
      </x:c>
      <x:c r="K271" s="21" t="str">
        <x:f>CHOOSE($B$3,K272,K273,K274)</x:f>
      </x:c>
      <x:c r="L271" s="15" t="str">
        <x:v>fosun-H-native-normal-profit-v1.0</x:v>
      </x:c>
      <x:c r="M271" s="15" t="str">
        <x:v>2027-04-09</x:v>
      </x:c>
      <x:c r="O271" t="str">
        <x:v>CNY</x:v>
      </x:c>
      <x:c r="V271" t="str">
        <x:v>2027-04-09</x:v>
      </x:c>
      <x:c r="W271" t="str">
        <x:v>待核</x:v>
      </x:c>
      <x:c r="X271" t="str">
        <x:v>周末已解析；节假日需交易所对应年度日历核验，实际交易日待核</x:v>
      </x:c>
    </x:row>
    <x:row r="272" ht="23" customHeight="1">
      <x:c r="A272" s="11" t="str">
        <x:v>02196.HK</x:v>
      </x:c>
      <x:c r="B272" s="11" t="str">
        <x:v>半年</x:v>
      </x:c>
      <x:c r="C272" s="11" t="str">
        <x:v>悲观</x:v>
      </x:c>
      <x:c r="D272" s="11" t="str">
        <x:v>EPS</x:v>
      </x:c>
      <x:c r="E272" s="18" t="n">
        <x:v>0.605597014925373</x:v>
      </x:c>
      <x:c r="F272" s="18" t="n">
        <x:v>14</x:v>
      </x:c>
      <x:c r="G272" s="18" t="n">
        <x:v>1.1</x:v>
      </x:c>
      <x:c r="H272" s="18" t="n">
        <x:v>0</x:v>
      </x:c>
      <x:c r="I272" s="18"/>
      <x:c r="J272" s="20"/>
      <x:c r="K272" s="22"/>
      <x:c r="L272" s="11" t="str">
        <x:v>fosun-H-native-normal-profit-v1.0</x:v>
      </x:c>
      <x:c r="M272" s="11" t="str">
        <x:v>2027-04-09</x:v>
      </x:c>
      <x:c r="O272" t="str">
        <x:v>CNY</x:v>
      </x:c>
      <x:c r="V272" t="str">
        <x:v>2027-04-09</x:v>
      </x:c>
      <x:c r="W272" t="str">
        <x:v>待核</x:v>
      </x:c>
      <x:c r="X272" t="str">
        <x:v>周末已解析；节假日需交易所对应年度日历核验，实际交易日待核</x:v>
      </x:c>
    </x:row>
    <x:row r="273" ht="23" customHeight="1">
      <x:c r="A273" s="11" t="str">
        <x:v>02196.HK</x:v>
      </x:c>
      <x:c r="B273" s="11" t="str">
        <x:v>半年</x:v>
      </x:c>
      <x:c r="C273" s="11" t="str">
        <x:v>基准</x:v>
      </x:c>
      <x:c r="D273" s="11" t="str">
        <x:v>EPS</x:v>
      </x:c>
      <x:c r="E273" s="18" t="n">
        <x:v>1.0768283582089573</x:v>
      </x:c>
      <x:c r="F273" s="18" t="n">
        <x:v>17.5</x:v>
      </x:c>
      <x:c r="G273" s="18" t="n">
        <x:v>1.1</x:v>
      </x:c>
      <x:c r="H273" s="18" t="n">
        <x:v>0</x:v>
      </x:c>
      <x:c r="I273" s="18"/>
      <x:c r="J273" s="20"/>
      <x:c r="K273" s="22"/>
      <x:c r="L273" s="11" t="str">
        <x:v>fosun-H-native-normal-profit-v1.0</x:v>
      </x:c>
      <x:c r="M273" s="11" t="str">
        <x:v>2027-04-09</x:v>
      </x:c>
      <x:c r="O273" t="str">
        <x:v>CNY</x:v>
      </x:c>
      <x:c r="V273" t="str">
        <x:v>2027-04-09</x:v>
      </x:c>
      <x:c r="W273" t="str">
        <x:v>待核</x:v>
      </x:c>
      <x:c r="X273" t="str">
        <x:v>周末已解析；节假日需交易所对应年度日历核验，实际交易日待核</x:v>
      </x:c>
    </x:row>
    <x:row r="274" ht="23" customHeight="1">
      <x:c r="A274" s="11" t="str">
        <x:v>02196.HK</x:v>
      </x:c>
      <x:c r="B274" s="11" t="str">
        <x:v>半年</x:v>
      </x:c>
      <x:c r="C274" s="11" t="str">
        <x:v>乐观</x:v>
      </x:c>
      <x:c r="D274" s="11" t="str">
        <x:v>EPS</x:v>
      </x:c>
      <x:c r="E274" s="18" t="n">
        <x:v>1.4151865671641792</x:v>
      </x:c>
      <x:c r="F274" s="18" t="n">
        <x:v>21</x:v>
      </x:c>
      <x:c r="G274" s="18" t="n">
        <x:v>1.1</x:v>
      </x:c>
      <x:c r="H274" s="18" t="n">
        <x:v>0</x:v>
      </x:c>
      <x:c r="I274" s="18"/>
      <x:c r="J274" s="20"/>
      <x:c r="K274" s="22"/>
      <x:c r="L274" s="11" t="str">
        <x:v>fosun-H-native-normal-profit-v1.0</x:v>
      </x:c>
      <x:c r="M274" s="11" t="str">
        <x:v>2027-04-09</x:v>
      </x:c>
      <x:c r="O274" t="str">
        <x:v>CNY</x:v>
      </x:c>
      <x:c r="V274" t="str">
        <x:v>2027-04-09</x:v>
      </x:c>
      <x:c r="W274" t="str">
        <x:v>待核</x:v>
      </x:c>
      <x:c r="X274" t="str">
        <x:v>周末已解析；节假日需交易所对应年度日历核验，实际交易日待核</x:v>
      </x:c>
    </x:row>
    <x:row r="275" ht="23" customHeight="1">
      <x:c r="A275" s="15" t="str">
        <x:v>02196.HK</x:v>
      </x:c>
      <x:c r="B275" s="15" t="str">
        <x:v>一年</x:v>
      </x:c>
      <x:c r="C275" s="15" t="str">
        <x:v>活动输入</x:v>
      </x:c>
      <x:c r="D275" s="15" t="str">
        <x:v>EPS</x:v>
      </x:c>
      <x:c r="E275" s="17" t="n">
        <x:f>CHOOSE($B$3,E276,E277,E278)</x:f>
        <x:v>1.3316044776119391</x:v>
      </x:c>
      <x:c r="F275" s="17" t="n">
        <x:f>CHOOSE($B$3,F276,F277,F278)</x:f>
        <x:v>19</x:v>
      </x:c>
      <x:c r="G275" s="17" t="n">
        <x:f>CHOOSE($B$3,G276,G277,G278)</x:f>
        <x:v>1.1</x:v>
      </x:c>
      <x:c r="H275" s="17" t="n">
        <x:f>CHOOSE($B$3,H276,H277,H278)</x:f>
        <x:v>0.4</x:v>
      </x:c>
      <x:c r="I275" s="17" t="str">
        <x:f>CHOOSE($B$3,I276,I277,I278)</x:f>
      </x:c>
      <x:c r="J275" s="19" t="str">
        <x:f>CHOOSE($B$3,J276,J277,J278)</x:f>
      </x:c>
      <x:c r="K275" s="21" t="str">
        <x:f>CHOOSE($B$3,K276,K277,K278)</x:f>
      </x:c>
      <x:c r="L275" s="15" t="str">
        <x:v>fosun-H-native-normal-profit-v1.0</x:v>
      </x:c>
      <x:c r="M275" s="15" t="str">
        <x:v>2027-10-08</x:v>
      </x:c>
      <x:c r="O275" t="str">
        <x:v>CNY</x:v>
      </x:c>
      <x:c r="V275" t="str">
        <x:v>2027-10-08</x:v>
      </x:c>
      <x:c r="W275" t="str">
        <x:v>待核</x:v>
      </x:c>
      <x:c r="X275" t="str">
        <x:v>周末已解析；节假日需交易所对应年度日历核验，实际交易日待核</x:v>
      </x:c>
    </x:row>
    <x:row r="276" ht="23" customHeight="1">
      <x:c r="A276" s="11" t="str">
        <x:v>02196.HK</x:v>
      </x:c>
      <x:c r="B276" s="11" t="str">
        <x:v>一年</x:v>
      </x:c>
      <x:c r="C276" s="11" t="str">
        <x:v>悲观</x:v>
      </x:c>
      <x:c r="D276" s="11" t="str">
        <x:v>EPS</x:v>
      </x:c>
      <x:c r="E276" s="18" t="n">
        <x:v>0.6386666666666688</x:v>
      </x:c>
      <x:c r="F276" s="18" t="n">
        <x:v>14</x:v>
      </x:c>
      <x:c r="G276" s="18" t="n">
        <x:v>1.1</x:v>
      </x:c>
      <x:c r="H276" s="18" t="n">
        <x:v>0.18</x:v>
      </x:c>
      <x:c r="I276" s="18"/>
      <x:c r="J276" s="20"/>
      <x:c r="K276" s="22"/>
      <x:c r="L276" s="11" t="str">
        <x:v>fosun-H-native-normal-profit-v1.0</x:v>
      </x:c>
      <x:c r="M276" s="11" t="str">
        <x:v>2027-10-08</x:v>
      </x:c>
      <x:c r="O276" t="str">
        <x:v>CNY</x:v>
      </x:c>
      <x:c r="V276" t="str">
        <x:v>2027-10-08</x:v>
      </x:c>
      <x:c r="W276" t="str">
        <x:v>待核</x:v>
      </x:c>
      <x:c r="X276" t="str">
        <x:v>周末已解析；节假日需交易所对应年度日历核验，实际交易日待核</x:v>
      </x:c>
    </x:row>
    <x:row r="277" ht="23" customHeight="1">
      <x:c r="A277" s="11" t="str">
        <x:v>02196.HK</x:v>
      </x:c>
      <x:c r="B277" s="11" t="str">
        <x:v>一年</x:v>
      </x:c>
      <x:c r="C277" s="11" t="str">
        <x:v>基准</x:v>
      </x:c>
      <x:c r="D277" s="11" t="str">
        <x:v>EPS</x:v>
      </x:c>
      <x:c r="E277" s="18" t="n">
        <x:v>1.3316044776119391</x:v>
      </x:c>
      <x:c r="F277" s="18" t="n">
        <x:v>19</x:v>
      </x:c>
      <x:c r="G277" s="18" t="n">
        <x:v>1.1</x:v>
      </x:c>
      <x:c r="H277" s="18" t="n">
        <x:v>0.4</x:v>
      </x:c>
      <x:c r="I277" s="18"/>
      <x:c r="J277" s="20"/>
      <x:c r="K277" s="22"/>
      <x:c r="L277" s="11" t="str">
        <x:v>fosun-H-native-normal-profit-v1.0</x:v>
      </x:c>
      <x:c r="M277" s="11" t="str">
        <x:v>2027-10-08</x:v>
      </x:c>
      <x:c r="O277" t="str">
        <x:v>CNY</x:v>
      </x:c>
      <x:c r="V277" t="str">
        <x:v>2027-10-08</x:v>
      </x:c>
      <x:c r="W277" t="str">
        <x:v>待核</x:v>
      </x:c>
      <x:c r="X277" t="str">
        <x:v>周末已解析；节假日需交易所对应年度日历核验，实际交易日待核</x:v>
      </x:c>
    </x:row>
    <x:row r="278" ht="23" customHeight="1">
      <x:c r="A278" s="11" t="str">
        <x:v>02196.HK</x:v>
      </x:c>
      <x:c r="B278" s="11" t="str">
        <x:v>一年</x:v>
      </x:c>
      <x:c r="C278" s="11" t="str">
        <x:v>乐观</x:v>
      </x:c>
      <x:c r="D278" s="11" t="str">
        <x:v>EPS</x:v>
      </x:c>
      <x:c r="E278" s="18" t="n">
        <x:v>1.8639552238805972</x:v>
      </x:c>
      <x:c r="F278" s="18" t="n">
        <x:v>22</x:v>
      </x:c>
      <x:c r="G278" s="18" t="n">
        <x:v>1.1</x:v>
      </x:c>
      <x:c r="H278" s="18" t="n">
        <x:v>0.55</x:v>
      </x:c>
      <x:c r="I278" s="18"/>
      <x:c r="J278" s="20"/>
      <x:c r="K278" s="22"/>
      <x:c r="L278" s="11" t="str">
        <x:v>fosun-H-native-normal-profit-v1.0</x:v>
      </x:c>
      <x:c r="M278" s="11" t="str">
        <x:v>2027-10-08</x:v>
      </x:c>
      <x:c r="O278" t="str">
        <x:v>CNY</x:v>
      </x:c>
      <x:c r="V278" t="str">
        <x:v>2027-10-08</x:v>
      </x:c>
      <x:c r="W278" t="str">
        <x:v>待核</x:v>
      </x:c>
      <x:c r="X278" t="str">
        <x:v>周末已解析；节假日需交易所对应年度日历核验，实际交易日待核</x:v>
      </x:c>
    </x:row>
    <x:row r="279" ht="23" customHeight="1">
      <x:c r="A279" s="15" t="str">
        <x:v>02196.HK</x:v>
      </x:c>
      <x:c r="B279" s="15" t="str">
        <x:v>三年</x:v>
      </x:c>
      <x:c r="C279" s="15" t="str">
        <x:v>活动输入</x:v>
      </x:c>
      <x:c r="D279" s="15" t="str">
        <x:v>EPS</x:v>
      </x:c>
      <x:c r="E279" s="17" t="n">
        <x:f>CHOOSE($B$3,E280,E281,E282)</x:f>
        <x:v>1.8752573529411767</x:v>
      </x:c>
      <x:c r="F279" s="17" t="n">
        <x:f>CHOOSE($B$3,F280,F281,F282)</x:f>
        <x:v>20</x:v>
      </x:c>
      <x:c r="G279" s="17" t="n">
        <x:f>CHOOSE($B$3,G280,G281,G282)</x:f>
        <x:v>1.1</x:v>
      </x:c>
      <x:c r="H279" s="17" t="n">
        <x:f>CHOOSE($B$3,H280,H281,H282)</x:f>
        <x:v>1.55</x:v>
      </x:c>
      <x:c r="I279" s="17" t="str">
        <x:f>CHOOSE($B$3,I280,I281,I282)</x:f>
      </x:c>
      <x:c r="J279" s="19" t="str">
        <x:f>CHOOSE($B$3,J280,J281,J282)</x:f>
      </x:c>
      <x:c r="K279" s="21" t="str">
        <x:f>CHOOSE($B$3,K280,K281,K282)</x:f>
      </x:c>
      <x:c r="L279" s="15" t="str">
        <x:v>fosun-H-native-normal-profit-v1.0</x:v>
      </x:c>
      <x:c r="M279" s="15" t="str">
        <x:v>2029-10-09</x:v>
      </x:c>
      <x:c r="O279" t="str">
        <x:v>CNY</x:v>
      </x:c>
      <x:c r="V279" t="str">
        <x:v>2029-10-09</x:v>
      </x:c>
      <x:c r="W279" t="str">
        <x:v>待核</x:v>
      </x:c>
      <x:c r="X279" t="str">
        <x:v>周末已解析；节假日需交易所对应年度日历核验，实际交易日待核</x:v>
      </x:c>
    </x:row>
    <x:row r="280" ht="23" customHeight="1">
      <x:c r="A280" s="11" t="str">
        <x:v>02196.HK</x:v>
      </x:c>
      <x:c r="B280" s="11" t="str">
        <x:v>三年</x:v>
      </x:c>
      <x:c r="C280" s="11" t="str">
        <x:v>悲观</x:v>
      </x:c>
      <x:c r="D280" s="11" t="str">
        <x:v>EPS</x:v>
      </x:c>
      <x:c r="E280" s="18" t="n">
        <x:v>0.5351578947368412</x:v>
      </x:c>
      <x:c r="F280" s="18" t="n">
        <x:v>12</x:v>
      </x:c>
      <x:c r="G280" s="18" t="n">
        <x:v>1.1</x:v>
      </x:c>
      <x:c r="H280" s="18" t="n">
        <x:v>0.55</x:v>
      </x:c>
      <x:c r="I280" s="18"/>
      <x:c r="J280" s="20"/>
      <x:c r="K280" s="22"/>
      <x:c r="L280" s="11" t="str">
        <x:v>fosun-H-native-normal-profit-v1.0</x:v>
      </x:c>
      <x:c r="M280" s="11" t="str">
        <x:v>2029-10-09</x:v>
      </x:c>
      <x:c r="O280" t="str">
        <x:v>CNY</x:v>
      </x:c>
      <x:c r="V280" t="str">
        <x:v>2029-10-09</x:v>
      </x:c>
      <x:c r="W280" t="str">
        <x:v>待核</x:v>
      </x:c>
      <x:c r="X280" t="str">
        <x:v>周末已解析；节假日需交易所对应年度日历核验，实际交易日待核</x:v>
      </x:c>
    </x:row>
    <x:row r="281" ht="23" customHeight="1">
      <x:c r="A281" s="11" t="str">
        <x:v>02196.HK</x:v>
      </x:c>
      <x:c r="B281" s="11" t="str">
        <x:v>三年</x:v>
      </x:c>
      <x:c r="C281" s="11" t="str">
        <x:v>基准</x:v>
      </x:c>
      <x:c r="D281" s="11" t="str">
        <x:v>EPS</x:v>
      </x:c>
      <x:c r="E281" s="18" t="n">
        <x:v>1.8752573529411767</x:v>
      </x:c>
      <x:c r="F281" s="18" t="n">
        <x:v>20</x:v>
      </x:c>
      <x:c r="G281" s="18" t="n">
        <x:v>1.1</x:v>
      </x:c>
      <x:c r="H281" s="18" t="n">
        <x:v>1.55</x:v>
      </x:c>
      <x:c r="I281" s="18"/>
      <x:c r="J281" s="20"/>
      <x:c r="K281" s="22"/>
      <x:c r="L281" s="11" t="str">
        <x:v>fosun-H-native-normal-profit-v1.0</x:v>
      </x:c>
      <x:c r="M281" s="11" t="str">
        <x:v>2029-10-09</x:v>
      </x:c>
      <x:c r="O281" t="str">
        <x:v>CNY</x:v>
      </x:c>
      <x:c r="V281" t="str">
        <x:v>2029-10-09</x:v>
      </x:c>
      <x:c r="W281" t="str">
        <x:v>待核</x:v>
      </x:c>
      <x:c r="X281" t="str">
        <x:v>周末已解析；节假日需交易所对应年度日历核验，实际交易日待核</x:v>
      </x:c>
    </x:row>
    <x:row r="282" ht="23" customHeight="1">
      <x:c r="A282" s="11" t="str">
        <x:v>02196.HK</x:v>
      </x:c>
      <x:c r="B282" s="11" t="str">
        <x:v>三年</x:v>
      </x:c>
      <x:c r="C282" s="11" t="str">
        <x:v>乐观</x:v>
      </x:c>
      <x:c r="D282" s="11" t="str">
        <x:v>EPS</x:v>
      </x:c>
      <x:c r="E282" s="18" t="n">
        <x:v>3.548529411764706</x:v>
      </x:c>
      <x:c r="F282" s="18" t="n">
        <x:v>24</x:v>
      </x:c>
      <x:c r="G282" s="18" t="n">
        <x:v>1.1</x:v>
      </x:c>
      <x:c r="H282" s="18" t="n">
        <x:v>2.2</x:v>
      </x:c>
      <x:c r="I282" s="18"/>
      <x:c r="J282" s="20"/>
      <x:c r="K282" s="22"/>
      <x:c r="L282" s="11" t="str">
        <x:v>fosun-H-native-normal-profit-v1.0</x:v>
      </x:c>
      <x:c r="M282" s="11" t="str">
        <x:v>2029-10-09</x:v>
      </x:c>
      <x:c r="O282" t="str">
        <x:v>CNY</x:v>
      </x:c>
      <x:c r="V282" t="str">
        <x:v>2029-10-09</x:v>
      </x:c>
      <x:c r="W282" t="str">
        <x:v>待核</x:v>
      </x:c>
      <x:c r="X282" t="str">
        <x:v>周末已解析；节假日需交易所对应年度日历核验，实际交易日待核</x:v>
      </x:c>
    </x:row>
    <x:row r="283" ht="23" customHeight="1">
      <x:c r="A283" s="15" t="str">
        <x:v>02196.HK</x:v>
      </x:c>
      <x:c r="B283" s="15" t="str">
        <x:v>五年</x:v>
      </x:c>
      <x:c r="C283" s="15" t="str">
        <x:v>活动输入</x:v>
      </x:c>
      <x:c r="D283" s="15" t="str">
        <x:v>EPS</x:v>
      </x:c>
      <x:c r="E283" s="17" t="n">
        <x:f>CHOOSE($B$3,E284,E285,E286)</x:f>
        <x:v>2.4411428571428573</x:v>
      </x:c>
      <x:c r="F283" s="17" t="n">
        <x:f>CHOOSE($B$3,F284,F285,F286)</x:f>
        <x:v>19</x:v>
      </x:c>
      <x:c r="G283" s="17" t="n">
        <x:f>CHOOSE($B$3,G284,G285,G286)</x:f>
        <x:v>1.1</x:v>
      </x:c>
      <x:c r="H283" s="17" t="n">
        <x:f>CHOOSE($B$3,H284,H285,H286)</x:f>
        <x:v>3</x:v>
      </x:c>
      <x:c r="I283" s="17" t="str">
        <x:f>CHOOSE($B$3,I284,I285,I286)</x:f>
      </x:c>
      <x:c r="J283" s="19" t="str">
        <x:f>CHOOSE($B$3,J284,J285,J286)</x:f>
      </x:c>
      <x:c r="K283" s="21" t="str">
        <x:f>CHOOSE($B$3,K284,K285,K286)</x:f>
      </x:c>
      <x:c r="L283" s="15" t="str">
        <x:v>fosun-H-native-normal-profit-v1.0</x:v>
      </x:c>
      <x:c r="M283" s="15" t="str">
        <x:v>2031-10-09</x:v>
      </x:c>
      <x:c r="O283" t="str">
        <x:v>CNY</x:v>
      </x:c>
      <x:c r="V283" t="str">
        <x:v>2031-10-09</x:v>
      </x:c>
      <x:c r="W283" t="str">
        <x:v>待核</x:v>
      </x:c>
      <x:c r="X283" t="str">
        <x:v>周末已解析；节假日需交易所对应年度日历核验，实际交易日待核</x:v>
      </x:c>
    </x:row>
    <x:row r="284" ht="23" customHeight="1">
      <x:c r="A284" s="11" t="str">
        <x:v>02196.HK</x:v>
      </x:c>
      <x:c r="B284" s="11" t="str">
        <x:v>五年</x:v>
      </x:c>
      <x:c r="C284" s="11" t="str">
        <x:v>悲观</x:v>
      </x:c>
      <x:c r="D284" s="11" t="str">
        <x:v>EPS</x:v>
      </x:c>
      <x:c r="E284" s="18" t="n">
        <x:v>0.5340666666666665</x:v>
      </x:c>
      <x:c r="F284" s="18" t="n">
        <x:v>11</x:v>
      </x:c>
      <x:c r="G284" s="18" t="n">
        <x:v>1.1</x:v>
      </x:c>
      <x:c r="H284" s="18" t="n">
        <x:v>0.85</x:v>
      </x:c>
      <x:c r="I284" s="18"/>
      <x:c r="J284" s="20"/>
      <x:c r="K284" s="22"/>
      <x:c r="L284" s="11" t="str">
        <x:v>fosun-H-native-normal-profit-v1.0</x:v>
      </x:c>
      <x:c r="M284" s="11" t="str">
        <x:v>2031-10-09</x:v>
      </x:c>
      <x:c r="O284" t="str">
        <x:v>CNY</x:v>
      </x:c>
      <x:c r="V284" t="str">
        <x:v>2031-10-09</x:v>
      </x:c>
      <x:c r="W284" t="str">
        <x:v>待核</x:v>
      </x:c>
      <x:c r="X284" t="str">
        <x:v>周末已解析；节假日需交易所对应年度日历核验，实际交易日待核</x:v>
      </x:c>
    </x:row>
    <x:row r="285" ht="23" customHeight="1">
      <x:c r="A285" s="11" t="str">
        <x:v>02196.HK</x:v>
      </x:c>
      <x:c r="B285" s="11" t="str">
        <x:v>五年</x:v>
      </x:c>
      <x:c r="C285" s="11" t="str">
        <x:v>基准</x:v>
      </x:c>
      <x:c r="D285" s="11" t="str">
        <x:v>EPS</x:v>
      </x:c>
      <x:c r="E285" s="18" t="n">
        <x:v>2.4411428571428573</x:v>
      </x:c>
      <x:c r="F285" s="18" t="n">
        <x:v>19</x:v>
      </x:c>
      <x:c r="G285" s="18" t="n">
        <x:v>1.1</x:v>
      </x:c>
      <x:c r="H285" s="18" t="n">
        <x:v>3</x:v>
      </x:c>
      <x:c r="I285" s="18"/>
      <x:c r="J285" s="20"/>
      <x:c r="K285" s="22"/>
      <x:c r="L285" s="11" t="str">
        <x:v>fosun-H-native-normal-profit-v1.0</x:v>
      </x:c>
      <x:c r="M285" s="11" t="str">
        <x:v>2031-10-09</x:v>
      </x:c>
      <x:c r="O285" t="str">
        <x:v>CNY</x:v>
      </x:c>
      <x:c r="V285" t="str">
        <x:v>2031-10-09</x:v>
      </x:c>
      <x:c r="W285" t="str">
        <x:v>待核</x:v>
      </x:c>
      <x:c r="X285" t="str">
        <x:v>周末已解析；节假日需交易所对应年度日历核验，实际交易日待核</x:v>
      </x:c>
    </x:row>
    <x:row r="286" ht="23" customHeight="1">
      <x:c r="A286" s="11" t="str">
        <x:v>02196.HK</x:v>
      </x:c>
      <x:c r="B286" s="11" t="str">
        <x:v>五年</x:v>
      </x:c>
      <x:c r="C286" s="11" t="str">
        <x:v>乐观</x:v>
      </x:c>
      <x:c r="D286" s="11" t="str">
        <x:v>EPS</x:v>
      </x:c>
      <x:c r="E286" s="18" t="n">
        <x:v>5.356071428571427</x:v>
      </x:c>
      <x:c r="F286" s="18" t="n">
        <x:v>23</x:v>
      </x:c>
      <x:c r="G286" s="18" t="n">
        <x:v>1.1</x:v>
      </x:c>
      <x:c r="H286" s="18" t="n">
        <x:v>4.5</x:v>
      </x:c>
      <x:c r="I286" s="18"/>
      <x:c r="J286" s="20"/>
      <x:c r="K286" s="22"/>
      <x:c r="L286" s="11" t="str">
        <x:v>fosun-H-native-normal-profit-v1.0</x:v>
      </x:c>
      <x:c r="M286" s="11" t="str">
        <x:v>2031-10-09</x:v>
      </x:c>
      <x:c r="O286" t="str">
        <x:v>CNY</x:v>
      </x:c>
      <x:c r="V286" t="str">
        <x:v>2031-10-09</x:v>
      </x:c>
      <x:c r="W286" t="str">
        <x:v>待核</x:v>
      </x:c>
      <x:c r="X286" t="str">
        <x:v>周末已解析；节假日需交易所对应年度日历核验，实际交易日待核</x:v>
      </x:c>
    </x:row>
    <x:row r="287" ht="23" customHeight="1">
      <x:c r="A287" s="15" t="str">
        <x:v>01548.HK</x:v>
      </x:c>
      <x:c r="B287" s="15" t="str">
        <x:v>2026年底</x:v>
      </x:c>
      <x:c r="C287" s="15" t="str">
        <x:v>活动输入</x:v>
      </x:c>
      <x:c r="D287" s="15" t="str">
        <x:v>EPS</x:v>
      </x:c>
      <x:c r="E287" s="17" t="str">
        <x:f>CHOOSE($B$3,E288,E289,E290)</x:f>
      </x:c>
      <x:c r="F287" s="17" t="str">
        <x:f>CHOOSE($B$3,F288,F289,F290)</x:f>
      </x:c>
      <x:c r="G287" s="17" t="n">
        <x:f>CHOOSE($B$3,G288,G289,G290)</x:f>
        <x:v>7.8</x:v>
      </x:c>
      <x:c r="H287" s="17" t="n">
        <x:f>CHOOSE($B$3,H288,H289,H290)</x:f>
        <x:v>0</x:v>
      </x:c>
      <x:c r="I287" s="17" t="str">
        <x:f>CHOOSE($B$3,I288,I289,I290)</x:f>
      </x:c>
      <x:c r="J287" s="19" t="str">
        <x:f>CHOOSE($B$3,J288,J289,J290)</x:f>
      </x:c>
      <x:c r="K287" s="21" t="n">
        <x:f>CHOOSE($B$3,K288,K289,K290)</x:f>
        <x:v>2.31</x:v>
      </x:c>
      <x:c r="L287" s="15" t="str">
        <x:v>genscript-v1-transparent-SOTP-preferred-residual</x:v>
      </x:c>
      <x:c r="M287" s="15" t="str">
        <x:v>2026-12-31</x:v>
      </x:c>
      <x:c r="O287" t="str">
        <x:v>USD</x:v>
      </x:c>
      <x:c r="V287" t="str">
        <x:v>2026-12-31</x:v>
      </x:c>
      <x:c r="W287" t="str">
        <x:v>待核</x:v>
      </x:c>
      <x:c r="X287" t="str">
        <x:v>周末已解析；节假日需交易所对应年度日历核验，实际交易日待核</x:v>
      </x:c>
    </x:row>
    <x:row r="288" ht="23" customHeight="1">
      <x:c r="A288" s="11" t="str">
        <x:v>01548.HK</x:v>
      </x:c>
      <x:c r="B288" s="11" t="str">
        <x:v>2026年底</x:v>
      </x:c>
      <x:c r="C288" s="11" t="str">
        <x:v>悲观</x:v>
      </x:c>
      <x:c r="D288" s="11" t="str">
        <x:v>EPS</x:v>
      </x:c>
      <x:c r="E288" s="18"/>
      <x:c r="F288" s="18"/>
      <x:c r="G288" s="18" t="n">
        <x:v>7.8</x:v>
      </x:c>
      <x:c r="H288" s="18" t="n">
        <x:v>0</x:v>
      </x:c>
      <x:c r="I288" s="18"/>
      <x:c r="J288" s="20"/>
      <x:c r="K288" s="22" t="n">
        <x:v>2.34</x:v>
      </x:c>
      <x:c r="L288" s="11" t="str">
        <x:v>genscript-v1-transparent-SOTP-preferred-residual</x:v>
      </x:c>
      <x:c r="M288" s="11" t="str">
        <x:v>2026-12-31</x:v>
      </x:c>
      <x:c r="O288" t="str">
        <x:v>USD</x:v>
      </x:c>
      <x:c r="V288" t="str">
        <x:v>2026-12-31</x:v>
      </x:c>
      <x:c r="W288" t="str">
        <x:v>待核</x:v>
      </x:c>
      <x:c r="X288" t="str">
        <x:v>周末已解析；节假日需交易所对应年度日历核验，实际交易日待核</x:v>
      </x:c>
    </x:row>
    <x:row r="289" ht="23" customHeight="1">
      <x:c r="A289" s="11" t="str">
        <x:v>01548.HK</x:v>
      </x:c>
      <x:c r="B289" s="11" t="str">
        <x:v>2026年底</x:v>
      </x:c>
      <x:c r="C289" s="11" t="str">
        <x:v>基准</x:v>
      </x:c>
      <x:c r="D289" s="11" t="str">
        <x:v>EPS</x:v>
      </x:c>
      <x:c r="E289" s="18"/>
      <x:c r="F289" s="18"/>
      <x:c r="G289" s="18" t="n">
        <x:v>7.8</x:v>
      </x:c>
      <x:c r="H289" s="18" t="n">
        <x:v>0</x:v>
      </x:c>
      <x:c r="I289" s="18"/>
      <x:c r="J289" s="20"/>
      <x:c r="K289" s="22" t="n">
        <x:v>2.31</x:v>
      </x:c>
      <x:c r="L289" s="11" t="str">
        <x:v>genscript-v1-transparent-SOTP-preferred-residual</x:v>
      </x:c>
      <x:c r="M289" s="11" t="str">
        <x:v>2026-12-31</x:v>
      </x:c>
      <x:c r="O289" t="str">
        <x:v>USD</x:v>
      </x:c>
      <x:c r="V289" t="str">
        <x:v>2026-12-31</x:v>
      </x:c>
      <x:c r="W289" t="str">
        <x:v>待核</x:v>
      </x:c>
      <x:c r="X289" t="str">
        <x:v>周末已解析；节假日需交易所对应年度日历核验，实际交易日待核</x:v>
      </x:c>
    </x:row>
    <x:row r="290" ht="23" customHeight="1">
      <x:c r="A290" s="11" t="str">
        <x:v>01548.HK</x:v>
      </x:c>
      <x:c r="B290" s="11" t="str">
        <x:v>2026年底</x:v>
      </x:c>
      <x:c r="C290" s="11" t="str">
        <x:v>乐观</x:v>
      </x:c>
      <x:c r="D290" s="11" t="str">
        <x:v>EPS</x:v>
      </x:c>
      <x:c r="E290" s="18"/>
      <x:c r="F290" s="18"/>
      <x:c r="G290" s="18" t="n">
        <x:v>7.8</x:v>
      </x:c>
      <x:c r="H290" s="18" t="n">
        <x:v>0</x:v>
      </x:c>
      <x:c r="I290" s="18"/>
      <x:c r="J290" s="20"/>
      <x:c r="K290" s="22" t="n">
        <x:v>2.3</x:v>
      </x:c>
      <x:c r="L290" s="11" t="str">
        <x:v>genscript-v1-transparent-SOTP-preferred-residual</x:v>
      </x:c>
      <x:c r="M290" s="11" t="str">
        <x:v>2026-12-31</x:v>
      </x:c>
      <x:c r="O290" t="str">
        <x:v>USD</x:v>
      </x:c>
      <x:c r="V290" t="str">
        <x:v>2026-12-31</x:v>
      </x:c>
      <x:c r="W290" t="str">
        <x:v>待核</x:v>
      </x:c>
      <x:c r="X290" t="str">
        <x:v>周末已解析；节假日需交易所对应年度日历核验，实际交易日待核</x:v>
      </x:c>
    </x:row>
    <x:row r="291" ht="23" customHeight="1">
      <x:c r="A291" s="15" t="str">
        <x:v>01548.HK</x:v>
      </x:c>
      <x:c r="B291" s="15" t="str">
        <x:v>半年</x:v>
      </x:c>
      <x:c r="C291" s="15" t="str">
        <x:v>活动输入</x:v>
      </x:c>
      <x:c r="D291" s="15" t="str">
        <x:v>EPS</x:v>
      </x:c>
      <x:c r="E291" s="17" t="str">
        <x:f>CHOOSE($B$3,E292,E293,E294)</x:f>
      </x:c>
      <x:c r="F291" s="17" t="str">
        <x:f>CHOOSE($B$3,F292,F293,F294)</x:f>
      </x:c>
      <x:c r="G291" s="17" t="n">
        <x:f>CHOOSE($B$3,G292,G293,G294)</x:f>
        <x:v>7.8</x:v>
      </x:c>
      <x:c r="H291" s="17" t="n">
        <x:f>CHOOSE($B$3,H292,H293,H294)</x:f>
        <x:v>0</x:v>
      </x:c>
      <x:c r="I291" s="17" t="str">
        <x:f>CHOOSE($B$3,I292,I293,I294)</x:f>
      </x:c>
      <x:c r="J291" s="19" t="str">
        <x:f>CHOOSE($B$3,J292,J293,J294)</x:f>
      </x:c>
      <x:c r="K291" s="21" t="n">
        <x:f>CHOOSE($B$3,K292,K293,K294)</x:f>
        <x:v>2.34</x:v>
      </x:c>
      <x:c r="L291" s="15" t="str">
        <x:v>genscript-v1-transparent-SOTP-preferred-residual</x:v>
      </x:c>
      <x:c r="M291" s="15" t="str">
        <x:v>2027-04-09</x:v>
      </x:c>
      <x:c r="O291" t="str">
        <x:v>USD</x:v>
      </x:c>
      <x:c r="V291" t="str">
        <x:v>2027-04-09</x:v>
      </x:c>
      <x:c r="W291" t="str">
        <x:v>待核</x:v>
      </x:c>
      <x:c r="X291" t="str">
        <x:v>周末已解析；节假日需交易所对应年度日历核验，实际交易日待核</x:v>
      </x:c>
    </x:row>
    <x:row r="292" ht="23" customHeight="1">
      <x:c r="A292" s="11" t="str">
        <x:v>01548.HK</x:v>
      </x:c>
      <x:c r="B292" s="11" t="str">
        <x:v>半年</x:v>
      </x:c>
      <x:c r="C292" s="11" t="str">
        <x:v>悲观</x:v>
      </x:c>
      <x:c r="D292" s="11" t="str">
        <x:v>EPS</x:v>
      </x:c>
      <x:c r="E292" s="18"/>
      <x:c r="F292" s="18"/>
      <x:c r="G292" s="18" t="n">
        <x:v>7.8</x:v>
      </x:c>
      <x:c r="H292" s="18" t="n">
        <x:v>0</x:v>
      </x:c>
      <x:c r="I292" s="18"/>
      <x:c r="J292" s="20"/>
      <x:c r="K292" s="22" t="n">
        <x:v>2.38</x:v>
      </x:c>
      <x:c r="L292" s="11" t="str">
        <x:v>genscript-v1-transparent-SOTP-preferred-residual</x:v>
      </x:c>
      <x:c r="M292" s="11" t="str">
        <x:v>2027-04-09</x:v>
      </x:c>
      <x:c r="O292" t="str">
        <x:v>USD</x:v>
      </x:c>
      <x:c r="V292" t="str">
        <x:v>2027-04-09</x:v>
      </x:c>
      <x:c r="W292" t="str">
        <x:v>待核</x:v>
      </x:c>
      <x:c r="X292" t="str">
        <x:v>周末已解析；节假日需交易所对应年度日历核验，实际交易日待核</x:v>
      </x:c>
    </x:row>
    <x:row r="293" ht="23" customHeight="1">
      <x:c r="A293" s="11" t="str">
        <x:v>01548.HK</x:v>
      </x:c>
      <x:c r="B293" s="11" t="str">
        <x:v>半年</x:v>
      </x:c>
      <x:c r="C293" s="11" t="str">
        <x:v>基准</x:v>
      </x:c>
      <x:c r="D293" s="11" t="str">
        <x:v>EPS</x:v>
      </x:c>
      <x:c r="E293" s="18"/>
      <x:c r="F293" s="18"/>
      <x:c r="G293" s="18" t="n">
        <x:v>7.8</x:v>
      </x:c>
      <x:c r="H293" s="18" t="n">
        <x:v>0</x:v>
      </x:c>
      <x:c r="I293" s="18"/>
      <x:c r="J293" s="20"/>
      <x:c r="K293" s="22" t="n">
        <x:v>2.34</x:v>
      </x:c>
      <x:c r="L293" s="11" t="str">
        <x:v>genscript-v1-transparent-SOTP-preferred-residual</x:v>
      </x:c>
      <x:c r="M293" s="11" t="str">
        <x:v>2027-04-09</x:v>
      </x:c>
      <x:c r="O293" t="str">
        <x:v>USD</x:v>
      </x:c>
      <x:c r="V293" t="str">
        <x:v>2027-04-09</x:v>
      </x:c>
      <x:c r="W293" t="str">
        <x:v>待核</x:v>
      </x:c>
      <x:c r="X293" t="str">
        <x:v>周末已解析；节假日需交易所对应年度日历核验，实际交易日待核</x:v>
      </x:c>
    </x:row>
    <x:row r="294" ht="23" customHeight="1">
      <x:c r="A294" s="11" t="str">
        <x:v>01548.HK</x:v>
      </x:c>
      <x:c r="B294" s="11" t="str">
        <x:v>半年</x:v>
      </x:c>
      <x:c r="C294" s="11" t="str">
        <x:v>乐观</x:v>
      </x:c>
      <x:c r="D294" s="11" t="str">
        <x:v>EPS</x:v>
      </x:c>
      <x:c r="E294" s="18"/>
      <x:c r="F294" s="18"/>
      <x:c r="G294" s="18" t="n">
        <x:v>7.8</x:v>
      </x:c>
      <x:c r="H294" s="18" t="n">
        <x:v>0</x:v>
      </x:c>
      <x:c r="I294" s="18"/>
      <x:c r="J294" s="20"/>
      <x:c r="K294" s="22" t="n">
        <x:v>2.31</x:v>
      </x:c>
      <x:c r="L294" s="11" t="str">
        <x:v>genscript-v1-transparent-SOTP-preferred-residual</x:v>
      </x:c>
      <x:c r="M294" s="11" t="str">
        <x:v>2027-04-09</x:v>
      </x:c>
      <x:c r="O294" t="str">
        <x:v>USD</x:v>
      </x:c>
      <x:c r="V294" t="str">
        <x:v>2027-04-09</x:v>
      </x:c>
      <x:c r="W294" t="str">
        <x:v>待核</x:v>
      </x:c>
      <x:c r="X294" t="str">
        <x:v>周末已解析；节假日需交易所对应年度日历核验，实际交易日待核</x:v>
      </x:c>
    </x:row>
    <x:row r="295" ht="23" customHeight="1">
      <x:c r="A295" s="15" t="str">
        <x:v>01548.HK</x:v>
      </x:c>
      <x:c r="B295" s="15" t="str">
        <x:v>一年</x:v>
      </x:c>
      <x:c r="C295" s="15" t="str">
        <x:v>活动输入</x:v>
      </x:c>
      <x:c r="D295" s="15" t="str">
        <x:v>EPS</x:v>
      </x:c>
      <x:c r="E295" s="17" t="str">
        <x:f>CHOOSE($B$3,E296,E297,E298)</x:f>
      </x:c>
      <x:c r="F295" s="17" t="str">
        <x:f>CHOOSE($B$3,F296,F297,F298)</x:f>
      </x:c>
      <x:c r="G295" s="17" t="n">
        <x:f>CHOOSE($B$3,G296,G297,G298)</x:f>
        <x:v>7.8</x:v>
      </x:c>
      <x:c r="H295" s="17" t="n">
        <x:f>CHOOSE($B$3,H296,H297,H298)</x:f>
        <x:v>0</x:v>
      </x:c>
      <x:c r="I295" s="17" t="str">
        <x:f>CHOOSE($B$3,I296,I297,I298)</x:f>
      </x:c>
      <x:c r="J295" s="19" t="str">
        <x:f>CHOOSE($B$3,J296,J297,J298)</x:f>
      </x:c>
      <x:c r="K295" s="21" t="n">
        <x:f>CHOOSE($B$3,K296,K297,K298)</x:f>
        <x:v>2.4</x:v>
      </x:c>
      <x:c r="L295" s="15" t="str">
        <x:v>genscript-v1-transparent-SOTP-preferred-residual</x:v>
      </x:c>
      <x:c r="M295" s="15" t="str">
        <x:v>2027-10-09</x:v>
      </x:c>
      <x:c r="O295" t="str">
        <x:v>USD</x:v>
      </x:c>
      <x:c r="V295" t="str">
        <x:v>2027-10-08</x:v>
      </x:c>
      <x:c r="W295" t="str">
        <x:v>待核</x:v>
      </x:c>
      <x:c r="X295" t="str">
        <x:v>周末已解析；节假日需交易所对应年度日历核验，实际交易日待核</x:v>
      </x:c>
    </x:row>
    <x:row r="296" ht="23" customHeight="1">
      <x:c r="A296" s="11" t="str">
        <x:v>01548.HK</x:v>
      </x:c>
      <x:c r="B296" s="11" t="str">
        <x:v>一年</x:v>
      </x:c>
      <x:c r="C296" s="11" t="str">
        <x:v>悲观</x:v>
      </x:c>
      <x:c r="D296" s="11" t="str">
        <x:v>EPS</x:v>
      </x:c>
      <x:c r="E296" s="18"/>
      <x:c r="F296" s="18"/>
      <x:c r="G296" s="18" t="n">
        <x:v>7.8</x:v>
      </x:c>
      <x:c r="H296" s="18" t="n">
        <x:v>0</x:v>
      </x:c>
      <x:c r="I296" s="18"/>
      <x:c r="J296" s="20"/>
      <x:c r="K296" s="22" t="n">
        <x:v>2.46</x:v>
      </x:c>
      <x:c r="L296" s="11" t="str">
        <x:v>genscript-v1-transparent-SOTP-preferred-residual</x:v>
      </x:c>
      <x:c r="M296" s="11" t="str">
        <x:v>2027-10-09</x:v>
      </x:c>
      <x:c r="O296" t="str">
        <x:v>USD</x:v>
      </x:c>
      <x:c r="V296" t="str">
        <x:v>2027-10-08</x:v>
      </x:c>
      <x:c r="W296" t="str">
        <x:v>待核</x:v>
      </x:c>
      <x:c r="X296" t="str">
        <x:v>周末已解析；节假日需交易所对应年度日历核验，实际交易日待核</x:v>
      </x:c>
    </x:row>
    <x:row r="297" ht="23" customHeight="1">
      <x:c r="A297" s="11" t="str">
        <x:v>01548.HK</x:v>
      </x:c>
      <x:c r="B297" s="11" t="str">
        <x:v>一年</x:v>
      </x:c>
      <x:c r="C297" s="11" t="str">
        <x:v>基准</x:v>
      </x:c>
      <x:c r="D297" s="11" t="str">
        <x:v>EPS</x:v>
      </x:c>
      <x:c r="E297" s="18"/>
      <x:c r="F297" s="18"/>
      <x:c r="G297" s="18" t="n">
        <x:v>7.8</x:v>
      </x:c>
      <x:c r="H297" s="18" t="n">
        <x:v>0</x:v>
      </x:c>
      <x:c r="I297" s="18"/>
      <x:c r="J297" s="20"/>
      <x:c r="K297" s="22" t="n">
        <x:v>2.4</x:v>
      </x:c>
      <x:c r="L297" s="11" t="str">
        <x:v>genscript-v1-transparent-SOTP-preferred-residual</x:v>
      </x:c>
      <x:c r="M297" s="11" t="str">
        <x:v>2027-10-09</x:v>
      </x:c>
      <x:c r="O297" t="str">
        <x:v>USD</x:v>
      </x:c>
      <x:c r="V297" t="str">
        <x:v>2027-10-08</x:v>
      </x:c>
      <x:c r="W297" t="str">
        <x:v>待核</x:v>
      </x:c>
      <x:c r="X297" t="str">
        <x:v>周末已解析；节假日需交易所对应年度日历核验，实际交易日待核</x:v>
      </x:c>
    </x:row>
    <x:row r="298" ht="23" customHeight="1">
      <x:c r="A298" s="11" t="str">
        <x:v>01548.HK</x:v>
      </x:c>
      <x:c r="B298" s="11" t="str">
        <x:v>一年</x:v>
      </x:c>
      <x:c r="C298" s="11" t="str">
        <x:v>乐观</x:v>
      </x:c>
      <x:c r="D298" s="11" t="str">
        <x:v>EPS</x:v>
      </x:c>
      <x:c r="E298" s="18"/>
      <x:c r="F298" s="18"/>
      <x:c r="G298" s="18" t="n">
        <x:v>7.8</x:v>
      </x:c>
      <x:c r="H298" s="18" t="n">
        <x:v>0</x:v>
      </x:c>
      <x:c r="I298" s="18"/>
      <x:c r="J298" s="20"/>
      <x:c r="K298" s="22" t="n">
        <x:v>2.34</x:v>
      </x:c>
      <x:c r="L298" s="11" t="str">
        <x:v>genscript-v1-transparent-SOTP-preferred-residual</x:v>
      </x:c>
      <x:c r="M298" s="11" t="str">
        <x:v>2027-10-09</x:v>
      </x:c>
      <x:c r="O298" t="str">
        <x:v>USD</x:v>
      </x:c>
      <x:c r="V298" t="str">
        <x:v>2027-10-08</x:v>
      </x:c>
      <x:c r="W298" t="str">
        <x:v>待核</x:v>
      </x:c>
      <x:c r="X298" t="str">
        <x:v>周末已解析；节假日需交易所对应年度日历核验，实际交易日待核</x:v>
      </x:c>
    </x:row>
    <x:row r="299" ht="23" customHeight="1">
      <x:c r="A299" s="15" t="str">
        <x:v>01548.HK</x:v>
      </x:c>
      <x:c r="B299" s="15" t="str">
        <x:v>三年</x:v>
      </x:c>
      <x:c r="C299" s="15" t="str">
        <x:v>活动输入</x:v>
      </x:c>
      <x:c r="D299" s="15" t="str">
        <x:v>EPS</x:v>
      </x:c>
      <x:c r="E299" s="17" t="str">
        <x:f>CHOOSE($B$3,E300,E301,E302)</x:f>
      </x:c>
      <x:c r="F299" s="17" t="str">
        <x:f>CHOOSE($B$3,F300,F301,F302)</x:f>
      </x:c>
      <x:c r="G299" s="17" t="n">
        <x:f>CHOOSE($B$3,G300,G301,G302)</x:f>
        <x:v>7.8</x:v>
      </x:c>
      <x:c r="H299" s="17" t="n">
        <x:f>CHOOSE($B$3,H300,H301,H302)</x:f>
        <x:v>0</x:v>
      </x:c>
      <x:c r="I299" s="17" t="str">
        <x:f>CHOOSE($B$3,I300,I301,I302)</x:f>
      </x:c>
      <x:c r="J299" s="19" t="str">
        <x:f>CHOOSE($B$3,J300,J301,J302)</x:f>
      </x:c>
      <x:c r="K299" s="21" t="n">
        <x:f>CHOOSE($B$3,K300,K301,K302)</x:f>
        <x:v>2.52</x:v>
      </x:c>
      <x:c r="L299" s="15" t="str">
        <x:v>genscript-v1-transparent-SOTP-preferred-residual</x:v>
      </x:c>
      <x:c r="M299" s="15" t="str">
        <x:v>2029-10-09</x:v>
      </x:c>
      <x:c r="O299" t="str">
        <x:v>USD</x:v>
      </x:c>
      <x:c r="V299" t="str">
        <x:v>2029-10-09</x:v>
      </x:c>
      <x:c r="W299" t="str">
        <x:v>待核</x:v>
      </x:c>
      <x:c r="X299" t="str">
        <x:v>周末已解析；节假日需交易所对应年度日历核验，实际交易日待核</x:v>
      </x:c>
    </x:row>
    <x:row r="300" ht="23" customHeight="1">
      <x:c r="A300" s="11" t="str">
        <x:v>01548.HK</x:v>
      </x:c>
      <x:c r="B300" s="11" t="str">
        <x:v>三年</x:v>
      </x:c>
      <x:c r="C300" s="11" t="str">
        <x:v>悲观</x:v>
      </x:c>
      <x:c r="D300" s="11" t="str">
        <x:v>EPS</x:v>
      </x:c>
      <x:c r="E300" s="18"/>
      <x:c r="F300" s="18"/>
      <x:c r="G300" s="18" t="n">
        <x:v>7.8</x:v>
      </x:c>
      <x:c r="H300" s="18" t="n">
        <x:v>0</x:v>
      </x:c>
      <x:c r="I300" s="18"/>
      <x:c r="J300" s="20"/>
      <x:c r="K300" s="22" t="n">
        <x:v>2.68</x:v>
      </x:c>
      <x:c r="L300" s="11" t="str">
        <x:v>genscript-v1-transparent-SOTP-preferred-residual</x:v>
      </x:c>
      <x:c r="M300" s="11" t="str">
        <x:v>2029-10-09</x:v>
      </x:c>
      <x:c r="O300" t="str">
        <x:v>USD</x:v>
      </x:c>
      <x:c r="V300" t="str">
        <x:v>2029-10-09</x:v>
      </x:c>
      <x:c r="W300" t="str">
        <x:v>待核</x:v>
      </x:c>
      <x:c r="X300" t="str">
        <x:v>周末已解析；节假日需交易所对应年度日历核验，实际交易日待核</x:v>
      </x:c>
    </x:row>
    <x:row r="301" ht="23" customHeight="1">
      <x:c r="A301" s="11" t="str">
        <x:v>01548.HK</x:v>
      </x:c>
      <x:c r="B301" s="11" t="str">
        <x:v>三年</x:v>
      </x:c>
      <x:c r="C301" s="11" t="str">
        <x:v>基准</x:v>
      </x:c>
      <x:c r="D301" s="11" t="str">
        <x:v>EPS</x:v>
      </x:c>
      <x:c r="E301" s="18"/>
      <x:c r="F301" s="18"/>
      <x:c r="G301" s="18" t="n">
        <x:v>7.8</x:v>
      </x:c>
      <x:c r="H301" s="18" t="n">
        <x:v>0</x:v>
      </x:c>
      <x:c r="I301" s="18"/>
      <x:c r="J301" s="20"/>
      <x:c r="K301" s="22" t="n">
        <x:v>2.52</x:v>
      </x:c>
      <x:c r="L301" s="11" t="str">
        <x:v>genscript-v1-transparent-SOTP-preferred-residual</x:v>
      </x:c>
      <x:c r="M301" s="11" t="str">
        <x:v>2029-10-09</x:v>
      </x:c>
      <x:c r="O301" t="str">
        <x:v>USD</x:v>
      </x:c>
      <x:c r="V301" t="str">
        <x:v>2029-10-09</x:v>
      </x:c>
      <x:c r="W301" t="str">
        <x:v>待核</x:v>
      </x:c>
      <x:c r="X301" t="str">
        <x:v>周末已解析；节假日需交易所对应年度日历核验，实际交易日待核</x:v>
      </x:c>
    </x:row>
    <x:row r="302" ht="23" customHeight="1">
      <x:c r="A302" s="11" t="str">
        <x:v>01548.HK</x:v>
      </x:c>
      <x:c r="B302" s="11" t="str">
        <x:v>三年</x:v>
      </x:c>
      <x:c r="C302" s="11" t="str">
        <x:v>乐观</x:v>
      </x:c>
      <x:c r="D302" s="11" t="str">
        <x:v>EPS</x:v>
      </x:c>
      <x:c r="E302" s="18"/>
      <x:c r="F302" s="18"/>
      <x:c r="G302" s="18" t="n">
        <x:v>7.8</x:v>
      </x:c>
      <x:c r="H302" s="18" t="n">
        <x:v>0</x:v>
      </x:c>
      <x:c r="I302" s="18"/>
      <x:c r="J302" s="20"/>
      <x:c r="K302" s="22" t="n">
        <x:v>2.44</x:v>
      </x:c>
      <x:c r="L302" s="11" t="str">
        <x:v>genscript-v1-transparent-SOTP-preferred-residual</x:v>
      </x:c>
      <x:c r="M302" s="11" t="str">
        <x:v>2029-10-09</x:v>
      </x:c>
      <x:c r="O302" t="str">
        <x:v>USD</x:v>
      </x:c>
      <x:c r="V302" t="str">
        <x:v>2029-10-09</x:v>
      </x:c>
      <x:c r="W302" t="str">
        <x:v>待核</x:v>
      </x:c>
      <x:c r="X302" t="str">
        <x:v>周末已解析；节假日需交易所对应年度日历核验，实际交易日待核</x:v>
      </x:c>
    </x:row>
    <x:row r="303" ht="23" customHeight="1">
      <x:c r="A303" s="15" t="str">
        <x:v>01548.HK</x:v>
      </x:c>
      <x:c r="B303" s="15" t="str">
        <x:v>五年</x:v>
      </x:c>
      <x:c r="C303" s="15" t="str">
        <x:v>活动输入</x:v>
      </x:c>
      <x:c r="D303" s="15" t="str">
        <x:v>EPS</x:v>
      </x:c>
      <x:c r="E303" s="17" t="str">
        <x:f>CHOOSE($B$3,E304,E305,E306)</x:f>
      </x:c>
      <x:c r="F303" s="17" t="str">
        <x:f>CHOOSE($B$3,F304,F305,F306)</x:f>
      </x:c>
      <x:c r="G303" s="17" t="n">
        <x:f>CHOOSE($B$3,G304,G305,G306)</x:f>
        <x:v>7.8</x:v>
      </x:c>
      <x:c r="H303" s="17" t="n">
        <x:f>CHOOSE($B$3,H304,H305,H306)</x:f>
        <x:v>0</x:v>
      </x:c>
      <x:c r="I303" s="17" t="str">
        <x:f>CHOOSE($B$3,I304,I305,I306)</x:f>
      </x:c>
      <x:c r="J303" s="19" t="str">
        <x:f>CHOOSE($B$3,J304,J305,J306)</x:f>
      </x:c>
      <x:c r="K303" s="21" t="n">
        <x:f>CHOOSE($B$3,K304,K305,K306)</x:f>
        <x:v>2.65</x:v>
      </x:c>
      <x:c r="L303" s="15" t="str">
        <x:v>genscript-v1-transparent-SOTP-preferred-residual</x:v>
      </x:c>
      <x:c r="M303" s="15" t="str">
        <x:v>2031-10-09</x:v>
      </x:c>
      <x:c r="O303" t="str">
        <x:v>USD</x:v>
      </x:c>
      <x:c r="V303" t="str">
        <x:v>2031-10-09</x:v>
      </x:c>
      <x:c r="W303" t="str">
        <x:v>待核</x:v>
      </x:c>
      <x:c r="X303" t="str">
        <x:v>周末已解析；节假日需交易所对应年度日历核验，实际交易日待核</x:v>
      </x:c>
    </x:row>
    <x:row r="304" ht="23" customHeight="1">
      <x:c r="A304" s="11" t="str">
        <x:v>01548.HK</x:v>
      </x:c>
      <x:c r="B304" s="11" t="str">
        <x:v>五年</x:v>
      </x:c>
      <x:c r="C304" s="11" t="str">
        <x:v>悲观</x:v>
      </x:c>
      <x:c r="D304" s="11" t="str">
        <x:v>EPS</x:v>
      </x:c>
      <x:c r="E304" s="18"/>
      <x:c r="F304" s="18"/>
      <x:c r="G304" s="18" t="n">
        <x:v>7.8</x:v>
      </x:c>
      <x:c r="H304" s="18" t="n">
        <x:v>0</x:v>
      </x:c>
      <x:c r="I304" s="18"/>
      <x:c r="J304" s="20"/>
      <x:c r="K304" s="22" t="n">
        <x:v>2.94</x:v>
      </x:c>
      <x:c r="L304" s="11" t="str">
        <x:v>genscript-v1-transparent-SOTP-preferred-residual</x:v>
      </x:c>
      <x:c r="M304" s="11" t="str">
        <x:v>2031-10-09</x:v>
      </x:c>
      <x:c r="O304" t="str">
        <x:v>USD</x:v>
      </x:c>
      <x:c r="V304" t="str">
        <x:v>2031-10-09</x:v>
      </x:c>
      <x:c r="W304" t="str">
        <x:v>待核</x:v>
      </x:c>
      <x:c r="X304" t="str">
        <x:v>周末已解析；节假日需交易所对应年度日历核验，实际交易日待核</x:v>
      </x:c>
    </x:row>
    <x:row r="305" ht="23" customHeight="1">
      <x:c r="A305" s="11" t="str">
        <x:v>01548.HK</x:v>
      </x:c>
      <x:c r="B305" s="11" t="str">
        <x:v>五年</x:v>
      </x:c>
      <x:c r="C305" s="11" t="str">
        <x:v>基准</x:v>
      </x:c>
      <x:c r="D305" s="11" t="str">
        <x:v>EPS</x:v>
      </x:c>
      <x:c r="E305" s="18"/>
      <x:c r="F305" s="18"/>
      <x:c r="G305" s="18" t="n">
        <x:v>7.8</x:v>
      </x:c>
      <x:c r="H305" s="18" t="n">
        <x:v>0</x:v>
      </x:c>
      <x:c r="I305" s="18"/>
      <x:c r="J305" s="20"/>
      <x:c r="K305" s="22" t="n">
        <x:v>2.65</x:v>
      </x:c>
      <x:c r="L305" s="11" t="str">
        <x:v>genscript-v1-transparent-SOTP-preferred-residual</x:v>
      </x:c>
      <x:c r="M305" s="11" t="str">
        <x:v>2031-10-09</x:v>
      </x:c>
      <x:c r="O305" t="str">
        <x:v>USD</x:v>
      </x:c>
      <x:c r="V305" t="str">
        <x:v>2031-10-09</x:v>
      </x:c>
      <x:c r="W305" t="str">
        <x:v>待核</x:v>
      </x:c>
      <x:c r="X305" t="str">
        <x:v>周末已解析；节假日需交易所对应年度日历核验，实际交易日待核</x:v>
      </x:c>
    </x:row>
    <x:row r="306" ht="23" customHeight="1">
      <x:c r="A306" s="11" t="str">
        <x:v>01548.HK</x:v>
      </x:c>
      <x:c r="B306" s="11" t="str">
        <x:v>五年</x:v>
      </x:c>
      <x:c r="C306" s="11" t="str">
        <x:v>乐观</x:v>
      </x:c>
      <x:c r="D306" s="11" t="str">
        <x:v>EPS</x:v>
      </x:c>
      <x:c r="E306" s="18"/>
      <x:c r="F306" s="18"/>
      <x:c r="G306" s="18" t="n">
        <x:v>7.8</x:v>
      </x:c>
      <x:c r="H306" s="18" t="n">
        <x:v>0</x:v>
      </x:c>
      <x:c r="I306" s="18"/>
      <x:c r="J306" s="20"/>
      <x:c r="K306" s="22" t="n">
        <x:v>2.55</x:v>
      </x:c>
      <x:c r="L306" s="11" t="str">
        <x:v>genscript-v1-transparent-SOTP-preferred-residual</x:v>
      </x:c>
      <x:c r="M306" s="11" t="str">
        <x:v>2031-10-09</x:v>
      </x:c>
      <x:c r="O306" t="str">
        <x:v>USD</x:v>
      </x:c>
      <x:c r="V306" t="str">
        <x:v>2031-10-09</x:v>
      </x:c>
      <x:c r="W306" t="str">
        <x:v>待核</x:v>
      </x:c>
      <x:c r="X306" t="str">
        <x:v>周末已解析；节假日需交易所对应年度日历核验，实际交易日待核</x:v>
      </x:c>
    </x:row>
    <x:row r="307" ht="23" customHeight="1">
      <x:c r="A307" s="15" t="str">
        <x:v>688139.SH</x:v>
      </x:c>
      <x:c r="B307" s="15" t="str">
        <x:v>2026年底</x:v>
      </x:c>
      <x:c r="C307" s="15" t="str">
        <x:v>活动输入</x:v>
      </x:c>
      <x:c r="D307" s="15" t="str">
        <x:v>EPS</x:v>
      </x:c>
      <x:c r="E307" s="17" t="n">
        <x:f>CHOOSE($B$3,E308,E309,E310)</x:f>
        <x:v>0.98</x:v>
      </x:c>
      <x:c r="F307" s="17" t="n">
        <x:f>CHOOSE($B$3,F308,F309,F310)</x:f>
        <x:v>36</x:v>
      </x:c>
      <x:c r="G307" s="17" t="n">
        <x:f>CHOOSE($B$3,G308,G309,G310)</x:f>
        <x:v>1</x:v>
      </x:c>
      <x:c r="H307" s="17" t="n">
        <x:f>CHOOSE($B$3,H308,H309,H310)</x:f>
        <x:v>0</x:v>
      </x:c>
      <x:c r="I307" s="17" t="str">
        <x:f>CHOOSE($B$3,I308,I309,I310)</x:f>
      </x:c>
      <x:c r="J307" s="19" t="str">
        <x:f>CHOOSE($B$3,J308,J309,J310)</x:f>
      </x:c>
      <x:c r="K307" s="21" t="str">
        <x:f>CHOOSE($B$3,K308,K309,K310)</x:f>
      </x:c>
      <x:c r="L307" s="15" t="str">
        <x:v>haier-bio-pe-v1.0</x:v>
      </x:c>
      <x:c r="M307" s="15" t="str">
        <x:v>2026-12-31</x:v>
      </x:c>
      <x:c r="O307" t="str">
        <x:v>CNY</x:v>
      </x:c>
      <x:c r="V307" t="str">
        <x:v>2026-12-31</x:v>
      </x:c>
      <x:c r="W307" t="str">
        <x:v>待核</x:v>
      </x:c>
      <x:c r="X307" t="str">
        <x:v>周末已解析；节假日需交易所对应年度日历核验，实际交易日待核</x:v>
      </x:c>
    </x:row>
    <x:row r="308" ht="23" customHeight="1">
      <x:c r="A308" s="11" t="str">
        <x:v>688139.SH</x:v>
      </x:c>
      <x:c r="B308" s="11" t="str">
        <x:v>2026年底</x:v>
      </x:c>
      <x:c r="C308" s="11" t="str">
        <x:v>悲观</x:v>
      </x:c>
      <x:c r="D308" s="11" t="str">
        <x:v>EPS</x:v>
      </x:c>
      <x:c r="E308" s="18" t="n">
        <x:v>0.72</x:v>
      </x:c>
      <x:c r="F308" s="18" t="n">
        <x:v>25</x:v>
      </x:c>
      <x:c r="G308" s="18" t="n">
        <x:v>1</x:v>
      </x:c>
      <x:c r="H308" s="18" t="n">
        <x:v>0</x:v>
      </x:c>
      <x:c r="I308" s="18"/>
      <x:c r="J308" s="20"/>
      <x:c r="K308" s="22"/>
      <x:c r="L308" s="11" t="str">
        <x:v>haier-bio-pe-v1.0</x:v>
      </x:c>
      <x:c r="M308" s="11" t="str">
        <x:v>2026-12-31</x:v>
      </x:c>
      <x:c r="O308" t="str">
        <x:v>CNY</x:v>
      </x:c>
      <x:c r="V308" t="str">
        <x:v>2026-12-31</x:v>
      </x:c>
      <x:c r="W308" t="str">
        <x:v>待核</x:v>
      </x:c>
      <x:c r="X308" t="str">
        <x:v>周末已解析；节假日需交易所对应年度日历核验，实际交易日待核</x:v>
      </x:c>
    </x:row>
    <x:row r="309" ht="23" customHeight="1">
      <x:c r="A309" s="11" t="str">
        <x:v>688139.SH</x:v>
      </x:c>
      <x:c r="B309" s="11" t="str">
        <x:v>2026年底</x:v>
      </x:c>
      <x:c r="C309" s="11" t="str">
        <x:v>基准</x:v>
      </x:c>
      <x:c r="D309" s="11" t="str">
        <x:v>EPS</x:v>
      </x:c>
      <x:c r="E309" s="18" t="n">
        <x:v>0.98</x:v>
      </x:c>
      <x:c r="F309" s="18" t="n">
        <x:v>36</x:v>
      </x:c>
      <x:c r="G309" s="18" t="n">
        <x:v>1</x:v>
      </x:c>
      <x:c r="H309" s="18" t="n">
        <x:v>0</x:v>
      </x:c>
      <x:c r="I309" s="18"/>
      <x:c r="J309" s="20"/>
      <x:c r="K309" s="22"/>
      <x:c r="L309" s="11" t="str">
        <x:v>haier-bio-pe-v1.0</x:v>
      </x:c>
      <x:c r="M309" s="11" t="str">
        <x:v>2026-12-31</x:v>
      </x:c>
      <x:c r="O309" t="str">
        <x:v>CNY</x:v>
      </x:c>
      <x:c r="V309" t="str">
        <x:v>2026-12-31</x:v>
      </x:c>
      <x:c r="W309" t="str">
        <x:v>待核</x:v>
      </x:c>
      <x:c r="X309" t="str">
        <x:v>周末已解析；节假日需交易所对应年度日历核验，实际交易日待核</x:v>
      </x:c>
    </x:row>
    <x:row r="310" ht="23" customHeight="1">
      <x:c r="A310" s="11" t="str">
        <x:v>688139.SH</x:v>
      </x:c>
      <x:c r="B310" s="11" t="str">
        <x:v>2026年底</x:v>
      </x:c>
      <x:c r="C310" s="11" t="str">
        <x:v>乐观</x:v>
      </x:c>
      <x:c r="D310" s="11" t="str">
        <x:v>EPS</x:v>
      </x:c>
      <x:c r="E310" s="18" t="n">
        <x:v>1.14</x:v>
      </x:c>
      <x:c r="F310" s="18" t="n">
        <x:v>44</x:v>
      </x:c>
      <x:c r="G310" s="18" t="n">
        <x:v>1</x:v>
      </x:c>
      <x:c r="H310" s="18" t="n">
        <x:v>0</x:v>
      </x:c>
      <x:c r="I310" s="18"/>
      <x:c r="J310" s="20"/>
      <x:c r="K310" s="22"/>
      <x:c r="L310" s="11" t="str">
        <x:v>haier-bio-pe-v1.0</x:v>
      </x:c>
      <x:c r="M310" s="11" t="str">
        <x:v>2026-12-31</x:v>
      </x:c>
      <x:c r="O310" t="str">
        <x:v>CNY</x:v>
      </x:c>
      <x:c r="V310" t="str">
        <x:v>2026-12-31</x:v>
      </x:c>
      <x:c r="W310" t="str">
        <x:v>待核</x:v>
      </x:c>
      <x:c r="X310" t="str">
        <x:v>周末已解析；节假日需交易所对应年度日历核验，实际交易日待核</x:v>
      </x:c>
    </x:row>
    <x:row r="311" ht="23" customHeight="1">
      <x:c r="A311" s="15" t="str">
        <x:v>688139.SH</x:v>
      </x:c>
      <x:c r="B311" s="15" t="str">
        <x:v>半年</x:v>
      </x:c>
      <x:c r="C311" s="15" t="str">
        <x:v>活动输入</x:v>
      </x:c>
      <x:c r="D311" s="15" t="str">
        <x:v>EPS</x:v>
      </x:c>
      <x:c r="E311" s="17" t="n">
        <x:f>CHOOSE($B$3,E312,E313,E314)</x:f>
        <x:v>1.08</x:v>
      </x:c>
      <x:c r="F311" s="17" t="n">
        <x:f>CHOOSE($B$3,F312,F313,F314)</x:f>
        <x:v>36</x:v>
      </x:c>
      <x:c r="G311" s="17" t="n">
        <x:f>CHOOSE($B$3,G312,G313,G314)</x:f>
        <x:v>1</x:v>
      </x:c>
      <x:c r="H311" s="17" t="n">
        <x:f>CHOOSE($B$3,H312,H313,H314)</x:f>
        <x:v>0</x:v>
      </x:c>
      <x:c r="I311" s="17" t="str">
        <x:f>CHOOSE($B$3,I312,I313,I314)</x:f>
      </x:c>
      <x:c r="J311" s="19" t="str">
        <x:f>CHOOSE($B$3,J312,J313,J314)</x:f>
      </x:c>
      <x:c r="K311" s="21" t="str">
        <x:f>CHOOSE($B$3,K312,K313,K314)</x:f>
      </x:c>
      <x:c r="L311" s="15" t="str">
        <x:v>haier-bio-pe-v1.0</x:v>
      </x:c>
      <x:c r="M311" s="15" t="str">
        <x:v>2027-04-09</x:v>
      </x:c>
      <x:c r="O311" t="str">
        <x:v>CNY</x:v>
      </x:c>
      <x:c r="V311" t="str">
        <x:v>2027-04-09</x:v>
      </x:c>
      <x:c r="W311" t="str">
        <x:v>待核</x:v>
      </x:c>
      <x:c r="X311" t="str">
        <x:v>周末已解析；节假日需交易所对应年度日历核验，实际交易日待核</x:v>
      </x:c>
    </x:row>
    <x:row r="312" ht="23" customHeight="1">
      <x:c r="A312" s="11" t="str">
        <x:v>688139.SH</x:v>
      </x:c>
      <x:c r="B312" s="11" t="str">
        <x:v>半年</x:v>
      </x:c>
      <x:c r="C312" s="11" t="str">
        <x:v>悲观</x:v>
      </x:c>
      <x:c r="D312" s="11" t="str">
        <x:v>EPS</x:v>
      </x:c>
      <x:c r="E312" s="18" t="n">
        <x:v>0.75</x:v>
      </x:c>
      <x:c r="F312" s="18" t="n">
        <x:v>25</x:v>
      </x:c>
      <x:c r="G312" s="18" t="n">
        <x:v>1</x:v>
      </x:c>
      <x:c r="H312" s="18" t="n">
        <x:v>0</x:v>
      </x:c>
      <x:c r="I312" s="18"/>
      <x:c r="J312" s="20"/>
      <x:c r="K312" s="22"/>
      <x:c r="L312" s="11" t="str">
        <x:v>haier-bio-pe-v1.0</x:v>
      </x:c>
      <x:c r="M312" s="11" t="str">
        <x:v>2027-04-09</x:v>
      </x:c>
      <x:c r="O312" t="str">
        <x:v>CNY</x:v>
      </x:c>
      <x:c r="V312" t="str">
        <x:v>2027-04-09</x:v>
      </x:c>
      <x:c r="W312" t="str">
        <x:v>待核</x:v>
      </x:c>
      <x:c r="X312" t="str">
        <x:v>周末已解析；节假日需交易所对应年度日历核验，实际交易日待核</x:v>
      </x:c>
    </x:row>
    <x:row r="313" ht="23" customHeight="1">
      <x:c r="A313" s="11" t="str">
        <x:v>688139.SH</x:v>
      </x:c>
      <x:c r="B313" s="11" t="str">
        <x:v>半年</x:v>
      </x:c>
      <x:c r="C313" s="11" t="str">
        <x:v>基准</x:v>
      </x:c>
      <x:c r="D313" s="11" t="str">
        <x:v>EPS</x:v>
      </x:c>
      <x:c r="E313" s="18" t="n">
        <x:v>1.08</x:v>
      </x:c>
      <x:c r="F313" s="18" t="n">
        <x:v>36</x:v>
      </x:c>
      <x:c r="G313" s="18" t="n">
        <x:v>1</x:v>
      </x:c>
      <x:c r="H313" s="18" t="n">
        <x:v>0</x:v>
      </x:c>
      <x:c r="I313" s="18"/>
      <x:c r="J313" s="20"/>
      <x:c r="K313" s="22"/>
      <x:c r="L313" s="11" t="str">
        <x:v>haier-bio-pe-v1.0</x:v>
      </x:c>
      <x:c r="M313" s="11" t="str">
        <x:v>2027-04-09</x:v>
      </x:c>
      <x:c r="O313" t="str">
        <x:v>CNY</x:v>
      </x:c>
      <x:c r="V313" t="str">
        <x:v>2027-04-09</x:v>
      </x:c>
      <x:c r="W313" t="str">
        <x:v>待核</x:v>
      </x:c>
      <x:c r="X313" t="str">
        <x:v>周末已解析；节假日需交易所对应年度日历核验，实际交易日待核</x:v>
      </x:c>
    </x:row>
    <x:row r="314" ht="23" customHeight="1">
      <x:c r="A314" s="11" t="str">
        <x:v>688139.SH</x:v>
      </x:c>
      <x:c r="B314" s="11" t="str">
        <x:v>半年</x:v>
      </x:c>
      <x:c r="C314" s="11" t="str">
        <x:v>乐观</x:v>
      </x:c>
      <x:c r="D314" s="11" t="str">
        <x:v>EPS</x:v>
      </x:c>
      <x:c r="E314" s="18" t="n">
        <x:v>1.32</x:v>
      </x:c>
      <x:c r="F314" s="18" t="n">
        <x:v>45</x:v>
      </x:c>
      <x:c r="G314" s="18" t="n">
        <x:v>1</x:v>
      </x:c>
      <x:c r="H314" s="18" t="n">
        <x:v>0</x:v>
      </x:c>
      <x:c r="I314" s="18"/>
      <x:c r="J314" s="20"/>
      <x:c r="K314" s="22"/>
      <x:c r="L314" s="11" t="str">
        <x:v>haier-bio-pe-v1.0</x:v>
      </x:c>
      <x:c r="M314" s="11" t="str">
        <x:v>2027-04-09</x:v>
      </x:c>
      <x:c r="O314" t="str">
        <x:v>CNY</x:v>
      </x:c>
      <x:c r="V314" t="str">
        <x:v>2027-04-09</x:v>
      </x:c>
      <x:c r="W314" t="str">
        <x:v>待核</x:v>
      </x:c>
      <x:c r="X314" t="str">
        <x:v>周末已解析；节假日需交易所对应年度日历核验，实际交易日待核</x:v>
      </x:c>
    </x:row>
    <x:row r="315" ht="23" customHeight="1">
      <x:c r="A315" s="15" t="str">
        <x:v>688139.SH</x:v>
      </x:c>
      <x:c r="B315" s="15" t="str">
        <x:v>一年</x:v>
      </x:c>
      <x:c r="C315" s="15" t="str">
        <x:v>活动输入</x:v>
      </x:c>
      <x:c r="D315" s="15" t="str">
        <x:v>EPS</x:v>
      </x:c>
      <x:c r="E315" s="17" t="n">
        <x:f>CHOOSE($B$3,E316,E317,E318)</x:f>
        <x:v>1.3</x:v>
      </x:c>
      <x:c r="F315" s="17" t="n">
        <x:f>CHOOSE($B$3,F316,F317,F318)</x:f>
        <x:v>35</x:v>
      </x:c>
      <x:c r="G315" s="17" t="n">
        <x:f>CHOOSE($B$3,G316,G317,G318)</x:f>
        <x:v>1</x:v>
      </x:c>
      <x:c r="H315" s="17" t="n">
        <x:f>CHOOSE($B$3,H316,H317,H318)</x:f>
        <x:v>0.4</x:v>
      </x:c>
      <x:c r="I315" s="17" t="str">
        <x:f>CHOOSE($B$3,I316,I317,I318)</x:f>
      </x:c>
      <x:c r="J315" s="19" t="str">
        <x:f>CHOOSE($B$3,J316,J317,J318)</x:f>
      </x:c>
      <x:c r="K315" s="21" t="str">
        <x:f>CHOOSE($B$3,K316,K317,K318)</x:f>
      </x:c>
      <x:c r="L315" s="15" t="str">
        <x:v>haier-bio-pe-v1.0</x:v>
      </x:c>
      <x:c r="M315" s="15" t="str">
        <x:v>2027-10-09</x:v>
      </x:c>
      <x:c r="O315" t="str">
        <x:v>CNY</x:v>
      </x:c>
      <x:c r="V315" t="str">
        <x:v>2027-10-08</x:v>
      </x:c>
      <x:c r="W315" t="str">
        <x:v>待核</x:v>
      </x:c>
      <x:c r="X315" t="str">
        <x:v>周末已解析；节假日需交易所对应年度日历核验，实际交易日待核</x:v>
      </x:c>
    </x:row>
    <x:row r="316" ht="23" customHeight="1">
      <x:c r="A316" s="11" t="str">
        <x:v>688139.SH</x:v>
      </x:c>
      <x:c r="B316" s="11" t="str">
        <x:v>一年</x:v>
      </x:c>
      <x:c r="C316" s="11" t="str">
        <x:v>悲观</x:v>
      </x:c>
      <x:c r="D316" s="11" t="str">
        <x:v>EPS</x:v>
      </x:c>
      <x:c r="E316" s="18" t="n">
        <x:v>0.8</x:v>
      </x:c>
      <x:c r="F316" s="18" t="n">
        <x:v>24</x:v>
      </x:c>
      <x:c r="G316" s="18" t="n">
        <x:v>1</x:v>
      </x:c>
      <x:c r="H316" s="18" t="n">
        <x:v>0.25</x:v>
      </x:c>
      <x:c r="I316" s="18"/>
      <x:c r="J316" s="20"/>
      <x:c r="K316" s="22"/>
      <x:c r="L316" s="11" t="str">
        <x:v>haier-bio-pe-v1.0</x:v>
      </x:c>
      <x:c r="M316" s="11" t="str">
        <x:v>2027-10-09</x:v>
      </x:c>
      <x:c r="O316" t="str">
        <x:v>CNY</x:v>
      </x:c>
      <x:c r="V316" t="str">
        <x:v>2027-10-08</x:v>
      </x:c>
      <x:c r="W316" t="str">
        <x:v>待核</x:v>
      </x:c>
      <x:c r="X316" t="str">
        <x:v>周末已解析；节假日需交易所对应年度日历核验，实际交易日待核</x:v>
      </x:c>
    </x:row>
    <x:row r="317" ht="23" customHeight="1">
      <x:c r="A317" s="11" t="str">
        <x:v>688139.SH</x:v>
      </x:c>
      <x:c r="B317" s="11" t="str">
        <x:v>一年</x:v>
      </x:c>
      <x:c r="C317" s="11" t="str">
        <x:v>基准</x:v>
      </x:c>
      <x:c r="D317" s="11" t="str">
        <x:v>EPS</x:v>
      </x:c>
      <x:c r="E317" s="18" t="n">
        <x:v>1.3</x:v>
      </x:c>
      <x:c r="F317" s="18" t="n">
        <x:v>35</x:v>
      </x:c>
      <x:c r="G317" s="18" t="n">
        <x:v>1</x:v>
      </x:c>
      <x:c r="H317" s="18" t="n">
        <x:v>0.4</x:v>
      </x:c>
      <x:c r="I317" s="18"/>
      <x:c r="J317" s="20"/>
      <x:c r="K317" s="22"/>
      <x:c r="L317" s="11" t="str">
        <x:v>haier-bio-pe-v1.0</x:v>
      </x:c>
      <x:c r="M317" s="11" t="str">
        <x:v>2027-10-09</x:v>
      </x:c>
      <x:c r="O317" t="str">
        <x:v>CNY</x:v>
      </x:c>
      <x:c r="V317" t="str">
        <x:v>2027-10-08</x:v>
      </x:c>
      <x:c r="W317" t="str">
        <x:v>待核</x:v>
      </x:c>
      <x:c r="X317" t="str">
        <x:v>周末已解析；节假日需交易所对应年度日历核验，实际交易日待核</x:v>
      </x:c>
    </x:row>
    <x:row r="318" ht="23" customHeight="1">
      <x:c r="A318" s="11" t="str">
        <x:v>688139.SH</x:v>
      </x:c>
      <x:c r="B318" s="11" t="str">
        <x:v>一年</x:v>
      </x:c>
      <x:c r="C318" s="11" t="str">
        <x:v>乐观</x:v>
      </x:c>
      <x:c r="D318" s="11" t="str">
        <x:v>EPS</x:v>
      </x:c>
      <x:c r="E318" s="18" t="n">
        <x:v>1.65</x:v>
      </x:c>
      <x:c r="F318" s="18" t="n">
        <x:v>44</x:v>
      </x:c>
      <x:c r="G318" s="18" t="n">
        <x:v>1</x:v>
      </x:c>
      <x:c r="H318" s="18" t="n">
        <x:v>0.5</x:v>
      </x:c>
      <x:c r="I318" s="18"/>
      <x:c r="J318" s="20"/>
      <x:c r="K318" s="22"/>
      <x:c r="L318" s="11" t="str">
        <x:v>haier-bio-pe-v1.0</x:v>
      </x:c>
      <x:c r="M318" s="11" t="str">
        <x:v>2027-10-09</x:v>
      </x:c>
      <x:c r="O318" t="str">
        <x:v>CNY</x:v>
      </x:c>
      <x:c r="V318" t="str">
        <x:v>2027-10-08</x:v>
      </x:c>
      <x:c r="W318" t="str">
        <x:v>待核</x:v>
      </x:c>
      <x:c r="X318" t="str">
        <x:v>周末已解析；节假日需交易所对应年度日历核验，实际交易日待核</x:v>
      </x:c>
    </x:row>
    <x:row r="319" ht="23" customHeight="1">
      <x:c r="A319" s="15" t="str">
        <x:v>688139.SH</x:v>
      </x:c>
      <x:c r="B319" s="15" t="str">
        <x:v>三年</x:v>
      </x:c>
      <x:c r="C319" s="15" t="str">
        <x:v>活动输入</x:v>
      </x:c>
      <x:c r="D319" s="15" t="str">
        <x:v>EPS</x:v>
      </x:c>
      <x:c r="E319" s="17" t="n">
        <x:f>CHOOSE($B$3,E320,E321,E322)</x:f>
        <x:v>1.95</x:v>
      </x:c>
      <x:c r="F319" s="17" t="n">
        <x:f>CHOOSE($B$3,F320,F321,F322)</x:f>
        <x:v>32</x:v>
      </x:c>
      <x:c r="G319" s="17" t="n">
        <x:f>CHOOSE($B$3,G320,G321,G322)</x:f>
        <x:v>1</x:v>
      </x:c>
      <x:c r="H319" s="17" t="n">
        <x:f>CHOOSE($B$3,H320,H321,H322)</x:f>
        <x:v>1.7</x:v>
      </x:c>
      <x:c r="I319" s="17" t="str">
        <x:f>CHOOSE($B$3,I320,I321,I322)</x:f>
      </x:c>
      <x:c r="J319" s="19" t="str">
        <x:f>CHOOSE($B$3,J320,J321,J322)</x:f>
      </x:c>
      <x:c r="K319" s="21" t="str">
        <x:f>CHOOSE($B$3,K320,K321,K322)</x:f>
      </x:c>
      <x:c r="L319" s="15" t="str">
        <x:v>haier-bio-pe-v1.0</x:v>
      </x:c>
      <x:c r="M319" s="15" t="str">
        <x:v>2029-10-09</x:v>
      </x:c>
      <x:c r="O319" t="str">
        <x:v>CNY</x:v>
      </x:c>
      <x:c r="V319" t="str">
        <x:v>2029-10-09</x:v>
      </x:c>
      <x:c r="W319" t="str">
        <x:v>待核</x:v>
      </x:c>
      <x:c r="X319" t="str">
        <x:v>周末已解析；节假日需交易所对应年度日历核验，实际交易日待核</x:v>
      </x:c>
    </x:row>
    <x:row r="320" ht="23" customHeight="1">
      <x:c r="A320" s="11" t="str">
        <x:v>688139.SH</x:v>
      </x:c>
      <x:c r="B320" s="11" t="str">
        <x:v>三年</x:v>
      </x:c>
      <x:c r="C320" s="11" t="str">
        <x:v>悲观</x:v>
      </x:c>
      <x:c r="D320" s="11" t="str">
        <x:v>EPS</x:v>
      </x:c>
      <x:c r="E320" s="18" t="n">
        <x:v>0.95</x:v>
      </x:c>
      <x:c r="F320" s="18" t="n">
        <x:v>22</x:v>
      </x:c>
      <x:c r="G320" s="18" t="n">
        <x:v>1</x:v>
      </x:c>
      <x:c r="H320" s="18" t="n">
        <x:v>1</x:v>
      </x:c>
      <x:c r="I320" s="18"/>
      <x:c r="J320" s="20"/>
      <x:c r="K320" s="22"/>
      <x:c r="L320" s="11" t="str">
        <x:v>haier-bio-pe-v1.0</x:v>
      </x:c>
      <x:c r="M320" s="11" t="str">
        <x:v>2029-10-09</x:v>
      </x:c>
      <x:c r="O320" t="str">
        <x:v>CNY</x:v>
      </x:c>
      <x:c r="V320" t="str">
        <x:v>2029-10-09</x:v>
      </x:c>
      <x:c r="W320" t="str">
        <x:v>待核</x:v>
      </x:c>
      <x:c r="X320" t="str">
        <x:v>周末已解析；节假日需交易所对应年度日历核验，实际交易日待核</x:v>
      </x:c>
    </x:row>
    <x:row r="321" ht="23" customHeight="1">
      <x:c r="A321" s="11" t="str">
        <x:v>688139.SH</x:v>
      </x:c>
      <x:c r="B321" s="11" t="str">
        <x:v>三年</x:v>
      </x:c>
      <x:c r="C321" s="11" t="str">
        <x:v>基准</x:v>
      </x:c>
      <x:c r="D321" s="11" t="str">
        <x:v>EPS</x:v>
      </x:c>
      <x:c r="E321" s="18" t="n">
        <x:v>1.95</x:v>
      </x:c>
      <x:c r="F321" s="18" t="n">
        <x:v>32</x:v>
      </x:c>
      <x:c r="G321" s="18" t="n">
        <x:v>1</x:v>
      </x:c>
      <x:c r="H321" s="18" t="n">
        <x:v>1.7</x:v>
      </x:c>
      <x:c r="I321" s="18"/>
      <x:c r="J321" s="20"/>
      <x:c r="K321" s="22"/>
      <x:c r="L321" s="11" t="str">
        <x:v>haier-bio-pe-v1.0</x:v>
      </x:c>
      <x:c r="M321" s="11" t="str">
        <x:v>2029-10-09</x:v>
      </x:c>
      <x:c r="O321" t="str">
        <x:v>CNY</x:v>
      </x:c>
      <x:c r="V321" t="str">
        <x:v>2029-10-09</x:v>
      </x:c>
      <x:c r="W321" t="str">
        <x:v>待核</x:v>
      </x:c>
      <x:c r="X321" t="str">
        <x:v>周末已解析；节假日需交易所对应年度日历核验，实际交易日待核</x:v>
      </x:c>
    </x:row>
    <x:row r="322" ht="23" customHeight="1">
      <x:c r="A322" s="11" t="str">
        <x:v>688139.SH</x:v>
      </x:c>
      <x:c r="B322" s="11" t="str">
        <x:v>三年</x:v>
      </x:c>
      <x:c r="C322" s="11" t="str">
        <x:v>乐观</x:v>
      </x:c>
      <x:c r="D322" s="11" t="str">
        <x:v>EPS</x:v>
      </x:c>
      <x:c r="E322" s="18" t="n">
        <x:v>3</x:v>
      </x:c>
      <x:c r="F322" s="18" t="n">
        <x:v>40</x:v>
      </x:c>
      <x:c r="G322" s="18" t="n">
        <x:v>1</x:v>
      </x:c>
      <x:c r="H322" s="18" t="n">
        <x:v>2.4</x:v>
      </x:c>
      <x:c r="I322" s="18"/>
      <x:c r="J322" s="20"/>
      <x:c r="K322" s="22"/>
      <x:c r="L322" s="11" t="str">
        <x:v>haier-bio-pe-v1.0</x:v>
      </x:c>
      <x:c r="M322" s="11" t="str">
        <x:v>2029-10-09</x:v>
      </x:c>
      <x:c r="O322" t="str">
        <x:v>CNY</x:v>
      </x:c>
      <x:c r="V322" t="str">
        <x:v>2029-10-09</x:v>
      </x:c>
      <x:c r="W322" t="str">
        <x:v>待核</x:v>
      </x:c>
      <x:c r="X322" t="str">
        <x:v>周末已解析；节假日需交易所对应年度日历核验，实际交易日待核</x:v>
      </x:c>
    </x:row>
    <x:row r="323" ht="23" customHeight="1">
      <x:c r="A323" s="15" t="str">
        <x:v>688139.SH</x:v>
      </x:c>
      <x:c r="B323" s="15" t="str">
        <x:v>五年</x:v>
      </x:c>
      <x:c r="C323" s="15" t="str">
        <x:v>活动输入</x:v>
      </x:c>
      <x:c r="D323" s="15" t="str">
        <x:v>EPS</x:v>
      </x:c>
      <x:c r="E323" s="17" t="n">
        <x:f>CHOOSE($B$3,E324,E325,E326)</x:f>
        <x:v>2.65</x:v>
      </x:c>
      <x:c r="F323" s="17" t="n">
        <x:f>CHOOSE($B$3,F324,F325,F326)</x:f>
        <x:v>30</x:v>
      </x:c>
      <x:c r="G323" s="17" t="n">
        <x:f>CHOOSE($B$3,G324,G325,G326)</x:f>
        <x:v>1</x:v>
      </x:c>
      <x:c r="H323" s="17" t="n">
        <x:f>CHOOSE($B$3,H324,H325,H326)</x:f>
        <x:v>3.4</x:v>
      </x:c>
      <x:c r="I323" s="17" t="str">
        <x:f>CHOOSE($B$3,I324,I325,I326)</x:f>
      </x:c>
      <x:c r="J323" s="19" t="str">
        <x:f>CHOOSE($B$3,J324,J325,J326)</x:f>
      </x:c>
      <x:c r="K323" s="21" t="str">
        <x:f>CHOOSE($B$3,K324,K325,K326)</x:f>
      </x:c>
      <x:c r="L323" s="15" t="str">
        <x:v>haier-bio-pe-v1.0</x:v>
      </x:c>
      <x:c r="M323" s="15" t="str">
        <x:v>2031-10-09</x:v>
      </x:c>
      <x:c r="O323" t="str">
        <x:v>CNY</x:v>
      </x:c>
      <x:c r="V323" t="str">
        <x:v>2031-10-09</x:v>
      </x:c>
      <x:c r="W323" t="str">
        <x:v>待核</x:v>
      </x:c>
      <x:c r="X323" t="str">
        <x:v>周末已解析；节假日需交易所对应年度日历核验，实际交易日待核</x:v>
      </x:c>
    </x:row>
    <x:row r="324" ht="23" customHeight="1">
      <x:c r="A324" s="11" t="str">
        <x:v>688139.SH</x:v>
      </x:c>
      <x:c r="B324" s="11" t="str">
        <x:v>五年</x:v>
      </x:c>
      <x:c r="C324" s="11" t="str">
        <x:v>悲观</x:v>
      </x:c>
      <x:c r="D324" s="11" t="str">
        <x:v>EPS</x:v>
      </x:c>
      <x:c r="E324" s="18" t="n">
        <x:v>1.1</x:v>
      </x:c>
      <x:c r="F324" s="18" t="n">
        <x:v>20</x:v>
      </x:c>
      <x:c r="G324" s="18" t="n">
        <x:v>1</x:v>
      </x:c>
      <x:c r="H324" s="18" t="n">
        <x:v>1.8</x:v>
      </x:c>
      <x:c r="I324" s="18"/>
      <x:c r="J324" s="20"/>
      <x:c r="K324" s="22"/>
      <x:c r="L324" s="11" t="str">
        <x:v>haier-bio-pe-v1.0</x:v>
      </x:c>
      <x:c r="M324" s="11" t="str">
        <x:v>2031-10-09</x:v>
      </x:c>
      <x:c r="O324" t="str">
        <x:v>CNY</x:v>
      </x:c>
      <x:c r="V324" t="str">
        <x:v>2031-10-09</x:v>
      </x:c>
      <x:c r="W324" t="str">
        <x:v>待核</x:v>
      </x:c>
      <x:c r="X324" t="str">
        <x:v>周末已解析；节假日需交易所对应年度日历核验，实际交易日待核</x:v>
      </x:c>
    </x:row>
    <x:row r="325" ht="23" customHeight="1">
      <x:c r="A325" s="11" t="str">
        <x:v>688139.SH</x:v>
      </x:c>
      <x:c r="B325" s="11" t="str">
        <x:v>五年</x:v>
      </x:c>
      <x:c r="C325" s="11" t="str">
        <x:v>基准</x:v>
      </x:c>
      <x:c r="D325" s="11" t="str">
        <x:v>EPS</x:v>
      </x:c>
      <x:c r="E325" s="18" t="n">
        <x:v>2.65</x:v>
      </x:c>
      <x:c r="F325" s="18" t="n">
        <x:v>30</x:v>
      </x:c>
      <x:c r="G325" s="18" t="n">
        <x:v>1</x:v>
      </x:c>
      <x:c r="H325" s="18" t="n">
        <x:v>3.4</x:v>
      </x:c>
      <x:c r="I325" s="18"/>
      <x:c r="J325" s="20"/>
      <x:c r="K325" s="22"/>
      <x:c r="L325" s="11" t="str">
        <x:v>haier-bio-pe-v1.0</x:v>
      </x:c>
      <x:c r="M325" s="11" t="str">
        <x:v>2031-10-09</x:v>
      </x:c>
      <x:c r="O325" t="str">
        <x:v>CNY</x:v>
      </x:c>
      <x:c r="V325" t="str">
        <x:v>2031-10-09</x:v>
      </x:c>
      <x:c r="W325" t="str">
        <x:v>待核</x:v>
      </x:c>
      <x:c r="X325" t="str">
        <x:v>周末已解析；节假日需交易所对应年度日历核验，实际交易日待核</x:v>
      </x:c>
    </x:row>
    <x:row r="326" ht="23" customHeight="1">
      <x:c r="A326" s="11" t="str">
        <x:v>688139.SH</x:v>
      </x:c>
      <x:c r="B326" s="11" t="str">
        <x:v>五年</x:v>
      </x:c>
      <x:c r="C326" s="11" t="str">
        <x:v>乐观</x:v>
      </x:c>
      <x:c r="D326" s="11" t="str">
        <x:v>EPS</x:v>
      </x:c>
      <x:c r="E326" s="18" t="n">
        <x:v>4.7</x:v>
      </x:c>
      <x:c r="F326" s="18" t="n">
        <x:v>38</x:v>
      </x:c>
      <x:c r="G326" s="18" t="n">
        <x:v>1</x:v>
      </x:c>
      <x:c r="H326" s="18" t="n">
        <x:v>5.2</x:v>
      </x:c>
      <x:c r="I326" s="18"/>
      <x:c r="J326" s="20"/>
      <x:c r="K326" s="22"/>
      <x:c r="L326" s="11" t="str">
        <x:v>haier-bio-pe-v1.0</x:v>
      </x:c>
      <x:c r="M326" s="11" t="str">
        <x:v>2031-10-09</x:v>
      </x:c>
      <x:c r="O326" t="str">
        <x:v>CNY</x:v>
      </x:c>
      <x:c r="V326" t="str">
        <x:v>2031-10-09</x:v>
      </x:c>
      <x:c r="W326" t="str">
        <x:v>待核</x:v>
      </x:c>
      <x:c r="X326" t="str">
        <x:v>周末已解析；节假日需交易所对应年度日历核验，实际交易日待核</x:v>
      </x:c>
    </x:row>
    <x:row r="327" ht="23" customHeight="1">
      <x:c r="A327" s="15" t="str">
        <x:v>03692.HK</x:v>
      </x:c>
      <x:c r="B327" s="15" t="str">
        <x:v>2026年底</x:v>
      </x:c>
      <x:c r="C327" s="15" t="str">
        <x:v>活动输入</x:v>
      </x:c>
      <x:c r="D327" s="15" t="str">
        <x:v>收入利润率</x:v>
      </x:c>
      <x:c r="E327" s="17" t="n">
        <x:f>CHOOSE($B$3,E328,E329,E330)</x:f>
        <x:v>0.98</x:v>
      </x:c>
      <x:c r="F327" s="17" t="n">
        <x:f>CHOOSE($B$3,F328,F329,F330)</x:f>
        <x:v>30</x:v>
      </x:c>
      <x:c r="G327" s="17" t="n">
        <x:f>CHOOSE($B$3,G328,G329,G330)</x:f>
        <x:v>1.1</x:v>
      </x:c>
      <x:c r="H327" s="17" t="n">
        <x:f>CHOOSE($B$3,H328,H329,H330)</x:f>
        <x:v>0</x:v>
      </x:c>
      <x:c r="I327" s="17" t="n">
        <x:f>CHOOSE($B$3,I328,I329,I330)</x:f>
        <x:v>18.8</x:v>
      </x:c>
      <x:c r="J327" s="19" t="n">
        <x:f>CHOOSE($B$3,J328,J329,J330)</x:f>
        <x:v>0.32162765957446804</x:v>
      </x:c>
      <x:c r="K327" s="21" t="n">
        <x:f>CHOOSE($B$3,K328,K329,K330)</x:f>
        <x:v>6.17</x:v>
      </x:c>
      <x:c r="L327" s="15" t="str">
        <x:v>hansoh-v1</x:v>
      </x:c>
      <x:c r="M327" s="15" t="str">
        <x:v>2026-12-31</x:v>
      </x:c>
      <x:c r="N327" t="n">
        <x:f>CHOOSE($B$3,N328,N329,N330)</x:f>
        <x:v>27</x:v>
      </x:c>
      <x:c r="O327" t="str">
        <x:v>CNY</x:v>
      </x:c>
      <x:c r="V327" t="str">
        <x:v>2026-12-31</x:v>
      </x:c>
      <x:c r="W327" t="str">
        <x:v>待核</x:v>
      </x:c>
      <x:c r="X327" t="str">
        <x:v>周末已解析；节假日需交易所对应年度日历核验，实际交易日待核</x:v>
      </x:c>
    </x:row>
    <x:row r="328" ht="23" customHeight="1">
      <x:c r="A328" s="11" t="str">
        <x:v>03692.HK</x:v>
      </x:c>
      <x:c r="B328" s="11" t="str">
        <x:v>2026年底</x:v>
      </x:c>
      <x:c r="C328" s="11" t="str">
        <x:v>悲观</x:v>
      </x:c>
      <x:c r="D328" s="11" t="str">
        <x:v>收入利润率</x:v>
      </x:c>
      <x:c r="E328" s="18" t="n">
        <x:v>0.72</x:v>
      </x:c>
      <x:c r="F328" s="18" t="n">
        <x:v>23</x:v>
      </x:c>
      <x:c r="G328" s="18" t="n">
        <x:v>1.1</x:v>
      </x:c>
      <x:c r="H328" s="18" t="n">
        <x:v>0</x:v>
      </x:c>
      <x:c r="I328" s="18" t="n">
        <x:v>16.5</x:v>
      </x:c>
      <x:c r="J328" s="20" t="n">
        <x:v>0.2714181818181818</x:v>
      </x:c>
      <x:c r="K328" s="22" t="n">
        <x:v>6.22</x:v>
      </x:c>
      <x:c r="L328" s="11" t="str">
        <x:v>hansoh-v1</x:v>
      </x:c>
      <x:c r="M328" s="11" t="str">
        <x:v>2026-12-31</x:v>
      </x:c>
      <x:c r="N328" s="42" t="n">
        <x:v>23</x:v>
      </x:c>
      <x:c r="O328" t="str">
        <x:v>CNY</x:v>
      </x:c>
      <x:c r="V328" t="str">
        <x:v>2026-12-31</x:v>
      </x:c>
      <x:c r="W328" t="str">
        <x:v>待核</x:v>
      </x:c>
      <x:c r="X328" t="str">
        <x:v>周末已解析；节假日需交易所对应年度日历核验，实际交易日待核</x:v>
      </x:c>
    </x:row>
    <x:row r="329" ht="23" customHeight="1">
      <x:c r="A329" s="11" t="str">
        <x:v>03692.HK</x:v>
      </x:c>
      <x:c r="B329" s="11" t="str">
        <x:v>2026年底</x:v>
      </x:c>
      <x:c r="C329" s="11" t="str">
        <x:v>基准</x:v>
      </x:c>
      <x:c r="D329" s="11" t="str">
        <x:v>收入利润率</x:v>
      </x:c>
      <x:c r="E329" s="18" t="n">
        <x:v>0.98</x:v>
      </x:c>
      <x:c r="F329" s="18" t="n">
        <x:v>30</x:v>
      </x:c>
      <x:c r="G329" s="18" t="n">
        <x:v>1.1</x:v>
      </x:c>
      <x:c r="H329" s="18" t="n">
        <x:v>0</x:v>
      </x:c>
      <x:c r="I329" s="18" t="n">
        <x:v>18.8</x:v>
      </x:c>
      <x:c r="J329" s="20" t="n">
        <x:v>0.32162765957446804</x:v>
      </x:c>
      <x:c r="K329" s="22" t="n">
        <x:v>6.17</x:v>
      </x:c>
      <x:c r="L329" s="11" t="str">
        <x:v>hansoh-v1</x:v>
      </x:c>
      <x:c r="M329" s="11" t="str">
        <x:v>2026-12-31</x:v>
      </x:c>
      <x:c r="N329" s="42" t="n">
        <x:v>27</x:v>
      </x:c>
      <x:c r="O329" t="str">
        <x:v>CNY</x:v>
      </x:c>
      <x:c r="V329" t="str">
        <x:v>2026-12-31</x:v>
      </x:c>
      <x:c r="W329" t="str">
        <x:v>待核</x:v>
      </x:c>
      <x:c r="X329" t="str">
        <x:v>周末已解析；节假日需交易所对应年度日历核验，实际交易日待核</x:v>
      </x:c>
    </x:row>
    <x:row r="330" ht="23" customHeight="1">
      <x:c r="A330" s="11" t="str">
        <x:v>03692.HK</x:v>
      </x:c>
      <x:c r="B330" s="11" t="str">
        <x:v>2026年底</x:v>
      </x:c>
      <x:c r="C330" s="11" t="str">
        <x:v>乐观</x:v>
      </x:c>
      <x:c r="D330" s="11" t="str">
        <x:v>收入利润率</x:v>
      </x:c>
      <x:c r="E330" s="18" t="n">
        <x:v>1.22</x:v>
      </x:c>
      <x:c r="F330" s="18" t="n">
        <x:v>35</x:v>
      </x:c>
      <x:c r="G330" s="18" t="n">
        <x:v>1.1</x:v>
      </x:c>
      <x:c r="H330" s="18" t="n">
        <x:v>0</x:v>
      </x:c>
      <x:c r="I330" s="18" t="n">
        <x:v>21.5</x:v>
      </x:c>
      <x:c r="J330" s="20" t="n">
        <x:v>0.35011162790697675</x:v>
      </x:c>
      <x:c r="K330" s="22" t="n">
        <x:v>6.17</x:v>
      </x:c>
      <x:c r="L330" s="11" t="str">
        <x:v>hansoh-v1</x:v>
      </x:c>
      <x:c r="M330" s="11" t="str">
        <x:v>2026-12-31</x:v>
      </x:c>
      <x:c r="N330" s="42" t="n">
        <x:v>29</x:v>
      </x:c>
      <x:c r="O330" t="str">
        <x:v>CNY</x:v>
      </x:c>
      <x:c r="V330" t="str">
        <x:v>2026-12-31</x:v>
      </x:c>
      <x:c r="W330" t="str">
        <x:v>待核</x:v>
      </x:c>
      <x:c r="X330" t="str">
        <x:v>周末已解析；节假日需交易所对应年度日历核验，实际交易日待核</x:v>
      </x:c>
    </x:row>
    <x:row r="331" ht="23" customHeight="1">
      <x:c r="A331" s="15" t="str">
        <x:v>03692.HK</x:v>
      </x:c>
      <x:c r="B331" s="15" t="str">
        <x:v>半年</x:v>
      </x:c>
      <x:c r="C331" s="15" t="str">
        <x:v>活动输入</x:v>
      </x:c>
      <x:c r="D331" s="15" t="str">
        <x:v>收入利润率</x:v>
      </x:c>
      <x:c r="E331" s="17" t="n">
        <x:f>CHOOSE($B$3,E332,E333,E334)</x:f>
        <x:v>0.98</x:v>
      </x:c>
      <x:c r="F331" s="17" t="n">
        <x:f>CHOOSE($B$3,F332,F333,F334)</x:f>
        <x:v>32</x:v>
      </x:c>
      <x:c r="G331" s="17" t="n">
        <x:f>CHOOSE($B$3,G332,G333,G334)</x:f>
        <x:v>1.1</x:v>
      </x:c>
      <x:c r="H331" s="17" t="n">
        <x:f>CHOOSE($B$3,H332,H333,H334)</x:f>
        <x:v>0</x:v>
      </x:c>
      <x:c r="I331" s="17" t="n">
        <x:f>CHOOSE($B$3,I332,I333,I334)</x:f>
        <x:v>18.8</x:v>
      </x:c>
      <x:c r="J331" s="19" t="n">
        <x:f>CHOOSE($B$3,J332,J333,J334)</x:f>
        <x:v>0.32162765957446804</x:v>
      </x:c>
      <x:c r="K331" s="21" t="n">
        <x:f>CHOOSE($B$3,K332,K333,K334)</x:f>
        <x:v>6.17</x:v>
      </x:c>
      <x:c r="L331" s="15" t="str">
        <x:v>hansoh-v1</x:v>
      </x:c>
      <x:c r="M331" s="15" t="str">
        <x:v>2027-04-09</x:v>
      </x:c>
      <x:c r="N331" t="n">
        <x:f>CHOOSE($B$3,N332,N333,N334)</x:f>
        <x:v>26</x:v>
      </x:c>
      <x:c r="O331" t="str">
        <x:v>CNY</x:v>
      </x:c>
      <x:c r="V331" t="str">
        <x:v>2027-04-09</x:v>
      </x:c>
      <x:c r="W331" t="str">
        <x:v>待核</x:v>
      </x:c>
      <x:c r="X331" t="str">
        <x:v>周末已解析；节假日需交易所对应年度日历核验，实际交易日待核</x:v>
      </x:c>
    </x:row>
    <x:row r="332" ht="23" customHeight="1">
      <x:c r="A332" s="11" t="str">
        <x:v>03692.HK</x:v>
      </x:c>
      <x:c r="B332" s="11" t="str">
        <x:v>半年</x:v>
      </x:c>
      <x:c r="C332" s="11" t="str">
        <x:v>悲观</x:v>
      </x:c>
      <x:c r="D332" s="11" t="str">
        <x:v>收入利润率</x:v>
      </x:c>
      <x:c r="E332" s="18" t="n">
        <x:v>0.72</x:v>
      </x:c>
      <x:c r="F332" s="18" t="n">
        <x:v>24</x:v>
      </x:c>
      <x:c r="G332" s="18" t="n">
        <x:v>1.1</x:v>
      </x:c>
      <x:c r="H332" s="18" t="n">
        <x:v>0</x:v>
      </x:c>
      <x:c r="I332" s="18" t="n">
        <x:v>16.5</x:v>
      </x:c>
      <x:c r="J332" s="20" t="n">
        <x:v>0.2714181818181818</x:v>
      </x:c>
      <x:c r="K332" s="22" t="n">
        <x:v>6.22</x:v>
      </x:c>
      <x:c r="L332" s="11" t="str">
        <x:v>hansoh-v1</x:v>
      </x:c>
      <x:c r="M332" s="11" t="str">
        <x:v>2027-04-09</x:v>
      </x:c>
      <x:c r="N332" s="42" t="n">
        <x:v>23</x:v>
      </x:c>
      <x:c r="O332" t="str">
        <x:v>CNY</x:v>
      </x:c>
      <x:c r="V332" t="str">
        <x:v>2027-04-09</x:v>
      </x:c>
      <x:c r="W332" t="str">
        <x:v>待核</x:v>
      </x:c>
      <x:c r="X332" t="str">
        <x:v>周末已解析；节假日需交易所对应年度日历核验，实际交易日待核</x:v>
      </x:c>
    </x:row>
    <x:row r="333" ht="23" customHeight="1">
      <x:c r="A333" s="11" t="str">
        <x:v>03692.HK</x:v>
      </x:c>
      <x:c r="B333" s="11" t="str">
        <x:v>半年</x:v>
      </x:c>
      <x:c r="C333" s="11" t="str">
        <x:v>基准</x:v>
      </x:c>
      <x:c r="D333" s="11" t="str">
        <x:v>收入利润率</x:v>
      </x:c>
      <x:c r="E333" s="18" t="n">
        <x:v>0.98</x:v>
      </x:c>
      <x:c r="F333" s="18" t="n">
        <x:v>32</x:v>
      </x:c>
      <x:c r="G333" s="18" t="n">
        <x:v>1.1</x:v>
      </x:c>
      <x:c r="H333" s="18" t="n">
        <x:v>0</x:v>
      </x:c>
      <x:c r="I333" s="18" t="n">
        <x:v>18.8</x:v>
      </x:c>
      <x:c r="J333" s="20" t="n">
        <x:v>0.32162765957446804</x:v>
      </x:c>
      <x:c r="K333" s="22" t="n">
        <x:v>6.17</x:v>
      </x:c>
      <x:c r="L333" s="11" t="str">
        <x:v>hansoh-v1</x:v>
      </x:c>
      <x:c r="M333" s="11" t="str">
        <x:v>2027-04-09</x:v>
      </x:c>
      <x:c r="N333" s="42" t="n">
        <x:v>26</x:v>
      </x:c>
      <x:c r="O333" t="str">
        <x:v>CNY</x:v>
      </x:c>
      <x:c r="V333" t="str">
        <x:v>2027-04-09</x:v>
      </x:c>
      <x:c r="W333" t="str">
        <x:v>待核</x:v>
      </x:c>
      <x:c r="X333" t="str">
        <x:v>周末已解析；节假日需交易所对应年度日历核验，实际交易日待核</x:v>
      </x:c>
    </x:row>
    <x:row r="334" ht="23" customHeight="1">
      <x:c r="A334" s="11" t="str">
        <x:v>03692.HK</x:v>
      </x:c>
      <x:c r="B334" s="11" t="str">
        <x:v>半年</x:v>
      </x:c>
      <x:c r="C334" s="11" t="str">
        <x:v>乐观</x:v>
      </x:c>
      <x:c r="D334" s="11" t="str">
        <x:v>收入利润率</x:v>
      </x:c>
      <x:c r="E334" s="18" t="n">
        <x:v>1.22</x:v>
      </x:c>
      <x:c r="F334" s="18" t="n">
        <x:v>38</x:v>
      </x:c>
      <x:c r="G334" s="18" t="n">
        <x:v>1.1</x:v>
      </x:c>
      <x:c r="H334" s="18" t="n">
        <x:v>0</x:v>
      </x:c>
      <x:c r="I334" s="18" t="n">
        <x:v>21.5</x:v>
      </x:c>
      <x:c r="J334" s="20" t="n">
        <x:v>0.35011162790697675</x:v>
      </x:c>
      <x:c r="K334" s="22" t="n">
        <x:v>6.17</x:v>
      </x:c>
      <x:c r="L334" s="11" t="str">
        <x:v>hansoh-v1</x:v>
      </x:c>
      <x:c r="M334" s="11" t="str">
        <x:v>2027-04-09</x:v>
      </x:c>
      <x:c r="N334" s="42" t="n">
        <x:v>29</x:v>
      </x:c>
      <x:c r="O334" t="str">
        <x:v>CNY</x:v>
      </x:c>
      <x:c r="V334" t="str">
        <x:v>2027-04-09</x:v>
      </x:c>
      <x:c r="W334" t="str">
        <x:v>待核</x:v>
      </x:c>
      <x:c r="X334" t="str">
        <x:v>周末已解析；节假日需交易所对应年度日历核验，实际交易日待核</x:v>
      </x:c>
    </x:row>
    <x:row r="335" ht="23" customHeight="1">
      <x:c r="A335" s="15" t="str">
        <x:v>03692.HK</x:v>
      </x:c>
      <x:c r="B335" s="15" t="str">
        <x:v>一年</x:v>
      </x:c>
      <x:c r="C335" s="15" t="str">
        <x:v>活动输入</x:v>
      </x:c>
      <x:c r="D335" s="15" t="str">
        <x:v>收入利润率</x:v>
      </x:c>
      <x:c r="E335" s="17" t="n">
        <x:f>CHOOSE($B$3,E336,E337,E338)</x:f>
        <x:v>1.25</x:v>
      </x:c>
      <x:c r="F335" s="17" t="n">
        <x:f>CHOOSE($B$3,F336,F337,F338)</x:f>
        <x:v>30</x:v>
      </x:c>
      <x:c r="G335" s="17" t="n">
        <x:f>CHOOSE($B$3,G336,G337,G338)</x:f>
        <x:v>1.1</x:v>
      </x:c>
      <x:c r="H335" s="17" t="n">
        <x:f>CHOOSE($B$3,H336,H337,H338)</x:f>
        <x:v>0.55</x:v>
      </x:c>
      <x:c r="I335" s="17" t="n">
        <x:f>CHOOSE($B$3,I336,I337,I338)</x:f>
        <x:v>23.3</x:v>
      </x:c>
      <x:c r="J335" s="19" t="n">
        <x:f>CHOOSE($B$3,J336,J337,J338)</x:f>
        <x:v>0.3347639484978541</x:v>
      </x:c>
      <x:c r="K335" s="21" t="n">
        <x:f>CHOOSE($B$3,K336,K337,K338)</x:f>
        <x:v>6.24</x:v>
      </x:c>
      <x:c r="L335" s="15" t="str">
        <x:v>hansoh-v1</x:v>
      </x:c>
      <x:c r="M335" s="15" t="str">
        <x:v>2027-10-09</x:v>
      </x:c>
      <x:c r="N335" t="n">
        <x:f>CHOOSE($B$3,N336,N337,N338)</x:f>
        <x:v>27</x:v>
      </x:c>
      <x:c r="O335" t="str">
        <x:v>CNY</x:v>
      </x:c>
      <x:c r="V335" t="str">
        <x:v>2027-10-08</x:v>
      </x:c>
      <x:c r="W335" t="str">
        <x:v>待核</x:v>
      </x:c>
      <x:c r="X335" t="str">
        <x:v>周末已解析；节假日需交易所对应年度日历核验，实际交易日待核</x:v>
      </x:c>
    </x:row>
    <x:row r="336" ht="23" customHeight="1">
      <x:c r="A336" s="11" t="str">
        <x:v>03692.HK</x:v>
      </x:c>
      <x:c r="B336" s="11" t="str">
        <x:v>一年</x:v>
      </x:c>
      <x:c r="C336" s="11" t="str">
        <x:v>悲观</x:v>
      </x:c>
      <x:c r="D336" s="11" t="str">
        <x:v>收入利润率</x:v>
      </x:c>
      <x:c r="E336" s="18" t="n">
        <x:v>0.82</x:v>
      </x:c>
      <x:c r="F336" s="18" t="n">
        <x:v>22</x:v>
      </x:c>
      <x:c r="G336" s="18" t="n">
        <x:v>1.1</x:v>
      </x:c>
      <x:c r="H336" s="18" t="n">
        <x:v>0.25</x:v>
      </x:c>
      <x:c r="I336" s="18" t="n">
        <x:v>18.5</x:v>
      </x:c>
      <x:c r="J336" s="20" t="n">
        <x:v>0.27924324324324323</x:v>
      </x:c>
      <x:c r="K336" s="22" t="n">
        <x:v>6.3</x:v>
      </x:c>
      <x:c r="L336" s="11" t="str">
        <x:v>hansoh-v1</x:v>
      </x:c>
      <x:c r="M336" s="11" t="str">
        <x:v>2027-10-09</x:v>
      </x:c>
      <x:c r="N336" s="42" t="n">
        <x:v>21</x:v>
      </x:c>
      <x:c r="O336" t="str">
        <x:v>CNY</x:v>
      </x:c>
      <x:c r="V336" t="str">
        <x:v>2027-10-08</x:v>
      </x:c>
      <x:c r="W336" t="str">
        <x:v>待核</x:v>
      </x:c>
      <x:c r="X336" t="str">
        <x:v>周末已解析；节假日需交易所对应年度日历核验，实际交易日待核</x:v>
      </x:c>
    </x:row>
    <x:row r="337" ht="23" customHeight="1">
      <x:c r="A337" s="11" t="str">
        <x:v>03692.HK</x:v>
      </x:c>
      <x:c r="B337" s="11" t="str">
        <x:v>一年</x:v>
      </x:c>
      <x:c r="C337" s="11" t="str">
        <x:v>基准</x:v>
      </x:c>
      <x:c r="D337" s="11" t="str">
        <x:v>收入利润率</x:v>
      </x:c>
      <x:c r="E337" s="18" t="n">
        <x:v>1.25</x:v>
      </x:c>
      <x:c r="F337" s="18" t="n">
        <x:v>30</x:v>
      </x:c>
      <x:c r="G337" s="18" t="n">
        <x:v>1.1</x:v>
      </x:c>
      <x:c r="H337" s="18" t="n">
        <x:v>0.55</x:v>
      </x:c>
      <x:c r="I337" s="18" t="n">
        <x:v>23.3</x:v>
      </x:c>
      <x:c r="J337" s="20" t="n">
        <x:v>0.3347639484978541</x:v>
      </x:c>
      <x:c r="K337" s="22" t="n">
        <x:v>6.24</x:v>
      </x:c>
      <x:c r="L337" s="11" t="str">
        <x:v>hansoh-v1</x:v>
      </x:c>
      <x:c r="M337" s="11" t="str">
        <x:v>2027-10-09</x:v>
      </x:c>
      <x:c r="N337" s="42" t="n">
        <x:v>27</x:v>
      </x:c>
      <x:c r="O337" t="str">
        <x:v>CNY</x:v>
      </x:c>
      <x:c r="V337" t="str">
        <x:v>2027-10-08</x:v>
      </x:c>
      <x:c r="W337" t="str">
        <x:v>待核</x:v>
      </x:c>
      <x:c r="X337" t="str">
        <x:v>周末已解析；节假日需交易所对应年度日历核验，实际交易日待核</x:v>
      </x:c>
    </x:row>
    <x:row r="338" ht="23" customHeight="1">
      <x:c r="A338" s="11" t="str">
        <x:v>03692.HK</x:v>
      </x:c>
      <x:c r="B338" s="11" t="str">
        <x:v>一年</x:v>
      </x:c>
      <x:c r="C338" s="11" t="str">
        <x:v>乐观</x:v>
      </x:c>
      <x:c r="D338" s="11" t="str">
        <x:v>收入利润率</x:v>
      </x:c>
      <x:c r="E338" s="18" t="n">
        <x:v>1.65</x:v>
      </x:c>
      <x:c r="F338" s="18" t="n">
        <x:v>36</x:v>
      </x:c>
      <x:c r="G338" s="18" t="n">
        <x:v>1.1</x:v>
      </x:c>
      <x:c r="H338" s="18" t="n">
        <x:v>0.75</x:v>
      </x:c>
      <x:c r="I338" s="18" t="n">
        <x:v>27.8</x:v>
      </x:c>
      <x:c r="J338" s="20" t="n">
        <x:v>0.3703597122302158</x:v>
      </x:c>
      <x:c r="K338" s="22" t="n">
        <x:v>6.24</x:v>
      </x:c>
      <x:c r="L338" s="11" t="str">
        <x:v>hansoh-v1</x:v>
      </x:c>
      <x:c r="M338" s="11" t="str">
        <x:v>2027-10-09</x:v>
      </x:c>
      <x:c r="N338" s="42" t="n">
        <x:v>32</x:v>
      </x:c>
      <x:c r="O338" t="str">
        <x:v>CNY</x:v>
      </x:c>
      <x:c r="V338" t="str">
        <x:v>2027-10-08</x:v>
      </x:c>
      <x:c r="W338" t="str">
        <x:v>待核</x:v>
      </x:c>
      <x:c r="X338" t="str">
        <x:v>周末已解析；节假日需交易所对应年度日历核验，实际交易日待核</x:v>
      </x:c>
    </x:row>
    <x:row r="339" ht="23" customHeight="1">
      <x:c r="A339" s="15" t="str">
        <x:v>03692.HK</x:v>
      </x:c>
      <x:c r="B339" s="15" t="str">
        <x:v>三年</x:v>
      </x:c>
      <x:c r="C339" s="15" t="str">
        <x:v>活动输入</x:v>
      </x:c>
      <x:c r="D339" s="15" t="str">
        <x:v>收入利润率</x:v>
      </x:c>
      <x:c r="E339" s="17" t="n">
        <x:f>CHOOSE($B$3,E340,E341,E342)</x:f>
        <x:v>1.62</x:v>
      </x:c>
      <x:c r="F339" s="17" t="n">
        <x:f>CHOOSE($B$3,F340,F341,F342)</x:f>
        <x:v>28</x:v>
      </x:c>
      <x:c r="G339" s="17" t="n">
        <x:f>CHOOSE($B$3,G340,G341,G342)</x:f>
        <x:v>1.1</x:v>
      </x:c>
      <x:c r="H339" s="17" t="n">
        <x:f>CHOOSE($B$3,H340,H341,H342)</x:f>
        <x:v>1.9</x:v>
      </x:c>
      <x:c r="I339" s="17" t="n">
        <x:f>CHOOSE($B$3,I340,I341,I342)</x:f>
        <x:v>30</x:v>
      </x:c>
      <x:c r="J339" s="19" t="n">
        <x:f>CHOOSE($B$3,J340,J341,J342)</x:f>
        <x:v>0.34452000000000005</x:v>
      </x:c>
      <x:c r="K339" s="21" t="n">
        <x:f>CHOOSE($B$3,K340,K341,K342)</x:f>
        <x:v>6.38</x:v>
      </x:c>
      <x:c r="L339" s="15" t="str">
        <x:v>hansoh-v1</x:v>
      </x:c>
      <x:c r="M339" s="15" t="str">
        <x:v>2029-10-09</x:v>
      </x:c>
      <x:c r="N339" t="n">
        <x:f>CHOOSE($B$3,N340,N341,N342)</x:f>
        <x:v>29</x:v>
      </x:c>
      <x:c r="O339" t="str">
        <x:v>CNY</x:v>
      </x:c>
      <x:c r="V339" t="str">
        <x:v>2029-10-09</x:v>
      </x:c>
      <x:c r="W339" t="str">
        <x:v>待核</x:v>
      </x:c>
      <x:c r="X339" t="str">
        <x:v>周末已解析；节假日需交易所对应年度日历核验，实际交易日待核</x:v>
      </x:c>
    </x:row>
    <x:row r="340" ht="23" customHeight="1">
      <x:c r="A340" s="11" t="str">
        <x:v>03692.HK</x:v>
      </x:c>
      <x:c r="B340" s="11" t="str">
        <x:v>三年</x:v>
      </x:c>
      <x:c r="C340" s="11" t="str">
        <x:v>悲观</x:v>
      </x:c>
      <x:c r="D340" s="11" t="str">
        <x:v>收入利润率</x:v>
      </x:c>
      <x:c r="E340" s="18" t="n">
        <x:v>1</x:v>
      </x:c>
      <x:c r="F340" s="18" t="n">
        <x:v>20</x:v>
      </x:c>
      <x:c r="G340" s="18" t="n">
        <x:v>1.1</x:v>
      </x:c>
      <x:c r="H340" s="18" t="n">
        <x:v>0.9</x:v>
      </x:c>
      <x:c r="I340" s="18" t="n">
        <x:v>22.2</x:v>
      </x:c>
      <x:c r="J340" s="20" t="n">
        <x:v>0.2927927927927928</x:v>
      </x:c>
      <x:c r="K340" s="22" t="n">
        <x:v>6.5</x:v>
      </x:c>
      <x:c r="L340" s="11" t="str">
        <x:v>hansoh-v1</x:v>
      </x:c>
      <x:c r="M340" s="11" t="str">
        <x:v>2029-10-09</x:v>
      </x:c>
      <x:c r="N340" s="42" t="n">
        <x:v>18</x:v>
      </x:c>
      <x:c r="O340" t="str">
        <x:v>CNY</x:v>
      </x:c>
      <x:c r="V340" t="str">
        <x:v>2029-10-09</x:v>
      </x:c>
      <x:c r="W340" t="str">
        <x:v>待核</x:v>
      </x:c>
      <x:c r="X340" t="str">
        <x:v>周末已解析；节假日需交易所对应年度日历核验，实际交易日待核</x:v>
      </x:c>
    </x:row>
    <x:row r="341" ht="23" customHeight="1">
      <x:c r="A341" s="11" t="str">
        <x:v>03692.HK</x:v>
      </x:c>
      <x:c r="B341" s="11" t="str">
        <x:v>三年</x:v>
      </x:c>
      <x:c r="C341" s="11" t="str">
        <x:v>基准</x:v>
      </x:c>
      <x:c r="D341" s="11" t="str">
        <x:v>收入利润率</x:v>
      </x:c>
      <x:c r="E341" s="18" t="n">
        <x:v>1.62</x:v>
      </x:c>
      <x:c r="F341" s="18" t="n">
        <x:v>28</x:v>
      </x:c>
      <x:c r="G341" s="18" t="n">
        <x:v>1.1</x:v>
      </x:c>
      <x:c r="H341" s="18" t="n">
        <x:v>1.9</x:v>
      </x:c>
      <x:c r="I341" s="18" t="n">
        <x:v>30</x:v>
      </x:c>
      <x:c r="J341" s="20" t="n">
        <x:v>0.34452000000000005</x:v>
      </x:c>
      <x:c r="K341" s="22" t="n">
        <x:v>6.38</x:v>
      </x:c>
      <x:c r="L341" s="11" t="str">
        <x:v>hansoh-v1</x:v>
      </x:c>
      <x:c r="M341" s="11" t="str">
        <x:v>2029-10-09</x:v>
      </x:c>
      <x:c r="N341" s="42" t="n">
        <x:v>29</x:v>
      </x:c>
      <x:c r="O341" t="str">
        <x:v>CNY</x:v>
      </x:c>
      <x:c r="V341" t="str">
        <x:v>2029-10-09</x:v>
      </x:c>
      <x:c r="W341" t="str">
        <x:v>待核</x:v>
      </x:c>
      <x:c r="X341" t="str">
        <x:v>周末已解析；节假日需交易所对应年度日历核验，实际交易日待核</x:v>
      </x:c>
    </x:row>
    <x:row r="342" ht="23" customHeight="1">
      <x:c r="A342" s="11" t="str">
        <x:v>03692.HK</x:v>
      </x:c>
      <x:c r="B342" s="11" t="str">
        <x:v>三年</x:v>
      </x:c>
      <x:c r="C342" s="11" t="str">
        <x:v>乐观</x:v>
      </x:c>
      <x:c r="D342" s="11" t="str">
        <x:v>收入利润率</x:v>
      </x:c>
      <x:c r="E342" s="18" t="n">
        <x:v>2.4</x:v>
      </x:c>
      <x:c r="F342" s="18" t="n">
        <x:v>34</x:v>
      </x:c>
      <x:c r="G342" s="18" t="n">
        <x:v>1.1</x:v>
      </x:c>
      <x:c r="H342" s="18" t="n">
        <x:v>2.8</x:v>
      </x:c>
      <x:c r="I342" s="18" t="n">
        <x:v>39</x:v>
      </x:c>
      <x:c r="J342" s="20" t="n">
        <x:v>0.3926153846153846</x:v>
      </x:c>
      <x:c r="K342" s="22" t="n">
        <x:v>6.38</x:v>
      </x:c>
      <x:c r="L342" s="11" t="str">
        <x:v>hansoh-v1</x:v>
      </x:c>
      <x:c r="M342" s="11" t="str">
        <x:v>2029-10-09</x:v>
      </x:c>
      <x:c r="N342" s="42" t="n">
        <x:v>38</x:v>
      </x:c>
      <x:c r="O342" t="str">
        <x:v>CNY</x:v>
      </x:c>
      <x:c r="V342" t="str">
        <x:v>2029-10-09</x:v>
      </x:c>
      <x:c r="W342" t="str">
        <x:v>待核</x:v>
      </x:c>
      <x:c r="X342" t="str">
        <x:v>周末已解析；节假日需交易所对应年度日历核验，实际交易日待核</x:v>
      </x:c>
    </x:row>
    <x:row r="343" ht="23" customHeight="1">
      <x:c r="A343" s="15" t="str">
        <x:v>03692.HK</x:v>
      </x:c>
      <x:c r="B343" s="15" t="str">
        <x:v>五年</x:v>
      </x:c>
      <x:c r="C343" s="15" t="str">
        <x:v>活动输入</x:v>
      </x:c>
      <x:c r="D343" s="15" t="str">
        <x:v>收入利润率</x:v>
      </x:c>
      <x:c r="E343" s="17" t="n">
        <x:f>CHOOSE($B$3,E344,E345,E346)</x:f>
        <x:v>2.35</x:v>
      </x:c>
      <x:c r="F343" s="17" t="n">
        <x:f>CHOOSE($B$3,F344,F345,F346)</x:f>
        <x:v>25</x:v>
      </x:c>
      <x:c r="G343" s="17" t="n">
        <x:f>CHOOSE($B$3,G344,G345,G346)</x:f>
        <x:v>1.1</x:v>
      </x:c>
      <x:c r="H343" s="17" t="n">
        <x:f>CHOOSE($B$3,H344,H345,H346)</x:f>
        <x:v>3.7</x:v>
      </x:c>
      <x:c r="I343" s="17" t="n">
        <x:f>CHOOSE($B$3,I344,I345,I346)</x:f>
        <x:v>43</x:v>
      </x:c>
      <x:c r="J343" s="19" t="n">
        <x:f>CHOOSE($B$3,J344,J345,J346)</x:f>
        <x:v>0.3606976744186046</x:v>
      </x:c>
      <x:c r="K343" s="21" t="n">
        <x:f>CHOOSE($B$3,K344,K345,K346)</x:f>
        <x:v>6.6</x:v>
      </x:c>
      <x:c r="L343" s="15" t="str">
        <x:v>hansoh-v1</x:v>
      </x:c>
      <x:c r="M343" s="15" t="str">
        <x:v>2031-10-09</x:v>
      </x:c>
      <x:c r="N343" t="n">
        <x:f>CHOOSE($B$3,N344,N345,N346)</x:f>
        <x:v>35</x:v>
      </x:c>
      <x:c r="O343" t="str">
        <x:v>CNY</x:v>
      </x:c>
      <x:c r="V343" t="str">
        <x:v>2031-10-09</x:v>
      </x:c>
      <x:c r="W343" t="str">
        <x:v>待核</x:v>
      </x:c>
      <x:c r="X343" t="str">
        <x:v>周末已解析；节假日需交易所对应年度日历核验，实际交易日待核</x:v>
      </x:c>
    </x:row>
    <x:row r="344" ht="23" customHeight="1">
      <x:c r="A344" s="11" t="str">
        <x:v>03692.HK</x:v>
      </x:c>
      <x:c r="B344" s="11" t="str">
        <x:v>五年</x:v>
      </x:c>
      <x:c r="C344" s="11" t="str">
        <x:v>悲观</x:v>
      </x:c>
      <x:c r="D344" s="11" t="str">
        <x:v>收入利润率</x:v>
      </x:c>
      <x:c r="E344" s="18" t="n">
        <x:v>1.18</x:v>
      </x:c>
      <x:c r="F344" s="18" t="n">
        <x:v>18</x:v>
      </x:c>
      <x:c r="G344" s="18" t="n">
        <x:v>1.1</x:v>
      </x:c>
      <x:c r="H344" s="18" t="n">
        <x:v>1.7</x:v>
      </x:c>
      <x:c r="I344" s="18" t="n">
        <x:v>26.5</x:v>
      </x:c>
      <x:c r="J344" s="20" t="n">
        <x:v>0.30056603773584906</x:v>
      </x:c>
      <x:c r="K344" s="22" t="n">
        <x:v>6.75</x:v>
      </x:c>
      <x:c r="L344" s="11" t="str">
        <x:v>hansoh-v1</x:v>
      </x:c>
      <x:c r="M344" s="11" t="str">
        <x:v>2031-10-09</x:v>
      </x:c>
      <x:c r="N344" s="42" t="n">
        <x:v>16</x:v>
      </x:c>
      <x:c r="O344" t="str">
        <x:v>CNY</x:v>
      </x:c>
      <x:c r="V344" t="str">
        <x:v>2031-10-09</x:v>
      </x:c>
      <x:c r="W344" t="str">
        <x:v>待核</x:v>
      </x:c>
      <x:c r="X344" t="str">
        <x:v>周末已解析；节假日需交易所对应年度日历核验，实际交易日待核</x:v>
      </x:c>
    </x:row>
    <x:row r="345" ht="23" customHeight="1">
      <x:c r="A345" s="11" t="str">
        <x:v>03692.HK</x:v>
      </x:c>
      <x:c r="B345" s="11" t="str">
        <x:v>五年</x:v>
      </x:c>
      <x:c r="C345" s="11" t="str">
        <x:v>基准</x:v>
      </x:c>
      <x:c r="D345" s="11" t="str">
        <x:v>收入利润率</x:v>
      </x:c>
      <x:c r="E345" s="18" t="n">
        <x:v>2.35</x:v>
      </x:c>
      <x:c r="F345" s="18" t="n">
        <x:v>25</x:v>
      </x:c>
      <x:c r="G345" s="18" t="n">
        <x:v>1.1</x:v>
      </x:c>
      <x:c r="H345" s="18" t="n">
        <x:v>3.7</x:v>
      </x:c>
      <x:c r="I345" s="18" t="n">
        <x:v>43</x:v>
      </x:c>
      <x:c r="J345" s="20" t="n">
        <x:v>0.3606976744186046</x:v>
      </x:c>
      <x:c r="K345" s="22" t="n">
        <x:v>6.6</x:v>
      </x:c>
      <x:c r="L345" s="11" t="str">
        <x:v>hansoh-v1</x:v>
      </x:c>
      <x:c r="M345" s="11" t="str">
        <x:v>2031-10-09</x:v>
      </x:c>
      <x:c r="N345" s="42" t="n">
        <x:v>35</x:v>
      </x:c>
      <x:c r="O345" t="str">
        <x:v>CNY</x:v>
      </x:c>
      <x:c r="V345" t="str">
        <x:v>2031-10-09</x:v>
      </x:c>
      <x:c r="W345" t="str">
        <x:v>待核</x:v>
      </x:c>
      <x:c r="X345" t="str">
        <x:v>周末已解析；节假日需交易所对应年度日历核验，实际交易日待核</x:v>
      </x:c>
    </x:row>
    <x:row r="346" ht="23" customHeight="1">
      <x:c r="A346" s="11" t="str">
        <x:v>03692.HK</x:v>
      </x:c>
      <x:c r="B346" s="11" t="str">
        <x:v>五年</x:v>
      </x:c>
      <x:c r="C346" s="11" t="str">
        <x:v>乐观</x:v>
      </x:c>
      <x:c r="D346" s="11" t="str">
        <x:v>收入利润率</x:v>
      </x:c>
      <x:c r="E346" s="18" t="n">
        <x:v>3.6</x:v>
      </x:c>
      <x:c r="F346" s="18" t="n">
        <x:v>31</x:v>
      </x:c>
      <x:c r="G346" s="18" t="n">
        <x:v>1.1</x:v>
      </x:c>
      <x:c r="H346" s="18" t="n">
        <x:v>5.5</x:v>
      </x:c>
      <x:c r="I346" s="18" t="n">
        <x:v>61</x:v>
      </x:c>
      <x:c r="J346" s="20" t="n">
        <x:v>0.38950819672131143</x:v>
      </x:c>
      <x:c r="K346" s="22" t="n">
        <x:v>6.6</x:v>
      </x:c>
      <x:c r="L346" s="11" t="str">
        <x:v>hansoh-v1</x:v>
      </x:c>
      <x:c r="M346" s="11" t="str">
        <x:v>2031-10-09</x:v>
      </x:c>
      <x:c r="N346" s="42" t="n">
        <x:v>48</x:v>
      </x:c>
      <x:c r="O346" t="str">
        <x:v>CNY</x:v>
      </x:c>
      <x:c r="V346" t="str">
        <x:v>2031-10-09</x:v>
      </x:c>
      <x:c r="W346" t="str">
        <x:v>待核</x:v>
      </x:c>
      <x:c r="X346" t="str">
        <x:v>周末已解析；节假日需交易所对应年度日历核验，实际交易日待核</x:v>
      </x:c>
    </x:row>
    <x:row r="347" ht="23" customHeight="1">
      <x:c r="A347" s="15" t="str">
        <x:v>688131.SH</x:v>
      </x:c>
      <x:c r="B347" s="15" t="str">
        <x:v>2026年底</x:v>
      </x:c>
      <x:c r="C347" s="15" t="str">
        <x:v>活动输入</x:v>
      </x:c>
      <x:c r="D347" s="15" t="str">
        <x:v>EPS</x:v>
      </x:c>
      <x:c r="E347" s="17" t="n">
        <x:f>CHOOSE($B$3,E348,E349,E350)</x:f>
        <x:v>1.55</x:v>
      </x:c>
      <x:c r="F347" s="17" t="n">
        <x:f>CHOOSE($B$3,F348,F349,F350)</x:f>
        <x:v>58</x:v>
      </x:c>
      <x:c r="G347" s="17" t="n">
        <x:f>CHOOSE($B$3,G348,G349,G350)</x:f>
        <x:v>1</x:v>
      </x:c>
      <x:c r="H347" s="17" t="n">
        <x:f>CHOOSE($B$3,H348,H349,H350)</x:f>
        <x:v>0</x:v>
      </x:c>
      <x:c r="I347" s="17" t="str">
        <x:f>CHOOSE($B$3,I348,I349,I350)</x:f>
      </x:c>
      <x:c r="J347" s="19" t="str">
        <x:f>CHOOSE($B$3,J348,J349,J350)</x:f>
      </x:c>
      <x:c r="K347" s="21" t="str">
        <x:f>CHOOSE($B$3,K348,K349,K350)</x:f>
      </x:c>
      <x:c r="L347" s="15" t="str">
        <x:v>haoyuan-diluted-pe-v1.0</x:v>
      </x:c>
      <x:c r="M347" s="15" t="str">
        <x:v>2026-12-31</x:v>
      </x:c>
      <x:c r="O347" t="str">
        <x:v>CNY</x:v>
      </x:c>
      <x:c r="V347" t="str">
        <x:v>2026-12-31</x:v>
      </x:c>
      <x:c r="W347" t="str">
        <x:v>待核</x:v>
      </x:c>
      <x:c r="X347" t="str">
        <x:v>周末已解析；节假日需交易所对应年度日历核验，实际交易日待核</x:v>
      </x:c>
    </x:row>
    <x:row r="348" ht="23" customHeight="1">
      <x:c r="A348" s="11" t="str">
        <x:v>688131.SH</x:v>
      </x:c>
      <x:c r="B348" s="11" t="str">
        <x:v>2026年底</x:v>
      </x:c>
      <x:c r="C348" s="11" t="str">
        <x:v>悲观</x:v>
      </x:c>
      <x:c r="D348" s="11" t="str">
        <x:v>EPS</x:v>
      </x:c>
      <x:c r="E348" s="18" t="n">
        <x:v>1.05</x:v>
      </x:c>
      <x:c r="F348" s="18" t="n">
        <x:v>38</x:v>
      </x:c>
      <x:c r="G348" s="18" t="n">
        <x:v>1</x:v>
      </x:c>
      <x:c r="H348" s="18" t="n">
        <x:v>0</x:v>
      </x:c>
      <x:c r="I348" s="18"/>
      <x:c r="J348" s="20"/>
      <x:c r="K348" s="22"/>
      <x:c r="L348" s="11" t="str">
        <x:v>haoyuan-diluted-pe-v1.0</x:v>
      </x:c>
      <x:c r="M348" s="11" t="str">
        <x:v>2026-12-31</x:v>
      </x:c>
      <x:c r="O348" t="str">
        <x:v>CNY</x:v>
      </x:c>
      <x:c r="V348" t="str">
        <x:v>2026-12-31</x:v>
      </x:c>
      <x:c r="W348" t="str">
        <x:v>待核</x:v>
      </x:c>
      <x:c r="X348" t="str">
        <x:v>周末已解析；节假日需交易所对应年度日历核验，实际交易日待核</x:v>
      </x:c>
    </x:row>
    <x:row r="349" ht="23" customHeight="1">
      <x:c r="A349" s="11" t="str">
        <x:v>688131.SH</x:v>
      </x:c>
      <x:c r="B349" s="11" t="str">
        <x:v>2026年底</x:v>
      </x:c>
      <x:c r="C349" s="11" t="str">
        <x:v>基准</x:v>
      </x:c>
      <x:c r="D349" s="11" t="str">
        <x:v>EPS</x:v>
      </x:c>
      <x:c r="E349" s="18" t="n">
        <x:v>1.55</x:v>
      </x:c>
      <x:c r="F349" s="18" t="n">
        <x:v>58</x:v>
      </x:c>
      <x:c r="G349" s="18" t="n">
        <x:v>1</x:v>
      </x:c>
      <x:c r="H349" s="18" t="n">
        <x:v>0</x:v>
      </x:c>
      <x:c r="I349" s="18"/>
      <x:c r="J349" s="20"/>
      <x:c r="K349" s="22"/>
      <x:c r="L349" s="11" t="str">
        <x:v>haoyuan-diluted-pe-v1.0</x:v>
      </x:c>
      <x:c r="M349" s="11" t="str">
        <x:v>2026-12-31</x:v>
      </x:c>
      <x:c r="O349" t="str">
        <x:v>CNY</x:v>
      </x:c>
      <x:c r="V349" t="str">
        <x:v>2026-12-31</x:v>
      </x:c>
      <x:c r="W349" t="str">
        <x:v>待核</x:v>
      </x:c>
      <x:c r="X349" t="str">
        <x:v>周末已解析；节假日需交易所对应年度日历核验，实际交易日待核</x:v>
      </x:c>
    </x:row>
    <x:row r="350" ht="23" customHeight="1">
      <x:c r="A350" s="11" t="str">
        <x:v>688131.SH</x:v>
      </x:c>
      <x:c r="B350" s="11" t="str">
        <x:v>2026年底</x:v>
      </x:c>
      <x:c r="C350" s="11" t="str">
        <x:v>乐观</x:v>
      </x:c>
      <x:c r="D350" s="11" t="str">
        <x:v>EPS</x:v>
      </x:c>
      <x:c r="E350" s="18" t="n">
        <x:v>1.85</x:v>
      </x:c>
      <x:c r="F350" s="18" t="n">
        <x:v>72</x:v>
      </x:c>
      <x:c r="G350" s="18" t="n">
        <x:v>1</x:v>
      </x:c>
      <x:c r="H350" s="18" t="n">
        <x:v>0</x:v>
      </x:c>
      <x:c r="I350" s="18"/>
      <x:c r="J350" s="20"/>
      <x:c r="K350" s="22"/>
      <x:c r="L350" s="11" t="str">
        <x:v>haoyuan-diluted-pe-v1.0</x:v>
      </x:c>
      <x:c r="M350" s="11" t="str">
        <x:v>2026-12-31</x:v>
      </x:c>
      <x:c r="O350" t="str">
        <x:v>CNY</x:v>
      </x:c>
      <x:c r="V350" t="str">
        <x:v>2026-12-31</x:v>
      </x:c>
      <x:c r="W350" t="str">
        <x:v>待核</x:v>
      </x:c>
      <x:c r="X350" t="str">
        <x:v>周末已解析；节假日需交易所对应年度日历核验，实际交易日待核</x:v>
      </x:c>
    </x:row>
    <x:row r="351" ht="23" customHeight="1">
      <x:c r="A351" s="15" t="str">
        <x:v>688131.SH</x:v>
      </x:c>
      <x:c r="B351" s="15" t="str">
        <x:v>半年</x:v>
      </x:c>
      <x:c r="C351" s="15" t="str">
        <x:v>活动输入</x:v>
      </x:c>
      <x:c r="D351" s="15" t="str">
        <x:v>EPS</x:v>
      </x:c>
      <x:c r="E351" s="17" t="n">
        <x:f>CHOOSE($B$3,E352,E353,E354)</x:f>
        <x:v>1.8</x:v>
      </x:c>
      <x:c r="F351" s="17" t="n">
        <x:f>CHOOSE($B$3,F352,F353,F354)</x:f>
        <x:v>55</x:v>
      </x:c>
      <x:c r="G351" s="17" t="n">
        <x:f>CHOOSE($B$3,G352,G353,G354)</x:f>
        <x:v>1</x:v>
      </x:c>
      <x:c r="H351" s="17" t="n">
        <x:f>CHOOSE($B$3,H352,H353,H354)</x:f>
        <x:v>0</x:v>
      </x:c>
      <x:c r="I351" s="17" t="str">
        <x:f>CHOOSE($B$3,I352,I353,I354)</x:f>
      </x:c>
      <x:c r="J351" s="19" t="str">
        <x:f>CHOOSE($B$3,J352,J353,J354)</x:f>
      </x:c>
      <x:c r="K351" s="21" t="str">
        <x:f>CHOOSE($B$3,K352,K353,K354)</x:f>
      </x:c>
      <x:c r="L351" s="15" t="str">
        <x:v>haoyuan-diluted-pe-v1.0</x:v>
      </x:c>
      <x:c r="M351" s="15" t="str">
        <x:v>2027-04-09</x:v>
      </x:c>
      <x:c r="O351" t="str">
        <x:v>CNY</x:v>
      </x:c>
      <x:c r="V351" t="str">
        <x:v>2027-04-09</x:v>
      </x:c>
      <x:c r="W351" t="str">
        <x:v>待核</x:v>
      </x:c>
      <x:c r="X351" t="str">
        <x:v>周末已解析；节假日需交易所对应年度日历核验，实际交易日待核</x:v>
      </x:c>
    </x:row>
    <x:row r="352" ht="23" customHeight="1">
      <x:c r="A352" s="11" t="str">
        <x:v>688131.SH</x:v>
      </x:c>
      <x:c r="B352" s="11" t="str">
        <x:v>半年</x:v>
      </x:c>
      <x:c r="C352" s="11" t="str">
        <x:v>悲观</x:v>
      </x:c>
      <x:c r="D352" s="11" t="str">
        <x:v>EPS</x:v>
      </x:c>
      <x:c r="E352" s="18" t="n">
        <x:v>1.1</x:v>
      </x:c>
      <x:c r="F352" s="18" t="n">
        <x:v>36</x:v>
      </x:c>
      <x:c r="G352" s="18" t="n">
        <x:v>1</x:v>
      </x:c>
      <x:c r="H352" s="18" t="n">
        <x:v>0</x:v>
      </x:c>
      <x:c r="I352" s="18"/>
      <x:c r="J352" s="20"/>
      <x:c r="K352" s="22"/>
      <x:c r="L352" s="11" t="str">
        <x:v>haoyuan-diluted-pe-v1.0</x:v>
      </x:c>
      <x:c r="M352" s="11" t="str">
        <x:v>2027-04-09</x:v>
      </x:c>
      <x:c r="O352" t="str">
        <x:v>CNY</x:v>
      </x:c>
      <x:c r="V352" t="str">
        <x:v>2027-04-09</x:v>
      </x:c>
      <x:c r="W352" t="str">
        <x:v>待核</x:v>
      </x:c>
      <x:c r="X352" t="str">
        <x:v>周末已解析；节假日需交易所对应年度日历核验，实际交易日待核</x:v>
      </x:c>
    </x:row>
    <x:row r="353" ht="23" customHeight="1">
      <x:c r="A353" s="11" t="str">
        <x:v>688131.SH</x:v>
      </x:c>
      <x:c r="B353" s="11" t="str">
        <x:v>半年</x:v>
      </x:c>
      <x:c r="C353" s="11" t="str">
        <x:v>基准</x:v>
      </x:c>
      <x:c r="D353" s="11" t="str">
        <x:v>EPS</x:v>
      </x:c>
      <x:c r="E353" s="18" t="n">
        <x:v>1.8</x:v>
      </x:c>
      <x:c r="F353" s="18" t="n">
        <x:v>55</x:v>
      </x:c>
      <x:c r="G353" s="18" t="n">
        <x:v>1</x:v>
      </x:c>
      <x:c r="H353" s="18" t="n">
        <x:v>0</x:v>
      </x:c>
      <x:c r="I353" s="18"/>
      <x:c r="J353" s="20"/>
      <x:c r="K353" s="22"/>
      <x:c r="L353" s="11" t="str">
        <x:v>haoyuan-diluted-pe-v1.0</x:v>
      </x:c>
      <x:c r="M353" s="11" t="str">
        <x:v>2027-04-09</x:v>
      </x:c>
      <x:c r="O353" t="str">
        <x:v>CNY</x:v>
      </x:c>
      <x:c r="V353" t="str">
        <x:v>2027-04-09</x:v>
      </x:c>
      <x:c r="W353" t="str">
        <x:v>待核</x:v>
      </x:c>
      <x:c r="X353" t="str">
        <x:v>周末已解析；节假日需交易所对应年度日历核验，实际交易日待核</x:v>
      </x:c>
    </x:row>
    <x:row r="354" ht="23" customHeight="1">
      <x:c r="A354" s="11" t="str">
        <x:v>688131.SH</x:v>
      </x:c>
      <x:c r="B354" s="11" t="str">
        <x:v>半年</x:v>
      </x:c>
      <x:c r="C354" s="11" t="str">
        <x:v>乐观</x:v>
      </x:c>
      <x:c r="D354" s="11" t="str">
        <x:v>EPS</x:v>
      </x:c>
      <x:c r="E354" s="18" t="n">
        <x:v>2.3</x:v>
      </x:c>
      <x:c r="F354" s="18" t="n">
        <x:v>70</x:v>
      </x:c>
      <x:c r="G354" s="18" t="n">
        <x:v>1</x:v>
      </x:c>
      <x:c r="H354" s="18" t="n">
        <x:v>0</x:v>
      </x:c>
      <x:c r="I354" s="18"/>
      <x:c r="J354" s="20"/>
      <x:c r="K354" s="22"/>
      <x:c r="L354" s="11" t="str">
        <x:v>haoyuan-diluted-pe-v1.0</x:v>
      </x:c>
      <x:c r="M354" s="11" t="str">
        <x:v>2027-04-09</x:v>
      </x:c>
      <x:c r="O354" t="str">
        <x:v>CNY</x:v>
      </x:c>
      <x:c r="V354" t="str">
        <x:v>2027-04-09</x:v>
      </x:c>
      <x:c r="W354" t="str">
        <x:v>待核</x:v>
      </x:c>
      <x:c r="X354" t="str">
        <x:v>周末已解析；节假日需交易所对应年度日历核验，实际交易日待核</x:v>
      </x:c>
    </x:row>
    <x:row r="355" ht="23" customHeight="1">
      <x:c r="A355" s="15" t="str">
        <x:v>688131.SH</x:v>
      </x:c>
      <x:c r="B355" s="15" t="str">
        <x:v>一年</x:v>
      </x:c>
      <x:c r="C355" s="15" t="str">
        <x:v>活动输入</x:v>
      </x:c>
      <x:c r="D355" s="15" t="str">
        <x:v>EPS</x:v>
      </x:c>
      <x:c r="E355" s="17" t="n">
        <x:f>CHOOSE($B$3,E356,E357,E358)</x:f>
        <x:v>2.25</x:v>
      </x:c>
      <x:c r="F355" s="17" t="n">
        <x:f>CHOOSE($B$3,F356,F357,F358)</x:f>
        <x:v>52</x:v>
      </x:c>
      <x:c r="G355" s="17" t="n">
        <x:f>CHOOSE($B$3,G356,G357,G358)</x:f>
        <x:v>1</x:v>
      </x:c>
      <x:c r="H355" s="17" t="n">
        <x:f>CHOOSE($B$3,H356,H357,H358)</x:f>
        <x:v>0.28</x:v>
      </x:c>
      <x:c r="I355" s="17" t="str">
        <x:f>CHOOSE($B$3,I356,I357,I358)</x:f>
      </x:c>
      <x:c r="J355" s="19" t="str">
        <x:f>CHOOSE($B$3,J356,J357,J358)</x:f>
      </x:c>
      <x:c r="K355" s="21" t="str">
        <x:f>CHOOSE($B$3,K356,K357,K358)</x:f>
      </x:c>
      <x:c r="L355" s="15" t="str">
        <x:v>haoyuan-diluted-pe-v1.0</x:v>
      </x:c>
      <x:c r="M355" s="15" t="str">
        <x:v>2027-10-09</x:v>
      </x:c>
      <x:c r="O355" t="str">
        <x:v>CNY</x:v>
      </x:c>
      <x:c r="V355" t="str">
        <x:v>2027-10-08</x:v>
      </x:c>
      <x:c r="W355" t="str">
        <x:v>待核</x:v>
      </x:c>
      <x:c r="X355" t="str">
        <x:v>周末已解析；节假日需交易所对应年度日历核验，实际交易日待核</x:v>
      </x:c>
    </x:row>
    <x:row r="356" ht="23" customHeight="1">
      <x:c r="A356" s="11" t="str">
        <x:v>688131.SH</x:v>
      </x:c>
      <x:c r="B356" s="11" t="str">
        <x:v>一年</x:v>
      </x:c>
      <x:c r="C356" s="11" t="str">
        <x:v>悲观</x:v>
      </x:c>
      <x:c r="D356" s="11" t="str">
        <x:v>EPS</x:v>
      </x:c>
      <x:c r="E356" s="18" t="n">
        <x:v>1.2</x:v>
      </x:c>
      <x:c r="F356" s="18" t="n">
        <x:v>34</x:v>
      </x:c>
      <x:c r="G356" s="18" t="n">
        <x:v>1</x:v>
      </x:c>
      <x:c r="H356" s="18" t="n">
        <x:v>0.15</x:v>
      </x:c>
      <x:c r="I356" s="18"/>
      <x:c r="J356" s="20"/>
      <x:c r="K356" s="22"/>
      <x:c r="L356" s="11" t="str">
        <x:v>haoyuan-diluted-pe-v1.0</x:v>
      </x:c>
      <x:c r="M356" s="11" t="str">
        <x:v>2027-10-09</x:v>
      </x:c>
      <x:c r="O356" t="str">
        <x:v>CNY</x:v>
      </x:c>
      <x:c r="V356" t="str">
        <x:v>2027-10-08</x:v>
      </x:c>
      <x:c r="W356" t="str">
        <x:v>待核</x:v>
      </x:c>
      <x:c r="X356" t="str">
        <x:v>周末已解析；节假日需交易所对应年度日历核验，实际交易日待核</x:v>
      </x:c>
    </x:row>
    <x:row r="357" ht="23" customHeight="1">
      <x:c r="A357" s="11" t="str">
        <x:v>688131.SH</x:v>
      </x:c>
      <x:c r="B357" s="11" t="str">
        <x:v>一年</x:v>
      </x:c>
      <x:c r="C357" s="11" t="str">
        <x:v>基准</x:v>
      </x:c>
      <x:c r="D357" s="11" t="str">
        <x:v>EPS</x:v>
      </x:c>
      <x:c r="E357" s="18" t="n">
        <x:v>2.25</x:v>
      </x:c>
      <x:c r="F357" s="18" t="n">
        <x:v>52</x:v>
      </x:c>
      <x:c r="G357" s="18" t="n">
        <x:v>1</x:v>
      </x:c>
      <x:c r="H357" s="18" t="n">
        <x:v>0.28</x:v>
      </x:c>
      <x:c r="I357" s="18"/>
      <x:c r="J357" s="20"/>
      <x:c r="K357" s="22"/>
      <x:c r="L357" s="11" t="str">
        <x:v>haoyuan-diluted-pe-v1.0</x:v>
      </x:c>
      <x:c r="M357" s="11" t="str">
        <x:v>2027-10-09</x:v>
      </x:c>
      <x:c r="O357" t="str">
        <x:v>CNY</x:v>
      </x:c>
      <x:c r="V357" t="str">
        <x:v>2027-10-08</x:v>
      </x:c>
      <x:c r="W357" t="str">
        <x:v>待核</x:v>
      </x:c>
      <x:c r="X357" t="str">
        <x:v>周末已解析；节假日需交易所对应年度日历核验，实际交易日待核</x:v>
      </x:c>
    </x:row>
    <x:row r="358" ht="23" customHeight="1">
      <x:c r="A358" s="11" t="str">
        <x:v>688131.SH</x:v>
      </x:c>
      <x:c r="B358" s="11" t="str">
        <x:v>一年</x:v>
      </x:c>
      <x:c r="C358" s="11" t="str">
        <x:v>乐观</x:v>
      </x:c>
      <x:c r="D358" s="11" t="str">
        <x:v>EPS</x:v>
      </x:c>
      <x:c r="E358" s="18" t="n">
        <x:v>3</x:v>
      </x:c>
      <x:c r="F358" s="18" t="n">
        <x:v>65</x:v>
      </x:c>
      <x:c r="G358" s="18" t="n">
        <x:v>1</x:v>
      </x:c>
      <x:c r="H358" s="18" t="n">
        <x:v>0.4</x:v>
      </x:c>
      <x:c r="I358" s="18"/>
      <x:c r="J358" s="20"/>
      <x:c r="K358" s="22"/>
      <x:c r="L358" s="11" t="str">
        <x:v>haoyuan-diluted-pe-v1.0</x:v>
      </x:c>
      <x:c r="M358" s="11" t="str">
        <x:v>2027-10-09</x:v>
      </x:c>
      <x:c r="O358" t="str">
        <x:v>CNY</x:v>
      </x:c>
      <x:c r="V358" t="str">
        <x:v>2027-10-08</x:v>
      </x:c>
      <x:c r="W358" t="str">
        <x:v>待核</x:v>
      </x:c>
      <x:c r="X358" t="str">
        <x:v>周末已解析；节假日需交易所对应年度日历核验，实际交易日待核</x:v>
      </x:c>
    </x:row>
    <x:row r="359" ht="23" customHeight="1">
      <x:c r="A359" s="15" t="str">
        <x:v>688131.SH</x:v>
      </x:c>
      <x:c r="B359" s="15" t="str">
        <x:v>三年</x:v>
      </x:c>
      <x:c r="C359" s="15" t="str">
        <x:v>活动输入</x:v>
      </x:c>
      <x:c r="D359" s="15" t="str">
        <x:v>EPS</x:v>
      </x:c>
      <x:c r="E359" s="17" t="n">
        <x:f>CHOOSE($B$3,E360,E361,E362)</x:f>
        <x:v>3.9</x:v>
      </x:c>
      <x:c r="F359" s="17" t="n">
        <x:f>CHOOSE($B$3,F360,F361,F362)</x:f>
        <x:v>44</x:v>
      </x:c>
      <x:c r="G359" s="17" t="n">
        <x:f>CHOOSE($B$3,G360,G361,G362)</x:f>
        <x:v>1</x:v>
      </x:c>
      <x:c r="H359" s="17" t="n">
        <x:f>CHOOSE($B$3,H360,H361,H362)</x:f>
        <x:v>1.1</x:v>
      </x:c>
      <x:c r="I359" s="17" t="str">
        <x:f>CHOOSE($B$3,I360,I361,I362)</x:f>
      </x:c>
      <x:c r="J359" s="19" t="str">
        <x:f>CHOOSE($B$3,J360,J361,J362)</x:f>
      </x:c>
      <x:c r="K359" s="21" t="str">
        <x:f>CHOOSE($B$3,K360,K361,K362)</x:f>
      </x:c>
      <x:c r="L359" s="15" t="str">
        <x:v>haoyuan-diluted-pe-v1.0</x:v>
      </x:c>
      <x:c r="M359" s="15" t="str">
        <x:v>2029-10-09</x:v>
      </x:c>
      <x:c r="O359" t="str">
        <x:v>CNY</x:v>
      </x:c>
      <x:c r="V359" t="str">
        <x:v>2029-10-09</x:v>
      </x:c>
      <x:c r="W359" t="str">
        <x:v>待核</x:v>
      </x:c>
      <x:c r="X359" t="str">
        <x:v>周末已解析；节假日需交易所对应年度日历核验，实际交易日待核</x:v>
      </x:c>
    </x:row>
    <x:row r="360" ht="23" customHeight="1">
      <x:c r="A360" s="11" t="str">
        <x:v>688131.SH</x:v>
      </x:c>
      <x:c r="B360" s="11" t="str">
        <x:v>三年</x:v>
      </x:c>
      <x:c r="C360" s="11" t="str">
        <x:v>悲观</x:v>
      </x:c>
      <x:c r="D360" s="11" t="str">
        <x:v>EPS</x:v>
      </x:c>
      <x:c r="E360" s="18" t="n">
        <x:v>1.5</x:v>
      </x:c>
      <x:c r="F360" s="18" t="n">
        <x:v>30</x:v>
      </x:c>
      <x:c r="G360" s="18" t="n">
        <x:v>1</x:v>
      </x:c>
      <x:c r="H360" s="18" t="n">
        <x:v>0.5</x:v>
      </x:c>
      <x:c r="I360" s="18"/>
      <x:c r="J360" s="20"/>
      <x:c r="K360" s="22"/>
      <x:c r="L360" s="11" t="str">
        <x:v>haoyuan-diluted-pe-v1.0</x:v>
      </x:c>
      <x:c r="M360" s="11" t="str">
        <x:v>2029-10-09</x:v>
      </x:c>
      <x:c r="O360" t="str">
        <x:v>CNY</x:v>
      </x:c>
      <x:c r="V360" t="str">
        <x:v>2029-10-09</x:v>
      </x:c>
      <x:c r="W360" t="str">
        <x:v>待核</x:v>
      </x:c>
      <x:c r="X360" t="str">
        <x:v>周末已解析；节假日需交易所对应年度日历核验，实际交易日待核</x:v>
      </x:c>
    </x:row>
    <x:row r="361" ht="23" customHeight="1">
      <x:c r="A361" s="11" t="str">
        <x:v>688131.SH</x:v>
      </x:c>
      <x:c r="B361" s="11" t="str">
        <x:v>三年</x:v>
      </x:c>
      <x:c r="C361" s="11" t="str">
        <x:v>基准</x:v>
      </x:c>
      <x:c r="D361" s="11" t="str">
        <x:v>EPS</x:v>
      </x:c>
      <x:c r="E361" s="18" t="n">
        <x:v>3.9</x:v>
      </x:c>
      <x:c r="F361" s="18" t="n">
        <x:v>44</x:v>
      </x:c>
      <x:c r="G361" s="18" t="n">
        <x:v>1</x:v>
      </x:c>
      <x:c r="H361" s="18" t="n">
        <x:v>1.1</x:v>
      </x:c>
      <x:c r="I361" s="18"/>
      <x:c r="J361" s="20"/>
      <x:c r="K361" s="22"/>
      <x:c r="L361" s="11" t="str">
        <x:v>haoyuan-diluted-pe-v1.0</x:v>
      </x:c>
      <x:c r="M361" s="11" t="str">
        <x:v>2029-10-09</x:v>
      </x:c>
      <x:c r="O361" t="str">
        <x:v>CNY</x:v>
      </x:c>
      <x:c r="V361" t="str">
        <x:v>2029-10-09</x:v>
      </x:c>
      <x:c r="W361" t="str">
        <x:v>待核</x:v>
      </x:c>
      <x:c r="X361" t="str">
        <x:v>周末已解析；节假日需交易所对应年度日历核验，实际交易日待核</x:v>
      </x:c>
    </x:row>
    <x:row r="362" ht="23" customHeight="1">
      <x:c r="A362" s="11" t="str">
        <x:v>688131.SH</x:v>
      </x:c>
      <x:c r="B362" s="11" t="str">
        <x:v>三年</x:v>
      </x:c>
      <x:c r="C362" s="11" t="str">
        <x:v>乐观</x:v>
      </x:c>
      <x:c r="D362" s="11" t="str">
        <x:v>EPS</x:v>
      </x:c>
      <x:c r="E362" s="18" t="n">
        <x:v>6.5</x:v>
      </x:c>
      <x:c r="F362" s="18" t="n">
        <x:v>58</x:v>
      </x:c>
      <x:c r="G362" s="18" t="n">
        <x:v>1</x:v>
      </x:c>
      <x:c r="H362" s="18" t="n">
        <x:v>1.7</x:v>
      </x:c>
      <x:c r="I362" s="18"/>
      <x:c r="J362" s="20"/>
      <x:c r="K362" s="22"/>
      <x:c r="L362" s="11" t="str">
        <x:v>haoyuan-diluted-pe-v1.0</x:v>
      </x:c>
      <x:c r="M362" s="11" t="str">
        <x:v>2029-10-09</x:v>
      </x:c>
      <x:c r="O362" t="str">
        <x:v>CNY</x:v>
      </x:c>
      <x:c r="V362" t="str">
        <x:v>2029-10-09</x:v>
      </x:c>
      <x:c r="W362" t="str">
        <x:v>待核</x:v>
      </x:c>
      <x:c r="X362" t="str">
        <x:v>周末已解析；节假日需交易所对应年度日历核验，实际交易日待核</x:v>
      </x:c>
    </x:row>
    <x:row r="363" ht="23" customHeight="1">
      <x:c r="A363" s="15" t="str">
        <x:v>688131.SH</x:v>
      </x:c>
      <x:c r="B363" s="15" t="str">
        <x:v>五年</x:v>
      </x:c>
      <x:c r="C363" s="15" t="str">
        <x:v>活动输入</x:v>
      </x:c>
      <x:c r="D363" s="15" t="str">
        <x:v>EPS</x:v>
      </x:c>
      <x:c r="E363" s="17" t="n">
        <x:f>CHOOSE($B$3,E364,E365,E366)</x:f>
        <x:v>5.5</x:v>
      </x:c>
      <x:c r="F363" s="17" t="n">
        <x:f>CHOOSE($B$3,F364,F365,F366)</x:f>
        <x:v>38</x:v>
      </x:c>
      <x:c r="G363" s="17" t="n">
        <x:f>CHOOSE($B$3,G364,G365,G366)</x:f>
        <x:v>1</x:v>
      </x:c>
      <x:c r="H363" s="17" t="n">
        <x:f>CHOOSE($B$3,H364,H365,H366)</x:f>
        <x:v>2.3</x:v>
      </x:c>
      <x:c r="I363" s="17" t="str">
        <x:f>CHOOSE($B$3,I364,I365,I366)</x:f>
      </x:c>
      <x:c r="J363" s="19" t="str">
        <x:f>CHOOSE($B$3,J364,J365,J366)</x:f>
      </x:c>
      <x:c r="K363" s="21" t="str">
        <x:f>CHOOSE($B$3,K364,K365,K366)</x:f>
      </x:c>
      <x:c r="L363" s="15" t="str">
        <x:v>haoyuan-diluted-pe-v1.0</x:v>
      </x:c>
      <x:c r="M363" s="15" t="str">
        <x:v>2031-10-09</x:v>
      </x:c>
      <x:c r="O363" t="str">
        <x:v>CNY</x:v>
      </x:c>
      <x:c r="V363" t="str">
        <x:v>2031-10-09</x:v>
      </x:c>
      <x:c r="W363" t="str">
        <x:v>待核</x:v>
      </x:c>
      <x:c r="X363" t="str">
        <x:v>周末已解析；节假日需交易所对应年度日历核验，实际交易日待核</x:v>
      </x:c>
    </x:row>
    <x:row r="364" ht="23" customHeight="1">
      <x:c r="A364" s="11" t="str">
        <x:v>688131.SH</x:v>
      </x:c>
      <x:c r="B364" s="11" t="str">
        <x:v>五年</x:v>
      </x:c>
      <x:c r="C364" s="11" t="str">
        <x:v>悲观</x:v>
      </x:c>
      <x:c r="D364" s="11" t="str">
        <x:v>EPS</x:v>
      </x:c>
      <x:c r="E364" s="18" t="n">
        <x:v>1.8</x:v>
      </x:c>
      <x:c r="F364" s="18" t="n">
        <x:v>26</x:v>
      </x:c>
      <x:c r="G364" s="18" t="n">
        <x:v>1</x:v>
      </x:c>
      <x:c r="H364" s="18" t="n">
        <x:v>1</x:v>
      </x:c>
      <x:c r="I364" s="18"/>
      <x:c r="J364" s="20"/>
      <x:c r="K364" s="22"/>
      <x:c r="L364" s="11" t="str">
        <x:v>haoyuan-diluted-pe-v1.0</x:v>
      </x:c>
      <x:c r="M364" s="11" t="str">
        <x:v>2031-10-09</x:v>
      </x:c>
      <x:c r="O364" t="str">
        <x:v>CNY</x:v>
      </x:c>
      <x:c r="V364" t="str">
        <x:v>2031-10-09</x:v>
      </x:c>
      <x:c r="W364" t="str">
        <x:v>待核</x:v>
      </x:c>
      <x:c r="X364" t="str">
        <x:v>周末已解析；节假日需交易所对应年度日历核验，实际交易日待核</x:v>
      </x:c>
    </x:row>
    <x:row r="365" ht="23" customHeight="1">
      <x:c r="A365" s="11" t="str">
        <x:v>688131.SH</x:v>
      </x:c>
      <x:c r="B365" s="11" t="str">
        <x:v>五年</x:v>
      </x:c>
      <x:c r="C365" s="11" t="str">
        <x:v>基准</x:v>
      </x:c>
      <x:c r="D365" s="11" t="str">
        <x:v>EPS</x:v>
      </x:c>
      <x:c r="E365" s="18" t="n">
        <x:v>5.5</x:v>
      </x:c>
      <x:c r="F365" s="18" t="n">
        <x:v>38</x:v>
      </x:c>
      <x:c r="G365" s="18" t="n">
        <x:v>1</x:v>
      </x:c>
      <x:c r="H365" s="18" t="n">
        <x:v>2.3</x:v>
      </x:c>
      <x:c r="I365" s="18"/>
      <x:c r="J365" s="20"/>
      <x:c r="K365" s="22"/>
      <x:c r="L365" s="11" t="str">
        <x:v>haoyuan-diluted-pe-v1.0</x:v>
      </x:c>
      <x:c r="M365" s="11" t="str">
        <x:v>2031-10-09</x:v>
      </x:c>
      <x:c r="O365" t="str">
        <x:v>CNY</x:v>
      </x:c>
      <x:c r="V365" t="str">
        <x:v>2031-10-09</x:v>
      </x:c>
      <x:c r="W365" t="str">
        <x:v>待核</x:v>
      </x:c>
      <x:c r="X365" t="str">
        <x:v>周末已解析；节假日需交易所对应年度日历核验，实际交易日待核</x:v>
      </x:c>
    </x:row>
    <x:row r="366" ht="23" customHeight="1">
      <x:c r="A366" s="11" t="str">
        <x:v>688131.SH</x:v>
      </x:c>
      <x:c r="B366" s="11" t="str">
        <x:v>五年</x:v>
      </x:c>
      <x:c r="C366" s="11" t="str">
        <x:v>乐观</x:v>
      </x:c>
      <x:c r="D366" s="11" t="str">
        <x:v>EPS</x:v>
      </x:c>
      <x:c r="E366" s="18" t="n">
        <x:v>10</x:v>
      </x:c>
      <x:c r="F366" s="18" t="n">
        <x:v>50</x:v>
      </x:c>
      <x:c r="G366" s="18" t="n">
        <x:v>1</x:v>
      </x:c>
      <x:c r="H366" s="18" t="n">
        <x:v>4</x:v>
      </x:c>
      <x:c r="I366" s="18"/>
      <x:c r="J366" s="20"/>
      <x:c r="K366" s="22"/>
      <x:c r="L366" s="11" t="str">
        <x:v>haoyuan-diluted-pe-v1.0</x:v>
      </x:c>
      <x:c r="M366" s="11" t="str">
        <x:v>2031-10-09</x:v>
      </x:c>
      <x:c r="O366" t="str">
        <x:v>CNY</x:v>
      </x:c>
      <x:c r="V366" t="str">
        <x:v>2031-10-09</x:v>
      </x:c>
      <x:c r="W366" t="str">
        <x:v>待核</x:v>
      </x:c>
      <x:c r="X366" t="str">
        <x:v>周末已解析；节假日需交易所对应年度日历核验，实际交易日待核</x:v>
      </x:c>
    </x:row>
    <x:row r="367" ht="23" customHeight="1">
      <x:c r="A367" s="15" t="str">
        <x:v>600276.SH</x:v>
      </x:c>
      <x:c r="B367" s="15" t="str">
        <x:v>2026年底</x:v>
      </x:c>
      <x:c r="C367" s="15" t="str">
        <x:v>活动输入</x:v>
      </x:c>
      <x:c r="D367" s="15" t="str">
        <x:v>EPS</x:v>
      </x:c>
      <x:c r="E367" s="17" t="n">
        <x:f>CHOOSE($B$3,E368,E369,E370)</x:f>
        <x:v>1.45</x:v>
      </x:c>
      <x:c r="F367" s="17" t="n">
        <x:f>CHOOSE($B$3,F368,F369,F370)</x:f>
        <x:v>34</x:v>
      </x:c>
      <x:c r="G367" s="17" t="n">
        <x:f>CHOOSE($B$3,G368,G369,G370)</x:f>
        <x:v>1</x:v>
      </x:c>
      <x:c r="H367" s="17" t="n">
        <x:f>CHOOSE($B$3,H368,H369,H370)</x:f>
        <x:v>0</x:v>
      </x:c>
      <x:c r="I367" s="17" t="str">
        <x:f>CHOOSE($B$3,I368,I369,I370)</x:f>
      </x:c>
      <x:c r="J367" s="19" t="str">
        <x:f>CHOOSE($B$3,J368,J369,J370)</x:f>
      </x:c>
      <x:c r="K367" s="21" t="str">
        <x:f>CHOOSE($B$3,K368,K369,K370)</x:f>
      </x:c>
      <x:c r="L367" s="15" t="str">
        <x:v>hengrui-normalized-ntm-pe-v1.0</x:v>
      </x:c>
      <x:c r="M367" s="15" t="str">
        <x:v>2026-12-31</x:v>
      </x:c>
      <x:c r="O367" t="str">
        <x:v>CNY</x:v>
      </x:c>
      <x:c r="V367" t="str">
        <x:v>2026-12-31</x:v>
      </x:c>
      <x:c r="W367" t="str">
        <x:v>待核</x:v>
      </x:c>
      <x:c r="X367" t="str">
        <x:v>周末已解析；节假日需交易所对应年度日历核验，实际交易日待核</x:v>
      </x:c>
    </x:row>
    <x:row r="368" ht="23" customHeight="1">
      <x:c r="A368" s="11" t="str">
        <x:v>600276.SH</x:v>
      </x:c>
      <x:c r="B368" s="11" t="str">
        <x:v>2026年底</x:v>
      </x:c>
      <x:c r="C368" s="11" t="str">
        <x:v>悲观</x:v>
      </x:c>
      <x:c r="D368" s="11" t="str">
        <x:v>EPS</x:v>
      </x:c>
      <x:c r="E368" s="18" t="n">
        <x:v>1.1</x:v>
      </x:c>
      <x:c r="F368" s="18" t="n">
        <x:v>24</x:v>
      </x:c>
      <x:c r="G368" s="18" t="n">
        <x:v>1</x:v>
      </x:c>
      <x:c r="H368" s="18" t="n">
        <x:v>0</x:v>
      </x:c>
      <x:c r="I368" s="18"/>
      <x:c r="J368" s="20"/>
      <x:c r="K368" s="22"/>
      <x:c r="L368" s="11" t="str">
        <x:v>hengrui-normalized-ntm-pe-v1.0</x:v>
      </x:c>
      <x:c r="M368" s="11" t="str">
        <x:v>2026-12-31</x:v>
      </x:c>
      <x:c r="O368" t="str">
        <x:v>CNY</x:v>
      </x:c>
      <x:c r="V368" t="str">
        <x:v>2026-12-31</x:v>
      </x:c>
      <x:c r="W368" t="str">
        <x:v>待核</x:v>
      </x:c>
      <x:c r="X368" t="str">
        <x:v>周末已解析；节假日需交易所对应年度日历核验，实际交易日待核</x:v>
      </x:c>
    </x:row>
    <x:row r="369" ht="23" customHeight="1">
      <x:c r="A369" s="11" t="str">
        <x:v>600276.SH</x:v>
      </x:c>
      <x:c r="B369" s="11" t="str">
        <x:v>2026年底</x:v>
      </x:c>
      <x:c r="C369" s="11" t="str">
        <x:v>基准</x:v>
      </x:c>
      <x:c r="D369" s="11" t="str">
        <x:v>EPS</x:v>
      </x:c>
      <x:c r="E369" s="18" t="n">
        <x:v>1.45</x:v>
      </x:c>
      <x:c r="F369" s="18" t="n">
        <x:v>34</x:v>
      </x:c>
      <x:c r="G369" s="18" t="n">
        <x:v>1</x:v>
      </x:c>
      <x:c r="H369" s="18" t="n">
        <x:v>0</x:v>
      </x:c>
      <x:c r="I369" s="18"/>
      <x:c r="J369" s="20"/>
      <x:c r="K369" s="22"/>
      <x:c r="L369" s="11" t="str">
        <x:v>hengrui-normalized-ntm-pe-v1.0</x:v>
      </x:c>
      <x:c r="M369" s="11" t="str">
        <x:v>2026-12-31</x:v>
      </x:c>
      <x:c r="O369" t="str">
        <x:v>CNY</x:v>
      </x:c>
      <x:c r="V369" t="str">
        <x:v>2026-12-31</x:v>
      </x:c>
      <x:c r="W369" t="str">
        <x:v>待核</x:v>
      </x:c>
      <x:c r="X369" t="str">
        <x:v>周末已解析；节假日需交易所对应年度日历核验，实际交易日待核</x:v>
      </x:c>
    </x:row>
    <x:row r="370" ht="23" customHeight="1">
      <x:c r="A370" s="11" t="str">
        <x:v>600276.SH</x:v>
      </x:c>
      <x:c r="B370" s="11" t="str">
        <x:v>2026年底</x:v>
      </x:c>
      <x:c r="C370" s="11" t="str">
        <x:v>乐观</x:v>
      </x:c>
      <x:c r="D370" s="11" t="str">
        <x:v>EPS</x:v>
      </x:c>
      <x:c r="E370" s="18" t="n">
        <x:v>1.8</x:v>
      </x:c>
      <x:c r="F370" s="18" t="n">
        <x:v>44</x:v>
      </x:c>
      <x:c r="G370" s="18" t="n">
        <x:v>1</x:v>
      </x:c>
      <x:c r="H370" s="18" t="n">
        <x:v>0</x:v>
      </x:c>
      <x:c r="I370" s="18"/>
      <x:c r="J370" s="20"/>
      <x:c r="K370" s="22"/>
      <x:c r="L370" s="11" t="str">
        <x:v>hengrui-normalized-ntm-pe-v1.0</x:v>
      </x:c>
      <x:c r="M370" s="11" t="str">
        <x:v>2026-12-31</x:v>
      </x:c>
      <x:c r="O370" t="str">
        <x:v>CNY</x:v>
      </x:c>
      <x:c r="V370" t="str">
        <x:v>2026-12-31</x:v>
      </x:c>
      <x:c r="W370" t="str">
        <x:v>待核</x:v>
      </x:c>
      <x:c r="X370" t="str">
        <x:v>周末已解析；节假日需交易所对应年度日历核验，实际交易日待核</x:v>
      </x:c>
    </x:row>
    <x:row r="371" ht="23" customHeight="1">
      <x:c r="A371" s="15" t="str">
        <x:v>600276.SH</x:v>
      </x:c>
      <x:c r="B371" s="15" t="str">
        <x:v>半年</x:v>
      </x:c>
      <x:c r="C371" s="15" t="str">
        <x:v>活动输入</x:v>
      </x:c>
      <x:c r="D371" s="15" t="str">
        <x:v>EPS</x:v>
      </x:c>
      <x:c r="E371" s="17" t="n">
        <x:f>CHOOSE($B$3,E372,E373,E374)</x:f>
        <x:v>1.6</x:v>
      </x:c>
      <x:c r="F371" s="17" t="n">
        <x:f>CHOOSE($B$3,F372,F373,F374)</x:f>
        <x:v>36</x:v>
      </x:c>
      <x:c r="G371" s="17" t="n">
        <x:f>CHOOSE($B$3,G372,G373,G374)</x:f>
        <x:v>1</x:v>
      </x:c>
      <x:c r="H371" s="17" t="n">
        <x:f>CHOOSE($B$3,H372,H373,H374)</x:f>
        <x:v>0</x:v>
      </x:c>
      <x:c r="I371" s="17" t="str">
        <x:f>CHOOSE($B$3,I372,I373,I374)</x:f>
      </x:c>
      <x:c r="J371" s="19" t="str">
        <x:f>CHOOSE($B$3,J372,J373,J374)</x:f>
      </x:c>
      <x:c r="K371" s="21" t="str">
        <x:f>CHOOSE($B$3,K372,K373,K374)</x:f>
      </x:c>
      <x:c r="L371" s="15" t="str">
        <x:v>hengrui-normalized-ntm-pe-v1.0</x:v>
      </x:c>
      <x:c r="M371" s="15" t="str">
        <x:v>2027-04-09</x:v>
      </x:c>
      <x:c r="O371" t="str">
        <x:v>CNY</x:v>
      </x:c>
      <x:c r="V371" t="str">
        <x:v>2027-04-09</x:v>
      </x:c>
      <x:c r="W371" t="str">
        <x:v>待核</x:v>
      </x:c>
      <x:c r="X371" t="str">
        <x:v>周末已解析；节假日需交易所对应年度日历核验，实际交易日待核</x:v>
      </x:c>
    </x:row>
    <x:row r="372" ht="23" customHeight="1">
      <x:c r="A372" s="11" t="str">
        <x:v>600276.SH</x:v>
      </x:c>
      <x:c r="B372" s="11" t="str">
        <x:v>半年</x:v>
      </x:c>
      <x:c r="C372" s="11" t="str">
        <x:v>悲观</x:v>
      </x:c>
      <x:c r="D372" s="11" t="str">
        <x:v>EPS</x:v>
      </x:c>
      <x:c r="E372" s="18" t="n">
        <x:v>1.15</x:v>
      </x:c>
      <x:c r="F372" s="18" t="n">
        <x:v>24</x:v>
      </x:c>
      <x:c r="G372" s="18" t="n">
        <x:v>1</x:v>
      </x:c>
      <x:c r="H372" s="18" t="n">
        <x:v>0</x:v>
      </x:c>
      <x:c r="I372" s="18"/>
      <x:c r="J372" s="20"/>
      <x:c r="K372" s="22"/>
      <x:c r="L372" s="11" t="str">
        <x:v>hengrui-normalized-ntm-pe-v1.0</x:v>
      </x:c>
      <x:c r="M372" s="11" t="str">
        <x:v>2027-04-09</x:v>
      </x:c>
      <x:c r="O372" t="str">
        <x:v>CNY</x:v>
      </x:c>
      <x:c r="V372" t="str">
        <x:v>2027-04-09</x:v>
      </x:c>
      <x:c r="W372" t="str">
        <x:v>待核</x:v>
      </x:c>
      <x:c r="X372" t="str">
        <x:v>周末已解析；节假日需交易所对应年度日历核验，实际交易日待核</x:v>
      </x:c>
    </x:row>
    <x:row r="373" ht="23" customHeight="1">
      <x:c r="A373" s="11" t="str">
        <x:v>600276.SH</x:v>
      </x:c>
      <x:c r="B373" s="11" t="str">
        <x:v>半年</x:v>
      </x:c>
      <x:c r="C373" s="11" t="str">
        <x:v>基准</x:v>
      </x:c>
      <x:c r="D373" s="11" t="str">
        <x:v>EPS</x:v>
      </x:c>
      <x:c r="E373" s="18" t="n">
        <x:v>1.6</x:v>
      </x:c>
      <x:c r="F373" s="18" t="n">
        <x:v>36</x:v>
      </x:c>
      <x:c r="G373" s="18" t="n">
        <x:v>1</x:v>
      </x:c>
      <x:c r="H373" s="18" t="n">
        <x:v>0</x:v>
      </x:c>
      <x:c r="I373" s="18"/>
      <x:c r="J373" s="20"/>
      <x:c r="K373" s="22"/>
      <x:c r="L373" s="11" t="str">
        <x:v>hengrui-normalized-ntm-pe-v1.0</x:v>
      </x:c>
      <x:c r="M373" s="11" t="str">
        <x:v>2027-04-09</x:v>
      </x:c>
      <x:c r="O373" t="str">
        <x:v>CNY</x:v>
      </x:c>
      <x:c r="V373" t="str">
        <x:v>2027-04-09</x:v>
      </x:c>
      <x:c r="W373" t="str">
        <x:v>待核</x:v>
      </x:c>
      <x:c r="X373" t="str">
        <x:v>周末已解析；节假日需交易所对应年度日历核验，实际交易日待核</x:v>
      </x:c>
    </x:row>
    <x:row r="374" ht="23" customHeight="1">
      <x:c r="A374" s="11" t="str">
        <x:v>600276.SH</x:v>
      </x:c>
      <x:c r="B374" s="11" t="str">
        <x:v>半年</x:v>
      </x:c>
      <x:c r="C374" s="11" t="str">
        <x:v>乐观</x:v>
      </x:c>
      <x:c r="D374" s="11" t="str">
        <x:v>EPS</x:v>
      </x:c>
      <x:c r="E374" s="18" t="n">
        <x:v>2</x:v>
      </x:c>
      <x:c r="F374" s="18" t="n">
        <x:v>45</x:v>
      </x:c>
      <x:c r="G374" s="18" t="n">
        <x:v>1</x:v>
      </x:c>
      <x:c r="H374" s="18" t="n">
        <x:v>0</x:v>
      </x:c>
      <x:c r="I374" s="18"/>
      <x:c r="J374" s="20"/>
      <x:c r="K374" s="22"/>
      <x:c r="L374" s="11" t="str">
        <x:v>hengrui-normalized-ntm-pe-v1.0</x:v>
      </x:c>
      <x:c r="M374" s="11" t="str">
        <x:v>2027-04-09</x:v>
      </x:c>
      <x:c r="O374" t="str">
        <x:v>CNY</x:v>
      </x:c>
      <x:c r="V374" t="str">
        <x:v>2027-04-09</x:v>
      </x:c>
      <x:c r="W374" t="str">
        <x:v>待核</x:v>
      </x:c>
      <x:c r="X374" t="str">
        <x:v>周末已解析；节假日需交易所对应年度日历核验，实际交易日待核</x:v>
      </x:c>
    </x:row>
    <x:row r="375" ht="23" customHeight="1">
      <x:c r="A375" s="15" t="str">
        <x:v>600276.SH</x:v>
      </x:c>
      <x:c r="B375" s="15" t="str">
        <x:v>一年</x:v>
      </x:c>
      <x:c r="C375" s="15" t="str">
        <x:v>活动输入</x:v>
      </x:c>
      <x:c r="D375" s="15" t="str">
        <x:v>EPS</x:v>
      </x:c>
      <x:c r="E375" s="17" t="n">
        <x:f>CHOOSE($B$3,E376,E377,E378)</x:f>
        <x:v>1.8</x:v>
      </x:c>
      <x:c r="F375" s="17" t="n">
        <x:f>CHOOSE($B$3,F376,F377,F378)</x:f>
        <x:v>36</x:v>
      </x:c>
      <x:c r="G375" s="17" t="n">
        <x:f>CHOOSE($B$3,G376,G377,G378)</x:f>
        <x:v>1</x:v>
      </x:c>
      <x:c r="H375" s="17" t="n">
        <x:f>CHOOSE($B$3,H376,H377,H378)</x:f>
        <x:v>0.25</x:v>
      </x:c>
      <x:c r="I375" s="17" t="str">
        <x:f>CHOOSE($B$3,I376,I377,I378)</x:f>
      </x:c>
      <x:c r="J375" s="19" t="str">
        <x:f>CHOOSE($B$3,J376,J377,J378)</x:f>
      </x:c>
      <x:c r="K375" s="21" t="str">
        <x:f>CHOOSE($B$3,K376,K377,K378)</x:f>
      </x:c>
      <x:c r="L375" s="15" t="str">
        <x:v>hengrui-normalized-ntm-pe-v1.0</x:v>
      </x:c>
      <x:c r="M375" s="15" t="str">
        <x:v>2027-10-09</x:v>
      </x:c>
      <x:c r="O375" t="str">
        <x:v>CNY</x:v>
      </x:c>
      <x:c r="V375" t="str">
        <x:v>2027-10-08</x:v>
      </x:c>
      <x:c r="W375" t="str">
        <x:v>待核</x:v>
      </x:c>
      <x:c r="X375" t="str">
        <x:v>周末已解析；节假日需交易所对应年度日历核验，实际交易日待核</x:v>
      </x:c>
    </x:row>
    <x:row r="376" ht="23" customHeight="1">
      <x:c r="A376" s="11" t="str">
        <x:v>600276.SH</x:v>
      </x:c>
      <x:c r="B376" s="11" t="str">
        <x:v>一年</x:v>
      </x:c>
      <x:c r="C376" s="11" t="str">
        <x:v>悲观</x:v>
      </x:c>
      <x:c r="D376" s="11" t="str">
        <x:v>EPS</x:v>
      </x:c>
      <x:c r="E376" s="18" t="n">
        <x:v>1.25</x:v>
      </x:c>
      <x:c r="F376" s="18" t="n">
        <x:v>24</x:v>
      </x:c>
      <x:c r="G376" s="18" t="n">
        <x:v>1</x:v>
      </x:c>
      <x:c r="H376" s="18" t="n">
        <x:v>0.15</x:v>
      </x:c>
      <x:c r="I376" s="18"/>
      <x:c r="J376" s="20"/>
      <x:c r="K376" s="22"/>
      <x:c r="L376" s="11" t="str">
        <x:v>hengrui-normalized-ntm-pe-v1.0</x:v>
      </x:c>
      <x:c r="M376" s="11" t="str">
        <x:v>2027-10-09</x:v>
      </x:c>
      <x:c r="O376" t="str">
        <x:v>CNY</x:v>
      </x:c>
      <x:c r="V376" t="str">
        <x:v>2027-10-08</x:v>
      </x:c>
      <x:c r="W376" t="str">
        <x:v>待核</x:v>
      </x:c>
      <x:c r="X376" t="str">
        <x:v>周末已解析；节假日需交易所对应年度日历核验，实际交易日待核</x:v>
      </x:c>
    </x:row>
    <x:row r="377" ht="23" customHeight="1">
      <x:c r="A377" s="11" t="str">
        <x:v>600276.SH</x:v>
      </x:c>
      <x:c r="B377" s="11" t="str">
        <x:v>一年</x:v>
      </x:c>
      <x:c r="C377" s="11" t="str">
        <x:v>基准</x:v>
      </x:c>
      <x:c r="D377" s="11" t="str">
        <x:v>EPS</x:v>
      </x:c>
      <x:c r="E377" s="18" t="n">
        <x:v>1.8</x:v>
      </x:c>
      <x:c r="F377" s="18" t="n">
        <x:v>36</x:v>
      </x:c>
      <x:c r="G377" s="18" t="n">
        <x:v>1</x:v>
      </x:c>
      <x:c r="H377" s="18" t="n">
        <x:v>0.25</x:v>
      </x:c>
      <x:c r="I377" s="18"/>
      <x:c r="J377" s="20"/>
      <x:c r="K377" s="22"/>
      <x:c r="L377" s="11" t="str">
        <x:v>hengrui-normalized-ntm-pe-v1.0</x:v>
      </x:c>
      <x:c r="M377" s="11" t="str">
        <x:v>2027-10-09</x:v>
      </x:c>
      <x:c r="O377" t="str">
        <x:v>CNY</x:v>
      </x:c>
      <x:c r="V377" t="str">
        <x:v>2027-10-08</x:v>
      </x:c>
      <x:c r="W377" t="str">
        <x:v>待核</x:v>
      </x:c>
      <x:c r="X377" t="str">
        <x:v>周末已解析；节假日需交易所对应年度日历核验，实际交易日待核</x:v>
      </x:c>
    </x:row>
    <x:row r="378" ht="23" customHeight="1">
      <x:c r="A378" s="11" t="str">
        <x:v>600276.SH</x:v>
      </x:c>
      <x:c r="B378" s="11" t="str">
        <x:v>一年</x:v>
      </x:c>
      <x:c r="C378" s="11" t="str">
        <x:v>乐观</x:v>
      </x:c>
      <x:c r="D378" s="11" t="str">
        <x:v>EPS</x:v>
      </x:c>
      <x:c r="E378" s="18" t="n">
        <x:v>2.35</x:v>
      </x:c>
      <x:c r="F378" s="18" t="n">
        <x:v>46</x:v>
      </x:c>
      <x:c r="G378" s="18" t="n">
        <x:v>1</x:v>
      </x:c>
      <x:c r="H378" s="18" t="n">
        <x:v>0.35</x:v>
      </x:c>
      <x:c r="I378" s="18"/>
      <x:c r="J378" s="20"/>
      <x:c r="K378" s="22"/>
      <x:c r="L378" s="11" t="str">
        <x:v>hengrui-normalized-ntm-pe-v1.0</x:v>
      </x:c>
      <x:c r="M378" s="11" t="str">
        <x:v>2027-10-09</x:v>
      </x:c>
      <x:c r="O378" t="str">
        <x:v>CNY</x:v>
      </x:c>
      <x:c r="V378" t="str">
        <x:v>2027-10-08</x:v>
      </x:c>
      <x:c r="W378" t="str">
        <x:v>待核</x:v>
      </x:c>
      <x:c r="X378" t="str">
        <x:v>周末已解析；节假日需交易所对应年度日历核验，实际交易日待核</x:v>
      </x:c>
    </x:row>
    <x:row r="379" ht="23" customHeight="1">
      <x:c r="A379" s="15" t="str">
        <x:v>600276.SH</x:v>
      </x:c>
      <x:c r="B379" s="15" t="str">
        <x:v>三年</x:v>
      </x:c>
      <x:c r="C379" s="15" t="str">
        <x:v>活动输入</x:v>
      </x:c>
      <x:c r="D379" s="15" t="str">
        <x:v>EPS</x:v>
      </x:c>
      <x:c r="E379" s="17" t="n">
        <x:f>CHOOSE($B$3,E380,E381,E382)</x:f>
        <x:v>2.45</x:v>
      </x:c>
      <x:c r="F379" s="17" t="n">
        <x:f>CHOOSE($B$3,F380,F381,F382)</x:f>
        <x:v>34</x:v>
      </x:c>
      <x:c r="G379" s="17" t="n">
        <x:f>CHOOSE($B$3,G380,G381,G382)</x:f>
        <x:v>1</x:v>
      </x:c>
      <x:c r="H379" s="17" t="n">
        <x:f>CHOOSE($B$3,H380,H381,H382)</x:f>
        <x:v>0.9</x:v>
      </x:c>
      <x:c r="I379" s="17" t="str">
        <x:f>CHOOSE($B$3,I380,I381,I382)</x:f>
      </x:c>
      <x:c r="J379" s="19" t="str">
        <x:f>CHOOSE($B$3,J380,J381,J382)</x:f>
      </x:c>
      <x:c r="K379" s="21" t="str">
        <x:f>CHOOSE($B$3,K380,K381,K382)</x:f>
      </x:c>
      <x:c r="L379" s="15" t="str">
        <x:v>hengrui-normalized-ntm-pe-v1.0</x:v>
      </x:c>
      <x:c r="M379" s="15" t="str">
        <x:v>2029-10-09</x:v>
      </x:c>
      <x:c r="O379" t="str">
        <x:v>CNY</x:v>
      </x:c>
      <x:c r="V379" t="str">
        <x:v>2029-10-09</x:v>
      </x:c>
      <x:c r="W379" t="str">
        <x:v>待核</x:v>
      </x:c>
      <x:c r="X379" t="str">
        <x:v>周末已解析；节假日需交易所对应年度日历核验，实际交易日待核</x:v>
      </x:c>
    </x:row>
    <x:row r="380" ht="23" customHeight="1">
      <x:c r="A380" s="11" t="str">
        <x:v>600276.SH</x:v>
      </x:c>
      <x:c r="B380" s="11" t="str">
        <x:v>三年</x:v>
      </x:c>
      <x:c r="C380" s="11" t="str">
        <x:v>悲观</x:v>
      </x:c>
      <x:c r="D380" s="11" t="str">
        <x:v>EPS</x:v>
      </x:c>
      <x:c r="E380" s="18" t="n">
        <x:v>1.4</x:v>
      </x:c>
      <x:c r="F380" s="18" t="n">
        <x:v>22</x:v>
      </x:c>
      <x:c r="G380" s="18" t="n">
        <x:v>1</x:v>
      </x:c>
      <x:c r="H380" s="18" t="n">
        <x:v>0.5</x:v>
      </x:c>
      <x:c r="I380" s="18"/>
      <x:c r="J380" s="20"/>
      <x:c r="K380" s="22"/>
      <x:c r="L380" s="11" t="str">
        <x:v>hengrui-normalized-ntm-pe-v1.0</x:v>
      </x:c>
      <x:c r="M380" s="11" t="str">
        <x:v>2029-10-09</x:v>
      </x:c>
      <x:c r="O380" t="str">
        <x:v>CNY</x:v>
      </x:c>
      <x:c r="V380" t="str">
        <x:v>2029-10-09</x:v>
      </x:c>
      <x:c r="W380" t="str">
        <x:v>待核</x:v>
      </x:c>
      <x:c r="X380" t="str">
        <x:v>周末已解析；节假日需交易所对应年度日历核验，实际交易日待核</x:v>
      </x:c>
    </x:row>
    <x:row r="381" ht="23" customHeight="1">
      <x:c r="A381" s="11" t="str">
        <x:v>600276.SH</x:v>
      </x:c>
      <x:c r="B381" s="11" t="str">
        <x:v>三年</x:v>
      </x:c>
      <x:c r="C381" s="11" t="str">
        <x:v>基准</x:v>
      </x:c>
      <x:c r="D381" s="11" t="str">
        <x:v>EPS</x:v>
      </x:c>
      <x:c r="E381" s="18" t="n">
        <x:v>2.45</x:v>
      </x:c>
      <x:c r="F381" s="18" t="n">
        <x:v>34</x:v>
      </x:c>
      <x:c r="G381" s="18" t="n">
        <x:v>1</x:v>
      </x:c>
      <x:c r="H381" s="18" t="n">
        <x:v>0.9</x:v>
      </x:c>
      <x:c r="I381" s="18"/>
      <x:c r="J381" s="20"/>
      <x:c r="K381" s="22"/>
      <x:c r="L381" s="11" t="str">
        <x:v>hengrui-normalized-ntm-pe-v1.0</x:v>
      </x:c>
      <x:c r="M381" s="11" t="str">
        <x:v>2029-10-09</x:v>
      </x:c>
      <x:c r="O381" t="str">
        <x:v>CNY</x:v>
      </x:c>
      <x:c r="V381" t="str">
        <x:v>2029-10-09</x:v>
      </x:c>
      <x:c r="W381" t="str">
        <x:v>待核</x:v>
      </x:c>
      <x:c r="X381" t="str">
        <x:v>周末已解析；节假日需交易所对应年度日历核验，实际交易日待核</x:v>
      </x:c>
    </x:row>
    <x:row r="382" ht="23" customHeight="1">
      <x:c r="A382" s="11" t="str">
        <x:v>600276.SH</x:v>
      </x:c>
      <x:c r="B382" s="11" t="str">
        <x:v>三年</x:v>
      </x:c>
      <x:c r="C382" s="11" t="str">
        <x:v>乐观</x:v>
      </x:c>
      <x:c r="D382" s="11" t="str">
        <x:v>EPS</x:v>
      </x:c>
      <x:c r="E382" s="18" t="n">
        <x:v>3.75</x:v>
      </x:c>
      <x:c r="F382" s="18" t="n">
        <x:v>44</x:v>
      </x:c>
      <x:c r="G382" s="18" t="n">
        <x:v>1</x:v>
      </x:c>
      <x:c r="H382" s="18" t="n">
        <x:v>1.4</x:v>
      </x:c>
      <x:c r="I382" s="18"/>
      <x:c r="J382" s="20"/>
      <x:c r="K382" s="22"/>
      <x:c r="L382" s="11" t="str">
        <x:v>hengrui-normalized-ntm-pe-v1.0</x:v>
      </x:c>
      <x:c r="M382" s="11" t="str">
        <x:v>2029-10-09</x:v>
      </x:c>
      <x:c r="O382" t="str">
        <x:v>CNY</x:v>
      </x:c>
      <x:c r="V382" t="str">
        <x:v>2029-10-09</x:v>
      </x:c>
      <x:c r="W382" t="str">
        <x:v>待核</x:v>
      </x:c>
      <x:c r="X382" t="str">
        <x:v>周末已解析；节假日需交易所对应年度日历核验，实际交易日待核</x:v>
      </x:c>
    </x:row>
    <x:row r="383" ht="23" customHeight="1">
      <x:c r="A383" s="15" t="str">
        <x:v>600276.SH</x:v>
      </x:c>
      <x:c r="B383" s="15" t="str">
        <x:v>五年</x:v>
      </x:c>
      <x:c r="C383" s="15" t="str">
        <x:v>活动输入</x:v>
      </x:c>
      <x:c r="D383" s="15" t="str">
        <x:v>EPS</x:v>
      </x:c>
      <x:c r="E383" s="17" t="n">
        <x:f>CHOOSE($B$3,E384,E385,E386)</x:f>
        <x:v>3.25</x:v>
      </x:c>
      <x:c r="F383" s="17" t="n">
        <x:f>CHOOSE($B$3,F384,F385,F386)</x:f>
        <x:v>32</x:v>
      </x:c>
      <x:c r="G383" s="17" t="n">
        <x:f>CHOOSE($B$3,G384,G385,G386)</x:f>
        <x:v>1</x:v>
      </x:c>
      <x:c r="H383" s="17" t="n">
        <x:f>CHOOSE($B$3,H384,H385,H386)</x:f>
        <x:v>1.75</x:v>
      </x:c>
      <x:c r="I383" s="17" t="str">
        <x:f>CHOOSE($B$3,I384,I385,I386)</x:f>
      </x:c>
      <x:c r="J383" s="19" t="str">
        <x:f>CHOOSE($B$3,J384,J385,J386)</x:f>
      </x:c>
      <x:c r="K383" s="21" t="str">
        <x:f>CHOOSE($B$3,K384,K385,K386)</x:f>
      </x:c>
      <x:c r="L383" s="15" t="str">
        <x:v>hengrui-normalized-ntm-pe-v1.0</x:v>
      </x:c>
      <x:c r="M383" s="15" t="str">
        <x:v>2031-10-09</x:v>
      </x:c>
      <x:c r="O383" t="str">
        <x:v>CNY</x:v>
      </x:c>
      <x:c r="V383" t="str">
        <x:v>2031-10-09</x:v>
      </x:c>
      <x:c r="W383" t="str">
        <x:v>待核</x:v>
      </x:c>
      <x:c r="X383" t="str">
        <x:v>周末已解析；节假日需交易所对应年度日历核验，实际交易日待核</x:v>
      </x:c>
    </x:row>
    <x:row r="384" ht="23" customHeight="1">
      <x:c r="A384" s="11" t="str">
        <x:v>600276.SH</x:v>
      </x:c>
      <x:c r="B384" s="11" t="str">
        <x:v>五年</x:v>
      </x:c>
      <x:c r="C384" s="11" t="str">
        <x:v>悲观</x:v>
      </x:c>
      <x:c r="D384" s="11" t="str">
        <x:v>EPS</x:v>
      </x:c>
      <x:c r="E384" s="18" t="n">
        <x:v>1.5</x:v>
      </x:c>
      <x:c r="F384" s="18" t="n">
        <x:v>20</x:v>
      </x:c>
      <x:c r="G384" s="18" t="n">
        <x:v>1</x:v>
      </x:c>
      <x:c r="H384" s="18" t="n">
        <x:v>0.8</x:v>
      </x:c>
      <x:c r="I384" s="18"/>
      <x:c r="J384" s="20"/>
      <x:c r="K384" s="22"/>
      <x:c r="L384" s="11" t="str">
        <x:v>hengrui-normalized-ntm-pe-v1.0</x:v>
      </x:c>
      <x:c r="M384" s="11" t="str">
        <x:v>2031-10-09</x:v>
      </x:c>
      <x:c r="O384" t="str">
        <x:v>CNY</x:v>
      </x:c>
      <x:c r="V384" t="str">
        <x:v>2031-10-09</x:v>
      </x:c>
      <x:c r="W384" t="str">
        <x:v>待核</x:v>
      </x:c>
      <x:c r="X384" t="str">
        <x:v>周末已解析；节假日需交易所对应年度日历核验，实际交易日待核</x:v>
      </x:c>
    </x:row>
    <x:row r="385" ht="23" customHeight="1">
      <x:c r="A385" s="11" t="str">
        <x:v>600276.SH</x:v>
      </x:c>
      <x:c r="B385" s="11" t="str">
        <x:v>五年</x:v>
      </x:c>
      <x:c r="C385" s="11" t="str">
        <x:v>基准</x:v>
      </x:c>
      <x:c r="D385" s="11" t="str">
        <x:v>EPS</x:v>
      </x:c>
      <x:c r="E385" s="18" t="n">
        <x:v>3.25</x:v>
      </x:c>
      <x:c r="F385" s="18" t="n">
        <x:v>32</x:v>
      </x:c>
      <x:c r="G385" s="18" t="n">
        <x:v>1</x:v>
      </x:c>
      <x:c r="H385" s="18" t="n">
        <x:v>1.75</x:v>
      </x:c>
      <x:c r="I385" s="18"/>
      <x:c r="J385" s="20"/>
      <x:c r="K385" s="22"/>
      <x:c r="L385" s="11" t="str">
        <x:v>hengrui-normalized-ntm-pe-v1.0</x:v>
      </x:c>
      <x:c r="M385" s="11" t="str">
        <x:v>2031-10-09</x:v>
      </x:c>
      <x:c r="O385" t="str">
        <x:v>CNY</x:v>
      </x:c>
      <x:c r="V385" t="str">
        <x:v>2031-10-09</x:v>
      </x:c>
      <x:c r="W385" t="str">
        <x:v>待核</x:v>
      </x:c>
      <x:c r="X385" t="str">
        <x:v>周末已解析；节假日需交易所对应年度日历核验，实际交易日待核</x:v>
      </x:c>
    </x:row>
    <x:row r="386" ht="23" customHeight="1">
      <x:c r="A386" s="11" t="str">
        <x:v>600276.SH</x:v>
      </x:c>
      <x:c r="B386" s="11" t="str">
        <x:v>五年</x:v>
      </x:c>
      <x:c r="C386" s="11" t="str">
        <x:v>乐观</x:v>
      </x:c>
      <x:c r="D386" s="11" t="str">
        <x:v>EPS</x:v>
      </x:c>
      <x:c r="E386" s="18" t="n">
        <x:v>5.4</x:v>
      </x:c>
      <x:c r="F386" s="18" t="n">
        <x:v>42</x:v>
      </x:c>
      <x:c r="G386" s="18" t="n">
        <x:v>1</x:v>
      </x:c>
      <x:c r="H386" s="18" t="n">
        <x:v>3</x:v>
      </x:c>
      <x:c r="I386" s="18"/>
      <x:c r="J386" s="20"/>
      <x:c r="K386" s="22"/>
      <x:c r="L386" s="11" t="str">
        <x:v>hengrui-normalized-ntm-pe-v1.0</x:v>
      </x:c>
      <x:c r="M386" s="11" t="str">
        <x:v>2031-10-09</x:v>
      </x:c>
      <x:c r="O386" t="str">
        <x:v>CNY</x:v>
      </x:c>
      <x:c r="V386" t="str">
        <x:v>2031-10-09</x:v>
      </x:c>
      <x:c r="W386" t="str">
        <x:v>待核</x:v>
      </x:c>
      <x:c r="X386" t="str">
        <x:v>周末已解析；节假日需交易所对应年度日历核验，实际交易日待核</x:v>
      </x:c>
    </x:row>
    <x:row r="387" ht="23" customHeight="1">
      <x:c r="A387" s="15" t="str">
        <x:v>01276.HK</x:v>
      </x:c>
      <x:c r="B387" s="15" t="str">
        <x:v>2026年底</x:v>
      </x:c>
      <x:c r="C387" s="15" t="str">
        <x:v>活动输入</x:v>
      </x:c>
      <x:c r="D387" s="15" t="str">
        <x:v>EPS</x:v>
      </x:c>
      <x:c r="E387" s="17" t="n">
        <x:f>CHOOSE($B$3,E388,E389,E390)</x:f>
        <x:v>1.45</x:v>
      </x:c>
      <x:c r="F387" s="17" t="n">
        <x:f>CHOOSE($B$3,F388,F389,F390)</x:f>
        <x:v>33</x:v>
      </x:c>
      <x:c r="G387" s="17" t="n">
        <x:f>CHOOSE($B$3,G388,G389,G390)</x:f>
        <x:v>1.1</x:v>
      </x:c>
      <x:c r="H387" s="17" t="n">
        <x:f>CHOOSE($B$3,H388,H389,H390)</x:f>
        <x:v>0</x:v>
      </x:c>
      <x:c r="I387" s="17" t="n">
        <x:f>CHOOSE($B$3,I388,I389,I390)</x:f>
        <x:v>0</x:v>
      </x:c>
      <x:c r="J387" s="19" t="n">
        <x:f>CHOOSE($B$3,J388,J389,J390)</x:f>
        <x:v>0</x:v>
      </x:c>
      <x:c r="K387" s="21" t="str">
        <x:f>CHOOSE($B$3,K388,K389,K390)</x:f>
      </x:c>
      <x:c r="L387" s="15" t="str">
        <x:v>hengrui-normalized-ntm-pe-v1.0</x:v>
      </x:c>
      <x:c r="M387" s="15" t="str">
        <x:v>2026-12-31</x:v>
      </x:c>
      <x:c r="O387" t="str">
        <x:v>CNY</x:v>
      </x:c>
      <x:c r="V387" t="str">
        <x:v>2026-12-31</x:v>
      </x:c>
      <x:c r="W387" t="str">
        <x:v>待核</x:v>
      </x:c>
      <x:c r="X387" t="str">
        <x:v>周末已解析；节假日需交易所对应年度日历核验，实际交易日待核</x:v>
      </x:c>
    </x:row>
    <x:row r="388" ht="23" customHeight="1">
      <x:c r="A388" s="11" t="str">
        <x:v>01276.HK</x:v>
      </x:c>
      <x:c r="B388" s="11" t="str">
        <x:v>2026年底</x:v>
      </x:c>
      <x:c r="C388" s="11" t="str">
        <x:v>悲观</x:v>
      </x:c>
      <x:c r="D388" s="11" t="str">
        <x:v>EPS</x:v>
      </x:c>
      <x:c r="E388" s="18" t="n">
        <x:f>E368</x:f>
        <x:v>1.1</x:v>
      </x:c>
      <x:c r="F388" s="18" t="n">
        <x:v>22</x:v>
      </x:c>
      <x:c r="G388" s="18" t="n">
        <x:v>1.1</x:v>
      </x:c>
      <x:c r="H388" s="18" t="n">
        <x:v>0</x:v>
      </x:c>
      <x:c r="I388" s="18" t="n">
        <x:f>I368</x:f>
        <x:v>0</x:v>
      </x:c>
      <x:c r="J388" s="20" t="n">
        <x:f>J368</x:f>
        <x:v>0</x:v>
      </x:c>
      <x:c r="K388" s="22" t="n">
        <x:f>K368</x:f>
        <x:v>0</x:v>
      </x:c>
      <x:c r="L388" s="11" t="str">
        <x:v>hengrui-normalized-ntm-pe-v1.0</x:v>
      </x:c>
      <x:c r="M388" s="11" t="str">
        <x:v>2026-12-31</x:v>
      </x:c>
      <x:c r="O388" t="str">
        <x:v>CNY</x:v>
      </x:c>
      <x:c r="V388" t="str">
        <x:v>2026-12-31</x:v>
      </x:c>
      <x:c r="W388" t="str">
        <x:v>待核</x:v>
      </x:c>
      <x:c r="X388" t="str">
        <x:v>周末已解析；节假日需交易所对应年度日历核验，实际交易日待核</x:v>
      </x:c>
    </x:row>
    <x:row r="389" ht="23" customHeight="1">
      <x:c r="A389" s="11" t="str">
        <x:v>01276.HK</x:v>
      </x:c>
      <x:c r="B389" s="11" t="str">
        <x:v>2026年底</x:v>
      </x:c>
      <x:c r="C389" s="11" t="str">
        <x:v>基准</x:v>
      </x:c>
      <x:c r="D389" s="11" t="str">
        <x:v>EPS</x:v>
      </x:c>
      <x:c r="E389" s="18" t="n">
        <x:f>E369</x:f>
        <x:v>1.45</x:v>
      </x:c>
      <x:c r="F389" s="18" t="n">
        <x:v>33</x:v>
      </x:c>
      <x:c r="G389" s="18" t="n">
        <x:v>1.1</x:v>
      </x:c>
      <x:c r="H389" s="18" t="n">
        <x:v>0</x:v>
      </x:c>
      <x:c r="I389" s="18" t="n">
        <x:f>I369</x:f>
        <x:v>0</x:v>
      </x:c>
      <x:c r="J389" s="20" t="n">
        <x:f>J369</x:f>
        <x:v>0</x:v>
      </x:c>
      <x:c r="K389" s="22" t="n">
        <x:f>K369</x:f>
        <x:v>0</x:v>
      </x:c>
      <x:c r="L389" s="11" t="str">
        <x:v>hengrui-normalized-ntm-pe-v1.0</x:v>
      </x:c>
      <x:c r="M389" s="11" t="str">
        <x:v>2026-12-31</x:v>
      </x:c>
      <x:c r="O389" t="str">
        <x:v>CNY</x:v>
      </x:c>
      <x:c r="V389" t="str">
        <x:v>2026-12-31</x:v>
      </x:c>
      <x:c r="W389" t="str">
        <x:v>待核</x:v>
      </x:c>
      <x:c r="X389" t="str">
        <x:v>周末已解析；节假日需交易所对应年度日历核验，实际交易日待核</x:v>
      </x:c>
    </x:row>
    <x:row r="390" ht="23" customHeight="1">
      <x:c r="A390" s="11" t="str">
        <x:v>01276.HK</x:v>
      </x:c>
      <x:c r="B390" s="11" t="str">
        <x:v>2026年底</x:v>
      </x:c>
      <x:c r="C390" s="11" t="str">
        <x:v>乐观</x:v>
      </x:c>
      <x:c r="D390" s="11" t="str">
        <x:v>EPS</x:v>
      </x:c>
      <x:c r="E390" s="18" t="n">
        <x:f>E370</x:f>
        <x:v>1.8</x:v>
      </x:c>
      <x:c r="F390" s="18" t="n">
        <x:v>43</x:v>
      </x:c>
      <x:c r="G390" s="18" t="n">
        <x:v>1.1</x:v>
      </x:c>
      <x:c r="H390" s="18" t="n">
        <x:v>0</x:v>
      </x:c>
      <x:c r="I390" s="18" t="n">
        <x:f>I370</x:f>
        <x:v>0</x:v>
      </x:c>
      <x:c r="J390" s="20" t="n">
        <x:f>J370</x:f>
        <x:v>0</x:v>
      </x:c>
      <x:c r="K390" s="22" t="n">
        <x:f>K370</x:f>
        <x:v>0</x:v>
      </x:c>
      <x:c r="L390" s="11" t="str">
        <x:v>hengrui-normalized-ntm-pe-v1.0</x:v>
      </x:c>
      <x:c r="M390" s="11" t="str">
        <x:v>2026-12-31</x:v>
      </x:c>
      <x:c r="O390" t="str">
        <x:v>CNY</x:v>
      </x:c>
      <x:c r="V390" t="str">
        <x:v>2026-12-31</x:v>
      </x:c>
      <x:c r="W390" t="str">
        <x:v>待核</x:v>
      </x:c>
      <x:c r="X390" t="str">
        <x:v>周末已解析；节假日需交易所对应年度日历核验，实际交易日待核</x:v>
      </x:c>
    </x:row>
    <x:row r="391" ht="23" customHeight="1">
      <x:c r="A391" s="15" t="str">
        <x:v>01276.HK</x:v>
      </x:c>
      <x:c r="B391" s="15" t="str">
        <x:v>半年</x:v>
      </x:c>
      <x:c r="C391" s="15" t="str">
        <x:v>活动输入</x:v>
      </x:c>
      <x:c r="D391" s="15" t="str">
        <x:v>EPS</x:v>
      </x:c>
      <x:c r="E391" s="17" t="n">
        <x:f>CHOOSE($B$3,E392,E393,E394)</x:f>
        <x:v>1.6</x:v>
      </x:c>
      <x:c r="F391" s="17" t="n">
        <x:f>CHOOSE($B$3,F392,F393,F394)</x:f>
        <x:v>34</x:v>
      </x:c>
      <x:c r="G391" s="17" t="n">
        <x:f>CHOOSE($B$3,G392,G393,G394)</x:f>
        <x:v>1.1</x:v>
      </x:c>
      <x:c r="H391" s="17" t="n">
        <x:f>CHOOSE($B$3,H392,H393,H394)</x:f>
        <x:v>0</x:v>
      </x:c>
      <x:c r="I391" s="17" t="n">
        <x:f>CHOOSE($B$3,I392,I393,I394)</x:f>
        <x:v>0</x:v>
      </x:c>
      <x:c r="J391" s="19" t="n">
        <x:f>CHOOSE($B$3,J392,J393,J394)</x:f>
        <x:v>0</x:v>
      </x:c>
      <x:c r="K391" s="21" t="str">
        <x:f>CHOOSE($B$3,K392,K393,K394)</x:f>
      </x:c>
      <x:c r="L391" s="15" t="str">
        <x:v>hengrui-normalized-ntm-pe-v1.0</x:v>
      </x:c>
      <x:c r="M391" s="15" t="str">
        <x:v>2027-04-09</x:v>
      </x:c>
      <x:c r="O391" t="str">
        <x:v>CNY</x:v>
      </x:c>
      <x:c r="V391" t="str">
        <x:v>2027-04-09</x:v>
      </x:c>
      <x:c r="W391" t="str">
        <x:v>待核</x:v>
      </x:c>
      <x:c r="X391" t="str">
        <x:v>周末已解析；节假日需交易所对应年度日历核验，实际交易日待核</x:v>
      </x:c>
    </x:row>
    <x:row r="392" ht="23" customHeight="1">
      <x:c r="A392" s="11" t="str">
        <x:v>01276.HK</x:v>
      </x:c>
      <x:c r="B392" s="11" t="str">
        <x:v>半年</x:v>
      </x:c>
      <x:c r="C392" s="11" t="str">
        <x:v>悲观</x:v>
      </x:c>
      <x:c r="D392" s="11" t="str">
        <x:v>EPS</x:v>
      </x:c>
      <x:c r="E392" s="18" t="n">
        <x:f>E372</x:f>
        <x:v>1.15</x:v>
      </x:c>
      <x:c r="F392" s="18" t="n">
        <x:v>22</x:v>
      </x:c>
      <x:c r="G392" s="18" t="n">
        <x:v>1.1</x:v>
      </x:c>
      <x:c r="H392" s="18" t="n">
        <x:v>0</x:v>
      </x:c>
      <x:c r="I392" s="18" t="n">
        <x:f>I372</x:f>
        <x:v>0</x:v>
      </x:c>
      <x:c r="J392" s="20" t="n">
        <x:f>J372</x:f>
        <x:v>0</x:v>
      </x:c>
      <x:c r="K392" s="22" t="n">
        <x:f>K372</x:f>
        <x:v>0</x:v>
      </x:c>
      <x:c r="L392" s="11" t="str">
        <x:v>hengrui-normalized-ntm-pe-v1.0</x:v>
      </x:c>
      <x:c r="M392" s="11" t="str">
        <x:v>2027-04-09</x:v>
      </x:c>
      <x:c r="O392" t="str">
        <x:v>CNY</x:v>
      </x:c>
      <x:c r="V392" t="str">
        <x:v>2027-04-09</x:v>
      </x:c>
      <x:c r="W392" t="str">
        <x:v>待核</x:v>
      </x:c>
      <x:c r="X392" t="str">
        <x:v>周末已解析；节假日需交易所对应年度日历核验，实际交易日待核</x:v>
      </x:c>
    </x:row>
    <x:row r="393" ht="23" customHeight="1">
      <x:c r="A393" s="11" t="str">
        <x:v>01276.HK</x:v>
      </x:c>
      <x:c r="B393" s="11" t="str">
        <x:v>半年</x:v>
      </x:c>
      <x:c r="C393" s="11" t="str">
        <x:v>基准</x:v>
      </x:c>
      <x:c r="D393" s="11" t="str">
        <x:v>EPS</x:v>
      </x:c>
      <x:c r="E393" s="18" t="n">
        <x:f>E373</x:f>
        <x:v>1.6</x:v>
      </x:c>
      <x:c r="F393" s="18" t="n">
        <x:v>34</x:v>
      </x:c>
      <x:c r="G393" s="18" t="n">
        <x:v>1.1</x:v>
      </x:c>
      <x:c r="H393" s="18" t="n">
        <x:v>0</x:v>
      </x:c>
      <x:c r="I393" s="18" t="n">
        <x:f>I373</x:f>
        <x:v>0</x:v>
      </x:c>
      <x:c r="J393" s="20" t="n">
        <x:f>J373</x:f>
        <x:v>0</x:v>
      </x:c>
      <x:c r="K393" s="22" t="n">
        <x:f>K373</x:f>
        <x:v>0</x:v>
      </x:c>
      <x:c r="L393" s="11" t="str">
        <x:v>hengrui-normalized-ntm-pe-v1.0</x:v>
      </x:c>
      <x:c r="M393" s="11" t="str">
        <x:v>2027-04-09</x:v>
      </x:c>
      <x:c r="O393" t="str">
        <x:v>CNY</x:v>
      </x:c>
      <x:c r="V393" t="str">
        <x:v>2027-04-09</x:v>
      </x:c>
      <x:c r="W393" t="str">
        <x:v>待核</x:v>
      </x:c>
      <x:c r="X393" t="str">
        <x:v>周末已解析；节假日需交易所对应年度日历核验，实际交易日待核</x:v>
      </x:c>
    </x:row>
    <x:row r="394" ht="23" customHeight="1">
      <x:c r="A394" s="11" t="str">
        <x:v>01276.HK</x:v>
      </x:c>
      <x:c r="B394" s="11" t="str">
        <x:v>半年</x:v>
      </x:c>
      <x:c r="C394" s="11" t="str">
        <x:v>乐观</x:v>
      </x:c>
      <x:c r="D394" s="11" t="str">
        <x:v>EPS</x:v>
      </x:c>
      <x:c r="E394" s="18" t="n">
        <x:f>E374</x:f>
        <x:v>2</x:v>
      </x:c>
      <x:c r="F394" s="18" t="n">
        <x:v>44</x:v>
      </x:c>
      <x:c r="G394" s="18" t="n">
        <x:v>1.1</x:v>
      </x:c>
      <x:c r="H394" s="18" t="n">
        <x:v>0</x:v>
      </x:c>
      <x:c r="I394" s="18" t="n">
        <x:f>I374</x:f>
        <x:v>0</x:v>
      </x:c>
      <x:c r="J394" s="20" t="n">
        <x:f>J374</x:f>
        <x:v>0</x:v>
      </x:c>
      <x:c r="K394" s="22" t="n">
        <x:f>K374</x:f>
        <x:v>0</x:v>
      </x:c>
      <x:c r="L394" s="11" t="str">
        <x:v>hengrui-normalized-ntm-pe-v1.0</x:v>
      </x:c>
      <x:c r="M394" s="11" t="str">
        <x:v>2027-04-09</x:v>
      </x:c>
      <x:c r="O394" t="str">
        <x:v>CNY</x:v>
      </x:c>
      <x:c r="V394" t="str">
        <x:v>2027-04-09</x:v>
      </x:c>
      <x:c r="W394" t="str">
        <x:v>待核</x:v>
      </x:c>
      <x:c r="X394" t="str">
        <x:v>周末已解析；节假日需交易所对应年度日历核验，实际交易日待核</x:v>
      </x:c>
    </x:row>
    <x:row r="395" ht="23" customHeight="1">
      <x:c r="A395" s="15" t="str">
        <x:v>01276.HK</x:v>
      </x:c>
      <x:c r="B395" s="15" t="str">
        <x:v>一年</x:v>
      </x:c>
      <x:c r="C395" s="15" t="str">
        <x:v>活动输入</x:v>
      </x:c>
      <x:c r="D395" s="15" t="str">
        <x:v>EPS</x:v>
      </x:c>
      <x:c r="E395" s="17" t="n">
        <x:f>CHOOSE($B$3,E396,E397,E398)</x:f>
        <x:v>1.8</x:v>
      </x:c>
      <x:c r="F395" s="17" t="n">
        <x:f>CHOOSE($B$3,F396,F397,F398)</x:f>
        <x:v>35</x:v>
      </x:c>
      <x:c r="G395" s="17" t="n">
        <x:f>CHOOSE($B$3,G396,G397,G398)</x:f>
        <x:v>1.1</x:v>
      </x:c>
      <x:c r="H395" s="17" t="n">
        <x:f>CHOOSE($B$3,H396,H397,H398)</x:f>
        <x:v>0.275</x:v>
      </x:c>
      <x:c r="I395" s="17" t="n">
        <x:f>CHOOSE($B$3,I396,I397,I398)</x:f>
        <x:v>0</x:v>
      </x:c>
      <x:c r="J395" s="19" t="n">
        <x:f>CHOOSE($B$3,J396,J397,J398)</x:f>
        <x:v>0</x:v>
      </x:c>
      <x:c r="K395" s="21" t="str">
        <x:f>CHOOSE($B$3,K396,K397,K398)</x:f>
      </x:c>
      <x:c r="L395" s="15" t="str">
        <x:v>hengrui-normalized-ntm-pe-v1.0</x:v>
      </x:c>
      <x:c r="M395" s="15" t="str">
        <x:v>2027-10-09</x:v>
      </x:c>
      <x:c r="O395" t="str">
        <x:v>CNY</x:v>
      </x:c>
      <x:c r="V395" t="str">
        <x:v>2027-10-08</x:v>
      </x:c>
      <x:c r="W395" t="str">
        <x:v>待核</x:v>
      </x:c>
      <x:c r="X395" t="str">
        <x:v>周末已解析；节假日需交易所对应年度日历核验，实际交易日待核</x:v>
      </x:c>
    </x:row>
    <x:row r="396" ht="23" customHeight="1">
      <x:c r="A396" s="11" t="str">
        <x:v>01276.HK</x:v>
      </x:c>
      <x:c r="B396" s="11" t="str">
        <x:v>一年</x:v>
      </x:c>
      <x:c r="C396" s="11" t="str">
        <x:v>悲观</x:v>
      </x:c>
      <x:c r="D396" s="11" t="str">
        <x:v>EPS</x:v>
      </x:c>
      <x:c r="E396" s="18" t="n">
        <x:f>E376</x:f>
        <x:v>1.25</x:v>
      </x:c>
      <x:c r="F396" s="18" t="n">
        <x:v>22</x:v>
      </x:c>
      <x:c r="G396" s="18" t="n">
        <x:v>1.1</x:v>
      </x:c>
      <x:c r="H396" s="18" t="n">
        <x:v>0.165</x:v>
      </x:c>
      <x:c r="I396" s="18" t="n">
        <x:f>I376</x:f>
        <x:v>0</x:v>
      </x:c>
      <x:c r="J396" s="20" t="n">
        <x:f>J376</x:f>
        <x:v>0</x:v>
      </x:c>
      <x:c r="K396" s="22" t="n">
        <x:f>K376</x:f>
        <x:v>0</x:v>
      </x:c>
      <x:c r="L396" s="11" t="str">
        <x:v>hengrui-normalized-ntm-pe-v1.0</x:v>
      </x:c>
      <x:c r="M396" s="11" t="str">
        <x:v>2027-10-09</x:v>
      </x:c>
      <x:c r="O396" t="str">
        <x:v>CNY</x:v>
      </x:c>
      <x:c r="V396" t="str">
        <x:v>2027-10-08</x:v>
      </x:c>
      <x:c r="W396" t="str">
        <x:v>待核</x:v>
      </x:c>
      <x:c r="X396" t="str">
        <x:v>周末已解析；节假日需交易所对应年度日历核验，实际交易日待核</x:v>
      </x:c>
    </x:row>
    <x:row r="397" ht="23" customHeight="1">
      <x:c r="A397" s="11" t="str">
        <x:v>01276.HK</x:v>
      </x:c>
      <x:c r="B397" s="11" t="str">
        <x:v>一年</x:v>
      </x:c>
      <x:c r="C397" s="11" t="str">
        <x:v>基准</x:v>
      </x:c>
      <x:c r="D397" s="11" t="str">
        <x:v>EPS</x:v>
      </x:c>
      <x:c r="E397" s="18" t="n">
        <x:f>E377</x:f>
        <x:v>1.8</x:v>
      </x:c>
      <x:c r="F397" s="18" t="n">
        <x:v>35</x:v>
      </x:c>
      <x:c r="G397" s="18" t="n">
        <x:v>1.1</x:v>
      </x:c>
      <x:c r="H397" s="18" t="n">
        <x:v>0.275</x:v>
      </x:c>
      <x:c r="I397" s="18" t="n">
        <x:f>I377</x:f>
        <x:v>0</x:v>
      </x:c>
      <x:c r="J397" s="20" t="n">
        <x:f>J377</x:f>
        <x:v>0</x:v>
      </x:c>
      <x:c r="K397" s="22" t="n">
        <x:f>K377</x:f>
        <x:v>0</x:v>
      </x:c>
      <x:c r="L397" s="11" t="str">
        <x:v>hengrui-normalized-ntm-pe-v1.0</x:v>
      </x:c>
      <x:c r="M397" s="11" t="str">
        <x:v>2027-10-09</x:v>
      </x:c>
      <x:c r="O397" t="str">
        <x:v>CNY</x:v>
      </x:c>
      <x:c r="V397" t="str">
        <x:v>2027-10-08</x:v>
      </x:c>
      <x:c r="W397" t="str">
        <x:v>待核</x:v>
      </x:c>
      <x:c r="X397" t="str">
        <x:v>周末已解析；节假日需交易所对应年度日历核验，实际交易日待核</x:v>
      </x:c>
    </x:row>
    <x:row r="398" ht="23" customHeight="1">
      <x:c r="A398" s="11" t="str">
        <x:v>01276.HK</x:v>
      </x:c>
      <x:c r="B398" s="11" t="str">
        <x:v>一年</x:v>
      </x:c>
      <x:c r="C398" s="11" t="str">
        <x:v>乐观</x:v>
      </x:c>
      <x:c r="D398" s="11" t="str">
        <x:v>EPS</x:v>
      </x:c>
      <x:c r="E398" s="18" t="n">
        <x:f>E378</x:f>
        <x:v>2.35</x:v>
      </x:c>
      <x:c r="F398" s="18" t="n">
        <x:v>45</x:v>
      </x:c>
      <x:c r="G398" s="18" t="n">
        <x:v>1.1</x:v>
      </x:c>
      <x:c r="H398" s="18" t="n">
        <x:v>0.385</x:v>
      </x:c>
      <x:c r="I398" s="18" t="n">
        <x:f>I378</x:f>
        <x:v>0</x:v>
      </x:c>
      <x:c r="J398" s="20" t="n">
        <x:f>J378</x:f>
        <x:v>0</x:v>
      </x:c>
      <x:c r="K398" s="22" t="n">
        <x:f>K378</x:f>
        <x:v>0</x:v>
      </x:c>
      <x:c r="L398" s="11" t="str">
        <x:v>hengrui-normalized-ntm-pe-v1.0</x:v>
      </x:c>
      <x:c r="M398" s="11" t="str">
        <x:v>2027-10-09</x:v>
      </x:c>
      <x:c r="O398" t="str">
        <x:v>CNY</x:v>
      </x:c>
      <x:c r="V398" t="str">
        <x:v>2027-10-08</x:v>
      </x:c>
      <x:c r="W398" t="str">
        <x:v>待核</x:v>
      </x:c>
      <x:c r="X398" t="str">
        <x:v>周末已解析；节假日需交易所对应年度日历核验，实际交易日待核</x:v>
      </x:c>
    </x:row>
    <x:row r="399" ht="23" customHeight="1">
      <x:c r="A399" s="15" t="str">
        <x:v>01276.HK</x:v>
      </x:c>
      <x:c r="B399" s="15" t="str">
        <x:v>三年</x:v>
      </x:c>
      <x:c r="C399" s="15" t="str">
        <x:v>活动输入</x:v>
      </x:c>
      <x:c r="D399" s="15" t="str">
        <x:v>EPS</x:v>
      </x:c>
      <x:c r="E399" s="17" t="n">
        <x:f>CHOOSE($B$3,E400,E401,E402)</x:f>
        <x:v>2.45</x:v>
      </x:c>
      <x:c r="F399" s="17" t="n">
        <x:f>CHOOSE($B$3,F400,F401,F402)</x:f>
        <x:v>33</x:v>
      </x:c>
      <x:c r="G399" s="17" t="n">
        <x:f>CHOOSE($B$3,G400,G401,G402)</x:f>
        <x:v>1.1</x:v>
      </x:c>
      <x:c r="H399" s="17" t="n">
        <x:f>CHOOSE($B$3,H400,H401,H402)</x:f>
        <x:v>0.9900000000000001</x:v>
      </x:c>
      <x:c r="I399" s="17" t="n">
        <x:f>CHOOSE($B$3,I400,I401,I402)</x:f>
        <x:v>0</x:v>
      </x:c>
      <x:c r="J399" s="19" t="n">
        <x:f>CHOOSE($B$3,J400,J401,J402)</x:f>
        <x:v>0</x:v>
      </x:c>
      <x:c r="K399" s="21" t="str">
        <x:f>CHOOSE($B$3,K400,K401,K402)</x:f>
      </x:c>
      <x:c r="L399" s="15" t="str">
        <x:v>hengrui-normalized-ntm-pe-v1.0</x:v>
      </x:c>
      <x:c r="M399" s="15" t="str">
        <x:v>2029-10-09</x:v>
      </x:c>
      <x:c r="O399" t="str">
        <x:v>CNY</x:v>
      </x:c>
      <x:c r="V399" t="str">
        <x:v>2029-10-09</x:v>
      </x:c>
      <x:c r="W399" t="str">
        <x:v>待核</x:v>
      </x:c>
      <x:c r="X399" t="str">
        <x:v>周末已解析；节假日需交易所对应年度日历核验，实际交易日待核</x:v>
      </x:c>
    </x:row>
    <x:row r="400" ht="23" customHeight="1">
      <x:c r="A400" s="11" t="str">
        <x:v>01276.HK</x:v>
      </x:c>
      <x:c r="B400" s="11" t="str">
        <x:v>三年</x:v>
      </x:c>
      <x:c r="C400" s="11" t="str">
        <x:v>悲观</x:v>
      </x:c>
      <x:c r="D400" s="11" t="str">
        <x:v>EPS</x:v>
      </x:c>
      <x:c r="E400" s="18" t="n">
        <x:f>E380</x:f>
        <x:v>1.4</x:v>
      </x:c>
      <x:c r="F400" s="18" t="n">
        <x:v>20</x:v>
      </x:c>
      <x:c r="G400" s="18" t="n">
        <x:v>1.1</x:v>
      </x:c>
      <x:c r="H400" s="18" t="n">
        <x:v>0.55</x:v>
      </x:c>
      <x:c r="I400" s="18" t="n">
        <x:f>I380</x:f>
        <x:v>0</x:v>
      </x:c>
      <x:c r="J400" s="20" t="n">
        <x:f>J380</x:f>
        <x:v>0</x:v>
      </x:c>
      <x:c r="K400" s="22" t="n">
        <x:f>K380</x:f>
        <x:v>0</x:v>
      </x:c>
      <x:c r="L400" s="11" t="str">
        <x:v>hengrui-normalized-ntm-pe-v1.0</x:v>
      </x:c>
      <x:c r="M400" s="11" t="str">
        <x:v>2029-10-09</x:v>
      </x:c>
      <x:c r="O400" t="str">
        <x:v>CNY</x:v>
      </x:c>
      <x:c r="V400" t="str">
        <x:v>2029-10-09</x:v>
      </x:c>
      <x:c r="W400" t="str">
        <x:v>待核</x:v>
      </x:c>
      <x:c r="X400" t="str">
        <x:v>周末已解析；节假日需交易所对应年度日历核验，实际交易日待核</x:v>
      </x:c>
    </x:row>
    <x:row r="401" ht="23" customHeight="1">
      <x:c r="A401" s="11" t="str">
        <x:v>01276.HK</x:v>
      </x:c>
      <x:c r="B401" s="11" t="str">
        <x:v>三年</x:v>
      </x:c>
      <x:c r="C401" s="11" t="str">
        <x:v>基准</x:v>
      </x:c>
      <x:c r="D401" s="11" t="str">
        <x:v>EPS</x:v>
      </x:c>
      <x:c r="E401" s="18" t="n">
        <x:f>E381</x:f>
        <x:v>2.45</x:v>
      </x:c>
      <x:c r="F401" s="18" t="n">
        <x:v>33</x:v>
      </x:c>
      <x:c r="G401" s="18" t="n">
        <x:v>1.1</x:v>
      </x:c>
      <x:c r="H401" s="18" t="n">
        <x:v>0.9900000000000001</x:v>
      </x:c>
      <x:c r="I401" s="18" t="n">
        <x:f>I381</x:f>
        <x:v>0</x:v>
      </x:c>
      <x:c r="J401" s="20" t="n">
        <x:f>J381</x:f>
        <x:v>0</x:v>
      </x:c>
      <x:c r="K401" s="22" t="n">
        <x:f>K381</x:f>
        <x:v>0</x:v>
      </x:c>
      <x:c r="L401" s="11" t="str">
        <x:v>hengrui-normalized-ntm-pe-v1.0</x:v>
      </x:c>
      <x:c r="M401" s="11" t="str">
        <x:v>2029-10-09</x:v>
      </x:c>
      <x:c r="O401" t="str">
        <x:v>CNY</x:v>
      </x:c>
      <x:c r="V401" t="str">
        <x:v>2029-10-09</x:v>
      </x:c>
      <x:c r="W401" t="str">
        <x:v>待核</x:v>
      </x:c>
      <x:c r="X401" t="str">
        <x:v>周末已解析；节假日需交易所对应年度日历核验，实际交易日待核</x:v>
      </x:c>
    </x:row>
    <x:row r="402" ht="23" customHeight="1">
      <x:c r="A402" s="11" t="str">
        <x:v>01276.HK</x:v>
      </x:c>
      <x:c r="B402" s="11" t="str">
        <x:v>三年</x:v>
      </x:c>
      <x:c r="C402" s="11" t="str">
        <x:v>乐观</x:v>
      </x:c>
      <x:c r="D402" s="11" t="str">
        <x:v>EPS</x:v>
      </x:c>
      <x:c r="E402" s="18" t="n">
        <x:f>E382</x:f>
        <x:v>3.75</x:v>
      </x:c>
      <x:c r="F402" s="18" t="n">
        <x:v>43</x:v>
      </x:c>
      <x:c r="G402" s="18" t="n">
        <x:v>1.1</x:v>
      </x:c>
      <x:c r="H402" s="18" t="n">
        <x:v>1.54</x:v>
      </x:c>
      <x:c r="I402" s="18" t="n">
        <x:f>I382</x:f>
        <x:v>0</x:v>
      </x:c>
      <x:c r="J402" s="20" t="n">
        <x:f>J382</x:f>
        <x:v>0</x:v>
      </x:c>
      <x:c r="K402" s="22" t="n">
        <x:f>K382</x:f>
        <x:v>0</x:v>
      </x:c>
      <x:c r="L402" s="11" t="str">
        <x:v>hengrui-normalized-ntm-pe-v1.0</x:v>
      </x:c>
      <x:c r="M402" s="11" t="str">
        <x:v>2029-10-09</x:v>
      </x:c>
      <x:c r="O402" t="str">
        <x:v>CNY</x:v>
      </x:c>
      <x:c r="V402" t="str">
        <x:v>2029-10-09</x:v>
      </x:c>
      <x:c r="W402" t="str">
        <x:v>待核</x:v>
      </x:c>
      <x:c r="X402" t="str">
        <x:v>周末已解析；节假日需交易所对应年度日历核验，实际交易日待核</x:v>
      </x:c>
    </x:row>
    <x:row r="403" ht="23" customHeight="1">
      <x:c r="A403" s="15" t="str">
        <x:v>01276.HK</x:v>
      </x:c>
      <x:c r="B403" s="15" t="str">
        <x:v>五年</x:v>
      </x:c>
      <x:c r="C403" s="15" t="str">
        <x:v>活动输入</x:v>
      </x:c>
      <x:c r="D403" s="15" t="str">
        <x:v>EPS</x:v>
      </x:c>
      <x:c r="E403" s="17" t="n">
        <x:f>CHOOSE($B$3,E404,E405,E406)</x:f>
        <x:v>3.25</x:v>
      </x:c>
      <x:c r="F403" s="17" t="n">
        <x:f>CHOOSE($B$3,F404,F405,F406)</x:f>
        <x:v>31</x:v>
      </x:c>
      <x:c r="G403" s="17" t="n">
        <x:f>CHOOSE($B$3,G404,G405,G406)</x:f>
        <x:v>1.1</x:v>
      </x:c>
      <x:c r="H403" s="17" t="n">
        <x:f>CHOOSE($B$3,H404,H405,H406)</x:f>
        <x:v>1.9250000000000003</x:v>
      </x:c>
      <x:c r="I403" s="17" t="n">
        <x:f>CHOOSE($B$3,I404,I405,I406)</x:f>
        <x:v>0</x:v>
      </x:c>
      <x:c r="J403" s="19" t="n">
        <x:f>CHOOSE($B$3,J404,J405,J406)</x:f>
        <x:v>0</x:v>
      </x:c>
      <x:c r="K403" s="21" t="str">
        <x:f>CHOOSE($B$3,K404,K405,K406)</x:f>
      </x:c>
      <x:c r="L403" s="15" t="str">
        <x:v>hengrui-normalized-ntm-pe-v1.0</x:v>
      </x:c>
      <x:c r="M403" s="15" t="str">
        <x:v>2031-10-09</x:v>
      </x:c>
      <x:c r="O403" t="str">
        <x:v>CNY</x:v>
      </x:c>
      <x:c r="V403" t="str">
        <x:v>2031-10-09</x:v>
      </x:c>
      <x:c r="W403" t="str">
        <x:v>待核</x:v>
      </x:c>
      <x:c r="X403" t="str">
        <x:v>周末已解析；节假日需交易所对应年度日历核验，实际交易日待核</x:v>
      </x:c>
    </x:row>
    <x:row r="404" ht="23" customHeight="1">
      <x:c r="A404" s="11" t="str">
        <x:v>01276.HK</x:v>
      </x:c>
      <x:c r="B404" s="11" t="str">
        <x:v>五年</x:v>
      </x:c>
      <x:c r="C404" s="11" t="str">
        <x:v>悲观</x:v>
      </x:c>
      <x:c r="D404" s="11" t="str">
        <x:v>EPS</x:v>
      </x:c>
      <x:c r="E404" s="18" t="n">
        <x:f>E384</x:f>
        <x:v>1.5</x:v>
      </x:c>
      <x:c r="F404" s="18" t="n">
        <x:v>18</x:v>
      </x:c>
      <x:c r="G404" s="18" t="n">
        <x:v>1.1</x:v>
      </x:c>
      <x:c r="H404" s="18" t="n">
        <x:v>0.8800000000000001</x:v>
      </x:c>
      <x:c r="I404" s="18" t="n">
        <x:f>I384</x:f>
        <x:v>0</x:v>
      </x:c>
      <x:c r="J404" s="20" t="n">
        <x:f>J384</x:f>
        <x:v>0</x:v>
      </x:c>
      <x:c r="K404" s="22" t="n">
        <x:f>K384</x:f>
        <x:v>0</x:v>
      </x:c>
      <x:c r="L404" s="11" t="str">
        <x:v>hengrui-normalized-ntm-pe-v1.0</x:v>
      </x:c>
      <x:c r="M404" s="11" t="str">
        <x:v>2031-10-09</x:v>
      </x:c>
      <x:c r="O404" t="str">
        <x:v>CNY</x:v>
      </x:c>
      <x:c r="V404" t="str">
        <x:v>2031-10-09</x:v>
      </x:c>
      <x:c r="W404" t="str">
        <x:v>待核</x:v>
      </x:c>
      <x:c r="X404" t="str">
        <x:v>周末已解析；节假日需交易所对应年度日历核验，实际交易日待核</x:v>
      </x:c>
    </x:row>
    <x:row r="405" ht="23" customHeight="1">
      <x:c r="A405" s="11" t="str">
        <x:v>01276.HK</x:v>
      </x:c>
      <x:c r="B405" s="11" t="str">
        <x:v>五年</x:v>
      </x:c>
      <x:c r="C405" s="11" t="str">
        <x:v>基准</x:v>
      </x:c>
      <x:c r="D405" s="11" t="str">
        <x:v>EPS</x:v>
      </x:c>
      <x:c r="E405" s="18" t="n">
        <x:f>E385</x:f>
        <x:v>3.25</x:v>
      </x:c>
      <x:c r="F405" s="18" t="n">
        <x:v>31</x:v>
      </x:c>
      <x:c r="G405" s="18" t="n">
        <x:v>1.1</x:v>
      </x:c>
      <x:c r="H405" s="18" t="n">
        <x:v>1.9250000000000003</x:v>
      </x:c>
      <x:c r="I405" s="18" t="n">
        <x:f>I385</x:f>
        <x:v>0</x:v>
      </x:c>
      <x:c r="J405" s="20" t="n">
        <x:f>J385</x:f>
        <x:v>0</x:v>
      </x:c>
      <x:c r="K405" s="22" t="n">
        <x:f>K385</x:f>
        <x:v>0</x:v>
      </x:c>
      <x:c r="L405" s="11" t="str">
        <x:v>hengrui-normalized-ntm-pe-v1.0</x:v>
      </x:c>
      <x:c r="M405" s="11" t="str">
        <x:v>2031-10-09</x:v>
      </x:c>
      <x:c r="O405" t="str">
        <x:v>CNY</x:v>
      </x:c>
      <x:c r="V405" t="str">
        <x:v>2031-10-09</x:v>
      </x:c>
      <x:c r="W405" t="str">
        <x:v>待核</x:v>
      </x:c>
      <x:c r="X405" t="str">
        <x:v>周末已解析；节假日需交易所对应年度日历核验，实际交易日待核</x:v>
      </x:c>
    </x:row>
    <x:row r="406" ht="23" customHeight="1">
      <x:c r="A406" s="11" t="str">
        <x:v>01276.HK</x:v>
      </x:c>
      <x:c r="B406" s="11" t="str">
        <x:v>五年</x:v>
      </x:c>
      <x:c r="C406" s="11" t="str">
        <x:v>乐观</x:v>
      </x:c>
      <x:c r="D406" s="11" t="str">
        <x:v>EPS</x:v>
      </x:c>
      <x:c r="E406" s="18" t="n">
        <x:f>E386</x:f>
        <x:v>5.4</x:v>
      </x:c>
      <x:c r="F406" s="18" t="n">
        <x:v>41</x:v>
      </x:c>
      <x:c r="G406" s="18" t="n">
        <x:v>1.1</x:v>
      </x:c>
      <x:c r="H406" s="18" t="n">
        <x:v>3.3000000000000003</x:v>
      </x:c>
      <x:c r="I406" s="18" t="n">
        <x:f>I386</x:f>
        <x:v>0</x:v>
      </x:c>
      <x:c r="J406" s="20" t="n">
        <x:f>J386</x:f>
        <x:v>0</x:v>
      </x:c>
      <x:c r="K406" s="22" t="n">
        <x:f>K386</x:f>
        <x:v>0</x:v>
      </x:c>
      <x:c r="L406" s="11" t="str">
        <x:v>hengrui-normalized-ntm-pe-v1.0</x:v>
      </x:c>
      <x:c r="M406" s="11" t="str">
        <x:v>2031-10-09</x:v>
      </x:c>
      <x:c r="O406" t="str">
        <x:v>CNY</x:v>
      </x:c>
      <x:c r="V406" t="str">
        <x:v>2031-10-09</x:v>
      </x:c>
      <x:c r="W406" t="str">
        <x:v>待核</x:v>
      </x:c>
      <x:c r="X406" t="str">
        <x:v>周末已解析；节假日需交易所对应年度日历核验，实际交易日待核</x:v>
      </x:c>
    </x:row>
    <x:row r="407" ht="23" customHeight="1">
      <x:c r="A407" s="15" t="str">
        <x:v>688302.SH</x:v>
      </x:c>
      <x:c r="B407" s="15" t="str">
        <x:v>2026年底</x:v>
      </x:c>
      <x:c r="C407" s="15" t="str">
        <x:v>活动输入</x:v>
      </x:c>
      <x:c r="D407" s="15" t="str">
        <x:v>收入利润率</x:v>
      </x:c>
      <x:c r="E407" s="17" t="n">
        <x:f>CHOOSE($B$3,E408,E409,E410)</x:f>
        <x:v>0</x:v>
      </x:c>
      <x:c r="F407" s="17" t="n">
        <x:f>CHOOSE($B$3,F408,F409,F410)</x:f>
        <x:v>0</x:v>
      </x:c>
      <x:c r="G407" s="17" t="n">
        <x:f>CHOOSE($B$3,G408,G409,G410)</x:f>
        <x:v>1</x:v>
      </x:c>
      <x:c r="H407" s="17" t="n">
        <x:f>CHOOSE($B$3,H408,H409,H410)</x:f>
        <x:v>0</x:v>
      </x:c>
      <x:c r="I407" s="17" t="n">
        <x:f>CHOOSE($B$3,I408,I409,I410)</x:f>
        <x:v>0</x:v>
      </x:c>
      <x:c r="J407" s="19" t="n">
        <x:f>CHOOSE($B$3,J408,J409,J410)</x:f>
        <x:v>0</x:v>
      </x:c>
      <x:c r="K407" s="21" t="n">
        <x:f>CHOOSE($B$3,K408,K409,K410)</x:f>
        <x:v>0.1</x:v>
      </x:c>
      <x:c r="L407" s="15" t="str">
        <x:v>hinova-rnpv-v1.0</x:v>
      </x:c>
      <x:c r="M407" s="15" t="str">
        <x:v>2026-12-31</x:v>
      </x:c>
      <x:c r="N407" t="n">
        <x:f>CHOOSE($B$3,N408,N409,N410)</x:f>
        <x:v>0.62</x:v>
      </x:c>
      <x:c r="O407" t="str">
        <x:v>CNY</x:v>
      </x:c>
      <x:c r="Q407" t="n">
        <x:f>CHOOSE($B$3,Q408,Q409,Q410)</x:f>
        <x:v>0.75</x:v>
      </x:c>
      <x:c r="U407" t="n">
        <x:f>CHOOSE($B$3,U408,U409,U410)</x:f>
        <x:v>0.35</x:v>
      </x:c>
      <x:c r="V407" t="str">
        <x:v>2026-12-31</x:v>
      </x:c>
      <x:c r="W407" t="str">
        <x:v>待核</x:v>
      </x:c>
      <x:c r="X407" t="str">
        <x:v>周末已解析；节假日需交易所对应年度日历核验，实际交易日待核</x:v>
      </x:c>
    </x:row>
    <x:row r="408" ht="23" customHeight="1">
      <x:c r="A408" s="11" t="str">
        <x:v>688302.SH</x:v>
      </x:c>
      <x:c r="B408" s="11" t="str">
        <x:v>2026年底</x:v>
      </x:c>
      <x:c r="C408" s="11" t="str">
        <x:v>悲观</x:v>
      </x:c>
      <x:c r="D408" s="11" t="str">
        <x:v>收入利润率</x:v>
      </x:c>
      <x:c r="E408" s="18" t="n">
        <x:v>0</x:v>
      </x:c>
      <x:c r="F408" s="18" t="n">
        <x:v>0</x:v>
      </x:c>
      <x:c r="G408" s="18" t="n">
        <x:v>1</x:v>
      </x:c>
      <x:c r="H408" s="18" t="n">
        <x:v>0</x:v>
      </x:c>
      <x:c r="I408" s="18" t="n">
        <x:v>0</x:v>
      </x:c>
      <x:c r="J408" s="20" t="n">
        <x:v>0</x:v>
      </x:c>
      <x:c r="K408" s="22" t="n">
        <x:v>0.102</x:v>
      </x:c>
      <x:c r="L408" s="11" t="str">
        <x:v>hinova-rnpv-v1.0</x:v>
      </x:c>
      <x:c r="M408" s="11" t="str">
        <x:v>2026-12-31</x:v>
      </x:c>
      <x:c r="N408" s="42" t="n">
        <x:v>0.55</x:v>
      </x:c>
      <x:c r="O408" t="str">
        <x:v>CNY</x:v>
      </x:c>
      <x:c r="Q408" s="42" t="n">
        <x:v>0.6</x:v>
      </x:c>
      <x:c r="U408" s="42" t="n">
        <x:v>0.45</x:v>
      </x:c>
      <x:c r="V408" t="str">
        <x:v>2026-12-31</x:v>
      </x:c>
      <x:c r="W408" t="str">
        <x:v>待核</x:v>
      </x:c>
      <x:c r="X408" t="str">
        <x:v>周末已解析；节假日需交易所对应年度日历核验，实际交易日待核</x:v>
      </x:c>
    </x:row>
    <x:row r="409" ht="23" customHeight="1">
      <x:c r="A409" s="11" t="str">
        <x:v>688302.SH</x:v>
      </x:c>
      <x:c r="B409" s="11" t="str">
        <x:v>2026年底</x:v>
      </x:c>
      <x:c r="C409" s="11" t="str">
        <x:v>基准</x:v>
      </x:c>
      <x:c r="D409" s="11" t="str">
        <x:v>收入利润率</x:v>
      </x:c>
      <x:c r="E409" s="18" t="n">
        <x:v>0</x:v>
      </x:c>
      <x:c r="F409" s="18" t="n">
        <x:v>0</x:v>
      </x:c>
      <x:c r="G409" s="18" t="n">
        <x:v>1</x:v>
      </x:c>
      <x:c r="H409" s="18" t="n">
        <x:v>0</x:v>
      </x:c>
      <x:c r="I409" s="18" t="n">
        <x:v>0</x:v>
      </x:c>
      <x:c r="J409" s="20" t="n">
        <x:v>0</x:v>
      </x:c>
      <x:c r="K409" s="22" t="n">
        <x:v>0.1</x:v>
      </x:c>
      <x:c r="L409" s="11" t="str">
        <x:v>hinova-rnpv-v1.0</x:v>
      </x:c>
      <x:c r="M409" s="11" t="str">
        <x:v>2026-12-31</x:v>
      </x:c>
      <x:c r="N409" s="42" t="n">
        <x:v>0.62</x:v>
      </x:c>
      <x:c r="O409" t="str">
        <x:v>CNY</x:v>
      </x:c>
      <x:c r="Q409" s="42" t="n">
        <x:v>0.75</x:v>
      </x:c>
      <x:c r="U409" s="42" t="n">
        <x:v>0.35</x:v>
      </x:c>
      <x:c r="V409" t="str">
        <x:v>2026-12-31</x:v>
      </x:c>
      <x:c r="W409" t="str">
        <x:v>待核</x:v>
      </x:c>
      <x:c r="X409" t="str">
        <x:v>周末已解析；节假日需交易所对应年度日历核验，实际交易日待核</x:v>
      </x:c>
    </x:row>
    <x:row r="410" ht="23" customHeight="1">
      <x:c r="A410" s="11" t="str">
        <x:v>688302.SH</x:v>
      </x:c>
      <x:c r="B410" s="11" t="str">
        <x:v>2026年底</x:v>
      </x:c>
      <x:c r="C410" s="11" t="str">
        <x:v>乐观</x:v>
      </x:c>
      <x:c r="D410" s="11" t="str">
        <x:v>收入利润率</x:v>
      </x:c>
      <x:c r="E410" s="18" t="n">
        <x:v>0</x:v>
      </x:c>
      <x:c r="F410" s="18" t="n">
        <x:v>0</x:v>
      </x:c>
      <x:c r="G410" s="18" t="n">
        <x:v>1</x:v>
      </x:c>
      <x:c r="H410" s="18" t="n">
        <x:v>0</x:v>
      </x:c>
      <x:c r="I410" s="18" t="n">
        <x:v>0</x:v>
      </x:c>
      <x:c r="J410" s="20" t="n">
        <x:v>0</x:v>
      </x:c>
      <x:c r="K410" s="22" t="n">
        <x:v>0.0995</x:v>
      </x:c>
      <x:c r="L410" s="11" t="str">
        <x:v>hinova-rnpv-v1.0</x:v>
      </x:c>
      <x:c r="M410" s="11" t="str">
        <x:v>2026-12-31</x:v>
      </x:c>
      <x:c r="N410" s="42" t="n">
        <x:v>0.7</x:v>
      </x:c>
      <x:c r="O410" t="str">
        <x:v>CNY</x:v>
      </x:c>
      <x:c r="Q410" s="42" t="n">
        <x:v>1.1</x:v>
      </x:c>
      <x:c r="U410" s="42" t="n">
        <x:v>0.08</x:v>
      </x:c>
      <x:c r="V410" t="str">
        <x:v>2026-12-31</x:v>
      </x:c>
      <x:c r="W410" t="str">
        <x:v>待核</x:v>
      </x:c>
      <x:c r="X410" t="str">
        <x:v>周末已解析；节假日需交易所对应年度日历核验，实际交易日待核</x:v>
      </x:c>
    </x:row>
    <x:row r="411" ht="23" customHeight="1">
      <x:c r="A411" s="15" t="str">
        <x:v>688302.SH</x:v>
      </x:c>
      <x:c r="B411" s="15" t="str">
        <x:v>半年</x:v>
      </x:c>
      <x:c r="C411" s="15" t="str">
        <x:v>活动输入</x:v>
      </x:c>
      <x:c r="D411" s="15" t="str">
        <x:v>收入利润率</x:v>
      </x:c>
      <x:c r="E411" s="17" t="n">
        <x:f>CHOOSE($B$3,E412,E413,E414)</x:f>
        <x:v>0</x:v>
      </x:c>
      <x:c r="F411" s="17" t="n">
        <x:f>CHOOSE($B$3,F412,F413,F414)</x:f>
        <x:v>0</x:v>
      </x:c>
      <x:c r="G411" s="17" t="n">
        <x:f>CHOOSE($B$3,G412,G413,G414)</x:f>
        <x:v>1</x:v>
      </x:c>
      <x:c r="H411" s="17" t="n">
        <x:f>CHOOSE($B$3,H412,H413,H414)</x:f>
        <x:v>0</x:v>
      </x:c>
      <x:c r="I411" s="17" t="n">
        <x:f>CHOOSE($B$3,I412,I413,I414)</x:f>
        <x:v>0</x:v>
      </x:c>
      <x:c r="J411" s="19" t="n">
        <x:f>CHOOSE($B$3,J412,J413,J414)</x:f>
        <x:v>0</x:v>
      </x:c>
      <x:c r="K411" s="21" t="n">
        <x:f>CHOOSE($B$3,K412,K413,K414)</x:f>
        <x:v>0.103</x:v>
      </x:c>
      <x:c r="L411" s="15" t="str">
        <x:v>hinova-rnpv-v1.0</x:v>
      </x:c>
      <x:c r="M411" s="15" t="str">
        <x:v>2027-04-09</x:v>
      </x:c>
      <x:c r="N411" t="n">
        <x:f>CHOOSE($B$3,N412,N413,N414)</x:f>
        <x:v>0.6</x:v>
      </x:c>
      <x:c r="O411" t="str">
        <x:v>CNY</x:v>
      </x:c>
      <x:c r="Q411" t="n">
        <x:f>CHOOSE($B$3,Q412,Q413,Q414)</x:f>
        <x:v>0.8</x:v>
      </x:c>
      <x:c r="U411" t="n">
        <x:f>CHOOSE($B$3,U412,U413,U414)</x:f>
        <x:v>0.6</x:v>
      </x:c>
      <x:c r="V411" t="str">
        <x:v>2027-04-09</x:v>
      </x:c>
      <x:c r="W411" t="str">
        <x:v>待核</x:v>
      </x:c>
      <x:c r="X411" t="str">
        <x:v>周末已解析；节假日需交易所对应年度日历核验，实际交易日待核</x:v>
      </x:c>
    </x:row>
    <x:row r="412" ht="23" customHeight="1">
      <x:c r="A412" s="11" t="str">
        <x:v>688302.SH</x:v>
      </x:c>
      <x:c r="B412" s="11" t="str">
        <x:v>半年</x:v>
      </x:c>
      <x:c r="C412" s="11" t="str">
        <x:v>悲观</x:v>
      </x:c>
      <x:c r="D412" s="11" t="str">
        <x:v>收入利润率</x:v>
      </x:c>
      <x:c r="E412" s="18" t="n">
        <x:v>0</x:v>
      </x:c>
      <x:c r="F412" s="18" t="n">
        <x:v>0</x:v>
      </x:c>
      <x:c r="G412" s="18" t="n">
        <x:v>1</x:v>
      </x:c>
      <x:c r="H412" s="18" t="n">
        <x:v>0</x:v>
      </x:c>
      <x:c r="I412" s="18" t="n">
        <x:v>0</x:v>
      </x:c>
      <x:c r="J412" s="20" t="n">
        <x:v>0</x:v>
      </x:c>
      <x:c r="K412" s="22" t="n">
        <x:v>0.108</x:v>
      </x:c>
      <x:c r="L412" s="11" t="str">
        <x:v>hinova-rnpv-v1.0</x:v>
      </x:c>
      <x:c r="M412" s="11" t="str">
        <x:v>2027-04-09</x:v>
      </x:c>
      <x:c r="N412" s="42" t="n">
        <x:v>0.48</x:v>
      </x:c>
      <x:c r="O412" t="str">
        <x:v>CNY</x:v>
      </x:c>
      <x:c r="Q412" s="42" t="n">
        <x:v>0.65</x:v>
      </x:c>
      <x:c r="U412" s="42" t="n">
        <x:v>0.65</x:v>
      </x:c>
      <x:c r="V412" t="str">
        <x:v>2027-04-09</x:v>
      </x:c>
      <x:c r="W412" t="str">
        <x:v>待核</x:v>
      </x:c>
      <x:c r="X412" t="str">
        <x:v>周末已解析；节假日需交易所对应年度日历核验，实际交易日待核</x:v>
      </x:c>
    </x:row>
    <x:row r="413" ht="23" customHeight="1">
      <x:c r="A413" s="11" t="str">
        <x:v>688302.SH</x:v>
      </x:c>
      <x:c r="B413" s="11" t="str">
        <x:v>半年</x:v>
      </x:c>
      <x:c r="C413" s="11" t="str">
        <x:v>基准</x:v>
      </x:c>
      <x:c r="D413" s="11" t="str">
        <x:v>收入利润率</x:v>
      </x:c>
      <x:c r="E413" s="18" t="n">
        <x:v>0</x:v>
      </x:c>
      <x:c r="F413" s="18" t="n">
        <x:v>0</x:v>
      </x:c>
      <x:c r="G413" s="18" t="n">
        <x:v>1</x:v>
      </x:c>
      <x:c r="H413" s="18" t="n">
        <x:v>0</x:v>
      </x:c>
      <x:c r="I413" s="18" t="n">
        <x:v>0</x:v>
      </x:c>
      <x:c r="J413" s="20" t="n">
        <x:v>0</x:v>
      </x:c>
      <x:c r="K413" s="22" t="n">
        <x:v>0.103</x:v>
      </x:c>
      <x:c r="L413" s="11" t="str">
        <x:v>hinova-rnpv-v1.0</x:v>
      </x:c>
      <x:c r="M413" s="11" t="str">
        <x:v>2027-04-09</x:v>
      </x:c>
      <x:c r="N413" s="42" t="n">
        <x:v>0.6</x:v>
      </x:c>
      <x:c r="O413" t="str">
        <x:v>CNY</x:v>
      </x:c>
      <x:c r="Q413" s="42" t="n">
        <x:v>0.8</x:v>
      </x:c>
      <x:c r="U413" s="42" t="n">
        <x:v>0.6</x:v>
      </x:c>
      <x:c r="V413" t="str">
        <x:v>2027-04-09</x:v>
      </x:c>
      <x:c r="W413" t="str">
        <x:v>待核</x:v>
      </x:c>
      <x:c r="X413" t="str">
        <x:v>周末已解析；节假日需交易所对应年度日历核验，实际交易日待核</x:v>
      </x:c>
    </x:row>
    <x:row r="414" ht="23" customHeight="1">
      <x:c r="A414" s="11" t="str">
        <x:v>688302.SH</x:v>
      </x:c>
      <x:c r="B414" s="11" t="str">
        <x:v>半年</x:v>
      </x:c>
      <x:c r="C414" s="11" t="str">
        <x:v>乐观</x:v>
      </x:c>
      <x:c r="D414" s="11" t="str">
        <x:v>收入利润率</x:v>
      </x:c>
      <x:c r="E414" s="18" t="n">
        <x:v>0</x:v>
      </x:c>
      <x:c r="F414" s="18" t="n">
        <x:v>0</x:v>
      </x:c>
      <x:c r="G414" s="18" t="n">
        <x:v>1</x:v>
      </x:c>
      <x:c r="H414" s="18" t="n">
        <x:v>0</x:v>
      </x:c>
      <x:c r="I414" s="18" t="n">
        <x:v>0</x:v>
      </x:c>
      <x:c r="J414" s="20" t="n">
        <x:v>0</x:v>
      </x:c>
      <x:c r="K414" s="22" t="n">
        <x:v>0.101</x:v>
      </x:c>
      <x:c r="L414" s="11" t="str">
        <x:v>hinova-rnpv-v1.0</x:v>
      </x:c>
      <x:c r="M414" s="11" t="str">
        <x:v>2027-04-09</x:v>
      </x:c>
      <x:c r="N414" s="42" t="n">
        <x:v>0.8</x:v>
      </x:c>
      <x:c r="O414" t="str">
        <x:v>CNY</x:v>
      </x:c>
      <x:c r="Q414" s="42" t="n">
        <x:v>1.1</x:v>
      </x:c>
      <x:c r="U414" s="42" t="n">
        <x:v>0.12</x:v>
      </x:c>
      <x:c r="V414" t="str">
        <x:v>2027-04-09</x:v>
      </x:c>
      <x:c r="W414" t="str">
        <x:v>待核</x:v>
      </x:c>
      <x:c r="X414" t="str">
        <x:v>周末已解析；节假日需交易所对应年度日历核验，实际交易日待核</x:v>
      </x:c>
    </x:row>
    <x:row r="415" ht="23" customHeight="1">
      <x:c r="A415" s="15" t="str">
        <x:v>688302.SH</x:v>
      </x:c>
      <x:c r="B415" s="15" t="str">
        <x:v>一年</x:v>
      </x:c>
      <x:c r="C415" s="15" t="str">
        <x:v>活动输入</x:v>
      </x:c>
      <x:c r="D415" s="15" t="str">
        <x:v>收入利润率</x:v>
      </x:c>
      <x:c r="E415" s="17" t="n">
        <x:f>CHOOSE($B$3,E416,E417,E418)</x:f>
        <x:v>0</x:v>
      </x:c>
      <x:c r="F415" s="17" t="n">
        <x:f>CHOOSE($B$3,F416,F417,F418)</x:f>
        <x:v>0</x:v>
      </x:c>
      <x:c r="G415" s="17" t="n">
        <x:f>CHOOSE($B$3,G416,G417,G418)</x:f>
        <x:v>1</x:v>
      </x:c>
      <x:c r="H415" s="17" t="n">
        <x:f>CHOOSE($B$3,H416,H417,H418)</x:f>
        <x:v>0</x:v>
      </x:c>
      <x:c r="I415" s="17" t="n">
        <x:f>CHOOSE($B$3,I416,I417,I418)</x:f>
        <x:v>0</x:v>
      </x:c>
      <x:c r="J415" s="19" t="n">
        <x:f>CHOOSE($B$3,J416,J417,J418)</x:f>
        <x:v>0</x:v>
      </x:c>
      <x:c r="K415" s="21" t="n">
        <x:f>CHOOSE($B$3,K416,K417,K418)</x:f>
        <x:v>0.108</x:v>
      </x:c>
      <x:c r="L415" s="15" t="str">
        <x:v>hinova-rnpv-v1.0</x:v>
      </x:c>
      <x:c r="M415" s="15" t="str">
        <x:v>2027-10-09</x:v>
      </x:c>
      <x:c r="N415" t="n">
        <x:f>CHOOSE($B$3,N416,N417,N418)</x:f>
        <x:v>0.55</x:v>
      </x:c>
      <x:c r="O415" t="str">
        <x:v>CNY</x:v>
      </x:c>
      <x:c r="Q415" t="n">
        <x:f>CHOOSE($B$3,Q416,Q417,Q418)</x:f>
        <x:v>0.8</x:v>
      </x:c>
      <x:c r="U415" t="n">
        <x:f>CHOOSE($B$3,U416,U417,U418)</x:f>
        <x:v>0.85</x:v>
      </x:c>
      <x:c r="V415" t="str">
        <x:v>2027-10-08</x:v>
      </x:c>
      <x:c r="W415" t="str">
        <x:v>待核</x:v>
      </x:c>
      <x:c r="X415" t="str">
        <x:v>周末已解析；节假日需交易所对应年度日历核验，实际交易日待核</x:v>
      </x:c>
    </x:row>
    <x:row r="416" ht="23" customHeight="1">
      <x:c r="A416" s="11" t="str">
        <x:v>688302.SH</x:v>
      </x:c>
      <x:c r="B416" s="11" t="str">
        <x:v>一年</x:v>
      </x:c>
      <x:c r="C416" s="11" t="str">
        <x:v>悲观</x:v>
      </x:c>
      <x:c r="D416" s="11" t="str">
        <x:v>收入利润率</x:v>
      </x:c>
      <x:c r="E416" s="18" t="n">
        <x:v>0</x:v>
      </x:c>
      <x:c r="F416" s="18" t="n">
        <x:v>0</x:v>
      </x:c>
      <x:c r="G416" s="18" t="n">
        <x:v>1</x:v>
      </x:c>
      <x:c r="H416" s="18" t="n">
        <x:v>0</x:v>
      </x:c>
      <x:c r="I416" s="18" t="n">
        <x:v>0</x:v>
      </x:c>
      <x:c r="J416" s="20" t="n">
        <x:v>0</x:v>
      </x:c>
      <x:c r="K416" s="22" t="n">
        <x:v>0.12</x:v>
      </x:c>
      <x:c r="L416" s="11" t="str">
        <x:v>hinova-rnpv-v1.0</x:v>
      </x:c>
      <x:c r="M416" s="11" t="str">
        <x:v>2027-10-09</x:v>
      </x:c>
      <x:c r="N416" s="42" t="n">
        <x:v>0.35</x:v>
      </x:c>
      <x:c r="O416" t="str">
        <x:v>CNY</x:v>
      </x:c>
      <x:c r="Q416" s="42" t="n">
        <x:v>0.65</x:v>
      </x:c>
      <x:c r="U416" s="42" t="n">
        <x:v>0.85</x:v>
      </x:c>
      <x:c r="V416" t="str">
        <x:v>2027-10-08</x:v>
      </x:c>
      <x:c r="W416" t="str">
        <x:v>待核</x:v>
      </x:c>
      <x:c r="X416" t="str">
        <x:v>周末已解析；节假日需交易所对应年度日历核验，实际交易日待核</x:v>
      </x:c>
    </x:row>
    <x:row r="417" ht="23" customHeight="1">
      <x:c r="A417" s="11" t="str">
        <x:v>688302.SH</x:v>
      </x:c>
      <x:c r="B417" s="11" t="str">
        <x:v>一年</x:v>
      </x:c>
      <x:c r="C417" s="11" t="str">
        <x:v>基准</x:v>
      </x:c>
      <x:c r="D417" s="11" t="str">
        <x:v>收入利润率</x:v>
      </x:c>
      <x:c r="E417" s="18" t="n">
        <x:v>0</x:v>
      </x:c>
      <x:c r="F417" s="18" t="n">
        <x:v>0</x:v>
      </x:c>
      <x:c r="G417" s="18" t="n">
        <x:v>1</x:v>
      </x:c>
      <x:c r="H417" s="18" t="n">
        <x:v>0</x:v>
      </x:c>
      <x:c r="I417" s="18" t="n">
        <x:v>0</x:v>
      </x:c>
      <x:c r="J417" s="20" t="n">
        <x:v>0</x:v>
      </x:c>
      <x:c r="K417" s="22" t="n">
        <x:v>0.108</x:v>
      </x:c>
      <x:c r="L417" s="11" t="str">
        <x:v>hinova-rnpv-v1.0</x:v>
      </x:c>
      <x:c r="M417" s="11" t="str">
        <x:v>2027-10-09</x:v>
      </x:c>
      <x:c r="N417" s="42" t="n">
        <x:v>0.55</x:v>
      </x:c>
      <x:c r="O417" t="str">
        <x:v>CNY</x:v>
      </x:c>
      <x:c r="Q417" s="42" t="n">
        <x:v>0.8</x:v>
      </x:c>
      <x:c r="U417" s="42" t="n">
        <x:v>0.85</x:v>
      </x:c>
      <x:c r="V417" t="str">
        <x:v>2027-10-08</x:v>
      </x:c>
      <x:c r="W417" t="str">
        <x:v>待核</x:v>
      </x:c>
      <x:c r="X417" t="str">
        <x:v>周末已解析；节假日需交易所对应年度日历核验，实际交易日待核</x:v>
      </x:c>
    </x:row>
    <x:row r="418" ht="23" customHeight="1">
      <x:c r="A418" s="11" t="str">
        <x:v>688302.SH</x:v>
      </x:c>
      <x:c r="B418" s="11" t="str">
        <x:v>一年</x:v>
      </x:c>
      <x:c r="C418" s="11" t="str">
        <x:v>乐观</x:v>
      </x:c>
      <x:c r="D418" s="11" t="str">
        <x:v>收入利润率</x:v>
      </x:c>
      <x:c r="E418" s="18" t="n">
        <x:v>0</x:v>
      </x:c>
      <x:c r="F418" s="18" t="n">
        <x:v>0</x:v>
      </x:c>
      <x:c r="G418" s="18" t="n">
        <x:v>1</x:v>
      </x:c>
      <x:c r="H418" s="18" t="n">
        <x:v>0</x:v>
      </x:c>
      <x:c r="I418" s="18" t="n">
        <x:v>0</x:v>
      </x:c>
      <x:c r="J418" s="20" t="n">
        <x:v>0</x:v>
      </x:c>
      <x:c r="K418" s="22" t="n">
        <x:v>0.103</x:v>
      </x:c>
      <x:c r="L418" s="11" t="str">
        <x:v>hinova-rnpv-v1.0</x:v>
      </x:c>
      <x:c r="M418" s="11" t="str">
        <x:v>2027-10-09</x:v>
      </x:c>
      <x:c r="N418" s="42" t="n">
        <x:v>0.95</x:v>
      </x:c>
      <x:c r="O418" t="str">
        <x:v>CNY</x:v>
      </x:c>
      <x:c r="Q418" s="42" t="n">
        <x:v>1.2</x:v>
      </x:c>
      <x:c r="U418" s="42" t="n">
        <x:v>0.2</x:v>
      </x:c>
      <x:c r="V418" t="str">
        <x:v>2027-10-08</x:v>
      </x:c>
      <x:c r="W418" t="str">
        <x:v>待核</x:v>
      </x:c>
      <x:c r="X418" t="str">
        <x:v>周末已解析；节假日需交易所对应年度日历核验，实际交易日待核</x:v>
      </x:c>
    </x:row>
    <x:row r="419" ht="23" customHeight="1">
      <x:c r="A419" s="15" t="str">
        <x:v>688302.SH</x:v>
      </x:c>
      <x:c r="B419" s="15" t="str">
        <x:v>三年</x:v>
      </x:c>
      <x:c r="C419" s="15" t="str">
        <x:v>活动输入</x:v>
      </x:c>
      <x:c r="D419" s="15" t="str">
        <x:v>收入利润率</x:v>
      </x:c>
      <x:c r="E419" s="17" t="n">
        <x:f>CHOOSE($B$3,E420,E421,E422)</x:f>
        <x:v>0</x:v>
      </x:c>
      <x:c r="F419" s="17" t="n">
        <x:f>CHOOSE($B$3,F420,F421,F422)</x:f>
        <x:v>0</x:v>
      </x:c>
      <x:c r="G419" s="17" t="n">
        <x:f>CHOOSE($B$3,G420,G421,G422)</x:f>
        <x:v>1</x:v>
      </x:c>
      <x:c r="H419" s="17" t="n">
        <x:f>CHOOSE($B$3,H420,H421,H422)</x:f>
        <x:v>0</x:v>
      </x:c>
      <x:c r="I419" s="17" t="n">
        <x:f>CHOOSE($B$3,I420,I421,I422)</x:f>
        <x:v>0</x:v>
      </x:c>
      <x:c r="J419" s="19" t="n">
        <x:f>CHOOSE($B$3,J420,J421,J422)</x:f>
        <x:v>0</x:v>
      </x:c>
      <x:c r="K419" s="21" t="n">
        <x:f>CHOOSE($B$3,K420,K421,K422)</x:f>
        <x:v>0.12</x:v>
      </x:c>
      <x:c r="L419" s="15" t="str">
        <x:v>hinova-rnpv-v1.0</x:v>
      </x:c>
      <x:c r="M419" s="15" t="str">
        <x:v>2029-10-09</x:v>
      </x:c>
      <x:c r="N419" t="n">
        <x:f>CHOOSE($B$3,N420,N421,N422)</x:f>
        <x:v>0.8</x:v>
      </x:c>
      <x:c r="O419" t="str">
        <x:v>CNY</x:v>
      </x:c>
      <x:c r="Q419" t="n">
        <x:f>CHOOSE($B$3,Q420,Q421,Q422)</x:f>
        <x:v>0.75</x:v>
      </x:c>
      <x:c r="U419" t="n">
        <x:f>CHOOSE($B$3,U420,U421,U422)</x:f>
        <x:v>1</x:v>
      </x:c>
      <x:c r="V419" t="str">
        <x:v>2029-10-09</x:v>
      </x:c>
      <x:c r="W419" t="str">
        <x:v>待核</x:v>
      </x:c>
      <x:c r="X419" t="str">
        <x:v>周末已解析；节假日需交易所对应年度日历核验，实际交易日待核</x:v>
      </x:c>
    </x:row>
    <x:row r="420" ht="23" customHeight="1">
      <x:c r="A420" s="11" t="str">
        <x:v>688302.SH</x:v>
      </x:c>
      <x:c r="B420" s="11" t="str">
        <x:v>三年</x:v>
      </x:c>
      <x:c r="C420" s="11" t="str">
        <x:v>悲观</x:v>
      </x:c>
      <x:c r="D420" s="11" t="str">
        <x:v>收入利润率</x:v>
      </x:c>
      <x:c r="E420" s="18" t="n">
        <x:v>0</x:v>
      </x:c>
      <x:c r="F420" s="18" t="n">
        <x:v>0</x:v>
      </x:c>
      <x:c r="G420" s="18" t="n">
        <x:v>1</x:v>
      </x:c>
      <x:c r="H420" s="18" t="n">
        <x:v>0</x:v>
      </x:c>
      <x:c r="I420" s="18" t="n">
        <x:v>0</x:v>
      </x:c>
      <x:c r="J420" s="20" t="n">
        <x:v>0</x:v>
      </x:c>
      <x:c r="K420" s="22" t="n">
        <x:v>0.15</x:v>
      </x:c>
      <x:c r="L420" s="11" t="str">
        <x:v>hinova-rnpv-v1.0</x:v>
      </x:c>
      <x:c r="M420" s="11" t="str">
        <x:v>2029-10-09</x:v>
      </x:c>
      <x:c r="N420" s="42" t="n">
        <x:v>0.1</x:v>
      </x:c>
      <x:c r="O420" t="str">
        <x:v>CNY</x:v>
      </x:c>
      <x:c r="Q420" s="42" t="n">
        <x:v>0.6</x:v>
      </x:c>
      <x:c r="U420" s="42" t="n">
        <x:v>1</x:v>
      </x:c>
      <x:c r="V420" t="str">
        <x:v>2029-10-09</x:v>
      </x:c>
      <x:c r="W420" t="str">
        <x:v>待核</x:v>
      </x:c>
      <x:c r="X420" t="str">
        <x:v>周末已解析；节假日需交易所对应年度日历核验，实际交易日待核</x:v>
      </x:c>
    </x:row>
    <x:row r="421" ht="23" customHeight="1">
      <x:c r="A421" s="11" t="str">
        <x:v>688302.SH</x:v>
      </x:c>
      <x:c r="B421" s="11" t="str">
        <x:v>三年</x:v>
      </x:c>
      <x:c r="C421" s="11" t="str">
        <x:v>基准</x:v>
      </x:c>
      <x:c r="D421" s="11" t="str">
        <x:v>收入利润率</x:v>
      </x:c>
      <x:c r="E421" s="18" t="n">
        <x:v>0</x:v>
      </x:c>
      <x:c r="F421" s="18" t="n">
        <x:v>0</x:v>
      </x:c>
      <x:c r="G421" s="18" t="n">
        <x:v>1</x:v>
      </x:c>
      <x:c r="H421" s="18" t="n">
        <x:v>0</x:v>
      </x:c>
      <x:c r="I421" s="18" t="n">
        <x:v>0</x:v>
      </x:c>
      <x:c r="J421" s="20" t="n">
        <x:v>0</x:v>
      </x:c>
      <x:c r="K421" s="22" t="n">
        <x:v>0.12</x:v>
      </x:c>
      <x:c r="L421" s="11" t="str">
        <x:v>hinova-rnpv-v1.0</x:v>
      </x:c>
      <x:c r="M421" s="11" t="str">
        <x:v>2029-10-09</x:v>
      </x:c>
      <x:c r="N421" s="42" t="n">
        <x:v>0.8</x:v>
      </x:c>
      <x:c r="O421" t="str">
        <x:v>CNY</x:v>
      </x:c>
      <x:c r="Q421" s="42" t="n">
        <x:v>0.75</x:v>
      </x:c>
      <x:c r="U421" s="42" t="n">
        <x:v>1</x:v>
      </x:c>
      <x:c r="V421" t="str">
        <x:v>2029-10-09</x:v>
      </x:c>
      <x:c r="W421" t="str">
        <x:v>待核</x:v>
      </x:c>
      <x:c r="X421" t="str">
        <x:v>周末已解析；节假日需交易所对应年度日历核验，实际交易日待核</x:v>
      </x:c>
    </x:row>
    <x:row r="422" ht="23" customHeight="1">
      <x:c r="A422" s="11" t="str">
        <x:v>688302.SH</x:v>
      </x:c>
      <x:c r="B422" s="11" t="str">
        <x:v>三年</x:v>
      </x:c>
      <x:c r="C422" s="11" t="str">
        <x:v>乐观</x:v>
      </x:c>
      <x:c r="D422" s="11" t="str">
        <x:v>收入利润率</x:v>
      </x:c>
      <x:c r="E422" s="18" t="n">
        <x:v>0</x:v>
      </x:c>
      <x:c r="F422" s="18" t="n">
        <x:v>0</x:v>
      </x:c>
      <x:c r="G422" s="18" t="n">
        <x:v>1</x:v>
      </x:c>
      <x:c r="H422" s="18" t="n">
        <x:v>0</x:v>
      </x:c>
      <x:c r="I422" s="18" t="n">
        <x:v>0</x:v>
      </x:c>
      <x:c r="J422" s="20" t="n">
        <x:v>0</x:v>
      </x:c>
      <x:c r="K422" s="22" t="n">
        <x:v>0.11</x:v>
      </x:c>
      <x:c r="L422" s="11" t="str">
        <x:v>hinova-rnpv-v1.0</x:v>
      </x:c>
      <x:c r="M422" s="11" t="str">
        <x:v>2029-10-09</x:v>
      </x:c>
      <x:c r="N422" s="42" t="n">
        <x:v>1.4</x:v>
      </x:c>
      <x:c r="O422" t="str">
        <x:v>CNY</x:v>
      </x:c>
      <x:c r="Q422" s="42" t="n">
        <x:v>1.3</x:v>
      </x:c>
      <x:c r="U422" s="42" t="n">
        <x:v>1</x:v>
      </x:c>
      <x:c r="V422" t="str">
        <x:v>2029-10-09</x:v>
      </x:c>
      <x:c r="W422" t="str">
        <x:v>待核</x:v>
      </x:c>
      <x:c r="X422" t="str">
        <x:v>周末已解析；节假日需交易所对应年度日历核验，实际交易日待核</x:v>
      </x:c>
    </x:row>
    <x:row r="423" ht="23" customHeight="1">
      <x:c r="A423" s="15" t="str">
        <x:v>688302.SH</x:v>
      </x:c>
      <x:c r="B423" s="15" t="str">
        <x:v>五年</x:v>
      </x:c>
      <x:c r="C423" s="15" t="str">
        <x:v>活动输入</x:v>
      </x:c>
      <x:c r="D423" s="15" t="str">
        <x:v>收入利润率</x:v>
      </x:c>
      <x:c r="E423" s="17" t="n">
        <x:f>CHOOSE($B$3,E424,E425,E426)</x:f>
        <x:v>0</x:v>
      </x:c>
      <x:c r="F423" s="17" t="n">
        <x:f>CHOOSE($B$3,F424,F425,F426)</x:f>
        <x:v>0</x:v>
      </x:c>
      <x:c r="G423" s="17" t="n">
        <x:f>CHOOSE($B$3,G424,G425,G426)</x:f>
        <x:v>1</x:v>
      </x:c>
      <x:c r="H423" s="17" t="n">
        <x:f>CHOOSE($B$3,H424,H425,H426)</x:f>
        <x:v>0</x:v>
      </x:c>
      <x:c r="I423" s="17" t="n">
        <x:f>CHOOSE($B$3,I424,I425,I426)</x:f>
        <x:v>0</x:v>
      </x:c>
      <x:c r="J423" s="19" t="n">
        <x:f>CHOOSE($B$3,J424,J425,J426)</x:f>
        <x:v>0</x:v>
      </x:c>
      <x:c r="K423" s="21" t="n">
        <x:f>CHOOSE($B$3,K424,K425,K426)</x:f>
        <x:v>0.135</x:v>
      </x:c>
      <x:c r="L423" s="15" t="str">
        <x:v>hinova-rnpv-v1.0</x:v>
      </x:c>
      <x:c r="M423" s="15" t="str">
        <x:v>2031-10-09</x:v>
      </x:c>
      <x:c r="N423" t="n">
        <x:f>CHOOSE($B$3,N424,N425,N426)</x:f>
        <x:v>1</x:v>
      </x:c>
      <x:c r="O423" t="str">
        <x:v>CNY</x:v>
      </x:c>
      <x:c r="Q423" t="n">
        <x:f>CHOOSE($B$3,Q424,Q425,Q426)</x:f>
        <x:v>0.6</x:v>
      </x:c>
      <x:c r="U423" t="n">
        <x:f>CHOOSE($B$3,U424,U425,U426)</x:f>
        <x:v>1</x:v>
      </x:c>
      <x:c r="V423" t="str">
        <x:v>2031-10-09</x:v>
      </x:c>
      <x:c r="W423" t="str">
        <x:v>待核</x:v>
      </x:c>
      <x:c r="X423" t="str">
        <x:v>周末已解析；节假日需交易所对应年度日历核验，实际交易日待核</x:v>
      </x:c>
    </x:row>
    <x:row r="424" ht="23" customHeight="1">
      <x:c r="A424" s="11" t="str">
        <x:v>688302.SH</x:v>
      </x:c>
      <x:c r="B424" s="11" t="str">
        <x:v>五年</x:v>
      </x:c>
      <x:c r="C424" s="11" t="str">
        <x:v>悲观</x:v>
      </x:c>
      <x:c r="D424" s="11" t="str">
        <x:v>收入利润率</x:v>
      </x:c>
      <x:c r="E424" s="18" t="n">
        <x:v>0</x:v>
      </x:c>
      <x:c r="F424" s="18" t="n">
        <x:v>0</x:v>
      </x:c>
      <x:c r="G424" s="18" t="n">
        <x:v>1</x:v>
      </x:c>
      <x:c r="H424" s="18" t="n">
        <x:v>0</x:v>
      </x:c>
      <x:c r="I424" s="18" t="n">
        <x:v>0</x:v>
      </x:c>
      <x:c r="J424" s="20" t="n">
        <x:v>0</x:v>
      </x:c>
      <x:c r="K424" s="22" t="n">
        <x:v>0.18</x:v>
      </x:c>
      <x:c r="L424" s="11" t="str">
        <x:v>hinova-rnpv-v1.0</x:v>
      </x:c>
      <x:c r="M424" s="11" t="str">
        <x:v>2031-10-09</x:v>
      </x:c>
      <x:c r="N424" s="42" t="n">
        <x:v>0</x:v>
      </x:c>
      <x:c r="O424" t="str">
        <x:v>CNY</x:v>
      </x:c>
      <x:c r="Q424" s="42" t="n">
        <x:v>0.5</x:v>
      </x:c>
      <x:c r="U424" s="42" t="n">
        <x:v>1</x:v>
      </x:c>
      <x:c r="V424" t="str">
        <x:v>2031-10-09</x:v>
      </x:c>
      <x:c r="W424" t="str">
        <x:v>待核</x:v>
      </x:c>
      <x:c r="X424" t="str">
        <x:v>周末已解析；节假日需交易所对应年度日历核验，实际交易日待核</x:v>
      </x:c>
    </x:row>
    <x:row r="425" ht="23" customHeight="1">
      <x:c r="A425" s="11" t="str">
        <x:v>688302.SH</x:v>
      </x:c>
      <x:c r="B425" s="11" t="str">
        <x:v>五年</x:v>
      </x:c>
      <x:c r="C425" s="11" t="str">
        <x:v>基准</x:v>
      </x:c>
      <x:c r="D425" s="11" t="str">
        <x:v>收入利润率</x:v>
      </x:c>
      <x:c r="E425" s="18" t="n">
        <x:v>0</x:v>
      </x:c>
      <x:c r="F425" s="18" t="n">
        <x:v>0</x:v>
      </x:c>
      <x:c r="G425" s="18" t="n">
        <x:v>1</x:v>
      </x:c>
      <x:c r="H425" s="18" t="n">
        <x:v>0</x:v>
      </x:c>
      <x:c r="I425" s="18" t="n">
        <x:v>0</x:v>
      </x:c>
      <x:c r="J425" s="20" t="n">
        <x:v>0</x:v>
      </x:c>
      <x:c r="K425" s="22" t="n">
        <x:v>0.135</x:v>
      </x:c>
      <x:c r="L425" s="11" t="str">
        <x:v>hinova-rnpv-v1.0</x:v>
      </x:c>
      <x:c r="M425" s="11" t="str">
        <x:v>2031-10-09</x:v>
      </x:c>
      <x:c r="N425" s="42" t="n">
        <x:v>1</x:v>
      </x:c>
      <x:c r="O425" t="str">
        <x:v>CNY</x:v>
      </x:c>
      <x:c r="Q425" s="42" t="n">
        <x:v>0.6</x:v>
      </x:c>
      <x:c r="U425" s="42" t="n">
        <x:v>1</x:v>
      </x:c>
      <x:c r="V425" t="str">
        <x:v>2031-10-09</x:v>
      </x:c>
      <x:c r="W425" t="str">
        <x:v>待核</x:v>
      </x:c>
      <x:c r="X425" t="str">
        <x:v>周末已解析；节假日需交易所对应年度日历核验，实际交易日待核</x:v>
      </x:c>
    </x:row>
    <x:row r="426" ht="23" customHeight="1">
      <x:c r="A426" s="11" t="str">
        <x:v>688302.SH</x:v>
      </x:c>
      <x:c r="B426" s="11" t="str">
        <x:v>五年</x:v>
      </x:c>
      <x:c r="C426" s="11" t="str">
        <x:v>乐观</x:v>
      </x:c>
      <x:c r="D426" s="11" t="str">
        <x:v>收入利润率</x:v>
      </x:c>
      <x:c r="E426" s="18" t="n">
        <x:v>0</x:v>
      </x:c>
      <x:c r="F426" s="18" t="n">
        <x:v>0</x:v>
      </x:c>
      <x:c r="G426" s="18" t="n">
        <x:v>1</x:v>
      </x:c>
      <x:c r="H426" s="18" t="n">
        <x:v>0</x:v>
      </x:c>
      <x:c r="I426" s="18" t="n">
        <x:v>0</x:v>
      </x:c>
      <x:c r="J426" s="20" t="n">
        <x:v>0</x:v>
      </x:c>
      <x:c r="K426" s="22" t="n">
        <x:v>0.12</x:v>
      </x:c>
      <x:c r="L426" s="11" t="str">
        <x:v>hinova-rnpv-v1.0</x:v>
      </x:c>
      <x:c r="M426" s="11" t="str">
        <x:v>2031-10-09</x:v>
      </x:c>
      <x:c r="N426" s="42" t="n">
        <x:v>2.5</x:v>
      </x:c>
      <x:c r="O426" t="str">
        <x:v>CNY</x:v>
      </x:c>
      <x:c r="Q426" s="42" t="n">
        <x:v>1.2</x:v>
      </x:c>
      <x:c r="U426" s="42" t="n">
        <x:v>1</x:v>
      </x:c>
      <x:c r="V426" t="str">
        <x:v>2031-10-09</x:v>
      </x:c>
      <x:c r="W426" t="str">
        <x:v>待核</x:v>
      </x:c>
      <x:c r="X426" t="str">
        <x:v>周末已解析；节假日需交易所对应年度日历核验，实际交易日待核</x:v>
      </x:c>
    </x:row>
    <x:row r="427" ht="23" customHeight="1">
      <x:c r="A427" s="15" t="str">
        <x:v>01801.HK</x:v>
      </x:c>
      <x:c r="B427" s="15" t="str">
        <x:v>2026年底</x:v>
      </x:c>
      <x:c r="C427" s="15" t="str">
        <x:v>活动输入</x:v>
      </x:c>
      <x:c r="D427" s="15" t="str">
        <x:v>收入利润率</x:v>
      </x:c>
      <x:c r="E427" s="17" t="n">
        <x:f>CHOOSE($B$3,E428,E429,E430)</x:f>
        <x:v>3</x:v>
      </x:c>
      <x:c r="F427" s="17" t="n">
        <x:f>CHOOSE($B$3,F428,F429,F430)</x:f>
        <x:v>31</x:v>
      </x:c>
      <x:c r="G427" s="17" t="n">
        <x:f>CHOOSE($B$3,G428,G429,G430)</x:f>
        <x:v>1.1</x:v>
      </x:c>
      <x:c r="H427" s="17" t="n">
        <x:f>CHOOSE($B$3,H428,H429,H430)</x:f>
        <x:v>0</x:v>
      </x:c>
      <x:c r="I427" s="17" t="n">
        <x:f>CHOOSE($B$3,I428,I429,I430)</x:f>
        <x:v>23</x:v>
      </x:c>
      <x:c r="J427" s="19" t="n">
        <x:f>CHOOSE($B$3,J428,J429,J430)</x:f>
        <x:v>0.24130434782608698</x:v>
      </x:c>
      <x:c r="K427" s="21" t="n">
        <x:f>CHOOSE($B$3,K428,K429,K430)</x:f>
        <x:v>1.85</x:v>
      </x:c>
      <x:c r="L427" s="15" t="str">
        <x:v>innovent-v1</x:v>
      </x:c>
      <x:c r="M427" s="15" t="str">
        <x:v>2026-12-31</x:v>
      </x:c>
      <x:c r="O427" t="str">
        <x:v>CNY</x:v>
      </x:c>
      <x:c r="V427" t="str">
        <x:v>2026-12-31</x:v>
      </x:c>
      <x:c r="W427" t="str">
        <x:v>待核</x:v>
      </x:c>
      <x:c r="X427" t="str">
        <x:v>周末已解析；节假日需交易所对应年度日历核验，实际交易日待核</x:v>
      </x:c>
    </x:row>
    <x:row r="428" ht="23" customHeight="1">
      <x:c r="A428" s="11" t="str">
        <x:v>01801.HK</x:v>
      </x:c>
      <x:c r="B428" s="11" t="str">
        <x:v>2026年底</x:v>
      </x:c>
      <x:c r="C428" s="11" t="str">
        <x:v>悲观</x:v>
      </x:c>
      <x:c r="D428" s="11" t="str">
        <x:v>收入利润率</x:v>
      </x:c>
      <x:c r="E428" s="18" t="n">
        <x:v>1.8</x:v>
      </x:c>
      <x:c r="F428" s="18" t="n">
        <x:v>24</x:v>
      </x:c>
      <x:c r="G428" s="18" t="n">
        <x:v>1.1</x:v>
      </x:c>
      <x:c r="H428" s="18" t="n">
        <x:v>0</x:v>
      </x:c>
      <x:c r="I428" s="18" t="n">
        <x:v>18</x:v>
      </x:c>
      <x:c r="J428" s="20" t="n">
        <x:v>0.188</x:v>
      </x:c>
      <x:c r="K428" s="22" t="n">
        <x:v>1.88</x:v>
      </x:c>
      <x:c r="L428" s="11" t="str">
        <x:v>innovent-v1</x:v>
      </x:c>
      <x:c r="M428" s="11" t="str">
        <x:v>2026-12-31</x:v>
      </x:c>
      <x:c r="O428" t="str">
        <x:v>CNY</x:v>
      </x:c>
      <x:c r="V428" t="str">
        <x:v>2026-12-31</x:v>
      </x:c>
      <x:c r="W428" t="str">
        <x:v>待核</x:v>
      </x:c>
      <x:c r="X428" t="str">
        <x:v>周末已解析；节假日需交易所对应年度日历核验，实际交易日待核</x:v>
      </x:c>
    </x:row>
    <x:row r="429" ht="23" customHeight="1">
      <x:c r="A429" s="11" t="str">
        <x:v>01801.HK</x:v>
      </x:c>
      <x:c r="B429" s="11" t="str">
        <x:v>2026年底</x:v>
      </x:c>
      <x:c r="C429" s="11" t="str">
        <x:v>基准</x:v>
      </x:c>
      <x:c r="D429" s="11" t="str">
        <x:v>收入利润率</x:v>
      </x:c>
      <x:c r="E429" s="18" t="n">
        <x:v>3</x:v>
      </x:c>
      <x:c r="F429" s="18" t="n">
        <x:v>31</x:v>
      </x:c>
      <x:c r="G429" s="18" t="n">
        <x:v>1.1</x:v>
      </x:c>
      <x:c r="H429" s="18" t="n">
        <x:v>0</x:v>
      </x:c>
      <x:c r="I429" s="18" t="n">
        <x:v>23</x:v>
      </x:c>
      <x:c r="J429" s="20" t="n">
        <x:v>0.24130434782608698</x:v>
      </x:c>
      <x:c r="K429" s="22" t="n">
        <x:v>1.85</x:v>
      </x:c>
      <x:c r="L429" s="11" t="str">
        <x:v>innovent-v1</x:v>
      </x:c>
      <x:c r="M429" s="11" t="str">
        <x:v>2026-12-31</x:v>
      </x:c>
      <x:c r="O429" t="str">
        <x:v>CNY</x:v>
      </x:c>
      <x:c r="V429" t="str">
        <x:v>2026-12-31</x:v>
      </x:c>
      <x:c r="W429" t="str">
        <x:v>待核</x:v>
      </x:c>
      <x:c r="X429" t="str">
        <x:v>周末已解析；节假日需交易所对应年度日历核验，实际交易日待核</x:v>
      </x:c>
    </x:row>
    <x:row r="430" ht="23" customHeight="1">
      <x:c r="A430" s="11" t="str">
        <x:v>01801.HK</x:v>
      </x:c>
      <x:c r="B430" s="11" t="str">
        <x:v>2026年底</x:v>
      </x:c>
      <x:c r="C430" s="11" t="str">
        <x:v>乐观</x:v>
      </x:c>
      <x:c r="D430" s="11" t="str">
        <x:v>收入利润率</x:v>
      </x:c>
      <x:c r="E430" s="18" t="n">
        <x:v>4.1</x:v>
      </x:c>
      <x:c r="F430" s="18" t="n">
        <x:v>37</x:v>
      </x:c>
      <x:c r="G430" s="18" t="n">
        <x:v>1.1</x:v>
      </x:c>
      <x:c r="H430" s="18" t="n">
        <x:v>0</x:v>
      </x:c>
      <x:c r="I430" s="18" t="n">
        <x:v>27</x:v>
      </x:c>
      <x:c r="J430" s="20" t="n">
        <x:v>0.2809259259259259</x:v>
      </x:c>
      <x:c r="K430" s="22" t="n">
        <x:v>1.85</x:v>
      </x:c>
      <x:c r="L430" s="11" t="str">
        <x:v>innovent-v1</x:v>
      </x:c>
      <x:c r="M430" s="11" t="str">
        <x:v>2026-12-31</x:v>
      </x:c>
      <x:c r="O430" t="str">
        <x:v>CNY</x:v>
      </x:c>
      <x:c r="V430" t="str">
        <x:v>2026-12-31</x:v>
      </x:c>
      <x:c r="W430" t="str">
        <x:v>待核</x:v>
      </x:c>
      <x:c r="X430" t="str">
        <x:v>周末已解析；节假日需交易所对应年度日历核验，实际交易日待核</x:v>
      </x:c>
    </x:row>
    <x:row r="431" ht="23" customHeight="1">
      <x:c r="A431" s="15" t="str">
        <x:v>01801.HK</x:v>
      </x:c>
      <x:c r="B431" s="15" t="str">
        <x:v>半年</x:v>
      </x:c>
      <x:c r="C431" s="15" t="str">
        <x:v>活动输入</x:v>
      </x:c>
      <x:c r="D431" s="15" t="str">
        <x:v>收入利润率</x:v>
      </x:c>
      <x:c r="E431" s="17" t="n">
        <x:f>CHOOSE($B$3,E432,E433,E434)</x:f>
        <x:v>3</x:v>
      </x:c>
      <x:c r="F431" s="17" t="n">
        <x:f>CHOOSE($B$3,F432,F433,F434)</x:f>
        <x:v>34</x:v>
      </x:c>
      <x:c r="G431" s="17" t="n">
        <x:f>CHOOSE($B$3,G432,G433,G434)</x:f>
        <x:v>1.1</x:v>
      </x:c>
      <x:c r="H431" s="17" t="n">
        <x:f>CHOOSE($B$3,H432,H433,H434)</x:f>
        <x:v>0</x:v>
      </x:c>
      <x:c r="I431" s="17" t="n">
        <x:f>CHOOSE($B$3,I432,I433,I434)</x:f>
        <x:v>23</x:v>
      </x:c>
      <x:c r="J431" s="19" t="n">
        <x:f>CHOOSE($B$3,J432,J433,J434)</x:f>
        <x:v>0.24130434782608698</x:v>
      </x:c>
      <x:c r="K431" s="21" t="n">
        <x:f>CHOOSE($B$3,K432,K433,K434)</x:f>
        <x:v>1.85</x:v>
      </x:c>
      <x:c r="L431" s="15" t="str">
        <x:v>innovent-v1</x:v>
      </x:c>
      <x:c r="M431" s="15" t="str">
        <x:v>2027-04-09</x:v>
      </x:c>
      <x:c r="O431" t="str">
        <x:v>CNY</x:v>
      </x:c>
      <x:c r="V431" t="str">
        <x:v>2027-04-09</x:v>
      </x:c>
      <x:c r="W431" t="str">
        <x:v>待核</x:v>
      </x:c>
      <x:c r="X431" t="str">
        <x:v>周末已解析；节假日需交易所对应年度日历核验，实际交易日待核</x:v>
      </x:c>
    </x:row>
    <x:row r="432" ht="23" customHeight="1">
      <x:c r="A432" s="11" t="str">
        <x:v>01801.HK</x:v>
      </x:c>
      <x:c r="B432" s="11" t="str">
        <x:v>半年</x:v>
      </x:c>
      <x:c r="C432" s="11" t="str">
        <x:v>悲观</x:v>
      </x:c>
      <x:c r="D432" s="11" t="str">
        <x:v>收入利润率</x:v>
      </x:c>
      <x:c r="E432" s="18" t="n">
        <x:v>1.8</x:v>
      </x:c>
      <x:c r="F432" s="18" t="n">
        <x:v>24</x:v>
      </x:c>
      <x:c r="G432" s="18" t="n">
        <x:v>1.1</x:v>
      </x:c>
      <x:c r="H432" s="18" t="n">
        <x:v>0</x:v>
      </x:c>
      <x:c r="I432" s="18" t="n">
        <x:v>18</x:v>
      </x:c>
      <x:c r="J432" s="20" t="n">
        <x:v>0.188</x:v>
      </x:c>
      <x:c r="K432" s="22" t="n">
        <x:v>1.88</x:v>
      </x:c>
      <x:c r="L432" s="11" t="str">
        <x:v>innovent-v1</x:v>
      </x:c>
      <x:c r="M432" s="11" t="str">
        <x:v>2027-04-09</x:v>
      </x:c>
      <x:c r="O432" t="str">
        <x:v>CNY</x:v>
      </x:c>
      <x:c r="V432" t="str">
        <x:v>2027-04-09</x:v>
      </x:c>
      <x:c r="W432" t="str">
        <x:v>待核</x:v>
      </x:c>
      <x:c r="X432" t="str">
        <x:v>周末已解析；节假日需交易所对应年度日历核验，实际交易日待核</x:v>
      </x:c>
    </x:row>
    <x:row r="433" ht="23" customHeight="1">
      <x:c r="A433" s="11" t="str">
        <x:v>01801.HK</x:v>
      </x:c>
      <x:c r="B433" s="11" t="str">
        <x:v>半年</x:v>
      </x:c>
      <x:c r="C433" s="11" t="str">
        <x:v>基准</x:v>
      </x:c>
      <x:c r="D433" s="11" t="str">
        <x:v>收入利润率</x:v>
      </x:c>
      <x:c r="E433" s="18" t="n">
        <x:v>3</x:v>
      </x:c>
      <x:c r="F433" s="18" t="n">
        <x:v>34</x:v>
      </x:c>
      <x:c r="G433" s="18" t="n">
        <x:v>1.1</x:v>
      </x:c>
      <x:c r="H433" s="18" t="n">
        <x:v>0</x:v>
      </x:c>
      <x:c r="I433" s="18" t="n">
        <x:v>23</x:v>
      </x:c>
      <x:c r="J433" s="20" t="n">
        <x:v>0.24130434782608698</x:v>
      </x:c>
      <x:c r="K433" s="22" t="n">
        <x:v>1.85</x:v>
      </x:c>
      <x:c r="L433" s="11" t="str">
        <x:v>innovent-v1</x:v>
      </x:c>
      <x:c r="M433" s="11" t="str">
        <x:v>2027-04-09</x:v>
      </x:c>
      <x:c r="O433" t="str">
        <x:v>CNY</x:v>
      </x:c>
      <x:c r="V433" t="str">
        <x:v>2027-04-09</x:v>
      </x:c>
      <x:c r="W433" t="str">
        <x:v>待核</x:v>
      </x:c>
      <x:c r="X433" t="str">
        <x:v>周末已解析；节假日需交易所对应年度日历核验，实际交易日待核</x:v>
      </x:c>
    </x:row>
    <x:row r="434" ht="23" customHeight="1">
      <x:c r="A434" s="11" t="str">
        <x:v>01801.HK</x:v>
      </x:c>
      <x:c r="B434" s="11" t="str">
        <x:v>半年</x:v>
      </x:c>
      <x:c r="C434" s="11" t="str">
        <x:v>乐观</x:v>
      </x:c>
      <x:c r="D434" s="11" t="str">
        <x:v>收入利润率</x:v>
      </x:c>
      <x:c r="E434" s="18" t="n">
        <x:v>4.1</x:v>
      </x:c>
      <x:c r="F434" s="18" t="n">
        <x:v>40</x:v>
      </x:c>
      <x:c r="G434" s="18" t="n">
        <x:v>1.1</x:v>
      </x:c>
      <x:c r="H434" s="18" t="n">
        <x:v>0</x:v>
      </x:c>
      <x:c r="I434" s="18" t="n">
        <x:v>27</x:v>
      </x:c>
      <x:c r="J434" s="20" t="n">
        <x:v>0.2809259259259259</x:v>
      </x:c>
      <x:c r="K434" s="22" t="n">
        <x:v>1.85</x:v>
      </x:c>
      <x:c r="L434" s="11" t="str">
        <x:v>innovent-v1</x:v>
      </x:c>
      <x:c r="M434" s="11" t="str">
        <x:v>2027-04-09</x:v>
      </x:c>
      <x:c r="O434" t="str">
        <x:v>CNY</x:v>
      </x:c>
      <x:c r="V434" t="str">
        <x:v>2027-04-09</x:v>
      </x:c>
      <x:c r="W434" t="str">
        <x:v>待核</x:v>
      </x:c>
      <x:c r="X434" t="str">
        <x:v>周末已解析；节假日需交易所对应年度日历核验，实际交易日待核</x:v>
      </x:c>
    </x:row>
    <x:row r="435" ht="23" customHeight="1">
      <x:c r="A435" s="15" t="str">
        <x:v>01801.HK</x:v>
      </x:c>
      <x:c r="B435" s="15" t="str">
        <x:v>一年</x:v>
      </x:c>
      <x:c r="C435" s="15" t="str">
        <x:v>活动输入</x:v>
      </x:c>
      <x:c r="D435" s="15" t="str">
        <x:v>收入利润率</x:v>
      </x:c>
      <x:c r="E435" s="17" t="n">
        <x:f>CHOOSE($B$3,E436,E437,E438)</x:f>
        <x:v>4.1</x:v>
      </x:c>
      <x:c r="F435" s="17" t="n">
        <x:f>CHOOSE($B$3,F436,F437,F438)</x:f>
        <x:v>31</x:v>
      </x:c>
      <x:c r="G435" s="17" t="n">
        <x:f>CHOOSE($B$3,G436,G437,G438)</x:f>
        <x:v>1.1</x:v>
      </x:c>
      <x:c r="H435" s="17" t="n">
        <x:f>CHOOSE($B$3,H436,H437,H438)</x:f>
        <x:v>0</x:v>
      </x:c>
      <x:c r="I435" s="17" t="n">
        <x:f>CHOOSE($B$3,I436,I437,I438)</x:f>
        <x:v>28</x:v>
      </x:c>
      <x:c r="J435" s="19" t="n">
        <x:f>CHOOSE($B$3,J436,J437,J438)</x:f>
        <x:v>0.27528571428571424</x:v>
      </x:c>
      <x:c r="K435" s="21" t="n">
        <x:f>CHOOSE($B$3,K436,K437,K438)</x:f>
        <x:v>1.88</x:v>
      </x:c>
      <x:c r="L435" s="15" t="str">
        <x:v>innovent-v1</x:v>
      </x:c>
      <x:c r="M435" s="15" t="str">
        <x:v>2027-10-09</x:v>
      </x:c>
      <x:c r="O435" t="str">
        <x:v>CNY</x:v>
      </x:c>
      <x:c r="V435" t="str">
        <x:v>2027-10-08</x:v>
      </x:c>
      <x:c r="W435" t="str">
        <x:v>待核</x:v>
      </x:c>
      <x:c r="X435" t="str">
        <x:v>周末已解析；节假日需交易所对应年度日历核验，实际交易日待核</x:v>
      </x:c>
    </x:row>
    <x:row r="436" ht="23" customHeight="1">
      <x:c r="A436" s="11" t="str">
        <x:v>01801.HK</x:v>
      </x:c>
      <x:c r="B436" s="11" t="str">
        <x:v>一年</x:v>
      </x:c>
      <x:c r="C436" s="11" t="str">
        <x:v>悲观</x:v>
      </x:c>
      <x:c r="D436" s="11" t="str">
        <x:v>收入利润率</x:v>
      </x:c>
      <x:c r="E436" s="18" t="n">
        <x:v>2.3</x:v>
      </x:c>
      <x:c r="F436" s="18" t="n">
        <x:v>22</x:v>
      </x:c>
      <x:c r="G436" s="18" t="n">
        <x:v>1.1</x:v>
      </x:c>
      <x:c r="H436" s="18" t="n">
        <x:v>0</x:v>
      </x:c>
      <x:c r="I436" s="18" t="n">
        <x:v>21</x:v>
      </x:c>
      <x:c r="J436" s="20" t="n">
        <x:v>0.20919047619047618</x:v>
      </x:c>
      <x:c r="K436" s="22" t="n">
        <x:v>1.91</x:v>
      </x:c>
      <x:c r="L436" s="11" t="str">
        <x:v>innovent-v1</x:v>
      </x:c>
      <x:c r="M436" s="11" t="str">
        <x:v>2027-10-09</x:v>
      </x:c>
      <x:c r="O436" t="str">
        <x:v>CNY</x:v>
      </x:c>
      <x:c r="V436" t="str">
        <x:v>2027-10-08</x:v>
      </x:c>
      <x:c r="W436" t="str">
        <x:v>待核</x:v>
      </x:c>
      <x:c r="X436" t="str">
        <x:v>周末已解析；节假日需交易所对应年度日历核验，实际交易日待核</x:v>
      </x:c>
    </x:row>
    <x:row r="437" ht="23" customHeight="1">
      <x:c r="A437" s="11" t="str">
        <x:v>01801.HK</x:v>
      </x:c>
      <x:c r="B437" s="11" t="str">
        <x:v>一年</x:v>
      </x:c>
      <x:c r="C437" s="11" t="str">
        <x:v>基准</x:v>
      </x:c>
      <x:c r="D437" s="11" t="str">
        <x:v>收入利润率</x:v>
      </x:c>
      <x:c r="E437" s="18" t="n">
        <x:v>4.1</x:v>
      </x:c>
      <x:c r="F437" s="18" t="n">
        <x:v>31</x:v>
      </x:c>
      <x:c r="G437" s="18" t="n">
        <x:v>1.1</x:v>
      </x:c>
      <x:c r="H437" s="18" t="n">
        <x:v>0</x:v>
      </x:c>
      <x:c r="I437" s="18" t="n">
        <x:v>28</x:v>
      </x:c>
      <x:c r="J437" s="20" t="n">
        <x:v>0.27528571428571424</x:v>
      </x:c>
      <x:c r="K437" s="22" t="n">
        <x:v>1.88</x:v>
      </x:c>
      <x:c r="L437" s="11" t="str">
        <x:v>innovent-v1</x:v>
      </x:c>
      <x:c r="M437" s="11" t="str">
        <x:v>2027-10-09</x:v>
      </x:c>
      <x:c r="O437" t="str">
        <x:v>CNY</x:v>
      </x:c>
      <x:c r="V437" t="str">
        <x:v>2027-10-08</x:v>
      </x:c>
      <x:c r="W437" t="str">
        <x:v>待核</x:v>
      </x:c>
      <x:c r="X437" t="str">
        <x:v>周末已解析；节假日需交易所对应年度日历核验，实际交易日待核</x:v>
      </x:c>
    </x:row>
    <x:row r="438" ht="23" customHeight="1">
      <x:c r="A438" s="11" t="str">
        <x:v>01801.HK</x:v>
      </x:c>
      <x:c r="B438" s="11" t="str">
        <x:v>一年</x:v>
      </x:c>
      <x:c r="C438" s="11" t="str">
        <x:v>乐观</x:v>
      </x:c>
      <x:c r="D438" s="11" t="str">
        <x:v>收入利润率</x:v>
      </x:c>
      <x:c r="E438" s="18" t="n">
        <x:v>5.4</x:v>
      </x:c>
      <x:c r="F438" s="18" t="n">
        <x:v>38</x:v>
      </x:c>
      <x:c r="G438" s="18" t="n">
        <x:v>1.1</x:v>
      </x:c>
      <x:c r="H438" s="18" t="n">
        <x:v>0</x:v>
      </x:c>
      <x:c r="I438" s="18" t="n">
        <x:v>33</x:v>
      </x:c>
      <x:c r="J438" s="20" t="n">
        <x:v>0.3076363636363636</x:v>
      </x:c>
      <x:c r="K438" s="22" t="n">
        <x:v>1.88</x:v>
      </x:c>
      <x:c r="L438" s="11" t="str">
        <x:v>innovent-v1</x:v>
      </x:c>
      <x:c r="M438" s="11" t="str">
        <x:v>2027-10-09</x:v>
      </x:c>
      <x:c r="O438" t="str">
        <x:v>CNY</x:v>
      </x:c>
      <x:c r="V438" t="str">
        <x:v>2027-10-08</x:v>
      </x:c>
      <x:c r="W438" t="str">
        <x:v>待核</x:v>
      </x:c>
      <x:c r="X438" t="str">
        <x:v>周末已解析；节假日需交易所对应年度日历核验，实际交易日待核</x:v>
      </x:c>
    </x:row>
    <x:row r="439" ht="23" customHeight="1">
      <x:c r="A439" s="15" t="str">
        <x:v>01801.HK</x:v>
      </x:c>
      <x:c r="B439" s="15" t="str">
        <x:v>三年</x:v>
      </x:c>
      <x:c r="C439" s="15" t="str">
        <x:v>活动输入</x:v>
      </x:c>
      <x:c r="D439" s="15" t="str">
        <x:v>收入利润率</x:v>
      </x:c>
      <x:c r="E439" s="17" t="n">
        <x:f>CHOOSE($B$3,E440,E441,E442)</x:f>
        <x:v>5.5</x:v>
      </x:c>
      <x:c r="F439" s="17" t="n">
        <x:f>CHOOSE($B$3,F440,F441,F442)</x:f>
        <x:v>28</x:v>
      </x:c>
      <x:c r="G439" s="17" t="n">
        <x:f>CHOOSE($B$3,G440,G441,G442)</x:f>
        <x:v>1.1</x:v>
      </x:c>
      <x:c r="H439" s="17" t="n">
        <x:f>CHOOSE($B$3,H440,H441,H442)</x:f>
        <x:v>0</x:v>
      </x:c>
      <x:c r="I439" s="17" t="n">
        <x:f>CHOOSE($B$3,I440,I441,I442)</x:f>
        <x:v>34</x:v>
      </x:c>
      <x:c r="J439" s="19" t="n">
        <x:f>CHOOSE($B$3,J440,J441,J442)</x:f>
        <x:v>0.3089705882352941</x:v>
      </x:c>
      <x:c r="K439" s="21" t="n">
        <x:f>CHOOSE($B$3,K440,K441,K442)</x:f>
        <x:v>1.91</x:v>
      </x:c>
      <x:c r="L439" s="15" t="str">
        <x:v>innovent-v1</x:v>
      </x:c>
      <x:c r="M439" s="15" t="str">
        <x:v>2029-10-09</x:v>
      </x:c>
      <x:c r="O439" t="str">
        <x:v>CNY</x:v>
      </x:c>
      <x:c r="V439" t="str">
        <x:v>2029-10-09</x:v>
      </x:c>
      <x:c r="W439" t="str">
        <x:v>待核</x:v>
      </x:c>
      <x:c r="X439" t="str">
        <x:v>周末已解析；节假日需交易所对应年度日历核验，实际交易日待核</x:v>
      </x:c>
    </x:row>
    <x:row r="440" ht="23" customHeight="1">
      <x:c r="A440" s="11" t="str">
        <x:v>01801.HK</x:v>
      </x:c>
      <x:c r="B440" s="11" t="str">
        <x:v>三年</x:v>
      </x:c>
      <x:c r="C440" s="11" t="str">
        <x:v>悲观</x:v>
      </x:c>
      <x:c r="D440" s="11" t="str">
        <x:v>收入利润率</x:v>
      </x:c>
      <x:c r="E440" s="18" t="n">
        <x:v>2.7</x:v>
      </x:c>
      <x:c r="F440" s="18" t="n">
        <x:v>20</x:v>
      </x:c>
      <x:c r="G440" s="18" t="n">
        <x:v>1.1</x:v>
      </x:c>
      <x:c r="H440" s="18" t="n">
        <x:v>0</x:v>
      </x:c>
      <x:c r="I440" s="18" t="n">
        <x:v>24</x:v>
      </x:c>
      <x:c r="J440" s="20" t="n">
        <x:v>0.21825000000000003</x:v>
      </x:c>
      <x:c r="K440" s="22" t="n">
        <x:v>1.94</x:v>
      </x:c>
      <x:c r="L440" s="11" t="str">
        <x:v>innovent-v1</x:v>
      </x:c>
      <x:c r="M440" s="11" t="str">
        <x:v>2029-10-09</x:v>
      </x:c>
      <x:c r="O440" t="str">
        <x:v>CNY</x:v>
      </x:c>
      <x:c r="V440" t="str">
        <x:v>2029-10-09</x:v>
      </x:c>
      <x:c r="W440" t="str">
        <x:v>待核</x:v>
      </x:c>
      <x:c r="X440" t="str">
        <x:v>周末已解析；节假日需交易所对应年度日历核验，实际交易日待核</x:v>
      </x:c>
    </x:row>
    <x:row r="441" ht="23" customHeight="1">
      <x:c r="A441" s="11" t="str">
        <x:v>01801.HK</x:v>
      </x:c>
      <x:c r="B441" s="11" t="str">
        <x:v>三年</x:v>
      </x:c>
      <x:c r="C441" s="11" t="str">
        <x:v>基准</x:v>
      </x:c>
      <x:c r="D441" s="11" t="str">
        <x:v>收入利润率</x:v>
      </x:c>
      <x:c r="E441" s="18" t="n">
        <x:v>5.5</x:v>
      </x:c>
      <x:c r="F441" s="18" t="n">
        <x:v>28</x:v>
      </x:c>
      <x:c r="G441" s="18" t="n">
        <x:v>1.1</x:v>
      </x:c>
      <x:c r="H441" s="18" t="n">
        <x:v>0</x:v>
      </x:c>
      <x:c r="I441" s="18" t="n">
        <x:v>34</x:v>
      </x:c>
      <x:c r="J441" s="20" t="n">
        <x:v>0.3089705882352941</x:v>
      </x:c>
      <x:c r="K441" s="22" t="n">
        <x:v>1.91</x:v>
      </x:c>
      <x:c r="L441" s="11" t="str">
        <x:v>innovent-v1</x:v>
      </x:c>
      <x:c r="M441" s="11" t="str">
        <x:v>2029-10-09</x:v>
      </x:c>
      <x:c r="O441" t="str">
        <x:v>CNY</x:v>
      </x:c>
      <x:c r="V441" t="str">
        <x:v>2029-10-09</x:v>
      </x:c>
      <x:c r="W441" t="str">
        <x:v>待核</x:v>
      </x:c>
      <x:c r="X441" t="str">
        <x:v>周末已解析；节假日需交易所对应年度日历核验，实际交易日待核</x:v>
      </x:c>
    </x:row>
    <x:row r="442" ht="23" customHeight="1">
      <x:c r="A442" s="11" t="str">
        <x:v>01801.HK</x:v>
      </x:c>
      <x:c r="B442" s="11" t="str">
        <x:v>三年</x:v>
      </x:c>
      <x:c r="C442" s="11" t="str">
        <x:v>乐观</x:v>
      </x:c>
      <x:c r="D442" s="11" t="str">
        <x:v>收入利润率</x:v>
      </x:c>
      <x:c r="E442" s="18" t="n">
        <x:v>8.1</x:v>
      </x:c>
      <x:c r="F442" s="18" t="n">
        <x:v>35</x:v>
      </x:c>
      <x:c r="G442" s="18" t="n">
        <x:v>1.1</x:v>
      </x:c>
      <x:c r="H442" s="18" t="n">
        <x:v>0</x:v>
      </x:c>
      <x:c r="I442" s="18" t="n">
        <x:v>43</x:v>
      </x:c>
      <x:c r="J442" s="20" t="n">
        <x:v>0.35979069767441857</x:v>
      </x:c>
      <x:c r="K442" s="22" t="n">
        <x:v>1.91</x:v>
      </x:c>
      <x:c r="L442" s="11" t="str">
        <x:v>innovent-v1</x:v>
      </x:c>
      <x:c r="M442" s="11" t="str">
        <x:v>2029-10-09</x:v>
      </x:c>
      <x:c r="O442" t="str">
        <x:v>CNY</x:v>
      </x:c>
      <x:c r="V442" t="str">
        <x:v>2029-10-09</x:v>
      </x:c>
      <x:c r="W442" t="str">
        <x:v>待核</x:v>
      </x:c>
      <x:c r="X442" t="str">
        <x:v>周末已解析；节假日需交易所对应年度日历核验，实际交易日待核</x:v>
      </x:c>
    </x:row>
    <x:row r="443" ht="23" customHeight="1">
      <x:c r="A443" s="15" t="str">
        <x:v>01801.HK</x:v>
      </x:c>
      <x:c r="B443" s="15" t="str">
        <x:v>五年</x:v>
      </x:c>
      <x:c r="C443" s="15" t="str">
        <x:v>活动输入</x:v>
      </x:c>
      <x:c r="D443" s="15" t="str">
        <x:v>收入利润率</x:v>
      </x:c>
      <x:c r="E443" s="17" t="n">
        <x:f>CHOOSE($B$3,E444,E445,E446)</x:f>
        <x:v>7.5</x:v>
      </x:c>
      <x:c r="F443" s="17" t="n">
        <x:f>CHOOSE($B$3,F444,F445,F446)</x:f>
        <x:v>25</x:v>
      </x:c>
      <x:c r="G443" s="17" t="n">
        <x:f>CHOOSE($B$3,G444,G445,G446)</x:f>
        <x:v>1.1</x:v>
      </x:c>
      <x:c r="H443" s="17" t="n">
        <x:f>CHOOSE($B$3,H444,H445,H446)</x:f>
        <x:v>0</x:v>
      </x:c>
      <x:c r="I443" s="17" t="n">
        <x:f>CHOOSE($B$3,I444,I445,I446)</x:f>
        <x:v>45</x:v>
      </x:c>
      <x:c r="J443" s="19" t="n">
        <x:f>CHOOSE($B$3,J444,J445,J446)</x:f>
        <x:v>0.33</x:v>
      </x:c>
      <x:c r="K443" s="21" t="n">
        <x:f>CHOOSE($B$3,K444,K445,K446)</x:f>
        <x:v>1.98</x:v>
      </x:c>
      <x:c r="L443" s="15" t="str">
        <x:v>innovent-v1</x:v>
      </x:c>
      <x:c r="M443" s="15" t="str">
        <x:v>2031-10-09</x:v>
      </x:c>
      <x:c r="O443" t="str">
        <x:v>CNY</x:v>
      </x:c>
      <x:c r="V443" t="str">
        <x:v>2031-10-09</x:v>
      </x:c>
      <x:c r="W443" t="str">
        <x:v>待核</x:v>
      </x:c>
      <x:c r="X443" t="str">
        <x:v>周末已解析；节假日需交易所对应年度日历核验，实际交易日待核</x:v>
      </x:c>
    </x:row>
    <x:row r="444" ht="23" customHeight="1">
      <x:c r="A444" s="11" t="str">
        <x:v>01801.HK</x:v>
      </x:c>
      <x:c r="B444" s="11" t="str">
        <x:v>五年</x:v>
      </x:c>
      <x:c r="C444" s="11" t="str">
        <x:v>悲观</x:v>
      </x:c>
      <x:c r="D444" s="11" t="str">
        <x:v>收入利润率</x:v>
      </x:c>
      <x:c r="E444" s="18" t="n">
        <x:v>3.2</x:v>
      </x:c>
      <x:c r="F444" s="18" t="n">
        <x:v>18</x:v>
      </x:c>
      <x:c r="G444" s="18" t="n">
        <x:v>1.1</x:v>
      </x:c>
      <x:c r="H444" s="18" t="n">
        <x:v>0</x:v>
      </x:c>
      <x:c r="I444" s="18" t="n">
        <x:v>29</x:v>
      </x:c>
      <x:c r="J444" s="20" t="n">
        <x:v>0.22289655172413794</x:v>
      </x:c>
      <x:c r="K444" s="22" t="n">
        <x:v>2.02</x:v>
      </x:c>
      <x:c r="L444" s="11" t="str">
        <x:v>innovent-v1</x:v>
      </x:c>
      <x:c r="M444" s="11" t="str">
        <x:v>2031-10-09</x:v>
      </x:c>
      <x:c r="O444" t="str">
        <x:v>CNY</x:v>
      </x:c>
      <x:c r="V444" t="str">
        <x:v>2031-10-09</x:v>
      </x:c>
      <x:c r="W444" t="str">
        <x:v>待核</x:v>
      </x:c>
      <x:c r="X444" t="str">
        <x:v>周末已解析；节假日需交易所对应年度日历核验，实际交易日待核</x:v>
      </x:c>
    </x:row>
    <x:row r="445" ht="23" customHeight="1">
      <x:c r="A445" s="11" t="str">
        <x:v>01801.HK</x:v>
      </x:c>
      <x:c r="B445" s="11" t="str">
        <x:v>五年</x:v>
      </x:c>
      <x:c r="C445" s="11" t="str">
        <x:v>基准</x:v>
      </x:c>
      <x:c r="D445" s="11" t="str">
        <x:v>收入利润率</x:v>
      </x:c>
      <x:c r="E445" s="18" t="n">
        <x:v>7.5</x:v>
      </x:c>
      <x:c r="F445" s="18" t="n">
        <x:v>25</x:v>
      </x:c>
      <x:c r="G445" s="18" t="n">
        <x:v>1.1</x:v>
      </x:c>
      <x:c r="H445" s="18" t="n">
        <x:v>0</x:v>
      </x:c>
      <x:c r="I445" s="18" t="n">
        <x:v>45</x:v>
      </x:c>
      <x:c r="J445" s="20" t="n">
        <x:v>0.33</x:v>
      </x:c>
      <x:c r="K445" s="22" t="n">
        <x:v>1.98</x:v>
      </x:c>
      <x:c r="L445" s="11" t="str">
        <x:v>innovent-v1</x:v>
      </x:c>
      <x:c r="M445" s="11" t="str">
        <x:v>2031-10-09</x:v>
      </x:c>
      <x:c r="O445" t="str">
        <x:v>CNY</x:v>
      </x:c>
      <x:c r="V445" t="str">
        <x:v>2031-10-09</x:v>
      </x:c>
      <x:c r="W445" t="str">
        <x:v>待核</x:v>
      </x:c>
      <x:c r="X445" t="str">
        <x:v>周末已解析；节假日需交易所对应年度日历核验，实际交易日待核</x:v>
      </x:c>
    </x:row>
    <x:row r="446" ht="23" customHeight="1">
      <x:c r="A446" s="11" t="str">
        <x:v>01801.HK</x:v>
      </x:c>
      <x:c r="B446" s="11" t="str">
        <x:v>五年</x:v>
      </x:c>
      <x:c r="C446" s="11" t="str">
        <x:v>乐观</x:v>
      </x:c>
      <x:c r="D446" s="11" t="str">
        <x:v>收入利润率</x:v>
      </x:c>
      <x:c r="E446" s="18" t="n">
        <x:v>12</x:v>
      </x:c>
      <x:c r="F446" s="18" t="n">
        <x:v>32</x:v>
      </x:c>
      <x:c r="G446" s="18" t="n">
        <x:v>1.1</x:v>
      </x:c>
      <x:c r="H446" s="18" t="n">
        <x:v>0</x:v>
      </x:c>
      <x:c r="I446" s="18" t="n">
        <x:v>63</x:v>
      </x:c>
      <x:c r="J446" s="20" t="n">
        <x:v>0.3771428571428571</x:v>
      </x:c>
      <x:c r="K446" s="22" t="n">
        <x:v>1.98</x:v>
      </x:c>
      <x:c r="L446" s="11" t="str">
        <x:v>innovent-v1</x:v>
      </x:c>
      <x:c r="M446" s="11" t="str">
        <x:v>2031-10-09</x:v>
      </x:c>
      <x:c r="O446" t="str">
        <x:v>CNY</x:v>
      </x:c>
      <x:c r="V446" t="str">
        <x:v>2031-10-09</x:v>
      </x:c>
      <x:c r="W446" t="str">
        <x:v>待核</x:v>
      </x:c>
      <x:c r="X446" t="str">
        <x:v>周末已解析；节假日需交易所对应年度日历核验，实际交易日待核</x:v>
      </x:c>
    </x:row>
    <x:row r="447" ht="23" customHeight="1">
      <x:c r="A447" s="15" t="str">
        <x:v>688382.SH</x:v>
      </x:c>
      <x:c r="B447" s="15" t="str">
        <x:v>2026年底</x:v>
      </x:c>
      <x:c r="C447" s="15" t="str">
        <x:v>活动输入</x:v>
      </x:c>
      <x:c r="D447" s="15" t="str">
        <x:v>收入利润率</x:v>
      </x:c>
      <x:c r="E447" s="17" t="n">
        <x:f>CHOOSE($B$3,E448,E449,E450)</x:f>
        <x:v>0</x:v>
      </x:c>
      <x:c r="F447" s="17" t="n">
        <x:f>CHOOSE($B$3,F448,F449,F450)</x:f>
        <x:v>0</x:v>
      </x:c>
      <x:c r="G447" s="17" t="n">
        <x:f>CHOOSE($B$3,G448,G449,G450)</x:f>
        <x:v>1</x:v>
      </x:c>
      <x:c r="H447" s="17" t="n">
        <x:f>CHOOSE($B$3,H448,H449,H450)</x:f>
        <x:v>0</x:v>
      </x:c>
      <x:c r="I447" s="17" t="n">
        <x:f>CHOOSE($B$3,I448,I449,I450)</x:f>
        <x:v>0</x:v>
      </x:c>
      <x:c r="J447" s="19" t="n">
        <x:f>CHOOSE($B$3,J448,J449,J450)</x:f>
        <x:v>0</x:v>
      </x:c>
      <x:c r="K447" s="21" t="n">
        <x:f>CHOOSE($B$3,K448,K449,K450)</x:f>
        <x:v>0.585</x:v>
      </x:c>
      <x:c r="L447" s="15" t="str">
        <x:v>inventis-rnpv-v1.0</x:v>
      </x:c>
      <x:c r="M447" s="15" t="str">
        <x:v>2026-12-31</x:v>
      </x:c>
      <x:c r="N447" t="n">
        <x:f>CHOOSE($B$3,N448,N449,N450)</x:f>
        <x:v>1.05</x:v>
      </x:c>
      <x:c r="O447" t="str">
        <x:v>CNY</x:v>
      </x:c>
      <x:c r="Q447" t="n">
        <x:f>CHOOSE($B$3,Q448,Q449,Q450)</x:f>
        <x:v>1.5</x:v>
      </x:c>
      <x:c r="U447" t="n">
        <x:f>CHOOSE($B$3,U448,U449,U450)</x:f>
        <x:v>0.35</x:v>
      </x:c>
      <x:c r="V447" t="str">
        <x:v>2026-12-31</x:v>
      </x:c>
      <x:c r="W447" t="str">
        <x:v>待核</x:v>
      </x:c>
      <x:c r="X447" t="str">
        <x:v>周末已解析；节假日需交易所对应年度日历核验，实际交易日待核</x:v>
      </x:c>
    </x:row>
    <x:row r="448" ht="23" customHeight="1">
      <x:c r="A448" s="11" t="str">
        <x:v>688382.SH</x:v>
      </x:c>
      <x:c r="B448" s="11" t="str">
        <x:v>2026年底</x:v>
      </x:c>
      <x:c r="C448" s="11" t="str">
        <x:v>悲观</x:v>
      </x:c>
      <x:c r="D448" s="11" t="str">
        <x:v>收入利润率</x:v>
      </x:c>
      <x:c r="E448" s="18" t="n">
        <x:v>0</x:v>
      </x:c>
      <x:c r="F448" s="18" t="n">
        <x:v>0</x:v>
      </x:c>
      <x:c r="G448" s="18" t="n">
        <x:v>1</x:v>
      </x:c>
      <x:c r="H448" s="18" t="n">
        <x:v>0</x:v>
      </x:c>
      <x:c r="I448" s="18" t="n">
        <x:v>0</x:v>
      </x:c>
      <x:c r="J448" s="20" t="n">
        <x:v>0</x:v>
      </x:c>
      <x:c r="K448" s="22" t="n">
        <x:v>0.59</x:v>
      </x:c>
      <x:c r="L448" s="11" t="str">
        <x:v>inventis-rnpv-v1.0</x:v>
      </x:c>
      <x:c r="M448" s="11" t="str">
        <x:v>2026-12-31</x:v>
      </x:c>
      <x:c r="N448" s="42" t="n">
        <x:v>0.9</x:v>
      </x:c>
      <x:c r="O448" t="str">
        <x:v>CNY</x:v>
      </x:c>
      <x:c r="Q448" s="42" t="n">
        <x:v>1.6</x:v>
      </x:c>
      <x:c r="U448" s="42" t="n">
        <x:v>0.45</x:v>
      </x:c>
      <x:c r="V448" t="str">
        <x:v>2026-12-31</x:v>
      </x:c>
      <x:c r="W448" t="str">
        <x:v>待核</x:v>
      </x:c>
      <x:c r="X448" t="str">
        <x:v>周末已解析；节假日需交易所对应年度日历核验，实际交易日待核</x:v>
      </x:c>
    </x:row>
    <x:row r="449" ht="23" customHeight="1">
      <x:c r="A449" s="11" t="str">
        <x:v>688382.SH</x:v>
      </x:c>
      <x:c r="B449" s="11" t="str">
        <x:v>2026年底</x:v>
      </x:c>
      <x:c r="C449" s="11" t="str">
        <x:v>基准</x:v>
      </x:c>
      <x:c r="D449" s="11" t="str">
        <x:v>收入利润率</x:v>
      </x:c>
      <x:c r="E449" s="18" t="n">
        <x:v>0</x:v>
      </x:c>
      <x:c r="F449" s="18" t="n">
        <x:v>0</x:v>
      </x:c>
      <x:c r="G449" s="18" t="n">
        <x:v>1</x:v>
      </x:c>
      <x:c r="H449" s="18" t="n">
        <x:v>0</x:v>
      </x:c>
      <x:c r="I449" s="18" t="n">
        <x:v>0</x:v>
      </x:c>
      <x:c r="J449" s="20" t="n">
        <x:v>0</x:v>
      </x:c>
      <x:c r="K449" s="22" t="n">
        <x:v>0.585</x:v>
      </x:c>
      <x:c r="L449" s="11" t="str">
        <x:v>inventis-rnpv-v1.0</x:v>
      </x:c>
      <x:c r="M449" s="11" t="str">
        <x:v>2026-12-31</x:v>
      </x:c>
      <x:c r="N449" s="42" t="n">
        <x:v>1.05</x:v>
      </x:c>
      <x:c r="O449" t="str">
        <x:v>CNY</x:v>
      </x:c>
      <x:c r="Q449" s="42" t="n">
        <x:v>1.5</x:v>
      </x:c>
      <x:c r="U449" s="42" t="n">
        <x:v>0.35</x:v>
      </x:c>
      <x:c r="V449" t="str">
        <x:v>2026-12-31</x:v>
      </x:c>
      <x:c r="W449" t="str">
        <x:v>待核</x:v>
      </x:c>
      <x:c r="X449" t="str">
        <x:v>周末已解析；节假日需交易所对应年度日历核验，实际交易日待核</x:v>
      </x:c>
    </x:row>
    <x:row r="450" ht="23" customHeight="1">
      <x:c r="A450" s="11" t="str">
        <x:v>688382.SH</x:v>
      </x:c>
      <x:c r="B450" s="11" t="str">
        <x:v>2026年底</x:v>
      </x:c>
      <x:c r="C450" s="11" t="str">
        <x:v>乐观</x:v>
      </x:c>
      <x:c r="D450" s="11" t="str">
        <x:v>收入利润率</x:v>
      </x:c>
      <x:c r="E450" s="18" t="n">
        <x:v>0</x:v>
      </x:c>
      <x:c r="F450" s="18" t="n">
        <x:v>0</x:v>
      </x:c>
      <x:c r="G450" s="18" t="n">
        <x:v>1</x:v>
      </x:c>
      <x:c r="H450" s="18" t="n">
        <x:v>0</x:v>
      </x:c>
      <x:c r="I450" s="18" t="n">
        <x:v>0</x:v>
      </x:c>
      <x:c r="J450" s="20" t="n">
        <x:v>0</x:v>
      </x:c>
      <x:c r="K450" s="22" t="n">
        <x:v>0.583</x:v>
      </x:c>
      <x:c r="L450" s="11" t="str">
        <x:v>inventis-rnpv-v1.0</x:v>
      </x:c>
      <x:c r="M450" s="11" t="str">
        <x:v>2026-12-31</x:v>
      </x:c>
      <x:c r="N450" s="42" t="n">
        <x:v>1.2</x:v>
      </x:c>
      <x:c r="O450" t="str">
        <x:v>CNY</x:v>
      </x:c>
      <x:c r="Q450" s="42" t="n">
        <x:v>1.6</x:v>
      </x:c>
      <x:c r="U450" s="42" t="n">
        <x:v>0.5</x:v>
      </x:c>
      <x:c r="V450" t="str">
        <x:v>2026-12-31</x:v>
      </x:c>
      <x:c r="W450" t="str">
        <x:v>待核</x:v>
      </x:c>
      <x:c r="X450" t="str">
        <x:v>周末已解析；节假日需交易所对应年度日历核验，实际交易日待核</x:v>
      </x:c>
    </x:row>
    <x:row r="451" ht="23" customHeight="1">
      <x:c r="A451" s="15" t="str">
        <x:v>688382.SH</x:v>
      </x:c>
      <x:c r="B451" s="15" t="str">
        <x:v>半年</x:v>
      </x:c>
      <x:c r="C451" s="15" t="str">
        <x:v>活动输入</x:v>
      </x:c>
      <x:c r="D451" s="15" t="str">
        <x:v>收入利润率</x:v>
      </x:c>
      <x:c r="E451" s="17" t="n">
        <x:f>CHOOSE($B$3,E452,E453,E454)</x:f>
        <x:v>0</x:v>
      </x:c>
      <x:c r="F451" s="17" t="n">
        <x:f>CHOOSE($B$3,F452,F453,F454)</x:f>
        <x:v>0</x:v>
      </x:c>
      <x:c r="G451" s="17" t="n">
        <x:f>CHOOSE($B$3,G452,G453,G454)</x:f>
        <x:v>1</x:v>
      </x:c>
      <x:c r="H451" s="17" t="n">
        <x:f>CHOOSE($B$3,H452,H453,H454)</x:f>
        <x:v>0</x:v>
      </x:c>
      <x:c r="I451" s="17" t="n">
        <x:f>CHOOSE($B$3,I452,I453,I454)</x:f>
        <x:v>0</x:v>
      </x:c>
      <x:c r="J451" s="19" t="n">
        <x:f>CHOOSE($B$3,J452,J453,J454)</x:f>
        <x:v>0</x:v>
      </x:c>
      <x:c r="K451" s="21" t="n">
        <x:f>CHOOSE($B$3,K452,K453,K454)</x:f>
        <x:v>0.6</x:v>
      </x:c>
      <x:c r="L451" s="15" t="str">
        <x:v>inventis-rnpv-v1.0</x:v>
      </x:c>
      <x:c r="M451" s="15" t="str">
        <x:v>2027-04-09</x:v>
      </x:c>
      <x:c r="N451" t="n">
        <x:f>CHOOSE($B$3,N452,N453,N454)</x:f>
        <x:v>1</x:v>
      </x:c>
      <x:c r="O451" t="str">
        <x:v>CNY</x:v>
      </x:c>
      <x:c r="Q451" t="n">
        <x:f>CHOOSE($B$3,Q452,Q453,Q454)</x:f>
        <x:v>1.45</x:v>
      </x:c>
      <x:c r="U451" t="n">
        <x:f>CHOOSE($B$3,U452,U453,U454)</x:f>
        <x:v>0.65</x:v>
      </x:c>
      <x:c r="V451" t="str">
        <x:v>2027-04-09</x:v>
      </x:c>
      <x:c r="W451" t="str">
        <x:v>待核</x:v>
      </x:c>
      <x:c r="X451" t="str">
        <x:v>周末已解析；节假日需交易所对应年度日历核验，实际交易日待核</x:v>
      </x:c>
    </x:row>
    <x:row r="452" ht="23" customHeight="1">
      <x:c r="A452" s="11" t="str">
        <x:v>688382.SH</x:v>
      </x:c>
      <x:c r="B452" s="11" t="str">
        <x:v>半年</x:v>
      </x:c>
      <x:c r="C452" s="11" t="str">
        <x:v>悲观</x:v>
      </x:c>
      <x:c r="D452" s="11" t="str">
        <x:v>收入利润率</x:v>
      </x:c>
      <x:c r="E452" s="18" t="n">
        <x:v>0</x:v>
      </x:c>
      <x:c r="F452" s="18" t="n">
        <x:v>0</x:v>
      </x:c>
      <x:c r="G452" s="18" t="n">
        <x:v>1</x:v>
      </x:c>
      <x:c r="H452" s="18" t="n">
        <x:v>0</x:v>
      </x:c>
      <x:c r="I452" s="18" t="n">
        <x:v>0</x:v>
      </x:c>
      <x:c r="J452" s="20" t="n">
        <x:v>0</x:v>
      </x:c>
      <x:c r="K452" s="22" t="n">
        <x:v>0.61</x:v>
      </x:c>
      <x:c r="L452" s="11" t="str">
        <x:v>inventis-rnpv-v1.0</x:v>
      </x:c>
      <x:c r="M452" s="11" t="str">
        <x:v>2027-04-09</x:v>
      </x:c>
      <x:c r="N452" s="42" t="n">
        <x:v>0.75</x:v>
      </x:c>
      <x:c r="O452" t="str">
        <x:v>CNY</x:v>
      </x:c>
      <x:c r="Q452" s="42" t="n">
        <x:v>1.6</x:v>
      </x:c>
      <x:c r="U452" s="42" t="n">
        <x:v>0.65</x:v>
      </x:c>
      <x:c r="V452" t="str">
        <x:v>2027-04-09</x:v>
      </x:c>
      <x:c r="W452" t="str">
        <x:v>待核</x:v>
      </x:c>
      <x:c r="X452" t="str">
        <x:v>周末已解析；节假日需交易所对应年度日历核验，实际交易日待核</x:v>
      </x:c>
    </x:row>
    <x:row r="453" ht="23" customHeight="1">
      <x:c r="A453" s="11" t="str">
        <x:v>688382.SH</x:v>
      </x:c>
      <x:c r="B453" s="11" t="str">
        <x:v>半年</x:v>
      </x:c>
      <x:c r="C453" s="11" t="str">
        <x:v>基准</x:v>
      </x:c>
      <x:c r="D453" s="11" t="str">
        <x:v>收入利润率</x:v>
      </x:c>
      <x:c r="E453" s="18" t="n">
        <x:v>0</x:v>
      </x:c>
      <x:c r="F453" s="18" t="n">
        <x:v>0</x:v>
      </x:c>
      <x:c r="G453" s="18" t="n">
        <x:v>1</x:v>
      </x:c>
      <x:c r="H453" s="18" t="n">
        <x:v>0</x:v>
      </x:c>
      <x:c r="I453" s="18" t="n">
        <x:v>0</x:v>
      </x:c>
      <x:c r="J453" s="20" t="n">
        <x:v>0</x:v>
      </x:c>
      <x:c r="K453" s="22" t="n">
        <x:v>0.6</x:v>
      </x:c>
      <x:c r="L453" s="11" t="str">
        <x:v>inventis-rnpv-v1.0</x:v>
      </x:c>
      <x:c r="M453" s="11" t="str">
        <x:v>2027-04-09</x:v>
      </x:c>
      <x:c r="N453" s="42" t="n">
        <x:v>1</x:v>
      </x:c>
      <x:c r="O453" t="str">
        <x:v>CNY</x:v>
      </x:c>
      <x:c r="Q453" s="42" t="n">
        <x:v>1.45</x:v>
      </x:c>
      <x:c r="U453" s="42" t="n">
        <x:v>0.65</x:v>
      </x:c>
      <x:c r="V453" t="str">
        <x:v>2027-04-09</x:v>
      </x:c>
      <x:c r="W453" t="str">
        <x:v>待核</x:v>
      </x:c>
      <x:c r="X453" t="str">
        <x:v>周末已解析；节假日需交易所对应年度日历核验，实际交易日待核</x:v>
      </x:c>
    </x:row>
    <x:row r="454" ht="23" customHeight="1">
      <x:c r="A454" s="11" t="str">
        <x:v>688382.SH</x:v>
      </x:c>
      <x:c r="B454" s="11" t="str">
        <x:v>半年</x:v>
      </x:c>
      <x:c r="C454" s="11" t="str">
        <x:v>乐观</x:v>
      </x:c>
      <x:c r="D454" s="11" t="str">
        <x:v>收入利润率</x:v>
      </x:c>
      <x:c r="E454" s="18" t="n">
        <x:v>0</x:v>
      </x:c>
      <x:c r="F454" s="18" t="n">
        <x:v>0</x:v>
      </x:c>
      <x:c r="G454" s="18" t="n">
        <x:v>1</x:v>
      </x:c>
      <x:c r="H454" s="18" t="n">
        <x:v>0</x:v>
      </x:c>
      <x:c r="I454" s="18" t="n">
        <x:v>0</x:v>
      </x:c>
      <x:c r="J454" s="20" t="n">
        <x:v>0</x:v>
      </x:c>
      <x:c r="K454" s="22" t="n">
        <x:v>0.59</x:v>
      </x:c>
      <x:c r="L454" s="11" t="str">
        <x:v>inventis-rnpv-v1.0</x:v>
      </x:c>
      <x:c r="M454" s="11" t="str">
        <x:v>2027-04-09</x:v>
      </x:c>
      <x:c r="N454" s="42" t="n">
        <x:v>1.15</x:v>
      </x:c>
      <x:c r="O454" t="str">
        <x:v>CNY</x:v>
      </x:c>
      <x:c r="Q454" s="42" t="n">
        <x:v>1.6</x:v>
      </x:c>
      <x:c r="U454" s="42" t="n">
        <x:v>0.75</x:v>
      </x:c>
      <x:c r="V454" t="str">
        <x:v>2027-04-09</x:v>
      </x:c>
      <x:c r="W454" t="str">
        <x:v>待核</x:v>
      </x:c>
      <x:c r="X454" t="str">
        <x:v>周末已解析；节假日需交易所对应年度日历核验，实际交易日待核</x:v>
      </x:c>
    </x:row>
    <x:row r="455" ht="23" customHeight="1">
      <x:c r="A455" s="15" t="str">
        <x:v>688382.SH</x:v>
      </x:c>
      <x:c r="B455" s="15" t="str">
        <x:v>一年</x:v>
      </x:c>
      <x:c r="C455" s="15" t="str">
        <x:v>活动输入</x:v>
      </x:c>
      <x:c r="D455" s="15" t="str">
        <x:v>收入利润率</x:v>
      </x:c>
      <x:c r="E455" s="17" t="n">
        <x:f>CHOOSE($B$3,E456,E457,E458)</x:f>
        <x:v>0</x:v>
      </x:c>
      <x:c r="F455" s="17" t="n">
        <x:f>CHOOSE($B$3,F456,F457,F458)</x:f>
        <x:v>0</x:v>
      </x:c>
      <x:c r="G455" s="17" t="n">
        <x:f>CHOOSE($B$3,G456,G457,G458)</x:f>
        <x:v>1</x:v>
      </x:c>
      <x:c r="H455" s="17" t="n">
        <x:f>CHOOSE($B$3,H456,H457,H458)</x:f>
        <x:v>0</x:v>
      </x:c>
      <x:c r="I455" s="17" t="n">
        <x:f>CHOOSE($B$3,I456,I457,I458)</x:f>
        <x:v>0</x:v>
      </x:c>
      <x:c r="J455" s="19" t="n">
        <x:f>CHOOSE($B$3,J456,J457,J458)</x:f>
        <x:v>0</x:v>
      </x:c>
      <x:c r="K455" s="21" t="n">
        <x:f>CHOOSE($B$3,K456,K457,K458)</x:f>
        <x:v>0.625</x:v>
      </x:c>
      <x:c r="L455" s="15" t="str">
        <x:v>inventis-rnpv-v1.0</x:v>
      </x:c>
      <x:c r="M455" s="15" t="str">
        <x:v>2027-10-09</x:v>
      </x:c>
      <x:c r="N455" t="n">
        <x:f>CHOOSE($B$3,N456,N457,N458)</x:f>
        <x:v>0.9</x:v>
      </x:c>
      <x:c r="O455" t="str">
        <x:v>CNY</x:v>
      </x:c>
      <x:c r="Q455" t="n">
        <x:f>CHOOSE($B$3,Q456,Q457,Q458)</x:f>
        <x:v>1.4</x:v>
      </x:c>
      <x:c r="U455" t="n">
        <x:f>CHOOSE($B$3,U456,U457,U458)</x:f>
        <x:v>0.9</x:v>
      </x:c>
      <x:c r="V455" t="str">
        <x:v>2027-10-08</x:v>
      </x:c>
      <x:c r="W455" t="str">
        <x:v>待核</x:v>
      </x:c>
      <x:c r="X455" t="str">
        <x:v>周末已解析；节假日需交易所对应年度日历核验，实际交易日待核</x:v>
      </x:c>
    </x:row>
    <x:row r="456" ht="23" customHeight="1">
      <x:c r="A456" s="11" t="str">
        <x:v>688382.SH</x:v>
      </x:c>
      <x:c r="B456" s="11" t="str">
        <x:v>一年</x:v>
      </x:c>
      <x:c r="C456" s="11" t="str">
        <x:v>悲观</x:v>
      </x:c>
      <x:c r="D456" s="11" t="str">
        <x:v>收入利润率</x:v>
      </x:c>
      <x:c r="E456" s="18" t="n">
        <x:v>0</x:v>
      </x:c>
      <x:c r="F456" s="18" t="n">
        <x:v>0</x:v>
      </x:c>
      <x:c r="G456" s="18" t="n">
        <x:v>1</x:v>
      </x:c>
      <x:c r="H456" s="18" t="n">
        <x:v>0</x:v>
      </x:c>
      <x:c r="I456" s="18" t="n">
        <x:v>0</x:v>
      </x:c>
      <x:c r="J456" s="20" t="n">
        <x:v>0</x:v>
      </x:c>
      <x:c r="K456" s="22" t="n">
        <x:v>0.65</x:v>
      </x:c>
      <x:c r="L456" s="11" t="str">
        <x:v>inventis-rnpv-v1.0</x:v>
      </x:c>
      <x:c r="M456" s="11" t="str">
        <x:v>2027-10-09</x:v>
      </x:c>
      <x:c r="N456" s="42" t="n">
        <x:v>0.6</x:v>
      </x:c>
      <x:c r="O456" t="str">
        <x:v>CNY</x:v>
      </x:c>
      <x:c r="Q456" s="42" t="n">
        <x:v>1.5</x:v>
      </x:c>
      <x:c r="U456" s="42" t="n">
        <x:v>0.85</x:v>
      </x:c>
      <x:c r="V456" t="str">
        <x:v>2027-10-08</x:v>
      </x:c>
      <x:c r="W456" t="str">
        <x:v>待核</x:v>
      </x:c>
      <x:c r="X456" t="str">
        <x:v>周末已解析；节假日需交易所对应年度日历核验，实际交易日待核</x:v>
      </x:c>
    </x:row>
    <x:row r="457" ht="23" customHeight="1">
      <x:c r="A457" s="11" t="str">
        <x:v>688382.SH</x:v>
      </x:c>
      <x:c r="B457" s="11" t="str">
        <x:v>一年</x:v>
      </x:c>
      <x:c r="C457" s="11" t="str">
        <x:v>基准</x:v>
      </x:c>
      <x:c r="D457" s="11" t="str">
        <x:v>收入利润率</x:v>
      </x:c>
      <x:c r="E457" s="18" t="n">
        <x:v>0</x:v>
      </x:c>
      <x:c r="F457" s="18" t="n">
        <x:v>0</x:v>
      </x:c>
      <x:c r="G457" s="18" t="n">
        <x:v>1</x:v>
      </x:c>
      <x:c r="H457" s="18" t="n">
        <x:v>0</x:v>
      </x:c>
      <x:c r="I457" s="18" t="n">
        <x:v>0</x:v>
      </x:c>
      <x:c r="J457" s="20" t="n">
        <x:v>0</x:v>
      </x:c>
      <x:c r="K457" s="22" t="n">
        <x:v>0.625</x:v>
      </x:c>
      <x:c r="L457" s="11" t="str">
        <x:v>inventis-rnpv-v1.0</x:v>
      </x:c>
      <x:c r="M457" s="11" t="str">
        <x:v>2027-10-09</x:v>
      </x:c>
      <x:c r="N457" s="42" t="n">
        <x:v>0.9</x:v>
      </x:c>
      <x:c r="O457" t="str">
        <x:v>CNY</x:v>
      </x:c>
      <x:c r="Q457" s="42" t="n">
        <x:v>1.4</x:v>
      </x:c>
      <x:c r="U457" s="42" t="n">
        <x:v>0.9</x:v>
      </x:c>
      <x:c r="V457" t="str">
        <x:v>2027-10-08</x:v>
      </x:c>
      <x:c r="W457" t="str">
        <x:v>待核</x:v>
      </x:c>
      <x:c r="X457" t="str">
        <x:v>周末已解析；节假日需交易所对应年度日历核验，实际交易日待核</x:v>
      </x:c>
    </x:row>
    <x:row r="458" ht="23" customHeight="1">
      <x:c r="A458" s="11" t="str">
        <x:v>688382.SH</x:v>
      </x:c>
      <x:c r="B458" s="11" t="str">
        <x:v>一年</x:v>
      </x:c>
      <x:c r="C458" s="11" t="str">
        <x:v>乐观</x:v>
      </x:c>
      <x:c r="D458" s="11" t="str">
        <x:v>收入利润率</x:v>
      </x:c>
      <x:c r="E458" s="18" t="n">
        <x:v>0</x:v>
      </x:c>
      <x:c r="F458" s="18" t="n">
        <x:v>0</x:v>
      </x:c>
      <x:c r="G458" s="18" t="n">
        <x:v>1</x:v>
      </x:c>
      <x:c r="H458" s="18" t="n">
        <x:v>0</x:v>
      </x:c>
      <x:c r="I458" s="18" t="n">
        <x:v>0</x:v>
      </x:c>
      <x:c r="J458" s="20" t="n">
        <x:v>0</x:v>
      </x:c>
      <x:c r="K458" s="22" t="n">
        <x:v>0.605</x:v>
      </x:c>
      <x:c r="L458" s="11" t="str">
        <x:v>inventis-rnpv-v1.0</x:v>
      </x:c>
      <x:c r="M458" s="11" t="str">
        <x:v>2027-10-09</x:v>
      </x:c>
      <x:c r="N458" s="42" t="n">
        <x:v>1.3</x:v>
      </x:c>
      <x:c r="O458" t="str">
        <x:v>CNY</x:v>
      </x:c>
      <x:c r="Q458" s="42" t="n">
        <x:v>1.5</x:v>
      </x:c>
      <x:c r="U458" s="42" t="n">
        <x:v>1</x:v>
      </x:c>
      <x:c r="V458" t="str">
        <x:v>2027-10-08</x:v>
      </x:c>
      <x:c r="W458" t="str">
        <x:v>待核</x:v>
      </x:c>
      <x:c r="X458" t="str">
        <x:v>周末已解析；节假日需交易所对应年度日历核验，实际交易日待核</x:v>
      </x:c>
    </x:row>
    <x:row r="459" ht="23" customHeight="1">
      <x:c r="A459" s="15" t="str">
        <x:v>688382.SH</x:v>
      </x:c>
      <x:c r="B459" s="15" t="str">
        <x:v>三年</x:v>
      </x:c>
      <x:c r="C459" s="15" t="str">
        <x:v>活动输入</x:v>
      </x:c>
      <x:c r="D459" s="15" t="str">
        <x:v>收入利润率</x:v>
      </x:c>
      <x:c r="E459" s="17" t="n">
        <x:f>CHOOSE($B$3,E460,E461,E462)</x:f>
        <x:v>0</x:v>
      </x:c>
      <x:c r="F459" s="17" t="n">
        <x:f>CHOOSE($B$3,F460,F461,F462)</x:f>
        <x:v>0</x:v>
      </x:c>
      <x:c r="G459" s="17" t="n">
        <x:f>CHOOSE($B$3,G460,G461,G462)</x:f>
        <x:v>1</x:v>
      </x:c>
      <x:c r="H459" s="17" t="n">
        <x:f>CHOOSE($B$3,H460,H461,H462)</x:f>
        <x:v>0</x:v>
      </x:c>
      <x:c r="I459" s="17" t="n">
        <x:f>CHOOSE($B$3,I460,I461,I462)</x:f>
        <x:v>0</x:v>
      </x:c>
      <x:c r="J459" s="19" t="n">
        <x:f>CHOOSE($B$3,J460,J461,J462)</x:f>
        <x:v>0</x:v>
      </x:c>
      <x:c r="K459" s="21" t="n">
        <x:f>CHOOSE($B$3,K460,K461,K462)</x:f>
        <x:v>0.68</x:v>
      </x:c>
      <x:c r="L459" s="15" t="str">
        <x:v>inventis-rnpv-v1.0</x:v>
      </x:c>
      <x:c r="M459" s="15" t="str">
        <x:v>2029-10-09</x:v>
      </x:c>
      <x:c r="N459" t="n">
        <x:f>CHOOSE($B$3,N460,N461,N462)</x:f>
        <x:v>1.2</x:v>
      </x:c>
      <x:c r="O459" t="str">
        <x:v>CNY</x:v>
      </x:c>
      <x:c r="Q459" t="n">
        <x:f>CHOOSE($B$3,Q460,Q461,Q462)</x:f>
        <x:v>1.1</x:v>
      </x:c>
      <x:c r="U459" t="n">
        <x:f>CHOOSE($B$3,U460,U461,U462)</x:f>
        <x:v>1</x:v>
      </x:c>
      <x:c r="V459" t="str">
        <x:v>2029-10-09</x:v>
      </x:c>
      <x:c r="W459" t="str">
        <x:v>待核</x:v>
      </x:c>
      <x:c r="X459" t="str">
        <x:v>周末已解析；节假日需交易所对应年度日历核验，实际交易日待核</x:v>
      </x:c>
    </x:row>
    <x:row r="460" ht="23" customHeight="1">
      <x:c r="A460" s="11" t="str">
        <x:v>688382.SH</x:v>
      </x:c>
      <x:c r="B460" s="11" t="str">
        <x:v>三年</x:v>
      </x:c>
      <x:c r="C460" s="11" t="str">
        <x:v>悲观</x:v>
      </x:c>
      <x:c r="D460" s="11" t="str">
        <x:v>收入利润率</x:v>
      </x:c>
      <x:c r="E460" s="18" t="n">
        <x:v>0</x:v>
      </x:c>
      <x:c r="F460" s="18" t="n">
        <x:v>0</x:v>
      </x:c>
      <x:c r="G460" s="18" t="n">
        <x:v>1</x:v>
      </x:c>
      <x:c r="H460" s="18" t="n">
        <x:v>0</x:v>
      </x:c>
      <x:c r="I460" s="18" t="n">
        <x:v>0</x:v>
      </x:c>
      <x:c r="J460" s="20" t="n">
        <x:v>0</x:v>
      </x:c>
      <x:c r="K460" s="22" t="n">
        <x:v>0.74</x:v>
      </x:c>
      <x:c r="L460" s="11" t="str">
        <x:v>inventis-rnpv-v1.0</x:v>
      </x:c>
      <x:c r="M460" s="11" t="str">
        <x:v>2029-10-09</x:v>
      </x:c>
      <x:c r="N460" s="42" t="n">
        <x:v>0.2</x:v>
      </x:c>
      <x:c r="O460" t="str">
        <x:v>CNY</x:v>
      </x:c>
      <x:c r="Q460" s="42" t="n">
        <x:v>1.3</x:v>
      </x:c>
      <x:c r="U460" s="42" t="n">
        <x:v>1</x:v>
      </x:c>
      <x:c r="V460" t="str">
        <x:v>2029-10-09</x:v>
      </x:c>
      <x:c r="W460" t="str">
        <x:v>待核</x:v>
      </x:c>
      <x:c r="X460" t="str">
        <x:v>周末已解析；节假日需交易所对应年度日历核验，实际交易日待核</x:v>
      </x:c>
    </x:row>
    <x:row r="461" ht="23" customHeight="1">
      <x:c r="A461" s="11" t="str">
        <x:v>688382.SH</x:v>
      </x:c>
      <x:c r="B461" s="11" t="str">
        <x:v>三年</x:v>
      </x:c>
      <x:c r="C461" s="11" t="str">
        <x:v>基准</x:v>
      </x:c>
      <x:c r="D461" s="11" t="str">
        <x:v>收入利润率</x:v>
      </x:c>
      <x:c r="E461" s="18" t="n">
        <x:v>0</x:v>
      </x:c>
      <x:c r="F461" s="18" t="n">
        <x:v>0</x:v>
      </x:c>
      <x:c r="G461" s="18" t="n">
        <x:v>1</x:v>
      </x:c>
      <x:c r="H461" s="18" t="n">
        <x:v>0</x:v>
      </x:c>
      <x:c r="I461" s="18" t="n">
        <x:v>0</x:v>
      </x:c>
      <x:c r="J461" s="20" t="n">
        <x:v>0</x:v>
      </x:c>
      <x:c r="K461" s="22" t="n">
        <x:v>0.68</x:v>
      </x:c>
      <x:c r="L461" s="11" t="str">
        <x:v>inventis-rnpv-v1.0</x:v>
      </x:c>
      <x:c r="M461" s="11" t="str">
        <x:v>2029-10-09</x:v>
      </x:c>
      <x:c r="N461" s="42" t="n">
        <x:v>1.2</x:v>
      </x:c>
      <x:c r="O461" t="str">
        <x:v>CNY</x:v>
      </x:c>
      <x:c r="Q461" s="42" t="n">
        <x:v>1.1</x:v>
      </x:c>
      <x:c r="U461" s="42" t="n">
        <x:v>1</x:v>
      </x:c>
      <x:c r="V461" t="str">
        <x:v>2029-10-09</x:v>
      </x:c>
      <x:c r="W461" t="str">
        <x:v>待核</x:v>
      </x:c>
      <x:c r="X461" t="str">
        <x:v>周末已解析；节假日需交易所对应年度日历核验，实际交易日待核</x:v>
      </x:c>
    </x:row>
    <x:row r="462" ht="23" customHeight="1">
      <x:c r="A462" s="11" t="str">
        <x:v>688382.SH</x:v>
      </x:c>
      <x:c r="B462" s="11" t="str">
        <x:v>三年</x:v>
      </x:c>
      <x:c r="C462" s="11" t="str">
        <x:v>乐观</x:v>
      </x:c>
      <x:c r="D462" s="11" t="str">
        <x:v>收入利润率</x:v>
      </x:c>
      <x:c r="E462" s="18" t="n">
        <x:v>0</x:v>
      </x:c>
      <x:c r="F462" s="18" t="n">
        <x:v>0</x:v>
      </x:c>
      <x:c r="G462" s="18" t="n">
        <x:v>1</x:v>
      </x:c>
      <x:c r="H462" s="18" t="n">
        <x:v>0</x:v>
      </x:c>
      <x:c r="I462" s="18" t="n">
        <x:v>0</x:v>
      </x:c>
      <x:c r="J462" s="20" t="n">
        <x:v>0</x:v>
      </x:c>
      <x:c r="K462" s="22" t="n">
        <x:v>0.64</x:v>
      </x:c>
      <x:c r="L462" s="11" t="str">
        <x:v>inventis-rnpv-v1.0</x:v>
      </x:c>
      <x:c r="M462" s="11" t="str">
        <x:v>2029-10-09</x:v>
      </x:c>
      <x:c r="N462" s="42" t="n">
        <x:v>2</x:v>
      </x:c>
      <x:c r="O462" t="str">
        <x:v>CNY</x:v>
      </x:c>
      <x:c r="Q462" s="42" t="n">
        <x:v>1.3</x:v>
      </x:c>
      <x:c r="U462" s="42" t="n">
        <x:v>1</x:v>
      </x:c>
      <x:c r="V462" t="str">
        <x:v>2029-10-09</x:v>
      </x:c>
      <x:c r="W462" t="str">
        <x:v>待核</x:v>
      </x:c>
      <x:c r="X462" t="str">
        <x:v>周末已解析；节假日需交易所对应年度日历核验，实际交易日待核</x:v>
      </x:c>
    </x:row>
    <x:row r="463" ht="23" customHeight="1">
      <x:c r="A463" s="15" t="str">
        <x:v>688382.SH</x:v>
      </x:c>
      <x:c r="B463" s="15" t="str">
        <x:v>五年</x:v>
      </x:c>
      <x:c r="C463" s="15" t="str">
        <x:v>活动输入</x:v>
      </x:c>
      <x:c r="D463" s="15" t="str">
        <x:v>收入利润率</x:v>
      </x:c>
      <x:c r="E463" s="17" t="n">
        <x:f>CHOOSE($B$3,E464,E465,E466)</x:f>
        <x:v>0</x:v>
      </x:c>
      <x:c r="F463" s="17" t="n">
        <x:f>CHOOSE($B$3,F464,F465,F466)</x:f>
        <x:v>0</x:v>
      </x:c>
      <x:c r="G463" s="17" t="n">
        <x:f>CHOOSE($B$3,G464,G465,G466)</x:f>
        <x:v>1</x:v>
      </x:c>
      <x:c r="H463" s="17" t="n">
        <x:f>CHOOSE($B$3,H464,H465,H466)</x:f>
        <x:v>0</x:v>
      </x:c>
      <x:c r="I463" s="17" t="n">
        <x:f>CHOOSE($B$3,I464,I465,I466)</x:f>
        <x:v>0</x:v>
      </x:c>
      <x:c r="J463" s="19" t="n">
        <x:f>CHOOSE($B$3,J464,J465,J466)</x:f>
        <x:v>0</x:v>
      </x:c>
      <x:c r="K463" s="21" t="n">
        <x:f>CHOOSE($B$3,K464,K465,K466)</x:f>
        <x:v>0.74</x:v>
      </x:c>
      <x:c r="L463" s="15" t="str">
        <x:v>inventis-rnpv-v1.0</x:v>
      </x:c>
      <x:c r="M463" s="15" t="str">
        <x:v>2031-10-09</x:v>
      </x:c>
      <x:c r="N463" t="n">
        <x:f>CHOOSE($B$3,N464,N465,N466)</x:f>
        <x:v>1.8</x:v>
      </x:c>
      <x:c r="O463" t="str">
        <x:v>CNY</x:v>
      </x:c>
      <x:c r="Q463" t="n">
        <x:f>CHOOSE($B$3,Q464,Q465,Q466)</x:f>
        <x:v>0.8</x:v>
      </x:c>
      <x:c r="U463" t="n">
        <x:f>CHOOSE($B$3,U464,U465,U466)</x:f>
        <x:v>1</x:v>
      </x:c>
      <x:c r="V463" t="str">
        <x:v>2031-10-09</x:v>
      </x:c>
      <x:c r="W463" t="str">
        <x:v>待核</x:v>
      </x:c>
      <x:c r="X463" t="str">
        <x:v>周末已解析；节假日需交易所对应年度日历核验，实际交易日待核</x:v>
      </x:c>
    </x:row>
    <x:row r="464" ht="23" customHeight="1">
      <x:c r="A464" s="11" t="str">
        <x:v>688382.SH</x:v>
      </x:c>
      <x:c r="B464" s="11" t="str">
        <x:v>五年</x:v>
      </x:c>
      <x:c r="C464" s="11" t="str">
        <x:v>悲观</x:v>
      </x:c>
      <x:c r="D464" s="11" t="str">
        <x:v>收入利润率</x:v>
      </x:c>
      <x:c r="E464" s="18" t="n">
        <x:v>0</x:v>
      </x:c>
      <x:c r="F464" s="18" t="n">
        <x:v>0</x:v>
      </x:c>
      <x:c r="G464" s="18" t="n">
        <x:v>1</x:v>
      </x:c>
      <x:c r="H464" s="18" t="n">
        <x:v>0</x:v>
      </x:c>
      <x:c r="I464" s="18" t="n">
        <x:v>0</x:v>
      </x:c>
      <x:c r="J464" s="20" t="n">
        <x:v>0</x:v>
      </x:c>
      <x:c r="K464" s="22" t="n">
        <x:v>0.85</x:v>
      </x:c>
      <x:c r="L464" s="11" t="str">
        <x:v>inventis-rnpv-v1.0</x:v>
      </x:c>
      <x:c r="M464" s="11" t="str">
        <x:v>2031-10-09</x:v>
      </x:c>
      <x:c r="N464" s="42" t="n">
        <x:v>0</x:v>
      </x:c>
      <x:c r="O464" t="str">
        <x:v>CNY</x:v>
      </x:c>
      <x:c r="Q464" s="42" t="n">
        <x:v>1.1</x:v>
      </x:c>
      <x:c r="U464" s="42" t="n">
        <x:v>1</x:v>
      </x:c>
      <x:c r="V464" t="str">
        <x:v>2031-10-09</x:v>
      </x:c>
      <x:c r="W464" t="str">
        <x:v>待核</x:v>
      </x:c>
      <x:c r="X464" t="str">
        <x:v>周末已解析；节假日需交易所对应年度日历核验，实际交易日待核</x:v>
      </x:c>
    </x:row>
    <x:row r="465" ht="23" customHeight="1">
      <x:c r="A465" s="11" t="str">
        <x:v>688382.SH</x:v>
      </x:c>
      <x:c r="B465" s="11" t="str">
        <x:v>五年</x:v>
      </x:c>
      <x:c r="C465" s="11" t="str">
        <x:v>基准</x:v>
      </x:c>
      <x:c r="D465" s="11" t="str">
        <x:v>收入利润率</x:v>
      </x:c>
      <x:c r="E465" s="18" t="n">
        <x:v>0</x:v>
      </x:c>
      <x:c r="F465" s="18" t="n">
        <x:v>0</x:v>
      </x:c>
      <x:c r="G465" s="18" t="n">
        <x:v>1</x:v>
      </x:c>
      <x:c r="H465" s="18" t="n">
        <x:v>0</x:v>
      </x:c>
      <x:c r="I465" s="18" t="n">
        <x:v>0</x:v>
      </x:c>
      <x:c r="J465" s="20" t="n">
        <x:v>0</x:v>
      </x:c>
      <x:c r="K465" s="22" t="n">
        <x:v>0.74</x:v>
      </x:c>
      <x:c r="L465" s="11" t="str">
        <x:v>inventis-rnpv-v1.0</x:v>
      </x:c>
      <x:c r="M465" s="11" t="str">
        <x:v>2031-10-09</x:v>
      </x:c>
      <x:c r="N465" s="42" t="n">
        <x:v>1.8</x:v>
      </x:c>
      <x:c r="O465" t="str">
        <x:v>CNY</x:v>
      </x:c>
      <x:c r="Q465" s="42" t="n">
        <x:v>0.8</x:v>
      </x:c>
      <x:c r="U465" s="42" t="n">
        <x:v>1</x:v>
      </x:c>
      <x:c r="V465" t="str">
        <x:v>2031-10-09</x:v>
      </x:c>
      <x:c r="W465" t="str">
        <x:v>待核</x:v>
      </x:c>
      <x:c r="X465" t="str">
        <x:v>周末已解析；节假日需交易所对应年度日历核验，实际交易日待核</x:v>
      </x:c>
    </x:row>
    <x:row r="466" ht="23" customHeight="1">
      <x:c r="A466" s="11" t="str">
        <x:v>688382.SH</x:v>
      </x:c>
      <x:c r="B466" s="11" t="str">
        <x:v>五年</x:v>
      </x:c>
      <x:c r="C466" s="11" t="str">
        <x:v>乐观</x:v>
      </x:c>
      <x:c r="D466" s="11" t="str">
        <x:v>收入利润率</x:v>
      </x:c>
      <x:c r="E466" s="18" t="n">
        <x:v>0</x:v>
      </x:c>
      <x:c r="F466" s="18" t="n">
        <x:v>0</x:v>
      </x:c>
      <x:c r="G466" s="18" t="n">
        <x:v>1</x:v>
      </x:c>
      <x:c r="H466" s="18" t="n">
        <x:v>0</x:v>
      </x:c>
      <x:c r="I466" s="18" t="n">
        <x:v>0</x:v>
      </x:c>
      <x:c r="J466" s="20" t="n">
        <x:v>0</x:v>
      </x:c>
      <x:c r="K466" s="22" t="n">
        <x:v>0.68</x:v>
      </x:c>
      <x:c r="L466" s="11" t="str">
        <x:v>inventis-rnpv-v1.0</x:v>
      </x:c>
      <x:c r="M466" s="11" t="str">
        <x:v>2031-10-09</x:v>
      </x:c>
      <x:c r="N466" s="42" t="n">
        <x:v>3.5</x:v>
      </x:c>
      <x:c r="O466" t="str">
        <x:v>CNY</x:v>
      </x:c>
      <x:c r="Q466" s="42" t="n">
        <x:v>1.2</x:v>
      </x:c>
      <x:c r="U466" s="42" t="n">
        <x:v>1</x:v>
      </x:c>
      <x:c r="V466" t="str">
        <x:v>2031-10-09</x:v>
      </x:c>
      <x:c r="W466" t="str">
        <x:v>待核</x:v>
      </x:c>
      <x:c r="X466" t="str">
        <x:v>周末已解析；节假日需交易所对应年度日历核验，实际交易日待核</x:v>
      </x:c>
    </x:row>
    <x:row r="467" ht="23" customHeight="1">
      <x:c r="A467" s="15" t="str">
        <x:v>06618.HK</x:v>
      </x:c>
      <x:c r="B467" s="15" t="str">
        <x:v>2026年底</x:v>
      </x:c>
      <x:c r="C467" s="15" t="str">
        <x:v>活动输入</x:v>
      </x:c>
      <x:c r="D467" s="15" t="str">
        <x:v>EPS</x:v>
      </x:c>
      <x:c r="E467" s="17" t="n">
        <x:f>CHOOSE($B$3,E468,E469,E470)</x:f>
        <x:v>2.072897</x:v>
      </x:c>
      <x:c r="F467" s="17" t="n">
        <x:f>CHOOSE($B$3,F468,F469,F470)</x:f>
        <x:v>19</x:v>
      </x:c>
      <x:c r="G467" s="17" t="n">
        <x:f>CHOOSE($B$3,G468,G469,G470)</x:f>
        <x:v>1.1</x:v>
      </x:c>
      <x:c r="H467" s="17" t="n">
        <x:f>CHOOSE($B$3,H468,H469,H470)</x:f>
        <x:v>0</x:v>
      </x:c>
      <x:c r="I467" s="17" t="str">
        <x:f>CHOOSE($B$3,I468,I469,I470)</x:f>
      </x:c>
      <x:c r="J467" s="19" t="str">
        <x:f>CHOOSE($B$3,J468,J469,J470)</x:f>
      </x:c>
      <x:c r="K467" s="21" t="str">
        <x:f>CHOOSE($B$3,K468,K469,K470)</x:f>
      </x:c>
      <x:c r="L467" s="15" t="str">
        <x:v>jdhealth-products-services-normalized-profit-v1.0</x:v>
      </x:c>
      <x:c r="M467" s="15" t="str">
        <x:v>2026-12-31</x:v>
      </x:c>
      <x:c r="O467" t="str">
        <x:v>CNY</x:v>
      </x:c>
      <x:c r="V467" t="str">
        <x:v>2026-12-31</x:v>
      </x:c>
      <x:c r="W467" t="str">
        <x:v>待核</x:v>
      </x:c>
      <x:c r="X467" t="str">
        <x:v>周末已解析；节假日需交易所对应年度日历核验，实际交易日待核</x:v>
      </x:c>
    </x:row>
    <x:row r="468" ht="23" customHeight="1">
      <x:c r="A468" s="11" t="str">
        <x:v>06618.HK</x:v>
      </x:c>
      <x:c r="B468" s="11" t="str">
        <x:v>2026年底</x:v>
      </x:c>
      <x:c r="C468" s="11" t="str">
        <x:v>悲观</x:v>
      </x:c>
      <x:c r="D468" s="11" t="str">
        <x:v>EPS</x:v>
      </x:c>
      <x:c r="E468" s="18" t="n">
        <x:v>1.216322</x:v>
      </x:c>
      <x:c r="F468" s="18" t="n">
        <x:v>13</x:v>
      </x:c>
      <x:c r="G468" s="18" t="n">
        <x:v>1.1</x:v>
      </x:c>
      <x:c r="H468" s="18" t="n">
        <x:v>0</x:v>
      </x:c>
      <x:c r="I468" s="18"/>
      <x:c r="J468" s="20"/>
      <x:c r="K468" s="22"/>
      <x:c r="L468" s="11" t="str">
        <x:v>jdhealth-products-services-normalized-profit-v1.0</x:v>
      </x:c>
      <x:c r="M468" s="11" t="str">
        <x:v>2026-12-31</x:v>
      </x:c>
      <x:c r="O468" t="str">
        <x:v>CNY</x:v>
      </x:c>
      <x:c r="V468" t="str">
        <x:v>2026-12-31</x:v>
      </x:c>
      <x:c r="W468" t="str">
        <x:v>待核</x:v>
      </x:c>
      <x:c r="X468" t="str">
        <x:v>周末已解析；节假日需交易所对应年度日历核验，实际交易日待核</x:v>
      </x:c>
    </x:row>
    <x:row r="469" ht="23" customHeight="1">
      <x:c r="A469" s="11" t="str">
        <x:v>06618.HK</x:v>
      </x:c>
      <x:c r="B469" s="11" t="str">
        <x:v>2026年底</x:v>
      </x:c>
      <x:c r="C469" s="11" t="str">
        <x:v>基准</x:v>
      </x:c>
      <x:c r="D469" s="11" t="str">
        <x:v>EPS</x:v>
      </x:c>
      <x:c r="E469" s="18" t="n">
        <x:v>2.072897</x:v>
      </x:c>
      <x:c r="F469" s="18" t="n">
        <x:v>19</x:v>
      </x:c>
      <x:c r="G469" s="18" t="n">
        <x:v>1.1</x:v>
      </x:c>
      <x:c r="H469" s="18" t="n">
        <x:v>0</x:v>
      </x:c>
      <x:c r="I469" s="18"/>
      <x:c r="J469" s="20"/>
      <x:c r="K469" s="22"/>
      <x:c r="L469" s="11" t="str">
        <x:v>jdhealth-products-services-normalized-profit-v1.0</x:v>
      </x:c>
      <x:c r="M469" s="11" t="str">
        <x:v>2026-12-31</x:v>
      </x:c>
      <x:c r="O469" t="str">
        <x:v>CNY</x:v>
      </x:c>
      <x:c r="V469" t="str">
        <x:v>2026-12-31</x:v>
      </x:c>
      <x:c r="W469" t="str">
        <x:v>待核</x:v>
      </x:c>
      <x:c r="X469" t="str">
        <x:v>周末已解析；节假日需交易所对应年度日历核验，实际交易日待核</x:v>
      </x:c>
    </x:row>
    <x:row r="470" ht="23" customHeight="1">
      <x:c r="A470" s="11" t="str">
        <x:v>06618.HK</x:v>
      </x:c>
      <x:c r="B470" s="11" t="str">
        <x:v>2026年底</x:v>
      </x:c>
      <x:c r="C470" s="11" t="str">
        <x:v>乐观</x:v>
      </x:c>
      <x:c r="D470" s="11" t="str">
        <x:v>EPS</x:v>
      </x:c>
      <x:c r="E470" s="18" t="n">
        <x:v>2.584063</x:v>
      </x:c>
      <x:c r="F470" s="18" t="n">
        <x:v>23</x:v>
      </x:c>
      <x:c r="G470" s="18" t="n">
        <x:v>1.1</x:v>
      </x:c>
      <x:c r="H470" s="18" t="n">
        <x:v>0</x:v>
      </x:c>
      <x:c r="I470" s="18"/>
      <x:c r="J470" s="20"/>
      <x:c r="K470" s="22"/>
      <x:c r="L470" s="11" t="str">
        <x:v>jdhealth-products-services-normalized-profit-v1.0</x:v>
      </x:c>
      <x:c r="M470" s="11" t="str">
        <x:v>2026-12-31</x:v>
      </x:c>
      <x:c r="O470" t="str">
        <x:v>CNY</x:v>
      </x:c>
      <x:c r="V470" t="str">
        <x:v>2026-12-31</x:v>
      </x:c>
      <x:c r="W470" t="str">
        <x:v>待核</x:v>
      </x:c>
      <x:c r="X470" t="str">
        <x:v>周末已解析；节假日需交易所对应年度日历核验，实际交易日待核</x:v>
      </x:c>
    </x:row>
    <x:row r="471" ht="23" customHeight="1">
      <x:c r="A471" s="15" t="str">
        <x:v>06618.HK</x:v>
      </x:c>
      <x:c r="B471" s="15" t="str">
        <x:v>半年</x:v>
      </x:c>
      <x:c r="C471" s="15" t="str">
        <x:v>活动输入</x:v>
      </x:c>
      <x:c r="D471" s="15" t="str">
        <x:v>EPS</x:v>
      </x:c>
      <x:c r="E471" s="17" t="n">
        <x:f>CHOOSE($B$3,E472,E473,E474)</x:f>
        <x:v>2.289688</x:v>
      </x:c>
      <x:c r="F471" s="17" t="n">
        <x:f>CHOOSE($B$3,F472,F473,F474)</x:f>
        <x:v>20</x:v>
      </x:c>
      <x:c r="G471" s="17" t="n">
        <x:f>CHOOSE($B$3,G472,G473,G474)</x:f>
        <x:v>1.1</x:v>
      </x:c>
      <x:c r="H471" s="17" t="n">
        <x:f>CHOOSE($B$3,H472,H473,H474)</x:f>
        <x:v>0</x:v>
      </x:c>
      <x:c r="I471" s="17" t="str">
        <x:f>CHOOSE($B$3,I472,I473,I474)</x:f>
      </x:c>
      <x:c r="J471" s="19" t="str">
        <x:f>CHOOSE($B$3,J472,J473,J474)</x:f>
      </x:c>
      <x:c r="K471" s="21" t="str">
        <x:f>CHOOSE($B$3,K472,K473,K474)</x:f>
      </x:c>
      <x:c r="L471" s="15" t="str">
        <x:v>jdhealth-products-services-normalized-profit-v1.0</x:v>
      </x:c>
      <x:c r="M471" s="15" t="str">
        <x:v>2027-04-09</x:v>
      </x:c>
      <x:c r="O471" t="str">
        <x:v>CNY</x:v>
      </x:c>
      <x:c r="V471" t="str">
        <x:v>2027-04-09</x:v>
      </x:c>
      <x:c r="W471" t="str">
        <x:v>待核</x:v>
      </x:c>
      <x:c r="X471" t="str">
        <x:v>周末已解析；节假日需交易所对应年度日历核验，实际交易日待核</x:v>
      </x:c>
    </x:row>
    <x:row r="472" ht="23" customHeight="1">
      <x:c r="A472" s="11" t="str">
        <x:v>06618.HK</x:v>
      </x:c>
      <x:c r="B472" s="11" t="str">
        <x:v>半年</x:v>
      </x:c>
      <x:c r="C472" s="11" t="str">
        <x:v>悲观</x:v>
      </x:c>
      <x:c r="D472" s="11" t="str">
        <x:v>EPS</x:v>
      </x:c>
      <x:c r="E472" s="18" t="n">
        <x:v>1.088908</x:v>
      </x:c>
      <x:c r="F472" s="18" t="n">
        <x:v>12</x:v>
      </x:c>
      <x:c r="G472" s="18" t="n">
        <x:v>1.1</x:v>
      </x:c>
      <x:c r="H472" s="18" t="n">
        <x:v>0</x:v>
      </x:c>
      <x:c r="I472" s="18"/>
      <x:c r="J472" s="20"/>
      <x:c r="K472" s="22"/>
      <x:c r="L472" s="11" t="str">
        <x:v>jdhealth-products-services-normalized-profit-v1.0</x:v>
      </x:c>
      <x:c r="M472" s="11" t="str">
        <x:v>2027-04-09</x:v>
      </x:c>
      <x:c r="O472" t="str">
        <x:v>CNY</x:v>
      </x:c>
      <x:c r="V472" t="str">
        <x:v>2027-04-09</x:v>
      </x:c>
      <x:c r="W472" t="str">
        <x:v>待核</x:v>
      </x:c>
      <x:c r="X472" t="str">
        <x:v>周末已解析；节假日需交易所对应年度日历核验，实际交易日待核</x:v>
      </x:c>
    </x:row>
    <x:row r="473" ht="23" customHeight="1">
      <x:c r="A473" s="11" t="str">
        <x:v>06618.HK</x:v>
      </x:c>
      <x:c r="B473" s="11" t="str">
        <x:v>半年</x:v>
      </x:c>
      <x:c r="C473" s="11" t="str">
        <x:v>基准</x:v>
      </x:c>
      <x:c r="D473" s="11" t="str">
        <x:v>EPS</x:v>
      </x:c>
      <x:c r="E473" s="18" t="n">
        <x:v>2.289688</x:v>
      </x:c>
      <x:c r="F473" s="18" t="n">
        <x:v>20</x:v>
      </x:c>
      <x:c r="G473" s="18" t="n">
        <x:v>1.1</x:v>
      </x:c>
      <x:c r="H473" s="18" t="n">
        <x:v>0</x:v>
      </x:c>
      <x:c r="I473" s="18"/>
      <x:c r="J473" s="20"/>
      <x:c r="K473" s="22"/>
      <x:c r="L473" s="11" t="str">
        <x:v>jdhealth-products-services-normalized-profit-v1.0</x:v>
      </x:c>
      <x:c r="M473" s="11" t="str">
        <x:v>2027-04-09</x:v>
      </x:c>
      <x:c r="O473" t="str">
        <x:v>CNY</x:v>
      </x:c>
      <x:c r="V473" t="str">
        <x:v>2027-04-09</x:v>
      </x:c>
      <x:c r="W473" t="str">
        <x:v>待核</x:v>
      </x:c>
      <x:c r="X473" t="str">
        <x:v>周末已解析；节假日需交易所对应年度日历核验，实际交易日待核</x:v>
      </x:c>
    </x:row>
    <x:row r="474" ht="23" customHeight="1">
      <x:c r="A474" s="11" t="str">
        <x:v>06618.HK</x:v>
      </x:c>
      <x:c r="B474" s="11" t="str">
        <x:v>半年</x:v>
      </x:c>
      <x:c r="C474" s="11" t="str">
        <x:v>乐观</x:v>
      </x:c>
      <x:c r="D474" s="11" t="str">
        <x:v>EPS</x:v>
      </x:c>
      <x:c r="E474" s="18" t="n">
        <x:v>3.07684</x:v>
      </x:c>
      <x:c r="F474" s="18" t="n">
        <x:v>24</x:v>
      </x:c>
      <x:c r="G474" s="18" t="n">
        <x:v>1.1</x:v>
      </x:c>
      <x:c r="H474" s="18" t="n">
        <x:v>0</x:v>
      </x:c>
      <x:c r="I474" s="18"/>
      <x:c r="J474" s="20"/>
      <x:c r="K474" s="22"/>
      <x:c r="L474" s="11" t="str">
        <x:v>jdhealth-products-services-normalized-profit-v1.0</x:v>
      </x:c>
      <x:c r="M474" s="11" t="str">
        <x:v>2027-04-09</x:v>
      </x:c>
      <x:c r="O474" t="str">
        <x:v>CNY</x:v>
      </x:c>
      <x:c r="V474" t="str">
        <x:v>2027-04-09</x:v>
      </x:c>
      <x:c r="W474" t="str">
        <x:v>待核</x:v>
      </x:c>
      <x:c r="X474" t="str">
        <x:v>周末已解析；节假日需交易所对应年度日历核验，实际交易日待核</x:v>
      </x:c>
    </x:row>
    <x:row r="475" ht="23" customHeight="1">
      <x:c r="A475" s="15" t="str">
        <x:v>06618.HK</x:v>
      </x:c>
      <x:c r="B475" s="15" t="str">
        <x:v>一年</x:v>
      </x:c>
      <x:c r="C475" s="15" t="str">
        <x:v>活动输入</x:v>
      </x:c>
      <x:c r="D475" s="15" t="str">
        <x:v>EPS</x:v>
      </x:c>
      <x:c r="E475" s="17" t="n">
        <x:f>CHOOSE($B$3,E476,E477,E478)</x:f>
        <x:v>2.642219</x:v>
      </x:c>
      <x:c r="F475" s="17" t="n">
        <x:f>CHOOSE($B$3,F476,F477,F478)</x:f>
        <x:v>21</x:v>
      </x:c>
      <x:c r="G475" s="17" t="n">
        <x:f>CHOOSE($B$3,G476,G477,G478)</x:f>
        <x:v>1.1</x:v>
      </x:c>
      <x:c r="H475" s="17" t="n">
        <x:f>CHOOSE($B$3,H476,H477,H478)</x:f>
        <x:v>0</x:v>
      </x:c>
      <x:c r="I475" s="17" t="str">
        <x:f>CHOOSE($B$3,I476,I477,I478)</x:f>
      </x:c>
      <x:c r="J475" s="19" t="str">
        <x:f>CHOOSE($B$3,J476,J477,J478)</x:f>
      </x:c>
      <x:c r="K475" s="21" t="str">
        <x:f>CHOOSE($B$3,K476,K477,K478)</x:f>
      </x:c>
      <x:c r="L475" s="15" t="str">
        <x:v>jdhealth-products-services-normalized-profit-v1.0</x:v>
      </x:c>
      <x:c r="M475" s="15" t="str">
        <x:v>2027-10-09</x:v>
      </x:c>
      <x:c r="O475" t="str">
        <x:v>CNY</x:v>
      </x:c>
      <x:c r="V475" t="str">
        <x:v>2027-10-08</x:v>
      </x:c>
      <x:c r="W475" t="str">
        <x:v>待核</x:v>
      </x:c>
      <x:c r="X475" t="str">
        <x:v>周末已解析；节假日需交易所对应年度日历核验，实际交易日待核</x:v>
      </x:c>
    </x:row>
    <x:row r="476" ht="23" customHeight="1">
      <x:c r="A476" s="11" t="str">
        <x:v>06618.HK</x:v>
      </x:c>
      <x:c r="B476" s="11" t="str">
        <x:v>一年</x:v>
      </x:c>
      <x:c r="C476" s="11" t="str">
        <x:v>悲观</x:v>
      </x:c>
      <x:c r="D476" s="11" t="str">
        <x:v>EPS</x:v>
      </x:c>
      <x:c r="E476" s="18" t="n">
        <x:v>0.991293</x:v>
      </x:c>
      <x:c r="F476" s="18" t="n">
        <x:v>11</x:v>
      </x:c>
      <x:c r="G476" s="18" t="n">
        <x:v>1.1</x:v>
      </x:c>
      <x:c r="H476" s="18" t="n">
        <x:v>0</x:v>
      </x:c>
      <x:c r="I476" s="18"/>
      <x:c r="J476" s="20"/>
      <x:c r="K476" s="22"/>
      <x:c r="L476" s="11" t="str">
        <x:v>jdhealth-products-services-normalized-profit-v1.0</x:v>
      </x:c>
      <x:c r="M476" s="11" t="str">
        <x:v>2027-10-09</x:v>
      </x:c>
      <x:c r="O476" t="str">
        <x:v>CNY</x:v>
      </x:c>
      <x:c r="V476" t="str">
        <x:v>2027-10-08</x:v>
      </x:c>
      <x:c r="W476" t="str">
        <x:v>待核</x:v>
      </x:c>
      <x:c r="X476" t="str">
        <x:v>周末已解析；节假日需交易所对应年度日历核验，实际交易日待核</x:v>
      </x:c>
    </x:row>
    <x:row r="477" ht="23" customHeight="1">
      <x:c r="A477" s="11" t="str">
        <x:v>06618.HK</x:v>
      </x:c>
      <x:c r="B477" s="11" t="str">
        <x:v>一年</x:v>
      </x:c>
      <x:c r="C477" s="11" t="str">
        <x:v>基准</x:v>
      </x:c>
      <x:c r="D477" s="11" t="str">
        <x:v>EPS</x:v>
      </x:c>
      <x:c r="E477" s="18" t="n">
        <x:v>2.642219</x:v>
      </x:c>
      <x:c r="F477" s="18" t="n">
        <x:v>21</x:v>
      </x:c>
      <x:c r="G477" s="18" t="n">
        <x:v>1.1</x:v>
      </x:c>
      <x:c r="H477" s="18" t="n">
        <x:v>0</x:v>
      </x:c>
      <x:c r="I477" s="18"/>
      <x:c r="J477" s="20"/>
      <x:c r="K477" s="22"/>
      <x:c r="L477" s="11" t="str">
        <x:v>jdhealth-products-services-normalized-profit-v1.0</x:v>
      </x:c>
      <x:c r="M477" s="11" t="str">
        <x:v>2027-10-09</x:v>
      </x:c>
      <x:c r="O477" t="str">
        <x:v>CNY</x:v>
      </x:c>
      <x:c r="V477" t="str">
        <x:v>2027-10-08</x:v>
      </x:c>
      <x:c r="W477" t="str">
        <x:v>待核</x:v>
      </x:c>
      <x:c r="X477" t="str">
        <x:v>周末已解析；节假日需交易所对应年度日历核验，实际交易日待核</x:v>
      </x:c>
    </x:row>
    <x:row r="478" ht="23" customHeight="1">
      <x:c r="A478" s="11" t="str">
        <x:v>06618.HK</x:v>
      </x:c>
      <x:c r="B478" s="11" t="str">
        <x:v>一年</x:v>
      </x:c>
      <x:c r="C478" s="11" t="str">
        <x:v>乐观</x:v>
      </x:c>
      <x:c r="D478" s="11" t="str">
        <x:v>EPS</x:v>
      </x:c>
      <x:c r="E478" s="18" t="n">
        <x:v>3.803774</x:v>
      </x:c>
      <x:c r="F478" s="18" t="n">
        <x:v>24</x:v>
      </x:c>
      <x:c r="G478" s="18" t="n">
        <x:v>1.1</x:v>
      </x:c>
      <x:c r="H478" s="18" t="n">
        <x:v>0.15</x:v>
      </x:c>
      <x:c r="I478" s="18"/>
      <x:c r="J478" s="20"/>
      <x:c r="K478" s="22"/>
      <x:c r="L478" s="11" t="str">
        <x:v>jdhealth-products-services-normalized-profit-v1.0</x:v>
      </x:c>
      <x:c r="M478" s="11" t="str">
        <x:v>2027-10-09</x:v>
      </x:c>
      <x:c r="O478" t="str">
        <x:v>CNY</x:v>
      </x:c>
      <x:c r="V478" t="str">
        <x:v>2027-10-08</x:v>
      </x:c>
      <x:c r="W478" t="str">
        <x:v>待核</x:v>
      </x:c>
      <x:c r="X478" t="str">
        <x:v>周末已解析；节假日需交易所对应年度日历核验，实际交易日待核</x:v>
      </x:c>
    </x:row>
    <x:row r="479" ht="23" customHeight="1">
      <x:c r="A479" s="15" t="str">
        <x:v>06618.HK</x:v>
      </x:c>
      <x:c r="B479" s="15" t="str">
        <x:v>三年</x:v>
      </x:c>
      <x:c r="C479" s="15" t="str">
        <x:v>活动输入</x:v>
      </x:c>
      <x:c r="D479" s="15" t="str">
        <x:v>EPS</x:v>
      </x:c>
      <x:c r="E479" s="17" t="n">
        <x:f>CHOOSE($B$3,E480,E481,E482)</x:f>
        <x:v>4.039252</x:v>
      </x:c>
      <x:c r="F479" s="17" t="n">
        <x:f>CHOOSE($B$3,F480,F481,F482)</x:f>
        <x:v>20</x:v>
      </x:c>
      <x:c r="G479" s="17" t="n">
        <x:f>CHOOSE($B$3,G480,G481,G482)</x:f>
        <x:v>1.1</x:v>
      </x:c>
      <x:c r="H479" s="17" t="n">
        <x:f>CHOOSE($B$3,H480,H481,H482)</x:f>
        <x:v>1</x:v>
      </x:c>
      <x:c r="I479" s="17" t="str">
        <x:f>CHOOSE($B$3,I480,I481,I482)</x:f>
      </x:c>
      <x:c r="J479" s="19" t="str">
        <x:f>CHOOSE($B$3,J480,J481,J482)</x:f>
      </x:c>
      <x:c r="K479" s="21" t="str">
        <x:f>CHOOSE($B$3,K480,K481,K482)</x:f>
      </x:c>
      <x:c r="L479" s="15" t="str">
        <x:v>jdhealth-products-services-normalized-profit-v1.0</x:v>
      </x:c>
      <x:c r="M479" s="15" t="str">
        <x:v>2029-10-09</x:v>
      </x:c>
      <x:c r="O479" t="str">
        <x:v>CNY</x:v>
      </x:c>
      <x:c r="V479" t="str">
        <x:v>2029-10-09</x:v>
      </x:c>
      <x:c r="W479" t="str">
        <x:v>待核</x:v>
      </x:c>
      <x:c r="X479" t="str">
        <x:v>周末已解析；节假日需交易所对应年度日历核验，实际交易日待核</x:v>
      </x:c>
    </x:row>
    <x:row r="480" ht="23" customHeight="1">
      <x:c r="A480" s="11" t="str">
        <x:v>06618.HK</x:v>
      </x:c>
      <x:c r="B480" s="11" t="str">
        <x:v>三年</x:v>
      </x:c>
      <x:c r="C480" s="11" t="str">
        <x:v>悲观</x:v>
      </x:c>
      <x:c r="D480" s="11" t="str">
        <x:v>EPS</x:v>
      </x:c>
      <x:c r="E480" s="18" t="n">
        <x:v>0.837043</x:v>
      </x:c>
      <x:c r="F480" s="18" t="n">
        <x:v>10</x:v>
      </x:c>
      <x:c r="G480" s="18" t="n">
        <x:v>1.1</x:v>
      </x:c>
      <x:c r="H480" s="18" t="n">
        <x:v>0</x:v>
      </x:c>
      <x:c r="I480" s="18"/>
      <x:c r="J480" s="20"/>
      <x:c r="K480" s="22"/>
      <x:c r="L480" s="11" t="str">
        <x:v>jdhealth-products-services-normalized-profit-v1.0</x:v>
      </x:c>
      <x:c r="M480" s="11" t="str">
        <x:v>2029-10-09</x:v>
      </x:c>
      <x:c r="O480" t="str">
        <x:v>CNY</x:v>
      </x:c>
      <x:c r="V480" t="str">
        <x:v>2029-10-09</x:v>
      </x:c>
      <x:c r="W480" t="str">
        <x:v>待核</x:v>
      </x:c>
      <x:c r="X480" t="str">
        <x:v>周末已解析；节假日需交易所对应年度日历核验，实际交易日待核</x:v>
      </x:c>
    </x:row>
    <x:row r="481" ht="23" customHeight="1">
      <x:c r="A481" s="11" t="str">
        <x:v>06618.HK</x:v>
      </x:c>
      <x:c r="B481" s="11" t="str">
        <x:v>三年</x:v>
      </x:c>
      <x:c r="C481" s="11" t="str">
        <x:v>基准</x:v>
      </x:c>
      <x:c r="D481" s="11" t="str">
        <x:v>EPS</x:v>
      </x:c>
      <x:c r="E481" s="18" t="n">
        <x:v>4.039252</x:v>
      </x:c>
      <x:c r="F481" s="18" t="n">
        <x:v>20</x:v>
      </x:c>
      <x:c r="G481" s="18" t="n">
        <x:v>1.1</x:v>
      </x:c>
      <x:c r="H481" s="18" t="n">
        <x:v>1</x:v>
      </x:c>
      <x:c r="I481" s="18"/>
      <x:c r="J481" s="20"/>
      <x:c r="K481" s="22"/>
      <x:c r="L481" s="11" t="str">
        <x:v>jdhealth-products-services-normalized-profit-v1.0</x:v>
      </x:c>
      <x:c r="M481" s="11" t="str">
        <x:v>2029-10-09</x:v>
      </x:c>
      <x:c r="O481" t="str">
        <x:v>CNY</x:v>
      </x:c>
      <x:c r="V481" t="str">
        <x:v>2029-10-09</x:v>
      </x:c>
      <x:c r="W481" t="str">
        <x:v>待核</x:v>
      </x:c>
      <x:c r="X481" t="str">
        <x:v>周末已解析；节假日需交易所对应年度日历核验，实际交易日待核</x:v>
      </x:c>
    </x:row>
    <x:row r="482" ht="23" customHeight="1">
      <x:c r="A482" s="11" t="str">
        <x:v>06618.HK</x:v>
      </x:c>
      <x:c r="B482" s="11" t="str">
        <x:v>三年</x:v>
      </x:c>
      <x:c r="C482" s="11" t="str">
        <x:v>乐观</x:v>
      </x:c>
      <x:c r="D482" s="11" t="str">
        <x:v>EPS</x:v>
      </x:c>
      <x:c r="E482" s="18" t="n">
        <x:v>6.666019</x:v>
      </x:c>
      <x:c r="F482" s="18" t="n">
        <x:v>24</x:v>
      </x:c>
      <x:c r="G482" s="18" t="n">
        <x:v>1.1</x:v>
      </x:c>
      <x:c r="H482" s="18" t="n">
        <x:v>2.5</x:v>
      </x:c>
      <x:c r="I482" s="18"/>
      <x:c r="J482" s="20"/>
      <x:c r="K482" s="22"/>
      <x:c r="L482" s="11" t="str">
        <x:v>jdhealth-products-services-normalized-profit-v1.0</x:v>
      </x:c>
      <x:c r="M482" s="11" t="str">
        <x:v>2029-10-09</x:v>
      </x:c>
      <x:c r="O482" t="str">
        <x:v>CNY</x:v>
      </x:c>
      <x:c r="V482" t="str">
        <x:v>2029-10-09</x:v>
      </x:c>
      <x:c r="W482" t="str">
        <x:v>待核</x:v>
      </x:c>
      <x:c r="X482" t="str">
        <x:v>周末已解析；节假日需交易所对应年度日历核验，实际交易日待核</x:v>
      </x:c>
    </x:row>
    <x:row r="483" ht="23" customHeight="1">
      <x:c r="A483" s="15" t="str">
        <x:v>06618.HK</x:v>
      </x:c>
      <x:c r="B483" s="15" t="str">
        <x:v>五年</x:v>
      </x:c>
      <x:c r="C483" s="15" t="str">
        <x:v>活动输入</x:v>
      </x:c>
      <x:c r="D483" s="15" t="str">
        <x:v>EPS</x:v>
      </x:c>
      <x:c r="E483" s="17" t="n">
        <x:f>CHOOSE($B$3,E484,E485,E486)</x:f>
        <x:v>5.688514</x:v>
      </x:c>
      <x:c r="F483" s="17" t="n">
        <x:f>CHOOSE($B$3,F484,F485,F486)</x:f>
        <x:v>18</x:v>
      </x:c>
      <x:c r="G483" s="17" t="n">
        <x:f>CHOOSE($B$3,G484,G485,G486)</x:f>
        <x:v>1.1</x:v>
      </x:c>
      <x:c r="H483" s="17" t="n">
        <x:f>CHOOSE($B$3,H484,H485,H486)</x:f>
        <x:v>3</x:v>
      </x:c>
      <x:c r="I483" s="17" t="str">
        <x:f>CHOOSE($B$3,I484,I485,I486)</x:f>
      </x:c>
      <x:c r="J483" s="19" t="str">
        <x:f>CHOOSE($B$3,J484,J485,J486)</x:f>
      </x:c>
      <x:c r="K483" s="21" t="str">
        <x:f>CHOOSE($B$3,K484,K485,K486)</x:f>
      </x:c>
      <x:c r="L483" s="15" t="str">
        <x:v>jdhealth-products-services-normalized-profit-v1.0</x:v>
      </x:c>
      <x:c r="M483" s="15" t="str">
        <x:v>2031-10-09</x:v>
      </x:c>
      <x:c r="O483" t="str">
        <x:v>CNY</x:v>
      </x:c>
      <x:c r="V483" t="str">
        <x:v>2031-10-09</x:v>
      </x:c>
      <x:c r="W483" t="str">
        <x:v>待核</x:v>
      </x:c>
      <x:c r="X483" t="str">
        <x:v>周末已解析；节假日需交易所对应年度日历核验，实际交易日待核</x:v>
      </x:c>
    </x:row>
    <x:row r="484" ht="23" customHeight="1">
      <x:c r="A484" s="11" t="str">
        <x:v>06618.HK</x:v>
      </x:c>
      <x:c r="B484" s="11" t="str">
        <x:v>五年</x:v>
      </x:c>
      <x:c r="C484" s="11" t="str">
        <x:v>悲观</x:v>
      </x:c>
      <x:c r="D484" s="11" t="str">
        <x:v>EPS</x:v>
      </x:c>
      <x:c r="E484" s="18" t="n">
        <x:v>0.685162</x:v>
      </x:c>
      <x:c r="F484" s="18" t="n">
        <x:v>9</x:v>
      </x:c>
      <x:c r="G484" s="18" t="n">
        <x:v>1.1</x:v>
      </x:c>
      <x:c r="H484" s="18" t="n">
        <x:v>0</x:v>
      </x:c>
      <x:c r="I484" s="18"/>
      <x:c r="J484" s="20"/>
      <x:c r="K484" s="22"/>
      <x:c r="L484" s="11" t="str">
        <x:v>jdhealth-products-services-normalized-profit-v1.0</x:v>
      </x:c>
      <x:c r="M484" s="11" t="str">
        <x:v>2031-10-09</x:v>
      </x:c>
      <x:c r="O484" t="str">
        <x:v>CNY</x:v>
      </x:c>
      <x:c r="V484" t="str">
        <x:v>2031-10-09</x:v>
      </x:c>
      <x:c r="W484" t="str">
        <x:v>待核</x:v>
      </x:c>
      <x:c r="X484" t="str">
        <x:v>周末已解析；节假日需交易所对应年度日历核验，实际交易日待核</x:v>
      </x:c>
    </x:row>
    <x:row r="485" ht="23" customHeight="1">
      <x:c r="A485" s="11" t="str">
        <x:v>06618.HK</x:v>
      </x:c>
      <x:c r="B485" s="11" t="str">
        <x:v>五年</x:v>
      </x:c>
      <x:c r="C485" s="11" t="str">
        <x:v>基准</x:v>
      </x:c>
      <x:c r="D485" s="11" t="str">
        <x:v>EPS</x:v>
      </x:c>
      <x:c r="E485" s="18" t="n">
        <x:v>5.688514</x:v>
      </x:c>
      <x:c r="F485" s="18" t="n">
        <x:v>18</x:v>
      </x:c>
      <x:c r="G485" s="18" t="n">
        <x:v>1.1</x:v>
      </x:c>
      <x:c r="H485" s="18" t="n">
        <x:v>3</x:v>
      </x:c>
      <x:c r="I485" s="18"/>
      <x:c r="J485" s="20"/>
      <x:c r="K485" s="22"/>
      <x:c r="L485" s="11" t="str">
        <x:v>jdhealth-products-services-normalized-profit-v1.0</x:v>
      </x:c>
      <x:c r="M485" s="11" t="str">
        <x:v>2031-10-09</x:v>
      </x:c>
      <x:c r="O485" t="str">
        <x:v>CNY</x:v>
      </x:c>
      <x:c r="V485" t="str">
        <x:v>2031-10-09</x:v>
      </x:c>
      <x:c r="W485" t="str">
        <x:v>待核</x:v>
      </x:c>
      <x:c r="X485" t="str">
        <x:v>周末已解析；节假日需交易所对应年度日历核验，实际交易日待核</x:v>
      </x:c>
    </x:row>
    <x:row r="486" ht="23" customHeight="1">
      <x:c r="A486" s="11" t="str">
        <x:v>06618.HK</x:v>
      </x:c>
      <x:c r="B486" s="11" t="str">
        <x:v>五年</x:v>
      </x:c>
      <x:c r="C486" s="11" t="str">
        <x:v>乐观</x:v>
      </x:c>
      <x:c r="D486" s="11" t="str">
        <x:v>EPS</x:v>
      </x:c>
      <x:c r="E486" s="18" t="n">
        <x:v>10.328156</x:v>
      </x:c>
      <x:c r="F486" s="18" t="n">
        <x:v>22</x:v>
      </x:c>
      <x:c r="G486" s="18" t="n">
        <x:v>1.1</x:v>
      </x:c>
      <x:c r="H486" s="18" t="n">
        <x:v>7</x:v>
      </x:c>
      <x:c r="I486" s="18"/>
      <x:c r="J486" s="20"/>
      <x:c r="K486" s="22"/>
      <x:c r="L486" s="11" t="str">
        <x:v>jdhealth-products-services-normalized-profit-v1.0</x:v>
      </x:c>
      <x:c r="M486" s="11" t="str">
        <x:v>2031-10-09</x:v>
      </x:c>
      <x:c r="O486" t="str">
        <x:v>CNY</x:v>
      </x:c>
      <x:c r="V486" t="str">
        <x:v>2031-10-09</x:v>
      </x:c>
      <x:c r="W486" t="str">
        <x:v>待核</x:v>
      </x:c>
      <x:c r="X486" t="str">
        <x:v>周末已解析；节假日需交易所对应年度日历核验，实际交易日待核</x:v>
      </x:c>
    </x:row>
    <x:row r="487" ht="23" customHeight="1">
      <x:c r="A487" s="15" t="str">
        <x:v>09618.HK</x:v>
      </x:c>
      <x:c r="B487" s="15" t="str">
        <x:v>2026年底</x:v>
      </x:c>
      <x:c r="C487" s="15" t="str">
        <x:v>活动输入</x:v>
      </x:c>
      <x:c r="D487" s="15" t="str">
        <x:v>EPS</x:v>
      </x:c>
      <x:c r="E487" s="17" t="n">
        <x:f>CHOOSE($B$3,E488,E489,E490)</x:f>
        <x:v>10.001</x:v>
      </x:c>
      <x:c r="F487" s="17" t="n">
        <x:f>CHOOSE($B$3,F488,F489,F490)</x:f>
        <x:v>12</x:v>
      </x:c>
      <x:c r="G487" s="17" t="n">
        <x:f>CHOOSE($B$3,G488,G489,G490)</x:f>
        <x:v>1.1</x:v>
      </x:c>
      <x:c r="H487" s="17" t="n">
        <x:f>CHOOSE($B$3,H488,H489,H490)</x:f>
        <x:v>0</x:v>
      </x:c>
      <x:c r="I487" s="17" t="str">
        <x:f>CHOOSE($B$3,I488,I489,I490)</x:f>
      </x:c>
      <x:c r="J487" s="19" t="str">
        <x:f>CHOOSE($B$3,J488,J489,J490)</x:f>
      </x:c>
      <x:c r="K487" s="21" t="str">
        <x:f>CHOOSE($B$3,K488,K489,K490)</x:f>
      </x:c>
      <x:c r="L487" s="15" t="str">
        <x:v>jd-three-segment-normalized-v1.0</x:v>
      </x:c>
      <x:c r="M487" s="15" t="str">
        <x:v>2026-12-31</x:v>
      </x:c>
      <x:c r="O487" t="str">
        <x:v>CNY</x:v>
      </x:c>
      <x:c r="V487" t="str">
        <x:v>2026-12-31</x:v>
      </x:c>
      <x:c r="W487" t="str">
        <x:v>待核</x:v>
      </x:c>
      <x:c r="X487" t="str">
        <x:v>周末已解析；节假日需交易所对应年度日历核验，实际交易日待核</x:v>
      </x:c>
    </x:row>
    <x:row r="488" ht="23" customHeight="1">
      <x:c r="A488" s="11" t="str">
        <x:v>09618.HK</x:v>
      </x:c>
      <x:c r="B488" s="11" t="str">
        <x:v>2026年底</x:v>
      </x:c>
      <x:c r="C488" s="11" t="str">
        <x:v>悲观</x:v>
      </x:c>
      <x:c r="D488" s="11" t="str">
        <x:v>EPS</x:v>
      </x:c>
      <x:c r="E488" s="18" t="n">
        <x:v>4.998</x:v>
      </x:c>
      <x:c r="F488" s="18" t="n">
        <x:v>9</x:v>
      </x:c>
      <x:c r="G488" s="18" t="n">
        <x:v>1.1</x:v>
      </x:c>
      <x:c r="H488" s="18" t="n">
        <x:v>0</x:v>
      </x:c>
      <x:c r="I488" s="18"/>
      <x:c r="J488" s="20"/>
      <x:c r="K488" s="22"/>
      <x:c r="L488" s="11" t="str">
        <x:v>jd-three-segment-normalized-v1.0</x:v>
      </x:c>
      <x:c r="M488" s="11" t="str">
        <x:v>2026-12-31</x:v>
      </x:c>
      <x:c r="O488" t="str">
        <x:v>CNY</x:v>
      </x:c>
      <x:c r="V488" t="str">
        <x:v>2026-12-31</x:v>
      </x:c>
      <x:c r="W488" t="str">
        <x:v>待核</x:v>
      </x:c>
      <x:c r="X488" t="str">
        <x:v>周末已解析；节假日需交易所对应年度日历核验，实际交易日待核</x:v>
      </x:c>
    </x:row>
    <x:row r="489" ht="23" customHeight="1">
      <x:c r="A489" s="11" t="str">
        <x:v>09618.HK</x:v>
      </x:c>
      <x:c r="B489" s="11" t="str">
        <x:v>2026年底</x:v>
      </x:c>
      <x:c r="C489" s="11" t="str">
        <x:v>基准</x:v>
      </x:c>
      <x:c r="D489" s="11" t="str">
        <x:v>EPS</x:v>
      </x:c>
      <x:c r="E489" s="18" t="n">
        <x:v>10.001</x:v>
      </x:c>
      <x:c r="F489" s="18" t="n">
        <x:v>12</x:v>
      </x:c>
      <x:c r="G489" s="18" t="n">
        <x:v>1.1</x:v>
      </x:c>
      <x:c r="H489" s="18" t="n">
        <x:v>0</x:v>
      </x:c>
      <x:c r="I489" s="18"/>
      <x:c r="J489" s="20"/>
      <x:c r="K489" s="22"/>
      <x:c r="L489" s="11" t="str">
        <x:v>jd-three-segment-normalized-v1.0</x:v>
      </x:c>
      <x:c r="M489" s="11" t="str">
        <x:v>2026-12-31</x:v>
      </x:c>
      <x:c r="O489" t="str">
        <x:v>CNY</x:v>
      </x:c>
      <x:c r="V489" t="str">
        <x:v>2026-12-31</x:v>
      </x:c>
      <x:c r="W489" t="str">
        <x:v>待核</x:v>
      </x:c>
      <x:c r="X489" t="str">
        <x:v>周末已解析；节假日需交易所对应年度日历核验，实际交易日待核</x:v>
      </x:c>
    </x:row>
    <x:row r="490" ht="23" customHeight="1">
      <x:c r="A490" s="11" t="str">
        <x:v>09618.HK</x:v>
      </x:c>
      <x:c r="B490" s="11" t="str">
        <x:v>2026年底</x:v>
      </x:c>
      <x:c r="C490" s="11" t="str">
        <x:v>乐观</x:v>
      </x:c>
      <x:c r="D490" s="11" t="str">
        <x:v>EPS</x:v>
      </x:c>
      <x:c r="E490" s="18" t="n">
        <x:v>15.805</x:v>
      </x:c>
      <x:c r="F490" s="18" t="n">
        <x:v>15</x:v>
      </x:c>
      <x:c r="G490" s="18" t="n">
        <x:v>1.1</x:v>
      </x:c>
      <x:c r="H490" s="18" t="n">
        <x:v>0</x:v>
      </x:c>
      <x:c r="I490" s="18"/>
      <x:c r="J490" s="20"/>
      <x:c r="K490" s="22"/>
      <x:c r="L490" s="11" t="str">
        <x:v>jd-three-segment-normalized-v1.0</x:v>
      </x:c>
      <x:c r="M490" s="11" t="str">
        <x:v>2026-12-31</x:v>
      </x:c>
      <x:c r="O490" t="str">
        <x:v>CNY</x:v>
      </x:c>
      <x:c r="V490" t="str">
        <x:v>2026-12-31</x:v>
      </x:c>
      <x:c r="W490" t="str">
        <x:v>待核</x:v>
      </x:c>
      <x:c r="X490" t="str">
        <x:v>周末已解析；节假日需交易所对应年度日历核验，实际交易日待核</x:v>
      </x:c>
    </x:row>
    <x:row r="491" ht="23" customHeight="1">
      <x:c r="A491" s="15" t="str">
        <x:v>09618.HK</x:v>
      </x:c>
      <x:c r="B491" s="15" t="str">
        <x:v>半年</x:v>
      </x:c>
      <x:c r="C491" s="15" t="str">
        <x:v>活动输入</x:v>
      </x:c>
      <x:c r="D491" s="15" t="str">
        <x:v>EPS</x:v>
      </x:c>
      <x:c r="E491" s="17" t="n">
        <x:f>CHOOSE($B$3,E492,E493,E494)</x:f>
        <x:v>11.796</x:v>
      </x:c>
      <x:c r="F491" s="17" t="n">
        <x:f>CHOOSE($B$3,F492,F493,F494)</x:f>
        <x:v>12</x:v>
      </x:c>
      <x:c r="G491" s="17" t="n">
        <x:f>CHOOSE($B$3,G492,G493,G494)</x:f>
        <x:v>1.1</x:v>
      </x:c>
      <x:c r="H491" s="17" t="n">
        <x:f>CHOOSE($B$3,H492,H493,H494)</x:f>
        <x:v>0</x:v>
      </x:c>
      <x:c r="I491" s="17" t="str">
        <x:f>CHOOSE($B$3,I492,I493,I494)</x:f>
      </x:c>
      <x:c r="J491" s="19" t="str">
        <x:f>CHOOSE($B$3,J492,J493,J494)</x:f>
      </x:c>
      <x:c r="K491" s="21" t="str">
        <x:f>CHOOSE($B$3,K492,K493,K494)</x:f>
      </x:c>
      <x:c r="L491" s="15" t="str">
        <x:v>jd-three-segment-normalized-v1.0</x:v>
      </x:c>
      <x:c r="M491" s="15" t="str">
        <x:v>2027-04-09</x:v>
      </x:c>
      <x:c r="O491" t="str">
        <x:v>CNY</x:v>
      </x:c>
      <x:c r="V491" t="str">
        <x:v>2027-04-09</x:v>
      </x:c>
      <x:c r="W491" t="str">
        <x:v>待核</x:v>
      </x:c>
      <x:c r="X491" t="str">
        <x:v>周末已解析；节假日需交易所对应年度日历核验，实际交易日待核</x:v>
      </x:c>
    </x:row>
    <x:row r="492" ht="23" customHeight="1">
      <x:c r="A492" s="11" t="str">
        <x:v>09618.HK</x:v>
      </x:c>
      <x:c r="B492" s="11" t="str">
        <x:v>半年</x:v>
      </x:c>
      <x:c r="C492" s="11" t="str">
        <x:v>悲观</x:v>
      </x:c>
      <x:c r="D492" s="11" t="str">
        <x:v>EPS</x:v>
      </x:c>
      <x:c r="E492" s="18" t="n">
        <x:v>5.221</x:v>
      </x:c>
      <x:c r="F492" s="18" t="n">
        <x:v>9</x:v>
      </x:c>
      <x:c r="G492" s="18" t="n">
        <x:v>1.1</x:v>
      </x:c>
      <x:c r="H492" s="18" t="n">
        <x:v>0</x:v>
      </x:c>
      <x:c r="I492" s="18"/>
      <x:c r="J492" s="20"/>
      <x:c r="K492" s="22"/>
      <x:c r="L492" s="11" t="str">
        <x:v>jd-three-segment-normalized-v1.0</x:v>
      </x:c>
      <x:c r="M492" s="11" t="str">
        <x:v>2027-04-09</x:v>
      </x:c>
      <x:c r="O492" t="str">
        <x:v>CNY</x:v>
      </x:c>
      <x:c r="V492" t="str">
        <x:v>2027-04-09</x:v>
      </x:c>
      <x:c r="W492" t="str">
        <x:v>待核</x:v>
      </x:c>
      <x:c r="X492" t="str">
        <x:v>周末已解析；节假日需交易所对应年度日历核验，实际交易日待核</x:v>
      </x:c>
    </x:row>
    <x:row r="493" ht="23" customHeight="1">
      <x:c r="A493" s="11" t="str">
        <x:v>09618.HK</x:v>
      </x:c>
      <x:c r="B493" s="11" t="str">
        <x:v>半年</x:v>
      </x:c>
      <x:c r="C493" s="11" t="str">
        <x:v>基准</x:v>
      </x:c>
      <x:c r="D493" s="11" t="str">
        <x:v>EPS</x:v>
      </x:c>
      <x:c r="E493" s="18" t="n">
        <x:v>11.796</x:v>
      </x:c>
      <x:c r="F493" s="18" t="n">
        <x:v>12</x:v>
      </x:c>
      <x:c r="G493" s="18" t="n">
        <x:v>1.1</x:v>
      </x:c>
      <x:c r="H493" s="18" t="n">
        <x:v>0</x:v>
      </x:c>
      <x:c r="I493" s="18"/>
      <x:c r="J493" s="20"/>
      <x:c r="K493" s="22"/>
      <x:c r="L493" s="11" t="str">
        <x:v>jd-three-segment-normalized-v1.0</x:v>
      </x:c>
      <x:c r="M493" s="11" t="str">
        <x:v>2027-04-09</x:v>
      </x:c>
      <x:c r="O493" t="str">
        <x:v>CNY</x:v>
      </x:c>
      <x:c r="V493" t="str">
        <x:v>2027-04-09</x:v>
      </x:c>
      <x:c r="W493" t="str">
        <x:v>待核</x:v>
      </x:c>
      <x:c r="X493" t="str">
        <x:v>周末已解析；节假日需交易所对应年度日历核验，实际交易日待核</x:v>
      </x:c>
    </x:row>
    <x:row r="494" ht="23" customHeight="1">
      <x:c r="A494" s="11" t="str">
        <x:v>09618.HK</x:v>
      </x:c>
      <x:c r="B494" s="11" t="str">
        <x:v>半年</x:v>
      </x:c>
      <x:c r="C494" s="11" t="str">
        <x:v>乐观</x:v>
      </x:c>
      <x:c r="D494" s="11" t="str">
        <x:v>EPS</x:v>
      </x:c>
      <x:c r="E494" s="18" t="n">
        <x:v>19.034</x:v>
      </x:c>
      <x:c r="F494" s="18" t="n">
        <x:v>16</x:v>
      </x:c>
      <x:c r="G494" s="18" t="n">
        <x:v>1.1</x:v>
      </x:c>
      <x:c r="H494" s="18" t="n">
        <x:v>0</x:v>
      </x:c>
      <x:c r="I494" s="18"/>
      <x:c r="J494" s="20"/>
      <x:c r="K494" s="22"/>
      <x:c r="L494" s="11" t="str">
        <x:v>jd-three-segment-normalized-v1.0</x:v>
      </x:c>
      <x:c r="M494" s="11" t="str">
        <x:v>2027-04-09</x:v>
      </x:c>
      <x:c r="O494" t="str">
        <x:v>CNY</x:v>
      </x:c>
      <x:c r="V494" t="str">
        <x:v>2027-04-09</x:v>
      </x:c>
      <x:c r="W494" t="str">
        <x:v>待核</x:v>
      </x:c>
      <x:c r="X494" t="str">
        <x:v>周末已解析；节假日需交易所对应年度日历核验，实际交易日待核</x:v>
      </x:c>
    </x:row>
    <x:row r="495" ht="23" customHeight="1">
      <x:c r="A495" s="15" t="str">
        <x:v>09618.HK</x:v>
      </x:c>
      <x:c r="B495" s="15" t="str">
        <x:v>一年</x:v>
      </x:c>
      <x:c r="C495" s="15" t="str">
        <x:v>活动输入</x:v>
      </x:c>
      <x:c r="D495" s="15" t="str">
        <x:v>EPS</x:v>
      </x:c>
      <x:c r="E495" s="17" t="n">
        <x:f>CHOOSE($B$3,E496,E497,E498)</x:f>
        <x:v>12.807</x:v>
      </x:c>
      <x:c r="F495" s="17" t="n">
        <x:f>CHOOSE($B$3,F496,F497,F498)</x:f>
        <x:v>12</x:v>
      </x:c>
      <x:c r="G495" s="17" t="n">
        <x:f>CHOOSE($B$3,G496,G497,G498)</x:f>
        <x:v>1.1</x:v>
      </x:c>
      <x:c r="H495" s="17" t="n">
        <x:f>CHOOSE($B$3,H496,H497,H498)</x:f>
        <x:v>4</x:v>
      </x:c>
      <x:c r="I495" s="17" t="str">
        <x:f>CHOOSE($B$3,I496,I497,I498)</x:f>
      </x:c>
      <x:c r="J495" s="19" t="str">
        <x:f>CHOOSE($B$3,J496,J497,J498)</x:f>
      </x:c>
      <x:c r="K495" s="21" t="str">
        <x:f>CHOOSE($B$3,K496,K497,K498)</x:f>
      </x:c>
      <x:c r="L495" s="15" t="str">
        <x:v>jd-three-segment-normalized-v1.0</x:v>
      </x:c>
      <x:c r="M495" s="15" t="str">
        <x:v>2027-10-09</x:v>
      </x:c>
      <x:c r="O495" t="str">
        <x:v>CNY</x:v>
      </x:c>
      <x:c r="V495" t="str">
        <x:v>2027-10-08</x:v>
      </x:c>
      <x:c r="W495" t="str">
        <x:v>待核</x:v>
      </x:c>
      <x:c r="X495" t="str">
        <x:v>周末已解析；节假日需交易所对应年度日历核验，实际交易日待核</x:v>
      </x:c>
    </x:row>
    <x:row r="496" ht="23" customHeight="1">
      <x:c r="A496" s="11" t="str">
        <x:v>09618.HK</x:v>
      </x:c>
      <x:c r="B496" s="11" t="str">
        <x:v>一年</x:v>
      </x:c>
      <x:c r="C496" s="11" t="str">
        <x:v>悲观</x:v>
      </x:c>
      <x:c r="D496" s="11" t="str">
        <x:v>EPS</x:v>
      </x:c>
      <x:c r="E496" s="18" t="n">
        <x:v>5.04</x:v>
      </x:c>
      <x:c r="F496" s="18" t="n">
        <x:v>9</x:v>
      </x:c>
      <x:c r="G496" s="18" t="n">
        <x:v>1.1</x:v>
      </x:c>
      <x:c r="H496" s="18" t="n">
        <x:v>2.5</x:v>
      </x:c>
      <x:c r="I496" s="18"/>
      <x:c r="J496" s="20"/>
      <x:c r="K496" s="22"/>
      <x:c r="L496" s="11" t="str">
        <x:v>jd-three-segment-normalized-v1.0</x:v>
      </x:c>
      <x:c r="M496" s="11" t="str">
        <x:v>2027-10-09</x:v>
      </x:c>
      <x:c r="O496" t="str">
        <x:v>CNY</x:v>
      </x:c>
      <x:c r="V496" t="str">
        <x:v>2027-10-08</x:v>
      </x:c>
      <x:c r="W496" t="str">
        <x:v>待核</x:v>
      </x:c>
      <x:c r="X496" t="str">
        <x:v>周末已解析；节假日需交易所对应年度日历核验，实际交易日待核</x:v>
      </x:c>
    </x:row>
    <x:row r="497" ht="23" customHeight="1">
      <x:c r="A497" s="11" t="str">
        <x:v>09618.HK</x:v>
      </x:c>
      <x:c r="B497" s="11" t="str">
        <x:v>一年</x:v>
      </x:c>
      <x:c r="C497" s="11" t="str">
        <x:v>基准</x:v>
      </x:c>
      <x:c r="D497" s="11" t="str">
        <x:v>EPS</x:v>
      </x:c>
      <x:c r="E497" s="18" t="n">
        <x:v>12.807</x:v>
      </x:c>
      <x:c r="F497" s="18" t="n">
        <x:v>12</x:v>
      </x:c>
      <x:c r="G497" s="18" t="n">
        <x:v>1.1</x:v>
      </x:c>
      <x:c r="H497" s="18" t="n">
        <x:v>4</x:v>
      </x:c>
      <x:c r="I497" s="18"/>
      <x:c r="J497" s="20"/>
      <x:c r="K497" s="22"/>
      <x:c r="L497" s="11" t="str">
        <x:v>jd-three-segment-normalized-v1.0</x:v>
      </x:c>
      <x:c r="M497" s="11" t="str">
        <x:v>2027-10-09</x:v>
      </x:c>
      <x:c r="O497" t="str">
        <x:v>CNY</x:v>
      </x:c>
      <x:c r="V497" t="str">
        <x:v>2027-10-08</x:v>
      </x:c>
      <x:c r="W497" t="str">
        <x:v>待核</x:v>
      </x:c>
      <x:c r="X497" t="str">
        <x:v>周末已解析；节假日需交易所对应年度日历核验，实际交易日待核</x:v>
      </x:c>
    </x:row>
    <x:row r="498" ht="23" customHeight="1">
      <x:c r="A498" s="11" t="str">
        <x:v>09618.HK</x:v>
      </x:c>
      <x:c r="B498" s="11" t="str">
        <x:v>一年</x:v>
      </x:c>
      <x:c r="C498" s="11" t="str">
        <x:v>乐观</x:v>
      </x:c>
      <x:c r="D498" s="11" t="str">
        <x:v>EPS</x:v>
      </x:c>
      <x:c r="E498" s="18" t="n">
        <x:v>22.336</x:v>
      </x:c>
      <x:c r="F498" s="18" t="n">
        <x:v>16</x:v>
      </x:c>
      <x:c r="G498" s="18" t="n">
        <x:v>1.1</x:v>
      </x:c>
      <x:c r="H498" s="18" t="n">
        <x:v>5</x:v>
      </x:c>
      <x:c r="I498" s="18"/>
      <x:c r="J498" s="20"/>
      <x:c r="K498" s="22"/>
      <x:c r="L498" s="11" t="str">
        <x:v>jd-three-segment-normalized-v1.0</x:v>
      </x:c>
      <x:c r="M498" s="11" t="str">
        <x:v>2027-10-09</x:v>
      </x:c>
      <x:c r="O498" t="str">
        <x:v>CNY</x:v>
      </x:c>
      <x:c r="V498" t="str">
        <x:v>2027-10-08</x:v>
      </x:c>
      <x:c r="W498" t="str">
        <x:v>待核</x:v>
      </x:c>
      <x:c r="X498" t="str">
        <x:v>周末已解析；节假日需交易所对应年度日历核验，实际交易日待核</x:v>
      </x:c>
    </x:row>
    <x:row r="499" ht="23" customHeight="1">
      <x:c r="A499" s="15" t="str">
        <x:v>09618.HK</x:v>
      </x:c>
      <x:c r="B499" s="15" t="str">
        <x:v>三年</x:v>
      </x:c>
      <x:c r="C499" s="15" t="str">
        <x:v>活动输入</x:v>
      </x:c>
      <x:c r="D499" s="15" t="str">
        <x:v>EPS</x:v>
      </x:c>
      <x:c r="E499" s="17" t="n">
        <x:f>CHOOSE($B$3,E500,E501,E502)</x:f>
        <x:v>21.875</x:v>
      </x:c>
      <x:c r="F499" s="17" t="n">
        <x:f>CHOOSE($B$3,F500,F501,F502)</x:f>
        <x:v>13</x:v>
      </x:c>
      <x:c r="G499" s="17" t="n">
        <x:f>CHOOSE($B$3,G500,G501,G502)</x:f>
        <x:v>1.1</x:v>
      </x:c>
      <x:c r="H499" s="17" t="n">
        <x:f>CHOOSE($B$3,H500,H501,H502)</x:f>
        <x:v>14</x:v>
      </x:c>
      <x:c r="I499" s="17" t="str">
        <x:f>CHOOSE($B$3,I500,I501,I502)</x:f>
      </x:c>
      <x:c r="J499" s="19" t="str">
        <x:f>CHOOSE($B$3,J500,J501,J502)</x:f>
      </x:c>
      <x:c r="K499" s="21" t="str">
        <x:f>CHOOSE($B$3,K500,K501,K502)</x:f>
      </x:c>
      <x:c r="L499" s="15" t="str">
        <x:v>jd-three-segment-normalized-v1.0</x:v>
      </x:c>
      <x:c r="M499" s="15" t="str">
        <x:v>2029-10-09</x:v>
      </x:c>
      <x:c r="O499" t="str">
        <x:v>CNY</x:v>
      </x:c>
      <x:c r="V499" t="str">
        <x:v>2029-10-09</x:v>
      </x:c>
      <x:c r="W499" t="str">
        <x:v>待核</x:v>
      </x:c>
      <x:c r="X499" t="str">
        <x:v>周末已解析；节假日需交易所对应年度日历核验，实际交易日待核</x:v>
      </x:c>
    </x:row>
    <x:row r="500" ht="23" customHeight="1">
      <x:c r="A500" s="11" t="str">
        <x:v>09618.HK</x:v>
      </x:c>
      <x:c r="B500" s="11" t="str">
        <x:v>三年</x:v>
      </x:c>
      <x:c r="C500" s="11" t="str">
        <x:v>悲观</x:v>
      </x:c>
      <x:c r="D500" s="11" t="str">
        <x:v>EPS</x:v>
      </x:c>
      <x:c r="E500" s="18" t="n">
        <x:v>5.484</x:v>
      </x:c>
      <x:c r="F500" s="18" t="n">
        <x:v>8</x:v>
      </x:c>
      <x:c r="G500" s="18" t="n">
        <x:v>1.1</x:v>
      </x:c>
      <x:c r="H500" s="18" t="n">
        <x:v>7.5</x:v>
      </x:c>
      <x:c r="I500" s="18"/>
      <x:c r="J500" s="20"/>
      <x:c r="K500" s="22"/>
      <x:c r="L500" s="11" t="str">
        <x:v>jd-three-segment-normalized-v1.0</x:v>
      </x:c>
      <x:c r="M500" s="11" t="str">
        <x:v>2029-10-09</x:v>
      </x:c>
      <x:c r="O500" t="str">
        <x:v>CNY</x:v>
      </x:c>
      <x:c r="V500" t="str">
        <x:v>2029-10-09</x:v>
      </x:c>
      <x:c r="W500" t="str">
        <x:v>待核</x:v>
      </x:c>
      <x:c r="X500" t="str">
        <x:v>周末已解析；节假日需交易所对应年度日历核验，实际交易日待核</x:v>
      </x:c>
    </x:row>
    <x:row r="501" ht="23" customHeight="1">
      <x:c r="A501" s="11" t="str">
        <x:v>09618.HK</x:v>
      </x:c>
      <x:c r="B501" s="11" t="str">
        <x:v>三年</x:v>
      </x:c>
      <x:c r="C501" s="11" t="str">
        <x:v>基准</x:v>
      </x:c>
      <x:c r="D501" s="11" t="str">
        <x:v>EPS</x:v>
      </x:c>
      <x:c r="E501" s="18" t="n">
        <x:v>21.875</x:v>
      </x:c>
      <x:c r="F501" s="18" t="n">
        <x:v>13</x:v>
      </x:c>
      <x:c r="G501" s="18" t="n">
        <x:v>1.1</x:v>
      </x:c>
      <x:c r="H501" s="18" t="n">
        <x:v>14</x:v>
      </x:c>
      <x:c r="I501" s="18"/>
      <x:c r="J501" s="20"/>
      <x:c r="K501" s="22"/>
      <x:c r="L501" s="11" t="str">
        <x:v>jd-three-segment-normalized-v1.0</x:v>
      </x:c>
      <x:c r="M501" s="11" t="str">
        <x:v>2029-10-09</x:v>
      </x:c>
      <x:c r="O501" t="str">
        <x:v>CNY</x:v>
      </x:c>
      <x:c r="V501" t="str">
        <x:v>2029-10-09</x:v>
      </x:c>
      <x:c r="W501" t="str">
        <x:v>待核</x:v>
      </x:c>
      <x:c r="X501" t="str">
        <x:v>周末已解析；节假日需交易所对应年度日历核验，实际交易日待核</x:v>
      </x:c>
    </x:row>
    <x:row r="502" ht="23" customHeight="1">
      <x:c r="A502" s="11" t="str">
        <x:v>09618.HK</x:v>
      </x:c>
      <x:c r="B502" s="11" t="str">
        <x:v>三年</x:v>
      </x:c>
      <x:c r="C502" s="11" t="str">
        <x:v>乐观</x:v>
      </x:c>
      <x:c r="D502" s="11" t="str">
        <x:v>EPS</x:v>
      </x:c>
      <x:c r="E502" s="18" t="n">
        <x:v>41.075</x:v>
      </x:c>
      <x:c r="F502" s="18" t="n">
        <x:v>16</x:v>
      </x:c>
      <x:c r="G502" s="18" t="n">
        <x:v>1.1</x:v>
      </x:c>
      <x:c r="H502" s="18" t="n">
        <x:v>20</x:v>
      </x:c>
      <x:c r="I502" s="18"/>
      <x:c r="J502" s="20"/>
      <x:c r="K502" s="22"/>
      <x:c r="L502" s="11" t="str">
        <x:v>jd-three-segment-normalized-v1.0</x:v>
      </x:c>
      <x:c r="M502" s="11" t="str">
        <x:v>2029-10-09</x:v>
      </x:c>
      <x:c r="O502" t="str">
        <x:v>CNY</x:v>
      </x:c>
      <x:c r="V502" t="str">
        <x:v>2029-10-09</x:v>
      </x:c>
      <x:c r="W502" t="str">
        <x:v>待核</x:v>
      </x:c>
      <x:c r="X502" t="str">
        <x:v>周末已解析；节假日需交易所对应年度日历核验，实际交易日待核</x:v>
      </x:c>
    </x:row>
    <x:row r="503" ht="23" customHeight="1">
      <x:c r="A503" s="15" t="str">
        <x:v>09618.HK</x:v>
      </x:c>
      <x:c r="B503" s="15" t="str">
        <x:v>五年</x:v>
      </x:c>
      <x:c r="C503" s="15" t="str">
        <x:v>活动输入</x:v>
      </x:c>
      <x:c r="D503" s="15" t="str">
        <x:v>EPS</x:v>
      </x:c>
      <x:c r="E503" s="17" t="n">
        <x:f>CHOOSE($B$3,E504,E505,E506)</x:f>
        <x:v>29.604</x:v>
      </x:c>
      <x:c r="F503" s="17" t="n">
        <x:f>CHOOSE($B$3,F504,F505,F506)</x:f>
        <x:v>13</x:v>
      </x:c>
      <x:c r="G503" s="17" t="n">
        <x:f>CHOOSE($B$3,G504,G505,G506)</x:f>
        <x:v>1.1</x:v>
      </x:c>
      <x:c r="H503" s="17" t="n">
        <x:f>CHOOSE($B$3,H504,H505,H506)</x:f>
        <x:v>27</x:v>
      </x:c>
      <x:c r="I503" s="17" t="str">
        <x:f>CHOOSE($B$3,I504,I505,I506)</x:f>
      </x:c>
      <x:c r="J503" s="19" t="str">
        <x:f>CHOOSE($B$3,J504,J505,J506)</x:f>
      </x:c>
      <x:c r="K503" s="21" t="str">
        <x:f>CHOOSE($B$3,K504,K505,K506)</x:f>
      </x:c>
      <x:c r="L503" s="15" t="str">
        <x:v>jd-three-segment-normalized-v1.0</x:v>
      </x:c>
      <x:c r="M503" s="15" t="str">
        <x:v>2031-10-09</x:v>
      </x:c>
      <x:c r="O503" t="str">
        <x:v>CNY</x:v>
      </x:c>
      <x:c r="V503" t="str">
        <x:v>2031-10-09</x:v>
      </x:c>
      <x:c r="W503" t="str">
        <x:v>待核</x:v>
      </x:c>
      <x:c r="X503" t="str">
        <x:v>周末已解析；节假日需交易所对应年度日历核验，实际交易日待核</x:v>
      </x:c>
    </x:row>
    <x:row r="504" ht="23" customHeight="1">
      <x:c r="A504" s="11" t="str">
        <x:v>09618.HK</x:v>
      </x:c>
      <x:c r="B504" s="11" t="str">
        <x:v>五年</x:v>
      </x:c>
      <x:c r="C504" s="11" t="str">
        <x:v>悲观</x:v>
      </x:c>
      <x:c r="D504" s="11" t="str">
        <x:v>EPS</x:v>
      </x:c>
      <x:c r="E504" s="18" t="n">
        <x:v>6.162</x:v>
      </x:c>
      <x:c r="F504" s="18" t="n">
        <x:v>8</x:v>
      </x:c>
      <x:c r="G504" s="18" t="n">
        <x:v>1.1</x:v>
      </x:c>
      <x:c r="H504" s="18" t="n">
        <x:v>12</x:v>
      </x:c>
      <x:c r="I504" s="18"/>
      <x:c r="J504" s="20"/>
      <x:c r="K504" s="22"/>
      <x:c r="L504" s="11" t="str">
        <x:v>jd-three-segment-normalized-v1.0</x:v>
      </x:c>
      <x:c r="M504" s="11" t="str">
        <x:v>2031-10-09</x:v>
      </x:c>
      <x:c r="O504" t="str">
        <x:v>CNY</x:v>
      </x:c>
      <x:c r="V504" t="str">
        <x:v>2031-10-09</x:v>
      </x:c>
      <x:c r="W504" t="str">
        <x:v>待核</x:v>
      </x:c>
      <x:c r="X504" t="str">
        <x:v>周末已解析；节假日需交易所对应年度日历核验，实际交易日待核</x:v>
      </x:c>
    </x:row>
    <x:row r="505" ht="23" customHeight="1">
      <x:c r="A505" s="11" t="str">
        <x:v>09618.HK</x:v>
      </x:c>
      <x:c r="B505" s="11" t="str">
        <x:v>五年</x:v>
      </x:c>
      <x:c r="C505" s="11" t="str">
        <x:v>基准</x:v>
      </x:c>
      <x:c r="D505" s="11" t="str">
        <x:v>EPS</x:v>
      </x:c>
      <x:c r="E505" s="18" t="n">
        <x:v>29.604</x:v>
      </x:c>
      <x:c r="F505" s="18" t="n">
        <x:v>13</x:v>
      </x:c>
      <x:c r="G505" s="18" t="n">
        <x:v>1.1</x:v>
      </x:c>
      <x:c r="H505" s="18" t="n">
        <x:v>27</x:v>
      </x:c>
      <x:c r="I505" s="18"/>
      <x:c r="J505" s="20"/>
      <x:c r="K505" s="22"/>
      <x:c r="L505" s="11" t="str">
        <x:v>jd-three-segment-normalized-v1.0</x:v>
      </x:c>
      <x:c r="M505" s="11" t="str">
        <x:v>2031-10-09</x:v>
      </x:c>
      <x:c r="O505" t="str">
        <x:v>CNY</x:v>
      </x:c>
      <x:c r="V505" t="str">
        <x:v>2031-10-09</x:v>
      </x:c>
      <x:c r="W505" t="str">
        <x:v>待核</x:v>
      </x:c>
      <x:c r="X505" t="str">
        <x:v>周末已解析；节假日需交易所对应年度日历核验，实际交易日待核</x:v>
      </x:c>
    </x:row>
    <x:row r="506" ht="23" customHeight="1">
      <x:c r="A506" s="11" t="str">
        <x:v>09618.HK</x:v>
      </x:c>
      <x:c r="B506" s="11" t="str">
        <x:v>五年</x:v>
      </x:c>
      <x:c r="C506" s="11" t="str">
        <x:v>乐观</x:v>
      </x:c>
      <x:c r="D506" s="11" t="str">
        <x:v>EPS</x:v>
      </x:c>
      <x:c r="E506" s="18" t="n">
        <x:v>59.67</x:v>
      </x:c>
      <x:c r="F506" s="18" t="n">
        <x:v>16</x:v>
      </x:c>
      <x:c r="G506" s="18" t="n">
        <x:v>1.1</x:v>
      </x:c>
      <x:c r="H506" s="18" t="n">
        <x:v>42</x:v>
      </x:c>
      <x:c r="I506" s="18"/>
      <x:c r="J506" s="20"/>
      <x:c r="K506" s="22"/>
      <x:c r="L506" s="11" t="str">
        <x:v>jd-three-segment-normalized-v1.0</x:v>
      </x:c>
      <x:c r="M506" s="11" t="str">
        <x:v>2031-10-09</x:v>
      </x:c>
      <x:c r="O506" t="str">
        <x:v>CNY</x:v>
      </x:c>
      <x:c r="V506" t="str">
        <x:v>2031-10-09</x:v>
      </x:c>
      <x:c r="W506" t="str">
        <x:v>待核</x:v>
      </x:c>
      <x:c r="X506" t="str">
        <x:v>周末已解析；节假日需交易所对应年度日历核验，实际交易日待核</x:v>
      </x:c>
    </x:row>
    <x:row r="507" ht="23" customHeight="1">
      <x:c r="A507" s="15" t="str">
        <x:v>688356.SH</x:v>
      </x:c>
      <x:c r="B507" s="15" t="str">
        <x:v>2026年底</x:v>
      </x:c>
      <x:c r="C507" s="15" t="str">
        <x:v>活动输入</x:v>
      </x:c>
      <x:c r="D507" s="15" t="str">
        <x:v>EPS</x:v>
      </x:c>
      <x:c r="E507" s="17" t="n">
        <x:f>CHOOSE($B$3,E508,E509,E510)</x:f>
        <x:v>2</x:v>
      </x:c>
      <x:c r="F507" s="17" t="n">
        <x:f>CHOOSE($B$3,F508,F509,F510)</x:f>
        <x:v>48</x:v>
      </x:c>
      <x:c r="G507" s="17" t="n">
        <x:f>CHOOSE($B$3,G508,G509,G510)</x:f>
        <x:v>1</x:v>
      </x:c>
      <x:c r="H507" s="17" t="n">
        <x:f>CHOOSE($B$3,H508,H509,H510)</x:f>
        <x:v>0</x:v>
      </x:c>
      <x:c r="I507" s="17" t="str">
        <x:f>CHOOSE($B$3,I508,I509,I510)</x:f>
      </x:c>
      <x:c r="J507" s="19" t="str">
        <x:f>CHOOSE($B$3,J508,J509,J510)</x:f>
      </x:c>
      <x:c r="K507" s="21" t="str">
        <x:f>CHOOSE($B$3,K508,K509,K510)</x:f>
      </x:c>
      <x:c r="L507" s="15" t="str">
        <x:v>jenkem-normalized-pe-v1.0</x:v>
      </x:c>
      <x:c r="M507" s="15" t="str">
        <x:v>2026-12-31</x:v>
      </x:c>
      <x:c r="O507" t="str">
        <x:v>CNY</x:v>
      </x:c>
      <x:c r="V507" t="str">
        <x:v>2026-12-31</x:v>
      </x:c>
      <x:c r="W507" t="str">
        <x:v>待核</x:v>
      </x:c>
      <x:c r="X507" t="str">
        <x:v>周末已解析；节假日需交易所对应年度日历核验，实际交易日待核</x:v>
      </x:c>
    </x:row>
    <x:row r="508" ht="23" customHeight="1">
      <x:c r="A508" s="11" t="str">
        <x:v>688356.SH</x:v>
      </x:c>
      <x:c r="B508" s="11" t="str">
        <x:v>2026年底</x:v>
      </x:c>
      <x:c r="C508" s="11" t="str">
        <x:v>悲观</x:v>
      </x:c>
      <x:c r="D508" s="11" t="str">
        <x:v>EPS</x:v>
      </x:c>
      <x:c r="E508" s="18" t="n">
        <x:v>1.05</x:v>
      </x:c>
      <x:c r="F508" s="18" t="n">
        <x:v>35</x:v>
      </x:c>
      <x:c r="G508" s="18" t="n">
        <x:v>1</x:v>
      </x:c>
      <x:c r="H508" s="18" t="n">
        <x:v>0</x:v>
      </x:c>
      <x:c r="I508" s="18"/>
      <x:c r="J508" s="20"/>
      <x:c r="K508" s="22"/>
      <x:c r="L508" s="11" t="str">
        <x:v>jenkem-normalized-pe-v1.0</x:v>
      </x:c>
      <x:c r="M508" s="11" t="str">
        <x:v>2026-12-31</x:v>
      </x:c>
      <x:c r="O508" t="str">
        <x:v>CNY</x:v>
      </x:c>
      <x:c r="V508" t="str">
        <x:v>2026-12-31</x:v>
      </x:c>
      <x:c r="W508" t="str">
        <x:v>待核</x:v>
      </x:c>
      <x:c r="X508" t="str">
        <x:v>周末已解析；节假日需交易所对应年度日历核验，实际交易日待核</x:v>
      </x:c>
    </x:row>
    <x:row r="509" ht="23" customHeight="1">
      <x:c r="A509" s="11" t="str">
        <x:v>688356.SH</x:v>
      </x:c>
      <x:c r="B509" s="11" t="str">
        <x:v>2026年底</x:v>
      </x:c>
      <x:c r="C509" s="11" t="str">
        <x:v>基准</x:v>
      </x:c>
      <x:c r="D509" s="11" t="str">
        <x:v>EPS</x:v>
      </x:c>
      <x:c r="E509" s="18" t="n">
        <x:v>2</x:v>
      </x:c>
      <x:c r="F509" s="18" t="n">
        <x:v>48</x:v>
      </x:c>
      <x:c r="G509" s="18" t="n">
        <x:v>1</x:v>
      </x:c>
      <x:c r="H509" s="18" t="n">
        <x:v>0</x:v>
      </x:c>
      <x:c r="I509" s="18"/>
      <x:c r="J509" s="20"/>
      <x:c r="K509" s="22"/>
      <x:c r="L509" s="11" t="str">
        <x:v>jenkem-normalized-pe-v1.0</x:v>
      </x:c>
      <x:c r="M509" s="11" t="str">
        <x:v>2026-12-31</x:v>
      </x:c>
      <x:c r="O509" t="str">
        <x:v>CNY</x:v>
      </x:c>
      <x:c r="V509" t="str">
        <x:v>2026-12-31</x:v>
      </x:c>
      <x:c r="W509" t="str">
        <x:v>待核</x:v>
      </x:c>
      <x:c r="X509" t="str">
        <x:v>周末已解析；节假日需交易所对应年度日历核验，实际交易日待核</x:v>
      </x:c>
    </x:row>
    <x:row r="510" ht="23" customHeight="1">
      <x:c r="A510" s="11" t="str">
        <x:v>688356.SH</x:v>
      </x:c>
      <x:c r="B510" s="11" t="str">
        <x:v>2026年底</x:v>
      </x:c>
      <x:c r="C510" s="11" t="str">
        <x:v>乐观</x:v>
      </x:c>
      <x:c r="D510" s="11" t="str">
        <x:v>EPS</x:v>
      </x:c>
      <x:c r="E510" s="18" t="n">
        <x:v>2.45</x:v>
      </x:c>
      <x:c r="F510" s="18" t="n">
        <x:v>60</x:v>
      </x:c>
      <x:c r="G510" s="18" t="n">
        <x:v>1</x:v>
      </x:c>
      <x:c r="H510" s="18" t="n">
        <x:v>0</x:v>
      </x:c>
      <x:c r="I510" s="18"/>
      <x:c r="J510" s="20"/>
      <x:c r="K510" s="22"/>
      <x:c r="L510" s="11" t="str">
        <x:v>jenkem-normalized-pe-v1.0</x:v>
      </x:c>
      <x:c r="M510" s="11" t="str">
        <x:v>2026-12-31</x:v>
      </x:c>
      <x:c r="O510" t="str">
        <x:v>CNY</x:v>
      </x:c>
      <x:c r="V510" t="str">
        <x:v>2026-12-31</x:v>
      </x:c>
      <x:c r="W510" t="str">
        <x:v>待核</x:v>
      </x:c>
      <x:c r="X510" t="str">
        <x:v>周末已解析；节假日需交易所对应年度日历核验，实际交易日待核</x:v>
      </x:c>
    </x:row>
    <x:row r="511" ht="23" customHeight="1">
      <x:c r="A511" s="15" t="str">
        <x:v>688356.SH</x:v>
      </x:c>
      <x:c r="B511" s="15" t="str">
        <x:v>半年</x:v>
      </x:c>
      <x:c r="C511" s="15" t="str">
        <x:v>活动输入</x:v>
      </x:c>
      <x:c r="D511" s="15" t="str">
        <x:v>EPS</x:v>
      </x:c>
      <x:c r="E511" s="17" t="n">
        <x:f>CHOOSE($B$3,E512,E513,E514)</x:f>
        <x:v>2.1</x:v>
      </x:c>
      <x:c r="F511" s="17" t="n">
        <x:f>CHOOSE($B$3,F512,F513,F514)</x:f>
        <x:v>48</x:v>
      </x:c>
      <x:c r="G511" s="17" t="n">
        <x:f>CHOOSE($B$3,G512,G513,G514)</x:f>
        <x:v>1</x:v>
      </x:c>
      <x:c r="H511" s="17" t="n">
        <x:f>CHOOSE($B$3,H512,H513,H514)</x:f>
        <x:v>0</x:v>
      </x:c>
      <x:c r="I511" s="17" t="str">
        <x:f>CHOOSE($B$3,I512,I513,I514)</x:f>
      </x:c>
      <x:c r="J511" s="19" t="str">
        <x:f>CHOOSE($B$3,J512,J513,J514)</x:f>
      </x:c>
      <x:c r="K511" s="21" t="str">
        <x:f>CHOOSE($B$3,K512,K513,K514)</x:f>
      </x:c>
      <x:c r="L511" s="15" t="str">
        <x:v>jenkem-normalized-pe-v1.0</x:v>
      </x:c>
      <x:c r="M511" s="15" t="str">
        <x:v>2027-04-09</x:v>
      </x:c>
      <x:c r="O511" t="str">
        <x:v>CNY</x:v>
      </x:c>
      <x:c r="V511" t="str">
        <x:v>2027-04-09</x:v>
      </x:c>
      <x:c r="W511" t="str">
        <x:v>待核</x:v>
      </x:c>
      <x:c r="X511" t="str">
        <x:v>周末已解析；节假日需交易所对应年度日历核验，实际交易日待核</x:v>
      </x:c>
    </x:row>
    <x:row r="512" ht="23" customHeight="1">
      <x:c r="A512" s="11" t="str">
        <x:v>688356.SH</x:v>
      </x:c>
      <x:c r="B512" s="11" t="str">
        <x:v>半年</x:v>
      </x:c>
      <x:c r="C512" s="11" t="str">
        <x:v>悲观</x:v>
      </x:c>
      <x:c r="D512" s="11" t="str">
        <x:v>EPS</x:v>
      </x:c>
      <x:c r="E512" s="18" t="n">
        <x:v>1.1</x:v>
      </x:c>
      <x:c r="F512" s="18" t="n">
        <x:v>32</x:v>
      </x:c>
      <x:c r="G512" s="18" t="n">
        <x:v>1</x:v>
      </x:c>
      <x:c r="H512" s="18" t="n">
        <x:v>0</x:v>
      </x:c>
      <x:c r="I512" s="18"/>
      <x:c r="J512" s="20"/>
      <x:c r="K512" s="22"/>
      <x:c r="L512" s="11" t="str">
        <x:v>jenkem-normalized-pe-v1.0</x:v>
      </x:c>
      <x:c r="M512" s="11" t="str">
        <x:v>2027-04-09</x:v>
      </x:c>
      <x:c r="O512" t="str">
        <x:v>CNY</x:v>
      </x:c>
      <x:c r="V512" t="str">
        <x:v>2027-04-09</x:v>
      </x:c>
      <x:c r="W512" t="str">
        <x:v>待核</x:v>
      </x:c>
      <x:c r="X512" t="str">
        <x:v>周末已解析；节假日需交易所对应年度日历核验，实际交易日待核</x:v>
      </x:c>
    </x:row>
    <x:row r="513" ht="23" customHeight="1">
      <x:c r="A513" s="11" t="str">
        <x:v>688356.SH</x:v>
      </x:c>
      <x:c r="B513" s="11" t="str">
        <x:v>半年</x:v>
      </x:c>
      <x:c r="C513" s="11" t="str">
        <x:v>基准</x:v>
      </x:c>
      <x:c r="D513" s="11" t="str">
        <x:v>EPS</x:v>
      </x:c>
      <x:c r="E513" s="18" t="n">
        <x:v>2.1</x:v>
      </x:c>
      <x:c r="F513" s="18" t="n">
        <x:v>48</x:v>
      </x:c>
      <x:c r="G513" s="18" t="n">
        <x:v>1</x:v>
      </x:c>
      <x:c r="H513" s="18" t="n">
        <x:v>0</x:v>
      </x:c>
      <x:c r="I513" s="18"/>
      <x:c r="J513" s="20"/>
      <x:c r="K513" s="22"/>
      <x:c r="L513" s="11" t="str">
        <x:v>jenkem-normalized-pe-v1.0</x:v>
      </x:c>
      <x:c r="M513" s="11" t="str">
        <x:v>2027-04-09</x:v>
      </x:c>
      <x:c r="O513" t="str">
        <x:v>CNY</x:v>
      </x:c>
      <x:c r="V513" t="str">
        <x:v>2027-04-09</x:v>
      </x:c>
      <x:c r="W513" t="str">
        <x:v>待核</x:v>
      </x:c>
      <x:c r="X513" t="str">
        <x:v>周末已解析；节假日需交易所对应年度日历核验，实际交易日待核</x:v>
      </x:c>
    </x:row>
    <x:row r="514" ht="23" customHeight="1">
      <x:c r="A514" s="11" t="str">
        <x:v>688356.SH</x:v>
      </x:c>
      <x:c r="B514" s="11" t="str">
        <x:v>半年</x:v>
      </x:c>
      <x:c r="C514" s="11" t="str">
        <x:v>乐观</x:v>
      </x:c>
      <x:c r="D514" s="11" t="str">
        <x:v>EPS</x:v>
      </x:c>
      <x:c r="E514" s="18" t="n">
        <x:v>2.8</x:v>
      </x:c>
      <x:c r="F514" s="18" t="n">
        <x:v>62</x:v>
      </x:c>
      <x:c r="G514" s="18" t="n">
        <x:v>1</x:v>
      </x:c>
      <x:c r="H514" s="18" t="n">
        <x:v>0</x:v>
      </x:c>
      <x:c r="I514" s="18"/>
      <x:c r="J514" s="20"/>
      <x:c r="K514" s="22"/>
      <x:c r="L514" s="11" t="str">
        <x:v>jenkem-normalized-pe-v1.0</x:v>
      </x:c>
      <x:c r="M514" s="11" t="str">
        <x:v>2027-04-09</x:v>
      </x:c>
      <x:c r="O514" t="str">
        <x:v>CNY</x:v>
      </x:c>
      <x:c r="V514" t="str">
        <x:v>2027-04-09</x:v>
      </x:c>
      <x:c r="W514" t="str">
        <x:v>待核</x:v>
      </x:c>
      <x:c r="X514" t="str">
        <x:v>周末已解析；节假日需交易所对应年度日历核验，实际交易日待核</x:v>
      </x:c>
    </x:row>
    <x:row r="515" ht="23" customHeight="1">
      <x:c r="A515" s="15" t="str">
        <x:v>688356.SH</x:v>
      </x:c>
      <x:c r="B515" s="15" t="str">
        <x:v>一年</x:v>
      </x:c>
      <x:c r="C515" s="15" t="str">
        <x:v>活动输入</x:v>
      </x:c>
      <x:c r="D515" s="15" t="str">
        <x:v>EPS</x:v>
      </x:c>
      <x:c r="E515" s="17" t="n">
        <x:f>CHOOSE($B$3,E516,E517,E518)</x:f>
        <x:v>2.6</x:v>
      </x:c>
      <x:c r="F515" s="17" t="n">
        <x:f>CHOOSE($B$3,F516,F517,F518)</x:f>
        <x:v>45</x:v>
      </x:c>
      <x:c r="G515" s="17" t="n">
        <x:f>CHOOSE($B$3,G516,G517,G518)</x:f>
        <x:v>1</x:v>
      </x:c>
      <x:c r="H515" s="17" t="n">
        <x:f>CHOOSE($B$3,H516,H517,H518)</x:f>
        <x:v>0.32</x:v>
      </x:c>
      <x:c r="I515" s="17" t="str">
        <x:f>CHOOSE($B$3,I516,I517,I518)</x:f>
      </x:c>
      <x:c r="J515" s="19" t="str">
        <x:f>CHOOSE($B$3,J516,J517,J518)</x:f>
      </x:c>
      <x:c r="K515" s="21" t="str">
        <x:f>CHOOSE($B$3,K516,K517,K518)</x:f>
      </x:c>
      <x:c r="L515" s="15" t="str">
        <x:v>jenkem-normalized-pe-v1.0</x:v>
      </x:c>
      <x:c r="M515" s="15" t="str">
        <x:v>2027-10-09</x:v>
      </x:c>
      <x:c r="O515" t="str">
        <x:v>CNY</x:v>
      </x:c>
      <x:c r="V515" t="str">
        <x:v>2027-10-08</x:v>
      </x:c>
      <x:c r="W515" t="str">
        <x:v>待核</x:v>
      </x:c>
      <x:c r="X515" t="str">
        <x:v>周末已解析；节假日需交易所对应年度日历核验，实际交易日待核</x:v>
      </x:c>
    </x:row>
    <x:row r="516" ht="23" customHeight="1">
      <x:c r="A516" s="11" t="str">
        <x:v>688356.SH</x:v>
      </x:c>
      <x:c r="B516" s="11" t="str">
        <x:v>一年</x:v>
      </x:c>
      <x:c r="C516" s="11" t="str">
        <x:v>悲观</x:v>
      </x:c>
      <x:c r="D516" s="11" t="str">
        <x:v>EPS</x:v>
      </x:c>
      <x:c r="E516" s="18" t="n">
        <x:v>1.2</x:v>
      </x:c>
      <x:c r="F516" s="18" t="n">
        <x:v>30</x:v>
      </x:c>
      <x:c r="G516" s="18" t="n">
        <x:v>1</x:v>
      </x:c>
      <x:c r="H516" s="18" t="n">
        <x:v>0.12</x:v>
      </x:c>
      <x:c r="I516" s="18"/>
      <x:c r="J516" s="20"/>
      <x:c r="K516" s="22"/>
      <x:c r="L516" s="11" t="str">
        <x:v>jenkem-normalized-pe-v1.0</x:v>
      </x:c>
      <x:c r="M516" s="11" t="str">
        <x:v>2027-10-09</x:v>
      </x:c>
      <x:c r="O516" t="str">
        <x:v>CNY</x:v>
      </x:c>
      <x:c r="V516" t="str">
        <x:v>2027-10-08</x:v>
      </x:c>
      <x:c r="W516" t="str">
        <x:v>待核</x:v>
      </x:c>
      <x:c r="X516" t="str">
        <x:v>周末已解析；节假日需交易所对应年度日历核验，实际交易日待核</x:v>
      </x:c>
    </x:row>
    <x:row r="517" ht="23" customHeight="1">
      <x:c r="A517" s="11" t="str">
        <x:v>688356.SH</x:v>
      </x:c>
      <x:c r="B517" s="11" t="str">
        <x:v>一年</x:v>
      </x:c>
      <x:c r="C517" s="11" t="str">
        <x:v>基准</x:v>
      </x:c>
      <x:c r="D517" s="11" t="str">
        <x:v>EPS</x:v>
      </x:c>
      <x:c r="E517" s="18" t="n">
        <x:v>2.6</x:v>
      </x:c>
      <x:c r="F517" s="18" t="n">
        <x:v>45</x:v>
      </x:c>
      <x:c r="G517" s="18" t="n">
        <x:v>1</x:v>
      </x:c>
      <x:c r="H517" s="18" t="n">
        <x:v>0.32</x:v>
      </x:c>
      <x:c r="I517" s="18"/>
      <x:c r="J517" s="20"/>
      <x:c r="K517" s="22"/>
      <x:c r="L517" s="11" t="str">
        <x:v>jenkem-normalized-pe-v1.0</x:v>
      </x:c>
      <x:c r="M517" s="11" t="str">
        <x:v>2027-10-09</x:v>
      </x:c>
      <x:c r="O517" t="str">
        <x:v>CNY</x:v>
      </x:c>
      <x:c r="V517" t="str">
        <x:v>2027-10-08</x:v>
      </x:c>
      <x:c r="W517" t="str">
        <x:v>待核</x:v>
      </x:c>
      <x:c r="X517" t="str">
        <x:v>周末已解析；节假日需交易所对应年度日历核验，实际交易日待核</x:v>
      </x:c>
    </x:row>
    <x:row r="518" ht="23" customHeight="1">
      <x:c r="A518" s="11" t="str">
        <x:v>688356.SH</x:v>
      </x:c>
      <x:c r="B518" s="11" t="str">
        <x:v>一年</x:v>
      </x:c>
      <x:c r="C518" s="11" t="str">
        <x:v>乐观</x:v>
      </x:c>
      <x:c r="D518" s="11" t="str">
        <x:v>EPS</x:v>
      </x:c>
      <x:c r="E518" s="18" t="n">
        <x:v>3.4</x:v>
      </x:c>
      <x:c r="F518" s="18" t="n">
        <x:v>58</x:v>
      </x:c>
      <x:c r="G518" s="18" t="n">
        <x:v>1</x:v>
      </x:c>
      <x:c r="H518" s="18" t="n">
        <x:v>0.45</x:v>
      </x:c>
      <x:c r="I518" s="18"/>
      <x:c r="J518" s="20"/>
      <x:c r="K518" s="22"/>
      <x:c r="L518" s="11" t="str">
        <x:v>jenkem-normalized-pe-v1.0</x:v>
      </x:c>
      <x:c r="M518" s="11" t="str">
        <x:v>2027-10-09</x:v>
      </x:c>
      <x:c r="O518" t="str">
        <x:v>CNY</x:v>
      </x:c>
      <x:c r="V518" t="str">
        <x:v>2027-10-08</x:v>
      </x:c>
      <x:c r="W518" t="str">
        <x:v>待核</x:v>
      </x:c>
      <x:c r="X518" t="str">
        <x:v>周末已解析；节假日需交易所对应年度日历核验，实际交易日待核</x:v>
      </x:c>
    </x:row>
    <x:row r="519" ht="23" customHeight="1">
      <x:c r="A519" s="15" t="str">
        <x:v>688356.SH</x:v>
      </x:c>
      <x:c r="B519" s="15" t="str">
        <x:v>三年</x:v>
      </x:c>
      <x:c r="C519" s="15" t="str">
        <x:v>活动输入</x:v>
      </x:c>
      <x:c r="D519" s="15" t="str">
        <x:v>EPS</x:v>
      </x:c>
      <x:c r="E519" s="17" t="n">
        <x:f>CHOOSE($B$3,E520,E521,E522)</x:f>
        <x:v>3.8</x:v>
      </x:c>
      <x:c r="F519" s="17" t="n">
        <x:f>CHOOSE($B$3,F520,F521,F522)</x:f>
        <x:v>40</x:v>
      </x:c>
      <x:c r="G519" s="17" t="n">
        <x:f>CHOOSE($B$3,G520,G521,G522)</x:f>
        <x:v>1</x:v>
      </x:c>
      <x:c r="H519" s="17" t="n">
        <x:f>CHOOSE($B$3,H520,H521,H522)</x:f>
        <x:v>1.2</x:v>
      </x:c>
      <x:c r="I519" s="17" t="str">
        <x:f>CHOOSE($B$3,I520,I521,I522)</x:f>
      </x:c>
      <x:c r="J519" s="19" t="str">
        <x:f>CHOOSE($B$3,J520,J521,J522)</x:f>
      </x:c>
      <x:c r="K519" s="21" t="str">
        <x:f>CHOOSE($B$3,K520,K521,K522)</x:f>
      </x:c>
      <x:c r="L519" s="15" t="str">
        <x:v>jenkem-normalized-pe-v1.0</x:v>
      </x:c>
      <x:c r="M519" s="15" t="str">
        <x:v>2029-10-09</x:v>
      </x:c>
      <x:c r="O519" t="str">
        <x:v>CNY</x:v>
      </x:c>
      <x:c r="V519" t="str">
        <x:v>2029-10-09</x:v>
      </x:c>
      <x:c r="W519" t="str">
        <x:v>待核</x:v>
      </x:c>
      <x:c r="X519" t="str">
        <x:v>周末已解析；节假日需交易所对应年度日历核验，实际交易日待核</x:v>
      </x:c>
    </x:row>
    <x:row r="520" ht="23" customHeight="1">
      <x:c r="A520" s="11" t="str">
        <x:v>688356.SH</x:v>
      </x:c>
      <x:c r="B520" s="11" t="str">
        <x:v>三年</x:v>
      </x:c>
      <x:c r="C520" s="11" t="str">
        <x:v>悲观</x:v>
      </x:c>
      <x:c r="D520" s="11" t="str">
        <x:v>EPS</x:v>
      </x:c>
      <x:c r="E520" s="18" t="n">
        <x:v>1.5</x:v>
      </x:c>
      <x:c r="F520" s="18" t="n">
        <x:v>26</x:v>
      </x:c>
      <x:c r="G520" s="18" t="n">
        <x:v>1</x:v>
      </x:c>
      <x:c r="H520" s="18" t="n">
        <x:v>0.4</x:v>
      </x:c>
      <x:c r="I520" s="18"/>
      <x:c r="J520" s="20"/>
      <x:c r="K520" s="22"/>
      <x:c r="L520" s="11" t="str">
        <x:v>jenkem-normalized-pe-v1.0</x:v>
      </x:c>
      <x:c r="M520" s="11" t="str">
        <x:v>2029-10-09</x:v>
      </x:c>
      <x:c r="O520" t="str">
        <x:v>CNY</x:v>
      </x:c>
      <x:c r="V520" t="str">
        <x:v>2029-10-09</x:v>
      </x:c>
      <x:c r="W520" t="str">
        <x:v>待核</x:v>
      </x:c>
      <x:c r="X520" t="str">
        <x:v>周末已解析；节假日需交易所对应年度日历核验，实际交易日待核</x:v>
      </x:c>
    </x:row>
    <x:row r="521" ht="23" customHeight="1">
      <x:c r="A521" s="11" t="str">
        <x:v>688356.SH</x:v>
      </x:c>
      <x:c r="B521" s="11" t="str">
        <x:v>三年</x:v>
      </x:c>
      <x:c r="C521" s="11" t="str">
        <x:v>基准</x:v>
      </x:c>
      <x:c r="D521" s="11" t="str">
        <x:v>EPS</x:v>
      </x:c>
      <x:c r="E521" s="18" t="n">
        <x:v>3.8</x:v>
      </x:c>
      <x:c r="F521" s="18" t="n">
        <x:v>40</x:v>
      </x:c>
      <x:c r="G521" s="18" t="n">
        <x:v>1</x:v>
      </x:c>
      <x:c r="H521" s="18" t="n">
        <x:v>1.2</x:v>
      </x:c>
      <x:c r="I521" s="18"/>
      <x:c r="J521" s="20"/>
      <x:c r="K521" s="22"/>
      <x:c r="L521" s="11" t="str">
        <x:v>jenkem-normalized-pe-v1.0</x:v>
      </x:c>
      <x:c r="M521" s="11" t="str">
        <x:v>2029-10-09</x:v>
      </x:c>
      <x:c r="O521" t="str">
        <x:v>CNY</x:v>
      </x:c>
      <x:c r="V521" t="str">
        <x:v>2029-10-09</x:v>
      </x:c>
      <x:c r="W521" t="str">
        <x:v>待核</x:v>
      </x:c>
      <x:c r="X521" t="str">
        <x:v>周末已解析；节假日需交易所对应年度日历核验，实际交易日待核</x:v>
      </x:c>
    </x:row>
    <x:row r="522" ht="23" customHeight="1">
      <x:c r="A522" s="11" t="str">
        <x:v>688356.SH</x:v>
      </x:c>
      <x:c r="B522" s="11" t="str">
        <x:v>三年</x:v>
      </x:c>
      <x:c r="C522" s="11" t="str">
        <x:v>乐观</x:v>
      </x:c>
      <x:c r="D522" s="11" t="str">
        <x:v>EPS</x:v>
      </x:c>
      <x:c r="E522" s="18" t="n">
        <x:v>6</x:v>
      </x:c>
      <x:c r="F522" s="18" t="n">
        <x:v>52</x:v>
      </x:c>
      <x:c r="G522" s="18" t="n">
        <x:v>1</x:v>
      </x:c>
      <x:c r="H522" s="18" t="n">
        <x:v>2</x:v>
      </x:c>
      <x:c r="I522" s="18"/>
      <x:c r="J522" s="20"/>
      <x:c r="K522" s="22"/>
      <x:c r="L522" s="11" t="str">
        <x:v>jenkem-normalized-pe-v1.0</x:v>
      </x:c>
      <x:c r="M522" s="11" t="str">
        <x:v>2029-10-09</x:v>
      </x:c>
      <x:c r="O522" t="str">
        <x:v>CNY</x:v>
      </x:c>
      <x:c r="V522" t="str">
        <x:v>2029-10-09</x:v>
      </x:c>
      <x:c r="W522" t="str">
        <x:v>待核</x:v>
      </x:c>
      <x:c r="X522" t="str">
        <x:v>周末已解析；节假日需交易所对应年度日历核验，实际交易日待核</x:v>
      </x:c>
    </x:row>
    <x:row r="523" ht="23" customHeight="1">
      <x:c r="A523" s="15" t="str">
        <x:v>688356.SH</x:v>
      </x:c>
      <x:c r="B523" s="15" t="str">
        <x:v>五年</x:v>
      </x:c>
      <x:c r="C523" s="15" t="str">
        <x:v>活动输入</x:v>
      </x:c>
      <x:c r="D523" s="15" t="str">
        <x:v>EPS</x:v>
      </x:c>
      <x:c r="E523" s="17" t="n">
        <x:f>CHOOSE($B$3,E524,E525,E526)</x:f>
        <x:v>5</x:v>
      </x:c>
      <x:c r="F523" s="17" t="n">
        <x:f>CHOOSE($B$3,F524,F525,F526)</x:f>
        <x:v>35</x:v>
      </x:c>
      <x:c r="G523" s="17" t="n">
        <x:f>CHOOSE($B$3,G524,G525,G526)</x:f>
        <x:v>1</x:v>
      </x:c>
      <x:c r="H523" s="17" t="n">
        <x:f>CHOOSE($B$3,H524,H525,H526)</x:f>
        <x:v>2.6</x:v>
      </x:c>
      <x:c r="I523" s="17" t="str">
        <x:f>CHOOSE($B$3,I524,I525,I526)</x:f>
      </x:c>
      <x:c r="J523" s="19" t="str">
        <x:f>CHOOSE($B$3,J524,J525,J526)</x:f>
      </x:c>
      <x:c r="K523" s="21" t="str">
        <x:f>CHOOSE($B$3,K524,K525,K526)</x:f>
      </x:c>
      <x:c r="L523" s="15" t="str">
        <x:v>jenkem-normalized-pe-v1.0</x:v>
      </x:c>
      <x:c r="M523" s="15" t="str">
        <x:v>2031-10-09</x:v>
      </x:c>
      <x:c r="O523" t="str">
        <x:v>CNY</x:v>
      </x:c>
      <x:c r="V523" t="str">
        <x:v>2031-10-09</x:v>
      </x:c>
      <x:c r="W523" t="str">
        <x:v>待核</x:v>
      </x:c>
      <x:c r="X523" t="str">
        <x:v>周末已解析；节假日需交易所对应年度日历核验，实际交易日待核</x:v>
      </x:c>
    </x:row>
    <x:row r="524" ht="23" customHeight="1">
      <x:c r="A524" s="11" t="str">
        <x:v>688356.SH</x:v>
      </x:c>
      <x:c r="B524" s="11" t="str">
        <x:v>五年</x:v>
      </x:c>
      <x:c r="C524" s="11" t="str">
        <x:v>悲观</x:v>
      </x:c>
      <x:c r="D524" s="11" t="str">
        <x:v>EPS</x:v>
      </x:c>
      <x:c r="E524" s="18" t="n">
        <x:v>1.7</x:v>
      </x:c>
      <x:c r="F524" s="18" t="n">
        <x:v>22</x:v>
      </x:c>
      <x:c r="G524" s="18" t="n">
        <x:v>1</x:v>
      </x:c>
      <x:c r="H524" s="18" t="n">
        <x:v>0.8</x:v>
      </x:c>
      <x:c r="I524" s="18"/>
      <x:c r="J524" s="20"/>
      <x:c r="K524" s="22"/>
      <x:c r="L524" s="11" t="str">
        <x:v>jenkem-normalized-pe-v1.0</x:v>
      </x:c>
      <x:c r="M524" s="11" t="str">
        <x:v>2031-10-09</x:v>
      </x:c>
      <x:c r="O524" t="str">
        <x:v>CNY</x:v>
      </x:c>
      <x:c r="V524" t="str">
        <x:v>2031-10-09</x:v>
      </x:c>
      <x:c r="W524" t="str">
        <x:v>待核</x:v>
      </x:c>
      <x:c r="X524" t="str">
        <x:v>周末已解析；节假日需交易所对应年度日历核验，实际交易日待核</x:v>
      </x:c>
    </x:row>
    <x:row r="525" ht="23" customHeight="1">
      <x:c r="A525" s="11" t="str">
        <x:v>688356.SH</x:v>
      </x:c>
      <x:c r="B525" s="11" t="str">
        <x:v>五年</x:v>
      </x:c>
      <x:c r="C525" s="11" t="str">
        <x:v>基准</x:v>
      </x:c>
      <x:c r="D525" s="11" t="str">
        <x:v>EPS</x:v>
      </x:c>
      <x:c r="E525" s="18" t="n">
        <x:v>5</x:v>
      </x:c>
      <x:c r="F525" s="18" t="n">
        <x:v>35</x:v>
      </x:c>
      <x:c r="G525" s="18" t="n">
        <x:v>1</x:v>
      </x:c>
      <x:c r="H525" s="18" t="n">
        <x:v>2.6</x:v>
      </x:c>
      <x:c r="I525" s="18"/>
      <x:c r="J525" s="20"/>
      <x:c r="K525" s="22"/>
      <x:c r="L525" s="11" t="str">
        <x:v>jenkem-normalized-pe-v1.0</x:v>
      </x:c>
      <x:c r="M525" s="11" t="str">
        <x:v>2031-10-09</x:v>
      </x:c>
      <x:c r="O525" t="str">
        <x:v>CNY</x:v>
      </x:c>
      <x:c r="V525" t="str">
        <x:v>2031-10-09</x:v>
      </x:c>
      <x:c r="W525" t="str">
        <x:v>待核</x:v>
      </x:c>
      <x:c r="X525" t="str">
        <x:v>周末已解析；节假日需交易所对应年度日历核验，实际交易日待核</x:v>
      </x:c>
    </x:row>
    <x:row r="526" ht="23" customHeight="1">
      <x:c r="A526" s="11" t="str">
        <x:v>688356.SH</x:v>
      </x:c>
      <x:c r="B526" s="11" t="str">
        <x:v>五年</x:v>
      </x:c>
      <x:c r="C526" s="11" t="str">
        <x:v>乐观</x:v>
      </x:c>
      <x:c r="D526" s="11" t="str">
        <x:v>EPS</x:v>
      </x:c>
      <x:c r="E526" s="18" t="n">
        <x:v>8</x:v>
      </x:c>
      <x:c r="F526" s="18" t="n">
        <x:v>45</x:v>
      </x:c>
      <x:c r="G526" s="18" t="n">
        <x:v>1</x:v>
      </x:c>
      <x:c r="H526" s="18" t="n">
        <x:v>4.5</x:v>
      </x:c>
      <x:c r="I526" s="18"/>
      <x:c r="J526" s="20"/>
      <x:c r="K526" s="22"/>
      <x:c r="L526" s="11" t="str">
        <x:v>jenkem-normalized-pe-v1.0</x:v>
      </x:c>
      <x:c r="M526" s="11" t="str">
        <x:v>2031-10-09</x:v>
      </x:c>
      <x:c r="O526" t="str">
        <x:v>CNY</x:v>
      </x:c>
      <x:c r="V526" t="str">
        <x:v>2031-10-09</x:v>
      </x:c>
      <x:c r="W526" t="str">
        <x:v>待核</x:v>
      </x:c>
      <x:c r="X526" t="str">
        <x:v>周末已解析；节假日需交易所对应年度日历核验，实际交易日待核</x:v>
      </x:c>
    </x:row>
    <x:row r="527" ht="23" customHeight="1">
      <x:c r="A527" s="15" t="str">
        <x:v>02162.HK</x:v>
      </x:c>
      <x:c r="B527" s="15" t="str">
        <x:v>2026年底</x:v>
      </x:c>
      <x:c r="C527" s="15" t="str">
        <x:v>活动输入</x:v>
      </x:c>
      <x:c r="D527" s="15" t="str">
        <x:v>收入利润率</x:v>
      </x:c>
      <x:c r="E527" s="17" t="n">
        <x:f>CHOOSE($B$3,E528,E529,E530)</x:f>
        <x:v>0</x:v>
      </x:c>
      <x:c r="F527" s="17" t="n">
        <x:f>CHOOSE($B$3,F528,F529,F530)</x:f>
        <x:v>0</x:v>
      </x:c>
      <x:c r="G527" s="17" t="n">
        <x:f>CHOOSE($B$3,G528,G529,G530)</x:f>
        <x:v>1.1</x:v>
      </x:c>
      <x:c r="H527" s="17" t="n">
        <x:f>CHOOSE($B$3,H528,H529,H530)</x:f>
        <x:v>0</x:v>
      </x:c>
      <x:c r="I527" s="17" t="n">
        <x:f>CHOOSE($B$3,I528,I529,I530)</x:f>
        <x:v>0</x:v>
      </x:c>
      <x:c r="J527" s="19" t="n">
        <x:f>CHOOSE($B$3,J528,J529,J530)</x:f>
        <x:v>0</x:v>
      </x:c>
      <x:c r="K527" s="21" t="n">
        <x:f>CHOOSE($B$3,K528,K529,K530)</x:f>
        <x:v>0.3</x:v>
      </x:c>
      <x:c r="L527" s="15" t="str">
        <x:v>keymed-v2-finite-assets-prorated-short-recognition</x:v>
      </x:c>
      <x:c r="M527" s="15" t="str">
        <x:v>2026-12-31</x:v>
      </x:c>
      <x:c r="N527" t="n">
        <x:f>CHOOSE($B$3,N528,N529,N530)</x:f>
        <x:v>1.65</x:v>
      </x:c>
      <x:c r="O527" t="str">
        <x:v>CNY</x:v>
      </x:c>
      <x:c r="Q527" t="n">
        <x:f>CHOOSE($B$3,Q528,Q529,Q530)</x:f>
        <x:v>0</x:v>
      </x:c>
      <x:c r="U527" t="n">
        <x:f>CHOOSE($B$3,U528,U529,U530)</x:f>
        <x:v>0.6</x:v>
      </x:c>
      <x:c r="V527" t="str">
        <x:v>2026-12-31</x:v>
      </x:c>
      <x:c r="W527" t="str">
        <x:v>待核</x:v>
      </x:c>
      <x:c r="X527" t="str">
        <x:v>周末已解析；节假日需交易所对应年度日历核验，实际交易日待核</x:v>
      </x:c>
    </x:row>
    <x:row r="528" ht="23" customHeight="1">
      <x:c r="A528" s="11" t="str">
        <x:v>02162.HK</x:v>
      </x:c>
      <x:c r="B528" s="11" t="str">
        <x:v>2026年底</x:v>
      </x:c>
      <x:c r="C528" s="11" t="str">
        <x:v>悲观</x:v>
      </x:c>
      <x:c r="D528" s="11" t="str">
        <x:v>收入利润率</x:v>
      </x:c>
      <x:c r="E528" s="18" t="n">
        <x:v>0</x:v>
      </x:c>
      <x:c r="F528" s="18" t="n">
        <x:v>0</x:v>
      </x:c>
      <x:c r="G528" s="18" t="n">
        <x:v>1.1</x:v>
      </x:c>
      <x:c r="H528" s="18" t="n">
        <x:v>0</x:v>
      </x:c>
      <x:c r="I528" s="18" t="n">
        <x:v>0</x:v>
      </x:c>
      <x:c r="J528" s="20" t="n">
        <x:v>0</x:v>
      </x:c>
      <x:c r="K528" s="22" t="n">
        <x:v>0.302</x:v>
      </x:c>
      <x:c r="L528" s="11" t="str">
        <x:v>keymed-v2-finite-assets-prorated-short-recognition</x:v>
      </x:c>
      <x:c r="M528" s="11" t="str">
        <x:v>2026-12-31</x:v>
      </x:c>
      <x:c r="N528" s="42" t="n">
        <x:v>1.15</x:v>
      </x:c>
      <x:c r="O528" t="str">
        <x:v>CNY</x:v>
      </x:c>
      <x:c r="Q528" s="42" t="n">
        <x:v>0</x:v>
      </x:c>
      <x:c r="U528" s="42" t="n">
        <x:v>0.35</x:v>
      </x:c>
      <x:c r="V528" t="str">
        <x:v>2026-12-31</x:v>
      </x:c>
      <x:c r="W528" t="str">
        <x:v>待核</x:v>
      </x:c>
      <x:c r="X528" t="str">
        <x:v>周末已解析；节假日需交易所对应年度日历核验，实际交易日待核</x:v>
      </x:c>
    </x:row>
    <x:row r="529" ht="23" customHeight="1">
      <x:c r="A529" s="11" t="str">
        <x:v>02162.HK</x:v>
      </x:c>
      <x:c r="B529" s="11" t="str">
        <x:v>2026年底</x:v>
      </x:c>
      <x:c r="C529" s="11" t="str">
        <x:v>基准</x:v>
      </x:c>
      <x:c r="D529" s="11" t="str">
        <x:v>收入利润率</x:v>
      </x:c>
      <x:c r="E529" s="18" t="n">
        <x:v>0</x:v>
      </x:c>
      <x:c r="F529" s="18" t="n">
        <x:v>0</x:v>
      </x:c>
      <x:c r="G529" s="18" t="n">
        <x:v>1.1</x:v>
      </x:c>
      <x:c r="H529" s="18" t="n">
        <x:v>0</x:v>
      </x:c>
      <x:c r="I529" s="18" t="n">
        <x:v>0</x:v>
      </x:c>
      <x:c r="J529" s="20" t="n">
        <x:v>0</x:v>
      </x:c>
      <x:c r="K529" s="22" t="n">
        <x:v>0.3</x:v>
      </x:c>
      <x:c r="L529" s="11" t="str">
        <x:v>keymed-v2-finite-assets-prorated-short-recognition</x:v>
      </x:c>
      <x:c r="M529" s="11" t="str">
        <x:v>2026-12-31</x:v>
      </x:c>
      <x:c r="N529" s="42" t="n">
        <x:v>1.65</x:v>
      </x:c>
      <x:c r="O529" t="str">
        <x:v>CNY</x:v>
      </x:c>
      <x:c r="Q529" s="42" t="n">
        <x:v>0</x:v>
      </x:c>
      <x:c r="U529" s="42" t="n">
        <x:v>0.6</x:v>
      </x:c>
      <x:c r="V529" t="str">
        <x:v>2026-12-31</x:v>
      </x:c>
      <x:c r="W529" t="str">
        <x:v>待核</x:v>
      </x:c>
      <x:c r="X529" t="str">
        <x:v>周末已解析；节假日需交易所对应年度日历核验，实际交易日待核</x:v>
      </x:c>
    </x:row>
    <x:row r="530" ht="23" customHeight="1">
      <x:c r="A530" s="11" t="str">
        <x:v>02162.HK</x:v>
      </x:c>
      <x:c r="B530" s="11" t="str">
        <x:v>2026年底</x:v>
      </x:c>
      <x:c r="C530" s="11" t="str">
        <x:v>乐观</x:v>
      </x:c>
      <x:c r="D530" s="11" t="str">
        <x:v>收入利润率</x:v>
      </x:c>
      <x:c r="E530" s="18" t="n">
        <x:v>0</x:v>
      </x:c>
      <x:c r="F530" s="18" t="n">
        <x:v>0</x:v>
      </x:c>
      <x:c r="G530" s="18" t="n">
        <x:v>1.1</x:v>
      </x:c>
      <x:c r="H530" s="18" t="n">
        <x:v>0</x:v>
      </x:c>
      <x:c r="I530" s="18" t="n">
        <x:v>0</x:v>
      </x:c>
      <x:c r="J530" s="20" t="n">
        <x:v>0</x:v>
      </x:c>
      <x:c r="K530" s="22" t="n">
        <x:v>0.299</x:v>
      </x:c>
      <x:c r="L530" s="11" t="str">
        <x:v>keymed-v2-finite-assets-prorated-short-recognition</x:v>
      </x:c>
      <x:c r="M530" s="11" t="str">
        <x:v>2026-12-31</x:v>
      </x:c>
      <x:c r="N530" s="42" t="n">
        <x:v>1.85</x:v>
      </x:c>
      <x:c r="O530" t="str">
        <x:v>CNY</x:v>
      </x:c>
      <x:c r="Q530" s="42" t="n">
        <x:v>0</x:v>
      </x:c>
      <x:c r="U530" s="42" t="n">
        <x:v>0.25</x:v>
      </x:c>
      <x:c r="V530" t="str">
        <x:v>2026-12-31</x:v>
      </x:c>
      <x:c r="W530" t="str">
        <x:v>待核</x:v>
      </x:c>
      <x:c r="X530" t="str">
        <x:v>周末已解析；节假日需交易所对应年度日历核验，实际交易日待核</x:v>
      </x:c>
    </x:row>
    <x:row r="531" ht="23" customHeight="1">
      <x:c r="A531" s="15" t="str">
        <x:v>02162.HK</x:v>
      </x:c>
      <x:c r="B531" s="15" t="str">
        <x:v>半年</x:v>
      </x:c>
      <x:c r="C531" s="15" t="str">
        <x:v>活动输入</x:v>
      </x:c>
      <x:c r="D531" s="15" t="str">
        <x:v>收入利润率</x:v>
      </x:c>
      <x:c r="E531" s="17" t="n">
        <x:f>CHOOSE($B$3,E532,E533,E534)</x:f>
        <x:v>0</x:v>
      </x:c>
      <x:c r="F531" s="17" t="n">
        <x:f>CHOOSE($B$3,F532,F533,F534)</x:f>
        <x:v>0</x:v>
      </x:c>
      <x:c r="G531" s="17" t="n">
        <x:f>CHOOSE($B$3,G532,G533,G534)</x:f>
        <x:v>1.1</x:v>
      </x:c>
      <x:c r="H531" s="17" t="n">
        <x:f>CHOOSE($B$3,H532,H533,H534)</x:f>
        <x:v>0</x:v>
      </x:c>
      <x:c r="I531" s="17" t="n">
        <x:f>CHOOSE($B$3,I532,I533,I534)</x:f>
        <x:v>0</x:v>
      </x:c>
      <x:c r="J531" s="19" t="n">
        <x:f>CHOOSE($B$3,J532,J533,J534)</x:f>
        <x:v>0</x:v>
      </x:c>
      <x:c r="K531" s="21" t="n">
        <x:f>CHOOSE($B$3,K532,K533,K534)</x:f>
        <x:v>0.305</x:v>
      </x:c>
      <x:c r="L531" s="15" t="str">
        <x:v>keymed-v2-finite-assets-prorated-short-recognition</x:v>
      </x:c>
      <x:c r="M531" s="15" t="str">
        <x:v>2027-04-09</x:v>
      </x:c>
      <x:c r="N531" t="n">
        <x:f>CHOOSE($B$3,N532,N533,N534)</x:f>
        <x:v>1.55</x:v>
      </x:c>
      <x:c r="O531" t="str">
        <x:v>CNY</x:v>
      </x:c>
      <x:c r="Q531" t="n">
        <x:f>CHOOSE($B$3,Q532,Q533,Q534)</x:f>
        <x:v>0</x:v>
      </x:c>
      <x:c r="U531" t="n">
        <x:f>CHOOSE($B$3,U532,U533,U534)</x:f>
        <x:v>0.81</x:v>
      </x:c>
      <x:c r="V531" t="str">
        <x:v>2027-04-09</x:v>
      </x:c>
      <x:c r="W531" t="str">
        <x:v>待核</x:v>
      </x:c>
      <x:c r="X531" t="str">
        <x:v>周末已解析；节假日需交易所对应年度日历核验，实际交易日待核</x:v>
      </x:c>
    </x:row>
    <x:row r="532" ht="23" customHeight="1">
      <x:c r="A532" s="11" t="str">
        <x:v>02162.HK</x:v>
      </x:c>
      <x:c r="B532" s="11" t="str">
        <x:v>半年</x:v>
      </x:c>
      <x:c r="C532" s="11" t="str">
        <x:v>悲观</x:v>
      </x:c>
      <x:c r="D532" s="11" t="str">
        <x:v>收入利润率</x:v>
      </x:c>
      <x:c r="E532" s="18" t="n">
        <x:v>0</x:v>
      </x:c>
      <x:c r="F532" s="18" t="n">
        <x:v>0</x:v>
      </x:c>
      <x:c r="G532" s="18" t="n">
        <x:v>1.1</x:v>
      </x:c>
      <x:c r="H532" s="18" t="n">
        <x:v>0</x:v>
      </x:c>
      <x:c r="I532" s="18" t="n">
        <x:v>0</x:v>
      </x:c>
      <x:c r="J532" s="20" t="n">
        <x:v>0</x:v>
      </x:c>
      <x:c r="K532" s="22" t="n">
        <x:v>0.312</x:v>
      </x:c>
      <x:c r="L532" s="11" t="str">
        <x:v>keymed-v2-finite-assets-prorated-short-recognition</x:v>
      </x:c>
      <x:c r="M532" s="11" t="str">
        <x:v>2027-04-09</x:v>
      </x:c>
      <x:c r="N532" s="42" t="n">
        <x:v>0.9</x:v>
      </x:c>
      <x:c r="O532" t="str">
        <x:v>CNY</x:v>
      </x:c>
      <x:c r="Q532" s="42" t="n">
        <x:v>0</x:v>
      </x:c>
      <x:c r="U532" s="42" t="n">
        <x:v>0.65</x:v>
      </x:c>
      <x:c r="V532" t="str">
        <x:v>2027-04-09</x:v>
      </x:c>
      <x:c r="W532" t="str">
        <x:v>待核</x:v>
      </x:c>
      <x:c r="X532" t="str">
        <x:v>周末已解析；节假日需交易所对应年度日历核验，实际交易日待核</x:v>
      </x:c>
    </x:row>
    <x:row r="533" ht="23" customHeight="1">
      <x:c r="A533" s="11" t="str">
        <x:v>02162.HK</x:v>
      </x:c>
      <x:c r="B533" s="11" t="str">
        <x:v>半年</x:v>
      </x:c>
      <x:c r="C533" s="11" t="str">
        <x:v>基准</x:v>
      </x:c>
      <x:c r="D533" s="11" t="str">
        <x:v>收入利润率</x:v>
      </x:c>
      <x:c r="E533" s="18" t="n">
        <x:v>0</x:v>
      </x:c>
      <x:c r="F533" s="18" t="n">
        <x:v>0</x:v>
      </x:c>
      <x:c r="G533" s="18" t="n">
        <x:v>1.1</x:v>
      </x:c>
      <x:c r="H533" s="18" t="n">
        <x:v>0</x:v>
      </x:c>
      <x:c r="I533" s="18" t="n">
        <x:v>0</x:v>
      </x:c>
      <x:c r="J533" s="20" t="n">
        <x:v>0</x:v>
      </x:c>
      <x:c r="K533" s="22" t="n">
        <x:v>0.305</x:v>
      </x:c>
      <x:c r="L533" s="11" t="str">
        <x:v>keymed-v2-finite-assets-prorated-short-recognition</x:v>
      </x:c>
      <x:c r="M533" s="11" t="str">
        <x:v>2027-04-09</x:v>
      </x:c>
      <x:c r="N533" s="42" t="n">
        <x:v>1.55</x:v>
      </x:c>
      <x:c r="O533" t="str">
        <x:v>CNY</x:v>
      </x:c>
      <x:c r="Q533" s="42" t="n">
        <x:v>0</x:v>
      </x:c>
      <x:c r="U533" s="42" t="n">
        <x:v>0.81</x:v>
      </x:c>
      <x:c r="V533" t="str">
        <x:v>2027-04-09</x:v>
      </x:c>
      <x:c r="W533" t="str">
        <x:v>待核</x:v>
      </x:c>
      <x:c r="X533" t="str">
        <x:v>周末已解析；节假日需交易所对应年度日历核验，实际交易日待核</x:v>
      </x:c>
    </x:row>
    <x:row r="534" ht="23" customHeight="1">
      <x:c r="A534" s="11" t="str">
        <x:v>02162.HK</x:v>
      </x:c>
      <x:c r="B534" s="11" t="str">
        <x:v>半年</x:v>
      </x:c>
      <x:c r="C534" s="11" t="str">
        <x:v>乐观</x:v>
      </x:c>
      <x:c r="D534" s="11" t="str">
        <x:v>收入利润率</x:v>
      </x:c>
      <x:c r="E534" s="18" t="n">
        <x:v>0</x:v>
      </x:c>
      <x:c r="F534" s="18" t="n">
        <x:v>0</x:v>
      </x:c>
      <x:c r="G534" s="18" t="n">
        <x:v>1.1</x:v>
      </x:c>
      <x:c r="H534" s="18" t="n">
        <x:v>0</x:v>
      </x:c>
      <x:c r="I534" s="18" t="n">
        <x:v>0</x:v>
      </x:c>
      <x:c r="J534" s="20" t="n">
        <x:v>0</x:v>
      </x:c>
      <x:c r="K534" s="22" t="n">
        <x:v>0.301</x:v>
      </x:c>
      <x:c r="L534" s="11" t="str">
        <x:v>keymed-v2-finite-assets-prorated-short-recognition</x:v>
      </x:c>
      <x:c r="M534" s="11" t="str">
        <x:v>2027-04-09</x:v>
      </x:c>
      <x:c r="N534" s="42" t="n">
        <x:v>1.9</x:v>
      </x:c>
      <x:c r="O534" t="str">
        <x:v>CNY</x:v>
      </x:c>
      <x:c r="Q534" s="42" t="n">
        <x:v>0</x:v>
      </x:c>
      <x:c r="U534" s="42" t="n">
        <x:v>0.45</x:v>
      </x:c>
      <x:c r="V534" t="str">
        <x:v>2027-04-09</x:v>
      </x:c>
      <x:c r="W534" t="str">
        <x:v>待核</x:v>
      </x:c>
      <x:c r="X534" t="str">
        <x:v>周末已解析；节假日需交易所对应年度日历核验，实际交易日待核</x:v>
      </x:c>
    </x:row>
    <x:row r="535" ht="23" customHeight="1">
      <x:c r="A535" s="15" t="str">
        <x:v>02162.HK</x:v>
      </x:c>
      <x:c r="B535" s="15" t="str">
        <x:v>一年</x:v>
      </x:c>
      <x:c r="C535" s="15" t="str">
        <x:v>活动输入</x:v>
      </x:c>
      <x:c r="D535" s="15" t="str">
        <x:v>收入利润率</x:v>
      </x:c>
      <x:c r="E535" s="17" t="n">
        <x:f>CHOOSE($B$3,E536,E537,E538)</x:f>
        <x:v>0</x:v>
      </x:c>
      <x:c r="F535" s="17" t="n">
        <x:f>CHOOSE($B$3,F536,F537,F538)</x:f>
        <x:v>0</x:v>
      </x:c>
      <x:c r="G535" s="17" t="n">
        <x:f>CHOOSE($B$3,G536,G537,G538)</x:f>
        <x:v>1.1</x:v>
      </x:c>
      <x:c r="H535" s="17" t="n">
        <x:f>CHOOSE($B$3,H536,H537,H538)</x:f>
        <x:v>0</x:v>
      </x:c>
      <x:c r="I535" s="17" t="n">
        <x:f>CHOOSE($B$3,I536,I537,I538)</x:f>
        <x:v>0</x:v>
      </x:c>
      <x:c r="J535" s="19" t="n">
        <x:f>CHOOSE($B$3,J536,J537,J538)</x:f>
        <x:v>0</x:v>
      </x:c>
      <x:c r="K535" s="21" t="n">
        <x:f>CHOOSE($B$3,K536,K537,K538)</x:f>
        <x:v>0.32</x:v>
      </x:c>
      <x:c r="L535" s="15" t="str">
        <x:v>keymed-v2-finite-assets-prorated-short-recognition</x:v>
      </x:c>
      <x:c r="M535" s="15" t="str">
        <x:v>2027-10-09</x:v>
      </x:c>
      <x:c r="N535" t="n">
        <x:f>CHOOSE($B$3,N536,N537,N538)</x:f>
        <x:v>1.7</x:v>
      </x:c>
      <x:c r="O535" t="str">
        <x:v>CNY</x:v>
      </x:c>
      <x:c r="Q535" t="n">
        <x:f>CHOOSE($B$3,Q536,Q537,Q538)</x:f>
        <x:v>0</x:v>
      </x:c>
      <x:c r="U535" t="n">
        <x:f>CHOOSE($B$3,U536,U537,U538)</x:f>
        <x:v>1</x:v>
      </x:c>
      <x:c r="V535" t="str">
        <x:v>2027-10-08</x:v>
      </x:c>
      <x:c r="W535" t="str">
        <x:v>待核</x:v>
      </x:c>
      <x:c r="X535" t="str">
        <x:v>周末已解析；节假日需交易所对应年度日历核验，实际交易日待核</x:v>
      </x:c>
    </x:row>
    <x:row r="536" ht="23" customHeight="1">
      <x:c r="A536" s="11" t="str">
        <x:v>02162.HK</x:v>
      </x:c>
      <x:c r="B536" s="11" t="str">
        <x:v>一年</x:v>
      </x:c>
      <x:c r="C536" s="11" t="str">
        <x:v>悲观</x:v>
      </x:c>
      <x:c r="D536" s="11" t="str">
        <x:v>收入利润率</x:v>
      </x:c>
      <x:c r="E536" s="18" t="n">
        <x:v>0</x:v>
      </x:c>
      <x:c r="F536" s="18" t="n">
        <x:v>0</x:v>
      </x:c>
      <x:c r="G536" s="18" t="n">
        <x:v>1.1</x:v>
      </x:c>
      <x:c r="H536" s="18" t="n">
        <x:v>0</x:v>
      </x:c>
      <x:c r="I536" s="18" t="n">
        <x:v>0</x:v>
      </x:c>
      <x:c r="J536" s="20" t="n">
        <x:v>0</x:v>
      </x:c>
      <x:c r="K536" s="22" t="n">
        <x:v>0.34</x:v>
      </x:c>
      <x:c r="L536" s="11" t="str">
        <x:v>keymed-v2-finite-assets-prorated-short-recognition</x:v>
      </x:c>
      <x:c r="M536" s="11" t="str">
        <x:v>2027-10-09</x:v>
      </x:c>
      <x:c r="N536" s="42" t="n">
        <x:v>0.55</x:v>
      </x:c>
      <x:c r="O536" t="str">
        <x:v>CNY</x:v>
      </x:c>
      <x:c r="Q536" s="42" t="n">
        <x:v>0</x:v>
      </x:c>
      <x:c r="U536" s="42" t="n">
        <x:v>0.9</x:v>
      </x:c>
      <x:c r="V536" t="str">
        <x:v>2027-10-08</x:v>
      </x:c>
      <x:c r="W536" t="str">
        <x:v>待核</x:v>
      </x:c>
      <x:c r="X536" t="str">
        <x:v>周末已解析；节假日需交易所对应年度日历核验，实际交易日待核</x:v>
      </x:c>
    </x:row>
    <x:row r="537" ht="23" customHeight="1">
      <x:c r="A537" s="11" t="str">
        <x:v>02162.HK</x:v>
      </x:c>
      <x:c r="B537" s="11" t="str">
        <x:v>一年</x:v>
      </x:c>
      <x:c r="C537" s="11" t="str">
        <x:v>基准</x:v>
      </x:c>
      <x:c r="D537" s="11" t="str">
        <x:v>收入利润率</x:v>
      </x:c>
      <x:c r="E537" s="18" t="n">
        <x:v>0</x:v>
      </x:c>
      <x:c r="F537" s="18" t="n">
        <x:v>0</x:v>
      </x:c>
      <x:c r="G537" s="18" t="n">
        <x:v>1.1</x:v>
      </x:c>
      <x:c r="H537" s="18" t="n">
        <x:v>0</x:v>
      </x:c>
      <x:c r="I537" s="18" t="n">
        <x:v>0</x:v>
      </x:c>
      <x:c r="J537" s="20" t="n">
        <x:v>0</x:v>
      </x:c>
      <x:c r="K537" s="22" t="n">
        <x:v>0.32</x:v>
      </x:c>
      <x:c r="L537" s="11" t="str">
        <x:v>keymed-v2-finite-assets-prorated-short-recognition</x:v>
      </x:c>
      <x:c r="M537" s="11" t="str">
        <x:v>2027-10-09</x:v>
      </x:c>
      <x:c r="N537" s="42" t="n">
        <x:v>1.7</x:v>
      </x:c>
      <x:c r="O537" t="str">
        <x:v>CNY</x:v>
      </x:c>
      <x:c r="Q537" s="42" t="n">
        <x:v>0</x:v>
      </x:c>
      <x:c r="U537" s="42" t="n">
        <x:v>1</x:v>
      </x:c>
      <x:c r="V537" t="str">
        <x:v>2027-10-08</x:v>
      </x:c>
      <x:c r="W537" t="str">
        <x:v>待核</x:v>
      </x:c>
      <x:c r="X537" t="str">
        <x:v>周末已解析；节假日需交易所对应年度日历核验，实际交易日待核</x:v>
      </x:c>
    </x:row>
    <x:row r="538" ht="23" customHeight="1">
      <x:c r="A538" s="11" t="str">
        <x:v>02162.HK</x:v>
      </x:c>
      <x:c r="B538" s="11" t="str">
        <x:v>一年</x:v>
      </x:c>
      <x:c r="C538" s="11" t="str">
        <x:v>乐观</x:v>
      </x:c>
      <x:c r="D538" s="11" t="str">
        <x:v>收入利润率</x:v>
      </x:c>
      <x:c r="E538" s="18" t="n">
        <x:v>0</x:v>
      </x:c>
      <x:c r="F538" s="18" t="n">
        <x:v>0</x:v>
      </x:c>
      <x:c r="G538" s="18" t="n">
        <x:v>1.1</x:v>
      </x:c>
      <x:c r="H538" s="18" t="n">
        <x:v>0</x:v>
      </x:c>
      <x:c r="I538" s="18" t="n">
        <x:v>0</x:v>
      </x:c>
      <x:c r="J538" s="20" t="n">
        <x:v>0</x:v>
      </x:c>
      <x:c r="K538" s="22" t="n">
        <x:v>0.307</x:v>
      </x:c>
      <x:c r="L538" s="11" t="str">
        <x:v>keymed-v2-finite-assets-prorated-short-recognition</x:v>
      </x:c>
      <x:c r="M538" s="11" t="str">
        <x:v>2027-10-09</x:v>
      </x:c>
      <x:c r="N538" s="42" t="n">
        <x:v>2.35</x:v>
      </x:c>
      <x:c r="O538" t="str">
        <x:v>CNY</x:v>
      </x:c>
      <x:c r="Q538" s="42" t="n">
        <x:v>0</x:v>
      </x:c>
      <x:c r="U538" s="42" t="n">
        <x:v>0.75</x:v>
      </x:c>
      <x:c r="V538" t="str">
        <x:v>2027-10-08</x:v>
      </x:c>
      <x:c r="W538" t="str">
        <x:v>待核</x:v>
      </x:c>
      <x:c r="X538" t="str">
        <x:v>周末已解析；节假日需交易所对应年度日历核验，实际交易日待核</x:v>
      </x:c>
    </x:row>
    <x:row r="539" ht="23" customHeight="1">
      <x:c r="A539" s="15" t="str">
        <x:v>02162.HK</x:v>
      </x:c>
      <x:c r="B539" s="15" t="str">
        <x:v>三年</x:v>
      </x:c>
      <x:c r="C539" s="15" t="str">
        <x:v>活动输入</x:v>
      </x:c>
      <x:c r="D539" s="15" t="str">
        <x:v>收入利润率</x:v>
      </x:c>
      <x:c r="E539" s="17" t="n">
        <x:f>CHOOSE($B$3,E540,E541,E542)</x:f>
        <x:v>0</x:v>
      </x:c>
      <x:c r="F539" s="17" t="n">
        <x:f>CHOOSE($B$3,F540,F541,F542)</x:f>
        <x:v>0</x:v>
      </x:c>
      <x:c r="G539" s="17" t="n">
        <x:f>CHOOSE($B$3,G540,G541,G542)</x:f>
        <x:v>1.1</x:v>
      </x:c>
      <x:c r="H539" s="17" t="n">
        <x:f>CHOOSE($B$3,H540,H541,H542)</x:f>
        <x:v>0</x:v>
      </x:c>
      <x:c r="I539" s="17" t="n">
        <x:f>CHOOSE($B$3,I540,I541,I542)</x:f>
        <x:v>0</x:v>
      </x:c>
      <x:c r="J539" s="19" t="n">
        <x:f>CHOOSE($B$3,J540,J541,J542)</x:f>
        <x:v>0</x:v>
      </x:c>
      <x:c r="K539" s="21" t="n">
        <x:f>CHOOSE($B$3,K540,K541,K542)</x:f>
        <x:v>0.35</x:v>
      </x:c>
      <x:c r="L539" s="15" t="str">
        <x:v>keymed-v2-finite-assets-prorated-short-recognition</x:v>
      </x:c>
      <x:c r="M539" s="15" t="str">
        <x:v>2029-10-09</x:v>
      </x:c>
      <x:c r="N539" t="n">
        <x:f>CHOOSE($B$3,N540,N541,N542)</x:f>
        <x:v>2.3</x:v>
      </x:c>
      <x:c r="O539" t="str">
        <x:v>CNY</x:v>
      </x:c>
      <x:c r="Q539" t="n">
        <x:f>CHOOSE($B$3,Q540,Q541,Q542)</x:f>
        <x:v>0</x:v>
      </x:c>
      <x:c r="U539" t="n">
        <x:f>CHOOSE($B$3,U540,U541,U542)</x:f>
        <x:v>1</x:v>
      </x:c>
      <x:c r="V539" t="str">
        <x:v>2029-10-09</x:v>
      </x:c>
      <x:c r="W539" t="str">
        <x:v>待核</x:v>
      </x:c>
      <x:c r="X539" t="str">
        <x:v>周末已解析；节假日需交易所对应年度日历核验，实际交易日待核</x:v>
      </x:c>
    </x:row>
    <x:row r="540" ht="23" customHeight="1">
      <x:c r="A540" s="11" t="str">
        <x:v>02162.HK</x:v>
      </x:c>
      <x:c r="B540" s="11" t="str">
        <x:v>三年</x:v>
      </x:c>
      <x:c r="C540" s="11" t="str">
        <x:v>悲观</x:v>
      </x:c>
      <x:c r="D540" s="11" t="str">
        <x:v>收入利润率</x:v>
      </x:c>
      <x:c r="E540" s="18" t="n">
        <x:v>0</x:v>
      </x:c>
      <x:c r="F540" s="18" t="n">
        <x:v>0</x:v>
      </x:c>
      <x:c r="G540" s="18" t="n">
        <x:v>1.1</x:v>
      </x:c>
      <x:c r="H540" s="18" t="n">
        <x:v>0</x:v>
      </x:c>
      <x:c r="I540" s="18" t="n">
        <x:v>0</x:v>
      </x:c>
      <x:c r="J540" s="20" t="n">
        <x:v>0</x:v>
      </x:c>
      <x:c r="K540" s="22" t="n">
        <x:v>0.395</x:v>
      </x:c>
      <x:c r="L540" s="11" t="str">
        <x:v>keymed-v2-finite-assets-prorated-short-recognition</x:v>
      </x:c>
      <x:c r="M540" s="11" t="str">
        <x:v>2029-10-09</x:v>
      </x:c>
      <x:c r="N540" s="42" t="n">
        <x:v>-0.2</x:v>
      </x:c>
      <x:c r="O540" t="str">
        <x:v>CNY</x:v>
      </x:c>
      <x:c r="Q540" s="42" t="n">
        <x:v>0</x:v>
      </x:c>
      <x:c r="U540" s="42" t="n">
        <x:v>1</x:v>
      </x:c>
      <x:c r="V540" t="str">
        <x:v>2029-10-09</x:v>
      </x:c>
      <x:c r="W540" t="str">
        <x:v>待核</x:v>
      </x:c>
      <x:c r="X540" t="str">
        <x:v>周末已解析；节假日需交易所对应年度日历核验，实际交易日待核</x:v>
      </x:c>
    </x:row>
    <x:row r="541" ht="23" customHeight="1">
      <x:c r="A541" s="11" t="str">
        <x:v>02162.HK</x:v>
      </x:c>
      <x:c r="B541" s="11" t="str">
        <x:v>三年</x:v>
      </x:c>
      <x:c r="C541" s="11" t="str">
        <x:v>基准</x:v>
      </x:c>
      <x:c r="D541" s="11" t="str">
        <x:v>收入利润率</x:v>
      </x:c>
      <x:c r="E541" s="18" t="n">
        <x:v>0</x:v>
      </x:c>
      <x:c r="F541" s="18" t="n">
        <x:v>0</x:v>
      </x:c>
      <x:c r="G541" s="18" t="n">
        <x:v>1.1</x:v>
      </x:c>
      <x:c r="H541" s="18" t="n">
        <x:v>0</x:v>
      </x:c>
      <x:c r="I541" s="18" t="n">
        <x:v>0</x:v>
      </x:c>
      <x:c r="J541" s="20" t="n">
        <x:v>0</x:v>
      </x:c>
      <x:c r="K541" s="22" t="n">
        <x:v>0.35</x:v>
      </x:c>
      <x:c r="L541" s="11" t="str">
        <x:v>keymed-v2-finite-assets-prorated-short-recognition</x:v>
      </x:c>
      <x:c r="M541" s="11" t="str">
        <x:v>2029-10-09</x:v>
      </x:c>
      <x:c r="N541" s="42" t="n">
        <x:v>2.3</x:v>
      </x:c>
      <x:c r="O541" t="str">
        <x:v>CNY</x:v>
      </x:c>
      <x:c r="Q541" s="42" t="n">
        <x:v>0</x:v>
      </x:c>
      <x:c r="U541" s="42" t="n">
        <x:v>1</x:v>
      </x:c>
      <x:c r="V541" t="str">
        <x:v>2029-10-09</x:v>
      </x:c>
      <x:c r="W541" t="str">
        <x:v>待核</x:v>
      </x:c>
      <x:c r="X541" t="str">
        <x:v>周末已解析；节假日需交易所对应年度日历核验，实际交易日待核</x:v>
      </x:c>
    </x:row>
    <x:row r="542" ht="23" customHeight="1">
      <x:c r="A542" s="11" t="str">
        <x:v>02162.HK</x:v>
      </x:c>
      <x:c r="B542" s="11" t="str">
        <x:v>三年</x:v>
      </x:c>
      <x:c r="C542" s="11" t="str">
        <x:v>乐观</x:v>
      </x:c>
      <x:c r="D542" s="11" t="str">
        <x:v>收入利润率</x:v>
      </x:c>
      <x:c r="E542" s="18" t="n">
        <x:v>0</x:v>
      </x:c>
      <x:c r="F542" s="18" t="n">
        <x:v>0</x:v>
      </x:c>
      <x:c r="G542" s="18" t="n">
        <x:v>1.1</x:v>
      </x:c>
      <x:c r="H542" s="18" t="n">
        <x:v>0</x:v>
      </x:c>
      <x:c r="I542" s="18" t="n">
        <x:v>0</x:v>
      </x:c>
      <x:c r="J542" s="20" t="n">
        <x:v>0</x:v>
      </x:c>
      <x:c r="K542" s="22" t="n">
        <x:v>0.325</x:v>
      </x:c>
      <x:c r="L542" s="11" t="str">
        <x:v>keymed-v2-finite-assets-prorated-short-recognition</x:v>
      </x:c>
      <x:c r="M542" s="11" t="str">
        <x:v>2029-10-09</x:v>
      </x:c>
      <x:c r="N542" s="42" t="n">
        <x:v>5</x:v>
      </x:c>
      <x:c r="O542" t="str">
        <x:v>CNY</x:v>
      </x:c>
      <x:c r="Q542" s="42" t="n">
        <x:v>0</x:v>
      </x:c>
      <x:c r="U542" s="42" t="n">
        <x:v>1</x:v>
      </x:c>
      <x:c r="V542" t="str">
        <x:v>2029-10-09</x:v>
      </x:c>
      <x:c r="W542" t="str">
        <x:v>待核</x:v>
      </x:c>
      <x:c r="X542" t="str">
        <x:v>周末已解析；节假日需交易所对应年度日历核验，实际交易日待核</x:v>
      </x:c>
    </x:row>
    <x:row r="543" ht="23" customHeight="1">
      <x:c r="A543" s="15" t="str">
        <x:v>02162.HK</x:v>
      </x:c>
      <x:c r="B543" s="15" t="str">
        <x:v>五年</x:v>
      </x:c>
      <x:c r="C543" s="15" t="str">
        <x:v>活动输入</x:v>
      </x:c>
      <x:c r="D543" s="15" t="str">
        <x:v>收入利润率</x:v>
      </x:c>
      <x:c r="E543" s="17" t="n">
        <x:f>CHOOSE($B$3,E544,E545,E546)</x:f>
        <x:v>0</x:v>
      </x:c>
      <x:c r="F543" s="17" t="n">
        <x:f>CHOOSE($B$3,F544,F545,F546)</x:f>
        <x:v>0</x:v>
      </x:c>
      <x:c r="G543" s="17" t="n">
        <x:f>CHOOSE($B$3,G544,G545,G546)</x:f>
        <x:v>1.1</x:v>
      </x:c>
      <x:c r="H543" s="17" t="n">
        <x:f>CHOOSE($B$3,H544,H545,H546)</x:f>
        <x:v>0</x:v>
      </x:c>
      <x:c r="I543" s="17" t="n">
        <x:f>CHOOSE($B$3,I544,I545,I546)</x:f>
        <x:v>0</x:v>
      </x:c>
      <x:c r="J543" s="19" t="n">
        <x:f>CHOOSE($B$3,J544,J545,J546)</x:f>
        <x:v>0</x:v>
      </x:c>
      <x:c r="K543" s="21" t="n">
        <x:f>CHOOSE($B$3,K544,K545,K546)</x:f>
        <x:v>0.38</x:v>
      </x:c>
      <x:c r="L543" s="15" t="str">
        <x:v>keymed-v2-finite-assets-prorated-short-recognition</x:v>
      </x:c>
      <x:c r="M543" s="15" t="str">
        <x:v>2031-10-09</x:v>
      </x:c>
      <x:c r="N543" t="n">
        <x:f>CHOOSE($B$3,N544,N545,N546)</x:f>
        <x:v>4.5</x:v>
      </x:c>
      <x:c r="O543" t="str">
        <x:v>CNY</x:v>
      </x:c>
      <x:c r="Q543" t="n">
        <x:f>CHOOSE($B$3,Q544,Q545,Q546)</x:f>
        <x:v>0</x:v>
      </x:c>
      <x:c r="U543" t="n">
        <x:f>CHOOSE($B$3,U544,U545,U546)</x:f>
        <x:v>1</x:v>
      </x:c>
      <x:c r="V543" t="str">
        <x:v>2031-10-09</x:v>
      </x:c>
      <x:c r="W543" t="str">
        <x:v>待核</x:v>
      </x:c>
      <x:c r="X543" t="str">
        <x:v>周末已解析；节假日需交易所对应年度日历核验，实际交易日待核</x:v>
      </x:c>
    </x:row>
    <x:row r="544" ht="23" customHeight="1">
      <x:c r="A544" s="11" t="str">
        <x:v>02162.HK</x:v>
      </x:c>
      <x:c r="B544" s="11" t="str">
        <x:v>五年</x:v>
      </x:c>
      <x:c r="C544" s="11" t="str">
        <x:v>悲观</x:v>
      </x:c>
      <x:c r="D544" s="11" t="str">
        <x:v>收入利润率</x:v>
      </x:c>
      <x:c r="E544" s="18" t="n">
        <x:v>0</x:v>
      </x:c>
      <x:c r="F544" s="18" t="n">
        <x:v>0</x:v>
      </x:c>
      <x:c r="G544" s="18" t="n">
        <x:v>1.1</x:v>
      </x:c>
      <x:c r="H544" s="18" t="n">
        <x:v>0</x:v>
      </x:c>
      <x:c r="I544" s="18" t="n">
        <x:v>0</x:v>
      </x:c>
      <x:c r="J544" s="20" t="n">
        <x:v>0</x:v>
      </x:c>
      <x:c r="K544" s="22" t="n">
        <x:v>0.45</x:v>
      </x:c>
      <x:c r="L544" s="11" t="str">
        <x:v>keymed-v2-finite-assets-prorated-short-recognition</x:v>
      </x:c>
      <x:c r="M544" s="11" t="str">
        <x:v>2031-10-09</x:v>
      </x:c>
      <x:c r="N544" s="42" t="n">
        <x:v>-0.8</x:v>
      </x:c>
      <x:c r="O544" t="str">
        <x:v>CNY</x:v>
      </x:c>
      <x:c r="Q544" s="42" t="n">
        <x:v>0</x:v>
      </x:c>
      <x:c r="U544" s="42" t="n">
        <x:v>1</x:v>
      </x:c>
      <x:c r="V544" t="str">
        <x:v>2031-10-09</x:v>
      </x:c>
      <x:c r="W544" t="str">
        <x:v>待核</x:v>
      </x:c>
      <x:c r="X544" t="str">
        <x:v>周末已解析；节假日需交易所对应年度日历核验，实际交易日待核</x:v>
      </x:c>
    </x:row>
    <x:row r="545" ht="23" customHeight="1">
      <x:c r="A545" s="11" t="str">
        <x:v>02162.HK</x:v>
      </x:c>
      <x:c r="B545" s="11" t="str">
        <x:v>五年</x:v>
      </x:c>
      <x:c r="C545" s="11" t="str">
        <x:v>基准</x:v>
      </x:c>
      <x:c r="D545" s="11" t="str">
        <x:v>收入利润率</x:v>
      </x:c>
      <x:c r="E545" s="18" t="n">
        <x:v>0</x:v>
      </x:c>
      <x:c r="F545" s="18" t="n">
        <x:v>0</x:v>
      </x:c>
      <x:c r="G545" s="18" t="n">
        <x:v>1.1</x:v>
      </x:c>
      <x:c r="H545" s="18" t="n">
        <x:v>0</x:v>
      </x:c>
      <x:c r="I545" s="18" t="n">
        <x:v>0</x:v>
      </x:c>
      <x:c r="J545" s="20" t="n">
        <x:v>0</x:v>
      </x:c>
      <x:c r="K545" s="22" t="n">
        <x:v>0.38</x:v>
      </x:c>
      <x:c r="L545" s="11" t="str">
        <x:v>keymed-v2-finite-assets-prorated-short-recognition</x:v>
      </x:c>
      <x:c r="M545" s="11" t="str">
        <x:v>2031-10-09</x:v>
      </x:c>
      <x:c r="N545" s="42" t="n">
        <x:v>4.5</x:v>
      </x:c>
      <x:c r="O545" t="str">
        <x:v>CNY</x:v>
      </x:c>
      <x:c r="Q545" s="42" t="n">
        <x:v>0</x:v>
      </x:c>
      <x:c r="U545" s="42" t="n">
        <x:v>1</x:v>
      </x:c>
      <x:c r="V545" t="str">
        <x:v>2031-10-09</x:v>
      </x:c>
      <x:c r="W545" t="str">
        <x:v>待核</x:v>
      </x:c>
      <x:c r="X545" t="str">
        <x:v>周末已解析；节假日需交易所对应年度日历核验，实际交易日待核</x:v>
      </x:c>
    </x:row>
    <x:row r="546" ht="23" customHeight="1">
      <x:c r="A546" s="11" t="str">
        <x:v>02162.HK</x:v>
      </x:c>
      <x:c r="B546" s="11" t="str">
        <x:v>五年</x:v>
      </x:c>
      <x:c r="C546" s="11" t="str">
        <x:v>乐观</x:v>
      </x:c>
      <x:c r="D546" s="11" t="str">
        <x:v>收入利润率</x:v>
      </x:c>
      <x:c r="E546" s="18" t="n">
        <x:v>0</x:v>
      </x:c>
      <x:c r="F546" s="18" t="n">
        <x:v>0</x:v>
      </x:c>
      <x:c r="G546" s="18" t="n">
        <x:v>1.1</x:v>
      </x:c>
      <x:c r="H546" s="18" t="n">
        <x:v>0</x:v>
      </x:c>
      <x:c r="I546" s="18" t="n">
        <x:v>0</x:v>
      </x:c>
      <x:c r="J546" s="20" t="n">
        <x:v>0</x:v>
      </x:c>
      <x:c r="K546" s="22" t="n">
        <x:v>0.345</x:v>
      </x:c>
      <x:c r="L546" s="11" t="str">
        <x:v>keymed-v2-finite-assets-prorated-short-recognition</x:v>
      </x:c>
      <x:c r="M546" s="11" t="str">
        <x:v>2031-10-09</x:v>
      </x:c>
      <x:c r="N546" s="42" t="n">
        <x:v>9</x:v>
      </x:c>
      <x:c r="O546" t="str">
        <x:v>CNY</x:v>
      </x:c>
      <x:c r="Q546" s="42" t="n">
        <x:v>0</x:v>
      </x:c>
      <x:c r="U546" s="42" t="n">
        <x:v>1</x:v>
      </x:c>
      <x:c r="V546" t="str">
        <x:v>2031-10-09</x:v>
      </x:c>
      <x:c r="W546" t="str">
        <x:v>待核</x:v>
      </x:c>
      <x:c r="X546" t="str">
        <x:v>周末已解析；节假日需交易所对应年度日历核验，实际交易日待核</x:v>
      </x:c>
    </x:row>
    <x:row r="547" ht="23" customHeight="1">
      <x:c r="A547" s="15" t="str">
        <x:v>00268.HK</x:v>
      </x:c>
      <x:c r="B547" s="15" t="str">
        <x:v>2026年底</x:v>
      </x:c>
      <x:c r="C547" s="15" t="str">
        <x:v>活动输入</x:v>
      </x:c>
      <x:c r="D547" s="15" t="str">
        <x:v>EPS</x:v>
      </x:c>
      <x:c r="E547" s="17" t="n">
        <x:f>CHOOSE($B$3,E548,E549,E550)</x:f>
        <x:v>0.03661</x:v>
      </x:c>
      <x:c r="F547" s="17" t="n">
        <x:f>CHOOSE($B$3,F548,F549,F550)</x:f>
        <x:v>12</x:v>
      </x:c>
      <x:c r="G547" s="17" t="n">
        <x:f>CHOOSE($B$3,G548,G549,G550)</x:f>
        <x:v>1.1</x:v>
      </x:c>
      <x:c r="H547" s="17" t="n">
        <x:f>CHOOSE($B$3,H548,H549,H550)</x:f>
        <x:v>0</x:v>
      </x:c>
      <x:c r="I547" s="17" t="str">
        <x:f>CHOOSE($B$3,I548,I549,I550)</x:f>
      </x:c>
      <x:c r="J547" s="19" t="str">
        <x:f>CHOOSE($B$3,J548,J549,J550)</x:f>
      </x:c>
      <x:c r="K547" s="21" t="str">
        <x:f>CHOOSE($B$3,K548,K549,K550)</x:f>
      </x:c>
      <x:c r="L547" s="15" t="str">
        <x:v>kingdee-cloud-evsales-cash-reserve-v1.0</x:v>
      </x:c>
      <x:c r="M547" s="15" t="str">
        <x:v>2026-12-31</x:v>
      </x:c>
      <x:c r="O547" t="str">
        <x:v>CNY</x:v>
      </x:c>
      <x:c r="V547" t="str">
        <x:v>2026-12-31</x:v>
      </x:c>
      <x:c r="W547" t="str">
        <x:v>待核</x:v>
      </x:c>
      <x:c r="X547" t="str">
        <x:v>周末已解析；节假日需交易所对应年度日历核验，实际交易日待核</x:v>
      </x:c>
    </x:row>
    <x:row r="548" ht="23" customHeight="1">
      <x:c r="A548" s="11" t="str">
        <x:v>00268.HK</x:v>
      </x:c>
      <x:c r="B548" s="11" t="str">
        <x:v>2026年底</x:v>
      </x:c>
      <x:c r="C548" s="11" t="str">
        <x:v>悲观</x:v>
      </x:c>
      <x:c r="D548" s="11" t="str">
        <x:v>EPS</x:v>
      </x:c>
      <x:c r="E548" s="18" t="n">
        <x:v>0.017582</x:v>
      </x:c>
      <x:c r="F548" s="18" t="n">
        <x:v>8</x:v>
      </x:c>
      <x:c r="G548" s="18" t="n">
        <x:v>1.1</x:v>
      </x:c>
      <x:c r="H548" s="18" t="n">
        <x:v>0</x:v>
      </x:c>
      <x:c r="I548" s="18"/>
      <x:c r="J548" s="20"/>
      <x:c r="K548" s="22"/>
      <x:c r="L548" s="11" t="str">
        <x:v>kingdee-cloud-evsales-cash-reserve-v1.0</x:v>
      </x:c>
      <x:c r="M548" s="11" t="str">
        <x:v>2026-12-31</x:v>
      </x:c>
      <x:c r="O548" t="str">
        <x:v>CNY</x:v>
      </x:c>
      <x:c r="V548" t="str">
        <x:v>2026-12-31</x:v>
      </x:c>
      <x:c r="W548" t="str">
        <x:v>待核</x:v>
      </x:c>
      <x:c r="X548" t="str">
        <x:v>周末已解析；节假日需交易所对应年度日历核验，实际交易日待核</x:v>
      </x:c>
    </x:row>
    <x:row r="549" ht="23" customHeight="1">
      <x:c r="A549" s="11" t="str">
        <x:v>00268.HK</x:v>
      </x:c>
      <x:c r="B549" s="11" t="str">
        <x:v>2026年底</x:v>
      </x:c>
      <x:c r="C549" s="11" t="str">
        <x:v>基准</x:v>
      </x:c>
      <x:c r="D549" s="11" t="str">
        <x:v>EPS</x:v>
      </x:c>
      <x:c r="E549" s="18" t="n">
        <x:v>0.03661</x:v>
      </x:c>
      <x:c r="F549" s="18" t="n">
        <x:v>12</x:v>
      </x:c>
      <x:c r="G549" s="18" t="n">
        <x:v>1.1</x:v>
      </x:c>
      <x:c r="H549" s="18" t="n">
        <x:v>0</x:v>
      </x:c>
      <x:c r="I549" s="18"/>
      <x:c r="J549" s="20"/>
      <x:c r="K549" s="22"/>
      <x:c r="L549" s="11" t="str">
        <x:v>kingdee-cloud-evsales-cash-reserve-v1.0</x:v>
      </x:c>
      <x:c r="M549" s="11" t="str">
        <x:v>2026-12-31</x:v>
      </x:c>
      <x:c r="O549" t="str">
        <x:v>CNY</x:v>
      </x:c>
      <x:c r="V549" t="str">
        <x:v>2026-12-31</x:v>
      </x:c>
      <x:c r="W549" t="str">
        <x:v>待核</x:v>
      </x:c>
      <x:c r="X549" t="str">
        <x:v>周末已解析；节假日需交易所对应年度日历核验，实际交易日待核</x:v>
      </x:c>
    </x:row>
    <x:row r="550" ht="23" customHeight="1">
      <x:c r="A550" s="11" t="str">
        <x:v>00268.HK</x:v>
      </x:c>
      <x:c r="B550" s="11" t="str">
        <x:v>2026年底</x:v>
      </x:c>
      <x:c r="C550" s="11" t="str">
        <x:v>乐观</x:v>
      </x:c>
      <x:c r="D550" s="11" t="str">
        <x:v>EPS</x:v>
      </x:c>
      <x:c r="E550" s="18" t="n">
        <x:v>0.049801</x:v>
      </x:c>
      <x:c r="F550" s="18" t="n">
        <x:v>15</x:v>
      </x:c>
      <x:c r="G550" s="18" t="n">
        <x:v>1.1</x:v>
      </x:c>
      <x:c r="H550" s="18" t="n">
        <x:v>0</x:v>
      </x:c>
      <x:c r="I550" s="18"/>
      <x:c r="J550" s="20"/>
      <x:c r="K550" s="22"/>
      <x:c r="L550" s="11" t="str">
        <x:v>kingdee-cloud-evsales-cash-reserve-v1.0</x:v>
      </x:c>
      <x:c r="M550" s="11" t="str">
        <x:v>2026-12-31</x:v>
      </x:c>
      <x:c r="O550" t="str">
        <x:v>CNY</x:v>
      </x:c>
      <x:c r="V550" t="str">
        <x:v>2026-12-31</x:v>
      </x:c>
      <x:c r="W550" t="str">
        <x:v>待核</x:v>
      </x:c>
      <x:c r="X550" t="str">
        <x:v>周末已解析；节假日需交易所对应年度日历核验，实际交易日待核</x:v>
      </x:c>
    </x:row>
    <x:row r="551" ht="23" customHeight="1">
      <x:c r="A551" s="15" t="str">
        <x:v>00268.HK</x:v>
      </x:c>
      <x:c r="B551" s="15" t="str">
        <x:v>半年</x:v>
      </x:c>
      <x:c r="C551" s="15" t="str">
        <x:v>活动输入</x:v>
      </x:c>
      <x:c r="D551" s="15" t="str">
        <x:v>EPS</x:v>
      </x:c>
      <x:c r="E551" s="17" t="n">
        <x:f>CHOOSE($B$3,E552,E553,E554)</x:f>
        <x:v>0.032563</x:v>
      </x:c>
      <x:c r="F551" s="17" t="n">
        <x:f>CHOOSE($B$3,F552,F553,F554)</x:f>
        <x:v>12</x:v>
      </x:c>
      <x:c r="G551" s="17" t="n">
        <x:f>CHOOSE($B$3,G552,G553,G554)</x:f>
        <x:v>1.1</x:v>
      </x:c>
      <x:c r="H551" s="17" t="n">
        <x:f>CHOOSE($B$3,H552,H553,H554)</x:f>
        <x:v>0</x:v>
      </x:c>
      <x:c r="I551" s="17" t="str">
        <x:f>CHOOSE($B$3,I552,I553,I554)</x:f>
      </x:c>
      <x:c r="J551" s="19" t="str">
        <x:f>CHOOSE($B$3,J552,J553,J554)</x:f>
      </x:c>
      <x:c r="K551" s="21" t="str">
        <x:f>CHOOSE($B$3,K552,K553,K554)</x:f>
      </x:c>
      <x:c r="L551" s="15" t="str">
        <x:v>kingdee-cloud-evsales-cash-reserve-v1.0</x:v>
      </x:c>
      <x:c r="M551" s="15" t="str">
        <x:v>2027-04-09</x:v>
      </x:c>
      <x:c r="O551" t="str">
        <x:v>CNY</x:v>
      </x:c>
      <x:c r="V551" t="str">
        <x:v>2027-04-09</x:v>
      </x:c>
      <x:c r="W551" t="str">
        <x:v>待核</x:v>
      </x:c>
      <x:c r="X551" t="str">
        <x:v>周末已解析；节假日需交易所对应年度日历核验，实际交易日待核</x:v>
      </x:c>
    </x:row>
    <x:row r="552" ht="23" customHeight="1">
      <x:c r="A552" s="11" t="str">
        <x:v>00268.HK</x:v>
      </x:c>
      <x:c r="B552" s="11" t="str">
        <x:v>半年</x:v>
      </x:c>
      <x:c r="C552" s="11" t="str">
        <x:v>悲观</x:v>
      </x:c>
      <x:c r="D552" s="11" t="str">
        <x:v>EPS</x:v>
      </x:c>
      <x:c r="E552" s="18" t="n">
        <x:v>0.012174</x:v>
      </x:c>
      <x:c r="F552" s="18" t="n">
        <x:v>8</x:v>
      </x:c>
      <x:c r="G552" s="18" t="n">
        <x:v>1.1</x:v>
      </x:c>
      <x:c r="H552" s="18" t="n">
        <x:v>0</x:v>
      </x:c>
      <x:c r="I552" s="18"/>
      <x:c r="J552" s="20"/>
      <x:c r="K552" s="22"/>
      <x:c r="L552" s="11" t="str">
        <x:v>kingdee-cloud-evsales-cash-reserve-v1.0</x:v>
      </x:c>
      <x:c r="M552" s="11" t="str">
        <x:v>2027-04-09</x:v>
      </x:c>
      <x:c r="O552" t="str">
        <x:v>CNY</x:v>
      </x:c>
      <x:c r="V552" t="str">
        <x:v>2027-04-09</x:v>
      </x:c>
      <x:c r="W552" t="str">
        <x:v>待核</x:v>
      </x:c>
      <x:c r="X552" t="str">
        <x:v>周末已解析；节假日需交易所对应年度日历核验，实际交易日待核</x:v>
      </x:c>
    </x:row>
    <x:row r="553" ht="23" customHeight="1">
      <x:c r="A553" s="11" t="str">
        <x:v>00268.HK</x:v>
      </x:c>
      <x:c r="B553" s="11" t="str">
        <x:v>半年</x:v>
      </x:c>
      <x:c r="C553" s="11" t="str">
        <x:v>基准</x:v>
      </x:c>
      <x:c r="D553" s="11" t="str">
        <x:v>EPS</x:v>
      </x:c>
      <x:c r="E553" s="18" t="n">
        <x:v>0.032563</x:v>
      </x:c>
      <x:c r="F553" s="18" t="n">
        <x:v>12</x:v>
      </x:c>
      <x:c r="G553" s="18" t="n">
        <x:v>1.1</x:v>
      </x:c>
      <x:c r="H553" s="18" t="n">
        <x:v>0</x:v>
      </x:c>
      <x:c r="I553" s="18"/>
      <x:c r="J553" s="20"/>
      <x:c r="K553" s="22"/>
      <x:c r="L553" s="11" t="str">
        <x:v>kingdee-cloud-evsales-cash-reserve-v1.0</x:v>
      </x:c>
      <x:c r="M553" s="11" t="str">
        <x:v>2027-04-09</x:v>
      </x:c>
      <x:c r="O553" t="str">
        <x:v>CNY</x:v>
      </x:c>
      <x:c r="V553" t="str">
        <x:v>2027-04-09</x:v>
      </x:c>
      <x:c r="W553" t="str">
        <x:v>待核</x:v>
      </x:c>
      <x:c r="X553" t="str">
        <x:v>周末已解析；节假日需交易所对应年度日历核验，实际交易日待核</x:v>
      </x:c>
    </x:row>
    <x:row r="554" ht="23" customHeight="1">
      <x:c r="A554" s="11" t="str">
        <x:v>00268.HK</x:v>
      </x:c>
      <x:c r="B554" s="11" t="str">
        <x:v>半年</x:v>
      </x:c>
      <x:c r="C554" s="11" t="str">
        <x:v>乐观</x:v>
      </x:c>
      <x:c r="D554" s="11" t="str">
        <x:v>EPS</x:v>
      </x:c>
      <x:c r="E554" s="18" t="n">
        <x:v>0.049801</x:v>
      </x:c>
      <x:c r="F554" s="18" t="n">
        <x:v>15</x:v>
      </x:c>
      <x:c r="G554" s="18" t="n">
        <x:v>1.1</x:v>
      </x:c>
      <x:c r="H554" s="18" t="n">
        <x:v>0</x:v>
      </x:c>
      <x:c r="I554" s="18"/>
      <x:c r="J554" s="20"/>
      <x:c r="K554" s="22"/>
      <x:c r="L554" s="11" t="str">
        <x:v>kingdee-cloud-evsales-cash-reserve-v1.0</x:v>
      </x:c>
      <x:c r="M554" s="11" t="str">
        <x:v>2027-04-09</x:v>
      </x:c>
      <x:c r="O554" t="str">
        <x:v>CNY</x:v>
      </x:c>
      <x:c r="V554" t="str">
        <x:v>2027-04-09</x:v>
      </x:c>
      <x:c r="W554" t="str">
        <x:v>待核</x:v>
      </x:c>
      <x:c r="X554" t="str">
        <x:v>周末已解析；节假日需交易所对应年度日历核验，实际交易日待核</x:v>
      </x:c>
    </x:row>
    <x:row r="555" ht="23" customHeight="1">
      <x:c r="A555" s="15" t="str">
        <x:v>00268.HK</x:v>
      </x:c>
      <x:c r="B555" s="15" t="str">
        <x:v>一年</x:v>
      </x:c>
      <x:c r="C555" s="15" t="str">
        <x:v>活动输入</x:v>
      </x:c>
      <x:c r="D555" s="15" t="str">
        <x:v>EPS</x:v>
      </x:c>
      <x:c r="E555" s="17" t="n">
        <x:f>CHOOSE($B$3,E556,E557,E558)</x:f>
        <x:v>0.028764</x:v>
      </x:c>
      <x:c r="F555" s="17" t="n">
        <x:f>CHOOSE($B$3,F556,F557,F558)</x:f>
        <x:v>12</x:v>
      </x:c>
      <x:c r="G555" s="17" t="n">
        <x:f>CHOOSE($B$3,G556,G557,G558)</x:f>
        <x:v>1.1</x:v>
      </x:c>
      <x:c r="H555" s="17" t="n">
        <x:f>CHOOSE($B$3,H556,H557,H558)</x:f>
        <x:v>0</x:v>
      </x:c>
      <x:c r="I555" s="17" t="str">
        <x:f>CHOOSE($B$3,I556,I557,I558)</x:f>
      </x:c>
      <x:c r="J555" s="19" t="str">
        <x:f>CHOOSE($B$3,J556,J557,J558)</x:f>
      </x:c>
      <x:c r="K555" s="21" t="str">
        <x:f>CHOOSE($B$3,K556,K557,K558)</x:f>
      </x:c>
      <x:c r="L555" s="15" t="str">
        <x:v>kingdee-cloud-evsales-cash-reserve-v1.0</x:v>
      </x:c>
      <x:c r="M555" s="15" t="str">
        <x:v>2027-10-09</x:v>
      </x:c>
      <x:c r="O555" t="str">
        <x:v>CNY</x:v>
      </x:c>
      <x:c r="V555" t="str">
        <x:v>2027-10-08</x:v>
      </x:c>
      <x:c r="W555" t="str">
        <x:v>待核</x:v>
      </x:c>
      <x:c r="X555" t="str">
        <x:v>周末已解析；节假日需交易所对应年度日历核验，实际交易日待核</x:v>
      </x:c>
    </x:row>
    <x:row r="556" ht="23" customHeight="1">
      <x:c r="A556" s="11" t="str">
        <x:v>00268.HK</x:v>
      </x:c>
      <x:c r="B556" s="11" t="str">
        <x:v>一年</x:v>
      </x:c>
      <x:c r="C556" s="11" t="str">
        <x:v>悲观</x:v>
      </x:c>
      <x:c r="D556" s="11" t="str">
        <x:v>EPS</x:v>
      </x:c>
      <x:c r="E556" s="18" t="n">
        <x:v>0.009733</x:v>
      </x:c>
      <x:c r="F556" s="18" t="n">
        <x:v>8</x:v>
      </x:c>
      <x:c r="G556" s="18" t="n">
        <x:v>1.1</x:v>
      </x:c>
      <x:c r="H556" s="18" t="n">
        <x:v>0</x:v>
      </x:c>
      <x:c r="I556" s="18"/>
      <x:c r="J556" s="20"/>
      <x:c r="K556" s="22"/>
      <x:c r="L556" s="11" t="str">
        <x:v>kingdee-cloud-evsales-cash-reserve-v1.0</x:v>
      </x:c>
      <x:c r="M556" s="11" t="str">
        <x:v>2027-10-09</x:v>
      </x:c>
      <x:c r="O556" t="str">
        <x:v>CNY</x:v>
      </x:c>
      <x:c r="V556" t="str">
        <x:v>2027-10-08</x:v>
      </x:c>
      <x:c r="W556" t="str">
        <x:v>待核</x:v>
      </x:c>
      <x:c r="X556" t="str">
        <x:v>周末已解析；节假日需交易所对应年度日历核验，实际交易日待核</x:v>
      </x:c>
    </x:row>
    <x:row r="557" ht="23" customHeight="1">
      <x:c r="A557" s="11" t="str">
        <x:v>00268.HK</x:v>
      </x:c>
      <x:c r="B557" s="11" t="str">
        <x:v>一年</x:v>
      </x:c>
      <x:c r="C557" s="11" t="str">
        <x:v>基准</x:v>
      </x:c>
      <x:c r="D557" s="11" t="str">
        <x:v>EPS</x:v>
      </x:c>
      <x:c r="E557" s="18" t="n">
        <x:v>0.028764</x:v>
      </x:c>
      <x:c r="F557" s="18" t="n">
        <x:v>12</x:v>
      </x:c>
      <x:c r="G557" s="18" t="n">
        <x:v>1.1</x:v>
      </x:c>
      <x:c r="H557" s="18" t="n">
        <x:v>0</x:v>
      </x:c>
      <x:c r="I557" s="18"/>
      <x:c r="J557" s="20"/>
      <x:c r="K557" s="22"/>
      <x:c r="L557" s="11" t="str">
        <x:v>kingdee-cloud-evsales-cash-reserve-v1.0</x:v>
      </x:c>
      <x:c r="M557" s="11" t="str">
        <x:v>2027-10-09</x:v>
      </x:c>
      <x:c r="O557" t="str">
        <x:v>CNY</x:v>
      </x:c>
      <x:c r="V557" t="str">
        <x:v>2027-10-08</x:v>
      </x:c>
      <x:c r="W557" t="str">
        <x:v>待核</x:v>
      </x:c>
      <x:c r="X557" t="str">
        <x:v>周末已解析；节假日需交易所对应年度日历核验，实际交易日待核</x:v>
      </x:c>
    </x:row>
    <x:row r="558" ht="23" customHeight="1">
      <x:c r="A558" s="11" t="str">
        <x:v>00268.HK</x:v>
      </x:c>
      <x:c r="B558" s="11" t="str">
        <x:v>一年</x:v>
      </x:c>
      <x:c r="C558" s="11" t="str">
        <x:v>乐观</x:v>
      </x:c>
      <x:c r="D558" s="11" t="str">
        <x:v>EPS</x:v>
      </x:c>
      <x:c r="E558" s="18" t="n">
        <x:v>0.047179</x:v>
      </x:c>
      <x:c r="F558" s="18" t="n">
        <x:v>15</x:v>
      </x:c>
      <x:c r="G558" s="18" t="n">
        <x:v>1.1</x:v>
      </x:c>
      <x:c r="H558" s="18" t="n">
        <x:v>0.03</x:v>
      </x:c>
      <x:c r="I558" s="18"/>
      <x:c r="J558" s="20"/>
      <x:c r="K558" s="22"/>
      <x:c r="L558" s="11" t="str">
        <x:v>kingdee-cloud-evsales-cash-reserve-v1.0</x:v>
      </x:c>
      <x:c r="M558" s="11" t="str">
        <x:v>2027-10-09</x:v>
      </x:c>
      <x:c r="O558" t="str">
        <x:v>CNY</x:v>
      </x:c>
      <x:c r="V558" t="str">
        <x:v>2027-10-08</x:v>
      </x:c>
      <x:c r="W558" t="str">
        <x:v>待核</x:v>
      </x:c>
      <x:c r="X558" t="str">
        <x:v>周末已解析；节假日需交易所对应年度日历核验，实际交易日待核</x:v>
      </x:c>
    </x:row>
    <x:row r="559" ht="23" customHeight="1">
      <x:c r="A559" s="15" t="str">
        <x:v>00268.HK</x:v>
      </x:c>
      <x:c r="B559" s="15" t="str">
        <x:v>三年</x:v>
      </x:c>
      <x:c r="C559" s="15" t="str">
        <x:v>活动输入</x:v>
      </x:c>
      <x:c r="D559" s="15" t="str">
        <x:v>EPS</x:v>
      </x:c>
      <x:c r="E559" s="17" t="n">
        <x:f>CHOOSE($B$3,E560,E561,E562)</x:f>
        <x:v>0.02</x:v>
      </x:c>
      <x:c r="F559" s="17" t="n">
        <x:f>CHOOSE($B$3,F560,F561,F562)</x:f>
        <x:v>11</x:v>
      </x:c>
      <x:c r="G559" s="17" t="n">
        <x:f>CHOOSE($B$3,G560,G561,G562)</x:f>
        <x:v>1.1</x:v>
      </x:c>
      <x:c r="H559" s="17" t="n">
        <x:f>CHOOSE($B$3,H560,H561,H562)</x:f>
        <x:v>0.12</x:v>
      </x:c>
      <x:c r="I559" s="17" t="str">
        <x:f>CHOOSE($B$3,I560,I561,I562)</x:f>
      </x:c>
      <x:c r="J559" s="19" t="str">
        <x:f>CHOOSE($B$3,J560,J561,J562)</x:f>
      </x:c>
      <x:c r="K559" s="21" t="str">
        <x:f>CHOOSE($B$3,K560,K561,K562)</x:f>
      </x:c>
      <x:c r="L559" s="15" t="str">
        <x:v>kingdee-cloud-evsales-cash-reserve-v1.0</x:v>
      </x:c>
      <x:c r="M559" s="15" t="str">
        <x:v>2029-10-09</x:v>
      </x:c>
      <x:c r="O559" t="str">
        <x:v>CNY</x:v>
      </x:c>
      <x:c r="V559" t="str">
        <x:v>2029-10-09</x:v>
      </x:c>
      <x:c r="W559" t="str">
        <x:v>待核</x:v>
      </x:c>
      <x:c r="X559" t="str">
        <x:v>周末已解析；节假日需交易所对应年度日历核验，实际交易日待核</x:v>
      </x:c>
    </x:row>
    <x:row r="560" ht="23" customHeight="1">
      <x:c r="A560" s="11" t="str">
        <x:v>00268.HK</x:v>
      </x:c>
      <x:c r="B560" s="11" t="str">
        <x:v>三年</x:v>
      </x:c>
      <x:c r="C560" s="11" t="str">
        <x:v>悲观</x:v>
      </x:c>
      <x:c r="D560" s="11" t="str">
        <x:v>EPS</x:v>
      </x:c>
      <x:c r="E560" s="18" t="n">
        <x:v>0.004557</x:v>
      </x:c>
      <x:c r="F560" s="18" t="n">
        <x:v>7</x:v>
      </x:c>
      <x:c r="G560" s="18" t="n">
        <x:v>1.1</x:v>
      </x:c>
      <x:c r="H560" s="18" t="n">
        <x:v>0</x:v>
      </x:c>
      <x:c r="I560" s="18"/>
      <x:c r="J560" s="20"/>
      <x:c r="K560" s="22"/>
      <x:c r="L560" s="11" t="str">
        <x:v>kingdee-cloud-evsales-cash-reserve-v1.0</x:v>
      </x:c>
      <x:c r="M560" s="11" t="str">
        <x:v>2029-10-09</x:v>
      </x:c>
      <x:c r="O560" t="str">
        <x:v>CNY</x:v>
      </x:c>
      <x:c r="V560" t="str">
        <x:v>2029-10-09</x:v>
      </x:c>
      <x:c r="W560" t="str">
        <x:v>待核</x:v>
      </x:c>
      <x:c r="X560" t="str">
        <x:v>周末已解析；节假日需交易所对应年度日历核验，实际交易日待核</x:v>
      </x:c>
    </x:row>
    <x:row r="561" ht="23" customHeight="1">
      <x:c r="A561" s="11" t="str">
        <x:v>00268.HK</x:v>
      </x:c>
      <x:c r="B561" s="11" t="str">
        <x:v>三年</x:v>
      </x:c>
      <x:c r="C561" s="11" t="str">
        <x:v>基准</x:v>
      </x:c>
      <x:c r="D561" s="11" t="str">
        <x:v>EPS</x:v>
      </x:c>
      <x:c r="E561" s="18" t="n">
        <x:v>0.02</x:v>
      </x:c>
      <x:c r="F561" s="18" t="n">
        <x:v>11</x:v>
      </x:c>
      <x:c r="G561" s="18" t="n">
        <x:v>1.1</x:v>
      </x:c>
      <x:c r="H561" s="18" t="n">
        <x:v>0.12</x:v>
      </x:c>
      <x:c r="I561" s="18"/>
      <x:c r="J561" s="20"/>
      <x:c r="K561" s="22"/>
      <x:c r="L561" s="11" t="str">
        <x:v>kingdee-cloud-evsales-cash-reserve-v1.0</x:v>
      </x:c>
      <x:c r="M561" s="11" t="str">
        <x:v>2029-10-09</x:v>
      </x:c>
      <x:c r="O561" t="str">
        <x:v>CNY</x:v>
      </x:c>
      <x:c r="V561" t="str">
        <x:v>2029-10-09</x:v>
      </x:c>
      <x:c r="W561" t="str">
        <x:v>待核</x:v>
      </x:c>
      <x:c r="X561" t="str">
        <x:v>周末已解析；节假日需交易所对应年度日历核验，实际交易日待核</x:v>
      </x:c>
    </x:row>
    <x:row r="562" ht="23" customHeight="1">
      <x:c r="A562" s="11" t="str">
        <x:v>00268.HK</x:v>
      </x:c>
      <x:c r="B562" s="11" t="str">
        <x:v>三年</x:v>
      </x:c>
      <x:c r="C562" s="11" t="str">
        <x:v>乐观</x:v>
      </x:c>
      <x:c r="D562" s="11" t="str">
        <x:v>EPS</x:v>
      </x:c>
      <x:c r="E562" s="18" t="n">
        <x:v>0.036695</x:v>
      </x:c>
      <x:c r="F562" s="18" t="n">
        <x:v>14</x:v>
      </x:c>
      <x:c r="G562" s="18" t="n">
        <x:v>1.1</x:v>
      </x:c>
      <x:c r="H562" s="18" t="n">
        <x:v>0.3</x:v>
      </x:c>
      <x:c r="I562" s="18"/>
      <x:c r="J562" s="20"/>
      <x:c r="K562" s="22"/>
      <x:c r="L562" s="11" t="str">
        <x:v>kingdee-cloud-evsales-cash-reserve-v1.0</x:v>
      </x:c>
      <x:c r="M562" s="11" t="str">
        <x:v>2029-10-09</x:v>
      </x:c>
      <x:c r="O562" t="str">
        <x:v>CNY</x:v>
      </x:c>
      <x:c r="V562" t="str">
        <x:v>2029-10-09</x:v>
      </x:c>
      <x:c r="W562" t="str">
        <x:v>待核</x:v>
      </x:c>
      <x:c r="X562" t="str">
        <x:v>周末已解析；节假日需交易所对应年度日历核验，实际交易日待核</x:v>
      </x:c>
    </x:row>
    <x:row r="563" ht="23" customHeight="1">
      <x:c r="A563" s="15" t="str">
        <x:v>00268.HK</x:v>
      </x:c>
      <x:c r="B563" s="15" t="str">
        <x:v>五年</x:v>
      </x:c>
      <x:c r="C563" s="15" t="str">
        <x:v>活动输入</x:v>
      </x:c>
      <x:c r="D563" s="15" t="str">
        <x:v>EPS</x:v>
      </x:c>
      <x:c r="E563" s="17" t="n">
        <x:f>CHOOSE($B$3,E564,E565,E566)</x:f>
        <x:v>0.013733</x:v>
      </x:c>
      <x:c r="F563" s="17" t="n">
        <x:f>CHOOSE($B$3,F564,F565,F566)</x:f>
        <x:v>10</x:v>
      </x:c>
      <x:c r="G563" s="17" t="n">
        <x:f>CHOOSE($B$3,G564,G565,G566)</x:f>
        <x:v>1.1</x:v>
      </x:c>
      <x:c r="H563" s="17" t="n">
        <x:f>CHOOSE($B$3,H564,H565,H566)</x:f>
        <x:v>0.4</x:v>
      </x:c>
      <x:c r="I563" s="17" t="str">
        <x:f>CHOOSE($B$3,I564,I565,I566)</x:f>
      </x:c>
      <x:c r="J563" s="19" t="str">
        <x:f>CHOOSE($B$3,J564,J565,J566)</x:f>
      </x:c>
      <x:c r="K563" s="21" t="str">
        <x:f>CHOOSE($B$3,K564,K565,K566)</x:f>
      </x:c>
      <x:c r="L563" s="15" t="str">
        <x:v>kingdee-cloud-evsales-cash-reserve-v1.0</x:v>
      </x:c>
      <x:c r="M563" s="15" t="str">
        <x:v>2031-10-09</x:v>
      </x:c>
      <x:c r="O563" t="str">
        <x:v>CNY</x:v>
      </x:c>
      <x:c r="V563" t="str">
        <x:v>2031-10-09</x:v>
      </x:c>
      <x:c r="W563" t="str">
        <x:v>待核</x:v>
      </x:c>
      <x:c r="X563" t="str">
        <x:v>周末已解析；节假日需交易所对应年度日历核验，实际交易日待核</x:v>
      </x:c>
    </x:row>
    <x:row r="564" ht="23" customHeight="1">
      <x:c r="A564" s="11" t="str">
        <x:v>00268.HK</x:v>
      </x:c>
      <x:c r="B564" s="11" t="str">
        <x:v>五年</x:v>
      </x:c>
      <x:c r="C564" s="11" t="str">
        <x:v>悲观</x:v>
      </x:c>
      <x:c r="D564" s="11" t="str">
        <x:v>EPS</x:v>
      </x:c>
      <x:c r="E564" s="18" t="n">
        <x:v>0.001714</x:v>
      </x:c>
      <x:c r="F564" s="18" t="n">
        <x:v>6</x:v>
      </x:c>
      <x:c r="G564" s="18" t="n">
        <x:v>1.1</x:v>
      </x:c>
      <x:c r="H564" s="18" t="n">
        <x:v>0</x:v>
      </x:c>
      <x:c r="I564" s="18"/>
      <x:c r="J564" s="20"/>
      <x:c r="K564" s="22"/>
      <x:c r="L564" s="11" t="str">
        <x:v>kingdee-cloud-evsales-cash-reserve-v1.0</x:v>
      </x:c>
      <x:c r="M564" s="11" t="str">
        <x:v>2031-10-09</x:v>
      </x:c>
      <x:c r="O564" t="str">
        <x:v>CNY</x:v>
      </x:c>
      <x:c r="V564" t="str">
        <x:v>2031-10-09</x:v>
      </x:c>
      <x:c r="W564" t="str">
        <x:v>待核</x:v>
      </x:c>
      <x:c r="X564" t="str">
        <x:v>周末已解析；节假日需交易所对应年度日历核验，实际交易日待核</x:v>
      </x:c>
    </x:row>
    <x:row r="565" ht="23" customHeight="1">
      <x:c r="A565" s="11" t="str">
        <x:v>00268.HK</x:v>
      </x:c>
      <x:c r="B565" s="11" t="str">
        <x:v>五年</x:v>
      </x:c>
      <x:c r="C565" s="11" t="str">
        <x:v>基准</x:v>
      </x:c>
      <x:c r="D565" s="11" t="str">
        <x:v>EPS</x:v>
      </x:c>
      <x:c r="E565" s="18" t="n">
        <x:v>0.013733</x:v>
      </x:c>
      <x:c r="F565" s="18" t="n">
        <x:v>10</x:v>
      </x:c>
      <x:c r="G565" s="18" t="n">
        <x:v>1.1</x:v>
      </x:c>
      <x:c r="H565" s="18" t="n">
        <x:v>0.4</x:v>
      </x:c>
      <x:c r="I565" s="18"/>
      <x:c r="J565" s="20"/>
      <x:c r="K565" s="22"/>
      <x:c r="L565" s="11" t="str">
        <x:v>kingdee-cloud-evsales-cash-reserve-v1.0</x:v>
      </x:c>
      <x:c r="M565" s="11" t="str">
        <x:v>2031-10-09</x:v>
      </x:c>
      <x:c r="O565" t="str">
        <x:v>CNY</x:v>
      </x:c>
      <x:c r="V565" t="str">
        <x:v>2031-10-09</x:v>
      </x:c>
      <x:c r="W565" t="str">
        <x:v>待核</x:v>
      </x:c>
      <x:c r="X565" t="str">
        <x:v>周末已解析；节假日需交易所对应年度日历核验，实际交易日待核</x:v>
      </x:c>
    </x:row>
    <x:row r="566" ht="23" customHeight="1">
      <x:c r="A566" s="11" t="str">
        <x:v>00268.HK</x:v>
      </x:c>
      <x:c r="B566" s="11" t="str">
        <x:v>五年</x:v>
      </x:c>
      <x:c r="C566" s="11" t="str">
        <x:v>乐观</x:v>
      </x:c>
      <x:c r="D566" s="11" t="str">
        <x:v>EPS</x:v>
      </x:c>
      <x:c r="E566" s="18" t="n">
        <x:v>0.030085</x:v>
      </x:c>
      <x:c r="F566" s="18" t="n">
        <x:v>13</x:v>
      </x:c>
      <x:c r="G566" s="18" t="n">
        <x:v>1.1</x:v>
      </x:c>
      <x:c r="H566" s="18" t="n">
        <x:v>1.1</x:v>
      </x:c>
      <x:c r="I566" s="18"/>
      <x:c r="J566" s="20"/>
      <x:c r="K566" s="22"/>
      <x:c r="L566" s="11" t="str">
        <x:v>kingdee-cloud-evsales-cash-reserve-v1.0</x:v>
      </x:c>
      <x:c r="M566" s="11" t="str">
        <x:v>2031-10-09</x:v>
      </x:c>
      <x:c r="O566" t="str">
        <x:v>CNY</x:v>
      </x:c>
      <x:c r="V566" t="str">
        <x:v>2031-10-09</x:v>
      </x:c>
      <x:c r="W566" t="str">
        <x:v>待核</x:v>
      </x:c>
      <x:c r="X566" t="str">
        <x:v>周末已解析；节假日需交易所对应年度日历核验，实际交易日待核</x:v>
      </x:c>
    </x:row>
    <x:row r="567" ht="23" customHeight="1">
      <x:c r="A567" s="15" t="str">
        <x:v>01024.HK</x:v>
      </x:c>
      <x:c r="B567" s="15" t="str">
        <x:v>2026年底</x:v>
      </x:c>
      <x:c r="C567" s="15" t="str">
        <x:v>活动输入</x:v>
      </x:c>
      <x:c r="D567" s="15" t="str">
        <x:v>EPS</x:v>
      </x:c>
      <x:c r="E567" s="17" t="n">
        <x:f>CHOOSE($B$3,E568,E569,E570)</x:f>
        <x:v>2.303</x:v>
      </x:c>
      <x:c r="F567" s="17" t="n">
        <x:f>CHOOSE($B$3,F568,F569,F570)</x:f>
        <x:v>17</x:v>
      </x:c>
      <x:c r="G567" s="17" t="n">
        <x:f>CHOOSE($B$3,G568,G569,G570)</x:f>
        <x:v>1.1</x:v>
      </x:c>
      <x:c r="H567" s="17" t="n">
        <x:f>CHOOSE($B$3,H568,H569,H570)</x:f>
        <x:v>0</x:v>
      </x:c>
      <x:c r="I567" s="17" t="str">
        <x:f>CHOOSE($B$3,I568,I569,I570)</x:f>
      </x:c>
      <x:c r="J567" s="19" t="str">
        <x:f>CHOOSE($B$3,J568,J569,J570)</x:f>
      </x:c>
      <x:c r="K567" s="21" t="str">
        <x:f>CHOOSE($B$3,K568,K569,K570)</x:f>
      </x:c>
      <x:c r="L567" s="15" t="str">
        <x:v>kuaishou-core-kling-normalized-v1.0</x:v>
      </x:c>
      <x:c r="M567" s="15" t="str">
        <x:v>2026-12-31</x:v>
      </x:c>
      <x:c r="O567" t="str">
        <x:v>CNY</x:v>
      </x:c>
      <x:c r="V567" t="str">
        <x:v>2026-12-31</x:v>
      </x:c>
      <x:c r="W567" t="str">
        <x:v>待核</x:v>
      </x:c>
      <x:c r="X567" t="str">
        <x:v>周末已解析；节假日需交易所对应年度日历核验，实际交易日待核</x:v>
      </x:c>
    </x:row>
    <x:row r="568" ht="23" customHeight="1">
      <x:c r="A568" s="11" t="str">
        <x:v>01024.HK</x:v>
      </x:c>
      <x:c r="B568" s="11" t="str">
        <x:v>2026年底</x:v>
      </x:c>
      <x:c r="C568" s="11" t="str">
        <x:v>悲观</x:v>
      </x:c>
      <x:c r="D568" s="11" t="str">
        <x:v>EPS</x:v>
      </x:c>
      <x:c r="E568" s="18" t="n">
        <x:v>1.382</x:v>
      </x:c>
      <x:c r="F568" s="18" t="n">
        <x:v>10</x:v>
      </x:c>
      <x:c r="G568" s="18" t="n">
        <x:v>1.1</x:v>
      </x:c>
      <x:c r="H568" s="18" t="n">
        <x:v>0</x:v>
      </x:c>
      <x:c r="I568" s="18"/>
      <x:c r="J568" s="20"/>
      <x:c r="K568" s="22"/>
      <x:c r="L568" s="11" t="str">
        <x:v>kuaishou-core-kling-normalized-v1.0</x:v>
      </x:c>
      <x:c r="M568" s="11" t="str">
        <x:v>2026-12-31</x:v>
      </x:c>
      <x:c r="O568" t="str">
        <x:v>CNY</x:v>
      </x:c>
      <x:c r="V568" t="str">
        <x:v>2026-12-31</x:v>
      </x:c>
      <x:c r="W568" t="str">
        <x:v>待核</x:v>
      </x:c>
      <x:c r="X568" t="str">
        <x:v>周末已解析；节假日需交易所对应年度日历核验，实际交易日待核</x:v>
      </x:c>
    </x:row>
    <x:row r="569" ht="23" customHeight="1">
      <x:c r="A569" s="11" t="str">
        <x:v>01024.HK</x:v>
      </x:c>
      <x:c r="B569" s="11" t="str">
        <x:v>2026年底</x:v>
      </x:c>
      <x:c r="C569" s="11" t="str">
        <x:v>基准</x:v>
      </x:c>
      <x:c r="D569" s="11" t="str">
        <x:v>EPS</x:v>
      </x:c>
      <x:c r="E569" s="18" t="n">
        <x:v>2.303</x:v>
      </x:c>
      <x:c r="F569" s="18" t="n">
        <x:v>17</x:v>
      </x:c>
      <x:c r="G569" s="18" t="n">
        <x:v>1.1</x:v>
      </x:c>
      <x:c r="H569" s="18" t="n">
        <x:v>0</x:v>
      </x:c>
      <x:c r="I569" s="18"/>
      <x:c r="J569" s="20"/>
      <x:c r="K569" s="22"/>
      <x:c r="L569" s="11" t="str">
        <x:v>kuaishou-core-kling-normalized-v1.0</x:v>
      </x:c>
      <x:c r="M569" s="11" t="str">
        <x:v>2026-12-31</x:v>
      </x:c>
      <x:c r="O569" t="str">
        <x:v>CNY</x:v>
      </x:c>
      <x:c r="V569" t="str">
        <x:v>2026-12-31</x:v>
      </x:c>
      <x:c r="W569" t="str">
        <x:v>待核</x:v>
      </x:c>
      <x:c r="X569" t="str">
        <x:v>周末已解析；节假日需交易所对应年度日历核验，实际交易日待核</x:v>
      </x:c>
    </x:row>
    <x:row r="570" ht="23" customHeight="1">
      <x:c r="A570" s="11" t="str">
        <x:v>01024.HK</x:v>
      </x:c>
      <x:c r="B570" s="11" t="str">
        <x:v>2026年底</x:v>
      </x:c>
      <x:c r="C570" s="11" t="str">
        <x:v>乐观</x:v>
      </x:c>
      <x:c r="D570" s="11" t="str">
        <x:v>EPS</x:v>
      </x:c>
      <x:c r="E570" s="18" t="n">
        <x:v>3.464</x:v>
      </x:c>
      <x:c r="F570" s="18" t="n">
        <x:v>21</x:v>
      </x:c>
      <x:c r="G570" s="18" t="n">
        <x:v>1.1</x:v>
      </x:c>
      <x:c r="H570" s="18" t="n">
        <x:v>0</x:v>
      </x:c>
      <x:c r="I570" s="18"/>
      <x:c r="J570" s="20"/>
      <x:c r="K570" s="22"/>
      <x:c r="L570" s="11" t="str">
        <x:v>kuaishou-core-kling-normalized-v1.0</x:v>
      </x:c>
      <x:c r="M570" s="11" t="str">
        <x:v>2026-12-31</x:v>
      </x:c>
      <x:c r="O570" t="str">
        <x:v>CNY</x:v>
      </x:c>
      <x:c r="V570" t="str">
        <x:v>2026-12-31</x:v>
      </x:c>
      <x:c r="W570" t="str">
        <x:v>待核</x:v>
      </x:c>
      <x:c r="X570" t="str">
        <x:v>周末已解析；节假日需交易所对应年度日历核验，实际交易日待核</x:v>
      </x:c>
    </x:row>
    <x:row r="571" ht="23" customHeight="1">
      <x:c r="A571" s="15" t="str">
        <x:v>01024.HK</x:v>
      </x:c>
      <x:c r="B571" s="15" t="str">
        <x:v>半年</x:v>
      </x:c>
      <x:c r="C571" s="15" t="str">
        <x:v>活动输入</x:v>
      </x:c>
      <x:c r="D571" s="15" t="str">
        <x:v>EPS</x:v>
      </x:c>
      <x:c r="E571" s="17" t="n">
        <x:f>CHOOSE($B$3,E572,E573,E574)</x:f>
        <x:v>2.441</x:v>
      </x:c>
      <x:c r="F571" s="17" t="n">
        <x:f>CHOOSE($B$3,F572,F573,F574)</x:f>
        <x:v>18</x:v>
      </x:c>
      <x:c r="G571" s="17" t="n">
        <x:f>CHOOSE($B$3,G572,G573,G574)</x:f>
        <x:v>1.1</x:v>
      </x:c>
      <x:c r="H571" s="17" t="n">
        <x:f>CHOOSE($B$3,H572,H573,H574)</x:f>
        <x:v>0</x:v>
      </x:c>
      <x:c r="I571" s="17" t="str">
        <x:f>CHOOSE($B$3,I572,I573,I574)</x:f>
      </x:c>
      <x:c r="J571" s="19" t="str">
        <x:f>CHOOSE($B$3,J572,J573,J574)</x:f>
      </x:c>
      <x:c r="K571" s="21" t="str">
        <x:f>CHOOSE($B$3,K572,K573,K574)</x:f>
      </x:c>
      <x:c r="L571" s="15" t="str">
        <x:v>kuaishou-core-kling-normalized-v1.0</x:v>
      </x:c>
      <x:c r="M571" s="15" t="str">
        <x:v>2027-04-09</x:v>
      </x:c>
      <x:c r="O571" t="str">
        <x:v>CNY</x:v>
      </x:c>
      <x:c r="V571" t="str">
        <x:v>2027-04-09</x:v>
      </x:c>
      <x:c r="W571" t="str">
        <x:v>待核</x:v>
      </x:c>
      <x:c r="X571" t="str">
        <x:v>周末已解析；节假日需交易所对应年度日历核验，实际交易日待核</x:v>
      </x:c>
    </x:row>
    <x:row r="572" ht="23" customHeight="1">
      <x:c r="A572" s="11" t="str">
        <x:v>01024.HK</x:v>
      </x:c>
      <x:c r="B572" s="11" t="str">
        <x:v>半年</x:v>
      </x:c>
      <x:c r="C572" s="11" t="str">
        <x:v>悲观</x:v>
      </x:c>
      <x:c r="D572" s="11" t="str">
        <x:v>EPS</x:v>
      </x:c>
      <x:c r="E572" s="18" t="n">
        <x:v>1.259</x:v>
      </x:c>
      <x:c r="F572" s="18" t="n">
        <x:v>10</x:v>
      </x:c>
      <x:c r="G572" s="18" t="n">
        <x:v>1.1</x:v>
      </x:c>
      <x:c r="H572" s="18" t="n">
        <x:v>0</x:v>
      </x:c>
      <x:c r="I572" s="18"/>
      <x:c r="J572" s="20"/>
      <x:c r="K572" s="22"/>
      <x:c r="L572" s="11" t="str">
        <x:v>kuaishou-core-kling-normalized-v1.0</x:v>
      </x:c>
      <x:c r="M572" s="11" t="str">
        <x:v>2027-04-09</x:v>
      </x:c>
      <x:c r="O572" t="str">
        <x:v>CNY</x:v>
      </x:c>
      <x:c r="V572" t="str">
        <x:v>2027-04-09</x:v>
      </x:c>
      <x:c r="W572" t="str">
        <x:v>待核</x:v>
      </x:c>
      <x:c r="X572" t="str">
        <x:v>周末已解析；节假日需交易所对应年度日历核验，实际交易日待核</x:v>
      </x:c>
    </x:row>
    <x:row r="573" ht="23" customHeight="1">
      <x:c r="A573" s="11" t="str">
        <x:v>01024.HK</x:v>
      </x:c>
      <x:c r="B573" s="11" t="str">
        <x:v>半年</x:v>
      </x:c>
      <x:c r="C573" s="11" t="str">
        <x:v>基准</x:v>
      </x:c>
      <x:c r="D573" s="11" t="str">
        <x:v>EPS</x:v>
      </x:c>
      <x:c r="E573" s="18" t="n">
        <x:v>2.441</x:v>
      </x:c>
      <x:c r="F573" s="18" t="n">
        <x:v>18</x:v>
      </x:c>
      <x:c r="G573" s="18" t="n">
        <x:v>1.1</x:v>
      </x:c>
      <x:c r="H573" s="18" t="n">
        <x:v>0</x:v>
      </x:c>
      <x:c r="I573" s="18"/>
      <x:c r="J573" s="20"/>
      <x:c r="K573" s="22"/>
      <x:c r="L573" s="11" t="str">
        <x:v>kuaishou-core-kling-normalized-v1.0</x:v>
      </x:c>
      <x:c r="M573" s="11" t="str">
        <x:v>2027-04-09</x:v>
      </x:c>
      <x:c r="O573" t="str">
        <x:v>CNY</x:v>
      </x:c>
      <x:c r="V573" t="str">
        <x:v>2027-04-09</x:v>
      </x:c>
      <x:c r="W573" t="str">
        <x:v>待核</x:v>
      </x:c>
      <x:c r="X573" t="str">
        <x:v>周末已解析；节假日需交易所对应年度日历核验，实际交易日待核</x:v>
      </x:c>
    </x:row>
    <x:row r="574" ht="23" customHeight="1">
      <x:c r="A574" s="11" t="str">
        <x:v>01024.HK</x:v>
      </x:c>
      <x:c r="B574" s="11" t="str">
        <x:v>半年</x:v>
      </x:c>
      <x:c r="C574" s="11" t="str">
        <x:v>乐观</x:v>
      </x:c>
      <x:c r="D574" s="11" t="str">
        <x:v>EPS</x:v>
      </x:c>
      <x:c r="E574" s="18" t="n">
        <x:v>4.079</x:v>
      </x:c>
      <x:c r="F574" s="18" t="n">
        <x:v>22</x:v>
      </x:c>
      <x:c r="G574" s="18" t="n">
        <x:v>1.1</x:v>
      </x:c>
      <x:c r="H574" s="18" t="n">
        <x:v>0</x:v>
      </x:c>
      <x:c r="I574" s="18"/>
      <x:c r="J574" s="20"/>
      <x:c r="K574" s="22"/>
      <x:c r="L574" s="11" t="str">
        <x:v>kuaishou-core-kling-normalized-v1.0</x:v>
      </x:c>
      <x:c r="M574" s="11" t="str">
        <x:v>2027-04-09</x:v>
      </x:c>
      <x:c r="O574" t="str">
        <x:v>CNY</x:v>
      </x:c>
      <x:c r="V574" t="str">
        <x:v>2027-04-09</x:v>
      </x:c>
      <x:c r="W574" t="str">
        <x:v>待核</x:v>
      </x:c>
      <x:c r="X574" t="str">
        <x:v>周末已解析；节假日需交易所对应年度日历核验，实际交易日待核</x:v>
      </x:c>
    </x:row>
    <x:row r="575" ht="23" customHeight="1">
      <x:c r="A575" s="15" t="str">
        <x:v>01024.HK</x:v>
      </x:c>
      <x:c r="B575" s="15" t="str">
        <x:v>一年</x:v>
      </x:c>
      <x:c r="C575" s="15" t="str">
        <x:v>活动输入</x:v>
      </x:c>
      <x:c r="D575" s="15" t="str">
        <x:v>EPS</x:v>
      </x:c>
      <x:c r="E575" s="17" t="n">
        <x:f>CHOOSE($B$3,E576,E577,E578)</x:f>
        <x:v>2.918</x:v>
      </x:c>
      <x:c r="F575" s="17" t="n">
        <x:f>CHOOSE($B$3,F576,F577,F578)</x:f>
        <x:v>19</x:v>
      </x:c>
      <x:c r="G575" s="17" t="n">
        <x:f>CHOOSE($B$3,G576,G577,G578)</x:f>
        <x:v>1.1</x:v>
      </x:c>
      <x:c r="H575" s="17" t="n">
        <x:f>CHOOSE($B$3,H576,H577,H578)</x:f>
        <x:v>0.4</x:v>
      </x:c>
      <x:c r="I575" s="17" t="str">
        <x:f>CHOOSE($B$3,I576,I577,I578)</x:f>
      </x:c>
      <x:c r="J575" s="19" t="str">
        <x:f>CHOOSE($B$3,J576,J577,J578)</x:f>
      </x:c>
      <x:c r="K575" s="21" t="str">
        <x:f>CHOOSE($B$3,K576,K577,K578)</x:f>
      </x:c>
      <x:c r="L575" s="15" t="str">
        <x:v>kuaishou-core-kling-normalized-v1.0</x:v>
      </x:c>
      <x:c r="M575" s="15" t="str">
        <x:v>2027-10-09</x:v>
      </x:c>
      <x:c r="O575" t="str">
        <x:v>CNY</x:v>
      </x:c>
      <x:c r="V575" t="str">
        <x:v>2027-10-08</x:v>
      </x:c>
      <x:c r="W575" t="str">
        <x:v>待核</x:v>
      </x:c>
      <x:c r="X575" t="str">
        <x:v>周末已解析；节假日需交易所对应年度日历核验，实际交易日待核</x:v>
      </x:c>
    </x:row>
    <x:row r="576" ht="23" customHeight="1">
      <x:c r="A576" s="11" t="str">
        <x:v>01024.HK</x:v>
      </x:c>
      <x:c r="B576" s="11" t="str">
        <x:v>一年</x:v>
      </x:c>
      <x:c r="C576" s="11" t="str">
        <x:v>悲观</x:v>
      </x:c>
      <x:c r="D576" s="11" t="str">
        <x:v>EPS</x:v>
      </x:c>
      <x:c r="E576" s="18" t="n">
        <x:v>1.157</x:v>
      </x:c>
      <x:c r="F576" s="18" t="n">
        <x:v>9</x:v>
      </x:c>
      <x:c r="G576" s="18" t="n">
        <x:v>1.1</x:v>
      </x:c>
      <x:c r="H576" s="18" t="n">
        <x:v>0.1</x:v>
      </x:c>
      <x:c r="I576" s="18"/>
      <x:c r="J576" s="20"/>
      <x:c r="K576" s="22"/>
      <x:c r="L576" s="11" t="str">
        <x:v>kuaishou-core-kling-normalized-v1.0</x:v>
      </x:c>
      <x:c r="M576" s="11" t="str">
        <x:v>2027-10-09</x:v>
      </x:c>
      <x:c r="O576" t="str">
        <x:v>CNY</x:v>
      </x:c>
      <x:c r="V576" t="str">
        <x:v>2027-10-08</x:v>
      </x:c>
      <x:c r="W576" t="str">
        <x:v>待核</x:v>
      </x:c>
      <x:c r="X576" t="str">
        <x:v>周末已解析；节假日需交易所对应年度日历核验，实际交易日待核</x:v>
      </x:c>
    </x:row>
    <x:row r="577" ht="23" customHeight="1">
      <x:c r="A577" s="11" t="str">
        <x:v>01024.HK</x:v>
      </x:c>
      <x:c r="B577" s="11" t="str">
        <x:v>一年</x:v>
      </x:c>
      <x:c r="C577" s="11" t="str">
        <x:v>基准</x:v>
      </x:c>
      <x:c r="D577" s="11" t="str">
        <x:v>EPS</x:v>
      </x:c>
      <x:c r="E577" s="18" t="n">
        <x:v>2.918</x:v>
      </x:c>
      <x:c r="F577" s="18" t="n">
        <x:v>19</x:v>
      </x:c>
      <x:c r="G577" s="18" t="n">
        <x:v>1.1</x:v>
      </x:c>
      <x:c r="H577" s="18" t="n">
        <x:v>0.4</x:v>
      </x:c>
      <x:c r="I577" s="18"/>
      <x:c r="J577" s="20"/>
      <x:c r="K577" s="22"/>
      <x:c r="L577" s="11" t="str">
        <x:v>kuaishou-core-kling-normalized-v1.0</x:v>
      </x:c>
      <x:c r="M577" s="11" t="str">
        <x:v>2027-10-09</x:v>
      </x:c>
      <x:c r="O577" t="str">
        <x:v>CNY</x:v>
      </x:c>
      <x:c r="V577" t="str">
        <x:v>2027-10-08</x:v>
      </x:c>
      <x:c r="W577" t="str">
        <x:v>待核</x:v>
      </x:c>
      <x:c r="X577" t="str">
        <x:v>周末已解析；节假日需交易所对应年度日历核验，实际交易日待核</x:v>
      </x:c>
    </x:row>
    <x:row r="578" ht="23" customHeight="1">
      <x:c r="A578" s="11" t="str">
        <x:v>01024.HK</x:v>
      </x:c>
      <x:c r="B578" s="11" t="str">
        <x:v>一年</x:v>
      </x:c>
      <x:c r="C578" s="11" t="str">
        <x:v>乐观</x:v>
      </x:c>
      <x:c r="D578" s="11" t="str">
        <x:v>EPS</x:v>
      </x:c>
      <x:c r="E578" s="18" t="n">
        <x:v>5.067</x:v>
      </x:c>
      <x:c r="F578" s="18" t="n">
        <x:v>23</x:v>
      </x:c>
      <x:c r="G578" s="18" t="n">
        <x:v>1.1</x:v>
      </x:c>
      <x:c r="H578" s="18" t="n">
        <x:v>0.7</x:v>
      </x:c>
      <x:c r="I578" s="18"/>
      <x:c r="J578" s="20"/>
      <x:c r="K578" s="22"/>
      <x:c r="L578" s="11" t="str">
        <x:v>kuaishou-core-kling-normalized-v1.0</x:v>
      </x:c>
      <x:c r="M578" s="11" t="str">
        <x:v>2027-10-09</x:v>
      </x:c>
      <x:c r="O578" t="str">
        <x:v>CNY</x:v>
      </x:c>
      <x:c r="V578" t="str">
        <x:v>2027-10-08</x:v>
      </x:c>
      <x:c r="W578" t="str">
        <x:v>待核</x:v>
      </x:c>
      <x:c r="X578" t="str">
        <x:v>周末已解析；节假日需交易所对应年度日历核验，实际交易日待核</x:v>
      </x:c>
    </x:row>
    <x:row r="579" ht="23" customHeight="1">
      <x:c r="A579" s="15" t="str">
        <x:v>01024.HK</x:v>
      </x:c>
      <x:c r="B579" s="15" t="str">
        <x:v>三年</x:v>
      </x:c>
      <x:c r="C579" s="15" t="str">
        <x:v>活动输入</x:v>
      </x:c>
      <x:c r="D579" s="15" t="str">
        <x:v>EPS</x:v>
      </x:c>
      <x:c r="E579" s="17" t="n">
        <x:f>CHOOSE($B$3,E580,E581,E582)</x:f>
        <x:v>4.493</x:v>
      </x:c>
      <x:c r="F579" s="17" t="n">
        <x:f>CHOOSE($B$3,F580,F581,F582)</x:f>
        <x:v>21</x:v>
      </x:c>
      <x:c r="G579" s="17" t="n">
        <x:f>CHOOSE($B$3,G580,G581,G582)</x:f>
        <x:v>1.1</x:v>
      </x:c>
      <x:c r="H579" s="17" t="n">
        <x:f>CHOOSE($B$3,H580,H581,H582)</x:f>
        <x:v>1.8</x:v>
      </x:c>
      <x:c r="I579" s="17" t="str">
        <x:f>CHOOSE($B$3,I580,I581,I582)</x:f>
      </x:c>
      <x:c r="J579" s="19" t="str">
        <x:f>CHOOSE($B$3,J580,J581,J582)</x:f>
      </x:c>
      <x:c r="K579" s="21" t="str">
        <x:f>CHOOSE($B$3,K580,K581,K582)</x:f>
      </x:c>
      <x:c r="L579" s="15" t="str">
        <x:v>kuaishou-core-kling-normalized-v1.0</x:v>
      </x:c>
      <x:c r="M579" s="15" t="str">
        <x:v>2029-10-09</x:v>
      </x:c>
      <x:c r="O579" t="str">
        <x:v>CNY</x:v>
      </x:c>
      <x:c r="V579" t="str">
        <x:v>2029-10-09</x:v>
      </x:c>
      <x:c r="W579" t="str">
        <x:v>待核</x:v>
      </x:c>
      <x:c r="X579" t="str">
        <x:v>周末已解析；节假日需交易所对应年度日历核验，实际交易日待核</x:v>
      </x:c>
    </x:row>
    <x:row r="580" ht="23" customHeight="1">
      <x:c r="A580" s="11" t="str">
        <x:v>01024.HK</x:v>
      </x:c>
      <x:c r="B580" s="11" t="str">
        <x:v>三年</x:v>
      </x:c>
      <x:c r="C580" s="11" t="str">
        <x:v>悲观</x:v>
      </x:c>
      <x:c r="D580" s="11" t="str">
        <x:v>EPS</x:v>
      </x:c>
      <x:c r="E580" s="18" t="n">
        <x:v>0.897</x:v>
      </x:c>
      <x:c r="F580" s="18" t="n">
        <x:v>8</x:v>
      </x:c>
      <x:c r="G580" s="18" t="n">
        <x:v>1.1</x:v>
      </x:c>
      <x:c r="H580" s="18" t="n">
        <x:v>0.2</x:v>
      </x:c>
      <x:c r="I580" s="18"/>
      <x:c r="J580" s="20"/>
      <x:c r="K580" s="22"/>
      <x:c r="L580" s="11" t="str">
        <x:v>kuaishou-core-kling-normalized-v1.0</x:v>
      </x:c>
      <x:c r="M580" s="11" t="str">
        <x:v>2029-10-09</x:v>
      </x:c>
      <x:c r="O580" t="str">
        <x:v>CNY</x:v>
      </x:c>
      <x:c r="V580" t="str">
        <x:v>2029-10-09</x:v>
      </x:c>
      <x:c r="W580" t="str">
        <x:v>待核</x:v>
      </x:c>
      <x:c r="X580" t="str">
        <x:v>周末已解析；节假日需交易所对应年度日历核验，实际交易日待核</x:v>
      </x:c>
    </x:row>
    <x:row r="581" ht="23" customHeight="1">
      <x:c r="A581" s="11" t="str">
        <x:v>01024.HK</x:v>
      </x:c>
      <x:c r="B581" s="11" t="str">
        <x:v>三年</x:v>
      </x:c>
      <x:c r="C581" s="11" t="str">
        <x:v>基准</x:v>
      </x:c>
      <x:c r="D581" s="11" t="str">
        <x:v>EPS</x:v>
      </x:c>
      <x:c r="E581" s="18" t="n">
        <x:v>4.493</x:v>
      </x:c>
      <x:c r="F581" s="18" t="n">
        <x:v>21</x:v>
      </x:c>
      <x:c r="G581" s="18" t="n">
        <x:v>1.1</x:v>
      </x:c>
      <x:c r="H581" s="18" t="n">
        <x:v>1.8</x:v>
      </x:c>
      <x:c r="I581" s="18"/>
      <x:c r="J581" s="20"/>
      <x:c r="K581" s="22"/>
      <x:c r="L581" s="11" t="str">
        <x:v>kuaishou-core-kling-normalized-v1.0</x:v>
      </x:c>
      <x:c r="M581" s="11" t="str">
        <x:v>2029-10-09</x:v>
      </x:c>
      <x:c r="O581" t="str">
        <x:v>CNY</x:v>
      </x:c>
      <x:c r="V581" t="str">
        <x:v>2029-10-09</x:v>
      </x:c>
      <x:c r="W581" t="str">
        <x:v>待核</x:v>
      </x:c>
      <x:c r="X581" t="str">
        <x:v>周末已解析；节假日需交易所对应年度日历核验，实际交易日待核</x:v>
      </x:c>
    </x:row>
    <x:row r="582" ht="23" customHeight="1">
      <x:c r="A582" s="11" t="str">
        <x:v>01024.HK</x:v>
      </x:c>
      <x:c r="B582" s="11" t="str">
        <x:v>三年</x:v>
      </x:c>
      <x:c r="C582" s="11" t="str">
        <x:v>乐观</x:v>
      </x:c>
      <x:c r="D582" s="11" t="str">
        <x:v>EPS</x:v>
      </x:c>
      <x:c r="E582" s="18" t="n">
        <x:v>9.683</x:v>
      </x:c>
      <x:c r="F582" s="18" t="n">
        <x:v>25</x:v>
      </x:c>
      <x:c r="G582" s="18" t="n">
        <x:v>1.1</x:v>
      </x:c>
      <x:c r="H582" s="18" t="n">
        <x:v>3.8</x:v>
      </x:c>
      <x:c r="I582" s="18"/>
      <x:c r="J582" s="20"/>
      <x:c r="K582" s="22"/>
      <x:c r="L582" s="11" t="str">
        <x:v>kuaishou-core-kling-normalized-v1.0</x:v>
      </x:c>
      <x:c r="M582" s="11" t="str">
        <x:v>2029-10-09</x:v>
      </x:c>
      <x:c r="O582" t="str">
        <x:v>CNY</x:v>
      </x:c>
      <x:c r="V582" t="str">
        <x:v>2029-10-09</x:v>
      </x:c>
      <x:c r="W582" t="str">
        <x:v>待核</x:v>
      </x:c>
      <x:c r="X582" t="str">
        <x:v>周末已解析；节假日需交易所对应年度日历核验，实际交易日待核</x:v>
      </x:c>
    </x:row>
    <x:row r="583" ht="23" customHeight="1">
      <x:c r="A583" s="15" t="str">
        <x:v>01024.HK</x:v>
      </x:c>
      <x:c r="B583" s="15" t="str">
        <x:v>五年</x:v>
      </x:c>
      <x:c r="C583" s="15" t="str">
        <x:v>活动输入</x:v>
      </x:c>
      <x:c r="D583" s="15" t="str">
        <x:v>EPS</x:v>
      </x:c>
      <x:c r="E583" s="17" t="n">
        <x:f>CHOOSE($B$3,E584,E585,E586)</x:f>
        <x:v>6.29</x:v>
      </x:c>
      <x:c r="F583" s="17" t="n">
        <x:f>CHOOSE($B$3,F584,F585,F586)</x:f>
        <x:v>21</x:v>
      </x:c>
      <x:c r="G583" s="17" t="n">
        <x:f>CHOOSE($B$3,G584,G585,G586)</x:f>
        <x:v>1.1</x:v>
      </x:c>
      <x:c r="H583" s="17" t="n">
        <x:f>CHOOSE($B$3,H584,H585,H586)</x:f>
        <x:v>4.2</x:v>
      </x:c>
      <x:c r="I583" s="17" t="str">
        <x:f>CHOOSE($B$3,I584,I585,I586)</x:f>
      </x:c>
      <x:c r="J583" s="19" t="str">
        <x:f>CHOOSE($B$3,J584,J585,J586)</x:f>
      </x:c>
      <x:c r="K583" s="21" t="str">
        <x:f>CHOOSE($B$3,K584,K585,K586)</x:f>
      </x:c>
      <x:c r="L583" s="15" t="str">
        <x:v>kuaishou-core-kling-normalized-v1.0</x:v>
      </x:c>
      <x:c r="M583" s="15" t="str">
        <x:v>2031-10-09</x:v>
      </x:c>
      <x:c r="O583" t="str">
        <x:v>CNY</x:v>
      </x:c>
      <x:c r="V583" t="str">
        <x:v>2031-10-09</x:v>
      </x:c>
      <x:c r="W583" t="str">
        <x:v>待核</x:v>
      </x:c>
      <x:c r="X583" t="str">
        <x:v>周末已解析；节假日需交易所对应年度日历核验，实际交易日待核</x:v>
      </x:c>
    </x:row>
    <x:row r="584" ht="23" customHeight="1">
      <x:c r="A584" s="11" t="str">
        <x:v>01024.HK</x:v>
      </x:c>
      <x:c r="B584" s="11" t="str">
        <x:v>五年</x:v>
      </x:c>
      <x:c r="C584" s="11" t="str">
        <x:v>悲观</x:v>
      </x:c>
      <x:c r="D584" s="11" t="str">
        <x:v>EPS</x:v>
      </x:c>
      <x:c r="E584" s="18" t="n">
        <x:v>0.611</x:v>
      </x:c>
      <x:c r="F584" s="18" t="n">
        <x:v>7</x:v>
      </x:c>
      <x:c r="G584" s="18" t="n">
        <x:v>1.1</x:v>
      </x:c>
      <x:c r="H584" s="18" t="n">
        <x:v>0.3</x:v>
      </x:c>
      <x:c r="I584" s="18"/>
      <x:c r="J584" s="20"/>
      <x:c r="K584" s="22"/>
      <x:c r="L584" s="11" t="str">
        <x:v>kuaishou-core-kling-normalized-v1.0</x:v>
      </x:c>
      <x:c r="M584" s="11" t="str">
        <x:v>2031-10-09</x:v>
      </x:c>
      <x:c r="O584" t="str">
        <x:v>CNY</x:v>
      </x:c>
      <x:c r="V584" t="str">
        <x:v>2031-10-09</x:v>
      </x:c>
      <x:c r="W584" t="str">
        <x:v>待核</x:v>
      </x:c>
      <x:c r="X584" t="str">
        <x:v>周末已解析；节假日需交易所对应年度日历核验，实际交易日待核</x:v>
      </x:c>
    </x:row>
    <x:row r="585" ht="23" customHeight="1">
      <x:c r="A585" s="11" t="str">
        <x:v>01024.HK</x:v>
      </x:c>
      <x:c r="B585" s="11" t="str">
        <x:v>五年</x:v>
      </x:c>
      <x:c r="C585" s="11" t="str">
        <x:v>基准</x:v>
      </x:c>
      <x:c r="D585" s="11" t="str">
        <x:v>EPS</x:v>
      </x:c>
      <x:c r="E585" s="18" t="n">
        <x:v>6.29</x:v>
      </x:c>
      <x:c r="F585" s="18" t="n">
        <x:v>21</x:v>
      </x:c>
      <x:c r="G585" s="18" t="n">
        <x:v>1.1</x:v>
      </x:c>
      <x:c r="H585" s="18" t="n">
        <x:v>4.2</x:v>
      </x:c>
      <x:c r="I585" s="18"/>
      <x:c r="J585" s="20"/>
      <x:c r="K585" s="22"/>
      <x:c r="L585" s="11" t="str">
        <x:v>kuaishou-core-kling-normalized-v1.0</x:v>
      </x:c>
      <x:c r="M585" s="11" t="str">
        <x:v>2031-10-09</x:v>
      </x:c>
      <x:c r="O585" t="str">
        <x:v>CNY</x:v>
      </x:c>
      <x:c r="V585" t="str">
        <x:v>2031-10-09</x:v>
      </x:c>
      <x:c r="W585" t="str">
        <x:v>待核</x:v>
      </x:c>
      <x:c r="X585" t="str">
        <x:v>周末已解析；节假日需交易所对应年度日历核验，实际交易日待核</x:v>
      </x:c>
    </x:row>
    <x:row r="586" ht="23" customHeight="1">
      <x:c r="A586" s="11" t="str">
        <x:v>01024.HK</x:v>
      </x:c>
      <x:c r="B586" s="11" t="str">
        <x:v>五年</x:v>
      </x:c>
      <x:c r="C586" s="11" t="str">
        <x:v>乐观</x:v>
      </x:c>
      <x:c r="D586" s="11" t="str">
        <x:v>EPS</x:v>
      </x:c>
      <x:c r="E586" s="18" t="n">
        <x:v>16.121</x:v>
      </x:c>
      <x:c r="F586" s="18" t="n">
        <x:v>26</x:v>
      </x:c>
      <x:c r="G586" s="18" t="n">
        <x:v>1.1</x:v>
      </x:c>
      <x:c r="H586" s="18" t="n">
        <x:v>9</x:v>
      </x:c>
      <x:c r="I586" s="18"/>
      <x:c r="J586" s="20"/>
      <x:c r="K586" s="22"/>
      <x:c r="L586" s="11" t="str">
        <x:v>kuaishou-core-kling-normalized-v1.0</x:v>
      </x:c>
      <x:c r="M586" s="11" t="str">
        <x:v>2031-10-09</x:v>
      </x:c>
      <x:c r="O586" t="str">
        <x:v>CNY</x:v>
      </x:c>
      <x:c r="V586" t="str">
        <x:v>2031-10-09</x:v>
      </x:c>
      <x:c r="W586" t="str">
        <x:v>待核</x:v>
      </x:c>
      <x:c r="X586" t="str">
        <x:v>周末已解析；节假日需交易所对应年度日历核验，实际交易日待核</x:v>
      </x:c>
    </x:row>
    <x:row r="587" ht="23" customHeight="1">
      <x:c r="A587" s="15" t="str">
        <x:v>00992.HK</x:v>
      </x:c>
      <x:c r="B587" s="15" t="str">
        <x:v>2026年底</x:v>
      </x:c>
      <x:c r="C587" s="15" t="str">
        <x:v>活动输入</x:v>
      </x:c>
      <x:c r="D587" s="15" t="str">
        <x:v>EPS</x:v>
      </x:c>
      <x:c r="E587" s="17" t="n">
        <x:f>CHOOSE($B$3,E588,E589,E590)</x:f>
        <x:v>0.266994</x:v>
      </x:c>
      <x:c r="F587" s="17" t="n">
        <x:f>CHOOSE($B$3,F588,F589,F590)</x:f>
        <x:v>18</x:v>
      </x:c>
      <x:c r="G587" s="17" t="n">
        <x:f>CHOOSE($B$3,G588,G589,G590)</x:f>
        <x:v>7.8</x:v>
      </x:c>
      <x:c r="H587" s="17" t="n">
        <x:f>CHOOSE($B$3,H588,H589,H590)</x:f>
        <x:v>0</x:v>
      </x:c>
      <x:c r="I587" s="17" t="str">
        <x:f>CHOOSE($B$3,I588,I589,I590)</x:f>
      </x:c>
      <x:c r="J587" s="19" t="str">
        <x:f>CHOOSE($B$3,J588,J589,J590)</x:f>
      </x:c>
      <x:c r="K587" s="21" t="str">
        <x:f>CHOOSE($B$3,K588,K589,K590)</x:f>
      </x:c>
      <x:c r="L587" s="15" t="str">
        <x:v>lenovo-normalized-operating-dilution-v1.0</x:v>
      </x:c>
      <x:c r="M587" s="15" t="str">
        <x:v>2026-12-31</x:v>
      </x:c>
      <x:c r="O587" t="str">
        <x:v>USD</x:v>
      </x:c>
      <x:c r="V587" t="str">
        <x:v>2026-12-31</x:v>
      </x:c>
      <x:c r="W587" t="str">
        <x:v>待核</x:v>
      </x:c>
      <x:c r="X587" t="str">
        <x:v>周末已解析；节假日需交易所对应年度日历核验，实际交易日待核</x:v>
      </x:c>
    </x:row>
    <x:row r="588" ht="23" customHeight="1">
      <x:c r="A588" s="11" t="str">
        <x:v>00992.HK</x:v>
      </x:c>
      <x:c r="B588" s="11" t="str">
        <x:v>2026年底</x:v>
      </x:c>
      <x:c r="C588" s="11" t="str">
        <x:v>悲观</x:v>
      </x:c>
      <x:c r="D588" s="11" t="str">
        <x:v>EPS</x:v>
      </x:c>
      <x:c r="E588" s="18" t="n">
        <x:v>0.131548</x:v>
      </x:c>
      <x:c r="F588" s="18" t="n">
        <x:v>10</x:v>
      </x:c>
      <x:c r="G588" s="18" t="n">
        <x:v>7.8</x:v>
      </x:c>
      <x:c r="H588" s="18" t="n">
        <x:v>0</x:v>
      </x:c>
      <x:c r="I588" s="18"/>
      <x:c r="J588" s="20"/>
      <x:c r="K588" s="22"/>
      <x:c r="L588" s="11" t="str">
        <x:v>lenovo-normalized-operating-dilution-v1.0</x:v>
      </x:c>
      <x:c r="M588" s="11" t="str">
        <x:v>2026-12-31</x:v>
      </x:c>
      <x:c r="O588" t="str">
        <x:v>USD</x:v>
      </x:c>
      <x:c r="V588" t="str">
        <x:v>2026-12-31</x:v>
      </x:c>
      <x:c r="W588" t="str">
        <x:v>待核</x:v>
      </x:c>
      <x:c r="X588" t="str">
        <x:v>周末已解析；节假日需交易所对应年度日历核验，实际交易日待核</x:v>
      </x:c>
    </x:row>
    <x:row r="589" ht="23" customHeight="1">
      <x:c r="A589" s="11" t="str">
        <x:v>00992.HK</x:v>
      </x:c>
      <x:c r="B589" s="11" t="str">
        <x:v>2026年底</x:v>
      </x:c>
      <x:c r="C589" s="11" t="str">
        <x:v>基准</x:v>
      </x:c>
      <x:c r="D589" s="11" t="str">
        <x:v>EPS</x:v>
      </x:c>
      <x:c r="E589" s="18" t="n">
        <x:v>0.266994</x:v>
      </x:c>
      <x:c r="F589" s="18" t="n">
        <x:v>18</x:v>
      </x:c>
      <x:c r="G589" s="18" t="n">
        <x:v>7.8</x:v>
      </x:c>
      <x:c r="H589" s="18" t="n">
        <x:v>0</x:v>
      </x:c>
      <x:c r="I589" s="18"/>
      <x:c r="J589" s="20"/>
      <x:c r="K589" s="22"/>
      <x:c r="L589" s="11" t="str">
        <x:v>lenovo-normalized-operating-dilution-v1.0</x:v>
      </x:c>
      <x:c r="M589" s="11" t="str">
        <x:v>2026-12-31</x:v>
      </x:c>
      <x:c r="O589" t="str">
        <x:v>USD</x:v>
      </x:c>
      <x:c r="V589" t="str">
        <x:v>2026-12-31</x:v>
      </x:c>
      <x:c r="W589" t="str">
        <x:v>待核</x:v>
      </x:c>
      <x:c r="X589" t="str">
        <x:v>周末已解析；节假日需交易所对应年度日历核验，实际交易日待核</x:v>
      </x:c>
    </x:row>
    <x:row r="590" ht="23" customHeight="1">
      <x:c r="A590" s="11" t="str">
        <x:v>00992.HK</x:v>
      </x:c>
      <x:c r="B590" s="11" t="str">
        <x:v>2026年底</x:v>
      </x:c>
      <x:c r="C590" s="11" t="str">
        <x:v>乐观</x:v>
      </x:c>
      <x:c r="D590" s="11" t="str">
        <x:v>EPS</x:v>
      </x:c>
      <x:c r="E590" s="18" t="n">
        <x:v>0.370075</x:v>
      </x:c>
      <x:c r="F590" s="18" t="n">
        <x:v>23</x:v>
      </x:c>
      <x:c r="G590" s="18" t="n">
        <x:v>7.8</x:v>
      </x:c>
      <x:c r="H590" s="18" t="n">
        <x:v>0</x:v>
      </x:c>
      <x:c r="I590" s="18"/>
      <x:c r="J590" s="20"/>
      <x:c r="K590" s="22"/>
      <x:c r="L590" s="11" t="str">
        <x:v>lenovo-normalized-operating-dilution-v1.0</x:v>
      </x:c>
      <x:c r="M590" s="11" t="str">
        <x:v>2026-12-31</x:v>
      </x:c>
      <x:c r="O590" t="str">
        <x:v>USD</x:v>
      </x:c>
      <x:c r="V590" t="str">
        <x:v>2026-12-31</x:v>
      </x:c>
      <x:c r="W590" t="str">
        <x:v>待核</x:v>
      </x:c>
      <x:c r="X590" t="str">
        <x:v>周末已解析；节假日需交易所对应年度日历核验，实际交易日待核</x:v>
      </x:c>
    </x:row>
    <x:row r="591" ht="23" customHeight="1">
      <x:c r="A591" s="15" t="str">
        <x:v>00992.HK</x:v>
      </x:c>
      <x:c r="B591" s="15" t="str">
        <x:v>半年</x:v>
      </x:c>
      <x:c r="C591" s="15" t="str">
        <x:v>活动输入</x:v>
      </x:c>
      <x:c r="D591" s="15" t="str">
        <x:v>EPS</x:v>
      </x:c>
      <x:c r="E591" s="17" t="n">
        <x:f>CHOOSE($B$3,E592,E593,E594)</x:f>
        <x:v>0.299975</x:v>
      </x:c>
      <x:c r="F591" s="17" t="n">
        <x:f>CHOOSE($B$3,F592,F593,F594)</x:f>
        <x:v>18.5</x:v>
      </x:c>
      <x:c r="G591" s="17" t="n">
        <x:f>CHOOSE($B$3,G592,G593,G594)</x:f>
        <x:v>7.8</x:v>
      </x:c>
      <x:c r="H591" s="17" t="n">
        <x:f>CHOOSE($B$3,H592,H593,H594)</x:f>
        <x:v>0.09</x:v>
      </x:c>
      <x:c r="I591" s="17" t="str">
        <x:f>CHOOSE($B$3,I592,I593,I594)</x:f>
      </x:c>
      <x:c r="J591" s="19" t="str">
        <x:f>CHOOSE($B$3,J592,J593,J594)</x:f>
      </x:c>
      <x:c r="K591" s="21" t="str">
        <x:f>CHOOSE($B$3,K592,K593,K594)</x:f>
      </x:c>
      <x:c r="L591" s="15" t="str">
        <x:v>lenovo-normalized-operating-dilution-v1.0</x:v>
      </x:c>
      <x:c r="M591" s="15" t="str">
        <x:v>2027-04-09</x:v>
      </x:c>
      <x:c r="O591" t="str">
        <x:v>USD</x:v>
      </x:c>
      <x:c r="V591" t="str">
        <x:v>2027-04-09</x:v>
      </x:c>
      <x:c r="W591" t="str">
        <x:v>待核</x:v>
      </x:c>
      <x:c r="X591" t="str">
        <x:v>周末已解析；节假日需交易所对应年度日历核验，实际交易日待核</x:v>
      </x:c>
    </x:row>
    <x:row r="592" ht="23" customHeight="1">
      <x:c r="A592" s="11" t="str">
        <x:v>00992.HK</x:v>
      </x:c>
      <x:c r="B592" s="11" t="str">
        <x:v>半年</x:v>
      </x:c>
      <x:c r="C592" s="11" t="str">
        <x:v>悲观</x:v>
      </x:c>
      <x:c r="D592" s="11" t="str">
        <x:v>EPS</x:v>
      </x:c>
      <x:c r="E592" s="18" t="n">
        <x:v>0.115765</x:v>
      </x:c>
      <x:c r="F592" s="18" t="n">
        <x:v>9</x:v>
      </x:c>
      <x:c r="G592" s="18" t="n">
        <x:v>7.8</x:v>
      </x:c>
      <x:c r="H592" s="18" t="n">
        <x:v>0.04</x:v>
      </x:c>
      <x:c r="I592" s="18"/>
      <x:c r="J592" s="20"/>
      <x:c r="K592" s="22"/>
      <x:c r="L592" s="11" t="str">
        <x:v>lenovo-normalized-operating-dilution-v1.0</x:v>
      </x:c>
      <x:c r="M592" s="11" t="str">
        <x:v>2027-04-09</x:v>
      </x:c>
      <x:c r="O592" t="str">
        <x:v>USD</x:v>
      </x:c>
      <x:c r="V592" t="str">
        <x:v>2027-04-09</x:v>
      </x:c>
      <x:c r="W592" t="str">
        <x:v>待核</x:v>
      </x:c>
      <x:c r="X592" t="str">
        <x:v>周末已解析；节假日需交易所对应年度日历核验，实际交易日待核</x:v>
      </x:c>
    </x:row>
    <x:row r="593" ht="23" customHeight="1">
      <x:c r="A593" s="11" t="str">
        <x:v>00992.HK</x:v>
      </x:c>
      <x:c r="B593" s="11" t="str">
        <x:v>半年</x:v>
      </x:c>
      <x:c r="C593" s="11" t="str">
        <x:v>基准</x:v>
      </x:c>
      <x:c r="D593" s="11" t="str">
        <x:v>EPS</x:v>
      </x:c>
      <x:c r="E593" s="18" t="n">
        <x:v>0.299975</x:v>
      </x:c>
      <x:c r="F593" s="18" t="n">
        <x:v>18.5</x:v>
      </x:c>
      <x:c r="G593" s="18" t="n">
        <x:v>7.8</x:v>
      </x:c>
      <x:c r="H593" s="18" t="n">
        <x:v>0.09</x:v>
      </x:c>
      <x:c r="I593" s="18"/>
      <x:c r="J593" s="20"/>
      <x:c r="K593" s="22"/>
      <x:c r="L593" s="11" t="str">
        <x:v>lenovo-normalized-operating-dilution-v1.0</x:v>
      </x:c>
      <x:c r="M593" s="11" t="str">
        <x:v>2027-04-09</x:v>
      </x:c>
      <x:c r="O593" t="str">
        <x:v>USD</x:v>
      </x:c>
      <x:c r="V593" t="str">
        <x:v>2027-04-09</x:v>
      </x:c>
      <x:c r="W593" t="str">
        <x:v>待核</x:v>
      </x:c>
      <x:c r="X593" t="str">
        <x:v>周末已解析；节假日需交易所对应年度日历核验，实际交易日待核</x:v>
      </x:c>
    </x:row>
    <x:row r="594" ht="23" customHeight="1">
      <x:c r="A594" s="11" t="str">
        <x:v>00992.HK</x:v>
      </x:c>
      <x:c r="B594" s="11" t="str">
        <x:v>半年</x:v>
      </x:c>
      <x:c r="C594" s="11" t="str">
        <x:v>乐观</x:v>
      </x:c>
      <x:c r="D594" s="11" t="str">
        <x:v>EPS</x:v>
      </x:c>
      <x:c r="E594" s="18" t="n">
        <x:v>0.443648</x:v>
      </x:c>
      <x:c r="F594" s="18" t="n">
        <x:v>24</x:v>
      </x:c>
      <x:c r="G594" s="18" t="n">
        <x:v>7.8</x:v>
      </x:c>
      <x:c r="H594" s="18" t="n">
        <x:v>0.14</x:v>
      </x:c>
      <x:c r="I594" s="18"/>
      <x:c r="J594" s="20"/>
      <x:c r="K594" s="22"/>
      <x:c r="L594" s="11" t="str">
        <x:v>lenovo-normalized-operating-dilution-v1.0</x:v>
      </x:c>
      <x:c r="M594" s="11" t="str">
        <x:v>2027-04-09</x:v>
      </x:c>
      <x:c r="O594" t="str">
        <x:v>USD</x:v>
      </x:c>
      <x:c r="V594" t="str">
        <x:v>2027-04-09</x:v>
      </x:c>
      <x:c r="W594" t="str">
        <x:v>待核</x:v>
      </x:c>
      <x:c r="X594" t="str">
        <x:v>周末已解析；节假日需交易所对应年度日历核验，实际交易日待核</x:v>
      </x:c>
    </x:row>
    <x:row r="595" ht="23" customHeight="1">
      <x:c r="A595" s="15" t="str">
        <x:v>00992.HK</x:v>
      </x:c>
      <x:c r="B595" s="15" t="str">
        <x:v>一年</x:v>
      </x:c>
      <x:c r="C595" s="15" t="str">
        <x:v>活动输入</x:v>
      </x:c>
      <x:c r="D595" s="15" t="str">
        <x:v>EPS</x:v>
      </x:c>
      <x:c r="E595" s="17" t="n">
        <x:f>CHOOSE($B$3,E596,E597,E598)</x:f>
        <x:v>0.340244</x:v>
      </x:c>
      <x:c r="F595" s="17" t="n">
        <x:f>CHOOSE($B$3,F596,F597,F598)</x:f>
        <x:v>19</x:v>
      </x:c>
      <x:c r="G595" s="17" t="n">
        <x:f>CHOOSE($B$3,G596,G597,G598)</x:f>
        <x:v>7.8</x:v>
      </x:c>
      <x:c r="H595" s="17" t="n">
        <x:f>CHOOSE($B$3,H596,H597,H598)</x:f>
        <x:v>0.55</x:v>
      </x:c>
      <x:c r="I595" s="17" t="str">
        <x:f>CHOOSE($B$3,I596,I597,I598)</x:f>
      </x:c>
      <x:c r="J595" s="19" t="str">
        <x:f>CHOOSE($B$3,J596,J597,J598)</x:f>
      </x:c>
      <x:c r="K595" s="21" t="str">
        <x:f>CHOOSE($B$3,K596,K597,K598)</x:f>
      </x:c>
      <x:c r="L595" s="15" t="str">
        <x:v>lenovo-normalized-operating-dilution-v1.0</x:v>
      </x:c>
      <x:c r="M595" s="15" t="str">
        <x:v>2027-10-09</x:v>
      </x:c>
      <x:c r="O595" t="str">
        <x:v>USD</x:v>
      </x:c>
      <x:c r="V595" t="str">
        <x:v>2027-10-08</x:v>
      </x:c>
      <x:c r="W595" t="str">
        <x:v>待核</x:v>
      </x:c>
      <x:c r="X595" t="str">
        <x:v>周末已解析；节假日需交易所对应年度日历核验，实际交易日待核</x:v>
      </x:c>
    </x:row>
    <x:row r="596" ht="23" customHeight="1">
      <x:c r="A596" s="11" t="str">
        <x:v>00992.HK</x:v>
      </x:c>
      <x:c r="B596" s="11" t="str">
        <x:v>一年</x:v>
      </x:c>
      <x:c r="C596" s="11" t="str">
        <x:v>悲观</x:v>
      </x:c>
      <x:c r="D596" s="11" t="str">
        <x:v>EPS</x:v>
      </x:c>
      <x:c r="E596" s="18" t="n">
        <x:v>0.115746</x:v>
      </x:c>
      <x:c r="F596" s="18" t="n">
        <x:v>9</x:v>
      </x:c>
      <x:c r="G596" s="18" t="n">
        <x:v>7.8</x:v>
      </x:c>
      <x:c r="H596" s="18" t="n">
        <x:v>0.3</x:v>
      </x:c>
      <x:c r="I596" s="18"/>
      <x:c r="J596" s="20"/>
      <x:c r="K596" s="22"/>
      <x:c r="L596" s="11" t="str">
        <x:v>lenovo-normalized-operating-dilution-v1.0</x:v>
      </x:c>
      <x:c r="M596" s="11" t="str">
        <x:v>2027-10-09</x:v>
      </x:c>
      <x:c r="O596" t="str">
        <x:v>USD</x:v>
      </x:c>
      <x:c r="V596" t="str">
        <x:v>2027-10-08</x:v>
      </x:c>
      <x:c r="W596" t="str">
        <x:v>待核</x:v>
      </x:c>
      <x:c r="X596" t="str">
        <x:v>周末已解析；节假日需交易所对应年度日历核验，实际交易日待核</x:v>
      </x:c>
    </x:row>
    <x:row r="597" ht="23" customHeight="1">
      <x:c r="A597" s="11" t="str">
        <x:v>00992.HK</x:v>
      </x:c>
      <x:c r="B597" s="11" t="str">
        <x:v>一年</x:v>
      </x:c>
      <x:c r="C597" s="11" t="str">
        <x:v>基准</x:v>
      </x:c>
      <x:c r="D597" s="11" t="str">
        <x:v>EPS</x:v>
      </x:c>
      <x:c r="E597" s="18" t="n">
        <x:v>0.340244</x:v>
      </x:c>
      <x:c r="F597" s="18" t="n">
        <x:v>19</x:v>
      </x:c>
      <x:c r="G597" s="18" t="n">
        <x:v>7.8</x:v>
      </x:c>
      <x:c r="H597" s="18" t="n">
        <x:v>0.55</x:v>
      </x:c>
      <x:c r="I597" s="18"/>
      <x:c r="J597" s="20"/>
      <x:c r="K597" s="22"/>
      <x:c r="L597" s="11" t="str">
        <x:v>lenovo-normalized-operating-dilution-v1.0</x:v>
      </x:c>
      <x:c r="M597" s="11" t="str">
        <x:v>2027-10-09</x:v>
      </x:c>
      <x:c r="O597" t="str">
        <x:v>USD</x:v>
      </x:c>
      <x:c r="V597" t="str">
        <x:v>2027-10-08</x:v>
      </x:c>
      <x:c r="W597" t="str">
        <x:v>待核</x:v>
      </x:c>
      <x:c r="X597" t="str">
        <x:v>周末已解析；节假日需交易所对应年度日历核验，实际交易日待核</x:v>
      </x:c>
    </x:row>
    <x:row r="598" ht="23" customHeight="1">
      <x:c r="A598" s="11" t="str">
        <x:v>00992.HK</x:v>
      </x:c>
      <x:c r="B598" s="11" t="str">
        <x:v>一年</x:v>
      </x:c>
      <x:c r="C598" s="11" t="str">
        <x:v>乐观</x:v>
      </x:c>
      <x:c r="D598" s="11" t="str">
        <x:v>EPS</x:v>
      </x:c>
      <x:c r="E598" s="18" t="n">
        <x:v>0.536478</x:v>
      </x:c>
      <x:c r="F598" s="18" t="n">
        <x:v>24.5</x:v>
      </x:c>
      <x:c r="G598" s="18" t="n">
        <x:v>7.8</x:v>
      </x:c>
      <x:c r="H598" s="18" t="n">
        <x:v>0.8</x:v>
      </x:c>
      <x:c r="I598" s="18"/>
      <x:c r="J598" s="20"/>
      <x:c r="K598" s="22"/>
      <x:c r="L598" s="11" t="str">
        <x:v>lenovo-normalized-operating-dilution-v1.0</x:v>
      </x:c>
      <x:c r="M598" s="11" t="str">
        <x:v>2027-10-09</x:v>
      </x:c>
      <x:c r="O598" t="str">
        <x:v>USD</x:v>
      </x:c>
      <x:c r="V598" t="str">
        <x:v>2027-10-08</x:v>
      </x:c>
      <x:c r="W598" t="str">
        <x:v>待核</x:v>
      </x:c>
      <x:c r="X598" t="str">
        <x:v>周末已解析；节假日需交易所对应年度日历核验，实际交易日待核</x:v>
      </x:c>
    </x:row>
    <x:row r="599" ht="23" customHeight="1">
      <x:c r="A599" s="15" t="str">
        <x:v>00992.HK</x:v>
      </x:c>
      <x:c r="B599" s="15" t="str">
        <x:v>三年</x:v>
      </x:c>
      <x:c r="C599" s="15" t="str">
        <x:v>活动输入</x:v>
      </x:c>
      <x:c r="D599" s="15" t="str">
        <x:v>EPS</x:v>
      </x:c>
      <x:c r="E599" s="17" t="n">
        <x:f>CHOOSE($B$3,E600,E601,E602)</x:f>
        <x:v>0.50241</x:v>
      </x:c>
      <x:c r="F599" s="17" t="n">
        <x:f>CHOOSE($B$3,F600,F601,F602)</x:f>
        <x:v>20</x:v>
      </x:c>
      <x:c r="G599" s="17" t="n">
        <x:f>CHOOSE($B$3,G600,G601,G602)</x:f>
        <x:v>7.8</x:v>
      </x:c>
      <x:c r="H599" s="17" t="n">
        <x:f>CHOOSE($B$3,H600,H601,H602)</x:f>
        <x:v>2.4</x:v>
      </x:c>
      <x:c r="I599" s="17" t="str">
        <x:f>CHOOSE($B$3,I600,I601,I602)</x:f>
      </x:c>
      <x:c r="J599" s="19" t="str">
        <x:f>CHOOSE($B$3,J600,J601,J602)</x:f>
      </x:c>
      <x:c r="K599" s="21" t="str">
        <x:f>CHOOSE($B$3,K600,K601,K602)</x:f>
      </x:c>
      <x:c r="L599" s="15" t="str">
        <x:v>lenovo-normalized-operating-dilution-v1.0</x:v>
      </x:c>
      <x:c r="M599" s="15" t="str">
        <x:v>2029-10-09</x:v>
      </x:c>
      <x:c r="O599" t="str">
        <x:v>USD</x:v>
      </x:c>
      <x:c r="V599" t="str">
        <x:v>2029-10-09</x:v>
      </x:c>
      <x:c r="W599" t="str">
        <x:v>待核</x:v>
      </x:c>
      <x:c r="X599" t="str">
        <x:v>周末已解析；节假日需交易所对应年度日历核验，实际交易日待核</x:v>
      </x:c>
    </x:row>
    <x:row r="600" ht="23" customHeight="1">
      <x:c r="A600" s="11" t="str">
        <x:v>00992.HK</x:v>
      </x:c>
      <x:c r="B600" s="11" t="str">
        <x:v>三年</x:v>
      </x:c>
      <x:c r="C600" s="11" t="str">
        <x:v>悲观</x:v>
      </x:c>
      <x:c r="D600" s="11" t="str">
        <x:v>EPS</x:v>
      </x:c>
      <x:c r="E600" s="18" t="n">
        <x:v>0.109187</x:v>
      </x:c>
      <x:c r="F600" s="18" t="n">
        <x:v>8</x:v>
      </x:c>
      <x:c r="G600" s="18" t="n">
        <x:v>7.8</x:v>
      </x:c>
      <x:c r="H600" s="18" t="n">
        <x:v>0.9</x:v>
      </x:c>
      <x:c r="I600" s="18"/>
      <x:c r="J600" s="20"/>
      <x:c r="K600" s="22"/>
      <x:c r="L600" s="11" t="str">
        <x:v>lenovo-normalized-operating-dilution-v1.0</x:v>
      </x:c>
      <x:c r="M600" s="11" t="str">
        <x:v>2029-10-09</x:v>
      </x:c>
      <x:c r="O600" t="str">
        <x:v>USD</x:v>
      </x:c>
      <x:c r="V600" t="str">
        <x:v>2029-10-09</x:v>
      </x:c>
      <x:c r="W600" t="str">
        <x:v>待核</x:v>
      </x:c>
      <x:c r="X600" t="str">
        <x:v>周末已解析；节假日需交易所对应年度日历核验，实际交易日待核</x:v>
      </x:c>
    </x:row>
    <x:row r="601" ht="23" customHeight="1">
      <x:c r="A601" s="11" t="str">
        <x:v>00992.HK</x:v>
      </x:c>
      <x:c r="B601" s="11" t="str">
        <x:v>三年</x:v>
      </x:c>
      <x:c r="C601" s="11" t="str">
        <x:v>基准</x:v>
      </x:c>
      <x:c r="D601" s="11" t="str">
        <x:v>EPS</x:v>
      </x:c>
      <x:c r="E601" s="18" t="n">
        <x:v>0.50241</x:v>
      </x:c>
      <x:c r="F601" s="18" t="n">
        <x:v>20</x:v>
      </x:c>
      <x:c r="G601" s="18" t="n">
        <x:v>7.8</x:v>
      </x:c>
      <x:c r="H601" s="18" t="n">
        <x:v>2.4</x:v>
      </x:c>
      <x:c r="I601" s="18"/>
      <x:c r="J601" s="20"/>
      <x:c r="K601" s="22"/>
      <x:c r="L601" s="11" t="str">
        <x:v>lenovo-normalized-operating-dilution-v1.0</x:v>
      </x:c>
      <x:c r="M601" s="11" t="str">
        <x:v>2029-10-09</x:v>
      </x:c>
      <x:c r="O601" t="str">
        <x:v>USD</x:v>
      </x:c>
      <x:c r="V601" t="str">
        <x:v>2029-10-09</x:v>
      </x:c>
      <x:c r="W601" t="str">
        <x:v>待核</x:v>
      </x:c>
      <x:c r="X601" t="str">
        <x:v>周末已解析；节假日需交易所对应年度日历核验，实际交易日待核</x:v>
      </x:c>
    </x:row>
    <x:row r="602" ht="23" customHeight="1">
      <x:c r="A602" s="11" t="str">
        <x:v>00992.HK</x:v>
      </x:c>
      <x:c r="B602" s="11" t="str">
        <x:v>三年</x:v>
      </x:c>
      <x:c r="C602" s="11" t="str">
        <x:v>乐观</x:v>
      </x:c>
      <x:c r="D602" s="11" t="str">
        <x:v>EPS</x:v>
      </x:c>
      <x:c r="E602" s="18" t="n">
        <x:v>0.944403</x:v>
      </x:c>
      <x:c r="F602" s="18" t="n">
        <x:v>25</x:v>
      </x:c>
      <x:c r="G602" s="18" t="n">
        <x:v>7.8</x:v>
      </x:c>
      <x:c r="H602" s="18" t="n">
        <x:v>4</x:v>
      </x:c>
      <x:c r="I602" s="18"/>
      <x:c r="J602" s="20"/>
      <x:c r="K602" s="22"/>
      <x:c r="L602" s="11" t="str">
        <x:v>lenovo-normalized-operating-dilution-v1.0</x:v>
      </x:c>
      <x:c r="M602" s="11" t="str">
        <x:v>2029-10-09</x:v>
      </x:c>
      <x:c r="O602" t="str">
        <x:v>USD</x:v>
      </x:c>
      <x:c r="V602" t="str">
        <x:v>2029-10-09</x:v>
      </x:c>
      <x:c r="W602" t="str">
        <x:v>待核</x:v>
      </x:c>
      <x:c r="X602" t="str">
        <x:v>周末已解析；节假日需交易所对应年度日历核验，实际交易日待核</x:v>
      </x:c>
    </x:row>
    <x:row r="603" ht="23" customHeight="1">
      <x:c r="A603" s="15" t="str">
        <x:v>00992.HK</x:v>
      </x:c>
      <x:c r="B603" s="15" t="str">
        <x:v>五年</x:v>
      </x:c>
      <x:c r="C603" s="15" t="str">
        <x:v>活动输入</x:v>
      </x:c>
      <x:c r="D603" s="15" t="str">
        <x:v>EPS</x:v>
      </x:c>
      <x:c r="E603" s="17" t="n">
        <x:f>CHOOSE($B$3,E604,E605,E606)</x:f>
        <x:v>0.643432</x:v>
      </x:c>
      <x:c r="F603" s="17" t="n">
        <x:f>CHOOSE($B$3,F604,F605,F606)</x:f>
        <x:v>20</x:v>
      </x:c>
      <x:c r="G603" s="17" t="n">
        <x:f>CHOOSE($B$3,G604,G605,G606)</x:f>
        <x:v>7.8</x:v>
      </x:c>
      <x:c r="H603" s="17" t="n">
        <x:f>CHOOSE($B$3,H604,H605,H606)</x:f>
        <x:v>4.7</x:v>
      </x:c>
      <x:c r="I603" s="17" t="str">
        <x:f>CHOOSE($B$3,I604,I605,I606)</x:f>
      </x:c>
      <x:c r="J603" s="19" t="str">
        <x:f>CHOOSE($B$3,J604,J605,J606)</x:f>
      </x:c>
      <x:c r="K603" s="21" t="str">
        <x:f>CHOOSE($B$3,K604,K605,K606)</x:f>
      </x:c>
      <x:c r="L603" s="15" t="str">
        <x:v>lenovo-normalized-operating-dilution-v1.0</x:v>
      </x:c>
      <x:c r="M603" s="15" t="str">
        <x:v>2031-10-09</x:v>
      </x:c>
      <x:c r="O603" t="str">
        <x:v>USD</x:v>
      </x:c>
      <x:c r="V603" t="str">
        <x:v>2031-10-09</x:v>
      </x:c>
      <x:c r="W603" t="str">
        <x:v>待核</x:v>
      </x:c>
      <x:c r="X603" t="str">
        <x:v>周末已解析；节假日需交易所对应年度日历核验，实际交易日待核</x:v>
      </x:c>
    </x:row>
    <x:row r="604" ht="23" customHeight="1">
      <x:c r="A604" s="11" t="str">
        <x:v>00992.HK</x:v>
      </x:c>
      <x:c r="B604" s="11" t="str">
        <x:v>五年</x:v>
      </x:c>
      <x:c r="C604" s="11" t="str">
        <x:v>悲观</x:v>
      </x:c>
      <x:c r="D604" s="11" t="str">
        <x:v>EPS</x:v>
      </x:c>
      <x:c r="E604" s="18" t="n">
        <x:v>0.100875</x:v>
      </x:c>
      <x:c r="F604" s="18" t="n">
        <x:v>7.5</x:v>
      </x:c>
      <x:c r="G604" s="18" t="n">
        <x:v>7.8</x:v>
      </x:c>
      <x:c r="H604" s="18" t="n">
        <x:v>1.5</x:v>
      </x:c>
      <x:c r="I604" s="18"/>
      <x:c r="J604" s="20"/>
      <x:c r="K604" s="22"/>
      <x:c r="L604" s="11" t="str">
        <x:v>lenovo-normalized-operating-dilution-v1.0</x:v>
      </x:c>
      <x:c r="M604" s="11" t="str">
        <x:v>2031-10-09</x:v>
      </x:c>
      <x:c r="O604" t="str">
        <x:v>USD</x:v>
      </x:c>
      <x:c r="V604" t="str">
        <x:v>2031-10-09</x:v>
      </x:c>
      <x:c r="W604" t="str">
        <x:v>待核</x:v>
      </x:c>
      <x:c r="X604" t="str">
        <x:v>周末已解析；节假日需交易所对应年度日历核验，实际交易日待核</x:v>
      </x:c>
    </x:row>
    <x:row r="605" ht="23" customHeight="1">
      <x:c r="A605" s="11" t="str">
        <x:v>00992.HK</x:v>
      </x:c>
      <x:c r="B605" s="11" t="str">
        <x:v>五年</x:v>
      </x:c>
      <x:c r="C605" s="11" t="str">
        <x:v>基准</x:v>
      </x:c>
      <x:c r="D605" s="11" t="str">
        <x:v>EPS</x:v>
      </x:c>
      <x:c r="E605" s="18" t="n">
        <x:v>0.643432</x:v>
      </x:c>
      <x:c r="F605" s="18" t="n">
        <x:v>20</x:v>
      </x:c>
      <x:c r="G605" s="18" t="n">
        <x:v>7.8</x:v>
      </x:c>
      <x:c r="H605" s="18" t="n">
        <x:v>4.7</x:v>
      </x:c>
      <x:c r="I605" s="18"/>
      <x:c r="J605" s="20"/>
      <x:c r="K605" s="22"/>
      <x:c r="L605" s="11" t="str">
        <x:v>lenovo-normalized-operating-dilution-v1.0</x:v>
      </x:c>
      <x:c r="M605" s="11" t="str">
        <x:v>2031-10-09</x:v>
      </x:c>
      <x:c r="O605" t="str">
        <x:v>USD</x:v>
      </x:c>
      <x:c r="V605" t="str">
        <x:v>2031-10-09</x:v>
      </x:c>
      <x:c r="W605" t="str">
        <x:v>待核</x:v>
      </x:c>
      <x:c r="X605" t="str">
        <x:v>周末已解析；节假日需交易所对应年度日历核验，实际交易日待核</x:v>
      </x:c>
    </x:row>
    <x:row r="606" ht="23" customHeight="1">
      <x:c r="A606" s="11" t="str">
        <x:v>00992.HK</x:v>
      </x:c>
      <x:c r="B606" s="11" t="str">
        <x:v>五年</x:v>
      </x:c>
      <x:c r="C606" s="11" t="str">
        <x:v>乐观</x:v>
      </x:c>
      <x:c r="D606" s="11" t="str">
        <x:v>EPS</x:v>
      </x:c>
      <x:c r="E606" s="18" t="n">
        <x:v>1.351</x:v>
      </x:c>
      <x:c r="F606" s="18" t="n">
        <x:v>25</x:v>
      </x:c>
      <x:c r="G606" s="18" t="n">
        <x:v>7.8</x:v>
      </x:c>
      <x:c r="H606" s="18" t="n">
        <x:v>8</x:v>
      </x:c>
      <x:c r="I606" s="18"/>
      <x:c r="J606" s="20"/>
      <x:c r="K606" s="22"/>
      <x:c r="L606" s="11" t="str">
        <x:v>lenovo-normalized-operating-dilution-v1.0</x:v>
      </x:c>
      <x:c r="M606" s="11" t="str">
        <x:v>2031-10-09</x:v>
      </x:c>
      <x:c r="O606" t="str">
        <x:v>USD</x:v>
      </x:c>
      <x:c r="V606" t="str">
        <x:v>2031-10-09</x:v>
      </x:c>
      <x:c r="W606" t="str">
        <x:v>待核</x:v>
      </x:c>
      <x:c r="X606" t="str">
        <x:v>周末已解析；节假日需交易所对应年度日历核验，实际交易日待核</x:v>
      </x:c>
    </x:row>
    <x:row r="607" ht="23" customHeight="1">
      <x:c r="A607" s="15" t="str">
        <x:v>01513.HK</x:v>
      </x:c>
      <x:c r="B607" s="15" t="str">
        <x:v>2026年底</x:v>
      </x:c>
      <x:c r="C607" s="15" t="str">
        <x:v>活动输入</x:v>
      </x:c>
      <x:c r="D607" s="15" t="str">
        <x:v>EPS</x:v>
      </x:c>
      <x:c r="E607" s="17" t="n">
        <x:f>CHOOSE($B$3,E608,E609,E610)</x:f>
        <x:v>1.95</x:v>
      </x:c>
      <x:c r="F607" s="17" t="n">
        <x:f>CHOOSE($B$3,F608,F609,F610)</x:f>
        <x:v>10.5</x:v>
      </x:c>
      <x:c r="G607" s="17" t="n">
        <x:f>CHOOSE($B$3,G608,G609,G610)</x:f>
        <x:v>1.1</x:v>
      </x:c>
      <x:c r="H607" s="17" t="n">
        <x:f>CHOOSE($B$3,H608,H609,H610)</x:f>
        <x:v>1.185</x:v>
      </x:c>
      <x:c r="I607" s="17" t="str">
        <x:f>CHOOSE($B$3,I608,I609,I610)</x:f>
      </x:c>
      <x:c r="J607" s="19" t="str">
        <x:f>CHOOSE($B$3,J608,J609,J610)</x:f>
      </x:c>
      <x:c r="K607" s="21" t="str">
        <x:f>CHOOSE($B$3,K608,K609,K610)</x:f>
      </x:c>
      <x:c r="L607" s="15" t="str">
        <x:v>livzon-H-normalized-pe-v1.0</x:v>
      </x:c>
      <x:c r="M607" s="15" t="str">
        <x:v>2026-12-31</x:v>
      </x:c>
      <x:c r="O607" t="str">
        <x:v>CNY</x:v>
      </x:c>
      <x:c r="V607" t="str">
        <x:v>2026-12-31</x:v>
      </x:c>
      <x:c r="W607" t="str">
        <x:v>待核</x:v>
      </x:c>
      <x:c r="X607" t="str">
        <x:v>周末已解析；节假日需交易所对应年度日历核验，实际交易日待核</x:v>
      </x:c>
    </x:row>
    <x:row r="608" ht="23" customHeight="1">
      <x:c r="A608" s="11" t="str">
        <x:v>01513.HK</x:v>
      </x:c>
      <x:c r="B608" s="11" t="str">
        <x:v>2026年底</x:v>
      </x:c>
      <x:c r="C608" s="11" t="str">
        <x:v>悲观</x:v>
      </x:c>
      <x:c r="D608" s="11" t="str">
        <x:v>EPS</x:v>
      </x:c>
      <x:c r="E608" s="18" t="n">
        <x:v>1.6</x:v>
      </x:c>
      <x:c r="F608" s="18" t="n">
        <x:v>8</x:v>
      </x:c>
      <x:c r="G608" s="18" t="n">
        <x:v>1.1</x:v>
      </x:c>
      <x:c r="H608" s="18" t="n">
        <x:v>1.185</x:v>
      </x:c>
      <x:c r="I608" s="18"/>
      <x:c r="J608" s="20"/>
      <x:c r="K608" s="22"/>
      <x:c r="L608" s="11" t="str">
        <x:v>livzon-H-normalized-pe-v1.0</x:v>
      </x:c>
      <x:c r="M608" s="11" t="str">
        <x:v>2026-12-31</x:v>
      </x:c>
      <x:c r="O608" t="str">
        <x:v>CNY</x:v>
      </x:c>
      <x:c r="V608" t="str">
        <x:v>2026-12-31</x:v>
      </x:c>
      <x:c r="W608" t="str">
        <x:v>待核</x:v>
      </x:c>
      <x:c r="X608" t="str">
        <x:v>周末已解析；节假日需交易所对应年度日历核验，实际交易日待核</x:v>
      </x:c>
    </x:row>
    <x:row r="609" ht="23" customHeight="1">
      <x:c r="A609" s="11" t="str">
        <x:v>01513.HK</x:v>
      </x:c>
      <x:c r="B609" s="11" t="str">
        <x:v>2026年底</x:v>
      </x:c>
      <x:c r="C609" s="11" t="str">
        <x:v>基准</x:v>
      </x:c>
      <x:c r="D609" s="11" t="str">
        <x:v>EPS</x:v>
      </x:c>
      <x:c r="E609" s="18" t="n">
        <x:v>1.95</x:v>
      </x:c>
      <x:c r="F609" s="18" t="n">
        <x:v>10.5</x:v>
      </x:c>
      <x:c r="G609" s="18" t="n">
        <x:v>1.1</x:v>
      </x:c>
      <x:c r="H609" s="18" t="n">
        <x:v>1.185</x:v>
      </x:c>
      <x:c r="I609" s="18"/>
      <x:c r="J609" s="20"/>
      <x:c r="K609" s="22"/>
      <x:c r="L609" s="11" t="str">
        <x:v>livzon-H-normalized-pe-v1.0</x:v>
      </x:c>
      <x:c r="M609" s="11" t="str">
        <x:v>2026-12-31</x:v>
      </x:c>
      <x:c r="O609" t="str">
        <x:v>CNY</x:v>
      </x:c>
      <x:c r="V609" t="str">
        <x:v>2026-12-31</x:v>
      </x:c>
      <x:c r="W609" t="str">
        <x:v>待核</x:v>
      </x:c>
      <x:c r="X609" t="str">
        <x:v>周末已解析；节假日需交易所对应年度日历核验，实际交易日待核</x:v>
      </x:c>
    </x:row>
    <x:row r="610" ht="23" customHeight="1">
      <x:c r="A610" s="11" t="str">
        <x:v>01513.HK</x:v>
      </x:c>
      <x:c r="B610" s="11" t="str">
        <x:v>2026年底</x:v>
      </x:c>
      <x:c r="C610" s="11" t="str">
        <x:v>乐观</x:v>
      </x:c>
      <x:c r="D610" s="11" t="str">
        <x:v>EPS</x:v>
      </x:c>
      <x:c r="E610" s="18" t="n">
        <x:v>2.2</x:v>
      </x:c>
      <x:c r="F610" s="18" t="n">
        <x:v>13</x:v>
      </x:c>
      <x:c r="G610" s="18" t="n">
        <x:v>1.1</x:v>
      </x:c>
      <x:c r="H610" s="18" t="n">
        <x:v>1.185</x:v>
      </x:c>
      <x:c r="I610" s="18"/>
      <x:c r="J610" s="20"/>
      <x:c r="K610" s="22"/>
      <x:c r="L610" s="11" t="str">
        <x:v>livzon-H-normalized-pe-v1.0</x:v>
      </x:c>
      <x:c r="M610" s="11" t="str">
        <x:v>2026-12-31</x:v>
      </x:c>
      <x:c r="O610" t="str">
        <x:v>CNY</x:v>
      </x:c>
      <x:c r="V610" t="str">
        <x:v>2026-12-31</x:v>
      </x:c>
      <x:c r="W610" t="str">
        <x:v>待核</x:v>
      </x:c>
      <x:c r="X610" t="str">
        <x:v>周末已解析；节假日需交易所对应年度日历核验，实际交易日待核</x:v>
      </x:c>
    </x:row>
    <x:row r="611" ht="23" customHeight="1">
      <x:c r="A611" s="15" t="str">
        <x:v>01513.HK</x:v>
      </x:c>
      <x:c r="B611" s="15" t="str">
        <x:v>半年</x:v>
      </x:c>
      <x:c r="C611" s="15" t="str">
        <x:v>活动输入</x:v>
      </x:c>
      <x:c r="D611" s="15" t="str">
        <x:v>EPS</x:v>
      </x:c>
      <x:c r="E611" s="17" t="n">
        <x:f>CHOOSE($B$3,E612,E613,E614)</x:f>
        <x:v>2.1</x:v>
      </x:c>
      <x:c r="F611" s="17" t="n">
        <x:f>CHOOSE($B$3,F612,F613,F614)</x:f>
        <x:v>11.5</x:v>
      </x:c>
      <x:c r="G611" s="17" t="n">
        <x:f>CHOOSE($B$3,G612,G613,G614)</x:f>
        <x:v>1.1</x:v>
      </x:c>
      <x:c r="H611" s="17" t="n">
        <x:f>CHOOSE($B$3,H612,H613,H614)</x:f>
        <x:v>1.185</x:v>
      </x:c>
      <x:c r="I611" s="17" t="str">
        <x:f>CHOOSE($B$3,I612,I613,I614)</x:f>
      </x:c>
      <x:c r="J611" s="19" t="str">
        <x:f>CHOOSE($B$3,J612,J613,J614)</x:f>
      </x:c>
      <x:c r="K611" s="21" t="str">
        <x:f>CHOOSE($B$3,K612,K613,K614)</x:f>
      </x:c>
      <x:c r="L611" s="15" t="str">
        <x:v>livzon-H-normalized-pe-v1.0</x:v>
      </x:c>
      <x:c r="M611" s="15" t="str">
        <x:v>2027-04-09</x:v>
      </x:c>
      <x:c r="O611" t="str">
        <x:v>CNY</x:v>
      </x:c>
      <x:c r="V611" t="str">
        <x:v>2027-04-09</x:v>
      </x:c>
      <x:c r="W611" t="str">
        <x:v>待核</x:v>
      </x:c>
      <x:c r="X611" t="str">
        <x:v>周末已解析；节假日需交易所对应年度日历核验，实际交易日待核</x:v>
      </x:c>
    </x:row>
    <x:row r="612" ht="23" customHeight="1">
      <x:c r="A612" s="11" t="str">
        <x:v>01513.HK</x:v>
      </x:c>
      <x:c r="B612" s="11" t="str">
        <x:v>半年</x:v>
      </x:c>
      <x:c r="C612" s="11" t="str">
        <x:v>悲观</x:v>
      </x:c>
      <x:c r="D612" s="11" t="str">
        <x:v>EPS</x:v>
      </x:c>
      <x:c r="E612" s="18" t="n">
        <x:v>1.65</x:v>
      </x:c>
      <x:c r="F612" s="18" t="n">
        <x:v>8</x:v>
      </x:c>
      <x:c r="G612" s="18" t="n">
        <x:v>1.1</x:v>
      </x:c>
      <x:c r="H612" s="18" t="n">
        <x:v>1.185</x:v>
      </x:c>
      <x:c r="I612" s="18"/>
      <x:c r="J612" s="20"/>
      <x:c r="K612" s="22"/>
      <x:c r="L612" s="11" t="str">
        <x:v>livzon-H-normalized-pe-v1.0</x:v>
      </x:c>
      <x:c r="M612" s="11" t="str">
        <x:v>2027-04-09</x:v>
      </x:c>
      <x:c r="O612" t="str">
        <x:v>CNY</x:v>
      </x:c>
      <x:c r="V612" t="str">
        <x:v>2027-04-09</x:v>
      </x:c>
      <x:c r="W612" t="str">
        <x:v>待核</x:v>
      </x:c>
      <x:c r="X612" t="str">
        <x:v>周末已解析；节假日需交易所对应年度日历核验，实际交易日待核</x:v>
      </x:c>
    </x:row>
    <x:row r="613" ht="23" customHeight="1">
      <x:c r="A613" s="11" t="str">
        <x:v>01513.HK</x:v>
      </x:c>
      <x:c r="B613" s="11" t="str">
        <x:v>半年</x:v>
      </x:c>
      <x:c r="C613" s="11" t="str">
        <x:v>基准</x:v>
      </x:c>
      <x:c r="D613" s="11" t="str">
        <x:v>EPS</x:v>
      </x:c>
      <x:c r="E613" s="18" t="n">
        <x:v>2.1</x:v>
      </x:c>
      <x:c r="F613" s="18" t="n">
        <x:v>11.5</x:v>
      </x:c>
      <x:c r="G613" s="18" t="n">
        <x:v>1.1</x:v>
      </x:c>
      <x:c r="H613" s="18" t="n">
        <x:v>1.185</x:v>
      </x:c>
      <x:c r="I613" s="18"/>
      <x:c r="J613" s="20"/>
      <x:c r="K613" s="22"/>
      <x:c r="L613" s="11" t="str">
        <x:v>livzon-H-normalized-pe-v1.0</x:v>
      </x:c>
      <x:c r="M613" s="11" t="str">
        <x:v>2027-04-09</x:v>
      </x:c>
      <x:c r="O613" t="str">
        <x:v>CNY</x:v>
      </x:c>
      <x:c r="V613" t="str">
        <x:v>2027-04-09</x:v>
      </x:c>
      <x:c r="W613" t="str">
        <x:v>待核</x:v>
      </x:c>
      <x:c r="X613" t="str">
        <x:v>周末已解析；节假日需交易所对应年度日历核验，实际交易日待核</x:v>
      </x:c>
    </x:row>
    <x:row r="614" ht="23" customHeight="1">
      <x:c r="A614" s="11" t="str">
        <x:v>01513.HK</x:v>
      </x:c>
      <x:c r="B614" s="11" t="str">
        <x:v>半年</x:v>
      </x:c>
      <x:c r="C614" s="11" t="str">
        <x:v>乐观</x:v>
      </x:c>
      <x:c r="D614" s="11" t="str">
        <x:v>EPS</x:v>
      </x:c>
      <x:c r="E614" s="18" t="n">
        <x:v>2.55</x:v>
      </x:c>
      <x:c r="F614" s="18" t="n">
        <x:v>15</x:v>
      </x:c>
      <x:c r="G614" s="18" t="n">
        <x:v>1.1</x:v>
      </x:c>
      <x:c r="H614" s="18" t="n">
        <x:v>1.185</x:v>
      </x:c>
      <x:c r="I614" s="18"/>
      <x:c r="J614" s="20"/>
      <x:c r="K614" s="22"/>
      <x:c r="L614" s="11" t="str">
        <x:v>livzon-H-normalized-pe-v1.0</x:v>
      </x:c>
      <x:c r="M614" s="11" t="str">
        <x:v>2027-04-09</x:v>
      </x:c>
      <x:c r="O614" t="str">
        <x:v>CNY</x:v>
      </x:c>
      <x:c r="V614" t="str">
        <x:v>2027-04-09</x:v>
      </x:c>
      <x:c r="W614" t="str">
        <x:v>待核</x:v>
      </x:c>
      <x:c r="X614" t="str">
        <x:v>周末已解析；节假日需交易所对应年度日历核验，实际交易日待核</x:v>
      </x:c>
    </x:row>
    <x:row r="615" ht="23" customHeight="1">
      <x:c r="A615" s="15" t="str">
        <x:v>01513.HK</x:v>
      </x:c>
      <x:c r="B615" s="15" t="str">
        <x:v>一年</x:v>
      </x:c>
      <x:c r="C615" s="15" t="str">
        <x:v>活动输入</x:v>
      </x:c>
      <x:c r="D615" s="15" t="str">
        <x:v>EPS</x:v>
      </x:c>
      <x:c r="E615" s="17" t="n">
        <x:f>CHOOSE($B$3,E616,E617,E618)</x:f>
        <x:v>2.3</x:v>
      </x:c>
      <x:c r="F615" s="17" t="n">
        <x:f>CHOOSE($B$3,F616,F617,F618)</x:f>
        <x:v>12</x:v>
      </x:c>
      <x:c r="G615" s="17" t="n">
        <x:f>CHOOSE($B$3,G616,G617,G618)</x:f>
        <x:v>1.1</x:v>
      </x:c>
      <x:c r="H615" s="17" t="n">
        <x:f>CHOOSE($B$3,H616,H617,H618)</x:f>
        <x:v>2.505</x:v>
      </x:c>
      <x:c r="I615" s="17" t="str">
        <x:f>CHOOSE($B$3,I616,I617,I618)</x:f>
      </x:c>
      <x:c r="J615" s="19" t="str">
        <x:f>CHOOSE($B$3,J616,J617,J618)</x:f>
      </x:c>
      <x:c r="K615" s="21" t="str">
        <x:f>CHOOSE($B$3,K616,K617,K618)</x:f>
      </x:c>
      <x:c r="L615" s="15" t="str">
        <x:v>livzon-H-normalized-pe-v1.0</x:v>
      </x:c>
      <x:c r="M615" s="15" t="str">
        <x:v>2027-10-08</x:v>
      </x:c>
      <x:c r="O615" t="str">
        <x:v>CNY</x:v>
      </x:c>
      <x:c r="V615" t="str">
        <x:v>2027-10-08</x:v>
      </x:c>
      <x:c r="W615" t="str">
        <x:v>待核</x:v>
      </x:c>
      <x:c r="X615" t="str">
        <x:v>周末已解析；节假日需交易所对应年度日历核验，实际交易日待核</x:v>
      </x:c>
    </x:row>
    <x:row r="616" ht="23" customHeight="1">
      <x:c r="A616" s="11" t="str">
        <x:v>01513.HK</x:v>
      </x:c>
      <x:c r="B616" s="11" t="str">
        <x:v>一年</x:v>
      </x:c>
      <x:c r="C616" s="11" t="str">
        <x:v>悲观</x:v>
      </x:c>
      <x:c r="D616" s="11" t="str">
        <x:v>EPS</x:v>
      </x:c>
      <x:c r="E616" s="18" t="n">
        <x:v>1.7</x:v>
      </x:c>
      <x:c r="F616" s="18" t="n">
        <x:v>8</x:v>
      </x:c>
      <x:c r="G616" s="18" t="n">
        <x:v>1.1</x:v>
      </x:c>
      <x:c r="H616" s="18" t="n">
        <x:v>2.05</x:v>
      </x:c>
      <x:c r="I616" s="18"/>
      <x:c r="J616" s="20"/>
      <x:c r="K616" s="22"/>
      <x:c r="L616" s="11" t="str">
        <x:v>livzon-H-normalized-pe-v1.0</x:v>
      </x:c>
      <x:c r="M616" s="11" t="str">
        <x:v>2027-10-08</x:v>
      </x:c>
      <x:c r="O616" t="str">
        <x:v>CNY</x:v>
      </x:c>
      <x:c r="V616" t="str">
        <x:v>2027-10-08</x:v>
      </x:c>
      <x:c r="W616" t="str">
        <x:v>待核</x:v>
      </x:c>
      <x:c r="X616" t="str">
        <x:v>周末已解析；节假日需交易所对应年度日历核验，实际交易日待核</x:v>
      </x:c>
    </x:row>
    <x:row r="617" ht="23" customHeight="1">
      <x:c r="A617" s="11" t="str">
        <x:v>01513.HK</x:v>
      </x:c>
      <x:c r="B617" s="11" t="str">
        <x:v>一年</x:v>
      </x:c>
      <x:c r="C617" s="11" t="str">
        <x:v>基准</x:v>
      </x:c>
      <x:c r="D617" s="11" t="str">
        <x:v>EPS</x:v>
      </x:c>
      <x:c r="E617" s="18" t="n">
        <x:v>2.3</x:v>
      </x:c>
      <x:c r="F617" s="18" t="n">
        <x:v>12</x:v>
      </x:c>
      <x:c r="G617" s="18" t="n">
        <x:v>1.1</x:v>
      </x:c>
      <x:c r="H617" s="18" t="n">
        <x:v>2.505</x:v>
      </x:c>
      <x:c r="I617" s="18"/>
      <x:c r="J617" s="20"/>
      <x:c r="K617" s="22"/>
      <x:c r="L617" s="11" t="str">
        <x:v>livzon-H-normalized-pe-v1.0</x:v>
      </x:c>
      <x:c r="M617" s="11" t="str">
        <x:v>2027-10-08</x:v>
      </x:c>
      <x:c r="O617" t="str">
        <x:v>CNY</x:v>
      </x:c>
      <x:c r="V617" t="str">
        <x:v>2027-10-08</x:v>
      </x:c>
      <x:c r="W617" t="str">
        <x:v>待核</x:v>
      </x:c>
      <x:c r="X617" t="str">
        <x:v>周末已解析；节假日需交易所对应年度日历核验，实际交易日待核</x:v>
      </x:c>
    </x:row>
    <x:row r="618" ht="23" customHeight="1">
      <x:c r="A618" s="11" t="str">
        <x:v>01513.HK</x:v>
      </x:c>
      <x:c r="B618" s="11" t="str">
        <x:v>一年</x:v>
      </x:c>
      <x:c r="C618" s="11" t="str">
        <x:v>乐观</x:v>
      </x:c>
      <x:c r="D618" s="11" t="str">
        <x:v>EPS</x:v>
      </x:c>
      <x:c r="E618" s="18" t="n">
        <x:v>2.9</x:v>
      </x:c>
      <x:c r="F618" s="18" t="n">
        <x:v>16</x:v>
      </x:c>
      <x:c r="G618" s="18" t="n">
        <x:v>1.1</x:v>
      </x:c>
      <x:c r="H618" s="18" t="n">
        <x:v>2.835</x:v>
      </x:c>
      <x:c r="I618" s="18"/>
      <x:c r="J618" s="20"/>
      <x:c r="K618" s="22"/>
      <x:c r="L618" s="11" t="str">
        <x:v>livzon-H-normalized-pe-v1.0</x:v>
      </x:c>
      <x:c r="M618" s="11" t="str">
        <x:v>2027-10-08</x:v>
      </x:c>
      <x:c r="O618" t="str">
        <x:v>CNY</x:v>
      </x:c>
      <x:c r="V618" t="str">
        <x:v>2027-10-08</x:v>
      </x:c>
      <x:c r="W618" t="str">
        <x:v>待核</x:v>
      </x:c>
      <x:c r="X618" t="str">
        <x:v>周末已解析；节假日需交易所对应年度日历核验，实际交易日待核</x:v>
      </x:c>
    </x:row>
    <x:row r="619" ht="23" customHeight="1">
      <x:c r="A619" s="15" t="str">
        <x:v>01513.HK</x:v>
      </x:c>
      <x:c r="B619" s="15" t="str">
        <x:v>三年</x:v>
      </x:c>
      <x:c r="C619" s="15" t="str">
        <x:v>活动输入</x:v>
      </x:c>
      <x:c r="D619" s="15" t="str">
        <x:v>EPS</x:v>
      </x:c>
      <x:c r="E619" s="17" t="n">
        <x:f>CHOOSE($B$3,E620,E621,E622)</x:f>
        <x:v>2.9</x:v>
      </x:c>
      <x:c r="F619" s="17" t="n">
        <x:f>CHOOSE($B$3,F620,F621,F622)</x:f>
        <x:v>13</x:v>
      </x:c>
      <x:c r="G619" s="17" t="n">
        <x:f>CHOOSE($B$3,G620,G621,G622)</x:f>
        <x:v>1.1</x:v>
      </x:c>
      <x:c r="H619" s="17" t="n">
        <x:f>CHOOSE($B$3,H620,H621,H622)</x:f>
        <x:v>5</x:v>
      </x:c>
      <x:c r="I619" s="17" t="str">
        <x:f>CHOOSE($B$3,I620,I621,I622)</x:f>
      </x:c>
      <x:c r="J619" s="19" t="str">
        <x:f>CHOOSE($B$3,J620,J621,J622)</x:f>
      </x:c>
      <x:c r="K619" s="21" t="str">
        <x:f>CHOOSE($B$3,K620,K621,K622)</x:f>
      </x:c>
      <x:c r="L619" s="15" t="str">
        <x:v>livzon-H-normalized-pe-v1.0</x:v>
      </x:c>
      <x:c r="M619" s="15" t="str">
        <x:v>2029-10-09</x:v>
      </x:c>
      <x:c r="O619" t="str">
        <x:v>CNY</x:v>
      </x:c>
      <x:c r="V619" t="str">
        <x:v>2029-10-09</x:v>
      </x:c>
      <x:c r="W619" t="str">
        <x:v>待核</x:v>
      </x:c>
      <x:c r="X619" t="str">
        <x:v>周末已解析；节假日需交易所对应年度日历核验，实际交易日待核</x:v>
      </x:c>
    </x:row>
    <x:row r="620" ht="23" customHeight="1">
      <x:c r="A620" s="11" t="str">
        <x:v>01513.HK</x:v>
      </x:c>
      <x:c r="B620" s="11" t="str">
        <x:v>三年</x:v>
      </x:c>
      <x:c r="C620" s="11" t="str">
        <x:v>悲观</x:v>
      </x:c>
      <x:c r="D620" s="11" t="str">
        <x:v>EPS</x:v>
      </x:c>
      <x:c r="E620" s="18" t="n">
        <x:v>1.9</x:v>
      </x:c>
      <x:c r="F620" s="18" t="n">
        <x:v>8</x:v>
      </x:c>
      <x:c r="G620" s="18" t="n">
        <x:v>1.1</x:v>
      </x:c>
      <x:c r="H620" s="18" t="n">
        <x:v>3.2</x:v>
      </x:c>
      <x:c r="I620" s="18"/>
      <x:c r="J620" s="20"/>
      <x:c r="K620" s="22"/>
      <x:c r="L620" s="11" t="str">
        <x:v>livzon-H-normalized-pe-v1.0</x:v>
      </x:c>
      <x:c r="M620" s="11" t="str">
        <x:v>2029-10-09</x:v>
      </x:c>
      <x:c r="O620" t="str">
        <x:v>CNY</x:v>
      </x:c>
      <x:c r="V620" t="str">
        <x:v>2029-10-09</x:v>
      </x:c>
      <x:c r="W620" t="str">
        <x:v>待核</x:v>
      </x:c>
      <x:c r="X620" t="str">
        <x:v>周末已解析；节假日需交易所对应年度日历核验，实际交易日待核</x:v>
      </x:c>
    </x:row>
    <x:row r="621" ht="23" customHeight="1">
      <x:c r="A621" s="11" t="str">
        <x:v>01513.HK</x:v>
      </x:c>
      <x:c r="B621" s="11" t="str">
        <x:v>三年</x:v>
      </x:c>
      <x:c r="C621" s="11" t="str">
        <x:v>基准</x:v>
      </x:c>
      <x:c r="D621" s="11" t="str">
        <x:v>EPS</x:v>
      </x:c>
      <x:c r="E621" s="18" t="n">
        <x:v>2.9</x:v>
      </x:c>
      <x:c r="F621" s="18" t="n">
        <x:v>13</x:v>
      </x:c>
      <x:c r="G621" s="18" t="n">
        <x:v>1.1</x:v>
      </x:c>
      <x:c r="H621" s="18" t="n">
        <x:v>5</x:v>
      </x:c>
      <x:c r="I621" s="18"/>
      <x:c r="J621" s="20"/>
      <x:c r="K621" s="22"/>
      <x:c r="L621" s="11" t="str">
        <x:v>livzon-H-normalized-pe-v1.0</x:v>
      </x:c>
      <x:c r="M621" s="11" t="str">
        <x:v>2029-10-09</x:v>
      </x:c>
      <x:c r="O621" t="str">
        <x:v>CNY</x:v>
      </x:c>
      <x:c r="V621" t="str">
        <x:v>2029-10-09</x:v>
      </x:c>
      <x:c r="W621" t="str">
        <x:v>待核</x:v>
      </x:c>
      <x:c r="X621" t="str">
        <x:v>周末已解析；节假日需交易所对应年度日历核验，实际交易日待核</x:v>
      </x:c>
    </x:row>
    <x:row r="622" ht="23" customHeight="1">
      <x:c r="A622" s="11" t="str">
        <x:v>01513.HK</x:v>
      </x:c>
      <x:c r="B622" s="11" t="str">
        <x:v>三年</x:v>
      </x:c>
      <x:c r="C622" s="11" t="str">
        <x:v>乐观</x:v>
      </x:c>
      <x:c r="D622" s="11" t="str">
        <x:v>EPS</x:v>
      </x:c>
      <x:c r="E622" s="18" t="n">
        <x:v>4.2</x:v>
      </x:c>
      <x:c r="F622" s="18" t="n">
        <x:v>17</x:v>
      </x:c>
      <x:c r="G622" s="18" t="n">
        <x:v>1.1</x:v>
      </x:c>
      <x:c r="H622" s="18" t="n">
        <x:v>6.5</x:v>
      </x:c>
      <x:c r="I622" s="18"/>
      <x:c r="J622" s="20"/>
      <x:c r="K622" s="22"/>
      <x:c r="L622" s="11" t="str">
        <x:v>livzon-H-normalized-pe-v1.0</x:v>
      </x:c>
      <x:c r="M622" s="11" t="str">
        <x:v>2029-10-09</x:v>
      </x:c>
      <x:c r="O622" t="str">
        <x:v>CNY</x:v>
      </x:c>
      <x:c r="V622" t="str">
        <x:v>2029-10-09</x:v>
      </x:c>
      <x:c r="W622" t="str">
        <x:v>待核</x:v>
      </x:c>
      <x:c r="X622" t="str">
        <x:v>周末已解析；节假日需交易所对应年度日历核验，实际交易日待核</x:v>
      </x:c>
    </x:row>
    <x:row r="623" ht="23" customHeight="1">
      <x:c r="A623" s="15" t="str">
        <x:v>01513.HK</x:v>
      </x:c>
      <x:c r="B623" s="15" t="str">
        <x:v>五年</x:v>
      </x:c>
      <x:c r="C623" s="15" t="str">
        <x:v>活动输入</x:v>
      </x:c>
      <x:c r="D623" s="15" t="str">
        <x:v>EPS</x:v>
      </x:c>
      <x:c r="E623" s="17" t="n">
        <x:f>CHOOSE($B$3,E624,E625,E626)</x:f>
        <x:v>3.6</x:v>
      </x:c>
      <x:c r="F623" s="17" t="n">
        <x:f>CHOOSE($B$3,F624,F625,F626)</x:f>
        <x:v>12</x:v>
      </x:c>
      <x:c r="G623" s="17" t="n">
        <x:f>CHOOSE($B$3,G624,G625,G626)</x:f>
        <x:v>1.1</x:v>
      </x:c>
      <x:c r="H623" s="17" t="n">
        <x:f>CHOOSE($B$3,H624,H625,H626)</x:f>
        <x:v>9</x:v>
      </x:c>
      <x:c r="I623" s="17" t="str">
        <x:f>CHOOSE($B$3,I624,I625,I626)</x:f>
      </x:c>
      <x:c r="J623" s="19" t="str">
        <x:f>CHOOSE($B$3,J624,J625,J626)</x:f>
      </x:c>
      <x:c r="K623" s="21" t="str">
        <x:f>CHOOSE($B$3,K624,K625,K626)</x:f>
      </x:c>
      <x:c r="L623" s="15" t="str">
        <x:v>livzon-H-normalized-pe-v1.0</x:v>
      </x:c>
      <x:c r="M623" s="15" t="str">
        <x:v>2031-10-09</x:v>
      </x:c>
      <x:c r="O623" t="str">
        <x:v>CNY</x:v>
      </x:c>
      <x:c r="V623" t="str">
        <x:v>2031-10-09</x:v>
      </x:c>
      <x:c r="W623" t="str">
        <x:v>待核</x:v>
      </x:c>
      <x:c r="X623" t="str">
        <x:v>周末已解析；节假日需交易所对应年度日历核验，实际交易日待核</x:v>
      </x:c>
    </x:row>
    <x:row r="624" ht="23" customHeight="1">
      <x:c r="A624" s="11" t="str">
        <x:v>01513.HK</x:v>
      </x:c>
      <x:c r="B624" s="11" t="str">
        <x:v>五年</x:v>
      </x:c>
      <x:c r="C624" s="11" t="str">
        <x:v>悲观</x:v>
      </x:c>
      <x:c r="D624" s="11" t="str">
        <x:v>EPS</x:v>
      </x:c>
      <x:c r="E624" s="18" t="n">
        <x:v>2</x:v>
      </x:c>
      <x:c r="F624" s="18" t="n">
        <x:v>7</x:v>
      </x:c>
      <x:c r="G624" s="18" t="n">
        <x:v>1.1</x:v>
      </x:c>
      <x:c r="H624" s="18" t="n">
        <x:v>5</x:v>
      </x:c>
      <x:c r="I624" s="18"/>
      <x:c r="J624" s="20"/>
      <x:c r="K624" s="22"/>
      <x:c r="L624" s="11" t="str">
        <x:v>livzon-H-normalized-pe-v1.0</x:v>
      </x:c>
      <x:c r="M624" s="11" t="str">
        <x:v>2031-10-09</x:v>
      </x:c>
      <x:c r="O624" t="str">
        <x:v>CNY</x:v>
      </x:c>
      <x:c r="V624" t="str">
        <x:v>2031-10-09</x:v>
      </x:c>
      <x:c r="W624" t="str">
        <x:v>待核</x:v>
      </x:c>
      <x:c r="X624" t="str">
        <x:v>周末已解析；节假日需交易所对应年度日历核验，实际交易日待核</x:v>
      </x:c>
    </x:row>
    <x:row r="625" ht="23" customHeight="1">
      <x:c r="A625" s="11" t="str">
        <x:v>01513.HK</x:v>
      </x:c>
      <x:c r="B625" s="11" t="str">
        <x:v>五年</x:v>
      </x:c>
      <x:c r="C625" s="11" t="str">
        <x:v>基准</x:v>
      </x:c>
      <x:c r="D625" s="11" t="str">
        <x:v>EPS</x:v>
      </x:c>
      <x:c r="E625" s="18" t="n">
        <x:v>3.6</x:v>
      </x:c>
      <x:c r="F625" s="18" t="n">
        <x:v>12</x:v>
      </x:c>
      <x:c r="G625" s="18" t="n">
        <x:v>1.1</x:v>
      </x:c>
      <x:c r="H625" s="18" t="n">
        <x:v>9</x:v>
      </x:c>
      <x:c r="I625" s="18"/>
      <x:c r="J625" s="20"/>
      <x:c r="K625" s="22"/>
      <x:c r="L625" s="11" t="str">
        <x:v>livzon-H-normalized-pe-v1.0</x:v>
      </x:c>
      <x:c r="M625" s="11" t="str">
        <x:v>2031-10-09</x:v>
      </x:c>
      <x:c r="O625" t="str">
        <x:v>CNY</x:v>
      </x:c>
      <x:c r="V625" t="str">
        <x:v>2031-10-09</x:v>
      </x:c>
      <x:c r="W625" t="str">
        <x:v>待核</x:v>
      </x:c>
      <x:c r="X625" t="str">
        <x:v>周末已解析；节假日需交易所对应年度日历核验，实际交易日待核</x:v>
      </x:c>
    </x:row>
    <x:row r="626" ht="23" customHeight="1">
      <x:c r="A626" s="11" t="str">
        <x:v>01513.HK</x:v>
      </x:c>
      <x:c r="B626" s="11" t="str">
        <x:v>五年</x:v>
      </x:c>
      <x:c r="C626" s="11" t="str">
        <x:v>乐观</x:v>
      </x:c>
      <x:c r="D626" s="11" t="str">
        <x:v>EPS</x:v>
      </x:c>
      <x:c r="E626" s="18" t="n">
        <x:v>5.5</x:v>
      </x:c>
      <x:c r="F626" s="18" t="n">
        <x:v>16</x:v>
      </x:c>
      <x:c r="G626" s="18" t="n">
        <x:v>1.1</x:v>
      </x:c>
      <x:c r="H626" s="18" t="n">
        <x:v>13.5</x:v>
      </x:c>
      <x:c r="I626" s="18"/>
      <x:c r="J626" s="20"/>
      <x:c r="K626" s="22"/>
      <x:c r="L626" s="11" t="str">
        <x:v>livzon-H-normalized-pe-v1.0</x:v>
      </x:c>
      <x:c r="M626" s="11" t="str">
        <x:v>2031-10-09</x:v>
      </x:c>
      <x:c r="O626" t="str">
        <x:v>CNY</x:v>
      </x:c>
      <x:c r="V626" t="str">
        <x:v>2031-10-09</x:v>
      </x:c>
      <x:c r="W626" t="str">
        <x:v>待核</x:v>
      </x:c>
      <x:c r="X626" t="str">
        <x:v>周末已解析；节假日需交易所对应年度日历核验，实际交易日待核</x:v>
      </x:c>
    </x:row>
    <x:row r="627" ht="23" customHeight="1">
      <x:c r="A627" s="15" t="str">
        <x:v>688062.SH</x:v>
      </x:c>
      <x:c r="B627" s="15" t="str">
        <x:v>2026年底</x:v>
      </x:c>
      <x:c r="C627" s="15" t="str">
        <x:v>活动输入</x:v>
      </x:c>
      <x:c r="D627" s="15" t="str">
        <x:v>收入利润率</x:v>
      </x:c>
      <x:c r="E627" s="17" t="n">
        <x:f>CHOOSE($B$3,E628,E629,E630)</x:f>
        <x:v>0</x:v>
      </x:c>
      <x:c r="F627" s="17" t="n">
        <x:f>CHOOSE($B$3,F628,F629,F630)</x:f>
        <x:v>0</x:v>
      </x:c>
      <x:c r="G627" s="17" t="n">
        <x:f>CHOOSE($B$3,G628,G629,G630)</x:f>
        <x:v>1</x:v>
      </x:c>
      <x:c r="H627" s="17" t="n">
        <x:f>CHOOSE($B$3,H628,H629,H630)</x:f>
        <x:v>0</x:v>
      </x:c>
      <x:c r="I627" s="17" t="n">
        <x:f>CHOOSE($B$3,I628,I629,I630)</x:f>
        <x:v>0</x:v>
      </x:c>
      <x:c r="J627" s="19" t="n">
        <x:f>CHOOSE($B$3,J628,J629,J630)</x:f>
        <x:v>0</x:v>
      </x:c>
      <x:c r="K627" s="21" t="n">
        <x:f>CHOOSE($B$3,K628,K629,K630)</x:f>
        <x:v>0.46</x:v>
      </x:c>
      <x:c r="L627" s="15" t="str">
        <x:v>mabwell-rnpv-v1.1</x:v>
      </x:c>
      <x:c r="M627" s="15" t="str">
        <x:v>2026-12-31</x:v>
      </x:c>
      <x:c r="N627" t="n">
        <x:f>CHOOSE($B$3,N628,N629,N630)</x:f>
        <x:v>-1.6</x:v>
      </x:c>
      <x:c r="O627" t="str">
        <x:v>CNY</x:v>
      </x:c>
      <x:c r="Q627" t="n">
        <x:f>CHOOSE($B$3,Q628,Q629,Q630)</x:f>
        <x:v>2.4</x:v>
      </x:c>
      <x:c r="U627" t="n">
        <x:f>CHOOSE($B$3,U628,U629,U630)</x:f>
        <x:v>0.35</x:v>
      </x:c>
      <x:c r="V627" t="str">
        <x:v>2026-12-31</x:v>
      </x:c>
      <x:c r="W627" t="str">
        <x:v>待核</x:v>
      </x:c>
      <x:c r="X627" t="str">
        <x:v>周末已解析；节假日需交易所对应年度日历核验，实际交易日待核</x:v>
      </x:c>
    </x:row>
    <x:row r="628" ht="23" customHeight="1">
      <x:c r="A628" s="11" t="str">
        <x:v>688062.SH</x:v>
      </x:c>
      <x:c r="B628" s="11" t="str">
        <x:v>2026年底</x:v>
      </x:c>
      <x:c r="C628" s="11" t="str">
        <x:v>悲观</x:v>
      </x:c>
      <x:c r="D628" s="11" t="str">
        <x:v>收入利润率</x:v>
      </x:c>
      <x:c r="E628" s="18" t="n">
        <x:v>0</x:v>
      </x:c>
      <x:c r="F628" s="18" t="n">
        <x:v>0</x:v>
      </x:c>
      <x:c r="G628" s="18" t="n">
        <x:v>1</x:v>
      </x:c>
      <x:c r="H628" s="18" t="n">
        <x:v>0</x:v>
      </x:c>
      <x:c r="I628" s="18" t="n">
        <x:v>0</x:v>
      </x:c>
      <x:c r="J628" s="20" t="n">
        <x:v>0</x:v>
      </x:c>
      <x:c r="K628" s="22" t="n">
        <x:v>0.47</x:v>
      </x:c>
      <x:c r="L628" s="11" t="str">
        <x:v>mabwell-rnpv-v1.1</x:v>
      </x:c>
      <x:c r="M628" s="11" t="str">
        <x:v>2026-12-31</x:v>
      </x:c>
      <x:c r="N628" s="42" t="n">
        <x:v>-1.85</x:v>
      </x:c>
      <x:c r="O628" t="str">
        <x:v>CNY</x:v>
      </x:c>
      <x:c r="Q628" s="42" t="n">
        <x:v>2.7</x:v>
      </x:c>
      <x:c r="U628" s="42" t="n">
        <x:v>0.45</x:v>
      </x:c>
      <x:c r="V628" t="str">
        <x:v>2026-12-31</x:v>
      </x:c>
      <x:c r="W628" t="str">
        <x:v>待核</x:v>
      </x:c>
      <x:c r="X628" t="str">
        <x:v>周末已解析；节假日需交易所对应年度日历核验，实际交易日待核</x:v>
      </x:c>
    </x:row>
    <x:row r="629" ht="23" customHeight="1">
      <x:c r="A629" s="11" t="str">
        <x:v>688062.SH</x:v>
      </x:c>
      <x:c r="B629" s="11" t="str">
        <x:v>2026年底</x:v>
      </x:c>
      <x:c r="C629" s="11" t="str">
        <x:v>基准</x:v>
      </x:c>
      <x:c r="D629" s="11" t="str">
        <x:v>收入利润率</x:v>
      </x:c>
      <x:c r="E629" s="18" t="n">
        <x:v>0</x:v>
      </x:c>
      <x:c r="F629" s="18" t="n">
        <x:v>0</x:v>
      </x:c>
      <x:c r="G629" s="18" t="n">
        <x:v>1</x:v>
      </x:c>
      <x:c r="H629" s="18" t="n">
        <x:v>0</x:v>
      </x:c>
      <x:c r="I629" s="18" t="n">
        <x:v>0</x:v>
      </x:c>
      <x:c r="J629" s="20" t="n">
        <x:v>0</x:v>
      </x:c>
      <x:c r="K629" s="22" t="n">
        <x:v>0.46</x:v>
      </x:c>
      <x:c r="L629" s="11" t="str">
        <x:v>mabwell-rnpv-v1.1</x:v>
      </x:c>
      <x:c r="M629" s="11" t="str">
        <x:v>2026-12-31</x:v>
      </x:c>
      <x:c r="N629" s="42" t="n">
        <x:v>-1.6</x:v>
      </x:c>
      <x:c r="O629" t="str">
        <x:v>CNY</x:v>
      </x:c>
      <x:c r="Q629" s="42" t="n">
        <x:v>2.4</x:v>
      </x:c>
      <x:c r="U629" s="42" t="n">
        <x:v>0.35</x:v>
      </x:c>
      <x:c r="V629" t="str">
        <x:v>2026-12-31</x:v>
      </x:c>
      <x:c r="W629" t="str">
        <x:v>待核</x:v>
      </x:c>
      <x:c r="X629" t="str">
        <x:v>周末已解析；节假日需交易所对应年度日历核验，实际交易日待核</x:v>
      </x:c>
    </x:row>
    <x:row r="630" ht="23" customHeight="1">
      <x:c r="A630" s="11" t="str">
        <x:v>688062.SH</x:v>
      </x:c>
      <x:c r="B630" s="11" t="str">
        <x:v>2026年底</x:v>
      </x:c>
      <x:c r="C630" s="11" t="str">
        <x:v>乐观</x:v>
      </x:c>
      <x:c r="D630" s="11" t="str">
        <x:v>收入利润率</x:v>
      </x:c>
      <x:c r="E630" s="18" t="n">
        <x:v>0</x:v>
      </x:c>
      <x:c r="F630" s="18" t="n">
        <x:v>0</x:v>
      </x:c>
      <x:c r="G630" s="18" t="n">
        <x:v>1</x:v>
      </x:c>
      <x:c r="H630" s="18" t="n">
        <x:v>0</x:v>
      </x:c>
      <x:c r="I630" s="18" t="n">
        <x:v>0</x:v>
      </x:c>
      <x:c r="J630" s="20" t="n">
        <x:v>0</x:v>
      </x:c>
      <x:c r="K630" s="22" t="n">
        <x:v>0.45</x:v>
      </x:c>
      <x:c r="L630" s="11" t="str">
        <x:v>mabwell-rnpv-v1.1</x:v>
      </x:c>
      <x:c r="M630" s="11" t="str">
        <x:v>2026-12-31</x:v>
      </x:c>
      <x:c r="N630" s="42" t="n">
        <x:v>-1.35</x:v>
      </x:c>
      <x:c r="O630" t="str">
        <x:v>CNY</x:v>
      </x:c>
      <x:c r="Q630" s="42" t="n">
        <x:v>2.5</x:v>
      </x:c>
      <x:c r="U630" s="42" t="n">
        <x:v>0.5</x:v>
      </x:c>
      <x:c r="V630" t="str">
        <x:v>2026-12-31</x:v>
      </x:c>
      <x:c r="W630" t="str">
        <x:v>待核</x:v>
      </x:c>
      <x:c r="X630" t="str">
        <x:v>周末已解析；节假日需交易所对应年度日历核验，实际交易日待核</x:v>
      </x:c>
    </x:row>
    <x:row r="631" ht="23" customHeight="1">
      <x:c r="A631" s="15" t="str">
        <x:v>688062.SH</x:v>
      </x:c>
      <x:c r="B631" s="15" t="str">
        <x:v>半年</x:v>
      </x:c>
      <x:c r="C631" s="15" t="str">
        <x:v>活动输入</x:v>
      </x:c>
      <x:c r="D631" s="15" t="str">
        <x:v>收入利润率</x:v>
      </x:c>
      <x:c r="E631" s="17" t="n">
        <x:f>CHOOSE($B$3,E632,E633,E634)</x:f>
        <x:v>0</x:v>
      </x:c>
      <x:c r="F631" s="17" t="n">
        <x:f>CHOOSE($B$3,F632,F633,F634)</x:f>
        <x:v>0</x:v>
      </x:c>
      <x:c r="G631" s="17" t="n">
        <x:f>CHOOSE($B$3,G632,G633,G634)</x:f>
        <x:v>1</x:v>
      </x:c>
      <x:c r="H631" s="17" t="n">
        <x:f>CHOOSE($B$3,H632,H633,H634)</x:f>
        <x:v>0</x:v>
      </x:c>
      <x:c r="I631" s="17" t="n">
        <x:f>CHOOSE($B$3,I632,I633,I634)</x:f>
        <x:v>0</x:v>
      </x:c>
      <x:c r="J631" s="19" t="n">
        <x:f>CHOOSE($B$3,J632,J633,J634)</x:f>
        <x:v>0</x:v>
      </x:c>
      <x:c r="K631" s="21" t="n">
        <x:f>CHOOSE($B$3,K632,K633,K634)</x:f>
        <x:v>0.475</x:v>
      </x:c>
      <x:c r="L631" s="15" t="str">
        <x:v>mabwell-rnpv-v1.1</x:v>
      </x:c>
      <x:c r="M631" s="15" t="str">
        <x:v>2027-04-09</x:v>
      </x:c>
      <x:c r="N631" t="n">
        <x:f>CHOOSE($B$3,N632,N633,N634)</x:f>
        <x:v>-1.75</x:v>
      </x:c>
      <x:c r="O631" t="str">
        <x:v>CNY</x:v>
      </x:c>
      <x:c r="Q631" t="n">
        <x:f>CHOOSE($B$3,Q632,Q633,Q634)</x:f>
        <x:v>2.3</x:v>
      </x:c>
      <x:c r="U631" t="n">
        <x:f>CHOOSE($B$3,U632,U633,U634)</x:f>
        <x:v>0.6</x:v>
      </x:c>
      <x:c r="V631" t="str">
        <x:v>2027-04-09</x:v>
      </x:c>
      <x:c r="W631" t="str">
        <x:v>待核</x:v>
      </x:c>
      <x:c r="X631" t="str">
        <x:v>周末已解析；节假日需交易所对应年度日历核验，实际交易日待核</x:v>
      </x:c>
    </x:row>
    <x:row r="632" ht="23" customHeight="1">
      <x:c r="A632" s="11" t="str">
        <x:v>688062.SH</x:v>
      </x:c>
      <x:c r="B632" s="11" t="str">
        <x:v>半年</x:v>
      </x:c>
      <x:c r="C632" s="11" t="str">
        <x:v>悲观</x:v>
      </x:c>
      <x:c r="D632" s="11" t="str">
        <x:v>收入利润率</x:v>
      </x:c>
      <x:c r="E632" s="18" t="n">
        <x:v>0</x:v>
      </x:c>
      <x:c r="F632" s="18" t="n">
        <x:v>0</x:v>
      </x:c>
      <x:c r="G632" s="18" t="n">
        <x:v>1</x:v>
      </x:c>
      <x:c r="H632" s="18" t="n">
        <x:v>0</x:v>
      </x:c>
      <x:c r="I632" s="18" t="n">
        <x:v>0</x:v>
      </x:c>
      <x:c r="J632" s="20" t="n">
        <x:v>0</x:v>
      </x:c>
      <x:c r="K632" s="22" t="n">
        <x:v>0.49</x:v>
      </x:c>
      <x:c r="L632" s="11" t="str">
        <x:v>mabwell-rnpv-v1.1</x:v>
      </x:c>
      <x:c r="M632" s="11" t="str">
        <x:v>2027-04-09</x:v>
      </x:c>
      <x:c r="N632" s="42" t="n">
        <x:v>-2.1</x:v>
      </x:c>
      <x:c r="O632" t="str">
        <x:v>CNY</x:v>
      </x:c>
      <x:c r="Q632" s="42" t="n">
        <x:v>2.7</x:v>
      </x:c>
      <x:c r="U632" s="42" t="n">
        <x:v>0.65</x:v>
      </x:c>
      <x:c r="V632" t="str">
        <x:v>2027-04-09</x:v>
      </x:c>
      <x:c r="W632" t="str">
        <x:v>待核</x:v>
      </x:c>
      <x:c r="X632" t="str">
        <x:v>周末已解析；节假日需交易所对应年度日历核验，实际交易日待核</x:v>
      </x:c>
    </x:row>
    <x:row r="633" ht="23" customHeight="1">
      <x:c r="A633" s="11" t="str">
        <x:v>688062.SH</x:v>
      </x:c>
      <x:c r="B633" s="11" t="str">
        <x:v>半年</x:v>
      </x:c>
      <x:c r="C633" s="11" t="str">
        <x:v>基准</x:v>
      </x:c>
      <x:c r="D633" s="11" t="str">
        <x:v>收入利润率</x:v>
      </x:c>
      <x:c r="E633" s="18" t="n">
        <x:v>0</x:v>
      </x:c>
      <x:c r="F633" s="18" t="n">
        <x:v>0</x:v>
      </x:c>
      <x:c r="G633" s="18" t="n">
        <x:v>1</x:v>
      </x:c>
      <x:c r="H633" s="18" t="n">
        <x:v>0</x:v>
      </x:c>
      <x:c r="I633" s="18" t="n">
        <x:v>0</x:v>
      </x:c>
      <x:c r="J633" s="20" t="n">
        <x:v>0</x:v>
      </x:c>
      <x:c r="K633" s="22" t="n">
        <x:v>0.475</x:v>
      </x:c>
      <x:c r="L633" s="11" t="str">
        <x:v>mabwell-rnpv-v1.1</x:v>
      </x:c>
      <x:c r="M633" s="11" t="str">
        <x:v>2027-04-09</x:v>
      </x:c>
      <x:c r="N633" s="42" t="n">
        <x:v>-1.75</x:v>
      </x:c>
      <x:c r="O633" t="str">
        <x:v>CNY</x:v>
      </x:c>
      <x:c r="Q633" s="42" t="n">
        <x:v>2.3</x:v>
      </x:c>
      <x:c r="U633" s="42" t="n">
        <x:v>0.6</x:v>
      </x:c>
      <x:c r="V633" t="str">
        <x:v>2027-04-09</x:v>
      </x:c>
      <x:c r="W633" t="str">
        <x:v>待核</x:v>
      </x:c>
      <x:c r="X633" t="str">
        <x:v>周末已解析；节假日需交易所对应年度日历核验，实际交易日待核</x:v>
      </x:c>
    </x:row>
    <x:row r="634" ht="23" customHeight="1">
      <x:c r="A634" s="11" t="str">
        <x:v>688062.SH</x:v>
      </x:c>
      <x:c r="B634" s="11" t="str">
        <x:v>半年</x:v>
      </x:c>
      <x:c r="C634" s="11" t="str">
        <x:v>乐观</x:v>
      </x:c>
      <x:c r="D634" s="11" t="str">
        <x:v>收入利润率</x:v>
      </x:c>
      <x:c r="E634" s="18" t="n">
        <x:v>0</x:v>
      </x:c>
      <x:c r="F634" s="18" t="n">
        <x:v>0</x:v>
      </x:c>
      <x:c r="G634" s="18" t="n">
        <x:v>1</x:v>
      </x:c>
      <x:c r="H634" s="18" t="n">
        <x:v>0</x:v>
      </x:c>
      <x:c r="I634" s="18" t="n">
        <x:v>0</x:v>
      </x:c>
      <x:c r="J634" s="20" t="n">
        <x:v>0</x:v>
      </x:c>
      <x:c r="K634" s="22" t="n">
        <x:v>0.46</x:v>
      </x:c>
      <x:c r="L634" s="11" t="str">
        <x:v>mabwell-rnpv-v1.1</x:v>
      </x:c>
      <x:c r="M634" s="11" t="str">
        <x:v>2027-04-09</x:v>
      </x:c>
      <x:c r="N634" s="42" t="n">
        <x:v>-1.25</x:v>
      </x:c>
      <x:c r="O634" t="str">
        <x:v>CNY</x:v>
      </x:c>
      <x:c r="Q634" s="42" t="n">
        <x:v>2.4</x:v>
      </x:c>
      <x:c r="U634" s="42" t="n">
        <x:v>0.75</x:v>
      </x:c>
      <x:c r="V634" t="str">
        <x:v>2027-04-09</x:v>
      </x:c>
      <x:c r="W634" t="str">
        <x:v>待核</x:v>
      </x:c>
      <x:c r="X634" t="str">
        <x:v>周末已解析；节假日需交易所对应年度日历核验，实际交易日待核</x:v>
      </x:c>
    </x:row>
    <x:row r="635" ht="23" customHeight="1">
      <x:c r="A635" s="15" t="str">
        <x:v>688062.SH</x:v>
      </x:c>
      <x:c r="B635" s="15" t="str">
        <x:v>一年</x:v>
      </x:c>
      <x:c r="C635" s="15" t="str">
        <x:v>活动输入</x:v>
      </x:c>
      <x:c r="D635" s="15" t="str">
        <x:v>收入利润率</x:v>
      </x:c>
      <x:c r="E635" s="17" t="n">
        <x:f>CHOOSE($B$3,E636,E637,E638)</x:f>
        <x:v>0</x:v>
      </x:c>
      <x:c r="F635" s="17" t="n">
        <x:f>CHOOSE($B$3,F636,F637,F638)</x:f>
        <x:v>0</x:v>
      </x:c>
      <x:c r="G635" s="17" t="n">
        <x:f>CHOOSE($B$3,G636,G637,G638)</x:f>
        <x:v>1</x:v>
      </x:c>
      <x:c r="H635" s="17" t="n">
        <x:f>CHOOSE($B$3,H636,H637,H638)</x:f>
        <x:v>0</x:v>
      </x:c>
      <x:c r="I635" s="17" t="n">
        <x:f>CHOOSE($B$3,I636,I637,I638)</x:f>
        <x:v>0</x:v>
      </x:c>
      <x:c r="J635" s="19" t="n">
        <x:f>CHOOSE($B$3,J636,J637,J638)</x:f>
        <x:v>0</x:v>
      </x:c>
      <x:c r="K635" s="21" t="n">
        <x:f>CHOOSE($B$3,K636,K637,K638)</x:f>
        <x:v>0.49</x:v>
      </x:c>
      <x:c r="L635" s="15" t="str">
        <x:v>mabwell-rnpv-v1.1</x:v>
      </x:c>
      <x:c r="M635" s="15" t="str">
        <x:v>2027-10-09</x:v>
      </x:c>
      <x:c r="N635" t="n">
        <x:f>CHOOSE($B$3,N636,N637,N638)</x:f>
        <x:v>-1.9</x:v>
      </x:c>
      <x:c r="O635" t="str">
        <x:v>CNY</x:v>
      </x:c>
      <x:c r="Q635" t="n">
        <x:f>CHOOSE($B$3,Q636,Q637,Q638)</x:f>
        <x:v>2.2</x:v>
      </x:c>
      <x:c r="U635" t="n">
        <x:f>CHOOSE($B$3,U636,U637,U638)</x:f>
        <x:v>0.85</x:v>
      </x:c>
      <x:c r="V635" t="str">
        <x:v>2027-10-08</x:v>
      </x:c>
      <x:c r="W635" t="str">
        <x:v>待核</x:v>
      </x:c>
      <x:c r="X635" t="str">
        <x:v>周末已解析；节假日需交易所对应年度日历核验，实际交易日待核</x:v>
      </x:c>
    </x:row>
    <x:row r="636" ht="23" customHeight="1">
      <x:c r="A636" s="11" t="str">
        <x:v>688062.SH</x:v>
      </x:c>
      <x:c r="B636" s="11" t="str">
        <x:v>一年</x:v>
      </x:c>
      <x:c r="C636" s="11" t="str">
        <x:v>悲观</x:v>
      </x:c>
      <x:c r="D636" s="11" t="str">
        <x:v>收入利润率</x:v>
      </x:c>
      <x:c r="E636" s="18" t="n">
        <x:v>0</x:v>
      </x:c>
      <x:c r="F636" s="18" t="n">
        <x:v>0</x:v>
      </x:c>
      <x:c r="G636" s="18" t="n">
        <x:v>1</x:v>
      </x:c>
      <x:c r="H636" s="18" t="n">
        <x:v>0</x:v>
      </x:c>
      <x:c r="I636" s="18" t="n">
        <x:v>0</x:v>
      </x:c>
      <x:c r="J636" s="20" t="n">
        <x:v>0</x:v>
      </x:c>
      <x:c r="K636" s="22" t="n">
        <x:v>0.52</x:v>
      </x:c>
      <x:c r="L636" s="11" t="str">
        <x:v>mabwell-rnpv-v1.1</x:v>
      </x:c>
      <x:c r="M636" s="11" t="str">
        <x:v>2027-10-09</x:v>
      </x:c>
      <x:c r="N636" s="42" t="n">
        <x:v>-2.4</x:v>
      </x:c>
      <x:c r="O636" t="str">
        <x:v>CNY</x:v>
      </x:c>
      <x:c r="Q636" s="42" t="n">
        <x:v>2.6</x:v>
      </x:c>
      <x:c r="U636" s="42" t="n">
        <x:v>0.85</x:v>
      </x:c>
      <x:c r="V636" t="str">
        <x:v>2027-10-08</x:v>
      </x:c>
      <x:c r="W636" t="str">
        <x:v>待核</x:v>
      </x:c>
      <x:c r="X636" t="str">
        <x:v>周末已解析；节假日需交易所对应年度日历核验，实际交易日待核</x:v>
      </x:c>
    </x:row>
    <x:row r="637" ht="23" customHeight="1">
      <x:c r="A637" s="11" t="str">
        <x:v>688062.SH</x:v>
      </x:c>
      <x:c r="B637" s="11" t="str">
        <x:v>一年</x:v>
      </x:c>
      <x:c r="C637" s="11" t="str">
        <x:v>基准</x:v>
      </x:c>
      <x:c r="D637" s="11" t="str">
        <x:v>收入利润率</x:v>
      </x:c>
      <x:c r="E637" s="18" t="n">
        <x:v>0</x:v>
      </x:c>
      <x:c r="F637" s="18" t="n">
        <x:v>0</x:v>
      </x:c>
      <x:c r="G637" s="18" t="n">
        <x:v>1</x:v>
      </x:c>
      <x:c r="H637" s="18" t="n">
        <x:v>0</x:v>
      </x:c>
      <x:c r="I637" s="18" t="n">
        <x:v>0</x:v>
      </x:c>
      <x:c r="J637" s="20" t="n">
        <x:v>0</x:v>
      </x:c>
      <x:c r="K637" s="22" t="n">
        <x:v>0.49</x:v>
      </x:c>
      <x:c r="L637" s="11" t="str">
        <x:v>mabwell-rnpv-v1.1</x:v>
      </x:c>
      <x:c r="M637" s="11" t="str">
        <x:v>2027-10-09</x:v>
      </x:c>
      <x:c r="N637" s="42" t="n">
        <x:v>-1.9</x:v>
      </x:c>
      <x:c r="O637" t="str">
        <x:v>CNY</x:v>
      </x:c>
      <x:c r="Q637" s="42" t="n">
        <x:v>2.2</x:v>
      </x:c>
      <x:c r="U637" s="42" t="n">
        <x:v>0.85</x:v>
      </x:c>
      <x:c r="V637" t="str">
        <x:v>2027-10-08</x:v>
      </x:c>
      <x:c r="W637" t="str">
        <x:v>待核</x:v>
      </x:c>
      <x:c r="X637" t="str">
        <x:v>周末已解析；节假日需交易所对应年度日历核验，实际交易日待核</x:v>
      </x:c>
    </x:row>
    <x:row r="638" ht="23" customHeight="1">
      <x:c r="A638" s="11" t="str">
        <x:v>688062.SH</x:v>
      </x:c>
      <x:c r="B638" s="11" t="str">
        <x:v>一年</x:v>
      </x:c>
      <x:c r="C638" s="11" t="str">
        <x:v>乐观</x:v>
      </x:c>
      <x:c r="D638" s="11" t="str">
        <x:v>收入利润率</x:v>
      </x:c>
      <x:c r="E638" s="18" t="n">
        <x:v>0</x:v>
      </x:c>
      <x:c r="F638" s="18" t="n">
        <x:v>0</x:v>
      </x:c>
      <x:c r="G638" s="18" t="n">
        <x:v>1</x:v>
      </x:c>
      <x:c r="H638" s="18" t="n">
        <x:v>0</x:v>
      </x:c>
      <x:c r="I638" s="18" t="n">
        <x:v>0</x:v>
      </x:c>
      <x:c r="J638" s="20" t="n">
        <x:v>0</x:v>
      </x:c>
      <x:c r="K638" s="22" t="n">
        <x:v>0.47</x:v>
      </x:c>
      <x:c r="L638" s="11" t="str">
        <x:v>mabwell-rnpv-v1.1</x:v>
      </x:c>
      <x:c r="M638" s="11" t="str">
        <x:v>2027-10-09</x:v>
      </x:c>
      <x:c r="N638" s="42" t="n">
        <x:v>-1.1</x:v>
      </x:c>
      <x:c r="O638" t="str">
        <x:v>CNY</x:v>
      </x:c>
      <x:c r="Q638" s="42" t="n">
        <x:v>2.3</x:v>
      </x:c>
      <x:c r="U638" s="42" t="n">
        <x:v>1</x:v>
      </x:c>
      <x:c r="V638" t="str">
        <x:v>2027-10-08</x:v>
      </x:c>
      <x:c r="W638" t="str">
        <x:v>待核</x:v>
      </x:c>
      <x:c r="X638" t="str">
        <x:v>周末已解析；节假日需交易所对应年度日历核验，实际交易日待核</x:v>
      </x:c>
    </x:row>
    <x:row r="639" ht="23" customHeight="1">
      <x:c r="A639" s="15" t="str">
        <x:v>688062.SH</x:v>
      </x:c>
      <x:c r="B639" s="15" t="str">
        <x:v>三年</x:v>
      </x:c>
      <x:c r="C639" s="15" t="str">
        <x:v>活动输入</x:v>
      </x:c>
      <x:c r="D639" s="15" t="str">
        <x:v>收入利润率</x:v>
      </x:c>
      <x:c r="E639" s="17" t="n">
        <x:f>CHOOSE($B$3,E640,E641,E642)</x:f>
        <x:v>0</x:v>
      </x:c>
      <x:c r="F639" s="17" t="n">
        <x:f>CHOOSE($B$3,F640,F641,F642)</x:f>
        <x:v>0</x:v>
      </x:c>
      <x:c r="G639" s="17" t="n">
        <x:f>CHOOSE($B$3,G640,G641,G642)</x:f>
        <x:v>1</x:v>
      </x:c>
      <x:c r="H639" s="17" t="n">
        <x:f>CHOOSE($B$3,H640,H641,H642)</x:f>
        <x:v>0</x:v>
      </x:c>
      <x:c r="I639" s="17" t="n">
        <x:f>CHOOSE($B$3,I640,I641,I642)</x:f>
        <x:v>0</x:v>
      </x:c>
      <x:c r="J639" s="19" t="n">
        <x:f>CHOOSE($B$3,J640,J641,J642)</x:f>
        <x:v>0</x:v>
      </x:c>
      <x:c r="K639" s="21" t="n">
        <x:f>CHOOSE($B$3,K640,K641,K642)</x:f>
        <x:v>0.55</x:v>
      </x:c>
      <x:c r="L639" s="15" t="str">
        <x:v>mabwell-rnpv-v1.1</x:v>
      </x:c>
      <x:c r="M639" s="15" t="str">
        <x:v>2029-10-09</x:v>
      </x:c>
      <x:c r="N639" t="n">
        <x:f>CHOOSE($B$3,N640,N641,N642)</x:f>
        <x:v>-1.6</x:v>
      </x:c>
      <x:c r="O639" t="str">
        <x:v>CNY</x:v>
      </x:c>
      <x:c r="Q639" t="n">
        <x:f>CHOOSE($B$3,Q640,Q641,Q642)</x:f>
        <x:v>1.8</x:v>
      </x:c>
      <x:c r="U639" t="n">
        <x:f>CHOOSE($B$3,U640,U641,U642)</x:f>
        <x:v>1</x:v>
      </x:c>
      <x:c r="V639" t="str">
        <x:v>2029-10-09</x:v>
      </x:c>
      <x:c r="W639" t="str">
        <x:v>待核</x:v>
      </x:c>
      <x:c r="X639" t="str">
        <x:v>周末已解析；节假日需交易所对应年度日历核验，实际交易日待核</x:v>
      </x:c>
    </x:row>
    <x:row r="640" ht="23" customHeight="1">
      <x:c r="A640" s="11" t="str">
        <x:v>688062.SH</x:v>
      </x:c>
      <x:c r="B640" s="11" t="str">
        <x:v>三年</x:v>
      </x:c>
      <x:c r="C640" s="11" t="str">
        <x:v>悲观</x:v>
      </x:c>
      <x:c r="D640" s="11" t="str">
        <x:v>收入利润率</x:v>
      </x:c>
      <x:c r="E640" s="18" t="n">
        <x:v>0</x:v>
      </x:c>
      <x:c r="F640" s="18" t="n">
        <x:v>0</x:v>
      </x:c>
      <x:c r="G640" s="18" t="n">
        <x:v>1</x:v>
      </x:c>
      <x:c r="H640" s="18" t="n">
        <x:v>0</x:v>
      </x:c>
      <x:c r="I640" s="18" t="n">
        <x:v>0</x:v>
      </x:c>
      <x:c r="J640" s="20" t="n">
        <x:v>0</x:v>
      </x:c>
      <x:c r="K640" s="22" t="n">
        <x:v>0.62</x:v>
      </x:c>
      <x:c r="L640" s="11" t="str">
        <x:v>mabwell-rnpv-v1.1</x:v>
      </x:c>
      <x:c r="M640" s="11" t="str">
        <x:v>2029-10-09</x:v>
      </x:c>
      <x:c r="N640" s="42" t="n">
        <x:v>-3</x:v>
      </x:c>
      <x:c r="O640" t="str">
        <x:v>CNY</x:v>
      </x:c>
      <x:c r="Q640" s="42" t="n">
        <x:v>2.3</x:v>
      </x:c>
      <x:c r="U640" s="42" t="n">
        <x:v>1</x:v>
      </x:c>
      <x:c r="V640" t="str">
        <x:v>2029-10-09</x:v>
      </x:c>
      <x:c r="W640" t="str">
        <x:v>待核</x:v>
      </x:c>
      <x:c r="X640" t="str">
        <x:v>周末已解析；节假日需交易所对应年度日历核验，实际交易日待核</x:v>
      </x:c>
    </x:row>
    <x:row r="641" ht="23" customHeight="1">
      <x:c r="A641" s="11" t="str">
        <x:v>688062.SH</x:v>
      </x:c>
      <x:c r="B641" s="11" t="str">
        <x:v>三年</x:v>
      </x:c>
      <x:c r="C641" s="11" t="str">
        <x:v>基准</x:v>
      </x:c>
      <x:c r="D641" s="11" t="str">
        <x:v>收入利润率</x:v>
      </x:c>
      <x:c r="E641" s="18" t="n">
        <x:v>0</x:v>
      </x:c>
      <x:c r="F641" s="18" t="n">
        <x:v>0</x:v>
      </x:c>
      <x:c r="G641" s="18" t="n">
        <x:v>1</x:v>
      </x:c>
      <x:c r="H641" s="18" t="n">
        <x:v>0</x:v>
      </x:c>
      <x:c r="I641" s="18" t="n">
        <x:v>0</x:v>
      </x:c>
      <x:c r="J641" s="20" t="n">
        <x:v>0</x:v>
      </x:c>
      <x:c r="K641" s="22" t="n">
        <x:v>0.55</x:v>
      </x:c>
      <x:c r="L641" s="11" t="str">
        <x:v>mabwell-rnpv-v1.1</x:v>
      </x:c>
      <x:c r="M641" s="11" t="str">
        <x:v>2029-10-09</x:v>
      </x:c>
      <x:c r="N641" s="42" t="n">
        <x:v>-1.6</x:v>
      </x:c>
      <x:c r="O641" t="str">
        <x:v>CNY</x:v>
      </x:c>
      <x:c r="Q641" s="42" t="n">
        <x:v>1.8</x:v>
      </x:c>
      <x:c r="U641" s="42" t="n">
        <x:v>1</x:v>
      </x:c>
      <x:c r="V641" t="str">
        <x:v>2029-10-09</x:v>
      </x:c>
      <x:c r="W641" t="str">
        <x:v>待核</x:v>
      </x:c>
      <x:c r="X641" t="str">
        <x:v>周末已解析；节假日需交易所对应年度日历核验，实际交易日待核</x:v>
      </x:c>
    </x:row>
    <x:row r="642" ht="23" customHeight="1">
      <x:c r="A642" s="11" t="str">
        <x:v>688062.SH</x:v>
      </x:c>
      <x:c r="B642" s="11" t="str">
        <x:v>三年</x:v>
      </x:c>
      <x:c r="C642" s="11" t="str">
        <x:v>乐观</x:v>
      </x:c>
      <x:c r="D642" s="11" t="str">
        <x:v>收入利润率</x:v>
      </x:c>
      <x:c r="E642" s="18" t="n">
        <x:v>0</x:v>
      </x:c>
      <x:c r="F642" s="18" t="n">
        <x:v>0</x:v>
      </x:c>
      <x:c r="G642" s="18" t="n">
        <x:v>1</x:v>
      </x:c>
      <x:c r="H642" s="18" t="n">
        <x:v>0</x:v>
      </x:c>
      <x:c r="I642" s="18" t="n">
        <x:v>0</x:v>
      </x:c>
      <x:c r="J642" s="20" t="n">
        <x:v>0</x:v>
      </x:c>
      <x:c r="K642" s="22" t="n">
        <x:v>0.5</x:v>
      </x:c>
      <x:c r="L642" s="11" t="str">
        <x:v>mabwell-rnpv-v1.1</x:v>
      </x:c>
      <x:c r="M642" s="11" t="str">
        <x:v>2029-10-09</x:v>
      </x:c>
      <x:c r="N642" s="42" t="n">
        <x:v>0.3</x:v>
      </x:c>
      <x:c r="O642" t="str">
        <x:v>CNY</x:v>
      </x:c>
      <x:c r="Q642" s="42" t="n">
        <x:v>2</x:v>
      </x:c>
      <x:c r="U642" s="42" t="n">
        <x:v>1</x:v>
      </x:c>
      <x:c r="V642" t="str">
        <x:v>2029-10-09</x:v>
      </x:c>
      <x:c r="W642" t="str">
        <x:v>待核</x:v>
      </x:c>
      <x:c r="X642" t="str">
        <x:v>周末已解析；节假日需交易所对应年度日历核验，实际交易日待核</x:v>
      </x:c>
    </x:row>
    <x:row r="643" ht="23" customHeight="1">
      <x:c r="A643" s="15" t="str">
        <x:v>688062.SH</x:v>
      </x:c>
      <x:c r="B643" s="15" t="str">
        <x:v>五年</x:v>
      </x:c>
      <x:c r="C643" s="15" t="str">
        <x:v>活动输入</x:v>
      </x:c>
      <x:c r="D643" s="15" t="str">
        <x:v>收入利润率</x:v>
      </x:c>
      <x:c r="E643" s="17" t="n">
        <x:f>CHOOSE($B$3,E644,E645,E646)</x:f>
        <x:v>0</x:v>
      </x:c>
      <x:c r="F643" s="17" t="n">
        <x:f>CHOOSE($B$3,F644,F645,F646)</x:f>
        <x:v>0</x:v>
      </x:c>
      <x:c r="G643" s="17" t="n">
        <x:f>CHOOSE($B$3,G644,G645,G646)</x:f>
        <x:v>1</x:v>
      </x:c>
      <x:c r="H643" s="17" t="n">
        <x:f>CHOOSE($B$3,H644,H645,H646)</x:f>
        <x:v>0</x:v>
      </x:c>
      <x:c r="I643" s="17" t="n">
        <x:f>CHOOSE($B$3,I644,I645,I646)</x:f>
        <x:v>0</x:v>
      </x:c>
      <x:c r="J643" s="19" t="n">
        <x:f>CHOOSE($B$3,J644,J645,J646)</x:f>
        <x:v>0</x:v>
      </x:c>
      <x:c r="K643" s="21" t="n">
        <x:f>CHOOSE($B$3,K644,K645,K646)</x:f>
        <x:v>0.61</x:v>
      </x:c>
      <x:c r="L643" s="15" t="str">
        <x:v>mabwell-rnpv-v1.1</x:v>
      </x:c>
      <x:c r="M643" s="15" t="str">
        <x:v>2031-10-09</x:v>
      </x:c>
      <x:c r="N643" t="n">
        <x:f>CHOOSE($B$3,N644,N645,N646)</x:f>
        <x:v>-0.8</x:v>
      </x:c>
      <x:c r="O643" t="str">
        <x:v>CNY</x:v>
      </x:c>
      <x:c r="Q643" t="n">
        <x:f>CHOOSE($B$3,Q644,Q645,Q646)</x:f>
        <x:v>1.4</x:v>
      </x:c>
      <x:c r="U643" t="n">
        <x:f>CHOOSE($B$3,U644,U645,U646)</x:f>
        <x:v>1</x:v>
      </x:c>
      <x:c r="V643" t="str">
        <x:v>2031-10-09</x:v>
      </x:c>
      <x:c r="W643" t="str">
        <x:v>待核</x:v>
      </x:c>
      <x:c r="X643" t="str">
        <x:v>周末已解析；节假日需交易所对应年度日历核验，实际交易日待核</x:v>
      </x:c>
    </x:row>
    <x:row r="644" ht="23" customHeight="1">
      <x:c r="A644" s="11" t="str">
        <x:v>688062.SH</x:v>
      </x:c>
      <x:c r="B644" s="11" t="str">
        <x:v>五年</x:v>
      </x:c>
      <x:c r="C644" s="11" t="str">
        <x:v>悲观</x:v>
      </x:c>
      <x:c r="D644" s="11" t="str">
        <x:v>收入利润率</x:v>
      </x:c>
      <x:c r="E644" s="18" t="n">
        <x:v>0</x:v>
      </x:c>
      <x:c r="F644" s="18" t="n">
        <x:v>0</x:v>
      </x:c>
      <x:c r="G644" s="18" t="n">
        <x:v>1</x:v>
      </x:c>
      <x:c r="H644" s="18" t="n">
        <x:v>0</x:v>
      </x:c>
      <x:c r="I644" s="18" t="n">
        <x:v>0</x:v>
      </x:c>
      <x:c r="J644" s="20" t="n">
        <x:v>0</x:v>
      </x:c>
      <x:c r="K644" s="22" t="n">
        <x:v>0.72</x:v>
      </x:c>
      <x:c r="L644" s="11" t="str">
        <x:v>mabwell-rnpv-v1.1</x:v>
      </x:c>
      <x:c r="M644" s="11" t="str">
        <x:v>2031-10-09</x:v>
      </x:c>
      <x:c r="N644" s="42" t="n">
        <x:v>-3</x:v>
      </x:c>
      <x:c r="O644" t="str">
        <x:v>CNY</x:v>
      </x:c>
      <x:c r="Q644" s="42" t="n">
        <x:v>2</x:v>
      </x:c>
      <x:c r="U644" s="42" t="n">
        <x:v>1</x:v>
      </x:c>
      <x:c r="V644" t="str">
        <x:v>2031-10-09</x:v>
      </x:c>
      <x:c r="W644" t="str">
        <x:v>待核</x:v>
      </x:c>
      <x:c r="X644" t="str">
        <x:v>周末已解析；节假日需交易所对应年度日历核验，实际交易日待核</x:v>
      </x:c>
    </x:row>
    <x:row r="645" ht="23" customHeight="1">
      <x:c r="A645" s="11" t="str">
        <x:v>688062.SH</x:v>
      </x:c>
      <x:c r="B645" s="11" t="str">
        <x:v>五年</x:v>
      </x:c>
      <x:c r="C645" s="11" t="str">
        <x:v>基准</x:v>
      </x:c>
      <x:c r="D645" s="11" t="str">
        <x:v>收入利润率</x:v>
      </x:c>
      <x:c r="E645" s="18" t="n">
        <x:v>0</x:v>
      </x:c>
      <x:c r="F645" s="18" t="n">
        <x:v>0</x:v>
      </x:c>
      <x:c r="G645" s="18" t="n">
        <x:v>1</x:v>
      </x:c>
      <x:c r="H645" s="18" t="n">
        <x:v>0</x:v>
      </x:c>
      <x:c r="I645" s="18" t="n">
        <x:v>0</x:v>
      </x:c>
      <x:c r="J645" s="20" t="n">
        <x:v>0</x:v>
      </x:c>
      <x:c r="K645" s="22" t="n">
        <x:v>0.61</x:v>
      </x:c>
      <x:c r="L645" s="11" t="str">
        <x:v>mabwell-rnpv-v1.1</x:v>
      </x:c>
      <x:c r="M645" s="11" t="str">
        <x:v>2031-10-09</x:v>
      </x:c>
      <x:c r="N645" s="42" t="n">
        <x:v>-0.8</x:v>
      </x:c>
      <x:c r="O645" t="str">
        <x:v>CNY</x:v>
      </x:c>
      <x:c r="Q645" s="42" t="n">
        <x:v>1.4</x:v>
      </x:c>
      <x:c r="U645" s="42" t="n">
        <x:v>1</x:v>
      </x:c>
      <x:c r="V645" t="str">
        <x:v>2031-10-09</x:v>
      </x:c>
      <x:c r="W645" t="str">
        <x:v>待核</x:v>
      </x:c>
      <x:c r="X645" t="str">
        <x:v>周末已解析；节假日需交易所对应年度日历核验，实际交易日待核</x:v>
      </x:c>
    </x:row>
    <x:row r="646" ht="23" customHeight="1">
      <x:c r="A646" s="11" t="str">
        <x:v>688062.SH</x:v>
      </x:c>
      <x:c r="B646" s="11" t="str">
        <x:v>五年</x:v>
      </x:c>
      <x:c r="C646" s="11" t="str">
        <x:v>乐观</x:v>
      </x:c>
      <x:c r="D646" s="11" t="str">
        <x:v>收入利润率</x:v>
      </x:c>
      <x:c r="E646" s="18" t="n">
        <x:v>0</x:v>
      </x:c>
      <x:c r="F646" s="18" t="n">
        <x:v>0</x:v>
      </x:c>
      <x:c r="G646" s="18" t="n">
        <x:v>1</x:v>
      </x:c>
      <x:c r="H646" s="18" t="n">
        <x:v>0</x:v>
      </x:c>
      <x:c r="I646" s="18" t="n">
        <x:v>0</x:v>
      </x:c>
      <x:c r="J646" s="20" t="n">
        <x:v>0</x:v>
      </x:c>
      <x:c r="K646" s="22" t="n">
        <x:v>0.54</x:v>
      </x:c>
      <x:c r="L646" s="11" t="str">
        <x:v>mabwell-rnpv-v1.1</x:v>
      </x:c>
      <x:c r="M646" s="11" t="str">
        <x:v>2031-10-09</x:v>
      </x:c>
      <x:c r="N646" s="42" t="n">
        <x:v>1.5</x:v>
      </x:c>
      <x:c r="O646" t="str">
        <x:v>CNY</x:v>
      </x:c>
      <x:c r="Q646" s="42" t="n">
        <x:v>1.8</x:v>
      </x:c>
      <x:c r="U646" s="42" t="n">
        <x:v>1</x:v>
      </x:c>
      <x:c r="V646" t="str">
        <x:v>2031-10-09</x:v>
      </x:c>
      <x:c r="W646" t="str">
        <x:v>待核</x:v>
      </x:c>
      <x:c r="X646" t="str">
        <x:v>周末已解析；节假日需交易所对应年度日历核验，实际交易日待核</x:v>
      </x:c>
    </x:row>
    <x:row r="647" ht="23" customHeight="1">
      <x:c r="A647" s="15" t="str">
        <x:v>688202.SH</x:v>
      </x:c>
      <x:c r="B647" s="15" t="str">
        <x:v>2026年底</x:v>
      </x:c>
      <x:c r="C647" s="15" t="str">
        <x:v>活动输入</x:v>
      </x:c>
      <x:c r="D647" s="15" t="str">
        <x:v>EPS</x:v>
      </x:c>
      <x:c r="E647" s="17" t="n">
        <x:f>CHOOSE($B$3,E648,E649,E650)</x:f>
        <x:v>1.2</x:v>
      </x:c>
      <x:c r="F647" s="17" t="n">
        <x:f>CHOOSE($B$3,F648,F649,F650)</x:f>
        <x:v>50</x:v>
      </x:c>
      <x:c r="G647" s="17" t="n">
        <x:f>CHOOSE($B$3,G648,G649,G650)</x:f>
        <x:v>1</x:v>
      </x:c>
      <x:c r="H647" s="17" t="n">
        <x:f>CHOOSE($B$3,H648,H649,H650)</x:f>
        <x:v>0</x:v>
      </x:c>
      <x:c r="I647" s="17" t="str">
        <x:f>CHOOSE($B$3,I648,I649,I650)</x:f>
      </x:c>
      <x:c r="J647" s="19" t="str">
        <x:f>CHOOSE($B$3,J648,J649,J650)</x:f>
      </x:c>
      <x:c r="K647" s="21" t="str">
        <x:f>CHOOSE($B$3,K648,K649,K650)</x:f>
      </x:c>
      <x:c r="L647" s="15" t="str">
        <x:v>medicilon-normalized-pe-v1.0</x:v>
      </x:c>
      <x:c r="M647" s="15" t="str">
        <x:v>2026-12-31</x:v>
      </x:c>
      <x:c r="O647" t="str">
        <x:v>CNY</x:v>
      </x:c>
      <x:c r="V647" t="str">
        <x:v>2026-12-31</x:v>
      </x:c>
      <x:c r="W647" t="str">
        <x:v>待核</x:v>
      </x:c>
      <x:c r="X647" t="str">
        <x:v>周末已解析；节假日需交易所对应年度日历核验，实际交易日待核</x:v>
      </x:c>
    </x:row>
    <x:row r="648" ht="23" customHeight="1">
      <x:c r="A648" s="11" t="str">
        <x:v>688202.SH</x:v>
      </x:c>
      <x:c r="B648" s="11" t="str">
        <x:v>2026年底</x:v>
      </x:c>
      <x:c r="C648" s="11" t="str">
        <x:v>悲观</x:v>
      </x:c>
      <x:c r="D648" s="11" t="str">
        <x:v>EPS</x:v>
      </x:c>
      <x:c r="E648" s="18" t="n">
        <x:v>0.5</x:v>
      </x:c>
      <x:c r="F648" s="18" t="n">
        <x:v>25</x:v>
      </x:c>
      <x:c r="G648" s="18" t="n">
        <x:v>1</x:v>
      </x:c>
      <x:c r="H648" s="18" t="n">
        <x:v>0</x:v>
      </x:c>
      <x:c r="I648" s="18"/>
      <x:c r="J648" s="20"/>
      <x:c r="K648" s="22"/>
      <x:c r="L648" s="11" t="str">
        <x:v>medicilon-normalized-pe-v1.0</x:v>
      </x:c>
      <x:c r="M648" s="11" t="str">
        <x:v>2026-12-31</x:v>
      </x:c>
      <x:c r="O648" t="str">
        <x:v>CNY</x:v>
      </x:c>
      <x:c r="V648" t="str">
        <x:v>2026-12-31</x:v>
      </x:c>
      <x:c r="W648" t="str">
        <x:v>待核</x:v>
      </x:c>
      <x:c r="X648" t="str">
        <x:v>周末已解析；节假日需交易所对应年度日历核验，实际交易日待核</x:v>
      </x:c>
    </x:row>
    <x:row r="649" ht="23" customHeight="1">
      <x:c r="A649" s="11" t="str">
        <x:v>688202.SH</x:v>
      </x:c>
      <x:c r="B649" s="11" t="str">
        <x:v>2026年底</x:v>
      </x:c>
      <x:c r="C649" s="11" t="str">
        <x:v>基准</x:v>
      </x:c>
      <x:c r="D649" s="11" t="str">
        <x:v>EPS</x:v>
      </x:c>
      <x:c r="E649" s="18" t="n">
        <x:v>1.2</x:v>
      </x:c>
      <x:c r="F649" s="18" t="n">
        <x:v>50</x:v>
      </x:c>
      <x:c r="G649" s="18" t="n">
        <x:v>1</x:v>
      </x:c>
      <x:c r="H649" s="18" t="n">
        <x:v>0</x:v>
      </x:c>
      <x:c r="I649" s="18"/>
      <x:c r="J649" s="20"/>
      <x:c r="K649" s="22"/>
      <x:c r="L649" s="11" t="str">
        <x:v>medicilon-normalized-pe-v1.0</x:v>
      </x:c>
      <x:c r="M649" s="11" t="str">
        <x:v>2026-12-31</x:v>
      </x:c>
      <x:c r="O649" t="str">
        <x:v>CNY</x:v>
      </x:c>
      <x:c r="V649" t="str">
        <x:v>2026-12-31</x:v>
      </x:c>
      <x:c r="W649" t="str">
        <x:v>待核</x:v>
      </x:c>
      <x:c r="X649" t="str">
        <x:v>周末已解析；节假日需交易所对应年度日历核验，实际交易日待核</x:v>
      </x:c>
    </x:row>
    <x:row r="650" ht="23" customHeight="1">
      <x:c r="A650" s="11" t="str">
        <x:v>688202.SH</x:v>
      </x:c>
      <x:c r="B650" s="11" t="str">
        <x:v>2026年底</x:v>
      </x:c>
      <x:c r="C650" s="11" t="str">
        <x:v>乐观</x:v>
      </x:c>
      <x:c r="D650" s="11" t="str">
        <x:v>EPS</x:v>
      </x:c>
      <x:c r="E650" s="18" t="n">
        <x:v>2</x:v>
      </x:c>
      <x:c r="F650" s="18" t="n">
        <x:v>60</x:v>
      </x:c>
      <x:c r="G650" s="18" t="n">
        <x:v>1</x:v>
      </x:c>
      <x:c r="H650" s="18" t="n">
        <x:v>0</x:v>
      </x:c>
      <x:c r="I650" s="18"/>
      <x:c r="J650" s="20"/>
      <x:c r="K650" s="22"/>
      <x:c r="L650" s="11" t="str">
        <x:v>medicilon-normalized-pe-v1.0</x:v>
      </x:c>
      <x:c r="M650" s="11" t="str">
        <x:v>2026-12-31</x:v>
      </x:c>
      <x:c r="O650" t="str">
        <x:v>CNY</x:v>
      </x:c>
      <x:c r="V650" t="str">
        <x:v>2026-12-31</x:v>
      </x:c>
      <x:c r="W650" t="str">
        <x:v>待核</x:v>
      </x:c>
      <x:c r="X650" t="str">
        <x:v>周末已解析；节假日需交易所对应年度日历核验，实际交易日待核</x:v>
      </x:c>
    </x:row>
    <x:row r="651" ht="23" customHeight="1">
      <x:c r="A651" s="15" t="str">
        <x:v>688202.SH</x:v>
      </x:c>
      <x:c r="B651" s="15" t="str">
        <x:v>半年</x:v>
      </x:c>
      <x:c r="C651" s="15" t="str">
        <x:v>活动输入</x:v>
      </x:c>
      <x:c r="D651" s="15" t="str">
        <x:v>EPS</x:v>
      </x:c>
      <x:c r="E651" s="17" t="n">
        <x:f>CHOOSE($B$3,E652,E653,E654)</x:f>
        <x:v>1.6</x:v>
      </x:c>
      <x:c r="F651" s="17" t="n">
        <x:f>CHOOSE($B$3,F652,F653,F654)</x:f>
        <x:v>45</x:v>
      </x:c>
      <x:c r="G651" s="17" t="n">
        <x:f>CHOOSE($B$3,G652,G653,G654)</x:f>
        <x:v>1</x:v>
      </x:c>
      <x:c r="H651" s="17" t="n">
        <x:f>CHOOSE($B$3,H652,H653,H654)</x:f>
        <x:v>0</x:v>
      </x:c>
      <x:c r="I651" s="17" t="str">
        <x:f>CHOOSE($B$3,I652,I653,I654)</x:f>
      </x:c>
      <x:c r="J651" s="19" t="str">
        <x:f>CHOOSE($B$3,J652,J653,J654)</x:f>
      </x:c>
      <x:c r="K651" s="21" t="str">
        <x:f>CHOOSE($B$3,K652,K653,K654)</x:f>
      </x:c>
      <x:c r="L651" s="15" t="str">
        <x:v>medicilon-normalized-pe-v1.0</x:v>
      </x:c>
      <x:c r="M651" s="15" t="str">
        <x:v>2027-04-09</x:v>
      </x:c>
      <x:c r="O651" t="str">
        <x:v>CNY</x:v>
      </x:c>
      <x:c r="V651" t="str">
        <x:v>2027-04-09</x:v>
      </x:c>
      <x:c r="W651" t="str">
        <x:v>待核</x:v>
      </x:c>
      <x:c r="X651" t="str">
        <x:v>周末已解析；节假日需交易所对应年度日历核验，实际交易日待核</x:v>
      </x:c>
    </x:row>
    <x:row r="652" ht="23" customHeight="1">
      <x:c r="A652" s="11" t="str">
        <x:v>688202.SH</x:v>
      </x:c>
      <x:c r="B652" s="11" t="str">
        <x:v>半年</x:v>
      </x:c>
      <x:c r="C652" s="11" t="str">
        <x:v>悲观</x:v>
      </x:c>
      <x:c r="D652" s="11" t="str">
        <x:v>EPS</x:v>
      </x:c>
      <x:c r="E652" s="18" t="n">
        <x:v>0.7</x:v>
      </x:c>
      <x:c r="F652" s="18" t="n">
        <x:v>25</x:v>
      </x:c>
      <x:c r="G652" s="18" t="n">
        <x:v>1</x:v>
      </x:c>
      <x:c r="H652" s="18" t="n">
        <x:v>0</x:v>
      </x:c>
      <x:c r="I652" s="18"/>
      <x:c r="J652" s="20"/>
      <x:c r="K652" s="22"/>
      <x:c r="L652" s="11" t="str">
        <x:v>medicilon-normalized-pe-v1.0</x:v>
      </x:c>
      <x:c r="M652" s="11" t="str">
        <x:v>2027-04-09</x:v>
      </x:c>
      <x:c r="O652" t="str">
        <x:v>CNY</x:v>
      </x:c>
      <x:c r="V652" t="str">
        <x:v>2027-04-09</x:v>
      </x:c>
      <x:c r="W652" t="str">
        <x:v>待核</x:v>
      </x:c>
      <x:c r="X652" t="str">
        <x:v>周末已解析；节假日需交易所对应年度日历核验，实际交易日待核</x:v>
      </x:c>
    </x:row>
    <x:row r="653" ht="23" customHeight="1">
      <x:c r="A653" s="11" t="str">
        <x:v>688202.SH</x:v>
      </x:c>
      <x:c r="B653" s="11" t="str">
        <x:v>半年</x:v>
      </x:c>
      <x:c r="C653" s="11" t="str">
        <x:v>基准</x:v>
      </x:c>
      <x:c r="D653" s="11" t="str">
        <x:v>EPS</x:v>
      </x:c>
      <x:c r="E653" s="18" t="n">
        <x:v>1.6</x:v>
      </x:c>
      <x:c r="F653" s="18" t="n">
        <x:v>45</x:v>
      </x:c>
      <x:c r="G653" s="18" t="n">
        <x:v>1</x:v>
      </x:c>
      <x:c r="H653" s="18" t="n">
        <x:v>0</x:v>
      </x:c>
      <x:c r="I653" s="18"/>
      <x:c r="J653" s="20"/>
      <x:c r="K653" s="22"/>
      <x:c r="L653" s="11" t="str">
        <x:v>medicilon-normalized-pe-v1.0</x:v>
      </x:c>
      <x:c r="M653" s="11" t="str">
        <x:v>2027-04-09</x:v>
      </x:c>
      <x:c r="O653" t="str">
        <x:v>CNY</x:v>
      </x:c>
      <x:c r="V653" t="str">
        <x:v>2027-04-09</x:v>
      </x:c>
      <x:c r="W653" t="str">
        <x:v>待核</x:v>
      </x:c>
      <x:c r="X653" t="str">
        <x:v>周末已解析；节假日需交易所对应年度日历核验，实际交易日待核</x:v>
      </x:c>
    </x:row>
    <x:row r="654" ht="23" customHeight="1">
      <x:c r="A654" s="11" t="str">
        <x:v>688202.SH</x:v>
      </x:c>
      <x:c r="B654" s="11" t="str">
        <x:v>半年</x:v>
      </x:c>
      <x:c r="C654" s="11" t="str">
        <x:v>乐观</x:v>
      </x:c>
      <x:c r="D654" s="11" t="str">
        <x:v>EPS</x:v>
      </x:c>
      <x:c r="E654" s="18" t="n">
        <x:v>2.8</x:v>
      </x:c>
      <x:c r="F654" s="18" t="n">
        <x:v>55</x:v>
      </x:c>
      <x:c r="G654" s="18" t="n">
        <x:v>1</x:v>
      </x:c>
      <x:c r="H654" s="18" t="n">
        <x:v>0</x:v>
      </x:c>
      <x:c r="I654" s="18"/>
      <x:c r="J654" s="20"/>
      <x:c r="K654" s="22"/>
      <x:c r="L654" s="11" t="str">
        <x:v>medicilon-normalized-pe-v1.0</x:v>
      </x:c>
      <x:c r="M654" s="11" t="str">
        <x:v>2027-04-09</x:v>
      </x:c>
      <x:c r="O654" t="str">
        <x:v>CNY</x:v>
      </x:c>
      <x:c r="V654" t="str">
        <x:v>2027-04-09</x:v>
      </x:c>
      <x:c r="W654" t="str">
        <x:v>待核</x:v>
      </x:c>
      <x:c r="X654" t="str">
        <x:v>周末已解析；节假日需交易所对应年度日历核验，实际交易日待核</x:v>
      </x:c>
    </x:row>
    <x:row r="655" ht="23" customHeight="1">
      <x:c r="A655" s="15" t="str">
        <x:v>688202.SH</x:v>
      </x:c>
      <x:c r="B655" s="15" t="str">
        <x:v>一年</x:v>
      </x:c>
      <x:c r="C655" s="15" t="str">
        <x:v>活动输入</x:v>
      </x:c>
      <x:c r="D655" s="15" t="str">
        <x:v>EPS</x:v>
      </x:c>
      <x:c r="E655" s="17" t="n">
        <x:f>CHOOSE($B$3,E656,E657,E658)</x:f>
        <x:v>2.1</x:v>
      </x:c>
      <x:c r="F655" s="17" t="n">
        <x:f>CHOOSE($B$3,F656,F657,F658)</x:f>
        <x:v>38</x:v>
      </x:c>
      <x:c r="G655" s="17" t="n">
        <x:f>CHOOSE($B$3,G656,G657,G658)</x:f>
        <x:v>1</x:v>
      </x:c>
      <x:c r="H655" s="17" t="n">
        <x:f>CHOOSE($B$3,H656,H657,H658)</x:f>
        <x:v>0.1</x:v>
      </x:c>
      <x:c r="I655" s="17" t="str">
        <x:f>CHOOSE($B$3,I656,I657,I658)</x:f>
      </x:c>
      <x:c r="J655" s="19" t="str">
        <x:f>CHOOSE($B$3,J656,J657,J658)</x:f>
      </x:c>
      <x:c r="K655" s="21" t="str">
        <x:f>CHOOSE($B$3,K656,K657,K658)</x:f>
      </x:c>
      <x:c r="L655" s="15" t="str">
        <x:v>medicilon-normalized-pe-v1.0</x:v>
      </x:c>
      <x:c r="M655" s="15" t="str">
        <x:v>2027-10-09</x:v>
      </x:c>
      <x:c r="O655" t="str">
        <x:v>CNY</x:v>
      </x:c>
      <x:c r="V655" t="str">
        <x:v>2027-10-08</x:v>
      </x:c>
      <x:c r="W655" t="str">
        <x:v>待核</x:v>
      </x:c>
      <x:c r="X655" t="str">
        <x:v>周末已解析；节假日需交易所对应年度日历核验，实际交易日待核</x:v>
      </x:c>
    </x:row>
    <x:row r="656" ht="23" customHeight="1">
      <x:c r="A656" s="11" t="str">
        <x:v>688202.SH</x:v>
      </x:c>
      <x:c r="B656" s="11" t="str">
        <x:v>一年</x:v>
      </x:c>
      <x:c r="C656" s="11" t="str">
        <x:v>悲观</x:v>
      </x:c>
      <x:c r="D656" s="11" t="str">
        <x:v>EPS</x:v>
      </x:c>
      <x:c r="E656" s="18" t="n">
        <x:v>0.9</x:v>
      </x:c>
      <x:c r="F656" s="18" t="n">
        <x:v>25</x:v>
      </x:c>
      <x:c r="G656" s="18" t="n">
        <x:v>1</x:v>
      </x:c>
      <x:c r="H656" s="18" t="n">
        <x:v>0</x:v>
      </x:c>
      <x:c r="I656" s="18"/>
      <x:c r="J656" s="20"/>
      <x:c r="K656" s="22"/>
      <x:c r="L656" s="11" t="str">
        <x:v>medicilon-normalized-pe-v1.0</x:v>
      </x:c>
      <x:c r="M656" s="11" t="str">
        <x:v>2027-10-09</x:v>
      </x:c>
      <x:c r="O656" t="str">
        <x:v>CNY</x:v>
      </x:c>
      <x:c r="V656" t="str">
        <x:v>2027-10-08</x:v>
      </x:c>
      <x:c r="W656" t="str">
        <x:v>待核</x:v>
      </x:c>
      <x:c r="X656" t="str">
        <x:v>周末已解析；节假日需交易所对应年度日历核验，实际交易日待核</x:v>
      </x:c>
    </x:row>
    <x:row r="657" ht="23" customHeight="1">
      <x:c r="A657" s="11" t="str">
        <x:v>688202.SH</x:v>
      </x:c>
      <x:c r="B657" s="11" t="str">
        <x:v>一年</x:v>
      </x:c>
      <x:c r="C657" s="11" t="str">
        <x:v>基准</x:v>
      </x:c>
      <x:c r="D657" s="11" t="str">
        <x:v>EPS</x:v>
      </x:c>
      <x:c r="E657" s="18" t="n">
        <x:v>2.1</x:v>
      </x:c>
      <x:c r="F657" s="18" t="n">
        <x:v>38</x:v>
      </x:c>
      <x:c r="G657" s="18" t="n">
        <x:v>1</x:v>
      </x:c>
      <x:c r="H657" s="18" t="n">
        <x:v>0.1</x:v>
      </x:c>
      <x:c r="I657" s="18"/>
      <x:c r="J657" s="20"/>
      <x:c r="K657" s="22"/>
      <x:c r="L657" s="11" t="str">
        <x:v>medicilon-normalized-pe-v1.0</x:v>
      </x:c>
      <x:c r="M657" s="11" t="str">
        <x:v>2027-10-09</x:v>
      </x:c>
      <x:c r="O657" t="str">
        <x:v>CNY</x:v>
      </x:c>
      <x:c r="V657" t="str">
        <x:v>2027-10-08</x:v>
      </x:c>
      <x:c r="W657" t="str">
        <x:v>待核</x:v>
      </x:c>
      <x:c r="X657" t="str">
        <x:v>周末已解析；节假日需交易所对应年度日历核验，实际交易日待核</x:v>
      </x:c>
    </x:row>
    <x:row r="658" ht="23" customHeight="1">
      <x:c r="A658" s="11" t="str">
        <x:v>688202.SH</x:v>
      </x:c>
      <x:c r="B658" s="11" t="str">
        <x:v>一年</x:v>
      </x:c>
      <x:c r="C658" s="11" t="str">
        <x:v>乐观</x:v>
      </x:c>
      <x:c r="D658" s="11" t="str">
        <x:v>EPS</x:v>
      </x:c>
      <x:c r="E658" s="18" t="n">
        <x:v>3.5</x:v>
      </x:c>
      <x:c r="F658" s="18" t="n">
        <x:v>48</x:v>
      </x:c>
      <x:c r="G658" s="18" t="n">
        <x:v>1</x:v>
      </x:c>
      <x:c r="H658" s="18" t="n">
        <x:v>0.2</x:v>
      </x:c>
      <x:c r="I658" s="18"/>
      <x:c r="J658" s="20"/>
      <x:c r="K658" s="22"/>
      <x:c r="L658" s="11" t="str">
        <x:v>medicilon-normalized-pe-v1.0</x:v>
      </x:c>
      <x:c r="M658" s="11" t="str">
        <x:v>2027-10-09</x:v>
      </x:c>
      <x:c r="O658" t="str">
        <x:v>CNY</x:v>
      </x:c>
      <x:c r="V658" t="str">
        <x:v>2027-10-08</x:v>
      </x:c>
      <x:c r="W658" t="str">
        <x:v>待核</x:v>
      </x:c>
      <x:c r="X658" t="str">
        <x:v>周末已解析；节假日需交易所对应年度日历核验，实际交易日待核</x:v>
      </x:c>
    </x:row>
    <x:row r="659" ht="23" customHeight="1">
      <x:c r="A659" s="15" t="str">
        <x:v>688202.SH</x:v>
      </x:c>
      <x:c r="B659" s="15" t="str">
        <x:v>三年</x:v>
      </x:c>
      <x:c r="C659" s="15" t="str">
        <x:v>活动输入</x:v>
      </x:c>
      <x:c r="D659" s="15" t="str">
        <x:v>EPS</x:v>
      </x:c>
      <x:c r="E659" s="17" t="n">
        <x:f>CHOOSE($B$3,E660,E661,E662)</x:f>
        <x:v>4</x:v>
      </x:c>
      <x:c r="F659" s="17" t="n">
        <x:f>CHOOSE($B$3,F660,F661,F662)</x:f>
        <x:v>32</x:v>
      </x:c>
      <x:c r="G659" s="17" t="n">
        <x:f>CHOOSE($B$3,G660,G661,G662)</x:f>
        <x:v>1</x:v>
      </x:c>
      <x:c r="H659" s="17" t="n">
        <x:f>CHOOSE($B$3,H660,H661,H662)</x:f>
        <x:v>0.8</x:v>
      </x:c>
      <x:c r="I659" s="17" t="str">
        <x:f>CHOOSE($B$3,I660,I661,I662)</x:f>
      </x:c>
      <x:c r="J659" s="19" t="str">
        <x:f>CHOOSE($B$3,J660,J661,J662)</x:f>
      </x:c>
      <x:c r="K659" s="21" t="str">
        <x:f>CHOOSE($B$3,K660,K661,K662)</x:f>
      </x:c>
      <x:c r="L659" s="15" t="str">
        <x:v>medicilon-normalized-pe-v1.0</x:v>
      </x:c>
      <x:c r="M659" s="15" t="str">
        <x:v>2029-10-09</x:v>
      </x:c>
      <x:c r="O659" t="str">
        <x:v>CNY</x:v>
      </x:c>
      <x:c r="V659" t="str">
        <x:v>2029-10-09</x:v>
      </x:c>
      <x:c r="W659" t="str">
        <x:v>待核</x:v>
      </x:c>
      <x:c r="X659" t="str">
        <x:v>周末已解析；节假日需交易所对应年度日历核验，实际交易日待核</x:v>
      </x:c>
    </x:row>
    <x:row r="660" ht="23" customHeight="1">
      <x:c r="A660" s="11" t="str">
        <x:v>688202.SH</x:v>
      </x:c>
      <x:c r="B660" s="11" t="str">
        <x:v>三年</x:v>
      </x:c>
      <x:c r="C660" s="11" t="str">
        <x:v>悲观</x:v>
      </x:c>
      <x:c r="D660" s="11" t="str">
        <x:v>EPS</x:v>
      </x:c>
      <x:c r="E660" s="18" t="n">
        <x:v>1.4</x:v>
      </x:c>
      <x:c r="F660" s="18" t="n">
        <x:v>23</x:v>
      </x:c>
      <x:c r="G660" s="18" t="n">
        <x:v>1</x:v>
      </x:c>
      <x:c r="H660" s="18" t="n">
        <x:v>0.1</x:v>
      </x:c>
      <x:c r="I660" s="18"/>
      <x:c r="J660" s="20"/>
      <x:c r="K660" s="22"/>
      <x:c r="L660" s="11" t="str">
        <x:v>medicilon-normalized-pe-v1.0</x:v>
      </x:c>
      <x:c r="M660" s="11" t="str">
        <x:v>2029-10-09</x:v>
      </x:c>
      <x:c r="O660" t="str">
        <x:v>CNY</x:v>
      </x:c>
      <x:c r="V660" t="str">
        <x:v>2029-10-09</x:v>
      </x:c>
      <x:c r="W660" t="str">
        <x:v>待核</x:v>
      </x:c>
      <x:c r="X660" t="str">
        <x:v>周末已解析；节假日需交易所对应年度日历核验，实际交易日待核</x:v>
      </x:c>
    </x:row>
    <x:row r="661" ht="23" customHeight="1">
      <x:c r="A661" s="11" t="str">
        <x:v>688202.SH</x:v>
      </x:c>
      <x:c r="B661" s="11" t="str">
        <x:v>三年</x:v>
      </x:c>
      <x:c r="C661" s="11" t="str">
        <x:v>基准</x:v>
      </x:c>
      <x:c r="D661" s="11" t="str">
        <x:v>EPS</x:v>
      </x:c>
      <x:c r="E661" s="18" t="n">
        <x:v>4</x:v>
      </x:c>
      <x:c r="F661" s="18" t="n">
        <x:v>32</x:v>
      </x:c>
      <x:c r="G661" s="18" t="n">
        <x:v>1</x:v>
      </x:c>
      <x:c r="H661" s="18" t="n">
        <x:v>0.8</x:v>
      </x:c>
      <x:c r="I661" s="18"/>
      <x:c r="J661" s="20"/>
      <x:c r="K661" s="22"/>
      <x:c r="L661" s="11" t="str">
        <x:v>medicilon-normalized-pe-v1.0</x:v>
      </x:c>
      <x:c r="M661" s="11" t="str">
        <x:v>2029-10-09</x:v>
      </x:c>
      <x:c r="O661" t="str">
        <x:v>CNY</x:v>
      </x:c>
      <x:c r="V661" t="str">
        <x:v>2029-10-09</x:v>
      </x:c>
      <x:c r="W661" t="str">
        <x:v>待核</x:v>
      </x:c>
      <x:c r="X661" t="str">
        <x:v>周末已解析；节假日需交易所对应年度日历核验，实际交易日待核</x:v>
      </x:c>
    </x:row>
    <x:row r="662" ht="23" customHeight="1">
      <x:c r="A662" s="11" t="str">
        <x:v>688202.SH</x:v>
      </x:c>
      <x:c r="B662" s="11" t="str">
        <x:v>三年</x:v>
      </x:c>
      <x:c r="C662" s="11" t="str">
        <x:v>乐观</x:v>
      </x:c>
      <x:c r="D662" s="11" t="str">
        <x:v>EPS</x:v>
      </x:c>
      <x:c r="E662" s="18" t="n">
        <x:v>6.8</x:v>
      </x:c>
      <x:c r="F662" s="18" t="n">
        <x:v>42</x:v>
      </x:c>
      <x:c r="G662" s="18" t="n">
        <x:v>1</x:v>
      </x:c>
      <x:c r="H662" s="18" t="n">
        <x:v>1.5</x:v>
      </x:c>
      <x:c r="I662" s="18"/>
      <x:c r="J662" s="20"/>
      <x:c r="K662" s="22"/>
      <x:c r="L662" s="11" t="str">
        <x:v>medicilon-normalized-pe-v1.0</x:v>
      </x:c>
      <x:c r="M662" s="11" t="str">
        <x:v>2029-10-09</x:v>
      </x:c>
      <x:c r="O662" t="str">
        <x:v>CNY</x:v>
      </x:c>
      <x:c r="V662" t="str">
        <x:v>2029-10-09</x:v>
      </x:c>
      <x:c r="W662" t="str">
        <x:v>待核</x:v>
      </x:c>
      <x:c r="X662" t="str">
        <x:v>周末已解析；节假日需交易所对应年度日历核验，实际交易日待核</x:v>
      </x:c>
    </x:row>
    <x:row r="663" ht="23" customHeight="1">
      <x:c r="A663" s="15" t="str">
        <x:v>688202.SH</x:v>
      </x:c>
      <x:c r="B663" s="15" t="str">
        <x:v>五年</x:v>
      </x:c>
      <x:c r="C663" s="15" t="str">
        <x:v>活动输入</x:v>
      </x:c>
      <x:c r="D663" s="15" t="str">
        <x:v>EPS</x:v>
      </x:c>
      <x:c r="E663" s="17" t="n">
        <x:f>CHOOSE($B$3,E664,E665,E666)</x:f>
        <x:v>5.5</x:v>
      </x:c>
      <x:c r="F663" s="17" t="n">
        <x:f>CHOOSE($B$3,F664,F665,F666)</x:f>
        <x:v>28</x:v>
      </x:c>
      <x:c r="G663" s="17" t="n">
        <x:f>CHOOSE($B$3,G664,G665,G666)</x:f>
        <x:v>1</x:v>
      </x:c>
      <x:c r="H663" s="17" t="n">
        <x:f>CHOOSE($B$3,H664,H665,H666)</x:f>
        <x:v>2</x:v>
      </x:c>
      <x:c r="I663" s="17" t="str">
        <x:f>CHOOSE($B$3,I664,I665,I666)</x:f>
      </x:c>
      <x:c r="J663" s="19" t="str">
        <x:f>CHOOSE($B$3,J664,J665,J666)</x:f>
      </x:c>
      <x:c r="K663" s="21" t="str">
        <x:f>CHOOSE($B$3,K664,K665,K666)</x:f>
      </x:c>
      <x:c r="L663" s="15" t="str">
        <x:v>medicilon-normalized-pe-v1.0</x:v>
      </x:c>
      <x:c r="M663" s="15" t="str">
        <x:v>2031-10-09</x:v>
      </x:c>
      <x:c r="O663" t="str">
        <x:v>CNY</x:v>
      </x:c>
      <x:c r="V663" t="str">
        <x:v>2031-10-09</x:v>
      </x:c>
      <x:c r="W663" t="str">
        <x:v>待核</x:v>
      </x:c>
      <x:c r="X663" t="str">
        <x:v>周末已解析；节假日需交易所对应年度日历核验，实际交易日待核</x:v>
      </x:c>
    </x:row>
    <x:row r="664" ht="23" customHeight="1">
      <x:c r="A664" s="11" t="str">
        <x:v>688202.SH</x:v>
      </x:c>
      <x:c r="B664" s="11" t="str">
        <x:v>五年</x:v>
      </x:c>
      <x:c r="C664" s="11" t="str">
        <x:v>悲观</x:v>
      </x:c>
      <x:c r="D664" s="11" t="str">
        <x:v>EPS</x:v>
      </x:c>
      <x:c r="E664" s="18" t="n">
        <x:v>1.7</x:v>
      </x:c>
      <x:c r="F664" s="18" t="n">
        <x:v>20</x:v>
      </x:c>
      <x:c r="G664" s="18" t="n">
        <x:v>1</x:v>
      </x:c>
      <x:c r="H664" s="18" t="n">
        <x:v>0.3</x:v>
      </x:c>
      <x:c r="I664" s="18"/>
      <x:c r="J664" s="20"/>
      <x:c r="K664" s="22"/>
      <x:c r="L664" s="11" t="str">
        <x:v>medicilon-normalized-pe-v1.0</x:v>
      </x:c>
      <x:c r="M664" s="11" t="str">
        <x:v>2031-10-09</x:v>
      </x:c>
      <x:c r="O664" t="str">
        <x:v>CNY</x:v>
      </x:c>
      <x:c r="V664" t="str">
        <x:v>2031-10-09</x:v>
      </x:c>
      <x:c r="W664" t="str">
        <x:v>待核</x:v>
      </x:c>
      <x:c r="X664" t="str">
        <x:v>周末已解析；节假日需交易所对应年度日历核验，实际交易日待核</x:v>
      </x:c>
    </x:row>
    <x:row r="665" ht="23" customHeight="1">
      <x:c r="A665" s="11" t="str">
        <x:v>688202.SH</x:v>
      </x:c>
      <x:c r="B665" s="11" t="str">
        <x:v>五年</x:v>
      </x:c>
      <x:c r="C665" s="11" t="str">
        <x:v>基准</x:v>
      </x:c>
      <x:c r="D665" s="11" t="str">
        <x:v>EPS</x:v>
      </x:c>
      <x:c r="E665" s="18" t="n">
        <x:v>5.5</x:v>
      </x:c>
      <x:c r="F665" s="18" t="n">
        <x:v>28</x:v>
      </x:c>
      <x:c r="G665" s="18" t="n">
        <x:v>1</x:v>
      </x:c>
      <x:c r="H665" s="18" t="n">
        <x:v>2</x:v>
      </x:c>
      <x:c r="I665" s="18"/>
      <x:c r="J665" s="20"/>
      <x:c r="K665" s="22"/>
      <x:c r="L665" s="11" t="str">
        <x:v>medicilon-normalized-pe-v1.0</x:v>
      </x:c>
      <x:c r="M665" s="11" t="str">
        <x:v>2031-10-09</x:v>
      </x:c>
      <x:c r="O665" t="str">
        <x:v>CNY</x:v>
      </x:c>
      <x:c r="V665" t="str">
        <x:v>2031-10-09</x:v>
      </x:c>
      <x:c r="W665" t="str">
        <x:v>待核</x:v>
      </x:c>
      <x:c r="X665" t="str">
        <x:v>周末已解析；节假日需交易所对应年度日历核验，实际交易日待核</x:v>
      </x:c>
    </x:row>
    <x:row r="666" ht="23" customHeight="1">
      <x:c r="A666" s="11" t="str">
        <x:v>688202.SH</x:v>
      </x:c>
      <x:c r="B666" s="11" t="str">
        <x:v>五年</x:v>
      </x:c>
      <x:c r="C666" s="11" t="str">
        <x:v>乐观</x:v>
      </x:c>
      <x:c r="D666" s="11" t="str">
        <x:v>EPS</x:v>
      </x:c>
      <x:c r="E666" s="18" t="n">
        <x:v>9</x:v>
      </x:c>
      <x:c r="F666" s="18" t="n">
        <x:v>35</x:v>
      </x:c>
      <x:c r="G666" s="18" t="n">
        <x:v>1</x:v>
      </x:c>
      <x:c r="H666" s="18" t="n">
        <x:v>3.5</x:v>
      </x:c>
      <x:c r="I666" s="18"/>
      <x:c r="J666" s="20"/>
      <x:c r="K666" s="22"/>
      <x:c r="L666" s="11" t="str">
        <x:v>medicilon-normalized-pe-v1.0</x:v>
      </x:c>
      <x:c r="M666" s="11" t="str">
        <x:v>2031-10-09</x:v>
      </x:c>
      <x:c r="O666" t="str">
        <x:v>CNY</x:v>
      </x:c>
      <x:c r="V666" t="str">
        <x:v>2031-10-09</x:v>
      </x:c>
      <x:c r="W666" t="str">
        <x:v>待核</x:v>
      </x:c>
      <x:c r="X666" t="str">
        <x:v>周末已解析；节假日需交易所对应年度日历核验，实际交易日待核</x:v>
      </x:c>
    </x:row>
    <x:row r="667" ht="23" customHeight="1">
      <x:c r="A667" s="15" t="str">
        <x:v>03690.HK</x:v>
      </x:c>
      <x:c r="B667" s="15" t="str">
        <x:v>2026年底</x:v>
      </x:c>
      <x:c r="C667" s="15" t="str">
        <x:v>活动输入</x:v>
      </x:c>
      <x:c r="D667" s="15" t="str">
        <x:v>EPS</x:v>
      </x:c>
      <x:c r="E667" s="17" t="n">
        <x:f>CHOOSE($B$3,E668,E669,E670)</x:f>
        <x:v>3.448</x:v>
      </x:c>
      <x:c r="F667" s="17" t="n">
        <x:f>CHOOSE($B$3,F668,F669,F670)</x:f>
        <x:v>22</x:v>
      </x:c>
      <x:c r="G667" s="17" t="n">
        <x:f>CHOOSE($B$3,G668,G669,G670)</x:f>
        <x:v>1.1</x:v>
      </x:c>
      <x:c r="H667" s="17" t="n">
        <x:f>CHOOSE($B$3,H668,H669,H670)</x:f>
        <x:v>0</x:v>
      </x:c>
      <x:c r="I667" s="17" t="str">
        <x:f>CHOOSE($B$3,I668,I669,I670)</x:f>
      </x:c>
      <x:c r="J667" s="19" t="str">
        <x:f>CHOOSE($B$3,J668,J669,J670)</x:f>
      </x:c>
      <x:c r="K667" s="21" t="str">
        <x:f>CHOOSE($B$3,K668,K669,K670)</x:f>
      </x:c>
      <x:c r="L667" s="15" t="str">
        <x:v>meituan-core-new-SOTP-v1.0</x:v>
      </x:c>
      <x:c r="M667" s="15" t="str">
        <x:v>2026-12-31</x:v>
      </x:c>
      <x:c r="O667" t="str">
        <x:v>CNY</x:v>
      </x:c>
      <x:c r="V667" t="str">
        <x:v>2026-12-31</x:v>
      </x:c>
      <x:c r="W667" t="str">
        <x:v>待核</x:v>
      </x:c>
      <x:c r="X667" t="str">
        <x:v>周末已解析；节假日需交易所对应年度日历核验，实际交易日待核</x:v>
      </x:c>
    </x:row>
    <x:row r="668" ht="23" customHeight="1">
      <x:c r="A668" s="11" t="str">
        <x:v>03690.HK</x:v>
      </x:c>
      <x:c r="B668" s="11" t="str">
        <x:v>2026年底</x:v>
      </x:c>
      <x:c r="C668" s="11" t="str">
        <x:v>悲观</x:v>
      </x:c>
      <x:c r="D668" s="11" t="str">
        <x:v>EPS</x:v>
      </x:c>
      <x:c r="E668" s="18" t="n">
        <x:v>1.278</x:v>
      </x:c>
      <x:c r="F668" s="18" t="n">
        <x:v>16</x:v>
      </x:c>
      <x:c r="G668" s="18" t="n">
        <x:v>1.1</x:v>
      </x:c>
      <x:c r="H668" s="18" t="n">
        <x:v>0</x:v>
      </x:c>
      <x:c r="I668" s="18"/>
      <x:c r="J668" s="20"/>
      <x:c r="K668" s="22"/>
      <x:c r="L668" s="11" t="str">
        <x:v>meituan-core-new-SOTP-v1.0</x:v>
      </x:c>
      <x:c r="M668" s="11" t="str">
        <x:v>2026-12-31</x:v>
      </x:c>
      <x:c r="O668" t="str">
        <x:v>CNY</x:v>
      </x:c>
      <x:c r="V668" t="str">
        <x:v>2026-12-31</x:v>
      </x:c>
      <x:c r="W668" t="str">
        <x:v>待核</x:v>
      </x:c>
      <x:c r="X668" t="str">
        <x:v>周末已解析；节假日需交易所对应年度日历核验，实际交易日待核</x:v>
      </x:c>
    </x:row>
    <x:row r="669" ht="23" customHeight="1">
      <x:c r="A669" s="11" t="str">
        <x:v>03690.HK</x:v>
      </x:c>
      <x:c r="B669" s="11" t="str">
        <x:v>2026年底</x:v>
      </x:c>
      <x:c r="C669" s="11" t="str">
        <x:v>基准</x:v>
      </x:c>
      <x:c r="D669" s="11" t="str">
        <x:v>EPS</x:v>
      </x:c>
      <x:c r="E669" s="18" t="n">
        <x:v>3.448</x:v>
      </x:c>
      <x:c r="F669" s="18" t="n">
        <x:v>22</x:v>
      </x:c>
      <x:c r="G669" s="18" t="n">
        <x:v>1.1</x:v>
      </x:c>
      <x:c r="H669" s="18" t="n">
        <x:v>0</x:v>
      </x:c>
      <x:c r="I669" s="18"/>
      <x:c r="J669" s="20"/>
      <x:c r="K669" s="22"/>
      <x:c r="L669" s="11" t="str">
        <x:v>meituan-core-new-SOTP-v1.0</x:v>
      </x:c>
      <x:c r="M669" s="11" t="str">
        <x:v>2026-12-31</x:v>
      </x:c>
      <x:c r="O669" t="str">
        <x:v>CNY</x:v>
      </x:c>
      <x:c r="V669" t="str">
        <x:v>2026-12-31</x:v>
      </x:c>
      <x:c r="W669" t="str">
        <x:v>待核</x:v>
      </x:c>
      <x:c r="X669" t="str">
        <x:v>周末已解析；节假日需交易所对应年度日历核验，实际交易日待核</x:v>
      </x:c>
    </x:row>
    <x:row r="670" ht="23" customHeight="1">
      <x:c r="A670" s="11" t="str">
        <x:v>03690.HK</x:v>
      </x:c>
      <x:c r="B670" s="11" t="str">
        <x:v>2026年底</x:v>
      </x:c>
      <x:c r="C670" s="11" t="str">
        <x:v>乐观</x:v>
      </x:c>
      <x:c r="D670" s="11" t="str">
        <x:v>EPS</x:v>
      </x:c>
      <x:c r="E670" s="18" t="n">
        <x:v>5.567</x:v>
      </x:c>
      <x:c r="F670" s="18" t="n">
        <x:v>26</x:v>
      </x:c>
      <x:c r="G670" s="18" t="n">
        <x:v>1.1</x:v>
      </x:c>
      <x:c r="H670" s="18" t="n">
        <x:v>0</x:v>
      </x:c>
      <x:c r="I670" s="18"/>
      <x:c r="J670" s="20"/>
      <x:c r="K670" s="22"/>
      <x:c r="L670" s="11" t="str">
        <x:v>meituan-core-new-SOTP-v1.0</x:v>
      </x:c>
      <x:c r="M670" s="11" t="str">
        <x:v>2026-12-31</x:v>
      </x:c>
      <x:c r="O670" t="str">
        <x:v>CNY</x:v>
      </x:c>
      <x:c r="V670" t="str">
        <x:v>2026-12-31</x:v>
      </x:c>
      <x:c r="W670" t="str">
        <x:v>待核</x:v>
      </x:c>
      <x:c r="X670" t="str">
        <x:v>周末已解析；节假日需交易所对应年度日历核验，实际交易日待核</x:v>
      </x:c>
    </x:row>
    <x:row r="671" ht="23" customHeight="1">
      <x:c r="A671" s="15" t="str">
        <x:v>03690.HK</x:v>
      </x:c>
      <x:c r="B671" s="15" t="str">
        <x:v>半年</x:v>
      </x:c>
      <x:c r="C671" s="15" t="str">
        <x:v>活动输入</x:v>
      </x:c>
      <x:c r="D671" s="15" t="str">
        <x:v>EPS</x:v>
      </x:c>
      <x:c r="E671" s="17" t="n">
        <x:f>CHOOSE($B$3,E672,E673,E674)</x:f>
        <x:v>4.209</x:v>
      </x:c>
      <x:c r="F671" s="17" t="n">
        <x:f>CHOOSE($B$3,F672,F673,F674)</x:f>
        <x:v>22</x:v>
      </x:c>
      <x:c r="G671" s="17" t="n">
        <x:f>CHOOSE($B$3,G672,G673,G674)</x:f>
        <x:v>1.1</x:v>
      </x:c>
      <x:c r="H671" s="17" t="n">
        <x:f>CHOOSE($B$3,H672,H673,H674)</x:f>
        <x:v>0</x:v>
      </x:c>
      <x:c r="I671" s="17" t="str">
        <x:f>CHOOSE($B$3,I672,I673,I674)</x:f>
      </x:c>
      <x:c r="J671" s="19" t="str">
        <x:f>CHOOSE($B$3,J672,J673,J674)</x:f>
      </x:c>
      <x:c r="K671" s="21" t="str">
        <x:f>CHOOSE($B$3,K672,K673,K674)</x:f>
      </x:c>
      <x:c r="L671" s="15" t="str">
        <x:v>meituan-core-new-SOTP-v1.0</x:v>
      </x:c>
      <x:c r="M671" s="15" t="str">
        <x:v>2027-04-09</x:v>
      </x:c>
      <x:c r="O671" t="str">
        <x:v>CNY</x:v>
      </x:c>
      <x:c r="V671" t="str">
        <x:v>2027-04-09</x:v>
      </x:c>
      <x:c r="W671" t="str">
        <x:v>待核</x:v>
      </x:c>
      <x:c r="X671" t="str">
        <x:v>周末已解析；节假日需交易所对应年度日历核验，实际交易日待核</x:v>
      </x:c>
    </x:row>
    <x:row r="672" ht="23" customHeight="1">
      <x:c r="A672" s="11" t="str">
        <x:v>03690.HK</x:v>
      </x:c>
      <x:c r="B672" s="11" t="str">
        <x:v>半年</x:v>
      </x:c>
      <x:c r="C672" s="11" t="str">
        <x:v>悲观</x:v>
      </x:c>
      <x:c r="D672" s="11" t="str">
        <x:v>EPS</x:v>
      </x:c>
      <x:c r="E672" s="18" t="n">
        <x:v>1.204</x:v>
      </x:c>
      <x:c r="F672" s="18" t="n">
        <x:v>15</x:v>
      </x:c>
      <x:c r="G672" s="18" t="n">
        <x:v>1.1</x:v>
      </x:c>
      <x:c r="H672" s="18" t="n">
        <x:v>0</x:v>
      </x:c>
      <x:c r="I672" s="18"/>
      <x:c r="J672" s="20"/>
      <x:c r="K672" s="22"/>
      <x:c r="L672" s="11" t="str">
        <x:v>meituan-core-new-SOTP-v1.0</x:v>
      </x:c>
      <x:c r="M672" s="11" t="str">
        <x:v>2027-04-09</x:v>
      </x:c>
      <x:c r="O672" t="str">
        <x:v>CNY</x:v>
      </x:c>
      <x:c r="V672" t="str">
        <x:v>2027-04-09</x:v>
      </x:c>
      <x:c r="W672" t="str">
        <x:v>待核</x:v>
      </x:c>
      <x:c r="X672" t="str">
        <x:v>周末已解析；节假日需交易所对应年度日历核验，实际交易日待核</x:v>
      </x:c>
    </x:row>
    <x:row r="673" ht="23" customHeight="1">
      <x:c r="A673" s="11" t="str">
        <x:v>03690.HK</x:v>
      </x:c>
      <x:c r="B673" s="11" t="str">
        <x:v>半年</x:v>
      </x:c>
      <x:c r="C673" s="11" t="str">
        <x:v>基准</x:v>
      </x:c>
      <x:c r="D673" s="11" t="str">
        <x:v>EPS</x:v>
      </x:c>
      <x:c r="E673" s="18" t="n">
        <x:v>4.209</x:v>
      </x:c>
      <x:c r="F673" s="18" t="n">
        <x:v>22</x:v>
      </x:c>
      <x:c r="G673" s="18" t="n">
        <x:v>1.1</x:v>
      </x:c>
      <x:c r="H673" s="18" t="n">
        <x:v>0</x:v>
      </x:c>
      <x:c r="I673" s="18"/>
      <x:c r="J673" s="20"/>
      <x:c r="K673" s="22"/>
      <x:c r="L673" s="11" t="str">
        <x:v>meituan-core-new-SOTP-v1.0</x:v>
      </x:c>
      <x:c r="M673" s="11" t="str">
        <x:v>2027-04-09</x:v>
      </x:c>
      <x:c r="O673" t="str">
        <x:v>CNY</x:v>
      </x:c>
      <x:c r="V673" t="str">
        <x:v>2027-04-09</x:v>
      </x:c>
      <x:c r="W673" t="str">
        <x:v>待核</x:v>
      </x:c>
      <x:c r="X673" t="str">
        <x:v>周末已解析；节假日需交易所对应年度日历核验，实际交易日待核</x:v>
      </x:c>
    </x:row>
    <x:row r="674" ht="23" customHeight="1">
      <x:c r="A674" s="11" t="str">
        <x:v>03690.HK</x:v>
      </x:c>
      <x:c r="B674" s="11" t="str">
        <x:v>半年</x:v>
      </x:c>
      <x:c r="C674" s="11" t="str">
        <x:v>乐观</x:v>
      </x:c>
      <x:c r="D674" s="11" t="str">
        <x:v>EPS</x:v>
      </x:c>
      <x:c r="E674" s="18" t="n">
        <x:v>6.687</x:v>
      </x:c>
      <x:c r="F674" s="18" t="n">
        <x:v>27</x:v>
      </x:c>
      <x:c r="G674" s="18" t="n">
        <x:v>1.1</x:v>
      </x:c>
      <x:c r="H674" s="18" t="n">
        <x:v>0</x:v>
      </x:c>
      <x:c r="I674" s="18"/>
      <x:c r="J674" s="20"/>
      <x:c r="K674" s="22"/>
      <x:c r="L674" s="11" t="str">
        <x:v>meituan-core-new-SOTP-v1.0</x:v>
      </x:c>
      <x:c r="M674" s="11" t="str">
        <x:v>2027-04-09</x:v>
      </x:c>
      <x:c r="O674" t="str">
        <x:v>CNY</x:v>
      </x:c>
      <x:c r="V674" t="str">
        <x:v>2027-04-09</x:v>
      </x:c>
      <x:c r="W674" t="str">
        <x:v>待核</x:v>
      </x:c>
      <x:c r="X674" t="str">
        <x:v>周末已解析；节假日需交易所对应年度日历核验，实际交易日待核</x:v>
      </x:c>
    </x:row>
    <x:row r="675" ht="23" customHeight="1">
      <x:c r="A675" s="15" t="str">
        <x:v>03690.HK</x:v>
      </x:c>
      <x:c r="B675" s="15" t="str">
        <x:v>一年</x:v>
      </x:c>
      <x:c r="C675" s="15" t="str">
        <x:v>活动输入</x:v>
      </x:c>
      <x:c r="D675" s="15" t="str">
        <x:v>EPS</x:v>
      </x:c>
      <x:c r="E675" s="17" t="n">
        <x:f>CHOOSE($B$3,E676,E677,E678)</x:f>
        <x:v>5.419</x:v>
      </x:c>
      <x:c r="F675" s="17" t="n">
        <x:f>CHOOSE($B$3,F676,F677,F678)</x:f>
        <x:v>22</x:v>
      </x:c>
      <x:c r="G675" s="17" t="n">
        <x:f>CHOOSE($B$3,G676,G677,G678)</x:f>
        <x:v>1.1</x:v>
      </x:c>
      <x:c r="H675" s="17" t="n">
        <x:f>CHOOSE($B$3,H676,H677,H678)</x:f>
        <x:v>0</x:v>
      </x:c>
      <x:c r="I675" s="17" t="str">
        <x:f>CHOOSE($B$3,I676,I677,I678)</x:f>
      </x:c>
      <x:c r="J675" s="19" t="str">
        <x:f>CHOOSE($B$3,J676,J677,J678)</x:f>
      </x:c>
      <x:c r="K675" s="21" t="str">
        <x:f>CHOOSE($B$3,K676,K677,K678)</x:f>
      </x:c>
      <x:c r="L675" s="15" t="str">
        <x:v>meituan-core-new-SOTP-v1.0</x:v>
      </x:c>
      <x:c r="M675" s="15" t="str">
        <x:v>2027-10-09</x:v>
      </x:c>
      <x:c r="O675" t="str">
        <x:v>CNY</x:v>
      </x:c>
      <x:c r="V675" t="str">
        <x:v>2027-10-08</x:v>
      </x:c>
      <x:c r="W675" t="str">
        <x:v>待核</x:v>
      </x:c>
      <x:c r="X675" t="str">
        <x:v>周末已解析；节假日需交易所对应年度日历核验，实际交易日待核</x:v>
      </x:c>
    </x:row>
    <x:row r="676" ht="23" customHeight="1">
      <x:c r="A676" s="11" t="str">
        <x:v>03690.HK</x:v>
      </x:c>
      <x:c r="B676" s="11" t="str">
        <x:v>一年</x:v>
      </x:c>
      <x:c r="C676" s="11" t="str">
        <x:v>悲观</x:v>
      </x:c>
      <x:c r="D676" s="11" t="str">
        <x:v>EPS</x:v>
      </x:c>
      <x:c r="E676" s="18" t="n">
        <x:v>1.599</x:v>
      </x:c>
      <x:c r="F676" s="18" t="n">
        <x:v>14</x:v>
      </x:c>
      <x:c r="G676" s="18" t="n">
        <x:v>1.1</x:v>
      </x:c>
      <x:c r="H676" s="18" t="n">
        <x:v>0</x:v>
      </x:c>
      <x:c r="I676" s="18"/>
      <x:c r="J676" s="20"/>
      <x:c r="K676" s="22"/>
      <x:c r="L676" s="11" t="str">
        <x:v>meituan-core-new-SOTP-v1.0</x:v>
      </x:c>
      <x:c r="M676" s="11" t="str">
        <x:v>2027-10-09</x:v>
      </x:c>
      <x:c r="O676" t="str">
        <x:v>CNY</x:v>
      </x:c>
      <x:c r="V676" t="str">
        <x:v>2027-10-08</x:v>
      </x:c>
      <x:c r="W676" t="str">
        <x:v>待核</x:v>
      </x:c>
      <x:c r="X676" t="str">
        <x:v>周末已解析；节假日需交易所对应年度日历核验，实际交易日待核</x:v>
      </x:c>
    </x:row>
    <x:row r="677" ht="23" customHeight="1">
      <x:c r="A677" s="11" t="str">
        <x:v>03690.HK</x:v>
      </x:c>
      <x:c r="B677" s="11" t="str">
        <x:v>一年</x:v>
      </x:c>
      <x:c r="C677" s="11" t="str">
        <x:v>基准</x:v>
      </x:c>
      <x:c r="D677" s="11" t="str">
        <x:v>EPS</x:v>
      </x:c>
      <x:c r="E677" s="18" t="n">
        <x:v>5.419</x:v>
      </x:c>
      <x:c r="F677" s="18" t="n">
        <x:v>22</x:v>
      </x:c>
      <x:c r="G677" s="18" t="n">
        <x:v>1.1</x:v>
      </x:c>
      <x:c r="H677" s="18" t="n">
        <x:v>0</x:v>
      </x:c>
      <x:c r="I677" s="18"/>
      <x:c r="J677" s="20"/>
      <x:c r="K677" s="22"/>
      <x:c r="L677" s="11" t="str">
        <x:v>meituan-core-new-SOTP-v1.0</x:v>
      </x:c>
      <x:c r="M677" s="11" t="str">
        <x:v>2027-10-09</x:v>
      </x:c>
      <x:c r="O677" t="str">
        <x:v>CNY</x:v>
      </x:c>
      <x:c r="V677" t="str">
        <x:v>2027-10-08</x:v>
      </x:c>
      <x:c r="W677" t="str">
        <x:v>待核</x:v>
      </x:c>
      <x:c r="X677" t="str">
        <x:v>周末已解析；节假日需交易所对应年度日历核验，实际交易日待核</x:v>
      </x:c>
    </x:row>
    <x:row r="678" ht="23" customHeight="1">
      <x:c r="A678" s="11" t="str">
        <x:v>03690.HK</x:v>
      </x:c>
      <x:c r="B678" s="11" t="str">
        <x:v>一年</x:v>
      </x:c>
      <x:c r="C678" s="11" t="str">
        <x:v>乐观</x:v>
      </x:c>
      <x:c r="D678" s="11" t="str">
        <x:v>EPS</x:v>
      </x:c>
      <x:c r="E678" s="18" t="n">
        <x:v>8.294</x:v>
      </x:c>
      <x:c r="F678" s="18" t="n">
        <x:v>28</x:v>
      </x:c>
      <x:c r="G678" s="18" t="n">
        <x:v>1.1</x:v>
      </x:c>
      <x:c r="H678" s="18" t="n">
        <x:v>0</x:v>
      </x:c>
      <x:c r="I678" s="18"/>
      <x:c r="J678" s="20"/>
      <x:c r="K678" s="22"/>
      <x:c r="L678" s="11" t="str">
        <x:v>meituan-core-new-SOTP-v1.0</x:v>
      </x:c>
      <x:c r="M678" s="11" t="str">
        <x:v>2027-10-09</x:v>
      </x:c>
      <x:c r="O678" t="str">
        <x:v>CNY</x:v>
      </x:c>
      <x:c r="V678" t="str">
        <x:v>2027-10-08</x:v>
      </x:c>
      <x:c r="W678" t="str">
        <x:v>待核</x:v>
      </x:c>
      <x:c r="X678" t="str">
        <x:v>周末已解析；节假日需交易所对应年度日历核验，实际交易日待核</x:v>
      </x:c>
    </x:row>
    <x:row r="679" ht="23" customHeight="1">
      <x:c r="A679" s="15" t="str">
        <x:v>03690.HK</x:v>
      </x:c>
      <x:c r="B679" s="15" t="str">
        <x:v>三年</x:v>
      </x:c>
      <x:c r="C679" s="15" t="str">
        <x:v>活动输入</x:v>
      </x:c>
      <x:c r="D679" s="15" t="str">
        <x:v>EPS</x:v>
      </x:c>
      <x:c r="E679" s="17" t="n">
        <x:f>CHOOSE($B$3,E680,E681,E682)</x:f>
        <x:v>8.276</x:v>
      </x:c>
      <x:c r="F679" s="17" t="n">
        <x:f>CHOOSE($B$3,F680,F681,F682)</x:f>
        <x:v>22</x:v>
      </x:c>
      <x:c r="G679" s="17" t="n">
        <x:f>CHOOSE($B$3,G680,G681,G682)</x:f>
        <x:v>1.1</x:v>
      </x:c>
      <x:c r="H679" s="17" t="n">
        <x:f>CHOOSE($B$3,H680,H681,H682)</x:f>
        <x:v>0</x:v>
      </x:c>
      <x:c r="I679" s="17" t="str">
        <x:f>CHOOSE($B$3,I680,I681,I682)</x:f>
      </x:c>
      <x:c r="J679" s="19" t="str">
        <x:f>CHOOSE($B$3,J680,J681,J682)</x:f>
      </x:c>
      <x:c r="K679" s="21" t="str">
        <x:f>CHOOSE($B$3,K680,K681,K682)</x:f>
      </x:c>
      <x:c r="L679" s="15" t="str">
        <x:v>meituan-core-new-SOTP-v1.0</x:v>
      </x:c>
      <x:c r="M679" s="15" t="str">
        <x:v>2029-10-09</x:v>
      </x:c>
      <x:c r="O679" t="str">
        <x:v>CNY</x:v>
      </x:c>
      <x:c r="V679" t="str">
        <x:v>2029-10-09</x:v>
      </x:c>
      <x:c r="W679" t="str">
        <x:v>待核</x:v>
      </x:c>
      <x:c r="X679" t="str">
        <x:v>周末已解析；节假日需交易所对应年度日历核验，实际交易日待核</x:v>
      </x:c>
    </x:row>
    <x:row r="680" ht="23" customHeight="1">
      <x:c r="A680" s="11" t="str">
        <x:v>03690.HK</x:v>
      </x:c>
      <x:c r="B680" s="11" t="str">
        <x:v>三年</x:v>
      </x:c>
      <x:c r="C680" s="11" t="str">
        <x:v>悲观</x:v>
      </x:c>
      <x:c r="D680" s="11" t="str">
        <x:v>EPS</x:v>
      </x:c>
      <x:c r="E680" s="18" t="n">
        <x:v>1.676</x:v>
      </x:c>
      <x:c r="F680" s="18" t="n">
        <x:v>12</x:v>
      </x:c>
      <x:c r="G680" s="18" t="n">
        <x:v>1.1</x:v>
      </x:c>
      <x:c r="H680" s="18" t="n">
        <x:v>0</x:v>
      </x:c>
      <x:c r="I680" s="18"/>
      <x:c r="J680" s="20"/>
      <x:c r="K680" s="22"/>
      <x:c r="L680" s="11" t="str">
        <x:v>meituan-core-new-SOTP-v1.0</x:v>
      </x:c>
      <x:c r="M680" s="11" t="str">
        <x:v>2029-10-09</x:v>
      </x:c>
      <x:c r="O680" t="str">
        <x:v>CNY</x:v>
      </x:c>
      <x:c r="V680" t="str">
        <x:v>2029-10-09</x:v>
      </x:c>
      <x:c r="W680" t="str">
        <x:v>待核</x:v>
      </x:c>
      <x:c r="X680" t="str">
        <x:v>周末已解析；节假日需交易所对应年度日历核验，实际交易日待核</x:v>
      </x:c>
    </x:row>
    <x:row r="681" ht="23" customHeight="1">
      <x:c r="A681" s="11" t="str">
        <x:v>03690.HK</x:v>
      </x:c>
      <x:c r="B681" s="11" t="str">
        <x:v>三年</x:v>
      </x:c>
      <x:c r="C681" s="11" t="str">
        <x:v>基准</x:v>
      </x:c>
      <x:c r="D681" s="11" t="str">
        <x:v>EPS</x:v>
      </x:c>
      <x:c r="E681" s="18" t="n">
        <x:v>8.276</x:v>
      </x:c>
      <x:c r="F681" s="18" t="n">
        <x:v>22</x:v>
      </x:c>
      <x:c r="G681" s="18" t="n">
        <x:v>1.1</x:v>
      </x:c>
      <x:c r="H681" s="18" t="n">
        <x:v>0</x:v>
      </x:c>
      <x:c r="I681" s="18"/>
      <x:c r="J681" s="20"/>
      <x:c r="K681" s="22"/>
      <x:c r="L681" s="11" t="str">
        <x:v>meituan-core-new-SOTP-v1.0</x:v>
      </x:c>
      <x:c r="M681" s="11" t="str">
        <x:v>2029-10-09</x:v>
      </x:c>
      <x:c r="O681" t="str">
        <x:v>CNY</x:v>
      </x:c>
      <x:c r="V681" t="str">
        <x:v>2029-10-09</x:v>
      </x:c>
      <x:c r="W681" t="str">
        <x:v>待核</x:v>
      </x:c>
      <x:c r="X681" t="str">
        <x:v>周末已解析；节假日需交易所对应年度日历核验，实际交易日待核</x:v>
      </x:c>
    </x:row>
    <x:row r="682" ht="23" customHeight="1">
      <x:c r="A682" s="11" t="str">
        <x:v>03690.HK</x:v>
      </x:c>
      <x:c r="B682" s="11" t="str">
        <x:v>三年</x:v>
      </x:c>
      <x:c r="C682" s="11" t="str">
        <x:v>乐观</x:v>
      </x:c>
      <x:c r="D682" s="11" t="str">
        <x:v>EPS</x:v>
      </x:c>
      <x:c r="E682" s="18" t="n">
        <x:v>14.03</x:v>
      </x:c>
      <x:c r="F682" s="18" t="n">
        <x:v>28</x:v>
      </x:c>
      <x:c r="G682" s="18" t="n">
        <x:v>1.1</x:v>
      </x:c>
      <x:c r="H682" s="18" t="n">
        <x:v>0</x:v>
      </x:c>
      <x:c r="I682" s="18"/>
      <x:c r="J682" s="20"/>
      <x:c r="K682" s="22"/>
      <x:c r="L682" s="11" t="str">
        <x:v>meituan-core-new-SOTP-v1.0</x:v>
      </x:c>
      <x:c r="M682" s="11" t="str">
        <x:v>2029-10-09</x:v>
      </x:c>
      <x:c r="O682" t="str">
        <x:v>CNY</x:v>
      </x:c>
      <x:c r="V682" t="str">
        <x:v>2029-10-09</x:v>
      </x:c>
      <x:c r="W682" t="str">
        <x:v>待核</x:v>
      </x:c>
      <x:c r="X682" t="str">
        <x:v>周末已解析；节假日需交易所对应年度日历核验，实际交易日待核</x:v>
      </x:c>
    </x:row>
    <x:row r="683" ht="23" customHeight="1">
      <x:c r="A683" s="15" t="str">
        <x:v>03690.HK</x:v>
      </x:c>
      <x:c r="B683" s="15" t="str">
        <x:v>五年</x:v>
      </x:c>
      <x:c r="C683" s="15" t="str">
        <x:v>活动输入</x:v>
      </x:c>
      <x:c r="D683" s="15" t="str">
        <x:v>EPS</x:v>
      </x:c>
      <x:c r="E683" s="17" t="n">
        <x:f>CHOOSE($B$3,E684,E685,E686)</x:f>
        <x:v>11.006</x:v>
      </x:c>
      <x:c r="F683" s="17" t="n">
        <x:f>CHOOSE($B$3,F684,F685,F686)</x:f>
        <x:v>20</x:v>
      </x:c>
      <x:c r="G683" s="17" t="n">
        <x:f>CHOOSE($B$3,G684,G685,G686)</x:f>
        <x:v>1.1</x:v>
      </x:c>
      <x:c r="H683" s="17" t="n">
        <x:f>CHOOSE($B$3,H684,H685,H686)</x:f>
        <x:v>0</x:v>
      </x:c>
      <x:c r="I683" s="17" t="str">
        <x:f>CHOOSE($B$3,I684,I685,I686)</x:f>
      </x:c>
      <x:c r="J683" s="19" t="str">
        <x:f>CHOOSE($B$3,J684,J685,J686)</x:f>
      </x:c>
      <x:c r="K683" s="21" t="str">
        <x:f>CHOOSE($B$3,K684,K685,K686)</x:f>
      </x:c>
      <x:c r="L683" s="15" t="str">
        <x:v>meituan-core-new-SOTP-v1.0</x:v>
      </x:c>
      <x:c r="M683" s="15" t="str">
        <x:v>2031-10-09</x:v>
      </x:c>
      <x:c r="O683" t="str">
        <x:v>CNY</x:v>
      </x:c>
      <x:c r="V683" t="str">
        <x:v>2031-10-09</x:v>
      </x:c>
      <x:c r="W683" t="str">
        <x:v>待核</x:v>
      </x:c>
      <x:c r="X683" t="str">
        <x:v>周末已解析；节假日需交易所对应年度日历核验，实际交易日待核</x:v>
      </x:c>
    </x:row>
    <x:row r="684" ht="23" customHeight="1">
      <x:c r="A684" s="11" t="str">
        <x:v>03690.HK</x:v>
      </x:c>
      <x:c r="B684" s="11" t="str">
        <x:v>五年</x:v>
      </x:c>
      <x:c r="C684" s="11" t="str">
        <x:v>悲观</x:v>
      </x:c>
      <x:c r="D684" s="11" t="str">
        <x:v>EPS</x:v>
      </x:c>
      <x:c r="E684" s="18" t="n">
        <x:v>1.812</x:v>
      </x:c>
      <x:c r="F684" s="18" t="n">
        <x:v>10</x:v>
      </x:c>
      <x:c r="G684" s="18" t="n">
        <x:v>1.1</x:v>
      </x:c>
      <x:c r="H684" s="18" t="n">
        <x:v>0</x:v>
      </x:c>
      <x:c r="I684" s="18"/>
      <x:c r="J684" s="20"/>
      <x:c r="K684" s="22"/>
      <x:c r="L684" s="11" t="str">
        <x:v>meituan-core-new-SOTP-v1.0</x:v>
      </x:c>
      <x:c r="M684" s="11" t="str">
        <x:v>2031-10-09</x:v>
      </x:c>
      <x:c r="O684" t="str">
        <x:v>CNY</x:v>
      </x:c>
      <x:c r="V684" t="str">
        <x:v>2031-10-09</x:v>
      </x:c>
      <x:c r="W684" t="str">
        <x:v>待核</x:v>
      </x:c>
      <x:c r="X684" t="str">
        <x:v>周末已解析；节假日需交易所对应年度日历核验，实际交易日待核</x:v>
      </x:c>
    </x:row>
    <x:row r="685" ht="23" customHeight="1">
      <x:c r="A685" s="11" t="str">
        <x:v>03690.HK</x:v>
      </x:c>
      <x:c r="B685" s="11" t="str">
        <x:v>五年</x:v>
      </x:c>
      <x:c r="C685" s="11" t="str">
        <x:v>基准</x:v>
      </x:c>
      <x:c r="D685" s="11" t="str">
        <x:v>EPS</x:v>
      </x:c>
      <x:c r="E685" s="18" t="n">
        <x:v>11.006</x:v>
      </x:c>
      <x:c r="F685" s="18" t="n">
        <x:v>20</x:v>
      </x:c>
      <x:c r="G685" s="18" t="n">
        <x:v>1.1</x:v>
      </x:c>
      <x:c r="H685" s="18" t="n">
        <x:v>0</x:v>
      </x:c>
      <x:c r="I685" s="18"/>
      <x:c r="J685" s="20"/>
      <x:c r="K685" s="22"/>
      <x:c r="L685" s="11" t="str">
        <x:v>meituan-core-new-SOTP-v1.0</x:v>
      </x:c>
      <x:c r="M685" s="11" t="str">
        <x:v>2031-10-09</x:v>
      </x:c>
      <x:c r="O685" t="str">
        <x:v>CNY</x:v>
      </x:c>
      <x:c r="V685" t="str">
        <x:v>2031-10-09</x:v>
      </x:c>
      <x:c r="W685" t="str">
        <x:v>待核</x:v>
      </x:c>
      <x:c r="X685" t="str">
        <x:v>周末已解析；节假日需交易所对应年度日历核验，实际交易日待核</x:v>
      </x:c>
    </x:row>
    <x:row r="686" ht="23" customHeight="1">
      <x:c r="A686" s="11" t="str">
        <x:v>03690.HK</x:v>
      </x:c>
      <x:c r="B686" s="11" t="str">
        <x:v>五年</x:v>
      </x:c>
      <x:c r="C686" s="11" t="str">
        <x:v>乐观</x:v>
      </x:c>
      <x:c r="D686" s="11" t="str">
        <x:v>EPS</x:v>
      </x:c>
      <x:c r="E686" s="18" t="n">
        <x:v>20.063</x:v>
      </x:c>
      <x:c r="F686" s="18" t="n">
        <x:v>26</x:v>
      </x:c>
      <x:c r="G686" s="18" t="n">
        <x:v>1.1</x:v>
      </x:c>
      <x:c r="H686" s="18" t="n">
        <x:v>0</x:v>
      </x:c>
      <x:c r="I686" s="18"/>
      <x:c r="J686" s="20"/>
      <x:c r="K686" s="22"/>
      <x:c r="L686" s="11" t="str">
        <x:v>meituan-core-new-SOTP-v1.0</x:v>
      </x:c>
      <x:c r="M686" s="11" t="str">
        <x:v>2031-10-09</x:v>
      </x:c>
      <x:c r="O686" t="str">
        <x:v>CNY</x:v>
      </x:c>
      <x:c r="V686" t="str">
        <x:v>2031-10-09</x:v>
      </x:c>
      <x:c r="W686" t="str">
        <x:v>待核</x:v>
      </x:c>
      <x:c r="X686" t="str">
        <x:v>周末已解析；节假日需交易所对应年度日历核验，实际交易日待核</x:v>
      </x:c>
    </x:row>
    <x:row r="687" ht="23" customHeight="1">
      <x:c r="A687" s="15" t="str">
        <x:v>00300.HK</x:v>
      </x:c>
      <x:c r="B687" s="15" t="str">
        <x:v>2026年底</x:v>
      </x:c>
      <x:c r="C687" s="15" t="str">
        <x:v>活动输入</x:v>
      </x:c>
      <x:c r="D687" s="15" t="str">
        <x:v>收入利润率</x:v>
      </x:c>
      <x:c r="E687" s="17" t="n">
        <x:f>CHOOSE($B$3,E688,E689,E690)</x:f>
        <x:v>6.206666666666666</x:v>
      </x:c>
      <x:c r="F687" s="17" t="n">
        <x:f>CHOOSE($B$3,F688,F689,F690)</x:f>
        <x:v>16</x:v>
      </x:c>
      <x:c r="G687" s="17" t="n">
        <x:f>CHOOSE($B$3,G688,G689,G690)</x:f>
        <x:v>1.1</x:v>
      </x:c>
      <x:c r="H687" s="17" t="n">
        <x:f>CHOOSE($B$3,H688,H689,H690)</x:f>
        <x:v>0.55</x:v>
      </x:c>
      <x:c r="I687" s="17" t="n">
        <x:f>CHOOSE($B$3,I688,I689,I690)</x:f>
        <x:v>490</x:v>
      </x:c>
      <x:c r="J687" s="19" t="n">
        <x:f>CHOOSE($B$3,J688,J689,J690)</x:f>
        <x:v>0.095</x:v>
      </x:c>
      <x:c r="K687" s="21" t="n">
        <x:f>CHOOSE($B$3,K688,K689,K690)</x:f>
        <x:v>7.5</x:v>
      </x:c>
      <x:c r="L687" s="15" t="str">
        <x:v>midea-normalized-owner-margin-v1.0</x:v>
      </x:c>
      <x:c r="M687" s="15" t="str">
        <x:v>2026-12-31</x:v>
      </x:c>
      <x:c r="O687" t="str">
        <x:v>CNY</x:v>
      </x:c>
      <x:c r="V687" t="str">
        <x:v>2026-12-31</x:v>
      </x:c>
      <x:c r="W687" t="str">
        <x:v>待核</x:v>
      </x:c>
      <x:c r="X687" t="str">
        <x:v>周末已解析；节假日需交易所对应年度日历核验，实际交易日待核</x:v>
      </x:c>
    </x:row>
    <x:row r="688" ht="23" customHeight="1">
      <x:c r="A688" s="11" t="str">
        <x:v>00300.HK</x:v>
      </x:c>
      <x:c r="B688" s="11" t="str">
        <x:v>2026年底</x:v>
      </x:c>
      <x:c r="C688" s="11" t="str">
        <x:v>悲观</x:v>
      </x:c>
      <x:c r="D688" s="11" t="str">
        <x:v>收入利润率</x:v>
      </x:c>
      <x:c r="E688" s="18" t="n">
        <x:v>5.144736842105264</x:v>
      </x:c>
      <x:c r="F688" s="18" t="n">
        <x:v>10</x:v>
      </x:c>
      <x:c r="G688" s="18" t="n">
        <x:v>1.1</x:v>
      </x:c>
      <x:c r="H688" s="18" t="n">
        <x:v>0</x:v>
      </x:c>
      <x:c r="I688" s="18" t="n">
        <x:v>460</x:v>
      </x:c>
      <x:c r="J688" s="20" t="n">
        <x:v>0.085</x:v>
      </x:c>
      <x:c r="K688" s="22" t="n">
        <x:v>7.6</x:v>
      </x:c>
      <x:c r="L688" s="11" t="str">
        <x:v>midea-normalized-owner-margin-v1.0</x:v>
      </x:c>
      <x:c r="M688" s="11" t="str">
        <x:v>2026-12-31</x:v>
      </x:c>
      <x:c r="O688" t="str">
        <x:v>CNY</x:v>
      </x:c>
      <x:c r="V688" t="str">
        <x:v>2026-12-31</x:v>
      </x:c>
      <x:c r="W688" t="str">
        <x:v>待核</x:v>
      </x:c>
      <x:c r="X688" t="str">
        <x:v>周末已解析；节假日需交易所对应年度日历核验，实际交易日待核</x:v>
      </x:c>
    </x:row>
    <x:row r="689" ht="23" customHeight="1">
      <x:c r="A689" s="11" t="str">
        <x:v>00300.HK</x:v>
      </x:c>
      <x:c r="B689" s="11" t="str">
        <x:v>2026年底</x:v>
      </x:c>
      <x:c r="C689" s="11" t="str">
        <x:v>基准</x:v>
      </x:c>
      <x:c r="D689" s="11" t="str">
        <x:v>收入利润率</x:v>
      </x:c>
      <x:c r="E689" s="18" t="n">
        <x:v>6.206666666666666</x:v>
      </x:c>
      <x:c r="F689" s="18" t="n">
        <x:v>16</x:v>
      </x:c>
      <x:c r="G689" s="18" t="n">
        <x:v>1.1</x:v>
      </x:c>
      <x:c r="H689" s="18" t="n">
        <x:v>0.55</x:v>
      </x:c>
      <x:c r="I689" s="18" t="n">
        <x:v>490</x:v>
      </x:c>
      <x:c r="J689" s="20" t="n">
        <x:v>0.095</x:v>
      </x:c>
      <x:c r="K689" s="22" t="n">
        <x:v>7.5</x:v>
      </x:c>
      <x:c r="L689" s="11" t="str">
        <x:v>midea-normalized-owner-margin-v1.0</x:v>
      </x:c>
      <x:c r="M689" s="11" t="str">
        <x:v>2026-12-31</x:v>
      </x:c>
      <x:c r="O689" t="str">
        <x:v>CNY</x:v>
      </x:c>
      <x:c r="V689" t="str">
        <x:v>2026-12-31</x:v>
      </x:c>
      <x:c r="W689" t="str">
        <x:v>待核</x:v>
      </x:c>
      <x:c r="X689" t="str">
        <x:v>周末已解析；节假日需交易所对应年度日历核验，实际交易日待核</x:v>
      </x:c>
    </x:row>
    <x:row r="690" ht="23" customHeight="1">
      <x:c r="A690" s="11" t="str">
        <x:v>00300.HK</x:v>
      </x:c>
      <x:c r="B690" s="11" t="str">
        <x:v>2026年底</x:v>
      </x:c>
      <x:c r="C690" s="11" t="str">
        <x:v>乐观</x:v>
      </x:c>
      <x:c r="D690" s="11" t="str">
        <x:v>收入利润率</x:v>
      </x:c>
      <x:c r="E690" s="18" t="n">
        <x:v>7.046979865771812</x:v>
      </x:c>
      <x:c r="F690" s="18" t="n">
        <x:v>19</x:v>
      </x:c>
      <x:c r="G690" s="18" t="n">
        <x:v>1.1</x:v>
      </x:c>
      <x:c r="H690" s="18" t="n">
        <x:v>0.6</x:v>
      </x:c>
      <x:c r="I690" s="18" t="n">
        <x:v>500</x:v>
      </x:c>
      <x:c r="J690" s="20" t="n">
        <x:v>0.105</x:v>
      </x:c>
      <x:c r="K690" s="22" t="n">
        <x:v>7.45</x:v>
      </x:c>
      <x:c r="L690" s="11" t="str">
        <x:v>midea-normalized-owner-margin-v1.0</x:v>
      </x:c>
      <x:c r="M690" s="11" t="str">
        <x:v>2026-12-31</x:v>
      </x:c>
      <x:c r="O690" t="str">
        <x:v>CNY</x:v>
      </x:c>
      <x:c r="V690" t="str">
        <x:v>2026-12-31</x:v>
      </x:c>
      <x:c r="W690" t="str">
        <x:v>待核</x:v>
      </x:c>
      <x:c r="X690" t="str">
        <x:v>周末已解析；节假日需交易所对应年度日历核验，实际交易日待核</x:v>
      </x:c>
    </x:row>
    <x:row r="691" ht="23" customHeight="1">
      <x:c r="A691" s="15" t="str">
        <x:v>00300.HK</x:v>
      </x:c>
      <x:c r="B691" s="15" t="str">
        <x:v>半年</x:v>
      </x:c>
      <x:c r="C691" s="15" t="str">
        <x:v>活动输入</x:v>
      </x:c>
      <x:c r="D691" s="15" t="str">
        <x:v>收入利润率</x:v>
      </x:c>
      <x:c r="E691" s="17" t="n">
        <x:f>CHOOSE($B$3,E692,E693,E694)</x:f>
        <x:v>6.548796791443849</x:v>
      </x:c>
      <x:c r="F691" s="17" t="n">
        <x:f>CHOOSE($B$3,F692,F693,F694)</x:f>
        <x:v>16.5</x:v>
      </x:c>
      <x:c r="G691" s="17" t="n">
        <x:f>CHOOSE($B$3,G692,G693,G694)</x:f>
        <x:v>1.1</x:v>
      </x:c>
      <x:c r="H691" s="17" t="n">
        <x:f>CHOOSE($B$3,H692,H693,H694)</x:f>
        <x:v>0.55</x:v>
      </x:c>
      <x:c r="I691" s="17" t="n">
        <x:f>CHOOSE($B$3,I692,I693,I694)</x:f>
        <x:v>505</x:v>
      </x:c>
      <x:c r="J691" s="19" t="n">
        <x:f>CHOOSE($B$3,J692,J693,J694)</x:f>
        <x:v>0.097</x:v>
      </x:c>
      <x:c r="K691" s="21" t="n">
        <x:f>CHOOSE($B$3,K692,K693,K694)</x:f>
        <x:v>7.48</x:v>
      </x:c>
      <x:c r="L691" s="15" t="str">
        <x:v>midea-normalized-owner-margin-v1.0</x:v>
      </x:c>
      <x:c r="M691" s="15" t="str">
        <x:v>2027-04-09</x:v>
      </x:c>
      <x:c r="O691" t="str">
        <x:v>CNY</x:v>
      </x:c>
      <x:c r="V691" t="str">
        <x:v>2027-04-09</x:v>
      </x:c>
      <x:c r="W691" t="str">
        <x:v>待核</x:v>
      </x:c>
      <x:c r="X691" t="str">
        <x:v>周末已解析；节假日需交易所对应年度日历核验，实际交易日待核</x:v>
      </x:c>
    </x:row>
    <x:row r="692" ht="23" customHeight="1">
      <x:c r="A692" s="11" t="str">
        <x:v>00300.HK</x:v>
      </x:c>
      <x:c r="B692" s="11" t="str">
        <x:v>半年</x:v>
      </x:c>
      <x:c r="C692" s="11" t="str">
        <x:v>悲观</x:v>
      </x:c>
      <x:c r="D692" s="11" t="str">
        <x:v>收入利润率</x:v>
      </x:c>
      <x:c r="E692" s="18" t="n">
        <x:v>4.88235294117647</x:v>
      </x:c>
      <x:c r="F692" s="18" t="n">
        <x:v>9.5</x:v>
      </x:c>
      <x:c r="G692" s="18" t="n">
        <x:v>1.1</x:v>
      </x:c>
      <x:c r="H692" s="18" t="n">
        <x:v>0</x:v>
      </x:c>
      <x:c r="I692" s="18" t="n">
        <x:v>450</x:v>
      </x:c>
      <x:c r="J692" s="20" t="n">
        <x:v>0.083</x:v>
      </x:c>
      <x:c r="K692" s="22" t="n">
        <x:v>7.65</x:v>
      </x:c>
      <x:c r="L692" s="11" t="str">
        <x:v>midea-normalized-owner-margin-v1.0</x:v>
      </x:c>
      <x:c r="M692" s="11" t="str">
        <x:v>2027-04-09</x:v>
      </x:c>
      <x:c r="O692" t="str">
        <x:v>CNY</x:v>
      </x:c>
      <x:c r="V692" t="str">
        <x:v>2027-04-09</x:v>
      </x:c>
      <x:c r="W692" t="str">
        <x:v>待核</x:v>
      </x:c>
      <x:c r="X692" t="str">
        <x:v>周末已解析；节假日需交易所对应年度日历核验，实际交易日待核</x:v>
      </x:c>
    </x:row>
    <x:row r="693" ht="23" customHeight="1">
      <x:c r="A693" s="11" t="str">
        <x:v>00300.HK</x:v>
      </x:c>
      <x:c r="B693" s="11" t="str">
        <x:v>半年</x:v>
      </x:c>
      <x:c r="C693" s="11" t="str">
        <x:v>基准</x:v>
      </x:c>
      <x:c r="D693" s="11" t="str">
        <x:v>收入利润率</x:v>
      </x:c>
      <x:c r="E693" s="18" t="n">
        <x:v>6.548796791443849</x:v>
      </x:c>
      <x:c r="F693" s="18" t="n">
        <x:v>16.5</x:v>
      </x:c>
      <x:c r="G693" s="18" t="n">
        <x:v>1.1</x:v>
      </x:c>
      <x:c r="H693" s="18" t="n">
        <x:v>0.55</x:v>
      </x:c>
      <x:c r="I693" s="18" t="n">
        <x:v>505</x:v>
      </x:c>
      <x:c r="J693" s="20" t="n">
        <x:v>0.097</x:v>
      </x:c>
      <x:c r="K693" s="22" t="n">
        <x:v>7.48</x:v>
      </x:c>
      <x:c r="L693" s="11" t="str">
        <x:v>midea-normalized-owner-margin-v1.0</x:v>
      </x:c>
      <x:c r="M693" s="11" t="str">
        <x:v>2027-04-09</x:v>
      </x:c>
      <x:c r="O693" t="str">
        <x:v>CNY</x:v>
      </x:c>
      <x:c r="V693" t="str">
        <x:v>2027-04-09</x:v>
      </x:c>
      <x:c r="W693" t="str">
        <x:v>待核</x:v>
      </x:c>
      <x:c r="X693" t="str">
        <x:v>周末已解析；节假日需交易所对应年度日历核验，实际交易日待核</x:v>
      </x:c>
    </x:row>
    <x:row r="694" ht="23" customHeight="1">
      <x:c r="A694" s="11" t="str">
        <x:v>00300.HK</x:v>
      </x:c>
      <x:c r="B694" s="11" t="str">
        <x:v>半年</x:v>
      </x:c>
      <x:c r="C694" s="11" t="str">
        <x:v>乐观</x:v>
      </x:c>
      <x:c r="D694" s="11" t="str">
        <x:v>收入利润率</x:v>
      </x:c>
      <x:c r="E694" s="18" t="n">
        <x:v>7.735135135135135</x:v>
      </x:c>
      <x:c r="F694" s="18" t="n">
        <x:v>20</x:v>
      </x:c>
      <x:c r="G694" s="18" t="n">
        <x:v>1.1</x:v>
      </x:c>
      <x:c r="H694" s="18" t="n">
        <x:v>0.6</x:v>
      </x:c>
      <x:c r="I694" s="18" t="n">
        <x:v>530</x:v>
      </x:c>
      <x:c r="J694" s="20" t="n">
        <x:v>0.108</x:v>
      </x:c>
      <x:c r="K694" s="22" t="n">
        <x:v>7.4</x:v>
      </x:c>
      <x:c r="L694" s="11" t="str">
        <x:v>midea-normalized-owner-margin-v1.0</x:v>
      </x:c>
      <x:c r="M694" s="11" t="str">
        <x:v>2027-04-09</x:v>
      </x:c>
      <x:c r="O694" t="str">
        <x:v>CNY</x:v>
      </x:c>
      <x:c r="V694" t="str">
        <x:v>2027-04-09</x:v>
      </x:c>
      <x:c r="W694" t="str">
        <x:v>待核</x:v>
      </x:c>
      <x:c r="X694" t="str">
        <x:v>周末已解析；节假日需交易所对应年度日历核验，实际交易日待核</x:v>
      </x:c>
    </x:row>
    <x:row r="695" ht="23" customHeight="1">
      <x:c r="A695" s="15" t="str">
        <x:v>00300.HK</x:v>
      </x:c>
      <x:c r="B695" s="15" t="str">
        <x:v>一年</x:v>
      </x:c>
      <x:c r="C695" s="15" t="str">
        <x:v>活动输入</x:v>
      </x:c>
      <x:c r="D695" s="15" t="str">
        <x:v>收入利润率</x:v>
      </x:c>
      <x:c r="E695" s="17" t="n">
        <x:f>CHOOSE($B$3,E696,E697,E698)</x:f>
        <x:v>7.05241935483871</x:v>
      </x:c>
      <x:c r="F695" s="17" t="n">
        <x:f>CHOOSE($B$3,F696,F697,F698)</x:f>
        <x:v>17</x:v>
      </x:c>
      <x:c r="G695" s="17" t="n">
        <x:f>CHOOSE($B$3,G696,G697,G698)</x:f>
        <x:v>1.1</x:v>
      </x:c>
      <x:c r="H695" s="17" t="n">
        <x:f>CHOOSE($B$3,H696,H697,H698)</x:f>
        <x:v>5.1</x:v>
      </x:c>
      <x:c r="I695" s="17" t="n">
        <x:f>CHOOSE($B$3,I696,I697,I698)</x:f>
        <x:v>530</x:v>
      </x:c>
      <x:c r="J695" s="19" t="n">
        <x:f>CHOOSE($B$3,J696,J697,J698)</x:f>
        <x:v>0.099</x:v>
      </x:c>
      <x:c r="K695" s="21" t="n">
        <x:f>CHOOSE($B$3,K696,K697,K698)</x:f>
        <x:v>7.44</x:v>
      </x:c>
      <x:c r="L695" s="15" t="str">
        <x:v>midea-normalized-owner-margin-v1.0</x:v>
      </x:c>
      <x:c r="M695" s="15" t="str">
        <x:v>2027-10-09</x:v>
      </x:c>
      <x:c r="O695" t="str">
        <x:v>CNY</x:v>
      </x:c>
      <x:c r="V695" t="str">
        <x:v>2027-10-08</x:v>
      </x:c>
      <x:c r="W695" t="str">
        <x:v>待核</x:v>
      </x:c>
      <x:c r="X695" t="str">
        <x:v>周末已解析；节假日需交易所对应年度日历核验，实际交易日待核</x:v>
      </x:c>
    </x:row>
    <x:row r="696" ht="23" customHeight="1">
      <x:c r="A696" s="11" t="str">
        <x:v>00300.HK</x:v>
      </x:c>
      <x:c r="B696" s="11" t="str">
        <x:v>一年</x:v>
      </x:c>
      <x:c r="C696" s="11" t="str">
        <x:v>悲观</x:v>
      </x:c>
      <x:c r="D696" s="11" t="str">
        <x:v>收入利润率</x:v>
      </x:c>
      <x:c r="E696" s="18" t="n">
        <x:v>4.792207792207792</x:v>
      </x:c>
      <x:c r="F696" s="18" t="n">
        <x:v>9</x:v>
      </x:c>
      <x:c r="G696" s="18" t="n">
        <x:v>1.1</x:v>
      </x:c>
      <x:c r="H696" s="18" t="n">
        <x:v>3</x:v>
      </x:c>
      <x:c r="I696" s="18" t="n">
        <x:v>450</x:v>
      </x:c>
      <x:c r="J696" s="20" t="n">
        <x:v>0.082</x:v>
      </x:c>
      <x:c r="K696" s="22" t="n">
        <x:v>7.7</x:v>
      </x:c>
      <x:c r="L696" s="11" t="str">
        <x:v>midea-normalized-owner-margin-v1.0</x:v>
      </x:c>
      <x:c r="M696" s="11" t="str">
        <x:v>2027-10-09</x:v>
      </x:c>
      <x:c r="O696" t="str">
        <x:v>CNY</x:v>
      </x:c>
      <x:c r="V696" t="str">
        <x:v>2027-10-08</x:v>
      </x:c>
      <x:c r="W696" t="str">
        <x:v>待核</x:v>
      </x:c>
      <x:c r="X696" t="str">
        <x:v>周末已解析；节假日需交易所对应年度日历核验，实际交易日待核</x:v>
      </x:c>
    </x:row>
    <x:row r="697" ht="23" customHeight="1">
      <x:c r="A697" s="11" t="str">
        <x:v>00300.HK</x:v>
      </x:c>
      <x:c r="B697" s="11" t="str">
        <x:v>一年</x:v>
      </x:c>
      <x:c r="C697" s="11" t="str">
        <x:v>基准</x:v>
      </x:c>
      <x:c r="D697" s="11" t="str">
        <x:v>收入利润率</x:v>
      </x:c>
      <x:c r="E697" s="18" t="n">
        <x:v>7.05241935483871</x:v>
      </x:c>
      <x:c r="F697" s="18" t="n">
        <x:v>17</x:v>
      </x:c>
      <x:c r="G697" s="18" t="n">
        <x:v>1.1</x:v>
      </x:c>
      <x:c r="H697" s="18" t="n">
        <x:v>5.1</x:v>
      </x:c>
      <x:c r="I697" s="18" t="n">
        <x:v>530</x:v>
      </x:c>
      <x:c r="J697" s="20" t="n">
        <x:v>0.099</x:v>
      </x:c>
      <x:c r="K697" s="22" t="n">
        <x:v>7.44</x:v>
      </x:c>
      <x:c r="L697" s="11" t="str">
        <x:v>midea-normalized-owner-margin-v1.0</x:v>
      </x:c>
      <x:c r="M697" s="11" t="str">
        <x:v>2027-10-09</x:v>
      </x:c>
      <x:c r="O697" t="str">
        <x:v>CNY</x:v>
      </x:c>
      <x:c r="V697" t="str">
        <x:v>2027-10-08</x:v>
      </x:c>
      <x:c r="W697" t="str">
        <x:v>待核</x:v>
      </x:c>
      <x:c r="X697" t="str">
        <x:v>周末已解析；节假日需交易所对应年度日历核验，实际交易日待核</x:v>
      </x:c>
    </x:row>
    <x:row r="698" ht="23" customHeight="1">
      <x:c r="A698" s="11" t="str">
        <x:v>00300.HK</x:v>
      </x:c>
      <x:c r="B698" s="11" t="str">
        <x:v>一年</x:v>
      </x:c>
      <x:c r="C698" s="11" t="str">
        <x:v>乐观</x:v>
      </x:c>
      <x:c r="D698" s="11" t="str">
        <x:v>收入利润率</x:v>
      </x:c>
      <x:c r="E698" s="18" t="n">
        <x:v>8.589041095890412</x:v>
      </x:c>
      <x:c r="F698" s="18" t="n">
        <x:v>21</x:v>
      </x:c>
      <x:c r="G698" s="18" t="n">
        <x:v>1.1</x:v>
      </x:c>
      <x:c r="H698" s="18" t="n">
        <x:v>6</x:v>
      </x:c>
      <x:c r="I698" s="18" t="n">
        <x:v>570</x:v>
      </x:c>
      <x:c r="J698" s="20" t="n">
        <x:v>0.11</x:v>
      </x:c>
      <x:c r="K698" s="22" t="n">
        <x:v>7.3</x:v>
      </x:c>
      <x:c r="L698" s="11" t="str">
        <x:v>midea-normalized-owner-margin-v1.0</x:v>
      </x:c>
      <x:c r="M698" s="11" t="str">
        <x:v>2027-10-09</x:v>
      </x:c>
      <x:c r="O698" t="str">
        <x:v>CNY</x:v>
      </x:c>
      <x:c r="V698" t="str">
        <x:v>2027-10-08</x:v>
      </x:c>
      <x:c r="W698" t="str">
        <x:v>待核</x:v>
      </x:c>
      <x:c r="X698" t="str">
        <x:v>周末已解析；节假日需交易所对应年度日历核验，实际交易日待核</x:v>
      </x:c>
    </x:row>
    <x:row r="699" ht="23" customHeight="1">
      <x:c r="A699" s="15" t="str">
        <x:v>00300.HK</x:v>
      </x:c>
      <x:c r="B699" s="15" t="str">
        <x:v>三年</x:v>
      </x:c>
      <x:c r="C699" s="15" t="str">
        <x:v>活动输入</x:v>
      </x:c>
      <x:c r="D699" s="15" t="str">
        <x:v>收入利润率</x:v>
      </x:c>
      <x:c r="E699" s="17" t="n">
        <x:f>CHOOSE($B$3,E700,E701,E702)</x:f>
        <x:v>8.663013698630136</x:v>
      </x:c>
      <x:c r="F699" s="17" t="n">
        <x:f>CHOOSE($B$3,F700,F701,F702)</x:f>
        <x:v>18</x:v>
      </x:c>
      <x:c r="G699" s="17" t="n">
        <x:f>CHOOSE($B$3,G700,G701,G702)</x:f>
        <x:v>1.1</x:v>
      </x:c>
      <x:c r="H699" s="17" t="n">
        <x:f>CHOOSE($B$3,H700,H701,H702)</x:f>
        <x:v>17</x:v>
      </x:c>
      <x:c r="I699" s="17" t="n">
        <x:f>CHOOSE($B$3,I700,I701,I702)</x:f>
        <x:v>620</x:v>
      </x:c>
      <x:c r="J699" s="19" t="n">
        <x:f>CHOOSE($B$3,J700,J701,J702)</x:f>
        <x:v>0.102</x:v>
      </x:c>
      <x:c r="K699" s="21" t="n">
        <x:f>CHOOSE($B$3,K700,K701,K702)</x:f>
        <x:v>7.3</x:v>
      </x:c>
      <x:c r="L699" s="15" t="str">
        <x:v>midea-normalized-owner-margin-v1.0</x:v>
      </x:c>
      <x:c r="M699" s="15" t="str">
        <x:v>2029-10-09</x:v>
      </x:c>
      <x:c r="O699" t="str">
        <x:v>CNY</x:v>
      </x:c>
      <x:c r="V699" t="str">
        <x:v>2029-10-09</x:v>
      </x:c>
      <x:c r="W699" t="str">
        <x:v>待核</x:v>
      </x:c>
      <x:c r="X699" t="str">
        <x:v>周末已解析；节假日需交易所对应年度日历核验，实际交易日待核</x:v>
      </x:c>
    </x:row>
    <x:row r="700" ht="23" customHeight="1">
      <x:c r="A700" s="11" t="str">
        <x:v>00300.HK</x:v>
      </x:c>
      <x:c r="B700" s="11" t="str">
        <x:v>三年</x:v>
      </x:c>
      <x:c r="C700" s="11" t="str">
        <x:v>悲观</x:v>
      </x:c>
      <x:c r="D700" s="11" t="str">
        <x:v>收入利润率</x:v>
      </x:c>
      <x:c r="E700" s="18" t="n">
        <x:v>4.640506329113923</x:v>
      </x:c>
      <x:c r="F700" s="18" t="n">
        <x:v>8.5</x:v>
      </x:c>
      <x:c r="G700" s="18" t="n">
        <x:v>1.1</x:v>
      </x:c>
      <x:c r="H700" s="18" t="n">
        <x:v>9</x:v>
      </x:c>
      <x:c r="I700" s="18" t="n">
        <x:v>470</x:v>
      </x:c>
      <x:c r="J700" s="20" t="n">
        <x:v>0.078</x:v>
      </x:c>
      <x:c r="K700" s="22" t="n">
        <x:v>7.9</x:v>
      </x:c>
      <x:c r="L700" s="11" t="str">
        <x:v>midea-normalized-owner-margin-v1.0</x:v>
      </x:c>
      <x:c r="M700" s="11" t="str">
        <x:v>2029-10-09</x:v>
      </x:c>
      <x:c r="O700" t="str">
        <x:v>CNY</x:v>
      </x:c>
      <x:c r="V700" t="str">
        <x:v>2029-10-09</x:v>
      </x:c>
      <x:c r="W700" t="str">
        <x:v>待核</x:v>
      </x:c>
      <x:c r="X700" t="str">
        <x:v>周末已解析；节假日需交易所对应年度日历核验，实际交易日待核</x:v>
      </x:c>
    </x:row>
    <x:row r="701" ht="23" customHeight="1">
      <x:c r="A701" s="11" t="str">
        <x:v>00300.HK</x:v>
      </x:c>
      <x:c r="B701" s="11" t="str">
        <x:v>三年</x:v>
      </x:c>
      <x:c r="C701" s="11" t="str">
        <x:v>基准</x:v>
      </x:c>
      <x:c r="D701" s="11" t="str">
        <x:v>收入利润率</x:v>
      </x:c>
      <x:c r="E701" s="18" t="n">
        <x:v>8.663013698630136</x:v>
      </x:c>
      <x:c r="F701" s="18" t="n">
        <x:v>18</x:v>
      </x:c>
      <x:c r="G701" s="18" t="n">
        <x:v>1.1</x:v>
      </x:c>
      <x:c r="H701" s="18" t="n">
        <x:v>17</x:v>
      </x:c>
      <x:c r="I701" s="18" t="n">
        <x:v>620</x:v>
      </x:c>
      <x:c r="J701" s="20" t="n">
        <x:v>0.102</x:v>
      </x:c>
      <x:c r="K701" s="22" t="n">
        <x:v>7.3</x:v>
      </x:c>
      <x:c r="L701" s="11" t="str">
        <x:v>midea-normalized-owner-margin-v1.0</x:v>
      </x:c>
      <x:c r="M701" s="11" t="str">
        <x:v>2029-10-09</x:v>
      </x:c>
      <x:c r="O701" t="str">
        <x:v>CNY</x:v>
      </x:c>
      <x:c r="V701" t="str">
        <x:v>2029-10-09</x:v>
      </x:c>
      <x:c r="W701" t="str">
        <x:v>待核</x:v>
      </x:c>
      <x:c r="X701" t="str">
        <x:v>周末已解析；节假日需交易所对应年度日历核验，实际交易日待核</x:v>
      </x:c>
    </x:row>
    <x:row r="702" ht="23" customHeight="1">
      <x:c r="A702" s="11" t="str">
        <x:v>00300.HK</x:v>
      </x:c>
      <x:c r="B702" s="11" t="str">
        <x:v>三年</x:v>
      </x:c>
      <x:c r="C702" s="11" t="str">
        <x:v>乐观</x:v>
      </x:c>
      <x:c r="D702" s="11" t="str">
        <x:v>收入利润率</x:v>
      </x:c>
      <x:c r="E702" s="18" t="n">
        <x:v>12.666666666666666</x:v>
      </x:c>
      <x:c r="F702" s="18" t="n">
        <x:v>22</x:v>
      </x:c>
      <x:c r="G702" s="18" t="n">
        <x:v>1.1</x:v>
      </x:c>
      <x:c r="H702" s="18" t="n">
        <x:v>22</x:v>
      </x:c>
      <x:c r="I702" s="18" t="n">
        <x:v>760</x:v>
      </x:c>
      <x:c r="J702" s="20" t="n">
        <x:v>0.115</x:v>
      </x:c>
      <x:c r="K702" s="22" t="n">
        <x:v>6.9</x:v>
      </x:c>
      <x:c r="L702" s="11" t="str">
        <x:v>midea-normalized-owner-margin-v1.0</x:v>
      </x:c>
      <x:c r="M702" s="11" t="str">
        <x:v>2029-10-09</x:v>
      </x:c>
      <x:c r="O702" t="str">
        <x:v>CNY</x:v>
      </x:c>
      <x:c r="V702" t="str">
        <x:v>2029-10-09</x:v>
      </x:c>
      <x:c r="W702" t="str">
        <x:v>待核</x:v>
      </x:c>
      <x:c r="X702" t="str">
        <x:v>周末已解析；节假日需交易所对应年度日历核验，实际交易日待核</x:v>
      </x:c>
    </x:row>
    <x:row r="703" ht="23" customHeight="1">
      <x:c r="A703" s="15" t="str">
        <x:v>00300.HK</x:v>
      </x:c>
      <x:c r="B703" s="15" t="str">
        <x:v>五年</x:v>
      </x:c>
      <x:c r="C703" s="15" t="str">
        <x:v>活动输入</x:v>
      </x:c>
      <x:c r="D703" s="15" t="str">
        <x:v>收入利润率</x:v>
      </x:c>
      <x:c r="E703" s="17" t="n">
        <x:f>CHOOSE($B$3,E704,E705,E706)</x:f>
        <x:v>10.721830985915494</x:v>
      </x:c>
      <x:c r="F703" s="17" t="n">
        <x:f>CHOOSE($B$3,F704,F705,F706)</x:f>
        <x:v>18</x:v>
      </x:c>
      <x:c r="G703" s="17" t="n">
        <x:f>CHOOSE($B$3,G704,G705,G706)</x:f>
        <x:v>1.1</x:v>
      </x:c>
      <x:c r="H703" s="17" t="n">
        <x:f>CHOOSE($B$3,H704,H705,H706)</x:f>
        <x:v>32</x:v>
      </x:c>
      <x:c r="I703" s="17" t="n">
        <x:f>CHOOSE($B$3,I704,I705,I706)</x:f>
        <x:v>725</x:v>
      </x:c>
      <x:c r="J703" s="19" t="n">
        <x:f>CHOOSE($B$3,J704,J705,J706)</x:f>
        <x:v>0.105</x:v>
      </x:c>
      <x:c r="K703" s="21" t="n">
        <x:f>CHOOSE($B$3,K704,K705,K706)</x:f>
        <x:v>7.1</x:v>
      </x:c>
      <x:c r="L703" s="15" t="str">
        <x:v>midea-normalized-owner-margin-v1.0</x:v>
      </x:c>
      <x:c r="M703" s="15" t="str">
        <x:v>2031-10-09</x:v>
      </x:c>
      <x:c r="O703" t="str">
        <x:v>CNY</x:v>
      </x:c>
      <x:c r="V703" t="str">
        <x:v>2031-10-09</x:v>
      </x:c>
      <x:c r="W703" t="str">
        <x:v>待核</x:v>
      </x:c>
      <x:c r="X703" t="str">
        <x:v>周末已解析；节假日需交易所对应年度日历核验，实际交易日待核</x:v>
      </x:c>
    </x:row>
    <x:row r="704" ht="23" customHeight="1">
      <x:c r="A704" s="11" t="str">
        <x:v>00300.HK</x:v>
      </x:c>
      <x:c r="B704" s="11" t="str">
        <x:v>五年</x:v>
      </x:c>
      <x:c r="C704" s="11" t="str">
        <x:v>悲观</x:v>
      </x:c>
      <x:c r="D704" s="11" t="str">
        <x:v>收入利润率</x:v>
      </x:c>
      <x:c r="E704" s="18" t="n">
        <x:v>4.537037037037037</x:v>
      </x:c>
      <x:c r="F704" s="18" t="n">
        <x:v>8</x:v>
      </x:c>
      <x:c r="G704" s="18" t="n">
        <x:v>1.1</x:v>
      </x:c>
      <x:c r="H704" s="18" t="n">
        <x:v>15</x:v>
      </x:c>
      <x:c r="I704" s="18" t="n">
        <x:v>490</x:v>
      </x:c>
      <x:c r="J704" s="20" t="n">
        <x:v>0.075</x:v>
      </x:c>
      <x:c r="K704" s="22" t="n">
        <x:v>8.1</x:v>
      </x:c>
      <x:c r="L704" s="11" t="str">
        <x:v>midea-normalized-owner-margin-v1.0</x:v>
      </x:c>
      <x:c r="M704" s="11" t="str">
        <x:v>2031-10-09</x:v>
      </x:c>
      <x:c r="O704" t="str">
        <x:v>CNY</x:v>
      </x:c>
      <x:c r="V704" t="str">
        <x:v>2031-10-09</x:v>
      </x:c>
      <x:c r="W704" t="str">
        <x:v>待核</x:v>
      </x:c>
      <x:c r="X704" t="str">
        <x:v>周末已解析；节假日需交易所对应年度日历核验，实际交易日待核</x:v>
      </x:c>
    </x:row>
    <x:row r="705" ht="23" customHeight="1">
      <x:c r="A705" s="11" t="str">
        <x:v>00300.HK</x:v>
      </x:c>
      <x:c r="B705" s="11" t="str">
        <x:v>五年</x:v>
      </x:c>
      <x:c r="C705" s="11" t="str">
        <x:v>基准</x:v>
      </x:c>
      <x:c r="D705" s="11" t="str">
        <x:v>收入利润率</x:v>
      </x:c>
      <x:c r="E705" s="18" t="n">
        <x:v>10.721830985915494</x:v>
      </x:c>
      <x:c r="F705" s="18" t="n">
        <x:v>18</x:v>
      </x:c>
      <x:c r="G705" s="18" t="n">
        <x:v>1.1</x:v>
      </x:c>
      <x:c r="H705" s="18" t="n">
        <x:v>32</x:v>
      </x:c>
      <x:c r="I705" s="18" t="n">
        <x:v>725</x:v>
      </x:c>
      <x:c r="J705" s="20" t="n">
        <x:v>0.105</x:v>
      </x:c>
      <x:c r="K705" s="22" t="n">
        <x:v>7.1</x:v>
      </x:c>
      <x:c r="L705" s="11" t="str">
        <x:v>midea-normalized-owner-margin-v1.0</x:v>
      </x:c>
      <x:c r="M705" s="11" t="str">
        <x:v>2031-10-09</x:v>
      </x:c>
      <x:c r="O705" t="str">
        <x:v>CNY</x:v>
      </x:c>
      <x:c r="V705" t="str">
        <x:v>2031-10-09</x:v>
      </x:c>
      <x:c r="W705" t="str">
        <x:v>待核</x:v>
      </x:c>
      <x:c r="X705" t="str">
        <x:v>周末已解析；节假日需交易所对应年度日历核验，实际交易日待核</x:v>
      </x:c>
    </x:row>
    <x:row r="706" ht="23" customHeight="1">
      <x:c r="A706" s="11" t="str">
        <x:v>00300.HK</x:v>
      </x:c>
      <x:c r="B706" s="11" t="str">
        <x:v>五年</x:v>
      </x:c>
      <x:c r="C706" s="11" t="str">
        <x:v>乐观</x:v>
      </x:c>
      <x:c r="D706" s="11" t="str">
        <x:v>收入利润率</x:v>
      </x:c>
      <x:c r="E706" s="18" t="n">
        <x:v>17.907692307692308</x:v>
      </x:c>
      <x:c r="F706" s="18" t="n">
        <x:v>23</x:v>
      </x:c>
      <x:c r="G706" s="18" t="n">
        <x:v>1.1</x:v>
      </x:c>
      <x:c r="H706" s="18" t="n">
        <x:v>46</x:v>
      </x:c>
      <x:c r="I706" s="18" t="n">
        <x:v>970</x:v>
      </x:c>
      <x:c r="J706" s="20" t="n">
        <x:v>0.12</x:v>
      </x:c>
      <x:c r="K706" s="22" t="n">
        <x:v>6.5</x:v>
      </x:c>
      <x:c r="L706" s="11" t="str">
        <x:v>midea-normalized-owner-margin-v1.0</x:v>
      </x:c>
      <x:c r="M706" s="11" t="str">
        <x:v>2031-10-09</x:v>
      </x:c>
      <x:c r="O706" t="str">
        <x:v>CNY</x:v>
      </x:c>
      <x:c r="V706" t="str">
        <x:v>2031-10-09</x:v>
      </x:c>
      <x:c r="W706" t="str">
        <x:v>待核</x:v>
      </x:c>
      <x:c r="X706" t="str">
        <x:v>周末已解析；节假日需交易所对应年度日历核验，实际交易日待核</x:v>
      </x:c>
    </x:row>
    <x:row r="707" ht="23" customHeight="1">
      <x:c r="A707" s="15" t="str">
        <x:v>300760.SZ</x:v>
      </x:c>
      <x:c r="B707" s="15" t="str">
        <x:v>2026年底</x:v>
      </x:c>
      <x:c r="C707" s="15" t="str">
        <x:v>活动输入</x:v>
      </x:c>
      <x:c r="D707" s="15" t="str">
        <x:v>EPS</x:v>
      </x:c>
      <x:c r="E707" s="17" t="n">
        <x:f>CHOOSE($B$3,E708,E709,E710)</x:f>
        <x:v>7.8</x:v>
      </x:c>
      <x:c r="F707" s="17" t="n">
        <x:f>CHOOSE($B$3,F708,F709,F710)</x:f>
        <x:v>22</x:v>
      </x:c>
      <x:c r="G707" s="17" t="n">
        <x:f>CHOOSE($B$3,G708,G709,G710)</x:f>
        <x:v>1</x:v>
      </x:c>
      <x:c r="H707" s="17" t="n">
        <x:f>CHOOSE($B$3,H708,H709,H710)</x:f>
        <x:v>0</x:v>
      </x:c>
      <x:c r="I707" s="17" t="str">
        <x:f>CHOOSE($B$3,I708,I709,I710)</x:f>
      </x:c>
      <x:c r="J707" s="19" t="str">
        <x:f>CHOOSE($B$3,J708,J709,J710)</x:f>
      </x:c>
      <x:c r="K707" s="21" t="str">
        <x:f>CHOOSE($B$3,K708,K709,K710)</x:f>
      </x:c>
      <x:c r="L707" s="15" t="str">
        <x:v>mindray-normalized-pe-v1.0</x:v>
      </x:c>
      <x:c r="M707" s="15" t="str">
        <x:v>2026-12-31</x:v>
      </x:c>
      <x:c r="O707" t="str">
        <x:v>CNY</x:v>
      </x:c>
      <x:c r="V707" t="str">
        <x:v>2026-12-31</x:v>
      </x:c>
      <x:c r="W707" t="str">
        <x:v>待核</x:v>
      </x:c>
      <x:c r="X707" t="str">
        <x:v>周末已解析；节假日需交易所对应年度日历核验，实际交易日待核</x:v>
      </x:c>
    </x:row>
    <x:row r="708" ht="23" customHeight="1">
      <x:c r="A708" s="11" t="str">
        <x:v>300760.SZ</x:v>
      </x:c>
      <x:c r="B708" s="11" t="str">
        <x:v>2026年底</x:v>
      </x:c>
      <x:c r="C708" s="11" t="str">
        <x:v>悲观</x:v>
      </x:c>
      <x:c r="D708" s="11" t="str">
        <x:v>EPS</x:v>
      </x:c>
      <x:c r="E708" s="18" t="n">
        <x:v>6.5</x:v>
      </x:c>
      <x:c r="F708" s="18" t="n">
        <x:v>17</x:v>
      </x:c>
      <x:c r="G708" s="18" t="n">
        <x:v>1</x:v>
      </x:c>
      <x:c r="H708" s="18" t="n">
        <x:v>0</x:v>
      </x:c>
      <x:c r="I708" s="18"/>
      <x:c r="J708" s="20"/>
      <x:c r="K708" s="22"/>
      <x:c r="L708" s="11" t="str">
        <x:v>mindray-normalized-pe-v1.0</x:v>
      </x:c>
      <x:c r="M708" s="11" t="str">
        <x:v>2026-12-31</x:v>
      </x:c>
      <x:c r="O708" t="str">
        <x:v>CNY</x:v>
      </x:c>
      <x:c r="V708" t="str">
        <x:v>2026-12-31</x:v>
      </x:c>
      <x:c r="W708" t="str">
        <x:v>待核</x:v>
      </x:c>
      <x:c r="X708" t="str">
        <x:v>周末已解析；节假日需交易所对应年度日历核验，实际交易日待核</x:v>
      </x:c>
    </x:row>
    <x:row r="709" ht="23" customHeight="1">
      <x:c r="A709" s="11" t="str">
        <x:v>300760.SZ</x:v>
      </x:c>
      <x:c r="B709" s="11" t="str">
        <x:v>2026年底</x:v>
      </x:c>
      <x:c r="C709" s="11" t="str">
        <x:v>基准</x:v>
      </x:c>
      <x:c r="D709" s="11" t="str">
        <x:v>EPS</x:v>
      </x:c>
      <x:c r="E709" s="18" t="n">
        <x:v>7.8</x:v>
      </x:c>
      <x:c r="F709" s="18" t="n">
        <x:v>22</x:v>
      </x:c>
      <x:c r="G709" s="18" t="n">
        <x:v>1</x:v>
      </x:c>
      <x:c r="H709" s="18" t="n">
        <x:v>0</x:v>
      </x:c>
      <x:c r="I709" s="18"/>
      <x:c r="J709" s="20"/>
      <x:c r="K709" s="22"/>
      <x:c r="L709" s="11" t="str">
        <x:v>mindray-normalized-pe-v1.0</x:v>
      </x:c>
      <x:c r="M709" s="11" t="str">
        <x:v>2026-12-31</x:v>
      </x:c>
      <x:c r="O709" t="str">
        <x:v>CNY</x:v>
      </x:c>
      <x:c r="V709" t="str">
        <x:v>2026-12-31</x:v>
      </x:c>
      <x:c r="W709" t="str">
        <x:v>待核</x:v>
      </x:c>
      <x:c r="X709" t="str">
        <x:v>周末已解析；节假日需交易所对应年度日历核验，实际交易日待核</x:v>
      </x:c>
    </x:row>
    <x:row r="710" ht="23" customHeight="1">
      <x:c r="A710" s="11" t="str">
        <x:v>300760.SZ</x:v>
      </x:c>
      <x:c r="B710" s="11" t="str">
        <x:v>2026年底</x:v>
      </x:c>
      <x:c r="C710" s="11" t="str">
        <x:v>乐观</x:v>
      </x:c>
      <x:c r="D710" s="11" t="str">
        <x:v>EPS</x:v>
      </x:c>
      <x:c r="E710" s="18" t="n">
        <x:v>8.8</x:v>
      </x:c>
      <x:c r="F710" s="18" t="n">
        <x:v>28</x:v>
      </x:c>
      <x:c r="G710" s="18" t="n">
        <x:v>1</x:v>
      </x:c>
      <x:c r="H710" s="18" t="n">
        <x:v>0</x:v>
      </x:c>
      <x:c r="I710" s="18"/>
      <x:c r="J710" s="20"/>
      <x:c r="K710" s="22"/>
      <x:c r="L710" s="11" t="str">
        <x:v>mindray-normalized-pe-v1.0</x:v>
      </x:c>
      <x:c r="M710" s="11" t="str">
        <x:v>2026-12-31</x:v>
      </x:c>
      <x:c r="O710" t="str">
        <x:v>CNY</x:v>
      </x:c>
      <x:c r="V710" t="str">
        <x:v>2026-12-31</x:v>
      </x:c>
      <x:c r="W710" t="str">
        <x:v>待核</x:v>
      </x:c>
      <x:c r="X710" t="str">
        <x:v>周末已解析；节假日需交易所对应年度日历核验，实际交易日待核</x:v>
      </x:c>
    </x:row>
    <x:row r="711" ht="23" customHeight="1">
      <x:c r="A711" s="15" t="str">
        <x:v>300760.SZ</x:v>
      </x:c>
      <x:c r="B711" s="15" t="str">
        <x:v>半年</x:v>
      </x:c>
      <x:c r="C711" s="15" t="str">
        <x:v>活动输入</x:v>
      </x:c>
      <x:c r="D711" s="15" t="str">
        <x:v>EPS</x:v>
      </x:c>
      <x:c r="E711" s="17" t="n">
        <x:f>CHOOSE($B$3,E712,E713,E714)</x:f>
        <x:v>8.5</x:v>
      </x:c>
      <x:c r="F711" s="17" t="n">
        <x:f>CHOOSE($B$3,F712,F713,F714)</x:f>
        <x:v>23</x:v>
      </x:c>
      <x:c r="G711" s="17" t="n">
        <x:f>CHOOSE($B$3,G712,G713,G714)</x:f>
        <x:v>1</x:v>
      </x:c>
      <x:c r="H711" s="17" t="n">
        <x:f>CHOOSE($B$3,H712,H713,H714)</x:f>
        <x:v>0</x:v>
      </x:c>
      <x:c r="I711" s="17" t="str">
        <x:f>CHOOSE($B$3,I712,I713,I714)</x:f>
      </x:c>
      <x:c r="J711" s="19" t="str">
        <x:f>CHOOSE($B$3,J712,J713,J714)</x:f>
      </x:c>
      <x:c r="K711" s="21" t="str">
        <x:f>CHOOSE($B$3,K712,K713,K714)</x:f>
      </x:c>
      <x:c r="L711" s="15" t="str">
        <x:v>mindray-normalized-pe-v1.0</x:v>
      </x:c>
      <x:c r="M711" s="15" t="str">
        <x:v>2027-04-09</x:v>
      </x:c>
      <x:c r="O711" t="str">
        <x:v>CNY</x:v>
      </x:c>
      <x:c r="V711" t="str">
        <x:v>2027-04-09</x:v>
      </x:c>
      <x:c r="W711" t="str">
        <x:v>待核</x:v>
      </x:c>
      <x:c r="X711" t="str">
        <x:v>周末已解析；节假日需交易所对应年度日历核验，实际交易日待核</x:v>
      </x:c>
    </x:row>
    <x:row r="712" ht="23" customHeight="1">
      <x:c r="A712" s="11" t="str">
        <x:v>300760.SZ</x:v>
      </x:c>
      <x:c r="B712" s="11" t="str">
        <x:v>半年</x:v>
      </x:c>
      <x:c r="C712" s="11" t="str">
        <x:v>悲观</x:v>
      </x:c>
      <x:c r="D712" s="11" t="str">
        <x:v>EPS</x:v>
      </x:c>
      <x:c r="E712" s="18" t="n">
        <x:v>6.7</x:v>
      </x:c>
      <x:c r="F712" s="18" t="n">
        <x:v>17</x:v>
      </x:c>
      <x:c r="G712" s="18" t="n">
        <x:v>1</x:v>
      </x:c>
      <x:c r="H712" s="18" t="n">
        <x:v>0</x:v>
      </x:c>
      <x:c r="I712" s="18"/>
      <x:c r="J712" s="20"/>
      <x:c r="K712" s="22"/>
      <x:c r="L712" s="11" t="str">
        <x:v>mindray-normalized-pe-v1.0</x:v>
      </x:c>
      <x:c r="M712" s="11" t="str">
        <x:v>2027-04-09</x:v>
      </x:c>
      <x:c r="O712" t="str">
        <x:v>CNY</x:v>
      </x:c>
      <x:c r="V712" t="str">
        <x:v>2027-04-09</x:v>
      </x:c>
      <x:c r="W712" t="str">
        <x:v>待核</x:v>
      </x:c>
      <x:c r="X712" t="str">
        <x:v>周末已解析；节假日需交易所对应年度日历核验，实际交易日待核</x:v>
      </x:c>
    </x:row>
    <x:row r="713" ht="23" customHeight="1">
      <x:c r="A713" s="11" t="str">
        <x:v>300760.SZ</x:v>
      </x:c>
      <x:c r="B713" s="11" t="str">
        <x:v>半年</x:v>
      </x:c>
      <x:c r="C713" s="11" t="str">
        <x:v>基准</x:v>
      </x:c>
      <x:c r="D713" s="11" t="str">
        <x:v>EPS</x:v>
      </x:c>
      <x:c r="E713" s="18" t="n">
        <x:v>8.5</x:v>
      </x:c>
      <x:c r="F713" s="18" t="n">
        <x:v>23</x:v>
      </x:c>
      <x:c r="G713" s="18" t="n">
        <x:v>1</x:v>
      </x:c>
      <x:c r="H713" s="18" t="n">
        <x:v>0</x:v>
      </x:c>
      <x:c r="I713" s="18"/>
      <x:c r="J713" s="20"/>
      <x:c r="K713" s="22"/>
      <x:c r="L713" s="11" t="str">
        <x:v>mindray-normalized-pe-v1.0</x:v>
      </x:c>
      <x:c r="M713" s="11" t="str">
        <x:v>2027-04-09</x:v>
      </x:c>
      <x:c r="O713" t="str">
        <x:v>CNY</x:v>
      </x:c>
      <x:c r="V713" t="str">
        <x:v>2027-04-09</x:v>
      </x:c>
      <x:c r="W713" t="str">
        <x:v>待核</x:v>
      </x:c>
      <x:c r="X713" t="str">
        <x:v>周末已解析；节假日需交易所对应年度日历核验，实际交易日待核</x:v>
      </x:c>
    </x:row>
    <x:row r="714" ht="23" customHeight="1">
      <x:c r="A714" s="11" t="str">
        <x:v>300760.SZ</x:v>
      </x:c>
      <x:c r="B714" s="11" t="str">
        <x:v>半年</x:v>
      </x:c>
      <x:c r="C714" s="11" t="str">
        <x:v>乐观</x:v>
      </x:c>
      <x:c r="D714" s="11" t="str">
        <x:v>EPS</x:v>
      </x:c>
      <x:c r="E714" s="18" t="n">
        <x:v>9.8</x:v>
      </x:c>
      <x:c r="F714" s="18" t="n">
        <x:v>29</x:v>
      </x:c>
      <x:c r="G714" s="18" t="n">
        <x:v>1</x:v>
      </x:c>
      <x:c r="H714" s="18" t="n">
        <x:v>0</x:v>
      </x:c>
      <x:c r="I714" s="18"/>
      <x:c r="J714" s="20"/>
      <x:c r="K714" s="22"/>
      <x:c r="L714" s="11" t="str">
        <x:v>mindray-normalized-pe-v1.0</x:v>
      </x:c>
      <x:c r="M714" s="11" t="str">
        <x:v>2027-04-09</x:v>
      </x:c>
      <x:c r="O714" t="str">
        <x:v>CNY</x:v>
      </x:c>
      <x:c r="V714" t="str">
        <x:v>2027-04-09</x:v>
      </x:c>
      <x:c r="W714" t="str">
        <x:v>待核</x:v>
      </x:c>
      <x:c r="X714" t="str">
        <x:v>周末已解析；节假日需交易所对应年度日历核验，实际交易日待核</x:v>
      </x:c>
    </x:row>
    <x:row r="715" ht="23" customHeight="1">
      <x:c r="A715" s="15" t="str">
        <x:v>300760.SZ</x:v>
      </x:c>
      <x:c r="B715" s="15" t="str">
        <x:v>一年</x:v>
      </x:c>
      <x:c r="C715" s="15" t="str">
        <x:v>活动输入</x:v>
      </x:c>
      <x:c r="D715" s="15" t="str">
        <x:v>EPS</x:v>
      </x:c>
      <x:c r="E715" s="17" t="n">
        <x:f>CHOOSE($B$3,E716,E717,E718)</x:f>
        <x:v>9.5</x:v>
      </x:c>
      <x:c r="F715" s="17" t="n">
        <x:f>CHOOSE($B$3,F716,F717,F718)</x:f>
        <x:v>24</x:v>
      </x:c>
      <x:c r="G715" s="17" t="n">
        <x:f>CHOOSE($B$3,G716,G717,G718)</x:f>
        <x:v>1</x:v>
      </x:c>
      <x:c r="H715" s="17" t="n">
        <x:f>CHOOSE($B$3,H716,H717,H718)</x:f>
        <x:v>4</x:v>
      </x:c>
      <x:c r="I715" s="17" t="str">
        <x:f>CHOOSE($B$3,I716,I717,I718)</x:f>
      </x:c>
      <x:c r="J715" s="19" t="str">
        <x:f>CHOOSE($B$3,J716,J717,J718)</x:f>
      </x:c>
      <x:c r="K715" s="21" t="str">
        <x:f>CHOOSE($B$3,K716,K717,K718)</x:f>
      </x:c>
      <x:c r="L715" s="15" t="str">
        <x:v>mindray-normalized-pe-v1.0</x:v>
      </x:c>
      <x:c r="M715" s="15" t="str">
        <x:v>2027-10-09</x:v>
      </x:c>
      <x:c r="O715" t="str">
        <x:v>CNY</x:v>
      </x:c>
      <x:c r="V715" t="str">
        <x:v>2027-10-08</x:v>
      </x:c>
      <x:c r="W715" t="str">
        <x:v>待核</x:v>
      </x:c>
      <x:c r="X715" t="str">
        <x:v>周末已解析；节假日需交易所对应年度日历核验，实际交易日待核</x:v>
      </x:c>
    </x:row>
    <x:row r="716" ht="23" customHeight="1">
      <x:c r="A716" s="11" t="str">
        <x:v>300760.SZ</x:v>
      </x:c>
      <x:c r="B716" s="11" t="str">
        <x:v>一年</x:v>
      </x:c>
      <x:c r="C716" s="11" t="str">
        <x:v>悲观</x:v>
      </x:c>
      <x:c r="D716" s="11" t="str">
        <x:v>EPS</x:v>
      </x:c>
      <x:c r="E716" s="18" t="n">
        <x:v>7</x:v>
      </x:c>
      <x:c r="F716" s="18" t="n">
        <x:v>17</x:v>
      </x:c>
      <x:c r="G716" s="18" t="n">
        <x:v>1</x:v>
      </x:c>
      <x:c r="H716" s="18" t="n">
        <x:v>2.5</x:v>
      </x:c>
      <x:c r="I716" s="18"/>
      <x:c r="J716" s="20"/>
      <x:c r="K716" s="22"/>
      <x:c r="L716" s="11" t="str">
        <x:v>mindray-normalized-pe-v1.0</x:v>
      </x:c>
      <x:c r="M716" s="11" t="str">
        <x:v>2027-10-09</x:v>
      </x:c>
      <x:c r="O716" t="str">
        <x:v>CNY</x:v>
      </x:c>
      <x:c r="V716" t="str">
        <x:v>2027-10-08</x:v>
      </x:c>
      <x:c r="W716" t="str">
        <x:v>待核</x:v>
      </x:c>
      <x:c r="X716" t="str">
        <x:v>周末已解析；节假日需交易所对应年度日历核验，实际交易日待核</x:v>
      </x:c>
    </x:row>
    <x:row r="717" ht="23" customHeight="1">
      <x:c r="A717" s="11" t="str">
        <x:v>300760.SZ</x:v>
      </x:c>
      <x:c r="B717" s="11" t="str">
        <x:v>一年</x:v>
      </x:c>
      <x:c r="C717" s="11" t="str">
        <x:v>基准</x:v>
      </x:c>
      <x:c r="D717" s="11" t="str">
        <x:v>EPS</x:v>
      </x:c>
      <x:c r="E717" s="18" t="n">
        <x:v>9.5</x:v>
      </x:c>
      <x:c r="F717" s="18" t="n">
        <x:v>24</x:v>
      </x:c>
      <x:c r="G717" s="18" t="n">
        <x:v>1</x:v>
      </x:c>
      <x:c r="H717" s="18" t="n">
        <x:v>4</x:v>
      </x:c>
      <x:c r="I717" s="18"/>
      <x:c r="J717" s="20"/>
      <x:c r="K717" s="22"/>
      <x:c r="L717" s="11" t="str">
        <x:v>mindray-normalized-pe-v1.0</x:v>
      </x:c>
      <x:c r="M717" s="11" t="str">
        <x:v>2027-10-09</x:v>
      </x:c>
      <x:c r="O717" t="str">
        <x:v>CNY</x:v>
      </x:c>
      <x:c r="V717" t="str">
        <x:v>2027-10-08</x:v>
      </x:c>
      <x:c r="W717" t="str">
        <x:v>待核</x:v>
      </x:c>
      <x:c r="X717" t="str">
        <x:v>周末已解析；节假日需交易所对应年度日历核验，实际交易日待核</x:v>
      </x:c>
    </x:row>
    <x:row r="718" ht="23" customHeight="1">
      <x:c r="A718" s="11" t="str">
        <x:v>300760.SZ</x:v>
      </x:c>
      <x:c r="B718" s="11" t="str">
        <x:v>一年</x:v>
      </x:c>
      <x:c r="C718" s="11" t="str">
        <x:v>乐观</x:v>
      </x:c>
      <x:c r="D718" s="11" t="str">
        <x:v>EPS</x:v>
      </x:c>
      <x:c r="E718" s="18" t="n">
        <x:v>11</x:v>
      </x:c>
      <x:c r="F718" s="18" t="n">
        <x:v>30</x:v>
      </x:c>
      <x:c r="G718" s="18" t="n">
        <x:v>1</x:v>
      </x:c>
      <x:c r="H718" s="18" t="n">
        <x:v>5</x:v>
      </x:c>
      <x:c r="I718" s="18"/>
      <x:c r="J718" s="20"/>
      <x:c r="K718" s="22"/>
      <x:c r="L718" s="11" t="str">
        <x:v>mindray-normalized-pe-v1.0</x:v>
      </x:c>
      <x:c r="M718" s="11" t="str">
        <x:v>2027-10-09</x:v>
      </x:c>
      <x:c r="O718" t="str">
        <x:v>CNY</x:v>
      </x:c>
      <x:c r="V718" t="str">
        <x:v>2027-10-08</x:v>
      </x:c>
      <x:c r="W718" t="str">
        <x:v>待核</x:v>
      </x:c>
      <x:c r="X718" t="str">
        <x:v>周末已解析；节假日需交易所对应年度日历核验，实际交易日待核</x:v>
      </x:c>
    </x:row>
    <x:row r="719" ht="23" customHeight="1">
      <x:c r="A719" s="15" t="str">
        <x:v>300760.SZ</x:v>
      </x:c>
      <x:c r="B719" s="15" t="str">
        <x:v>三年</x:v>
      </x:c>
      <x:c r="C719" s="15" t="str">
        <x:v>活动输入</x:v>
      </x:c>
      <x:c r="D719" s="15" t="str">
        <x:v>EPS</x:v>
      </x:c>
      <x:c r="E719" s="17" t="n">
        <x:f>CHOOSE($B$3,E720,E721,E722)</x:f>
        <x:v>12</x:v>
      </x:c>
      <x:c r="F719" s="17" t="n">
        <x:f>CHOOSE($B$3,F720,F721,F722)</x:f>
        <x:v>23</x:v>
      </x:c>
      <x:c r="G719" s="17" t="n">
        <x:f>CHOOSE($B$3,G720,G721,G722)</x:f>
        <x:v>1</x:v>
      </x:c>
      <x:c r="H719" s="17" t="n">
        <x:f>CHOOSE($B$3,H720,H721,H722)</x:f>
        <x:v>14</x:v>
      </x:c>
      <x:c r="I719" s="17" t="str">
        <x:f>CHOOSE($B$3,I720,I721,I722)</x:f>
      </x:c>
      <x:c r="J719" s="19" t="str">
        <x:f>CHOOSE($B$3,J720,J721,J722)</x:f>
      </x:c>
      <x:c r="K719" s="21" t="str">
        <x:f>CHOOSE($B$3,K720,K721,K722)</x:f>
      </x:c>
      <x:c r="L719" s="15" t="str">
        <x:v>mindray-normalized-pe-v1.0</x:v>
      </x:c>
      <x:c r="M719" s="15" t="str">
        <x:v>2029-10-09</x:v>
      </x:c>
      <x:c r="O719" t="str">
        <x:v>CNY</x:v>
      </x:c>
      <x:c r="V719" t="str">
        <x:v>2029-10-09</x:v>
      </x:c>
      <x:c r="W719" t="str">
        <x:v>待核</x:v>
      </x:c>
      <x:c r="X719" t="str">
        <x:v>周末已解析；节假日需交易所对应年度日历核验，实际交易日待核</x:v>
      </x:c>
    </x:row>
    <x:row r="720" ht="23" customHeight="1">
      <x:c r="A720" s="11" t="str">
        <x:v>300760.SZ</x:v>
      </x:c>
      <x:c r="B720" s="11" t="str">
        <x:v>三年</x:v>
      </x:c>
      <x:c r="C720" s="11" t="str">
        <x:v>悲观</x:v>
      </x:c>
      <x:c r="D720" s="11" t="str">
        <x:v>EPS</x:v>
      </x:c>
      <x:c r="E720" s="18" t="n">
        <x:v>7.8</x:v>
      </x:c>
      <x:c r="F720" s="18" t="n">
        <x:v>16</x:v>
      </x:c>
      <x:c r="G720" s="18" t="n">
        <x:v>1</x:v>
      </x:c>
      <x:c r="H720" s="18" t="n">
        <x:v>8</x:v>
      </x:c>
      <x:c r="I720" s="18"/>
      <x:c r="J720" s="20"/>
      <x:c r="K720" s="22"/>
      <x:c r="L720" s="11" t="str">
        <x:v>mindray-normalized-pe-v1.0</x:v>
      </x:c>
      <x:c r="M720" s="11" t="str">
        <x:v>2029-10-09</x:v>
      </x:c>
      <x:c r="O720" t="str">
        <x:v>CNY</x:v>
      </x:c>
      <x:c r="V720" t="str">
        <x:v>2029-10-09</x:v>
      </x:c>
      <x:c r="W720" t="str">
        <x:v>待核</x:v>
      </x:c>
      <x:c r="X720" t="str">
        <x:v>周末已解析；节假日需交易所对应年度日历核验，实际交易日待核</x:v>
      </x:c>
    </x:row>
    <x:row r="721" ht="23" customHeight="1">
      <x:c r="A721" s="11" t="str">
        <x:v>300760.SZ</x:v>
      </x:c>
      <x:c r="B721" s="11" t="str">
        <x:v>三年</x:v>
      </x:c>
      <x:c r="C721" s="11" t="str">
        <x:v>基准</x:v>
      </x:c>
      <x:c r="D721" s="11" t="str">
        <x:v>EPS</x:v>
      </x:c>
      <x:c r="E721" s="18" t="n">
        <x:v>12</x:v>
      </x:c>
      <x:c r="F721" s="18" t="n">
        <x:v>23</x:v>
      </x:c>
      <x:c r="G721" s="18" t="n">
        <x:v>1</x:v>
      </x:c>
      <x:c r="H721" s="18" t="n">
        <x:v>14</x:v>
      </x:c>
      <x:c r="I721" s="18"/>
      <x:c r="J721" s="20"/>
      <x:c r="K721" s="22"/>
      <x:c r="L721" s="11" t="str">
        <x:v>mindray-normalized-pe-v1.0</x:v>
      </x:c>
      <x:c r="M721" s="11" t="str">
        <x:v>2029-10-09</x:v>
      </x:c>
      <x:c r="O721" t="str">
        <x:v>CNY</x:v>
      </x:c>
      <x:c r="V721" t="str">
        <x:v>2029-10-09</x:v>
      </x:c>
      <x:c r="W721" t="str">
        <x:v>待核</x:v>
      </x:c>
      <x:c r="X721" t="str">
        <x:v>周末已解析；节假日需交易所对应年度日历核验，实际交易日待核</x:v>
      </x:c>
    </x:row>
    <x:row r="722" ht="23" customHeight="1">
      <x:c r="A722" s="11" t="str">
        <x:v>300760.SZ</x:v>
      </x:c>
      <x:c r="B722" s="11" t="str">
        <x:v>三年</x:v>
      </x:c>
      <x:c r="C722" s="11" t="str">
        <x:v>乐观</x:v>
      </x:c>
      <x:c r="D722" s="11" t="str">
        <x:v>EPS</x:v>
      </x:c>
      <x:c r="E722" s="18" t="n">
        <x:v>16</x:v>
      </x:c>
      <x:c r="F722" s="18" t="n">
        <x:v>30</x:v>
      </x:c>
      <x:c r="G722" s="18" t="n">
        <x:v>1</x:v>
      </x:c>
      <x:c r="H722" s="18" t="n">
        <x:v>19</x:v>
      </x:c>
      <x:c r="I722" s="18"/>
      <x:c r="J722" s="20"/>
      <x:c r="K722" s="22"/>
      <x:c r="L722" s="11" t="str">
        <x:v>mindray-normalized-pe-v1.0</x:v>
      </x:c>
      <x:c r="M722" s="11" t="str">
        <x:v>2029-10-09</x:v>
      </x:c>
      <x:c r="O722" t="str">
        <x:v>CNY</x:v>
      </x:c>
      <x:c r="V722" t="str">
        <x:v>2029-10-09</x:v>
      </x:c>
      <x:c r="W722" t="str">
        <x:v>待核</x:v>
      </x:c>
      <x:c r="X722" t="str">
        <x:v>周末已解析；节假日需交易所对应年度日历核验，实际交易日待核</x:v>
      </x:c>
    </x:row>
    <x:row r="723" ht="23" customHeight="1">
      <x:c r="A723" s="15" t="str">
        <x:v>300760.SZ</x:v>
      </x:c>
      <x:c r="B723" s="15" t="str">
        <x:v>五年</x:v>
      </x:c>
      <x:c r="C723" s="15" t="str">
        <x:v>活动输入</x:v>
      </x:c>
      <x:c r="D723" s="15" t="str">
        <x:v>EPS</x:v>
      </x:c>
      <x:c r="E723" s="17" t="n">
        <x:f>CHOOSE($B$3,E724,E725,E726)</x:f>
        <x:v>15.5</x:v>
      </x:c>
      <x:c r="F723" s="17" t="n">
        <x:f>CHOOSE($B$3,F724,F725,F726)</x:f>
        <x:v>22</x:v>
      </x:c>
      <x:c r="G723" s="17" t="n">
        <x:f>CHOOSE($B$3,G724,G725,G726)</x:f>
        <x:v>1</x:v>
      </x:c>
      <x:c r="H723" s="17" t="n">
        <x:f>CHOOSE($B$3,H724,H725,H726)</x:f>
        <x:v>27</x:v>
      </x:c>
      <x:c r="I723" s="17" t="str">
        <x:f>CHOOSE($B$3,I724,I725,I726)</x:f>
      </x:c>
      <x:c r="J723" s="19" t="str">
        <x:f>CHOOSE($B$3,J724,J725,J726)</x:f>
      </x:c>
      <x:c r="K723" s="21" t="str">
        <x:f>CHOOSE($B$3,K724,K725,K726)</x:f>
      </x:c>
      <x:c r="L723" s="15" t="str">
        <x:v>mindray-normalized-pe-v1.0</x:v>
      </x:c>
      <x:c r="M723" s="15" t="str">
        <x:v>2031-10-09</x:v>
      </x:c>
      <x:c r="O723" t="str">
        <x:v>CNY</x:v>
      </x:c>
      <x:c r="V723" t="str">
        <x:v>2031-10-09</x:v>
      </x:c>
      <x:c r="W723" t="str">
        <x:v>待核</x:v>
      </x:c>
      <x:c r="X723" t="str">
        <x:v>周末已解析；节假日需交易所对应年度日历核验，实际交易日待核</x:v>
      </x:c>
    </x:row>
    <x:row r="724" ht="23" customHeight="1">
      <x:c r="A724" s="11" t="str">
        <x:v>300760.SZ</x:v>
      </x:c>
      <x:c r="B724" s="11" t="str">
        <x:v>五年</x:v>
      </x:c>
      <x:c r="C724" s="11" t="str">
        <x:v>悲观</x:v>
      </x:c>
      <x:c r="D724" s="11" t="str">
        <x:v>EPS</x:v>
      </x:c>
      <x:c r="E724" s="18" t="n">
        <x:v>8.5</x:v>
      </x:c>
      <x:c r="F724" s="18" t="n">
        <x:v>15</x:v>
      </x:c>
      <x:c r="G724" s="18" t="n">
        <x:v>1</x:v>
      </x:c>
      <x:c r="H724" s="18" t="n">
        <x:v>14</x:v>
      </x:c>
      <x:c r="I724" s="18"/>
      <x:c r="J724" s="20"/>
      <x:c r="K724" s="22"/>
      <x:c r="L724" s="11" t="str">
        <x:v>mindray-normalized-pe-v1.0</x:v>
      </x:c>
      <x:c r="M724" s="11" t="str">
        <x:v>2031-10-09</x:v>
      </x:c>
      <x:c r="O724" t="str">
        <x:v>CNY</x:v>
      </x:c>
      <x:c r="V724" t="str">
        <x:v>2031-10-09</x:v>
      </x:c>
      <x:c r="W724" t="str">
        <x:v>待核</x:v>
      </x:c>
      <x:c r="X724" t="str">
        <x:v>周末已解析；节假日需交易所对应年度日历核验，实际交易日待核</x:v>
      </x:c>
    </x:row>
    <x:row r="725" ht="23" customHeight="1">
      <x:c r="A725" s="11" t="str">
        <x:v>300760.SZ</x:v>
      </x:c>
      <x:c r="B725" s="11" t="str">
        <x:v>五年</x:v>
      </x:c>
      <x:c r="C725" s="11" t="str">
        <x:v>基准</x:v>
      </x:c>
      <x:c r="D725" s="11" t="str">
        <x:v>EPS</x:v>
      </x:c>
      <x:c r="E725" s="18" t="n">
        <x:v>15.5</x:v>
      </x:c>
      <x:c r="F725" s="18" t="n">
        <x:v>22</x:v>
      </x:c>
      <x:c r="G725" s="18" t="n">
        <x:v>1</x:v>
      </x:c>
      <x:c r="H725" s="18" t="n">
        <x:v>27</x:v>
      </x:c>
      <x:c r="I725" s="18"/>
      <x:c r="J725" s="20"/>
      <x:c r="K725" s="22"/>
      <x:c r="L725" s="11" t="str">
        <x:v>mindray-normalized-pe-v1.0</x:v>
      </x:c>
      <x:c r="M725" s="11" t="str">
        <x:v>2031-10-09</x:v>
      </x:c>
      <x:c r="O725" t="str">
        <x:v>CNY</x:v>
      </x:c>
      <x:c r="V725" t="str">
        <x:v>2031-10-09</x:v>
      </x:c>
      <x:c r="W725" t="str">
        <x:v>待核</x:v>
      </x:c>
      <x:c r="X725" t="str">
        <x:v>周末已解析；节假日需交易所对应年度日历核验，实际交易日待核</x:v>
      </x:c>
    </x:row>
    <x:row r="726" ht="23" customHeight="1">
      <x:c r="A726" s="11" t="str">
        <x:v>300760.SZ</x:v>
      </x:c>
      <x:c r="B726" s="11" t="str">
        <x:v>五年</x:v>
      </x:c>
      <x:c r="C726" s="11" t="str">
        <x:v>乐观</x:v>
      </x:c>
      <x:c r="D726" s="11" t="str">
        <x:v>EPS</x:v>
      </x:c>
      <x:c r="E726" s="18" t="n">
        <x:v>23</x:v>
      </x:c>
      <x:c r="F726" s="18" t="n">
        <x:v>29</x:v>
      </x:c>
      <x:c r="G726" s="18" t="n">
        <x:v>1</x:v>
      </x:c>
      <x:c r="H726" s="18" t="n">
        <x:v>40</x:v>
      </x:c>
      <x:c r="I726" s="18"/>
      <x:c r="J726" s="20"/>
      <x:c r="K726" s="22"/>
      <x:c r="L726" s="11" t="str">
        <x:v>mindray-normalized-pe-v1.0</x:v>
      </x:c>
      <x:c r="M726" s="11" t="str">
        <x:v>2031-10-09</x:v>
      </x:c>
      <x:c r="O726" t="str">
        <x:v>CNY</x:v>
      </x:c>
      <x:c r="V726" t="str">
        <x:v>2031-10-09</x:v>
      </x:c>
      <x:c r="W726" t="str">
        <x:v>待核</x:v>
      </x:c>
      <x:c r="X726" t="str">
        <x:v>周末已解析；节假日需交易所对应年度日历核验，实际交易日待核</x:v>
      </x:c>
    </x:row>
    <x:row r="727" ht="23" customHeight="1">
      <x:c r="A727" s="15" t="str">
        <x:v>09999.HK</x:v>
      </x:c>
      <x:c r="B727" s="15" t="str">
        <x:v>2026年底</x:v>
      </x:c>
      <x:c r="C727" s="15" t="str">
        <x:v>活动输入</x:v>
      </x:c>
      <x:c r="D727" s="15" t="str">
        <x:v>EPS</x:v>
      </x:c>
      <x:c r="E727" s="17" t="n">
        <x:f>CHOOSE($B$3,E728,E729,E730)</x:f>
        <x:v>12</x:v>
      </x:c>
      <x:c r="F727" s="17" t="n">
        <x:f>CHOOSE($B$3,F728,F729,F730)</x:f>
        <x:v>16</x:v>
      </x:c>
      <x:c r="G727" s="17" t="n">
        <x:f>CHOOSE($B$3,G728,G729,G730)</x:f>
        <x:v>1.1</x:v>
      </x:c>
      <x:c r="H727" s="17" t="n">
        <x:f>CHOOSE($B$3,H728,H729,H730)</x:f>
        <x:v>0</x:v>
      </x:c>
      <x:c r="I727" s="17" t="str">
        <x:f>CHOOSE($B$3,I728,I729,I730)</x:f>
      </x:c>
      <x:c r="J727" s="19" t="str">
        <x:f>CHOOSE($B$3,J728,J729,J730)</x:f>
      </x:c>
      <x:c r="K727" s="21" t="str">
        <x:f>CHOOSE($B$3,K728,K729,K730)</x:f>
      </x:c>
      <x:c r="L727" s="15" t="str">
        <x:v>netease-pe-v1.0</x:v>
      </x:c>
      <x:c r="M727" s="15" t="str">
        <x:v>2026-12-31</x:v>
      </x:c>
      <x:c r="O727" t="str">
        <x:v>CNY</x:v>
      </x:c>
      <x:c r="V727" t="str">
        <x:v>2026-12-31</x:v>
      </x:c>
      <x:c r="W727" t="str">
        <x:v>待核</x:v>
      </x:c>
      <x:c r="X727" t="str">
        <x:v>周末已解析；节假日需交易所对应年度日历核验，实际交易日待核</x:v>
      </x:c>
    </x:row>
    <x:row r="728" ht="23" customHeight="1">
      <x:c r="A728" s="11" t="str">
        <x:v>09999.HK</x:v>
      </x:c>
      <x:c r="B728" s="11" t="str">
        <x:v>2026年底</x:v>
      </x:c>
      <x:c r="C728" s="11" t="str">
        <x:v>悲观</x:v>
      </x:c>
      <x:c r="D728" s="11" t="str">
        <x:v>EPS</x:v>
      </x:c>
      <x:c r="E728" s="18" t="n">
        <x:v>10</x:v>
      </x:c>
      <x:c r="F728" s="18" t="n">
        <x:v>12</x:v>
      </x:c>
      <x:c r="G728" s="18" t="n">
        <x:v>1.1</x:v>
      </x:c>
      <x:c r="H728" s="18" t="n">
        <x:v>0</x:v>
      </x:c>
      <x:c r="I728" s="18"/>
      <x:c r="J728" s="20"/>
      <x:c r="K728" s="22"/>
      <x:c r="L728" s="11" t="str">
        <x:v>netease-pe-v1.0</x:v>
      </x:c>
      <x:c r="M728" s="11" t="str">
        <x:v>2026-12-31</x:v>
      </x:c>
      <x:c r="O728" t="str">
        <x:v>CNY</x:v>
      </x:c>
      <x:c r="V728" t="str">
        <x:v>2026-12-31</x:v>
      </x:c>
      <x:c r="W728" t="str">
        <x:v>待核</x:v>
      </x:c>
      <x:c r="X728" t="str">
        <x:v>周末已解析；节假日需交易所对应年度日历核验，实际交易日待核</x:v>
      </x:c>
    </x:row>
    <x:row r="729" ht="23" customHeight="1">
      <x:c r="A729" s="11" t="str">
        <x:v>09999.HK</x:v>
      </x:c>
      <x:c r="B729" s="11" t="str">
        <x:v>2026年底</x:v>
      </x:c>
      <x:c r="C729" s="11" t="str">
        <x:v>基准</x:v>
      </x:c>
      <x:c r="D729" s="11" t="str">
        <x:v>EPS</x:v>
      </x:c>
      <x:c r="E729" s="18" t="n">
        <x:v>12</x:v>
      </x:c>
      <x:c r="F729" s="18" t="n">
        <x:v>16</x:v>
      </x:c>
      <x:c r="G729" s="18" t="n">
        <x:v>1.1</x:v>
      </x:c>
      <x:c r="H729" s="18" t="n">
        <x:v>0</x:v>
      </x:c>
      <x:c r="I729" s="18"/>
      <x:c r="J729" s="20"/>
      <x:c r="K729" s="22"/>
      <x:c r="L729" s="11" t="str">
        <x:v>netease-pe-v1.0</x:v>
      </x:c>
      <x:c r="M729" s="11" t="str">
        <x:v>2026-12-31</x:v>
      </x:c>
      <x:c r="O729" t="str">
        <x:v>CNY</x:v>
      </x:c>
      <x:c r="V729" t="str">
        <x:v>2026-12-31</x:v>
      </x:c>
      <x:c r="W729" t="str">
        <x:v>待核</x:v>
      </x:c>
      <x:c r="X729" t="str">
        <x:v>周末已解析；节假日需交易所对应年度日历核验，实际交易日待核</x:v>
      </x:c>
    </x:row>
    <x:row r="730" ht="23" customHeight="1">
      <x:c r="A730" s="11" t="str">
        <x:v>09999.HK</x:v>
      </x:c>
      <x:c r="B730" s="11" t="str">
        <x:v>2026年底</x:v>
      </x:c>
      <x:c r="C730" s="11" t="str">
        <x:v>乐观</x:v>
      </x:c>
      <x:c r="D730" s="11" t="str">
        <x:v>EPS</x:v>
      </x:c>
      <x:c r="E730" s="18" t="n">
        <x:v>13.5</x:v>
      </x:c>
      <x:c r="F730" s="18" t="n">
        <x:v>20</x:v>
      </x:c>
      <x:c r="G730" s="18" t="n">
        <x:v>1.1</x:v>
      </x:c>
      <x:c r="H730" s="18" t="n">
        <x:v>0</x:v>
      </x:c>
      <x:c r="I730" s="18"/>
      <x:c r="J730" s="20"/>
      <x:c r="K730" s="22"/>
      <x:c r="L730" s="11" t="str">
        <x:v>netease-pe-v1.0</x:v>
      </x:c>
      <x:c r="M730" s="11" t="str">
        <x:v>2026-12-31</x:v>
      </x:c>
      <x:c r="O730" t="str">
        <x:v>CNY</x:v>
      </x:c>
      <x:c r="V730" t="str">
        <x:v>2026-12-31</x:v>
      </x:c>
      <x:c r="W730" t="str">
        <x:v>待核</x:v>
      </x:c>
      <x:c r="X730" t="str">
        <x:v>周末已解析；节假日需交易所对应年度日历核验，实际交易日待核</x:v>
      </x:c>
    </x:row>
    <x:row r="731" ht="23" customHeight="1">
      <x:c r="A731" s="15" t="str">
        <x:v>09999.HK</x:v>
      </x:c>
      <x:c r="B731" s="15" t="str">
        <x:v>半年</x:v>
      </x:c>
      <x:c r="C731" s="15" t="str">
        <x:v>活动输入</x:v>
      </x:c>
      <x:c r="D731" s="15" t="str">
        <x:v>EPS</x:v>
      </x:c>
      <x:c r="E731" s="17" t="n">
        <x:f>CHOOSE($B$3,E732,E733,E734)</x:f>
        <x:v>12.5</x:v>
      </x:c>
      <x:c r="F731" s="17" t="n">
        <x:f>CHOOSE($B$3,F732,F733,F734)</x:f>
        <x:v>17</x:v>
      </x:c>
      <x:c r="G731" s="17" t="n">
        <x:f>CHOOSE($B$3,G732,G733,G734)</x:f>
        <x:v>1.1</x:v>
      </x:c>
      <x:c r="H731" s="17" t="n">
        <x:f>CHOOSE($B$3,H732,H733,H734)</x:f>
        <x:v>2</x:v>
      </x:c>
      <x:c r="I731" s="17" t="str">
        <x:f>CHOOSE($B$3,I732,I733,I734)</x:f>
      </x:c>
      <x:c r="J731" s="19" t="str">
        <x:f>CHOOSE($B$3,J732,J733,J734)</x:f>
      </x:c>
      <x:c r="K731" s="21" t="str">
        <x:f>CHOOSE($B$3,K732,K733,K734)</x:f>
      </x:c>
      <x:c r="L731" s="15" t="str">
        <x:v>netease-pe-v1.0</x:v>
      </x:c>
      <x:c r="M731" s="15" t="str">
        <x:v>2027-04-09</x:v>
      </x:c>
      <x:c r="O731" t="str">
        <x:v>CNY</x:v>
      </x:c>
      <x:c r="V731" t="str">
        <x:v>2027-04-09</x:v>
      </x:c>
      <x:c r="W731" t="str">
        <x:v>待核</x:v>
      </x:c>
      <x:c r="X731" t="str">
        <x:v>周末已解析；节假日需交易所对应年度日历核验，实际交易日待核</x:v>
      </x:c>
    </x:row>
    <x:row r="732" ht="23" customHeight="1">
      <x:c r="A732" s="11" t="str">
        <x:v>09999.HK</x:v>
      </x:c>
      <x:c r="B732" s="11" t="str">
        <x:v>半年</x:v>
      </x:c>
      <x:c r="C732" s="11" t="str">
        <x:v>悲观</x:v>
      </x:c>
      <x:c r="D732" s="11" t="str">
        <x:v>EPS</x:v>
      </x:c>
      <x:c r="E732" s="18" t="n">
        <x:v>10.5</x:v>
      </x:c>
      <x:c r="F732" s="18" t="n">
        <x:v>12</x:v>
      </x:c>
      <x:c r="G732" s="18" t="n">
        <x:v>1.1</x:v>
      </x:c>
      <x:c r="H732" s="18" t="n">
        <x:v>1</x:v>
      </x:c>
      <x:c r="I732" s="18"/>
      <x:c r="J732" s="20"/>
      <x:c r="K732" s="22"/>
      <x:c r="L732" s="11" t="str">
        <x:v>netease-pe-v1.0</x:v>
      </x:c>
      <x:c r="M732" s="11" t="str">
        <x:v>2027-04-09</x:v>
      </x:c>
      <x:c r="O732" t="str">
        <x:v>CNY</x:v>
      </x:c>
      <x:c r="V732" t="str">
        <x:v>2027-04-09</x:v>
      </x:c>
      <x:c r="W732" t="str">
        <x:v>待核</x:v>
      </x:c>
      <x:c r="X732" t="str">
        <x:v>周末已解析；节假日需交易所对应年度日历核验，实际交易日待核</x:v>
      </x:c>
    </x:row>
    <x:row r="733" ht="23" customHeight="1">
      <x:c r="A733" s="11" t="str">
        <x:v>09999.HK</x:v>
      </x:c>
      <x:c r="B733" s="11" t="str">
        <x:v>半年</x:v>
      </x:c>
      <x:c r="C733" s="11" t="str">
        <x:v>基准</x:v>
      </x:c>
      <x:c r="D733" s="11" t="str">
        <x:v>EPS</x:v>
      </x:c>
      <x:c r="E733" s="18" t="n">
        <x:v>12.5</x:v>
      </x:c>
      <x:c r="F733" s="18" t="n">
        <x:v>17</x:v>
      </x:c>
      <x:c r="G733" s="18" t="n">
        <x:v>1.1</x:v>
      </x:c>
      <x:c r="H733" s="18" t="n">
        <x:v>2</x:v>
      </x:c>
      <x:c r="I733" s="18"/>
      <x:c r="J733" s="20"/>
      <x:c r="K733" s="22"/>
      <x:c r="L733" s="11" t="str">
        <x:v>netease-pe-v1.0</x:v>
      </x:c>
      <x:c r="M733" s="11" t="str">
        <x:v>2027-04-09</x:v>
      </x:c>
      <x:c r="O733" t="str">
        <x:v>CNY</x:v>
      </x:c>
      <x:c r="V733" t="str">
        <x:v>2027-04-09</x:v>
      </x:c>
      <x:c r="W733" t="str">
        <x:v>待核</x:v>
      </x:c>
      <x:c r="X733" t="str">
        <x:v>周末已解析；节假日需交易所对应年度日历核验，实际交易日待核</x:v>
      </x:c>
    </x:row>
    <x:row r="734" ht="23" customHeight="1">
      <x:c r="A734" s="11" t="str">
        <x:v>09999.HK</x:v>
      </x:c>
      <x:c r="B734" s="11" t="str">
        <x:v>半年</x:v>
      </x:c>
      <x:c r="C734" s="11" t="str">
        <x:v>乐观</x:v>
      </x:c>
      <x:c r="D734" s="11" t="str">
        <x:v>EPS</x:v>
      </x:c>
      <x:c r="E734" s="18" t="n">
        <x:v>14</x:v>
      </x:c>
      <x:c r="F734" s="18" t="n">
        <x:v>21</x:v>
      </x:c>
      <x:c r="G734" s="18" t="n">
        <x:v>1.1</x:v>
      </x:c>
      <x:c r="H734" s="18" t="n">
        <x:v>2.5</x:v>
      </x:c>
      <x:c r="I734" s="18"/>
      <x:c r="J734" s="20"/>
      <x:c r="K734" s="22"/>
      <x:c r="L734" s="11" t="str">
        <x:v>netease-pe-v1.0</x:v>
      </x:c>
      <x:c r="M734" s="11" t="str">
        <x:v>2027-04-09</x:v>
      </x:c>
      <x:c r="O734" t="str">
        <x:v>CNY</x:v>
      </x:c>
      <x:c r="V734" t="str">
        <x:v>2027-04-09</x:v>
      </x:c>
      <x:c r="W734" t="str">
        <x:v>待核</x:v>
      </x:c>
      <x:c r="X734" t="str">
        <x:v>周末已解析；节假日需交易所对应年度日历核验，实际交易日待核</x:v>
      </x:c>
    </x:row>
    <x:row r="735" ht="23" customHeight="1">
      <x:c r="A735" s="15" t="str">
        <x:v>09999.HK</x:v>
      </x:c>
      <x:c r="B735" s="15" t="str">
        <x:v>一年</x:v>
      </x:c>
      <x:c r="C735" s="15" t="str">
        <x:v>活动输入</x:v>
      </x:c>
      <x:c r="D735" s="15" t="str">
        <x:v>EPS</x:v>
      </x:c>
      <x:c r="E735" s="17" t="n">
        <x:f>CHOOSE($B$3,E736,E737,E738)</x:f>
        <x:v>13</x:v>
      </x:c>
      <x:c r="F735" s="17" t="n">
        <x:f>CHOOSE($B$3,F736,F737,F738)</x:f>
        <x:v>18</x:v>
      </x:c>
      <x:c r="G735" s="17" t="n">
        <x:f>CHOOSE($B$3,G736,G737,G738)</x:f>
        <x:v>1.1</x:v>
      </x:c>
      <x:c r="H735" s="17" t="n">
        <x:f>CHOOSE($B$3,H736,H737,H738)</x:f>
        <x:v>4</x:v>
      </x:c>
      <x:c r="I735" s="17" t="str">
        <x:f>CHOOSE($B$3,I736,I737,I738)</x:f>
      </x:c>
      <x:c r="J735" s="19" t="str">
        <x:f>CHOOSE($B$3,J736,J737,J738)</x:f>
      </x:c>
      <x:c r="K735" s="21" t="str">
        <x:f>CHOOSE($B$3,K736,K737,K738)</x:f>
      </x:c>
      <x:c r="L735" s="15" t="str">
        <x:v>netease-pe-v1.0</x:v>
      </x:c>
      <x:c r="M735" s="15" t="str">
        <x:v>2027-10-09</x:v>
      </x:c>
      <x:c r="O735" t="str">
        <x:v>CNY</x:v>
      </x:c>
      <x:c r="V735" t="str">
        <x:v>2027-10-08</x:v>
      </x:c>
      <x:c r="W735" t="str">
        <x:v>待核</x:v>
      </x:c>
      <x:c r="X735" t="str">
        <x:v>周末已解析；节假日需交易所对应年度日历核验，实际交易日待核</x:v>
      </x:c>
    </x:row>
    <x:row r="736" ht="23" customHeight="1">
      <x:c r="A736" s="11" t="str">
        <x:v>09999.HK</x:v>
      </x:c>
      <x:c r="B736" s="11" t="str">
        <x:v>一年</x:v>
      </x:c>
      <x:c r="C736" s="11" t="str">
        <x:v>悲观</x:v>
      </x:c>
      <x:c r="D736" s="11" t="str">
        <x:v>EPS</x:v>
      </x:c>
      <x:c r="E736" s="18" t="n">
        <x:v>11</x:v>
      </x:c>
      <x:c r="F736" s="18" t="n">
        <x:v>12</x:v>
      </x:c>
      <x:c r="G736" s="18" t="n">
        <x:v>1.1</x:v>
      </x:c>
      <x:c r="H736" s="18" t="n">
        <x:v>2</x:v>
      </x:c>
      <x:c r="I736" s="18"/>
      <x:c r="J736" s="20"/>
      <x:c r="K736" s="22"/>
      <x:c r="L736" s="11" t="str">
        <x:v>netease-pe-v1.0</x:v>
      </x:c>
      <x:c r="M736" s="11" t="str">
        <x:v>2027-10-09</x:v>
      </x:c>
      <x:c r="O736" t="str">
        <x:v>CNY</x:v>
      </x:c>
      <x:c r="V736" t="str">
        <x:v>2027-10-08</x:v>
      </x:c>
      <x:c r="W736" t="str">
        <x:v>待核</x:v>
      </x:c>
      <x:c r="X736" t="str">
        <x:v>周末已解析；节假日需交易所对应年度日历核验，实际交易日待核</x:v>
      </x:c>
    </x:row>
    <x:row r="737" ht="23" customHeight="1">
      <x:c r="A737" s="11" t="str">
        <x:v>09999.HK</x:v>
      </x:c>
      <x:c r="B737" s="11" t="str">
        <x:v>一年</x:v>
      </x:c>
      <x:c r="C737" s="11" t="str">
        <x:v>基准</x:v>
      </x:c>
      <x:c r="D737" s="11" t="str">
        <x:v>EPS</x:v>
      </x:c>
      <x:c r="E737" s="18" t="n">
        <x:v>13</x:v>
      </x:c>
      <x:c r="F737" s="18" t="n">
        <x:v>18</x:v>
      </x:c>
      <x:c r="G737" s="18" t="n">
        <x:v>1.1</x:v>
      </x:c>
      <x:c r="H737" s="18" t="n">
        <x:v>4</x:v>
      </x:c>
      <x:c r="I737" s="18"/>
      <x:c r="J737" s="20"/>
      <x:c r="K737" s="22"/>
      <x:c r="L737" s="11" t="str">
        <x:v>netease-pe-v1.0</x:v>
      </x:c>
      <x:c r="M737" s="11" t="str">
        <x:v>2027-10-09</x:v>
      </x:c>
      <x:c r="O737" t="str">
        <x:v>CNY</x:v>
      </x:c>
      <x:c r="V737" t="str">
        <x:v>2027-10-08</x:v>
      </x:c>
      <x:c r="W737" t="str">
        <x:v>待核</x:v>
      </x:c>
      <x:c r="X737" t="str">
        <x:v>周末已解析；节假日需交易所对应年度日历核验，实际交易日待核</x:v>
      </x:c>
    </x:row>
    <x:row r="738" ht="23" customHeight="1">
      <x:c r="A738" s="11" t="str">
        <x:v>09999.HK</x:v>
      </x:c>
      <x:c r="B738" s="11" t="str">
        <x:v>一年</x:v>
      </x:c>
      <x:c r="C738" s="11" t="str">
        <x:v>乐观</x:v>
      </x:c>
      <x:c r="D738" s="11" t="str">
        <x:v>EPS</x:v>
      </x:c>
      <x:c r="E738" s="18" t="n">
        <x:v>15</x:v>
      </x:c>
      <x:c r="F738" s="18" t="n">
        <x:v>22</x:v>
      </x:c>
      <x:c r="G738" s="18" t="n">
        <x:v>1.1</x:v>
      </x:c>
      <x:c r="H738" s="18" t="n">
        <x:v>5</x:v>
      </x:c>
      <x:c r="I738" s="18"/>
      <x:c r="J738" s="20"/>
      <x:c r="K738" s="22"/>
      <x:c r="L738" s="11" t="str">
        <x:v>netease-pe-v1.0</x:v>
      </x:c>
      <x:c r="M738" s="11" t="str">
        <x:v>2027-10-09</x:v>
      </x:c>
      <x:c r="O738" t="str">
        <x:v>CNY</x:v>
      </x:c>
      <x:c r="V738" t="str">
        <x:v>2027-10-08</x:v>
      </x:c>
      <x:c r="W738" t="str">
        <x:v>待核</x:v>
      </x:c>
      <x:c r="X738" t="str">
        <x:v>周末已解析；节假日需交易所对应年度日历核验，实际交易日待核</x:v>
      </x:c>
    </x:row>
    <x:row r="739" ht="23" customHeight="1">
      <x:c r="A739" s="15" t="str">
        <x:v>09999.HK</x:v>
      </x:c>
      <x:c r="B739" s="15" t="str">
        <x:v>三年</x:v>
      </x:c>
      <x:c r="C739" s="15" t="str">
        <x:v>活动输入</x:v>
      </x:c>
      <x:c r="D739" s="15" t="str">
        <x:v>EPS</x:v>
      </x:c>
      <x:c r="E739" s="17" t="n">
        <x:f>CHOOSE($B$3,E740,E741,E742)</x:f>
        <x:v>16</x:v>
      </x:c>
      <x:c r="F739" s="17" t="n">
        <x:f>CHOOSE($B$3,F740,F741,F742)</x:f>
        <x:v>17</x:v>
      </x:c>
      <x:c r="G739" s="17" t="n">
        <x:f>CHOOSE($B$3,G740,G741,G742)</x:f>
        <x:v>1.1</x:v>
      </x:c>
      <x:c r="H739" s="17" t="n">
        <x:f>CHOOSE($B$3,H740,H741,H742)</x:f>
        <x:v>14</x:v>
      </x:c>
      <x:c r="I739" s="17" t="str">
        <x:f>CHOOSE($B$3,I740,I741,I742)</x:f>
      </x:c>
      <x:c r="J739" s="19" t="str">
        <x:f>CHOOSE($B$3,J740,J741,J742)</x:f>
      </x:c>
      <x:c r="K739" s="21" t="str">
        <x:f>CHOOSE($B$3,K740,K741,K742)</x:f>
      </x:c>
      <x:c r="L739" s="15" t="str">
        <x:v>netease-pe-v1.0</x:v>
      </x:c>
      <x:c r="M739" s="15" t="str">
        <x:v>2029-10-09</x:v>
      </x:c>
      <x:c r="O739" t="str">
        <x:v>CNY</x:v>
      </x:c>
      <x:c r="V739" t="str">
        <x:v>2029-10-09</x:v>
      </x:c>
      <x:c r="W739" t="str">
        <x:v>待核</x:v>
      </x:c>
      <x:c r="X739" t="str">
        <x:v>周末已解析；节假日需交易所对应年度日历核验，实际交易日待核</x:v>
      </x:c>
    </x:row>
    <x:row r="740" ht="23" customHeight="1">
      <x:c r="A740" s="11" t="str">
        <x:v>09999.HK</x:v>
      </x:c>
      <x:c r="B740" s="11" t="str">
        <x:v>三年</x:v>
      </x:c>
      <x:c r="C740" s="11" t="str">
        <x:v>悲观</x:v>
      </x:c>
      <x:c r="D740" s="11" t="str">
        <x:v>EPS</x:v>
      </x:c>
      <x:c r="E740" s="18" t="n">
        <x:v>11</x:v>
      </x:c>
      <x:c r="F740" s="18" t="n">
        <x:v>11</x:v>
      </x:c>
      <x:c r="G740" s="18" t="n">
        <x:v>1.1</x:v>
      </x:c>
      <x:c r="H740" s="18" t="n">
        <x:v>6</x:v>
      </x:c>
      <x:c r="I740" s="18"/>
      <x:c r="J740" s="20"/>
      <x:c r="K740" s="22"/>
      <x:c r="L740" s="11" t="str">
        <x:v>netease-pe-v1.0</x:v>
      </x:c>
      <x:c r="M740" s="11" t="str">
        <x:v>2029-10-09</x:v>
      </x:c>
      <x:c r="O740" t="str">
        <x:v>CNY</x:v>
      </x:c>
      <x:c r="V740" t="str">
        <x:v>2029-10-09</x:v>
      </x:c>
      <x:c r="W740" t="str">
        <x:v>待核</x:v>
      </x:c>
      <x:c r="X740" t="str">
        <x:v>周末已解析；节假日需交易所对应年度日历核验，实际交易日待核</x:v>
      </x:c>
    </x:row>
    <x:row r="741" ht="23" customHeight="1">
      <x:c r="A741" s="11" t="str">
        <x:v>09999.HK</x:v>
      </x:c>
      <x:c r="B741" s="11" t="str">
        <x:v>三年</x:v>
      </x:c>
      <x:c r="C741" s="11" t="str">
        <x:v>基准</x:v>
      </x:c>
      <x:c r="D741" s="11" t="str">
        <x:v>EPS</x:v>
      </x:c>
      <x:c r="E741" s="18" t="n">
        <x:v>16</x:v>
      </x:c>
      <x:c r="F741" s="18" t="n">
        <x:v>17</x:v>
      </x:c>
      <x:c r="G741" s="18" t="n">
        <x:v>1.1</x:v>
      </x:c>
      <x:c r="H741" s="18" t="n">
        <x:v>14</x:v>
      </x:c>
      <x:c r="I741" s="18"/>
      <x:c r="J741" s="20"/>
      <x:c r="K741" s="22"/>
      <x:c r="L741" s="11" t="str">
        <x:v>netease-pe-v1.0</x:v>
      </x:c>
      <x:c r="M741" s="11" t="str">
        <x:v>2029-10-09</x:v>
      </x:c>
      <x:c r="O741" t="str">
        <x:v>CNY</x:v>
      </x:c>
      <x:c r="V741" t="str">
        <x:v>2029-10-09</x:v>
      </x:c>
      <x:c r="W741" t="str">
        <x:v>待核</x:v>
      </x:c>
      <x:c r="X741" t="str">
        <x:v>周末已解析；节假日需交易所对应年度日历核验，实际交易日待核</x:v>
      </x:c>
    </x:row>
    <x:row r="742" ht="23" customHeight="1">
      <x:c r="A742" s="11" t="str">
        <x:v>09999.HK</x:v>
      </x:c>
      <x:c r="B742" s="11" t="str">
        <x:v>三年</x:v>
      </x:c>
      <x:c r="C742" s="11" t="str">
        <x:v>乐观</x:v>
      </x:c>
      <x:c r="D742" s="11" t="str">
        <x:v>EPS</x:v>
      </x:c>
      <x:c r="E742" s="18" t="n">
        <x:v>21</x:v>
      </x:c>
      <x:c r="F742" s="18" t="n">
        <x:v>22</x:v>
      </x:c>
      <x:c r="G742" s="18" t="n">
        <x:v>1.1</x:v>
      </x:c>
      <x:c r="H742" s="18" t="n">
        <x:v>20</x:v>
      </x:c>
      <x:c r="I742" s="18"/>
      <x:c r="J742" s="20"/>
      <x:c r="K742" s="22"/>
      <x:c r="L742" s="11" t="str">
        <x:v>netease-pe-v1.0</x:v>
      </x:c>
      <x:c r="M742" s="11" t="str">
        <x:v>2029-10-09</x:v>
      </x:c>
      <x:c r="O742" t="str">
        <x:v>CNY</x:v>
      </x:c>
      <x:c r="V742" t="str">
        <x:v>2029-10-09</x:v>
      </x:c>
      <x:c r="W742" t="str">
        <x:v>待核</x:v>
      </x:c>
      <x:c r="X742" t="str">
        <x:v>周末已解析；节假日需交易所对应年度日历核验，实际交易日待核</x:v>
      </x:c>
    </x:row>
    <x:row r="743" ht="23" customHeight="1">
      <x:c r="A743" s="15" t="str">
        <x:v>09999.HK</x:v>
      </x:c>
      <x:c r="B743" s="15" t="str">
        <x:v>五年</x:v>
      </x:c>
      <x:c r="C743" s="15" t="str">
        <x:v>活动输入</x:v>
      </x:c>
      <x:c r="D743" s="15" t="str">
        <x:v>EPS</x:v>
      </x:c>
      <x:c r="E743" s="17" t="n">
        <x:f>CHOOSE($B$3,E744,E745,E746)</x:f>
        <x:v>19</x:v>
      </x:c>
      <x:c r="F743" s="17" t="n">
        <x:f>CHOOSE($B$3,F744,F745,F746)</x:f>
        <x:v>16</x:v>
      </x:c>
      <x:c r="G743" s="17" t="n">
        <x:f>CHOOSE($B$3,G744,G745,G746)</x:f>
        <x:v>1.1</x:v>
      </x:c>
      <x:c r="H743" s="17" t="n">
        <x:f>CHOOSE($B$3,H744,H745,H746)</x:f>
        <x:v>25</x:v>
      </x:c>
      <x:c r="I743" s="17" t="str">
        <x:f>CHOOSE($B$3,I744,I745,I746)</x:f>
      </x:c>
      <x:c r="J743" s="19" t="str">
        <x:f>CHOOSE($B$3,J744,J745,J746)</x:f>
      </x:c>
      <x:c r="K743" s="21" t="str">
        <x:f>CHOOSE($B$3,K744,K745,K746)</x:f>
      </x:c>
      <x:c r="L743" s="15" t="str">
        <x:v>netease-pe-v1.0</x:v>
      </x:c>
      <x:c r="M743" s="15" t="str">
        <x:v>2031-10-09</x:v>
      </x:c>
      <x:c r="O743" t="str">
        <x:v>CNY</x:v>
      </x:c>
      <x:c r="V743" t="str">
        <x:v>2031-10-09</x:v>
      </x:c>
      <x:c r="W743" t="str">
        <x:v>待核</x:v>
      </x:c>
      <x:c r="X743" t="str">
        <x:v>周末已解析；节假日需交易所对应年度日历核验，实际交易日待核</x:v>
      </x:c>
    </x:row>
    <x:row r="744" ht="23" customHeight="1">
      <x:c r="A744" s="11" t="str">
        <x:v>09999.HK</x:v>
      </x:c>
      <x:c r="B744" s="11" t="str">
        <x:v>五年</x:v>
      </x:c>
      <x:c r="C744" s="11" t="str">
        <x:v>悲观</x:v>
      </x:c>
      <x:c r="D744" s="11" t="str">
        <x:v>EPS</x:v>
      </x:c>
      <x:c r="E744" s="18" t="n">
        <x:v>10</x:v>
      </x:c>
      <x:c r="F744" s="18" t="n">
        <x:v>10</x:v>
      </x:c>
      <x:c r="G744" s="18" t="n">
        <x:v>1.1</x:v>
      </x:c>
      <x:c r="H744" s="18" t="n">
        <x:v>10</x:v>
      </x:c>
      <x:c r="I744" s="18"/>
      <x:c r="J744" s="20"/>
      <x:c r="K744" s="22"/>
      <x:c r="L744" s="11" t="str">
        <x:v>netease-pe-v1.0</x:v>
      </x:c>
      <x:c r="M744" s="11" t="str">
        <x:v>2031-10-09</x:v>
      </x:c>
      <x:c r="O744" t="str">
        <x:v>CNY</x:v>
      </x:c>
      <x:c r="V744" t="str">
        <x:v>2031-10-09</x:v>
      </x:c>
      <x:c r="W744" t="str">
        <x:v>待核</x:v>
      </x:c>
      <x:c r="X744" t="str">
        <x:v>周末已解析；节假日需交易所对应年度日历核验，实际交易日待核</x:v>
      </x:c>
    </x:row>
    <x:row r="745" ht="23" customHeight="1">
      <x:c r="A745" s="11" t="str">
        <x:v>09999.HK</x:v>
      </x:c>
      <x:c r="B745" s="11" t="str">
        <x:v>五年</x:v>
      </x:c>
      <x:c r="C745" s="11" t="str">
        <x:v>基准</x:v>
      </x:c>
      <x:c r="D745" s="11" t="str">
        <x:v>EPS</x:v>
      </x:c>
      <x:c r="E745" s="18" t="n">
        <x:v>19</x:v>
      </x:c>
      <x:c r="F745" s="18" t="n">
        <x:v>16</x:v>
      </x:c>
      <x:c r="G745" s="18" t="n">
        <x:v>1.1</x:v>
      </x:c>
      <x:c r="H745" s="18" t="n">
        <x:v>25</x:v>
      </x:c>
      <x:c r="I745" s="18"/>
      <x:c r="J745" s="20"/>
      <x:c r="K745" s="22"/>
      <x:c r="L745" s="11" t="str">
        <x:v>netease-pe-v1.0</x:v>
      </x:c>
      <x:c r="M745" s="11" t="str">
        <x:v>2031-10-09</x:v>
      </x:c>
      <x:c r="O745" t="str">
        <x:v>CNY</x:v>
      </x:c>
      <x:c r="V745" t="str">
        <x:v>2031-10-09</x:v>
      </x:c>
      <x:c r="W745" t="str">
        <x:v>待核</x:v>
      </x:c>
      <x:c r="X745" t="str">
        <x:v>周末已解析；节假日需交易所对应年度日历核验，实际交易日待核</x:v>
      </x:c>
    </x:row>
    <x:row r="746" ht="23" customHeight="1">
      <x:c r="A746" s="11" t="str">
        <x:v>09999.HK</x:v>
      </x:c>
      <x:c r="B746" s="11" t="str">
        <x:v>五年</x:v>
      </x:c>
      <x:c r="C746" s="11" t="str">
        <x:v>乐观</x:v>
      </x:c>
      <x:c r="D746" s="11" t="str">
        <x:v>EPS</x:v>
      </x:c>
      <x:c r="E746" s="18" t="n">
        <x:v>28</x:v>
      </x:c>
      <x:c r="F746" s="18" t="n">
        <x:v>22</x:v>
      </x:c>
      <x:c r="G746" s="18" t="n">
        <x:v>1.1</x:v>
      </x:c>
      <x:c r="H746" s="18" t="n">
        <x:v>38</x:v>
      </x:c>
      <x:c r="I746" s="18"/>
      <x:c r="J746" s="20"/>
      <x:c r="K746" s="22"/>
      <x:c r="L746" s="11" t="str">
        <x:v>netease-pe-v1.0</x:v>
      </x:c>
      <x:c r="M746" s="11" t="str">
        <x:v>2031-10-09</x:v>
      </x:c>
      <x:c r="O746" t="str">
        <x:v>CNY</x:v>
      </x:c>
      <x:c r="V746" t="str">
        <x:v>2031-10-09</x:v>
      </x:c>
      <x:c r="W746" t="str">
        <x:v>待核</x:v>
      </x:c>
      <x:c r="X746" t="str">
        <x:v>周末已解析；节假日需交易所对应年度日历核验，实际交易日待核</x:v>
      </x:c>
    </x:row>
    <x:row r="747" ht="23" customHeight="1">
      <x:c r="A747" s="15" t="str">
        <x:v>03759.HK</x:v>
      </x:c>
      <x:c r="B747" s="15" t="str">
        <x:v>2026年底</x:v>
      </x:c>
      <x:c r="C747" s="15" t="str">
        <x:v>活动输入</x:v>
      </x:c>
      <x:c r="D747" s="15" t="str">
        <x:v>收入利润率</x:v>
      </x:c>
      <x:c r="E747" s="17" t="n">
        <x:f>CHOOSE($B$3,E748,E749,E750)</x:f>
        <x:v>1.2557031493971171</x:v>
      </x:c>
      <x:c r="F747" s="17" t="n">
        <x:f>CHOOSE($B$3,F748,F749,F750)</x:f>
        <x:v>28</x:v>
      </x:c>
      <x:c r="G747" s="17" t="n">
        <x:f>CHOOSE($B$3,G748,G749,G750)</x:f>
        <x:v>1.1</x:v>
      </x:c>
      <x:c r="H747" s="17" t="n">
        <x:f>CHOOSE($B$3,H748,H749,H750)</x:f>
        <x:v>0</x:v>
      </x:c>
      <x:c r="I747" s="17" t="n">
        <x:f>CHOOSE($B$3,I748,I749,I750)</x:f>
        <x:v>20.05</x:v>
      </x:c>
      <x:c r="J747" s="19" t="n">
        <x:f>CHOOSE($B$3,J748,J749,J750)</x:f>
        <x:v>0.1202768578553616</x:v>
      </x:c>
      <x:c r="K747" s="21" t="n">
        <x:f>CHOOSE($B$3,K748,K749,K750)</x:f>
        <x:v>1.920478579</x:v>
      </x:c>
      <x:c r="L747" s="15" t="str">
        <x:v>pharmaron-v1-segment-normal-profit-cashroll-CBchoice</x:v>
      </x:c>
      <x:c r="M747" s="15" t="str">
        <x:v>2026-12-31</x:v>
      </x:c>
      <x:c r="O747" t="str">
        <x:v>CNY</x:v>
      </x:c>
      <x:c r="V747" t="str">
        <x:v>2026-12-31</x:v>
      </x:c>
      <x:c r="W747" t="str">
        <x:v>待核</x:v>
      </x:c>
      <x:c r="X747" t="str">
        <x:v>周末已解析；节假日需交易所对应年度日历核验，实际交易日待核</x:v>
      </x:c>
    </x:row>
    <x:row r="748" ht="23" customHeight="1">
      <x:c r="A748" s="11" t="str">
        <x:v>03759.HK</x:v>
      </x:c>
      <x:c r="B748" s="11" t="str">
        <x:v>2026年底</x:v>
      </x:c>
      <x:c r="C748" s="11" t="str">
        <x:v>悲观</x:v>
      </x:c>
      <x:c r="D748" s="11" t="str">
        <x:v>收入利润率</x:v>
      </x:c>
      <x:c r="E748" s="18" t="n">
        <x:v>0.6480645161290323</x:v>
      </x:c>
      <x:c r="F748" s="18" t="n">
        <x:v>23</x:v>
      </x:c>
      <x:c r="G748" s="18" t="n">
        <x:v>1.1</x:v>
      </x:c>
      <x:c r="H748" s="18" t="n">
        <x:v>0</x:v>
      </x:c>
      <x:c r="I748" s="18" t="n">
        <x:v>17</x:v>
      </x:c>
      <x:c r="J748" s="20" t="n">
        <x:v>0.07090588235294118</x:v>
      </x:c>
      <x:c r="K748" s="22" t="n">
        <x:v>1.86</x:v>
      </x:c>
      <x:c r="L748" s="11" t="str">
        <x:v>pharmaron-v1-segment-normal-profit-cashroll-CBchoice</x:v>
      </x:c>
      <x:c r="M748" s="11" t="str">
        <x:v>2026-12-31</x:v>
      </x:c>
      <x:c r="O748" t="str">
        <x:v>CNY</x:v>
      </x:c>
      <x:c r="V748" t="str">
        <x:v>2026-12-31</x:v>
      </x:c>
      <x:c r="W748" t="str">
        <x:v>待核</x:v>
      </x:c>
      <x:c r="X748" t="str">
        <x:v>周末已解析；节假日需交易所对应年度日历核验，实际交易日待核</x:v>
      </x:c>
    </x:row>
    <x:row r="749" ht="23" customHeight="1">
      <x:c r="A749" s="11" t="str">
        <x:v>03759.HK</x:v>
      </x:c>
      <x:c r="B749" s="11" t="str">
        <x:v>2026年底</x:v>
      </x:c>
      <x:c r="C749" s="11" t="str">
        <x:v>基准</x:v>
      </x:c>
      <x:c r="D749" s="11" t="str">
        <x:v>收入利润率</x:v>
      </x:c>
      <x:c r="E749" s="18" t="n">
        <x:v>1.2557031493971171</x:v>
      </x:c>
      <x:c r="F749" s="18" t="n">
        <x:v>28</x:v>
      </x:c>
      <x:c r="G749" s="18" t="n">
        <x:v>1.1</x:v>
      </x:c>
      <x:c r="H749" s="18" t="n">
        <x:v>0</x:v>
      </x:c>
      <x:c r="I749" s="18" t="n">
        <x:v>20.05</x:v>
      </x:c>
      <x:c r="J749" s="20" t="n">
        <x:v>0.1202768578553616</x:v>
      </x:c>
      <x:c r="K749" s="22" t="n">
        <x:v>1.920478579</x:v>
      </x:c>
      <x:c r="L749" s="11" t="str">
        <x:v>pharmaron-v1-segment-normal-profit-cashroll-CBchoice</x:v>
      </x:c>
      <x:c r="M749" s="11" t="str">
        <x:v>2026-12-31</x:v>
      </x:c>
      <x:c r="O749" t="str">
        <x:v>CNY</x:v>
      </x:c>
      <x:c r="V749" t="str">
        <x:v>2026-12-31</x:v>
      </x:c>
      <x:c r="W749" t="str">
        <x:v>待核</x:v>
      </x:c>
      <x:c r="X749" t="str">
        <x:v>周末已解析；节假日需交易所对应年度日历核验，实际交易日待核</x:v>
      </x:c>
    </x:row>
    <x:row r="750" ht="23" customHeight="1">
      <x:c r="A750" s="11" t="str">
        <x:v>03759.HK</x:v>
      </x:c>
      <x:c r="B750" s="11" t="str">
        <x:v>2026年底</x:v>
      </x:c>
      <x:c r="C750" s="11" t="str">
        <x:v>乐观</x:v>
      </x:c>
      <x:c r="D750" s="11" t="str">
        <x:v>收入利润率</x:v>
      </x:c>
      <x:c r="E750" s="18" t="n">
        <x:v>1.7755990810246884</x:v>
      </x:c>
      <x:c r="F750" s="18" t="n">
        <x:v>33</x:v>
      </x:c>
      <x:c r="G750" s="18" t="n">
        <x:v>1.1</x:v>
      </x:c>
      <x:c r="H750" s="18" t="n">
        <x:v>0</x:v>
      </x:c>
      <x:c r="I750" s="18" t="n">
        <x:v>21.54</x:v>
      </x:c>
      <x:c r="J750" s="20" t="n">
        <x:v>0.1583101207056639</x:v>
      </x:c>
      <x:c r="K750" s="22" t="n">
        <x:v>1.920478579</x:v>
      </x:c>
      <x:c r="L750" s="11" t="str">
        <x:v>pharmaron-v1-segment-normal-profit-cashroll-CBchoice</x:v>
      </x:c>
      <x:c r="M750" s="11" t="str">
        <x:v>2026-12-31</x:v>
      </x:c>
      <x:c r="O750" t="str">
        <x:v>CNY</x:v>
      </x:c>
      <x:c r="V750" t="str">
        <x:v>2026-12-31</x:v>
      </x:c>
      <x:c r="W750" t="str">
        <x:v>待核</x:v>
      </x:c>
      <x:c r="X750" t="str">
        <x:v>周末已解析；节假日需交易所对应年度日历核验，实际交易日待核</x:v>
      </x:c>
    </x:row>
    <x:row r="751" ht="23" customHeight="1">
      <x:c r="A751" s="15" t="str">
        <x:v>03759.HK</x:v>
      </x:c>
      <x:c r="B751" s="15" t="str">
        <x:v>半年</x:v>
      </x:c>
      <x:c r="C751" s="15" t="str">
        <x:v>活动输入</x:v>
      </x:c>
      <x:c r="D751" s="15" t="str">
        <x:v>收入利润率</x:v>
      </x:c>
      <x:c r="E751" s="17" t="n">
        <x:f>CHOOSE($B$3,E752,E753,E754)</x:f>
        <x:v>1.2557031493971171</x:v>
      </x:c>
      <x:c r="F751" s="17" t="n">
        <x:f>CHOOSE($B$3,F752,F753,F754)</x:f>
        <x:v>30</x:v>
      </x:c>
      <x:c r="G751" s="17" t="n">
        <x:f>CHOOSE($B$3,G752,G753,G754)</x:f>
        <x:v>1.1</x:v>
      </x:c>
      <x:c r="H751" s="17" t="n">
        <x:f>CHOOSE($B$3,H752,H753,H754)</x:f>
        <x:v>0</x:v>
      </x:c>
      <x:c r="I751" s="17" t="n">
        <x:f>CHOOSE($B$3,I752,I753,I754)</x:f>
        <x:v>20.05</x:v>
      </x:c>
      <x:c r="J751" s="19" t="n">
        <x:f>CHOOSE($B$3,J752,J753,J754)</x:f>
        <x:v>0.1202768578553616</x:v>
      </x:c>
      <x:c r="K751" s="21" t="n">
        <x:f>CHOOSE($B$3,K752,K753,K754)</x:f>
        <x:v>1.920478579</x:v>
      </x:c>
      <x:c r="L751" s="15" t="str">
        <x:v>pharmaron-v1-segment-normal-profit-cashroll-CBchoice</x:v>
      </x:c>
      <x:c r="M751" s="15" t="str">
        <x:v>2027-04-09</x:v>
      </x:c>
      <x:c r="O751" t="str">
        <x:v>CNY</x:v>
      </x:c>
      <x:c r="V751" t="str">
        <x:v>2027-04-09</x:v>
      </x:c>
      <x:c r="W751" t="str">
        <x:v>待核</x:v>
      </x:c>
      <x:c r="X751" t="str">
        <x:v>周末已解析；节假日需交易所对应年度日历核验，实际交易日待核</x:v>
      </x:c>
    </x:row>
    <x:row r="752" ht="23" customHeight="1">
      <x:c r="A752" s="11" t="str">
        <x:v>03759.HK</x:v>
      </x:c>
      <x:c r="B752" s="11" t="str">
        <x:v>半年</x:v>
      </x:c>
      <x:c r="C752" s="11" t="str">
        <x:v>悲观</x:v>
      </x:c>
      <x:c r="D752" s="11" t="str">
        <x:v>收入利润率</x:v>
      </x:c>
      <x:c r="E752" s="18" t="n">
        <x:v>0.6480645161290323</x:v>
      </x:c>
      <x:c r="F752" s="18" t="n">
        <x:v>20</x:v>
      </x:c>
      <x:c r="G752" s="18" t="n">
        <x:v>1.1</x:v>
      </x:c>
      <x:c r="H752" s="18" t="n">
        <x:v>0</x:v>
      </x:c>
      <x:c r="I752" s="18" t="n">
        <x:v>17</x:v>
      </x:c>
      <x:c r="J752" s="20" t="n">
        <x:v>0.07090588235294118</x:v>
      </x:c>
      <x:c r="K752" s="22" t="n">
        <x:v>1.86</x:v>
      </x:c>
      <x:c r="L752" s="11" t="str">
        <x:v>pharmaron-v1-segment-normal-profit-cashroll-CBchoice</x:v>
      </x:c>
      <x:c r="M752" s="11" t="str">
        <x:v>2027-04-09</x:v>
      </x:c>
      <x:c r="O752" t="str">
        <x:v>CNY</x:v>
      </x:c>
      <x:c r="V752" t="str">
        <x:v>2027-04-09</x:v>
      </x:c>
      <x:c r="W752" t="str">
        <x:v>待核</x:v>
      </x:c>
      <x:c r="X752" t="str">
        <x:v>周末已解析；节假日需交易所对应年度日历核验，实际交易日待核</x:v>
      </x:c>
    </x:row>
    <x:row r="753" ht="23" customHeight="1">
      <x:c r="A753" s="11" t="str">
        <x:v>03759.HK</x:v>
      </x:c>
      <x:c r="B753" s="11" t="str">
        <x:v>半年</x:v>
      </x:c>
      <x:c r="C753" s="11" t="str">
        <x:v>基准</x:v>
      </x:c>
      <x:c r="D753" s="11" t="str">
        <x:v>收入利润率</x:v>
      </x:c>
      <x:c r="E753" s="18" t="n">
        <x:v>1.2557031493971171</x:v>
      </x:c>
      <x:c r="F753" s="18" t="n">
        <x:v>30</x:v>
      </x:c>
      <x:c r="G753" s="18" t="n">
        <x:v>1.1</x:v>
      </x:c>
      <x:c r="H753" s="18" t="n">
        <x:v>0</x:v>
      </x:c>
      <x:c r="I753" s="18" t="n">
        <x:v>20.05</x:v>
      </x:c>
      <x:c r="J753" s="20" t="n">
        <x:v>0.1202768578553616</x:v>
      </x:c>
      <x:c r="K753" s="22" t="n">
        <x:v>1.920478579</x:v>
      </x:c>
      <x:c r="L753" s="11" t="str">
        <x:v>pharmaron-v1-segment-normal-profit-cashroll-CBchoice</x:v>
      </x:c>
      <x:c r="M753" s="11" t="str">
        <x:v>2027-04-09</x:v>
      </x:c>
      <x:c r="O753" t="str">
        <x:v>CNY</x:v>
      </x:c>
      <x:c r="V753" t="str">
        <x:v>2027-04-09</x:v>
      </x:c>
      <x:c r="W753" t="str">
        <x:v>待核</x:v>
      </x:c>
      <x:c r="X753" t="str">
        <x:v>周末已解析；节假日需交易所对应年度日历核验，实际交易日待核</x:v>
      </x:c>
    </x:row>
    <x:row r="754" ht="23" customHeight="1">
      <x:c r="A754" s="11" t="str">
        <x:v>03759.HK</x:v>
      </x:c>
      <x:c r="B754" s="11" t="str">
        <x:v>半年</x:v>
      </x:c>
      <x:c r="C754" s="11" t="str">
        <x:v>乐观</x:v>
      </x:c>
      <x:c r="D754" s="11" t="str">
        <x:v>收入利润率</x:v>
      </x:c>
      <x:c r="E754" s="18" t="n">
        <x:v>1.7755990810246884</x:v>
      </x:c>
      <x:c r="F754" s="18" t="n">
        <x:v>36</x:v>
      </x:c>
      <x:c r="G754" s="18" t="n">
        <x:v>1.1</x:v>
      </x:c>
      <x:c r="H754" s="18" t="n">
        <x:v>0</x:v>
      </x:c>
      <x:c r="I754" s="18" t="n">
        <x:v>21.54</x:v>
      </x:c>
      <x:c r="J754" s="20" t="n">
        <x:v>0.1583101207056639</x:v>
      </x:c>
      <x:c r="K754" s="22" t="n">
        <x:v>1.920478579</x:v>
      </x:c>
      <x:c r="L754" s="11" t="str">
        <x:v>pharmaron-v1-segment-normal-profit-cashroll-CBchoice</x:v>
      </x:c>
      <x:c r="M754" s="11" t="str">
        <x:v>2027-04-09</x:v>
      </x:c>
      <x:c r="O754" t="str">
        <x:v>CNY</x:v>
      </x:c>
      <x:c r="V754" t="str">
        <x:v>2027-04-09</x:v>
      </x:c>
      <x:c r="W754" t="str">
        <x:v>待核</x:v>
      </x:c>
      <x:c r="X754" t="str">
        <x:v>周末已解析；节假日需交易所对应年度日历核验，实际交易日待核</x:v>
      </x:c>
    </x:row>
    <x:row r="755" ht="23" customHeight="1">
      <x:c r="A755" s="15" t="str">
        <x:v>03759.HK</x:v>
      </x:c>
      <x:c r="B755" s="15" t="str">
        <x:v>一年</x:v>
      </x:c>
      <x:c r="C755" s="15" t="str">
        <x:v>活动输入</x:v>
      </x:c>
      <x:c r="D755" s="15" t="str">
        <x:v>收入利润率</x:v>
      </x:c>
      <x:c r="E755" s="17" t="n">
        <x:f>CHOOSE($B$3,E756,E757,E758)</x:f>
        <x:v>1.6025586816892379</x:v>
      </x:c>
      <x:c r="F755" s="17" t="n">
        <x:f>CHOOSE($B$3,F756,F757,F758)</x:f>
        <x:v>29</x:v>
      </x:c>
      <x:c r="G755" s="17" t="n">
        <x:f>CHOOSE($B$3,G756,G757,G758)</x:f>
        <x:v>1.1</x:v>
      </x:c>
      <x:c r="H755" s="17" t="n">
        <x:f>CHOOSE($B$3,H756,H757,H758)</x:f>
        <x:v>0.264</x:v>
      </x:c>
      <x:c r="I755" s="17" t="n">
        <x:f>CHOOSE($B$3,I756,I757,I758)</x:f>
        <x:v>23.470000000000002</x:v>
      </x:c>
      <x:c r="J755" s="19" t="n">
        <x:f>CHOOSE($B$3,J756,J757,J758)</x:f>
        <x:v>0.13215671069450358</x:v>
      </x:c>
      <x:c r="K755" s="21" t="n">
        <x:f>CHOOSE($B$3,K756,K757,K758)</x:f>
        <x:v>1.935478579</x:v>
      </x:c>
      <x:c r="L755" s="15" t="str">
        <x:v>pharmaron-v1-segment-normal-profit-cashroll-CBchoice</x:v>
      </x:c>
      <x:c r="M755" s="15" t="str">
        <x:v>2027-10-09</x:v>
      </x:c>
      <x:c r="O755" t="str">
        <x:v>CNY</x:v>
      </x:c>
      <x:c r="V755" t="str">
        <x:v>2027-10-08</x:v>
      </x:c>
      <x:c r="W755" t="str">
        <x:v>待核</x:v>
      </x:c>
      <x:c r="X755" t="str">
        <x:v>周末已解析；节假日需交易所对应年度日历核验，实际交易日待核</x:v>
      </x:c>
    </x:row>
    <x:row r="756" ht="23" customHeight="1">
      <x:c r="A756" s="11" t="str">
        <x:v>03759.HK</x:v>
      </x:c>
      <x:c r="B756" s="11" t="str">
        <x:v>一年</x:v>
      </x:c>
      <x:c r="C756" s="11" t="str">
        <x:v>悲观</x:v>
      </x:c>
      <x:c r="D756" s="11" t="str">
        <x:v>收入利润率</x:v>
      </x:c>
      <x:c r="E756" s="18" t="n">
        <x:v>0.6974210526315789</x:v>
      </x:c>
      <x:c r="F756" s="18" t="n">
        <x:v>18</x:v>
      </x:c>
      <x:c r="G756" s="18" t="n">
        <x:v>1.1</x:v>
      </x:c>
      <x:c r="H756" s="18" t="n">
        <x:v>0.132</x:v>
      </x:c>
      <x:c r="I756" s="18" t="n">
        <x:v>18.080000000000002</x:v>
      </x:c>
      <x:c r="J756" s="20" t="n">
        <x:v>0.07329092920353981</x:v>
      </x:c>
      <x:c r="K756" s="22" t="n">
        <x:v>1.9</x:v>
      </x:c>
      <x:c r="L756" s="11" t="str">
        <x:v>pharmaron-v1-segment-normal-profit-cashroll-CBchoice</x:v>
      </x:c>
      <x:c r="M756" s="11" t="str">
        <x:v>2027-10-09</x:v>
      </x:c>
      <x:c r="O756" t="str">
        <x:v>CNY</x:v>
      </x:c>
      <x:c r="V756" t="str">
        <x:v>2027-10-08</x:v>
      </x:c>
      <x:c r="W756" t="str">
        <x:v>待核</x:v>
      </x:c>
      <x:c r="X756" t="str">
        <x:v>周末已解析；节假日需交易所对应年度日历核验，实际交易日待核</x:v>
      </x:c>
    </x:row>
    <x:row r="757" ht="23" customHeight="1">
      <x:c r="A757" s="11" t="str">
        <x:v>03759.HK</x:v>
      </x:c>
      <x:c r="B757" s="11" t="str">
        <x:v>一年</x:v>
      </x:c>
      <x:c r="C757" s="11" t="str">
        <x:v>基准</x:v>
      </x:c>
      <x:c r="D757" s="11" t="str">
        <x:v>收入利润率</x:v>
      </x:c>
      <x:c r="E757" s="18" t="n">
        <x:v>1.6025586816892379</x:v>
      </x:c>
      <x:c r="F757" s="18" t="n">
        <x:v>29</x:v>
      </x:c>
      <x:c r="G757" s="18" t="n">
        <x:v>1.1</x:v>
      </x:c>
      <x:c r="H757" s="18" t="n">
        <x:v>0.264</x:v>
      </x:c>
      <x:c r="I757" s="18" t="n">
        <x:v>23.470000000000002</x:v>
      </x:c>
      <x:c r="J757" s="20" t="n">
        <x:v>0.13215671069450358</x:v>
      </x:c>
      <x:c r="K757" s="22" t="n">
        <x:v>1.935478579</x:v>
      </x:c>
      <x:c r="L757" s="11" t="str">
        <x:v>pharmaron-v1-segment-normal-profit-cashroll-CBchoice</x:v>
      </x:c>
      <x:c r="M757" s="11" t="str">
        <x:v>2027-10-09</x:v>
      </x:c>
      <x:c r="O757" t="str">
        <x:v>CNY</x:v>
      </x:c>
      <x:c r="V757" t="str">
        <x:v>2027-10-08</x:v>
      </x:c>
      <x:c r="W757" t="str">
        <x:v>待核</x:v>
      </x:c>
      <x:c r="X757" t="str">
        <x:v>周末已解析；节假日需交易所对应年度日历核验，实际交易日待核</x:v>
      </x:c>
    </x:row>
    <x:row r="758" ht="23" customHeight="1">
      <x:c r="A758" s="11" t="str">
        <x:v>03759.HK</x:v>
      </x:c>
      <x:c r="B758" s="11" t="str">
        <x:v>一年</x:v>
      </x:c>
      <x:c r="C758" s="11" t="str">
        <x:v>乐观</x:v>
      </x:c>
      <x:c r="D758" s="11" t="str">
        <x:v>收入利润率</x:v>
      </x:c>
      <x:c r="E758" s="18" t="n">
        <x:v>2.5104281973042704</x:v>
      </x:c>
      <x:c r="F758" s="18" t="n">
        <x:v>35</x:v>
      </x:c>
      <x:c r="G758" s="18" t="n">
        <x:v>1.1</x:v>
      </x:c>
      <x:c r="H758" s="18" t="n">
        <x:v>0.30800000000000005</x:v>
      </x:c>
      <x:c r="I758" s="18" t="n">
        <x:v>26.94</x:v>
      </x:c>
      <x:c r="J758" s="20" t="n">
        <x:v>0.18035931700074243</x:v>
      </x:c>
      <x:c r="K758" s="22" t="n">
        <x:v>1.935478579</x:v>
      </x:c>
      <x:c r="L758" s="11" t="str">
        <x:v>pharmaron-v1-segment-normal-profit-cashroll-CBchoice</x:v>
      </x:c>
      <x:c r="M758" s="11" t="str">
        <x:v>2027-10-09</x:v>
      </x:c>
      <x:c r="O758" t="str">
        <x:v>CNY</x:v>
      </x:c>
      <x:c r="V758" t="str">
        <x:v>2027-10-08</x:v>
      </x:c>
      <x:c r="W758" t="str">
        <x:v>待核</x:v>
      </x:c>
      <x:c r="X758" t="str">
        <x:v>周末已解析；节假日需交易所对应年度日历核验，实际交易日待核</x:v>
      </x:c>
    </x:row>
    <x:row r="759" ht="23" customHeight="1">
      <x:c r="A759" s="15" t="str">
        <x:v>03759.HK</x:v>
      </x:c>
      <x:c r="B759" s="15" t="str">
        <x:v>三年</x:v>
      </x:c>
      <x:c r="C759" s="15" t="str">
        <x:v>活动输入</x:v>
      </x:c>
      <x:c r="D759" s="15" t="str">
        <x:v>收入利润率</x:v>
      </x:c>
      <x:c r="E759" s="17" t="n">
        <x:f>CHOOSE($B$3,E760,E761,E762)</x:f>
        <x:v>1.9773311235119189</x:v>
      </x:c>
      <x:c r="F759" s="17" t="n">
        <x:f>CHOOSE($B$3,F760,F761,F762)</x:f>
        <x:v>27</x:v>
      </x:c>
      <x:c r="G759" s="17" t="n">
        <x:f>CHOOSE($B$3,G760,G761,G762)</x:f>
        <x:v>1.1</x:v>
      </x:c>
      <x:c r="H759" s="17" t="n">
        <x:f>CHOOSE($B$3,H760,H761,H762)</x:f>
        <x:v>1.078</x:v>
      </x:c>
      <x:c r="I759" s="17" t="n">
        <x:f>CHOOSE($B$3,I760,I761,I762)</x:f>
        <x:v>27.16</x:v>
      </x:c>
      <x:c r="J759" s="19" t="n">
        <x:f>CHOOSE($B$3,J760,J761,J762)</x:f>
        <x:v>0.14200081001472756</x:v>
      </x:c>
      <x:c r="K759" s="21" t="n">
        <x:f>CHOOSE($B$3,K760,K761,K762)</x:f>
        <x:v>1.9504785789999999</x:v>
      </x:c>
      <x:c r="L759" s="15" t="str">
        <x:v>pharmaron-v1-segment-normal-profit-cashroll-CBchoice</x:v>
      </x:c>
      <x:c r="M759" s="15" t="str">
        <x:v>2029-10-09</x:v>
      </x:c>
      <x:c r="O759" t="str">
        <x:v>CNY</x:v>
      </x:c>
      <x:c r="V759" t="str">
        <x:v>2029-10-09</x:v>
      </x:c>
      <x:c r="W759" t="str">
        <x:v>待核</x:v>
      </x:c>
      <x:c r="X759" t="str">
        <x:v>周末已解析；节假日需交易所对应年度日历核验，实际交易日待核</x:v>
      </x:c>
    </x:row>
    <x:row r="760" ht="23" customHeight="1">
      <x:c r="A760" s="11" t="str">
        <x:v>03759.HK</x:v>
      </x:c>
      <x:c r="B760" s="11" t="str">
        <x:v>三年</x:v>
      </x:c>
      <x:c r="C760" s="11" t="str">
        <x:v>悲观</x:v>
      </x:c>
      <x:c r="D760" s="11" t="str">
        <x:v>收入利润率</x:v>
      </x:c>
      <x:c r="E760" s="18" t="n">
        <x:v>0.7740000000000001</x:v>
      </x:c>
      <x:c r="F760" s="18" t="n">
        <x:v>17</x:v>
      </x:c>
      <x:c r="G760" s="18" t="n">
        <x:v>1.1</x:v>
      </x:c>
      <x:c r="H760" s="18" t="n">
        <x:v>0.35200000000000004</x:v>
      </x:c>
      <x:c r="I760" s="18" t="n">
        <x:v>19.36</x:v>
      </x:c>
      <x:c r="J760" s="20" t="n">
        <x:v>0.07795971074380167</x:v>
      </x:c>
      <x:c r="K760" s="22" t="n">
        <x:v>1.95</x:v>
      </x:c>
      <x:c r="L760" s="11" t="str">
        <x:v>pharmaron-v1-segment-normal-profit-cashroll-CBchoice</x:v>
      </x:c>
      <x:c r="M760" s="11" t="str">
        <x:v>2029-10-09</x:v>
      </x:c>
      <x:c r="O760" t="str">
        <x:v>CNY</x:v>
      </x:c>
      <x:c r="V760" t="str">
        <x:v>2029-10-09</x:v>
      </x:c>
      <x:c r="W760" t="str">
        <x:v>待核</x:v>
      </x:c>
      <x:c r="X760" t="str">
        <x:v>周末已解析；节假日需交易所对应年度日历核验，实际交易日待核</x:v>
      </x:c>
    </x:row>
    <x:row r="761" ht="23" customHeight="1">
      <x:c r="A761" s="11" t="str">
        <x:v>03759.HK</x:v>
      </x:c>
      <x:c r="B761" s="11" t="str">
        <x:v>三年</x:v>
      </x:c>
      <x:c r="C761" s="11" t="str">
        <x:v>基准</x:v>
      </x:c>
      <x:c r="D761" s="11" t="str">
        <x:v>收入利润率</x:v>
      </x:c>
      <x:c r="E761" s="18" t="n">
        <x:v>1.9773311235119189</x:v>
      </x:c>
      <x:c r="F761" s="18" t="n">
        <x:v>27</x:v>
      </x:c>
      <x:c r="G761" s="18" t="n">
        <x:v>1.1</x:v>
      </x:c>
      <x:c r="H761" s="18" t="n">
        <x:v>1.078</x:v>
      </x:c>
      <x:c r="I761" s="18" t="n">
        <x:v>27.16</x:v>
      </x:c>
      <x:c r="J761" s="20" t="n">
        <x:v>0.14200081001472756</x:v>
      </x:c>
      <x:c r="K761" s="22" t="n">
        <x:v>1.9504785789999999</x:v>
      </x:c>
      <x:c r="L761" s="11" t="str">
        <x:v>pharmaron-v1-segment-normal-profit-cashroll-CBchoice</x:v>
      </x:c>
      <x:c r="M761" s="11" t="str">
        <x:v>2029-10-09</x:v>
      </x:c>
      <x:c r="O761" t="str">
        <x:v>CNY</x:v>
      </x:c>
      <x:c r="V761" t="str">
        <x:v>2029-10-09</x:v>
      </x:c>
      <x:c r="W761" t="str">
        <x:v>待核</x:v>
      </x:c>
      <x:c r="X761" t="str">
        <x:v>周末已解析；节假日需交易所对应年度日历核验，实际交易日待核</x:v>
      </x:c>
    </x:row>
    <x:row r="762" ht="23" customHeight="1">
      <x:c r="A762" s="11" t="str">
        <x:v>03759.HK</x:v>
      </x:c>
      <x:c r="B762" s="11" t="str">
        <x:v>三年</x:v>
      </x:c>
      <x:c r="C762" s="11" t="str">
        <x:v>乐观</x:v>
      </x:c>
      <x:c r="D762" s="11" t="str">
        <x:v>收入利润率</x:v>
      </x:c>
      <x:c r="E762" s="18" t="n">
        <x:v>3.304624859456097</x:v>
      </x:c>
      <x:c r="F762" s="18" t="n">
        <x:v>33</x:v>
      </x:c>
      <x:c r="G762" s="18" t="n">
        <x:v>1.1</x:v>
      </x:c>
      <x:c r="H762" s="18" t="n">
        <x:v>1.496</x:v>
      </x:c>
      <x:c r="I762" s="18" t="n">
        <x:v>33.120000000000005</x:v>
      </x:c>
      <x:c r="J762" s="20" t="n">
        <x:v>0.19461352657004835</x:v>
      </x:c>
      <x:c r="K762" s="22" t="n">
        <x:v>1.9504785789999999</x:v>
      </x:c>
      <x:c r="L762" s="11" t="str">
        <x:v>pharmaron-v1-segment-normal-profit-cashroll-CBchoice</x:v>
      </x:c>
      <x:c r="M762" s="11" t="str">
        <x:v>2029-10-09</x:v>
      </x:c>
      <x:c r="O762" t="str">
        <x:v>CNY</x:v>
      </x:c>
      <x:c r="V762" t="str">
        <x:v>2029-10-09</x:v>
      </x:c>
      <x:c r="W762" t="str">
        <x:v>待核</x:v>
      </x:c>
      <x:c r="X762" t="str">
        <x:v>周末已解析；节假日需交易所对应年度日历核验，实际交易日待核</x:v>
      </x:c>
    </x:row>
    <x:row r="763" ht="23" customHeight="1">
      <x:c r="A763" s="15" t="str">
        <x:v>03759.HK</x:v>
      </x:c>
      <x:c r="B763" s="15" t="str">
        <x:v>五年</x:v>
      </x:c>
      <x:c r="C763" s="15" t="str">
        <x:v>活动输入</x:v>
      </x:c>
      <x:c r="D763" s="15" t="str">
        <x:v>收入利润率</x:v>
      </x:c>
      <x:c r="E763" s="17" t="n">
        <x:f>CHOOSE($B$3,E764,E765,E766)</x:f>
        <x:v>2.6790857807101784</x:v>
      </x:c>
      <x:c r="F763" s="17" t="n">
        <x:f>CHOOSE($B$3,F764,F765,F766)</x:f>
        <x:v>24</x:v>
      </x:c>
      <x:c r="G763" s="17" t="n">
        <x:f>CHOOSE($B$3,G764,G765,G766)</x:f>
        <x:v>1.1</x:v>
      </x:c>
      <x:c r="H763" s="17" t="n">
        <x:f>CHOOSE($B$3,H764,H765,H766)</x:f>
        <x:v>2.3540000000000005</x:v>
      </x:c>
      <x:c r="I763" s="17" t="n">
        <x:f>CHOOSE($B$3,I764,I765,I766)</x:f>
        <x:v>34.81</x:v>
      </x:c>
      <x:c r="J763" s="19" t="n">
        <x:f>CHOOSE($B$3,J764,J765,J766)</x:f>
        <x:v>0.15242378626831368</x:v>
      </x:c>
      <x:c r="K763" s="21" t="n">
        <x:f>CHOOSE($B$3,K764,K765,K766)</x:f>
        <x:v>1.980478579</x:v>
      </x:c>
      <x:c r="L763" s="15" t="str">
        <x:v>pharmaron-v1-segment-normal-profit-cashroll-CBchoice</x:v>
      </x:c>
      <x:c r="M763" s="15" t="str">
        <x:v>2031-10-09</x:v>
      </x:c>
      <x:c r="O763" t="str">
        <x:v>CNY</x:v>
      </x:c>
      <x:c r="V763" t="str">
        <x:v>2031-10-09</x:v>
      </x:c>
      <x:c r="W763" t="str">
        <x:v>待核</x:v>
      </x:c>
      <x:c r="X763" t="str">
        <x:v>周末已解析；节假日需交易所对应年度日历核验，实际交易日待核</x:v>
      </x:c>
    </x:row>
    <x:row r="764" ht="23" customHeight="1">
      <x:c r="A764" s="11" t="str">
        <x:v>03759.HK</x:v>
      </x:c>
      <x:c r="B764" s="11" t="str">
        <x:v>五年</x:v>
      </x:c>
      <x:c r="C764" s="11" t="str">
        <x:v>悲观</x:v>
      </x:c>
      <x:c r="D764" s="11" t="str">
        <x:v>收入利润率</x:v>
      </x:c>
      <x:c r="E764" s="18" t="n">
        <x:v>0.8897560975609755</x:v>
      </x:c>
      <x:c r="F764" s="18" t="n">
        <x:v>15</x:v>
      </x:c>
      <x:c r="G764" s="18" t="n">
        <x:v>1.1</x:v>
      </x:c>
      <x:c r="H764" s="18" t="n">
        <x:v>0.6380000000000001</x:v>
      </x:c>
      <x:c r="I764" s="18" t="n">
        <x:v>21.92</x:v>
      </x:c>
      <x:c r="J764" s="20" t="n">
        <x:v>0.08321167883211676</x:v>
      </x:c>
      <x:c r="K764" s="22" t="n">
        <x:v>2.05</x:v>
      </x:c>
      <x:c r="L764" s="11" t="str">
        <x:v>pharmaron-v1-segment-normal-profit-cashroll-CBchoice</x:v>
      </x:c>
      <x:c r="M764" s="11" t="str">
        <x:v>2031-10-09</x:v>
      </x:c>
      <x:c r="O764" t="str">
        <x:v>CNY</x:v>
      </x:c>
      <x:c r="V764" t="str">
        <x:v>2031-10-09</x:v>
      </x:c>
      <x:c r="W764" t="str">
        <x:v>待核</x:v>
      </x:c>
      <x:c r="X764" t="str">
        <x:v>周末已解析；节假日需交易所对应年度日历核验，实际交易日待核</x:v>
      </x:c>
    </x:row>
    <x:row r="765" ht="23" customHeight="1">
      <x:c r="A765" s="11" t="str">
        <x:v>03759.HK</x:v>
      </x:c>
      <x:c r="B765" s="11" t="str">
        <x:v>五年</x:v>
      </x:c>
      <x:c r="C765" s="11" t="str">
        <x:v>基准</x:v>
      </x:c>
      <x:c r="D765" s="11" t="str">
        <x:v>收入利润率</x:v>
      </x:c>
      <x:c r="E765" s="18" t="n">
        <x:v>2.6790857807101784</x:v>
      </x:c>
      <x:c r="F765" s="18" t="n">
        <x:v>24</x:v>
      </x:c>
      <x:c r="G765" s="18" t="n">
        <x:v>1.1</x:v>
      </x:c>
      <x:c r="H765" s="18" t="n">
        <x:v>2.3540000000000005</x:v>
      </x:c>
      <x:c r="I765" s="18" t="n">
        <x:v>34.81</x:v>
      </x:c>
      <x:c r="J765" s="20" t="n">
        <x:v>0.15242378626831368</x:v>
      </x:c>
      <x:c r="K765" s="22" t="n">
        <x:v>1.980478579</x:v>
      </x:c>
      <x:c r="L765" s="11" t="str">
        <x:v>pharmaron-v1-segment-normal-profit-cashroll-CBchoice</x:v>
      </x:c>
      <x:c r="M765" s="11" t="str">
        <x:v>2031-10-09</x:v>
      </x:c>
      <x:c r="O765" t="str">
        <x:v>CNY</x:v>
      </x:c>
      <x:c r="V765" t="str">
        <x:v>2031-10-09</x:v>
      </x:c>
      <x:c r="W765" t="str">
        <x:v>待核</x:v>
      </x:c>
      <x:c r="X765" t="str">
        <x:v>周末已解析；节假日需交易所对应年度日历核验，实际交易日待核</x:v>
      </x:c>
    </x:row>
    <x:row r="766" ht="23" customHeight="1">
      <x:c r="A766" s="11" t="str">
        <x:v>03759.HK</x:v>
      </x:c>
      <x:c r="B766" s="11" t="str">
        <x:v>五年</x:v>
      </x:c>
      <x:c r="C766" s="11" t="str">
        <x:v>乐观</x:v>
      </x:c>
      <x:c r="D766" s="11" t="str">
        <x:v>收入利润率</x:v>
      </x:c>
      <x:c r="E766" s="18" t="n">
        <x:v>4.994267600205132</x:v>
      </x:c>
      <x:c r="F766" s="18" t="n">
        <x:v>30</x:v>
      </x:c>
      <x:c r="G766" s="18" t="n">
        <x:v>1.1</x:v>
      </x:c>
      <x:c r="H766" s="18" t="n">
        <x:v>3.729</x:v>
      </x:c>
      <x:c r="I766" s="18" t="n">
        <x:v>47.30000000000001</x:v>
      </x:c>
      <x:c r="J766" s="20" t="n">
        <x:v>0.20911289640591957</x:v>
      </x:c>
      <x:c r="K766" s="22" t="n">
        <x:v>1.980478579</x:v>
      </x:c>
      <x:c r="L766" s="11" t="str">
        <x:v>pharmaron-v1-segment-normal-profit-cashroll-CBchoice</x:v>
      </x:c>
      <x:c r="M766" s="11" t="str">
        <x:v>2031-10-09</x:v>
      </x:c>
      <x:c r="O766" t="str">
        <x:v>CNY</x:v>
      </x:c>
      <x:c r="V766" t="str">
        <x:v>2031-10-09</x:v>
      </x:c>
      <x:c r="W766" t="str">
        <x:v>待核</x:v>
      </x:c>
      <x:c r="X766" t="str">
        <x:v>周末已解析；节假日需交易所对应年度日历核验，实际交易日待核</x:v>
      </x:c>
    </x:row>
    <x:row r="767" ht="23" customHeight="1">
      <x:c r="A767" s="15" t="str">
        <x:v>09992.HK</x:v>
      </x:c>
      <x:c r="B767" s="15" t="str">
        <x:v>2026年底</x:v>
      </x:c>
      <x:c r="C767" s="15" t="str">
        <x:v>活动输入</x:v>
      </x:c>
      <x:c r="D767" s="15" t="str">
        <x:v>EPS</x:v>
      </x:c>
      <x:c r="E767" s="17" t="n">
        <x:f>CHOOSE($B$3,E768,E769,E770)</x:f>
        <x:v>7.696</x:v>
      </x:c>
      <x:c r="F767" s="17" t="n">
        <x:f>CHOOSE($B$3,F768,F769,F770)</x:f>
        <x:v>20</x:v>
      </x:c>
      <x:c r="G767" s="17" t="n">
        <x:f>CHOOSE($B$3,G768,G769,G770)</x:f>
        <x:v>1.1</x:v>
      </x:c>
      <x:c r="H767" s="17" t="n">
        <x:f>CHOOSE($B$3,H768,H769,H770)</x:f>
        <x:v>0</x:v>
      </x:c>
      <x:c r="I767" s="17" t="str">
        <x:f>CHOOSE($B$3,I768,I769,I770)</x:f>
      </x:c>
      <x:c r="J767" s="19" t="str">
        <x:f>CHOOSE($B$3,J768,J769,J770)</x:f>
      </x:c>
      <x:c r="K767" s="21" t="str">
        <x:f>CHOOSE($B$3,K768,K769,K770)</x:f>
      </x:c>
      <x:c r="L767" s="15" t="str">
        <x:v>popmart-normalized-geography-v1.0</x:v>
      </x:c>
      <x:c r="M767" s="15" t="str">
        <x:v>2026-12-31</x:v>
      </x:c>
      <x:c r="O767" t="str">
        <x:v>CNY</x:v>
      </x:c>
      <x:c r="V767" t="str">
        <x:v>2026-12-31</x:v>
      </x:c>
      <x:c r="W767" t="str">
        <x:v>待核</x:v>
      </x:c>
      <x:c r="X767" t="str">
        <x:v>周末已解析；节假日需交易所对应年度日历核验，实际交易日待核</x:v>
      </x:c>
    </x:row>
    <x:row r="768" ht="23" customHeight="1">
      <x:c r="A768" s="11" t="str">
        <x:v>09992.HK</x:v>
      </x:c>
      <x:c r="B768" s="11" t="str">
        <x:v>2026年底</x:v>
      </x:c>
      <x:c r="C768" s="11" t="str">
        <x:v>悲观</x:v>
      </x:c>
      <x:c r="D768" s="11" t="str">
        <x:v>EPS</x:v>
      </x:c>
      <x:c r="E768" s="18" t="n">
        <x:v>4.644</x:v>
      </x:c>
      <x:c r="F768" s="18" t="n">
        <x:v>14</x:v>
      </x:c>
      <x:c r="G768" s="18" t="n">
        <x:v>1.1</x:v>
      </x:c>
      <x:c r="H768" s="18" t="n">
        <x:v>0</x:v>
      </x:c>
      <x:c r="I768" s="18"/>
      <x:c r="J768" s="20"/>
      <x:c r="K768" s="22"/>
      <x:c r="L768" s="11" t="str">
        <x:v>popmart-normalized-geography-v1.0</x:v>
      </x:c>
      <x:c r="M768" s="11" t="str">
        <x:v>2026-12-31</x:v>
      </x:c>
      <x:c r="O768" t="str">
        <x:v>CNY</x:v>
      </x:c>
      <x:c r="V768" t="str">
        <x:v>2026-12-31</x:v>
      </x:c>
      <x:c r="W768" t="str">
        <x:v>待核</x:v>
      </x:c>
      <x:c r="X768" t="str">
        <x:v>周末已解析；节假日需交易所对应年度日历核验，实际交易日待核</x:v>
      </x:c>
    </x:row>
    <x:row r="769" ht="23" customHeight="1">
      <x:c r="A769" s="11" t="str">
        <x:v>09992.HK</x:v>
      </x:c>
      <x:c r="B769" s="11" t="str">
        <x:v>2026年底</x:v>
      </x:c>
      <x:c r="C769" s="11" t="str">
        <x:v>基准</x:v>
      </x:c>
      <x:c r="D769" s="11" t="str">
        <x:v>EPS</x:v>
      </x:c>
      <x:c r="E769" s="18" t="n">
        <x:v>7.696</x:v>
      </x:c>
      <x:c r="F769" s="18" t="n">
        <x:v>20</x:v>
      </x:c>
      <x:c r="G769" s="18" t="n">
        <x:v>1.1</x:v>
      </x:c>
      <x:c r="H769" s="18" t="n">
        <x:v>0</x:v>
      </x:c>
      <x:c r="I769" s="18"/>
      <x:c r="J769" s="20"/>
      <x:c r="K769" s="22"/>
      <x:c r="L769" s="11" t="str">
        <x:v>popmart-normalized-geography-v1.0</x:v>
      </x:c>
      <x:c r="M769" s="11" t="str">
        <x:v>2026-12-31</x:v>
      </x:c>
      <x:c r="O769" t="str">
        <x:v>CNY</x:v>
      </x:c>
      <x:c r="V769" t="str">
        <x:v>2026-12-31</x:v>
      </x:c>
      <x:c r="W769" t="str">
        <x:v>待核</x:v>
      </x:c>
      <x:c r="X769" t="str">
        <x:v>周末已解析；节假日需交易所对应年度日历核验，实际交易日待核</x:v>
      </x:c>
    </x:row>
    <x:row r="770" ht="23" customHeight="1">
      <x:c r="A770" s="11" t="str">
        <x:v>09992.HK</x:v>
      </x:c>
      <x:c r="B770" s="11" t="str">
        <x:v>2026年底</x:v>
      </x:c>
      <x:c r="C770" s="11" t="str">
        <x:v>乐观</x:v>
      </x:c>
      <x:c r="D770" s="11" t="str">
        <x:v>EPS</x:v>
      </x:c>
      <x:c r="E770" s="18" t="n">
        <x:v>10.149</x:v>
      </x:c>
      <x:c r="F770" s="18" t="n">
        <x:v>27</x:v>
      </x:c>
      <x:c r="G770" s="18" t="n">
        <x:v>1.1</x:v>
      </x:c>
      <x:c r="H770" s="18" t="n">
        <x:v>0</x:v>
      </x:c>
      <x:c r="I770" s="18"/>
      <x:c r="J770" s="20"/>
      <x:c r="K770" s="22"/>
      <x:c r="L770" s="11" t="str">
        <x:v>popmart-normalized-geography-v1.0</x:v>
      </x:c>
      <x:c r="M770" s="11" t="str">
        <x:v>2026-12-31</x:v>
      </x:c>
      <x:c r="O770" t="str">
        <x:v>CNY</x:v>
      </x:c>
      <x:c r="V770" t="str">
        <x:v>2026-12-31</x:v>
      </x:c>
      <x:c r="W770" t="str">
        <x:v>待核</x:v>
      </x:c>
      <x:c r="X770" t="str">
        <x:v>周末已解析；节假日需交易所对应年度日历核验，实际交易日待核</x:v>
      </x:c>
    </x:row>
    <x:row r="771" ht="23" customHeight="1">
      <x:c r="A771" s="15" t="str">
        <x:v>09992.HK</x:v>
      </x:c>
      <x:c r="B771" s="15" t="str">
        <x:v>半年</x:v>
      </x:c>
      <x:c r="C771" s="15" t="str">
        <x:v>活动输入</x:v>
      </x:c>
      <x:c r="D771" s="15" t="str">
        <x:v>EPS</x:v>
      </x:c>
      <x:c r="E771" s="17" t="n">
        <x:f>CHOOSE($B$3,E772,E773,E774)</x:f>
        <x:v>8.479</x:v>
      </x:c>
      <x:c r="F771" s="17" t="n">
        <x:f>CHOOSE($B$3,F772,F773,F774)</x:f>
        <x:v>21</x:v>
      </x:c>
      <x:c r="G771" s="17" t="n">
        <x:f>CHOOSE($B$3,G772,G773,G774)</x:f>
        <x:v>1.1</x:v>
      </x:c>
      <x:c r="H771" s="17" t="n">
        <x:f>CHOOSE($B$3,H772,H773,H774)</x:f>
        <x:v>0</x:v>
      </x:c>
      <x:c r="I771" s="17" t="str">
        <x:f>CHOOSE($B$3,I772,I773,I774)</x:f>
      </x:c>
      <x:c r="J771" s="19" t="str">
        <x:f>CHOOSE($B$3,J772,J773,J774)</x:f>
      </x:c>
      <x:c r="K771" s="21" t="str">
        <x:f>CHOOSE($B$3,K772,K773,K774)</x:f>
      </x:c>
      <x:c r="L771" s="15" t="str">
        <x:v>popmart-normalized-geography-v1.0</x:v>
      </x:c>
      <x:c r="M771" s="15" t="str">
        <x:v>2027-04-09</x:v>
      </x:c>
      <x:c r="O771" t="str">
        <x:v>CNY</x:v>
      </x:c>
      <x:c r="V771" t="str">
        <x:v>2027-04-09</x:v>
      </x:c>
      <x:c r="W771" t="str">
        <x:v>待核</x:v>
      </x:c>
      <x:c r="X771" t="str">
        <x:v>周末已解析；节假日需交易所对应年度日历核验，实际交易日待核</x:v>
      </x:c>
    </x:row>
    <x:row r="772" ht="23" customHeight="1">
      <x:c r="A772" s="11" t="str">
        <x:v>09992.HK</x:v>
      </x:c>
      <x:c r="B772" s="11" t="str">
        <x:v>半年</x:v>
      </x:c>
      <x:c r="C772" s="11" t="str">
        <x:v>悲观</x:v>
      </x:c>
      <x:c r="D772" s="11" t="str">
        <x:v>EPS</x:v>
      </x:c>
      <x:c r="E772" s="18" t="n">
        <x:v>3.994</x:v>
      </x:c>
      <x:c r="F772" s="18" t="n">
        <x:v>13</x:v>
      </x:c>
      <x:c r="G772" s="18" t="n">
        <x:v>1.1</x:v>
      </x:c>
      <x:c r="H772" s="18" t="n">
        <x:v>0</x:v>
      </x:c>
      <x:c r="I772" s="18"/>
      <x:c r="J772" s="20"/>
      <x:c r="K772" s="22"/>
      <x:c r="L772" s="11" t="str">
        <x:v>popmart-normalized-geography-v1.0</x:v>
      </x:c>
      <x:c r="M772" s="11" t="str">
        <x:v>2027-04-09</x:v>
      </x:c>
      <x:c r="O772" t="str">
        <x:v>CNY</x:v>
      </x:c>
      <x:c r="V772" t="str">
        <x:v>2027-04-09</x:v>
      </x:c>
      <x:c r="W772" t="str">
        <x:v>待核</x:v>
      </x:c>
      <x:c r="X772" t="str">
        <x:v>周末已解析；节假日需交易所对应年度日历核验，实际交易日待核</x:v>
      </x:c>
    </x:row>
    <x:row r="773" ht="23" customHeight="1">
      <x:c r="A773" s="11" t="str">
        <x:v>09992.HK</x:v>
      </x:c>
      <x:c r="B773" s="11" t="str">
        <x:v>半年</x:v>
      </x:c>
      <x:c r="C773" s="11" t="str">
        <x:v>基准</x:v>
      </x:c>
      <x:c r="D773" s="11" t="str">
        <x:v>EPS</x:v>
      </x:c>
      <x:c r="E773" s="18" t="n">
        <x:v>8.479</x:v>
      </x:c>
      <x:c r="F773" s="18" t="n">
        <x:v>21</x:v>
      </x:c>
      <x:c r="G773" s="18" t="n">
        <x:v>1.1</x:v>
      </x:c>
      <x:c r="H773" s="18" t="n">
        <x:v>0</x:v>
      </x:c>
      <x:c r="I773" s="18"/>
      <x:c r="J773" s="20"/>
      <x:c r="K773" s="22"/>
      <x:c r="L773" s="11" t="str">
        <x:v>popmart-normalized-geography-v1.0</x:v>
      </x:c>
      <x:c r="M773" s="11" t="str">
        <x:v>2027-04-09</x:v>
      </x:c>
      <x:c r="O773" t="str">
        <x:v>CNY</x:v>
      </x:c>
      <x:c r="V773" t="str">
        <x:v>2027-04-09</x:v>
      </x:c>
      <x:c r="W773" t="str">
        <x:v>待核</x:v>
      </x:c>
      <x:c r="X773" t="str">
        <x:v>周末已解析；节假日需交易所对应年度日历核验，实际交易日待核</x:v>
      </x:c>
    </x:row>
    <x:row r="774" ht="23" customHeight="1">
      <x:c r="A774" s="11" t="str">
        <x:v>09992.HK</x:v>
      </x:c>
      <x:c r="B774" s="11" t="str">
        <x:v>半年</x:v>
      </x:c>
      <x:c r="C774" s="11" t="str">
        <x:v>乐观</x:v>
      </x:c>
      <x:c r="D774" s="11" t="str">
        <x:v>EPS</x:v>
      </x:c>
      <x:c r="E774" s="18" t="n">
        <x:v>11.586</x:v>
      </x:c>
      <x:c r="F774" s="18" t="n">
        <x:v>28</x:v>
      </x:c>
      <x:c r="G774" s="18" t="n">
        <x:v>1.1</x:v>
      </x:c>
      <x:c r="H774" s="18" t="n">
        <x:v>0</x:v>
      </x:c>
      <x:c r="I774" s="18"/>
      <x:c r="J774" s="20"/>
      <x:c r="K774" s="22"/>
      <x:c r="L774" s="11" t="str">
        <x:v>popmart-normalized-geography-v1.0</x:v>
      </x:c>
      <x:c r="M774" s="11" t="str">
        <x:v>2027-04-09</x:v>
      </x:c>
      <x:c r="O774" t="str">
        <x:v>CNY</x:v>
      </x:c>
      <x:c r="V774" t="str">
        <x:v>2027-04-09</x:v>
      </x:c>
      <x:c r="W774" t="str">
        <x:v>待核</x:v>
      </x:c>
      <x:c r="X774" t="str">
        <x:v>周末已解析；节假日需交易所对应年度日历核验，实际交易日待核</x:v>
      </x:c>
    </x:row>
    <x:row r="775" ht="23" customHeight="1">
      <x:c r="A775" s="15" t="str">
        <x:v>09992.HK</x:v>
      </x:c>
      <x:c r="B775" s="15" t="str">
        <x:v>一年</x:v>
      </x:c>
      <x:c r="C775" s="15" t="str">
        <x:v>活动输入</x:v>
      </x:c>
      <x:c r="D775" s="15" t="str">
        <x:v>EPS</x:v>
      </x:c>
      <x:c r="E775" s="17" t="n">
        <x:f>CHOOSE($B$3,E776,E777,E778)</x:f>
        <x:v>9.887</x:v>
      </x:c>
      <x:c r="F775" s="17" t="n">
        <x:f>CHOOSE($B$3,F776,F777,F778)</x:f>
        <x:v>22</x:v>
      </x:c>
      <x:c r="G775" s="17" t="n">
        <x:f>CHOOSE($B$3,G776,G777,G778)</x:f>
        <x:v>1.1</x:v>
      </x:c>
      <x:c r="H775" s="17" t="n">
        <x:f>CHOOSE($B$3,H776,H777,H778)</x:f>
        <x:v>2.2</x:v>
      </x:c>
      <x:c r="I775" s="17" t="str">
        <x:f>CHOOSE($B$3,I776,I777,I778)</x:f>
      </x:c>
      <x:c r="J775" s="19" t="str">
        <x:f>CHOOSE($B$3,J776,J777,J778)</x:f>
      </x:c>
      <x:c r="K775" s="21" t="str">
        <x:f>CHOOSE($B$3,K776,K777,K778)</x:f>
      </x:c>
      <x:c r="L775" s="15" t="str">
        <x:v>popmart-normalized-geography-v1.0</x:v>
      </x:c>
      <x:c r="M775" s="15" t="str">
        <x:v>2027-10-09</x:v>
      </x:c>
      <x:c r="O775" t="str">
        <x:v>CNY</x:v>
      </x:c>
      <x:c r="V775" t="str">
        <x:v>2027-10-08</x:v>
      </x:c>
      <x:c r="W775" t="str">
        <x:v>待核</x:v>
      </x:c>
      <x:c r="X775" t="str">
        <x:v>周末已解析；节假日需交易所对应年度日历核验，实际交易日待核</x:v>
      </x:c>
    </x:row>
    <x:row r="776" ht="23" customHeight="1">
      <x:c r="A776" s="11" t="str">
        <x:v>09992.HK</x:v>
      </x:c>
      <x:c r="B776" s="11" t="str">
        <x:v>一年</x:v>
      </x:c>
      <x:c r="C776" s="11" t="str">
        <x:v>悲观</x:v>
      </x:c>
      <x:c r="D776" s="11" t="str">
        <x:v>EPS</x:v>
      </x:c>
      <x:c r="E776" s="18" t="n">
        <x:v>3.824</x:v>
      </x:c>
      <x:c r="F776" s="18" t="n">
        <x:v>12</x:v>
      </x:c>
      <x:c r="G776" s="18" t="n">
        <x:v>1.1</x:v>
      </x:c>
      <x:c r="H776" s="18" t="n">
        <x:v>0.7</x:v>
      </x:c>
      <x:c r="I776" s="18"/>
      <x:c r="J776" s="20"/>
      <x:c r="K776" s="22"/>
      <x:c r="L776" s="11" t="str">
        <x:v>popmart-normalized-geography-v1.0</x:v>
      </x:c>
      <x:c r="M776" s="11" t="str">
        <x:v>2027-10-09</x:v>
      </x:c>
      <x:c r="O776" t="str">
        <x:v>CNY</x:v>
      </x:c>
      <x:c r="V776" t="str">
        <x:v>2027-10-08</x:v>
      </x:c>
      <x:c r="W776" t="str">
        <x:v>待核</x:v>
      </x:c>
      <x:c r="X776" t="str">
        <x:v>周末已解析；节假日需交易所对应年度日历核验，实际交易日待核</x:v>
      </x:c>
    </x:row>
    <x:row r="777" ht="23" customHeight="1">
      <x:c r="A777" s="11" t="str">
        <x:v>09992.HK</x:v>
      </x:c>
      <x:c r="B777" s="11" t="str">
        <x:v>一年</x:v>
      </x:c>
      <x:c r="C777" s="11" t="str">
        <x:v>基准</x:v>
      </x:c>
      <x:c r="D777" s="11" t="str">
        <x:v>EPS</x:v>
      </x:c>
      <x:c r="E777" s="18" t="n">
        <x:v>9.887</x:v>
      </x:c>
      <x:c r="F777" s="18" t="n">
        <x:v>22</x:v>
      </x:c>
      <x:c r="G777" s="18" t="n">
        <x:v>1.1</x:v>
      </x:c>
      <x:c r="H777" s="18" t="n">
        <x:v>2.2</x:v>
      </x:c>
      <x:c r="I777" s="18"/>
      <x:c r="J777" s="20"/>
      <x:c r="K777" s="22"/>
      <x:c r="L777" s="11" t="str">
        <x:v>popmart-normalized-geography-v1.0</x:v>
      </x:c>
      <x:c r="M777" s="11" t="str">
        <x:v>2027-10-09</x:v>
      </x:c>
      <x:c r="O777" t="str">
        <x:v>CNY</x:v>
      </x:c>
      <x:c r="V777" t="str">
        <x:v>2027-10-08</x:v>
      </x:c>
      <x:c r="W777" t="str">
        <x:v>待核</x:v>
      </x:c>
      <x:c r="X777" t="str">
        <x:v>周末已解析；节假日需交易所对应年度日历核验，实际交易日待核</x:v>
      </x:c>
    </x:row>
    <x:row r="778" ht="23" customHeight="1">
      <x:c r="A778" s="11" t="str">
        <x:v>09992.HK</x:v>
      </x:c>
      <x:c r="B778" s="11" t="str">
        <x:v>一年</x:v>
      </x:c>
      <x:c r="C778" s="11" t="str">
        <x:v>乐观</x:v>
      </x:c>
      <x:c r="D778" s="11" t="str">
        <x:v>EPS</x:v>
      </x:c>
      <x:c r="E778" s="18" t="n">
        <x:v>14.476</x:v>
      </x:c>
      <x:c r="F778" s="18" t="n">
        <x:v>30</x:v>
      </x:c>
      <x:c r="G778" s="18" t="n">
        <x:v>1.1</x:v>
      </x:c>
      <x:c r="H778" s="18" t="n">
        <x:v>3.5</x:v>
      </x:c>
      <x:c r="I778" s="18"/>
      <x:c r="J778" s="20"/>
      <x:c r="K778" s="22"/>
      <x:c r="L778" s="11" t="str">
        <x:v>popmart-normalized-geography-v1.0</x:v>
      </x:c>
      <x:c r="M778" s="11" t="str">
        <x:v>2027-10-09</x:v>
      </x:c>
      <x:c r="O778" t="str">
        <x:v>CNY</x:v>
      </x:c>
      <x:c r="V778" t="str">
        <x:v>2027-10-08</x:v>
      </x:c>
      <x:c r="W778" t="str">
        <x:v>待核</x:v>
      </x:c>
      <x:c r="X778" t="str">
        <x:v>周末已解析；节假日需交易所对应年度日历核验，实际交易日待核</x:v>
      </x:c>
    </x:row>
    <x:row r="779" ht="23" customHeight="1">
      <x:c r="A779" s="15" t="str">
        <x:v>09992.HK</x:v>
      </x:c>
      <x:c r="B779" s="15" t="str">
        <x:v>三年</x:v>
      </x:c>
      <x:c r="C779" s="15" t="str">
        <x:v>活动输入</x:v>
      </x:c>
      <x:c r="D779" s="15" t="str">
        <x:v>EPS</x:v>
      </x:c>
      <x:c r="E779" s="17" t="n">
        <x:f>CHOOSE($B$3,E780,E781,E782)</x:f>
        <x:v>14.996</x:v>
      </x:c>
      <x:c r="F779" s="17" t="n">
        <x:f>CHOOSE($B$3,F780,F781,F782)</x:f>
        <x:v>24</x:v>
      </x:c>
      <x:c r="G779" s="17" t="n">
        <x:f>CHOOSE($B$3,G780,G781,G782)</x:f>
        <x:v>1.1</x:v>
      </x:c>
      <x:c r="H779" s="17" t="n">
        <x:f>CHOOSE($B$3,H780,H781,H782)</x:f>
        <x:v>8</x:v>
      </x:c>
      <x:c r="I779" s="17" t="str">
        <x:f>CHOOSE($B$3,I780,I781,I782)</x:f>
      </x:c>
      <x:c r="J779" s="19" t="str">
        <x:f>CHOOSE($B$3,J780,J781,J782)</x:f>
      </x:c>
      <x:c r="K779" s="21" t="str">
        <x:f>CHOOSE($B$3,K780,K781,K782)</x:f>
      </x:c>
      <x:c r="L779" s="15" t="str">
        <x:v>popmart-normalized-geography-v1.0</x:v>
      </x:c>
      <x:c r="M779" s="15" t="str">
        <x:v>2029-10-09</x:v>
      </x:c>
      <x:c r="O779" t="str">
        <x:v>CNY</x:v>
      </x:c>
      <x:c r="V779" t="str">
        <x:v>2029-10-09</x:v>
      </x:c>
      <x:c r="W779" t="str">
        <x:v>待核</x:v>
      </x:c>
      <x:c r="X779" t="str">
        <x:v>周末已解析；节假日需交易所对应年度日历核验，实际交易日待核</x:v>
      </x:c>
    </x:row>
    <x:row r="780" ht="23" customHeight="1">
      <x:c r="A780" s="11" t="str">
        <x:v>09992.HK</x:v>
      </x:c>
      <x:c r="B780" s="11" t="str">
        <x:v>三年</x:v>
      </x:c>
      <x:c r="C780" s="11" t="str">
        <x:v>悲观</x:v>
      </x:c>
      <x:c r="D780" s="11" t="str">
        <x:v>EPS</x:v>
      </x:c>
      <x:c r="E780" s="18" t="n">
        <x:v>3.212</x:v>
      </x:c>
      <x:c r="F780" s="18" t="n">
        <x:v>10</x:v>
      </x:c>
      <x:c r="G780" s="18" t="n">
        <x:v>1.1</x:v>
      </x:c>
      <x:c r="H780" s="18" t="n">
        <x:v>2</x:v>
      </x:c>
      <x:c r="I780" s="18"/>
      <x:c r="J780" s="20"/>
      <x:c r="K780" s="22"/>
      <x:c r="L780" s="11" t="str">
        <x:v>popmart-normalized-geography-v1.0</x:v>
      </x:c>
      <x:c r="M780" s="11" t="str">
        <x:v>2029-10-09</x:v>
      </x:c>
      <x:c r="O780" t="str">
        <x:v>CNY</x:v>
      </x:c>
      <x:c r="V780" t="str">
        <x:v>2029-10-09</x:v>
      </x:c>
      <x:c r="W780" t="str">
        <x:v>待核</x:v>
      </x:c>
      <x:c r="X780" t="str">
        <x:v>周末已解析；节假日需交易所对应年度日历核验，实际交易日待核</x:v>
      </x:c>
    </x:row>
    <x:row r="781" ht="23" customHeight="1">
      <x:c r="A781" s="11" t="str">
        <x:v>09992.HK</x:v>
      </x:c>
      <x:c r="B781" s="11" t="str">
        <x:v>三年</x:v>
      </x:c>
      <x:c r="C781" s="11" t="str">
        <x:v>基准</x:v>
      </x:c>
      <x:c r="D781" s="11" t="str">
        <x:v>EPS</x:v>
      </x:c>
      <x:c r="E781" s="18" t="n">
        <x:v>14.996</x:v>
      </x:c>
      <x:c r="F781" s="18" t="n">
        <x:v>24</x:v>
      </x:c>
      <x:c r="G781" s="18" t="n">
        <x:v>1.1</x:v>
      </x:c>
      <x:c r="H781" s="18" t="n">
        <x:v>8</x:v>
      </x:c>
      <x:c r="I781" s="18"/>
      <x:c r="J781" s="20"/>
      <x:c r="K781" s="22"/>
      <x:c r="L781" s="11" t="str">
        <x:v>popmart-normalized-geography-v1.0</x:v>
      </x:c>
      <x:c r="M781" s="11" t="str">
        <x:v>2029-10-09</x:v>
      </x:c>
      <x:c r="O781" t="str">
        <x:v>CNY</x:v>
      </x:c>
      <x:c r="V781" t="str">
        <x:v>2029-10-09</x:v>
      </x:c>
      <x:c r="W781" t="str">
        <x:v>待核</x:v>
      </x:c>
      <x:c r="X781" t="str">
        <x:v>周末已解析；节假日需交易所对应年度日历核验，实际交易日待核</x:v>
      </x:c>
    </x:row>
    <x:row r="782" ht="23" customHeight="1">
      <x:c r="A782" s="11" t="str">
        <x:v>09992.HK</x:v>
      </x:c>
      <x:c r="B782" s="11" t="str">
        <x:v>三年</x:v>
      </x:c>
      <x:c r="C782" s="11" t="str">
        <x:v>乐观</x:v>
      </x:c>
      <x:c r="D782" s="11" t="str">
        <x:v>EPS</x:v>
      </x:c>
      <x:c r="E782" s="18" t="n">
        <x:v>29.079</x:v>
      </x:c>
      <x:c r="F782" s="18" t="n">
        <x:v>32</x:v>
      </x:c>
      <x:c r="G782" s="18" t="n">
        <x:v>1.1</x:v>
      </x:c>
      <x:c r="H782" s="18" t="n">
        <x:v>14</x:v>
      </x:c>
      <x:c r="I782" s="18"/>
      <x:c r="J782" s="20"/>
      <x:c r="K782" s="22"/>
      <x:c r="L782" s="11" t="str">
        <x:v>popmart-normalized-geography-v1.0</x:v>
      </x:c>
      <x:c r="M782" s="11" t="str">
        <x:v>2029-10-09</x:v>
      </x:c>
      <x:c r="O782" t="str">
        <x:v>CNY</x:v>
      </x:c>
      <x:c r="V782" t="str">
        <x:v>2029-10-09</x:v>
      </x:c>
      <x:c r="W782" t="str">
        <x:v>待核</x:v>
      </x:c>
      <x:c r="X782" t="str">
        <x:v>周末已解析；节假日需交易所对应年度日历核验，实际交易日待核</x:v>
      </x:c>
    </x:row>
    <x:row r="783" ht="23" customHeight="1">
      <x:c r="A783" s="15" t="str">
        <x:v>09992.HK</x:v>
      </x:c>
      <x:c r="B783" s="15" t="str">
        <x:v>五年</x:v>
      </x:c>
      <x:c r="C783" s="15" t="str">
        <x:v>活动输入</x:v>
      </x:c>
      <x:c r="D783" s="15" t="str">
        <x:v>EPS</x:v>
      </x:c>
      <x:c r="E783" s="17" t="n">
        <x:f>CHOOSE($B$3,E784,E785,E786)</x:f>
        <x:v>20.665</x:v>
      </x:c>
      <x:c r="F783" s="17" t="n">
        <x:f>CHOOSE($B$3,F784,F785,F786)</x:f>
        <x:v>24</x:v>
      </x:c>
      <x:c r="G783" s="17" t="n">
        <x:f>CHOOSE($B$3,G784,G785,G786)</x:f>
        <x:v>1.1</x:v>
      </x:c>
      <x:c r="H783" s="17" t="n">
        <x:f>CHOOSE($B$3,H784,H785,H786)</x:f>
        <x:v>17</x:v>
      </x:c>
      <x:c r="I783" s="17" t="str">
        <x:f>CHOOSE($B$3,I784,I785,I786)</x:f>
      </x:c>
      <x:c r="J783" s="19" t="str">
        <x:f>CHOOSE($B$3,J784,J785,J786)</x:f>
      </x:c>
      <x:c r="K783" s="21" t="str">
        <x:f>CHOOSE($B$3,K784,K785,K786)</x:f>
      </x:c>
      <x:c r="L783" s="15" t="str">
        <x:v>popmart-normalized-geography-v1.0</x:v>
      </x:c>
      <x:c r="M783" s="15" t="str">
        <x:v>2031-10-09</x:v>
      </x:c>
      <x:c r="O783" t="str">
        <x:v>CNY</x:v>
      </x:c>
      <x:c r="V783" t="str">
        <x:v>2031-10-09</x:v>
      </x:c>
      <x:c r="W783" t="str">
        <x:v>待核</x:v>
      </x:c>
      <x:c r="X783" t="str">
        <x:v>周末已解析；节假日需交易所对应年度日历核验，实际交易日待核</x:v>
      </x:c>
    </x:row>
    <x:row r="784" ht="23" customHeight="1">
      <x:c r="A784" s="11" t="str">
        <x:v>09992.HK</x:v>
      </x:c>
      <x:c r="B784" s="11" t="str">
        <x:v>五年</x:v>
      </x:c>
      <x:c r="C784" s="11" t="str">
        <x:v>悲观</x:v>
      </x:c>
      <x:c r="D784" s="11" t="str">
        <x:v>EPS</x:v>
      </x:c>
      <x:c r="E784" s="18" t="n">
        <x:v>2.763</x:v>
      </x:c>
      <x:c r="F784" s="18" t="n">
        <x:v>9</x:v>
      </x:c>
      <x:c r="G784" s="18" t="n">
        <x:v>1.1</x:v>
      </x:c>
      <x:c r="H784" s="18" t="n">
        <x:v>3.5</x:v>
      </x:c>
      <x:c r="I784" s="18"/>
      <x:c r="J784" s="20"/>
      <x:c r="K784" s="22"/>
      <x:c r="L784" s="11" t="str">
        <x:v>popmart-normalized-geography-v1.0</x:v>
      </x:c>
      <x:c r="M784" s="11" t="str">
        <x:v>2031-10-09</x:v>
      </x:c>
      <x:c r="O784" t="str">
        <x:v>CNY</x:v>
      </x:c>
      <x:c r="V784" t="str">
        <x:v>2031-10-09</x:v>
      </x:c>
      <x:c r="W784" t="str">
        <x:v>待核</x:v>
      </x:c>
      <x:c r="X784" t="str">
        <x:v>周末已解析；节假日需交易所对应年度日历核验，实际交易日待核</x:v>
      </x:c>
    </x:row>
    <x:row r="785" ht="23" customHeight="1">
      <x:c r="A785" s="11" t="str">
        <x:v>09992.HK</x:v>
      </x:c>
      <x:c r="B785" s="11" t="str">
        <x:v>五年</x:v>
      </x:c>
      <x:c r="C785" s="11" t="str">
        <x:v>基准</x:v>
      </x:c>
      <x:c r="D785" s="11" t="str">
        <x:v>EPS</x:v>
      </x:c>
      <x:c r="E785" s="18" t="n">
        <x:v>20.665</x:v>
      </x:c>
      <x:c r="F785" s="18" t="n">
        <x:v>24</x:v>
      </x:c>
      <x:c r="G785" s="18" t="n">
        <x:v>1.1</x:v>
      </x:c>
      <x:c r="H785" s="18" t="n">
        <x:v>17</x:v>
      </x:c>
      <x:c r="I785" s="18"/>
      <x:c r="J785" s="20"/>
      <x:c r="K785" s="22"/>
      <x:c r="L785" s="11" t="str">
        <x:v>popmart-normalized-geography-v1.0</x:v>
      </x:c>
      <x:c r="M785" s="11" t="str">
        <x:v>2031-10-09</x:v>
      </x:c>
      <x:c r="O785" t="str">
        <x:v>CNY</x:v>
      </x:c>
      <x:c r="V785" t="str">
        <x:v>2031-10-09</x:v>
      </x:c>
      <x:c r="W785" t="str">
        <x:v>待核</x:v>
      </x:c>
      <x:c r="X785" t="str">
        <x:v>周末已解析；节假日需交易所对应年度日历核验，实际交易日待核</x:v>
      </x:c>
    </x:row>
    <x:row r="786" ht="23" customHeight="1">
      <x:c r="A786" s="11" t="str">
        <x:v>09992.HK</x:v>
      </x:c>
      <x:c r="B786" s="11" t="str">
        <x:v>五年</x:v>
      </x:c>
      <x:c r="C786" s="11" t="str">
        <x:v>乐观</x:v>
      </x:c>
      <x:c r="D786" s="11" t="str">
        <x:v>EPS</x:v>
      </x:c>
      <x:c r="E786" s="18" t="n">
        <x:v>47.753</x:v>
      </x:c>
      <x:c r="F786" s="18" t="n">
        <x:v>32</x:v>
      </x:c>
      <x:c r="G786" s="18" t="n">
        <x:v>1.1</x:v>
      </x:c>
      <x:c r="H786" s="18" t="n">
        <x:v>35</x:v>
      </x:c>
      <x:c r="I786" s="18"/>
      <x:c r="J786" s="20"/>
      <x:c r="K786" s="22"/>
      <x:c r="L786" s="11" t="str">
        <x:v>popmart-normalized-geography-v1.0</x:v>
      </x:c>
      <x:c r="M786" s="11" t="str">
        <x:v>2031-10-09</x:v>
      </x:c>
      <x:c r="O786" t="str">
        <x:v>CNY</x:v>
      </x:c>
      <x:c r="V786" t="str">
        <x:v>2031-10-09</x:v>
      </x:c>
      <x:c r="W786" t="str">
        <x:v>待核</x:v>
      </x:c>
      <x:c r="X786" t="str">
        <x:v>周末已解析；节假日需交易所对应年度日历核验，实际交易日待核</x:v>
      </x:c>
    </x:row>
    <x:row r="787" ht="23" customHeight="1">
      <x:c r="A787" s="15" t="str">
        <x:v>300363.SZ</x:v>
      </x:c>
      <x:c r="B787" s="15" t="str">
        <x:v>2026年底</x:v>
      </x:c>
      <x:c r="C787" s="15" t="str">
        <x:v>活动输入</x:v>
      </x:c>
      <x:c r="D787" s="15" t="str">
        <x:v>EPS</x:v>
      </x:c>
      <x:c r="E787" s="17" t="n">
        <x:f>CHOOSE($B$3,E788,E789,E790)</x:f>
        <x:v>0.5</x:v>
      </x:c>
      <x:c r="F787" s="17" t="n">
        <x:f>CHOOSE($B$3,F788,F789,F790)</x:f>
        <x:v>30</x:v>
      </x:c>
      <x:c r="G787" s="17" t="n">
        <x:f>CHOOSE($B$3,G788,G789,G790)</x:f>
        <x:v>1</x:v>
      </x:c>
      <x:c r="H787" s="17" t="n">
        <x:f>CHOOSE($B$3,H788,H789,H790)</x:f>
        <x:v>0</x:v>
      </x:c>
      <x:c r="I787" s="17" t="str">
        <x:f>CHOOSE($B$3,I788,I789,I790)</x:f>
      </x:c>
      <x:c r="J787" s="19" t="str">
        <x:f>CHOOSE($B$3,J788,J789,J790)</x:f>
      </x:c>
      <x:c r="K787" s="21" t="str">
        <x:f>CHOOSE($B$3,K788,K789,K790)</x:f>
      </x:c>
      <x:c r="L787" s="15" t="str">
        <x:v>porton-normalized-pe-v1.0</x:v>
      </x:c>
      <x:c r="M787" s="15" t="str">
        <x:v>2026-12-31</x:v>
      </x:c>
      <x:c r="O787" t="str">
        <x:v>CNY</x:v>
      </x:c>
      <x:c r="V787" t="str">
        <x:v>2026-12-31</x:v>
      </x:c>
      <x:c r="W787" t="str">
        <x:v>待核</x:v>
      </x:c>
      <x:c r="X787" t="str">
        <x:v>周末已解析；节假日需交易所对应年度日历核验，实际交易日待核</x:v>
      </x:c>
    </x:row>
    <x:row r="788" ht="23" customHeight="1">
      <x:c r="A788" s="11" t="str">
        <x:v>300363.SZ</x:v>
      </x:c>
      <x:c r="B788" s="11" t="str">
        <x:v>2026年底</x:v>
      </x:c>
      <x:c r="C788" s="11" t="str">
        <x:v>悲观</x:v>
      </x:c>
      <x:c r="D788" s="11" t="str">
        <x:v>EPS</x:v>
      </x:c>
      <x:c r="E788" s="18" t="n">
        <x:v>0.15</x:v>
      </x:c>
      <x:c r="F788" s="18" t="n">
        <x:v>18</x:v>
      </x:c>
      <x:c r="G788" s="18" t="n">
        <x:v>1</x:v>
      </x:c>
      <x:c r="H788" s="18" t="n">
        <x:v>0</x:v>
      </x:c>
      <x:c r="I788" s="18"/>
      <x:c r="J788" s="20"/>
      <x:c r="K788" s="22"/>
      <x:c r="L788" s="11" t="str">
        <x:v>porton-normalized-pe-v1.0</x:v>
      </x:c>
      <x:c r="M788" s="11" t="str">
        <x:v>2026-12-31</x:v>
      </x:c>
      <x:c r="O788" t="str">
        <x:v>CNY</x:v>
      </x:c>
      <x:c r="V788" t="str">
        <x:v>2026-12-31</x:v>
      </x:c>
      <x:c r="W788" t="str">
        <x:v>待核</x:v>
      </x:c>
      <x:c r="X788" t="str">
        <x:v>周末已解析；节假日需交易所对应年度日历核验，实际交易日待核</x:v>
      </x:c>
    </x:row>
    <x:row r="789" ht="23" customHeight="1">
      <x:c r="A789" s="11" t="str">
        <x:v>300363.SZ</x:v>
      </x:c>
      <x:c r="B789" s="11" t="str">
        <x:v>2026年底</x:v>
      </x:c>
      <x:c r="C789" s="11" t="str">
        <x:v>基准</x:v>
      </x:c>
      <x:c r="D789" s="11" t="str">
        <x:v>EPS</x:v>
      </x:c>
      <x:c r="E789" s="18" t="n">
        <x:v>0.5</x:v>
      </x:c>
      <x:c r="F789" s="18" t="n">
        <x:v>30</x:v>
      </x:c>
      <x:c r="G789" s="18" t="n">
        <x:v>1</x:v>
      </x:c>
      <x:c r="H789" s="18" t="n">
        <x:v>0</x:v>
      </x:c>
      <x:c r="I789" s="18"/>
      <x:c r="J789" s="20"/>
      <x:c r="K789" s="22"/>
      <x:c r="L789" s="11" t="str">
        <x:v>porton-normalized-pe-v1.0</x:v>
      </x:c>
      <x:c r="M789" s="11" t="str">
        <x:v>2026-12-31</x:v>
      </x:c>
      <x:c r="O789" t="str">
        <x:v>CNY</x:v>
      </x:c>
      <x:c r="V789" t="str">
        <x:v>2026-12-31</x:v>
      </x:c>
      <x:c r="W789" t="str">
        <x:v>待核</x:v>
      </x:c>
      <x:c r="X789" t="str">
        <x:v>周末已解析；节假日需交易所对应年度日历核验，实际交易日待核</x:v>
      </x:c>
    </x:row>
    <x:row r="790" ht="23" customHeight="1">
      <x:c r="A790" s="11" t="str">
        <x:v>300363.SZ</x:v>
      </x:c>
      <x:c r="B790" s="11" t="str">
        <x:v>2026年底</x:v>
      </x:c>
      <x:c r="C790" s="11" t="str">
        <x:v>乐观</x:v>
      </x:c>
      <x:c r="D790" s="11" t="str">
        <x:v>EPS</x:v>
      </x:c>
      <x:c r="E790" s="18" t="n">
        <x:v>0.8</x:v>
      </x:c>
      <x:c r="F790" s="18" t="n">
        <x:v>40</x:v>
      </x:c>
      <x:c r="G790" s="18" t="n">
        <x:v>1</x:v>
      </x:c>
      <x:c r="H790" s="18" t="n">
        <x:v>0</x:v>
      </x:c>
      <x:c r="I790" s="18"/>
      <x:c r="J790" s="20"/>
      <x:c r="K790" s="22"/>
      <x:c r="L790" s="11" t="str">
        <x:v>porton-normalized-pe-v1.0</x:v>
      </x:c>
      <x:c r="M790" s="11" t="str">
        <x:v>2026-12-31</x:v>
      </x:c>
      <x:c r="O790" t="str">
        <x:v>CNY</x:v>
      </x:c>
      <x:c r="V790" t="str">
        <x:v>2026-12-31</x:v>
      </x:c>
      <x:c r="W790" t="str">
        <x:v>待核</x:v>
      </x:c>
      <x:c r="X790" t="str">
        <x:v>周末已解析；节假日需交易所对应年度日历核验，实际交易日待核</x:v>
      </x:c>
    </x:row>
    <x:row r="791" ht="23" customHeight="1">
      <x:c r="A791" s="15" t="str">
        <x:v>300363.SZ</x:v>
      </x:c>
      <x:c r="B791" s="15" t="str">
        <x:v>半年</x:v>
      </x:c>
      <x:c r="C791" s="15" t="str">
        <x:v>活动输入</x:v>
      </x:c>
      <x:c r="D791" s="15" t="str">
        <x:v>EPS</x:v>
      </x:c>
      <x:c r="E791" s="17" t="n">
        <x:f>CHOOSE($B$3,E792,E793,E794)</x:f>
        <x:v>0.6</x:v>
      </x:c>
      <x:c r="F791" s="17" t="n">
        <x:f>CHOOSE($B$3,F792,F793,F794)</x:f>
        <x:v>32</x:v>
      </x:c>
      <x:c r="G791" s="17" t="n">
        <x:f>CHOOSE($B$3,G792,G793,G794)</x:f>
        <x:v>1</x:v>
      </x:c>
      <x:c r="H791" s="17" t="n">
        <x:f>CHOOSE($B$3,H792,H793,H794)</x:f>
        <x:v>0</x:v>
      </x:c>
      <x:c r="I791" s="17" t="str">
        <x:f>CHOOSE($B$3,I792,I793,I794)</x:f>
      </x:c>
      <x:c r="J791" s="19" t="str">
        <x:f>CHOOSE($B$3,J792,J793,J794)</x:f>
      </x:c>
      <x:c r="K791" s="21" t="str">
        <x:f>CHOOSE($B$3,K792,K793,K794)</x:f>
      </x:c>
      <x:c r="L791" s="15" t="str">
        <x:v>porton-normalized-pe-v1.0</x:v>
      </x:c>
      <x:c r="M791" s="15" t="str">
        <x:v>2027-04-09</x:v>
      </x:c>
      <x:c r="O791" t="str">
        <x:v>CNY</x:v>
      </x:c>
      <x:c r="V791" t="str">
        <x:v>2027-04-09</x:v>
      </x:c>
      <x:c r="W791" t="str">
        <x:v>待核</x:v>
      </x:c>
      <x:c r="X791" t="str">
        <x:v>周末已解析；节假日需交易所对应年度日历核验，实际交易日待核</x:v>
      </x:c>
    </x:row>
    <x:row r="792" ht="23" customHeight="1">
      <x:c r="A792" s="11" t="str">
        <x:v>300363.SZ</x:v>
      </x:c>
      <x:c r="B792" s="11" t="str">
        <x:v>半年</x:v>
      </x:c>
      <x:c r="C792" s="11" t="str">
        <x:v>悲观</x:v>
      </x:c>
      <x:c r="D792" s="11" t="str">
        <x:v>EPS</x:v>
      </x:c>
      <x:c r="E792" s="18" t="n">
        <x:v>0.2</x:v>
      </x:c>
      <x:c r="F792" s="18" t="n">
        <x:v>18</x:v>
      </x:c>
      <x:c r="G792" s="18" t="n">
        <x:v>1</x:v>
      </x:c>
      <x:c r="H792" s="18" t="n">
        <x:v>0</x:v>
      </x:c>
      <x:c r="I792" s="18"/>
      <x:c r="J792" s="20"/>
      <x:c r="K792" s="22"/>
      <x:c r="L792" s="11" t="str">
        <x:v>porton-normalized-pe-v1.0</x:v>
      </x:c>
      <x:c r="M792" s="11" t="str">
        <x:v>2027-04-09</x:v>
      </x:c>
      <x:c r="O792" t="str">
        <x:v>CNY</x:v>
      </x:c>
      <x:c r="V792" t="str">
        <x:v>2027-04-09</x:v>
      </x:c>
      <x:c r="W792" t="str">
        <x:v>待核</x:v>
      </x:c>
      <x:c r="X792" t="str">
        <x:v>周末已解析；节假日需交易所对应年度日历核验，实际交易日待核</x:v>
      </x:c>
    </x:row>
    <x:row r="793" ht="23" customHeight="1">
      <x:c r="A793" s="11" t="str">
        <x:v>300363.SZ</x:v>
      </x:c>
      <x:c r="B793" s="11" t="str">
        <x:v>半年</x:v>
      </x:c>
      <x:c r="C793" s="11" t="str">
        <x:v>基准</x:v>
      </x:c>
      <x:c r="D793" s="11" t="str">
        <x:v>EPS</x:v>
      </x:c>
      <x:c r="E793" s="18" t="n">
        <x:v>0.6</x:v>
      </x:c>
      <x:c r="F793" s="18" t="n">
        <x:v>32</x:v>
      </x:c>
      <x:c r="G793" s="18" t="n">
        <x:v>1</x:v>
      </x:c>
      <x:c r="H793" s="18" t="n">
        <x:v>0</x:v>
      </x:c>
      <x:c r="I793" s="18"/>
      <x:c r="J793" s="20"/>
      <x:c r="K793" s="22"/>
      <x:c r="L793" s="11" t="str">
        <x:v>porton-normalized-pe-v1.0</x:v>
      </x:c>
      <x:c r="M793" s="11" t="str">
        <x:v>2027-04-09</x:v>
      </x:c>
      <x:c r="O793" t="str">
        <x:v>CNY</x:v>
      </x:c>
      <x:c r="V793" t="str">
        <x:v>2027-04-09</x:v>
      </x:c>
      <x:c r="W793" t="str">
        <x:v>待核</x:v>
      </x:c>
      <x:c r="X793" t="str">
        <x:v>周末已解析；节假日需交易所对应年度日历核验，实际交易日待核</x:v>
      </x:c>
    </x:row>
    <x:row r="794" ht="23" customHeight="1">
      <x:c r="A794" s="11" t="str">
        <x:v>300363.SZ</x:v>
      </x:c>
      <x:c r="B794" s="11" t="str">
        <x:v>半年</x:v>
      </x:c>
      <x:c r="C794" s="11" t="str">
        <x:v>乐观</x:v>
      </x:c>
      <x:c r="D794" s="11" t="str">
        <x:v>EPS</x:v>
      </x:c>
      <x:c r="E794" s="18" t="n">
        <x:v>1</x:v>
      </x:c>
      <x:c r="F794" s="18" t="n">
        <x:v>42</x:v>
      </x:c>
      <x:c r="G794" s="18" t="n">
        <x:v>1</x:v>
      </x:c>
      <x:c r="H794" s="18" t="n">
        <x:v>0</x:v>
      </x:c>
      <x:c r="I794" s="18"/>
      <x:c r="J794" s="20"/>
      <x:c r="K794" s="22"/>
      <x:c r="L794" s="11" t="str">
        <x:v>porton-normalized-pe-v1.0</x:v>
      </x:c>
      <x:c r="M794" s="11" t="str">
        <x:v>2027-04-09</x:v>
      </x:c>
      <x:c r="O794" t="str">
        <x:v>CNY</x:v>
      </x:c>
      <x:c r="V794" t="str">
        <x:v>2027-04-09</x:v>
      </x:c>
      <x:c r="W794" t="str">
        <x:v>待核</x:v>
      </x:c>
      <x:c r="X794" t="str">
        <x:v>周末已解析；节假日需交易所对应年度日历核验，实际交易日待核</x:v>
      </x:c>
    </x:row>
    <x:row r="795" ht="23" customHeight="1">
      <x:c r="A795" s="15" t="str">
        <x:v>300363.SZ</x:v>
      </x:c>
      <x:c r="B795" s="15" t="str">
        <x:v>一年</x:v>
      </x:c>
      <x:c r="C795" s="15" t="str">
        <x:v>活动输入</x:v>
      </x:c>
      <x:c r="D795" s="15" t="str">
        <x:v>EPS</x:v>
      </x:c>
      <x:c r="E795" s="17" t="n">
        <x:f>CHOOSE($B$3,E796,E797,E798)</x:f>
        <x:v>0.8</x:v>
      </x:c>
      <x:c r="F795" s="17" t="n">
        <x:f>CHOOSE($B$3,F796,F797,F798)</x:f>
        <x:v>30</x:v>
      </x:c>
      <x:c r="G795" s="17" t="n">
        <x:f>CHOOSE($B$3,G796,G797,G798)</x:f>
        <x:v>1</x:v>
      </x:c>
      <x:c r="H795" s="17" t="n">
        <x:f>CHOOSE($B$3,H796,H797,H798)</x:f>
        <x:v>0.08</x:v>
      </x:c>
      <x:c r="I795" s="17" t="str">
        <x:f>CHOOSE($B$3,I796,I797,I798)</x:f>
      </x:c>
      <x:c r="J795" s="19" t="str">
        <x:f>CHOOSE($B$3,J796,J797,J798)</x:f>
      </x:c>
      <x:c r="K795" s="21" t="str">
        <x:f>CHOOSE($B$3,K796,K797,K798)</x:f>
      </x:c>
      <x:c r="L795" s="15" t="str">
        <x:v>porton-normalized-pe-v1.0</x:v>
      </x:c>
      <x:c r="M795" s="15" t="str">
        <x:v>2027-10-09</x:v>
      </x:c>
      <x:c r="O795" t="str">
        <x:v>CNY</x:v>
      </x:c>
      <x:c r="V795" t="str">
        <x:v>2027-10-08</x:v>
      </x:c>
      <x:c r="W795" t="str">
        <x:v>待核</x:v>
      </x:c>
      <x:c r="X795" t="str">
        <x:v>周末已解析；节假日需交易所对应年度日历核验，实际交易日待核</x:v>
      </x:c>
    </x:row>
    <x:row r="796" ht="23" customHeight="1">
      <x:c r="A796" s="11" t="str">
        <x:v>300363.SZ</x:v>
      </x:c>
      <x:c r="B796" s="11" t="str">
        <x:v>一年</x:v>
      </x:c>
      <x:c r="C796" s="11" t="str">
        <x:v>悲观</x:v>
      </x:c>
      <x:c r="D796" s="11" t="str">
        <x:v>EPS</x:v>
      </x:c>
      <x:c r="E796" s="18" t="n">
        <x:v>0.25</x:v>
      </x:c>
      <x:c r="F796" s="18" t="n">
        <x:v>18</x:v>
      </x:c>
      <x:c r="G796" s="18" t="n">
        <x:v>1</x:v>
      </x:c>
      <x:c r="H796" s="18" t="n">
        <x:v>0</x:v>
      </x:c>
      <x:c r="I796" s="18"/>
      <x:c r="J796" s="20"/>
      <x:c r="K796" s="22"/>
      <x:c r="L796" s="11" t="str">
        <x:v>porton-normalized-pe-v1.0</x:v>
      </x:c>
      <x:c r="M796" s="11" t="str">
        <x:v>2027-10-09</x:v>
      </x:c>
      <x:c r="O796" t="str">
        <x:v>CNY</x:v>
      </x:c>
      <x:c r="V796" t="str">
        <x:v>2027-10-08</x:v>
      </x:c>
      <x:c r="W796" t="str">
        <x:v>待核</x:v>
      </x:c>
      <x:c r="X796" t="str">
        <x:v>周末已解析；节假日需交易所对应年度日历核验，实际交易日待核</x:v>
      </x:c>
    </x:row>
    <x:row r="797" ht="23" customHeight="1">
      <x:c r="A797" s="11" t="str">
        <x:v>300363.SZ</x:v>
      </x:c>
      <x:c r="B797" s="11" t="str">
        <x:v>一年</x:v>
      </x:c>
      <x:c r="C797" s="11" t="str">
        <x:v>基准</x:v>
      </x:c>
      <x:c r="D797" s="11" t="str">
        <x:v>EPS</x:v>
      </x:c>
      <x:c r="E797" s="18" t="n">
        <x:v>0.8</x:v>
      </x:c>
      <x:c r="F797" s="18" t="n">
        <x:v>30</x:v>
      </x:c>
      <x:c r="G797" s="18" t="n">
        <x:v>1</x:v>
      </x:c>
      <x:c r="H797" s="18" t="n">
        <x:v>0.08</x:v>
      </x:c>
      <x:c r="I797" s="18"/>
      <x:c r="J797" s="20"/>
      <x:c r="K797" s="22"/>
      <x:c r="L797" s="11" t="str">
        <x:v>porton-normalized-pe-v1.0</x:v>
      </x:c>
      <x:c r="M797" s="11" t="str">
        <x:v>2027-10-09</x:v>
      </x:c>
      <x:c r="O797" t="str">
        <x:v>CNY</x:v>
      </x:c>
      <x:c r="V797" t="str">
        <x:v>2027-10-08</x:v>
      </x:c>
      <x:c r="W797" t="str">
        <x:v>待核</x:v>
      </x:c>
      <x:c r="X797" t="str">
        <x:v>周末已解析；节假日需交易所对应年度日历核验，实际交易日待核</x:v>
      </x:c>
    </x:row>
    <x:row r="798" ht="23" customHeight="1">
      <x:c r="A798" s="11" t="str">
        <x:v>300363.SZ</x:v>
      </x:c>
      <x:c r="B798" s="11" t="str">
        <x:v>一年</x:v>
      </x:c>
      <x:c r="C798" s="11" t="str">
        <x:v>乐观</x:v>
      </x:c>
      <x:c r="D798" s="11" t="str">
        <x:v>EPS</x:v>
      </x:c>
      <x:c r="E798" s="18" t="n">
        <x:v>1.3</x:v>
      </x:c>
      <x:c r="F798" s="18" t="n">
        <x:v>40</x:v>
      </x:c>
      <x:c r="G798" s="18" t="n">
        <x:v>1</x:v>
      </x:c>
      <x:c r="H798" s="18" t="n">
        <x:v>0.15</x:v>
      </x:c>
      <x:c r="I798" s="18"/>
      <x:c r="J798" s="20"/>
      <x:c r="K798" s="22"/>
      <x:c r="L798" s="11" t="str">
        <x:v>porton-normalized-pe-v1.0</x:v>
      </x:c>
      <x:c r="M798" s="11" t="str">
        <x:v>2027-10-09</x:v>
      </x:c>
      <x:c r="O798" t="str">
        <x:v>CNY</x:v>
      </x:c>
      <x:c r="V798" t="str">
        <x:v>2027-10-08</x:v>
      </x:c>
      <x:c r="W798" t="str">
        <x:v>待核</x:v>
      </x:c>
      <x:c r="X798" t="str">
        <x:v>周末已解析；节假日需交易所对应年度日历核验，实际交易日待核</x:v>
      </x:c>
    </x:row>
    <x:row r="799" ht="23" customHeight="1">
      <x:c r="A799" s="15" t="str">
        <x:v>300363.SZ</x:v>
      </x:c>
      <x:c r="B799" s="15" t="str">
        <x:v>三年</x:v>
      </x:c>
      <x:c r="C799" s="15" t="str">
        <x:v>活动输入</x:v>
      </x:c>
      <x:c r="D799" s="15" t="str">
        <x:v>EPS</x:v>
      </x:c>
      <x:c r="E799" s="17" t="n">
        <x:f>CHOOSE($B$3,E800,E801,E802)</x:f>
        <x:v>1.5</x:v>
      </x:c>
      <x:c r="F799" s="17" t="n">
        <x:f>CHOOSE($B$3,F800,F801,F802)</x:f>
        <x:v>28</x:v>
      </x:c>
      <x:c r="G799" s="17" t="n">
        <x:f>CHOOSE($B$3,G800,G801,G802)</x:f>
        <x:v>1</x:v>
      </x:c>
      <x:c r="H799" s="17" t="n">
        <x:f>CHOOSE($B$3,H800,H801,H802)</x:f>
        <x:v>0.35</x:v>
      </x:c>
      <x:c r="I799" s="17" t="str">
        <x:f>CHOOSE($B$3,I800,I801,I802)</x:f>
      </x:c>
      <x:c r="J799" s="19" t="str">
        <x:f>CHOOSE($B$3,J800,J801,J802)</x:f>
      </x:c>
      <x:c r="K799" s="21" t="str">
        <x:f>CHOOSE($B$3,K800,K801,K802)</x:f>
      </x:c>
      <x:c r="L799" s="15" t="str">
        <x:v>porton-normalized-pe-v1.0</x:v>
      </x:c>
      <x:c r="M799" s="15" t="str">
        <x:v>2029-10-09</x:v>
      </x:c>
      <x:c r="O799" t="str">
        <x:v>CNY</x:v>
      </x:c>
      <x:c r="V799" t="str">
        <x:v>2029-10-09</x:v>
      </x:c>
      <x:c r="W799" t="str">
        <x:v>待核</x:v>
      </x:c>
      <x:c r="X799" t="str">
        <x:v>周末已解析；节假日需交易所对应年度日历核验，实际交易日待核</x:v>
      </x:c>
    </x:row>
    <x:row r="800" ht="23" customHeight="1">
      <x:c r="A800" s="11" t="str">
        <x:v>300363.SZ</x:v>
      </x:c>
      <x:c r="B800" s="11" t="str">
        <x:v>三年</x:v>
      </x:c>
      <x:c r="C800" s="11" t="str">
        <x:v>悲观</x:v>
      </x:c>
      <x:c r="D800" s="11" t="str">
        <x:v>EPS</x:v>
      </x:c>
      <x:c r="E800" s="18" t="n">
        <x:v>0.45</x:v>
      </x:c>
      <x:c r="F800" s="18" t="n">
        <x:v>18</x:v>
      </x:c>
      <x:c r="G800" s="18" t="n">
        <x:v>1</x:v>
      </x:c>
      <x:c r="H800" s="18" t="n">
        <x:v>0.08</x:v>
      </x:c>
      <x:c r="I800" s="18"/>
      <x:c r="J800" s="20"/>
      <x:c r="K800" s="22"/>
      <x:c r="L800" s="11" t="str">
        <x:v>porton-normalized-pe-v1.0</x:v>
      </x:c>
      <x:c r="M800" s="11" t="str">
        <x:v>2029-10-09</x:v>
      </x:c>
      <x:c r="O800" t="str">
        <x:v>CNY</x:v>
      </x:c>
      <x:c r="V800" t="str">
        <x:v>2029-10-09</x:v>
      </x:c>
      <x:c r="W800" t="str">
        <x:v>待核</x:v>
      </x:c>
      <x:c r="X800" t="str">
        <x:v>周末已解析；节假日需交易所对应年度日历核验，实际交易日待核</x:v>
      </x:c>
    </x:row>
    <x:row r="801" ht="23" customHeight="1">
      <x:c r="A801" s="11" t="str">
        <x:v>300363.SZ</x:v>
      </x:c>
      <x:c r="B801" s="11" t="str">
        <x:v>三年</x:v>
      </x:c>
      <x:c r="C801" s="11" t="str">
        <x:v>基准</x:v>
      </x:c>
      <x:c r="D801" s="11" t="str">
        <x:v>EPS</x:v>
      </x:c>
      <x:c r="E801" s="18" t="n">
        <x:v>1.5</x:v>
      </x:c>
      <x:c r="F801" s="18" t="n">
        <x:v>28</x:v>
      </x:c>
      <x:c r="G801" s="18" t="n">
        <x:v>1</x:v>
      </x:c>
      <x:c r="H801" s="18" t="n">
        <x:v>0.35</x:v>
      </x:c>
      <x:c r="I801" s="18"/>
      <x:c r="J801" s="20"/>
      <x:c r="K801" s="22"/>
      <x:c r="L801" s="11" t="str">
        <x:v>porton-normalized-pe-v1.0</x:v>
      </x:c>
      <x:c r="M801" s="11" t="str">
        <x:v>2029-10-09</x:v>
      </x:c>
      <x:c r="O801" t="str">
        <x:v>CNY</x:v>
      </x:c>
      <x:c r="V801" t="str">
        <x:v>2029-10-09</x:v>
      </x:c>
      <x:c r="W801" t="str">
        <x:v>待核</x:v>
      </x:c>
      <x:c r="X801" t="str">
        <x:v>周末已解析；节假日需交易所对应年度日历核验，实际交易日待核</x:v>
      </x:c>
    </x:row>
    <x:row r="802" ht="23" customHeight="1">
      <x:c r="A802" s="11" t="str">
        <x:v>300363.SZ</x:v>
      </x:c>
      <x:c r="B802" s="11" t="str">
        <x:v>三年</x:v>
      </x:c>
      <x:c r="C802" s="11" t="str">
        <x:v>乐观</x:v>
      </x:c>
      <x:c r="D802" s="11" t="str">
        <x:v>EPS</x:v>
      </x:c>
      <x:c r="E802" s="18" t="n">
        <x:v>2.4</x:v>
      </x:c>
      <x:c r="F802" s="18" t="n">
        <x:v>36</x:v>
      </x:c>
      <x:c r="G802" s="18" t="n">
        <x:v>1</x:v>
      </x:c>
      <x:c r="H802" s="18" t="n">
        <x:v>0.65</x:v>
      </x:c>
      <x:c r="I802" s="18"/>
      <x:c r="J802" s="20"/>
      <x:c r="K802" s="22"/>
      <x:c r="L802" s="11" t="str">
        <x:v>porton-normalized-pe-v1.0</x:v>
      </x:c>
      <x:c r="M802" s="11" t="str">
        <x:v>2029-10-09</x:v>
      </x:c>
      <x:c r="O802" t="str">
        <x:v>CNY</x:v>
      </x:c>
      <x:c r="V802" t="str">
        <x:v>2029-10-09</x:v>
      </x:c>
      <x:c r="W802" t="str">
        <x:v>待核</x:v>
      </x:c>
      <x:c r="X802" t="str">
        <x:v>周末已解析；节假日需交易所对应年度日历核验，实际交易日待核</x:v>
      </x:c>
    </x:row>
    <x:row r="803" ht="23" customHeight="1">
      <x:c r="A803" s="15" t="str">
        <x:v>300363.SZ</x:v>
      </x:c>
      <x:c r="B803" s="15" t="str">
        <x:v>五年</x:v>
      </x:c>
      <x:c r="C803" s="15" t="str">
        <x:v>活动输入</x:v>
      </x:c>
      <x:c r="D803" s="15" t="str">
        <x:v>EPS</x:v>
      </x:c>
      <x:c r="E803" s="17" t="n">
        <x:f>CHOOSE($B$3,E804,E805,E806)</x:f>
        <x:v>2.2</x:v>
      </x:c>
      <x:c r="F803" s="17" t="n">
        <x:f>CHOOSE($B$3,F804,F805,F806)</x:f>
        <x:v>25</x:v>
      </x:c>
      <x:c r="G803" s="17" t="n">
        <x:f>CHOOSE($B$3,G804,G805,G806)</x:f>
        <x:v>1</x:v>
      </x:c>
      <x:c r="H803" s="17" t="n">
        <x:f>CHOOSE($B$3,H804,H805,H806)</x:f>
        <x:v>0.8</x:v>
      </x:c>
      <x:c r="I803" s="17" t="str">
        <x:f>CHOOSE($B$3,I804,I805,I806)</x:f>
      </x:c>
      <x:c r="J803" s="19" t="str">
        <x:f>CHOOSE($B$3,J804,J805,J806)</x:f>
      </x:c>
      <x:c r="K803" s="21" t="str">
        <x:f>CHOOSE($B$3,K804,K805,K806)</x:f>
      </x:c>
      <x:c r="L803" s="15" t="str">
        <x:v>porton-normalized-pe-v1.0</x:v>
      </x:c>
      <x:c r="M803" s="15" t="str">
        <x:v>2031-10-09</x:v>
      </x:c>
      <x:c r="O803" t="str">
        <x:v>CNY</x:v>
      </x:c>
      <x:c r="V803" t="str">
        <x:v>2031-10-09</x:v>
      </x:c>
      <x:c r="W803" t="str">
        <x:v>待核</x:v>
      </x:c>
      <x:c r="X803" t="str">
        <x:v>周末已解析；节假日需交易所对应年度日历核验，实际交易日待核</x:v>
      </x:c>
    </x:row>
    <x:row r="804" ht="23" customHeight="1">
      <x:c r="A804" s="11" t="str">
        <x:v>300363.SZ</x:v>
      </x:c>
      <x:c r="B804" s="11" t="str">
        <x:v>五年</x:v>
      </x:c>
      <x:c r="C804" s="11" t="str">
        <x:v>悲观</x:v>
      </x:c>
      <x:c r="D804" s="11" t="str">
        <x:v>EPS</x:v>
      </x:c>
      <x:c r="E804" s="18" t="n">
        <x:v>0.65</x:v>
      </x:c>
      <x:c r="F804" s="18" t="n">
        <x:v>16</x:v>
      </x:c>
      <x:c r="G804" s="18" t="n">
        <x:v>1</x:v>
      </x:c>
      <x:c r="H804" s="18" t="n">
        <x:v>0.2</x:v>
      </x:c>
      <x:c r="I804" s="18"/>
      <x:c r="J804" s="20"/>
      <x:c r="K804" s="22"/>
      <x:c r="L804" s="11" t="str">
        <x:v>porton-normalized-pe-v1.0</x:v>
      </x:c>
      <x:c r="M804" s="11" t="str">
        <x:v>2031-10-09</x:v>
      </x:c>
      <x:c r="O804" t="str">
        <x:v>CNY</x:v>
      </x:c>
      <x:c r="V804" t="str">
        <x:v>2031-10-09</x:v>
      </x:c>
      <x:c r="W804" t="str">
        <x:v>待核</x:v>
      </x:c>
      <x:c r="X804" t="str">
        <x:v>周末已解析；节假日需交易所对应年度日历核验，实际交易日待核</x:v>
      </x:c>
    </x:row>
    <x:row r="805" ht="23" customHeight="1">
      <x:c r="A805" s="11" t="str">
        <x:v>300363.SZ</x:v>
      </x:c>
      <x:c r="B805" s="11" t="str">
        <x:v>五年</x:v>
      </x:c>
      <x:c r="C805" s="11" t="str">
        <x:v>基准</x:v>
      </x:c>
      <x:c r="D805" s="11" t="str">
        <x:v>EPS</x:v>
      </x:c>
      <x:c r="E805" s="18" t="n">
        <x:v>2.2</x:v>
      </x:c>
      <x:c r="F805" s="18" t="n">
        <x:v>25</x:v>
      </x:c>
      <x:c r="G805" s="18" t="n">
        <x:v>1</x:v>
      </x:c>
      <x:c r="H805" s="18" t="n">
        <x:v>0.8</x:v>
      </x:c>
      <x:c r="I805" s="18"/>
      <x:c r="J805" s="20"/>
      <x:c r="K805" s="22"/>
      <x:c r="L805" s="11" t="str">
        <x:v>porton-normalized-pe-v1.0</x:v>
      </x:c>
      <x:c r="M805" s="11" t="str">
        <x:v>2031-10-09</x:v>
      </x:c>
      <x:c r="O805" t="str">
        <x:v>CNY</x:v>
      </x:c>
      <x:c r="V805" t="str">
        <x:v>2031-10-09</x:v>
      </x:c>
      <x:c r="W805" t="str">
        <x:v>待核</x:v>
      </x:c>
      <x:c r="X805" t="str">
        <x:v>周末已解析；节假日需交易所对应年度日历核验，实际交易日待核</x:v>
      </x:c>
    </x:row>
    <x:row r="806" ht="23" customHeight="1">
      <x:c r="A806" s="11" t="str">
        <x:v>300363.SZ</x:v>
      </x:c>
      <x:c r="B806" s="11" t="str">
        <x:v>五年</x:v>
      </x:c>
      <x:c r="C806" s="11" t="str">
        <x:v>乐观</x:v>
      </x:c>
      <x:c r="D806" s="11" t="str">
        <x:v>EPS</x:v>
      </x:c>
      <x:c r="E806" s="18" t="n">
        <x:v>3.8</x:v>
      </x:c>
      <x:c r="F806" s="18" t="n">
        <x:v>32</x:v>
      </x:c>
      <x:c r="G806" s="18" t="n">
        <x:v>1</x:v>
      </x:c>
      <x:c r="H806" s="18" t="n">
        <x:v>1.6</x:v>
      </x:c>
      <x:c r="I806" s="18"/>
      <x:c r="J806" s="20"/>
      <x:c r="K806" s="22"/>
      <x:c r="L806" s="11" t="str">
        <x:v>porton-normalized-pe-v1.0</x:v>
      </x:c>
      <x:c r="M806" s="11" t="str">
        <x:v>2031-10-09</x:v>
      </x:c>
      <x:c r="O806" t="str">
        <x:v>CNY</x:v>
      </x:c>
      <x:c r="V806" t="str">
        <x:v>2031-10-09</x:v>
      </x:c>
      <x:c r="W806" t="str">
        <x:v>待核</x:v>
      </x:c>
      <x:c r="X806" t="str">
        <x:v>周末已解析；节假日需交易所对应年度日历核验，实际交易日待核</x:v>
      </x:c>
    </x:row>
    <x:row r="807" ht="23" customHeight="1">
      <x:c r="A807" s="15" t="str">
        <x:v>09995.HK</x:v>
      </x:c>
      <x:c r="B807" s="15" t="str">
        <x:v>2026年底</x:v>
      </x:c>
      <x:c r="C807" s="15" t="str">
        <x:v>活动输入</x:v>
      </x:c>
      <x:c r="D807" s="15" t="str">
        <x:v>收入利润率</x:v>
      </x:c>
      <x:c r="E807" s="17" t="n">
        <x:f>CHOOSE($B$3,E808,E809,E810)</x:f>
        <x:v>0</x:v>
      </x:c>
      <x:c r="F807" s="17" t="n">
        <x:f>CHOOSE($B$3,F808,F809,F810)</x:f>
        <x:v>0</x:v>
      </x:c>
      <x:c r="G807" s="17" t="n">
        <x:f>CHOOSE($B$3,G808,G809,G810)</x:f>
        <x:v>1.1</x:v>
      </x:c>
      <x:c r="H807" s="17" t="n">
        <x:f>CHOOSE($B$3,H808,H809,H810)</x:f>
        <x:v>0</x:v>
      </x:c>
      <x:c r="I807" s="17" t="n">
        <x:f>CHOOSE($B$3,I808,I809,I810)</x:f>
        <x:v>0</x:v>
      </x:c>
      <x:c r="J807" s="19" t="n">
        <x:f>CHOOSE($B$3,J808,J809,J810)</x:f>
        <x:v>0</x:v>
      </x:c>
      <x:c r="K807" s="21" t="n">
        <x:f>CHOOSE($B$3,K808,K809,K810)</x:f>
        <x:v>0.569</x:v>
      </x:c>
      <x:c r="L807" s="15" t="str">
        <x:v>remegen-v2-finite-assets-Vor-residual-return-aligned-score</x:v>
      </x:c>
      <x:c r="M807" s="15" t="str">
        <x:v>2026-12-31</x:v>
      </x:c>
      <x:c r="N807" t="n">
        <x:f>CHOOSE($B$3,N808,N809,N810)</x:f>
        <x:v>2.7</x:v>
      </x:c>
      <x:c r="O807" t="str">
        <x:v>CNY</x:v>
      </x:c>
      <x:c r="Q807" t="n">
        <x:f>CHOOSE($B$3,Q808,Q809,Q810)</x:f>
        <x:v>0</x:v>
      </x:c>
      <x:c r="U807" t="n">
        <x:f>CHOOSE($B$3,U808,U809,U810)</x:f>
        <x:v>0.6</x:v>
      </x:c>
      <x:c r="V807" t="str">
        <x:v>2026-12-31</x:v>
      </x:c>
      <x:c r="W807" t="str">
        <x:v>待核</x:v>
      </x:c>
      <x:c r="X807" t="str">
        <x:v>周末已解析；节假日需交易所对应年度日历核验，实际交易日待核</x:v>
      </x:c>
    </x:row>
    <x:row r="808" ht="23" customHeight="1">
      <x:c r="A808" s="11" t="str">
        <x:v>09995.HK</x:v>
      </x:c>
      <x:c r="B808" s="11" t="str">
        <x:v>2026年底</x:v>
      </x:c>
      <x:c r="C808" s="11" t="str">
        <x:v>悲观</x:v>
      </x:c>
      <x:c r="D808" s="11" t="str">
        <x:v>收入利润率</x:v>
      </x:c>
      <x:c r="E808" s="18" t="n">
        <x:v>0</x:v>
      </x:c>
      <x:c r="F808" s="18" t="n">
        <x:v>0</x:v>
      </x:c>
      <x:c r="G808" s="18" t="n">
        <x:v>1.1</x:v>
      </x:c>
      <x:c r="H808" s="18" t="n">
        <x:v>0</x:v>
      </x:c>
      <x:c r="I808" s="18" t="n">
        <x:v>0</x:v>
      </x:c>
      <x:c r="J808" s="20" t="n">
        <x:v>0</x:v>
      </x:c>
      <x:c r="K808" s="22" t="n">
        <x:v>0.573</x:v>
      </x:c>
      <x:c r="L808" s="11" t="str">
        <x:v>remegen-v2-finite-assets-Vor-residual-return-aligned-score</x:v>
      </x:c>
      <x:c r="M808" s="11" t="str">
        <x:v>2026-12-31</x:v>
      </x:c>
      <x:c r="N808" s="42" t="n">
        <x:v>2.45</x:v>
      </x:c>
      <x:c r="O808" t="str">
        <x:v>CNY</x:v>
      </x:c>
      <x:c r="Q808" s="42" t="n">
        <x:v>0</x:v>
      </x:c>
      <x:c r="U808" s="42" t="n">
        <x:v>0.4</x:v>
      </x:c>
      <x:c r="V808" t="str">
        <x:v>2026-12-31</x:v>
      </x:c>
      <x:c r="W808" t="str">
        <x:v>待核</x:v>
      </x:c>
      <x:c r="X808" t="str">
        <x:v>周末已解析；节假日需交易所对应年度日历核验，实际交易日待核</x:v>
      </x:c>
    </x:row>
    <x:row r="809" ht="23" customHeight="1">
      <x:c r="A809" s="11" t="str">
        <x:v>09995.HK</x:v>
      </x:c>
      <x:c r="B809" s="11" t="str">
        <x:v>2026年底</x:v>
      </x:c>
      <x:c r="C809" s="11" t="str">
        <x:v>基准</x:v>
      </x:c>
      <x:c r="D809" s="11" t="str">
        <x:v>收入利润率</x:v>
      </x:c>
      <x:c r="E809" s="18" t="n">
        <x:v>0</x:v>
      </x:c>
      <x:c r="F809" s="18" t="n">
        <x:v>0</x:v>
      </x:c>
      <x:c r="G809" s="18" t="n">
        <x:v>1.1</x:v>
      </x:c>
      <x:c r="H809" s="18" t="n">
        <x:v>0</x:v>
      </x:c>
      <x:c r="I809" s="18" t="n">
        <x:v>0</x:v>
      </x:c>
      <x:c r="J809" s="20" t="n">
        <x:v>0</x:v>
      </x:c>
      <x:c r="K809" s="22" t="n">
        <x:v>0.569</x:v>
      </x:c>
      <x:c r="L809" s="11" t="str">
        <x:v>remegen-v2-finite-assets-Vor-residual-return-aligned-score</x:v>
      </x:c>
      <x:c r="M809" s="11" t="str">
        <x:v>2026-12-31</x:v>
      </x:c>
      <x:c r="N809" s="42" t="n">
        <x:v>2.7</x:v>
      </x:c>
      <x:c r="O809" t="str">
        <x:v>CNY</x:v>
      </x:c>
      <x:c r="Q809" s="42" t="n">
        <x:v>0</x:v>
      </x:c>
      <x:c r="U809" s="42" t="n">
        <x:v>0.6</x:v>
      </x:c>
      <x:c r="V809" t="str">
        <x:v>2026-12-31</x:v>
      </x:c>
      <x:c r="W809" t="str">
        <x:v>待核</x:v>
      </x:c>
      <x:c r="X809" t="str">
        <x:v>周末已解析；节假日需交易所对应年度日历核验，实际交易日待核</x:v>
      </x:c>
    </x:row>
    <x:row r="810" ht="23" customHeight="1">
      <x:c r="A810" s="11" t="str">
        <x:v>09995.HK</x:v>
      </x:c>
      <x:c r="B810" s="11" t="str">
        <x:v>2026年底</x:v>
      </x:c>
      <x:c r="C810" s="11" t="str">
        <x:v>乐观</x:v>
      </x:c>
      <x:c r="D810" s="11" t="str">
        <x:v>收入利润率</x:v>
      </x:c>
      <x:c r="E810" s="18" t="n">
        <x:v>0</x:v>
      </x:c>
      <x:c r="F810" s="18" t="n">
        <x:v>0</x:v>
      </x:c>
      <x:c r="G810" s="18" t="n">
        <x:v>1.1</x:v>
      </x:c>
      <x:c r="H810" s="18" t="n">
        <x:v>0</x:v>
      </x:c>
      <x:c r="I810" s="18" t="n">
        <x:v>0</x:v>
      </x:c>
      <x:c r="J810" s="20" t="n">
        <x:v>0</x:v>
      </x:c>
      <x:c r="K810" s="22" t="n">
        <x:v>0.566</x:v>
      </x:c>
      <x:c r="L810" s="11" t="str">
        <x:v>remegen-v2-finite-assets-Vor-residual-return-aligned-score</x:v>
      </x:c>
      <x:c r="M810" s="11" t="str">
        <x:v>2026-12-31</x:v>
      </x:c>
      <x:c r="N810" s="42" t="n">
        <x:v>2.95</x:v>
      </x:c>
      <x:c r="O810" t="str">
        <x:v>CNY</x:v>
      </x:c>
      <x:c r="Q810" s="42" t="n">
        <x:v>0</x:v>
      </x:c>
      <x:c r="U810" s="42" t="n">
        <x:v>0.3</x:v>
      </x:c>
      <x:c r="V810" t="str">
        <x:v>2026-12-31</x:v>
      </x:c>
      <x:c r="W810" t="str">
        <x:v>待核</x:v>
      </x:c>
      <x:c r="X810" t="str">
        <x:v>周末已解析；节假日需交易所对应年度日历核验，实际交易日待核</x:v>
      </x:c>
    </x:row>
    <x:row r="811" ht="23" customHeight="1">
      <x:c r="A811" s="15" t="str">
        <x:v>09995.HK</x:v>
      </x:c>
      <x:c r="B811" s="15" t="str">
        <x:v>半年</x:v>
      </x:c>
      <x:c r="C811" s="15" t="str">
        <x:v>活动输入</x:v>
      </x:c>
      <x:c r="D811" s="15" t="str">
        <x:v>收入利润率</x:v>
      </x:c>
      <x:c r="E811" s="17" t="n">
        <x:f>CHOOSE($B$3,E812,E813,E814)</x:f>
        <x:v>0</x:v>
      </x:c>
      <x:c r="F811" s="17" t="n">
        <x:f>CHOOSE($B$3,F812,F813,F814)</x:f>
        <x:v>0</x:v>
      </x:c>
      <x:c r="G811" s="17" t="n">
        <x:f>CHOOSE($B$3,G812,G813,G814)</x:f>
        <x:v>1.1</x:v>
      </x:c>
      <x:c r="H811" s="17" t="n">
        <x:f>CHOOSE($B$3,H812,H813,H814)</x:f>
        <x:v>0</x:v>
      </x:c>
      <x:c r="I811" s="17" t="n">
        <x:f>CHOOSE($B$3,I812,I813,I814)</x:f>
        <x:v>0</x:v>
      </x:c>
      <x:c r="J811" s="19" t="n">
        <x:f>CHOOSE($B$3,J812,J813,J814)</x:f>
        <x:v>0</x:v>
      </x:c>
      <x:c r="K811" s="21" t="n">
        <x:f>CHOOSE($B$3,K812,K813,K814)</x:f>
        <x:v>0.576</x:v>
      </x:c>
      <x:c r="L811" s="15" t="str">
        <x:v>remegen-v2-finite-assets-Vor-residual-return-aligned-score</x:v>
      </x:c>
      <x:c r="M811" s="15" t="str">
        <x:v>2027-04-09</x:v>
      </x:c>
      <x:c r="N811" t="n">
        <x:f>CHOOSE($B$3,N812,N813,N814)</x:f>
        <x:v>2.65</x:v>
      </x:c>
      <x:c r="O811" t="str">
        <x:v>CNY</x:v>
      </x:c>
      <x:c r="Q811" t="n">
        <x:f>CHOOSE($B$3,Q812,Q813,Q814)</x:f>
        <x:v>0</x:v>
      </x:c>
      <x:c r="U811" t="n">
        <x:f>CHOOSE($B$3,U812,U813,U814)</x:f>
        <x:v>0.9</x:v>
      </x:c>
      <x:c r="V811" t="str">
        <x:v>2027-04-09</x:v>
      </x:c>
      <x:c r="W811" t="str">
        <x:v>待核</x:v>
      </x:c>
      <x:c r="X811" t="str">
        <x:v>周末已解析；节假日需交易所对应年度日历核验，实际交易日待核</x:v>
      </x:c>
    </x:row>
    <x:row r="812" ht="23" customHeight="1">
      <x:c r="A812" s="11" t="str">
        <x:v>09995.HK</x:v>
      </x:c>
      <x:c r="B812" s="11" t="str">
        <x:v>半年</x:v>
      </x:c>
      <x:c r="C812" s="11" t="str">
        <x:v>悲观</x:v>
      </x:c>
      <x:c r="D812" s="11" t="str">
        <x:v>收入利润率</x:v>
      </x:c>
      <x:c r="E812" s="18" t="n">
        <x:v>0</x:v>
      </x:c>
      <x:c r="F812" s="18" t="n">
        <x:v>0</x:v>
      </x:c>
      <x:c r="G812" s="18" t="n">
        <x:v>1.1</x:v>
      </x:c>
      <x:c r="H812" s="18" t="n">
        <x:v>0</x:v>
      </x:c>
      <x:c r="I812" s="18" t="n">
        <x:v>0</x:v>
      </x:c>
      <x:c r="J812" s="20" t="n">
        <x:v>0</x:v>
      </x:c>
      <x:c r="K812" s="22" t="n">
        <x:v>0.59</x:v>
      </x:c>
      <x:c r="L812" s="11" t="str">
        <x:v>remegen-v2-finite-assets-Vor-residual-return-aligned-score</x:v>
      </x:c>
      <x:c r="M812" s="11" t="str">
        <x:v>2027-04-09</x:v>
      </x:c>
      <x:c r="N812" s="42" t="n">
        <x:v>2.05</x:v>
      </x:c>
      <x:c r="O812" t="str">
        <x:v>CNY</x:v>
      </x:c>
      <x:c r="Q812" s="42" t="n">
        <x:v>0</x:v>
      </x:c>
      <x:c r="U812" s="42" t="n">
        <x:v>0.7</x:v>
      </x:c>
      <x:c r="V812" t="str">
        <x:v>2027-04-09</x:v>
      </x:c>
      <x:c r="W812" t="str">
        <x:v>待核</x:v>
      </x:c>
      <x:c r="X812" t="str">
        <x:v>周末已解析；节假日需交易所对应年度日历核验，实际交易日待核</x:v>
      </x:c>
    </x:row>
    <x:row r="813" ht="23" customHeight="1">
      <x:c r="A813" s="11" t="str">
        <x:v>09995.HK</x:v>
      </x:c>
      <x:c r="B813" s="11" t="str">
        <x:v>半年</x:v>
      </x:c>
      <x:c r="C813" s="11" t="str">
        <x:v>基准</x:v>
      </x:c>
      <x:c r="D813" s="11" t="str">
        <x:v>收入利润率</x:v>
      </x:c>
      <x:c r="E813" s="18" t="n">
        <x:v>0</x:v>
      </x:c>
      <x:c r="F813" s="18" t="n">
        <x:v>0</x:v>
      </x:c>
      <x:c r="G813" s="18" t="n">
        <x:v>1.1</x:v>
      </x:c>
      <x:c r="H813" s="18" t="n">
        <x:v>0</x:v>
      </x:c>
      <x:c r="I813" s="18" t="n">
        <x:v>0</x:v>
      </x:c>
      <x:c r="J813" s="20" t="n">
        <x:v>0</x:v>
      </x:c>
      <x:c r="K813" s="22" t="n">
        <x:v>0.576</x:v>
      </x:c>
      <x:c r="L813" s="11" t="str">
        <x:v>remegen-v2-finite-assets-Vor-residual-return-aligned-score</x:v>
      </x:c>
      <x:c r="M813" s="11" t="str">
        <x:v>2027-04-09</x:v>
      </x:c>
      <x:c r="N813" s="42" t="n">
        <x:v>2.65</x:v>
      </x:c>
      <x:c r="O813" t="str">
        <x:v>CNY</x:v>
      </x:c>
      <x:c r="Q813" s="42" t="n">
        <x:v>0</x:v>
      </x:c>
      <x:c r="U813" s="42" t="n">
        <x:v>0.9</x:v>
      </x:c>
      <x:c r="V813" t="str">
        <x:v>2027-04-09</x:v>
      </x:c>
      <x:c r="W813" t="str">
        <x:v>待核</x:v>
      </x:c>
      <x:c r="X813" t="str">
        <x:v>周末已解析；节假日需交易所对应年度日历核验，实际交易日待核</x:v>
      </x:c>
    </x:row>
    <x:row r="814" ht="23" customHeight="1">
      <x:c r="A814" s="11" t="str">
        <x:v>09995.HK</x:v>
      </x:c>
      <x:c r="B814" s="11" t="str">
        <x:v>半年</x:v>
      </x:c>
      <x:c r="C814" s="11" t="str">
        <x:v>乐观</x:v>
      </x:c>
      <x:c r="D814" s="11" t="str">
        <x:v>收入利润率</x:v>
      </x:c>
      <x:c r="E814" s="18" t="n">
        <x:v>0</x:v>
      </x:c>
      <x:c r="F814" s="18" t="n">
        <x:v>0</x:v>
      </x:c>
      <x:c r="G814" s="18" t="n">
        <x:v>1.1</x:v>
      </x:c>
      <x:c r="H814" s="18" t="n">
        <x:v>0</x:v>
      </x:c>
      <x:c r="I814" s="18" t="n">
        <x:v>0</x:v>
      </x:c>
      <x:c r="J814" s="20" t="n">
        <x:v>0</x:v>
      </x:c>
      <x:c r="K814" s="22" t="n">
        <x:v>0.568</x:v>
      </x:c>
      <x:c r="L814" s="11" t="str">
        <x:v>remegen-v2-finite-assets-Vor-residual-return-aligned-score</x:v>
      </x:c>
      <x:c r="M814" s="11" t="str">
        <x:v>2027-04-09</x:v>
      </x:c>
      <x:c r="N814" s="42" t="n">
        <x:v>3.15</x:v>
      </x:c>
      <x:c r="O814" t="str">
        <x:v>CNY</x:v>
      </x:c>
      <x:c r="Q814" s="42" t="n">
        <x:v>0</x:v>
      </x:c>
      <x:c r="U814" s="42" t="n">
        <x:v>0.6</x:v>
      </x:c>
      <x:c r="V814" t="str">
        <x:v>2027-04-09</x:v>
      </x:c>
      <x:c r="W814" t="str">
        <x:v>待核</x:v>
      </x:c>
      <x:c r="X814" t="str">
        <x:v>周末已解析；节假日需交易所对应年度日历核验，实际交易日待核</x:v>
      </x:c>
    </x:row>
    <x:row r="815" ht="23" customHeight="1">
      <x:c r="A815" s="15" t="str">
        <x:v>09995.HK</x:v>
      </x:c>
      <x:c r="B815" s="15" t="str">
        <x:v>一年</x:v>
      </x:c>
      <x:c r="C815" s="15" t="str">
        <x:v>活动输入</x:v>
      </x:c>
      <x:c r="D815" s="15" t="str">
        <x:v>收入利润率</x:v>
      </x:c>
      <x:c r="E815" s="17" t="n">
        <x:f>CHOOSE($B$3,E816,E817,E818)</x:f>
        <x:v>0</x:v>
      </x:c>
      <x:c r="F815" s="17" t="n">
        <x:f>CHOOSE($B$3,F816,F817,F818)</x:f>
        <x:v>0</x:v>
      </x:c>
      <x:c r="G815" s="17" t="n">
        <x:f>CHOOSE($B$3,G816,G817,G818)</x:f>
        <x:v>1.1</x:v>
      </x:c>
      <x:c r="H815" s="17" t="n">
        <x:f>CHOOSE($B$3,H816,H817,H818)</x:f>
        <x:v>0</x:v>
      </x:c>
      <x:c r="I815" s="17" t="n">
        <x:f>CHOOSE($B$3,I816,I817,I818)</x:f>
        <x:v>0</x:v>
      </x:c>
      <x:c r="J815" s="19" t="n">
        <x:f>CHOOSE($B$3,J816,J817,J818)</x:f>
        <x:v>0</x:v>
      </x:c>
      <x:c r="K815" s="21" t="n">
        <x:f>CHOOSE($B$3,K816,K817,K818)</x:f>
        <x:v>0.59</x:v>
      </x:c>
      <x:c r="L815" s="15" t="str">
        <x:v>remegen-v2-finite-assets-Vor-residual-return-aligned-score</x:v>
      </x:c>
      <x:c r="M815" s="15" t="str">
        <x:v>2027-10-09</x:v>
      </x:c>
      <x:c r="N815" t="n">
        <x:f>CHOOSE($B$3,N816,N817,N818)</x:f>
        <x:v>2.8</x:v>
      </x:c>
      <x:c r="O815" t="str">
        <x:v>CNY</x:v>
      </x:c>
      <x:c r="Q815" t="n">
        <x:f>CHOOSE($B$3,Q816,Q817,Q818)</x:f>
        <x:v>0</x:v>
      </x:c>
      <x:c r="U815" t="n">
        <x:f>CHOOSE($B$3,U816,U817,U818)</x:f>
        <x:v>1</x:v>
      </x:c>
      <x:c r="V815" t="str">
        <x:v>2027-10-08</x:v>
      </x:c>
      <x:c r="W815" t="str">
        <x:v>待核</x:v>
      </x:c>
      <x:c r="X815" t="str">
        <x:v>周末已解析；节假日需交易所对应年度日历核验，实际交易日待核</x:v>
      </x:c>
    </x:row>
    <x:row r="816" ht="23" customHeight="1">
      <x:c r="A816" s="11" t="str">
        <x:v>09995.HK</x:v>
      </x:c>
      <x:c r="B816" s="11" t="str">
        <x:v>一年</x:v>
      </x:c>
      <x:c r="C816" s="11" t="str">
        <x:v>悲观</x:v>
      </x:c>
      <x:c r="D816" s="11" t="str">
        <x:v>收入利润率</x:v>
      </x:c>
      <x:c r="E816" s="18" t="n">
        <x:v>0</x:v>
      </x:c>
      <x:c r="F816" s="18" t="n">
        <x:v>0</x:v>
      </x:c>
      <x:c r="G816" s="18" t="n">
        <x:v>1.1</x:v>
      </x:c>
      <x:c r="H816" s="18" t="n">
        <x:v>0</x:v>
      </x:c>
      <x:c r="I816" s="18" t="n">
        <x:v>0</x:v>
      </x:c>
      <x:c r="J816" s="20" t="n">
        <x:v>0</x:v>
      </x:c>
      <x:c r="K816" s="22" t="n">
        <x:v>0.625</x:v>
      </x:c>
      <x:c r="L816" s="11" t="str">
        <x:v>remegen-v2-finite-assets-Vor-residual-return-aligned-score</x:v>
      </x:c>
      <x:c r="M816" s="11" t="str">
        <x:v>2027-10-09</x:v>
      </x:c>
      <x:c r="N816" s="42" t="n">
        <x:v>1.45</x:v>
      </x:c>
      <x:c r="O816" t="str">
        <x:v>CNY</x:v>
      </x:c>
      <x:c r="Q816" s="42" t="n">
        <x:v>0</x:v>
      </x:c>
      <x:c r="U816" s="42" t="n">
        <x:v>1</x:v>
      </x:c>
      <x:c r="V816" t="str">
        <x:v>2027-10-08</x:v>
      </x:c>
      <x:c r="W816" t="str">
        <x:v>待核</x:v>
      </x:c>
      <x:c r="X816" t="str">
        <x:v>周末已解析；节假日需交易所对应年度日历核验，实际交易日待核</x:v>
      </x:c>
    </x:row>
    <x:row r="817" ht="23" customHeight="1">
      <x:c r="A817" s="11" t="str">
        <x:v>09995.HK</x:v>
      </x:c>
      <x:c r="B817" s="11" t="str">
        <x:v>一年</x:v>
      </x:c>
      <x:c r="C817" s="11" t="str">
        <x:v>基准</x:v>
      </x:c>
      <x:c r="D817" s="11" t="str">
        <x:v>收入利润率</x:v>
      </x:c>
      <x:c r="E817" s="18" t="n">
        <x:v>0</x:v>
      </x:c>
      <x:c r="F817" s="18" t="n">
        <x:v>0</x:v>
      </x:c>
      <x:c r="G817" s="18" t="n">
        <x:v>1.1</x:v>
      </x:c>
      <x:c r="H817" s="18" t="n">
        <x:v>0</x:v>
      </x:c>
      <x:c r="I817" s="18" t="n">
        <x:v>0</x:v>
      </x:c>
      <x:c r="J817" s="20" t="n">
        <x:v>0</x:v>
      </x:c>
      <x:c r="K817" s="22" t="n">
        <x:v>0.59</x:v>
      </x:c>
      <x:c r="L817" s="11" t="str">
        <x:v>remegen-v2-finite-assets-Vor-residual-return-aligned-score</x:v>
      </x:c>
      <x:c r="M817" s="11" t="str">
        <x:v>2027-10-09</x:v>
      </x:c>
      <x:c r="N817" s="42" t="n">
        <x:v>2.8</x:v>
      </x:c>
      <x:c r="O817" t="str">
        <x:v>CNY</x:v>
      </x:c>
      <x:c r="Q817" s="42" t="n">
        <x:v>0</x:v>
      </x:c>
      <x:c r="U817" s="42" t="n">
        <x:v>1</x:v>
      </x:c>
      <x:c r="V817" t="str">
        <x:v>2027-10-08</x:v>
      </x:c>
      <x:c r="W817" t="str">
        <x:v>待核</x:v>
      </x:c>
      <x:c r="X817" t="str">
        <x:v>周末已解析；节假日需交易所对应年度日历核验，实际交易日待核</x:v>
      </x:c>
    </x:row>
    <x:row r="818" ht="23" customHeight="1">
      <x:c r="A818" s="11" t="str">
        <x:v>09995.HK</x:v>
      </x:c>
      <x:c r="B818" s="11" t="str">
        <x:v>一年</x:v>
      </x:c>
      <x:c r="C818" s="11" t="str">
        <x:v>乐观</x:v>
      </x:c>
      <x:c r="D818" s="11" t="str">
        <x:v>收入利润率</x:v>
      </x:c>
      <x:c r="E818" s="18" t="n">
        <x:v>0</x:v>
      </x:c>
      <x:c r="F818" s="18" t="n">
        <x:v>0</x:v>
      </x:c>
      <x:c r="G818" s="18" t="n">
        <x:v>1.1</x:v>
      </x:c>
      <x:c r="H818" s="18" t="n">
        <x:v>0</x:v>
      </x:c>
      <x:c r="I818" s="18" t="n">
        <x:v>0</x:v>
      </x:c>
      <x:c r="J818" s="20" t="n">
        <x:v>0</x:v>
      </x:c>
      <x:c r="K818" s="22" t="n">
        <x:v>0.572</x:v>
      </x:c>
      <x:c r="L818" s="11" t="str">
        <x:v>remegen-v2-finite-assets-Vor-residual-return-aligned-score</x:v>
      </x:c>
      <x:c r="M818" s="11" t="str">
        <x:v>2027-10-09</x:v>
      </x:c>
      <x:c r="N818" s="42" t="n">
        <x:v>3.8</x:v>
      </x:c>
      <x:c r="O818" t="str">
        <x:v>CNY</x:v>
      </x:c>
      <x:c r="Q818" s="42" t="n">
        <x:v>0</x:v>
      </x:c>
      <x:c r="U818" s="42" t="n">
        <x:v>1</x:v>
      </x:c>
      <x:c r="V818" t="str">
        <x:v>2027-10-08</x:v>
      </x:c>
      <x:c r="W818" t="str">
        <x:v>待核</x:v>
      </x:c>
      <x:c r="X818" t="str">
        <x:v>周末已解析；节假日需交易所对应年度日历核验，实际交易日待核</x:v>
      </x:c>
    </x:row>
    <x:row r="819" ht="23" customHeight="1">
      <x:c r="A819" s="15" t="str">
        <x:v>09995.HK</x:v>
      </x:c>
      <x:c r="B819" s="15" t="str">
        <x:v>三年</x:v>
      </x:c>
      <x:c r="C819" s="15" t="str">
        <x:v>活动输入</x:v>
      </x:c>
      <x:c r="D819" s="15" t="str">
        <x:v>收入利润率</x:v>
      </x:c>
      <x:c r="E819" s="17" t="n">
        <x:f>CHOOSE($B$3,E820,E821,E822)</x:f>
        <x:v>0</x:v>
      </x:c>
      <x:c r="F819" s="17" t="n">
        <x:f>CHOOSE($B$3,F820,F821,F822)</x:f>
        <x:v>0</x:v>
      </x:c>
      <x:c r="G819" s="17" t="n">
        <x:f>CHOOSE($B$3,G820,G821,G822)</x:f>
        <x:v>1.1</x:v>
      </x:c>
      <x:c r="H819" s="17" t="n">
        <x:f>CHOOSE($B$3,H820,H821,H822)</x:f>
        <x:v>0</x:v>
      </x:c>
      <x:c r="I819" s="17" t="n">
        <x:f>CHOOSE($B$3,I820,I821,I822)</x:f>
        <x:v>0</x:v>
      </x:c>
      <x:c r="J819" s="19" t="n">
        <x:f>CHOOSE($B$3,J820,J821,J822)</x:f>
        <x:v>0</x:v>
      </x:c>
      <x:c r="K819" s="21" t="n">
        <x:f>CHOOSE($B$3,K820,K821,K822)</x:f>
        <x:v>0.63</x:v>
      </x:c>
      <x:c r="L819" s="15" t="str">
        <x:v>remegen-v2-finite-assets-Vor-residual-return-aligned-score</x:v>
      </x:c>
      <x:c r="M819" s="15" t="str">
        <x:v>2029-10-09</x:v>
      </x:c>
      <x:c r="N819" t="n">
        <x:f>CHOOSE($B$3,N820,N821,N822)</x:f>
        <x:v>3.6</x:v>
      </x:c>
      <x:c r="O819" t="str">
        <x:v>CNY</x:v>
      </x:c>
      <x:c r="Q819" t="n">
        <x:f>CHOOSE($B$3,Q820,Q821,Q822)</x:f>
        <x:v>0</x:v>
      </x:c>
      <x:c r="U819" t="n">
        <x:f>CHOOSE($B$3,U820,U821,U822)</x:f>
        <x:v>1</x:v>
      </x:c>
      <x:c r="V819" t="str">
        <x:v>2029-10-09</x:v>
      </x:c>
      <x:c r="W819" t="str">
        <x:v>待核</x:v>
      </x:c>
      <x:c r="X819" t="str">
        <x:v>周末已解析；节假日需交易所对应年度日历核验，实际交易日待核</x:v>
      </x:c>
    </x:row>
    <x:row r="820" ht="23" customHeight="1">
      <x:c r="A820" s="11" t="str">
        <x:v>09995.HK</x:v>
      </x:c>
      <x:c r="B820" s="11" t="str">
        <x:v>三年</x:v>
      </x:c>
      <x:c r="C820" s="11" t="str">
        <x:v>悲观</x:v>
      </x:c>
      <x:c r="D820" s="11" t="str">
        <x:v>收入利润率</x:v>
      </x:c>
      <x:c r="E820" s="18" t="n">
        <x:v>0</x:v>
      </x:c>
      <x:c r="F820" s="18" t="n">
        <x:v>0</x:v>
      </x:c>
      <x:c r="G820" s="18" t="n">
        <x:v>1.1</x:v>
      </x:c>
      <x:c r="H820" s="18" t="n">
        <x:v>0</x:v>
      </x:c>
      <x:c r="I820" s="18" t="n">
        <x:v>0</x:v>
      </x:c>
      <x:c r="J820" s="20" t="n">
        <x:v>0</x:v>
      </x:c>
      <x:c r="K820" s="22" t="n">
        <x:v>0.72</x:v>
      </x:c>
      <x:c r="L820" s="11" t="str">
        <x:v>remegen-v2-finite-assets-Vor-residual-return-aligned-score</x:v>
      </x:c>
      <x:c r="M820" s="11" t="str">
        <x:v>2029-10-09</x:v>
      </x:c>
      <x:c r="N820" s="42" t="n">
        <x:v>0.2</x:v>
      </x:c>
      <x:c r="O820" t="str">
        <x:v>CNY</x:v>
      </x:c>
      <x:c r="Q820" s="42" t="n">
        <x:v>0</x:v>
      </x:c>
      <x:c r="U820" s="42" t="n">
        <x:v>1</x:v>
      </x:c>
      <x:c r="V820" t="str">
        <x:v>2029-10-09</x:v>
      </x:c>
      <x:c r="W820" t="str">
        <x:v>待核</x:v>
      </x:c>
      <x:c r="X820" t="str">
        <x:v>周末已解析；节假日需交易所对应年度日历核验，实际交易日待核</x:v>
      </x:c>
    </x:row>
    <x:row r="821" ht="23" customHeight="1">
      <x:c r="A821" s="11" t="str">
        <x:v>09995.HK</x:v>
      </x:c>
      <x:c r="B821" s="11" t="str">
        <x:v>三年</x:v>
      </x:c>
      <x:c r="C821" s="11" t="str">
        <x:v>基准</x:v>
      </x:c>
      <x:c r="D821" s="11" t="str">
        <x:v>收入利润率</x:v>
      </x:c>
      <x:c r="E821" s="18" t="n">
        <x:v>0</x:v>
      </x:c>
      <x:c r="F821" s="18" t="n">
        <x:v>0</x:v>
      </x:c>
      <x:c r="G821" s="18" t="n">
        <x:v>1.1</x:v>
      </x:c>
      <x:c r="H821" s="18" t="n">
        <x:v>0</x:v>
      </x:c>
      <x:c r="I821" s="18" t="n">
        <x:v>0</x:v>
      </x:c>
      <x:c r="J821" s="20" t="n">
        <x:v>0</x:v>
      </x:c>
      <x:c r="K821" s="22" t="n">
        <x:v>0.63</x:v>
      </x:c>
      <x:c r="L821" s="11" t="str">
        <x:v>remegen-v2-finite-assets-Vor-residual-return-aligned-score</x:v>
      </x:c>
      <x:c r="M821" s="11" t="str">
        <x:v>2029-10-09</x:v>
      </x:c>
      <x:c r="N821" s="42" t="n">
        <x:v>3.6</x:v>
      </x:c>
      <x:c r="O821" t="str">
        <x:v>CNY</x:v>
      </x:c>
      <x:c r="Q821" s="42" t="n">
        <x:v>0</x:v>
      </x:c>
      <x:c r="U821" s="42" t="n">
        <x:v>1</x:v>
      </x:c>
      <x:c r="V821" t="str">
        <x:v>2029-10-09</x:v>
      </x:c>
      <x:c r="W821" t="str">
        <x:v>待核</x:v>
      </x:c>
      <x:c r="X821" t="str">
        <x:v>周末已解析；节假日需交易所对应年度日历核验，实际交易日待核</x:v>
      </x:c>
    </x:row>
    <x:row r="822" ht="23" customHeight="1">
      <x:c r="A822" s="11" t="str">
        <x:v>09995.HK</x:v>
      </x:c>
      <x:c r="B822" s="11" t="str">
        <x:v>三年</x:v>
      </x:c>
      <x:c r="C822" s="11" t="str">
        <x:v>乐观</x:v>
      </x:c>
      <x:c r="D822" s="11" t="str">
        <x:v>收入利润率</x:v>
      </x:c>
      <x:c r="E822" s="18" t="n">
        <x:v>0</x:v>
      </x:c>
      <x:c r="F822" s="18" t="n">
        <x:v>0</x:v>
      </x:c>
      <x:c r="G822" s="18" t="n">
        <x:v>1.1</x:v>
      </x:c>
      <x:c r="H822" s="18" t="n">
        <x:v>0</x:v>
      </x:c>
      <x:c r="I822" s="18" t="n">
        <x:v>0</x:v>
      </x:c>
      <x:c r="J822" s="20" t="n">
        <x:v>0</x:v>
      </x:c>
      <x:c r="K822" s="22" t="n">
        <x:v>0.596</x:v>
      </x:c>
      <x:c r="L822" s="11" t="str">
        <x:v>remegen-v2-finite-assets-Vor-residual-return-aligned-score</x:v>
      </x:c>
      <x:c r="M822" s="11" t="str">
        <x:v>2029-10-09</x:v>
      </x:c>
      <x:c r="N822" s="42" t="n">
        <x:v>6</x:v>
      </x:c>
      <x:c r="O822" t="str">
        <x:v>CNY</x:v>
      </x:c>
      <x:c r="Q822" s="42" t="n">
        <x:v>0</x:v>
      </x:c>
      <x:c r="U822" s="42" t="n">
        <x:v>1</x:v>
      </x:c>
      <x:c r="V822" t="str">
        <x:v>2029-10-09</x:v>
      </x:c>
      <x:c r="W822" t="str">
        <x:v>待核</x:v>
      </x:c>
      <x:c r="X822" t="str">
        <x:v>周末已解析；节假日需交易所对应年度日历核验，实际交易日待核</x:v>
      </x:c>
    </x:row>
    <x:row r="823" ht="23" customHeight="1">
      <x:c r="A823" s="15" t="str">
        <x:v>09995.HK</x:v>
      </x:c>
      <x:c r="B823" s="15" t="str">
        <x:v>五年</x:v>
      </x:c>
      <x:c r="C823" s="15" t="str">
        <x:v>活动输入</x:v>
      </x:c>
      <x:c r="D823" s="15" t="str">
        <x:v>收入利润率</x:v>
      </x:c>
      <x:c r="E823" s="17" t="n">
        <x:f>CHOOSE($B$3,E824,E825,E826)</x:f>
        <x:v>0</x:v>
      </x:c>
      <x:c r="F823" s="17" t="n">
        <x:f>CHOOSE($B$3,F824,F825,F826)</x:f>
        <x:v>0</x:v>
      </x:c>
      <x:c r="G823" s="17" t="n">
        <x:f>CHOOSE($B$3,G824,G825,G826)</x:f>
        <x:v>1.1</x:v>
      </x:c>
      <x:c r="H823" s="17" t="n">
        <x:f>CHOOSE($B$3,H824,H825,H826)</x:f>
        <x:v>0</x:v>
      </x:c>
      <x:c r="I823" s="17" t="n">
        <x:f>CHOOSE($B$3,I824,I825,I826)</x:f>
        <x:v>0</x:v>
      </x:c>
      <x:c r="J823" s="19" t="n">
        <x:f>CHOOSE($B$3,J824,J825,J826)</x:f>
        <x:v>0</x:v>
      </x:c>
      <x:c r="K823" s="21" t="n">
        <x:f>CHOOSE($B$3,K824,K825,K826)</x:f>
        <x:v>0.675</x:v>
      </x:c>
      <x:c r="L823" s="15" t="str">
        <x:v>remegen-v2-finite-assets-Vor-residual-return-aligned-score</x:v>
      </x:c>
      <x:c r="M823" s="15" t="str">
        <x:v>2031-10-09</x:v>
      </x:c>
      <x:c r="N823" t="n">
        <x:f>CHOOSE($B$3,N824,N825,N826)</x:f>
        <x:v>5</x:v>
      </x:c>
      <x:c r="O823" t="str">
        <x:v>CNY</x:v>
      </x:c>
      <x:c r="Q823" t="n">
        <x:f>CHOOSE($B$3,Q824,Q825,Q826)</x:f>
        <x:v>0</x:v>
      </x:c>
      <x:c r="U823" t="n">
        <x:f>CHOOSE($B$3,U824,U825,U826)</x:f>
        <x:v>1</x:v>
      </x:c>
      <x:c r="V823" t="str">
        <x:v>2031-10-09</x:v>
      </x:c>
      <x:c r="W823" t="str">
        <x:v>待核</x:v>
      </x:c>
      <x:c r="X823" t="str">
        <x:v>周末已解析；节假日需交易所对应年度日历核验，实际交易日待核</x:v>
      </x:c>
    </x:row>
    <x:row r="824" ht="23" customHeight="1">
      <x:c r="A824" s="11" t="str">
        <x:v>09995.HK</x:v>
      </x:c>
      <x:c r="B824" s="11" t="str">
        <x:v>五年</x:v>
      </x:c>
      <x:c r="C824" s="11" t="str">
        <x:v>悲观</x:v>
      </x:c>
      <x:c r="D824" s="11" t="str">
        <x:v>收入利润率</x:v>
      </x:c>
      <x:c r="E824" s="18" t="n">
        <x:v>0</x:v>
      </x:c>
      <x:c r="F824" s="18" t="n">
        <x:v>0</x:v>
      </x:c>
      <x:c r="G824" s="18" t="n">
        <x:v>1.1</x:v>
      </x:c>
      <x:c r="H824" s="18" t="n">
        <x:v>0</x:v>
      </x:c>
      <x:c r="I824" s="18" t="n">
        <x:v>0</x:v>
      </x:c>
      <x:c r="J824" s="20" t="n">
        <x:v>0</x:v>
      </x:c>
      <x:c r="K824" s="22" t="n">
        <x:v>0.8</x:v>
      </x:c>
      <x:c r="L824" s="11" t="str">
        <x:v>remegen-v2-finite-assets-Vor-residual-return-aligned-score</x:v>
      </x:c>
      <x:c r="M824" s="11" t="str">
        <x:v>2031-10-09</x:v>
      </x:c>
      <x:c r="N824" s="42" t="n">
        <x:v>-0.3</x:v>
      </x:c>
      <x:c r="O824" t="str">
        <x:v>CNY</x:v>
      </x:c>
      <x:c r="Q824" s="42" t="n">
        <x:v>0</x:v>
      </x:c>
      <x:c r="U824" s="42" t="n">
        <x:v>1</x:v>
      </x:c>
      <x:c r="V824" t="str">
        <x:v>2031-10-09</x:v>
      </x:c>
      <x:c r="W824" t="str">
        <x:v>待核</x:v>
      </x:c>
      <x:c r="X824" t="str">
        <x:v>周末已解析；节假日需交易所对应年度日历核验，实际交易日待核</x:v>
      </x:c>
    </x:row>
    <x:row r="825" ht="23" customHeight="1">
      <x:c r="A825" s="11" t="str">
        <x:v>09995.HK</x:v>
      </x:c>
      <x:c r="B825" s="11" t="str">
        <x:v>五年</x:v>
      </x:c>
      <x:c r="C825" s="11" t="str">
        <x:v>基准</x:v>
      </x:c>
      <x:c r="D825" s="11" t="str">
        <x:v>收入利润率</x:v>
      </x:c>
      <x:c r="E825" s="18" t="n">
        <x:v>0</x:v>
      </x:c>
      <x:c r="F825" s="18" t="n">
        <x:v>0</x:v>
      </x:c>
      <x:c r="G825" s="18" t="n">
        <x:v>1.1</x:v>
      </x:c>
      <x:c r="H825" s="18" t="n">
        <x:v>0</x:v>
      </x:c>
      <x:c r="I825" s="18" t="n">
        <x:v>0</x:v>
      </x:c>
      <x:c r="J825" s="20" t="n">
        <x:v>0</x:v>
      </x:c>
      <x:c r="K825" s="22" t="n">
        <x:v>0.675</x:v>
      </x:c>
      <x:c r="L825" s="11" t="str">
        <x:v>remegen-v2-finite-assets-Vor-residual-return-aligned-score</x:v>
      </x:c>
      <x:c r="M825" s="11" t="str">
        <x:v>2031-10-09</x:v>
      </x:c>
      <x:c r="N825" s="42" t="n">
        <x:v>5</x:v>
      </x:c>
      <x:c r="O825" t="str">
        <x:v>CNY</x:v>
      </x:c>
      <x:c r="Q825" s="42" t="n">
        <x:v>0</x:v>
      </x:c>
      <x:c r="U825" s="42" t="n">
        <x:v>1</x:v>
      </x:c>
      <x:c r="V825" t="str">
        <x:v>2031-10-09</x:v>
      </x:c>
      <x:c r="W825" t="str">
        <x:v>待核</x:v>
      </x:c>
      <x:c r="X825" t="str">
        <x:v>周末已解析；节假日需交易所对应年度日历核验，实际交易日待核</x:v>
      </x:c>
    </x:row>
    <x:row r="826" ht="23" customHeight="1">
      <x:c r="A826" s="11" t="str">
        <x:v>09995.HK</x:v>
      </x:c>
      <x:c r="B826" s="11" t="str">
        <x:v>五年</x:v>
      </x:c>
      <x:c r="C826" s="11" t="str">
        <x:v>乐观</x:v>
      </x:c>
      <x:c r="D826" s="11" t="str">
        <x:v>收入利润率</x:v>
      </x:c>
      <x:c r="E826" s="18" t="n">
        <x:v>0</x:v>
      </x:c>
      <x:c r="F826" s="18" t="n">
        <x:v>0</x:v>
      </x:c>
      <x:c r="G826" s="18" t="n">
        <x:v>1.1</x:v>
      </x:c>
      <x:c r="H826" s="18" t="n">
        <x:v>0</x:v>
      </x:c>
      <x:c r="I826" s="18" t="n">
        <x:v>0</x:v>
      </x:c>
      <x:c r="J826" s="20" t="n">
        <x:v>0</x:v>
      </x:c>
      <x:c r="K826" s="22" t="n">
        <x:v>0.625</x:v>
      </x:c>
      <x:c r="L826" s="11" t="str">
        <x:v>remegen-v2-finite-assets-Vor-residual-return-aligned-score</x:v>
      </x:c>
      <x:c r="M826" s="11" t="str">
        <x:v>2031-10-09</x:v>
      </x:c>
      <x:c r="N826" s="42" t="n">
        <x:v>10</x:v>
      </x:c>
      <x:c r="O826" t="str">
        <x:v>CNY</x:v>
      </x:c>
      <x:c r="Q826" s="42" t="n">
        <x:v>0</x:v>
      </x:c>
      <x:c r="U826" s="42" t="n">
        <x:v>1</x:v>
      </x:c>
      <x:c r="V826" t="str">
        <x:v>2031-10-09</x:v>
      </x:c>
      <x:c r="W826" t="str">
        <x:v>待核</x:v>
      </x:c>
      <x:c r="X826" t="str">
        <x:v>周末已解析；节假日需交易所对应年度日历核验，实际交易日待核</x:v>
      </x:c>
    </x:row>
    <x:row r="827" ht="23" customHeight="1">
      <x:c r="A827" s="15" t="str">
        <x:v>02607.HK</x:v>
      </x:c>
      <x:c r="B827" s="15" t="str">
        <x:v>2026年底</x:v>
      </x:c>
      <x:c r="C827" s="15" t="str">
        <x:v>活动输入</x:v>
      </x:c>
      <x:c r="D827" s="15" t="str">
        <x:v>EPS</x:v>
      </x:c>
      <x:c r="E827" s="17" t="n">
        <x:f>CHOOSE($B$3,E828,E829,E830)</x:f>
        <x:v>1.22</x:v>
      </x:c>
      <x:c r="F827" s="17" t="n">
        <x:f>CHOOSE($B$3,F828,F829,F830)</x:f>
        <x:v>8.5</x:v>
      </x:c>
      <x:c r="G827" s="17" t="n">
        <x:f>CHOOSE($B$3,G828,G829,G830)</x:f>
        <x:v>1.1</x:v>
      </x:c>
      <x:c r="H827" s="17" t="n">
        <x:f>CHOOSE($B$3,H828,H829,H830)</x:f>
        <x:v>0</x:v>
      </x:c>
      <x:c r="I827" s="17" t="str">
        <x:f>CHOOSE($B$3,I828,I829,I830)</x:f>
      </x:c>
      <x:c r="J827" s="19" t="str">
        <x:f>CHOOSE($B$3,J828,J829,J830)</x:f>
      </x:c>
      <x:c r="K827" s="21" t="str">
        <x:f>CHOOSE($B$3,K828,K829,K830)</x:f>
      </x:c>
      <x:c r="L827" s="15" t="str">
        <x:v>shpharma-H-normalized-pe-v1.0</x:v>
      </x:c>
      <x:c r="M827" s="15" t="str">
        <x:v>2026-12-31</x:v>
      </x:c>
      <x:c r="O827" t="str">
        <x:v>CNY</x:v>
      </x:c>
      <x:c r="V827" t="str">
        <x:v>2026-12-31</x:v>
      </x:c>
      <x:c r="W827" t="str">
        <x:v>待核</x:v>
      </x:c>
      <x:c r="X827" t="str">
        <x:v>周末已解析；节假日需交易所对应年度日历核验，实际交易日待核</x:v>
      </x:c>
    </x:row>
    <x:row r="828" ht="23" customHeight="1">
      <x:c r="A828" s="11" t="str">
        <x:v>02607.HK</x:v>
      </x:c>
      <x:c r="B828" s="11" t="str">
        <x:v>2026年底</x:v>
      </x:c>
      <x:c r="C828" s="11" t="str">
        <x:v>悲观</x:v>
      </x:c>
      <x:c r="D828" s="11" t="str">
        <x:v>EPS</x:v>
      </x:c>
      <x:c r="E828" s="18" t="n">
        <x:v>0.95</x:v>
      </x:c>
      <x:c r="F828" s="18" t="n">
        <x:v>6.5</x:v>
      </x:c>
      <x:c r="G828" s="18" t="n">
        <x:v>1.1</x:v>
      </x:c>
      <x:c r="H828" s="18" t="n">
        <x:v>0</x:v>
      </x:c>
      <x:c r="I828" s="18"/>
      <x:c r="J828" s="20"/>
      <x:c r="K828" s="22"/>
      <x:c r="L828" s="11" t="str">
        <x:v>shpharma-H-normalized-pe-v1.0</x:v>
      </x:c>
      <x:c r="M828" s="11" t="str">
        <x:v>2026-12-31</x:v>
      </x:c>
      <x:c r="O828" t="str">
        <x:v>CNY</x:v>
      </x:c>
      <x:c r="V828" t="str">
        <x:v>2026-12-31</x:v>
      </x:c>
      <x:c r="W828" t="str">
        <x:v>待核</x:v>
      </x:c>
      <x:c r="X828" t="str">
        <x:v>周末已解析；节假日需交易所对应年度日历核验，实际交易日待核</x:v>
      </x:c>
    </x:row>
    <x:row r="829" ht="23" customHeight="1">
      <x:c r="A829" s="11" t="str">
        <x:v>02607.HK</x:v>
      </x:c>
      <x:c r="B829" s="11" t="str">
        <x:v>2026年底</x:v>
      </x:c>
      <x:c r="C829" s="11" t="str">
        <x:v>基准</x:v>
      </x:c>
      <x:c r="D829" s="11" t="str">
        <x:v>EPS</x:v>
      </x:c>
      <x:c r="E829" s="18" t="n">
        <x:v>1.22</x:v>
      </x:c>
      <x:c r="F829" s="18" t="n">
        <x:v>8.5</x:v>
      </x:c>
      <x:c r="G829" s="18" t="n">
        <x:v>1.1</x:v>
      </x:c>
      <x:c r="H829" s="18" t="n">
        <x:v>0</x:v>
      </x:c>
      <x:c r="I829" s="18"/>
      <x:c r="J829" s="20"/>
      <x:c r="K829" s="22"/>
      <x:c r="L829" s="11" t="str">
        <x:v>shpharma-H-normalized-pe-v1.0</x:v>
      </x:c>
      <x:c r="M829" s="11" t="str">
        <x:v>2026-12-31</x:v>
      </x:c>
      <x:c r="O829" t="str">
        <x:v>CNY</x:v>
      </x:c>
      <x:c r="V829" t="str">
        <x:v>2026-12-31</x:v>
      </x:c>
      <x:c r="W829" t="str">
        <x:v>待核</x:v>
      </x:c>
      <x:c r="X829" t="str">
        <x:v>周末已解析；节假日需交易所对应年度日历核验，实际交易日待核</x:v>
      </x:c>
    </x:row>
    <x:row r="830" ht="23" customHeight="1">
      <x:c r="A830" s="11" t="str">
        <x:v>02607.HK</x:v>
      </x:c>
      <x:c r="B830" s="11" t="str">
        <x:v>2026年底</x:v>
      </x:c>
      <x:c r="C830" s="11" t="str">
        <x:v>乐观</x:v>
      </x:c>
      <x:c r="D830" s="11" t="str">
        <x:v>EPS</x:v>
      </x:c>
      <x:c r="E830" s="18" t="n">
        <x:v>1.4</x:v>
      </x:c>
      <x:c r="F830" s="18" t="n">
        <x:v>10</x:v>
      </x:c>
      <x:c r="G830" s="18" t="n">
        <x:v>1.1</x:v>
      </x:c>
      <x:c r="H830" s="18" t="n">
        <x:v>0</x:v>
      </x:c>
      <x:c r="I830" s="18"/>
      <x:c r="J830" s="20"/>
      <x:c r="K830" s="22"/>
      <x:c r="L830" s="11" t="str">
        <x:v>shpharma-H-normalized-pe-v1.0</x:v>
      </x:c>
      <x:c r="M830" s="11" t="str">
        <x:v>2026-12-31</x:v>
      </x:c>
      <x:c r="O830" t="str">
        <x:v>CNY</x:v>
      </x:c>
      <x:c r="V830" t="str">
        <x:v>2026-12-31</x:v>
      </x:c>
      <x:c r="W830" t="str">
        <x:v>待核</x:v>
      </x:c>
      <x:c r="X830" t="str">
        <x:v>周末已解析；节假日需交易所对应年度日历核验，实际交易日待核</x:v>
      </x:c>
    </x:row>
    <x:row r="831" ht="23" customHeight="1">
      <x:c r="A831" s="15" t="str">
        <x:v>02607.HK</x:v>
      </x:c>
      <x:c r="B831" s="15" t="str">
        <x:v>半年</x:v>
      </x:c>
      <x:c r="C831" s="15" t="str">
        <x:v>活动输入</x:v>
      </x:c>
      <x:c r="D831" s="15" t="str">
        <x:v>EPS</x:v>
      </x:c>
      <x:c r="E831" s="17" t="n">
        <x:f>CHOOSE($B$3,E832,E833,E834)</x:f>
        <x:v>1.25</x:v>
      </x:c>
      <x:c r="F831" s="17" t="n">
        <x:f>CHOOSE($B$3,F832,F833,F834)</x:f>
        <x:v>9.5</x:v>
      </x:c>
      <x:c r="G831" s="17" t="n">
        <x:f>CHOOSE($B$3,G832,G833,G834)</x:f>
        <x:v>1.1</x:v>
      </x:c>
      <x:c r="H831" s="17" t="n">
        <x:f>CHOOSE($B$3,H832,H833,H834)</x:f>
        <x:v>0</x:v>
      </x:c>
      <x:c r="I831" s="17" t="str">
        <x:f>CHOOSE($B$3,I832,I833,I834)</x:f>
      </x:c>
      <x:c r="J831" s="19" t="str">
        <x:f>CHOOSE($B$3,J832,J833,J834)</x:f>
      </x:c>
      <x:c r="K831" s="21" t="str">
        <x:f>CHOOSE($B$3,K832,K833,K834)</x:f>
      </x:c>
      <x:c r="L831" s="15" t="str">
        <x:v>shpharma-H-normalized-pe-v1.0</x:v>
      </x:c>
      <x:c r="M831" s="15" t="str">
        <x:v>2027-04-09</x:v>
      </x:c>
      <x:c r="O831" t="str">
        <x:v>CNY</x:v>
      </x:c>
      <x:c r="V831" t="str">
        <x:v>2027-04-09</x:v>
      </x:c>
      <x:c r="W831" t="str">
        <x:v>待核</x:v>
      </x:c>
      <x:c r="X831" t="str">
        <x:v>周末已解析；节假日需交易所对应年度日历核验，实际交易日待核</x:v>
      </x:c>
    </x:row>
    <x:row r="832" ht="23" customHeight="1">
      <x:c r="A832" s="11" t="str">
        <x:v>02607.HK</x:v>
      </x:c>
      <x:c r="B832" s="11" t="str">
        <x:v>半年</x:v>
      </x:c>
      <x:c r="C832" s="11" t="str">
        <x:v>悲观</x:v>
      </x:c>
      <x:c r="D832" s="11" t="str">
        <x:v>EPS</x:v>
      </x:c>
      <x:c r="E832" s="18" t="n">
        <x:v>1</x:v>
      </x:c>
      <x:c r="F832" s="18" t="n">
        <x:v>6.5</x:v>
      </x:c>
      <x:c r="G832" s="18" t="n">
        <x:v>1.1</x:v>
      </x:c>
      <x:c r="H832" s="18" t="n">
        <x:v>0</x:v>
      </x:c>
      <x:c r="I832" s="18"/>
      <x:c r="J832" s="20"/>
      <x:c r="K832" s="22"/>
      <x:c r="L832" s="11" t="str">
        <x:v>shpharma-H-normalized-pe-v1.0</x:v>
      </x:c>
      <x:c r="M832" s="11" t="str">
        <x:v>2027-04-09</x:v>
      </x:c>
      <x:c r="O832" t="str">
        <x:v>CNY</x:v>
      </x:c>
      <x:c r="V832" t="str">
        <x:v>2027-04-09</x:v>
      </x:c>
      <x:c r="W832" t="str">
        <x:v>待核</x:v>
      </x:c>
      <x:c r="X832" t="str">
        <x:v>周末已解析；节假日需交易所对应年度日历核验，实际交易日待核</x:v>
      </x:c>
    </x:row>
    <x:row r="833" ht="23" customHeight="1">
      <x:c r="A833" s="11" t="str">
        <x:v>02607.HK</x:v>
      </x:c>
      <x:c r="B833" s="11" t="str">
        <x:v>半年</x:v>
      </x:c>
      <x:c r="C833" s="11" t="str">
        <x:v>基准</x:v>
      </x:c>
      <x:c r="D833" s="11" t="str">
        <x:v>EPS</x:v>
      </x:c>
      <x:c r="E833" s="18" t="n">
        <x:v>1.25</x:v>
      </x:c>
      <x:c r="F833" s="18" t="n">
        <x:v>9.5</x:v>
      </x:c>
      <x:c r="G833" s="18" t="n">
        <x:v>1.1</x:v>
      </x:c>
      <x:c r="H833" s="18" t="n">
        <x:v>0</x:v>
      </x:c>
      <x:c r="I833" s="18"/>
      <x:c r="J833" s="20"/>
      <x:c r="K833" s="22"/>
      <x:c r="L833" s="11" t="str">
        <x:v>shpharma-H-normalized-pe-v1.0</x:v>
      </x:c>
      <x:c r="M833" s="11" t="str">
        <x:v>2027-04-09</x:v>
      </x:c>
      <x:c r="O833" t="str">
        <x:v>CNY</x:v>
      </x:c>
      <x:c r="V833" t="str">
        <x:v>2027-04-09</x:v>
      </x:c>
      <x:c r="W833" t="str">
        <x:v>待核</x:v>
      </x:c>
      <x:c r="X833" t="str">
        <x:v>周末已解析；节假日需交易所对应年度日历核验，实际交易日待核</x:v>
      </x:c>
    </x:row>
    <x:row r="834" ht="23" customHeight="1">
      <x:c r="A834" s="11" t="str">
        <x:v>02607.HK</x:v>
      </x:c>
      <x:c r="B834" s="11" t="str">
        <x:v>半年</x:v>
      </x:c>
      <x:c r="C834" s="11" t="str">
        <x:v>乐观</x:v>
      </x:c>
      <x:c r="D834" s="11" t="str">
        <x:v>EPS</x:v>
      </x:c>
      <x:c r="E834" s="18" t="n">
        <x:v>1.55</x:v>
      </x:c>
      <x:c r="F834" s="18" t="n">
        <x:v>11</x:v>
      </x:c>
      <x:c r="G834" s="18" t="n">
        <x:v>1.1</x:v>
      </x:c>
      <x:c r="H834" s="18" t="n">
        <x:v>0</x:v>
      </x:c>
      <x:c r="I834" s="18"/>
      <x:c r="J834" s="20"/>
      <x:c r="K834" s="22"/>
      <x:c r="L834" s="11" t="str">
        <x:v>shpharma-H-normalized-pe-v1.0</x:v>
      </x:c>
      <x:c r="M834" s="11" t="str">
        <x:v>2027-04-09</x:v>
      </x:c>
      <x:c r="O834" t="str">
        <x:v>CNY</x:v>
      </x:c>
      <x:c r="V834" t="str">
        <x:v>2027-04-09</x:v>
      </x:c>
      <x:c r="W834" t="str">
        <x:v>待核</x:v>
      </x:c>
      <x:c r="X834" t="str">
        <x:v>周末已解析；节假日需交易所对应年度日历核验，实际交易日待核</x:v>
      </x:c>
    </x:row>
    <x:row r="835" ht="23" customHeight="1">
      <x:c r="A835" s="15" t="str">
        <x:v>02607.HK</x:v>
      </x:c>
      <x:c r="B835" s="15" t="str">
        <x:v>一年</x:v>
      </x:c>
      <x:c r="C835" s="15" t="str">
        <x:v>活动输入</x:v>
      </x:c>
      <x:c r="D835" s="15" t="str">
        <x:v>EPS</x:v>
      </x:c>
      <x:c r="E835" s="17" t="n">
        <x:f>CHOOSE($B$3,E836,E837,E838)</x:f>
        <x:v>1.4</x:v>
      </x:c>
      <x:c r="F835" s="17" t="n">
        <x:f>CHOOSE($B$3,F836,F837,F838)</x:f>
        <x:v>10</x:v>
      </x:c>
      <x:c r="G835" s="17" t="n">
        <x:f>CHOOSE($B$3,G836,G837,G838)</x:f>
        <x:v>1.1</x:v>
      </x:c>
      <x:c r="H835" s="17" t="n">
        <x:f>CHOOSE($B$3,H836,H837,H838)</x:f>
        <x:v>0.48</x:v>
      </x:c>
      <x:c r="I835" s="17" t="str">
        <x:f>CHOOSE($B$3,I836,I837,I838)</x:f>
      </x:c>
      <x:c r="J835" s="19" t="str">
        <x:f>CHOOSE($B$3,J836,J837,J838)</x:f>
      </x:c>
      <x:c r="K835" s="21" t="str">
        <x:f>CHOOSE($B$3,K836,K837,K838)</x:f>
      </x:c>
      <x:c r="L835" s="15" t="str">
        <x:v>shpharma-H-normalized-pe-v1.0</x:v>
      </x:c>
      <x:c r="M835" s="15" t="str">
        <x:v>2027-10-08</x:v>
      </x:c>
      <x:c r="O835" t="str">
        <x:v>CNY</x:v>
      </x:c>
      <x:c r="V835" t="str">
        <x:v>2027-10-08</x:v>
      </x:c>
      <x:c r="W835" t="str">
        <x:v>待核</x:v>
      </x:c>
      <x:c r="X835" t="str">
        <x:v>周末已解析；节假日需交易所对应年度日历核验，实际交易日待核</x:v>
      </x:c>
    </x:row>
    <x:row r="836" ht="23" customHeight="1">
      <x:c r="A836" s="11" t="str">
        <x:v>02607.HK</x:v>
      </x:c>
      <x:c r="B836" s="11" t="str">
        <x:v>一年</x:v>
      </x:c>
      <x:c r="C836" s="11" t="str">
        <x:v>悲观</x:v>
      </x:c>
      <x:c r="D836" s="11" t="str">
        <x:v>EPS</x:v>
      </x:c>
      <x:c r="E836" s="18" t="n">
        <x:v>1.02</x:v>
      </x:c>
      <x:c r="F836" s="18" t="n">
        <x:v>6.5</x:v>
      </x:c>
      <x:c r="G836" s="18" t="n">
        <x:v>1.1</x:v>
      </x:c>
      <x:c r="H836" s="18" t="n">
        <x:v>0.3</x:v>
      </x:c>
      <x:c r="I836" s="18"/>
      <x:c r="J836" s="20"/>
      <x:c r="K836" s="22"/>
      <x:c r="L836" s="11" t="str">
        <x:v>shpharma-H-normalized-pe-v1.0</x:v>
      </x:c>
      <x:c r="M836" s="11" t="str">
        <x:v>2027-10-08</x:v>
      </x:c>
      <x:c r="O836" t="str">
        <x:v>CNY</x:v>
      </x:c>
      <x:c r="V836" t="str">
        <x:v>2027-10-08</x:v>
      </x:c>
      <x:c r="W836" t="str">
        <x:v>待核</x:v>
      </x:c>
      <x:c r="X836" t="str">
        <x:v>周末已解析；节假日需交易所对应年度日历核验，实际交易日待核</x:v>
      </x:c>
    </x:row>
    <x:row r="837" ht="23" customHeight="1">
      <x:c r="A837" s="11" t="str">
        <x:v>02607.HK</x:v>
      </x:c>
      <x:c r="B837" s="11" t="str">
        <x:v>一年</x:v>
      </x:c>
      <x:c r="C837" s="11" t="str">
        <x:v>基准</x:v>
      </x:c>
      <x:c r="D837" s="11" t="str">
        <x:v>EPS</x:v>
      </x:c>
      <x:c r="E837" s="18" t="n">
        <x:v>1.4</x:v>
      </x:c>
      <x:c r="F837" s="18" t="n">
        <x:v>10</x:v>
      </x:c>
      <x:c r="G837" s="18" t="n">
        <x:v>1.1</x:v>
      </x:c>
      <x:c r="H837" s="18" t="n">
        <x:v>0.48</x:v>
      </x:c>
      <x:c r="I837" s="18"/>
      <x:c r="J837" s="20"/>
      <x:c r="K837" s="22"/>
      <x:c r="L837" s="11" t="str">
        <x:v>shpharma-H-normalized-pe-v1.0</x:v>
      </x:c>
      <x:c r="M837" s="11" t="str">
        <x:v>2027-10-08</x:v>
      </x:c>
      <x:c r="O837" t="str">
        <x:v>CNY</x:v>
      </x:c>
      <x:c r="V837" t="str">
        <x:v>2027-10-08</x:v>
      </x:c>
      <x:c r="W837" t="str">
        <x:v>待核</x:v>
      </x:c>
      <x:c r="X837" t="str">
        <x:v>周末已解析；节假日需交易所对应年度日历核验，实际交易日待核</x:v>
      </x:c>
    </x:row>
    <x:row r="838" ht="23" customHeight="1">
      <x:c r="A838" s="11" t="str">
        <x:v>02607.HK</x:v>
      </x:c>
      <x:c r="B838" s="11" t="str">
        <x:v>一年</x:v>
      </x:c>
      <x:c r="C838" s="11" t="str">
        <x:v>乐观</x:v>
      </x:c>
      <x:c r="D838" s="11" t="str">
        <x:v>EPS</x:v>
      </x:c>
      <x:c r="E838" s="18" t="n">
        <x:v>1.8</x:v>
      </x:c>
      <x:c r="F838" s="18" t="n">
        <x:v>12</x:v>
      </x:c>
      <x:c r="G838" s="18" t="n">
        <x:v>1.1</x:v>
      </x:c>
      <x:c r="H838" s="18" t="n">
        <x:v>0.62</x:v>
      </x:c>
      <x:c r="I838" s="18"/>
      <x:c r="J838" s="20"/>
      <x:c r="K838" s="22"/>
      <x:c r="L838" s="11" t="str">
        <x:v>shpharma-H-normalized-pe-v1.0</x:v>
      </x:c>
      <x:c r="M838" s="11" t="str">
        <x:v>2027-10-08</x:v>
      </x:c>
      <x:c r="O838" t="str">
        <x:v>CNY</x:v>
      </x:c>
      <x:c r="V838" t="str">
        <x:v>2027-10-08</x:v>
      </x:c>
      <x:c r="W838" t="str">
        <x:v>待核</x:v>
      </x:c>
      <x:c r="X838" t="str">
        <x:v>周末已解析；节假日需交易所对应年度日历核验，实际交易日待核</x:v>
      </x:c>
    </x:row>
    <x:row r="839" ht="23" customHeight="1">
      <x:c r="A839" s="15" t="str">
        <x:v>02607.HK</x:v>
      </x:c>
      <x:c r="B839" s="15" t="str">
        <x:v>三年</x:v>
      </x:c>
      <x:c r="C839" s="15" t="str">
        <x:v>活动输入</x:v>
      </x:c>
      <x:c r="D839" s="15" t="str">
        <x:v>EPS</x:v>
      </x:c>
      <x:c r="E839" s="17" t="n">
        <x:f>CHOOSE($B$3,E840,E841,E842)</x:f>
        <x:v>1.8</x:v>
      </x:c>
      <x:c r="F839" s="17" t="n">
        <x:f>CHOOSE($B$3,F840,F841,F842)</x:f>
        <x:v>10.5</x:v>
      </x:c>
      <x:c r="G839" s="17" t="n">
        <x:f>CHOOSE($B$3,G840,G841,G842)</x:f>
        <x:v>1.1</x:v>
      </x:c>
      <x:c r="H839" s="17" t="n">
        <x:f>CHOOSE($B$3,H840,H841,H842)</x:f>
        <x:v>1.6</x:v>
      </x:c>
      <x:c r="I839" s="17" t="str">
        <x:f>CHOOSE($B$3,I840,I841,I842)</x:f>
      </x:c>
      <x:c r="J839" s="19" t="str">
        <x:f>CHOOSE($B$3,J840,J841,J842)</x:f>
      </x:c>
      <x:c r="K839" s="21" t="str">
        <x:f>CHOOSE($B$3,K840,K841,K842)</x:f>
      </x:c>
      <x:c r="L839" s="15" t="str">
        <x:v>shpharma-H-normalized-pe-v1.0</x:v>
      </x:c>
      <x:c r="M839" s="15" t="str">
        <x:v>2029-10-09</x:v>
      </x:c>
      <x:c r="O839" t="str">
        <x:v>CNY</x:v>
      </x:c>
      <x:c r="V839" t="str">
        <x:v>2029-10-09</x:v>
      </x:c>
      <x:c r="W839" t="str">
        <x:v>待核</x:v>
      </x:c>
      <x:c r="X839" t="str">
        <x:v>周末已解析；节假日需交易所对应年度日历核验，实际交易日待核</x:v>
      </x:c>
    </x:row>
    <x:row r="840" ht="23" customHeight="1">
      <x:c r="A840" s="11" t="str">
        <x:v>02607.HK</x:v>
      </x:c>
      <x:c r="B840" s="11" t="str">
        <x:v>三年</x:v>
      </x:c>
      <x:c r="C840" s="11" t="str">
        <x:v>悲观</x:v>
      </x:c>
      <x:c r="D840" s="11" t="str">
        <x:v>EPS</x:v>
      </x:c>
      <x:c r="E840" s="18" t="n">
        <x:v>1.05</x:v>
      </x:c>
      <x:c r="F840" s="18" t="n">
        <x:v>6</x:v>
      </x:c>
      <x:c r="G840" s="18" t="n">
        <x:v>1.1</x:v>
      </x:c>
      <x:c r="H840" s="18" t="n">
        <x:v>0.85</x:v>
      </x:c>
      <x:c r="I840" s="18"/>
      <x:c r="J840" s="20"/>
      <x:c r="K840" s="22"/>
      <x:c r="L840" s="11" t="str">
        <x:v>shpharma-H-normalized-pe-v1.0</x:v>
      </x:c>
      <x:c r="M840" s="11" t="str">
        <x:v>2029-10-09</x:v>
      </x:c>
      <x:c r="O840" t="str">
        <x:v>CNY</x:v>
      </x:c>
      <x:c r="V840" t="str">
        <x:v>2029-10-09</x:v>
      </x:c>
      <x:c r="W840" t="str">
        <x:v>待核</x:v>
      </x:c>
      <x:c r="X840" t="str">
        <x:v>周末已解析；节假日需交易所对应年度日历核验，实际交易日待核</x:v>
      </x:c>
    </x:row>
    <x:row r="841" ht="23" customHeight="1">
      <x:c r="A841" s="11" t="str">
        <x:v>02607.HK</x:v>
      </x:c>
      <x:c r="B841" s="11" t="str">
        <x:v>三年</x:v>
      </x:c>
      <x:c r="C841" s="11" t="str">
        <x:v>基准</x:v>
      </x:c>
      <x:c r="D841" s="11" t="str">
        <x:v>EPS</x:v>
      </x:c>
      <x:c r="E841" s="18" t="n">
        <x:v>1.8</x:v>
      </x:c>
      <x:c r="F841" s="18" t="n">
        <x:v>10.5</x:v>
      </x:c>
      <x:c r="G841" s="18" t="n">
        <x:v>1.1</x:v>
      </x:c>
      <x:c r="H841" s="18" t="n">
        <x:v>1.6</x:v>
      </x:c>
      <x:c r="I841" s="18"/>
      <x:c r="J841" s="20"/>
      <x:c r="K841" s="22"/>
      <x:c r="L841" s="11" t="str">
        <x:v>shpharma-H-normalized-pe-v1.0</x:v>
      </x:c>
      <x:c r="M841" s="11" t="str">
        <x:v>2029-10-09</x:v>
      </x:c>
      <x:c r="O841" t="str">
        <x:v>CNY</x:v>
      </x:c>
      <x:c r="V841" t="str">
        <x:v>2029-10-09</x:v>
      </x:c>
      <x:c r="W841" t="str">
        <x:v>待核</x:v>
      </x:c>
      <x:c r="X841" t="str">
        <x:v>周末已解析；节假日需交易所对应年度日历核验，实际交易日待核</x:v>
      </x:c>
    </x:row>
    <x:row r="842" ht="23" customHeight="1">
      <x:c r="A842" s="11" t="str">
        <x:v>02607.HK</x:v>
      </x:c>
      <x:c r="B842" s="11" t="str">
        <x:v>三年</x:v>
      </x:c>
      <x:c r="C842" s="11" t="str">
        <x:v>乐观</x:v>
      </x:c>
      <x:c r="D842" s="11" t="str">
        <x:v>EPS</x:v>
      </x:c>
      <x:c r="E842" s="18" t="n">
        <x:v>2.6</x:v>
      </x:c>
      <x:c r="F842" s="18" t="n">
        <x:v>13</x:v>
      </x:c>
      <x:c r="G842" s="18" t="n">
        <x:v>1.1</x:v>
      </x:c>
      <x:c r="H842" s="18" t="n">
        <x:v>2.3</x:v>
      </x:c>
      <x:c r="I842" s="18"/>
      <x:c r="J842" s="20"/>
      <x:c r="K842" s="22"/>
      <x:c r="L842" s="11" t="str">
        <x:v>shpharma-H-normalized-pe-v1.0</x:v>
      </x:c>
      <x:c r="M842" s="11" t="str">
        <x:v>2029-10-09</x:v>
      </x:c>
      <x:c r="O842" t="str">
        <x:v>CNY</x:v>
      </x:c>
      <x:c r="V842" t="str">
        <x:v>2029-10-09</x:v>
      </x:c>
      <x:c r="W842" t="str">
        <x:v>待核</x:v>
      </x:c>
      <x:c r="X842" t="str">
        <x:v>周末已解析；节假日需交易所对应年度日历核验，实际交易日待核</x:v>
      </x:c>
    </x:row>
    <x:row r="843" ht="23" customHeight="1">
      <x:c r="A843" s="15" t="str">
        <x:v>02607.HK</x:v>
      </x:c>
      <x:c r="B843" s="15" t="str">
        <x:v>五年</x:v>
      </x:c>
      <x:c r="C843" s="15" t="str">
        <x:v>活动输入</x:v>
      </x:c>
      <x:c r="D843" s="15" t="str">
        <x:v>EPS</x:v>
      </x:c>
      <x:c r="E843" s="17" t="n">
        <x:f>CHOOSE($B$3,E844,E845,E846)</x:f>
        <x:v>2.2</x:v>
      </x:c>
      <x:c r="F843" s="17" t="n">
        <x:f>CHOOSE($B$3,F844,F845,F846)</x:f>
        <x:v>10</x:v>
      </x:c>
      <x:c r="G843" s="17" t="n">
        <x:f>CHOOSE($B$3,G844,G845,G846)</x:f>
        <x:v>1.1</x:v>
      </x:c>
      <x:c r="H843" s="17" t="n">
        <x:f>CHOOSE($B$3,H844,H845,H846)</x:f>
        <x:v>3</x:v>
      </x:c>
      <x:c r="I843" s="17" t="str">
        <x:f>CHOOSE($B$3,I844,I845,I846)</x:f>
      </x:c>
      <x:c r="J843" s="19" t="str">
        <x:f>CHOOSE($B$3,J844,J845,J846)</x:f>
      </x:c>
      <x:c r="K843" s="21" t="str">
        <x:f>CHOOSE($B$3,K844,K845,K846)</x:f>
      </x:c>
      <x:c r="L843" s="15" t="str">
        <x:v>shpharma-H-normalized-pe-v1.0</x:v>
      </x:c>
      <x:c r="M843" s="15" t="str">
        <x:v>2031-10-09</x:v>
      </x:c>
      <x:c r="O843" t="str">
        <x:v>CNY</x:v>
      </x:c>
      <x:c r="V843" t="str">
        <x:v>2031-10-09</x:v>
      </x:c>
      <x:c r="W843" t="str">
        <x:v>待核</x:v>
      </x:c>
      <x:c r="X843" t="str">
        <x:v>周末已解析；节假日需交易所对应年度日历核验，实际交易日待核</x:v>
      </x:c>
    </x:row>
    <x:row r="844" ht="23" customHeight="1">
      <x:c r="A844" s="11" t="str">
        <x:v>02607.HK</x:v>
      </x:c>
      <x:c r="B844" s="11" t="str">
        <x:v>五年</x:v>
      </x:c>
      <x:c r="C844" s="11" t="str">
        <x:v>悲观</x:v>
      </x:c>
      <x:c r="D844" s="11" t="str">
        <x:v>EPS</x:v>
      </x:c>
      <x:c r="E844" s="18" t="n">
        <x:v>1.1</x:v>
      </x:c>
      <x:c r="F844" s="18" t="n">
        <x:v>5.5</x:v>
      </x:c>
      <x:c r="G844" s="18" t="n">
        <x:v>1.1</x:v>
      </x:c>
      <x:c r="H844" s="18" t="n">
        <x:v>1.4</x:v>
      </x:c>
      <x:c r="I844" s="18"/>
      <x:c r="J844" s="20"/>
      <x:c r="K844" s="22"/>
      <x:c r="L844" s="11" t="str">
        <x:v>shpharma-H-normalized-pe-v1.0</x:v>
      </x:c>
      <x:c r="M844" s="11" t="str">
        <x:v>2031-10-09</x:v>
      </x:c>
      <x:c r="O844" t="str">
        <x:v>CNY</x:v>
      </x:c>
      <x:c r="V844" t="str">
        <x:v>2031-10-09</x:v>
      </x:c>
      <x:c r="W844" t="str">
        <x:v>待核</x:v>
      </x:c>
      <x:c r="X844" t="str">
        <x:v>周末已解析；节假日需交易所对应年度日历核验，实际交易日待核</x:v>
      </x:c>
    </x:row>
    <x:row r="845" ht="23" customHeight="1">
      <x:c r="A845" s="11" t="str">
        <x:v>02607.HK</x:v>
      </x:c>
      <x:c r="B845" s="11" t="str">
        <x:v>五年</x:v>
      </x:c>
      <x:c r="C845" s="11" t="str">
        <x:v>基准</x:v>
      </x:c>
      <x:c r="D845" s="11" t="str">
        <x:v>EPS</x:v>
      </x:c>
      <x:c r="E845" s="18" t="n">
        <x:v>2.2</x:v>
      </x:c>
      <x:c r="F845" s="18" t="n">
        <x:v>10</x:v>
      </x:c>
      <x:c r="G845" s="18" t="n">
        <x:v>1.1</x:v>
      </x:c>
      <x:c r="H845" s="18" t="n">
        <x:v>3</x:v>
      </x:c>
      <x:c r="I845" s="18"/>
      <x:c r="J845" s="20"/>
      <x:c r="K845" s="22"/>
      <x:c r="L845" s="11" t="str">
        <x:v>shpharma-H-normalized-pe-v1.0</x:v>
      </x:c>
      <x:c r="M845" s="11" t="str">
        <x:v>2031-10-09</x:v>
      </x:c>
      <x:c r="O845" t="str">
        <x:v>CNY</x:v>
      </x:c>
      <x:c r="V845" t="str">
        <x:v>2031-10-09</x:v>
      </x:c>
      <x:c r="W845" t="str">
        <x:v>待核</x:v>
      </x:c>
      <x:c r="X845" t="str">
        <x:v>周末已解析；节假日需交易所对应年度日历核验，实际交易日待核</x:v>
      </x:c>
    </x:row>
    <x:row r="846" ht="23" customHeight="1">
      <x:c r="A846" s="11" t="str">
        <x:v>02607.HK</x:v>
      </x:c>
      <x:c r="B846" s="11" t="str">
        <x:v>五年</x:v>
      </x:c>
      <x:c r="C846" s="11" t="str">
        <x:v>乐观</x:v>
      </x:c>
      <x:c r="D846" s="11" t="str">
        <x:v>EPS</x:v>
      </x:c>
      <x:c r="E846" s="18" t="n">
        <x:v>3.5</x:v>
      </x:c>
      <x:c r="F846" s="18" t="n">
        <x:v>12</x:v>
      </x:c>
      <x:c r="G846" s="18" t="n">
        <x:v>1.1</x:v>
      </x:c>
      <x:c r="H846" s="18" t="n">
        <x:v>4.6</x:v>
      </x:c>
      <x:c r="I846" s="18"/>
      <x:c r="J846" s="20"/>
      <x:c r="K846" s="22"/>
      <x:c r="L846" s="11" t="str">
        <x:v>shpharma-H-normalized-pe-v1.0</x:v>
      </x:c>
      <x:c r="M846" s="11" t="str">
        <x:v>2031-10-09</x:v>
      </x:c>
      <x:c r="O846" t="str">
        <x:v>CNY</x:v>
      </x:c>
      <x:c r="V846" t="str">
        <x:v>2031-10-09</x:v>
      </x:c>
      <x:c r="W846" t="str">
        <x:v>待核</x:v>
      </x:c>
      <x:c r="X846" t="str">
        <x:v>周末已解析；节假日需交易所对应年度日历核验，实际交易日待核</x:v>
      </x:c>
    </x:row>
    <x:row r="847" ht="23" customHeight="1">
      <x:c r="A847" s="15" t="str">
        <x:v>02096.HK</x:v>
      </x:c>
      <x:c r="B847" s="15" t="str">
        <x:v>2026年底</x:v>
      </x:c>
      <x:c r="C847" s="15" t="str">
        <x:v>活动输入</x:v>
      </x:c>
      <x:c r="D847" s="15" t="str">
        <x:v>收入利润率</x:v>
      </x:c>
      <x:c r="E847" s="17" t="n">
        <x:f>CHOOSE($B$3,E848,E849,E850)</x:f>
        <x:v>0.6515657142857146</x:v>
      </x:c>
      <x:c r="F847" s="17" t="n">
        <x:f>CHOOSE($B$3,F848,F849,F850)</x:f>
        <x:v>22</x:v>
      </x:c>
      <x:c r="G847" s="17" t="n">
        <x:f>CHOOSE($B$3,G848,G849,G850)</x:f>
        <x:v>1.1</x:v>
      </x:c>
      <x:c r="H847" s="17" t="n">
        <x:f>CHOOSE($B$3,H848,H849,H850)</x:f>
        <x:v>0</x:v>
      </x:c>
      <x:c r="I847" s="17" t="n">
        <x:f>CHOOSE($B$3,I848,I849,I850)</x:f>
        <x:v>11.514</x:v>
      </x:c>
      <x:c r="J847" s="19" t="n">
        <x:f>CHOOSE($B$3,J848,J849,J850)</x:f>
        <x:v>0.14656550286607614</x:v>
      </x:c>
      <x:c r="K847" s="21" t="n">
        <x:f>CHOOSE($B$3,K848,K849,K850)</x:f>
        <x:v>2.59</x:v>
      </x:c>
      <x:c r="L847" s="15" t="str">
        <x:v>simcere-v2-short-recognition-normal-product-risk-royalty-PE-cash</x:v>
      </x:c>
      <x:c r="M847" s="15" t="str">
        <x:v>2026-12-31</x:v>
      </x:c>
      <x:c r="O847" t="str">
        <x:v>CNY</x:v>
      </x:c>
      <x:c r="U847" t="n">
        <x:f>CHOOSE($B$3,U848,U849,U850)</x:f>
        <x:v>0.5</x:v>
      </x:c>
      <x:c r="V847" t="str">
        <x:v>2026-12-31</x:v>
      </x:c>
      <x:c r="W847" t="str">
        <x:v>待核</x:v>
      </x:c>
      <x:c r="X847" t="str">
        <x:v>周末已解析；节假日需交易所对应年度日历核验，实际交易日待核</x:v>
      </x:c>
    </x:row>
    <x:row r="848" ht="23" customHeight="1">
      <x:c r="A848" s="11" t="str">
        <x:v>02096.HK</x:v>
      </x:c>
      <x:c r="B848" s="11" t="str">
        <x:v>2026年底</x:v>
      </x:c>
      <x:c r="C848" s="11" t="str">
        <x:v>悲观</x:v>
      </x:c>
      <x:c r="D848" s="11" t="str">
        <x:v>收入利润率</x:v>
      </x:c>
      <x:c r="E848" s="18" t="n">
        <x:v>0.1550302068965519</x:v>
      </x:c>
      <x:c r="F848" s="18" t="n">
        <x:v>20</x:v>
      </x:c>
      <x:c r="G848" s="18" t="n">
        <x:v>1.1</x:v>
      </x:c>
      <x:c r="H848" s="18" t="n">
        <x:v>0</x:v>
      </x:c>
      <x:c r="I848" s="18" t="n">
        <x:v>8.95</x:v>
      </x:c>
      <x:c r="J848" s="20" t="n">
        <x:v>0.04520992625698329</x:v>
      </x:c>
      <x:c r="K848" s="22" t="n">
        <x:v>2.61</x:v>
      </x:c>
      <x:c r="L848" s="11" t="str">
        <x:v>simcere-v2-short-recognition-normal-product-risk-royalty-PE-cash</x:v>
      </x:c>
      <x:c r="M848" s="11" t="str">
        <x:v>2026-12-31</x:v>
      </x:c>
      <x:c r="O848" t="str">
        <x:v>CNY</x:v>
      </x:c>
      <x:c r="U848" s="42" t="n">
        <x:v>1</x:v>
      </x:c>
      <x:c r="V848" t="str">
        <x:v>2026-12-31</x:v>
      </x:c>
      <x:c r="W848" t="str">
        <x:v>待核</x:v>
      </x:c>
      <x:c r="X848" t="str">
        <x:v>周末已解析；节假日需交易所对应年度日历核验，实际交易日待核</x:v>
      </x:c>
    </x:row>
    <x:row r="849" ht="23" customHeight="1">
      <x:c r="A849" s="11" t="str">
        <x:v>02096.HK</x:v>
      </x:c>
      <x:c r="B849" s="11" t="str">
        <x:v>2026年底</x:v>
      </x:c>
      <x:c r="C849" s="11" t="str">
        <x:v>基准</x:v>
      </x:c>
      <x:c r="D849" s="11" t="str">
        <x:v>收入利润率</x:v>
      </x:c>
      <x:c r="E849" s="18" t="n">
        <x:v>0.6515657142857146</x:v>
      </x:c>
      <x:c r="F849" s="18" t="n">
        <x:v>22</x:v>
      </x:c>
      <x:c r="G849" s="18" t="n">
        <x:v>1.1</x:v>
      </x:c>
      <x:c r="H849" s="18" t="n">
        <x:v>0</x:v>
      </x:c>
      <x:c r="I849" s="18" t="n">
        <x:v>11.514</x:v>
      </x:c>
      <x:c r="J849" s="20" t="n">
        <x:v>0.14656550286607614</x:v>
      </x:c>
      <x:c r="K849" s="22" t="n">
        <x:v>2.59</x:v>
      </x:c>
      <x:c r="L849" s="11" t="str">
        <x:v>simcere-v2-short-recognition-normal-product-risk-royalty-PE-cash</x:v>
      </x:c>
      <x:c r="M849" s="11" t="str">
        <x:v>2026-12-31</x:v>
      </x:c>
      <x:c r="O849" t="str">
        <x:v>CNY</x:v>
      </x:c>
      <x:c r="U849" s="42" t="n">
        <x:v>0.5</x:v>
      </x:c>
      <x:c r="V849" t="str">
        <x:v>2026-12-31</x:v>
      </x:c>
      <x:c r="W849" t="str">
        <x:v>待核</x:v>
      </x:c>
      <x:c r="X849" t="str">
        <x:v>周末已解析；节假日需交易所对应年度日历核验，实际交易日待核</x:v>
      </x:c>
    </x:row>
    <x:row r="850" ht="23" customHeight="1">
      <x:c r="A850" s="11" t="str">
        <x:v>02096.HK</x:v>
      </x:c>
      <x:c r="B850" s="11" t="str">
        <x:v>2026年底</x:v>
      </x:c>
      <x:c r="C850" s="11" t="str">
        <x:v>乐观</x:v>
      </x:c>
      <x:c r="D850" s="11" t="str">
        <x:v>收入利润率</x:v>
      </x:c>
      <x:c r="E850" s="18" t="n">
        <x:v>1.053547124031007</x:v>
      </x:c>
      <x:c r="F850" s="18" t="n">
        <x:v>26</x:v>
      </x:c>
      <x:c r="G850" s="18" t="n">
        <x:v>1.1</x:v>
      </x:c>
      <x:c r="H850" s="18" t="n">
        <x:v>0</x:v>
      </x:c>
      <x:c r="I850" s="18" t="n">
        <x:v>13.2968</x:v>
      </x:c>
      <x:c r="J850" s="20" t="n">
        <x:v>0.2044214833644184</x:v>
      </x:c>
      <x:c r="K850" s="22" t="n">
        <x:v>2.58</x:v>
      </x:c>
      <x:c r="L850" s="11" t="str">
        <x:v>simcere-v2-short-recognition-normal-product-risk-royalty-PE-cash</x:v>
      </x:c>
      <x:c r="M850" s="11" t="str">
        <x:v>2026-12-31</x:v>
      </x:c>
      <x:c r="O850" t="str">
        <x:v>CNY</x:v>
      </x:c>
      <x:c r="U850" s="42" t="n">
        <x:v>0.35</x:v>
      </x:c>
      <x:c r="V850" t="str">
        <x:v>2026-12-31</x:v>
      </x:c>
      <x:c r="W850" t="str">
        <x:v>待核</x:v>
      </x:c>
      <x:c r="X850" t="str">
        <x:v>周末已解析；节假日需交易所对应年度日历核验，实际交易日待核</x:v>
      </x:c>
    </x:row>
    <x:row r="851" ht="23" customHeight="1">
      <x:c r="A851" s="15" t="str">
        <x:v>02096.HK</x:v>
      </x:c>
      <x:c r="B851" s="15" t="str">
        <x:v>半年</x:v>
      </x:c>
      <x:c r="C851" s="15" t="str">
        <x:v>活动输入</x:v>
      </x:c>
      <x:c r="D851" s="15" t="str">
        <x:v>收入利润率</x:v>
      </x:c>
      <x:c r="E851" s="17" t="n">
        <x:f>CHOOSE($B$3,E852,E853,E854)</x:f>
        <x:v>0.6515657142857146</x:v>
      </x:c>
      <x:c r="F851" s="17" t="n">
        <x:f>CHOOSE($B$3,F852,F853,F854)</x:f>
        <x:v>24</x:v>
      </x:c>
      <x:c r="G851" s="17" t="n">
        <x:f>CHOOSE($B$3,G852,G853,G854)</x:f>
        <x:v>1.1</x:v>
      </x:c>
      <x:c r="H851" s="17" t="n">
        <x:f>CHOOSE($B$3,H852,H853,H854)</x:f>
        <x:v>0</x:v>
      </x:c>
      <x:c r="I851" s="17" t="n">
        <x:f>CHOOSE($B$3,I852,I853,I854)</x:f>
        <x:v>11.514</x:v>
      </x:c>
      <x:c r="J851" s="19" t="n">
        <x:f>CHOOSE($B$3,J852,J853,J854)</x:f>
        <x:v>0.14656550286607614</x:v>
      </x:c>
      <x:c r="K851" s="21" t="n">
        <x:f>CHOOSE($B$3,K852,K853,K854)</x:f>
        <x:v>2.59</x:v>
      </x:c>
      <x:c r="L851" s="15" t="str">
        <x:v>simcere-v2-short-recognition-normal-product-risk-royalty-PE-cash</x:v>
      </x:c>
      <x:c r="M851" s="15" t="str">
        <x:v>2027-04-09</x:v>
      </x:c>
      <x:c r="O851" t="str">
        <x:v>CNY</x:v>
      </x:c>
      <x:c r="U851" t="n">
        <x:f>CHOOSE($B$3,U852,U853,U854)</x:f>
        <x:v>0.75</x:v>
      </x:c>
      <x:c r="V851" t="str">
        <x:v>2027-04-09</x:v>
      </x:c>
      <x:c r="W851" t="str">
        <x:v>待核</x:v>
      </x:c>
      <x:c r="X851" t="str">
        <x:v>周末已解析；节假日需交易所对应年度日历核验，实际交易日待核</x:v>
      </x:c>
    </x:row>
    <x:row r="852" ht="23" customHeight="1">
      <x:c r="A852" s="11" t="str">
        <x:v>02096.HK</x:v>
      </x:c>
      <x:c r="B852" s="11" t="str">
        <x:v>半年</x:v>
      </x:c>
      <x:c r="C852" s="11" t="str">
        <x:v>悲观</x:v>
      </x:c>
      <x:c r="D852" s="11" t="str">
        <x:v>收入利润率</x:v>
      </x:c>
      <x:c r="E852" s="18" t="n">
        <x:v>0.1550302068965519</x:v>
      </x:c>
      <x:c r="F852" s="18" t="n">
        <x:v>18</x:v>
      </x:c>
      <x:c r="G852" s="18" t="n">
        <x:v>1.1</x:v>
      </x:c>
      <x:c r="H852" s="18" t="n">
        <x:v>0</x:v>
      </x:c>
      <x:c r="I852" s="18" t="n">
        <x:v>8.95</x:v>
      </x:c>
      <x:c r="J852" s="20" t="n">
        <x:v>0.04520992625698329</x:v>
      </x:c>
      <x:c r="K852" s="22" t="n">
        <x:v>2.61</x:v>
      </x:c>
      <x:c r="L852" s="11" t="str">
        <x:v>simcere-v2-short-recognition-normal-product-risk-royalty-PE-cash</x:v>
      </x:c>
      <x:c r="M852" s="11" t="str">
        <x:v>2027-04-09</x:v>
      </x:c>
      <x:c r="O852" t="str">
        <x:v>CNY</x:v>
      </x:c>
      <x:c r="U852" s="42" t="n">
        <x:v>1</x:v>
      </x:c>
      <x:c r="V852" t="str">
        <x:v>2027-04-09</x:v>
      </x:c>
      <x:c r="W852" t="str">
        <x:v>待核</x:v>
      </x:c>
      <x:c r="X852" t="str">
        <x:v>周末已解析；节假日需交易所对应年度日历核验，实际交易日待核</x:v>
      </x:c>
    </x:row>
    <x:row r="853" ht="23" customHeight="1">
      <x:c r="A853" s="11" t="str">
        <x:v>02096.HK</x:v>
      </x:c>
      <x:c r="B853" s="11" t="str">
        <x:v>半年</x:v>
      </x:c>
      <x:c r="C853" s="11" t="str">
        <x:v>基准</x:v>
      </x:c>
      <x:c r="D853" s="11" t="str">
        <x:v>收入利润率</x:v>
      </x:c>
      <x:c r="E853" s="18" t="n">
        <x:v>0.6515657142857146</x:v>
      </x:c>
      <x:c r="F853" s="18" t="n">
        <x:v>24</x:v>
      </x:c>
      <x:c r="G853" s="18" t="n">
        <x:v>1.1</x:v>
      </x:c>
      <x:c r="H853" s="18" t="n">
        <x:v>0</x:v>
      </x:c>
      <x:c r="I853" s="18" t="n">
        <x:v>11.514</x:v>
      </x:c>
      <x:c r="J853" s="20" t="n">
        <x:v>0.14656550286607614</x:v>
      </x:c>
      <x:c r="K853" s="22" t="n">
        <x:v>2.59</x:v>
      </x:c>
      <x:c r="L853" s="11" t="str">
        <x:v>simcere-v2-short-recognition-normal-product-risk-royalty-PE-cash</x:v>
      </x:c>
      <x:c r="M853" s="11" t="str">
        <x:v>2027-04-09</x:v>
      </x:c>
      <x:c r="O853" t="str">
        <x:v>CNY</x:v>
      </x:c>
      <x:c r="U853" s="42" t="n">
        <x:v>0.75</x:v>
      </x:c>
      <x:c r="V853" t="str">
        <x:v>2027-04-09</x:v>
      </x:c>
      <x:c r="W853" t="str">
        <x:v>待核</x:v>
      </x:c>
      <x:c r="X853" t="str">
        <x:v>周末已解析；节假日需交易所对应年度日历核验，实际交易日待核</x:v>
      </x:c>
    </x:row>
    <x:row r="854" ht="23" customHeight="1">
      <x:c r="A854" s="11" t="str">
        <x:v>02096.HK</x:v>
      </x:c>
      <x:c r="B854" s="11" t="str">
        <x:v>半年</x:v>
      </x:c>
      <x:c r="C854" s="11" t="str">
        <x:v>乐观</x:v>
      </x:c>
      <x:c r="D854" s="11" t="str">
        <x:v>收入利润率</x:v>
      </x:c>
      <x:c r="E854" s="18" t="n">
        <x:v>1.053547124031007</x:v>
      </x:c>
      <x:c r="F854" s="18" t="n">
        <x:v>29</x:v>
      </x:c>
      <x:c r="G854" s="18" t="n">
        <x:v>1.1</x:v>
      </x:c>
      <x:c r="H854" s="18" t="n">
        <x:v>0</x:v>
      </x:c>
      <x:c r="I854" s="18" t="n">
        <x:v>13.2968</x:v>
      </x:c>
      <x:c r="J854" s="20" t="n">
        <x:v>0.2044214833644184</x:v>
      </x:c>
      <x:c r="K854" s="22" t="n">
        <x:v>2.58</x:v>
      </x:c>
      <x:c r="L854" s="11" t="str">
        <x:v>simcere-v2-short-recognition-normal-product-risk-royalty-PE-cash</x:v>
      </x:c>
      <x:c r="M854" s="11" t="str">
        <x:v>2027-04-09</x:v>
      </x:c>
      <x:c r="O854" t="str">
        <x:v>CNY</x:v>
      </x:c>
      <x:c r="U854" s="42" t="n">
        <x:v>0.6</x:v>
      </x:c>
      <x:c r="V854" t="str">
        <x:v>2027-04-09</x:v>
      </x:c>
      <x:c r="W854" t="str">
        <x:v>待核</x:v>
      </x:c>
      <x:c r="X854" t="str">
        <x:v>周末已解析；节假日需交易所对应年度日历核验，实际交易日待核</x:v>
      </x:c>
    </x:row>
    <x:row r="855" ht="23" customHeight="1">
      <x:c r="A855" s="15" t="str">
        <x:v>02096.HK</x:v>
      </x:c>
      <x:c r="B855" s="15" t="str">
        <x:v>一年</x:v>
      </x:c>
      <x:c r="C855" s="15" t="str">
        <x:v>活动输入</x:v>
      </x:c>
      <x:c r="D855" s="15" t="str">
        <x:v>收入利润率</x:v>
      </x:c>
      <x:c r="E855" s="17" t="n">
        <x:f>CHOOSE($B$3,E856,E857,E858)</x:f>
        <x:v>0.8176015203065135</x:v>
      </x:c>
      <x:c r="F855" s="17" t="n">
        <x:f>CHOOSE($B$3,F856,F857,F858)</x:f>
        <x:v>23</x:v>
      </x:c>
      <x:c r="G855" s="17" t="n">
        <x:f>CHOOSE($B$3,G856,G857,G858)</x:f>
        <x:v>1.1</x:v>
      </x:c>
      <x:c r="H855" s="17" t="n">
        <x:f>CHOOSE($B$3,H856,H857,H858)</x:f>
        <x:v>0.24200000000000002</x:v>
      </x:c>
      <x:c r="I855" s="17" t="n">
        <x:f>CHOOSE($B$3,I856,I857,I858)</x:f>
        <x:v>13.6516</x:v>
      </x:c>
      <x:c r="J855" s="19" t="n">
        <x:f>CHOOSE($B$3,J856,J857,J858)</x:f>
        <x:v>0.15631427583579946</x:v>
      </x:c>
      <x:c r="K855" s="21" t="n">
        <x:f>CHOOSE($B$3,K856,K857,K858)</x:f>
        <x:v>2.61</x:v>
      </x:c>
      <x:c r="L855" s="15" t="str">
        <x:v>simcere-v2-short-recognition-normal-product-risk-royalty-PE-cash</x:v>
      </x:c>
      <x:c r="M855" s="15" t="str">
        <x:v>2027-10-09</x:v>
      </x:c>
      <x:c r="O855" t="str">
        <x:v>CNY</x:v>
      </x:c>
      <x:c r="U855" t="n">
        <x:f>CHOOSE($B$3,U856,U857,U858)</x:f>
        <x:v>1</x:v>
      </x:c>
      <x:c r="V855" t="str">
        <x:v>2027-10-08</x:v>
      </x:c>
      <x:c r="W855" t="str">
        <x:v>待核</x:v>
      </x:c>
      <x:c r="X855" t="str">
        <x:v>周末已解析；节假日需交易所对应年度日历核验，实际交易日待核</x:v>
      </x:c>
    </x:row>
    <x:row r="856" ht="23" customHeight="1">
      <x:c r="A856" s="11" t="str">
        <x:v>02096.HK</x:v>
      </x:c>
      <x:c r="B856" s="11" t="str">
        <x:v>一年</x:v>
      </x:c>
      <x:c r="C856" s="11" t="str">
        <x:v>悲观</x:v>
      </x:c>
      <x:c r="D856" s="11" t="str">
        <x:v>收入利润率</x:v>
      </x:c>
      <x:c r="E856" s="18" t="n">
        <x:v>0.191546763157895</x:v>
      </x:c>
      <x:c r="F856" s="18" t="n">
        <x:v>17</x:v>
      </x:c>
      <x:c r="G856" s="18" t="n">
        <x:v>1.1</x:v>
      </x:c>
      <x:c r="H856" s="18" t="n">
        <x:v>0.11000000000000001</x:v>
      </x:c>
      <x:c r="I856" s="18" t="n">
        <x:v>9.208400000000001</x:v>
      </x:c>
      <x:c r="J856" s="20" t="n">
        <x:v>0.0553314788671214</x:v>
      </x:c>
      <x:c r="K856" s="22" t="n">
        <x:v>2.66</x:v>
      </x:c>
      <x:c r="L856" s="11" t="str">
        <x:v>simcere-v2-short-recognition-normal-product-risk-royalty-PE-cash</x:v>
      </x:c>
      <x:c r="M856" s="11" t="str">
        <x:v>2027-10-09</x:v>
      </x:c>
      <x:c r="O856" t="str">
        <x:v>CNY</x:v>
      </x:c>
      <x:c r="U856" s="42" t="n">
        <x:v>1</x:v>
      </x:c>
      <x:c r="V856" t="str">
        <x:v>2027-10-08</x:v>
      </x:c>
      <x:c r="W856" t="str">
        <x:v>待核</x:v>
      </x:c>
      <x:c r="X856" t="str">
        <x:v>周末已解析；节假日需交易所对应年度日历核验，实际交易日待核</x:v>
      </x:c>
    </x:row>
    <x:row r="857" ht="23" customHeight="1">
      <x:c r="A857" s="11" t="str">
        <x:v>02096.HK</x:v>
      </x:c>
      <x:c r="B857" s="11" t="str">
        <x:v>一年</x:v>
      </x:c>
      <x:c r="C857" s="11" t="str">
        <x:v>基准</x:v>
      </x:c>
      <x:c r="D857" s="11" t="str">
        <x:v>收入利润率</x:v>
      </x:c>
      <x:c r="E857" s="18" t="n">
        <x:v>0.8176015203065135</x:v>
      </x:c>
      <x:c r="F857" s="18" t="n">
        <x:v>23</x:v>
      </x:c>
      <x:c r="G857" s="18" t="n">
        <x:v>1.1</x:v>
      </x:c>
      <x:c r="H857" s="18" t="n">
        <x:v>0.24200000000000002</x:v>
      </x:c>
      <x:c r="I857" s="18" t="n">
        <x:v>13.6516</x:v>
      </x:c>
      <x:c r="J857" s="20" t="n">
        <x:v>0.15631427583579946</x:v>
      </x:c>
      <x:c r="K857" s="22" t="n">
        <x:v>2.61</x:v>
      </x:c>
      <x:c r="L857" s="11" t="str">
        <x:v>simcere-v2-short-recognition-normal-product-risk-royalty-PE-cash</x:v>
      </x:c>
      <x:c r="M857" s="11" t="str">
        <x:v>2027-10-09</x:v>
      </x:c>
      <x:c r="O857" t="str">
        <x:v>CNY</x:v>
      </x:c>
      <x:c r="U857" s="42" t="n">
        <x:v>1</x:v>
      </x:c>
      <x:c r="V857" t="str">
        <x:v>2027-10-08</x:v>
      </x:c>
      <x:c r="W857" t="str">
        <x:v>待核</x:v>
      </x:c>
      <x:c r="X857" t="str">
        <x:v>周末已解析；节假日需交易所对应年度日历核验，实际交易日待核</x:v>
      </x:c>
    </x:row>
    <x:row r="858" ht="23" customHeight="1">
      <x:c r="A858" s="11" t="str">
        <x:v>02096.HK</x:v>
      </x:c>
      <x:c r="B858" s="11" t="str">
        <x:v>一年</x:v>
      </x:c>
      <x:c r="C858" s="11" t="str">
        <x:v>乐观</x:v>
      </x:c>
      <x:c r="D858" s="11" t="str">
        <x:v>收入利润率</x:v>
      </x:c>
      <x:c r="E858" s="18" t="n">
        <x:v>1.6192098461538462</x:v>
      </x:c>
      <x:c r="F858" s="18" t="n">
        <x:v>28</x:v>
      </x:c>
      <x:c r="G858" s="18" t="n">
        <x:v>1.1</x:v>
      </x:c>
      <x:c r="H858" s="18" t="n">
        <x:v>0.28600000000000003</x:v>
      </x:c>
      <x:c r="I858" s="18" t="n">
        <x:v>17.552</x:v>
      </x:c>
      <x:c r="J858" s="20" t="n">
        <x:v>0.23985560619872381</x:v>
      </x:c>
      <x:c r="K858" s="22" t="n">
        <x:v>2.6</x:v>
      </x:c>
      <x:c r="L858" s="11" t="str">
        <x:v>simcere-v2-short-recognition-normal-product-risk-royalty-PE-cash</x:v>
      </x:c>
      <x:c r="M858" s="11" t="str">
        <x:v>2027-10-09</x:v>
      </x:c>
      <x:c r="O858" t="str">
        <x:v>CNY</x:v>
      </x:c>
      <x:c r="U858" s="42" t="n">
        <x:v>1</x:v>
      </x:c>
      <x:c r="V858" t="str">
        <x:v>2027-10-08</x:v>
      </x:c>
      <x:c r="W858" t="str">
        <x:v>待核</x:v>
      </x:c>
      <x:c r="X858" t="str">
        <x:v>周末已解析；节假日需交易所对应年度日历核验，实际交易日待核</x:v>
      </x:c>
    </x:row>
    <x:row r="859" ht="23" customHeight="1">
      <x:c r="A859" s="15" t="str">
        <x:v>02096.HK</x:v>
      </x:c>
      <x:c r="B859" s="15" t="str">
        <x:v>三年</x:v>
      </x:c>
      <x:c r="C859" s="15" t="str">
        <x:v>活动输入</x:v>
      </x:c>
      <x:c r="D859" s="15" t="str">
        <x:v>收入利润率</x:v>
      </x:c>
      <x:c r="E859" s="17" t="n">
        <x:f>CHOOSE($B$3,E860,E861,E862)</x:f>
        <x:v>1.0552365467931692</x:v>
      </x:c>
      <x:c r="F859" s="17" t="n">
        <x:f>CHOOSE($B$3,F860,F861,F862)</x:f>
        <x:v>22</x:v>
      </x:c>
      <x:c r="G859" s="17" t="n">
        <x:f>CHOOSE($B$3,G860,G861,G862)</x:f>
        <x:v>1.1</x:v>
      </x:c>
      <x:c r="H859" s="17" t="n">
        <x:f>CHOOSE($B$3,H860,H861,H862)</x:f>
        <x:v>0.8800000000000001</x:v>
      </x:c>
      <x:c r="I859" s="17" t="n">
        <x:f>CHOOSE($B$3,I860,I861,I862)</x:f>
        <x:v>16.03024</x:v>
      </x:c>
      <x:c r="J859" s="19" t="n">
        <x:f>CHOOSE($B$3,J860,J861,J862)</x:f>
        <x:v>0.17345643613570355</x:v>
      </x:c>
      <x:c r="K859" s="21" t="n">
        <x:f>CHOOSE($B$3,K860,K861,K862)</x:f>
        <x:v>2.635</x:v>
      </x:c>
      <x:c r="L859" s="15" t="str">
        <x:v>simcere-v2-short-recognition-normal-product-risk-royalty-PE-cash</x:v>
      </x:c>
      <x:c r="M859" s="15" t="str">
        <x:v>2029-10-09</x:v>
      </x:c>
      <x:c r="O859" t="str">
        <x:v>CNY</x:v>
      </x:c>
      <x:c r="U859" t="n">
        <x:f>CHOOSE($B$3,U860,U861,U862)</x:f>
        <x:v>1</x:v>
      </x:c>
      <x:c r="V859" t="str">
        <x:v>2029-10-09</x:v>
      </x:c>
      <x:c r="W859" t="str">
        <x:v>待核</x:v>
      </x:c>
      <x:c r="X859" t="str">
        <x:v>周末已解析；节假日需交易所对应年度日历核验，实际交易日待核</x:v>
      </x:c>
    </x:row>
    <x:row r="860" ht="23" customHeight="1">
      <x:c r="A860" s="11" t="str">
        <x:v>02096.HK</x:v>
      </x:c>
      <x:c r="B860" s="11" t="str">
        <x:v>三年</x:v>
      </x:c>
      <x:c r="C860" s="11" t="str">
        <x:v>悲观</x:v>
      </x:c>
      <x:c r="D860" s="11" t="str">
        <x:v>收入利润率</x:v>
      </x:c>
      <x:c r="E860" s="18" t="n">
        <x:v>0.2087241264705881</x:v>
      </x:c>
      <x:c r="F860" s="18" t="n">
        <x:v>15</x:v>
      </x:c>
      <x:c r="G860" s="18" t="n">
        <x:v>1.1</x:v>
      </x:c>
      <x:c r="H860" s="18" t="n">
        <x:v>0.33000000000000007</x:v>
      </x:c>
      <x:c r="I860" s="18" t="n">
        <x:v>9.4844</x:v>
      </x:c>
      <x:c r="J860" s="20" t="n">
        <x:v>0.059859308337902206</x:v>
      </x:c>
      <x:c r="K860" s="22" t="n">
        <x:v>2.72</x:v>
      </x:c>
      <x:c r="L860" s="11" t="str">
        <x:v>simcere-v2-short-recognition-normal-product-risk-royalty-PE-cash</x:v>
      </x:c>
      <x:c r="M860" s="11" t="str">
        <x:v>2029-10-09</x:v>
      </x:c>
      <x:c r="O860" t="str">
        <x:v>CNY</x:v>
      </x:c>
      <x:c r="U860" s="42" t="n">
        <x:v>1</x:v>
      </x:c>
      <x:c r="V860" t="str">
        <x:v>2029-10-09</x:v>
      </x:c>
      <x:c r="W860" t="str">
        <x:v>待核</x:v>
      </x:c>
      <x:c r="X860" t="str">
        <x:v>周末已解析；节假日需交易所对应年度日历核验，实际交易日待核</x:v>
      </x:c>
    </x:row>
    <x:row r="861" ht="23" customHeight="1">
      <x:c r="A861" s="11" t="str">
        <x:v>02096.HK</x:v>
      </x:c>
      <x:c r="B861" s="11" t="str">
        <x:v>三年</x:v>
      </x:c>
      <x:c r="C861" s="11" t="str">
        <x:v>基准</x:v>
      </x:c>
      <x:c r="D861" s="11" t="str">
        <x:v>收入利润率</x:v>
      </x:c>
      <x:c r="E861" s="18" t="n">
        <x:v>1.0552365467931692</x:v>
      </x:c>
      <x:c r="F861" s="18" t="n">
        <x:v>22</x:v>
      </x:c>
      <x:c r="G861" s="18" t="n">
        <x:v>1.1</x:v>
      </x:c>
      <x:c r="H861" s="18" t="n">
        <x:v>0.8800000000000001</x:v>
      </x:c>
      <x:c r="I861" s="18" t="n">
        <x:v>16.03024</x:v>
      </x:c>
      <x:c r="J861" s="20" t="n">
        <x:v>0.17345643613570355</x:v>
      </x:c>
      <x:c r="K861" s="22" t="n">
        <x:v>2.635</x:v>
      </x:c>
      <x:c r="L861" s="11" t="str">
        <x:v>simcere-v2-short-recognition-normal-product-risk-royalty-PE-cash</x:v>
      </x:c>
      <x:c r="M861" s="11" t="str">
        <x:v>2029-10-09</x:v>
      </x:c>
      <x:c r="O861" t="str">
        <x:v>CNY</x:v>
      </x:c>
      <x:c r="U861" s="42" t="n">
        <x:v>1</x:v>
      </x:c>
      <x:c r="V861" t="str">
        <x:v>2029-10-09</x:v>
      </x:c>
      <x:c r="W861" t="str">
        <x:v>待核</x:v>
      </x:c>
      <x:c r="X861" t="str">
        <x:v>周末已解析；节假日需交易所对应年度日历核验，实际交易日待核</x:v>
      </x:c>
    </x:row>
    <x:row r="862" ht="23" customHeight="1">
      <x:c r="A862" s="11" t="str">
        <x:v>02096.HK</x:v>
      </x:c>
      <x:c r="B862" s="11" t="str">
        <x:v>三年</x:v>
      </x:c>
      <x:c r="C862" s="11" t="str">
        <x:v>乐观</x:v>
      </x:c>
      <x:c r="D862" s="11" t="str">
        <x:v>收入利润率</x:v>
      </x:c>
      <x:c r="E862" s="18" t="n">
        <x:v>2.3524911145038163</x:v>
      </x:c>
      <x:c r="F862" s="18" t="n">
        <x:v>27</x:v>
      </x:c>
      <x:c r="G862" s="18" t="n">
        <x:v>1.1</x:v>
      </x:c>
      <x:c r="H862" s="18" t="n">
        <x:v>1.2980000000000003</x:v>
      </x:c>
      <x:c r="I862" s="18" t="n">
        <x:v>22.6818</x:v>
      </x:c>
      <x:c r="J862" s="20" t="n">
        <x:v>0.2717388708127221</x:v>
      </x:c>
      <x:c r="K862" s="22" t="n">
        <x:v>2.62</x:v>
      </x:c>
      <x:c r="L862" s="11" t="str">
        <x:v>simcere-v2-short-recognition-normal-product-risk-royalty-PE-cash</x:v>
      </x:c>
      <x:c r="M862" s="11" t="str">
        <x:v>2029-10-09</x:v>
      </x:c>
      <x:c r="O862" t="str">
        <x:v>CNY</x:v>
      </x:c>
      <x:c r="U862" s="42" t="n">
        <x:v>1</x:v>
      </x:c>
      <x:c r="V862" t="str">
        <x:v>2029-10-09</x:v>
      </x:c>
      <x:c r="W862" t="str">
        <x:v>待核</x:v>
      </x:c>
      <x:c r="X862" t="str">
        <x:v>周末已解析；节假日需交易所对应年度日历核验，实际交易日待核</x:v>
      </x:c>
    </x:row>
    <x:row r="863" ht="23" customHeight="1">
      <x:c r="A863" s="15" t="str">
        <x:v>02096.HK</x:v>
      </x:c>
      <x:c r="B863" s="15" t="str">
        <x:v>五年</x:v>
      </x:c>
      <x:c r="C863" s="15" t="str">
        <x:v>活动输入</x:v>
      </x:c>
      <x:c r="D863" s="15" t="str">
        <x:v>收入利润率</x:v>
      </x:c>
      <x:c r="E863" s="17" t="n">
        <x:f>CHOOSE($B$3,E864,E865,E866)</x:f>
        <x:v>1.5554061944134074</x:v>
      </x:c>
      <x:c r="F863" s="17" t="n">
        <x:f>CHOOSE($B$3,F864,F865,F866)</x:f>
        <x:v>20</x:v>
      </x:c>
      <x:c r="G863" s="17" t="n">
        <x:f>CHOOSE($B$3,G864,G865,G866)</x:f>
        <x:v>1.1</x:v>
      </x:c>
      <x:c r="H863" s="17" t="n">
        <x:f>CHOOSE($B$3,H864,H865,H866)</x:f>
        <x:v>1.8480000000000003</x:v>
      </x:c>
      <x:c r="I863" s="17" t="n">
        <x:f>CHOOSE($B$3,I864,I865,I866)</x:f>
        <x:v>20.54402</x:v>
      </x:c>
      <x:c r="J863" s="19" t="n">
        <x:f>CHOOSE($B$3,J864,J865,J866)</x:f>
        <x:v>0.20328376004306845</x:v>
      </x:c>
      <x:c r="K863" s="21" t="n">
        <x:f>CHOOSE($B$3,K864,K865,K866)</x:f>
        <x:v>2.685</x:v>
      </x:c>
      <x:c r="L863" s="15" t="str">
        <x:v>simcere-v2-short-recognition-normal-product-risk-royalty-PE-cash</x:v>
      </x:c>
      <x:c r="M863" s="15" t="str">
        <x:v>2031-10-09</x:v>
      </x:c>
      <x:c r="O863" t="str">
        <x:v>CNY</x:v>
      </x:c>
      <x:c r="U863" t="n">
        <x:f>CHOOSE($B$3,U864,U865,U866)</x:f>
        <x:v>1</x:v>
      </x:c>
      <x:c r="V863" t="str">
        <x:v>2031-10-09</x:v>
      </x:c>
      <x:c r="W863" t="str">
        <x:v>待核</x:v>
      </x:c>
      <x:c r="X863" t="str">
        <x:v>周末已解析；节假日需交易所对应年度日历核验，实际交易日待核</x:v>
      </x:c>
    </x:row>
    <x:row r="864" ht="23" customHeight="1">
      <x:c r="A864" s="11" t="str">
        <x:v>02096.HK</x:v>
      </x:c>
      <x:c r="B864" s="11" t="str">
        <x:v>五年</x:v>
      </x:c>
      <x:c r="C864" s="11" t="str">
        <x:v>悲观</x:v>
      </x:c>
      <x:c r="D864" s="11" t="str">
        <x:v>收入利润率</x:v>
      </x:c>
      <x:c r="E864" s="18" t="n">
        <x:v>0.25821001705824576</x:v>
      </x:c>
      <x:c r="F864" s="18" t="n">
        <x:v>13</x:v>
      </x:c>
      <x:c r="G864" s="18" t="n">
        <x:v>1.1</x:v>
      </x:c>
      <x:c r="H864" s="18" t="n">
        <x:v>0.5830000000000001</x:v>
      </x:c>
      <x:c r="I864" s="18" t="n">
        <x:v>10.169988</x:v>
      </x:c>
      <x:c r="J864" s="20" t="n">
        <x:v>0.07235982467393279</x:v>
      </x:c>
      <x:c r="K864" s="22" t="n">
        <x:v>2.85</x:v>
      </x:c>
      <x:c r="L864" s="11" t="str">
        <x:v>simcere-v2-short-recognition-normal-product-risk-royalty-PE-cash</x:v>
      </x:c>
      <x:c r="M864" s="11" t="str">
        <x:v>2031-10-09</x:v>
      </x:c>
      <x:c r="O864" t="str">
        <x:v>CNY</x:v>
      </x:c>
      <x:c r="U864" s="42" t="n">
        <x:v>1</x:v>
      </x:c>
      <x:c r="V864" t="str">
        <x:v>2031-10-09</x:v>
      </x:c>
      <x:c r="W864" t="str">
        <x:v>待核</x:v>
      </x:c>
      <x:c r="X864" t="str">
        <x:v>周末已解析；节假日需交易所对应年度日历核验，实际交易日待核</x:v>
      </x:c>
    </x:row>
    <x:row r="865" ht="23" customHeight="1">
      <x:c r="A865" s="11" t="str">
        <x:v>02096.HK</x:v>
      </x:c>
      <x:c r="B865" s="11" t="str">
        <x:v>五年</x:v>
      </x:c>
      <x:c r="C865" s="11" t="str">
        <x:v>基准</x:v>
      </x:c>
      <x:c r="D865" s="11" t="str">
        <x:v>收入利润率</x:v>
      </x:c>
      <x:c r="E865" s="18" t="n">
        <x:v>1.5554061944134074</x:v>
      </x:c>
      <x:c r="F865" s="18" t="n">
        <x:v>20</x:v>
      </x:c>
      <x:c r="G865" s="18" t="n">
        <x:v>1.1</x:v>
      </x:c>
      <x:c r="H865" s="18" t="n">
        <x:v>1.8480000000000003</x:v>
      </x:c>
      <x:c r="I865" s="18" t="n">
        <x:v>20.54402</x:v>
      </x:c>
      <x:c r="J865" s="20" t="n">
        <x:v>0.20328376004306845</x:v>
      </x:c>
      <x:c r="K865" s="22" t="n">
        <x:v>2.685</x:v>
      </x:c>
      <x:c r="L865" s="11" t="str">
        <x:v>simcere-v2-short-recognition-normal-product-risk-royalty-PE-cash</x:v>
      </x:c>
      <x:c r="M865" s="11" t="str">
        <x:v>2031-10-09</x:v>
      </x:c>
      <x:c r="O865" t="str">
        <x:v>CNY</x:v>
      </x:c>
      <x:c r="U865" s="42" t="n">
        <x:v>1</x:v>
      </x:c>
      <x:c r="V865" t="str">
        <x:v>2031-10-09</x:v>
      </x:c>
      <x:c r="W865" t="str">
        <x:v>待核</x:v>
      </x:c>
      <x:c r="X865" t="str">
        <x:v>周末已解析；节假日需交易所对应年度日历核验，实际交易日待核</x:v>
      </x:c>
    </x:row>
    <x:row r="866" ht="23" customHeight="1">
      <x:c r="A866" s="11" t="str">
        <x:v>02096.HK</x:v>
      </x:c>
      <x:c r="B866" s="11" t="str">
        <x:v>五年</x:v>
      </x:c>
      <x:c r="C866" s="11" t="str">
        <x:v>乐观</x:v>
      </x:c>
      <x:c r="D866" s="11" t="str">
        <x:v>收入利润率</x:v>
      </x:c>
      <x:c r="E866" s="18" t="n">
        <x:v>4.278596231203006</x:v>
      </x:c>
      <x:c r="F866" s="18" t="n">
        <x:v>25</x:v>
      </x:c>
      <x:c r="G866" s="18" t="n">
        <x:v>1.1</x:v>
      </x:c>
      <x:c r="H866" s="18" t="n">
        <x:v>3.168</x:v>
      </x:c>
      <x:c r="I866" s="18" t="n">
        <x:v>34.95355</x:v>
      </x:c>
      <x:c r="J866" s="20" t="n">
        <x:v>0.3256054385033852</x:v>
      </x:c>
      <x:c r="K866" s="22" t="n">
        <x:v>2.66</x:v>
      </x:c>
      <x:c r="L866" s="11" t="str">
        <x:v>simcere-v2-short-recognition-normal-product-risk-royalty-PE-cash</x:v>
      </x:c>
      <x:c r="M866" s="11" t="str">
        <x:v>2031-10-09</x:v>
      </x:c>
      <x:c r="O866" t="str">
        <x:v>CNY</x:v>
      </x:c>
      <x:c r="U866" s="42" t="n">
        <x:v>1</x:v>
      </x:c>
      <x:c r="V866" t="str">
        <x:v>2031-10-09</x:v>
      </x:c>
      <x:c r="W866" t="str">
        <x:v>待核</x:v>
      </x:c>
      <x:c r="X866" t="str">
        <x:v>周末已解析；节假日需交易所对应年度日历核验，实际交易日待核</x:v>
      </x:c>
    </x:row>
    <x:row r="867" ht="23" customHeight="1">
      <x:c r="A867" s="15" t="str">
        <x:v>01177.HK</x:v>
      </x:c>
      <x:c r="B867" s="15" t="str">
        <x:v>2026年底</x:v>
      </x:c>
      <x:c r="C867" s="15" t="str">
        <x:v>活动输入</x:v>
      </x:c>
      <x:c r="D867" s="15" t="str">
        <x:v>收入利润率</x:v>
      </x:c>
      <x:c r="E867" s="17" t="n">
        <x:f>CHOOSE($B$3,E868,E869,E870)</x:f>
        <x:v>0.31</x:v>
      </x:c>
      <x:c r="F867" s="17" t="n">
        <x:f>CHOOSE($B$3,F868,F869,F870)</x:f>
        <x:v>21</x:v>
      </x:c>
      <x:c r="G867" s="17" t="n">
        <x:f>CHOOSE($B$3,G868,G869,G870)</x:f>
        <x:v>1.1</x:v>
      </x:c>
      <x:c r="H867" s="17" t="n">
        <x:f>CHOOSE($B$3,H868,H869,H870)</x:f>
        <x:v>0</x:v>
      </x:c>
      <x:c r="I867" s="17" t="n">
        <x:f>CHOOSE($B$3,I868,I869,I870)</x:f>
        <x:v>42</x:v>
      </x:c>
      <x:c r="J867" s="19" t="n">
        <x:f>CHOOSE($B$3,J868,J869,J870)</x:f>
        <x:v>0.13433333333333333</x:v>
      </x:c>
      <x:c r="K867" s="21" t="n">
        <x:f>CHOOSE($B$3,K868,K869,K870)</x:f>
        <x:v>18.2</x:v>
      </x:c>
      <x:c r="L867" s="15" t="str">
        <x:v>sinobiopharm-v1-transaction-cash-bridge</x:v>
      </x:c>
      <x:c r="M867" s="15" t="str">
        <x:v>2026-12-31</x:v>
      </x:c>
      <x:c r="N867" t="n">
        <x:f>CHOOSE($B$3,N868,N869,N870)</x:f>
        <x:v>2</x:v>
      </x:c>
      <x:c r="O867" t="str">
        <x:v>CNY</x:v>
      </x:c>
      <x:c r="P867" t="n">
        <x:f>CHOOSE($B$3,P868,P869,P870)</x:f>
        <x:v>5.4</x:v>
      </x:c>
      <x:c r="V867" t="str">
        <x:v>2026-12-31</x:v>
      </x:c>
      <x:c r="W867" t="str">
        <x:v>待核</x:v>
      </x:c>
      <x:c r="X867" t="str">
        <x:v>周末已解析；节假日需交易所对应年度日历核验，实际交易日待核</x:v>
      </x:c>
    </x:row>
    <x:row r="868" ht="23" customHeight="1">
      <x:c r="A868" s="11" t="str">
        <x:v>01177.HK</x:v>
      </x:c>
      <x:c r="B868" s="11" t="str">
        <x:v>2026年底</x:v>
      </x:c>
      <x:c r="C868" s="11" t="str">
        <x:v>悲观</x:v>
      </x:c>
      <x:c r="D868" s="11" t="str">
        <x:v>收入利润率</x:v>
      </x:c>
      <x:c r="E868" s="18" t="n">
        <x:v>0.23</x:v>
      </x:c>
      <x:c r="F868" s="18" t="n">
        <x:v>15</x:v>
      </x:c>
      <x:c r="G868" s="18" t="n">
        <x:v>1.1</x:v>
      </x:c>
      <x:c r="H868" s="18" t="n">
        <x:v>0</x:v>
      </x:c>
      <x:c r="I868" s="18" t="n">
        <x:v>38</x:v>
      </x:c>
      <x:c r="J868" s="20" t="n">
        <x:v>0.11136842105263159</x:v>
      </x:c>
      <x:c r="K868" s="22" t="n">
        <x:v>18.4</x:v>
      </x:c>
      <x:c r="L868" s="11" t="str">
        <x:v>sinobiopharm-v1-transaction-cash-bridge</x:v>
      </x:c>
      <x:c r="M868" s="11" t="str">
        <x:v>2026-12-31</x:v>
      </x:c>
      <x:c r="N868" s="42" t="n">
        <x:v>-0.5</x:v>
      </x:c>
      <x:c r="O868" t="str">
        <x:v>CNY</x:v>
      </x:c>
      <x:c r="P868" s="42" t="n">
        <x:v>3.6</x:v>
      </x:c>
      <x:c r="V868" t="str">
        <x:v>2026-12-31</x:v>
      </x:c>
      <x:c r="W868" t="str">
        <x:v>待核</x:v>
      </x:c>
      <x:c r="X868" t="str">
        <x:v>周末已解析；节假日需交易所对应年度日历核验，实际交易日待核</x:v>
      </x:c>
    </x:row>
    <x:row r="869" ht="23" customHeight="1">
      <x:c r="A869" s="11" t="str">
        <x:v>01177.HK</x:v>
      </x:c>
      <x:c r="B869" s="11" t="str">
        <x:v>2026年底</x:v>
      </x:c>
      <x:c r="C869" s="11" t="str">
        <x:v>基准</x:v>
      </x:c>
      <x:c r="D869" s="11" t="str">
        <x:v>收入利润率</x:v>
      </x:c>
      <x:c r="E869" s="18" t="n">
        <x:v>0.31</x:v>
      </x:c>
      <x:c r="F869" s="18" t="n">
        <x:v>21</x:v>
      </x:c>
      <x:c r="G869" s="18" t="n">
        <x:v>1.1</x:v>
      </x:c>
      <x:c r="H869" s="18" t="n">
        <x:v>0</x:v>
      </x:c>
      <x:c r="I869" s="18" t="n">
        <x:v>42</x:v>
      </x:c>
      <x:c r="J869" s="20" t="n">
        <x:v>0.13433333333333333</x:v>
      </x:c>
      <x:c r="K869" s="22" t="n">
        <x:v>18.2</x:v>
      </x:c>
      <x:c r="L869" s="11" t="str">
        <x:v>sinobiopharm-v1-transaction-cash-bridge</x:v>
      </x:c>
      <x:c r="M869" s="11" t="str">
        <x:v>2026-12-31</x:v>
      </x:c>
      <x:c r="N869" s="42" t="n">
        <x:v>2</x:v>
      </x:c>
      <x:c r="O869" t="str">
        <x:v>CNY</x:v>
      </x:c>
      <x:c r="P869" s="42" t="n">
        <x:v>5.4</x:v>
      </x:c>
      <x:c r="V869" t="str">
        <x:v>2026-12-31</x:v>
      </x:c>
      <x:c r="W869" t="str">
        <x:v>待核</x:v>
      </x:c>
      <x:c r="X869" t="str">
        <x:v>周末已解析；节假日需交易所对应年度日历核验，实际交易日待核</x:v>
      </x:c>
    </x:row>
    <x:row r="870" ht="23" customHeight="1">
      <x:c r="A870" s="11" t="str">
        <x:v>01177.HK</x:v>
      </x:c>
      <x:c r="B870" s="11" t="str">
        <x:v>2026年底</x:v>
      </x:c>
      <x:c r="C870" s="11" t="str">
        <x:v>乐观</x:v>
      </x:c>
      <x:c r="D870" s="11" t="str">
        <x:v>收入利润率</x:v>
      </x:c>
      <x:c r="E870" s="18" t="n">
        <x:v>0.39</x:v>
      </x:c>
      <x:c r="F870" s="18" t="n">
        <x:v>27</x:v>
      </x:c>
      <x:c r="G870" s="18" t="n">
        <x:v>1.1</x:v>
      </x:c>
      <x:c r="H870" s="18" t="n">
        <x:v>0</x:v>
      </x:c>
      <x:c r="I870" s="18" t="n">
        <x:v>47</x:v>
      </x:c>
      <x:c r="J870" s="20" t="n">
        <x:v>0.15102127659574469</x:v>
      </x:c>
      <x:c r="K870" s="22" t="n">
        <x:v>18.2</x:v>
      </x:c>
      <x:c r="L870" s="11" t="str">
        <x:v>sinobiopharm-v1-transaction-cash-bridge</x:v>
      </x:c>
      <x:c r="M870" s="11" t="str">
        <x:v>2026-12-31</x:v>
      </x:c>
      <x:c r="N870" s="42" t="n">
        <x:v>4</x:v>
      </x:c>
      <x:c r="O870" t="str">
        <x:v>CNY</x:v>
      </x:c>
      <x:c r="P870" s="42" t="n">
        <x:v>7.2</x:v>
      </x:c>
      <x:c r="V870" t="str">
        <x:v>2026-12-31</x:v>
      </x:c>
      <x:c r="W870" t="str">
        <x:v>待核</x:v>
      </x:c>
      <x:c r="X870" t="str">
        <x:v>周末已解析；节假日需交易所对应年度日历核验，实际交易日待核</x:v>
      </x:c>
    </x:row>
    <x:row r="871" ht="23" customHeight="1">
      <x:c r="A871" s="15" t="str">
        <x:v>01177.HK</x:v>
      </x:c>
      <x:c r="B871" s="15" t="str">
        <x:v>半年</x:v>
      </x:c>
      <x:c r="C871" s="15" t="str">
        <x:v>活动输入</x:v>
      </x:c>
      <x:c r="D871" s="15" t="str">
        <x:v>收入利润率</x:v>
      </x:c>
      <x:c r="E871" s="17" t="n">
        <x:f>CHOOSE($B$3,E872,E873,E874)</x:f>
        <x:v>0.31</x:v>
      </x:c>
      <x:c r="F871" s="17" t="n">
        <x:f>CHOOSE($B$3,F872,F873,F874)</x:f>
        <x:v>23</x:v>
      </x:c>
      <x:c r="G871" s="17" t="n">
        <x:f>CHOOSE($B$3,G872,G873,G874)</x:f>
        <x:v>1.1</x:v>
      </x:c>
      <x:c r="H871" s="17" t="n">
        <x:f>CHOOSE($B$3,H872,H873,H874)</x:f>
        <x:v>0</x:v>
      </x:c>
      <x:c r="I871" s="17" t="n">
        <x:f>CHOOSE($B$3,I872,I873,I874)</x:f>
        <x:v>42</x:v>
      </x:c>
      <x:c r="J871" s="19" t="n">
        <x:f>CHOOSE($B$3,J872,J873,J874)</x:f>
        <x:v>0.13433333333333333</x:v>
      </x:c>
      <x:c r="K871" s="21" t="n">
        <x:f>CHOOSE($B$3,K872,K873,K874)</x:f>
        <x:v>18.2</x:v>
      </x:c>
      <x:c r="L871" s="15" t="str">
        <x:v>sinobiopharm-v1-transaction-cash-bridge</x:v>
      </x:c>
      <x:c r="M871" s="15" t="str">
        <x:v>2027-04-09</x:v>
      </x:c>
      <x:c r="N871" t="n">
        <x:f>CHOOSE($B$3,N872,N873,N874)</x:f>
        <x:v>2.5</x:v>
      </x:c>
      <x:c r="O871" t="str">
        <x:v>CNY</x:v>
      </x:c>
      <x:c r="P871" t="n">
        <x:f>CHOOSE($B$3,P872,P873,P874)</x:f>
        <x:v>5.4</x:v>
      </x:c>
      <x:c r="V871" t="str">
        <x:v>2027-04-09</x:v>
      </x:c>
      <x:c r="W871" t="str">
        <x:v>待核</x:v>
      </x:c>
      <x:c r="X871" t="str">
        <x:v>周末已解析；节假日需交易所对应年度日历核验，实际交易日待核</x:v>
      </x:c>
    </x:row>
    <x:row r="872" ht="23" customHeight="1">
      <x:c r="A872" s="11" t="str">
        <x:v>01177.HK</x:v>
      </x:c>
      <x:c r="B872" s="11" t="str">
        <x:v>半年</x:v>
      </x:c>
      <x:c r="C872" s="11" t="str">
        <x:v>悲观</x:v>
      </x:c>
      <x:c r="D872" s="11" t="str">
        <x:v>收入利润率</x:v>
      </x:c>
      <x:c r="E872" s="18" t="n">
        <x:v>0.23</x:v>
      </x:c>
      <x:c r="F872" s="18" t="n">
        <x:v>16</x:v>
      </x:c>
      <x:c r="G872" s="18" t="n">
        <x:v>1.1</x:v>
      </x:c>
      <x:c r="H872" s="18" t="n">
        <x:v>0</x:v>
      </x:c>
      <x:c r="I872" s="18" t="n">
        <x:v>38</x:v>
      </x:c>
      <x:c r="J872" s="20" t="n">
        <x:v>0.11136842105263159</x:v>
      </x:c>
      <x:c r="K872" s="22" t="n">
        <x:v>18.4</x:v>
      </x:c>
      <x:c r="L872" s="11" t="str">
        <x:v>sinobiopharm-v1-transaction-cash-bridge</x:v>
      </x:c>
      <x:c r="M872" s="11" t="str">
        <x:v>2027-04-09</x:v>
      </x:c>
      <x:c r="N872" s="42" t="n">
        <x:v>-0.5</x:v>
      </x:c>
      <x:c r="O872" t="str">
        <x:v>CNY</x:v>
      </x:c>
      <x:c r="P872" s="42" t="n">
        <x:v>3.6</x:v>
      </x:c>
      <x:c r="V872" t="str">
        <x:v>2027-04-09</x:v>
      </x:c>
      <x:c r="W872" t="str">
        <x:v>待核</x:v>
      </x:c>
      <x:c r="X872" t="str">
        <x:v>周末已解析；节假日需交易所对应年度日历核验，实际交易日待核</x:v>
      </x:c>
    </x:row>
    <x:row r="873" ht="23" customHeight="1">
      <x:c r="A873" s="11" t="str">
        <x:v>01177.HK</x:v>
      </x:c>
      <x:c r="B873" s="11" t="str">
        <x:v>半年</x:v>
      </x:c>
      <x:c r="C873" s="11" t="str">
        <x:v>基准</x:v>
      </x:c>
      <x:c r="D873" s="11" t="str">
        <x:v>收入利润率</x:v>
      </x:c>
      <x:c r="E873" s="18" t="n">
        <x:v>0.31</x:v>
      </x:c>
      <x:c r="F873" s="18" t="n">
        <x:v>23</x:v>
      </x:c>
      <x:c r="G873" s="18" t="n">
        <x:v>1.1</x:v>
      </x:c>
      <x:c r="H873" s="18" t="n">
        <x:v>0</x:v>
      </x:c>
      <x:c r="I873" s="18" t="n">
        <x:v>42</x:v>
      </x:c>
      <x:c r="J873" s="20" t="n">
        <x:v>0.13433333333333333</x:v>
      </x:c>
      <x:c r="K873" s="22" t="n">
        <x:v>18.2</x:v>
      </x:c>
      <x:c r="L873" s="11" t="str">
        <x:v>sinobiopharm-v1-transaction-cash-bridge</x:v>
      </x:c>
      <x:c r="M873" s="11" t="str">
        <x:v>2027-04-09</x:v>
      </x:c>
      <x:c r="N873" s="42" t="n">
        <x:v>2.5</x:v>
      </x:c>
      <x:c r="O873" t="str">
        <x:v>CNY</x:v>
      </x:c>
      <x:c r="P873" s="42" t="n">
        <x:v>5.4</x:v>
      </x:c>
      <x:c r="V873" t="str">
        <x:v>2027-04-09</x:v>
      </x:c>
      <x:c r="W873" t="str">
        <x:v>待核</x:v>
      </x:c>
      <x:c r="X873" t="str">
        <x:v>周末已解析；节假日需交易所对应年度日历核验，实际交易日待核</x:v>
      </x:c>
    </x:row>
    <x:row r="874" ht="23" customHeight="1">
      <x:c r="A874" s="11" t="str">
        <x:v>01177.HK</x:v>
      </x:c>
      <x:c r="B874" s="11" t="str">
        <x:v>半年</x:v>
      </x:c>
      <x:c r="C874" s="11" t="str">
        <x:v>乐观</x:v>
      </x:c>
      <x:c r="D874" s="11" t="str">
        <x:v>收入利润率</x:v>
      </x:c>
      <x:c r="E874" s="18" t="n">
        <x:v>0.39</x:v>
      </x:c>
      <x:c r="F874" s="18" t="n">
        <x:v>29</x:v>
      </x:c>
      <x:c r="G874" s="18" t="n">
        <x:v>1.1</x:v>
      </x:c>
      <x:c r="H874" s="18" t="n">
        <x:v>0</x:v>
      </x:c>
      <x:c r="I874" s="18" t="n">
        <x:v>47</x:v>
      </x:c>
      <x:c r="J874" s="20" t="n">
        <x:v>0.15102127659574469</x:v>
      </x:c>
      <x:c r="K874" s="22" t="n">
        <x:v>18.2</x:v>
      </x:c>
      <x:c r="L874" s="11" t="str">
        <x:v>sinobiopharm-v1-transaction-cash-bridge</x:v>
      </x:c>
      <x:c r="M874" s="11" t="str">
        <x:v>2027-04-09</x:v>
      </x:c>
      <x:c r="N874" s="42" t="n">
        <x:v>4.8</x:v>
      </x:c>
      <x:c r="O874" t="str">
        <x:v>CNY</x:v>
      </x:c>
      <x:c r="P874" s="42" t="n">
        <x:v>7.2</x:v>
      </x:c>
      <x:c r="V874" t="str">
        <x:v>2027-04-09</x:v>
      </x:c>
      <x:c r="W874" t="str">
        <x:v>待核</x:v>
      </x:c>
      <x:c r="X874" t="str">
        <x:v>周末已解析；节假日需交易所对应年度日历核验，实际交易日待核</x:v>
      </x:c>
    </x:row>
    <x:row r="875" ht="23" customHeight="1">
      <x:c r="A875" s="15" t="str">
        <x:v>01177.HK</x:v>
      </x:c>
      <x:c r="B875" s="15" t="str">
        <x:v>一年</x:v>
      </x:c>
      <x:c r="C875" s="15" t="str">
        <x:v>活动输入</x:v>
      </x:c>
      <x:c r="D875" s="15" t="str">
        <x:v>收入利润率</x:v>
      </x:c>
      <x:c r="E875" s="17" t="n">
        <x:f>CHOOSE($B$3,E876,E877,E878)</x:f>
        <x:v>0.39</x:v>
      </x:c>
      <x:c r="F875" s="17" t="n">
        <x:f>CHOOSE($B$3,F876,F877,F878)</x:f>
        <x:v>23</x:v>
      </x:c>
      <x:c r="G875" s="17" t="n">
        <x:f>CHOOSE($B$3,G876,G877,G878)</x:f>
        <x:v>1.1</x:v>
      </x:c>
      <x:c r="H875" s="17" t="n">
        <x:f>CHOOSE($B$3,H876,H877,H878)</x:f>
        <x:v>0.14</x:v>
      </x:c>
      <x:c r="I875" s="17" t="n">
        <x:f>CHOOSE($B$3,I876,I877,I878)</x:f>
        <x:v>49</x:v>
      </x:c>
      <x:c r="J875" s="19" t="n">
        <x:f>CHOOSE($B$3,J876,J877,J878)</x:f>
        <x:v>0.14644897959183673</x:v>
      </x:c>
      <x:c r="K875" s="21" t="n">
        <x:f>CHOOSE($B$3,K876,K877,K878)</x:f>
        <x:v>18.4</x:v>
      </x:c>
      <x:c r="L875" s="15" t="str">
        <x:v>sinobiopharm-v1-transaction-cash-bridge</x:v>
      </x:c>
      <x:c r="M875" s="15" t="str">
        <x:v>2027-10-09</x:v>
      </x:c>
      <x:c r="N875" t="n">
        <x:f>CHOOSE($B$3,N876,N877,N878)</x:f>
        <x:v>3.8</x:v>
      </x:c>
      <x:c r="O875" t="str">
        <x:v>CNY</x:v>
      </x:c>
      <x:c r="P875" t="n">
        <x:f>CHOOSE($B$3,P876,P877,P878)</x:f>
        <x:v>5.6</x:v>
      </x:c>
      <x:c r="V875" t="str">
        <x:v>2027-10-08</x:v>
      </x:c>
      <x:c r="W875" t="str">
        <x:v>待核</x:v>
      </x:c>
      <x:c r="X875" t="str">
        <x:v>周末已解析；节假日需交易所对应年度日历核验，实际交易日待核</x:v>
      </x:c>
    </x:row>
    <x:row r="876" ht="23" customHeight="1">
      <x:c r="A876" s="11" t="str">
        <x:v>01177.HK</x:v>
      </x:c>
      <x:c r="B876" s="11" t="str">
        <x:v>一年</x:v>
      </x:c>
      <x:c r="C876" s="11" t="str">
        <x:v>悲观</x:v>
      </x:c>
      <x:c r="D876" s="11" t="str">
        <x:v>收入利润率</x:v>
      </x:c>
      <x:c r="E876" s="18" t="n">
        <x:v>0.25</x:v>
      </x:c>
      <x:c r="F876" s="18" t="n">
        <x:v>15</x:v>
      </x:c>
      <x:c r="G876" s="18" t="n">
        <x:v>1.1</x:v>
      </x:c>
      <x:c r="H876" s="18" t="n">
        <x:v>0.07</x:v>
      </x:c>
      <x:c r="I876" s="18" t="n">
        <x:v>40</x:v>
      </x:c>
      <x:c r="J876" s="20" t="n">
        <x:v>0.11625</x:v>
      </x:c>
      <x:c r="K876" s="22" t="n">
        <x:v>18.6</x:v>
      </x:c>
      <x:c r="L876" s="11" t="str">
        <x:v>sinobiopharm-v1-transaction-cash-bridge</x:v>
      </x:c>
      <x:c r="M876" s="11" t="str">
        <x:v>2027-10-09</x:v>
      </x:c>
      <x:c r="N876" s="42" t="n">
        <x:v>-1</x:v>
      </x:c>
      <x:c r="O876" t="str">
        <x:v>CNY</x:v>
      </x:c>
      <x:c r="P876" s="42" t="n">
        <x:v>3.2</x:v>
      </x:c>
      <x:c r="V876" t="str">
        <x:v>2027-10-08</x:v>
      </x:c>
      <x:c r="W876" t="str">
        <x:v>待核</x:v>
      </x:c>
      <x:c r="X876" t="str">
        <x:v>周末已解析；节假日需交易所对应年度日历核验，实际交易日待核</x:v>
      </x:c>
    </x:row>
    <x:row r="877" ht="23" customHeight="1">
      <x:c r="A877" s="11" t="str">
        <x:v>01177.HK</x:v>
      </x:c>
      <x:c r="B877" s="11" t="str">
        <x:v>一年</x:v>
      </x:c>
      <x:c r="C877" s="11" t="str">
        <x:v>基准</x:v>
      </x:c>
      <x:c r="D877" s="11" t="str">
        <x:v>收入利润率</x:v>
      </x:c>
      <x:c r="E877" s="18" t="n">
        <x:v>0.39</x:v>
      </x:c>
      <x:c r="F877" s="18" t="n">
        <x:v>23</x:v>
      </x:c>
      <x:c r="G877" s="18" t="n">
        <x:v>1.1</x:v>
      </x:c>
      <x:c r="H877" s="18" t="n">
        <x:v>0.14</x:v>
      </x:c>
      <x:c r="I877" s="18" t="n">
        <x:v>49</x:v>
      </x:c>
      <x:c r="J877" s="20" t="n">
        <x:v>0.14644897959183673</x:v>
      </x:c>
      <x:c r="K877" s="22" t="n">
        <x:v>18.4</x:v>
      </x:c>
      <x:c r="L877" s="11" t="str">
        <x:v>sinobiopharm-v1-transaction-cash-bridge</x:v>
      </x:c>
      <x:c r="M877" s="11" t="str">
        <x:v>2027-10-09</x:v>
      </x:c>
      <x:c r="N877" s="42" t="n">
        <x:v>3.8</x:v>
      </x:c>
      <x:c r="O877" t="str">
        <x:v>CNY</x:v>
      </x:c>
      <x:c r="P877" s="42" t="n">
        <x:v>5.6</x:v>
      </x:c>
      <x:c r="V877" t="str">
        <x:v>2027-10-08</x:v>
      </x:c>
      <x:c r="W877" t="str">
        <x:v>待核</x:v>
      </x:c>
      <x:c r="X877" t="str">
        <x:v>周末已解析；节假日需交易所对应年度日历核验，实际交易日待核</x:v>
      </x:c>
    </x:row>
    <x:row r="878" ht="23" customHeight="1">
      <x:c r="A878" s="11" t="str">
        <x:v>01177.HK</x:v>
      </x:c>
      <x:c r="B878" s="11" t="str">
        <x:v>一年</x:v>
      </x:c>
      <x:c r="C878" s="11" t="str">
        <x:v>乐观</x:v>
      </x:c>
      <x:c r="D878" s="11" t="str">
        <x:v>收入利润率</x:v>
      </x:c>
      <x:c r="E878" s="18" t="n">
        <x:v>0.52</x:v>
      </x:c>
      <x:c r="F878" s="18" t="n">
        <x:v>30</x:v>
      </x:c>
      <x:c r="G878" s="18" t="n">
        <x:v>1.1</x:v>
      </x:c>
      <x:c r="H878" s="18" t="n">
        <x:v>0.2</x:v>
      </x:c>
      <x:c r="I878" s="18" t="n">
        <x:v>57.4</x:v>
      </x:c>
      <x:c r="J878" s="20" t="n">
        <x:v>0.16668989547038326</x:v>
      </x:c>
      <x:c r="K878" s="22" t="n">
        <x:v>18.4</x:v>
      </x:c>
      <x:c r="L878" s="11" t="str">
        <x:v>sinobiopharm-v1-transaction-cash-bridge</x:v>
      </x:c>
      <x:c r="M878" s="11" t="str">
        <x:v>2027-10-09</x:v>
      </x:c>
      <x:c r="N878" s="42" t="n">
        <x:v>7</x:v>
      </x:c>
      <x:c r="O878" t="str">
        <x:v>CNY</x:v>
      </x:c>
      <x:c r="P878" s="42" t="n">
        <x:v>7.8</x:v>
      </x:c>
      <x:c r="V878" t="str">
        <x:v>2027-10-08</x:v>
      </x:c>
      <x:c r="W878" t="str">
        <x:v>待核</x:v>
      </x:c>
      <x:c r="X878" t="str">
        <x:v>周末已解析；节假日需交易所对应年度日历核验，实际交易日待核</x:v>
      </x:c>
    </x:row>
    <x:row r="879" ht="23" customHeight="1">
      <x:c r="A879" s="15" t="str">
        <x:v>01177.HK</x:v>
      </x:c>
      <x:c r="B879" s="15" t="str">
        <x:v>三年</x:v>
      </x:c>
      <x:c r="C879" s="15" t="str">
        <x:v>活动输入</x:v>
      </x:c>
      <x:c r="D879" s="15" t="str">
        <x:v>收入利润率</x:v>
      </x:c>
      <x:c r="E879" s="17" t="n">
        <x:f>CHOOSE($B$3,E880,E881,E882)</x:f>
        <x:v>0.53</x:v>
      </x:c>
      <x:c r="F879" s="17" t="n">
        <x:f>CHOOSE($B$3,F880,F881,F882)</x:f>
        <x:v>22</x:v>
      </x:c>
      <x:c r="G879" s="17" t="n">
        <x:f>CHOOSE($B$3,G880,G881,G882)</x:f>
        <x:v>1.1</x:v>
      </x:c>
      <x:c r="H879" s="17" t="n">
        <x:f>CHOOSE($B$3,H880,H881,H882)</x:f>
        <x:v>0.5</x:v>
      </x:c>
      <x:c r="I879" s="17" t="n">
        <x:f>CHOOSE($B$3,I880,I881,I882)</x:f>
        <x:v>60.7</x:v>
      </x:c>
      <x:c r="J879" s="19" t="n">
        <x:f>CHOOSE($B$3,J880,J881,J882)</x:f>
        <x:v>0.1641515650741351</x:v>
      </x:c>
      <x:c r="K879" s="21" t="n">
        <x:f>CHOOSE($B$3,K880,K881,K882)</x:f>
        <x:v>18.8</x:v>
      </x:c>
      <x:c r="L879" s="15" t="str">
        <x:v>sinobiopharm-v1-transaction-cash-bridge</x:v>
      </x:c>
      <x:c r="M879" s="15" t="str">
        <x:v>2029-10-09</x:v>
      </x:c>
      <x:c r="N879" t="n">
        <x:f>CHOOSE($B$3,N880,N881,N882)</x:f>
        <x:v>7</x:v>
      </x:c>
      <x:c r="O879" t="str">
        <x:v>CNY</x:v>
      </x:c>
      <x:c r="P879" t="n">
        <x:f>CHOOSE($B$3,P880,P881,P882)</x:f>
        <x:v>6</x:v>
      </x:c>
      <x:c r="V879" t="str">
        <x:v>2029-10-09</x:v>
      </x:c>
      <x:c r="W879" t="str">
        <x:v>待核</x:v>
      </x:c>
      <x:c r="X879" t="str">
        <x:v>周末已解析；节假日需交易所对应年度日历核验，实际交易日待核</x:v>
      </x:c>
    </x:row>
    <x:row r="880" ht="23" customHeight="1">
      <x:c r="A880" s="11" t="str">
        <x:v>01177.HK</x:v>
      </x:c>
      <x:c r="B880" s="11" t="str">
        <x:v>三年</x:v>
      </x:c>
      <x:c r="C880" s="11" t="str">
        <x:v>悲观</x:v>
      </x:c>
      <x:c r="D880" s="11" t="str">
        <x:v>收入利润率</x:v>
      </x:c>
      <x:c r="E880" s="18" t="n">
        <x:v>0.28</x:v>
      </x:c>
      <x:c r="F880" s="18" t="n">
        <x:v>13</x:v>
      </x:c>
      <x:c r="G880" s="18" t="n">
        <x:v>1.1</x:v>
      </x:c>
      <x:c r="H880" s="18" t="n">
        <x:v>0.23</x:v>
      </x:c>
      <x:c r="I880" s="18" t="n">
        <x:v>43</x:v>
      </x:c>
      <x:c r="J880" s="20" t="n">
        <x:v>0.12372093023255815</x:v>
      </x:c>
      <x:c r="K880" s="22" t="n">
        <x:v>19</x:v>
      </x:c>
      <x:c r="L880" s="11" t="str">
        <x:v>sinobiopharm-v1-transaction-cash-bridge</x:v>
      </x:c>
      <x:c r="M880" s="11" t="str">
        <x:v>2029-10-09</x:v>
      </x:c>
      <x:c r="N880" s="42" t="n">
        <x:v>-1.5</x:v>
      </x:c>
      <x:c r="O880" t="str">
        <x:v>CNY</x:v>
      </x:c>
      <x:c r="P880" s="42" t="n">
        <x:v>2.8</x:v>
      </x:c>
      <x:c r="V880" t="str">
        <x:v>2029-10-09</x:v>
      </x:c>
      <x:c r="W880" t="str">
        <x:v>待核</x:v>
      </x:c>
      <x:c r="X880" t="str">
        <x:v>周末已解析；节假日需交易所对应年度日历核验，实际交易日待核</x:v>
      </x:c>
    </x:row>
    <x:row r="881" ht="23" customHeight="1">
      <x:c r="A881" s="11" t="str">
        <x:v>01177.HK</x:v>
      </x:c>
      <x:c r="B881" s="11" t="str">
        <x:v>三年</x:v>
      </x:c>
      <x:c r="C881" s="11" t="str">
        <x:v>基准</x:v>
      </x:c>
      <x:c r="D881" s="11" t="str">
        <x:v>收入利润率</x:v>
      </x:c>
      <x:c r="E881" s="18" t="n">
        <x:v>0.53</x:v>
      </x:c>
      <x:c r="F881" s="18" t="n">
        <x:v>22</x:v>
      </x:c>
      <x:c r="G881" s="18" t="n">
        <x:v>1.1</x:v>
      </x:c>
      <x:c r="H881" s="18" t="n">
        <x:v>0.5</x:v>
      </x:c>
      <x:c r="I881" s="18" t="n">
        <x:v>60.7</x:v>
      </x:c>
      <x:c r="J881" s="20" t="n">
        <x:v>0.1641515650741351</x:v>
      </x:c>
      <x:c r="K881" s="22" t="n">
        <x:v>18.8</x:v>
      </x:c>
      <x:c r="L881" s="11" t="str">
        <x:v>sinobiopharm-v1-transaction-cash-bridge</x:v>
      </x:c>
      <x:c r="M881" s="11" t="str">
        <x:v>2029-10-09</x:v>
      </x:c>
      <x:c r="N881" s="42" t="n">
        <x:v>7</x:v>
      </x:c>
      <x:c r="O881" t="str">
        <x:v>CNY</x:v>
      </x:c>
      <x:c r="P881" s="42" t="n">
        <x:v>6</x:v>
      </x:c>
      <x:c r="V881" t="str">
        <x:v>2029-10-09</x:v>
      </x:c>
      <x:c r="W881" t="str">
        <x:v>待核</x:v>
      </x:c>
      <x:c r="X881" t="str">
        <x:v>周末已解析；节假日需交易所对应年度日历核验，实际交易日待核</x:v>
      </x:c>
    </x:row>
    <x:row r="882" ht="23" customHeight="1">
      <x:c r="A882" s="11" t="str">
        <x:v>01177.HK</x:v>
      </x:c>
      <x:c r="B882" s="11" t="str">
        <x:v>三年</x:v>
      </x:c>
      <x:c r="C882" s="11" t="str">
        <x:v>乐观</x:v>
      </x:c>
      <x:c r="D882" s="11" t="str">
        <x:v>收入利润率</x:v>
      </x:c>
      <x:c r="E882" s="18" t="n">
        <x:v>0.77</x:v>
      </x:c>
      <x:c r="F882" s="18" t="n">
        <x:v>29</x:v>
      </x:c>
      <x:c r="G882" s="18" t="n">
        <x:v>1.1</x:v>
      </x:c>
      <x:c r="H882" s="18" t="n">
        <x:v>0.75</x:v>
      </x:c>
      <x:c r="I882" s="18" t="n">
        <x:v>80</x:v>
      </x:c>
      <x:c r="J882" s="20" t="n">
        <x:v>0.18095</x:v>
      </x:c>
      <x:c r="K882" s="22" t="n">
        <x:v>18.8</x:v>
      </x:c>
      <x:c r="L882" s="11" t="str">
        <x:v>sinobiopharm-v1-transaction-cash-bridge</x:v>
      </x:c>
      <x:c r="M882" s="11" t="str">
        <x:v>2029-10-09</x:v>
      </x:c>
      <x:c r="N882" s="42" t="n">
        <x:v>12</x:v>
      </x:c>
      <x:c r="O882" t="str">
        <x:v>CNY</x:v>
      </x:c>
      <x:c r="P882" s="42" t="n">
        <x:v>8.5</x:v>
      </x:c>
      <x:c r="V882" t="str">
        <x:v>2029-10-09</x:v>
      </x:c>
      <x:c r="W882" t="str">
        <x:v>待核</x:v>
      </x:c>
      <x:c r="X882" t="str">
        <x:v>周末已解析；节假日需交易所对应年度日历核验，实际交易日待核</x:v>
      </x:c>
    </x:row>
    <x:row r="883" ht="23" customHeight="1">
      <x:c r="A883" s="15" t="str">
        <x:v>01177.HK</x:v>
      </x:c>
      <x:c r="B883" s="15" t="str">
        <x:v>五年</x:v>
      </x:c>
      <x:c r="C883" s="15" t="str">
        <x:v>活动输入</x:v>
      </x:c>
      <x:c r="D883" s="15" t="str">
        <x:v>收入利润率</x:v>
      </x:c>
      <x:c r="E883" s="17" t="n">
        <x:f>CHOOSE($B$3,E884,E885,E886)</x:f>
        <x:v>0.77</x:v>
      </x:c>
      <x:c r="F883" s="17" t="n">
        <x:f>CHOOSE($B$3,F884,F885,F886)</x:f>
        <x:v>20</x:v>
      </x:c>
      <x:c r="G883" s="17" t="n">
        <x:f>CHOOSE($B$3,G884,G885,G886)</x:f>
        <x:v>1.1</x:v>
      </x:c>
      <x:c r="H883" s="17" t="n">
        <x:f>CHOOSE($B$3,H884,H885,H886)</x:f>
        <x:v>0.95</x:v>
      </x:c>
      <x:c r="I883" s="17" t="n">
        <x:f>CHOOSE($B$3,I884,I885,I886)</x:f>
        <x:v>84.5</x:v>
      </x:c>
      <x:c r="J883" s="19" t="n">
        <x:f>CHOOSE($B$3,J884,J885,J886)</x:f>
        <x:v>0.17678106508875738</x:v>
      </x:c>
      <x:c r="K883" s="21" t="n">
        <x:f>CHOOSE($B$3,K884,K885,K886)</x:f>
        <x:v>19.4</x:v>
      </x:c>
      <x:c r="L883" s="15" t="str">
        <x:v>sinobiopharm-v1-transaction-cash-bridge</x:v>
      </x:c>
      <x:c r="M883" s="15" t="str">
        <x:v>2031-10-09</x:v>
      </x:c>
      <x:c r="N883" t="n">
        <x:f>CHOOSE($B$3,N884,N885,N886)</x:f>
        <x:v>12</x:v>
      </x:c>
      <x:c r="O883" t="str">
        <x:v>CNY</x:v>
      </x:c>
      <x:c r="P883" t="n">
        <x:f>CHOOSE($B$3,P884,P885,P886)</x:f>
        <x:v>6.5</x:v>
      </x:c>
      <x:c r="V883" t="str">
        <x:v>2031-10-09</x:v>
      </x:c>
      <x:c r="W883" t="str">
        <x:v>待核</x:v>
      </x:c>
      <x:c r="X883" t="str">
        <x:v>周末已解析；节假日需交易所对应年度日历核验，实际交易日待核</x:v>
      </x:c>
    </x:row>
    <x:row r="884" ht="23" customHeight="1">
      <x:c r="A884" s="11" t="str">
        <x:v>01177.HK</x:v>
      </x:c>
      <x:c r="B884" s="11" t="str">
        <x:v>五年</x:v>
      </x:c>
      <x:c r="C884" s="11" t="str">
        <x:v>悲观</x:v>
      </x:c>
      <x:c r="D884" s="11" t="str">
        <x:v>收入利润率</x:v>
      </x:c>
      <x:c r="E884" s="18" t="n">
        <x:v>0.32</x:v>
      </x:c>
      <x:c r="F884" s="18" t="n">
        <x:v>12</x:v>
      </x:c>
      <x:c r="G884" s="18" t="n">
        <x:v>1.1</x:v>
      </x:c>
      <x:c r="H884" s="18" t="n">
        <x:v>0.43</x:v>
      </x:c>
      <x:c r="I884" s="18" t="n">
        <x:v>49.1</x:v>
      </x:c>
      <x:c r="J884" s="20" t="n">
        <x:v>0.12773930753564156</x:v>
      </x:c>
      <x:c r="K884" s="22" t="n">
        <x:v>19.6</x:v>
      </x:c>
      <x:c r="L884" s="11" t="str">
        <x:v>sinobiopharm-v1-transaction-cash-bridge</x:v>
      </x:c>
      <x:c r="M884" s="11" t="str">
        <x:v>2031-10-09</x:v>
      </x:c>
      <x:c r="N884" s="42" t="n">
        <x:v>-2</x:v>
      </x:c>
      <x:c r="O884" t="str">
        <x:v>CNY</x:v>
      </x:c>
      <x:c r="P884" s="42" t="n">
        <x:v>2.4</x:v>
      </x:c>
      <x:c r="V884" t="str">
        <x:v>2031-10-09</x:v>
      </x:c>
      <x:c r="W884" t="str">
        <x:v>待核</x:v>
      </x:c>
      <x:c r="X884" t="str">
        <x:v>周末已解析；节假日需交易所对应年度日历核验，实际交易日待核</x:v>
      </x:c>
    </x:row>
    <x:row r="885" ht="23" customHeight="1">
      <x:c r="A885" s="11" t="str">
        <x:v>01177.HK</x:v>
      </x:c>
      <x:c r="B885" s="11" t="str">
        <x:v>五年</x:v>
      </x:c>
      <x:c r="C885" s="11" t="str">
        <x:v>基准</x:v>
      </x:c>
      <x:c r="D885" s="11" t="str">
        <x:v>收入利润率</x:v>
      </x:c>
      <x:c r="E885" s="18" t="n">
        <x:v>0.77</x:v>
      </x:c>
      <x:c r="F885" s="18" t="n">
        <x:v>20</x:v>
      </x:c>
      <x:c r="G885" s="18" t="n">
        <x:v>1.1</x:v>
      </x:c>
      <x:c r="H885" s="18" t="n">
        <x:v>0.95</x:v>
      </x:c>
      <x:c r="I885" s="18" t="n">
        <x:v>84.5</x:v>
      </x:c>
      <x:c r="J885" s="20" t="n">
        <x:v>0.17678106508875738</x:v>
      </x:c>
      <x:c r="K885" s="22" t="n">
        <x:v>19.4</x:v>
      </x:c>
      <x:c r="L885" s="11" t="str">
        <x:v>sinobiopharm-v1-transaction-cash-bridge</x:v>
      </x:c>
      <x:c r="M885" s="11" t="str">
        <x:v>2031-10-09</x:v>
      </x:c>
      <x:c r="N885" s="42" t="n">
        <x:v>12</x:v>
      </x:c>
      <x:c r="O885" t="str">
        <x:v>CNY</x:v>
      </x:c>
      <x:c r="P885" s="42" t="n">
        <x:v>6.5</x:v>
      </x:c>
      <x:c r="V885" t="str">
        <x:v>2031-10-09</x:v>
      </x:c>
      <x:c r="W885" t="str">
        <x:v>待核</x:v>
      </x:c>
      <x:c r="X885" t="str">
        <x:v>周末已解析；节假日需交易所对应年度日历核验，实际交易日待核</x:v>
      </x:c>
    </x:row>
    <x:row r="886" ht="23" customHeight="1">
      <x:c r="A886" s="11" t="str">
        <x:v>01177.HK</x:v>
      </x:c>
      <x:c r="B886" s="11" t="str">
        <x:v>五年</x:v>
      </x:c>
      <x:c r="C886" s="11" t="str">
        <x:v>乐观</x:v>
      </x:c>
      <x:c r="D886" s="11" t="str">
        <x:v>收入利润率</x:v>
      </x:c>
      <x:c r="E886" s="18" t="n">
        <x:v>1.18</x:v>
      </x:c>
      <x:c r="F886" s="18" t="n">
        <x:v>27</x:v>
      </x:c>
      <x:c r="G886" s="18" t="n">
        <x:v>1.1</x:v>
      </x:c>
      <x:c r="H886" s="18" t="n">
        <x:v>1.5</x:v>
      </x:c>
      <x:c r="I886" s="18" t="n">
        <x:v>119</x:v>
      </x:c>
      <x:c r="J886" s="20" t="n">
        <x:v>0.19236974789915964</x:v>
      </x:c>
      <x:c r="K886" s="22" t="n">
        <x:v>19.4</x:v>
      </x:c>
      <x:c r="L886" s="11" t="str">
        <x:v>sinobiopharm-v1-transaction-cash-bridge</x:v>
      </x:c>
      <x:c r="M886" s="11" t="str">
        <x:v>2031-10-09</x:v>
      </x:c>
      <x:c r="N886" s="42" t="n">
        <x:v>22</x:v>
      </x:c>
      <x:c r="O886" t="str">
        <x:v>CNY</x:v>
      </x:c>
      <x:c r="P886" s="42" t="n">
        <x:v>9.5</x:v>
      </x:c>
      <x:c r="V886" t="str">
        <x:v>2031-10-09</x:v>
      </x:c>
      <x:c r="W886" t="str">
        <x:v>待核</x:v>
      </x:c>
      <x:c r="X886" t="str">
        <x:v>周末已解析；节假日需交易所对应年度日历核验，实际交易日待核</x:v>
      </x:c>
    </x:row>
    <x:row r="887" ht="23" customHeight="1">
      <x:c r="A887" s="15" t="str">
        <x:v>00981.HK</x:v>
      </x:c>
      <x:c r="B887" s="15" t="str">
        <x:v>2026年底</x:v>
      </x:c>
      <x:c r="C887" s="15" t="str">
        <x:v>活动输入</x:v>
      </x:c>
      <x:c r="D887" s="15" t="str">
        <x:v>EPS</x:v>
      </x:c>
      <x:c r="E887" s="17" t="n">
        <x:f>CHOOSE($B$3,E888,E889,E890)</x:f>
        <x:v>0.1474</x:v>
      </x:c>
      <x:c r="F887" s="17" t="n">
        <x:f>CHOOSE($B$3,F888,F889,F890)</x:f>
        <x:v>55</x:v>
      </x:c>
      <x:c r="G887" s="17" t="n">
        <x:f>CHOOSE($B$3,G888,G889,G890)</x:f>
        <x:v>7.8</x:v>
      </x:c>
      <x:c r="H887" s="17" t="n">
        <x:f>CHOOSE($B$3,H888,H889,H890)</x:f>
        <x:v>0</x:v>
      </x:c>
      <x:c r="I887" s="17" t="str">
        <x:f>CHOOSE($B$3,I888,I889,I890)</x:f>
      </x:c>
      <x:c r="J887" s="19" t="str">
        <x:f>CHOOSE($B$3,J888,J889,J890)</x:f>
      </x:c>
      <x:c r="K887" s="21" t="str">
        <x:f>CHOOSE($B$3,K888,K889,K890)</x:f>
      </x:c>
      <x:c r="L887" s="15" t="str">
        <x:v>smic-normalized-IFRS-owner-share-v1.0</x:v>
      </x:c>
      <x:c r="M887" s="15" t="str">
        <x:v>2026-12-31</x:v>
      </x:c>
      <x:c r="O887" t="str">
        <x:v>USD</x:v>
      </x:c>
      <x:c r="V887" t="str">
        <x:v>2026-12-31</x:v>
      </x:c>
      <x:c r="W887" t="str">
        <x:v>待核</x:v>
      </x:c>
      <x:c r="X887" t="str">
        <x:v>周末已解析；节假日需交易所对应年度日历核验，实际交易日待核</x:v>
      </x:c>
    </x:row>
    <x:row r="888" ht="23" customHeight="1">
      <x:c r="A888" s="11" t="str">
        <x:v>00981.HK</x:v>
      </x:c>
      <x:c r="B888" s="11" t="str">
        <x:v>2026年底</x:v>
      </x:c>
      <x:c r="C888" s="11" t="str">
        <x:v>悲观</x:v>
      </x:c>
      <x:c r="D888" s="11" t="str">
        <x:v>EPS</x:v>
      </x:c>
      <x:c r="E888" s="18" t="n">
        <x:v>0.0659</x:v>
      </x:c>
      <x:c r="F888" s="18" t="n">
        <x:v>35</x:v>
      </x:c>
      <x:c r="G888" s="18" t="n">
        <x:v>7.8</x:v>
      </x:c>
      <x:c r="H888" s="18" t="n">
        <x:v>0</x:v>
      </x:c>
      <x:c r="I888" s="18"/>
      <x:c r="J888" s="20"/>
      <x:c r="K888" s="22"/>
      <x:c r="L888" s="11" t="str">
        <x:v>smic-normalized-IFRS-owner-share-v1.0</x:v>
      </x:c>
      <x:c r="M888" s="11" t="str">
        <x:v>2026-12-31</x:v>
      </x:c>
      <x:c r="O888" t="str">
        <x:v>USD</x:v>
      </x:c>
      <x:c r="V888" t="str">
        <x:v>2026-12-31</x:v>
      </x:c>
      <x:c r="W888" t="str">
        <x:v>待核</x:v>
      </x:c>
      <x:c r="X888" t="str">
        <x:v>周末已解析；节假日需交易所对应年度日历核验，实际交易日待核</x:v>
      </x:c>
    </x:row>
    <x:row r="889" ht="23" customHeight="1">
      <x:c r="A889" s="11" t="str">
        <x:v>00981.HK</x:v>
      </x:c>
      <x:c r="B889" s="11" t="str">
        <x:v>2026年底</x:v>
      </x:c>
      <x:c r="C889" s="11" t="str">
        <x:v>基准</x:v>
      </x:c>
      <x:c r="D889" s="11" t="str">
        <x:v>EPS</x:v>
      </x:c>
      <x:c r="E889" s="18" t="n">
        <x:v>0.1474</x:v>
      </x:c>
      <x:c r="F889" s="18" t="n">
        <x:v>55</x:v>
      </x:c>
      <x:c r="G889" s="18" t="n">
        <x:v>7.8</x:v>
      </x:c>
      <x:c r="H889" s="18" t="n">
        <x:v>0</x:v>
      </x:c>
      <x:c r="I889" s="18"/>
      <x:c r="J889" s="20"/>
      <x:c r="K889" s="22"/>
      <x:c r="L889" s="11" t="str">
        <x:v>smic-normalized-IFRS-owner-share-v1.0</x:v>
      </x:c>
      <x:c r="M889" s="11" t="str">
        <x:v>2026-12-31</x:v>
      </x:c>
      <x:c r="O889" t="str">
        <x:v>USD</x:v>
      </x:c>
      <x:c r="V889" t="str">
        <x:v>2026-12-31</x:v>
      </x:c>
      <x:c r="W889" t="str">
        <x:v>待核</x:v>
      </x:c>
      <x:c r="X889" t="str">
        <x:v>周末已解析；节假日需交易所对应年度日历核验，实际交易日待核</x:v>
      </x:c>
    </x:row>
    <x:row r="890" ht="23" customHeight="1">
      <x:c r="A890" s="11" t="str">
        <x:v>00981.HK</x:v>
      </x:c>
      <x:c r="B890" s="11" t="str">
        <x:v>2026年底</x:v>
      </x:c>
      <x:c r="C890" s="11" t="str">
        <x:v>乐观</x:v>
      </x:c>
      <x:c r="D890" s="11" t="str">
        <x:v>EPS</x:v>
      </x:c>
      <x:c r="E890" s="18" t="n">
        <x:v>0.2198</x:v>
      </x:c>
      <x:c r="F890" s="18" t="n">
        <x:v>70</x:v>
      </x:c>
      <x:c r="G890" s="18" t="n">
        <x:v>7.8</x:v>
      </x:c>
      <x:c r="H890" s="18" t="n">
        <x:v>0</x:v>
      </x:c>
      <x:c r="I890" s="18"/>
      <x:c r="J890" s="20"/>
      <x:c r="K890" s="22"/>
      <x:c r="L890" s="11" t="str">
        <x:v>smic-normalized-IFRS-owner-share-v1.0</x:v>
      </x:c>
      <x:c r="M890" s="11" t="str">
        <x:v>2026-12-31</x:v>
      </x:c>
      <x:c r="O890" t="str">
        <x:v>USD</x:v>
      </x:c>
      <x:c r="V890" t="str">
        <x:v>2026-12-31</x:v>
      </x:c>
      <x:c r="W890" t="str">
        <x:v>待核</x:v>
      </x:c>
      <x:c r="X890" t="str">
        <x:v>周末已解析；节假日需交易所对应年度日历核验，实际交易日待核</x:v>
      </x:c>
    </x:row>
    <x:row r="891" ht="23" customHeight="1">
      <x:c r="A891" s="15" t="str">
        <x:v>00981.HK</x:v>
      </x:c>
      <x:c r="B891" s="15" t="str">
        <x:v>半年</x:v>
      </x:c>
      <x:c r="C891" s="15" t="str">
        <x:v>活动输入</x:v>
      </x:c>
      <x:c r="D891" s="15" t="str">
        <x:v>EPS</x:v>
      </x:c>
      <x:c r="E891" s="17" t="n">
        <x:f>CHOOSE($B$3,E892,E893,E894)</x:f>
        <x:v>0.1754</x:v>
      </x:c>
      <x:c r="F891" s="17" t="n">
        <x:f>CHOOSE($B$3,F892,F893,F894)</x:f>
        <x:v>55</x:v>
      </x:c>
      <x:c r="G891" s="17" t="n">
        <x:f>CHOOSE($B$3,G892,G893,G894)</x:f>
        <x:v>7.8</x:v>
      </x:c>
      <x:c r="H891" s="17" t="n">
        <x:f>CHOOSE($B$3,H892,H893,H894)</x:f>
        <x:v>0</x:v>
      </x:c>
      <x:c r="I891" s="17" t="str">
        <x:f>CHOOSE($B$3,I892,I893,I894)</x:f>
      </x:c>
      <x:c r="J891" s="19" t="str">
        <x:f>CHOOSE($B$3,J892,J893,J894)</x:f>
      </x:c>
      <x:c r="K891" s="21" t="str">
        <x:f>CHOOSE($B$3,K892,K893,K894)</x:f>
      </x:c>
      <x:c r="L891" s="15" t="str">
        <x:v>smic-normalized-IFRS-owner-share-v1.0</x:v>
      </x:c>
      <x:c r="M891" s="15" t="str">
        <x:v>2027-04-09</x:v>
      </x:c>
      <x:c r="O891" t="str">
        <x:v>USD</x:v>
      </x:c>
      <x:c r="V891" t="str">
        <x:v>2027-04-09</x:v>
      </x:c>
      <x:c r="W891" t="str">
        <x:v>待核</x:v>
      </x:c>
      <x:c r="X891" t="str">
        <x:v>周末已解析；节假日需交易所对应年度日历核验，实际交易日待核</x:v>
      </x:c>
    </x:row>
    <x:row r="892" ht="23" customHeight="1">
      <x:c r="A892" s="11" t="str">
        <x:v>00981.HK</x:v>
      </x:c>
      <x:c r="B892" s="11" t="str">
        <x:v>半年</x:v>
      </x:c>
      <x:c r="C892" s="11" t="str">
        <x:v>悲观</x:v>
      </x:c>
      <x:c r="D892" s="11" t="str">
        <x:v>EPS</x:v>
      </x:c>
      <x:c r="E892" s="18" t="n">
        <x:v>0.0581</x:v>
      </x:c>
      <x:c r="F892" s="18" t="n">
        <x:v>32</x:v>
      </x:c>
      <x:c r="G892" s="18" t="n">
        <x:v>7.8</x:v>
      </x:c>
      <x:c r="H892" s="18" t="n">
        <x:v>0</x:v>
      </x:c>
      <x:c r="I892" s="18"/>
      <x:c r="J892" s="20"/>
      <x:c r="K892" s="22"/>
      <x:c r="L892" s="11" t="str">
        <x:v>smic-normalized-IFRS-owner-share-v1.0</x:v>
      </x:c>
      <x:c r="M892" s="11" t="str">
        <x:v>2027-04-09</x:v>
      </x:c>
      <x:c r="O892" t="str">
        <x:v>USD</x:v>
      </x:c>
      <x:c r="V892" t="str">
        <x:v>2027-04-09</x:v>
      </x:c>
      <x:c r="W892" t="str">
        <x:v>待核</x:v>
      </x:c>
      <x:c r="X892" t="str">
        <x:v>周末已解析；节假日需交易所对应年度日历核验，实际交易日待核</x:v>
      </x:c>
    </x:row>
    <x:row r="893" ht="23" customHeight="1">
      <x:c r="A893" s="11" t="str">
        <x:v>00981.HK</x:v>
      </x:c>
      <x:c r="B893" s="11" t="str">
        <x:v>半年</x:v>
      </x:c>
      <x:c r="C893" s="11" t="str">
        <x:v>基准</x:v>
      </x:c>
      <x:c r="D893" s="11" t="str">
        <x:v>EPS</x:v>
      </x:c>
      <x:c r="E893" s="18" t="n">
        <x:v>0.1754</x:v>
      </x:c>
      <x:c r="F893" s="18" t="n">
        <x:v>55</x:v>
      </x:c>
      <x:c r="G893" s="18" t="n">
        <x:v>7.8</x:v>
      </x:c>
      <x:c r="H893" s="18" t="n">
        <x:v>0</x:v>
      </x:c>
      <x:c r="I893" s="18"/>
      <x:c r="J893" s="20"/>
      <x:c r="K893" s="22"/>
      <x:c r="L893" s="11" t="str">
        <x:v>smic-normalized-IFRS-owner-share-v1.0</x:v>
      </x:c>
      <x:c r="M893" s="11" t="str">
        <x:v>2027-04-09</x:v>
      </x:c>
      <x:c r="O893" t="str">
        <x:v>USD</x:v>
      </x:c>
      <x:c r="V893" t="str">
        <x:v>2027-04-09</x:v>
      </x:c>
      <x:c r="W893" t="str">
        <x:v>待核</x:v>
      </x:c>
      <x:c r="X893" t="str">
        <x:v>周末已解析；节假日需交易所对应年度日历核验，实际交易日待核</x:v>
      </x:c>
    </x:row>
    <x:row r="894" ht="23" customHeight="1">
      <x:c r="A894" s="11" t="str">
        <x:v>00981.HK</x:v>
      </x:c>
      <x:c r="B894" s="11" t="str">
        <x:v>半年</x:v>
      </x:c>
      <x:c r="C894" s="11" t="str">
        <x:v>乐观</x:v>
      </x:c>
      <x:c r="D894" s="11" t="str">
        <x:v>EPS</x:v>
      </x:c>
      <x:c r="E894" s="18" t="n">
        <x:v>0.2802</x:v>
      </x:c>
      <x:c r="F894" s="18" t="n">
        <x:v>70</x:v>
      </x:c>
      <x:c r="G894" s="18" t="n">
        <x:v>7.8</x:v>
      </x:c>
      <x:c r="H894" s="18" t="n">
        <x:v>0</x:v>
      </x:c>
      <x:c r="I894" s="18"/>
      <x:c r="J894" s="20"/>
      <x:c r="K894" s="22"/>
      <x:c r="L894" s="11" t="str">
        <x:v>smic-normalized-IFRS-owner-share-v1.0</x:v>
      </x:c>
      <x:c r="M894" s="11" t="str">
        <x:v>2027-04-09</x:v>
      </x:c>
      <x:c r="O894" t="str">
        <x:v>USD</x:v>
      </x:c>
      <x:c r="V894" t="str">
        <x:v>2027-04-09</x:v>
      </x:c>
      <x:c r="W894" t="str">
        <x:v>待核</x:v>
      </x:c>
      <x:c r="X894" t="str">
        <x:v>周末已解析；节假日需交易所对应年度日历核验，实际交易日待核</x:v>
      </x:c>
    </x:row>
    <x:row r="895" ht="23" customHeight="1">
      <x:c r="A895" s="15" t="str">
        <x:v>00981.HK</x:v>
      </x:c>
      <x:c r="B895" s="15" t="str">
        <x:v>一年</x:v>
      </x:c>
      <x:c r="C895" s="15" t="str">
        <x:v>活动输入</x:v>
      </x:c>
      <x:c r="D895" s="15" t="str">
        <x:v>EPS</x:v>
      </x:c>
      <x:c r="E895" s="17" t="n">
        <x:f>CHOOSE($B$3,E896,E897,E898)</x:f>
        <x:v>0.2061</x:v>
      </x:c>
      <x:c r="F895" s="17" t="n">
        <x:f>CHOOSE($B$3,F896,F897,F898)</x:f>
        <x:v>52</x:v>
      </x:c>
      <x:c r="G895" s="17" t="n">
        <x:f>CHOOSE($B$3,G896,G897,G898)</x:f>
        <x:v>7.8</x:v>
      </x:c>
      <x:c r="H895" s="17" t="n">
        <x:f>CHOOSE($B$3,H896,H897,H898)</x:f>
        <x:v>0</x:v>
      </x:c>
      <x:c r="I895" s="17" t="str">
        <x:f>CHOOSE($B$3,I896,I897,I898)</x:f>
      </x:c>
      <x:c r="J895" s="19" t="str">
        <x:f>CHOOSE($B$3,J896,J897,J898)</x:f>
      </x:c>
      <x:c r="K895" s="21" t="str">
        <x:f>CHOOSE($B$3,K896,K897,K898)</x:f>
      </x:c>
      <x:c r="L895" s="15" t="str">
        <x:v>smic-normalized-IFRS-owner-share-v1.0</x:v>
      </x:c>
      <x:c r="M895" s="15" t="str">
        <x:v>2027-10-09</x:v>
      </x:c>
      <x:c r="O895" t="str">
        <x:v>USD</x:v>
      </x:c>
      <x:c r="V895" t="str">
        <x:v>2027-10-08</x:v>
      </x:c>
      <x:c r="W895" t="str">
        <x:v>待核</x:v>
      </x:c>
      <x:c r="X895" t="str">
        <x:v>周末已解析；节假日需交易所对应年度日历核验，实际交易日待核</x:v>
      </x:c>
    </x:row>
    <x:row r="896" ht="23" customHeight="1">
      <x:c r="A896" s="11" t="str">
        <x:v>00981.HK</x:v>
      </x:c>
      <x:c r="B896" s="11" t="str">
        <x:v>一年</x:v>
      </x:c>
      <x:c r="C896" s="11" t="str">
        <x:v>悲观</x:v>
      </x:c>
      <x:c r="D896" s="11" t="str">
        <x:v>EPS</x:v>
      </x:c>
      <x:c r="E896" s="18" t="n">
        <x:v>0.0583</x:v>
      </x:c>
      <x:c r="F896" s="18" t="n">
        <x:v>30</x:v>
      </x:c>
      <x:c r="G896" s="18" t="n">
        <x:v>7.8</x:v>
      </x:c>
      <x:c r="H896" s="18" t="n">
        <x:v>0</x:v>
      </x:c>
      <x:c r="I896" s="18"/>
      <x:c r="J896" s="20"/>
      <x:c r="K896" s="22"/>
      <x:c r="L896" s="11" t="str">
        <x:v>smic-normalized-IFRS-owner-share-v1.0</x:v>
      </x:c>
      <x:c r="M896" s="11" t="str">
        <x:v>2027-10-09</x:v>
      </x:c>
      <x:c r="O896" t="str">
        <x:v>USD</x:v>
      </x:c>
      <x:c r="V896" t="str">
        <x:v>2027-10-08</x:v>
      </x:c>
      <x:c r="W896" t="str">
        <x:v>待核</x:v>
      </x:c>
      <x:c r="X896" t="str">
        <x:v>周末已解析；节假日需交易所对应年度日历核验，实际交易日待核</x:v>
      </x:c>
    </x:row>
    <x:row r="897" ht="23" customHeight="1">
      <x:c r="A897" s="11" t="str">
        <x:v>00981.HK</x:v>
      </x:c>
      <x:c r="B897" s="11" t="str">
        <x:v>一年</x:v>
      </x:c>
      <x:c r="C897" s="11" t="str">
        <x:v>基准</x:v>
      </x:c>
      <x:c r="D897" s="11" t="str">
        <x:v>EPS</x:v>
      </x:c>
      <x:c r="E897" s="18" t="n">
        <x:v>0.2061</x:v>
      </x:c>
      <x:c r="F897" s="18" t="n">
        <x:v>52</x:v>
      </x:c>
      <x:c r="G897" s="18" t="n">
        <x:v>7.8</x:v>
      </x:c>
      <x:c r="H897" s="18" t="n">
        <x:v>0</x:v>
      </x:c>
      <x:c r="I897" s="18"/>
      <x:c r="J897" s="20"/>
      <x:c r="K897" s="22"/>
      <x:c r="L897" s="11" t="str">
        <x:v>smic-normalized-IFRS-owner-share-v1.0</x:v>
      </x:c>
      <x:c r="M897" s="11" t="str">
        <x:v>2027-10-09</x:v>
      </x:c>
      <x:c r="O897" t="str">
        <x:v>USD</x:v>
      </x:c>
      <x:c r="V897" t="str">
        <x:v>2027-10-08</x:v>
      </x:c>
      <x:c r="W897" t="str">
        <x:v>待核</x:v>
      </x:c>
      <x:c r="X897" t="str">
        <x:v>周末已解析；节假日需交易所对应年度日历核验，实际交易日待核</x:v>
      </x:c>
    </x:row>
    <x:row r="898" ht="23" customHeight="1">
      <x:c r="A898" s="11" t="str">
        <x:v>00981.HK</x:v>
      </x:c>
      <x:c r="B898" s="11" t="str">
        <x:v>一年</x:v>
      </x:c>
      <x:c r="C898" s="11" t="str">
        <x:v>乐观</x:v>
      </x:c>
      <x:c r="D898" s="11" t="str">
        <x:v>EPS</x:v>
      </x:c>
      <x:c r="E898" s="18" t="n">
        <x:v>0.3303</x:v>
      </x:c>
      <x:c r="F898" s="18" t="n">
        <x:v>68</x:v>
      </x:c>
      <x:c r="G898" s="18" t="n">
        <x:v>7.8</x:v>
      </x:c>
      <x:c r="H898" s="18" t="n">
        <x:v>0</x:v>
      </x:c>
      <x:c r="I898" s="18"/>
      <x:c r="J898" s="20"/>
      <x:c r="K898" s="22"/>
      <x:c r="L898" s="11" t="str">
        <x:v>smic-normalized-IFRS-owner-share-v1.0</x:v>
      </x:c>
      <x:c r="M898" s="11" t="str">
        <x:v>2027-10-09</x:v>
      </x:c>
      <x:c r="O898" t="str">
        <x:v>USD</x:v>
      </x:c>
      <x:c r="V898" t="str">
        <x:v>2027-10-08</x:v>
      </x:c>
      <x:c r="W898" t="str">
        <x:v>待核</x:v>
      </x:c>
      <x:c r="X898" t="str">
        <x:v>周末已解析；节假日需交易所对应年度日历核验，实际交易日待核</x:v>
      </x:c>
    </x:row>
    <x:row r="899" ht="23" customHeight="1">
      <x:c r="A899" s="15" t="str">
        <x:v>00981.HK</x:v>
      </x:c>
      <x:c r="B899" s="15" t="str">
        <x:v>三年</x:v>
      </x:c>
      <x:c r="C899" s="15" t="str">
        <x:v>活动输入</x:v>
      </x:c>
      <x:c r="D899" s="15" t="str">
        <x:v>EPS</x:v>
      </x:c>
      <x:c r="E899" s="17" t="n">
        <x:f>CHOOSE($B$3,E900,E901,E902)</x:f>
        <x:v>0.3251</x:v>
      </x:c>
      <x:c r="F899" s="17" t="n">
        <x:f>CHOOSE($B$3,F900,F901,F902)</x:f>
        <x:v>45</x:v>
      </x:c>
      <x:c r="G899" s="17" t="n">
        <x:f>CHOOSE($B$3,G900,G901,G902)</x:f>
        <x:v>7.8</x:v>
      </x:c>
      <x:c r="H899" s="17" t="n">
        <x:f>CHOOSE($B$3,H900,H901,H902)</x:f>
        <x:v>0</x:v>
      </x:c>
      <x:c r="I899" s="17" t="str">
        <x:f>CHOOSE($B$3,I900,I901,I902)</x:f>
      </x:c>
      <x:c r="J899" s="19" t="str">
        <x:f>CHOOSE($B$3,J900,J901,J902)</x:f>
      </x:c>
      <x:c r="K899" s="21" t="str">
        <x:f>CHOOSE($B$3,K900,K901,K902)</x:f>
      </x:c>
      <x:c r="L899" s="15" t="str">
        <x:v>smic-normalized-IFRS-owner-share-v1.0</x:v>
      </x:c>
      <x:c r="M899" s="15" t="str">
        <x:v>2029-10-09</x:v>
      </x:c>
      <x:c r="O899" t="str">
        <x:v>USD</x:v>
      </x:c>
      <x:c r="V899" t="str">
        <x:v>2029-10-09</x:v>
      </x:c>
      <x:c r="W899" t="str">
        <x:v>待核</x:v>
      </x:c>
      <x:c r="X899" t="str">
        <x:v>周末已解析；节假日需交易所对应年度日历核验，实际交易日待核</x:v>
      </x:c>
    </x:row>
    <x:row r="900" ht="23" customHeight="1">
      <x:c r="A900" s="11" t="str">
        <x:v>00981.HK</x:v>
      </x:c>
      <x:c r="B900" s="11" t="str">
        <x:v>三年</x:v>
      </x:c>
      <x:c r="C900" s="11" t="str">
        <x:v>悲观</x:v>
      </x:c>
      <x:c r="D900" s="11" t="str">
        <x:v>EPS</x:v>
      </x:c>
      <x:c r="E900" s="18" t="n">
        <x:v>0.0431</x:v>
      </x:c>
      <x:c r="F900" s="18" t="n">
        <x:v>25</x:v>
      </x:c>
      <x:c r="G900" s="18" t="n">
        <x:v>7.8</x:v>
      </x:c>
      <x:c r="H900" s="18" t="n">
        <x:v>0</x:v>
      </x:c>
      <x:c r="I900" s="18"/>
      <x:c r="J900" s="20"/>
      <x:c r="K900" s="22"/>
      <x:c r="L900" s="11" t="str">
        <x:v>smic-normalized-IFRS-owner-share-v1.0</x:v>
      </x:c>
      <x:c r="M900" s="11" t="str">
        <x:v>2029-10-09</x:v>
      </x:c>
      <x:c r="O900" t="str">
        <x:v>USD</x:v>
      </x:c>
      <x:c r="V900" t="str">
        <x:v>2029-10-09</x:v>
      </x:c>
      <x:c r="W900" t="str">
        <x:v>待核</x:v>
      </x:c>
      <x:c r="X900" t="str">
        <x:v>周末已解析；节假日需交易所对应年度日历核验，实际交易日待核</x:v>
      </x:c>
    </x:row>
    <x:row r="901" ht="23" customHeight="1">
      <x:c r="A901" s="11" t="str">
        <x:v>00981.HK</x:v>
      </x:c>
      <x:c r="B901" s="11" t="str">
        <x:v>三年</x:v>
      </x:c>
      <x:c r="C901" s="11" t="str">
        <x:v>基准</x:v>
      </x:c>
      <x:c r="D901" s="11" t="str">
        <x:v>EPS</x:v>
      </x:c>
      <x:c r="E901" s="18" t="n">
        <x:v>0.3251</x:v>
      </x:c>
      <x:c r="F901" s="18" t="n">
        <x:v>45</x:v>
      </x:c>
      <x:c r="G901" s="18" t="n">
        <x:v>7.8</x:v>
      </x:c>
      <x:c r="H901" s="18" t="n">
        <x:v>0</x:v>
      </x:c>
      <x:c r="I901" s="18"/>
      <x:c r="J901" s="20"/>
      <x:c r="K901" s="22"/>
      <x:c r="L901" s="11" t="str">
        <x:v>smic-normalized-IFRS-owner-share-v1.0</x:v>
      </x:c>
      <x:c r="M901" s="11" t="str">
        <x:v>2029-10-09</x:v>
      </x:c>
      <x:c r="O901" t="str">
        <x:v>USD</x:v>
      </x:c>
      <x:c r="V901" t="str">
        <x:v>2029-10-09</x:v>
      </x:c>
      <x:c r="W901" t="str">
        <x:v>待核</x:v>
      </x:c>
      <x:c r="X901" t="str">
        <x:v>周末已解析；节假日需交易所对应年度日历核验，实际交易日待核</x:v>
      </x:c>
    </x:row>
    <x:row r="902" ht="23" customHeight="1">
      <x:c r="A902" s="11" t="str">
        <x:v>00981.HK</x:v>
      </x:c>
      <x:c r="B902" s="11" t="str">
        <x:v>三年</x:v>
      </x:c>
      <x:c r="C902" s="11" t="str">
        <x:v>乐观</x:v>
      </x:c>
      <x:c r="D902" s="11" t="str">
        <x:v>EPS</x:v>
      </x:c>
      <x:c r="E902" s="18" t="n">
        <x:v>0.578</x:v>
      </x:c>
      <x:c r="F902" s="18" t="n">
        <x:v>60</x:v>
      </x:c>
      <x:c r="G902" s="18" t="n">
        <x:v>7.8</x:v>
      </x:c>
      <x:c r="H902" s="18" t="n">
        <x:v>0</x:v>
      </x:c>
      <x:c r="I902" s="18"/>
      <x:c r="J902" s="20"/>
      <x:c r="K902" s="22"/>
      <x:c r="L902" s="11" t="str">
        <x:v>smic-normalized-IFRS-owner-share-v1.0</x:v>
      </x:c>
      <x:c r="M902" s="11" t="str">
        <x:v>2029-10-09</x:v>
      </x:c>
      <x:c r="O902" t="str">
        <x:v>USD</x:v>
      </x:c>
      <x:c r="V902" t="str">
        <x:v>2029-10-09</x:v>
      </x:c>
      <x:c r="W902" t="str">
        <x:v>待核</x:v>
      </x:c>
      <x:c r="X902" t="str">
        <x:v>周末已解析；节假日需交易所对应年度日历核验，实际交易日待核</x:v>
      </x:c>
    </x:row>
    <x:row r="903" ht="23" customHeight="1">
      <x:c r="A903" s="15" t="str">
        <x:v>00981.HK</x:v>
      </x:c>
      <x:c r="B903" s="15" t="str">
        <x:v>五年</x:v>
      </x:c>
      <x:c r="C903" s="15" t="str">
        <x:v>活动输入</x:v>
      </x:c>
      <x:c r="D903" s="15" t="str">
        <x:v>EPS</x:v>
      </x:c>
      <x:c r="E903" s="17" t="n">
        <x:f>CHOOSE($B$3,E904,E905,E906)</x:f>
        <x:v>0.4428</x:v>
      </x:c>
      <x:c r="F903" s="17" t="n">
        <x:f>CHOOSE($B$3,F904,F905,F906)</x:f>
        <x:v>38</x:v>
      </x:c>
      <x:c r="G903" s="17" t="n">
        <x:f>CHOOSE($B$3,G904,G905,G906)</x:f>
        <x:v>7.8</x:v>
      </x:c>
      <x:c r="H903" s="17" t="n">
        <x:f>CHOOSE($B$3,H904,H905,H906)</x:f>
        <x:v>0</x:v>
      </x:c>
      <x:c r="I903" s="17" t="str">
        <x:f>CHOOSE($B$3,I904,I905,I906)</x:f>
      </x:c>
      <x:c r="J903" s="19" t="str">
        <x:f>CHOOSE($B$3,J904,J905,J906)</x:f>
      </x:c>
      <x:c r="K903" s="21" t="str">
        <x:f>CHOOSE($B$3,K904,K905,K906)</x:f>
      </x:c>
      <x:c r="L903" s="15" t="str">
        <x:v>smic-normalized-IFRS-owner-share-v1.0</x:v>
      </x:c>
      <x:c r="M903" s="15" t="str">
        <x:v>2031-10-09</x:v>
      </x:c>
      <x:c r="O903" t="str">
        <x:v>USD</x:v>
      </x:c>
      <x:c r="V903" t="str">
        <x:v>2031-10-09</x:v>
      </x:c>
      <x:c r="W903" t="str">
        <x:v>待核</x:v>
      </x:c>
      <x:c r="X903" t="str">
        <x:v>周末已解析；节假日需交易所对应年度日历核验，实际交易日待核</x:v>
      </x:c>
    </x:row>
    <x:row r="904" ht="23" customHeight="1">
      <x:c r="A904" s="11" t="str">
        <x:v>00981.HK</x:v>
      </x:c>
      <x:c r="B904" s="11" t="str">
        <x:v>五年</x:v>
      </x:c>
      <x:c r="C904" s="11" t="str">
        <x:v>悲观</x:v>
      </x:c>
      <x:c r="D904" s="11" t="str">
        <x:v>EPS</x:v>
      </x:c>
      <x:c r="E904" s="18" t="n">
        <x:v>0.0347</x:v>
      </x:c>
      <x:c r="F904" s="18" t="n">
        <x:v>20</x:v>
      </x:c>
      <x:c r="G904" s="18" t="n">
        <x:v>7.8</x:v>
      </x:c>
      <x:c r="H904" s="18" t="n">
        <x:v>0</x:v>
      </x:c>
      <x:c r="I904" s="18"/>
      <x:c r="J904" s="20"/>
      <x:c r="K904" s="22"/>
      <x:c r="L904" s="11" t="str">
        <x:v>smic-normalized-IFRS-owner-share-v1.0</x:v>
      </x:c>
      <x:c r="M904" s="11" t="str">
        <x:v>2031-10-09</x:v>
      </x:c>
      <x:c r="O904" t="str">
        <x:v>USD</x:v>
      </x:c>
      <x:c r="V904" t="str">
        <x:v>2031-10-09</x:v>
      </x:c>
      <x:c r="W904" t="str">
        <x:v>待核</x:v>
      </x:c>
      <x:c r="X904" t="str">
        <x:v>周末已解析；节假日需交易所对应年度日历核验，实际交易日待核</x:v>
      </x:c>
    </x:row>
    <x:row r="905" ht="23" customHeight="1">
      <x:c r="A905" s="11" t="str">
        <x:v>00981.HK</x:v>
      </x:c>
      <x:c r="B905" s="11" t="str">
        <x:v>五年</x:v>
      </x:c>
      <x:c r="C905" s="11" t="str">
        <x:v>基准</x:v>
      </x:c>
      <x:c r="D905" s="11" t="str">
        <x:v>EPS</x:v>
      </x:c>
      <x:c r="E905" s="18" t="n">
        <x:v>0.4428</x:v>
      </x:c>
      <x:c r="F905" s="18" t="n">
        <x:v>38</x:v>
      </x:c>
      <x:c r="G905" s="18" t="n">
        <x:v>7.8</x:v>
      </x:c>
      <x:c r="H905" s="18" t="n">
        <x:v>0</x:v>
      </x:c>
      <x:c r="I905" s="18"/>
      <x:c r="J905" s="20"/>
      <x:c r="K905" s="22"/>
      <x:c r="L905" s="11" t="str">
        <x:v>smic-normalized-IFRS-owner-share-v1.0</x:v>
      </x:c>
      <x:c r="M905" s="11" t="str">
        <x:v>2031-10-09</x:v>
      </x:c>
      <x:c r="O905" t="str">
        <x:v>USD</x:v>
      </x:c>
      <x:c r="V905" t="str">
        <x:v>2031-10-09</x:v>
      </x:c>
      <x:c r="W905" t="str">
        <x:v>待核</x:v>
      </x:c>
      <x:c r="X905" t="str">
        <x:v>周末已解析；节假日需交易所对应年度日历核验，实际交易日待核</x:v>
      </x:c>
    </x:row>
    <x:row r="906" ht="23" customHeight="1">
      <x:c r="A906" s="11" t="str">
        <x:v>00981.HK</x:v>
      </x:c>
      <x:c r="B906" s="11" t="str">
        <x:v>五年</x:v>
      </x:c>
      <x:c r="C906" s="11" t="str">
        <x:v>乐观</x:v>
      </x:c>
      <x:c r="D906" s="11" t="str">
        <x:v>EPS</x:v>
      </x:c>
      <x:c r="E906" s="18" t="n">
        <x:v>0.8689</x:v>
      </x:c>
      <x:c r="F906" s="18" t="n">
        <x:v>52</x:v>
      </x:c>
      <x:c r="G906" s="18" t="n">
        <x:v>7.8</x:v>
      </x:c>
      <x:c r="H906" s="18" t="n">
        <x:v>0</x:v>
      </x:c>
      <x:c r="I906" s="18"/>
      <x:c r="J906" s="20"/>
      <x:c r="K906" s="22"/>
      <x:c r="L906" s="11" t="str">
        <x:v>smic-normalized-IFRS-owner-share-v1.0</x:v>
      </x:c>
      <x:c r="M906" s="11" t="str">
        <x:v>2031-10-09</x:v>
      </x:c>
      <x:c r="O906" t="str">
        <x:v>USD</x:v>
      </x:c>
      <x:c r="V906" t="str">
        <x:v>2031-10-09</x:v>
      </x:c>
      <x:c r="W906" t="str">
        <x:v>待核</x:v>
      </x:c>
      <x:c r="X906" t="str">
        <x:v>周末已解析；节假日需交易所对应年度日历核验，实际交易日待核</x:v>
      </x:c>
    </x:row>
    <x:row r="907" ht="23" customHeight="1">
      <x:c r="A907" s="15" t="str">
        <x:v>00700.HK</x:v>
      </x:c>
      <x:c r="B907" s="15" t="str">
        <x:v>2026年底</x:v>
      </x:c>
      <x:c r="C907" s="15" t="str">
        <x:v>活动输入</x:v>
      </x:c>
      <x:c r="D907" s="15" t="str">
        <x:v>EPS</x:v>
      </x:c>
      <x:c r="E907" s="17" t="n">
        <x:f>CHOOSE($B$3,E908,E909,E910)</x:f>
        <x:v>28</x:v>
      </x:c>
      <x:c r="F907" s="17" t="n">
        <x:f>CHOOSE($B$3,F908,F909,F910)</x:f>
        <x:v>16</x:v>
      </x:c>
      <x:c r="G907" s="17" t="n">
        <x:f>CHOOSE($B$3,G908,G909,G910)</x:f>
        <x:v>1.1</x:v>
      </x:c>
      <x:c r="H907" s="17" t="n">
        <x:f>CHOOSE($B$3,H908,H909,H910)</x:f>
        <x:v>0</x:v>
      </x:c>
      <x:c r="I907" s="17" t="str">
        <x:f>CHOOSE($B$3,I908,I909,I910)</x:f>
      </x:c>
      <x:c r="J907" s="19" t="str">
        <x:f>CHOOSE($B$3,J908,J909,J910)</x:f>
      </x:c>
      <x:c r="K907" s="21" t="str">
        <x:f>CHOOSE($B$3,K908,K909,K910)</x:f>
      </x:c>
      <x:c r="L907" s="15" t="str">
        <x:v>tencent-pe-v1.0</x:v>
      </x:c>
      <x:c r="M907" s="15" t="str">
        <x:v>2026-12-31</x:v>
      </x:c>
      <x:c r="O907" t="str">
        <x:v>CNY</x:v>
      </x:c>
      <x:c r="V907" t="str">
        <x:v>2026-12-31</x:v>
      </x:c>
      <x:c r="W907" t="str">
        <x:v>待核</x:v>
      </x:c>
      <x:c r="X907" t="str">
        <x:v>周末已解析；节假日需交易所对应年度日历核验，实际交易日待核</x:v>
      </x:c>
    </x:row>
    <x:row r="908" ht="23" customHeight="1">
      <x:c r="A908" s="11" t="str">
        <x:v>00700.HK</x:v>
      </x:c>
      <x:c r="B908" s="11" t="str">
        <x:v>2026年底</x:v>
      </x:c>
      <x:c r="C908" s="11" t="str">
        <x:v>悲观</x:v>
      </x:c>
      <x:c r="D908" s="11" t="str">
        <x:v>EPS</x:v>
      </x:c>
      <x:c r="E908" s="18" t="n">
        <x:v>24</x:v>
      </x:c>
      <x:c r="F908" s="18" t="n">
        <x:v>12</x:v>
      </x:c>
      <x:c r="G908" s="18" t="n">
        <x:v>1.1</x:v>
      </x:c>
      <x:c r="H908" s="18" t="n">
        <x:v>0</x:v>
      </x:c>
      <x:c r="I908" s="18"/>
      <x:c r="J908" s="20"/>
      <x:c r="K908" s="22"/>
      <x:c r="L908" s="11" t="str">
        <x:v>tencent-pe-v1.0</x:v>
      </x:c>
      <x:c r="M908" s="11" t="str">
        <x:v>2026-12-31</x:v>
      </x:c>
      <x:c r="O908" t="str">
        <x:v>CNY</x:v>
      </x:c>
      <x:c r="V908" t="str">
        <x:v>2026-12-31</x:v>
      </x:c>
      <x:c r="W908" t="str">
        <x:v>待核</x:v>
      </x:c>
      <x:c r="X908" t="str">
        <x:v>周末已解析；节假日需交易所对应年度日历核验，实际交易日待核</x:v>
      </x:c>
    </x:row>
    <x:row r="909" ht="23" customHeight="1">
      <x:c r="A909" s="11" t="str">
        <x:v>00700.HK</x:v>
      </x:c>
      <x:c r="B909" s="11" t="str">
        <x:v>2026年底</x:v>
      </x:c>
      <x:c r="C909" s="11" t="str">
        <x:v>基准</x:v>
      </x:c>
      <x:c r="D909" s="11" t="str">
        <x:v>EPS</x:v>
      </x:c>
      <x:c r="E909" s="18" t="n">
        <x:v>28</x:v>
      </x:c>
      <x:c r="F909" s="18" t="n">
        <x:v>16</x:v>
      </x:c>
      <x:c r="G909" s="18" t="n">
        <x:v>1.1</x:v>
      </x:c>
      <x:c r="H909" s="18" t="n">
        <x:v>0</x:v>
      </x:c>
      <x:c r="I909" s="18"/>
      <x:c r="J909" s="20"/>
      <x:c r="K909" s="22"/>
      <x:c r="L909" s="11" t="str">
        <x:v>tencent-pe-v1.0</x:v>
      </x:c>
      <x:c r="M909" s="11" t="str">
        <x:v>2026-12-31</x:v>
      </x:c>
      <x:c r="O909" t="str">
        <x:v>CNY</x:v>
      </x:c>
      <x:c r="V909" t="str">
        <x:v>2026-12-31</x:v>
      </x:c>
      <x:c r="W909" t="str">
        <x:v>待核</x:v>
      </x:c>
      <x:c r="X909" t="str">
        <x:v>周末已解析；节假日需交易所对应年度日历核验，实际交易日待核</x:v>
      </x:c>
    </x:row>
    <x:row r="910" ht="23" customHeight="1">
      <x:c r="A910" s="11" t="str">
        <x:v>00700.HK</x:v>
      </x:c>
      <x:c r="B910" s="11" t="str">
        <x:v>2026年底</x:v>
      </x:c>
      <x:c r="C910" s="11" t="str">
        <x:v>乐观</x:v>
      </x:c>
      <x:c r="D910" s="11" t="str">
        <x:v>EPS</x:v>
      </x:c>
      <x:c r="E910" s="18" t="n">
        <x:v>31</x:v>
      </x:c>
      <x:c r="F910" s="18" t="n">
        <x:v>20</x:v>
      </x:c>
      <x:c r="G910" s="18" t="n">
        <x:v>1.1</x:v>
      </x:c>
      <x:c r="H910" s="18" t="n">
        <x:v>0</x:v>
      </x:c>
      <x:c r="I910" s="18"/>
      <x:c r="J910" s="20"/>
      <x:c r="K910" s="22"/>
      <x:c r="L910" s="11" t="str">
        <x:v>tencent-pe-v1.0</x:v>
      </x:c>
      <x:c r="M910" s="11" t="str">
        <x:v>2026-12-31</x:v>
      </x:c>
      <x:c r="O910" t="str">
        <x:v>CNY</x:v>
      </x:c>
      <x:c r="V910" t="str">
        <x:v>2026-12-31</x:v>
      </x:c>
      <x:c r="W910" t="str">
        <x:v>待核</x:v>
      </x:c>
      <x:c r="X910" t="str">
        <x:v>周末已解析；节假日需交易所对应年度日历核验，实际交易日待核</x:v>
      </x:c>
    </x:row>
    <x:row r="911" ht="23" customHeight="1">
      <x:c r="A911" s="15" t="str">
        <x:v>00700.HK</x:v>
      </x:c>
      <x:c r="B911" s="15" t="str">
        <x:v>半年</x:v>
      </x:c>
      <x:c r="C911" s="15" t="str">
        <x:v>活动输入</x:v>
      </x:c>
      <x:c r="D911" s="15" t="str">
        <x:v>EPS</x:v>
      </x:c>
      <x:c r="E911" s="17" t="n">
        <x:f>CHOOSE($B$3,E912,E913,E914)</x:f>
        <x:v>30</x:v>
      </x:c>
      <x:c r="F911" s="17" t="n">
        <x:f>CHOOSE($B$3,F912,F913,F914)</x:f>
        <x:v>17</x:v>
      </x:c>
      <x:c r="G911" s="17" t="n">
        <x:f>CHOOSE($B$3,G912,G913,G914)</x:f>
        <x:v>1.1</x:v>
      </x:c>
      <x:c r="H911" s="17" t="n">
        <x:f>CHOOSE($B$3,H912,H913,H914)</x:f>
        <x:v>0</x:v>
      </x:c>
      <x:c r="I911" s="17" t="str">
        <x:f>CHOOSE($B$3,I912,I913,I914)</x:f>
      </x:c>
      <x:c r="J911" s="19" t="str">
        <x:f>CHOOSE($B$3,J912,J913,J914)</x:f>
      </x:c>
      <x:c r="K911" s="21" t="str">
        <x:f>CHOOSE($B$3,K912,K913,K914)</x:f>
      </x:c>
      <x:c r="L911" s="15" t="str">
        <x:v>tencent-pe-v1.0</x:v>
      </x:c>
      <x:c r="M911" s="15" t="str">
        <x:v>2027-04-09</x:v>
      </x:c>
      <x:c r="O911" t="str">
        <x:v>CNY</x:v>
      </x:c>
      <x:c r="V911" t="str">
        <x:v>2027-04-09</x:v>
      </x:c>
      <x:c r="W911" t="str">
        <x:v>待核</x:v>
      </x:c>
      <x:c r="X911" t="str">
        <x:v>周末已解析；节假日需交易所对应年度日历核验，实际交易日待核</x:v>
      </x:c>
    </x:row>
    <x:row r="912" ht="23" customHeight="1">
      <x:c r="A912" s="11" t="str">
        <x:v>00700.HK</x:v>
      </x:c>
      <x:c r="B912" s="11" t="str">
        <x:v>半年</x:v>
      </x:c>
      <x:c r="C912" s="11" t="str">
        <x:v>悲观</x:v>
      </x:c>
      <x:c r="D912" s="11" t="str">
        <x:v>EPS</x:v>
      </x:c>
      <x:c r="E912" s="18" t="n">
        <x:v>25</x:v>
      </x:c>
      <x:c r="F912" s="18" t="n">
        <x:v>12</x:v>
      </x:c>
      <x:c r="G912" s="18" t="n">
        <x:v>1.1</x:v>
      </x:c>
      <x:c r="H912" s="18" t="n">
        <x:v>0</x:v>
      </x:c>
      <x:c r="I912" s="18"/>
      <x:c r="J912" s="20"/>
      <x:c r="K912" s="22"/>
      <x:c r="L912" s="11" t="str">
        <x:v>tencent-pe-v1.0</x:v>
      </x:c>
      <x:c r="M912" s="11" t="str">
        <x:v>2027-04-09</x:v>
      </x:c>
      <x:c r="O912" t="str">
        <x:v>CNY</x:v>
      </x:c>
      <x:c r="V912" t="str">
        <x:v>2027-04-09</x:v>
      </x:c>
      <x:c r="W912" t="str">
        <x:v>待核</x:v>
      </x:c>
      <x:c r="X912" t="str">
        <x:v>周末已解析；节假日需交易所对应年度日历核验，实际交易日待核</x:v>
      </x:c>
    </x:row>
    <x:row r="913" ht="23" customHeight="1">
      <x:c r="A913" s="11" t="str">
        <x:v>00700.HK</x:v>
      </x:c>
      <x:c r="B913" s="11" t="str">
        <x:v>半年</x:v>
      </x:c>
      <x:c r="C913" s="11" t="str">
        <x:v>基准</x:v>
      </x:c>
      <x:c r="D913" s="11" t="str">
        <x:v>EPS</x:v>
      </x:c>
      <x:c r="E913" s="18" t="n">
        <x:v>30</x:v>
      </x:c>
      <x:c r="F913" s="18" t="n">
        <x:v>17</x:v>
      </x:c>
      <x:c r="G913" s="18" t="n">
        <x:v>1.1</x:v>
      </x:c>
      <x:c r="H913" s="18" t="n">
        <x:v>0</x:v>
      </x:c>
      <x:c r="I913" s="18"/>
      <x:c r="J913" s="20"/>
      <x:c r="K913" s="22"/>
      <x:c r="L913" s="11" t="str">
        <x:v>tencent-pe-v1.0</x:v>
      </x:c>
      <x:c r="M913" s="11" t="str">
        <x:v>2027-04-09</x:v>
      </x:c>
      <x:c r="O913" t="str">
        <x:v>CNY</x:v>
      </x:c>
      <x:c r="V913" t="str">
        <x:v>2027-04-09</x:v>
      </x:c>
      <x:c r="W913" t="str">
        <x:v>待核</x:v>
      </x:c>
      <x:c r="X913" t="str">
        <x:v>周末已解析；节假日需交易所对应年度日历核验，实际交易日待核</x:v>
      </x:c>
    </x:row>
    <x:row r="914" ht="23" customHeight="1">
      <x:c r="A914" s="11" t="str">
        <x:v>00700.HK</x:v>
      </x:c>
      <x:c r="B914" s="11" t="str">
        <x:v>半年</x:v>
      </x:c>
      <x:c r="C914" s="11" t="str">
        <x:v>乐观</x:v>
      </x:c>
      <x:c r="D914" s="11" t="str">
        <x:v>EPS</x:v>
      </x:c>
      <x:c r="E914" s="18" t="n">
        <x:v>34</x:v>
      </x:c>
      <x:c r="F914" s="18" t="n">
        <x:v>21</x:v>
      </x:c>
      <x:c r="G914" s="18" t="n">
        <x:v>1.1</x:v>
      </x:c>
      <x:c r="H914" s="18" t="n">
        <x:v>0</x:v>
      </x:c>
      <x:c r="I914" s="18"/>
      <x:c r="J914" s="20"/>
      <x:c r="K914" s="22"/>
      <x:c r="L914" s="11" t="str">
        <x:v>tencent-pe-v1.0</x:v>
      </x:c>
      <x:c r="M914" s="11" t="str">
        <x:v>2027-04-09</x:v>
      </x:c>
      <x:c r="O914" t="str">
        <x:v>CNY</x:v>
      </x:c>
      <x:c r="V914" t="str">
        <x:v>2027-04-09</x:v>
      </x:c>
      <x:c r="W914" t="str">
        <x:v>待核</x:v>
      </x:c>
      <x:c r="X914" t="str">
        <x:v>周末已解析；节假日需交易所对应年度日历核验，实际交易日待核</x:v>
      </x:c>
    </x:row>
    <x:row r="915" ht="23" customHeight="1">
      <x:c r="A915" s="15" t="str">
        <x:v>00700.HK</x:v>
      </x:c>
      <x:c r="B915" s="15" t="str">
        <x:v>一年</x:v>
      </x:c>
      <x:c r="C915" s="15" t="str">
        <x:v>活动输入</x:v>
      </x:c>
      <x:c r="D915" s="15" t="str">
        <x:v>EPS</x:v>
      </x:c>
      <x:c r="E915" s="17" t="n">
        <x:f>CHOOSE($B$3,E916,E917,E918)</x:f>
        <x:v>32</x:v>
      </x:c>
      <x:c r="F915" s="17" t="n">
        <x:f>CHOOSE($B$3,F916,F917,F918)</x:f>
        <x:v>19</x:v>
      </x:c>
      <x:c r="G915" s="17" t="n">
        <x:f>CHOOSE($B$3,G916,G917,G918)</x:f>
        <x:v>1.1</x:v>
      </x:c>
      <x:c r="H915" s="17" t="n">
        <x:f>CHOOSE($B$3,H916,H917,H918)</x:f>
        <x:v>5.3</x:v>
      </x:c>
      <x:c r="I915" s="17" t="str">
        <x:f>CHOOSE($B$3,I916,I917,I918)</x:f>
      </x:c>
      <x:c r="J915" s="19" t="str">
        <x:f>CHOOSE($B$3,J916,J917,J918)</x:f>
      </x:c>
      <x:c r="K915" s="21" t="str">
        <x:f>CHOOSE($B$3,K916,K917,K918)</x:f>
      </x:c>
      <x:c r="L915" s="15" t="str">
        <x:v>tencent-pe-v1.0</x:v>
      </x:c>
      <x:c r="M915" s="15" t="str">
        <x:v>2027-10-09</x:v>
      </x:c>
      <x:c r="O915" t="str">
        <x:v>CNY</x:v>
      </x:c>
      <x:c r="V915" t="str">
        <x:v>2027-10-08</x:v>
      </x:c>
      <x:c r="W915" t="str">
        <x:v>待核</x:v>
      </x:c>
      <x:c r="X915" t="str">
        <x:v>周末已解析；节假日需交易所对应年度日历核验，实际交易日待核</x:v>
      </x:c>
    </x:row>
    <x:row r="916" ht="23" customHeight="1">
      <x:c r="A916" s="11" t="str">
        <x:v>00700.HK</x:v>
      </x:c>
      <x:c r="B916" s="11" t="str">
        <x:v>一年</x:v>
      </x:c>
      <x:c r="C916" s="11" t="str">
        <x:v>悲观</x:v>
      </x:c>
      <x:c r="D916" s="11" t="str">
        <x:v>EPS</x:v>
      </x:c>
      <x:c r="E916" s="18" t="n">
        <x:v>26</x:v>
      </x:c>
      <x:c r="F916" s="18" t="n">
        <x:v>12</x:v>
      </x:c>
      <x:c r="G916" s="18" t="n">
        <x:v>1.1</x:v>
      </x:c>
      <x:c r="H916" s="18" t="n">
        <x:v>4</x:v>
      </x:c>
      <x:c r="I916" s="18"/>
      <x:c r="J916" s="20"/>
      <x:c r="K916" s="22"/>
      <x:c r="L916" s="11" t="str">
        <x:v>tencent-pe-v1.0</x:v>
      </x:c>
      <x:c r="M916" s="11" t="str">
        <x:v>2027-10-09</x:v>
      </x:c>
      <x:c r="O916" t="str">
        <x:v>CNY</x:v>
      </x:c>
      <x:c r="V916" t="str">
        <x:v>2027-10-08</x:v>
      </x:c>
      <x:c r="W916" t="str">
        <x:v>待核</x:v>
      </x:c>
      <x:c r="X916" t="str">
        <x:v>周末已解析；节假日需交易所对应年度日历核验，实际交易日待核</x:v>
      </x:c>
    </x:row>
    <x:row r="917" ht="23" customHeight="1">
      <x:c r="A917" s="11" t="str">
        <x:v>00700.HK</x:v>
      </x:c>
      <x:c r="B917" s="11" t="str">
        <x:v>一年</x:v>
      </x:c>
      <x:c r="C917" s="11" t="str">
        <x:v>基准</x:v>
      </x:c>
      <x:c r="D917" s="11" t="str">
        <x:v>EPS</x:v>
      </x:c>
      <x:c r="E917" s="18" t="n">
        <x:v>32</x:v>
      </x:c>
      <x:c r="F917" s="18" t="n">
        <x:v>19</x:v>
      </x:c>
      <x:c r="G917" s="18" t="n">
        <x:v>1.1</x:v>
      </x:c>
      <x:c r="H917" s="18" t="n">
        <x:v>5.3</x:v>
      </x:c>
      <x:c r="I917" s="18"/>
      <x:c r="J917" s="20"/>
      <x:c r="K917" s="22"/>
      <x:c r="L917" s="11" t="str">
        <x:v>tencent-pe-v1.0</x:v>
      </x:c>
      <x:c r="M917" s="11" t="str">
        <x:v>2027-10-09</x:v>
      </x:c>
      <x:c r="O917" t="str">
        <x:v>CNY</x:v>
      </x:c>
      <x:c r="V917" t="str">
        <x:v>2027-10-08</x:v>
      </x:c>
      <x:c r="W917" t="str">
        <x:v>待核</x:v>
      </x:c>
      <x:c r="X917" t="str">
        <x:v>周末已解析；节假日需交易所对应年度日历核验，实际交易日待核</x:v>
      </x:c>
    </x:row>
    <x:row r="918" ht="23" customHeight="1">
      <x:c r="A918" s="11" t="str">
        <x:v>00700.HK</x:v>
      </x:c>
      <x:c r="B918" s="11" t="str">
        <x:v>一年</x:v>
      </x:c>
      <x:c r="C918" s="11" t="str">
        <x:v>乐观</x:v>
      </x:c>
      <x:c r="D918" s="11" t="str">
        <x:v>EPS</x:v>
      </x:c>
      <x:c r="E918" s="18" t="n">
        <x:v>38</x:v>
      </x:c>
      <x:c r="F918" s="18" t="n">
        <x:v>22</x:v>
      </x:c>
      <x:c r="G918" s="18" t="n">
        <x:v>1.1</x:v>
      </x:c>
      <x:c r="H918" s="18" t="n">
        <x:v>6</x:v>
      </x:c>
      <x:c r="I918" s="18"/>
      <x:c r="J918" s="20"/>
      <x:c r="K918" s="22"/>
      <x:c r="L918" s="11" t="str">
        <x:v>tencent-pe-v1.0</x:v>
      </x:c>
      <x:c r="M918" s="11" t="str">
        <x:v>2027-10-09</x:v>
      </x:c>
      <x:c r="O918" t="str">
        <x:v>CNY</x:v>
      </x:c>
      <x:c r="V918" t="str">
        <x:v>2027-10-08</x:v>
      </x:c>
      <x:c r="W918" t="str">
        <x:v>待核</x:v>
      </x:c>
      <x:c r="X918" t="str">
        <x:v>周末已解析；节假日需交易所对应年度日历核验，实际交易日待核</x:v>
      </x:c>
    </x:row>
    <x:row r="919" ht="23" customHeight="1">
      <x:c r="A919" s="15" t="str">
        <x:v>00700.HK</x:v>
      </x:c>
      <x:c r="B919" s="15" t="str">
        <x:v>三年</x:v>
      </x:c>
      <x:c r="C919" s="15" t="str">
        <x:v>活动输入</x:v>
      </x:c>
      <x:c r="D919" s="15" t="str">
        <x:v>EPS</x:v>
      </x:c>
      <x:c r="E919" s="17" t="n">
        <x:f>CHOOSE($B$3,E920,E921,E922)</x:f>
        <x:v>40</x:v>
      </x:c>
      <x:c r="F919" s="17" t="n">
        <x:f>CHOOSE($B$3,F920,F921,F922)</x:f>
        <x:v>17</x:v>
      </x:c>
      <x:c r="G919" s="17" t="n">
        <x:f>CHOOSE($B$3,G920,G921,G922)</x:f>
        <x:v>1.1</x:v>
      </x:c>
      <x:c r="H919" s="17" t="n">
        <x:f>CHOOSE($B$3,H920,H921,H922)</x:f>
        <x:v>18</x:v>
      </x:c>
      <x:c r="I919" s="17" t="str">
        <x:f>CHOOSE($B$3,I920,I921,I922)</x:f>
      </x:c>
      <x:c r="J919" s="19" t="str">
        <x:f>CHOOSE($B$3,J920,J921,J922)</x:f>
      </x:c>
      <x:c r="K919" s="21" t="str">
        <x:f>CHOOSE($B$3,K920,K921,K922)</x:f>
      </x:c>
      <x:c r="L919" s="15" t="str">
        <x:v>tencent-pe-v1.0</x:v>
      </x:c>
      <x:c r="M919" s="15" t="str">
        <x:v>2029-10-09</x:v>
      </x:c>
      <x:c r="O919" t="str">
        <x:v>CNY</x:v>
      </x:c>
      <x:c r="V919" t="str">
        <x:v>2029-10-09</x:v>
      </x:c>
      <x:c r="W919" t="str">
        <x:v>待核</x:v>
      </x:c>
      <x:c r="X919" t="str">
        <x:v>周末已解析；节假日需交易所对应年度日历核验，实际交易日待核</x:v>
      </x:c>
    </x:row>
    <x:row r="920" ht="23" customHeight="1">
      <x:c r="A920" s="11" t="str">
        <x:v>00700.HK</x:v>
      </x:c>
      <x:c r="B920" s="11" t="str">
        <x:v>三年</x:v>
      </x:c>
      <x:c r="C920" s="11" t="str">
        <x:v>悲观</x:v>
      </x:c>
      <x:c r="D920" s="11" t="str">
        <x:v>EPS</x:v>
      </x:c>
      <x:c r="E920" s="18" t="n">
        <x:v>28</x:v>
      </x:c>
      <x:c r="F920" s="18" t="n">
        <x:v>11</x:v>
      </x:c>
      <x:c r="G920" s="18" t="n">
        <x:v>1.1</x:v>
      </x:c>
      <x:c r="H920" s="18" t="n">
        <x:v>12</x:v>
      </x:c>
      <x:c r="I920" s="18"/>
      <x:c r="J920" s="20"/>
      <x:c r="K920" s="22"/>
      <x:c r="L920" s="11" t="str">
        <x:v>tencent-pe-v1.0</x:v>
      </x:c>
      <x:c r="M920" s="11" t="str">
        <x:v>2029-10-09</x:v>
      </x:c>
      <x:c r="O920" t="str">
        <x:v>CNY</x:v>
      </x:c>
      <x:c r="V920" t="str">
        <x:v>2029-10-09</x:v>
      </x:c>
      <x:c r="W920" t="str">
        <x:v>待核</x:v>
      </x:c>
      <x:c r="X920" t="str">
        <x:v>周末已解析；节假日需交易所对应年度日历核验，实际交易日待核</x:v>
      </x:c>
    </x:row>
    <x:row r="921" ht="23" customHeight="1">
      <x:c r="A921" s="11" t="str">
        <x:v>00700.HK</x:v>
      </x:c>
      <x:c r="B921" s="11" t="str">
        <x:v>三年</x:v>
      </x:c>
      <x:c r="C921" s="11" t="str">
        <x:v>基准</x:v>
      </x:c>
      <x:c r="D921" s="11" t="str">
        <x:v>EPS</x:v>
      </x:c>
      <x:c r="E921" s="18" t="n">
        <x:v>40</x:v>
      </x:c>
      <x:c r="F921" s="18" t="n">
        <x:v>17</x:v>
      </x:c>
      <x:c r="G921" s="18" t="n">
        <x:v>1.1</x:v>
      </x:c>
      <x:c r="H921" s="18" t="n">
        <x:v>18</x:v>
      </x:c>
      <x:c r="I921" s="18"/>
      <x:c r="J921" s="20"/>
      <x:c r="K921" s="22"/>
      <x:c r="L921" s="11" t="str">
        <x:v>tencent-pe-v1.0</x:v>
      </x:c>
      <x:c r="M921" s="11" t="str">
        <x:v>2029-10-09</x:v>
      </x:c>
      <x:c r="O921" t="str">
        <x:v>CNY</x:v>
      </x:c>
      <x:c r="V921" t="str">
        <x:v>2029-10-09</x:v>
      </x:c>
      <x:c r="W921" t="str">
        <x:v>待核</x:v>
      </x:c>
      <x:c r="X921" t="str">
        <x:v>周末已解析；节假日需交易所对应年度日历核验，实际交易日待核</x:v>
      </x:c>
    </x:row>
    <x:row r="922" ht="23" customHeight="1">
      <x:c r="A922" s="11" t="str">
        <x:v>00700.HK</x:v>
      </x:c>
      <x:c r="B922" s="11" t="str">
        <x:v>三年</x:v>
      </x:c>
      <x:c r="C922" s="11" t="str">
        <x:v>乐观</x:v>
      </x:c>
      <x:c r="D922" s="11" t="str">
        <x:v>EPS</x:v>
      </x:c>
      <x:c r="E922" s="18" t="n">
        <x:v>52</x:v>
      </x:c>
      <x:c r="F922" s="18" t="n">
        <x:v>22</x:v>
      </x:c>
      <x:c r="G922" s="18" t="n">
        <x:v>1.1</x:v>
      </x:c>
      <x:c r="H922" s="18" t="n">
        <x:v>24</x:v>
      </x:c>
      <x:c r="I922" s="18"/>
      <x:c r="J922" s="20"/>
      <x:c r="K922" s="22"/>
      <x:c r="L922" s="11" t="str">
        <x:v>tencent-pe-v1.0</x:v>
      </x:c>
      <x:c r="M922" s="11" t="str">
        <x:v>2029-10-09</x:v>
      </x:c>
      <x:c r="O922" t="str">
        <x:v>CNY</x:v>
      </x:c>
      <x:c r="V922" t="str">
        <x:v>2029-10-09</x:v>
      </x:c>
      <x:c r="W922" t="str">
        <x:v>待核</x:v>
      </x:c>
      <x:c r="X922" t="str">
        <x:v>周末已解析；节假日需交易所对应年度日历核验，实际交易日待核</x:v>
      </x:c>
    </x:row>
    <x:row r="923" ht="23" customHeight="1">
      <x:c r="A923" s="15" t="str">
        <x:v>00700.HK</x:v>
      </x:c>
      <x:c r="B923" s="15" t="str">
        <x:v>五年</x:v>
      </x:c>
      <x:c r="C923" s="15" t="str">
        <x:v>活动输入</x:v>
      </x:c>
      <x:c r="D923" s="15" t="str">
        <x:v>EPS</x:v>
      </x:c>
      <x:c r="E923" s="17" t="n">
        <x:f>CHOOSE($B$3,E924,E925,E926)</x:f>
        <x:v>50</x:v>
      </x:c>
      <x:c r="F923" s="17" t="n">
        <x:f>CHOOSE($B$3,F924,F925,F926)</x:f>
        <x:v>16</x:v>
      </x:c>
      <x:c r="G923" s="17" t="n">
        <x:f>CHOOSE($B$3,G924,G925,G926)</x:f>
        <x:v>1.1</x:v>
      </x:c>
      <x:c r="H923" s="17" t="n">
        <x:f>CHOOSE($B$3,H924,H925,H926)</x:f>
        <x:v>35</x:v>
      </x:c>
      <x:c r="I923" s="17" t="str">
        <x:f>CHOOSE($B$3,I924,I925,I926)</x:f>
      </x:c>
      <x:c r="J923" s="19" t="str">
        <x:f>CHOOSE($B$3,J924,J925,J926)</x:f>
      </x:c>
      <x:c r="K923" s="21" t="str">
        <x:f>CHOOSE($B$3,K924,K925,K926)</x:f>
      </x:c>
      <x:c r="L923" s="15" t="str">
        <x:v>tencent-pe-v1.0</x:v>
      </x:c>
      <x:c r="M923" s="15" t="str">
        <x:v>2031-10-09</x:v>
      </x:c>
      <x:c r="O923" t="str">
        <x:v>CNY</x:v>
      </x:c>
      <x:c r="V923" t="str">
        <x:v>2031-10-09</x:v>
      </x:c>
      <x:c r="W923" t="str">
        <x:v>待核</x:v>
      </x:c>
      <x:c r="X923" t="str">
        <x:v>周末已解析；节假日需交易所对应年度日历核验，实际交易日待核</x:v>
      </x:c>
    </x:row>
    <x:row r="924" ht="23" customHeight="1">
      <x:c r="A924" s="11" t="str">
        <x:v>00700.HK</x:v>
      </x:c>
      <x:c r="B924" s="11" t="str">
        <x:v>五年</x:v>
      </x:c>
      <x:c r="C924" s="11" t="str">
        <x:v>悲观</x:v>
      </x:c>
      <x:c r="D924" s="11" t="str">
        <x:v>EPS</x:v>
      </x:c>
      <x:c r="E924" s="18" t="n">
        <x:v>28</x:v>
      </x:c>
      <x:c r="F924" s="18" t="n">
        <x:v>10</x:v>
      </x:c>
      <x:c r="G924" s="18" t="n">
        <x:v>1.1</x:v>
      </x:c>
      <x:c r="H924" s="18" t="n">
        <x:v>20</x:v>
      </x:c>
      <x:c r="I924" s="18"/>
      <x:c r="J924" s="20"/>
      <x:c r="K924" s="22"/>
      <x:c r="L924" s="11" t="str">
        <x:v>tencent-pe-v1.0</x:v>
      </x:c>
      <x:c r="M924" s="11" t="str">
        <x:v>2031-10-09</x:v>
      </x:c>
      <x:c r="O924" t="str">
        <x:v>CNY</x:v>
      </x:c>
      <x:c r="V924" t="str">
        <x:v>2031-10-09</x:v>
      </x:c>
      <x:c r="W924" t="str">
        <x:v>待核</x:v>
      </x:c>
      <x:c r="X924" t="str">
        <x:v>周末已解析；节假日需交易所对应年度日历核验，实际交易日待核</x:v>
      </x:c>
    </x:row>
    <x:row r="925" ht="23" customHeight="1">
      <x:c r="A925" s="11" t="str">
        <x:v>00700.HK</x:v>
      </x:c>
      <x:c r="B925" s="11" t="str">
        <x:v>五年</x:v>
      </x:c>
      <x:c r="C925" s="11" t="str">
        <x:v>基准</x:v>
      </x:c>
      <x:c r="D925" s="11" t="str">
        <x:v>EPS</x:v>
      </x:c>
      <x:c r="E925" s="18" t="n">
        <x:v>50</x:v>
      </x:c>
      <x:c r="F925" s="18" t="n">
        <x:v>16</x:v>
      </x:c>
      <x:c r="G925" s="18" t="n">
        <x:v>1.1</x:v>
      </x:c>
      <x:c r="H925" s="18" t="n">
        <x:v>35</x:v>
      </x:c>
      <x:c r="I925" s="18"/>
      <x:c r="J925" s="20"/>
      <x:c r="K925" s="22"/>
      <x:c r="L925" s="11" t="str">
        <x:v>tencent-pe-v1.0</x:v>
      </x:c>
      <x:c r="M925" s="11" t="str">
        <x:v>2031-10-09</x:v>
      </x:c>
      <x:c r="O925" t="str">
        <x:v>CNY</x:v>
      </x:c>
      <x:c r="V925" t="str">
        <x:v>2031-10-09</x:v>
      </x:c>
      <x:c r="W925" t="str">
        <x:v>待核</x:v>
      </x:c>
      <x:c r="X925" t="str">
        <x:v>周末已解析；节假日需交易所对应年度日历核验，实际交易日待核</x:v>
      </x:c>
    </x:row>
    <x:row r="926" ht="23" customHeight="1">
      <x:c r="A926" s="11" t="str">
        <x:v>00700.HK</x:v>
      </x:c>
      <x:c r="B926" s="11" t="str">
        <x:v>五年</x:v>
      </x:c>
      <x:c r="C926" s="11" t="str">
        <x:v>乐观</x:v>
      </x:c>
      <x:c r="D926" s="11" t="str">
        <x:v>EPS</x:v>
      </x:c>
      <x:c r="E926" s="18" t="n">
        <x:v>75</x:v>
      </x:c>
      <x:c r="F926" s="18" t="n">
        <x:v>22</x:v>
      </x:c>
      <x:c r="G926" s="18" t="n">
        <x:v>1.1</x:v>
      </x:c>
      <x:c r="H926" s="18" t="n">
        <x:v>50</x:v>
      </x:c>
      <x:c r="I926" s="18"/>
      <x:c r="J926" s="20"/>
      <x:c r="K926" s="22"/>
      <x:c r="L926" s="11" t="str">
        <x:v>tencent-pe-v1.0</x:v>
      </x:c>
      <x:c r="M926" s="11" t="str">
        <x:v>2031-10-09</x:v>
      </x:c>
      <x:c r="O926" t="str">
        <x:v>CNY</x:v>
      </x:c>
      <x:c r="V926" t="str">
        <x:v>2031-10-09</x:v>
      </x:c>
      <x:c r="W926" t="str">
        <x:v>待核</x:v>
      </x:c>
      <x:c r="X926" t="str">
        <x:v>周末已解析；节假日需交易所对应年度日历核验，实际交易日待核</x:v>
      </x:c>
    </x:row>
    <x:row r="927" ht="23" customHeight="1">
      <x:c r="A927" s="15" t="str">
        <x:v>09961.HK</x:v>
      </x:c>
      <x:c r="B927" s="15" t="str">
        <x:v>2026年底</x:v>
      </x:c>
      <x:c r="C927" s="15" t="str">
        <x:v>活动输入</x:v>
      </x:c>
      <x:c r="D927" s="15" t="str">
        <x:v>EPS</x:v>
      </x:c>
      <x:c r="E927" s="17" t="n">
        <x:f>CHOOSE($B$3,E928,E929,E930)</x:f>
        <x:v>25.01</x:v>
      </x:c>
      <x:c r="F927" s="17" t="n">
        <x:f>CHOOSE($B$3,F928,F929,F930)</x:f>
        <x:v>16</x:v>
      </x:c>
      <x:c r="G927" s="17" t="n">
        <x:f>CHOOSE($B$3,G928,G929,G930)</x:f>
        <x:v>1.1</x:v>
      </x:c>
      <x:c r="H927" s="17" t="n">
        <x:f>CHOOSE($B$3,H928,H929,H930)</x:f>
        <x:v>0</x:v>
      </x:c>
      <x:c r="I927" s="17" t="str">
        <x:f>CHOOSE($B$3,I928,I929,I930)</x:f>
      </x:c>
      <x:c r="J927" s="19" t="str">
        <x:f>CHOOSE($B$3,J928,J929,J930)</x:f>
      </x:c>
      <x:c r="K927" s="21" t="str">
        <x:f>CHOOSE($B$3,K928,K929,K930)</x:f>
      </x:c>
      <x:c r="L927" s="15" t="str">
        <x:v>trip-normalized-ebit-penalty-v1.0</x:v>
      </x:c>
      <x:c r="M927" s="15" t="str">
        <x:v>2026-12-31</x:v>
      </x:c>
      <x:c r="O927" t="str">
        <x:v>CNY</x:v>
      </x:c>
      <x:c r="V927" t="str">
        <x:v>2026-12-31</x:v>
      </x:c>
      <x:c r="W927" t="str">
        <x:v>待核</x:v>
      </x:c>
      <x:c r="X927" t="str">
        <x:v>周末已解析；节假日需交易所对应年度日历核验，实际交易日待核</x:v>
      </x:c>
    </x:row>
    <x:row r="928" ht="23" customHeight="1">
      <x:c r="A928" s="11" t="str">
        <x:v>09961.HK</x:v>
      </x:c>
      <x:c r="B928" s="11" t="str">
        <x:v>2026年底</x:v>
      </x:c>
      <x:c r="C928" s="11" t="str">
        <x:v>悲观</x:v>
      </x:c>
      <x:c r="D928" s="11" t="str">
        <x:v>EPS</x:v>
      </x:c>
      <x:c r="E928" s="18" t="n">
        <x:v>16.72</x:v>
      </x:c>
      <x:c r="F928" s="18" t="n">
        <x:v>12</x:v>
      </x:c>
      <x:c r="G928" s="18" t="n">
        <x:v>1.1</x:v>
      </x:c>
      <x:c r="H928" s="18" t="n">
        <x:v>0</x:v>
      </x:c>
      <x:c r="I928" s="18"/>
      <x:c r="J928" s="20"/>
      <x:c r="K928" s="22"/>
      <x:c r="L928" s="11" t="str">
        <x:v>trip-normalized-ebit-penalty-v1.0</x:v>
      </x:c>
      <x:c r="M928" s="11" t="str">
        <x:v>2026-12-31</x:v>
      </x:c>
      <x:c r="O928" t="str">
        <x:v>CNY</x:v>
      </x:c>
      <x:c r="V928" t="str">
        <x:v>2026-12-31</x:v>
      </x:c>
      <x:c r="W928" t="str">
        <x:v>待核</x:v>
      </x:c>
      <x:c r="X928" t="str">
        <x:v>周末已解析；节假日需交易所对应年度日历核验，实际交易日待核</x:v>
      </x:c>
    </x:row>
    <x:row r="929" ht="23" customHeight="1">
      <x:c r="A929" s="11" t="str">
        <x:v>09961.HK</x:v>
      </x:c>
      <x:c r="B929" s="11" t="str">
        <x:v>2026年底</x:v>
      </x:c>
      <x:c r="C929" s="11" t="str">
        <x:v>基准</x:v>
      </x:c>
      <x:c r="D929" s="11" t="str">
        <x:v>EPS</x:v>
      </x:c>
      <x:c r="E929" s="18" t="n">
        <x:v>25.01</x:v>
      </x:c>
      <x:c r="F929" s="18" t="n">
        <x:v>16</x:v>
      </x:c>
      <x:c r="G929" s="18" t="n">
        <x:v>1.1</x:v>
      </x:c>
      <x:c r="H929" s="18" t="n">
        <x:v>0</x:v>
      </x:c>
      <x:c r="I929" s="18"/>
      <x:c r="J929" s="20"/>
      <x:c r="K929" s="22"/>
      <x:c r="L929" s="11" t="str">
        <x:v>trip-normalized-ebit-penalty-v1.0</x:v>
      </x:c>
      <x:c r="M929" s="11" t="str">
        <x:v>2026-12-31</x:v>
      </x:c>
      <x:c r="O929" t="str">
        <x:v>CNY</x:v>
      </x:c>
      <x:c r="V929" t="str">
        <x:v>2026-12-31</x:v>
      </x:c>
      <x:c r="W929" t="str">
        <x:v>待核</x:v>
      </x:c>
      <x:c r="X929" t="str">
        <x:v>周末已解析；节假日需交易所对应年度日历核验，实际交易日待核</x:v>
      </x:c>
    </x:row>
    <x:row r="930" ht="23" customHeight="1">
      <x:c r="A930" s="11" t="str">
        <x:v>09961.HK</x:v>
      </x:c>
      <x:c r="B930" s="11" t="str">
        <x:v>2026年底</x:v>
      </x:c>
      <x:c r="C930" s="11" t="str">
        <x:v>乐观</x:v>
      </x:c>
      <x:c r="D930" s="11" t="str">
        <x:v>EPS</x:v>
      </x:c>
      <x:c r="E930" s="18" t="n">
        <x:v>32.32</x:v>
      </x:c>
      <x:c r="F930" s="18" t="n">
        <x:v>20</x:v>
      </x:c>
      <x:c r="G930" s="18" t="n">
        <x:v>1.1</x:v>
      </x:c>
      <x:c r="H930" s="18" t="n">
        <x:v>0</x:v>
      </x:c>
      <x:c r="I930" s="18"/>
      <x:c r="J930" s="20"/>
      <x:c r="K930" s="22"/>
      <x:c r="L930" s="11" t="str">
        <x:v>trip-normalized-ebit-penalty-v1.0</x:v>
      </x:c>
      <x:c r="M930" s="11" t="str">
        <x:v>2026-12-31</x:v>
      </x:c>
      <x:c r="O930" t="str">
        <x:v>CNY</x:v>
      </x:c>
      <x:c r="V930" t="str">
        <x:v>2026-12-31</x:v>
      </x:c>
      <x:c r="W930" t="str">
        <x:v>待核</x:v>
      </x:c>
      <x:c r="X930" t="str">
        <x:v>周末已解析；节假日需交易所对应年度日历核验，实际交易日待核</x:v>
      </x:c>
    </x:row>
    <x:row r="931" ht="23" customHeight="1">
      <x:c r="A931" s="15" t="str">
        <x:v>09961.HK</x:v>
      </x:c>
      <x:c r="B931" s="15" t="str">
        <x:v>半年</x:v>
      </x:c>
      <x:c r="C931" s="15" t="str">
        <x:v>活动输入</x:v>
      </x:c>
      <x:c r="D931" s="15" t="str">
        <x:v>EPS</x:v>
      </x:c>
      <x:c r="E931" s="17" t="n">
        <x:f>CHOOSE($B$3,E932,E933,E934)</x:f>
        <x:v>27.08</x:v>
      </x:c>
      <x:c r="F931" s="17" t="n">
        <x:f>CHOOSE($B$3,F932,F933,F934)</x:f>
        <x:v>16</x:v>
      </x:c>
      <x:c r="G931" s="17" t="n">
        <x:f>CHOOSE($B$3,G932,G933,G934)</x:f>
        <x:v>1.1</x:v>
      </x:c>
      <x:c r="H931" s="17" t="n">
        <x:f>CHOOSE($B$3,H932,H933,H934)</x:f>
        <x:v>0</x:v>
      </x:c>
      <x:c r="I931" s="17" t="str">
        <x:f>CHOOSE($B$3,I932,I933,I934)</x:f>
      </x:c>
      <x:c r="J931" s="19" t="str">
        <x:f>CHOOSE($B$3,J932,J933,J934)</x:f>
      </x:c>
      <x:c r="K931" s="21" t="str">
        <x:f>CHOOSE($B$3,K932,K933,K934)</x:f>
      </x:c>
      <x:c r="L931" s="15" t="str">
        <x:v>trip-normalized-ebit-penalty-v1.0</x:v>
      </x:c>
      <x:c r="M931" s="15" t="str">
        <x:v>2027-04-09</x:v>
      </x:c>
      <x:c r="O931" t="str">
        <x:v>CNY</x:v>
      </x:c>
      <x:c r="V931" t="str">
        <x:v>2027-04-09</x:v>
      </x:c>
      <x:c r="W931" t="str">
        <x:v>待核</x:v>
      </x:c>
      <x:c r="X931" t="str">
        <x:v>周末已解析；节假日需交易所对应年度日历核验，实际交易日待核</x:v>
      </x:c>
    </x:row>
    <x:row r="932" ht="23" customHeight="1">
      <x:c r="A932" s="11" t="str">
        <x:v>09961.HK</x:v>
      </x:c>
      <x:c r="B932" s="11" t="str">
        <x:v>半年</x:v>
      </x:c>
      <x:c r="C932" s="11" t="str">
        <x:v>悲观</x:v>
      </x:c>
      <x:c r="D932" s="11" t="str">
        <x:v>EPS</x:v>
      </x:c>
      <x:c r="E932" s="18" t="n">
        <x:v>16.72</x:v>
      </x:c>
      <x:c r="F932" s="18" t="n">
        <x:v>12</x:v>
      </x:c>
      <x:c r="G932" s="18" t="n">
        <x:v>1.1</x:v>
      </x:c>
      <x:c r="H932" s="18" t="n">
        <x:v>0</x:v>
      </x:c>
      <x:c r="I932" s="18"/>
      <x:c r="J932" s="20"/>
      <x:c r="K932" s="22"/>
      <x:c r="L932" s="11" t="str">
        <x:v>trip-normalized-ebit-penalty-v1.0</x:v>
      </x:c>
      <x:c r="M932" s="11" t="str">
        <x:v>2027-04-09</x:v>
      </x:c>
      <x:c r="O932" t="str">
        <x:v>CNY</x:v>
      </x:c>
      <x:c r="V932" t="str">
        <x:v>2027-04-09</x:v>
      </x:c>
      <x:c r="W932" t="str">
        <x:v>待核</x:v>
      </x:c>
      <x:c r="X932" t="str">
        <x:v>周末已解析；节假日需交易所对应年度日历核验，实际交易日待核</x:v>
      </x:c>
    </x:row>
    <x:row r="933" ht="23" customHeight="1">
      <x:c r="A933" s="11" t="str">
        <x:v>09961.HK</x:v>
      </x:c>
      <x:c r="B933" s="11" t="str">
        <x:v>半年</x:v>
      </x:c>
      <x:c r="C933" s="11" t="str">
        <x:v>基准</x:v>
      </x:c>
      <x:c r="D933" s="11" t="str">
        <x:v>EPS</x:v>
      </x:c>
      <x:c r="E933" s="18" t="n">
        <x:v>27.08</x:v>
      </x:c>
      <x:c r="F933" s="18" t="n">
        <x:v>16</x:v>
      </x:c>
      <x:c r="G933" s="18" t="n">
        <x:v>1.1</x:v>
      </x:c>
      <x:c r="H933" s="18" t="n">
        <x:v>0</x:v>
      </x:c>
      <x:c r="I933" s="18"/>
      <x:c r="J933" s="20"/>
      <x:c r="K933" s="22"/>
      <x:c r="L933" s="11" t="str">
        <x:v>trip-normalized-ebit-penalty-v1.0</x:v>
      </x:c>
      <x:c r="M933" s="11" t="str">
        <x:v>2027-04-09</x:v>
      </x:c>
      <x:c r="O933" t="str">
        <x:v>CNY</x:v>
      </x:c>
      <x:c r="V933" t="str">
        <x:v>2027-04-09</x:v>
      </x:c>
      <x:c r="W933" t="str">
        <x:v>待核</x:v>
      </x:c>
      <x:c r="X933" t="str">
        <x:v>周末已解析；节假日需交易所对应年度日历核验，实际交易日待核</x:v>
      </x:c>
    </x:row>
    <x:row r="934" ht="23" customHeight="1">
      <x:c r="A934" s="11" t="str">
        <x:v>09961.HK</x:v>
      </x:c>
      <x:c r="B934" s="11" t="str">
        <x:v>半年</x:v>
      </x:c>
      <x:c r="C934" s="11" t="str">
        <x:v>乐观</x:v>
      </x:c>
      <x:c r="D934" s="11" t="str">
        <x:v>EPS</x:v>
      </x:c>
      <x:c r="E934" s="18" t="n">
        <x:v>36.28</x:v>
      </x:c>
      <x:c r="F934" s="18" t="n">
        <x:v>21</x:v>
      </x:c>
      <x:c r="G934" s="18" t="n">
        <x:v>1.1</x:v>
      </x:c>
      <x:c r="H934" s="18" t="n">
        <x:v>0</x:v>
      </x:c>
      <x:c r="I934" s="18"/>
      <x:c r="J934" s="20"/>
      <x:c r="K934" s="22"/>
      <x:c r="L934" s="11" t="str">
        <x:v>trip-normalized-ebit-penalty-v1.0</x:v>
      </x:c>
      <x:c r="M934" s="11" t="str">
        <x:v>2027-04-09</x:v>
      </x:c>
      <x:c r="O934" t="str">
        <x:v>CNY</x:v>
      </x:c>
      <x:c r="V934" t="str">
        <x:v>2027-04-09</x:v>
      </x:c>
      <x:c r="W934" t="str">
        <x:v>待核</x:v>
      </x:c>
      <x:c r="X934" t="str">
        <x:v>周末已解析；节假日需交易所对应年度日历核验，实际交易日待核</x:v>
      </x:c>
    </x:row>
    <x:row r="935" ht="23" customHeight="1">
      <x:c r="A935" s="15" t="str">
        <x:v>09961.HK</x:v>
      </x:c>
      <x:c r="B935" s="15" t="str">
        <x:v>一年</x:v>
      </x:c>
      <x:c r="C935" s="15" t="str">
        <x:v>活动输入</x:v>
      </x:c>
      <x:c r="D935" s="15" t="str">
        <x:v>EPS</x:v>
      </x:c>
      <x:c r="E935" s="17" t="n">
        <x:f>CHOOSE($B$3,E936,E937,E938)</x:f>
        <x:v>30</x:v>
      </x:c>
      <x:c r="F935" s="17" t="n">
        <x:f>CHOOSE($B$3,F936,F937,F938)</x:f>
        <x:v>16</x:v>
      </x:c>
      <x:c r="G935" s="17" t="n">
        <x:f>CHOOSE($B$3,G936,G937,G938)</x:f>
        <x:v>1.1</x:v>
      </x:c>
      <x:c r="H935" s="17" t="n">
        <x:f>CHOOSE($B$3,H936,H937,H938)</x:f>
        <x:v>1</x:v>
      </x:c>
      <x:c r="I935" s="17" t="str">
        <x:f>CHOOSE($B$3,I936,I937,I938)</x:f>
      </x:c>
      <x:c r="J935" s="19" t="str">
        <x:f>CHOOSE($B$3,J936,J937,J938)</x:f>
      </x:c>
      <x:c r="K935" s="21" t="str">
        <x:f>CHOOSE($B$3,K936,K937,K938)</x:f>
      </x:c>
      <x:c r="L935" s="15" t="str">
        <x:v>trip-normalized-ebit-penalty-v1.0</x:v>
      </x:c>
      <x:c r="M935" s="15" t="str">
        <x:v>2027-10-09</x:v>
      </x:c>
      <x:c r="O935" t="str">
        <x:v>CNY</x:v>
      </x:c>
      <x:c r="V935" t="str">
        <x:v>2027-10-08</x:v>
      </x:c>
      <x:c r="W935" t="str">
        <x:v>待核</x:v>
      </x:c>
      <x:c r="X935" t="str">
        <x:v>周末已解析；节假日需交易所对应年度日历核验，实际交易日待核</x:v>
      </x:c>
    </x:row>
    <x:row r="936" ht="23" customHeight="1">
      <x:c r="A936" s="11" t="str">
        <x:v>09961.HK</x:v>
      </x:c>
      <x:c r="B936" s="11" t="str">
        <x:v>一年</x:v>
      </x:c>
      <x:c r="C936" s="11" t="str">
        <x:v>悲观</x:v>
      </x:c>
      <x:c r="D936" s="11" t="str">
        <x:v>EPS</x:v>
      </x:c>
      <x:c r="E936" s="18" t="n">
        <x:v>17.01</x:v>
      </x:c>
      <x:c r="F936" s="18" t="n">
        <x:v>11</x:v>
      </x:c>
      <x:c r="G936" s="18" t="n">
        <x:v>1.1</x:v>
      </x:c>
      <x:c r="H936" s="18" t="n">
        <x:v>0</x:v>
      </x:c>
      <x:c r="I936" s="18"/>
      <x:c r="J936" s="20"/>
      <x:c r="K936" s="22"/>
      <x:c r="L936" s="11" t="str">
        <x:v>trip-normalized-ebit-penalty-v1.0</x:v>
      </x:c>
      <x:c r="M936" s="11" t="str">
        <x:v>2027-10-09</x:v>
      </x:c>
      <x:c r="O936" t="str">
        <x:v>CNY</x:v>
      </x:c>
      <x:c r="V936" t="str">
        <x:v>2027-10-08</x:v>
      </x:c>
      <x:c r="W936" t="str">
        <x:v>待核</x:v>
      </x:c>
      <x:c r="X936" t="str">
        <x:v>周末已解析；节假日需交易所对应年度日历核验，实际交易日待核</x:v>
      </x:c>
    </x:row>
    <x:row r="937" ht="23" customHeight="1">
      <x:c r="A937" s="11" t="str">
        <x:v>09961.HK</x:v>
      </x:c>
      <x:c r="B937" s="11" t="str">
        <x:v>一年</x:v>
      </x:c>
      <x:c r="C937" s="11" t="str">
        <x:v>基准</x:v>
      </x:c>
      <x:c r="D937" s="11" t="str">
        <x:v>EPS</x:v>
      </x:c>
      <x:c r="E937" s="18" t="n">
        <x:v>30</x:v>
      </x:c>
      <x:c r="F937" s="18" t="n">
        <x:v>16</x:v>
      </x:c>
      <x:c r="G937" s="18" t="n">
        <x:v>1.1</x:v>
      </x:c>
      <x:c r="H937" s="18" t="n">
        <x:v>1</x:v>
      </x:c>
      <x:c r="I937" s="18"/>
      <x:c r="J937" s="20"/>
      <x:c r="K937" s="22"/>
      <x:c r="L937" s="11" t="str">
        <x:v>trip-normalized-ebit-penalty-v1.0</x:v>
      </x:c>
      <x:c r="M937" s="11" t="str">
        <x:v>2027-10-09</x:v>
      </x:c>
      <x:c r="O937" t="str">
        <x:v>CNY</x:v>
      </x:c>
      <x:c r="V937" t="str">
        <x:v>2027-10-08</x:v>
      </x:c>
      <x:c r="W937" t="str">
        <x:v>待核</x:v>
      </x:c>
      <x:c r="X937" t="str">
        <x:v>周末已解析；节假日需交易所对应年度日历核验，实际交易日待核</x:v>
      </x:c>
    </x:row>
    <x:row r="938" ht="23" customHeight="1">
      <x:c r="A938" s="11" t="str">
        <x:v>09961.HK</x:v>
      </x:c>
      <x:c r="B938" s="11" t="str">
        <x:v>一年</x:v>
      </x:c>
      <x:c r="C938" s="11" t="str">
        <x:v>乐观</x:v>
      </x:c>
      <x:c r="D938" s="11" t="str">
        <x:v>EPS</x:v>
      </x:c>
      <x:c r="E938" s="18" t="n">
        <x:v>40.95</x:v>
      </x:c>
      <x:c r="F938" s="18" t="n">
        <x:v>21</x:v>
      </x:c>
      <x:c r="G938" s="18" t="n">
        <x:v>1.1</x:v>
      </x:c>
      <x:c r="H938" s="18" t="n">
        <x:v>2</x:v>
      </x:c>
      <x:c r="I938" s="18"/>
      <x:c r="J938" s="20"/>
      <x:c r="K938" s="22"/>
      <x:c r="L938" s="11" t="str">
        <x:v>trip-normalized-ebit-penalty-v1.0</x:v>
      </x:c>
      <x:c r="M938" s="11" t="str">
        <x:v>2027-10-09</x:v>
      </x:c>
      <x:c r="O938" t="str">
        <x:v>CNY</x:v>
      </x:c>
      <x:c r="V938" t="str">
        <x:v>2027-10-08</x:v>
      </x:c>
      <x:c r="W938" t="str">
        <x:v>待核</x:v>
      </x:c>
      <x:c r="X938" t="str">
        <x:v>周末已解析；节假日需交易所对应年度日历核验，实际交易日待核</x:v>
      </x:c>
    </x:row>
    <x:row r="939" ht="23" customHeight="1">
      <x:c r="A939" s="15" t="str">
        <x:v>09961.HK</x:v>
      </x:c>
      <x:c r="B939" s="15" t="str">
        <x:v>三年</x:v>
      </x:c>
      <x:c r="C939" s="15" t="str">
        <x:v>活动输入</x:v>
      </x:c>
      <x:c r="D939" s="15" t="str">
        <x:v>EPS</x:v>
      </x:c>
      <x:c r="E939" s="17" t="n">
        <x:f>CHOOSE($B$3,E940,E941,E942)</x:f>
        <x:v>39.16</x:v>
      </x:c>
      <x:c r="F939" s="17" t="n">
        <x:f>CHOOSE($B$3,F940,F941,F942)</x:f>
        <x:v>17</x:v>
      </x:c>
      <x:c r="G939" s="17" t="n">
        <x:f>CHOOSE($B$3,G940,G941,G942)</x:f>
        <x:v>1.1</x:v>
      </x:c>
      <x:c r="H939" s="17" t="n">
        <x:f>CHOOSE($B$3,H940,H941,H942)</x:f>
        <x:v>5</x:v>
      </x:c>
      <x:c r="I939" s="17" t="str">
        <x:f>CHOOSE($B$3,I940,I941,I942)</x:f>
      </x:c>
      <x:c r="J939" s="19" t="str">
        <x:f>CHOOSE($B$3,J940,J941,J942)</x:f>
      </x:c>
      <x:c r="K939" s="21" t="str">
        <x:f>CHOOSE($B$3,K940,K941,K942)</x:f>
      </x:c>
      <x:c r="L939" s="15" t="str">
        <x:v>trip-normalized-ebit-penalty-v1.0</x:v>
      </x:c>
      <x:c r="M939" s="15" t="str">
        <x:v>2029-10-09</x:v>
      </x:c>
      <x:c r="O939" t="str">
        <x:v>CNY</x:v>
      </x:c>
      <x:c r="V939" t="str">
        <x:v>2029-10-09</x:v>
      </x:c>
      <x:c r="W939" t="str">
        <x:v>待核</x:v>
      </x:c>
      <x:c r="X939" t="str">
        <x:v>周末已解析；节假日需交易所对应年度日历核验，实际交易日待核</x:v>
      </x:c>
    </x:row>
    <x:row r="940" ht="23" customHeight="1">
      <x:c r="A940" s="11" t="str">
        <x:v>09961.HK</x:v>
      </x:c>
      <x:c r="B940" s="11" t="str">
        <x:v>三年</x:v>
      </x:c>
      <x:c r="C940" s="11" t="str">
        <x:v>悲观</x:v>
      </x:c>
      <x:c r="D940" s="11" t="str">
        <x:v>EPS</x:v>
      </x:c>
      <x:c r="E940" s="18" t="n">
        <x:v>16.2</x:v>
      </x:c>
      <x:c r="F940" s="18" t="n">
        <x:v>10</x:v>
      </x:c>
      <x:c r="G940" s="18" t="n">
        <x:v>1.1</x:v>
      </x:c>
      <x:c r="H940" s="18" t="n">
        <x:v>0</x:v>
      </x:c>
      <x:c r="I940" s="18"/>
      <x:c r="J940" s="20"/>
      <x:c r="K940" s="22"/>
      <x:c r="L940" s="11" t="str">
        <x:v>trip-normalized-ebit-penalty-v1.0</x:v>
      </x:c>
      <x:c r="M940" s="11" t="str">
        <x:v>2029-10-09</x:v>
      </x:c>
      <x:c r="O940" t="str">
        <x:v>CNY</x:v>
      </x:c>
      <x:c r="V940" t="str">
        <x:v>2029-10-09</x:v>
      </x:c>
      <x:c r="W940" t="str">
        <x:v>待核</x:v>
      </x:c>
      <x:c r="X940" t="str">
        <x:v>周末已解析；节假日需交易所对应年度日历核验，实际交易日待核</x:v>
      </x:c>
    </x:row>
    <x:row r="941" ht="23" customHeight="1">
      <x:c r="A941" s="11" t="str">
        <x:v>09961.HK</x:v>
      </x:c>
      <x:c r="B941" s="11" t="str">
        <x:v>三年</x:v>
      </x:c>
      <x:c r="C941" s="11" t="str">
        <x:v>基准</x:v>
      </x:c>
      <x:c r="D941" s="11" t="str">
        <x:v>EPS</x:v>
      </x:c>
      <x:c r="E941" s="18" t="n">
        <x:v>39.16</x:v>
      </x:c>
      <x:c r="F941" s="18" t="n">
        <x:v>17</x:v>
      </x:c>
      <x:c r="G941" s="18" t="n">
        <x:v>1.1</x:v>
      </x:c>
      <x:c r="H941" s="18" t="n">
        <x:v>5</x:v>
      </x:c>
      <x:c r="I941" s="18"/>
      <x:c r="J941" s="20"/>
      <x:c r="K941" s="22"/>
      <x:c r="L941" s="11" t="str">
        <x:v>trip-normalized-ebit-penalty-v1.0</x:v>
      </x:c>
      <x:c r="M941" s="11" t="str">
        <x:v>2029-10-09</x:v>
      </x:c>
      <x:c r="O941" t="str">
        <x:v>CNY</x:v>
      </x:c>
      <x:c r="V941" t="str">
        <x:v>2029-10-09</x:v>
      </x:c>
      <x:c r="W941" t="str">
        <x:v>待核</x:v>
      </x:c>
      <x:c r="X941" t="str">
        <x:v>周末已解析；节假日需交易所对应年度日历核验，实际交易日待核</x:v>
      </x:c>
    </x:row>
    <x:row r="942" ht="23" customHeight="1">
      <x:c r="A942" s="11" t="str">
        <x:v>09961.HK</x:v>
      </x:c>
      <x:c r="B942" s="11" t="str">
        <x:v>三年</x:v>
      </x:c>
      <x:c r="C942" s="11" t="str">
        <x:v>乐观</x:v>
      </x:c>
      <x:c r="D942" s="11" t="str">
        <x:v>EPS</x:v>
      </x:c>
      <x:c r="E942" s="18" t="n">
        <x:v>63.71</x:v>
      </x:c>
      <x:c r="F942" s="18" t="n">
        <x:v>22</x:v>
      </x:c>
      <x:c r="G942" s="18" t="n">
        <x:v>1.1</x:v>
      </x:c>
      <x:c r="H942" s="18" t="n">
        <x:v>10</x:v>
      </x:c>
      <x:c r="I942" s="18"/>
      <x:c r="J942" s="20"/>
      <x:c r="K942" s="22"/>
      <x:c r="L942" s="11" t="str">
        <x:v>trip-normalized-ebit-penalty-v1.0</x:v>
      </x:c>
      <x:c r="M942" s="11" t="str">
        <x:v>2029-10-09</x:v>
      </x:c>
      <x:c r="O942" t="str">
        <x:v>CNY</x:v>
      </x:c>
      <x:c r="V942" t="str">
        <x:v>2029-10-09</x:v>
      </x:c>
      <x:c r="W942" t="str">
        <x:v>待核</x:v>
      </x:c>
      <x:c r="X942" t="str">
        <x:v>周末已解析；节假日需交易所对应年度日历核验，实际交易日待核</x:v>
      </x:c>
    </x:row>
    <x:row r="943" ht="23" customHeight="1">
      <x:c r="A943" s="15" t="str">
        <x:v>09961.HK</x:v>
      </x:c>
      <x:c r="B943" s="15" t="str">
        <x:v>五年</x:v>
      </x:c>
      <x:c r="C943" s="15" t="str">
        <x:v>活动输入</x:v>
      </x:c>
      <x:c r="D943" s="15" t="str">
        <x:v>EPS</x:v>
      </x:c>
      <x:c r="E943" s="17" t="n">
        <x:f>CHOOSE($B$3,E944,E945,E946)</x:f>
        <x:v>49.62</x:v>
      </x:c>
      <x:c r="F943" s="17" t="n">
        <x:f>CHOOSE($B$3,F944,F945,F946)</x:f>
        <x:v>16</x:v>
      </x:c>
      <x:c r="G943" s="17" t="n">
        <x:f>CHOOSE($B$3,G944,G945,G946)</x:f>
        <x:v>1.1</x:v>
      </x:c>
      <x:c r="H943" s="17" t="n">
        <x:f>CHOOSE($B$3,H944,H945,H946)</x:f>
        <x:v>10</x:v>
      </x:c>
      <x:c r="I943" s="17" t="str">
        <x:f>CHOOSE($B$3,I944,I945,I946)</x:f>
      </x:c>
      <x:c r="J943" s="19" t="str">
        <x:f>CHOOSE($B$3,J944,J945,J946)</x:f>
      </x:c>
      <x:c r="K943" s="21" t="str">
        <x:f>CHOOSE($B$3,K944,K945,K946)</x:f>
      </x:c>
      <x:c r="L943" s="15" t="str">
        <x:v>trip-normalized-ebit-penalty-v1.0</x:v>
      </x:c>
      <x:c r="M943" s="15" t="str">
        <x:v>2031-10-09</x:v>
      </x:c>
      <x:c r="O943" t="str">
        <x:v>CNY</x:v>
      </x:c>
      <x:c r="V943" t="str">
        <x:v>2031-10-09</x:v>
      </x:c>
      <x:c r="W943" t="str">
        <x:v>待核</x:v>
      </x:c>
      <x:c r="X943" t="str">
        <x:v>周末已解析；节假日需交易所对应年度日历核验，实际交易日待核</x:v>
      </x:c>
    </x:row>
    <x:row r="944" ht="23" customHeight="1">
      <x:c r="A944" s="11" t="str">
        <x:v>09961.HK</x:v>
      </x:c>
      <x:c r="B944" s="11" t="str">
        <x:v>五年</x:v>
      </x:c>
      <x:c r="C944" s="11" t="str">
        <x:v>悲观</x:v>
      </x:c>
      <x:c r="D944" s="11" t="str">
        <x:v>EPS</x:v>
      </x:c>
      <x:c r="E944" s="18" t="n">
        <x:v>14.48</x:v>
      </x:c>
      <x:c r="F944" s="18" t="n">
        <x:v>9</x:v>
      </x:c>
      <x:c r="G944" s="18" t="n">
        <x:v>1.1</x:v>
      </x:c>
      <x:c r="H944" s="18" t="n">
        <x:v>0</x:v>
      </x:c>
      <x:c r="I944" s="18"/>
      <x:c r="J944" s="20"/>
      <x:c r="K944" s="22"/>
      <x:c r="L944" s="11" t="str">
        <x:v>trip-normalized-ebit-penalty-v1.0</x:v>
      </x:c>
      <x:c r="M944" s="11" t="str">
        <x:v>2031-10-09</x:v>
      </x:c>
      <x:c r="O944" t="str">
        <x:v>CNY</x:v>
      </x:c>
      <x:c r="V944" t="str">
        <x:v>2031-10-09</x:v>
      </x:c>
      <x:c r="W944" t="str">
        <x:v>待核</x:v>
      </x:c>
      <x:c r="X944" t="str">
        <x:v>周末已解析；节假日需交易所对应年度日历核验，实际交易日待核</x:v>
      </x:c>
    </x:row>
    <x:row r="945" ht="23" customHeight="1">
      <x:c r="A945" s="11" t="str">
        <x:v>09961.HK</x:v>
      </x:c>
      <x:c r="B945" s="11" t="str">
        <x:v>五年</x:v>
      </x:c>
      <x:c r="C945" s="11" t="str">
        <x:v>基准</x:v>
      </x:c>
      <x:c r="D945" s="11" t="str">
        <x:v>EPS</x:v>
      </x:c>
      <x:c r="E945" s="18" t="n">
        <x:v>49.62</x:v>
      </x:c>
      <x:c r="F945" s="18" t="n">
        <x:v>16</x:v>
      </x:c>
      <x:c r="G945" s="18" t="n">
        <x:v>1.1</x:v>
      </x:c>
      <x:c r="H945" s="18" t="n">
        <x:v>10</x:v>
      </x:c>
      <x:c r="I945" s="18"/>
      <x:c r="J945" s="20"/>
      <x:c r="K945" s="22"/>
      <x:c r="L945" s="11" t="str">
        <x:v>trip-normalized-ebit-penalty-v1.0</x:v>
      </x:c>
      <x:c r="M945" s="11" t="str">
        <x:v>2031-10-09</x:v>
      </x:c>
      <x:c r="O945" t="str">
        <x:v>CNY</x:v>
      </x:c>
      <x:c r="V945" t="str">
        <x:v>2031-10-09</x:v>
      </x:c>
      <x:c r="W945" t="str">
        <x:v>待核</x:v>
      </x:c>
      <x:c r="X945" t="str">
        <x:v>周末已解析；节假日需交易所对应年度日历核验，实际交易日待核</x:v>
      </x:c>
    </x:row>
    <x:row r="946" ht="23" customHeight="1">
      <x:c r="A946" s="11" t="str">
        <x:v>09961.HK</x:v>
      </x:c>
      <x:c r="B946" s="11" t="str">
        <x:v>五年</x:v>
      </x:c>
      <x:c r="C946" s="11" t="str">
        <x:v>乐观</x:v>
      </x:c>
      <x:c r="D946" s="11" t="str">
        <x:v>EPS</x:v>
      </x:c>
      <x:c r="E946" s="18" t="n">
        <x:v>93.69</x:v>
      </x:c>
      <x:c r="F946" s="18" t="n">
        <x:v>21</x:v>
      </x:c>
      <x:c r="G946" s="18" t="n">
        <x:v>1.1</x:v>
      </x:c>
      <x:c r="H946" s="18" t="n">
        <x:v>20</x:v>
      </x:c>
      <x:c r="I946" s="18"/>
      <x:c r="J946" s="20"/>
      <x:c r="K946" s="22"/>
      <x:c r="L946" s="11" t="str">
        <x:v>trip-normalized-ebit-penalty-v1.0</x:v>
      </x:c>
      <x:c r="M946" s="11" t="str">
        <x:v>2031-10-09</x:v>
      </x:c>
      <x:c r="O946" t="str">
        <x:v>CNY</x:v>
      </x:c>
      <x:c r="V946" t="str">
        <x:v>2031-10-09</x:v>
      </x:c>
      <x:c r="W946" t="str">
        <x:v>待核</x:v>
      </x:c>
      <x:c r="X946" t="str">
        <x:v>周末已解析；节假日需交易所对应年度日历核验，实际交易日待核</x:v>
      </x:c>
    </x:row>
    <x:row r="947" ht="23" customHeight="1">
      <x:c r="A947" s="15" t="str">
        <x:v>603259.SH</x:v>
      </x:c>
      <x:c r="B947" s="15" t="str">
        <x:v>2026年底</x:v>
      </x:c>
      <x:c r="C947" s="15" t="str">
        <x:v>活动输入</x:v>
      </x:c>
      <x:c r="D947" s="15" t="str">
        <x:v>EPS</x:v>
      </x:c>
      <x:c r="E947" s="17" t="n">
        <x:f>CHOOSE($B$3,E948,E949,E950)</x:f>
        <x:v>8.2</x:v>
      </x:c>
      <x:c r="F947" s="17" t="n">
        <x:f>CHOOSE($B$3,F948,F949,F950)</x:f>
        <x:v>22</x:v>
      </x:c>
      <x:c r="G947" s="17" t="n">
        <x:f>CHOOSE($B$3,G948,G949,G950)</x:f>
        <x:v>1</x:v>
      </x:c>
      <x:c r="H947" s="17" t="n">
        <x:f>CHOOSE($B$3,H948,H949,H950)</x:f>
        <x:v>0</x:v>
      </x:c>
      <x:c r="I947" s="17" t="str">
        <x:f>CHOOSE($B$3,I948,I949,I950)</x:f>
      </x:c>
      <x:c r="J947" s="19" t="str">
        <x:f>CHOOSE($B$3,J948,J949,J950)</x:f>
      </x:c>
      <x:c r="K947" s="21" t="str">
        <x:f>CHOOSE($B$3,K948,K949,K950)</x:f>
      </x:c>
      <x:c r="L947" s="15" t="str">
        <x:v>wuxiapptec-normalized-adjusted-pe-v1.0</x:v>
      </x:c>
      <x:c r="M947" s="15" t="str">
        <x:v>2026-12-31</x:v>
      </x:c>
      <x:c r="O947" t="str">
        <x:v>CNY</x:v>
      </x:c>
      <x:c r="V947" t="str">
        <x:v>2026-12-31</x:v>
      </x:c>
      <x:c r="W947" t="str">
        <x:v>待核</x:v>
      </x:c>
      <x:c r="X947" t="str">
        <x:v>周末已解析；节假日需交易所对应年度日历核验，实际交易日待核</x:v>
      </x:c>
    </x:row>
    <x:row r="948" ht="23" customHeight="1">
      <x:c r="A948" s="11" t="str">
        <x:v>603259.SH</x:v>
      </x:c>
      <x:c r="B948" s="11" t="str">
        <x:v>2026年底</x:v>
      </x:c>
      <x:c r="C948" s="11" t="str">
        <x:v>悲观</x:v>
      </x:c>
      <x:c r="D948" s="11" t="str">
        <x:v>EPS</x:v>
      </x:c>
      <x:c r="E948" s="18" t="n">
        <x:v>6.7</x:v>
      </x:c>
      <x:c r="F948" s="18" t="n">
        <x:v>16</x:v>
      </x:c>
      <x:c r="G948" s="18" t="n">
        <x:v>1</x:v>
      </x:c>
      <x:c r="H948" s="18" t="n">
        <x:v>0</x:v>
      </x:c>
      <x:c r="I948" s="18"/>
      <x:c r="J948" s="20"/>
      <x:c r="K948" s="22"/>
      <x:c r="L948" s="11" t="str">
        <x:v>wuxiapptec-normalized-adjusted-pe-v1.0</x:v>
      </x:c>
      <x:c r="M948" s="11" t="str">
        <x:v>2026-12-31</x:v>
      </x:c>
      <x:c r="O948" t="str">
        <x:v>CNY</x:v>
      </x:c>
      <x:c r="V948" t="str">
        <x:v>2026-12-31</x:v>
      </x:c>
      <x:c r="W948" t="str">
        <x:v>待核</x:v>
      </x:c>
      <x:c r="X948" t="str">
        <x:v>周末已解析；节假日需交易所对应年度日历核验，实际交易日待核</x:v>
      </x:c>
    </x:row>
    <x:row r="949" ht="23" customHeight="1">
      <x:c r="A949" s="11" t="str">
        <x:v>603259.SH</x:v>
      </x:c>
      <x:c r="B949" s="11" t="str">
        <x:v>2026年底</x:v>
      </x:c>
      <x:c r="C949" s="11" t="str">
        <x:v>基准</x:v>
      </x:c>
      <x:c r="D949" s="11" t="str">
        <x:v>EPS</x:v>
      </x:c>
      <x:c r="E949" s="18" t="n">
        <x:v>8.2</x:v>
      </x:c>
      <x:c r="F949" s="18" t="n">
        <x:v>22</x:v>
      </x:c>
      <x:c r="G949" s="18" t="n">
        <x:v>1</x:v>
      </x:c>
      <x:c r="H949" s="18" t="n">
        <x:v>0</x:v>
      </x:c>
      <x:c r="I949" s="18"/>
      <x:c r="J949" s="20"/>
      <x:c r="K949" s="22"/>
      <x:c r="L949" s="11" t="str">
        <x:v>wuxiapptec-normalized-adjusted-pe-v1.0</x:v>
      </x:c>
      <x:c r="M949" s="11" t="str">
        <x:v>2026-12-31</x:v>
      </x:c>
      <x:c r="O949" t="str">
        <x:v>CNY</x:v>
      </x:c>
      <x:c r="V949" t="str">
        <x:v>2026-12-31</x:v>
      </x:c>
      <x:c r="W949" t="str">
        <x:v>待核</x:v>
      </x:c>
      <x:c r="X949" t="str">
        <x:v>周末已解析；节假日需交易所对应年度日历核验，实际交易日待核</x:v>
      </x:c>
    </x:row>
    <x:row r="950" ht="23" customHeight="1">
      <x:c r="A950" s="11" t="str">
        <x:v>603259.SH</x:v>
      </x:c>
      <x:c r="B950" s="11" t="str">
        <x:v>2026年底</x:v>
      </x:c>
      <x:c r="C950" s="11" t="str">
        <x:v>乐观</x:v>
      </x:c>
      <x:c r="D950" s="11" t="str">
        <x:v>EPS</x:v>
      </x:c>
      <x:c r="E950" s="18" t="n">
        <x:v>9.3</x:v>
      </x:c>
      <x:c r="F950" s="18" t="n">
        <x:v>29</x:v>
      </x:c>
      <x:c r="G950" s="18" t="n">
        <x:v>1</x:v>
      </x:c>
      <x:c r="H950" s="18" t="n">
        <x:v>0</x:v>
      </x:c>
      <x:c r="I950" s="18"/>
      <x:c r="J950" s="20"/>
      <x:c r="K950" s="22"/>
      <x:c r="L950" s="11" t="str">
        <x:v>wuxiapptec-normalized-adjusted-pe-v1.0</x:v>
      </x:c>
      <x:c r="M950" s="11" t="str">
        <x:v>2026-12-31</x:v>
      </x:c>
      <x:c r="O950" t="str">
        <x:v>CNY</x:v>
      </x:c>
      <x:c r="V950" t="str">
        <x:v>2026-12-31</x:v>
      </x:c>
      <x:c r="W950" t="str">
        <x:v>待核</x:v>
      </x:c>
      <x:c r="X950" t="str">
        <x:v>周末已解析；节假日需交易所对应年度日历核验，实际交易日待核</x:v>
      </x:c>
    </x:row>
    <x:row r="951" ht="23" customHeight="1">
      <x:c r="A951" s="15" t="str">
        <x:v>603259.SH</x:v>
      </x:c>
      <x:c r="B951" s="15" t="str">
        <x:v>半年</x:v>
      </x:c>
      <x:c r="C951" s="15" t="str">
        <x:v>活动输入</x:v>
      </x:c>
      <x:c r="D951" s="15" t="str">
        <x:v>EPS</x:v>
      </x:c>
      <x:c r="E951" s="17" t="n">
        <x:f>CHOOSE($B$3,E952,E953,E954)</x:f>
        <x:v>8.8</x:v>
      </x:c>
      <x:c r="F951" s="17" t="n">
        <x:f>CHOOSE($B$3,F952,F953,F954)</x:f>
        <x:v>23</x:v>
      </x:c>
      <x:c r="G951" s="17" t="n">
        <x:f>CHOOSE($B$3,G952,G953,G954)</x:f>
        <x:v>1</x:v>
      </x:c>
      <x:c r="H951" s="17" t="n">
        <x:f>CHOOSE($B$3,H952,H953,H954)</x:f>
        <x:v>0</x:v>
      </x:c>
      <x:c r="I951" s="17" t="str">
        <x:f>CHOOSE($B$3,I952,I953,I954)</x:f>
      </x:c>
      <x:c r="J951" s="19" t="str">
        <x:f>CHOOSE($B$3,J952,J953,J954)</x:f>
      </x:c>
      <x:c r="K951" s="21" t="str">
        <x:f>CHOOSE($B$3,K952,K953,K954)</x:f>
      </x:c>
      <x:c r="L951" s="15" t="str">
        <x:v>wuxiapptec-normalized-adjusted-pe-v1.0</x:v>
      </x:c>
      <x:c r="M951" s="15" t="str">
        <x:v>2027-04-09</x:v>
      </x:c>
      <x:c r="O951" t="str">
        <x:v>CNY</x:v>
      </x:c>
      <x:c r="V951" t="str">
        <x:v>2027-04-09</x:v>
      </x:c>
      <x:c r="W951" t="str">
        <x:v>待核</x:v>
      </x:c>
      <x:c r="X951" t="str">
        <x:v>周末已解析；节假日需交易所对应年度日历核验，实际交易日待核</x:v>
      </x:c>
    </x:row>
    <x:row r="952" ht="23" customHeight="1">
      <x:c r="A952" s="11" t="str">
        <x:v>603259.SH</x:v>
      </x:c>
      <x:c r="B952" s="11" t="str">
        <x:v>半年</x:v>
      </x:c>
      <x:c r="C952" s="11" t="str">
        <x:v>悲观</x:v>
      </x:c>
      <x:c r="D952" s="11" t="str">
        <x:v>EPS</x:v>
      </x:c>
      <x:c r="E952" s="18" t="n">
        <x:v>6.8</x:v>
      </x:c>
      <x:c r="F952" s="18" t="n">
        <x:v>17</x:v>
      </x:c>
      <x:c r="G952" s="18" t="n">
        <x:v>1</x:v>
      </x:c>
      <x:c r="H952" s="18" t="n">
        <x:v>0</x:v>
      </x:c>
      <x:c r="I952" s="18"/>
      <x:c r="J952" s="20"/>
      <x:c r="K952" s="22"/>
      <x:c r="L952" s="11" t="str">
        <x:v>wuxiapptec-normalized-adjusted-pe-v1.0</x:v>
      </x:c>
      <x:c r="M952" s="11" t="str">
        <x:v>2027-04-09</x:v>
      </x:c>
      <x:c r="O952" t="str">
        <x:v>CNY</x:v>
      </x:c>
      <x:c r="V952" t="str">
        <x:v>2027-04-09</x:v>
      </x:c>
      <x:c r="W952" t="str">
        <x:v>待核</x:v>
      </x:c>
      <x:c r="X952" t="str">
        <x:v>周末已解析；节假日需交易所对应年度日历核验，实际交易日待核</x:v>
      </x:c>
    </x:row>
    <x:row r="953" ht="23" customHeight="1">
      <x:c r="A953" s="11" t="str">
        <x:v>603259.SH</x:v>
      </x:c>
      <x:c r="B953" s="11" t="str">
        <x:v>半年</x:v>
      </x:c>
      <x:c r="C953" s="11" t="str">
        <x:v>基准</x:v>
      </x:c>
      <x:c r="D953" s="11" t="str">
        <x:v>EPS</x:v>
      </x:c>
      <x:c r="E953" s="18" t="n">
        <x:v>8.8</x:v>
      </x:c>
      <x:c r="F953" s="18" t="n">
        <x:v>23</x:v>
      </x:c>
      <x:c r="G953" s="18" t="n">
        <x:v>1</x:v>
      </x:c>
      <x:c r="H953" s="18" t="n">
        <x:v>0</x:v>
      </x:c>
      <x:c r="I953" s="18"/>
      <x:c r="J953" s="20"/>
      <x:c r="K953" s="22"/>
      <x:c r="L953" s="11" t="str">
        <x:v>wuxiapptec-normalized-adjusted-pe-v1.0</x:v>
      </x:c>
      <x:c r="M953" s="11" t="str">
        <x:v>2027-04-09</x:v>
      </x:c>
      <x:c r="O953" t="str">
        <x:v>CNY</x:v>
      </x:c>
      <x:c r="V953" t="str">
        <x:v>2027-04-09</x:v>
      </x:c>
      <x:c r="W953" t="str">
        <x:v>待核</x:v>
      </x:c>
      <x:c r="X953" t="str">
        <x:v>周末已解析；节假日需交易所对应年度日历核验，实际交易日待核</x:v>
      </x:c>
    </x:row>
    <x:row r="954" ht="23" customHeight="1">
      <x:c r="A954" s="11" t="str">
        <x:v>603259.SH</x:v>
      </x:c>
      <x:c r="B954" s="11" t="str">
        <x:v>半年</x:v>
      </x:c>
      <x:c r="C954" s="11" t="str">
        <x:v>乐观</x:v>
      </x:c>
      <x:c r="D954" s="11" t="str">
        <x:v>EPS</x:v>
      </x:c>
      <x:c r="E954" s="18" t="n">
        <x:v>10</x:v>
      </x:c>
      <x:c r="F954" s="18" t="n">
        <x:v>29</x:v>
      </x:c>
      <x:c r="G954" s="18" t="n">
        <x:v>1</x:v>
      </x:c>
      <x:c r="H954" s="18" t="n">
        <x:v>0</x:v>
      </x:c>
      <x:c r="I954" s="18"/>
      <x:c r="J954" s="20"/>
      <x:c r="K954" s="22"/>
      <x:c r="L954" s="11" t="str">
        <x:v>wuxiapptec-normalized-adjusted-pe-v1.0</x:v>
      </x:c>
      <x:c r="M954" s="11" t="str">
        <x:v>2027-04-09</x:v>
      </x:c>
      <x:c r="O954" t="str">
        <x:v>CNY</x:v>
      </x:c>
      <x:c r="V954" t="str">
        <x:v>2027-04-09</x:v>
      </x:c>
      <x:c r="W954" t="str">
        <x:v>待核</x:v>
      </x:c>
      <x:c r="X954" t="str">
        <x:v>周末已解析；节假日需交易所对应年度日历核验，实际交易日待核</x:v>
      </x:c>
    </x:row>
    <x:row r="955" ht="23" customHeight="1">
      <x:c r="A955" s="15" t="str">
        <x:v>603259.SH</x:v>
      </x:c>
      <x:c r="B955" s="15" t="str">
        <x:v>一年</x:v>
      </x:c>
      <x:c r="C955" s="15" t="str">
        <x:v>活动输入</x:v>
      </x:c>
      <x:c r="D955" s="15" t="str">
        <x:v>EPS</x:v>
      </x:c>
      <x:c r="E955" s="17" t="n">
        <x:f>CHOOSE($B$3,E956,E957,E958)</x:f>
        <x:v>9.5</x:v>
      </x:c>
      <x:c r="F955" s="17" t="n">
        <x:f>CHOOSE($B$3,F956,F957,F958)</x:f>
        <x:v>23</x:v>
      </x:c>
      <x:c r="G955" s="17" t="n">
        <x:f>CHOOSE($B$3,G956,G957,G958)</x:f>
        <x:v>1</x:v>
      </x:c>
      <x:c r="H955" s="17" t="n">
        <x:f>CHOOSE($B$3,H956,H957,H958)</x:f>
        <x:v>1.8</x:v>
      </x:c>
      <x:c r="I955" s="17" t="str">
        <x:f>CHOOSE($B$3,I956,I957,I958)</x:f>
      </x:c>
      <x:c r="J955" s="19" t="str">
        <x:f>CHOOSE($B$3,J956,J957,J958)</x:f>
      </x:c>
      <x:c r="K955" s="21" t="str">
        <x:f>CHOOSE($B$3,K956,K957,K958)</x:f>
      </x:c>
      <x:c r="L955" s="15" t="str">
        <x:v>wuxiapptec-normalized-adjusted-pe-v1.0</x:v>
      </x:c>
      <x:c r="M955" s="15" t="str">
        <x:v>2027-10-09</x:v>
      </x:c>
      <x:c r="O955" t="str">
        <x:v>CNY</x:v>
      </x:c>
      <x:c r="V955" t="str">
        <x:v>2027-10-08</x:v>
      </x:c>
      <x:c r="W955" t="str">
        <x:v>待核</x:v>
      </x:c>
      <x:c r="X955" t="str">
        <x:v>周末已解析；节假日需交易所对应年度日历核验，实际交易日待核</x:v>
      </x:c>
    </x:row>
    <x:row r="956" ht="23" customHeight="1">
      <x:c r="A956" s="11" t="str">
        <x:v>603259.SH</x:v>
      </x:c>
      <x:c r="B956" s="11" t="str">
        <x:v>一年</x:v>
      </x:c>
      <x:c r="C956" s="11" t="str">
        <x:v>悲观</x:v>
      </x:c>
      <x:c r="D956" s="11" t="str">
        <x:v>EPS</x:v>
      </x:c>
      <x:c r="E956" s="18" t="n">
        <x:v>7</x:v>
      </x:c>
      <x:c r="F956" s="18" t="n">
        <x:v>17</x:v>
      </x:c>
      <x:c r="G956" s="18" t="n">
        <x:v>1</x:v>
      </x:c>
      <x:c r="H956" s="18" t="n">
        <x:v>1.2</x:v>
      </x:c>
      <x:c r="I956" s="18"/>
      <x:c r="J956" s="20"/>
      <x:c r="K956" s="22"/>
      <x:c r="L956" s="11" t="str">
        <x:v>wuxiapptec-normalized-adjusted-pe-v1.0</x:v>
      </x:c>
      <x:c r="M956" s="11" t="str">
        <x:v>2027-10-09</x:v>
      </x:c>
      <x:c r="O956" t="str">
        <x:v>CNY</x:v>
      </x:c>
      <x:c r="V956" t="str">
        <x:v>2027-10-08</x:v>
      </x:c>
      <x:c r="W956" t="str">
        <x:v>待核</x:v>
      </x:c>
      <x:c r="X956" t="str">
        <x:v>周末已解析；节假日需交易所对应年度日历核验，实际交易日待核</x:v>
      </x:c>
    </x:row>
    <x:row r="957" ht="23" customHeight="1">
      <x:c r="A957" s="11" t="str">
        <x:v>603259.SH</x:v>
      </x:c>
      <x:c r="B957" s="11" t="str">
        <x:v>一年</x:v>
      </x:c>
      <x:c r="C957" s="11" t="str">
        <x:v>基准</x:v>
      </x:c>
      <x:c r="D957" s="11" t="str">
        <x:v>EPS</x:v>
      </x:c>
      <x:c r="E957" s="18" t="n">
        <x:v>9.5</x:v>
      </x:c>
      <x:c r="F957" s="18" t="n">
        <x:v>23</x:v>
      </x:c>
      <x:c r="G957" s="18" t="n">
        <x:v>1</x:v>
      </x:c>
      <x:c r="H957" s="18" t="n">
        <x:v>1.8</x:v>
      </x:c>
      <x:c r="I957" s="18"/>
      <x:c r="J957" s="20"/>
      <x:c r="K957" s="22"/>
      <x:c r="L957" s="11" t="str">
        <x:v>wuxiapptec-normalized-adjusted-pe-v1.0</x:v>
      </x:c>
      <x:c r="M957" s="11" t="str">
        <x:v>2027-10-09</x:v>
      </x:c>
      <x:c r="O957" t="str">
        <x:v>CNY</x:v>
      </x:c>
      <x:c r="V957" t="str">
        <x:v>2027-10-08</x:v>
      </x:c>
      <x:c r="W957" t="str">
        <x:v>待核</x:v>
      </x:c>
      <x:c r="X957" t="str">
        <x:v>周末已解析；节假日需交易所对应年度日历核验，实际交易日待核</x:v>
      </x:c>
    </x:row>
    <x:row r="958" ht="23" customHeight="1">
      <x:c r="A958" s="11" t="str">
        <x:v>603259.SH</x:v>
      </x:c>
      <x:c r="B958" s="11" t="str">
        <x:v>一年</x:v>
      </x:c>
      <x:c r="C958" s="11" t="str">
        <x:v>乐观</x:v>
      </x:c>
      <x:c r="D958" s="11" t="str">
        <x:v>EPS</x:v>
      </x:c>
      <x:c r="E958" s="18" t="n">
        <x:v>11.8</x:v>
      </x:c>
      <x:c r="F958" s="18" t="n">
        <x:v>30</x:v>
      </x:c>
      <x:c r="G958" s="18" t="n">
        <x:v>1</x:v>
      </x:c>
      <x:c r="H958" s="18" t="n">
        <x:v>2.3</x:v>
      </x:c>
      <x:c r="I958" s="18"/>
      <x:c r="J958" s="20"/>
      <x:c r="K958" s="22"/>
      <x:c r="L958" s="11" t="str">
        <x:v>wuxiapptec-normalized-adjusted-pe-v1.0</x:v>
      </x:c>
      <x:c r="M958" s="11" t="str">
        <x:v>2027-10-09</x:v>
      </x:c>
      <x:c r="O958" t="str">
        <x:v>CNY</x:v>
      </x:c>
      <x:c r="V958" t="str">
        <x:v>2027-10-08</x:v>
      </x:c>
      <x:c r="W958" t="str">
        <x:v>待核</x:v>
      </x:c>
      <x:c r="X958" t="str">
        <x:v>周末已解析；节假日需交易所对应年度日历核验，实际交易日待核</x:v>
      </x:c>
    </x:row>
    <x:row r="959" ht="23" customHeight="1">
      <x:c r="A959" s="15" t="str">
        <x:v>603259.SH</x:v>
      </x:c>
      <x:c r="B959" s="15" t="str">
        <x:v>三年</x:v>
      </x:c>
      <x:c r="C959" s="15" t="str">
        <x:v>活动输入</x:v>
      </x:c>
      <x:c r="D959" s="15" t="str">
        <x:v>EPS</x:v>
      </x:c>
      <x:c r="E959" s="17" t="n">
        <x:f>CHOOSE($B$3,E960,E961,E962)</x:f>
        <x:v>12.5</x:v>
      </x:c>
      <x:c r="F959" s="17" t="n">
        <x:f>CHOOSE($B$3,F960,F961,F962)</x:f>
        <x:v>22</x:v>
      </x:c>
      <x:c r="G959" s="17" t="n">
        <x:f>CHOOSE($B$3,G960,G961,G962)</x:f>
        <x:v>1</x:v>
      </x:c>
      <x:c r="H959" s="17" t="n">
        <x:f>CHOOSE($B$3,H960,H961,H962)</x:f>
        <x:v>7</x:v>
      </x:c>
      <x:c r="I959" s="17" t="str">
        <x:f>CHOOSE($B$3,I960,I961,I962)</x:f>
      </x:c>
      <x:c r="J959" s="19" t="str">
        <x:f>CHOOSE($B$3,J960,J961,J962)</x:f>
      </x:c>
      <x:c r="K959" s="21" t="str">
        <x:f>CHOOSE($B$3,K960,K961,K962)</x:f>
      </x:c>
      <x:c r="L959" s="15" t="str">
        <x:v>wuxiapptec-normalized-adjusted-pe-v1.0</x:v>
      </x:c>
      <x:c r="M959" s="15" t="str">
        <x:v>2029-10-09</x:v>
      </x:c>
      <x:c r="O959" t="str">
        <x:v>CNY</x:v>
      </x:c>
      <x:c r="V959" t="str">
        <x:v>2029-10-09</x:v>
      </x:c>
      <x:c r="W959" t="str">
        <x:v>待核</x:v>
      </x:c>
      <x:c r="X959" t="str">
        <x:v>周末已解析；节假日需交易所对应年度日历核验，实际交易日待核</x:v>
      </x:c>
    </x:row>
    <x:row r="960" ht="23" customHeight="1">
      <x:c r="A960" s="11" t="str">
        <x:v>603259.SH</x:v>
      </x:c>
      <x:c r="B960" s="11" t="str">
        <x:v>三年</x:v>
      </x:c>
      <x:c r="C960" s="11" t="str">
        <x:v>悲观</x:v>
      </x:c>
      <x:c r="D960" s="11" t="str">
        <x:v>EPS</x:v>
      </x:c>
      <x:c r="E960" s="18" t="n">
        <x:v>7.2</x:v>
      </x:c>
      <x:c r="F960" s="18" t="n">
        <x:v>15</x:v>
      </x:c>
      <x:c r="G960" s="18" t="n">
        <x:v>1</x:v>
      </x:c>
      <x:c r="H960" s="18" t="n">
        <x:v>4</x:v>
      </x:c>
      <x:c r="I960" s="18"/>
      <x:c r="J960" s="20"/>
      <x:c r="K960" s="22"/>
      <x:c r="L960" s="11" t="str">
        <x:v>wuxiapptec-normalized-adjusted-pe-v1.0</x:v>
      </x:c>
      <x:c r="M960" s="11" t="str">
        <x:v>2029-10-09</x:v>
      </x:c>
      <x:c r="O960" t="str">
        <x:v>CNY</x:v>
      </x:c>
      <x:c r="V960" t="str">
        <x:v>2029-10-09</x:v>
      </x:c>
      <x:c r="W960" t="str">
        <x:v>待核</x:v>
      </x:c>
      <x:c r="X960" t="str">
        <x:v>周末已解析；节假日需交易所对应年度日历核验，实际交易日待核</x:v>
      </x:c>
    </x:row>
    <x:row r="961" ht="23" customHeight="1">
      <x:c r="A961" s="11" t="str">
        <x:v>603259.SH</x:v>
      </x:c>
      <x:c r="B961" s="11" t="str">
        <x:v>三年</x:v>
      </x:c>
      <x:c r="C961" s="11" t="str">
        <x:v>基准</x:v>
      </x:c>
      <x:c r="D961" s="11" t="str">
        <x:v>EPS</x:v>
      </x:c>
      <x:c r="E961" s="18" t="n">
        <x:v>12.5</x:v>
      </x:c>
      <x:c r="F961" s="18" t="n">
        <x:v>22</x:v>
      </x:c>
      <x:c r="G961" s="18" t="n">
        <x:v>1</x:v>
      </x:c>
      <x:c r="H961" s="18" t="n">
        <x:v>7</x:v>
      </x:c>
      <x:c r="I961" s="18"/>
      <x:c r="J961" s="20"/>
      <x:c r="K961" s="22"/>
      <x:c r="L961" s="11" t="str">
        <x:v>wuxiapptec-normalized-adjusted-pe-v1.0</x:v>
      </x:c>
      <x:c r="M961" s="11" t="str">
        <x:v>2029-10-09</x:v>
      </x:c>
      <x:c r="O961" t="str">
        <x:v>CNY</x:v>
      </x:c>
      <x:c r="V961" t="str">
        <x:v>2029-10-09</x:v>
      </x:c>
      <x:c r="W961" t="str">
        <x:v>待核</x:v>
      </x:c>
      <x:c r="X961" t="str">
        <x:v>周末已解析；节假日需交易所对应年度日历核验，实际交易日待核</x:v>
      </x:c>
    </x:row>
    <x:row r="962" ht="23" customHeight="1">
      <x:c r="A962" s="11" t="str">
        <x:v>603259.SH</x:v>
      </x:c>
      <x:c r="B962" s="11" t="str">
        <x:v>三年</x:v>
      </x:c>
      <x:c r="C962" s="11" t="str">
        <x:v>乐观</x:v>
      </x:c>
      <x:c r="D962" s="11" t="str">
        <x:v>EPS</x:v>
      </x:c>
      <x:c r="E962" s="18" t="n">
        <x:v>17.5</x:v>
      </x:c>
      <x:c r="F962" s="18" t="n">
        <x:v>28</x:v>
      </x:c>
      <x:c r="G962" s="18" t="n">
        <x:v>1</x:v>
      </x:c>
      <x:c r="H962" s="18" t="n">
        <x:v>10</x:v>
      </x:c>
      <x:c r="I962" s="18"/>
      <x:c r="J962" s="20"/>
      <x:c r="K962" s="22"/>
      <x:c r="L962" s="11" t="str">
        <x:v>wuxiapptec-normalized-adjusted-pe-v1.0</x:v>
      </x:c>
      <x:c r="M962" s="11" t="str">
        <x:v>2029-10-09</x:v>
      </x:c>
      <x:c r="O962" t="str">
        <x:v>CNY</x:v>
      </x:c>
      <x:c r="V962" t="str">
        <x:v>2029-10-09</x:v>
      </x:c>
      <x:c r="W962" t="str">
        <x:v>待核</x:v>
      </x:c>
      <x:c r="X962" t="str">
        <x:v>周末已解析；节假日需交易所对应年度日历核验，实际交易日待核</x:v>
      </x:c>
    </x:row>
    <x:row r="963" ht="23" customHeight="1">
      <x:c r="A963" s="15" t="str">
        <x:v>603259.SH</x:v>
      </x:c>
      <x:c r="B963" s="15" t="str">
        <x:v>五年</x:v>
      </x:c>
      <x:c r="C963" s="15" t="str">
        <x:v>活动输入</x:v>
      </x:c>
      <x:c r="D963" s="15" t="str">
        <x:v>EPS</x:v>
      </x:c>
      <x:c r="E963" s="17" t="n">
        <x:f>CHOOSE($B$3,E964,E965,E966)</x:f>
        <x:v>15.5</x:v>
      </x:c>
      <x:c r="F963" s="17" t="n">
        <x:f>CHOOSE($B$3,F964,F965,F966)</x:f>
        <x:v>20</x:v>
      </x:c>
      <x:c r="G963" s="17" t="n">
        <x:f>CHOOSE($B$3,G964,G965,G966)</x:f>
        <x:v>1</x:v>
      </x:c>
      <x:c r="H963" s="17" t="n">
        <x:f>CHOOSE($B$3,H964,H965,H966)</x:f>
        <x:v>14</x:v>
      </x:c>
      <x:c r="I963" s="17" t="str">
        <x:f>CHOOSE($B$3,I964,I965,I966)</x:f>
      </x:c>
      <x:c r="J963" s="19" t="str">
        <x:f>CHOOSE($B$3,J964,J965,J966)</x:f>
      </x:c>
      <x:c r="K963" s="21" t="str">
        <x:f>CHOOSE($B$3,K964,K965,K966)</x:f>
      </x:c>
      <x:c r="L963" s="15" t="str">
        <x:v>wuxiapptec-normalized-adjusted-pe-v1.0</x:v>
      </x:c>
      <x:c r="M963" s="15" t="str">
        <x:v>2031-10-09</x:v>
      </x:c>
      <x:c r="O963" t="str">
        <x:v>CNY</x:v>
      </x:c>
      <x:c r="V963" t="str">
        <x:v>2031-10-09</x:v>
      </x:c>
      <x:c r="W963" t="str">
        <x:v>待核</x:v>
      </x:c>
      <x:c r="X963" t="str">
        <x:v>周末已解析；节假日需交易所对应年度日历核验，实际交易日待核</x:v>
      </x:c>
    </x:row>
    <x:row r="964" ht="23" customHeight="1">
      <x:c r="A964" s="11" t="str">
        <x:v>603259.SH</x:v>
      </x:c>
      <x:c r="B964" s="11" t="str">
        <x:v>五年</x:v>
      </x:c>
      <x:c r="C964" s="11" t="str">
        <x:v>悲观</x:v>
      </x:c>
      <x:c r="D964" s="11" t="str">
        <x:v>EPS</x:v>
      </x:c>
      <x:c r="E964" s="18" t="n">
        <x:v>7.5</x:v>
      </x:c>
      <x:c r="F964" s="18" t="n">
        <x:v>14</x:v>
      </x:c>
      <x:c r="G964" s="18" t="n">
        <x:v>1</x:v>
      </x:c>
      <x:c r="H964" s="18" t="n">
        <x:v>7</x:v>
      </x:c>
      <x:c r="I964" s="18"/>
      <x:c r="J964" s="20"/>
      <x:c r="K964" s="22"/>
      <x:c r="L964" s="11" t="str">
        <x:v>wuxiapptec-normalized-adjusted-pe-v1.0</x:v>
      </x:c>
      <x:c r="M964" s="11" t="str">
        <x:v>2031-10-09</x:v>
      </x:c>
      <x:c r="O964" t="str">
        <x:v>CNY</x:v>
      </x:c>
      <x:c r="V964" t="str">
        <x:v>2031-10-09</x:v>
      </x:c>
      <x:c r="W964" t="str">
        <x:v>待核</x:v>
      </x:c>
      <x:c r="X964" t="str">
        <x:v>周末已解析；节假日需交易所对应年度日历核验，实际交易日待核</x:v>
      </x:c>
    </x:row>
    <x:row r="965" ht="23" customHeight="1">
      <x:c r="A965" s="11" t="str">
        <x:v>603259.SH</x:v>
      </x:c>
      <x:c r="B965" s="11" t="str">
        <x:v>五年</x:v>
      </x:c>
      <x:c r="C965" s="11" t="str">
        <x:v>基准</x:v>
      </x:c>
      <x:c r="D965" s="11" t="str">
        <x:v>EPS</x:v>
      </x:c>
      <x:c r="E965" s="18" t="n">
        <x:v>15.5</x:v>
      </x:c>
      <x:c r="F965" s="18" t="n">
        <x:v>20</x:v>
      </x:c>
      <x:c r="G965" s="18" t="n">
        <x:v>1</x:v>
      </x:c>
      <x:c r="H965" s="18" t="n">
        <x:v>14</x:v>
      </x:c>
      <x:c r="I965" s="18"/>
      <x:c r="J965" s="20"/>
      <x:c r="K965" s="22"/>
      <x:c r="L965" s="11" t="str">
        <x:v>wuxiapptec-normalized-adjusted-pe-v1.0</x:v>
      </x:c>
      <x:c r="M965" s="11" t="str">
        <x:v>2031-10-09</x:v>
      </x:c>
      <x:c r="O965" t="str">
        <x:v>CNY</x:v>
      </x:c>
      <x:c r="V965" t="str">
        <x:v>2031-10-09</x:v>
      </x:c>
      <x:c r="W965" t="str">
        <x:v>待核</x:v>
      </x:c>
      <x:c r="X965" t="str">
        <x:v>周末已解析；节假日需交易所对应年度日历核验，实际交易日待核</x:v>
      </x:c>
    </x:row>
    <x:row r="966" ht="23" customHeight="1">
      <x:c r="A966" s="11" t="str">
        <x:v>603259.SH</x:v>
      </x:c>
      <x:c r="B966" s="11" t="str">
        <x:v>五年</x:v>
      </x:c>
      <x:c r="C966" s="11" t="str">
        <x:v>乐观</x:v>
      </x:c>
      <x:c r="D966" s="11" t="str">
        <x:v>EPS</x:v>
      </x:c>
      <x:c r="E966" s="18" t="n">
        <x:v>24</x:v>
      </x:c>
      <x:c r="F966" s="18" t="n">
        <x:v>27</x:v>
      </x:c>
      <x:c r="G966" s="18" t="n">
        <x:v>1</x:v>
      </x:c>
      <x:c r="H966" s="18" t="n">
        <x:v>21</x:v>
      </x:c>
      <x:c r="I966" s="18"/>
      <x:c r="J966" s="20"/>
      <x:c r="K966" s="22"/>
      <x:c r="L966" s="11" t="str">
        <x:v>wuxiapptec-normalized-adjusted-pe-v1.0</x:v>
      </x:c>
      <x:c r="M966" s="11" t="str">
        <x:v>2031-10-09</x:v>
      </x:c>
      <x:c r="O966" t="str">
        <x:v>CNY</x:v>
      </x:c>
      <x:c r="V966" t="str">
        <x:v>2031-10-09</x:v>
      </x:c>
      <x:c r="W966" t="str">
        <x:v>待核</x:v>
      </x:c>
      <x:c r="X966" t="str">
        <x:v>周末已解析；节假日需交易所对应年度日历核验，实际交易日待核</x:v>
      </x:c>
    </x:row>
    <x:row r="967" ht="23" customHeight="1">
      <x:c r="A967" s="15" t="str">
        <x:v>02359.HK</x:v>
      </x:c>
      <x:c r="B967" s="15" t="str">
        <x:v>2026年底</x:v>
      </x:c>
      <x:c r="C967" s="15" t="str">
        <x:v>活动输入</x:v>
      </x:c>
      <x:c r="D967" s="15" t="str">
        <x:v>EPS</x:v>
      </x:c>
      <x:c r="E967" s="17" t="n">
        <x:f>CHOOSE($B$3,E968,E969,E970)</x:f>
        <x:v>8.2</x:v>
      </x:c>
      <x:c r="F967" s="17" t="n">
        <x:f>CHOOSE($B$3,F968,F969,F970)</x:f>
        <x:v>24</x:v>
      </x:c>
      <x:c r="G967" s="17" t="n">
        <x:f>CHOOSE($B$3,G968,G969,G970)</x:f>
        <x:v>1.1</x:v>
      </x:c>
      <x:c r="H967" s="17" t="n">
        <x:f>CHOOSE($B$3,H968,H969,H970)</x:f>
        <x:v>0</x:v>
      </x:c>
      <x:c r="I967" s="17" t="n">
        <x:f>CHOOSE($B$3,I968,I969,I970)</x:f>
        <x:v>0</x:v>
      </x:c>
      <x:c r="J967" s="19" t="n">
        <x:f>CHOOSE($B$3,J968,J969,J970)</x:f>
        <x:v>0</x:v>
      </x:c>
      <x:c r="K967" s="21" t="str">
        <x:f>CHOOSE($B$3,K968,K969,K970)</x:f>
      </x:c>
      <x:c r="L967" s="15" t="str">
        <x:v>wuxiapptec-normalized-adjusted-pe-v1.0</x:v>
      </x:c>
      <x:c r="M967" s="15" t="str">
        <x:v>2026-12-31</x:v>
      </x:c>
      <x:c r="O967" t="str">
        <x:v>CNY</x:v>
      </x:c>
      <x:c r="V967" t="str">
        <x:v>2026-12-31</x:v>
      </x:c>
      <x:c r="W967" t="str">
        <x:v>待核</x:v>
      </x:c>
      <x:c r="X967" t="str">
        <x:v>周末已解析；节假日需交易所对应年度日历核验，实际交易日待核</x:v>
      </x:c>
    </x:row>
    <x:row r="968" ht="23" customHeight="1">
      <x:c r="A968" s="11" t="str">
        <x:v>02359.HK</x:v>
      </x:c>
      <x:c r="B968" s="11" t="str">
        <x:v>2026年底</x:v>
      </x:c>
      <x:c r="C968" s="11" t="str">
        <x:v>悲观</x:v>
      </x:c>
      <x:c r="D968" s="11" t="str">
        <x:v>EPS</x:v>
      </x:c>
      <x:c r="E968" s="18" t="n">
        <x:f>E948</x:f>
        <x:v>6.7</x:v>
      </x:c>
      <x:c r="F968" s="18" t="n">
        <x:v>17</x:v>
      </x:c>
      <x:c r="G968" s="18" t="n">
        <x:v>1.1</x:v>
      </x:c>
      <x:c r="H968" s="18" t="n">
        <x:v>0</x:v>
      </x:c>
      <x:c r="I968" s="18" t="n">
        <x:f>I948</x:f>
        <x:v>0</x:v>
      </x:c>
      <x:c r="J968" s="20" t="n">
        <x:f>J948</x:f>
        <x:v>0</x:v>
      </x:c>
      <x:c r="K968" s="22" t="n">
        <x:f>K948</x:f>
        <x:v>0</x:v>
      </x:c>
      <x:c r="L968" s="11" t="str">
        <x:v>wuxiapptec-normalized-adjusted-pe-v1.0</x:v>
      </x:c>
      <x:c r="M968" s="11" t="str">
        <x:v>2026-12-31</x:v>
      </x:c>
      <x:c r="O968" t="str">
        <x:v>CNY</x:v>
      </x:c>
      <x:c r="V968" t="str">
        <x:v>2026-12-31</x:v>
      </x:c>
      <x:c r="W968" t="str">
        <x:v>待核</x:v>
      </x:c>
      <x:c r="X968" t="str">
        <x:v>周末已解析；节假日需交易所对应年度日历核验，实际交易日待核</x:v>
      </x:c>
    </x:row>
    <x:row r="969" ht="23" customHeight="1">
      <x:c r="A969" s="11" t="str">
        <x:v>02359.HK</x:v>
      </x:c>
      <x:c r="B969" s="11" t="str">
        <x:v>2026年底</x:v>
      </x:c>
      <x:c r="C969" s="11" t="str">
        <x:v>基准</x:v>
      </x:c>
      <x:c r="D969" s="11" t="str">
        <x:v>EPS</x:v>
      </x:c>
      <x:c r="E969" s="18" t="n">
        <x:f>E949</x:f>
        <x:v>8.2</x:v>
      </x:c>
      <x:c r="F969" s="18" t="n">
        <x:v>24</x:v>
      </x:c>
      <x:c r="G969" s="18" t="n">
        <x:v>1.1</x:v>
      </x:c>
      <x:c r="H969" s="18" t="n">
        <x:v>0</x:v>
      </x:c>
      <x:c r="I969" s="18" t="n">
        <x:f>I949</x:f>
        <x:v>0</x:v>
      </x:c>
      <x:c r="J969" s="20" t="n">
        <x:f>J949</x:f>
        <x:v>0</x:v>
      </x:c>
      <x:c r="K969" s="22" t="n">
        <x:f>K949</x:f>
        <x:v>0</x:v>
      </x:c>
      <x:c r="L969" s="11" t="str">
        <x:v>wuxiapptec-normalized-adjusted-pe-v1.0</x:v>
      </x:c>
      <x:c r="M969" s="11" t="str">
        <x:v>2026-12-31</x:v>
      </x:c>
      <x:c r="O969" t="str">
        <x:v>CNY</x:v>
      </x:c>
      <x:c r="V969" t="str">
        <x:v>2026-12-31</x:v>
      </x:c>
      <x:c r="W969" t="str">
        <x:v>待核</x:v>
      </x:c>
      <x:c r="X969" t="str">
        <x:v>周末已解析；节假日需交易所对应年度日历核验，实际交易日待核</x:v>
      </x:c>
    </x:row>
    <x:row r="970" ht="23" customHeight="1">
      <x:c r="A970" s="11" t="str">
        <x:v>02359.HK</x:v>
      </x:c>
      <x:c r="B970" s="11" t="str">
        <x:v>2026年底</x:v>
      </x:c>
      <x:c r="C970" s="11" t="str">
        <x:v>乐观</x:v>
      </x:c>
      <x:c r="D970" s="11" t="str">
        <x:v>EPS</x:v>
      </x:c>
      <x:c r="E970" s="18" t="n">
        <x:f>E950</x:f>
        <x:v>9.3</x:v>
      </x:c>
      <x:c r="F970" s="18" t="n">
        <x:v>30</x:v>
      </x:c>
      <x:c r="G970" s="18" t="n">
        <x:v>1.1</x:v>
      </x:c>
      <x:c r="H970" s="18" t="n">
        <x:v>0</x:v>
      </x:c>
      <x:c r="I970" s="18" t="n">
        <x:f>I950</x:f>
        <x:v>0</x:v>
      </x:c>
      <x:c r="J970" s="20" t="n">
        <x:f>J950</x:f>
        <x:v>0</x:v>
      </x:c>
      <x:c r="K970" s="22" t="n">
        <x:f>K950</x:f>
        <x:v>0</x:v>
      </x:c>
      <x:c r="L970" s="11" t="str">
        <x:v>wuxiapptec-normalized-adjusted-pe-v1.0</x:v>
      </x:c>
      <x:c r="M970" s="11" t="str">
        <x:v>2026-12-31</x:v>
      </x:c>
      <x:c r="O970" t="str">
        <x:v>CNY</x:v>
      </x:c>
      <x:c r="V970" t="str">
        <x:v>2026-12-31</x:v>
      </x:c>
      <x:c r="W970" t="str">
        <x:v>待核</x:v>
      </x:c>
      <x:c r="X970" t="str">
        <x:v>周末已解析；节假日需交易所对应年度日历核验，实际交易日待核</x:v>
      </x:c>
    </x:row>
    <x:row r="971" ht="23" customHeight="1">
      <x:c r="A971" s="15" t="str">
        <x:v>02359.HK</x:v>
      </x:c>
      <x:c r="B971" s="15" t="str">
        <x:v>半年</x:v>
      </x:c>
      <x:c r="C971" s="15" t="str">
        <x:v>活动输入</x:v>
      </x:c>
      <x:c r="D971" s="15" t="str">
        <x:v>EPS</x:v>
      </x:c>
      <x:c r="E971" s="17" t="n">
        <x:f>CHOOSE($B$3,E972,E973,E974)</x:f>
        <x:v>8.8</x:v>
      </x:c>
      <x:c r="F971" s="17" t="n">
        <x:f>CHOOSE($B$3,F972,F973,F974)</x:f>
        <x:v>25</x:v>
      </x:c>
      <x:c r="G971" s="17" t="n">
        <x:f>CHOOSE($B$3,G972,G973,G974)</x:f>
        <x:v>1.1</x:v>
      </x:c>
      <x:c r="H971" s="17" t="n">
        <x:f>CHOOSE($B$3,H972,H973,H974)</x:f>
        <x:v>0</x:v>
      </x:c>
      <x:c r="I971" s="17" t="n">
        <x:f>CHOOSE($B$3,I972,I973,I974)</x:f>
        <x:v>0</x:v>
      </x:c>
      <x:c r="J971" s="19" t="n">
        <x:f>CHOOSE($B$3,J972,J973,J974)</x:f>
        <x:v>0</x:v>
      </x:c>
      <x:c r="K971" s="21" t="str">
        <x:f>CHOOSE($B$3,K972,K973,K974)</x:f>
      </x:c>
      <x:c r="L971" s="15" t="str">
        <x:v>wuxiapptec-normalized-adjusted-pe-v1.0</x:v>
      </x:c>
      <x:c r="M971" s="15" t="str">
        <x:v>2027-04-09</x:v>
      </x:c>
      <x:c r="O971" t="str">
        <x:v>CNY</x:v>
      </x:c>
      <x:c r="V971" t="str">
        <x:v>2027-04-09</x:v>
      </x:c>
      <x:c r="W971" t="str">
        <x:v>待核</x:v>
      </x:c>
      <x:c r="X971" t="str">
        <x:v>周末已解析；节假日需交易所对应年度日历核验，实际交易日待核</x:v>
      </x:c>
    </x:row>
    <x:row r="972" ht="23" customHeight="1">
      <x:c r="A972" s="11" t="str">
        <x:v>02359.HK</x:v>
      </x:c>
      <x:c r="B972" s="11" t="str">
        <x:v>半年</x:v>
      </x:c>
      <x:c r="C972" s="11" t="str">
        <x:v>悲观</x:v>
      </x:c>
      <x:c r="D972" s="11" t="str">
        <x:v>EPS</x:v>
      </x:c>
      <x:c r="E972" s="18" t="n">
        <x:f>E952</x:f>
        <x:v>6.8</x:v>
      </x:c>
      <x:c r="F972" s="18" t="n">
        <x:v>18</x:v>
      </x:c>
      <x:c r="G972" s="18" t="n">
        <x:v>1.1</x:v>
      </x:c>
      <x:c r="H972" s="18" t="n">
        <x:v>0</x:v>
      </x:c>
      <x:c r="I972" s="18" t="n">
        <x:f>I952</x:f>
        <x:v>0</x:v>
      </x:c>
      <x:c r="J972" s="20" t="n">
        <x:f>J952</x:f>
        <x:v>0</x:v>
      </x:c>
      <x:c r="K972" s="22" t="n">
        <x:f>K952</x:f>
        <x:v>0</x:v>
      </x:c>
      <x:c r="L972" s="11" t="str">
        <x:v>wuxiapptec-normalized-adjusted-pe-v1.0</x:v>
      </x:c>
      <x:c r="M972" s="11" t="str">
        <x:v>2027-04-09</x:v>
      </x:c>
      <x:c r="O972" t="str">
        <x:v>CNY</x:v>
      </x:c>
      <x:c r="V972" t="str">
        <x:v>2027-04-09</x:v>
      </x:c>
      <x:c r="W972" t="str">
        <x:v>待核</x:v>
      </x:c>
      <x:c r="X972" t="str">
        <x:v>周末已解析；节假日需交易所对应年度日历核验，实际交易日待核</x:v>
      </x:c>
    </x:row>
    <x:row r="973" ht="23" customHeight="1">
      <x:c r="A973" s="11" t="str">
        <x:v>02359.HK</x:v>
      </x:c>
      <x:c r="B973" s="11" t="str">
        <x:v>半年</x:v>
      </x:c>
      <x:c r="C973" s="11" t="str">
        <x:v>基准</x:v>
      </x:c>
      <x:c r="D973" s="11" t="str">
        <x:v>EPS</x:v>
      </x:c>
      <x:c r="E973" s="18" t="n">
        <x:f>E953</x:f>
        <x:v>8.8</x:v>
      </x:c>
      <x:c r="F973" s="18" t="n">
        <x:v>25</x:v>
      </x:c>
      <x:c r="G973" s="18" t="n">
        <x:v>1.1</x:v>
      </x:c>
      <x:c r="H973" s="18" t="n">
        <x:v>0</x:v>
      </x:c>
      <x:c r="I973" s="18" t="n">
        <x:f>I953</x:f>
        <x:v>0</x:v>
      </x:c>
      <x:c r="J973" s="20" t="n">
        <x:f>J953</x:f>
        <x:v>0</x:v>
      </x:c>
      <x:c r="K973" s="22" t="n">
        <x:f>K953</x:f>
        <x:v>0</x:v>
      </x:c>
      <x:c r="L973" s="11" t="str">
        <x:v>wuxiapptec-normalized-adjusted-pe-v1.0</x:v>
      </x:c>
      <x:c r="M973" s="11" t="str">
        <x:v>2027-04-09</x:v>
      </x:c>
      <x:c r="O973" t="str">
        <x:v>CNY</x:v>
      </x:c>
      <x:c r="V973" t="str">
        <x:v>2027-04-09</x:v>
      </x:c>
      <x:c r="W973" t="str">
        <x:v>待核</x:v>
      </x:c>
      <x:c r="X973" t="str">
        <x:v>周末已解析；节假日需交易所对应年度日历核验，实际交易日待核</x:v>
      </x:c>
    </x:row>
    <x:row r="974" ht="23" customHeight="1">
      <x:c r="A974" s="11" t="str">
        <x:v>02359.HK</x:v>
      </x:c>
      <x:c r="B974" s="11" t="str">
        <x:v>半年</x:v>
      </x:c>
      <x:c r="C974" s="11" t="str">
        <x:v>乐观</x:v>
      </x:c>
      <x:c r="D974" s="11" t="str">
        <x:v>EPS</x:v>
      </x:c>
      <x:c r="E974" s="18" t="n">
        <x:f>E954</x:f>
        <x:v>10</x:v>
      </x:c>
      <x:c r="F974" s="18" t="n">
        <x:v>31</x:v>
      </x:c>
      <x:c r="G974" s="18" t="n">
        <x:v>1.1</x:v>
      </x:c>
      <x:c r="H974" s="18" t="n">
        <x:v>0</x:v>
      </x:c>
      <x:c r="I974" s="18" t="n">
        <x:f>I954</x:f>
        <x:v>0</x:v>
      </x:c>
      <x:c r="J974" s="20" t="n">
        <x:f>J954</x:f>
        <x:v>0</x:v>
      </x:c>
      <x:c r="K974" s="22" t="n">
        <x:f>K954</x:f>
        <x:v>0</x:v>
      </x:c>
      <x:c r="L974" s="11" t="str">
        <x:v>wuxiapptec-normalized-adjusted-pe-v1.0</x:v>
      </x:c>
      <x:c r="M974" s="11" t="str">
        <x:v>2027-04-09</x:v>
      </x:c>
      <x:c r="O974" t="str">
        <x:v>CNY</x:v>
      </x:c>
      <x:c r="V974" t="str">
        <x:v>2027-04-09</x:v>
      </x:c>
      <x:c r="W974" t="str">
        <x:v>待核</x:v>
      </x:c>
      <x:c r="X974" t="str">
        <x:v>周末已解析；节假日需交易所对应年度日历核验，实际交易日待核</x:v>
      </x:c>
    </x:row>
    <x:row r="975" ht="23" customHeight="1">
      <x:c r="A975" s="15" t="str">
        <x:v>02359.HK</x:v>
      </x:c>
      <x:c r="B975" s="15" t="str">
        <x:v>一年</x:v>
      </x:c>
      <x:c r="C975" s="15" t="str">
        <x:v>活动输入</x:v>
      </x:c>
      <x:c r="D975" s="15" t="str">
        <x:v>EPS</x:v>
      </x:c>
      <x:c r="E975" s="17" t="n">
        <x:f>CHOOSE($B$3,E976,E977,E978)</x:f>
        <x:v>9.5</x:v>
      </x:c>
      <x:c r="F975" s="17" t="n">
        <x:f>CHOOSE($B$3,F976,F977,F978)</x:f>
        <x:v>25</x:v>
      </x:c>
      <x:c r="G975" s="17" t="n">
        <x:f>CHOOSE($B$3,G976,G977,G978)</x:f>
        <x:v>1.1</x:v>
      </x:c>
      <x:c r="H975" s="17" t="n">
        <x:f>CHOOSE($B$3,H976,H977,H978)</x:f>
        <x:v>1.9800000000000002</x:v>
      </x:c>
      <x:c r="I975" s="17" t="n">
        <x:f>CHOOSE($B$3,I976,I977,I978)</x:f>
        <x:v>0</x:v>
      </x:c>
      <x:c r="J975" s="19" t="n">
        <x:f>CHOOSE($B$3,J976,J977,J978)</x:f>
        <x:v>0</x:v>
      </x:c>
      <x:c r="K975" s="21" t="str">
        <x:f>CHOOSE($B$3,K976,K977,K978)</x:f>
      </x:c>
      <x:c r="L975" s="15" t="str">
        <x:v>wuxiapptec-normalized-adjusted-pe-v1.0</x:v>
      </x:c>
      <x:c r="M975" s="15" t="str">
        <x:v>2027-10-09</x:v>
      </x:c>
      <x:c r="O975" t="str">
        <x:v>CNY</x:v>
      </x:c>
      <x:c r="V975" t="str">
        <x:v>2027-10-08</x:v>
      </x:c>
      <x:c r="W975" t="str">
        <x:v>待核</x:v>
      </x:c>
      <x:c r="X975" t="str">
        <x:v>周末已解析；节假日需交易所对应年度日历核验，实际交易日待核</x:v>
      </x:c>
    </x:row>
    <x:row r="976" ht="23" customHeight="1">
      <x:c r="A976" s="11" t="str">
        <x:v>02359.HK</x:v>
      </x:c>
      <x:c r="B976" s="11" t="str">
        <x:v>一年</x:v>
      </x:c>
      <x:c r="C976" s="11" t="str">
        <x:v>悲观</x:v>
      </x:c>
      <x:c r="D976" s="11" t="str">
        <x:v>EPS</x:v>
      </x:c>
      <x:c r="E976" s="18" t="n">
        <x:f>E956</x:f>
        <x:v>7</x:v>
      </x:c>
      <x:c r="F976" s="18" t="n">
        <x:v>18</x:v>
      </x:c>
      <x:c r="G976" s="18" t="n">
        <x:v>1.1</x:v>
      </x:c>
      <x:c r="H976" s="18" t="n">
        <x:v>1.32</x:v>
      </x:c>
      <x:c r="I976" s="18" t="n">
        <x:f>I956</x:f>
        <x:v>0</x:v>
      </x:c>
      <x:c r="J976" s="20" t="n">
        <x:f>J956</x:f>
        <x:v>0</x:v>
      </x:c>
      <x:c r="K976" s="22" t="n">
        <x:f>K956</x:f>
        <x:v>0</x:v>
      </x:c>
      <x:c r="L976" s="11" t="str">
        <x:v>wuxiapptec-normalized-adjusted-pe-v1.0</x:v>
      </x:c>
      <x:c r="M976" s="11" t="str">
        <x:v>2027-10-09</x:v>
      </x:c>
      <x:c r="O976" t="str">
        <x:v>CNY</x:v>
      </x:c>
      <x:c r="V976" t="str">
        <x:v>2027-10-08</x:v>
      </x:c>
      <x:c r="W976" t="str">
        <x:v>待核</x:v>
      </x:c>
      <x:c r="X976" t="str">
        <x:v>周末已解析；节假日需交易所对应年度日历核验，实际交易日待核</x:v>
      </x:c>
    </x:row>
    <x:row r="977" ht="23" customHeight="1">
      <x:c r="A977" s="11" t="str">
        <x:v>02359.HK</x:v>
      </x:c>
      <x:c r="B977" s="11" t="str">
        <x:v>一年</x:v>
      </x:c>
      <x:c r="C977" s="11" t="str">
        <x:v>基准</x:v>
      </x:c>
      <x:c r="D977" s="11" t="str">
        <x:v>EPS</x:v>
      </x:c>
      <x:c r="E977" s="18" t="n">
        <x:f>E957</x:f>
        <x:v>9.5</x:v>
      </x:c>
      <x:c r="F977" s="18" t="n">
        <x:v>25</x:v>
      </x:c>
      <x:c r="G977" s="18" t="n">
        <x:v>1.1</x:v>
      </x:c>
      <x:c r="H977" s="18" t="n">
        <x:v>1.9800000000000002</x:v>
      </x:c>
      <x:c r="I977" s="18" t="n">
        <x:f>I957</x:f>
        <x:v>0</x:v>
      </x:c>
      <x:c r="J977" s="20" t="n">
        <x:f>J957</x:f>
        <x:v>0</x:v>
      </x:c>
      <x:c r="K977" s="22" t="n">
        <x:f>K957</x:f>
        <x:v>0</x:v>
      </x:c>
      <x:c r="L977" s="11" t="str">
        <x:v>wuxiapptec-normalized-adjusted-pe-v1.0</x:v>
      </x:c>
      <x:c r="M977" s="11" t="str">
        <x:v>2027-10-09</x:v>
      </x:c>
      <x:c r="O977" t="str">
        <x:v>CNY</x:v>
      </x:c>
      <x:c r="V977" t="str">
        <x:v>2027-10-08</x:v>
      </x:c>
      <x:c r="W977" t="str">
        <x:v>待核</x:v>
      </x:c>
      <x:c r="X977" t="str">
        <x:v>周末已解析；节假日需交易所对应年度日历核验，实际交易日待核</x:v>
      </x:c>
    </x:row>
    <x:row r="978" ht="23" customHeight="1">
      <x:c r="A978" s="11" t="str">
        <x:v>02359.HK</x:v>
      </x:c>
      <x:c r="B978" s="11" t="str">
        <x:v>一年</x:v>
      </x:c>
      <x:c r="C978" s="11" t="str">
        <x:v>乐观</x:v>
      </x:c>
      <x:c r="D978" s="11" t="str">
        <x:v>EPS</x:v>
      </x:c>
      <x:c r="E978" s="18" t="n">
        <x:f>E958</x:f>
        <x:v>11.8</x:v>
      </x:c>
      <x:c r="F978" s="18" t="n">
        <x:v>31</x:v>
      </x:c>
      <x:c r="G978" s="18" t="n">
        <x:v>1.1</x:v>
      </x:c>
      <x:c r="H978" s="18" t="n">
        <x:v>2.53</x:v>
      </x:c>
      <x:c r="I978" s="18" t="n">
        <x:f>I958</x:f>
        <x:v>0</x:v>
      </x:c>
      <x:c r="J978" s="20" t="n">
        <x:f>J958</x:f>
        <x:v>0</x:v>
      </x:c>
      <x:c r="K978" s="22" t="n">
        <x:f>K958</x:f>
        <x:v>0</x:v>
      </x:c>
      <x:c r="L978" s="11" t="str">
        <x:v>wuxiapptec-normalized-adjusted-pe-v1.0</x:v>
      </x:c>
      <x:c r="M978" s="11" t="str">
        <x:v>2027-10-09</x:v>
      </x:c>
      <x:c r="O978" t="str">
        <x:v>CNY</x:v>
      </x:c>
      <x:c r="V978" t="str">
        <x:v>2027-10-08</x:v>
      </x:c>
      <x:c r="W978" t="str">
        <x:v>待核</x:v>
      </x:c>
      <x:c r="X978" t="str">
        <x:v>周末已解析；节假日需交易所对应年度日历核验，实际交易日待核</x:v>
      </x:c>
    </x:row>
    <x:row r="979" ht="23" customHeight="1">
      <x:c r="A979" s="15" t="str">
        <x:v>02359.HK</x:v>
      </x:c>
      <x:c r="B979" s="15" t="str">
        <x:v>三年</x:v>
      </x:c>
      <x:c r="C979" s="15" t="str">
        <x:v>活动输入</x:v>
      </x:c>
      <x:c r="D979" s="15" t="str">
        <x:v>EPS</x:v>
      </x:c>
      <x:c r="E979" s="17" t="n">
        <x:f>CHOOSE($B$3,E980,E981,E982)</x:f>
        <x:v>12.5</x:v>
      </x:c>
      <x:c r="F979" s="17" t="n">
        <x:f>CHOOSE($B$3,F980,F981,F982)</x:f>
        <x:v>24</x:v>
      </x:c>
      <x:c r="G979" s="17" t="n">
        <x:f>CHOOSE($B$3,G980,G981,G982)</x:f>
        <x:v>1.1</x:v>
      </x:c>
      <x:c r="H979" s="17" t="n">
        <x:f>CHOOSE($B$3,H980,H981,H982)</x:f>
        <x:v>7.700000000000001</x:v>
      </x:c>
      <x:c r="I979" s="17" t="n">
        <x:f>CHOOSE($B$3,I980,I981,I982)</x:f>
        <x:v>0</x:v>
      </x:c>
      <x:c r="J979" s="19" t="n">
        <x:f>CHOOSE($B$3,J980,J981,J982)</x:f>
        <x:v>0</x:v>
      </x:c>
      <x:c r="K979" s="21" t="str">
        <x:f>CHOOSE($B$3,K980,K981,K982)</x:f>
      </x:c>
      <x:c r="L979" s="15" t="str">
        <x:v>wuxiapptec-normalized-adjusted-pe-v1.0</x:v>
      </x:c>
      <x:c r="M979" s="15" t="str">
        <x:v>2029-10-09</x:v>
      </x:c>
      <x:c r="O979" t="str">
        <x:v>CNY</x:v>
      </x:c>
      <x:c r="V979" t="str">
        <x:v>2029-10-09</x:v>
      </x:c>
      <x:c r="W979" t="str">
        <x:v>待核</x:v>
      </x:c>
      <x:c r="X979" t="str">
        <x:v>周末已解析；节假日需交易所对应年度日历核验，实际交易日待核</x:v>
      </x:c>
    </x:row>
    <x:row r="980" ht="23" customHeight="1">
      <x:c r="A980" s="11" t="str">
        <x:v>02359.HK</x:v>
      </x:c>
      <x:c r="B980" s="11" t="str">
        <x:v>三年</x:v>
      </x:c>
      <x:c r="C980" s="11" t="str">
        <x:v>悲观</x:v>
      </x:c>
      <x:c r="D980" s="11" t="str">
        <x:v>EPS</x:v>
      </x:c>
      <x:c r="E980" s="18" t="n">
        <x:f>E960</x:f>
        <x:v>7.2</x:v>
      </x:c>
      <x:c r="F980" s="18" t="n">
        <x:v>16</x:v>
      </x:c>
      <x:c r="G980" s="18" t="n">
        <x:v>1.1</x:v>
      </x:c>
      <x:c r="H980" s="18" t="n">
        <x:v>4.4</x:v>
      </x:c>
      <x:c r="I980" s="18" t="n">
        <x:f>I960</x:f>
        <x:v>0</x:v>
      </x:c>
      <x:c r="J980" s="20" t="n">
        <x:f>J960</x:f>
        <x:v>0</x:v>
      </x:c>
      <x:c r="K980" s="22" t="n">
        <x:f>K960</x:f>
        <x:v>0</x:v>
      </x:c>
      <x:c r="L980" s="11" t="str">
        <x:v>wuxiapptec-normalized-adjusted-pe-v1.0</x:v>
      </x:c>
      <x:c r="M980" s="11" t="str">
        <x:v>2029-10-09</x:v>
      </x:c>
      <x:c r="O980" t="str">
        <x:v>CNY</x:v>
      </x:c>
      <x:c r="V980" t="str">
        <x:v>2029-10-09</x:v>
      </x:c>
      <x:c r="W980" t="str">
        <x:v>待核</x:v>
      </x:c>
      <x:c r="X980" t="str">
        <x:v>周末已解析；节假日需交易所对应年度日历核验，实际交易日待核</x:v>
      </x:c>
    </x:row>
    <x:row r="981" ht="23" customHeight="1">
      <x:c r="A981" s="11" t="str">
        <x:v>02359.HK</x:v>
      </x:c>
      <x:c r="B981" s="11" t="str">
        <x:v>三年</x:v>
      </x:c>
      <x:c r="C981" s="11" t="str">
        <x:v>基准</x:v>
      </x:c>
      <x:c r="D981" s="11" t="str">
        <x:v>EPS</x:v>
      </x:c>
      <x:c r="E981" s="18" t="n">
        <x:f>E961</x:f>
        <x:v>12.5</x:v>
      </x:c>
      <x:c r="F981" s="18" t="n">
        <x:v>24</x:v>
      </x:c>
      <x:c r="G981" s="18" t="n">
        <x:v>1.1</x:v>
      </x:c>
      <x:c r="H981" s="18" t="n">
        <x:v>7.700000000000001</x:v>
      </x:c>
      <x:c r="I981" s="18" t="n">
        <x:f>I961</x:f>
        <x:v>0</x:v>
      </x:c>
      <x:c r="J981" s="20" t="n">
        <x:f>J961</x:f>
        <x:v>0</x:v>
      </x:c>
      <x:c r="K981" s="22" t="n">
        <x:f>K961</x:f>
        <x:v>0</x:v>
      </x:c>
      <x:c r="L981" s="11" t="str">
        <x:v>wuxiapptec-normalized-adjusted-pe-v1.0</x:v>
      </x:c>
      <x:c r="M981" s="11" t="str">
        <x:v>2029-10-09</x:v>
      </x:c>
      <x:c r="O981" t="str">
        <x:v>CNY</x:v>
      </x:c>
      <x:c r="V981" t="str">
        <x:v>2029-10-09</x:v>
      </x:c>
      <x:c r="W981" t="str">
        <x:v>待核</x:v>
      </x:c>
      <x:c r="X981" t="str">
        <x:v>周末已解析；节假日需交易所对应年度日历核验，实际交易日待核</x:v>
      </x:c>
    </x:row>
    <x:row r="982" ht="23" customHeight="1">
      <x:c r="A982" s="11" t="str">
        <x:v>02359.HK</x:v>
      </x:c>
      <x:c r="B982" s="11" t="str">
        <x:v>三年</x:v>
      </x:c>
      <x:c r="C982" s="11" t="str">
        <x:v>乐观</x:v>
      </x:c>
      <x:c r="D982" s="11" t="str">
        <x:v>EPS</x:v>
      </x:c>
      <x:c r="E982" s="18" t="n">
        <x:f>E962</x:f>
        <x:v>17.5</x:v>
      </x:c>
      <x:c r="F982" s="18" t="n">
        <x:v>29</x:v>
      </x:c>
      <x:c r="G982" s="18" t="n">
        <x:v>1.1</x:v>
      </x:c>
      <x:c r="H982" s="18" t="n">
        <x:v>11</x:v>
      </x:c>
      <x:c r="I982" s="18" t="n">
        <x:f>I962</x:f>
        <x:v>0</x:v>
      </x:c>
      <x:c r="J982" s="20" t="n">
        <x:f>J962</x:f>
        <x:v>0</x:v>
      </x:c>
      <x:c r="K982" s="22" t="n">
        <x:f>K962</x:f>
        <x:v>0</x:v>
      </x:c>
      <x:c r="L982" s="11" t="str">
        <x:v>wuxiapptec-normalized-adjusted-pe-v1.0</x:v>
      </x:c>
      <x:c r="M982" s="11" t="str">
        <x:v>2029-10-09</x:v>
      </x:c>
      <x:c r="O982" t="str">
        <x:v>CNY</x:v>
      </x:c>
      <x:c r="V982" t="str">
        <x:v>2029-10-09</x:v>
      </x:c>
      <x:c r="W982" t="str">
        <x:v>待核</x:v>
      </x:c>
      <x:c r="X982" t="str">
        <x:v>周末已解析；节假日需交易所对应年度日历核验，实际交易日待核</x:v>
      </x:c>
    </x:row>
    <x:row r="983" ht="23" customHeight="1">
      <x:c r="A983" s="15" t="str">
        <x:v>02359.HK</x:v>
      </x:c>
      <x:c r="B983" s="15" t="str">
        <x:v>五年</x:v>
      </x:c>
      <x:c r="C983" s="15" t="str">
        <x:v>活动输入</x:v>
      </x:c>
      <x:c r="D983" s="15" t="str">
        <x:v>EPS</x:v>
      </x:c>
      <x:c r="E983" s="17" t="n">
        <x:f>CHOOSE($B$3,E984,E985,E986)</x:f>
        <x:v>15.5</x:v>
      </x:c>
      <x:c r="F983" s="17" t="n">
        <x:f>CHOOSE($B$3,F984,F985,F986)</x:f>
        <x:v>22</x:v>
      </x:c>
      <x:c r="G983" s="17" t="n">
        <x:f>CHOOSE($B$3,G984,G985,G986)</x:f>
        <x:v>1.1</x:v>
      </x:c>
      <x:c r="H983" s="17" t="n">
        <x:f>CHOOSE($B$3,H984,H985,H986)</x:f>
        <x:v>15.400000000000002</x:v>
      </x:c>
      <x:c r="I983" s="17" t="n">
        <x:f>CHOOSE($B$3,I984,I985,I986)</x:f>
        <x:v>0</x:v>
      </x:c>
      <x:c r="J983" s="19" t="n">
        <x:f>CHOOSE($B$3,J984,J985,J986)</x:f>
        <x:v>0</x:v>
      </x:c>
      <x:c r="K983" s="21" t="str">
        <x:f>CHOOSE($B$3,K984,K985,K986)</x:f>
      </x:c>
      <x:c r="L983" s="15" t="str">
        <x:v>wuxiapptec-normalized-adjusted-pe-v1.0</x:v>
      </x:c>
      <x:c r="M983" s="15" t="str">
        <x:v>2031-10-09</x:v>
      </x:c>
      <x:c r="O983" t="str">
        <x:v>CNY</x:v>
      </x:c>
      <x:c r="V983" t="str">
        <x:v>2031-10-09</x:v>
      </x:c>
      <x:c r="W983" t="str">
        <x:v>待核</x:v>
      </x:c>
      <x:c r="X983" t="str">
        <x:v>周末已解析；节假日需交易所对应年度日历核验，实际交易日待核</x:v>
      </x:c>
    </x:row>
    <x:row r="984" ht="23" customHeight="1">
      <x:c r="A984" s="11" t="str">
        <x:v>02359.HK</x:v>
      </x:c>
      <x:c r="B984" s="11" t="str">
        <x:v>五年</x:v>
      </x:c>
      <x:c r="C984" s="11" t="str">
        <x:v>悲观</x:v>
      </x:c>
      <x:c r="D984" s="11" t="str">
        <x:v>EPS</x:v>
      </x:c>
      <x:c r="E984" s="18" t="n">
        <x:f>E964</x:f>
        <x:v>7.5</x:v>
      </x:c>
      <x:c r="F984" s="18" t="n">
        <x:v>15</x:v>
      </x:c>
      <x:c r="G984" s="18" t="n">
        <x:v>1.1</x:v>
      </x:c>
      <x:c r="H984" s="18" t="n">
        <x:v>7.700000000000001</x:v>
      </x:c>
      <x:c r="I984" s="18" t="n">
        <x:f>I964</x:f>
        <x:v>0</x:v>
      </x:c>
      <x:c r="J984" s="20" t="n">
        <x:f>J964</x:f>
        <x:v>0</x:v>
      </x:c>
      <x:c r="K984" s="22" t="n">
        <x:f>K964</x:f>
        <x:v>0</x:v>
      </x:c>
      <x:c r="L984" s="11" t="str">
        <x:v>wuxiapptec-normalized-adjusted-pe-v1.0</x:v>
      </x:c>
      <x:c r="M984" s="11" t="str">
        <x:v>2031-10-09</x:v>
      </x:c>
      <x:c r="O984" t="str">
        <x:v>CNY</x:v>
      </x:c>
      <x:c r="V984" t="str">
        <x:v>2031-10-09</x:v>
      </x:c>
      <x:c r="W984" t="str">
        <x:v>待核</x:v>
      </x:c>
      <x:c r="X984" t="str">
        <x:v>周末已解析；节假日需交易所对应年度日历核验，实际交易日待核</x:v>
      </x:c>
    </x:row>
    <x:row r="985" ht="23" customHeight="1">
      <x:c r="A985" s="11" t="str">
        <x:v>02359.HK</x:v>
      </x:c>
      <x:c r="B985" s="11" t="str">
        <x:v>五年</x:v>
      </x:c>
      <x:c r="C985" s="11" t="str">
        <x:v>基准</x:v>
      </x:c>
      <x:c r="D985" s="11" t="str">
        <x:v>EPS</x:v>
      </x:c>
      <x:c r="E985" s="18" t="n">
        <x:f>E965</x:f>
        <x:v>15.5</x:v>
      </x:c>
      <x:c r="F985" s="18" t="n">
        <x:v>22</x:v>
      </x:c>
      <x:c r="G985" s="18" t="n">
        <x:v>1.1</x:v>
      </x:c>
      <x:c r="H985" s="18" t="n">
        <x:v>15.400000000000002</x:v>
      </x:c>
      <x:c r="I985" s="18" t="n">
        <x:f>I965</x:f>
        <x:v>0</x:v>
      </x:c>
      <x:c r="J985" s="20" t="n">
        <x:f>J965</x:f>
        <x:v>0</x:v>
      </x:c>
      <x:c r="K985" s="22" t="n">
        <x:f>K965</x:f>
        <x:v>0</x:v>
      </x:c>
      <x:c r="L985" s="11" t="str">
        <x:v>wuxiapptec-normalized-adjusted-pe-v1.0</x:v>
      </x:c>
      <x:c r="M985" s="11" t="str">
        <x:v>2031-10-09</x:v>
      </x:c>
      <x:c r="O985" t="str">
        <x:v>CNY</x:v>
      </x:c>
      <x:c r="V985" t="str">
        <x:v>2031-10-09</x:v>
      </x:c>
      <x:c r="W985" t="str">
        <x:v>待核</x:v>
      </x:c>
      <x:c r="X985" t="str">
        <x:v>周末已解析；节假日需交易所对应年度日历核验，实际交易日待核</x:v>
      </x:c>
    </x:row>
    <x:row r="986" ht="23" customHeight="1">
      <x:c r="A986" s="11" t="str">
        <x:v>02359.HK</x:v>
      </x:c>
      <x:c r="B986" s="11" t="str">
        <x:v>五年</x:v>
      </x:c>
      <x:c r="C986" s="11" t="str">
        <x:v>乐观</x:v>
      </x:c>
      <x:c r="D986" s="11" t="str">
        <x:v>EPS</x:v>
      </x:c>
      <x:c r="E986" s="18" t="n">
        <x:f>E966</x:f>
        <x:v>24</x:v>
      </x:c>
      <x:c r="F986" s="18" t="n">
        <x:v>28</x:v>
      </x:c>
      <x:c r="G986" s="18" t="n">
        <x:v>1.1</x:v>
      </x:c>
      <x:c r="H986" s="18" t="n">
        <x:v>23.1</x:v>
      </x:c>
      <x:c r="I986" s="18" t="n">
        <x:f>I966</x:f>
        <x:v>0</x:v>
      </x:c>
      <x:c r="J986" s="20" t="n">
        <x:f>J966</x:f>
        <x:v>0</x:v>
      </x:c>
      <x:c r="K986" s="22" t="n">
        <x:f>K966</x:f>
        <x:v>0</x:v>
      </x:c>
      <x:c r="L986" s="11" t="str">
        <x:v>wuxiapptec-normalized-adjusted-pe-v1.0</x:v>
      </x:c>
      <x:c r="M986" s="11" t="str">
        <x:v>2031-10-09</x:v>
      </x:c>
      <x:c r="O986" t="str">
        <x:v>CNY</x:v>
      </x:c>
      <x:c r="V986" t="str">
        <x:v>2031-10-09</x:v>
      </x:c>
      <x:c r="W986" t="str">
        <x:v>待核</x:v>
      </x:c>
      <x:c r="X986" t="str">
        <x:v>周末已解析；节假日需交易所对应年度日历核验，实际交易日待核</x:v>
      </x:c>
    </x:row>
    <x:row r="987" ht="23" customHeight="1">
      <x:c r="A987" s="15" t="str">
        <x:v>02269.HK</x:v>
      </x:c>
      <x:c r="B987" s="15" t="str">
        <x:v>2026年底</x:v>
      </x:c>
      <x:c r="C987" s="15" t="str">
        <x:v>活动输入</x:v>
      </x:c>
      <x:c r="D987" s="15" t="str">
        <x:v>EPS</x:v>
      </x:c>
      <x:c r="E987" s="17" t="n">
        <x:f>CHOOSE($B$3,E988,E989,E990)</x:f>
        <x:v>2.3</x:v>
      </x:c>
      <x:c r="F987" s="17" t="n">
        <x:f>CHOOSE($B$3,F988,F989,F990)</x:f>
        <x:v>22</x:v>
      </x:c>
      <x:c r="G987" s="17" t="n">
        <x:f>CHOOSE($B$3,G988,G989,G990)</x:f>
        <x:v>1.1</x:v>
      </x:c>
      <x:c r="H987" s="17" t="n">
        <x:f>CHOOSE($B$3,H988,H989,H990)</x:f>
        <x:v>0</x:v>
      </x:c>
      <x:c r="I987" s="17" t="str">
        <x:f>CHOOSE($B$3,I988,I989,I990)</x:f>
      </x:c>
      <x:c r="J987" s="19" t="str">
        <x:f>CHOOSE($B$3,J988,J989,J990)</x:f>
      </x:c>
      <x:c r="K987" s="21" t="str">
        <x:f>CHOOSE($B$3,K988,K989,K990)</x:f>
      </x:c>
      <x:c r="L987" s="15" t="str">
        <x:v>wuxi-bio-v1</x:v>
      </x:c>
      <x:c r="M987" s="15" t="str">
        <x:v>2026-12-31</x:v>
      </x:c>
      <x:c r="O987" t="str">
        <x:v>CNY</x:v>
      </x:c>
      <x:c r="V987" t="str">
        <x:v>2026-12-31</x:v>
      </x:c>
      <x:c r="W987" t="str">
        <x:v>待核</x:v>
      </x:c>
      <x:c r="X987" t="str">
        <x:v>周末已解析；节假日需交易所对应年度日历核验，实际交易日待核</x:v>
      </x:c>
    </x:row>
    <x:row r="988" ht="23" customHeight="1">
      <x:c r="A988" s="11" t="str">
        <x:v>02269.HK</x:v>
      </x:c>
      <x:c r="B988" s="11" t="str">
        <x:v>2026年底</x:v>
      </x:c>
      <x:c r="C988" s="11" t="str">
        <x:v>悲观</x:v>
      </x:c>
      <x:c r="D988" s="11" t="str">
        <x:v>EPS</x:v>
      </x:c>
      <x:c r="E988" s="18" t="n">
        <x:v>1.85</x:v>
      </x:c>
      <x:c r="F988" s="18" t="n">
        <x:v>18</x:v>
      </x:c>
      <x:c r="G988" s="18" t="n">
        <x:v>1.1</x:v>
      </x:c>
      <x:c r="H988" s="18" t="n">
        <x:v>0</x:v>
      </x:c>
      <x:c r="I988" s="18"/>
      <x:c r="J988" s="20"/>
      <x:c r="K988" s="22"/>
      <x:c r="L988" s="11" t="str">
        <x:v>wuxi-bio-v1</x:v>
      </x:c>
      <x:c r="M988" s="11" t="str">
        <x:v>2026-12-31</x:v>
      </x:c>
      <x:c r="O988" t="str">
        <x:v>CNY</x:v>
      </x:c>
      <x:c r="V988" t="str">
        <x:v>2026-12-31</x:v>
      </x:c>
      <x:c r="W988" t="str">
        <x:v>待核</x:v>
      </x:c>
      <x:c r="X988" t="str">
        <x:v>周末已解析；节假日需交易所对应年度日历核验，实际交易日待核</x:v>
      </x:c>
    </x:row>
    <x:row r="989" ht="23" customHeight="1">
      <x:c r="A989" s="11" t="str">
        <x:v>02269.HK</x:v>
      </x:c>
      <x:c r="B989" s="11" t="str">
        <x:v>2026年底</x:v>
      </x:c>
      <x:c r="C989" s="11" t="str">
        <x:v>基准</x:v>
      </x:c>
      <x:c r="D989" s="11" t="str">
        <x:v>EPS</x:v>
      </x:c>
      <x:c r="E989" s="18" t="n">
        <x:v>2.3</x:v>
      </x:c>
      <x:c r="F989" s="18" t="n">
        <x:v>22</x:v>
      </x:c>
      <x:c r="G989" s="18" t="n">
        <x:v>1.1</x:v>
      </x:c>
      <x:c r="H989" s="18" t="n">
        <x:v>0</x:v>
      </x:c>
      <x:c r="I989" s="18"/>
      <x:c r="J989" s="20"/>
      <x:c r="K989" s="22"/>
      <x:c r="L989" s="11" t="str">
        <x:v>wuxi-bio-v1</x:v>
      </x:c>
      <x:c r="M989" s="11" t="str">
        <x:v>2026-12-31</x:v>
      </x:c>
      <x:c r="O989" t="str">
        <x:v>CNY</x:v>
      </x:c>
      <x:c r="V989" t="str">
        <x:v>2026-12-31</x:v>
      </x:c>
      <x:c r="W989" t="str">
        <x:v>待核</x:v>
      </x:c>
      <x:c r="X989" t="str">
        <x:v>周末已解析；节假日需交易所对应年度日历核验，实际交易日待核</x:v>
      </x:c>
    </x:row>
    <x:row r="990" ht="23" customHeight="1">
      <x:c r="A990" s="11" t="str">
        <x:v>02269.HK</x:v>
      </x:c>
      <x:c r="B990" s="11" t="str">
        <x:v>2026年底</x:v>
      </x:c>
      <x:c r="C990" s="11" t="str">
        <x:v>乐观</x:v>
      </x:c>
      <x:c r="D990" s="11" t="str">
        <x:v>EPS</x:v>
      </x:c>
      <x:c r="E990" s="18" t="n">
        <x:v>2.65</x:v>
      </x:c>
      <x:c r="F990" s="18" t="n">
        <x:v>25</x:v>
      </x:c>
      <x:c r="G990" s="18" t="n">
        <x:v>1.1</x:v>
      </x:c>
      <x:c r="H990" s="18" t="n">
        <x:v>0</x:v>
      </x:c>
      <x:c r="I990" s="18"/>
      <x:c r="J990" s="20"/>
      <x:c r="K990" s="22"/>
      <x:c r="L990" s="11" t="str">
        <x:v>wuxi-bio-v1</x:v>
      </x:c>
      <x:c r="M990" s="11" t="str">
        <x:v>2026-12-31</x:v>
      </x:c>
      <x:c r="O990" t="str">
        <x:v>CNY</x:v>
      </x:c>
      <x:c r="V990" t="str">
        <x:v>2026-12-31</x:v>
      </x:c>
      <x:c r="W990" t="str">
        <x:v>待核</x:v>
      </x:c>
      <x:c r="X990" t="str">
        <x:v>周末已解析；节假日需交易所对应年度日历核验，实际交易日待核</x:v>
      </x:c>
    </x:row>
    <x:row r="991" ht="23" customHeight="1">
      <x:c r="A991" s="15" t="str">
        <x:v>02269.HK</x:v>
      </x:c>
      <x:c r="B991" s="15" t="str">
        <x:v>半年</x:v>
      </x:c>
      <x:c r="C991" s="15" t="str">
        <x:v>活动输入</x:v>
      </x:c>
      <x:c r="D991" s="15" t="str">
        <x:v>EPS</x:v>
      </x:c>
      <x:c r="E991" s="17" t="n">
        <x:f>CHOOSE($B$3,E992,E993,E994)</x:f>
        <x:v>2.3</x:v>
      </x:c>
      <x:c r="F991" s="17" t="n">
        <x:f>CHOOSE($B$3,F992,F993,F994)</x:f>
        <x:v>24</x:v>
      </x:c>
      <x:c r="G991" s="17" t="n">
        <x:f>CHOOSE($B$3,G992,G993,G994)</x:f>
        <x:v>1.1</x:v>
      </x:c>
      <x:c r="H991" s="17" t="n">
        <x:f>CHOOSE($B$3,H992,H993,H994)</x:f>
        <x:v>0</x:v>
      </x:c>
      <x:c r="I991" s="17" t="str">
        <x:f>CHOOSE($B$3,I992,I993,I994)</x:f>
      </x:c>
      <x:c r="J991" s="19" t="str">
        <x:f>CHOOSE($B$3,J992,J993,J994)</x:f>
      </x:c>
      <x:c r="K991" s="21" t="str">
        <x:f>CHOOSE($B$3,K992,K993,K994)</x:f>
      </x:c>
      <x:c r="L991" s="15" t="str">
        <x:v>wuxi-bio-v1</x:v>
      </x:c>
      <x:c r="M991" s="15" t="str">
        <x:v>2027-04-09</x:v>
      </x:c>
      <x:c r="O991" t="str">
        <x:v>CNY</x:v>
      </x:c>
      <x:c r="V991" t="str">
        <x:v>2027-04-09</x:v>
      </x:c>
      <x:c r="W991" t="str">
        <x:v>待核</x:v>
      </x:c>
      <x:c r="X991" t="str">
        <x:v>周末已解析；节假日需交易所对应年度日历核验，实际交易日待核</x:v>
      </x:c>
    </x:row>
    <x:row r="992" ht="23" customHeight="1">
      <x:c r="A992" s="11" t="str">
        <x:v>02269.HK</x:v>
      </x:c>
      <x:c r="B992" s="11" t="str">
        <x:v>半年</x:v>
      </x:c>
      <x:c r="C992" s="11" t="str">
        <x:v>悲观</x:v>
      </x:c>
      <x:c r="D992" s="11" t="str">
        <x:v>EPS</x:v>
      </x:c>
      <x:c r="E992" s="18" t="n">
        <x:v>1.85</x:v>
      </x:c>
      <x:c r="F992" s="18" t="n">
        <x:v>18</x:v>
      </x:c>
      <x:c r="G992" s="18" t="n">
        <x:v>1.1</x:v>
      </x:c>
      <x:c r="H992" s="18" t="n">
        <x:v>0</x:v>
      </x:c>
      <x:c r="I992" s="18"/>
      <x:c r="J992" s="20"/>
      <x:c r="K992" s="22"/>
      <x:c r="L992" s="11" t="str">
        <x:v>wuxi-bio-v1</x:v>
      </x:c>
      <x:c r="M992" s="11" t="str">
        <x:v>2027-04-09</x:v>
      </x:c>
      <x:c r="O992" t="str">
        <x:v>CNY</x:v>
      </x:c>
      <x:c r="V992" t="str">
        <x:v>2027-04-09</x:v>
      </x:c>
      <x:c r="W992" t="str">
        <x:v>待核</x:v>
      </x:c>
      <x:c r="X992" t="str">
        <x:v>周末已解析；节假日需交易所对应年度日历核验，实际交易日待核</x:v>
      </x:c>
    </x:row>
    <x:row r="993" ht="23" customHeight="1">
      <x:c r="A993" s="11" t="str">
        <x:v>02269.HK</x:v>
      </x:c>
      <x:c r="B993" s="11" t="str">
        <x:v>半年</x:v>
      </x:c>
      <x:c r="C993" s="11" t="str">
        <x:v>基准</x:v>
      </x:c>
      <x:c r="D993" s="11" t="str">
        <x:v>EPS</x:v>
      </x:c>
      <x:c r="E993" s="18" t="n">
        <x:v>2.3</x:v>
      </x:c>
      <x:c r="F993" s="18" t="n">
        <x:v>24</x:v>
      </x:c>
      <x:c r="G993" s="18" t="n">
        <x:v>1.1</x:v>
      </x:c>
      <x:c r="H993" s="18" t="n">
        <x:v>0</x:v>
      </x:c>
      <x:c r="I993" s="18"/>
      <x:c r="J993" s="20"/>
      <x:c r="K993" s="22"/>
      <x:c r="L993" s="11" t="str">
        <x:v>wuxi-bio-v1</x:v>
      </x:c>
      <x:c r="M993" s="11" t="str">
        <x:v>2027-04-09</x:v>
      </x:c>
      <x:c r="O993" t="str">
        <x:v>CNY</x:v>
      </x:c>
      <x:c r="V993" t="str">
        <x:v>2027-04-09</x:v>
      </x:c>
      <x:c r="W993" t="str">
        <x:v>待核</x:v>
      </x:c>
      <x:c r="X993" t="str">
        <x:v>周末已解析；节假日需交易所对应年度日历核验，实际交易日待核</x:v>
      </x:c>
    </x:row>
    <x:row r="994" ht="23" customHeight="1">
      <x:c r="A994" s="11" t="str">
        <x:v>02269.HK</x:v>
      </x:c>
      <x:c r="B994" s="11" t="str">
        <x:v>半年</x:v>
      </x:c>
      <x:c r="C994" s="11" t="str">
        <x:v>乐观</x:v>
      </x:c>
      <x:c r="D994" s="11" t="str">
        <x:v>EPS</x:v>
      </x:c>
      <x:c r="E994" s="18" t="n">
        <x:v>2.65</x:v>
      </x:c>
      <x:c r="F994" s="18" t="n">
        <x:v>28</x:v>
      </x:c>
      <x:c r="G994" s="18" t="n">
        <x:v>1.1</x:v>
      </x:c>
      <x:c r="H994" s="18" t="n">
        <x:v>0</x:v>
      </x:c>
      <x:c r="I994" s="18"/>
      <x:c r="J994" s="20"/>
      <x:c r="K994" s="22"/>
      <x:c r="L994" s="11" t="str">
        <x:v>wuxi-bio-v1</x:v>
      </x:c>
      <x:c r="M994" s="11" t="str">
        <x:v>2027-04-09</x:v>
      </x:c>
      <x:c r="O994" t="str">
        <x:v>CNY</x:v>
      </x:c>
      <x:c r="V994" t="str">
        <x:v>2027-04-09</x:v>
      </x:c>
      <x:c r="W994" t="str">
        <x:v>待核</x:v>
      </x:c>
      <x:c r="X994" t="str">
        <x:v>周末已解析；节假日需交易所对应年度日历核验，实际交易日待核</x:v>
      </x:c>
    </x:row>
    <x:row r="995" ht="23" customHeight="1">
      <x:c r="A995" s="15" t="str">
        <x:v>02269.HK</x:v>
      </x:c>
      <x:c r="B995" s="15" t="str">
        <x:v>一年</x:v>
      </x:c>
      <x:c r="C995" s="15" t="str">
        <x:v>活动输入</x:v>
      </x:c>
      <x:c r="D995" s="15" t="str">
        <x:v>EPS</x:v>
      </x:c>
      <x:c r="E995" s="17" t="n">
        <x:f>CHOOSE($B$3,E996,E997,E998)</x:f>
        <x:v>2.75</x:v>
      </x:c>
      <x:c r="F995" s="17" t="n">
        <x:f>CHOOSE($B$3,F996,F997,F998)</x:f>
        <x:v>24</x:v>
      </x:c>
      <x:c r="G995" s="17" t="n">
        <x:f>CHOOSE($B$3,G996,G997,G998)</x:f>
        <x:v>1.1</x:v>
      </x:c>
      <x:c r="H995" s="17" t="n">
        <x:f>CHOOSE($B$3,H996,H997,H998)</x:f>
        <x:v>0</x:v>
      </x:c>
      <x:c r="I995" s="17" t="str">
        <x:f>CHOOSE($B$3,I996,I997,I998)</x:f>
      </x:c>
      <x:c r="J995" s="19" t="str">
        <x:f>CHOOSE($B$3,J996,J997,J998)</x:f>
      </x:c>
      <x:c r="K995" s="21" t="str">
        <x:f>CHOOSE($B$3,K996,K997,K998)</x:f>
      </x:c>
      <x:c r="L995" s="15" t="str">
        <x:v>wuxi-bio-v1</x:v>
      </x:c>
      <x:c r="M995" s="15" t="str">
        <x:v>2027-10-09</x:v>
      </x:c>
      <x:c r="O995" t="str">
        <x:v>CNY</x:v>
      </x:c>
      <x:c r="V995" t="str">
        <x:v>2027-10-08</x:v>
      </x:c>
      <x:c r="W995" t="str">
        <x:v>待核</x:v>
      </x:c>
      <x:c r="X995" t="str">
        <x:v>周末已解析；节假日需交易所对应年度日历核验，实际交易日待核</x:v>
      </x:c>
    </x:row>
    <x:row r="996" ht="23" customHeight="1">
      <x:c r="A996" s="11" t="str">
        <x:v>02269.HK</x:v>
      </x:c>
      <x:c r="B996" s="11" t="str">
        <x:v>一年</x:v>
      </x:c>
      <x:c r="C996" s="11" t="str">
        <x:v>悲观</x:v>
      </x:c>
      <x:c r="D996" s="11" t="str">
        <x:v>EPS</x:v>
      </x:c>
      <x:c r="E996" s="18" t="n">
        <x:v>2.2</x:v>
      </x:c>
      <x:c r="F996" s="18" t="n">
        <x:v>18</x:v>
      </x:c>
      <x:c r="G996" s="18" t="n">
        <x:v>1.1</x:v>
      </x:c>
      <x:c r="H996" s="18" t="n">
        <x:v>0</x:v>
      </x:c>
      <x:c r="I996" s="18"/>
      <x:c r="J996" s="20"/>
      <x:c r="K996" s="22"/>
      <x:c r="L996" s="11" t="str">
        <x:v>wuxi-bio-v1</x:v>
      </x:c>
      <x:c r="M996" s="11" t="str">
        <x:v>2027-10-09</x:v>
      </x:c>
      <x:c r="O996" t="str">
        <x:v>CNY</x:v>
      </x:c>
      <x:c r="V996" t="str">
        <x:v>2027-10-08</x:v>
      </x:c>
      <x:c r="W996" t="str">
        <x:v>待核</x:v>
      </x:c>
      <x:c r="X996" t="str">
        <x:v>周末已解析；节假日需交易所对应年度日历核验，实际交易日待核</x:v>
      </x:c>
    </x:row>
    <x:row r="997" ht="23" customHeight="1">
      <x:c r="A997" s="11" t="str">
        <x:v>02269.HK</x:v>
      </x:c>
      <x:c r="B997" s="11" t="str">
        <x:v>一年</x:v>
      </x:c>
      <x:c r="C997" s="11" t="str">
        <x:v>基准</x:v>
      </x:c>
      <x:c r="D997" s="11" t="str">
        <x:v>EPS</x:v>
      </x:c>
      <x:c r="E997" s="18" t="n">
        <x:v>2.75</x:v>
      </x:c>
      <x:c r="F997" s="18" t="n">
        <x:v>24</x:v>
      </x:c>
      <x:c r="G997" s="18" t="n">
        <x:v>1.1</x:v>
      </x:c>
      <x:c r="H997" s="18" t="n">
        <x:v>0</x:v>
      </x:c>
      <x:c r="I997" s="18"/>
      <x:c r="J997" s="20"/>
      <x:c r="K997" s="22"/>
      <x:c r="L997" s="11" t="str">
        <x:v>wuxi-bio-v1</x:v>
      </x:c>
      <x:c r="M997" s="11" t="str">
        <x:v>2027-10-09</x:v>
      </x:c>
      <x:c r="O997" t="str">
        <x:v>CNY</x:v>
      </x:c>
      <x:c r="V997" t="str">
        <x:v>2027-10-08</x:v>
      </x:c>
      <x:c r="W997" t="str">
        <x:v>待核</x:v>
      </x:c>
      <x:c r="X997" t="str">
        <x:v>周末已解析；节假日需交易所对应年度日历核验，实际交易日待核</x:v>
      </x:c>
    </x:row>
    <x:row r="998" ht="23" customHeight="1">
      <x:c r="A998" s="11" t="str">
        <x:v>02269.HK</x:v>
      </x:c>
      <x:c r="B998" s="11" t="str">
        <x:v>一年</x:v>
      </x:c>
      <x:c r="C998" s="11" t="str">
        <x:v>乐观</x:v>
      </x:c>
      <x:c r="D998" s="11" t="str">
        <x:v>EPS</x:v>
      </x:c>
      <x:c r="E998" s="18" t="n">
        <x:v>3.4</x:v>
      </x:c>
      <x:c r="F998" s="18" t="n">
        <x:v>28</x:v>
      </x:c>
      <x:c r="G998" s="18" t="n">
        <x:v>1.1</x:v>
      </x:c>
      <x:c r="H998" s="18" t="n">
        <x:v>0</x:v>
      </x:c>
      <x:c r="I998" s="18"/>
      <x:c r="J998" s="20"/>
      <x:c r="K998" s="22"/>
      <x:c r="L998" s="11" t="str">
        <x:v>wuxi-bio-v1</x:v>
      </x:c>
      <x:c r="M998" s="11" t="str">
        <x:v>2027-10-09</x:v>
      </x:c>
      <x:c r="O998" t="str">
        <x:v>CNY</x:v>
      </x:c>
      <x:c r="V998" t="str">
        <x:v>2027-10-08</x:v>
      </x:c>
      <x:c r="W998" t="str">
        <x:v>待核</x:v>
      </x:c>
      <x:c r="X998" t="str">
        <x:v>周末已解析；节假日需交易所对应年度日历核验，实际交易日待核</x:v>
      </x:c>
    </x:row>
    <x:row r="999" ht="23" customHeight="1">
      <x:c r="A999" s="15" t="str">
        <x:v>02269.HK</x:v>
      </x:c>
      <x:c r="B999" s="15" t="str">
        <x:v>三年</x:v>
      </x:c>
      <x:c r="C999" s="15" t="str">
        <x:v>活动输入</x:v>
      </x:c>
      <x:c r="D999" s="15" t="str">
        <x:v>EPS</x:v>
      </x:c>
      <x:c r="E999" s="17" t="n">
        <x:f>CHOOSE($B$3,E1000,E1001,E1002)</x:f>
        <x:v>3.5</x:v>
      </x:c>
      <x:c r="F999" s="17" t="n">
        <x:f>CHOOSE($B$3,F1000,F1001,F1002)</x:f>
        <x:v>22</x:v>
      </x:c>
      <x:c r="G999" s="17" t="n">
        <x:f>CHOOSE($B$3,G1000,G1001,G1002)</x:f>
        <x:v>1.1</x:v>
      </x:c>
      <x:c r="H999" s="17" t="n">
        <x:f>CHOOSE($B$3,H1000,H1001,H1002)</x:f>
        <x:v>0</x:v>
      </x:c>
      <x:c r="I999" s="17" t="str">
        <x:f>CHOOSE($B$3,I1000,I1001,I1002)</x:f>
      </x:c>
      <x:c r="J999" s="19" t="str">
        <x:f>CHOOSE($B$3,J1000,J1001,J1002)</x:f>
      </x:c>
      <x:c r="K999" s="21" t="str">
        <x:f>CHOOSE($B$3,K1000,K1001,K1002)</x:f>
      </x:c>
      <x:c r="L999" s="15" t="str">
        <x:v>wuxi-bio-v1</x:v>
      </x:c>
      <x:c r="M999" s="15" t="str">
        <x:v>2029-10-09</x:v>
      </x:c>
      <x:c r="O999" t="str">
        <x:v>CNY</x:v>
      </x:c>
      <x:c r="V999" t="str">
        <x:v>2029-10-09</x:v>
      </x:c>
      <x:c r="W999" t="str">
        <x:v>待核</x:v>
      </x:c>
      <x:c r="X999" t="str">
        <x:v>周末已解析；节假日需交易所对应年度日历核验，实际交易日待核</x:v>
      </x:c>
    </x:row>
    <x:row r="1000" ht="23" customHeight="1">
      <x:c r="A1000" s="11" t="str">
        <x:v>02269.HK</x:v>
      </x:c>
      <x:c r="B1000" s="11" t="str">
        <x:v>三年</x:v>
      </x:c>
      <x:c r="C1000" s="11" t="str">
        <x:v>悲观</x:v>
      </x:c>
      <x:c r="D1000" s="11" t="str">
        <x:v>EPS</x:v>
      </x:c>
      <x:c r="E1000" s="18" t="n">
        <x:v>2.4</x:v>
      </x:c>
      <x:c r="F1000" s="18" t="n">
        <x:v>17</x:v>
      </x:c>
      <x:c r="G1000" s="18" t="n">
        <x:v>1.1</x:v>
      </x:c>
      <x:c r="H1000" s="18" t="n">
        <x:v>0</x:v>
      </x:c>
      <x:c r="I1000" s="18"/>
      <x:c r="J1000" s="20"/>
      <x:c r="K1000" s="22"/>
      <x:c r="L1000" s="11" t="str">
        <x:v>wuxi-bio-v1</x:v>
      </x:c>
      <x:c r="M1000" s="11" t="str">
        <x:v>2029-10-09</x:v>
      </x:c>
      <x:c r="O1000" t="str">
        <x:v>CNY</x:v>
      </x:c>
      <x:c r="V1000" t="str">
        <x:v>2029-10-09</x:v>
      </x:c>
      <x:c r="W1000" t="str">
        <x:v>待核</x:v>
      </x:c>
      <x:c r="X1000" t="str">
        <x:v>周末已解析；节假日需交易所对应年度日历核验，实际交易日待核</x:v>
      </x:c>
    </x:row>
    <x:row r="1001" ht="23" customHeight="1">
      <x:c r="A1001" s="11" t="str">
        <x:v>02269.HK</x:v>
      </x:c>
      <x:c r="B1001" s="11" t="str">
        <x:v>三年</x:v>
      </x:c>
      <x:c r="C1001" s="11" t="str">
        <x:v>基准</x:v>
      </x:c>
      <x:c r="D1001" s="11" t="str">
        <x:v>EPS</x:v>
      </x:c>
      <x:c r="E1001" s="18" t="n">
        <x:v>3.5</x:v>
      </x:c>
      <x:c r="F1001" s="18" t="n">
        <x:v>22</x:v>
      </x:c>
      <x:c r="G1001" s="18" t="n">
        <x:v>1.1</x:v>
      </x:c>
      <x:c r="H1001" s="18" t="n">
        <x:v>0</x:v>
      </x:c>
      <x:c r="I1001" s="18"/>
      <x:c r="J1001" s="20"/>
      <x:c r="K1001" s="22"/>
      <x:c r="L1001" s="11" t="str">
        <x:v>wuxi-bio-v1</x:v>
      </x:c>
      <x:c r="M1001" s="11" t="str">
        <x:v>2029-10-09</x:v>
      </x:c>
      <x:c r="O1001" t="str">
        <x:v>CNY</x:v>
      </x:c>
      <x:c r="V1001" t="str">
        <x:v>2029-10-09</x:v>
      </x:c>
      <x:c r="W1001" t="str">
        <x:v>待核</x:v>
      </x:c>
      <x:c r="X1001" t="str">
        <x:v>周末已解析；节假日需交易所对应年度日历核验，实际交易日待核</x:v>
      </x:c>
    </x:row>
    <x:row r="1002" ht="23" customHeight="1">
      <x:c r="A1002" s="11" t="str">
        <x:v>02269.HK</x:v>
      </x:c>
      <x:c r="B1002" s="11" t="str">
        <x:v>三年</x:v>
      </x:c>
      <x:c r="C1002" s="11" t="str">
        <x:v>乐观</x:v>
      </x:c>
      <x:c r="D1002" s="11" t="str">
        <x:v>EPS</x:v>
      </x:c>
      <x:c r="E1002" s="18" t="n">
        <x:v>5</x:v>
      </x:c>
      <x:c r="F1002" s="18" t="n">
        <x:v>27</x:v>
      </x:c>
      <x:c r="G1002" s="18" t="n">
        <x:v>1.1</x:v>
      </x:c>
      <x:c r="H1002" s="18" t="n">
        <x:v>0</x:v>
      </x:c>
      <x:c r="I1002" s="18"/>
      <x:c r="J1002" s="20"/>
      <x:c r="K1002" s="22"/>
      <x:c r="L1002" s="11" t="str">
        <x:v>wuxi-bio-v1</x:v>
      </x:c>
      <x:c r="M1002" s="11" t="str">
        <x:v>2029-10-09</x:v>
      </x:c>
      <x:c r="O1002" t="str">
        <x:v>CNY</x:v>
      </x:c>
      <x:c r="V1002" t="str">
        <x:v>2029-10-09</x:v>
      </x:c>
      <x:c r="W1002" t="str">
        <x:v>待核</x:v>
      </x:c>
      <x:c r="X1002" t="str">
        <x:v>周末已解析；节假日需交易所对应年度日历核验，实际交易日待核</x:v>
      </x:c>
    </x:row>
    <x:row r="1003" ht="23" customHeight="1">
      <x:c r="A1003" s="15" t="str">
        <x:v>02269.HK</x:v>
      </x:c>
      <x:c r="B1003" s="15" t="str">
        <x:v>五年</x:v>
      </x:c>
      <x:c r="C1003" s="15" t="str">
        <x:v>活动输入</x:v>
      </x:c>
      <x:c r="D1003" s="15" t="str">
        <x:v>EPS</x:v>
      </x:c>
      <x:c r="E1003" s="17" t="n">
        <x:f>CHOOSE($B$3,E1004,E1005,E1006)</x:f>
        <x:v>4.6</x:v>
      </x:c>
      <x:c r="F1003" s="17" t="n">
        <x:f>CHOOSE($B$3,F1004,F1005,F1006)</x:f>
        <x:v>20</x:v>
      </x:c>
      <x:c r="G1003" s="17" t="n">
        <x:f>CHOOSE($B$3,G1004,G1005,G1006)</x:f>
        <x:v>1.1</x:v>
      </x:c>
      <x:c r="H1003" s="17" t="n">
        <x:f>CHOOSE($B$3,H1004,H1005,H1006)</x:f>
        <x:v>0</x:v>
      </x:c>
      <x:c r="I1003" s="17" t="str">
        <x:f>CHOOSE($B$3,I1004,I1005,I1006)</x:f>
      </x:c>
      <x:c r="J1003" s="19" t="str">
        <x:f>CHOOSE($B$3,J1004,J1005,J1006)</x:f>
      </x:c>
      <x:c r="K1003" s="21" t="str">
        <x:f>CHOOSE($B$3,K1004,K1005,K1006)</x:f>
      </x:c>
      <x:c r="L1003" s="15" t="str">
        <x:v>wuxi-bio-v1</x:v>
      </x:c>
      <x:c r="M1003" s="15" t="str">
        <x:v>2031-10-09</x:v>
      </x:c>
      <x:c r="O1003" t="str">
        <x:v>CNY</x:v>
      </x:c>
      <x:c r="V1003" t="str">
        <x:v>2031-10-09</x:v>
      </x:c>
      <x:c r="W1003" t="str">
        <x:v>待核</x:v>
      </x:c>
      <x:c r="X1003" t="str">
        <x:v>周末已解析；节假日需交易所对应年度日历核验，实际交易日待核</x:v>
      </x:c>
    </x:row>
    <x:row r="1004" ht="23" customHeight="1">
      <x:c r="A1004" s="11" t="str">
        <x:v>02269.HK</x:v>
      </x:c>
      <x:c r="B1004" s="11" t="str">
        <x:v>五年</x:v>
      </x:c>
      <x:c r="C1004" s="11" t="str">
        <x:v>悲观</x:v>
      </x:c>
      <x:c r="D1004" s="11" t="str">
        <x:v>EPS</x:v>
      </x:c>
      <x:c r="E1004" s="18" t="n">
        <x:v>2.6</x:v>
      </x:c>
      <x:c r="F1004" s="18" t="n">
        <x:v>15</x:v>
      </x:c>
      <x:c r="G1004" s="18" t="n">
        <x:v>1.1</x:v>
      </x:c>
      <x:c r="H1004" s="18" t="n">
        <x:v>0</x:v>
      </x:c>
      <x:c r="I1004" s="18"/>
      <x:c r="J1004" s="20"/>
      <x:c r="K1004" s="22"/>
      <x:c r="L1004" s="11" t="str">
        <x:v>wuxi-bio-v1</x:v>
      </x:c>
      <x:c r="M1004" s="11" t="str">
        <x:v>2031-10-09</x:v>
      </x:c>
      <x:c r="O1004" t="str">
        <x:v>CNY</x:v>
      </x:c>
      <x:c r="V1004" t="str">
        <x:v>2031-10-09</x:v>
      </x:c>
      <x:c r="W1004" t="str">
        <x:v>待核</x:v>
      </x:c>
      <x:c r="X1004" t="str">
        <x:v>周末已解析；节假日需交易所对应年度日历核验，实际交易日待核</x:v>
      </x:c>
    </x:row>
    <x:row r="1005" ht="23" customHeight="1">
      <x:c r="A1005" s="11" t="str">
        <x:v>02269.HK</x:v>
      </x:c>
      <x:c r="B1005" s="11" t="str">
        <x:v>五年</x:v>
      </x:c>
      <x:c r="C1005" s="11" t="str">
        <x:v>基准</x:v>
      </x:c>
      <x:c r="D1005" s="11" t="str">
        <x:v>EPS</x:v>
      </x:c>
      <x:c r="E1005" s="18" t="n">
        <x:v>4.6</x:v>
      </x:c>
      <x:c r="F1005" s="18" t="n">
        <x:v>20</x:v>
      </x:c>
      <x:c r="G1005" s="18" t="n">
        <x:v>1.1</x:v>
      </x:c>
      <x:c r="H1005" s="18" t="n">
        <x:v>0</x:v>
      </x:c>
      <x:c r="I1005" s="18"/>
      <x:c r="J1005" s="20"/>
      <x:c r="K1005" s="22"/>
      <x:c r="L1005" s="11" t="str">
        <x:v>wuxi-bio-v1</x:v>
      </x:c>
      <x:c r="M1005" s="11" t="str">
        <x:v>2031-10-09</x:v>
      </x:c>
      <x:c r="O1005" t="str">
        <x:v>CNY</x:v>
      </x:c>
      <x:c r="V1005" t="str">
        <x:v>2031-10-09</x:v>
      </x:c>
      <x:c r="W1005" t="str">
        <x:v>待核</x:v>
      </x:c>
      <x:c r="X1005" t="str">
        <x:v>周末已解析；节假日需交易所对应年度日历核验，实际交易日待核</x:v>
      </x:c>
    </x:row>
    <x:row r="1006" ht="23" customHeight="1">
      <x:c r="A1006" s="11" t="str">
        <x:v>02269.HK</x:v>
      </x:c>
      <x:c r="B1006" s="11" t="str">
        <x:v>五年</x:v>
      </x:c>
      <x:c r="C1006" s="11" t="str">
        <x:v>乐观</x:v>
      </x:c>
      <x:c r="D1006" s="11" t="str">
        <x:v>EPS</x:v>
      </x:c>
      <x:c r="E1006" s="18" t="n">
        <x:v>7.3</x:v>
      </x:c>
      <x:c r="F1006" s="18" t="n">
        <x:v>25</x:v>
      </x:c>
      <x:c r="G1006" s="18" t="n">
        <x:v>1.1</x:v>
      </x:c>
      <x:c r="H1006" s="18" t="n">
        <x:v>0</x:v>
      </x:c>
      <x:c r="I1006" s="18"/>
      <x:c r="J1006" s="20"/>
      <x:c r="K1006" s="22"/>
      <x:c r="L1006" s="11" t="str">
        <x:v>wuxi-bio-v1</x:v>
      </x:c>
      <x:c r="M1006" s="11" t="str">
        <x:v>2031-10-09</x:v>
      </x:c>
      <x:c r="O1006" t="str">
        <x:v>CNY</x:v>
      </x:c>
      <x:c r="V1006" t="str">
        <x:v>2031-10-09</x:v>
      </x:c>
      <x:c r="W1006" t="str">
        <x:v>待核</x:v>
      </x:c>
      <x:c r="X1006" t="str">
        <x:v>周末已解析；节假日需交易所对应年度日历核验，实际交易日待核</x:v>
      </x:c>
    </x:row>
    <x:row r="1007" ht="23" customHeight="1">
      <x:c r="A1007" s="15" t="str">
        <x:v>02268.HK</x:v>
      </x:c>
      <x:c r="B1007" s="15" t="str">
        <x:v>2026年底</x:v>
      </x:c>
      <x:c r="C1007" s="15" t="str">
        <x:v>活动输入</x:v>
      </x:c>
      <x:c r="D1007" s="15" t="str">
        <x:v>收入利润率</x:v>
      </x:c>
      <x:c r="E1007" s="17" t="n">
        <x:f>CHOOSE($B$3,E1008,E1009,E1010)</x:f>
        <x:v>2.2</x:v>
      </x:c>
      <x:c r="F1007" s="17" t="n">
        <x:f>CHOOSE($B$3,F1008,F1009,F1010)</x:f>
        <x:v>34</x:v>
      </x:c>
      <x:c r="G1007" s="17" t="n">
        <x:f>CHOOSE($B$3,G1008,G1009,G1010)</x:f>
        <x:v>1.1</x:v>
      </x:c>
      <x:c r="H1007" s="17" t="n">
        <x:f>CHOOSE($B$3,H1008,H1009,H1010)</x:f>
        <x:v>0</x:v>
      </x:c>
      <x:c r="I1007" s="17" t="n">
        <x:f>CHOOSE($B$3,I1008,I1009,I1010)</x:f>
        <x:v>11.4</x:v>
      </x:c>
      <x:c r="J1007" s="19" t="n">
        <x:f>CHOOSE($B$3,J1008,J1009,J1010)</x:f>
        <x:v>0.27017543859649124</x:v>
      </x:c>
      <x:c r="K1007" s="21" t="n">
        <x:f>CHOOSE($B$3,K1008,K1009,K1010)</x:f>
        <x:v>1.4</x:v>
      </x:c>
      <x:c r="L1007" s="15" t="str">
        <x:v>wuxi-xdc-v1</x:v>
      </x:c>
      <x:c r="M1007" s="15" t="str">
        <x:v>2026-12-31</x:v>
      </x:c>
      <x:c r="O1007" t="str">
        <x:v>CNY</x:v>
      </x:c>
      <x:c r="V1007" t="str">
        <x:v>2026-12-31</x:v>
      </x:c>
      <x:c r="W1007" t="str">
        <x:v>待核</x:v>
      </x:c>
      <x:c r="X1007" t="str">
        <x:v>周末已解析；节假日需交易所对应年度日历核验，实际交易日待核</x:v>
      </x:c>
    </x:row>
    <x:row r="1008" ht="23" customHeight="1">
      <x:c r="A1008" s="11" t="str">
        <x:v>02268.HK</x:v>
      </x:c>
      <x:c r="B1008" s="11" t="str">
        <x:v>2026年底</x:v>
      </x:c>
      <x:c r="C1008" s="11" t="str">
        <x:v>悲观</x:v>
      </x:c>
      <x:c r="D1008" s="11" t="str">
        <x:v>收入利润率</x:v>
      </x:c>
      <x:c r="E1008" s="18" t="n">
        <x:v>1.65</x:v>
      </x:c>
      <x:c r="F1008" s="18" t="n">
        <x:v>25</x:v>
      </x:c>
      <x:c r="G1008" s="18" t="n">
        <x:v>1.1</x:v>
      </x:c>
      <x:c r="H1008" s="18" t="n">
        <x:v>0</x:v>
      </x:c>
      <x:c r="I1008" s="18" t="n">
        <x:v>9.5</x:v>
      </x:c>
      <x:c r="J1008" s="20" t="n">
        <x:v>0.24836842105263154</x:v>
      </x:c>
      <x:c r="K1008" s="22" t="n">
        <x:v>1.43</x:v>
      </x:c>
      <x:c r="L1008" s="11" t="str">
        <x:v>wuxi-xdc-v1</x:v>
      </x:c>
      <x:c r="M1008" s="11" t="str">
        <x:v>2026-12-31</x:v>
      </x:c>
      <x:c r="O1008" t="str">
        <x:v>CNY</x:v>
      </x:c>
      <x:c r="V1008" t="str">
        <x:v>2026-12-31</x:v>
      </x:c>
      <x:c r="W1008" t="str">
        <x:v>待核</x:v>
      </x:c>
      <x:c r="X1008" t="str">
        <x:v>周末已解析；节假日需交易所对应年度日历核验，实际交易日待核</x:v>
      </x:c>
    </x:row>
    <x:row r="1009" ht="23" customHeight="1">
      <x:c r="A1009" s="11" t="str">
        <x:v>02268.HK</x:v>
      </x:c>
      <x:c r="B1009" s="11" t="str">
        <x:v>2026年底</x:v>
      </x:c>
      <x:c r="C1009" s="11" t="str">
        <x:v>基准</x:v>
      </x:c>
      <x:c r="D1009" s="11" t="str">
        <x:v>收入利润率</x:v>
      </x:c>
      <x:c r="E1009" s="18" t="n">
        <x:v>2.2</x:v>
      </x:c>
      <x:c r="F1009" s="18" t="n">
        <x:v>34</x:v>
      </x:c>
      <x:c r="G1009" s="18" t="n">
        <x:v>1.1</x:v>
      </x:c>
      <x:c r="H1009" s="18" t="n">
        <x:v>0</x:v>
      </x:c>
      <x:c r="I1009" s="18" t="n">
        <x:v>11.4</x:v>
      </x:c>
      <x:c r="J1009" s="20" t="n">
        <x:v>0.27017543859649124</x:v>
      </x:c>
      <x:c r="K1009" s="22" t="n">
        <x:v>1.4</x:v>
      </x:c>
      <x:c r="L1009" s="11" t="str">
        <x:v>wuxi-xdc-v1</x:v>
      </x:c>
      <x:c r="M1009" s="11" t="str">
        <x:v>2026-12-31</x:v>
      </x:c>
      <x:c r="O1009" t="str">
        <x:v>CNY</x:v>
      </x:c>
      <x:c r="V1009" t="str">
        <x:v>2026-12-31</x:v>
      </x:c>
      <x:c r="W1009" t="str">
        <x:v>待核</x:v>
      </x:c>
      <x:c r="X1009" t="str">
        <x:v>周末已解析；节假日需交易所对应年度日历核验，实际交易日待核</x:v>
      </x:c>
    </x:row>
    <x:row r="1010" ht="23" customHeight="1">
      <x:c r="A1010" s="11" t="str">
        <x:v>02268.HK</x:v>
      </x:c>
      <x:c r="B1010" s="11" t="str">
        <x:v>2026年底</x:v>
      </x:c>
      <x:c r="C1010" s="11" t="str">
        <x:v>乐观</x:v>
      </x:c>
      <x:c r="D1010" s="11" t="str">
        <x:v>收入利润率</x:v>
      </x:c>
      <x:c r="E1010" s="18" t="n">
        <x:v>2.75</x:v>
      </x:c>
      <x:c r="F1010" s="18" t="n">
        <x:v>40</x:v>
      </x:c>
      <x:c r="G1010" s="18" t="n">
        <x:v>1.1</x:v>
      </x:c>
      <x:c r="H1010" s="18" t="n">
        <x:v>0</x:v>
      </x:c>
      <x:c r="I1010" s="18" t="n">
        <x:v>13.5</x:v>
      </x:c>
      <x:c r="J1010" s="20" t="n">
        <x:v>0.28518518518518515</x:v>
      </x:c>
      <x:c r="K1010" s="22" t="n">
        <x:v>1.4</x:v>
      </x:c>
      <x:c r="L1010" s="11" t="str">
        <x:v>wuxi-xdc-v1</x:v>
      </x:c>
      <x:c r="M1010" s="11" t="str">
        <x:v>2026-12-31</x:v>
      </x:c>
      <x:c r="O1010" t="str">
        <x:v>CNY</x:v>
      </x:c>
      <x:c r="V1010" t="str">
        <x:v>2026-12-31</x:v>
      </x:c>
      <x:c r="W1010" t="str">
        <x:v>待核</x:v>
      </x:c>
      <x:c r="X1010" t="str">
        <x:v>周末已解析；节假日需交易所对应年度日历核验，实际交易日待核</x:v>
      </x:c>
    </x:row>
    <x:row r="1011" ht="23" customHeight="1">
      <x:c r="A1011" s="15" t="str">
        <x:v>02268.HK</x:v>
      </x:c>
      <x:c r="B1011" s="15" t="str">
        <x:v>半年</x:v>
      </x:c>
      <x:c r="C1011" s="15" t="str">
        <x:v>活动输入</x:v>
      </x:c>
      <x:c r="D1011" s="15" t="str">
        <x:v>收入利润率</x:v>
      </x:c>
      <x:c r="E1011" s="17" t="n">
        <x:f>CHOOSE($B$3,E1012,E1013,E1014)</x:f>
        <x:v>2.2</x:v>
      </x:c>
      <x:c r="F1011" s="17" t="n">
        <x:f>CHOOSE($B$3,F1012,F1013,F1014)</x:f>
        <x:v>37</x:v>
      </x:c>
      <x:c r="G1011" s="17" t="n">
        <x:f>CHOOSE($B$3,G1012,G1013,G1014)</x:f>
        <x:v>1.1</x:v>
      </x:c>
      <x:c r="H1011" s="17" t="n">
        <x:f>CHOOSE($B$3,H1012,H1013,H1014)</x:f>
        <x:v>0</x:v>
      </x:c>
      <x:c r="I1011" s="17" t="n">
        <x:f>CHOOSE($B$3,I1012,I1013,I1014)</x:f>
        <x:v>11.4</x:v>
      </x:c>
      <x:c r="J1011" s="19" t="n">
        <x:f>CHOOSE($B$3,J1012,J1013,J1014)</x:f>
        <x:v>0.27017543859649124</x:v>
      </x:c>
      <x:c r="K1011" s="21" t="n">
        <x:f>CHOOSE($B$3,K1012,K1013,K1014)</x:f>
        <x:v>1.4</x:v>
      </x:c>
      <x:c r="L1011" s="15" t="str">
        <x:v>wuxi-xdc-v1</x:v>
      </x:c>
      <x:c r="M1011" s="15" t="str">
        <x:v>2027-04-09</x:v>
      </x:c>
      <x:c r="O1011" t="str">
        <x:v>CNY</x:v>
      </x:c>
      <x:c r="V1011" t="str">
        <x:v>2027-04-09</x:v>
      </x:c>
      <x:c r="W1011" t="str">
        <x:v>待核</x:v>
      </x:c>
      <x:c r="X1011" t="str">
        <x:v>周末已解析；节假日需交易所对应年度日历核验，实际交易日待核</x:v>
      </x:c>
    </x:row>
    <x:row r="1012" ht="23" customHeight="1">
      <x:c r="A1012" s="11" t="str">
        <x:v>02268.HK</x:v>
      </x:c>
      <x:c r="B1012" s="11" t="str">
        <x:v>半年</x:v>
      </x:c>
      <x:c r="C1012" s="11" t="str">
        <x:v>悲观</x:v>
      </x:c>
      <x:c r="D1012" s="11" t="str">
        <x:v>收入利润率</x:v>
      </x:c>
      <x:c r="E1012" s="18" t="n">
        <x:v>1.65</x:v>
      </x:c>
      <x:c r="F1012" s="18" t="n">
        <x:v>27</x:v>
      </x:c>
      <x:c r="G1012" s="18" t="n">
        <x:v>1.1</x:v>
      </x:c>
      <x:c r="H1012" s="18" t="n">
        <x:v>0</x:v>
      </x:c>
      <x:c r="I1012" s="18" t="n">
        <x:v>9.5</x:v>
      </x:c>
      <x:c r="J1012" s="20" t="n">
        <x:v>0.24836842105263154</x:v>
      </x:c>
      <x:c r="K1012" s="22" t="n">
        <x:v>1.43</x:v>
      </x:c>
      <x:c r="L1012" s="11" t="str">
        <x:v>wuxi-xdc-v1</x:v>
      </x:c>
      <x:c r="M1012" s="11" t="str">
        <x:v>2027-04-09</x:v>
      </x:c>
      <x:c r="O1012" t="str">
        <x:v>CNY</x:v>
      </x:c>
      <x:c r="V1012" t="str">
        <x:v>2027-04-09</x:v>
      </x:c>
      <x:c r="W1012" t="str">
        <x:v>待核</x:v>
      </x:c>
      <x:c r="X1012" t="str">
        <x:v>周末已解析；节假日需交易所对应年度日历核验，实际交易日待核</x:v>
      </x:c>
    </x:row>
    <x:row r="1013" ht="23" customHeight="1">
      <x:c r="A1013" s="11" t="str">
        <x:v>02268.HK</x:v>
      </x:c>
      <x:c r="B1013" s="11" t="str">
        <x:v>半年</x:v>
      </x:c>
      <x:c r="C1013" s="11" t="str">
        <x:v>基准</x:v>
      </x:c>
      <x:c r="D1013" s="11" t="str">
        <x:v>收入利润率</x:v>
      </x:c>
      <x:c r="E1013" s="18" t="n">
        <x:v>2.2</x:v>
      </x:c>
      <x:c r="F1013" s="18" t="n">
        <x:v>37</x:v>
      </x:c>
      <x:c r="G1013" s="18" t="n">
        <x:v>1.1</x:v>
      </x:c>
      <x:c r="H1013" s="18" t="n">
        <x:v>0</x:v>
      </x:c>
      <x:c r="I1013" s="18" t="n">
        <x:v>11.4</x:v>
      </x:c>
      <x:c r="J1013" s="20" t="n">
        <x:v>0.27017543859649124</x:v>
      </x:c>
      <x:c r="K1013" s="22" t="n">
        <x:v>1.4</x:v>
      </x:c>
      <x:c r="L1013" s="11" t="str">
        <x:v>wuxi-xdc-v1</x:v>
      </x:c>
      <x:c r="M1013" s="11" t="str">
        <x:v>2027-04-09</x:v>
      </x:c>
      <x:c r="O1013" t="str">
        <x:v>CNY</x:v>
      </x:c>
      <x:c r="V1013" t="str">
        <x:v>2027-04-09</x:v>
      </x:c>
      <x:c r="W1013" t="str">
        <x:v>待核</x:v>
      </x:c>
      <x:c r="X1013" t="str">
        <x:v>周末已解析；节假日需交易所对应年度日历核验，实际交易日待核</x:v>
      </x:c>
    </x:row>
    <x:row r="1014" ht="23" customHeight="1">
      <x:c r="A1014" s="11" t="str">
        <x:v>02268.HK</x:v>
      </x:c>
      <x:c r="B1014" s="11" t="str">
        <x:v>半年</x:v>
      </x:c>
      <x:c r="C1014" s="11" t="str">
        <x:v>乐观</x:v>
      </x:c>
      <x:c r="D1014" s="11" t="str">
        <x:v>收入利润率</x:v>
      </x:c>
      <x:c r="E1014" s="18" t="n">
        <x:v>2.75</x:v>
      </x:c>
      <x:c r="F1014" s="18" t="n">
        <x:v>45</x:v>
      </x:c>
      <x:c r="G1014" s="18" t="n">
        <x:v>1.1</x:v>
      </x:c>
      <x:c r="H1014" s="18" t="n">
        <x:v>0</x:v>
      </x:c>
      <x:c r="I1014" s="18" t="n">
        <x:v>13.5</x:v>
      </x:c>
      <x:c r="J1014" s="20" t="n">
        <x:v>0.28518518518518515</x:v>
      </x:c>
      <x:c r="K1014" s="22" t="n">
        <x:v>1.4</x:v>
      </x:c>
      <x:c r="L1014" s="11" t="str">
        <x:v>wuxi-xdc-v1</x:v>
      </x:c>
      <x:c r="M1014" s="11" t="str">
        <x:v>2027-04-09</x:v>
      </x:c>
      <x:c r="O1014" t="str">
        <x:v>CNY</x:v>
      </x:c>
      <x:c r="V1014" t="str">
        <x:v>2027-04-09</x:v>
      </x:c>
      <x:c r="W1014" t="str">
        <x:v>待核</x:v>
      </x:c>
      <x:c r="X1014" t="str">
        <x:v>周末已解析；节假日需交易所对应年度日历核验，实际交易日待核</x:v>
      </x:c>
    </x:row>
    <x:row r="1015" ht="23" customHeight="1">
      <x:c r="A1015" s="15" t="str">
        <x:v>02268.HK</x:v>
      </x:c>
      <x:c r="B1015" s="15" t="str">
        <x:v>一年</x:v>
      </x:c>
      <x:c r="C1015" s="15" t="str">
        <x:v>活动输入</x:v>
      </x:c>
      <x:c r="D1015" s="15" t="str">
        <x:v>收入利润率</x:v>
      </x:c>
      <x:c r="E1015" s="17" t="n">
        <x:f>CHOOSE($B$3,E1016,E1017,E1018)</x:f>
        <x:v>2.95</x:v>
      </x:c>
      <x:c r="F1015" s="17" t="n">
        <x:f>CHOOSE($B$3,F1016,F1017,F1018)</x:f>
        <x:v>34</x:v>
      </x:c>
      <x:c r="G1015" s="17" t="n">
        <x:f>CHOOSE($B$3,G1016,G1017,G1018)</x:f>
        <x:v>1.1</x:v>
      </x:c>
      <x:c r="H1015" s="17" t="n">
        <x:f>CHOOSE($B$3,H1016,H1017,H1018)</x:f>
        <x:v>0</x:v>
      </x:c>
      <x:c r="I1015" s="17" t="n">
        <x:f>CHOOSE($B$3,I1016,I1017,I1018)</x:f>
        <x:v>14.8</x:v>
      </x:c>
      <x:c r="J1015" s="19" t="n">
        <x:f>CHOOSE($B$3,J1016,J1017,J1018)</x:f>
        <x:v>0.28503378378378375</x:v>
      </x:c>
      <x:c r="K1015" s="21" t="n">
        <x:f>CHOOSE($B$3,K1016,K1017,K1018)</x:f>
        <x:v>1.43</x:v>
      </x:c>
      <x:c r="L1015" s="15" t="str">
        <x:v>wuxi-xdc-v1</x:v>
      </x:c>
      <x:c r="M1015" s="15" t="str">
        <x:v>2027-10-09</x:v>
      </x:c>
      <x:c r="O1015" t="str">
        <x:v>CNY</x:v>
      </x:c>
      <x:c r="V1015" t="str">
        <x:v>2027-10-08</x:v>
      </x:c>
      <x:c r="W1015" t="str">
        <x:v>待核</x:v>
      </x:c>
      <x:c r="X1015" t="str">
        <x:v>周末已解析；节假日需交易所对应年度日历核验，实际交易日待核</x:v>
      </x:c>
    </x:row>
    <x:row r="1016" ht="23" customHeight="1">
      <x:c r="A1016" s="11" t="str">
        <x:v>02268.HK</x:v>
      </x:c>
      <x:c r="B1016" s="11" t="str">
        <x:v>一年</x:v>
      </x:c>
      <x:c r="C1016" s="11" t="str">
        <x:v>悲观</x:v>
      </x:c>
      <x:c r="D1016" s="11" t="str">
        <x:v>收入利润率</x:v>
      </x:c>
      <x:c r="E1016" s="18" t="n">
        <x:v>2.1</x:v>
      </x:c>
      <x:c r="F1016" s="18" t="n">
        <x:v>24</x:v>
      </x:c>
      <x:c r="G1016" s="18" t="n">
        <x:v>1.1</x:v>
      </x:c>
      <x:c r="H1016" s="18" t="n">
        <x:v>0</x:v>
      </x:c>
      <x:c r="I1016" s="18" t="n">
        <x:v>11.5</x:v>
      </x:c>
      <x:c r="J1016" s="20" t="n">
        <x:v>0.2684347826086957</x:v>
      </x:c>
      <x:c r="K1016" s="22" t="n">
        <x:v>1.47</x:v>
      </x:c>
      <x:c r="L1016" s="11" t="str">
        <x:v>wuxi-xdc-v1</x:v>
      </x:c>
      <x:c r="M1016" s="11" t="str">
        <x:v>2027-10-09</x:v>
      </x:c>
      <x:c r="O1016" t="str">
        <x:v>CNY</x:v>
      </x:c>
      <x:c r="V1016" t="str">
        <x:v>2027-10-08</x:v>
      </x:c>
      <x:c r="W1016" t="str">
        <x:v>待核</x:v>
      </x:c>
      <x:c r="X1016" t="str">
        <x:v>周末已解析；节假日需交易所对应年度日历核验，实际交易日待核</x:v>
      </x:c>
    </x:row>
    <x:row r="1017" ht="23" customHeight="1">
      <x:c r="A1017" s="11" t="str">
        <x:v>02268.HK</x:v>
      </x:c>
      <x:c r="B1017" s="11" t="str">
        <x:v>一年</x:v>
      </x:c>
      <x:c r="C1017" s="11" t="str">
        <x:v>基准</x:v>
      </x:c>
      <x:c r="D1017" s="11" t="str">
        <x:v>收入利润率</x:v>
      </x:c>
      <x:c r="E1017" s="18" t="n">
        <x:v>2.95</x:v>
      </x:c>
      <x:c r="F1017" s="18" t="n">
        <x:v>34</x:v>
      </x:c>
      <x:c r="G1017" s="18" t="n">
        <x:v>1.1</x:v>
      </x:c>
      <x:c r="H1017" s="18" t="n">
        <x:v>0</x:v>
      </x:c>
      <x:c r="I1017" s="18" t="n">
        <x:v>14.8</x:v>
      </x:c>
      <x:c r="J1017" s="20" t="n">
        <x:v>0.28503378378378375</x:v>
      </x:c>
      <x:c r="K1017" s="22" t="n">
        <x:v>1.43</x:v>
      </x:c>
      <x:c r="L1017" s="11" t="str">
        <x:v>wuxi-xdc-v1</x:v>
      </x:c>
      <x:c r="M1017" s="11" t="str">
        <x:v>2027-10-09</x:v>
      </x:c>
      <x:c r="O1017" t="str">
        <x:v>CNY</x:v>
      </x:c>
      <x:c r="V1017" t="str">
        <x:v>2027-10-08</x:v>
      </x:c>
      <x:c r="W1017" t="str">
        <x:v>待核</x:v>
      </x:c>
      <x:c r="X1017" t="str">
        <x:v>周末已解析；节假日需交易所对应年度日历核验，实际交易日待核</x:v>
      </x:c>
    </x:row>
    <x:row r="1018" ht="23" customHeight="1">
      <x:c r="A1018" s="11" t="str">
        <x:v>02268.HK</x:v>
      </x:c>
      <x:c r="B1018" s="11" t="str">
        <x:v>一年</x:v>
      </x:c>
      <x:c r="C1018" s="11" t="str">
        <x:v>乐观</x:v>
      </x:c>
      <x:c r="D1018" s="11" t="str">
        <x:v>收入利润率</x:v>
      </x:c>
      <x:c r="E1018" s="18" t="n">
        <x:v>3.85</x:v>
      </x:c>
      <x:c r="F1018" s="18" t="n">
        <x:v>42</x:v>
      </x:c>
      <x:c r="G1018" s="18" t="n">
        <x:v>1.1</x:v>
      </x:c>
      <x:c r="H1018" s="18" t="n">
        <x:v>0</x:v>
      </x:c>
      <x:c r="I1018" s="18" t="n">
        <x:v>18</x:v>
      </x:c>
      <x:c r="J1018" s="20" t="n">
        <x:v>0.3058611111111111</x:v>
      </x:c>
      <x:c r="K1018" s="22" t="n">
        <x:v>1.43</x:v>
      </x:c>
      <x:c r="L1018" s="11" t="str">
        <x:v>wuxi-xdc-v1</x:v>
      </x:c>
      <x:c r="M1018" s="11" t="str">
        <x:v>2027-10-09</x:v>
      </x:c>
      <x:c r="O1018" t="str">
        <x:v>CNY</x:v>
      </x:c>
      <x:c r="V1018" t="str">
        <x:v>2027-10-08</x:v>
      </x:c>
      <x:c r="W1018" t="str">
        <x:v>待核</x:v>
      </x:c>
      <x:c r="X1018" t="str">
        <x:v>周末已解析；节假日需交易所对应年度日历核验，实际交易日待核</x:v>
      </x:c>
    </x:row>
    <x:row r="1019" ht="23" customHeight="1">
      <x:c r="A1019" s="15" t="str">
        <x:v>02268.HK</x:v>
      </x:c>
      <x:c r="B1019" s="15" t="str">
        <x:v>三年</x:v>
      </x:c>
      <x:c r="C1019" s="15" t="str">
        <x:v>活动输入</x:v>
      </x:c>
      <x:c r="D1019" s="15" t="str">
        <x:v>收入利润率</x:v>
      </x:c>
      <x:c r="E1019" s="17" t="n">
        <x:f>CHOOSE($B$3,E1020,E1021,E1022)</x:f>
        <x:v>4.1</x:v>
      </x:c>
      <x:c r="F1019" s="17" t="n">
        <x:f>CHOOSE($B$3,F1020,F1021,F1022)</x:f>
        <x:v>30</x:v>
      </x:c>
      <x:c r="G1019" s="17" t="n">
        <x:f>CHOOSE($B$3,G1020,G1021,G1022)</x:f>
        <x:v>1.1</x:v>
      </x:c>
      <x:c r="H1019" s="17" t="n">
        <x:f>CHOOSE($B$3,H1020,H1021,H1022)</x:f>
        <x:v>0</x:v>
      </x:c>
      <x:c r="I1019" s="17" t="n">
        <x:f>CHOOSE($B$3,I1020,I1021,I1022)</x:f>
        <x:v>19.5</x:v>
      </x:c>
      <x:c r="J1019" s="19" t="n">
        <x:f>CHOOSE($B$3,J1020,J1021,J1022)</x:f>
        <x:v>0.306974358974359</x:v>
      </x:c>
      <x:c r="K1019" s="21" t="n">
        <x:f>CHOOSE($B$3,K1020,K1021,K1022)</x:f>
        <x:v>1.46</x:v>
      </x:c>
      <x:c r="L1019" s="15" t="str">
        <x:v>wuxi-xdc-v1</x:v>
      </x:c>
      <x:c r="M1019" s="15" t="str">
        <x:v>2029-10-09</x:v>
      </x:c>
      <x:c r="O1019" t="str">
        <x:v>CNY</x:v>
      </x:c>
      <x:c r="V1019" t="str">
        <x:v>2029-10-09</x:v>
      </x:c>
      <x:c r="W1019" t="str">
        <x:v>待核</x:v>
      </x:c>
      <x:c r="X1019" t="str">
        <x:v>周末已解析；节假日需交易所对应年度日历核验，实际交易日待核</x:v>
      </x:c>
    </x:row>
    <x:row r="1020" ht="23" customHeight="1">
      <x:c r="A1020" s="11" t="str">
        <x:v>02268.HK</x:v>
      </x:c>
      <x:c r="B1020" s="11" t="str">
        <x:v>三年</x:v>
      </x:c>
      <x:c r="C1020" s="11" t="str">
        <x:v>悲观</x:v>
      </x:c>
      <x:c r="D1020" s="11" t="str">
        <x:v>收入利润率</x:v>
      </x:c>
      <x:c r="E1020" s="18" t="n">
        <x:v>2.7</x:v>
      </x:c>
      <x:c r="F1020" s="18" t="n">
        <x:v>22</x:v>
      </x:c>
      <x:c r="G1020" s="18" t="n">
        <x:v>1.1</x:v>
      </x:c>
      <x:c r="H1020" s="18" t="n">
        <x:v>0</x:v>
      </x:c>
      <x:c r="I1020" s="18" t="n">
        <x:v>14.5</x:v>
      </x:c>
      <x:c r="J1020" s="20" t="n">
        <x:v>0.2811724137931034</x:v>
      </x:c>
      <x:c r="K1020" s="22" t="n">
        <x:v>1.51</x:v>
      </x:c>
      <x:c r="L1020" s="11" t="str">
        <x:v>wuxi-xdc-v1</x:v>
      </x:c>
      <x:c r="M1020" s="11" t="str">
        <x:v>2029-10-09</x:v>
      </x:c>
      <x:c r="O1020" t="str">
        <x:v>CNY</x:v>
      </x:c>
      <x:c r="V1020" t="str">
        <x:v>2029-10-09</x:v>
      </x:c>
      <x:c r="W1020" t="str">
        <x:v>待核</x:v>
      </x:c>
      <x:c r="X1020" t="str">
        <x:v>周末已解析；节假日需交易所对应年度日历核验，实际交易日待核</x:v>
      </x:c>
    </x:row>
    <x:row r="1021" ht="23" customHeight="1">
      <x:c r="A1021" s="11" t="str">
        <x:v>02268.HK</x:v>
      </x:c>
      <x:c r="B1021" s="11" t="str">
        <x:v>三年</x:v>
      </x:c>
      <x:c r="C1021" s="11" t="str">
        <x:v>基准</x:v>
      </x:c>
      <x:c r="D1021" s="11" t="str">
        <x:v>收入利润率</x:v>
      </x:c>
      <x:c r="E1021" s="18" t="n">
        <x:v>4.1</x:v>
      </x:c>
      <x:c r="F1021" s="18" t="n">
        <x:v>30</x:v>
      </x:c>
      <x:c r="G1021" s="18" t="n">
        <x:v>1.1</x:v>
      </x:c>
      <x:c r="H1021" s="18" t="n">
        <x:v>0</x:v>
      </x:c>
      <x:c r="I1021" s="18" t="n">
        <x:v>19.5</x:v>
      </x:c>
      <x:c r="J1021" s="20" t="n">
        <x:v>0.306974358974359</x:v>
      </x:c>
      <x:c r="K1021" s="22" t="n">
        <x:v>1.46</x:v>
      </x:c>
      <x:c r="L1021" s="11" t="str">
        <x:v>wuxi-xdc-v1</x:v>
      </x:c>
      <x:c r="M1021" s="11" t="str">
        <x:v>2029-10-09</x:v>
      </x:c>
      <x:c r="O1021" t="str">
        <x:v>CNY</x:v>
      </x:c>
      <x:c r="V1021" t="str">
        <x:v>2029-10-09</x:v>
      </x:c>
      <x:c r="W1021" t="str">
        <x:v>待核</x:v>
      </x:c>
      <x:c r="X1021" t="str">
        <x:v>周末已解析；节假日需交易所对应年度日历核验，实际交易日待核</x:v>
      </x:c>
    </x:row>
    <x:row r="1022" ht="23" customHeight="1">
      <x:c r="A1022" s="11" t="str">
        <x:v>02268.HK</x:v>
      </x:c>
      <x:c r="B1022" s="11" t="str">
        <x:v>三年</x:v>
      </x:c>
      <x:c r="C1022" s="11" t="str">
        <x:v>乐观</x:v>
      </x:c>
      <x:c r="D1022" s="11" t="str">
        <x:v>收入利润率</x:v>
      </x:c>
      <x:c r="E1022" s="18" t="n">
        <x:v>6</x:v>
      </x:c>
      <x:c r="F1022" s="18" t="n">
        <x:v>38</x:v>
      </x:c>
      <x:c r="G1022" s="18" t="n">
        <x:v>1.1</x:v>
      </x:c>
      <x:c r="H1022" s="18" t="n">
        <x:v>0</x:v>
      </x:c>
      <x:c r="I1022" s="18" t="n">
        <x:v>26</x:v>
      </x:c>
      <x:c r="J1022" s="20" t="n">
        <x:v>0.33692307692307694</x:v>
      </x:c>
      <x:c r="K1022" s="22" t="n">
        <x:v>1.46</x:v>
      </x:c>
      <x:c r="L1022" s="11" t="str">
        <x:v>wuxi-xdc-v1</x:v>
      </x:c>
      <x:c r="M1022" s="11" t="str">
        <x:v>2029-10-09</x:v>
      </x:c>
      <x:c r="O1022" t="str">
        <x:v>CNY</x:v>
      </x:c>
      <x:c r="V1022" t="str">
        <x:v>2029-10-09</x:v>
      </x:c>
      <x:c r="W1022" t="str">
        <x:v>待核</x:v>
      </x:c>
      <x:c r="X1022" t="str">
        <x:v>周末已解析；节假日需交易所对应年度日历核验，实际交易日待核</x:v>
      </x:c>
    </x:row>
    <x:row r="1023" ht="23" customHeight="1">
      <x:c r="A1023" s="15" t="str">
        <x:v>02268.HK</x:v>
      </x:c>
      <x:c r="B1023" s="15" t="str">
        <x:v>五年</x:v>
      </x:c>
      <x:c r="C1023" s="15" t="str">
        <x:v>活动输入</x:v>
      </x:c>
      <x:c r="D1023" s="15" t="str">
        <x:v>收入利润率</x:v>
      </x:c>
      <x:c r="E1023" s="17" t="n">
        <x:f>CHOOSE($B$3,E1024,E1025,E1026)</x:f>
        <x:v>6.2</x:v>
      </x:c>
      <x:c r="F1023" s="17" t="n">
        <x:f>CHOOSE($B$3,F1024,F1025,F1026)</x:f>
        <x:v>27</x:v>
      </x:c>
      <x:c r="G1023" s="17" t="n">
        <x:f>CHOOSE($B$3,G1024,G1025,G1026)</x:f>
        <x:v>1.1</x:v>
      </x:c>
      <x:c r="H1023" s="17" t="n">
        <x:f>CHOOSE($B$3,H1024,H1025,H1026)</x:f>
        <x:v>0</x:v>
      </x:c>
      <x:c r="I1023" s="17" t="n">
        <x:f>CHOOSE($B$3,I1024,I1025,I1026)</x:f>
        <x:v>31</x:v>
      </x:c>
      <x:c r="J1023" s="19" t="n">
        <x:f>CHOOSE($B$3,J1024,J1025,J1026)</x:f>
        <x:v>0.306</x:v>
      </x:c>
      <x:c r="K1023" s="21" t="n">
        <x:f>CHOOSE($B$3,K1024,K1025,K1026)</x:f>
        <x:v>1.53</x:v>
      </x:c>
      <x:c r="L1023" s="15" t="str">
        <x:v>wuxi-xdc-v1</x:v>
      </x:c>
      <x:c r="M1023" s="15" t="str">
        <x:v>2031-10-09</x:v>
      </x:c>
      <x:c r="O1023" t="str">
        <x:v>CNY</x:v>
      </x:c>
      <x:c r="V1023" t="str">
        <x:v>2031-10-09</x:v>
      </x:c>
      <x:c r="W1023" t="str">
        <x:v>待核</x:v>
      </x:c>
      <x:c r="X1023" t="str">
        <x:v>周末已解析；节假日需交易所对应年度日历核验，实际交易日待核</x:v>
      </x:c>
    </x:row>
    <x:row r="1024" ht="23" customHeight="1">
      <x:c r="A1024" s="11" t="str">
        <x:v>02268.HK</x:v>
      </x:c>
      <x:c r="B1024" s="11" t="str">
        <x:v>五年</x:v>
      </x:c>
      <x:c r="C1024" s="11" t="str">
        <x:v>悲观</x:v>
      </x:c>
      <x:c r="D1024" s="11" t="str">
        <x:v>收入利润率</x:v>
      </x:c>
      <x:c r="E1024" s="18" t="n">
        <x:v>3.2</x:v>
      </x:c>
      <x:c r="F1024" s="18" t="n">
        <x:v>20</x:v>
      </x:c>
      <x:c r="G1024" s="18" t="n">
        <x:v>1.1</x:v>
      </x:c>
      <x:c r="H1024" s="18" t="n">
        <x:v>0</x:v>
      </x:c>
      <x:c r="I1024" s="18" t="n">
        <x:v>18</x:v>
      </x:c>
      <x:c r="J1024" s="20" t="n">
        <x:v>0.2844444444444445</x:v>
      </x:c>
      <x:c r="K1024" s="22" t="n">
        <x:v>1.6</x:v>
      </x:c>
      <x:c r="L1024" s="11" t="str">
        <x:v>wuxi-xdc-v1</x:v>
      </x:c>
      <x:c r="M1024" s="11" t="str">
        <x:v>2031-10-09</x:v>
      </x:c>
      <x:c r="O1024" t="str">
        <x:v>CNY</x:v>
      </x:c>
      <x:c r="V1024" t="str">
        <x:v>2031-10-09</x:v>
      </x:c>
      <x:c r="W1024" t="str">
        <x:v>待核</x:v>
      </x:c>
      <x:c r="X1024" t="str">
        <x:v>周末已解析；节假日需交易所对应年度日历核验，实际交易日待核</x:v>
      </x:c>
    </x:row>
    <x:row r="1025" ht="23" customHeight="1">
      <x:c r="A1025" s="11" t="str">
        <x:v>02268.HK</x:v>
      </x:c>
      <x:c r="B1025" s="11" t="str">
        <x:v>五年</x:v>
      </x:c>
      <x:c r="C1025" s="11" t="str">
        <x:v>基准</x:v>
      </x:c>
      <x:c r="D1025" s="11" t="str">
        <x:v>收入利润率</x:v>
      </x:c>
      <x:c r="E1025" s="18" t="n">
        <x:v>6.2</x:v>
      </x:c>
      <x:c r="F1025" s="18" t="n">
        <x:v>27</x:v>
      </x:c>
      <x:c r="G1025" s="18" t="n">
        <x:v>1.1</x:v>
      </x:c>
      <x:c r="H1025" s="18" t="n">
        <x:v>0</x:v>
      </x:c>
      <x:c r="I1025" s="18" t="n">
        <x:v>31</x:v>
      </x:c>
      <x:c r="J1025" s="20" t="n">
        <x:v>0.306</x:v>
      </x:c>
      <x:c r="K1025" s="22" t="n">
        <x:v>1.53</x:v>
      </x:c>
      <x:c r="L1025" s="11" t="str">
        <x:v>wuxi-xdc-v1</x:v>
      </x:c>
      <x:c r="M1025" s="11" t="str">
        <x:v>2031-10-09</x:v>
      </x:c>
      <x:c r="O1025" t="str">
        <x:v>CNY</x:v>
      </x:c>
      <x:c r="V1025" t="str">
        <x:v>2031-10-09</x:v>
      </x:c>
      <x:c r="W1025" t="str">
        <x:v>待核</x:v>
      </x:c>
      <x:c r="X1025" t="str">
        <x:v>周末已解析；节假日需交易所对应年度日历核验，实际交易日待核</x:v>
      </x:c>
    </x:row>
    <x:row r="1026" ht="23" customHeight="1">
      <x:c r="A1026" s="11" t="str">
        <x:v>02268.HK</x:v>
      </x:c>
      <x:c r="B1026" s="11" t="str">
        <x:v>五年</x:v>
      </x:c>
      <x:c r="C1026" s="11" t="str">
        <x:v>乐观</x:v>
      </x:c>
      <x:c r="D1026" s="11" t="str">
        <x:v>收入利润率</x:v>
      </x:c>
      <x:c r="E1026" s="18" t="n">
        <x:v>9.7</x:v>
      </x:c>
      <x:c r="F1026" s="18" t="n">
        <x:v>35</x:v>
      </x:c>
      <x:c r="G1026" s="18" t="n">
        <x:v>1.1</x:v>
      </x:c>
      <x:c r="H1026" s="18" t="n">
        <x:v>0</x:v>
      </x:c>
      <x:c r="I1026" s="18" t="n">
        <x:v>45</x:v>
      </x:c>
      <x:c r="J1026" s="20" t="n">
        <x:v>0.3298</x:v>
      </x:c>
      <x:c r="K1026" s="22" t="n">
        <x:v>1.53</x:v>
      </x:c>
      <x:c r="L1026" s="11" t="str">
        <x:v>wuxi-xdc-v1</x:v>
      </x:c>
      <x:c r="M1026" s="11" t="str">
        <x:v>2031-10-09</x:v>
      </x:c>
      <x:c r="O1026" t="str">
        <x:v>CNY</x:v>
      </x:c>
      <x:c r="V1026" t="str">
        <x:v>2031-10-09</x:v>
      </x:c>
      <x:c r="W1026" t="str">
        <x:v>待核</x:v>
      </x:c>
      <x:c r="X1026" t="str">
        <x:v>周末已解析；节假日需交易所对应年度日历核验，实际交易日待核</x:v>
      </x:c>
    </x:row>
    <x:row r="1027" ht="23" customHeight="1">
      <x:c r="A1027" s="15" t="str">
        <x:v>01810.HK</x:v>
      </x:c>
      <x:c r="B1027" s="15" t="str">
        <x:v>2026年底</x:v>
      </x:c>
      <x:c r="C1027" s="15" t="str">
        <x:v>活动输入</x:v>
      </x:c>
      <x:c r="D1027" s="15" t="str">
        <x:v>EPS</x:v>
      </x:c>
      <x:c r="E1027" s="17" t="n">
        <x:f>CHOOSE($B$3,E1028,E1029,E1030)</x:f>
        <x:v>0.958</x:v>
      </x:c>
      <x:c r="F1027" s="17" t="n">
        <x:f>CHOOSE($B$3,F1028,F1029,F1030)</x:f>
        <x:v>26</x:v>
      </x:c>
      <x:c r="G1027" s="17" t="n">
        <x:f>CHOOSE($B$3,G1028,G1029,G1030)</x:f>
        <x:v>1.1</x:v>
      </x:c>
      <x:c r="H1027" s="17" t="n">
        <x:f>CHOOSE($B$3,H1028,H1029,H1030)</x:f>
        <x:v>0</x:v>
      </x:c>
      <x:c r="I1027" s="17" t="str">
        <x:f>CHOOSE($B$3,I1028,I1029,I1030)</x:f>
      </x:c>
      <x:c r="J1027" s="19" t="str">
        <x:f>CHOOSE($B$3,J1028,J1029,J1030)</x:f>
      </x:c>
      <x:c r="K1027" s="21" t="str">
        <x:f>CHOOSE($B$3,K1028,K1029,K1030)</x:f>
      </x:c>
      <x:c r="L1027" s="15" t="str">
        <x:v>xiaomi-normalized-two-segment-v1.0</x:v>
      </x:c>
      <x:c r="M1027" s="15" t="str">
        <x:v>2026-12-31</x:v>
      </x:c>
      <x:c r="O1027" t="str">
        <x:v>CNY</x:v>
      </x:c>
      <x:c r="V1027" t="str">
        <x:v>2026-12-31</x:v>
      </x:c>
      <x:c r="W1027" t="str">
        <x:v>待核</x:v>
      </x:c>
      <x:c r="X1027" t="str">
        <x:v>周末已解析；节假日需交易所对应年度日历核验，实际交易日待核</x:v>
      </x:c>
    </x:row>
    <x:row r="1028" ht="23" customHeight="1">
      <x:c r="A1028" s="11" t="str">
        <x:v>01810.HK</x:v>
      </x:c>
      <x:c r="B1028" s="11" t="str">
        <x:v>2026年底</x:v>
      </x:c>
      <x:c r="C1028" s="11" t="str">
        <x:v>悲观</x:v>
      </x:c>
      <x:c r="D1028" s="11" t="str">
        <x:v>EPS</x:v>
      </x:c>
      <x:c r="E1028" s="18" t="n">
        <x:v>0.364</x:v>
      </x:c>
      <x:c r="F1028" s="18" t="n">
        <x:v>18</x:v>
      </x:c>
      <x:c r="G1028" s="18" t="n">
        <x:v>1.1</x:v>
      </x:c>
      <x:c r="H1028" s="18" t="n">
        <x:v>0</x:v>
      </x:c>
      <x:c r="I1028" s="18"/>
      <x:c r="J1028" s="20"/>
      <x:c r="K1028" s="22"/>
      <x:c r="L1028" s="11" t="str">
        <x:v>xiaomi-normalized-two-segment-v1.0</x:v>
      </x:c>
      <x:c r="M1028" s="11" t="str">
        <x:v>2026-12-31</x:v>
      </x:c>
      <x:c r="O1028" t="str">
        <x:v>CNY</x:v>
      </x:c>
      <x:c r="V1028" t="str">
        <x:v>2026-12-31</x:v>
      </x:c>
      <x:c r="W1028" t="str">
        <x:v>待核</x:v>
      </x:c>
      <x:c r="X1028" t="str">
        <x:v>周末已解析；节假日需交易所对应年度日历核验，实际交易日待核</x:v>
      </x:c>
    </x:row>
    <x:row r="1029" ht="23" customHeight="1">
      <x:c r="A1029" s="11" t="str">
        <x:v>01810.HK</x:v>
      </x:c>
      <x:c r="B1029" s="11" t="str">
        <x:v>2026年底</x:v>
      </x:c>
      <x:c r="C1029" s="11" t="str">
        <x:v>基准</x:v>
      </x:c>
      <x:c r="D1029" s="11" t="str">
        <x:v>EPS</x:v>
      </x:c>
      <x:c r="E1029" s="18" t="n">
        <x:v>0.958</x:v>
      </x:c>
      <x:c r="F1029" s="18" t="n">
        <x:v>26</x:v>
      </x:c>
      <x:c r="G1029" s="18" t="n">
        <x:v>1.1</x:v>
      </x:c>
      <x:c r="H1029" s="18" t="n">
        <x:v>0</x:v>
      </x:c>
      <x:c r="I1029" s="18"/>
      <x:c r="J1029" s="20"/>
      <x:c r="K1029" s="22"/>
      <x:c r="L1029" s="11" t="str">
        <x:v>xiaomi-normalized-two-segment-v1.0</x:v>
      </x:c>
      <x:c r="M1029" s="11" t="str">
        <x:v>2026-12-31</x:v>
      </x:c>
      <x:c r="O1029" t="str">
        <x:v>CNY</x:v>
      </x:c>
      <x:c r="V1029" t="str">
        <x:v>2026-12-31</x:v>
      </x:c>
      <x:c r="W1029" t="str">
        <x:v>待核</x:v>
      </x:c>
      <x:c r="X1029" t="str">
        <x:v>周末已解析；节假日需交易所对应年度日历核验，实际交易日待核</x:v>
      </x:c>
    </x:row>
    <x:row r="1030" ht="23" customHeight="1">
      <x:c r="A1030" s="11" t="str">
        <x:v>01810.HK</x:v>
      </x:c>
      <x:c r="B1030" s="11" t="str">
        <x:v>2026年底</x:v>
      </x:c>
      <x:c r="C1030" s="11" t="str">
        <x:v>乐观</x:v>
      </x:c>
      <x:c r="D1030" s="11" t="str">
        <x:v>EPS</x:v>
      </x:c>
      <x:c r="E1030" s="18" t="n">
        <x:v>1.631</x:v>
      </x:c>
      <x:c r="F1030" s="18" t="n">
        <x:v>32</x:v>
      </x:c>
      <x:c r="G1030" s="18" t="n">
        <x:v>1.1</x:v>
      </x:c>
      <x:c r="H1030" s="18" t="n">
        <x:v>0</x:v>
      </x:c>
      <x:c r="I1030" s="18"/>
      <x:c r="J1030" s="20"/>
      <x:c r="K1030" s="22"/>
      <x:c r="L1030" s="11" t="str">
        <x:v>xiaomi-normalized-two-segment-v1.0</x:v>
      </x:c>
      <x:c r="M1030" s="11" t="str">
        <x:v>2026-12-31</x:v>
      </x:c>
      <x:c r="O1030" t="str">
        <x:v>CNY</x:v>
      </x:c>
      <x:c r="V1030" t="str">
        <x:v>2026-12-31</x:v>
      </x:c>
      <x:c r="W1030" t="str">
        <x:v>待核</x:v>
      </x:c>
      <x:c r="X1030" t="str">
        <x:v>周末已解析；节假日需交易所对应年度日历核验，实际交易日待核</x:v>
      </x:c>
    </x:row>
    <x:row r="1031" ht="23" customHeight="1">
      <x:c r="A1031" s="15" t="str">
        <x:v>01810.HK</x:v>
      </x:c>
      <x:c r="B1031" s="15" t="str">
        <x:v>半年</x:v>
      </x:c>
      <x:c r="C1031" s="15" t="str">
        <x:v>活动输入</x:v>
      </x:c>
      <x:c r="D1031" s="15" t="str">
        <x:v>EPS</x:v>
      </x:c>
      <x:c r="E1031" s="17" t="n">
        <x:f>CHOOSE($B$3,E1032,E1033,E1034)</x:f>
        <x:v>1.148</x:v>
      </x:c>
      <x:c r="F1031" s="17" t="n">
        <x:f>CHOOSE($B$3,F1032,F1033,F1034)</x:f>
        <x:v>26</x:v>
      </x:c>
      <x:c r="G1031" s="17" t="n">
        <x:f>CHOOSE($B$3,G1032,G1033,G1034)</x:f>
        <x:v>1.1</x:v>
      </x:c>
      <x:c r="H1031" s="17" t="n">
        <x:f>CHOOSE($B$3,H1032,H1033,H1034)</x:f>
        <x:v>0</x:v>
      </x:c>
      <x:c r="I1031" s="17" t="str">
        <x:f>CHOOSE($B$3,I1032,I1033,I1034)</x:f>
      </x:c>
      <x:c r="J1031" s="19" t="str">
        <x:f>CHOOSE($B$3,J1032,J1033,J1034)</x:f>
      </x:c>
      <x:c r="K1031" s="21" t="str">
        <x:f>CHOOSE($B$3,K1032,K1033,K1034)</x:f>
      </x:c>
      <x:c r="L1031" s="15" t="str">
        <x:v>xiaomi-normalized-two-segment-v1.0</x:v>
      </x:c>
      <x:c r="M1031" s="15" t="str">
        <x:v>2027-04-09</x:v>
      </x:c>
      <x:c r="O1031" t="str">
        <x:v>CNY</x:v>
      </x:c>
      <x:c r="V1031" t="str">
        <x:v>2027-04-09</x:v>
      </x:c>
      <x:c r="W1031" t="str">
        <x:v>待核</x:v>
      </x:c>
      <x:c r="X1031" t="str">
        <x:v>周末已解析；节假日需交易所对应年度日历核验，实际交易日待核</x:v>
      </x:c>
    </x:row>
    <x:row r="1032" ht="23" customHeight="1">
      <x:c r="A1032" s="11" t="str">
        <x:v>01810.HK</x:v>
      </x:c>
      <x:c r="B1032" s="11" t="str">
        <x:v>半年</x:v>
      </x:c>
      <x:c r="C1032" s="11" t="str">
        <x:v>悲观</x:v>
      </x:c>
      <x:c r="D1032" s="11" t="str">
        <x:v>EPS</x:v>
      </x:c>
      <x:c r="E1032" s="18" t="n">
        <x:v>0.393</x:v>
      </x:c>
      <x:c r="F1032" s="18" t="n">
        <x:v>18</x:v>
      </x:c>
      <x:c r="G1032" s="18" t="n">
        <x:v>1.1</x:v>
      </x:c>
      <x:c r="H1032" s="18" t="n">
        <x:v>0</x:v>
      </x:c>
      <x:c r="I1032" s="18"/>
      <x:c r="J1032" s="20"/>
      <x:c r="K1032" s="22"/>
      <x:c r="L1032" s="11" t="str">
        <x:v>xiaomi-normalized-two-segment-v1.0</x:v>
      </x:c>
      <x:c r="M1032" s="11" t="str">
        <x:v>2027-04-09</x:v>
      </x:c>
      <x:c r="O1032" t="str">
        <x:v>CNY</x:v>
      </x:c>
      <x:c r="V1032" t="str">
        <x:v>2027-04-09</x:v>
      </x:c>
      <x:c r="W1032" t="str">
        <x:v>待核</x:v>
      </x:c>
      <x:c r="X1032" t="str">
        <x:v>周末已解析；节假日需交易所对应年度日历核验，实际交易日待核</x:v>
      </x:c>
    </x:row>
    <x:row r="1033" ht="23" customHeight="1">
      <x:c r="A1033" s="11" t="str">
        <x:v>01810.HK</x:v>
      </x:c>
      <x:c r="B1033" s="11" t="str">
        <x:v>半年</x:v>
      </x:c>
      <x:c r="C1033" s="11" t="str">
        <x:v>基准</x:v>
      </x:c>
      <x:c r="D1033" s="11" t="str">
        <x:v>EPS</x:v>
      </x:c>
      <x:c r="E1033" s="18" t="n">
        <x:v>1.148</x:v>
      </x:c>
      <x:c r="F1033" s="18" t="n">
        <x:v>26</x:v>
      </x:c>
      <x:c r="G1033" s="18" t="n">
        <x:v>1.1</x:v>
      </x:c>
      <x:c r="H1033" s="18" t="n">
        <x:v>0</x:v>
      </x:c>
      <x:c r="I1033" s="18"/>
      <x:c r="J1033" s="20"/>
      <x:c r="K1033" s="22"/>
      <x:c r="L1033" s="11" t="str">
        <x:v>xiaomi-normalized-two-segment-v1.0</x:v>
      </x:c>
      <x:c r="M1033" s="11" t="str">
        <x:v>2027-04-09</x:v>
      </x:c>
      <x:c r="O1033" t="str">
        <x:v>CNY</x:v>
      </x:c>
      <x:c r="V1033" t="str">
        <x:v>2027-04-09</x:v>
      </x:c>
      <x:c r="W1033" t="str">
        <x:v>待核</x:v>
      </x:c>
      <x:c r="X1033" t="str">
        <x:v>周末已解析；节假日需交易所对应年度日历核验，实际交易日待核</x:v>
      </x:c>
    </x:row>
    <x:row r="1034" ht="23" customHeight="1">
      <x:c r="A1034" s="11" t="str">
        <x:v>01810.HK</x:v>
      </x:c>
      <x:c r="B1034" s="11" t="str">
        <x:v>半年</x:v>
      </x:c>
      <x:c r="C1034" s="11" t="str">
        <x:v>乐观</x:v>
      </x:c>
      <x:c r="D1034" s="11" t="str">
        <x:v>EPS</x:v>
      </x:c>
      <x:c r="E1034" s="18" t="n">
        <x:v>1.829</x:v>
      </x:c>
      <x:c r="F1034" s="18" t="n">
        <x:v>32</x:v>
      </x:c>
      <x:c r="G1034" s="18" t="n">
        <x:v>1.1</x:v>
      </x:c>
      <x:c r="H1034" s="18" t="n">
        <x:v>0</x:v>
      </x:c>
      <x:c r="I1034" s="18"/>
      <x:c r="J1034" s="20"/>
      <x:c r="K1034" s="22"/>
      <x:c r="L1034" s="11" t="str">
        <x:v>xiaomi-normalized-two-segment-v1.0</x:v>
      </x:c>
      <x:c r="M1034" s="11" t="str">
        <x:v>2027-04-09</x:v>
      </x:c>
      <x:c r="O1034" t="str">
        <x:v>CNY</x:v>
      </x:c>
      <x:c r="V1034" t="str">
        <x:v>2027-04-09</x:v>
      </x:c>
      <x:c r="W1034" t="str">
        <x:v>待核</x:v>
      </x:c>
      <x:c r="X1034" t="str">
        <x:v>周末已解析；节假日需交易所对应年度日历核验，实际交易日待核</x:v>
      </x:c>
    </x:row>
    <x:row r="1035" ht="23" customHeight="1">
      <x:c r="A1035" s="15" t="str">
        <x:v>01810.HK</x:v>
      </x:c>
      <x:c r="B1035" s="15" t="str">
        <x:v>一年</x:v>
      </x:c>
      <x:c r="C1035" s="15" t="str">
        <x:v>活动输入</x:v>
      </x:c>
      <x:c r="D1035" s="15" t="str">
        <x:v>EPS</x:v>
      </x:c>
      <x:c r="E1035" s="17" t="n">
        <x:f>CHOOSE($B$3,E1036,E1037,E1038)</x:f>
        <x:v>1.408</x:v>
      </x:c>
      <x:c r="F1035" s="17" t="n">
        <x:f>CHOOSE($B$3,F1036,F1037,F1038)</x:f>
        <x:v>25</x:v>
      </x:c>
      <x:c r="G1035" s="17" t="n">
        <x:f>CHOOSE($B$3,G1036,G1037,G1038)</x:f>
        <x:v>1.1</x:v>
      </x:c>
      <x:c r="H1035" s="17" t="n">
        <x:f>CHOOSE($B$3,H1036,H1037,H1038)</x:f>
        <x:v>0</x:v>
      </x:c>
      <x:c r="I1035" s="17" t="str">
        <x:f>CHOOSE($B$3,I1036,I1037,I1038)</x:f>
      </x:c>
      <x:c r="J1035" s="19" t="str">
        <x:f>CHOOSE($B$3,J1036,J1037,J1038)</x:f>
      </x:c>
      <x:c r="K1035" s="21" t="str">
        <x:f>CHOOSE($B$3,K1036,K1037,K1038)</x:f>
      </x:c>
      <x:c r="L1035" s="15" t="str">
        <x:v>xiaomi-normalized-two-segment-v1.0</x:v>
      </x:c>
      <x:c r="M1035" s="15" t="str">
        <x:v>2027-10-09</x:v>
      </x:c>
      <x:c r="O1035" t="str">
        <x:v>CNY</x:v>
      </x:c>
      <x:c r="V1035" t="str">
        <x:v>2027-10-08</x:v>
      </x:c>
      <x:c r="W1035" t="str">
        <x:v>待核</x:v>
      </x:c>
      <x:c r="X1035" t="str">
        <x:v>周末已解析；节假日需交易所对应年度日历核验，实际交易日待核</x:v>
      </x:c>
    </x:row>
    <x:row r="1036" ht="23" customHeight="1">
      <x:c r="A1036" s="11" t="str">
        <x:v>01810.HK</x:v>
      </x:c>
      <x:c r="B1036" s="11" t="str">
        <x:v>一年</x:v>
      </x:c>
      <x:c r="C1036" s="11" t="str">
        <x:v>悲观</x:v>
      </x:c>
      <x:c r="D1036" s="11" t="str">
        <x:v>EPS</x:v>
      </x:c>
      <x:c r="E1036" s="18" t="n">
        <x:v>0.414</x:v>
      </x:c>
      <x:c r="F1036" s="18" t="n">
        <x:v>16</x:v>
      </x:c>
      <x:c r="G1036" s="18" t="n">
        <x:v>1.1</x:v>
      </x:c>
      <x:c r="H1036" s="18" t="n">
        <x:v>0</x:v>
      </x:c>
      <x:c r="I1036" s="18"/>
      <x:c r="J1036" s="20"/>
      <x:c r="K1036" s="22"/>
      <x:c r="L1036" s="11" t="str">
        <x:v>xiaomi-normalized-two-segment-v1.0</x:v>
      </x:c>
      <x:c r="M1036" s="11" t="str">
        <x:v>2027-10-09</x:v>
      </x:c>
      <x:c r="O1036" t="str">
        <x:v>CNY</x:v>
      </x:c>
      <x:c r="V1036" t="str">
        <x:v>2027-10-08</x:v>
      </x:c>
      <x:c r="W1036" t="str">
        <x:v>待核</x:v>
      </x:c>
      <x:c r="X1036" t="str">
        <x:v>周末已解析；节假日需交易所对应年度日历核验，实际交易日待核</x:v>
      </x:c>
    </x:row>
    <x:row r="1037" ht="23" customHeight="1">
      <x:c r="A1037" s="11" t="str">
        <x:v>01810.HK</x:v>
      </x:c>
      <x:c r="B1037" s="11" t="str">
        <x:v>一年</x:v>
      </x:c>
      <x:c r="C1037" s="11" t="str">
        <x:v>基准</x:v>
      </x:c>
      <x:c r="D1037" s="11" t="str">
        <x:v>EPS</x:v>
      </x:c>
      <x:c r="E1037" s="18" t="n">
        <x:v>1.408</x:v>
      </x:c>
      <x:c r="F1037" s="18" t="n">
        <x:v>25</x:v>
      </x:c>
      <x:c r="G1037" s="18" t="n">
        <x:v>1.1</x:v>
      </x:c>
      <x:c r="H1037" s="18" t="n">
        <x:v>0</x:v>
      </x:c>
      <x:c r="I1037" s="18"/>
      <x:c r="J1037" s="20"/>
      <x:c r="K1037" s="22"/>
      <x:c r="L1037" s="11" t="str">
        <x:v>xiaomi-normalized-two-segment-v1.0</x:v>
      </x:c>
      <x:c r="M1037" s="11" t="str">
        <x:v>2027-10-09</x:v>
      </x:c>
      <x:c r="O1037" t="str">
        <x:v>CNY</x:v>
      </x:c>
      <x:c r="V1037" t="str">
        <x:v>2027-10-08</x:v>
      </x:c>
      <x:c r="W1037" t="str">
        <x:v>待核</x:v>
      </x:c>
      <x:c r="X1037" t="str">
        <x:v>周末已解析；节假日需交易所对应年度日历核验，实际交易日待核</x:v>
      </x:c>
    </x:row>
    <x:row r="1038" ht="23" customHeight="1">
      <x:c r="A1038" s="11" t="str">
        <x:v>01810.HK</x:v>
      </x:c>
      <x:c r="B1038" s="11" t="str">
        <x:v>一年</x:v>
      </x:c>
      <x:c r="C1038" s="11" t="str">
        <x:v>乐观</x:v>
      </x:c>
      <x:c r="D1038" s="11" t="str">
        <x:v>EPS</x:v>
      </x:c>
      <x:c r="E1038" s="18" t="n">
        <x:v>2.29</x:v>
      </x:c>
      <x:c r="F1038" s="18" t="n">
        <x:v>32</x:v>
      </x:c>
      <x:c r="G1038" s="18" t="n">
        <x:v>1.1</x:v>
      </x:c>
      <x:c r="H1038" s="18" t="n">
        <x:v>0</x:v>
      </x:c>
      <x:c r="I1038" s="18"/>
      <x:c r="J1038" s="20"/>
      <x:c r="K1038" s="22"/>
      <x:c r="L1038" s="11" t="str">
        <x:v>xiaomi-normalized-two-segment-v1.0</x:v>
      </x:c>
      <x:c r="M1038" s="11" t="str">
        <x:v>2027-10-09</x:v>
      </x:c>
      <x:c r="O1038" t="str">
        <x:v>CNY</x:v>
      </x:c>
      <x:c r="V1038" t="str">
        <x:v>2027-10-08</x:v>
      </x:c>
      <x:c r="W1038" t="str">
        <x:v>待核</x:v>
      </x:c>
      <x:c r="X1038" t="str">
        <x:v>周末已解析；节假日需交易所对应年度日历核验，实际交易日待核</x:v>
      </x:c>
    </x:row>
    <x:row r="1039" ht="23" customHeight="1">
      <x:c r="A1039" s="15" t="str">
        <x:v>01810.HK</x:v>
      </x:c>
      <x:c r="B1039" s="15" t="str">
        <x:v>三年</x:v>
      </x:c>
      <x:c r="C1039" s="15" t="str">
        <x:v>活动输入</x:v>
      </x:c>
      <x:c r="D1039" s="15" t="str">
        <x:v>EPS</x:v>
      </x:c>
      <x:c r="E1039" s="17" t="n">
        <x:f>CHOOSE($B$3,E1040,E1041,E1042)</x:f>
        <x:v>2.101</x:v>
      </x:c>
      <x:c r="F1039" s="17" t="n">
        <x:f>CHOOSE($B$3,F1040,F1041,F1042)</x:f>
        <x:v>24</x:v>
      </x:c>
      <x:c r="G1039" s="17" t="n">
        <x:f>CHOOSE($B$3,G1040,G1041,G1042)</x:f>
        <x:v>1.1</x:v>
      </x:c>
      <x:c r="H1039" s="17" t="n">
        <x:f>CHOOSE($B$3,H1040,H1041,H1042)</x:f>
        <x:v>0</x:v>
      </x:c>
      <x:c r="I1039" s="17" t="str">
        <x:f>CHOOSE($B$3,I1040,I1041,I1042)</x:f>
      </x:c>
      <x:c r="J1039" s="19" t="str">
        <x:f>CHOOSE($B$3,J1040,J1041,J1042)</x:f>
      </x:c>
      <x:c r="K1039" s="21" t="str">
        <x:f>CHOOSE($B$3,K1040,K1041,K1042)</x:f>
      </x:c>
      <x:c r="L1039" s="15" t="str">
        <x:v>xiaomi-normalized-two-segment-v1.0</x:v>
      </x:c>
      <x:c r="M1039" s="15" t="str">
        <x:v>2029-10-09</x:v>
      </x:c>
      <x:c r="O1039" t="str">
        <x:v>CNY</x:v>
      </x:c>
      <x:c r="V1039" t="str">
        <x:v>2029-10-09</x:v>
      </x:c>
      <x:c r="W1039" t="str">
        <x:v>待核</x:v>
      </x:c>
      <x:c r="X1039" t="str">
        <x:v>周末已解析；节假日需交易所对应年度日历核验，实际交易日待核</x:v>
      </x:c>
    </x:row>
    <x:row r="1040" ht="23" customHeight="1">
      <x:c r="A1040" s="11" t="str">
        <x:v>01810.HK</x:v>
      </x:c>
      <x:c r="B1040" s="11" t="str">
        <x:v>三年</x:v>
      </x:c>
      <x:c r="C1040" s="11" t="str">
        <x:v>悲观</x:v>
      </x:c>
      <x:c r="D1040" s="11" t="str">
        <x:v>EPS</x:v>
      </x:c>
      <x:c r="E1040" s="18" t="n">
        <x:v>0.4</x:v>
      </x:c>
      <x:c r="F1040" s="18" t="n">
        <x:v>14</x:v>
      </x:c>
      <x:c r="G1040" s="18" t="n">
        <x:v>1.1</x:v>
      </x:c>
      <x:c r="H1040" s="18" t="n">
        <x:v>0</x:v>
      </x:c>
      <x:c r="I1040" s="18"/>
      <x:c r="J1040" s="20"/>
      <x:c r="K1040" s="22"/>
      <x:c r="L1040" s="11" t="str">
        <x:v>xiaomi-normalized-two-segment-v1.0</x:v>
      </x:c>
      <x:c r="M1040" s="11" t="str">
        <x:v>2029-10-09</x:v>
      </x:c>
      <x:c r="O1040" t="str">
        <x:v>CNY</x:v>
      </x:c>
      <x:c r="V1040" t="str">
        <x:v>2029-10-09</x:v>
      </x:c>
      <x:c r="W1040" t="str">
        <x:v>待核</x:v>
      </x:c>
      <x:c r="X1040" t="str">
        <x:v>周末已解析；节假日需交易所对应年度日历核验，实际交易日待核</x:v>
      </x:c>
    </x:row>
    <x:row r="1041" ht="23" customHeight="1">
      <x:c r="A1041" s="11" t="str">
        <x:v>01810.HK</x:v>
      </x:c>
      <x:c r="B1041" s="11" t="str">
        <x:v>三年</x:v>
      </x:c>
      <x:c r="C1041" s="11" t="str">
        <x:v>基准</x:v>
      </x:c>
      <x:c r="D1041" s="11" t="str">
        <x:v>EPS</x:v>
      </x:c>
      <x:c r="E1041" s="18" t="n">
        <x:v>2.101</x:v>
      </x:c>
      <x:c r="F1041" s="18" t="n">
        <x:v>24</x:v>
      </x:c>
      <x:c r="G1041" s="18" t="n">
        <x:v>1.1</x:v>
      </x:c>
      <x:c r="H1041" s="18" t="n">
        <x:v>0</x:v>
      </x:c>
      <x:c r="I1041" s="18"/>
      <x:c r="J1041" s="20"/>
      <x:c r="K1041" s="22"/>
      <x:c r="L1041" s="11" t="str">
        <x:v>xiaomi-normalized-two-segment-v1.0</x:v>
      </x:c>
      <x:c r="M1041" s="11" t="str">
        <x:v>2029-10-09</x:v>
      </x:c>
      <x:c r="O1041" t="str">
        <x:v>CNY</x:v>
      </x:c>
      <x:c r="V1041" t="str">
        <x:v>2029-10-09</x:v>
      </x:c>
      <x:c r="W1041" t="str">
        <x:v>待核</x:v>
      </x:c>
      <x:c r="X1041" t="str">
        <x:v>周末已解析；节假日需交易所对应年度日历核验，实际交易日待核</x:v>
      </x:c>
    </x:row>
    <x:row r="1042" ht="23" customHeight="1">
      <x:c r="A1042" s="11" t="str">
        <x:v>01810.HK</x:v>
      </x:c>
      <x:c r="B1042" s="11" t="str">
        <x:v>三年</x:v>
      </x:c>
      <x:c r="C1042" s="11" t="str">
        <x:v>乐观</x:v>
      </x:c>
      <x:c r="D1042" s="11" t="str">
        <x:v>EPS</x:v>
      </x:c>
      <x:c r="E1042" s="18" t="n">
        <x:v>3.744</x:v>
      </x:c>
      <x:c r="F1042" s="18" t="n">
        <x:v>32</x:v>
      </x:c>
      <x:c r="G1042" s="18" t="n">
        <x:v>1.1</x:v>
      </x:c>
      <x:c r="H1042" s="18" t="n">
        <x:v>0</x:v>
      </x:c>
      <x:c r="I1042" s="18"/>
      <x:c r="J1042" s="20"/>
      <x:c r="K1042" s="22"/>
      <x:c r="L1042" s="11" t="str">
        <x:v>xiaomi-normalized-two-segment-v1.0</x:v>
      </x:c>
      <x:c r="M1042" s="11" t="str">
        <x:v>2029-10-09</x:v>
      </x:c>
      <x:c r="O1042" t="str">
        <x:v>CNY</x:v>
      </x:c>
      <x:c r="V1042" t="str">
        <x:v>2029-10-09</x:v>
      </x:c>
      <x:c r="W1042" t="str">
        <x:v>待核</x:v>
      </x:c>
      <x:c r="X1042" t="str">
        <x:v>周末已解析；节假日需交易所对应年度日历核验，实际交易日待核</x:v>
      </x:c>
    </x:row>
    <x:row r="1043" ht="23" customHeight="1">
      <x:c r="A1043" s="15" t="str">
        <x:v>01810.HK</x:v>
      </x:c>
      <x:c r="B1043" s="15" t="str">
        <x:v>五年</x:v>
      </x:c>
      <x:c r="C1043" s="15" t="str">
        <x:v>活动输入</x:v>
      </x:c>
      <x:c r="D1043" s="15" t="str">
        <x:v>EPS</x:v>
      </x:c>
      <x:c r="E1043" s="17" t="n">
        <x:f>CHOOSE($B$3,E1044,E1045,E1046)</x:f>
        <x:v>2.878</x:v>
      </x:c>
      <x:c r="F1043" s="17" t="n">
        <x:f>CHOOSE($B$3,F1044,F1045,F1046)</x:f>
        <x:v>22</x:v>
      </x:c>
      <x:c r="G1043" s="17" t="n">
        <x:f>CHOOSE($B$3,G1044,G1045,G1046)</x:f>
        <x:v>1.1</x:v>
      </x:c>
      <x:c r="H1043" s="17" t="n">
        <x:f>CHOOSE($B$3,H1044,H1045,H1046)</x:f>
        <x:v>0</x:v>
      </x:c>
      <x:c r="I1043" s="17" t="str">
        <x:f>CHOOSE($B$3,I1044,I1045,I1046)</x:f>
      </x:c>
      <x:c r="J1043" s="19" t="str">
        <x:f>CHOOSE($B$3,J1044,J1045,J1046)</x:f>
      </x:c>
      <x:c r="K1043" s="21" t="str">
        <x:f>CHOOSE($B$3,K1044,K1045,K1046)</x:f>
      </x:c>
      <x:c r="L1043" s="15" t="str">
        <x:v>xiaomi-normalized-two-segment-v1.0</x:v>
      </x:c>
      <x:c r="M1043" s="15" t="str">
        <x:v>2031-10-09</x:v>
      </x:c>
      <x:c r="O1043" t="str">
        <x:v>CNY</x:v>
      </x:c>
      <x:c r="V1043" t="str">
        <x:v>2031-10-09</x:v>
      </x:c>
      <x:c r="W1043" t="str">
        <x:v>待核</x:v>
      </x:c>
      <x:c r="X1043" t="str">
        <x:v>周末已解析；节假日需交易所对应年度日历核验，实际交易日待核</x:v>
      </x:c>
    </x:row>
    <x:row r="1044" ht="23" customHeight="1">
      <x:c r="A1044" s="11" t="str">
        <x:v>01810.HK</x:v>
      </x:c>
      <x:c r="B1044" s="11" t="str">
        <x:v>五年</x:v>
      </x:c>
      <x:c r="C1044" s="11" t="str">
        <x:v>悲观</x:v>
      </x:c>
      <x:c r="D1044" s="11" t="str">
        <x:v>EPS</x:v>
      </x:c>
      <x:c r="E1044" s="18" t="n">
        <x:v>0.37</x:v>
      </x:c>
      <x:c r="F1044" s="18" t="n">
        <x:v>12</x:v>
      </x:c>
      <x:c r="G1044" s="18" t="n">
        <x:v>1.1</x:v>
      </x:c>
      <x:c r="H1044" s="18" t="n">
        <x:v>0</x:v>
      </x:c>
      <x:c r="I1044" s="18"/>
      <x:c r="J1044" s="20"/>
      <x:c r="K1044" s="22"/>
      <x:c r="L1044" s="11" t="str">
        <x:v>xiaomi-normalized-two-segment-v1.0</x:v>
      </x:c>
      <x:c r="M1044" s="11" t="str">
        <x:v>2031-10-09</x:v>
      </x:c>
      <x:c r="O1044" t="str">
        <x:v>CNY</x:v>
      </x:c>
      <x:c r="V1044" t="str">
        <x:v>2031-10-09</x:v>
      </x:c>
      <x:c r="W1044" t="str">
        <x:v>待核</x:v>
      </x:c>
      <x:c r="X1044" t="str">
        <x:v>周末已解析；节假日需交易所对应年度日历核验，实际交易日待核</x:v>
      </x:c>
    </x:row>
    <x:row r="1045" ht="23" customHeight="1">
      <x:c r="A1045" s="11" t="str">
        <x:v>01810.HK</x:v>
      </x:c>
      <x:c r="B1045" s="11" t="str">
        <x:v>五年</x:v>
      </x:c>
      <x:c r="C1045" s="11" t="str">
        <x:v>基准</x:v>
      </x:c>
      <x:c r="D1045" s="11" t="str">
        <x:v>EPS</x:v>
      </x:c>
      <x:c r="E1045" s="18" t="n">
        <x:v>2.878</x:v>
      </x:c>
      <x:c r="F1045" s="18" t="n">
        <x:v>22</x:v>
      </x:c>
      <x:c r="G1045" s="18" t="n">
        <x:v>1.1</x:v>
      </x:c>
      <x:c r="H1045" s="18" t="n">
        <x:v>0</x:v>
      </x:c>
      <x:c r="I1045" s="18"/>
      <x:c r="J1045" s="20"/>
      <x:c r="K1045" s="22"/>
      <x:c r="L1045" s="11" t="str">
        <x:v>xiaomi-normalized-two-segment-v1.0</x:v>
      </x:c>
      <x:c r="M1045" s="11" t="str">
        <x:v>2031-10-09</x:v>
      </x:c>
      <x:c r="O1045" t="str">
        <x:v>CNY</x:v>
      </x:c>
      <x:c r="V1045" t="str">
        <x:v>2031-10-09</x:v>
      </x:c>
      <x:c r="W1045" t="str">
        <x:v>待核</x:v>
      </x:c>
      <x:c r="X1045" t="str">
        <x:v>周末已解析；节假日需交易所对应年度日历核验，实际交易日待核</x:v>
      </x:c>
    </x:row>
    <x:row r="1046" ht="23" customHeight="1">
      <x:c r="A1046" s="11" t="str">
        <x:v>01810.HK</x:v>
      </x:c>
      <x:c r="B1046" s="11" t="str">
        <x:v>五年</x:v>
      </x:c>
      <x:c r="C1046" s="11" t="str">
        <x:v>乐观</x:v>
      </x:c>
      <x:c r="D1046" s="11" t="str">
        <x:v>EPS</x:v>
      </x:c>
      <x:c r="E1046" s="18" t="n">
        <x:v>5.453</x:v>
      </x:c>
      <x:c r="F1046" s="18" t="n">
        <x:v>30</x:v>
      </x:c>
      <x:c r="G1046" s="18" t="n">
        <x:v>1.1</x:v>
      </x:c>
      <x:c r="H1046" s="18" t="n">
        <x:v>0</x:v>
      </x:c>
      <x:c r="I1046" s="18"/>
      <x:c r="J1046" s="20"/>
      <x:c r="K1046" s="22"/>
      <x:c r="L1046" s="11" t="str">
        <x:v>xiaomi-normalized-two-segment-v1.0</x:v>
      </x:c>
      <x:c r="M1046" s="11" t="str">
        <x:v>2031-10-09</x:v>
      </x:c>
      <x:c r="O1046" t="str">
        <x:v>CNY</x:v>
      </x:c>
      <x:c r="V1046" t="str">
        <x:v>2031-10-09</x:v>
      </x:c>
      <x:c r="W1046" t="str">
        <x:v>待核</x:v>
      </x:c>
      <x:c r="X1046" t="str">
        <x:v>周末已解析；节假日需交易所对应年度日历核验，实际交易日待核</x:v>
      </x:c>
    </x:row>
  </x:sheetData>
  <x:dataValidations count="1">
    <x:dataValidation type="list" sqref="B3">
      <x:formula1>"1,2,3"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2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分部盈利与股本输入 · CNY十亿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期限</x:v>
      </x:c>
      <x:c r="C6" s="12" t="str">
        <x:v>输入层</x:v>
      </x:c>
      <x:c r="D6" s="12" t="str">
        <x:v>电商EBITA</x:v>
      </x:c>
      <x:c r="E6" s="12" t="str">
        <x:v>云EBITA</x:v>
      </x:c>
      <x:c r="F6" s="12" t="str">
        <x:v>Labs EBITA</x:v>
      </x:c>
      <x:c r="G6" s="12" t="str">
        <x:v>其他EBITA</x:v>
      </x:c>
      <x:c r="H6" s="12" t="str">
        <x:v>研究税率</x:v>
      </x:c>
      <x:c r="I6" s="12" t="str">
        <x:v>税后利息联营净贡献</x:v>
      </x:c>
      <x:c r="J6" s="12" t="str">
        <x:v>摊薄股数十亿</x:v>
      </x:c>
      <x:c r="K6" s="12" t="str">
        <x:v>收入盈利币种十亿</x:v>
      </x:c>
      <x:c r="L6" s="12" t="str">
        <x:v>经营利润率</x:v>
      </x:c>
      <x:c r="M6" s="12" t="str">
        <x:v>单次罚款储备</x:v>
      </x:c>
      <x:c r="N6" t="str">
        <x:v>收入和盈利币种</x:v>
      </x:c>
      <x:c r="O6" t="str">
        <x:v>代码</x:v>
      </x:c>
      <x:c r="P6" t="str">
        <x:v>期限</x:v>
      </x:c>
      <x:c r="Q6" t="str">
        <x:v>输入层</x:v>
      </x:c>
      <x:c r="R6" t="str">
        <x:v>收入USD十亿</x:v>
      </x:c>
      <x:c r="S6" t="str">
        <x:v>EBIT率</x:v>
      </x:c>
      <x:c r="T6" t="str">
        <x:v>税前金融联营</x:v>
      </x:c>
      <x:c r="U6" t="str">
        <x:v>税率</x:v>
      </x:c>
      <x:c r="V6" t="str">
        <x:v>归母比例</x:v>
      </x:c>
      <x:c r="W6" t="str">
        <x:v>摊薄股数十亿</x:v>
      </x:c>
      <x:c r="X6" t="str">
        <x:v>税后归母</x:v>
      </x:c>
      <x:c r="Y6" t="str">
        <x:v>EPS USD</x:v>
      </x:c>
      <x:c r="Z6" t="str">
        <x:v>PE</x:v>
      </x:c>
      <x:c r="AA6" t="str">
        <x:v>HKD/USD</x:v>
      </x:c>
      <x:c r="AB6" t="str">
        <x:v>目标HKD</x:v>
      </x:c>
      <x:c r="AD6" t="str">
        <x:v>代码</x:v>
      </x:c>
      <x:c r="AE6" t="str">
        <x:v>期限</x:v>
      </x:c>
      <x:c r="AF6" t="str">
        <x:v>输入层</x:v>
      </x:c>
      <x:c r="AG6" t="str">
        <x:v>国内销量百万</x:v>
      </x:c>
      <x:c r="AH6" t="str">
        <x:v>海外销量百万</x:v>
      </x:c>
      <x:c r="AI6" t="str">
        <x:v>国内归母CNY/车</x:v>
      </x:c>
      <x:c r="AJ6" t="str">
        <x:v>海外归母CNY/车</x:v>
      </x:c>
      <x:c r="AK6" t="str">
        <x:v>其他归母CNY十亿</x:v>
      </x:c>
      <x:c r="AL6" t="str">
        <x:v>摊薄股数十亿</x:v>
      </x:c>
      <x:c r="AM6" t="str">
        <x:v>归母利润CNY十亿</x:v>
      </x:c>
      <x:c r="AN6" t="str">
        <x:v>EPS CNY</x:v>
      </x:c>
      <x:c r="AO6" t="str">
        <x:v>PE</x:v>
      </x:c>
      <x:c r="AP6" t="str">
        <x:v>目标HKD</x:v>
      </x:c>
      <x:c r="AR6" t="str">
        <x:v>代码</x:v>
      </x:c>
      <x:c r="AS6" t="str">
        <x:v>期限</x:v>
      </x:c>
      <x:c r="AT6" t="str">
        <x:v>输入层</x:v>
      </x:c>
      <x:c r="AU6" t="str">
        <x:v>动力收入CNY十亿</x:v>
      </x:c>
      <x:c r="AV6" t="str">
        <x:v>动力EBIT率</x:v>
      </x:c>
      <x:c r="AW6" t="str">
        <x:v>储能收入CNY十亿</x:v>
      </x:c>
      <x:c r="AX6" t="str">
        <x:v>储能EBIT率</x:v>
      </x:c>
      <x:c r="AY6" t="str">
        <x:v>材料收入CNY十亿</x:v>
      </x:c>
      <x:c r="AZ6" t="str">
        <x:v>材料EBIT率</x:v>
      </x:c>
      <x:c r="BA6" t="str">
        <x:v>其他收入CNY十亿</x:v>
      </x:c>
      <x:c r="BB6" t="str">
        <x:v>其他EBIT率</x:v>
      </x:c>
      <x:c r="BC6" t="str">
        <x:v>正常金融联营CNY十亿</x:v>
      </x:c>
      <x:c r="BD6" t="str">
        <x:v>税率</x:v>
      </x:c>
      <x:c r="BE6" t="str">
        <x:v>归母比例</x:v>
      </x:c>
      <x:c r="BF6" t="str">
        <x:v>摊薄股数十亿</x:v>
      </x:c>
      <x:c r="BG6" t="str">
        <x:v>归母利润CNY十亿</x:v>
      </x:c>
      <x:c r="BH6" t="str">
        <x:v>EPS CNY</x:v>
      </x:c>
    </x:row>
    <x:row r="7" ht="23" customHeight="1">
      <x:c r="A7" s="11" t="str">
        <x:v>09988.HK</x:v>
      </x:c>
      <x:c r="B7" s="11" t="str">
        <x:v>2026年底</x:v>
      </x:c>
      <x:c r="C7" s="11" t="str">
        <x:v>活动输入</x:v>
      </x:c>
      <x:c r="D7" s="11" t="n">
        <x:f>CHOOSE('假设'!$B$3,D8,D9,D10)</x:f>
        <x:v>166</x:v>
      </x:c>
      <x:c r="E7" s="11" t="n">
        <x:f>CHOOSE('假设'!$B$3,E8,E9,E10)</x:f>
        <x:v>34</x:v>
      </x:c>
      <x:c r="F7" s="11" t="n">
        <x:f>CHOOSE('假设'!$B$3,F8,F9,F10)</x:f>
        <x:v>-54</x:v>
      </x:c>
      <x:c r="G7" s="11" t="n">
        <x:f>CHOOSE('假设'!$B$3,G8,G9,G10)</x:f>
        <x:v>-10</x:v>
      </x:c>
      <x:c r="H7" s="11" t="n">
        <x:f>CHOOSE('假设'!$B$3,H8,H9,H10)</x:f>
        <x:v>0.22</x:v>
      </x:c>
      <x:c r="I7" s="11" t="n">
        <x:f>CHOOSE('假设'!$B$3,I8,I9,I10)</x:f>
        <x:v>4</x:v>
      </x:c>
      <x:c r="J7" s="11" t="n">
        <x:f>CHOOSE('假设'!$B$3,J8,J9,J10)</x:f>
        <x:v>20</x:v>
      </x:c>
      <x:c r="K7" s="11" t="str">
        <x:f>CHOOSE('假设'!$B$3,K8,K9,K10)</x:f>
      </x:c>
      <x:c r="L7" s="11" t="str">
        <x:f>CHOOSE('假设'!$B$3,L8,L9,L10)</x:f>
      </x:c>
      <x:c r="M7" s="11" t="n">
        <x:f>CHOOSE('假设'!$B$3,M8,M9,M10)</x:f>
        <x:v>0</x:v>
      </x:c>
      <x:c r="N7" t="str">
        <x:v>CNY</x:v>
      </x:c>
      <x:c r="O7" t="str">
        <x:v>00981.HK</x:v>
      </x:c>
      <x:c r="P7" t="str">
        <x:v>2026年底</x:v>
      </x:c>
      <x:c r="Q7" t="str">
        <x:v>活动输入</x:v>
      </x:c>
      <x:c r="R7" t="n">
        <x:f>CHOOSE('假设'!$B$3,R8,R9,R10)</x:f>
        <x:v>12.5</x:v>
      </x:c>
      <x:c r="S7" t="n">
        <x:f>CHOOSE('假设'!$B$3,S8,S9,S10)</x:f>
        <x:v>0.16</x:v>
      </x:c>
      <x:c r="T7" t="n">
        <x:f>CHOOSE('假设'!$B$3,T8,T9,T10)</x:f>
        <x:v>0</x:v>
      </x:c>
      <x:c r="U7" t="n">
        <x:f>CHOOSE('假设'!$B$3,U8,U9,U10)</x:f>
        <x:v>0.15</x:v>
      </x:c>
      <x:c r="V7" t="n">
        <x:f>CHOOSE('假设'!$B$3,V8,V9,V10)</x:f>
        <x:v>0.75</x:v>
      </x:c>
      <x:c r="W7" t="n">
        <x:f>CHOOSE('假设'!$B$3,W8,W9,W10)</x:f>
        <x:v>8.65</x:v>
      </x:c>
      <x:c r="X7" t="n">
        <x:f>(R7*S7+T7)*(1-U7)*V7</x:f>
        <x:v>1.275</x:v>
      </x:c>
      <x:c r="Y7" t="n">
        <x:f>ROUND(X7/W7,4)</x:f>
        <x:v>0.1474</x:v>
      </x:c>
      <x:c r="Z7" t="n">
        <x:f>'假设'!F887</x:f>
        <x:v>55</x:v>
      </x:c>
      <x:c r="AA7" t="n">
        <x:f>'假设'!G887</x:f>
        <x:v>7.8</x:v>
      </x:c>
      <x:c r="AB7" t="n">
        <x:f>ROUND(Y7*Z7*AA7,2)</x:f>
        <x:v>63.23</x:v>
      </x:c>
      <x:c r="AD7" t="str">
        <x:v>01211.HK</x:v>
      </x:c>
      <x:c r="AE7" t="str">
        <x:v>2026年底</x:v>
      </x:c>
      <x:c r="AF7" t="str">
        <x:v>活动输入</x:v>
      </x:c>
      <x:c r="AG7" t="n">
        <x:f>CHOOSE('假设'!$B$3,AG8,AG9,AG10)</x:f>
        <x:v>2.7</x:v>
      </x:c>
      <x:c r="AH7" t="n">
        <x:f>CHOOSE('假设'!$B$3,AH8,AH9,AH10)</x:f>
        <x:v>1.9</x:v>
      </x:c>
      <x:c r="AI7" t="n">
        <x:f>CHOOSE('假设'!$B$3,AI8,AI9,AI10)</x:f>
        <x:v>4500</x:v>
      </x:c>
      <x:c r="AJ7" t="n">
        <x:f>CHOOSE('假设'!$B$3,AJ8,AJ9,AJ10)</x:f>
        <x:v>15000</x:v>
      </x:c>
      <x:c r="AK7" t="n">
        <x:f>CHOOSE('假设'!$B$3,AK8,AK9,AK10)</x:f>
        <x:v>2.5</x:v>
      </x:c>
      <x:c r="AL7" t="n">
        <x:f>CHOOSE('假设'!$B$3,AL8,AL9,AL10)</x:f>
        <x:v>9.2</x:v>
      </x:c>
      <x:c r="AM7" t="n">
        <x:f>(AG7*AI7+AH7*AJ7)/1000+AK7</x:f>
        <x:v>43.15</x:v>
      </x:c>
      <x:c r="AN7" t="n">
        <x:f>ROUND(AM7/AL7,3)</x:f>
        <x:v>4.69</x:v>
      </x:c>
      <x:c r="AO7" t="n">
        <x:f>'假设'!F187</x:f>
        <x:v>20</x:v>
      </x:c>
      <x:c r="AP7" t="n">
        <x:f>ROUND(AN7*AO7*'假设'!G187,2)</x:f>
        <x:v>103.18</x:v>
      </x:c>
      <x:c r="AR7" t="str">
        <x:v>03750.HK</x:v>
      </x:c>
      <x:c r="AS7" t="str">
        <x:v>2026年底</x:v>
      </x:c>
      <x:c r="AT7" t="str">
        <x:v>活动输入</x:v>
      </x:c>
      <x:c r="AU7" t="n">
        <x:f>CHOOSE('假设'!$B$3,AU8,AU9,AU10)</x:f>
        <x:v>435</x:v>
      </x:c>
      <x:c r="AV7" t="n">
        <x:f>CHOOSE('假设'!$B$3,AV8,AV9,AV10)</x:f>
        <x:v>0.155</x:v>
      </x:c>
      <x:c r="AW7" t="n">
        <x:f>CHOOSE('假设'!$B$3,AW8,AW9,AW10)</x:f>
        <x:v>125</x:v>
      </x:c>
      <x:c r="AX7" t="n">
        <x:f>CHOOSE('假设'!$B$3,AX8,AX9,AX10)</x:f>
        <x:v>0.17</x:v>
      </x:c>
      <x:c r="AY7" t="n">
        <x:f>CHOOSE('假设'!$B$3,AY8,AY9,AY10)</x:f>
        <x:v>40</x:v>
      </x:c>
      <x:c r="AZ7" t="n">
        <x:f>CHOOSE('假设'!$B$3,AZ8,AZ9,AZ10)</x:f>
        <x:v>0.15</x:v>
      </x:c>
      <x:c r="BA7" t="n">
        <x:f>CHOOSE('假设'!$B$3,BA8,BA9,BA10)</x:f>
        <x:v>23</x:v>
      </x:c>
      <x:c r="BB7" t="n">
        <x:f>CHOOSE('假设'!$B$3,BB8,BB9,BB10)</x:f>
        <x:v>0.24</x:v>
      </x:c>
      <x:c r="BC7" t="n">
        <x:f>CHOOSE('假设'!$B$3,BC8,BC9,BC10)</x:f>
        <x:v>8</x:v>
      </x:c>
      <x:c r="BD7" t="n">
        <x:f>CHOOSE('假设'!$B$3,BD8,BD9,BD10)</x:f>
        <x:v>0.16</x:v>
      </x:c>
      <x:c r="BE7" t="n">
        <x:f>CHOOSE('假设'!$B$3,BE8,BE9,BE10)</x:f>
        <x:v>0.93</x:v>
      </x:c>
      <x:c r="BF7" t="n">
        <x:f>CHOOSE('假设'!$B$3,BF8,BF9,BF10)</x:f>
        <x:v>4.64</x:v>
      </x:c>
      <x:c r="BG7" t="n">
        <x:f>(AU7*AV7+AW7*AX7+AY7*AZ7+BA7*BB7+BC7)*(1-BD7)*BE7</x:f>
        <x:v>84.521934</x:v>
      </x:c>
      <x:c r="BH7" t="n">
        <x:f>ROUND(BG7/BF7,3)</x:f>
        <x:v>18.216</x:v>
      </x:c>
    </x:row>
    <x:row r="8" ht="23" customHeight="1">
      <x:c r="A8" s="11" t="str">
        <x:v>09988.HK</x:v>
      </x:c>
      <x:c r="B8" s="11" t="str">
        <x:v>2026年底</x:v>
      </x:c>
      <x:c r="C8" s="11" t="str">
        <x:v>悲观</x:v>
      </x:c>
      <x:c r="D8" s="16" t="n">
        <x:v>135</x:v>
      </x:c>
      <x:c r="E8" s="16" t="n">
        <x:v>24</x:v>
      </x:c>
      <x:c r="F8" s="16" t="n">
        <x:v>-56</x:v>
      </x:c>
      <x:c r="G8" s="16" t="n">
        <x:v>-18</x:v>
      </x:c>
      <x:c r="H8" s="16" t="n">
        <x:v>0.22</x:v>
      </x:c>
      <x:c r="I8" s="16" t="n">
        <x:v>5</x:v>
      </x:c>
      <x:c r="J8" s="16" t="n">
        <x:v>20.5</x:v>
      </x:c>
      <x:c r="K8" s="11"/>
      <x:c r="L8" s="11"/>
      <x:c r="M8" s="16" t="n">
        <x:v>0</x:v>
      </x:c>
      <x:c r="N8" t="str">
        <x:v>CNY</x:v>
      </x:c>
      <x:c r="O8" t="str">
        <x:v>00981.HK</x:v>
      </x:c>
      <x:c r="P8" t="str">
        <x:v>2026年底</x:v>
      </x:c>
      <x:c r="Q8" t="str">
        <x:v>悲观</x:v>
      </x:c>
      <x:c r="R8" s="42" t="n">
        <x:v>12</x:v>
      </x:c>
      <x:c r="S8" s="42" t="n">
        <x:v>0.1</x:v>
      </x:c>
      <x:c r="T8" s="42" t="n">
        <x:v>-0.15</x:v>
      </x:c>
      <x:c r="U8" s="42" t="n">
        <x:v>0.15</x:v>
      </x:c>
      <x:c r="V8" s="42" t="n">
        <x:v>0.65</x:v>
      </x:c>
      <x:c r="W8" s="42" t="n">
        <x:v>8.8</x:v>
      </x:c>
      <x:c r="AD8" t="str">
        <x:v>01211.HK</x:v>
      </x:c>
      <x:c r="AE8" t="str">
        <x:v>2026年底</x:v>
      </x:c>
      <x:c r="AF8" t="str">
        <x:v>悲观</x:v>
      </x:c>
      <x:c r="AG8" s="42" t="n">
        <x:v>2.4</x:v>
      </x:c>
      <x:c r="AH8" s="42" t="n">
        <x:v>1.4</x:v>
      </x:c>
      <x:c r="AI8" s="42" t="n">
        <x:v>2000</x:v>
      </x:c>
      <x:c r="AJ8" s="42" t="n">
        <x:v>9000</x:v>
      </x:c>
      <x:c r="AK8" s="42" t="n">
        <x:v>1</x:v>
      </x:c>
      <x:c r="AL8" s="42" t="n">
        <x:v>9.4</x:v>
      </x:c>
      <x:c r="AR8" t="str">
        <x:v>03750.HK</x:v>
      </x:c>
      <x:c r="AS8" t="str">
        <x:v>2026年底</x:v>
      </x:c>
      <x:c r="AT8" t="str">
        <x:v>悲观</x:v>
      </x:c>
      <x:c r="AU8" s="42" t="n">
        <x:v>360</x:v>
      </x:c>
      <x:c r="AV8" s="42" t="n">
        <x:v>0.11</x:v>
      </x:c>
      <x:c r="AW8" s="42" t="n">
        <x:v>95</x:v>
      </x:c>
      <x:c r="AX8" s="42" t="n">
        <x:v>0.1</x:v>
      </x:c>
      <x:c r="AY8" s="42" t="n">
        <x:v>30</x:v>
      </x:c>
      <x:c r="AZ8" s="42" t="n">
        <x:v>0.08</x:v>
      </x:c>
      <x:c r="BA8" s="42" t="n">
        <x:v>20</x:v>
      </x:c>
      <x:c r="BB8" s="42" t="n">
        <x:v>0.15</x:v>
      </x:c>
      <x:c r="BC8" s="42" t="n">
        <x:v>3</x:v>
      </x:c>
      <x:c r="BD8" s="42" t="n">
        <x:v>0.16</x:v>
      </x:c>
      <x:c r="BE8" s="42" t="n">
        <x:v>0.92</x:v>
      </x:c>
      <x:c r="BF8" s="42" t="n">
        <x:v>4.8</x:v>
      </x:c>
    </x:row>
    <x:row r="9" ht="23" customHeight="1">
      <x:c r="A9" s="11" t="str">
        <x:v>09988.HK</x:v>
      </x:c>
      <x:c r="B9" s="11" t="str">
        <x:v>2026年底</x:v>
      </x:c>
      <x:c r="C9" s="11" t="str">
        <x:v>基准</x:v>
      </x:c>
      <x:c r="D9" s="16" t="n">
        <x:v>166</x:v>
      </x:c>
      <x:c r="E9" s="16" t="n">
        <x:v>34</x:v>
      </x:c>
      <x:c r="F9" s="16" t="n">
        <x:v>-54</x:v>
      </x:c>
      <x:c r="G9" s="16" t="n">
        <x:v>-10</x:v>
      </x:c>
      <x:c r="H9" s="16" t="n">
        <x:v>0.22</x:v>
      </x:c>
      <x:c r="I9" s="16" t="n">
        <x:v>4</x:v>
      </x:c>
      <x:c r="J9" s="16" t="n">
        <x:v>20</x:v>
      </x:c>
      <x:c r="K9" s="11"/>
      <x:c r="L9" s="11"/>
      <x:c r="M9" s="16" t="n">
        <x:v>0</x:v>
      </x:c>
      <x:c r="N9" t="str">
        <x:v>CNY</x:v>
      </x:c>
      <x:c r="O9" t="str">
        <x:v>00981.HK</x:v>
      </x:c>
      <x:c r="P9" t="str">
        <x:v>2026年底</x:v>
      </x:c>
      <x:c r="Q9" t="str">
        <x:v>基准</x:v>
      </x:c>
      <x:c r="R9" s="42" t="n">
        <x:v>12.5</x:v>
      </x:c>
      <x:c r="S9" s="42" t="n">
        <x:v>0.16</x:v>
      </x:c>
      <x:c r="T9" s="42" t="n">
        <x:v>0</x:v>
      </x:c>
      <x:c r="U9" s="42" t="n">
        <x:v>0.15</x:v>
      </x:c>
      <x:c r="V9" s="42" t="n">
        <x:v>0.75</x:v>
      </x:c>
      <x:c r="W9" s="42" t="n">
        <x:v>8.65</x:v>
      </x:c>
      <x:c r="AD9" t="str">
        <x:v>01211.HK</x:v>
      </x:c>
      <x:c r="AE9" t="str">
        <x:v>2026年底</x:v>
      </x:c>
      <x:c r="AF9" t="str">
        <x:v>基准</x:v>
      </x:c>
      <x:c r="AG9" s="42" t="n">
        <x:v>2.7</x:v>
      </x:c>
      <x:c r="AH9" s="42" t="n">
        <x:v>1.9</x:v>
      </x:c>
      <x:c r="AI9" s="42" t="n">
        <x:v>4500</x:v>
      </x:c>
      <x:c r="AJ9" s="42" t="n">
        <x:v>15000</x:v>
      </x:c>
      <x:c r="AK9" s="42" t="n">
        <x:v>2.5</x:v>
      </x:c>
      <x:c r="AL9" s="42" t="n">
        <x:v>9.2</x:v>
      </x:c>
      <x:c r="AR9" t="str">
        <x:v>03750.HK</x:v>
      </x:c>
      <x:c r="AS9" t="str">
        <x:v>2026年底</x:v>
      </x:c>
      <x:c r="AT9" t="str">
        <x:v>基准</x:v>
      </x:c>
      <x:c r="AU9" s="42" t="n">
        <x:v>435</x:v>
      </x:c>
      <x:c r="AV9" s="42" t="n">
        <x:v>0.155</x:v>
      </x:c>
      <x:c r="AW9" s="42" t="n">
        <x:v>125</x:v>
      </x:c>
      <x:c r="AX9" s="42" t="n">
        <x:v>0.17</x:v>
      </x:c>
      <x:c r="AY9" s="42" t="n">
        <x:v>40</x:v>
      </x:c>
      <x:c r="AZ9" s="42" t="n">
        <x:v>0.15</x:v>
      </x:c>
      <x:c r="BA9" s="42" t="n">
        <x:v>23</x:v>
      </x:c>
      <x:c r="BB9" s="42" t="n">
        <x:v>0.24</x:v>
      </x:c>
      <x:c r="BC9" s="42" t="n">
        <x:v>8</x:v>
      </x:c>
      <x:c r="BD9" s="42" t="n">
        <x:v>0.16</x:v>
      </x:c>
      <x:c r="BE9" s="42" t="n">
        <x:v>0.93</x:v>
      </x:c>
      <x:c r="BF9" s="42" t="n">
        <x:v>4.64</x:v>
      </x:c>
    </x:row>
    <x:row r="10" ht="23" customHeight="1">
      <x:c r="A10" s="11" t="str">
        <x:v>09988.HK</x:v>
      </x:c>
      <x:c r="B10" s="11" t="str">
        <x:v>2026年底</x:v>
      </x:c>
      <x:c r="C10" s="11" t="str">
        <x:v>乐观</x:v>
      </x:c>
      <x:c r="D10" s="16" t="n">
        <x:v>180</x:v>
      </x:c>
      <x:c r="E10" s="16" t="n">
        <x:v>40</x:v>
      </x:c>
      <x:c r="F10" s="16" t="n">
        <x:v>-31</x:v>
      </x:c>
      <x:c r="G10" s="16" t="n">
        <x:v>-8</x:v>
      </x:c>
      <x:c r="H10" s="16" t="n">
        <x:v>0.22</x:v>
      </x:c>
      <x:c r="I10" s="16" t="n">
        <x:v>5</x:v>
      </x:c>
      <x:c r="J10" s="16" t="n">
        <x:v>19.5</x:v>
      </x:c>
      <x:c r="K10" s="11"/>
      <x:c r="L10" s="11"/>
      <x:c r="M10" s="16" t="n">
        <x:v>0</x:v>
      </x:c>
      <x:c r="N10" t="str">
        <x:v>CNY</x:v>
      </x:c>
      <x:c r="O10" t="str">
        <x:v>00981.HK</x:v>
      </x:c>
      <x:c r="P10" t="str">
        <x:v>2026年底</x:v>
      </x:c>
      <x:c r="Q10" t="str">
        <x:v>乐观</x:v>
      </x:c>
      <x:c r="R10" s="42" t="n">
        <x:v>13</x:v>
      </x:c>
      <x:c r="S10" s="42" t="n">
        <x:v>0.21</x:v>
      </x:c>
      <x:c r="T10" s="42" t="n">
        <x:v>0.05</x:v>
      </x:c>
      <x:c r="U10" s="42" t="n">
        <x:v>0.15</x:v>
      </x:c>
      <x:c r="V10" s="42" t="n">
        <x:v>0.8</x:v>
      </x:c>
      <x:c r="W10" s="42" t="n">
        <x:v>8.6</x:v>
      </x:c>
      <x:c r="AD10" t="str">
        <x:v>01211.HK</x:v>
      </x:c>
      <x:c r="AE10" t="str">
        <x:v>2026年底</x:v>
      </x:c>
      <x:c r="AF10" t="str">
        <x:v>乐观</x:v>
      </x:c>
      <x:c r="AG10" s="42" t="n">
        <x:v>3</x:v>
      </x:c>
      <x:c r="AH10" s="42" t="n">
        <x:v>2.2</x:v>
      </x:c>
      <x:c r="AI10" s="42" t="n">
        <x:v>7000</x:v>
      </x:c>
      <x:c r="AJ10" s="42" t="n">
        <x:v>20000</x:v>
      </x:c>
      <x:c r="AK10" s="42" t="n">
        <x:v>4</x:v>
      </x:c>
      <x:c r="AL10" s="42" t="n">
        <x:v>9.1</x:v>
      </x:c>
      <x:c r="AR10" t="str">
        <x:v>03750.HK</x:v>
      </x:c>
      <x:c r="AS10" t="str">
        <x:v>2026年底</x:v>
      </x:c>
      <x:c r="AT10" t="str">
        <x:v>乐观</x:v>
      </x:c>
      <x:c r="AU10" s="42" t="n">
        <x:v>490</x:v>
      </x:c>
      <x:c r="AV10" s="42" t="n">
        <x:v>0.18</x:v>
      </x:c>
      <x:c r="AW10" s="42" t="n">
        <x:v>160</x:v>
      </x:c>
      <x:c r="AX10" s="42" t="n">
        <x:v>0.21</x:v>
      </x:c>
      <x:c r="AY10" s="42" t="n">
        <x:v>48</x:v>
      </x:c>
      <x:c r="AZ10" s="42" t="n">
        <x:v>0.2</x:v>
      </x:c>
      <x:c r="BA10" s="42" t="n">
        <x:v>27</x:v>
      </x:c>
      <x:c r="BB10" s="42" t="n">
        <x:v>0.3</x:v>
      </x:c>
      <x:c r="BC10" s="42" t="n">
        <x:v>12</x:v>
      </x:c>
      <x:c r="BD10" s="42" t="n">
        <x:v>0.16</x:v>
      </x:c>
      <x:c r="BE10" s="42" t="n">
        <x:v>0.94</x:v>
      </x:c>
      <x:c r="BF10" s="42" t="n">
        <x:v>4.6</x:v>
      </x:c>
    </x:row>
    <x:row r="11" ht="23" customHeight="1">
      <x:c r="A11" s="11" t="str">
        <x:v>09988.HK</x:v>
      </x:c>
      <x:c r="B11" s="11" t="str">
        <x:v>半年</x:v>
      </x:c>
      <x:c r="C11" s="11" t="str">
        <x:v>活动输入</x:v>
      </x:c>
      <x:c r="D11" s="11" t="n">
        <x:f>CHOOSE('假设'!$B$3,D12,D13,D14)</x:f>
        <x:v>174</x:v>
      </x:c>
      <x:c r="E11" s="11" t="n">
        <x:f>CHOOSE('假设'!$B$3,E12,E13,E14)</x:f>
        <x:v>39</x:v>
      </x:c>
      <x:c r="F11" s="11" t="n">
        <x:f>CHOOSE('假设'!$B$3,F12,F13,F14)</x:f>
        <x:v>-54</x:v>
      </x:c>
      <x:c r="G11" s="11" t="n">
        <x:f>CHOOSE('假设'!$B$3,G12,G13,G14)</x:f>
        <x:v>-3</x:v>
      </x:c>
      <x:c r="H11" s="11" t="n">
        <x:f>CHOOSE('假设'!$B$3,H12,H13,H14)</x:f>
        <x:v>0.22</x:v>
      </x:c>
      <x:c r="I11" s="11" t="n">
        <x:f>CHOOSE('假设'!$B$3,I12,I13,I14)</x:f>
        <x:v>4</x:v>
      </x:c>
      <x:c r="J11" s="11" t="n">
        <x:f>CHOOSE('假设'!$B$3,J12,J13,J14)</x:f>
        <x:v>20</x:v>
      </x:c>
      <x:c r="K11" s="11" t="str">
        <x:f>CHOOSE('假设'!$B$3,K12,K13,K14)</x:f>
      </x:c>
      <x:c r="L11" s="11" t="str">
        <x:f>CHOOSE('假设'!$B$3,L12,L13,L14)</x:f>
      </x:c>
      <x:c r="M11" s="11" t="n">
        <x:f>CHOOSE('假设'!$B$3,M12,M13,M14)</x:f>
        <x:v>0</x:v>
      </x:c>
      <x:c r="N11" t="str">
        <x:v>CNY</x:v>
      </x:c>
      <x:c r="O11" t="str">
        <x:v>00981.HK</x:v>
      </x:c>
      <x:c r="P11" t="str">
        <x:v>半年</x:v>
      </x:c>
      <x:c r="Q11" t="str">
        <x:v>活动输入</x:v>
      </x:c>
      <x:c r="R11" t="n">
        <x:f>CHOOSE('假设'!$B$3,R12,R13,R14)</x:f>
        <x:v>13.5</x:v>
      </x:c>
      <x:c r="S11" t="n">
        <x:f>CHOOSE('假设'!$B$3,S12,S13,S14)</x:f>
        <x:v>0.175</x:v>
      </x:c>
      <x:c r="T11" t="n">
        <x:f>CHOOSE('假设'!$B$3,T12,T13,T14)</x:f>
        <x:v>0</x:v>
      </x:c>
      <x:c r="U11" t="n">
        <x:f>CHOOSE('假设'!$B$3,U12,U13,U14)</x:f>
        <x:v>0.15</x:v>
      </x:c>
      <x:c r="V11" t="n">
        <x:f>CHOOSE('假设'!$B$3,V12,V13,V14)</x:f>
        <x:v>0.76</x:v>
      </x:c>
      <x:c r="W11" t="n">
        <x:f>CHOOSE('假设'!$B$3,W12,W13,W14)</x:f>
        <x:v>8.7</x:v>
      </x:c>
      <x:c r="X11" t="n">
        <x:f>(R11*S11+T11)*(1-U11)*V11</x:f>
        <x:v>1.5261749999999998</x:v>
      </x:c>
      <x:c r="Y11" t="n">
        <x:f>ROUND(X11/W11,4)</x:f>
        <x:v>0.1754</x:v>
      </x:c>
      <x:c r="Z11" t="n">
        <x:f>'假设'!F891</x:f>
        <x:v>55</x:v>
      </x:c>
      <x:c r="AA11" t="n">
        <x:f>'假设'!G891</x:f>
        <x:v>7.8</x:v>
      </x:c>
      <x:c r="AB11" t="n">
        <x:f>ROUND(Y11*Z11*AA11,2)</x:f>
        <x:v>75.25</x:v>
      </x:c>
      <x:c r="AD11" t="str">
        <x:v>01211.HK</x:v>
      </x:c>
      <x:c r="AE11" t="str">
        <x:v>半年</x:v>
      </x:c>
      <x:c r="AF11" t="str">
        <x:v>活动输入</x:v>
      </x:c>
      <x:c r="AG11" t="n">
        <x:f>CHOOSE('假设'!$B$3,AG12,AG13,AG14)</x:f>
        <x:v>2.8</x:v>
      </x:c>
      <x:c r="AH11" t="n">
        <x:f>CHOOSE('假设'!$B$3,AH12,AH13,AH14)</x:f>
        <x:v>2.05</x:v>
      </x:c>
      <x:c r="AI11" t="n">
        <x:f>CHOOSE('假设'!$B$3,AI12,AI13,AI14)</x:f>
        <x:v>5000</x:v>
      </x:c>
      <x:c r="AJ11" t="n">
        <x:f>CHOOSE('假设'!$B$3,AJ12,AJ13,AJ14)</x:f>
        <x:v>15500</x:v>
      </x:c>
      <x:c r="AK11" t="n">
        <x:f>CHOOSE('假设'!$B$3,AK12,AK13,AK14)</x:f>
        <x:v>2.7</x:v>
      </x:c>
      <x:c r="AL11" t="n">
        <x:f>CHOOSE('假设'!$B$3,AL12,AL13,AL14)</x:f>
        <x:v>9.2</x:v>
      </x:c>
      <x:c r="AM11" t="n">
        <x:f>(AG11*AI11+AH11*AJ11)/1000+AK11</x:f>
        <x:v>48.475</x:v>
      </x:c>
      <x:c r="AN11" t="n">
        <x:f>ROUND(AM11/AL11,3)</x:f>
        <x:v>5.269</x:v>
      </x:c>
      <x:c r="AO11" t="n">
        <x:f>'假设'!F191</x:f>
        <x:v>20</x:v>
      </x:c>
      <x:c r="AP11" t="n">
        <x:f>ROUND(AN11*AO11*'假设'!G191,2)</x:f>
        <x:v>115.92</x:v>
      </x:c>
      <x:c r="AR11" t="str">
        <x:v>03750.HK</x:v>
      </x:c>
      <x:c r="AS11" t="str">
        <x:v>半年</x:v>
      </x:c>
      <x:c r="AT11" t="str">
        <x:v>活动输入</x:v>
      </x:c>
      <x:c r="AU11" t="n">
        <x:f>CHOOSE('假设'!$B$3,AU12,AU13,AU14)</x:f>
        <x:v>460</x:v>
      </x:c>
      <x:c r="AV11" t="n">
        <x:f>CHOOSE('假设'!$B$3,AV12,AV13,AV14)</x:f>
        <x:v>0.16</x:v>
      </x:c>
      <x:c r="AW11" t="n">
        <x:f>CHOOSE('假设'!$B$3,AW12,AW13,AW14)</x:f>
        <x:v>145</x:v>
      </x:c>
      <x:c r="AX11" t="n">
        <x:f>CHOOSE('假设'!$B$3,AX12,AX13,AX14)</x:f>
        <x:v>0.18</x:v>
      </x:c>
      <x:c r="AY11" t="n">
        <x:f>CHOOSE('假设'!$B$3,AY12,AY13,AY14)</x:f>
        <x:v>42</x:v>
      </x:c>
      <x:c r="AZ11" t="n">
        <x:f>CHOOSE('假设'!$B$3,AZ12,AZ13,AZ14)</x:f>
        <x:v>0.15</x:v>
      </x:c>
      <x:c r="BA11" t="n">
        <x:f>CHOOSE('假设'!$B$3,BA12,BA13,BA14)</x:f>
        <x:v>25</x:v>
      </x:c>
      <x:c r="BB11" t="n">
        <x:f>CHOOSE('假设'!$B$3,BB12,BB13,BB14)</x:f>
        <x:v>0.25</x:v>
      </x:c>
      <x:c r="BC11" t="n">
        <x:f>CHOOSE('假设'!$B$3,BC12,BC13,BC14)</x:f>
        <x:v>8</x:v>
      </x:c>
      <x:c r="BD11" t="n">
        <x:f>CHOOSE('假设'!$B$3,BD12,BD13,BD14)</x:f>
        <x:v>0.16</x:v>
      </x:c>
      <x:c r="BE11" t="n">
        <x:f>CHOOSE('假设'!$B$3,BE12,BE13,BE14)</x:f>
        <x:v>0.93</x:v>
      </x:c>
      <x:c r="BF11" t="n">
        <x:f>CHOOSE('假设'!$B$3,BF12,BF13,BF14)</x:f>
        <x:v>4.63</x:v>
      </x:c>
      <x:c r="BG11" t="n">
        <x:f>(AU11*AV11+AW11*AX11+AY11*AZ11+BA11*BB11+BC11)*(1-BD11)*BE11</x:f>
        <x:v>93.9393</x:v>
      </x:c>
      <x:c r="BH11" t="n">
        <x:f>ROUND(BG11/BF11,3)</x:f>
        <x:v>20.289</x:v>
      </x:c>
    </x:row>
    <x:row r="12" ht="23" customHeight="1">
      <x:c r="A12" s="11" t="str">
        <x:v>09988.HK</x:v>
      </x:c>
      <x:c r="B12" s="11" t="str">
        <x:v>半年</x:v>
      </x:c>
      <x:c r="C12" s="11" t="str">
        <x:v>悲观</x:v>
      </x:c>
      <x:c r="D12" s="16" t="n">
        <x:v>135</x:v>
      </x:c>
      <x:c r="E12" s="16" t="n">
        <x:v>26</x:v>
      </x:c>
      <x:c r="F12" s="16" t="n">
        <x:v>-52</x:v>
      </x:c>
      <x:c r="G12" s="16" t="n">
        <x:v>-24</x:v>
      </x:c>
      <x:c r="H12" s="16" t="n">
        <x:v>0.22</x:v>
      </x:c>
      <x:c r="I12" s="16" t="n">
        <x:v>5</x:v>
      </x:c>
      <x:c r="J12" s="16" t="n">
        <x:v>20.5</x:v>
      </x:c>
      <x:c r="K12" s="11"/>
      <x:c r="L12" s="11"/>
      <x:c r="M12" s="16" t="n">
        <x:v>0</x:v>
      </x:c>
      <x:c r="N12" t="str">
        <x:v>CNY</x:v>
      </x:c>
      <x:c r="O12" t="str">
        <x:v>00981.HK</x:v>
      </x:c>
      <x:c r="P12" t="str">
        <x:v>半年</x:v>
      </x:c>
      <x:c r="Q12" t="str">
        <x:v>悲观</x:v>
      </x:c>
      <x:c r="R12" s="42" t="n">
        <x:v>12</x:v>
      </x:c>
      <x:c r="S12" s="42" t="n">
        <x:v>0.09</x:v>
      </x:c>
      <x:c r="T12" s="42" t="n">
        <x:v>-0.15</x:v>
      </x:c>
      <x:c r="U12" s="42" t="n">
        <x:v>0.15</x:v>
      </x:c>
      <x:c r="V12" s="42" t="n">
        <x:v>0.65</x:v>
      </x:c>
      <x:c r="W12" s="42" t="n">
        <x:v>8.85</x:v>
      </x:c>
      <x:c r="AD12" t="str">
        <x:v>01211.HK</x:v>
      </x:c>
      <x:c r="AE12" t="str">
        <x:v>半年</x:v>
      </x:c>
      <x:c r="AF12" t="str">
        <x:v>悲观</x:v>
      </x:c>
      <x:c r="AG12" s="42" t="n">
        <x:v>2.4</x:v>
      </x:c>
      <x:c r="AH12" s="42" t="n">
        <x:v>1.5</x:v>
      </x:c>
      <x:c r="AI12" s="42" t="n">
        <x:v>2000</x:v>
      </x:c>
      <x:c r="AJ12" s="42" t="n">
        <x:v>8500</x:v>
      </x:c>
      <x:c r="AK12" s="42" t="n">
        <x:v>1</x:v>
      </x:c>
      <x:c r="AL12" s="42" t="n">
        <x:v>9.45</x:v>
      </x:c>
      <x:c r="AR12" t="str">
        <x:v>03750.HK</x:v>
      </x:c>
      <x:c r="AS12" t="str">
        <x:v>半年</x:v>
      </x:c>
      <x:c r="AT12" t="str">
        <x:v>悲观</x:v>
      </x:c>
      <x:c r="AU12" s="42" t="n">
        <x:v>365</x:v>
      </x:c>
      <x:c r="AV12" s="42" t="n">
        <x:v>0.105</x:v>
      </x:c>
      <x:c r="AW12" s="42" t="n">
        <x:v>100</x:v>
      </x:c>
      <x:c r="AX12" s="42" t="n">
        <x:v>0.09</x:v>
      </x:c>
      <x:c r="AY12" s="42" t="n">
        <x:v>29</x:v>
      </x:c>
      <x:c r="AZ12" s="42" t="n">
        <x:v>0.07</x:v>
      </x:c>
      <x:c r="BA12" s="42" t="n">
        <x:v>20</x:v>
      </x:c>
      <x:c r="BB12" s="42" t="n">
        <x:v>0.14</x:v>
      </x:c>
      <x:c r="BC12" s="42" t="n">
        <x:v>3</x:v>
      </x:c>
      <x:c r="BD12" s="42" t="n">
        <x:v>0.16</x:v>
      </x:c>
      <x:c r="BE12" s="42" t="n">
        <x:v>0.92</x:v>
      </x:c>
      <x:c r="BF12" s="42" t="n">
        <x:v>4.82</x:v>
      </x:c>
    </x:row>
    <x:row r="13" ht="23" customHeight="1">
      <x:c r="A13" s="11" t="str">
        <x:v>09988.HK</x:v>
      </x:c>
      <x:c r="B13" s="11" t="str">
        <x:v>半年</x:v>
      </x:c>
      <x:c r="C13" s="11" t="str">
        <x:v>基准</x:v>
      </x:c>
      <x:c r="D13" s="16" t="n">
        <x:v>174</x:v>
      </x:c>
      <x:c r="E13" s="16" t="n">
        <x:v>39</x:v>
      </x:c>
      <x:c r="F13" s="16" t="n">
        <x:v>-54</x:v>
      </x:c>
      <x:c r="G13" s="16" t="n">
        <x:v>-3</x:v>
      </x:c>
      <x:c r="H13" s="16" t="n">
        <x:v>0.22</x:v>
      </x:c>
      <x:c r="I13" s="16" t="n">
        <x:v>4</x:v>
      </x:c>
      <x:c r="J13" s="16" t="n">
        <x:v>20</x:v>
      </x:c>
      <x:c r="K13" s="11"/>
      <x:c r="L13" s="11"/>
      <x:c r="M13" s="16" t="n">
        <x:v>0</x:v>
      </x:c>
      <x:c r="N13" t="str">
        <x:v>CNY</x:v>
      </x:c>
      <x:c r="O13" t="str">
        <x:v>00981.HK</x:v>
      </x:c>
      <x:c r="P13" t="str">
        <x:v>半年</x:v>
      </x:c>
      <x:c r="Q13" t="str">
        <x:v>基准</x:v>
      </x:c>
      <x:c r="R13" s="42" t="n">
        <x:v>13.5</x:v>
      </x:c>
      <x:c r="S13" s="42" t="n">
        <x:v>0.175</x:v>
      </x:c>
      <x:c r="T13" s="42" t="n">
        <x:v>0</x:v>
      </x:c>
      <x:c r="U13" s="42" t="n">
        <x:v>0.15</x:v>
      </x:c>
      <x:c r="V13" s="42" t="n">
        <x:v>0.76</x:v>
      </x:c>
      <x:c r="W13" s="42" t="n">
        <x:v>8.7</x:v>
      </x:c>
      <x:c r="AD13" t="str">
        <x:v>01211.HK</x:v>
      </x:c>
      <x:c r="AE13" t="str">
        <x:v>半年</x:v>
      </x:c>
      <x:c r="AF13" t="str">
        <x:v>基准</x:v>
      </x:c>
      <x:c r="AG13" s="42" t="n">
        <x:v>2.8</x:v>
      </x:c>
      <x:c r="AH13" s="42" t="n">
        <x:v>2.05</x:v>
      </x:c>
      <x:c r="AI13" s="42" t="n">
        <x:v>5000</x:v>
      </x:c>
      <x:c r="AJ13" s="42" t="n">
        <x:v>15500</x:v>
      </x:c>
      <x:c r="AK13" s="42" t="n">
        <x:v>2.7</x:v>
      </x:c>
      <x:c r="AL13" s="42" t="n">
        <x:v>9.2</x:v>
      </x:c>
      <x:c r="AR13" t="str">
        <x:v>03750.HK</x:v>
      </x:c>
      <x:c r="AS13" t="str">
        <x:v>半年</x:v>
      </x:c>
      <x:c r="AT13" t="str">
        <x:v>基准</x:v>
      </x:c>
      <x:c r="AU13" s="42" t="n">
        <x:v>460</x:v>
      </x:c>
      <x:c r="AV13" s="42" t="n">
        <x:v>0.16</x:v>
      </x:c>
      <x:c r="AW13" s="42" t="n">
        <x:v>145</x:v>
      </x:c>
      <x:c r="AX13" s="42" t="n">
        <x:v>0.18</x:v>
      </x:c>
      <x:c r="AY13" s="42" t="n">
        <x:v>42</x:v>
      </x:c>
      <x:c r="AZ13" s="42" t="n">
        <x:v>0.15</x:v>
      </x:c>
      <x:c r="BA13" s="42" t="n">
        <x:v>25</x:v>
      </x:c>
      <x:c r="BB13" s="42" t="n">
        <x:v>0.25</x:v>
      </x:c>
      <x:c r="BC13" s="42" t="n">
        <x:v>8</x:v>
      </x:c>
      <x:c r="BD13" s="42" t="n">
        <x:v>0.16</x:v>
      </x:c>
      <x:c r="BE13" s="42" t="n">
        <x:v>0.93</x:v>
      </x:c>
      <x:c r="BF13" s="42" t="n">
        <x:v>4.63</x:v>
      </x:c>
    </x:row>
    <x:row r="14" ht="23" customHeight="1">
      <x:c r="A14" s="11" t="str">
        <x:v>09988.HK</x:v>
      </x:c>
      <x:c r="B14" s="11" t="str">
        <x:v>半年</x:v>
      </x:c>
      <x:c r="C14" s="11" t="str">
        <x:v>乐观</x:v>
      </x:c>
      <x:c r="D14" s="16" t="n">
        <x:v>188</x:v>
      </x:c>
      <x:c r="E14" s="16" t="n">
        <x:v>53</x:v>
      </x:c>
      <x:c r="F14" s="16" t="n">
        <x:v>-26</x:v>
      </x:c>
      <x:c r="G14" s="16" t="n">
        <x:v>4</x:v>
      </x:c>
      <x:c r="H14" s="16" t="n">
        <x:v>0.22</x:v>
      </x:c>
      <x:c r="I14" s="16" t="n">
        <x:v>5</x:v>
      </x:c>
      <x:c r="J14" s="16" t="n">
        <x:v>19.5</x:v>
      </x:c>
      <x:c r="K14" s="11"/>
      <x:c r="L14" s="11"/>
      <x:c r="M14" s="16" t="n">
        <x:v>0</x:v>
      </x:c>
      <x:c r="N14" t="str">
        <x:v>CNY</x:v>
      </x:c>
      <x:c r="O14" t="str">
        <x:v>00981.HK</x:v>
      </x:c>
      <x:c r="P14" t="str">
        <x:v>半年</x:v>
      </x:c>
      <x:c r="Q14" t="str">
        <x:v>乐观</x:v>
      </x:c>
      <x:c r="R14" s="42" t="n">
        <x:v>14.5</x:v>
      </x:c>
      <x:c r="S14" s="42" t="n">
        <x:v>0.235</x:v>
      </x:c>
      <x:c r="T14" s="42" t="n">
        <x:v>0.05</x:v>
      </x:c>
      <x:c r="U14" s="42" t="n">
        <x:v>0.15</x:v>
      </x:c>
      <x:c r="V14" s="42" t="n">
        <x:v>0.82</x:v>
      </x:c>
      <x:c r="W14" s="42" t="n">
        <x:v>8.6</x:v>
      </x:c>
      <x:c r="AD14" t="str">
        <x:v>01211.HK</x:v>
      </x:c>
      <x:c r="AE14" t="str">
        <x:v>半年</x:v>
      </x:c>
      <x:c r="AF14" t="str">
        <x:v>乐观</x:v>
      </x:c>
      <x:c r="AG14" s="42" t="n">
        <x:v>3.2</x:v>
      </x:c>
      <x:c r="AH14" s="42" t="n">
        <x:v>2.5</x:v>
      </x:c>
      <x:c r="AI14" s="42" t="n">
        <x:v>7500</x:v>
      </x:c>
      <x:c r="AJ14" s="42" t="n">
        <x:v>20500</x:v>
      </x:c>
      <x:c r="AK14" s="42" t="n">
        <x:v>4.2</x:v>
      </x:c>
      <x:c r="AL14" s="42" t="n">
        <x:v>9.1</x:v>
      </x:c>
      <x:c r="AR14" t="str">
        <x:v>03750.HK</x:v>
      </x:c>
      <x:c r="AS14" t="str">
        <x:v>半年</x:v>
      </x:c>
      <x:c r="AT14" t="str">
        <x:v>乐观</x:v>
      </x:c>
      <x:c r="AU14" s="42" t="n">
        <x:v>535</x:v>
      </x:c>
      <x:c r="AV14" s="42" t="n">
        <x:v>0.185</x:v>
      </x:c>
      <x:c r="AW14" s="42" t="n">
        <x:v>190</x:v>
      </x:c>
      <x:c r="AX14" s="42" t="n">
        <x:v>0.225</x:v>
      </x:c>
      <x:c r="AY14" s="42" t="n">
        <x:v>55</x:v>
      </x:c>
      <x:c r="AZ14" s="42" t="n">
        <x:v>0.21</x:v>
      </x:c>
      <x:c r="BA14" s="42" t="n">
        <x:v>30</x:v>
      </x:c>
      <x:c r="BB14" s="42" t="n">
        <x:v>0.32</x:v>
      </x:c>
      <x:c r="BC14" s="42" t="n">
        <x:v>12</x:v>
      </x:c>
      <x:c r="BD14" s="42" t="n">
        <x:v>0.16</x:v>
      </x:c>
      <x:c r="BE14" s="42" t="n">
        <x:v>0.94</x:v>
      </x:c>
      <x:c r="BF14" s="42" t="n">
        <x:v>4.6</x:v>
      </x:c>
    </x:row>
    <x:row r="15" ht="23" customHeight="1">
      <x:c r="A15" s="11" t="str">
        <x:v>09988.HK</x:v>
      </x:c>
      <x:c r="B15" s="11" t="str">
        <x:v>一年</x:v>
      </x:c>
      <x:c r="C15" s="11" t="str">
        <x:v>活动输入</x:v>
      </x:c>
      <x:c r="D15" s="11" t="n">
        <x:f>CHOOSE('假设'!$B$3,D16,D17,D18)</x:f>
        <x:v>182</x:v>
      </x:c>
      <x:c r="E15" s="11" t="n">
        <x:f>CHOOSE('假设'!$B$3,E16,E17,E18)</x:f>
        <x:v>50</x:v>
      </x:c>
      <x:c r="F15" s="11" t="n">
        <x:f>CHOOSE('假设'!$B$3,F16,F17,F18)</x:f>
        <x:v>-42</x:v>
      </x:c>
      <x:c r="G15" s="11" t="n">
        <x:f>CHOOSE('假设'!$B$3,G16,G17,G18)</x:f>
        <x:v>-6</x:v>
      </x:c>
      <x:c r="H15" s="11" t="n">
        <x:f>CHOOSE('假设'!$B$3,H16,H17,H18)</x:f>
        <x:v>0.22</x:v>
      </x:c>
      <x:c r="I15" s="11" t="n">
        <x:f>CHOOSE('假设'!$B$3,I16,I17,I18)</x:f>
        <x:v>5</x:v>
      </x:c>
      <x:c r="J15" s="11" t="n">
        <x:f>CHOOSE('假设'!$B$3,J16,J17,J18)</x:f>
        <x:v>20</x:v>
      </x:c>
      <x:c r="K15" s="11" t="str">
        <x:f>CHOOSE('假设'!$B$3,K16,K17,K18)</x:f>
      </x:c>
      <x:c r="L15" s="11" t="str">
        <x:f>CHOOSE('假设'!$B$3,L16,L17,L18)</x:f>
      </x:c>
      <x:c r="M15" s="11" t="n">
        <x:f>CHOOSE('假设'!$B$3,M16,M17,M18)</x:f>
        <x:v>0</x:v>
      </x:c>
      <x:c r="N15" t="str">
        <x:v>CNY</x:v>
      </x:c>
      <x:c r="O15" t="str">
        <x:v>00981.HK</x:v>
      </x:c>
      <x:c r="P15" t="str">
        <x:v>一年</x:v>
      </x:c>
      <x:c r="Q15" t="str">
        <x:v>活动输入</x:v>
      </x:c>
      <x:c r="R15" t="n">
        <x:f>CHOOSE('假设'!$B$3,R16,R17,R18)</x:f>
        <x:v>14.5</x:v>
      </x:c>
      <x:c r="S15" t="n">
        <x:f>CHOOSE('假设'!$B$3,S16,S17,S18)</x:f>
        <x:v>0.19</x:v>
      </x:c>
      <x:c r="T15" t="n">
        <x:f>CHOOSE('假设'!$B$3,T16,T17,T18)</x:f>
        <x:v>0</x:v>
      </x:c>
      <x:c r="U15" t="n">
        <x:f>CHOOSE('假设'!$B$3,U16,U17,U18)</x:f>
        <x:v>0.15</x:v>
      </x:c>
      <x:c r="V15" t="n">
        <x:f>CHOOSE('假设'!$B$3,V16,V17,V18)</x:f>
        <x:v>0.77</x:v>
      </x:c>
      <x:c r="W15" t="n">
        <x:f>CHOOSE('假设'!$B$3,W16,W17,W18)</x:f>
        <x:v>8.75</x:v>
      </x:c>
      <x:c r="X15" t="n">
        <x:f>(R15*S15+T15)*(1-U15)*V15</x:f>
        <x:v>1.8031475</x:v>
      </x:c>
      <x:c r="Y15" t="n">
        <x:f>ROUND(X15/W15,4)</x:f>
        <x:v>0.2061</x:v>
      </x:c>
      <x:c r="Z15" t="n">
        <x:f>'假设'!F895</x:f>
        <x:v>52</x:v>
      </x:c>
      <x:c r="AA15" t="n">
        <x:f>'假设'!G895</x:f>
        <x:v>7.8</x:v>
      </x:c>
      <x:c r="AB15" t="n">
        <x:f>ROUND(Y15*Z15*AA15,2)</x:f>
        <x:v>83.59</x:v>
      </x:c>
      <x:c r="AD15" t="str">
        <x:v>01211.HK</x:v>
      </x:c>
      <x:c r="AE15" t="str">
        <x:v>一年</x:v>
      </x:c>
      <x:c r="AF15" t="str">
        <x:v>活动输入</x:v>
      </x:c>
      <x:c r="AG15" t="n">
        <x:f>CHOOSE('假设'!$B$3,AG16,AG17,AG18)</x:f>
        <x:v>2.9</x:v>
      </x:c>
      <x:c r="AH15" t="n">
        <x:f>CHOOSE('假设'!$B$3,AH16,AH17,AH18)</x:f>
        <x:v>2.3</x:v>
      </x:c>
      <x:c r="AI15" t="n">
        <x:f>CHOOSE('假设'!$B$3,AI16,AI17,AI18)</x:f>
        <x:v>5600</x:v>
      </x:c>
      <x:c r="AJ15" t="n">
        <x:f>CHOOSE('假设'!$B$3,AJ16,AJ17,AJ18)</x:f>
        <x:v>16000</x:v>
      </x:c>
      <x:c r="AK15" t="n">
        <x:f>CHOOSE('假设'!$B$3,AK16,AK17,AK18)</x:f>
        <x:v>3</x:v>
      </x:c>
      <x:c r="AL15" t="n">
        <x:f>CHOOSE('假设'!$B$3,AL16,AL17,AL18)</x:f>
        <x:v>9.22</x:v>
      </x:c>
      <x:c r="AM15" t="n">
        <x:f>(AG15*AI15+AH15*AJ15)/1000+AK15</x:f>
        <x:v>56.04</x:v>
      </x:c>
      <x:c r="AN15" t="n">
        <x:f>ROUND(AM15/AL15,3)</x:f>
        <x:v>6.078</x:v>
      </x:c>
      <x:c r="AO15" t="n">
        <x:f>'假设'!F195</x:f>
        <x:v>19</x:v>
      </x:c>
      <x:c r="AP15" t="n">
        <x:f>ROUND(AN15*AO15*'假设'!G195,2)</x:f>
        <x:v>127.03</x:v>
      </x:c>
      <x:c r="AR15" t="str">
        <x:v>03750.HK</x:v>
      </x:c>
      <x:c r="AS15" t="str">
        <x:v>一年</x:v>
      </x:c>
      <x:c r="AT15" t="str">
        <x:v>活动输入</x:v>
      </x:c>
      <x:c r="AU15" t="n">
        <x:f>CHOOSE('假设'!$B$3,AU16,AU17,AU18)</x:f>
        <x:v>505</x:v>
      </x:c>
      <x:c r="AV15" t="n">
        <x:f>CHOOSE('假设'!$B$3,AV16,AV17,AV18)</x:f>
        <x:v>0.165</x:v>
      </x:c>
      <x:c r="AW15" t="n">
        <x:f>CHOOSE('假设'!$B$3,AW16,AW17,AW18)</x:f>
        <x:v>175</x:v>
      </x:c>
      <x:c r="AX15" t="n">
        <x:f>CHOOSE('假设'!$B$3,AX16,AX17,AX18)</x:f>
        <x:v>0.19</x:v>
      </x:c>
      <x:c r="AY15" t="n">
        <x:f>CHOOSE('假设'!$B$3,AY16,AY17,AY18)</x:f>
        <x:v>48</x:v>
      </x:c>
      <x:c r="AZ15" t="n">
        <x:f>CHOOSE('假设'!$B$3,AZ16,AZ17,AZ18)</x:f>
        <x:v>0.16</x:v>
      </x:c>
      <x:c r="BA15" t="n">
        <x:f>CHOOSE('假设'!$B$3,BA16,BA17,BA18)</x:f>
        <x:v>30</x:v>
      </x:c>
      <x:c r="BB15" t="n">
        <x:f>CHOOSE('假设'!$B$3,BB16,BB17,BB18)</x:f>
        <x:v>0.26</x:v>
      </x:c>
      <x:c r="BC15" t="n">
        <x:f>CHOOSE('假设'!$B$3,BC16,BC17,BC18)</x:f>
        <x:v>8</x:v>
      </x:c>
      <x:c r="BD15" t="n">
        <x:f>CHOOSE('假设'!$B$3,BD16,BD17,BD18)</x:f>
        <x:v>0.16</x:v>
      </x:c>
      <x:c r="BE15" t="n">
        <x:f>CHOOSE('假设'!$B$3,BE16,BE17,BE18)</x:f>
        <x:v>0.94</x:v>
      </x:c>
      <x:c r="BF15" t="n">
        <x:f>CHOOSE('假设'!$B$3,BF16,BF17,BF18)</x:f>
        <x:v>4.62</x:v>
      </x:c>
      <x:c r="BG15" t="n">
        <x:f>(AU15*AV15+AW15*AX15+AY15*AZ15+BA15*BB15+BC15)*(1-BD15)*BE15</x:f>
        <x:v>110.587428</x:v>
      </x:c>
      <x:c r="BH15" t="n">
        <x:f>ROUND(BG15/BF15,3)</x:f>
        <x:v>23.937</x:v>
      </x:c>
    </x:row>
    <x:row r="16" ht="23" customHeight="1">
      <x:c r="A16" s="11" t="str">
        <x:v>09988.HK</x:v>
      </x:c>
      <x:c r="B16" s="11" t="str">
        <x:v>一年</x:v>
      </x:c>
      <x:c r="C16" s="11" t="str">
        <x:v>悲观</x:v>
      </x:c>
      <x:c r="D16" s="16" t="n">
        <x:v>135</x:v>
      </x:c>
      <x:c r="E16" s="16" t="n">
        <x:v>32</x:v>
      </x:c>
      <x:c r="F16" s="16" t="n">
        <x:v>-61</x:v>
      </x:c>
      <x:c r="G16" s="16" t="n">
        <x:v>-22</x:v>
      </x:c>
      <x:c r="H16" s="16" t="n">
        <x:v>0.22</x:v>
      </x:c>
      <x:c r="I16" s="16" t="n">
        <x:v>6</x:v>
      </x:c>
      <x:c r="J16" s="16" t="n">
        <x:v>20.5</x:v>
      </x:c>
      <x:c r="K16" s="11"/>
      <x:c r="L16" s="11"/>
      <x:c r="M16" s="16" t="n">
        <x:v>0</x:v>
      </x:c>
      <x:c r="N16" t="str">
        <x:v>CNY</x:v>
      </x:c>
      <x:c r="O16" t="str">
        <x:v>00981.HK</x:v>
      </x:c>
      <x:c r="P16" t="str">
        <x:v>一年</x:v>
      </x:c>
      <x:c r="Q16" t="str">
        <x:v>悲观</x:v>
      </x:c>
      <x:c r="R16" s="42" t="n">
        <x:v>12.5</x:v>
      </x:c>
      <x:c r="S16" s="42" t="n">
        <x:v>0.09</x:v>
      </x:c>
      <x:c r="T16" s="42" t="n">
        <x:v>-0.18</x:v>
      </x:c>
      <x:c r="U16" s="42" t="n">
        <x:v>0.15</x:v>
      </x:c>
      <x:c r="V16" s="42" t="n">
        <x:v>0.65</x:v>
      </x:c>
      <x:c r="W16" s="42" t="n">
        <x:v>8.95</x:v>
      </x:c>
      <x:c r="AD16" t="str">
        <x:v>01211.HK</x:v>
      </x:c>
      <x:c r="AE16" t="str">
        <x:v>一年</x:v>
      </x:c>
      <x:c r="AF16" t="str">
        <x:v>悲观</x:v>
      </x:c>
      <x:c r="AG16" s="42" t="n">
        <x:v>2.5</x:v>
      </x:c>
      <x:c r="AH16" s="42" t="n">
        <x:v>1.65</x:v>
      </x:c>
      <x:c r="AI16" s="42" t="n">
        <x:v>1800</x:v>
      </x:c>
      <x:c r="AJ16" s="42" t="n">
        <x:v>8000</x:v>
      </x:c>
      <x:c r="AK16" s="42" t="n">
        <x:v>0.8</x:v>
      </x:c>
      <x:c r="AL16" s="42" t="n">
        <x:v>9.5</x:v>
      </x:c>
      <x:c r="AR16" t="str">
        <x:v>03750.HK</x:v>
      </x:c>
      <x:c r="AS16" t="str">
        <x:v>一年</x:v>
      </x:c>
      <x:c r="AT16" t="str">
        <x:v>悲观</x:v>
      </x:c>
      <x:c r="AU16" s="42" t="n">
        <x:v>385</x:v>
      </x:c>
      <x:c r="AV16" s="42" t="n">
        <x:v>0.1</x:v>
      </x:c>
      <x:c r="AW16" s="42" t="n">
        <x:v>115</x:v>
      </x:c>
      <x:c r="AX16" s="42" t="n">
        <x:v>0.08</x:v>
      </x:c>
      <x:c r="AY16" s="42" t="n">
        <x:v>30</x:v>
      </x:c>
      <x:c r="AZ16" s="42" t="n">
        <x:v>0.06</x:v>
      </x:c>
      <x:c r="BA16" s="42" t="n">
        <x:v>21</x:v>
      </x:c>
      <x:c r="BB16" s="42" t="n">
        <x:v>0.13</x:v>
      </x:c>
      <x:c r="BC16" s="42" t="n">
        <x:v>3</x:v>
      </x:c>
      <x:c r="BD16" s="42" t="n">
        <x:v>0.16</x:v>
      </x:c>
      <x:c r="BE16" s="42" t="n">
        <x:v>0.92</x:v>
      </x:c>
      <x:c r="BF16" s="42" t="n">
        <x:v>4.85</x:v>
      </x:c>
    </x:row>
    <x:row r="17" ht="23" customHeight="1">
      <x:c r="A17" s="11" t="str">
        <x:v>09988.HK</x:v>
      </x:c>
      <x:c r="B17" s="11" t="str">
        <x:v>一年</x:v>
      </x:c>
      <x:c r="C17" s="11" t="str">
        <x:v>基准</x:v>
      </x:c>
      <x:c r="D17" s="16" t="n">
        <x:v>182</x:v>
      </x:c>
      <x:c r="E17" s="16" t="n">
        <x:v>50</x:v>
      </x:c>
      <x:c r="F17" s="16" t="n">
        <x:v>-42</x:v>
      </x:c>
      <x:c r="G17" s="16" t="n">
        <x:v>-6</x:v>
      </x:c>
      <x:c r="H17" s="16" t="n">
        <x:v>0.22</x:v>
      </x:c>
      <x:c r="I17" s="16" t="n">
        <x:v>5</x:v>
      </x:c>
      <x:c r="J17" s="16" t="n">
        <x:v>20</x:v>
      </x:c>
      <x:c r="K17" s="11"/>
      <x:c r="L17" s="11"/>
      <x:c r="M17" s="16" t="n">
        <x:v>0</x:v>
      </x:c>
      <x:c r="N17" t="str">
        <x:v>CNY</x:v>
      </x:c>
      <x:c r="O17" t="str">
        <x:v>00981.HK</x:v>
      </x:c>
      <x:c r="P17" t="str">
        <x:v>一年</x:v>
      </x:c>
      <x:c r="Q17" t="str">
        <x:v>基准</x:v>
      </x:c>
      <x:c r="R17" s="42" t="n">
        <x:v>14.5</x:v>
      </x:c>
      <x:c r="S17" s="42" t="n">
        <x:v>0.19</x:v>
      </x:c>
      <x:c r="T17" s="42" t="n">
        <x:v>0</x:v>
      </x:c>
      <x:c r="U17" s="42" t="n">
        <x:v>0.15</x:v>
      </x:c>
      <x:c r="V17" s="42" t="n">
        <x:v>0.77</x:v>
      </x:c>
      <x:c r="W17" s="42" t="n">
        <x:v>8.75</x:v>
      </x:c>
      <x:c r="AD17" t="str">
        <x:v>01211.HK</x:v>
      </x:c>
      <x:c r="AE17" t="str">
        <x:v>一年</x:v>
      </x:c>
      <x:c r="AF17" t="str">
        <x:v>基准</x:v>
      </x:c>
      <x:c r="AG17" s="42" t="n">
        <x:v>2.9</x:v>
      </x:c>
      <x:c r="AH17" s="42" t="n">
        <x:v>2.3</x:v>
      </x:c>
      <x:c r="AI17" s="42" t="n">
        <x:v>5600</x:v>
      </x:c>
      <x:c r="AJ17" s="42" t="n">
        <x:v>16000</x:v>
      </x:c>
      <x:c r="AK17" s="42" t="n">
        <x:v>3</x:v>
      </x:c>
      <x:c r="AL17" s="42" t="n">
        <x:v>9.22</x:v>
      </x:c>
      <x:c r="AR17" t="str">
        <x:v>03750.HK</x:v>
      </x:c>
      <x:c r="AS17" t="str">
        <x:v>一年</x:v>
      </x:c>
      <x:c r="AT17" t="str">
        <x:v>基准</x:v>
      </x:c>
      <x:c r="AU17" s="42" t="n">
        <x:v>505</x:v>
      </x:c>
      <x:c r="AV17" s="42" t="n">
        <x:v>0.165</x:v>
      </x:c>
      <x:c r="AW17" s="42" t="n">
        <x:v>175</x:v>
      </x:c>
      <x:c r="AX17" s="42" t="n">
        <x:v>0.19</x:v>
      </x:c>
      <x:c r="AY17" s="42" t="n">
        <x:v>48</x:v>
      </x:c>
      <x:c r="AZ17" s="42" t="n">
        <x:v>0.16</x:v>
      </x:c>
      <x:c r="BA17" s="42" t="n">
        <x:v>30</x:v>
      </x:c>
      <x:c r="BB17" s="42" t="n">
        <x:v>0.26</x:v>
      </x:c>
      <x:c r="BC17" s="42" t="n">
        <x:v>8</x:v>
      </x:c>
      <x:c r="BD17" s="42" t="n">
        <x:v>0.16</x:v>
      </x:c>
      <x:c r="BE17" s="42" t="n">
        <x:v>0.94</x:v>
      </x:c>
      <x:c r="BF17" s="42" t="n">
        <x:v>4.62</x:v>
      </x:c>
    </x:row>
    <x:row r="18" ht="23" customHeight="1">
      <x:c r="A18" s="11" t="str">
        <x:v>09988.HK</x:v>
      </x:c>
      <x:c r="B18" s="11" t="str">
        <x:v>一年</x:v>
      </x:c>
      <x:c r="C18" s="11" t="str">
        <x:v>乐观</x:v>
      </x:c>
      <x:c r="D18" s="16" t="n">
        <x:v>208</x:v>
      </x:c>
      <x:c r="E18" s="16" t="n">
        <x:v>70</x:v>
      </x:c>
      <x:c r="F18" s="16" t="n">
        <x:v>-20</x:v>
      </x:c>
      <x:c r="G18" s="16" t="n">
        <x:v>10</x:v>
      </x:c>
      <x:c r="H18" s="16" t="n">
        <x:v>0.22</x:v>
      </x:c>
      <x:c r="I18" s="16" t="n">
        <x:v>5</x:v>
      </x:c>
      <x:c r="J18" s="16" t="n">
        <x:v>19.5</x:v>
      </x:c>
      <x:c r="K18" s="11"/>
      <x:c r="L18" s="11"/>
      <x:c r="M18" s="16" t="n">
        <x:v>0</x:v>
      </x:c>
      <x:c r="N18" t="str">
        <x:v>CNY</x:v>
      </x:c>
      <x:c r="O18" t="str">
        <x:v>00981.HK</x:v>
      </x:c>
      <x:c r="P18" t="str">
        <x:v>一年</x:v>
      </x:c>
      <x:c r="Q18" t="str">
        <x:v>乐观</x:v>
      </x:c>
      <x:c r="R18" s="42" t="n">
        <x:v>16</x:v>
      </x:c>
      <x:c r="S18" s="42" t="n">
        <x:v>0.25</x:v>
      </x:c>
      <x:c r="T18" s="42" t="n">
        <x:v>0.05</x:v>
      </x:c>
      <x:c r="U18" s="42" t="n">
        <x:v>0.15</x:v>
      </x:c>
      <x:c r="V18" s="42" t="n">
        <x:v>0.83</x:v>
      </x:c>
      <x:c r="W18" s="42" t="n">
        <x:v>8.65</x:v>
      </x:c>
      <x:c r="AD18" t="str">
        <x:v>01211.HK</x:v>
      </x:c>
      <x:c r="AE18" t="str">
        <x:v>一年</x:v>
      </x:c>
      <x:c r="AF18" t="str">
        <x:v>乐观</x:v>
      </x:c>
      <x:c r="AG18" s="42" t="n">
        <x:v>3.5</x:v>
      </x:c>
      <x:c r="AH18" s="42" t="n">
        <x:v>2.8</x:v>
      </x:c>
      <x:c r="AI18" s="42" t="n">
        <x:v>8000</x:v>
      </x:c>
      <x:c r="AJ18" s="42" t="n">
        <x:v>21000</x:v>
      </x:c>
      <x:c r="AK18" s="42" t="n">
        <x:v>4.5</x:v>
      </x:c>
      <x:c r="AL18" s="42" t="n">
        <x:v>9.1</x:v>
      </x:c>
      <x:c r="AR18" t="str">
        <x:v>03750.HK</x:v>
      </x:c>
      <x:c r="AS18" t="str">
        <x:v>一年</x:v>
      </x:c>
      <x:c r="AT18" t="str">
        <x:v>乐观</x:v>
      </x:c>
      <x:c r="AU18" s="42" t="n">
        <x:v>600</x:v>
      </x:c>
      <x:c r="AV18" s="42" t="n">
        <x:v>0.19</x:v>
      </x:c>
      <x:c r="AW18" s="42" t="n">
        <x:v>245</x:v>
      </x:c>
      <x:c r="AX18" s="42" t="n">
        <x:v>0.24</x:v>
      </x:c>
      <x:c r="AY18" s="42" t="n">
        <x:v>65</x:v>
      </x:c>
      <x:c r="AZ18" s="42" t="n">
        <x:v>0.22</x:v>
      </x:c>
      <x:c r="BA18" s="42" t="n">
        <x:v>38</x:v>
      </x:c>
      <x:c r="BB18" s="42" t="n">
        <x:v>0.33</x:v>
      </x:c>
      <x:c r="BC18" s="42" t="n">
        <x:v>13</x:v>
      </x:c>
      <x:c r="BD18" s="42" t="n">
        <x:v>0.16</x:v>
      </x:c>
      <x:c r="BE18" s="42" t="n">
        <x:v>0.95</x:v>
      </x:c>
      <x:c r="BF18" s="42" t="n">
        <x:v>4.58</x:v>
      </x:c>
    </x:row>
    <x:row r="19" ht="23" customHeight="1">
      <x:c r="A19" s="11" t="str">
        <x:v>09988.HK</x:v>
      </x:c>
      <x:c r="B19" s="11" t="str">
        <x:v>三年</x:v>
      </x:c>
      <x:c r="C19" s="11" t="str">
        <x:v>活动输入</x:v>
      </x:c>
      <x:c r="D19" s="11" t="n">
        <x:f>CHOOSE('假设'!$B$3,D20,D21,D22)</x:f>
        <x:v>205</x:v>
      </x:c>
      <x:c r="E19" s="11" t="n">
        <x:f>CHOOSE('假设'!$B$3,E20,E21,E22)</x:f>
        <x:v>105</x:v>
      </x:c>
      <x:c r="F19" s="11" t="n">
        <x:f>CHOOSE('假设'!$B$3,F20,F21,F22)</x:f>
        <x:v>-42</x:v>
      </x:c>
      <x:c r="G19" s="11" t="n">
        <x:f>CHOOSE('假设'!$B$3,G20,G21,G22)</x:f>
        <x:v>-4</x:v>
      </x:c>
      <x:c r="H19" s="11" t="n">
        <x:f>CHOOSE('假设'!$B$3,H20,H21,H22)</x:f>
        <x:v>0.22</x:v>
      </x:c>
      <x:c r="I19" s="11" t="n">
        <x:f>CHOOSE('假设'!$B$3,I20,I21,I22)</x:f>
        <x:v>6</x:v>
      </x:c>
      <x:c r="J19" s="11" t="n">
        <x:f>CHOOSE('假设'!$B$3,J20,J21,J22)</x:f>
        <x:v>19.3</x:v>
      </x:c>
      <x:c r="K19" s="11" t="str">
        <x:f>CHOOSE('假设'!$B$3,K20,K21,K22)</x:f>
      </x:c>
      <x:c r="L19" s="11" t="str">
        <x:f>CHOOSE('假设'!$B$3,L20,L21,L22)</x:f>
      </x:c>
      <x:c r="M19" s="11" t="n">
        <x:f>CHOOSE('假设'!$B$3,M20,M21,M22)</x:f>
        <x:v>0</x:v>
      </x:c>
      <x:c r="N19" t="str">
        <x:v>CNY</x:v>
      </x:c>
      <x:c r="O19" t="str">
        <x:v>00981.HK</x:v>
      </x:c>
      <x:c r="P19" t="str">
        <x:v>三年</x:v>
      </x:c>
      <x:c r="Q19" t="str">
        <x:v>活动输入</x:v>
      </x:c>
      <x:c r="R19" t="n">
        <x:f>CHOOSE('假设'!$B$3,R20,R21,R22)</x:f>
        <x:v>18.5</x:v>
      </x:c>
      <x:c r="S19" t="n">
        <x:f>CHOOSE('假设'!$B$3,S20,S21,S22)</x:f>
        <x:v>0.23</x:v>
      </x:c>
      <x:c r="T19" t="n">
        <x:f>CHOOSE('假设'!$B$3,T20,T21,T22)</x:f>
        <x:v>0</x:v>
      </x:c>
      <x:c r="U19" t="n">
        <x:f>CHOOSE('假设'!$B$3,U20,U21,U22)</x:f>
        <x:v>0.15</x:v>
      </x:c>
      <x:c r="V19" t="n">
        <x:f>CHOOSE('假设'!$B$3,V20,V21,V22)</x:f>
        <x:v>0.8</x:v>
      </x:c>
      <x:c r="W19" t="n">
        <x:f>CHOOSE('假设'!$B$3,W20,W21,W22)</x:f>
        <x:v>8.9</x:v>
      </x:c>
      <x:c r="X19" t="n">
        <x:f>(R19*S19+T19)*(1-U19)*V19</x:f>
        <x:v>2.8933999999999997</x:v>
      </x:c>
      <x:c r="Y19" t="n">
        <x:f>ROUND(X19/W19,4)</x:f>
        <x:v>0.3251</x:v>
      </x:c>
      <x:c r="Z19" t="n">
        <x:f>'假设'!F899</x:f>
        <x:v>45</x:v>
      </x:c>
      <x:c r="AA19" t="n">
        <x:f>'假设'!G899</x:f>
        <x:v>7.8</x:v>
      </x:c>
      <x:c r="AB19" t="n">
        <x:f>ROUND(Y19*Z19*AA19,2)</x:f>
        <x:v>114.11</x:v>
      </x:c>
      <x:c r="AD19" t="str">
        <x:v>01211.HK</x:v>
      </x:c>
      <x:c r="AE19" t="str">
        <x:v>三年</x:v>
      </x:c>
      <x:c r="AF19" t="str">
        <x:v>活动输入</x:v>
      </x:c>
      <x:c r="AG19" t="n">
        <x:f>CHOOSE('假设'!$B$3,AG20,AG21,AG22)</x:f>
        <x:v>3.1</x:v>
      </x:c>
      <x:c r="AH19" t="n">
        <x:f>CHOOSE('假设'!$B$3,AH20,AH21,AH22)</x:f>
        <x:v>3.2</x:v>
      </x:c>
      <x:c r="AI19" t="n">
        <x:f>CHOOSE('假设'!$B$3,AI20,AI21,AI22)</x:f>
        <x:v>7000</x:v>
      </x:c>
      <x:c r="AJ19" t="n">
        <x:f>CHOOSE('假设'!$B$3,AJ20,AJ21,AJ22)</x:f>
        <x:v>16500</x:v>
      </x:c>
      <x:c r="AK19" t="n">
        <x:f>CHOOSE('假设'!$B$3,AK20,AK21,AK22)</x:f>
        <x:v>4.5</x:v>
      </x:c>
      <x:c r="AL19" t="n">
        <x:f>CHOOSE('假设'!$B$3,AL20,AL21,AL22)</x:f>
        <x:v>9.3</x:v>
      </x:c>
      <x:c r="AM19" t="n">
        <x:f>(AG19*AI19+AH19*AJ19)/1000+AK19</x:f>
        <x:v>79</x:v>
      </x:c>
      <x:c r="AN19" t="n">
        <x:f>ROUND(AM19/AL19,3)</x:f>
        <x:v>8.495</x:v>
      </x:c>
      <x:c r="AO19" t="n">
        <x:f>'假设'!F199</x:f>
        <x:v>18</x:v>
      </x:c>
      <x:c r="AP19" t="n">
        <x:f>ROUND(AN19*AO19*'假设'!G199,2)</x:f>
        <x:v>168.2</x:v>
      </x:c>
      <x:c r="AR19" t="str">
        <x:v>03750.HK</x:v>
      </x:c>
      <x:c r="AS19" t="str">
        <x:v>三年</x:v>
      </x:c>
      <x:c r="AT19" t="str">
        <x:v>活动输入</x:v>
      </x:c>
      <x:c r="AU19" t="n">
        <x:f>CHOOSE('假设'!$B$3,AU20,AU21,AU22)</x:f>
        <x:v>650</x:v>
      </x:c>
      <x:c r="AV19" t="n">
        <x:f>CHOOSE('假设'!$B$3,AV20,AV21,AV22)</x:f>
        <x:v>0.17</x:v>
      </x:c>
      <x:c r="AW19" t="n">
        <x:f>CHOOSE('假设'!$B$3,AW20,AW21,AW22)</x:f>
        <x:v>290</x:v>
      </x:c>
      <x:c r="AX19" t="n">
        <x:f>CHOOSE('假设'!$B$3,AX20,AX21,AX22)</x:f>
        <x:v>0.2</x:v>
      </x:c>
      <x:c r="AY19" t="n">
        <x:f>CHOOSE('假设'!$B$3,AY20,AY21,AY22)</x:f>
        <x:v>65</x:v>
      </x:c>
      <x:c r="AZ19" t="n">
        <x:f>CHOOSE('假设'!$B$3,AZ20,AZ21,AZ22)</x:f>
        <x:v>0.17</x:v>
      </x:c>
      <x:c r="BA19" t="n">
        <x:f>CHOOSE('假设'!$B$3,BA20,BA21,BA22)</x:f>
        <x:v>50</x:v>
      </x:c>
      <x:c r="BB19" t="n">
        <x:f>CHOOSE('假设'!$B$3,BB20,BB21,BB22)</x:f>
        <x:v>0.28</x:v>
      </x:c>
      <x:c r="BC19" t="n">
        <x:f>CHOOSE('假设'!$B$3,BC20,BC21,BC22)</x:f>
        <x:v>9</x:v>
      </x:c>
      <x:c r="BD19" t="n">
        <x:f>CHOOSE('假设'!$B$3,BD20,BD21,BD22)</x:f>
        <x:v>0.16</x:v>
      </x:c>
      <x:c r="BE19" t="n">
        <x:f>CHOOSE('假设'!$B$3,BE20,BE21,BE22)</x:f>
        <x:v>0.94</x:v>
      </x:c>
      <x:c r="BF19" t="n">
        <x:f>CHOOSE('假设'!$B$3,BF20,BF21,BF22)</x:f>
        <x:v>4.6</x:v>
      </x:c>
      <x:c r="BG19" t="n">
        <x:f>(AU19*AV19+AW19*AX19+AY19*AZ19+BA19*BB19+BC19)*(1-BD19)*BE19</x:f>
        <x:v>159.93347999999997</x:v>
      </x:c>
      <x:c r="BH19" t="n">
        <x:f>ROUND(BG19/BF19,3)</x:f>
        <x:v>34.768</x:v>
      </x:c>
    </x:row>
    <x:row r="20" ht="23" customHeight="1">
      <x:c r="A20" s="11" t="str">
        <x:v>09988.HK</x:v>
      </x:c>
      <x:c r="B20" s="11" t="str">
        <x:v>三年</x:v>
      </x:c>
      <x:c r="C20" s="11" t="str">
        <x:v>悲观</x:v>
      </x:c>
      <x:c r="D20" s="16" t="n">
        <x:v>133</x:v>
      </x:c>
      <x:c r="E20" s="16" t="n">
        <x:v>45</x:v>
      </x:c>
      <x:c r="F20" s="16" t="n">
        <x:v>-81</x:v>
      </x:c>
      <x:c r="G20" s="16" t="n">
        <x:v>-22</x:v>
      </x:c>
      <x:c r="H20" s="16" t="n">
        <x:v>0.22</x:v>
      </x:c>
      <x:c r="I20" s="16" t="n">
        <x:v>5</x:v>
      </x:c>
      <x:c r="J20" s="16" t="n">
        <x:v>21</x:v>
      </x:c>
      <x:c r="K20" s="11"/>
      <x:c r="L20" s="11"/>
      <x:c r="M20" s="16" t="n">
        <x:v>0</x:v>
      </x:c>
      <x:c r="N20" t="str">
        <x:v>CNY</x:v>
      </x:c>
      <x:c r="O20" t="str">
        <x:v>00981.HK</x:v>
      </x:c>
      <x:c r="P20" t="str">
        <x:v>三年</x:v>
      </x:c>
      <x:c r="Q20" t="str">
        <x:v>悲观</x:v>
      </x:c>
      <x:c r="R20" s="42" t="n">
        <x:v>13</x:v>
      </x:c>
      <x:c r="S20" s="42" t="n">
        <x:v>0.075</x:v>
      </x:c>
      <x:c r="T20" s="42" t="n">
        <x:v>-0.25</x:v>
      </x:c>
      <x:c r="U20" s="42" t="n">
        <x:v>0.15</x:v>
      </x:c>
      <x:c r="V20" s="42" t="n">
        <x:v>0.65</x:v>
      </x:c>
      <x:c r="W20" s="42" t="n">
        <x:v>9.3</x:v>
      </x:c>
      <x:c r="AD20" t="str">
        <x:v>01211.HK</x:v>
      </x:c>
      <x:c r="AE20" t="str">
        <x:v>三年</x:v>
      </x:c>
      <x:c r="AF20" t="str">
        <x:v>悲观</x:v>
      </x:c>
      <x:c r="AG20" s="42" t="n">
        <x:v>2.4</x:v>
      </x:c>
      <x:c r="AH20" s="42" t="n">
        <x:v>1.8</x:v>
      </x:c>
      <x:c r="AI20" s="42" t="n">
        <x:v>1600</x:v>
      </x:c>
      <x:c r="AJ20" s="42" t="n">
        <x:v>7500</x:v>
      </x:c>
      <x:c r="AK20" s="42" t="n">
        <x:v>0.5</x:v>
      </x:c>
      <x:c r="AL20" s="42" t="n">
        <x:v>9.8</x:v>
      </x:c>
      <x:c r="AR20" t="str">
        <x:v>03750.HK</x:v>
      </x:c>
      <x:c r="AS20" t="str">
        <x:v>三年</x:v>
      </x:c>
      <x:c r="AT20" t="str">
        <x:v>悲观</x:v>
      </x:c>
      <x:c r="AU20" s="42" t="n">
        <x:v>405</x:v>
      </x:c>
      <x:c r="AV20" s="42" t="n">
        <x:v>0.085</x:v>
      </x:c>
      <x:c r="AW20" s="42" t="n">
        <x:v>145</x:v>
      </x:c>
      <x:c r="AX20" s="42" t="n">
        <x:v>0.06</x:v>
      </x:c>
      <x:c r="AY20" s="42" t="n">
        <x:v>32</x:v>
      </x:c>
      <x:c r="AZ20" s="42" t="n">
        <x:v>0.05</x:v>
      </x:c>
      <x:c r="BA20" s="42" t="n">
        <x:v>23</x:v>
      </x:c>
      <x:c r="BB20" s="42" t="n">
        <x:v>0.1</x:v>
      </x:c>
      <x:c r="BC20" s="42" t="n">
        <x:v>2</x:v>
      </x:c>
      <x:c r="BD20" s="42" t="n">
        <x:v>0.16</x:v>
      </x:c>
      <x:c r="BE20" s="42" t="n">
        <x:v>0.9</x:v>
      </x:c>
      <x:c r="BF20" s="42" t="n">
        <x:v>5</x:v>
      </x:c>
    </x:row>
    <x:row r="21" ht="23" customHeight="1">
      <x:c r="A21" s="11" t="str">
        <x:v>09988.HK</x:v>
      </x:c>
      <x:c r="B21" s="11" t="str">
        <x:v>三年</x:v>
      </x:c>
      <x:c r="C21" s="11" t="str">
        <x:v>基准</x:v>
      </x:c>
      <x:c r="D21" s="16" t="n">
        <x:v>205</x:v>
      </x:c>
      <x:c r="E21" s="16" t="n">
        <x:v>105</x:v>
      </x:c>
      <x:c r="F21" s="16" t="n">
        <x:v>-42</x:v>
      </x:c>
      <x:c r="G21" s="16" t="n">
        <x:v>-4</x:v>
      </x:c>
      <x:c r="H21" s="16" t="n">
        <x:v>0.22</x:v>
      </x:c>
      <x:c r="I21" s="16" t="n">
        <x:v>6</x:v>
      </x:c>
      <x:c r="J21" s="16" t="n">
        <x:v>19.3</x:v>
      </x:c>
      <x:c r="K21" s="11"/>
      <x:c r="L21" s="11"/>
      <x:c r="M21" s="16" t="n">
        <x:v>0</x:v>
      </x:c>
      <x:c r="N21" t="str">
        <x:v>CNY</x:v>
      </x:c>
      <x:c r="O21" t="str">
        <x:v>00981.HK</x:v>
      </x:c>
      <x:c r="P21" t="str">
        <x:v>三年</x:v>
      </x:c>
      <x:c r="Q21" t="str">
        <x:v>基准</x:v>
      </x:c>
      <x:c r="R21" s="42" t="n">
        <x:v>18.5</x:v>
      </x:c>
      <x:c r="S21" s="42" t="n">
        <x:v>0.23</x:v>
      </x:c>
      <x:c r="T21" s="42" t="n">
        <x:v>0</x:v>
      </x:c>
      <x:c r="U21" s="42" t="n">
        <x:v>0.15</x:v>
      </x:c>
      <x:c r="V21" s="42" t="n">
        <x:v>0.8</x:v>
      </x:c>
      <x:c r="W21" s="42" t="n">
        <x:v>8.9</x:v>
      </x:c>
      <x:c r="AD21" t="str">
        <x:v>01211.HK</x:v>
      </x:c>
      <x:c r="AE21" t="str">
        <x:v>三年</x:v>
      </x:c>
      <x:c r="AF21" t="str">
        <x:v>基准</x:v>
      </x:c>
      <x:c r="AG21" s="42" t="n">
        <x:v>3.1</x:v>
      </x:c>
      <x:c r="AH21" s="42" t="n">
        <x:v>3.2</x:v>
      </x:c>
      <x:c r="AI21" s="42" t="n">
        <x:v>7000</x:v>
      </x:c>
      <x:c r="AJ21" s="42" t="n">
        <x:v>16500</x:v>
      </x:c>
      <x:c r="AK21" s="42" t="n">
        <x:v>4.5</x:v>
      </x:c>
      <x:c r="AL21" s="42" t="n">
        <x:v>9.3</x:v>
      </x:c>
      <x:c r="AR21" t="str">
        <x:v>03750.HK</x:v>
      </x:c>
      <x:c r="AS21" t="str">
        <x:v>三年</x:v>
      </x:c>
      <x:c r="AT21" t="str">
        <x:v>基准</x:v>
      </x:c>
      <x:c r="AU21" s="42" t="n">
        <x:v>650</x:v>
      </x:c>
      <x:c r="AV21" s="42" t="n">
        <x:v>0.17</x:v>
      </x:c>
      <x:c r="AW21" s="42" t="n">
        <x:v>290</x:v>
      </x:c>
      <x:c r="AX21" s="42" t="n">
        <x:v>0.2</x:v>
      </x:c>
      <x:c r="AY21" s="42" t="n">
        <x:v>65</x:v>
      </x:c>
      <x:c r="AZ21" s="42" t="n">
        <x:v>0.17</x:v>
      </x:c>
      <x:c r="BA21" s="42" t="n">
        <x:v>50</x:v>
      </x:c>
      <x:c r="BB21" s="42" t="n">
        <x:v>0.28</x:v>
      </x:c>
      <x:c r="BC21" s="42" t="n">
        <x:v>9</x:v>
      </x:c>
      <x:c r="BD21" s="42" t="n">
        <x:v>0.16</x:v>
      </x:c>
      <x:c r="BE21" s="42" t="n">
        <x:v>0.94</x:v>
      </x:c>
      <x:c r="BF21" s="42" t="n">
        <x:v>4.6</x:v>
      </x:c>
    </x:row>
    <x:row r="22" ht="23" customHeight="1">
      <x:c r="A22" s="11" t="str">
        <x:v>09988.HK</x:v>
      </x:c>
      <x:c r="B22" s="11" t="str">
        <x:v>三年</x:v>
      </x:c>
      <x:c r="C22" s="11" t="str">
        <x:v>乐观</x:v>
      </x:c>
      <x:c r="D22" s="16" t="n">
        <x:v>250</x:v>
      </x:c>
      <x:c r="E22" s="16" t="n">
        <x:v>190</x:v>
      </x:c>
      <x:c r="F22" s="16" t="n">
        <x:v>-18</x:v>
      </x:c>
      <x:c r="G22" s="16" t="n">
        <x:v>12</x:v>
      </x:c>
      <x:c r="H22" s="16" t="n">
        <x:v>0.22</x:v>
      </x:c>
      <x:c r="I22" s="16" t="n">
        <x:v>6</x:v>
      </x:c>
      <x:c r="J22" s="16" t="n">
        <x:v>19.2</x:v>
      </x:c>
      <x:c r="K22" s="11"/>
      <x:c r="L22" s="11"/>
      <x:c r="M22" s="16" t="n">
        <x:v>0</x:v>
      </x:c>
      <x:c r="N22" t="str">
        <x:v>CNY</x:v>
      </x:c>
      <x:c r="O22" t="str">
        <x:v>00981.HK</x:v>
      </x:c>
      <x:c r="P22" t="str">
        <x:v>三年</x:v>
      </x:c>
      <x:c r="Q22" t="str">
        <x:v>乐观</x:v>
      </x:c>
      <x:c r="R22" s="42" t="n">
        <x:v>23</x:v>
      </x:c>
      <x:c r="S22" s="42" t="n">
        <x:v>0.3</x:v>
      </x:c>
      <x:c r="T22" s="42" t="n">
        <x:v>0.1</x:v>
      </x:c>
      <x:c r="U22" s="42" t="n">
        <x:v>0.15</x:v>
      </x:c>
      <x:c r="V22" s="42" t="n">
        <x:v>0.85</x:v>
      </x:c>
      <x:c r="W22" s="42" t="n">
        <x:v>8.75</x:v>
      </x:c>
      <x:c r="AD22" t="str">
        <x:v>01211.HK</x:v>
      </x:c>
      <x:c r="AE22" t="str">
        <x:v>三年</x:v>
      </x:c>
      <x:c r="AF22" t="str">
        <x:v>乐观</x:v>
      </x:c>
      <x:c r="AG22" s="42" t="n">
        <x:v>4</x:v>
      </x:c>
      <x:c r="AH22" s="42" t="n">
        <x:v>4.2</x:v>
      </x:c>
      <x:c r="AI22" s="42" t="n">
        <x:v>9500</x:v>
      </x:c>
      <x:c r="AJ22" s="42" t="n">
        <x:v>22000</x:v>
      </x:c>
      <x:c r="AK22" s="42" t="n">
        <x:v>7</x:v>
      </x:c>
      <x:c r="AL22" s="42" t="n">
        <x:v>9.15</x:v>
      </x:c>
      <x:c r="AR22" t="str">
        <x:v>03750.HK</x:v>
      </x:c>
      <x:c r="AS22" t="str">
        <x:v>三年</x:v>
      </x:c>
      <x:c r="AT22" t="str">
        <x:v>乐观</x:v>
      </x:c>
      <x:c r="AU22" s="42" t="n">
        <x:v>850</x:v>
      </x:c>
      <x:c r="AV22" s="42" t="n">
        <x:v>0.2</x:v>
      </x:c>
      <x:c r="AW22" s="42" t="n">
        <x:v>490</x:v>
      </x:c>
      <x:c r="AX22" s="42" t="n">
        <x:v>0.25</x:v>
      </x:c>
      <x:c r="AY22" s="42" t="n">
        <x:v>105</x:v>
      </x:c>
      <x:c r="AZ22" s="42" t="n">
        <x:v>0.24</x:v>
      </x:c>
      <x:c r="BA22" s="42" t="n">
        <x:v>78</x:v>
      </x:c>
      <x:c r="BB22" s="42" t="n">
        <x:v>0.35</x:v>
      </x:c>
      <x:c r="BC22" s="42" t="n">
        <x:v>16</x:v>
      </x:c>
      <x:c r="BD22" s="42" t="n">
        <x:v>0.16</x:v>
      </x:c>
      <x:c r="BE22" s="42" t="n">
        <x:v>0.96</x:v>
      </x:c>
      <x:c r="BF22" s="42" t="n">
        <x:v>4.52</x:v>
      </x:c>
    </x:row>
    <x:row r="23" ht="23" customHeight="1">
      <x:c r="A23" s="11" t="str">
        <x:v>09988.HK</x:v>
      </x:c>
      <x:c r="B23" s="11" t="str">
        <x:v>五年</x:v>
      </x:c>
      <x:c r="C23" s="11" t="str">
        <x:v>活动输入</x:v>
      </x:c>
      <x:c r="D23" s="11" t="n">
        <x:f>CHOOSE('假设'!$B$3,D24,D25,D26)</x:f>
        <x:v>230</x:v>
      </x:c>
      <x:c r="E23" s="11" t="n">
        <x:f>CHOOSE('假设'!$B$3,E24,E25,E26)</x:f>
        <x:v>173</x:v>
      </x:c>
      <x:c r="F23" s="11" t="n">
        <x:f>CHOOSE('假设'!$B$3,F24,F25,F26)</x:f>
        <x:v>-41</x:v>
      </x:c>
      <x:c r="G23" s="11" t="n">
        <x:f>CHOOSE('假设'!$B$3,G24,G25,G26)</x:f>
        <x:v>-2</x:v>
      </x:c>
      <x:c r="H23" s="11" t="n">
        <x:f>CHOOSE('假设'!$B$3,H24,H25,H26)</x:f>
        <x:v>0.22</x:v>
      </x:c>
      <x:c r="I23" s="11" t="n">
        <x:f>CHOOSE('假设'!$B$3,I24,I25,I26)</x:f>
        <x:v>6</x:v>
      </x:c>
      <x:c r="J23" s="11" t="n">
        <x:f>CHOOSE('假设'!$B$3,J24,J25,J26)</x:f>
        <x:v>19.1</x:v>
      </x:c>
      <x:c r="K23" s="11" t="str">
        <x:f>CHOOSE('假设'!$B$3,K24,K25,K26)</x:f>
      </x:c>
      <x:c r="L23" s="11" t="str">
        <x:f>CHOOSE('假设'!$B$3,L24,L25,L26)</x:f>
      </x:c>
      <x:c r="M23" s="11" t="n">
        <x:f>CHOOSE('假设'!$B$3,M24,M25,M26)</x:f>
        <x:v>0</x:v>
      </x:c>
      <x:c r="N23" t="str">
        <x:v>CNY</x:v>
      </x:c>
      <x:c r="O23" t="str">
        <x:v>00981.HK</x:v>
      </x:c>
      <x:c r="P23" t="str">
        <x:v>五年</x:v>
      </x:c>
      <x:c r="Q23" t="str">
        <x:v>活动输入</x:v>
      </x:c>
      <x:c r="R23" t="n">
        <x:f>CHOOSE('假设'!$B$3,R24,R25,R26)</x:f>
        <x:v>23</x:v>
      </x:c>
      <x:c r="S23" t="n">
        <x:f>CHOOSE('假设'!$B$3,S24,S25,S26)</x:f>
        <x:v>0.25</x:v>
      </x:c>
      <x:c r="T23" t="n">
        <x:f>CHOOSE('假设'!$B$3,T24,T25,T26)</x:f>
        <x:v>0</x:v>
      </x:c>
      <x:c r="U23" t="n">
        <x:f>CHOOSE('假设'!$B$3,U24,U25,U26)</x:f>
        <x:v>0.15</x:v>
      </x:c>
      <x:c r="V23" t="n">
        <x:f>CHOOSE('假设'!$B$3,V24,V25,V26)</x:f>
        <x:v>0.82</x:v>
      </x:c>
      <x:c r="W23" t="n">
        <x:f>CHOOSE('假设'!$B$3,W24,W25,W26)</x:f>
        <x:v>9.05</x:v>
      </x:c>
      <x:c r="X23" t="n">
        <x:f>(R23*S23+T23)*(1-U23)*V23</x:f>
        <x:v>4.00775</x:v>
      </x:c>
      <x:c r="Y23" t="n">
        <x:f>ROUND(X23/W23,4)</x:f>
        <x:v>0.4428</x:v>
      </x:c>
      <x:c r="Z23" t="n">
        <x:f>'假设'!F903</x:f>
        <x:v>38</x:v>
      </x:c>
      <x:c r="AA23" t="n">
        <x:f>'假设'!G903</x:f>
        <x:v>7.8</x:v>
      </x:c>
      <x:c r="AB23" t="n">
        <x:f>ROUND(Y23*Z23*AA23,2)</x:f>
        <x:v>131.25</x:v>
      </x:c>
      <x:c r="AD23" t="str">
        <x:v>01211.HK</x:v>
      </x:c>
      <x:c r="AE23" t="str">
        <x:v>五年</x:v>
      </x:c>
      <x:c r="AF23" t="str">
        <x:v>活动输入</x:v>
      </x:c>
      <x:c r="AG23" t="n">
        <x:f>CHOOSE('假设'!$B$3,AG24,AG25,AG26)</x:f>
        <x:v>3.3</x:v>
      </x:c>
      <x:c r="AH23" t="n">
        <x:f>CHOOSE('假设'!$B$3,AH24,AH25,AH26)</x:f>
        <x:v>4</x:v>
      </x:c>
      <x:c r="AI23" t="n">
        <x:f>CHOOSE('假设'!$B$3,AI24,AI25,AI26)</x:f>
        <x:v>8000</x:v>
      </x:c>
      <x:c r="AJ23" t="n">
        <x:f>CHOOSE('假设'!$B$3,AJ24,AJ25,AJ26)</x:f>
        <x:v>17000</x:v>
      </x:c>
      <x:c r="AK23" t="n">
        <x:f>CHOOSE('假设'!$B$3,AK24,AK25,AK26)</x:f>
        <x:v>6</x:v>
      </x:c>
      <x:c r="AL23" t="n">
        <x:f>CHOOSE('假设'!$B$3,AL24,AL25,AL26)</x:f>
        <x:v>9.4</x:v>
      </x:c>
      <x:c r="AM23" t="n">
        <x:f>(AG23*AI23+AH23*AJ23)/1000+AK23</x:f>
        <x:v>100.4</x:v>
      </x:c>
      <x:c r="AN23" t="n">
        <x:f>ROUND(AM23/AL23,3)</x:f>
        <x:v>10.681</x:v>
      </x:c>
      <x:c r="AO23" t="n">
        <x:f>'假设'!F203</x:f>
        <x:v>17</x:v>
      </x:c>
      <x:c r="AP23" t="n">
        <x:f>ROUND(AN23*AO23*'假设'!G203,2)</x:f>
        <x:v>199.73</x:v>
      </x:c>
      <x:c r="AR23" t="str">
        <x:v>03750.HK</x:v>
      </x:c>
      <x:c r="AS23" t="str">
        <x:v>五年</x:v>
      </x:c>
      <x:c r="AT23" t="str">
        <x:v>活动输入</x:v>
      </x:c>
      <x:c r="AU23" t="n">
        <x:f>CHOOSE('假设'!$B$3,AU24,AU25,AU26)</x:f>
        <x:v>780</x:v>
      </x:c>
      <x:c r="AV23" t="n">
        <x:f>CHOOSE('假设'!$B$3,AV24,AV25,AV26)</x:f>
        <x:v>0.17</x:v>
      </x:c>
      <x:c r="AW23" t="n">
        <x:f>CHOOSE('假设'!$B$3,AW24,AW25,AW26)</x:f>
        <x:v>430</x:v>
      </x:c>
      <x:c r="AX23" t="n">
        <x:f>CHOOSE('假设'!$B$3,AX24,AX25,AX26)</x:f>
        <x:v>0.2</x:v>
      </x:c>
      <x:c r="AY23" t="n">
        <x:f>CHOOSE('假设'!$B$3,AY24,AY25,AY26)</x:f>
        <x:v>90</x:v>
      </x:c>
      <x:c r="AZ23" t="n">
        <x:f>CHOOSE('假设'!$B$3,AZ24,AZ25,AZ26)</x:f>
        <x:v>0.17</x:v>
      </x:c>
      <x:c r="BA23" t="n">
        <x:f>CHOOSE('假设'!$B$3,BA24,BA25,BA26)</x:f>
        <x:v>78</x:v>
      </x:c>
      <x:c r="BB23" t="n">
        <x:f>CHOOSE('假设'!$B$3,BB24,BB25,BB26)</x:f>
        <x:v>0.28</x:v>
      </x:c>
      <x:c r="BC23" t="n">
        <x:f>CHOOSE('假设'!$B$3,BC24,BC25,BC26)</x:f>
        <x:v>10</x:v>
      </x:c>
      <x:c r="BD23" t="n">
        <x:f>CHOOSE('假设'!$B$3,BD24,BD25,BD26)</x:f>
        <x:v>0.16</x:v>
      </x:c>
      <x:c r="BE23" t="n">
        <x:f>CHOOSE('假设'!$B$3,BE24,BE25,BE26)</x:f>
        <x:v>0.95</x:v>
      </x:c>
      <x:c r="BF23" t="n">
        <x:f>CHOOSE('假设'!$B$3,BF24,BF25,BF26)</x:f>
        <x:v>4.58</x:v>
      </x:c>
      <x:c r="BG23" t="n">
        <x:f>(AU23*AV23+AW23*AX23+AY23*AZ23+BA23*BB23+BC23)*(1-BD23)*BE23</x:f>
        <x:v>212.06052</x:v>
      </x:c>
      <x:c r="BH23" t="n">
        <x:f>ROUND(BG23/BF23,3)</x:f>
        <x:v>46.301</x:v>
      </x:c>
    </x:row>
    <x:row r="24" ht="23" customHeight="1">
      <x:c r="A24" s="11" t="str">
        <x:v>09988.HK</x:v>
      </x:c>
      <x:c r="B24" s="11" t="str">
        <x:v>五年</x:v>
      </x:c>
      <x:c r="C24" s="11" t="str">
        <x:v>悲观</x:v>
      </x:c>
      <x:c r="D24" s="16" t="n">
        <x:v>130</x:v>
      </x:c>
      <x:c r="E24" s="16" t="n">
        <x:v>50</x:v>
      </x:c>
      <x:c r="F24" s="16" t="n">
        <x:v>-93</x:v>
      </x:c>
      <x:c r="G24" s="16" t="n">
        <x:v>-22</x:v>
      </x:c>
      <x:c r="H24" s="16" t="n">
        <x:v>0.22</x:v>
      </x:c>
      <x:c r="I24" s="16" t="n">
        <x:v>4</x:v>
      </x:c>
      <x:c r="J24" s="16" t="n">
        <x:v>22</x:v>
      </x:c>
      <x:c r="K24" s="11"/>
      <x:c r="L24" s="11"/>
      <x:c r="M24" s="16" t="n">
        <x:v>0</x:v>
      </x:c>
      <x:c r="N24" t="str">
        <x:v>CNY</x:v>
      </x:c>
      <x:c r="O24" t="str">
        <x:v>00981.HK</x:v>
      </x:c>
      <x:c r="P24" t="str">
        <x:v>五年</x:v>
      </x:c>
      <x:c r="Q24" t="str">
        <x:v>悲观</x:v>
      </x:c>
      <x:c r="R24" s="42" t="n">
        <x:v>14</x:v>
      </x:c>
      <x:c r="S24" s="42" t="n">
        <x:v>0.065</x:v>
      </x:c>
      <x:c r="T24" s="42" t="n">
        <x:v>-0.3</x:v>
      </x:c>
      <x:c r="U24" s="42" t="n">
        <x:v>0.15</x:v>
      </x:c>
      <x:c r="V24" s="42" t="n">
        <x:v>0.65</x:v>
      </x:c>
      <x:c r="W24" s="42" t="n">
        <x:v>9.7</x:v>
      </x:c>
      <x:c r="AD24" t="str">
        <x:v>01211.HK</x:v>
      </x:c>
      <x:c r="AE24" t="str">
        <x:v>五年</x:v>
      </x:c>
      <x:c r="AF24" t="str">
        <x:v>悲观</x:v>
      </x:c>
      <x:c r="AG24" s="42" t="n">
        <x:v>2.3</x:v>
      </x:c>
      <x:c r="AH24" s="42" t="n">
        <x:v>2</x:v>
      </x:c>
      <x:c r="AI24" s="42" t="n">
        <x:v>1300</x:v>
      </x:c>
      <x:c r="AJ24" s="42" t="n">
        <x:v>7000</x:v>
      </x:c>
      <x:c r="AK24" s="42" t="n">
        <x:v>0</x:v>
      </x:c>
      <x:c r="AL24" s="42" t="n">
        <x:v>10.1</x:v>
      </x:c>
      <x:c r="AR24" t="str">
        <x:v>03750.HK</x:v>
      </x:c>
      <x:c r="AS24" t="str">
        <x:v>五年</x:v>
      </x:c>
      <x:c r="AT24" t="str">
        <x:v>悲观</x:v>
      </x:c>
      <x:c r="AU24" s="42" t="n">
        <x:v>425</x:v>
      </x:c>
      <x:c r="AV24" s="42" t="n">
        <x:v>0.075</x:v>
      </x:c>
      <x:c r="AW24" s="42" t="n">
        <x:v>180</x:v>
      </x:c>
      <x:c r="AX24" s="42" t="n">
        <x:v>0.05</x:v>
      </x:c>
      <x:c r="AY24" s="42" t="n">
        <x:v>35</x:v>
      </x:c>
      <x:c r="AZ24" s="42" t="n">
        <x:v>0.04</x:v>
      </x:c>
      <x:c r="BA24" s="42" t="n">
        <x:v>25</x:v>
      </x:c>
      <x:c r="BB24" s="42" t="n">
        <x:v>0.08</x:v>
      </x:c>
      <x:c r="BC24" s="42" t="n">
        <x:v>2</x:v>
      </x:c>
      <x:c r="BD24" s="42" t="n">
        <x:v>0.16</x:v>
      </x:c>
      <x:c r="BE24" s="42" t="n">
        <x:v>0.9</x:v>
      </x:c>
      <x:c r="BF24" s="42" t="n">
        <x:v>5.15</x:v>
      </x:c>
    </x:row>
    <x:row r="25" ht="23" customHeight="1">
      <x:c r="A25" s="11" t="str">
        <x:v>09988.HK</x:v>
      </x:c>
      <x:c r="B25" s="11" t="str">
        <x:v>五年</x:v>
      </x:c>
      <x:c r="C25" s="11" t="str">
        <x:v>基准</x:v>
      </x:c>
      <x:c r="D25" s="16" t="n">
        <x:v>230</x:v>
      </x:c>
      <x:c r="E25" s="16" t="n">
        <x:v>173</x:v>
      </x:c>
      <x:c r="F25" s="16" t="n">
        <x:v>-41</x:v>
      </x:c>
      <x:c r="G25" s="16" t="n">
        <x:v>-2</x:v>
      </x:c>
      <x:c r="H25" s="16" t="n">
        <x:v>0.22</x:v>
      </x:c>
      <x:c r="I25" s="16" t="n">
        <x:v>6</x:v>
      </x:c>
      <x:c r="J25" s="16" t="n">
        <x:v>19.1</x:v>
      </x:c>
      <x:c r="K25" s="11"/>
      <x:c r="L25" s="11"/>
      <x:c r="M25" s="16" t="n">
        <x:v>0</x:v>
      </x:c>
      <x:c r="N25" t="str">
        <x:v>CNY</x:v>
      </x:c>
      <x:c r="O25" t="str">
        <x:v>00981.HK</x:v>
      </x:c>
      <x:c r="P25" t="str">
        <x:v>五年</x:v>
      </x:c>
      <x:c r="Q25" t="str">
        <x:v>基准</x:v>
      </x:c>
      <x:c r="R25" s="42" t="n">
        <x:v>23</x:v>
      </x:c>
      <x:c r="S25" s="42" t="n">
        <x:v>0.25</x:v>
      </x:c>
      <x:c r="T25" s="42" t="n">
        <x:v>0</x:v>
      </x:c>
      <x:c r="U25" s="42" t="n">
        <x:v>0.15</x:v>
      </x:c>
      <x:c r="V25" s="42" t="n">
        <x:v>0.82</x:v>
      </x:c>
      <x:c r="W25" s="42" t="n">
        <x:v>9.05</x:v>
      </x:c>
      <x:c r="AD25" t="str">
        <x:v>01211.HK</x:v>
      </x:c>
      <x:c r="AE25" t="str">
        <x:v>五年</x:v>
      </x:c>
      <x:c r="AF25" t="str">
        <x:v>基准</x:v>
      </x:c>
      <x:c r="AG25" s="42" t="n">
        <x:v>3.3</x:v>
      </x:c>
      <x:c r="AH25" s="42" t="n">
        <x:v>4</x:v>
      </x:c>
      <x:c r="AI25" s="42" t="n">
        <x:v>8000</x:v>
      </x:c>
      <x:c r="AJ25" s="42" t="n">
        <x:v>17000</x:v>
      </x:c>
      <x:c r="AK25" s="42" t="n">
        <x:v>6</x:v>
      </x:c>
      <x:c r="AL25" s="42" t="n">
        <x:v>9.4</x:v>
      </x:c>
      <x:c r="AR25" t="str">
        <x:v>03750.HK</x:v>
      </x:c>
      <x:c r="AS25" t="str">
        <x:v>五年</x:v>
      </x:c>
      <x:c r="AT25" t="str">
        <x:v>基准</x:v>
      </x:c>
      <x:c r="AU25" s="42" t="n">
        <x:v>780</x:v>
      </x:c>
      <x:c r="AV25" s="42" t="n">
        <x:v>0.17</x:v>
      </x:c>
      <x:c r="AW25" s="42" t="n">
        <x:v>430</x:v>
      </x:c>
      <x:c r="AX25" s="42" t="n">
        <x:v>0.2</x:v>
      </x:c>
      <x:c r="AY25" s="42" t="n">
        <x:v>90</x:v>
      </x:c>
      <x:c r="AZ25" s="42" t="n">
        <x:v>0.17</x:v>
      </x:c>
      <x:c r="BA25" s="42" t="n">
        <x:v>78</x:v>
      </x:c>
      <x:c r="BB25" s="42" t="n">
        <x:v>0.28</x:v>
      </x:c>
      <x:c r="BC25" s="42" t="n">
        <x:v>10</x:v>
      </x:c>
      <x:c r="BD25" s="42" t="n">
        <x:v>0.16</x:v>
      </x:c>
      <x:c r="BE25" s="42" t="n">
        <x:v>0.95</x:v>
      </x:c>
      <x:c r="BF25" s="42" t="n">
        <x:v>4.58</x:v>
      </x:c>
    </x:row>
    <x:row r="26" ht="23" customHeight="1">
      <x:c r="A26" s="11" t="str">
        <x:v>09988.HK</x:v>
      </x:c>
      <x:c r="B26" s="11" t="str">
        <x:v>五年</x:v>
      </x:c>
      <x:c r="C26" s="11" t="str">
        <x:v>乐观</x:v>
      </x:c>
      <x:c r="D26" s="16" t="n">
        <x:v>310</x:v>
      </x:c>
      <x:c r="E26" s="16" t="n">
        <x:v>363</x:v>
      </x:c>
      <x:c r="F26" s="16" t="n">
        <x:v>-15</x:v>
      </x:c>
      <x:c r="G26" s="16" t="n">
        <x:v>12</x:v>
      </x:c>
      <x:c r="H26" s="16" t="n">
        <x:v>0.22</x:v>
      </x:c>
      <x:c r="I26" s="16" t="n">
        <x:v>6</x:v>
      </x:c>
      <x:c r="J26" s="16" t="n">
        <x:v>18.9</x:v>
      </x:c>
      <x:c r="K26" s="11"/>
      <x:c r="L26" s="11"/>
      <x:c r="M26" s="16" t="n">
        <x:v>0</x:v>
      </x:c>
      <x:c r="N26" t="str">
        <x:v>CNY</x:v>
      </x:c>
      <x:c r="O26" t="str">
        <x:v>00981.HK</x:v>
      </x:c>
      <x:c r="P26" t="str">
        <x:v>五年</x:v>
      </x:c>
      <x:c r="Q26" t="str">
        <x:v>乐观</x:v>
      </x:c>
      <x:c r="R26" s="42" t="n">
        <x:v>32</x:v>
      </x:c>
      <x:c r="S26" s="42" t="n">
        <x:v>0.32</x:v>
      </x:c>
      <x:c r="T26" s="42" t="n">
        <x:v>0.1</x:v>
      </x:c>
      <x:c r="U26" s="42" t="n">
        <x:v>0.15</x:v>
      </x:c>
      <x:c r="V26" s="42" t="n">
        <x:v>0.87</x:v>
      </x:c>
      <x:c r="W26" s="42" t="n">
        <x:v>8.8</x:v>
      </x:c>
      <x:c r="AD26" t="str">
        <x:v>01211.HK</x:v>
      </x:c>
      <x:c r="AE26" t="str">
        <x:v>五年</x:v>
      </x:c>
      <x:c r="AF26" t="str">
        <x:v>乐观</x:v>
      </x:c>
      <x:c r="AG26" s="42" t="n">
        <x:v>4.5</x:v>
      </x:c>
      <x:c r="AH26" s="42" t="n">
        <x:v>6</x:v>
      </x:c>
      <x:c r="AI26" s="42" t="n">
        <x:v>11000</x:v>
      </x:c>
      <x:c r="AJ26" s="42" t="n">
        <x:v>23000</x:v>
      </x:c>
      <x:c r="AK26" s="42" t="n">
        <x:v>10</x:v>
      </x:c>
      <x:c r="AL26" s="42" t="n">
        <x:v>9.2</x:v>
      </x:c>
      <x:c r="AR26" t="str">
        <x:v>03750.HK</x:v>
      </x:c>
      <x:c r="AS26" t="str">
        <x:v>五年</x:v>
      </x:c>
      <x:c r="AT26" t="str">
        <x:v>乐观</x:v>
      </x:c>
      <x:c r="AU26" s="42" t="n">
        <x:v>1150</x:v>
      </x:c>
      <x:c r="AV26" s="42" t="n">
        <x:v>0.205</x:v>
      </x:c>
      <x:c r="AW26" s="42" t="n">
        <x:v>820</x:v>
      </x:c>
      <x:c r="AX26" s="42" t="n">
        <x:v>0.255</x:v>
      </x:c>
      <x:c r="AY26" s="42" t="n">
        <x:v>160</x:v>
      </x:c>
      <x:c r="AZ26" s="42" t="n">
        <x:v>0.25</x:v>
      </x:c>
      <x:c r="BA26" s="42" t="n">
        <x:v>135</x:v>
      </x:c>
      <x:c r="BB26" s="42" t="n">
        <x:v>0.35</x:v>
      </x:c>
      <x:c r="BC26" s="42" t="n">
        <x:v>20</x:v>
      </x:c>
      <x:c r="BD26" s="42" t="n">
        <x:v>0.16</x:v>
      </x:c>
      <x:c r="BE26" s="42" t="n">
        <x:v>0.96</x:v>
      </x:c>
      <x:c r="BF26" s="42" t="n">
        <x:v>4.45</x:v>
      </x:c>
    </x:row>
    <x:row r="27" ht="23" customHeight="1">
      <x:c r="A27" s="11" t="str">
        <x:v>09626.HK</x:v>
      </x:c>
      <x:c r="B27" s="11" t="str">
        <x:v>2026年底</x:v>
      </x:c>
      <x:c r="C27" s="11" t="str">
        <x:v>活动输入</x:v>
      </x:c>
      <x:c r="D27" s="11" t="str">
        <x:f>CHOOSE('假设'!$B$3,D28,D29,D30)</x:f>
      </x:c>
      <x:c r="E27" s="11" t="str">
        <x:f>CHOOSE('假设'!$B$3,E28,E29,E30)</x:f>
      </x:c>
      <x:c r="F27" s="11" t="str">
        <x:f>CHOOSE('假设'!$B$3,F28,F29,F30)</x:f>
      </x:c>
      <x:c r="G27" s="11" t="str">
        <x:f>CHOOSE('假设'!$B$3,G28,G29,G30)</x:f>
      </x:c>
      <x:c r="H27" s="11" t="n">
        <x:f>CHOOSE('假设'!$B$3,H28,H29,H30)</x:f>
        <x:v>0.2</x:v>
      </x:c>
      <x:c r="I27" s="11" t="n">
        <x:f>CHOOSE('假设'!$B$3,I28,I29,I30)</x:f>
        <x:v>0.12</x:v>
      </x:c>
      <x:c r="J27" s="11" t="n">
        <x:f>CHOOSE('假设'!$B$3,J28,J29,J30)</x:f>
        <x:v>0.475</x:v>
      </x:c>
      <x:c r="K27" s="11" t="n">
        <x:f>CHOOSE('假设'!$B$3,K28,K29,K30)</x:f>
        <x:v>35.5</x:v>
      </x:c>
      <x:c r="L27" s="11" t="n">
        <x:f>CHOOSE('假设'!$B$3,L28,L29,L30)</x:f>
        <x:v>0.087</x:v>
      </x:c>
      <x:c r="M27" s="11" t="n">
        <x:f>CHOOSE('假设'!$B$3,M28,M29,M30)</x:f>
        <x:v>0</x:v>
      </x:c>
      <x:c r="N27" t="str">
        <x:v>CNY</x:v>
      </x:c>
    </x:row>
    <x:row r="28" ht="23" customHeight="1">
      <x:c r="A28" s="11" t="str">
        <x:v>09626.HK</x:v>
      </x:c>
      <x:c r="B28" s="11" t="str">
        <x:v>2026年底</x:v>
      </x:c>
      <x:c r="C28" s="11" t="str">
        <x:v>悲观</x:v>
      </x:c>
      <x:c r="D28" s="11"/>
      <x:c r="E28" s="11"/>
      <x:c r="F28" s="11"/>
      <x:c r="G28" s="11"/>
      <x:c r="H28" s="16" t="n">
        <x:v>0.2</x:v>
      </x:c>
      <x:c r="I28" s="16" t="n">
        <x:v>-0.08</x:v>
      </x:c>
      <x:c r="J28" s="16" t="n">
        <x:v>0.5</x:v>
      </x:c>
      <x:c r="K28" s="16" t="n">
        <x:v>31.099999999999998</x:v>
      </x:c>
      <x:c r="L28" s="16" t="n">
        <x:v>0.035</x:v>
      </x:c>
      <x:c r="M28" s="16" t="n">
        <x:v>0</x:v>
      </x:c>
      <x:c r="N28" t="str">
        <x:v>CNY</x:v>
      </x:c>
    </x:row>
    <x:row r="29" ht="23" customHeight="1">
      <x:c r="A29" s="11" t="str">
        <x:v>09626.HK</x:v>
      </x:c>
      <x:c r="B29" s="11" t="str">
        <x:v>2026年底</x:v>
      </x:c>
      <x:c r="C29" s="11" t="str">
        <x:v>基准</x:v>
      </x:c>
      <x:c r="D29" s="11"/>
      <x:c r="E29" s="11"/>
      <x:c r="F29" s="11"/>
      <x:c r="G29" s="11"/>
      <x:c r="H29" s="16" t="n">
        <x:v>0.2</x:v>
      </x:c>
      <x:c r="I29" s="16" t="n">
        <x:v>0.12</x:v>
      </x:c>
      <x:c r="J29" s="16" t="n">
        <x:v>0.475</x:v>
      </x:c>
      <x:c r="K29" s="16" t="n">
        <x:v>35.5</x:v>
      </x:c>
      <x:c r="L29" s="16" t="n">
        <x:v>0.087</x:v>
      </x:c>
      <x:c r="M29" s="16" t="n">
        <x:v>0</x:v>
      </x:c>
      <x:c r="N29" t="str">
        <x:v>CNY</x:v>
      </x:c>
    </x:row>
    <x:row r="30" ht="23" customHeight="1">
      <x:c r="A30" s="11" t="str">
        <x:v>09626.HK</x:v>
      </x:c>
      <x:c r="B30" s="11" t="str">
        <x:v>2026年底</x:v>
      </x:c>
      <x:c r="C30" s="11" t="str">
        <x:v>乐观</x:v>
      </x:c>
      <x:c r="D30" s="11"/>
      <x:c r="E30" s="11"/>
      <x:c r="F30" s="11"/>
      <x:c r="G30" s="11"/>
      <x:c r="H30" s="16" t="n">
        <x:v>0.2</x:v>
      </x:c>
      <x:c r="I30" s="16" t="n">
        <x:v>0.18</x:v>
      </x:c>
      <x:c r="J30" s="16" t="n">
        <x:v>0.47</x:v>
      </x:c>
      <x:c r="K30" s="16" t="n">
        <x:v>39.2</x:v>
      </x:c>
      <x:c r="L30" s="16" t="n">
        <x:v>0.115</x:v>
      </x:c>
      <x:c r="M30" s="16" t="n">
        <x:v>0</x:v>
      </x:c>
      <x:c r="N30" t="str">
        <x:v>CNY</x:v>
      </x:c>
    </x:row>
    <x:row r="31" ht="23" customHeight="1">
      <x:c r="A31" s="11" t="str">
        <x:v>09626.HK</x:v>
      </x:c>
      <x:c r="B31" s="11" t="str">
        <x:v>半年</x:v>
      </x:c>
      <x:c r="C31" s="11" t="str">
        <x:v>活动输入</x:v>
      </x:c>
      <x:c r="D31" s="11" t="str">
        <x:f>CHOOSE('假设'!$B$3,D32,D33,D34)</x:f>
      </x:c>
      <x:c r="E31" s="11" t="str">
        <x:f>CHOOSE('假设'!$B$3,E32,E33,E34)</x:f>
      </x:c>
      <x:c r="F31" s="11" t="str">
        <x:f>CHOOSE('假设'!$B$3,F32,F33,F34)</x:f>
      </x:c>
      <x:c r="G31" s="11" t="str">
        <x:f>CHOOSE('假设'!$B$3,G32,G33,G34)</x:f>
      </x:c>
      <x:c r="H31" s="11" t="n">
        <x:f>CHOOSE('假设'!$B$3,H32,H33,H34)</x:f>
        <x:v>0.2</x:v>
      </x:c>
      <x:c r="I31" s="11" t="n">
        <x:f>CHOOSE('假设'!$B$3,I32,I33,I34)</x:f>
        <x:v>0.13</x:v>
      </x:c>
      <x:c r="J31" s="11" t="n">
        <x:f>CHOOSE('假设'!$B$3,J32,J33,J34)</x:f>
        <x:v>0.478</x:v>
      </x:c>
      <x:c r="K31" s="11" t="n">
        <x:f>CHOOSE('假设'!$B$3,K32,K33,K34)</x:f>
        <x:v>37.4</x:v>
      </x:c>
      <x:c r="L31" s="11" t="n">
        <x:f>CHOOSE('假设'!$B$3,L32,L33,L34)</x:f>
        <x:v>0.095</x:v>
      </x:c>
      <x:c r="M31" s="11" t="n">
        <x:f>CHOOSE('假设'!$B$3,M32,M33,M34)</x:f>
        <x:v>0</x:v>
      </x:c>
      <x:c r="N31" t="str">
        <x:v>CNY</x:v>
      </x:c>
    </x:row>
    <x:row r="32" ht="23" customHeight="1">
      <x:c r="A32" s="11" t="str">
        <x:v>09626.HK</x:v>
      </x:c>
      <x:c r="B32" s="11" t="str">
        <x:v>半年</x:v>
      </x:c>
      <x:c r="C32" s="11" t="str">
        <x:v>悲观</x:v>
      </x:c>
      <x:c r="D32" s="11"/>
      <x:c r="E32" s="11"/>
      <x:c r="F32" s="11"/>
      <x:c r="G32" s="11"/>
      <x:c r="H32" s="16" t="n">
        <x:v>0.2</x:v>
      </x:c>
      <x:c r="I32" s="16" t="n">
        <x:v>-0.12</x:v>
      </x:c>
      <x:c r="J32" s="16" t="n">
        <x:v>0.508</x:v>
      </x:c>
      <x:c r="K32" s="16" t="n">
        <x:v>30.500000000000004</x:v>
      </x:c>
      <x:c r="L32" s="16" t="n">
        <x:v>0.028</x:v>
      </x:c>
      <x:c r="M32" s="16" t="n">
        <x:v>0</x:v>
      </x:c>
      <x:c r="N32" t="str">
        <x:v>CNY</x:v>
      </x:c>
    </x:row>
    <x:row r="33" ht="23" customHeight="1">
      <x:c r="A33" s="11" t="str">
        <x:v>09626.HK</x:v>
      </x:c>
      <x:c r="B33" s="11" t="str">
        <x:v>半年</x:v>
      </x:c>
      <x:c r="C33" s="11" t="str">
        <x:v>基准</x:v>
      </x:c>
      <x:c r="D33" s="11"/>
      <x:c r="E33" s="11"/>
      <x:c r="F33" s="11"/>
      <x:c r="G33" s="11"/>
      <x:c r="H33" s="16" t="n">
        <x:v>0.2</x:v>
      </x:c>
      <x:c r="I33" s="16" t="n">
        <x:v>0.13</x:v>
      </x:c>
      <x:c r="J33" s="16" t="n">
        <x:v>0.478</x:v>
      </x:c>
      <x:c r="K33" s="16" t="n">
        <x:v>37.4</x:v>
      </x:c>
      <x:c r="L33" s="16" t="n">
        <x:v>0.095</x:v>
      </x:c>
      <x:c r="M33" s="16" t="n">
        <x:v>0</x:v>
      </x:c>
      <x:c r="N33" t="str">
        <x:v>CNY</x:v>
      </x:c>
    </x:row>
    <x:row r="34" ht="23" customHeight="1">
      <x:c r="A34" s="11" t="str">
        <x:v>09626.HK</x:v>
      </x:c>
      <x:c r="B34" s="11" t="str">
        <x:v>半年</x:v>
      </x:c>
      <x:c r="C34" s="11" t="str">
        <x:v>乐观</x:v>
      </x:c>
      <x:c r="D34" s="11"/>
      <x:c r="E34" s="11"/>
      <x:c r="F34" s="11"/>
      <x:c r="G34" s="11"/>
      <x:c r="H34" s="16" t="n">
        <x:v>0.2</x:v>
      </x:c>
      <x:c r="I34" s="16" t="n">
        <x:v>0.2</x:v>
      </x:c>
      <x:c r="J34" s="16" t="n">
        <x:v>0.47</x:v>
      </x:c>
      <x:c r="K34" s="16" t="n">
        <x:v>42.9</x:v>
      </x:c>
      <x:c r="L34" s="16" t="n">
        <x:v>0.125</x:v>
      </x:c>
      <x:c r="M34" s="16" t="n">
        <x:v>0</x:v>
      </x:c>
      <x:c r="N34" t="str">
        <x:v>CNY</x:v>
      </x:c>
    </x:row>
    <x:row r="35" ht="23" customHeight="1">
      <x:c r="A35" s="11" t="str">
        <x:v>09626.HK</x:v>
      </x:c>
      <x:c r="B35" s="11" t="str">
        <x:v>一年</x:v>
      </x:c>
      <x:c r="C35" s="11" t="str">
        <x:v>活动输入</x:v>
      </x:c>
      <x:c r="D35" s="11" t="str">
        <x:f>CHOOSE('假设'!$B$3,D36,D37,D38)</x:f>
      </x:c>
      <x:c r="E35" s="11" t="str">
        <x:f>CHOOSE('假设'!$B$3,E36,E37,E38)</x:f>
      </x:c>
      <x:c r="F35" s="11" t="str">
        <x:f>CHOOSE('假设'!$B$3,F36,F37,F38)</x:f>
      </x:c>
      <x:c r="G35" s="11" t="str">
        <x:f>CHOOSE('假设'!$B$3,G36,G37,G38)</x:f>
      </x:c>
      <x:c r="H35" s="11" t="n">
        <x:f>CHOOSE('假设'!$B$3,H36,H37,H38)</x:f>
        <x:v>0.2</x:v>
      </x:c>
      <x:c r="I35" s="11" t="n">
        <x:f>CHOOSE('假设'!$B$3,I36,I37,I38)</x:f>
        <x:v>0.14</x:v>
      </x:c>
      <x:c r="J35" s="11" t="n">
        <x:f>CHOOSE('假设'!$B$3,J36,J37,J38)</x:f>
        <x:v>0.482</x:v>
      </x:c>
      <x:c r="K35" s="11" t="n">
        <x:f>CHOOSE('假设'!$B$3,K36,K37,K38)</x:f>
        <x:v>40.50000000000001</x:v>
      </x:c>
      <x:c r="L35" s="11" t="n">
        <x:f>CHOOSE('假设'!$B$3,L36,L37,L38)</x:f>
        <x:v>0.108</x:v>
      </x:c>
      <x:c r="M35" s="11" t="n">
        <x:f>CHOOSE('假设'!$B$3,M36,M37,M38)</x:f>
        <x:v>0</x:v>
      </x:c>
      <x:c r="N35" t="str">
        <x:v>CNY</x:v>
      </x:c>
    </x:row>
    <x:row r="36" ht="23" customHeight="1">
      <x:c r="A36" s="11" t="str">
        <x:v>09626.HK</x:v>
      </x:c>
      <x:c r="B36" s="11" t="str">
        <x:v>一年</x:v>
      </x:c>
      <x:c r="C36" s="11" t="str">
        <x:v>悲观</x:v>
      </x:c>
      <x:c r="D36" s="11"/>
      <x:c r="E36" s="11"/>
      <x:c r="F36" s="11"/>
      <x:c r="G36" s="11"/>
      <x:c r="H36" s="16" t="n">
        <x:v>0.2</x:v>
      </x:c>
      <x:c r="I36" s="16" t="n">
        <x:v>-0.15</x:v>
      </x:c>
      <x:c r="J36" s="16" t="n">
        <x:v>0.52</x:v>
      </x:c>
      <x:c r="K36" s="16" t="n">
        <x:v>30.6</x:v>
      </x:c>
      <x:c r="L36" s="16" t="n">
        <x:v>0.025</x:v>
      </x:c>
      <x:c r="M36" s="16" t="n">
        <x:v>0</x:v>
      </x:c>
      <x:c r="N36" t="str">
        <x:v>CNY</x:v>
      </x:c>
    </x:row>
    <x:row r="37" ht="23" customHeight="1">
      <x:c r="A37" s="11" t="str">
        <x:v>09626.HK</x:v>
      </x:c>
      <x:c r="B37" s="11" t="str">
        <x:v>一年</x:v>
      </x:c>
      <x:c r="C37" s="11" t="str">
        <x:v>基准</x:v>
      </x:c>
      <x:c r="D37" s="11"/>
      <x:c r="E37" s="11"/>
      <x:c r="F37" s="11"/>
      <x:c r="G37" s="11"/>
      <x:c r="H37" s="16" t="n">
        <x:v>0.2</x:v>
      </x:c>
      <x:c r="I37" s="16" t="n">
        <x:v>0.14</x:v>
      </x:c>
      <x:c r="J37" s="16" t="n">
        <x:v>0.482</x:v>
      </x:c>
      <x:c r="K37" s="16" t="n">
        <x:v>40.50000000000001</x:v>
      </x:c>
      <x:c r="L37" s="16" t="n">
        <x:v>0.108</x:v>
      </x:c>
      <x:c r="M37" s="16" t="n">
        <x:v>0</x:v>
      </x:c>
      <x:c r="N37" t="str">
        <x:v>CNY</x:v>
      </x:c>
    </x:row>
    <x:row r="38" ht="23" customHeight="1">
      <x:c r="A38" s="11" t="str">
        <x:v>09626.HK</x:v>
      </x:c>
      <x:c r="B38" s="11" t="str">
        <x:v>一年</x:v>
      </x:c>
      <x:c r="C38" s="11" t="str">
        <x:v>乐观</x:v>
      </x:c>
      <x:c r="D38" s="11"/>
      <x:c r="E38" s="11"/>
      <x:c r="F38" s="11"/>
      <x:c r="G38" s="11"/>
      <x:c r="H38" s="16" t="n">
        <x:v>0.2</x:v>
      </x:c>
      <x:c r="I38" s="16" t="n">
        <x:v>0.22</x:v>
      </x:c>
      <x:c r="J38" s="16" t="n">
        <x:v>0.47</x:v>
      </x:c>
      <x:c r="K38" s="16" t="n">
        <x:v>48.800000000000004</x:v>
      </x:c>
      <x:c r="L38" s="16" t="n">
        <x:v>0.14</x:v>
      </x:c>
      <x:c r="M38" s="16" t="n">
        <x:v>0</x:v>
      </x:c>
      <x:c r="N38" t="str">
        <x:v>CNY</x:v>
      </x:c>
    </x:row>
    <x:row r="39" ht="23" customHeight="1">
      <x:c r="A39" s="11" t="str">
        <x:v>09626.HK</x:v>
      </x:c>
      <x:c r="B39" s="11" t="str">
        <x:v>三年</x:v>
      </x:c>
      <x:c r="C39" s="11" t="str">
        <x:v>活动输入</x:v>
      </x:c>
      <x:c r="D39" s="11" t="str">
        <x:f>CHOOSE('假设'!$B$3,D40,D41,D42)</x:f>
      </x:c>
      <x:c r="E39" s="11" t="str">
        <x:f>CHOOSE('假设'!$B$3,E40,E41,E42)</x:f>
      </x:c>
      <x:c r="F39" s="11" t="str">
        <x:f>CHOOSE('假设'!$B$3,F40,F41,F42)</x:f>
      </x:c>
      <x:c r="G39" s="11" t="str">
        <x:f>CHOOSE('假设'!$B$3,G40,G41,G42)</x:f>
      </x:c>
      <x:c r="H39" s="11" t="n">
        <x:f>CHOOSE('假设'!$B$3,H40,H41,H42)</x:f>
        <x:v>0.2</x:v>
      </x:c>
      <x:c r="I39" s="11" t="n">
        <x:f>CHOOSE('假设'!$B$3,I40,I41,I42)</x:f>
        <x:v>0.18</x:v>
      </x:c>
      <x:c r="J39" s="11" t="n">
        <x:f>CHOOSE('假设'!$B$3,J40,J41,J42)</x:f>
        <x:v>0.49</x:v>
      </x:c>
      <x:c r="K39" s="11" t="n">
        <x:f>CHOOSE('假设'!$B$3,K40,K41,K42)</x:f>
        <x:v>50.8</x:v>
      </x:c>
      <x:c r="L39" s="11" t="n">
        <x:f>CHOOSE('假设'!$B$3,L40,L41,L42)</x:f>
        <x:v>0.14</x:v>
      </x:c>
      <x:c r="M39" s="11" t="n">
        <x:f>CHOOSE('假设'!$B$3,M40,M41,M42)</x:f>
        <x:v>0</x:v>
      </x:c>
      <x:c r="N39" t="str">
        <x:v>CNY</x:v>
      </x:c>
    </x:row>
    <x:row r="40" ht="23" customHeight="1">
      <x:c r="A40" s="11" t="str">
        <x:v>09626.HK</x:v>
      </x:c>
      <x:c r="B40" s="11" t="str">
        <x:v>三年</x:v>
      </x:c>
      <x:c r="C40" s="11" t="str">
        <x:v>悲观</x:v>
      </x:c>
      <x:c r="D40" s="11"/>
      <x:c r="E40" s="11"/>
      <x:c r="F40" s="11"/>
      <x:c r="G40" s="11"/>
      <x:c r="H40" s="16" t="n">
        <x:v>0.2</x:v>
      </x:c>
      <x:c r="I40" s="16" t="n">
        <x:v>-0.2</x:v>
      </x:c>
      <x:c r="J40" s="16" t="n">
        <x:v>0.56</x:v>
      </x:c>
      <x:c r="K40" s="16" t="n">
        <x:v>30.7</x:v>
      </x:c>
      <x:c r="L40" s="16" t="n">
        <x:v>0.018</x:v>
      </x:c>
      <x:c r="M40" s="16" t="n">
        <x:v>0</x:v>
      </x:c>
      <x:c r="N40" t="str">
        <x:v>CNY</x:v>
      </x:c>
    </x:row>
    <x:row r="41" ht="23" customHeight="1">
      <x:c r="A41" s="11" t="str">
        <x:v>09626.HK</x:v>
      </x:c>
      <x:c r="B41" s="11" t="str">
        <x:v>三年</x:v>
      </x:c>
      <x:c r="C41" s="11" t="str">
        <x:v>基准</x:v>
      </x:c>
      <x:c r="D41" s="11"/>
      <x:c r="E41" s="11"/>
      <x:c r="F41" s="11"/>
      <x:c r="G41" s="11"/>
      <x:c r="H41" s="16" t="n">
        <x:v>0.2</x:v>
      </x:c>
      <x:c r="I41" s="16" t="n">
        <x:v>0.18</x:v>
      </x:c>
      <x:c r="J41" s="16" t="n">
        <x:v>0.49</x:v>
      </x:c>
      <x:c r="K41" s="16" t="n">
        <x:v>50.8</x:v>
      </x:c>
      <x:c r="L41" s="16" t="n">
        <x:v>0.14</x:v>
      </x:c>
      <x:c r="M41" s="16" t="n">
        <x:v>0</x:v>
      </x:c>
      <x:c r="N41" t="str">
        <x:v>CNY</x:v>
      </x:c>
    </x:row>
    <x:row r="42" ht="23" customHeight="1">
      <x:c r="A42" s="11" t="str">
        <x:v>09626.HK</x:v>
      </x:c>
      <x:c r="B42" s="11" t="str">
        <x:v>三年</x:v>
      </x:c>
      <x:c r="C42" s="11" t="str">
        <x:v>乐观</x:v>
      </x:c>
      <x:c r="D42" s="11"/>
      <x:c r="E42" s="11"/>
      <x:c r="F42" s="11"/>
      <x:c r="G42" s="11"/>
      <x:c r="H42" s="16" t="n">
        <x:v>0.2</x:v>
      </x:c>
      <x:c r="I42" s="16" t="n">
        <x:v>0.3</x:v>
      </x:c>
      <x:c r="J42" s="16" t="n">
        <x:v>0.47</x:v>
      </x:c>
      <x:c r="K42" s="16" t="n">
        <x:v>67.3</x:v>
      </x:c>
      <x:c r="L42" s="16" t="n">
        <x:v>0.185</x:v>
      </x:c>
      <x:c r="M42" s="16" t="n">
        <x:v>0</x:v>
      </x:c>
      <x:c r="N42" t="str">
        <x:v>CNY</x:v>
      </x:c>
    </x:row>
    <x:row r="43" ht="23" customHeight="1">
      <x:c r="A43" s="11" t="str">
        <x:v>09626.HK</x:v>
      </x:c>
      <x:c r="B43" s="11" t="str">
        <x:v>五年</x:v>
      </x:c>
      <x:c r="C43" s="11" t="str">
        <x:v>活动输入</x:v>
      </x:c>
      <x:c r="D43" s="11" t="str">
        <x:f>CHOOSE('假设'!$B$3,D44,D45,D46)</x:f>
      </x:c>
      <x:c r="E43" s="11" t="str">
        <x:f>CHOOSE('假设'!$B$3,E44,E45,E46)</x:f>
      </x:c>
      <x:c r="F43" s="11" t="str">
        <x:f>CHOOSE('假设'!$B$3,F44,F45,F46)</x:f>
      </x:c>
      <x:c r="G43" s="11" t="str">
        <x:f>CHOOSE('假设'!$B$3,G44,G45,G46)</x:f>
      </x:c>
      <x:c r="H43" s="11" t="n">
        <x:f>CHOOSE('假设'!$B$3,H44,H45,H46)</x:f>
        <x:v>0.2</x:v>
      </x:c>
      <x:c r="I43" s="11" t="n">
        <x:f>CHOOSE('假设'!$B$3,I44,I45,I46)</x:f>
        <x:v>0.22</x:v>
      </x:c>
      <x:c r="J43" s="11" t="n">
        <x:f>CHOOSE('假设'!$B$3,J44,J45,J46)</x:f>
        <x:v>0.505</x:v>
      </x:c>
      <x:c r="K43" s="11" t="n">
        <x:f>CHOOSE('假设'!$B$3,K44,K45,K46)</x:f>
        <x:v>60.5</x:v>
      </x:c>
      <x:c r="L43" s="11" t="n">
        <x:f>CHOOSE('假设'!$B$3,L44,L45,L46)</x:f>
        <x:v>0.155</x:v>
      </x:c>
      <x:c r="M43" s="11" t="n">
        <x:f>CHOOSE('假设'!$B$3,M44,M45,M46)</x:f>
        <x:v>0</x:v>
      </x:c>
      <x:c r="N43" t="str">
        <x:v>CNY</x:v>
      </x:c>
    </x:row>
    <x:row r="44" ht="23" customHeight="1">
      <x:c r="A44" s="11" t="str">
        <x:v>09626.HK</x:v>
      </x:c>
      <x:c r="B44" s="11" t="str">
        <x:v>五年</x:v>
      </x:c>
      <x:c r="C44" s="11" t="str">
        <x:v>悲观</x:v>
      </x:c>
      <x:c r="D44" s="11"/>
      <x:c r="E44" s="11"/>
      <x:c r="F44" s="11"/>
      <x:c r="G44" s="11"/>
      <x:c r="H44" s="16" t="n">
        <x:v>0.2</x:v>
      </x:c>
      <x:c r="I44" s="16" t="n">
        <x:v>-0.25</x:v>
      </x:c>
      <x:c r="J44" s="16" t="n">
        <x:v>0.605</x:v>
      </x:c>
      <x:c r="K44" s="16" t="n">
        <x:v>30.6</x:v>
      </x:c>
      <x:c r="L44" s="16" t="n">
        <x:v>0.012</x:v>
      </x:c>
      <x:c r="M44" s="16" t="n">
        <x:v>0</x:v>
      </x:c>
      <x:c r="N44" t="str">
        <x:v>CNY</x:v>
      </x:c>
    </x:row>
    <x:row r="45" ht="23" customHeight="1">
      <x:c r="A45" s="11" t="str">
        <x:v>09626.HK</x:v>
      </x:c>
      <x:c r="B45" s="11" t="str">
        <x:v>五年</x:v>
      </x:c>
      <x:c r="C45" s="11" t="str">
        <x:v>基准</x:v>
      </x:c>
      <x:c r="D45" s="11"/>
      <x:c r="E45" s="11"/>
      <x:c r="F45" s="11"/>
      <x:c r="G45" s="11"/>
      <x:c r="H45" s="16" t="n">
        <x:v>0.2</x:v>
      </x:c>
      <x:c r="I45" s="16" t="n">
        <x:v>0.22</x:v>
      </x:c>
      <x:c r="J45" s="16" t="n">
        <x:v>0.505</x:v>
      </x:c>
      <x:c r="K45" s="16" t="n">
        <x:v>60.5</x:v>
      </x:c>
      <x:c r="L45" s="16" t="n">
        <x:v>0.155</x:v>
      </x:c>
      <x:c r="M45" s="16" t="n">
        <x:v>0</x:v>
      </x:c>
      <x:c r="N45" t="str">
        <x:v>CNY</x:v>
      </x:c>
    </x:row>
    <x:row r="46" ht="23" customHeight="1">
      <x:c r="A46" s="11" t="str">
        <x:v>09626.HK</x:v>
      </x:c>
      <x:c r="B46" s="11" t="str">
        <x:v>五年</x:v>
      </x:c>
      <x:c r="C46" s="11" t="str">
        <x:v>乐观</x:v>
      </x:c>
      <x:c r="D46" s="11"/>
      <x:c r="E46" s="11"/>
      <x:c r="F46" s="11"/>
      <x:c r="G46" s="11"/>
      <x:c r="H46" s="16" t="n">
        <x:v>0.2</x:v>
      </x:c>
      <x:c r="I46" s="16" t="n">
        <x:v>0.38</x:v>
      </x:c>
      <x:c r="J46" s="16" t="n">
        <x:v>0.48</x:v>
      </x:c>
      <x:c r="K46" s="16" t="n">
        <x:v>91.4</x:v>
      </x:c>
      <x:c r="L46" s="16" t="n">
        <x:v>0.21</x:v>
      </x:c>
      <x:c r="M46" s="16" t="n">
        <x:v>0</x:v>
      </x:c>
      <x:c r="N46" t="str">
        <x:v>CNY</x:v>
      </x:c>
    </x:row>
    <x:row r="47" ht="23" customHeight="1">
      <x:c r="A47" s="11" t="str">
        <x:v>06618.HK</x:v>
      </x:c>
      <x:c r="B47" s="11" t="str">
        <x:v>2026年底</x:v>
      </x:c>
      <x:c r="C47" s="11" t="str">
        <x:v>活动输入</x:v>
      </x:c>
      <x:c r="D47" s="11" t="str">
        <x:f>CHOOSE('假设'!$B$3,D48,D49,D50)</x:f>
      </x:c>
      <x:c r="E47" s="11" t="str">
        <x:f>CHOOSE('假设'!$B$3,E48,E49,E50)</x:f>
      </x:c>
      <x:c r="F47" s="11" t="str">
        <x:f>CHOOSE('假设'!$B$3,F48,F49,F50)</x:f>
      </x:c>
      <x:c r="G47" s="11" t="str">
        <x:f>CHOOSE('假设'!$B$3,G48,G49,G50)</x:f>
      </x:c>
      <x:c r="H47" s="11" t="n">
        <x:f>CHOOSE('假设'!$B$3,H48,H49,H50)</x:f>
        <x:v>0.22</x:v>
      </x:c>
      <x:c r="I47" s="11" t="n">
        <x:f>CHOOSE('假设'!$B$3,I48,I49,I50)</x:f>
        <x:v>1.35</x:v>
      </x:c>
      <x:c r="J47" s="11" t="n">
        <x:f>CHOOSE('假设'!$B$3,J48,J49,J50)</x:f>
        <x:v>3.21</x:v>
      </x:c>
      <x:c r="K47" s="11" t="n">
        <x:f>CHOOSE('假设'!$B$3,K48,K49,K50)</x:f>
        <x:v>85</x:v>
      </x:c>
      <x:c r="L47" s="11" t="n">
        <x:f>CHOOSE('假设'!$B$3,L48,L49,L50)</x:f>
        <x:v>0.08</x:v>
      </x:c>
      <x:c r="M47" s="11" t="n">
        <x:f>CHOOSE('假设'!$B$3,M48,M49,M50)</x:f>
        <x:v>0</x:v>
      </x:c>
      <x:c r="N47" t="str">
        <x:v>CNY</x:v>
      </x:c>
    </x:row>
    <x:row r="48" ht="23" customHeight="1">
      <x:c r="A48" s="11" t="str">
        <x:v>06618.HK</x:v>
      </x:c>
      <x:c r="B48" s="11" t="str">
        <x:v>2026年底</x:v>
      </x:c>
      <x:c r="C48" s="11" t="str">
        <x:v>悲观</x:v>
      </x:c>
      <x:c r="D48" s="11"/>
      <x:c r="E48" s="11"/>
      <x:c r="F48" s="11"/>
      <x:c r="G48" s="11"/>
      <x:c r="H48" s="16" t="n">
        <x:v>0.22</x:v>
      </x:c>
      <x:c r="I48" s="16" t="n">
        <x:v>0.4</x:v>
      </x:c>
      <x:c r="J48" s="16" t="n">
        <x:v>3.23</x:v>
      </x:c>
      <x:c r="K48" s="16" t="n">
        <x:v>78</x:v>
      </x:c>
      <x:c r="L48" s="16" t="n">
        <x:v>0.058</x:v>
      </x:c>
      <x:c r="M48" s="16" t="n">
        <x:v>0</x:v>
      </x:c>
      <x:c r="N48" t="str">
        <x:v>CNY</x:v>
      </x:c>
    </x:row>
    <x:row r="49" ht="23" customHeight="1">
      <x:c r="A49" s="11" t="str">
        <x:v>06618.HK</x:v>
      </x:c>
      <x:c r="B49" s="11" t="str">
        <x:v>2026年底</x:v>
      </x:c>
      <x:c r="C49" s="11" t="str">
        <x:v>基准</x:v>
      </x:c>
      <x:c r="D49" s="11"/>
      <x:c r="E49" s="11"/>
      <x:c r="F49" s="11"/>
      <x:c r="G49" s="11"/>
      <x:c r="H49" s="16" t="n">
        <x:v>0.22</x:v>
      </x:c>
      <x:c r="I49" s="16" t="n">
        <x:v>1.35</x:v>
      </x:c>
      <x:c r="J49" s="16" t="n">
        <x:v>3.21</x:v>
      </x:c>
      <x:c r="K49" s="16" t="n">
        <x:v>85</x:v>
      </x:c>
      <x:c r="L49" s="16" t="n">
        <x:v>0.08</x:v>
      </x:c>
      <x:c r="M49" s="16" t="n">
        <x:v>0</x:v>
      </x:c>
      <x:c r="N49" t="str">
        <x:v>CNY</x:v>
      </x:c>
    </x:row>
    <x:row r="50" ht="23" customHeight="1">
      <x:c r="A50" s="11" t="str">
        <x:v>06618.HK</x:v>
      </x:c>
      <x:c r="B50" s="11" t="str">
        <x:v>2026年底</x:v>
      </x:c>
      <x:c r="C50" s="11" t="str">
        <x:v>乐观</x:v>
      </x:c>
      <x:c r="D50" s="11"/>
      <x:c r="E50" s="11"/>
      <x:c r="F50" s="11"/>
      <x:c r="G50" s="11"/>
      <x:c r="H50" s="16" t="n">
        <x:v>0.22</x:v>
      </x:c>
      <x:c r="I50" s="16" t="n">
        <x:v>1.6</x:v>
      </x:c>
      <x:c r="J50" s="16" t="n">
        <x:v>3.2</x:v>
      </x:c>
      <x:c r="K50" s="16" t="n">
        <x:v>90</x:v>
      </x:c>
      <x:c r="L50" s="16" t="n">
        <x:v>0.095</x:v>
      </x:c>
      <x:c r="M50" s="16" t="n">
        <x:v>0</x:v>
      </x:c>
      <x:c r="N50" t="str">
        <x:v>CNY</x:v>
      </x:c>
    </x:row>
    <x:row r="51" ht="23" customHeight="1">
      <x:c r="A51" s="11" t="str">
        <x:v>06618.HK</x:v>
      </x:c>
      <x:c r="B51" s="11" t="str">
        <x:v>半年</x:v>
      </x:c>
      <x:c r="C51" s="11" t="str">
        <x:v>活动输入</x:v>
      </x:c>
      <x:c r="D51" s="11" t="str">
        <x:f>CHOOSE('假设'!$B$3,D52,D53,D54)</x:f>
      </x:c>
      <x:c r="E51" s="11" t="str">
        <x:f>CHOOSE('假设'!$B$3,E52,E53,E54)</x:f>
      </x:c>
      <x:c r="F51" s="11" t="str">
        <x:f>CHOOSE('假设'!$B$3,F52,F53,F54)</x:f>
      </x:c>
      <x:c r="G51" s="11" t="str">
        <x:f>CHOOSE('假设'!$B$3,G52,G53,G54)</x:f>
      </x:c>
      <x:c r="H51" s="11" t="n">
        <x:f>CHOOSE('假设'!$B$3,H52,H53,H54)</x:f>
        <x:v>0.22</x:v>
      </x:c>
      <x:c r="I51" s="11" t="n">
        <x:f>CHOOSE('假设'!$B$3,I52,I53,I54)</x:f>
        <x:v>1.35</x:v>
      </x:c>
      <x:c r="J51" s="11" t="n">
        <x:f>CHOOSE('假设'!$B$3,J52,J53,J54)</x:f>
        <x:v>3.205</x:v>
      </x:c>
      <x:c r="K51" s="11" t="n">
        <x:f>CHOOSE('假设'!$B$3,K52,K53,K54)</x:f>
        <x:v>92.5</x:v>
      </x:c>
      <x:c r="L51" s="11" t="n">
        <x:f>CHOOSE('假设'!$B$3,L52,L53,L54)</x:f>
        <x:v>0.083</x:v>
      </x:c>
      <x:c r="M51" s="11" t="n">
        <x:f>CHOOSE('假设'!$B$3,M52,M53,M54)</x:f>
        <x:v>0</x:v>
      </x:c>
      <x:c r="N51" t="str">
        <x:v>CNY</x:v>
      </x:c>
    </x:row>
    <x:row r="52" ht="23" customHeight="1">
      <x:c r="A52" s="11" t="str">
        <x:v>06618.HK</x:v>
      </x:c>
      <x:c r="B52" s="11" t="str">
        <x:v>半年</x:v>
      </x:c>
      <x:c r="C52" s="11" t="str">
        <x:v>悲观</x:v>
      </x:c>
      <x:c r="D52" s="11"/>
      <x:c r="E52" s="11"/>
      <x:c r="F52" s="11"/>
      <x:c r="G52" s="11"/>
      <x:c r="H52" s="16" t="n">
        <x:v>0.22</x:v>
      </x:c>
      <x:c r="I52" s="16" t="n">
        <x:v>0.3</x:v>
      </x:c>
      <x:c r="J52" s="16" t="n">
        <x:v>3.25</x:v>
      </x:c>
      <x:c r="K52" s="16" t="n">
        <x:v>75.5</x:v>
      </x:c>
      <x:c r="L52" s="16" t="n">
        <x:v>0.055</x:v>
      </x:c>
      <x:c r="M52" s="16" t="n">
        <x:v>0</x:v>
      </x:c>
      <x:c r="N52" t="str">
        <x:v>CNY</x:v>
      </x:c>
    </x:row>
    <x:row r="53" ht="23" customHeight="1">
      <x:c r="A53" s="11" t="str">
        <x:v>06618.HK</x:v>
      </x:c>
      <x:c r="B53" s="11" t="str">
        <x:v>半年</x:v>
      </x:c>
      <x:c r="C53" s="11" t="str">
        <x:v>基准</x:v>
      </x:c>
      <x:c r="D53" s="11"/>
      <x:c r="E53" s="11"/>
      <x:c r="F53" s="11"/>
      <x:c r="G53" s="11"/>
      <x:c r="H53" s="16" t="n">
        <x:v>0.22</x:v>
      </x:c>
      <x:c r="I53" s="16" t="n">
        <x:v>1.35</x:v>
      </x:c>
      <x:c r="J53" s="16" t="n">
        <x:v>3.205</x:v>
      </x:c>
      <x:c r="K53" s="16" t="n">
        <x:v>92.5</x:v>
      </x:c>
      <x:c r="L53" s="16" t="n">
        <x:v>0.083</x:v>
      </x:c>
      <x:c r="M53" s="16" t="n">
        <x:v>0</x:v>
      </x:c>
      <x:c r="N53" t="str">
        <x:v>CNY</x:v>
      </x:c>
    </x:row>
    <x:row r="54" ht="23" customHeight="1">
      <x:c r="A54" s="11" t="str">
        <x:v>06618.HK</x:v>
      </x:c>
      <x:c r="B54" s="11" t="str">
        <x:v>半年</x:v>
      </x:c>
      <x:c r="C54" s="11" t="str">
        <x:v>乐观</x:v>
      </x:c>
      <x:c r="D54" s="11"/>
      <x:c r="E54" s="11"/>
      <x:c r="F54" s="11"/>
      <x:c r="G54" s="11"/>
      <x:c r="H54" s="16" t="n">
        <x:v>0.22</x:v>
      </x:c>
      <x:c r="I54" s="16" t="n">
        <x:v>1.7</x:v>
      </x:c>
      <x:c r="J54" s="16" t="n">
        <x:v>3.19</x:v>
      </x:c>
      <x:c r="K54" s="16" t="n">
        <x:v>102</x:v>
      </x:c>
      <x:c r="L54" s="16" t="n">
        <x:v>0.102</x:v>
      </x:c>
      <x:c r="M54" s="16" t="n">
        <x:v>0</x:v>
      </x:c>
      <x:c r="N54" t="str">
        <x:v>CNY</x:v>
      </x:c>
    </x:row>
    <x:row r="55" ht="23" customHeight="1">
      <x:c r="A55" s="11" t="str">
        <x:v>06618.HK</x:v>
      </x:c>
      <x:c r="B55" s="11" t="str">
        <x:v>一年</x:v>
      </x:c>
      <x:c r="C55" s="11" t="str">
        <x:v>活动输入</x:v>
      </x:c>
      <x:c r="D55" s="11" t="str">
        <x:f>CHOOSE('假设'!$B$3,D56,D57,D58)</x:f>
      </x:c>
      <x:c r="E55" s="11" t="str">
        <x:f>CHOOSE('假设'!$B$3,E56,E57,E58)</x:f>
      </x:c>
      <x:c r="F55" s="11" t="str">
        <x:f>CHOOSE('假设'!$B$3,F56,F57,F58)</x:f>
      </x:c>
      <x:c r="G55" s="11" t="str">
        <x:f>CHOOSE('假设'!$B$3,G56,G57,G58)</x:f>
      </x:c>
      <x:c r="H55" s="11" t="n">
        <x:f>CHOOSE('假设'!$B$3,H56,H57,H58)</x:f>
        <x:v>0.22</x:v>
      </x:c>
      <x:c r="I55" s="11" t="n">
        <x:f>CHOOSE('假设'!$B$3,I56,I57,I58)</x:f>
        <x:v>1.4</x:v>
      </x:c>
      <x:c r="J55" s="11" t="n">
        <x:f>CHOOSE('假设'!$B$3,J56,J57,J58)</x:f>
        <x:v>3.2</x:v>
      </x:c>
      <x:c r="K55" s="11" t="n">
        <x:f>CHOOSE('假设'!$B$3,K56,K57,K58)</x:f>
        <x:v>100.5</x:v>
      </x:c>
      <x:c r="L55" s="11" t="n">
        <x:f>CHOOSE('假设'!$B$3,L56,L57,L58)</x:f>
        <x:v>0.09</x:v>
      </x:c>
      <x:c r="M55" s="11" t="n">
        <x:f>CHOOSE('假设'!$B$3,M56,M57,M58)</x:f>
        <x:v>0</x:v>
      </x:c>
      <x:c r="N55" t="str">
        <x:v>CNY</x:v>
      </x:c>
    </x:row>
    <x:row r="56" ht="23" customHeight="1">
      <x:c r="A56" s="11" t="str">
        <x:v>06618.HK</x:v>
      </x:c>
      <x:c r="B56" s="11" t="str">
        <x:v>一年</x:v>
      </x:c>
      <x:c r="C56" s="11" t="str">
        <x:v>悲观</x:v>
      </x:c>
      <x:c r="D56" s="11"/>
      <x:c r="E56" s="11"/>
      <x:c r="F56" s="11"/>
      <x:c r="G56" s="11"/>
      <x:c r="H56" s="16" t="n">
        <x:v>0.22</x:v>
      </x:c>
      <x:c r="I56" s="16" t="n">
        <x:v>0.25</x:v>
      </x:c>
      <x:c r="J56" s="16" t="n">
        <x:v>3.28</x:v>
      </x:c>
      <x:c r="K56" s="16" t="n">
        <x:v>74</x:v>
      </x:c>
      <x:c r="L56" s="16" t="n">
        <x:v>0.052</x:v>
      </x:c>
      <x:c r="M56" s="16" t="n">
        <x:v>0</x:v>
      </x:c>
      <x:c r="N56" t="str">
        <x:v>CNY</x:v>
      </x:c>
    </x:row>
    <x:row r="57" ht="23" customHeight="1">
      <x:c r="A57" s="11" t="str">
        <x:v>06618.HK</x:v>
      </x:c>
      <x:c r="B57" s="11" t="str">
        <x:v>一年</x:v>
      </x:c>
      <x:c r="C57" s="11" t="str">
        <x:v>基准</x:v>
      </x:c>
      <x:c r="D57" s="11"/>
      <x:c r="E57" s="11"/>
      <x:c r="F57" s="11"/>
      <x:c r="G57" s="11"/>
      <x:c r="H57" s="16" t="n">
        <x:v>0.22</x:v>
      </x:c>
      <x:c r="I57" s="16" t="n">
        <x:v>1.4</x:v>
      </x:c>
      <x:c r="J57" s="16" t="n">
        <x:v>3.2</x:v>
      </x:c>
      <x:c r="K57" s="16" t="n">
        <x:v>100.5</x:v>
      </x:c>
      <x:c r="L57" s="16" t="n">
        <x:v>0.09</x:v>
      </x:c>
      <x:c r="M57" s="16" t="n">
        <x:v>0</x:v>
      </x:c>
      <x:c r="N57" t="str">
        <x:v>CNY</x:v>
      </x:c>
    </x:row>
    <x:row r="58" ht="23" customHeight="1">
      <x:c r="A58" s="11" t="str">
        <x:v>06618.HK</x:v>
      </x:c>
      <x:c r="B58" s="11" t="str">
        <x:v>一年</x:v>
      </x:c>
      <x:c r="C58" s="11" t="str">
        <x:v>乐观</x:v>
      </x:c>
      <x:c r="D58" s="11"/>
      <x:c r="E58" s="11"/>
      <x:c r="F58" s="11"/>
      <x:c r="G58" s="11"/>
      <x:c r="H58" s="16" t="n">
        <x:v>0.22</x:v>
      </x:c>
      <x:c r="I58" s="16" t="n">
        <x:v>1.8</x:v>
      </x:c>
      <x:c r="J58" s="16" t="n">
        <x:v>3.18</x:v>
      </x:c>
      <x:c r="K58" s="16" t="n">
        <x:v>120</x:v>
      </x:c>
      <x:c r="L58" s="16" t="n">
        <x:v>0.11</x:v>
      </x:c>
      <x:c r="M58" s="16" t="n">
        <x:v>0</x:v>
      </x:c>
      <x:c r="N58" t="str">
        <x:v>CNY</x:v>
      </x:c>
    </x:row>
    <x:row r="59" ht="23" customHeight="1">
      <x:c r="A59" s="11" t="str">
        <x:v>06618.HK</x:v>
      </x:c>
      <x:c r="B59" s="11" t="str">
        <x:v>三年</x:v>
      </x:c>
      <x:c r="C59" s="11" t="str">
        <x:v>活动输入</x:v>
      </x:c>
      <x:c r="D59" s="11" t="str">
        <x:f>CHOOSE('假设'!$B$3,D60,D61,D62)</x:f>
      </x:c>
      <x:c r="E59" s="11" t="str">
        <x:f>CHOOSE('假设'!$B$3,E60,E61,E62)</x:f>
      </x:c>
      <x:c r="F59" s="11" t="str">
        <x:f>CHOOSE('假设'!$B$3,F60,F61,F62)</x:f>
      </x:c>
      <x:c r="G59" s="11" t="str">
        <x:f>CHOOSE('假设'!$B$3,G60,G61,G62)</x:f>
      </x:c>
      <x:c r="H59" s="11" t="n">
        <x:f>CHOOSE('假设'!$B$3,H60,H61,H62)</x:f>
        <x:v>0.22</x:v>
      </x:c>
      <x:c r="I59" s="11" t="n">
        <x:f>CHOOSE('假设'!$B$3,I60,I61,I62)</x:f>
        <x:v>1.5</x:v>
      </x:c>
      <x:c r="J59" s="11" t="n">
        <x:f>CHOOSE('假设'!$B$3,J60,J61,J62)</x:f>
        <x:v>3.21</x:v>
      </x:c>
      <x:c r="K59" s="11" t="n">
        <x:f>CHOOSE('假设'!$B$3,K60,K61,K62)</x:f>
        <x:v>140</x:v>
      </x:c>
      <x:c r="L59" s="11" t="n">
        <x:f>CHOOSE('假设'!$B$3,L60,L61,L62)</x:f>
        <x:v>0.105</x:v>
      </x:c>
      <x:c r="M59" s="11" t="n">
        <x:f>CHOOSE('假设'!$B$3,M60,M61,M62)</x:f>
        <x:v>0</x:v>
      </x:c>
      <x:c r="N59" t="str">
        <x:v>CNY</x:v>
      </x:c>
    </x:row>
    <x:row r="60" ht="23" customHeight="1">
      <x:c r="A60" s="11" t="str">
        <x:v>06618.HK</x:v>
      </x:c>
      <x:c r="B60" s="11" t="str">
        <x:v>三年</x:v>
      </x:c>
      <x:c r="C60" s="11" t="str">
        <x:v>悲观</x:v>
      </x:c>
      <x:c r="D60" s="11"/>
      <x:c r="E60" s="11"/>
      <x:c r="F60" s="11"/>
      <x:c r="G60" s="11"/>
      <x:c r="H60" s="16" t="n">
        <x:v>0.22</x:v>
      </x:c>
      <x:c r="I60" s="16" t="n">
        <x:v>0.15</x:v>
      </x:c>
      <x:c r="J60" s="16" t="n">
        <x:v>3.45</x:v>
      </x:c>
      <x:c r="K60" s="16" t="n">
        <x:v>78</x:v>
      </x:c>
      <x:c r="L60" s="16" t="n">
        <x:v>0.045</x:v>
      </x:c>
      <x:c r="M60" s="16" t="n">
        <x:v>0</x:v>
      </x:c>
      <x:c r="N60" t="str">
        <x:v>CNY</x:v>
      </x:c>
    </x:row>
    <x:row r="61" ht="23" customHeight="1">
      <x:c r="A61" s="11" t="str">
        <x:v>06618.HK</x:v>
      </x:c>
      <x:c r="B61" s="11" t="str">
        <x:v>三年</x:v>
      </x:c>
      <x:c r="C61" s="11" t="str">
        <x:v>基准</x:v>
      </x:c>
      <x:c r="D61" s="11"/>
      <x:c r="E61" s="11"/>
      <x:c r="F61" s="11"/>
      <x:c r="G61" s="11"/>
      <x:c r="H61" s="16" t="n">
        <x:v>0.22</x:v>
      </x:c>
      <x:c r="I61" s="16" t="n">
        <x:v>1.5</x:v>
      </x:c>
      <x:c r="J61" s="16" t="n">
        <x:v>3.21</x:v>
      </x:c>
      <x:c r="K61" s="16" t="n">
        <x:v>140</x:v>
      </x:c>
      <x:c r="L61" s="16" t="n">
        <x:v>0.105</x:v>
      </x:c>
      <x:c r="M61" s="16" t="n">
        <x:v>0</x:v>
      </x:c>
      <x:c r="N61" t="str">
        <x:v>CNY</x:v>
      </x:c>
    </x:row>
    <x:row r="62" ht="23" customHeight="1">
      <x:c r="A62" s="11" t="str">
        <x:v>06618.HK</x:v>
      </x:c>
      <x:c r="B62" s="11" t="str">
        <x:v>三年</x:v>
      </x:c>
      <x:c r="C62" s="11" t="str">
        <x:v>乐观</x:v>
      </x:c>
      <x:c r="D62" s="11"/>
      <x:c r="E62" s="11"/>
      <x:c r="F62" s="11"/>
      <x:c r="G62" s="11"/>
      <x:c r="H62" s="16" t="n">
        <x:v>0.22</x:v>
      </x:c>
      <x:c r="I62" s="16" t="n">
        <x:v>2.1</x:v>
      </x:c>
      <x:c r="J62" s="16" t="n">
        <x:v>3.19</x:v>
      </x:c>
      <x:c r="K62" s="16" t="n">
        <x:v>189</x:v>
      </x:c>
      <x:c r="L62" s="16" t="n">
        <x:v>0.13</x:v>
      </x:c>
      <x:c r="M62" s="16" t="n">
        <x:v>0</x:v>
      </x:c>
      <x:c r="N62" t="str">
        <x:v>CNY</x:v>
      </x:c>
    </x:row>
    <x:row r="63" ht="23" customHeight="1">
      <x:c r="A63" s="11" t="str">
        <x:v>06618.HK</x:v>
      </x:c>
      <x:c r="B63" s="11" t="str">
        <x:v>五年</x:v>
      </x:c>
      <x:c r="C63" s="11" t="str">
        <x:v>活动输入</x:v>
      </x:c>
      <x:c r="D63" s="11" t="str">
        <x:f>CHOOSE('假设'!$B$3,D64,D65,D66)</x:f>
      </x:c>
      <x:c r="E63" s="11" t="str">
        <x:f>CHOOSE('假设'!$B$3,E64,E65,E66)</x:f>
      </x:c>
      <x:c r="F63" s="11" t="str">
        <x:f>CHOOSE('假设'!$B$3,F64,F65,F66)</x:f>
      </x:c>
      <x:c r="G63" s="11" t="str">
        <x:f>CHOOSE('假设'!$B$3,G64,G65,G66)</x:f>
      </x:c>
      <x:c r="H63" s="11" t="n">
        <x:f>CHOOSE('假设'!$B$3,H64,H65,H66)</x:f>
        <x:v>0.22</x:v>
      </x:c>
      <x:c r="I63" s="11" t="n">
        <x:f>CHOOSE('假设'!$B$3,I64,I65,I66)</x:f>
        <x:v>1.6</x:v>
      </x:c>
      <x:c r="J63" s="11" t="n">
        <x:f>CHOOSE('假设'!$B$3,J64,J65,J66)</x:f>
        <x:v>3.23</x:v>
      </x:c>
      <x:c r="K63" s="11" t="n">
        <x:f>CHOOSE('假设'!$B$3,K64,K65,K66)</x:f>
        <x:v>187</x:v>
      </x:c>
      <x:c r="L63" s="11" t="n">
        <x:f>CHOOSE('假设'!$B$3,L64,L65,L66)</x:f>
        <x:v>0.115</x:v>
      </x:c>
      <x:c r="M63" s="11" t="n">
        <x:f>CHOOSE('假设'!$B$3,M64,M65,M66)</x:f>
        <x:v>0</x:v>
      </x:c>
      <x:c r="N63" t="str">
        <x:v>CNY</x:v>
      </x:c>
    </x:row>
    <x:row r="64" ht="23" customHeight="1">
      <x:c r="A64" s="11" t="str">
        <x:v>06618.HK</x:v>
      </x:c>
      <x:c r="B64" s="11" t="str">
        <x:v>五年</x:v>
      </x:c>
      <x:c r="C64" s="11" t="str">
        <x:v>悲观</x:v>
      </x:c>
      <x:c r="D64" s="11"/>
      <x:c r="E64" s="11"/>
      <x:c r="F64" s="11"/>
      <x:c r="G64" s="11"/>
      <x:c r="H64" s="16" t="n">
        <x:v>0.22</x:v>
      </x:c>
      <x:c r="I64" s="16" t="n">
        <x:v>0.1</x:v>
      </x:c>
      <x:c r="J64" s="16" t="n">
        <x:v>3.65</x:v>
      </x:c>
      <x:c r="K64" s="16" t="n">
        <x:v>81</x:v>
      </x:c>
      <x:c r="L64" s="16" t="n">
        <x:v>0.038</x:v>
      </x:c>
      <x:c r="M64" s="16" t="n">
        <x:v>0</x:v>
      </x:c>
      <x:c r="N64" t="str">
        <x:v>CNY</x:v>
      </x:c>
    </x:row>
    <x:row r="65" ht="23" customHeight="1">
      <x:c r="A65" s="11" t="str">
        <x:v>06618.HK</x:v>
      </x:c>
      <x:c r="B65" s="11" t="str">
        <x:v>五年</x:v>
      </x:c>
      <x:c r="C65" s="11" t="str">
        <x:v>基准</x:v>
      </x:c>
      <x:c r="D65" s="11"/>
      <x:c r="E65" s="11"/>
      <x:c r="F65" s="11"/>
      <x:c r="G65" s="11"/>
      <x:c r="H65" s="16" t="n">
        <x:v>0.22</x:v>
      </x:c>
      <x:c r="I65" s="16" t="n">
        <x:v>1.6</x:v>
      </x:c>
      <x:c r="J65" s="16" t="n">
        <x:v>3.23</x:v>
      </x:c>
      <x:c r="K65" s="16" t="n">
        <x:v>187</x:v>
      </x:c>
      <x:c r="L65" s="16" t="n">
        <x:v>0.115</x:v>
      </x:c>
      <x:c r="M65" s="16" t="n">
        <x:v>0</x:v>
      </x:c>
      <x:c r="N65" t="str">
        <x:v>CNY</x:v>
      </x:c>
    </x:row>
    <x:row r="66" ht="23" customHeight="1">
      <x:c r="A66" s="11" t="str">
        <x:v>06618.HK</x:v>
      </x:c>
      <x:c r="B66" s="11" t="str">
        <x:v>五年</x:v>
      </x:c>
      <x:c r="C66" s="11" t="str">
        <x:v>乐观</x:v>
      </x:c>
      <x:c r="D66" s="11"/>
      <x:c r="E66" s="11"/>
      <x:c r="F66" s="11"/>
      <x:c r="G66" s="11"/>
      <x:c r="H66" s="16" t="n">
        <x:v>0.22</x:v>
      </x:c>
      <x:c r="I66" s="16" t="n">
        <x:v>2.4</x:v>
      </x:c>
      <x:c r="J66" s="16" t="n">
        <x:v>3.2</x:v>
      </x:c>
      <x:c r="K66" s="16" t="n">
        <x:v>271</x:v>
      </x:c>
      <x:c r="L66" s="16" t="n">
        <x:v>0.145</x:v>
      </x:c>
      <x:c r="M66" s="16" t="n">
        <x:v>0</x:v>
      </x:c>
      <x:c r="N66" t="str">
        <x:v>CNY</x:v>
      </x:c>
    </x:row>
    <x:row r="67" ht="23" customHeight="1">
      <x:c r="A67" s="11" t="str">
        <x:v>00992.HK</x:v>
      </x:c>
      <x:c r="B67" s="11" t="str">
        <x:v>2026年底</x:v>
      </x:c>
      <x:c r="C67" s="11" t="str">
        <x:v>活动输入</x:v>
      </x:c>
      <x:c r="D67" s="11" t="str">
        <x:f>CHOOSE('假设'!$B$3,D68,D69,D70)</x:f>
      </x:c>
      <x:c r="E67" s="11" t="str">
        <x:f>CHOOSE('假设'!$B$3,E68,E69,E70)</x:f>
      </x:c>
      <x:c r="F67" s="11" t="str">
        <x:f>CHOOSE('假设'!$B$3,F68,F69,F70)</x:f>
      </x:c>
      <x:c r="G67" s="11" t="str">
        <x:f>CHOOSE('假设'!$B$3,G68,G69,G70)</x:f>
      </x:c>
      <x:c r="H67" s="11" t="n">
        <x:f>CHOOSE('假设'!$B$3,H68,H69,H70)</x:f>
        <x:v>0.2</x:v>
      </x:c>
      <x:c r="I67" s="11" t="n">
        <x:f>CHOOSE('假设'!$B$3,I68,I69,I70)</x:f>
        <x:v>-0.4</x:v>
      </x:c>
      <x:c r="J67" s="11" t="n">
        <x:f>CHOOSE('假设'!$B$3,J68,J69,J70)</x:f>
        <x:v>16.3</x:v>
      </x:c>
      <x:c r="K67" s="11" t="n">
        <x:f>CHOOSE('假设'!$B$3,K68,K69,K70)</x:f>
        <x:v>108</x:v>
      </x:c>
      <x:c r="L67" s="11" t="n">
        <x:f>CHOOSE('假设'!$B$3,L68,L69,L70)</x:f>
        <x:v>0.055</x:v>
      </x:c>
      <x:c r="M67" s="11" t="n">
        <x:f>CHOOSE('假设'!$B$3,M68,M69,M70)</x:f>
        <x:v>0</x:v>
      </x:c>
      <x:c r="N67" t="str">
        <x:v>USD</x:v>
      </x:c>
    </x:row>
    <x:row r="68" ht="23" customHeight="1">
      <x:c r="A68" s="11" t="str">
        <x:v>00992.HK</x:v>
      </x:c>
      <x:c r="B68" s="11" t="str">
        <x:v>2026年底</x:v>
      </x:c>
      <x:c r="C68" s="11" t="str">
        <x:v>悲观</x:v>
      </x:c>
      <x:c r="D68" s="11"/>
      <x:c r="E68" s="11"/>
      <x:c r="F68" s="11"/>
      <x:c r="G68" s="11"/>
      <x:c r="H68" s="16" t="n">
        <x:v>0.2</x:v>
      </x:c>
      <x:c r="I68" s="16" t="n">
        <x:v>-0.45</x:v>
      </x:c>
      <x:c r="J68" s="16" t="n">
        <x:v>16.8</x:v>
      </x:c>
      <x:c r="K68" s="16" t="n">
        <x:v>95</x:v>
      </x:c>
      <x:c r="L68" s="16" t="n">
        <x:v>0.035</x:v>
      </x:c>
      <x:c r="M68" s="16" t="n">
        <x:v>0</x:v>
      </x:c>
      <x:c r="N68" t="str">
        <x:v>USD</x:v>
      </x:c>
    </x:row>
    <x:row r="69" ht="23" customHeight="1">
      <x:c r="A69" s="11" t="str">
        <x:v>00992.HK</x:v>
      </x:c>
      <x:c r="B69" s="11" t="str">
        <x:v>2026年底</x:v>
      </x:c>
      <x:c r="C69" s="11" t="str">
        <x:v>基准</x:v>
      </x:c>
      <x:c r="D69" s="11"/>
      <x:c r="E69" s="11"/>
      <x:c r="F69" s="11"/>
      <x:c r="G69" s="11"/>
      <x:c r="H69" s="16" t="n">
        <x:v>0.2</x:v>
      </x:c>
      <x:c r="I69" s="16" t="n">
        <x:v>-0.4</x:v>
      </x:c>
      <x:c r="J69" s="16" t="n">
        <x:v>16.3</x:v>
      </x:c>
      <x:c r="K69" s="16" t="n">
        <x:v>108</x:v>
      </x:c>
      <x:c r="L69" s="16" t="n">
        <x:v>0.055</x:v>
      </x:c>
      <x:c r="M69" s="16" t="n">
        <x:v>0</x:v>
      </x:c>
      <x:c r="N69" t="str">
        <x:v>USD</x:v>
      </x:c>
    </x:row>
    <x:row r="70" ht="23" customHeight="1">
      <x:c r="A70" s="11" t="str">
        <x:v>00992.HK</x:v>
      </x:c>
      <x:c r="B70" s="11" t="str">
        <x:v>2026年底</x:v>
      </x:c>
      <x:c r="C70" s="11" t="str">
        <x:v>乐观</x:v>
      </x:c>
      <x:c r="D70" s="11"/>
      <x:c r="E70" s="11"/>
      <x:c r="F70" s="11"/>
      <x:c r="G70" s="11"/>
      <x:c r="H70" s="16" t="n">
        <x:v>0.2</x:v>
      </x:c>
      <x:c r="I70" s="16" t="n">
        <x:v>-0.35</x:v>
      </x:c>
      <x:c r="J70" s="16" t="n">
        <x:v>16</x:v>
      </x:c>
      <x:c r="K70" s="16" t="n">
        <x:v>117</x:v>
      </x:c>
      <x:c r="L70" s="16" t="n">
        <x:v>0.067</x:v>
      </x:c>
      <x:c r="M70" s="16" t="n">
        <x:v>0</x:v>
      </x:c>
      <x:c r="N70" t="str">
        <x:v>USD</x:v>
      </x:c>
    </x:row>
    <x:row r="71" ht="23" customHeight="1">
      <x:c r="A71" s="11" t="str">
        <x:v>00992.HK</x:v>
      </x:c>
      <x:c r="B71" s="11" t="str">
        <x:v>半年</x:v>
      </x:c>
      <x:c r="C71" s="11" t="str">
        <x:v>活动输入</x:v>
      </x:c>
      <x:c r="D71" s="11" t="str">
        <x:f>CHOOSE('假设'!$B$3,D72,D73,D74)</x:f>
      </x:c>
      <x:c r="E71" s="11" t="str">
        <x:f>CHOOSE('假设'!$B$3,E72,E73,E74)</x:f>
      </x:c>
      <x:c r="F71" s="11" t="str">
        <x:f>CHOOSE('假设'!$B$3,F72,F73,F74)</x:f>
      </x:c>
      <x:c r="G71" s="11" t="str">
        <x:f>CHOOSE('假设'!$B$3,G72,G73,G74)</x:f>
      </x:c>
      <x:c r="H71" s="11" t="n">
        <x:f>CHOOSE('假设'!$B$3,H72,H73,H74)</x:f>
        <x:v>0.2</x:v>
      </x:c>
      <x:c r="I71" s="11" t="n">
        <x:f>CHOOSE('假设'!$B$3,I72,I73,I74)</x:f>
        <x:v>-0.4</x:v>
      </x:c>
      <x:c r="J71" s="11" t="n">
        <x:f>CHOOSE('假设'!$B$3,J72,J73,J74)</x:f>
        <x:v>16.3</x:v>
      </x:c>
      <x:c r="K71" s="11" t="n">
        <x:f>CHOOSE('假设'!$B$3,K72,K73,K74)</x:f>
        <x:v>114</x:v>
      </x:c>
      <x:c r="L71" s="11" t="n">
        <x:f>CHOOSE('假设'!$B$3,L72,L73,L74)</x:f>
        <x:v>0.058</x:v>
      </x:c>
      <x:c r="M71" s="11" t="n">
        <x:f>CHOOSE('假设'!$B$3,M72,M73,M74)</x:f>
        <x:v>0</x:v>
      </x:c>
      <x:c r="N71" t="str">
        <x:v>USD</x:v>
      </x:c>
    </x:row>
    <x:row r="72" ht="23" customHeight="1">
      <x:c r="A72" s="11" t="str">
        <x:v>00992.HK</x:v>
      </x:c>
      <x:c r="B72" s="11" t="str">
        <x:v>半年</x:v>
      </x:c>
      <x:c r="C72" s="11" t="str">
        <x:v>悲观</x:v>
      </x:c>
      <x:c r="D72" s="11"/>
      <x:c r="E72" s="11"/>
      <x:c r="F72" s="11"/>
      <x:c r="G72" s="11"/>
      <x:c r="H72" s="16" t="n">
        <x:v>0.2</x:v>
      </x:c>
      <x:c r="I72" s="16" t="n">
        <x:v>-0.48</x:v>
      </x:c>
      <x:c r="J72" s="16" t="n">
        <x:v>17</x:v>
      </x:c>
      <x:c r="K72" s="16" t="n">
        <x:v>90</x:v>
      </x:c>
      <x:c r="L72" s="16" t="n">
        <x:v>0.034</x:v>
      </x:c>
      <x:c r="M72" s="16" t="n">
        <x:v>0</x:v>
      </x:c>
      <x:c r="N72" t="str">
        <x:v>USD</x:v>
      </x:c>
    </x:row>
    <x:row r="73" ht="23" customHeight="1">
      <x:c r="A73" s="11" t="str">
        <x:v>00992.HK</x:v>
      </x:c>
      <x:c r="B73" s="11" t="str">
        <x:v>半年</x:v>
      </x:c>
      <x:c r="C73" s="11" t="str">
        <x:v>基准</x:v>
      </x:c>
      <x:c r="D73" s="11"/>
      <x:c r="E73" s="11"/>
      <x:c r="F73" s="11"/>
      <x:c r="G73" s="11"/>
      <x:c r="H73" s="16" t="n">
        <x:v>0.2</x:v>
      </x:c>
      <x:c r="I73" s="16" t="n">
        <x:v>-0.4</x:v>
      </x:c>
      <x:c r="J73" s="16" t="n">
        <x:v>16.3</x:v>
      </x:c>
      <x:c r="K73" s="16" t="n">
        <x:v>114</x:v>
      </x:c>
      <x:c r="L73" s="16" t="n">
        <x:v>0.058</x:v>
      </x:c>
      <x:c r="M73" s="16" t="n">
        <x:v>0</x:v>
      </x:c>
      <x:c r="N73" t="str">
        <x:v>USD</x:v>
      </x:c>
    </x:row>
    <x:row r="74" ht="23" customHeight="1">
      <x:c r="A74" s="11" t="str">
        <x:v>00992.HK</x:v>
      </x:c>
      <x:c r="B74" s="11" t="str">
        <x:v>半年</x:v>
      </x:c>
      <x:c r="C74" s="11" t="str">
        <x:v>乐观</x:v>
      </x:c>
      <x:c r="D74" s="11"/>
      <x:c r="E74" s="11"/>
      <x:c r="F74" s="11"/>
      <x:c r="G74" s="11"/>
      <x:c r="H74" s="16" t="n">
        <x:v>0.2</x:v>
      </x:c>
      <x:c r="I74" s="16" t="n">
        <x:v>-0.33</x:v>
      </x:c>
      <x:c r="J74" s="16" t="n">
        <x:v>15.9</x:v>
      </x:c>
      <x:c r="K74" s="16" t="n">
        <x:v>130</x:v>
      </x:c>
      <x:c r="L74" s="16" t="n">
        <x:v>0.071</x:v>
      </x:c>
      <x:c r="M74" s="16" t="n">
        <x:v>0</x:v>
      </x:c>
      <x:c r="N74" t="str">
        <x:v>USD</x:v>
      </x:c>
    </x:row>
    <x:row r="75" ht="23" customHeight="1">
      <x:c r="A75" s="11" t="str">
        <x:v>00992.HK</x:v>
      </x:c>
      <x:c r="B75" s="11" t="str">
        <x:v>一年</x:v>
      </x:c>
      <x:c r="C75" s="11" t="str">
        <x:v>活动输入</x:v>
      </x:c>
      <x:c r="D75" s="11" t="str">
        <x:f>CHOOSE('假设'!$B$3,D76,D77,D78)</x:f>
      </x:c>
      <x:c r="E75" s="11" t="str">
        <x:f>CHOOSE('假设'!$B$3,E76,E77,E78)</x:f>
      </x:c>
      <x:c r="F75" s="11" t="str">
        <x:f>CHOOSE('假设'!$B$3,F76,F77,F78)</x:f>
      </x:c>
      <x:c r="G75" s="11" t="str">
        <x:f>CHOOSE('假设'!$B$3,G76,G77,G78)</x:f>
      </x:c>
      <x:c r="H75" s="11" t="n">
        <x:f>CHOOSE('假设'!$B$3,H76,H77,H78)</x:f>
        <x:v>0.2</x:v>
      </x:c>
      <x:c r="I75" s="11" t="n">
        <x:f>CHOOSE('假设'!$B$3,I76,I77,I78)</x:f>
        <x:v>-0.42</x:v>
      </x:c>
      <x:c r="J75" s="11" t="n">
        <x:f>CHOOSE('假设'!$B$3,J76,J77,J78)</x:f>
        <x:v>16.4</x:v>
      </x:c>
      <x:c r="K75" s="11" t="n">
        <x:f>CHOOSE('假设'!$B$3,K76,K77,K78)</x:f>
        <x:v>125</x:v>
      </x:c>
      <x:c r="L75" s="11" t="n">
        <x:f>CHOOSE('假设'!$B$3,L76,L77,L78)</x:f>
        <x:v>0.06999999999999999</x:v>
      </x:c>
      <x:c r="M75" s="11" t="n">
        <x:f>CHOOSE('假设'!$B$3,M76,M77,M78)</x:f>
        <x:v>0</x:v>
      </x:c>
      <x:c r="N75" t="str">
        <x:v>USD</x:v>
      </x:c>
    </x:row>
    <x:row r="76" ht="23" customHeight="1">
      <x:c r="A76" s="11" t="str">
        <x:v>00992.HK</x:v>
      </x:c>
      <x:c r="B76" s="11" t="str">
        <x:v>一年</x:v>
      </x:c>
      <x:c r="C76" s="11" t="str">
        <x:v>悲观</x:v>
      </x:c>
      <x:c r="D76" s="11"/>
      <x:c r="E76" s="11"/>
      <x:c r="F76" s="11"/>
      <x:c r="G76" s="11"/>
      <x:c r="H76" s="16" t="n">
        <x:v>0.2</x:v>
      </x:c>
      <x:c r="I76" s="16" t="n">
        <x:v>-0.5</x:v>
      </x:c>
      <x:c r="J76" s="16" t="n">
        <x:v>17.3</x:v>
      </x:c>
      <x:c r="K76" s="16" t="n">
        <x:v>92</x:v>
      </x:c>
      <x:c r="L76" s="16" t="n">
        <x:v>0.034</x:v>
      </x:c>
      <x:c r="M76" s="16" t="n">
        <x:v>0</x:v>
      </x:c>
      <x:c r="N76" t="str">
        <x:v>USD</x:v>
      </x:c>
    </x:row>
    <x:row r="77" ht="23" customHeight="1">
      <x:c r="A77" s="11" t="str">
        <x:v>00992.HK</x:v>
      </x:c>
      <x:c r="B77" s="11" t="str">
        <x:v>一年</x:v>
      </x:c>
      <x:c r="C77" s="11" t="str">
        <x:v>基准</x:v>
      </x:c>
      <x:c r="D77" s="11"/>
      <x:c r="E77" s="11"/>
      <x:c r="F77" s="11"/>
      <x:c r="G77" s="11"/>
      <x:c r="H77" s="16" t="n">
        <x:v>0.2</x:v>
      </x:c>
      <x:c r="I77" s="16" t="n">
        <x:v>-0.42</x:v>
      </x:c>
      <x:c r="J77" s="16" t="n">
        <x:v>16.4</x:v>
      </x:c>
      <x:c r="K77" s="16" t="n">
        <x:v>125</x:v>
      </x:c>
      <x:c r="L77" s="16" t="n">
        <x:v>0.06999999999999999</x:v>
      </x:c>
      <x:c r="M77" s="16" t="n">
        <x:v>0</x:v>
      </x:c>
      <x:c r="N77" t="str">
        <x:v>USD</x:v>
      </x:c>
    </x:row>
    <x:row r="78" ht="23" customHeight="1">
      <x:c r="A78" s="11" t="str">
        <x:v>00992.HK</x:v>
      </x:c>
      <x:c r="B78" s="11" t="str">
        <x:v>一年</x:v>
      </x:c>
      <x:c r="C78" s="11" t="str">
        <x:v>乐观</x:v>
      </x:c>
      <x:c r="D78" s="11"/>
      <x:c r="E78" s="11"/>
      <x:c r="F78" s="11"/>
      <x:c r="G78" s="11"/>
      <x:c r="H78" s="16" t="n">
        <x:v>0.2</x:v>
      </x:c>
      <x:c r="I78" s="16" t="n">
        <x:v>-0.35</x:v>
      </x:c>
      <x:c r="J78" s="16" t="n">
        <x:v>15.9</x:v>
      </x:c>
      <x:c r="K78" s="16" t="n">
        <x:v>150</x:v>
      </x:c>
      <x:c r="L78" s="16" t="n">
        <x:v>0.074</x:v>
      </x:c>
      <x:c r="M78" s="16" t="n">
        <x:v>0</x:v>
      </x:c>
      <x:c r="N78" t="str">
        <x:v>USD</x:v>
      </x:c>
    </x:row>
    <x:row r="79" ht="23" customHeight="1">
      <x:c r="A79" s="11" t="str">
        <x:v>00992.HK</x:v>
      </x:c>
      <x:c r="B79" s="11" t="str">
        <x:v>三年</x:v>
      </x:c>
      <x:c r="C79" s="11" t="str">
        <x:v>活动输入</x:v>
      </x:c>
      <x:c r="D79" s="11" t="str">
        <x:f>CHOOSE('假设'!$B$3,D80,D81,D82)</x:f>
      </x:c>
      <x:c r="E79" s="11" t="str">
        <x:f>CHOOSE('假设'!$B$3,E80,E81,E82)</x:f>
      </x:c>
      <x:c r="F79" s="11" t="str">
        <x:f>CHOOSE('假设'!$B$3,F80,F81,F82)</x:f>
      </x:c>
      <x:c r="G79" s="11" t="str">
        <x:f>CHOOSE('假设'!$B$3,G80,G81,G82)</x:f>
      </x:c>
      <x:c r="H79" s="11" t="n">
        <x:f>CHOOSE('假设'!$B$3,H80,H81,H82)</x:f>
        <x:v>0.2</x:v>
      </x:c>
      <x:c r="I79" s="11" t="n">
        <x:f>CHOOSE('假设'!$B$3,I80,I81,I82)</x:f>
        <x:v>-0.5</x:v>
      </x:c>
      <x:c r="J79" s="11" t="n">
        <x:f>CHOOSE('假设'!$B$3,J80,J81,J82)</x:f>
        <x:v>16.6</x:v>
      </x:c>
      <x:c r="K79" s="11" t="n">
        <x:f>CHOOSE('假设'!$B$3,K80,K81,K82)</x:f>
        <x:v>170</x:v>
      </x:c>
      <x:c r="L79" s="11" t="n">
        <x:f>CHOOSE('假设'!$B$3,L80,L81,L82)</x:f>
        <x:v>0.065</x:v>
      </x:c>
      <x:c r="M79" s="11" t="n">
        <x:f>CHOOSE('假设'!$B$3,M80,M81,M82)</x:f>
        <x:v>0</x:v>
      </x:c>
      <x:c r="N79" t="str">
        <x:v>USD</x:v>
      </x:c>
    </x:row>
    <x:row r="80" ht="23" customHeight="1">
      <x:c r="A80" s="11" t="str">
        <x:v>00992.HK</x:v>
      </x:c>
      <x:c r="B80" s="11" t="str">
        <x:v>三年</x:v>
      </x:c>
      <x:c r="C80" s="11" t="str">
        <x:v>悲观</x:v>
      </x:c>
      <x:c r="D80" s="11"/>
      <x:c r="E80" s="11"/>
      <x:c r="F80" s="11"/>
      <x:c r="G80" s="11"/>
      <x:c r="H80" s="16" t="n">
        <x:v>0.2</x:v>
      </x:c>
      <x:c r="I80" s="16" t="n">
        <x:v>-0.6</x:v>
      </x:c>
      <x:c r="J80" s="16" t="n">
        <x:v>18.2</x:v>
      </x:c>
      <x:c r="K80" s="16" t="n">
        <x:v>98</x:v>
      </x:c>
      <x:c r="L80" s="16" t="n">
        <x:v>0.033</x:v>
      </x:c>
      <x:c r="M80" s="16" t="n">
        <x:v>0</x:v>
      </x:c>
      <x:c r="N80" t="str">
        <x:v>USD</x:v>
      </x:c>
    </x:row>
    <x:row r="81" ht="23" customHeight="1">
      <x:c r="A81" s="11" t="str">
        <x:v>00992.HK</x:v>
      </x:c>
      <x:c r="B81" s="11" t="str">
        <x:v>三年</x:v>
      </x:c>
      <x:c r="C81" s="11" t="str">
        <x:v>基准</x:v>
      </x:c>
      <x:c r="D81" s="11"/>
      <x:c r="E81" s="11"/>
      <x:c r="F81" s="11"/>
      <x:c r="G81" s="11"/>
      <x:c r="H81" s="16" t="n">
        <x:v>0.2</x:v>
      </x:c>
      <x:c r="I81" s="16" t="n">
        <x:v>-0.5</x:v>
      </x:c>
      <x:c r="J81" s="16" t="n">
        <x:v>16.6</x:v>
      </x:c>
      <x:c r="K81" s="16" t="n">
        <x:v>170</x:v>
      </x:c>
      <x:c r="L81" s="16" t="n">
        <x:v>0.065</x:v>
      </x:c>
      <x:c r="M81" s="16" t="n">
        <x:v>0</x:v>
      </x:c>
      <x:c r="N81" t="str">
        <x:v>USD</x:v>
      </x:c>
    </x:row>
    <x:row r="82" ht="23" customHeight="1">
      <x:c r="A82" s="11" t="str">
        <x:v>00992.HK</x:v>
      </x:c>
      <x:c r="B82" s="11" t="str">
        <x:v>三年</x:v>
      </x:c>
      <x:c r="C82" s="11" t="str">
        <x:v>乐观</x:v>
      </x:c>
      <x:c r="D82" s="11"/>
      <x:c r="E82" s="11"/>
      <x:c r="F82" s="11"/>
      <x:c r="G82" s="11"/>
      <x:c r="H82" s="16" t="n">
        <x:v>0.2</x:v>
      </x:c>
      <x:c r="I82" s="16" t="n">
        <x:v>-0.4</x:v>
      </x:c>
      <x:c r="J82" s="16" t="n">
        <x:v>15.9</x:v>
      </x:c>
      <x:c r="K82" s="16" t="n">
        <x:v>235</x:v>
      </x:c>
      <x:c r="L82" s="16" t="n">
        <x:v>0.082</x:v>
      </x:c>
      <x:c r="M82" s="16" t="n">
        <x:v>0</x:v>
      </x:c>
      <x:c r="N82" t="str">
        <x:v>USD</x:v>
      </x:c>
    </x:row>
    <x:row r="83" ht="23" customHeight="1">
      <x:c r="A83" s="11" t="str">
        <x:v>00992.HK</x:v>
      </x:c>
      <x:c r="B83" s="11" t="str">
        <x:v>五年</x:v>
      </x:c>
      <x:c r="C83" s="11" t="str">
        <x:v>活动输入</x:v>
      </x:c>
      <x:c r="D83" s="11" t="str">
        <x:f>CHOOSE('假设'!$B$3,D84,D85,D86)</x:f>
      </x:c>
      <x:c r="E83" s="11" t="str">
        <x:f>CHOOSE('假设'!$B$3,E84,E85,E86)</x:f>
      </x:c>
      <x:c r="F83" s="11" t="str">
        <x:f>CHOOSE('假设'!$B$3,F84,F85,F86)</x:f>
      </x:c>
      <x:c r="G83" s="11" t="str">
        <x:f>CHOOSE('假设'!$B$3,G84,G85,G86)</x:f>
      </x:c>
      <x:c r="H83" s="11" t="n">
        <x:f>CHOOSE('假设'!$B$3,H84,H85,H86)</x:f>
        <x:v>0.2</x:v>
      </x:c>
      <x:c r="I83" s="11" t="n">
        <x:f>CHOOSE('假设'!$B$3,I84,I85,I86)</x:f>
        <x:v>-0.55</x:v>
      </x:c>
      <x:c r="J83" s="11" t="n">
        <x:f>CHOOSE('假设'!$B$3,J84,J85,J86)</x:f>
        <x:v>16.9</x:v>
      </x:c>
      <x:c r="K83" s="11" t="n">
        <x:f>CHOOSE('假设'!$B$3,K84,K85,K86)</x:f>
        <x:v>210</x:v>
      </x:c>
      <x:c r="L83" s="11" t="n">
        <x:f>CHOOSE('假设'!$B$3,L84,L85,L86)</x:f>
        <x:v>0.068</x:v>
      </x:c>
      <x:c r="M83" s="11" t="n">
        <x:f>CHOOSE('假设'!$B$3,M84,M85,M86)</x:f>
        <x:v>0</x:v>
      </x:c>
      <x:c r="N83" t="str">
        <x:v>USD</x:v>
      </x:c>
    </x:row>
    <x:row r="84" ht="23" customHeight="1">
      <x:c r="A84" s="11" t="str">
        <x:v>00992.HK</x:v>
      </x:c>
      <x:c r="B84" s="11" t="str">
        <x:v>五年</x:v>
      </x:c>
      <x:c r="C84" s="11" t="str">
        <x:v>悲观</x:v>
      </x:c>
      <x:c r="D84" s="11"/>
      <x:c r="E84" s="11"/>
      <x:c r="F84" s="11"/>
      <x:c r="G84" s="11"/>
      <x:c r="H84" s="16" t="n">
        <x:v>0.2</x:v>
      </x:c>
      <x:c r="I84" s="16" t="n">
        <x:v>-0.7</x:v>
      </x:c>
      <x:c r="J84" s="16" t="n">
        <x:v>19.2</x:v>
      </x:c>
      <x:c r="K84" s="16" t="n">
        <x:v>103</x:v>
      </x:c>
      <x:c r="L84" s="16" t="n">
        <x:v>0.032</x:v>
      </x:c>
      <x:c r="M84" s="16" t="n">
        <x:v>0</x:v>
      </x:c>
      <x:c r="N84" t="str">
        <x:v>USD</x:v>
      </x:c>
    </x:row>
    <x:row r="85" ht="23" customHeight="1">
      <x:c r="A85" s="11" t="str">
        <x:v>00992.HK</x:v>
      </x:c>
      <x:c r="B85" s="11" t="str">
        <x:v>五年</x:v>
      </x:c>
      <x:c r="C85" s="11" t="str">
        <x:v>基准</x:v>
      </x:c>
      <x:c r="D85" s="11"/>
      <x:c r="E85" s="11"/>
      <x:c r="F85" s="11"/>
      <x:c r="G85" s="11"/>
      <x:c r="H85" s="16" t="n">
        <x:v>0.2</x:v>
      </x:c>
      <x:c r="I85" s="16" t="n">
        <x:v>-0.55</x:v>
      </x:c>
      <x:c r="J85" s="16" t="n">
        <x:v>16.9</x:v>
      </x:c>
      <x:c r="K85" s="16" t="n">
        <x:v>210</x:v>
      </x:c>
      <x:c r="L85" s="16" t="n">
        <x:v>0.068</x:v>
      </x:c>
      <x:c r="M85" s="16" t="n">
        <x:v>0</x:v>
      </x:c>
      <x:c r="N85" t="str">
        <x:v>USD</x:v>
      </x:c>
    </x:row>
    <x:row r="86" ht="23" customHeight="1">
      <x:c r="A86" s="11" t="str">
        <x:v>00992.HK</x:v>
      </x:c>
      <x:c r="B86" s="11" t="str">
        <x:v>五年</x:v>
      </x:c>
      <x:c r="C86" s="11" t="str">
        <x:v>乐观</x:v>
      </x:c>
      <x:c r="D86" s="11"/>
      <x:c r="E86" s="11"/>
      <x:c r="F86" s="11"/>
      <x:c r="G86" s="11"/>
      <x:c r="H86" s="16" t="n">
        <x:v>0.2</x:v>
      </x:c>
      <x:c r="I86" s="16" t="n">
        <x:v>-0.4</x:v>
      </x:c>
      <x:c r="J86" s="16" t="n">
        <x:v>16</x:v>
      </x:c>
      <x:c r="K86" s="16" t="n">
        <x:v>320</x:v>
      </x:c>
      <x:c r="L86" s="16" t="n">
        <x:v>0.086</x:v>
      </x:c>
      <x:c r="M86" s="16" t="n">
        <x:v>0</x:v>
      </x:c>
      <x:c r="N86" t="str">
        <x:v>USD</x:v>
      </x:c>
    </x:row>
    <x:row r="87" ht="23" customHeight="1">
      <x:c r="A87" s="11" t="str">
        <x:v>09961.HK</x:v>
      </x:c>
      <x:c r="B87" s="11" t="str">
        <x:v>2026年底</x:v>
      </x:c>
      <x:c r="C87" s="11" t="str">
        <x:v>活动输入</x:v>
      </x:c>
      <x:c r="D87" s="11" t="str">
        <x:f>CHOOSE('假设'!$B$3,D88,D89,D90)</x:f>
      </x:c>
      <x:c r="E87" s="11" t="str">
        <x:f>CHOOSE('假设'!$B$3,E88,E89,E90)</x:f>
      </x:c>
      <x:c r="F87" s="11" t="str">
        <x:f>CHOOSE('假设'!$B$3,F88,F89,F90)</x:f>
      </x:c>
      <x:c r="G87" s="11" t="str">
        <x:f>CHOOSE('假设'!$B$3,G88,G89,G90)</x:f>
      </x:c>
      <x:c r="H87" s="11" t="n">
        <x:f>CHOOSE('假设'!$B$3,H88,H89,H90)</x:f>
        <x:v>0.2</x:v>
      </x:c>
      <x:c r="I87" s="11" t="n">
        <x:f>CHOOSE('假设'!$B$3,I88,I89,I90)</x:f>
        <x:v>1.5</x:v>
      </x:c>
      <x:c r="J87" s="11" t="n">
        <x:f>CHOOSE('假设'!$B$3,J88,J89,J90)</x:f>
        <x:v>0.66</x:v>
      </x:c>
      <x:c r="K87" s="11" t="n">
        <x:f>CHOOSE('假设'!$B$3,K88,K89,K90)</x:f>
        <x:v>67</x:v>
      </x:c>
      <x:c r="L87" s="11" t="n">
        <x:f>CHOOSE('假设'!$B$3,L88,L89,L90)</x:f>
        <x:v>0.28</x:v>
      </x:c>
      <x:c r="M87" s="11" t="n">
        <x:f>CHOOSE('假设'!$B$3,M88,M89,M90)</x:f>
        <x:v>5.18</x:v>
      </x:c>
      <x:c r="N87" t="str">
        <x:v>CNY</x:v>
      </x:c>
    </x:row>
    <x:row r="88" ht="23" customHeight="1">
      <x:c r="A88" s="11" t="str">
        <x:v>09961.HK</x:v>
      </x:c>
      <x:c r="B88" s="11" t="str">
        <x:v>2026年底</x:v>
      </x:c>
      <x:c r="C88" s="11" t="str">
        <x:v>悲观</x:v>
      </x:c>
      <x:c r="D88" s="11"/>
      <x:c r="E88" s="11"/>
      <x:c r="F88" s="11"/>
      <x:c r="G88" s="11"/>
      <x:c r="H88" s="16" t="n">
        <x:v>0.2</x:v>
      </x:c>
      <x:c r="I88" s="16" t="n">
        <x:v>0.5</x:v>
      </x:c>
      <x:c r="J88" s="16" t="n">
        <x:v>0.69</x:v>
      </x:c>
      <x:c r="K88" s="16" t="n">
        <x:v>60</x:v>
      </x:c>
      <x:c r="L88" s="16" t="n">
        <x:v>0.23</x:v>
      </x:c>
      <x:c r="M88" s="16" t="n">
        <x:v>5.18</x:v>
      </x:c>
      <x:c r="N88" t="str">
        <x:v>CNY</x:v>
      </x:c>
    </x:row>
    <x:row r="89" ht="23" customHeight="1">
      <x:c r="A89" s="11" t="str">
        <x:v>09961.HK</x:v>
      </x:c>
      <x:c r="B89" s="11" t="str">
        <x:v>2026年底</x:v>
      </x:c>
      <x:c r="C89" s="11" t="str">
        <x:v>基准</x:v>
      </x:c>
      <x:c r="D89" s="11"/>
      <x:c r="E89" s="11"/>
      <x:c r="F89" s="11"/>
      <x:c r="G89" s="11"/>
      <x:c r="H89" s="16" t="n">
        <x:v>0.2</x:v>
      </x:c>
      <x:c r="I89" s="16" t="n">
        <x:v>1.5</x:v>
      </x:c>
      <x:c r="J89" s="16" t="n">
        <x:v>0.66</x:v>
      </x:c>
      <x:c r="K89" s="16" t="n">
        <x:v>67</x:v>
      </x:c>
      <x:c r="L89" s="16" t="n">
        <x:v>0.28</x:v>
      </x:c>
      <x:c r="M89" s="16" t="n">
        <x:v>5.18</x:v>
      </x:c>
      <x:c r="N89" t="str">
        <x:v>CNY</x:v>
      </x:c>
    </x:row>
    <x:row r="90" ht="23" customHeight="1">
      <x:c r="A90" s="11" t="str">
        <x:v>09961.HK</x:v>
      </x:c>
      <x:c r="B90" s="11" t="str">
        <x:v>2026年底</x:v>
      </x:c>
      <x:c r="C90" s="11" t="str">
        <x:v>乐观</x:v>
      </x:c>
      <x:c r="D90" s="11"/>
      <x:c r="E90" s="11"/>
      <x:c r="F90" s="11"/>
      <x:c r="G90" s="11"/>
      <x:c r="H90" s="16" t="n">
        <x:v>0.2</x:v>
      </x:c>
      <x:c r="I90" s="16" t="n">
        <x:v>2</x:v>
      </x:c>
      <x:c r="J90" s="16" t="n">
        <x:v>0.65</x:v>
      </x:c>
      <x:c r="K90" s="16" t="n">
        <x:v>72</x:v>
      </x:c>
      <x:c r="L90" s="16" t="n">
        <x:v>0.33</x:v>
      </x:c>
      <x:c r="M90" s="16" t="n">
        <x:v>5.18</x:v>
      </x:c>
      <x:c r="N90" t="str">
        <x:v>CNY</x:v>
      </x:c>
    </x:row>
    <x:row r="91" ht="23" customHeight="1">
      <x:c r="A91" s="11" t="str">
        <x:v>09961.HK</x:v>
      </x:c>
      <x:c r="B91" s="11" t="str">
        <x:v>半年</x:v>
      </x:c>
      <x:c r="C91" s="11" t="str">
        <x:v>活动输入</x:v>
      </x:c>
      <x:c r="D91" s="11" t="str">
        <x:f>CHOOSE('假设'!$B$3,D92,D93,D94)</x:f>
      </x:c>
      <x:c r="E91" s="11" t="str">
        <x:f>CHOOSE('假设'!$B$3,E92,E93,E94)</x:f>
      </x:c>
      <x:c r="F91" s="11" t="str">
        <x:f>CHOOSE('假设'!$B$3,F92,F93,F94)</x:f>
      </x:c>
      <x:c r="G91" s="11" t="str">
        <x:f>CHOOSE('假设'!$B$3,G92,G93,G94)</x:f>
      </x:c>
      <x:c r="H91" s="11" t="n">
        <x:f>CHOOSE('假设'!$B$3,H92,H93,H94)</x:f>
        <x:v>0.2</x:v>
      </x:c>
      <x:c r="I91" s="11" t="n">
        <x:f>CHOOSE('假设'!$B$3,I92,I93,I94)</x:f>
        <x:v>1.5</x:v>
      </x:c>
      <x:c r="J91" s="11" t="n">
        <x:f>CHOOSE('假设'!$B$3,J92,J93,J94)</x:f>
        <x:v>0.655</x:v>
      </x:c>
      <x:c r="K91" s="11" t="n">
        <x:f>CHOOSE('假设'!$B$3,K92,K93,K94)</x:f>
        <x:v>70</x:v>
      </x:c>
      <x:c r="L91" s="11" t="n">
        <x:f>CHOOSE('假设'!$B$3,L92,L93,L94)</x:f>
        <x:v>0.29</x:v>
      </x:c>
      <x:c r="M91" s="11" t="n">
        <x:f>CHOOSE('假设'!$B$3,M92,M93,M94)</x:f>
        <x:v>5.18</x:v>
      </x:c>
      <x:c r="N91" t="str">
        <x:v>CNY</x:v>
      </x:c>
    </x:row>
    <x:row r="92" ht="23" customHeight="1">
      <x:c r="A92" s="11" t="str">
        <x:v>09961.HK</x:v>
      </x:c>
      <x:c r="B92" s="11" t="str">
        <x:v>半年</x:v>
      </x:c>
      <x:c r="C92" s="11" t="str">
        <x:v>悲观</x:v>
      </x:c>
      <x:c r="D92" s="11"/>
      <x:c r="E92" s="11"/>
      <x:c r="F92" s="11"/>
      <x:c r="G92" s="11"/>
      <x:c r="H92" s="16" t="n">
        <x:v>0.2</x:v>
      </x:c>
      <x:c r="I92" s="16" t="n">
        <x:v>0.5</x:v>
      </x:c>
      <x:c r="J92" s="16" t="n">
        <x:v>0.69</x:v>
      </x:c>
      <x:c r="K92" s="16" t="n">
        <x:v>60</x:v>
      </x:c>
      <x:c r="L92" s="16" t="n">
        <x:v>0.23</x:v>
      </x:c>
      <x:c r="M92" s="16" t="n">
        <x:v>5.18</x:v>
      </x:c>
      <x:c r="N92" t="str">
        <x:v>CNY</x:v>
      </x:c>
    </x:row>
    <x:row r="93" ht="23" customHeight="1">
      <x:c r="A93" s="11" t="str">
        <x:v>09961.HK</x:v>
      </x:c>
      <x:c r="B93" s="11" t="str">
        <x:v>半年</x:v>
      </x:c>
      <x:c r="C93" s="11" t="str">
        <x:v>基准</x:v>
      </x:c>
      <x:c r="D93" s="11"/>
      <x:c r="E93" s="11"/>
      <x:c r="F93" s="11"/>
      <x:c r="G93" s="11"/>
      <x:c r="H93" s="16" t="n">
        <x:v>0.2</x:v>
      </x:c>
      <x:c r="I93" s="16" t="n">
        <x:v>1.5</x:v>
      </x:c>
      <x:c r="J93" s="16" t="n">
        <x:v>0.655</x:v>
      </x:c>
      <x:c r="K93" s="16" t="n">
        <x:v>70</x:v>
      </x:c>
      <x:c r="L93" s="16" t="n">
        <x:v>0.29</x:v>
      </x:c>
      <x:c r="M93" s="16" t="n">
        <x:v>5.18</x:v>
      </x:c>
      <x:c r="N93" t="str">
        <x:v>CNY</x:v>
      </x:c>
    </x:row>
    <x:row r="94" ht="23" customHeight="1">
      <x:c r="A94" s="11" t="str">
        <x:v>09961.HK</x:v>
      </x:c>
      <x:c r="B94" s="11" t="str">
        <x:v>半年</x:v>
      </x:c>
      <x:c r="C94" s="11" t="str">
        <x:v>乐观</x:v>
      </x:c>
      <x:c r="D94" s="11"/>
      <x:c r="E94" s="11"/>
      <x:c r="F94" s="11"/>
      <x:c r="G94" s="11"/>
      <x:c r="H94" s="16" t="n">
        <x:v>0.2</x:v>
      </x:c>
      <x:c r="I94" s="16" t="n">
        <x:v>2</x:v>
      </x:c>
      <x:c r="J94" s="16" t="n">
        <x:v>0.64</x:v>
      </x:c>
      <x:c r="K94" s="16" t="n">
        <x:v>78</x:v>
      </x:c>
      <x:c r="L94" s="16" t="n">
        <x:v>0.34</x:v>
      </x:c>
      <x:c r="M94" s="16" t="n">
        <x:v>5.18</x:v>
      </x:c>
      <x:c r="N94" t="str">
        <x:v>CNY</x:v>
      </x:c>
    </x:row>
    <x:row r="95" ht="23" customHeight="1">
      <x:c r="A95" s="11" t="str">
        <x:v>09961.HK</x:v>
      </x:c>
      <x:c r="B95" s="11" t="str">
        <x:v>一年</x:v>
      </x:c>
      <x:c r="C95" s="11" t="str">
        <x:v>活动输入</x:v>
      </x:c>
      <x:c r="D95" s="11" t="str">
        <x:f>CHOOSE('假设'!$B$3,D96,D97,D98)</x:f>
      </x:c>
      <x:c r="E95" s="11" t="str">
        <x:f>CHOOSE('假设'!$B$3,E96,E97,E98)</x:f>
      </x:c>
      <x:c r="F95" s="11" t="str">
        <x:f>CHOOSE('假设'!$B$3,F96,F97,F98)</x:f>
      </x:c>
      <x:c r="G95" s="11" t="str">
        <x:f>CHOOSE('假设'!$B$3,G96,G97,G98)</x:f>
      </x:c>
      <x:c r="H95" s="11" t="n">
        <x:f>CHOOSE('假设'!$B$3,H96,H97,H98)</x:f>
        <x:v>0.2</x:v>
      </x:c>
      <x:c r="I95" s="11" t="n">
        <x:f>CHOOSE('假设'!$B$3,I96,I97,I98)</x:f>
        <x:v>1.5</x:v>
      </x:c>
      <x:c r="J95" s="11" t="n">
        <x:f>CHOOSE('假设'!$B$3,J96,J97,J98)</x:f>
        <x:v>0.65</x:v>
      </x:c>
      <x:c r="K95" s="11" t="n">
        <x:f>CHOOSE('假设'!$B$3,K96,K97,K98)</x:f>
        <x:v>75</x:v>
      </x:c>
      <x:c r="L95" s="11" t="n">
        <x:f>CHOOSE('假设'!$B$3,L96,L97,L98)</x:f>
        <x:v>0.3</x:v>
      </x:c>
      <x:c r="M95" s="11" t="n">
        <x:f>CHOOSE('假设'!$B$3,M96,M97,M98)</x:f>
        <x:v>5.18</x:v>
      </x:c>
      <x:c r="N95" t="str">
        <x:v>CNY</x:v>
      </x:c>
    </x:row>
    <x:row r="96" ht="23" customHeight="1">
      <x:c r="A96" s="11" t="str">
        <x:v>09961.HK</x:v>
      </x:c>
      <x:c r="B96" s="11" t="str">
        <x:v>一年</x:v>
      </x:c>
      <x:c r="C96" s="11" t="str">
        <x:v>悲观</x:v>
      </x:c>
      <x:c r="D96" s="11"/>
      <x:c r="E96" s="11"/>
      <x:c r="F96" s="11"/>
      <x:c r="G96" s="11"/>
      <x:c r="H96" s="16" t="n">
        <x:v>0.2</x:v>
      </x:c>
      <x:c r="I96" s="16" t="n">
        <x:v>0.5</x:v>
      </x:c>
      <x:c r="J96" s="16" t="n">
        <x:v>0.7</x:v>
      </x:c>
      <x:c r="K96" s="16" t="n">
        <x:v>62</x:v>
      </x:c>
      <x:c r="L96" s="16" t="n">
        <x:v>0.23</x:v>
      </x:c>
      <x:c r="M96" s="16" t="n">
        <x:v>5.18</x:v>
      </x:c>
      <x:c r="N96" t="str">
        <x:v>CNY</x:v>
      </x:c>
    </x:row>
    <x:row r="97" ht="23" customHeight="1">
      <x:c r="A97" s="11" t="str">
        <x:v>09961.HK</x:v>
      </x:c>
      <x:c r="B97" s="11" t="str">
        <x:v>一年</x:v>
      </x:c>
      <x:c r="C97" s="11" t="str">
        <x:v>基准</x:v>
      </x:c>
      <x:c r="D97" s="11"/>
      <x:c r="E97" s="11"/>
      <x:c r="F97" s="11"/>
      <x:c r="G97" s="11"/>
      <x:c r="H97" s="16" t="n">
        <x:v>0.2</x:v>
      </x:c>
      <x:c r="I97" s="16" t="n">
        <x:v>1.5</x:v>
      </x:c>
      <x:c r="J97" s="16" t="n">
        <x:v>0.65</x:v>
      </x:c>
      <x:c r="K97" s="16" t="n">
        <x:v>75</x:v>
      </x:c>
      <x:c r="L97" s="16" t="n">
        <x:v>0.3</x:v>
      </x:c>
      <x:c r="M97" s="16" t="n">
        <x:v>5.18</x:v>
      </x:c>
      <x:c r="N97" t="str">
        <x:v>CNY</x:v>
      </x:c>
    </x:row>
    <x:row r="98" ht="23" customHeight="1">
      <x:c r="A98" s="11" t="str">
        <x:v>09961.HK</x:v>
      </x:c>
      <x:c r="B98" s="11" t="str">
        <x:v>一年</x:v>
      </x:c>
      <x:c r="C98" s="11" t="str">
        <x:v>乐观</x:v>
      </x:c>
      <x:c r="D98" s="11"/>
      <x:c r="E98" s="11"/>
      <x:c r="F98" s="11"/>
      <x:c r="G98" s="11"/>
      <x:c r="H98" s="16" t="n">
        <x:v>0.2</x:v>
      </x:c>
      <x:c r="I98" s="16" t="n">
        <x:v>2</x:v>
      </x:c>
      <x:c r="J98" s="16" t="n">
        <x:v>0.63</x:v>
      </x:c>
      <x:c r="K98" s="16" t="n">
        <x:v>85</x:v>
      </x:c>
      <x:c r="L98" s="16" t="n">
        <x:v>0.35</x:v>
      </x:c>
      <x:c r="M98" s="16" t="n">
        <x:v>5.18</x:v>
      </x:c>
      <x:c r="N98" t="str">
        <x:v>CNY</x:v>
      </x:c>
    </x:row>
    <x:row r="99" ht="23" customHeight="1">
      <x:c r="A99" s="11" t="str">
        <x:v>09961.HK</x:v>
      </x:c>
      <x:c r="B99" s="11" t="str">
        <x:v>三年</x:v>
      </x:c>
      <x:c r="C99" s="11" t="str">
        <x:v>活动输入</x:v>
      </x:c>
      <x:c r="D99" s="11" t="str">
        <x:f>CHOOSE('假设'!$B$3,D100,D101,D102)</x:f>
      </x:c>
      <x:c r="E99" s="11" t="str">
        <x:f>CHOOSE('假设'!$B$3,E100,E101,E102)</x:f>
      </x:c>
      <x:c r="F99" s="11" t="str">
        <x:f>CHOOSE('假设'!$B$3,F100,F101,F102)</x:f>
      </x:c>
      <x:c r="G99" s="11" t="str">
        <x:f>CHOOSE('假设'!$B$3,G100,G101,G102)</x:f>
      </x:c>
      <x:c r="H99" s="11" t="n">
        <x:f>CHOOSE('假设'!$B$3,H100,H101,H102)</x:f>
        <x:v>0.2</x:v>
      </x:c>
      <x:c r="I99" s="11" t="n">
        <x:f>CHOOSE('假设'!$B$3,I100,I101,I102)</x:f>
        <x:v>1.5</x:v>
      </x:c>
      <x:c r="J99" s="11" t="n">
        <x:f>CHOOSE('假设'!$B$3,J100,J101,J102)</x:f>
        <x:v>0.64</x:v>
      </x:c>
      <x:c r="K99" s="11" t="n">
        <x:f>CHOOSE('假设'!$B$3,K100,K101,K102)</x:f>
        <x:v>95</x:v>
      </x:c>
      <x:c r="L99" s="11" t="n">
        <x:f>CHOOSE('假设'!$B$3,L100,L101,L102)</x:f>
        <x:v>0.31</x:v>
      </x:c>
      <x:c r="M99" s="11" t="n">
        <x:f>CHOOSE('假设'!$B$3,M100,M101,M102)</x:f>
        <x:v>5.18</x:v>
      </x:c>
      <x:c r="N99" t="str">
        <x:v>CNY</x:v>
      </x:c>
    </x:row>
    <x:row r="100" ht="23" customHeight="1">
      <x:c r="A100" s="11" t="str">
        <x:v>09961.HK</x:v>
      </x:c>
      <x:c r="B100" s="11" t="str">
        <x:v>三年</x:v>
      </x:c>
      <x:c r="C100" s="11" t="str">
        <x:v>悲观</x:v>
      </x:c>
      <x:c r="D100" s="11"/>
      <x:c r="E100" s="11"/>
      <x:c r="F100" s="11"/>
      <x:c r="G100" s="11"/>
      <x:c r="H100" s="16" t="n">
        <x:v>0.2</x:v>
      </x:c>
      <x:c r="I100" s="16" t="n">
        <x:v>0.4</x:v>
      </x:c>
      <x:c r="J100" s="16" t="n">
        <x:v>0.72</x:v>
      </x:c>
      <x:c r="K100" s="16" t="n">
        <x:v>64</x:v>
      </x:c>
      <x:c r="L100" s="16" t="n">
        <x:v>0.22</x:v>
      </x:c>
      <x:c r="M100" s="16" t="n">
        <x:v>5.18</x:v>
      </x:c>
      <x:c r="N100" t="str">
        <x:v>CNY</x:v>
      </x:c>
    </x:row>
    <x:row r="101" ht="23" customHeight="1">
      <x:c r="A101" s="11" t="str">
        <x:v>09961.HK</x:v>
      </x:c>
      <x:c r="B101" s="11" t="str">
        <x:v>三年</x:v>
      </x:c>
      <x:c r="C101" s="11" t="str">
        <x:v>基准</x:v>
      </x:c>
      <x:c r="D101" s="11"/>
      <x:c r="E101" s="11"/>
      <x:c r="F101" s="11"/>
      <x:c r="G101" s="11"/>
      <x:c r="H101" s="16" t="n">
        <x:v>0.2</x:v>
      </x:c>
      <x:c r="I101" s="16" t="n">
        <x:v>1.5</x:v>
      </x:c>
      <x:c r="J101" s="16" t="n">
        <x:v>0.64</x:v>
      </x:c>
      <x:c r="K101" s="16" t="n">
        <x:v>95</x:v>
      </x:c>
      <x:c r="L101" s="16" t="n">
        <x:v>0.31</x:v>
      </x:c>
      <x:c r="M101" s="16" t="n">
        <x:v>5.18</x:v>
      </x:c>
      <x:c r="N101" t="str">
        <x:v>CNY</x:v>
      </x:c>
    </x:row>
    <x:row r="102" ht="23" customHeight="1">
      <x:c r="A102" s="11" t="str">
        <x:v>09961.HK</x:v>
      </x:c>
      <x:c r="B102" s="11" t="str">
        <x:v>三年</x:v>
      </x:c>
      <x:c r="C102" s="11" t="str">
        <x:v>乐观</x:v>
      </x:c>
      <x:c r="D102" s="11"/>
      <x:c r="E102" s="11"/>
      <x:c r="F102" s="11"/>
      <x:c r="G102" s="11"/>
      <x:c r="H102" s="16" t="n">
        <x:v>0.2</x:v>
      </x:c>
      <x:c r="I102" s="16" t="n">
        <x:v>2</x:v>
      </x:c>
      <x:c r="J102" s="16" t="n">
        <x:v>0.61</x:v>
      </x:c>
      <x:c r="K102" s="16" t="n">
        <x:v>128</x:v>
      </x:c>
      <x:c r="L102" s="16" t="n">
        <x:v>0.36</x:v>
      </x:c>
      <x:c r="M102" s="16" t="n">
        <x:v>5.18</x:v>
      </x:c>
      <x:c r="N102" t="str">
        <x:v>CNY</x:v>
      </x:c>
    </x:row>
    <x:row r="103" ht="23" customHeight="1">
      <x:c r="A103" s="11" t="str">
        <x:v>09961.HK</x:v>
      </x:c>
      <x:c r="B103" s="11" t="str">
        <x:v>五年</x:v>
      </x:c>
      <x:c r="C103" s="11" t="str">
        <x:v>活动输入</x:v>
      </x:c>
      <x:c r="D103" s="11" t="str">
        <x:f>CHOOSE('假设'!$B$3,D104,D105,D106)</x:f>
      </x:c>
      <x:c r="E103" s="11" t="str">
        <x:f>CHOOSE('假设'!$B$3,E104,E105,E106)</x:f>
      </x:c>
      <x:c r="F103" s="11" t="str">
        <x:f>CHOOSE('假设'!$B$3,F104,F105,F106)</x:f>
      </x:c>
      <x:c r="G103" s="11" t="str">
        <x:f>CHOOSE('假设'!$B$3,G104,G105,G106)</x:f>
      </x:c>
      <x:c r="H103" s="11" t="n">
        <x:f>CHOOSE('假设'!$B$3,H104,H105,H106)</x:f>
        <x:v>0.2</x:v>
      </x:c>
      <x:c r="I103" s="11" t="n">
        <x:f>CHOOSE('假设'!$B$3,I104,I105,I106)</x:f>
        <x:v>1.5</x:v>
      </x:c>
      <x:c r="J103" s="11" t="n">
        <x:f>CHOOSE('假设'!$B$3,J104,J105,J106)</x:f>
        <x:v>0.63</x:v>
      </x:c>
      <x:c r="K103" s="11" t="n">
        <x:f>CHOOSE('假设'!$B$3,K104,K105,K106)</x:f>
        <x:v>120</x:v>
      </x:c>
      <x:c r="L103" s="11" t="n">
        <x:f>CHOOSE('假设'!$B$3,L104,L105,L106)</x:f>
        <x:v>0.31</x:v>
      </x:c>
      <x:c r="M103" s="11" t="n">
        <x:f>CHOOSE('假设'!$B$3,M104,M105,M106)</x:f>
        <x:v>5.18</x:v>
      </x:c>
      <x:c r="N103" t="str">
        <x:v>CNY</x:v>
      </x:c>
    </x:row>
    <x:row r="104" ht="23" customHeight="1">
      <x:c r="A104" s="11" t="str">
        <x:v>09961.HK</x:v>
      </x:c>
      <x:c r="B104" s="11" t="str">
        <x:v>五年</x:v>
      </x:c>
      <x:c r="C104" s="11" t="str">
        <x:v>悲观</x:v>
      </x:c>
      <x:c r="D104" s="11"/>
      <x:c r="E104" s="11"/>
      <x:c r="F104" s="11"/>
      <x:c r="G104" s="11"/>
      <x:c r="H104" s="16" t="n">
        <x:v>0.2</x:v>
      </x:c>
      <x:c r="I104" s="16" t="n">
        <x:v>0.3</x:v>
      </x:c>
      <x:c r="J104" s="16" t="n">
        <x:v>0.75</x:v>
      </x:c>
      <x:c r="K104" s="16" t="n">
        <x:v>66</x:v>
      </x:c>
      <x:c r="L104" s="16" t="n">
        <x:v>0.2</x:v>
      </x:c>
      <x:c r="M104" s="16" t="n">
        <x:v>5.18</x:v>
      </x:c>
      <x:c r="N104" t="str">
        <x:v>CNY</x:v>
      </x:c>
    </x:row>
    <x:row r="105" ht="23" customHeight="1">
      <x:c r="A105" s="11" t="str">
        <x:v>09961.HK</x:v>
      </x:c>
      <x:c r="B105" s="11" t="str">
        <x:v>五年</x:v>
      </x:c>
      <x:c r="C105" s="11" t="str">
        <x:v>基准</x:v>
      </x:c>
      <x:c r="D105" s="11"/>
      <x:c r="E105" s="11"/>
      <x:c r="F105" s="11"/>
      <x:c r="G105" s="11"/>
      <x:c r="H105" s="16" t="n">
        <x:v>0.2</x:v>
      </x:c>
      <x:c r="I105" s="16" t="n">
        <x:v>1.5</x:v>
      </x:c>
      <x:c r="J105" s="16" t="n">
        <x:v>0.63</x:v>
      </x:c>
      <x:c r="K105" s="16" t="n">
        <x:v>120</x:v>
      </x:c>
      <x:c r="L105" s="16" t="n">
        <x:v>0.31</x:v>
      </x:c>
      <x:c r="M105" s="16" t="n">
        <x:v>5.18</x:v>
      </x:c>
      <x:c r="N105" t="str">
        <x:v>CNY</x:v>
      </x:c>
    </x:row>
    <x:row r="106" ht="23" customHeight="1">
      <x:c r="A106" s="11" t="str">
        <x:v>09961.HK</x:v>
      </x:c>
      <x:c r="B106" s="11" t="str">
        <x:v>五年</x:v>
      </x:c>
      <x:c r="C106" s="11" t="str">
        <x:v>乐观</x:v>
      </x:c>
      <x:c r="D106" s="11"/>
      <x:c r="E106" s="11"/>
      <x:c r="F106" s="11"/>
      <x:c r="G106" s="11"/>
      <x:c r="H106" s="16" t="n">
        <x:v>0.2</x:v>
      </x:c>
      <x:c r="I106" s="16" t="n">
        <x:v>2</x:v>
      </x:c>
      <x:c r="J106" s="16" t="n">
        <x:v>0.59</x:v>
      </x:c>
      <x:c r="K106" s="16" t="n">
        <x:v>180</x:v>
      </x:c>
      <x:c r="L106" s="16" t="n">
        <x:v>0.37</x:v>
      </x:c>
      <x:c r="M106" s="16" t="n">
        <x:v>5.18</x:v>
      </x:c>
      <x:c r="N106" t="str">
        <x:v>CNY</x:v>
      </x:c>
    </x:row>
    <x:row r="107" ht="23" customHeight="1">
      <x:c r="A107" s="11" t="str">
        <x:v>01810.HK</x:v>
      </x:c>
      <x:c r="B107" s="11" t="str">
        <x:v>2026年底</x:v>
      </x:c>
      <x:c r="C107" s="11" t="str">
        <x:v>活动输入·手机/汽车两分部</x:v>
      </x:c>
      <x:c r="D107" s="11" t="n">
        <x:f>CHOOSE('假设'!$B$3,D108,D109,D110)</x:f>
        <x:v>34</x:v>
      </x:c>
      <x:c r="E107" s="11" t="n">
        <x:f>CHOOSE('假设'!$B$3,E108,E109,E110)</x:f>
        <x:v>-6</x:v>
      </x:c>
      <x:c r="F107" s="11" t="n">
        <x:f>CHOOSE('假设'!$B$3,F108,F109,F110)</x:f>
        <x:v>0</x:v>
      </x:c>
      <x:c r="G107" s="11" t="n">
        <x:f>CHOOSE('假设'!$B$3,G108,G109,G110)</x:f>
        <x:v>0</x:v>
      </x:c>
      <x:c r="H107" s="11" t="n">
        <x:f>CHOOSE('假设'!$B$3,H108,H109,H110)</x:f>
        <x:v>0.2</x:v>
      </x:c>
      <x:c r="I107" s="11" t="n">
        <x:f>CHOOSE('假设'!$B$3,I108,I109,I110)</x:f>
        <x:v>3</x:v>
      </x:c>
      <x:c r="J107" s="11" t="n">
        <x:f>CHOOSE('假设'!$B$3,J108,J109,J110)</x:f>
        <x:v>26.5</x:v>
      </x:c>
      <x:c r="K107" s="11" t="str">
        <x:f>CHOOSE('假设'!$B$3,K108,K109,K110)</x:f>
      </x:c>
      <x:c r="L107" s="11" t="str">
        <x:f>CHOOSE('假设'!$B$3,L108,L109,L110)</x:f>
      </x:c>
      <x:c r="M107" s="11" t="n">
        <x:f>CHOOSE('假设'!$B$3,M108,M109,M110)</x:f>
        <x:v>0</x:v>
      </x:c>
      <x:c r="N107" t="str">
        <x:v>CNY</x:v>
      </x:c>
    </x:row>
    <x:row r="108" ht="23" customHeight="1">
      <x:c r="A108" s="11" t="str">
        <x:v>01810.HK</x:v>
      </x:c>
      <x:c r="B108" s="11" t="str">
        <x:v>2026年底</x:v>
      </x:c>
      <x:c r="C108" s="11" t="str">
        <x:v>悲观</x:v>
      </x:c>
      <x:c r="D108" s="16" t="n">
        <x:v>22</x:v>
      </x:c>
      <x:c r="E108" s="16" t="n">
        <x:v>-12</x:v>
      </x:c>
      <x:c r="F108" s="16" t="n">
        <x:v>0</x:v>
      </x:c>
      <x:c r="G108" s="16" t="n">
        <x:v>0</x:v>
      </x:c>
      <x:c r="H108" s="16" t="n">
        <x:v>0.2</x:v>
      </x:c>
      <x:c r="I108" s="16" t="n">
        <x:v>2</x:v>
      </x:c>
      <x:c r="J108" s="16" t="n">
        <x:v>27.5</x:v>
      </x:c>
      <x:c r="K108" s="11"/>
      <x:c r="L108" s="11"/>
      <x:c r="M108" s="16" t="n">
        <x:v>0</x:v>
      </x:c>
      <x:c r="N108" t="str">
        <x:v>CNY</x:v>
      </x:c>
    </x:row>
    <x:row r="109" ht="23" customHeight="1">
      <x:c r="A109" s="11" t="str">
        <x:v>01810.HK</x:v>
      </x:c>
      <x:c r="B109" s="11" t="str">
        <x:v>2026年底</x:v>
      </x:c>
      <x:c r="C109" s="11" t="str">
        <x:v>基准</x:v>
      </x:c>
      <x:c r="D109" s="16" t="n">
        <x:v>34</x:v>
      </x:c>
      <x:c r="E109" s="16" t="n">
        <x:v>-6</x:v>
      </x:c>
      <x:c r="F109" s="16" t="n">
        <x:v>0</x:v>
      </x:c>
      <x:c r="G109" s="16" t="n">
        <x:v>0</x:v>
      </x:c>
      <x:c r="H109" s="16" t="n">
        <x:v>0.2</x:v>
      </x:c>
      <x:c r="I109" s="16" t="n">
        <x:v>3</x:v>
      </x:c>
      <x:c r="J109" s="16" t="n">
        <x:v>26.5</x:v>
      </x:c>
      <x:c r="K109" s="11"/>
      <x:c r="L109" s="11"/>
      <x:c r="M109" s="16" t="n">
        <x:v>0</x:v>
      </x:c>
      <x:c r="N109" t="str">
        <x:v>CNY</x:v>
      </x:c>
    </x:row>
    <x:row r="110" ht="23" customHeight="1">
      <x:c r="A110" s="11" t="str">
        <x:v>01810.HK</x:v>
      </x:c>
      <x:c r="B110" s="11" t="str">
        <x:v>2026年底</x:v>
      </x:c>
      <x:c r="C110" s="11" t="str">
        <x:v>乐观</x:v>
      </x:c>
      <x:c r="D110" s="16" t="n">
        <x:v>44</x:v>
      </x:c>
      <x:c r="E110" s="16" t="n">
        <x:v>4</x:v>
      </x:c>
      <x:c r="F110" s="16" t="n">
        <x:v>0</x:v>
      </x:c>
      <x:c r="G110" s="16" t="n">
        <x:v>0</x:v>
      </x:c>
      <x:c r="H110" s="16" t="n">
        <x:v>0.2</x:v>
      </x:c>
      <x:c r="I110" s="16" t="n">
        <x:v>4</x:v>
      </x:c>
      <x:c r="J110" s="16" t="n">
        <x:v>26</x:v>
      </x:c>
      <x:c r="K110" s="11"/>
      <x:c r="L110" s="11"/>
      <x:c r="M110" s="16" t="n">
        <x:v>0</x:v>
      </x:c>
      <x:c r="N110" t="str">
        <x:v>CNY</x:v>
      </x:c>
    </x:row>
    <x:row r="111" ht="23" customHeight="1">
      <x:c r="A111" s="11" t="str">
        <x:v>01810.HK</x:v>
      </x:c>
      <x:c r="B111" s="11" t="str">
        <x:v>半年</x:v>
      </x:c>
      <x:c r="C111" s="11" t="str">
        <x:v>活动输入·手机/汽车两分部</x:v>
      </x:c>
      <x:c r="D111" s="11" t="n">
        <x:f>CHOOSE('假设'!$B$3,D112,D113,D114)</x:f>
        <x:v>36</x:v>
      </x:c>
      <x:c r="E111" s="11" t="n">
        <x:f>CHOOSE('假设'!$B$3,E112,E113,E114)</x:f>
        <x:v>-2</x:v>
      </x:c>
      <x:c r="F111" s="11" t="n">
        <x:f>CHOOSE('假设'!$B$3,F112,F113,F114)</x:f>
        <x:v>0</x:v>
      </x:c>
      <x:c r="G111" s="11" t="n">
        <x:f>CHOOSE('假设'!$B$3,G112,G113,G114)</x:f>
        <x:v>0</x:v>
      </x:c>
      <x:c r="H111" s="11" t="n">
        <x:f>CHOOSE('假设'!$B$3,H112,H113,H114)</x:f>
        <x:v>0.2</x:v>
      </x:c>
      <x:c r="I111" s="11" t="n">
        <x:f>CHOOSE('假设'!$B$3,I112,I113,I114)</x:f>
        <x:v>3</x:v>
      </x:c>
      <x:c r="J111" s="11" t="n">
        <x:f>CHOOSE('假设'!$B$3,J112,J113,J114)</x:f>
        <x:v>26.3</x:v>
      </x:c>
      <x:c r="K111" s="11" t="str">
        <x:f>CHOOSE('假设'!$B$3,K112,K113,K114)</x:f>
      </x:c>
      <x:c r="L111" s="11" t="str">
        <x:f>CHOOSE('假设'!$B$3,L112,L113,L114)</x:f>
      </x:c>
      <x:c r="M111" s="11" t="n">
        <x:f>CHOOSE('假设'!$B$3,M112,M113,M114)</x:f>
        <x:v>0</x:v>
      </x:c>
      <x:c r="N111" t="str">
        <x:v>CNY</x:v>
      </x:c>
    </x:row>
    <x:row r="112" ht="23" customHeight="1">
      <x:c r="A112" s="11" t="str">
        <x:v>01810.HK</x:v>
      </x:c>
      <x:c r="B112" s="11" t="str">
        <x:v>半年</x:v>
      </x:c>
      <x:c r="C112" s="11" t="str">
        <x:v>悲观</x:v>
      </x:c>
      <x:c r="D112" s="16" t="n">
        <x:v>23</x:v>
      </x:c>
      <x:c r="E112" s="16" t="n">
        <x:v>-12</x:v>
      </x:c>
      <x:c r="F112" s="16" t="n">
        <x:v>0</x:v>
      </x:c>
      <x:c r="G112" s="16" t="n">
        <x:v>0</x:v>
      </x:c>
      <x:c r="H112" s="16" t="n">
        <x:v>0.2</x:v>
      </x:c>
      <x:c r="I112" s="16" t="n">
        <x:v>2</x:v>
      </x:c>
      <x:c r="J112" s="16" t="n">
        <x:v>27.5</x:v>
      </x:c>
      <x:c r="K112" s="11"/>
      <x:c r="L112" s="11"/>
      <x:c r="M112" s="16" t="n">
        <x:v>0</x:v>
      </x:c>
      <x:c r="N112" t="str">
        <x:v>CNY</x:v>
      </x:c>
    </x:row>
    <x:row r="113" ht="23" customHeight="1">
      <x:c r="A113" s="11" t="str">
        <x:v>01810.HK</x:v>
      </x:c>
      <x:c r="B113" s="11" t="str">
        <x:v>半年</x:v>
      </x:c>
      <x:c r="C113" s="11" t="str">
        <x:v>基准</x:v>
      </x:c>
      <x:c r="D113" s="16" t="n">
        <x:v>36</x:v>
      </x:c>
      <x:c r="E113" s="16" t="n">
        <x:v>-2</x:v>
      </x:c>
      <x:c r="F113" s="16" t="n">
        <x:v>0</x:v>
      </x:c>
      <x:c r="G113" s="16" t="n">
        <x:v>0</x:v>
      </x:c>
      <x:c r="H113" s="16" t="n">
        <x:v>0.2</x:v>
      </x:c>
      <x:c r="I113" s="16" t="n">
        <x:v>3</x:v>
      </x:c>
      <x:c r="J113" s="16" t="n">
        <x:v>26.3</x:v>
      </x:c>
      <x:c r="K113" s="11"/>
      <x:c r="L113" s="11"/>
      <x:c r="M113" s="16" t="n">
        <x:v>0</x:v>
      </x:c>
      <x:c r="N113" t="str">
        <x:v>CNY</x:v>
      </x:c>
    </x:row>
    <x:row r="114" ht="23" customHeight="1">
      <x:c r="A114" s="11" t="str">
        <x:v>01810.HK</x:v>
      </x:c>
      <x:c r="B114" s="11" t="str">
        <x:v>半年</x:v>
      </x:c>
      <x:c r="C114" s="11" t="str">
        <x:v>乐观</x:v>
      </x:c>
      <x:c r="D114" s="16" t="n">
        <x:v>47</x:v>
      </x:c>
      <x:c r="E114" s="16" t="n">
        <x:v>7</x:v>
      </x:c>
      <x:c r="F114" s="16" t="n">
        <x:v>0</x:v>
      </x:c>
      <x:c r="G114" s="16" t="n">
        <x:v>0</x:v>
      </x:c>
      <x:c r="H114" s="16" t="n">
        <x:v>0.2</x:v>
      </x:c>
      <x:c r="I114" s="16" t="n">
        <x:v>4</x:v>
      </x:c>
      <x:c r="J114" s="16" t="n">
        <x:v>25.8</x:v>
      </x:c>
      <x:c r="K114" s="11"/>
      <x:c r="L114" s="11"/>
      <x:c r="M114" s="16" t="n">
        <x:v>0</x:v>
      </x:c>
      <x:c r="N114" t="str">
        <x:v>CNY</x:v>
      </x:c>
    </x:row>
    <x:row r="115" ht="23" customHeight="1">
      <x:c r="A115" s="11" t="str">
        <x:v>01810.HK</x:v>
      </x:c>
      <x:c r="B115" s="11" t="str">
        <x:v>一年</x:v>
      </x:c>
      <x:c r="C115" s="11" t="str">
        <x:v>活动输入·手机/汽车两分部</x:v>
      </x:c>
      <x:c r="D115" s="11" t="n">
        <x:f>CHOOSE('假设'!$B$3,D116,D117,D118)</x:f>
        <x:v>39</x:v>
      </x:c>
      <x:c r="E115" s="11" t="n">
        <x:f>CHOOSE('假设'!$B$3,E116,E117,E118)</x:f>
        <x:v>4</x:v>
      </x:c>
      <x:c r="F115" s="11" t="n">
        <x:f>CHOOSE('假设'!$B$3,F116,F117,F118)</x:f>
        <x:v>0</x:v>
      </x:c>
      <x:c r="G115" s="11" t="n">
        <x:f>CHOOSE('假设'!$B$3,G116,G117,G118)</x:f>
        <x:v>0</x:v>
      </x:c>
      <x:c r="H115" s="11" t="n">
        <x:f>CHOOSE('假设'!$B$3,H116,H117,H118)</x:f>
        <x:v>0.2</x:v>
      </x:c>
      <x:c r="I115" s="11" t="n">
        <x:f>CHOOSE('假设'!$B$3,I116,I117,I118)</x:f>
        <x:v>3</x:v>
      </x:c>
      <x:c r="J115" s="11" t="n">
        <x:f>CHOOSE('假设'!$B$3,J116,J117,J118)</x:f>
        <x:v>26</x:v>
      </x:c>
      <x:c r="K115" s="11" t="str">
        <x:f>CHOOSE('假设'!$B$3,K116,K117,K118)</x:f>
      </x:c>
      <x:c r="L115" s="11" t="str">
        <x:f>CHOOSE('假设'!$B$3,L116,L117,L118)</x:f>
      </x:c>
      <x:c r="M115" s="11" t="n">
        <x:f>CHOOSE('假设'!$B$3,M116,M117,M118)</x:f>
        <x:v>0</x:v>
      </x:c>
      <x:c r="N115" t="str">
        <x:v>CNY</x:v>
      </x:c>
    </x:row>
    <x:row r="116" ht="23" customHeight="1">
      <x:c r="A116" s="11" t="str">
        <x:v>01810.HK</x:v>
      </x:c>
      <x:c r="B116" s="11" t="str">
        <x:v>一年</x:v>
      </x:c>
      <x:c r="C116" s="11" t="str">
        <x:v>悲观</x:v>
      </x:c>
      <x:c r="D116" s="16" t="n">
        <x:v>24</x:v>
      </x:c>
      <x:c r="E116" s="16" t="n">
        <x:v>-12</x:v>
      </x:c>
      <x:c r="F116" s="16" t="n">
        <x:v>0</x:v>
      </x:c>
      <x:c r="G116" s="16" t="n">
        <x:v>0</x:v>
      </x:c>
      <x:c r="H116" s="16" t="n">
        <x:v>0.2</x:v>
      </x:c>
      <x:c r="I116" s="16" t="n">
        <x:v>2</x:v>
      </x:c>
      <x:c r="J116" s="16" t="n">
        <x:v>28</x:v>
      </x:c>
      <x:c r="K116" s="11"/>
      <x:c r="L116" s="11"/>
      <x:c r="M116" s="16" t="n">
        <x:v>0</x:v>
      </x:c>
      <x:c r="N116" t="str">
        <x:v>CNY</x:v>
      </x:c>
    </x:row>
    <x:row r="117" ht="23" customHeight="1">
      <x:c r="A117" s="11" t="str">
        <x:v>01810.HK</x:v>
      </x:c>
      <x:c r="B117" s="11" t="str">
        <x:v>一年</x:v>
      </x:c>
      <x:c r="C117" s="11" t="str">
        <x:v>基准</x:v>
      </x:c>
      <x:c r="D117" s="16" t="n">
        <x:v>39</x:v>
      </x:c>
      <x:c r="E117" s="16" t="n">
        <x:v>4</x:v>
      </x:c>
      <x:c r="F117" s="16" t="n">
        <x:v>0</x:v>
      </x:c>
      <x:c r="G117" s="16" t="n">
        <x:v>0</x:v>
      </x:c>
      <x:c r="H117" s="16" t="n">
        <x:v>0.2</x:v>
      </x:c>
      <x:c r="I117" s="16" t="n">
        <x:v>3</x:v>
      </x:c>
      <x:c r="J117" s="16" t="n">
        <x:v>26</x:v>
      </x:c>
      <x:c r="K117" s="11"/>
      <x:c r="L117" s="11"/>
      <x:c r="M117" s="16" t="n">
        <x:v>0</x:v>
      </x:c>
      <x:c r="N117" t="str">
        <x:v>CNY</x:v>
      </x:c>
    </x:row>
    <x:row r="118" ht="23" customHeight="1">
      <x:c r="A118" s="11" t="str">
        <x:v>01810.HK</x:v>
      </x:c>
      <x:c r="B118" s="11" t="str">
        <x:v>一年</x:v>
      </x:c>
      <x:c r="C118" s="11" t="str">
        <x:v>乐观</x:v>
      </x:c>
      <x:c r="D118" s="16" t="n">
        <x:v>52</x:v>
      </x:c>
      <x:c r="E118" s="16" t="n">
        <x:v>16</x:v>
      </x:c>
      <x:c r="F118" s="16" t="n">
        <x:v>0</x:v>
      </x:c>
      <x:c r="G118" s="16" t="n">
        <x:v>0</x:v>
      </x:c>
      <x:c r="H118" s="16" t="n">
        <x:v>0.2</x:v>
      </x:c>
      <x:c r="I118" s="16" t="n">
        <x:v>4</x:v>
      </x:c>
      <x:c r="J118" s="16" t="n">
        <x:v>25.5</x:v>
      </x:c>
      <x:c r="K118" s="11"/>
      <x:c r="L118" s="11"/>
      <x:c r="M118" s="16" t="n">
        <x:v>0</x:v>
      </x:c>
      <x:c r="N118" t="str">
        <x:v>CNY</x:v>
      </x:c>
    </x:row>
    <x:row r="119" ht="23" customHeight="1">
      <x:c r="A119" s="11" t="str">
        <x:v>01810.HK</x:v>
      </x:c>
      <x:c r="B119" s="11" t="str">
        <x:v>三年</x:v>
      </x:c>
      <x:c r="C119" s="11" t="str">
        <x:v>活动输入·手机/汽车两分部</x:v>
      </x:c>
      <x:c r="D119" s="11" t="n">
        <x:f>CHOOSE('假设'!$B$3,D120,D121,D122)</x:f>
        <x:v>46</x:v>
      </x:c>
      <x:c r="E119" s="11" t="n">
        <x:f>CHOOSE('假设'!$B$3,E120,E121,E122)</x:f>
        <x:v>18</x:v>
      </x:c>
      <x:c r="F119" s="11" t="n">
        <x:f>CHOOSE('假设'!$B$3,F120,F121,F122)</x:f>
        <x:v>0</x:v>
      </x:c>
      <x:c r="G119" s="11" t="n">
        <x:f>CHOOSE('假设'!$B$3,G120,G121,G122)</x:f>
        <x:v>0</x:v>
      </x:c>
      <x:c r="H119" s="11" t="n">
        <x:f>CHOOSE('假设'!$B$3,H120,H121,H122)</x:f>
        <x:v>0.2</x:v>
      </x:c>
      <x:c r="I119" s="11" t="n">
        <x:f>CHOOSE('假设'!$B$3,I120,I121,I122)</x:f>
        <x:v>3</x:v>
      </x:c>
      <x:c r="J119" s="11" t="n">
        <x:f>CHOOSE('假设'!$B$3,J120,J121,J122)</x:f>
        <x:v>25.8</x:v>
      </x:c>
      <x:c r="K119" s="11" t="str">
        <x:f>CHOOSE('假设'!$B$3,K120,K121,K122)</x:f>
      </x:c>
      <x:c r="L119" s="11" t="str">
        <x:f>CHOOSE('假设'!$B$3,L120,L121,L122)</x:f>
      </x:c>
      <x:c r="M119" s="11" t="n">
        <x:f>CHOOSE('假设'!$B$3,M120,M121,M122)</x:f>
        <x:v>0</x:v>
      </x:c>
      <x:c r="N119" t="str">
        <x:v>CNY</x:v>
      </x:c>
    </x:row>
    <x:row r="120" ht="23" customHeight="1">
      <x:c r="A120" s="11" t="str">
        <x:v>01810.HK</x:v>
      </x:c>
      <x:c r="B120" s="11" t="str">
        <x:v>三年</x:v>
      </x:c>
      <x:c r="C120" s="11" t="str">
        <x:v>悲观</x:v>
      </x:c>
      <x:c r="D120" s="16" t="n">
        <x:v>25</x:v>
      </x:c>
      <x:c r="E120" s="16" t="n">
        <x:v>-13</x:v>
      </x:c>
      <x:c r="F120" s="16" t="n">
        <x:v>0</x:v>
      </x:c>
      <x:c r="G120" s="16" t="n">
        <x:v>0</x:v>
      </x:c>
      <x:c r="H120" s="16" t="n">
        <x:v>0.2</x:v>
      </x:c>
      <x:c r="I120" s="16" t="n">
        <x:v>2</x:v>
      </x:c>
      <x:c r="J120" s="16" t="n">
        <x:v>29</x:v>
      </x:c>
      <x:c r="K120" s="11"/>
      <x:c r="L120" s="11"/>
      <x:c r="M120" s="16" t="n">
        <x:v>0</x:v>
      </x:c>
      <x:c r="N120" t="str">
        <x:v>CNY</x:v>
      </x:c>
    </x:row>
    <x:row r="121" ht="23" customHeight="1">
      <x:c r="A121" s="11" t="str">
        <x:v>01810.HK</x:v>
      </x:c>
      <x:c r="B121" s="11" t="str">
        <x:v>三年</x:v>
      </x:c>
      <x:c r="C121" s="11" t="str">
        <x:v>基准</x:v>
      </x:c>
      <x:c r="D121" s="16" t="n">
        <x:v>46</x:v>
      </x:c>
      <x:c r="E121" s="16" t="n">
        <x:v>18</x:v>
      </x:c>
      <x:c r="F121" s="16" t="n">
        <x:v>0</x:v>
      </x:c>
      <x:c r="G121" s="16" t="n">
        <x:v>0</x:v>
      </x:c>
      <x:c r="H121" s="16" t="n">
        <x:v>0.2</x:v>
      </x:c>
      <x:c r="I121" s="16" t="n">
        <x:v>3</x:v>
      </x:c>
      <x:c r="J121" s="16" t="n">
        <x:v>25.8</x:v>
      </x:c>
      <x:c r="K121" s="11"/>
      <x:c r="L121" s="11"/>
      <x:c r="M121" s="16" t="n">
        <x:v>0</x:v>
      </x:c>
      <x:c r="N121" t="str">
        <x:v>CNY</x:v>
      </x:c>
    </x:row>
    <x:row r="122" ht="23" customHeight="1">
      <x:c r="A122" s="11" t="str">
        <x:v>01810.HK</x:v>
      </x:c>
      <x:c r="B122" s="11" t="str">
        <x:v>三年</x:v>
      </x:c>
      <x:c r="C122" s="11" t="str">
        <x:v>乐观</x:v>
      </x:c>
      <x:c r="D122" s="16" t="n">
        <x:v>70</x:v>
      </x:c>
      <x:c r="E122" s="16" t="n">
        <x:v>42</x:v>
      </x:c>
      <x:c r="F122" s="16" t="n">
        <x:v>0</x:v>
      </x:c>
      <x:c r="G122" s="16" t="n">
        <x:v>0</x:v>
      </x:c>
      <x:c r="H122" s="16" t="n">
        <x:v>0.2</x:v>
      </x:c>
      <x:c r="I122" s="16" t="n">
        <x:v>4</x:v>
      </x:c>
      <x:c r="J122" s="16" t="n">
        <x:v>25</x:v>
      </x:c>
      <x:c r="K122" s="11"/>
      <x:c r="L122" s="11"/>
      <x:c r="M122" s="16" t="n">
        <x:v>0</x:v>
      </x:c>
      <x:c r="N122" t="str">
        <x:v>CNY</x:v>
      </x:c>
    </x:row>
    <x:row r="123" ht="23" customHeight="1">
      <x:c r="A123" s="11" t="str">
        <x:v>01810.HK</x:v>
      </x:c>
      <x:c r="B123" s="11" t="str">
        <x:v>五年</x:v>
      </x:c>
      <x:c r="C123" s="11" t="str">
        <x:v>活动输入·手机/汽车两分部</x:v>
      </x:c>
      <x:c r="D123" s="11" t="n">
        <x:f>CHOOSE('假设'!$B$3,D124,D125,D126)</x:f>
        <x:v>56</x:v>
      </x:c>
      <x:c r="E123" s="11" t="n">
        <x:f>CHOOSE('假设'!$B$3,E124,E125,E126)</x:f>
        <x:v>32</x:v>
      </x:c>
      <x:c r="F123" s="11" t="n">
        <x:f>CHOOSE('假设'!$B$3,F124,F125,F126)</x:f>
        <x:v>0</x:v>
      </x:c>
      <x:c r="G123" s="11" t="n">
        <x:f>CHOOSE('假设'!$B$3,G124,G125,G126)</x:f>
        <x:v>0</x:v>
      </x:c>
      <x:c r="H123" s="11" t="n">
        <x:f>CHOOSE('假设'!$B$3,H124,H125,H126)</x:f>
        <x:v>0.2</x:v>
      </x:c>
      <x:c r="I123" s="11" t="n">
        <x:f>CHOOSE('假设'!$B$3,I124,I125,I126)</x:f>
        <x:v>3</x:v>
      </x:c>
      <x:c r="J123" s="11" t="n">
        <x:f>CHOOSE('假设'!$B$3,J124,J125,J126)</x:f>
        <x:v>25.5</x:v>
      </x:c>
      <x:c r="K123" s="11" t="str">
        <x:f>CHOOSE('假设'!$B$3,K124,K125,K126)</x:f>
      </x:c>
      <x:c r="L123" s="11" t="str">
        <x:f>CHOOSE('假设'!$B$3,L124,L125,L126)</x:f>
      </x:c>
      <x:c r="M123" s="11" t="n">
        <x:f>CHOOSE('假设'!$B$3,M124,M125,M126)</x:f>
        <x:v>0</x:v>
      </x:c>
      <x:c r="N123" t="str">
        <x:v>CNY</x:v>
      </x:c>
    </x:row>
    <x:row r="124" ht="23" customHeight="1">
      <x:c r="A124" s="11" t="str">
        <x:v>01810.HK</x:v>
      </x:c>
      <x:c r="B124" s="11" t="str">
        <x:v>五年</x:v>
      </x:c>
      <x:c r="C124" s="11" t="str">
        <x:v>悲观</x:v>
      </x:c>
      <x:c r="D124" s="16" t="n">
        <x:v>27</x:v>
      </x:c>
      <x:c r="E124" s="16" t="n">
        <x:v>-15</x:v>
      </x:c>
      <x:c r="F124" s="16" t="n">
        <x:v>0</x:v>
      </x:c>
      <x:c r="G124" s="16" t="n">
        <x:v>0</x:v>
      </x:c>
      <x:c r="H124" s="16" t="n">
        <x:v>0.2</x:v>
      </x:c>
      <x:c r="I124" s="16" t="n">
        <x:v>1.5</x:v>
      </x:c>
      <x:c r="J124" s="16" t="n">
        <x:v>30</x:v>
      </x:c>
      <x:c r="K124" s="11"/>
      <x:c r="L124" s="11"/>
      <x:c r="M124" s="16" t="n">
        <x:v>0</x:v>
      </x:c>
      <x:c r="N124" t="str">
        <x:v>CNY</x:v>
      </x:c>
    </x:row>
    <x:row r="125" ht="23" customHeight="1">
      <x:c r="A125" s="11" t="str">
        <x:v>01810.HK</x:v>
      </x:c>
      <x:c r="B125" s="11" t="str">
        <x:v>五年</x:v>
      </x:c>
      <x:c r="C125" s="11" t="str">
        <x:v>基准</x:v>
      </x:c>
      <x:c r="D125" s="16" t="n">
        <x:v>56</x:v>
      </x:c>
      <x:c r="E125" s="16" t="n">
        <x:v>32</x:v>
      </x:c>
      <x:c r="F125" s="16" t="n">
        <x:v>0</x:v>
      </x:c>
      <x:c r="G125" s="16" t="n">
        <x:v>0</x:v>
      </x:c>
      <x:c r="H125" s="16" t="n">
        <x:v>0.2</x:v>
      </x:c>
      <x:c r="I125" s="16" t="n">
        <x:v>3</x:v>
      </x:c>
      <x:c r="J125" s="16" t="n">
        <x:v>25.5</x:v>
      </x:c>
      <x:c r="K125" s="11"/>
      <x:c r="L125" s="11"/>
      <x:c r="M125" s="16" t="n">
        <x:v>0</x:v>
      </x:c>
      <x:c r="N125" t="str">
        <x:v>CNY</x:v>
      </x:c>
    </x:row>
    <x:row r="126" ht="23" customHeight="1">
      <x:c r="A126" s="11" t="str">
        <x:v>01810.HK</x:v>
      </x:c>
      <x:c r="B126" s="11" t="str">
        <x:v>五年</x:v>
      </x:c>
      <x:c r="C126" s="11" t="str">
        <x:v>乐观</x:v>
      </x:c>
      <x:c r="D126" s="16" t="n">
        <x:v>92</x:v>
      </x:c>
      <x:c r="E126" s="16" t="n">
        <x:v>70</x:v>
      </x:c>
      <x:c r="F126" s="16" t="n">
        <x:v>0</x:v>
      </x:c>
      <x:c r="G126" s="16" t="n">
        <x:v>0</x:v>
      </x:c>
      <x:c r="H126" s="16" t="n">
        <x:v>0.2</x:v>
      </x:c>
      <x:c r="I126" s="16" t="n">
        <x:v>4</x:v>
      </x:c>
      <x:c r="J126" s="16" t="n">
        <x:v>24.5</x:v>
      </x:c>
      <x:c r="K126" s="11"/>
      <x:c r="L126" s="11"/>
      <x:c r="M126" s="16" t="n">
        <x:v>0</x:v>
      </x:c>
      <x:c r="N126" t="str">
        <x:v>CNY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4" t="str">
        <x:v>共享产品经营收入 · USD十亿 · A/H分别估值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Brukinsa</x:v>
      </x:c>
      <x:c r="E6" s="12" t="str">
        <x:v>替雷利珠</x:v>
      </x:c>
      <x:c r="F6" s="12" t="str">
        <x:v>BCL2</x:v>
      </x:c>
      <x:c r="G6" s="12" t="str">
        <x:v>BTK CDAC</x:v>
      </x:c>
      <x:c r="H6" s="12" t="str">
        <x:v>实瘤</x:v>
      </x:c>
      <x:c r="I6" s="12" t="str">
        <x:v>其他保留经济</x:v>
      </x:c>
      <x:c r="J6" s="12" t="str">
        <x:v>毛利率</x:v>
      </x:c>
      <x:c r="K6" s="12" t="str">
        <x:v>研发USD十亿</x:v>
      </x:c>
      <x:c r="L6" s="12" t="str">
        <x:v>销售管理USD十亿</x:v>
      </x:c>
      <x:c r="M6" s="12" t="str">
        <x:v>正常税率</x:v>
      </x:c>
      <x:c r="N6" s="12" t="str">
        <x:v>普通股十亿</x:v>
      </x:c>
    </x:row>
    <x:row r="7" ht="23" customHeight="1">
      <x:c r="A7" s="11" t="str">
        <x:v>688235.SH</x:v>
      </x:c>
      <x:c r="B7" s="11" t="str">
        <x:v>2026年底</x:v>
      </x:c>
      <x:c r="C7" s="11" t="str">
        <x:v>活动输入</x:v>
      </x:c>
      <x:c r="D7" s="11" t="n">
        <x:f>CHOOSE('假设'!$B$3,D8,D9,D10)</x:f>
        <x:v>5.55</x:v>
      </x:c>
      <x:c r="E7" s="11" t="n">
        <x:f>CHOOSE('假设'!$B$3,E8,E9,E10)</x:f>
        <x:v>1.15</x:v>
      </x:c>
      <x:c r="F7" s="11" t="n">
        <x:f>CHOOSE('假设'!$B$3,F8,F9,F10)</x:f>
        <x:v>0.3</x:v>
      </x:c>
      <x:c r="G7" s="11" t="n">
        <x:f>CHOOSE('假设'!$B$3,G8,G9,G10)</x:f>
        <x:v>0.05</x:v>
      </x:c>
      <x:c r="H7" s="11" t="n">
        <x:f>CHOOSE('假设'!$B$3,H8,H9,H10)</x:f>
        <x:v>0</x:v>
      </x:c>
      <x:c r="I7" s="11" t="n">
        <x:f>CHOOSE('假设'!$B$3,I8,I9,I10)</x:f>
        <x:v>0.85</x:v>
      </x:c>
      <x:c r="J7" s="11" t="n">
        <x:f>CHOOSE('假设'!$B$3,J8,J9,J10)</x:f>
        <x:v>0.89</x:v>
      </x:c>
      <x:c r="K7" s="11" t="n">
        <x:f>CHOOSE('假设'!$B$3,K8,K9,K10)</x:f>
        <x:v>2.6</x:v>
      </x:c>
      <x:c r="L7" s="11" t="n">
        <x:f>CHOOSE('假设'!$B$3,L8,L9,L10)</x:f>
        <x:v>2.65</x:v>
      </x:c>
      <x:c r="M7" s="11" t="n">
        <x:f>CHOOSE('假设'!$B$3,M8,M9,M10)</x:f>
        <x:v>0.18</x:v>
      </x:c>
      <x:c r="N7" s="11" t="n">
        <x:f>CHOOSE('假设'!$B$3,N8,N9,N10)</x:f>
        <x:v>1.54</x:v>
      </x:c>
    </x:row>
    <x:row r="8" ht="23" customHeight="1">
      <x:c r="A8" s="11" t="str">
        <x:v>688235.SH</x:v>
      </x:c>
      <x:c r="B8" s="11" t="str">
        <x:v>2026年底</x:v>
      </x:c>
      <x:c r="C8" s="11" t="str">
        <x:v>悲观</x:v>
      </x:c>
      <x:c r="D8" s="16" t="n">
        <x:v>4.9</x:v>
      </x:c>
      <x:c r="E8" s="16" t="n">
        <x:v>0.95</x:v>
      </x:c>
      <x:c r="F8" s="16" t="n">
        <x:v>0.12</x:v>
      </x:c>
      <x:c r="G8" s="16" t="n">
        <x:v>0</x:v>
      </x:c>
      <x:c r="H8" s="16" t="n">
        <x:v>0</x:v>
      </x:c>
      <x:c r="I8" s="16" t="n">
        <x:v>0.83</x:v>
      </x:c>
      <x:c r="J8" s="16" t="n">
        <x:v>0.87</x:v>
      </x:c>
      <x:c r="K8" s="16" t="n">
        <x:v>2.55</x:v>
      </x:c>
      <x:c r="L8" s="16" t="n">
        <x:v>2.55</x:v>
      </x:c>
      <x:c r="M8" s="16" t="n">
        <x:v>0.22</x:v>
      </x:c>
      <x:c r="N8" s="16" t="n">
        <x:v>1.56</x:v>
      </x:c>
    </x:row>
    <x:row r="9" ht="23" customHeight="1">
      <x:c r="A9" s="11" t="str">
        <x:v>688235.SH</x:v>
      </x:c>
      <x:c r="B9" s="11" t="str">
        <x:v>2026年底</x:v>
      </x:c>
      <x:c r="C9" s="11" t="str">
        <x:v>基准</x:v>
      </x:c>
      <x:c r="D9" s="16" t="n">
        <x:v>5.55</x:v>
      </x:c>
      <x:c r="E9" s="16" t="n">
        <x:v>1.15</x:v>
      </x:c>
      <x:c r="F9" s="16" t="n">
        <x:v>0.3</x:v>
      </x:c>
      <x:c r="G9" s="16" t="n">
        <x:v>0.05</x:v>
      </x:c>
      <x:c r="H9" s="16" t="n">
        <x:v>0</x:v>
      </x:c>
      <x:c r="I9" s="16" t="n">
        <x:v>0.85</x:v>
      </x:c>
      <x:c r="J9" s="16" t="n">
        <x:v>0.89</x:v>
      </x:c>
      <x:c r="K9" s="16" t="n">
        <x:v>2.6</x:v>
      </x:c>
      <x:c r="L9" s="16" t="n">
        <x:v>2.65</x:v>
      </x:c>
      <x:c r="M9" s="16" t="n">
        <x:v>0.18</x:v>
      </x:c>
      <x:c r="N9" s="16" t="n">
        <x:v>1.54</x:v>
      </x:c>
    </x:row>
    <x:row r="10" ht="23" customHeight="1">
      <x:c r="A10" s="11" t="str">
        <x:v>688235.SH</x:v>
      </x:c>
      <x:c r="B10" s="11" t="str">
        <x:v>2026年底</x:v>
      </x:c>
      <x:c r="C10" s="11" t="str">
        <x:v>乐观</x:v>
      </x:c>
      <x:c r="D10" s="16" t="n">
        <x:v>6.05</x:v>
      </x:c>
      <x:c r="E10" s="16" t="n">
        <x:v>1.3</x:v>
      </x:c>
      <x:c r="F10" s="16" t="n">
        <x:v>0.45</x:v>
      </x:c>
      <x:c r="G10" s="16" t="n">
        <x:v>0.12</x:v>
      </x:c>
      <x:c r="H10" s="16" t="n">
        <x:v>0.03</x:v>
      </x:c>
      <x:c r="I10" s="16" t="n">
        <x:v>0.95</x:v>
      </x:c>
      <x:c r="J10" s="16" t="n">
        <x:v>0.9</x:v>
      </x:c>
      <x:c r="K10" s="16" t="n">
        <x:v>2.7</x:v>
      </x:c>
      <x:c r="L10" s="16" t="n">
        <x:v>2.65</x:v>
      </x:c>
      <x:c r="M10" s="16" t="n">
        <x:v>0.15</x:v>
      </x:c>
      <x:c r="N10" s="16" t="n">
        <x:v>1.53</x:v>
      </x:c>
    </x:row>
    <x:row r="11" ht="23" customHeight="1">
      <x:c r="A11" s="11" t="str">
        <x:v>688235.SH</x:v>
      </x:c>
      <x:c r="B11" s="11" t="str">
        <x:v>半年</x:v>
      </x:c>
      <x:c r="C11" s="11" t="str">
        <x:v>活动输入</x:v>
      </x:c>
      <x:c r="D11" s="11" t="n">
        <x:f>CHOOSE('假设'!$B$3,D12,D13,D14)</x:f>
        <x:v>5.8</x:v>
      </x:c>
      <x:c r="E11" s="11" t="n">
        <x:f>CHOOSE('假设'!$B$3,E12,E13,E14)</x:f>
        <x:v>1.25</x:v>
      </x:c>
      <x:c r="F11" s="11" t="n">
        <x:f>CHOOSE('假设'!$B$3,F12,F13,F14)</x:f>
        <x:v>0.35</x:v>
      </x:c>
      <x:c r="G11" s="11" t="n">
        <x:f>CHOOSE('假设'!$B$3,G12,G13,G14)</x:f>
        <x:v>0.1</x:v>
      </x:c>
      <x:c r="H11" s="11" t="n">
        <x:f>CHOOSE('假设'!$B$3,H12,H13,H14)</x:f>
        <x:v>0</x:v>
      </x:c>
      <x:c r="I11" s="11" t="n">
        <x:f>CHOOSE('假设'!$B$3,I12,I13,I14)</x:f>
        <x:v>0.9</x:v>
      </x:c>
      <x:c r="J11" s="11" t="n">
        <x:f>CHOOSE('假设'!$B$3,J12,J13,J14)</x:f>
        <x:v>0.89</x:v>
      </x:c>
      <x:c r="K11" s="11" t="n">
        <x:f>CHOOSE('假设'!$B$3,K12,K13,K14)</x:f>
        <x:v>2.65</x:v>
      </x:c>
      <x:c r="L11" s="11" t="n">
        <x:f>CHOOSE('假设'!$B$3,L12,L13,L14)</x:f>
        <x:v>2.65</x:v>
      </x:c>
      <x:c r="M11" s="11" t="n">
        <x:f>CHOOSE('假设'!$B$3,M12,M13,M14)</x:f>
        <x:v>0.18</x:v>
      </x:c>
      <x:c r="N11" s="11" t="n">
        <x:f>CHOOSE('假设'!$B$3,N12,N13,N14)</x:f>
        <x:v>1.56</x:v>
      </x:c>
    </x:row>
    <x:row r="12" ht="23" customHeight="1">
      <x:c r="A12" s="11" t="str">
        <x:v>688235.SH</x:v>
      </x:c>
      <x:c r="B12" s="11" t="str">
        <x:v>半年</x:v>
      </x:c>
      <x:c r="C12" s="11" t="str">
        <x:v>悲观</x:v>
      </x:c>
      <x:c r="D12" s="16" t="n">
        <x:v>4.9</x:v>
      </x:c>
      <x:c r="E12" s="16" t="n">
        <x:v>0.95</x:v>
      </x:c>
      <x:c r="F12" s="16" t="n">
        <x:v>0.15</x:v>
      </x:c>
      <x:c r="G12" s="16" t="n">
        <x:v>0</x:v>
      </x:c>
      <x:c r="H12" s="16" t="n">
        <x:v>0</x:v>
      </x:c>
      <x:c r="I12" s="16" t="n">
        <x:v>0.9</x:v>
      </x:c>
      <x:c r="J12" s="16" t="n">
        <x:v>0.87</x:v>
      </x:c>
      <x:c r="K12" s="16" t="n">
        <x:v>2.7</x:v>
      </x:c>
      <x:c r="L12" s="16" t="n">
        <x:v>2.65</x:v>
      </x:c>
      <x:c r="M12" s="16" t="n">
        <x:v>0.22</x:v>
      </x:c>
      <x:c r="N12" s="16" t="n">
        <x:v>1.58</x:v>
      </x:c>
    </x:row>
    <x:row r="13" ht="23" customHeight="1">
      <x:c r="A13" s="11" t="str">
        <x:v>688235.SH</x:v>
      </x:c>
      <x:c r="B13" s="11" t="str">
        <x:v>半年</x:v>
      </x:c>
      <x:c r="C13" s="11" t="str">
        <x:v>基准</x:v>
      </x:c>
      <x:c r="D13" s="16" t="n">
        <x:v>5.8</x:v>
      </x:c>
      <x:c r="E13" s="16" t="n">
        <x:v>1.25</x:v>
      </x:c>
      <x:c r="F13" s="16" t="n">
        <x:v>0.35</x:v>
      </x:c>
      <x:c r="G13" s="16" t="n">
        <x:v>0.1</x:v>
      </x:c>
      <x:c r="H13" s="16" t="n">
        <x:v>0</x:v>
      </x:c>
      <x:c r="I13" s="16" t="n">
        <x:v>0.9</x:v>
      </x:c>
      <x:c r="J13" s="16" t="n">
        <x:v>0.89</x:v>
      </x:c>
      <x:c r="K13" s="16" t="n">
        <x:v>2.65</x:v>
      </x:c>
      <x:c r="L13" s="16" t="n">
        <x:v>2.65</x:v>
      </x:c>
      <x:c r="M13" s="16" t="n">
        <x:v>0.18</x:v>
      </x:c>
      <x:c r="N13" s="16" t="n">
        <x:v>1.56</x:v>
      </x:c>
    </x:row>
    <x:row r="14" ht="23" customHeight="1">
      <x:c r="A14" s="11" t="str">
        <x:v>688235.SH</x:v>
      </x:c>
      <x:c r="B14" s="11" t="str">
        <x:v>半年</x:v>
      </x:c>
      <x:c r="C14" s="11" t="str">
        <x:v>乐观</x:v>
      </x:c>
      <x:c r="D14" s="16" t="n">
        <x:v>6.4</x:v>
      </x:c>
      <x:c r="E14" s="16" t="n">
        <x:v>1.45</x:v>
      </x:c>
      <x:c r="F14" s="16" t="n">
        <x:v>0.6</x:v>
      </x:c>
      <x:c r="G14" s="16" t="n">
        <x:v>0.25</x:v>
      </x:c>
      <x:c r="H14" s="16" t="n">
        <x:v>0.05</x:v>
      </x:c>
      <x:c r="I14" s="16" t="n">
        <x:v>1.05</x:v>
      </x:c>
      <x:c r="J14" s="16" t="n">
        <x:v>0.91</x:v>
      </x:c>
      <x:c r="K14" s="16" t="n">
        <x:v>2.8</x:v>
      </x:c>
      <x:c r="L14" s="16" t="n">
        <x:v>2.8</x:v>
      </x:c>
      <x:c r="M14" s="16" t="n">
        <x:v>0.15</x:v>
      </x:c>
      <x:c r="N14" s="16" t="n">
        <x:v>1.55</x:v>
      </x:c>
    </x:row>
    <x:row r="15" ht="23" customHeight="1">
      <x:c r="A15" s="11" t="str">
        <x:v>688235.SH</x:v>
      </x:c>
      <x:c r="B15" s="11" t="str">
        <x:v>一年</x:v>
      </x:c>
      <x:c r="C15" s="11" t="str">
        <x:v>活动输入</x:v>
      </x:c>
      <x:c r="D15" s="11" t="n">
        <x:f>CHOOSE('假设'!$B$3,D16,D17,D18)</x:f>
        <x:v>7.75</x:v>
      </x:c>
      <x:c r="E15" s="11" t="n">
        <x:f>CHOOSE('假设'!$B$3,E16,E17,E18)</x:f>
        <x:v>1.5</x:v>
      </x:c>
      <x:c r="F15" s="11" t="n">
        <x:f>CHOOSE('假设'!$B$3,F16,F17,F18)</x:f>
        <x:v>0.75</x:v>
      </x:c>
      <x:c r="G15" s="11" t="n">
        <x:f>CHOOSE('假设'!$B$3,G16,G17,G18)</x:f>
        <x:v>0.35</x:v>
      </x:c>
      <x:c r="H15" s="11" t="n">
        <x:f>CHOOSE('假设'!$B$3,H16,H17,H18)</x:f>
        <x:v>0.05</x:v>
      </x:c>
      <x:c r="I15" s="11" t="n">
        <x:f>CHOOSE('假设'!$B$3,I16,I17,I18)</x:f>
        <x:v>0.95</x:v>
      </x:c>
      <x:c r="J15" s="11" t="n">
        <x:f>CHOOSE('假设'!$B$3,J16,J17,J18)</x:f>
        <x:v>0.89</x:v>
      </x:c>
      <x:c r="K15" s="11" t="n">
        <x:f>CHOOSE('假设'!$B$3,K16,K17,K18)</x:f>
        <x:v>2.95</x:v>
      </x:c>
      <x:c r="L15" s="11" t="n">
        <x:f>CHOOSE('假设'!$B$3,L16,L17,L18)</x:f>
        <x:v>2.95</x:v>
      </x:c>
      <x:c r="M15" s="11" t="n">
        <x:f>CHOOSE('假设'!$B$3,M16,M17,M18)</x:f>
        <x:v>0.2</x:v>
      </x:c>
      <x:c r="N15" s="11" t="n">
        <x:f>CHOOSE('假设'!$B$3,N16,N17,N18)</x:f>
        <x:v>1.6</x:v>
      </x:c>
    </x:row>
    <x:row r="16" ht="23" customHeight="1">
      <x:c r="A16" s="11" t="str">
        <x:v>688235.SH</x:v>
      </x:c>
      <x:c r="B16" s="11" t="str">
        <x:v>一年</x:v>
      </x:c>
      <x:c r="C16" s="11" t="str">
        <x:v>悲观</x:v>
      </x:c>
      <x:c r="D16" s="16" t="n">
        <x:v>5.1</x:v>
      </x:c>
      <x:c r="E16" s="16" t="n">
        <x:v>1</x:v>
      </x:c>
      <x:c r="F16" s="16" t="n">
        <x:v>0.25</x:v>
      </x:c>
      <x:c r="G16" s="16" t="n">
        <x:v>0.05</x:v>
      </x:c>
      <x:c r="H16" s="16" t="n">
        <x:v>0</x:v>
      </x:c>
      <x:c r="I16" s="16" t="n">
        <x:v>0.9</x:v>
      </x:c>
      <x:c r="J16" s="16" t="n">
        <x:v>0.87</x:v>
      </x:c>
      <x:c r="K16" s="16" t="n">
        <x:v>2.9</x:v>
      </x:c>
      <x:c r="L16" s="16" t="n">
        <x:v>2.9</x:v>
      </x:c>
      <x:c r="M16" s="16" t="n">
        <x:v>0.22</x:v>
      </x:c>
      <x:c r="N16" s="16" t="n">
        <x:v>1.62</x:v>
      </x:c>
    </x:row>
    <x:row r="17" ht="23" customHeight="1">
      <x:c r="A17" s="11" t="str">
        <x:v>688235.SH</x:v>
      </x:c>
      <x:c r="B17" s="11" t="str">
        <x:v>一年</x:v>
      </x:c>
      <x:c r="C17" s="11" t="str">
        <x:v>基准</x:v>
      </x:c>
      <x:c r="D17" s="16" t="n">
        <x:v>7.75</x:v>
      </x:c>
      <x:c r="E17" s="16" t="n">
        <x:v>1.5</x:v>
      </x:c>
      <x:c r="F17" s="16" t="n">
        <x:v>0.75</x:v>
      </x:c>
      <x:c r="G17" s="16" t="n">
        <x:v>0.35</x:v>
      </x:c>
      <x:c r="H17" s="16" t="n">
        <x:v>0.05</x:v>
      </x:c>
      <x:c r="I17" s="16" t="n">
        <x:v>0.95</x:v>
      </x:c>
      <x:c r="J17" s="16" t="n">
        <x:v>0.89</x:v>
      </x:c>
      <x:c r="K17" s="16" t="n">
        <x:v>2.95</x:v>
      </x:c>
      <x:c r="L17" s="16" t="n">
        <x:v>2.95</x:v>
      </x:c>
      <x:c r="M17" s="16" t="n">
        <x:v>0.2</x:v>
      </x:c>
      <x:c r="N17" s="16" t="n">
        <x:v>1.6</x:v>
      </x:c>
    </x:row>
    <x:row r="18" ht="23" customHeight="1">
      <x:c r="A18" s="11" t="str">
        <x:v>688235.SH</x:v>
      </x:c>
      <x:c r="B18" s="11" t="str">
        <x:v>一年</x:v>
      </x:c>
      <x:c r="C18" s="11" t="str">
        <x:v>乐观</x:v>
      </x:c>
      <x:c r="D18" s="16" t="n">
        <x:v>7.7</x:v>
      </x:c>
      <x:c r="E18" s="16" t="n">
        <x:v>1.8</x:v>
      </x:c>
      <x:c r="F18" s="16" t="n">
        <x:v>1.25</x:v>
      </x:c>
      <x:c r="G18" s="16" t="n">
        <x:v>0.8</x:v>
      </x:c>
      <x:c r="H18" s="16" t="n">
        <x:v>0.25</x:v>
      </x:c>
      <x:c r="I18" s="16" t="n">
        <x:v>1.15</x:v>
      </x:c>
      <x:c r="J18" s="16" t="n">
        <x:v>0.91</x:v>
      </x:c>
      <x:c r="K18" s="16" t="n">
        <x:v>3.2</x:v>
      </x:c>
      <x:c r="L18" s="16" t="n">
        <x:v>3.2</x:v>
      </x:c>
      <x:c r="M18" s="16" t="n">
        <x:v>0.17</x:v>
      </x:c>
      <x:c r="N18" s="16" t="n">
        <x:v>1.57</x:v>
      </x:c>
    </x:row>
    <x:row r="19" ht="23" customHeight="1">
      <x:c r="A19" s="11" t="str">
        <x:v>688235.SH</x:v>
      </x:c>
      <x:c r="B19" s="11" t="str">
        <x:v>三年</x:v>
      </x:c>
      <x:c r="C19" s="11" t="str">
        <x:v>活动输入</x:v>
      </x:c>
      <x:c r="D19" s="11" t="n">
        <x:f>CHOOSE('假设'!$B$3,D20,D21,D22)</x:f>
        <x:v>7.5</x:v>
      </x:c>
      <x:c r="E19" s="11" t="n">
        <x:f>CHOOSE('假设'!$B$3,E20,E21,E22)</x:f>
        <x:v>1.8</x:v>
      </x:c>
      <x:c r="F19" s="11" t="n">
        <x:f>CHOOSE('假设'!$B$3,F20,F21,F22)</x:f>
        <x:v>1.6</x:v>
      </x:c>
      <x:c r="G19" s="11" t="n">
        <x:f>CHOOSE('假设'!$B$3,G20,G21,G22)</x:f>
        <x:v>1</x:v>
      </x:c>
      <x:c r="H19" s="11" t="n">
        <x:f>CHOOSE('假设'!$B$3,H20,H21,H22)</x:f>
        <x:v>0.5</x:v>
      </x:c>
      <x:c r="I19" s="11" t="n">
        <x:f>CHOOSE('假设'!$B$3,I20,I21,I22)</x:f>
        <x:v>1</x:v>
      </x:c>
      <x:c r="J19" s="11" t="n">
        <x:f>CHOOSE('假设'!$B$3,J20,J21,J22)</x:f>
        <x:v>0.89</x:v>
      </x:c>
      <x:c r="K19" s="11" t="n">
        <x:f>CHOOSE('假设'!$B$3,K20,K21,K22)</x:f>
        <x:v>3.6</x:v>
      </x:c>
      <x:c r="L19" s="11" t="n">
        <x:f>CHOOSE('假设'!$B$3,L20,L21,L22)</x:f>
        <x:v>3.6</x:v>
      </x:c>
      <x:c r="M19" s="11" t="n">
        <x:f>CHOOSE('假设'!$B$3,M20,M21,M22)</x:f>
        <x:v>0.21</x:v>
      </x:c>
      <x:c r="N19" s="11" t="n">
        <x:f>CHOOSE('假设'!$B$3,N20,N21,N22)</x:f>
        <x:v>1.68</x:v>
      </x:c>
    </x:row>
    <x:row r="20" ht="23" customHeight="1">
      <x:c r="A20" s="11" t="str">
        <x:v>688235.SH</x:v>
      </x:c>
      <x:c r="B20" s="11" t="str">
        <x:v>三年</x:v>
      </x:c>
      <x:c r="C20" s="11" t="str">
        <x:v>悲观</x:v>
      </x:c>
      <x:c r="D20" s="16" t="n">
        <x:v>5</x:v>
      </x:c>
      <x:c r="E20" s="16" t="n">
        <x:v>1</x:v>
      </x:c>
      <x:c r="F20" s="16" t="n">
        <x:v>0.4</x:v>
      </x:c>
      <x:c r="G20" s="16" t="n">
        <x:v>0.15</x:v>
      </x:c>
      <x:c r="H20" s="16" t="n">
        <x:v>0.1</x:v>
      </x:c>
      <x:c r="I20" s="16" t="n">
        <x:v>0.95</x:v>
      </x:c>
      <x:c r="J20" s="16" t="n">
        <x:v>0.86</x:v>
      </x:c>
      <x:c r="K20" s="16" t="n">
        <x:v>3</x:v>
      </x:c>
      <x:c r="L20" s="16" t="n">
        <x:v>2.8</x:v>
      </x:c>
      <x:c r="M20" s="16" t="n">
        <x:v>0.23</x:v>
      </x:c>
      <x:c r="N20" s="16" t="n">
        <x:v>1.72</x:v>
      </x:c>
    </x:row>
    <x:row r="21" ht="23" customHeight="1">
      <x:c r="A21" s="11" t="str">
        <x:v>688235.SH</x:v>
      </x:c>
      <x:c r="B21" s="11" t="str">
        <x:v>三年</x:v>
      </x:c>
      <x:c r="C21" s="11" t="str">
        <x:v>基准</x:v>
      </x:c>
      <x:c r="D21" s="16" t="n">
        <x:v>7.5</x:v>
      </x:c>
      <x:c r="E21" s="16" t="n">
        <x:v>1.8</x:v>
      </x:c>
      <x:c r="F21" s="16" t="n">
        <x:v>1.6</x:v>
      </x:c>
      <x:c r="G21" s="16" t="n">
        <x:v>1</x:v>
      </x:c>
      <x:c r="H21" s="16" t="n">
        <x:v>0.5</x:v>
      </x:c>
      <x:c r="I21" s="16" t="n">
        <x:v>1</x:v>
      </x:c>
      <x:c r="J21" s="16" t="n">
        <x:v>0.89</x:v>
      </x:c>
      <x:c r="K21" s="16" t="n">
        <x:v>3.6</x:v>
      </x:c>
      <x:c r="L21" s="16" t="n">
        <x:v>3.6</x:v>
      </x:c>
      <x:c r="M21" s="16" t="n">
        <x:v>0.21</x:v>
      </x:c>
      <x:c r="N21" s="16" t="n">
        <x:v>1.68</x:v>
      </x:c>
    </x:row>
    <x:row r="22" ht="23" customHeight="1">
      <x:c r="A22" s="11" t="str">
        <x:v>688235.SH</x:v>
      </x:c>
      <x:c r="B22" s="11" t="str">
        <x:v>三年</x:v>
      </x:c>
      <x:c r="C22" s="11" t="str">
        <x:v>乐观</x:v>
      </x:c>
      <x:c r="D22" s="16" t="n">
        <x:v>9</x:v>
      </x:c>
      <x:c r="E22" s="16" t="n">
        <x:v>2.2</x:v>
      </x:c>
      <x:c r="F22" s="16" t="n">
        <x:v>2.7</x:v>
      </x:c>
      <x:c r="G22" s="16" t="n">
        <x:v>1.8</x:v>
      </x:c>
      <x:c r="H22" s="16" t="n">
        <x:v>1.3</x:v>
      </x:c>
      <x:c r="I22" s="16" t="n">
        <x:v>1.2</x:v>
      </x:c>
      <x:c r="J22" s="16" t="n">
        <x:v>0.91</x:v>
      </x:c>
      <x:c r="K22" s="16" t="n">
        <x:v>4.2</x:v>
      </x:c>
      <x:c r="L22" s="16" t="n">
        <x:v>4.2</x:v>
      </x:c>
      <x:c r="M22" s="16" t="n">
        <x:v>0.18</x:v>
      </x:c>
      <x:c r="N22" s="16" t="n">
        <x:v>1.62</x:v>
      </x:c>
    </x:row>
    <x:row r="23" ht="23" customHeight="1">
      <x:c r="A23" s="11" t="str">
        <x:v>688235.SH</x:v>
      </x:c>
      <x:c r="B23" s="11" t="str">
        <x:v>五年</x:v>
      </x:c>
      <x:c r="C23" s="11" t="str">
        <x:v>活动输入</x:v>
      </x:c>
      <x:c r="D23" s="11" t="n">
        <x:f>CHOOSE('假设'!$B$3,D24,D25,D26)</x:f>
        <x:v>8.3</x:v>
      </x:c>
      <x:c r="E23" s="11" t="n">
        <x:f>CHOOSE('假设'!$B$3,E24,E25,E26)</x:f>
        <x:v>2.1</x:v>
      </x:c>
      <x:c r="F23" s="11" t="n">
        <x:f>CHOOSE('假设'!$B$3,F24,F25,F26)</x:f>
        <x:v>2.8</x:v>
      </x:c>
      <x:c r="G23" s="11" t="n">
        <x:f>CHOOSE('假设'!$B$3,G24,G25,G26)</x:f>
        <x:v>1.8</x:v>
      </x:c>
      <x:c r="H23" s="11" t="n">
        <x:f>CHOOSE('假设'!$B$3,H24,H25,H26)</x:f>
        <x:v>1.4</x:v>
      </x:c>
      <x:c r="I23" s="11" t="n">
        <x:f>CHOOSE('假设'!$B$3,I24,I25,I26)</x:f>
        <x:v>1.1</x:v>
      </x:c>
      <x:c r="J23" s="11" t="n">
        <x:f>CHOOSE('假设'!$B$3,J24,J25,J26)</x:f>
        <x:v>0.89</x:v>
      </x:c>
      <x:c r="K23" s="11" t="n">
        <x:f>CHOOSE('假设'!$B$3,K24,K25,K26)</x:f>
        <x:v>4.4</x:v>
      </x:c>
      <x:c r="L23" s="11" t="n">
        <x:f>CHOOSE('假设'!$B$3,L24,L25,L26)</x:f>
        <x:v>4.4</x:v>
      </x:c>
      <x:c r="M23" s="11" t="n">
        <x:f>CHOOSE('假设'!$B$3,M24,M25,M26)</x:f>
        <x:v>0.22</x:v>
      </x:c>
      <x:c r="N23" s="11" t="n">
        <x:f>CHOOSE('假设'!$B$3,N24,N25,N26)</x:f>
        <x:v>1.8</x:v>
      </x:c>
    </x:row>
    <x:row r="24" ht="23" customHeight="1">
      <x:c r="A24" s="11" t="str">
        <x:v>688235.SH</x:v>
      </x:c>
      <x:c r="B24" s="11" t="str">
        <x:v>五年</x:v>
      </x:c>
      <x:c r="C24" s="11" t="str">
        <x:v>悲观</x:v>
      </x:c>
      <x:c r="D24" s="16" t="n">
        <x:v>4.7</x:v>
      </x:c>
      <x:c r="E24" s="16" t="n">
        <x:v>0.9</x:v>
      </x:c>
      <x:c r="F24" s="16" t="n">
        <x:v>0.6</x:v>
      </x:c>
      <x:c r="G24" s="16" t="n">
        <x:v>0.3</x:v>
      </x:c>
      <x:c r="H24" s="16" t="n">
        <x:v>0.25</x:v>
      </x:c>
      <x:c r="I24" s="16" t="n">
        <x:v>0.95</x:v>
      </x:c>
      <x:c r="J24" s="16" t="n">
        <x:v>0.85</x:v>
      </x:c>
      <x:c r="K24" s="16" t="n">
        <x:v>3.1</x:v>
      </x:c>
      <x:c r="L24" s="16" t="n">
        <x:v>2.9</x:v>
      </x:c>
      <x:c r="M24" s="16" t="n">
        <x:v>0.24</x:v>
      </x:c>
      <x:c r="N24" s="16" t="n">
        <x:v>1.84</x:v>
      </x:c>
    </x:row>
    <x:row r="25" ht="23" customHeight="1">
      <x:c r="A25" s="11" t="str">
        <x:v>688235.SH</x:v>
      </x:c>
      <x:c r="B25" s="11" t="str">
        <x:v>五年</x:v>
      </x:c>
      <x:c r="C25" s="11" t="str">
        <x:v>基准</x:v>
      </x:c>
      <x:c r="D25" s="16" t="n">
        <x:v>8.3</x:v>
      </x:c>
      <x:c r="E25" s="16" t="n">
        <x:v>2.1</x:v>
      </x:c>
      <x:c r="F25" s="16" t="n">
        <x:v>2.8</x:v>
      </x:c>
      <x:c r="G25" s="16" t="n">
        <x:v>1.8</x:v>
      </x:c>
      <x:c r="H25" s="16" t="n">
        <x:v>1.4</x:v>
      </x:c>
      <x:c r="I25" s="16" t="n">
        <x:v>1.1</x:v>
      </x:c>
      <x:c r="J25" s="16" t="n">
        <x:v>0.89</x:v>
      </x:c>
      <x:c r="K25" s="16" t="n">
        <x:v>4.4</x:v>
      </x:c>
      <x:c r="L25" s="16" t="n">
        <x:v>4.4</x:v>
      </x:c>
      <x:c r="M25" s="16" t="n">
        <x:v>0.22</x:v>
      </x:c>
      <x:c r="N25" s="16" t="n">
        <x:v>1.8</x:v>
      </x:c>
    </x:row>
    <x:row r="26" ht="23" customHeight="1">
      <x:c r="A26" s="11" t="str">
        <x:v>688235.SH</x:v>
      </x:c>
      <x:c r="B26" s="11" t="str">
        <x:v>五年</x:v>
      </x:c>
      <x:c r="C26" s="11" t="str">
        <x:v>乐观</x:v>
      </x:c>
      <x:c r="D26" s="16" t="n">
        <x:v>10</x:v>
      </x:c>
      <x:c r="E26" s="16" t="n">
        <x:v>2.6</x:v>
      </x:c>
      <x:c r="F26" s="16" t="n">
        <x:v>4.3</x:v>
      </x:c>
      <x:c r="G26" s="16" t="n">
        <x:v>3</x:v>
      </x:c>
      <x:c r="H26" s="16" t="n">
        <x:v>3.2</x:v>
      </x:c>
      <x:c r="I26" s="16" t="n">
        <x:v>1.3</x:v>
      </x:c>
      <x:c r="J26" s="16" t="n">
        <x:v>0.91</x:v>
      </x:c>
      <x:c r="K26" s="16" t="n">
        <x:v>5.5</x:v>
      </x:c>
      <x:c r="L26" s="16" t="n">
        <x:v>5.5</x:v>
      </x:c>
      <x:c r="M26" s="16" t="n">
        <x:v>0.2</x:v>
      </x:c>
      <x:c r="N26" s="16" t="n">
        <x:v>1.7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4" t="str">
        <x:v>地区收入与经营利润率 · CNY十亿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中国含港澳台收入</x:v>
      </x:c>
      <x:c r="E6" s="12" t="str">
        <x:v>中国EBIT率</x:v>
      </x:c>
      <x:c r="F6" s="12" t="str">
        <x:v>海外收入</x:v>
      </x:c>
      <x:c r="G6" s="12" t="str">
        <x:v>海外EBIT率</x:v>
      </x:c>
      <x:c r="H6" s="12" t="str">
        <x:v>企业中心成本</x:v>
      </x:c>
      <x:c r="I6" s="12" t="str">
        <x:v>正常其他税前</x:v>
      </x:c>
      <x:c r="J6" s="12" t="str">
        <x:v>税率</x:v>
      </x:c>
      <x:c r="K6" s="12" t="str">
        <x:v>归母比例</x:v>
      </x:c>
      <x:c r="L6" s="12" t="str">
        <x:v>摊薄股数十亿</x:v>
      </x:c>
    </x:row>
    <x:row r="7" ht="23" customHeight="1">
      <x:c r="A7" s="11" t="str">
        <x:v>09992.HK</x:v>
      </x:c>
      <x:c r="B7" s="11" t="str">
        <x:v>2026年底</x:v>
      </x:c>
      <x:c r="C7" s="11" t="str">
        <x:v>活动输入</x:v>
      </x:c>
      <x:c r="D7" s="11" t="n">
        <x:f>CHOOSE('假设'!$B$3,D8,D9,D10)</x:f>
        <x:v>25.5</x:v>
      </x:c>
      <x:c r="E7" s="11" t="n">
        <x:f>CHOOSE('假设'!$B$3,E8,E9,E10)</x:f>
        <x:v>0.5</x:v>
      </x:c>
      <x:c r="F7" s="11" t="n">
        <x:f>CHOOSE('假设'!$B$3,F8,F9,F10)</x:f>
        <x:v>9.5</x:v>
      </x:c>
      <x:c r="G7" s="11" t="n">
        <x:f>CHOOSE('假设'!$B$3,G8,G9,G10)</x:f>
        <x:v>0.28</x:v>
      </x:c>
      <x:c r="H7" s="11" t="n">
        <x:f>CHOOSE('假设'!$B$3,H8,H9,H10)</x:f>
        <x:v>1.8</x:v>
      </x:c>
      <x:c r="I7" s="11" t="n">
        <x:f>CHOOSE('假设'!$B$3,I8,I9,I10)</x:f>
        <x:v>0.1</x:v>
      </x:c>
      <x:c r="J7" s="11" t="n">
        <x:f>CHOOSE('假设'!$B$3,J8,J9,J10)</x:f>
        <x:v>0.25</x:v>
      </x:c>
      <x:c r="K7" s="11" t="n">
        <x:f>CHOOSE('假设'!$B$3,K8,K9,K10)</x:f>
        <x:v>0.988</x:v>
      </x:c>
      <x:c r="L7" s="11" t="n">
        <x:f>CHOOSE('假设'!$B$3,L8,L9,L10)</x:f>
        <x:v>1.32</x:v>
      </x:c>
    </x:row>
    <x:row r="8" ht="23" customHeight="1">
      <x:c r="A8" s="11" t="str">
        <x:v>09992.HK</x:v>
      </x:c>
      <x:c r="B8" s="11" t="str">
        <x:v>2026年底</x:v>
      </x:c>
      <x:c r="C8" s="11" t="str">
        <x:v>悲观</x:v>
      </x:c>
      <x:c r="D8" s="16" t="n">
        <x:v>22</x:v>
      </x:c>
      <x:c r="E8" s="16" t="n">
        <x:v>0.42</x:v>
      </x:c>
      <x:c r="F8" s="16" t="n">
        <x:v>6.5</x:v>
      </x:c>
      <x:c r="G8" s="16" t="n">
        <x:v>0.16</x:v>
      </x:c>
      <x:c r="H8" s="16" t="n">
        <x:v>1.8</x:v>
      </x:c>
      <x:c r="I8" s="16" t="n">
        <x:v>0.05</x:v>
      </x:c>
      <x:c r="J8" s="16" t="n">
        <x:v>0.25</x:v>
      </x:c>
      <x:c r="K8" s="16" t="n">
        <x:v>0.98</x:v>
      </x:c>
      <x:c r="L8" s="16" t="n">
        <x:v>1.35</x:v>
      </x:c>
    </x:row>
    <x:row r="9" ht="23" customHeight="1">
      <x:c r="A9" s="11" t="str">
        <x:v>09992.HK</x:v>
      </x:c>
      <x:c r="B9" s="11" t="str">
        <x:v>2026年底</x:v>
      </x:c>
      <x:c r="C9" s="11" t="str">
        <x:v>基准</x:v>
      </x:c>
      <x:c r="D9" s="16" t="n">
        <x:v>25.5</x:v>
      </x:c>
      <x:c r="E9" s="16" t="n">
        <x:v>0.5</x:v>
      </x:c>
      <x:c r="F9" s="16" t="n">
        <x:v>9.5</x:v>
      </x:c>
      <x:c r="G9" s="16" t="n">
        <x:v>0.28</x:v>
      </x:c>
      <x:c r="H9" s="16" t="n">
        <x:v>1.8</x:v>
      </x:c>
      <x:c r="I9" s="16" t="n">
        <x:v>0.1</x:v>
      </x:c>
      <x:c r="J9" s="16" t="n">
        <x:v>0.25</x:v>
      </x:c>
      <x:c r="K9" s="16" t="n">
        <x:v>0.988</x:v>
      </x:c>
      <x:c r="L9" s="16" t="n">
        <x:v>1.32</x:v>
      </x:c>
    </x:row>
    <x:row r="10" ht="23" customHeight="1">
      <x:c r="A10" s="11" t="str">
        <x:v>09992.HK</x:v>
      </x:c>
      <x:c r="B10" s="11" t="str">
        <x:v>2026年底</x:v>
      </x:c>
      <x:c r="C10" s="11" t="str">
        <x:v>乐观</x:v>
      </x:c>
      <x:c r="D10" s="16" t="n">
        <x:v>28</x:v>
      </x:c>
      <x:c r="E10" s="16" t="n">
        <x:v>0.53</x:v>
      </x:c>
      <x:c r="F10" s="16" t="n">
        <x:v>13</x:v>
      </x:c>
      <x:c r="G10" s="16" t="n">
        <x:v>0.36</x:v>
      </x:c>
      <x:c r="H10" s="16" t="n">
        <x:v>1.9</x:v>
      </x:c>
      <x:c r="I10" s="16" t="n">
        <x:v>0.15</x:v>
      </x:c>
      <x:c r="J10" s="16" t="n">
        <x:v>0.25</x:v>
      </x:c>
      <x:c r="K10" s="16" t="n">
        <x:v>0.99</x:v>
      </x:c>
      <x:c r="L10" s="16" t="n">
        <x:v>1.3</x:v>
      </x:c>
    </x:row>
    <x:row r="11" ht="23" customHeight="1">
      <x:c r="A11" s="11" t="str">
        <x:v>09992.HK</x:v>
      </x:c>
      <x:c r="B11" s="11" t="str">
        <x:v>半年</x:v>
      </x:c>
      <x:c r="C11" s="11" t="str">
        <x:v>活动输入</x:v>
      </x:c>
      <x:c r="D11" s="11" t="n">
        <x:f>CHOOSE('假设'!$B$3,D12,D13,D14)</x:f>
        <x:v>27</x:v>
      </x:c>
      <x:c r="E11" s="11" t="n">
        <x:f>CHOOSE('假设'!$B$3,E12,E13,E14)</x:f>
        <x:v>0.5</x:v>
      </x:c>
      <x:c r="F11" s="11" t="n">
        <x:f>CHOOSE('假设'!$B$3,F12,F13,F14)</x:f>
        <x:v>10.8</x:v>
      </x:c>
      <x:c r="G11" s="11" t="n">
        <x:f>CHOOSE('假设'!$B$3,G12,G13,G14)</x:f>
        <x:v>0.3</x:v>
      </x:c>
      <x:c r="H11" s="11" t="n">
        <x:f>CHOOSE('假设'!$B$3,H12,H13,H14)</x:f>
        <x:v>1.85</x:v>
      </x:c>
      <x:c r="I11" s="11" t="n">
        <x:f>CHOOSE('假设'!$B$3,I12,I13,I14)</x:f>
        <x:v>0.1</x:v>
      </x:c>
      <x:c r="J11" s="11" t="n">
        <x:f>CHOOSE('假设'!$B$3,J12,J13,J14)</x:f>
        <x:v>0.25</x:v>
      </x:c>
      <x:c r="K11" s="11" t="n">
        <x:f>CHOOSE('假设'!$B$3,K12,K13,K14)</x:f>
        <x:v>0.988</x:v>
      </x:c>
      <x:c r="L11" s="11" t="n">
        <x:f>CHOOSE('假设'!$B$3,L12,L13,L14)</x:f>
        <x:v>1.31</x:v>
      </x:c>
    </x:row>
    <x:row r="12" ht="23" customHeight="1">
      <x:c r="A12" s="11" t="str">
        <x:v>09992.HK</x:v>
      </x:c>
      <x:c r="B12" s="11" t="str">
        <x:v>半年</x:v>
      </x:c>
      <x:c r="C12" s="11" t="str">
        <x:v>悲观</x:v>
      </x:c>
      <x:c r="D12" s="16" t="n">
        <x:v>21</x:v>
      </x:c>
      <x:c r="E12" s="16" t="n">
        <x:v>0.4</x:v>
      </x:c>
      <x:c r="F12" s="16" t="n">
        <x:v>6</x:v>
      </x:c>
      <x:c r="G12" s="16" t="n">
        <x:v>0.14</x:v>
      </x:c>
      <x:c r="H12" s="16" t="n">
        <x:v>1.9</x:v>
      </x:c>
      <x:c r="I12" s="16" t="n">
        <x:v>0.05</x:v>
      </x:c>
      <x:c r="J12" s="16" t="n">
        <x:v>0.25</x:v>
      </x:c>
      <x:c r="K12" s="16" t="n">
        <x:v>0.98</x:v>
      </x:c>
      <x:c r="L12" s="16" t="n">
        <x:v>1.36</x:v>
      </x:c>
    </x:row>
    <x:row r="13" ht="23" customHeight="1">
      <x:c r="A13" s="11" t="str">
        <x:v>09992.HK</x:v>
      </x:c>
      <x:c r="B13" s="11" t="str">
        <x:v>半年</x:v>
      </x:c>
      <x:c r="C13" s="11" t="str">
        <x:v>基准</x:v>
      </x:c>
      <x:c r="D13" s="16" t="n">
        <x:v>27</x:v>
      </x:c>
      <x:c r="E13" s="16" t="n">
        <x:v>0.5</x:v>
      </x:c>
      <x:c r="F13" s="16" t="n">
        <x:v>10.8</x:v>
      </x:c>
      <x:c r="G13" s="16" t="n">
        <x:v>0.3</x:v>
      </x:c>
      <x:c r="H13" s="16" t="n">
        <x:v>1.85</x:v>
      </x:c>
      <x:c r="I13" s="16" t="n">
        <x:v>0.1</x:v>
      </x:c>
      <x:c r="J13" s="16" t="n">
        <x:v>0.25</x:v>
      </x:c>
      <x:c r="K13" s="16" t="n">
        <x:v>0.988</x:v>
      </x:c>
      <x:c r="L13" s="16" t="n">
        <x:v>1.31</x:v>
      </x:c>
    </x:row>
    <x:row r="14" ht="23" customHeight="1">
      <x:c r="A14" s="11" t="str">
        <x:v>09992.HK</x:v>
      </x:c>
      <x:c r="B14" s="11" t="str">
        <x:v>半年</x:v>
      </x:c>
      <x:c r="C14" s="11" t="str">
        <x:v>乐观</x:v>
      </x:c>
      <x:c r="D14" s="16" t="n">
        <x:v>30</x:v>
      </x:c>
      <x:c r="E14" s="16" t="n">
        <x:v>0.53</x:v>
      </x:c>
      <x:c r="F14" s="16" t="n">
        <x:v>16</x:v>
      </x:c>
      <x:c r="G14" s="16" t="n">
        <x:v>0.38</x:v>
      </x:c>
      <x:c r="H14" s="16" t="n">
        <x:v>2</x:v>
      </x:c>
      <x:c r="I14" s="16" t="n">
        <x:v>0.15</x:v>
      </x:c>
      <x:c r="J14" s="16" t="n">
        <x:v>0.25</x:v>
      </x:c>
      <x:c r="K14" s="16" t="n">
        <x:v>0.99</x:v>
      </x:c>
      <x:c r="L14" s="16" t="n">
        <x:v>1.29</x:v>
      </x:c>
    </x:row>
    <x:row r="15" ht="23" customHeight="1">
      <x:c r="A15" s="11" t="str">
        <x:v>09992.HK</x:v>
      </x:c>
      <x:c r="B15" s="11" t="str">
        <x:v>一年</x:v>
      </x:c>
      <x:c r="C15" s="11" t="str">
        <x:v>活动输入</x:v>
      </x:c>
      <x:c r="D15" s="11" t="n">
        <x:f>CHOOSE('假设'!$B$3,D16,D17,D18)</x:f>
        <x:v>30</x:v>
      </x:c>
      <x:c r="E15" s="11" t="n">
        <x:f>CHOOSE('假设'!$B$3,E16,E17,E18)</x:f>
        <x:v>0.5</x:v>
      </x:c>
      <x:c r="F15" s="11" t="n">
        <x:f>CHOOSE('假设'!$B$3,F16,F17,F18)</x:f>
        <x:v>13</x:v>
      </x:c>
      <x:c r="G15" s="11" t="n">
        <x:f>CHOOSE('假设'!$B$3,G16,G17,G18)</x:f>
        <x:v>0.33</x:v>
      </x:c>
      <x:c r="H15" s="11" t="n">
        <x:f>CHOOSE('假设'!$B$3,H16,H17,H18)</x:f>
        <x:v>2</x:v>
      </x:c>
      <x:c r="I15" s="11" t="n">
        <x:f>CHOOSE('假设'!$B$3,I16,I17,I18)</x:f>
        <x:v>0.15</x:v>
      </x:c>
      <x:c r="J15" s="11" t="n">
        <x:f>CHOOSE('假设'!$B$3,J16,J17,J18)</x:f>
        <x:v>0.25</x:v>
      </x:c>
      <x:c r="K15" s="11" t="n">
        <x:f>CHOOSE('假设'!$B$3,K16,K17,K18)</x:f>
        <x:v>0.99</x:v>
      </x:c>
      <x:c r="L15" s="11" t="n">
        <x:f>CHOOSE('假设'!$B$3,L16,L17,L18)</x:f>
        <x:v>1.3</x:v>
      </x:c>
    </x:row>
    <x:row r="16" ht="23" customHeight="1">
      <x:c r="A16" s="11" t="str">
        <x:v>09992.HK</x:v>
      </x:c>
      <x:c r="B16" s="11" t="str">
        <x:v>一年</x:v>
      </x:c>
      <x:c r="C16" s="11" t="str">
        <x:v>悲观</x:v>
      </x:c>
      <x:c r="D16" s="16" t="n">
        <x:v>21.5</x:v>
      </x:c>
      <x:c r="E16" s="16" t="n">
        <x:v>0.39</x:v>
      </x:c>
      <x:c r="F16" s="16" t="n">
        <x:v>6.2</x:v>
      </x:c>
      <x:c r="G16" s="16" t="n">
        <x:v>0.12</x:v>
      </x:c>
      <x:c r="H16" s="16" t="n">
        <x:v>2</x:v>
      </x:c>
      <x:c r="I16" s="16" t="n">
        <x:v>0.05</x:v>
      </x:c>
      <x:c r="J16" s="16" t="n">
        <x:v>0.25</x:v>
      </x:c>
      <x:c r="K16" s="16" t="n">
        <x:v>0.98</x:v>
      </x:c>
      <x:c r="L16" s="16" t="n">
        <x:v>1.38</x:v>
      </x:c>
    </x:row>
    <x:row r="17" ht="23" customHeight="1">
      <x:c r="A17" s="11" t="str">
        <x:v>09992.HK</x:v>
      </x:c>
      <x:c r="B17" s="11" t="str">
        <x:v>一年</x:v>
      </x:c>
      <x:c r="C17" s="11" t="str">
        <x:v>基准</x:v>
      </x:c>
      <x:c r="D17" s="16" t="n">
        <x:v>30</x:v>
      </x:c>
      <x:c r="E17" s="16" t="n">
        <x:v>0.5</x:v>
      </x:c>
      <x:c r="F17" s="16" t="n">
        <x:v>13</x:v>
      </x:c>
      <x:c r="G17" s="16" t="n">
        <x:v>0.33</x:v>
      </x:c>
      <x:c r="H17" s="16" t="n">
        <x:v>2</x:v>
      </x:c>
      <x:c r="I17" s="16" t="n">
        <x:v>0.15</x:v>
      </x:c>
      <x:c r="J17" s="16" t="n">
        <x:v>0.25</x:v>
      </x:c>
      <x:c r="K17" s="16" t="n">
        <x:v>0.99</x:v>
      </x:c>
      <x:c r="L17" s="16" t="n">
        <x:v>1.3</x:v>
      </x:c>
    </x:row>
    <x:row r="18" ht="23" customHeight="1">
      <x:c r="A18" s="11" t="str">
        <x:v>09992.HK</x:v>
      </x:c>
      <x:c r="B18" s="11" t="str">
        <x:v>一年</x:v>
      </x:c>
      <x:c r="C18" s="11" t="str">
        <x:v>乐观</x:v>
      </x:c>
      <x:c r="D18" s="16" t="n">
        <x:v>34</x:v>
      </x:c>
      <x:c r="E18" s="16" t="n">
        <x:v>0.54</x:v>
      </x:c>
      <x:c r="F18" s="16" t="n">
        <x:v>21</x:v>
      </x:c>
      <x:c r="G18" s="16" t="n">
        <x:v>0.4</x:v>
      </x:c>
      <x:c r="H18" s="16" t="n">
        <x:v>2.2</x:v>
      </x:c>
      <x:c r="I18" s="16" t="n">
        <x:v>0.2</x:v>
      </x:c>
      <x:c r="J18" s="16" t="n">
        <x:v>0.25</x:v>
      </x:c>
      <x:c r="K18" s="16" t="n">
        <x:v>0.99</x:v>
      </x:c>
      <x:c r="L18" s="16" t="n">
        <x:v>1.27</x:v>
      </x:c>
    </x:row>
    <x:row r="19" ht="23" customHeight="1">
      <x:c r="A19" s="11" t="str">
        <x:v>09992.HK</x:v>
      </x:c>
      <x:c r="B19" s="11" t="str">
        <x:v>三年</x:v>
      </x:c>
      <x:c r="C19" s="11" t="str">
        <x:v>活动输入</x:v>
      </x:c>
      <x:c r="D19" s="11" t="n">
        <x:f>CHOOSE('假设'!$B$3,D20,D21,D22)</x:f>
        <x:v>41</x:v>
      </x:c>
      <x:c r="E19" s="11" t="n">
        <x:f>CHOOSE('假设'!$B$3,E20,E21,E22)</x:f>
        <x:v>0.49</x:v>
      </x:c>
      <x:c r="F19" s="11" t="n">
        <x:f>CHOOSE('假设'!$B$3,F20,F21,F22)</x:f>
        <x:v>24</x:v>
      </x:c>
      <x:c r="G19" s="11" t="n">
        <x:f>CHOOSE('假设'!$B$3,G20,G21,G22)</x:f>
        <x:v>0.34</x:v>
      </x:c>
      <x:c r="H19" s="11" t="n">
        <x:f>CHOOSE('假设'!$B$3,H20,H21,H22)</x:f>
        <x:v>2.8</x:v>
      </x:c>
      <x:c r="I19" s="11" t="n">
        <x:f>CHOOSE('假设'!$B$3,I20,I21,I22)</x:f>
        <x:v>0.2</x:v>
      </x:c>
      <x:c r="J19" s="11" t="n">
        <x:f>CHOOSE('假设'!$B$3,J20,J21,J22)</x:f>
        <x:v>0.25</x:v>
      </x:c>
      <x:c r="K19" s="11" t="n">
        <x:f>CHOOSE('假设'!$B$3,K20,K21,K22)</x:f>
        <x:v>0.99</x:v>
      </x:c>
      <x:c r="L19" s="11" t="n">
        <x:f>CHOOSE('假设'!$B$3,L20,L21,L22)</x:f>
        <x:v>1.27</x:v>
      </x:c>
    </x:row>
    <x:row r="20" ht="23" customHeight="1">
      <x:c r="A20" s="11" t="str">
        <x:v>09992.HK</x:v>
      </x:c>
      <x:c r="B20" s="11" t="str">
        <x:v>三年</x:v>
      </x:c>
      <x:c r="C20" s="11" t="str">
        <x:v>悲观</x:v>
      </x:c>
      <x:c r="D20" s="16" t="n">
        <x:v>23</x:v>
      </x:c>
      <x:c r="E20" s="16" t="n">
        <x:v>0.34</x:v>
      </x:c>
      <x:c r="F20" s="16" t="n">
        <x:v>7.5</x:v>
      </x:c>
      <x:c r="G20" s="16" t="n">
        <x:v>0.1</x:v>
      </x:c>
      <x:c r="H20" s="16" t="n">
        <x:v>2.3</x:v>
      </x:c>
      <x:c r="I20" s="16" t="n">
        <x:v>0</x:v>
      </x:c>
      <x:c r="J20" s="16" t="n">
        <x:v>0.25</x:v>
      </x:c>
      <x:c r="K20" s="16" t="n">
        <x:v>0.97</x:v>
      </x:c>
      <x:c r="L20" s="16" t="n">
        <x:v>1.42</x:v>
      </x:c>
    </x:row>
    <x:row r="21" ht="23" customHeight="1">
      <x:c r="A21" s="11" t="str">
        <x:v>09992.HK</x:v>
      </x:c>
      <x:c r="B21" s="11" t="str">
        <x:v>三年</x:v>
      </x:c>
      <x:c r="C21" s="11" t="str">
        <x:v>基准</x:v>
      </x:c>
      <x:c r="D21" s="16" t="n">
        <x:v>41</x:v>
      </x:c>
      <x:c r="E21" s="16" t="n">
        <x:v>0.49</x:v>
      </x:c>
      <x:c r="F21" s="16" t="n">
        <x:v>24</x:v>
      </x:c>
      <x:c r="G21" s="16" t="n">
        <x:v>0.34</x:v>
      </x:c>
      <x:c r="H21" s="16" t="n">
        <x:v>2.8</x:v>
      </x:c>
      <x:c r="I21" s="16" t="n">
        <x:v>0.2</x:v>
      </x:c>
      <x:c r="J21" s="16" t="n">
        <x:v>0.25</x:v>
      </x:c>
      <x:c r="K21" s="16" t="n">
        <x:v>0.99</x:v>
      </x:c>
      <x:c r="L21" s="16" t="n">
        <x:v>1.27</x:v>
      </x:c>
    </x:row>
    <x:row r="22" ht="23" customHeight="1">
      <x:c r="A22" s="11" t="str">
        <x:v>09992.HK</x:v>
      </x:c>
      <x:c r="B22" s="11" t="str">
        <x:v>三年</x:v>
      </x:c>
      <x:c r="C22" s="11" t="str">
        <x:v>乐观</x:v>
      </x:c>
      <x:c r="D22" s="16" t="n">
        <x:v>58</x:v>
      </x:c>
      <x:c r="E22" s="16" t="n">
        <x:v>0.54</x:v>
      </x:c>
      <x:c r="F22" s="16" t="n">
        <x:v>48</x:v>
      </x:c>
      <x:c r="G22" s="16" t="n">
        <x:v>0.42</x:v>
      </x:c>
      <x:c r="H22" s="16" t="n">
        <x:v>4</x:v>
      </x:c>
      <x:c r="I22" s="16" t="n">
        <x:v>0.3</x:v>
      </x:c>
      <x:c r="J22" s="16" t="n">
        <x:v>0.25</x:v>
      </x:c>
      <x:c r="K22" s="16" t="n">
        <x:v>0.99</x:v>
      </x:c>
      <x:c r="L22" s="16" t="n">
        <x:v>1.22</x:v>
      </x:c>
    </x:row>
    <x:row r="23" ht="23" customHeight="1">
      <x:c r="A23" s="11" t="str">
        <x:v>09992.HK</x:v>
      </x:c>
      <x:c r="B23" s="11" t="str">
        <x:v>五年</x:v>
      </x:c>
      <x:c r="C23" s="11" t="str">
        <x:v>活动输入</x:v>
      </x:c>
      <x:c r="D23" s="11" t="n">
        <x:f>CHOOSE('假设'!$B$3,D24,D25,D26)</x:f>
        <x:v>53</x:v>
      </x:c>
      <x:c r="E23" s="11" t="n">
        <x:f>CHOOSE('假设'!$B$3,E24,E25,E26)</x:f>
        <x:v>0.48</x:v>
      </x:c>
      <x:c r="F23" s="11" t="n">
        <x:f>CHOOSE('假设'!$B$3,F24,F25,F26)</x:f>
        <x:v>37</x:v>
      </x:c>
      <x:c r="G23" s="11" t="n">
        <x:f>CHOOSE('假设'!$B$3,G24,G25,G26)</x:f>
        <x:v>0.35</x:v>
      </x:c>
      <x:c r="H23" s="11" t="n">
        <x:f>CHOOSE('假设'!$B$3,H24,H25,H26)</x:f>
        <x:v>3.8</x:v>
      </x:c>
      <x:c r="I23" s="11" t="n">
        <x:f>CHOOSE('假设'!$B$3,I24,I25,I26)</x:f>
        <x:v>0.2</x:v>
      </x:c>
      <x:c r="J23" s="11" t="n">
        <x:f>CHOOSE('假设'!$B$3,J24,J25,J26)</x:f>
        <x:v>0.25</x:v>
      </x:c>
      <x:c r="K23" s="11" t="n">
        <x:f>CHOOSE('假设'!$B$3,K24,K25,K26)</x:f>
        <x:v>0.99</x:v>
      </x:c>
      <x:c r="L23" s="11" t="n">
        <x:f>CHOOSE('假设'!$B$3,L24,L25,L26)</x:f>
        <x:v>1.25</x:v>
      </x:c>
    </x:row>
    <x:row r="24" ht="23" customHeight="1">
      <x:c r="A24" s="11" t="str">
        <x:v>09992.HK</x:v>
      </x:c>
      <x:c r="B24" s="11" t="str">
        <x:v>五年</x:v>
      </x:c>
      <x:c r="C24" s="11" t="str">
        <x:v>悲观</x:v>
      </x:c>
      <x:c r="D24" s="16" t="n">
        <x:v>25</x:v>
      </x:c>
      <x:c r="E24" s="16" t="n">
        <x:v>0.3</x:v>
      </x:c>
      <x:c r="F24" s="16" t="n">
        <x:v>9</x:v>
      </x:c>
      <x:c r="G24" s="16" t="n">
        <x:v>0.08</x:v>
      </x:c>
      <x:c r="H24" s="16" t="n">
        <x:v>2.6</x:v>
      </x:c>
      <x:c r="I24" s="16" t="n">
        <x:v>0</x:v>
      </x:c>
      <x:c r="J24" s="16" t="n">
        <x:v>0.25</x:v>
      </x:c>
      <x:c r="K24" s="16" t="n">
        <x:v>0.97</x:v>
      </x:c>
      <x:c r="L24" s="16" t="n">
        <x:v>1.48</x:v>
      </x:c>
    </x:row>
    <x:row r="25" ht="23" customHeight="1">
      <x:c r="A25" s="11" t="str">
        <x:v>09992.HK</x:v>
      </x:c>
      <x:c r="B25" s="11" t="str">
        <x:v>五年</x:v>
      </x:c>
      <x:c r="C25" s="11" t="str">
        <x:v>基准</x:v>
      </x:c>
      <x:c r="D25" s="16" t="n">
        <x:v>53</x:v>
      </x:c>
      <x:c r="E25" s="16" t="n">
        <x:v>0.48</x:v>
      </x:c>
      <x:c r="F25" s="16" t="n">
        <x:v>37</x:v>
      </x:c>
      <x:c r="G25" s="16" t="n">
        <x:v>0.35</x:v>
      </x:c>
      <x:c r="H25" s="16" t="n">
        <x:v>3.8</x:v>
      </x:c>
      <x:c r="I25" s="16" t="n">
        <x:v>0.2</x:v>
      </x:c>
      <x:c r="J25" s="16" t="n">
        <x:v>0.25</x:v>
      </x:c>
      <x:c r="K25" s="16" t="n">
        <x:v>0.99</x:v>
      </x:c>
      <x:c r="L25" s="16" t="n">
        <x:v>1.25</x:v>
      </x:c>
    </x:row>
    <x:row r="26" ht="23" customHeight="1">
      <x:c r="A26" s="11" t="str">
        <x:v>09992.HK</x:v>
      </x:c>
      <x:c r="B26" s="11" t="str">
        <x:v>五年</x:v>
      </x:c>
      <x:c r="C26" s="11" t="str">
        <x:v>乐观</x:v>
      </x:c>
      <x:c r="D26" s="16" t="n">
        <x:v>85</x:v>
      </x:c>
      <x:c r="E26" s="16" t="n">
        <x:v>0.54</x:v>
      </x:c>
      <x:c r="F26" s="16" t="n">
        <x:v>83</x:v>
      </x:c>
      <x:c r="G26" s="16" t="n">
        <x:v>0.43</x:v>
      </x:c>
      <x:c r="H26" s="16" t="n">
        <x:v>6</x:v>
      </x:c>
      <x:c r="I26" s="16" t="n">
        <x:v>0.3</x:v>
      </x:c>
      <x:c r="J26" s="16" t="n">
        <x:v>0.25</x:v>
      </x:c>
      <x:c r="K26" s="16" t="n">
        <x:v>0.99</x:v>
      </x:c>
      <x:c r="L26" s="16" t="n">
        <x:v>1.18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核心盈利与新业务价值 · CNY十亿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期限</x:v>
      </x:c>
      <x:c r="C6" s="12" t="str">
        <x:v>情景</x:v>
      </x:c>
      <x:c r="D6" s="12" t="str">
        <x:v>核心收入</x:v>
      </x:c>
      <x:c r="E6" s="12" t="str">
        <x:v>核心EBIT率</x:v>
      </x:c>
      <x:c r="F6" s="12" t="str">
        <x:v>企业中心成本</x:v>
      </x:c>
      <x:c r="G6" s="12" t="str">
        <x:v>税率</x:v>
      </x:c>
      <x:c r="H6" s="12" t="str">
        <x:v>归母比例</x:v>
      </x:c>
      <x:c r="I6" s="12" t="str">
        <x:v>稀释股数十亿</x:v>
      </x:c>
      <x:c r="J6" s="12" t="str">
        <x:v>新业务收入</x:v>
      </x:c>
      <x:c r="K6" s="12" t="str">
        <x:v>新业务EV销售倍数</x:v>
      </x:c>
      <x:c r="L6" s="12" t="str">
        <x:v>可分配净资金</x:v>
      </x:c>
      <x:c r="M6" s="12" t="str">
        <x:v>过渡融资现值</x:v>
      </x:c>
    </x:row>
    <x:row r="7" ht="23" customHeight="1">
      <x:c r="A7" s="11" t="str">
        <x:v>00268.HK</x:v>
      </x:c>
      <x:c r="B7" s="11" t="str">
        <x:v>2026年底</x:v>
      </x:c>
      <x:c r="C7" s="11" t="str">
        <x:v>活动输入</x:v>
      </x:c>
      <x:c r="D7" s="11" t="n">
        <x:f>CHOOSE('假设'!$B$3,D8,D9,D10)</x:f>
        <x:v>0.9</x:v>
      </x:c>
      <x:c r="E7" s="11" t="n">
        <x:f>CHOOSE('假设'!$B$3,E8,E9,E10)</x:f>
        <x:v>0.18</x:v>
      </x:c>
      <x:c r="F7" s="11" t="n">
        <x:f>CHOOSE('假设'!$B$3,F8,F9,F10)</x:f>
        <x:v>0</x:v>
      </x:c>
      <x:c r="G7" s="11" t="n">
        <x:f>CHOOSE('假设'!$B$3,G8,G9,G10)</x:f>
        <x:v>0.2</x:v>
      </x:c>
      <x:c r="H7" s="11" t="n">
        <x:f>CHOOSE('假设'!$B$3,H8,H9,H10)</x:f>
        <x:v>1</x:v>
      </x:c>
      <x:c r="I7" s="11" t="n">
        <x:f>CHOOSE('假设'!$B$3,I8,I9,I10)</x:f>
        <x:v>3.54</x:v>
      </x:c>
      <x:c r="J7" s="11" t="n">
        <x:f>CHOOSE('假设'!$B$3,J8,J9,J10)</x:f>
        <x:v>7</x:v>
      </x:c>
      <x:c r="K7" s="11" t="n">
        <x:f>CHOOSE('假设'!$B$3,K8,K9,K10)</x:f>
        <x:v>4</x:v>
      </x:c>
      <x:c r="L7" s="11" t="n">
        <x:f>CHOOSE('假设'!$B$3,L8,L9,L10)</x:f>
        <x:v>1</x:v>
      </x:c>
      <x:c r="M7" s="11" t="n">
        <x:f>CHOOSE('假设'!$B$3,M8,M9,M10)</x:f>
        <x:v>0.9</x:v>
      </x:c>
    </x:row>
    <x:row r="8" ht="23" customHeight="1">
      <x:c r="A8" s="11" t="str">
        <x:v>00268.HK</x:v>
      </x:c>
      <x:c r="B8" s="11" t="str">
        <x:v>2026年底</x:v>
      </x:c>
      <x:c r="C8" s="11" t="str">
        <x:v>悲观</x:v>
      </x:c>
      <x:c r="D8" s="16" t="n">
        <x:v>0.8</x:v>
      </x:c>
      <x:c r="E8" s="16" t="n">
        <x:v>0.1</x:v>
      </x:c>
      <x:c r="F8" s="16" t="n">
        <x:v>0</x:v>
      </x:c>
      <x:c r="G8" s="16" t="n">
        <x:v>0.2</x:v>
      </x:c>
      <x:c r="H8" s="16" t="n">
        <x:v>1</x:v>
      </x:c>
      <x:c r="I8" s="16" t="n">
        <x:v>3.64</x:v>
      </x:c>
      <x:c r="J8" s="16" t="n">
        <x:v>6</x:v>
      </x:c>
      <x:c r="K8" s="16" t="n">
        <x:v>1.8</x:v>
      </x:c>
      <x:c r="L8" s="16" t="n">
        <x:v>0.4</x:v>
      </x:c>
      <x:c r="M8" s="16" t="n">
        <x:v>1.5</x:v>
      </x:c>
    </x:row>
    <x:row r="9" ht="23" customHeight="1">
      <x:c r="A9" s="11" t="str">
        <x:v>00268.HK</x:v>
      </x:c>
      <x:c r="B9" s="11" t="str">
        <x:v>2026年底</x:v>
      </x:c>
      <x:c r="C9" s="11" t="str">
        <x:v>基准</x:v>
      </x:c>
      <x:c r="D9" s="16" t="n">
        <x:v>0.9</x:v>
      </x:c>
      <x:c r="E9" s="16" t="n">
        <x:v>0.18</x:v>
      </x:c>
      <x:c r="F9" s="16" t="n">
        <x:v>0</x:v>
      </x:c>
      <x:c r="G9" s="16" t="n">
        <x:v>0.2</x:v>
      </x:c>
      <x:c r="H9" s="16" t="n">
        <x:v>1</x:v>
      </x:c>
      <x:c r="I9" s="16" t="n">
        <x:v>3.54</x:v>
      </x:c>
      <x:c r="J9" s="16" t="n">
        <x:v>7</x:v>
      </x:c>
      <x:c r="K9" s="16" t="n">
        <x:v>4</x:v>
      </x:c>
      <x:c r="L9" s="16" t="n">
        <x:v>1</x:v>
      </x:c>
      <x:c r="M9" s="16" t="n">
        <x:v>0.9</x:v>
      </x:c>
    </x:row>
    <x:row r="10" ht="23" customHeight="1">
      <x:c r="A10" s="11" t="str">
        <x:v>00268.HK</x:v>
      </x:c>
      <x:c r="B10" s="11" t="str">
        <x:v>2026年底</x:v>
      </x:c>
      <x:c r="C10" s="11" t="str">
        <x:v>乐观</x:v>
      </x:c>
      <x:c r="D10" s="16" t="n">
        <x:v>0.95</x:v>
      </x:c>
      <x:c r="E10" s="16" t="n">
        <x:v>0.23</x:v>
      </x:c>
      <x:c r="F10" s="16" t="n">
        <x:v>0</x:v>
      </x:c>
      <x:c r="G10" s="16" t="n">
        <x:v>0.2</x:v>
      </x:c>
      <x:c r="H10" s="16" t="n">
        <x:v>1</x:v>
      </x:c>
      <x:c r="I10" s="16" t="n">
        <x:v>3.51</x:v>
      </x:c>
      <x:c r="J10" s="16" t="n">
        <x:v>7.8</x:v>
      </x:c>
      <x:c r="K10" s="16" t="n">
        <x:v>5.3</x:v>
      </x:c>
      <x:c r="L10" s="16" t="n">
        <x:v>1.4</x:v>
      </x:c>
      <x:c r="M10" s="16" t="n">
        <x:v>0.5</x:v>
      </x:c>
    </x:row>
    <x:row r="11" ht="23" customHeight="1">
      <x:c r="A11" s="11" t="str">
        <x:v>00268.HK</x:v>
      </x:c>
      <x:c r="B11" s="11" t="str">
        <x:v>半年</x:v>
      </x:c>
      <x:c r="C11" s="11" t="str">
        <x:v>活动输入</x:v>
      </x:c>
      <x:c r="D11" s="11" t="n">
        <x:f>CHOOSE('假设'!$B$3,D12,D13,D14)</x:f>
        <x:v>0.85</x:v>
      </x:c>
      <x:c r="E11" s="11" t="n">
        <x:f>CHOOSE('假设'!$B$3,E12,E13,E14)</x:f>
        <x:v>0.17</x:v>
      </x:c>
      <x:c r="F11" s="11" t="n">
        <x:f>CHOOSE('假设'!$B$3,F12,F13,F14)</x:f>
        <x:v>0</x:v>
      </x:c>
      <x:c r="G11" s="11" t="n">
        <x:f>CHOOSE('假设'!$B$3,G12,G13,G14)</x:f>
        <x:v>0.2</x:v>
      </x:c>
      <x:c r="H11" s="11" t="n">
        <x:f>CHOOSE('假设'!$B$3,H12,H13,H14)</x:f>
        <x:v>1</x:v>
      </x:c>
      <x:c r="I11" s="11" t="n">
        <x:f>CHOOSE('假设'!$B$3,I12,I13,I14)</x:f>
        <x:v>3.55</x:v>
      </x:c>
      <x:c r="J11" s="11" t="n">
        <x:f>CHOOSE('假设'!$B$3,J12,J13,J14)</x:f>
        <x:v>7.5</x:v>
      </x:c>
      <x:c r="K11" s="11" t="n">
        <x:f>CHOOSE('假设'!$B$3,K12,K13,K14)</x:f>
        <x:v>4.1</x:v>
      </x:c>
      <x:c r="L11" s="11" t="n">
        <x:f>CHOOSE('假设'!$B$3,L12,L13,L14)</x:f>
        <x:v>0.9</x:v>
      </x:c>
      <x:c r="M11" s="11" t="n">
        <x:f>CHOOSE('假设'!$B$3,M12,M13,M14)</x:f>
        <x:v>1</x:v>
      </x:c>
    </x:row>
    <x:row r="12" ht="23" customHeight="1">
      <x:c r="A12" s="11" t="str">
        <x:v>00268.HK</x:v>
      </x:c>
      <x:c r="B12" s="11" t="str">
        <x:v>半年</x:v>
      </x:c>
      <x:c r="C12" s="11" t="str">
        <x:v>悲观</x:v>
      </x:c>
      <x:c r="D12" s="16" t="n">
        <x:v>0.7</x:v>
      </x:c>
      <x:c r="E12" s="16" t="n">
        <x:v>0.08</x:v>
      </x:c>
      <x:c r="F12" s="16" t="n">
        <x:v>0</x:v>
      </x:c>
      <x:c r="G12" s="16" t="n">
        <x:v>0.2</x:v>
      </x:c>
      <x:c r="H12" s="16" t="n">
        <x:v>1</x:v>
      </x:c>
      <x:c r="I12" s="16" t="n">
        <x:v>3.68</x:v>
      </x:c>
      <x:c r="J12" s="16" t="n">
        <x:v>6.1</x:v>
      </x:c>
      <x:c r="K12" s="16" t="n">
        <x:v>1.7</x:v>
      </x:c>
      <x:c r="L12" s="16" t="n">
        <x:v>0.3</x:v>
      </x:c>
      <x:c r="M12" s="16" t="n">
        <x:v>1.6</x:v>
      </x:c>
    </x:row>
    <x:row r="13" ht="23" customHeight="1">
      <x:c r="A13" s="11" t="str">
        <x:v>00268.HK</x:v>
      </x:c>
      <x:c r="B13" s="11" t="str">
        <x:v>半年</x:v>
      </x:c>
      <x:c r="C13" s="11" t="str">
        <x:v>基准</x:v>
      </x:c>
      <x:c r="D13" s="16" t="n">
        <x:v>0.85</x:v>
      </x:c>
      <x:c r="E13" s="16" t="n">
        <x:v>0.17</x:v>
      </x:c>
      <x:c r="F13" s="16" t="n">
        <x:v>0</x:v>
      </x:c>
      <x:c r="G13" s="16" t="n">
        <x:v>0.2</x:v>
      </x:c>
      <x:c r="H13" s="16" t="n">
        <x:v>1</x:v>
      </x:c>
      <x:c r="I13" s="16" t="n">
        <x:v>3.55</x:v>
      </x:c>
      <x:c r="J13" s="16" t="n">
        <x:v>7.5</x:v>
      </x:c>
      <x:c r="K13" s="16" t="n">
        <x:v>4.1</x:v>
      </x:c>
      <x:c r="L13" s="16" t="n">
        <x:v>0.9</x:v>
      </x:c>
      <x:c r="M13" s="16" t="n">
        <x:v>1</x:v>
      </x:c>
    </x:row>
    <x:row r="14" ht="23" customHeight="1">
      <x:c r="A14" s="11" t="str">
        <x:v>00268.HK</x:v>
      </x:c>
      <x:c r="B14" s="11" t="str">
        <x:v>半年</x:v>
      </x:c>
      <x:c r="C14" s="11" t="str">
        <x:v>乐观</x:v>
      </x:c>
      <x:c r="D14" s="16" t="n">
        <x:v>0.95</x:v>
      </x:c>
      <x:c r="E14" s="16" t="n">
        <x:v>0.23</x:v>
      </x:c>
      <x:c r="F14" s="16" t="n">
        <x:v>0</x:v>
      </x:c>
      <x:c r="G14" s="16" t="n">
        <x:v>0.2</x:v>
      </x:c>
      <x:c r="H14" s="16" t="n">
        <x:v>1</x:v>
      </x:c>
      <x:c r="I14" s="16" t="n">
        <x:v>3.51</x:v>
      </x:c>
      <x:c r="J14" s="16" t="n">
        <x:v>8.6</x:v>
      </x:c>
      <x:c r="K14" s="16" t="n">
        <x:v>5.5</x:v>
      </x:c>
      <x:c r="L14" s="16" t="n">
        <x:v>1.4</x:v>
      </x:c>
      <x:c r="M14" s="16" t="n">
        <x:v>0.5</x:v>
      </x:c>
    </x:row>
    <x:row r="15" ht="23" customHeight="1">
      <x:c r="A15" s="11" t="str">
        <x:v>00268.HK</x:v>
      </x:c>
      <x:c r="B15" s="11" t="str">
        <x:v>一年</x:v>
      </x:c>
      <x:c r="C15" s="11" t="str">
        <x:v>活动输入</x:v>
      </x:c>
      <x:c r="D15" s="11" t="n">
        <x:f>CHOOSE('假设'!$B$3,D16,D17,D18)</x:f>
        <x:v>0.8</x:v>
      </x:c>
      <x:c r="E15" s="11" t="n">
        <x:f>CHOOSE('假设'!$B$3,E16,E17,E18)</x:f>
        <x:v>0.16</x:v>
      </x:c>
      <x:c r="F15" s="11" t="n">
        <x:f>CHOOSE('假设'!$B$3,F16,F17,F18)</x:f>
        <x:v>0</x:v>
      </x:c>
      <x:c r="G15" s="11" t="n">
        <x:f>CHOOSE('假设'!$B$3,G16,G17,G18)</x:f>
        <x:v>0.2</x:v>
      </x:c>
      <x:c r="H15" s="11" t="n">
        <x:f>CHOOSE('假设'!$B$3,H16,H17,H18)</x:f>
        <x:v>1</x:v>
      </x:c>
      <x:c r="I15" s="11" t="n">
        <x:f>CHOOSE('假设'!$B$3,I16,I17,I18)</x:f>
        <x:v>3.56</x:v>
      </x:c>
      <x:c r="J15" s="11" t="n">
        <x:f>CHOOSE('假设'!$B$3,J16,J17,J18)</x:f>
        <x:v>8.4</x:v>
      </x:c>
      <x:c r="K15" s="11" t="n">
        <x:f>CHOOSE('假设'!$B$3,K16,K17,K18)</x:f>
        <x:v>5.2</x:v>
      </x:c>
      <x:c r="L15" s="11" t="n">
        <x:f>CHOOSE('假设'!$B$3,L16,L17,L18)</x:f>
        <x:v>0.8</x:v>
      </x:c>
      <x:c r="M15" s="11" t="n">
        <x:f>CHOOSE('假设'!$B$3,M16,M17,M18)</x:f>
        <x:v>1</x:v>
      </x:c>
    </x:row>
    <x:row r="16" ht="23" customHeight="1">
      <x:c r="A16" s="11" t="str">
        <x:v>00268.HK</x:v>
      </x:c>
      <x:c r="B16" s="11" t="str">
        <x:v>一年</x:v>
      </x:c>
      <x:c r="C16" s="11" t="str">
        <x:v>悲观</x:v>
      </x:c>
      <x:c r="D16" s="16" t="n">
        <x:v>0.65</x:v>
      </x:c>
      <x:c r="E16" s="16" t="n">
        <x:v>0.07</x:v>
      </x:c>
      <x:c r="F16" s="16" t="n">
        <x:v>0</x:v>
      </x:c>
      <x:c r="G16" s="16" t="n">
        <x:v>0.2</x:v>
      </x:c>
      <x:c r="H16" s="16" t="n">
        <x:v>1</x:v>
      </x:c>
      <x:c r="I16" s="16" t="n">
        <x:v>3.74</x:v>
      </x:c>
      <x:c r="J16" s="16" t="n">
        <x:v>6.2</x:v>
      </x:c>
      <x:c r="K16" s="16" t="n">
        <x:v>1.6</x:v>
      </x:c>
      <x:c r="L16" s="16" t="n">
        <x:v>0.1</x:v>
      </x:c>
      <x:c r="M16" s="16" t="n">
        <x:v>1.8</x:v>
      </x:c>
    </x:row>
    <x:row r="17" ht="23" customHeight="1">
      <x:c r="A17" s="11" t="str">
        <x:v>00268.HK</x:v>
      </x:c>
      <x:c r="B17" s="11" t="str">
        <x:v>一年</x:v>
      </x:c>
      <x:c r="C17" s="11" t="str">
        <x:v>基准</x:v>
      </x:c>
      <x:c r="D17" s="16" t="n">
        <x:v>0.8</x:v>
      </x:c>
      <x:c r="E17" s="16" t="n">
        <x:v>0.16</x:v>
      </x:c>
      <x:c r="F17" s="16" t="n">
        <x:v>0</x:v>
      </x:c>
      <x:c r="G17" s="16" t="n">
        <x:v>0.2</x:v>
      </x:c>
      <x:c r="H17" s="16" t="n">
        <x:v>1</x:v>
      </x:c>
      <x:c r="I17" s="16" t="n">
        <x:v>3.56</x:v>
      </x:c>
      <x:c r="J17" s="16" t="n">
        <x:v>8.4</x:v>
      </x:c>
      <x:c r="K17" s="16" t="n">
        <x:v>5.2</x:v>
      </x:c>
      <x:c r="L17" s="16" t="n">
        <x:v>0.8</x:v>
      </x:c>
      <x:c r="M17" s="16" t="n">
        <x:v>1</x:v>
      </x:c>
    </x:row>
    <x:row r="18" ht="23" customHeight="1">
      <x:c r="A18" s="11" t="str">
        <x:v>00268.HK</x:v>
      </x:c>
      <x:c r="B18" s="11" t="str">
        <x:v>一年</x:v>
      </x:c>
      <x:c r="C18" s="11" t="str">
        <x:v>乐观</x:v>
      </x:c>
      <x:c r="D18" s="16" t="n">
        <x:v>0.9</x:v>
      </x:c>
      <x:c r="E18" s="16" t="n">
        <x:v>0.23</x:v>
      </x:c>
      <x:c r="F18" s="16" t="n">
        <x:v>0</x:v>
      </x:c>
      <x:c r="G18" s="16" t="n">
        <x:v>0.2</x:v>
      </x:c>
      <x:c r="H18" s="16" t="n">
        <x:v>1</x:v>
      </x:c>
      <x:c r="I18" s="16" t="n">
        <x:v>3.51</x:v>
      </x:c>
      <x:c r="J18" s="16" t="n">
        <x:v>10</x:v>
      </x:c>
      <x:c r="K18" s="16" t="n">
        <x:v>5.5</x:v>
      </x:c>
      <x:c r="L18" s="16" t="n">
        <x:v>1.4</x:v>
      </x:c>
      <x:c r="M18" s="16" t="n">
        <x:v>0.4</x:v>
      </x:c>
    </x:row>
    <x:row r="19" ht="23" customHeight="1">
      <x:c r="A19" s="11" t="str">
        <x:v>00268.HK</x:v>
      </x:c>
      <x:c r="B19" s="11" t="str">
        <x:v>三年</x:v>
      </x:c>
      <x:c r="C19" s="11" t="str">
        <x:v>活动输入</x:v>
      </x:c>
      <x:c r="D19" s="11" t="n">
        <x:f>CHOOSE('假设'!$B$3,D20,D21,D22)</x:f>
        <x:v>0.6</x:v>
      </x:c>
      <x:c r="E19" s="11" t="n">
        <x:f>CHOOSE('假设'!$B$3,E20,E21,E22)</x:f>
        <x:v>0.15</x:v>
      </x:c>
      <x:c r="F19" s="11" t="n">
        <x:f>CHOOSE('假设'!$B$3,F20,F21,F22)</x:f>
        <x:v>0</x:v>
      </x:c>
      <x:c r="G19" s="11" t="n">
        <x:f>CHOOSE('假设'!$B$3,G20,G21,G22)</x:f>
        <x:v>0.2</x:v>
      </x:c>
      <x:c r="H19" s="11" t="n">
        <x:f>CHOOSE('假设'!$B$3,H20,H21,H22)</x:f>
        <x:v>1</x:v>
      </x:c>
      <x:c r="I19" s="11" t="n">
        <x:f>CHOOSE('假设'!$B$3,I20,I21,I22)</x:f>
        <x:v>3.6</x:v>
      </x:c>
      <x:c r="J19" s="11" t="n">
        <x:f>CHOOSE('假设'!$B$3,J20,J21,J22)</x:f>
        <x:v>11.2</x:v>
      </x:c>
      <x:c r="K19" s="11" t="n">
        <x:f>CHOOSE('假设'!$B$3,K20,K21,K22)</x:f>
        <x:v>4.1</x:v>
      </x:c>
      <x:c r="L19" s="11" t="n">
        <x:f>CHOOSE('假设'!$B$3,L20,L21,L22)</x:f>
        <x:v>1.1</x:v>
      </x:c>
      <x:c r="M19" s="11" t="n">
        <x:f>CHOOSE('假设'!$B$3,M20,M21,M22)</x:f>
        <x:v>1</x:v>
      </x:c>
    </x:row>
    <x:row r="20" ht="23" customHeight="1">
      <x:c r="A20" s="11" t="str">
        <x:v>00268.HK</x:v>
      </x:c>
      <x:c r="B20" s="11" t="str">
        <x:v>三年</x:v>
      </x:c>
      <x:c r="C20" s="11" t="str">
        <x:v>悲观</x:v>
      </x:c>
      <x:c r="D20" s="16" t="n">
        <x:v>0.45</x:v>
      </x:c>
      <x:c r="E20" s="16" t="n">
        <x:v>0.05</x:v>
      </x:c>
      <x:c r="F20" s="16" t="n">
        <x:v>0</x:v>
      </x:c>
      <x:c r="G20" s="16" t="n">
        <x:v>0.2</x:v>
      </x:c>
      <x:c r="H20" s="16" t="n">
        <x:v>1</x:v>
      </x:c>
      <x:c r="I20" s="16" t="n">
        <x:v>3.95</x:v>
      </x:c>
      <x:c r="J20" s="16" t="n">
        <x:v>6.6</x:v>
      </x:c>
      <x:c r="K20" s="16" t="n">
        <x:v>1.3</x:v>
      </x:c>
      <x:c r="L20" s="16" t="n">
        <x:v>0</x:v>
      </x:c>
      <x:c r="M20" s="16" t="n">
        <x:v>2</x:v>
      </x:c>
    </x:row>
    <x:row r="21" ht="23" customHeight="1">
      <x:c r="A21" s="11" t="str">
        <x:v>00268.HK</x:v>
      </x:c>
      <x:c r="B21" s="11" t="str">
        <x:v>三年</x:v>
      </x:c>
      <x:c r="C21" s="11" t="str">
        <x:v>基准</x:v>
      </x:c>
      <x:c r="D21" s="16" t="n">
        <x:v>0.6</x:v>
      </x:c>
      <x:c r="E21" s="16" t="n">
        <x:v>0.15</x:v>
      </x:c>
      <x:c r="F21" s="16" t="n">
        <x:v>0</x:v>
      </x:c>
      <x:c r="G21" s="16" t="n">
        <x:v>0.2</x:v>
      </x:c>
      <x:c r="H21" s="16" t="n">
        <x:v>1</x:v>
      </x:c>
      <x:c r="I21" s="16" t="n">
        <x:v>3.6</x:v>
      </x:c>
      <x:c r="J21" s="16" t="n">
        <x:v>11.2</x:v>
      </x:c>
      <x:c r="K21" s="16" t="n">
        <x:v>4.1</x:v>
      </x:c>
      <x:c r="L21" s="16" t="n">
        <x:v>1.1</x:v>
      </x:c>
      <x:c r="M21" s="16" t="n">
        <x:v>1</x:v>
      </x:c>
    </x:row>
    <x:row r="22" ht="23" customHeight="1">
      <x:c r="A22" s="11" t="str">
        <x:v>00268.HK</x:v>
      </x:c>
      <x:c r="B22" s="11" t="str">
        <x:v>三年</x:v>
      </x:c>
      <x:c r="C22" s="11" t="str">
        <x:v>乐观</x:v>
      </x:c>
      <x:c r="D22" s="16" t="n">
        <x:v>0.7</x:v>
      </x:c>
      <x:c r="E22" s="16" t="n">
        <x:v>0.23</x:v>
      </x:c>
      <x:c r="F22" s="16" t="n">
        <x:v>0</x:v>
      </x:c>
      <x:c r="G22" s="16" t="n">
        <x:v>0.2</x:v>
      </x:c>
      <x:c r="H22" s="16" t="n">
        <x:v>1</x:v>
      </x:c>
      <x:c r="I22" s="16" t="n">
        <x:v>3.51</x:v>
      </x:c>
      <x:c r="J22" s="16" t="n">
        <x:v>15</x:v>
      </x:c>
      <x:c r="K22" s="16" t="n">
        <x:v>5.5</x:v>
      </x:c>
      <x:c r="L22" s="16" t="n">
        <x:v>2</x:v>
      </x:c>
      <x:c r="M22" s="16" t="n">
        <x:v>0.3</x:v>
      </x:c>
    </x:row>
    <x:row r="23" ht="23" customHeight="1">
      <x:c r="A23" s="11" t="str">
        <x:v>00268.HK</x:v>
      </x:c>
      <x:c r="B23" s="11" t="str">
        <x:v>五年</x:v>
      </x:c>
      <x:c r="C23" s="11" t="str">
        <x:v>活动输入</x:v>
      </x:c>
      <x:c r="D23" s="11" t="n">
        <x:f>CHOOSE('假设'!$B$3,D24,D25,D26)</x:f>
        <x:v>0.45</x:v>
      </x:c>
      <x:c r="E23" s="11" t="n">
        <x:f>CHOOSE('假设'!$B$3,E24,E25,E26)</x:f>
        <x:v>0.14</x:v>
      </x:c>
      <x:c r="F23" s="11" t="n">
        <x:f>CHOOSE('假设'!$B$3,F24,F25,F26)</x:f>
        <x:v>0</x:v>
      </x:c>
      <x:c r="G23" s="11" t="n">
        <x:f>CHOOSE('假设'!$B$3,G24,G25,G26)</x:f>
        <x:v>0.2</x:v>
      </x:c>
      <x:c r="H23" s="11" t="n">
        <x:f>CHOOSE('假设'!$B$3,H24,H25,H26)</x:f>
        <x:v>1</x:v>
      </x:c>
      <x:c r="I23" s="11" t="n">
        <x:f>CHOOSE('假设'!$B$3,I24,I25,I26)</x:f>
        <x:v>3.67</x:v>
      </x:c>
      <x:c r="J23" s="11" t="n">
        <x:f>CHOOSE('假设'!$B$3,J24,J25,J26)</x:f>
        <x:v>13.7</x:v>
      </x:c>
      <x:c r="K23" s="11" t="n">
        <x:f>CHOOSE('假设'!$B$3,K24,K25,K26)</x:f>
        <x:v>3.6</x:v>
      </x:c>
      <x:c r="L23" s="11" t="n">
        <x:f>CHOOSE('假设'!$B$3,L24,L25,L26)</x:f>
        <x:v>1.5</x:v>
      </x:c>
      <x:c r="M23" s="11" t="n">
        <x:f>CHOOSE('假设'!$B$3,M24,M25,M26)</x:f>
        <x:v>0.7</x:v>
      </x:c>
    </x:row>
    <x:row r="24" ht="23" customHeight="1">
      <x:c r="A24" s="11" t="str">
        <x:v>00268.HK</x:v>
      </x:c>
      <x:c r="B24" s="11" t="str">
        <x:v>五年</x:v>
      </x:c>
      <x:c r="C24" s="11" t="str">
        <x:v>悲观</x:v>
      </x:c>
      <x:c r="D24" s="16" t="n">
        <x:v>0.3</x:v>
      </x:c>
      <x:c r="E24" s="16" t="n">
        <x:v>0.03</x:v>
      </x:c>
      <x:c r="F24" s="16" t="n">
        <x:v>0</x:v>
      </x:c>
      <x:c r="G24" s="16" t="n">
        <x:v>0.2</x:v>
      </x:c>
      <x:c r="H24" s="16" t="n">
        <x:v>1</x:v>
      </x:c>
      <x:c r="I24" s="16" t="n">
        <x:v>4.2</x:v>
      </x:c>
      <x:c r="J24" s="16" t="n">
        <x:v>6.8</x:v>
      </x:c>
      <x:c r="K24" s="16" t="n">
        <x:v>1</x:v>
      </x:c>
      <x:c r="L24" s="16" t="n">
        <x:v>0</x:v>
      </x:c>
      <x:c r="M24" s="16" t="n">
        <x:v>2.1</x:v>
      </x:c>
    </x:row>
    <x:row r="25" ht="23" customHeight="1">
      <x:c r="A25" s="11" t="str">
        <x:v>00268.HK</x:v>
      </x:c>
      <x:c r="B25" s="11" t="str">
        <x:v>五年</x:v>
      </x:c>
      <x:c r="C25" s="11" t="str">
        <x:v>基准</x:v>
      </x:c>
      <x:c r="D25" s="16" t="n">
        <x:v>0.45</x:v>
      </x:c>
      <x:c r="E25" s="16" t="n">
        <x:v>0.14</x:v>
      </x:c>
      <x:c r="F25" s="16" t="n">
        <x:v>0</x:v>
      </x:c>
      <x:c r="G25" s="16" t="n">
        <x:v>0.2</x:v>
      </x:c>
      <x:c r="H25" s="16" t="n">
        <x:v>1</x:v>
      </x:c>
      <x:c r="I25" s="16" t="n">
        <x:v>3.67</x:v>
      </x:c>
      <x:c r="J25" s="16" t="n">
        <x:v>13.7</x:v>
      </x:c>
      <x:c r="K25" s="16" t="n">
        <x:v>3.6</x:v>
      </x:c>
      <x:c r="L25" s="16" t="n">
        <x:v>1.5</x:v>
      </x:c>
      <x:c r="M25" s="16" t="n">
        <x:v>0.7</x:v>
      </x:c>
    </x:row>
    <x:row r="26" ht="23" customHeight="1">
      <x:c r="A26" s="11" t="str">
        <x:v>00268.HK</x:v>
      </x:c>
      <x:c r="B26" s="11" t="str">
        <x:v>五年</x:v>
      </x:c>
      <x:c r="C26" s="11" t="str">
        <x:v>乐观</x:v>
      </x:c>
      <x:c r="D26" s="16" t="n">
        <x:v>0.6</x:v>
      </x:c>
      <x:c r="E26" s="16" t="n">
        <x:v>0.22</x:v>
      </x:c>
      <x:c r="F26" s="16" t="n">
        <x:v>0</x:v>
      </x:c>
      <x:c r="G26" s="16" t="n">
        <x:v>0.2</x:v>
      </x:c>
      <x:c r="H26" s="16" t="n">
        <x:v>1</x:v>
      </x:c>
      <x:c r="I26" s="16" t="n">
        <x:v>3.51</x:v>
      </x:c>
      <x:c r="J26" s="16" t="n">
        <x:v>22</x:v>
      </x:c>
      <x:c r="K26" s="16" t="n">
        <x:v>5</x:v>
      </x:c>
      <x:c r="L26" s="16" t="n">
        <x:v>3.2</x:v>
      </x:c>
      <x:c r="M26" s="16" t="n">
        <x:v>0.2</x:v>
      </x:c>
    </x:row>
    <x:row r="27" ht="23" customHeight="1">
      <x:c r="A27" s="11" t="str">
        <x:v>03690.HK</x:v>
      </x:c>
      <x:c r="B27" s="11" t="str">
        <x:v>2026年底</x:v>
      </x:c>
      <x:c r="C27" s="11" t="str">
        <x:v>活动输入</x:v>
      </x:c>
      <x:c r="D27" s="11" t="n">
        <x:f>CHOOSE('假设'!$B$3,D28,D29,D30)</x:f>
        <x:v>305</x:v>
      </x:c>
      <x:c r="E27" s="11" t="n">
        <x:f>CHOOSE('假设'!$B$3,E28,E29,E30)</x:f>
        <x:v>0.115</x:v>
      </x:c>
      <x:c r="F27" s="11" t="n">
        <x:f>CHOOSE('假设'!$B$3,F28,F29,F30)</x:f>
        <x:v>8</x:v>
      </x:c>
      <x:c r="G27" s="11" t="n">
        <x:f>CHOOSE('假设'!$B$3,G28,G29,G30)</x:f>
        <x:v>0.2</x:v>
      </x:c>
      <x:c r="H27" s="11" t="n">
        <x:f>CHOOSE('假设'!$B$3,H28,H29,H30)</x:f>
        <x:v>0.995</x:v>
      </x:c>
      <x:c r="I27" s="11" t="n">
        <x:f>CHOOSE('假设'!$B$3,I28,I29,I30)</x:f>
        <x:v>6.25</x:v>
      </x:c>
      <x:c r="J27" s="11" t="n">
        <x:f>CHOOSE('假设'!$B$3,J28,J29,J30)</x:f>
        <x:v>130</x:v>
      </x:c>
      <x:c r="K27" s="11" t="n">
        <x:f>CHOOSE('假设'!$B$3,K28,K29,K30)</x:f>
        <x:v>0.35</x:v>
      </x:c>
      <x:c r="L27" s="11" t="n">
        <x:f>CHOOSE('假设'!$B$3,L28,L29,L30)</x:f>
        <x:v>65</x:v>
      </x:c>
      <x:c r="M27" s="11" t="n">
        <x:f>CHOOSE('假设'!$B$3,M28,M29,M30)</x:f>
        <x:v>20</x:v>
      </x:c>
    </x:row>
    <x:row r="28" ht="23" customHeight="1">
      <x:c r="A28" s="11" t="str">
        <x:v>03690.HK</x:v>
      </x:c>
      <x:c r="B28" s="11" t="str">
        <x:v>2026年底</x:v>
      </x:c>
      <x:c r="C28" s="11" t="str">
        <x:v>悲观</x:v>
      </x:c>
      <x:c r="D28" s="16" t="n">
        <x:v>280</x:v>
      </x:c>
      <x:c r="E28" s="16" t="n">
        <x:v>0.065</x:v>
      </x:c>
      <x:c r="F28" s="16" t="n">
        <x:v>8</x:v>
      </x:c>
      <x:c r="G28" s="16" t="n">
        <x:v>0.2</x:v>
      </x:c>
      <x:c r="H28" s="16" t="n">
        <x:v>0.99</x:v>
      </x:c>
      <x:c r="I28" s="16" t="n">
        <x:v>6.32</x:v>
      </x:c>
      <x:c r="J28" s="16" t="n">
        <x:v>110</x:v>
      </x:c>
      <x:c r="K28" s="16" t="n">
        <x:v>0.15</x:v>
      </x:c>
      <x:c r="L28" s="16" t="n">
        <x:v>50</x:v>
      </x:c>
      <x:c r="M28" s="16" t="n">
        <x:v>25</x:v>
      </x:c>
    </x:row>
    <x:row r="29" ht="23" customHeight="1">
      <x:c r="A29" s="11" t="str">
        <x:v>03690.HK</x:v>
      </x:c>
      <x:c r="B29" s="11" t="str">
        <x:v>2026年底</x:v>
      </x:c>
      <x:c r="C29" s="11" t="str">
        <x:v>基准</x:v>
      </x:c>
      <x:c r="D29" s="16" t="n">
        <x:v>305</x:v>
      </x:c>
      <x:c r="E29" s="16" t="n">
        <x:v>0.115</x:v>
      </x:c>
      <x:c r="F29" s="16" t="n">
        <x:v>8</x:v>
      </x:c>
      <x:c r="G29" s="16" t="n">
        <x:v>0.2</x:v>
      </x:c>
      <x:c r="H29" s="16" t="n">
        <x:v>0.995</x:v>
      </x:c>
      <x:c r="I29" s="16" t="n">
        <x:v>6.25</x:v>
      </x:c>
      <x:c r="J29" s="16" t="n">
        <x:v>130</x:v>
      </x:c>
      <x:c r="K29" s="16" t="n">
        <x:v>0.35</x:v>
      </x:c>
      <x:c r="L29" s="16" t="n">
        <x:v>65</x:v>
      </x:c>
      <x:c r="M29" s="16" t="n">
        <x:v>20</x:v>
      </x:c>
    </x:row>
    <x:row r="30" ht="23" customHeight="1">
      <x:c r="A30" s="11" t="str">
        <x:v>03690.HK</x:v>
      </x:c>
      <x:c r="B30" s="11" t="str">
        <x:v>2026年底</x:v>
      </x:c>
      <x:c r="C30" s="11" t="str">
        <x:v>乐观</x:v>
      </x:c>
      <x:c r="D30" s="16" t="n">
        <x:v>325</x:v>
      </x:c>
      <x:c r="E30" s="16" t="n">
        <x:v>0.16</x:v>
      </x:c>
      <x:c r="F30" s="16" t="n">
        <x:v>8.5</x:v>
      </x:c>
      <x:c r="G30" s="16" t="n">
        <x:v>0.2</x:v>
      </x:c>
      <x:c r="H30" s="16" t="n">
        <x:v>0.995</x:v>
      </x:c>
      <x:c r="I30" s="16" t="n">
        <x:v>6.22</x:v>
      </x:c>
      <x:c r="J30" s="16" t="n">
        <x:v>150</x:v>
      </x:c>
      <x:c r="K30" s="16" t="n">
        <x:v>0.65</x:v>
      </x:c>
      <x:c r="L30" s="16" t="n">
        <x:v>75</x:v>
      </x:c>
      <x:c r="M30" s="16" t="n">
        <x:v>12</x:v>
      </x:c>
    </x:row>
    <x:row r="31" ht="23" customHeight="1">
      <x:c r="A31" s="11" t="str">
        <x:v>03690.HK</x:v>
      </x:c>
      <x:c r="B31" s="11" t="str">
        <x:v>半年</x:v>
      </x:c>
      <x:c r="C31" s="11" t="str">
        <x:v>活动输入</x:v>
      </x:c>
      <x:c r="D31" s="11" t="n">
        <x:f>CHOOSE('假设'!$B$3,D32,D33,D34)</x:f>
        <x:v>320</x:v>
      </x:c>
      <x:c r="E31" s="11" t="n">
        <x:f>CHOOSE('假设'!$B$3,E32,E33,E34)</x:f>
        <x:v>0.13</x:v>
      </x:c>
      <x:c r="F31" s="11" t="n">
        <x:f>CHOOSE('假设'!$B$3,F32,F33,F34)</x:f>
        <x:v>8.5</x:v>
      </x:c>
      <x:c r="G31" s="11" t="n">
        <x:f>CHOOSE('假设'!$B$3,G32,G33,G34)</x:f>
        <x:v>0.2</x:v>
      </x:c>
      <x:c r="H31" s="11" t="n">
        <x:f>CHOOSE('假设'!$B$3,H32,H33,H34)</x:f>
        <x:v>0.995</x:v>
      </x:c>
      <x:c r="I31" s="11" t="n">
        <x:f>CHOOSE('假设'!$B$3,I32,I33,I34)</x:f>
        <x:v>6.26</x:v>
      </x:c>
      <x:c r="J31" s="11" t="n">
        <x:f>CHOOSE('假设'!$B$3,J32,J33,J34)</x:f>
        <x:v>145</x:v>
      </x:c>
      <x:c r="K31" s="11" t="n">
        <x:f>CHOOSE('假设'!$B$3,K32,K33,K34)</x:f>
        <x:v>0.38</x:v>
      </x:c>
      <x:c r="L31" s="11" t="n">
        <x:f>CHOOSE('假设'!$B$3,L32,L33,L34)</x:f>
        <x:v>65</x:v>
      </x:c>
      <x:c r="M31" s="11" t="n">
        <x:f>CHOOSE('假设'!$B$3,M32,M33,M34)</x:f>
        <x:v>20</x:v>
      </x:c>
    </x:row>
    <x:row r="32" ht="23" customHeight="1">
      <x:c r="A32" s="11" t="str">
        <x:v>03690.HK</x:v>
      </x:c>
      <x:c r="B32" s="11" t="str">
        <x:v>半年</x:v>
      </x:c>
      <x:c r="C32" s="11" t="str">
        <x:v>悲观</x:v>
      </x:c>
      <x:c r="D32" s="16" t="n">
        <x:v>280</x:v>
      </x:c>
      <x:c r="E32" s="16" t="n">
        <x:v>0.065</x:v>
      </x:c>
      <x:c r="F32" s="16" t="n">
        <x:v>8.5</x:v>
      </x:c>
      <x:c r="G32" s="16" t="n">
        <x:v>0.2</x:v>
      </x:c>
      <x:c r="H32" s="16" t="n">
        <x:v>0.99</x:v>
      </x:c>
      <x:c r="I32" s="16" t="n">
        <x:v>6.38</x:v>
      </x:c>
      <x:c r="J32" s="16" t="n">
        <x:v>110</x:v>
      </x:c>
      <x:c r="K32" s="16" t="n">
        <x:v>0.15</x:v>
      </x:c>
      <x:c r="L32" s="16" t="n">
        <x:v>45</x:v>
      </x:c>
      <x:c r="M32" s="16" t="n">
        <x:v>30</x:v>
      </x:c>
    </x:row>
    <x:row r="33" ht="23" customHeight="1">
      <x:c r="A33" s="11" t="str">
        <x:v>03690.HK</x:v>
      </x:c>
      <x:c r="B33" s="11" t="str">
        <x:v>半年</x:v>
      </x:c>
      <x:c r="C33" s="11" t="str">
        <x:v>基准</x:v>
      </x:c>
      <x:c r="D33" s="16" t="n">
        <x:v>320</x:v>
      </x:c>
      <x:c r="E33" s="16" t="n">
        <x:v>0.13</x:v>
      </x:c>
      <x:c r="F33" s="16" t="n">
        <x:v>8.5</x:v>
      </x:c>
      <x:c r="G33" s="16" t="n">
        <x:v>0.2</x:v>
      </x:c>
      <x:c r="H33" s="16" t="n">
        <x:v>0.995</x:v>
      </x:c>
      <x:c r="I33" s="16" t="n">
        <x:v>6.26</x:v>
      </x:c>
      <x:c r="J33" s="16" t="n">
        <x:v>145</x:v>
      </x:c>
      <x:c r="K33" s="16" t="n">
        <x:v>0.38</x:v>
      </x:c>
      <x:c r="L33" s="16" t="n">
        <x:v>65</x:v>
      </x:c>
      <x:c r="M33" s="16" t="n">
        <x:v>20</x:v>
      </x:c>
    </x:row>
    <x:row r="34" ht="23" customHeight="1">
      <x:c r="A34" s="11" t="str">
        <x:v>03690.HK</x:v>
      </x:c>
      <x:c r="B34" s="11" t="str">
        <x:v>半年</x:v>
      </x:c>
      <x:c r="C34" s="11" t="str">
        <x:v>乐观</x:v>
      </x:c>
      <x:c r="D34" s="16" t="n">
        <x:v>350</x:v>
      </x:c>
      <x:c r="E34" s="16" t="n">
        <x:v>0.175</x:v>
      </x:c>
      <x:c r="F34" s="16" t="n">
        <x:v>9</x:v>
      </x:c>
      <x:c r="G34" s="16" t="n">
        <x:v>0.2</x:v>
      </x:c>
      <x:c r="H34" s="16" t="n">
        <x:v>0.995</x:v>
      </x:c>
      <x:c r="I34" s="16" t="n">
        <x:v>6.22</x:v>
      </x:c>
      <x:c r="J34" s="16" t="n">
        <x:v>175</x:v>
      </x:c>
      <x:c r="K34" s="16" t="n">
        <x:v>0.7</x:v>
      </x:c>
      <x:c r="L34" s="16" t="n">
        <x:v>80</x:v>
      </x:c>
      <x:c r="M34" s="16" t="n">
        <x:v>10</x:v>
      </x:c>
    </x:row>
    <x:row r="35" ht="23" customHeight="1">
      <x:c r="A35" s="11" t="str">
        <x:v>03690.HK</x:v>
      </x:c>
      <x:c r="B35" s="11" t="str">
        <x:v>一年</x:v>
      </x:c>
      <x:c r="C35" s="11" t="str">
        <x:v>活动输入</x:v>
      </x:c>
      <x:c r="D35" s="11" t="n">
        <x:f>CHOOSE('假设'!$B$3,D36,D37,D38)</x:f>
        <x:v>345</x:v>
      </x:c>
      <x:c r="E35" s="11" t="n">
        <x:f>CHOOSE('假设'!$B$3,E36,E37,E38)</x:f>
        <x:v>0.15</x:v>
      </x:c>
      <x:c r="F35" s="11" t="n">
        <x:f>CHOOSE('假设'!$B$3,F36,F37,F38)</x:f>
        <x:v>9</x:v>
      </x:c>
      <x:c r="G35" s="11" t="n">
        <x:f>CHOOSE('假设'!$B$3,G36,G37,G38)</x:f>
        <x:v>0.2</x:v>
      </x:c>
      <x:c r="H35" s="11" t="n">
        <x:f>CHOOSE('假设'!$B$3,H36,H37,H38)</x:f>
        <x:v>0.995</x:v>
      </x:c>
      <x:c r="I35" s="11" t="n">
        <x:f>CHOOSE('假设'!$B$3,I36,I37,I38)</x:f>
        <x:v>6.28</x:v>
      </x:c>
      <x:c r="J35" s="11" t="n">
        <x:f>CHOOSE('假设'!$B$3,J36,J37,J38)</x:f>
        <x:v>165</x:v>
      </x:c>
      <x:c r="K35" s="11" t="n">
        <x:f>CHOOSE('假设'!$B$3,K36,K37,K38)</x:f>
        <x:v>1.45</x:v>
      </x:c>
      <x:c r="L35" s="11" t="n">
        <x:f>CHOOSE('假设'!$B$3,L36,L37,L38)</x:f>
        <x:v>70</x:v>
      </x:c>
      <x:c r="M35" s="11" t="n">
        <x:f>CHOOSE('假设'!$B$3,M36,M37,M38)</x:f>
        <x:v>18</x:v>
      </x:c>
    </x:row>
    <x:row r="36" ht="23" customHeight="1">
      <x:c r="A36" s="11" t="str">
        <x:v>03690.HK</x:v>
      </x:c>
      <x:c r="B36" s="11" t="str">
        <x:v>一年</x:v>
      </x:c>
      <x:c r="C36" s="11" t="str">
        <x:v>悲观</x:v>
      </x:c>
      <x:c r="D36" s="16" t="n">
        <x:v>295</x:v>
      </x:c>
      <x:c r="E36" s="16" t="n">
        <x:v>0.075</x:v>
      </x:c>
      <x:c r="F36" s="16" t="n">
        <x:v>9</x:v>
      </x:c>
      <x:c r="G36" s="16" t="n">
        <x:v>0.2</x:v>
      </x:c>
      <x:c r="H36" s="16" t="n">
        <x:v>0.99</x:v>
      </x:c>
      <x:c r="I36" s="16" t="n">
        <x:v>6.5</x:v>
      </x:c>
      <x:c r="J36" s="16" t="n">
        <x:v>118</x:v>
      </x:c>
      <x:c r="K36" s="16" t="n">
        <x:v>0.18</x:v>
      </x:c>
      <x:c r="L36" s="16" t="n">
        <x:v>40</x:v>
      </x:c>
      <x:c r="M36" s="16" t="n">
        <x:v>28</x:v>
      </x:c>
    </x:row>
    <x:row r="37" ht="23" customHeight="1">
      <x:c r="A37" s="11" t="str">
        <x:v>03690.HK</x:v>
      </x:c>
      <x:c r="B37" s="11" t="str">
        <x:v>一年</x:v>
      </x:c>
      <x:c r="C37" s="11" t="str">
        <x:v>基准</x:v>
      </x:c>
      <x:c r="D37" s="16" t="n">
        <x:v>345</x:v>
      </x:c>
      <x:c r="E37" s="16" t="n">
        <x:v>0.15</x:v>
      </x:c>
      <x:c r="F37" s="16" t="n">
        <x:v>9</x:v>
      </x:c>
      <x:c r="G37" s="16" t="n">
        <x:v>0.2</x:v>
      </x:c>
      <x:c r="H37" s="16" t="n">
        <x:v>0.995</x:v>
      </x:c>
      <x:c r="I37" s="16" t="n">
        <x:v>6.28</x:v>
      </x:c>
      <x:c r="J37" s="16" t="n">
        <x:v>165</x:v>
      </x:c>
      <x:c r="K37" s="16" t="n">
        <x:v>1.45</x:v>
      </x:c>
      <x:c r="L37" s="16" t="n">
        <x:v>70</x:v>
      </x:c>
      <x:c r="M37" s="16" t="n">
        <x:v>18</x:v>
      </x:c>
    </x:row>
    <x:row r="38" ht="23" customHeight="1">
      <x:c r="A38" s="11" t="str">
        <x:v>03690.HK</x:v>
      </x:c>
      <x:c r="B38" s="11" t="str">
        <x:v>一年</x:v>
      </x:c>
      <x:c r="C38" s="11" t="str">
        <x:v>乐观</x:v>
      </x:c>
      <x:c r="D38" s="16" t="n">
        <x:v>390</x:v>
      </x:c>
      <x:c r="E38" s="16" t="n">
        <x:v>0.19</x:v>
      </x:c>
      <x:c r="F38" s="16" t="n">
        <x:v>9.5</x:v>
      </x:c>
      <x:c r="G38" s="16" t="n">
        <x:v>0.2</x:v>
      </x:c>
      <x:c r="H38" s="16" t="n">
        <x:v>0.995</x:v>
      </x:c>
      <x:c r="I38" s="16" t="n">
        <x:v>6.2</x:v>
      </x:c>
      <x:c r="J38" s="16" t="n">
        <x:v>210</x:v>
      </x:c>
      <x:c r="K38" s="16" t="n">
        <x:v>0.8</x:v>
      </x:c>
      <x:c r="L38" s="16" t="n">
        <x:v>90</x:v>
      </x:c>
      <x:c r="M38" s="16" t="n">
        <x:v>8</x:v>
      </x:c>
    </x:row>
    <x:row r="39" ht="23" customHeight="1">
      <x:c r="A39" s="11" t="str">
        <x:v>03690.HK</x:v>
      </x:c>
      <x:c r="B39" s="11" t="str">
        <x:v>三年</x:v>
      </x:c>
      <x:c r="C39" s="11" t="str">
        <x:v>活动输入</x:v>
      </x:c>
      <x:c r="D39" s="11" t="n">
        <x:f>CHOOSE('假设'!$B$3,D40,D41,D42)</x:f>
        <x:v>450</x:v>
      </x:c>
      <x:c r="E39" s="11" t="n">
        <x:f>CHOOSE('假设'!$B$3,E40,E41,E42)</x:f>
        <x:v>0.17</x:v>
      </x:c>
      <x:c r="F39" s="11" t="n">
        <x:f>CHOOSE('假设'!$B$3,F40,F41,F42)</x:f>
        <x:v>11</x:v>
      </x:c>
      <x:c r="G39" s="11" t="n">
        <x:f>CHOOSE('假设'!$B$3,G40,G41,G42)</x:f>
        <x:v>0.2</x:v>
      </x:c>
      <x:c r="H39" s="11" t="n">
        <x:f>CHOOSE('假设'!$B$3,H40,H41,H42)</x:f>
        <x:v>0.995</x:v>
      </x:c>
      <x:c r="I39" s="11" t="n">
        <x:f>CHOOSE('假设'!$B$3,I40,I41,I42)</x:f>
        <x:v>6.3</x:v>
      </x:c>
      <x:c r="J39" s="11" t="n">
        <x:f>CHOOSE('假设'!$B$3,J40,J41,J42)</x:f>
        <x:v>230</x:v>
      </x:c>
      <x:c r="K39" s="11" t="n">
        <x:f>CHOOSE('假设'!$B$3,K40,K41,K42)</x:f>
        <x:v>0.55</x:v>
      </x:c>
      <x:c r="L39" s="11" t="n">
        <x:f>CHOOSE('假设'!$B$3,L40,L41,L42)</x:f>
        <x:v>95</x:v>
      </x:c>
      <x:c r="M39" s="11" t="n">
        <x:f>CHOOSE('假设'!$B$3,M40,M41,M42)</x:f>
        <x:v>10</x:v>
      </x:c>
    </x:row>
    <x:row r="40" ht="23" customHeight="1">
      <x:c r="A40" s="11" t="str">
        <x:v>03690.HK</x:v>
      </x:c>
      <x:c r="B40" s="11" t="str">
        <x:v>三年</x:v>
      </x:c>
      <x:c r="C40" s="11" t="str">
        <x:v>悲观</x:v>
      </x:c>
      <x:c r="D40" s="16" t="n">
        <x:v>320</x:v>
      </x:c>
      <x:c r="E40" s="16" t="n">
        <x:v>0.08</x:v>
      </x:c>
      <x:c r="F40" s="16" t="n">
        <x:v>11</x:v>
      </x:c>
      <x:c r="G40" s="16" t="n">
        <x:v>0.2</x:v>
      </x:c>
      <x:c r="H40" s="16" t="n">
        <x:v>0.99</x:v>
      </x:c>
      <x:c r="I40" s="16" t="n">
        <x:v>6.9</x:v>
      </x:c>
      <x:c r="J40" s="16" t="n">
        <x:v>135</x:v>
      </x:c>
      <x:c r="K40" s="16" t="n">
        <x:v>0.2</x:v>
      </x:c>
      <x:c r="L40" s="16" t="n">
        <x:v>25</x:v>
      </x:c>
      <x:c r="M40" s="16" t="n">
        <x:v>12</x:v>
      </x:c>
    </x:row>
    <x:row r="41" ht="23" customHeight="1">
      <x:c r="A41" s="11" t="str">
        <x:v>03690.HK</x:v>
      </x:c>
      <x:c r="B41" s="11" t="str">
        <x:v>三年</x:v>
      </x:c>
      <x:c r="C41" s="11" t="str">
        <x:v>基准</x:v>
      </x:c>
      <x:c r="D41" s="16" t="n">
        <x:v>450</x:v>
      </x:c>
      <x:c r="E41" s="16" t="n">
        <x:v>0.17</x:v>
      </x:c>
      <x:c r="F41" s="16" t="n">
        <x:v>11</x:v>
      </x:c>
      <x:c r="G41" s="16" t="n">
        <x:v>0.2</x:v>
      </x:c>
      <x:c r="H41" s="16" t="n">
        <x:v>0.995</x:v>
      </x:c>
      <x:c r="I41" s="16" t="n">
        <x:v>6.3</x:v>
      </x:c>
      <x:c r="J41" s="16" t="n">
        <x:v>230</x:v>
      </x:c>
      <x:c r="K41" s="16" t="n">
        <x:v>0.55</x:v>
      </x:c>
      <x:c r="L41" s="16" t="n">
        <x:v>95</x:v>
      </x:c>
      <x:c r="M41" s="16" t="n">
        <x:v>10</x:v>
      </x:c>
    </x:row>
    <x:row r="42" ht="23" customHeight="1">
      <x:c r="A42" s="11" t="str">
        <x:v>03690.HK</x:v>
      </x:c>
      <x:c r="B42" s="11" t="str">
        <x:v>三年</x:v>
      </x:c>
      <x:c r="C42" s="11" t="str">
        <x:v>乐观</x:v>
      </x:c>
      <x:c r="D42" s="16" t="n">
        <x:v>560</x:v>
      </x:c>
      <x:c r="E42" s="16" t="n">
        <x:v>0.215</x:v>
      </x:c>
      <x:c r="F42" s="16" t="n">
        <x:v>12</x:v>
      </x:c>
      <x:c r="G42" s="16" t="n">
        <x:v>0.2</x:v>
      </x:c>
      <x:c r="H42" s="16" t="n">
        <x:v>0.995</x:v>
      </x:c>
      <x:c r="I42" s="16" t="n">
        <x:v>6.15</x:v>
      </x:c>
      <x:c r="J42" s="16" t="n">
        <x:v>350</x:v>
      </x:c>
      <x:c r="K42" s="16" t="n">
        <x:v>1</x:v>
      </x:c>
      <x:c r="L42" s="16" t="n">
        <x:v>150</x:v>
      </x:c>
      <x:c r="M42" s="16" t="n">
        <x:v>5</x:v>
      </x:c>
    </x:row>
    <x:row r="43" ht="23" customHeight="1">
      <x:c r="A43" s="11" t="str">
        <x:v>03690.HK</x:v>
      </x:c>
      <x:c r="B43" s="11" t="str">
        <x:v>五年</x:v>
      </x:c>
      <x:c r="C43" s="11" t="str">
        <x:v>活动输入</x:v>
      </x:c>
      <x:c r="D43" s="11" t="n">
        <x:f>CHOOSE('假设'!$B$3,D44,D45,D46)</x:f>
        <x:v>560</x:v>
      </x:c>
      <x:c r="E43" s="11" t="n">
        <x:f>CHOOSE('假设'!$B$3,E44,E45,E46)</x:f>
        <x:v>0.18</x:v>
      </x:c>
      <x:c r="F43" s="11" t="n">
        <x:f>CHOOSE('假设'!$B$3,F44,F45,F46)</x:f>
        <x:v>13</x:v>
      </x:c>
      <x:c r="G43" s="11" t="n">
        <x:f>CHOOSE('假设'!$B$3,G44,G45,G46)</x:f>
        <x:v>0.2</x:v>
      </x:c>
      <x:c r="H43" s="11" t="n">
        <x:f>CHOOSE('假设'!$B$3,H44,H45,H46)</x:f>
        <x:v>0.995</x:v>
      </x:c>
      <x:c r="I43" s="11" t="n">
        <x:f>CHOOSE('假设'!$B$3,I44,I45,I46)</x:f>
        <x:v>6.35</x:v>
      </x:c>
      <x:c r="J43" s="11" t="n">
        <x:f>CHOOSE('假设'!$B$3,J44,J45,J46)</x:f>
        <x:v>300</x:v>
      </x:c>
      <x:c r="K43" s="11" t="n">
        <x:f>CHOOSE('假设'!$B$3,K44,K45,K46)</x:f>
        <x:v>0.6</x:v>
      </x:c>
      <x:c r="L43" s="11" t="n">
        <x:f>CHOOSE('假设'!$B$3,L44,L45,L46)</x:f>
        <x:v>130</x:v>
      </x:c>
      <x:c r="M43" s="11" t="n">
        <x:f>CHOOSE('假设'!$B$3,M44,M45,M46)</x:f>
        <x:v>6</x:v>
      </x:c>
    </x:row>
    <x:row r="44" ht="23" customHeight="1">
      <x:c r="A44" s="11" t="str">
        <x:v>03690.HK</x:v>
      </x:c>
      <x:c r="B44" s="11" t="str">
        <x:v>五年</x:v>
      </x:c>
      <x:c r="C44" s="11" t="str">
        <x:v>悲观</x:v>
      </x:c>
      <x:c r="D44" s="16" t="n">
        <x:v>330</x:v>
      </x:c>
      <x:c r="E44" s="16" t="n">
        <x:v>0.09</x:v>
      </x:c>
      <x:c r="F44" s="16" t="n">
        <x:v>13</x:v>
      </x:c>
      <x:c r="G44" s="16" t="n">
        <x:v>0.2</x:v>
      </x:c>
      <x:c r="H44" s="16" t="n">
        <x:v>0.99</x:v>
      </x:c>
      <x:c r="I44" s="16" t="n">
        <x:v>7.3</x:v>
      </x:c>
      <x:c r="J44" s="16" t="n">
        <x:v>145</x:v>
      </x:c>
      <x:c r="K44" s="16" t="n">
        <x:v>0.2</x:v>
      </x:c>
      <x:c r="L44" s="16" t="n">
        <x:v>20</x:v>
      </x:c>
      <x:c r="M44" s="16" t="n">
        <x:v>8</x:v>
      </x:c>
    </x:row>
    <x:row r="45" ht="23" customHeight="1">
      <x:c r="A45" s="11" t="str">
        <x:v>03690.HK</x:v>
      </x:c>
      <x:c r="B45" s="11" t="str">
        <x:v>五年</x:v>
      </x:c>
      <x:c r="C45" s="11" t="str">
        <x:v>基准</x:v>
      </x:c>
      <x:c r="D45" s="16" t="n">
        <x:v>560</x:v>
      </x:c>
      <x:c r="E45" s="16" t="n">
        <x:v>0.18</x:v>
      </x:c>
      <x:c r="F45" s="16" t="n">
        <x:v>13</x:v>
      </x:c>
      <x:c r="G45" s="16" t="n">
        <x:v>0.2</x:v>
      </x:c>
      <x:c r="H45" s="16" t="n">
        <x:v>0.995</x:v>
      </x:c>
      <x:c r="I45" s="16" t="n">
        <x:v>6.35</x:v>
      </x:c>
      <x:c r="J45" s="16" t="n">
        <x:v>300</x:v>
      </x:c>
      <x:c r="K45" s="16" t="n">
        <x:v>0.6</x:v>
      </x:c>
      <x:c r="L45" s="16" t="n">
        <x:v>130</x:v>
      </x:c>
      <x:c r="M45" s="16" t="n">
        <x:v>6</x:v>
      </x:c>
    </x:row>
    <x:row r="46" ht="23" customHeight="1">
      <x:c r="A46" s="11" t="str">
        <x:v>03690.HK</x:v>
      </x:c>
      <x:c r="B46" s="11" t="str">
        <x:v>五年</x:v>
      </x:c>
      <x:c r="C46" s="11" t="str">
        <x:v>乐观</x:v>
      </x:c>
      <x:c r="D46" s="16" t="n">
        <x:v>750</x:v>
      </x:c>
      <x:c r="E46" s="16" t="n">
        <x:v>0.225</x:v>
      </x:c>
      <x:c r="F46" s="16" t="n">
        <x:v>15</x:v>
      </x:c>
      <x:c r="G46" s="16" t="n">
        <x:v>0.2</x:v>
      </x:c>
      <x:c r="H46" s="16" t="n">
        <x:v>0.995</x:v>
      </x:c>
      <x:c r="I46" s="16" t="n">
        <x:v>6.1</x:v>
      </x:c>
      <x:c r="J46" s="16" t="n">
        <x:v>500</x:v>
      </x:c>
      <x:c r="K46" s="16" t="n">
        <x:v>1.1</x:v>
      </x:c>
      <x:c r="L46" s="16" t="n">
        <x:v>250</x:v>
      </x:c>
      <x:c r="M46" s="16" t="n">
        <x:v>3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4" t="str">
        <x:v>风险调整估值输入 · 商业/成功率为研究假设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52" customHeight="1">
      <x:c r="A6" s="12" t="str">
        <x:v>代码</x:v>
      </x:c>
      <x:c r="B6" s="12" t="str">
        <x:v>期限</x:v>
      </x:c>
      <x:c r="C6" s="12" t="str">
        <x:v>输入层</x:v>
      </x:c>
      <x:c r="D6" s="12" t="str">
        <x:v>本土核心利润CNY十亿</x:v>
      </x:c>
      <x:c r="E6" s="12" t="str">
        <x:v>本土PE</x:v>
      </x:c>
      <x:c r="F6" s="12" t="str">
        <x:v>净现金CNY十亿</x:v>
      </x:c>
      <x:c r="G6" s="12" t="str">
        <x:v>未来研发储备CNY十亿</x:v>
      </x:c>
      <x:c r="H6" s="12" t="str">
        <x:v>稀释股数十亿</x:v>
      </x:c>
      <x:c r="I6" s="12" t="str">
        <x:v>肺癌成功因子</x:v>
      </x:c>
      <x:c r="J6" s="12" t="str">
        <x:v>非肺癌成功因子</x:v>
      </x:c>
      <x:c r="K6" s="12" t="str">
        <x:v>版税率</x:v>
      </x:c>
      <x:c r="L6" s="12" t="str">
        <x:v>税率</x:v>
      </x:c>
      <x:c r="M6" s="12" t="str">
        <x:v>折现率</x:v>
      </x:c>
      <x:c r="N6" s="12" t="str">
        <x:v>CNY/USD</x:v>
      </x:c>
      <x:c r="O6" s="12" t="str">
        <x:v>估值年时点</x:v>
      </x:c>
      <x:c r="P6" s="12" t="str">
        <x:v>HKD/CNY</x:v>
      </x:c>
      <x:c r="Q6" t="str">
        <x:v>归母经济比例</x:v>
      </x:c>
    </x:row>
    <x:row r="7" ht="23" customHeight="1">
      <x:c r="A7" s="11" t="str">
        <x:v>01530.HK</x:v>
      </x:c>
      <x:c r="B7" s="11" t="str">
        <x:v>2026年底</x:v>
      </x:c>
      <x:c r="C7" s="11" t="str">
        <x:v>活动输入</x:v>
      </x:c>
      <x:c r="D7" s="11" t="n">
        <x:f>CHOOSE('假设'!$B$3,D8,D9,D10)</x:f>
        <x:v>1.7989999999999997</x:v>
      </x:c>
      <x:c r="E7" s="11" t="n">
        <x:f>CHOOSE('假设'!$B$3,E8,E9,E10)</x:f>
        <x:v>15</x:v>
      </x:c>
      <x:c r="F7" s="11" t="n">
        <x:f>CHOOSE('假设'!$B$3,F8,F9,F10)</x:f>
        <x:v>11.8</x:v>
      </x:c>
      <x:c r="G7" s="11" t="n">
        <x:f>CHOOSE('假设'!$B$3,G8,G9,G10)</x:f>
        <x:v>0</x:v>
      </x:c>
      <x:c r="H7" s="11" t="n">
        <x:f>CHOOSE('假设'!$B$3,H8,H9,H10)</x:f>
        <x:v>2.57</x:v>
      </x:c>
      <x:c r="I7" s="11" t="n">
        <x:f>CHOOSE('假设'!$B$3,I8,I9,I10)</x:f>
        <x:v>0.35</x:v>
      </x:c>
      <x:c r="J7" s="11" t="n">
        <x:f>CHOOSE('假设'!$B$3,J8,J9,J10)</x:f>
        <x:v>0.2</x:v>
      </x:c>
      <x:c r="K7" s="11" t="n">
        <x:f>CHOOSE('假设'!$B$3,K8,K9,K10)</x:f>
        <x:v>0.15</x:v>
      </x:c>
      <x:c r="L7" s="11" t="n">
        <x:f>CHOOSE('假设'!$B$3,L8,L9,L10)</x:f>
        <x:v>0.21999999999999997</x:v>
      </x:c>
      <x:c r="M7" s="11" t="n">
        <x:f>CHOOSE('假设'!$B$3,M8,M9,M10)</x:f>
        <x:v>0.13</x:v>
      </x:c>
      <x:c r="N7" s="11" t="n">
        <x:f>CHOOSE('假设'!$B$3,N8,N9,N10)</x:f>
        <x:v>7</x:v>
      </x:c>
      <x:c r="O7" s="11" t="n">
        <x:f>CHOOSE('假设'!$B$3,O8,O9,O10)</x:f>
        <x:v>2026</x:v>
      </x:c>
      <x:c r="P7" s="11" t="n">
        <x:f>CHOOSE('假设'!$B$3,P8,P9,P10)</x:f>
        <x:v>1.1</x:v>
      </x:c>
      <x:c r="Q7" t="n">
        <x:f>CHOOSE('假设'!$B$3,Q8,Q9,Q10)</x:f>
        <x:v>0.9</x:v>
      </x:c>
    </x:row>
    <x:row r="8" ht="23" customHeight="1">
      <x:c r="A8" s="11" t="str">
        <x:v>01530.HK</x:v>
      </x:c>
      <x:c r="B8" s="11" t="str">
        <x:v>2026年底</x:v>
      </x:c>
      <x:c r="C8" s="11" t="str">
        <x:v>悲观</x:v>
      </x:c>
      <x:c r="D8" s="16" t="n">
        <x:v>1.3</x:v>
      </x:c>
      <x:c r="E8" s="16" t="n">
        <x:v>11</x:v>
      </x:c>
      <x:c r="F8" s="16" t="n">
        <x:v>8</x:v>
      </x:c>
      <x:c r="G8" s="16" t="n">
        <x:v>0</x:v>
      </x:c>
      <x:c r="H8" s="16" t="n">
        <x:v>2.6</x:v>
      </x:c>
      <x:c r="I8" s="16" t="n">
        <x:v>0.12</x:v>
      </x:c>
      <x:c r="J8" s="16" t="n">
        <x:v>0.06</x:v>
      </x:c>
      <x:c r="K8" s="16" t="n">
        <x:v>0.12</x:v>
      </x:c>
      <x:c r="L8" s="16" t="n">
        <x:v>0.25</x:v>
      </x:c>
      <x:c r="M8" s="16" t="n">
        <x:v>0.16</x:v>
      </x:c>
      <x:c r="N8" s="16" t="n">
        <x:v>7</x:v>
      </x:c>
      <x:c r="O8" s="11" t="n">
        <x:v>2026</x:v>
      </x:c>
      <x:c r="P8" s="16" t="n">
        <x:v>1.1</x:v>
      </x:c>
      <x:c r="Q8" s="42" t="n">
        <x:v>0.85</x:v>
      </x:c>
    </x:row>
    <x:row r="9" ht="23" customHeight="1">
      <x:c r="A9" s="11" t="str">
        <x:v>01530.HK</x:v>
      </x:c>
      <x:c r="B9" s="11" t="str">
        <x:v>2026年底</x:v>
      </x:c>
      <x:c r="C9" s="11" t="str">
        <x:v>基准</x:v>
      </x:c>
      <x:c r="D9" s="16" t="n">
        <x:v>1.7989999999999997</x:v>
      </x:c>
      <x:c r="E9" s="16" t="n">
        <x:v>15</x:v>
      </x:c>
      <x:c r="F9" s="16" t="n">
        <x:v>11.8</x:v>
      </x:c>
      <x:c r="G9" s="16" t="n">
        <x:v>0</x:v>
      </x:c>
      <x:c r="H9" s="16" t="n">
        <x:v>2.57</x:v>
      </x:c>
      <x:c r="I9" s="16" t="n">
        <x:v>0.35</x:v>
      </x:c>
      <x:c r="J9" s="16" t="n">
        <x:v>0.2</x:v>
      </x:c>
      <x:c r="K9" s="16" t="n">
        <x:v>0.15</x:v>
      </x:c>
      <x:c r="L9" s="16" t="n">
        <x:v>0.21999999999999997</x:v>
      </x:c>
      <x:c r="M9" s="16" t="n">
        <x:v>0.13</x:v>
      </x:c>
      <x:c r="N9" s="16" t="n">
        <x:v>7</x:v>
      </x:c>
      <x:c r="O9" s="11" t="n">
        <x:v>2026</x:v>
      </x:c>
      <x:c r="P9" s="16" t="n">
        <x:v>1.1</x:v>
      </x:c>
      <x:c r="Q9" s="42" t="n">
        <x:v>0.9</x:v>
      </x:c>
    </x:row>
    <x:row r="10" ht="23" customHeight="1">
      <x:c r="A10" s="11" t="str">
        <x:v>01530.HK</x:v>
      </x:c>
      <x:c r="B10" s="11" t="str">
        <x:v>2026年底</x:v>
      </x:c>
      <x:c r="C10" s="11" t="str">
        <x:v>乐观</x:v>
      </x:c>
      <x:c r="D10" s="16" t="n">
        <x:v>2.4225</x:v>
      </x:c>
      <x:c r="E10" s="16" t="n">
        <x:v>19</x:v>
      </x:c>
      <x:c r="F10" s="16" t="n">
        <x:v>13.5</x:v>
      </x:c>
      <x:c r="G10" s="16" t="n">
        <x:v>0</x:v>
      </x:c>
      <x:c r="H10" s="16" t="n">
        <x:v>2.55</x:v>
      </x:c>
      <x:c r="I10" s="16" t="n">
        <x:v>0.65</x:v>
      </x:c>
      <x:c r="J10" s="16" t="n">
        <x:v>0.5</x:v>
      </x:c>
      <x:c r="K10" s="16" t="n">
        <x:v>0.18</x:v>
      </x:c>
      <x:c r="L10" s="16" t="n">
        <x:v>0.19999999999999996</x:v>
      </x:c>
      <x:c r="M10" s="16" t="n">
        <x:v>0.11</x:v>
      </x:c>
      <x:c r="N10" s="16" t="n">
        <x:v>7</x:v>
      </x:c>
      <x:c r="O10" s="11" t="n">
        <x:v>2026</x:v>
      </x:c>
      <x:c r="P10" s="16" t="n">
        <x:v>1.1</x:v>
      </x:c>
      <x:c r="Q10" s="42" t="n">
        <x:v>0.95</x:v>
      </x:c>
    </x:row>
    <x:row r="11" ht="23" customHeight="1">
      <x:c r="A11" s="11" t="str">
        <x:v>01530.HK</x:v>
      </x:c>
      <x:c r="B11" s="11" t="str">
        <x:v>半年</x:v>
      </x:c>
      <x:c r="C11" s="11" t="str">
        <x:v>活动输入</x:v>
      </x:c>
      <x:c r="D11" s="11" t="n">
        <x:f>CHOOSE('假设'!$B$3,D12,D13,D14)</x:f>
        <x:v>1.7989999999999997</x:v>
      </x:c>
      <x:c r="E11" s="11" t="n">
        <x:f>CHOOSE('假设'!$B$3,E12,E13,E14)</x:f>
        <x:v>16</x:v>
      </x:c>
      <x:c r="F11" s="11" t="n">
        <x:f>CHOOSE('假设'!$B$3,F12,F13,F14)</x:f>
        <x:v>12</x:v>
      </x:c>
      <x:c r="G11" s="11" t="n">
        <x:f>CHOOSE('假设'!$B$3,G12,G13,G14)</x:f>
        <x:v>0</x:v>
      </x:c>
      <x:c r="H11" s="11" t="n">
        <x:f>CHOOSE('假设'!$B$3,H12,H13,H14)</x:f>
        <x:v>2.57</x:v>
      </x:c>
      <x:c r="I11" s="11" t="n">
        <x:f>CHOOSE('假设'!$B$3,I12,I13,I14)</x:f>
        <x:v>0.35</x:v>
      </x:c>
      <x:c r="J11" s="11" t="n">
        <x:f>CHOOSE('假设'!$B$3,J12,J13,J14)</x:f>
        <x:v>0.2</x:v>
      </x:c>
      <x:c r="K11" s="11" t="n">
        <x:f>CHOOSE('假设'!$B$3,K12,K13,K14)</x:f>
        <x:v>0.15</x:v>
      </x:c>
      <x:c r="L11" s="11" t="n">
        <x:f>CHOOSE('假设'!$B$3,L12,L13,L14)</x:f>
        <x:v>0.21999999999999997</x:v>
      </x:c>
      <x:c r="M11" s="11" t="n">
        <x:f>CHOOSE('假设'!$B$3,M12,M13,M14)</x:f>
        <x:v>0.13</x:v>
      </x:c>
      <x:c r="N11" s="11" t="n">
        <x:f>CHOOSE('假设'!$B$3,N12,N13,N14)</x:f>
        <x:v>7</x:v>
      </x:c>
      <x:c r="O11" s="11" t="n">
        <x:f>CHOOSE('假设'!$B$3,O12,O13,O14)</x:f>
        <x:v>2027</x:v>
      </x:c>
      <x:c r="P11" s="11" t="n">
        <x:f>CHOOSE('假设'!$B$3,P12,P13,P14)</x:f>
        <x:v>1.1</x:v>
      </x:c>
      <x:c r="Q11" t="n">
        <x:f>CHOOSE('假设'!$B$3,Q12,Q13,Q14)</x:f>
        <x:v>0.9</x:v>
      </x:c>
    </x:row>
    <x:row r="12" ht="23" customHeight="1">
      <x:c r="A12" s="11" t="str">
        <x:v>01530.HK</x:v>
      </x:c>
      <x:c r="B12" s="11" t="str">
        <x:v>半年</x:v>
      </x:c>
      <x:c r="C12" s="11" t="str">
        <x:v>悲观</x:v>
      </x:c>
      <x:c r="D12" s="16" t="n">
        <x:v>1.3</x:v>
      </x:c>
      <x:c r="E12" s="16" t="n">
        <x:v>12</x:v>
      </x:c>
      <x:c r="F12" s="16" t="n">
        <x:v>7.8</x:v>
      </x:c>
      <x:c r="G12" s="16" t="n">
        <x:v>0</x:v>
      </x:c>
      <x:c r="H12" s="16" t="n">
        <x:v>2.6</x:v>
      </x:c>
      <x:c r="I12" s="16" t="n">
        <x:v>0.12</x:v>
      </x:c>
      <x:c r="J12" s="16" t="n">
        <x:v>0.06</x:v>
      </x:c>
      <x:c r="K12" s="16" t="n">
        <x:v>0.12</x:v>
      </x:c>
      <x:c r="L12" s="16" t="n">
        <x:v>0.25</x:v>
      </x:c>
      <x:c r="M12" s="16" t="n">
        <x:v>0.16</x:v>
      </x:c>
      <x:c r="N12" s="16" t="n">
        <x:v>7</x:v>
      </x:c>
      <x:c r="O12" s="11" t="n">
        <x:v>2027</x:v>
      </x:c>
      <x:c r="P12" s="16" t="n">
        <x:v>1.1</x:v>
      </x:c>
      <x:c r="Q12" s="42" t="n">
        <x:v>0.85</x:v>
      </x:c>
    </x:row>
    <x:row r="13" ht="23" customHeight="1">
      <x:c r="A13" s="11" t="str">
        <x:v>01530.HK</x:v>
      </x:c>
      <x:c r="B13" s="11" t="str">
        <x:v>半年</x:v>
      </x:c>
      <x:c r="C13" s="11" t="str">
        <x:v>基准</x:v>
      </x:c>
      <x:c r="D13" s="16" t="n">
        <x:v>1.7989999999999997</x:v>
      </x:c>
      <x:c r="E13" s="16" t="n">
        <x:v>16</x:v>
      </x:c>
      <x:c r="F13" s="16" t="n">
        <x:v>12</x:v>
      </x:c>
      <x:c r="G13" s="16" t="n">
        <x:v>0</x:v>
      </x:c>
      <x:c r="H13" s="16" t="n">
        <x:v>2.57</x:v>
      </x:c>
      <x:c r="I13" s="16" t="n">
        <x:v>0.35</x:v>
      </x:c>
      <x:c r="J13" s="16" t="n">
        <x:v>0.2</x:v>
      </x:c>
      <x:c r="K13" s="16" t="n">
        <x:v>0.15</x:v>
      </x:c>
      <x:c r="L13" s="16" t="n">
        <x:v>0.21999999999999997</x:v>
      </x:c>
      <x:c r="M13" s="16" t="n">
        <x:v>0.13</x:v>
      </x:c>
      <x:c r="N13" s="16" t="n">
        <x:v>7</x:v>
      </x:c>
      <x:c r="O13" s="11" t="n">
        <x:v>2027</x:v>
      </x:c>
      <x:c r="P13" s="16" t="n">
        <x:v>1.1</x:v>
      </x:c>
      <x:c r="Q13" s="42" t="n">
        <x:v>0.9</x:v>
      </x:c>
    </x:row>
    <x:row r="14" ht="23" customHeight="1">
      <x:c r="A14" s="11" t="str">
        <x:v>01530.HK</x:v>
      </x:c>
      <x:c r="B14" s="11" t="str">
        <x:v>半年</x:v>
      </x:c>
      <x:c r="C14" s="11" t="str">
        <x:v>乐观</x:v>
      </x:c>
      <x:c r="D14" s="16" t="n">
        <x:v>2.4225</x:v>
      </x:c>
      <x:c r="E14" s="16" t="n">
        <x:v>20</x:v>
      </x:c>
      <x:c r="F14" s="16" t="n">
        <x:v>13.8</x:v>
      </x:c>
      <x:c r="G14" s="16" t="n">
        <x:v>0</x:v>
      </x:c>
      <x:c r="H14" s="16" t="n">
        <x:v>2.55</x:v>
      </x:c>
      <x:c r="I14" s="16" t="n">
        <x:v>0.65</x:v>
      </x:c>
      <x:c r="J14" s="16" t="n">
        <x:v>0.5</x:v>
      </x:c>
      <x:c r="K14" s="16" t="n">
        <x:v>0.18</x:v>
      </x:c>
      <x:c r="L14" s="16" t="n">
        <x:v>0.19999999999999996</x:v>
      </x:c>
      <x:c r="M14" s="16" t="n">
        <x:v>0.11</x:v>
      </x:c>
      <x:c r="N14" s="16" t="n">
        <x:v>7</x:v>
      </x:c>
      <x:c r="O14" s="11" t="n">
        <x:v>2027</x:v>
      </x:c>
      <x:c r="P14" s="16" t="n">
        <x:v>1.1</x:v>
      </x:c>
      <x:c r="Q14" s="42" t="n">
        <x:v>0.95</x:v>
      </x:c>
    </x:row>
    <x:row r="15" ht="23" customHeight="1">
      <x:c r="A15" s="11" t="str">
        <x:v>01530.HK</x:v>
      </x:c>
      <x:c r="B15" s="11" t="str">
        <x:v>一年</x:v>
      </x:c>
      <x:c r="C15" s="11" t="str">
        <x:v>活动输入</x:v>
      </x:c>
      <x:c r="D15" s="11" t="n">
        <x:f>CHOOSE('假设'!$B$3,D16,D17,D18)</x:f>
        <x:v>2.2880000000000003</x:v>
      </x:c>
      <x:c r="E15" s="11" t="n">
        <x:f>CHOOSE('假设'!$B$3,E16,E17,E18)</x:f>
        <x:v>17</x:v>
      </x:c>
      <x:c r="F15" s="11" t="n">
        <x:f>CHOOSE('假设'!$B$3,F16,F17,F18)</x:f>
        <x:v>12.8</x:v>
      </x:c>
      <x:c r="G15" s="11" t="n">
        <x:f>CHOOSE('假设'!$B$3,G16,G17,G18)</x:f>
        <x:v>0</x:v>
      </x:c>
      <x:c r="H15" s="11" t="n">
        <x:f>CHOOSE('假设'!$B$3,H16,H17,H18)</x:f>
        <x:v>2.6</x:v>
      </x:c>
      <x:c r="I15" s="11" t="n">
        <x:f>CHOOSE('假设'!$B$3,I16,I17,I18)</x:f>
        <x:v>0.35</x:v>
      </x:c>
      <x:c r="J15" s="11" t="n">
        <x:f>CHOOSE('假设'!$B$3,J16,J17,J18)</x:f>
        <x:v>0.2</x:v>
      </x:c>
      <x:c r="K15" s="11" t="n">
        <x:f>CHOOSE('假设'!$B$3,K16,K17,K18)</x:f>
        <x:v>0.15</x:v>
      </x:c>
      <x:c r="L15" s="11" t="n">
        <x:f>CHOOSE('假设'!$B$3,L16,L17,L18)</x:f>
        <x:v>0.21999999999999997</x:v>
      </x:c>
      <x:c r="M15" s="11" t="n">
        <x:f>CHOOSE('假设'!$B$3,M16,M17,M18)</x:f>
        <x:v>0.13</x:v>
      </x:c>
      <x:c r="N15" s="11" t="n">
        <x:f>CHOOSE('假设'!$B$3,N16,N17,N18)</x:f>
        <x:v>7</x:v>
      </x:c>
      <x:c r="O15" s="11" t="n">
        <x:f>CHOOSE('假设'!$B$3,O16,O17,O18)</x:f>
        <x:v>2027</x:v>
      </x:c>
      <x:c r="P15" s="11" t="n">
        <x:f>CHOOSE('假设'!$B$3,P16,P17,P18)</x:f>
        <x:v>1.1</x:v>
      </x:c>
      <x:c r="Q15" t="n">
        <x:f>CHOOSE('假设'!$B$3,Q16,Q17,Q18)</x:f>
        <x:v>0.9</x:v>
      </x:c>
    </x:row>
    <x:row r="16" ht="23" customHeight="1">
      <x:c r="A16" s="11" t="str">
        <x:v>01530.HK</x:v>
      </x:c>
      <x:c r="B16" s="11" t="str">
        <x:v>一年</x:v>
      </x:c>
      <x:c r="C16" s="11" t="str">
        <x:v>悲观</x:v>
      </x:c>
      <x:c r="D16" s="16" t="n">
        <x:v>1.484</x:v>
      </x:c>
      <x:c r="E16" s="16" t="n">
        <x:v>11</x:v>
      </x:c>
      <x:c r="F16" s="16" t="n">
        <x:v>7.5</x:v>
      </x:c>
      <x:c r="G16" s="16" t="n">
        <x:v>0</x:v>
      </x:c>
      <x:c r="H16" s="16" t="n">
        <x:v>2.65</x:v>
      </x:c>
      <x:c r="I16" s="16" t="n">
        <x:v>0.12</x:v>
      </x:c>
      <x:c r="J16" s="16" t="n">
        <x:v>0.06</x:v>
      </x:c>
      <x:c r="K16" s="16" t="n">
        <x:v>0.12</x:v>
      </x:c>
      <x:c r="L16" s="16" t="n">
        <x:v>0.25</x:v>
      </x:c>
      <x:c r="M16" s="16" t="n">
        <x:v>0.16</x:v>
      </x:c>
      <x:c r="N16" s="16" t="n">
        <x:v>7</x:v>
      </x:c>
      <x:c r="O16" s="11" t="n">
        <x:v>2027</x:v>
      </x:c>
      <x:c r="P16" s="16" t="n">
        <x:v>1.1</x:v>
      </x:c>
      <x:c r="Q16" s="42" t="n">
        <x:v>0.85</x:v>
      </x:c>
    </x:row>
    <x:row r="17" ht="23" customHeight="1">
      <x:c r="A17" s="11" t="str">
        <x:v>01530.HK</x:v>
      </x:c>
      <x:c r="B17" s="11" t="str">
        <x:v>一年</x:v>
      </x:c>
      <x:c r="C17" s="11" t="str">
        <x:v>基准</x:v>
      </x:c>
      <x:c r="D17" s="16" t="n">
        <x:v>2.2880000000000003</x:v>
      </x:c>
      <x:c r="E17" s="16" t="n">
        <x:v>17</x:v>
      </x:c>
      <x:c r="F17" s="16" t="n">
        <x:v>12.8</x:v>
      </x:c>
      <x:c r="G17" s="16" t="n">
        <x:v>0</x:v>
      </x:c>
      <x:c r="H17" s="16" t="n">
        <x:v>2.6</x:v>
      </x:c>
      <x:c r="I17" s="16" t="n">
        <x:v>0.35</x:v>
      </x:c>
      <x:c r="J17" s="16" t="n">
        <x:v>0.2</x:v>
      </x:c>
      <x:c r="K17" s="16" t="n">
        <x:v>0.15</x:v>
      </x:c>
      <x:c r="L17" s="16" t="n">
        <x:v>0.21999999999999997</x:v>
      </x:c>
      <x:c r="M17" s="16" t="n">
        <x:v>0.13</x:v>
      </x:c>
      <x:c r="N17" s="16" t="n">
        <x:v>7</x:v>
      </x:c>
      <x:c r="O17" s="11" t="n">
        <x:v>2027</x:v>
      </x:c>
      <x:c r="P17" s="16" t="n">
        <x:v>1.1</x:v>
      </x:c>
      <x:c r="Q17" s="42" t="n">
        <x:v>0.9</x:v>
      </x:c>
    </x:row>
    <x:row r="18" ht="23" customHeight="1">
      <x:c r="A18" s="11" t="str">
        <x:v>01530.HK</x:v>
      </x:c>
      <x:c r="B18" s="11" t="str">
        <x:v>一年</x:v>
      </x:c>
      <x:c r="C18" s="11" t="str">
        <x:v>乐观</x:v>
      </x:c>
      <x:c r="D18" s="16" t="n">
        <x:v>3.1353999999999997</x:v>
      </x:c>
      <x:c r="E18" s="16" t="n">
        <x:v>22</x:v>
      </x:c>
      <x:c r="F18" s="16" t="n">
        <x:v>15</x:v>
      </x:c>
      <x:c r="G18" s="16" t="n">
        <x:v>0</x:v>
      </x:c>
      <x:c r="H18" s="16" t="n">
        <x:v>2.57</x:v>
      </x:c>
      <x:c r="I18" s="16" t="n">
        <x:v>0.65</x:v>
      </x:c>
      <x:c r="J18" s="16" t="n">
        <x:v>0.5</x:v>
      </x:c>
      <x:c r="K18" s="16" t="n">
        <x:v>0.18</x:v>
      </x:c>
      <x:c r="L18" s="16" t="n">
        <x:v>0.19999999999999996</x:v>
      </x:c>
      <x:c r="M18" s="16" t="n">
        <x:v>0.11</x:v>
      </x:c>
      <x:c r="N18" s="16" t="n">
        <x:v>7</x:v>
      </x:c>
      <x:c r="O18" s="11" t="n">
        <x:v>2027</x:v>
      </x:c>
      <x:c r="P18" s="16" t="n">
        <x:v>1.1</x:v>
      </x:c>
      <x:c r="Q18" s="42" t="n">
        <x:v>0.95</x:v>
      </x:c>
    </x:row>
    <x:row r="19" ht="23" customHeight="1">
      <x:c r="A19" s="11" t="str">
        <x:v>01530.HK</x:v>
      </x:c>
      <x:c r="B19" s="11" t="str">
        <x:v>三年</x:v>
      </x:c>
      <x:c r="C19" s="11" t="str">
        <x:v>活动输入</x:v>
      </x:c>
      <x:c r="D19" s="11" t="n">
        <x:f>CHOOSE('假设'!$B$3,D20,D21,D22)</x:f>
        <x:v>2.9792000000000005</x:v>
      </x:c>
      <x:c r="E19" s="11" t="n">
        <x:f>CHOOSE('假设'!$B$3,E20,E21,E22)</x:f>
        <x:v>18</x:v>
      </x:c>
      <x:c r="F19" s="11" t="n">
        <x:f>CHOOSE('假设'!$B$3,F20,F21,F22)</x:f>
        <x:v>13.5</x:v>
      </x:c>
      <x:c r="G19" s="11" t="n">
        <x:f>CHOOSE('假设'!$B$3,G20,G21,G22)</x:f>
        <x:v>0</x:v>
      </x:c>
      <x:c r="H19" s="11" t="n">
        <x:f>CHOOSE('假设'!$B$3,H20,H21,H22)</x:f>
        <x:v>2.66</x:v>
      </x:c>
      <x:c r="I19" s="11" t="n">
        <x:f>CHOOSE('假设'!$B$3,I20,I21,I22)</x:f>
        <x:v>0.35</x:v>
      </x:c>
      <x:c r="J19" s="11" t="n">
        <x:f>CHOOSE('假设'!$B$3,J20,J21,J22)</x:f>
        <x:v>0.2</x:v>
      </x:c>
      <x:c r="K19" s="11" t="n">
        <x:f>CHOOSE('假设'!$B$3,K20,K21,K22)</x:f>
        <x:v>0.15</x:v>
      </x:c>
      <x:c r="L19" s="11" t="n">
        <x:f>CHOOSE('假设'!$B$3,L20,L21,L22)</x:f>
        <x:v>0.21999999999999997</x:v>
      </x:c>
      <x:c r="M19" s="11" t="n">
        <x:f>CHOOSE('假设'!$B$3,M20,M21,M22)</x:f>
        <x:v>0.13</x:v>
      </x:c>
      <x:c r="N19" s="11" t="n">
        <x:f>CHOOSE('假设'!$B$3,N20,N21,N22)</x:f>
        <x:v>7</x:v>
      </x:c>
      <x:c r="O19" s="11" t="n">
        <x:f>CHOOSE('假设'!$B$3,O20,O21,O22)</x:f>
        <x:v>2029</x:v>
      </x:c>
      <x:c r="P19" s="11" t="n">
        <x:f>CHOOSE('假设'!$B$3,P20,P21,P22)</x:f>
        <x:v>1.1</x:v>
      </x:c>
      <x:c r="Q19" t="n">
        <x:f>CHOOSE('假设'!$B$3,Q20,Q21,Q22)</x:f>
        <x:v>0.9</x:v>
      </x:c>
    </x:row>
    <x:row r="20" ht="23" customHeight="1">
      <x:c r="A20" s="11" t="str">
        <x:v>01530.HK</x:v>
      </x:c>
      <x:c r="B20" s="11" t="str">
        <x:v>三年</x:v>
      </x:c>
      <x:c r="C20" s="11" t="str">
        <x:v>悲观</x:v>
      </x:c>
      <x:c r="D20" s="16" t="n">
        <x:v>1.7875</x:v>
      </x:c>
      <x:c r="E20" s="16" t="n">
        <x:v>10</x:v>
      </x:c>
      <x:c r="F20" s="16" t="n">
        <x:v>6</x:v>
      </x:c>
      <x:c r="G20" s="16" t="n">
        <x:v>0</x:v>
      </x:c>
      <x:c r="H20" s="16" t="n">
        <x:v>2.75</x:v>
      </x:c>
      <x:c r="I20" s="16" t="n">
        <x:v>0.12</x:v>
      </x:c>
      <x:c r="J20" s="16" t="n">
        <x:v>0.06</x:v>
      </x:c>
      <x:c r="K20" s="16" t="n">
        <x:v>0.12</x:v>
      </x:c>
      <x:c r="L20" s="16" t="n">
        <x:v>0.25</x:v>
      </x:c>
      <x:c r="M20" s="16" t="n">
        <x:v>0.16</x:v>
      </x:c>
      <x:c r="N20" s="16" t="n">
        <x:v>7</x:v>
      </x:c>
      <x:c r="O20" s="11" t="n">
        <x:v>2029</x:v>
      </x:c>
      <x:c r="P20" s="16" t="n">
        <x:v>1.1</x:v>
      </x:c>
      <x:c r="Q20" s="42" t="n">
        <x:v>0.85</x:v>
      </x:c>
    </x:row>
    <x:row r="21" ht="23" customHeight="1">
      <x:c r="A21" s="11" t="str">
        <x:v>01530.HK</x:v>
      </x:c>
      <x:c r="B21" s="11" t="str">
        <x:v>三年</x:v>
      </x:c>
      <x:c r="C21" s="11" t="str">
        <x:v>基准</x:v>
      </x:c>
      <x:c r="D21" s="16" t="n">
        <x:v>2.9792000000000005</x:v>
      </x:c>
      <x:c r="E21" s="16" t="n">
        <x:v>18</x:v>
      </x:c>
      <x:c r="F21" s="16" t="n">
        <x:v>13.5</x:v>
      </x:c>
      <x:c r="G21" s="16" t="n">
        <x:v>0</x:v>
      </x:c>
      <x:c r="H21" s="16" t="n">
        <x:v>2.66</x:v>
      </x:c>
      <x:c r="I21" s="16" t="n">
        <x:v>0.35</x:v>
      </x:c>
      <x:c r="J21" s="16" t="n">
        <x:v>0.2</x:v>
      </x:c>
      <x:c r="K21" s="16" t="n">
        <x:v>0.15</x:v>
      </x:c>
      <x:c r="L21" s="16" t="n">
        <x:v>0.21999999999999997</x:v>
      </x:c>
      <x:c r="M21" s="16" t="n">
        <x:v>0.13</x:v>
      </x:c>
      <x:c r="N21" s="16" t="n">
        <x:v>7</x:v>
      </x:c>
      <x:c r="O21" s="11" t="n">
        <x:v>2029</x:v>
      </x:c>
      <x:c r="P21" s="16" t="n">
        <x:v>1.1</x:v>
      </x:c>
      <x:c r="Q21" s="42" t="n">
        <x:v>0.9</x:v>
      </x:c>
    </x:row>
    <x:row r="22" ht="23" customHeight="1">
      <x:c r="A22" s="11" t="str">
        <x:v>01530.HK</x:v>
      </x:c>
      <x:c r="B22" s="11" t="str">
        <x:v>三年</x:v>
      </x:c>
      <x:c r="C22" s="11" t="str">
        <x:v>乐观</x:v>
      </x:c>
      <x:c r="D22" s="16" t="n">
        <x:v>4.3229999999999995</x:v>
      </x:c>
      <x:c r="E22" s="16" t="n">
        <x:v>24</x:v>
      </x:c>
      <x:c r="F22" s="16" t="n">
        <x:v>17</x:v>
      </x:c>
      <x:c r="G22" s="16" t="n">
        <x:v>0</x:v>
      </x:c>
      <x:c r="H22" s="16" t="n">
        <x:v>2.62</x:v>
      </x:c>
      <x:c r="I22" s="16" t="n">
        <x:v>0.65</x:v>
      </x:c>
      <x:c r="J22" s="16" t="n">
        <x:v>0.5</x:v>
      </x:c>
      <x:c r="K22" s="16" t="n">
        <x:v>0.18</x:v>
      </x:c>
      <x:c r="L22" s="16" t="n">
        <x:v>0.19999999999999996</x:v>
      </x:c>
      <x:c r="M22" s="16" t="n">
        <x:v>0.11</x:v>
      </x:c>
      <x:c r="N22" s="16" t="n">
        <x:v>7</x:v>
      </x:c>
      <x:c r="O22" s="11" t="n">
        <x:v>2029</x:v>
      </x:c>
      <x:c r="P22" s="16" t="n">
        <x:v>1.1</x:v>
      </x:c>
      <x:c r="Q22" s="42" t="n">
        <x:v>0.95</x:v>
      </x:c>
    </x:row>
    <x:row r="23" ht="23" customHeight="1">
      <x:c r="A23" s="11" t="str">
        <x:v>01530.HK</x:v>
      </x:c>
      <x:c r="B23" s="11" t="str">
        <x:v>五年</x:v>
      </x:c>
      <x:c r="C23" s="11" t="str">
        <x:v>活动输入</x:v>
      </x:c>
      <x:c r="D23" s="11" t="n">
        <x:f>CHOOSE('假设'!$B$3,D24,D25,D26)</x:f>
        <x:v>4.17</x:v>
      </x:c>
      <x:c r="E23" s="11" t="n">
        <x:f>CHOOSE('假设'!$B$3,E24,E25,E26)</x:f>
        <x:v>17</x:v>
      </x:c>
      <x:c r="F23" s="11" t="n">
        <x:f>CHOOSE('假设'!$B$3,F24,F25,F26)</x:f>
        <x:v>15</x:v>
      </x:c>
      <x:c r="G23" s="11" t="n">
        <x:f>CHOOSE('假设'!$B$3,G24,G25,G26)</x:f>
        <x:v>0</x:v>
      </x:c>
      <x:c r="H23" s="11" t="n">
        <x:f>CHOOSE('假设'!$B$3,H24,H25,H26)</x:f>
        <x:v>2.78</x:v>
      </x:c>
      <x:c r="I23" s="11" t="n">
        <x:f>CHOOSE('假设'!$B$3,I24,I25,I26)</x:f>
        <x:v>0.35</x:v>
      </x:c>
      <x:c r="J23" s="11" t="n">
        <x:f>CHOOSE('假设'!$B$3,J24,J25,J26)</x:f>
        <x:v>0.2</x:v>
      </x:c>
      <x:c r="K23" s="11" t="n">
        <x:f>CHOOSE('假设'!$B$3,K24,K25,K26)</x:f>
        <x:v>0.15</x:v>
      </x:c>
      <x:c r="L23" s="11" t="n">
        <x:f>CHOOSE('假设'!$B$3,L24,L25,L26)</x:f>
        <x:v>0.21999999999999997</x:v>
      </x:c>
      <x:c r="M23" s="11" t="n">
        <x:f>CHOOSE('假设'!$B$3,M24,M25,M26)</x:f>
        <x:v>0.13</x:v>
      </x:c>
      <x:c r="N23" s="11" t="n">
        <x:f>CHOOSE('假设'!$B$3,N24,N25,N26)</x:f>
        <x:v>7</x:v>
      </x:c>
      <x:c r="O23" s="11" t="n">
        <x:f>CHOOSE('假设'!$B$3,O24,O25,O26)</x:f>
        <x:v>2031</x:v>
      </x:c>
      <x:c r="P23" s="11" t="n">
        <x:f>CHOOSE('假设'!$B$3,P24,P25,P26)</x:f>
        <x:v>1.1</x:v>
      </x:c>
      <x:c r="Q23" t="n">
        <x:f>CHOOSE('假设'!$B$3,Q24,Q25,Q26)</x:f>
        <x:v>0.9</x:v>
      </x:c>
    </x:row>
    <x:row r="24" ht="23" customHeight="1">
      <x:c r="A24" s="11" t="str">
        <x:v>01530.HK</x:v>
      </x:c>
      <x:c r="B24" s="11" t="str">
        <x:v>五年</x:v>
      </x:c>
      <x:c r="C24" s="11" t="str">
        <x:v>悲观</x:v>
      </x:c>
      <x:c r="D24" s="16" t="n">
        <x:v>2.175</x:v>
      </x:c>
      <x:c r="E24" s="16" t="n">
        <x:v>9</x:v>
      </x:c>
      <x:c r="F24" s="16" t="n">
        <x:v>4.5</x:v>
      </x:c>
      <x:c r="G24" s="16" t="n">
        <x:v>0</x:v>
      </x:c>
      <x:c r="H24" s="16" t="n">
        <x:v>2.9</x:v>
      </x:c>
      <x:c r="I24" s="16" t="n">
        <x:v>0.12</x:v>
      </x:c>
      <x:c r="J24" s="16" t="n">
        <x:v>0.06</x:v>
      </x:c>
      <x:c r="K24" s="16" t="n">
        <x:v>0.12</x:v>
      </x:c>
      <x:c r="L24" s="16" t="n">
        <x:v>0.25</x:v>
      </x:c>
      <x:c r="M24" s="16" t="n">
        <x:v>0.16</x:v>
      </x:c>
      <x:c r="N24" s="16" t="n">
        <x:v>7</x:v>
      </x:c>
      <x:c r="O24" s="11" t="n">
        <x:v>2031</x:v>
      </x:c>
      <x:c r="P24" s="16" t="n">
        <x:v>1.1</x:v>
      </x:c>
      <x:c r="Q24" s="42" t="n">
        <x:v>0.85</x:v>
      </x:c>
    </x:row>
    <x:row r="25" ht="23" customHeight="1">
      <x:c r="A25" s="11" t="str">
        <x:v>01530.HK</x:v>
      </x:c>
      <x:c r="B25" s="11" t="str">
        <x:v>五年</x:v>
      </x:c>
      <x:c r="C25" s="11" t="str">
        <x:v>基准</x:v>
      </x:c>
      <x:c r="D25" s="16" t="n">
        <x:v>4.17</x:v>
      </x:c>
      <x:c r="E25" s="16" t="n">
        <x:v>17</x:v>
      </x:c>
      <x:c r="F25" s="16" t="n">
        <x:v>15</x:v>
      </x:c>
      <x:c r="G25" s="16" t="n">
        <x:v>0</x:v>
      </x:c>
      <x:c r="H25" s="16" t="n">
        <x:v>2.78</x:v>
      </x:c>
      <x:c r="I25" s="16" t="n">
        <x:v>0.35</x:v>
      </x:c>
      <x:c r="J25" s="16" t="n">
        <x:v>0.2</x:v>
      </x:c>
      <x:c r="K25" s="16" t="n">
        <x:v>0.15</x:v>
      </x:c>
      <x:c r="L25" s="16" t="n">
        <x:v>0.21999999999999997</x:v>
      </x:c>
      <x:c r="M25" s="16" t="n">
        <x:v>0.13</x:v>
      </x:c>
      <x:c r="N25" s="16" t="n">
        <x:v>7</x:v>
      </x:c>
      <x:c r="O25" s="11" t="n">
        <x:v>2031</x:v>
      </x:c>
      <x:c r="P25" s="16" t="n">
        <x:v>1.1</x:v>
      </x:c>
      <x:c r="Q25" s="42" t="n">
        <x:v>0.9</x:v>
      </x:c>
    </x:row>
    <x:row r="26" ht="23" customHeight="1">
      <x:c r="A26" s="11" t="str">
        <x:v>01530.HK</x:v>
      </x:c>
      <x:c r="B26" s="11" t="str">
        <x:v>五年</x:v>
      </x:c>
      <x:c r="C26" s="11" t="str">
        <x:v>乐观</x:v>
      </x:c>
      <x:c r="D26" s="16" t="n">
        <x:v>6.392</x:v>
      </x:c>
      <x:c r="E26" s="16" t="n">
        <x:v>23</x:v>
      </x:c>
      <x:c r="F26" s="16" t="n">
        <x:v>22</x:v>
      </x:c>
      <x:c r="G26" s="16" t="n">
        <x:v>0</x:v>
      </x:c>
      <x:c r="H26" s="16" t="n">
        <x:v>2.72</x:v>
      </x:c>
      <x:c r="I26" s="16" t="n">
        <x:v>0.65</x:v>
      </x:c>
      <x:c r="J26" s="16" t="n">
        <x:v>0.5</x:v>
      </x:c>
      <x:c r="K26" s="16" t="n">
        <x:v>0.18</x:v>
      </x:c>
      <x:c r="L26" s="16" t="n">
        <x:v>0.19999999999999996</x:v>
      </x:c>
      <x:c r="M26" s="16" t="n">
        <x:v>0.11</x:v>
      </x:c>
      <x:c r="N26" s="16" t="n">
        <x:v>7</x:v>
      </x:c>
      <x:c r="O26" s="11" t="n">
        <x:v>2031</x:v>
      </x:c>
      <x:c r="P26" s="16" t="n">
        <x:v>1.1</x:v>
      </x:c>
      <x:c r="Q26" s="42" t="n">
        <x:v>0.95</x:v>
      </x:c>
    </x:row>
    <x:row r="27" ht="23" customHeight="1">
      <x:c r="A27" s="11" t="str">
        <x:v>09926.HK</x:v>
      </x:c>
      <x:c r="B27" s="11" t="str">
        <x:v>2026年底</x:v>
      </x:c>
      <x:c r="C27" s="11" t="str">
        <x:v>活动输入</x:v>
      </x:c>
      <x:c r="D27" s="11" t="n">
        <x:f>CHOOSE('假设'!$B$3,D28,D29,D30)</x:f>
        <x:v>1.05</x:v>
      </x:c>
      <x:c r="E27" s="11" t="n">
        <x:f>CHOOSE('假设'!$B$3,E28,E29,E30)</x:f>
        <x:v>30</x:v>
      </x:c>
      <x:c r="F27" s="11" t="n">
        <x:f>CHOOSE('假设'!$B$3,F28,F29,F30)</x:f>
        <x:v>3.4</x:v>
      </x:c>
      <x:c r="G27" s="11" t="n">
        <x:f>CHOOSE('假设'!$B$3,G28,G29,G30)</x:f>
        <x:v>1.5</x:v>
      </x:c>
      <x:c r="H27" s="11" t="n">
        <x:f>CHOOSE('假设'!$B$3,H28,H29,H30)</x:f>
        <x:v>0.95</x:v>
      </x:c>
      <x:c r="I27" s="11" t="n">
        <x:f>CHOOSE('假设'!$B$3,I28,I29,I30)</x:f>
        <x:v>0.7</x:v>
      </x:c>
      <x:c r="J27" s="11" t="n">
        <x:f>CHOOSE('假设'!$B$3,J28,J29,J30)</x:f>
        <x:v>0.25</x:v>
      </x:c>
      <x:c r="K27" s="11" t="n">
        <x:f>CHOOSE('假设'!$B$3,K28,K29,K30)</x:f>
        <x:v>0.15</x:v>
      </x:c>
      <x:c r="L27" s="11" t="n">
        <x:f>CHOOSE('假设'!$B$3,L28,L29,L30)</x:f>
        <x:v>0.2</x:v>
      </x:c>
      <x:c r="M27" s="11" t="n">
        <x:f>CHOOSE('假设'!$B$3,M28,M29,M30)</x:f>
        <x:v>0.12</x:v>
      </x:c>
      <x:c r="N27" s="11" t="n">
        <x:f>CHOOSE('假设'!$B$3,N28,N29,N30)</x:f>
        <x:v>6.8</x:v>
      </x:c>
      <x:c r="O27" s="11" t="n">
        <x:f>CHOOSE('假设'!$B$3,O28,O29,O30)</x:f>
        <x:v>2026.996577686516</x:v>
      </x:c>
      <x:c r="P27" s="11" t="n">
        <x:f>CHOOSE('假设'!$B$3,P28,P29,P30)</x:f>
        <x:v>1.1</x:v>
      </x:c>
      <x:c r="Q27" t="n">
        <x:f>CHOOSE('假设'!$B$3,Q28,Q29,Q30)</x:f>
        <x:v>1</x:v>
      </x:c>
    </x:row>
    <x:row r="28" ht="23" customHeight="1">
      <x:c r="A28" s="11" t="str">
        <x:v>09926.HK</x:v>
      </x:c>
      <x:c r="B28" s="11" t="str">
        <x:v>2026年底</x:v>
      </x:c>
      <x:c r="C28" s="11" t="str">
        <x:v>悲观</x:v>
      </x:c>
      <x:c r="D28" s="16" t="n">
        <x:v>0.35</x:v>
      </x:c>
      <x:c r="E28" s="16" t="n">
        <x:v>20</x:v>
      </x:c>
      <x:c r="F28" s="16" t="n">
        <x:v>2.8</x:v>
      </x:c>
      <x:c r="G28" s="16" t="n">
        <x:v>1.2</x:v>
      </x:c>
      <x:c r="H28" s="16" t="n">
        <x:v>0.97</x:v>
      </x:c>
      <x:c r="I28" s="16" t="n">
        <x:v>0.35</x:v>
      </x:c>
      <x:c r="J28" s="16" t="n">
        <x:v>0.1</x:v>
      </x:c>
      <x:c r="K28" s="16" t="n">
        <x:v>0.1</x:v>
      </x:c>
      <x:c r="L28" s="16" t="n">
        <x:v>0.2</x:v>
      </x:c>
      <x:c r="M28" s="16" t="n">
        <x:v>0.14</x:v>
      </x:c>
      <x:c r="N28" s="16" t="n">
        <x:v>6.8</x:v>
      </x:c>
      <x:c r="O28" s="11" t="n">
        <x:v>2026.996577686516</x:v>
      </x:c>
      <x:c r="P28" s="16" t="n">
        <x:v>1.1</x:v>
      </x:c>
      <x:c r="Q28" s="42" t="n">
        <x:v>1</x:v>
      </x:c>
    </x:row>
    <x:row r="29" ht="23" customHeight="1">
      <x:c r="A29" s="11" t="str">
        <x:v>09926.HK</x:v>
      </x:c>
      <x:c r="B29" s="11" t="str">
        <x:v>2026年底</x:v>
      </x:c>
      <x:c r="C29" s="11" t="str">
        <x:v>基准</x:v>
      </x:c>
      <x:c r="D29" s="16" t="n">
        <x:v>1.05</x:v>
      </x:c>
      <x:c r="E29" s="16" t="n">
        <x:v>30</x:v>
      </x:c>
      <x:c r="F29" s="16" t="n">
        <x:v>3.4</x:v>
      </x:c>
      <x:c r="G29" s="16" t="n">
        <x:v>1.5</x:v>
      </x:c>
      <x:c r="H29" s="16" t="n">
        <x:v>0.95</x:v>
      </x:c>
      <x:c r="I29" s="16" t="n">
        <x:v>0.7</x:v>
      </x:c>
      <x:c r="J29" s="16" t="n">
        <x:v>0.25</x:v>
      </x:c>
      <x:c r="K29" s="16" t="n">
        <x:v>0.15</x:v>
      </x:c>
      <x:c r="L29" s="16" t="n">
        <x:v>0.2</x:v>
      </x:c>
      <x:c r="M29" s="16" t="n">
        <x:v>0.12</x:v>
      </x:c>
      <x:c r="N29" s="16" t="n">
        <x:v>6.8</x:v>
      </x:c>
      <x:c r="O29" s="11" t="n">
        <x:v>2026.996577686516</x:v>
      </x:c>
      <x:c r="P29" s="16" t="n">
        <x:v>1.1</x:v>
      </x:c>
      <x:c r="Q29" s="42" t="n">
        <x:v>1</x:v>
      </x:c>
    </x:row>
    <x:row r="30" ht="23" customHeight="1">
      <x:c r="A30" s="11" t="str">
        <x:v>09926.HK</x:v>
      </x:c>
      <x:c r="B30" s="11" t="str">
        <x:v>2026年底</x:v>
      </x:c>
      <x:c r="C30" s="11" t="str">
        <x:v>乐观</x:v>
      </x:c>
      <x:c r="D30" s="16" t="n">
        <x:v>1.7</x:v>
      </x:c>
      <x:c r="E30" s="16" t="n">
        <x:v>36</x:v>
      </x:c>
      <x:c r="F30" s="16" t="n">
        <x:v>3.8</x:v>
      </x:c>
      <x:c r="G30" s="16" t="n">
        <x:v>2</x:v>
      </x:c>
      <x:c r="H30" s="16" t="n">
        <x:v>0.95</x:v>
      </x:c>
      <x:c r="I30" s="16" t="n">
        <x:v>0.85</x:v>
      </x:c>
      <x:c r="J30" s="16" t="n">
        <x:v>0.45</x:v>
      </x:c>
      <x:c r="K30" s="16" t="n">
        <x:v>0.18</x:v>
      </x:c>
      <x:c r="L30" s="16" t="n">
        <x:v>0.2</x:v>
      </x:c>
      <x:c r="M30" s="16" t="n">
        <x:v>0.095</x:v>
      </x:c>
      <x:c r="N30" s="16" t="n">
        <x:v>6.8</x:v>
      </x:c>
      <x:c r="O30" s="11" t="n">
        <x:v>2026.996577686516</x:v>
      </x:c>
      <x:c r="P30" s="16" t="n">
        <x:v>1.1</x:v>
      </x:c>
      <x:c r="Q30" s="42" t="n">
        <x:v>1</x:v>
      </x:c>
    </x:row>
    <x:row r="31" ht="23" customHeight="1">
      <x:c r="A31" s="11" t="str">
        <x:v>09926.HK</x:v>
      </x:c>
      <x:c r="B31" s="11" t="str">
        <x:v>半年</x:v>
      </x:c>
      <x:c r="C31" s="11" t="str">
        <x:v>活动输入</x:v>
      </x:c>
      <x:c r="D31" s="11" t="n">
        <x:f>CHOOSE('假设'!$B$3,D32,D33,D34)</x:f>
        <x:v>1.05</x:v>
      </x:c>
      <x:c r="E31" s="11" t="n">
        <x:f>CHOOSE('假设'!$B$3,E32,E33,E34)</x:f>
        <x:v>32</x:v>
      </x:c>
      <x:c r="F31" s="11" t="n">
        <x:f>CHOOSE('假设'!$B$3,F32,F33,F34)</x:f>
        <x:v>3.4</x:v>
      </x:c>
      <x:c r="G31" s="11" t="n">
        <x:f>CHOOSE('假设'!$B$3,G32,G33,G34)</x:f>
        <x:v>1.5</x:v>
      </x:c>
      <x:c r="H31" s="11" t="n">
        <x:f>CHOOSE('假设'!$B$3,H32,H33,H34)</x:f>
        <x:v>0.955</x:v>
      </x:c>
      <x:c r="I31" s="11" t="n">
        <x:f>CHOOSE('假设'!$B$3,I32,I33,I34)</x:f>
        <x:v>0.72</x:v>
      </x:c>
      <x:c r="J31" s="11" t="n">
        <x:f>CHOOSE('假设'!$B$3,J32,J33,J34)</x:f>
        <x:v>0.28</x:v>
      </x:c>
      <x:c r="K31" s="11" t="n">
        <x:f>CHOOSE('假设'!$B$3,K32,K33,K34)</x:f>
        <x:v>0.15</x:v>
      </x:c>
      <x:c r="L31" s="11" t="n">
        <x:f>CHOOSE('假设'!$B$3,L32,L33,L34)</x:f>
        <x:v>0.2</x:v>
      </x:c>
      <x:c r="M31" s="11" t="n">
        <x:f>CHOOSE('假设'!$B$3,M32,M33,M34)</x:f>
        <x:v>0.11</x:v>
      </x:c>
      <x:c r="N31" s="11" t="n">
        <x:f>CHOOSE('假设'!$B$3,N32,N33,N34)</x:f>
        <x:v>6.8</x:v>
      </x:c>
      <x:c r="O31" s="11" t="n">
        <x:f>CHOOSE('假设'!$B$3,O32,O33,O34)</x:f>
        <x:v>2027.2683093771388</x:v>
      </x:c>
      <x:c r="P31" s="11" t="n">
        <x:f>CHOOSE('假设'!$B$3,P32,P33,P34)</x:f>
        <x:v>1.1</x:v>
      </x:c>
      <x:c r="Q31" t="n">
        <x:f>CHOOSE('假设'!$B$3,Q32,Q33,Q34)</x:f>
        <x:v>1</x:v>
      </x:c>
    </x:row>
    <x:row r="32" ht="23" customHeight="1">
      <x:c r="A32" s="11" t="str">
        <x:v>09926.HK</x:v>
      </x:c>
      <x:c r="B32" s="11" t="str">
        <x:v>半年</x:v>
      </x:c>
      <x:c r="C32" s="11" t="str">
        <x:v>悲观</x:v>
      </x:c>
      <x:c r="D32" s="16" t="n">
        <x:v>0.35</x:v>
      </x:c>
      <x:c r="E32" s="16" t="n">
        <x:v>20</x:v>
      </x:c>
      <x:c r="F32" s="16" t="n">
        <x:v>2.7</x:v>
      </x:c>
      <x:c r="G32" s="16" t="n">
        <x:v>1.2</x:v>
      </x:c>
      <x:c r="H32" s="16" t="n">
        <x:v>0.975</x:v>
      </x:c>
      <x:c r="I32" s="16" t="n">
        <x:v>0.35</x:v>
      </x:c>
      <x:c r="J32" s="16" t="n">
        <x:v>0.1</x:v>
      </x:c>
      <x:c r="K32" s="16" t="n">
        <x:v>0.1</x:v>
      </x:c>
      <x:c r="L32" s="16" t="n">
        <x:v>0.2</x:v>
      </x:c>
      <x:c r="M32" s="16" t="n">
        <x:v>0.14</x:v>
      </x:c>
      <x:c r="N32" s="16" t="n">
        <x:v>6.8</x:v>
      </x:c>
      <x:c r="O32" s="11" t="n">
        <x:v>2027.2683093771388</x:v>
      </x:c>
      <x:c r="P32" s="16" t="n">
        <x:v>1.1</x:v>
      </x:c>
      <x:c r="Q32" s="42" t="n">
        <x:v>1</x:v>
      </x:c>
    </x:row>
    <x:row r="33" ht="23" customHeight="1">
      <x:c r="A33" s="11" t="str">
        <x:v>09926.HK</x:v>
      </x:c>
      <x:c r="B33" s="11" t="str">
        <x:v>半年</x:v>
      </x:c>
      <x:c r="C33" s="11" t="str">
        <x:v>基准</x:v>
      </x:c>
      <x:c r="D33" s="16" t="n">
        <x:v>1.05</x:v>
      </x:c>
      <x:c r="E33" s="16" t="n">
        <x:v>32</x:v>
      </x:c>
      <x:c r="F33" s="16" t="n">
        <x:v>3.4</x:v>
      </x:c>
      <x:c r="G33" s="16" t="n">
        <x:v>1.5</x:v>
      </x:c>
      <x:c r="H33" s="16" t="n">
        <x:v>0.955</x:v>
      </x:c>
      <x:c r="I33" s="16" t="n">
        <x:v>0.72</x:v>
      </x:c>
      <x:c r="J33" s="16" t="n">
        <x:v>0.28</x:v>
      </x:c>
      <x:c r="K33" s="16" t="n">
        <x:v>0.15</x:v>
      </x:c>
      <x:c r="L33" s="16" t="n">
        <x:v>0.2</x:v>
      </x:c>
      <x:c r="M33" s="16" t="n">
        <x:v>0.11</x:v>
      </x:c>
      <x:c r="N33" s="16" t="n">
        <x:v>6.8</x:v>
      </x:c>
      <x:c r="O33" s="11" t="n">
        <x:v>2027.2683093771388</x:v>
      </x:c>
      <x:c r="P33" s="16" t="n">
        <x:v>1.1</x:v>
      </x:c>
      <x:c r="Q33" s="42" t="n">
        <x:v>1</x:v>
      </x:c>
    </x:row>
    <x:row r="34" ht="23" customHeight="1">
      <x:c r="A34" s="11" t="str">
        <x:v>09926.HK</x:v>
      </x:c>
      <x:c r="B34" s="11" t="str">
        <x:v>半年</x:v>
      </x:c>
      <x:c r="C34" s="11" t="str">
        <x:v>乐观</x:v>
      </x:c>
      <x:c r="D34" s="16" t="n">
        <x:v>1.7</x:v>
      </x:c>
      <x:c r="E34" s="16" t="n">
        <x:v>38</x:v>
      </x:c>
      <x:c r="F34" s="16" t="n">
        <x:v>3.8</x:v>
      </x:c>
      <x:c r="G34" s="16" t="n">
        <x:v>2</x:v>
      </x:c>
      <x:c r="H34" s="16" t="n">
        <x:v>0.955</x:v>
      </x:c>
      <x:c r="I34" s="16" t="n">
        <x:v>0.9</x:v>
      </x:c>
      <x:c r="J34" s="16" t="n">
        <x:v>0.5</x:v>
      </x:c>
      <x:c r="K34" s="16" t="n">
        <x:v>0.18</x:v>
      </x:c>
      <x:c r="L34" s="16" t="n">
        <x:v>0.2</x:v>
      </x:c>
      <x:c r="M34" s="16" t="n">
        <x:v>0.095</x:v>
      </x:c>
      <x:c r="N34" s="16" t="n">
        <x:v>6.8</x:v>
      </x:c>
      <x:c r="O34" s="11" t="n">
        <x:v>2027.2683093771388</x:v>
      </x:c>
      <x:c r="P34" s="16" t="n">
        <x:v>1.1</x:v>
      </x:c>
      <x:c r="Q34" s="42" t="n">
        <x:v>1</x:v>
      </x:c>
    </x:row>
    <x:row r="35" ht="23" customHeight="1">
      <x:c r="A35" s="11" t="str">
        <x:v>09926.HK</x:v>
      </x:c>
      <x:c r="B35" s="11" t="str">
        <x:v>一年</x:v>
      </x:c>
      <x:c r="C35" s="11" t="str">
        <x:v>活动输入</x:v>
      </x:c>
      <x:c r="D35" s="11" t="n">
        <x:f>CHOOSE('假设'!$B$3,D36,D37,D38)</x:f>
        <x:v>1.55</x:v>
      </x:c>
      <x:c r="E35" s="11" t="n">
        <x:f>CHOOSE('假设'!$B$3,E36,E37,E38)</x:f>
        <x:v>29</x:v>
      </x:c>
      <x:c r="F35" s="11" t="n">
        <x:f>CHOOSE('假设'!$B$3,F36,F37,F38)</x:f>
        <x:v>3.5</x:v>
      </x:c>
      <x:c r="G35" s="11" t="n">
        <x:f>CHOOSE('假设'!$B$3,G36,G37,G38)</x:f>
        <x:v>1.5</x:v>
      </x:c>
      <x:c r="H35" s="11" t="n">
        <x:f>CHOOSE('假设'!$B$3,H36,H37,H38)</x:f>
        <x:v>0.97</x:v>
      </x:c>
      <x:c r="I35" s="11" t="n">
        <x:f>CHOOSE('假设'!$B$3,I36,I37,I38)</x:f>
        <x:v>0.75</x:v>
      </x:c>
      <x:c r="J35" s="11" t="n">
        <x:f>CHOOSE('假设'!$B$3,J36,J37,J38)</x:f>
        <x:v>0.35</x:v>
      </x:c>
      <x:c r="K35" s="11" t="n">
        <x:f>CHOOSE('假设'!$B$3,K36,K37,K38)</x:f>
        <x:v>0.15</x:v>
      </x:c>
      <x:c r="L35" s="11" t="n">
        <x:f>CHOOSE('假设'!$B$3,L36,L37,L38)</x:f>
        <x:v>0.2</x:v>
      </x:c>
      <x:c r="M35" s="11" t="n">
        <x:f>CHOOSE('假设'!$B$3,M36,M37,M38)</x:f>
        <x:v>0.11</x:v>
      </x:c>
      <x:c r="N35" s="11" t="n">
        <x:f>CHOOSE('假设'!$B$3,N36,N37,N38)</x:f>
        <x:v>6.8</x:v>
      </x:c>
      <x:c r="O35" s="11" t="n">
        <x:f>CHOOSE('假设'!$B$3,O36,O37,O38)</x:f>
        <x:v>2027.7693360711842</x:v>
      </x:c>
      <x:c r="P35" s="11" t="n">
        <x:f>CHOOSE('假设'!$B$3,P36,P37,P38)</x:f>
        <x:v>1.1</x:v>
      </x:c>
      <x:c r="Q35" t="n">
        <x:f>CHOOSE('假设'!$B$3,Q36,Q37,Q38)</x:f>
        <x:v>1</x:v>
      </x:c>
    </x:row>
    <x:row r="36" ht="23" customHeight="1">
      <x:c r="A36" s="11" t="str">
        <x:v>09926.HK</x:v>
      </x:c>
      <x:c r="B36" s="11" t="str">
        <x:v>一年</x:v>
      </x:c>
      <x:c r="C36" s="11" t="str">
        <x:v>悲观</x:v>
      </x:c>
      <x:c r="D36" s="16" t="n">
        <x:v>0.55</x:v>
      </x:c>
      <x:c r="E36" s="16" t="n">
        <x:v>19</x:v>
      </x:c>
      <x:c r="F36" s="16" t="n">
        <x:v>2.5</x:v>
      </x:c>
      <x:c r="G36" s="16" t="n">
        <x:v>1.2</x:v>
      </x:c>
      <x:c r="H36" s="16" t="n">
        <x:v>0.985</x:v>
      </x:c>
      <x:c r="I36" s="16" t="n">
        <x:v>0.35</x:v>
      </x:c>
      <x:c r="J36" s="16" t="n">
        <x:v>0.1</x:v>
      </x:c>
      <x:c r="K36" s="16" t="n">
        <x:v>0.1</x:v>
      </x:c>
      <x:c r="L36" s="16" t="n">
        <x:v>0.2</x:v>
      </x:c>
      <x:c r="M36" s="16" t="n">
        <x:v>0.14</x:v>
      </x:c>
      <x:c r="N36" s="16" t="n">
        <x:v>6.8</x:v>
      </x:c>
      <x:c r="O36" s="11" t="n">
        <x:v>2027.7693360711842</x:v>
      </x:c>
      <x:c r="P36" s="16" t="n">
        <x:v>1.1</x:v>
      </x:c>
      <x:c r="Q36" s="42" t="n">
        <x:v>1</x:v>
      </x:c>
    </x:row>
    <x:row r="37" ht="23" customHeight="1">
      <x:c r="A37" s="11" t="str">
        <x:v>09926.HK</x:v>
      </x:c>
      <x:c r="B37" s="11" t="str">
        <x:v>一年</x:v>
      </x:c>
      <x:c r="C37" s="11" t="str">
        <x:v>基准</x:v>
      </x:c>
      <x:c r="D37" s="16" t="n">
        <x:v>1.55</x:v>
      </x:c>
      <x:c r="E37" s="16" t="n">
        <x:v>29</x:v>
      </x:c>
      <x:c r="F37" s="16" t="n">
        <x:v>3.5</x:v>
      </x:c>
      <x:c r="G37" s="16" t="n">
        <x:v>1.5</x:v>
      </x:c>
      <x:c r="H37" s="16" t="n">
        <x:v>0.97</x:v>
      </x:c>
      <x:c r="I37" s="16" t="n">
        <x:v>0.75</x:v>
      </x:c>
      <x:c r="J37" s="16" t="n">
        <x:v>0.35</x:v>
      </x:c>
      <x:c r="K37" s="16" t="n">
        <x:v>0.15</x:v>
      </x:c>
      <x:c r="L37" s="16" t="n">
        <x:v>0.2</x:v>
      </x:c>
      <x:c r="M37" s="16" t="n">
        <x:v>0.11</x:v>
      </x:c>
      <x:c r="N37" s="16" t="n">
        <x:v>6.8</x:v>
      </x:c>
      <x:c r="O37" s="11" t="n">
        <x:v>2027.7693360711842</x:v>
      </x:c>
      <x:c r="P37" s="16" t="n">
        <x:v>1.1</x:v>
      </x:c>
      <x:c r="Q37" s="42" t="n">
        <x:v>1</x:v>
      </x:c>
    </x:row>
    <x:row r="38" ht="23" customHeight="1">
      <x:c r="A38" s="11" t="str">
        <x:v>09926.HK</x:v>
      </x:c>
      <x:c r="B38" s="11" t="str">
        <x:v>一年</x:v>
      </x:c>
      <x:c r="C38" s="11" t="str">
        <x:v>乐观</x:v>
      </x:c>
      <x:c r="D38" s="16" t="n">
        <x:v>2.5</x:v>
      </x:c>
      <x:c r="E38" s="16" t="n">
        <x:v>35</x:v>
      </x:c>
      <x:c r="F38" s="16" t="n">
        <x:v>4.1</x:v>
      </x:c>
      <x:c r="G38" s="16" t="n">
        <x:v>2</x:v>
      </x:c>
      <x:c r="H38" s="16" t="n">
        <x:v>0.97</x:v>
      </x:c>
      <x:c r="I38" s="16" t="n">
        <x:v>0.95</x:v>
      </x:c>
      <x:c r="J38" s="16" t="n">
        <x:v>0.6</x:v>
      </x:c>
      <x:c r="K38" s="16" t="n">
        <x:v>0.18</x:v>
      </x:c>
      <x:c r="L38" s="16" t="n">
        <x:v>0.2</x:v>
      </x:c>
      <x:c r="M38" s="16" t="n">
        <x:v>0.095</x:v>
      </x:c>
      <x:c r="N38" s="16" t="n">
        <x:v>6.8</x:v>
      </x:c>
      <x:c r="O38" s="11" t="n">
        <x:v>2027.7693360711842</x:v>
      </x:c>
      <x:c r="P38" s="16" t="n">
        <x:v>1.1</x:v>
      </x:c>
      <x:c r="Q38" s="42" t="n">
        <x:v>1</x:v>
      </x:c>
    </x:row>
    <x:row r="39" ht="23" customHeight="1">
      <x:c r="A39" s="11" t="str">
        <x:v>09926.HK</x:v>
      </x:c>
      <x:c r="B39" s="11" t="str">
        <x:v>三年</x:v>
      </x:c>
      <x:c r="C39" s="11" t="str">
        <x:v>活动输入</x:v>
      </x:c>
      <x:c r="D39" s="11" t="n">
        <x:f>CHOOSE('假设'!$B$3,D40,D41,D42)</x:f>
        <x:v>2.7</x:v>
      </x:c>
      <x:c r="E39" s="11" t="n">
        <x:f>CHOOSE('假设'!$B$3,E40,E41,E42)</x:f>
        <x:v>25</x:v>
      </x:c>
      <x:c r="F39" s="11" t="n">
        <x:f>CHOOSE('假设'!$B$3,F40,F41,F42)</x:f>
        <x:v>4</x:v>
      </x:c>
      <x:c r="G39" s="11" t="n">
        <x:f>CHOOSE('假设'!$B$3,G40,G41,G42)</x:f>
        <x:v>1.6</x:v>
      </x:c>
      <x:c r="H39" s="11" t="n">
        <x:f>CHOOSE('假设'!$B$3,H40,H41,H42)</x:f>
        <x:v>1</x:v>
      </x:c>
      <x:c r="I39" s="11" t="n">
        <x:f>CHOOSE('假设'!$B$3,I40,I41,I42)</x:f>
        <x:v>0.88</x:v>
      </x:c>
      <x:c r="J39" s="11" t="n">
        <x:f>CHOOSE('假设'!$B$3,J40,J41,J42)</x:f>
        <x:v>0.5</x:v>
      </x:c>
      <x:c r="K39" s="11" t="n">
        <x:f>CHOOSE('假设'!$B$3,K40,K41,K42)</x:f>
        <x:v>0.15</x:v>
      </x:c>
      <x:c r="L39" s="11" t="n">
        <x:f>CHOOSE('假设'!$B$3,L40,L41,L42)</x:f>
        <x:v>0.2</x:v>
      </x:c>
      <x:c r="M39" s="11" t="n">
        <x:f>CHOOSE('假设'!$B$3,M40,M41,M42)</x:f>
        <x:v>0.11</x:v>
      </x:c>
      <x:c r="N39" s="11" t="n">
        <x:f>CHOOSE('假设'!$B$3,N40,N41,N42)</x:f>
        <x:v>6.8</x:v>
      </x:c>
      <x:c r="O39" s="11" t="n">
        <x:f>CHOOSE('假设'!$B$3,O40,O41,O42)</x:f>
        <x:v>2029.7693360711842</x:v>
      </x:c>
      <x:c r="P39" s="11" t="n">
        <x:f>CHOOSE('假设'!$B$3,P40,P41,P42)</x:f>
        <x:v>1.1</x:v>
      </x:c>
      <x:c r="Q39" t="n">
        <x:f>CHOOSE('假设'!$B$3,Q40,Q41,Q42)</x:f>
        <x:v>1</x:v>
      </x:c>
    </x:row>
    <x:row r="40" ht="23" customHeight="1">
      <x:c r="A40" s="11" t="str">
        <x:v>09926.HK</x:v>
      </x:c>
      <x:c r="B40" s="11" t="str">
        <x:v>三年</x:v>
      </x:c>
      <x:c r="C40" s="11" t="str">
        <x:v>悲观</x:v>
      </x:c>
      <x:c r="D40" s="16" t="n">
        <x:v>0.8</x:v>
      </x:c>
      <x:c r="E40" s="16" t="n">
        <x:v>17</x:v>
      </x:c>
      <x:c r="F40" s="16" t="n">
        <x:v>2</x:v>
      </x:c>
      <x:c r="G40" s="16" t="n">
        <x:v>1.3</x:v>
      </x:c>
      <x:c r="H40" s="16" t="n">
        <x:v>1.03</x:v>
      </x:c>
      <x:c r="I40" s="16" t="n">
        <x:v>0.35</x:v>
      </x:c>
      <x:c r="J40" s="16" t="n">
        <x:v>0.12</x:v>
      </x:c>
      <x:c r="K40" s="16" t="n">
        <x:v>0.1</x:v>
      </x:c>
      <x:c r="L40" s="16" t="n">
        <x:v>0.2</x:v>
      </x:c>
      <x:c r="M40" s="16" t="n">
        <x:v>0.14</x:v>
      </x:c>
      <x:c r="N40" s="16" t="n">
        <x:v>6.8</x:v>
      </x:c>
      <x:c r="O40" s="11" t="n">
        <x:v>2029.7693360711842</x:v>
      </x:c>
      <x:c r="P40" s="16" t="n">
        <x:v>1.1</x:v>
      </x:c>
      <x:c r="Q40" s="42" t="n">
        <x:v>1</x:v>
      </x:c>
    </x:row>
    <x:row r="41" ht="23" customHeight="1">
      <x:c r="A41" s="11" t="str">
        <x:v>09926.HK</x:v>
      </x:c>
      <x:c r="B41" s="11" t="str">
        <x:v>三年</x:v>
      </x:c>
      <x:c r="C41" s="11" t="str">
        <x:v>基准</x:v>
      </x:c>
      <x:c r="D41" s="16" t="n">
        <x:v>2.7</x:v>
      </x:c>
      <x:c r="E41" s="16" t="n">
        <x:v>25</x:v>
      </x:c>
      <x:c r="F41" s="16" t="n">
        <x:v>4</x:v>
      </x:c>
      <x:c r="G41" s="16" t="n">
        <x:v>1.6</x:v>
      </x:c>
      <x:c r="H41" s="16" t="n">
        <x:v>1</x:v>
      </x:c>
      <x:c r="I41" s="16" t="n">
        <x:v>0.88</x:v>
      </x:c>
      <x:c r="J41" s="16" t="n">
        <x:v>0.5</x:v>
      </x:c>
      <x:c r="K41" s="16" t="n">
        <x:v>0.15</x:v>
      </x:c>
      <x:c r="L41" s="16" t="n">
        <x:v>0.2</x:v>
      </x:c>
      <x:c r="M41" s="16" t="n">
        <x:v>0.11</x:v>
      </x:c>
      <x:c r="N41" s="16" t="n">
        <x:v>6.8</x:v>
      </x:c>
      <x:c r="O41" s="11" t="n">
        <x:v>2029.7693360711842</x:v>
      </x:c>
      <x:c r="P41" s="16" t="n">
        <x:v>1.1</x:v>
      </x:c>
      <x:c r="Q41" s="42" t="n">
        <x:v>1</x:v>
      </x:c>
    </x:row>
    <x:row r="42" ht="23" customHeight="1">
      <x:c r="A42" s="11" t="str">
        <x:v>09926.HK</x:v>
      </x:c>
      <x:c r="B42" s="11" t="str">
        <x:v>三年</x:v>
      </x:c>
      <x:c r="C42" s="11" t="str">
        <x:v>乐观</x:v>
      </x:c>
      <x:c r="D42" s="16" t="n">
        <x:v>4.4</x:v>
      </x:c>
      <x:c r="E42" s="16" t="n">
        <x:v>32</x:v>
      </x:c>
      <x:c r="F42" s="16" t="n">
        <x:v>6</x:v>
      </x:c>
      <x:c r="G42" s="16" t="n">
        <x:v>2.2</x:v>
      </x:c>
      <x:c r="H42" s="16" t="n">
        <x:v>1</x:v>
      </x:c>
      <x:c r="I42" s="16" t="n">
        <x:v>1</x:v>
      </x:c>
      <x:c r="J42" s="16" t="n">
        <x:v>0.8</x:v>
      </x:c>
      <x:c r="K42" s="16" t="n">
        <x:v>0.18</x:v>
      </x:c>
      <x:c r="L42" s="16" t="n">
        <x:v>0.2</x:v>
      </x:c>
      <x:c r="M42" s="16" t="n">
        <x:v>0.095</x:v>
      </x:c>
      <x:c r="N42" s="16" t="n">
        <x:v>6.8</x:v>
      </x:c>
      <x:c r="O42" s="11" t="n">
        <x:v>2029.7693360711842</x:v>
      </x:c>
      <x:c r="P42" s="16" t="n">
        <x:v>1.1</x:v>
      </x:c>
      <x:c r="Q42" s="42" t="n">
        <x:v>1</x:v>
      </x:c>
    </x:row>
    <x:row r="43" ht="23" customHeight="1">
      <x:c r="A43" s="11" t="str">
        <x:v>09926.HK</x:v>
      </x:c>
      <x:c r="B43" s="11" t="str">
        <x:v>五年</x:v>
      </x:c>
      <x:c r="C43" s="11" t="str">
        <x:v>活动输入</x:v>
      </x:c>
      <x:c r="D43" s="11" t="n">
        <x:f>CHOOSE('假设'!$B$3,D44,D45,D46)</x:f>
        <x:v>3.9</x:v>
      </x:c>
      <x:c r="E43" s="11" t="n">
        <x:f>CHOOSE('假设'!$B$3,E44,E45,E46)</x:f>
        <x:v>22</x:v>
      </x:c>
      <x:c r="F43" s="11" t="n">
        <x:f>CHOOSE('假设'!$B$3,F44,F45,F46)</x:f>
        <x:v>6</x:v>
      </x:c>
      <x:c r="G43" s="11" t="n">
        <x:f>CHOOSE('假设'!$B$3,G44,G45,G46)</x:f>
        <x:v>1.8</x:v>
      </x:c>
      <x:c r="H43" s="11" t="n">
        <x:f>CHOOSE('假设'!$B$3,H44,H45,H46)</x:f>
        <x:v>1.04</x:v>
      </x:c>
      <x:c r="I43" s="11" t="n">
        <x:f>CHOOSE('假设'!$B$3,I44,I45,I46)</x:f>
        <x:v>0.95</x:v>
      </x:c>
      <x:c r="J43" s="11" t="n">
        <x:f>CHOOSE('假设'!$B$3,J44,J45,J46)</x:f>
        <x:v>0.6</x:v>
      </x:c>
      <x:c r="K43" s="11" t="n">
        <x:f>CHOOSE('假设'!$B$3,K44,K45,K46)</x:f>
        <x:v>0.15</x:v>
      </x:c>
      <x:c r="L43" s="11" t="n">
        <x:f>CHOOSE('假设'!$B$3,L44,L45,L46)</x:f>
        <x:v>0.2</x:v>
      </x:c>
      <x:c r="M43" s="11" t="n">
        <x:f>CHOOSE('假设'!$B$3,M44,M45,M46)</x:f>
        <x:v>0.11</x:v>
      </x:c>
      <x:c r="N43" s="11" t="n">
        <x:f>CHOOSE('假设'!$B$3,N44,N45,N46)</x:f>
        <x:v>6.8</x:v>
      </x:c>
      <x:c r="O43" s="11" t="n">
        <x:f>CHOOSE('假设'!$B$3,O44,O45,O46)</x:f>
        <x:v>2031.7693360711842</x:v>
      </x:c>
      <x:c r="P43" s="11" t="n">
        <x:f>CHOOSE('假设'!$B$3,P44,P45,P46)</x:f>
        <x:v>1.1</x:v>
      </x:c>
      <x:c r="Q43" t="n">
        <x:f>CHOOSE('假设'!$B$3,Q44,Q45,Q46)</x:f>
        <x:v>1</x:v>
      </x:c>
    </x:row>
    <x:row r="44" ht="23" customHeight="1">
      <x:c r="A44" s="11" t="str">
        <x:v>09926.HK</x:v>
      </x:c>
      <x:c r="B44" s="11" t="str">
        <x:v>五年</x:v>
      </x:c>
      <x:c r="C44" s="11" t="str">
        <x:v>悲观</x:v>
      </x:c>
      <x:c r="D44" s="16" t="n">
        <x:v>1</x:v>
      </x:c>
      <x:c r="E44" s="16" t="n">
        <x:v>15</x:v>
      </x:c>
      <x:c r="F44" s="16" t="n">
        <x:v>1.5</x:v>
      </x:c>
      <x:c r="G44" s="16" t="n">
        <x:v>1.4</x:v>
      </x:c>
      <x:c r="H44" s="16" t="n">
        <x:v>1.09</x:v>
      </x:c>
      <x:c r="I44" s="16" t="n">
        <x:v>0.35</x:v>
      </x:c>
      <x:c r="J44" s="16" t="n">
        <x:v>0.12</x:v>
      </x:c>
      <x:c r="K44" s="16" t="n">
        <x:v>0.1</x:v>
      </x:c>
      <x:c r="L44" s="16" t="n">
        <x:v>0.2</x:v>
      </x:c>
      <x:c r="M44" s="16" t="n">
        <x:v>0.14</x:v>
      </x:c>
      <x:c r="N44" s="16" t="n">
        <x:v>6.8</x:v>
      </x:c>
      <x:c r="O44" s="11" t="n">
        <x:v>2031.7693360711842</x:v>
      </x:c>
      <x:c r="P44" s="16" t="n">
        <x:v>1.1</x:v>
      </x:c>
      <x:c r="Q44" s="42" t="n">
        <x:v>1</x:v>
      </x:c>
    </x:row>
    <x:row r="45" ht="23" customHeight="1">
      <x:c r="A45" s="11" t="str">
        <x:v>09926.HK</x:v>
      </x:c>
      <x:c r="B45" s="11" t="str">
        <x:v>五年</x:v>
      </x:c>
      <x:c r="C45" s="11" t="str">
        <x:v>基准</x:v>
      </x:c>
      <x:c r="D45" s="16" t="n">
        <x:v>3.9</x:v>
      </x:c>
      <x:c r="E45" s="16" t="n">
        <x:v>22</x:v>
      </x:c>
      <x:c r="F45" s="16" t="n">
        <x:v>6</x:v>
      </x:c>
      <x:c r="G45" s="16" t="n">
        <x:v>1.8</x:v>
      </x:c>
      <x:c r="H45" s="16" t="n">
        <x:v>1.04</x:v>
      </x:c>
      <x:c r="I45" s="16" t="n">
        <x:v>0.95</x:v>
      </x:c>
      <x:c r="J45" s="16" t="n">
        <x:v>0.6</x:v>
      </x:c>
      <x:c r="K45" s="16" t="n">
        <x:v>0.15</x:v>
      </x:c>
      <x:c r="L45" s="16" t="n">
        <x:v>0.2</x:v>
      </x:c>
      <x:c r="M45" s="16" t="n">
        <x:v>0.11</x:v>
      </x:c>
      <x:c r="N45" s="16" t="n">
        <x:v>6.8</x:v>
      </x:c>
      <x:c r="O45" s="11" t="n">
        <x:v>2031.7693360711842</x:v>
      </x:c>
      <x:c r="P45" s="16" t="n">
        <x:v>1.1</x:v>
      </x:c>
      <x:c r="Q45" s="42" t="n">
        <x:v>1</x:v>
      </x:c>
    </x:row>
    <x:row r="46" ht="23" customHeight="1">
      <x:c r="A46" s="11" t="str">
        <x:v>09926.HK</x:v>
      </x:c>
      <x:c r="B46" s="11" t="str">
        <x:v>五年</x:v>
      </x:c>
      <x:c r="C46" s="11" t="str">
        <x:v>乐观</x:v>
      </x:c>
      <x:c r="D46" s="16" t="n">
        <x:v>6.8</x:v>
      </x:c>
      <x:c r="E46" s="16" t="n">
        <x:v>28</x:v>
      </x:c>
      <x:c r="F46" s="16" t="n">
        <x:v>10</x:v>
      </x:c>
      <x:c r="G46" s="16" t="n">
        <x:v>2.5</x:v>
      </x:c>
      <x:c r="H46" s="16" t="n">
        <x:v>1.04</x:v>
      </x:c>
      <x:c r="I46" s="16" t="n">
        <x:v>1</x:v>
      </x:c>
      <x:c r="J46" s="16" t="n">
        <x:v>0.95</x:v>
      </x:c>
      <x:c r="K46" s="16" t="n">
        <x:v>0.18</x:v>
      </x:c>
      <x:c r="L46" s="16" t="n">
        <x:v>0.2</x:v>
      </x:c>
      <x:c r="M46" s="16" t="n">
        <x:v>0.095</x:v>
      </x:c>
      <x:c r="N46" s="16" t="n">
        <x:v>6.8</x:v>
      </x:c>
      <x:c r="O46" s="11" t="n">
        <x:v>2031.7693360711842</x:v>
      </x:c>
      <x:c r="P46" s="16" t="n">
        <x:v>1.1</x:v>
      </x:c>
      <x:c r="Q46" s="42" t="n">
        <x:v>1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25" hidden="0" customWidth="1"/>
    <x:col min="19" max="19" width="25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4" t="str">
        <x:v>同一活动模型依次计算的三情景快照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52" customHeight="1">
      <x:c r="A6" s="12" t="str">
        <x:v>代码</x:v>
      </x:c>
      <x:c r="B6" s="12" t="str">
        <x:v>名称</x:v>
      </x:c>
      <x:c r="C6" s="12" t="str">
        <x:v>期限</x:v>
      </x:c>
      <x:c r="D6" s="12" t="str">
        <x:v>情景</x:v>
      </x:c>
      <x:c r="E6" s="12" t="str">
        <x:v>现价</x:v>
      </x:c>
      <x:c r="F6" s="12" t="str">
        <x:v>目标价</x:v>
      </x:c>
      <x:c r="G6" s="12" t="str">
        <x:v>累计分红</x:v>
      </x:c>
      <x:c r="H6" s="12" t="str">
        <x:v>股价回报</x:v>
      </x:c>
      <x:c r="I6" s="12" t="str">
        <x:v>总回报</x:v>
      </x:c>
      <x:c r="J6" s="12" t="str">
        <x:v>年化</x:v>
      </x:c>
      <x:c r="K6" s="12" t="str">
        <x:v>EPS输入</x:v>
      </x:c>
      <x:c r="L6" s="12" t="str">
        <x:v>PE输入</x:v>
      </x:c>
      <x:c r="M6" s="12" t="str">
        <x:v>汇率输入</x:v>
      </x:c>
      <x:c r="N6" s="12" t="str">
        <x:v>分红输入</x:v>
      </x:c>
      <x:c r="O6" s="12" t="str">
        <x:v>收入输入</x:v>
      </x:c>
      <x:c r="P6" s="12" t="str">
        <x:v>利润率输入</x:v>
      </x:c>
      <x:c r="Q6" s="12" t="str">
        <x:v>股数输入</x:v>
      </x:c>
      <x:c r="R6" s="12" t="str">
        <x:v>模型版本</x:v>
      </x:c>
      <x:c r="S6" s="12" t="str">
        <x:v>快照日</x:v>
      </x:c>
      <x:c r="T6" s="12" t="str">
        <x:v>刷新状态</x:v>
      </x:c>
      <x:c r="U6" t="str">
        <x:v>经营输入快照签名</x:v>
      </x:c>
      <x:c r="V6" t="str">
        <x:v>经营输入当前签名</x:v>
      </x:c>
    </x:row>
    <x:row r="7" ht="23" customHeight="1">
      <x:c r="A7" s="11" t="str">
        <x:v>01530.HK</x:v>
      </x:c>
      <x:c r="B7" s="11" t="str">
        <x:v>三生制药</x:v>
      </x:c>
      <x:c r="C7" s="11" t="str">
        <x:v>2026年底</x:v>
      </x:c>
      <x:c r="D7" s="11" t="str">
        <x:v>悲观</x:v>
      </x:c>
      <x:c r="E7" s="11" t="n">
        <x:v>15.07</x:v>
      </x:c>
      <x:c r="F7" s="11" t="n">
        <x:v>9.696288595980818</x:v>
      </x:c>
      <x:c r="G7" s="11" t="n">
        <x:v>0</x:v>
      </x:c>
      <x:c r="H7" s="25" t="n">
        <x:v>-0.35658337120233463</x:v>
      </x:c>
      <x:c r="I7" s="25" t="n">
        <x:v>-0.35658337120233463</x:v>
      </x:c>
      <x:c r="J7" s="25" t="str"/>
      <x:c r="K7" s="11" t="n">
        <x:v>0.5</x:v>
      </x:c>
      <x:c r="L7" s="11" t="n">
        <x:v>11</x:v>
      </x:c>
      <x:c r="M7" s="11" t="n">
        <x:v>1.1</x:v>
      </x:c>
      <x:c r="N7" s="11" t="n">
        <x:v>0</x:v>
      </x:c>
      <x:c r="O7" s="11" t="n">
        <x:v>7.1</x:v>
      </x:c>
      <x:c r="P7" s="11" t="n">
        <x:v>0.18309859154929578</x:v>
      </x:c>
      <x:c r="Q7" s="11" t="n">
        <x:v>2.6</x:v>
      </x:c>
      <x:c r="R7" s="11" t="str">
        <x:v>3sbio-v1-core-plus-707-rnPV</x:v>
      </x:c>
      <x:c r="S7" s="11" t="str">
        <x:v>2026-10-10</x:v>
      </x:c>
      <x:c r="T7" s="11" t="str">
        <x:f>IF(AND(SUM(IF(K7='假设'!E8,0,1),IF(L7='假设'!F8,0,1),IF(M7='假设'!G8,0,1),IF(N7='假设'!H8,0,1),IF(O7='假设'!I8,0,1),IF(P7='假设'!J8,0,1),IF(Q7='假设'!K8,0,1))=0,U7=V7),"已刷新","待刷新")</x:f>
        <x:v>已刷新</x:v>
      </x:c>
      <x:c r="U7" t="str">
        <x:v>8|1.3|11|8|0|2.6|0.12|0.06|0.12|0.25|0.16|7|2026|1.1|0.85|0|2.001368925393566|0|3.0006844626967832|0.15000000000000002|4|0.44999999999999996|4.999315537303217|0.8999999999999999|6.0013689253935665|1.5|7.000684462696783|2.0999999999999996|8|2.7|8.999315537303216|3|10.001368925393566|3|11.000684462696784|2.8499999999999996|12|2.7|12.999315537303216|2.46|14.001368925393566|2.0999999999999996|15.000684462696784|1.6500000000000001|16|1.0499999999999998|16.999315537303218|0|2.001368925393566|0|3.0006844626967832|0|4|0.15|4.999315537303217|0.3|6.0013689253935665|0.5|7.000684462696783|0.7|8|0.9|8.999315537303216|1|10.001368925393566|1|11.000684462696784|0.95|12|0.9|12.999315537303216|0.82|14.001368925393566|0.7|15.000684462696784|0.55|16|0.35|16.999315537303218|0.1|0.35|0.15|0.12|0.25|0.08</x:v>
      </x:c>
      <x:c r="V7" t="str">
        <x:f>'假设'!N8&amp;"|"&amp;'药物假设'!D8&amp;"|"&amp;'药物假设'!E8&amp;"|"&amp;'药物假设'!F8&amp;"|"&amp;'药物假设'!G8&amp;"|"&amp;'药物假设'!H8&amp;"|"&amp;'药物假设'!I8&amp;"|"&amp;'药物假设'!J8&amp;"|"&amp;'药物假设'!K8&amp;"|"&amp;'药物假设'!L8&amp;"|"&amp;'药物假设'!M8&amp;"|"&amp;'药物假设'!N8&amp;"|"&amp;'药物假设'!O8&amp;"|"&amp;'药物假设'!P8&amp;"|"&amp;'药物假设'!Q8&amp;"|"&amp;'风险净现值'!Q7&amp;"|"&amp;'风险净现值'!K7&amp;"|"&amp;'风险净现值'!Q8&amp;"|"&amp;'风险净现值'!K8&amp;"|"&amp;'风险净现值'!Q9&amp;"|"&amp;'风险净现值'!K9&amp;"|"&amp;'风险净现值'!Q10&amp;"|"&amp;'风险净现值'!K10&amp;"|"&amp;'风险净现值'!Q11&amp;"|"&amp;'风险净现值'!K11&amp;"|"&amp;'风险净现值'!Q12&amp;"|"&amp;'风险净现值'!K12&amp;"|"&amp;'风险净现值'!Q13&amp;"|"&amp;'风险净现值'!K13&amp;"|"&amp;'风险净现值'!Q14&amp;"|"&amp;'风险净现值'!K14&amp;"|"&amp;'风险净现值'!Q15&amp;"|"&amp;'风险净现值'!K15&amp;"|"&amp;'风险净现值'!Q16&amp;"|"&amp;'风险净现值'!K16&amp;"|"&amp;'风险净现值'!Q17&amp;"|"&amp;'风险净现值'!K17&amp;"|"&amp;'风险净现值'!Q18&amp;"|"&amp;'风险净现值'!K18&amp;"|"&amp;'风险净现值'!Q19&amp;"|"&amp;'风险净现值'!K19&amp;"|"&amp;'风险净现值'!Q20&amp;"|"&amp;'风险净现值'!K20&amp;"|"&amp;'风险净现值'!Q21&amp;"|"&amp;'风险净现值'!K21&amp;"|"&amp;'风险净现值'!Q22&amp;"|"&amp;'风险净现值'!K22&amp;"|"&amp;'风险净现值'!Q23&amp;"|"&amp;'风险净现值'!K23&amp;"|"&amp;'风险净现值'!Q24&amp;"|"&amp;'风险净现值'!K24&amp;"|"&amp;'风险净现值'!Q25&amp;"|"&amp;'风险净现值'!K25&amp;"|"&amp;'风险净现值'!Q26&amp;"|"&amp;'风险净现值'!K26&amp;"|"&amp;'风险净现值'!Q27&amp;"|"&amp;'风险净现值'!K27&amp;"|"&amp;'风险净现值'!Q28&amp;"|"&amp;'风险净现值'!K28&amp;"|"&amp;'风险净现值'!Q29&amp;"|"&amp;'风险净现值'!K29&amp;"|"&amp;'风险净现值'!Q30&amp;"|"&amp;'风险净现值'!K30&amp;"|"&amp;'风险净现值'!Q31&amp;"|"&amp;'风险净现值'!K31&amp;"|"&amp;'风险净现值'!Q32&amp;"|"&amp;'风险净现值'!K32&amp;"|"&amp;'风险净现值'!Q33&amp;"|"&amp;'风险净现值'!K33&amp;"|"&amp;'风险净现值'!Q34&amp;"|"&amp;'风险净现值'!K34&amp;"|"&amp;'风险净现值'!Q35&amp;"|"&amp;'风险净现值'!K35&amp;"|"&amp;'风险净现值'!Q36&amp;"|"&amp;'风险净现值'!K36&amp;"|"&amp;'风险净现值'!Q37&amp;"|"&amp;'风险净现值'!K37&amp;"|"&amp;'风险净现值'!Q38&amp;"|"&amp;'风险净现值'!K38&amp;"|"&amp;'风险净现值'!AP7&amp;"|"&amp;'风险净现值'!AS7&amp;"|"&amp;'风险净现值'!AP8&amp;"|"&amp;'风险净现值'!AS8&amp;"|"&amp;'风险净现值'!AP9&amp;"|"&amp;'风险净现值'!AS9</x:f>
        <x:v>8|1.3|11|8|0|2.6|0.12|0.06|0.12|0.25|0.16|7|2026|1.1|0.85|0|2.001368925393566|0|3.0006844626967832|0.15000000000000002|4|0.44999999999999996|4.999315537303217|0.8999999999999999|6.0013689253935665|1.5|7.000684462696783|2.0999999999999996|8|2.7|8.999315537303216|3|10.001368925393566|3|11.000684462696784|2.8499999999999996|12|2.7|12.999315537303216|2.46|14.001368925393566|2.0999999999999996|15.000684462696784|1.6500000000000001|16|1.0499999999999998|16.999315537303218|0|2.001368925393566|0|3.0006844626967832|0|4|0.15|4.999315537303217|0.3|6.0013689253935665|0.5|7.000684462696783|0.7|8|0.9|8.999315537303216|1|10.001368925393566|1|11.000684462696784|0.95|12|0.9|12.999315537303216|0.82|14.001368925393566|0.7|15.000684462696784|0.55|16|0.35|16.999315537303218|0.1|0.35|0.15|0.12|0.25|0.08</x:v>
      </x:c>
    </x:row>
    <x:row r="8" ht="23" customHeight="1">
      <x:c r="A8" s="11" t="str">
        <x:v>01530.HK</x:v>
      </x:c>
      <x:c r="B8" s="11" t="str">
        <x:v>三生制药</x:v>
      </x:c>
      <x:c r="C8" s="11" t="str">
        <x:v>2026年底</x:v>
      </x:c>
      <x:c r="D8" s="11" t="str">
        <x:v>基准</x:v>
      </x:c>
      <x:c r="E8" s="11" t="n">
        <x:v>15.07</x:v>
      </x:c>
      <x:c r="F8" s="11" t="n">
        <x:v>19.539444117014675</x:v>
      </x:c>
      <x:c r="G8" s="11" t="n">
        <x:v>0</x:v>
      </x:c>
      <x:c r="H8" s="25" t="n">
        <x:v>0.2965789062385318</x:v>
      </x:c>
      <x:c r="I8" s="25" t="n">
        <x:v>0.2965789062385318</x:v>
      </x:c>
      <x:c r="J8" s="25" t="str"/>
      <x:c r="K8" s="11" t="n">
        <x:v>0.7</x:v>
      </x:c>
      <x:c r="L8" s="11" t="n">
        <x:v>15</x:v>
      </x:c>
      <x:c r="M8" s="11" t="n">
        <x:v>1.1</x:v>
      </x:c>
      <x:c r="N8" s="11" t="n">
        <x:v>0</x:v>
      </x:c>
      <x:c r="O8" s="11" t="n">
        <x:v>8.2</x:v>
      </x:c>
      <x:c r="P8" s="11" t="n">
        <x:v>0.219390243902439</x:v>
      </x:c>
      <x:c r="Q8" s="11" t="n">
        <x:v>2.57</x:v>
      </x:c>
      <x:c r="R8" s="11" t="str">
        <x:v>3sbio-v1-core-plus-707-rnPV</x:v>
      </x:c>
      <x:c r="S8" s="11" t="str">
        <x:v>2026-10-10</x:v>
      </x:c>
      <x:c r="T8" s="11" t="str">
        <x:f>IF(AND(SUM(IF(K8='假设'!E9,0,1),IF(L8='假设'!F9,0,1),IF(M8='假设'!G9,0,1),IF(N8='假设'!H9,0,1),IF(O8='假设'!I9,0,1),IF(P8='假设'!J9,0,1),IF(Q8='假设'!K9,0,1))=0,U8=V8),"已刷新","待刷新")</x:f>
        <x:v>待刷新</x:v>
      </x:c>
      <x:c r="U8" t="str">
        <x:v>11.8|1.7989999999999997|15|11.8|0|2.57|0.35|0.2|0.15|0.21999999999999997|0.13|7|2026|1.1|0.9|0|2.001368925393566|0.30000000000000004|3.0006844626967832|0.8999999999999999|4|1.7999999999999998|4.999315537303217|3|6.0013689253935665|4.199999999999999|7.000684462696783|5.4|8|6|8.999315537303216|6|10.001368925393566|5.699999999999999|11.000684462696784|5.4|12|4.92|12.999315537303216|4.199999999999999|14.001368925393566|3.3000000000000003|15.000684462696784|2.0999999999999996|16|1.2000000000000002|16.999315537303218|0|2.001368925393566|0|3.0006844626967832|0.44999999999999996|4|0.8999999999999999|4.999315537303217|1.5|6.0013689253935665|2.0999999999999996|7.000684462696783|2.7|8|3|8.999315537303216|3|10.001368925393566|2.8499999999999996|11.000684462696784|2.7|12|2.46|12.999315537303216|2.0999999999999996|14.001368925393566|1.6500000000000001|15.000684462696784|1.0499999999999998|16|0.6000000000000001|16.999315537303218|0.2|0.6|0.5|0.35|0.8|0.25</x:v>
      </x:c>
      <x:c r="V8" t="str">
        <x:f>'假设'!N9&amp;"|"&amp;'药物假设'!D9&amp;"|"&amp;'药物假设'!E9&amp;"|"&amp;'药物假设'!F9&amp;"|"&amp;'药物假设'!G9&amp;"|"&amp;'药物假设'!H9&amp;"|"&amp;'药物假设'!I9&amp;"|"&amp;'药物假设'!J9&amp;"|"&amp;'药物假设'!K9&amp;"|"&amp;'药物假设'!L9&amp;"|"&amp;'药物假设'!M9&amp;"|"&amp;'药物假设'!N9&amp;"|"&amp;'药物假设'!O9&amp;"|"&amp;'药物假设'!P9&amp;"|"&amp;'药物假设'!Q9&amp;"|"&amp;'风险净现值'!R7&amp;"|"&amp;'风险净现值'!K7&amp;"|"&amp;'风险净现值'!R8&amp;"|"&amp;'风险净现值'!K8&amp;"|"&amp;'风险净现值'!R9&amp;"|"&amp;'风险净现值'!K9&amp;"|"&amp;'风险净现值'!R10&amp;"|"&amp;'风险净现值'!K10&amp;"|"&amp;'风险净现值'!R11&amp;"|"&amp;'风险净现值'!K11&amp;"|"&amp;'风险净现值'!R12&amp;"|"&amp;'风险净现值'!K12&amp;"|"&amp;'风险净现值'!R13&amp;"|"&amp;'风险净现值'!K13&amp;"|"&amp;'风险净现值'!R14&amp;"|"&amp;'风险净现值'!K14&amp;"|"&amp;'风险净现值'!R15&amp;"|"&amp;'风险净现值'!K15&amp;"|"&amp;'风险净现值'!R16&amp;"|"&amp;'风险净现值'!K16&amp;"|"&amp;'风险净现值'!R17&amp;"|"&amp;'风险净现值'!K17&amp;"|"&amp;'风险净现值'!R18&amp;"|"&amp;'风险净现值'!K18&amp;"|"&amp;'风险净现值'!R19&amp;"|"&amp;'风险净现值'!K19&amp;"|"&amp;'风险净现值'!R20&amp;"|"&amp;'风险净现值'!K20&amp;"|"&amp;'风险净现值'!R21&amp;"|"&amp;'风险净现值'!K21&amp;"|"&amp;'风险净现值'!R22&amp;"|"&amp;'风险净现值'!K22&amp;"|"&amp;'风险净现值'!R23&amp;"|"&amp;'风险净现值'!K23&amp;"|"&amp;'风险净现值'!R24&amp;"|"&amp;'风险净现值'!K24&amp;"|"&amp;'风险净现值'!R25&amp;"|"&amp;'风险净现值'!K25&amp;"|"&amp;'风险净现值'!R26&amp;"|"&amp;'风险净现值'!K26&amp;"|"&amp;'风险净现值'!R27&amp;"|"&amp;'风险净现值'!K27&amp;"|"&amp;'风险净现值'!R28&amp;"|"&amp;'风险净现值'!K28&amp;"|"&amp;'风险净现值'!R29&amp;"|"&amp;'风险净现值'!K29&amp;"|"&amp;'风险净现值'!R30&amp;"|"&amp;'风险净现值'!K30&amp;"|"&amp;'风险净现值'!R31&amp;"|"&amp;'风险净现值'!K31&amp;"|"&amp;'风险净现值'!R32&amp;"|"&amp;'风险净现值'!K32&amp;"|"&amp;'风险净现值'!R33&amp;"|"&amp;'风险净现值'!K33&amp;"|"&amp;'风险净现值'!R34&amp;"|"&amp;'风险净现值'!K34&amp;"|"&amp;'风险净现值'!R35&amp;"|"&amp;'风险净现值'!K35&amp;"|"&amp;'风险净现值'!R36&amp;"|"&amp;'风险净现值'!K36&amp;"|"&amp;'风险净现值'!R37&amp;"|"&amp;'风险净现值'!K37&amp;"|"&amp;'风险净现值'!R38&amp;"|"&amp;'风险净现值'!K38&amp;"|"&amp;'风险净现值'!AQ7&amp;"|"&amp;'风险净现值'!AT7&amp;"|"&amp;'风险净现值'!AQ8&amp;"|"&amp;'风险净现值'!AT8&amp;"|"&amp;'风险净现值'!AQ9&amp;"|"&amp;'风险净现值'!AT9</x:f>
        <x:v>11.8|1.7989999999999997|15|11.8|0|2.57|0.35|0.2|0.15|0.21999999999999997|0.13|7|2026|1.1|0.9|0|2.001368925393566|0.30000000000000004|3.0006844626967832|0.8999999999999999|4|1.7999999999999998|4.999315537303217|3|6.0013689253935665|4.199999999999999|7.000684462696783|5.4|8|6|8.999315537303216|6|10.001368925393566|5.699999999999999|11.000684462696784|5.4|12|4.92|12.999315537303216|4.199999999999999|14.001368925393566|3.3000000000000003|15.000684462696784|2.0999999999999996|16|1.2000000000000002|16.999315537303218|0|2.001368925393566|0|3.0006844626967832|0.44999999999999996|4|0.8999999999999999|4.999315537303217|1.5|6.0013689253935665|2.0999999999999996|7.000684462696783|2.7|8|3|8.999315537303216|3|10.001368925393566|2.8499999999999996|11.000684462696784|2.7|12|2.46|12.999315537303216|2.0999999999999996|14.001368925393566|1.6500000000000001|15.000684462696784|1.0499999999999998|16|0.6000000000000001|16.999315537303218|1.2|0.6|0.5|0.35|0.8|0.25</x:v>
      </x:c>
    </x:row>
    <x:row r="9" ht="23" customHeight="1">
      <x:c r="A9" s="11" t="str">
        <x:v>01530.HK</x:v>
      </x:c>
      <x:c r="B9" s="11" t="str">
        <x:v>三生制药</x:v>
      </x:c>
      <x:c r="C9" s="11" t="str">
        <x:v>2026年底</x:v>
      </x:c>
      <x:c r="D9" s="11" t="str">
        <x:v>乐观</x:v>
      </x:c>
      <x:c r="E9" s="11" t="n">
        <x:v>15.07</x:v>
      </x:c>
      <x:c r="F9" s="11" t="n">
        <x:v>42.805913886549156</x:v>
      </x:c>
      <x:c r="G9" s="11" t="n">
        <x:v>0</x:v>
      </x:c>
      <x:c r="H9" s="25" t="n">
        <x:v>1.840472056174463</x:v>
      </x:c>
      <x:c r="I9" s="25" t="n">
        <x:v>1.840472056174463</x:v>
      </x:c>
      <x:c r="J9" s="25" t="str"/>
      <x:c r="K9" s="11" t="n">
        <x:v>0.95</x:v>
      </x:c>
      <x:c r="L9" s="11" t="n">
        <x:v>19</x:v>
      </x:c>
      <x:c r="M9" s="11" t="n">
        <x:v>1.1</x:v>
      </x:c>
      <x:c r="N9" s="11" t="n">
        <x:v>0</x:v>
      </x:c>
      <x:c r="O9" s="11" t="n">
        <x:v>9.3</x:v>
      </x:c>
      <x:c r="P9" s="11" t="n">
        <x:v>0.2604838709677419</x:v>
      </x:c>
      <x:c r="Q9" s="11" t="n">
        <x:v>2.55</x:v>
      </x:c>
      <x:c r="R9" s="11" t="str">
        <x:v>3sbio-v1-core-plus-707-rnPV</x:v>
      </x:c>
      <x:c r="S9" s="11" t="str">
        <x:v>2026-10-10</x:v>
      </x:c>
      <x:c r="T9" s="11" t="str">
        <x:f>IF(AND(SUM(IF(K9='假设'!E10,0,1),IF(L9='假设'!F10,0,1),IF(M9='假设'!G10,0,1),IF(N9='假设'!H10,0,1),IF(O9='假设'!I10,0,1),IF(P9='假设'!J10,0,1),IF(Q9='假设'!K10,0,1))=0,U9=V9),"已刷新","待刷新")</x:f>
        <x:v>已刷新</x:v>
      </x:c>
      <x:c r="U9" t="str">
        <x:v>13.5|2.4225|19|13.5|0|2.55|0.65|0.5|0.18|0.19999999999999996|0.11|7|2026|1.1|0.95|0.5|2.001368925393566|1.5|3.0006844626967832|3|4|5|4.999315537303217|7|6.0013689253935665|9|7.000684462696783|10|8|10|8.999315537303216|9.5|10.001368925393566|9|11.000684462696784|8.2|12|7|12.999315537303216|5.5|14.001368925393566|3.5|15.000684462696784|2|16|1|16.999315537303218|0|2.001368925393566|1.05|3.0006844626967832|2.1|4|3.5|4.999315537303217|4.8999999999999995|6.0013689253935665|6.3|7.000684462696783|7|8|7|8.999315537303216|6.6499999999999995|10.001368925393566|6.3|11.000684462696784|5.739999999999999|12|4.8999999999999995|12.999315537303216|3.8500000000000005|14.001368925393566|2.4499999999999997|15.000684462696784|1.4000000000000001|16|0.7000000000000001|16.999315537303218|0.35|0.85|0.9|0.65|1.5|0.55</x:v>
      </x:c>
      <x:c r="V9" t="str">
        <x:f>'假设'!N10&amp;"|"&amp;'药物假设'!D10&amp;"|"&amp;'药物假设'!E10&amp;"|"&amp;'药物假设'!F10&amp;"|"&amp;'药物假设'!G10&amp;"|"&amp;'药物假设'!H10&amp;"|"&amp;'药物假设'!I10&amp;"|"&amp;'药物假设'!J10&amp;"|"&amp;'药物假设'!K10&amp;"|"&amp;'药物假设'!L10&amp;"|"&amp;'药物假设'!M10&amp;"|"&amp;'药物假设'!N10&amp;"|"&amp;'药物假设'!O10&amp;"|"&amp;'药物假设'!P10&amp;"|"&amp;'药物假设'!Q10&amp;"|"&amp;'风险净现值'!S7&amp;"|"&amp;'风险净现值'!K7&amp;"|"&amp;'风险净现值'!S8&amp;"|"&amp;'风险净现值'!K8&amp;"|"&amp;'风险净现值'!S9&amp;"|"&amp;'风险净现值'!K9&amp;"|"&amp;'风险净现值'!S10&amp;"|"&amp;'风险净现值'!K10&amp;"|"&amp;'风险净现值'!S11&amp;"|"&amp;'风险净现值'!K11&amp;"|"&amp;'风险净现值'!S12&amp;"|"&amp;'风险净现值'!K12&amp;"|"&amp;'风险净现值'!S13&amp;"|"&amp;'风险净现值'!K13&amp;"|"&amp;'风险净现值'!S14&amp;"|"&amp;'风险净现值'!K14&amp;"|"&amp;'风险净现值'!S15&amp;"|"&amp;'风险净现值'!K15&amp;"|"&amp;'风险净现值'!S16&amp;"|"&amp;'风险净现值'!K16&amp;"|"&amp;'风险净现值'!S17&amp;"|"&amp;'风险净现值'!K17&amp;"|"&amp;'风险净现值'!S18&amp;"|"&amp;'风险净现值'!K18&amp;"|"&amp;'风险净现值'!S19&amp;"|"&amp;'风险净现值'!K19&amp;"|"&amp;'风险净现值'!S20&amp;"|"&amp;'风险净现值'!K20&amp;"|"&amp;'风险净现值'!S21&amp;"|"&amp;'风险净现值'!K21&amp;"|"&amp;'风险净现值'!S22&amp;"|"&amp;'风险净现值'!K22&amp;"|"&amp;'风险净现值'!S23&amp;"|"&amp;'风险净现值'!K23&amp;"|"&amp;'风险净现值'!S24&amp;"|"&amp;'风险净现值'!K24&amp;"|"&amp;'风险净现值'!S25&amp;"|"&amp;'风险净现值'!K25&amp;"|"&amp;'风险净现值'!S26&amp;"|"&amp;'风险净现值'!K26&amp;"|"&amp;'风险净现值'!S27&amp;"|"&amp;'风险净现值'!K27&amp;"|"&amp;'风险净现值'!S28&amp;"|"&amp;'风险净现值'!K28&amp;"|"&amp;'风险净现值'!S29&amp;"|"&amp;'风险净现值'!K29&amp;"|"&amp;'风险净现值'!S30&amp;"|"&amp;'风险净现值'!K30&amp;"|"&amp;'风险净现值'!S31&amp;"|"&amp;'风险净现值'!K31&amp;"|"&amp;'风险净现值'!S32&amp;"|"&amp;'风险净现值'!K32&amp;"|"&amp;'风险净现值'!S33&amp;"|"&amp;'风险净现值'!K33&amp;"|"&amp;'风险净现值'!S34&amp;"|"&amp;'风险净现值'!K34&amp;"|"&amp;'风险净现值'!S35&amp;"|"&amp;'风险净现值'!K35&amp;"|"&amp;'风险净现值'!S36&amp;"|"&amp;'风险净现值'!K36&amp;"|"&amp;'风险净现值'!S37&amp;"|"&amp;'风险净现值'!K37&amp;"|"&amp;'风险净现值'!S38&amp;"|"&amp;'风险净现值'!K38&amp;"|"&amp;'风险净现值'!AR7&amp;"|"&amp;'风险净现值'!AU7&amp;"|"&amp;'风险净现值'!AR8&amp;"|"&amp;'风险净现值'!AU8&amp;"|"&amp;'风险净现值'!AR9&amp;"|"&amp;'风险净现值'!AU9</x:f>
        <x:v>13.5|2.4225|19|13.5|0|2.55|0.65|0.5|0.18|0.19999999999999996|0.11|7|2026|1.1|0.95|0.5|2.001368925393566|1.5|3.0006844626967832|3|4|5|4.999315537303217|7|6.0013689253935665|9|7.000684462696783|10|8|10|8.999315537303216|9.5|10.001368925393566|9|11.000684462696784|8.2|12|7|12.999315537303216|5.5|14.001368925393566|3.5|15.000684462696784|2|16|1|16.999315537303218|0|2.001368925393566|1.05|3.0006844626967832|2.1|4|3.5|4.999315537303217|4.8999999999999995|6.0013689253935665|6.3|7.000684462696783|7|8|7|8.999315537303216|6.6499999999999995|10.001368925393566|6.3|11.000684462696784|5.739999999999999|12|4.8999999999999995|12.999315537303216|3.8500000000000005|14.001368925393566|2.4499999999999997|15.000684462696784|1.4000000000000001|16|0.7000000000000001|16.999315537303218|0.35|0.85|0.9|0.65|1.5|0.55</x:v>
      </x:c>
    </x:row>
    <x:row r="10" ht="23" customHeight="1">
      <x:c r="A10" s="11" t="str">
        <x:v>01530.HK</x:v>
      </x:c>
      <x:c r="B10" s="11" t="str">
        <x:v>三生制药</x:v>
      </x:c>
      <x:c r="C10" s="11" t="str">
        <x:v>半年</x:v>
      </x:c>
      <x:c r="D10" s="11" t="str">
        <x:v>悲观</x:v>
      </x:c>
      <x:c r="E10" s="11" t="n">
        <x:v>15.07</x:v>
      </x:c>
      <x:c r="F10" s="11" t="n">
        <x:v>10.172414627474556</x:v>
      </x:c>
      <x:c r="G10" s="11" t="n">
        <x:v>0</x:v>
      </x:c>
      <x:c r="H10" s="25" t="n">
        <x:v>-0.3249890758145617</x:v>
      </x:c>
      <x:c r="I10" s="25" t="n">
        <x:v>-0.3249890758145617</x:v>
      </x:c>
      <x:c r="J10" s="25" t="str"/>
      <x:c r="K10" s="11" t="n">
        <x:v>0.5</x:v>
      </x:c>
      <x:c r="L10" s="11" t="n">
        <x:v>12</x:v>
      </x:c>
      <x:c r="M10" s="11" t="n">
        <x:v>1.1</x:v>
      </x:c>
      <x:c r="N10" s="11" t="n">
        <x:v>0</x:v>
      </x:c>
      <x:c r="O10" s="11" t="n">
        <x:v>7.1</x:v>
      </x:c>
      <x:c r="P10" s="11" t="n">
        <x:v>0.18309859154929578</x:v>
      </x:c>
      <x:c r="Q10" s="11" t="n">
        <x:v>2.6</x:v>
      </x:c>
      <x:c r="R10" s="11" t="str">
        <x:v>3sbio-v1-core-plus-707-rnPV</x:v>
      </x:c>
      <x:c r="S10" s="11" t="str">
        <x:v>2026-10-10</x:v>
      </x:c>
      <x:c r="T10" s="11" t="str">
        <x:f>IF(AND(SUM(IF(K10='假设'!E12,0,1),IF(L10='假设'!F12,0,1),IF(M10='假设'!G12,0,1),IF(N10='假设'!H12,0,1),IF(O10='假设'!I12,0,1),IF(P10='假设'!J12,0,1),IF(Q10='假设'!K12,0,1))=0,U10=V10),"已刷新","待刷新")</x:f>
        <x:v>已刷新</x:v>
      </x:c>
      <x:c r="U10" t="str">
        <x:v>7.8|1.3|12|7.8|0|2.6|0.12|0.06|0.12|0.25|0.16|7|2027|1.1|0.85|0|1.730321697467488|0|2.729637234770705|0.15000000000000002|3.728952772073922|0.44999999999999996|4.728268309377139|0.8999999999999999|5.730321697467488|1.5|6.729637234770705|2.0999999999999996|7.728952772073922|2.7|8.728268309377139|3|9.730321697467488|3|10.729637234770705|2.8499999999999996|11.728952772073923|2.7|12.728268309377139|2.46|13.730321697467488|2.0999999999999996|14.729637234770705|1.6500000000000001|15.728952772073923|1.0499999999999998|16.72826830937714|0|1.730321697467488|0|2.729637234770705|0|3.728952772073922|0.15|4.728268309377139|0.3|5.730321697467488|0.5|6.729637234770705|0.7|7.728952772073922|0.9|8.728268309377139|1|9.730321697467488|1|10.729637234770705|0.95|11.728952772073923|0.9|12.728268309377139|0.82|13.730321697467488|0.7|14.729637234770705|0.55|15.728952772073923|0.35|16.72826830937714|0.1|0.35|0.15|0.12|0.25|0.08</x:v>
      </x:c>
      <x:c r="V10" t="str">
        <x:f>'假设'!N12&amp;"|"&amp;'药物假设'!D12&amp;"|"&amp;'药物假设'!E12&amp;"|"&amp;'药物假设'!F12&amp;"|"&amp;'药物假设'!G12&amp;"|"&amp;'药物假设'!H12&amp;"|"&amp;'药物假设'!I12&amp;"|"&amp;'药物假设'!J12&amp;"|"&amp;'药物假设'!K12&amp;"|"&amp;'药物假设'!L12&amp;"|"&amp;'药物假设'!M12&amp;"|"&amp;'药物假设'!N12&amp;"|"&amp;'药物假设'!O12&amp;"|"&amp;'药物假设'!P12&amp;"|"&amp;'药物假设'!Q12&amp;"|"&amp;'风险净现值'!Q39&amp;"|"&amp;'风险净现值'!K39&amp;"|"&amp;'风险净现值'!Q40&amp;"|"&amp;'风险净现值'!K40&amp;"|"&amp;'风险净现值'!Q41&amp;"|"&amp;'风险净现值'!K41&amp;"|"&amp;'风险净现值'!Q42&amp;"|"&amp;'风险净现值'!K42&amp;"|"&amp;'风险净现值'!Q43&amp;"|"&amp;'风险净现值'!K43&amp;"|"&amp;'风险净现值'!Q44&amp;"|"&amp;'风险净现值'!K44&amp;"|"&amp;'风险净现值'!Q45&amp;"|"&amp;'风险净现值'!K45&amp;"|"&amp;'风险净现值'!Q46&amp;"|"&amp;'风险净现值'!K46&amp;"|"&amp;'风险净现值'!Q47&amp;"|"&amp;'风险净现值'!K47&amp;"|"&amp;'风险净现值'!Q48&amp;"|"&amp;'风险净现值'!K48&amp;"|"&amp;'风险净现值'!Q49&amp;"|"&amp;'风险净现值'!K49&amp;"|"&amp;'风险净现值'!Q50&amp;"|"&amp;'风险净现值'!K50&amp;"|"&amp;'风险净现值'!Q51&amp;"|"&amp;'风险净现值'!K51&amp;"|"&amp;'风险净现值'!Q52&amp;"|"&amp;'风险净现值'!K52&amp;"|"&amp;'风险净现值'!Q53&amp;"|"&amp;'风险净现值'!K53&amp;"|"&amp;'风险净现值'!Q54&amp;"|"&amp;'风险净现值'!K54&amp;"|"&amp;'风险净现值'!Q55&amp;"|"&amp;'风险净现值'!K55&amp;"|"&amp;'风险净现值'!Q56&amp;"|"&amp;'风险净现值'!K56&amp;"|"&amp;'风险净现值'!Q57&amp;"|"&amp;'风险净现值'!K57&amp;"|"&amp;'风险净现值'!Q58&amp;"|"&amp;'风险净现值'!K58&amp;"|"&amp;'风险净现值'!Q59&amp;"|"&amp;'风险净现值'!K59&amp;"|"&amp;'风险净现值'!Q60&amp;"|"&amp;'风险净现值'!K60&amp;"|"&amp;'风险净现值'!Q61&amp;"|"&amp;'风险净现值'!K61&amp;"|"&amp;'风险净现值'!Q62&amp;"|"&amp;'风险净现值'!K62&amp;"|"&amp;'风险净现值'!Q63&amp;"|"&amp;'风险净现值'!K63&amp;"|"&amp;'风险净现值'!Q64&amp;"|"&amp;'风险净现值'!K64&amp;"|"&amp;'风险净现值'!Q65&amp;"|"&amp;'风险净现值'!K65&amp;"|"&amp;'风险净现值'!Q66&amp;"|"&amp;'风险净现值'!K66&amp;"|"&amp;'风险净现值'!Q67&amp;"|"&amp;'风险净现值'!K67&amp;"|"&amp;'风险净现值'!Q68&amp;"|"&amp;'风险净现值'!K68&amp;"|"&amp;'风险净现值'!Q69&amp;"|"&amp;'风险净现值'!K69&amp;"|"&amp;'风险净现值'!Q70&amp;"|"&amp;'风险净现值'!K70&amp;"|"&amp;'风险净现值'!AP10&amp;"|"&amp;'风险净现值'!AS10&amp;"|"&amp;'风险净现值'!AP11&amp;"|"&amp;'风险净现值'!AS11&amp;"|"&amp;'风险净现值'!AP12&amp;"|"&amp;'风险净现值'!AS12</x:f>
        <x:v>7.8|1.3|12|7.8|0|2.6|0.12|0.06|0.12|0.25|0.16|7|2027|1.1|0.85|0|1.730321697467488|0|2.729637234770705|0.15000000000000002|3.728952772073922|0.44999999999999996|4.728268309377139|0.8999999999999999|5.730321697467488|1.5|6.729637234770705|2.0999999999999996|7.728952772073922|2.7|8.728268309377139|3|9.730321697467488|3|10.729637234770705|2.8499999999999996|11.728952772073923|2.7|12.728268309377139|2.46|13.730321697467488|2.0999999999999996|14.729637234770705|1.6500000000000001|15.728952772073923|1.0499999999999998|16.72826830937714|0|1.730321697467488|0|2.729637234770705|0|3.728952772073922|0.15|4.728268309377139|0.3|5.730321697467488|0.5|6.729637234770705|0.7|7.728952772073922|0.9|8.728268309377139|1|9.730321697467488|1|10.729637234770705|0.95|11.728952772073923|0.9|12.728268309377139|0.82|13.730321697467488|0.7|14.729637234770705|0.55|15.728952772073923|0.35|16.72826830937714|0.1|0.35|0.15|0.12|0.25|0.08</x:v>
      </x:c>
    </x:row>
    <x:row r="11" ht="23" customHeight="1">
      <x:c r="A11" s="11" t="str">
        <x:v>01530.HK</x:v>
      </x:c>
      <x:c r="B11" s="11" t="str">
        <x:v>三生制药</x:v>
      </x:c>
      <x:c r="C11" s="11" t="str">
        <x:v>半年</x:v>
      </x:c>
      <x:c r="D11" s="11" t="str">
        <x:v>基准</x:v>
      </x:c>
      <x:c r="E11" s="11" t="n">
        <x:v>15.07</x:v>
      </x:c>
      <x:c r="F11" s="11" t="n">
        <x:v>20.494032607263897</x:v>
      </x:c>
      <x:c r="G11" s="11" t="n">
        <x:v>0</x:v>
      </x:c>
      <x:c r="H11" s="25" t="n">
        <x:v>0.35992253531943574</x:v>
      </x:c>
      <x:c r="I11" s="25" t="n">
        <x:v>0.35992253531943574</x:v>
      </x:c>
      <x:c r="J11" s="25" t="str"/>
      <x:c r="K11" s="11" t="n">
        <x:v>0.7</x:v>
      </x:c>
      <x:c r="L11" s="11" t="n">
        <x:v>16</x:v>
      </x:c>
      <x:c r="M11" s="11" t="n">
        <x:v>1.1</x:v>
      </x:c>
      <x:c r="N11" s="11" t="n">
        <x:v>0</x:v>
      </x:c>
      <x:c r="O11" s="11" t="n">
        <x:v>8.2</x:v>
      </x:c>
      <x:c r="P11" s="11" t="n">
        <x:v>0.219390243902439</x:v>
      </x:c>
      <x:c r="Q11" s="11" t="n">
        <x:v>2.57</x:v>
      </x:c>
      <x:c r="R11" s="11" t="str">
        <x:v>3sbio-v1-core-plus-707-rnPV</x:v>
      </x:c>
      <x:c r="S11" s="11" t="str">
        <x:v>2026-10-10</x:v>
      </x:c>
      <x:c r="T11" s="11" t="str">
        <x:f>IF(AND(SUM(IF(K11='假设'!E13,0,1),IF(L11='假设'!F13,0,1),IF(M11='假设'!G13,0,1),IF(N11='假设'!H13,0,1),IF(O11='假设'!I13,0,1),IF(P11='假设'!J13,0,1),IF(Q11='假设'!K13,0,1))=0,U11=V11),"已刷新","待刷新")</x:f>
        <x:v>已刷新</x:v>
      </x:c>
      <x:c r="U11" t="str">
        <x:v>12|1.7989999999999997|16|12|0|2.57|0.35|0.2|0.15|0.21999999999999997|0.13|7|2027|1.1|0.9|0|1.730321697467488|0.30000000000000004|2.729637234770705|0.8999999999999999|3.728952772073922|1.7999999999999998|4.728268309377139|3|5.730321697467488|4.199999999999999|6.729637234770705|5.4|7.728952772073922|6|8.728268309377139|6|9.730321697467488|5.699999999999999|10.729637234770705|5.4|11.728952772073923|4.92|12.728268309377139|4.199999999999999|13.730321697467488|3.3000000000000003|14.729637234770705|2.0999999999999996|15.728952772073923|1.2000000000000002|16.72826830937714|0|1.730321697467488|0|2.729637234770705|0.44999999999999996|3.728952772073922|0.8999999999999999|4.728268309377139|1.5|5.730321697467488|2.0999999999999996|6.729637234770705|2.7|7.728952772073922|3|8.728268309377139|3|9.730321697467488|2.8499999999999996|10.729637234770705|2.7|11.728952772073923|2.46|12.728268309377139|2.0999999999999996|13.730321697467488|1.6500000000000001|14.729637234770705|1.0499999999999998|15.728952772073923|0.6000000000000001|16.72826830937714|0.2|0.6|0.5|0.35|0.8|0.25</x:v>
      </x:c>
      <x:c r="V11" t="str">
        <x:f>'假设'!N13&amp;"|"&amp;'药物假设'!D13&amp;"|"&amp;'药物假设'!E13&amp;"|"&amp;'药物假设'!F13&amp;"|"&amp;'药物假设'!G13&amp;"|"&amp;'药物假设'!H13&amp;"|"&amp;'药物假设'!I13&amp;"|"&amp;'药物假设'!J13&amp;"|"&amp;'药物假设'!K13&amp;"|"&amp;'药物假设'!L13&amp;"|"&amp;'药物假设'!M13&amp;"|"&amp;'药物假设'!N13&amp;"|"&amp;'药物假设'!O13&amp;"|"&amp;'药物假设'!P13&amp;"|"&amp;'药物假设'!Q13&amp;"|"&amp;'风险净现值'!R39&amp;"|"&amp;'风险净现值'!K39&amp;"|"&amp;'风险净现值'!R40&amp;"|"&amp;'风险净现值'!K40&amp;"|"&amp;'风险净现值'!R41&amp;"|"&amp;'风险净现值'!K41&amp;"|"&amp;'风险净现值'!R42&amp;"|"&amp;'风险净现值'!K42&amp;"|"&amp;'风险净现值'!R43&amp;"|"&amp;'风险净现值'!K43&amp;"|"&amp;'风险净现值'!R44&amp;"|"&amp;'风险净现值'!K44&amp;"|"&amp;'风险净现值'!R45&amp;"|"&amp;'风险净现值'!K45&amp;"|"&amp;'风险净现值'!R46&amp;"|"&amp;'风险净现值'!K46&amp;"|"&amp;'风险净现值'!R47&amp;"|"&amp;'风险净现值'!K47&amp;"|"&amp;'风险净现值'!R48&amp;"|"&amp;'风险净现值'!K48&amp;"|"&amp;'风险净现值'!R49&amp;"|"&amp;'风险净现值'!K49&amp;"|"&amp;'风险净现值'!R50&amp;"|"&amp;'风险净现值'!K50&amp;"|"&amp;'风险净现值'!R51&amp;"|"&amp;'风险净现值'!K51&amp;"|"&amp;'风险净现值'!R52&amp;"|"&amp;'风险净现值'!K52&amp;"|"&amp;'风险净现值'!R53&amp;"|"&amp;'风险净现值'!K53&amp;"|"&amp;'风险净现值'!R54&amp;"|"&amp;'风险净现值'!K54&amp;"|"&amp;'风险净现值'!R55&amp;"|"&amp;'风险净现值'!K55&amp;"|"&amp;'风险净现值'!R56&amp;"|"&amp;'风险净现值'!K56&amp;"|"&amp;'风险净现值'!R57&amp;"|"&amp;'风险净现值'!K57&amp;"|"&amp;'风险净现值'!R58&amp;"|"&amp;'风险净现值'!K58&amp;"|"&amp;'风险净现值'!R59&amp;"|"&amp;'风险净现值'!K59&amp;"|"&amp;'风险净现值'!R60&amp;"|"&amp;'风险净现值'!K60&amp;"|"&amp;'风险净现值'!R61&amp;"|"&amp;'风险净现值'!K61&amp;"|"&amp;'风险净现值'!R62&amp;"|"&amp;'风险净现值'!K62&amp;"|"&amp;'风险净现值'!R63&amp;"|"&amp;'风险净现值'!K63&amp;"|"&amp;'风险净现值'!R64&amp;"|"&amp;'风险净现值'!K64&amp;"|"&amp;'风险净现值'!R65&amp;"|"&amp;'风险净现值'!K65&amp;"|"&amp;'风险净现值'!R66&amp;"|"&amp;'风险净现值'!K66&amp;"|"&amp;'风险净现值'!R67&amp;"|"&amp;'风险净现值'!K67&amp;"|"&amp;'风险净现值'!R68&amp;"|"&amp;'风险净现值'!K68&amp;"|"&amp;'风险净现值'!R69&amp;"|"&amp;'风险净现值'!K69&amp;"|"&amp;'风险净现值'!R70&amp;"|"&amp;'风险净现值'!K70&amp;"|"&amp;'风险净现值'!AQ10&amp;"|"&amp;'风险净现值'!AT10&amp;"|"&amp;'风险净现值'!AQ11&amp;"|"&amp;'风险净现值'!AT11&amp;"|"&amp;'风险净现值'!AQ12&amp;"|"&amp;'风险净现值'!AT12</x:f>
        <x:v>12|1.7989999999999997|16|12|0|2.57|0.35|0.2|0.15|0.21999999999999997|0.13|7|2027|1.1|0.9|0|1.730321697467488|0.30000000000000004|2.729637234770705|0.8999999999999999|3.728952772073922|1.7999999999999998|4.728268309377139|3|5.730321697467488|4.199999999999999|6.729637234770705|5.4|7.728952772073922|6|8.728268309377139|6|9.730321697467488|5.699999999999999|10.729637234770705|5.4|11.728952772073923|4.92|12.728268309377139|4.199999999999999|13.730321697467488|3.3000000000000003|14.729637234770705|2.0999999999999996|15.728952772073923|1.2000000000000002|16.72826830937714|0|1.730321697467488|0|2.729637234770705|0.44999999999999996|3.728952772073922|0.8999999999999999|4.728268309377139|1.5|5.730321697467488|2.0999999999999996|6.729637234770705|2.7|7.728952772073922|3|8.728268309377139|3|9.730321697467488|2.8499999999999996|10.729637234770705|2.7|11.728952772073923|2.46|12.728268309377139|2.0999999999999996|13.730321697467488|1.6500000000000001|14.729637234770705|1.0499999999999998|15.728952772073923|0.6000000000000001|16.72826830937714|0.2|0.6|0.5|0.35|0.8|0.25</x:v>
      </x:c>
    </x:row>
    <x:row r="12" ht="23" customHeight="1">
      <x:c r="A12" s="11" t="str">
        <x:v>01530.HK</x:v>
      </x:c>
      <x:c r="B12" s="11" t="str">
        <x:v>三生制药</x:v>
      </x:c>
      <x:c r="C12" s="11" t="str">
        <x:v>半年</x:v>
      </x:c>
      <x:c r="D12" s="11" t="str">
        <x:v>乐观</x:v>
      </x:c>
      <x:c r="E12" s="11" t="n">
        <x:v>15.07</x:v>
      </x:c>
      <x:c r="F12" s="11" t="n">
        <x:v>44.471716386074945</x:v>
      </x:c>
      <x:c r="G12" s="11" t="n">
        <x:v>0</x:v>
      </x:c>
      <x:c r="H12" s="25" t="n">
        <x:v>1.9510097137408722</x:v>
      </x:c>
      <x:c r="I12" s="25" t="n">
        <x:v>1.9510097137408722</x:v>
      </x:c>
      <x:c r="J12" s="25" t="str"/>
      <x:c r="K12" s="11" t="n">
        <x:v>0.95</x:v>
      </x:c>
      <x:c r="L12" s="11" t="n">
        <x:v>20</x:v>
      </x:c>
      <x:c r="M12" s="11" t="n">
        <x:v>1.1</x:v>
      </x:c>
      <x:c r="N12" s="11" t="n">
        <x:v>0</x:v>
      </x:c>
      <x:c r="O12" s="11" t="n">
        <x:v>9.3</x:v>
      </x:c>
      <x:c r="P12" s="11" t="n">
        <x:v>0.2604838709677419</x:v>
      </x:c>
      <x:c r="Q12" s="11" t="n">
        <x:v>2.55</x:v>
      </x:c>
      <x:c r="R12" s="11" t="str">
        <x:v>3sbio-v1-core-plus-707-rnPV</x:v>
      </x:c>
      <x:c r="S12" s="11" t="str">
        <x:v>2026-10-10</x:v>
      </x:c>
      <x:c r="T12" s="11" t="str">
        <x:f>IF(AND(SUM(IF(K12='假设'!E14,0,1),IF(L12='假设'!F14,0,1),IF(M12='假设'!G14,0,1),IF(N12='假设'!H14,0,1),IF(O12='假设'!I14,0,1),IF(P12='假设'!J14,0,1),IF(Q12='假设'!K14,0,1))=0,U12=V12),"已刷新","待刷新")</x:f>
        <x:v>已刷新</x:v>
      </x:c>
      <x:c r="U12" t="str">
        <x:v>13.8|2.4225|20|13.8|0|2.55|0.65|0.5|0.18|0.19999999999999996|0.11|7|2027|1.1|0.95|0.5|1.730321697467488|1.5|2.729637234770705|3|3.728952772073922|5|4.728268309377139|7|5.730321697467488|9|6.729637234770705|10|7.728952772073922|10|8.728268309377139|9.5|9.730321697467488|9|10.729637234770705|8.2|11.728952772073923|7|12.728268309377139|5.5|13.730321697467488|3.5|14.729637234770705|2|15.728952772073923|1|16.72826830937714|0|1.730321697467488|1.05|2.729637234770705|2.1|3.728952772073922|3.5|4.728268309377139|4.8999999999999995|5.730321697467488|6.3|6.729637234770705|7|7.728952772073922|7|8.728268309377139|6.6499999999999995|9.730321697467488|6.3|10.729637234770705|5.739999999999999|11.728952772073923|4.8999999999999995|12.728268309377139|3.8500000000000005|13.730321697467488|2.4499999999999997|14.729637234770705|1.4000000000000001|15.728952772073923|0.7000000000000001|16.72826830937714|0.35|0.85|0.9|0.65|1.5|0.55</x:v>
      </x:c>
      <x:c r="V12" t="str">
        <x:f>'假设'!N14&amp;"|"&amp;'药物假设'!D14&amp;"|"&amp;'药物假设'!E14&amp;"|"&amp;'药物假设'!F14&amp;"|"&amp;'药物假设'!G14&amp;"|"&amp;'药物假设'!H14&amp;"|"&amp;'药物假设'!I14&amp;"|"&amp;'药物假设'!J14&amp;"|"&amp;'药物假设'!K14&amp;"|"&amp;'药物假设'!L14&amp;"|"&amp;'药物假设'!M14&amp;"|"&amp;'药物假设'!N14&amp;"|"&amp;'药物假设'!O14&amp;"|"&amp;'药物假设'!P14&amp;"|"&amp;'药物假设'!Q14&amp;"|"&amp;'风险净现值'!S39&amp;"|"&amp;'风险净现值'!K39&amp;"|"&amp;'风险净现值'!S40&amp;"|"&amp;'风险净现值'!K40&amp;"|"&amp;'风险净现值'!S41&amp;"|"&amp;'风险净现值'!K41&amp;"|"&amp;'风险净现值'!S42&amp;"|"&amp;'风险净现值'!K42&amp;"|"&amp;'风险净现值'!S43&amp;"|"&amp;'风险净现值'!K43&amp;"|"&amp;'风险净现值'!S44&amp;"|"&amp;'风险净现值'!K44&amp;"|"&amp;'风险净现值'!S45&amp;"|"&amp;'风险净现值'!K45&amp;"|"&amp;'风险净现值'!S46&amp;"|"&amp;'风险净现值'!K46&amp;"|"&amp;'风险净现值'!S47&amp;"|"&amp;'风险净现值'!K47&amp;"|"&amp;'风险净现值'!S48&amp;"|"&amp;'风险净现值'!K48&amp;"|"&amp;'风险净现值'!S49&amp;"|"&amp;'风险净现值'!K49&amp;"|"&amp;'风险净现值'!S50&amp;"|"&amp;'风险净现值'!K50&amp;"|"&amp;'风险净现值'!S51&amp;"|"&amp;'风险净现值'!K51&amp;"|"&amp;'风险净现值'!S52&amp;"|"&amp;'风险净现值'!K52&amp;"|"&amp;'风险净现值'!S53&amp;"|"&amp;'风险净现值'!K53&amp;"|"&amp;'风险净现值'!S54&amp;"|"&amp;'风险净现值'!K54&amp;"|"&amp;'风险净现值'!S55&amp;"|"&amp;'风险净现值'!K55&amp;"|"&amp;'风险净现值'!S56&amp;"|"&amp;'风险净现值'!K56&amp;"|"&amp;'风险净现值'!S57&amp;"|"&amp;'风险净现值'!K57&amp;"|"&amp;'风险净现值'!S58&amp;"|"&amp;'风险净现值'!K58&amp;"|"&amp;'风险净现值'!S59&amp;"|"&amp;'风险净现值'!K59&amp;"|"&amp;'风险净现值'!S60&amp;"|"&amp;'风险净现值'!K60&amp;"|"&amp;'风险净现值'!S61&amp;"|"&amp;'风险净现值'!K61&amp;"|"&amp;'风险净现值'!S62&amp;"|"&amp;'风险净现值'!K62&amp;"|"&amp;'风险净现值'!S63&amp;"|"&amp;'风险净现值'!K63&amp;"|"&amp;'风险净现值'!S64&amp;"|"&amp;'风险净现值'!K64&amp;"|"&amp;'风险净现值'!S65&amp;"|"&amp;'风险净现值'!K65&amp;"|"&amp;'风险净现值'!S66&amp;"|"&amp;'风险净现值'!K66&amp;"|"&amp;'风险净现值'!S67&amp;"|"&amp;'风险净现值'!K67&amp;"|"&amp;'风险净现值'!S68&amp;"|"&amp;'风险净现值'!K68&amp;"|"&amp;'风险净现值'!S69&amp;"|"&amp;'风险净现值'!K69&amp;"|"&amp;'风险净现值'!S70&amp;"|"&amp;'风险净现值'!K70&amp;"|"&amp;'风险净现值'!AR10&amp;"|"&amp;'风险净现值'!AU10&amp;"|"&amp;'风险净现值'!AR11&amp;"|"&amp;'风险净现值'!AU11&amp;"|"&amp;'风险净现值'!AR12&amp;"|"&amp;'风险净现值'!AU12</x:f>
        <x:v>13.8|2.4225|20|13.8|0|2.55|0.65|0.5|0.18|0.19999999999999996|0.11|7|2027|1.1|0.95|0.5|1.730321697467488|1.5|2.729637234770705|3|3.728952772073922|5|4.728268309377139|7|5.730321697467488|9|6.729637234770705|10|7.728952772073922|10|8.728268309377139|9.5|9.730321697467488|9|10.729637234770705|8.2|11.728952772073923|7|12.728268309377139|5.5|13.730321697467488|3.5|14.729637234770705|2|15.728952772073923|1|16.72826830937714|0|1.730321697467488|1.05|2.729637234770705|2.1|3.728952772073922|3.5|4.728268309377139|4.8999999999999995|5.730321697467488|6.3|6.729637234770705|7|7.728952772073922|7|8.728268309377139|6.6499999999999995|9.730321697467488|6.3|10.729637234770705|5.739999999999999|11.728952772073923|4.8999999999999995|12.728268309377139|3.8500000000000005|13.730321697467488|2.4499999999999997|14.729637234770705|1.4000000000000001|15.728952772073923|0.7000000000000001|16.72826830937714|0.35|0.85|0.9|0.65|1.5|0.55</x:v>
      </x:c>
    </x:row>
    <x:row r="13" ht="23" customHeight="1">
      <x:c r="A13" s="11" t="str">
        <x:v>01530.HK</x:v>
      </x:c>
      <x:c r="B13" s="11" t="str">
        <x:v>三生制药</x:v>
      </x:c>
      <x:c r="C13" s="11" t="str">
        <x:v>一年</x:v>
      </x:c>
      <x:c r="D13" s="11" t="str">
        <x:v>悲观</x:v>
      </x:c>
      <x:c r="E13" s="11" t="n">
        <x:v>15.07</x:v>
      </x:c>
      <x:c r="F13" s="11" t="n">
        <x:v>10.177115108459061</x:v>
      </x:c>
      <x:c r="G13" s="11" t="n">
        <x:v>0.15</x:v>
      </x:c>
      <x:c r="H13" s="25" t="n">
        <x:v>-0.3246771659947537</x:v>
      </x:c>
      <x:c r="I13" s="25" t="n">
        <x:v>-0.31472361589521824</x:v>
      </x:c>
      <x:c r="J13" s="25" t="str"/>
      <x:c r="K13" s="11" t="n">
        <x:v>0.56</x:v>
      </x:c>
      <x:c r="L13" s="11" t="n">
        <x:v>11</x:v>
      </x:c>
      <x:c r="M13" s="11" t="n">
        <x:v>1.1</x:v>
      </x:c>
      <x:c r="N13" s="11" t="n">
        <x:v>0.15</x:v>
      </x:c>
      <x:c r="O13" s="11" t="n">
        <x:v>7.5</x:v>
      </x:c>
      <x:c r="P13" s="11" t="n">
        <x:v>0.19786666666666666</x:v>
      </x:c>
      <x:c r="Q13" s="11" t="n">
        <x:v>2.65</x:v>
      </x:c>
      <x:c r="R13" s="11" t="str">
        <x:v>3sbio-v1-core-plus-707-rnPV</x:v>
      </x:c>
      <x:c r="S13" s="11" t="str">
        <x:v>2026-10-10</x:v>
      </x:c>
      <x:c r="T13" s="11" t="str">
        <x:f>IF(AND(SUM(IF(K13='假设'!E16,0,1),IF(L13='假设'!F16,0,1),IF(M13='假设'!G16,0,1),IF(N13='假设'!H16,0,1),IF(O13='假设'!I16,0,1),IF(P13='假设'!J16,0,1),IF(Q13='假设'!K16,0,1))=0,U13=V13),"已刷新","待刷新")</x:f>
        <x:v>已刷新</x:v>
      </x:c>
      <x:c r="U13" t="str">
        <x:v>7.5|1.484|11|7.5|0|2.65|0.12|0.06|0.12|0.25|0.16|7|2027|1.1|0.85|0|1.2292950034223136|0|2.2286105407255303|0.15000000000000002|3.2279260780287475|0.44999999999999996|4.227241615331964|0.8999999999999999|5.229295003422314|1.5|6.228610540725531|2.0999999999999996|7.227926078028747|2.7|8.227241615331964|3|9.229295003422314|3|10.22861054072553|2.8499999999999996|11.227926078028748|2.7|12.227241615331964|2.46|13.229295003422314|2.0999999999999996|14.22861054072553|1.6500000000000001|15.227926078028748|1.0499999999999998|16.227241615331966|0|1.2292950034223136|0|2.2286105407255303|0|3.2279260780287475|0.15|4.227241615331964|0.3|5.229295003422314|0.5|6.228610540725531|0.7|7.227926078028747|0.9|8.227241615331964|1|9.229295003422314|1|10.22861054072553|0.95|11.227926078028748|0.9|12.227241615331964|0.82|13.229295003422314|0.7|14.22861054072553|0.55|15.227926078028748|0.35|16.227241615331966|0.1|0.35|0.15|0.12|0.25|0.08</x:v>
      </x:c>
      <x:c r="V13" t="str">
        <x:f>'假设'!N16&amp;"|"&amp;'药物假设'!D16&amp;"|"&amp;'药物假设'!E16&amp;"|"&amp;'药物假设'!F16&amp;"|"&amp;'药物假设'!G16&amp;"|"&amp;'药物假设'!H16&amp;"|"&amp;'药物假设'!I16&amp;"|"&amp;'药物假设'!J16&amp;"|"&amp;'药物假设'!K16&amp;"|"&amp;'药物假设'!L16&amp;"|"&amp;'药物假设'!M16&amp;"|"&amp;'药物假设'!N16&amp;"|"&amp;'药物假设'!O16&amp;"|"&amp;'药物假设'!P16&amp;"|"&amp;'药物假设'!Q16&amp;"|"&amp;'风险净现值'!Q71&amp;"|"&amp;'风险净现值'!K71&amp;"|"&amp;'风险净现值'!Q72&amp;"|"&amp;'风险净现值'!K72&amp;"|"&amp;'风险净现值'!Q73&amp;"|"&amp;'风险净现值'!K73&amp;"|"&amp;'风险净现值'!Q74&amp;"|"&amp;'风险净现值'!K74&amp;"|"&amp;'风险净现值'!Q75&amp;"|"&amp;'风险净现值'!K75&amp;"|"&amp;'风险净现值'!Q76&amp;"|"&amp;'风险净现值'!K76&amp;"|"&amp;'风险净现值'!Q77&amp;"|"&amp;'风险净现值'!K77&amp;"|"&amp;'风险净现值'!Q78&amp;"|"&amp;'风险净现值'!K78&amp;"|"&amp;'风险净现值'!Q79&amp;"|"&amp;'风险净现值'!K79&amp;"|"&amp;'风险净现值'!Q80&amp;"|"&amp;'风险净现值'!K80&amp;"|"&amp;'风险净现值'!Q81&amp;"|"&amp;'风险净现值'!K81&amp;"|"&amp;'风险净现值'!Q82&amp;"|"&amp;'风险净现值'!K82&amp;"|"&amp;'风险净现值'!Q83&amp;"|"&amp;'风险净现值'!K83&amp;"|"&amp;'风险净现值'!Q84&amp;"|"&amp;'风险净现值'!K84&amp;"|"&amp;'风险净现值'!Q85&amp;"|"&amp;'风险净现值'!K85&amp;"|"&amp;'风险净现值'!Q86&amp;"|"&amp;'风险净现值'!K86&amp;"|"&amp;'风险净现值'!Q87&amp;"|"&amp;'风险净现值'!K87&amp;"|"&amp;'风险净现值'!Q88&amp;"|"&amp;'风险净现值'!K88&amp;"|"&amp;'风险净现值'!Q89&amp;"|"&amp;'风险净现值'!K89&amp;"|"&amp;'风险净现值'!Q90&amp;"|"&amp;'风险净现值'!K90&amp;"|"&amp;'风险净现值'!Q91&amp;"|"&amp;'风险净现值'!K91&amp;"|"&amp;'风险净现值'!Q92&amp;"|"&amp;'风险净现值'!K92&amp;"|"&amp;'风险净现值'!Q93&amp;"|"&amp;'风险净现值'!K93&amp;"|"&amp;'风险净现值'!Q94&amp;"|"&amp;'风险净现值'!K94&amp;"|"&amp;'风险净现值'!Q95&amp;"|"&amp;'风险净现值'!K95&amp;"|"&amp;'风险净现值'!Q96&amp;"|"&amp;'风险净现值'!K96&amp;"|"&amp;'风险净现值'!Q97&amp;"|"&amp;'风险净现值'!K97&amp;"|"&amp;'风险净现值'!Q98&amp;"|"&amp;'风险净现值'!K98&amp;"|"&amp;'风险净现值'!Q99&amp;"|"&amp;'风险净现值'!K99&amp;"|"&amp;'风险净现值'!Q100&amp;"|"&amp;'风险净现值'!K100&amp;"|"&amp;'风险净现值'!Q101&amp;"|"&amp;'风险净现值'!K101&amp;"|"&amp;'风险净现值'!Q102&amp;"|"&amp;'风险净现值'!K102&amp;"|"&amp;'风险净现值'!AP13&amp;"|"&amp;'风险净现值'!AS13&amp;"|"&amp;'风险净现值'!AP14&amp;"|"&amp;'风险净现值'!AS14&amp;"|"&amp;'风险净现值'!AP15&amp;"|"&amp;'风险净现值'!AS15</x:f>
        <x:v>7.5|1.484|11|7.5|0|2.65|0.12|0.06|0.12|0.25|0.16|7|2027|1.1|0.85|0|1.2292950034223136|0|2.2286105407255303|0.15000000000000002|3.2279260780287475|0.44999999999999996|4.227241615331964|0.8999999999999999|5.229295003422314|1.5|6.228610540725531|2.0999999999999996|7.227926078028747|2.7|8.227241615331964|3|9.229295003422314|3|10.22861054072553|2.8499999999999996|11.227926078028748|2.7|12.227241615331964|2.46|13.229295003422314|2.0999999999999996|14.22861054072553|1.6500000000000001|15.227926078028748|1.0499999999999998|16.227241615331966|0|1.2292950034223136|0|2.2286105407255303|0|3.2279260780287475|0.15|4.227241615331964|0.3|5.229295003422314|0.5|6.228610540725531|0.7|7.227926078028747|0.9|8.227241615331964|1|9.229295003422314|1|10.22861054072553|0.95|11.227926078028748|0.9|12.227241615331964|0.82|13.229295003422314|0.7|14.22861054072553|0.55|15.227926078028748|0.35|16.227241615331966|0.1|0.35|0.15|0.12|0.25|0.08</x:v>
      </x:c>
    </x:row>
    <x:row r="14" ht="23" customHeight="1">
      <x:c r="A14" s="11" t="str">
        <x:v>01530.HK</x:v>
      </x:c>
      <x:c r="B14" s="11" t="str">
        <x:v>三生制药</x:v>
      </x:c>
      <x:c r="C14" s="11" t="str">
        <x:v>一年</x:v>
      </x:c>
      <x:c r="D14" s="11" t="str">
        <x:v>基准</x:v>
      </x:c>
      <x:c r="E14" s="11" t="n">
        <x:v>15.07</x:v>
      </x:c>
      <x:c r="F14" s="11" t="n">
        <x:v>25.063798736268943</x:v>
      </x:c>
      <x:c r="G14" s="11" t="n">
        <x:v>0.25</x:v>
      </x:c>
      <x:c r="H14" s="25" t="n">
        <x:v>0.6631585093741834</x:v>
      </x:c>
      <x:c r="I14" s="25" t="n">
        <x:v>0.6797477595400758</x:v>
      </x:c>
      <x:c r="J14" s="25" t="str"/>
      <x:c r="K14" s="11" t="n">
        <x:v>0.88</x:v>
      </x:c>
      <x:c r="L14" s="11" t="n">
        <x:v>17</x:v>
      </x:c>
      <x:c r="M14" s="11" t="n">
        <x:v>1.1</x:v>
      </x:c>
      <x:c r="N14" s="11" t="n">
        <x:v>0.25</x:v>
      </x:c>
      <x:c r="O14" s="11" t="n">
        <x:v>9.6</x:v>
      </x:c>
      <x:c r="P14" s="11" t="n">
        <x:v>0.23833333333333337</x:v>
      </x:c>
      <x:c r="Q14" s="11" t="n">
        <x:v>2.6</x:v>
      </x:c>
      <x:c r="R14" s="11" t="str">
        <x:v>3sbio-v1-core-plus-707-rnPV</x:v>
      </x:c>
      <x:c r="S14" s="11" t="str">
        <x:v>2026-10-10</x:v>
      </x:c>
      <x:c r="T14" s="11" t="str">
        <x:f>IF(AND(SUM(IF(K14='假设'!E17,0,1),IF(L14='假设'!F17,0,1),IF(M14='假设'!G17,0,1),IF(N14='假设'!H17,0,1),IF(O14='假设'!I17,0,1),IF(P14='假设'!J17,0,1),IF(Q14='假设'!K17,0,1))=0,U14=V14),"已刷新","待刷新")</x:f>
        <x:v>已刷新</x:v>
      </x:c>
      <x:c r="U14" t="str">
        <x:v>12.8|2.2880000000000003|17|12.8|0|2.6|0.35|0.2|0.15|0.21999999999999997|0.13|7|2027|1.1|0.9|0|1.2292950034223136|0.30000000000000004|2.2286105407255303|0.8999999999999999|3.2279260780287475|1.7999999999999998|4.227241615331964|3|5.229295003422314|4.199999999999999|6.228610540725531|5.4|7.227926078028747|6|8.227241615331964|6|9.229295003422314|5.699999999999999|10.22861054072553|5.4|11.227926078028748|4.92|12.227241615331964|4.199999999999999|13.229295003422314|3.3000000000000003|14.22861054072553|2.0999999999999996|15.227926078028748|1.2000000000000002|16.227241615331966|0|1.2292950034223136|0|2.2286105407255303|0.44999999999999996|3.2279260780287475|0.8999999999999999|4.227241615331964|1.5|5.229295003422314|2.0999999999999996|6.228610540725531|2.7|7.227926078028747|3|8.227241615331964|3|9.229295003422314|2.8499999999999996|10.22861054072553|2.7|11.227926078028748|2.46|12.227241615331964|2.0999999999999996|13.229295003422314|1.6500000000000001|14.22861054072553|1.0499999999999998|15.227926078028748|0.6000000000000001|16.227241615331966|0.2|0.6|0.5|0.35|0.8|0.25</x:v>
      </x:c>
      <x:c r="V14" t="str">
        <x:f>'假设'!N17&amp;"|"&amp;'药物假设'!D17&amp;"|"&amp;'药物假设'!E17&amp;"|"&amp;'药物假设'!F17&amp;"|"&amp;'药物假设'!G17&amp;"|"&amp;'药物假设'!H17&amp;"|"&amp;'药物假设'!I17&amp;"|"&amp;'药物假设'!J17&amp;"|"&amp;'药物假设'!K17&amp;"|"&amp;'药物假设'!L17&amp;"|"&amp;'药物假设'!M17&amp;"|"&amp;'药物假设'!N17&amp;"|"&amp;'药物假设'!O17&amp;"|"&amp;'药物假设'!P17&amp;"|"&amp;'药物假设'!Q17&amp;"|"&amp;'风险净现值'!R71&amp;"|"&amp;'风险净现值'!K71&amp;"|"&amp;'风险净现值'!R72&amp;"|"&amp;'风险净现值'!K72&amp;"|"&amp;'风险净现值'!R73&amp;"|"&amp;'风险净现值'!K73&amp;"|"&amp;'风险净现值'!R74&amp;"|"&amp;'风险净现值'!K74&amp;"|"&amp;'风险净现值'!R75&amp;"|"&amp;'风险净现值'!K75&amp;"|"&amp;'风险净现值'!R76&amp;"|"&amp;'风险净现值'!K76&amp;"|"&amp;'风险净现值'!R77&amp;"|"&amp;'风险净现值'!K77&amp;"|"&amp;'风险净现值'!R78&amp;"|"&amp;'风险净现值'!K78&amp;"|"&amp;'风险净现值'!R79&amp;"|"&amp;'风险净现值'!K79&amp;"|"&amp;'风险净现值'!R80&amp;"|"&amp;'风险净现值'!K80&amp;"|"&amp;'风险净现值'!R81&amp;"|"&amp;'风险净现值'!K81&amp;"|"&amp;'风险净现值'!R82&amp;"|"&amp;'风险净现值'!K82&amp;"|"&amp;'风险净现值'!R83&amp;"|"&amp;'风险净现值'!K83&amp;"|"&amp;'风险净现值'!R84&amp;"|"&amp;'风险净现值'!K84&amp;"|"&amp;'风险净现值'!R85&amp;"|"&amp;'风险净现值'!K85&amp;"|"&amp;'风险净现值'!R86&amp;"|"&amp;'风险净现值'!K86&amp;"|"&amp;'风险净现值'!R87&amp;"|"&amp;'风险净现值'!K87&amp;"|"&amp;'风险净现值'!R88&amp;"|"&amp;'风险净现值'!K88&amp;"|"&amp;'风险净现值'!R89&amp;"|"&amp;'风险净现值'!K89&amp;"|"&amp;'风险净现值'!R90&amp;"|"&amp;'风险净现值'!K90&amp;"|"&amp;'风险净现值'!R91&amp;"|"&amp;'风险净现值'!K91&amp;"|"&amp;'风险净现值'!R92&amp;"|"&amp;'风险净现值'!K92&amp;"|"&amp;'风险净现值'!R93&amp;"|"&amp;'风险净现值'!K93&amp;"|"&amp;'风险净现值'!R94&amp;"|"&amp;'风险净现值'!K94&amp;"|"&amp;'风险净现值'!R95&amp;"|"&amp;'风险净现值'!K95&amp;"|"&amp;'风险净现值'!R96&amp;"|"&amp;'风险净现值'!K96&amp;"|"&amp;'风险净现值'!R97&amp;"|"&amp;'风险净现值'!K97&amp;"|"&amp;'风险净现值'!R98&amp;"|"&amp;'风险净现值'!K98&amp;"|"&amp;'风险净现值'!R99&amp;"|"&amp;'风险净现值'!K99&amp;"|"&amp;'风险净现值'!R100&amp;"|"&amp;'风险净现值'!K100&amp;"|"&amp;'风险净现值'!R101&amp;"|"&amp;'风险净现值'!K101&amp;"|"&amp;'风险净现值'!R102&amp;"|"&amp;'风险净现值'!K102&amp;"|"&amp;'风险净现值'!AQ13&amp;"|"&amp;'风险净现值'!AT13&amp;"|"&amp;'风险净现值'!AQ14&amp;"|"&amp;'风险净现值'!AT14&amp;"|"&amp;'风险净现值'!AQ15&amp;"|"&amp;'风险净现值'!AT15</x:f>
        <x:v>12.8|2.2880000000000003|17|12.8|0|2.6|0.35|0.2|0.15|0.21999999999999997|0.13|7|2027|1.1|0.9|0|1.2292950034223136|0.30000000000000004|2.2286105407255303|0.8999999999999999|3.2279260780287475|1.7999999999999998|4.227241615331964|3|5.229295003422314|4.199999999999999|6.228610540725531|5.4|7.227926078028747|6|8.227241615331964|6|9.229295003422314|5.699999999999999|10.22861054072553|5.4|11.227926078028748|4.92|12.227241615331964|4.199999999999999|13.229295003422314|3.3000000000000003|14.22861054072553|2.0999999999999996|15.227926078028748|1.2000000000000002|16.227241615331966|0|1.2292950034223136|0|2.2286105407255303|0.44999999999999996|3.2279260780287475|0.8999999999999999|4.227241615331964|1.5|5.229295003422314|2.0999999999999996|6.228610540725531|2.7|7.227926078028747|3|8.227241615331964|3|9.229295003422314|2.8499999999999996|10.22861054072553|2.7|11.227926078028748|2.46|12.227241615331964|2.0999999999999996|13.229295003422314|1.6500000000000001|14.22861054072553|1.0499999999999998|15.227926078028748|0.6000000000000001|16.227241615331966|0.2|0.6|0.5|0.35|0.8|0.25</x:v>
      </x:c>
    </x:row>
    <x:row r="15" ht="23" customHeight="1">
      <x:c r="A15" s="11" t="str">
        <x:v>01530.HK</x:v>
      </x:c>
      <x:c r="B15" s="11" t="str">
        <x:v>三生制药</x:v>
      </x:c>
      <x:c r="C15" s="11" t="str">
        <x:v>一年</x:v>
      </x:c>
      <x:c r="D15" s="11" t="str">
        <x:v>乐观</x:v>
      </x:c>
      <x:c r="E15" s="11" t="n">
        <x:v>15.07</x:v>
      </x:c>
      <x:c r="F15" s="11" t="n">
        <x:v>54.36428300596225</x:v>
      </x:c>
      <x:c r="G15" s="11" t="n">
        <x:v>0.35</x:v>
      </x:c>
      <x:c r="H15" s="25" t="n">
        <x:v>2.6074507635011446</x:v>
      </x:c>
      <x:c r="I15" s="25" t="n">
        <x:v>2.6306757137333943</x:v>
      </x:c>
      <x:c r="J15" s="25" t="str"/>
      <x:c r="K15" s="11" t="n">
        <x:v>1.22</x:v>
      </x:c>
      <x:c r="L15" s="11" t="n">
        <x:v>22</x:v>
      </x:c>
      <x:c r="M15" s="11" t="n">
        <x:v>1.1</x:v>
      </x:c>
      <x:c r="N15" s="11" t="n">
        <x:v>0.35</x:v>
      </x:c>
      <x:c r="O15" s="11" t="n">
        <x:v>11.5</x:v>
      </x:c>
      <x:c r="P15" s="11" t="n">
        <x:v>0.27264347826086954</x:v>
      </x:c>
      <x:c r="Q15" s="11" t="n">
        <x:v>2.57</x:v>
      </x:c>
      <x:c r="R15" s="11" t="str">
        <x:v>3sbio-v1-core-plus-707-rnPV</x:v>
      </x:c>
      <x:c r="S15" s="11" t="str">
        <x:v>2026-10-10</x:v>
      </x:c>
      <x:c r="T15" s="11" t="str">
        <x:f>IF(AND(SUM(IF(K15='假设'!E18,0,1),IF(L15='假设'!F18,0,1),IF(M15='假设'!G18,0,1),IF(N15='假设'!H18,0,1),IF(O15='假设'!I18,0,1),IF(P15='假设'!J18,0,1),IF(Q15='假设'!K18,0,1))=0,U15=V15),"已刷新","待刷新")</x:f>
        <x:v>已刷新</x:v>
      </x:c>
      <x:c r="U15" t="str">
        <x:v>15|3.1353999999999997|22|15|0|2.57|0.65|0.5|0.18|0.19999999999999996|0.11|7|2027|1.1|0.95|0.5|1.2292950034223136|1.5|2.2286105407255303|3|3.2279260780287475|5|4.227241615331964|7|5.229295003422314|9|6.228610540725531|10|7.227926078028747|10|8.227241615331964|9.5|9.229295003422314|9|10.22861054072553|8.2|11.227926078028748|7|12.227241615331964|5.5|13.229295003422314|3.5|14.22861054072553|2|15.227926078028748|1|16.227241615331966|0|1.2292950034223136|1.05|2.2286105407255303|2.1|3.2279260780287475|3.5|4.227241615331964|4.8999999999999995|5.229295003422314|6.3|6.228610540725531|7|7.227926078028747|7|8.227241615331964|6.6499999999999995|9.229295003422314|6.3|10.22861054072553|5.739999999999999|11.227926078028748|4.8999999999999995|12.227241615331964|3.8500000000000005|13.229295003422314|2.4499999999999997|14.22861054072553|1.4000000000000001|15.227926078028748|0.7000000000000001|16.227241615331966|0.35|0.85|0.9|0.65|1.5|0.55</x:v>
      </x:c>
      <x:c r="V15" t="str">
        <x:f>'假设'!N18&amp;"|"&amp;'药物假设'!D18&amp;"|"&amp;'药物假设'!E18&amp;"|"&amp;'药物假设'!F18&amp;"|"&amp;'药物假设'!G18&amp;"|"&amp;'药物假设'!H18&amp;"|"&amp;'药物假设'!I18&amp;"|"&amp;'药物假设'!J18&amp;"|"&amp;'药物假设'!K18&amp;"|"&amp;'药物假设'!L18&amp;"|"&amp;'药物假设'!M18&amp;"|"&amp;'药物假设'!N18&amp;"|"&amp;'药物假设'!O18&amp;"|"&amp;'药物假设'!P18&amp;"|"&amp;'药物假设'!Q18&amp;"|"&amp;'风险净现值'!S71&amp;"|"&amp;'风险净现值'!K71&amp;"|"&amp;'风险净现值'!S72&amp;"|"&amp;'风险净现值'!K72&amp;"|"&amp;'风险净现值'!S73&amp;"|"&amp;'风险净现值'!K73&amp;"|"&amp;'风险净现值'!S74&amp;"|"&amp;'风险净现值'!K74&amp;"|"&amp;'风险净现值'!S75&amp;"|"&amp;'风险净现值'!K75&amp;"|"&amp;'风险净现值'!S76&amp;"|"&amp;'风险净现值'!K76&amp;"|"&amp;'风险净现值'!S77&amp;"|"&amp;'风险净现值'!K77&amp;"|"&amp;'风险净现值'!S78&amp;"|"&amp;'风险净现值'!K78&amp;"|"&amp;'风险净现值'!S79&amp;"|"&amp;'风险净现值'!K79&amp;"|"&amp;'风险净现值'!S80&amp;"|"&amp;'风险净现值'!K80&amp;"|"&amp;'风险净现值'!S81&amp;"|"&amp;'风险净现值'!K81&amp;"|"&amp;'风险净现值'!S82&amp;"|"&amp;'风险净现值'!K82&amp;"|"&amp;'风险净现值'!S83&amp;"|"&amp;'风险净现值'!K83&amp;"|"&amp;'风险净现值'!S84&amp;"|"&amp;'风险净现值'!K84&amp;"|"&amp;'风险净现值'!S85&amp;"|"&amp;'风险净现值'!K85&amp;"|"&amp;'风险净现值'!S86&amp;"|"&amp;'风险净现值'!K86&amp;"|"&amp;'风险净现值'!S87&amp;"|"&amp;'风险净现值'!K87&amp;"|"&amp;'风险净现值'!S88&amp;"|"&amp;'风险净现值'!K88&amp;"|"&amp;'风险净现值'!S89&amp;"|"&amp;'风险净现值'!K89&amp;"|"&amp;'风险净现值'!S90&amp;"|"&amp;'风险净现值'!K90&amp;"|"&amp;'风险净现值'!S91&amp;"|"&amp;'风险净现值'!K91&amp;"|"&amp;'风险净现值'!S92&amp;"|"&amp;'风险净现值'!K92&amp;"|"&amp;'风险净现值'!S93&amp;"|"&amp;'风险净现值'!K93&amp;"|"&amp;'风险净现值'!S94&amp;"|"&amp;'风险净现值'!K94&amp;"|"&amp;'风险净现值'!S95&amp;"|"&amp;'风险净现值'!K95&amp;"|"&amp;'风险净现值'!S96&amp;"|"&amp;'风险净现值'!K96&amp;"|"&amp;'风险净现值'!S97&amp;"|"&amp;'风险净现值'!K97&amp;"|"&amp;'风险净现值'!S98&amp;"|"&amp;'风险净现值'!K98&amp;"|"&amp;'风险净现值'!S99&amp;"|"&amp;'风险净现值'!K99&amp;"|"&amp;'风险净现值'!S100&amp;"|"&amp;'风险净现值'!K100&amp;"|"&amp;'风险净现值'!S101&amp;"|"&amp;'风险净现值'!K101&amp;"|"&amp;'风险净现值'!S102&amp;"|"&amp;'风险净现值'!K102&amp;"|"&amp;'风险净现值'!AR13&amp;"|"&amp;'风险净现值'!AU13&amp;"|"&amp;'风险净现值'!AR14&amp;"|"&amp;'风险净现值'!AU14&amp;"|"&amp;'风险净现值'!AR15&amp;"|"&amp;'风险净现值'!AU15</x:f>
        <x:v>15|3.1353999999999997|22|15|0|2.57|0.65|0.5|0.18|0.19999999999999996|0.11|7|2027|1.1|0.95|0.5|1.2292950034223136|1.5|2.2286105407255303|3|3.2279260780287475|5|4.227241615331964|7|5.229295003422314|9|6.228610540725531|10|7.227926078028747|10|8.227241615331964|9.5|9.229295003422314|9|10.22861054072553|8.2|11.227926078028748|7|12.227241615331964|5.5|13.229295003422314|3.5|14.22861054072553|2|15.227926078028748|1|16.227241615331966|0|1.2292950034223136|1.05|2.2286105407255303|2.1|3.2279260780287475|3.5|4.227241615331964|4.8999999999999995|5.229295003422314|6.3|6.228610540725531|7|7.227926078028747|7|8.227241615331964|6.6499999999999995|9.229295003422314|6.3|10.22861054072553|5.739999999999999|11.227926078028748|4.8999999999999995|12.227241615331964|3.8500000000000005|13.229295003422314|2.4499999999999997|14.22861054072553|1.4000000000000001|15.227926078028748|0.7000000000000001|16.227241615331966|0.35|0.85|0.9|0.65|1.5|0.55</x:v>
      </x:c>
    </x:row>
    <x:row r="16" ht="23" customHeight="1">
      <x:c r="A16" s="11" t="str">
        <x:v>01530.HK</x:v>
      </x:c>
      <x:c r="B16" s="11" t="str">
        <x:v>三生制药</x:v>
      </x:c>
      <x:c r="C16" s="11" t="str">
        <x:v>三年</x:v>
      </x:c>
      <x:c r="D16" s="11" t="str">
        <x:v>悲观</x:v>
      </x:c>
      <x:c r="E16" s="11" t="n">
        <x:v>15.07</x:v>
      </x:c>
      <x:c r="F16" s="11" t="n">
        <x:v>9.848665602550984</x:v>
      </x:c>
      <x:c r="G16" s="11" t="n">
        <x:v>0.45</x:v>
      </x:c>
      <x:c r="H16" s="25" t="n">
        <x:v>-0.34647209007624524</x:v>
      </x:c>
      <x:c r="I16" s="25" t="n">
        <x:v>-0.31661143977763884</x:v>
      </x:c>
      <x:c r="J16" s="25" t="n">
        <x:v>-0.11917580650657877</x:v>
      </x:c>
      <x:c r="K16" s="11" t="n">
        <x:v>0.65</x:v>
      </x:c>
      <x:c r="L16" s="11" t="n">
        <x:v>10</x:v>
      </x:c>
      <x:c r="M16" s="11" t="n">
        <x:v>1.1</x:v>
      </x:c>
      <x:c r="N16" s="11" t="n">
        <x:v>0.45</x:v>
      </x:c>
      <x:c r="O16" s="11" t="n">
        <x:v>8.1</x:v>
      </x:c>
      <x:c r="P16" s="11" t="n">
        <x:v>0.22067901234567902</x:v>
      </x:c>
      <x:c r="Q16" s="11" t="n">
        <x:v>2.75</x:v>
      </x:c>
      <x:c r="R16" s="11" t="str">
        <x:v>3sbio-v1-core-plus-707-rnPV</x:v>
      </x:c>
      <x:c r="S16" s="11" t="str">
        <x:v>2026-10-10</x:v>
      </x:c>
      <x:c r="T16" s="11" t="str">
        <x:f>IF(AND(SUM(IF(K16='假设'!E20,0,1),IF(L16='假设'!F20,0,1),IF(M16='假设'!G20,0,1),IF(N16='假设'!H20,0,1),IF(O16='假设'!I20,0,1),IF(P16='假设'!J20,0,1),IF(Q16='假设'!K20,0,1))=0,U16=V16),"已刷新","待刷新")</x:f>
        <x:v>已刷新</x:v>
      </x:c>
      <x:c r="U16" t="str">
        <x:v>6|1.7875|10|6|0|2.75|0.12|0.06|0.12|0.25|0.16|7|2029|1.1|0.85|0|-0.7720739219712526|0|0.2272416153319644|0.15000000000000002|1.2265571526351813|0.44999999999999996|2.2258726899383983|0.8999999999999999|3.2279260780287475|1.5|4.227241615331964|2.0999999999999996|5.2265571526351815|2.7|6.225872689938399|3|7.227926078028747|3|8.227241615331964|2.8499999999999996|9.22655715263518|2.7|10.225872689938399|2.46|11.227926078028748|2.0999999999999996|12.227241615331964|1.6500000000000001|13.22655715263518|1.0499999999999998|14.225872689938399|0|-0.7720739219712526|0|0.2272416153319644|0|1.2265571526351813|0.15|2.2258726899383983|0.3|3.2279260780287475|0.5|4.227241615331964|0.7|5.2265571526351815|0.9|6.225872689938399|1|7.227926078028747|1|8.227241615331964|0.95|9.22655715263518|0.9|10.225872689938399|0.82|11.227926078028748|0.7|12.227241615331964|0.55|13.22655715263518|0.35|14.225872689938399|0.1|0.35|0.15|0.12|0.25|0.08</x:v>
      </x:c>
      <x:c r="V16" t="str">
        <x:f>'假设'!N20&amp;"|"&amp;'药物假设'!D20&amp;"|"&amp;'药物假设'!E20&amp;"|"&amp;'药物假设'!F20&amp;"|"&amp;'药物假设'!G20&amp;"|"&amp;'药物假设'!H20&amp;"|"&amp;'药物假设'!I20&amp;"|"&amp;'药物假设'!J20&amp;"|"&amp;'药物假设'!K20&amp;"|"&amp;'药物假设'!L20&amp;"|"&amp;'药物假设'!M20&amp;"|"&amp;'药物假设'!N20&amp;"|"&amp;'药物假设'!O20&amp;"|"&amp;'药物假设'!P20&amp;"|"&amp;'药物假设'!Q20&amp;"|"&amp;'风险净现值'!Q103&amp;"|"&amp;'风险净现值'!K103&amp;"|"&amp;'风险净现值'!Q104&amp;"|"&amp;'风险净现值'!K104&amp;"|"&amp;'风险净现值'!Q105&amp;"|"&amp;'风险净现值'!K105&amp;"|"&amp;'风险净现值'!Q106&amp;"|"&amp;'风险净现值'!K106&amp;"|"&amp;'风险净现值'!Q107&amp;"|"&amp;'风险净现值'!K107&amp;"|"&amp;'风险净现值'!Q108&amp;"|"&amp;'风险净现值'!K108&amp;"|"&amp;'风险净现值'!Q109&amp;"|"&amp;'风险净现值'!K109&amp;"|"&amp;'风险净现值'!Q110&amp;"|"&amp;'风险净现值'!K110&amp;"|"&amp;'风险净现值'!Q111&amp;"|"&amp;'风险净现值'!K111&amp;"|"&amp;'风险净现值'!Q112&amp;"|"&amp;'风险净现值'!K112&amp;"|"&amp;'风险净现值'!Q113&amp;"|"&amp;'风险净现值'!K113&amp;"|"&amp;'风险净现值'!Q114&amp;"|"&amp;'风险净现值'!K114&amp;"|"&amp;'风险净现值'!Q115&amp;"|"&amp;'风险净现值'!K115&amp;"|"&amp;'风险净现值'!Q116&amp;"|"&amp;'风险净现值'!K116&amp;"|"&amp;'风险净现值'!Q117&amp;"|"&amp;'风险净现值'!K117&amp;"|"&amp;'风险净现值'!Q118&amp;"|"&amp;'风险净现值'!K118&amp;"|"&amp;'风险净现值'!Q119&amp;"|"&amp;'风险净现值'!K119&amp;"|"&amp;'风险净现值'!Q120&amp;"|"&amp;'风险净现值'!K120&amp;"|"&amp;'风险净现值'!Q121&amp;"|"&amp;'风险净现值'!K121&amp;"|"&amp;'风险净现值'!Q122&amp;"|"&amp;'风险净现值'!K122&amp;"|"&amp;'风险净现值'!Q123&amp;"|"&amp;'风险净现值'!K123&amp;"|"&amp;'风险净现值'!Q124&amp;"|"&amp;'风险净现值'!K124&amp;"|"&amp;'风险净现值'!Q125&amp;"|"&amp;'风险净现值'!K125&amp;"|"&amp;'风险净现值'!Q126&amp;"|"&amp;'风险净现值'!K126&amp;"|"&amp;'风险净现值'!Q127&amp;"|"&amp;'风险净现值'!K127&amp;"|"&amp;'风险净现值'!Q128&amp;"|"&amp;'风险净现值'!K128&amp;"|"&amp;'风险净现值'!Q129&amp;"|"&amp;'风险净现值'!K129&amp;"|"&amp;'风险净现值'!Q130&amp;"|"&amp;'风险净现值'!K130&amp;"|"&amp;'风险净现值'!Q131&amp;"|"&amp;'风险净现值'!K131&amp;"|"&amp;'风险净现值'!Q132&amp;"|"&amp;'风险净现值'!K132&amp;"|"&amp;'风险净现值'!Q133&amp;"|"&amp;'风险净现值'!K133&amp;"|"&amp;'风险净现值'!Q134&amp;"|"&amp;'风险净现值'!K134&amp;"|"&amp;'风险净现值'!AP16&amp;"|"&amp;'风险净现值'!AS16&amp;"|"&amp;'风险净现值'!AP17&amp;"|"&amp;'风险净现值'!AS17&amp;"|"&amp;'风险净现值'!AP18&amp;"|"&amp;'风险净现值'!AS18</x:f>
        <x:v>6|1.7875|10|6|0|2.75|0.12|0.06|0.12|0.25|0.16|7|2029|1.1|0.85|0|-0.7720739219712526|0|0.2272416153319644|0.15000000000000002|1.2265571526351813|0.44999999999999996|2.2258726899383983|0.8999999999999999|3.2279260780287475|1.5|4.227241615331964|2.0999999999999996|5.2265571526351815|2.7|6.225872689938399|3|7.227926078028747|3|8.227241615331964|2.8499999999999996|9.22655715263518|2.7|10.225872689938399|2.46|11.227926078028748|2.0999999999999996|12.227241615331964|1.6500000000000001|13.22655715263518|1.0499999999999998|14.225872689938399|0|-0.7720739219712526|0|0.2272416153319644|0|1.2265571526351813|0.15|2.2258726899383983|0.3|3.2279260780287475|0.5|4.227241615331964|0.7|5.2265571526351815|0.9|6.225872689938399|1|7.227926078028747|1|8.227241615331964|0.95|9.22655715263518|0.9|10.225872689938399|0.82|11.227926078028748|0.7|12.227241615331964|0.55|13.22655715263518|0.35|14.225872689938399|0.1|0.35|0.15|0.12|0.25|0.08</x:v>
      </x:c>
    </x:row>
    <x:row r="17" ht="23" customHeight="1">
      <x:c r="A17" s="11" t="str">
        <x:v>01530.HK</x:v>
      </x:c>
      <x:c r="B17" s="11" t="str">
        <x:v>三生制药</x:v>
      </x:c>
      <x:c r="C17" s="11" t="str">
        <x:v>三年</x:v>
      </x:c>
      <x:c r="D17" s="11" t="str">
        <x:v>基准</x:v>
      </x:c>
      <x:c r="E17" s="11" t="n">
        <x:v>15.07</x:v>
      </x:c>
      <x:c r="F17" s="11" t="n">
        <x:v>31.4689635188891</x:v>
      </x:c>
      <x:c r="G17" s="11" t="n">
        <x:v>0.85</x:v>
      </x:c>
      <x:c r="H17" s="25" t="n">
        <x:v>1.0881860331047846</x:v>
      </x:c>
      <x:c r="I17" s="25" t="n">
        <x:v>1.1445894836688186</x:v>
      </x:c>
      <x:c r="J17" s="25" t="n">
        <x:v>0.2895793119076555</x:v>
      </x:c>
      <x:c r="K17" s="11" t="n">
        <x:v>1.12</x:v>
      </x:c>
      <x:c r="L17" s="11" t="n">
        <x:v>18</x:v>
      </x:c>
      <x:c r="M17" s="11" t="n">
        <x:v>1.1</x:v>
      </x:c>
      <x:c r="N17" s="11" t="n">
        <x:v>0.85</x:v>
      </x:c>
      <x:c r="O17" s="11" t="n">
        <x:v>11.5</x:v>
      </x:c>
      <x:c r="P17" s="11" t="n">
        <x:v>0.25906086956521746</x:v>
      </x:c>
      <x:c r="Q17" s="11" t="n">
        <x:v>2.66</x:v>
      </x:c>
      <x:c r="R17" s="11" t="str">
        <x:v>3sbio-v1-core-plus-707-rnPV</x:v>
      </x:c>
      <x:c r="S17" s="11" t="str">
        <x:v>2026-10-10</x:v>
      </x:c>
      <x:c r="T17" s="11" t="str">
        <x:f>IF(AND(SUM(IF(K17='假设'!E21,0,1),IF(L17='假设'!F21,0,1),IF(M17='假设'!G21,0,1),IF(N17='假设'!H21,0,1),IF(O17='假设'!I21,0,1),IF(P17='假设'!J21,0,1),IF(Q17='假设'!K21,0,1))=0,U17=V17),"已刷新","待刷新")</x:f>
        <x:v>已刷新</x:v>
      </x:c>
      <x:c r="U17" t="str">
        <x:v>13.5|2.9792000000000005|18|13.5|0|2.66|0.35|0.2|0.15|0.21999999999999997|0.13|7|2029|1.1|0.9|0|-0.7720739219712526|0.30000000000000004|0.2272416153319644|0.8999999999999999|1.2265571526351813|1.7999999999999998|2.2258726899383983|3|3.2279260780287475|4.199999999999999|4.227241615331964|5.4|5.2265571526351815|6|6.225872689938399|6|7.227926078028747|5.699999999999999|8.227241615331964|5.4|9.22655715263518|4.92|10.225872689938399|4.199999999999999|11.227926078028748|3.3000000000000003|12.227241615331964|2.0999999999999996|13.22655715263518|1.2000000000000002|14.225872689938399|0|-0.7720739219712526|0|0.2272416153319644|0.44999999999999996|1.2265571526351813|0.8999999999999999|2.2258726899383983|1.5|3.2279260780287475|2.0999999999999996|4.227241615331964|2.7|5.2265571526351815|3|6.225872689938399|3|7.227926078028747|2.8499999999999996|8.227241615331964|2.7|9.22655715263518|2.46|10.225872689938399|2.0999999999999996|11.227926078028748|1.6500000000000001|12.227241615331964|1.0499999999999998|13.22655715263518|0.6000000000000001|14.225872689938399|0.2|0.6|0.5|0.35|0.8|0.25</x:v>
      </x:c>
      <x:c r="V17" t="str">
        <x:f>'假设'!N21&amp;"|"&amp;'药物假设'!D21&amp;"|"&amp;'药物假设'!E21&amp;"|"&amp;'药物假设'!F21&amp;"|"&amp;'药物假设'!G21&amp;"|"&amp;'药物假设'!H21&amp;"|"&amp;'药物假设'!I21&amp;"|"&amp;'药物假设'!J21&amp;"|"&amp;'药物假设'!K21&amp;"|"&amp;'药物假设'!L21&amp;"|"&amp;'药物假设'!M21&amp;"|"&amp;'药物假设'!N21&amp;"|"&amp;'药物假设'!O21&amp;"|"&amp;'药物假设'!P21&amp;"|"&amp;'药物假设'!Q21&amp;"|"&amp;'风险净现值'!R103&amp;"|"&amp;'风险净现值'!K103&amp;"|"&amp;'风险净现值'!R104&amp;"|"&amp;'风险净现值'!K104&amp;"|"&amp;'风险净现值'!R105&amp;"|"&amp;'风险净现值'!K105&amp;"|"&amp;'风险净现值'!R106&amp;"|"&amp;'风险净现值'!K106&amp;"|"&amp;'风险净现值'!R107&amp;"|"&amp;'风险净现值'!K107&amp;"|"&amp;'风险净现值'!R108&amp;"|"&amp;'风险净现值'!K108&amp;"|"&amp;'风险净现值'!R109&amp;"|"&amp;'风险净现值'!K109&amp;"|"&amp;'风险净现值'!R110&amp;"|"&amp;'风险净现值'!K110&amp;"|"&amp;'风险净现值'!R111&amp;"|"&amp;'风险净现值'!K111&amp;"|"&amp;'风险净现值'!R112&amp;"|"&amp;'风险净现值'!K112&amp;"|"&amp;'风险净现值'!R113&amp;"|"&amp;'风险净现值'!K113&amp;"|"&amp;'风险净现值'!R114&amp;"|"&amp;'风险净现值'!K114&amp;"|"&amp;'风险净现值'!R115&amp;"|"&amp;'风险净现值'!K115&amp;"|"&amp;'风险净现值'!R116&amp;"|"&amp;'风险净现值'!K116&amp;"|"&amp;'风险净现值'!R117&amp;"|"&amp;'风险净现值'!K117&amp;"|"&amp;'风险净现值'!R118&amp;"|"&amp;'风险净现值'!K118&amp;"|"&amp;'风险净现值'!R119&amp;"|"&amp;'风险净现值'!K119&amp;"|"&amp;'风险净现值'!R120&amp;"|"&amp;'风险净现值'!K120&amp;"|"&amp;'风险净现值'!R121&amp;"|"&amp;'风险净现值'!K121&amp;"|"&amp;'风险净现值'!R122&amp;"|"&amp;'风险净现值'!K122&amp;"|"&amp;'风险净现值'!R123&amp;"|"&amp;'风险净现值'!K123&amp;"|"&amp;'风险净现值'!R124&amp;"|"&amp;'风险净现值'!K124&amp;"|"&amp;'风险净现值'!R125&amp;"|"&amp;'风险净现值'!K125&amp;"|"&amp;'风险净现值'!R126&amp;"|"&amp;'风险净现值'!K126&amp;"|"&amp;'风险净现值'!R127&amp;"|"&amp;'风险净现值'!K127&amp;"|"&amp;'风险净现值'!R128&amp;"|"&amp;'风险净现值'!K128&amp;"|"&amp;'风险净现值'!R129&amp;"|"&amp;'风险净现值'!K129&amp;"|"&amp;'风险净现值'!R130&amp;"|"&amp;'风险净现值'!K130&amp;"|"&amp;'风险净现值'!R131&amp;"|"&amp;'风险净现值'!K131&amp;"|"&amp;'风险净现值'!R132&amp;"|"&amp;'风险净现值'!K132&amp;"|"&amp;'风险净现值'!R133&amp;"|"&amp;'风险净现值'!K133&amp;"|"&amp;'风险净现值'!R134&amp;"|"&amp;'风险净现值'!K134&amp;"|"&amp;'风险净现值'!AQ16&amp;"|"&amp;'风险净现值'!AT16&amp;"|"&amp;'风险净现值'!AQ17&amp;"|"&amp;'风险净现值'!AT17&amp;"|"&amp;'风险净现值'!AQ18&amp;"|"&amp;'风险净现值'!AT18</x:f>
        <x:v>13.5|2.9792000000000005|18|13.5|0|2.66|0.35|0.2|0.15|0.21999999999999997|0.13|7|2029|1.1|0.9|0|-0.7720739219712526|0.30000000000000004|0.2272416153319644|0.8999999999999999|1.2265571526351813|1.7999999999999998|2.2258726899383983|3|3.2279260780287475|4.199999999999999|4.227241615331964|5.4|5.2265571526351815|6|6.225872689938399|6|7.227926078028747|5.699999999999999|8.227241615331964|5.4|9.22655715263518|4.92|10.225872689938399|4.199999999999999|11.227926078028748|3.3000000000000003|12.227241615331964|2.0999999999999996|13.22655715263518|1.2000000000000002|14.225872689938399|0|-0.7720739219712526|0|0.2272416153319644|0.44999999999999996|1.2265571526351813|0.8999999999999999|2.2258726899383983|1.5|3.2279260780287475|2.0999999999999996|4.227241615331964|2.7|5.2265571526351815|3|6.225872689938399|3|7.227926078028747|2.8499999999999996|8.227241615331964|2.7|9.22655715263518|2.46|10.225872689938399|2.0999999999999996|11.227926078028748|1.6500000000000001|12.227241615331964|1.0499999999999998|13.22655715263518|0.6000000000000001|14.225872689938399|0.2|0.6|0.5|0.35|0.8|0.25</x:v>
      </x:c>
    </x:row>
    <x:row r="18" ht="23" customHeight="1">
      <x:c r="A18" s="11" t="str">
        <x:v>01530.HK</x:v>
      </x:c>
      <x:c r="B18" s="11" t="str">
        <x:v>三生制药</x:v>
      </x:c>
      <x:c r="C18" s="11" t="str">
        <x:v>三年</x:v>
      </x:c>
      <x:c r="D18" s="11" t="str">
        <x:v>乐观</x:v>
      </x:c>
      <x:c r="E18" s="11" t="n">
        <x:v>15.07</x:v>
      </x:c>
      <x:c r="F18" s="11" t="n">
        <x:v>72.10093318203508</x:v>
      </x:c>
      <x:c r="G18" s="11" t="n">
        <x:v>1.3</x:v>
      </x:c>
      <x:c r="H18" s="25" t="n">
        <x:v>3.7844016710043187</x:v>
      </x:c>
      <x:c r="I18" s="25" t="n">
        <x:v>3.8706657718669595</x:v>
      </x:c>
      <x:c r="J18" s="25" t="n">
        <x:v>0.6951030670749256</x:v>
      </x:c>
      <x:c r="K18" s="11" t="n">
        <x:v>1.65</x:v>
      </x:c>
      <x:c r="L18" s="11" t="n">
        <x:v>24</x:v>
      </x:c>
      <x:c r="M18" s="11" t="n">
        <x:v>1.1</x:v>
      </x:c>
      <x:c r="N18" s="11" t="n">
        <x:v>1.3</x:v>
      </x:c>
      <x:c r="O18" s="11" t="n">
        <x:v>15</x:v>
      </x:c>
      <x:c r="P18" s="11" t="n">
        <x:v>0.28819999999999996</x:v>
      </x:c>
      <x:c r="Q18" s="11" t="n">
        <x:v>2.62</x:v>
      </x:c>
      <x:c r="R18" s="11" t="str">
        <x:v>3sbio-v1-core-plus-707-rnPV</x:v>
      </x:c>
      <x:c r="S18" s="11" t="str">
        <x:v>2026-10-10</x:v>
      </x:c>
      <x:c r="T18" s="11" t="str">
        <x:f>IF(AND(SUM(IF(K18='假设'!E22,0,1),IF(L18='假设'!F22,0,1),IF(M18='假设'!G22,0,1),IF(N18='假设'!H22,0,1),IF(O18='假设'!I22,0,1),IF(P18='假设'!J22,0,1),IF(Q18='假设'!K22,0,1))=0,U18=V18),"已刷新","待刷新")</x:f>
        <x:v>已刷新</x:v>
      </x:c>
      <x:c r="U18" t="str">
        <x:v>17|4.3229999999999995|24|17|0|2.62|0.65|0.5|0.18|0.19999999999999996|0.11|7|2029|1.1|0.95|0.5|-0.7720739219712526|1.5|0.2272416153319644|3|1.2265571526351813|5|2.2258726899383983|7|3.2279260780287475|9|4.227241615331964|10|5.2265571526351815|10|6.225872689938399|9.5|7.227926078028747|9|8.227241615331964|8.2|9.22655715263518|7|10.225872689938399|5.5|11.227926078028748|3.5|12.227241615331964|2|13.22655715263518|1|14.225872689938399|0|-0.7720739219712526|1.05|0.2272416153319644|2.1|1.2265571526351813|3.5|2.2258726899383983|4.8999999999999995|3.2279260780287475|6.3|4.227241615331964|7|5.2265571526351815|7|6.225872689938399|6.6499999999999995|7.227926078028747|6.3|8.227241615331964|5.739999999999999|9.22655715263518|4.8999999999999995|10.225872689938399|3.8500000000000005|11.227926078028748|2.4499999999999997|12.227241615331964|1.4000000000000001|13.22655715263518|0.7000000000000001|14.225872689938399|0.35|0.85|0.9|0.65|1.5|0.55</x:v>
      </x:c>
      <x:c r="V18" t="str">
        <x:f>'假设'!N22&amp;"|"&amp;'药物假设'!D22&amp;"|"&amp;'药物假设'!E22&amp;"|"&amp;'药物假设'!F22&amp;"|"&amp;'药物假设'!G22&amp;"|"&amp;'药物假设'!H22&amp;"|"&amp;'药物假设'!I22&amp;"|"&amp;'药物假设'!J22&amp;"|"&amp;'药物假设'!K22&amp;"|"&amp;'药物假设'!L22&amp;"|"&amp;'药物假设'!M22&amp;"|"&amp;'药物假设'!N22&amp;"|"&amp;'药物假设'!O22&amp;"|"&amp;'药物假设'!P22&amp;"|"&amp;'药物假设'!Q22&amp;"|"&amp;'风险净现值'!S103&amp;"|"&amp;'风险净现值'!K103&amp;"|"&amp;'风险净现值'!S104&amp;"|"&amp;'风险净现值'!K104&amp;"|"&amp;'风险净现值'!S105&amp;"|"&amp;'风险净现值'!K105&amp;"|"&amp;'风险净现值'!S106&amp;"|"&amp;'风险净现值'!K106&amp;"|"&amp;'风险净现值'!S107&amp;"|"&amp;'风险净现值'!K107&amp;"|"&amp;'风险净现值'!S108&amp;"|"&amp;'风险净现值'!K108&amp;"|"&amp;'风险净现值'!S109&amp;"|"&amp;'风险净现值'!K109&amp;"|"&amp;'风险净现值'!S110&amp;"|"&amp;'风险净现值'!K110&amp;"|"&amp;'风险净现值'!S111&amp;"|"&amp;'风险净现值'!K111&amp;"|"&amp;'风险净现值'!S112&amp;"|"&amp;'风险净现值'!K112&amp;"|"&amp;'风险净现值'!S113&amp;"|"&amp;'风险净现值'!K113&amp;"|"&amp;'风险净现值'!S114&amp;"|"&amp;'风险净现值'!K114&amp;"|"&amp;'风险净现值'!S115&amp;"|"&amp;'风险净现值'!K115&amp;"|"&amp;'风险净现值'!S116&amp;"|"&amp;'风险净现值'!K116&amp;"|"&amp;'风险净现值'!S117&amp;"|"&amp;'风险净现值'!K117&amp;"|"&amp;'风险净现值'!S118&amp;"|"&amp;'风险净现值'!K118&amp;"|"&amp;'风险净现值'!S119&amp;"|"&amp;'风险净现值'!K119&amp;"|"&amp;'风险净现值'!S120&amp;"|"&amp;'风险净现值'!K120&amp;"|"&amp;'风险净现值'!S121&amp;"|"&amp;'风险净现值'!K121&amp;"|"&amp;'风险净现值'!S122&amp;"|"&amp;'风险净现值'!K122&amp;"|"&amp;'风险净现值'!S123&amp;"|"&amp;'风险净现值'!K123&amp;"|"&amp;'风险净现值'!S124&amp;"|"&amp;'风险净现值'!K124&amp;"|"&amp;'风险净现值'!S125&amp;"|"&amp;'风险净现值'!K125&amp;"|"&amp;'风险净现值'!S126&amp;"|"&amp;'风险净现值'!K126&amp;"|"&amp;'风险净现值'!S127&amp;"|"&amp;'风险净现值'!K127&amp;"|"&amp;'风险净现值'!S128&amp;"|"&amp;'风险净现值'!K128&amp;"|"&amp;'风险净现值'!S129&amp;"|"&amp;'风险净现值'!K129&amp;"|"&amp;'风险净现值'!S130&amp;"|"&amp;'风险净现值'!K130&amp;"|"&amp;'风险净现值'!S131&amp;"|"&amp;'风险净现值'!K131&amp;"|"&amp;'风险净现值'!S132&amp;"|"&amp;'风险净现值'!K132&amp;"|"&amp;'风险净现值'!S133&amp;"|"&amp;'风险净现值'!K133&amp;"|"&amp;'风险净现值'!S134&amp;"|"&amp;'风险净现值'!K134&amp;"|"&amp;'风险净现值'!AR16&amp;"|"&amp;'风险净现值'!AU16&amp;"|"&amp;'风险净现值'!AR17&amp;"|"&amp;'风险净现值'!AU17&amp;"|"&amp;'风险净现值'!AR18&amp;"|"&amp;'风险净现值'!AU18</x:f>
        <x:v>17|4.3229999999999995|24|17|0|2.62|0.65|0.5|0.18|0.19999999999999996|0.11|7|2029|1.1|0.95|0.5|-0.7720739219712526|1.5|0.2272416153319644|3|1.2265571526351813|5|2.2258726899383983|7|3.2279260780287475|9|4.227241615331964|10|5.2265571526351815|10|6.225872689938399|9.5|7.227926078028747|9|8.227241615331964|8.2|9.22655715263518|7|10.225872689938399|5.5|11.227926078028748|3.5|12.227241615331964|2|13.22655715263518|1|14.225872689938399|0|-0.7720739219712526|1.05|0.2272416153319644|2.1|1.2265571526351813|3.5|2.2258726899383983|4.8999999999999995|3.2279260780287475|6.3|4.227241615331964|7|5.2265571526351815|7|6.225872689938399|6.6499999999999995|7.227926078028747|6.3|8.227241615331964|5.739999999999999|9.22655715263518|4.8999999999999995|10.225872689938399|3.8500000000000005|11.227926078028748|2.4499999999999997|12.227241615331964|1.4000000000000001|13.22655715263518|0.7000000000000001|14.225872689938399|0.35|0.85|0.9|0.65|1.5|0.55</x:v>
      </x:c>
    </x:row>
    <x:row r="19" ht="23" customHeight="1">
      <x:c r="A19" s="11" t="str">
        <x:v>01530.HK</x:v>
      </x:c>
      <x:c r="B19" s="11" t="str">
        <x:v>三生制药</x:v>
      </x:c>
      <x:c r="C19" s="11" t="str">
        <x:v>五年</x:v>
      </x:c>
      <x:c r="D19" s="11" t="str">
        <x:v>悲观</x:v>
      </x:c>
      <x:c r="E19" s="11" t="n">
        <x:v>15.07</x:v>
      </x:c>
      <x:c r="F19" s="11" t="n">
        <x:v>9.4723711406006</x:v>
      </x:c>
      <x:c r="G19" s="11" t="n">
        <x:v>0.85</x:v>
      </x:c>
      <x:c r="H19" s="25" t="n">
        <x:v>-0.37144186193758455</x:v>
      </x:c>
      <x:c r="I19" s="25" t="n">
        <x:v>-0.31503841137355015</x:v>
      </x:c>
      <x:c r="J19" s="25" t="n">
        <x:v>-0.07288577733214263</x:v>
      </x:c>
      <x:c r="K19" s="11" t="n">
        <x:v>0.75</x:v>
      </x:c>
      <x:c r="L19" s="11" t="n">
        <x:v>9</x:v>
      </x:c>
      <x:c r="M19" s="11" t="n">
        <x:v>1.1</x:v>
      </x:c>
      <x:c r="N19" s="11" t="n">
        <x:v>0.85</x:v>
      </x:c>
      <x:c r="O19" s="11" t="n">
        <x:v>9</x:v>
      </x:c>
      <x:c r="P19" s="11" t="n">
        <x:v>0.24166666666666664</x:v>
      </x:c>
      <x:c r="Q19" s="11" t="n">
        <x:v>2.9</x:v>
      </x:c>
      <x:c r="R19" s="11" t="str">
        <x:v>3sbio-v1-core-plus-707-rnPV</x:v>
      </x:c>
      <x:c r="S19" s="11" t="str">
        <x:v>2026-10-10</x:v>
      </x:c>
      <x:c r="T19" s="11" t="str">
        <x:f>IF(AND(SUM(IF(K19='假设'!E24,0,1),IF(L19='假设'!F24,0,1),IF(M19='假设'!G24,0,1),IF(N19='假设'!H24,0,1),IF(O19='假设'!I24,0,1),IF(P19='假设'!J24,0,1),IF(Q19='假设'!K24,0,1))=0,U19=V19),"已刷新","待刷新")</x:f>
        <x:v>已刷新</x:v>
      </x:c>
      <x:c r="U19" t="str">
        <x:v>4.5|2.175|9|4.5|0|2.9|0.12|0.06|0.12|0.25|0.16|7|2031|1.1|0.85|0|-2.7707049965776864|0|-1.7713894592744694|0.15000000000000002|-0.7720739219712526|0.44999999999999996|0.2272416153319644|0.8999999999999999|1.2292950034223136|1.5|2.2286105407255303|2.0999999999999996|3.2279260780287475|2.7|4.227241615331964|3|5.229295003422314|3|6.228610540725531|2.8499999999999996|7.227926078028747|2.7|8.227241615331964|2.46|9.229295003422314|2.0999999999999996|10.22861054072553|1.6500000000000001|11.227926078028748|1.0499999999999998|12.227241615331964|0|-2.7707049965776864|0|-1.7713894592744694|0|-0.7720739219712526|0.15|0.2272416153319644|0.3|1.2292950034223136|0.5|2.2286105407255303|0.7|3.2279260780287475|0.9|4.227241615331964|1|5.229295003422314|1|6.228610540725531|0.95|7.227926078028747|0.9|8.227241615331964|0.82|9.229295003422314|0.7|10.22861054072553|0.55|11.227926078028748|0.35|12.227241615331964|0.1|0.35|0.15|0.12|0.25|0.08</x:v>
      </x:c>
      <x:c r="V19" t="str">
        <x:f>'假设'!N24&amp;"|"&amp;'药物假设'!D24&amp;"|"&amp;'药物假设'!E24&amp;"|"&amp;'药物假设'!F24&amp;"|"&amp;'药物假设'!G24&amp;"|"&amp;'药物假设'!H24&amp;"|"&amp;'药物假设'!I24&amp;"|"&amp;'药物假设'!J24&amp;"|"&amp;'药物假设'!K24&amp;"|"&amp;'药物假设'!L24&amp;"|"&amp;'药物假设'!M24&amp;"|"&amp;'药物假设'!N24&amp;"|"&amp;'药物假设'!O24&amp;"|"&amp;'药物假设'!P24&amp;"|"&amp;'药物假设'!Q24&amp;"|"&amp;'风险净现值'!Q135&amp;"|"&amp;'风险净现值'!K135&amp;"|"&amp;'风险净现值'!Q136&amp;"|"&amp;'风险净现值'!K136&amp;"|"&amp;'风险净现值'!Q137&amp;"|"&amp;'风险净现值'!K137&amp;"|"&amp;'风险净现值'!Q138&amp;"|"&amp;'风险净现值'!K138&amp;"|"&amp;'风险净现值'!Q139&amp;"|"&amp;'风险净现值'!K139&amp;"|"&amp;'风险净现值'!Q140&amp;"|"&amp;'风险净现值'!K140&amp;"|"&amp;'风险净现值'!Q141&amp;"|"&amp;'风险净现值'!K141&amp;"|"&amp;'风险净现值'!Q142&amp;"|"&amp;'风险净现值'!K142&amp;"|"&amp;'风险净现值'!Q143&amp;"|"&amp;'风险净现值'!K143&amp;"|"&amp;'风险净现值'!Q144&amp;"|"&amp;'风险净现值'!K144&amp;"|"&amp;'风险净现值'!Q145&amp;"|"&amp;'风险净现值'!K145&amp;"|"&amp;'风险净现值'!Q146&amp;"|"&amp;'风险净现值'!K146&amp;"|"&amp;'风险净现值'!Q147&amp;"|"&amp;'风险净现值'!K147&amp;"|"&amp;'风险净现值'!Q148&amp;"|"&amp;'风险净现值'!K148&amp;"|"&amp;'风险净现值'!Q149&amp;"|"&amp;'风险净现值'!K149&amp;"|"&amp;'风险净现值'!Q150&amp;"|"&amp;'风险净现值'!K150&amp;"|"&amp;'风险净现值'!Q151&amp;"|"&amp;'风险净现值'!K151&amp;"|"&amp;'风险净现值'!Q152&amp;"|"&amp;'风险净现值'!K152&amp;"|"&amp;'风险净现值'!Q153&amp;"|"&amp;'风险净现值'!K153&amp;"|"&amp;'风险净现值'!Q154&amp;"|"&amp;'风险净现值'!K154&amp;"|"&amp;'风险净现值'!Q155&amp;"|"&amp;'风险净现值'!K155&amp;"|"&amp;'风险净现值'!Q156&amp;"|"&amp;'风险净现值'!K156&amp;"|"&amp;'风险净现值'!Q157&amp;"|"&amp;'风险净现值'!K157&amp;"|"&amp;'风险净现值'!Q158&amp;"|"&amp;'风险净现值'!K158&amp;"|"&amp;'风险净现值'!Q159&amp;"|"&amp;'风险净现值'!K159&amp;"|"&amp;'风险净现值'!Q160&amp;"|"&amp;'风险净现值'!K160&amp;"|"&amp;'风险净现值'!Q161&amp;"|"&amp;'风险净现值'!K161&amp;"|"&amp;'风险净现值'!Q162&amp;"|"&amp;'风险净现值'!K162&amp;"|"&amp;'风险净现值'!Q163&amp;"|"&amp;'风险净现值'!K163&amp;"|"&amp;'风险净现值'!Q164&amp;"|"&amp;'风险净现值'!K164&amp;"|"&amp;'风险净现值'!Q165&amp;"|"&amp;'风险净现值'!K165&amp;"|"&amp;'风险净现值'!Q166&amp;"|"&amp;'风险净现值'!K166&amp;"|"&amp;'风险净现值'!AP19&amp;"|"&amp;'风险净现值'!AS19&amp;"|"&amp;'风险净现值'!AP20&amp;"|"&amp;'风险净现值'!AS20&amp;"|"&amp;'风险净现值'!AP21&amp;"|"&amp;'风险净现值'!AS21</x:f>
        <x:v>4.5|2.175|9|4.5|0|2.9|0.12|0.06|0.12|0.25|0.16|7|2031|1.1|0.85|0|-2.7707049965776864|0|-1.7713894592744694|0.15000000000000002|-0.7720739219712526|0.44999999999999996|0.2272416153319644|0.8999999999999999|1.2292950034223136|1.5|2.2286105407255303|2.0999999999999996|3.2279260780287475|2.7|4.227241615331964|3|5.229295003422314|3|6.228610540725531|2.8499999999999996|7.227926078028747|2.7|8.227241615331964|2.46|9.229295003422314|2.0999999999999996|10.22861054072553|1.6500000000000001|11.227926078028748|1.0499999999999998|12.227241615331964|0|-2.7707049965776864|0|-1.7713894592744694|0|-0.7720739219712526|0.15|0.2272416153319644|0.3|1.2292950034223136|0.5|2.2286105407255303|0.7|3.2279260780287475|0.9|4.227241615331964|1|5.229295003422314|1|6.228610540725531|0.95|7.227926078028747|0.9|8.227241615331964|0.82|9.229295003422314|0.7|10.22861054072553|0.55|11.227926078028748|0.35|12.227241615331964|0.1|0.35|0.15|0.12|0.25|0.08</x:v>
      </x:c>
    </x:row>
    <x:row r="20" ht="23" customHeight="1">
      <x:c r="A20" s="11" t="str">
        <x:v>01530.HK</x:v>
      </x:c>
      <x:c r="B20" s="11" t="str">
        <x:v>三生制药</x:v>
      </x:c>
      <x:c r="C20" s="11" t="str">
        <x:v>五年</x:v>
      </x:c>
      <x:c r="D20" s="11" t="str">
        <x:v>基准</x:v>
      </x:c>
      <x:c r="E20" s="11" t="n">
        <x:v>15.07</x:v>
      </x:c>
      <x:c r="F20" s="11" t="n">
        <x:v>37.96625353202493</x:v>
      </x:c>
      <x:c r="G20" s="11" t="n">
        <x:v>1.65</x:v>
      </x:c>
      <x:c r="H20" s="25" t="n">
        <x:v>1.5193267108178454</x:v>
      </x:c>
      <x:c r="I20" s="25" t="n">
        <x:v>1.6288157619127355</x:v>
      </x:c>
      <x:c r="J20" s="25" t="n">
        <x:v>0.21325483302143322</x:v>
      </x:c>
      <x:c r="K20" s="11" t="n">
        <x:v>1.5</x:v>
      </x:c>
      <x:c r="L20" s="11" t="n">
        <x:v>17</x:v>
      </x:c>
      <x:c r="M20" s="11" t="n">
        <x:v>1.1</x:v>
      </x:c>
      <x:c r="N20" s="11" t="n">
        <x:v>1.65</x:v>
      </x:c>
      <x:c r="O20" s="11" t="n">
        <x:v>15</x:v>
      </x:c>
      <x:c r="P20" s="11" t="n">
        <x:v>0.27799999999999997</x:v>
      </x:c>
      <x:c r="Q20" s="11" t="n">
        <x:v>2.78</x:v>
      </x:c>
      <x:c r="R20" s="11" t="str">
        <x:v>3sbio-v1-core-plus-707-rnPV</x:v>
      </x:c>
      <x:c r="S20" s="11" t="str">
        <x:v>2026-10-10</x:v>
      </x:c>
      <x:c r="T20" s="11" t="str">
        <x:f>IF(AND(SUM(IF(K20='假设'!E25,0,1),IF(L20='假设'!F25,0,1),IF(M20='假设'!G25,0,1),IF(N20='假设'!H25,0,1),IF(O20='假设'!I25,0,1),IF(P20='假设'!J25,0,1),IF(Q20='假设'!K25,0,1))=0,U20=V20),"已刷新","待刷新")</x:f>
        <x:v>已刷新</x:v>
      </x:c>
      <x:c r="U20" t="str">
        <x:v>15|4.17|17|15|0|2.78|0.35|0.2|0.15|0.21999999999999997|0.13|7|2031|1.1|0.9|0|-2.7707049965776864|0.30000000000000004|-1.7713894592744694|0.8999999999999999|-0.7720739219712526|1.7999999999999998|0.2272416153319644|3|1.2292950034223136|4.199999999999999|2.2286105407255303|5.4|3.2279260780287475|6|4.227241615331964|6|5.229295003422314|5.699999999999999|6.228610540725531|5.4|7.227926078028747|4.92|8.227241615331964|4.199999999999999|9.229295003422314|3.3000000000000003|10.22861054072553|2.0999999999999996|11.227926078028748|1.2000000000000002|12.227241615331964|0|-2.7707049965776864|0|-1.7713894592744694|0.44999999999999996|-0.7720739219712526|0.8999999999999999|0.2272416153319644|1.5|1.2292950034223136|2.0999999999999996|2.2286105407255303|2.7|3.2279260780287475|3|4.227241615331964|3|5.229295003422314|2.8499999999999996|6.228610540725531|2.7|7.227926078028747|2.46|8.227241615331964|2.0999999999999996|9.229295003422314|1.6500000000000001|10.22861054072553|1.0499999999999998|11.227926078028748|0.6000000000000001|12.227241615331964|0.2|0.6|0.5|0.35|0.8|0.25</x:v>
      </x:c>
      <x:c r="V20" t="str">
        <x:f>'假设'!N25&amp;"|"&amp;'药物假设'!D25&amp;"|"&amp;'药物假设'!E25&amp;"|"&amp;'药物假设'!F25&amp;"|"&amp;'药物假设'!G25&amp;"|"&amp;'药物假设'!H25&amp;"|"&amp;'药物假设'!I25&amp;"|"&amp;'药物假设'!J25&amp;"|"&amp;'药物假设'!K25&amp;"|"&amp;'药物假设'!L25&amp;"|"&amp;'药物假设'!M25&amp;"|"&amp;'药物假设'!N25&amp;"|"&amp;'药物假设'!O25&amp;"|"&amp;'药物假设'!P25&amp;"|"&amp;'药物假设'!Q25&amp;"|"&amp;'风险净现值'!R135&amp;"|"&amp;'风险净现值'!K135&amp;"|"&amp;'风险净现值'!R136&amp;"|"&amp;'风险净现值'!K136&amp;"|"&amp;'风险净现值'!R137&amp;"|"&amp;'风险净现值'!K137&amp;"|"&amp;'风险净现值'!R138&amp;"|"&amp;'风险净现值'!K138&amp;"|"&amp;'风险净现值'!R139&amp;"|"&amp;'风险净现值'!K139&amp;"|"&amp;'风险净现值'!R140&amp;"|"&amp;'风险净现值'!K140&amp;"|"&amp;'风险净现值'!R141&amp;"|"&amp;'风险净现值'!K141&amp;"|"&amp;'风险净现值'!R142&amp;"|"&amp;'风险净现值'!K142&amp;"|"&amp;'风险净现值'!R143&amp;"|"&amp;'风险净现值'!K143&amp;"|"&amp;'风险净现值'!R144&amp;"|"&amp;'风险净现值'!K144&amp;"|"&amp;'风险净现值'!R145&amp;"|"&amp;'风险净现值'!K145&amp;"|"&amp;'风险净现值'!R146&amp;"|"&amp;'风险净现值'!K146&amp;"|"&amp;'风险净现值'!R147&amp;"|"&amp;'风险净现值'!K147&amp;"|"&amp;'风险净现值'!R148&amp;"|"&amp;'风险净现值'!K148&amp;"|"&amp;'风险净现值'!R149&amp;"|"&amp;'风险净现值'!K149&amp;"|"&amp;'风险净现值'!R150&amp;"|"&amp;'风险净现值'!K150&amp;"|"&amp;'风险净现值'!R151&amp;"|"&amp;'风险净现值'!K151&amp;"|"&amp;'风险净现值'!R152&amp;"|"&amp;'风险净现值'!K152&amp;"|"&amp;'风险净现值'!R153&amp;"|"&amp;'风险净现值'!K153&amp;"|"&amp;'风险净现值'!R154&amp;"|"&amp;'风险净现值'!K154&amp;"|"&amp;'风险净现值'!R155&amp;"|"&amp;'风险净现值'!K155&amp;"|"&amp;'风险净现值'!R156&amp;"|"&amp;'风险净现值'!K156&amp;"|"&amp;'风险净现值'!R157&amp;"|"&amp;'风险净现值'!K157&amp;"|"&amp;'风险净现值'!R158&amp;"|"&amp;'风险净现值'!K158&amp;"|"&amp;'风险净现值'!R159&amp;"|"&amp;'风险净现值'!K159&amp;"|"&amp;'风险净现值'!R160&amp;"|"&amp;'风险净现值'!K160&amp;"|"&amp;'风险净现值'!R161&amp;"|"&amp;'风险净现值'!K161&amp;"|"&amp;'风险净现值'!R162&amp;"|"&amp;'风险净现值'!K162&amp;"|"&amp;'风险净现值'!R163&amp;"|"&amp;'风险净现值'!K163&amp;"|"&amp;'风险净现值'!R164&amp;"|"&amp;'风险净现值'!K164&amp;"|"&amp;'风险净现值'!R165&amp;"|"&amp;'风险净现值'!K165&amp;"|"&amp;'风险净现值'!R166&amp;"|"&amp;'风险净现值'!K166&amp;"|"&amp;'风险净现值'!AQ19&amp;"|"&amp;'风险净现值'!AT19&amp;"|"&amp;'风险净现值'!AQ20&amp;"|"&amp;'风险净现值'!AT20&amp;"|"&amp;'风险净现值'!AQ21&amp;"|"&amp;'风险净现值'!AT21</x:f>
        <x:v>15|4.17|17|15|0|2.78|0.35|0.2|0.15|0.21999999999999997|0.13|7|2031|1.1|0.9|0|-2.7707049965776864|0.30000000000000004|-1.7713894592744694|0.8999999999999999|-0.7720739219712526|1.7999999999999998|0.2272416153319644|3|1.2292950034223136|4.199999999999999|2.2286105407255303|5.4|3.2279260780287475|6|4.227241615331964|6|5.229295003422314|5.699999999999999|6.228610540725531|5.4|7.227926078028747|4.92|8.227241615331964|4.199999999999999|9.229295003422314|3.3000000000000003|10.22861054072553|2.0999999999999996|11.227926078028748|1.2000000000000002|12.227241615331964|0|-2.7707049965776864|0|-1.7713894592744694|0.44999999999999996|-0.7720739219712526|0.8999999999999999|0.2272416153319644|1.5|1.2292950034223136|2.0999999999999996|2.2286105407255303|2.7|3.2279260780287475|3|4.227241615331964|3|5.229295003422314|2.8499999999999996|6.228610540725531|2.7|7.227926078028747|2.46|8.227241615331964|2.0999999999999996|9.229295003422314|1.6500000000000001|10.22861054072553|1.0499999999999998|11.227926078028748|0.6000000000000001|12.227241615331964|0.2|0.6|0.5|0.35|0.8|0.25</x:v>
      </x:c>
    </x:row>
    <x:row r="21" ht="23" customHeight="1">
      <x:c r="A21" s="11" t="str">
        <x:v>01530.HK</x:v>
      </x:c>
      <x:c r="B21" s="11" t="str">
        <x:v>三生制药</x:v>
      </x:c>
      <x:c r="C21" s="11" t="str">
        <x:v>五年</x:v>
      </x:c>
      <x:c r="D21" s="11" t="str">
        <x:v>乐观</x:v>
      </x:c>
      <x:c r="E21" s="11" t="n">
        <x:v>15.07</x:v>
      </x:c>
      <x:c r="F21" s="11" t="n">
        <x:v>90.42783802664282</x:v>
      </x:c>
      <x:c r="G21" s="11" t="n">
        <x:v>2.7</x:v>
      </x:c>
      <x:c r="H21" s="25" t="n">
        <x:v>5.000520107939138</x:v>
      </x:c>
      <x:c r="I21" s="25" t="n">
        <x:v>5.179684009730778</x:v>
      </x:c>
      <x:c r="J21" s="25" t="n">
        <x:v>0.43943896180145425</x:v>
      </x:c>
      <x:c r="K21" s="11" t="n">
        <x:v>2.35</x:v>
      </x:c>
      <x:c r="L21" s="11" t="n">
        <x:v>23</x:v>
      </x:c>
      <x:c r="M21" s="11" t="n">
        <x:v>1.1</x:v>
      </x:c>
      <x:c r="N21" s="11" t="n">
        <x:v>2.7</x:v>
      </x:c>
      <x:c r="O21" s="11" t="n">
        <x:v>22</x:v>
      </x:c>
      <x:c r="P21" s="11" t="n">
        <x:v>0.29054545454545455</x:v>
      </x:c>
      <x:c r="Q21" s="11" t="n">
        <x:v>2.72</x:v>
      </x:c>
      <x:c r="R21" s="11" t="str">
        <x:v>3sbio-v1-core-plus-707-rnPV</x:v>
      </x:c>
      <x:c r="S21" s="11" t="str">
        <x:v>2026-10-10</x:v>
      </x:c>
      <x:c r="T21" s="11" t="str">
        <x:f>IF(AND(SUM(IF(K21='假设'!E26,0,1),IF(L21='假设'!F26,0,1),IF(M21='假设'!G26,0,1),IF(N21='假设'!H26,0,1),IF(O21='假设'!I26,0,1),IF(P21='假设'!J26,0,1),IF(Q21='假设'!K26,0,1))=0,U21=V21),"已刷新","待刷新")</x:f>
        <x:v>已刷新</x:v>
      </x:c>
      <x:c r="U21" t="str">
        <x:v>22|6.392|23|22|0|2.72|0.65|0.5|0.18|0.19999999999999996|0.11|7|2031|1.1|0.95|0.5|-2.7707049965776864|1.5|-1.7713894592744694|3|-0.7720739219712526|5|0.2272416153319644|7|1.2292950034223136|9|2.2286105407255303|10|3.2279260780287475|10|4.227241615331964|9.5|5.229295003422314|9|6.228610540725531|8.2|7.227926078028747|7|8.227241615331964|5.5|9.229295003422314|3.5|10.22861054072553|2|11.227926078028748|1|12.227241615331964|0|-2.7707049965776864|1.05|-1.7713894592744694|2.1|-0.7720739219712526|3.5|0.2272416153319644|4.8999999999999995|1.2292950034223136|6.3|2.2286105407255303|7|3.2279260780287475|7|4.227241615331964|6.6499999999999995|5.229295003422314|6.3|6.228610540725531|5.739999999999999|7.227926078028747|4.8999999999999995|8.227241615331964|3.8500000000000005|9.229295003422314|2.4499999999999997|10.22861054072553|1.4000000000000001|11.227926078028748|0.7000000000000001|12.227241615331964|0.35|0.85|0.9|0.65|1.5|0.55</x:v>
      </x:c>
      <x:c r="V21" t="str">
        <x:f>'假设'!N26&amp;"|"&amp;'药物假设'!D26&amp;"|"&amp;'药物假设'!E26&amp;"|"&amp;'药物假设'!F26&amp;"|"&amp;'药物假设'!G26&amp;"|"&amp;'药物假设'!H26&amp;"|"&amp;'药物假设'!I26&amp;"|"&amp;'药物假设'!J26&amp;"|"&amp;'药物假设'!K26&amp;"|"&amp;'药物假设'!L26&amp;"|"&amp;'药物假设'!M26&amp;"|"&amp;'药物假设'!N26&amp;"|"&amp;'药物假设'!O26&amp;"|"&amp;'药物假设'!P26&amp;"|"&amp;'药物假设'!Q26&amp;"|"&amp;'风险净现值'!S135&amp;"|"&amp;'风险净现值'!K135&amp;"|"&amp;'风险净现值'!S136&amp;"|"&amp;'风险净现值'!K136&amp;"|"&amp;'风险净现值'!S137&amp;"|"&amp;'风险净现值'!K137&amp;"|"&amp;'风险净现值'!S138&amp;"|"&amp;'风险净现值'!K138&amp;"|"&amp;'风险净现值'!S139&amp;"|"&amp;'风险净现值'!K139&amp;"|"&amp;'风险净现值'!S140&amp;"|"&amp;'风险净现值'!K140&amp;"|"&amp;'风险净现值'!S141&amp;"|"&amp;'风险净现值'!K141&amp;"|"&amp;'风险净现值'!S142&amp;"|"&amp;'风险净现值'!K142&amp;"|"&amp;'风险净现值'!S143&amp;"|"&amp;'风险净现值'!K143&amp;"|"&amp;'风险净现值'!S144&amp;"|"&amp;'风险净现值'!K144&amp;"|"&amp;'风险净现值'!S145&amp;"|"&amp;'风险净现值'!K145&amp;"|"&amp;'风险净现值'!S146&amp;"|"&amp;'风险净现值'!K146&amp;"|"&amp;'风险净现值'!S147&amp;"|"&amp;'风险净现值'!K147&amp;"|"&amp;'风险净现值'!S148&amp;"|"&amp;'风险净现值'!K148&amp;"|"&amp;'风险净现值'!S149&amp;"|"&amp;'风险净现值'!K149&amp;"|"&amp;'风险净现值'!S150&amp;"|"&amp;'风险净现值'!K150&amp;"|"&amp;'风险净现值'!S151&amp;"|"&amp;'风险净现值'!K151&amp;"|"&amp;'风险净现值'!S152&amp;"|"&amp;'风险净现值'!K152&amp;"|"&amp;'风险净现值'!S153&amp;"|"&amp;'风险净现值'!K153&amp;"|"&amp;'风险净现值'!S154&amp;"|"&amp;'风险净现值'!K154&amp;"|"&amp;'风险净现值'!S155&amp;"|"&amp;'风险净现值'!K155&amp;"|"&amp;'风险净现值'!S156&amp;"|"&amp;'风险净现值'!K156&amp;"|"&amp;'风险净现值'!S157&amp;"|"&amp;'风险净现值'!K157&amp;"|"&amp;'风险净现值'!S158&amp;"|"&amp;'风险净现值'!K158&amp;"|"&amp;'风险净现值'!S159&amp;"|"&amp;'风险净现值'!K159&amp;"|"&amp;'风险净现值'!S160&amp;"|"&amp;'风险净现值'!K160&amp;"|"&amp;'风险净现值'!S161&amp;"|"&amp;'风险净现值'!K161&amp;"|"&amp;'风险净现值'!S162&amp;"|"&amp;'风险净现值'!K162&amp;"|"&amp;'风险净现值'!S163&amp;"|"&amp;'风险净现值'!K163&amp;"|"&amp;'风险净现值'!S164&amp;"|"&amp;'风险净现值'!K164&amp;"|"&amp;'风险净现值'!S165&amp;"|"&amp;'风险净现值'!K165&amp;"|"&amp;'风险净现值'!S166&amp;"|"&amp;'风险净现值'!K166&amp;"|"&amp;'风险净现值'!AR19&amp;"|"&amp;'风险净现值'!AU19&amp;"|"&amp;'风险净现值'!AR20&amp;"|"&amp;'风险净现值'!AU20&amp;"|"&amp;'风险净现值'!AR21&amp;"|"&amp;'风险净现值'!AU21</x:f>
        <x:v>22|6.392|23|22|0|2.72|0.65|0.5|0.18|0.19999999999999996|0.11|7|2031|1.1|0.95|0.5|-2.7707049965776864|1.5|-1.7713894592744694|3|-0.7720739219712526|5|0.2272416153319644|7|1.2292950034223136|9|2.2286105407255303|10|3.2279260780287475|10|4.227241615331964|9.5|5.229295003422314|9|6.228610540725531|8.2|7.227926078028747|7|8.227241615331964|5.5|9.229295003422314|3.5|10.22861054072553|2|11.227926078028748|1|12.227241615331964|0|-2.7707049965776864|1.05|-1.7713894592744694|2.1|-0.7720739219712526|3.5|0.2272416153319644|4.8999999999999995|1.2292950034223136|6.3|2.2286105407255303|7|3.2279260780287475|7|4.227241615331964|6.6499999999999995|5.229295003422314|6.3|6.228610540725531|5.739999999999999|7.227926078028747|4.8999999999999995|8.227241615331964|3.8500000000000005|9.229295003422314|2.4499999999999997|10.22861054072553|1.4000000000000001|11.227926078028748|0.7000000000000001|12.227241615331964|0.35|0.85|0.9|0.65|1.5|0.55</x:v>
      </x:c>
    </x:row>
    <x:row r="22" ht="23" customHeight="1">
      <x:c r="A22" s="11" t="str">
        <x:v>09926.HK</x:v>
      </x:c>
      <x:c r="B22" s="11" t="str">
        <x:v>康方生物</x:v>
      </x:c>
      <x:c r="C22" s="11" t="str">
        <x:v>2026年底</x:v>
      </x:c>
      <x:c r="D22" s="11" t="str">
        <x:v>悲观</x:v>
      </x:c>
      <x:c r="E22" s="11" t="n">
        <x:v>109.1</x:v>
      </x:c>
      <x:c r="F22" s="11" t="n">
        <x:v>11.064681125752521</x:v>
      </x:c>
      <x:c r="G22" s="11" t="n">
        <x:v>0</x:v>
      </x:c>
      <x:c r="H22" s="25" t="n">
        <x:v>-0.8985822078299494</x:v>
      </x:c>
      <x:c r="I22" s="25" t="n">
        <x:v>-0.8985822078299494</x:v>
      </x:c>
      <x:c r="J22" s="25" t="str"/>
      <x:c r="K22" s="11" t="str"/>
      <x:c r="L22" s="11" t="n">
        <x:v>20</x:v>
      </x:c>
      <x:c r="M22" s="11" t="n">
        <x:v>1.1</x:v>
      </x:c>
      <x:c r="N22" s="11" t="n">
        <x:v>0</x:v>
      </x:c>
      <x:c r="O22" s="11" t="str"/>
      <x:c r="P22" s="11" t="str"/>
      <x:c r="Q22" s="11" t="n">
        <x:v>0.97</x:v>
      </x:c>
      <x:c r="R22" s="11" t="str">
        <x:v>akeso-v2-year-end-cashflows</x:v>
      </x:c>
      <x:c r="S22" s="11" t="str">
        <x:v>2026-10-10</x:v>
      </x:c>
      <x:c r="T22" s="11" t="str">
        <x:f>IF(AND(SUM(IF(K22='假设'!E28,0,1),IF(L22='假设'!F28,0,1),IF(M22='假设'!G28,0,1),IF(N22='假设'!H28,0,1),IF(O22='假设'!I28,0,1),IF(P22='假设'!J28,0,1),IF(Q22='假设'!K28,0,1))=0,U22=V22),"已刷新","待刷新")</x:f>
        <x:v>已刷新</x:v>
      </x:c>
      <x:c r="U22" t="str">
        <x:v>0.35|20|2.8|1.2|0.97|0.35|0.1|0.1|0.2|0.14|6.8|2026.996577686516|1.1|1|0|0.999315537303217|0|2.001368925393566|0.4|3.0006844626967832|0.9|4|1.3|4.999315537303217|1.6|6.0013689253935665|1.8|7.000684462696783|1.9|8|1.9|8.999315537303216|1.8|10.001368925393566|1.7|11.000684462696784|1.5|12|1.2|12.999315537303216|0.9|14.001368925393566|0.6|15.000684462696784|0.3|16|0|0.999315537303217|0|2.001368925393566|0|3.0006844626967832|0|4|0|4.999315537303217|0.1|6.0013689253935665|0.2|7.000684462696783|0.3|8|0.4|8.999315537303216|0.4|10.001368925393566|0.4|11.000684462696784|0.35|12|0.3|12.999315537303216|0.25|14.001368925393566|0.2|15.000684462696784|0.1|16</x:v>
      </x:c>
      <x:c r="V22" t="str">
        <x:f>'药物假设'!D28&amp;"|"&amp;'药物假设'!E28&amp;"|"&amp;'药物假设'!F28&amp;"|"&amp;'药物假设'!G28&amp;"|"&amp;'药物假设'!H28&amp;"|"&amp;'药物假设'!I28&amp;"|"&amp;'药物假设'!J28&amp;"|"&amp;'药物假设'!K28&amp;"|"&amp;'药物假设'!L28&amp;"|"&amp;'药物假设'!M28&amp;"|"&amp;'药物假设'!N28&amp;"|"&amp;'药物假设'!O28&amp;"|"&amp;'药物假设'!P28&amp;"|"&amp;'药物假设'!Q28&amp;"|"&amp;'风险净现值'!Q167&amp;"|"&amp;'风险净现值'!K167&amp;"|"&amp;'风险净现值'!Q168&amp;"|"&amp;'风险净现值'!K168&amp;"|"&amp;'风险净现值'!Q169&amp;"|"&amp;'风险净现值'!K169&amp;"|"&amp;'风险净现值'!Q170&amp;"|"&amp;'风险净现值'!K170&amp;"|"&amp;'风险净现值'!Q171&amp;"|"&amp;'风险净现值'!K171&amp;"|"&amp;'风险净现值'!Q172&amp;"|"&amp;'风险净现值'!K172&amp;"|"&amp;'风险净现值'!Q173&amp;"|"&amp;'风险净现值'!K173&amp;"|"&amp;'风险净现值'!Q174&amp;"|"&amp;'风险净现值'!K174&amp;"|"&amp;'风险净现值'!Q175&amp;"|"&amp;'风险净现值'!K175&amp;"|"&amp;'风险净现值'!Q176&amp;"|"&amp;'风险净现值'!K176&amp;"|"&amp;'风险净现值'!Q177&amp;"|"&amp;'风险净现值'!K177&amp;"|"&amp;'风险净现值'!Q178&amp;"|"&amp;'风险净现值'!K178&amp;"|"&amp;'风险净现值'!Q179&amp;"|"&amp;'风险净现值'!K179&amp;"|"&amp;'风险净现值'!Q180&amp;"|"&amp;'风险净现值'!K180&amp;"|"&amp;'风险净现值'!Q181&amp;"|"&amp;'风险净现值'!K181&amp;"|"&amp;'风险净现值'!Q182&amp;"|"&amp;'风险净现值'!K182&amp;"|"&amp;'风险净现值'!Q183&amp;"|"&amp;'风险净现值'!K183&amp;"|"&amp;'风险净现值'!Q184&amp;"|"&amp;'风险净现值'!K184&amp;"|"&amp;'风险净现值'!Q185&amp;"|"&amp;'风险净现值'!K185&amp;"|"&amp;'风险净现值'!Q186&amp;"|"&amp;'风险净现值'!K186&amp;"|"&amp;'风险净现值'!Q187&amp;"|"&amp;'风险净现值'!K187&amp;"|"&amp;'风险净现值'!Q188&amp;"|"&amp;'风险净现值'!K188&amp;"|"&amp;'风险净现值'!Q189&amp;"|"&amp;'风险净现值'!K189&amp;"|"&amp;'风险净现值'!Q190&amp;"|"&amp;'风险净现值'!K190&amp;"|"&amp;'风险净现值'!Q191&amp;"|"&amp;'风险净现值'!K191&amp;"|"&amp;'风险净现值'!Q192&amp;"|"&amp;'风险净现值'!K192&amp;"|"&amp;'风险净现值'!Q193&amp;"|"&amp;'风险净现值'!K193&amp;"|"&amp;'风险净现值'!Q194&amp;"|"&amp;'风险净现值'!K194&amp;"|"&amp;'风险净现值'!Q195&amp;"|"&amp;'风险净现值'!K195&amp;"|"&amp;'风险净现值'!Q196&amp;"|"&amp;'风险净现值'!K196&amp;"|"&amp;'风险净现值'!Q197&amp;"|"&amp;'风险净现值'!K197&amp;"|"&amp;'风险净现值'!Q198&amp;"|"&amp;'风险净现值'!K198</x:f>
        <x:v>0.35|20|2.8|1.2|0.97|0.35|0.1|0.1|0.2|0.14|6.8|2026.996577686516|1.1|1|0|0.999315537303217|0|2.001368925393566|0.4|3.0006844626967832|0.9|4|1.3|4.999315537303217|1.6|6.0013689253935665|1.8|7.000684462696783|1.9|8|1.9|8.999315537303216|1.8|10.001368925393566|1.7|11.000684462696784|1.5|12|1.2|12.999315537303216|0.9|14.001368925393566|0.6|15.000684462696784|0.3|16|0|0.999315537303217|0|2.001368925393566|0|3.0006844626967832|0|4|0|4.999315537303217|0.1|6.0013689253935665|0.2|7.000684462696783|0.3|8|0.4|8.999315537303216|0.4|10.001368925393566|0.4|11.000684462696784|0.35|12|0.3|12.999315537303216|0.25|14.001368925393566|0.2|15.000684462696784|0.1|16</x:v>
      </x:c>
    </x:row>
    <x:row r="23" ht="23" customHeight="1">
      <x:c r="A23" s="11" t="str">
        <x:v>09926.HK</x:v>
      </x:c>
      <x:c r="B23" s="11" t="str">
        <x:v>康方生物</x:v>
      </x:c>
      <x:c r="C23" s="11" t="str">
        <x:v>2026年底</x:v>
      </x:c>
      <x:c r="D23" s="11" t="str">
        <x:v>基准</x:v>
      </x:c>
      <x:c r="E23" s="11" t="n">
        <x:v>109.1</x:v>
      </x:c>
      <x:c r="F23" s="11" t="n">
        <x:v>67.28298577028589</x:v>
      </x:c>
      <x:c r="G23" s="11" t="n">
        <x:v>0</x:v>
      </x:c>
      <x:c r="H23" s="25" t="n">
        <x:v>-0.3832906895482503</x:v>
      </x:c>
      <x:c r="I23" s="25" t="n">
        <x:v>-0.3832906895482503</x:v>
      </x:c>
      <x:c r="J23" s="25" t="str"/>
      <x:c r="K23" s="11" t="str"/>
      <x:c r="L23" s="11" t="n">
        <x:v>30</x:v>
      </x:c>
      <x:c r="M23" s="11" t="n">
        <x:v>1.1</x:v>
      </x:c>
      <x:c r="N23" s="11" t="n">
        <x:v>0</x:v>
      </x:c>
      <x:c r="O23" s="11" t="str"/>
      <x:c r="P23" s="11" t="str"/>
      <x:c r="Q23" s="11" t="n">
        <x:v>0.95</x:v>
      </x:c>
      <x:c r="R23" s="11" t="str">
        <x:v>akeso-v2-year-end-cashflows</x:v>
      </x:c>
      <x:c r="S23" s="11" t="str">
        <x:v>2026-10-10</x:v>
      </x:c>
      <x:c r="T23" s="11" t="str">
        <x:f>IF(AND(SUM(IF(K23='假设'!E29,0,1),IF(L23='假设'!F29,0,1),IF(M23='假设'!G29,0,1),IF(N23='假设'!H29,0,1),IF(O23='假设'!I29,0,1),IF(P23='假设'!J29,0,1),IF(Q23='假设'!K29,0,1))=0,U23=V23),"已刷新","待刷新")</x:f>
        <x:v>待刷新</x:v>
      </x:c>
      <x:c r="U23" t="str">
        <x:v>1.05|30|3.4|1.5|0.95|0.7|0.25|0.15|0.2|0.11|6.8|2026.996577686516|1.1|1|0|0.999315537303217|0.5|2.001368925393566|1.6|3.0006844626967832|3.5|4|5.5|4.999315537303217|7.5|6.0013689253935665|9|7.000684462696783|10|8|10.5|8.999315537303216|10.5|10.001368925393566|10|11.000684462696784|9|12|8|12.999315537303216|6.5|14.001368925393566|5|15.000684462696784|3|16|0|0.999315537303217|0|2.001368925393566|0|3.0006844626967832|0.3|4|0.8|4.999315537303217|1.5|6.0013689253935665|2.5|7.000684462696783|3.5|8|4.5|8.999315537303216|5|10.001368925393566|5|11.000684462696784|4.5|12|4|12.999315537303216|3.2|14.001368925393566|2.5|15.000684462696784|1.5|16</x:v>
      </x:c>
      <x:c r="V23" t="str">
        <x:f>'药物假设'!D29&amp;"|"&amp;'药物假设'!E29&amp;"|"&amp;'药物假设'!F29&amp;"|"&amp;'药物假设'!G29&amp;"|"&amp;'药物假设'!H29&amp;"|"&amp;'药物假设'!I29&amp;"|"&amp;'药物假设'!J29&amp;"|"&amp;'药物假设'!K29&amp;"|"&amp;'药物假设'!L29&amp;"|"&amp;'药物假设'!M29&amp;"|"&amp;'药物假设'!N29&amp;"|"&amp;'药物假设'!O29&amp;"|"&amp;'药物假设'!P29&amp;"|"&amp;'药物假设'!Q29&amp;"|"&amp;'风险净现值'!R167&amp;"|"&amp;'风险净现值'!K167&amp;"|"&amp;'风险净现值'!R168&amp;"|"&amp;'风险净现值'!K168&amp;"|"&amp;'风险净现值'!R169&amp;"|"&amp;'风险净现值'!K169&amp;"|"&amp;'风险净现值'!R170&amp;"|"&amp;'风险净现值'!K170&amp;"|"&amp;'风险净现值'!R171&amp;"|"&amp;'风险净现值'!K171&amp;"|"&amp;'风险净现值'!R172&amp;"|"&amp;'风险净现值'!K172&amp;"|"&amp;'风险净现值'!R173&amp;"|"&amp;'风险净现值'!K173&amp;"|"&amp;'风险净现值'!R174&amp;"|"&amp;'风险净现值'!K174&amp;"|"&amp;'风险净现值'!R175&amp;"|"&amp;'风险净现值'!K175&amp;"|"&amp;'风险净现值'!R176&amp;"|"&amp;'风险净现值'!K176&amp;"|"&amp;'风险净现值'!R177&amp;"|"&amp;'风险净现值'!K177&amp;"|"&amp;'风险净现值'!R178&amp;"|"&amp;'风险净现值'!K178&amp;"|"&amp;'风险净现值'!R179&amp;"|"&amp;'风险净现值'!K179&amp;"|"&amp;'风险净现值'!R180&amp;"|"&amp;'风险净现值'!K180&amp;"|"&amp;'风险净现值'!R181&amp;"|"&amp;'风险净现值'!K181&amp;"|"&amp;'风险净现值'!R182&amp;"|"&amp;'风险净现值'!K182&amp;"|"&amp;'风险净现值'!R183&amp;"|"&amp;'风险净现值'!K183&amp;"|"&amp;'风险净现值'!R184&amp;"|"&amp;'风险净现值'!K184&amp;"|"&amp;'风险净现值'!R185&amp;"|"&amp;'风险净现值'!K185&amp;"|"&amp;'风险净现值'!R186&amp;"|"&amp;'风险净现值'!K186&amp;"|"&amp;'风险净现值'!R187&amp;"|"&amp;'风险净现值'!K187&amp;"|"&amp;'风险净现值'!R188&amp;"|"&amp;'风险净现值'!K188&amp;"|"&amp;'风险净现值'!R189&amp;"|"&amp;'风险净现值'!K189&amp;"|"&amp;'风险净现值'!R190&amp;"|"&amp;'风险净现值'!K190&amp;"|"&amp;'风险净现值'!R191&amp;"|"&amp;'风险净现值'!K191&amp;"|"&amp;'风险净现值'!R192&amp;"|"&amp;'风险净现值'!K192&amp;"|"&amp;'风险净现值'!R193&amp;"|"&amp;'风险净现值'!K193&amp;"|"&amp;'风险净现值'!R194&amp;"|"&amp;'风险净现值'!K194&amp;"|"&amp;'风险净现值'!R195&amp;"|"&amp;'风险净现值'!K195&amp;"|"&amp;'风险净现值'!R196&amp;"|"&amp;'风险净现值'!K196&amp;"|"&amp;'风险净现值'!R197&amp;"|"&amp;'风险净现值'!K197&amp;"|"&amp;'风险净现值'!R198&amp;"|"&amp;'风险净现值'!K198</x:f>
        <x:v>1.05|30|3.4|1.5|0.95|0.7|0.25|0.15|0.2|0.12|6.8|2026.996577686516|1.1|1|0|0.999315537303217|0.5|2.001368925393566|1.6|3.0006844626967832|3.5|4|5.5|4.999315537303217|7.5|6.0013689253935665|9|7.000684462696783|10|8|10.5|8.999315537303216|10.5|10.001368925393566|10|11.000684462696784|9|12|8|12.999315537303216|6.5|14.001368925393566|5|15.000684462696784|3|16|0|0.999315537303217|0|2.001368925393566|0|3.0006844626967832|0.3|4|0.8|4.999315537303217|1.5|6.0013689253935665|2.5|7.000684462696783|3.5|8|4.5|8.999315537303216|5|10.001368925393566|5|11.000684462696784|4.5|12|4|12.999315537303216|3.2|14.001368925393566|2.5|15.000684462696784|1.5|16</x:v>
      </x:c>
    </x:row>
    <x:row r="24" ht="23" customHeight="1">
      <x:c r="A24" s="11" t="str">
        <x:v>09926.HK</x:v>
      </x:c>
      <x:c r="B24" s="11" t="str">
        <x:v>康方生物</x:v>
      </x:c>
      <x:c r="C24" s="11" t="str">
        <x:v>2026年底</x:v>
      </x:c>
      <x:c r="D24" s="11" t="str">
        <x:v>乐观</x:v>
      </x:c>
      <x:c r="E24" s="11" t="n">
        <x:v>109.1</x:v>
      </x:c>
      <x:c r="F24" s="11" t="n">
        <x:v>174.9437105484528</x:v>
      </x:c>
      <x:c r="G24" s="11" t="n">
        <x:v>0</x:v>
      </x:c>
      <x:c r="H24" s="25" t="n">
        <x:v>0.6035170536063501</x:v>
      </x:c>
      <x:c r="I24" s="25" t="n">
        <x:v>0.6035170536063501</x:v>
      </x:c>
      <x:c r="J24" s="25" t="str"/>
      <x:c r="K24" s="11" t="str"/>
      <x:c r="L24" s="11" t="n">
        <x:v>36</x:v>
      </x:c>
      <x:c r="M24" s="11" t="n">
        <x:v>1.1</x:v>
      </x:c>
      <x:c r="N24" s="11" t="n">
        <x:v>0</x:v>
      </x:c>
      <x:c r="O24" s="11" t="str"/>
      <x:c r="P24" s="11" t="str"/>
      <x:c r="Q24" s="11" t="n">
        <x:v>0.95</x:v>
      </x:c>
      <x:c r="R24" s="11" t="str">
        <x:v>akeso-v2-year-end-cashflows</x:v>
      </x:c>
      <x:c r="S24" s="11" t="str">
        <x:v>2026-10-10</x:v>
      </x:c>
      <x:c r="T24" s="11" t="str">
        <x:f>IF(AND(SUM(IF(K24='假设'!E30,0,1),IF(L24='假设'!F30,0,1),IF(M24='假设'!G30,0,1),IF(N24='假设'!H30,0,1),IF(O24='假设'!I30,0,1),IF(P24='假设'!J30,0,1),IF(Q24='假设'!K30,0,1))=0,U24=V24),"已刷新","待刷新")</x:f>
        <x:v>已刷新</x:v>
      </x:c>
      <x:c r="U24" t="str">
        <x:v>1.7|36|3.8|2|0.95|0.85|0.45|0.18|0.2|0.095|6.8|2026.996577686516|1.1|1|0.7|0.999315537303217|2|2.001368925393566|4.5|3.0006844626967832|7.5|4|11|4.999315537303217|14|6.0013689253935665|16|7.000684462696783|18|8|19|8.999315537303216|19|10.001368925393566|18|11.000684462696784|17|12|15|12.999315537303216|12|14.001368925393566|9|15.000684462696784|6|16|0|0.999315537303217|0|2.001368925393566|0.3|3.0006844626967832|1|4|2.5|4.999315537303217|5|6.0013689253935665|7.5|7.000684462696783|10|8|12|8.999315537303216|13|10.001368925393566|13|11.000684462696784|12|12|11|12.999315537303216|9|14.001368925393566|7|15.000684462696784|5|16</x:v>
      </x:c>
      <x:c r="V24" t="str">
        <x:f>'药物假设'!D30&amp;"|"&amp;'药物假设'!E30&amp;"|"&amp;'药物假设'!F30&amp;"|"&amp;'药物假设'!G30&amp;"|"&amp;'药物假设'!H30&amp;"|"&amp;'药物假设'!I30&amp;"|"&amp;'药物假设'!J30&amp;"|"&amp;'药物假设'!K30&amp;"|"&amp;'药物假设'!L30&amp;"|"&amp;'药物假设'!M30&amp;"|"&amp;'药物假设'!N30&amp;"|"&amp;'药物假设'!O30&amp;"|"&amp;'药物假设'!P30&amp;"|"&amp;'药物假设'!Q30&amp;"|"&amp;'风险净现值'!S167&amp;"|"&amp;'风险净现值'!K167&amp;"|"&amp;'风险净现值'!S168&amp;"|"&amp;'风险净现值'!K168&amp;"|"&amp;'风险净现值'!S169&amp;"|"&amp;'风险净现值'!K169&amp;"|"&amp;'风险净现值'!S170&amp;"|"&amp;'风险净现值'!K170&amp;"|"&amp;'风险净现值'!S171&amp;"|"&amp;'风险净现值'!K171&amp;"|"&amp;'风险净现值'!S172&amp;"|"&amp;'风险净现值'!K172&amp;"|"&amp;'风险净现值'!S173&amp;"|"&amp;'风险净现值'!K173&amp;"|"&amp;'风险净现值'!S174&amp;"|"&amp;'风险净现值'!K174&amp;"|"&amp;'风险净现值'!S175&amp;"|"&amp;'风险净现值'!K175&amp;"|"&amp;'风险净现值'!S176&amp;"|"&amp;'风险净现值'!K176&amp;"|"&amp;'风险净现值'!S177&amp;"|"&amp;'风险净现值'!K177&amp;"|"&amp;'风险净现值'!S178&amp;"|"&amp;'风险净现值'!K178&amp;"|"&amp;'风险净现值'!S179&amp;"|"&amp;'风险净现值'!K179&amp;"|"&amp;'风险净现值'!S180&amp;"|"&amp;'风险净现值'!K180&amp;"|"&amp;'风险净现值'!S181&amp;"|"&amp;'风险净现值'!K181&amp;"|"&amp;'风险净现值'!S182&amp;"|"&amp;'风险净现值'!K182&amp;"|"&amp;'风险净现值'!S183&amp;"|"&amp;'风险净现值'!K183&amp;"|"&amp;'风险净现值'!S184&amp;"|"&amp;'风险净现值'!K184&amp;"|"&amp;'风险净现值'!S185&amp;"|"&amp;'风险净现值'!K185&amp;"|"&amp;'风险净现值'!S186&amp;"|"&amp;'风险净现值'!K186&amp;"|"&amp;'风险净现值'!S187&amp;"|"&amp;'风险净现值'!K187&amp;"|"&amp;'风险净现值'!S188&amp;"|"&amp;'风险净现值'!K188&amp;"|"&amp;'风险净现值'!S189&amp;"|"&amp;'风险净现值'!K189&amp;"|"&amp;'风险净现值'!S190&amp;"|"&amp;'风险净现值'!K190&amp;"|"&amp;'风险净现值'!S191&amp;"|"&amp;'风险净现值'!K191&amp;"|"&amp;'风险净现值'!S192&amp;"|"&amp;'风险净现值'!K192&amp;"|"&amp;'风险净现值'!S193&amp;"|"&amp;'风险净现值'!K193&amp;"|"&amp;'风险净现值'!S194&amp;"|"&amp;'风险净现值'!K194&amp;"|"&amp;'风险净现值'!S195&amp;"|"&amp;'风险净现值'!K195&amp;"|"&amp;'风险净现值'!S196&amp;"|"&amp;'风险净现值'!K196&amp;"|"&amp;'风险净现值'!S197&amp;"|"&amp;'风险净现值'!K197&amp;"|"&amp;'风险净现值'!S198&amp;"|"&amp;'风险净现值'!K198</x:f>
        <x:v>1.7|36|3.8|2|0.95|0.85|0.45|0.18|0.2|0.095|6.8|2026.996577686516|1.1|1|0.7|0.999315537303217|2|2.001368925393566|4.5|3.0006844626967832|7.5|4|11|4.999315537303217|14|6.0013689253935665|16|7.000684462696783|18|8|19|8.999315537303216|19|10.001368925393566|18|11.000684462696784|17|12|15|12.999315537303216|12|14.001368925393566|9|15.000684462696784|6|16|0|0.999315537303217|0|2.001368925393566|0.3|3.0006844626967832|1|4|2.5|4.999315537303217|5|6.0013689253935665|7.5|7.000684462696783|10|8|12|8.999315537303216|13|10.001368925393566|13|11.000684462696784|12|12|11|12.999315537303216|9|14.001368925393566|7|15.000684462696784|5|16</x:v>
      </x:c>
    </x:row>
    <x:row r="25" ht="23" customHeight="1">
      <x:c r="A25" s="11" t="str">
        <x:v>09926.HK</x:v>
      </x:c>
      <x:c r="B25" s="11" t="str">
        <x:v>康方生物</x:v>
      </x:c>
      <x:c r="C25" s="11" t="str">
        <x:v>半年</x:v>
      </x:c>
      <x:c r="D25" s="11" t="str">
        <x:v>悲观</x:v>
      </x:c>
      <x:c r="E25" s="11" t="n">
        <x:v>109.1</x:v>
      </x:c>
      <x:c r="F25" s="11" t="n">
        <x:v>10.942311925194542</x:v>
      </x:c>
      <x:c r="G25" s="11" t="n">
        <x:v>0</x:v>
      </x:c>
      <x:c r="H25" s="25" t="n">
        <x:v>-0.8997038320330473</x:v>
      </x:c>
      <x:c r="I25" s="25" t="n">
        <x:v>-0.8997038320330473</x:v>
      </x:c>
      <x:c r="J25" s="25" t="str"/>
      <x:c r="K25" s="11" t="str"/>
      <x:c r="L25" s="11" t="n">
        <x:v>20</x:v>
      </x:c>
      <x:c r="M25" s="11" t="n">
        <x:v>1.1</x:v>
      </x:c>
      <x:c r="N25" s="11" t="n">
        <x:v>0</x:v>
      </x:c>
      <x:c r="O25" s="11" t="str"/>
      <x:c r="P25" s="11" t="str"/>
      <x:c r="Q25" s="11" t="n">
        <x:v>0.975</x:v>
      </x:c>
      <x:c r="R25" s="11" t="str">
        <x:v>akeso-v2-year-end-cashflows</x:v>
      </x:c>
      <x:c r="S25" s="11" t="str">
        <x:v>2026-10-10</x:v>
      </x:c>
      <x:c r="T25" s="11" t="str">
        <x:f>IF(AND(SUM(IF(K25='假设'!E32,0,1),IF(L25='假设'!F32,0,1),IF(M25='假设'!G32,0,1),IF(N25='假设'!H32,0,1),IF(O25='假设'!I32,0,1),IF(P25='假设'!J32,0,1),IF(Q25='假设'!K32,0,1))=0,U25=V25),"已刷新","待刷新")</x:f>
        <x:v>已刷新</x:v>
      </x:c>
      <x:c r="U25" t="str">
        <x:v>0.35|20|2.7|1.2|0.975|0.35|0.1|0.1|0.2|0.14|6.8|2027.2683093771388|1.1|1|0|0.7282683093771389|0|1.730321697467488|0.4|2.729637234770705|0.9|3.728952772073922|1.3|4.728268309377139|1.6|5.730321697467488|1.8|6.729637234770705|1.9|7.728952772073922|1.9|8.728268309377139|1.8|9.730321697467488|1.7|10.729637234770705|1.5|11.728952772073923|1.2|12.728268309377139|0.9|13.730321697467488|0.6|14.729637234770705|0.3|15.728952772073923|0|0.7282683093771389|0|1.730321697467488|0|2.729637234770705|0|3.728952772073922|0|4.728268309377139|0.1|5.730321697467488|0.2|6.729637234770705|0.3|7.728952772073922|0.4|8.728268309377139|0.4|9.730321697467488|0.4|10.729637234770705|0.35|11.728952772073923|0.3|12.728268309377139|0.25|13.730321697467488|0.2|14.729637234770705|0.1|15.728952772073923</x:v>
      </x:c>
      <x:c r="V25" t="str">
        <x:f>'药物假设'!D32&amp;"|"&amp;'药物假设'!E32&amp;"|"&amp;'药物假设'!F32&amp;"|"&amp;'药物假设'!G32&amp;"|"&amp;'药物假设'!H32&amp;"|"&amp;'药物假设'!I32&amp;"|"&amp;'药物假设'!J32&amp;"|"&amp;'药物假设'!K32&amp;"|"&amp;'药物假设'!L32&amp;"|"&amp;'药物假设'!M32&amp;"|"&amp;'药物假设'!N32&amp;"|"&amp;'药物假设'!O32&amp;"|"&amp;'药物假设'!P32&amp;"|"&amp;'药物假设'!Q32&amp;"|"&amp;'风险净现值'!Q199&amp;"|"&amp;'风险净现值'!K199&amp;"|"&amp;'风险净现值'!Q200&amp;"|"&amp;'风险净现值'!K200&amp;"|"&amp;'风险净现值'!Q201&amp;"|"&amp;'风险净现值'!K201&amp;"|"&amp;'风险净现值'!Q202&amp;"|"&amp;'风险净现值'!K202&amp;"|"&amp;'风险净现值'!Q203&amp;"|"&amp;'风险净现值'!K203&amp;"|"&amp;'风险净现值'!Q204&amp;"|"&amp;'风险净现值'!K204&amp;"|"&amp;'风险净现值'!Q205&amp;"|"&amp;'风险净现值'!K205&amp;"|"&amp;'风险净现值'!Q206&amp;"|"&amp;'风险净现值'!K206&amp;"|"&amp;'风险净现值'!Q207&amp;"|"&amp;'风险净现值'!K207&amp;"|"&amp;'风险净现值'!Q208&amp;"|"&amp;'风险净现值'!K208&amp;"|"&amp;'风险净现值'!Q209&amp;"|"&amp;'风险净现值'!K209&amp;"|"&amp;'风险净现值'!Q210&amp;"|"&amp;'风险净现值'!K210&amp;"|"&amp;'风险净现值'!Q211&amp;"|"&amp;'风险净现值'!K211&amp;"|"&amp;'风险净现值'!Q212&amp;"|"&amp;'风险净现值'!K212&amp;"|"&amp;'风险净现值'!Q213&amp;"|"&amp;'风险净现值'!K213&amp;"|"&amp;'风险净现值'!Q214&amp;"|"&amp;'风险净现值'!K214&amp;"|"&amp;'风险净现值'!Q215&amp;"|"&amp;'风险净现值'!K215&amp;"|"&amp;'风险净现值'!Q216&amp;"|"&amp;'风险净现值'!K216&amp;"|"&amp;'风险净现值'!Q217&amp;"|"&amp;'风险净现值'!K217&amp;"|"&amp;'风险净现值'!Q218&amp;"|"&amp;'风险净现值'!K218&amp;"|"&amp;'风险净现值'!Q219&amp;"|"&amp;'风险净现值'!K219&amp;"|"&amp;'风险净现值'!Q220&amp;"|"&amp;'风险净现值'!K220&amp;"|"&amp;'风险净现值'!Q221&amp;"|"&amp;'风险净现值'!K221&amp;"|"&amp;'风险净现值'!Q222&amp;"|"&amp;'风险净现值'!K222&amp;"|"&amp;'风险净现值'!Q223&amp;"|"&amp;'风险净现值'!K223&amp;"|"&amp;'风险净现值'!Q224&amp;"|"&amp;'风险净现值'!K224&amp;"|"&amp;'风险净现值'!Q225&amp;"|"&amp;'风险净现值'!K225&amp;"|"&amp;'风险净现值'!Q226&amp;"|"&amp;'风险净现值'!K226&amp;"|"&amp;'风险净现值'!Q227&amp;"|"&amp;'风险净现值'!K227&amp;"|"&amp;'风险净现值'!Q228&amp;"|"&amp;'风险净现值'!K228&amp;"|"&amp;'风险净现值'!Q229&amp;"|"&amp;'风险净现值'!K229&amp;"|"&amp;'风险净现值'!Q230&amp;"|"&amp;'风险净现值'!K230</x:f>
        <x:v>0.35|20|2.7|1.2|0.975|0.35|0.1|0.1|0.2|0.14|6.8|2027.2683093771388|1.1|1|0|0.7282683093771389|0|1.730321697467488|0.4|2.729637234770705|0.9|3.728952772073922|1.3|4.728268309377139|1.6|5.730321697467488|1.8|6.729637234770705|1.9|7.728952772073922|1.9|8.728268309377139|1.8|9.730321697467488|1.7|10.729637234770705|1.5|11.728952772073923|1.2|12.728268309377139|0.9|13.730321697467488|0.6|14.729637234770705|0.3|15.728952772073923|0|0.7282683093771389|0|1.730321697467488|0|2.729637234770705|0|3.728952772073922|0|4.728268309377139|0.1|5.730321697467488|0.2|6.729637234770705|0.3|7.728952772073922|0.4|8.728268309377139|0.4|9.730321697467488|0.4|10.729637234770705|0.35|11.728952772073923|0.3|12.728268309377139|0.25|13.730321697467488|0.2|14.729637234770705|0.1|15.728952772073923</x:v>
      </x:c>
    </x:row>
    <x:row r="26" ht="23" customHeight="1">
      <x:c r="A26" s="11" t="str">
        <x:v>09926.HK</x:v>
      </x:c>
      <x:c r="B26" s="11" t="str">
        <x:v>康方生物</x:v>
      </x:c>
      <x:c r="C26" s="11" t="str">
        <x:v>半年</x:v>
      </x:c>
      <x:c r="D26" s="11" t="str">
        <x:v>基准</x:v>
      </x:c>
      <x:c r="E26" s="11" t="n">
        <x:v>109.1</x:v>
      </x:c>
      <x:c r="F26" s="11" t="n">
        <x:v>71.29352348543316</x:v>
      </x:c>
      <x:c r="G26" s="11" t="n">
        <x:v>0</x:v>
      </x:c>
      <x:c r="H26" s="25" t="n">
        <x:v>-0.3465304905093203</x:v>
      </x:c>
      <x:c r="I26" s="25" t="n">
        <x:v>-0.3465304905093203</x:v>
      </x:c>
      <x:c r="J26" s="25" t="str"/>
      <x:c r="K26" s="11" t="str"/>
      <x:c r="L26" s="11" t="n">
        <x:v>32</x:v>
      </x:c>
      <x:c r="M26" s="11" t="n">
        <x:v>1.1</x:v>
      </x:c>
      <x:c r="N26" s="11" t="n">
        <x:v>0</x:v>
      </x:c>
      <x:c r="O26" s="11" t="str"/>
      <x:c r="P26" s="11" t="str"/>
      <x:c r="Q26" s="11" t="n">
        <x:v>0.955</x:v>
      </x:c>
      <x:c r="R26" s="11" t="str">
        <x:v>akeso-v2-year-end-cashflows</x:v>
      </x:c>
      <x:c r="S26" s="11" t="str">
        <x:v>2026-10-10</x:v>
      </x:c>
      <x:c r="T26" s="11" t="str">
        <x:f>IF(AND(SUM(IF(K26='假设'!E33,0,1),IF(L26='假设'!F33,0,1),IF(M26='假设'!G33,0,1),IF(N26='假设'!H33,0,1),IF(O26='假设'!I33,0,1),IF(P26='假设'!J33,0,1),IF(Q26='假设'!K33,0,1))=0,U26=V26),"已刷新","待刷新")</x:f>
        <x:v>已刷新</x:v>
      </x:c>
      <x:c r="U26" t="str">
        <x:v>1.05|32|3.4|1.5|0.955|0.72|0.28|0.15|0.2|0.11|6.8|2027.2683093771388|1.1|1|0|0.7282683093771389|0.5|1.730321697467488|1.6|2.729637234770705|3.5|3.728952772073922|5.5|4.728268309377139|7.5|5.730321697467488|9|6.729637234770705|10|7.728952772073922|10.5|8.728268309377139|10.5|9.730321697467488|10|10.729637234770705|9|11.728952772073923|8|12.728268309377139|6.5|13.730321697467488|5|14.729637234770705|3|15.728952772073923|0|0.7282683093771389|0|1.730321697467488|0|2.729637234770705|0.3|3.728952772073922|0.8|4.728268309377139|1.5|5.730321697467488|2.5|6.729637234770705|3.5|7.728952772073922|4.5|8.728268309377139|5|9.730321697467488|5|10.729637234770705|4.5|11.728952772073923|4|12.728268309377139|3.2|13.730321697467488|2.5|14.729637234770705|1.5|15.728952772073923</x:v>
      </x:c>
      <x:c r="V26" t="str">
        <x:f>'药物假设'!D33&amp;"|"&amp;'药物假设'!E33&amp;"|"&amp;'药物假设'!F33&amp;"|"&amp;'药物假设'!G33&amp;"|"&amp;'药物假设'!H33&amp;"|"&amp;'药物假设'!I33&amp;"|"&amp;'药物假设'!J33&amp;"|"&amp;'药物假设'!K33&amp;"|"&amp;'药物假设'!L33&amp;"|"&amp;'药物假设'!M33&amp;"|"&amp;'药物假设'!N33&amp;"|"&amp;'药物假设'!O33&amp;"|"&amp;'药物假设'!P33&amp;"|"&amp;'药物假设'!Q33&amp;"|"&amp;'风险净现值'!R199&amp;"|"&amp;'风险净现值'!K199&amp;"|"&amp;'风险净现值'!R200&amp;"|"&amp;'风险净现值'!K200&amp;"|"&amp;'风险净现值'!R201&amp;"|"&amp;'风险净现值'!K201&amp;"|"&amp;'风险净现值'!R202&amp;"|"&amp;'风险净现值'!K202&amp;"|"&amp;'风险净现值'!R203&amp;"|"&amp;'风险净现值'!K203&amp;"|"&amp;'风险净现值'!R204&amp;"|"&amp;'风险净现值'!K204&amp;"|"&amp;'风险净现值'!R205&amp;"|"&amp;'风险净现值'!K205&amp;"|"&amp;'风险净现值'!R206&amp;"|"&amp;'风险净现值'!K206&amp;"|"&amp;'风险净现值'!R207&amp;"|"&amp;'风险净现值'!K207&amp;"|"&amp;'风险净现值'!R208&amp;"|"&amp;'风险净现值'!K208&amp;"|"&amp;'风险净现值'!R209&amp;"|"&amp;'风险净现值'!K209&amp;"|"&amp;'风险净现值'!R210&amp;"|"&amp;'风险净现值'!K210&amp;"|"&amp;'风险净现值'!R211&amp;"|"&amp;'风险净现值'!K211&amp;"|"&amp;'风险净现值'!R212&amp;"|"&amp;'风险净现值'!K212&amp;"|"&amp;'风险净现值'!R213&amp;"|"&amp;'风险净现值'!K213&amp;"|"&amp;'风险净现值'!R214&amp;"|"&amp;'风险净现值'!K214&amp;"|"&amp;'风险净现值'!R215&amp;"|"&amp;'风险净现值'!K215&amp;"|"&amp;'风险净现值'!R216&amp;"|"&amp;'风险净现值'!K216&amp;"|"&amp;'风险净现值'!R217&amp;"|"&amp;'风险净现值'!K217&amp;"|"&amp;'风险净现值'!R218&amp;"|"&amp;'风险净现值'!K218&amp;"|"&amp;'风险净现值'!R219&amp;"|"&amp;'风险净现值'!K219&amp;"|"&amp;'风险净现值'!R220&amp;"|"&amp;'风险净现值'!K220&amp;"|"&amp;'风险净现值'!R221&amp;"|"&amp;'风险净现值'!K221&amp;"|"&amp;'风险净现值'!R222&amp;"|"&amp;'风险净现值'!K222&amp;"|"&amp;'风险净现值'!R223&amp;"|"&amp;'风险净现值'!K223&amp;"|"&amp;'风险净现值'!R224&amp;"|"&amp;'风险净现值'!K224&amp;"|"&amp;'风险净现值'!R225&amp;"|"&amp;'风险净现值'!K225&amp;"|"&amp;'风险净现值'!R226&amp;"|"&amp;'风险净现值'!K226&amp;"|"&amp;'风险净现值'!R227&amp;"|"&amp;'风险净现值'!K227&amp;"|"&amp;'风险净现值'!R228&amp;"|"&amp;'风险净现值'!K228&amp;"|"&amp;'风险净现值'!R229&amp;"|"&amp;'风险净现值'!K229&amp;"|"&amp;'风险净现值'!R230&amp;"|"&amp;'风险净现值'!K230</x:f>
        <x:v>1.05|32|3.4|1.5|0.955|0.72|0.28|0.15|0.2|0.11|6.8|2027.2683093771388|1.1|1|0|0.7282683093771389|0.5|1.730321697467488|1.6|2.729637234770705|3.5|3.728952772073922|5.5|4.728268309377139|7.5|5.730321697467488|9|6.729637234770705|10|7.728952772073922|10.5|8.728268309377139|10.5|9.730321697467488|10|10.729637234770705|9|11.728952772073923|8|12.728268309377139|6.5|13.730321697467488|5|14.729637234770705|3|15.728952772073923|0|0.7282683093771389|0|1.730321697467488|0|2.729637234770705|0.3|3.728952772073922|0.8|4.728268309377139|1.5|5.730321697467488|2.5|6.729637234770705|3.5|7.728952772073922|4.5|8.728268309377139|5|9.730321697467488|5|10.729637234770705|4.5|11.728952772073923|4|12.728268309377139|3.2|13.730321697467488|2.5|14.729637234770705|1.5|15.728952772073923</x:v>
      </x:c>
    </x:row>
    <x:row r="27" ht="23" customHeight="1">
      <x:c r="A27" s="11" t="str">
        <x:v>09926.HK</x:v>
      </x:c>
      <x:c r="B27" s="11" t="str">
        <x:v>康方生物</x:v>
      </x:c>
      <x:c r="C27" s="11" t="str">
        <x:v>半年</x:v>
      </x:c>
      <x:c r="D27" s="11" t="str">
        <x:v>乐观</x:v>
      </x:c>
      <x:c r="E27" s="11" t="n">
        <x:v>109.1</x:v>
      </x:c>
      <x:c r="F27" s="11" t="n">
        <x:v>187.74298954673796</x:v>
      </x:c>
      <x:c r="G27" s="11" t="n">
        <x:v>0</x:v>
      </x:c>
      <x:c r="H27" s="25" t="n">
        <x:v>0.7208340013449859</x:v>
      </x:c>
      <x:c r="I27" s="25" t="n">
        <x:v>0.7208340013449859</x:v>
      </x:c>
      <x:c r="J27" s="25" t="str"/>
      <x:c r="K27" s="11" t="str"/>
      <x:c r="L27" s="11" t="n">
        <x:v>38</x:v>
      </x:c>
      <x:c r="M27" s="11" t="n">
        <x:v>1.1</x:v>
      </x:c>
      <x:c r="N27" s="11" t="n">
        <x:v>0</x:v>
      </x:c>
      <x:c r="O27" s="11" t="str"/>
      <x:c r="P27" s="11" t="str"/>
      <x:c r="Q27" s="11" t="n">
        <x:v>0.955</x:v>
      </x:c>
      <x:c r="R27" s="11" t="str">
        <x:v>akeso-v2-year-end-cashflows</x:v>
      </x:c>
      <x:c r="S27" s="11" t="str">
        <x:v>2026-10-10</x:v>
      </x:c>
      <x:c r="T27" s="11" t="str">
        <x:f>IF(AND(SUM(IF(K27='假设'!E34,0,1),IF(L27='假设'!F34,0,1),IF(M27='假设'!G34,0,1),IF(N27='假设'!H34,0,1),IF(O27='假设'!I34,0,1),IF(P27='假设'!J34,0,1),IF(Q27='假设'!K34,0,1))=0,U27=V27),"已刷新","待刷新")</x:f>
        <x:v>已刷新</x:v>
      </x:c>
      <x:c r="U27" t="str">
        <x:v>1.7|38|3.8|2|0.955|0.9|0.5|0.18|0.2|0.095|6.8|2027.2683093771388|1.1|1|0.7|0.7282683093771389|2|1.730321697467488|4.5|2.729637234770705|7.5|3.728952772073922|11|4.728268309377139|14|5.730321697467488|16|6.729637234770705|18|7.728952772073922|19|8.728268309377139|19|9.730321697467488|18|10.729637234770705|17|11.728952772073923|15|12.728268309377139|12|13.730321697467488|9|14.729637234770705|6|15.728952772073923|0|0.7282683093771389|0|1.730321697467488|0.3|2.729637234770705|1|3.728952772073922|2.5|4.728268309377139|5|5.730321697467488|7.5|6.729637234770705|10|7.728952772073922|12|8.728268309377139|13|9.730321697467488|13|10.729637234770705|12|11.728952772073923|11|12.728268309377139|9|13.730321697467488|7|14.729637234770705|5|15.728952772073923</x:v>
      </x:c>
      <x:c r="V27" t="str">
        <x:f>'药物假设'!D34&amp;"|"&amp;'药物假设'!E34&amp;"|"&amp;'药物假设'!F34&amp;"|"&amp;'药物假设'!G34&amp;"|"&amp;'药物假设'!H34&amp;"|"&amp;'药物假设'!I34&amp;"|"&amp;'药物假设'!J34&amp;"|"&amp;'药物假设'!K34&amp;"|"&amp;'药物假设'!L34&amp;"|"&amp;'药物假设'!M34&amp;"|"&amp;'药物假设'!N34&amp;"|"&amp;'药物假设'!O34&amp;"|"&amp;'药物假设'!P34&amp;"|"&amp;'药物假设'!Q34&amp;"|"&amp;'风险净现值'!S199&amp;"|"&amp;'风险净现值'!K199&amp;"|"&amp;'风险净现值'!S200&amp;"|"&amp;'风险净现值'!K200&amp;"|"&amp;'风险净现值'!S201&amp;"|"&amp;'风险净现值'!K201&amp;"|"&amp;'风险净现值'!S202&amp;"|"&amp;'风险净现值'!K202&amp;"|"&amp;'风险净现值'!S203&amp;"|"&amp;'风险净现值'!K203&amp;"|"&amp;'风险净现值'!S204&amp;"|"&amp;'风险净现值'!K204&amp;"|"&amp;'风险净现值'!S205&amp;"|"&amp;'风险净现值'!K205&amp;"|"&amp;'风险净现值'!S206&amp;"|"&amp;'风险净现值'!K206&amp;"|"&amp;'风险净现值'!S207&amp;"|"&amp;'风险净现值'!K207&amp;"|"&amp;'风险净现值'!S208&amp;"|"&amp;'风险净现值'!K208&amp;"|"&amp;'风险净现值'!S209&amp;"|"&amp;'风险净现值'!K209&amp;"|"&amp;'风险净现值'!S210&amp;"|"&amp;'风险净现值'!K210&amp;"|"&amp;'风险净现值'!S211&amp;"|"&amp;'风险净现值'!K211&amp;"|"&amp;'风险净现值'!S212&amp;"|"&amp;'风险净现值'!K212&amp;"|"&amp;'风险净现值'!S213&amp;"|"&amp;'风险净现值'!K213&amp;"|"&amp;'风险净现值'!S214&amp;"|"&amp;'风险净现值'!K214&amp;"|"&amp;'风险净现值'!S215&amp;"|"&amp;'风险净现值'!K215&amp;"|"&amp;'风险净现值'!S216&amp;"|"&amp;'风险净现值'!K216&amp;"|"&amp;'风险净现值'!S217&amp;"|"&amp;'风险净现值'!K217&amp;"|"&amp;'风险净现值'!S218&amp;"|"&amp;'风险净现值'!K218&amp;"|"&amp;'风险净现值'!S219&amp;"|"&amp;'风险净现值'!K219&amp;"|"&amp;'风险净现值'!S220&amp;"|"&amp;'风险净现值'!K220&amp;"|"&amp;'风险净现值'!S221&amp;"|"&amp;'风险净现值'!K221&amp;"|"&amp;'风险净现值'!S222&amp;"|"&amp;'风险净现值'!K222&amp;"|"&amp;'风险净现值'!S223&amp;"|"&amp;'风险净现值'!K223&amp;"|"&amp;'风险净现值'!S224&amp;"|"&amp;'风险净现值'!K224&amp;"|"&amp;'风险净现值'!S225&amp;"|"&amp;'风险净现值'!K225&amp;"|"&amp;'风险净现值'!S226&amp;"|"&amp;'风险净现值'!K226&amp;"|"&amp;'风险净现值'!S227&amp;"|"&amp;'风险净现值'!K227&amp;"|"&amp;'风险净现值'!S228&amp;"|"&amp;'风险净现值'!K228&amp;"|"&amp;'风险净现值'!S229&amp;"|"&amp;'风险净现值'!K229&amp;"|"&amp;'风险净现值'!S230&amp;"|"&amp;'风险净现值'!K230</x:f>
        <x:v>1.7|38|3.8|2|0.955|0.9|0.5|0.18|0.2|0.095|6.8|2027.2683093771388|1.1|1|0.7|0.7282683093771389|2|1.730321697467488|4.5|2.729637234770705|7.5|3.728952772073922|11|4.728268309377139|14|5.730321697467488|16|6.729637234770705|18|7.728952772073922|19|8.728268309377139|19|9.730321697467488|18|10.729637234770705|17|11.728952772073923|15|12.728268309377139|12|13.730321697467488|9|14.729637234770705|6|15.728952772073923|0|0.7282683093771389|0|1.730321697467488|0.3|2.729637234770705|1|3.728952772073922|2.5|4.728268309377139|5|5.730321697467488|7.5|6.729637234770705|10|7.728952772073922|12|8.728268309377139|13|9.730321697467488|13|10.729637234770705|12|11.728952772073923|11|12.728268309377139|9|13.730321697467488|7|14.729637234770705|5|15.728952772073923</x:v>
      </x:c>
    </x:row>
    <x:row r="28" ht="23" customHeight="1">
      <x:c r="A28" s="11" t="str">
        <x:v>09926.HK</x:v>
      </x:c>
      <x:c r="B28" s="11" t="str">
        <x:v>康方生物</x:v>
      </x:c>
      <x:c r="C28" s="11" t="str">
        <x:v>一年</x:v>
      </x:c>
      <x:c r="D28" s="11" t="str">
        <x:v>悲观</x:v>
      </x:c>
      <x:c r="E28" s="11" t="n">
        <x:v>109.1</x:v>
      </x:c>
      <x:c r="F28" s="11" t="n">
        <x:v>14.55150612403958</x:v>
      </x:c>
      <x:c r="G28" s="11" t="n">
        <x:v>0</x:v>
      </x:c>
      <x:c r="H28" s="25" t="n">
        <x:v>-0.8666223086705813</x:v>
      </x:c>
      <x:c r="I28" s="25" t="n">
        <x:v>-0.8666223086705813</x:v>
      </x:c>
      <x:c r="J28" s="25" t="str"/>
      <x:c r="K28" s="11" t="str"/>
      <x:c r="L28" s="11" t="n">
        <x:v>19</x:v>
      </x:c>
      <x:c r="M28" s="11" t="n">
        <x:v>1.1</x:v>
      </x:c>
      <x:c r="N28" s="11" t="n">
        <x:v>0</x:v>
      </x:c>
      <x:c r="O28" s="11" t="str"/>
      <x:c r="P28" s="11" t="str"/>
      <x:c r="Q28" s="11" t="n">
        <x:v>0.985</x:v>
      </x:c>
      <x:c r="R28" s="11" t="str">
        <x:v>akeso-v2-year-end-cashflows</x:v>
      </x:c>
      <x:c r="S28" s="11" t="str">
        <x:v>2026-10-10</x:v>
      </x:c>
      <x:c r="T28" s="11" t="str">
        <x:f>IF(AND(SUM(IF(K28='假设'!E36,0,1),IF(L28='假设'!F36,0,1),IF(M28='假设'!G36,0,1),IF(N28='假设'!H36,0,1),IF(O28='假设'!I36,0,1),IF(P28='假设'!J36,0,1),IF(Q28='假设'!K36,0,1))=0,U28=V28),"已刷新","待刷新")</x:f>
        <x:v>已刷新</x:v>
      </x:c>
      <x:c r="U28" t="str">
        <x:v>0.55|19|2.5|1.2|0.985|0.35|0.1|0.1|0.2|0.14|6.8|2027.7693360711842|1.1|1|0|0.2272416153319644|0|1.2292950034223136|0.4|2.2286105407255303|0.9|3.2279260780287475|1.3|4.227241615331964|1.6|5.229295003422314|1.8|6.228610540725531|1.9|7.227926078028747|1.9|8.227241615331964|1.8|9.229295003422314|1.7|10.22861054072553|1.5|11.227926078028748|1.2|12.227241615331964|0.9|13.229295003422314|0.6|14.22861054072553|0.3|15.227926078028748|0|0.2272416153319644|0|1.2292950034223136|0|2.2286105407255303|0|3.2279260780287475|0|4.227241615331964|0.1|5.229295003422314|0.2|6.228610540725531|0.3|7.227926078028747|0.4|8.227241615331964|0.4|9.229295003422314|0.4|10.22861054072553|0.35|11.227926078028748|0.3|12.227241615331964|0.25|13.229295003422314|0.2|14.22861054072553|0.1|15.227926078028748</x:v>
      </x:c>
      <x:c r="V28" t="str">
        <x:f>'药物假设'!D36&amp;"|"&amp;'药物假设'!E36&amp;"|"&amp;'药物假设'!F36&amp;"|"&amp;'药物假设'!G36&amp;"|"&amp;'药物假设'!H36&amp;"|"&amp;'药物假设'!I36&amp;"|"&amp;'药物假设'!J36&amp;"|"&amp;'药物假设'!K36&amp;"|"&amp;'药物假设'!L36&amp;"|"&amp;'药物假设'!M36&amp;"|"&amp;'药物假设'!N36&amp;"|"&amp;'药物假设'!O36&amp;"|"&amp;'药物假设'!P36&amp;"|"&amp;'药物假设'!Q36&amp;"|"&amp;'风险净现值'!Q231&amp;"|"&amp;'风险净现值'!K231&amp;"|"&amp;'风险净现值'!Q232&amp;"|"&amp;'风险净现值'!K232&amp;"|"&amp;'风险净现值'!Q233&amp;"|"&amp;'风险净现值'!K233&amp;"|"&amp;'风险净现值'!Q234&amp;"|"&amp;'风险净现值'!K234&amp;"|"&amp;'风险净现值'!Q235&amp;"|"&amp;'风险净现值'!K235&amp;"|"&amp;'风险净现值'!Q236&amp;"|"&amp;'风险净现值'!K236&amp;"|"&amp;'风险净现值'!Q237&amp;"|"&amp;'风险净现值'!K237&amp;"|"&amp;'风险净现值'!Q238&amp;"|"&amp;'风险净现值'!K238&amp;"|"&amp;'风险净现值'!Q239&amp;"|"&amp;'风险净现值'!K239&amp;"|"&amp;'风险净现值'!Q240&amp;"|"&amp;'风险净现值'!K240&amp;"|"&amp;'风险净现值'!Q241&amp;"|"&amp;'风险净现值'!K241&amp;"|"&amp;'风险净现值'!Q242&amp;"|"&amp;'风险净现值'!K242&amp;"|"&amp;'风险净现值'!Q243&amp;"|"&amp;'风险净现值'!K243&amp;"|"&amp;'风险净现值'!Q244&amp;"|"&amp;'风险净现值'!K244&amp;"|"&amp;'风险净现值'!Q245&amp;"|"&amp;'风险净现值'!K245&amp;"|"&amp;'风险净现值'!Q246&amp;"|"&amp;'风险净现值'!K246&amp;"|"&amp;'风险净现值'!Q247&amp;"|"&amp;'风险净现值'!K247&amp;"|"&amp;'风险净现值'!Q248&amp;"|"&amp;'风险净现值'!K248&amp;"|"&amp;'风险净现值'!Q249&amp;"|"&amp;'风险净现值'!K249&amp;"|"&amp;'风险净现值'!Q250&amp;"|"&amp;'风险净现值'!K250&amp;"|"&amp;'风险净现值'!Q251&amp;"|"&amp;'风险净现值'!K251&amp;"|"&amp;'风险净现值'!Q252&amp;"|"&amp;'风险净现值'!K252&amp;"|"&amp;'风险净现值'!Q253&amp;"|"&amp;'风险净现值'!K253&amp;"|"&amp;'风险净现值'!Q254&amp;"|"&amp;'风险净现值'!K254&amp;"|"&amp;'风险净现值'!Q255&amp;"|"&amp;'风险净现值'!K255&amp;"|"&amp;'风险净现值'!Q256&amp;"|"&amp;'风险净现值'!K256&amp;"|"&amp;'风险净现值'!Q257&amp;"|"&amp;'风险净现值'!K257&amp;"|"&amp;'风险净现值'!Q258&amp;"|"&amp;'风险净现值'!K258&amp;"|"&amp;'风险净现值'!Q259&amp;"|"&amp;'风险净现值'!K259&amp;"|"&amp;'风险净现值'!Q260&amp;"|"&amp;'风险净现值'!K260&amp;"|"&amp;'风险净现值'!Q261&amp;"|"&amp;'风险净现值'!K261&amp;"|"&amp;'风险净现值'!Q262&amp;"|"&amp;'风险净现值'!K262</x:f>
        <x:v>0.55|19|2.5|1.2|0.985|0.35|0.1|0.1|0.2|0.14|6.8|2027.7693360711842|1.1|1|0|0.2272416153319644|0|1.2292950034223136|0.4|2.2286105407255303|0.9|3.2279260780287475|1.3|4.227241615331964|1.6|5.229295003422314|1.8|6.228610540725531|1.9|7.227926078028747|1.9|8.227241615331964|1.8|9.229295003422314|1.7|10.22861054072553|1.5|11.227926078028748|1.2|12.227241615331964|0.9|13.229295003422314|0.6|14.22861054072553|0.3|15.227926078028748|0|0.2272416153319644|0|1.2292950034223136|0|2.2286105407255303|0|3.2279260780287475|0|4.227241615331964|0.1|5.229295003422314|0.2|6.228610540725531|0.3|7.227926078028747|0.4|8.227241615331964|0.4|9.229295003422314|0.4|10.22861054072553|0.35|11.227926078028748|0.3|12.227241615331964|0.25|13.229295003422314|0.2|14.22861054072553|0.1|15.227926078028748</x:v>
      </x:c>
    </x:row>
    <x:row r="29" ht="23" customHeight="1">
      <x:c r="A29" s="11" t="str">
        <x:v>09926.HK</x:v>
      </x:c>
      <x:c r="B29" s="11" t="str">
        <x:v>康方生物</x:v>
      </x:c>
      <x:c r="C29" s="11" t="str">
        <x:v>一年</x:v>
      </x:c>
      <x:c r="D29" s="11" t="str">
        <x:v>基准</x:v>
      </x:c>
      <x:c r="E29" s="11" t="n">
        <x:v>109.1</x:v>
      </x:c>
      <x:c r="F29" s="11" t="n">
        <x:v>86.86690106693104</x:v>
      </x:c>
      <x:c r="G29" s="11" t="n">
        <x:v>0</x:v>
      </x:c>
      <x:c r="H29" s="25" t="n">
        <x:v>-0.20378642468440844</x:v>
      </x:c>
      <x:c r="I29" s="25" t="n">
        <x:v>-0.20378642468440844</x:v>
      </x:c>
      <x:c r="J29" s="25" t="str"/>
      <x:c r="K29" s="11" t="str"/>
      <x:c r="L29" s="11" t="n">
        <x:v>29</x:v>
      </x:c>
      <x:c r="M29" s="11" t="n">
        <x:v>1.1</x:v>
      </x:c>
      <x:c r="N29" s="11" t="n">
        <x:v>0</x:v>
      </x:c>
      <x:c r="O29" s="11" t="str"/>
      <x:c r="P29" s="11" t="str"/>
      <x:c r="Q29" s="11" t="n">
        <x:v>0.97</x:v>
      </x:c>
      <x:c r="R29" s="11" t="str">
        <x:v>akeso-v2-year-end-cashflows</x:v>
      </x:c>
      <x:c r="S29" s="11" t="str">
        <x:v>2026-10-10</x:v>
      </x:c>
      <x:c r="T29" s="11" t="str">
        <x:f>IF(AND(SUM(IF(K29='假设'!E37,0,1),IF(L29='假设'!F37,0,1),IF(M29='假设'!G37,0,1),IF(N29='假设'!H37,0,1),IF(O29='假设'!I37,0,1),IF(P29='假设'!J37,0,1),IF(Q29='假设'!K37,0,1))=0,U29=V29),"已刷新","待刷新")</x:f>
        <x:v>已刷新</x:v>
      </x:c>
      <x:c r="U29" t="str">
        <x:v>1.55|29|3.5|1.5|0.97|0.75|0.35|0.15|0.2|0.11|6.8|2027.7693360711842|1.1|1|0|0.2272416153319644|0.5|1.2292950034223136|1.6|2.2286105407255303|3.5|3.2279260780287475|5.5|4.227241615331964|7.5|5.229295003422314|9|6.228610540725531|10|7.227926078028747|10.5|8.227241615331964|10.5|9.229295003422314|10|10.22861054072553|9|11.227926078028748|8|12.227241615331964|6.5|13.229295003422314|5|14.22861054072553|3|15.227926078028748|0|0.2272416153319644|0|1.2292950034223136|0|2.2286105407255303|0.3|3.2279260780287475|0.8|4.227241615331964|1.5|5.229295003422314|2.5|6.228610540725531|3.5|7.227926078028747|4.5|8.227241615331964|5|9.229295003422314|5|10.22861054072553|4.5|11.227926078028748|4|12.227241615331964|3.2|13.229295003422314|2.5|14.22861054072553|1.5|15.227926078028748</x:v>
      </x:c>
      <x:c r="V29" t="str">
        <x:f>'药物假设'!D37&amp;"|"&amp;'药物假设'!E37&amp;"|"&amp;'药物假设'!F37&amp;"|"&amp;'药物假设'!G37&amp;"|"&amp;'药物假设'!H37&amp;"|"&amp;'药物假设'!I37&amp;"|"&amp;'药物假设'!J37&amp;"|"&amp;'药物假设'!K37&amp;"|"&amp;'药物假设'!L37&amp;"|"&amp;'药物假设'!M37&amp;"|"&amp;'药物假设'!N37&amp;"|"&amp;'药物假设'!O37&amp;"|"&amp;'药物假设'!P37&amp;"|"&amp;'药物假设'!Q37&amp;"|"&amp;'风险净现值'!R231&amp;"|"&amp;'风险净现值'!K231&amp;"|"&amp;'风险净现值'!R232&amp;"|"&amp;'风险净现值'!K232&amp;"|"&amp;'风险净现值'!R233&amp;"|"&amp;'风险净现值'!K233&amp;"|"&amp;'风险净现值'!R234&amp;"|"&amp;'风险净现值'!K234&amp;"|"&amp;'风险净现值'!R235&amp;"|"&amp;'风险净现值'!K235&amp;"|"&amp;'风险净现值'!R236&amp;"|"&amp;'风险净现值'!K236&amp;"|"&amp;'风险净现值'!R237&amp;"|"&amp;'风险净现值'!K237&amp;"|"&amp;'风险净现值'!R238&amp;"|"&amp;'风险净现值'!K238&amp;"|"&amp;'风险净现值'!R239&amp;"|"&amp;'风险净现值'!K239&amp;"|"&amp;'风险净现值'!R240&amp;"|"&amp;'风险净现值'!K240&amp;"|"&amp;'风险净现值'!R241&amp;"|"&amp;'风险净现值'!K241&amp;"|"&amp;'风险净现值'!R242&amp;"|"&amp;'风险净现值'!K242&amp;"|"&amp;'风险净现值'!R243&amp;"|"&amp;'风险净现值'!K243&amp;"|"&amp;'风险净现值'!R244&amp;"|"&amp;'风险净现值'!K244&amp;"|"&amp;'风险净现值'!R245&amp;"|"&amp;'风险净现值'!K245&amp;"|"&amp;'风险净现值'!R246&amp;"|"&amp;'风险净现值'!K246&amp;"|"&amp;'风险净现值'!R247&amp;"|"&amp;'风险净现值'!K247&amp;"|"&amp;'风险净现值'!R248&amp;"|"&amp;'风险净现值'!K248&amp;"|"&amp;'风险净现值'!R249&amp;"|"&amp;'风险净现值'!K249&amp;"|"&amp;'风险净现值'!R250&amp;"|"&amp;'风险净现值'!K250&amp;"|"&amp;'风险净现值'!R251&amp;"|"&amp;'风险净现值'!K251&amp;"|"&amp;'风险净现值'!R252&amp;"|"&amp;'风险净现值'!K252&amp;"|"&amp;'风险净现值'!R253&amp;"|"&amp;'风险净现值'!K253&amp;"|"&amp;'风险净现值'!R254&amp;"|"&amp;'风险净现值'!K254&amp;"|"&amp;'风险净现值'!R255&amp;"|"&amp;'风险净现值'!K255&amp;"|"&amp;'风险净现值'!R256&amp;"|"&amp;'风险净现值'!K256&amp;"|"&amp;'风险净现值'!R257&amp;"|"&amp;'风险净现值'!K257&amp;"|"&amp;'风险净现值'!R258&amp;"|"&amp;'风险净现值'!K258&amp;"|"&amp;'风险净现值'!R259&amp;"|"&amp;'风险净现值'!K259&amp;"|"&amp;'风险净现值'!R260&amp;"|"&amp;'风险净现值'!K260&amp;"|"&amp;'风险净现值'!R261&amp;"|"&amp;'风险净现值'!K261&amp;"|"&amp;'风险净现值'!R262&amp;"|"&amp;'风险净现值'!K262</x:f>
        <x:v>1.55|29|3.5|1.5|0.97|0.75|0.35|0.15|0.2|0.11|6.8|2027.7693360711842|1.1|1|0|0.2272416153319644|0.5|1.2292950034223136|1.6|2.2286105407255303|3.5|3.2279260780287475|5.5|4.227241615331964|7.5|5.229295003422314|9|6.228610540725531|10|7.227926078028747|10.5|8.227241615331964|10.5|9.229295003422314|10|10.22861054072553|9|11.227926078028748|8|12.227241615331964|6.5|13.229295003422314|5|14.22861054072553|3|15.227926078028748|0|0.2272416153319644|0|1.2292950034223136|0|2.2286105407255303|0.3|3.2279260780287475|0.8|4.227241615331964|1.5|5.229295003422314|2.5|6.228610540725531|3.5|7.227926078028747|4.5|8.227241615331964|5|9.229295003422314|5|10.22861054072553|4.5|11.227926078028748|4|12.227241615331964|3.2|13.229295003422314|2.5|14.22861054072553|1.5|15.227926078028748</x:v>
      </x:c>
    </x:row>
    <x:row r="30" ht="23" customHeight="1">
      <x:c r="A30" s="11" t="str">
        <x:v>09926.HK</x:v>
      </x:c>
      <x:c r="B30" s="11" t="str">
        <x:v>康方生物</x:v>
      </x:c>
      <x:c r="C30" s="11" t="str">
        <x:v>一年</x:v>
      </x:c>
      <x:c r="D30" s="11" t="str">
        <x:v>乐观</x:v>
      </x:c>
      <x:c r="E30" s="11" t="n">
        <x:v>109.1</x:v>
      </x:c>
      <x:c r="F30" s="11" t="n">
        <x:v>226.26689930524287</x:v>
      </x:c>
      <x:c r="G30" s="11" t="n">
        <x:v>0</x:v>
      </x:c>
      <x:c r="H30" s="25" t="n">
        <x:v>1.0739404152634546</x:v>
      </x:c>
      <x:c r="I30" s="25" t="n">
        <x:v>1.0739404152634546</x:v>
      </x:c>
      <x:c r="J30" s="25" t="str"/>
      <x:c r="K30" s="11" t="str"/>
      <x:c r="L30" s="11" t="n">
        <x:v>35</x:v>
      </x:c>
      <x:c r="M30" s="11" t="n">
        <x:v>1.1</x:v>
      </x:c>
      <x:c r="N30" s="11" t="n">
        <x:v>0</x:v>
      </x:c>
      <x:c r="O30" s="11" t="str"/>
      <x:c r="P30" s="11" t="str"/>
      <x:c r="Q30" s="11" t="n">
        <x:v>0.97</x:v>
      </x:c>
      <x:c r="R30" s="11" t="str">
        <x:v>akeso-v2-year-end-cashflows</x:v>
      </x:c>
      <x:c r="S30" s="11" t="str">
        <x:v>2026-10-10</x:v>
      </x:c>
      <x:c r="T30" s="11" t="str">
        <x:f>IF(AND(SUM(IF(K30='假设'!E38,0,1),IF(L30='假设'!F38,0,1),IF(M30='假设'!G38,0,1),IF(N30='假设'!H38,0,1),IF(O30='假设'!I38,0,1),IF(P30='假设'!J38,0,1),IF(Q30='假设'!K38,0,1))=0,U30=V30),"已刷新","待刷新")</x:f>
        <x:v>已刷新</x:v>
      </x:c>
      <x:c r="U30" t="str">
        <x:v>2.5|35|4.1|2|0.97|0.95|0.6|0.18|0.2|0.095|6.8|2027.7693360711842|1.1|1|0.7|0.2272416153319644|2|1.2292950034223136|4.5|2.2286105407255303|7.5|3.2279260780287475|11|4.227241615331964|14|5.229295003422314|16|6.228610540725531|18|7.227926078028747|19|8.227241615331964|19|9.229295003422314|18|10.22861054072553|17|11.227926078028748|15|12.227241615331964|12|13.229295003422314|9|14.22861054072553|6|15.227926078028748|0|0.2272416153319644|0|1.2292950034223136|0.3|2.2286105407255303|1|3.2279260780287475|2.5|4.227241615331964|5|5.229295003422314|7.5|6.228610540725531|10|7.227926078028747|12|8.227241615331964|13|9.229295003422314|13|10.22861054072553|12|11.227926078028748|11|12.227241615331964|9|13.229295003422314|7|14.22861054072553|5|15.227926078028748</x:v>
      </x:c>
      <x:c r="V30" t="str">
        <x:f>'药物假设'!D38&amp;"|"&amp;'药物假设'!E38&amp;"|"&amp;'药物假设'!F38&amp;"|"&amp;'药物假设'!G38&amp;"|"&amp;'药物假设'!H38&amp;"|"&amp;'药物假设'!I38&amp;"|"&amp;'药物假设'!J38&amp;"|"&amp;'药物假设'!K38&amp;"|"&amp;'药物假设'!L38&amp;"|"&amp;'药物假设'!M38&amp;"|"&amp;'药物假设'!N38&amp;"|"&amp;'药物假设'!O38&amp;"|"&amp;'药物假设'!P38&amp;"|"&amp;'药物假设'!Q38&amp;"|"&amp;'风险净现值'!S231&amp;"|"&amp;'风险净现值'!K231&amp;"|"&amp;'风险净现值'!S232&amp;"|"&amp;'风险净现值'!K232&amp;"|"&amp;'风险净现值'!S233&amp;"|"&amp;'风险净现值'!K233&amp;"|"&amp;'风险净现值'!S234&amp;"|"&amp;'风险净现值'!K234&amp;"|"&amp;'风险净现值'!S235&amp;"|"&amp;'风险净现值'!K235&amp;"|"&amp;'风险净现值'!S236&amp;"|"&amp;'风险净现值'!K236&amp;"|"&amp;'风险净现值'!S237&amp;"|"&amp;'风险净现值'!K237&amp;"|"&amp;'风险净现值'!S238&amp;"|"&amp;'风险净现值'!K238&amp;"|"&amp;'风险净现值'!S239&amp;"|"&amp;'风险净现值'!K239&amp;"|"&amp;'风险净现值'!S240&amp;"|"&amp;'风险净现值'!K240&amp;"|"&amp;'风险净现值'!S241&amp;"|"&amp;'风险净现值'!K241&amp;"|"&amp;'风险净现值'!S242&amp;"|"&amp;'风险净现值'!K242&amp;"|"&amp;'风险净现值'!S243&amp;"|"&amp;'风险净现值'!K243&amp;"|"&amp;'风险净现值'!S244&amp;"|"&amp;'风险净现值'!K244&amp;"|"&amp;'风险净现值'!S245&amp;"|"&amp;'风险净现值'!K245&amp;"|"&amp;'风险净现值'!S246&amp;"|"&amp;'风险净现值'!K246&amp;"|"&amp;'风险净现值'!S247&amp;"|"&amp;'风险净现值'!K247&amp;"|"&amp;'风险净现值'!S248&amp;"|"&amp;'风险净现值'!K248&amp;"|"&amp;'风险净现值'!S249&amp;"|"&amp;'风险净现值'!K249&amp;"|"&amp;'风险净现值'!S250&amp;"|"&amp;'风险净现值'!K250&amp;"|"&amp;'风险净现值'!S251&amp;"|"&amp;'风险净现值'!K251&amp;"|"&amp;'风险净现值'!S252&amp;"|"&amp;'风险净现值'!K252&amp;"|"&amp;'风险净现值'!S253&amp;"|"&amp;'风险净现值'!K253&amp;"|"&amp;'风险净现值'!S254&amp;"|"&amp;'风险净现值'!K254&amp;"|"&amp;'风险净现值'!S255&amp;"|"&amp;'风险净现值'!K255&amp;"|"&amp;'风险净现值'!S256&amp;"|"&amp;'风险净现值'!K256&amp;"|"&amp;'风险净现值'!S257&amp;"|"&amp;'风险净现值'!K257&amp;"|"&amp;'风险净现值'!S258&amp;"|"&amp;'风险净现值'!K258&amp;"|"&amp;'风险净现值'!S259&amp;"|"&amp;'风险净现值'!K259&amp;"|"&amp;'风险净现值'!S260&amp;"|"&amp;'风险净现值'!K260&amp;"|"&amp;'风险净现值'!S261&amp;"|"&amp;'风险净现值'!K261&amp;"|"&amp;'风险净现值'!S262&amp;"|"&amp;'风险净现值'!K262</x:f>
        <x:v>2.5|35|4.1|2|0.97|0.95|0.6|0.18|0.2|0.095|6.8|2027.7693360711842|1.1|1|0.7|0.2272416153319644|2|1.2292950034223136|4.5|2.2286105407255303|7.5|3.2279260780287475|11|4.227241615331964|14|5.229295003422314|16|6.228610540725531|18|7.227926078028747|19|8.227241615331964|19|9.229295003422314|18|10.22861054072553|17|11.227926078028748|15|12.227241615331964|12|13.229295003422314|9|14.22861054072553|6|15.227926078028748|0|0.2272416153319644|0|1.2292950034223136|0.3|2.2286105407255303|1|3.2279260780287475|2.5|4.227241615331964|5|5.229295003422314|7.5|6.228610540725531|10|7.227926078028747|12|8.227241615331964|13|9.229295003422314|13|10.22861054072553|12|11.227926078028748|11|12.227241615331964|9|13.229295003422314|7|14.22861054072553|5|15.227926078028748</x:v>
      </x:c>
    </x:row>
    <x:row r="31" ht="23" customHeight="1">
      <x:c r="A31" s="11" t="str">
        <x:v>09926.HK</x:v>
      </x:c>
      <x:c r="B31" s="11" t="str">
        <x:v>康方生物</x:v>
      </x:c>
      <x:c r="C31" s="11" t="str">
        <x:v>三年</x:v>
      </x:c>
      <x:c r="D31" s="11" t="str">
        <x:v>悲观</x:v>
      </x:c>
      <x:c r="E31" s="11" t="n">
        <x:v>109.1</x:v>
      </x:c>
      <x:c r="F31" s="11" t="n">
        <x:v>17.061760402344465</x:v>
      </x:c>
      <x:c r="G31" s="11" t="n">
        <x:v>0</x:v>
      </x:c>
      <x:c r="H31" s="25" t="n">
        <x:v>-0.843613561848355</x:v>
      </x:c>
      <x:c r="I31" s="25" t="n">
        <x:v>-0.843613561848355</x:v>
      </x:c>
      <x:c r="J31" s="25" t="n">
        <x:v>-0.46123460132145744</x:v>
      </x:c>
      <x:c r="K31" s="11" t="str"/>
      <x:c r="L31" s="11" t="n">
        <x:v>17</x:v>
      </x:c>
      <x:c r="M31" s="11" t="n">
        <x:v>1.1</x:v>
      </x:c>
      <x:c r="N31" s="11" t="n">
        <x:v>0</x:v>
      </x:c>
      <x:c r="O31" s="11" t="str"/>
      <x:c r="P31" s="11" t="str"/>
      <x:c r="Q31" s="11" t="n">
        <x:v>1.03</x:v>
      </x:c>
      <x:c r="R31" s="11" t="str">
        <x:v>akeso-v2-year-end-cashflows</x:v>
      </x:c>
      <x:c r="S31" s="11" t="str">
        <x:v>2026-10-10</x:v>
      </x:c>
      <x:c r="T31" s="11" t="str">
        <x:f>IF(AND(SUM(IF(K31='假设'!E40,0,1),IF(L31='假设'!F40,0,1),IF(M31='假设'!G40,0,1),IF(N31='假设'!H40,0,1),IF(O31='假设'!I40,0,1),IF(P31='假设'!J40,0,1),IF(Q31='假设'!K40,0,1))=0,U31=V31),"已刷新","待刷新")</x:f>
        <x:v>已刷新</x:v>
      </x:c>
      <x:c r="U31" t="str">
        <x:v>0.8|17|2|1.3|1.03|0.35|0.12|0.1|0.2|0.14|6.8|2029.7693360711842|1.1|1|0|0|0|0|0.4|0.2272416153319644|0.9|1.2265571526351813|1.3|2.2258726899383983|1.6|3.2279260780287475|1.8|4.227241615331964|1.9|5.2265571526351815|1.9|6.225872689938399|1.8|7.227926078028747|1.7|8.227241615331964|1.5|9.22655715263518|1.2|10.225872689938399|0.9|11.227926078028748|0.6|12.227241615331964|0.3|13.22655715263518|0|0|0|0|0|0.2272416153319644|0|1.2265571526351813|0|2.2258726899383983|0.1|3.2279260780287475|0.2|4.227241615331964|0.3|5.2265571526351815|0.4|6.225872689938399|0.4|7.227926078028747|0.4|8.227241615331964|0.35|9.22655715263518|0.3|10.225872689938399|0.25|11.227926078028748|0.2|12.227241615331964|0.1|13.22655715263518</x:v>
      </x:c>
      <x:c r="V31" t="str">
        <x:f>'药物假设'!D40&amp;"|"&amp;'药物假设'!E40&amp;"|"&amp;'药物假设'!F40&amp;"|"&amp;'药物假设'!G40&amp;"|"&amp;'药物假设'!H40&amp;"|"&amp;'药物假设'!I40&amp;"|"&amp;'药物假设'!J40&amp;"|"&amp;'药物假设'!K40&amp;"|"&amp;'药物假设'!L40&amp;"|"&amp;'药物假设'!M40&amp;"|"&amp;'药物假设'!N40&amp;"|"&amp;'药物假设'!O40&amp;"|"&amp;'药物假设'!P40&amp;"|"&amp;'药物假设'!Q40&amp;"|"&amp;'风险净现值'!Q263&amp;"|"&amp;'风险净现值'!K263&amp;"|"&amp;'风险净现值'!Q264&amp;"|"&amp;'风险净现值'!K264&amp;"|"&amp;'风险净现值'!Q265&amp;"|"&amp;'风险净现值'!K265&amp;"|"&amp;'风险净现值'!Q266&amp;"|"&amp;'风险净现值'!K266&amp;"|"&amp;'风险净现值'!Q267&amp;"|"&amp;'风险净现值'!K267&amp;"|"&amp;'风险净现值'!Q268&amp;"|"&amp;'风险净现值'!K268&amp;"|"&amp;'风险净现值'!Q269&amp;"|"&amp;'风险净现值'!K269&amp;"|"&amp;'风险净现值'!Q270&amp;"|"&amp;'风险净现值'!K270&amp;"|"&amp;'风险净现值'!Q271&amp;"|"&amp;'风险净现值'!K271&amp;"|"&amp;'风险净现值'!Q272&amp;"|"&amp;'风险净现值'!K272&amp;"|"&amp;'风险净现值'!Q273&amp;"|"&amp;'风险净现值'!K273&amp;"|"&amp;'风险净现值'!Q274&amp;"|"&amp;'风险净现值'!K274&amp;"|"&amp;'风险净现值'!Q275&amp;"|"&amp;'风险净现值'!K275&amp;"|"&amp;'风险净现值'!Q276&amp;"|"&amp;'风险净现值'!K276&amp;"|"&amp;'风险净现值'!Q277&amp;"|"&amp;'风险净现值'!K277&amp;"|"&amp;'风险净现值'!Q278&amp;"|"&amp;'风险净现值'!K278&amp;"|"&amp;'风险净现值'!Q279&amp;"|"&amp;'风险净现值'!K279&amp;"|"&amp;'风险净现值'!Q280&amp;"|"&amp;'风险净现值'!K280&amp;"|"&amp;'风险净现值'!Q281&amp;"|"&amp;'风险净现值'!K281&amp;"|"&amp;'风险净现值'!Q282&amp;"|"&amp;'风险净现值'!K282&amp;"|"&amp;'风险净现值'!Q283&amp;"|"&amp;'风险净现值'!K283&amp;"|"&amp;'风险净现值'!Q284&amp;"|"&amp;'风险净现值'!K284&amp;"|"&amp;'风险净现值'!Q285&amp;"|"&amp;'风险净现值'!K285&amp;"|"&amp;'风险净现值'!Q286&amp;"|"&amp;'风险净现值'!K286&amp;"|"&amp;'风险净现值'!Q287&amp;"|"&amp;'风险净现值'!K287&amp;"|"&amp;'风险净现值'!Q288&amp;"|"&amp;'风险净现值'!K288&amp;"|"&amp;'风险净现值'!Q289&amp;"|"&amp;'风险净现值'!K289&amp;"|"&amp;'风险净现值'!Q290&amp;"|"&amp;'风险净现值'!K290&amp;"|"&amp;'风险净现值'!Q291&amp;"|"&amp;'风险净现值'!K291&amp;"|"&amp;'风险净现值'!Q292&amp;"|"&amp;'风险净现值'!K292&amp;"|"&amp;'风险净现值'!Q293&amp;"|"&amp;'风险净现值'!K293&amp;"|"&amp;'风险净现值'!Q294&amp;"|"&amp;'风险净现值'!K294</x:f>
        <x:v>0.8|17|2|1.3|1.03|0.35|0.12|0.1|0.2|0.14|6.8|2029.7693360711842|1.1|1|0|0|0|0|0.4|0.2272416153319644|0.9|1.2265571526351813|1.3|2.2258726899383983|1.6|3.2279260780287475|1.8|4.227241615331964|1.9|5.2265571526351815|1.9|6.225872689938399|1.8|7.227926078028747|1.7|8.227241615331964|1.5|9.22655715263518|1.2|10.225872689938399|0.9|11.227926078028748|0.6|12.227241615331964|0.3|13.22655715263518|0|0|0|0|0|0.2272416153319644|0|1.2265571526351813|0|2.2258726899383983|0.1|3.2279260780287475|0.2|4.227241615331964|0.3|5.2265571526351815|0.4|6.225872689938399|0.4|7.227926078028747|0.4|8.227241615331964|0.35|9.22655715263518|0.3|10.225872689938399|0.25|11.227926078028748|0.2|12.227241615331964|0.1|13.22655715263518</x:v>
      </x:c>
    </x:row>
    <x:row r="32" ht="23" customHeight="1">
      <x:c r="A32" s="11" t="str">
        <x:v>09926.HK</x:v>
      </x:c>
      <x:c r="B32" s="11" t="str">
        <x:v>康方生物</x:v>
      </x:c>
      <x:c r="C32" s="11" t="str">
        <x:v>三年</x:v>
      </x:c>
      <x:c r="D32" s="11" t="str">
        <x:v>基准</x:v>
      </x:c>
      <x:c r="E32" s="11" t="n">
        <x:v>109.1</x:v>
      </x:c>
      <x:c r="F32" s="11" t="n">
        <x:v>125.0304799536091</x:v>
      </x:c>
      <x:c r="G32" s="11" t="n">
        <x:v>0</x:v>
      </x:c>
      <x:c r="H32" s="25" t="n">
        <x:v>0.14601723147212753</x:v>
      </x:c>
      <x:c r="I32" s="25" t="n">
        <x:v>0.14601723147212753</x:v>
      </x:c>
      <x:c r="J32" s="25" t="n">
        <x:v>0.046478674520409324</x:v>
      </x:c>
      <x:c r="K32" s="11" t="str"/>
      <x:c r="L32" s="11" t="n">
        <x:v>25</x:v>
      </x:c>
      <x:c r="M32" s="11" t="n">
        <x:v>1.1</x:v>
      </x:c>
      <x:c r="N32" s="11" t="n">
        <x:v>0</x:v>
      </x:c>
      <x:c r="O32" s="11" t="str"/>
      <x:c r="P32" s="11" t="str"/>
      <x:c r="Q32" s="11" t="n">
        <x:v>1</x:v>
      </x:c>
      <x:c r="R32" s="11" t="str">
        <x:v>akeso-v2-year-end-cashflows</x:v>
      </x:c>
      <x:c r="S32" s="11" t="str">
        <x:v>2026-10-10</x:v>
      </x:c>
      <x:c r="T32" s="11" t="str">
        <x:f>IF(AND(SUM(IF(K32='假设'!E41,0,1),IF(L32='假设'!F41,0,1),IF(M32='假设'!G41,0,1),IF(N32='假设'!H41,0,1),IF(O32='假设'!I41,0,1),IF(P32='假设'!J41,0,1),IF(Q32='假设'!K41,0,1))=0,U32=V32),"已刷新","待刷新")</x:f>
        <x:v>已刷新</x:v>
      </x:c>
      <x:c r="U32" t="str">
        <x:v>2.7|25|4|1.6|1|0.88|0.5|0.15|0.2|0.11|6.8|2029.7693360711842|1.1|1|0|0|0.5|0|1.6|0.2272416153319644|3.5|1.2265571526351813|5.5|2.2258726899383983|7.5|3.2279260780287475|9|4.227241615331964|10|5.2265571526351815|10.5|6.225872689938399|10.5|7.227926078028747|10|8.227241615331964|9|9.22655715263518|8|10.225872689938399|6.5|11.227926078028748|5|12.227241615331964|3|13.22655715263518|0|0|0|0|0|0.2272416153319644|0.3|1.2265571526351813|0.8|2.2258726899383983|1.5|3.2279260780287475|2.5|4.227241615331964|3.5|5.2265571526351815|4.5|6.225872689938399|5|7.227926078028747|5|8.227241615331964|4.5|9.22655715263518|4|10.225872689938399|3.2|11.227926078028748|2.5|12.227241615331964|1.5|13.22655715263518</x:v>
      </x:c>
      <x:c r="V32" t="str">
        <x:f>'药物假设'!D41&amp;"|"&amp;'药物假设'!E41&amp;"|"&amp;'药物假设'!F41&amp;"|"&amp;'药物假设'!G41&amp;"|"&amp;'药物假设'!H41&amp;"|"&amp;'药物假设'!I41&amp;"|"&amp;'药物假设'!J41&amp;"|"&amp;'药物假设'!K41&amp;"|"&amp;'药物假设'!L41&amp;"|"&amp;'药物假设'!M41&amp;"|"&amp;'药物假设'!N41&amp;"|"&amp;'药物假设'!O41&amp;"|"&amp;'药物假设'!P41&amp;"|"&amp;'药物假设'!Q41&amp;"|"&amp;'风险净现值'!R263&amp;"|"&amp;'风险净现值'!K263&amp;"|"&amp;'风险净现值'!R264&amp;"|"&amp;'风险净现值'!K264&amp;"|"&amp;'风险净现值'!R265&amp;"|"&amp;'风险净现值'!K265&amp;"|"&amp;'风险净现值'!R266&amp;"|"&amp;'风险净现值'!K266&amp;"|"&amp;'风险净现值'!R267&amp;"|"&amp;'风险净现值'!K267&amp;"|"&amp;'风险净现值'!R268&amp;"|"&amp;'风险净现值'!K268&amp;"|"&amp;'风险净现值'!R269&amp;"|"&amp;'风险净现值'!K269&amp;"|"&amp;'风险净现值'!R270&amp;"|"&amp;'风险净现值'!K270&amp;"|"&amp;'风险净现值'!R271&amp;"|"&amp;'风险净现值'!K271&amp;"|"&amp;'风险净现值'!R272&amp;"|"&amp;'风险净现值'!K272&amp;"|"&amp;'风险净现值'!R273&amp;"|"&amp;'风险净现值'!K273&amp;"|"&amp;'风险净现值'!R274&amp;"|"&amp;'风险净现值'!K274&amp;"|"&amp;'风险净现值'!R275&amp;"|"&amp;'风险净现值'!K275&amp;"|"&amp;'风险净现值'!R276&amp;"|"&amp;'风险净现值'!K276&amp;"|"&amp;'风险净现值'!R277&amp;"|"&amp;'风险净现值'!K277&amp;"|"&amp;'风险净现值'!R278&amp;"|"&amp;'风险净现值'!K278&amp;"|"&amp;'风险净现值'!R279&amp;"|"&amp;'风险净现值'!K279&amp;"|"&amp;'风险净现值'!R280&amp;"|"&amp;'风险净现值'!K280&amp;"|"&amp;'风险净现值'!R281&amp;"|"&amp;'风险净现值'!K281&amp;"|"&amp;'风险净现值'!R282&amp;"|"&amp;'风险净现值'!K282&amp;"|"&amp;'风险净现值'!R283&amp;"|"&amp;'风险净现值'!K283&amp;"|"&amp;'风险净现值'!R284&amp;"|"&amp;'风险净现值'!K284&amp;"|"&amp;'风险净现值'!R285&amp;"|"&amp;'风险净现值'!K285&amp;"|"&amp;'风险净现值'!R286&amp;"|"&amp;'风险净现值'!K286&amp;"|"&amp;'风险净现值'!R287&amp;"|"&amp;'风险净现值'!K287&amp;"|"&amp;'风险净现值'!R288&amp;"|"&amp;'风险净现值'!K288&amp;"|"&amp;'风险净现值'!R289&amp;"|"&amp;'风险净现值'!K289&amp;"|"&amp;'风险净现值'!R290&amp;"|"&amp;'风险净现值'!K290&amp;"|"&amp;'风险净现值'!R291&amp;"|"&amp;'风险净现值'!K291&amp;"|"&amp;'风险净现值'!R292&amp;"|"&amp;'风险净现值'!K292&amp;"|"&amp;'风险净现值'!R293&amp;"|"&amp;'风险净现值'!K293&amp;"|"&amp;'风险净现值'!R294&amp;"|"&amp;'风险净现值'!K294</x:f>
        <x:v>2.7|25|4|1.6|1|0.88|0.5|0.15|0.2|0.11|6.8|2029.7693360711842|1.1|1|0|0|0.5|0|1.6|0.2272416153319644|3.5|1.2265571526351813|5.5|2.2258726899383983|7.5|3.2279260780287475|9|4.227241615331964|10|5.2265571526351815|10.5|6.225872689938399|10.5|7.227926078028747|10|8.227241615331964|9|9.22655715263518|8|10.225872689938399|6.5|11.227926078028748|5|12.227241615331964|3|13.22655715263518|0|0|0|0|0|0.2272416153319644|0.3|1.2265571526351813|0.8|2.2258726899383983|1.5|3.2279260780287475|2.5|4.227241615331964|3.5|5.2265571526351815|4.5|6.225872689938399|5|7.227926078028747|5|8.227241615331964|4.5|9.22655715263518|4|10.225872689938399|3.2|11.227926078028748|2.5|12.227241615331964|1.5|13.22655715263518</x:v>
      </x:c>
    </x:row>
    <x:row r="33" ht="23" customHeight="1">
      <x:c r="A33" s="11" t="str">
        <x:v>09926.HK</x:v>
      </x:c>
      <x:c r="B33" s="11" t="str">
        <x:v>康方生物</x:v>
      </x:c>
      <x:c r="C33" s="11" t="str">
        <x:v>三年</x:v>
      </x:c>
      <x:c r="D33" s="11" t="str">
        <x:v>乐观</x:v>
      </x:c>
      <x:c r="E33" s="11" t="n">
        <x:v>109.1</x:v>
      </x:c>
      <x:c r="F33" s="11" t="n">
        <x:v>318.40811164385667</x:v>
      </x:c>
      <x:c r="G33" s="11" t="n">
        <x:v>0</x:v>
      </x:c>
      <x:c r="H33" s="25" t="n">
        <x:v>1.9184978152507486</x:v>
      </x:c>
      <x:c r="I33" s="25" t="n">
        <x:v>1.9184978152507486</x:v>
      </x:c>
      <x:c r="J33" s="25" t="n">
        <x:v>0.42906875571781367</x:v>
      </x:c>
      <x:c r="K33" s="11" t="str"/>
      <x:c r="L33" s="11" t="n">
        <x:v>32</x:v>
      </x:c>
      <x:c r="M33" s="11" t="n">
        <x:v>1.1</x:v>
      </x:c>
      <x:c r="N33" s="11" t="n">
        <x:v>0</x:v>
      </x:c>
      <x:c r="O33" s="11" t="str"/>
      <x:c r="P33" s="11" t="str"/>
      <x:c r="Q33" s="11" t="n">
        <x:v>1</x:v>
      </x:c>
      <x:c r="R33" s="11" t="str">
        <x:v>akeso-v2-year-end-cashflows</x:v>
      </x:c>
      <x:c r="S33" s="11" t="str">
        <x:v>2026-10-10</x:v>
      </x:c>
      <x:c r="T33" s="11" t="str">
        <x:f>IF(AND(SUM(IF(K33='假设'!E42,0,1),IF(L33='假设'!F42,0,1),IF(M33='假设'!G42,0,1),IF(N33='假设'!H42,0,1),IF(O33='假设'!I42,0,1),IF(P33='假设'!J42,0,1),IF(Q33='假设'!K42,0,1))=0,U33=V33),"已刷新","待刷新")</x:f>
        <x:v>已刷新</x:v>
      </x:c>
      <x:c r="U33" t="str">
        <x:v>4.4|32|6|2.2|1|1|0.8|0.18|0.2|0.095|6.8|2029.7693360711842|1.1|1|0.7|0|2|0|4.5|0.2272416153319644|7.5|1.2265571526351813|11|2.2258726899383983|14|3.2279260780287475|16|4.227241615331964|18|5.2265571526351815|19|6.225872689938399|19|7.227926078028747|18|8.227241615331964|17|9.22655715263518|15|10.225872689938399|12|11.227926078028748|9|12.227241615331964|6|13.22655715263518|0|0|0|0|0.3|0.2272416153319644|1|1.2265571526351813|2.5|2.2258726899383983|5|3.2279260780287475|7.5|4.227241615331964|10|5.2265571526351815|12|6.225872689938399|13|7.227926078028747|13|8.227241615331964|12|9.22655715263518|11|10.225872689938399|9|11.227926078028748|7|12.227241615331964|5|13.22655715263518</x:v>
      </x:c>
      <x:c r="V33" t="str">
        <x:f>'药物假设'!D42&amp;"|"&amp;'药物假设'!E42&amp;"|"&amp;'药物假设'!F42&amp;"|"&amp;'药物假设'!G42&amp;"|"&amp;'药物假设'!H42&amp;"|"&amp;'药物假设'!I42&amp;"|"&amp;'药物假设'!J42&amp;"|"&amp;'药物假设'!K42&amp;"|"&amp;'药物假设'!L42&amp;"|"&amp;'药物假设'!M42&amp;"|"&amp;'药物假设'!N42&amp;"|"&amp;'药物假设'!O42&amp;"|"&amp;'药物假设'!P42&amp;"|"&amp;'药物假设'!Q42&amp;"|"&amp;'风险净现值'!S263&amp;"|"&amp;'风险净现值'!K263&amp;"|"&amp;'风险净现值'!S264&amp;"|"&amp;'风险净现值'!K264&amp;"|"&amp;'风险净现值'!S265&amp;"|"&amp;'风险净现值'!K265&amp;"|"&amp;'风险净现值'!S266&amp;"|"&amp;'风险净现值'!K266&amp;"|"&amp;'风险净现值'!S267&amp;"|"&amp;'风险净现值'!K267&amp;"|"&amp;'风险净现值'!S268&amp;"|"&amp;'风险净现值'!K268&amp;"|"&amp;'风险净现值'!S269&amp;"|"&amp;'风险净现值'!K269&amp;"|"&amp;'风险净现值'!S270&amp;"|"&amp;'风险净现值'!K270&amp;"|"&amp;'风险净现值'!S271&amp;"|"&amp;'风险净现值'!K271&amp;"|"&amp;'风险净现值'!S272&amp;"|"&amp;'风险净现值'!K272&amp;"|"&amp;'风险净现值'!S273&amp;"|"&amp;'风险净现值'!K273&amp;"|"&amp;'风险净现值'!S274&amp;"|"&amp;'风险净现值'!K274&amp;"|"&amp;'风险净现值'!S275&amp;"|"&amp;'风险净现值'!K275&amp;"|"&amp;'风险净现值'!S276&amp;"|"&amp;'风险净现值'!K276&amp;"|"&amp;'风险净现值'!S277&amp;"|"&amp;'风险净现值'!K277&amp;"|"&amp;'风险净现值'!S278&amp;"|"&amp;'风险净现值'!K278&amp;"|"&amp;'风险净现值'!S279&amp;"|"&amp;'风险净现值'!K279&amp;"|"&amp;'风险净现值'!S280&amp;"|"&amp;'风险净现值'!K280&amp;"|"&amp;'风险净现值'!S281&amp;"|"&amp;'风险净现值'!K281&amp;"|"&amp;'风险净现值'!S282&amp;"|"&amp;'风险净现值'!K282&amp;"|"&amp;'风险净现值'!S283&amp;"|"&amp;'风险净现值'!K283&amp;"|"&amp;'风险净现值'!S284&amp;"|"&amp;'风险净现值'!K284&amp;"|"&amp;'风险净现值'!S285&amp;"|"&amp;'风险净现值'!K285&amp;"|"&amp;'风险净现值'!S286&amp;"|"&amp;'风险净现值'!K286&amp;"|"&amp;'风险净现值'!S287&amp;"|"&amp;'风险净现值'!K287&amp;"|"&amp;'风险净现值'!S288&amp;"|"&amp;'风险净现值'!K288&amp;"|"&amp;'风险净现值'!S289&amp;"|"&amp;'风险净现值'!K289&amp;"|"&amp;'风险净现值'!S290&amp;"|"&amp;'风险净现值'!K290&amp;"|"&amp;'风险净现值'!S291&amp;"|"&amp;'风险净现值'!K291&amp;"|"&amp;'风险净现值'!S292&amp;"|"&amp;'风险净现值'!K292&amp;"|"&amp;'风险净现值'!S293&amp;"|"&amp;'风险净现值'!K293&amp;"|"&amp;'风险净现值'!S294&amp;"|"&amp;'风险净现值'!K294</x:f>
        <x:v>4.4|32|6|2.2|1|1|0.8|0.18|0.2|0.095|6.8|2029.7693360711842|1.1|1|0.7|0|2|0|4.5|0.2272416153319644|7.5|1.2265571526351813|11|2.2258726899383983|14|3.2279260780287475|16|4.227241615331964|18|5.2265571526351815|19|6.225872689938399|19|7.227926078028747|18|8.227241615331964|17|9.22655715263518|15|10.225872689938399|12|11.227926078028748|9|12.227241615331964|6|13.22655715263518|0|0|0|0|0.3|0.2272416153319644|1|1.2265571526351813|2.5|2.2258726899383983|5|3.2279260780287475|7.5|4.227241615331964|10|5.2265571526351815|12|6.225872689938399|13|7.227926078028747|13|8.227241615331964|12|9.22655715263518|11|10.225872689938399|9|11.227926078028748|7|12.227241615331964|5|13.22655715263518</x:v>
      </x:c>
    </x:row>
    <x:row r="34" ht="23" customHeight="1">
      <x:c r="A34" s="11" t="str">
        <x:v>09926.HK</x:v>
      </x:c>
      <x:c r="B34" s="11" t="str">
        <x:v>康方生物</x:v>
      </x:c>
      <x:c r="C34" s="11" t="str">
        <x:v>五年</x:v>
      </x:c>
      <x:c r="D34" s="11" t="str">
        <x:v>悲观</x:v>
      </x:c>
      <x:c r="E34" s="11" t="n">
        <x:v>109.1</x:v>
      </x:c>
      <x:c r="F34" s="11" t="n">
        <x:v>17.147986093113158</x:v>
      </x:c>
      <x:c r="G34" s="11" t="n">
        <x:v>0</x:v>
      </x:c>
      <x:c r="H34" s="25" t="n">
        <x:v>-0.842823225544334</x:v>
      </x:c>
      <x:c r="I34" s="25" t="n">
        <x:v>-0.842823225544334</x:v>
      </x:c>
      <x:c r="J34" s="25" t="n">
        <x:v>-0.30931873714652847</x:v>
      </x:c>
      <x:c r="K34" s="11" t="str"/>
      <x:c r="L34" s="11" t="n">
        <x:v>15</x:v>
      </x:c>
      <x:c r="M34" s="11" t="n">
        <x:v>1.1</x:v>
      </x:c>
      <x:c r="N34" s="11" t="n">
        <x:v>0</x:v>
      </x:c>
      <x:c r="O34" s="11" t="str"/>
      <x:c r="P34" s="11" t="str"/>
      <x:c r="Q34" s="11" t="n">
        <x:v>1.09</x:v>
      </x:c>
      <x:c r="R34" s="11" t="str">
        <x:v>akeso-v2-year-end-cashflows</x:v>
      </x:c>
      <x:c r="S34" s="11" t="str">
        <x:v>2026-10-10</x:v>
      </x:c>
      <x:c r="T34" s="11" t="str">
        <x:f>IF(AND(SUM(IF(K34='假设'!E44,0,1),IF(L34='假设'!F44,0,1),IF(M34='假设'!G44,0,1),IF(N34='假设'!H44,0,1),IF(O34='假设'!I44,0,1),IF(P34='假设'!J44,0,1),IF(Q34='假设'!K44,0,1))=0,U34=V34),"已刷新","待刷新")</x:f>
        <x:v>已刷新</x:v>
      </x:c>
      <x:c r="U34" t="str">
        <x:v>1|15|1.5|1.4|1.09|0.35|0.12|0.1|0.2|0.14|6.8|2031.7693360711842|1.1|1|0|0|0|0|0.4|0|0.9|0|1.3|0.2272416153319644|1.6|1.2292950034223136|1.8|2.2286105407255303|1.9|3.2279260780287475|1.9|4.227241615331964|1.8|5.229295003422314|1.7|6.228610540725531|1.5|7.227926078028747|1.2|8.227241615331964|0.9|9.229295003422314|0.6|10.22861054072553|0.3|11.227926078028748|0|0|0|0|0|0|0|0|0|0.2272416153319644|0.1|1.2292950034223136|0.2|2.2286105407255303|0.3|3.2279260780287475|0.4|4.227241615331964|0.4|5.229295003422314|0.4|6.228610540725531|0.35|7.227926078028747|0.3|8.227241615331964|0.25|9.229295003422314|0.2|10.22861054072553|0.1|11.227926078028748</x:v>
      </x:c>
      <x:c r="V34" t="str">
        <x:f>'药物假设'!D44&amp;"|"&amp;'药物假设'!E44&amp;"|"&amp;'药物假设'!F44&amp;"|"&amp;'药物假设'!G44&amp;"|"&amp;'药物假设'!H44&amp;"|"&amp;'药物假设'!I44&amp;"|"&amp;'药物假设'!J44&amp;"|"&amp;'药物假设'!K44&amp;"|"&amp;'药物假设'!L44&amp;"|"&amp;'药物假设'!M44&amp;"|"&amp;'药物假设'!N44&amp;"|"&amp;'药物假设'!O44&amp;"|"&amp;'药物假设'!P44&amp;"|"&amp;'药物假设'!Q44&amp;"|"&amp;'风险净现值'!Q295&amp;"|"&amp;'风险净现值'!K295&amp;"|"&amp;'风险净现值'!Q296&amp;"|"&amp;'风险净现值'!K296&amp;"|"&amp;'风险净现值'!Q297&amp;"|"&amp;'风险净现值'!K297&amp;"|"&amp;'风险净现值'!Q298&amp;"|"&amp;'风险净现值'!K298&amp;"|"&amp;'风险净现值'!Q299&amp;"|"&amp;'风险净现值'!K299&amp;"|"&amp;'风险净现值'!Q300&amp;"|"&amp;'风险净现值'!K300&amp;"|"&amp;'风险净现值'!Q301&amp;"|"&amp;'风险净现值'!K301&amp;"|"&amp;'风险净现值'!Q302&amp;"|"&amp;'风险净现值'!K302&amp;"|"&amp;'风险净现值'!Q303&amp;"|"&amp;'风险净现值'!K303&amp;"|"&amp;'风险净现值'!Q304&amp;"|"&amp;'风险净现值'!K304&amp;"|"&amp;'风险净现值'!Q305&amp;"|"&amp;'风险净现值'!K305&amp;"|"&amp;'风险净现值'!Q306&amp;"|"&amp;'风险净现值'!K306&amp;"|"&amp;'风险净现值'!Q307&amp;"|"&amp;'风险净现值'!K307&amp;"|"&amp;'风险净现值'!Q308&amp;"|"&amp;'风险净现值'!K308&amp;"|"&amp;'风险净现值'!Q309&amp;"|"&amp;'风险净现值'!K309&amp;"|"&amp;'风险净现值'!Q310&amp;"|"&amp;'风险净现值'!K310&amp;"|"&amp;'风险净现值'!Q311&amp;"|"&amp;'风险净现值'!K311&amp;"|"&amp;'风险净现值'!Q312&amp;"|"&amp;'风险净现值'!K312&amp;"|"&amp;'风险净现值'!Q313&amp;"|"&amp;'风险净现值'!K313&amp;"|"&amp;'风险净现值'!Q314&amp;"|"&amp;'风险净现值'!K314&amp;"|"&amp;'风险净现值'!Q315&amp;"|"&amp;'风险净现值'!K315&amp;"|"&amp;'风险净现值'!Q316&amp;"|"&amp;'风险净现值'!K316&amp;"|"&amp;'风险净现值'!Q317&amp;"|"&amp;'风险净现值'!K317&amp;"|"&amp;'风险净现值'!Q318&amp;"|"&amp;'风险净现值'!K318&amp;"|"&amp;'风险净现值'!Q319&amp;"|"&amp;'风险净现值'!K319&amp;"|"&amp;'风险净现值'!Q320&amp;"|"&amp;'风险净现值'!K320&amp;"|"&amp;'风险净现值'!Q321&amp;"|"&amp;'风险净现值'!K321&amp;"|"&amp;'风险净现值'!Q322&amp;"|"&amp;'风险净现值'!K322&amp;"|"&amp;'风险净现值'!Q323&amp;"|"&amp;'风险净现值'!K323&amp;"|"&amp;'风险净现值'!Q324&amp;"|"&amp;'风险净现值'!K324&amp;"|"&amp;'风险净现值'!Q325&amp;"|"&amp;'风险净现值'!K325&amp;"|"&amp;'风险净现值'!Q326&amp;"|"&amp;'风险净现值'!K326</x:f>
        <x:v>1|15|1.5|1.4|1.09|0.35|0.12|0.1|0.2|0.14|6.8|2031.7693360711842|1.1|1|0|0|0|0|0.4|0|0.9|0|1.3|0.2272416153319644|1.6|1.2292950034223136|1.8|2.2286105407255303|1.9|3.2279260780287475|1.9|4.227241615331964|1.8|5.229295003422314|1.7|6.228610540725531|1.5|7.227926078028747|1.2|8.227241615331964|0.9|9.229295003422314|0.6|10.22861054072553|0.3|11.227926078028748|0|0|0|0|0|0|0|0|0|0.2272416153319644|0.1|1.2292950034223136|0.2|2.2286105407255303|0.3|3.2279260780287475|0.4|4.227241615331964|0.4|5.229295003422314|0.4|6.228610540725531|0.35|7.227926078028747|0.3|8.227241615331964|0.25|9.229295003422314|0.2|10.22861054072553|0.1|11.227926078028748</x:v>
      </x:c>
    </x:row>
    <x:row r="35" ht="23" customHeight="1">
      <x:c r="A35" s="11" t="str">
        <x:v>09926.HK</x:v>
      </x:c>
      <x:c r="B35" s="11" t="str">
        <x:v>康方生物</x:v>
      </x:c>
      <x:c r="C35" s="11" t="str">
        <x:v>五年</x:v>
      </x:c>
      <x:c r="D35" s="11" t="str">
        <x:v>基准</x:v>
      </x:c>
      <x:c r="E35" s="11" t="n">
        <x:v>109.1</x:v>
      </x:c>
      <x:c r="F35" s="11" t="n">
        <x:v>153.02179501089194</x:v>
      </x:c>
      <x:c r="G35" s="11" t="n">
        <x:v>0</x:v>
      </x:c>
      <x:c r="H35" s="25" t="n">
        <x:v>0.4025829056910353</x:v>
      </x:c>
      <x:c r="I35" s="25" t="n">
        <x:v>0.4025829056910353</x:v>
      </x:c>
      <x:c r="J35" s="25" t="n">
        <x:v>0.07000475660798888</x:v>
      </x:c>
      <x:c r="K35" s="11" t="str"/>
      <x:c r="L35" s="11" t="n">
        <x:v>22</x:v>
      </x:c>
      <x:c r="M35" s="11" t="n">
        <x:v>1.1</x:v>
      </x:c>
      <x:c r="N35" s="11" t="n">
        <x:v>0</x:v>
      </x:c>
      <x:c r="O35" s="11" t="str"/>
      <x:c r="P35" s="11" t="str"/>
      <x:c r="Q35" s="11" t="n">
        <x:v>1.04</x:v>
      </x:c>
      <x:c r="R35" s="11" t="str">
        <x:v>akeso-v2-year-end-cashflows</x:v>
      </x:c>
      <x:c r="S35" s="11" t="str">
        <x:v>2026-10-10</x:v>
      </x:c>
      <x:c r="T35" s="11" t="str">
        <x:f>IF(AND(SUM(IF(K35='假设'!E45,0,1),IF(L35='假设'!F45,0,1),IF(M35='假设'!G45,0,1),IF(N35='假设'!H45,0,1),IF(O35='假设'!I45,0,1),IF(P35='假设'!J45,0,1),IF(Q35='假设'!K45,0,1))=0,U35=V35),"已刷新","待刷新")</x:f>
        <x:v>已刷新</x:v>
      </x:c>
      <x:c r="U35" t="str">
        <x:v>3.9|22|6|1.8|1.04|0.95|0.6|0.15|0.2|0.11|6.8|2031.7693360711842|1.1|1|0|0|0.5|0|1.6|0|3.5|0|5.5|0.2272416153319644|7.5|1.2292950034223136|9|2.2286105407255303|10|3.2279260780287475|10.5|4.227241615331964|10.5|5.229295003422314|10|6.228610540725531|9|7.227926078028747|8|8.227241615331964|6.5|9.229295003422314|5|10.22861054072553|3|11.227926078028748|0|0|0|0|0|0|0.3|0|0.8|0.2272416153319644|1.5|1.2292950034223136|2.5|2.2286105407255303|3.5|3.2279260780287475|4.5|4.227241615331964|5|5.229295003422314|5|6.228610540725531|4.5|7.227926078028747|4|8.227241615331964|3.2|9.229295003422314|2.5|10.22861054072553|1.5|11.227926078028748</x:v>
      </x:c>
      <x:c r="V35" t="str">
        <x:f>'药物假设'!D45&amp;"|"&amp;'药物假设'!E45&amp;"|"&amp;'药物假设'!F45&amp;"|"&amp;'药物假设'!G45&amp;"|"&amp;'药物假设'!H45&amp;"|"&amp;'药物假设'!I45&amp;"|"&amp;'药物假设'!J45&amp;"|"&amp;'药物假设'!K45&amp;"|"&amp;'药物假设'!L45&amp;"|"&amp;'药物假设'!M45&amp;"|"&amp;'药物假设'!N45&amp;"|"&amp;'药物假设'!O45&amp;"|"&amp;'药物假设'!P45&amp;"|"&amp;'药物假设'!Q45&amp;"|"&amp;'风险净现值'!R295&amp;"|"&amp;'风险净现值'!K295&amp;"|"&amp;'风险净现值'!R296&amp;"|"&amp;'风险净现值'!K296&amp;"|"&amp;'风险净现值'!R297&amp;"|"&amp;'风险净现值'!K297&amp;"|"&amp;'风险净现值'!R298&amp;"|"&amp;'风险净现值'!K298&amp;"|"&amp;'风险净现值'!R299&amp;"|"&amp;'风险净现值'!K299&amp;"|"&amp;'风险净现值'!R300&amp;"|"&amp;'风险净现值'!K300&amp;"|"&amp;'风险净现值'!R301&amp;"|"&amp;'风险净现值'!K301&amp;"|"&amp;'风险净现值'!R302&amp;"|"&amp;'风险净现值'!K302&amp;"|"&amp;'风险净现值'!R303&amp;"|"&amp;'风险净现值'!K303&amp;"|"&amp;'风险净现值'!R304&amp;"|"&amp;'风险净现值'!K304&amp;"|"&amp;'风险净现值'!R305&amp;"|"&amp;'风险净现值'!K305&amp;"|"&amp;'风险净现值'!R306&amp;"|"&amp;'风险净现值'!K306&amp;"|"&amp;'风险净现值'!R307&amp;"|"&amp;'风险净现值'!K307&amp;"|"&amp;'风险净现值'!R308&amp;"|"&amp;'风险净现值'!K308&amp;"|"&amp;'风险净现值'!R309&amp;"|"&amp;'风险净现值'!K309&amp;"|"&amp;'风险净现值'!R310&amp;"|"&amp;'风险净现值'!K310&amp;"|"&amp;'风险净现值'!R311&amp;"|"&amp;'风险净现值'!K311&amp;"|"&amp;'风险净现值'!R312&amp;"|"&amp;'风险净现值'!K312&amp;"|"&amp;'风险净现值'!R313&amp;"|"&amp;'风险净现值'!K313&amp;"|"&amp;'风险净现值'!R314&amp;"|"&amp;'风险净现值'!K314&amp;"|"&amp;'风险净现值'!R315&amp;"|"&amp;'风险净现值'!K315&amp;"|"&amp;'风险净现值'!R316&amp;"|"&amp;'风险净现值'!K316&amp;"|"&amp;'风险净现值'!R317&amp;"|"&amp;'风险净现值'!K317&amp;"|"&amp;'风险净现值'!R318&amp;"|"&amp;'风险净现值'!K318&amp;"|"&amp;'风险净现值'!R319&amp;"|"&amp;'风险净现值'!K319&amp;"|"&amp;'风险净现值'!R320&amp;"|"&amp;'风险净现值'!K320&amp;"|"&amp;'风险净现值'!R321&amp;"|"&amp;'风险净现值'!K321&amp;"|"&amp;'风险净现值'!R322&amp;"|"&amp;'风险净现值'!K322&amp;"|"&amp;'风险净现值'!R323&amp;"|"&amp;'风险净现值'!K323&amp;"|"&amp;'风险净现值'!R324&amp;"|"&amp;'风险净现值'!K324&amp;"|"&amp;'风险净现值'!R325&amp;"|"&amp;'风险净现值'!K325&amp;"|"&amp;'风险净现值'!R326&amp;"|"&amp;'风险净现值'!K326</x:f>
        <x:v>3.9|22|6|1.8|1.04|0.95|0.6|0.15|0.2|0.11|6.8|2031.7693360711842|1.1|1|0|0|0.5|0|1.6|0|3.5|0|5.5|0.2272416153319644|7.5|1.2292950034223136|9|2.2286105407255303|10|3.2279260780287475|10.5|4.227241615331964|10.5|5.229295003422314|10|6.228610540725531|9|7.227926078028747|8|8.227241615331964|6.5|9.229295003422314|5|10.22861054072553|3|11.227926078028748|0|0|0|0|0|0|0.3|0|0.8|0.2272416153319644|1.5|1.2292950034223136|2.5|2.2286105407255303|3.5|3.2279260780287475|4.5|4.227241615331964|5|5.229295003422314|5|6.228610540725531|4.5|7.227926078028747|4|8.227241615331964|3.2|9.229295003422314|2.5|10.22861054072553|1.5|11.227926078028748</x:v>
      </x:c>
    </x:row>
    <x:row r="36" ht="23" customHeight="1">
      <x:c r="A36" s="11" t="str">
        <x:v>09926.HK</x:v>
      </x:c>
      <x:c r="B36" s="11" t="str">
        <x:v>康方生物</x:v>
      </x:c>
      <x:c r="C36" s="11" t="str">
        <x:v>五年</x:v>
      </x:c>
      <x:c r="D36" s="11" t="str">
        <x:v>乐观</x:v>
      </x:c>
      <x:c r="E36" s="11" t="n">
        <x:v>109.1</x:v>
      </x:c>
      <x:c r="F36" s="11" t="n">
        <x:v>387.9757038131621</x:v>
      </x:c>
      <x:c r="G36" s="11" t="n">
        <x:v>0</x:v>
      </x:c>
      <x:c r="H36" s="25" t="n">
        <x:v>2.5561476059868204</x:v>
      </x:c>
      <x:c r="I36" s="25" t="n">
        <x:v>2.5561476059868204</x:v>
      </x:c>
      <x:c r="J36" s="25" t="n">
        <x:v>0.28883094739343695</x:v>
      </x:c>
      <x:c r="K36" s="11" t="str"/>
      <x:c r="L36" s="11" t="n">
        <x:v>28</x:v>
      </x:c>
      <x:c r="M36" s="11" t="n">
        <x:v>1.1</x:v>
      </x:c>
      <x:c r="N36" s="11" t="n">
        <x:v>0</x:v>
      </x:c>
      <x:c r="O36" s="11" t="str"/>
      <x:c r="P36" s="11" t="str"/>
      <x:c r="Q36" s="11" t="n">
        <x:v>1.04</x:v>
      </x:c>
      <x:c r="R36" s="11" t="str">
        <x:v>akeso-v2-year-end-cashflows</x:v>
      </x:c>
      <x:c r="S36" s="11" t="str">
        <x:v>2026-10-10</x:v>
      </x:c>
      <x:c r="T36" s="11" t="str">
        <x:f>IF(AND(SUM(IF(K36='假设'!E46,0,1),IF(L36='假设'!F46,0,1),IF(M36='假设'!G46,0,1),IF(N36='假设'!H46,0,1),IF(O36='假设'!I46,0,1),IF(P36='假设'!J46,0,1),IF(Q36='假设'!K46,0,1))=0,U36=V36),"已刷新","待刷新")</x:f>
        <x:v>已刷新</x:v>
      </x:c>
      <x:c r="U36" t="str">
        <x:v>6.8|28|10|2.5|1.04|1|0.95|0.18|0.2|0.095|6.8|2031.7693360711842|1.1|1|0.7|0|2|0|4.5|0|7.5|0|11|0.2272416153319644|14|1.2292950034223136|16|2.2286105407255303|18|3.2279260780287475|19|4.227241615331964|19|5.229295003422314|18|6.228610540725531|17|7.227926078028747|15|8.227241615331964|12|9.229295003422314|9|10.22861054072553|6|11.227926078028748|0|0|0|0|0.3|0|1|0|2.5|0.2272416153319644|5|1.2292950034223136|7.5|2.2286105407255303|10|3.2279260780287475|12|4.227241615331964|13|5.229295003422314|13|6.228610540725531|12|7.227926078028747|11|8.227241615331964|9|9.229295003422314|7|10.22861054072553|5|11.227926078028748</x:v>
      </x:c>
      <x:c r="V36" t="str">
        <x:f>'药物假设'!D46&amp;"|"&amp;'药物假设'!E46&amp;"|"&amp;'药物假设'!F46&amp;"|"&amp;'药物假设'!G46&amp;"|"&amp;'药物假设'!H46&amp;"|"&amp;'药物假设'!I46&amp;"|"&amp;'药物假设'!J46&amp;"|"&amp;'药物假设'!K46&amp;"|"&amp;'药物假设'!L46&amp;"|"&amp;'药物假设'!M46&amp;"|"&amp;'药物假设'!N46&amp;"|"&amp;'药物假设'!O46&amp;"|"&amp;'药物假设'!P46&amp;"|"&amp;'药物假设'!Q46&amp;"|"&amp;'风险净现值'!S295&amp;"|"&amp;'风险净现值'!K295&amp;"|"&amp;'风险净现值'!S296&amp;"|"&amp;'风险净现值'!K296&amp;"|"&amp;'风险净现值'!S297&amp;"|"&amp;'风险净现值'!K297&amp;"|"&amp;'风险净现值'!S298&amp;"|"&amp;'风险净现值'!K298&amp;"|"&amp;'风险净现值'!S299&amp;"|"&amp;'风险净现值'!K299&amp;"|"&amp;'风险净现值'!S300&amp;"|"&amp;'风险净现值'!K300&amp;"|"&amp;'风险净现值'!S301&amp;"|"&amp;'风险净现值'!K301&amp;"|"&amp;'风险净现值'!S302&amp;"|"&amp;'风险净现值'!K302&amp;"|"&amp;'风险净现值'!S303&amp;"|"&amp;'风险净现值'!K303&amp;"|"&amp;'风险净现值'!S304&amp;"|"&amp;'风险净现值'!K304&amp;"|"&amp;'风险净现值'!S305&amp;"|"&amp;'风险净现值'!K305&amp;"|"&amp;'风险净现值'!S306&amp;"|"&amp;'风险净现值'!K306&amp;"|"&amp;'风险净现值'!S307&amp;"|"&amp;'风险净现值'!K307&amp;"|"&amp;'风险净现值'!S308&amp;"|"&amp;'风险净现值'!K308&amp;"|"&amp;'风险净现值'!S309&amp;"|"&amp;'风险净现值'!K309&amp;"|"&amp;'风险净现值'!S310&amp;"|"&amp;'风险净现值'!K310&amp;"|"&amp;'风险净现值'!S311&amp;"|"&amp;'风险净现值'!K311&amp;"|"&amp;'风险净现值'!S312&amp;"|"&amp;'风险净现值'!K312&amp;"|"&amp;'风险净现值'!S313&amp;"|"&amp;'风险净现值'!K313&amp;"|"&amp;'风险净现值'!S314&amp;"|"&amp;'风险净现值'!K314&amp;"|"&amp;'风险净现值'!S315&amp;"|"&amp;'风险净现值'!K315&amp;"|"&amp;'风险净现值'!S316&amp;"|"&amp;'风险净现值'!K316&amp;"|"&amp;'风险净现值'!S317&amp;"|"&amp;'风险净现值'!K317&amp;"|"&amp;'风险净现值'!S318&amp;"|"&amp;'风险净现值'!K318&amp;"|"&amp;'风险净现值'!S319&amp;"|"&amp;'风险净现值'!K319&amp;"|"&amp;'风险净现值'!S320&amp;"|"&amp;'风险净现值'!K320&amp;"|"&amp;'风险净现值'!S321&amp;"|"&amp;'风险净现值'!K321&amp;"|"&amp;'风险净现值'!S322&amp;"|"&amp;'风险净现值'!K322&amp;"|"&amp;'风险净现值'!S323&amp;"|"&amp;'风险净现值'!K323&amp;"|"&amp;'风险净现值'!S324&amp;"|"&amp;'风险净现值'!K324&amp;"|"&amp;'风险净现值'!S325&amp;"|"&amp;'风险净现值'!K325&amp;"|"&amp;'风险净现值'!S326&amp;"|"&amp;'风险净现值'!K326</x:f>
        <x:v>6.8|28|10|2.5|1.04|1|0.95|0.18|0.2|0.095|6.8|2031.7693360711842|1.1|1|0.7|0|2|0|4.5|0|7.5|0|11|0.2272416153319644|14|1.2292950034223136|16|2.2286105407255303|18|3.2279260780287475|19|4.227241615331964|19|5.229295003422314|18|6.228610540725531|17|7.227926078028747|15|8.227241615331964|12|9.229295003422314|9|10.22861054072553|6|11.227926078028748|0|0|0|0|0.3|0|1|0|2.5|0.2272416153319644|5|1.2292950034223136|7.5|2.2286105407255303|10|3.2279260780287475|12|4.227241615331964|13|5.229295003422314|13|6.228610540725531|12|7.227926078028747|11|8.227241615331964|9|9.229295003422314|7|10.22861054072553|5|11.227926078028748</x:v>
      </x:c>
    </x:row>
    <x:row r="37" ht="23" customHeight="1">
      <x:c r="A37" s="11" t="str">
        <x:v>09988.HK</x:v>
      </x:c>
      <x:c r="B37" s="11" t="str">
        <x:v>阿里巴巴-W</x:v>
      </x:c>
      <x:c r="C37" s="11" t="str">
        <x:v>2026年底</x:v>
      </x:c>
      <x:c r="D37" s="11" t="str">
        <x:v>悲观</x:v>
      </x:c>
      <x:c r="E37" s="11" t="n">
        <x:v>107</x:v>
      </x:c>
      <x:c r="F37" s="11" t="n">
        <x:v>57.42</x:v>
      </x:c>
      <x:c r="G37" s="11" t="n">
        <x:v>0</x:v>
      </x:c>
      <x:c r="H37" s="25" t="n">
        <x:v>-0.4633644859813084</x:v>
      </x:c>
      <x:c r="I37" s="25" t="n">
        <x:v>-0.4633644859813084</x:v>
      </x:c>
      <x:c r="J37" s="25" t="str"/>
      <x:c r="K37" s="11" t="n">
        <x:v>3.48</x:v>
      </x:c>
      <x:c r="L37" s="11" t="n">
        <x:v>15</x:v>
      </x:c>
      <x:c r="M37" s="11" t="n">
        <x:v>1.1</x:v>
      </x:c>
      <x:c r="N37" s="11" t="n">
        <x:v>0</x:v>
      </x:c>
      <x:c r="O37" s="11" t="str"/>
      <x:c r="P37" s="11" t="str"/>
      <x:c r="Q37" s="11" t="str"/>
      <x:c r="R37" s="11" t="str">
        <x:v>alibaba-operating-bridge-pe-v1.0</x:v>
      </x:c>
      <x:c r="S37" s="11" t="str">
        <x:v>2026-10-10</x:v>
      </x:c>
      <x:c r="T37" s="11" t="str">
        <x:f>IF(AND(SUM(IF(K37='假设'!E48,0,1),IF(L37='假设'!F48,0,1),IF(M37='假设'!G48,0,1),IF(N37='假设'!H48,0,1),IF(O37='假设'!I48,0,1),IF(P37='假设'!J48,0,1),IF(Q37='假设'!K48,0,1))=0,U37=V37),"已刷新","待刷新")</x:f>
        <x:v>已刷新</x:v>
      </x:c>
      <x:c r="U37" t="str">
        <x:v>135|24|-56|-18|0.22|5|20.5|||0</x:v>
      </x:c>
      <x:c r="V37" t="str">
        <x:f>'经营假设'!D8&amp;"|"&amp;'经营假设'!E8&amp;"|"&amp;'经营假设'!F8&amp;"|"&amp;'经营假设'!G8&amp;"|"&amp;'经营假设'!H8&amp;"|"&amp;'经营假设'!I8&amp;"|"&amp;'经营假设'!J8&amp;"|"&amp;'经营假设'!K8&amp;"|"&amp;'经营假设'!L8&amp;"|"&amp;'经营假设'!M8</x:f>
        <x:v>135|24|-56|-18|0.22|5|20.5|||0</x:v>
      </x:c>
    </x:row>
    <x:row r="38" ht="23" customHeight="1">
      <x:c r="A38" s="11" t="str">
        <x:v>09988.HK</x:v>
      </x:c>
      <x:c r="B38" s="11" t="str">
        <x:v>阿里巴巴-W</x:v>
      </x:c>
      <x:c r="C38" s="11" t="str">
        <x:v>2026年底</x:v>
      </x:c>
      <x:c r="D38" s="11" t="str">
        <x:v>基准</x:v>
      </x:c>
      <x:c r="E38" s="11" t="n">
        <x:v>107</x:v>
      </x:c>
      <x:c r="F38" s="11" t="n">
        <x:v>133.1</x:v>
      </x:c>
      <x:c r="G38" s="11" t="n">
        <x:v>0</x:v>
      </x:c>
      <x:c r="H38" s="25" t="n">
        <x:v>0.24392523364485985</x:v>
      </x:c>
      <x:c r="I38" s="25" t="n">
        <x:v>0.24392523364485985</x:v>
      </x:c>
      <x:c r="J38" s="25" t="str"/>
      <x:c r="K38" s="11" t="n">
        <x:v>5.5</x:v>
      </x:c>
      <x:c r="L38" s="11" t="n">
        <x:v>22</x:v>
      </x:c>
      <x:c r="M38" s="11" t="n">
        <x:v>1.1</x:v>
      </x:c>
      <x:c r="N38" s="11" t="n">
        <x:v>0</x:v>
      </x:c>
      <x:c r="O38" s="11" t="str"/>
      <x:c r="P38" s="11" t="str"/>
      <x:c r="Q38" s="11" t="str"/>
      <x:c r="R38" s="11" t="str">
        <x:v>alibaba-operating-bridge-pe-v1.0</x:v>
      </x:c>
      <x:c r="S38" s="11" t="str">
        <x:v>2026-10-10</x:v>
      </x:c>
      <x:c r="T38" s="11" t="str">
        <x:f>IF(AND(SUM(IF(K38='假设'!E49,0,1),IF(L38='假设'!F49,0,1),IF(M38='假设'!G49,0,1),IF(N38='假设'!H49,0,1),IF(O38='假设'!I49,0,1),IF(P38='假设'!J49,0,1),IF(Q38='假设'!K49,0,1))=0,U38=V38),"已刷新","待刷新")</x:f>
        <x:v>已刷新</x:v>
      </x:c>
      <x:c r="U38" t="str">
        <x:v>166|34|-54|-10|0.22|4|20|||0</x:v>
      </x:c>
      <x:c r="V38" t="str">
        <x:f>'经营假设'!D9&amp;"|"&amp;'经营假设'!E9&amp;"|"&amp;'经营假设'!F9&amp;"|"&amp;'经营假设'!G9&amp;"|"&amp;'经营假设'!H9&amp;"|"&amp;'经营假设'!I9&amp;"|"&amp;'经营假设'!J9&amp;"|"&amp;'经营假设'!K9&amp;"|"&amp;'经营假设'!L9&amp;"|"&amp;'经营假设'!M9</x:f>
        <x:v>166|34|-54|-10|0.22|4|20|||0</x:v>
      </x:c>
    </x:row>
    <x:row r="39" ht="23" customHeight="1">
      <x:c r="A39" s="11" t="str">
        <x:v>09988.HK</x:v>
      </x:c>
      <x:c r="B39" s="11" t="str">
        <x:v>阿里巴巴-W</x:v>
      </x:c>
      <x:c r="C39" s="11" t="str">
        <x:v>2026年底</x:v>
      </x:c>
      <x:c r="D39" s="11" t="str">
        <x:v>乐观</x:v>
      </x:c>
      <x:c r="E39" s="11" t="n">
        <x:v>107</x:v>
      </x:c>
      <x:c r="F39" s="11" t="n">
        <x:v>231</x:v>
      </x:c>
      <x:c r="G39" s="11" t="n">
        <x:v>0</x:v>
      </x:c>
      <x:c r="H39" s="25" t="n">
        <x:v>1.1588785046728973</x:v>
      </x:c>
      <x:c r="I39" s="25" t="n">
        <x:v>1.1588785046728973</x:v>
      </x:c>
      <x:c r="J39" s="25" t="str"/>
      <x:c r="K39" s="11" t="n">
        <x:v>7.5</x:v>
      </x:c>
      <x:c r="L39" s="11" t="n">
        <x:v>28</x:v>
      </x:c>
      <x:c r="M39" s="11" t="n">
        <x:v>1.1</x:v>
      </x:c>
      <x:c r="N39" s="11" t="n">
        <x:v>0</x:v>
      </x:c>
      <x:c r="O39" s="11" t="str"/>
      <x:c r="P39" s="11" t="str"/>
      <x:c r="Q39" s="11" t="str"/>
      <x:c r="R39" s="11" t="str">
        <x:v>alibaba-operating-bridge-pe-v1.0</x:v>
      </x:c>
      <x:c r="S39" s="11" t="str">
        <x:v>2026-10-10</x:v>
      </x:c>
      <x:c r="T39" s="11" t="str">
        <x:f>IF(AND(SUM(IF(K39='假设'!E50,0,1),IF(L39='假设'!F50,0,1),IF(M39='假设'!G50,0,1),IF(N39='假设'!H50,0,1),IF(O39='假设'!I50,0,1),IF(P39='假设'!J50,0,1),IF(Q39='假设'!K50,0,1))=0,U39=V39),"已刷新","待刷新")</x:f>
        <x:v>已刷新</x:v>
      </x:c>
      <x:c r="U39" t="str">
        <x:v>180|40|-31|-8|0.22|5|19.5|||0</x:v>
      </x:c>
      <x:c r="V39" t="str">
        <x:f>'经营假设'!D10&amp;"|"&amp;'经营假设'!E10&amp;"|"&amp;'经营假设'!F10&amp;"|"&amp;'经营假设'!G10&amp;"|"&amp;'经营假设'!H10&amp;"|"&amp;'经营假设'!I10&amp;"|"&amp;'经营假设'!J10&amp;"|"&amp;'经营假设'!K10&amp;"|"&amp;'经营假设'!L10&amp;"|"&amp;'经营假设'!M10</x:f>
        <x:v>180|40|-31|-8|0.22|5|19.5|||0</x:v>
      </x:c>
    </x:row>
    <x:row r="40" ht="23" customHeight="1">
      <x:c r="A40" s="11" t="str">
        <x:v>09988.HK</x:v>
      </x:c>
      <x:c r="B40" s="11" t="str">
        <x:v>阿里巴巴-W</x:v>
      </x:c>
      <x:c r="C40" s="11" t="str">
        <x:v>半年</x:v>
      </x:c>
      <x:c r="D40" s="11" t="str">
        <x:v>悲观</x:v>
      </x:c>
      <x:c r="E40" s="11" t="n">
        <x:v>107</x:v>
      </x:c>
      <x:c r="F40" s="11" t="n">
        <x:v>57.42</x:v>
      </x:c>
      <x:c r="G40" s="11" t="n">
        <x:v>0</x:v>
      </x:c>
      <x:c r="H40" s="25" t="n">
        <x:v>-0.4633644859813084</x:v>
      </x:c>
      <x:c r="I40" s="25" t="n">
        <x:v>-0.4633644859813084</x:v>
      </x:c>
      <x:c r="J40" s="25" t="str"/>
      <x:c r="K40" s="11" t="n">
        <x:v>3.48</x:v>
      </x:c>
      <x:c r="L40" s="11" t="n">
        <x:v>15</x:v>
      </x:c>
      <x:c r="M40" s="11" t="n">
        <x:v>1.1</x:v>
      </x:c>
      <x:c r="N40" s="11" t="n">
        <x:v>0</x:v>
      </x:c>
      <x:c r="O40" s="11" t="str"/>
      <x:c r="P40" s="11" t="str"/>
      <x:c r="Q40" s="11" t="str"/>
      <x:c r="R40" s="11" t="str">
        <x:v>alibaba-operating-bridge-pe-v1.0</x:v>
      </x:c>
      <x:c r="S40" s="11" t="str">
        <x:v>2026-10-10</x:v>
      </x:c>
      <x:c r="T40" s="11" t="str">
        <x:f>IF(AND(SUM(IF(K40='假设'!E52,0,1),IF(L40='假设'!F52,0,1),IF(M40='假设'!G52,0,1),IF(N40='假设'!H52,0,1),IF(O40='假设'!I52,0,1),IF(P40='假设'!J52,0,1),IF(Q40='假设'!K52,0,1))=0,U40=V40),"已刷新","待刷新")</x:f>
        <x:v>已刷新</x:v>
      </x:c>
      <x:c r="U40" t="str">
        <x:v>135|26|-52|-24|0.22|5|20.5|||0</x:v>
      </x:c>
      <x:c r="V40" t="str">
        <x:f>'经营假设'!D12&amp;"|"&amp;'经营假设'!E12&amp;"|"&amp;'经营假设'!F12&amp;"|"&amp;'经营假设'!G12&amp;"|"&amp;'经营假设'!H12&amp;"|"&amp;'经营假设'!I12&amp;"|"&amp;'经营假设'!J12&amp;"|"&amp;'经营假设'!K12&amp;"|"&amp;'经营假设'!L12&amp;"|"&amp;'经营假设'!M12</x:f>
        <x:v>135|26|-52|-24|0.22|5|20.5|||0</x:v>
      </x:c>
    </x:row>
    <x:row r="41" ht="23" customHeight="1">
      <x:c r="A41" s="11" t="str">
        <x:v>09988.HK</x:v>
      </x:c>
      <x:c r="B41" s="11" t="str">
        <x:v>阿里巴巴-W</x:v>
      </x:c>
      <x:c r="C41" s="11" t="str">
        <x:v>半年</x:v>
      </x:c>
      <x:c r="D41" s="11" t="str">
        <x:v>基准</x:v>
      </x:c>
      <x:c r="E41" s="11" t="n">
        <x:v>107</x:v>
      </x:c>
      <x:c r="F41" s="11" t="n">
        <x:v>151.98</x:v>
      </x:c>
      <x:c r="G41" s="11" t="n">
        <x:v>0</x:v>
      </x:c>
      <x:c r="H41" s="25" t="n">
        <x:v>0.42037383177570087</x:v>
      </x:c>
      <x:c r="I41" s="25" t="n">
        <x:v>0.42037383177570087</x:v>
      </x:c>
      <x:c r="J41" s="25" t="str"/>
      <x:c r="K41" s="11" t="n">
        <x:v>6.28</x:v>
      </x:c>
      <x:c r="L41" s="11" t="n">
        <x:v>22</x:v>
      </x:c>
      <x:c r="M41" s="11" t="n">
        <x:v>1.1</x:v>
      </x:c>
      <x:c r="N41" s="11" t="n">
        <x:v>0</x:v>
      </x:c>
      <x:c r="O41" s="11" t="str"/>
      <x:c r="P41" s="11" t="str"/>
      <x:c r="Q41" s="11" t="str"/>
      <x:c r="R41" s="11" t="str">
        <x:v>alibaba-operating-bridge-pe-v1.0</x:v>
      </x:c>
      <x:c r="S41" s="11" t="str">
        <x:v>2026-10-10</x:v>
      </x:c>
      <x:c r="T41" s="11" t="str">
        <x:f>IF(AND(SUM(IF(K41='假设'!E53,0,1),IF(L41='假设'!F53,0,1),IF(M41='假设'!G53,0,1),IF(N41='假设'!H53,0,1),IF(O41='假设'!I53,0,1),IF(P41='假设'!J53,0,1),IF(Q41='假设'!K53,0,1))=0,U41=V41),"已刷新","待刷新")</x:f>
        <x:v>已刷新</x:v>
      </x:c>
      <x:c r="U41" t="str">
        <x:v>174|39|-54|-3|0.22|4|20|||0</x:v>
      </x:c>
      <x:c r="V41" t="str">
        <x:f>'经营假设'!D13&amp;"|"&amp;'经营假设'!E13&amp;"|"&amp;'经营假设'!F13&amp;"|"&amp;'经营假设'!G13&amp;"|"&amp;'经营假设'!H13&amp;"|"&amp;'经营假设'!I13&amp;"|"&amp;'经营假设'!J13&amp;"|"&amp;'经营假设'!K13&amp;"|"&amp;'经营假设'!L13&amp;"|"&amp;'经营假设'!M13</x:f>
        <x:v>174|39|-54|-3|0.22|4|20|||0</x:v>
      </x:c>
    </x:row>
    <x:row r="42" ht="23" customHeight="1">
      <x:c r="A42" s="11" t="str">
        <x:v>09988.HK</x:v>
      </x:c>
      <x:c r="B42" s="11" t="str">
        <x:v>阿里巴巴-W</x:v>
      </x:c>
      <x:c r="C42" s="11" t="str">
        <x:v>半年</x:v>
      </x:c>
      <x:c r="D42" s="11" t="str">
        <x:v>乐观</x:v>
      </x:c>
      <x:c r="E42" s="11" t="n">
        <x:v>107</x:v>
      </x:c>
      <x:c r="F42" s="11" t="n">
        <x:v>277.82</x:v>
      </x:c>
      <x:c r="G42" s="11" t="n">
        <x:v>0</x:v>
      </x:c>
      <x:c r="H42" s="25" t="n">
        <x:v>1.596448598130841</x:v>
      </x:c>
      <x:c r="I42" s="25" t="n">
        <x:v>1.596448598130841</x:v>
      </x:c>
      <x:c r="J42" s="25" t="str"/>
      <x:c r="K42" s="11" t="n">
        <x:v>9.02</x:v>
      </x:c>
      <x:c r="L42" s="11" t="n">
        <x:v>28</x:v>
      </x:c>
      <x:c r="M42" s="11" t="n">
        <x:v>1.1</x:v>
      </x:c>
      <x:c r="N42" s="11" t="n">
        <x:v>0</x:v>
      </x:c>
      <x:c r="O42" s="11" t="str"/>
      <x:c r="P42" s="11" t="str"/>
      <x:c r="Q42" s="11" t="str"/>
      <x:c r="R42" s="11" t="str">
        <x:v>alibaba-operating-bridge-pe-v1.0</x:v>
      </x:c>
      <x:c r="S42" s="11" t="str">
        <x:v>2026-10-10</x:v>
      </x:c>
      <x:c r="T42" s="11" t="str">
        <x:f>IF(AND(SUM(IF(K42='假设'!E54,0,1),IF(L42='假设'!F54,0,1),IF(M42='假设'!G54,0,1),IF(N42='假设'!H54,0,1),IF(O42='假设'!I54,0,1),IF(P42='假设'!J54,0,1),IF(Q42='假设'!K54,0,1))=0,U42=V42),"已刷新","待刷新")</x:f>
        <x:v>已刷新</x:v>
      </x:c>
      <x:c r="U42" t="str">
        <x:v>188|53|-26|4|0.22|5|19.5|||0</x:v>
      </x:c>
      <x:c r="V42" t="str">
        <x:f>'经营假设'!D14&amp;"|"&amp;'经营假设'!E14&amp;"|"&amp;'经营假设'!F14&amp;"|"&amp;'经营假设'!G14&amp;"|"&amp;'经营假设'!H14&amp;"|"&amp;'经营假设'!I14&amp;"|"&amp;'经营假设'!J14&amp;"|"&amp;'经营假设'!K14&amp;"|"&amp;'经营假设'!L14&amp;"|"&amp;'经营假设'!M14</x:f>
        <x:v>188|53|-26|4|0.22|5|19.5|||0</x:v>
      </x:c>
    </x:row>
    <x:row r="43" ht="23" customHeight="1">
      <x:c r="A43" s="11" t="str">
        <x:v>09988.HK</x:v>
      </x:c>
      <x:c r="B43" s="11" t="str">
        <x:v>阿里巴巴-W</x:v>
      </x:c>
      <x:c r="C43" s="11" t="str">
        <x:v>一年</x:v>
      </x:c>
      <x:c r="D43" s="11" t="str">
        <x:v>悲观</x:v>
      </x:c>
      <x:c r="E43" s="11" t="n">
        <x:v>107</x:v>
      </x:c>
      <x:c r="F43" s="11" t="n">
        <x:v>53.75</x:v>
      </x:c>
      <x:c r="G43" s="11" t="n">
        <x:v>0.5</x:v>
      </x:c>
      <x:c r="H43" s="25" t="n">
        <x:v>-0.49766355140186913</x:v>
      </x:c>
      <x:c r="I43" s="25" t="n">
        <x:v>-0.4929906542056075</x:v>
      </x:c>
      <x:c r="J43" s="25" t="str"/>
      <x:c r="K43" s="11" t="n">
        <x:v>3.49</x:v>
      </x:c>
      <x:c r="L43" s="11" t="n">
        <x:v>14</x:v>
      </x:c>
      <x:c r="M43" s="11" t="n">
        <x:v>1.1</x:v>
      </x:c>
      <x:c r="N43" s="11" t="n">
        <x:v>0.5</x:v>
      </x:c>
      <x:c r="O43" s="11" t="str"/>
      <x:c r="P43" s="11" t="str"/>
      <x:c r="Q43" s="11" t="str"/>
      <x:c r="R43" s="11" t="str">
        <x:v>alibaba-operating-bridge-pe-v1.0</x:v>
      </x:c>
      <x:c r="S43" s="11" t="str">
        <x:v>2026-10-10</x:v>
      </x:c>
      <x:c r="T43" s="11" t="str">
        <x:f>IF(AND(SUM(IF(K43='假设'!E56,0,1),IF(L43='假设'!F56,0,1),IF(M43='假设'!G56,0,1),IF(N43='假设'!H56,0,1),IF(O43='假设'!I56,0,1),IF(P43='假设'!J56,0,1),IF(Q43='假设'!K56,0,1))=0,U43=V43),"已刷新","待刷新")</x:f>
        <x:v>已刷新</x:v>
      </x:c>
      <x:c r="U43" t="str">
        <x:v>135|32|-61|-22|0.22|6|20.5|||0</x:v>
      </x:c>
      <x:c r="V43" t="str">
        <x:f>'经营假设'!D16&amp;"|"&amp;'经营假设'!E16&amp;"|"&amp;'经营假设'!F16&amp;"|"&amp;'经营假设'!G16&amp;"|"&amp;'经营假设'!H16&amp;"|"&amp;'经营假设'!I16&amp;"|"&amp;'经营假设'!J16&amp;"|"&amp;'经营假设'!K16&amp;"|"&amp;'经营假设'!L16&amp;"|"&amp;'经营假设'!M16</x:f>
        <x:v>135|32|-61|-22|0.22|6|20.5|||0</x:v>
      </x:c>
    </x:row>
    <x:row r="44" ht="23" customHeight="1">
      <x:c r="A44" s="11" t="str">
        <x:v>09988.HK</x:v>
      </x:c>
      <x:c r="B44" s="11" t="str">
        <x:v>阿里巴巴-W</x:v>
      </x:c>
      <x:c r="C44" s="11" t="str">
        <x:v>一年</x:v>
      </x:c>
      <x:c r="D44" s="11" t="str">
        <x:v>基准</x:v>
      </x:c>
      <x:c r="E44" s="11" t="n">
        <x:v>107</x:v>
      </x:c>
      <x:c r="F44" s="11" t="n">
        <x:v>171.63</x:v>
      </x:c>
      <x:c r="G44" s="11" t="n">
        <x:v>1.2</x:v>
      </x:c>
      <x:c r="H44" s="25" t="n">
        <x:v>0.6040186915887851</x:v>
      </x:c>
      <x:c r="I44" s="25" t="n">
        <x:v>0.615233644859813</x:v>
      </x:c>
      <x:c r="J44" s="25" t="str"/>
      <x:c r="K44" s="11" t="n">
        <x:v>7.43</x:v>
      </x:c>
      <x:c r="L44" s="11" t="n">
        <x:v>21</x:v>
      </x:c>
      <x:c r="M44" s="11" t="n">
        <x:v>1.1</x:v>
      </x:c>
      <x:c r="N44" s="11" t="n">
        <x:v>1.2</x:v>
      </x:c>
      <x:c r="O44" s="11" t="str"/>
      <x:c r="P44" s="11" t="str"/>
      <x:c r="Q44" s="11" t="str"/>
      <x:c r="R44" s="11" t="str">
        <x:v>alibaba-operating-bridge-pe-v1.0</x:v>
      </x:c>
      <x:c r="S44" s="11" t="str">
        <x:v>2026-10-10</x:v>
      </x:c>
      <x:c r="T44" s="11" t="str">
        <x:f>IF(AND(SUM(IF(K44='假设'!E57,0,1),IF(L44='假设'!F57,0,1),IF(M44='假设'!G57,0,1),IF(N44='假设'!H57,0,1),IF(O44='假设'!I57,0,1),IF(P44='假设'!J57,0,1),IF(Q44='假设'!K57,0,1))=0,U44=V44),"已刷新","待刷新")</x:f>
        <x:v>已刷新</x:v>
      </x:c>
      <x:c r="U44" t="str">
        <x:v>182|50|-42|-6|0.22|5|20|||0</x:v>
      </x:c>
      <x:c r="V44" t="str">
        <x:f>'经营假设'!D17&amp;"|"&amp;'经营假设'!E17&amp;"|"&amp;'经营假设'!F17&amp;"|"&amp;'经营假设'!G17&amp;"|"&amp;'经营假设'!H17&amp;"|"&amp;'经营假设'!I17&amp;"|"&amp;'经营假设'!J17&amp;"|"&amp;'经营假设'!K17&amp;"|"&amp;'经营假设'!L17&amp;"|"&amp;'经营假设'!M17</x:f>
        <x:v>182|50|-42|-6|0.22|5|20|||0</x:v>
      </x:c>
    </x:row>
    <x:row r="45" ht="23" customHeight="1">
      <x:c r="A45" s="11" t="str">
        <x:v>09988.HK</x:v>
      </x:c>
      <x:c r="B45" s="11" t="str">
        <x:v>阿里巴巴-W</x:v>
      </x:c>
      <x:c r="C45" s="11" t="str">
        <x:v>一年</x:v>
      </x:c>
      <x:c r="D45" s="11" t="str">
        <x:v>乐观</x:v>
      </x:c>
      <x:c r="E45" s="11" t="n">
        <x:v>107</x:v>
      </x:c>
      <x:c r="F45" s="11" t="n">
        <x:v>326.11</x:v>
      </x:c>
      <x:c r="G45" s="11" t="n">
        <x:v>1.8</x:v>
      </x:c>
      <x:c r="H45" s="25" t="n">
        <x:v>2.0477570093457946</x:v>
      </x:c>
      <x:c r="I45" s="25" t="n">
        <x:v>2.064579439252337</x:v>
      </x:c>
      <x:c r="J45" s="25" t="str"/>
      <x:c r="K45" s="11" t="n">
        <x:v>10.98</x:v>
      </x:c>
      <x:c r="L45" s="11" t="n">
        <x:v>27</x:v>
      </x:c>
      <x:c r="M45" s="11" t="n">
        <x:v>1.1</x:v>
      </x:c>
      <x:c r="N45" s="11" t="n">
        <x:v>1.8</x:v>
      </x:c>
      <x:c r="O45" s="11" t="str"/>
      <x:c r="P45" s="11" t="str"/>
      <x:c r="Q45" s="11" t="str"/>
      <x:c r="R45" s="11" t="str">
        <x:v>alibaba-operating-bridge-pe-v1.0</x:v>
      </x:c>
      <x:c r="S45" s="11" t="str">
        <x:v>2026-10-10</x:v>
      </x:c>
      <x:c r="T45" s="11" t="str">
        <x:f>IF(AND(SUM(IF(K45='假设'!E58,0,1),IF(L45='假设'!F58,0,1),IF(M45='假设'!G58,0,1),IF(N45='假设'!H58,0,1),IF(O45='假设'!I58,0,1),IF(P45='假设'!J58,0,1),IF(Q45='假设'!K58,0,1))=0,U45=V45),"已刷新","待刷新")</x:f>
        <x:v>已刷新</x:v>
      </x:c>
      <x:c r="U45" t="str">
        <x:v>208|70|-20|10|0.22|5|19.5|||0</x:v>
      </x:c>
      <x:c r="V45" t="str">
        <x:f>'经营假设'!D18&amp;"|"&amp;'经营假设'!E18&amp;"|"&amp;'经营假设'!F18&amp;"|"&amp;'经营假设'!G18&amp;"|"&amp;'经营假设'!H18&amp;"|"&amp;'经营假设'!I18&amp;"|"&amp;'经营假设'!J18&amp;"|"&amp;'经营假设'!K18&amp;"|"&amp;'经营假设'!L18&amp;"|"&amp;'经营假设'!M18</x:f>
        <x:v>208|70|-20|10|0.22|5|19.5|||0</x:v>
      </x:c>
    </x:row>
    <x:row r="46" ht="23" customHeight="1">
      <x:c r="A46" s="11" t="str">
        <x:v>09988.HK</x:v>
      </x:c>
      <x:c r="B46" s="11" t="str">
        <x:v>阿里巴巴-W</x:v>
      </x:c>
      <x:c r="C46" s="11" t="str">
        <x:v>三年</x:v>
      </x:c>
      <x:c r="D46" s="11" t="str">
        <x:v>悲观</x:v>
      </x:c>
      <x:c r="E46" s="11" t="n">
        <x:v>107</x:v>
      </x:c>
      <x:c r="F46" s="11" t="n">
        <x:v>39.86</x:v>
      </x:c>
      <x:c r="G46" s="11" t="n">
        <x:v>1.5</x:v>
      </x:c>
      <x:c r="H46" s="25" t="n">
        <x:v>-0.6274766355140187</x:v>
      </x:c>
      <x:c r="I46" s="25" t="n">
        <x:v>-0.6134579439252337</x:v>
      </x:c>
      <x:c r="J46" s="25" t="n">
        <x:v>-0.2715513924588496</x:v>
      </x:c>
      <x:c r="K46" s="11" t="n">
        <x:v>3.02</x:v>
      </x:c>
      <x:c r="L46" s="11" t="n">
        <x:v>12</x:v>
      </x:c>
      <x:c r="M46" s="11" t="n">
        <x:v>1.1</x:v>
      </x:c>
      <x:c r="N46" s="11" t="n">
        <x:v>1.5</x:v>
      </x:c>
      <x:c r="O46" s="11" t="str"/>
      <x:c r="P46" s="11" t="str"/>
      <x:c r="Q46" s="11" t="str"/>
      <x:c r="R46" s="11" t="str">
        <x:v>alibaba-operating-bridge-pe-v1.0</x:v>
      </x:c>
      <x:c r="S46" s="11" t="str">
        <x:v>2026-10-10</x:v>
      </x:c>
      <x:c r="T46" s="11" t="str">
        <x:f>IF(AND(SUM(IF(K46='假设'!E60,0,1),IF(L46='假设'!F60,0,1),IF(M46='假设'!G60,0,1),IF(N46='假设'!H60,0,1),IF(O46='假设'!I60,0,1),IF(P46='假设'!J60,0,1),IF(Q46='假设'!K60,0,1))=0,U46=V46),"已刷新","待刷新")</x:f>
        <x:v>已刷新</x:v>
      </x:c>
      <x:c r="U46" t="str">
        <x:v>133|45|-81|-22|0.22|5|21|||0</x:v>
      </x:c>
      <x:c r="V46" t="str">
        <x:f>'经营假设'!D20&amp;"|"&amp;'经营假设'!E20&amp;"|"&amp;'经营假设'!F20&amp;"|"&amp;'经营假设'!G20&amp;"|"&amp;'经营假设'!H20&amp;"|"&amp;'经营假设'!I20&amp;"|"&amp;'经营假设'!J20&amp;"|"&amp;'经营假设'!K20&amp;"|"&amp;'经营假设'!L20&amp;"|"&amp;'经营假设'!M20</x:f>
        <x:v>133|45|-81|-22|0.22|5|21|||0</x:v>
      </x:c>
    </x:row>
    <x:row r="47" ht="23" customHeight="1">
      <x:c r="A47" s="11" t="str">
        <x:v>09988.HK</x:v>
      </x:c>
      <x:c r="B47" s="11" t="str">
        <x:v>阿里巴巴-W</x:v>
      </x:c>
      <x:c r="C47" s="11" t="str">
        <x:v>三年</x:v>
      </x:c>
      <x:c r="D47" s="11" t="str">
        <x:v>基准</x:v>
      </x:c>
      <x:c r="E47" s="11" t="n">
        <x:v>107</x:v>
      </x:c>
      <x:c r="F47" s="11" t="n">
        <x:v>241.56</x:v>
      </x:c>
      <x:c r="G47" s="11" t="n">
        <x:v>4.5</x:v>
      </x:c>
      <x:c r="H47" s="25" t="n">
        <x:v>1.257570093457944</x:v>
      </x:c>
      <x:c r="I47" s="25" t="n">
        <x:v>1.2996261682242989</x:v>
      </x:c>
      <x:c r="J47" s="25" t="n">
        <x:v>0.31993460194521584</x:v>
      </x:c>
      <x:c r="K47" s="11" t="n">
        <x:v>10.98</x:v>
      </x:c>
      <x:c r="L47" s="11" t="n">
        <x:v>20</x:v>
      </x:c>
      <x:c r="M47" s="11" t="n">
        <x:v>1.1</x:v>
      </x:c>
      <x:c r="N47" s="11" t="n">
        <x:v>4.5</x:v>
      </x:c>
      <x:c r="O47" s="11" t="str"/>
      <x:c r="P47" s="11" t="str"/>
      <x:c r="Q47" s="11" t="str"/>
      <x:c r="R47" s="11" t="str">
        <x:v>alibaba-operating-bridge-pe-v1.0</x:v>
      </x:c>
      <x:c r="S47" s="11" t="str">
        <x:v>2026-10-10</x:v>
      </x:c>
      <x:c r="T47" s="11" t="str">
        <x:f>IF(AND(SUM(IF(K47='假设'!E61,0,1),IF(L47='假设'!F61,0,1),IF(M47='假设'!G61,0,1),IF(N47='假设'!H61,0,1),IF(O47='假设'!I61,0,1),IF(P47='假设'!J61,0,1),IF(Q47='假设'!K61,0,1))=0,U47=V47),"已刷新","待刷新")</x:f>
        <x:v>已刷新</x:v>
      </x:c>
      <x:c r="U47" t="str">
        <x:v>205|105|-42|-4|0.22|6|19.3|||0</x:v>
      </x:c>
      <x:c r="V47" t="str">
        <x:f>'经营假设'!D21&amp;"|"&amp;'经营假设'!E21&amp;"|"&amp;'经营假设'!F21&amp;"|"&amp;'经营假设'!G21&amp;"|"&amp;'经营假设'!H21&amp;"|"&amp;'经营假设'!I21&amp;"|"&amp;'经营假设'!J21&amp;"|"&amp;'经营假设'!K21&amp;"|"&amp;'经营假设'!L21&amp;"|"&amp;'经营假设'!M21</x:f>
        <x:v>205|105|-42|-4|0.22|6|19.3|||0</x:v>
      </x:c>
    </x:row>
    <x:row r="48" ht="23" customHeight="1">
      <x:c r="A48" s="11" t="str">
        <x:v>09988.HK</x:v>
      </x:c>
      <x:c r="B48" s="11" t="str">
        <x:v>阿里巴巴-W</x:v>
      </x:c>
      <x:c r="C48" s="11" t="str">
        <x:v>三年</x:v>
      </x:c>
      <x:c r="D48" s="11" t="str">
        <x:v>乐观</x:v>
      </x:c>
      <x:c r="E48" s="11" t="n">
        <x:v>107</x:v>
      </x:c>
      <x:c r="F48" s="11" t="n">
        <x:v>532.82</x:v>
      </x:c>
      <x:c r="G48" s="11" t="n">
        <x:v>7</x:v>
      </x:c>
      <x:c r="H48" s="25" t="n">
        <x:v>3.9796261682243</x:v>
      </x:c>
      <x:c r="I48" s="25" t="n">
        <x:v>4.045046728971963</x:v>
      </x:c>
      <x:c r="J48" s="25" t="n">
        <x:v>0.7150958565106262</x:v>
      </x:c>
      <x:c r="K48" s="11" t="n">
        <x:v>17.94</x:v>
      </x:c>
      <x:c r="L48" s="11" t="n">
        <x:v>27</x:v>
      </x:c>
      <x:c r="M48" s="11" t="n">
        <x:v>1.1</x:v>
      </x:c>
      <x:c r="N48" s="11" t="n">
        <x:v>7</x:v>
      </x:c>
      <x:c r="O48" s="11" t="str"/>
      <x:c r="P48" s="11" t="str"/>
      <x:c r="Q48" s="11" t="str"/>
      <x:c r="R48" s="11" t="str">
        <x:v>alibaba-operating-bridge-pe-v1.0</x:v>
      </x:c>
      <x:c r="S48" s="11" t="str">
        <x:v>2026-10-10</x:v>
      </x:c>
      <x:c r="T48" s="11" t="str">
        <x:f>IF(AND(SUM(IF(K48='假设'!E62,0,1),IF(L48='假设'!F62,0,1),IF(M48='假设'!G62,0,1),IF(N48='假设'!H62,0,1),IF(O48='假设'!I62,0,1),IF(P48='假设'!J62,0,1),IF(Q48='假设'!K62,0,1))=0,U48=V48),"已刷新","待刷新")</x:f>
        <x:v>已刷新</x:v>
      </x:c>
      <x:c r="U48" t="str">
        <x:v>250|190|-18|12|0.22|6|19.2|||0</x:v>
      </x:c>
      <x:c r="V48" t="str">
        <x:f>'经营假设'!D22&amp;"|"&amp;'经营假设'!E22&amp;"|"&amp;'经营假设'!F22&amp;"|"&amp;'经营假设'!G22&amp;"|"&amp;'经营假设'!H22&amp;"|"&amp;'经营假设'!I22&amp;"|"&amp;'经营假设'!J22&amp;"|"&amp;'经营假设'!K22&amp;"|"&amp;'经营假设'!L22&amp;"|"&amp;'经营假设'!M22</x:f>
        <x:v>250|190|-18|12|0.22|6|19.2|||0</x:v>
      </x:c>
    </x:row>
    <x:row r="49" ht="23" customHeight="1">
      <x:c r="A49" s="11" t="str">
        <x:v>09988.HK</x:v>
      </x:c>
      <x:c r="B49" s="11" t="str">
        <x:v>阿里巴巴-W</x:v>
      </x:c>
      <x:c r="C49" s="11" t="str">
        <x:v>五年</x:v>
      </x:c>
      <x:c r="D49" s="11" t="str">
        <x:v>悲观</x:v>
      </x:c>
      <x:c r="E49" s="11" t="n">
        <x:v>107</x:v>
      </x:c>
      <x:c r="F49" s="11" t="n">
        <x:v>27.39</x:v>
      </x:c>
      <x:c r="G49" s="11" t="n">
        <x:v>2.5</x:v>
      </x:c>
      <x:c r="H49" s="25" t="n">
        <x:v>-0.744018691588785</x:v>
      </x:c>
      <x:c r="I49" s="25" t="n">
        <x:v>-0.7206542056074766</x:v>
      </x:c>
      <x:c r="J49" s="25" t="n">
        <x:v>-0.22513074852304038</x:v>
      </x:c>
      <x:c r="K49" s="11" t="n">
        <x:v>2.49</x:v>
      </x:c>
      <x:c r="L49" s="11" t="n">
        <x:v>10</x:v>
      </x:c>
      <x:c r="M49" s="11" t="n">
        <x:v>1.1</x:v>
      </x:c>
      <x:c r="N49" s="11" t="n">
        <x:v>2.5</x:v>
      </x:c>
      <x:c r="O49" s="11" t="str"/>
      <x:c r="P49" s="11" t="str"/>
      <x:c r="Q49" s="11" t="str"/>
      <x:c r="R49" s="11" t="str">
        <x:v>alibaba-operating-bridge-pe-v1.0</x:v>
      </x:c>
      <x:c r="S49" s="11" t="str">
        <x:v>2026-10-10</x:v>
      </x:c>
      <x:c r="T49" s="11" t="str">
        <x:f>IF(AND(SUM(IF(K49='假设'!E64,0,1),IF(L49='假设'!F64,0,1),IF(M49='假设'!G64,0,1),IF(N49='假设'!H64,0,1),IF(O49='假设'!I64,0,1),IF(P49='假设'!J64,0,1),IF(Q49='假设'!K64,0,1))=0,U49=V49),"已刷新","待刷新")</x:f>
        <x:v>已刷新</x:v>
      </x:c>
      <x:c r="U49" t="str">
        <x:v>130|50|-93|-22|0.22|4|22|||0</x:v>
      </x:c>
      <x:c r="V49" t="str">
        <x:f>'经营假设'!D24&amp;"|"&amp;'经营假设'!E24&amp;"|"&amp;'经营假设'!F24&amp;"|"&amp;'经营假设'!G24&amp;"|"&amp;'经营假设'!H24&amp;"|"&amp;'经营假设'!I24&amp;"|"&amp;'经营假设'!J24&amp;"|"&amp;'经营假设'!K24&amp;"|"&amp;'经营假设'!L24&amp;"|"&amp;'经营假设'!M24</x:f>
        <x:v>130|50|-93|-22|0.22|4|22|||0</x:v>
      </x:c>
    </x:row>
    <x:row r="50" ht="23" customHeight="1">
      <x:c r="A50" s="11" t="str">
        <x:v>09988.HK</x:v>
      </x:c>
      <x:c r="B50" s="11" t="str">
        <x:v>阿里巴巴-W</x:v>
      </x:c>
      <x:c r="C50" s="11" t="str">
        <x:v>五年</x:v>
      </x:c>
      <x:c r="D50" s="11" t="str">
        <x:v>基准</x:v>
      </x:c>
      <x:c r="E50" s="11" t="n">
        <x:v>107</x:v>
      </x:c>
      <x:c r="F50" s="11" t="n">
        <x:v>297.4</x:v>
      </x:c>
      <x:c r="G50" s="11" t="n">
        <x:v>8</x:v>
      </x:c>
      <x:c r="H50" s="25" t="n">
        <x:v>1.7794392523364482</x:v>
      </x:c>
      <x:c r="I50" s="25" t="n">
        <x:v>1.854205607476635</x:v>
      </x:c>
      <x:c r="J50" s="25" t="n">
        <x:v>0.23338042374066204</x:v>
      </x:c>
      <x:c r="K50" s="11" t="n">
        <x:v>15.02</x:v>
      </x:c>
      <x:c r="L50" s="11" t="n">
        <x:v>18</x:v>
      </x:c>
      <x:c r="M50" s="11" t="n">
        <x:v>1.1</x:v>
      </x:c>
      <x:c r="N50" s="11" t="n">
        <x:v>8</x:v>
      </x:c>
      <x:c r="O50" s="11" t="str"/>
      <x:c r="P50" s="11" t="str"/>
      <x:c r="Q50" s="11" t="str"/>
      <x:c r="R50" s="11" t="str">
        <x:v>alibaba-operating-bridge-pe-v1.0</x:v>
      </x:c>
      <x:c r="S50" s="11" t="str">
        <x:v>2026-10-10</x:v>
      </x:c>
      <x:c r="T50" s="11" t="str">
        <x:f>IF(AND(SUM(IF(K50='假设'!E65,0,1),IF(L50='假设'!F65,0,1),IF(M50='假设'!G65,0,1),IF(N50='假设'!H65,0,1),IF(O50='假设'!I65,0,1),IF(P50='假设'!J65,0,1),IF(Q50='假设'!K65,0,1))=0,U50=V50),"已刷新","待刷新")</x:f>
        <x:v>已刷新</x:v>
      </x:c>
      <x:c r="U50" t="str">
        <x:v>230|173|-41|-2|0.22|6|19.1|||0</x:v>
      </x:c>
      <x:c r="V50" t="str">
        <x:f>'经营假设'!D25&amp;"|"&amp;'经营假设'!E25&amp;"|"&amp;'经营假设'!F25&amp;"|"&amp;'经营假设'!G25&amp;"|"&amp;'经营假设'!H25&amp;"|"&amp;'经营假设'!I25&amp;"|"&amp;'经营假设'!J25&amp;"|"&amp;'经营假设'!K25&amp;"|"&amp;'经营假设'!L25&amp;"|"&amp;'经营假设'!M25</x:f>
        <x:v>230|173|-41|-2|0.22|6|19.1|||0</x:v>
      </x:c>
    </x:row>
    <x:row r="51" ht="23" customHeight="1">
      <x:c r="A51" s="11" t="str">
        <x:v>09988.HK</x:v>
      </x:c>
      <x:c r="B51" s="11" t="str">
        <x:v>阿里巴巴-W</x:v>
      </x:c>
      <x:c r="C51" s="11" t="str">
        <x:v>五年</x:v>
      </x:c>
      <x:c r="D51" s="11" t="str">
        <x:v>乐观</x:v>
      </x:c>
      <x:c r="E51" s="11" t="n">
        <x:v>107</x:v>
      </x:c>
      <x:c r="F51" s="11" t="n">
        <x:v>769.18</x:v>
      </x:c>
      <x:c r="G51" s="11" t="n">
        <x:v>15</x:v>
      </x:c>
      <x:c r="H51" s="25" t="n">
        <x:v>6.188598130841121</x:v>
      </x:c>
      <x:c r="I51" s="25" t="n">
        <x:v>6.328785046728972</x:v>
      </x:c>
      <x:c r="J51" s="25" t="n">
        <x:v>0.489383014949766</x:v>
      </x:c>
      <x:c r="K51" s="11" t="n">
        <x:v>27.97</x:v>
      </x:c>
      <x:c r="L51" s="11" t="n">
        <x:v>25</x:v>
      </x:c>
      <x:c r="M51" s="11" t="n">
        <x:v>1.1</x:v>
      </x:c>
      <x:c r="N51" s="11" t="n">
        <x:v>15</x:v>
      </x:c>
      <x:c r="O51" s="11" t="str"/>
      <x:c r="P51" s="11" t="str"/>
      <x:c r="Q51" s="11" t="str"/>
      <x:c r="R51" s="11" t="str">
        <x:v>alibaba-operating-bridge-pe-v1.0</x:v>
      </x:c>
      <x:c r="S51" s="11" t="str">
        <x:v>2026-10-10</x:v>
      </x:c>
      <x:c r="T51" s="11" t="str">
        <x:f>IF(AND(SUM(IF(K51='假设'!E66,0,1),IF(L51='假设'!F66,0,1),IF(M51='假设'!G66,0,1),IF(N51='假设'!H66,0,1),IF(O51='假设'!I66,0,1),IF(P51='假设'!J66,0,1),IF(Q51='假设'!K66,0,1))=0,U51=V51),"已刷新","待刷新")</x:f>
        <x:v>已刷新</x:v>
      </x:c>
      <x:c r="U51" t="str">
        <x:v>310|363|-15|12|0.22|6|18.9|||0</x:v>
      </x:c>
      <x:c r="V51" t="str">
        <x:f>'经营假设'!D26&amp;"|"&amp;'经营假设'!E26&amp;"|"&amp;'经营假设'!F26&amp;"|"&amp;'经营假设'!G26&amp;"|"&amp;'经营假设'!H26&amp;"|"&amp;'经营假设'!I26&amp;"|"&amp;'经营假设'!J26&amp;"|"&amp;'经营假设'!K26&amp;"|"&amp;'经营假设'!L26&amp;"|"&amp;'经营假设'!M26</x:f>
        <x:v>310|363|-15|12|0.22|6|18.9|||0</x:v>
      </x:c>
    </x:row>
    <x:row r="52" ht="23" customHeight="1">
      <x:c r="A52" s="11" t="str">
        <x:v>002821.SZ</x:v>
      </x:c>
      <x:c r="B52" s="11" t="str">
        <x:v>凯莱英</x:v>
      </x:c>
      <x:c r="C52" s="11" t="str">
        <x:v>2026年底</x:v>
      </x:c>
      <x:c r="D52" s="11" t="str">
        <x:v>悲观</x:v>
      </x:c>
      <x:c r="E52" s="11" t="n">
        <x:v>177.93</x:v>
      </x:c>
      <x:c r="F52" s="11" t="n">
        <x:v>67.19999999999999</x:v>
      </x:c>
      <x:c r="G52" s="11" t="n">
        <x:v>0</x:v>
      </x:c>
      <x:c r="H52" s="25" t="n">
        <x:v>-0.6223233856010791</x:v>
      </x:c>
      <x:c r="I52" s="25" t="n">
        <x:v>-0.6223233856010791</x:v>
      </x:c>
      <x:c r="J52" s="25" t="str"/>
      <x:c r="K52" s="11" t="n">
        <x:v>2.8</x:v>
      </x:c>
      <x:c r="L52" s="11" t="n">
        <x:v>24</x:v>
      </x:c>
      <x:c r="M52" s="11" t="n">
        <x:v>1</x:v>
      </x:c>
      <x:c r="N52" s="11" t="n">
        <x:v>0</x:v>
      </x:c>
      <x:c r="O52" s="11" t="str"/>
      <x:c r="P52" s="11" t="str"/>
      <x:c r="Q52" s="11" t="str"/>
      <x:c r="R52" s="11" t="str">
        <x:v>asymchem-AH-pe-v1.0</x:v>
      </x:c>
      <x:c r="S52" s="11" t="str">
        <x:v>2026-10-10</x:v>
      </x:c>
      <x:c r="T52" s="11" t="str">
        <x:f>IF(AND(SUM(IF(K52='假设'!E68,0,1),IF(L52='假设'!F68,0,1),IF(M52='假设'!G68,0,1),IF(N52='假设'!H68,0,1),IF(O52='假设'!I68,0,1),IF(P52='假设'!J68,0,1),IF(Q52='假设'!K68,0,1))=0,U52=V52),"已刷新","待刷新")</x:f>
        <x:v>已刷新</x:v>
      </x:c>
    </x:row>
    <x:row r="53" ht="23" customHeight="1">
      <x:c r="A53" s="11" t="str">
        <x:v>002821.SZ</x:v>
      </x:c>
      <x:c r="B53" s="11" t="str">
        <x:v>凯莱英</x:v>
      </x:c>
      <x:c r="C53" s="11" t="str">
        <x:v>2026年底</x:v>
      </x:c>
      <x:c r="D53" s="11" t="str">
        <x:v>基准</x:v>
      </x:c>
      <x:c r="E53" s="11" t="n">
        <x:v>177.93</x:v>
      </x:c>
      <x:c r="F53" s="11" t="n">
        <x:v>172</x:v>
      </x:c>
      <x:c r="G53" s="11" t="n">
        <x:v>0</x:v>
      </x:c>
      <x:c r="H53" s="25" t="n">
        <x:v>-0.03332771314561911</x:v>
      </x:c>
      <x:c r="I53" s="25" t="n">
        <x:v>-0.03332771314561911</x:v>
      </x:c>
      <x:c r="J53" s="25" t="str"/>
      <x:c r="K53" s="11" t="n">
        <x:v>4</x:v>
      </x:c>
      <x:c r="L53" s="11" t="n">
        <x:v>43</x:v>
      </x:c>
      <x:c r="M53" s="11" t="n">
        <x:v>1</x:v>
      </x:c>
      <x:c r="N53" s="11" t="n">
        <x:v>0</x:v>
      </x:c>
      <x:c r="O53" s="11" t="str"/>
      <x:c r="P53" s="11" t="str"/>
      <x:c r="Q53" s="11" t="str"/>
      <x:c r="R53" s="11" t="str">
        <x:v>asymchem-AH-pe-v1.0</x:v>
      </x:c>
      <x:c r="S53" s="11" t="str">
        <x:v>2026-10-10</x:v>
      </x:c>
      <x:c r="T53" s="11" t="str">
        <x:f>IF(AND(SUM(IF(K53='假设'!E69,0,1),IF(L53='假设'!F69,0,1),IF(M53='假设'!G69,0,1),IF(N53='假设'!H69,0,1),IF(O53='假设'!I69,0,1),IF(P53='假设'!J69,0,1),IF(Q53='假设'!K69,0,1))=0,U53=V53),"已刷新","待刷新")</x:f>
        <x:v>已刷新</x:v>
      </x:c>
    </x:row>
    <x:row r="54" ht="23" customHeight="1">
      <x:c r="A54" s="11" t="str">
        <x:v>002821.SZ</x:v>
      </x:c>
      <x:c r="B54" s="11" t="str">
        <x:v>凯莱英</x:v>
      </x:c>
      <x:c r="C54" s="11" t="str">
        <x:v>2026年底</x:v>
      </x:c>
      <x:c r="D54" s="11" t="str">
        <x:v>乐观</x:v>
      </x:c>
      <x:c r="E54" s="11" t="n">
        <x:v>177.93</x:v>
      </x:c>
      <x:c r="F54" s="11" t="n">
        <x:v>270</x:v>
      </x:c>
      <x:c r="G54" s="11" t="n">
        <x:v>0</x:v>
      </x:c>
      <x:c r="H54" s="25" t="n">
        <x:v>0.5174506828528072</x:v>
      </x:c>
      <x:c r="I54" s="25" t="n">
        <x:v>0.5174506828528072</x:v>
      </x:c>
      <x:c r="J54" s="25" t="str"/>
      <x:c r="K54" s="11" t="n">
        <x:v>5</x:v>
      </x:c>
      <x:c r="L54" s="11" t="n">
        <x:v>54</x:v>
      </x:c>
      <x:c r="M54" s="11" t="n">
        <x:v>1</x:v>
      </x:c>
      <x:c r="N54" s="11" t="n">
        <x:v>0</x:v>
      </x:c>
      <x:c r="O54" s="11" t="str"/>
      <x:c r="P54" s="11" t="str"/>
      <x:c r="Q54" s="11" t="str"/>
      <x:c r="R54" s="11" t="str">
        <x:v>asymchem-AH-pe-v1.0</x:v>
      </x:c>
      <x:c r="S54" s="11" t="str">
        <x:v>2026-10-10</x:v>
      </x:c>
      <x:c r="T54" s="11" t="str">
        <x:f>IF(AND(SUM(IF(K54='假设'!E70,0,1),IF(L54='假设'!F70,0,1),IF(M54='假设'!G70,0,1),IF(N54='假设'!H70,0,1),IF(O54='假设'!I70,0,1),IF(P54='假设'!J70,0,1),IF(Q54='假设'!K70,0,1))=0,U54=V54),"已刷新","待刷新")</x:f>
        <x:v>已刷新</x:v>
      </x:c>
    </x:row>
    <x:row r="55" ht="23" customHeight="1">
      <x:c r="A55" s="11" t="str">
        <x:v>002821.SZ</x:v>
      </x:c>
      <x:c r="B55" s="11" t="str">
        <x:v>凯莱英</x:v>
      </x:c>
      <x:c r="C55" s="11" t="str">
        <x:v>半年</x:v>
      </x:c>
      <x:c r="D55" s="11" t="str">
        <x:v>悲观</x:v>
      </x:c>
      <x:c r="E55" s="11" t="n">
        <x:v>177.93</x:v>
      </x:c>
      <x:c r="F55" s="11" t="n">
        <x:v>72</x:v>
      </x:c>
      <x:c r="G55" s="11" t="n">
        <x:v>0</x:v>
      </x:c>
      <x:c r="H55" s="25" t="n">
        <x:v>-0.5953464845725848</x:v>
      </x:c>
      <x:c r="I55" s="25" t="n">
        <x:v>-0.5953464845725848</x:v>
      </x:c>
      <x:c r="J55" s="25" t="str"/>
      <x:c r="K55" s="11" t="n">
        <x:v>3</x:v>
      </x:c>
      <x:c r="L55" s="11" t="n">
        <x:v>24</x:v>
      </x:c>
      <x:c r="M55" s="11" t="n">
        <x:v>1</x:v>
      </x:c>
      <x:c r="N55" s="11" t="n">
        <x:v>0</x:v>
      </x:c>
      <x:c r="O55" s="11" t="str"/>
      <x:c r="P55" s="11" t="str"/>
      <x:c r="Q55" s="11" t="str"/>
      <x:c r="R55" s="11" t="str">
        <x:v>asymchem-AH-pe-v1.0</x:v>
      </x:c>
      <x:c r="S55" s="11" t="str">
        <x:v>2026-10-10</x:v>
      </x:c>
      <x:c r="T55" s="11" t="str">
        <x:f>IF(AND(SUM(IF(K55='假设'!E72,0,1),IF(L55='假设'!F72,0,1),IF(M55='假设'!G72,0,1),IF(N55='假设'!H72,0,1),IF(O55='假设'!I72,0,1),IF(P55='假设'!J72,0,1),IF(Q55='假设'!K72,0,1))=0,U55=V55),"已刷新","待刷新")</x:f>
        <x:v>已刷新</x:v>
      </x:c>
    </x:row>
    <x:row r="56" ht="23" customHeight="1">
      <x:c r="A56" s="11" t="str">
        <x:v>002821.SZ</x:v>
      </x:c>
      <x:c r="B56" s="11" t="str">
        <x:v>凯莱英</x:v>
      </x:c>
      <x:c r="C56" s="11" t="str">
        <x:v>半年</x:v>
      </x:c>
      <x:c r="D56" s="11" t="str">
        <x:v>基准</x:v>
      </x:c>
      <x:c r="E56" s="11" t="n">
        <x:v>177.93</x:v>
      </x:c>
      <x:c r="F56" s="11" t="n">
        <x:v>189</x:v>
      </x:c>
      <x:c r="G56" s="11" t="n">
        <x:v>0</x:v>
      </x:c>
      <x:c r="H56" s="25" t="n">
        <x:v>0.06221547799696503</x:v>
      </x:c>
      <x:c r="I56" s="25" t="n">
        <x:v>0.06221547799696503</x:v>
      </x:c>
      <x:c r="J56" s="25" t="str"/>
      <x:c r="K56" s="11" t="n">
        <x:v>4.5</x:v>
      </x:c>
      <x:c r="L56" s="11" t="n">
        <x:v>42</x:v>
      </x:c>
      <x:c r="M56" s="11" t="n">
        <x:v>1</x:v>
      </x:c>
      <x:c r="N56" s="11" t="n">
        <x:v>0</x:v>
      </x:c>
      <x:c r="O56" s="11" t="str"/>
      <x:c r="P56" s="11" t="str"/>
      <x:c r="Q56" s="11" t="str"/>
      <x:c r="R56" s="11" t="str">
        <x:v>asymchem-AH-pe-v1.0</x:v>
      </x:c>
      <x:c r="S56" s="11" t="str">
        <x:v>2026-10-10</x:v>
      </x:c>
      <x:c r="T56" s="11" t="str">
        <x:f>IF(AND(SUM(IF(K56='假设'!E73,0,1),IF(L56='假设'!F73,0,1),IF(M56='假设'!G73,0,1),IF(N56='假设'!H73,0,1),IF(O56='假设'!I73,0,1),IF(P56='假设'!J73,0,1),IF(Q56='假设'!K73,0,1))=0,U56=V56),"已刷新","待刷新")</x:f>
        <x:v>已刷新</x:v>
      </x:c>
    </x:row>
    <x:row r="57" ht="23" customHeight="1">
      <x:c r="A57" s="11" t="str">
        <x:v>002821.SZ</x:v>
      </x:c>
      <x:c r="B57" s="11" t="str">
        <x:v>凯莱英</x:v>
      </x:c>
      <x:c r="C57" s="11" t="str">
        <x:v>半年</x:v>
      </x:c>
      <x:c r="D57" s="11" t="str">
        <x:v>乐观</x:v>
      </x:c>
      <x:c r="E57" s="11" t="n">
        <x:v>177.93</x:v>
      </x:c>
      <x:c r="F57" s="11" t="n">
        <x:v>313.2</x:v>
      </x:c>
      <x:c r="G57" s="11" t="n">
        <x:v>0</x:v>
      </x:c>
      <x:c r="H57" s="25" t="n">
        <x:v>0.7602427921092563</x:v>
      </x:c>
      <x:c r="I57" s="25" t="n">
        <x:v>0.7602427921092563</x:v>
      </x:c>
      <x:c r="J57" s="25" t="str"/>
      <x:c r="K57" s="11" t="n">
        <x:v>5.8</x:v>
      </x:c>
      <x:c r="L57" s="11" t="n">
        <x:v>54</x:v>
      </x:c>
      <x:c r="M57" s="11" t="n">
        <x:v>1</x:v>
      </x:c>
      <x:c r="N57" s="11" t="n">
        <x:v>0</x:v>
      </x:c>
      <x:c r="O57" s="11" t="str"/>
      <x:c r="P57" s="11" t="str"/>
      <x:c r="Q57" s="11" t="str"/>
      <x:c r="R57" s="11" t="str">
        <x:v>asymchem-AH-pe-v1.0</x:v>
      </x:c>
      <x:c r="S57" s="11" t="str">
        <x:v>2026-10-10</x:v>
      </x:c>
      <x:c r="T57" s="11" t="str">
        <x:f>IF(AND(SUM(IF(K57='假设'!E74,0,1),IF(L57='假设'!F74,0,1),IF(M57='假设'!G74,0,1),IF(N57='假设'!H74,0,1),IF(O57='假设'!I74,0,1),IF(P57='假设'!J74,0,1),IF(Q57='假设'!K74,0,1))=0,U57=V57),"已刷新","待刷新")</x:f>
        <x:v>已刷新</x:v>
      </x:c>
    </x:row>
    <x:row r="58" ht="23" customHeight="1">
      <x:c r="A58" s="11" t="str">
        <x:v>002821.SZ</x:v>
      </x:c>
      <x:c r="B58" s="11" t="str">
        <x:v>凯莱英</x:v>
      </x:c>
      <x:c r="C58" s="11" t="str">
        <x:v>一年</x:v>
      </x:c>
      <x:c r="D58" s="11" t="str">
        <x:v>悲观</x:v>
      </x:c>
      <x:c r="E58" s="11" t="n">
        <x:v>177.93</x:v>
      </x:c>
      <x:c r="F58" s="11" t="n">
        <x:v>75.89999999999999</x:v>
      </x:c>
      <x:c r="G58" s="11" t="n">
        <x:v>0.8</x:v>
      </x:c>
      <x:c r="H58" s="25" t="n">
        <x:v>-0.5734277524869331</x:v>
      </x:c>
      <x:c r="I58" s="25" t="n">
        <x:v>-0.5689316023155174</x:v>
      </x:c>
      <x:c r="J58" s="25" t="str"/>
      <x:c r="K58" s="11" t="n">
        <x:v>3.3</x:v>
      </x:c>
      <x:c r="L58" s="11" t="n">
        <x:v>23</x:v>
      </x:c>
      <x:c r="M58" s="11" t="n">
        <x:v>1</x:v>
      </x:c>
      <x:c r="N58" s="11" t="n">
        <x:v>0.8</x:v>
      </x:c>
      <x:c r="O58" s="11" t="str"/>
      <x:c r="P58" s="11" t="str"/>
      <x:c r="Q58" s="11" t="str"/>
      <x:c r="R58" s="11" t="str">
        <x:v>asymchem-AH-pe-v1.0</x:v>
      </x:c>
      <x:c r="S58" s="11" t="str">
        <x:v>2026-10-10</x:v>
      </x:c>
      <x:c r="T58" s="11" t="str">
        <x:f>IF(AND(SUM(IF(K58='假设'!E76,0,1),IF(L58='假设'!F76,0,1),IF(M58='假设'!G76,0,1),IF(N58='假设'!H76,0,1),IF(O58='假设'!I76,0,1),IF(P58='假设'!J76,0,1),IF(Q58='假设'!K76,0,1))=0,U58=V58),"已刷新","待刷新")</x:f>
        <x:v>已刷新</x:v>
      </x:c>
    </x:row>
    <x:row r="59" ht="23" customHeight="1">
      <x:c r="A59" s="11" t="str">
        <x:v>002821.SZ</x:v>
      </x:c>
      <x:c r="B59" s="11" t="str">
        <x:v>凯莱英</x:v>
      </x:c>
      <x:c r="C59" s="11" t="str">
        <x:v>一年</x:v>
      </x:c>
      <x:c r="D59" s="11" t="str">
        <x:v>基准</x:v>
      </x:c>
      <x:c r="E59" s="11" t="n">
        <x:v>177.93</x:v>
      </x:c>
      <x:c r="F59" s="11" t="n">
        <x:v>220</x:v>
      </x:c>
      <x:c r="G59" s="11" t="n">
        <x:v>1.5</x:v>
      </x:c>
      <x:c r="H59" s="25" t="n">
        <x:v>0.23644129713932438</x:v>
      </x:c>
      <x:c r="I59" s="25" t="n">
        <x:v>0.24487157871072895</x:v>
      </x:c>
      <x:c r="J59" s="25" t="str"/>
      <x:c r="K59" s="11" t="n">
        <x:v>5.5</x:v>
      </x:c>
      <x:c r="L59" s="11" t="n">
        <x:v>40</x:v>
      </x:c>
      <x:c r="M59" s="11" t="n">
        <x:v>1</x:v>
      </x:c>
      <x:c r="N59" s="11" t="n">
        <x:v>1.5</x:v>
      </x:c>
      <x:c r="O59" s="11" t="str"/>
      <x:c r="P59" s="11" t="str"/>
      <x:c r="Q59" s="11" t="str"/>
      <x:c r="R59" s="11" t="str">
        <x:v>asymchem-AH-pe-v1.0</x:v>
      </x:c>
      <x:c r="S59" s="11" t="str">
        <x:v>2026-10-10</x:v>
      </x:c>
      <x:c r="T59" s="11" t="str">
        <x:f>IF(AND(SUM(IF(K59='假设'!E77,0,1),IF(L59='假设'!F77,0,1),IF(M59='假设'!G77,0,1),IF(N59='假设'!H77,0,1),IF(O59='假设'!I77,0,1),IF(P59='假设'!J77,0,1),IF(Q59='假设'!K77,0,1))=0,U59=V59),"已刷新","待刷新")</x:f>
        <x:v>待刷新</x:v>
      </x:c>
    </x:row>
    <x:row r="60" ht="23" customHeight="1">
      <x:c r="A60" s="11" t="str">
        <x:v>002821.SZ</x:v>
      </x:c>
      <x:c r="B60" s="11" t="str">
        <x:v>凯莱英</x:v>
      </x:c>
      <x:c r="C60" s="11" t="str">
        <x:v>一年</x:v>
      </x:c>
      <x:c r="D60" s="11" t="str">
        <x:v>乐观</x:v>
      </x:c>
      <x:c r="E60" s="11" t="n">
        <x:v>177.93</x:v>
      </x:c>
      <x:c r="F60" s="11" t="n">
        <x:v>365</x:v>
      </x:c>
      <x:c r="G60" s="11" t="n">
        <x:v>2</x:v>
      </x:c>
      <x:c r="H60" s="25" t="n">
        <x:v>1.0513685157084245</x:v>
      </x:c>
      <x:c r="I60" s="25" t="n">
        <x:v>1.0626088911369638</x:v>
      </x:c>
      <x:c r="J60" s="25" t="str"/>
      <x:c r="K60" s="11" t="n">
        <x:v>7.3</x:v>
      </x:c>
      <x:c r="L60" s="11" t="n">
        <x:v>50</x:v>
      </x:c>
      <x:c r="M60" s="11" t="n">
        <x:v>1</x:v>
      </x:c>
      <x:c r="N60" s="11" t="n">
        <x:v>2</x:v>
      </x:c>
      <x:c r="O60" s="11" t="str"/>
      <x:c r="P60" s="11" t="str"/>
      <x:c r="Q60" s="11" t="str"/>
      <x:c r="R60" s="11" t="str">
        <x:v>asymchem-AH-pe-v1.0</x:v>
      </x:c>
      <x:c r="S60" s="11" t="str">
        <x:v>2026-10-10</x:v>
      </x:c>
      <x:c r="T60" s="11" t="str">
        <x:f>IF(AND(SUM(IF(K60='假设'!E78,0,1),IF(L60='假设'!F78,0,1),IF(M60='假设'!G78,0,1),IF(N60='假设'!H78,0,1),IF(O60='假设'!I78,0,1),IF(P60='假设'!J78,0,1),IF(Q60='假设'!K78,0,1))=0,U60=V60),"已刷新","待刷新")</x:f>
        <x:v>已刷新</x:v>
      </x:c>
    </x:row>
    <x:row r="61" ht="23" customHeight="1">
      <x:c r="A61" s="11" t="str">
        <x:v>002821.SZ</x:v>
      </x:c>
      <x:c r="B61" s="11" t="str">
        <x:v>凯莱英</x:v>
      </x:c>
      <x:c r="C61" s="11" t="str">
        <x:v>三年</x:v>
      </x:c>
      <x:c r="D61" s="11" t="str">
        <x:v>悲观</x:v>
      </x:c>
      <x:c r="E61" s="11" t="n">
        <x:v>177.93</x:v>
      </x:c>
      <x:c r="F61" s="11" t="n">
        <x:v>83.6</x:v>
      </x:c>
      <x:c r="G61" s="11" t="n">
        <x:v>3.3</x:v>
      </x:c>
      <x:c r="H61" s="25" t="n">
        <x:v>-0.5301523070870567</x:v>
      </x:c>
      <x:c r="I61" s="25" t="n">
        <x:v>-0.5116056876299668</x:v>
      </x:c>
      <x:c r="J61" s="25" t="n">
        <x:v>-0.21248856998464372</x:v>
      </x:c>
      <x:c r="K61" s="11" t="n">
        <x:v>3.8</x:v>
      </x:c>
      <x:c r="L61" s="11" t="n">
        <x:v>22</x:v>
      </x:c>
      <x:c r="M61" s="11" t="n">
        <x:v>1</x:v>
      </x:c>
      <x:c r="N61" s="11" t="n">
        <x:v>3.3</x:v>
      </x:c>
      <x:c r="O61" s="11" t="str"/>
      <x:c r="P61" s="11" t="str"/>
      <x:c r="Q61" s="11" t="str"/>
      <x:c r="R61" s="11" t="str">
        <x:v>asymchem-AH-pe-v1.0</x:v>
      </x:c>
      <x:c r="S61" s="11" t="str">
        <x:v>2026-10-10</x:v>
      </x:c>
      <x:c r="T61" s="11" t="str">
        <x:f>IF(AND(SUM(IF(K61='假设'!E80,0,1),IF(L61='假设'!F80,0,1),IF(M61='假设'!G80,0,1),IF(N61='假设'!H80,0,1),IF(O61='假设'!I80,0,1),IF(P61='假设'!J80,0,1),IF(Q61='假设'!K80,0,1))=0,U61=V61),"已刷新","待刷新")</x:f>
        <x:v>已刷新</x:v>
      </x:c>
    </x:row>
    <x:row r="62" ht="23" customHeight="1">
      <x:c r="A62" s="11" t="str">
        <x:v>002821.SZ</x:v>
      </x:c>
      <x:c r="B62" s="11" t="str">
        <x:v>凯莱英</x:v>
      </x:c>
      <x:c r="C62" s="11" t="str">
        <x:v>三年</x:v>
      </x:c>
      <x:c r="D62" s="11" t="str">
        <x:v>基准</x:v>
      </x:c>
      <x:c r="E62" s="11" t="n">
        <x:v>177.93</x:v>
      </x:c>
      <x:c r="F62" s="11" t="n">
        <x:v>290.5</x:v>
      </x:c>
      <x:c r="G62" s="11" t="n">
        <x:v>6</x:v>
      </x:c>
      <x:c r="H62" s="25" t="n">
        <x:v>0.6326645309953352</x:v>
      </x:c>
      <x:c r="I62" s="25" t="n">
        <x:v>0.6663856572809532</x:v>
      </x:c>
      <x:c r="J62" s="25" t="n">
        <x:v>0.18556446305783902</x:v>
      </x:c>
      <x:c r="K62" s="11" t="n">
        <x:v>8.3</x:v>
      </x:c>
      <x:c r="L62" s="11" t="n">
        <x:v>35</x:v>
      </x:c>
      <x:c r="M62" s="11" t="n">
        <x:v>1</x:v>
      </x:c>
      <x:c r="N62" s="11" t="n">
        <x:v>6</x:v>
      </x:c>
      <x:c r="O62" s="11" t="str"/>
      <x:c r="P62" s="11" t="str"/>
      <x:c r="Q62" s="11" t="str"/>
      <x:c r="R62" s="11" t="str">
        <x:v>asymchem-AH-pe-v1.0</x:v>
      </x:c>
      <x:c r="S62" s="11" t="str">
        <x:v>2026-10-10</x:v>
      </x:c>
      <x:c r="T62" s="11" t="str">
        <x:f>IF(AND(SUM(IF(K62='假设'!E81,0,1),IF(L62='假设'!F81,0,1),IF(M62='假设'!G81,0,1),IF(N62='假设'!H81,0,1),IF(O62='假设'!I81,0,1),IF(P62='假设'!J81,0,1),IF(Q62='假设'!K81,0,1))=0,U62=V62),"已刷新","待刷新")</x:f>
        <x:v>已刷新</x:v>
      </x:c>
    </x:row>
    <x:row r="63" ht="23" customHeight="1">
      <x:c r="A63" s="11" t="str">
        <x:v>002821.SZ</x:v>
      </x:c>
      <x:c r="B63" s="11" t="str">
        <x:v>凯莱英</x:v>
      </x:c>
      <x:c r="C63" s="11" t="str">
        <x:v>三年</x:v>
      </x:c>
      <x:c r="D63" s="11" t="str">
        <x:v>乐观</x:v>
      </x:c>
      <x:c r="E63" s="11" t="n">
        <x:v>177.93</x:v>
      </x:c>
      <x:c r="F63" s="11" t="n">
        <x:v>550</x:v>
      </x:c>
      <x:c r="G63" s="11" t="n">
        <x:v>8.5</x:v>
      </x:c>
      <x:c r="H63" s="25" t="n">
        <x:v>2.091103242848311</x:v>
      </x:c>
      <x:c r="I63" s="25" t="n">
        <x:v>2.138874838419603</x:v>
      </x:c>
      <x:c r="J63" s="25" t="n">
        <x:v>0.4641694226006261</x:v>
      </x:c>
      <x:c r="K63" s="11" t="n">
        <x:v>12.5</x:v>
      </x:c>
      <x:c r="L63" s="11" t="n">
        <x:v>44</x:v>
      </x:c>
      <x:c r="M63" s="11" t="n">
        <x:v>1</x:v>
      </x:c>
      <x:c r="N63" s="11" t="n">
        <x:v>8.5</x:v>
      </x:c>
      <x:c r="O63" s="11" t="str"/>
      <x:c r="P63" s="11" t="str"/>
      <x:c r="Q63" s="11" t="str"/>
      <x:c r="R63" s="11" t="str">
        <x:v>asymchem-AH-pe-v1.0</x:v>
      </x:c>
      <x:c r="S63" s="11" t="str">
        <x:v>2026-10-10</x:v>
      </x:c>
      <x:c r="T63" s="11" t="str">
        <x:f>IF(AND(SUM(IF(K63='假设'!E82,0,1),IF(L63='假设'!F82,0,1),IF(M63='假设'!G82,0,1),IF(N63='假设'!H82,0,1),IF(O63='假设'!I82,0,1),IF(P63='假设'!J82,0,1),IF(Q63='假设'!K82,0,1))=0,U63=V63),"已刷新","待刷新")</x:f>
        <x:v>已刷新</x:v>
      </x:c>
    </x:row>
    <x:row r="64" ht="23" customHeight="1">
      <x:c r="A64" s="11" t="str">
        <x:v>002821.SZ</x:v>
      </x:c>
      <x:c r="B64" s="11" t="str">
        <x:v>凯莱英</x:v>
      </x:c>
      <x:c r="C64" s="11" t="str">
        <x:v>五年</x:v>
      </x:c>
      <x:c r="D64" s="11" t="str">
        <x:v>悲观</x:v>
      </x:c>
      <x:c r="E64" s="11" t="n">
        <x:v>177.93</x:v>
      </x:c>
      <x:c r="F64" s="11" t="n">
        <x:v>84</x:v>
      </x:c>
      <x:c r="G64" s="11" t="n">
        <x:v>6</x:v>
      </x:c>
      <x:c r="H64" s="25" t="n">
        <x:v>-0.5279042320013488</x:v>
      </x:c>
      <x:c r="I64" s="25" t="n">
        <x:v>-0.4941831057157309</x:v>
      </x:c>
      <x:c r="J64" s="25" t="n">
        <x:v>-0.12743323717661137</x:v>
      </x:c>
      <x:c r="K64" s="11" t="n">
        <x:v>4.2</x:v>
      </x:c>
      <x:c r="L64" s="11" t="n">
        <x:v>20</x:v>
      </x:c>
      <x:c r="M64" s="11" t="n">
        <x:v>1</x:v>
      </x:c>
      <x:c r="N64" s="11" t="n">
        <x:v>6</x:v>
      </x:c>
      <x:c r="O64" s="11" t="str"/>
      <x:c r="P64" s="11" t="str"/>
      <x:c r="Q64" s="11" t="str"/>
      <x:c r="R64" s="11" t="str">
        <x:v>asymchem-AH-pe-v1.0</x:v>
      </x:c>
      <x:c r="S64" s="11" t="str">
        <x:v>2026-10-10</x:v>
      </x:c>
      <x:c r="T64" s="11" t="str">
        <x:f>IF(AND(SUM(IF(K64='假设'!E84,0,1),IF(L64='假设'!F84,0,1),IF(M64='假设'!G84,0,1),IF(N64='假设'!H84,0,1),IF(O64='假设'!I84,0,1),IF(P64='假设'!J84,0,1),IF(Q64='假设'!K84,0,1))=0,U64=V64),"已刷新","待刷新")</x:f>
        <x:v>已刷新</x:v>
      </x:c>
    </x:row>
    <x:row r="65" ht="23" customHeight="1">
      <x:c r="A65" s="11" t="str">
        <x:v>002821.SZ</x:v>
      </x:c>
      <x:c r="B65" s="11" t="str">
        <x:v>凯莱英</x:v>
      </x:c>
      <x:c r="C65" s="11" t="str">
        <x:v>五年</x:v>
      </x:c>
      <x:c r="D65" s="11" t="str">
        <x:v>基准</x:v>
      </x:c>
      <x:c r="E65" s="11" t="n">
        <x:v>177.93</x:v>
      </x:c>
      <x:c r="F65" s="11" t="n">
        <x:v>368</x:v>
      </x:c>
      <x:c r="G65" s="11" t="n">
        <x:v>11</x:v>
      </x:c>
      <x:c r="H65" s="25" t="n">
        <x:v>1.0682290788512336</x:v>
      </x:c>
      <x:c r="I65" s="25" t="n">
        <x:v>1.1300511437082</x:v>
      </x:c>
      <x:c r="J65" s="25" t="n">
        <x:v>0.16326324527044433</x:v>
      </x:c>
      <x:c r="K65" s="11" t="n">
        <x:v>11.5</x:v>
      </x:c>
      <x:c r="L65" s="11" t="n">
        <x:v>32</x:v>
      </x:c>
      <x:c r="M65" s="11" t="n">
        <x:v>1</x:v>
      </x:c>
      <x:c r="N65" s="11" t="n">
        <x:v>11</x:v>
      </x:c>
      <x:c r="O65" s="11" t="str"/>
      <x:c r="P65" s="11" t="str"/>
      <x:c r="Q65" s="11" t="str"/>
      <x:c r="R65" s="11" t="str">
        <x:v>asymchem-AH-pe-v1.0</x:v>
      </x:c>
      <x:c r="S65" s="11" t="str">
        <x:v>2026-10-10</x:v>
      </x:c>
      <x:c r="T65" s="11" t="str">
        <x:f>IF(AND(SUM(IF(K65='假设'!E85,0,1),IF(L65='假设'!F85,0,1),IF(M65='假设'!G85,0,1),IF(N65='假设'!H85,0,1),IF(O65='假设'!I85,0,1),IF(P65='假设'!J85,0,1),IF(Q65='假设'!K85,0,1))=0,U65=V65),"已刷新","待刷新")</x:f>
        <x:v>已刷新</x:v>
      </x:c>
    </x:row>
    <x:row r="66" ht="23" customHeight="1">
      <x:c r="A66" s="11" t="str">
        <x:v>002821.SZ</x:v>
      </x:c>
      <x:c r="B66" s="11" t="str">
        <x:v>凯莱英</x:v>
      </x:c>
      <x:c r="C66" s="11" t="str">
        <x:v>五年</x:v>
      </x:c>
      <x:c r="D66" s="11" t="str">
        <x:v>乐观</x:v>
      </x:c>
      <x:c r="E66" s="11" t="n">
        <x:v>177.93</x:v>
      </x:c>
      <x:c r="F66" s="11" t="n">
        <x:v>760</x:v>
      </x:c>
      <x:c r="G66" s="11" t="n">
        <x:v>17</x:v>
      </x:c>
      <x:c r="H66" s="25" t="n">
        <x:v>3.2713426628449387</x:v>
      </x:c>
      <x:c r="I66" s="25" t="n">
        <x:v>3.3668858539875233</x:v>
      </x:c>
      <x:c r="J66" s="25" t="n">
        <x:v>0.3428712254055377</x:v>
      </x:c>
      <x:c r="K66" s="11" t="n">
        <x:v>19</x:v>
      </x:c>
      <x:c r="L66" s="11" t="n">
        <x:v>40</x:v>
      </x:c>
      <x:c r="M66" s="11" t="n">
        <x:v>1</x:v>
      </x:c>
      <x:c r="N66" s="11" t="n">
        <x:v>17</x:v>
      </x:c>
      <x:c r="O66" s="11" t="str"/>
      <x:c r="P66" s="11" t="str"/>
      <x:c r="Q66" s="11" t="str"/>
      <x:c r="R66" s="11" t="str">
        <x:v>asymchem-AH-pe-v1.0</x:v>
      </x:c>
      <x:c r="S66" s="11" t="str">
        <x:v>2026-10-10</x:v>
      </x:c>
      <x:c r="T66" s="11" t="str">
        <x:f>IF(AND(SUM(IF(K66='假设'!E86,0,1),IF(L66='假设'!F86,0,1),IF(M66='假设'!G86,0,1),IF(N66='假设'!H86,0,1),IF(O66='假设'!I86,0,1),IF(P66='假设'!J86,0,1),IF(Q66='假设'!K86,0,1))=0,U66=V66),"已刷新","待刷新")</x:f>
        <x:v>已刷新</x:v>
      </x:c>
    </x:row>
    <x:row r="67" ht="23" customHeight="1">
      <x:c r="A67" s="11" t="str">
        <x:v>06821.HK</x:v>
      </x:c>
      <x:c r="B67" s="11" t="str">
        <x:v>凯莱英</x:v>
      </x:c>
      <x:c r="C67" s="11" t="str">
        <x:v>2026年底</x:v>
      </x:c>
      <x:c r="D67" s="11" t="str">
        <x:v>悲观</x:v>
      </x:c>
      <x:c r="E67" s="11" t="n">
        <x:v>155.1</x:v>
      </x:c>
      <x:c r="F67" s="11" t="n">
        <x:v>61.60000000000001</x:v>
      </x:c>
      <x:c r="G67" s="11" t="n">
        <x:v>0</x:v>
      </x:c>
      <x:c r="H67" s="25" t="n">
        <x:v>-0.602836879432624</x:v>
      </x:c>
      <x:c r="I67" s="25" t="n">
        <x:v>-0.602836879432624</x:v>
      </x:c>
      <x:c r="J67" s="25" t="str"/>
      <x:c r="K67" s="11" t="n">
        <x:v>2.8</x:v>
      </x:c>
      <x:c r="L67" s="11" t="n">
        <x:v>20</x:v>
      </x:c>
      <x:c r="M67" s="11" t="n">
        <x:v>1.1</x:v>
      </x:c>
      <x:c r="N67" s="11" t="n">
        <x:v>0</x:v>
      </x:c>
      <x:c r="O67" s="11" t="n">
        <x:v>0</x:v>
      </x:c>
      <x:c r="P67" s="11" t="n">
        <x:v>0</x:v>
      </x:c>
      <x:c r="Q67" s="11" t="n">
        <x:v>0</x:v>
      </x:c>
      <x:c r="R67" s="11" t="str">
        <x:v>asymchem-AH-pe-v1.0</x:v>
      </x:c>
      <x:c r="S67" s="11" t="str">
        <x:v>2026-10-10</x:v>
      </x:c>
      <x:c r="T67" s="11" t="str">
        <x:f>IF(AND(SUM(IF(K67='假设'!E88,0,1),IF(L67='假设'!F88,0,1),IF(M67='假设'!G88,0,1),IF(N67='假设'!H88,0,1),IF(O67='假设'!I88,0,1),IF(P67='假设'!J88,0,1),IF(Q67='假设'!K88,0,1))=0,U67=V67),"已刷新","待刷新")</x:f>
        <x:v>已刷新</x:v>
      </x:c>
    </x:row>
    <x:row r="68" ht="23" customHeight="1">
      <x:c r="A68" s="11" t="str">
        <x:v>06821.HK</x:v>
      </x:c>
      <x:c r="B68" s="11" t="str">
        <x:v>凯莱英</x:v>
      </x:c>
      <x:c r="C68" s="11" t="str">
        <x:v>2026年底</x:v>
      </x:c>
      <x:c r="D68" s="11" t="str">
        <x:v>基准</x:v>
      </x:c>
      <x:c r="E68" s="11" t="n">
        <x:v>155.1</x:v>
      </x:c>
      <x:c r="F68" s="11" t="n">
        <x:v>145.20000000000002</x:v>
      </x:c>
      <x:c r="G68" s="11" t="n">
        <x:v>0</x:v>
      </x:c>
      <x:c r="H68" s="25" t="n">
        <x:v>-0.06382978723404242</x:v>
      </x:c>
      <x:c r="I68" s="25" t="n">
        <x:v>-0.06382978723404242</x:v>
      </x:c>
      <x:c r="J68" s="25" t="str"/>
      <x:c r="K68" s="11" t="n">
        <x:v>4</x:v>
      </x:c>
      <x:c r="L68" s="11" t="n">
        <x:v>33</x:v>
      </x:c>
      <x:c r="M68" s="11" t="n">
        <x:v>1.1</x:v>
      </x:c>
      <x:c r="N68" s="11" t="n">
        <x:v>0</x:v>
      </x:c>
      <x:c r="O68" s="11" t="n">
        <x:v>0</x:v>
      </x:c>
      <x:c r="P68" s="11" t="n">
        <x:v>0</x:v>
      </x:c>
      <x:c r="Q68" s="11" t="n">
        <x:v>0</x:v>
      </x:c>
      <x:c r="R68" s="11" t="str">
        <x:v>asymchem-AH-pe-v1.0</x:v>
      </x:c>
      <x:c r="S68" s="11" t="str">
        <x:v>2026-10-10</x:v>
      </x:c>
      <x:c r="T68" s="11" t="str">
        <x:f>IF(AND(SUM(IF(K68='假设'!E89,0,1),IF(L68='假设'!F89,0,1),IF(M68='假设'!G89,0,1),IF(N68='假设'!H89,0,1),IF(O68='假设'!I89,0,1),IF(P68='假设'!J89,0,1),IF(Q68='假设'!K89,0,1))=0,U68=V68),"已刷新","待刷新")</x:f>
        <x:v>已刷新</x:v>
      </x:c>
    </x:row>
    <x:row r="69" ht="23" customHeight="1">
      <x:c r="A69" s="11" t="str">
        <x:v>06821.HK</x:v>
      </x:c>
      <x:c r="B69" s="11" t="str">
        <x:v>凯莱英</x:v>
      </x:c>
      <x:c r="C69" s="11" t="str">
        <x:v>2026年底</x:v>
      </x:c>
      <x:c r="D69" s="11" t="str">
        <x:v>乐观</x:v>
      </x:c>
      <x:c r="E69" s="11" t="n">
        <x:v>155.1</x:v>
      </x:c>
      <x:c r="F69" s="11" t="n">
        <x:v>242.00000000000003</x:v>
      </x:c>
      <x:c r="G69" s="11" t="n">
        <x:v>0</x:v>
      </x:c>
      <x:c r="H69" s="25" t="n">
        <x:v>0.5602836879432627</x:v>
      </x:c>
      <x:c r="I69" s="25" t="n">
        <x:v>0.5602836879432627</x:v>
      </x:c>
      <x:c r="J69" s="25" t="str"/>
      <x:c r="K69" s="11" t="n">
        <x:v>5</x:v>
      </x:c>
      <x:c r="L69" s="11" t="n">
        <x:v>44</x:v>
      </x:c>
      <x:c r="M69" s="11" t="n">
        <x:v>1.1</x:v>
      </x:c>
      <x:c r="N69" s="11" t="n">
        <x:v>0</x:v>
      </x:c>
      <x:c r="O69" s="11" t="n">
        <x:v>0</x:v>
      </x:c>
      <x:c r="P69" s="11" t="n">
        <x:v>0</x:v>
      </x:c>
      <x:c r="Q69" s="11" t="n">
        <x:v>0</x:v>
      </x:c>
      <x:c r="R69" s="11" t="str">
        <x:v>asymchem-AH-pe-v1.0</x:v>
      </x:c>
      <x:c r="S69" s="11" t="str">
        <x:v>2026-10-10</x:v>
      </x:c>
      <x:c r="T69" s="11" t="str">
        <x:f>IF(AND(SUM(IF(K69='假设'!E90,0,1),IF(L69='假设'!F90,0,1),IF(M69='假设'!G90,0,1),IF(N69='假设'!H90,0,1),IF(O69='假设'!I90,0,1),IF(P69='假设'!J90,0,1),IF(Q69='假设'!K90,0,1))=0,U69=V69),"已刷新","待刷新")</x:f>
        <x:v>已刷新</x:v>
      </x:c>
    </x:row>
    <x:row r="70" ht="23" customHeight="1">
      <x:c r="A70" s="11" t="str">
        <x:v>06821.HK</x:v>
      </x:c>
      <x:c r="B70" s="11" t="str">
        <x:v>凯莱英</x:v>
      </x:c>
      <x:c r="C70" s="11" t="str">
        <x:v>半年</x:v>
      </x:c>
      <x:c r="D70" s="11" t="str">
        <x:v>悲观</x:v>
      </x:c>
      <x:c r="E70" s="11" t="n">
        <x:v>155.1</x:v>
      </x:c>
      <x:c r="F70" s="11" t="n">
        <x:v>66</x:v>
      </x:c>
      <x:c r="G70" s="11" t="n">
        <x:v>0</x:v>
      </x:c>
      <x:c r="H70" s="25" t="n">
        <x:v>-0.574468085106383</x:v>
      </x:c>
      <x:c r="I70" s="25" t="n">
        <x:v>-0.574468085106383</x:v>
      </x:c>
      <x:c r="J70" s="25" t="str"/>
      <x:c r="K70" s="11" t="n">
        <x:v>3</x:v>
      </x:c>
      <x:c r="L70" s="11" t="n">
        <x:v>20</x:v>
      </x:c>
      <x:c r="M70" s="11" t="n">
        <x:v>1.1</x:v>
      </x:c>
      <x:c r="N70" s="11" t="n">
        <x:v>0</x:v>
      </x:c>
      <x:c r="O70" s="11" t="n">
        <x:v>0</x:v>
      </x:c>
      <x:c r="P70" s="11" t="n">
        <x:v>0</x:v>
      </x:c>
      <x:c r="Q70" s="11" t="n">
        <x:v>0</x:v>
      </x:c>
      <x:c r="R70" s="11" t="str">
        <x:v>asymchem-AH-pe-v1.0</x:v>
      </x:c>
      <x:c r="S70" s="11" t="str">
        <x:v>2026-10-10</x:v>
      </x:c>
      <x:c r="T70" s="11" t="str">
        <x:f>IF(AND(SUM(IF(K70='假设'!E92,0,1),IF(L70='假设'!F92,0,1),IF(M70='假设'!G92,0,1),IF(N70='假设'!H92,0,1),IF(O70='假设'!I92,0,1),IF(P70='假设'!J92,0,1),IF(Q70='假设'!K92,0,1))=0,U70=V70),"已刷新","待刷新")</x:f>
        <x:v>已刷新</x:v>
      </x:c>
    </x:row>
    <x:row r="71" ht="23" customHeight="1">
      <x:c r="A71" s="11" t="str">
        <x:v>06821.HK</x:v>
      </x:c>
      <x:c r="B71" s="11" t="str">
        <x:v>凯莱英</x:v>
      </x:c>
      <x:c r="C71" s="11" t="str">
        <x:v>半年</x:v>
      </x:c>
      <x:c r="D71" s="11" t="str">
        <x:v>基准</x:v>
      </x:c>
      <x:c r="E71" s="11" t="n">
        <x:v>155.1</x:v>
      </x:c>
      <x:c r="F71" s="11" t="n">
        <x:v>168.3</x:v>
      </x:c>
      <x:c r="G71" s="11" t="n">
        <x:v>0</x:v>
      </x:c>
      <x:c r="H71" s="25" t="n">
        <x:v>0.08510638297872353</x:v>
      </x:c>
      <x:c r="I71" s="25" t="n">
        <x:v>0.08510638297872353</x:v>
      </x:c>
      <x:c r="J71" s="25" t="str"/>
      <x:c r="K71" s="11" t="n">
        <x:v>4.5</x:v>
      </x:c>
      <x:c r="L71" s="11" t="n">
        <x:v>34</x:v>
      </x:c>
      <x:c r="M71" s="11" t="n">
        <x:v>1.1</x:v>
      </x:c>
      <x:c r="N71" s="11" t="n">
        <x:v>0</x:v>
      </x:c>
      <x:c r="O71" s="11" t="n">
        <x:v>0</x:v>
      </x:c>
      <x:c r="P71" s="11" t="n">
        <x:v>0</x:v>
      </x:c>
      <x:c r="Q71" s="11" t="n">
        <x:v>0</x:v>
      </x:c>
      <x:c r="R71" s="11" t="str">
        <x:v>asymchem-AH-pe-v1.0</x:v>
      </x:c>
      <x:c r="S71" s="11" t="str">
        <x:v>2026-10-10</x:v>
      </x:c>
      <x:c r="T71" s="11" t="str">
        <x:f>IF(AND(SUM(IF(K71='假设'!E93,0,1),IF(L71='假设'!F93,0,1),IF(M71='假设'!G93,0,1),IF(N71='假设'!H93,0,1),IF(O71='假设'!I93,0,1),IF(P71='假设'!J93,0,1),IF(Q71='假设'!K93,0,1))=0,U71=V71),"已刷新","待刷新")</x:f>
        <x:v>已刷新</x:v>
      </x:c>
    </x:row>
    <x:row r="72" ht="23" customHeight="1">
      <x:c r="A72" s="11" t="str">
        <x:v>06821.HK</x:v>
      </x:c>
      <x:c r="B72" s="11" t="str">
        <x:v>凯莱英</x:v>
      </x:c>
      <x:c r="C72" s="11" t="str">
        <x:v>半年</x:v>
      </x:c>
      <x:c r="D72" s="11" t="str">
        <x:v>乐观</x:v>
      </x:c>
      <x:c r="E72" s="11" t="n">
        <x:v>155.1</x:v>
      </x:c>
      <x:c r="F72" s="11" t="n">
        <x:v>280.72</x:v>
      </x:c>
      <x:c r="G72" s="11" t="n">
        <x:v>0</x:v>
      </x:c>
      <x:c r="H72" s="25" t="n">
        <x:v>0.8099290780141846</x:v>
      </x:c>
      <x:c r="I72" s="25" t="n">
        <x:v>0.8099290780141846</x:v>
      </x:c>
      <x:c r="J72" s="25" t="str"/>
      <x:c r="K72" s="11" t="n">
        <x:v>5.8</x:v>
      </x:c>
      <x:c r="L72" s="11" t="n">
        <x:v>44</x:v>
      </x:c>
      <x:c r="M72" s="11" t="n">
        <x:v>1.1</x:v>
      </x:c>
      <x:c r="N72" s="11" t="n">
        <x:v>0</x:v>
      </x:c>
      <x:c r="O72" s="11" t="n">
        <x:v>0</x:v>
      </x:c>
      <x:c r="P72" s="11" t="n">
        <x:v>0</x:v>
      </x:c>
      <x:c r="Q72" s="11" t="n">
        <x:v>0</x:v>
      </x:c>
      <x:c r="R72" s="11" t="str">
        <x:v>asymchem-AH-pe-v1.0</x:v>
      </x:c>
      <x:c r="S72" s="11" t="str">
        <x:v>2026-10-10</x:v>
      </x:c>
      <x:c r="T72" s="11" t="str">
        <x:f>IF(AND(SUM(IF(K72='假设'!E94,0,1),IF(L72='假设'!F94,0,1),IF(M72='假设'!G94,0,1),IF(N72='假设'!H94,0,1),IF(O72='假设'!I94,0,1),IF(P72='假设'!J94,0,1),IF(Q72='假设'!K94,0,1))=0,U72=V72),"已刷新","待刷新")</x:f>
        <x:v>已刷新</x:v>
      </x:c>
    </x:row>
    <x:row r="73" ht="23" customHeight="1">
      <x:c r="A73" s="11" t="str">
        <x:v>06821.HK</x:v>
      </x:c>
      <x:c r="B73" s="11" t="str">
        <x:v>凯莱英</x:v>
      </x:c>
      <x:c r="C73" s="11" t="str">
        <x:v>一年</x:v>
      </x:c>
      <x:c r="D73" s="11" t="str">
        <x:v>悲观</x:v>
      </x:c>
      <x:c r="E73" s="11" t="n">
        <x:v>155.1</x:v>
      </x:c>
      <x:c r="F73" s="11" t="n">
        <x:v>72.60000000000001</x:v>
      </x:c>
      <x:c r="G73" s="11" t="n">
        <x:v>0.8800000000000001</x:v>
      </x:c>
      <x:c r="H73" s="25" t="n">
        <x:v>-0.5319148936170213</x:v>
      </x:c>
      <x:c r="I73" s="25" t="n">
        <x:v>-0.526241134751773</x:v>
      </x:c>
      <x:c r="J73" s="25" t="str"/>
      <x:c r="K73" s="11" t="n">
        <x:v>3.3</x:v>
      </x:c>
      <x:c r="L73" s="11" t="n">
        <x:v>20</x:v>
      </x:c>
      <x:c r="M73" s="11" t="n">
        <x:v>1.1</x:v>
      </x:c>
      <x:c r="N73" s="11" t="n">
        <x:v>0.8800000000000001</x:v>
      </x:c>
      <x:c r="O73" s="11" t="n">
        <x:v>0</x:v>
      </x:c>
      <x:c r="P73" s="11" t="n">
        <x:v>0</x:v>
      </x:c>
      <x:c r="Q73" s="11" t="n">
        <x:v>0</x:v>
      </x:c>
      <x:c r="R73" s="11" t="str">
        <x:v>asymchem-AH-pe-v1.0</x:v>
      </x:c>
      <x:c r="S73" s="11" t="str">
        <x:v>2026-10-10</x:v>
      </x:c>
      <x:c r="T73" s="11" t="str">
        <x:f>IF(AND(SUM(IF(K73='假设'!E96,0,1),IF(L73='假设'!F96,0,1),IF(M73='假设'!G96,0,1),IF(N73='假设'!H96,0,1),IF(O73='假设'!I96,0,1),IF(P73='假设'!J96,0,1),IF(Q73='假设'!K96,0,1))=0,U73=V73),"已刷新","待刷新")</x:f>
        <x:v>已刷新</x:v>
      </x:c>
    </x:row>
    <x:row r="74" ht="23" customHeight="1">
      <x:c r="A74" s="11" t="str">
        <x:v>06821.HK</x:v>
      </x:c>
      <x:c r="B74" s="11" t="str">
        <x:v>凯莱英</x:v>
      </x:c>
      <x:c r="C74" s="11" t="str">
        <x:v>一年</x:v>
      </x:c>
      <x:c r="D74" s="11" t="str">
        <x:v>基准</x:v>
      </x:c>
      <x:c r="E74" s="11" t="n">
        <x:v>155.1</x:v>
      </x:c>
      <x:c r="F74" s="11" t="n">
        <x:v>205.70000000000002</x:v>
      </x:c>
      <x:c r="G74" s="11" t="n">
        <x:v>1.6500000000000001</x:v>
      </x:c>
      <x:c r="H74" s="25" t="n">
        <x:v>0.3262411347517733</x:v>
      </x:c>
      <x:c r="I74" s="25" t="n">
        <x:v>0.3368794326241136</x:v>
      </x:c>
      <x:c r="J74" s="25" t="str"/>
      <x:c r="K74" s="11" t="n">
        <x:v>5.5</x:v>
      </x:c>
      <x:c r="L74" s="11" t="n">
        <x:v>34</x:v>
      </x:c>
      <x:c r="M74" s="11" t="n">
        <x:v>1.1</x:v>
      </x:c>
      <x:c r="N74" s="11" t="n">
        <x:v>1.6500000000000001</x:v>
      </x:c>
      <x:c r="O74" s="11" t="n">
        <x:v>0</x:v>
      </x:c>
      <x:c r="P74" s="11" t="n">
        <x:v>0</x:v>
      </x:c>
      <x:c r="Q74" s="11" t="n">
        <x:v>0</x:v>
      </x:c>
      <x:c r="R74" s="11" t="str">
        <x:v>asymchem-AH-pe-v1.0</x:v>
      </x:c>
      <x:c r="S74" s="11" t="str">
        <x:v>2026-10-10</x:v>
      </x:c>
      <x:c r="T74" s="11" t="str">
        <x:f>IF(AND(SUM(IF(K74='假设'!E97,0,1),IF(L74='假设'!F97,0,1),IF(M74='假设'!G97,0,1),IF(N74='假设'!H97,0,1),IF(O74='假设'!I97,0,1),IF(P74='假设'!J97,0,1),IF(Q74='假设'!K97,0,1))=0,U74=V74),"已刷新","待刷新")</x:f>
        <x:v>待刷新</x:v>
      </x:c>
    </x:row>
    <x:row r="75" ht="23" customHeight="1">
      <x:c r="A75" s="11" t="str">
        <x:v>06821.HK</x:v>
      </x:c>
      <x:c r="B75" s="11" t="str">
        <x:v>凯莱英</x:v>
      </x:c>
      <x:c r="C75" s="11" t="str">
        <x:v>一年</x:v>
      </x:c>
      <x:c r="D75" s="11" t="str">
        <x:v>乐观</x:v>
      </x:c>
      <x:c r="E75" s="11" t="n">
        <x:v>155.1</x:v>
      </x:c>
      <x:c r="F75" s="11" t="n">
        <x:v>337.26</x:v>
      </x:c>
      <x:c r="G75" s="11" t="n">
        <x:v>2.2</x:v>
      </x:c>
      <x:c r="H75" s="25" t="n">
        <x:v>1.174468085106383</x:v>
      </x:c>
      <x:c r="I75" s="25" t="n">
        <x:v>1.1886524822695037</x:v>
      </x:c>
      <x:c r="J75" s="25" t="str"/>
      <x:c r="K75" s="11" t="n">
        <x:v>7.3</x:v>
      </x:c>
      <x:c r="L75" s="11" t="n">
        <x:v>42</x:v>
      </x:c>
      <x:c r="M75" s="11" t="n">
        <x:v>1.1</x:v>
      </x:c>
      <x:c r="N75" s="11" t="n">
        <x:v>2.2</x:v>
      </x:c>
      <x:c r="O75" s="11" t="n">
        <x:v>0</x:v>
      </x:c>
      <x:c r="P75" s="11" t="n">
        <x:v>0</x:v>
      </x:c>
      <x:c r="Q75" s="11" t="n">
        <x:v>0</x:v>
      </x:c>
      <x:c r="R75" s="11" t="str">
        <x:v>asymchem-AH-pe-v1.0</x:v>
      </x:c>
      <x:c r="S75" s="11" t="str">
        <x:v>2026-10-10</x:v>
      </x:c>
      <x:c r="T75" s="11" t="str">
        <x:f>IF(AND(SUM(IF(K75='假设'!E98,0,1),IF(L75='假设'!F98,0,1),IF(M75='假设'!G98,0,1),IF(N75='假设'!H98,0,1),IF(O75='假设'!I98,0,1),IF(P75='假设'!J98,0,1),IF(Q75='假设'!K98,0,1))=0,U75=V75),"已刷新","待刷新")</x:f>
        <x:v>已刷新</x:v>
      </x:c>
    </x:row>
    <x:row r="76" ht="23" customHeight="1">
      <x:c r="A76" s="11" t="str">
        <x:v>06821.HK</x:v>
      </x:c>
      <x:c r="B76" s="11" t="str">
        <x:v>凯莱英</x:v>
      </x:c>
      <x:c r="C76" s="11" t="str">
        <x:v>三年</x:v>
      </x:c>
      <x:c r="D76" s="11" t="str">
        <x:v>悲观</x:v>
      </x:c>
      <x:c r="E76" s="11" t="n">
        <x:v>155.1</x:v>
      </x:c>
      <x:c r="F76" s="11" t="n">
        <x:v>83.60000000000001</x:v>
      </x:c>
      <x:c r="G76" s="11" t="n">
        <x:v>3.63</x:v>
      </x:c>
      <x:c r="H76" s="25" t="n">
        <x:v>-0.46099290780141833</x:v>
      </x:c>
      <x:c r="I76" s="25" t="n">
        <x:v>-0.4375886524822694</x:v>
      </x:c>
      <x:c r="J76" s="25" t="n">
        <x:v>-0.1745615565802595</x:v>
      </x:c>
      <x:c r="K76" s="11" t="n">
        <x:v>3.8</x:v>
      </x:c>
      <x:c r="L76" s="11" t="n">
        <x:v>20</x:v>
      </x:c>
      <x:c r="M76" s="11" t="n">
        <x:v>1.1</x:v>
      </x:c>
      <x:c r="N76" s="11" t="n">
        <x:v>3.63</x:v>
      </x:c>
      <x:c r="O76" s="11" t="n">
        <x:v>0</x:v>
      </x:c>
      <x:c r="P76" s="11" t="n">
        <x:v>0</x:v>
      </x:c>
      <x:c r="Q76" s="11" t="n">
        <x:v>0</x:v>
      </x:c>
      <x:c r="R76" s="11" t="str">
        <x:v>asymchem-AH-pe-v1.0</x:v>
      </x:c>
      <x:c r="S76" s="11" t="str">
        <x:v>2026-10-10</x:v>
      </x:c>
      <x:c r="T76" s="11" t="str">
        <x:f>IF(AND(SUM(IF(K76='假设'!E100,0,1),IF(L76='假设'!F100,0,1),IF(M76='假设'!G100,0,1),IF(N76='假设'!H100,0,1),IF(O76='假设'!I100,0,1),IF(P76='假设'!J100,0,1),IF(Q76='假设'!K100,0,1))=0,U76=V76),"已刷新","待刷新")</x:f>
        <x:v>已刷新</x:v>
      </x:c>
    </x:row>
    <x:row r="77" ht="23" customHeight="1">
      <x:c r="A77" s="11" t="str">
        <x:v>06821.HK</x:v>
      </x:c>
      <x:c r="B77" s="11" t="str">
        <x:v>凯莱英</x:v>
      </x:c>
      <x:c r="C77" s="11" t="str">
        <x:v>三年</x:v>
      </x:c>
      <x:c r="D77" s="11" t="str">
        <x:v>基准</x:v>
      </x:c>
      <x:c r="E77" s="11" t="n">
        <x:v>155.1</x:v>
      </x:c>
      <x:c r="F77" s="11" t="n">
        <x:v>273.90000000000003</x:v>
      </x:c>
      <x:c r="G77" s="11" t="n">
        <x:v>6.6000000000000005</x:v>
      </x:c>
      <x:c r="H77" s="25" t="n">
        <x:v>0.7659574468085109</x:v>
      </x:c>
      <x:c r="I77" s="25" t="n">
        <x:v>0.8085106382978728</x:v>
      </x:c>
      <x:c r="J77" s="25" t="n">
        <x:v>0.21835454924145314</x:v>
      </x:c>
      <x:c r="K77" s="11" t="n">
        <x:v>8.3</x:v>
      </x:c>
      <x:c r="L77" s="11" t="n">
        <x:v>30</x:v>
      </x:c>
      <x:c r="M77" s="11" t="n">
        <x:v>1.1</x:v>
      </x:c>
      <x:c r="N77" s="11" t="n">
        <x:v>6.6000000000000005</x:v>
      </x:c>
      <x:c r="O77" s="11" t="n">
        <x:v>0</x:v>
      </x:c>
      <x:c r="P77" s="11" t="n">
        <x:v>0</x:v>
      </x:c>
      <x:c r="Q77" s="11" t="n">
        <x:v>0</x:v>
      </x:c>
      <x:c r="R77" s="11" t="str">
        <x:v>asymchem-AH-pe-v1.0</x:v>
      </x:c>
      <x:c r="S77" s="11" t="str">
        <x:v>2026-10-10</x:v>
      </x:c>
      <x:c r="T77" s="11" t="str">
        <x:f>IF(AND(SUM(IF(K77='假设'!E101,0,1),IF(L77='假设'!F101,0,1),IF(M77='假设'!G101,0,1),IF(N77='假设'!H101,0,1),IF(O77='假设'!I101,0,1),IF(P77='假设'!J101,0,1),IF(Q77='假设'!K101,0,1))=0,U77=V77),"已刷新","待刷新")</x:f>
        <x:v>已刷新</x:v>
      </x:c>
    </x:row>
    <x:row r="78" ht="23" customHeight="1">
      <x:c r="A78" s="11" t="str">
        <x:v>06821.HK</x:v>
      </x:c>
      <x:c r="B78" s="11" t="str">
        <x:v>凯莱英</x:v>
      </x:c>
      <x:c r="C78" s="11" t="str">
        <x:v>三年</x:v>
      </x:c>
      <x:c r="D78" s="11" t="str">
        <x:v>乐观</x:v>
      </x:c>
      <x:c r="E78" s="11" t="n">
        <x:v>155.1</x:v>
      </x:c>
      <x:c r="F78" s="11" t="n">
        <x:v>536.25</x:v>
      </x:c>
      <x:c r="G78" s="11" t="n">
        <x:v>9.350000000000001</x:v>
      </x:c>
      <x:c r="H78" s="25" t="n">
        <x:v>2.4574468085106385</x:v>
      </x:c>
      <x:c r="I78" s="25" t="n">
        <x:v>2.517730496453901</x:v>
      </x:c>
      <x:c r="J78" s="25" t="n">
        <x:v>0.5208539892419664</x:v>
      </x:c>
      <x:c r="K78" s="11" t="n">
        <x:v>12.5</x:v>
      </x:c>
      <x:c r="L78" s="11" t="n">
        <x:v>39</x:v>
      </x:c>
      <x:c r="M78" s="11" t="n">
        <x:v>1.1</x:v>
      </x:c>
      <x:c r="N78" s="11" t="n">
        <x:v>9.350000000000001</x:v>
      </x:c>
      <x:c r="O78" s="11" t="n">
        <x:v>0</x:v>
      </x:c>
      <x:c r="P78" s="11" t="n">
        <x:v>0</x:v>
      </x:c>
      <x:c r="Q78" s="11" t="n">
        <x:v>0</x:v>
      </x:c>
      <x:c r="R78" s="11" t="str">
        <x:v>asymchem-AH-pe-v1.0</x:v>
      </x:c>
      <x:c r="S78" s="11" t="str">
        <x:v>2026-10-10</x:v>
      </x:c>
      <x:c r="T78" s="11" t="str">
        <x:f>IF(AND(SUM(IF(K78='假设'!E102,0,1),IF(L78='假设'!F102,0,1),IF(M78='假设'!G102,0,1),IF(N78='假设'!H102,0,1),IF(O78='假设'!I102,0,1),IF(P78='假设'!J102,0,1),IF(Q78='假设'!K102,0,1))=0,U78=V78),"已刷新","待刷新")</x:f>
        <x:v>已刷新</x:v>
      </x:c>
    </x:row>
    <x:row r="79" ht="23" customHeight="1">
      <x:c r="A79" s="11" t="str">
        <x:v>06821.HK</x:v>
      </x:c>
      <x:c r="B79" s="11" t="str">
        <x:v>凯莱英</x:v>
      </x:c>
      <x:c r="C79" s="11" t="str">
        <x:v>五年</x:v>
      </x:c>
      <x:c r="D79" s="11" t="str">
        <x:v>悲观</x:v>
      </x:c>
      <x:c r="E79" s="11" t="n">
        <x:v>155.1</x:v>
      </x:c>
      <x:c r="F79" s="11" t="n">
        <x:v>83.16000000000001</x:v>
      </x:c>
      <x:c r="G79" s="11" t="n">
        <x:v>6.6000000000000005</x:v>
      </x:c>
      <x:c r="H79" s="25" t="n">
        <x:v>-0.46382978723404245</x:v>
      </x:c>
      <x:c r="I79" s="25" t="n">
        <x:v>-0.4212765957446808</x:v>
      </x:c>
      <x:c r="J79" s="25" t="n">
        <x:v>-0.10361576630592184</x:v>
      </x:c>
      <x:c r="K79" s="11" t="n">
        <x:v>4.2</x:v>
      </x:c>
      <x:c r="L79" s="11" t="n">
        <x:v>18</x:v>
      </x:c>
      <x:c r="M79" s="11" t="n">
        <x:v>1.1</x:v>
      </x:c>
      <x:c r="N79" s="11" t="n">
        <x:v>6.6000000000000005</x:v>
      </x:c>
      <x:c r="O79" s="11" t="n">
        <x:v>0</x:v>
      </x:c>
      <x:c r="P79" s="11" t="n">
        <x:v>0</x:v>
      </x:c>
      <x:c r="Q79" s="11" t="n">
        <x:v>0</x:v>
      </x:c>
      <x:c r="R79" s="11" t="str">
        <x:v>asymchem-AH-pe-v1.0</x:v>
      </x:c>
      <x:c r="S79" s="11" t="str">
        <x:v>2026-10-10</x:v>
      </x:c>
      <x:c r="T79" s="11" t="str">
        <x:f>IF(AND(SUM(IF(K79='假设'!E104,0,1),IF(L79='假设'!F104,0,1),IF(M79='假设'!G104,0,1),IF(N79='假设'!H104,0,1),IF(O79='假设'!I104,0,1),IF(P79='假设'!J104,0,1),IF(Q79='假设'!K104,0,1))=0,U79=V79),"已刷新","待刷新")</x:f>
        <x:v>已刷新</x:v>
      </x:c>
    </x:row>
    <x:row r="80" ht="23" customHeight="1">
      <x:c r="A80" s="11" t="str">
        <x:v>06821.HK</x:v>
      </x:c>
      <x:c r="B80" s="11" t="str">
        <x:v>凯莱英</x:v>
      </x:c>
      <x:c r="C80" s="11" t="str">
        <x:v>五年</x:v>
      </x:c>
      <x:c r="D80" s="11" t="str">
        <x:v>基准</x:v>
      </x:c>
      <x:c r="E80" s="11" t="n">
        <x:v>155.1</x:v>
      </x:c>
      <x:c r="F80" s="11" t="n">
        <x:v>354.20000000000005</x:v>
      </x:c>
      <x:c r="G80" s="11" t="n">
        <x:v>12.100000000000001</x:v>
      </x:c>
      <x:c r="H80" s="25" t="n">
        <x:v>1.2836879432624118</x:v>
      </x:c>
      <x:c r="I80" s="25" t="n">
        <x:v>1.361702127659575</x:v>
      </x:c>
      <x:c r="J80" s="25" t="n">
        <x:v>0.18753118771467236</x:v>
      </x:c>
      <x:c r="K80" s="11" t="n">
        <x:v>11.5</x:v>
      </x:c>
      <x:c r="L80" s="11" t="n">
        <x:v>28</x:v>
      </x:c>
      <x:c r="M80" s="11" t="n">
        <x:v>1.1</x:v>
      </x:c>
      <x:c r="N80" s="11" t="n">
        <x:v>12.100000000000001</x:v>
      </x:c>
      <x:c r="O80" s="11" t="n">
        <x:v>0</x:v>
      </x:c>
      <x:c r="P80" s="11" t="n">
        <x:v>0</x:v>
      </x:c>
      <x:c r="Q80" s="11" t="n">
        <x:v>0</x:v>
      </x:c>
      <x:c r="R80" s="11" t="str">
        <x:v>asymchem-AH-pe-v1.0</x:v>
      </x:c>
      <x:c r="S80" s="11" t="str">
        <x:v>2026-10-10</x:v>
      </x:c>
      <x:c r="T80" s="11" t="str">
        <x:f>IF(AND(SUM(IF(K80='假设'!E105,0,1),IF(L80='假设'!F105,0,1),IF(M80='假设'!G105,0,1),IF(N80='假设'!H105,0,1),IF(O80='假设'!I105,0,1),IF(P80='假设'!J105,0,1),IF(Q80='假设'!K105,0,1))=0,U80=V80),"已刷新","待刷新")</x:f>
        <x:v>已刷新</x:v>
      </x:c>
    </x:row>
    <x:row r="81" ht="23" customHeight="1">
      <x:c r="A81" s="11" t="str">
        <x:v>06821.HK</x:v>
      </x:c>
      <x:c r="B81" s="11" t="str">
        <x:v>凯莱英</x:v>
      </x:c>
      <x:c r="C81" s="11" t="str">
        <x:v>五年</x:v>
      </x:c>
      <x:c r="D81" s="11" t="str">
        <x:v>乐观</x:v>
      </x:c>
      <x:c r="E81" s="11" t="n">
        <x:v>155.1</x:v>
      </x:c>
      <x:c r="F81" s="11" t="n">
        <x:v>752.4000000000001</x:v>
      </x:c>
      <x:c r="G81" s="11" t="n">
        <x:v>18.700000000000003</x:v>
      </x:c>
      <x:c r="H81" s="25" t="n">
        <x:v>3.8510638297872344</x:v>
      </x:c>
      <x:c r="I81" s="25" t="n">
        <x:v>3.97163120567376</x:v>
      </x:c>
      <x:c r="J81" s="25" t="n">
        <x:v>0.37816044538735416</x:v>
      </x:c>
      <x:c r="K81" s="11" t="n">
        <x:v>19</x:v>
      </x:c>
      <x:c r="L81" s="11" t="n">
        <x:v>36</x:v>
      </x:c>
      <x:c r="M81" s="11" t="n">
        <x:v>1.1</x:v>
      </x:c>
      <x:c r="N81" s="11" t="n">
        <x:v>18.700000000000003</x:v>
      </x:c>
      <x:c r="O81" s="11" t="n">
        <x:v>0</x:v>
      </x:c>
      <x:c r="P81" s="11" t="n">
        <x:v>0</x:v>
      </x:c>
      <x:c r="Q81" s="11" t="n">
        <x:v>0</x:v>
      </x:c>
      <x:c r="R81" s="11" t="str">
        <x:v>asymchem-AH-pe-v1.0</x:v>
      </x:c>
      <x:c r="S81" s="11" t="str">
        <x:v>2026-10-10</x:v>
      </x:c>
      <x:c r="T81" s="11" t="str">
        <x:f>IF(AND(SUM(IF(K81='假设'!E106,0,1),IF(L81='假设'!F106,0,1),IF(M81='假设'!G106,0,1),IF(N81='假设'!H106,0,1),IF(O81='假设'!I106,0,1),IF(P81='假设'!J106,0,1),IF(Q81='假设'!K106,0,1))=0,U81=V81),"已刷新","待刷新")</x:f>
        <x:v>已刷新</x:v>
      </x:c>
    </x:row>
    <x:row r="82" ht="23" customHeight="1">
      <x:c r="A82" s="11" t="str">
        <x:v>09888.HK</x:v>
      </x:c>
      <x:c r="B82" s="11" t="str">
        <x:v>百度集团-W</x:v>
      </x:c>
      <x:c r="C82" s="11" t="str">
        <x:v>2026年底</x:v>
      </x:c>
      <x:c r="D82" s="11" t="str">
        <x:v>悲观</x:v>
      </x:c>
      <x:c r="E82" s="11" t="n">
        <x:v>83</x:v>
      </x:c>
      <x:c r="F82" s="11" t="n">
        <x:v>29.41</x:v>
      </x:c>
      <x:c r="G82" s="11" t="n">
        <x:v>0</x:v>
      </x:c>
      <x:c r="H82" s="25" t="n">
        <x:v>-0.6456626506024097</x:v>
      </x:c>
      <x:c r="I82" s="25" t="n">
        <x:v>-0.6456626506024097</x:v>
      </x:c>
      <x:c r="J82" s="25" t="str"/>
      <x:c r="K82" s="11" t="n">
        <x:v>2.228</x:v>
      </x:c>
      <x:c r="L82" s="11" t="n">
        <x:v>12</x:v>
      </x:c>
      <x:c r="M82" s="11" t="n">
        <x:v>1.1</x:v>
      </x:c>
      <x:c r="N82" s="11" t="n">
        <x:v>0</x:v>
      </x:c>
      <x:c r="O82" s="11" t="str"/>
      <x:c r="P82" s="11" t="str"/>
      <x:c r="Q82" s="11" t="str"/>
      <x:c r="R82" s="11" t="str">
        <x:v>baidu-mutually-exclusive-normalized-v1.0</x:v>
      </x:c>
      <x:c r="S82" s="11" t="str">
        <x:v>2026-10-10</x:v>
      </x:c>
      <x:c r="T82" s="11" t="str">
        <x:f>IF(AND(SUM(IF(K82='假设'!E108,0,1),IF(L82='假设'!F108,0,1),IF(M82='假设'!G108,0,1),IF(N82='假设'!H108,0,1),IF(O82='假设'!I108,0,1),IF(P82='假设'!J108,0,1),IF(Q82='假设'!K108,0,1))=0,U82=V82),"已刷新","待刷新")</x:f>
        <x:v>已刷新</x:v>
      </x:c>
      <x:c r="U82" t="str">
        <x:v>30|0.1|10|0.29|9|0.29|40|0.3|9|-0.14|10.5|-0.8|2|0.2|0.95|1.1|2.9</x:v>
      </x:c>
      <x:c r="V82" t="str">
        <x:f>'AI经营假设'!D8&amp;"|"&amp;'AI经营假设'!E8&amp;"|"&amp;'AI经营假设'!F8&amp;"|"&amp;'AI经营假设'!G8&amp;"|"&amp;'AI经营假设'!H8&amp;"|"&amp;'AI经营假设'!I8&amp;"|"&amp;'AI经营假设'!J8&amp;"|"&amp;'AI经营假设'!K8&amp;"|"&amp;'AI经营假设'!L8&amp;"|"&amp;'AI经营假设'!M8&amp;"|"&amp;'AI经营假设'!N8&amp;"|"&amp;'AI经营假设'!O8&amp;"|"&amp;'AI经营假设'!P8&amp;"|"&amp;'AI经营假设'!Q8&amp;"|"&amp;'AI经营假设'!R8&amp;"|"&amp;'AI经营假设'!S8&amp;"|"&amp;'AI经营假设'!T8</x:f>
        <x:v>30|0.1|10|0.29|9|0.29|40|0.3|9|-0.14|10.5|-0.8|2|0.2|0.95|1.1|2.9</x:v>
      </x:c>
    </x:row>
    <x:row r="83" ht="23" customHeight="1">
      <x:c r="A83" s="11" t="str">
        <x:v>09888.HK</x:v>
      </x:c>
      <x:c r="B83" s="11" t="str">
        <x:v>百度集团-W</x:v>
      </x:c>
      <x:c r="C83" s="11" t="str">
        <x:v>2026年底</x:v>
      </x:c>
      <x:c r="D83" s="11" t="str">
        <x:v>基准</x:v>
      </x:c>
      <x:c r="E83" s="11" t="n">
        <x:v>83</x:v>
      </x:c>
      <x:c r="F83" s="11" t="n">
        <x:v>100.45</x:v>
      </x:c>
      <x:c r="G83" s="11" t="n">
        <x:v>0</x:v>
      </x:c>
      <x:c r="H83" s="25" t="n">
        <x:v>0.21024096385542168</x:v>
      </x:c>
      <x:c r="I83" s="25" t="n">
        <x:v>0.21024096385542168</x:v>
      </x:c>
      <x:c r="J83" s="25" t="str"/>
      <x:c r="K83" s="11" t="n">
        <x:v>4.806</x:v>
      </x:c>
      <x:c r="L83" s="11" t="n">
        <x:v>19</x:v>
      </x:c>
      <x:c r="M83" s="11" t="n">
        <x:v>1.1</x:v>
      </x:c>
      <x:c r="N83" s="11" t="n">
        <x:v>0</x:v>
      </x:c>
      <x:c r="O83" s="11" t="str"/>
      <x:c r="P83" s="11" t="str"/>
      <x:c r="Q83" s="11" t="str"/>
      <x:c r="R83" s="11" t="str">
        <x:v>baidu-mutually-exclusive-normalized-v1.0</x:v>
      </x:c>
      <x:c r="S83" s="11" t="str">
        <x:v>2026-10-10</x:v>
      </x:c>
      <x:c r="T83" s="11" t="str">
        <x:f>IF(AND(SUM(IF(K83='假设'!E109,0,1),IF(L83='假设'!F109,0,1),IF(M83='假设'!G109,0,1),IF(N83='假设'!H109,0,1),IF(O83='假设'!I109,0,1),IF(P83='假设'!J109,0,1),IF(Q83='假设'!K109,0,1))=0,U83=V83),"已刷新","待刷新")</x:f>
        <x:v>已刷新</x:v>
      </x:c>
      <x:c r="U83" t="str">
        <x:v>34|0.18|11|0.38|11|0.37|42|0.34|10|-0.08|12|-0.4|2.8|0.2|0.97|0.8|2.78</x:v>
      </x:c>
      <x:c r="V83" t="str">
        <x:f>'AI经营假设'!D9&amp;"|"&amp;'AI经营假设'!E9&amp;"|"&amp;'AI经营假设'!F9&amp;"|"&amp;'AI经营假设'!G9&amp;"|"&amp;'AI经营假设'!H9&amp;"|"&amp;'AI经营假设'!I9&amp;"|"&amp;'AI经营假设'!J9&amp;"|"&amp;'AI经营假设'!K9&amp;"|"&amp;'AI经营假设'!L9&amp;"|"&amp;'AI经营假设'!M9&amp;"|"&amp;'AI经营假设'!N9&amp;"|"&amp;'AI经营假设'!O9&amp;"|"&amp;'AI经营假设'!P9&amp;"|"&amp;'AI经营假设'!Q9&amp;"|"&amp;'AI经营假设'!R9&amp;"|"&amp;'AI经营假设'!S9&amp;"|"&amp;'AI经营假设'!T9</x:f>
        <x:v>34|0.18|11|0.38|11|0.37|42|0.34|10|-0.08|12|-0.4|2.8|0.2|0.97|0.8|2.78</x:v>
      </x:c>
    </x:row>
    <x:row r="84" ht="23" customHeight="1">
      <x:c r="A84" s="11" t="str">
        <x:v>09888.HK</x:v>
      </x:c>
      <x:c r="B84" s="11" t="str">
        <x:v>百度集团-W</x:v>
      </x:c>
      <x:c r="C84" s="11" t="str">
        <x:v>2026年底</x:v>
      </x:c>
      <x:c r="D84" s="11" t="str">
        <x:v>乐观</x:v>
      </x:c>
      <x:c r="E84" s="11" t="n">
        <x:v>83</x:v>
      </x:c>
      <x:c r="F84" s="11" t="n">
        <x:v>199.27</x:v>
      </x:c>
      <x:c r="G84" s="11" t="n">
        <x:v>0</x:v>
      </x:c>
      <x:c r="H84" s="25" t="n">
        <x:v>1.4008433734939758</x:v>
      </x:c>
      <x:c r="I84" s="25" t="n">
        <x:v>1.4008433734939758</x:v>
      </x:c>
      <x:c r="J84" s="25" t="str"/>
      <x:c r="K84" s="11" t="n">
        <x:v>7.548</x:v>
      </x:c>
      <x:c r="L84" s="11" t="n">
        <x:v>24</x:v>
      </x:c>
      <x:c r="M84" s="11" t="n">
        <x:v>1.1</x:v>
      </x:c>
      <x:c r="N84" s="11" t="n">
        <x:v>0</x:v>
      </x:c>
      <x:c r="O84" s="11" t="str"/>
      <x:c r="P84" s="11" t="str"/>
      <x:c r="Q84" s="11" t="str"/>
      <x:c r="R84" s="11" t="str">
        <x:v>baidu-mutually-exclusive-normalized-v1.0</x:v>
      </x:c>
      <x:c r="S84" s="11" t="str">
        <x:v>2026-10-10</x:v>
      </x:c>
      <x:c r="T84" s="11" t="str">
        <x:f>IF(AND(SUM(IF(K84='假设'!E110,0,1),IF(L84='假设'!F110,0,1),IF(M84='假设'!G110,0,1),IF(N84='假设'!H110,0,1),IF(O84='假设'!I110,0,1),IF(P84='假设'!J110,0,1),IF(Q84='假设'!K110,0,1))=0,U84=V84),"已刷新","待刷新")</x:f>
        <x:v>已刷新</x:v>
      </x:c>
      <x:c r="U84" t="str">
        <x:v>40|0.24|12|0.43|13|0.43|45|0.38|11|-0.03|14|0.3|3.5|0.2|0.98|0.5|2.73</x:v>
      </x:c>
      <x:c r="V84" t="str">
        <x:f>'AI经营假设'!D10&amp;"|"&amp;'AI经营假设'!E10&amp;"|"&amp;'AI经营假设'!F10&amp;"|"&amp;'AI经营假设'!G10&amp;"|"&amp;'AI经营假设'!H10&amp;"|"&amp;'AI经营假设'!I10&amp;"|"&amp;'AI经营假设'!J10&amp;"|"&amp;'AI经营假设'!K10&amp;"|"&amp;'AI经营假设'!L10&amp;"|"&amp;'AI经营假设'!M10&amp;"|"&amp;'AI经营假设'!N10&amp;"|"&amp;'AI经营假设'!O10&amp;"|"&amp;'AI经营假设'!P10&amp;"|"&amp;'AI经营假设'!Q10&amp;"|"&amp;'AI经营假设'!R10&amp;"|"&amp;'AI经营假设'!S10&amp;"|"&amp;'AI经营假设'!T10</x:f>
        <x:v>40|0.24|12|0.43|13|0.43|45|0.38|11|-0.03|14|0.3|3.5|0.2|0.98|0.5|2.73</x:v>
      </x:c>
    </x:row>
    <x:row r="85" ht="23" customHeight="1">
      <x:c r="A85" s="11" t="str">
        <x:v>09888.HK</x:v>
      </x:c>
      <x:c r="B85" s="11" t="str">
        <x:v>百度集团-W</x:v>
      </x:c>
      <x:c r="C85" s="11" t="str">
        <x:v>半年</x:v>
      </x:c>
      <x:c r="D85" s="11" t="str">
        <x:v>悲观</x:v>
      </x:c>
      <x:c r="E85" s="11" t="n">
        <x:v>83</x:v>
      </x:c>
      <x:c r="F85" s="11" t="n">
        <x:v>23.81</x:v>
      </x:c>
      <x:c r="G85" s="11" t="n">
        <x:v>0</x:v>
      </x:c>
      <x:c r="H85" s="25" t="n">
        <x:v>-0.7131325301204819</x:v>
      </x:c>
      <x:c r="I85" s="25" t="n">
        <x:v>-0.7131325301204819</x:v>
      </x:c>
      <x:c r="J85" s="25" t="str"/>
      <x:c r="K85" s="11" t="n">
        <x:v>1.804</x:v>
      </x:c>
      <x:c r="L85" s="11" t="n">
        <x:v>12</x:v>
      </x:c>
      <x:c r="M85" s="11" t="n">
        <x:v>1.1</x:v>
      </x:c>
      <x:c r="N85" s="11" t="n">
        <x:v>0</x:v>
      </x:c>
      <x:c r="O85" s="11" t="str"/>
      <x:c r="P85" s="11" t="str"/>
      <x:c r="Q85" s="11" t="str"/>
      <x:c r="R85" s="11" t="str">
        <x:v>baidu-mutually-exclusive-normalized-v1.0</x:v>
      </x:c>
      <x:c r="S85" s="11" t="str">
        <x:v>2026-10-10</x:v>
      </x:c>
      <x:c r="T85" s="11" t="str">
        <x:f>IF(AND(SUM(IF(K85='假设'!E112,0,1),IF(L85='假设'!F112,0,1),IF(M85='假设'!G112,0,1),IF(N85='假设'!H112,0,1),IF(O85='假设'!I112,0,1),IF(P85='假设'!J112,0,1),IF(Q85='假设'!K112,0,1))=0,U85=V85),"已刷新","待刷新")</x:f>
        <x:v>已刷新</x:v>
      </x:c>
      <x:c r="U85" t="str">
        <x:v>32|0.1|10|0.29|9|0.29|37|0.3|9|-0.14|11|-0.9|1.8|0.2|0.95|1.1|2.95</x:v>
      </x:c>
      <x:c r="V85" t="str">
        <x:f>'AI经营假设'!D12&amp;"|"&amp;'AI经营假设'!E12&amp;"|"&amp;'AI经营假设'!F12&amp;"|"&amp;'AI经营假设'!G12&amp;"|"&amp;'AI经营假设'!H12&amp;"|"&amp;'AI经营假设'!I12&amp;"|"&amp;'AI经营假设'!J12&amp;"|"&amp;'AI经营假设'!K12&amp;"|"&amp;'AI经营假设'!L12&amp;"|"&amp;'AI经营假设'!M12&amp;"|"&amp;'AI经营假设'!N12&amp;"|"&amp;'AI经营假设'!O12&amp;"|"&amp;'AI经营假设'!P12&amp;"|"&amp;'AI经营假设'!Q12&amp;"|"&amp;'AI经营假设'!R12&amp;"|"&amp;'AI经营假设'!S12&amp;"|"&amp;'AI经营假设'!T12</x:f>
        <x:v>32|0.1|10|0.29|9|0.29|37|0.3|9|-0.14|11|-0.9|1.8|0.2|0.95|1.1|2.95</x:v>
      </x:c>
    </x:row>
    <x:row r="86" ht="23" customHeight="1">
      <x:c r="A86" s="11" t="str">
        <x:v>09888.HK</x:v>
      </x:c>
      <x:c r="B86" s="11" t="str">
        <x:v>百度集团-W</x:v>
      </x:c>
      <x:c r="C86" s="11" t="str">
        <x:v>半年</x:v>
      </x:c>
      <x:c r="D86" s="11" t="str">
        <x:v>基准</x:v>
      </x:c>
      <x:c r="E86" s="11" t="n">
        <x:v>83</x:v>
      </x:c>
      <x:c r="F86" s="11" t="n">
        <x:v>107.54</x:v>
      </x:c>
      <x:c r="G86" s="11" t="n">
        <x:v>0</x:v>
      </x:c>
      <x:c r="H86" s="25" t="n">
        <x:v>0.2956626506024098</x:v>
      </x:c>
      <x:c r="I86" s="25" t="n">
        <x:v>0.2956626506024098</x:v>
      </x:c>
      <x:c r="J86" s="25" t="str"/>
      <x:c r="K86" s="11" t="n">
        <x:v>4.888</x:v>
      </x:c>
      <x:c r="L86" s="11" t="n">
        <x:v>20</x:v>
      </x:c>
      <x:c r="M86" s="11" t="n">
        <x:v>1.1</x:v>
      </x:c>
      <x:c r="N86" s="11" t="n">
        <x:v>0</x:v>
      </x:c>
      <x:c r="O86" s="11" t="str"/>
      <x:c r="P86" s="11" t="str"/>
      <x:c r="Q86" s="11" t="str"/>
      <x:c r="R86" s="11" t="str">
        <x:v>baidu-mutually-exclusive-normalized-v1.0</x:v>
      </x:c>
      <x:c r="S86" s="11" t="str">
        <x:v>2026-10-10</x:v>
      </x:c>
      <x:c r="T86" s="11" t="str">
        <x:f>IF(AND(SUM(IF(K86='假设'!E113,0,1),IF(L86='假设'!F113,0,1),IF(M86='假设'!G113,0,1),IF(N86='假设'!H113,0,1),IF(O86='假设'!I113,0,1),IF(P86='假设'!J113,0,1),IF(Q86='假设'!K113,0,1))=0,U86=V86),"已刷新","待刷新")</x:f>
        <x:v>已刷新</x:v>
      </x:c>
      <x:c r="U86" t="str">
        <x:v>39|0.18|12|0.38|12|0.37|41|0.34|11|-0.08|13|-0.3|2.7|0.2|0.97|0.8|2.77</x:v>
      </x:c>
      <x:c r="V86" t="str">
        <x:f>'AI经营假设'!D13&amp;"|"&amp;'AI经营假设'!E13&amp;"|"&amp;'AI经营假设'!F13&amp;"|"&amp;'AI经营假设'!G13&amp;"|"&amp;'AI经营假设'!H13&amp;"|"&amp;'AI经营假设'!I13&amp;"|"&amp;'AI经营假设'!J13&amp;"|"&amp;'AI经营假设'!K13&amp;"|"&amp;'AI经营假设'!L13&amp;"|"&amp;'AI经营假设'!M13&amp;"|"&amp;'AI经营假设'!N13&amp;"|"&amp;'AI经营假设'!O13&amp;"|"&amp;'AI经营假设'!P13&amp;"|"&amp;'AI经营假设'!Q13&amp;"|"&amp;'AI经营假设'!R13&amp;"|"&amp;'AI经营假设'!S13&amp;"|"&amp;'AI经营假设'!T13</x:f>
        <x:v>39|0.18|12|0.38|12|0.37|41|0.34|11|-0.08|13|-0.3|2.7|0.2|0.97|0.8|2.77</x:v>
      </x:c>
    </x:row>
    <x:row r="87" ht="23" customHeight="1">
      <x:c r="A87" s="11" t="str">
        <x:v>09888.HK</x:v>
      </x:c>
      <x:c r="B87" s="11" t="str">
        <x:v>百度集团-W</x:v>
      </x:c>
      <x:c r="C87" s="11" t="str">
        <x:v>半年</x:v>
      </x:c>
      <x:c r="D87" s="11" t="str">
        <x:v>乐观</x:v>
      </x:c>
      <x:c r="E87" s="11" t="n">
        <x:v>83</x:v>
      </x:c>
      <x:c r="F87" s="11" t="n">
        <x:v>228.31</x:v>
      </x:c>
      <x:c r="G87" s="11" t="n">
        <x:v>0</x:v>
      </x:c>
      <x:c r="H87" s="25" t="n">
        <x:v>1.750722891566265</x:v>
      </x:c>
      <x:c r="I87" s="25" t="n">
        <x:v>1.750722891566265</x:v>
      </x:c>
      <x:c r="J87" s="25" t="str"/>
      <x:c r="K87" s="11" t="n">
        <x:v>8.302</x:v>
      </x:c>
      <x:c r="L87" s="11" t="n">
        <x:v>25</x:v>
      </x:c>
      <x:c r="M87" s="11" t="n">
        <x:v>1.1</x:v>
      </x:c>
      <x:c r="N87" s="11" t="n">
        <x:v>0</x:v>
      </x:c>
      <x:c r="O87" s="11" t="str"/>
      <x:c r="P87" s="11" t="str"/>
      <x:c r="Q87" s="11" t="str"/>
      <x:c r="R87" s="11" t="str">
        <x:v>baidu-mutually-exclusive-normalized-v1.0</x:v>
      </x:c>
      <x:c r="S87" s="11" t="str">
        <x:v>2026-10-10</x:v>
      </x:c>
      <x:c r="T87" s="11" t="str">
        <x:f>IF(AND(SUM(IF(K87='假设'!E114,0,1),IF(L87='假设'!F114,0,1),IF(M87='假设'!G114,0,1),IF(N87='假设'!H114,0,1),IF(O87='假设'!I114,0,1),IF(P87='假设'!J114,0,1),IF(Q87='假设'!K114,0,1))=0,U87=V87),"已刷新","待刷新")</x:f>
        <x:v>已刷新</x:v>
      </x:c>
      <x:c r="U87" t="str">
        <x:v>48|0.24|14|0.43|15|0.43|45|0.38|12|-0.03|15.5|0.5|3.5|0.2|0.98|0.5|2.7</x:v>
      </x:c>
      <x:c r="V87" t="str">
        <x:f>'AI经营假设'!D14&amp;"|"&amp;'AI经营假设'!E14&amp;"|"&amp;'AI经营假设'!F14&amp;"|"&amp;'AI经营假设'!G14&amp;"|"&amp;'AI经营假设'!H14&amp;"|"&amp;'AI经营假设'!I14&amp;"|"&amp;'AI经营假设'!J14&amp;"|"&amp;'AI经营假设'!K14&amp;"|"&amp;'AI经营假设'!L14&amp;"|"&amp;'AI经营假设'!M14&amp;"|"&amp;'AI经营假设'!N14&amp;"|"&amp;'AI经营假设'!O14&amp;"|"&amp;'AI经营假设'!P14&amp;"|"&amp;'AI经营假设'!Q14&amp;"|"&amp;'AI经营假设'!R14&amp;"|"&amp;'AI经营假设'!S14&amp;"|"&amp;'AI经营假设'!T14</x:f>
        <x:v>48|0.24|14|0.43|15|0.43|45|0.38|12|-0.03|15.5|0.5|3.5|0.2|0.98|0.5|2.7</x:v>
      </x:c>
    </x:row>
    <x:row r="88" ht="23" customHeight="1">
      <x:c r="A88" s="11" t="str">
        <x:v>09888.HK</x:v>
      </x:c>
      <x:c r="B88" s="11" t="str">
        <x:v>百度集团-W</x:v>
      </x:c>
      <x:c r="C88" s="11" t="str">
        <x:v>一年</x:v>
      </x:c>
      <x:c r="D88" s="11" t="str">
        <x:v>悲观</x:v>
      </x:c>
      <x:c r="E88" s="11" t="n">
        <x:v>83</x:v>
      </x:c>
      <x:c r="F88" s="11" t="n">
        <x:v>15.39</x:v>
      </x:c>
      <x:c r="G88" s="11" t="n">
        <x:v>0</x:v>
      </x:c>
      <x:c r="H88" s="25" t="n">
        <x:v>-0.814578313253012</x:v>
      </x:c>
      <x:c r="I88" s="25" t="n">
        <x:v>-0.814578313253012</x:v>
      </x:c>
      <x:c r="J88" s="25" t="str"/>
      <x:c r="K88" s="11" t="n">
        <x:v>1.272</x:v>
      </x:c>
      <x:c r="L88" s="11" t="n">
        <x:v>11</x:v>
      </x:c>
      <x:c r="M88" s="11" t="n">
        <x:v>1.1</x:v>
      </x:c>
      <x:c r="N88" s="11" t="n">
        <x:v>0</x:v>
      </x:c>
      <x:c r="O88" s="11" t="str"/>
      <x:c r="P88" s="11" t="str"/>
      <x:c r="Q88" s="11" t="str"/>
      <x:c r="R88" s="11" t="str">
        <x:v>baidu-mutually-exclusive-normalized-v1.0</x:v>
      </x:c>
      <x:c r="S88" s="11" t="str">
        <x:v>2026-10-10</x:v>
      </x:c>
      <x:c r="T88" s="11" t="str">
        <x:f>IF(AND(SUM(IF(K88='假设'!E116,0,1),IF(L88='假设'!F116,0,1),IF(M88='假设'!G116,0,1),IF(N88='假设'!H116,0,1),IF(O88='假设'!I116,0,1),IF(P88='假设'!J116,0,1),IF(Q88='假设'!K116,0,1))=0,U88=V88),"已刷新","待刷新")</x:f>
        <x:v>已刷新</x:v>
      </x:c>
      <x:c r="U88" t="str">
        <x:v>35|0.1|10|0.29|9|0.29|33|0.3|9|-0.14|11.5|-1|1.5|0.2|0.95|1.2|3.03</x:v>
      </x:c>
      <x:c r="V88" t="str">
        <x:f>'AI经营假设'!D16&amp;"|"&amp;'AI经营假设'!E16&amp;"|"&amp;'AI经营假设'!F16&amp;"|"&amp;'AI经营假设'!G16&amp;"|"&amp;'AI经营假设'!H16&amp;"|"&amp;'AI经营假设'!I16&amp;"|"&amp;'AI经营假设'!J16&amp;"|"&amp;'AI经营假设'!K16&amp;"|"&amp;'AI经营假设'!L16&amp;"|"&amp;'AI经营假设'!M16&amp;"|"&amp;'AI经营假设'!N16&amp;"|"&amp;'AI经营假设'!O16&amp;"|"&amp;'AI经营假设'!P16&amp;"|"&amp;'AI经营假设'!Q16&amp;"|"&amp;'AI经营假设'!R16&amp;"|"&amp;'AI经营假设'!S16&amp;"|"&amp;'AI经营假设'!T16</x:f>
        <x:v>35|0.1|10|0.29|9|0.29|33|0.3|9|-0.14|11.5|-1|1.5|0.2|0.95|1.2|3.03</x:v>
      </x:c>
    </x:row>
    <x:row r="89" ht="23" customHeight="1">
      <x:c r="A89" s="11" t="str">
        <x:v>09888.HK</x:v>
      </x:c>
      <x:c r="B89" s="11" t="str">
        <x:v>百度集团-W</x:v>
      </x:c>
      <x:c r="C89" s="11" t="str">
        <x:v>一年</x:v>
      </x:c>
      <x:c r="D89" s="11" t="str">
        <x:v>基准</x:v>
      </x:c>
      <x:c r="E89" s="11" t="n">
        <x:v>83</x:v>
      </x:c>
      <x:c r="F89" s="11" t="n">
        <x:v>118.53</x:v>
      </x:c>
      <x:c r="G89" s="11" t="n">
        <x:v>0</x:v>
      </x:c>
      <x:c r="H89" s="25" t="n">
        <x:v>0.42807228915662643</x:v>
      </x:c>
      <x:c r="I89" s="25" t="n">
        <x:v>0.42807228915662643</x:v>
      </x:c>
      <x:c r="J89" s="25" t="str"/>
      <x:c r="K89" s="11" t="n">
        <x:v>5.131</x:v>
      </x:c>
      <x:c r="L89" s="11" t="n">
        <x:v>21</x:v>
      </x:c>
      <x:c r="M89" s="11" t="n">
        <x:v>1.1</x:v>
      </x:c>
      <x:c r="N89" s="11" t="n">
        <x:v>0</x:v>
      </x:c>
      <x:c r="O89" s="11" t="str"/>
      <x:c r="P89" s="11" t="str"/>
      <x:c r="Q89" s="11" t="str"/>
      <x:c r="R89" s="11" t="str">
        <x:v>baidu-mutually-exclusive-normalized-v1.0</x:v>
      </x:c>
      <x:c r="S89" s="11" t="str">
        <x:v>2026-10-10</x:v>
      </x:c>
      <x:c r="T89" s="11" t="str">
        <x:f>IF(AND(SUM(IF(K89='假设'!E117,0,1),IF(L89='假设'!F117,0,1),IF(M89='假设'!G117,0,1),IF(N89='假设'!H117,0,1),IF(O89='假设'!I117,0,1),IF(P89='假设'!J117,0,1),IF(Q89='假设'!K117,0,1))=0,U89=V89),"已刷新","待刷新")</x:f>
        <x:v>待刷新</x:v>
      </x:c>
      <x:c r="U89" t="str">
        <x:v>48|0.18|14|0.38|14|0.37|40|0.34|12|-0.08|15|-0.1|2.6|0.2|0.97|0.8|2.76</x:v>
      </x:c>
      <x:c r="V89" t="str">
        <x:f>'AI经营假设'!D17&amp;"|"&amp;'AI经营假设'!E17&amp;"|"&amp;'AI经营假设'!F17&amp;"|"&amp;'AI经营假设'!G17&amp;"|"&amp;'AI经营假设'!H17&amp;"|"&amp;'AI经营假设'!I17&amp;"|"&amp;'AI经营假设'!J17&amp;"|"&amp;'AI经营假设'!K17&amp;"|"&amp;'AI经营假设'!L17&amp;"|"&amp;'AI经营假设'!M17&amp;"|"&amp;'AI经营假设'!N17&amp;"|"&amp;'AI经营假设'!O17&amp;"|"&amp;'AI经营假设'!P17&amp;"|"&amp;'AI经营假设'!Q17&amp;"|"&amp;'AI经营假设'!R17&amp;"|"&amp;'AI经营假设'!S17&amp;"|"&amp;'AI经营假设'!T17</x:f>
        <x:v>49|0.18|14|0.38|14|0.37|40|0.34|12|-0.08|15|-0.1|2.6|0.2|0.97|0.8|2.76</x:v>
      </x:c>
    </x:row>
    <x:row r="90" ht="23" customHeight="1">
      <x:c r="A90" s="11" t="str">
        <x:v>09888.HK</x:v>
      </x:c>
      <x:c r="B90" s="11" t="str">
        <x:v>百度集团-W</x:v>
      </x:c>
      <x:c r="C90" s="11" t="str">
        <x:v>一年</x:v>
      </x:c>
      <x:c r="D90" s="11" t="str">
        <x:v>乐观</x:v>
      </x:c>
      <x:c r="E90" s="11" t="n">
        <x:v>83</x:v>
      </x:c>
      <x:c r="F90" s="11" t="n">
        <x:v>288.57</x:v>
      </x:c>
      <x:c r="G90" s="11" t="n">
        <x:v>1</x:v>
      </x:c>
      <x:c r="H90" s="25" t="n">
        <x:v>2.4767469879518074</x:v>
      </x:c>
      <x:c r="I90" s="25" t="n">
        <x:v>2.4887951807228914</x:v>
      </x:c>
      <x:c r="J90" s="25" t="str"/>
      <x:c r="K90" s="11" t="n">
        <x:v>10.09</x:v>
      </x:c>
      <x:c r="L90" s="11" t="n">
        <x:v>26</x:v>
      </x:c>
      <x:c r="M90" s="11" t="n">
        <x:v>1.1</x:v>
      </x:c>
      <x:c r="N90" s="11" t="n">
        <x:v>1</x:v>
      </x:c>
      <x:c r="O90" s="11" t="str"/>
      <x:c r="P90" s="11" t="str"/>
      <x:c r="Q90" s="11" t="str"/>
      <x:c r="R90" s="11" t="str">
        <x:v>baidu-mutually-exclusive-normalized-v1.0</x:v>
      </x:c>
      <x:c r="S90" s="11" t="str">
        <x:v>2026-10-10</x:v>
      </x:c>
      <x:c r="T90" s="11" t="str">
        <x:f>IF(AND(SUM(IF(K90='假设'!E118,0,1),IF(L90='假设'!F118,0,1),IF(M90='假设'!G118,0,1),IF(N90='假设'!H118,0,1),IF(O90='假设'!I118,0,1),IF(P90='假设'!J118,0,1),IF(Q90='假设'!K118,0,1))=0,U90=V90),"已刷新","待刷新")</x:f>
        <x:v>已刷新</x:v>
      </x:c>
      <x:c r="U90" t="str">
        <x:v>65|0.24|18|0.43|19|0.43|46|0.38|14|-0.03|18|0.8|3.5|0.2|0.98|0.5|2.66</x:v>
      </x:c>
      <x:c r="V90" t="str">
        <x:f>'AI经营假设'!D18&amp;"|"&amp;'AI经营假设'!E18&amp;"|"&amp;'AI经营假设'!F18&amp;"|"&amp;'AI经营假设'!G18&amp;"|"&amp;'AI经营假设'!H18&amp;"|"&amp;'AI经营假设'!I18&amp;"|"&amp;'AI经营假设'!J18&amp;"|"&amp;'AI经营假设'!K18&amp;"|"&amp;'AI经营假设'!L18&amp;"|"&amp;'AI经营假设'!M18&amp;"|"&amp;'AI经营假设'!N18&amp;"|"&amp;'AI经营假设'!O18&amp;"|"&amp;'AI经营假设'!P18&amp;"|"&amp;'AI经营假设'!Q18&amp;"|"&amp;'AI经营假设'!R18&amp;"|"&amp;'AI经营假设'!S18&amp;"|"&amp;'AI经营假设'!T18</x:f>
        <x:v>65|0.24|18|0.43|19|0.43|46|0.38|14|-0.03|18|0.8|3.5|0.2|0.98|0.5|2.66</x:v>
      </x:c>
    </x:row>
    <x:row r="91" ht="23" customHeight="1">
      <x:c r="A91" s="11" t="str">
        <x:v>09888.HK</x:v>
      </x:c>
      <x:c r="B91" s="11" t="str">
        <x:v>百度集团-W</x:v>
      </x:c>
      <x:c r="C91" s="11" t="str">
        <x:v>三年</x:v>
      </x:c>
      <x:c r="D91" s="11" t="str">
        <x:v>悲观</x:v>
      </x:c>
      <x:c r="E91" s="11" t="n">
        <x:v>83</x:v>
      </x:c>
      <x:c r="F91" s="11" t="n">
        <x:v>4.27</x:v>
      </x:c>
      <x:c r="G91" s="11" t="n">
        <x:v>0</x:v>
      </x:c>
      <x:c r="H91" s="25" t="n">
        <x:v>-0.9485542168674699</x:v>
      </x:c>
      <x:c r="I91" s="25" t="n">
        <x:v>-0.9485542168674699</x:v>
      </x:c>
      <x:c r="J91" s="25" t="n">
        <x:v>-0.6280796622663167</x:v>
      </x:c>
      <x:c r="K91" s="11" t="n">
        <x:v>0.388</x:v>
      </x:c>
      <x:c r="L91" s="11" t="n">
        <x:v>10</x:v>
      </x:c>
      <x:c r="M91" s="11" t="n">
        <x:v>1.1</x:v>
      </x:c>
      <x:c r="N91" s="11" t="n">
        <x:v>0</x:v>
      </x:c>
      <x:c r="O91" s="11" t="str"/>
      <x:c r="P91" s="11" t="str"/>
      <x:c r="Q91" s="11" t="str"/>
      <x:c r="R91" s="11" t="str">
        <x:v>baidu-mutually-exclusive-normalized-v1.0</x:v>
      </x:c>
      <x:c r="S91" s="11" t="str">
        <x:v>2026-10-10</x:v>
      </x:c>
      <x:c r="T91" s="11" t="str">
        <x:f>IF(AND(SUM(IF(K91='假设'!E120,0,1),IF(L91='假设'!F120,0,1),IF(M91='假设'!G120,0,1),IF(N91='假设'!H120,0,1),IF(O91='假设'!I120,0,1),IF(P91='假设'!J120,0,1),IF(Q91='假设'!K120,0,1))=0,U91=V91),"已刷新","待刷新")</x:f>
        <x:v>已刷新</x:v>
      </x:c>
      <x:c r="U91" t="str">
        <x:v>43|0.1|11|0.29|10|0.29|25|0.3|9|-0.14|13|-1.2|1|0.2|0.94|1.3|3.3</x:v>
      </x:c>
      <x:c r="V91" t="str">
        <x:f>'AI经营假设'!D20&amp;"|"&amp;'AI经营假设'!E20&amp;"|"&amp;'AI经营假设'!F20&amp;"|"&amp;'AI经营假设'!G20&amp;"|"&amp;'AI经营假设'!H20&amp;"|"&amp;'AI经营假设'!I20&amp;"|"&amp;'AI经营假设'!J20&amp;"|"&amp;'AI经营假设'!K20&amp;"|"&amp;'AI经营假设'!L20&amp;"|"&amp;'AI经营假设'!M20&amp;"|"&amp;'AI经营假设'!N20&amp;"|"&amp;'AI经营假设'!O20&amp;"|"&amp;'AI经营假设'!P20&amp;"|"&amp;'AI经营假设'!Q20&amp;"|"&amp;'AI经营假设'!R20&amp;"|"&amp;'AI经营假设'!S20&amp;"|"&amp;'AI经营假设'!T20</x:f>
        <x:v>43|0.1|11|0.29|10|0.29|25|0.3|9|-0.14|13|-1.2|1|0.2|0.94|1.3|3.3</x:v>
      </x:c>
    </x:row>
    <x:row r="92" ht="23" customHeight="1">
      <x:c r="A92" s="11" t="str">
        <x:v>09888.HK</x:v>
      </x:c>
      <x:c r="B92" s="11" t="str">
        <x:v>百度集团-W</x:v>
      </x:c>
      <x:c r="C92" s="11" t="str">
        <x:v>三年</x:v>
      </x:c>
      <x:c r="D92" s="11" t="str">
        <x:v>基准</x:v>
      </x:c>
      <x:c r="E92" s="11" t="n">
        <x:v>83</x:v>
      </x:c>
      <x:c r="F92" s="11" t="n">
        <x:v>172.55</x:v>
      </x:c>
      <x:c r="G92" s="11" t="n">
        <x:v>3</x:v>
      </x:c>
      <x:c r="H92" s="25" t="n">
        <x:v>1.0789156626506027</x:v>
      </x:c>
      <x:c r="I92" s="25" t="n">
        <x:v>1.1150602409638557</x:v>
      </x:c>
      <x:c r="J92" s="25" t="n">
        <x:v>0.2836331190431751</x:v>
      </x:c>
      <x:c r="K92" s="11" t="n">
        <x:v>6.82</x:v>
      </x:c>
      <x:c r="L92" s="11" t="n">
        <x:v>23</x:v>
      </x:c>
      <x:c r="M92" s="11" t="n">
        <x:v>1.1</x:v>
      </x:c>
      <x:c r="N92" s="11" t="n">
        <x:v>3</x:v>
      </x:c>
      <x:c r="O92" s="11" t="str"/>
      <x:c r="P92" s="11" t="str"/>
      <x:c r="Q92" s="11" t="str"/>
      <x:c r="R92" s="11" t="str">
        <x:v>baidu-mutually-exclusive-normalized-v1.0</x:v>
      </x:c>
      <x:c r="S92" s="11" t="str">
        <x:v>2026-10-10</x:v>
      </x:c>
      <x:c r="T92" s="11" t="str">
        <x:f>IF(AND(SUM(IF(K92='假设'!E121,0,1),IF(L92='假设'!F121,0,1),IF(M92='假设'!G121,0,1),IF(N92='假设'!H121,0,1),IF(O92='假设'!I121,0,1),IF(P92='假设'!J121,0,1),IF(Q92='假设'!K121,0,1))=0,U92=V92),"已刷新","待刷新")</x:f>
        <x:v>已刷新</x:v>
      </x:c>
      <x:c r="U92" t="str">
        <x:v>85|0.18|24|0.38|25|0.37|37|0.34|17|-0.08|23|0.5|2.5|0.2|0.97|0.9|2.7</x:v>
      </x:c>
      <x:c r="V92" t="str">
        <x:f>'AI经营假设'!D21&amp;"|"&amp;'AI经营假设'!E21&amp;"|"&amp;'AI经营假设'!F21&amp;"|"&amp;'AI经营假设'!G21&amp;"|"&amp;'AI经营假设'!H21&amp;"|"&amp;'AI经营假设'!I21&amp;"|"&amp;'AI经营假设'!J21&amp;"|"&amp;'AI经营假设'!K21&amp;"|"&amp;'AI经营假设'!L21&amp;"|"&amp;'AI经营假设'!M21&amp;"|"&amp;'AI经营假设'!N21&amp;"|"&amp;'AI经营假设'!O21&amp;"|"&amp;'AI经营假设'!P21&amp;"|"&amp;'AI经营假设'!Q21&amp;"|"&amp;'AI经营假设'!R21&amp;"|"&amp;'AI经营假设'!S21&amp;"|"&amp;'AI经营假设'!T21</x:f>
        <x:v>85|0.18|24|0.38|25|0.37|37|0.34|17|-0.08|23|0.5|2.5|0.2|0.97|0.9|2.7</x:v>
      </x:c>
    </x:row>
    <x:row r="93" ht="23" customHeight="1">
      <x:c r="A93" s="11" t="str">
        <x:v>09888.HK</x:v>
      </x:c>
      <x:c r="B93" s="11" t="str">
        <x:v>百度集团-W</x:v>
      </x:c>
      <x:c r="C93" s="11" t="str">
        <x:v>三年</x:v>
      </x:c>
      <x:c r="D93" s="11" t="str">
        <x:v>乐观</x:v>
      </x:c>
      <x:c r="E93" s="11" t="n">
        <x:v>83</x:v>
      </x:c>
      <x:c r="F93" s="11" t="n">
        <x:v>568.27</x:v>
      </x:c>
      <x:c r="G93" s="11" t="n">
        <x:v>8</x:v>
      </x:c>
      <x:c r="H93" s="25" t="n">
        <x:v>5.846626506024096</x:v>
      </x:c>
      <x:c r="I93" s="25" t="n">
        <x:v>5.943012048192771</x:v>
      </x:c>
      <x:c r="J93" s="25" t="n">
        <x:v>0.9077258871510419</x:v>
      </x:c>
      <x:c r="K93" s="11" t="n">
        <x:v>17.814</x:v>
      </x:c>
      <x:c r="L93" s="11" t="n">
        <x:v>29</x:v>
      </x:c>
      <x:c r="M93" s="11" t="n">
        <x:v>1.1</x:v>
      </x:c>
      <x:c r="N93" s="11" t="n">
        <x:v>8</x:v>
      </x:c>
      <x:c r="O93" s="11" t="str"/>
      <x:c r="P93" s="11" t="str"/>
      <x:c r="Q93" s="11" t="str"/>
      <x:c r="R93" s="11" t="str">
        <x:v>baidu-mutually-exclusive-normalized-v1.0</x:v>
      </x:c>
      <x:c r="S93" s="11" t="str">
        <x:v>2026-10-10</x:v>
      </x:c>
      <x:c r="T93" s="11" t="str">
        <x:f>IF(AND(SUM(IF(K93='假设'!E122,0,1),IF(L93='假设'!F122,0,1),IF(M93='假设'!G122,0,1),IF(N93='假设'!H122,0,1),IF(O93='假设'!I122,0,1),IF(P93='假设'!J122,0,1),IF(Q93='假设'!K122,0,1))=0,U93=V93),"已刷新","待刷新")</x:f>
        <x:v>已刷新</x:v>
      </x:c>
      <x:c r="U93" t="str">
        <x:v>130|0.24|40|0.43|42|0.43|47|0.38|25|-0.03|31|1.5|3.5|0.2|0.98|0.6|2.5</x:v>
      </x:c>
      <x:c r="V93" t="str">
        <x:f>'AI经营假设'!D22&amp;"|"&amp;'AI经营假设'!E22&amp;"|"&amp;'AI经营假设'!F22&amp;"|"&amp;'AI经营假设'!G22&amp;"|"&amp;'AI经营假设'!H22&amp;"|"&amp;'AI经营假设'!I22&amp;"|"&amp;'AI经营假设'!J22&amp;"|"&amp;'AI经营假设'!K22&amp;"|"&amp;'AI经营假设'!L22&amp;"|"&amp;'AI经营假设'!M22&amp;"|"&amp;'AI经营假设'!N22&amp;"|"&amp;'AI经营假设'!O22&amp;"|"&amp;'AI经营假设'!P22&amp;"|"&amp;'AI经营假设'!Q22&amp;"|"&amp;'AI经营假设'!R22&amp;"|"&amp;'AI经营假设'!S22&amp;"|"&amp;'AI经营假设'!T22</x:f>
        <x:v>130|0.24|40|0.43|42|0.43|47|0.38|25|-0.03|31|1.5|3.5|0.2|0.98|0.6|2.5</x:v>
      </x:c>
    </x:row>
    <x:row r="94" ht="23" customHeight="1">
      <x:c r="A94" s="11" t="str">
        <x:v>09888.HK</x:v>
      </x:c>
      <x:c r="B94" s="11" t="str">
        <x:v>百度集团-W</x:v>
      </x:c>
      <x:c r="C94" s="11" t="str">
        <x:v>五年</x:v>
      </x:c>
      <x:c r="D94" s="11" t="str">
        <x:v>悲观</x:v>
      </x:c>
      <x:c r="E94" s="11" t="n">
        <x:v>83</x:v>
      </x:c>
      <x:c r="F94" s="11" t="n">
        <x:v>3.18</x:v>
      </x:c>
      <x:c r="G94" s="11" t="n">
        <x:v>0</x:v>
      </x:c>
      <x:c r="H94" s="25" t="n">
        <x:v>-0.9616867469879518</x:v>
      </x:c>
      <x:c r="I94" s="25" t="n">
        <x:v>-0.9616867469879518</x:v>
      </x:c>
      <x:c r="J94" s="25" t="n">
        <x:v>-0.47920140309222525</x:v>
      </x:c>
      <x:c r="K94" s="11" t="n">
        <x:v>0.321</x:v>
      </x:c>
      <x:c r="L94" s="11" t="n">
        <x:v>9</x:v>
      </x:c>
      <x:c r="M94" s="11" t="n">
        <x:v>1.1</x:v>
      </x:c>
      <x:c r="N94" s="11" t="n">
        <x:v>0</x:v>
      </x:c>
      <x:c r="O94" s="11" t="str"/>
      <x:c r="P94" s="11" t="str"/>
      <x:c r="Q94" s="11" t="str"/>
      <x:c r="R94" s="11" t="str">
        <x:v>baidu-mutually-exclusive-normalized-v1.0</x:v>
      </x:c>
      <x:c r="S94" s="11" t="str">
        <x:v>2026-10-10</x:v>
      </x:c>
      <x:c r="T94" s="11" t="str">
        <x:f>IF(AND(SUM(IF(K94='假设'!E124,0,1),IF(L94='假设'!F124,0,1),IF(M94='假设'!G124,0,1),IF(N94='假设'!H124,0,1),IF(O94='假设'!I124,0,1),IF(P94='假设'!J124,0,1),IF(Q94='假设'!K124,0,1))=0,U94=V94),"已刷新","待刷新")</x:f>
        <x:v>已刷新</x:v>
      </x:c>
      <x:c r="U94" t="str">
        <x:v>50|0.1|12|0.29|11|0.29|19|0.3|9|-0.14|12|-1.4|0.8|0.2|0.94|1.5|3.55</x:v>
      </x:c>
      <x:c r="V94" t="str">
        <x:f>'AI经营假设'!D24&amp;"|"&amp;'AI经营假设'!E24&amp;"|"&amp;'AI经营假设'!F24&amp;"|"&amp;'AI经营假设'!G24&amp;"|"&amp;'AI经营假设'!H24&amp;"|"&amp;'AI经营假设'!I24&amp;"|"&amp;'AI经营假设'!J24&amp;"|"&amp;'AI经营假设'!K24&amp;"|"&amp;'AI经营假设'!L24&amp;"|"&amp;'AI经营假设'!M24&amp;"|"&amp;'AI经营假设'!N24&amp;"|"&amp;'AI经营假设'!O24&amp;"|"&amp;'AI经营假设'!P24&amp;"|"&amp;'AI经营假设'!Q24&amp;"|"&amp;'AI经营假设'!R24&amp;"|"&amp;'AI经营假设'!S24&amp;"|"&amp;'AI经营假设'!T24</x:f>
        <x:v>50|0.1|12|0.29|11|0.29|19|0.3|9|-0.14|12|-1.4|0.8|0.2|0.94|1.5|3.55</x:v>
      </x:c>
    </x:row>
    <x:row r="95" ht="23" customHeight="1">
      <x:c r="A95" s="11" t="str">
        <x:v>09888.HK</x:v>
      </x:c>
      <x:c r="B95" s="11" t="str">
        <x:v>百度集团-W</x:v>
      </x:c>
      <x:c r="C95" s="11" t="str">
        <x:v>五年</x:v>
      </x:c>
      <x:c r="D95" s="11" t="str">
        <x:v>基准</x:v>
      </x:c>
      <x:c r="E95" s="11" t="n">
        <x:v>83</x:v>
      </x:c>
      <x:c r="F95" s="11" t="n">
        <x:v>216.04</x:v>
      </x:c>
      <x:c r="G95" s="11" t="n">
        <x:v>7</x:v>
      </x:c>
      <x:c r="H95" s="25" t="n">
        <x:v>1.6028915662650602</x:v>
      </x:c>
      <x:c r="I95" s="25" t="n">
        <x:v>1.6872289156626503</x:v>
      </x:c>
      <x:c r="J95" s="25" t="n">
        <x:v>0.21859932382689906</x:v>
      </x:c>
      <x:c r="K95" s="11" t="n">
        <x:v>8.539</x:v>
      </x:c>
      <x:c r="L95" s="11" t="n">
        <x:v>23</x:v>
      </x:c>
      <x:c r="M95" s="11" t="n">
        <x:v>1.1</x:v>
      </x:c>
      <x:c r="N95" s="11" t="n">
        <x:v>7</x:v>
      </x:c>
      <x:c r="O95" s="11" t="str"/>
      <x:c r="P95" s="11" t="str"/>
      <x:c r="Q95" s="11" t="str"/>
      <x:c r="R95" s="11" t="str">
        <x:v>baidu-mutually-exclusive-normalized-v1.0</x:v>
      </x:c>
      <x:c r="S95" s="11" t="str">
        <x:v>2026-10-10</x:v>
      </x:c>
      <x:c r="T95" s="11" t="str">
        <x:f>IF(AND(SUM(IF(K95='假设'!E125,0,1),IF(L95='假设'!F125,0,1),IF(M95='假设'!G125,0,1),IF(N95='假设'!H125,0,1),IF(O95='假设'!I125,0,1),IF(P95='假设'!J125,0,1),IF(Q95='假设'!K125,0,1))=0,U95=V95),"已刷新","待刷新")</x:f>
        <x:v>已刷新</x:v>
      </x:c>
      <x:c r="U95" t="str">
        <x:v>120|0.18|37|0.38|37|0.37|34|0.34|22|-0.08|32|0.8|2.5|0.2|0.97|1|2.65</x:v>
      </x:c>
      <x:c r="V95" t="str">
        <x:f>'AI经营假设'!D25&amp;"|"&amp;'AI经营假设'!E25&amp;"|"&amp;'AI经营假设'!F25&amp;"|"&amp;'AI经营假设'!G25&amp;"|"&amp;'AI经营假设'!H25&amp;"|"&amp;'AI经营假设'!I25&amp;"|"&amp;'AI经营假设'!J25&amp;"|"&amp;'AI经营假设'!K25&amp;"|"&amp;'AI经营假设'!L25&amp;"|"&amp;'AI经营假设'!M25&amp;"|"&amp;'AI经营假设'!N25&amp;"|"&amp;'AI经营假设'!O25&amp;"|"&amp;'AI经营假设'!P25&amp;"|"&amp;'AI经营假设'!Q25&amp;"|"&amp;'AI经营假设'!R25&amp;"|"&amp;'AI经营假设'!S25&amp;"|"&amp;'AI经营假设'!T25</x:f>
        <x:v>120|0.18|37|0.38|37|0.37|34|0.34|22|-0.08|32|0.8|2.5|0.2|0.97|1|2.65</x:v>
      </x:c>
    </x:row>
    <x:row r="96" ht="23" customHeight="1">
      <x:c r="A96" s="11" t="str">
        <x:v>09888.HK</x:v>
      </x:c>
      <x:c r="B96" s="11" t="str">
        <x:v>百度集团-W</x:v>
      </x:c>
      <x:c r="C96" s="11" t="str">
        <x:v>五年</x:v>
      </x:c>
      <x:c r="D96" s="11" t="str">
        <x:v>乐观</x:v>
      </x:c>
      <x:c r="E96" s="11" t="n">
        <x:v>83</x:v>
      </x:c>
      <x:c r="F96" s="11" t="n">
        <x:v>933.01</x:v>
      </x:c>
      <x:c r="G96" s="11" t="n">
        <x:v>20</x:v>
      </x:c>
      <x:c r="H96" s="25" t="n">
        <x:v>10.241084337349397</x:v>
      </x:c>
      <x:c r="I96" s="25" t="n">
        <x:v>10.482048192771083</x:v>
      </x:c>
      <x:c r="J96" s="25" t="n">
        <x:v>0.6293105628995794</x:v>
      </x:c>
      <x:c r="K96" s="11" t="n">
        <x:v>28.273</x:v>
      </x:c>
      <x:c r="L96" s="11" t="n">
        <x:v>30</x:v>
      </x:c>
      <x:c r="M96" s="11" t="n">
        <x:v>1.1</x:v>
      </x:c>
      <x:c r="N96" s="11" t="n">
        <x:v>20</x:v>
      </x:c>
      <x:c r="O96" s="11" t="str"/>
      <x:c r="P96" s="11" t="str"/>
      <x:c r="Q96" s="11" t="str"/>
      <x:c r="R96" s="11" t="str">
        <x:v>baidu-mutually-exclusive-normalized-v1.0</x:v>
      </x:c>
      <x:c r="S96" s="11" t="str">
        <x:v>2026-10-10</x:v>
      </x:c>
      <x:c r="T96" s="11" t="str">
        <x:f>IF(AND(SUM(IF(K96='假设'!E126,0,1),IF(L96='假设'!F126,0,1),IF(M96='假设'!G126,0,1),IF(N96='假设'!H126,0,1),IF(O96='假设'!I126,0,1),IF(P96='假设'!J126,0,1),IF(Q96='假设'!K126,0,1))=0,U96=V96),"已刷新","待刷新")</x:f>
        <x:v>已刷新</x:v>
      </x:c>
      <x:c r="U96" t="str">
        <x:v>210|0.24|70|0.43|70|0.43|48|0.38|40|-0.03|48|2|4|0.2|0.98|0.7|2.35</x:v>
      </x:c>
      <x:c r="V96" t="str">
        <x:f>'AI经营假设'!D26&amp;"|"&amp;'AI经营假设'!E26&amp;"|"&amp;'AI经营假设'!F26&amp;"|"&amp;'AI经营假设'!G26&amp;"|"&amp;'AI经营假设'!H26&amp;"|"&amp;'AI经营假设'!I26&amp;"|"&amp;'AI经营假设'!J26&amp;"|"&amp;'AI经营假设'!K26&amp;"|"&amp;'AI经营假设'!L26&amp;"|"&amp;'AI经营假设'!M26&amp;"|"&amp;'AI经营假设'!N26&amp;"|"&amp;'AI经营假设'!O26&amp;"|"&amp;'AI经营假设'!P26&amp;"|"&amp;'AI经营假设'!Q26&amp;"|"&amp;'AI经营假设'!R26&amp;"|"&amp;'AI经营假设'!S26&amp;"|"&amp;'AI经营假设'!T26</x:f>
        <x:v>210|0.24|70|0.43|70|0.43|48|0.38|40|-0.03|48|2|4|0.2|0.98|0.7|2.35</x:v>
      </x:c>
    </x:row>
    <x:row r="97" ht="23" customHeight="1">
      <x:c r="A97" s="11" t="str">
        <x:v>688235.SH</x:v>
      </x:c>
      <x:c r="B97" s="11" t="str">
        <x:v>百济神州</x:v>
      </x:c>
      <x:c r="C97" s="11" t="str">
        <x:v>2026年底</x:v>
      </x:c>
      <x:c r="D97" s="11" t="str">
        <x:v>悲观</x:v>
      </x:c>
      <x:c r="E97" s="11" t="n">
        <x:v>249.42</x:v>
      </x:c>
      <x:c r="F97" s="11" t="n">
        <x:v>91.27863636363642</x:v>
      </x:c>
      <x:c r="G97" s="11" t="n">
        <x:v>0</x:v>
      </x:c>
      <x:c r="H97" s="25" t="n">
        <x:v>-0.6340364190376215</x:v>
      </x:c>
      <x:c r="I97" s="25" t="n">
        <x:v>-0.6340364190376215</x:v>
      </x:c>
      <x:c r="J97" s="25" t="str"/>
      <x:c r="K97" s="11" t="n">
        <x:v>0.40800000000000036</x:v>
      </x:c>
      <x:c r="L97" s="11" t="n">
        <x:v>28.749999999999996</x:v>
      </x:c>
      <x:c r="M97" s="11" t="n">
        <x:v>7.090909090909091</x:v>
      </x:c>
      <x:c r="N97" s="11" t="n">
        <x:v>0</x:v>
      </x:c>
      <x:c r="O97" s="11" t="str"/>
      <x:c r="P97" s="11" t="n">
        <x:v>0.09360000000000007</x:v>
      </x:c>
      <x:c r="Q97" s="11" t="n">
        <x:v>1.56</x:v>
      </x:c>
      <x:c r="R97" s="11" t="str">
        <x:v>beone-v1-operating-profit-AH-royalty-excluded</x:v>
      </x:c>
      <x:c r="S97" s="11" t="str">
        <x:v>2026-10-10</x:v>
      </x:c>
      <x:c r="T97" s="11" t="str">
        <x:f>IF(AND(SUM(IF(K97='假设'!E128,0,1),IF(L97='假设'!F128,0,1),IF(M97='假设'!G128,0,1),IF(N97='假设'!H128,0,1),IF(O97='假设'!I128,0,1),IF(P97='假设'!J128,0,1),IF(Q97='假设'!K128,0,1))=0,U97=V97),"已刷新","待刷新")</x:f>
        <x:v>已刷新</x:v>
      </x:c>
      <x:c r="U97" t="str">
        <x:v>4.9|0.95|0.12|0|0|0.83|0.87|2.55|2.55|0.22|1.56|1.55|1.15</x:v>
      </x:c>
      <x:c r="V97" t="str">
        <x:f>'产品经营假设'!D8&amp;"|"&amp;'产品经营假设'!E8&amp;"|"&amp;'产品经营假设'!F8&amp;"|"&amp;'产品经营假设'!G8&amp;"|"&amp;'产品经营假设'!H8&amp;"|"&amp;'产品经营假设'!I8&amp;"|"&amp;'产品经营假设'!J8&amp;"|"&amp;'产品经营假设'!K8&amp;"|"&amp;'产品经营假设'!L8&amp;"|"&amp;'产品经营假设'!M8&amp;"|"&amp;'产品经营假设'!N8&amp;"|"&amp;'假设'!R128&amp;"|"&amp;'假设'!S128</x:f>
        <x:v>4.9|0.95|0.12|0|0|0.83|0.87|2.55|2.55|0.22|1.56|1.55|1.15</x:v>
      </x:c>
    </x:row>
    <x:row r="98" ht="23" customHeight="1">
      <x:c r="A98" s="11" t="str">
        <x:v>688235.SH</x:v>
      </x:c>
      <x:c r="B98" s="11" t="str">
        <x:v>百济神州</x:v>
      </x:c>
      <x:c r="C98" s="11" t="str">
        <x:v>2026年底</x:v>
      </x:c>
      <x:c r="D98" s="11" t="str">
        <x:v>基准</x:v>
      </x:c>
      <x:c r="E98" s="11" t="n">
        <x:v>249.42</x:v>
      </x:c>
      <x:c r="F98" s="11" t="n">
        <x:v>281.3539197166469</x:v>
      </x:c>
      <x:c r="G98" s="11" t="n">
        <x:v>0</x:v>
      </x:c>
      <x:c r="H98" s="25" t="n">
        <x:v>0.12803271476484213</x:v>
      </x:c>
      <x:c r="I98" s="25" t="n">
        <x:v>0.12803271476484213</x:v>
      </x:c>
      <x:c r="J98" s="25" t="str"/>
      <x:c r="K98" s="11" t="n">
        <x:v>0.9483246753246749</x:v>
      </x:c>
      <x:c r="L98" s="11" t="n">
        <x:v>40</x:v>
      </x:c>
      <x:c r="M98" s="11" t="n">
        <x:v>7.090909090909091</x:v>
      </x:c>
      <x:c r="N98" s="11" t="n">
        <x:v>0</x:v>
      </x:c>
      <x:c r="O98" s="11" t="str"/>
      <x:c r="P98" s="11" t="n">
        <x:v>0.18486329113924047</x:v>
      </x:c>
      <x:c r="Q98" s="11" t="n">
        <x:v>1.54</x:v>
      </x:c>
      <x:c r="R98" s="11" t="str">
        <x:v>beone-v1-operating-profit-AH-royalty-excluded</x:v>
      </x:c>
      <x:c r="S98" s="11" t="str">
        <x:v>2026-10-10</x:v>
      </x:c>
      <x:c r="T98" s="11" t="str">
        <x:f>IF(AND(SUM(IF(K98='假设'!E129,0,1),IF(L98='假设'!F129,0,1),IF(M98='假设'!G129,0,1),IF(N98='假设'!H129,0,1),IF(O98='假设'!I129,0,1),IF(P98='假设'!J129,0,1),IF(Q98='假设'!K129,0,1))=0,U98=V98),"已刷新","待刷新")</x:f>
        <x:v>已刷新</x:v>
      </x:c>
      <x:c r="U98" t="str">
        <x:v>5.55|1.15|0.3|0.05|0|0.85|0.89|2.6|2.65|0.18|1.54|2.15|1.25</x:v>
      </x:c>
      <x:c r="V98" t="str">
        <x:f>'产品经营假设'!D9&amp;"|"&amp;'产品经营假设'!E9&amp;"|"&amp;'产品经营假设'!F9&amp;"|"&amp;'产品经营假设'!G9&amp;"|"&amp;'产品经营假设'!H9&amp;"|"&amp;'产品经营假设'!I9&amp;"|"&amp;'产品经营假设'!J9&amp;"|"&amp;'产品经营假设'!K9&amp;"|"&amp;'产品经营假设'!L9&amp;"|"&amp;'产品经营假设'!M9&amp;"|"&amp;'产品经营假设'!N9&amp;"|"&amp;'假设'!R129&amp;"|"&amp;'假设'!S129</x:f>
        <x:v>5.55|1.15|0.3|0.05|0|0.85|0.89|2.6|2.65|0.18|1.54|2.15|1.25</x:v>
      </x:c>
    </x:row>
    <x:row r="99" ht="23" customHeight="1">
      <x:c r="A99" s="11" t="str">
        <x:v>688235.SH</x:v>
      </x:c>
      <x:c r="B99" s="11" t="str">
        <x:v>百济神州</x:v>
      </x:c>
      <x:c r="C99" s="11" t="str">
        <x:v>2026年底</x:v>
      </x:c>
      <x:c r="D99" s="11" t="str">
        <x:v>乐观</x:v>
      </x:c>
      <x:c r="E99" s="11" t="n">
        <x:v>249.42</x:v>
      </x:c>
      <x:c r="F99" s="11" t="n">
        <x:v>539.9956684491979</x:v>
      </x:c>
      <x:c r="G99" s="11" t="n">
        <x:v>0</x:v>
      </x:c>
      <x:c r="H99" s="25" t="n">
        <x:v>1.1650054865255308</x:v>
      </x:c>
      <x:c r="I99" s="25" t="n">
        <x:v>1.1650054865255308</x:v>
      </x:c>
      <x:c r="J99" s="25" t="str"/>
      <x:c r="K99" s="11" t="n">
        <x:v>1.4777777777777776</x:v>
      </x:c>
      <x:c r="L99" s="11" t="n">
        <x:v>49.95</x:v>
      </x:c>
      <x:c r="M99" s="11" t="n">
        <x:v>7.090909090909091</x:v>
      </x:c>
      <x:c r="N99" s="11" t="n">
        <x:v>0</x:v>
      </x:c>
      <x:c r="O99" s="11" t="str"/>
      <x:c r="P99" s="11" t="n">
        <x:v>0.2540449438202247</x:v>
      </x:c>
      <x:c r="Q99" s="11" t="n">
        <x:v>1.53</x:v>
      </x:c>
      <x:c r="R99" s="11" t="str">
        <x:v>beone-v1-operating-profit-AH-royalty-excluded</x:v>
      </x:c>
      <x:c r="S99" s="11" t="str">
        <x:v>2026-10-10</x:v>
      </x:c>
      <x:c r="T99" s="11" t="str">
        <x:f>IF(AND(SUM(IF(K99='假设'!E130,0,1),IF(L99='假设'!F130,0,1),IF(M99='假设'!G130,0,1),IF(N99='假设'!H130,0,1),IF(O99='假设'!I130,0,1),IF(P99='假设'!J130,0,1),IF(Q99='假设'!K130,0,1))=0,U99=V99),"已刷新","待刷新")</x:f>
        <x:v>已刷新</x:v>
      </x:c>
      <x:c r="U99" t="str">
        <x:v>6.05|1.3|0.45|0.12|0.03|0.95|0.9|2.7|2.65|0.15|1.53|2.65|1.35</x:v>
      </x:c>
      <x:c r="V99" t="str">
        <x:f>'产品经营假设'!D10&amp;"|"&amp;'产品经营假设'!E10&amp;"|"&amp;'产品经营假设'!F10&amp;"|"&amp;'产品经营假设'!G10&amp;"|"&amp;'产品经营假设'!H10&amp;"|"&amp;'产品经营假设'!I10&amp;"|"&amp;'产品经营假设'!J10&amp;"|"&amp;'产品经营假设'!K10&amp;"|"&amp;'产品经营假设'!L10&amp;"|"&amp;'产品经营假设'!M10&amp;"|"&amp;'产品经营假设'!N10&amp;"|"&amp;'假设'!R130&amp;"|"&amp;'假设'!S130</x:f>
        <x:v>6.05|1.3|0.45|0.12|0.03|0.95|0.9|2.7|2.65|0.15|1.53|2.65|1.35</x:v>
      </x:c>
    </x:row>
    <x:row r="100" ht="23" customHeight="1">
      <x:c r="A100" s="11" t="str">
        <x:v>688235.SH</x:v>
      </x:c>
      <x:c r="B100" s="11" t="str">
        <x:v>百济神州</x:v>
      </x:c>
      <x:c r="C100" s="11" t="str">
        <x:v>半年</x:v>
      </x:c>
      <x:c r="D100" s="11" t="str">
        <x:v>悲观</x:v>
      </x:c>
      <x:c r="E100" s="11" t="n">
        <x:v>249.42</x:v>
      </x:c>
      <x:c r="F100" s="11" t="n">
        <x:v>69.77297468354439</x:v>
      </x:c>
      <x:c r="G100" s="11" t="n">
        <x:v>0</x:v>
      </x:c>
      <x:c r="H100" s="25" t="n">
        <x:v>-0.7202591023833518</x:v>
      </x:c>
      <x:c r="I100" s="25" t="n">
        <x:v>-0.7202591023833518</x:v>
      </x:c>
      <x:c r="J100" s="25" t="str"/>
      <x:c r="K100" s="11" t="n">
        <x:v>0.32236708860759533</x:v>
      </x:c>
      <x:c r="L100" s="11" t="n">
        <x:v>27.500000000000004</x:v>
      </x:c>
      <x:c r="M100" s="11" t="n">
        <x:v>7.090909090909091</x:v>
      </x:c>
      <x:c r="N100" s="11" t="n">
        <x:v>0</x:v>
      </x:c>
      <x:c r="O100" s="11" t="str"/>
      <x:c r="P100" s="11" t="n">
        <x:v>0.07381739130434792</x:v>
      </x:c>
      <x:c r="Q100" s="11" t="n">
        <x:v>1.58</x:v>
      </x:c>
      <x:c r="R100" s="11" t="str">
        <x:v>beone-v1-operating-profit-AH-royalty-excluded</x:v>
      </x:c>
      <x:c r="S100" s="11" t="str">
        <x:v>2026-10-10</x:v>
      </x:c>
      <x:c r="T100" s="11" t="str">
        <x:f>IF(AND(SUM(IF(K100='假设'!E132,0,1),IF(L100='假设'!F132,0,1),IF(M100='假设'!G132,0,1),IF(N100='假设'!H132,0,1),IF(O100='假设'!I132,0,1),IF(P100='假设'!J132,0,1),IF(Q100='假设'!K132,0,1))=0,U100=V100),"已刷新","待刷新")</x:f>
        <x:v>已刷新</x:v>
      </x:c>
      <x:c r="U100" t="str">
        <x:v>4.9|0.95|0.15|0|0|0.9|0.87|2.7|2.65|0.22|1.58|1.4|1.1</x:v>
      </x:c>
      <x:c r="V100" t="str">
        <x:f>'产品经营假设'!D12&amp;"|"&amp;'产品经营假设'!E12&amp;"|"&amp;'产品经营假设'!F12&amp;"|"&amp;'产品经营假设'!G12&amp;"|"&amp;'产品经营假设'!H12&amp;"|"&amp;'产品经营假设'!I12&amp;"|"&amp;'产品经营假设'!J12&amp;"|"&amp;'产品经营假设'!K12&amp;"|"&amp;'产品经营假设'!L12&amp;"|"&amp;'产品经营假设'!M12&amp;"|"&amp;'产品经营假设'!N12&amp;"|"&amp;'假设'!R132&amp;"|"&amp;'假设'!S132</x:f>
        <x:v>4.9|0.95|0.15|0|0|0.9|0.87|2.7|2.65|0.22|1.58|1.4|1.1</x:v>
      </x:c>
    </x:row>
    <x:row r="101" ht="23" customHeight="1">
      <x:c r="A101" s="11" t="str">
        <x:v>688235.SH</x:v>
      </x:c>
      <x:c r="B101" s="11" t="str">
        <x:v>百济神州</x:v>
      </x:c>
      <x:c r="C101" s="11" t="str">
        <x:v>半年</x:v>
      </x:c>
      <x:c r="D101" s="11" t="str">
        <x:v>基准</x:v>
      </x:c>
      <x:c r="E101" s="11" t="n">
        <x:v>249.42</x:v>
      </x:c>
      <x:c r="F101" s="11" t="n">
        <x:v>305.6159999999998</x:v>
      </x:c>
      <x:c r="G101" s="11" t="n">
        <x:v>0</x:v>
      </x:c>
      <x:c r="H101" s="25" t="n">
        <x:v>0.2253067115708436</x:v>
      </x:c>
      <x:c r="I101" s="25" t="n">
        <x:v>0.2253067115708436</x:v>
      </x:c>
      <x:c r="J101" s="25" t="str"/>
      <x:c r="K101" s="11" t="n">
        <x:v>1.1437948717948712</x:v>
      </x:c>
      <x:c r="L101" s="11" t="n">
        <x:v>36</x:v>
      </x:c>
      <x:c r="M101" s="11" t="n">
        <x:v>7.090909090909091</x:v>
      </x:c>
      <x:c r="N101" s="11" t="n">
        <x:v>0</x:v>
      </x:c>
      <x:c r="O101" s="11" t="str"/>
      <x:c r="P101" s="11" t="n">
        <x:v>0.21241904761904756</x:v>
      </x:c>
      <x:c r="Q101" s="11" t="n">
        <x:v>1.56</x:v>
      </x:c>
      <x:c r="R101" s="11" t="str">
        <x:v>beone-v1-operating-profit-AH-royalty-excluded</x:v>
      </x:c>
      <x:c r="S101" s="11" t="str">
        <x:v>2026-10-10</x:v>
      </x:c>
      <x:c r="T101" s="11" t="str">
        <x:f>IF(AND(SUM(IF(K101='假设'!E133,0,1),IF(L101='假设'!F133,0,1),IF(M101='假设'!G133,0,1),IF(N101='假设'!H133,0,1),IF(O101='假设'!I133,0,1),IF(P101='假设'!J133,0,1),IF(Q101='假设'!K133,0,1))=0,U101=V101),"已刷新","待刷新")</x:f>
        <x:v>已刷新</x:v>
      </x:c>
      <x:c r="U101" t="str">
        <x:v>5.8|1.25|0.35|0.1|0|0.9|0.89|2.65|2.65|0.18|1.56|2.5|1.2</x:v>
      </x:c>
      <x:c r="V101" t="str">
        <x:f>'产品经营假设'!D13&amp;"|"&amp;'产品经营假设'!E13&amp;"|"&amp;'产品经营假设'!F13&amp;"|"&amp;'产品经营假设'!G13&amp;"|"&amp;'产品经营假设'!H13&amp;"|"&amp;'产品经营假设'!I13&amp;"|"&amp;'产品经营假设'!J13&amp;"|"&amp;'产品经营假设'!K13&amp;"|"&amp;'产品经营假设'!L13&amp;"|"&amp;'产品经营假设'!M13&amp;"|"&amp;'产品经营假设'!N13&amp;"|"&amp;'假设'!R133&amp;"|"&amp;'假设'!S133</x:f>
        <x:v>5.8|1.25|0.35|0.1|0|0.9|0.89|2.65|2.65|0.18|1.56|2.5|1.2</x:v>
      </x:c>
    </x:row>
    <x:row r="102" ht="23" customHeight="1">
      <x:c r="A102" s="11" t="str">
        <x:v>688235.SH</x:v>
      </x:c>
      <x:c r="B102" s="11" t="str">
        <x:v>百济神州</x:v>
      </x:c>
      <x:c r="C102" s="11" t="str">
        <x:v>半年</x:v>
      </x:c>
      <x:c r="D102" s="11" t="str">
        <x:v>乐观</x:v>
      </x:c>
      <x:c r="E102" s="11" t="n">
        <x:v>249.42</x:v>
      </x:c>
      <x:c r="F102" s="11" t="n">
        <x:v>605.4888387096779</x:v>
      </x:c>
      <x:c r="G102" s="11" t="n">
        <x:v>0</x:v>
      </x:c>
      <x:c r="H102" s="25" t="n">
        <x:v>1.4275873575081306</x:v>
      </x:c>
      <x:c r="I102" s="25" t="n">
        <x:v>1.4275873575081306</x:v>
      </x:c>
      <x:c r="J102" s="25" t="str"/>
      <x:c r="K102" s="11" t="n">
        <x:v>1.819548387096776</x:v>
      </x:c>
      <x:c r="L102" s="11" t="n">
        <x:v>45.5</x:v>
      </x:c>
      <x:c r="M102" s="11" t="n">
        <x:v>7.090909090909091</x:v>
      </x:c>
      <x:c r="N102" s="11" t="n">
        <x:v>0</x:v>
      </x:c>
      <x:c r="O102" s="11" t="str"/>
      <x:c r="P102" s="11" t="n">
        <x:v>0.2877857142857145</x:v>
      </x:c>
      <x:c r="Q102" s="11" t="n">
        <x:v>1.55</x:v>
      </x:c>
      <x:c r="R102" s="11" t="str">
        <x:v>beone-v1-operating-profit-AH-royalty-excluded</x:v>
      </x:c>
      <x:c r="S102" s="11" t="str">
        <x:v>2026-10-10</x:v>
      </x:c>
      <x:c r="T102" s="11" t="str">
        <x:f>IF(AND(SUM(IF(K102='假设'!E134,0,1),IF(L102='假设'!F134,0,1),IF(M102='假设'!G134,0,1),IF(N102='假设'!H134,0,1),IF(O102='假设'!I134,0,1),IF(P102='假设'!J134,0,1),IF(Q102='假设'!K134,0,1))=0,U102=V102),"已刷新","待刷新")</x:f>
        <x:v>已刷新</x:v>
      </x:c>
      <x:c r="U102" t="str">
        <x:v>6.4|1.45|0.6|0.25|0.05|1.05|0.91|2.8|2.8|0.15|1.55|3.1|1.3</x:v>
      </x:c>
      <x:c r="V102" t="str">
        <x:f>'产品经营假设'!D14&amp;"|"&amp;'产品经营假设'!E14&amp;"|"&amp;'产品经营假设'!F14&amp;"|"&amp;'产品经营假设'!G14&amp;"|"&amp;'产品经营假设'!H14&amp;"|"&amp;'产品经营假设'!I14&amp;"|"&amp;'产品经营假设'!J14&amp;"|"&amp;'产品经营假设'!K14&amp;"|"&amp;'产品经营假设'!L14&amp;"|"&amp;'产品经营假设'!M14&amp;"|"&amp;'产品经营假设'!N14&amp;"|"&amp;'假设'!R134&amp;"|"&amp;'假设'!S134</x:f>
        <x:v>6.4|1.45|0.6|0.25|0.05|1.05|0.91|2.8|2.8|0.15|1.55|3.1|1.3</x:v>
      </x:c>
    </x:row>
    <x:row r="103" ht="23" customHeight="1">
      <x:c r="A103" s="11" t="str">
        <x:v>688235.SH</x:v>
      </x:c>
      <x:c r="B103" s="11" t="str">
        <x:v>百济神州</x:v>
      </x:c>
      <x:c r="C103" s="11" t="str">
        <x:v>一年</x:v>
      </x:c>
      <x:c r="D103" s="11" t="str">
        <x:v>悲观</x:v>
      </x:c>
      <x:c r="E103" s="11" t="n">
        <x:v>249.42</x:v>
      </x:c>
      <x:c r="F103" s="11" t="n">
        <x:v>50.94593636363638</x:v>
      </x:c>
      <x:c r="G103" s="11" t="n">
        <x:v>0</x:v>
      </x:c>
      <x:c r="H103" s="25" t="n">
        <x:v>-0.7957423768597691</x:v>
      </x:c>
      <x:c r="I103" s="25" t="n">
        <x:v>-0.7957423768597691</x:v>
      </x:c>
      <x:c r="J103" s="25" t="str"/>
      <x:c r="K103" s="11" t="n">
        <x:v>0.26529629629629636</x:v>
      </x:c>
      <x:c r="L103" s="11" t="n">
        <x:v>24.150000000000002</x:v>
      </x:c>
      <x:c r="M103" s="11" t="n">
        <x:v>7.090909090909091</x:v>
      </x:c>
      <x:c r="N103" s="11" t="n">
        <x:v>0</x:v>
      </x:c>
      <x:c r="O103" s="11" t="str"/>
      <x:c r="P103" s="11" t="n">
        <x:v>0.05887397260273975</x:v>
      </x:c>
      <x:c r="Q103" s="11" t="n">
        <x:v>1.62</x:v>
      </x:c>
      <x:c r="R103" s="11" t="str">
        <x:v>beone-v1-operating-profit-AH-royalty-excluded</x:v>
      </x:c>
      <x:c r="S103" s="11" t="str">
        <x:v>2026-10-10</x:v>
      </x:c>
      <x:c r="T103" s="11" t="str">
        <x:f>IF(AND(SUM(IF(K103='假设'!E136,0,1),IF(L103='假设'!F136,0,1),IF(M103='假设'!G136,0,1),IF(N103='假设'!H136,0,1),IF(O103='假设'!I136,0,1),IF(P103='假设'!J136,0,1),IF(Q103='假设'!K136,0,1))=0,U103=V103),"已刷新","待刷新")</x:f>
        <x:v>已刷新</x:v>
      </x:c>
      <x:c r="U103" t="str">
        <x:v>5.1|1|0.25|0.05|0|0.9|0.87|2.9|2.9|0.22|1.62|1.2|1.05</x:v>
      </x:c>
      <x:c r="V103" t="str">
        <x:f>'产品经营假设'!D16&amp;"|"&amp;'产品经营假设'!E16&amp;"|"&amp;'产品经营假设'!F16&amp;"|"&amp;'产品经营假设'!G16&amp;"|"&amp;'产品经营假设'!H16&amp;"|"&amp;'产品经营假设'!I16&amp;"|"&amp;'产品经营假设'!J16&amp;"|"&amp;'产品经营假设'!K16&amp;"|"&amp;'产品经营假设'!L16&amp;"|"&amp;'产品经营假设'!M16&amp;"|"&amp;'产品经营假设'!N16&amp;"|"&amp;'假设'!R136&amp;"|"&amp;'假设'!S136</x:f>
        <x:v>5.1|1|0.25|0.05|0|0.9|0.87|2.9|2.9|0.22|1.62|1.2|1.05</x:v>
      </x:c>
    </x:row>
    <x:row r="104" ht="23" customHeight="1">
      <x:c r="A104" s="11" t="str">
        <x:v>688235.SH</x:v>
      </x:c>
      <x:c r="B104" s="11" t="str">
        <x:v>百济神州</x:v>
      </x:c>
      <x:c r="C104" s="11" t="str">
        <x:v>一年</x:v>
      </x:c>
      <x:c r="D104" s="11" t="str">
        <x:v>基准</x:v>
      </x:c>
      <x:c r="E104" s="11" t="n">
        <x:v>249.42</x:v>
      </x:c>
      <x:c r="F104" s="11" t="n">
        <x:v>410.9218159090907</x:v>
      </x:c>
      <x:c r="G104" s="11" t="n">
        <x:v>0</x:v>
      </x:c>
      <x:c r="H104" s="25" t="n">
        <x:v>0.6475094856430548</x:v>
      </x:c>
      <x:c r="I104" s="25" t="n">
        <x:v>0.6475094856430548</x:v>
      </x:c>
      <x:c r="J104" s="25" t="str"/>
      <x:c r="K104" s="11" t="n">
        <x:v>1.6557499999999994</x:v>
      </x:c>
      <x:c r="L104" s="11" t="n">
        <x:v>33.349999999999994</x:v>
      </x:c>
      <x:c r="M104" s="11" t="n">
        <x:v>7.090909090909091</x:v>
      </x:c>
      <x:c r="N104" s="11" t="n">
        <x:v>0</x:v>
      </x:c>
      <x:c r="O104" s="11" t="str"/>
      <x:c r="P104" s="11" t="n">
        <x:v>0.25596135265700476</x:v>
      </x:c>
      <x:c r="Q104" s="11" t="n">
        <x:v>1.6</x:v>
      </x:c>
      <x:c r="R104" s="11" t="str">
        <x:v>beone-v1-operating-profit-AH-royalty-excluded</x:v>
      </x:c>
      <x:c r="S104" s="11" t="str">
        <x:v>2026-10-10</x:v>
      </x:c>
      <x:c r="T104" s="11" t="str">
        <x:f>IF(AND(SUM(IF(K104='假设'!E137,0,1),IF(L104='假设'!F137,0,1),IF(M104='假设'!G137,0,1),IF(N104='假设'!H137,0,1),IF(O104='假设'!I137,0,1),IF(P104='假设'!J137,0,1),IF(Q104='假设'!K137,0,1))=0,U104=V104),"已刷新","待刷新")</x:f>
        <x:v>待刷新</x:v>
      </x:c>
      <x:c r="U104" t="str">
        <x:v>6.75|1.5|0.75|0.35|0.05|0.95|0.89|2.95|2.95|0.2|1.6|3.8|1.15</x:v>
      </x:c>
      <x:c r="V104" t="str">
        <x:f>'产品经营假设'!D17&amp;"|"&amp;'产品经营假设'!E17&amp;"|"&amp;'产品经营假设'!F17&amp;"|"&amp;'产品经营假设'!G17&amp;"|"&amp;'产品经营假设'!H17&amp;"|"&amp;'产品经营假设'!I17&amp;"|"&amp;'产品经营假设'!J17&amp;"|"&amp;'产品经营假设'!K17&amp;"|"&amp;'产品经营假设'!L17&amp;"|"&amp;'产品经营假设'!M17&amp;"|"&amp;'产品经营假设'!N17&amp;"|"&amp;'假设'!R137&amp;"|"&amp;'假设'!S137</x:f>
        <x:v>7.75|1.5|0.75|0.35|0.05|0.95|0.89|2.95|2.95|0.2|1.6|3.8|1.15</x:v>
      </x:c>
    </x:row>
    <x:row r="105" ht="23" customHeight="1">
      <x:c r="A105" s="11" t="str">
        <x:v>688235.SH</x:v>
      </x:c>
      <x:c r="B105" s="11" t="str">
        <x:v>百济神州</x:v>
      </x:c>
      <x:c r="C105" s="11" t="str">
        <x:v>一年</x:v>
      </x:c>
      <x:c r="D105" s="11" t="str">
        <x:v>乐观</x:v>
      </x:c>
      <x:c r="E105" s="11" t="n">
        <x:v>249.42</x:v>
      </x:c>
      <x:c r="F105" s="11" t="n">
        <x:v>887.2138115228723</x:v>
      </x:c>
      <x:c r="G105" s="11" t="n">
        <x:v>0</x:v>
      </x:c>
      <x:c r="H105" s="25" t="n">
        <x:v>2.5571077360391</x:v>
      </x:c>
      <x:c r="I105" s="25" t="n">
        <x:v>2.5571077360391</x:v>
      </x:c>
      <x:c r="J105" s="25" t="str"/>
      <x:c r="K105" s="11" t="n">
        <x:v>2.8465828025477715</x:v>
      </x:c>
      <x:c r="L105" s="11" t="n">
        <x:v>42.5</x:v>
      </x:c>
      <x:c r="M105" s="11" t="n">
        <x:v>7.090909090909091</x:v>
      </x:c>
      <x:c r="N105" s="11" t="n">
        <x:v>0</x:v>
      </x:c>
      <x:c r="O105" s="11" t="str"/>
      <x:c r="P105" s="11" t="n">
        <x:v>0.3451069498069499</x:v>
      </x:c>
      <x:c r="Q105" s="11" t="n">
        <x:v>1.57</x:v>
      </x:c>
      <x:c r="R105" s="11" t="str">
        <x:v>beone-v1-operating-profit-AH-royalty-excluded</x:v>
      </x:c>
      <x:c r="S105" s="11" t="str">
        <x:v>2026-10-10</x:v>
      </x:c>
      <x:c r="T105" s="11" t="str">
        <x:f>IF(AND(SUM(IF(K105='假设'!E138,0,1),IF(L105='假设'!F138,0,1),IF(M105='假设'!G138,0,1),IF(N105='假设'!H138,0,1),IF(O105='假设'!I138,0,1),IF(P105='假设'!J138,0,1),IF(Q105='假设'!K138,0,1))=0,U105=V105),"已刷新","待刷新")</x:f>
        <x:v>已刷新</x:v>
      </x:c>
      <x:c r="U105" t="str">
        <x:v>7.7|1.8|1.25|0.8|0.25|1.15|0.91|3.2|3.2|0.17|1.57|5.2|1.25</x:v>
      </x:c>
      <x:c r="V105" t="str">
        <x:f>'产品经营假设'!D18&amp;"|"&amp;'产品经营假设'!E18&amp;"|"&amp;'产品经营假设'!F18&amp;"|"&amp;'产品经营假设'!G18&amp;"|"&amp;'产品经营假设'!H18&amp;"|"&amp;'产品经营假设'!I18&amp;"|"&amp;'产品经营假设'!J18&amp;"|"&amp;'产品经营假设'!K18&amp;"|"&amp;'产品经营假设'!L18&amp;"|"&amp;'产品经营假设'!M18&amp;"|"&amp;'产品经营假设'!N18&amp;"|"&amp;'假设'!R138&amp;"|"&amp;'假设'!S138</x:f>
        <x:v>7.7|1.8|1.25|0.8|0.25|1.15|0.91|3.2|3.2|0.17|1.57|5.2|1.25</x:v>
      </x:c>
    </x:row>
    <x:row r="106" ht="23" customHeight="1">
      <x:c r="A106" s="11" t="str">
        <x:v>688235.SH</x:v>
      </x:c>
      <x:c r="B106" s="11" t="str">
        <x:v>百济神州</x:v>
      </x:c>
      <x:c r="C106" s="11" t="str">
        <x:v>三年</x:v>
      </x:c>
      <x:c r="D106" s="11" t="str">
        <x:v>悲观</x:v>
      </x:c>
      <x:c r="E106" s="11" t="n">
        <x:v>249.42</x:v>
      </x:c>
      <x:c r="F106" s="11" t="n">
        <x:v>52.36191120507404</x:v>
      </x:c>
      <x:c r="G106" s="11" t="n">
        <x:v>0</x:v>
      </x:c>
      <x:c r="H106" s="25" t="n">
        <x:v>-0.7900653066912275</x:v>
      </x:c>
      <x:c r="I106" s="25" t="n">
        <x:v>-0.7900653066912275</x:v>
      </x:c>
      <x:c r="J106" s="25" t="n">
        <x:v>-0.40566942664776173</x:v>
      </x:c>
      <x:c r="K106" s="11" t="n">
        <x:v>0.32948837209302356</x:v>
      </x:c>
      <x:c r="L106" s="11" t="n">
        <x:v>21</x:v>
      </x:c>
      <x:c r="M106" s="11" t="n">
        <x:v>7.090909090909091</x:v>
      </x:c>
      <x:c r="N106" s="11" t="n">
        <x:v>0</x:v>
      </x:c>
      <x:c r="O106" s="11" t="str"/>
      <x:c r="P106" s="11" t="n">
        <x:v>0.07456842105263164</x:v>
      </x:c>
      <x:c r="Q106" s="11" t="n">
        <x:v>1.72</x:v>
      </x:c>
      <x:c r="R106" s="11" t="str">
        <x:v>beone-v1-operating-profit-AH-royalty-excluded</x:v>
      </x:c>
      <x:c r="S106" s="11" t="str">
        <x:v>2026-10-10</x:v>
      </x:c>
      <x:c r="T106" s="11" t="str">
        <x:f>IF(AND(SUM(IF(K106='假设'!E140,0,1),IF(L106='假设'!F140,0,1),IF(M106='假设'!G140,0,1),IF(N106='假设'!H140,0,1),IF(O106='假设'!I140,0,1),IF(P106='假设'!J140,0,1),IF(Q106='假设'!K140,0,1))=0,U106=V106),"已刷新","待刷新")</x:f>
        <x:v>已刷新</x:v>
      </x:c>
      <x:c r="U106" t="str">
        <x:v>5|1|0.4|0.15|0.1|0.95|0.86|3|2.8|0.23|1.72|0.8|1</x:v>
      </x:c>
      <x:c r="V106" t="str">
        <x:f>'产品经营假设'!D20&amp;"|"&amp;'产品经营假设'!E20&amp;"|"&amp;'产品经营假设'!F20&amp;"|"&amp;'产品经营假设'!G20&amp;"|"&amp;'产品经营假设'!H20&amp;"|"&amp;'产品经营假设'!I20&amp;"|"&amp;'产品经营假设'!J20&amp;"|"&amp;'产品经营假设'!K20&amp;"|"&amp;'产品经营假设'!L20&amp;"|"&amp;'产品经营假设'!M20&amp;"|"&amp;'产品经营假设'!N20&amp;"|"&amp;'假设'!R140&amp;"|"&amp;'假设'!S140</x:f>
        <x:v>5|1|0.4|0.15|0.1|0.95|0.86|3|2.8|0.23|1.72|0.8|1</x:v>
      </x:c>
    </x:row>
    <x:row r="107" ht="23" customHeight="1">
      <x:c r="A107" s="11" t="str">
        <x:v>688235.SH</x:v>
      </x:c>
      <x:c r="B107" s="11" t="str">
        <x:v>百济神州</x:v>
      </x:c>
      <x:c r="C107" s="11" t="str">
        <x:v>三年</x:v>
      </x:c>
      <x:c r="D107" s="11" t="str">
        <x:v>基准</x:v>
      </x:c>
      <x:c r="E107" s="11" t="n">
        <x:v>249.42</x:v>
      </x:c>
      <x:c r="F107" s="11" t="n">
        <x:v>493.704656883117</x:v>
      </x:c>
      <x:c r="G107" s="11" t="n">
        <x:v>0</x:v>
      </x:c>
      <x:c r="H107" s="25" t="n">
        <x:v>0.9794108607293603</x:v>
      </x:c>
      <x:c r="I107" s="25" t="n">
        <x:v>0.9794108607293603</x:v>
      </x:c>
      <x:c r="J107" s="25" t="n">
        <x:v>0.25558268011689633</x:v>
      </x:c>
      <x:c r="K107" s="11" t="n">
        <x:v>2.222345238095239</x:v>
      </x:c>
      <x:c r="L107" s="11" t="n">
        <x:v>29.160000000000004</x:v>
      </x:c>
      <x:c r="M107" s="11" t="n">
        <x:v>7.090909090909091</x:v>
      </x:c>
      <x:c r="N107" s="11" t="n">
        <x:v>0</x:v>
      </x:c>
      <x:c r="O107" s="11" t="str"/>
      <x:c r="P107" s="11" t="n">
        <x:v>0.2786223880597016</x:v>
      </x:c>
      <x:c r="Q107" s="11" t="n">
        <x:v>1.68</x:v>
      </x:c>
      <x:c r="R107" s="11" t="str">
        <x:v>beone-v1-operating-profit-AH-royalty-excluded</x:v>
      </x:c>
      <x:c r="S107" s="11" t="str">
        <x:v>2026-10-10</x:v>
      </x:c>
      <x:c r="T107" s="11" t="str">
        <x:f>IF(AND(SUM(IF(K107='假设'!E141,0,1),IF(L107='假设'!F141,0,1),IF(M107='假设'!G141,0,1),IF(N107='假设'!H141,0,1),IF(O107='假设'!I141,0,1),IF(P107='假设'!J141,0,1),IF(Q107='假设'!K141,0,1))=0,U107=V107),"已刷新","待刷新")</x:f>
        <x:v>已刷新</x:v>
      </x:c>
      <x:c r="U107" t="str">
        <x:v>7.5|1.8|1.6|1|0.5|1|0.89|3.6|3.6|0.21|1.68|7.5|1.08</x:v>
      </x:c>
      <x:c r="V107" t="str">
        <x:f>'产品经营假设'!D21&amp;"|"&amp;'产品经营假设'!E21&amp;"|"&amp;'产品经营假设'!F21&amp;"|"&amp;'产品经营假设'!G21&amp;"|"&amp;'产品经营假设'!H21&amp;"|"&amp;'产品经营假设'!I21&amp;"|"&amp;'产品经营假设'!J21&amp;"|"&amp;'产品经营假设'!K21&amp;"|"&amp;'产品经营假设'!L21&amp;"|"&amp;'产品经营假设'!M21&amp;"|"&amp;'产品经营假设'!N21&amp;"|"&amp;'假设'!R141&amp;"|"&amp;'假设'!S141</x:f>
        <x:v>7.5|1.8|1.6|1|0.5|1|0.89|3.6|3.6|0.21|1.68|7.5|1.08</x:v>
      </x:c>
    </x:row>
    <x:row r="108" ht="23" customHeight="1">
      <x:c r="A108" s="11" t="str">
        <x:v>688235.SH</x:v>
      </x:c>
      <x:c r="B108" s="11" t="str">
        <x:v>百济神州</x:v>
      </x:c>
      <x:c r="C108" s="11" t="str">
        <x:v>三年</x:v>
      </x:c>
      <x:c r="D108" s="11" t="str">
        <x:v>乐观</x:v>
      </x:c>
      <x:c r="E108" s="11" t="n">
        <x:v>249.42</x:v>
      </x:c>
      <x:c r="F108" s="11" t="n">
        <x:v>1138.4695811447814</x:v>
      </x:c>
      <x:c r="G108" s="11" t="n">
        <x:v>0</x:v>
      </x:c>
      <x:c r="H108" s="25" t="n">
        <x:v>3.5644678900841207</x:v>
      </x:c>
      <x:c r="I108" s="25" t="n">
        <x:v>3.5644678900841207</x:v>
      </x:c>
      <x:c r="J108" s="25" t="n">
        <x:v>0.6588102824475448</x:v>
      </x:c>
      <x:c r="K108" s="11" t="n">
        <x:v>4.131382716049385</x:v>
      </x:c>
      <x:c r="L108" s="11" t="n">
        <x:v>36.8</x:v>
      </x:c>
      <x:c r="M108" s="11" t="n">
        <x:v>7.090909090909091</x:v>
      </x:c>
      <x:c r="N108" s="11" t="n">
        <x:v>0</x:v>
      </x:c>
      <x:c r="O108" s="11" t="str"/>
      <x:c r="P108" s="11" t="n">
        <x:v>0.36773846153846174</x:v>
      </x:c>
      <x:c r="Q108" s="11" t="n">
        <x:v>1.62</x:v>
      </x:c>
      <x:c r="R108" s="11" t="str">
        <x:v>beone-v1-operating-profit-AH-royalty-excluded</x:v>
      </x:c>
      <x:c r="S108" s="11" t="str">
        <x:v>2026-10-10</x:v>
      </x:c>
      <x:c r="T108" s="11" t="str">
        <x:f>IF(AND(SUM(IF(K108='假设'!E142,0,1),IF(L108='假设'!F142,0,1),IF(M108='假设'!G142,0,1),IF(N108='假设'!H142,0,1),IF(O108='假设'!I142,0,1),IF(P108='假设'!J142,0,1),IF(Q108='假设'!K142,0,1))=0,U108=V108),"已刷新","待刷新")</x:f>
        <x:v>已刷新</x:v>
      </x:c>
      <x:c r="U108" t="str">
        <x:v>9|2.2|2.7|1.8|1.3|1.2|0.91|4.2|4.2|0.18|1.62|12|1.15</x:v>
      </x:c>
      <x:c r="V108" t="str">
        <x:f>'产品经营假设'!D22&amp;"|"&amp;'产品经营假设'!E22&amp;"|"&amp;'产品经营假设'!F22&amp;"|"&amp;'产品经营假设'!G22&amp;"|"&amp;'产品经营假设'!H22&amp;"|"&amp;'产品经营假设'!I22&amp;"|"&amp;'产品经营假设'!J22&amp;"|"&amp;'产品经营假设'!K22&amp;"|"&amp;'产品经营假设'!L22&amp;"|"&amp;'产品经营假设'!M22&amp;"|"&amp;'产品经营假设'!N22&amp;"|"&amp;'假设'!R142&amp;"|"&amp;'假设'!S142</x:f>
        <x:v>9|2.2|2.7|1.8|1.3|1.2|0.91|4.2|4.2|0.18|1.62|12|1.15</x:v>
      </x:c>
    </x:row>
    <x:row r="109" ht="23" customHeight="1">
      <x:c r="A109" s="11" t="str">
        <x:v>688235.SH</x:v>
      </x:c>
      <x:c r="B109" s="11" t="str">
        <x:v>百济神州</x:v>
      </x:c>
      <x:c r="C109" s="11" t="str">
        <x:v>五年</x:v>
      </x:c>
      <x:c r="D109" s="11" t="str">
        <x:v>悲观</x:v>
      </x:c>
      <x:c r="E109" s="11" t="n">
        <x:v>249.42</x:v>
      </x:c>
      <x:c r="F109" s="11" t="n">
        <x:v>31.484407114624496</x:v>
      </x:c>
      <x:c r="G109" s="11" t="n">
        <x:v>0</x:v>
      </x:c>
      <x:c r="H109" s="25" t="n">
        <x:v>-0.8737695168205256</x:v>
      </x:c>
      <x:c r="I109" s="25" t="n">
        <x:v>-0.8737695168205256</x:v>
      </x:c>
      <x:c r="J109" s="25" t="n">
        <x:v>-0.33895222328245767</x:v>
      </x:c>
      <x:c r="K109" s="11" t="n">
        <x:v>0.22510869565217387</x:v>
      </x:c>
      <x:c r="L109" s="11" t="n">
        <x:v>19</x:v>
      </x:c>
      <x:c r="M109" s="11" t="n">
        <x:v>7.090909090909091</x:v>
      </x:c>
      <x:c r="N109" s="11" t="n">
        <x:v>0</x:v>
      </x:c>
      <x:c r="O109" s="11" t="str"/>
      <x:c r="P109" s="11" t="n">
        <x:v>0.05379220779220779</x:v>
      </x:c>
      <x:c r="Q109" s="11" t="n">
        <x:v>1.84</x:v>
      </x:c>
      <x:c r="R109" s="11" t="str">
        <x:v>beone-v1-operating-profit-AH-royalty-excluded</x:v>
      </x:c>
      <x:c r="S109" s="11" t="str">
        <x:v>2026-10-10</x:v>
      </x:c>
      <x:c r="T109" s="11" t="str">
        <x:f>IF(AND(SUM(IF(K109='假设'!E144,0,1),IF(L109='假设'!F144,0,1),IF(M109='假设'!G144,0,1),IF(N109='假设'!H144,0,1),IF(O109='假设'!I144,0,1),IF(P109='假设'!J144,0,1),IF(Q109='假设'!K144,0,1))=0,U109=V109),"已刷新","待刷新")</x:f>
        <x:v>已刷新</x:v>
      </x:c>
      <x:c r="U109" t="str">
        <x:v>4.7|0.9|0.6|0.3|0.25|0.95|0.85|3.1|2.9|0.24|1.84|0.3|1</x:v>
      </x:c>
      <x:c r="V109" t="str">
        <x:f>'产品经营假设'!D24&amp;"|"&amp;'产品经营假设'!E24&amp;"|"&amp;'产品经营假设'!F24&amp;"|"&amp;'产品经营假设'!G24&amp;"|"&amp;'产品经营假设'!H24&amp;"|"&amp;'产品经营假设'!I24&amp;"|"&amp;'产品经营假设'!J24&amp;"|"&amp;'产品经营假设'!K24&amp;"|"&amp;'产品经营假设'!L24&amp;"|"&amp;'产品经营假设'!M24&amp;"|"&amp;'产品经营假设'!N24&amp;"|"&amp;'假设'!R144&amp;"|"&amp;'假设'!S144</x:f>
        <x:v>4.7|0.9|0.6|0.3|0.25|0.95|0.85|3.1|2.9|0.24|1.84|0.3|1</x:v>
      </x:c>
    </x:row>
    <x:row r="110" ht="23" customHeight="1">
      <x:c r="A110" s="11" t="str">
        <x:v>688235.SH</x:v>
      </x:c>
      <x:c r="B110" s="11" t="str">
        <x:v>百济神州</x:v>
      </x:c>
      <x:c r="C110" s="11" t="str">
        <x:v>五年</x:v>
      </x:c>
      <x:c r="D110" s="11" t="str">
        <x:v>基准</x:v>
      </x:c>
      <x:c r="E110" s="11" t="n">
        <x:v>249.42</x:v>
      </x:c>
      <x:c r="F110" s="11" t="n">
        <x:v>594.5215151515151</x:v>
      </x:c>
      <x:c r="G110" s="11" t="n">
        <x:v>0</x:v>
      </x:c>
      <x:c r="H110" s="25" t="n">
        <x:v>1.3836160498416934</x:v>
      </x:c>
      <x:c r="I110" s="25" t="n">
        <x:v>1.3836160498416934</x:v>
      </x:c>
      <x:c r="J110" s="25" t="n">
        <x:v>0.18972684250747096</x:v>
      </x:c>
      <x:c r="K110" s="11" t="n">
        <x:v>2.9358333333333335</x:v>
      </x:c>
      <x:c r="L110" s="11" t="n">
        <x:v>26</x:v>
      </x:c>
      <x:c r="M110" s="11" t="n">
        <x:v>7.090909090909091</x:v>
      </x:c>
      <x:c r="N110" s="11" t="n">
        <x:v>0</x:v>
      </x:c>
      <x:c r="O110" s="11" t="str"/>
      <x:c r="P110" s="11" t="n">
        <x:v>0.3019714285714286</x:v>
      </x:c>
      <x:c r="Q110" s="11" t="n">
        <x:v>1.8</x:v>
      </x:c>
      <x:c r="R110" s="11" t="str">
        <x:v>beone-v1-operating-profit-AH-royalty-excluded</x:v>
      </x:c>
      <x:c r="S110" s="11" t="str">
        <x:v>2026-10-10</x:v>
      </x:c>
      <x:c r="T110" s="11" t="str">
        <x:f>IF(AND(SUM(IF(K110='假设'!E145,0,1),IF(L110='假设'!F145,0,1),IF(M110='假设'!G145,0,1),IF(N110='假设'!H145,0,1),IF(O110='假设'!I145,0,1),IF(P110='假设'!J145,0,1),IF(Q110='假设'!K145,0,1))=0,U110=V110),"已刷新","待刷新")</x:f>
        <x:v>已刷新</x:v>
      </x:c>
      <x:c r="U110" t="str">
        <x:v>8.3|2.1|2.8|1.8|1.4|1.1|0.89|4.4|4.4|0.22|1.8|13|1.04</x:v>
      </x:c>
      <x:c r="V110" t="str">
        <x:f>'产品经营假设'!D25&amp;"|"&amp;'产品经营假设'!E25&amp;"|"&amp;'产品经营假设'!F25&amp;"|"&amp;'产品经营假设'!G25&amp;"|"&amp;'产品经营假设'!H25&amp;"|"&amp;'产品经营假设'!I25&amp;"|"&amp;'产品经营假设'!J25&amp;"|"&amp;'产品经营假设'!K25&amp;"|"&amp;'产品经营假设'!L25&amp;"|"&amp;'产品经营假设'!M25&amp;"|"&amp;'产品经营假设'!N25&amp;"|"&amp;'假设'!R145&amp;"|"&amp;'假设'!S145</x:f>
        <x:v>8.3|2.1|2.8|1.8|1.4|1.1|0.89|4.4|4.4|0.22|1.8|13|1.04</x:v>
      </x:c>
    </x:row>
    <x:row r="111" ht="23" customHeight="1">
      <x:c r="A111" s="11" t="str">
        <x:v>688235.SH</x:v>
      </x:c>
      <x:c r="B111" s="11" t="str">
        <x:v>百济神州</x:v>
      </x:c>
      <x:c r="C111" s="11" t="str">
        <x:v>五年</x:v>
      </x:c>
      <x:c r="D111" s="11" t="str">
        <x:v>乐观</x:v>
      </x:c>
      <x:c r="E111" s="11" t="n">
        <x:v>249.42</x:v>
      </x:c>
      <x:c r="F111" s="11" t="n">
        <x:v>1274.5593086631018</x:v>
      </x:c>
      <x:c r="G111" s="11" t="n">
        <x:v>0</x:v>
      </x:c>
      <x:c r="H111" s="25" t="n">
        <x:v>4.110092649599478</x:v>
      </x:c>
      <x:c r="I111" s="25" t="n">
        <x:v>4.110092649599478</x:v>
      </x:c>
      <x:c r="J111" s="25" t="n">
        <x:v>0.38575276831538563</x:v>
      </x:c>
      <x:c r="K111" s="11" t="n">
        <x:v>5.2724705882352945</x:v>
      </x:c>
      <x:c r="L111" s="11" t="n">
        <x:v>31.32</x:v>
      </x:c>
      <x:c r="M111" s="11" t="n">
        <x:v>7.090909090909091</x:v>
      </x:c>
      <x:c r="N111" s="11" t="n">
        <x:v>0</x:v>
      </x:c>
      <x:c r="O111" s="11" t="str"/>
      <x:c r="P111" s="11" t="n">
        <x:v>0.367344262295082</x:v>
      </x:c>
      <x:c r="Q111" s="11" t="n">
        <x:v>1.7</x:v>
      </x:c>
      <x:c r="R111" s="11" t="str">
        <x:v>beone-v1-operating-profit-AH-royalty-excluded</x:v>
      </x:c>
      <x:c r="S111" s="11" t="str">
        <x:v>2026-10-10</x:v>
      </x:c>
      <x:c r="T111" s="11" t="str">
        <x:f>IF(AND(SUM(IF(K111='假设'!E146,0,1),IF(L111='假设'!F146,0,1),IF(M111='假设'!G146,0,1),IF(N111='假设'!H146,0,1),IF(O111='假设'!I146,0,1),IF(P111='假设'!J146,0,1),IF(Q111='假设'!K146,0,1))=0,U111=V111),"已刷新","待刷新")</x:f>
        <x:v>已刷新</x:v>
      </x:c>
      <x:c r="U111" t="str">
        <x:v>10|2.6|4.3|3|3.2|1.3|0.91|5.5|5.5|0.2|1.7|23|1.08</x:v>
      </x:c>
      <x:c r="V111" t="str">
        <x:f>'产品经营假设'!D26&amp;"|"&amp;'产品经营假设'!E26&amp;"|"&amp;'产品经营假设'!F26&amp;"|"&amp;'产品经营假设'!G26&amp;"|"&amp;'产品经营假设'!H26&amp;"|"&amp;'产品经营假设'!I26&amp;"|"&amp;'产品经营假设'!J26&amp;"|"&amp;'产品经营假设'!K26&amp;"|"&amp;'产品经营假设'!L26&amp;"|"&amp;'产品经营假设'!M26&amp;"|"&amp;'产品经营假设'!N26&amp;"|"&amp;'假设'!R146&amp;"|"&amp;'假设'!S146</x:f>
        <x:v>10|2.6|4.3|3|3.2|1.3|0.91|5.5|5.5|0.2|1.7|23|1.08</x:v>
      </x:c>
    </x:row>
    <x:row r="112" ht="23" customHeight="1">
      <x:c r="A112" s="11" t="str">
        <x:v>06160.HK</x:v>
      </x:c>
      <x:c r="B112" s="11" t="str">
        <x:v>百济神州</x:v>
      </x:c>
      <x:c r="C112" s="11" t="str">
        <x:v>2026年底</x:v>
      </x:c>
      <x:c r="D112" s="11" t="str">
        <x:v>悲观</x:v>
      </x:c>
      <x:c r="E112" s="11" t="n">
        <x:v>209.6</x:v>
      </x:c>
      <x:c r="F112" s="11" t="n">
        <x:v>87.31000000000009</x:v>
      </x:c>
      <x:c r="G112" s="11" t="n">
        <x:v>0</x:v>
      </x:c>
      <x:c r="H112" s="25" t="n">
        <x:v>-0.5834446564885492</x:v>
      </x:c>
      <x:c r="I112" s="25" t="n">
        <x:v>-0.5834446564885492</x:v>
      </x:c>
      <x:c r="J112" s="25" t="str"/>
      <x:c r="K112" s="11" t="n">
        <x:v>0.40800000000000036</x:v>
      </x:c>
      <x:c r="L112" s="11" t="n">
        <x:v>25</x:v>
      </x:c>
      <x:c r="M112" s="11" t="n">
        <x:v>7.8</x:v>
      </x:c>
      <x:c r="N112" s="11" t="n">
        <x:v>0</x:v>
      </x:c>
      <x:c r="O112" s="11" t="n">
        <x:v>0</x:v>
      </x:c>
      <x:c r="P112" s="11" t="n">
        <x:v>0.09360000000000007</x:v>
      </x:c>
      <x:c r="Q112" s="11" t="n">
        <x:v>1.56</x:v>
      </x:c>
      <x:c r="R112" s="11" t="str">
        <x:v>beone-v1-operating-profit-AH-royalty-excluded</x:v>
      </x:c>
      <x:c r="S112" s="11" t="str">
        <x:v>2026-10-10</x:v>
      </x:c>
      <x:c r="T112" s="11" t="str">
        <x:f>IF(AND(SUM(IF(K112='假设'!E148,0,1),IF(L112='假设'!F148,0,1),IF(M112='假设'!G148,0,1),IF(N112='假设'!H148,0,1),IF(O112='假设'!I148,0,1),IF(P112='假设'!J148,0,1),IF(Q112='假设'!K148,0,1))=0,U112=V112),"已刷新","待刷新")</x:f>
        <x:v>已刷新</x:v>
      </x:c>
      <x:c r="U112" t="str">
        <x:v>4.9|0.95|0.12|0|0|0.83|0.87|2.55|2.55|0.22|1.56|1.55|1</x:v>
      </x:c>
      <x:c r="V112" t="str">
        <x:f>'产品经营假设'!D8&amp;"|"&amp;'产品经营假设'!E8&amp;"|"&amp;'产品经营假设'!F8&amp;"|"&amp;'产品经营假设'!G8&amp;"|"&amp;'产品经营假设'!H8&amp;"|"&amp;'产品经营假设'!I8&amp;"|"&amp;'产品经营假设'!J8&amp;"|"&amp;'产品经营假设'!K8&amp;"|"&amp;'产品经营假设'!L8&amp;"|"&amp;'产品经营假设'!M8&amp;"|"&amp;'产品经营假设'!N8&amp;"|"&amp;'假设'!R148&amp;"|"&amp;'假设'!S148</x:f>
        <x:v>4.9|0.95|0.12|0|0|0.83|0.87|2.55|2.55|0.22|1.56|1.55|1</x:v>
      </x:c>
    </x:row>
    <x:row r="113" ht="23" customHeight="1">
      <x:c r="A113" s="11" t="str">
        <x:v>06160.HK</x:v>
      </x:c>
      <x:c r="B113" s="11" t="str">
        <x:v>百济神州</x:v>
      </x:c>
      <x:c r="C113" s="11" t="str">
        <x:v>2026年底</x:v>
      </x:c>
      <x:c r="D113" s="11" t="str">
        <x:v>基准</x:v>
      </x:c>
      <x:c r="E113" s="11" t="n">
        <x:v>209.6</x:v>
      </x:c>
      <x:c r="F113" s="11" t="n">
        <x:v>247.59144935064924</x:v>
      </x:c>
      <x:c r="G113" s="11" t="n">
        <x:v>0</x:v>
      </x:c>
      <x:c r="H113" s="25" t="n">
        <x:v>0.1812569148408838</x:v>
      </x:c>
      <x:c r="I113" s="25" t="n">
        <x:v>0.1812569148408838</x:v>
      </x:c>
      <x:c r="J113" s="25" t="str"/>
      <x:c r="K113" s="11" t="n">
        <x:v>0.9483246753246749</x:v>
      </x:c>
      <x:c r="L113" s="11" t="n">
        <x:v>32</x:v>
      </x:c>
      <x:c r="M113" s="11" t="n">
        <x:v>7.8</x:v>
      </x:c>
      <x:c r="N113" s="11" t="n">
        <x:v>0</x:v>
      </x:c>
      <x:c r="O113" s="11" t="n">
        <x:v>0</x:v>
      </x:c>
      <x:c r="P113" s="11" t="n">
        <x:v>0.18486329113924047</x:v>
      </x:c>
      <x:c r="Q113" s="11" t="n">
        <x:v>1.54</x:v>
      </x:c>
      <x:c r="R113" s="11" t="str">
        <x:v>beone-v1-operating-profit-AH-royalty-excluded</x:v>
      </x:c>
      <x:c r="S113" s="11" t="str">
        <x:v>2026-10-10</x:v>
      </x:c>
      <x:c r="T113" s="11" t="str">
        <x:f>IF(AND(SUM(IF(K113='假设'!E149,0,1),IF(L113='假设'!F149,0,1),IF(M113='假设'!G149,0,1),IF(N113='假设'!H149,0,1),IF(O113='假设'!I149,0,1),IF(P113='假设'!J149,0,1),IF(Q113='假设'!K149,0,1))=0,U113=V113),"已刷新","待刷新")</x:f>
        <x:v>已刷新</x:v>
      </x:c>
      <x:c r="U113" t="str">
        <x:v>5.55|1.15|0.3|0.05|0|0.85|0.89|2.6|2.65|0.18|1.54|2.15|1</x:v>
      </x:c>
      <x:c r="V113" t="str">
        <x:f>'产品经营假设'!D9&amp;"|"&amp;'产品经营假设'!E9&amp;"|"&amp;'产品经营假设'!F9&amp;"|"&amp;'产品经营假设'!G9&amp;"|"&amp;'产品经营假设'!H9&amp;"|"&amp;'产品经营假设'!I9&amp;"|"&amp;'产品经营假设'!J9&amp;"|"&amp;'产品经营假设'!K9&amp;"|"&amp;'产品经营假设'!L9&amp;"|"&amp;'产品经营假设'!M9&amp;"|"&amp;'产品经营假设'!N9&amp;"|"&amp;'假设'!R149&amp;"|"&amp;'假设'!S149</x:f>
        <x:v>5.55|1.15|0.3|0.05|0|0.85|0.89|2.6|2.65|0.18|1.54|2.15|1</x:v>
      </x:c>
    </x:row>
    <x:row r="114" ht="23" customHeight="1">
      <x:c r="A114" s="11" t="str">
        <x:v>06160.HK</x:v>
      </x:c>
      <x:c r="B114" s="11" t="str">
        <x:v>百济神州</x:v>
      </x:c>
      <x:c r="C114" s="11" t="str">
        <x:v>2026年底</x:v>
      </x:c>
      <x:c r="D114" s="11" t="str">
        <x:v>乐观</x:v>
      </x:c>
      <x:c r="E114" s="11" t="n">
        <x:v>209.6</x:v>
      </x:c>
      <x:c r="F114" s="11" t="n">
        <x:v>439.9964705882352</x:v>
      </x:c>
      <x:c r="G114" s="11" t="n">
        <x:v>0</x:v>
      </x:c>
      <x:c r="H114" s="25" t="n">
        <x:v>1.0992198024247863</x:v>
      </x:c>
      <x:c r="I114" s="25" t="n">
        <x:v>1.0992198024247863</x:v>
      </x:c>
      <x:c r="J114" s="25" t="str"/>
      <x:c r="K114" s="11" t="n">
        <x:v>1.4777777777777776</x:v>
      </x:c>
      <x:c r="L114" s="11" t="n">
        <x:v>37</x:v>
      </x:c>
      <x:c r="M114" s="11" t="n">
        <x:v>7.8</x:v>
      </x:c>
      <x:c r="N114" s="11" t="n">
        <x:v>0</x:v>
      </x:c>
      <x:c r="O114" s="11" t="n">
        <x:v>0</x:v>
      </x:c>
      <x:c r="P114" s="11" t="n">
        <x:v>0.2540449438202247</x:v>
      </x:c>
      <x:c r="Q114" s="11" t="n">
        <x:v>1.53</x:v>
      </x:c>
      <x:c r="R114" s="11" t="str">
        <x:v>beone-v1-operating-profit-AH-royalty-excluded</x:v>
      </x:c>
      <x:c r="S114" s="11" t="str">
        <x:v>2026-10-10</x:v>
      </x:c>
      <x:c r="T114" s="11" t="str">
        <x:f>IF(AND(SUM(IF(K114='假设'!E150,0,1),IF(L114='假设'!F150,0,1),IF(M114='假设'!G150,0,1),IF(N114='假设'!H150,0,1),IF(O114='假设'!I150,0,1),IF(P114='假设'!J150,0,1),IF(Q114='假设'!K150,0,1))=0,U114=V114),"已刷新","待刷新")</x:f>
        <x:v>已刷新</x:v>
      </x:c>
      <x:c r="U114" t="str">
        <x:v>6.05|1.3|0.45|0.12|0.03|0.95|0.9|2.7|2.65|0.15|1.53|2.65|1</x:v>
      </x:c>
      <x:c r="V114" t="str">
        <x:f>'产品经营假设'!D10&amp;"|"&amp;'产品经营假设'!E10&amp;"|"&amp;'产品经营假设'!F10&amp;"|"&amp;'产品经营假设'!G10&amp;"|"&amp;'产品经营假设'!H10&amp;"|"&amp;'产品经营假设'!I10&amp;"|"&amp;'产品经营假设'!J10&amp;"|"&amp;'产品经营假设'!K10&amp;"|"&amp;'产品经营假设'!L10&amp;"|"&amp;'产品经营假设'!M10&amp;"|"&amp;'产品经营假设'!N10&amp;"|"&amp;'假设'!R150&amp;"|"&amp;'假设'!S150</x:f>
        <x:v>6.05|1.3|0.45|0.12|0.03|0.95|0.9|2.7|2.65|0.15|1.53|2.65|1</x:v>
      </x:c>
    </x:row>
    <x:row r="115" ht="23" customHeight="1">
      <x:c r="A115" s="11" t="str">
        <x:v>06160.HK</x:v>
      </x:c>
      <x:c r="B115" s="11" t="str">
        <x:v>百济神州</x:v>
      </x:c>
      <x:c r="C115" s="11" t="str">
        <x:v>半年</x:v>
      </x:c>
      <x:c r="D115" s="11" t="str">
        <x:v>悲观</x:v>
      </x:c>
      <x:c r="E115" s="11" t="n">
        <x:v>209.6</x:v>
      </x:c>
      <x:c r="F115" s="11" t="n">
        <x:v>69.77297468354438</x:v>
      </x:c>
      <x:c r="G115" s="11" t="n">
        <x:v>0</x:v>
      </x:c>
      <x:c r="H115" s="25" t="n">
        <x:v>-0.6671136704029371</x:v>
      </x:c>
      <x:c r="I115" s="25" t="n">
        <x:v>-0.6671136704029371</x:v>
      </x:c>
      <x:c r="J115" s="25" t="str"/>
      <x:c r="K115" s="11" t="n">
        <x:v>0.32236708860759533</x:v>
      </x:c>
      <x:c r="L115" s="11" t="n">
        <x:v>25</x:v>
      </x:c>
      <x:c r="M115" s="11" t="n">
        <x:v>7.8</x:v>
      </x:c>
      <x:c r="N115" s="11" t="n">
        <x:v>0</x:v>
      </x:c>
      <x:c r="O115" s="11" t="n">
        <x:v>0</x:v>
      </x:c>
      <x:c r="P115" s="11" t="n">
        <x:v>0.07381739130434792</x:v>
      </x:c>
      <x:c r="Q115" s="11" t="n">
        <x:v>1.58</x:v>
      </x:c>
      <x:c r="R115" s="11" t="str">
        <x:v>beone-v1-operating-profit-AH-royalty-excluded</x:v>
      </x:c>
      <x:c r="S115" s="11" t="str">
        <x:v>2026-10-10</x:v>
      </x:c>
      <x:c r="T115" s="11" t="str">
        <x:f>IF(AND(SUM(IF(K115='假设'!E152,0,1),IF(L115='假设'!F152,0,1),IF(M115='假设'!G152,0,1),IF(N115='假设'!H152,0,1),IF(O115='假设'!I152,0,1),IF(P115='假设'!J152,0,1),IF(Q115='假设'!K152,0,1))=0,U115=V115),"已刷新","待刷新")</x:f>
        <x:v>已刷新</x:v>
      </x:c>
      <x:c r="U115" t="str">
        <x:v>4.9|0.95|0.15|0|0|0.9|0.87|2.7|2.65|0.22|1.58|1.4|1</x:v>
      </x:c>
      <x:c r="V115" t="str">
        <x:f>'产品经营假设'!D12&amp;"|"&amp;'产品经营假设'!E12&amp;"|"&amp;'产品经营假设'!F12&amp;"|"&amp;'产品经营假设'!G12&amp;"|"&amp;'产品经营假设'!H12&amp;"|"&amp;'产品经营假设'!I12&amp;"|"&amp;'产品经营假设'!J12&amp;"|"&amp;'产品经营假设'!K12&amp;"|"&amp;'产品经营假设'!L12&amp;"|"&amp;'产品经营假设'!M12&amp;"|"&amp;'产品经营假设'!N12&amp;"|"&amp;'假设'!R152&amp;"|"&amp;'假设'!S152</x:f>
        <x:v>4.9|0.95|0.15|0|0|0.9|0.87|2.7|2.65|0.22|1.58|1.4|1</x:v>
      </x:c>
    </x:row>
    <x:row r="116" ht="23" customHeight="1">
      <x:c r="A116" s="11" t="str">
        <x:v>06160.HK</x:v>
      </x:c>
      <x:c r="B116" s="11" t="str">
        <x:v>百济神州</x:v>
      </x:c>
      <x:c r="C116" s="11" t="str">
        <x:v>半年</x:v>
      </x:c>
      <x:c r="D116" s="11" t="str">
        <x:v>基准</x:v>
      </x:c>
      <x:c r="E116" s="11" t="n">
        <x:v>209.6</x:v>
      </x:c>
      <x:c r="F116" s="11" t="n">
        <x:v>280.14799999999985</x:v>
      </x:c>
      <x:c r="G116" s="11" t="n">
        <x:v>0</x:v>
      </x:c>
      <x:c r="H116" s="25" t="n">
        <x:v>0.3365839694656483</x:v>
      </x:c>
      <x:c r="I116" s="25" t="n">
        <x:v>0.3365839694656483</x:v>
      </x:c>
      <x:c r="J116" s="25" t="str"/>
      <x:c r="K116" s="11" t="n">
        <x:v>1.1437948717948712</x:v>
      </x:c>
      <x:c r="L116" s="11" t="n">
        <x:v>30</x:v>
      </x:c>
      <x:c r="M116" s="11" t="n">
        <x:v>7.8</x:v>
      </x:c>
      <x:c r="N116" s="11" t="n">
        <x:v>0</x:v>
      </x:c>
      <x:c r="O116" s="11" t="n">
        <x:v>0</x:v>
      </x:c>
      <x:c r="P116" s="11" t="n">
        <x:v>0.21241904761904756</x:v>
      </x:c>
      <x:c r="Q116" s="11" t="n">
        <x:v>1.56</x:v>
      </x:c>
      <x:c r="R116" s="11" t="str">
        <x:v>beone-v1-operating-profit-AH-royalty-excluded</x:v>
      </x:c>
      <x:c r="S116" s="11" t="str">
        <x:v>2026-10-10</x:v>
      </x:c>
      <x:c r="T116" s="11" t="str">
        <x:f>IF(AND(SUM(IF(K116='假设'!E153,0,1),IF(L116='假设'!F153,0,1),IF(M116='假设'!G153,0,1),IF(N116='假设'!H153,0,1),IF(O116='假设'!I153,0,1),IF(P116='假设'!J153,0,1),IF(Q116='假设'!K153,0,1))=0,U116=V116),"已刷新","待刷新")</x:f>
        <x:v>已刷新</x:v>
      </x:c>
      <x:c r="U116" t="str">
        <x:v>5.8|1.25|0.35|0.1|0|0.9|0.89|2.65|2.65|0.18|1.56|2.5|1</x:v>
      </x:c>
      <x:c r="V116" t="str">
        <x:f>'产品经营假设'!D13&amp;"|"&amp;'产品经营假设'!E13&amp;"|"&amp;'产品经营假设'!F13&amp;"|"&amp;'产品经营假设'!G13&amp;"|"&amp;'产品经营假设'!H13&amp;"|"&amp;'产品经营假设'!I13&amp;"|"&amp;'产品经营假设'!J13&amp;"|"&amp;'产品经营假设'!K13&amp;"|"&amp;'产品经营假设'!L13&amp;"|"&amp;'产品经营假设'!M13&amp;"|"&amp;'产品经营假设'!N13&amp;"|"&amp;'假设'!R153&amp;"|"&amp;'假设'!S153</x:f>
        <x:v>5.8|1.25|0.35|0.1|0|0.9|0.89|2.65|2.65|0.18|1.56|2.5|1</x:v>
      </x:c>
    </x:row>
    <x:row r="117" ht="23" customHeight="1">
      <x:c r="A117" s="11" t="str">
        <x:v>06160.HK</x:v>
      </x:c>
      <x:c r="B117" s="11" t="str">
        <x:v>百济神州</x:v>
      </x:c>
      <x:c r="C117" s="11" t="str">
        <x:v>半年</x:v>
      </x:c>
      <x:c r="D117" s="11" t="str">
        <x:v>乐观</x:v>
      </x:c>
      <x:c r="E117" s="11" t="n">
        <x:v>209.6</x:v>
      </x:c>
      <x:c r="F117" s="11" t="n">
        <x:v>512.3367096774198</x:v>
      </x:c>
      <x:c r="G117" s="11" t="n">
        <x:v>0</x:v>
      </x:c>
      <x:c r="H117" s="25" t="n">
        <x:v>1.4443545309037202</x:v>
      </x:c>
      <x:c r="I117" s="25" t="n">
        <x:v>1.4443545309037202</x:v>
      </x:c>
      <x:c r="J117" s="25" t="str"/>
      <x:c r="K117" s="11" t="n">
        <x:v>1.819548387096776</x:v>
      </x:c>
      <x:c r="L117" s="11" t="n">
        <x:v>35</x:v>
      </x:c>
      <x:c r="M117" s="11" t="n">
        <x:v>7.8</x:v>
      </x:c>
      <x:c r="N117" s="11" t="n">
        <x:v>0</x:v>
      </x:c>
      <x:c r="O117" s="11" t="n">
        <x:v>0</x:v>
      </x:c>
      <x:c r="P117" s="11" t="n">
        <x:v>0.2877857142857145</x:v>
      </x:c>
      <x:c r="Q117" s="11" t="n">
        <x:v>1.55</x:v>
      </x:c>
      <x:c r="R117" s="11" t="str">
        <x:v>beone-v1-operating-profit-AH-royalty-excluded</x:v>
      </x:c>
      <x:c r="S117" s="11" t="str">
        <x:v>2026-10-10</x:v>
      </x:c>
      <x:c r="T117" s="11" t="str">
        <x:f>IF(AND(SUM(IF(K117='假设'!E154,0,1),IF(L117='假设'!F154,0,1),IF(M117='假设'!G154,0,1),IF(N117='假设'!H154,0,1),IF(O117='假设'!I154,0,1),IF(P117='假设'!J154,0,1),IF(Q117='假设'!K154,0,1))=0,U117=V117),"已刷新","待刷新")</x:f>
        <x:v>已刷新</x:v>
      </x:c>
      <x:c r="U117" t="str">
        <x:v>6.4|1.45|0.6|0.25|0.05|1.05|0.91|2.8|2.8|0.15|1.55|3.1|1</x:v>
      </x:c>
      <x:c r="V117" t="str">
        <x:f>'产品经营假设'!D14&amp;"|"&amp;'产品经营假设'!E14&amp;"|"&amp;'产品经营假设'!F14&amp;"|"&amp;'产品经营假设'!G14&amp;"|"&amp;'产品经营假设'!H14&amp;"|"&amp;'产品经营假设'!I14&amp;"|"&amp;'产品经营假设'!J14&amp;"|"&amp;'产品经营假设'!K14&amp;"|"&amp;'产品经营假设'!L14&amp;"|"&amp;'产品经营假设'!M14&amp;"|"&amp;'产品经营假设'!N14&amp;"|"&amp;'假设'!R154&amp;"|"&amp;'假设'!S154</x:f>
        <x:v>6.4|1.45|0.6|0.25|0.05|1.05|0.91|2.8|2.8|0.15|1.55|3.1|1</x:v>
      </x:c>
    </x:row>
    <x:row r="118" ht="23" customHeight="1">
      <x:c r="A118" s="11" t="str">
        <x:v>06160.HK</x:v>
      </x:c>
      <x:c r="B118" s="11" t="str">
        <x:v>百济神州</x:v>
      </x:c>
      <x:c r="C118" s="11" t="str">
        <x:v>一年</x:v>
      </x:c>
      <x:c r="D118" s="11" t="str">
        <x:v>悲观</x:v>
      </x:c>
      <x:c r="E118" s="11" t="n">
        <x:v>209.6</x:v>
      </x:c>
      <x:c r="F118" s="11" t="n">
        <x:v>53.371933333333345</x:v>
      </x:c>
      <x:c r="G118" s="11" t="n">
        <x:v>0</x:v>
      </x:c>
      <x:c r="H118" s="25" t="n">
        <x:v>-0.745362913486005</x:v>
      </x:c>
      <x:c r="I118" s="25" t="n">
        <x:v>-0.745362913486005</x:v>
      </x:c>
      <x:c r="J118" s="25" t="str"/>
      <x:c r="K118" s="11" t="n">
        <x:v>0.26529629629629636</x:v>
      </x:c>
      <x:c r="L118" s="11" t="n">
        <x:v>23</x:v>
      </x:c>
      <x:c r="M118" s="11" t="n">
        <x:v>7.8</x:v>
      </x:c>
      <x:c r="N118" s="11" t="n">
        <x:v>0</x:v>
      </x:c>
      <x:c r="O118" s="11" t="n">
        <x:v>0</x:v>
      </x:c>
      <x:c r="P118" s="11" t="n">
        <x:v>0.05887397260273975</x:v>
      </x:c>
      <x:c r="Q118" s="11" t="n">
        <x:v>1.62</x:v>
      </x:c>
      <x:c r="R118" s="11" t="str">
        <x:v>beone-v1-operating-profit-AH-royalty-excluded</x:v>
      </x:c>
      <x:c r="S118" s="11" t="str">
        <x:v>2026-10-10</x:v>
      </x:c>
      <x:c r="T118" s="11" t="str">
        <x:f>IF(AND(SUM(IF(K118='假设'!E156,0,1),IF(L118='假设'!F156,0,1),IF(M118='假设'!G156,0,1),IF(N118='假设'!H156,0,1),IF(O118='假设'!I156,0,1),IF(P118='假设'!J156,0,1),IF(Q118='假设'!K156,0,1))=0,U118=V118),"已刷新","待刷新")</x:f>
        <x:v>已刷新</x:v>
      </x:c>
      <x:c r="U118" t="str">
        <x:v>5.1|1|0.25|0.05|0|0.9|0.87|2.9|2.9|0.22|1.62|1.2|1</x:v>
      </x:c>
      <x:c r="V118" t="str">
        <x:f>'产品经营假设'!D16&amp;"|"&amp;'产品经营假设'!E16&amp;"|"&amp;'产品经营假设'!F16&amp;"|"&amp;'产品经营假设'!G16&amp;"|"&amp;'产品经营假设'!H16&amp;"|"&amp;'产品经营假设'!I16&amp;"|"&amp;'产品经营假设'!J16&amp;"|"&amp;'产品经营假设'!K16&amp;"|"&amp;'产品经营假设'!L16&amp;"|"&amp;'产品经营假设'!M16&amp;"|"&amp;'产品经营假设'!N16&amp;"|"&amp;'假设'!R156&amp;"|"&amp;'假设'!S156</x:f>
        <x:v>5.1|1|0.25|0.05|0|0.9|0.87|2.9|2.9|0.22|1.62|1.2|1</x:v>
      </x:c>
    </x:row>
    <x:row r="119" ht="23" customHeight="1">
      <x:c r="A119" s="11" t="str">
        <x:v>06160.HK</x:v>
      </x:c>
      <x:c r="B119" s="11" t="str">
        <x:v>百济神州</x:v>
      </x:c>
      <x:c r="C119" s="11" t="str">
        <x:v>一年</x:v>
      </x:c>
      <x:c r="D119" s="11" t="str">
        <x:v>基准</x:v>
      </x:c>
      <x:c r="E119" s="11" t="n">
        <x:v>209.6</x:v>
      </x:c>
      <x:c r="F119" s="11" t="n">
        <x:v>393.05564999999984</x:v>
      </x:c>
      <x:c r="G119" s="11" t="n">
        <x:v>0</x:v>
      </x:c>
      <x:c r="H119" s="25" t="n">
        <x:v>0.8752655057251901</x:v>
      </x:c>
      <x:c r="I119" s="25" t="n">
        <x:v>0.8752655057251901</x:v>
      </x:c>
      <x:c r="J119" s="25" t="str"/>
      <x:c r="K119" s="11" t="n">
        <x:v>1.6557499999999994</x:v>
      </x:c>
      <x:c r="L119" s="11" t="n">
        <x:v>29</x:v>
      </x:c>
      <x:c r="M119" s="11" t="n">
        <x:v>7.8</x:v>
      </x:c>
      <x:c r="N119" s="11" t="n">
        <x:v>0</x:v>
      </x:c>
      <x:c r="O119" s="11" t="n">
        <x:v>0</x:v>
      </x:c>
      <x:c r="P119" s="11" t="n">
        <x:v>0.25596135265700476</x:v>
      </x:c>
      <x:c r="Q119" s="11" t="n">
        <x:v>1.6</x:v>
      </x:c>
      <x:c r="R119" s="11" t="str">
        <x:v>beone-v1-operating-profit-AH-royalty-excluded</x:v>
      </x:c>
      <x:c r="S119" s="11" t="str">
        <x:v>2026-10-10</x:v>
      </x:c>
      <x:c r="T119" s="11" t="str">
        <x:f>IF(AND(SUM(IF(K119='假设'!E157,0,1),IF(L119='假设'!F157,0,1),IF(M119='假设'!G157,0,1),IF(N119='假设'!H157,0,1),IF(O119='假设'!I157,0,1),IF(P119='假设'!J157,0,1),IF(Q119='假设'!K157,0,1))=0,U119=V119),"已刷新","待刷新")</x:f>
        <x:v>待刷新</x:v>
      </x:c>
      <x:c r="U119" t="str">
        <x:v>6.75|1.5|0.75|0.35|0.05|0.95|0.89|2.95|2.95|0.2|1.6|3.8|1</x:v>
      </x:c>
      <x:c r="V119" t="str">
        <x:f>'产品经营假设'!D17&amp;"|"&amp;'产品经营假设'!E17&amp;"|"&amp;'产品经营假设'!F17&amp;"|"&amp;'产品经营假设'!G17&amp;"|"&amp;'产品经营假设'!H17&amp;"|"&amp;'产品经营假设'!I17&amp;"|"&amp;'产品经营假设'!J17&amp;"|"&amp;'产品经营假设'!K17&amp;"|"&amp;'产品经营假设'!L17&amp;"|"&amp;'产品经营假设'!M17&amp;"|"&amp;'产品经营假设'!N17&amp;"|"&amp;'假设'!R157&amp;"|"&amp;'假设'!S157</x:f>
        <x:v>7.75|1.5|0.75|0.35|0.05|0.95|0.89|2.95|2.95|0.2|1.6|3.8|1</x:v>
      </x:c>
    </x:row>
    <x:row r="120" ht="23" customHeight="1">
      <x:c r="A120" s="11" t="str">
        <x:v>06160.HK</x:v>
      </x:c>
      <x:c r="B120" s="11" t="str">
        <x:v>百济神州</x:v>
      </x:c>
      <x:c r="C120" s="11" t="str">
        <x:v>一年</x:v>
      </x:c>
      <x:c r="D120" s="11" t="str">
        <x:v>乐观</x:v>
      </x:c>
      <x:c r="E120" s="11" t="n">
        <x:v>209.6</x:v>
      </x:c>
      <x:c r="F120" s="11" t="n">
        <x:v>780.7481541401276</x:v>
      </x:c>
      <x:c r="G120" s="11" t="n">
        <x:v>0</x:v>
      </x:c>
      <x:c r="H120" s="25" t="n">
        <x:v>2.724943483492975</x:v>
      </x:c>
      <x:c r="I120" s="25" t="n">
        <x:v>2.724943483492975</x:v>
      </x:c>
      <x:c r="J120" s="25" t="str"/>
      <x:c r="K120" s="11" t="n">
        <x:v>2.8465828025477715</x:v>
      </x:c>
      <x:c r="L120" s="11" t="n">
        <x:v>34</x:v>
      </x:c>
      <x:c r="M120" s="11" t="n">
        <x:v>7.8</x:v>
      </x:c>
      <x:c r="N120" s="11" t="n">
        <x:v>0</x:v>
      </x:c>
      <x:c r="O120" s="11" t="n">
        <x:v>0</x:v>
      </x:c>
      <x:c r="P120" s="11" t="n">
        <x:v>0.3451069498069499</x:v>
      </x:c>
      <x:c r="Q120" s="11" t="n">
        <x:v>1.57</x:v>
      </x:c>
      <x:c r="R120" s="11" t="str">
        <x:v>beone-v1-operating-profit-AH-royalty-excluded</x:v>
      </x:c>
      <x:c r="S120" s="11" t="str">
        <x:v>2026-10-10</x:v>
      </x:c>
      <x:c r="T120" s="11" t="str">
        <x:f>IF(AND(SUM(IF(K120='假设'!E158,0,1),IF(L120='假设'!F158,0,1),IF(M120='假设'!G158,0,1),IF(N120='假设'!H158,0,1),IF(O120='假设'!I158,0,1),IF(P120='假设'!J158,0,1),IF(Q120='假设'!K158,0,1))=0,U120=V120),"已刷新","待刷新")</x:f>
        <x:v>已刷新</x:v>
      </x:c>
      <x:c r="U120" t="str">
        <x:v>7.7|1.8|1.25|0.8|0.25|1.15|0.91|3.2|3.2|0.17|1.57|5.2|1</x:v>
      </x:c>
      <x:c r="V120" t="str">
        <x:f>'产品经营假设'!D18&amp;"|"&amp;'产品经营假设'!E18&amp;"|"&amp;'产品经营假设'!F18&amp;"|"&amp;'产品经营假设'!G18&amp;"|"&amp;'产品经营假设'!H18&amp;"|"&amp;'产品经营假设'!I18&amp;"|"&amp;'产品经营假设'!J18&amp;"|"&amp;'产品经营假设'!K18&amp;"|"&amp;'产品经营假设'!L18&amp;"|"&amp;'产品经营假设'!M18&amp;"|"&amp;'产品经营假设'!N18&amp;"|"&amp;'假设'!R158&amp;"|"&amp;'假设'!S158</x:f>
        <x:v>7.7|1.8|1.25|0.8|0.25|1.15|0.91|3.2|3.2|0.17|1.57|5.2|1</x:v>
      </x:c>
    </x:row>
    <x:row r="121" ht="23" customHeight="1">
      <x:c r="A121" s="11" t="str">
        <x:v>06160.HK</x:v>
      </x:c>
      <x:c r="B121" s="11" t="str">
        <x:v>百济神州</x:v>
      </x:c>
      <x:c r="C121" s="11" t="str">
        <x:v>三年</x:v>
      </x:c>
      <x:c r="D121" s="11" t="str">
        <x:v>悲观</x:v>
      </x:c>
      <x:c r="E121" s="11" t="n">
        <x:v>209.6</x:v>
      </x:c>
      <x:c r="F121" s="11" t="n">
        <x:v>57.59810232558144</x:v>
      </x:c>
      <x:c r="G121" s="11" t="n">
        <x:v>0</x:v>
      </x:c>
      <x:c r="H121" s="25" t="n">
        <x:v>-0.7251998934848214</x:v>
      </x:c>
      <x:c r="I121" s="25" t="n">
        <x:v>-0.7251998934848214</x:v>
      </x:c>
      <x:c r="J121" s="25" t="n">
        <x:v>-0.34986187825547</x:v>
      </x:c>
      <x:c r="K121" s="11" t="n">
        <x:v>0.32948837209302356</x:v>
      </x:c>
      <x:c r="L121" s="11" t="n">
        <x:v>21</x:v>
      </x:c>
      <x:c r="M121" s="11" t="n">
        <x:v>7.8</x:v>
      </x:c>
      <x:c r="N121" s="11" t="n">
        <x:v>0</x:v>
      </x:c>
      <x:c r="O121" s="11" t="n">
        <x:v>0</x:v>
      </x:c>
      <x:c r="P121" s="11" t="n">
        <x:v>0.07456842105263164</x:v>
      </x:c>
      <x:c r="Q121" s="11" t="n">
        <x:v>1.72</x:v>
      </x:c>
      <x:c r="R121" s="11" t="str">
        <x:v>beone-v1-operating-profit-AH-royalty-excluded</x:v>
      </x:c>
      <x:c r="S121" s="11" t="str">
        <x:v>2026-10-10</x:v>
      </x:c>
      <x:c r="T121" s="11" t="str">
        <x:f>IF(AND(SUM(IF(K121='假设'!E160,0,1),IF(L121='假设'!F160,0,1),IF(M121='假设'!G160,0,1),IF(N121='假设'!H160,0,1),IF(O121='假设'!I160,0,1),IF(P121='假设'!J160,0,1),IF(Q121='假设'!K160,0,1))=0,U121=V121),"已刷新","待刷新")</x:f>
        <x:v>已刷新</x:v>
      </x:c>
      <x:c r="U121" t="str">
        <x:v>5|1|0.4|0.15|0.1|0.95|0.86|3|2.8|0.23|1.72|0.8|1</x:v>
      </x:c>
      <x:c r="V121" t="str">
        <x:f>'产品经营假设'!D20&amp;"|"&amp;'产品经营假设'!E20&amp;"|"&amp;'产品经营假设'!F20&amp;"|"&amp;'产品经营假设'!G20&amp;"|"&amp;'产品经营假设'!H20&amp;"|"&amp;'产品经营假设'!I20&amp;"|"&amp;'产品经营假设'!J20&amp;"|"&amp;'产品经营假设'!K20&amp;"|"&amp;'产品经营假设'!L20&amp;"|"&amp;'产品经营假设'!M20&amp;"|"&amp;'产品经营假设'!N20&amp;"|"&amp;'假设'!R160&amp;"|"&amp;'假设'!S160</x:f>
        <x:v>5|1|0.4|0.15|0.1|0.95|0.86|3|2.8|0.23|1.72|0.8|1</x:v>
      </x:c>
    </x:row>
    <x:row r="122" ht="23" customHeight="1">
      <x:c r="A122" s="11" t="str">
        <x:v>06160.HK</x:v>
      </x:c>
      <x:c r="B122" s="11" t="str">
        <x:v>百济神州</x:v>
      </x:c>
      <x:c r="C122" s="11" t="str">
        <x:v>三年</x:v>
      </x:c>
      <x:c r="D122" s="11" t="str">
        <x:v>基准</x:v>
      </x:c>
      <x:c r="E122" s="11" t="n">
        <x:v>209.6</x:v>
      </x:c>
      <x:c r="F122" s="11" t="n">
        <x:v>502.84733571428586</x:v>
      </x:c>
      <x:c r="G122" s="11" t="n">
        <x:v>0</x:v>
      </x:c>
      <x:c r="H122" s="25" t="n">
        <x:v>1.3990808001635777</x:v>
      </x:c>
      <x:c r="I122" s="25" t="n">
        <x:v>1.3990808001635777</x:v>
      </x:c>
      <x:c r="J122" s="25" t="n">
        <x:v>0.33869494982165493</x:v>
      </x:c>
      <x:c r="K122" s="11" t="n">
        <x:v>2.222345238095239</x:v>
      </x:c>
      <x:c r="L122" s="11" t="n">
        <x:v>27</x:v>
      </x:c>
      <x:c r="M122" s="11" t="n">
        <x:v>7.8</x:v>
      </x:c>
      <x:c r="N122" s="11" t="n">
        <x:v>0</x:v>
      </x:c>
      <x:c r="O122" s="11" t="n">
        <x:v>0</x:v>
      </x:c>
      <x:c r="P122" s="11" t="n">
        <x:v>0.2786223880597016</x:v>
      </x:c>
      <x:c r="Q122" s="11" t="n">
        <x:v>1.68</x:v>
      </x:c>
      <x:c r="R122" s="11" t="str">
        <x:v>beone-v1-operating-profit-AH-royalty-excluded</x:v>
      </x:c>
      <x:c r="S122" s="11" t="str">
        <x:v>2026-10-10</x:v>
      </x:c>
      <x:c r="T122" s="11" t="str">
        <x:f>IF(AND(SUM(IF(K122='假设'!E161,0,1),IF(L122='假设'!F161,0,1),IF(M122='假设'!G161,0,1),IF(N122='假设'!H161,0,1),IF(O122='假设'!I161,0,1),IF(P122='假设'!J161,0,1),IF(Q122='假设'!K161,0,1))=0,U122=V122),"已刷新","待刷新")</x:f>
        <x:v>已刷新</x:v>
      </x:c>
      <x:c r="U122" t="str">
        <x:v>7.5|1.8|1.6|1|0.5|1|0.89|3.6|3.6|0.21|1.68|7.5|1</x:v>
      </x:c>
      <x:c r="V122" t="str">
        <x:f>'产品经营假设'!D21&amp;"|"&amp;'产品经营假设'!E21&amp;"|"&amp;'产品经营假设'!F21&amp;"|"&amp;'产品经营假设'!G21&amp;"|"&amp;'产品经营假设'!H21&amp;"|"&amp;'产品经营假设'!I21&amp;"|"&amp;'产品经营假设'!J21&amp;"|"&amp;'产品经营假设'!K21&amp;"|"&amp;'产品经营假设'!L21&amp;"|"&amp;'产品经营假设'!M21&amp;"|"&amp;'产品经营假设'!N21&amp;"|"&amp;'假设'!R161&amp;"|"&amp;'假设'!S161</x:f>
        <x:v>7.5|1.8|1.6|1|0.5|1|0.89|3.6|3.6|0.21|1.68|7.5|1</x:v>
      </x:c>
    </x:row>
    <x:row r="123" ht="23" customHeight="1">
      <x:c r="A123" s="11" t="str">
        <x:v>06160.HK</x:v>
      </x:c>
      <x:c r="B123" s="11" t="str">
        <x:v>百济神州</x:v>
      </x:c>
      <x:c r="C123" s="11" t="str">
        <x:v>三年</x:v>
      </x:c>
      <x:c r="D123" s="11" t="str">
        <x:v>乐观</x:v>
      </x:c>
      <x:c r="E123" s="11" t="n">
        <x:v>209.6</x:v>
      </x:c>
      <x:c r="F123" s="11" t="n">
        <x:v>1088.9709037037042</x:v>
      </x:c>
      <x:c r="G123" s="11" t="n">
        <x:v>0</x:v>
      </x:c>
      <x:c r="H123" s="25" t="n">
        <x:v>4.195471868815383</x:v>
      </x:c>
      <x:c r="I123" s="25" t="n">
        <x:v>4.195471868815383</x:v>
      </x:c>
      <x:c r="J123" s="25" t="n">
        <x:v>0.7319751871683517</x:v>
      </x:c>
      <x:c r="K123" s="11" t="n">
        <x:v>4.131382716049385</x:v>
      </x:c>
      <x:c r="L123" s="11" t="n">
        <x:v>32</x:v>
      </x:c>
      <x:c r="M123" s="11" t="n">
        <x:v>7.8</x:v>
      </x:c>
      <x:c r="N123" s="11" t="n">
        <x:v>0</x:v>
      </x:c>
      <x:c r="O123" s="11" t="n">
        <x:v>0</x:v>
      </x:c>
      <x:c r="P123" s="11" t="n">
        <x:v>0.36773846153846174</x:v>
      </x:c>
      <x:c r="Q123" s="11" t="n">
        <x:v>1.62</x:v>
      </x:c>
      <x:c r="R123" s="11" t="str">
        <x:v>beone-v1-operating-profit-AH-royalty-excluded</x:v>
      </x:c>
      <x:c r="S123" s="11" t="str">
        <x:v>2026-10-10</x:v>
      </x:c>
      <x:c r="T123" s="11" t="str">
        <x:f>IF(AND(SUM(IF(K123='假设'!E162,0,1),IF(L123='假设'!F162,0,1),IF(M123='假设'!G162,0,1),IF(N123='假设'!H162,0,1),IF(O123='假设'!I162,0,1),IF(P123='假设'!J162,0,1),IF(Q123='假设'!K162,0,1))=0,U123=V123),"已刷新","待刷新")</x:f>
        <x:v>已刷新</x:v>
      </x:c>
      <x:c r="U123" t="str">
        <x:v>9|2.2|2.7|1.8|1.3|1.2|0.91|4.2|4.2|0.18|1.62|12|1</x:v>
      </x:c>
      <x:c r="V123" t="str">
        <x:f>'产品经营假设'!D22&amp;"|"&amp;'产品经营假设'!E22&amp;"|"&amp;'产品经营假设'!F22&amp;"|"&amp;'产品经营假设'!G22&amp;"|"&amp;'产品经营假设'!H22&amp;"|"&amp;'产品经营假设'!I22&amp;"|"&amp;'产品经营假设'!J22&amp;"|"&amp;'产品经营假设'!K22&amp;"|"&amp;'产品经营假设'!L22&amp;"|"&amp;'产品经营假设'!M22&amp;"|"&amp;'产品经营假设'!N22&amp;"|"&amp;'假设'!R162&amp;"|"&amp;'假设'!S162</x:f>
        <x:v>9|2.2|2.7|1.8|1.3|1.2|0.91|4.2|4.2|0.18|1.62|12|1</x:v>
      </x:c>
    </x:row>
    <x:row r="124" ht="23" customHeight="1">
      <x:c r="A124" s="11" t="str">
        <x:v>06160.HK</x:v>
      </x:c>
      <x:c r="B124" s="11" t="str">
        <x:v>百济神州</x:v>
      </x:c>
      <x:c r="C124" s="11" t="str">
        <x:v>五年</x:v>
      </x:c>
      <x:c r="D124" s="11" t="str">
        <x:v>悲观</x:v>
      </x:c>
      <x:c r="E124" s="11" t="n">
        <x:v>209.6</x:v>
      </x:c>
      <x:c r="F124" s="11" t="n">
        <x:v>34.632847826086945</x:v>
      </x:c>
      <x:c r="G124" s="11" t="n">
        <x:v>0</x:v>
      </x:c>
      <x:c r="H124" s="25" t="n">
        <x:v>-0.8347669473946233</x:v>
      </x:c>
      <x:c r="I124" s="25" t="n">
        <x:v>-0.8347669473946233</x:v>
      </x:c>
      <x:c r="J124" s="25" t="n">
        <x:v>-0.30237925720679737</x:v>
      </x:c>
      <x:c r="K124" s="11" t="n">
        <x:v>0.22510869565217387</x:v>
      </x:c>
      <x:c r="L124" s="11" t="n">
        <x:v>19</x:v>
      </x:c>
      <x:c r="M124" s="11" t="n">
        <x:v>7.8</x:v>
      </x:c>
      <x:c r="N124" s="11" t="n">
        <x:v>0</x:v>
      </x:c>
      <x:c r="O124" s="11" t="n">
        <x:v>0</x:v>
      </x:c>
      <x:c r="P124" s="11" t="n">
        <x:v>0.05379220779220779</x:v>
      </x:c>
      <x:c r="Q124" s="11" t="n">
        <x:v>1.84</x:v>
      </x:c>
      <x:c r="R124" s="11" t="str">
        <x:v>beone-v1-operating-profit-AH-royalty-excluded</x:v>
      </x:c>
      <x:c r="S124" s="11" t="str">
        <x:v>2026-10-10</x:v>
      </x:c>
      <x:c r="T124" s="11" t="str">
        <x:f>IF(AND(SUM(IF(K124='假设'!E164,0,1),IF(L124='假设'!F164,0,1),IF(M124='假设'!G164,0,1),IF(N124='假设'!H164,0,1),IF(O124='假设'!I164,0,1),IF(P124='假设'!J164,0,1),IF(Q124='假设'!K164,0,1))=0,U124=V124),"已刷新","待刷新")</x:f>
        <x:v>已刷新</x:v>
      </x:c>
      <x:c r="U124" t="str">
        <x:v>4.7|0.9|0.6|0.3|0.25|0.95|0.85|3.1|2.9|0.24|1.84|0.3|1</x:v>
      </x:c>
      <x:c r="V124" t="str">
        <x:f>'产品经营假设'!D24&amp;"|"&amp;'产品经营假设'!E24&amp;"|"&amp;'产品经营假设'!F24&amp;"|"&amp;'产品经营假设'!G24&amp;"|"&amp;'产品经营假设'!H24&amp;"|"&amp;'产品经营假设'!I24&amp;"|"&amp;'产品经营假设'!J24&amp;"|"&amp;'产品经营假设'!K24&amp;"|"&amp;'产品经营假设'!L24&amp;"|"&amp;'产品经营假设'!M24&amp;"|"&amp;'产品经营假设'!N24&amp;"|"&amp;'假设'!R164&amp;"|"&amp;'假设'!S164</x:f>
        <x:v>4.7|0.9|0.6|0.3|0.25|0.95|0.85|3.1|2.9|0.24|1.84|0.3|1</x:v>
      </x:c>
    </x:row>
    <x:row r="125" ht="23" customHeight="1">
      <x:c r="A125" s="11" t="str">
        <x:v>06160.HK</x:v>
      </x:c>
      <x:c r="B125" s="11" t="str">
        <x:v>百济神州</x:v>
      </x:c>
      <x:c r="C125" s="11" t="str">
        <x:v>五年</x:v>
      </x:c>
      <x:c r="D125" s="11" t="str">
        <x:v>基准</x:v>
      </x:c>
      <x:c r="E125" s="11" t="n">
        <x:v>209.6</x:v>
      </x:c>
      <x:c r="F125" s="11" t="n">
        <x:v>628.8208333333334</x:v>
      </x:c>
      <x:c r="G125" s="11" t="n">
        <x:v>0</x:v>
      </x:c>
      <x:c r="H125" s="25" t="n">
        <x:v>2.000099395674301</x:v>
      </x:c>
      <x:c r="I125" s="25" t="n">
        <x:v>2.000099395674301</x:v>
      </x:c>
      <x:c r="J125" s="25" t="n">
        <x:v>0.24573919419057155</x:v>
      </x:c>
      <x:c r="K125" s="11" t="n">
        <x:v>2.9358333333333335</x:v>
      </x:c>
      <x:c r="L125" s="11" t="n">
        <x:v>25</x:v>
      </x:c>
      <x:c r="M125" s="11" t="n">
        <x:v>7.8</x:v>
      </x:c>
      <x:c r="N125" s="11" t="n">
        <x:v>0</x:v>
      </x:c>
      <x:c r="O125" s="11" t="n">
        <x:v>0</x:v>
      </x:c>
      <x:c r="P125" s="11" t="n">
        <x:v>0.3019714285714286</x:v>
      </x:c>
      <x:c r="Q125" s="11" t="n">
        <x:v>1.8</x:v>
      </x:c>
      <x:c r="R125" s="11" t="str">
        <x:v>beone-v1-operating-profit-AH-royalty-excluded</x:v>
      </x:c>
      <x:c r="S125" s="11" t="str">
        <x:v>2026-10-10</x:v>
      </x:c>
      <x:c r="T125" s="11" t="str">
        <x:f>IF(AND(SUM(IF(K125='假设'!E165,0,1),IF(L125='假设'!F165,0,1),IF(M125='假设'!G165,0,1),IF(N125='假设'!H165,0,1),IF(O125='假设'!I165,0,1),IF(P125='假设'!J165,0,1),IF(Q125='假设'!K165,0,1))=0,U125=V125),"已刷新","待刷新")</x:f>
        <x:v>已刷新</x:v>
      </x:c>
      <x:c r="U125" t="str">
        <x:v>8.3|2.1|2.8|1.8|1.4|1.1|0.89|4.4|4.4|0.22|1.8|13|1</x:v>
      </x:c>
      <x:c r="V125" t="str">
        <x:f>'产品经营假设'!D25&amp;"|"&amp;'产品经营假设'!E25&amp;"|"&amp;'产品经营假设'!F25&amp;"|"&amp;'产品经营假设'!G25&amp;"|"&amp;'产品经营假设'!H25&amp;"|"&amp;'产品经营假设'!I25&amp;"|"&amp;'产品经营假设'!J25&amp;"|"&amp;'产品经营假设'!K25&amp;"|"&amp;'产品经营假设'!L25&amp;"|"&amp;'产品经营假设'!M25&amp;"|"&amp;'产品经营假设'!N25&amp;"|"&amp;'假设'!R165&amp;"|"&amp;'假设'!S165</x:f>
        <x:v>8.3|2.1|2.8|1.8|1.4|1.1|0.89|4.4|4.4|0.22|1.8|13|1</x:v>
      </x:c>
    </x:row>
    <x:row r="126" ht="23" customHeight="1">
      <x:c r="A126" s="11" t="str">
        <x:v>06160.HK</x:v>
      </x:c>
      <x:c r="B126" s="11" t="str">
        <x:v>百济神州</x:v>
      </x:c>
      <x:c r="C126" s="11" t="str">
        <x:v>五年</x:v>
      </x:c>
      <x:c r="D126" s="11" t="str">
        <x:v>乐观</x:v>
      </x:c>
      <x:c r="E126" s="11" t="n">
        <x:v>209.6</x:v>
      </x:c>
      <x:c r="F126" s="11" t="n">
        <x:v>1298.1622588235293</x:v>
      </x:c>
      <x:c r="G126" s="11" t="n">
        <x:v>0</x:v>
      </x:c>
      <x:c r="H126" s="25" t="n">
        <x:v>5.193522227211495</x:v>
      </x:c>
      <x:c r="I126" s="25" t="n">
        <x:v>5.193522227211495</x:v>
      </x:c>
      <x:c r="J126" s="25" t="n">
        <x:v>0.4400830546435277</x:v>
      </x:c>
      <x:c r="K126" s="11" t="n">
        <x:v>5.2724705882352945</x:v>
      </x:c>
      <x:c r="L126" s="11" t="n">
        <x:v>29</x:v>
      </x:c>
      <x:c r="M126" s="11" t="n">
        <x:v>7.8</x:v>
      </x:c>
      <x:c r="N126" s="11" t="n">
        <x:v>0</x:v>
      </x:c>
      <x:c r="O126" s="11" t="n">
        <x:v>0</x:v>
      </x:c>
      <x:c r="P126" s="11" t="n">
        <x:v>0.367344262295082</x:v>
      </x:c>
      <x:c r="Q126" s="11" t="n">
        <x:v>1.7</x:v>
      </x:c>
      <x:c r="R126" s="11" t="str">
        <x:v>beone-v1-operating-profit-AH-royalty-excluded</x:v>
      </x:c>
      <x:c r="S126" s="11" t="str">
        <x:v>2026-10-10</x:v>
      </x:c>
      <x:c r="T126" s="11" t="str">
        <x:f>IF(AND(SUM(IF(K126='假设'!E166,0,1),IF(L126='假设'!F166,0,1),IF(M126='假设'!G166,0,1),IF(N126='假设'!H166,0,1),IF(O126='假设'!I166,0,1),IF(P126='假设'!J166,0,1),IF(Q126='假设'!K166,0,1))=0,U126=V126),"已刷新","待刷新")</x:f>
        <x:v>已刷新</x:v>
      </x:c>
      <x:c r="U126" t="str">
        <x:v>10|2.6|4.3|3|3.2|1.3|0.91|5.5|5.5|0.2|1.7|23|1</x:v>
      </x:c>
      <x:c r="V126" t="str">
        <x:f>'产品经营假设'!D26&amp;"|"&amp;'产品经营假设'!E26&amp;"|"&amp;'产品经营假设'!F26&amp;"|"&amp;'产品经营假设'!G26&amp;"|"&amp;'产品经营假设'!H26&amp;"|"&amp;'产品经营假设'!I26&amp;"|"&amp;'产品经营假设'!J26&amp;"|"&amp;'产品经营假设'!K26&amp;"|"&amp;'产品经营假设'!L26&amp;"|"&amp;'产品经营假设'!M26&amp;"|"&amp;'产品经营假设'!N26&amp;"|"&amp;'假设'!R166&amp;"|"&amp;'假设'!S166</x:f>
        <x:v>10|2.6|4.3|3|3.2|1.3|0.91|5.5|5.5|0.2|1.7|23|1</x:v>
      </x:c>
    </x:row>
    <x:row r="127" ht="23" customHeight="1">
      <x:c r="A127" s="11" t="str">
        <x:v>09626.HK</x:v>
      </x:c>
      <x:c r="B127" s="11" t="str">
        <x:v>哔哩哔哩-W</x:v>
      </x:c>
      <x:c r="C127" s="11" t="str">
        <x:v>2026年底</x:v>
      </x:c>
      <x:c r="D127" s="11" t="str">
        <x:v>悲观</x:v>
      </x:c>
      <x:c r="E127" s="11" t="n">
        <x:v>120.4</x:v>
      </x:c>
      <x:c r="F127" s="11" t="n">
        <x:v>20.88</x:v>
      </x:c>
      <x:c r="G127" s="11" t="n">
        <x:v>0</x:v>
      </x:c>
      <x:c r="H127" s="25" t="n">
        <x:v>-0.826578073089701</x:v>
      </x:c>
      <x:c r="I127" s="25" t="n">
        <x:v>-0.826578073089701</x:v>
      </x:c>
      <x:c r="J127" s="25" t="str"/>
      <x:c r="K127" s="11" t="n">
        <x:v>1.5816</x:v>
      </x:c>
      <x:c r="L127" s="11" t="n">
        <x:v>12</x:v>
      </x:c>
      <x:c r="M127" s="11" t="n">
        <x:v>1.1</x:v>
      </x:c>
      <x:c r="N127" s="11" t="n">
        <x:v>0</x:v>
      </x:c>
      <x:c r="O127" s="11" t="str"/>
      <x:c r="P127" s="11" t="str"/>
      <x:c r="Q127" s="11" t="str"/>
      <x:c r="R127" s="11" t="str">
        <x:v>bilibili-normalized-content-games-dilution-v1.0</x:v>
      </x:c>
      <x:c r="S127" s="11" t="str">
        <x:v>2026-10-10</x:v>
      </x:c>
      <x:c r="T127" s="11" t="str">
        <x:f>IF(AND(SUM(IF(K127='假设'!E168,0,1),IF(L127='假设'!F168,0,1),IF(M127='假设'!G168,0,1),IF(N127='假设'!H168,0,1),IF(O127='假设'!I168,0,1),IF(P127='假设'!J168,0,1),IF(Q127='假设'!K168,0,1))=0,U127=V127),"已刷新","待刷新")</x:f>
        <x:v>已刷新</x:v>
      </x:c>
      <x:c r="U127" t="str">
        <x:v>||||0.2|-0.08|0.5|31.099999999999998|0.035|0</x:v>
      </x:c>
      <x:c r="V127" t="str">
        <x:f>'经营假设'!D28&amp;"|"&amp;'经营假设'!E28&amp;"|"&amp;'经营假设'!F28&amp;"|"&amp;'经营假设'!G28&amp;"|"&amp;'经营假设'!H28&amp;"|"&amp;'经营假设'!I28&amp;"|"&amp;'经营假设'!J28&amp;"|"&amp;'经营假设'!K28&amp;"|"&amp;'经营假设'!L28&amp;"|"&amp;'经营假设'!M28</x:f>
        <x:v>||||0.2|-0.08|0.5|31.099999999999998|0.035|0</x:v>
      </x:c>
    </x:row>
    <x:row r="128" ht="23" customHeight="1">
      <x:c r="A128" s="11" t="str">
        <x:v>09626.HK</x:v>
      </x:c>
      <x:c r="B128" s="11" t="str">
        <x:v>哔哩哔哩-W</x:v>
      </x:c>
      <x:c r="C128" s="11" t="str">
        <x:v>2026年底</x:v>
      </x:c>
      <x:c r="D128" s="11" t="str">
        <x:v>基准</x:v>
      </x:c>
      <x:c r="E128" s="11" t="n">
        <x:v>120.4</x:v>
      </x:c>
      <x:c r="F128" s="11" t="n">
        <x:v>137.99</x:v>
      </x:c>
      <x:c r="G128" s="11" t="n">
        <x:v>0</x:v>
      </x:c>
      <x:c r="H128" s="25" t="n">
        <x:v>0.1460963455149502</x:v>
      </x:c>
      <x:c r="I128" s="25" t="n">
        <x:v>0.1460963455149502</x:v>
      </x:c>
      <x:c r="J128" s="25" t="str"/>
      <x:c r="K128" s="11" t="n">
        <x:v>5.454316</x:v>
      </x:c>
      <x:c r="L128" s="11" t="n">
        <x:v>23</x:v>
      </x:c>
      <x:c r="M128" s="11" t="n">
        <x:v>1.1</x:v>
      </x:c>
      <x:c r="N128" s="11" t="n">
        <x:v>0</x:v>
      </x:c>
      <x:c r="O128" s="11" t="str"/>
      <x:c r="P128" s="11" t="str"/>
      <x:c r="Q128" s="11" t="str"/>
      <x:c r="R128" s="11" t="str">
        <x:v>bilibili-normalized-content-games-dilution-v1.0</x:v>
      </x:c>
      <x:c r="S128" s="11" t="str">
        <x:v>2026-10-10</x:v>
      </x:c>
      <x:c r="T128" s="11" t="str">
        <x:f>IF(AND(SUM(IF(K128='假设'!E169,0,1),IF(L128='假设'!F169,0,1),IF(M128='假设'!G169,0,1),IF(N128='假设'!H169,0,1),IF(O128='假设'!I169,0,1),IF(P128='假设'!J169,0,1),IF(Q128='假设'!K169,0,1))=0,U128=V128),"已刷新","待刷新")</x:f>
        <x:v>已刷新</x:v>
      </x:c>
      <x:c r="U128" t="str">
        <x:v>||||0.2|0.12|0.475|35.5|0.087|0</x:v>
      </x:c>
      <x:c r="V128" t="str">
        <x:f>'经营假设'!D29&amp;"|"&amp;'经营假设'!E29&amp;"|"&amp;'经营假设'!F29&amp;"|"&amp;'经营假设'!G29&amp;"|"&amp;'经营假设'!H29&amp;"|"&amp;'经营假设'!I29&amp;"|"&amp;'经营假设'!J29&amp;"|"&amp;'经营假设'!K29&amp;"|"&amp;'经营假设'!L29&amp;"|"&amp;'经营假设'!M29</x:f>
        <x:v>||||0.2|0.12|0.475|35.5|0.087|0</x:v>
      </x:c>
    </x:row>
    <x:row r="129" ht="23" customHeight="1">
      <x:c r="A129" s="11" t="str">
        <x:v>09626.HK</x:v>
      </x:c>
      <x:c r="B129" s="11" t="str">
        <x:v>哔哩哔哩-W</x:v>
      </x:c>
      <x:c r="C129" s="11" t="str">
        <x:v>2026年底</x:v>
      </x:c>
      <x:c r="D129" s="11" t="str">
        <x:v>乐观</x:v>
      </x:c>
      <x:c r="E129" s="11" t="n">
        <x:v>120.4</x:v>
      </x:c>
      <x:c r="F129" s="11" t="n">
        <x:v>248.13</x:v>
      </x:c>
      <x:c r="G129" s="11" t="n">
        <x:v>0</x:v>
      </x:c>
      <x:c r="H129" s="25" t="n">
        <x:v>1.0608803986710962</x:v>
      </x:c>
      <x:c r="I129" s="25" t="n">
        <x:v>1.0608803986710962</x:v>
      </x:c>
      <x:c r="J129" s="25" t="str"/>
      <x:c r="K129" s="11" t="n">
        <x:v>8.05617</x:v>
      </x:c>
      <x:c r="L129" s="11" t="n">
        <x:v>28</x:v>
      </x:c>
      <x:c r="M129" s="11" t="n">
        <x:v>1.1</x:v>
      </x:c>
      <x:c r="N129" s="11" t="n">
        <x:v>0</x:v>
      </x:c>
      <x:c r="O129" s="11" t="str"/>
      <x:c r="P129" s="11" t="str"/>
      <x:c r="Q129" s="11" t="str"/>
      <x:c r="R129" s="11" t="str">
        <x:v>bilibili-normalized-content-games-dilution-v1.0</x:v>
      </x:c>
      <x:c r="S129" s="11" t="str">
        <x:v>2026-10-10</x:v>
      </x:c>
      <x:c r="T129" s="11" t="str">
        <x:f>IF(AND(SUM(IF(K129='假设'!E170,0,1),IF(L129='假设'!F170,0,1),IF(M129='假设'!G170,0,1),IF(N129='假设'!H170,0,1),IF(O129='假设'!I170,0,1),IF(P129='假设'!J170,0,1),IF(Q129='假设'!K170,0,1))=0,U129=V129),"已刷新","待刷新")</x:f>
        <x:v>已刷新</x:v>
      </x:c>
      <x:c r="U129" t="str">
        <x:v>||||0.2|0.18|0.47|39.2|0.115|0</x:v>
      </x:c>
      <x:c r="V129" t="str">
        <x:f>'经营假设'!D30&amp;"|"&amp;'经营假设'!E30&amp;"|"&amp;'经营假设'!F30&amp;"|"&amp;'经营假设'!G30&amp;"|"&amp;'经营假设'!H30&amp;"|"&amp;'经营假设'!I30&amp;"|"&amp;'经营假设'!J30&amp;"|"&amp;'经营假设'!K30&amp;"|"&amp;'经营假设'!L30&amp;"|"&amp;'经营假设'!M30</x:f>
        <x:v>||||0.2|0.18|0.47|39.2|0.115|0</x:v>
      </x:c>
    </x:row>
    <x:row r="130" ht="23" customHeight="1">
      <x:c r="A130" s="11" t="str">
        <x:v>09626.HK</x:v>
      </x:c>
      <x:c r="B130" s="11" t="str">
        <x:v>哔哩哔哩-W</x:v>
      </x:c>
      <x:c r="C130" s="11" t="str">
        <x:v>半年</x:v>
      </x:c>
      <x:c r="D130" s="11" t="str">
        <x:v>悲观</x:v>
      </x:c>
      <x:c r="E130" s="11" t="n">
        <x:v>120.4</x:v>
      </x:c>
      <x:c r="F130" s="11" t="n">
        <x:v>13.41</x:v>
      </x:c>
      <x:c r="G130" s="11" t="n">
        <x:v>0</x:v>
      </x:c>
      <x:c r="H130" s="25" t="n">
        <x:v>-0.8886212624584717</x:v>
      </x:c>
      <x:c r="I130" s="25" t="n">
        <x:v>-0.8886212624584717</x:v>
      </x:c>
      <x:c r="J130" s="25" t="str"/>
      <x:c r="K130" s="11" t="n">
        <x:v>1.108661</x:v>
      </x:c>
      <x:c r="L130" s="11" t="n">
        <x:v>11</x:v>
      </x:c>
      <x:c r="M130" s="11" t="n">
        <x:v>1.1</x:v>
      </x:c>
      <x:c r="N130" s="11" t="n">
        <x:v>0</x:v>
      </x:c>
      <x:c r="O130" s="11" t="str"/>
      <x:c r="P130" s="11" t="str"/>
      <x:c r="Q130" s="11" t="str"/>
      <x:c r="R130" s="11" t="str">
        <x:v>bilibili-normalized-content-games-dilution-v1.0</x:v>
      </x:c>
      <x:c r="S130" s="11" t="str">
        <x:v>2026-10-10</x:v>
      </x:c>
      <x:c r="T130" s="11" t="str">
        <x:f>IF(AND(SUM(IF(K130='假设'!E172,0,1),IF(L130='假设'!F172,0,1),IF(M130='假设'!G172,0,1),IF(N130='假设'!H172,0,1),IF(O130='假设'!I172,0,1),IF(P130='假设'!J172,0,1),IF(Q130='假设'!K172,0,1))=0,U130=V130),"已刷新","待刷新")</x:f>
        <x:v>已刷新</x:v>
      </x:c>
      <x:c r="U130" t="str">
        <x:v>||||0.2|-0.12|0.508|30.500000000000004|0.028|0</x:v>
      </x:c>
      <x:c r="V130" t="str">
        <x:f>'经营假设'!D32&amp;"|"&amp;'经营假设'!E32&amp;"|"&amp;'经营假设'!F32&amp;"|"&amp;'经营假设'!G32&amp;"|"&amp;'经营假设'!H32&amp;"|"&amp;'经营假设'!I32&amp;"|"&amp;'经营假设'!J32&amp;"|"&amp;'经营假设'!K32&amp;"|"&amp;'经营假设'!L32&amp;"|"&amp;'经营假设'!M32</x:f>
        <x:v>||||0.2|-0.12|0.508|30.500000000000004|0.028|0</x:v>
      </x:c>
    </x:row>
    <x:row r="131" ht="23" customHeight="1">
      <x:c r="A131" s="11" t="str">
        <x:v>09626.HK</x:v>
      </x:c>
      <x:c r="B131" s="11" t="str">
        <x:v>哔哩哔哩-W</x:v>
      </x:c>
      <x:c r="C131" s="11" t="str">
        <x:v>半年</x:v>
      </x:c>
      <x:c r="D131" s="11" t="str">
        <x:v>基准</x:v>
      </x:c>
      <x:c r="E131" s="11" t="n">
        <x:v>120.4</x:v>
      </x:c>
      <x:c r="F131" s="11" t="n">
        <x:v>157.33</x:v>
      </x:c>
      <x:c r="G131" s="11" t="n">
        <x:v>0</x:v>
      </x:c>
      <x:c r="H131" s="25" t="n">
        <x:v>0.3067275747508307</x:v>
      </x:c>
      <x:c r="I131" s="25" t="n">
        <x:v>0.3067275747508307</x:v>
      </x:c>
      <x:c r="J131" s="25" t="str"/>
      <x:c r="K131" s="11" t="n">
        <x:v>6.21841</x:v>
      </x:c>
      <x:c r="L131" s="11" t="n">
        <x:v>23</x:v>
      </x:c>
      <x:c r="M131" s="11" t="n">
        <x:v>1.1</x:v>
      </x:c>
      <x:c r="N131" s="11" t="n">
        <x:v>0</x:v>
      </x:c>
      <x:c r="O131" s="11" t="str"/>
      <x:c r="P131" s="11" t="str"/>
      <x:c r="Q131" s="11" t="str"/>
      <x:c r="R131" s="11" t="str">
        <x:v>bilibili-normalized-content-games-dilution-v1.0</x:v>
      </x:c>
      <x:c r="S131" s="11" t="str">
        <x:v>2026-10-10</x:v>
      </x:c>
      <x:c r="T131" s="11" t="str">
        <x:f>IF(AND(SUM(IF(K131='假设'!E173,0,1),IF(L131='假设'!F173,0,1),IF(M131='假设'!G173,0,1),IF(N131='假设'!H173,0,1),IF(O131='假设'!I173,0,1),IF(P131='假设'!J173,0,1),IF(Q131='假设'!K173,0,1))=0,U131=V131),"已刷新","待刷新")</x:f>
        <x:v>已刷新</x:v>
      </x:c>
      <x:c r="U131" t="str">
        <x:v>||||0.2|0.13|0.478|37.4|0.095|0</x:v>
      </x:c>
      <x:c r="V131" t="str">
        <x:f>'经营假设'!D33&amp;"|"&amp;'经营假设'!E33&amp;"|"&amp;'经营假设'!F33&amp;"|"&amp;'经营假设'!G33&amp;"|"&amp;'经营假设'!H33&amp;"|"&amp;'经营假设'!I33&amp;"|"&amp;'经营假设'!J33&amp;"|"&amp;'经营假设'!K33&amp;"|"&amp;'经营假设'!L33&amp;"|"&amp;'经营假设'!M33</x:f>
        <x:v>||||0.2|0.13|0.478|37.4|0.095|0</x:v>
      </x:c>
    </x:row>
    <x:row r="132" ht="23" customHeight="1">
      <x:c r="A132" s="11" t="str">
        <x:v>09626.HK</x:v>
      </x:c>
      <x:c r="B132" s="11" t="str">
        <x:v>哔哩哔哩-W</x:v>
      </x:c>
      <x:c r="C132" s="11" t="str">
        <x:v>半年</x:v>
      </x:c>
      <x:c r="D132" s="11" t="str">
        <x:v>乐观</x:v>
      </x:c>
      <x:c r="E132" s="11" t="n">
        <x:v>120.4</x:v>
      </x:c>
      <x:c r="F132" s="11" t="n">
        <x:v>294.24</x:v>
      </x:c>
      <x:c r="G132" s="11" t="n">
        <x:v>0</x:v>
      </x:c>
      <x:c r="H132" s="25" t="n">
        <x:v>1.4438538205980067</x:v>
      </x:c>
      <x:c r="I132" s="25" t="n">
        <x:v>1.4438538205980067</x:v>
      </x:c>
      <x:c r="J132" s="25" t="str"/>
      <x:c r="K132" s="11" t="n">
        <x:v>9.553191</x:v>
      </x:c>
      <x:c r="L132" s="11" t="n">
        <x:v>28</x:v>
      </x:c>
      <x:c r="M132" s="11" t="n">
        <x:v>1.1</x:v>
      </x:c>
      <x:c r="N132" s="11" t="n">
        <x:v>0</x:v>
      </x:c>
      <x:c r="O132" s="11" t="str"/>
      <x:c r="P132" s="11" t="str"/>
      <x:c r="Q132" s="11" t="str"/>
      <x:c r="R132" s="11" t="str">
        <x:v>bilibili-normalized-content-games-dilution-v1.0</x:v>
      </x:c>
      <x:c r="S132" s="11" t="str">
        <x:v>2026-10-10</x:v>
      </x:c>
      <x:c r="T132" s="11" t="str">
        <x:f>IF(AND(SUM(IF(K132='假设'!E174,0,1),IF(L132='假设'!F174,0,1),IF(M132='假设'!G174,0,1),IF(N132='假设'!H174,0,1),IF(O132='假设'!I174,0,1),IF(P132='假设'!J174,0,1),IF(Q132='假设'!K174,0,1))=0,U132=V132),"已刷新","待刷新")</x:f>
        <x:v>已刷新</x:v>
      </x:c>
      <x:c r="U132" t="str">
        <x:v>||||0.2|0.2|0.47|42.9|0.125|0</x:v>
      </x:c>
      <x:c r="V132" t="str">
        <x:f>'经营假设'!D34&amp;"|"&amp;'经营假设'!E34&amp;"|"&amp;'经营假设'!F34&amp;"|"&amp;'经营假设'!G34&amp;"|"&amp;'经营假设'!H34&amp;"|"&amp;'经营假设'!I34&amp;"|"&amp;'经营假设'!J34&amp;"|"&amp;'经营假设'!K34&amp;"|"&amp;'经营假设'!L34&amp;"|"&amp;'经营假设'!M34</x:f>
        <x:v>||||0.2|0.2|0.47|42.9|0.125|0</x:v>
      </x:c>
    </x:row>
    <x:row r="133" ht="23" customHeight="1">
      <x:c r="A133" s="11" t="str">
        <x:v>09626.HK</x:v>
      </x:c>
      <x:c r="B133" s="11" t="str">
        <x:v>哔哩哔哩-W</x:v>
      </x:c>
      <x:c r="C133" s="11" t="str">
        <x:v>一年</x:v>
      </x:c>
      <x:c r="D133" s="11" t="str">
        <x:v>悲观</x:v>
      </x:c>
      <x:c r="E133" s="11" t="n">
        <x:v>120.4</x:v>
      </x:c>
      <x:c r="F133" s="11" t="n">
        <x:v>9.77</x:v>
      </x:c>
      <x:c r="G133" s="11" t="n">
        <x:v>0</x:v>
      </x:c>
      <x:c r="H133" s="25" t="n">
        <x:v>-0.9188538205980067</x:v>
      </x:c>
      <x:c r="I133" s="25" t="n">
        <x:v>-0.9188538205980067</x:v>
      </x:c>
      <x:c r="J133" s="25" t="str"/>
      <x:c r="K133" s="11" t="n">
        <x:v>0.888462</x:v>
      </x:c>
      <x:c r="L133" s="11" t="n">
        <x:v>10</x:v>
      </x:c>
      <x:c r="M133" s="11" t="n">
        <x:v>1.1</x:v>
      </x:c>
      <x:c r="N133" s="11" t="n">
        <x:v>0</x:v>
      </x:c>
      <x:c r="O133" s="11" t="str"/>
      <x:c r="P133" s="11" t="str"/>
      <x:c r="Q133" s="11" t="str"/>
      <x:c r="R133" s="11" t="str">
        <x:v>bilibili-normalized-content-games-dilution-v1.0</x:v>
      </x:c>
      <x:c r="S133" s="11" t="str">
        <x:v>2026-10-10</x:v>
      </x:c>
      <x:c r="T133" s="11" t="str">
        <x:f>IF(AND(SUM(IF(K133='假设'!E176,0,1),IF(L133='假设'!F176,0,1),IF(M133='假设'!G176,0,1),IF(N133='假设'!H176,0,1),IF(O133='假设'!I176,0,1),IF(P133='假设'!J176,0,1),IF(Q133='假设'!K176,0,1))=0,U133=V133),"已刷新","待刷新")</x:f>
        <x:v>已刷新</x:v>
      </x:c>
      <x:c r="U133" t="str">
        <x:v>||||0.2|-0.15|0.52|30.6|0.025|0</x:v>
      </x:c>
      <x:c r="V133" t="str">
        <x:f>'经营假设'!D36&amp;"|"&amp;'经营假设'!E36&amp;"|"&amp;'经营假设'!F36&amp;"|"&amp;'经营假设'!G36&amp;"|"&amp;'经营假设'!H36&amp;"|"&amp;'经营假设'!I36&amp;"|"&amp;'经营假设'!J36&amp;"|"&amp;'经营假设'!K36&amp;"|"&amp;'经营假设'!L36&amp;"|"&amp;'经营假设'!M36</x:f>
        <x:v>||||0.2|-0.15|0.52|30.6|0.025|0</x:v>
      </x:c>
    </x:row>
    <x:row r="134" ht="23" customHeight="1">
      <x:c r="A134" s="11" t="str">
        <x:v>09626.HK</x:v>
      </x:c>
      <x:c r="B134" s="11" t="str">
        <x:v>哔哩哔哩-W</x:v>
      </x:c>
      <x:c r="C134" s="11" t="str">
        <x:v>一年</x:v>
      </x:c>
      <x:c r="D134" s="11" t="str">
        <x:v>基准</x:v>
      </x:c>
      <x:c r="E134" s="11" t="n">
        <x:v>120.4</x:v>
      </x:c>
      <x:c r="F134" s="11" t="n">
        <x:v>182.72</x:v>
      </x:c>
      <x:c r="G134" s="11" t="n">
        <x:v>0</x:v>
      </x:c>
      <x:c r="H134" s="25" t="n">
        <x:v>0.5176079734219268</x:v>
      </x:c>
      <x:c r="I134" s="25" t="n">
        <x:v>0.5176079734219268</x:v>
      </x:c>
      <x:c r="J134" s="25" t="str"/>
      <x:c r="K134" s="11" t="n">
        <x:v>7.550207</x:v>
      </x:c>
      <x:c r="L134" s="11" t="n">
        <x:v>22</x:v>
      </x:c>
      <x:c r="M134" s="11" t="n">
        <x:v>1.1</x:v>
      </x:c>
      <x:c r="N134" s="11" t="n">
        <x:v>0</x:v>
      </x:c>
      <x:c r="O134" s="11" t="str"/>
      <x:c r="P134" s="11" t="str"/>
      <x:c r="Q134" s="11" t="str"/>
      <x:c r="R134" s="11" t="str">
        <x:v>bilibili-normalized-content-games-dilution-v1.0</x:v>
      </x:c>
      <x:c r="S134" s="11" t="str">
        <x:v>2026-10-10</x:v>
      </x:c>
      <x:c r="T134" s="11" t="str">
        <x:f>IF(AND(SUM(IF(K134='假设'!E177,0,1),IF(L134='假设'!F177,0,1),IF(M134='假设'!G177,0,1),IF(N134='假设'!H177,0,1),IF(O134='假设'!I177,0,1),IF(P134='假设'!J177,0,1),IF(Q134='假设'!K177,0,1))=0,U134=V134),"已刷新","待刷新")</x:f>
        <x:v>已刷新</x:v>
      </x:c>
      <x:c r="U134" t="str">
        <x:v>||||0.2|0.14|0.482|40.50000000000001|0.108|0</x:v>
      </x:c>
      <x:c r="V134" t="str">
        <x:f>'经营假设'!D37&amp;"|"&amp;'经营假设'!E37&amp;"|"&amp;'经营假设'!F37&amp;"|"&amp;'经营假设'!G37&amp;"|"&amp;'经营假设'!H37&amp;"|"&amp;'经营假设'!I37&amp;"|"&amp;'经营假设'!J37&amp;"|"&amp;'经营假设'!K37&amp;"|"&amp;'经营假设'!L37&amp;"|"&amp;'经营假设'!M37</x:f>
        <x:v>||||0.2|0.14|0.482|40.50000000000001|0.108|0</x:v>
      </x:c>
    </x:row>
    <x:row r="135" ht="23" customHeight="1">
      <x:c r="A135" s="11" t="str">
        <x:v>09626.HK</x:v>
      </x:c>
      <x:c r="B135" s="11" t="str">
        <x:v>哔哩哔哩-W</x:v>
      </x:c>
      <x:c r="C135" s="11" t="str">
        <x:v>一年</x:v>
      </x:c>
      <x:c r="D135" s="11" t="str">
        <x:v>乐观</x:v>
      </x:c>
      <x:c r="E135" s="11" t="n">
        <x:v>120.4</x:v>
      </x:c>
      <x:c r="F135" s="11" t="n">
        <x:v>372.59</x:v>
      </x:c>
      <x:c r="G135" s="11" t="n">
        <x:v>0</x:v>
      </x:c>
      <x:c r="H135" s="25" t="n">
        <x:v>2.094601328903654</x:v>
      </x:c>
      <x:c r="I135" s="25" t="n">
        <x:v>2.094601328903654</x:v>
      </x:c>
      <x:c r="J135" s="25" t="str"/>
      <x:c r="K135" s="11" t="n">
        <x:v>12.097021</x:v>
      </x:c>
      <x:c r="L135" s="11" t="n">
        <x:v>28</x:v>
      </x:c>
      <x:c r="M135" s="11" t="n">
        <x:v>1.1</x:v>
      </x:c>
      <x:c r="N135" s="11" t="n">
        <x:v>0</x:v>
      </x:c>
      <x:c r="O135" s="11" t="str"/>
      <x:c r="P135" s="11" t="str"/>
      <x:c r="Q135" s="11" t="str"/>
      <x:c r="R135" s="11" t="str">
        <x:v>bilibili-normalized-content-games-dilution-v1.0</x:v>
      </x:c>
      <x:c r="S135" s="11" t="str">
        <x:v>2026-10-10</x:v>
      </x:c>
      <x:c r="T135" s="11" t="str">
        <x:f>IF(AND(SUM(IF(K135='假设'!E178,0,1),IF(L135='假设'!F178,0,1),IF(M135='假设'!G178,0,1),IF(N135='假设'!H178,0,1),IF(O135='假设'!I178,0,1),IF(P135='假设'!J178,0,1),IF(Q135='假设'!K178,0,1))=0,U135=V135),"已刷新","待刷新")</x:f>
        <x:v>已刷新</x:v>
      </x:c>
      <x:c r="U135" t="str">
        <x:v>||||0.2|0.22|0.47|48.800000000000004|0.14|0</x:v>
      </x:c>
      <x:c r="V135" t="str">
        <x:f>'经营假设'!D38&amp;"|"&amp;'经营假设'!E38&amp;"|"&amp;'经营假设'!F38&amp;"|"&amp;'经营假设'!G38&amp;"|"&amp;'经营假设'!H38&amp;"|"&amp;'经营假设'!I38&amp;"|"&amp;'经营假设'!J38&amp;"|"&amp;'经营假设'!K38&amp;"|"&amp;'经营假设'!L38&amp;"|"&amp;'经营假设'!M38</x:f>
        <x:v>||||0.2|0.22|0.47|48.800000000000004|0.14|0</x:v>
      </x:c>
    </x:row>
    <x:row r="136" ht="23" customHeight="1">
      <x:c r="A136" s="11" t="str">
        <x:v>09626.HK</x:v>
      </x:c>
      <x:c r="B136" s="11" t="str">
        <x:v>哔哩哔哩-W</x:v>
      </x:c>
      <x:c r="C136" s="11" t="str">
        <x:v>三年</x:v>
      </x:c>
      <x:c r="D136" s="11" t="str">
        <x:v>悲观</x:v>
      </x:c>
      <x:c r="E136" s="11" t="n">
        <x:v>120.4</x:v>
      </x:c>
      <x:c r="F136" s="11" t="n">
        <x:v>4.28</x:v>
      </x:c>
      <x:c r="G136" s="11" t="n">
        <x:v>0</x:v>
      </x:c>
      <x:c r="H136" s="25" t="n">
        <x:v>-0.9644518272425249</x:v>
      </x:c>
      <x:c r="I136" s="25" t="n">
        <x:v>-0.9644518272425249</x:v>
      </x:c>
      <x:c r="J136" s="25" t="n">
        <x:v>-0.6711944844302613</x:v>
      </x:c>
      <x:c r="K136" s="11" t="n">
        <x:v>0.432286</x:v>
      </x:c>
      <x:c r="L136" s="11" t="n">
        <x:v>9</x:v>
      </x:c>
      <x:c r="M136" s="11" t="n">
        <x:v>1.1</x:v>
      </x:c>
      <x:c r="N136" s="11" t="n">
        <x:v>0</x:v>
      </x:c>
      <x:c r="O136" s="11" t="str"/>
      <x:c r="P136" s="11" t="str"/>
      <x:c r="Q136" s="11" t="str"/>
      <x:c r="R136" s="11" t="str">
        <x:v>bilibili-normalized-content-games-dilution-v1.0</x:v>
      </x:c>
      <x:c r="S136" s="11" t="str">
        <x:v>2026-10-10</x:v>
      </x:c>
      <x:c r="T136" s="11" t="str">
        <x:f>IF(AND(SUM(IF(K136='假设'!E180,0,1),IF(L136='假设'!F180,0,1),IF(M136='假设'!G180,0,1),IF(N136='假设'!H180,0,1),IF(O136='假设'!I180,0,1),IF(P136='假设'!J180,0,1),IF(Q136='假设'!K180,0,1))=0,U136=V136),"已刷新","待刷新")</x:f>
        <x:v>已刷新</x:v>
      </x:c>
      <x:c r="U136" t="str">
        <x:v>||||0.2|-0.2|0.56|30.7|0.018|0</x:v>
      </x:c>
      <x:c r="V136" t="str">
        <x:f>'经营假设'!D40&amp;"|"&amp;'经营假设'!E40&amp;"|"&amp;'经营假设'!F40&amp;"|"&amp;'经营假设'!G40&amp;"|"&amp;'经营假设'!H40&amp;"|"&amp;'经营假设'!I40&amp;"|"&amp;'经营假设'!J40&amp;"|"&amp;'经营假设'!K40&amp;"|"&amp;'经营假设'!L40&amp;"|"&amp;'经营假设'!M40</x:f>
        <x:v>||||0.2|-0.2|0.56|30.7|0.018|0</x:v>
      </x:c>
    </x:row>
    <x:row r="137" ht="23" customHeight="1">
      <x:c r="A137" s="11" t="str">
        <x:v>09626.HK</x:v>
      </x:c>
      <x:c r="B137" s="11" t="str">
        <x:v>哔哩哔哩-W</x:v>
      </x:c>
      <x:c r="C137" s="11" t="str">
        <x:v>三年</x:v>
      </x:c>
      <x:c r="D137" s="11" t="str">
        <x:v>基准</x:v>
      </x:c>
      <x:c r="E137" s="11" t="n">
        <x:v>120.4</x:v>
      </x:c>
      <x:c r="F137" s="11" t="n">
        <x:v>276.71</x:v>
      </x:c>
      <x:c r="G137" s="11" t="n">
        <x:v>1</x:v>
      </x:c>
      <x:c r="H137" s="25" t="n">
        <x:v>1.2982558139534879</x:v>
      </x:c>
      <x:c r="I137" s="25" t="n">
        <x:v>1.3065614617940198</x:v>
      </x:c>
      <x:c r="J137" s="25" t="n">
        <x:v>0.3212601720194541</x:v>
      </x:c>
      <x:c r="K137" s="11" t="n">
        <x:v>11.978776</x:v>
      </x:c>
      <x:c r="L137" s="11" t="n">
        <x:v>21</x:v>
      </x:c>
      <x:c r="M137" s="11" t="n">
        <x:v>1.1</x:v>
      </x:c>
      <x:c r="N137" s="11" t="n">
        <x:v>1</x:v>
      </x:c>
      <x:c r="O137" s="11" t="str"/>
      <x:c r="P137" s="11" t="str"/>
      <x:c r="Q137" s="11" t="str"/>
      <x:c r="R137" s="11" t="str">
        <x:v>bilibili-normalized-content-games-dilution-v1.0</x:v>
      </x:c>
      <x:c r="S137" s="11" t="str">
        <x:v>2026-10-10</x:v>
      </x:c>
      <x:c r="T137" s="11" t="str">
        <x:f>IF(AND(SUM(IF(K137='假设'!E181,0,1),IF(L137='假设'!F181,0,1),IF(M137='假设'!G181,0,1),IF(N137='假设'!H181,0,1),IF(O137='假设'!I181,0,1),IF(P137='假设'!J181,0,1),IF(Q137='假设'!K181,0,1))=0,U137=V137),"已刷新","待刷新")</x:f>
        <x:v>已刷新</x:v>
      </x:c>
      <x:c r="U137" t="str">
        <x:v>||||0.2|0.18|0.49|50.8|0.14|0</x:v>
      </x:c>
      <x:c r="V137" t="str">
        <x:f>'经营假设'!D41&amp;"|"&amp;'经营假设'!E41&amp;"|"&amp;'经营假设'!F41&amp;"|"&amp;'经营假设'!G41&amp;"|"&amp;'经营假设'!H41&amp;"|"&amp;'经营假设'!I41&amp;"|"&amp;'经营假设'!J41&amp;"|"&amp;'经营假设'!K41&amp;"|"&amp;'经营假设'!L41&amp;"|"&amp;'经营假设'!M41</x:f>
        <x:v>||||0.2|0.18|0.49|50.8|0.14|0</x:v>
      </x:c>
    </x:row>
    <x:row r="138" ht="23" customHeight="1">
      <x:c r="A138" s="11" t="str">
        <x:v>09626.HK</x:v>
      </x:c>
      <x:c r="B138" s="11" t="str">
        <x:v>哔哩哔哩-W</x:v>
      </x:c>
      <x:c r="C138" s="11" t="str">
        <x:v>三年</x:v>
      </x:c>
      <x:c r="D138" s="11" t="str">
        <x:v>乐观</x:v>
      </x:c>
      <x:c r="E138" s="11" t="n">
        <x:v>120.4</x:v>
      </x:c>
      <x:c r="F138" s="11" t="n">
        <x:v>648.37</x:v>
      </x:c>
      <x:c r="G138" s="11" t="n">
        <x:v>3</x:v>
      </x:c>
      <x:c r="H138" s="25" t="n">
        <x:v>4.3851328903654485</x:v>
      </x:c>
      <x:c r="I138" s="25" t="n">
        <x:v>4.410049833887043</x:v>
      </x:c>
      <x:c r="J138" s="25" t="n">
        <x:v>0.7554983348366515</x:v>
      </x:c>
      <x:c r="K138" s="11" t="n">
        <x:v>21.830638</x:v>
      </x:c>
      <x:c r="L138" s="11" t="n">
        <x:v>27</x:v>
      </x:c>
      <x:c r="M138" s="11" t="n">
        <x:v>1.1</x:v>
      </x:c>
      <x:c r="N138" s="11" t="n">
        <x:v>3</x:v>
      </x:c>
      <x:c r="O138" s="11" t="str"/>
      <x:c r="P138" s="11" t="str"/>
      <x:c r="Q138" s="11" t="str"/>
      <x:c r="R138" s="11" t="str">
        <x:v>bilibili-normalized-content-games-dilution-v1.0</x:v>
      </x:c>
      <x:c r="S138" s="11" t="str">
        <x:v>2026-10-10</x:v>
      </x:c>
      <x:c r="T138" s="11" t="str">
        <x:f>IF(AND(SUM(IF(K138='假设'!E182,0,1),IF(L138='假设'!F182,0,1),IF(M138='假设'!G182,0,1),IF(N138='假设'!H182,0,1),IF(O138='假设'!I182,0,1),IF(P138='假设'!J182,0,1),IF(Q138='假设'!K182,0,1))=0,U138=V138),"已刷新","待刷新")</x:f>
        <x:v>已刷新</x:v>
      </x:c>
      <x:c r="U138" t="str">
        <x:v>||||0.2|0.3|0.47|67.3|0.185|0</x:v>
      </x:c>
      <x:c r="V138" t="str">
        <x:f>'经营假设'!D42&amp;"|"&amp;'经营假设'!E42&amp;"|"&amp;'经营假设'!F42&amp;"|"&amp;'经营假设'!G42&amp;"|"&amp;'经营假设'!H42&amp;"|"&amp;'经营假设'!I42&amp;"|"&amp;'经营假设'!J42&amp;"|"&amp;'经营假设'!K42&amp;"|"&amp;'经营假设'!L42&amp;"|"&amp;'经营假设'!M42</x:f>
        <x:v>||||0.2|0.3|0.47|67.3|0.185|0</x:v>
      </x:c>
    </x:row>
    <x:row r="139" ht="23" customHeight="1">
      <x:c r="A139" s="11" t="str">
        <x:v>09626.HK</x:v>
      </x:c>
      <x:c r="B139" s="11" t="str">
        <x:v>哔哩哔哩-W</x:v>
      </x:c>
      <x:c r="C139" s="11" t="str">
        <x:v>五年</x:v>
      </x:c>
      <x:c r="D139" s="11" t="str">
        <x:v>悲观</x:v>
      </x:c>
      <x:c r="E139" s="11" t="n">
        <x:v>120.4</x:v>
      </x:c>
      <x:c r="F139" s="11" t="n">
        <x:v>0.64</x:v>
      </x:c>
      <x:c r="G139" s="11" t="n">
        <x:v>0</x:v>
      </x:c>
      <x:c r="H139" s="25" t="n">
        <x:v>-0.9946843853820598</x:v>
      </x:c>
      <x:c r="I139" s="25" t="n">
        <x:v>-0.9946843853820598</x:v>
      </x:c>
      <x:c r="J139" s="25" t="n">
        <x:v>-0.6491587114330687</x:v>
      </x:c>
      <x:c r="K139" s="11" t="n">
        <x:v>0.072331</x:v>
      </x:c>
      <x:c r="L139" s="11" t="n">
        <x:v>8</x:v>
      </x:c>
      <x:c r="M139" s="11" t="n">
        <x:v>1.1</x:v>
      </x:c>
      <x:c r="N139" s="11" t="n">
        <x:v>0</x:v>
      </x:c>
      <x:c r="O139" s="11" t="str"/>
      <x:c r="P139" s="11" t="str"/>
      <x:c r="Q139" s="11" t="str"/>
      <x:c r="R139" s="11" t="str">
        <x:v>bilibili-normalized-content-games-dilution-v1.0</x:v>
      </x:c>
      <x:c r="S139" s="11" t="str">
        <x:v>2026-10-10</x:v>
      </x:c>
      <x:c r="T139" s="11" t="str">
        <x:f>IF(AND(SUM(IF(K139='假设'!E184,0,1),IF(L139='假设'!F184,0,1),IF(M139='假设'!G184,0,1),IF(N139='假设'!H184,0,1),IF(O139='假设'!I184,0,1),IF(P139='假设'!J184,0,1),IF(Q139='假设'!K184,0,1))=0,U139=V139),"已刷新","待刷新")</x:f>
        <x:v>已刷新</x:v>
      </x:c>
      <x:c r="U139" t="str">
        <x:v>||||0.2|-0.25|0.605|30.6|0.012|0</x:v>
      </x:c>
      <x:c r="V139" t="str">
        <x:f>'经营假设'!D44&amp;"|"&amp;'经营假设'!E44&amp;"|"&amp;'经营假设'!F44&amp;"|"&amp;'经营假设'!G44&amp;"|"&amp;'经营假设'!H44&amp;"|"&amp;'经营假设'!I44&amp;"|"&amp;'经营假设'!J44&amp;"|"&amp;'经营假设'!K44&amp;"|"&amp;'经营假设'!L44&amp;"|"&amp;'经营假设'!M44</x:f>
        <x:v>||||0.2|-0.25|0.605|30.6|0.012|0</x:v>
      </x:c>
    </x:row>
    <x:row r="140" ht="23" customHeight="1">
      <x:c r="A140" s="11" t="str">
        <x:v>09626.HK</x:v>
      </x:c>
      <x:c r="B140" s="11" t="str">
        <x:v>哔哩哔哩-W</x:v>
      </x:c>
      <x:c r="C140" s="11" t="str">
        <x:v>五年</x:v>
      </x:c>
      <x:c r="D140" s="11" t="str">
        <x:v>基准</x:v>
      </x:c>
      <x:c r="E140" s="11" t="n">
        <x:v>120.4</x:v>
      </x:c>
      <x:c r="F140" s="11" t="n">
        <x:v>319.58</x:v>
      </x:c>
      <x:c r="G140" s="11" t="n">
        <x:v>4</x:v>
      </x:c>
      <x:c r="H140" s="25" t="n">
        <x:v>1.6543189368770763</x:v>
      </x:c>
      <x:c r="I140" s="25" t="n">
        <x:v>1.6875415282392026</x:v>
      </x:c>
      <x:c r="J140" s="25" t="n">
        <x:v>0.21862767509587155</x:v>
      </x:c>
      <x:c r="K140" s="11" t="n">
        <x:v>15.291089</x:v>
      </x:c>
      <x:c r="L140" s="11" t="n">
        <x:v>19</x:v>
      </x:c>
      <x:c r="M140" s="11" t="n">
        <x:v>1.1</x:v>
      </x:c>
      <x:c r="N140" s="11" t="n">
        <x:v>4</x:v>
      </x:c>
      <x:c r="O140" s="11" t="str"/>
      <x:c r="P140" s="11" t="str"/>
      <x:c r="Q140" s="11" t="str"/>
      <x:c r="R140" s="11" t="str">
        <x:v>bilibili-normalized-content-games-dilution-v1.0</x:v>
      </x:c>
      <x:c r="S140" s="11" t="str">
        <x:v>2026-10-10</x:v>
      </x:c>
      <x:c r="T140" s="11" t="str">
        <x:f>IF(AND(SUM(IF(K140='假设'!E185,0,1),IF(L140='假设'!F185,0,1),IF(M140='假设'!G185,0,1),IF(N140='假设'!H185,0,1),IF(O140='假设'!I185,0,1),IF(P140='假设'!J185,0,1),IF(Q140='假设'!K185,0,1))=0,U140=V140),"已刷新","待刷新")</x:f>
        <x:v>已刷新</x:v>
      </x:c>
      <x:c r="U140" t="str">
        <x:v>||||0.2|0.22|0.505|60.5|0.155|0</x:v>
      </x:c>
      <x:c r="V140" t="str">
        <x:f>'经营假设'!D45&amp;"|"&amp;'经营假设'!E45&amp;"|"&amp;'经营假设'!F45&amp;"|"&amp;'经营假设'!G45&amp;"|"&amp;'经营假设'!H45&amp;"|"&amp;'经营假设'!I45&amp;"|"&amp;'经营假设'!J45&amp;"|"&amp;'经营假设'!K45&amp;"|"&amp;'经营假设'!L45&amp;"|"&amp;'经营假设'!M45</x:f>
        <x:v>||||0.2|0.22|0.505|60.5|0.155|0</x:v>
      </x:c>
    </x:row>
    <x:row r="141" ht="23" customHeight="1">
      <x:c r="A141" s="11" t="str">
        <x:v>09626.HK</x:v>
      </x:c>
      <x:c r="B141" s="11" t="str">
        <x:v>哔哩哔哩-W</x:v>
      </x:c>
      <x:c r="C141" s="11" t="str">
        <x:v>五年</x:v>
      </x:c>
      <x:c r="D141" s="11" t="str">
        <x:v>乐观</x:v>
      </x:c>
      <x:c r="E141" s="11" t="n">
        <x:v>120.4</x:v>
      </x:c>
      <x:c r="F141" s="11" t="n">
        <x:v>901.5</x:v>
      </x:c>
      <x:c r="G141" s="11" t="n">
        <x:v>10</x:v>
      </x:c>
      <x:c r="H141" s="25" t="n">
        <x:v>6.487541528239202</x:v>
      </x:c>
      <x:c r="I141" s="25" t="n">
        <x:v>6.570598006644518</x:v>
      </x:c>
      <x:c r="J141" s="25" t="n">
        <x:v>0.49908423586609607</x:v>
      </x:c>
      <x:c r="K141" s="11" t="n">
        <x:v>32.781667</x:v>
      </x:c>
      <x:c r="L141" s="11" t="n">
        <x:v>25</x:v>
      </x:c>
      <x:c r="M141" s="11" t="n">
        <x:v>1.1</x:v>
      </x:c>
      <x:c r="N141" s="11" t="n">
        <x:v>10</x:v>
      </x:c>
      <x:c r="O141" s="11" t="str"/>
      <x:c r="P141" s="11" t="str"/>
      <x:c r="Q141" s="11" t="str"/>
      <x:c r="R141" s="11" t="str">
        <x:v>bilibili-normalized-content-games-dilution-v1.0</x:v>
      </x:c>
      <x:c r="S141" s="11" t="str">
        <x:v>2026-10-10</x:v>
      </x:c>
      <x:c r="T141" s="11" t="str">
        <x:f>IF(AND(SUM(IF(K141='假设'!E186,0,1),IF(L141='假设'!F186,0,1),IF(M141='假设'!G186,0,1),IF(N141='假设'!H186,0,1),IF(O141='假设'!I186,0,1),IF(P141='假设'!J186,0,1),IF(Q141='假设'!K186,0,1))=0,U141=V141),"已刷新","待刷新")</x:f>
        <x:v>已刷新</x:v>
      </x:c>
      <x:c r="U141" t="str">
        <x:v>||||0.2|0.38|0.48|91.4|0.21|0</x:v>
      </x:c>
      <x:c r="V141" t="str">
        <x:f>'经营假设'!D46&amp;"|"&amp;'经营假设'!E46&amp;"|"&amp;'经营假设'!F46&amp;"|"&amp;'经营假设'!G46&amp;"|"&amp;'经营假设'!H46&amp;"|"&amp;'经营假设'!I46&amp;"|"&amp;'经营假设'!J46&amp;"|"&amp;'经营假设'!K46&amp;"|"&amp;'经营假设'!L46&amp;"|"&amp;'经营假设'!M46</x:f>
        <x:v>||||0.2|0.38|0.48|91.4|0.21|0</x:v>
      </x:c>
    </x:row>
    <x:row r="142" ht="23" customHeight="1">
      <x:c r="A142" s="11" t="str">
        <x:v>01211.HK</x:v>
      </x:c>
      <x:c r="B142" s="11" t="str">
        <x:v>比亚迪股份</x:v>
      </x:c>
      <x:c r="C142" s="11" t="str">
        <x:v>2026年底</x:v>
      </x:c>
      <x:c r="D142" s="11" t="str">
        <x:v>悲观</x:v>
      </x:c>
      <x:c r="E142" s="11" t="n">
        <x:v>75.6</x:v>
      </x:c>
      <x:c r="F142" s="11" t="n">
        <x:v>25.83</x:v>
      </x:c>
      <x:c r="G142" s="11" t="n">
        <x:v>0</x:v>
      </x:c>
      <x:c r="H142" s="25" t="n">
        <x:v>-0.6583333333333333</x:v>
      </x:c>
      <x:c r="I142" s="25" t="n">
        <x:v>-0.6583333333333333</x:v>
      </x:c>
      <x:c r="J142" s="25" t="str"/>
      <x:c r="K142" s="11" t="n">
        <x:v>1.957</x:v>
      </x:c>
      <x:c r="L142" s="11" t="n">
        <x:v>12</x:v>
      </x:c>
      <x:c r="M142" s="11" t="n">
        <x:v>1.1</x:v>
      </x:c>
      <x:c r="N142" s="11" t="n">
        <x:v>0</x:v>
      </x:c>
      <x:c r="O142" s="11" t="str"/>
      <x:c r="P142" s="11" t="str"/>
      <x:c r="Q142" s="11" t="str"/>
      <x:c r="R142" s="11" t="str">
        <x:v>byd-unit-owner-profit-v1.0</x:v>
      </x:c>
      <x:c r="S142" s="11" t="str">
        <x:v>2026-10-10</x:v>
      </x:c>
      <x:c r="T142" s="11" t="str">
        <x:f>IF(AND(SUM(IF(K142='假设'!E188,0,1),IF(L142='假设'!F188,0,1),IF(M142='假设'!G188,0,1),IF(N142='假设'!H188,0,1),IF(O142='假设'!I188,0,1),IF(P142='假设'!J188,0,1),IF(Q142='假设'!K188,0,1))=0,U142=V142),"已刷新","待刷新")</x:f>
        <x:v>已刷新</x:v>
      </x:c>
      <x:c r="U142" t="str">
        <x:v>2.4|1.4|2000|9000|1|9.4</x:v>
      </x:c>
      <x:c r="V142" t="str">
        <x:f>'经营假设'!AG8&amp;"|"&amp;'经营假设'!AH8&amp;"|"&amp;'经营假设'!AI8&amp;"|"&amp;'经营假设'!AJ8&amp;"|"&amp;'经营假设'!AK8&amp;"|"&amp;'经营假设'!AL8</x:f>
        <x:v>2.4|1.4|2000|9000|1|9.4</x:v>
      </x:c>
    </x:row>
    <x:row r="143" ht="23" customHeight="1">
      <x:c r="A143" s="11" t="str">
        <x:v>01211.HK</x:v>
      </x:c>
      <x:c r="B143" s="11" t="str">
        <x:v>比亚迪股份</x:v>
      </x:c>
      <x:c r="C143" s="11" t="str">
        <x:v>2026年底</x:v>
      </x:c>
      <x:c r="D143" s="11" t="str">
        <x:v>基准</x:v>
      </x:c>
      <x:c r="E143" s="11" t="n">
        <x:v>75.6</x:v>
      </x:c>
      <x:c r="F143" s="11" t="n">
        <x:v>103.18</x:v>
      </x:c>
      <x:c r="G143" s="11" t="n">
        <x:v>0</x:v>
      </x:c>
      <x:c r="H143" s="25" t="n">
        <x:v>0.3648148148148149</x:v>
      </x:c>
      <x:c r="I143" s="25" t="n">
        <x:v>0.3648148148148149</x:v>
      </x:c>
      <x:c r="J143" s="25" t="str"/>
      <x:c r="K143" s="11" t="n">
        <x:v>4.69</x:v>
      </x:c>
      <x:c r="L143" s="11" t="n">
        <x:v>20</x:v>
      </x:c>
      <x:c r="M143" s="11" t="n">
        <x:v>1.1</x:v>
      </x:c>
      <x:c r="N143" s="11" t="n">
        <x:v>0</x:v>
      </x:c>
      <x:c r="O143" s="11" t="str"/>
      <x:c r="P143" s="11" t="str"/>
      <x:c r="Q143" s="11" t="str"/>
      <x:c r="R143" s="11" t="str">
        <x:v>byd-unit-owner-profit-v1.0</x:v>
      </x:c>
      <x:c r="S143" s="11" t="str">
        <x:v>2026-10-10</x:v>
      </x:c>
      <x:c r="T143" s="11" t="str">
        <x:f>IF(AND(SUM(IF(K143='假设'!E189,0,1),IF(L143='假设'!F189,0,1),IF(M143='假设'!G189,0,1),IF(N143='假设'!H189,0,1),IF(O143='假设'!I189,0,1),IF(P143='假设'!J189,0,1),IF(Q143='假设'!K189,0,1))=0,U143=V143),"已刷新","待刷新")</x:f>
        <x:v>已刷新</x:v>
      </x:c>
      <x:c r="U143" t="str">
        <x:v>2.7|1.9|4500|15000|2.5|9.2</x:v>
      </x:c>
      <x:c r="V143" t="str">
        <x:f>'经营假设'!AG9&amp;"|"&amp;'经营假设'!AH9&amp;"|"&amp;'经营假设'!AI9&amp;"|"&amp;'经营假设'!AJ9&amp;"|"&amp;'经营假设'!AK9&amp;"|"&amp;'经营假设'!AL9</x:f>
        <x:v>2.7|1.9|4500|15000|2.5|9.2</x:v>
      </x:c>
    </x:row>
    <x:row r="144" ht="23" customHeight="1">
      <x:c r="A144" s="11" t="str">
        <x:v>01211.HK</x:v>
      </x:c>
      <x:c r="B144" s="11" t="str">
        <x:v>比亚迪股份</x:v>
      </x:c>
      <x:c r="C144" s="11" t="str">
        <x:v>2026年底</x:v>
      </x:c>
      <x:c r="D144" s="11" t="str">
        <x:v>乐观</x:v>
      </x:c>
      <x:c r="E144" s="11" t="n">
        <x:v>75.6</x:v>
      </x:c>
      <x:c r="F144" s="11" t="n">
        <x:v>216.85</x:v>
      </x:c>
      <x:c r="G144" s="11" t="n">
        <x:v>0</x:v>
      </x:c>
      <x:c r="H144" s="25" t="n">
        <x:v>1.8683862433862437</x:v>
      </x:c>
      <x:c r="I144" s="25" t="n">
        <x:v>1.8683862433862437</x:v>
      </x:c>
      <x:c r="J144" s="25" t="str"/>
      <x:c r="K144" s="11" t="n">
        <x:v>7.582</x:v>
      </x:c>
      <x:c r="L144" s="11" t="n">
        <x:v>26</x:v>
      </x:c>
      <x:c r="M144" s="11" t="n">
        <x:v>1.1</x:v>
      </x:c>
      <x:c r="N144" s="11" t="n">
        <x:v>0</x:v>
      </x:c>
      <x:c r="O144" s="11" t="str"/>
      <x:c r="P144" s="11" t="str"/>
      <x:c r="Q144" s="11" t="str"/>
      <x:c r="R144" s="11" t="str">
        <x:v>byd-unit-owner-profit-v1.0</x:v>
      </x:c>
      <x:c r="S144" s="11" t="str">
        <x:v>2026-10-10</x:v>
      </x:c>
      <x:c r="T144" s="11" t="str">
        <x:f>IF(AND(SUM(IF(K144='假设'!E190,0,1),IF(L144='假设'!F190,0,1),IF(M144='假设'!G190,0,1),IF(N144='假设'!H190,0,1),IF(O144='假设'!I190,0,1),IF(P144='假设'!J190,0,1),IF(Q144='假设'!K190,0,1))=0,U144=V144),"已刷新","待刷新")</x:f>
        <x:v>已刷新</x:v>
      </x:c>
      <x:c r="U144" t="str">
        <x:v>3|2.2|7000|20000|4|9.1</x:v>
      </x:c>
      <x:c r="V144" t="str">
        <x:f>'经营假设'!AG10&amp;"|"&amp;'经营假设'!AH10&amp;"|"&amp;'经营假设'!AI10&amp;"|"&amp;'经营假设'!AJ10&amp;"|"&amp;'经营假设'!AK10&amp;"|"&amp;'经营假设'!AL10</x:f>
        <x:v>3|2.2|7000|20000|4|9.1</x:v>
      </x:c>
    </x:row>
    <x:row r="145" ht="23" customHeight="1">
      <x:c r="A145" s="11" t="str">
        <x:v>01211.HK</x:v>
      </x:c>
      <x:c r="B145" s="11" t="str">
        <x:v>比亚迪股份</x:v>
      </x:c>
      <x:c r="C145" s="11" t="str">
        <x:v>半年</x:v>
      </x:c>
      <x:c r="D145" s="11" t="str">
        <x:v>悲观</x:v>
      </x:c>
      <x:c r="E145" s="11" t="n">
        <x:v>75.6</x:v>
      </x:c>
      <x:c r="F145" s="11" t="n">
        <x:v>25.91</x:v>
      </x:c>
      <x:c r="G145" s="11" t="n">
        <x:v>0</x:v>
      </x:c>
      <x:c r="H145" s="25" t="n">
        <x:v>-0.6572751322751322</x:v>
      </x:c>
      <x:c r="I145" s="25" t="n">
        <x:v>-0.6572751322751322</x:v>
      </x:c>
      <x:c r="J145" s="25" t="str"/>
      <x:c r="K145" s="11" t="n">
        <x:v>1.963</x:v>
      </x:c>
      <x:c r="L145" s="11" t="n">
        <x:v>12</x:v>
      </x:c>
      <x:c r="M145" s="11" t="n">
        <x:v>1.1</x:v>
      </x:c>
      <x:c r="N145" s="11" t="n">
        <x:v>0</x:v>
      </x:c>
      <x:c r="O145" s="11" t="str"/>
      <x:c r="P145" s="11" t="str"/>
      <x:c r="Q145" s="11" t="str"/>
      <x:c r="R145" s="11" t="str">
        <x:v>byd-unit-owner-profit-v1.0</x:v>
      </x:c>
      <x:c r="S145" s="11" t="str">
        <x:v>2026-10-10</x:v>
      </x:c>
      <x:c r="T145" s="11" t="str">
        <x:f>IF(AND(SUM(IF(K145='假设'!E192,0,1),IF(L145='假设'!F192,0,1),IF(M145='假设'!G192,0,1),IF(N145='假设'!H192,0,1),IF(O145='假设'!I192,0,1),IF(P145='假设'!J192,0,1),IF(Q145='假设'!K192,0,1))=0,U145=V145),"已刷新","待刷新")</x:f>
        <x:v>已刷新</x:v>
      </x:c>
      <x:c r="U145" t="str">
        <x:v>2.4|1.5|2000|8500|1|9.45</x:v>
      </x:c>
      <x:c r="V145" t="str">
        <x:f>'经营假设'!AG12&amp;"|"&amp;'经营假设'!AH12&amp;"|"&amp;'经营假设'!AI12&amp;"|"&amp;'经营假设'!AJ12&amp;"|"&amp;'经营假设'!AK12&amp;"|"&amp;'经营假设'!AL12</x:f>
        <x:v>2.4|1.5|2000|8500|1|9.45</x:v>
      </x:c>
    </x:row>
    <x:row r="146" ht="23" customHeight="1">
      <x:c r="A146" s="11" t="str">
        <x:v>01211.HK</x:v>
      </x:c>
      <x:c r="B146" s="11" t="str">
        <x:v>比亚迪股份</x:v>
      </x:c>
      <x:c r="C146" s="11" t="str">
        <x:v>半年</x:v>
      </x:c>
      <x:c r="D146" s="11" t="str">
        <x:v>基准</x:v>
      </x:c>
      <x:c r="E146" s="11" t="n">
        <x:v>75.6</x:v>
      </x:c>
      <x:c r="F146" s="11" t="n">
        <x:v>115.92</x:v>
      </x:c>
      <x:c r="G146" s="11" t="n">
        <x:v>0</x:v>
      </x:c>
      <x:c r="H146" s="25" t="n">
        <x:v>0.5333333333333334</x:v>
      </x:c>
      <x:c r="I146" s="25" t="n">
        <x:v>0.5333333333333334</x:v>
      </x:c>
      <x:c r="J146" s="25" t="str"/>
      <x:c r="K146" s="11" t="n">
        <x:v>5.269</x:v>
      </x:c>
      <x:c r="L146" s="11" t="n">
        <x:v>20</x:v>
      </x:c>
      <x:c r="M146" s="11" t="n">
        <x:v>1.1</x:v>
      </x:c>
      <x:c r="N146" s="11" t="n">
        <x:v>0</x:v>
      </x:c>
      <x:c r="O146" s="11" t="str"/>
      <x:c r="P146" s="11" t="str"/>
      <x:c r="Q146" s="11" t="str"/>
      <x:c r="R146" s="11" t="str">
        <x:v>byd-unit-owner-profit-v1.0</x:v>
      </x:c>
      <x:c r="S146" s="11" t="str">
        <x:v>2026-10-10</x:v>
      </x:c>
      <x:c r="T146" s="11" t="str">
        <x:f>IF(AND(SUM(IF(K146='假设'!E193,0,1),IF(L146='假设'!F193,0,1),IF(M146='假设'!G193,0,1),IF(N146='假设'!H193,0,1),IF(O146='假设'!I193,0,1),IF(P146='假设'!J193,0,1),IF(Q146='假设'!K193,0,1))=0,U146=V146),"已刷新","待刷新")</x:f>
        <x:v>已刷新</x:v>
      </x:c>
      <x:c r="U146" t="str">
        <x:v>2.8|2.05|5000|15500|2.7|9.2</x:v>
      </x:c>
      <x:c r="V146" t="str">
        <x:f>'经营假设'!AG13&amp;"|"&amp;'经营假设'!AH13&amp;"|"&amp;'经营假设'!AI13&amp;"|"&amp;'经营假设'!AJ13&amp;"|"&amp;'经营假设'!AK13&amp;"|"&amp;'经营假设'!AL13</x:f>
        <x:v>2.8|2.05|5000|15500|2.7|9.2</x:v>
      </x:c>
    </x:row>
    <x:row r="147" ht="23" customHeight="1">
      <x:c r="A147" s="11" t="str">
        <x:v>01211.HK</x:v>
      </x:c>
      <x:c r="B147" s="11" t="str">
        <x:v>比亚迪股份</x:v>
      </x:c>
      <x:c r="C147" s="11" t="str">
        <x:v>半年</x:v>
      </x:c>
      <x:c r="D147" s="11" t="str">
        <x:v>乐观</x:v>
      </x:c>
      <x:c r="E147" s="11" t="n">
        <x:v>75.6</x:v>
      </x:c>
      <x:c r="F147" s="11" t="n">
        <x:v>249.71</x:v>
      </x:c>
      <x:c r="G147" s="11" t="n">
        <x:v>0</x:v>
      </x:c>
      <x:c r="H147" s="25" t="n">
        <x:v>2.3030423280423284</x:v>
      </x:c>
      <x:c r="I147" s="25" t="n">
        <x:v>2.3030423280423284</x:v>
      </x:c>
      <x:c r="J147" s="25" t="str"/>
      <x:c r="K147" s="11" t="n">
        <x:v>8.731</x:v>
      </x:c>
      <x:c r="L147" s="11" t="n">
        <x:v>26</x:v>
      </x:c>
      <x:c r="M147" s="11" t="n">
        <x:v>1.1</x:v>
      </x:c>
      <x:c r="N147" s="11" t="n">
        <x:v>0</x:v>
      </x:c>
      <x:c r="O147" s="11" t="str"/>
      <x:c r="P147" s="11" t="str"/>
      <x:c r="Q147" s="11" t="str"/>
      <x:c r="R147" s="11" t="str">
        <x:v>byd-unit-owner-profit-v1.0</x:v>
      </x:c>
      <x:c r="S147" s="11" t="str">
        <x:v>2026-10-10</x:v>
      </x:c>
      <x:c r="T147" s="11" t="str">
        <x:f>IF(AND(SUM(IF(K147='假设'!E194,0,1),IF(L147='假设'!F194,0,1),IF(M147='假设'!G194,0,1),IF(N147='假设'!H194,0,1),IF(O147='假设'!I194,0,1),IF(P147='假设'!J194,0,1),IF(Q147='假设'!K194,0,1))=0,U147=V147),"已刷新","待刷新")</x:f>
        <x:v>已刷新</x:v>
      </x:c>
      <x:c r="U147" t="str">
        <x:v>3.2|2.5|7500|20500|4.2|9.1</x:v>
      </x:c>
      <x:c r="V147" t="str">
        <x:f>'经营假设'!AG14&amp;"|"&amp;'经营假设'!AH14&amp;"|"&amp;'经营假设'!AI14&amp;"|"&amp;'经营假设'!AJ14&amp;"|"&amp;'经营假设'!AK14&amp;"|"&amp;'经营假设'!AL14</x:f>
        <x:v>3.2|2.5|7500|20500|4.2|9.1</x:v>
      </x:c>
    </x:row>
    <x:row r="148" ht="23" customHeight="1">
      <x:c r="A148" s="11" t="str">
        <x:v>01211.HK</x:v>
      </x:c>
      <x:c r="B148" s="11" t="str">
        <x:v>比亚迪股份</x:v>
      </x:c>
      <x:c r="C148" s="11" t="str">
        <x:v>一年</x:v>
      </x:c>
      <x:c r="D148" s="11" t="str">
        <x:v>悲观</x:v>
      </x:c>
      <x:c r="E148" s="11" t="n">
        <x:v>75.6</x:v>
      </x:c>
      <x:c r="F148" s="11" t="n">
        <x:v>23.56</x:v>
      </x:c>
      <x:c r="G148" s="11" t="n">
        <x:v>0.25</x:v>
      </x:c>
      <x:c r="H148" s="25" t="n">
        <x:v>-0.6883597883597883</x:v>
      </x:c>
      <x:c r="I148" s="25" t="n">
        <x:v>-0.68505291005291</x:v>
      </x:c>
      <x:c r="J148" s="25" t="str"/>
      <x:c r="K148" s="11" t="n">
        <x:v>1.947</x:v>
      </x:c>
      <x:c r="L148" s="11" t="n">
        <x:v>11</x:v>
      </x:c>
      <x:c r="M148" s="11" t="n">
        <x:v>1.1</x:v>
      </x:c>
      <x:c r="N148" s="11" t="n">
        <x:v>0.25</x:v>
      </x:c>
      <x:c r="O148" s="11" t="str"/>
      <x:c r="P148" s="11" t="str"/>
      <x:c r="Q148" s="11" t="str"/>
      <x:c r="R148" s="11" t="str">
        <x:v>byd-unit-owner-profit-v1.0</x:v>
      </x:c>
      <x:c r="S148" s="11" t="str">
        <x:v>2026-10-10</x:v>
      </x:c>
      <x:c r="T148" s="11" t="str">
        <x:f>IF(AND(SUM(IF(K148='假设'!E196,0,1),IF(L148='假设'!F196,0,1),IF(M148='假设'!G196,0,1),IF(N148='假设'!H196,0,1),IF(O148='假设'!I196,0,1),IF(P148='假设'!J196,0,1),IF(Q148='假设'!K196,0,1))=0,U148=V148),"已刷新","待刷新")</x:f>
        <x:v>已刷新</x:v>
      </x:c>
      <x:c r="U148" t="str">
        <x:v>2.5|1.65|1800|8000|0.8|9.5</x:v>
      </x:c>
      <x:c r="V148" t="str">
        <x:f>'经营假设'!AG16&amp;"|"&amp;'经营假设'!AH16&amp;"|"&amp;'经营假设'!AI16&amp;"|"&amp;'经营假设'!AJ16&amp;"|"&amp;'经营假设'!AK16&amp;"|"&amp;'经营假设'!AL16</x:f>
        <x:v>2.5|1.65|1800|8000|0.8|9.5</x:v>
      </x:c>
    </x:row>
    <x:row r="149" ht="23" customHeight="1">
      <x:c r="A149" s="11" t="str">
        <x:v>01211.HK</x:v>
      </x:c>
      <x:c r="B149" s="11" t="str">
        <x:v>比亚迪股份</x:v>
      </x:c>
      <x:c r="C149" s="11" t="str">
        <x:v>一年</x:v>
      </x:c>
      <x:c r="D149" s="11" t="str">
        <x:v>基准</x:v>
      </x:c>
      <x:c r="E149" s="11" t="n">
        <x:v>75.6</x:v>
      </x:c>
      <x:c r="F149" s="11" t="n">
        <x:v>126.38</x:v>
      </x:c>
      <x:c r="G149" s="11" t="n">
        <x:v>0.5</x:v>
      </x:c>
      <x:c r="H149" s="25" t="n">
        <x:v>0.6716931216931217</x:v>
      </x:c>
      <x:c r="I149" s="25" t="n">
        <x:v>0.6783068783068784</x:v>
      </x:c>
      <x:c r="J149" s="25" t="str"/>
      <x:c r="K149" s="11" t="n">
        <x:v>6.047</x:v>
      </x:c>
      <x:c r="L149" s="11" t="n">
        <x:v>19</x:v>
      </x:c>
      <x:c r="M149" s="11" t="n">
        <x:v>1.1</x:v>
      </x:c>
      <x:c r="N149" s="11" t="n">
        <x:v>0.5</x:v>
      </x:c>
      <x:c r="O149" s="11" t="str"/>
      <x:c r="P149" s="11" t="str"/>
      <x:c r="Q149" s="11" t="str"/>
      <x:c r="R149" s="11" t="str">
        <x:v>byd-unit-owner-profit-v1.0</x:v>
      </x:c>
      <x:c r="S149" s="11" t="str">
        <x:v>2026-10-10</x:v>
      </x:c>
      <x:c r="T149" s="11" t="str">
        <x:f>IF(AND(SUM(IF(K149='假设'!E197,0,1),IF(L149='假设'!F197,0,1),IF(M149='假设'!G197,0,1),IF(N149='假设'!H197,0,1),IF(O149='假设'!I197,0,1),IF(P149='假设'!J197,0,1),IF(Q149='假设'!K197,0,1))=0,U149=V149),"已刷新","待刷新")</x:f>
        <x:v>待刷新</x:v>
      </x:c>
      <x:c r="U149" t="str">
        <x:v>2.9|2.3|5500|16000|3|9.22</x:v>
      </x:c>
      <x:c r="V149" t="str">
        <x:f>'经营假设'!AG17&amp;"|"&amp;'经营假设'!AH17&amp;"|"&amp;'经营假设'!AI17&amp;"|"&amp;'经营假设'!AJ17&amp;"|"&amp;'经营假设'!AK17&amp;"|"&amp;'经营假设'!AL17</x:f>
        <x:v>2.9|2.3|5600|16000|3|9.22</x:v>
      </x:c>
    </x:row>
    <x:row r="150" ht="23" customHeight="1">
      <x:c r="A150" s="11" t="str">
        <x:v>01211.HK</x:v>
      </x:c>
      <x:c r="B150" s="11" t="str">
        <x:v>比亚迪股份</x:v>
      </x:c>
      <x:c r="C150" s="11" t="str">
        <x:v>一年</x:v>
      </x:c>
      <x:c r="D150" s="11" t="str">
        <x:v>乐观</x:v>
      </x:c>
      <x:c r="E150" s="11" t="n">
        <x:v>75.6</x:v>
      </x:c>
      <x:c r="F150" s="11" t="n">
        <x:v>275.91</x:v>
      </x:c>
      <x:c r="G150" s="11" t="n">
        <x:v>0.9</x:v>
      </x:c>
      <x:c r="H150" s="25" t="n">
        <x:v>2.6496031746031754</x:v>
      </x:c>
      <x:c r="I150" s="25" t="n">
        <x:v>2.661507936507937</x:v>
      </x:c>
      <x:c r="J150" s="25" t="str"/>
      <x:c r="K150" s="11" t="n">
        <x:v>10.033</x:v>
      </x:c>
      <x:c r="L150" s="11" t="n">
        <x:v>25</x:v>
      </x:c>
      <x:c r="M150" s="11" t="n">
        <x:v>1.1</x:v>
      </x:c>
      <x:c r="N150" s="11" t="n">
        <x:v>0.9</x:v>
      </x:c>
      <x:c r="O150" s="11" t="str"/>
      <x:c r="P150" s="11" t="str"/>
      <x:c r="Q150" s="11" t="str"/>
      <x:c r="R150" s="11" t="str">
        <x:v>byd-unit-owner-profit-v1.0</x:v>
      </x:c>
      <x:c r="S150" s="11" t="str">
        <x:v>2026-10-10</x:v>
      </x:c>
      <x:c r="T150" s="11" t="str">
        <x:f>IF(AND(SUM(IF(K150='假设'!E198,0,1),IF(L150='假设'!F198,0,1),IF(M150='假设'!G198,0,1),IF(N150='假设'!H198,0,1),IF(O150='假设'!I198,0,1),IF(P150='假设'!J198,0,1),IF(Q150='假设'!K198,0,1))=0,U150=V150),"已刷新","待刷新")</x:f>
        <x:v>已刷新</x:v>
      </x:c>
      <x:c r="U150" t="str">
        <x:v>3.5|2.8|8000|21000|4.5|9.1</x:v>
      </x:c>
      <x:c r="V150" t="str">
        <x:f>'经营假设'!AG18&amp;"|"&amp;'经营假设'!AH18&amp;"|"&amp;'经营假设'!AI18&amp;"|"&amp;'经营假设'!AJ18&amp;"|"&amp;'经营假设'!AK18&amp;"|"&amp;'经营假设'!AL18</x:f>
        <x:v>3.5|2.8|8000|21000|4.5|9.1</x:v>
      </x:c>
    </x:row>
    <x:row r="151" ht="23" customHeight="1">
      <x:c r="A151" s="11" t="str">
        <x:v>01211.HK</x:v>
      </x:c>
      <x:c r="B151" s="11" t="str">
        <x:v>比亚迪股份</x:v>
      </x:c>
      <x:c r="C151" s="11" t="str">
        <x:v>三年</x:v>
      </x:c>
      <x:c r="D151" s="11" t="str">
        <x:v>悲观</x:v>
      </x:c>
      <x:c r="E151" s="11" t="n">
        <x:v>75.6</x:v>
      </x:c>
      <x:c r="F151" s="11" t="n">
        <x:v>20.02</x:v>
      </x:c>
      <x:c r="G151" s="11" t="n">
        <x:v>0.8</x:v>
      </x:c>
      <x:c r="H151" s="25" t="n">
        <x:v>-0.7351851851851852</x:v>
      </x:c>
      <x:c r="I151" s="25" t="n">
        <x:v>-0.7246031746031746</x:v>
      </x:c>
      <x:c r="J151" s="25" t="n">
        <x:v>-0.3493916343514183</x:v>
      </x:c>
      <x:c r="K151" s="11" t="n">
        <x:v>1.82</x:v>
      </x:c>
      <x:c r="L151" s="11" t="n">
        <x:v>10</x:v>
      </x:c>
      <x:c r="M151" s="11" t="n">
        <x:v>1.1</x:v>
      </x:c>
      <x:c r="N151" s="11" t="n">
        <x:v>0.8</x:v>
      </x:c>
      <x:c r="O151" s="11" t="str"/>
      <x:c r="P151" s="11" t="str"/>
      <x:c r="Q151" s="11" t="str"/>
      <x:c r="R151" s="11" t="str">
        <x:v>byd-unit-owner-profit-v1.0</x:v>
      </x:c>
      <x:c r="S151" s="11" t="str">
        <x:v>2026-10-10</x:v>
      </x:c>
      <x:c r="T151" s="11" t="str">
        <x:f>IF(AND(SUM(IF(K151='假设'!E200,0,1),IF(L151='假设'!F200,0,1),IF(M151='假设'!G200,0,1),IF(N151='假设'!H200,0,1),IF(O151='假设'!I200,0,1),IF(P151='假设'!J200,0,1),IF(Q151='假设'!K200,0,1))=0,U151=V151),"已刷新","待刷新")</x:f>
        <x:v>已刷新</x:v>
      </x:c>
      <x:c r="U151" t="str">
        <x:v>2.4|1.8|1600|7500|0.5|9.8</x:v>
      </x:c>
      <x:c r="V151" t="str">
        <x:f>'经营假设'!AG20&amp;"|"&amp;'经营假设'!AH20&amp;"|"&amp;'经营假设'!AI20&amp;"|"&amp;'经营假设'!AJ20&amp;"|"&amp;'经营假设'!AK20&amp;"|"&amp;'经营假设'!AL20</x:f>
        <x:v>2.4|1.8|1600|7500|0.5|9.8</x:v>
      </x:c>
    </x:row>
    <x:row r="152" ht="23" customHeight="1">
      <x:c r="A152" s="11" t="str">
        <x:v>01211.HK</x:v>
      </x:c>
      <x:c r="B152" s="11" t="str">
        <x:v>比亚迪股份</x:v>
      </x:c>
      <x:c r="C152" s="11" t="str">
        <x:v>三年</x:v>
      </x:c>
      <x:c r="D152" s="11" t="str">
        <x:v>基准</x:v>
      </x:c>
      <x:c r="E152" s="11" t="n">
        <x:v>75.6</x:v>
      </x:c>
      <x:c r="F152" s="11" t="n">
        <x:v>168.2</x:v>
      </x:c>
      <x:c r="G152" s="11" t="n">
        <x:v>2</x:v>
      </x:c>
      <x:c r="H152" s="25" t="n">
        <x:v>1.224867724867725</x:v>
      </x:c>
      <x:c r="I152" s="25" t="n">
        <x:v>1.2513227513227512</x:v>
      </x:c>
      <x:c r="J152" s="25" t="n">
        <x:v>0.31062743118176694</x:v>
      </x:c>
      <x:c r="K152" s="11" t="n">
        <x:v>8.495</x:v>
      </x:c>
      <x:c r="L152" s="11" t="n">
        <x:v>18</x:v>
      </x:c>
      <x:c r="M152" s="11" t="n">
        <x:v>1.1</x:v>
      </x:c>
      <x:c r="N152" s="11" t="n">
        <x:v>2</x:v>
      </x:c>
      <x:c r="O152" s="11" t="str"/>
      <x:c r="P152" s="11" t="str"/>
      <x:c r="Q152" s="11" t="str"/>
      <x:c r="R152" s="11" t="str">
        <x:v>byd-unit-owner-profit-v1.0</x:v>
      </x:c>
      <x:c r="S152" s="11" t="str">
        <x:v>2026-10-10</x:v>
      </x:c>
      <x:c r="T152" s="11" t="str">
        <x:f>IF(AND(SUM(IF(K152='假设'!E201,0,1),IF(L152='假设'!F201,0,1),IF(M152='假设'!G201,0,1),IF(N152='假设'!H201,0,1),IF(O152='假设'!I201,0,1),IF(P152='假设'!J201,0,1),IF(Q152='假设'!K201,0,1))=0,U152=V152),"已刷新","待刷新")</x:f>
        <x:v>已刷新</x:v>
      </x:c>
      <x:c r="U152" t="str">
        <x:v>3.1|3.2|7000|16500|4.5|9.3</x:v>
      </x:c>
      <x:c r="V152" t="str">
        <x:f>'经营假设'!AG21&amp;"|"&amp;'经营假设'!AH21&amp;"|"&amp;'经营假设'!AI21&amp;"|"&amp;'经营假设'!AJ21&amp;"|"&amp;'经营假设'!AK21&amp;"|"&amp;'经营假设'!AL21</x:f>
        <x:v>3.1|3.2|7000|16500|4.5|9.3</x:v>
      </x:c>
    </x:row>
    <x:row r="153" ht="23" customHeight="1">
      <x:c r="A153" s="11" t="str">
        <x:v>01211.HK</x:v>
      </x:c>
      <x:c r="B153" s="11" t="str">
        <x:v>比亚迪股份</x:v>
      </x:c>
      <x:c r="C153" s="11" t="str">
        <x:v>三年</x:v>
      </x:c>
      <x:c r="D153" s="11" t="str">
        <x:v>乐观</x:v>
      </x:c>
      <x:c r="E153" s="11" t="n">
        <x:v>75.6</x:v>
      </x:c>
      <x:c r="F153" s="11" t="n">
        <x:v>396.42</x:v>
      </x:c>
      <x:c r="G153" s="11" t="n">
        <x:v>3.5</x:v>
      </x:c>
      <x:c r="H153" s="25" t="n">
        <x:v>4.243650793650795</x:v>
      </x:c>
      <x:c r="I153" s="25" t="n">
        <x:v>4.28994708994709</x:v>
      </x:c>
      <x:c r="J153" s="25" t="n">
        <x:v>0.7424103524017056</x:v>
      </x:c>
      <x:c r="K153" s="11" t="n">
        <x:v>15.016</x:v>
      </x:c>
      <x:c r="L153" s="11" t="n">
        <x:v>24</x:v>
      </x:c>
      <x:c r="M153" s="11" t="n">
        <x:v>1.1</x:v>
      </x:c>
      <x:c r="N153" s="11" t="n">
        <x:v>3.5</x:v>
      </x:c>
      <x:c r="O153" s="11" t="str"/>
      <x:c r="P153" s="11" t="str"/>
      <x:c r="Q153" s="11" t="str"/>
      <x:c r="R153" s="11" t="str">
        <x:v>byd-unit-owner-profit-v1.0</x:v>
      </x:c>
      <x:c r="S153" s="11" t="str">
        <x:v>2026-10-10</x:v>
      </x:c>
      <x:c r="T153" s="11" t="str">
        <x:f>IF(AND(SUM(IF(K153='假设'!E202,0,1),IF(L153='假设'!F202,0,1),IF(M153='假设'!G202,0,1),IF(N153='假设'!H202,0,1),IF(O153='假设'!I202,0,1),IF(P153='假设'!J202,0,1),IF(Q153='假设'!K202,0,1))=0,U153=V153),"已刷新","待刷新")</x:f>
        <x:v>已刷新</x:v>
      </x:c>
      <x:c r="U153" t="str">
        <x:v>4|4.2|9500|22000|7|9.15</x:v>
      </x:c>
      <x:c r="V153" t="str">
        <x:f>'经营假设'!AG22&amp;"|"&amp;'经营假设'!AH22&amp;"|"&amp;'经营假设'!AI22&amp;"|"&amp;'经营假设'!AJ22&amp;"|"&amp;'经营假设'!AK22&amp;"|"&amp;'经营假设'!AL22</x:f>
        <x:v>4|4.2|9500|22000|7|9.15</x:v>
      </x:c>
    </x:row>
    <x:row r="154" ht="23" customHeight="1">
      <x:c r="A154" s="11" t="str">
        <x:v>01211.HK</x:v>
      </x:c>
      <x:c r="B154" s="11" t="str">
        <x:v>比亚迪股份</x:v>
      </x:c>
      <x:c r="C154" s="11" t="str">
        <x:v>五年</x:v>
      </x:c>
      <x:c r="D154" s="11" t="str">
        <x:v>悲观</x:v>
      </x:c>
      <x:c r="E154" s="11" t="n">
        <x:v>75.6</x:v>
      </x:c>
      <x:c r="F154" s="11" t="n">
        <x:v>16.65</x:v>
      </x:c>
      <x:c r="G154" s="11" t="n">
        <x:v>1.5</x:v>
      </x:c>
      <x:c r="H154" s="25" t="n">
        <x:v>-0.7797619047619048</x:v>
      </x:c>
      <x:c r="I154" s="25" t="n">
        <x:v>-0.7599206349206349</x:v>
      </x:c>
      <x:c r="J154" s="25" t="n">
        <x:v>-0.24825427547682954</x:v>
      </x:c>
      <x:c r="K154" s="11" t="n">
        <x:v>1.682</x:v>
      </x:c>
      <x:c r="L154" s="11" t="n">
        <x:v>9</x:v>
      </x:c>
      <x:c r="M154" s="11" t="n">
        <x:v>1.1</x:v>
      </x:c>
      <x:c r="N154" s="11" t="n">
        <x:v>1.5</x:v>
      </x:c>
      <x:c r="O154" s="11" t="str"/>
      <x:c r="P154" s="11" t="str"/>
      <x:c r="Q154" s="11" t="str"/>
      <x:c r="R154" s="11" t="str">
        <x:v>byd-unit-owner-profit-v1.0</x:v>
      </x:c>
      <x:c r="S154" s="11" t="str">
        <x:v>2026-10-10</x:v>
      </x:c>
      <x:c r="T154" s="11" t="str">
        <x:f>IF(AND(SUM(IF(K154='假设'!E204,0,1),IF(L154='假设'!F204,0,1),IF(M154='假设'!G204,0,1),IF(N154='假设'!H204,0,1),IF(O154='假设'!I204,0,1),IF(P154='假设'!J204,0,1),IF(Q154='假设'!K204,0,1))=0,U154=V154),"已刷新","待刷新")</x:f>
        <x:v>已刷新</x:v>
      </x:c>
      <x:c r="U154" t="str">
        <x:v>2.3|2|1300|7000|0|10.1</x:v>
      </x:c>
      <x:c r="V154" t="str">
        <x:f>'经营假设'!AG24&amp;"|"&amp;'经营假设'!AH24&amp;"|"&amp;'经营假设'!AI24&amp;"|"&amp;'经营假设'!AJ24&amp;"|"&amp;'经营假设'!AK24&amp;"|"&amp;'经营假设'!AL24</x:f>
        <x:v>2.3|2|1300|7000|0|10.1</x:v>
      </x:c>
    </x:row>
    <x:row r="155" ht="23" customHeight="1">
      <x:c r="A155" s="11" t="str">
        <x:v>01211.HK</x:v>
      </x:c>
      <x:c r="B155" s="11" t="str">
        <x:v>比亚迪股份</x:v>
      </x:c>
      <x:c r="C155" s="11" t="str">
        <x:v>五年</x:v>
      </x:c>
      <x:c r="D155" s="11" t="str">
        <x:v>基准</x:v>
      </x:c>
      <x:c r="E155" s="11" t="n">
        <x:v>75.6</x:v>
      </x:c>
      <x:c r="F155" s="11" t="n">
        <x:v>199.73</x:v>
      </x:c>
      <x:c r="G155" s="11" t="n">
        <x:v>4</x:v>
      </x:c>
      <x:c r="H155" s="25" t="n">
        <x:v>1.641931216931217</x:v>
      </x:c>
      <x:c r="I155" s="25" t="n">
        <x:v>1.69484126984127</x:v>
      </x:c>
      <x:c r="J155" s="25" t="n">
        <x:v>0.21928894994578596</x:v>
      </x:c>
      <x:c r="K155" s="11" t="n">
        <x:v>10.681</x:v>
      </x:c>
      <x:c r="L155" s="11" t="n">
        <x:v>17</x:v>
      </x:c>
      <x:c r="M155" s="11" t="n">
        <x:v>1.1</x:v>
      </x:c>
      <x:c r="N155" s="11" t="n">
        <x:v>4</x:v>
      </x:c>
      <x:c r="O155" s="11" t="str"/>
      <x:c r="P155" s="11" t="str"/>
      <x:c r="Q155" s="11" t="str"/>
      <x:c r="R155" s="11" t="str">
        <x:v>byd-unit-owner-profit-v1.0</x:v>
      </x:c>
      <x:c r="S155" s="11" t="str">
        <x:v>2026-10-10</x:v>
      </x:c>
      <x:c r="T155" s="11" t="str">
        <x:f>IF(AND(SUM(IF(K155='假设'!E205,0,1),IF(L155='假设'!F205,0,1),IF(M155='假设'!G205,0,1),IF(N155='假设'!H205,0,1),IF(O155='假设'!I205,0,1),IF(P155='假设'!J205,0,1),IF(Q155='假设'!K205,0,1))=0,U155=V155),"已刷新","待刷新")</x:f>
        <x:v>已刷新</x:v>
      </x:c>
      <x:c r="U155" t="str">
        <x:v>3.3|4|8000|17000|6|9.4</x:v>
      </x:c>
      <x:c r="V155" t="str">
        <x:f>'经营假设'!AG25&amp;"|"&amp;'经营假设'!AH25&amp;"|"&amp;'经营假设'!AI25&amp;"|"&amp;'经营假设'!AJ25&amp;"|"&amp;'经营假设'!AK25&amp;"|"&amp;'经营假设'!AL25</x:f>
        <x:v>3.3|4|8000|17000|6|9.4</x:v>
      </x:c>
    </x:row>
    <x:row r="156" ht="23" customHeight="1">
      <x:c r="A156" s="11" t="str">
        <x:v>01211.HK</x:v>
      </x:c>
      <x:c r="B156" s="11" t="str">
        <x:v>比亚迪股份</x:v>
      </x:c>
      <x:c r="C156" s="11" t="str">
        <x:v>五年</x:v>
      </x:c>
      <x:c r="D156" s="11" t="str">
        <x:v>乐观</x:v>
      </x:c>
      <x:c r="E156" s="11" t="n">
        <x:v>75.6</x:v>
      </x:c>
      <x:c r="F156" s="11" t="n">
        <x:v>519.5</x:v>
      </x:c>
      <x:c r="G156" s="11" t="n">
        <x:v>7</x:v>
      </x:c>
      <x:c r="H156" s="25" t="n">
        <x:v>5.871693121693122</x:v>
      </x:c>
      <x:c r="I156" s="25" t="n">
        <x:v>5.964285714285714</x:v>
      </x:c>
      <x:c r="J156" s="25" t="n">
        <x:v>0.4742641879248035</x:v>
      </x:c>
      <x:c r="K156" s="11" t="n">
        <x:v>21.467</x:v>
      </x:c>
      <x:c r="L156" s="11" t="n">
        <x:v>22</x:v>
      </x:c>
      <x:c r="M156" s="11" t="n">
        <x:v>1.1</x:v>
      </x:c>
      <x:c r="N156" s="11" t="n">
        <x:v>7</x:v>
      </x:c>
      <x:c r="O156" s="11" t="str"/>
      <x:c r="P156" s="11" t="str"/>
      <x:c r="Q156" s="11" t="str"/>
      <x:c r="R156" s="11" t="str">
        <x:v>byd-unit-owner-profit-v1.0</x:v>
      </x:c>
      <x:c r="S156" s="11" t="str">
        <x:v>2026-10-10</x:v>
      </x:c>
      <x:c r="T156" s="11" t="str">
        <x:f>IF(AND(SUM(IF(K156='假设'!E206,0,1),IF(L156='假设'!F206,0,1),IF(M156='假设'!G206,0,1),IF(N156='假设'!H206,0,1),IF(O156='假设'!I206,0,1),IF(P156='假设'!J206,0,1),IF(Q156='假设'!K206,0,1))=0,U156=V156),"已刷新","待刷新")</x:f>
        <x:v>已刷新</x:v>
      </x:c>
      <x:c r="U156" t="str">
        <x:v>4.5|6|11000|23000|10|9.2</x:v>
      </x:c>
      <x:c r="V156" t="str">
        <x:f>'经营假设'!AG26&amp;"|"&amp;'经营假设'!AH26&amp;"|"&amp;'经营假设'!AI26&amp;"|"&amp;'经营假设'!AJ26&amp;"|"&amp;'经营假设'!AK26&amp;"|"&amp;'经营假设'!AL26</x:f>
        <x:v>4.5|6|11000|23000|10|9.2</x:v>
      </x:c>
    </x:row>
    <x:row r="157" ht="23" customHeight="1">
      <x:c r="A157" s="11" t="str">
        <x:v>03750.HK</x:v>
      </x:c>
      <x:c r="B157" s="11" t="str">
        <x:v>宁德时代</x:v>
      </x:c>
      <x:c r="C157" s="11" t="str">
        <x:v>2026年底</x:v>
      </x:c>
      <x:c r="D157" s="11" t="str">
        <x:v>悲观</x:v>
      </x:c>
      <x:c r="E157" s="11" t="n">
        <x:v>491.4</x:v>
      </x:c>
      <x:c r="F157" s="11" t="n">
        <x:v>173.12</x:v>
      </x:c>
      <x:c r="G157" s="11" t="n">
        <x:v>0</x:v>
      </x:c>
      <x:c r="H157" s="25" t="n">
        <x:v>-0.6477004477004477</x:v>
      </x:c>
      <x:c r="I157" s="25" t="n">
        <x:v>-0.6477004477004477</x:v>
      </x:c>
      <x:c r="J157" s="25" t="str"/>
      <x:c r="K157" s="11" t="n">
        <x:v>9.258</x:v>
      </x:c>
      <x:c r="L157" s="11" t="n">
        <x:v>17</x:v>
      </x:c>
      <x:c r="M157" s="11" t="n">
        <x:v>1.1</x:v>
      </x:c>
      <x:c r="N157" s="11" t="n">
        <x:v>0</x:v>
      </x:c>
      <x:c r="O157" s="11" t="str"/>
      <x:c r="P157" s="11" t="str"/>
      <x:c r="Q157" s="11" t="str"/>
      <x:c r="R157" s="11" t="str">
        <x:v>catl-normalized-four-segment-v1.0</x:v>
      </x:c>
      <x:c r="S157" s="11" t="str">
        <x:v>2026-10-10</x:v>
      </x:c>
      <x:c r="T157" s="11" t="str">
        <x:f>IF(AND(SUM(IF(K157='假设'!E208,0,1),IF(L157='假设'!F208,0,1),IF(M157='假设'!G208,0,1),IF(N157='假设'!H208,0,1),IF(O157='假设'!I208,0,1),IF(P157='假设'!J208,0,1),IF(Q157='假设'!K208,0,1))=0,U157=V157),"已刷新","待刷新")</x:f>
        <x:v>已刷新</x:v>
      </x:c>
      <x:c r="U157" t="str">
        <x:v>360|0.11|95|0.1|30|0.08|20|0.15|3|0.16|0.92|4.8</x:v>
      </x:c>
      <x:c r="V157" t="str">
        <x:f>'经营假设'!AU8&amp;"|"&amp;'经营假设'!AV8&amp;"|"&amp;'经营假设'!AW8&amp;"|"&amp;'经营假设'!AX8&amp;"|"&amp;'经营假设'!AY8&amp;"|"&amp;'经营假设'!AZ8&amp;"|"&amp;'经营假设'!BA8&amp;"|"&amp;'经营假设'!BB8&amp;"|"&amp;'经营假设'!BC8&amp;"|"&amp;'经营假设'!BD8&amp;"|"&amp;'经营假设'!BE8&amp;"|"&amp;'经营假设'!BF8</x:f>
        <x:v>360|0.11|95|0.1|30|0.08|20|0.15|3|0.16|0.92|4.8</x:v>
      </x:c>
    </x:row>
    <x:row r="158" ht="23" customHeight="1">
      <x:c r="A158" s="11" t="str">
        <x:v>03750.HK</x:v>
      </x:c>
      <x:c r="B158" s="11" t="str">
        <x:v>宁德时代</x:v>
      </x:c>
      <x:c r="C158" s="11" t="str">
        <x:v>2026年底</x:v>
      </x:c>
      <x:c r="D158" s="11" t="str">
        <x:v>基准</x:v>
      </x:c>
      <x:c r="E158" s="11" t="n">
        <x:v>491.4</x:v>
      </x:c>
      <x:c r="F158" s="11" t="n">
        <x:v>520.98</x:v>
      </x:c>
      <x:c r="G158" s="11" t="n">
        <x:v>0</x:v>
      </x:c>
      <x:c r="H158" s="25" t="n">
        <x:v>0.060195360195360204</x:v>
      </x:c>
      <x:c r="I158" s="25" t="n">
        <x:v>0.060195360195360204</x:v>
      </x:c>
      <x:c r="J158" s="25" t="str"/>
      <x:c r="K158" s="11" t="n">
        <x:v>18.216</x:v>
      </x:c>
      <x:c r="L158" s="11" t="n">
        <x:v>26</x:v>
      </x:c>
      <x:c r="M158" s="11" t="n">
        <x:v>1.1</x:v>
      </x:c>
      <x:c r="N158" s="11" t="n">
        <x:v>0</x:v>
      </x:c>
      <x:c r="O158" s="11" t="str"/>
      <x:c r="P158" s="11" t="str"/>
      <x:c r="Q158" s="11" t="str"/>
      <x:c r="R158" s="11" t="str">
        <x:v>catl-normalized-four-segment-v1.0</x:v>
      </x:c>
      <x:c r="S158" s="11" t="str">
        <x:v>2026-10-10</x:v>
      </x:c>
      <x:c r="T158" s="11" t="str">
        <x:f>IF(AND(SUM(IF(K158='假设'!E209,0,1),IF(L158='假设'!F209,0,1),IF(M158='假设'!G209,0,1),IF(N158='假设'!H209,0,1),IF(O158='假设'!I209,0,1),IF(P158='假设'!J209,0,1),IF(Q158='假设'!K209,0,1))=0,U158=V158),"已刷新","待刷新")</x:f>
        <x:v>已刷新</x:v>
      </x:c>
      <x:c r="U158" t="str">
        <x:v>435|0.155|125|0.17|40|0.15|23|0.24|8|0.16|0.93|4.64</x:v>
      </x:c>
      <x:c r="V158" t="str">
        <x:f>'经营假设'!AU9&amp;"|"&amp;'经营假设'!AV9&amp;"|"&amp;'经营假设'!AW9&amp;"|"&amp;'经营假设'!AX9&amp;"|"&amp;'经营假设'!AY9&amp;"|"&amp;'经营假设'!AZ9&amp;"|"&amp;'经营假设'!BA9&amp;"|"&amp;'经营假设'!BB9&amp;"|"&amp;'经营假设'!BC9&amp;"|"&amp;'经营假设'!BD9&amp;"|"&amp;'经营假设'!BE9&amp;"|"&amp;'经营假设'!BF9</x:f>
        <x:v>435|0.155|125|0.17|40|0.15|23|0.24|8|0.16|0.93|4.64</x:v>
      </x:c>
    </x:row>
    <x:row r="159" ht="23" customHeight="1">
      <x:c r="A159" s="11" t="str">
        <x:v>03750.HK</x:v>
      </x:c>
      <x:c r="B159" s="11" t="str">
        <x:v>宁德时代</x:v>
      </x:c>
      <x:c r="C159" s="11" t="str">
        <x:v>2026年底</x:v>
      </x:c>
      <x:c r="D159" s="11" t="str">
        <x:v>乐观</x:v>
      </x:c>
      <x:c r="E159" s="11" t="n">
        <x:v>491.4</x:v>
      </x:c>
      <x:c r="F159" s="11" t="n">
        <x:v>915.38</x:v>
      </x:c>
      <x:c r="G159" s="11" t="n">
        <x:v>0</x:v>
      </x:c>
      <x:c r="H159" s="25" t="n">
        <x:v>0.8628001628001629</x:v>
      </x:c>
      <x:c r="I159" s="25" t="n">
        <x:v>0.8628001628001629</x:v>
      </x:c>
      <x:c r="J159" s="25" t="str"/>
      <x:c r="K159" s="11" t="n">
        <x:v>26.005</x:v>
      </x:c>
      <x:c r="L159" s="11" t="n">
        <x:v>32</x:v>
      </x:c>
      <x:c r="M159" s="11" t="n">
        <x:v>1.1</x:v>
      </x:c>
      <x:c r="N159" s="11" t="n">
        <x:v>0</x:v>
      </x:c>
      <x:c r="O159" s="11" t="str"/>
      <x:c r="P159" s="11" t="str"/>
      <x:c r="Q159" s="11" t="str"/>
      <x:c r="R159" s="11" t="str">
        <x:v>catl-normalized-four-segment-v1.0</x:v>
      </x:c>
      <x:c r="S159" s="11" t="str">
        <x:v>2026-10-10</x:v>
      </x:c>
      <x:c r="T159" s="11" t="str">
        <x:f>IF(AND(SUM(IF(K159='假设'!E210,0,1),IF(L159='假设'!F210,0,1),IF(M159='假设'!G210,0,1),IF(N159='假设'!H210,0,1),IF(O159='假设'!I210,0,1),IF(P159='假设'!J210,0,1),IF(Q159='假设'!K210,0,1))=0,U159=V159),"已刷新","待刷新")</x:f>
        <x:v>已刷新</x:v>
      </x:c>
      <x:c r="U159" t="str">
        <x:v>490|0.18|160|0.21|48|0.2|27|0.3|12|0.16|0.94|4.6</x:v>
      </x:c>
      <x:c r="V159" t="str">
        <x:f>'经营假设'!AU10&amp;"|"&amp;'经营假设'!AV10&amp;"|"&amp;'经营假设'!AW10&amp;"|"&amp;'经营假设'!AX10&amp;"|"&amp;'经营假设'!AY10&amp;"|"&amp;'经营假设'!AZ10&amp;"|"&amp;'经营假设'!BA10&amp;"|"&amp;'经营假设'!BB10&amp;"|"&amp;'经营假设'!BC10&amp;"|"&amp;'经营假设'!BD10&amp;"|"&amp;'经营假设'!BE10&amp;"|"&amp;'经营假设'!BF10</x:f>
        <x:v>490|0.18|160|0.21|48|0.2|27|0.3|12|0.16|0.94|4.6</x:v>
      </x:c>
    </x:row>
    <x:row r="160" ht="23" customHeight="1">
      <x:c r="A160" s="11" t="str">
        <x:v>03750.HK</x:v>
      </x:c>
      <x:c r="B160" s="11" t="str">
        <x:v>宁德时代</x:v>
      </x:c>
      <x:c r="C160" s="11" t="str">
        <x:v>半年</x:v>
      </x:c>
      <x:c r="D160" s="11" t="str">
        <x:v>悲观</x:v>
      </x:c>
      <x:c r="E160" s="11" t="n">
        <x:v>491.4</x:v>
      </x:c>
      <x:c r="F160" s="11" t="n">
        <x:v>165.36</x:v>
      </x:c>
      <x:c r="G160" s="11" t="n">
        <x:v>0</x:v>
      </x:c>
      <x:c r="H160" s="25" t="n">
        <x:v>-0.6634920634920635</x:v>
      </x:c>
      <x:c r="I160" s="25" t="n">
        <x:v>-0.6634920634920635</x:v>
      </x:c>
      <x:c r="J160" s="25" t="str"/>
      <x:c r="K160" s="11" t="n">
        <x:v>8.843</x:v>
      </x:c>
      <x:c r="L160" s="11" t="n">
        <x:v>17</x:v>
      </x:c>
      <x:c r="M160" s="11" t="n">
        <x:v>1.1</x:v>
      </x:c>
      <x:c r="N160" s="11" t="n">
        <x:v>0</x:v>
      </x:c>
      <x:c r="O160" s="11" t="str"/>
      <x:c r="P160" s="11" t="str"/>
      <x:c r="Q160" s="11" t="str"/>
      <x:c r="R160" s="11" t="str">
        <x:v>catl-normalized-four-segment-v1.0</x:v>
      </x:c>
      <x:c r="S160" s="11" t="str">
        <x:v>2026-10-10</x:v>
      </x:c>
      <x:c r="T160" s="11" t="str">
        <x:f>IF(AND(SUM(IF(K160='假设'!E212,0,1),IF(L160='假设'!F212,0,1),IF(M160='假设'!G212,0,1),IF(N160='假设'!H212,0,1),IF(O160='假设'!I212,0,1),IF(P160='假设'!J212,0,1),IF(Q160='假设'!K212,0,1))=0,U160=V160),"已刷新","待刷新")</x:f>
        <x:v>已刷新</x:v>
      </x:c>
      <x:c r="U160" t="str">
        <x:v>365|0.105|100|0.09|29|0.07|20|0.14|3|0.16|0.92|4.82</x:v>
      </x:c>
      <x:c r="V160" t="str">
        <x:f>'经营假设'!AU12&amp;"|"&amp;'经营假设'!AV12&amp;"|"&amp;'经营假设'!AW12&amp;"|"&amp;'经营假设'!AX12&amp;"|"&amp;'经营假设'!AY12&amp;"|"&amp;'经营假设'!AZ12&amp;"|"&amp;'经营假设'!BA12&amp;"|"&amp;'经营假设'!BB12&amp;"|"&amp;'经营假设'!BC12&amp;"|"&amp;'经营假设'!BD12&amp;"|"&amp;'经营假设'!BE12&amp;"|"&amp;'经营假设'!BF12</x:f>
        <x:v>365|0.105|100|0.09|29|0.07|20|0.14|3|0.16|0.92|4.82</x:v>
      </x:c>
    </x:row>
    <x:row r="161" ht="23" customHeight="1">
      <x:c r="A161" s="11" t="str">
        <x:v>03750.HK</x:v>
      </x:c>
      <x:c r="B161" s="11" t="str">
        <x:v>宁德时代</x:v>
      </x:c>
      <x:c r="C161" s="11" t="str">
        <x:v>半年</x:v>
      </x:c>
      <x:c r="D161" s="11" t="str">
        <x:v>基准</x:v>
      </x:c>
      <x:c r="E161" s="11" t="n">
        <x:v>491.4</x:v>
      </x:c>
      <x:c r="F161" s="11" t="n">
        <x:v>580.27</x:v>
      </x:c>
      <x:c r="G161" s="11" t="n">
        <x:v>0</x:v>
      </x:c>
      <x:c r="H161" s="25" t="n">
        <x:v>0.1808506308506308</x:v>
      </x:c>
      <x:c r="I161" s="25" t="n">
        <x:v>0.1808506308506308</x:v>
      </x:c>
      <x:c r="J161" s="25" t="str"/>
      <x:c r="K161" s="11" t="n">
        <x:v>20.289</x:v>
      </x:c>
      <x:c r="L161" s="11" t="n">
        <x:v>26</x:v>
      </x:c>
      <x:c r="M161" s="11" t="n">
        <x:v>1.1</x:v>
      </x:c>
      <x:c r="N161" s="11" t="n">
        <x:v>0</x:v>
      </x:c>
      <x:c r="O161" s="11" t="str"/>
      <x:c r="P161" s="11" t="str"/>
      <x:c r="Q161" s="11" t="str"/>
      <x:c r="R161" s="11" t="str">
        <x:v>catl-normalized-four-segment-v1.0</x:v>
      </x:c>
      <x:c r="S161" s="11" t="str">
        <x:v>2026-10-10</x:v>
      </x:c>
      <x:c r="T161" s="11" t="str">
        <x:f>IF(AND(SUM(IF(K161='假设'!E213,0,1),IF(L161='假设'!F213,0,1),IF(M161='假设'!G213,0,1),IF(N161='假设'!H213,0,1),IF(O161='假设'!I213,0,1),IF(P161='假设'!J213,0,1),IF(Q161='假设'!K213,0,1))=0,U161=V161),"已刷新","待刷新")</x:f>
        <x:v>已刷新</x:v>
      </x:c>
      <x:c r="U161" t="str">
        <x:v>460|0.16|145|0.18|42|0.15|25|0.25|8|0.16|0.93|4.63</x:v>
      </x:c>
      <x:c r="V161" t="str">
        <x:f>'经营假设'!AU13&amp;"|"&amp;'经营假设'!AV13&amp;"|"&amp;'经营假设'!AW13&amp;"|"&amp;'经营假设'!AX13&amp;"|"&amp;'经营假设'!AY13&amp;"|"&amp;'经营假设'!AZ13&amp;"|"&amp;'经营假设'!BA13&amp;"|"&amp;'经营假设'!BB13&amp;"|"&amp;'经营假设'!BC13&amp;"|"&amp;'经营假设'!BD13&amp;"|"&amp;'经营假设'!BE13&amp;"|"&amp;'经营假设'!BF13</x:f>
        <x:v>460|0.16|145|0.18|42|0.15|25|0.25|8|0.16|0.93|4.63</x:v>
      </x:c>
    </x:row>
    <x:row r="162" ht="23" customHeight="1">
      <x:c r="A162" s="11" t="str">
        <x:v>03750.HK</x:v>
      </x:c>
      <x:c r="B162" s="11" t="str">
        <x:v>宁德时代</x:v>
      </x:c>
      <x:c r="C162" s="11" t="str">
        <x:v>半年</x:v>
      </x:c>
      <x:c r="D162" s="11" t="str">
        <x:v>乐观</x:v>
      </x:c>
      <x:c r="E162" s="11" t="n">
        <x:v>491.4</x:v>
      </x:c>
      <x:c r="F162" s="11" t="n">
        <x:v>1056.63</x:v>
      </x:c>
      <x:c r="G162" s="11" t="n">
        <x:v>0</x:v>
      </x:c>
      <x:c r="H162" s="25" t="n">
        <x:v>1.1502442002442006</x:v>
      </x:c>
      <x:c r="I162" s="25" t="n">
        <x:v>1.1502442002442006</x:v>
      </x:c>
      <x:c r="J162" s="25" t="str"/>
      <x:c r="K162" s="11" t="n">
        <x:v>30.018</x:v>
      </x:c>
      <x:c r="L162" s="11" t="n">
        <x:v>32</x:v>
      </x:c>
      <x:c r="M162" s="11" t="n">
        <x:v>1.1</x:v>
      </x:c>
      <x:c r="N162" s="11" t="n">
        <x:v>0</x:v>
      </x:c>
      <x:c r="O162" s="11" t="str"/>
      <x:c r="P162" s="11" t="str"/>
      <x:c r="Q162" s="11" t="str"/>
      <x:c r="R162" s="11" t="str">
        <x:v>catl-normalized-four-segment-v1.0</x:v>
      </x:c>
      <x:c r="S162" s="11" t="str">
        <x:v>2026-10-10</x:v>
      </x:c>
      <x:c r="T162" s="11" t="str">
        <x:f>IF(AND(SUM(IF(K162='假设'!E214,0,1),IF(L162='假设'!F214,0,1),IF(M162='假设'!G214,0,1),IF(N162='假设'!H214,0,1),IF(O162='假设'!I214,0,1),IF(P162='假设'!J214,0,1),IF(Q162='假设'!K214,0,1))=0,U162=V162),"已刷新","待刷新")</x:f>
        <x:v>已刷新</x:v>
      </x:c>
      <x:c r="U162" t="str">
        <x:v>535|0.185|190|0.225|55|0.21|30|0.32|12|0.16|0.94|4.6</x:v>
      </x:c>
      <x:c r="V162" t="str">
        <x:f>'经营假设'!AU14&amp;"|"&amp;'经营假设'!AV14&amp;"|"&amp;'经营假设'!AW14&amp;"|"&amp;'经营假设'!AX14&amp;"|"&amp;'经营假设'!AY14&amp;"|"&amp;'经营假设'!AZ14&amp;"|"&amp;'经营假设'!BA14&amp;"|"&amp;'经营假设'!BB14&amp;"|"&amp;'经营假设'!BC14&amp;"|"&amp;'经营假设'!BD14&amp;"|"&amp;'经营假设'!BE14&amp;"|"&amp;'经营假设'!BF14</x:f>
        <x:v>535|0.185|190|0.225|55|0.21|30|0.32|12|0.16|0.94|4.6</x:v>
      </x:c>
    </x:row>
    <x:row r="163" ht="23" customHeight="1">
      <x:c r="A163" s="11" t="str">
        <x:v>03750.HK</x:v>
      </x:c>
      <x:c r="B163" s="11" t="str">
        <x:v>宁德时代</x:v>
      </x:c>
      <x:c r="C163" s="11" t="str">
        <x:v>一年</x:v>
      </x:c>
      <x:c r="D163" s="11" t="str">
        <x:v>悲观</x:v>
      </x:c>
      <x:c r="E163" s="11" t="n">
        <x:v>491.4</x:v>
      </x:c>
      <x:c r="F163" s="11" t="n">
        <x:v>154.88</x:v>
      </x:c>
      <x:c r="G163" s="11" t="n">
        <x:v>4</x:v>
      </x:c>
      <x:c r="H163" s="25" t="n">
        <x:v>-0.6848188848188848</x:v>
      </x:c>
      <x:c r="I163" s="25" t="n">
        <x:v>-0.6766788766788767</x:v>
      </x:c>
      <x:c r="J163" s="25" t="str"/>
      <x:c r="K163" s="11" t="n">
        <x:v>8.8</x:v>
      </x:c>
      <x:c r="L163" s="11" t="n">
        <x:v>16</x:v>
      </x:c>
      <x:c r="M163" s="11" t="n">
        <x:v>1.1</x:v>
      </x:c>
      <x:c r="N163" s="11" t="n">
        <x:v>4</x:v>
      </x:c>
      <x:c r="O163" s="11" t="str"/>
      <x:c r="P163" s="11" t="str"/>
      <x:c r="Q163" s="11" t="str"/>
      <x:c r="R163" s="11" t="str">
        <x:v>catl-normalized-four-segment-v1.0</x:v>
      </x:c>
      <x:c r="S163" s="11" t="str">
        <x:v>2026-10-10</x:v>
      </x:c>
      <x:c r="T163" s="11" t="str">
        <x:f>IF(AND(SUM(IF(K163='假设'!E216,0,1),IF(L163='假设'!F216,0,1),IF(M163='假设'!G216,0,1),IF(N163='假设'!H216,0,1),IF(O163='假设'!I216,0,1),IF(P163='假设'!J216,0,1),IF(Q163='假设'!K216,0,1))=0,U163=V163),"已刷新","待刷新")</x:f>
        <x:v>已刷新</x:v>
      </x:c>
      <x:c r="U163" t="str">
        <x:v>385|0.1|115|0.08|30|0.06|21|0.13|3|0.16|0.92|4.85</x:v>
      </x:c>
      <x:c r="V163" t="str">
        <x:f>'经营假设'!AU16&amp;"|"&amp;'经营假设'!AV16&amp;"|"&amp;'经营假设'!AW16&amp;"|"&amp;'经营假设'!AX16&amp;"|"&amp;'经营假设'!AY16&amp;"|"&amp;'经营假设'!AZ16&amp;"|"&amp;'经营假设'!BA16&amp;"|"&amp;'经营假设'!BB16&amp;"|"&amp;'经营假设'!BC16&amp;"|"&amp;'经营假设'!BD16&amp;"|"&amp;'经营假设'!BE16&amp;"|"&amp;'经营假设'!BF16</x:f>
        <x:v>385|0.1|115|0.08|30|0.06|21|0.13|3|0.16|0.92|4.85</x:v>
      </x:c>
    </x:row>
    <x:row r="164" ht="23" customHeight="1">
      <x:c r="A164" s="11" t="str">
        <x:v>03750.HK</x:v>
      </x:c>
      <x:c r="B164" s="11" t="str">
        <x:v>宁德时代</x:v>
      </x:c>
      <x:c r="C164" s="11" t="str">
        <x:v>一年</x:v>
      </x:c>
      <x:c r="D164" s="11" t="str">
        <x:v>基准</x:v>
      </x:c>
      <x:c r="E164" s="11" t="n">
        <x:v>491.4</x:v>
      </x:c>
      <x:c r="F164" s="11" t="n">
        <x:v>658.27</x:v>
      </x:c>
      <x:c r="G164" s="11" t="n">
        <x:v>8</x:v>
      </x:c>
      <x:c r="H164" s="25" t="n">
        <x:v>0.33958078958078963</x:v>
      </x:c>
      <x:c r="I164" s="25" t="n">
        <x:v>0.35586080586080593</x:v>
      </x:c>
      <x:c r="J164" s="25" t="str"/>
      <x:c r="K164" s="11" t="n">
        <x:v>23.937</x:v>
      </x:c>
      <x:c r="L164" s="11" t="n">
        <x:v>25</x:v>
      </x:c>
      <x:c r="M164" s="11" t="n">
        <x:v>1.1</x:v>
      </x:c>
      <x:c r="N164" s="11" t="n">
        <x:v>8</x:v>
      </x:c>
      <x:c r="O164" s="11" t="str"/>
      <x:c r="P164" s="11" t="str"/>
      <x:c r="Q164" s="11" t="str"/>
      <x:c r="R164" s="11" t="str">
        <x:v>catl-normalized-four-segment-v1.0</x:v>
      </x:c>
      <x:c r="S164" s="11" t="str">
        <x:v>2026-10-10</x:v>
      </x:c>
      <x:c r="T164" s="11" t="str">
        <x:f>IF(AND(SUM(IF(K164='假设'!E217,0,1),IF(L164='假设'!F217,0,1),IF(M164='假设'!G217,0,1),IF(N164='假设'!H217,0,1),IF(O164='假设'!I217,0,1),IF(P164='假设'!J217,0,1),IF(Q164='假设'!K217,0,1))=0,U164=V164),"已刷新","待刷新")</x:f>
        <x:v>已刷新</x:v>
      </x:c>
      <x:c r="U164" t="str">
        <x:v>505|0.165|175|0.19|48|0.16|30|0.26|8|0.16|0.94|4.62</x:v>
      </x:c>
      <x:c r="V164" t="str">
        <x:f>'经营假设'!AU17&amp;"|"&amp;'经营假设'!AV17&amp;"|"&amp;'经营假设'!AW17&amp;"|"&amp;'经营假设'!AX17&amp;"|"&amp;'经营假设'!AY17&amp;"|"&amp;'经营假设'!AZ17&amp;"|"&amp;'经营假设'!BA17&amp;"|"&amp;'经营假设'!BB17&amp;"|"&amp;'经营假设'!BC17&amp;"|"&amp;'经营假设'!BD17&amp;"|"&amp;'经营假设'!BE17&amp;"|"&amp;'经营假设'!BF17</x:f>
        <x:v>505|0.165|175|0.19|48|0.16|30|0.26|8|0.16|0.94|4.62</x:v>
      </x:c>
    </x:row>
    <x:row r="165" ht="23" customHeight="1">
      <x:c r="A165" s="11" t="str">
        <x:v>03750.HK</x:v>
      </x:c>
      <x:c r="B165" s="11" t="str">
        <x:v>宁德时代</x:v>
      </x:c>
      <x:c r="C165" s="11" t="str">
        <x:v>一年</x:v>
      </x:c>
      <x:c r="D165" s="11" t="str">
        <x:v>乐观</x:v>
      </x:c>
      <x:c r="E165" s="11" t="n">
        <x:v>491.4</x:v>
      </x:c>
      <x:c r="F165" s="11" t="n">
        <x:v>1304.16</x:v>
      </x:c>
      <x:c r="G165" s="11" t="n">
        <x:v>11</x:v>
      </x:c>
      <x:c r="H165" s="25" t="n">
        <x:v>1.6539682539682543</x:v>
      </x:c>
      <x:c r="I165" s="25" t="n">
        <x:v>1.6763532763532765</x:v>
      </x:c>
      <x:c r="J165" s="25" t="str"/>
      <x:c r="K165" s="11" t="n">
        <x:v>37.05</x:v>
      </x:c>
      <x:c r="L165" s="11" t="n">
        <x:v>32</x:v>
      </x:c>
      <x:c r="M165" s="11" t="n">
        <x:v>1.1</x:v>
      </x:c>
      <x:c r="N165" s="11" t="n">
        <x:v>11</x:v>
      </x:c>
      <x:c r="O165" s="11" t="str"/>
      <x:c r="P165" s="11" t="str"/>
      <x:c r="Q165" s="11" t="str"/>
      <x:c r="R165" s="11" t="str">
        <x:v>catl-normalized-four-segment-v1.0</x:v>
      </x:c>
      <x:c r="S165" s="11" t="str">
        <x:v>2026-10-10</x:v>
      </x:c>
      <x:c r="T165" s="11" t="str">
        <x:f>IF(AND(SUM(IF(K165='假设'!E218,0,1),IF(L165='假设'!F218,0,1),IF(M165='假设'!G218,0,1),IF(N165='假设'!H218,0,1),IF(O165='假设'!I218,0,1),IF(P165='假设'!J218,0,1),IF(Q165='假设'!K218,0,1))=0,U165=V165),"已刷新","待刷新")</x:f>
        <x:v>已刷新</x:v>
      </x:c>
      <x:c r="U165" t="str">
        <x:v>600|0.19|245|0.24|65|0.22|38|0.33|13|0.16|0.95|4.58</x:v>
      </x:c>
      <x:c r="V165" t="str">
        <x:f>'经营假设'!AU18&amp;"|"&amp;'经营假设'!AV18&amp;"|"&amp;'经营假设'!AW18&amp;"|"&amp;'经营假设'!AX18&amp;"|"&amp;'经营假设'!AY18&amp;"|"&amp;'经营假设'!AZ18&amp;"|"&amp;'经营假设'!BA18&amp;"|"&amp;'经营假设'!BB18&amp;"|"&amp;'经营假设'!BC18&amp;"|"&amp;'经营假设'!BD18&amp;"|"&amp;'经营假设'!BE18&amp;"|"&amp;'经营假设'!BF18</x:f>
        <x:v>600|0.19|245|0.24|65|0.22|38|0.33|13|0.16|0.95|4.58</x:v>
      </x:c>
    </x:row>
    <x:row r="166" ht="23" customHeight="1">
      <x:c r="A166" s="11" t="str">
        <x:v>03750.HK</x:v>
      </x:c>
      <x:c r="B166" s="11" t="str">
        <x:v>宁德时代</x:v>
      </x:c>
      <x:c r="C166" s="11" t="str">
        <x:v>三年</x:v>
      </x:c>
      <x:c r="D166" s="11" t="str">
        <x:v>悲观</x:v>
      </x:c>
      <x:c r="E166" s="11" t="n">
        <x:v>491.4</x:v>
      </x:c>
      <x:c r="F166" s="11" t="n">
        <x:v>122.31</x:v>
      </x:c>
      <x:c r="G166" s="11" t="n">
        <x:v>12</x:v>
      </x:c>
      <x:c r="H166" s="25" t="n">
        <x:v>-0.7510989010989011</x:v>
      </x:c>
      <x:c r="I166" s="25" t="n">
        <x:v>-0.7266788766788767</x:v>
      </x:c>
      <x:c r="J166" s="25" t="n">
        <x:v>-0.3510303318923229</x:v>
      </x:c>
      <x:c r="K166" s="11" t="n">
        <x:v>7.413</x:v>
      </x:c>
      <x:c r="L166" s="11" t="n">
        <x:v>15</x:v>
      </x:c>
      <x:c r="M166" s="11" t="n">
        <x:v>1.1</x:v>
      </x:c>
      <x:c r="N166" s="11" t="n">
        <x:v>12</x:v>
      </x:c>
      <x:c r="O166" s="11" t="str"/>
      <x:c r="P166" s="11" t="str"/>
      <x:c r="Q166" s="11" t="str"/>
      <x:c r="R166" s="11" t="str">
        <x:v>catl-normalized-four-segment-v1.0</x:v>
      </x:c>
      <x:c r="S166" s="11" t="str">
        <x:v>2026-10-10</x:v>
      </x:c>
      <x:c r="T166" s="11" t="str">
        <x:f>IF(AND(SUM(IF(K166='假设'!E220,0,1),IF(L166='假设'!F220,0,1),IF(M166='假设'!G220,0,1),IF(N166='假设'!H220,0,1),IF(O166='假设'!I220,0,1),IF(P166='假设'!J220,0,1),IF(Q166='假设'!K220,0,1))=0,U166=V166),"已刷新","待刷新")</x:f>
        <x:v>已刷新</x:v>
      </x:c>
      <x:c r="U166" t="str">
        <x:v>405|0.085|145|0.06|32|0.05|23|0.1|2|0.16|0.9|5</x:v>
      </x:c>
      <x:c r="V166" t="str">
        <x:f>'经营假设'!AU20&amp;"|"&amp;'经营假设'!AV20&amp;"|"&amp;'经营假设'!AW20&amp;"|"&amp;'经营假设'!AX20&amp;"|"&amp;'经营假设'!AY20&amp;"|"&amp;'经营假设'!AZ20&amp;"|"&amp;'经营假设'!BA20&amp;"|"&amp;'经营假设'!BB20&amp;"|"&amp;'经营假设'!BC20&amp;"|"&amp;'经营假设'!BD20&amp;"|"&amp;'经营假设'!BE20&amp;"|"&amp;'经营假设'!BF20</x:f>
        <x:v>405|0.085|145|0.06|32|0.05|23|0.1|2|0.16|0.9|5</x:v>
      </x:c>
    </x:row>
    <x:row r="167" ht="23" customHeight="1">
      <x:c r="A167" s="11" t="str">
        <x:v>03750.HK</x:v>
      </x:c>
      <x:c r="B167" s="11" t="str">
        <x:v>宁德时代</x:v>
      </x:c>
      <x:c r="C167" s="11" t="str">
        <x:v>三年</x:v>
      </x:c>
      <x:c r="D167" s="11" t="str">
        <x:v>基准</x:v>
      </x:c>
      <x:c r="E167" s="11" t="n">
        <x:v>491.4</x:v>
      </x:c>
      <x:c r="F167" s="11" t="n">
        <x:v>917.88</x:v>
      </x:c>
      <x:c r="G167" s="11" t="n">
        <x:v>27</x:v>
      </x:c>
      <x:c r="H167" s="25" t="n">
        <x:v>0.8678876678876679</x:v>
      </x:c>
      <x:c r="I167" s="25" t="n">
        <x:v>0.9228327228327229</x:v>
      </x:c>
      <x:c r="J167" s="25" t="n">
        <x:v>0.24350394705455458</x:v>
      </x:c>
      <x:c r="K167" s="11" t="n">
        <x:v>34.768</x:v>
      </x:c>
      <x:c r="L167" s="11" t="n">
        <x:v>24</x:v>
      </x:c>
      <x:c r="M167" s="11" t="n">
        <x:v>1.1</x:v>
      </x:c>
      <x:c r="N167" s="11" t="n">
        <x:v>27</x:v>
      </x:c>
      <x:c r="O167" s="11" t="str"/>
      <x:c r="P167" s="11" t="str"/>
      <x:c r="Q167" s="11" t="str"/>
      <x:c r="R167" s="11" t="str">
        <x:v>catl-normalized-four-segment-v1.0</x:v>
      </x:c>
      <x:c r="S167" s="11" t="str">
        <x:v>2026-10-10</x:v>
      </x:c>
      <x:c r="T167" s="11" t="str">
        <x:f>IF(AND(SUM(IF(K167='假设'!E221,0,1),IF(L167='假设'!F221,0,1),IF(M167='假设'!G221,0,1),IF(N167='假设'!H221,0,1),IF(O167='假设'!I221,0,1),IF(P167='假设'!J221,0,1),IF(Q167='假设'!K221,0,1))=0,U167=V167),"已刷新","待刷新")</x:f>
        <x:v>已刷新</x:v>
      </x:c>
      <x:c r="U167" t="str">
        <x:v>650|0.17|290|0.2|65|0.17|50|0.28|9|0.16|0.94|4.6</x:v>
      </x:c>
      <x:c r="V167" t="str">
        <x:f>'经营假设'!AU21&amp;"|"&amp;'经营假设'!AV21&amp;"|"&amp;'经营假设'!AW21&amp;"|"&amp;'经营假设'!AX21&amp;"|"&amp;'经营假设'!AY21&amp;"|"&amp;'经营假设'!AZ21&amp;"|"&amp;'经营假设'!BA21&amp;"|"&amp;'经营假设'!BB21&amp;"|"&amp;'经营假设'!BC21&amp;"|"&amp;'经营假设'!BD21&amp;"|"&amp;'经营假设'!BE21&amp;"|"&amp;'经营假设'!BF21</x:f>
        <x:v>650|0.17|290|0.2|65|0.17|50|0.28|9|0.16|0.94|4.6</x:v>
      </x:c>
    </x:row>
    <x:row r="168" ht="23" customHeight="1">
      <x:c r="A168" s="11" t="str">
        <x:v>03750.HK</x:v>
      </x:c>
      <x:c r="B168" s="11" t="str">
        <x:v>宁德时代</x:v>
      </x:c>
      <x:c r="C168" s="11" t="str">
        <x:v>三年</x:v>
      </x:c>
      <x:c r="D168" s="11" t="str">
        <x:v>乐观</x:v>
      </x:c>
      <x:c r="E168" s="11" t="n">
        <x:v>491.4</x:v>
      </x:c>
      <x:c r="F168" s="11" t="n">
        <x:v>2267.06</x:v>
      </x:c>
      <x:c r="G168" s="11" t="n">
        <x:v>42</x:v>
      </x:c>
      <x:c r="H168" s="25" t="n">
        <x:v>3.6134717134717134</x:v>
      </x:c>
      <x:c r="I168" s="25" t="n">
        <x:v>3.6989417989417994</x:v>
      </x:c>
      <x:c r="J168" s="25" t="n">
        <x:v>0.6749429607298738</x:v>
      </x:c>
      <x:c r="K168" s="11" t="n">
        <x:v>64.405</x:v>
      </x:c>
      <x:c r="L168" s="11" t="n">
        <x:v>32</x:v>
      </x:c>
      <x:c r="M168" s="11" t="n">
        <x:v>1.1</x:v>
      </x:c>
      <x:c r="N168" s="11" t="n">
        <x:v>42</x:v>
      </x:c>
      <x:c r="O168" s="11" t="str"/>
      <x:c r="P168" s="11" t="str"/>
      <x:c r="Q168" s="11" t="str"/>
      <x:c r="R168" s="11" t="str">
        <x:v>catl-normalized-four-segment-v1.0</x:v>
      </x:c>
      <x:c r="S168" s="11" t="str">
        <x:v>2026-10-10</x:v>
      </x:c>
      <x:c r="T168" s="11" t="str">
        <x:f>IF(AND(SUM(IF(K168='假设'!E222,0,1),IF(L168='假设'!F222,0,1),IF(M168='假设'!G222,0,1),IF(N168='假设'!H222,0,1),IF(O168='假设'!I222,0,1),IF(P168='假设'!J222,0,1),IF(Q168='假设'!K222,0,1))=0,U168=V168),"已刷新","待刷新")</x:f>
        <x:v>已刷新</x:v>
      </x:c>
      <x:c r="U168" t="str">
        <x:v>850|0.2|490|0.25|105|0.24|78|0.35|16|0.16|0.96|4.52</x:v>
      </x:c>
      <x:c r="V168" t="str">
        <x:f>'经营假设'!AU22&amp;"|"&amp;'经营假设'!AV22&amp;"|"&amp;'经营假设'!AW22&amp;"|"&amp;'经营假设'!AX22&amp;"|"&amp;'经营假设'!AY22&amp;"|"&amp;'经营假设'!AZ22&amp;"|"&amp;'经营假设'!BA22&amp;"|"&amp;'经营假设'!BB22&amp;"|"&amp;'经营假设'!BC22&amp;"|"&amp;'经营假设'!BD22&amp;"|"&amp;'经营假设'!BE22&amp;"|"&amp;'经营假设'!BF22</x:f>
        <x:v>850|0.2|490|0.25|105|0.24|78|0.35|16|0.16|0.96|4.52</x:v>
      </x:c>
    </x:row>
    <x:row r="169" ht="23" customHeight="1">
      <x:c r="A169" s="11" t="str">
        <x:v>03750.HK</x:v>
      </x:c>
      <x:c r="B169" s="11" t="str">
        <x:v>宁德时代</x:v>
      </x:c>
      <x:c r="C169" s="11" t="str">
        <x:v>五年</x:v>
      </x:c>
      <x:c r="D169" s="11" t="str">
        <x:v>悲观</x:v>
      </x:c>
      <x:c r="E169" s="11" t="n">
        <x:v>491.4</x:v>
      </x:c>
      <x:c r="F169" s="11" t="n">
        <x:v>104.61</x:v>
      </x:c>
      <x:c r="G169" s="11" t="n">
        <x:v>20</x:v>
      </x:c>
      <x:c r="H169" s="25" t="n">
        <x:v>-0.7871184371184371</x:v>
      </x:c>
      <x:c r="I169" s="25" t="n">
        <x:v>-0.7464183964183964</x:v>
      </x:c>
      <x:c r="J169" s="25" t="n">
        <x:v>-0.23998257628704767</x:v>
      </x:c>
      <x:c r="K169" s="11" t="n">
        <x:v>6.793</x:v>
      </x:c>
      <x:c r="L169" s="11" t="n">
        <x:v>14</x:v>
      </x:c>
      <x:c r="M169" s="11" t="n">
        <x:v>1.1</x:v>
      </x:c>
      <x:c r="N169" s="11" t="n">
        <x:v>20</x:v>
      </x:c>
      <x:c r="O169" s="11" t="str"/>
      <x:c r="P169" s="11" t="str"/>
      <x:c r="Q169" s="11" t="str"/>
      <x:c r="R169" s="11" t="str">
        <x:v>catl-normalized-four-segment-v1.0</x:v>
      </x:c>
      <x:c r="S169" s="11" t="str">
        <x:v>2026-10-10</x:v>
      </x:c>
      <x:c r="T169" s="11" t="str">
        <x:f>IF(AND(SUM(IF(K169='假设'!E224,0,1),IF(L169='假设'!F224,0,1),IF(M169='假设'!G224,0,1),IF(N169='假设'!H224,0,1),IF(O169='假设'!I224,0,1),IF(P169='假设'!J224,0,1),IF(Q169='假设'!K224,0,1))=0,U169=V169),"已刷新","待刷新")</x:f>
        <x:v>已刷新</x:v>
      </x:c>
      <x:c r="U169" t="str">
        <x:v>425|0.075|180|0.05|35|0.04|25|0.08|2|0.16|0.9|5.15</x:v>
      </x:c>
      <x:c r="V169" t="str">
        <x:f>'经营假设'!AU24&amp;"|"&amp;'经营假设'!AV24&amp;"|"&amp;'经营假设'!AW24&amp;"|"&amp;'经营假设'!AX24&amp;"|"&amp;'经营假设'!AY24&amp;"|"&amp;'经营假设'!AZ24&amp;"|"&amp;'经营假设'!BA24&amp;"|"&amp;'经营假设'!BB24&amp;"|"&amp;'经营假设'!BC24&amp;"|"&amp;'经营假设'!BD24&amp;"|"&amp;'经营假设'!BE24&amp;"|"&amp;'经营假设'!BF24</x:f>
        <x:v>425|0.075|180|0.05|35|0.04|25|0.08|2|0.16|0.9|5.15</x:v>
      </x:c>
    </x:row>
    <x:row r="170" ht="23" customHeight="1">
      <x:c r="A170" s="11" t="str">
        <x:v>03750.HK</x:v>
      </x:c>
      <x:c r="B170" s="11" t="str">
        <x:v>宁德时代</x:v>
      </x:c>
      <x:c r="C170" s="11" t="str">
        <x:v>五年</x:v>
      </x:c>
      <x:c r="D170" s="11" t="str">
        <x:v>基准</x:v>
      </x:c>
      <x:c r="E170" s="11" t="n">
        <x:v>491.4</x:v>
      </x:c>
      <x:c r="F170" s="11" t="n">
        <x:v>1171.42</x:v>
      </x:c>
      <x:c r="G170" s="11" t="n">
        <x:v>53</x:v>
      </x:c>
      <x:c r="H170" s="25" t="n">
        <x:v>1.383842083842084</x:v>
      </x:c>
      <x:c r="I170" s="25" t="n">
        <x:v>1.4916971916971922</x:v>
      </x:c>
      <x:c r="J170" s="25" t="n">
        <x:v>0.20032555553194387</x:v>
      </x:c>
      <x:c r="K170" s="11" t="n">
        <x:v>46.301</x:v>
      </x:c>
      <x:c r="L170" s="11" t="n">
        <x:v>23</x:v>
      </x:c>
      <x:c r="M170" s="11" t="n">
        <x:v>1.1</x:v>
      </x:c>
      <x:c r="N170" s="11" t="n">
        <x:v>53</x:v>
      </x:c>
      <x:c r="O170" s="11" t="str"/>
      <x:c r="P170" s="11" t="str"/>
      <x:c r="Q170" s="11" t="str"/>
      <x:c r="R170" s="11" t="str">
        <x:v>catl-normalized-four-segment-v1.0</x:v>
      </x:c>
      <x:c r="S170" s="11" t="str">
        <x:v>2026-10-10</x:v>
      </x:c>
      <x:c r="T170" s="11" t="str">
        <x:f>IF(AND(SUM(IF(K170='假设'!E225,0,1),IF(L170='假设'!F225,0,1),IF(M170='假设'!G225,0,1),IF(N170='假设'!H225,0,1),IF(O170='假设'!I225,0,1),IF(P170='假设'!J225,0,1),IF(Q170='假设'!K225,0,1))=0,U170=V170),"已刷新","待刷新")</x:f>
        <x:v>已刷新</x:v>
      </x:c>
      <x:c r="U170" t="str">
        <x:v>780|0.17|430|0.2|90|0.17|78|0.28|10|0.16|0.95|4.58</x:v>
      </x:c>
      <x:c r="V170" t="str">
        <x:f>'经营假设'!AU25&amp;"|"&amp;'经营假设'!AV25&amp;"|"&amp;'经营假设'!AW25&amp;"|"&amp;'经营假设'!AX25&amp;"|"&amp;'经营假设'!AY25&amp;"|"&amp;'经营假设'!AZ25&amp;"|"&amp;'经营假设'!BA25&amp;"|"&amp;'经营假设'!BB25&amp;"|"&amp;'经营假设'!BC25&amp;"|"&amp;'经营假设'!BD25&amp;"|"&amp;'经营假设'!BE25&amp;"|"&amp;'经营假设'!BF25</x:f>
        <x:v>780|0.17|430|0.2|90|0.17|78|0.28|10|0.16|0.95|4.58</x:v>
      </x:c>
    </x:row>
    <x:row r="171" ht="23" customHeight="1">
      <x:c r="A171" s="11" t="str">
        <x:v>03750.HK</x:v>
      </x:c>
      <x:c r="B171" s="11" t="str">
        <x:v>宁德时代</x:v>
      </x:c>
      <x:c r="C171" s="11" t="str">
        <x:v>五年</x:v>
      </x:c>
      <x:c r="D171" s="11" t="str">
        <x:v>乐观</x:v>
      </x:c>
      <x:c r="E171" s="11" t="n">
        <x:v>491.4</x:v>
      </x:c>
      <x:c r="F171" s="11" t="n">
        <x:v>3301.58</x:v>
      </x:c>
      <x:c r="G171" s="11" t="n">
        <x:v>90</x:v>
      </x:c>
      <x:c r="H171" s="25" t="n">
        <x:v>5.718722018722019</x:v>
      </x:c>
      <x:c r="I171" s="25" t="n">
        <x:v>5.901872201872202</x:v>
      </x:c>
      <x:c r="J171" s="25" t="n">
        <x:v>0.47161221055193203</x:v>
      </x:c>
      <x:c r="K171" s="11" t="n">
        <x:v>100.048</x:v>
      </x:c>
      <x:c r="L171" s="11" t="n">
        <x:v>30</x:v>
      </x:c>
      <x:c r="M171" s="11" t="n">
        <x:v>1.1</x:v>
      </x:c>
      <x:c r="N171" s="11" t="n">
        <x:v>90</x:v>
      </x:c>
      <x:c r="O171" s="11" t="str"/>
      <x:c r="P171" s="11" t="str"/>
      <x:c r="Q171" s="11" t="str"/>
      <x:c r="R171" s="11" t="str">
        <x:v>catl-normalized-four-segment-v1.0</x:v>
      </x:c>
      <x:c r="S171" s="11" t="str">
        <x:v>2026-10-10</x:v>
      </x:c>
      <x:c r="T171" s="11" t="str">
        <x:f>IF(AND(SUM(IF(K171='假设'!E226,0,1),IF(L171='假设'!F226,0,1),IF(M171='假设'!G226,0,1),IF(N171='假设'!H226,0,1),IF(O171='假设'!I226,0,1),IF(P171='假设'!J226,0,1),IF(Q171='假设'!K226,0,1))=0,U171=V171),"已刷新","待刷新")</x:f>
        <x:v>已刷新</x:v>
      </x:c>
      <x:c r="U171" t="str">
        <x:v>1150|0.205|820|0.255|160|0.25|135|0.35|20|0.16|0.96|4.45</x:v>
      </x:c>
      <x:c r="V171" t="str">
        <x:f>'经营假设'!AU26&amp;"|"&amp;'经营假设'!AV26&amp;"|"&amp;'经营假设'!AW26&amp;"|"&amp;'经营假设'!AX26&amp;"|"&amp;'经营假设'!AY26&amp;"|"&amp;'经营假设'!AZ26&amp;"|"&amp;'经营假设'!BA26&amp;"|"&amp;'经营假设'!BB26&amp;"|"&amp;'经营假设'!BC26&amp;"|"&amp;'经营假设'!BD26&amp;"|"&amp;'经营假设'!BE26&amp;"|"&amp;'经营假设'!BF26</x:f>
        <x:v>1150|0.205|820|0.255|160|0.25|135|0.35|20|0.16|0.96|4.45</x:v>
      </x:c>
    </x:row>
    <x:row r="172" ht="23" customHeight="1">
      <x:c r="A172" s="11" t="str">
        <x:v>01093.HK</x:v>
      </x:c>
      <x:c r="B172" s="11" t="str">
        <x:v>石药集团</x:v>
      </x:c>
      <x:c r="C172" s="11" t="str">
        <x:v>2026年底</x:v>
      </x:c>
      <x:c r="D172" s="11" t="str">
        <x:v>悲观</x:v>
      </x:c>
      <x:c r="E172" s="11" t="n">
        <x:v>9.085</x:v>
      </x:c>
      <x:c r="F172" s="11" t="n">
        <x:v>4.2951305564139695</x:v>
      </x:c>
      <x:c r="G172" s="11" t="n">
        <x:v>0.18</x:v>
      </x:c>
      <x:c r="H172" s="25" t="n">
        <x:v>-0.5272283372136523</x:v>
      </x:c>
      <x:c r="I172" s="25" t="n">
        <x:v>-0.5074154588427112</x:v>
      </x:c>
      <x:c r="J172" s="25" t="str"/>
      <x:c r="K172" s="11" t="n">
        <x:v>0.22</x:v>
      </x:c>
      <x:c r="L172" s="11" t="n">
        <x:v>13</x:v>
      </x:c>
      <x:c r="M172" s="11" t="n">
        <x:v>1.1</x:v>
      </x:c>
      <x:c r="N172" s="11" t="n">
        <x:v>0.18</x:v>
      </x:c>
      <x:c r="O172" s="11" t="str"/>
      <x:c r="P172" s="11" t="n">
        <x:v>0.10633333333333334</x:v>
      </x:c>
      <x:c r="Q172" s="11" t="n">
        <x:v>11.6</x:v>
      </x:c>
      <x:c r="R172" s="11" t="str">
        <x:v>cspc-v1-core-cash-assetgroups</x:v>
      </x:c>
      <x:c r="S172" s="11" t="str">
        <x:v>2026-10-10</x:v>
      </x:c>
      <x:c r="T172" s="11" t="str">
        <x:f>IF(AND(SUM(IF(K172='假设'!E228,0,1),IF(L172='假设'!F228,0,1),IF(M172='假设'!G228,0,1),IF(N172='假设'!H228,0,1),IF(O172='假设'!I228,0,1),IF(P172='假设'!J228,0,1),IF(Q172='假设'!K228,0,1))=0,U172=V172),"已刷新","待刷新")</x:f>
        <x:v>已刷新</x:v>
      </x:c>
      <x:c r="U172" t="str">
        <x:v>11.5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  <x:c r="V172" t="str">
        <x:f>'假设'!N228&amp;"|"&amp;'管线假设'!E8&amp;"|"&amp;'管线假设'!F8&amp;"|"&amp;'管线假设'!G8&amp;"|"&amp;'管线假设'!H8&amp;"|"&amp;'管线假设'!I8&amp;"|"&amp;'管线假设'!E12&amp;"|"&amp;'管线假设'!F12&amp;"|"&amp;'管线假设'!G12&amp;"|"&amp;'管线假设'!H12&amp;"|"&amp;'管线假设'!I12&amp;"|"&amp;'管线假设'!E16&amp;"|"&amp;'管线假设'!F16&amp;"|"&amp;'管线假设'!G16&amp;"|"&amp;'管线假设'!H16&amp;"|"&amp;'管线假设'!I16&amp;"|"&amp;'管线假设'!E20&amp;"|"&amp;'管线假设'!F20&amp;"|"&amp;'管线假设'!G20&amp;"|"&amp;'管线假设'!H20&amp;"|"&amp;'管线假设'!I20&amp;"|"&amp;'管线假设'!E24&amp;"|"&amp;'管线假设'!F24&amp;"|"&amp;'管线假设'!G24&amp;"|"&amp;'管线假设'!H24&amp;"|"&amp;'管线假设'!I24&amp;"|"&amp;'管线假设'!E28&amp;"|"&amp;'管线假设'!F28&amp;"|"&amp;'管线假设'!G28&amp;"|"&amp;'管线假设'!H28&amp;"|"&amp;'管线假设'!I28&amp;"|"&amp;'管线现金流'!H7&amp;"|"&amp;'管线现金流'!AJ7&amp;"|"&amp;'管线现金流'!H8&amp;"|"&amp;'管线现金流'!AJ8&amp;"|"&amp;'管线现金流'!H9&amp;"|"&amp;'管线现金流'!AJ9&amp;"|"&amp;'管线现金流'!H10&amp;"|"&amp;'管线现金流'!AJ10&amp;"|"&amp;'管线现金流'!H11&amp;"|"&amp;'管线现金流'!AJ11&amp;"|"&amp;'管线现金流'!H12&amp;"|"&amp;'管线现金流'!AJ12&amp;"|"&amp;'管线现金流'!H13&amp;"|"&amp;'管线现金流'!AJ13&amp;"|"&amp;'管线现金流'!H14&amp;"|"&amp;'管线现金流'!AJ14&amp;"|"&amp;'管线现金流'!H15&amp;"|"&amp;'管线现金流'!AJ15&amp;"|"&amp;'管线现金流'!H16&amp;"|"&amp;'管线现金流'!AJ16&amp;"|"&amp;'管线现金流'!H17&amp;"|"&amp;'管线现金流'!AJ17&amp;"|"&amp;'管线现金流'!H18&amp;"|"&amp;'管线现金流'!AJ18&amp;"|"&amp;'管线现金流'!H19&amp;"|"&amp;'管线现金流'!AJ19&amp;"|"&amp;'管线现金流'!H20&amp;"|"&amp;'管线现金流'!AJ20&amp;"|"&amp;'管线现金流'!H21&amp;"|"&amp;'管线现金流'!AJ21&amp;"|"&amp;'管线现金流'!H22&amp;"|"&amp;'管线现金流'!AJ22&amp;"|"&amp;'管线现金流'!H23&amp;"|"&amp;'管线现金流'!AJ23&amp;"|"&amp;'管线现金流'!H24&amp;"|"&amp;'管线现金流'!AJ24&amp;"|"&amp;'管线现金流'!H25&amp;"|"&amp;'管线现金流'!AJ25&amp;"|"&amp;'管线现金流'!H26&amp;"|"&amp;'管线现金流'!AJ26&amp;"|"&amp;'管线现金流'!H27&amp;"|"&amp;'管线现金流'!AJ27&amp;"|"&amp;'管线现金流'!H28&amp;"|"&amp;'管线现金流'!AJ28&amp;"|"&amp;'管线现金流'!H29&amp;"|"&amp;'管线现金流'!AJ29&amp;"|"&amp;'管线现金流'!H30&amp;"|"&amp;'管线现金流'!AJ30&amp;"|"&amp;'管线现金流'!H31&amp;"|"&amp;'管线现金流'!AJ31&amp;"|"&amp;'管线现金流'!H32&amp;"|"&amp;'管线现金流'!AJ32&amp;"|"&amp;'管线现金流'!H33&amp;"|"&amp;'管线现金流'!AJ33&amp;"|"&amp;'管线现金流'!H34&amp;"|"&amp;'管线现金流'!AJ34&amp;"|"&amp;'管线现金流'!H35&amp;"|"&amp;'管线现金流'!AJ35&amp;"|"&amp;'管线现金流'!H36&amp;"|"&amp;'管线现金流'!AJ36&amp;"|"&amp;'管线现金流'!H37&amp;"|"&amp;'管线现金流'!AJ37&amp;"|"&amp;'管线现金流'!H38&amp;"|"&amp;'管线现金流'!AJ38&amp;"|"&amp;'管线现金流'!H39&amp;"|"&amp;'管线现金流'!AJ39&amp;"|"&amp;'管线现金流'!H40&amp;"|"&amp;'管线现金流'!AJ40&amp;"|"&amp;'管线现金流'!H41&amp;"|"&amp;'管线现金流'!AJ41&amp;"|"&amp;'管线现金流'!H42&amp;"|"&amp;'管线现金流'!AJ42&amp;"|"&amp;'管线现金流'!H43&amp;"|"&amp;'管线现金流'!AJ43&amp;"|"&amp;'管线现金流'!H44&amp;"|"&amp;'管线现金流'!AJ44&amp;"|"&amp;'管线现金流'!H45&amp;"|"&amp;'管线现金流'!AJ45&amp;"|"&amp;'管线现金流'!H46&amp;"|"&amp;'管线现金流'!AJ46&amp;"|"&amp;'管线现金流'!H47&amp;"|"&amp;'管线现金流'!AJ47&amp;"|"&amp;'管线现金流'!H48&amp;"|"&amp;'管线现金流'!AJ48&amp;"|"&amp;'管线现金流'!H49&amp;"|"&amp;'管线现金流'!AJ49&amp;"|"&amp;'管线现金流'!H50&amp;"|"&amp;'管线现金流'!AJ50&amp;"|"&amp;'管线现金流'!H51&amp;"|"&amp;'管线现金流'!AJ51&amp;"|"&amp;'管线现金流'!H52&amp;"|"&amp;'管线现金流'!AJ52&amp;"|"&amp;'管线现金流'!H53&amp;"|"&amp;'管线现金流'!AJ53&amp;"|"&amp;'管线现金流'!H54&amp;"|"&amp;'管线现金流'!AJ54&amp;"|"&amp;'管线现金流'!H55&amp;"|"&amp;'管线现金流'!AJ55&amp;"|"&amp;'管线现金流'!H56&amp;"|"&amp;'管线现金流'!AJ56&amp;"|"&amp;'管线现金流'!H57&amp;"|"&amp;'管线现金流'!AJ57&amp;"|"&amp;'管线现金流'!H58&amp;"|"&amp;'管线现金流'!AJ58&amp;"|"&amp;'管线现金流'!H59&amp;"|"&amp;'管线现金流'!AJ59&amp;"|"&amp;'管线现金流'!H60&amp;"|"&amp;'管线现金流'!AJ60&amp;"|"&amp;'管线现金流'!H61&amp;"|"&amp;'管线现金流'!AJ61&amp;"|"&amp;'管线现金流'!H62&amp;"|"&amp;'管线现金流'!AJ62&amp;"|"&amp;'管线现金流'!H63&amp;"|"&amp;'管线现金流'!AJ63&amp;"|"&amp;'管线现金流'!H64&amp;"|"&amp;'管线现金流'!AJ64&amp;"|"&amp;'管线现金流'!H65&amp;"|"&amp;'管线现金流'!AJ65&amp;"|"&amp;'管线现金流'!H66&amp;"|"&amp;'管线现金流'!AJ66&amp;"|"&amp;'管线现金流'!H67&amp;"|"&amp;'管线现金流'!AJ67&amp;"|"&amp;'管线现金流'!H68&amp;"|"&amp;'管线现金流'!AJ68&amp;"|"&amp;'管线现金流'!H69&amp;"|"&amp;'管线现金流'!AJ69&amp;"|"&amp;'管线现金流'!H70&amp;"|"&amp;'管线现金流'!AJ70&amp;"|"&amp;'管线现金流'!H71&amp;"|"&amp;'管线现金流'!AJ71&amp;"|"&amp;'管线现金流'!H72&amp;"|"&amp;'管线现金流'!AJ72&amp;"|"&amp;'管线现金流'!H73&amp;"|"&amp;'管线现金流'!AJ73&amp;"|"&amp;'管线现金流'!H74&amp;"|"&amp;'管线现金流'!AJ74&amp;"|"&amp;'管线现金流'!H75&amp;"|"&amp;'管线现金流'!AJ75&amp;"|"&amp;'管线现金流'!H76&amp;"|"&amp;'管线现金流'!AJ76&amp;"|"&amp;'管线现金流'!H77&amp;"|"&amp;'管线现金流'!AJ77&amp;"|"&amp;'管线现金流'!H78&amp;"|"&amp;'管线现金流'!AJ78&amp;"|"&amp;'管线现金流'!H79&amp;"|"&amp;'管线现金流'!AJ79&amp;"|"&amp;'管线现金流'!H80&amp;"|"&amp;'管线现金流'!AJ80&amp;"|"&amp;'管线现金流'!H81&amp;"|"&amp;'管线现金流'!AJ81&amp;"|"&amp;'管线现金流'!H82&amp;"|"&amp;'管线现金流'!AJ82&amp;"|"&amp;'管线现金流'!H83&amp;"|"&amp;'管线现金流'!AJ83&amp;"|"&amp;'管线现金流'!H84&amp;"|"&amp;'管线现金流'!AJ84&amp;"|"&amp;'管线现金流'!H85&amp;"|"&amp;'管线现金流'!AJ85&amp;"|"&amp;'管线现金流'!H86&amp;"|"&amp;'管线现金流'!AJ86&amp;"|"&amp;'管线现金流'!H87&amp;"|"&amp;'管线现金流'!AJ87&amp;"|"&amp;'管线现金流'!H88&amp;"|"&amp;'管线现金流'!AJ88&amp;"|"&amp;'管线现金流'!H89&amp;"|"&amp;'管线现金流'!AJ89&amp;"|"&amp;'管线现金流'!H90&amp;"|"&amp;'管线现金流'!AJ90&amp;"|"&amp;'管线现金流'!H91&amp;"|"&amp;'管线现金流'!AJ91&amp;"|"&amp;'管线现金流'!H92&amp;"|"&amp;'管线现金流'!AJ92&amp;"|"&amp;'管线现金流'!H93&amp;"|"&amp;'管线现金流'!AJ93&amp;"|"&amp;'管线现金流'!H94&amp;"|"&amp;'管线现金流'!AJ94&amp;"|"&amp;'管线现金流'!H95&amp;"|"&amp;'管线现金流'!AJ95&amp;"|"&amp;'管线现金流'!H96&amp;"|"&amp;'管线现金流'!AJ96&amp;"|"&amp;'管线现金流'!H97&amp;"|"&amp;'管线现金流'!AJ97&amp;"|"&amp;'管线现金流'!H98&amp;"|"&amp;'管线现金流'!AJ98&amp;"|"&amp;'管线现金流'!H99&amp;"|"&amp;'管线现金流'!AJ99&amp;"|"&amp;'管线现金流'!H100&amp;"|"&amp;'管线现金流'!AJ100&amp;"|"&amp;'管线现金流'!H101&amp;"|"&amp;'管线现金流'!AJ101&amp;"|"&amp;'管线现金流'!H102&amp;"|"&amp;'管线现金流'!AJ102&amp;"|"&amp;'管线现金流'!H103&amp;"|"&amp;'管线现金流'!AJ103&amp;"|"&amp;'管线现金流'!U7&amp;"|"&amp;'管线现金流'!X7&amp;"|"&amp;'管线现金流'!AO7&amp;"|"&amp;'管线现金流'!AR7&amp;"|"&amp;'管线现金流'!U8&amp;"|"&amp;'管线现金流'!X8&amp;"|"&amp;'管线现金流'!AO8&amp;"|"&amp;'管线现金流'!AR8&amp;"|"&amp;'管线现金流'!U9&amp;"|"&amp;'管线现金流'!X9&amp;"|"&amp;'管线现金流'!AO9&amp;"|"&amp;'管线现金流'!AR9</x:f>
        <x:v>11.5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</x:row>
    <x:row r="173" ht="23" customHeight="1">
      <x:c r="A173" s="11" t="str">
        <x:v>01093.HK</x:v>
      </x:c>
      <x:c r="B173" s="11" t="str">
        <x:v>石药集团</x:v>
      </x:c>
      <x:c r="C173" s="11" t="str">
        <x:v>2026年底</x:v>
      </x:c>
      <x:c r="D173" s="11" t="str">
        <x:v>基准</x:v>
      </x:c>
      <x:c r="E173" s="11" t="n">
        <x:v>9.085</x:v>
      </x:c>
      <x:c r="F173" s="11" t="n">
        <x:v>9.295025441448976</x:v>
      </x:c>
      <x:c r="G173" s="11" t="n">
        <x:v>0.18</x:v>
      </x:c>
      <x:c r="H173" s="25" t="n">
        <x:v>0.02311782514573202</x:v>
      </x:c>
      <x:c r="I173" s="25" t="n">
        <x:v>0.04293070351667305</x:v>
      </x:c>
      <x:c r="J173" s="25" t="str"/>
      <x:c r="K173" s="11" t="n">
        <x:v>0.34</x:v>
      </x:c>
      <x:c r="L173" s="11" t="n">
        <x:v>19</x:v>
      </x:c>
      <x:c r="M173" s="11" t="n">
        <x:v>1.1</x:v>
      </x:c>
      <x:c r="N173" s="11" t="n">
        <x:v>0.18</x:v>
      </x:c>
      <x:c r="O173" s="11" t="str"/>
      <x:c r="P173" s="11" t="n">
        <x:v>0.14544444444444446</x:v>
      </x:c>
      <x:c r="Q173" s="11" t="n">
        <x:v>11.55</x:v>
      </x:c>
      <x:c r="R173" s="11" t="str">
        <x:v>cspc-v1-core-cash-assetgroups</x:v>
      </x:c>
      <x:c r="S173" s="11" t="str">
        <x:v>2026-10-10</x:v>
      </x:c>
      <x:c r="T173" s="11" t="str">
        <x:f>IF(AND(SUM(IF(K173='假设'!E229,0,1),IF(L173='假设'!F229,0,1),IF(M173='假设'!G229,0,1),IF(N173='假设'!H229,0,1),IF(O173='假设'!I229,0,1),IF(P173='假设'!J229,0,1),IF(Q173='假设'!K229,0,1))=0,U173=V173),"已刷新","待刷新")</x:f>
        <x:v>待刷新</x:v>
      </x:c>
      <x:c r="U173" t="str">
        <x:v>14.2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  <x:c r="V173" t="str">
        <x:f>'假设'!N229&amp;"|"&amp;'管线假设'!E9&amp;"|"&amp;'管线假设'!F9&amp;"|"&amp;'管线假设'!G9&amp;"|"&amp;'管线假设'!H9&amp;"|"&amp;'管线假设'!I9&amp;"|"&amp;'管线假设'!E13&amp;"|"&amp;'管线假设'!F13&amp;"|"&amp;'管线假设'!G13&amp;"|"&amp;'管线假设'!H13&amp;"|"&amp;'管线假设'!I13&amp;"|"&amp;'管线假设'!E17&amp;"|"&amp;'管线假设'!F17&amp;"|"&amp;'管线假设'!G17&amp;"|"&amp;'管线假设'!H17&amp;"|"&amp;'管线假设'!I17&amp;"|"&amp;'管线假设'!E21&amp;"|"&amp;'管线假设'!F21&amp;"|"&amp;'管线假设'!G21&amp;"|"&amp;'管线假设'!H21&amp;"|"&amp;'管线假设'!I21&amp;"|"&amp;'管线假设'!E25&amp;"|"&amp;'管线假设'!F25&amp;"|"&amp;'管线假设'!G25&amp;"|"&amp;'管线假设'!H25&amp;"|"&amp;'管线假设'!I25&amp;"|"&amp;'管线假设'!E29&amp;"|"&amp;'管线假设'!F29&amp;"|"&amp;'管线假设'!G29&amp;"|"&amp;'管线假设'!H29&amp;"|"&amp;'管线假设'!I29&amp;"|"&amp;'管线现金流'!I7&amp;"|"&amp;'管线现金流'!AK7&amp;"|"&amp;'管线现金流'!I8&amp;"|"&amp;'管线现金流'!AK8&amp;"|"&amp;'管线现金流'!I9&amp;"|"&amp;'管线现金流'!AK9&amp;"|"&amp;'管线现金流'!I10&amp;"|"&amp;'管线现金流'!AK10&amp;"|"&amp;'管线现金流'!I11&amp;"|"&amp;'管线现金流'!AK11&amp;"|"&amp;'管线现金流'!I12&amp;"|"&amp;'管线现金流'!AK12&amp;"|"&amp;'管线现金流'!I13&amp;"|"&amp;'管线现金流'!AK13&amp;"|"&amp;'管线现金流'!I14&amp;"|"&amp;'管线现金流'!AK14&amp;"|"&amp;'管线现金流'!I15&amp;"|"&amp;'管线现金流'!AK15&amp;"|"&amp;'管线现金流'!I16&amp;"|"&amp;'管线现金流'!AK16&amp;"|"&amp;'管线现金流'!I17&amp;"|"&amp;'管线现金流'!AK17&amp;"|"&amp;'管线现金流'!I18&amp;"|"&amp;'管线现金流'!AK18&amp;"|"&amp;'管线现金流'!I19&amp;"|"&amp;'管线现金流'!AK19&amp;"|"&amp;'管线现金流'!I20&amp;"|"&amp;'管线现金流'!AK20&amp;"|"&amp;'管线现金流'!I21&amp;"|"&amp;'管线现金流'!AK21&amp;"|"&amp;'管线现金流'!I22&amp;"|"&amp;'管线现金流'!AK22&amp;"|"&amp;'管线现金流'!I23&amp;"|"&amp;'管线现金流'!AK23&amp;"|"&amp;'管线现金流'!I24&amp;"|"&amp;'管线现金流'!AK24&amp;"|"&amp;'管线现金流'!I25&amp;"|"&amp;'管线现金流'!AK25&amp;"|"&amp;'管线现金流'!I26&amp;"|"&amp;'管线现金流'!AK26&amp;"|"&amp;'管线现金流'!I27&amp;"|"&amp;'管线现金流'!AK27&amp;"|"&amp;'管线现金流'!I28&amp;"|"&amp;'管线现金流'!AK28&amp;"|"&amp;'管线现金流'!I29&amp;"|"&amp;'管线现金流'!AK29&amp;"|"&amp;'管线现金流'!I30&amp;"|"&amp;'管线现金流'!AK30&amp;"|"&amp;'管线现金流'!I31&amp;"|"&amp;'管线现金流'!AK31&amp;"|"&amp;'管线现金流'!I32&amp;"|"&amp;'管线现金流'!AK32&amp;"|"&amp;'管线现金流'!I33&amp;"|"&amp;'管线现金流'!AK33&amp;"|"&amp;'管线现金流'!I34&amp;"|"&amp;'管线现金流'!AK34&amp;"|"&amp;'管线现金流'!I35&amp;"|"&amp;'管线现金流'!AK35&amp;"|"&amp;'管线现金流'!I36&amp;"|"&amp;'管线现金流'!AK36&amp;"|"&amp;'管线现金流'!I37&amp;"|"&amp;'管线现金流'!AK37&amp;"|"&amp;'管线现金流'!I38&amp;"|"&amp;'管线现金流'!AK38&amp;"|"&amp;'管线现金流'!I39&amp;"|"&amp;'管线现金流'!AK39&amp;"|"&amp;'管线现金流'!I40&amp;"|"&amp;'管线现金流'!AK40&amp;"|"&amp;'管线现金流'!I41&amp;"|"&amp;'管线现金流'!AK41&amp;"|"&amp;'管线现金流'!I42&amp;"|"&amp;'管线现金流'!AK42&amp;"|"&amp;'管线现金流'!I43&amp;"|"&amp;'管线现金流'!AK43&amp;"|"&amp;'管线现金流'!I44&amp;"|"&amp;'管线现金流'!AK44&amp;"|"&amp;'管线现金流'!I45&amp;"|"&amp;'管线现金流'!AK45&amp;"|"&amp;'管线现金流'!I46&amp;"|"&amp;'管线现金流'!AK46&amp;"|"&amp;'管线现金流'!I47&amp;"|"&amp;'管线现金流'!AK47&amp;"|"&amp;'管线现金流'!I48&amp;"|"&amp;'管线现金流'!AK48&amp;"|"&amp;'管线现金流'!I49&amp;"|"&amp;'管线现金流'!AK49&amp;"|"&amp;'管线现金流'!I50&amp;"|"&amp;'管线现金流'!AK50&amp;"|"&amp;'管线现金流'!I51&amp;"|"&amp;'管线现金流'!AK51&amp;"|"&amp;'管线现金流'!I52&amp;"|"&amp;'管线现金流'!AK52&amp;"|"&amp;'管线现金流'!I53&amp;"|"&amp;'管线现金流'!AK53&amp;"|"&amp;'管线现金流'!I54&amp;"|"&amp;'管线现金流'!AK54&amp;"|"&amp;'管线现金流'!I55&amp;"|"&amp;'管线现金流'!AK55&amp;"|"&amp;'管线现金流'!I56&amp;"|"&amp;'管线现金流'!AK56&amp;"|"&amp;'管线现金流'!I57&amp;"|"&amp;'管线现金流'!AK57&amp;"|"&amp;'管线现金流'!I58&amp;"|"&amp;'管线现金流'!AK58&amp;"|"&amp;'管线现金流'!I59&amp;"|"&amp;'管线现金流'!AK59&amp;"|"&amp;'管线现金流'!I60&amp;"|"&amp;'管线现金流'!AK60&amp;"|"&amp;'管线现金流'!I61&amp;"|"&amp;'管线现金流'!AK61&amp;"|"&amp;'管线现金流'!I62&amp;"|"&amp;'管线现金流'!AK62&amp;"|"&amp;'管线现金流'!I63&amp;"|"&amp;'管线现金流'!AK63&amp;"|"&amp;'管线现金流'!I64&amp;"|"&amp;'管线现金流'!AK64&amp;"|"&amp;'管线现金流'!I65&amp;"|"&amp;'管线现金流'!AK65&amp;"|"&amp;'管线现金流'!I66&amp;"|"&amp;'管线现金流'!AK66&amp;"|"&amp;'管线现金流'!I67&amp;"|"&amp;'管线现金流'!AK67&amp;"|"&amp;'管线现金流'!I68&amp;"|"&amp;'管线现金流'!AK68&amp;"|"&amp;'管线现金流'!I69&amp;"|"&amp;'管线现金流'!AK69&amp;"|"&amp;'管线现金流'!I70&amp;"|"&amp;'管线现金流'!AK70&amp;"|"&amp;'管线现金流'!I71&amp;"|"&amp;'管线现金流'!AK71&amp;"|"&amp;'管线现金流'!I72&amp;"|"&amp;'管线现金流'!AK72&amp;"|"&amp;'管线现金流'!I73&amp;"|"&amp;'管线现金流'!AK73&amp;"|"&amp;'管线现金流'!I74&amp;"|"&amp;'管线现金流'!AK74&amp;"|"&amp;'管线现金流'!I75&amp;"|"&amp;'管线现金流'!AK75&amp;"|"&amp;'管线现金流'!I76&amp;"|"&amp;'管线现金流'!AK76&amp;"|"&amp;'管线现金流'!I77&amp;"|"&amp;'管线现金流'!AK77&amp;"|"&amp;'管线现金流'!I78&amp;"|"&amp;'管线现金流'!AK78&amp;"|"&amp;'管线现金流'!I79&amp;"|"&amp;'管线现金流'!AK79&amp;"|"&amp;'管线现金流'!I80&amp;"|"&amp;'管线现金流'!AK80&amp;"|"&amp;'管线现金流'!I81&amp;"|"&amp;'管线现金流'!AK81&amp;"|"&amp;'管线现金流'!I82&amp;"|"&amp;'管线现金流'!AK82&amp;"|"&amp;'管线现金流'!I83&amp;"|"&amp;'管线现金流'!AK83&amp;"|"&amp;'管线现金流'!I84&amp;"|"&amp;'管线现金流'!AK84&amp;"|"&amp;'管线现金流'!I85&amp;"|"&amp;'管线现金流'!AK85&amp;"|"&amp;'管线现金流'!I86&amp;"|"&amp;'管线现金流'!AK86&amp;"|"&amp;'管线现金流'!I87&amp;"|"&amp;'管线现金流'!AK87&amp;"|"&amp;'管线现金流'!I88&amp;"|"&amp;'管线现金流'!AK88&amp;"|"&amp;'管线现金流'!I89&amp;"|"&amp;'管线现金流'!AK89&amp;"|"&amp;'管线现金流'!I90&amp;"|"&amp;'管线现金流'!AK90&amp;"|"&amp;'管线现金流'!I91&amp;"|"&amp;'管线现金流'!AK91&amp;"|"&amp;'管线现金流'!I92&amp;"|"&amp;'管线现金流'!AK92&amp;"|"&amp;'管线现金流'!I93&amp;"|"&amp;'管线现金流'!AK93&amp;"|"&amp;'管线现金流'!I94&amp;"|"&amp;'管线现金流'!AK94&amp;"|"&amp;'管线现金流'!I95&amp;"|"&amp;'管线现金流'!AK95&amp;"|"&amp;'管线现金流'!I96&amp;"|"&amp;'管线现金流'!AK96&amp;"|"&amp;'管线现金流'!I97&amp;"|"&amp;'管线现金流'!AK97&amp;"|"&amp;'管线现金流'!I98&amp;"|"&amp;'管线现金流'!AK98&amp;"|"&amp;'管线现金流'!I99&amp;"|"&amp;'管线现金流'!AK99&amp;"|"&amp;'管线现金流'!I100&amp;"|"&amp;'管线现金流'!AK100&amp;"|"&amp;'管线现金流'!I101&amp;"|"&amp;'管线现金流'!AK101&amp;"|"&amp;'管线现金流'!I102&amp;"|"&amp;'管线现金流'!AK102&amp;"|"&amp;'管线现金流'!I103&amp;"|"&amp;'管线现金流'!AK103&amp;"|"&amp;'管线现金流'!V7&amp;"|"&amp;'管线现金流'!Y7&amp;"|"&amp;'管线现金流'!AP7&amp;"|"&amp;'管线现金流'!AS7&amp;"|"&amp;'管线现金流'!V8&amp;"|"&amp;'管线现金流'!Y8&amp;"|"&amp;'管线现金流'!AP8&amp;"|"&amp;'管线现金流'!AS8&amp;"|"&amp;'管线现金流'!V9&amp;"|"&amp;'管线现金流'!Y9&amp;"|"&amp;'管线现金流'!AP9&amp;"|"&amp;'管线现金流'!AS9</x:f>
        <x:v>14.2|0.71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</x:row>
    <x:row r="174" ht="23" customHeight="1">
      <x:c r="A174" s="11" t="str">
        <x:v>01093.HK</x:v>
      </x:c>
      <x:c r="B174" s="11" t="str">
        <x:v>石药集团</x:v>
      </x:c>
      <x:c r="C174" s="11" t="str">
        <x:v>2026年底</x:v>
      </x:c>
      <x:c r="D174" s="11" t="str">
        <x:v>乐观</x:v>
      </x:c>
      <x:c r="E174" s="11" t="n">
        <x:v>9.085</x:v>
      </x:c>
      <x:c r="F174" s="11" t="n">
        <x:v>18.390425845856793</x:v>
      </x:c>
      <x:c r="G174" s="11" t="n">
        <x:v>0.18</x:v>
      </x:c>
      <x:c r="H174" s="25" t="n">
        <x:v>1.02426261374318</x:v>
      </x:c>
      <x:c r="I174" s="25" t="n">
        <x:v>1.0440754921141213</x:v>
      </x:c>
      <x:c r="J174" s="25" t="str"/>
      <x:c r="K174" s="11" t="n">
        <x:v>0.45</x:v>
      </x:c>
      <x:c r="L174" s="11" t="n">
        <x:v>25</x:v>
      </x:c>
      <x:c r="M174" s="11" t="n">
        <x:v>1.1</x:v>
      </x:c>
      <x:c r="N174" s="11" t="n">
        <x:v>0.18</x:v>
      </x:c>
      <x:c r="O174" s="11" t="str"/>
      <x:c r="P174" s="11" t="n">
        <x:v>0.1728</x:v>
      </x:c>
      <x:c r="Q174" s="11" t="n">
        <x:v>11.52</x:v>
      </x:c>
      <x:c r="R174" s="11" t="str">
        <x:v>cspc-v1-core-cash-assetgroups</x:v>
      </x:c>
      <x:c r="S174" s="11" t="str">
        <x:v>2026-10-10</x:v>
      </x:c>
      <x:c r="T174" s="11" t="str">
        <x:f>IF(AND(SUM(IF(K174='假设'!E230,0,1),IF(L174='假设'!F230,0,1),IF(M174='假设'!G230,0,1),IF(N174='假设'!H230,0,1),IF(O174='假设'!I230,0,1),IF(P174='假设'!J230,0,1),IF(Q174='假设'!K230,0,1))=0,U174=V174),"已刷新","待刷新")</x:f>
        <x:v>已刷新</x:v>
      </x:c>
      <x:c r="U174" t="str">
        <x:v>16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  <x:c r="V174" t="str">
        <x:f>'假设'!N230&amp;"|"&amp;'管线假设'!E10&amp;"|"&amp;'管线假设'!F10&amp;"|"&amp;'管线假设'!G10&amp;"|"&amp;'管线假设'!H10&amp;"|"&amp;'管线假设'!I10&amp;"|"&amp;'管线假设'!E14&amp;"|"&amp;'管线假设'!F14&amp;"|"&amp;'管线假设'!G14&amp;"|"&amp;'管线假设'!H14&amp;"|"&amp;'管线假设'!I14&amp;"|"&amp;'管线假设'!E18&amp;"|"&amp;'管线假设'!F18&amp;"|"&amp;'管线假设'!G18&amp;"|"&amp;'管线假设'!H18&amp;"|"&amp;'管线假设'!I18&amp;"|"&amp;'管线假设'!E22&amp;"|"&amp;'管线假设'!F22&amp;"|"&amp;'管线假设'!G22&amp;"|"&amp;'管线假设'!H22&amp;"|"&amp;'管线假设'!I22&amp;"|"&amp;'管线假设'!E26&amp;"|"&amp;'管线假设'!F26&amp;"|"&amp;'管线假设'!G26&amp;"|"&amp;'管线假设'!H26&amp;"|"&amp;'管线假设'!I26&amp;"|"&amp;'管线假设'!E30&amp;"|"&amp;'管线假设'!F30&amp;"|"&amp;'管线假设'!G30&amp;"|"&amp;'管线假设'!H30&amp;"|"&amp;'管线假设'!I30&amp;"|"&amp;'管线现金流'!J7&amp;"|"&amp;'管线现金流'!AL7&amp;"|"&amp;'管线现金流'!J8&amp;"|"&amp;'管线现金流'!AL8&amp;"|"&amp;'管线现金流'!J9&amp;"|"&amp;'管线现金流'!AL9&amp;"|"&amp;'管线现金流'!J10&amp;"|"&amp;'管线现金流'!AL10&amp;"|"&amp;'管线现金流'!J11&amp;"|"&amp;'管线现金流'!AL11&amp;"|"&amp;'管线现金流'!J12&amp;"|"&amp;'管线现金流'!AL12&amp;"|"&amp;'管线现金流'!J13&amp;"|"&amp;'管线现金流'!AL13&amp;"|"&amp;'管线现金流'!J14&amp;"|"&amp;'管线现金流'!AL14&amp;"|"&amp;'管线现金流'!J15&amp;"|"&amp;'管线现金流'!AL15&amp;"|"&amp;'管线现金流'!J16&amp;"|"&amp;'管线现金流'!AL16&amp;"|"&amp;'管线现金流'!J17&amp;"|"&amp;'管线现金流'!AL17&amp;"|"&amp;'管线现金流'!J18&amp;"|"&amp;'管线现金流'!AL18&amp;"|"&amp;'管线现金流'!J19&amp;"|"&amp;'管线现金流'!AL19&amp;"|"&amp;'管线现金流'!J20&amp;"|"&amp;'管线现金流'!AL20&amp;"|"&amp;'管线现金流'!J21&amp;"|"&amp;'管线现金流'!AL21&amp;"|"&amp;'管线现金流'!J22&amp;"|"&amp;'管线现金流'!AL22&amp;"|"&amp;'管线现金流'!J23&amp;"|"&amp;'管线现金流'!AL23&amp;"|"&amp;'管线现金流'!J24&amp;"|"&amp;'管线现金流'!AL24&amp;"|"&amp;'管线现金流'!J25&amp;"|"&amp;'管线现金流'!AL25&amp;"|"&amp;'管线现金流'!J26&amp;"|"&amp;'管线现金流'!AL26&amp;"|"&amp;'管线现金流'!J27&amp;"|"&amp;'管线现金流'!AL27&amp;"|"&amp;'管线现金流'!J28&amp;"|"&amp;'管线现金流'!AL28&amp;"|"&amp;'管线现金流'!J29&amp;"|"&amp;'管线现金流'!AL29&amp;"|"&amp;'管线现金流'!J30&amp;"|"&amp;'管线现金流'!AL30&amp;"|"&amp;'管线现金流'!J31&amp;"|"&amp;'管线现金流'!AL31&amp;"|"&amp;'管线现金流'!J32&amp;"|"&amp;'管线现金流'!AL32&amp;"|"&amp;'管线现金流'!J33&amp;"|"&amp;'管线现金流'!AL33&amp;"|"&amp;'管线现金流'!J34&amp;"|"&amp;'管线现金流'!AL34&amp;"|"&amp;'管线现金流'!J35&amp;"|"&amp;'管线现金流'!AL35&amp;"|"&amp;'管线现金流'!J36&amp;"|"&amp;'管线现金流'!AL36&amp;"|"&amp;'管线现金流'!J37&amp;"|"&amp;'管线现金流'!AL37&amp;"|"&amp;'管线现金流'!J38&amp;"|"&amp;'管线现金流'!AL38&amp;"|"&amp;'管线现金流'!J39&amp;"|"&amp;'管线现金流'!AL39&amp;"|"&amp;'管线现金流'!J40&amp;"|"&amp;'管线现金流'!AL40&amp;"|"&amp;'管线现金流'!J41&amp;"|"&amp;'管线现金流'!AL41&amp;"|"&amp;'管线现金流'!J42&amp;"|"&amp;'管线现金流'!AL42&amp;"|"&amp;'管线现金流'!J43&amp;"|"&amp;'管线现金流'!AL43&amp;"|"&amp;'管线现金流'!J44&amp;"|"&amp;'管线现金流'!AL44&amp;"|"&amp;'管线现金流'!J45&amp;"|"&amp;'管线现金流'!AL45&amp;"|"&amp;'管线现金流'!J46&amp;"|"&amp;'管线现金流'!AL46&amp;"|"&amp;'管线现金流'!J47&amp;"|"&amp;'管线现金流'!AL47&amp;"|"&amp;'管线现金流'!J48&amp;"|"&amp;'管线现金流'!AL48&amp;"|"&amp;'管线现金流'!J49&amp;"|"&amp;'管线现金流'!AL49&amp;"|"&amp;'管线现金流'!J50&amp;"|"&amp;'管线现金流'!AL50&amp;"|"&amp;'管线现金流'!J51&amp;"|"&amp;'管线现金流'!AL51&amp;"|"&amp;'管线现金流'!J52&amp;"|"&amp;'管线现金流'!AL52&amp;"|"&amp;'管线现金流'!J53&amp;"|"&amp;'管线现金流'!AL53&amp;"|"&amp;'管线现金流'!J54&amp;"|"&amp;'管线现金流'!AL54&amp;"|"&amp;'管线现金流'!J55&amp;"|"&amp;'管线现金流'!AL55&amp;"|"&amp;'管线现金流'!J56&amp;"|"&amp;'管线现金流'!AL56&amp;"|"&amp;'管线现金流'!J57&amp;"|"&amp;'管线现金流'!AL57&amp;"|"&amp;'管线现金流'!J58&amp;"|"&amp;'管线现金流'!AL58&amp;"|"&amp;'管线现金流'!J59&amp;"|"&amp;'管线现金流'!AL59&amp;"|"&amp;'管线现金流'!J60&amp;"|"&amp;'管线现金流'!AL60&amp;"|"&amp;'管线现金流'!J61&amp;"|"&amp;'管线现金流'!AL61&amp;"|"&amp;'管线现金流'!J62&amp;"|"&amp;'管线现金流'!AL62&amp;"|"&amp;'管线现金流'!J63&amp;"|"&amp;'管线现金流'!AL63&amp;"|"&amp;'管线现金流'!J64&amp;"|"&amp;'管线现金流'!AL64&amp;"|"&amp;'管线现金流'!J65&amp;"|"&amp;'管线现金流'!AL65&amp;"|"&amp;'管线现金流'!J66&amp;"|"&amp;'管线现金流'!AL66&amp;"|"&amp;'管线现金流'!J67&amp;"|"&amp;'管线现金流'!AL67&amp;"|"&amp;'管线现金流'!J68&amp;"|"&amp;'管线现金流'!AL68&amp;"|"&amp;'管线现金流'!J69&amp;"|"&amp;'管线现金流'!AL69&amp;"|"&amp;'管线现金流'!J70&amp;"|"&amp;'管线现金流'!AL70&amp;"|"&amp;'管线现金流'!J71&amp;"|"&amp;'管线现金流'!AL71&amp;"|"&amp;'管线现金流'!J72&amp;"|"&amp;'管线现金流'!AL72&amp;"|"&amp;'管线现金流'!J73&amp;"|"&amp;'管线现金流'!AL73&amp;"|"&amp;'管线现金流'!J74&amp;"|"&amp;'管线现金流'!AL74&amp;"|"&amp;'管线现金流'!J75&amp;"|"&amp;'管线现金流'!AL75&amp;"|"&amp;'管线现金流'!J76&amp;"|"&amp;'管线现金流'!AL76&amp;"|"&amp;'管线现金流'!J77&amp;"|"&amp;'管线现金流'!AL77&amp;"|"&amp;'管线现金流'!J78&amp;"|"&amp;'管线现金流'!AL78&amp;"|"&amp;'管线现金流'!J79&amp;"|"&amp;'管线现金流'!AL79&amp;"|"&amp;'管线现金流'!J80&amp;"|"&amp;'管线现金流'!AL80&amp;"|"&amp;'管线现金流'!J81&amp;"|"&amp;'管线现金流'!AL81&amp;"|"&amp;'管线现金流'!J82&amp;"|"&amp;'管线现金流'!AL82&amp;"|"&amp;'管线现金流'!J83&amp;"|"&amp;'管线现金流'!AL83&amp;"|"&amp;'管线现金流'!J84&amp;"|"&amp;'管线现金流'!AL84&amp;"|"&amp;'管线现金流'!J85&amp;"|"&amp;'管线现金流'!AL85&amp;"|"&amp;'管线现金流'!J86&amp;"|"&amp;'管线现金流'!AL86&amp;"|"&amp;'管线现金流'!J87&amp;"|"&amp;'管线现金流'!AL87&amp;"|"&amp;'管线现金流'!J88&amp;"|"&amp;'管线现金流'!AL88&amp;"|"&amp;'管线现金流'!J89&amp;"|"&amp;'管线现金流'!AL89&amp;"|"&amp;'管线现金流'!J90&amp;"|"&amp;'管线现金流'!AL90&amp;"|"&amp;'管线现金流'!J91&amp;"|"&amp;'管线现金流'!AL91&amp;"|"&amp;'管线现金流'!J92&amp;"|"&amp;'管线现金流'!AL92&amp;"|"&amp;'管线现金流'!J93&amp;"|"&amp;'管线现金流'!AL93&amp;"|"&amp;'管线现金流'!J94&amp;"|"&amp;'管线现金流'!AL94&amp;"|"&amp;'管线现金流'!J95&amp;"|"&amp;'管线现金流'!AL95&amp;"|"&amp;'管线现金流'!J96&amp;"|"&amp;'管线现金流'!AL96&amp;"|"&amp;'管线现金流'!J97&amp;"|"&amp;'管线现金流'!AL97&amp;"|"&amp;'管线现金流'!J98&amp;"|"&amp;'管线现金流'!AL98&amp;"|"&amp;'管线现金流'!J99&amp;"|"&amp;'管线现金流'!AL99&amp;"|"&amp;'管线现金流'!J100&amp;"|"&amp;'管线现金流'!AL100&amp;"|"&amp;'管线现金流'!J101&amp;"|"&amp;'管线现金流'!AL101&amp;"|"&amp;'管线现金流'!J102&amp;"|"&amp;'管线现金流'!AL102&amp;"|"&amp;'管线现金流'!J103&amp;"|"&amp;'管线现金流'!AL103&amp;"|"&amp;'管线现金流'!W7&amp;"|"&amp;'管线现金流'!Z7&amp;"|"&amp;'管线现金流'!AQ7&amp;"|"&amp;'管线现金流'!AT7&amp;"|"&amp;'管线现金流'!W8&amp;"|"&amp;'管线现金流'!Z8&amp;"|"&amp;'管线现金流'!AQ8&amp;"|"&amp;'管线现金流'!AT8&amp;"|"&amp;'管线现金流'!W9&amp;"|"&amp;'管线现金流'!Z9&amp;"|"&amp;'管线现金流'!AQ9&amp;"|"&amp;'管线现金流'!AT9</x:f>
        <x:v>16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</x:row>
    <x:row r="175" ht="23" customHeight="1">
      <x:c r="A175" s="11" t="str">
        <x:v>01093.HK</x:v>
      </x:c>
      <x:c r="B175" s="11" t="str">
        <x:v>石药集团</x:v>
      </x:c>
      <x:c r="C175" s="11" t="str">
        <x:v>半年</x:v>
      </x:c>
      <x:c r="D175" s="11" t="str">
        <x:v>悲观</x:v>
      </x:c>
      <x:c r="E175" s="11" t="n">
        <x:v>9.085</x:v>
      </x:c>
      <x:c r="F175" s="11" t="n">
        <x:v>4.264268175385271</x:v>
      </x:c>
      <x:c r="G175" s="11" t="n">
        <x:v>0.18</x:v>
      </x:c>
      <x:c r="H175" s="25" t="n">
        <x:v>-0.5306254072223147</x:v>
      </x:c>
      <x:c r="I175" s="25" t="n">
        <x:v>-0.5108125288513736</x:v>
      </x:c>
      <x:c r="J175" s="25" t="str"/>
      <x:c r="K175" s="11" t="n">
        <x:v>0.22</x:v>
      </x:c>
      <x:c r="L175" s="11" t="n">
        <x:v>13</x:v>
      </x:c>
      <x:c r="M175" s="11" t="n">
        <x:v>1.1</x:v>
      </x:c>
      <x:c r="N175" s="11" t="n">
        <x:v>0.18</x:v>
      </x:c>
      <x:c r="O175" s="11" t="str"/>
      <x:c r="P175" s="11" t="n">
        <x:v>0.10679166666666667</x:v>
      </x:c>
      <x:c r="Q175" s="11" t="n">
        <x:v>11.65</x:v>
      </x:c>
      <x:c r="R175" s="11" t="str">
        <x:v>cspc-v1-core-cash-assetgroups</x:v>
      </x:c>
      <x:c r="S175" s="11" t="str">
        <x:v>2026-10-10</x:v>
      </x:c>
      <x:c r="T175" s="11" t="str">
        <x:f>IF(AND(SUM(IF(K175='假设'!E232,0,1),IF(L175='假设'!F232,0,1),IF(M175='假设'!G232,0,1),IF(N175='假设'!H232,0,1),IF(O175='假设'!I232,0,1),IF(P175='假设'!J232,0,1),IF(Q175='假设'!K232,0,1))=0,U175=V175),"已刷新","待刷新")</x:f>
        <x:v>已刷新</x:v>
      </x:c>
      <x:c r="U175" t="str">
        <x:v>11.2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  <x:c r="V175" t="str">
        <x:f>'假设'!N232&amp;"|"&amp;'管线假设'!E32&amp;"|"&amp;'管线假设'!F32&amp;"|"&amp;'管线假设'!G32&amp;"|"&amp;'管线假设'!H32&amp;"|"&amp;'管线假设'!I32&amp;"|"&amp;'管线假设'!E36&amp;"|"&amp;'管线假设'!F36&amp;"|"&amp;'管线假设'!G36&amp;"|"&amp;'管线假设'!H36&amp;"|"&amp;'管线假设'!I36&amp;"|"&amp;'管线假设'!E40&amp;"|"&amp;'管线假设'!F40&amp;"|"&amp;'管线假设'!G40&amp;"|"&amp;'管线假设'!H40&amp;"|"&amp;'管线假设'!I40&amp;"|"&amp;'管线假设'!E44&amp;"|"&amp;'管线假设'!F44&amp;"|"&amp;'管线假设'!G44&amp;"|"&amp;'管线假设'!H44&amp;"|"&amp;'管线假设'!I44&amp;"|"&amp;'管线假设'!E48&amp;"|"&amp;'管线假设'!F48&amp;"|"&amp;'管线假设'!G48&amp;"|"&amp;'管线假设'!H48&amp;"|"&amp;'管线假设'!I48&amp;"|"&amp;'管线假设'!E52&amp;"|"&amp;'管线假设'!F52&amp;"|"&amp;'管线假设'!G52&amp;"|"&amp;'管线假设'!H52&amp;"|"&amp;'管线假设'!I52&amp;"|"&amp;'管线现金流'!H104&amp;"|"&amp;'管线现金流'!AJ104&amp;"|"&amp;'管线现金流'!H105&amp;"|"&amp;'管线现金流'!AJ105&amp;"|"&amp;'管线现金流'!H106&amp;"|"&amp;'管线现金流'!AJ106&amp;"|"&amp;'管线现金流'!H107&amp;"|"&amp;'管线现金流'!AJ107&amp;"|"&amp;'管线现金流'!H108&amp;"|"&amp;'管线现金流'!AJ108&amp;"|"&amp;'管线现金流'!H109&amp;"|"&amp;'管线现金流'!AJ109&amp;"|"&amp;'管线现金流'!H110&amp;"|"&amp;'管线现金流'!AJ110&amp;"|"&amp;'管线现金流'!H111&amp;"|"&amp;'管线现金流'!AJ111&amp;"|"&amp;'管线现金流'!H112&amp;"|"&amp;'管线现金流'!AJ112&amp;"|"&amp;'管线现金流'!H113&amp;"|"&amp;'管线现金流'!AJ113&amp;"|"&amp;'管线现金流'!H114&amp;"|"&amp;'管线现金流'!AJ114&amp;"|"&amp;'管线现金流'!H115&amp;"|"&amp;'管线现金流'!AJ115&amp;"|"&amp;'管线现金流'!H116&amp;"|"&amp;'管线现金流'!AJ116&amp;"|"&amp;'管线现金流'!H117&amp;"|"&amp;'管线现金流'!AJ117&amp;"|"&amp;'管线现金流'!H118&amp;"|"&amp;'管线现金流'!AJ118&amp;"|"&amp;'管线现金流'!H119&amp;"|"&amp;'管线现金流'!AJ119&amp;"|"&amp;'管线现金流'!H120&amp;"|"&amp;'管线现金流'!AJ120&amp;"|"&amp;'管线现金流'!H121&amp;"|"&amp;'管线现金流'!AJ121&amp;"|"&amp;'管线现金流'!H122&amp;"|"&amp;'管线现金流'!AJ122&amp;"|"&amp;'管线现金流'!H123&amp;"|"&amp;'管线现金流'!AJ123&amp;"|"&amp;'管线现金流'!H124&amp;"|"&amp;'管线现金流'!AJ124&amp;"|"&amp;'管线现金流'!H125&amp;"|"&amp;'管线现金流'!AJ125&amp;"|"&amp;'管线现金流'!H126&amp;"|"&amp;'管线现金流'!AJ126&amp;"|"&amp;'管线现金流'!H127&amp;"|"&amp;'管线现金流'!AJ127&amp;"|"&amp;'管线现金流'!H128&amp;"|"&amp;'管线现金流'!AJ128&amp;"|"&amp;'管线现金流'!H129&amp;"|"&amp;'管线现金流'!AJ129&amp;"|"&amp;'管线现金流'!H130&amp;"|"&amp;'管线现金流'!AJ130&amp;"|"&amp;'管线现金流'!H131&amp;"|"&amp;'管线现金流'!AJ131&amp;"|"&amp;'管线现金流'!H132&amp;"|"&amp;'管线现金流'!AJ132&amp;"|"&amp;'管线现金流'!H133&amp;"|"&amp;'管线现金流'!AJ133&amp;"|"&amp;'管线现金流'!H134&amp;"|"&amp;'管线现金流'!AJ134&amp;"|"&amp;'管线现金流'!H135&amp;"|"&amp;'管线现金流'!AJ135&amp;"|"&amp;'管线现金流'!H136&amp;"|"&amp;'管线现金流'!AJ136&amp;"|"&amp;'管线现金流'!H137&amp;"|"&amp;'管线现金流'!AJ137&amp;"|"&amp;'管线现金流'!H138&amp;"|"&amp;'管线现金流'!AJ138&amp;"|"&amp;'管线现金流'!H139&amp;"|"&amp;'管线现金流'!AJ139&amp;"|"&amp;'管线现金流'!H140&amp;"|"&amp;'管线现金流'!AJ140&amp;"|"&amp;'管线现金流'!H141&amp;"|"&amp;'管线现金流'!AJ141&amp;"|"&amp;'管线现金流'!H142&amp;"|"&amp;'管线现金流'!AJ142&amp;"|"&amp;'管线现金流'!H143&amp;"|"&amp;'管线现金流'!AJ143&amp;"|"&amp;'管线现金流'!H144&amp;"|"&amp;'管线现金流'!AJ144&amp;"|"&amp;'管线现金流'!H145&amp;"|"&amp;'管线现金流'!AJ145&amp;"|"&amp;'管线现金流'!H146&amp;"|"&amp;'管线现金流'!AJ146&amp;"|"&amp;'管线现金流'!H147&amp;"|"&amp;'管线现金流'!AJ147&amp;"|"&amp;'管线现金流'!H148&amp;"|"&amp;'管线现金流'!AJ148&amp;"|"&amp;'管线现金流'!H149&amp;"|"&amp;'管线现金流'!AJ149&amp;"|"&amp;'管线现金流'!H150&amp;"|"&amp;'管线现金流'!AJ150&amp;"|"&amp;'管线现金流'!H151&amp;"|"&amp;'管线现金流'!AJ151&amp;"|"&amp;'管线现金流'!H152&amp;"|"&amp;'管线现金流'!AJ152&amp;"|"&amp;'管线现金流'!H153&amp;"|"&amp;'管线现金流'!AJ153&amp;"|"&amp;'管线现金流'!H154&amp;"|"&amp;'管线现金流'!AJ154&amp;"|"&amp;'管线现金流'!H155&amp;"|"&amp;'管线现金流'!AJ155&amp;"|"&amp;'管线现金流'!H156&amp;"|"&amp;'管线现金流'!AJ156&amp;"|"&amp;'管线现金流'!H157&amp;"|"&amp;'管线现金流'!AJ157&amp;"|"&amp;'管线现金流'!H158&amp;"|"&amp;'管线现金流'!AJ158&amp;"|"&amp;'管线现金流'!H159&amp;"|"&amp;'管线现金流'!AJ159&amp;"|"&amp;'管线现金流'!H160&amp;"|"&amp;'管线现金流'!AJ160&amp;"|"&amp;'管线现金流'!H161&amp;"|"&amp;'管线现金流'!AJ161&amp;"|"&amp;'管线现金流'!H162&amp;"|"&amp;'管线现金流'!AJ162&amp;"|"&amp;'管线现金流'!H163&amp;"|"&amp;'管线现金流'!AJ163&amp;"|"&amp;'管线现金流'!H164&amp;"|"&amp;'管线现金流'!AJ164&amp;"|"&amp;'管线现金流'!H165&amp;"|"&amp;'管线现金流'!AJ165&amp;"|"&amp;'管线现金流'!H166&amp;"|"&amp;'管线现金流'!AJ166&amp;"|"&amp;'管线现金流'!H167&amp;"|"&amp;'管线现金流'!AJ167&amp;"|"&amp;'管线现金流'!H168&amp;"|"&amp;'管线现金流'!AJ168&amp;"|"&amp;'管线现金流'!H169&amp;"|"&amp;'管线现金流'!AJ169&amp;"|"&amp;'管线现金流'!H170&amp;"|"&amp;'管线现金流'!AJ170&amp;"|"&amp;'管线现金流'!H171&amp;"|"&amp;'管线现金流'!AJ171&amp;"|"&amp;'管线现金流'!H172&amp;"|"&amp;'管线现金流'!AJ172&amp;"|"&amp;'管线现金流'!H173&amp;"|"&amp;'管线现金流'!AJ173&amp;"|"&amp;'管线现金流'!H174&amp;"|"&amp;'管线现金流'!AJ174&amp;"|"&amp;'管线现金流'!H175&amp;"|"&amp;'管线现金流'!AJ175&amp;"|"&amp;'管线现金流'!H176&amp;"|"&amp;'管线现金流'!AJ176&amp;"|"&amp;'管线现金流'!H177&amp;"|"&amp;'管线现金流'!AJ177&amp;"|"&amp;'管线现金流'!H178&amp;"|"&amp;'管线现金流'!AJ178&amp;"|"&amp;'管线现金流'!H179&amp;"|"&amp;'管线现金流'!AJ179&amp;"|"&amp;'管线现金流'!H180&amp;"|"&amp;'管线现金流'!AJ180&amp;"|"&amp;'管线现金流'!H181&amp;"|"&amp;'管线现金流'!AJ181&amp;"|"&amp;'管线现金流'!H182&amp;"|"&amp;'管线现金流'!AJ182&amp;"|"&amp;'管线现金流'!H183&amp;"|"&amp;'管线现金流'!AJ183&amp;"|"&amp;'管线现金流'!H184&amp;"|"&amp;'管线现金流'!AJ184&amp;"|"&amp;'管线现金流'!H185&amp;"|"&amp;'管线现金流'!AJ185&amp;"|"&amp;'管线现金流'!H186&amp;"|"&amp;'管线现金流'!AJ186&amp;"|"&amp;'管线现金流'!H187&amp;"|"&amp;'管线现金流'!AJ187&amp;"|"&amp;'管线现金流'!H188&amp;"|"&amp;'管线现金流'!AJ188&amp;"|"&amp;'管线现金流'!H189&amp;"|"&amp;'管线现金流'!AJ189&amp;"|"&amp;'管线现金流'!H190&amp;"|"&amp;'管线现金流'!AJ190&amp;"|"&amp;'管线现金流'!H191&amp;"|"&amp;'管线现金流'!AJ191&amp;"|"&amp;'管线现金流'!H192&amp;"|"&amp;'管线现金流'!AJ192&amp;"|"&amp;'管线现金流'!H193&amp;"|"&amp;'管线现金流'!AJ193&amp;"|"&amp;'管线现金流'!H194&amp;"|"&amp;'管线现金流'!AJ194&amp;"|"&amp;'管线现金流'!H195&amp;"|"&amp;'管线现金流'!AJ195&amp;"|"&amp;'管线现金流'!H196&amp;"|"&amp;'管线现金流'!AJ196&amp;"|"&amp;'管线现金流'!H197&amp;"|"&amp;'管线现金流'!AJ197&amp;"|"&amp;'管线现金流'!H198&amp;"|"&amp;'管线现金流'!AJ198&amp;"|"&amp;'管线现金流'!H199&amp;"|"&amp;'管线现金流'!AJ199&amp;"|"&amp;'管线现金流'!H200&amp;"|"&amp;'管线现金流'!AJ200&amp;"|"&amp;'管线现金流'!U10&amp;"|"&amp;'管线现金流'!X10&amp;"|"&amp;'管线现金流'!AO10&amp;"|"&amp;'管线现金流'!AR10&amp;"|"&amp;'管线现金流'!U11&amp;"|"&amp;'管线现金流'!X11&amp;"|"&amp;'管线现金流'!AO11&amp;"|"&amp;'管线现金流'!AR11&amp;"|"&amp;'管线现金流'!U12&amp;"|"&amp;'管线现金流'!X12&amp;"|"&amp;'管线现金流'!AO12&amp;"|"&amp;'管线现金流'!AR12</x:f>
        <x:v>11.2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</x:row>
    <x:row r="176" ht="23" customHeight="1">
      <x:c r="A176" s="11" t="str">
        <x:v>01093.HK</x:v>
      </x:c>
      <x:c r="B176" s="11" t="str">
        <x:v>石药集团</x:v>
      </x:c>
      <x:c r="C176" s="11" t="str">
        <x:v>半年</x:v>
      </x:c>
      <x:c r="D176" s="11" t="str">
        <x:v>基准</x:v>
      </x:c>
      <x:c r="E176" s="11" t="n">
        <x:v>9.085</x:v>
      </x:c>
      <x:c r="F176" s="11" t="n">
        <x:v>9.752380353446496</x:v>
      </x:c>
      <x:c r="G176" s="11" t="n">
        <x:v>0.18</x:v>
      </x:c>
      <x:c r="H176" s="25" t="n">
        <x:v>0.07345958761106153</x:v>
      </x:c>
      <x:c r="I176" s="25" t="n">
        <x:v>0.09327246598200278</x:v>
      </x:c>
      <x:c r="J176" s="25" t="str"/>
      <x:c r="K176" s="11" t="n">
        <x:v>0.34</x:v>
      </x:c>
      <x:c r="L176" s="11" t="n">
        <x:v>20</x:v>
      </x:c>
      <x:c r="M176" s="11" t="n">
        <x:v>1.1</x:v>
      </x:c>
      <x:c r="N176" s="11" t="n">
        <x:v>0.18</x:v>
      </x:c>
      <x:c r="O176" s="11" t="str"/>
      <x:c r="P176" s="11" t="n">
        <x:v>0.14557037037037038</x:v>
      </x:c>
      <x:c r="Q176" s="11" t="n">
        <x:v>11.56</x:v>
      </x:c>
      <x:c r="R176" s="11" t="str">
        <x:v>cspc-v1-core-cash-assetgroups</x:v>
      </x:c>
      <x:c r="S176" s="11" t="str">
        <x:v>2026-10-10</x:v>
      </x:c>
      <x:c r="T176" s="11" t="str">
        <x:f>IF(AND(SUM(IF(K176='假设'!E233,0,1),IF(L176='假设'!F233,0,1),IF(M176='假设'!G233,0,1),IF(N176='假设'!H233,0,1),IF(O176='假设'!I233,0,1),IF(P176='假设'!J233,0,1),IF(Q176='假设'!K233,0,1))=0,U176=V176),"已刷新","待刷新")</x:f>
        <x:v>已刷新</x:v>
      </x:c>
      <x:c r="U176" t="str">
        <x:v>14.8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  <x:c r="V176" t="str">
        <x:f>'假设'!N233&amp;"|"&amp;'管线假设'!E33&amp;"|"&amp;'管线假设'!F33&amp;"|"&amp;'管线假设'!G33&amp;"|"&amp;'管线假设'!H33&amp;"|"&amp;'管线假设'!I33&amp;"|"&amp;'管线假设'!E37&amp;"|"&amp;'管线假设'!F37&amp;"|"&amp;'管线假设'!G37&amp;"|"&amp;'管线假设'!H37&amp;"|"&amp;'管线假设'!I37&amp;"|"&amp;'管线假设'!E41&amp;"|"&amp;'管线假设'!F41&amp;"|"&amp;'管线假设'!G41&amp;"|"&amp;'管线假设'!H41&amp;"|"&amp;'管线假设'!I41&amp;"|"&amp;'管线假设'!E45&amp;"|"&amp;'管线假设'!F45&amp;"|"&amp;'管线假设'!G45&amp;"|"&amp;'管线假设'!H45&amp;"|"&amp;'管线假设'!I45&amp;"|"&amp;'管线假设'!E49&amp;"|"&amp;'管线假设'!F49&amp;"|"&amp;'管线假设'!G49&amp;"|"&amp;'管线假设'!H49&amp;"|"&amp;'管线假设'!I49&amp;"|"&amp;'管线假设'!E53&amp;"|"&amp;'管线假设'!F53&amp;"|"&amp;'管线假设'!G53&amp;"|"&amp;'管线假设'!H53&amp;"|"&amp;'管线假设'!I53&amp;"|"&amp;'管线现金流'!I104&amp;"|"&amp;'管线现金流'!AK104&amp;"|"&amp;'管线现金流'!I105&amp;"|"&amp;'管线现金流'!AK105&amp;"|"&amp;'管线现金流'!I106&amp;"|"&amp;'管线现金流'!AK106&amp;"|"&amp;'管线现金流'!I107&amp;"|"&amp;'管线现金流'!AK107&amp;"|"&amp;'管线现金流'!I108&amp;"|"&amp;'管线现金流'!AK108&amp;"|"&amp;'管线现金流'!I109&amp;"|"&amp;'管线现金流'!AK109&amp;"|"&amp;'管线现金流'!I110&amp;"|"&amp;'管线现金流'!AK110&amp;"|"&amp;'管线现金流'!I111&amp;"|"&amp;'管线现金流'!AK111&amp;"|"&amp;'管线现金流'!I112&amp;"|"&amp;'管线现金流'!AK112&amp;"|"&amp;'管线现金流'!I113&amp;"|"&amp;'管线现金流'!AK113&amp;"|"&amp;'管线现金流'!I114&amp;"|"&amp;'管线现金流'!AK114&amp;"|"&amp;'管线现金流'!I115&amp;"|"&amp;'管线现金流'!AK115&amp;"|"&amp;'管线现金流'!I116&amp;"|"&amp;'管线现金流'!AK116&amp;"|"&amp;'管线现金流'!I117&amp;"|"&amp;'管线现金流'!AK117&amp;"|"&amp;'管线现金流'!I118&amp;"|"&amp;'管线现金流'!AK118&amp;"|"&amp;'管线现金流'!I119&amp;"|"&amp;'管线现金流'!AK119&amp;"|"&amp;'管线现金流'!I120&amp;"|"&amp;'管线现金流'!AK120&amp;"|"&amp;'管线现金流'!I121&amp;"|"&amp;'管线现金流'!AK121&amp;"|"&amp;'管线现金流'!I122&amp;"|"&amp;'管线现金流'!AK122&amp;"|"&amp;'管线现金流'!I123&amp;"|"&amp;'管线现金流'!AK123&amp;"|"&amp;'管线现金流'!I124&amp;"|"&amp;'管线现金流'!AK124&amp;"|"&amp;'管线现金流'!I125&amp;"|"&amp;'管线现金流'!AK125&amp;"|"&amp;'管线现金流'!I126&amp;"|"&amp;'管线现金流'!AK126&amp;"|"&amp;'管线现金流'!I127&amp;"|"&amp;'管线现金流'!AK127&amp;"|"&amp;'管线现金流'!I128&amp;"|"&amp;'管线现金流'!AK128&amp;"|"&amp;'管线现金流'!I129&amp;"|"&amp;'管线现金流'!AK129&amp;"|"&amp;'管线现金流'!I130&amp;"|"&amp;'管线现金流'!AK130&amp;"|"&amp;'管线现金流'!I131&amp;"|"&amp;'管线现金流'!AK131&amp;"|"&amp;'管线现金流'!I132&amp;"|"&amp;'管线现金流'!AK132&amp;"|"&amp;'管线现金流'!I133&amp;"|"&amp;'管线现金流'!AK133&amp;"|"&amp;'管线现金流'!I134&amp;"|"&amp;'管线现金流'!AK134&amp;"|"&amp;'管线现金流'!I135&amp;"|"&amp;'管线现金流'!AK135&amp;"|"&amp;'管线现金流'!I136&amp;"|"&amp;'管线现金流'!AK136&amp;"|"&amp;'管线现金流'!I137&amp;"|"&amp;'管线现金流'!AK137&amp;"|"&amp;'管线现金流'!I138&amp;"|"&amp;'管线现金流'!AK138&amp;"|"&amp;'管线现金流'!I139&amp;"|"&amp;'管线现金流'!AK139&amp;"|"&amp;'管线现金流'!I140&amp;"|"&amp;'管线现金流'!AK140&amp;"|"&amp;'管线现金流'!I141&amp;"|"&amp;'管线现金流'!AK141&amp;"|"&amp;'管线现金流'!I142&amp;"|"&amp;'管线现金流'!AK142&amp;"|"&amp;'管线现金流'!I143&amp;"|"&amp;'管线现金流'!AK143&amp;"|"&amp;'管线现金流'!I144&amp;"|"&amp;'管线现金流'!AK144&amp;"|"&amp;'管线现金流'!I145&amp;"|"&amp;'管线现金流'!AK145&amp;"|"&amp;'管线现金流'!I146&amp;"|"&amp;'管线现金流'!AK146&amp;"|"&amp;'管线现金流'!I147&amp;"|"&amp;'管线现金流'!AK147&amp;"|"&amp;'管线现金流'!I148&amp;"|"&amp;'管线现金流'!AK148&amp;"|"&amp;'管线现金流'!I149&amp;"|"&amp;'管线现金流'!AK149&amp;"|"&amp;'管线现金流'!I150&amp;"|"&amp;'管线现金流'!AK150&amp;"|"&amp;'管线现金流'!I151&amp;"|"&amp;'管线现金流'!AK151&amp;"|"&amp;'管线现金流'!I152&amp;"|"&amp;'管线现金流'!AK152&amp;"|"&amp;'管线现金流'!I153&amp;"|"&amp;'管线现金流'!AK153&amp;"|"&amp;'管线现金流'!I154&amp;"|"&amp;'管线现金流'!AK154&amp;"|"&amp;'管线现金流'!I155&amp;"|"&amp;'管线现金流'!AK155&amp;"|"&amp;'管线现金流'!I156&amp;"|"&amp;'管线现金流'!AK156&amp;"|"&amp;'管线现金流'!I157&amp;"|"&amp;'管线现金流'!AK157&amp;"|"&amp;'管线现金流'!I158&amp;"|"&amp;'管线现金流'!AK158&amp;"|"&amp;'管线现金流'!I159&amp;"|"&amp;'管线现金流'!AK159&amp;"|"&amp;'管线现金流'!I160&amp;"|"&amp;'管线现金流'!AK160&amp;"|"&amp;'管线现金流'!I161&amp;"|"&amp;'管线现金流'!AK161&amp;"|"&amp;'管线现金流'!I162&amp;"|"&amp;'管线现金流'!AK162&amp;"|"&amp;'管线现金流'!I163&amp;"|"&amp;'管线现金流'!AK163&amp;"|"&amp;'管线现金流'!I164&amp;"|"&amp;'管线现金流'!AK164&amp;"|"&amp;'管线现金流'!I165&amp;"|"&amp;'管线现金流'!AK165&amp;"|"&amp;'管线现金流'!I166&amp;"|"&amp;'管线现金流'!AK166&amp;"|"&amp;'管线现金流'!I167&amp;"|"&amp;'管线现金流'!AK167&amp;"|"&amp;'管线现金流'!I168&amp;"|"&amp;'管线现金流'!AK168&amp;"|"&amp;'管线现金流'!I169&amp;"|"&amp;'管线现金流'!AK169&amp;"|"&amp;'管线现金流'!I170&amp;"|"&amp;'管线现金流'!AK170&amp;"|"&amp;'管线现金流'!I171&amp;"|"&amp;'管线现金流'!AK171&amp;"|"&amp;'管线现金流'!I172&amp;"|"&amp;'管线现金流'!AK172&amp;"|"&amp;'管线现金流'!I173&amp;"|"&amp;'管线现金流'!AK173&amp;"|"&amp;'管线现金流'!I174&amp;"|"&amp;'管线现金流'!AK174&amp;"|"&amp;'管线现金流'!I175&amp;"|"&amp;'管线现金流'!AK175&amp;"|"&amp;'管线现金流'!I176&amp;"|"&amp;'管线现金流'!AK176&amp;"|"&amp;'管线现金流'!I177&amp;"|"&amp;'管线现金流'!AK177&amp;"|"&amp;'管线现金流'!I178&amp;"|"&amp;'管线现金流'!AK178&amp;"|"&amp;'管线现金流'!I179&amp;"|"&amp;'管线现金流'!AK179&amp;"|"&amp;'管线现金流'!I180&amp;"|"&amp;'管线现金流'!AK180&amp;"|"&amp;'管线现金流'!I181&amp;"|"&amp;'管线现金流'!AK181&amp;"|"&amp;'管线现金流'!I182&amp;"|"&amp;'管线现金流'!AK182&amp;"|"&amp;'管线现金流'!I183&amp;"|"&amp;'管线现金流'!AK183&amp;"|"&amp;'管线现金流'!I184&amp;"|"&amp;'管线现金流'!AK184&amp;"|"&amp;'管线现金流'!I185&amp;"|"&amp;'管线现金流'!AK185&amp;"|"&amp;'管线现金流'!I186&amp;"|"&amp;'管线现金流'!AK186&amp;"|"&amp;'管线现金流'!I187&amp;"|"&amp;'管线现金流'!AK187&amp;"|"&amp;'管线现金流'!I188&amp;"|"&amp;'管线现金流'!AK188&amp;"|"&amp;'管线现金流'!I189&amp;"|"&amp;'管线现金流'!AK189&amp;"|"&amp;'管线现金流'!I190&amp;"|"&amp;'管线现金流'!AK190&amp;"|"&amp;'管线现金流'!I191&amp;"|"&amp;'管线现金流'!AK191&amp;"|"&amp;'管线现金流'!I192&amp;"|"&amp;'管线现金流'!AK192&amp;"|"&amp;'管线现金流'!I193&amp;"|"&amp;'管线现金流'!AK193&amp;"|"&amp;'管线现金流'!I194&amp;"|"&amp;'管线现金流'!AK194&amp;"|"&amp;'管线现金流'!I195&amp;"|"&amp;'管线现金流'!AK195&amp;"|"&amp;'管线现金流'!I196&amp;"|"&amp;'管线现金流'!AK196&amp;"|"&amp;'管线现金流'!I197&amp;"|"&amp;'管线现金流'!AK197&amp;"|"&amp;'管线现金流'!I198&amp;"|"&amp;'管线现金流'!AK198&amp;"|"&amp;'管线现金流'!I199&amp;"|"&amp;'管线现金流'!AK199&amp;"|"&amp;'管线现金流'!I200&amp;"|"&amp;'管线现金流'!AK200&amp;"|"&amp;'管线现金流'!V10&amp;"|"&amp;'管线现金流'!Y10&amp;"|"&amp;'管线现金流'!AP10&amp;"|"&amp;'管线现金流'!AS10&amp;"|"&amp;'管线现金流'!V11&amp;"|"&amp;'管线现金流'!Y11&amp;"|"&amp;'管线现金流'!AP11&amp;"|"&amp;'管线现金流'!AS11&amp;"|"&amp;'管线现金流'!V12&amp;"|"&amp;'管线现金流'!Y12&amp;"|"&amp;'管线现金流'!AP12&amp;"|"&amp;'管线现金流'!AS12</x:f>
        <x:v>14.8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</x:row>
    <x:row r="177" ht="23" customHeight="1">
      <x:c r="A177" s="11" t="str">
        <x:v>01093.HK</x:v>
      </x:c>
      <x:c r="B177" s="11" t="str">
        <x:v>石药集团</x:v>
      </x:c>
      <x:c r="C177" s="11" t="str">
        <x:v>半年</x:v>
      </x:c>
      <x:c r="D177" s="11" t="str">
        <x:v>乐观</x:v>
      </x:c>
      <x:c r="E177" s="11" t="n">
        <x:v>9.085</x:v>
      </x:c>
      <x:c r="F177" s="11" t="n">
        <x:v>19.109664171588477</x:v>
      </x:c>
      <x:c r="G177" s="11" t="n">
        <x:v>0.18</x:v>
      </x:c>
      <x:c r="H177" s="25" t="n">
        <x:v>1.103430288562298</x:v>
      </x:c>
      <x:c r="I177" s="25" t="n">
        <x:v>1.1232431669332388</x:v>
      </x:c>
      <x:c r="J177" s="25" t="str"/>
      <x:c r="K177" s="11" t="n">
        <x:v>0.45</x:v>
      </x:c>
      <x:c r="L177" s="11" t="n">
        <x:v>26</x:v>
      </x:c>
      <x:c r="M177" s="11" t="n">
        <x:v>1.1</x:v>
      </x:c>
      <x:c r="N177" s="11" t="n">
        <x:v>0.18</x:v>
      </x:c>
      <x:c r="O177" s="11" t="str"/>
      <x:c r="P177" s="11" t="n">
        <x:v>0.1728</x:v>
      </x:c>
      <x:c r="Q177" s="11" t="n">
        <x:v>11.52</x:v>
      </x:c>
      <x:c r="R177" s="11" t="str">
        <x:v>cspc-v1-core-cash-assetgroups</x:v>
      </x:c>
      <x:c r="S177" s="11" t="str">
        <x:v>2026-10-10</x:v>
      </x:c>
      <x:c r="T177" s="11" t="str">
        <x:f>IF(AND(SUM(IF(K177='假设'!E234,0,1),IF(L177='假设'!F234,0,1),IF(M177='假设'!G234,0,1),IF(N177='假设'!H234,0,1),IF(O177='假设'!I234,0,1),IF(P177='假设'!J234,0,1),IF(Q177='假设'!K234,0,1))=0,U177=V177),"已刷新","待刷新")</x:f>
        <x:v>已刷新</x:v>
      </x:c>
      <x:c r="U177" t="str">
        <x:v>17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  <x:c r="V177" t="str">
        <x:f>'假设'!N234&amp;"|"&amp;'管线假设'!E34&amp;"|"&amp;'管线假设'!F34&amp;"|"&amp;'管线假设'!G34&amp;"|"&amp;'管线假设'!H34&amp;"|"&amp;'管线假设'!I34&amp;"|"&amp;'管线假设'!E38&amp;"|"&amp;'管线假设'!F38&amp;"|"&amp;'管线假设'!G38&amp;"|"&amp;'管线假设'!H38&amp;"|"&amp;'管线假设'!I38&amp;"|"&amp;'管线假设'!E42&amp;"|"&amp;'管线假设'!F42&amp;"|"&amp;'管线假设'!G42&amp;"|"&amp;'管线假设'!H42&amp;"|"&amp;'管线假设'!I42&amp;"|"&amp;'管线假设'!E46&amp;"|"&amp;'管线假设'!F46&amp;"|"&amp;'管线假设'!G46&amp;"|"&amp;'管线假设'!H46&amp;"|"&amp;'管线假设'!I46&amp;"|"&amp;'管线假设'!E50&amp;"|"&amp;'管线假设'!F50&amp;"|"&amp;'管线假设'!G50&amp;"|"&amp;'管线假设'!H50&amp;"|"&amp;'管线假设'!I50&amp;"|"&amp;'管线假设'!E54&amp;"|"&amp;'管线假设'!F54&amp;"|"&amp;'管线假设'!G54&amp;"|"&amp;'管线假设'!H54&amp;"|"&amp;'管线假设'!I54&amp;"|"&amp;'管线现金流'!J104&amp;"|"&amp;'管线现金流'!AL104&amp;"|"&amp;'管线现金流'!J105&amp;"|"&amp;'管线现金流'!AL105&amp;"|"&amp;'管线现金流'!J106&amp;"|"&amp;'管线现金流'!AL106&amp;"|"&amp;'管线现金流'!J107&amp;"|"&amp;'管线现金流'!AL107&amp;"|"&amp;'管线现金流'!J108&amp;"|"&amp;'管线现金流'!AL108&amp;"|"&amp;'管线现金流'!J109&amp;"|"&amp;'管线现金流'!AL109&amp;"|"&amp;'管线现金流'!J110&amp;"|"&amp;'管线现金流'!AL110&amp;"|"&amp;'管线现金流'!J111&amp;"|"&amp;'管线现金流'!AL111&amp;"|"&amp;'管线现金流'!J112&amp;"|"&amp;'管线现金流'!AL112&amp;"|"&amp;'管线现金流'!J113&amp;"|"&amp;'管线现金流'!AL113&amp;"|"&amp;'管线现金流'!J114&amp;"|"&amp;'管线现金流'!AL114&amp;"|"&amp;'管线现金流'!J115&amp;"|"&amp;'管线现金流'!AL115&amp;"|"&amp;'管线现金流'!J116&amp;"|"&amp;'管线现金流'!AL116&amp;"|"&amp;'管线现金流'!J117&amp;"|"&amp;'管线现金流'!AL117&amp;"|"&amp;'管线现金流'!J118&amp;"|"&amp;'管线现金流'!AL118&amp;"|"&amp;'管线现金流'!J119&amp;"|"&amp;'管线现金流'!AL119&amp;"|"&amp;'管线现金流'!J120&amp;"|"&amp;'管线现金流'!AL120&amp;"|"&amp;'管线现金流'!J121&amp;"|"&amp;'管线现金流'!AL121&amp;"|"&amp;'管线现金流'!J122&amp;"|"&amp;'管线现金流'!AL122&amp;"|"&amp;'管线现金流'!J123&amp;"|"&amp;'管线现金流'!AL123&amp;"|"&amp;'管线现金流'!J124&amp;"|"&amp;'管线现金流'!AL124&amp;"|"&amp;'管线现金流'!J125&amp;"|"&amp;'管线现金流'!AL125&amp;"|"&amp;'管线现金流'!J126&amp;"|"&amp;'管线现金流'!AL126&amp;"|"&amp;'管线现金流'!J127&amp;"|"&amp;'管线现金流'!AL127&amp;"|"&amp;'管线现金流'!J128&amp;"|"&amp;'管线现金流'!AL128&amp;"|"&amp;'管线现金流'!J129&amp;"|"&amp;'管线现金流'!AL129&amp;"|"&amp;'管线现金流'!J130&amp;"|"&amp;'管线现金流'!AL130&amp;"|"&amp;'管线现金流'!J131&amp;"|"&amp;'管线现金流'!AL131&amp;"|"&amp;'管线现金流'!J132&amp;"|"&amp;'管线现金流'!AL132&amp;"|"&amp;'管线现金流'!J133&amp;"|"&amp;'管线现金流'!AL133&amp;"|"&amp;'管线现金流'!J134&amp;"|"&amp;'管线现金流'!AL134&amp;"|"&amp;'管线现金流'!J135&amp;"|"&amp;'管线现金流'!AL135&amp;"|"&amp;'管线现金流'!J136&amp;"|"&amp;'管线现金流'!AL136&amp;"|"&amp;'管线现金流'!J137&amp;"|"&amp;'管线现金流'!AL137&amp;"|"&amp;'管线现金流'!J138&amp;"|"&amp;'管线现金流'!AL138&amp;"|"&amp;'管线现金流'!J139&amp;"|"&amp;'管线现金流'!AL139&amp;"|"&amp;'管线现金流'!J140&amp;"|"&amp;'管线现金流'!AL140&amp;"|"&amp;'管线现金流'!J141&amp;"|"&amp;'管线现金流'!AL141&amp;"|"&amp;'管线现金流'!J142&amp;"|"&amp;'管线现金流'!AL142&amp;"|"&amp;'管线现金流'!J143&amp;"|"&amp;'管线现金流'!AL143&amp;"|"&amp;'管线现金流'!J144&amp;"|"&amp;'管线现金流'!AL144&amp;"|"&amp;'管线现金流'!J145&amp;"|"&amp;'管线现金流'!AL145&amp;"|"&amp;'管线现金流'!J146&amp;"|"&amp;'管线现金流'!AL146&amp;"|"&amp;'管线现金流'!J147&amp;"|"&amp;'管线现金流'!AL147&amp;"|"&amp;'管线现金流'!J148&amp;"|"&amp;'管线现金流'!AL148&amp;"|"&amp;'管线现金流'!J149&amp;"|"&amp;'管线现金流'!AL149&amp;"|"&amp;'管线现金流'!J150&amp;"|"&amp;'管线现金流'!AL150&amp;"|"&amp;'管线现金流'!J151&amp;"|"&amp;'管线现金流'!AL151&amp;"|"&amp;'管线现金流'!J152&amp;"|"&amp;'管线现金流'!AL152&amp;"|"&amp;'管线现金流'!J153&amp;"|"&amp;'管线现金流'!AL153&amp;"|"&amp;'管线现金流'!J154&amp;"|"&amp;'管线现金流'!AL154&amp;"|"&amp;'管线现金流'!J155&amp;"|"&amp;'管线现金流'!AL155&amp;"|"&amp;'管线现金流'!J156&amp;"|"&amp;'管线现金流'!AL156&amp;"|"&amp;'管线现金流'!J157&amp;"|"&amp;'管线现金流'!AL157&amp;"|"&amp;'管线现金流'!J158&amp;"|"&amp;'管线现金流'!AL158&amp;"|"&amp;'管线现金流'!J159&amp;"|"&amp;'管线现金流'!AL159&amp;"|"&amp;'管线现金流'!J160&amp;"|"&amp;'管线现金流'!AL160&amp;"|"&amp;'管线现金流'!J161&amp;"|"&amp;'管线现金流'!AL161&amp;"|"&amp;'管线现金流'!J162&amp;"|"&amp;'管线现金流'!AL162&amp;"|"&amp;'管线现金流'!J163&amp;"|"&amp;'管线现金流'!AL163&amp;"|"&amp;'管线现金流'!J164&amp;"|"&amp;'管线现金流'!AL164&amp;"|"&amp;'管线现金流'!J165&amp;"|"&amp;'管线现金流'!AL165&amp;"|"&amp;'管线现金流'!J166&amp;"|"&amp;'管线现金流'!AL166&amp;"|"&amp;'管线现金流'!J167&amp;"|"&amp;'管线现金流'!AL167&amp;"|"&amp;'管线现金流'!J168&amp;"|"&amp;'管线现金流'!AL168&amp;"|"&amp;'管线现金流'!J169&amp;"|"&amp;'管线现金流'!AL169&amp;"|"&amp;'管线现金流'!J170&amp;"|"&amp;'管线现金流'!AL170&amp;"|"&amp;'管线现金流'!J171&amp;"|"&amp;'管线现金流'!AL171&amp;"|"&amp;'管线现金流'!J172&amp;"|"&amp;'管线现金流'!AL172&amp;"|"&amp;'管线现金流'!J173&amp;"|"&amp;'管线现金流'!AL173&amp;"|"&amp;'管线现金流'!J174&amp;"|"&amp;'管线现金流'!AL174&amp;"|"&amp;'管线现金流'!J175&amp;"|"&amp;'管线现金流'!AL175&amp;"|"&amp;'管线现金流'!J176&amp;"|"&amp;'管线现金流'!AL176&amp;"|"&amp;'管线现金流'!J177&amp;"|"&amp;'管线现金流'!AL177&amp;"|"&amp;'管线现金流'!J178&amp;"|"&amp;'管线现金流'!AL178&amp;"|"&amp;'管线现金流'!J179&amp;"|"&amp;'管线现金流'!AL179&amp;"|"&amp;'管线现金流'!J180&amp;"|"&amp;'管线现金流'!AL180&amp;"|"&amp;'管线现金流'!J181&amp;"|"&amp;'管线现金流'!AL181&amp;"|"&amp;'管线现金流'!J182&amp;"|"&amp;'管线现金流'!AL182&amp;"|"&amp;'管线现金流'!J183&amp;"|"&amp;'管线现金流'!AL183&amp;"|"&amp;'管线现金流'!J184&amp;"|"&amp;'管线现金流'!AL184&amp;"|"&amp;'管线现金流'!J185&amp;"|"&amp;'管线现金流'!AL185&amp;"|"&amp;'管线现金流'!J186&amp;"|"&amp;'管线现金流'!AL186&amp;"|"&amp;'管线现金流'!J187&amp;"|"&amp;'管线现金流'!AL187&amp;"|"&amp;'管线现金流'!J188&amp;"|"&amp;'管线现金流'!AL188&amp;"|"&amp;'管线现金流'!J189&amp;"|"&amp;'管线现金流'!AL189&amp;"|"&amp;'管线现金流'!J190&amp;"|"&amp;'管线现金流'!AL190&amp;"|"&amp;'管线现金流'!J191&amp;"|"&amp;'管线现金流'!AL191&amp;"|"&amp;'管线现金流'!J192&amp;"|"&amp;'管线现金流'!AL192&amp;"|"&amp;'管线现金流'!J193&amp;"|"&amp;'管线现金流'!AL193&amp;"|"&amp;'管线现金流'!J194&amp;"|"&amp;'管线现金流'!AL194&amp;"|"&amp;'管线现金流'!J195&amp;"|"&amp;'管线现金流'!AL195&amp;"|"&amp;'管线现金流'!J196&amp;"|"&amp;'管线现金流'!AL196&amp;"|"&amp;'管线现金流'!J197&amp;"|"&amp;'管线现金流'!AL197&amp;"|"&amp;'管线现金流'!J198&amp;"|"&amp;'管线现金流'!AL198&amp;"|"&amp;'管线现金流'!J199&amp;"|"&amp;'管线现金流'!AL199&amp;"|"&amp;'管线现金流'!J200&amp;"|"&amp;'管线现金流'!AL200&amp;"|"&amp;'管线现金流'!W10&amp;"|"&amp;'管线现金流'!Z10&amp;"|"&amp;'管线现金流'!AQ10&amp;"|"&amp;'管线现金流'!AT10&amp;"|"&amp;'管线现金流'!W11&amp;"|"&amp;'管线现金流'!Z11&amp;"|"&amp;'管线现金流'!AQ11&amp;"|"&amp;'管线现金流'!AT11&amp;"|"&amp;'管线现金流'!W12&amp;"|"&amp;'管线现金流'!Z12&amp;"|"&amp;'管线现金流'!AQ12&amp;"|"&amp;'管线现金流'!AT12</x:f>
        <x:v>17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</x:row>
    <x:row r="178" ht="23" customHeight="1">
      <x:c r="A178" s="11" t="str">
        <x:v>01093.HK</x:v>
      </x:c>
      <x:c r="B178" s="11" t="str">
        <x:v>石药集团</x:v>
      </x:c>
      <x:c r="C178" s="11" t="str">
        <x:v>一年</x:v>
      </x:c>
      <x:c r="D178" s="11" t="str">
        <x:v>悲观</x:v>
      </x:c>
      <x:c r="E178" s="11" t="n">
        <x:v>9.085</x:v>
      </x:c>
      <x:c r="F178" s="11" t="n">
        <x:v>4.347869465369443</x:v>
      </x:c>
      <x:c r="G178" s="11" t="n">
        <x:v>0.3</x:v>
      </x:c>
      <x:c r="H178" s="25" t="n">
        <x:v>-0.5214232839439249</x:v>
      </x:c>
      <x:c r="I178" s="25" t="n">
        <x:v>-0.48840181999235643</x:v>
      </x:c>
      <x:c r="J178" s="25" t="str"/>
      <x:c r="K178" s="11" t="n">
        <x:v>0.25</x:v>
      </x:c>
      <x:c r="L178" s="11" t="n">
        <x:v>12</x:v>
      </x:c>
      <x:c r="M178" s="11" t="n">
        <x:v>1.1</x:v>
      </x:c>
      <x:c r="N178" s="11" t="n">
        <x:v>0.3</x:v>
      </x:c>
      <x:c r="O178" s="11" t="str"/>
      <x:c r="P178" s="11" t="n">
        <x:v>0.1175</x:v>
      </x:c>
      <x:c r="Q178" s="11" t="n">
        <x:v>11.75</x:v>
      </x:c>
      <x:c r="R178" s="11" t="str">
        <x:v>cspc-v1-core-cash-assetgroups</x:v>
      </x:c>
      <x:c r="S178" s="11" t="str">
        <x:v>2026-10-10</x:v>
      </x:c>
      <x:c r="T178" s="11" t="str">
        <x:f>IF(AND(SUM(IF(K178='假设'!E236,0,1),IF(L178='假设'!F236,0,1),IF(M178='假设'!G236,0,1),IF(N178='假设'!H236,0,1),IF(O178='假设'!I236,0,1),IF(P178='假设'!J236,0,1),IF(Q178='假设'!K236,0,1))=0,U178=V178),"已刷新","待刷新")</x:f>
        <x:v>已刷新</x:v>
      </x:c>
      <x:c r="U178" t="str">
        <x:v>10.5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  <x:c r="V178" t="str">
        <x:f>'假设'!N236&amp;"|"&amp;'管线假设'!E56&amp;"|"&amp;'管线假设'!F56&amp;"|"&amp;'管线假设'!G56&amp;"|"&amp;'管线假设'!H56&amp;"|"&amp;'管线假设'!I56&amp;"|"&amp;'管线假设'!E60&amp;"|"&amp;'管线假设'!F60&amp;"|"&amp;'管线假设'!G60&amp;"|"&amp;'管线假设'!H60&amp;"|"&amp;'管线假设'!I60&amp;"|"&amp;'管线假设'!E64&amp;"|"&amp;'管线假设'!F64&amp;"|"&amp;'管线假设'!G64&amp;"|"&amp;'管线假设'!H64&amp;"|"&amp;'管线假设'!I64&amp;"|"&amp;'管线假设'!E68&amp;"|"&amp;'管线假设'!F68&amp;"|"&amp;'管线假设'!G68&amp;"|"&amp;'管线假设'!H68&amp;"|"&amp;'管线假设'!I68&amp;"|"&amp;'管线假设'!E72&amp;"|"&amp;'管线假设'!F72&amp;"|"&amp;'管线假设'!G72&amp;"|"&amp;'管线假设'!H72&amp;"|"&amp;'管线假设'!I72&amp;"|"&amp;'管线假设'!E76&amp;"|"&amp;'管线假设'!F76&amp;"|"&amp;'管线假设'!G76&amp;"|"&amp;'管线假设'!H76&amp;"|"&amp;'管线假设'!I76&amp;"|"&amp;'管线现金流'!H201&amp;"|"&amp;'管线现金流'!AJ201&amp;"|"&amp;'管线现金流'!H202&amp;"|"&amp;'管线现金流'!AJ202&amp;"|"&amp;'管线现金流'!H203&amp;"|"&amp;'管线现金流'!AJ203&amp;"|"&amp;'管线现金流'!H204&amp;"|"&amp;'管线现金流'!AJ204&amp;"|"&amp;'管线现金流'!H205&amp;"|"&amp;'管线现金流'!AJ205&amp;"|"&amp;'管线现金流'!H206&amp;"|"&amp;'管线现金流'!AJ206&amp;"|"&amp;'管线现金流'!H207&amp;"|"&amp;'管线现金流'!AJ207&amp;"|"&amp;'管线现金流'!H208&amp;"|"&amp;'管线现金流'!AJ208&amp;"|"&amp;'管线现金流'!H209&amp;"|"&amp;'管线现金流'!AJ209&amp;"|"&amp;'管线现金流'!H210&amp;"|"&amp;'管线现金流'!AJ210&amp;"|"&amp;'管线现金流'!H211&amp;"|"&amp;'管线现金流'!AJ211&amp;"|"&amp;'管线现金流'!H212&amp;"|"&amp;'管线现金流'!AJ212&amp;"|"&amp;'管线现金流'!H213&amp;"|"&amp;'管线现金流'!AJ213&amp;"|"&amp;'管线现金流'!H214&amp;"|"&amp;'管线现金流'!AJ214&amp;"|"&amp;'管线现金流'!H215&amp;"|"&amp;'管线现金流'!AJ215&amp;"|"&amp;'管线现金流'!H216&amp;"|"&amp;'管线现金流'!AJ216&amp;"|"&amp;'管线现金流'!H217&amp;"|"&amp;'管线现金流'!AJ217&amp;"|"&amp;'管线现金流'!H218&amp;"|"&amp;'管线现金流'!AJ218&amp;"|"&amp;'管线现金流'!H219&amp;"|"&amp;'管线现金流'!AJ219&amp;"|"&amp;'管线现金流'!H220&amp;"|"&amp;'管线现金流'!AJ220&amp;"|"&amp;'管线现金流'!H221&amp;"|"&amp;'管线现金流'!AJ221&amp;"|"&amp;'管线现金流'!H222&amp;"|"&amp;'管线现金流'!AJ222&amp;"|"&amp;'管线现金流'!H223&amp;"|"&amp;'管线现金流'!AJ223&amp;"|"&amp;'管线现金流'!H224&amp;"|"&amp;'管线现金流'!AJ224&amp;"|"&amp;'管线现金流'!H225&amp;"|"&amp;'管线现金流'!AJ225&amp;"|"&amp;'管线现金流'!H226&amp;"|"&amp;'管线现金流'!AJ226&amp;"|"&amp;'管线现金流'!H227&amp;"|"&amp;'管线现金流'!AJ227&amp;"|"&amp;'管线现金流'!H228&amp;"|"&amp;'管线现金流'!AJ228&amp;"|"&amp;'管线现金流'!H229&amp;"|"&amp;'管线现金流'!AJ229&amp;"|"&amp;'管线现金流'!H230&amp;"|"&amp;'管线现金流'!AJ230&amp;"|"&amp;'管线现金流'!H231&amp;"|"&amp;'管线现金流'!AJ231&amp;"|"&amp;'管线现金流'!H232&amp;"|"&amp;'管线现金流'!AJ232&amp;"|"&amp;'管线现金流'!H233&amp;"|"&amp;'管线现金流'!AJ233&amp;"|"&amp;'管线现金流'!H234&amp;"|"&amp;'管线现金流'!AJ234&amp;"|"&amp;'管线现金流'!H235&amp;"|"&amp;'管线现金流'!AJ235&amp;"|"&amp;'管线现金流'!H236&amp;"|"&amp;'管线现金流'!AJ236&amp;"|"&amp;'管线现金流'!H237&amp;"|"&amp;'管线现金流'!AJ237&amp;"|"&amp;'管线现金流'!H238&amp;"|"&amp;'管线现金流'!AJ238&amp;"|"&amp;'管线现金流'!H239&amp;"|"&amp;'管线现金流'!AJ239&amp;"|"&amp;'管线现金流'!H240&amp;"|"&amp;'管线现金流'!AJ240&amp;"|"&amp;'管线现金流'!H241&amp;"|"&amp;'管线现金流'!AJ241&amp;"|"&amp;'管线现金流'!H242&amp;"|"&amp;'管线现金流'!AJ242&amp;"|"&amp;'管线现金流'!H243&amp;"|"&amp;'管线现金流'!AJ243&amp;"|"&amp;'管线现金流'!H244&amp;"|"&amp;'管线现金流'!AJ244&amp;"|"&amp;'管线现金流'!H245&amp;"|"&amp;'管线现金流'!AJ245&amp;"|"&amp;'管线现金流'!H246&amp;"|"&amp;'管线现金流'!AJ246&amp;"|"&amp;'管线现金流'!H247&amp;"|"&amp;'管线现金流'!AJ247&amp;"|"&amp;'管线现金流'!H248&amp;"|"&amp;'管线现金流'!AJ248&amp;"|"&amp;'管线现金流'!H249&amp;"|"&amp;'管线现金流'!AJ249&amp;"|"&amp;'管线现金流'!H250&amp;"|"&amp;'管线现金流'!AJ250&amp;"|"&amp;'管线现金流'!H251&amp;"|"&amp;'管线现金流'!AJ251&amp;"|"&amp;'管线现金流'!H252&amp;"|"&amp;'管线现金流'!AJ252&amp;"|"&amp;'管线现金流'!H253&amp;"|"&amp;'管线现金流'!AJ253&amp;"|"&amp;'管线现金流'!H254&amp;"|"&amp;'管线现金流'!AJ254&amp;"|"&amp;'管线现金流'!H255&amp;"|"&amp;'管线现金流'!AJ255&amp;"|"&amp;'管线现金流'!H256&amp;"|"&amp;'管线现金流'!AJ256&amp;"|"&amp;'管线现金流'!H257&amp;"|"&amp;'管线现金流'!AJ257&amp;"|"&amp;'管线现金流'!H258&amp;"|"&amp;'管线现金流'!AJ258&amp;"|"&amp;'管线现金流'!H259&amp;"|"&amp;'管线现金流'!AJ259&amp;"|"&amp;'管线现金流'!H260&amp;"|"&amp;'管线现金流'!AJ260&amp;"|"&amp;'管线现金流'!H261&amp;"|"&amp;'管线现金流'!AJ261&amp;"|"&amp;'管线现金流'!H262&amp;"|"&amp;'管线现金流'!AJ262&amp;"|"&amp;'管线现金流'!H263&amp;"|"&amp;'管线现金流'!AJ263&amp;"|"&amp;'管线现金流'!H264&amp;"|"&amp;'管线现金流'!AJ264&amp;"|"&amp;'管线现金流'!H265&amp;"|"&amp;'管线现金流'!AJ265&amp;"|"&amp;'管线现金流'!H266&amp;"|"&amp;'管线现金流'!AJ266&amp;"|"&amp;'管线现金流'!H267&amp;"|"&amp;'管线现金流'!AJ267&amp;"|"&amp;'管线现金流'!H268&amp;"|"&amp;'管线现金流'!AJ268&amp;"|"&amp;'管线现金流'!H269&amp;"|"&amp;'管线现金流'!AJ269&amp;"|"&amp;'管线现金流'!H270&amp;"|"&amp;'管线现金流'!AJ270&amp;"|"&amp;'管线现金流'!H271&amp;"|"&amp;'管线现金流'!AJ271&amp;"|"&amp;'管线现金流'!H272&amp;"|"&amp;'管线现金流'!AJ272&amp;"|"&amp;'管线现金流'!H273&amp;"|"&amp;'管线现金流'!AJ273&amp;"|"&amp;'管线现金流'!H274&amp;"|"&amp;'管线现金流'!AJ274&amp;"|"&amp;'管线现金流'!H275&amp;"|"&amp;'管线现金流'!AJ275&amp;"|"&amp;'管线现金流'!H276&amp;"|"&amp;'管线现金流'!AJ276&amp;"|"&amp;'管线现金流'!H277&amp;"|"&amp;'管线现金流'!AJ277&amp;"|"&amp;'管线现金流'!H278&amp;"|"&amp;'管线现金流'!AJ278&amp;"|"&amp;'管线现金流'!H279&amp;"|"&amp;'管线现金流'!AJ279&amp;"|"&amp;'管线现金流'!H280&amp;"|"&amp;'管线现金流'!AJ280&amp;"|"&amp;'管线现金流'!H281&amp;"|"&amp;'管线现金流'!AJ281&amp;"|"&amp;'管线现金流'!H282&amp;"|"&amp;'管线现金流'!AJ282&amp;"|"&amp;'管线现金流'!H283&amp;"|"&amp;'管线现金流'!AJ283&amp;"|"&amp;'管线现金流'!H284&amp;"|"&amp;'管线现金流'!AJ284&amp;"|"&amp;'管线现金流'!H285&amp;"|"&amp;'管线现金流'!AJ285&amp;"|"&amp;'管线现金流'!H286&amp;"|"&amp;'管线现金流'!AJ286&amp;"|"&amp;'管线现金流'!H287&amp;"|"&amp;'管线现金流'!AJ287&amp;"|"&amp;'管线现金流'!H288&amp;"|"&amp;'管线现金流'!AJ288&amp;"|"&amp;'管线现金流'!H289&amp;"|"&amp;'管线现金流'!AJ289&amp;"|"&amp;'管线现金流'!H290&amp;"|"&amp;'管线现金流'!AJ290&amp;"|"&amp;'管线现金流'!H291&amp;"|"&amp;'管线现金流'!AJ291&amp;"|"&amp;'管线现金流'!H292&amp;"|"&amp;'管线现金流'!AJ292&amp;"|"&amp;'管线现金流'!H293&amp;"|"&amp;'管线现金流'!AJ293&amp;"|"&amp;'管线现金流'!H294&amp;"|"&amp;'管线现金流'!AJ294&amp;"|"&amp;'管线现金流'!H295&amp;"|"&amp;'管线现金流'!AJ295&amp;"|"&amp;'管线现金流'!H296&amp;"|"&amp;'管线现金流'!AJ296&amp;"|"&amp;'管线现金流'!H297&amp;"|"&amp;'管线现金流'!AJ297&amp;"|"&amp;'管线现金流'!U13&amp;"|"&amp;'管线现金流'!X13&amp;"|"&amp;'管线现金流'!AO13&amp;"|"&amp;'管线现金流'!AR13&amp;"|"&amp;'管线现金流'!U14&amp;"|"&amp;'管线现金流'!X14&amp;"|"&amp;'管线现金流'!AO14&amp;"|"&amp;'管线现金流'!AR14&amp;"|"&amp;'管线现金流'!U15&amp;"|"&amp;'管线现金流'!X15&amp;"|"&amp;'管线现金流'!AO15&amp;"|"&amp;'管线现金流'!AR15</x:f>
        <x:v>10.5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</x:row>
    <x:row r="179" ht="23" customHeight="1">
      <x:c r="A179" s="11" t="str">
        <x:v>01093.HK</x:v>
      </x:c>
      <x:c r="B179" s="11" t="str">
        <x:v>石药集团</x:v>
      </x:c>
      <x:c r="C179" s="11" t="str">
        <x:v>一年</x:v>
      </x:c>
      <x:c r="D179" s="11" t="str">
        <x:v>基准</x:v>
      </x:c>
      <x:c r="E179" s="11" t="n">
        <x:v>9.085</x:v>
      </x:c>
      <x:c r="F179" s="11" t="n">
        <x:v>11.008527035143045</x:v>
      </x:c>
      <x:c r="G179" s="11" t="n">
        <x:v>0.35</x:v>
      </x:c>
      <x:c r="H179" s="25" t="n">
        <x:v>0.21172559550281167</x:v>
      </x:c>
      <x:c r="I179" s="25" t="n">
        <x:v>0.25025063677964154</x:v>
      </x:c>
      <x:c r="J179" s="25" t="str"/>
      <x:c r="K179" s="11" t="n">
        <x:v>0.39</x:v>
      </x:c>
      <x:c r="L179" s="11" t="n">
        <x:v>20</x:v>
      </x:c>
      <x:c r="M179" s="11" t="n">
        <x:v>1.1</x:v>
      </x:c>
      <x:c r="N179" s="11" t="n">
        <x:v>0.35</x:v>
      </x:c>
      <x:c r="O179" s="11" t="str"/>
      <x:c r="P179" s="11" t="n">
        <x:v>0.15626896551724137</x:v>
      </x:c>
      <x:c r="Q179" s="11" t="n">
        <x:v>11.62</x:v>
      </x:c>
      <x:c r="R179" s="11" t="str">
        <x:v>cspc-v1-core-cash-assetgroups</x:v>
      </x:c>
      <x:c r="S179" s="11" t="str">
        <x:v>2026-10-10</x:v>
      </x:c>
      <x:c r="T179" s="11" t="str">
        <x:f>IF(AND(SUM(IF(K179='假设'!E237,0,1),IF(L179='假设'!F237,0,1),IF(M179='假设'!G237,0,1),IF(N179='假设'!H237,0,1),IF(O179='假设'!I237,0,1),IF(P179='假设'!J237,0,1),IF(Q179='假设'!K237,0,1))=0,U179=V179),"已刷新","待刷新")</x:f>
        <x:v>已刷新</x:v>
      </x:c>
      <x:c r="U179" t="str">
        <x:v>16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  <x:c r="V179" t="str">
        <x:f>'假设'!N237&amp;"|"&amp;'管线假设'!E57&amp;"|"&amp;'管线假设'!F57&amp;"|"&amp;'管线假设'!G57&amp;"|"&amp;'管线假设'!H57&amp;"|"&amp;'管线假设'!I57&amp;"|"&amp;'管线假设'!E61&amp;"|"&amp;'管线假设'!F61&amp;"|"&amp;'管线假设'!G61&amp;"|"&amp;'管线假设'!H61&amp;"|"&amp;'管线假设'!I61&amp;"|"&amp;'管线假设'!E65&amp;"|"&amp;'管线假设'!F65&amp;"|"&amp;'管线假设'!G65&amp;"|"&amp;'管线假设'!H65&amp;"|"&amp;'管线假设'!I65&amp;"|"&amp;'管线假设'!E69&amp;"|"&amp;'管线假设'!F69&amp;"|"&amp;'管线假设'!G69&amp;"|"&amp;'管线假设'!H69&amp;"|"&amp;'管线假设'!I69&amp;"|"&amp;'管线假设'!E73&amp;"|"&amp;'管线假设'!F73&amp;"|"&amp;'管线假设'!G73&amp;"|"&amp;'管线假设'!H73&amp;"|"&amp;'管线假设'!I73&amp;"|"&amp;'管线假设'!E77&amp;"|"&amp;'管线假设'!F77&amp;"|"&amp;'管线假设'!G77&amp;"|"&amp;'管线假设'!H77&amp;"|"&amp;'管线假设'!I77&amp;"|"&amp;'管线现金流'!I201&amp;"|"&amp;'管线现金流'!AK201&amp;"|"&amp;'管线现金流'!I202&amp;"|"&amp;'管线现金流'!AK202&amp;"|"&amp;'管线现金流'!I203&amp;"|"&amp;'管线现金流'!AK203&amp;"|"&amp;'管线现金流'!I204&amp;"|"&amp;'管线现金流'!AK204&amp;"|"&amp;'管线现金流'!I205&amp;"|"&amp;'管线现金流'!AK205&amp;"|"&amp;'管线现金流'!I206&amp;"|"&amp;'管线现金流'!AK206&amp;"|"&amp;'管线现金流'!I207&amp;"|"&amp;'管线现金流'!AK207&amp;"|"&amp;'管线现金流'!I208&amp;"|"&amp;'管线现金流'!AK208&amp;"|"&amp;'管线现金流'!I209&amp;"|"&amp;'管线现金流'!AK209&amp;"|"&amp;'管线现金流'!I210&amp;"|"&amp;'管线现金流'!AK210&amp;"|"&amp;'管线现金流'!I211&amp;"|"&amp;'管线现金流'!AK211&amp;"|"&amp;'管线现金流'!I212&amp;"|"&amp;'管线现金流'!AK212&amp;"|"&amp;'管线现金流'!I213&amp;"|"&amp;'管线现金流'!AK213&amp;"|"&amp;'管线现金流'!I214&amp;"|"&amp;'管线现金流'!AK214&amp;"|"&amp;'管线现金流'!I215&amp;"|"&amp;'管线现金流'!AK215&amp;"|"&amp;'管线现金流'!I216&amp;"|"&amp;'管线现金流'!AK216&amp;"|"&amp;'管线现金流'!I217&amp;"|"&amp;'管线现金流'!AK217&amp;"|"&amp;'管线现金流'!I218&amp;"|"&amp;'管线现金流'!AK218&amp;"|"&amp;'管线现金流'!I219&amp;"|"&amp;'管线现金流'!AK219&amp;"|"&amp;'管线现金流'!I220&amp;"|"&amp;'管线现金流'!AK220&amp;"|"&amp;'管线现金流'!I221&amp;"|"&amp;'管线现金流'!AK221&amp;"|"&amp;'管线现金流'!I222&amp;"|"&amp;'管线现金流'!AK222&amp;"|"&amp;'管线现金流'!I223&amp;"|"&amp;'管线现金流'!AK223&amp;"|"&amp;'管线现金流'!I224&amp;"|"&amp;'管线现金流'!AK224&amp;"|"&amp;'管线现金流'!I225&amp;"|"&amp;'管线现金流'!AK225&amp;"|"&amp;'管线现金流'!I226&amp;"|"&amp;'管线现金流'!AK226&amp;"|"&amp;'管线现金流'!I227&amp;"|"&amp;'管线现金流'!AK227&amp;"|"&amp;'管线现金流'!I228&amp;"|"&amp;'管线现金流'!AK228&amp;"|"&amp;'管线现金流'!I229&amp;"|"&amp;'管线现金流'!AK229&amp;"|"&amp;'管线现金流'!I230&amp;"|"&amp;'管线现金流'!AK230&amp;"|"&amp;'管线现金流'!I231&amp;"|"&amp;'管线现金流'!AK231&amp;"|"&amp;'管线现金流'!I232&amp;"|"&amp;'管线现金流'!AK232&amp;"|"&amp;'管线现金流'!I233&amp;"|"&amp;'管线现金流'!AK233&amp;"|"&amp;'管线现金流'!I234&amp;"|"&amp;'管线现金流'!AK234&amp;"|"&amp;'管线现金流'!I235&amp;"|"&amp;'管线现金流'!AK235&amp;"|"&amp;'管线现金流'!I236&amp;"|"&amp;'管线现金流'!AK236&amp;"|"&amp;'管线现金流'!I237&amp;"|"&amp;'管线现金流'!AK237&amp;"|"&amp;'管线现金流'!I238&amp;"|"&amp;'管线现金流'!AK238&amp;"|"&amp;'管线现金流'!I239&amp;"|"&amp;'管线现金流'!AK239&amp;"|"&amp;'管线现金流'!I240&amp;"|"&amp;'管线现金流'!AK240&amp;"|"&amp;'管线现金流'!I241&amp;"|"&amp;'管线现金流'!AK241&amp;"|"&amp;'管线现金流'!I242&amp;"|"&amp;'管线现金流'!AK242&amp;"|"&amp;'管线现金流'!I243&amp;"|"&amp;'管线现金流'!AK243&amp;"|"&amp;'管线现金流'!I244&amp;"|"&amp;'管线现金流'!AK244&amp;"|"&amp;'管线现金流'!I245&amp;"|"&amp;'管线现金流'!AK245&amp;"|"&amp;'管线现金流'!I246&amp;"|"&amp;'管线现金流'!AK246&amp;"|"&amp;'管线现金流'!I247&amp;"|"&amp;'管线现金流'!AK247&amp;"|"&amp;'管线现金流'!I248&amp;"|"&amp;'管线现金流'!AK248&amp;"|"&amp;'管线现金流'!I249&amp;"|"&amp;'管线现金流'!AK249&amp;"|"&amp;'管线现金流'!I250&amp;"|"&amp;'管线现金流'!AK250&amp;"|"&amp;'管线现金流'!I251&amp;"|"&amp;'管线现金流'!AK251&amp;"|"&amp;'管线现金流'!I252&amp;"|"&amp;'管线现金流'!AK252&amp;"|"&amp;'管线现金流'!I253&amp;"|"&amp;'管线现金流'!AK253&amp;"|"&amp;'管线现金流'!I254&amp;"|"&amp;'管线现金流'!AK254&amp;"|"&amp;'管线现金流'!I255&amp;"|"&amp;'管线现金流'!AK255&amp;"|"&amp;'管线现金流'!I256&amp;"|"&amp;'管线现金流'!AK256&amp;"|"&amp;'管线现金流'!I257&amp;"|"&amp;'管线现金流'!AK257&amp;"|"&amp;'管线现金流'!I258&amp;"|"&amp;'管线现金流'!AK258&amp;"|"&amp;'管线现金流'!I259&amp;"|"&amp;'管线现金流'!AK259&amp;"|"&amp;'管线现金流'!I260&amp;"|"&amp;'管线现金流'!AK260&amp;"|"&amp;'管线现金流'!I261&amp;"|"&amp;'管线现金流'!AK261&amp;"|"&amp;'管线现金流'!I262&amp;"|"&amp;'管线现金流'!AK262&amp;"|"&amp;'管线现金流'!I263&amp;"|"&amp;'管线现金流'!AK263&amp;"|"&amp;'管线现金流'!I264&amp;"|"&amp;'管线现金流'!AK264&amp;"|"&amp;'管线现金流'!I265&amp;"|"&amp;'管线现金流'!AK265&amp;"|"&amp;'管线现金流'!I266&amp;"|"&amp;'管线现金流'!AK266&amp;"|"&amp;'管线现金流'!I267&amp;"|"&amp;'管线现金流'!AK267&amp;"|"&amp;'管线现金流'!I268&amp;"|"&amp;'管线现金流'!AK268&amp;"|"&amp;'管线现金流'!I269&amp;"|"&amp;'管线现金流'!AK269&amp;"|"&amp;'管线现金流'!I270&amp;"|"&amp;'管线现金流'!AK270&amp;"|"&amp;'管线现金流'!I271&amp;"|"&amp;'管线现金流'!AK271&amp;"|"&amp;'管线现金流'!I272&amp;"|"&amp;'管线现金流'!AK272&amp;"|"&amp;'管线现金流'!I273&amp;"|"&amp;'管线现金流'!AK273&amp;"|"&amp;'管线现金流'!I274&amp;"|"&amp;'管线现金流'!AK274&amp;"|"&amp;'管线现金流'!I275&amp;"|"&amp;'管线现金流'!AK275&amp;"|"&amp;'管线现金流'!I276&amp;"|"&amp;'管线现金流'!AK276&amp;"|"&amp;'管线现金流'!I277&amp;"|"&amp;'管线现金流'!AK277&amp;"|"&amp;'管线现金流'!I278&amp;"|"&amp;'管线现金流'!AK278&amp;"|"&amp;'管线现金流'!I279&amp;"|"&amp;'管线现金流'!AK279&amp;"|"&amp;'管线现金流'!I280&amp;"|"&amp;'管线现金流'!AK280&amp;"|"&amp;'管线现金流'!I281&amp;"|"&amp;'管线现金流'!AK281&amp;"|"&amp;'管线现金流'!I282&amp;"|"&amp;'管线现金流'!AK282&amp;"|"&amp;'管线现金流'!I283&amp;"|"&amp;'管线现金流'!AK283&amp;"|"&amp;'管线现金流'!I284&amp;"|"&amp;'管线现金流'!AK284&amp;"|"&amp;'管线现金流'!I285&amp;"|"&amp;'管线现金流'!AK285&amp;"|"&amp;'管线现金流'!I286&amp;"|"&amp;'管线现金流'!AK286&amp;"|"&amp;'管线现金流'!I287&amp;"|"&amp;'管线现金流'!AK287&amp;"|"&amp;'管线现金流'!I288&amp;"|"&amp;'管线现金流'!AK288&amp;"|"&amp;'管线现金流'!I289&amp;"|"&amp;'管线现金流'!AK289&amp;"|"&amp;'管线现金流'!I290&amp;"|"&amp;'管线现金流'!AK290&amp;"|"&amp;'管线现金流'!I291&amp;"|"&amp;'管线现金流'!AK291&amp;"|"&amp;'管线现金流'!I292&amp;"|"&amp;'管线现金流'!AK292&amp;"|"&amp;'管线现金流'!I293&amp;"|"&amp;'管线现金流'!AK293&amp;"|"&amp;'管线现金流'!I294&amp;"|"&amp;'管线现金流'!AK294&amp;"|"&amp;'管线现金流'!I295&amp;"|"&amp;'管线现金流'!AK295&amp;"|"&amp;'管线现金流'!I296&amp;"|"&amp;'管线现金流'!AK296&amp;"|"&amp;'管线现金流'!I297&amp;"|"&amp;'管线现金流'!AK297&amp;"|"&amp;'管线现金流'!V13&amp;"|"&amp;'管线现金流'!Y13&amp;"|"&amp;'管线现金流'!AP13&amp;"|"&amp;'管线现金流'!AS13&amp;"|"&amp;'管线现金流'!V14&amp;"|"&amp;'管线现金流'!Y14&amp;"|"&amp;'管线现金流'!AP14&amp;"|"&amp;'管线现金流'!AS14&amp;"|"&amp;'管线现金流'!V15&amp;"|"&amp;'管线现金流'!Y15&amp;"|"&amp;'管线现金流'!AP15&amp;"|"&amp;'管线现金流'!AS15</x:f>
        <x:v>16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</x:row>
    <x:row r="180" ht="23" customHeight="1">
      <x:c r="A180" s="11" t="str">
        <x:v>01093.HK</x:v>
      </x:c>
      <x:c r="B180" s="11" t="str">
        <x:v>石药集团</x:v>
      </x:c>
      <x:c r="C180" s="11" t="str">
        <x:v>一年</x:v>
      </x:c>
      <x:c r="D180" s="11" t="str">
        <x:v>乐观</x:v>
      </x:c>
      <x:c r="E180" s="11" t="n">
        <x:v>9.085</x:v>
      </x:c>
      <x:c r="F180" s="11" t="n">
        <x:v>22.69332798049073</x:v>
      </x:c>
      <x:c r="G180" s="11" t="n">
        <x:v>0.4</x:v>
      </x:c>
      <x:c r="H180" s="25" t="n">
        <x:v>1.4978897061629857</x:v>
      </x:c>
      <x:c r="I180" s="25" t="n">
        <x:v>1.541918324765077</x:v>
      </x:c>
      <x:c r="J180" s="25" t="str"/>
      <x:c r="K180" s="11" t="n">
        <x:v>0.54</x:v>
      </x:c>
      <x:c r="L180" s="11" t="n">
        <x:v>27</x:v>
      </x:c>
      <x:c r="M180" s="11" t="n">
        <x:v>1.1</x:v>
      </x:c>
      <x:c r="N180" s="11" t="n">
        <x:v>0.4</x:v>
      </x:c>
      <x:c r="O180" s="11" t="str"/>
      <x:c r="P180" s="11" t="n">
        <x:v>0.1891636363636364</x:v>
      </x:c>
      <x:c r="Q180" s="11" t="n">
        <x:v>11.56</x:v>
      </x:c>
      <x:c r="R180" s="11" t="str">
        <x:v>cspc-v1-core-cash-assetgroups</x:v>
      </x:c>
      <x:c r="S180" s="11" t="str">
        <x:v>2026-10-10</x:v>
      </x:c>
      <x:c r="T180" s="11" t="str">
        <x:f>IF(AND(SUM(IF(K180='假设'!E238,0,1),IF(L180='假设'!F238,0,1),IF(M180='假设'!G238,0,1),IF(N180='假设'!H238,0,1),IF(O180='假设'!I238,0,1),IF(P180='假设'!J238,0,1),IF(Q180='假设'!K238,0,1))=0,U180=V180),"已刷新","待刷新")</x:f>
        <x:v>已刷新</x:v>
      </x:c>
      <x:c r="U180" t="str">
        <x:v>19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  <x:c r="V180" t="str">
        <x:f>'假设'!N238&amp;"|"&amp;'管线假设'!E58&amp;"|"&amp;'管线假设'!F58&amp;"|"&amp;'管线假设'!G58&amp;"|"&amp;'管线假设'!H58&amp;"|"&amp;'管线假设'!I58&amp;"|"&amp;'管线假设'!E62&amp;"|"&amp;'管线假设'!F62&amp;"|"&amp;'管线假设'!G62&amp;"|"&amp;'管线假设'!H62&amp;"|"&amp;'管线假设'!I62&amp;"|"&amp;'管线假设'!E66&amp;"|"&amp;'管线假设'!F66&amp;"|"&amp;'管线假设'!G66&amp;"|"&amp;'管线假设'!H66&amp;"|"&amp;'管线假设'!I66&amp;"|"&amp;'管线假设'!E70&amp;"|"&amp;'管线假设'!F70&amp;"|"&amp;'管线假设'!G70&amp;"|"&amp;'管线假设'!H70&amp;"|"&amp;'管线假设'!I70&amp;"|"&amp;'管线假设'!E74&amp;"|"&amp;'管线假设'!F74&amp;"|"&amp;'管线假设'!G74&amp;"|"&amp;'管线假设'!H74&amp;"|"&amp;'管线假设'!I74&amp;"|"&amp;'管线假设'!E78&amp;"|"&amp;'管线假设'!F78&amp;"|"&amp;'管线假设'!G78&amp;"|"&amp;'管线假设'!H78&amp;"|"&amp;'管线假设'!I78&amp;"|"&amp;'管线现金流'!J201&amp;"|"&amp;'管线现金流'!AL201&amp;"|"&amp;'管线现金流'!J202&amp;"|"&amp;'管线现金流'!AL202&amp;"|"&amp;'管线现金流'!J203&amp;"|"&amp;'管线现金流'!AL203&amp;"|"&amp;'管线现金流'!J204&amp;"|"&amp;'管线现金流'!AL204&amp;"|"&amp;'管线现金流'!J205&amp;"|"&amp;'管线现金流'!AL205&amp;"|"&amp;'管线现金流'!J206&amp;"|"&amp;'管线现金流'!AL206&amp;"|"&amp;'管线现金流'!J207&amp;"|"&amp;'管线现金流'!AL207&amp;"|"&amp;'管线现金流'!J208&amp;"|"&amp;'管线现金流'!AL208&amp;"|"&amp;'管线现金流'!J209&amp;"|"&amp;'管线现金流'!AL209&amp;"|"&amp;'管线现金流'!J210&amp;"|"&amp;'管线现金流'!AL210&amp;"|"&amp;'管线现金流'!J211&amp;"|"&amp;'管线现金流'!AL211&amp;"|"&amp;'管线现金流'!J212&amp;"|"&amp;'管线现金流'!AL212&amp;"|"&amp;'管线现金流'!J213&amp;"|"&amp;'管线现金流'!AL213&amp;"|"&amp;'管线现金流'!J214&amp;"|"&amp;'管线现金流'!AL214&amp;"|"&amp;'管线现金流'!J215&amp;"|"&amp;'管线现金流'!AL215&amp;"|"&amp;'管线现金流'!J216&amp;"|"&amp;'管线现金流'!AL216&amp;"|"&amp;'管线现金流'!J217&amp;"|"&amp;'管线现金流'!AL217&amp;"|"&amp;'管线现金流'!J218&amp;"|"&amp;'管线现金流'!AL218&amp;"|"&amp;'管线现金流'!J219&amp;"|"&amp;'管线现金流'!AL219&amp;"|"&amp;'管线现金流'!J220&amp;"|"&amp;'管线现金流'!AL220&amp;"|"&amp;'管线现金流'!J221&amp;"|"&amp;'管线现金流'!AL221&amp;"|"&amp;'管线现金流'!J222&amp;"|"&amp;'管线现金流'!AL222&amp;"|"&amp;'管线现金流'!J223&amp;"|"&amp;'管线现金流'!AL223&amp;"|"&amp;'管线现金流'!J224&amp;"|"&amp;'管线现金流'!AL224&amp;"|"&amp;'管线现金流'!J225&amp;"|"&amp;'管线现金流'!AL225&amp;"|"&amp;'管线现金流'!J226&amp;"|"&amp;'管线现金流'!AL226&amp;"|"&amp;'管线现金流'!J227&amp;"|"&amp;'管线现金流'!AL227&amp;"|"&amp;'管线现金流'!J228&amp;"|"&amp;'管线现金流'!AL228&amp;"|"&amp;'管线现金流'!J229&amp;"|"&amp;'管线现金流'!AL229&amp;"|"&amp;'管线现金流'!J230&amp;"|"&amp;'管线现金流'!AL230&amp;"|"&amp;'管线现金流'!J231&amp;"|"&amp;'管线现金流'!AL231&amp;"|"&amp;'管线现金流'!J232&amp;"|"&amp;'管线现金流'!AL232&amp;"|"&amp;'管线现金流'!J233&amp;"|"&amp;'管线现金流'!AL233&amp;"|"&amp;'管线现金流'!J234&amp;"|"&amp;'管线现金流'!AL234&amp;"|"&amp;'管线现金流'!J235&amp;"|"&amp;'管线现金流'!AL235&amp;"|"&amp;'管线现金流'!J236&amp;"|"&amp;'管线现金流'!AL236&amp;"|"&amp;'管线现金流'!J237&amp;"|"&amp;'管线现金流'!AL237&amp;"|"&amp;'管线现金流'!J238&amp;"|"&amp;'管线现金流'!AL238&amp;"|"&amp;'管线现金流'!J239&amp;"|"&amp;'管线现金流'!AL239&amp;"|"&amp;'管线现金流'!J240&amp;"|"&amp;'管线现金流'!AL240&amp;"|"&amp;'管线现金流'!J241&amp;"|"&amp;'管线现金流'!AL241&amp;"|"&amp;'管线现金流'!J242&amp;"|"&amp;'管线现金流'!AL242&amp;"|"&amp;'管线现金流'!J243&amp;"|"&amp;'管线现金流'!AL243&amp;"|"&amp;'管线现金流'!J244&amp;"|"&amp;'管线现金流'!AL244&amp;"|"&amp;'管线现金流'!J245&amp;"|"&amp;'管线现金流'!AL245&amp;"|"&amp;'管线现金流'!J246&amp;"|"&amp;'管线现金流'!AL246&amp;"|"&amp;'管线现金流'!J247&amp;"|"&amp;'管线现金流'!AL247&amp;"|"&amp;'管线现金流'!J248&amp;"|"&amp;'管线现金流'!AL248&amp;"|"&amp;'管线现金流'!J249&amp;"|"&amp;'管线现金流'!AL249&amp;"|"&amp;'管线现金流'!J250&amp;"|"&amp;'管线现金流'!AL250&amp;"|"&amp;'管线现金流'!J251&amp;"|"&amp;'管线现金流'!AL251&amp;"|"&amp;'管线现金流'!J252&amp;"|"&amp;'管线现金流'!AL252&amp;"|"&amp;'管线现金流'!J253&amp;"|"&amp;'管线现金流'!AL253&amp;"|"&amp;'管线现金流'!J254&amp;"|"&amp;'管线现金流'!AL254&amp;"|"&amp;'管线现金流'!J255&amp;"|"&amp;'管线现金流'!AL255&amp;"|"&amp;'管线现金流'!J256&amp;"|"&amp;'管线现金流'!AL256&amp;"|"&amp;'管线现金流'!J257&amp;"|"&amp;'管线现金流'!AL257&amp;"|"&amp;'管线现金流'!J258&amp;"|"&amp;'管线现金流'!AL258&amp;"|"&amp;'管线现金流'!J259&amp;"|"&amp;'管线现金流'!AL259&amp;"|"&amp;'管线现金流'!J260&amp;"|"&amp;'管线现金流'!AL260&amp;"|"&amp;'管线现金流'!J261&amp;"|"&amp;'管线现金流'!AL261&amp;"|"&amp;'管线现金流'!J262&amp;"|"&amp;'管线现金流'!AL262&amp;"|"&amp;'管线现金流'!J263&amp;"|"&amp;'管线现金流'!AL263&amp;"|"&amp;'管线现金流'!J264&amp;"|"&amp;'管线现金流'!AL264&amp;"|"&amp;'管线现金流'!J265&amp;"|"&amp;'管线现金流'!AL265&amp;"|"&amp;'管线现金流'!J266&amp;"|"&amp;'管线现金流'!AL266&amp;"|"&amp;'管线现金流'!J267&amp;"|"&amp;'管线现金流'!AL267&amp;"|"&amp;'管线现金流'!J268&amp;"|"&amp;'管线现金流'!AL268&amp;"|"&amp;'管线现金流'!J269&amp;"|"&amp;'管线现金流'!AL269&amp;"|"&amp;'管线现金流'!J270&amp;"|"&amp;'管线现金流'!AL270&amp;"|"&amp;'管线现金流'!J271&amp;"|"&amp;'管线现金流'!AL271&amp;"|"&amp;'管线现金流'!J272&amp;"|"&amp;'管线现金流'!AL272&amp;"|"&amp;'管线现金流'!J273&amp;"|"&amp;'管线现金流'!AL273&amp;"|"&amp;'管线现金流'!J274&amp;"|"&amp;'管线现金流'!AL274&amp;"|"&amp;'管线现金流'!J275&amp;"|"&amp;'管线现金流'!AL275&amp;"|"&amp;'管线现金流'!J276&amp;"|"&amp;'管线现金流'!AL276&amp;"|"&amp;'管线现金流'!J277&amp;"|"&amp;'管线现金流'!AL277&amp;"|"&amp;'管线现金流'!J278&amp;"|"&amp;'管线现金流'!AL278&amp;"|"&amp;'管线现金流'!J279&amp;"|"&amp;'管线现金流'!AL279&amp;"|"&amp;'管线现金流'!J280&amp;"|"&amp;'管线现金流'!AL280&amp;"|"&amp;'管线现金流'!J281&amp;"|"&amp;'管线现金流'!AL281&amp;"|"&amp;'管线现金流'!J282&amp;"|"&amp;'管线现金流'!AL282&amp;"|"&amp;'管线现金流'!J283&amp;"|"&amp;'管线现金流'!AL283&amp;"|"&amp;'管线现金流'!J284&amp;"|"&amp;'管线现金流'!AL284&amp;"|"&amp;'管线现金流'!J285&amp;"|"&amp;'管线现金流'!AL285&amp;"|"&amp;'管线现金流'!J286&amp;"|"&amp;'管线现金流'!AL286&amp;"|"&amp;'管线现金流'!J287&amp;"|"&amp;'管线现金流'!AL287&amp;"|"&amp;'管线现金流'!J288&amp;"|"&amp;'管线现金流'!AL288&amp;"|"&amp;'管线现金流'!J289&amp;"|"&amp;'管线现金流'!AL289&amp;"|"&amp;'管线现金流'!J290&amp;"|"&amp;'管线现金流'!AL290&amp;"|"&amp;'管线现金流'!J291&amp;"|"&amp;'管线现金流'!AL291&amp;"|"&amp;'管线现金流'!J292&amp;"|"&amp;'管线现金流'!AL292&amp;"|"&amp;'管线现金流'!J293&amp;"|"&amp;'管线现金流'!AL293&amp;"|"&amp;'管线现金流'!J294&amp;"|"&amp;'管线现金流'!AL294&amp;"|"&amp;'管线现金流'!J295&amp;"|"&amp;'管线现金流'!AL295&amp;"|"&amp;'管线现金流'!J296&amp;"|"&amp;'管线现金流'!AL296&amp;"|"&amp;'管线现金流'!J297&amp;"|"&amp;'管线现金流'!AL297&amp;"|"&amp;'管线现金流'!W13&amp;"|"&amp;'管线现金流'!Z13&amp;"|"&amp;'管线现金流'!AQ13&amp;"|"&amp;'管线现金流'!AT13&amp;"|"&amp;'管线现金流'!W14&amp;"|"&amp;'管线现金流'!Z14&amp;"|"&amp;'管线现金流'!AQ14&amp;"|"&amp;'管线现金流'!AT14&amp;"|"&amp;'管线现金流'!W15&amp;"|"&amp;'管线现金流'!Z15&amp;"|"&amp;'管线现金流'!AQ15&amp;"|"&amp;'管线现金流'!AT15</x:f>
        <x:v>19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</x:row>
    <x:row r="181" ht="23" customHeight="1">
      <x:c r="A181" s="11" t="str">
        <x:v>01093.HK</x:v>
      </x:c>
      <x:c r="B181" s="11" t="str">
        <x:v>石药集团</x:v>
      </x:c>
      <x:c r="C181" s="11" t="str">
        <x:v>三年</x:v>
      </x:c>
      <x:c r="D181" s="11" t="str">
        <x:v>悲观</x:v>
      </x:c>
      <x:c r="E181" s="11" t="n">
        <x:v>9.085</x:v>
      </x:c>
      <x:c r="F181" s="11" t="n">
        <x:v>4.292039080260956</x:v>
      </x:c>
      <x:c r="G181" s="11" t="n">
        <x:v>0.8</x:v>
      </x:c>
      <x:c r="H181" s="25" t="n">
        <x:v>-0.5275686207747985</x:v>
      </x:c>
      <x:c r="I181" s="25" t="n">
        <x:v>-0.4395113835706158</x:v>
      </x:c>
      <x:c r="J181" s="25" t="n">
        <x:v>-0.1755032802391735</x:v>
      </x:c>
      <x:c r="K181" s="11" t="n">
        <x:v>0.28</x:v>
      </x:c>
      <x:c r="L181" s="11" t="n">
        <x:v>11</x:v>
      </x:c>
      <x:c r="M181" s="11" t="n">
        <x:v>1.1</x:v>
      </x:c>
      <x:c r="N181" s="11" t="n">
        <x:v>0.8</x:v>
      </x:c>
      <x:c r="O181" s="11" t="str"/>
      <x:c r="P181" s="11" t="n">
        <x:v>0.12923076923076923</x:v>
      </x:c>
      <x:c r="Q181" s="11" t="n">
        <x:v>12</x:v>
      </x:c>
      <x:c r="R181" s="11" t="str">
        <x:v>cspc-v1-core-cash-assetgroups</x:v>
      </x:c>
      <x:c r="S181" s="11" t="str">
        <x:v>2026-10-10</x:v>
      </x:c>
      <x:c r="T181" s="11" t="str">
        <x:f>IF(AND(SUM(IF(K181='假设'!E240,0,1),IF(L181='假设'!F240,0,1),IF(M181='假设'!G240,0,1),IF(N181='假设'!H240,0,1),IF(O181='假设'!I240,0,1),IF(P181='假设'!J240,0,1),IF(Q181='假设'!K240,0,1))=0,U181=V181),"已刷新","待刷新")</x:f>
        <x:v>已刷新</x:v>
      </x:c>
      <x:c r="U181" t="str">
        <x:v>9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  <x:c r="V181" t="str">
        <x:f>'假设'!N240&amp;"|"&amp;'管线假设'!E80&amp;"|"&amp;'管线假设'!F80&amp;"|"&amp;'管线假设'!G80&amp;"|"&amp;'管线假设'!H80&amp;"|"&amp;'管线假设'!I80&amp;"|"&amp;'管线假设'!E84&amp;"|"&amp;'管线假设'!F84&amp;"|"&amp;'管线假设'!G84&amp;"|"&amp;'管线假设'!H84&amp;"|"&amp;'管线假设'!I84&amp;"|"&amp;'管线假设'!E88&amp;"|"&amp;'管线假设'!F88&amp;"|"&amp;'管线假设'!G88&amp;"|"&amp;'管线假设'!H88&amp;"|"&amp;'管线假设'!I88&amp;"|"&amp;'管线假设'!E92&amp;"|"&amp;'管线假设'!F92&amp;"|"&amp;'管线假设'!G92&amp;"|"&amp;'管线假设'!H92&amp;"|"&amp;'管线假设'!I92&amp;"|"&amp;'管线假设'!E96&amp;"|"&amp;'管线假设'!F96&amp;"|"&amp;'管线假设'!G96&amp;"|"&amp;'管线假设'!H96&amp;"|"&amp;'管线假设'!I96&amp;"|"&amp;'管线假设'!E100&amp;"|"&amp;'管线假设'!F100&amp;"|"&amp;'管线假设'!G100&amp;"|"&amp;'管线假设'!H100&amp;"|"&amp;'管线假设'!I100&amp;"|"&amp;'管线现金流'!H298&amp;"|"&amp;'管线现金流'!AJ298&amp;"|"&amp;'管线现金流'!H299&amp;"|"&amp;'管线现金流'!AJ299&amp;"|"&amp;'管线现金流'!H300&amp;"|"&amp;'管线现金流'!AJ300&amp;"|"&amp;'管线现金流'!H301&amp;"|"&amp;'管线现金流'!AJ301&amp;"|"&amp;'管线现金流'!H302&amp;"|"&amp;'管线现金流'!AJ302&amp;"|"&amp;'管线现金流'!H303&amp;"|"&amp;'管线现金流'!AJ303&amp;"|"&amp;'管线现金流'!H304&amp;"|"&amp;'管线现金流'!AJ304&amp;"|"&amp;'管线现金流'!H305&amp;"|"&amp;'管线现金流'!AJ305&amp;"|"&amp;'管线现金流'!H306&amp;"|"&amp;'管线现金流'!AJ306&amp;"|"&amp;'管线现金流'!H307&amp;"|"&amp;'管线现金流'!AJ307&amp;"|"&amp;'管线现金流'!H308&amp;"|"&amp;'管线现金流'!AJ308&amp;"|"&amp;'管线现金流'!H309&amp;"|"&amp;'管线现金流'!AJ309&amp;"|"&amp;'管线现金流'!H310&amp;"|"&amp;'管线现金流'!AJ310&amp;"|"&amp;'管线现金流'!H311&amp;"|"&amp;'管线现金流'!AJ311&amp;"|"&amp;'管线现金流'!H312&amp;"|"&amp;'管线现金流'!AJ312&amp;"|"&amp;'管线现金流'!H313&amp;"|"&amp;'管线现金流'!AJ313&amp;"|"&amp;'管线现金流'!H314&amp;"|"&amp;'管线现金流'!AJ314&amp;"|"&amp;'管线现金流'!H315&amp;"|"&amp;'管线现金流'!AJ315&amp;"|"&amp;'管线现金流'!H316&amp;"|"&amp;'管线现金流'!AJ316&amp;"|"&amp;'管线现金流'!H317&amp;"|"&amp;'管线现金流'!AJ317&amp;"|"&amp;'管线现金流'!H318&amp;"|"&amp;'管线现金流'!AJ318&amp;"|"&amp;'管线现金流'!H319&amp;"|"&amp;'管线现金流'!AJ319&amp;"|"&amp;'管线现金流'!H320&amp;"|"&amp;'管线现金流'!AJ320&amp;"|"&amp;'管线现金流'!H321&amp;"|"&amp;'管线现金流'!AJ321&amp;"|"&amp;'管线现金流'!H322&amp;"|"&amp;'管线现金流'!AJ322&amp;"|"&amp;'管线现金流'!H323&amp;"|"&amp;'管线现金流'!AJ323&amp;"|"&amp;'管线现金流'!H324&amp;"|"&amp;'管线现金流'!AJ324&amp;"|"&amp;'管线现金流'!H325&amp;"|"&amp;'管线现金流'!AJ325&amp;"|"&amp;'管线现金流'!H326&amp;"|"&amp;'管线现金流'!AJ326&amp;"|"&amp;'管线现金流'!H327&amp;"|"&amp;'管线现金流'!AJ327&amp;"|"&amp;'管线现金流'!H328&amp;"|"&amp;'管线现金流'!AJ328&amp;"|"&amp;'管线现金流'!H329&amp;"|"&amp;'管线现金流'!AJ329&amp;"|"&amp;'管线现金流'!H330&amp;"|"&amp;'管线现金流'!AJ330&amp;"|"&amp;'管线现金流'!H331&amp;"|"&amp;'管线现金流'!AJ331&amp;"|"&amp;'管线现金流'!H332&amp;"|"&amp;'管线现金流'!AJ332&amp;"|"&amp;'管线现金流'!H333&amp;"|"&amp;'管线现金流'!AJ333&amp;"|"&amp;'管线现金流'!H334&amp;"|"&amp;'管线现金流'!AJ334&amp;"|"&amp;'管线现金流'!H335&amp;"|"&amp;'管线现金流'!AJ335&amp;"|"&amp;'管线现金流'!H336&amp;"|"&amp;'管线现金流'!AJ336&amp;"|"&amp;'管线现金流'!H337&amp;"|"&amp;'管线现金流'!AJ337&amp;"|"&amp;'管线现金流'!H338&amp;"|"&amp;'管线现金流'!AJ338&amp;"|"&amp;'管线现金流'!H339&amp;"|"&amp;'管线现金流'!AJ339&amp;"|"&amp;'管线现金流'!H340&amp;"|"&amp;'管线现金流'!AJ340&amp;"|"&amp;'管线现金流'!H341&amp;"|"&amp;'管线现金流'!AJ341&amp;"|"&amp;'管线现金流'!H342&amp;"|"&amp;'管线现金流'!AJ342&amp;"|"&amp;'管线现金流'!H343&amp;"|"&amp;'管线现金流'!AJ343&amp;"|"&amp;'管线现金流'!H344&amp;"|"&amp;'管线现金流'!AJ344&amp;"|"&amp;'管线现金流'!H345&amp;"|"&amp;'管线现金流'!AJ345&amp;"|"&amp;'管线现金流'!H346&amp;"|"&amp;'管线现金流'!AJ346&amp;"|"&amp;'管线现金流'!H347&amp;"|"&amp;'管线现金流'!AJ347&amp;"|"&amp;'管线现金流'!H348&amp;"|"&amp;'管线现金流'!AJ348&amp;"|"&amp;'管线现金流'!H349&amp;"|"&amp;'管线现金流'!AJ349&amp;"|"&amp;'管线现金流'!H350&amp;"|"&amp;'管线现金流'!AJ350&amp;"|"&amp;'管线现金流'!H351&amp;"|"&amp;'管线现金流'!AJ351&amp;"|"&amp;'管线现金流'!H352&amp;"|"&amp;'管线现金流'!AJ352&amp;"|"&amp;'管线现金流'!H353&amp;"|"&amp;'管线现金流'!AJ353&amp;"|"&amp;'管线现金流'!H354&amp;"|"&amp;'管线现金流'!AJ354&amp;"|"&amp;'管线现金流'!H355&amp;"|"&amp;'管线现金流'!AJ355&amp;"|"&amp;'管线现金流'!H356&amp;"|"&amp;'管线现金流'!AJ356&amp;"|"&amp;'管线现金流'!H357&amp;"|"&amp;'管线现金流'!AJ357&amp;"|"&amp;'管线现金流'!H358&amp;"|"&amp;'管线现金流'!AJ358&amp;"|"&amp;'管线现金流'!H359&amp;"|"&amp;'管线现金流'!AJ359&amp;"|"&amp;'管线现金流'!H360&amp;"|"&amp;'管线现金流'!AJ360&amp;"|"&amp;'管线现金流'!H361&amp;"|"&amp;'管线现金流'!AJ361&amp;"|"&amp;'管线现金流'!H362&amp;"|"&amp;'管线现金流'!AJ362&amp;"|"&amp;'管线现金流'!H363&amp;"|"&amp;'管线现金流'!AJ363&amp;"|"&amp;'管线现金流'!H364&amp;"|"&amp;'管线现金流'!AJ364&amp;"|"&amp;'管线现金流'!H365&amp;"|"&amp;'管线现金流'!AJ365&amp;"|"&amp;'管线现金流'!H366&amp;"|"&amp;'管线现金流'!AJ366&amp;"|"&amp;'管线现金流'!H367&amp;"|"&amp;'管线现金流'!AJ367&amp;"|"&amp;'管线现金流'!H368&amp;"|"&amp;'管线现金流'!AJ368&amp;"|"&amp;'管线现金流'!H369&amp;"|"&amp;'管线现金流'!AJ369&amp;"|"&amp;'管线现金流'!H370&amp;"|"&amp;'管线现金流'!AJ370&amp;"|"&amp;'管线现金流'!H371&amp;"|"&amp;'管线现金流'!AJ371&amp;"|"&amp;'管线现金流'!H372&amp;"|"&amp;'管线现金流'!AJ372&amp;"|"&amp;'管线现金流'!H373&amp;"|"&amp;'管线现金流'!AJ373&amp;"|"&amp;'管线现金流'!H374&amp;"|"&amp;'管线现金流'!AJ374&amp;"|"&amp;'管线现金流'!H375&amp;"|"&amp;'管线现金流'!AJ375&amp;"|"&amp;'管线现金流'!H376&amp;"|"&amp;'管线现金流'!AJ376&amp;"|"&amp;'管线现金流'!H377&amp;"|"&amp;'管线现金流'!AJ377&amp;"|"&amp;'管线现金流'!H378&amp;"|"&amp;'管线现金流'!AJ378&amp;"|"&amp;'管线现金流'!H379&amp;"|"&amp;'管线现金流'!AJ379&amp;"|"&amp;'管线现金流'!H380&amp;"|"&amp;'管线现金流'!AJ380&amp;"|"&amp;'管线现金流'!H381&amp;"|"&amp;'管线现金流'!AJ381&amp;"|"&amp;'管线现金流'!H382&amp;"|"&amp;'管线现金流'!AJ382&amp;"|"&amp;'管线现金流'!H383&amp;"|"&amp;'管线现金流'!AJ383&amp;"|"&amp;'管线现金流'!H384&amp;"|"&amp;'管线现金流'!AJ384&amp;"|"&amp;'管线现金流'!H385&amp;"|"&amp;'管线现金流'!AJ385&amp;"|"&amp;'管线现金流'!H386&amp;"|"&amp;'管线现金流'!AJ386&amp;"|"&amp;'管线现金流'!H387&amp;"|"&amp;'管线现金流'!AJ387&amp;"|"&amp;'管线现金流'!H388&amp;"|"&amp;'管线现金流'!AJ388&amp;"|"&amp;'管线现金流'!H389&amp;"|"&amp;'管线现金流'!AJ389&amp;"|"&amp;'管线现金流'!H390&amp;"|"&amp;'管线现金流'!AJ390&amp;"|"&amp;'管线现金流'!H391&amp;"|"&amp;'管线现金流'!AJ391&amp;"|"&amp;'管线现金流'!H392&amp;"|"&amp;'管线现金流'!AJ392&amp;"|"&amp;'管线现金流'!H393&amp;"|"&amp;'管线现金流'!AJ393&amp;"|"&amp;'管线现金流'!H394&amp;"|"&amp;'管线现金流'!AJ394&amp;"|"&amp;'管线现金流'!U16&amp;"|"&amp;'管线现金流'!X16&amp;"|"&amp;'管线现金流'!AO16&amp;"|"&amp;'管线现金流'!AR16&amp;"|"&amp;'管线现金流'!U17&amp;"|"&amp;'管线现金流'!X17&amp;"|"&amp;'管线现金流'!AO17&amp;"|"&amp;'管线现金流'!AR17&amp;"|"&amp;'管线现金流'!U18&amp;"|"&amp;'管线现金流'!X18&amp;"|"&amp;'管线现金流'!AO18&amp;"|"&amp;'管线现金流'!AR18</x:f>
        <x:v>9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</x:row>
    <x:row r="182" ht="23" customHeight="1">
      <x:c r="A182" s="11" t="str">
        <x:v>01093.HK</x:v>
      </x:c>
      <x:c r="B182" s="11" t="str">
        <x:v>石药集团</x:v>
      </x:c>
      <x:c r="C182" s="11" t="str">
        <x:v>三年</x:v>
      </x:c>
      <x:c r="D182" s="11" t="str">
        <x:v>基准</x:v>
      </x:c>
      <x:c r="E182" s="11" t="n">
        <x:v>9.085</x:v>
      </x:c>
      <x:c r="F182" s="11" t="n">
        <x:v>12.94461579388869</x:v>
      </x:c>
      <x:c r="G182" s="11" t="n">
        <x:v>1.1</x:v>
      </x:c>
      <x:c r="H182" s="25" t="n">
        <x:v>0.4248338793493329</x:v>
      </x:c>
      <x:c r="I182" s="25" t="n">
        <x:v>0.5459125805050842</x:v>
      </x:c>
      <x:c r="J182" s="25" t="n">
        <x:v>0.156276352561596</x:v>
      </x:c>
      <x:c r="K182" s="11" t="n">
        <x:v>0.48</x:v>
      </x:c>
      <x:c r="L182" s="11" t="n">
        <x:v>19</x:v>
      </x:c>
      <x:c r="M182" s="11" t="n">
        <x:v>1.1</x:v>
      </x:c>
      <x:c r="N182" s="11" t="n">
        <x:v>1.1</x:v>
      </x:c>
      <x:c r="O182" s="11" t="str"/>
      <x:c r="P182" s="11" t="n">
        <x:v>0.17236363636363636</x:v>
      </x:c>
      <x:c r="Q182" s="11" t="n">
        <x:v>11.85</x:v>
      </x:c>
      <x:c r="R182" s="11" t="str">
        <x:v>cspc-v1-core-cash-assetgroups</x:v>
      </x:c>
      <x:c r="S182" s="11" t="str">
        <x:v>2026-10-10</x:v>
      </x:c>
      <x:c r="T182" s="11" t="str">
        <x:f>IF(AND(SUM(IF(K182='假设'!E241,0,1),IF(L182='假设'!F241,0,1),IF(M182='假设'!G241,0,1),IF(N182='假设'!H241,0,1),IF(O182='假设'!I241,0,1),IF(P182='假设'!J241,0,1),IF(Q182='假设'!K241,0,1))=0,U182=V182),"已刷新","待刷新")</x:f>
        <x:v>已刷新</x:v>
      </x:c>
      <x:c r="U182" t="str">
        <x:v>20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  <x:c r="V182" t="str">
        <x:f>'假设'!N241&amp;"|"&amp;'管线假设'!E81&amp;"|"&amp;'管线假设'!F81&amp;"|"&amp;'管线假设'!G81&amp;"|"&amp;'管线假设'!H81&amp;"|"&amp;'管线假设'!I81&amp;"|"&amp;'管线假设'!E85&amp;"|"&amp;'管线假设'!F85&amp;"|"&amp;'管线假设'!G85&amp;"|"&amp;'管线假设'!H85&amp;"|"&amp;'管线假设'!I85&amp;"|"&amp;'管线假设'!E89&amp;"|"&amp;'管线假设'!F89&amp;"|"&amp;'管线假设'!G89&amp;"|"&amp;'管线假设'!H89&amp;"|"&amp;'管线假设'!I89&amp;"|"&amp;'管线假设'!E93&amp;"|"&amp;'管线假设'!F93&amp;"|"&amp;'管线假设'!G93&amp;"|"&amp;'管线假设'!H93&amp;"|"&amp;'管线假设'!I93&amp;"|"&amp;'管线假设'!E97&amp;"|"&amp;'管线假设'!F97&amp;"|"&amp;'管线假设'!G97&amp;"|"&amp;'管线假设'!H97&amp;"|"&amp;'管线假设'!I97&amp;"|"&amp;'管线假设'!E101&amp;"|"&amp;'管线假设'!F101&amp;"|"&amp;'管线假设'!G101&amp;"|"&amp;'管线假设'!H101&amp;"|"&amp;'管线假设'!I101&amp;"|"&amp;'管线现金流'!I298&amp;"|"&amp;'管线现金流'!AK298&amp;"|"&amp;'管线现金流'!I299&amp;"|"&amp;'管线现金流'!AK299&amp;"|"&amp;'管线现金流'!I300&amp;"|"&amp;'管线现金流'!AK300&amp;"|"&amp;'管线现金流'!I301&amp;"|"&amp;'管线现金流'!AK301&amp;"|"&amp;'管线现金流'!I302&amp;"|"&amp;'管线现金流'!AK302&amp;"|"&amp;'管线现金流'!I303&amp;"|"&amp;'管线现金流'!AK303&amp;"|"&amp;'管线现金流'!I304&amp;"|"&amp;'管线现金流'!AK304&amp;"|"&amp;'管线现金流'!I305&amp;"|"&amp;'管线现金流'!AK305&amp;"|"&amp;'管线现金流'!I306&amp;"|"&amp;'管线现金流'!AK306&amp;"|"&amp;'管线现金流'!I307&amp;"|"&amp;'管线现金流'!AK307&amp;"|"&amp;'管线现金流'!I308&amp;"|"&amp;'管线现金流'!AK308&amp;"|"&amp;'管线现金流'!I309&amp;"|"&amp;'管线现金流'!AK309&amp;"|"&amp;'管线现金流'!I310&amp;"|"&amp;'管线现金流'!AK310&amp;"|"&amp;'管线现金流'!I311&amp;"|"&amp;'管线现金流'!AK311&amp;"|"&amp;'管线现金流'!I312&amp;"|"&amp;'管线现金流'!AK312&amp;"|"&amp;'管线现金流'!I313&amp;"|"&amp;'管线现金流'!AK313&amp;"|"&amp;'管线现金流'!I314&amp;"|"&amp;'管线现金流'!AK314&amp;"|"&amp;'管线现金流'!I315&amp;"|"&amp;'管线现金流'!AK315&amp;"|"&amp;'管线现金流'!I316&amp;"|"&amp;'管线现金流'!AK316&amp;"|"&amp;'管线现金流'!I317&amp;"|"&amp;'管线现金流'!AK317&amp;"|"&amp;'管线现金流'!I318&amp;"|"&amp;'管线现金流'!AK318&amp;"|"&amp;'管线现金流'!I319&amp;"|"&amp;'管线现金流'!AK319&amp;"|"&amp;'管线现金流'!I320&amp;"|"&amp;'管线现金流'!AK320&amp;"|"&amp;'管线现金流'!I321&amp;"|"&amp;'管线现金流'!AK321&amp;"|"&amp;'管线现金流'!I322&amp;"|"&amp;'管线现金流'!AK322&amp;"|"&amp;'管线现金流'!I323&amp;"|"&amp;'管线现金流'!AK323&amp;"|"&amp;'管线现金流'!I324&amp;"|"&amp;'管线现金流'!AK324&amp;"|"&amp;'管线现金流'!I325&amp;"|"&amp;'管线现金流'!AK325&amp;"|"&amp;'管线现金流'!I326&amp;"|"&amp;'管线现金流'!AK326&amp;"|"&amp;'管线现金流'!I327&amp;"|"&amp;'管线现金流'!AK327&amp;"|"&amp;'管线现金流'!I328&amp;"|"&amp;'管线现金流'!AK328&amp;"|"&amp;'管线现金流'!I329&amp;"|"&amp;'管线现金流'!AK329&amp;"|"&amp;'管线现金流'!I330&amp;"|"&amp;'管线现金流'!AK330&amp;"|"&amp;'管线现金流'!I331&amp;"|"&amp;'管线现金流'!AK331&amp;"|"&amp;'管线现金流'!I332&amp;"|"&amp;'管线现金流'!AK332&amp;"|"&amp;'管线现金流'!I333&amp;"|"&amp;'管线现金流'!AK333&amp;"|"&amp;'管线现金流'!I334&amp;"|"&amp;'管线现金流'!AK334&amp;"|"&amp;'管线现金流'!I335&amp;"|"&amp;'管线现金流'!AK335&amp;"|"&amp;'管线现金流'!I336&amp;"|"&amp;'管线现金流'!AK336&amp;"|"&amp;'管线现金流'!I337&amp;"|"&amp;'管线现金流'!AK337&amp;"|"&amp;'管线现金流'!I338&amp;"|"&amp;'管线现金流'!AK338&amp;"|"&amp;'管线现金流'!I339&amp;"|"&amp;'管线现金流'!AK339&amp;"|"&amp;'管线现金流'!I340&amp;"|"&amp;'管线现金流'!AK340&amp;"|"&amp;'管线现金流'!I341&amp;"|"&amp;'管线现金流'!AK341&amp;"|"&amp;'管线现金流'!I342&amp;"|"&amp;'管线现金流'!AK342&amp;"|"&amp;'管线现金流'!I343&amp;"|"&amp;'管线现金流'!AK343&amp;"|"&amp;'管线现金流'!I344&amp;"|"&amp;'管线现金流'!AK344&amp;"|"&amp;'管线现金流'!I345&amp;"|"&amp;'管线现金流'!AK345&amp;"|"&amp;'管线现金流'!I346&amp;"|"&amp;'管线现金流'!AK346&amp;"|"&amp;'管线现金流'!I347&amp;"|"&amp;'管线现金流'!AK347&amp;"|"&amp;'管线现金流'!I348&amp;"|"&amp;'管线现金流'!AK348&amp;"|"&amp;'管线现金流'!I349&amp;"|"&amp;'管线现金流'!AK349&amp;"|"&amp;'管线现金流'!I350&amp;"|"&amp;'管线现金流'!AK350&amp;"|"&amp;'管线现金流'!I351&amp;"|"&amp;'管线现金流'!AK351&amp;"|"&amp;'管线现金流'!I352&amp;"|"&amp;'管线现金流'!AK352&amp;"|"&amp;'管线现金流'!I353&amp;"|"&amp;'管线现金流'!AK353&amp;"|"&amp;'管线现金流'!I354&amp;"|"&amp;'管线现金流'!AK354&amp;"|"&amp;'管线现金流'!I355&amp;"|"&amp;'管线现金流'!AK355&amp;"|"&amp;'管线现金流'!I356&amp;"|"&amp;'管线现金流'!AK356&amp;"|"&amp;'管线现金流'!I357&amp;"|"&amp;'管线现金流'!AK357&amp;"|"&amp;'管线现金流'!I358&amp;"|"&amp;'管线现金流'!AK358&amp;"|"&amp;'管线现金流'!I359&amp;"|"&amp;'管线现金流'!AK359&amp;"|"&amp;'管线现金流'!I360&amp;"|"&amp;'管线现金流'!AK360&amp;"|"&amp;'管线现金流'!I361&amp;"|"&amp;'管线现金流'!AK361&amp;"|"&amp;'管线现金流'!I362&amp;"|"&amp;'管线现金流'!AK362&amp;"|"&amp;'管线现金流'!I363&amp;"|"&amp;'管线现金流'!AK363&amp;"|"&amp;'管线现金流'!I364&amp;"|"&amp;'管线现金流'!AK364&amp;"|"&amp;'管线现金流'!I365&amp;"|"&amp;'管线现金流'!AK365&amp;"|"&amp;'管线现金流'!I366&amp;"|"&amp;'管线现金流'!AK366&amp;"|"&amp;'管线现金流'!I367&amp;"|"&amp;'管线现金流'!AK367&amp;"|"&amp;'管线现金流'!I368&amp;"|"&amp;'管线现金流'!AK368&amp;"|"&amp;'管线现金流'!I369&amp;"|"&amp;'管线现金流'!AK369&amp;"|"&amp;'管线现金流'!I370&amp;"|"&amp;'管线现金流'!AK370&amp;"|"&amp;'管线现金流'!I371&amp;"|"&amp;'管线现金流'!AK371&amp;"|"&amp;'管线现金流'!I372&amp;"|"&amp;'管线现金流'!AK372&amp;"|"&amp;'管线现金流'!I373&amp;"|"&amp;'管线现金流'!AK373&amp;"|"&amp;'管线现金流'!I374&amp;"|"&amp;'管线现金流'!AK374&amp;"|"&amp;'管线现金流'!I375&amp;"|"&amp;'管线现金流'!AK375&amp;"|"&amp;'管线现金流'!I376&amp;"|"&amp;'管线现金流'!AK376&amp;"|"&amp;'管线现金流'!I377&amp;"|"&amp;'管线现金流'!AK377&amp;"|"&amp;'管线现金流'!I378&amp;"|"&amp;'管线现金流'!AK378&amp;"|"&amp;'管线现金流'!I379&amp;"|"&amp;'管线现金流'!AK379&amp;"|"&amp;'管线现金流'!I380&amp;"|"&amp;'管线现金流'!AK380&amp;"|"&amp;'管线现金流'!I381&amp;"|"&amp;'管线现金流'!AK381&amp;"|"&amp;'管线现金流'!I382&amp;"|"&amp;'管线现金流'!AK382&amp;"|"&amp;'管线现金流'!I383&amp;"|"&amp;'管线现金流'!AK383&amp;"|"&amp;'管线现金流'!I384&amp;"|"&amp;'管线现金流'!AK384&amp;"|"&amp;'管线现金流'!I385&amp;"|"&amp;'管线现金流'!AK385&amp;"|"&amp;'管线现金流'!I386&amp;"|"&amp;'管线现金流'!AK386&amp;"|"&amp;'管线现金流'!I387&amp;"|"&amp;'管线现金流'!AK387&amp;"|"&amp;'管线现金流'!I388&amp;"|"&amp;'管线现金流'!AK388&amp;"|"&amp;'管线现金流'!I389&amp;"|"&amp;'管线现金流'!AK389&amp;"|"&amp;'管线现金流'!I390&amp;"|"&amp;'管线现金流'!AK390&amp;"|"&amp;'管线现金流'!I391&amp;"|"&amp;'管线现金流'!AK391&amp;"|"&amp;'管线现金流'!I392&amp;"|"&amp;'管线现金流'!AK392&amp;"|"&amp;'管线现金流'!I393&amp;"|"&amp;'管线现金流'!AK393&amp;"|"&amp;'管线现金流'!I394&amp;"|"&amp;'管线现金流'!AK394&amp;"|"&amp;'管线现金流'!V16&amp;"|"&amp;'管线现金流'!Y16&amp;"|"&amp;'管线现金流'!AP16&amp;"|"&amp;'管线现金流'!AS16&amp;"|"&amp;'管线现金流'!V17&amp;"|"&amp;'管线现金流'!Y17&amp;"|"&amp;'管线现金流'!AP17&amp;"|"&amp;'管线现金流'!AS17&amp;"|"&amp;'管线现金流'!V18&amp;"|"&amp;'管线现金流'!Y18&amp;"|"&amp;'管线现金流'!AP18&amp;"|"&amp;'管线现金流'!AS18</x:f>
        <x:v>20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</x:row>
    <x:row r="183" ht="23" customHeight="1">
      <x:c r="A183" s="11" t="str">
        <x:v>01093.HK</x:v>
      </x:c>
      <x:c r="B183" s="11" t="str">
        <x:v>石药集团</x:v>
      </x:c>
      <x:c r="C183" s="11" t="str">
        <x:v>三年</x:v>
      </x:c>
      <x:c r="D183" s="11" t="str">
        <x:v>乐观</x:v>
      </x:c>
      <x:c r="E183" s="11" t="n">
        <x:v>9.085</x:v>
      </x:c>
      <x:c r="F183" s="11" t="n">
        <x:v>28.98682741267341</x:v>
      </x:c>
      <x:c r="G183" s="11" t="n">
        <x:v>1.4</x:v>
      </x:c>
      <x:c r="H183" s="25" t="n">
        <x:v>2.1906249215931104</x:v>
      </x:c>
      <x:c r="I183" s="25" t="n">
        <x:v>2.34472508670043</x:v>
      </x:c>
      <x:c r="J183" s="25" t="n">
        <x:v>0.4955013492414182</x:v>
      </x:c>
      <x:c r="K183" s="11" t="n">
        <x:v>0.72</x:v>
      </x:c>
      <x:c r="L183" s="11" t="n">
        <x:v>26</x:v>
      </x:c>
      <x:c r="M183" s="11" t="n">
        <x:v>1.1</x:v>
      </x:c>
      <x:c r="N183" s="11" t="n">
        <x:v>1.4</x:v>
      </x:c>
      <x:c r="O183" s="11" t="str"/>
      <x:c r="P183" s="11" t="n">
        <x:v>0.2097</x:v>
      </x:c>
      <x:c r="Q183" s="11" t="n">
        <x:v>11.65</x:v>
      </x:c>
      <x:c r="R183" s="11" t="str">
        <x:v>cspc-v1-core-cash-assetgroups</x:v>
      </x:c>
      <x:c r="S183" s="11" t="str">
        <x:v>2026-10-10</x:v>
      </x:c>
      <x:c r="T183" s="11" t="str">
        <x:f>IF(AND(SUM(IF(K183='假设'!E242,0,1),IF(L183='假设'!F242,0,1),IF(M183='假设'!G242,0,1),IF(N183='假设'!H242,0,1),IF(O183='假设'!I242,0,1),IF(P183='假设'!J242,0,1),IF(Q183='假设'!K242,0,1))=0,U183=V183),"已刷新","待刷新")</x:f>
        <x:v>已刷新</x:v>
      </x:c>
      <x:c r="U183" t="str">
        <x:v>29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  <x:c r="V183" t="str">
        <x:f>'假设'!N242&amp;"|"&amp;'管线假设'!E82&amp;"|"&amp;'管线假设'!F82&amp;"|"&amp;'管线假设'!G82&amp;"|"&amp;'管线假设'!H82&amp;"|"&amp;'管线假设'!I82&amp;"|"&amp;'管线假设'!E86&amp;"|"&amp;'管线假设'!F86&amp;"|"&amp;'管线假设'!G86&amp;"|"&amp;'管线假设'!H86&amp;"|"&amp;'管线假设'!I86&amp;"|"&amp;'管线假设'!E90&amp;"|"&amp;'管线假设'!F90&amp;"|"&amp;'管线假设'!G90&amp;"|"&amp;'管线假设'!H90&amp;"|"&amp;'管线假设'!I90&amp;"|"&amp;'管线假设'!E94&amp;"|"&amp;'管线假设'!F94&amp;"|"&amp;'管线假设'!G94&amp;"|"&amp;'管线假设'!H94&amp;"|"&amp;'管线假设'!I94&amp;"|"&amp;'管线假设'!E98&amp;"|"&amp;'管线假设'!F98&amp;"|"&amp;'管线假设'!G98&amp;"|"&amp;'管线假设'!H98&amp;"|"&amp;'管线假设'!I98&amp;"|"&amp;'管线假设'!E102&amp;"|"&amp;'管线假设'!F102&amp;"|"&amp;'管线假设'!G102&amp;"|"&amp;'管线假设'!H102&amp;"|"&amp;'管线假设'!I102&amp;"|"&amp;'管线现金流'!J298&amp;"|"&amp;'管线现金流'!AL298&amp;"|"&amp;'管线现金流'!J299&amp;"|"&amp;'管线现金流'!AL299&amp;"|"&amp;'管线现金流'!J300&amp;"|"&amp;'管线现金流'!AL300&amp;"|"&amp;'管线现金流'!J301&amp;"|"&amp;'管线现金流'!AL301&amp;"|"&amp;'管线现金流'!J302&amp;"|"&amp;'管线现金流'!AL302&amp;"|"&amp;'管线现金流'!J303&amp;"|"&amp;'管线现金流'!AL303&amp;"|"&amp;'管线现金流'!J304&amp;"|"&amp;'管线现金流'!AL304&amp;"|"&amp;'管线现金流'!J305&amp;"|"&amp;'管线现金流'!AL305&amp;"|"&amp;'管线现金流'!J306&amp;"|"&amp;'管线现金流'!AL306&amp;"|"&amp;'管线现金流'!J307&amp;"|"&amp;'管线现金流'!AL307&amp;"|"&amp;'管线现金流'!J308&amp;"|"&amp;'管线现金流'!AL308&amp;"|"&amp;'管线现金流'!J309&amp;"|"&amp;'管线现金流'!AL309&amp;"|"&amp;'管线现金流'!J310&amp;"|"&amp;'管线现金流'!AL310&amp;"|"&amp;'管线现金流'!J311&amp;"|"&amp;'管线现金流'!AL311&amp;"|"&amp;'管线现金流'!J312&amp;"|"&amp;'管线现金流'!AL312&amp;"|"&amp;'管线现金流'!J313&amp;"|"&amp;'管线现金流'!AL313&amp;"|"&amp;'管线现金流'!J314&amp;"|"&amp;'管线现金流'!AL314&amp;"|"&amp;'管线现金流'!J315&amp;"|"&amp;'管线现金流'!AL315&amp;"|"&amp;'管线现金流'!J316&amp;"|"&amp;'管线现金流'!AL316&amp;"|"&amp;'管线现金流'!J317&amp;"|"&amp;'管线现金流'!AL317&amp;"|"&amp;'管线现金流'!J318&amp;"|"&amp;'管线现金流'!AL318&amp;"|"&amp;'管线现金流'!J319&amp;"|"&amp;'管线现金流'!AL319&amp;"|"&amp;'管线现金流'!J320&amp;"|"&amp;'管线现金流'!AL320&amp;"|"&amp;'管线现金流'!J321&amp;"|"&amp;'管线现金流'!AL321&amp;"|"&amp;'管线现金流'!J322&amp;"|"&amp;'管线现金流'!AL322&amp;"|"&amp;'管线现金流'!J323&amp;"|"&amp;'管线现金流'!AL323&amp;"|"&amp;'管线现金流'!J324&amp;"|"&amp;'管线现金流'!AL324&amp;"|"&amp;'管线现金流'!J325&amp;"|"&amp;'管线现金流'!AL325&amp;"|"&amp;'管线现金流'!J326&amp;"|"&amp;'管线现金流'!AL326&amp;"|"&amp;'管线现金流'!J327&amp;"|"&amp;'管线现金流'!AL327&amp;"|"&amp;'管线现金流'!J328&amp;"|"&amp;'管线现金流'!AL328&amp;"|"&amp;'管线现金流'!J329&amp;"|"&amp;'管线现金流'!AL329&amp;"|"&amp;'管线现金流'!J330&amp;"|"&amp;'管线现金流'!AL330&amp;"|"&amp;'管线现金流'!J331&amp;"|"&amp;'管线现金流'!AL331&amp;"|"&amp;'管线现金流'!J332&amp;"|"&amp;'管线现金流'!AL332&amp;"|"&amp;'管线现金流'!J333&amp;"|"&amp;'管线现金流'!AL333&amp;"|"&amp;'管线现金流'!J334&amp;"|"&amp;'管线现金流'!AL334&amp;"|"&amp;'管线现金流'!J335&amp;"|"&amp;'管线现金流'!AL335&amp;"|"&amp;'管线现金流'!J336&amp;"|"&amp;'管线现金流'!AL336&amp;"|"&amp;'管线现金流'!J337&amp;"|"&amp;'管线现金流'!AL337&amp;"|"&amp;'管线现金流'!J338&amp;"|"&amp;'管线现金流'!AL338&amp;"|"&amp;'管线现金流'!J339&amp;"|"&amp;'管线现金流'!AL339&amp;"|"&amp;'管线现金流'!J340&amp;"|"&amp;'管线现金流'!AL340&amp;"|"&amp;'管线现金流'!J341&amp;"|"&amp;'管线现金流'!AL341&amp;"|"&amp;'管线现金流'!J342&amp;"|"&amp;'管线现金流'!AL342&amp;"|"&amp;'管线现金流'!J343&amp;"|"&amp;'管线现金流'!AL343&amp;"|"&amp;'管线现金流'!J344&amp;"|"&amp;'管线现金流'!AL344&amp;"|"&amp;'管线现金流'!J345&amp;"|"&amp;'管线现金流'!AL345&amp;"|"&amp;'管线现金流'!J346&amp;"|"&amp;'管线现金流'!AL346&amp;"|"&amp;'管线现金流'!J347&amp;"|"&amp;'管线现金流'!AL347&amp;"|"&amp;'管线现金流'!J348&amp;"|"&amp;'管线现金流'!AL348&amp;"|"&amp;'管线现金流'!J349&amp;"|"&amp;'管线现金流'!AL349&amp;"|"&amp;'管线现金流'!J350&amp;"|"&amp;'管线现金流'!AL350&amp;"|"&amp;'管线现金流'!J351&amp;"|"&amp;'管线现金流'!AL351&amp;"|"&amp;'管线现金流'!J352&amp;"|"&amp;'管线现金流'!AL352&amp;"|"&amp;'管线现金流'!J353&amp;"|"&amp;'管线现金流'!AL353&amp;"|"&amp;'管线现金流'!J354&amp;"|"&amp;'管线现金流'!AL354&amp;"|"&amp;'管线现金流'!J355&amp;"|"&amp;'管线现金流'!AL355&amp;"|"&amp;'管线现金流'!J356&amp;"|"&amp;'管线现金流'!AL356&amp;"|"&amp;'管线现金流'!J357&amp;"|"&amp;'管线现金流'!AL357&amp;"|"&amp;'管线现金流'!J358&amp;"|"&amp;'管线现金流'!AL358&amp;"|"&amp;'管线现金流'!J359&amp;"|"&amp;'管线现金流'!AL359&amp;"|"&amp;'管线现金流'!J360&amp;"|"&amp;'管线现金流'!AL360&amp;"|"&amp;'管线现金流'!J361&amp;"|"&amp;'管线现金流'!AL361&amp;"|"&amp;'管线现金流'!J362&amp;"|"&amp;'管线现金流'!AL362&amp;"|"&amp;'管线现金流'!J363&amp;"|"&amp;'管线现金流'!AL363&amp;"|"&amp;'管线现金流'!J364&amp;"|"&amp;'管线现金流'!AL364&amp;"|"&amp;'管线现金流'!J365&amp;"|"&amp;'管线现金流'!AL365&amp;"|"&amp;'管线现金流'!J366&amp;"|"&amp;'管线现金流'!AL366&amp;"|"&amp;'管线现金流'!J367&amp;"|"&amp;'管线现金流'!AL367&amp;"|"&amp;'管线现金流'!J368&amp;"|"&amp;'管线现金流'!AL368&amp;"|"&amp;'管线现金流'!J369&amp;"|"&amp;'管线现金流'!AL369&amp;"|"&amp;'管线现金流'!J370&amp;"|"&amp;'管线现金流'!AL370&amp;"|"&amp;'管线现金流'!J371&amp;"|"&amp;'管线现金流'!AL371&amp;"|"&amp;'管线现金流'!J372&amp;"|"&amp;'管线现金流'!AL372&amp;"|"&amp;'管线现金流'!J373&amp;"|"&amp;'管线现金流'!AL373&amp;"|"&amp;'管线现金流'!J374&amp;"|"&amp;'管线现金流'!AL374&amp;"|"&amp;'管线现金流'!J375&amp;"|"&amp;'管线现金流'!AL375&amp;"|"&amp;'管线现金流'!J376&amp;"|"&amp;'管线现金流'!AL376&amp;"|"&amp;'管线现金流'!J377&amp;"|"&amp;'管线现金流'!AL377&amp;"|"&amp;'管线现金流'!J378&amp;"|"&amp;'管线现金流'!AL378&amp;"|"&amp;'管线现金流'!J379&amp;"|"&amp;'管线现金流'!AL379&amp;"|"&amp;'管线现金流'!J380&amp;"|"&amp;'管线现金流'!AL380&amp;"|"&amp;'管线现金流'!J381&amp;"|"&amp;'管线现金流'!AL381&amp;"|"&amp;'管线现金流'!J382&amp;"|"&amp;'管线现金流'!AL382&amp;"|"&amp;'管线现金流'!J383&amp;"|"&amp;'管线现金流'!AL383&amp;"|"&amp;'管线现金流'!J384&amp;"|"&amp;'管线现金流'!AL384&amp;"|"&amp;'管线现金流'!J385&amp;"|"&amp;'管线现金流'!AL385&amp;"|"&amp;'管线现金流'!J386&amp;"|"&amp;'管线现金流'!AL386&amp;"|"&amp;'管线现金流'!J387&amp;"|"&amp;'管线现金流'!AL387&amp;"|"&amp;'管线现金流'!J388&amp;"|"&amp;'管线现金流'!AL388&amp;"|"&amp;'管线现金流'!J389&amp;"|"&amp;'管线现金流'!AL389&amp;"|"&amp;'管线现金流'!J390&amp;"|"&amp;'管线现金流'!AL390&amp;"|"&amp;'管线现金流'!J391&amp;"|"&amp;'管线现金流'!AL391&amp;"|"&amp;'管线现金流'!J392&amp;"|"&amp;'管线现金流'!AL392&amp;"|"&amp;'管线现金流'!J393&amp;"|"&amp;'管线现金流'!AL393&amp;"|"&amp;'管线现金流'!J394&amp;"|"&amp;'管线现金流'!AL394&amp;"|"&amp;'管线现金流'!W16&amp;"|"&amp;'管线现金流'!Z16&amp;"|"&amp;'管线现金流'!AQ16&amp;"|"&amp;'管线现金流'!AT16&amp;"|"&amp;'管线现金流'!W17&amp;"|"&amp;'管线现金流'!Z17&amp;"|"&amp;'管线现金流'!AQ17&amp;"|"&amp;'管线现金流'!AT17&amp;"|"&amp;'管线现金流'!W18&amp;"|"&amp;'管线现金流'!Z18&amp;"|"&amp;'管线现金流'!AQ18&amp;"|"&amp;'管线现金流'!AT18</x:f>
        <x:v>29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</x:row>
    <x:row r="184" ht="23" customHeight="1">
      <x:c r="A184" s="11" t="str">
        <x:v>01093.HK</x:v>
      </x:c>
      <x:c r="B184" s="11" t="str">
        <x:v>石药集团</x:v>
      </x:c>
      <x:c r="C184" s="11" t="str">
        <x:v>五年</x:v>
      </x:c>
      <x:c r="D184" s="11" t="str">
        <x:v>悲观</x:v>
      </x:c>
      <x:c r="E184" s="11" t="n">
        <x:v>9.085</x:v>
      </x:c>
      <x:c r="F184" s="11" t="n">
        <x:v>4.226929161118733</x:v>
      </x:c>
      <x:c r="G184" s="11" t="n">
        <x:v>1.3</x:v>
      </x:c>
      <x:c r="H184" s="25" t="n">
        <x:v>-0.5347353702676134</x:v>
      </x:c>
      <x:c r="I184" s="25" t="n">
        <x:v>-0.3916423598108165</x:v>
      </x:c>
      <x:c r="J184" s="25" t="n">
        <x:v>-0.09461813064452718</x:v>
      </x:c>
      <x:c r="K184" s="11" t="n">
        <x:v>0.32</x:v>
      </x:c>
      <x:c r="L184" s="11" t="n">
        <x:v>10</x:v>
      </x:c>
      <x:c r="M184" s="11" t="n">
        <x:v>1.1</x:v>
      </x:c>
      <x:c r="N184" s="11" t="n">
        <x:v>1.3</x:v>
      </x:c>
      <x:c r="O184" s="11" t="str"/>
      <x:c r="P184" s="11" t="n">
        <x:v>0.14285714285714285</x:v>
      </x:c>
      <x:c r="Q184" s="11" t="n">
        <x:v>12.5</x:v>
      </x:c>
      <x:c r="R184" s="11" t="str">
        <x:v>cspc-v1-core-cash-assetgroups</x:v>
      </x:c>
      <x:c r="S184" s="11" t="str">
        <x:v>2026-10-10</x:v>
      </x:c>
      <x:c r="T184" s="11" t="str">
        <x:f>IF(AND(SUM(IF(K184='假设'!E244,0,1),IF(L184='假设'!F244,0,1),IF(M184='假设'!G244,0,1),IF(N184='假设'!H244,0,1),IF(O184='假设'!I244,0,1),IF(P184='假设'!J244,0,1),IF(Q184='假设'!K244,0,1))=0,U184=V184),"已刷新","待刷新")</x:f>
        <x:v>已刷新</x:v>
      </x:c>
      <x:c r="U184" t="str">
        <x:v>7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  <x:c r="V184" t="str">
        <x:f>'假设'!N244&amp;"|"&amp;'管线假设'!E104&amp;"|"&amp;'管线假设'!F104&amp;"|"&amp;'管线假设'!G104&amp;"|"&amp;'管线假设'!H104&amp;"|"&amp;'管线假设'!I104&amp;"|"&amp;'管线假设'!E108&amp;"|"&amp;'管线假设'!F108&amp;"|"&amp;'管线假设'!G108&amp;"|"&amp;'管线假设'!H108&amp;"|"&amp;'管线假设'!I108&amp;"|"&amp;'管线假设'!E112&amp;"|"&amp;'管线假设'!F112&amp;"|"&amp;'管线假设'!G112&amp;"|"&amp;'管线假设'!H112&amp;"|"&amp;'管线假设'!I112&amp;"|"&amp;'管线假设'!E116&amp;"|"&amp;'管线假设'!F116&amp;"|"&amp;'管线假设'!G116&amp;"|"&amp;'管线假设'!H116&amp;"|"&amp;'管线假设'!I116&amp;"|"&amp;'管线假设'!E120&amp;"|"&amp;'管线假设'!F120&amp;"|"&amp;'管线假设'!G120&amp;"|"&amp;'管线假设'!H120&amp;"|"&amp;'管线假设'!I120&amp;"|"&amp;'管线假设'!E124&amp;"|"&amp;'管线假设'!F124&amp;"|"&amp;'管线假设'!G124&amp;"|"&amp;'管线假设'!H124&amp;"|"&amp;'管线假设'!I124&amp;"|"&amp;'管线现金流'!H395&amp;"|"&amp;'管线现金流'!AJ395&amp;"|"&amp;'管线现金流'!H396&amp;"|"&amp;'管线现金流'!AJ396&amp;"|"&amp;'管线现金流'!H397&amp;"|"&amp;'管线现金流'!AJ397&amp;"|"&amp;'管线现金流'!H398&amp;"|"&amp;'管线现金流'!AJ398&amp;"|"&amp;'管线现金流'!H399&amp;"|"&amp;'管线现金流'!AJ399&amp;"|"&amp;'管线现金流'!H400&amp;"|"&amp;'管线现金流'!AJ400&amp;"|"&amp;'管线现金流'!H401&amp;"|"&amp;'管线现金流'!AJ401&amp;"|"&amp;'管线现金流'!H402&amp;"|"&amp;'管线现金流'!AJ402&amp;"|"&amp;'管线现金流'!H403&amp;"|"&amp;'管线现金流'!AJ403&amp;"|"&amp;'管线现金流'!H404&amp;"|"&amp;'管线现金流'!AJ404&amp;"|"&amp;'管线现金流'!H405&amp;"|"&amp;'管线现金流'!AJ405&amp;"|"&amp;'管线现金流'!H406&amp;"|"&amp;'管线现金流'!AJ406&amp;"|"&amp;'管线现金流'!H407&amp;"|"&amp;'管线现金流'!AJ407&amp;"|"&amp;'管线现金流'!H408&amp;"|"&amp;'管线现金流'!AJ408&amp;"|"&amp;'管线现金流'!H409&amp;"|"&amp;'管线现金流'!AJ409&amp;"|"&amp;'管线现金流'!H410&amp;"|"&amp;'管线现金流'!AJ410&amp;"|"&amp;'管线现金流'!H411&amp;"|"&amp;'管线现金流'!AJ411&amp;"|"&amp;'管线现金流'!H412&amp;"|"&amp;'管线现金流'!AJ412&amp;"|"&amp;'管线现金流'!H413&amp;"|"&amp;'管线现金流'!AJ413&amp;"|"&amp;'管线现金流'!H414&amp;"|"&amp;'管线现金流'!AJ414&amp;"|"&amp;'管线现金流'!H415&amp;"|"&amp;'管线现金流'!AJ415&amp;"|"&amp;'管线现金流'!H416&amp;"|"&amp;'管线现金流'!AJ416&amp;"|"&amp;'管线现金流'!H417&amp;"|"&amp;'管线现金流'!AJ417&amp;"|"&amp;'管线现金流'!H418&amp;"|"&amp;'管线现金流'!AJ418&amp;"|"&amp;'管线现金流'!H419&amp;"|"&amp;'管线现金流'!AJ419&amp;"|"&amp;'管线现金流'!H420&amp;"|"&amp;'管线现金流'!AJ420&amp;"|"&amp;'管线现金流'!H421&amp;"|"&amp;'管线现金流'!AJ421&amp;"|"&amp;'管线现金流'!H422&amp;"|"&amp;'管线现金流'!AJ422&amp;"|"&amp;'管线现金流'!H423&amp;"|"&amp;'管线现金流'!AJ423&amp;"|"&amp;'管线现金流'!H424&amp;"|"&amp;'管线现金流'!AJ424&amp;"|"&amp;'管线现金流'!H425&amp;"|"&amp;'管线现金流'!AJ425&amp;"|"&amp;'管线现金流'!H426&amp;"|"&amp;'管线现金流'!AJ426&amp;"|"&amp;'管线现金流'!H427&amp;"|"&amp;'管线现金流'!AJ427&amp;"|"&amp;'管线现金流'!H428&amp;"|"&amp;'管线现金流'!AJ428&amp;"|"&amp;'管线现金流'!H429&amp;"|"&amp;'管线现金流'!AJ429&amp;"|"&amp;'管线现金流'!H430&amp;"|"&amp;'管线现金流'!AJ430&amp;"|"&amp;'管线现金流'!H431&amp;"|"&amp;'管线现金流'!AJ431&amp;"|"&amp;'管线现金流'!H432&amp;"|"&amp;'管线现金流'!AJ432&amp;"|"&amp;'管线现金流'!H433&amp;"|"&amp;'管线现金流'!AJ433&amp;"|"&amp;'管线现金流'!H434&amp;"|"&amp;'管线现金流'!AJ434&amp;"|"&amp;'管线现金流'!H435&amp;"|"&amp;'管线现金流'!AJ435&amp;"|"&amp;'管线现金流'!H436&amp;"|"&amp;'管线现金流'!AJ436&amp;"|"&amp;'管线现金流'!H437&amp;"|"&amp;'管线现金流'!AJ437&amp;"|"&amp;'管线现金流'!H438&amp;"|"&amp;'管线现金流'!AJ438&amp;"|"&amp;'管线现金流'!H439&amp;"|"&amp;'管线现金流'!AJ439&amp;"|"&amp;'管线现金流'!H440&amp;"|"&amp;'管线现金流'!AJ440&amp;"|"&amp;'管线现金流'!H441&amp;"|"&amp;'管线现金流'!AJ441&amp;"|"&amp;'管线现金流'!H442&amp;"|"&amp;'管线现金流'!AJ442&amp;"|"&amp;'管线现金流'!H443&amp;"|"&amp;'管线现金流'!AJ443&amp;"|"&amp;'管线现金流'!H444&amp;"|"&amp;'管线现金流'!AJ444&amp;"|"&amp;'管线现金流'!H445&amp;"|"&amp;'管线现金流'!AJ445&amp;"|"&amp;'管线现金流'!H446&amp;"|"&amp;'管线现金流'!AJ446&amp;"|"&amp;'管线现金流'!H447&amp;"|"&amp;'管线现金流'!AJ447&amp;"|"&amp;'管线现金流'!H448&amp;"|"&amp;'管线现金流'!AJ448&amp;"|"&amp;'管线现金流'!H449&amp;"|"&amp;'管线现金流'!AJ449&amp;"|"&amp;'管线现金流'!H450&amp;"|"&amp;'管线现金流'!AJ450&amp;"|"&amp;'管线现金流'!H451&amp;"|"&amp;'管线现金流'!AJ451&amp;"|"&amp;'管线现金流'!H452&amp;"|"&amp;'管线现金流'!AJ452&amp;"|"&amp;'管线现金流'!H453&amp;"|"&amp;'管线现金流'!AJ453&amp;"|"&amp;'管线现金流'!H454&amp;"|"&amp;'管线现金流'!AJ454&amp;"|"&amp;'管线现金流'!H455&amp;"|"&amp;'管线现金流'!AJ455&amp;"|"&amp;'管线现金流'!H456&amp;"|"&amp;'管线现金流'!AJ456&amp;"|"&amp;'管线现金流'!H457&amp;"|"&amp;'管线现金流'!AJ457&amp;"|"&amp;'管线现金流'!H458&amp;"|"&amp;'管线现金流'!AJ458&amp;"|"&amp;'管线现金流'!H459&amp;"|"&amp;'管线现金流'!AJ459&amp;"|"&amp;'管线现金流'!H460&amp;"|"&amp;'管线现金流'!AJ460&amp;"|"&amp;'管线现金流'!H461&amp;"|"&amp;'管线现金流'!AJ461&amp;"|"&amp;'管线现金流'!H462&amp;"|"&amp;'管线现金流'!AJ462&amp;"|"&amp;'管线现金流'!H463&amp;"|"&amp;'管线现金流'!AJ463&amp;"|"&amp;'管线现金流'!H464&amp;"|"&amp;'管线现金流'!AJ464&amp;"|"&amp;'管线现金流'!H465&amp;"|"&amp;'管线现金流'!AJ465&amp;"|"&amp;'管线现金流'!H466&amp;"|"&amp;'管线现金流'!AJ466&amp;"|"&amp;'管线现金流'!H467&amp;"|"&amp;'管线现金流'!AJ467&amp;"|"&amp;'管线现金流'!H468&amp;"|"&amp;'管线现金流'!AJ468&amp;"|"&amp;'管线现金流'!H469&amp;"|"&amp;'管线现金流'!AJ469&amp;"|"&amp;'管线现金流'!H470&amp;"|"&amp;'管线现金流'!AJ470&amp;"|"&amp;'管线现金流'!H471&amp;"|"&amp;'管线现金流'!AJ471&amp;"|"&amp;'管线现金流'!H472&amp;"|"&amp;'管线现金流'!AJ472&amp;"|"&amp;'管线现金流'!H473&amp;"|"&amp;'管线现金流'!AJ473&amp;"|"&amp;'管线现金流'!H474&amp;"|"&amp;'管线现金流'!AJ474&amp;"|"&amp;'管线现金流'!H475&amp;"|"&amp;'管线现金流'!AJ475&amp;"|"&amp;'管线现金流'!H476&amp;"|"&amp;'管线现金流'!AJ476&amp;"|"&amp;'管线现金流'!H477&amp;"|"&amp;'管线现金流'!AJ477&amp;"|"&amp;'管线现金流'!H478&amp;"|"&amp;'管线现金流'!AJ478&amp;"|"&amp;'管线现金流'!H479&amp;"|"&amp;'管线现金流'!AJ479&amp;"|"&amp;'管线现金流'!H480&amp;"|"&amp;'管线现金流'!AJ480&amp;"|"&amp;'管线现金流'!H481&amp;"|"&amp;'管线现金流'!AJ481&amp;"|"&amp;'管线现金流'!H482&amp;"|"&amp;'管线现金流'!AJ482&amp;"|"&amp;'管线现金流'!H483&amp;"|"&amp;'管线现金流'!AJ483&amp;"|"&amp;'管线现金流'!H484&amp;"|"&amp;'管线现金流'!AJ484&amp;"|"&amp;'管线现金流'!H485&amp;"|"&amp;'管线现金流'!AJ485&amp;"|"&amp;'管线现金流'!H486&amp;"|"&amp;'管线现金流'!AJ486&amp;"|"&amp;'管线现金流'!H487&amp;"|"&amp;'管线现金流'!AJ487&amp;"|"&amp;'管线现金流'!H488&amp;"|"&amp;'管线现金流'!AJ488&amp;"|"&amp;'管线现金流'!H489&amp;"|"&amp;'管线现金流'!AJ489&amp;"|"&amp;'管线现金流'!H490&amp;"|"&amp;'管线现金流'!AJ490&amp;"|"&amp;'管线现金流'!H491&amp;"|"&amp;'管线现金流'!AJ491&amp;"|"&amp;'管线现金流'!U19&amp;"|"&amp;'管线现金流'!X19&amp;"|"&amp;'管线现金流'!AO19&amp;"|"&amp;'管线现金流'!AR19&amp;"|"&amp;'管线现金流'!U20&amp;"|"&amp;'管线现金流'!X20&amp;"|"&amp;'管线现金流'!AO20&amp;"|"&amp;'管线现金流'!AR20&amp;"|"&amp;'管线现金流'!U21&amp;"|"&amp;'管线现金流'!X21&amp;"|"&amp;'管线现金流'!AO21&amp;"|"&amp;'管线现金流'!AR21</x:f>
        <x:v>7|0.4|0.14|0.9|0.16|7|0.35|0.12|0.85|0.16|7|0.4|0.1|0.85|0.16|7|0.45|0.1|0.85|0.16|7|0.05|0.09|0.85|0.16|7|0.04|0.045|0.85|0.16|7|0|0|0|0|0.14400000000000002|0|0.45|0|0.81|0|1.1700000000000002|0|1.53|0|1.8|0|1.8|0|1.71|0|1.584|0|1.35|0|1.08|0|0.81|0|0.54|0|0.324|0|0.18000000000000002|0|0|0|0|0|0.064|0|0.2|0|0.36000000000000004|0|0.52|0|0.68|0|0.8|0|0.8|0|0.76|0|0.7040000000000001|0|0.6000000000000001|0|0.48|0|0.36000000000000004|0|0.24|0|0.144|0|0.08000000000000002|0|0|0|0|0|0.10400000000000001|0|0.325|0|0.5850000000000001|0|0.8450000000000001|0|1.105|0|1.3|0|1.3|0|1.2349999999999999|0|1.1440000000000001|0|0.9750000000000001|0|0.78|0|0.5850000000000001|0|0.39|0|0.23399999999999999|0|0.13|0|0|0|0|0|0.04|0|0.125|0|0.225|0|0.325|0|0.425|0|0.5|0|0.5|0|0.475|0|0.44|0|0.375|0|0.3|0|0.225|0|0.15|0|0.09|0|0.05|0|0|0|0|0|0|0|0.24|0|0.75|0|1.35|0|1.9500000000000002|0|2.55|0|3|0|3|0|2.8499999999999996|0|2.64|0|2.25|0|1.7999999999999998|0|1.35|0|0|0|0|0|0|0|0.12|0|0.375|0|0.675|0|0.9750000000000001|0|1.275|0|1.5|0|1.5|0|1.4249999999999998|0|1.32|0|1.125|0|0.8999999999999999|0|0.05|0.25|0.8|0.9|0.1|0.1|0.8|0.9|0|0|0.8|0.9</x:v>
      </x:c>
    </x:row>
    <x:row r="185" ht="23" customHeight="1">
      <x:c r="A185" s="11" t="str">
        <x:v>01093.HK</x:v>
      </x:c>
      <x:c r="B185" s="11" t="str">
        <x:v>石药集团</x:v>
      </x:c>
      <x:c r="C185" s="11" t="str">
        <x:v>五年</x:v>
      </x:c>
      <x:c r="D185" s="11" t="str">
        <x:v>基准</x:v>
      </x:c>
      <x:c r="E185" s="11" t="n">
        <x:v>9.085</x:v>
      </x:c>
      <x:c r="F185" s="11" t="n">
        <x:v>15.623303921248567</x:v>
      </x:c>
      <x:c r="G185" s="11" t="n">
        <x:v>2</x:v>
      </x:c>
      <x:c r="H185" s="25" t="n">
        <x:v>0.7196812241330286</x:v>
      </x:c>
      <x:c r="I185" s="25" t="n">
        <x:v>0.9398243171434855</x:v>
      </x:c>
      <x:c r="J185" s="25" t="n">
        <x:v>0.14170125867937045</x:v>
      </x:c>
      <x:c r="K185" s="11" t="n">
        <x:v>0.62</x:v>
      </x:c>
      <x:c r="L185" s="11" t="n">
        <x:v>18</x:v>
      </x:c>
      <x:c r="M185" s="11" t="n">
        <x:v>1.1</x:v>
      </x:c>
      <x:c r="N185" s="11" t="n">
        <x:v>2</x:v>
      </x:c>
      <x:c r="O185" s="11" t="str"/>
      <x:c r="P185" s="11" t="n">
        <x:v>0.19394871794871793</x:v>
      </x:c>
      <x:c r="Q185" s="11" t="n">
        <x:v>12.2</x:v>
      </x:c>
      <x:c r="R185" s="11" t="str">
        <x:v>cspc-v1-core-cash-assetgroups</x:v>
      </x:c>
      <x:c r="S185" s="11" t="str">
        <x:v>2026-10-10</x:v>
      </x:c>
      <x:c r="T185" s="11" t="str">
        <x:f>IF(AND(SUM(IF(K185='假设'!E245,0,1),IF(L185='假设'!F245,0,1),IF(M185='假设'!G245,0,1),IF(N185='假设'!H245,0,1),IF(O185='假设'!I245,0,1),IF(P185='假设'!J245,0,1),IF(Q185='假设'!K245,0,1))=0,U185=V185),"已刷新","待刷新")</x:f>
        <x:v>已刷新</x:v>
      </x:c>
      <x:c r="U185" t="str">
        <x:v>25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  <x:c r="V185" t="str">
        <x:f>'假设'!N245&amp;"|"&amp;'管线假设'!E105&amp;"|"&amp;'管线假设'!F105&amp;"|"&amp;'管线假设'!G105&amp;"|"&amp;'管线假设'!H105&amp;"|"&amp;'管线假设'!I105&amp;"|"&amp;'管线假设'!E109&amp;"|"&amp;'管线假设'!F109&amp;"|"&amp;'管线假设'!G109&amp;"|"&amp;'管线假设'!H109&amp;"|"&amp;'管线假设'!I109&amp;"|"&amp;'管线假设'!E113&amp;"|"&amp;'管线假设'!F113&amp;"|"&amp;'管线假设'!G113&amp;"|"&amp;'管线假设'!H113&amp;"|"&amp;'管线假设'!I113&amp;"|"&amp;'管线假设'!E117&amp;"|"&amp;'管线假设'!F117&amp;"|"&amp;'管线假设'!G117&amp;"|"&amp;'管线假设'!H117&amp;"|"&amp;'管线假设'!I117&amp;"|"&amp;'管线假设'!E121&amp;"|"&amp;'管线假设'!F121&amp;"|"&amp;'管线假设'!G121&amp;"|"&amp;'管线假设'!H121&amp;"|"&amp;'管线假设'!I121&amp;"|"&amp;'管线假设'!E125&amp;"|"&amp;'管线假设'!F125&amp;"|"&amp;'管线假设'!G125&amp;"|"&amp;'管线假设'!H125&amp;"|"&amp;'管线假设'!I125&amp;"|"&amp;'管线现金流'!I395&amp;"|"&amp;'管线现金流'!AK395&amp;"|"&amp;'管线现金流'!I396&amp;"|"&amp;'管线现金流'!AK396&amp;"|"&amp;'管线现金流'!I397&amp;"|"&amp;'管线现金流'!AK397&amp;"|"&amp;'管线现金流'!I398&amp;"|"&amp;'管线现金流'!AK398&amp;"|"&amp;'管线现金流'!I399&amp;"|"&amp;'管线现金流'!AK399&amp;"|"&amp;'管线现金流'!I400&amp;"|"&amp;'管线现金流'!AK400&amp;"|"&amp;'管线现金流'!I401&amp;"|"&amp;'管线现金流'!AK401&amp;"|"&amp;'管线现金流'!I402&amp;"|"&amp;'管线现金流'!AK402&amp;"|"&amp;'管线现金流'!I403&amp;"|"&amp;'管线现金流'!AK403&amp;"|"&amp;'管线现金流'!I404&amp;"|"&amp;'管线现金流'!AK404&amp;"|"&amp;'管线现金流'!I405&amp;"|"&amp;'管线现金流'!AK405&amp;"|"&amp;'管线现金流'!I406&amp;"|"&amp;'管线现金流'!AK406&amp;"|"&amp;'管线现金流'!I407&amp;"|"&amp;'管线现金流'!AK407&amp;"|"&amp;'管线现金流'!I408&amp;"|"&amp;'管线现金流'!AK408&amp;"|"&amp;'管线现金流'!I409&amp;"|"&amp;'管线现金流'!AK409&amp;"|"&amp;'管线现金流'!I410&amp;"|"&amp;'管线现金流'!AK410&amp;"|"&amp;'管线现金流'!I411&amp;"|"&amp;'管线现金流'!AK411&amp;"|"&amp;'管线现金流'!I412&amp;"|"&amp;'管线现金流'!AK412&amp;"|"&amp;'管线现金流'!I413&amp;"|"&amp;'管线现金流'!AK413&amp;"|"&amp;'管线现金流'!I414&amp;"|"&amp;'管线现金流'!AK414&amp;"|"&amp;'管线现金流'!I415&amp;"|"&amp;'管线现金流'!AK415&amp;"|"&amp;'管线现金流'!I416&amp;"|"&amp;'管线现金流'!AK416&amp;"|"&amp;'管线现金流'!I417&amp;"|"&amp;'管线现金流'!AK417&amp;"|"&amp;'管线现金流'!I418&amp;"|"&amp;'管线现金流'!AK418&amp;"|"&amp;'管线现金流'!I419&amp;"|"&amp;'管线现金流'!AK419&amp;"|"&amp;'管线现金流'!I420&amp;"|"&amp;'管线现金流'!AK420&amp;"|"&amp;'管线现金流'!I421&amp;"|"&amp;'管线现金流'!AK421&amp;"|"&amp;'管线现金流'!I422&amp;"|"&amp;'管线现金流'!AK422&amp;"|"&amp;'管线现金流'!I423&amp;"|"&amp;'管线现金流'!AK423&amp;"|"&amp;'管线现金流'!I424&amp;"|"&amp;'管线现金流'!AK424&amp;"|"&amp;'管线现金流'!I425&amp;"|"&amp;'管线现金流'!AK425&amp;"|"&amp;'管线现金流'!I426&amp;"|"&amp;'管线现金流'!AK426&amp;"|"&amp;'管线现金流'!I427&amp;"|"&amp;'管线现金流'!AK427&amp;"|"&amp;'管线现金流'!I428&amp;"|"&amp;'管线现金流'!AK428&amp;"|"&amp;'管线现金流'!I429&amp;"|"&amp;'管线现金流'!AK429&amp;"|"&amp;'管线现金流'!I430&amp;"|"&amp;'管线现金流'!AK430&amp;"|"&amp;'管线现金流'!I431&amp;"|"&amp;'管线现金流'!AK431&amp;"|"&amp;'管线现金流'!I432&amp;"|"&amp;'管线现金流'!AK432&amp;"|"&amp;'管线现金流'!I433&amp;"|"&amp;'管线现金流'!AK433&amp;"|"&amp;'管线现金流'!I434&amp;"|"&amp;'管线现金流'!AK434&amp;"|"&amp;'管线现金流'!I435&amp;"|"&amp;'管线现金流'!AK435&amp;"|"&amp;'管线现金流'!I436&amp;"|"&amp;'管线现金流'!AK436&amp;"|"&amp;'管线现金流'!I437&amp;"|"&amp;'管线现金流'!AK437&amp;"|"&amp;'管线现金流'!I438&amp;"|"&amp;'管线现金流'!AK438&amp;"|"&amp;'管线现金流'!I439&amp;"|"&amp;'管线现金流'!AK439&amp;"|"&amp;'管线现金流'!I440&amp;"|"&amp;'管线现金流'!AK440&amp;"|"&amp;'管线现金流'!I441&amp;"|"&amp;'管线现金流'!AK441&amp;"|"&amp;'管线现金流'!I442&amp;"|"&amp;'管线现金流'!AK442&amp;"|"&amp;'管线现金流'!I443&amp;"|"&amp;'管线现金流'!AK443&amp;"|"&amp;'管线现金流'!I444&amp;"|"&amp;'管线现金流'!AK444&amp;"|"&amp;'管线现金流'!I445&amp;"|"&amp;'管线现金流'!AK445&amp;"|"&amp;'管线现金流'!I446&amp;"|"&amp;'管线现金流'!AK446&amp;"|"&amp;'管线现金流'!I447&amp;"|"&amp;'管线现金流'!AK447&amp;"|"&amp;'管线现金流'!I448&amp;"|"&amp;'管线现金流'!AK448&amp;"|"&amp;'管线现金流'!I449&amp;"|"&amp;'管线现金流'!AK449&amp;"|"&amp;'管线现金流'!I450&amp;"|"&amp;'管线现金流'!AK450&amp;"|"&amp;'管线现金流'!I451&amp;"|"&amp;'管线现金流'!AK451&amp;"|"&amp;'管线现金流'!I452&amp;"|"&amp;'管线现金流'!AK452&amp;"|"&amp;'管线现金流'!I453&amp;"|"&amp;'管线现金流'!AK453&amp;"|"&amp;'管线现金流'!I454&amp;"|"&amp;'管线现金流'!AK454&amp;"|"&amp;'管线现金流'!I455&amp;"|"&amp;'管线现金流'!AK455&amp;"|"&amp;'管线现金流'!I456&amp;"|"&amp;'管线现金流'!AK456&amp;"|"&amp;'管线现金流'!I457&amp;"|"&amp;'管线现金流'!AK457&amp;"|"&amp;'管线现金流'!I458&amp;"|"&amp;'管线现金流'!AK458&amp;"|"&amp;'管线现金流'!I459&amp;"|"&amp;'管线现金流'!AK459&amp;"|"&amp;'管线现金流'!I460&amp;"|"&amp;'管线现金流'!AK460&amp;"|"&amp;'管线现金流'!I461&amp;"|"&amp;'管线现金流'!AK461&amp;"|"&amp;'管线现金流'!I462&amp;"|"&amp;'管线现金流'!AK462&amp;"|"&amp;'管线现金流'!I463&amp;"|"&amp;'管线现金流'!AK463&amp;"|"&amp;'管线现金流'!I464&amp;"|"&amp;'管线现金流'!AK464&amp;"|"&amp;'管线现金流'!I465&amp;"|"&amp;'管线现金流'!AK465&amp;"|"&amp;'管线现金流'!I466&amp;"|"&amp;'管线现金流'!AK466&amp;"|"&amp;'管线现金流'!I467&amp;"|"&amp;'管线现金流'!AK467&amp;"|"&amp;'管线现金流'!I468&amp;"|"&amp;'管线现金流'!AK468&amp;"|"&amp;'管线现金流'!I469&amp;"|"&amp;'管线现金流'!AK469&amp;"|"&amp;'管线现金流'!I470&amp;"|"&amp;'管线现金流'!AK470&amp;"|"&amp;'管线现金流'!I471&amp;"|"&amp;'管线现金流'!AK471&amp;"|"&amp;'管线现金流'!I472&amp;"|"&amp;'管线现金流'!AK472&amp;"|"&amp;'管线现金流'!I473&amp;"|"&amp;'管线现金流'!AK473&amp;"|"&amp;'管线现金流'!I474&amp;"|"&amp;'管线现金流'!AK474&amp;"|"&amp;'管线现金流'!I475&amp;"|"&amp;'管线现金流'!AK475&amp;"|"&amp;'管线现金流'!I476&amp;"|"&amp;'管线现金流'!AK476&amp;"|"&amp;'管线现金流'!I477&amp;"|"&amp;'管线现金流'!AK477&amp;"|"&amp;'管线现金流'!I478&amp;"|"&amp;'管线现金流'!AK478&amp;"|"&amp;'管线现金流'!I479&amp;"|"&amp;'管线现金流'!AK479&amp;"|"&amp;'管线现金流'!I480&amp;"|"&amp;'管线现金流'!AK480&amp;"|"&amp;'管线现金流'!I481&amp;"|"&amp;'管线现金流'!AK481&amp;"|"&amp;'管线现金流'!I482&amp;"|"&amp;'管线现金流'!AK482&amp;"|"&amp;'管线现金流'!I483&amp;"|"&amp;'管线现金流'!AK483&amp;"|"&amp;'管线现金流'!I484&amp;"|"&amp;'管线现金流'!AK484&amp;"|"&amp;'管线现金流'!I485&amp;"|"&amp;'管线现金流'!AK485&amp;"|"&amp;'管线现金流'!I486&amp;"|"&amp;'管线现金流'!AK486&amp;"|"&amp;'管线现金流'!I487&amp;"|"&amp;'管线现金流'!AK487&amp;"|"&amp;'管线现金流'!I488&amp;"|"&amp;'管线现金流'!AK488&amp;"|"&amp;'管线现金流'!I489&amp;"|"&amp;'管线现金流'!AK489&amp;"|"&amp;'管线现金流'!I490&amp;"|"&amp;'管线现金流'!AK490&amp;"|"&amp;'管线现金流'!I491&amp;"|"&amp;'管线现金流'!AK491&amp;"|"&amp;'管线现金流'!V19&amp;"|"&amp;'管线现金流'!Y19&amp;"|"&amp;'管线现金流'!AP19&amp;"|"&amp;'管线现金流'!AS19&amp;"|"&amp;'管线现金流'!V20&amp;"|"&amp;'管线现金流'!Y20&amp;"|"&amp;'管线现金流'!AP20&amp;"|"&amp;'管线现金流'!AS20&amp;"|"&amp;'管线现金流'!V21&amp;"|"&amp;'管线现金流'!Y21&amp;"|"&amp;'管线现金流'!AP21&amp;"|"&amp;'管线现金流'!AS21</x:f>
        <x:v>25|0.7|0.2|0.95|0.13|7|0.65|0.18|0.9|0.13|7|0.7|0.16|0.9|0.13|7|0.72|0.17|0.9|0.13|7|0.15|0.11699999999999999|0.9|0.13|7|0.12|0.062400000000000004|0.9|0.13|7|0.4|0|1.25|0|2.25|0|3.25|0|4.25|0|5|0|5|0|4.75|0|4.4|0|3.75|0|3|0|2.25|0|1.5|0|0.8999999999999999|0|0.5|0|0.25|0|0.25|0|0.192|0|0.6|0|1.08|0|1.56|0|2.04|0|2.4|0|2.4|0|2.28|0|2.112|0|1.7999999999999998|0|1.44|0|1.08|0|0.72|0|0.432|0|0.24|0|0.12|0|0.12|0|0.28|0|0.875|0|1.575|0|2.275|0|2.975|0|3.5|0|3.5|0|3.3249999999999997|0|3.08|0|2.625|0|2.1|0|1.575|0|1.05|0|0.63|0|0.35000000000000003|0|0.17500000000000002|0|0.17500000000000002|0|0.12|0|0.375|0|0.675|0|0.9750000000000001|0|1.275|0|1.5|0|1.5|0|1.4249999999999998|0|1.32|0|1.125|0|0.8999999999999999|0|0.675|0|0.44999999999999996|0|0.27|0|0.15000000000000002|0|0.07500000000000001|0|0.07500000000000001|0|0|0|0.72|0|2.25|0|4.05|0|5.8500000000000005|0|7.6499999999999995|0|9|0|9|0|8.549999999999999|0|7.92|0|6.75|0|5.3999999999999995|0|4.05|0|2.6999999999999997|0|1.6199999999999999|0|0|0|0.32|0|1|0|1.8|0|2.6|0|3.4|0|4|0|4|0|3.8|0|3.52|0|3|0|2.4|0|1.8|0|1.2|0|0.15|0.5|0.8|0.9|0.35|0.25|0.8|0.9|0.5|0.15|0.8|0.9</x:v>
      </x:c>
    </x:row>
    <x:row r="186" ht="23" customHeight="1">
      <x:c r="A186" s="11" t="str">
        <x:v>01093.HK</x:v>
      </x:c>
      <x:c r="B186" s="11" t="str">
        <x:v>石药集团</x:v>
      </x:c>
      <x:c r="C186" s="11" t="str">
        <x:v>五年</x:v>
      </x:c>
      <x:c r="D186" s="11" t="str">
        <x:v>乐观</x:v>
      </x:c>
      <x:c r="E186" s="11" t="n">
        <x:v>9.085</x:v>
      </x:c>
      <x:c r="F186" s="11" t="n">
        <x:v>35.70923306466859</x:v>
      </x:c>
      <x:c r="G186" s="11" t="n">
        <x:v>2.8</x:v>
      </x:c>
      <x:c r="H186" s="25" t="n">
        <x:v>2.930570507943708</x:v>
      </x:c>
      <x:c r="I186" s="25" t="n">
        <x:v>3.238770838158347</x:v>
      </x:c>
      <x:c r="J186" s="25" t="n">
        <x:v>0.33489770855459366</x:v>
      </x:c>
      <x:c r="K186" s="11" t="n">
        <x:v>0.94</x:v>
      </x:c>
      <x:c r="L186" s="11" t="n">
        <x:v>25</x:v>
      </x:c>
      <x:c r="M186" s="11" t="n">
        <x:v>1.1</x:v>
      </x:c>
      <x:c r="N186" s="11" t="n">
        <x:v>2.8</x:v>
      </x:c>
      <x:c r="O186" s="11" t="str"/>
      <x:c r="P186" s="11" t="n">
        <x:v>0.21933333333333332</x:v>
      </x:c>
      <x:c r="Q186" s="11" t="n">
        <x:v>11.9</x:v>
      </x:c>
      <x:c r="R186" s="11" t="str">
        <x:v>cspc-v1-core-cash-assetgroups</x:v>
      </x:c>
      <x:c r="S186" s="11" t="str">
        <x:v>2026-10-10</x:v>
      </x:c>
      <x:c r="T186" s="11" t="str">
        <x:f>IF(AND(SUM(IF(K186='假设'!E246,0,1),IF(L186='假设'!F246,0,1),IF(M186='假设'!G246,0,1),IF(N186='假设'!H246,0,1),IF(O186='假设'!I246,0,1),IF(P186='假设'!J246,0,1),IF(Q186='假设'!K246,0,1))=0,U186=V186),"已刷新","待刷新")</x:f>
        <x:v>已刷新</x:v>
      </x:c>
      <x:c r="U186" t="str">
        <x:v>43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  <x:c r="V186" t="str">
        <x:f>'假设'!N246&amp;"|"&amp;'管线假设'!E106&amp;"|"&amp;'管线假设'!F106&amp;"|"&amp;'管线假设'!G106&amp;"|"&amp;'管线假设'!H106&amp;"|"&amp;'管线假设'!I106&amp;"|"&amp;'管线假设'!E110&amp;"|"&amp;'管线假设'!F110&amp;"|"&amp;'管线假设'!G110&amp;"|"&amp;'管线假设'!H110&amp;"|"&amp;'管线假设'!I110&amp;"|"&amp;'管线假设'!E114&amp;"|"&amp;'管线假设'!F114&amp;"|"&amp;'管线假设'!G114&amp;"|"&amp;'管线假设'!H114&amp;"|"&amp;'管线假设'!I114&amp;"|"&amp;'管线假设'!E118&amp;"|"&amp;'管线假设'!F118&amp;"|"&amp;'管线假设'!G118&amp;"|"&amp;'管线假设'!H118&amp;"|"&amp;'管线假设'!I118&amp;"|"&amp;'管线假设'!E122&amp;"|"&amp;'管线假设'!F122&amp;"|"&amp;'管线假设'!G122&amp;"|"&amp;'管线假设'!H122&amp;"|"&amp;'管线假设'!I122&amp;"|"&amp;'管线假设'!E126&amp;"|"&amp;'管线假设'!F126&amp;"|"&amp;'管线假设'!G126&amp;"|"&amp;'管线假设'!H126&amp;"|"&amp;'管线假设'!I126&amp;"|"&amp;'管线现金流'!J395&amp;"|"&amp;'管线现金流'!AL395&amp;"|"&amp;'管线现金流'!J396&amp;"|"&amp;'管线现金流'!AL396&amp;"|"&amp;'管线现金流'!J397&amp;"|"&amp;'管线现金流'!AL397&amp;"|"&amp;'管线现金流'!J398&amp;"|"&amp;'管线现金流'!AL398&amp;"|"&amp;'管线现金流'!J399&amp;"|"&amp;'管线现金流'!AL399&amp;"|"&amp;'管线现金流'!J400&amp;"|"&amp;'管线现金流'!AL400&amp;"|"&amp;'管线现金流'!J401&amp;"|"&amp;'管线现金流'!AL401&amp;"|"&amp;'管线现金流'!J402&amp;"|"&amp;'管线现金流'!AL402&amp;"|"&amp;'管线现金流'!J403&amp;"|"&amp;'管线现金流'!AL403&amp;"|"&amp;'管线现金流'!J404&amp;"|"&amp;'管线现金流'!AL404&amp;"|"&amp;'管线现金流'!J405&amp;"|"&amp;'管线现金流'!AL405&amp;"|"&amp;'管线现金流'!J406&amp;"|"&amp;'管线现金流'!AL406&amp;"|"&amp;'管线现金流'!J407&amp;"|"&amp;'管线现金流'!AL407&amp;"|"&amp;'管线现金流'!J408&amp;"|"&amp;'管线现金流'!AL408&amp;"|"&amp;'管线现金流'!J409&amp;"|"&amp;'管线现金流'!AL409&amp;"|"&amp;'管线现金流'!J410&amp;"|"&amp;'管线现金流'!AL410&amp;"|"&amp;'管线现金流'!J411&amp;"|"&amp;'管线现金流'!AL411&amp;"|"&amp;'管线现金流'!J412&amp;"|"&amp;'管线现金流'!AL412&amp;"|"&amp;'管线现金流'!J413&amp;"|"&amp;'管线现金流'!AL413&amp;"|"&amp;'管线现金流'!J414&amp;"|"&amp;'管线现金流'!AL414&amp;"|"&amp;'管线现金流'!J415&amp;"|"&amp;'管线现金流'!AL415&amp;"|"&amp;'管线现金流'!J416&amp;"|"&amp;'管线现金流'!AL416&amp;"|"&amp;'管线现金流'!J417&amp;"|"&amp;'管线现金流'!AL417&amp;"|"&amp;'管线现金流'!J418&amp;"|"&amp;'管线现金流'!AL418&amp;"|"&amp;'管线现金流'!J419&amp;"|"&amp;'管线现金流'!AL419&amp;"|"&amp;'管线现金流'!J420&amp;"|"&amp;'管线现金流'!AL420&amp;"|"&amp;'管线现金流'!J421&amp;"|"&amp;'管线现金流'!AL421&amp;"|"&amp;'管线现金流'!J422&amp;"|"&amp;'管线现金流'!AL422&amp;"|"&amp;'管线现金流'!J423&amp;"|"&amp;'管线现金流'!AL423&amp;"|"&amp;'管线现金流'!J424&amp;"|"&amp;'管线现金流'!AL424&amp;"|"&amp;'管线现金流'!J425&amp;"|"&amp;'管线现金流'!AL425&amp;"|"&amp;'管线现金流'!J426&amp;"|"&amp;'管线现金流'!AL426&amp;"|"&amp;'管线现金流'!J427&amp;"|"&amp;'管线现金流'!AL427&amp;"|"&amp;'管线现金流'!J428&amp;"|"&amp;'管线现金流'!AL428&amp;"|"&amp;'管线现金流'!J429&amp;"|"&amp;'管线现金流'!AL429&amp;"|"&amp;'管线现金流'!J430&amp;"|"&amp;'管线现金流'!AL430&amp;"|"&amp;'管线现金流'!J431&amp;"|"&amp;'管线现金流'!AL431&amp;"|"&amp;'管线现金流'!J432&amp;"|"&amp;'管线现金流'!AL432&amp;"|"&amp;'管线现金流'!J433&amp;"|"&amp;'管线现金流'!AL433&amp;"|"&amp;'管线现金流'!J434&amp;"|"&amp;'管线现金流'!AL434&amp;"|"&amp;'管线现金流'!J435&amp;"|"&amp;'管线现金流'!AL435&amp;"|"&amp;'管线现金流'!J436&amp;"|"&amp;'管线现金流'!AL436&amp;"|"&amp;'管线现金流'!J437&amp;"|"&amp;'管线现金流'!AL437&amp;"|"&amp;'管线现金流'!J438&amp;"|"&amp;'管线现金流'!AL438&amp;"|"&amp;'管线现金流'!J439&amp;"|"&amp;'管线现金流'!AL439&amp;"|"&amp;'管线现金流'!J440&amp;"|"&amp;'管线现金流'!AL440&amp;"|"&amp;'管线现金流'!J441&amp;"|"&amp;'管线现金流'!AL441&amp;"|"&amp;'管线现金流'!J442&amp;"|"&amp;'管线现金流'!AL442&amp;"|"&amp;'管线现金流'!J443&amp;"|"&amp;'管线现金流'!AL443&amp;"|"&amp;'管线现金流'!J444&amp;"|"&amp;'管线现金流'!AL444&amp;"|"&amp;'管线现金流'!J445&amp;"|"&amp;'管线现金流'!AL445&amp;"|"&amp;'管线现金流'!J446&amp;"|"&amp;'管线现金流'!AL446&amp;"|"&amp;'管线现金流'!J447&amp;"|"&amp;'管线现金流'!AL447&amp;"|"&amp;'管线现金流'!J448&amp;"|"&amp;'管线现金流'!AL448&amp;"|"&amp;'管线现金流'!J449&amp;"|"&amp;'管线现金流'!AL449&amp;"|"&amp;'管线现金流'!J450&amp;"|"&amp;'管线现金流'!AL450&amp;"|"&amp;'管线现金流'!J451&amp;"|"&amp;'管线现金流'!AL451&amp;"|"&amp;'管线现金流'!J452&amp;"|"&amp;'管线现金流'!AL452&amp;"|"&amp;'管线现金流'!J453&amp;"|"&amp;'管线现金流'!AL453&amp;"|"&amp;'管线现金流'!J454&amp;"|"&amp;'管线现金流'!AL454&amp;"|"&amp;'管线现金流'!J455&amp;"|"&amp;'管线现金流'!AL455&amp;"|"&amp;'管线现金流'!J456&amp;"|"&amp;'管线现金流'!AL456&amp;"|"&amp;'管线现金流'!J457&amp;"|"&amp;'管线现金流'!AL457&amp;"|"&amp;'管线现金流'!J458&amp;"|"&amp;'管线现金流'!AL458&amp;"|"&amp;'管线现金流'!J459&amp;"|"&amp;'管线现金流'!AL459&amp;"|"&amp;'管线现金流'!J460&amp;"|"&amp;'管线现金流'!AL460&amp;"|"&amp;'管线现金流'!J461&amp;"|"&amp;'管线现金流'!AL461&amp;"|"&amp;'管线现金流'!J462&amp;"|"&amp;'管线现金流'!AL462&amp;"|"&amp;'管线现金流'!J463&amp;"|"&amp;'管线现金流'!AL463&amp;"|"&amp;'管线现金流'!J464&amp;"|"&amp;'管线现金流'!AL464&amp;"|"&amp;'管线现金流'!J465&amp;"|"&amp;'管线现金流'!AL465&amp;"|"&amp;'管线现金流'!J466&amp;"|"&amp;'管线现金流'!AL466&amp;"|"&amp;'管线现金流'!J467&amp;"|"&amp;'管线现金流'!AL467&amp;"|"&amp;'管线现金流'!J468&amp;"|"&amp;'管线现金流'!AL468&amp;"|"&amp;'管线现金流'!J469&amp;"|"&amp;'管线现金流'!AL469&amp;"|"&amp;'管线现金流'!J470&amp;"|"&amp;'管线现金流'!AL470&amp;"|"&amp;'管线现金流'!J471&amp;"|"&amp;'管线现金流'!AL471&amp;"|"&amp;'管线现金流'!J472&amp;"|"&amp;'管线现金流'!AL472&amp;"|"&amp;'管线现金流'!J473&amp;"|"&amp;'管线现金流'!AL473&amp;"|"&amp;'管线现金流'!J474&amp;"|"&amp;'管线现金流'!AL474&amp;"|"&amp;'管线现金流'!J475&amp;"|"&amp;'管线现金流'!AL475&amp;"|"&amp;'管线现金流'!J476&amp;"|"&amp;'管线现金流'!AL476&amp;"|"&amp;'管线现金流'!J477&amp;"|"&amp;'管线现金流'!AL477&amp;"|"&amp;'管线现金流'!J478&amp;"|"&amp;'管线现金流'!AL478&amp;"|"&amp;'管线现金流'!J479&amp;"|"&amp;'管线现金流'!AL479&amp;"|"&amp;'管线现金流'!J480&amp;"|"&amp;'管线现金流'!AL480&amp;"|"&amp;'管线现金流'!J481&amp;"|"&amp;'管线现金流'!AL481&amp;"|"&amp;'管线现金流'!J482&amp;"|"&amp;'管线现金流'!AL482&amp;"|"&amp;'管线现金流'!J483&amp;"|"&amp;'管线现金流'!AL483&amp;"|"&amp;'管线现金流'!J484&amp;"|"&amp;'管线现金流'!AL484&amp;"|"&amp;'管线现金流'!J485&amp;"|"&amp;'管线现金流'!AL485&amp;"|"&amp;'管线现金流'!J486&amp;"|"&amp;'管线现金流'!AL486&amp;"|"&amp;'管线现金流'!J487&amp;"|"&amp;'管线现金流'!AL487&amp;"|"&amp;'管线现金流'!J488&amp;"|"&amp;'管线现金流'!AL488&amp;"|"&amp;'管线现金流'!J489&amp;"|"&amp;'管线现金流'!AL489&amp;"|"&amp;'管线现金流'!J490&amp;"|"&amp;'管线现金流'!AL490&amp;"|"&amp;'管线现金流'!J491&amp;"|"&amp;'管线现金流'!AL491&amp;"|"&amp;'管线现金流'!W19&amp;"|"&amp;'管线现金流'!Z19&amp;"|"&amp;'管线现金流'!AQ19&amp;"|"&amp;'管线现金流'!AT19&amp;"|"&amp;'管线现金流'!W20&amp;"|"&amp;'管线现金流'!Z20&amp;"|"&amp;'管线现金流'!AQ20&amp;"|"&amp;'管线现金流'!AT20&amp;"|"&amp;'管线现金流'!W21&amp;"|"&amp;'管线现金流'!Z21&amp;"|"&amp;'管线现金流'!AQ21&amp;"|"&amp;'管线现金流'!AT21</x:f>
        <x:v>43|0.88|0.24|0.97|0.11|7|0.82|0.22|0.95|0.11|7|0.88|0.2|0.95|0.11|7|0.88|0.21|0.95|0.11|7|0.35|0.144|0.95|0.11|7|0.28|0.08000000000000002|0.95|0.11|7|0.72|0|2.25|0|4.05|0|5.8500000000000005|0|7.6499999999999995|0|9|0|9|0|8.549999999999999|0|7.92|0|6.75|0|5.3999999999999995|0|4.05|0|2.6999999999999997|0|1.6199999999999999|0|0.9|0|0.45|0|0.45|0|0.384|0|1.2|0|2.16|0|3.12|0|4.08|0|4.8|0|4.8|0|4.56|0|4.224|0|3.5999999999999996|0|2.88|0|2.16|0|1.44|0|0.864|0|0.48|0|0.24|0|0.24|0|0.48|0|1.5|0|2.7|0|3.9000000000000004|0|5.1|0|6|0|6|0|5.699999999999999|0|5.28|0|4.5|0|3.5999999999999996|0|2.7|0|1.7999999999999998|0|1.08|0|0.6000000000000001|0|0.30000000000000004|0|0.30000000000000004|0|0.256|0|0.8|0|1.4400000000000002|0|2.08|0|2.72|0|3.2|0|3.2|0|3.04|0|2.8160000000000003|0|2.4000000000000004|0|1.92|0|1.4400000000000002|0|0.96|0|0.576|0|0.32000000000000006|0|0.16000000000000003|0|0.16000000000000003|0|1.6|0|5|0|9|0|13|0|17|0|20|0|20|0|19|0|17.6|0|15|0|12|0|9|0|6|0|3.5999999999999996|0|2|0|0.72|0|2.25|0|4.05|0|5.8500000000000005|0|7.6499999999999995|0|9|0|9|0|8.549999999999999|0|7.92|0|6.75|0|5.3999999999999995|0|4.05|0|2.6999999999999997|0|1.6199999999999999|0|0.3|0.8|0.8|0.9|0.7|0.6|0.8|0.9|1.5|0.4|0.8|0.9</x:v>
      </x:c>
    </x:row>
    <x:row r="187" ht="23" customHeight="1">
      <x:c r="A187" s="11" t="str">
        <x:v>688192.SH</x:v>
      </x:c>
      <x:c r="B187" s="11" t="str">
        <x:v>迪哲医药</x:v>
      </x:c>
      <x:c r="C187" s="11" t="str">
        <x:v>2026年底</x:v>
      </x:c>
      <x:c r="D187" s="11" t="str">
        <x:v>悲观</x:v>
      </x:c>
      <x:c r="E187" s="11" t="n">
        <x:v>59.95</x:v>
      </x:c>
      <x:c r="F187" s="11" t="n">
        <x:v>5.329127488541143</x:v>
      </x:c>
      <x:c r="G187" s="11" t="n">
        <x:v>0</x:v>
      </x:c>
      <x:c r="H187" s="25" t="n">
        <x:v>-0.9111071311335923</x:v>
      </x:c>
      <x:c r="I187" s="25" t="n">
        <x:v>-0.9111071311335923</x:v>
      </x:c>
      <x:c r="J187" s="25" t="str"/>
      <x:c r="K187" s="11" t="n">
        <x:v>0</x:v>
      </x:c>
      <x:c r="L187" s="11" t="n">
        <x:v>0</x:v>
      </x:c>
      <x:c r="M187" s="11" t="n">
        <x:v>1</x:v>
      </x:c>
      <x:c r="N187" s="11" t="n">
        <x:v>0</x:v>
      </x:c>
      <x:c r="O187" s="11" t="n">
        <x:v>0</x:v>
      </x:c>
      <x:c r="P187" s="11" t="n">
        <x:v>0</x:v>
      </x:c>
      <x:c r="Q187" s="11" t="n">
        <x:v>0.49</x:v>
      </x:c>
      <x:c r="R187" s="11" t="str">
        <x:v>dizal-rnpv-v1.0</x:v>
      </x:c>
      <x:c r="S187" s="11" t="str">
        <x:v>2026-10-10</x:v>
      </x:c>
      <x:c r="T187" s="11" t="str">
        <x:f>IF(AND(SUM(IF(K187='假设'!E248,0,1),IF(L187='假设'!F248,0,1),IF(M187='假设'!G248,0,1),IF(N187='假设'!H248,0,1),IF(O187='假设'!I248,0,1),IF(P187='假设'!J248,0,1),IF(Q187='假设'!K248,0,1))=0,U187=V187),"已刷新","待刷新")</x:f>
        <x:v>已刷新</x:v>
      </x:c>
      <x:c r="U187" t="str">
        <x:v>3.7|2.7|1|0.064|1|0.16|6.8|0.44999999999999996|0.064|1|0.16|6.8|1|0.22|1|0.16|6.8|0.15000000000000002|0.22|1|0.16|6.8|0.06000000000000005|0.2|1|0.16|6.8|0.17999999999999994|0.22|1|0.16|6.8|0.09999999999999998|0.22|1|0.16|6.8|0.09999999999999998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  <x:c r="V187" t="str">
        <x:f>'假设'!N248&amp;"|"&amp;'假设'!Q248&amp;"|"&amp;'管线假设'!E128&amp;"|"&amp;'管线假设'!F128&amp;"|"&amp;'管线假设'!G128&amp;"|"&amp;'管线假设'!H128&amp;"|"&amp;'管线假设'!I128&amp;"|"&amp;'管线假设'!E132&amp;"|"&amp;'管线假设'!F132&amp;"|"&amp;'管线假设'!G132&amp;"|"&amp;'管线假设'!H132&amp;"|"&amp;'管线假设'!I132&amp;"|"&amp;'管线假设'!E136&amp;"|"&amp;'管线假设'!F136&amp;"|"&amp;'管线假设'!G136&amp;"|"&amp;'管线假设'!H136&amp;"|"&amp;'管线假设'!I136&amp;"|"&amp;'管线假设'!E140&amp;"|"&amp;'管线假设'!F140&amp;"|"&amp;'管线假设'!G140&amp;"|"&amp;'管线假设'!H140&amp;"|"&amp;'管线假设'!I140&amp;"|"&amp;'管线假设'!E144&amp;"|"&amp;'管线假设'!F144&amp;"|"&amp;'管线假设'!G144&amp;"|"&amp;'管线假设'!H144&amp;"|"&amp;'管线假设'!I144&amp;"|"&amp;'管线假设'!E148&amp;"|"&amp;'管线假设'!F148&amp;"|"&amp;'管线假设'!G148&amp;"|"&amp;'管线假设'!H148&amp;"|"&amp;'管线假设'!I148&amp;"|"&amp;'管线假设'!E152&amp;"|"&amp;'管线假设'!F152&amp;"|"&amp;'管线假设'!G152&amp;"|"&amp;'管线假设'!H152&amp;"|"&amp;'管线假设'!I152&amp;"|"&amp;'管线假设'!E156&amp;"|"&amp;'管线假设'!F156&amp;"|"&amp;'管线假设'!G156&amp;"|"&amp;'管线假设'!H156&amp;"|"&amp;'管线假设'!I156&amp;"|"&amp;'管线现金流'!H492&amp;"|"&amp;'管线现金流'!AJ492&amp;"|"&amp;'管线现金流'!H493&amp;"|"&amp;'管线现金流'!AJ493&amp;"|"&amp;'管线现金流'!H494&amp;"|"&amp;'管线现金流'!AJ494&amp;"|"&amp;'管线现金流'!H495&amp;"|"&amp;'管线现金流'!AJ495&amp;"|"&amp;'管线现金流'!H496&amp;"|"&amp;'管线现金流'!AJ496&amp;"|"&amp;'管线现金流'!H497&amp;"|"&amp;'管线现金流'!AJ497&amp;"|"&amp;'管线现金流'!H498&amp;"|"&amp;'管线现金流'!AJ498&amp;"|"&amp;'管线现金流'!H499&amp;"|"&amp;'管线现金流'!AJ499&amp;"|"&amp;'管线现金流'!H500&amp;"|"&amp;'管线现金流'!AJ500&amp;"|"&amp;'管线现金流'!H501&amp;"|"&amp;'管线现金流'!AJ501&amp;"|"&amp;'管线现金流'!H502&amp;"|"&amp;'管线现金流'!AJ502&amp;"|"&amp;'管线现金流'!H503&amp;"|"&amp;'管线现金流'!AJ503&amp;"|"&amp;'管线现金流'!H504&amp;"|"&amp;'管线现金流'!AJ504&amp;"|"&amp;'管线现金流'!H505&amp;"|"&amp;'管线现金流'!AJ505&amp;"|"&amp;'管线现金流'!H506&amp;"|"&amp;'管线现金流'!AJ506&amp;"|"&amp;'管线现金流'!H507&amp;"|"&amp;'管线现金流'!AJ507&amp;"|"&amp;'管线现金流'!H508&amp;"|"&amp;'管线现金流'!AJ508&amp;"|"&amp;'管线现金流'!H509&amp;"|"&amp;'管线现金流'!AJ509&amp;"|"&amp;'管线现金流'!H510&amp;"|"&amp;'管线现金流'!AJ510&amp;"|"&amp;'管线现金流'!H511&amp;"|"&amp;'管线现金流'!AJ511&amp;"|"&amp;'管线现金流'!H512&amp;"|"&amp;'管线现金流'!AJ512&amp;"|"&amp;'管线现金流'!H513&amp;"|"&amp;'管线现金流'!AJ513&amp;"|"&amp;'管线现金流'!H514&amp;"|"&amp;'管线现金流'!AJ514&amp;"|"&amp;'管线现金流'!H515&amp;"|"&amp;'管线现金流'!AJ515&amp;"|"&amp;'管线现金流'!H516&amp;"|"&amp;'管线现金流'!AJ516&amp;"|"&amp;'管线现金流'!H517&amp;"|"&amp;'管线现金流'!AJ517&amp;"|"&amp;'管线现金流'!H518&amp;"|"&amp;'管线现金流'!AJ518&amp;"|"&amp;'管线现金流'!H519&amp;"|"&amp;'管线现金流'!AJ519&amp;"|"&amp;'管线现金流'!H520&amp;"|"&amp;'管线现金流'!AJ520&amp;"|"&amp;'管线现金流'!H521&amp;"|"&amp;'管线现金流'!AJ521&amp;"|"&amp;'管线现金流'!H522&amp;"|"&amp;'管线现金流'!AJ522&amp;"|"&amp;'管线现金流'!H523&amp;"|"&amp;'管线现金流'!AJ523&amp;"|"&amp;'管线现金流'!H524&amp;"|"&amp;'管线现金流'!AJ524&amp;"|"&amp;'管线现金流'!H525&amp;"|"&amp;'管线现金流'!AJ525&amp;"|"&amp;'管线现金流'!H526&amp;"|"&amp;'管线现金流'!AJ526&amp;"|"&amp;'管线现金流'!H527&amp;"|"&amp;'管线现金流'!AJ527&amp;"|"&amp;'管线现金流'!H528&amp;"|"&amp;'管线现金流'!AJ528&amp;"|"&amp;'管线现金流'!H529&amp;"|"&amp;'管线现金流'!AJ529&amp;"|"&amp;'管线现金流'!H530&amp;"|"&amp;'管线现金流'!AJ530&amp;"|"&amp;'管线现金流'!H531&amp;"|"&amp;'管线现金流'!AJ531&amp;"|"&amp;'管线现金流'!H532&amp;"|"&amp;'管线现金流'!AJ532&amp;"|"&amp;'管线现金流'!H533&amp;"|"&amp;'管线现金流'!AJ533&amp;"|"&amp;'管线现金流'!H534&amp;"|"&amp;'管线现金流'!AJ534&amp;"|"&amp;'管线现金流'!H535&amp;"|"&amp;'管线现金流'!AJ535&amp;"|"&amp;'管线现金流'!H536&amp;"|"&amp;'管线现金流'!AJ536&amp;"|"&amp;'管线现金流'!H537&amp;"|"&amp;'管线现金流'!AJ537&amp;"|"&amp;'管线现金流'!H538&amp;"|"&amp;'管线现金流'!AJ538&amp;"|"&amp;'管线现金流'!H539&amp;"|"&amp;'管线现金流'!AJ539&amp;"|"&amp;'管线现金流'!H540&amp;"|"&amp;'管线现金流'!AJ540&amp;"|"&amp;'管线现金流'!H541&amp;"|"&amp;'管线现金流'!AJ541&amp;"|"&amp;'管线现金流'!H542&amp;"|"&amp;'管线现金流'!AJ542&amp;"|"&amp;'管线现金流'!H543&amp;"|"&amp;'管线现金流'!AJ543&amp;"|"&amp;'管线现金流'!H544&amp;"|"&amp;'管线现金流'!AJ544&amp;"|"&amp;'管线现金流'!H545&amp;"|"&amp;'管线现金流'!AJ545&amp;"|"&amp;'管线现金流'!H546&amp;"|"&amp;'管线现金流'!AJ546&amp;"|"&amp;'管线现金流'!H547&amp;"|"&amp;'管线现金流'!AJ547&amp;"|"&amp;'管线现金流'!H548&amp;"|"&amp;'管线现金流'!AJ548&amp;"|"&amp;'管线现金流'!H549&amp;"|"&amp;'管线现金流'!AJ549&amp;"|"&amp;'管线现金流'!H550&amp;"|"&amp;'管线现金流'!AJ550&amp;"|"&amp;'管线现金流'!H551&amp;"|"&amp;'管线现金流'!AJ551&amp;"|"&amp;'管线现金流'!H552&amp;"|"&amp;'管线现金流'!AJ552&amp;"|"&amp;'管线现金流'!H553&amp;"|"&amp;'管线现金流'!AJ553&amp;"|"&amp;'管线现金流'!H554&amp;"|"&amp;'管线现金流'!AJ554&amp;"|"&amp;'管线现金流'!H555&amp;"|"&amp;'管线现金流'!AJ555&amp;"|"&amp;'管线现金流'!H556&amp;"|"&amp;'管线现金流'!AJ556&amp;"|"&amp;'管线现金流'!H557&amp;"|"&amp;'管线现金流'!AJ557&amp;"|"&amp;'管线现金流'!H558&amp;"|"&amp;'管线现金流'!AJ558&amp;"|"&amp;'管线现金流'!H559&amp;"|"&amp;'管线现金流'!AJ559&amp;"|"&amp;'管线现金流'!H560&amp;"|"&amp;'管线现金流'!AJ560&amp;"|"&amp;'管线现金流'!H561&amp;"|"&amp;'管线现金流'!AJ561&amp;"|"&amp;'管线现金流'!H562&amp;"|"&amp;'管线现金流'!AJ562&amp;"|"&amp;'管线现金流'!H563&amp;"|"&amp;'管线现金流'!AJ563&amp;"|"&amp;'管线现金流'!H564&amp;"|"&amp;'管线现金流'!AJ564&amp;"|"&amp;'管线现金流'!H565&amp;"|"&amp;'管线现金流'!AJ565&amp;"|"&amp;'管线现金流'!H566&amp;"|"&amp;'管线现金流'!AJ566&amp;"|"&amp;'管线现金流'!H567&amp;"|"&amp;'管线现金流'!AJ567&amp;"|"&amp;'管线现金流'!H568&amp;"|"&amp;'管线现金流'!AJ568&amp;"|"&amp;'管线现金流'!H569&amp;"|"&amp;'管线现金流'!AJ569&amp;"|"&amp;'管线现金流'!H570&amp;"|"&amp;'管线现金流'!AJ570&amp;"|"&amp;'管线现金流'!H571&amp;"|"&amp;'管线现金流'!AJ571&amp;"|"&amp;'管线现金流'!H572&amp;"|"&amp;'管线现金流'!AJ572&amp;"|"&amp;'管线现金流'!H573&amp;"|"&amp;'管线现金流'!AJ573&amp;"|"&amp;'管线现金流'!H574&amp;"|"&amp;'管线现金流'!AJ574&amp;"|"&amp;'管线现金流'!H575&amp;"|"&amp;'管线现金流'!AJ575&amp;"|"&amp;'管线现金流'!H576&amp;"|"&amp;'管线现金流'!AJ576&amp;"|"&amp;'管线现金流'!H577&amp;"|"&amp;'管线现金流'!AJ577&amp;"|"&amp;'管线现金流'!H578&amp;"|"&amp;'管线现金流'!AJ578&amp;"|"&amp;'管线现金流'!H579&amp;"|"&amp;'管线现金流'!AJ579&amp;"|"&amp;'管线现金流'!H580&amp;"|"&amp;'管线现金流'!AJ580&amp;"|"&amp;'管线现金流'!H581&amp;"|"&amp;'管线现金流'!AJ581&amp;"|"&amp;'管线现金流'!H582&amp;"|"&amp;'管线现金流'!AJ582&amp;"|"&amp;'管线现金流'!H583&amp;"|"&amp;'管线现金流'!AJ583&amp;"|"&amp;'管线现金流'!H584&amp;"|"&amp;'管线现金流'!AJ584&amp;"|"&amp;'管线现金流'!H585&amp;"|"&amp;'管线现金流'!AJ585&amp;"|"&amp;'管线现金流'!H586&amp;"|"&amp;'管线现金流'!AJ586&amp;"|"&amp;'管线现金流'!H587&amp;"|"&amp;'管线现金流'!AJ587&amp;"|"&amp;'管线现金流'!H588&amp;"|"&amp;'管线现金流'!AJ588&amp;"|"&amp;'管线现金流'!H589&amp;"|"&amp;'管线现金流'!AJ589&amp;"|"&amp;'管线现金流'!H590&amp;"|"&amp;'管线现金流'!AJ590&amp;"|"&amp;'管线现金流'!H591&amp;"|"&amp;'管线现金流'!AJ591&amp;"|"&amp;'管线现金流'!H592&amp;"|"&amp;'管线现金流'!AJ592&amp;"|"&amp;'管线现金流'!H593&amp;"|"&amp;'管线现金流'!AJ593&amp;"|"&amp;'管线现金流'!H594&amp;"|"&amp;'管线现金流'!AJ594&amp;"|"&amp;'管线现金流'!H595&amp;"|"&amp;'管线现金流'!AJ595&amp;"|"&amp;'管线现金流'!H596&amp;"|"&amp;'管线现金流'!AJ596&amp;"|"&amp;'管线现金流'!H597&amp;"|"&amp;'管线现金流'!AJ597&amp;"|"&amp;'管线现金流'!H598&amp;"|"&amp;'管线现金流'!AJ598&amp;"|"&amp;'管线现金流'!H599&amp;"|"&amp;'管线现金流'!AJ599&amp;"|"&amp;'管线现金流'!H600&amp;"|"&amp;'管线现金流'!AJ600&amp;"|"&amp;'管线现金流'!H601&amp;"|"&amp;'管线现金流'!AJ601&amp;"|"&amp;'管线现金流'!H602&amp;"|"&amp;'管线现金流'!AJ602&amp;"|"&amp;'管线现金流'!H603&amp;"|"&amp;'管线现金流'!AJ603&amp;"|"&amp;'管线现金流'!H604&amp;"|"&amp;'管线现金流'!AJ604&amp;"|"&amp;'管线现金流'!H605&amp;"|"&amp;'管线现金流'!AJ605&amp;"|"&amp;'管线现金流'!H606&amp;"|"&amp;'管线现金流'!AJ606&amp;"|"&amp;'管线现金流'!H607&amp;"|"&amp;'管线现金流'!AJ607&amp;"|"&amp;'管线现金流'!H608&amp;"|"&amp;'管线现金流'!AJ608&amp;"|"&amp;'管线现金流'!H609&amp;"|"&amp;'管线现金流'!AJ609&amp;"|"&amp;'管线现金流'!H610&amp;"|"&amp;'管线现金流'!AJ610&amp;"|"&amp;'管线现金流'!H611&amp;"|"&amp;'管线现金流'!AJ611&amp;"|"&amp;'管线现金流'!H612&amp;"|"&amp;'管线现金流'!AJ612&amp;"|"&amp;'管线现金流'!H613&amp;"|"&amp;'管线现金流'!AJ613&amp;"|"&amp;'管线现金流'!H614&amp;"|"&amp;'管线现金流'!AJ614&amp;"|"&amp;'管线现金流'!H615&amp;"|"&amp;'管线现金流'!AJ615&amp;"|"&amp;'管线现金流'!H616&amp;"|"&amp;'管线现金流'!AJ616&amp;"|"&amp;'管线现金流'!H617&amp;"|"&amp;'管线现金流'!AJ617&amp;"|"&amp;'管线现金流'!H618&amp;"|"&amp;'管线现金流'!AJ618&amp;"|"&amp;'管线现金流'!H619&amp;"|"&amp;'管线现金流'!AJ619&amp;"|"&amp;'管线现金流'!H620&amp;"|"&amp;'管线现金流'!AJ620&amp;"|"&amp;'管线现金流'!H621&amp;"|"&amp;'管线现金流'!AJ621&amp;"|"&amp;'管线现金流'!H622&amp;"|"&amp;'管线现金流'!AJ622&amp;"|"&amp;'管线现金流'!H623&amp;"|"&amp;'管线现金流'!AJ623&amp;"|"&amp;'管线现金流'!H624&amp;"|"&amp;'管线现金流'!AJ624&amp;"|"&amp;'管线现金流'!H625&amp;"|"&amp;'管线现金流'!AJ625&amp;"|"&amp;'管线现金流'!H626&amp;"|"&amp;'管线现金流'!AJ626&amp;"|"&amp;'管线现金流'!H627&amp;"|"&amp;'管线现金流'!AJ627&amp;"|"&amp;'管线现金流'!H628&amp;"|"&amp;'管线现金流'!AJ628&amp;"|"&amp;'管线现金流'!H629&amp;"|"&amp;'管线现金流'!AJ629&amp;"|"&amp;'管线现金流'!H630&amp;"|"&amp;'管线现金流'!AJ630&amp;"|"&amp;'管线现金流'!H631&amp;"|"&amp;'管线现金流'!AJ631&amp;"|"&amp;'管线现金流'!H632&amp;"|"&amp;'管线现金流'!AJ632&amp;"|"&amp;'管线现金流'!H633&amp;"|"&amp;'管线现金流'!AJ633&amp;"|"&amp;'管线现金流'!H634&amp;"|"&amp;'管线现金流'!AJ634&amp;"|"&amp;'管线现金流'!H635&amp;"|"&amp;'管线现金流'!AJ635&amp;"|"&amp;'管线现金流'!H636&amp;"|"&amp;'管线现金流'!AJ636&amp;"|"&amp;'管线现金流'!H637&amp;"|"&amp;'管线现金流'!AJ637&amp;"|"&amp;'管线现金流'!H638&amp;"|"&amp;'管线现金流'!AJ638&amp;"|"&amp;'管线现金流'!H639&amp;"|"&amp;'管线现金流'!AJ639&amp;"|"&amp;'管线现金流'!H640&amp;"|"&amp;'管线现金流'!AJ640&amp;"|"&amp;'管线现金流'!H641&amp;"|"&amp;'管线现金流'!AJ641&amp;"|"&amp;'管线现金流'!H642&amp;"|"&amp;'管线现金流'!AJ642&amp;"|"&amp;'管线现金流'!H643&amp;"|"&amp;'管线现金流'!AJ643&amp;"|"&amp;'管线现金流'!U22&amp;"|"&amp;'管线现金流'!X22&amp;"|"&amp;'管线现金流'!AO22&amp;"|"&amp;'管线现金流'!AR22</x:f>
        <x:v>3.7|2.7|1|0.064|1|0.16|6.8|0.44999999999999996|0.064|1|0.16|6.8|1|0.22|1|0.16|6.8|0.15000000000000002|0.22|1|0.16|6.8|0.06000000000000005|0.2|1|0.16|6.8|0.17999999999999994|0.22|1|0.16|6.8|0.09999999999999998|0.22|1|0.16|6.8|0.09999999999999998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</x:row>
    <x:row r="188" ht="23" customHeight="1">
      <x:c r="A188" s="11" t="str">
        <x:v>688192.SH</x:v>
      </x:c>
      <x:c r="B188" s="11" t="str">
        <x:v>迪哲医药</x:v>
      </x:c>
      <x:c r="C188" s="11" t="str">
        <x:v>2026年底</x:v>
      </x:c>
      <x:c r="D188" s="11" t="str">
        <x:v>基准</x:v>
      </x:c>
      <x:c r="E188" s="11" t="n">
        <x:v>59.95</x:v>
      </x:c>
      <x:c r="F188" s="11" t="n">
        <x:v>40.38318215729995</x:v>
      </x:c>
      <x:c r="G188" s="11" t="n">
        <x:v>0</x:v>
      </x:c>
      <x:c r="H188" s="25" t="n">
        <x:v>-0.32638561872727356</x:v>
      </x:c>
      <x:c r="I188" s="25" t="n">
        <x:v>-0.32638561872727356</x:v>
      </x:c>
      <x:c r="J188" s="25" t="str"/>
      <x:c r="K188" s="11" t="n">
        <x:v>0</x:v>
      </x:c>
      <x:c r="L188" s="11" t="n">
        <x:v>0</x:v>
      </x:c>
      <x:c r="M188" s="11" t="n">
        <x:v>1</x:v>
      </x:c>
      <x:c r="N188" s="11" t="n">
        <x:v>0</x:v>
      </x:c>
      <x:c r="O188" s="11" t="n">
        <x:v>0</x:v>
      </x:c>
      <x:c r="P188" s="11" t="n">
        <x:v>0</x:v>
      </x:c>
      <x:c r="Q188" s="11" t="n">
        <x:v>0.48</x:v>
      </x:c>
      <x:c r="R188" s="11" t="str">
        <x:v>dizal-rnpv-v1.0</x:v>
      </x:c>
      <x:c r="S188" s="11" t="str">
        <x:v>2026-10-10</x:v>
      </x:c>
      <x:c r="T188" s="11" t="str">
        <x:f>IF(AND(SUM(IF(K188='假设'!E249,0,1),IF(L188='假设'!F249,0,1),IF(M188='假设'!G249,0,1),IF(N188='假设'!H249,0,1),IF(O188='假设'!I249,0,1),IF(P188='假设'!J249,0,1),IF(Q188='假设'!K249,0,1))=0,U188=V188),"已刷新","待刷新")</x:f>
        <x:v>已刷新</x:v>
      </x:c>
      <x:c r="U188" t="str">
        <x:v>4.15|2.5|1|0.08610000000000001|1|0.125|6.8|0.78|0.08610000000000001|1|0.125|6.8|1|0.33|1|0.125|6.8|0.4|0.33|1|0.125|6.8|0.19999999999999996|0.3|1|0.125|6.8|0.48|0.32|1|0.125|6.8|0.30000000000000004|0.32|1|0.125|6.8|0.30000000000000004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  <x:c r="V188" t="str">
        <x:f>'假设'!N249&amp;"|"&amp;'假设'!Q249&amp;"|"&amp;'管线假设'!E129&amp;"|"&amp;'管线假设'!F129&amp;"|"&amp;'管线假设'!G129&amp;"|"&amp;'管线假设'!H129&amp;"|"&amp;'管线假设'!I129&amp;"|"&amp;'管线假设'!E133&amp;"|"&amp;'管线假设'!F133&amp;"|"&amp;'管线假设'!G133&amp;"|"&amp;'管线假设'!H133&amp;"|"&amp;'管线假设'!I133&amp;"|"&amp;'管线假设'!E137&amp;"|"&amp;'管线假设'!F137&amp;"|"&amp;'管线假设'!G137&amp;"|"&amp;'管线假设'!H137&amp;"|"&amp;'管线假设'!I137&amp;"|"&amp;'管线假设'!E141&amp;"|"&amp;'管线假设'!F141&amp;"|"&amp;'管线假设'!G141&amp;"|"&amp;'管线假设'!H141&amp;"|"&amp;'管线假设'!I141&amp;"|"&amp;'管线假设'!E145&amp;"|"&amp;'管线假设'!F145&amp;"|"&amp;'管线假设'!G145&amp;"|"&amp;'管线假设'!H145&amp;"|"&amp;'管线假设'!I145&amp;"|"&amp;'管线假设'!E149&amp;"|"&amp;'管线假设'!F149&amp;"|"&amp;'管线假设'!G149&amp;"|"&amp;'管线假设'!H149&amp;"|"&amp;'管线假设'!I149&amp;"|"&amp;'管线假设'!E153&amp;"|"&amp;'管线假设'!F153&amp;"|"&amp;'管线假设'!G153&amp;"|"&amp;'管线假设'!H153&amp;"|"&amp;'管线假设'!I153&amp;"|"&amp;'管线假设'!E157&amp;"|"&amp;'管线假设'!F157&amp;"|"&amp;'管线假设'!G157&amp;"|"&amp;'管线假设'!H157&amp;"|"&amp;'管线假设'!I157&amp;"|"&amp;'管线现金流'!I492&amp;"|"&amp;'管线现金流'!AK492&amp;"|"&amp;'管线现金流'!I493&amp;"|"&amp;'管线现金流'!AK493&amp;"|"&amp;'管线现金流'!I494&amp;"|"&amp;'管线现金流'!AK494&amp;"|"&amp;'管线现金流'!I495&amp;"|"&amp;'管线现金流'!AK495&amp;"|"&amp;'管线现金流'!I496&amp;"|"&amp;'管线现金流'!AK496&amp;"|"&amp;'管线现金流'!I497&amp;"|"&amp;'管线现金流'!AK497&amp;"|"&amp;'管线现金流'!I498&amp;"|"&amp;'管线现金流'!AK498&amp;"|"&amp;'管线现金流'!I499&amp;"|"&amp;'管线现金流'!AK499&amp;"|"&amp;'管线现金流'!I500&amp;"|"&amp;'管线现金流'!AK500&amp;"|"&amp;'管线现金流'!I501&amp;"|"&amp;'管线现金流'!AK501&amp;"|"&amp;'管线现金流'!I502&amp;"|"&amp;'管线现金流'!AK502&amp;"|"&amp;'管线现金流'!I503&amp;"|"&amp;'管线现金流'!AK503&amp;"|"&amp;'管线现金流'!I504&amp;"|"&amp;'管线现金流'!AK504&amp;"|"&amp;'管线现金流'!I505&amp;"|"&amp;'管线现金流'!AK505&amp;"|"&amp;'管线现金流'!I506&amp;"|"&amp;'管线现金流'!AK506&amp;"|"&amp;'管线现金流'!I507&amp;"|"&amp;'管线现金流'!AK507&amp;"|"&amp;'管线现金流'!I508&amp;"|"&amp;'管线现金流'!AK508&amp;"|"&amp;'管线现金流'!I509&amp;"|"&amp;'管线现金流'!AK509&amp;"|"&amp;'管线现金流'!I510&amp;"|"&amp;'管线现金流'!AK510&amp;"|"&amp;'管线现金流'!I511&amp;"|"&amp;'管线现金流'!AK511&amp;"|"&amp;'管线现金流'!I512&amp;"|"&amp;'管线现金流'!AK512&amp;"|"&amp;'管线现金流'!I513&amp;"|"&amp;'管线现金流'!AK513&amp;"|"&amp;'管线现金流'!I514&amp;"|"&amp;'管线现金流'!AK514&amp;"|"&amp;'管线现金流'!I515&amp;"|"&amp;'管线现金流'!AK515&amp;"|"&amp;'管线现金流'!I516&amp;"|"&amp;'管线现金流'!AK516&amp;"|"&amp;'管线现金流'!I517&amp;"|"&amp;'管线现金流'!AK517&amp;"|"&amp;'管线现金流'!I518&amp;"|"&amp;'管线现金流'!AK518&amp;"|"&amp;'管线现金流'!I519&amp;"|"&amp;'管线现金流'!AK519&amp;"|"&amp;'管线现金流'!I520&amp;"|"&amp;'管线现金流'!AK520&amp;"|"&amp;'管线现金流'!I521&amp;"|"&amp;'管线现金流'!AK521&amp;"|"&amp;'管线现金流'!I522&amp;"|"&amp;'管线现金流'!AK522&amp;"|"&amp;'管线现金流'!I523&amp;"|"&amp;'管线现金流'!AK523&amp;"|"&amp;'管线现金流'!I524&amp;"|"&amp;'管线现金流'!AK524&amp;"|"&amp;'管线现金流'!I525&amp;"|"&amp;'管线现金流'!AK525&amp;"|"&amp;'管线现金流'!I526&amp;"|"&amp;'管线现金流'!AK526&amp;"|"&amp;'管线现金流'!I527&amp;"|"&amp;'管线现金流'!AK527&amp;"|"&amp;'管线现金流'!I528&amp;"|"&amp;'管线现金流'!AK528&amp;"|"&amp;'管线现金流'!I529&amp;"|"&amp;'管线现金流'!AK529&amp;"|"&amp;'管线现金流'!I530&amp;"|"&amp;'管线现金流'!AK530&amp;"|"&amp;'管线现金流'!I531&amp;"|"&amp;'管线现金流'!AK531&amp;"|"&amp;'管线现金流'!I532&amp;"|"&amp;'管线现金流'!AK532&amp;"|"&amp;'管线现金流'!I533&amp;"|"&amp;'管线现金流'!AK533&amp;"|"&amp;'管线现金流'!I534&amp;"|"&amp;'管线现金流'!AK534&amp;"|"&amp;'管线现金流'!I535&amp;"|"&amp;'管线现金流'!AK535&amp;"|"&amp;'管线现金流'!I536&amp;"|"&amp;'管线现金流'!AK536&amp;"|"&amp;'管线现金流'!I537&amp;"|"&amp;'管线现金流'!AK537&amp;"|"&amp;'管线现金流'!I538&amp;"|"&amp;'管线现金流'!AK538&amp;"|"&amp;'管线现金流'!I539&amp;"|"&amp;'管线现金流'!AK539&amp;"|"&amp;'管线现金流'!I540&amp;"|"&amp;'管线现金流'!AK540&amp;"|"&amp;'管线现金流'!I541&amp;"|"&amp;'管线现金流'!AK541&amp;"|"&amp;'管线现金流'!I542&amp;"|"&amp;'管线现金流'!AK542&amp;"|"&amp;'管线现金流'!I543&amp;"|"&amp;'管线现金流'!AK543&amp;"|"&amp;'管线现金流'!I544&amp;"|"&amp;'管线现金流'!AK544&amp;"|"&amp;'管线现金流'!I545&amp;"|"&amp;'管线现金流'!AK545&amp;"|"&amp;'管线现金流'!I546&amp;"|"&amp;'管线现金流'!AK546&amp;"|"&amp;'管线现金流'!I547&amp;"|"&amp;'管线现金流'!AK547&amp;"|"&amp;'管线现金流'!I548&amp;"|"&amp;'管线现金流'!AK548&amp;"|"&amp;'管线现金流'!I549&amp;"|"&amp;'管线现金流'!AK549&amp;"|"&amp;'管线现金流'!I550&amp;"|"&amp;'管线现金流'!AK550&amp;"|"&amp;'管线现金流'!I551&amp;"|"&amp;'管线现金流'!AK551&amp;"|"&amp;'管线现金流'!I552&amp;"|"&amp;'管线现金流'!AK552&amp;"|"&amp;'管线现金流'!I553&amp;"|"&amp;'管线现金流'!AK553&amp;"|"&amp;'管线现金流'!I554&amp;"|"&amp;'管线现金流'!AK554&amp;"|"&amp;'管线现金流'!I555&amp;"|"&amp;'管线现金流'!AK555&amp;"|"&amp;'管线现金流'!I556&amp;"|"&amp;'管线现金流'!AK556&amp;"|"&amp;'管线现金流'!I557&amp;"|"&amp;'管线现金流'!AK557&amp;"|"&amp;'管线现金流'!I558&amp;"|"&amp;'管线现金流'!AK558&amp;"|"&amp;'管线现金流'!I559&amp;"|"&amp;'管线现金流'!AK559&amp;"|"&amp;'管线现金流'!I560&amp;"|"&amp;'管线现金流'!AK560&amp;"|"&amp;'管线现金流'!I561&amp;"|"&amp;'管线现金流'!AK561&amp;"|"&amp;'管线现金流'!I562&amp;"|"&amp;'管线现金流'!AK562&amp;"|"&amp;'管线现金流'!I563&amp;"|"&amp;'管线现金流'!AK563&amp;"|"&amp;'管线现金流'!I564&amp;"|"&amp;'管线现金流'!AK564&amp;"|"&amp;'管线现金流'!I565&amp;"|"&amp;'管线现金流'!AK565&amp;"|"&amp;'管线现金流'!I566&amp;"|"&amp;'管线现金流'!AK566&amp;"|"&amp;'管线现金流'!I567&amp;"|"&amp;'管线现金流'!AK567&amp;"|"&amp;'管线现金流'!I568&amp;"|"&amp;'管线现金流'!AK568&amp;"|"&amp;'管线现金流'!I569&amp;"|"&amp;'管线现金流'!AK569&amp;"|"&amp;'管线现金流'!I570&amp;"|"&amp;'管线现金流'!AK570&amp;"|"&amp;'管线现金流'!I571&amp;"|"&amp;'管线现金流'!AK571&amp;"|"&amp;'管线现金流'!I572&amp;"|"&amp;'管线现金流'!AK572&amp;"|"&amp;'管线现金流'!I573&amp;"|"&amp;'管线现金流'!AK573&amp;"|"&amp;'管线现金流'!I574&amp;"|"&amp;'管线现金流'!AK574&amp;"|"&amp;'管线现金流'!I575&amp;"|"&amp;'管线现金流'!AK575&amp;"|"&amp;'管线现金流'!I576&amp;"|"&amp;'管线现金流'!AK576&amp;"|"&amp;'管线现金流'!I577&amp;"|"&amp;'管线现金流'!AK577&amp;"|"&amp;'管线现金流'!I578&amp;"|"&amp;'管线现金流'!AK578&amp;"|"&amp;'管线现金流'!I579&amp;"|"&amp;'管线现金流'!AK579&amp;"|"&amp;'管线现金流'!I580&amp;"|"&amp;'管线现金流'!AK580&amp;"|"&amp;'管线现金流'!I581&amp;"|"&amp;'管线现金流'!AK581&amp;"|"&amp;'管线现金流'!I582&amp;"|"&amp;'管线现金流'!AK582&amp;"|"&amp;'管线现金流'!I583&amp;"|"&amp;'管线现金流'!AK583&amp;"|"&amp;'管线现金流'!I584&amp;"|"&amp;'管线现金流'!AK584&amp;"|"&amp;'管线现金流'!I585&amp;"|"&amp;'管线现金流'!AK585&amp;"|"&amp;'管线现金流'!I586&amp;"|"&amp;'管线现金流'!AK586&amp;"|"&amp;'管线现金流'!I587&amp;"|"&amp;'管线现金流'!AK587&amp;"|"&amp;'管线现金流'!I588&amp;"|"&amp;'管线现金流'!AK588&amp;"|"&amp;'管线现金流'!I589&amp;"|"&amp;'管线现金流'!AK589&amp;"|"&amp;'管线现金流'!I590&amp;"|"&amp;'管线现金流'!AK590&amp;"|"&amp;'管线现金流'!I591&amp;"|"&amp;'管线现金流'!AK591&amp;"|"&amp;'管线现金流'!I592&amp;"|"&amp;'管线现金流'!AK592&amp;"|"&amp;'管线现金流'!I593&amp;"|"&amp;'管线现金流'!AK593&amp;"|"&amp;'管线现金流'!I594&amp;"|"&amp;'管线现金流'!AK594&amp;"|"&amp;'管线现金流'!I595&amp;"|"&amp;'管线现金流'!AK595&amp;"|"&amp;'管线现金流'!I596&amp;"|"&amp;'管线现金流'!AK596&amp;"|"&amp;'管线现金流'!I597&amp;"|"&amp;'管线现金流'!AK597&amp;"|"&amp;'管线现金流'!I598&amp;"|"&amp;'管线现金流'!AK598&amp;"|"&amp;'管线现金流'!I599&amp;"|"&amp;'管线现金流'!AK599&amp;"|"&amp;'管线现金流'!I600&amp;"|"&amp;'管线现金流'!AK600&amp;"|"&amp;'管线现金流'!I601&amp;"|"&amp;'管线现金流'!AK601&amp;"|"&amp;'管线现金流'!I602&amp;"|"&amp;'管线现金流'!AK602&amp;"|"&amp;'管线现金流'!I603&amp;"|"&amp;'管线现金流'!AK603&amp;"|"&amp;'管线现金流'!I604&amp;"|"&amp;'管线现金流'!AK604&amp;"|"&amp;'管线现金流'!I605&amp;"|"&amp;'管线现金流'!AK605&amp;"|"&amp;'管线现金流'!I606&amp;"|"&amp;'管线现金流'!AK606&amp;"|"&amp;'管线现金流'!I607&amp;"|"&amp;'管线现金流'!AK607&amp;"|"&amp;'管线现金流'!I608&amp;"|"&amp;'管线现金流'!AK608&amp;"|"&amp;'管线现金流'!I609&amp;"|"&amp;'管线现金流'!AK609&amp;"|"&amp;'管线现金流'!I610&amp;"|"&amp;'管线现金流'!AK610&amp;"|"&amp;'管线现金流'!I611&amp;"|"&amp;'管线现金流'!AK611&amp;"|"&amp;'管线现金流'!I612&amp;"|"&amp;'管线现金流'!AK612&amp;"|"&amp;'管线现金流'!I613&amp;"|"&amp;'管线现金流'!AK613&amp;"|"&amp;'管线现金流'!I614&amp;"|"&amp;'管线现金流'!AK614&amp;"|"&amp;'管线现金流'!I615&amp;"|"&amp;'管线现金流'!AK615&amp;"|"&amp;'管线现金流'!I616&amp;"|"&amp;'管线现金流'!AK616&amp;"|"&amp;'管线现金流'!I617&amp;"|"&amp;'管线现金流'!AK617&amp;"|"&amp;'管线现金流'!I618&amp;"|"&amp;'管线现金流'!AK618&amp;"|"&amp;'管线现金流'!I619&amp;"|"&amp;'管线现金流'!AK619&amp;"|"&amp;'管线现金流'!I620&amp;"|"&amp;'管线现金流'!AK620&amp;"|"&amp;'管线现金流'!I621&amp;"|"&amp;'管线现金流'!AK621&amp;"|"&amp;'管线现金流'!I622&amp;"|"&amp;'管线现金流'!AK622&amp;"|"&amp;'管线现金流'!I623&amp;"|"&amp;'管线现金流'!AK623&amp;"|"&amp;'管线现金流'!I624&amp;"|"&amp;'管线现金流'!AK624&amp;"|"&amp;'管线现金流'!I625&amp;"|"&amp;'管线现金流'!AK625&amp;"|"&amp;'管线现金流'!I626&amp;"|"&amp;'管线现金流'!AK626&amp;"|"&amp;'管线现金流'!I627&amp;"|"&amp;'管线现金流'!AK627&amp;"|"&amp;'管线现金流'!I628&amp;"|"&amp;'管线现金流'!AK628&amp;"|"&amp;'管线现金流'!I629&amp;"|"&amp;'管线现金流'!AK629&amp;"|"&amp;'管线现金流'!I630&amp;"|"&amp;'管线现金流'!AK630&amp;"|"&amp;'管线现金流'!I631&amp;"|"&amp;'管线现金流'!AK631&amp;"|"&amp;'管线现金流'!I632&amp;"|"&amp;'管线现金流'!AK632&amp;"|"&amp;'管线现金流'!I633&amp;"|"&amp;'管线现金流'!AK633&amp;"|"&amp;'管线现金流'!I634&amp;"|"&amp;'管线现金流'!AK634&amp;"|"&amp;'管线现金流'!I635&amp;"|"&amp;'管线现金流'!AK635&amp;"|"&amp;'管线现金流'!I636&amp;"|"&amp;'管线现金流'!AK636&amp;"|"&amp;'管线现金流'!I637&amp;"|"&amp;'管线现金流'!AK637&amp;"|"&amp;'管线现金流'!I638&amp;"|"&amp;'管线现金流'!AK638&amp;"|"&amp;'管线现金流'!I639&amp;"|"&amp;'管线现金流'!AK639&amp;"|"&amp;'管线现金流'!I640&amp;"|"&amp;'管线现金流'!AK640&amp;"|"&amp;'管线现金流'!I641&amp;"|"&amp;'管线现金流'!AK641&amp;"|"&amp;'管线现金流'!I642&amp;"|"&amp;'管线现金流'!AK642&amp;"|"&amp;'管线现金流'!I643&amp;"|"&amp;'管线现金流'!AK643&amp;"|"&amp;'管线现金流'!V22&amp;"|"&amp;'管线现金流'!Y22&amp;"|"&amp;'管线现金流'!AP22&amp;"|"&amp;'管线现金流'!AS22</x:f>
        <x:v>4.15|2.5|1|0.08610000000000001|1|0.125|6.8|0.78|0.08610000000000001|1|0.125|6.8|1|0.33|1|0.125|6.8|0.4|0.33|1|0.125|6.8|0.19999999999999996|0.3|1|0.125|6.8|0.48|0.32|1|0.125|6.8|0.30000000000000004|0.32|1|0.125|6.8|0.30000000000000004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</x:row>
    <x:row r="189" ht="23" customHeight="1">
      <x:c r="A189" s="11" t="str">
        <x:v>688192.SH</x:v>
      </x:c>
      <x:c r="B189" s="11" t="str">
        <x:v>迪哲医药</x:v>
      </x:c>
      <x:c r="C189" s="11" t="str">
        <x:v>2026年底</x:v>
      </x:c>
      <x:c r="D189" s="11" t="str">
        <x:v>乐观</x:v>
      </x:c>
      <x:c r="E189" s="11" t="n">
        <x:v>59.95</x:v>
      </x:c>
      <x:c r="F189" s="11" t="n">
        <x:v>176.29950843422898</x:v>
      </x:c>
      <x:c r="G189" s="11" t="n">
        <x:v>0</x:v>
      </x:c>
      <x:c r="H189" s="25" t="n">
        <x:v>1.940775787059699</x:v>
      </x:c>
      <x:c r="I189" s="25" t="n">
        <x:v>1.940775787059699</x:v>
      </x:c>
      <x:c r="J189" s="25" t="str"/>
      <x:c r="K189" s="11" t="n">
        <x:v>0</x:v>
      </x:c>
      <x:c r="L189" s="11" t="n">
        <x:v>0</x:v>
      </x:c>
      <x:c r="M189" s="11" t="n">
        <x:v>1</x:v>
      </x:c>
      <x:c r="N189" s="11" t="n">
        <x:v>0</x:v>
      </x:c>
      <x:c r="O189" s="11" t="n">
        <x:v>0</x:v>
      </x:c>
      <x:c r="P189" s="11" t="n">
        <x:v>0</x:v>
      </x:c>
      <x:c r="Q189" s="11" t="n">
        <x:v>0.475</x:v>
      </x:c>
      <x:c r="R189" s="11" t="str">
        <x:v>dizal-rnpv-v1.0</x:v>
      </x:c>
      <x:c r="S189" s="11" t="str">
        <x:v>2026-10-10</x:v>
      </x:c>
      <x:c r="T189" s="11" t="str">
        <x:f>IF(AND(SUM(IF(K189='假设'!E250,0,1),IF(L189='假设'!F250,0,1),IF(M189='假设'!G250,0,1),IF(N189='假设'!H250,0,1),IF(O189='假设'!I250,0,1),IF(P189='假设'!J250,0,1),IF(Q189='假设'!K250,0,1))=0,U189=V189),"已刷新","待刷新")</x:f>
        <x:v>已刷新</x:v>
      </x:c>
      <x:c r="U189" t="str">
        <x:v>4.5|2.7|1|0.1105|1|0.105|6.8|0.92|0.1105|1|0.105|6.8|1|0.4|1|0.105|6.8|0.65|0.4|1|0.105|6.8|0.4|0.38|1|0.105|6.8|0.7|0.4|1|0.105|6.8|0.55|0.4|1|0.105|6.8|0.55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  <x:c r="V189" t="str">
        <x:f>'假设'!N250&amp;"|"&amp;'假设'!Q250&amp;"|"&amp;'管线假设'!E130&amp;"|"&amp;'管线假设'!F130&amp;"|"&amp;'管线假设'!G130&amp;"|"&amp;'管线假设'!H130&amp;"|"&amp;'管线假设'!I130&amp;"|"&amp;'管线假设'!E134&amp;"|"&amp;'管线假设'!F134&amp;"|"&amp;'管线假设'!G134&amp;"|"&amp;'管线假设'!H134&amp;"|"&amp;'管线假设'!I134&amp;"|"&amp;'管线假设'!E138&amp;"|"&amp;'管线假设'!F138&amp;"|"&amp;'管线假设'!G138&amp;"|"&amp;'管线假设'!H138&amp;"|"&amp;'管线假设'!I138&amp;"|"&amp;'管线假设'!E142&amp;"|"&amp;'管线假设'!F142&amp;"|"&amp;'管线假设'!G142&amp;"|"&amp;'管线假设'!H142&amp;"|"&amp;'管线假设'!I142&amp;"|"&amp;'管线假设'!E146&amp;"|"&amp;'管线假设'!F146&amp;"|"&amp;'管线假设'!G146&amp;"|"&amp;'管线假设'!H146&amp;"|"&amp;'管线假设'!I146&amp;"|"&amp;'管线假设'!E150&amp;"|"&amp;'管线假设'!F150&amp;"|"&amp;'管线假设'!G150&amp;"|"&amp;'管线假设'!H150&amp;"|"&amp;'管线假设'!I150&amp;"|"&amp;'管线假设'!E154&amp;"|"&amp;'管线假设'!F154&amp;"|"&amp;'管线假设'!G154&amp;"|"&amp;'管线假设'!H154&amp;"|"&amp;'管线假设'!I154&amp;"|"&amp;'管线假设'!E158&amp;"|"&amp;'管线假设'!F158&amp;"|"&amp;'管线假设'!G158&amp;"|"&amp;'管线假设'!H158&amp;"|"&amp;'管线假设'!I158&amp;"|"&amp;'管线现金流'!J492&amp;"|"&amp;'管线现金流'!AL492&amp;"|"&amp;'管线现金流'!J493&amp;"|"&amp;'管线现金流'!AL493&amp;"|"&amp;'管线现金流'!J494&amp;"|"&amp;'管线现金流'!AL494&amp;"|"&amp;'管线现金流'!J495&amp;"|"&amp;'管线现金流'!AL495&amp;"|"&amp;'管线现金流'!J496&amp;"|"&amp;'管线现金流'!AL496&amp;"|"&amp;'管线现金流'!J497&amp;"|"&amp;'管线现金流'!AL497&amp;"|"&amp;'管线现金流'!J498&amp;"|"&amp;'管线现金流'!AL498&amp;"|"&amp;'管线现金流'!J499&amp;"|"&amp;'管线现金流'!AL499&amp;"|"&amp;'管线现金流'!J500&amp;"|"&amp;'管线现金流'!AL500&amp;"|"&amp;'管线现金流'!J501&amp;"|"&amp;'管线现金流'!AL501&amp;"|"&amp;'管线现金流'!J502&amp;"|"&amp;'管线现金流'!AL502&amp;"|"&amp;'管线现金流'!J503&amp;"|"&amp;'管线现金流'!AL503&amp;"|"&amp;'管线现金流'!J504&amp;"|"&amp;'管线现金流'!AL504&amp;"|"&amp;'管线现金流'!J505&amp;"|"&amp;'管线现金流'!AL505&amp;"|"&amp;'管线现金流'!J506&amp;"|"&amp;'管线现金流'!AL506&amp;"|"&amp;'管线现金流'!J507&amp;"|"&amp;'管线现金流'!AL507&amp;"|"&amp;'管线现金流'!J508&amp;"|"&amp;'管线现金流'!AL508&amp;"|"&amp;'管线现金流'!J509&amp;"|"&amp;'管线现金流'!AL509&amp;"|"&amp;'管线现金流'!J510&amp;"|"&amp;'管线现金流'!AL510&amp;"|"&amp;'管线现金流'!J511&amp;"|"&amp;'管线现金流'!AL511&amp;"|"&amp;'管线现金流'!J512&amp;"|"&amp;'管线现金流'!AL512&amp;"|"&amp;'管线现金流'!J513&amp;"|"&amp;'管线现金流'!AL513&amp;"|"&amp;'管线现金流'!J514&amp;"|"&amp;'管线现金流'!AL514&amp;"|"&amp;'管线现金流'!J515&amp;"|"&amp;'管线现金流'!AL515&amp;"|"&amp;'管线现金流'!J516&amp;"|"&amp;'管线现金流'!AL516&amp;"|"&amp;'管线现金流'!J517&amp;"|"&amp;'管线现金流'!AL517&amp;"|"&amp;'管线现金流'!J518&amp;"|"&amp;'管线现金流'!AL518&amp;"|"&amp;'管线现金流'!J519&amp;"|"&amp;'管线现金流'!AL519&amp;"|"&amp;'管线现金流'!J520&amp;"|"&amp;'管线现金流'!AL520&amp;"|"&amp;'管线现金流'!J521&amp;"|"&amp;'管线现金流'!AL521&amp;"|"&amp;'管线现金流'!J522&amp;"|"&amp;'管线现金流'!AL522&amp;"|"&amp;'管线现金流'!J523&amp;"|"&amp;'管线现金流'!AL523&amp;"|"&amp;'管线现金流'!J524&amp;"|"&amp;'管线现金流'!AL524&amp;"|"&amp;'管线现金流'!J525&amp;"|"&amp;'管线现金流'!AL525&amp;"|"&amp;'管线现金流'!J526&amp;"|"&amp;'管线现金流'!AL526&amp;"|"&amp;'管线现金流'!J527&amp;"|"&amp;'管线现金流'!AL527&amp;"|"&amp;'管线现金流'!J528&amp;"|"&amp;'管线现金流'!AL528&amp;"|"&amp;'管线现金流'!J529&amp;"|"&amp;'管线现金流'!AL529&amp;"|"&amp;'管线现金流'!J530&amp;"|"&amp;'管线现金流'!AL530&amp;"|"&amp;'管线现金流'!J531&amp;"|"&amp;'管线现金流'!AL531&amp;"|"&amp;'管线现金流'!J532&amp;"|"&amp;'管线现金流'!AL532&amp;"|"&amp;'管线现金流'!J533&amp;"|"&amp;'管线现金流'!AL533&amp;"|"&amp;'管线现金流'!J534&amp;"|"&amp;'管线现金流'!AL534&amp;"|"&amp;'管线现金流'!J535&amp;"|"&amp;'管线现金流'!AL535&amp;"|"&amp;'管线现金流'!J536&amp;"|"&amp;'管线现金流'!AL536&amp;"|"&amp;'管线现金流'!J537&amp;"|"&amp;'管线现金流'!AL537&amp;"|"&amp;'管线现金流'!J538&amp;"|"&amp;'管线现金流'!AL538&amp;"|"&amp;'管线现金流'!J539&amp;"|"&amp;'管线现金流'!AL539&amp;"|"&amp;'管线现金流'!J540&amp;"|"&amp;'管线现金流'!AL540&amp;"|"&amp;'管线现金流'!J541&amp;"|"&amp;'管线现金流'!AL541&amp;"|"&amp;'管线现金流'!J542&amp;"|"&amp;'管线现金流'!AL542&amp;"|"&amp;'管线现金流'!J543&amp;"|"&amp;'管线现金流'!AL543&amp;"|"&amp;'管线现金流'!J544&amp;"|"&amp;'管线现金流'!AL544&amp;"|"&amp;'管线现金流'!J545&amp;"|"&amp;'管线现金流'!AL545&amp;"|"&amp;'管线现金流'!J546&amp;"|"&amp;'管线现金流'!AL546&amp;"|"&amp;'管线现金流'!J547&amp;"|"&amp;'管线现金流'!AL547&amp;"|"&amp;'管线现金流'!J548&amp;"|"&amp;'管线现金流'!AL548&amp;"|"&amp;'管线现金流'!J549&amp;"|"&amp;'管线现金流'!AL549&amp;"|"&amp;'管线现金流'!J550&amp;"|"&amp;'管线现金流'!AL550&amp;"|"&amp;'管线现金流'!J551&amp;"|"&amp;'管线现金流'!AL551&amp;"|"&amp;'管线现金流'!J552&amp;"|"&amp;'管线现金流'!AL552&amp;"|"&amp;'管线现金流'!J553&amp;"|"&amp;'管线现金流'!AL553&amp;"|"&amp;'管线现金流'!J554&amp;"|"&amp;'管线现金流'!AL554&amp;"|"&amp;'管线现金流'!J555&amp;"|"&amp;'管线现金流'!AL555&amp;"|"&amp;'管线现金流'!J556&amp;"|"&amp;'管线现金流'!AL556&amp;"|"&amp;'管线现金流'!J557&amp;"|"&amp;'管线现金流'!AL557&amp;"|"&amp;'管线现金流'!J558&amp;"|"&amp;'管线现金流'!AL558&amp;"|"&amp;'管线现金流'!J559&amp;"|"&amp;'管线现金流'!AL559&amp;"|"&amp;'管线现金流'!J560&amp;"|"&amp;'管线现金流'!AL560&amp;"|"&amp;'管线现金流'!J561&amp;"|"&amp;'管线现金流'!AL561&amp;"|"&amp;'管线现金流'!J562&amp;"|"&amp;'管线现金流'!AL562&amp;"|"&amp;'管线现金流'!J563&amp;"|"&amp;'管线现金流'!AL563&amp;"|"&amp;'管线现金流'!J564&amp;"|"&amp;'管线现金流'!AL564&amp;"|"&amp;'管线现金流'!J565&amp;"|"&amp;'管线现金流'!AL565&amp;"|"&amp;'管线现金流'!J566&amp;"|"&amp;'管线现金流'!AL566&amp;"|"&amp;'管线现金流'!J567&amp;"|"&amp;'管线现金流'!AL567&amp;"|"&amp;'管线现金流'!J568&amp;"|"&amp;'管线现金流'!AL568&amp;"|"&amp;'管线现金流'!J569&amp;"|"&amp;'管线现金流'!AL569&amp;"|"&amp;'管线现金流'!J570&amp;"|"&amp;'管线现金流'!AL570&amp;"|"&amp;'管线现金流'!J571&amp;"|"&amp;'管线现金流'!AL571&amp;"|"&amp;'管线现金流'!J572&amp;"|"&amp;'管线现金流'!AL572&amp;"|"&amp;'管线现金流'!J573&amp;"|"&amp;'管线现金流'!AL573&amp;"|"&amp;'管线现金流'!J574&amp;"|"&amp;'管线现金流'!AL574&amp;"|"&amp;'管线现金流'!J575&amp;"|"&amp;'管线现金流'!AL575&amp;"|"&amp;'管线现金流'!J576&amp;"|"&amp;'管线现金流'!AL576&amp;"|"&amp;'管线现金流'!J577&amp;"|"&amp;'管线现金流'!AL577&amp;"|"&amp;'管线现金流'!J578&amp;"|"&amp;'管线现金流'!AL578&amp;"|"&amp;'管线现金流'!J579&amp;"|"&amp;'管线现金流'!AL579&amp;"|"&amp;'管线现金流'!J580&amp;"|"&amp;'管线现金流'!AL580&amp;"|"&amp;'管线现金流'!J581&amp;"|"&amp;'管线现金流'!AL581&amp;"|"&amp;'管线现金流'!J582&amp;"|"&amp;'管线现金流'!AL582&amp;"|"&amp;'管线现金流'!J583&amp;"|"&amp;'管线现金流'!AL583&amp;"|"&amp;'管线现金流'!J584&amp;"|"&amp;'管线现金流'!AL584&amp;"|"&amp;'管线现金流'!J585&amp;"|"&amp;'管线现金流'!AL585&amp;"|"&amp;'管线现金流'!J586&amp;"|"&amp;'管线现金流'!AL586&amp;"|"&amp;'管线现金流'!J587&amp;"|"&amp;'管线现金流'!AL587&amp;"|"&amp;'管线现金流'!J588&amp;"|"&amp;'管线现金流'!AL588&amp;"|"&amp;'管线现金流'!J589&amp;"|"&amp;'管线现金流'!AL589&amp;"|"&amp;'管线现金流'!J590&amp;"|"&amp;'管线现金流'!AL590&amp;"|"&amp;'管线现金流'!J591&amp;"|"&amp;'管线现金流'!AL591&amp;"|"&amp;'管线现金流'!J592&amp;"|"&amp;'管线现金流'!AL592&amp;"|"&amp;'管线现金流'!J593&amp;"|"&amp;'管线现金流'!AL593&amp;"|"&amp;'管线现金流'!J594&amp;"|"&amp;'管线现金流'!AL594&amp;"|"&amp;'管线现金流'!J595&amp;"|"&amp;'管线现金流'!AL595&amp;"|"&amp;'管线现金流'!J596&amp;"|"&amp;'管线现金流'!AL596&amp;"|"&amp;'管线现金流'!J597&amp;"|"&amp;'管线现金流'!AL597&amp;"|"&amp;'管线现金流'!J598&amp;"|"&amp;'管线现金流'!AL598&amp;"|"&amp;'管线现金流'!J599&amp;"|"&amp;'管线现金流'!AL599&amp;"|"&amp;'管线现金流'!J600&amp;"|"&amp;'管线现金流'!AL600&amp;"|"&amp;'管线现金流'!J601&amp;"|"&amp;'管线现金流'!AL601&amp;"|"&amp;'管线现金流'!J602&amp;"|"&amp;'管线现金流'!AL602&amp;"|"&amp;'管线现金流'!J603&amp;"|"&amp;'管线现金流'!AL603&amp;"|"&amp;'管线现金流'!J604&amp;"|"&amp;'管线现金流'!AL604&amp;"|"&amp;'管线现金流'!J605&amp;"|"&amp;'管线现金流'!AL605&amp;"|"&amp;'管线现金流'!J606&amp;"|"&amp;'管线现金流'!AL606&amp;"|"&amp;'管线现金流'!J607&amp;"|"&amp;'管线现金流'!AL607&amp;"|"&amp;'管线现金流'!J608&amp;"|"&amp;'管线现金流'!AL608&amp;"|"&amp;'管线现金流'!J609&amp;"|"&amp;'管线现金流'!AL609&amp;"|"&amp;'管线现金流'!J610&amp;"|"&amp;'管线现金流'!AL610&amp;"|"&amp;'管线现金流'!J611&amp;"|"&amp;'管线现金流'!AL611&amp;"|"&amp;'管线现金流'!J612&amp;"|"&amp;'管线现金流'!AL612&amp;"|"&amp;'管线现金流'!J613&amp;"|"&amp;'管线现金流'!AL613&amp;"|"&amp;'管线现金流'!J614&amp;"|"&amp;'管线现金流'!AL614&amp;"|"&amp;'管线现金流'!J615&amp;"|"&amp;'管线现金流'!AL615&amp;"|"&amp;'管线现金流'!J616&amp;"|"&amp;'管线现金流'!AL616&amp;"|"&amp;'管线现金流'!J617&amp;"|"&amp;'管线现金流'!AL617&amp;"|"&amp;'管线现金流'!J618&amp;"|"&amp;'管线现金流'!AL618&amp;"|"&amp;'管线现金流'!J619&amp;"|"&amp;'管线现金流'!AL619&amp;"|"&amp;'管线现金流'!J620&amp;"|"&amp;'管线现金流'!AL620&amp;"|"&amp;'管线现金流'!J621&amp;"|"&amp;'管线现金流'!AL621&amp;"|"&amp;'管线现金流'!J622&amp;"|"&amp;'管线现金流'!AL622&amp;"|"&amp;'管线现金流'!J623&amp;"|"&amp;'管线现金流'!AL623&amp;"|"&amp;'管线现金流'!J624&amp;"|"&amp;'管线现金流'!AL624&amp;"|"&amp;'管线现金流'!J625&amp;"|"&amp;'管线现金流'!AL625&amp;"|"&amp;'管线现金流'!J626&amp;"|"&amp;'管线现金流'!AL626&amp;"|"&amp;'管线现金流'!J627&amp;"|"&amp;'管线现金流'!AL627&amp;"|"&amp;'管线现金流'!J628&amp;"|"&amp;'管线现金流'!AL628&amp;"|"&amp;'管线现金流'!J629&amp;"|"&amp;'管线现金流'!AL629&amp;"|"&amp;'管线现金流'!J630&amp;"|"&amp;'管线现金流'!AL630&amp;"|"&amp;'管线现金流'!J631&amp;"|"&amp;'管线现金流'!AL631&amp;"|"&amp;'管线现金流'!J632&amp;"|"&amp;'管线现金流'!AL632&amp;"|"&amp;'管线现金流'!J633&amp;"|"&amp;'管线现金流'!AL633&amp;"|"&amp;'管线现金流'!J634&amp;"|"&amp;'管线现金流'!AL634&amp;"|"&amp;'管线现金流'!J635&amp;"|"&amp;'管线现金流'!AL635&amp;"|"&amp;'管线现金流'!J636&amp;"|"&amp;'管线现金流'!AL636&amp;"|"&amp;'管线现金流'!J637&amp;"|"&amp;'管线现金流'!AL637&amp;"|"&amp;'管线现金流'!J638&amp;"|"&amp;'管线现金流'!AL638&amp;"|"&amp;'管线现金流'!J639&amp;"|"&amp;'管线现金流'!AL639&amp;"|"&amp;'管线现金流'!J640&amp;"|"&amp;'管线现金流'!AL640&amp;"|"&amp;'管线现金流'!J641&amp;"|"&amp;'管线现金流'!AL641&amp;"|"&amp;'管线现金流'!J642&amp;"|"&amp;'管线现金流'!AL642&amp;"|"&amp;'管线现金流'!J643&amp;"|"&amp;'管线现金流'!AL643&amp;"|"&amp;'管线现金流'!W22&amp;"|"&amp;'管线现金流'!Z22&amp;"|"&amp;'管线现金流'!AQ22&amp;"|"&amp;'管线现金流'!AT22</x:f>
        <x:v>4.5|2.7|1|0.1105|1|0.105|6.8|0.92|0.1105|1|0.105|6.8|1|0.4|1|0.105|6.8|0.65|0.4|1|0.105|6.8|0.4|0.38|1|0.105|6.8|0.7|0.4|1|0.105|6.8|0.55|0.4|1|0.105|6.8|0.55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</x:row>
    <x:row r="190" ht="23" customHeight="1">
      <x:c r="A190" s="11" t="str">
        <x:v>688192.SH</x:v>
      </x:c>
      <x:c r="B190" s="11" t="str">
        <x:v>迪哲医药</x:v>
      </x:c>
      <x:c r="C190" s="11" t="str">
        <x:v>半年</x:v>
      </x:c>
      <x:c r="D190" s="11" t="str">
        <x:v>悲观</x:v>
      </x:c>
      <x:c r="E190" s="11" t="n">
        <x:v>59.95</x:v>
      </x:c>
      <x:c r="F190" s="11" t="n">
        <x:v>4.95482709305377</x:v>
      </x:c>
      <x:c r="G190" s="11" t="n">
        <x:v>0</x:v>
      </x:c>
      <x:c r="H190" s="25" t="n">
        <x:v>-0.9173506740107795</x:v>
      </x:c>
      <x:c r="I190" s="25" t="n">
        <x:v>-0.9173506740107795</x:v>
      </x:c>
      <x:c r="J190" s="25" t="str"/>
      <x:c r="K190" s="11" t="n">
        <x:v>0</x:v>
      </x:c>
      <x:c r="L190" s="11" t="n">
        <x:v>0</x:v>
      </x:c>
      <x:c r="M190" s="11" t="n">
        <x:v>1</x:v>
      </x:c>
      <x:c r="N190" s="11" t="n">
        <x:v>0</x:v>
      </x:c>
      <x:c r="O190" s="11" t="n">
        <x:v>0</x:v>
      </x:c>
      <x:c r="P190" s="11" t="n">
        <x:v>0</x:v>
      </x:c>
      <x:c r="Q190" s="11" t="n">
        <x:v>0.5</x:v>
      </x:c>
      <x:c r="R190" s="11" t="str">
        <x:v>dizal-rnpv-v1.0</x:v>
      </x:c>
      <x:c r="S190" s="11" t="str">
        <x:v>2026-10-10</x:v>
      </x:c>
      <x:c r="T190" s="11" t="str">
        <x:f>IF(AND(SUM(IF(K190='假设'!E252,0,1),IF(L190='假设'!F252,0,1),IF(M190='假设'!G252,0,1),IF(N190='假设'!H252,0,1),IF(O190='假设'!I252,0,1),IF(P190='假设'!J252,0,1),IF(Q190='假设'!K252,0,1))=0,U190=V190),"已刷新","待刷新")</x:f>
        <x:v>已刷新</x:v>
      </x:c>
      <x:c r="U190" t="str">
        <x:v>3.5|2.7|1|0.064|1|0.16|6.8|0.44999999999999996|0.064|1|0.16|6.8|1|0.22|1|0.16|6.8|0.15000000000000002|0.22|1|0.16|6.8|0.06000000000000005|0.2|1|0.16|6.8|0.17999999999999994|0.22|1|0.16|6.8|0.09999999999999998|0.22|1|0.16|6.8|0.09999999999999998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  <x:c r="V190" t="str">
        <x:f>'假设'!N252&amp;"|"&amp;'假设'!Q252&amp;"|"&amp;'管线假设'!E160&amp;"|"&amp;'管线假设'!F160&amp;"|"&amp;'管线假设'!G160&amp;"|"&amp;'管线假设'!H160&amp;"|"&amp;'管线假设'!I160&amp;"|"&amp;'管线假设'!E164&amp;"|"&amp;'管线假设'!F164&amp;"|"&amp;'管线假设'!G164&amp;"|"&amp;'管线假设'!H164&amp;"|"&amp;'管线假设'!I164&amp;"|"&amp;'管线假设'!E168&amp;"|"&amp;'管线假设'!F168&amp;"|"&amp;'管线假设'!G168&amp;"|"&amp;'管线假设'!H168&amp;"|"&amp;'管线假设'!I168&amp;"|"&amp;'管线假设'!E172&amp;"|"&amp;'管线假设'!F172&amp;"|"&amp;'管线假设'!G172&amp;"|"&amp;'管线假设'!H172&amp;"|"&amp;'管线假设'!I172&amp;"|"&amp;'管线假设'!E176&amp;"|"&amp;'管线假设'!F176&amp;"|"&amp;'管线假设'!G176&amp;"|"&amp;'管线假设'!H176&amp;"|"&amp;'管线假设'!I176&amp;"|"&amp;'管线假设'!E180&amp;"|"&amp;'管线假设'!F180&amp;"|"&amp;'管线假设'!G180&amp;"|"&amp;'管线假设'!H180&amp;"|"&amp;'管线假设'!I180&amp;"|"&amp;'管线假设'!E184&amp;"|"&amp;'管线假设'!F184&amp;"|"&amp;'管线假设'!G184&amp;"|"&amp;'管线假设'!H184&amp;"|"&amp;'管线假设'!I184&amp;"|"&amp;'管线假设'!E188&amp;"|"&amp;'管线假设'!F188&amp;"|"&amp;'管线假设'!G188&amp;"|"&amp;'管线假设'!H188&amp;"|"&amp;'管线假设'!I188&amp;"|"&amp;'管线现金流'!H644&amp;"|"&amp;'管线现金流'!AJ644&amp;"|"&amp;'管线现金流'!H645&amp;"|"&amp;'管线现金流'!AJ645&amp;"|"&amp;'管线现金流'!H646&amp;"|"&amp;'管线现金流'!AJ646&amp;"|"&amp;'管线现金流'!H647&amp;"|"&amp;'管线现金流'!AJ647&amp;"|"&amp;'管线现金流'!H648&amp;"|"&amp;'管线现金流'!AJ648&amp;"|"&amp;'管线现金流'!H649&amp;"|"&amp;'管线现金流'!AJ649&amp;"|"&amp;'管线现金流'!H650&amp;"|"&amp;'管线现金流'!AJ650&amp;"|"&amp;'管线现金流'!H651&amp;"|"&amp;'管线现金流'!AJ651&amp;"|"&amp;'管线现金流'!H652&amp;"|"&amp;'管线现金流'!AJ652&amp;"|"&amp;'管线现金流'!H653&amp;"|"&amp;'管线现金流'!AJ653&amp;"|"&amp;'管线现金流'!H654&amp;"|"&amp;'管线现金流'!AJ654&amp;"|"&amp;'管线现金流'!H655&amp;"|"&amp;'管线现金流'!AJ655&amp;"|"&amp;'管线现金流'!H656&amp;"|"&amp;'管线现金流'!AJ656&amp;"|"&amp;'管线现金流'!H657&amp;"|"&amp;'管线现金流'!AJ657&amp;"|"&amp;'管线现金流'!H658&amp;"|"&amp;'管线现金流'!AJ658&amp;"|"&amp;'管线现金流'!H659&amp;"|"&amp;'管线现金流'!AJ659&amp;"|"&amp;'管线现金流'!H660&amp;"|"&amp;'管线现金流'!AJ660&amp;"|"&amp;'管线现金流'!H661&amp;"|"&amp;'管线现金流'!AJ661&amp;"|"&amp;'管线现金流'!H662&amp;"|"&amp;'管线现金流'!AJ662&amp;"|"&amp;'管线现金流'!H663&amp;"|"&amp;'管线现金流'!AJ663&amp;"|"&amp;'管线现金流'!H664&amp;"|"&amp;'管线现金流'!AJ664&amp;"|"&amp;'管线现金流'!H665&amp;"|"&amp;'管线现金流'!AJ665&amp;"|"&amp;'管线现金流'!H666&amp;"|"&amp;'管线现金流'!AJ666&amp;"|"&amp;'管线现金流'!H667&amp;"|"&amp;'管线现金流'!AJ667&amp;"|"&amp;'管线现金流'!H668&amp;"|"&amp;'管线现金流'!AJ668&amp;"|"&amp;'管线现金流'!H669&amp;"|"&amp;'管线现金流'!AJ669&amp;"|"&amp;'管线现金流'!H670&amp;"|"&amp;'管线现金流'!AJ670&amp;"|"&amp;'管线现金流'!H671&amp;"|"&amp;'管线现金流'!AJ671&amp;"|"&amp;'管线现金流'!H672&amp;"|"&amp;'管线现金流'!AJ672&amp;"|"&amp;'管线现金流'!H673&amp;"|"&amp;'管线现金流'!AJ673&amp;"|"&amp;'管线现金流'!H674&amp;"|"&amp;'管线现金流'!AJ674&amp;"|"&amp;'管线现金流'!H675&amp;"|"&amp;'管线现金流'!AJ675&amp;"|"&amp;'管线现金流'!H676&amp;"|"&amp;'管线现金流'!AJ676&amp;"|"&amp;'管线现金流'!H677&amp;"|"&amp;'管线现金流'!AJ677&amp;"|"&amp;'管线现金流'!H678&amp;"|"&amp;'管线现金流'!AJ678&amp;"|"&amp;'管线现金流'!H679&amp;"|"&amp;'管线现金流'!AJ679&amp;"|"&amp;'管线现金流'!H680&amp;"|"&amp;'管线现金流'!AJ680&amp;"|"&amp;'管线现金流'!H681&amp;"|"&amp;'管线现金流'!AJ681&amp;"|"&amp;'管线现金流'!H682&amp;"|"&amp;'管线现金流'!AJ682&amp;"|"&amp;'管线现金流'!H683&amp;"|"&amp;'管线现金流'!AJ683&amp;"|"&amp;'管线现金流'!H684&amp;"|"&amp;'管线现金流'!AJ684&amp;"|"&amp;'管线现金流'!H685&amp;"|"&amp;'管线现金流'!AJ685&amp;"|"&amp;'管线现金流'!H686&amp;"|"&amp;'管线现金流'!AJ686&amp;"|"&amp;'管线现金流'!H687&amp;"|"&amp;'管线现金流'!AJ687&amp;"|"&amp;'管线现金流'!H688&amp;"|"&amp;'管线现金流'!AJ688&amp;"|"&amp;'管线现金流'!H689&amp;"|"&amp;'管线现金流'!AJ689&amp;"|"&amp;'管线现金流'!H690&amp;"|"&amp;'管线现金流'!AJ690&amp;"|"&amp;'管线现金流'!H691&amp;"|"&amp;'管线现金流'!AJ691&amp;"|"&amp;'管线现金流'!H692&amp;"|"&amp;'管线现金流'!AJ692&amp;"|"&amp;'管线现金流'!H693&amp;"|"&amp;'管线现金流'!AJ693&amp;"|"&amp;'管线现金流'!H694&amp;"|"&amp;'管线现金流'!AJ694&amp;"|"&amp;'管线现金流'!H695&amp;"|"&amp;'管线现金流'!AJ695&amp;"|"&amp;'管线现金流'!H696&amp;"|"&amp;'管线现金流'!AJ696&amp;"|"&amp;'管线现金流'!H697&amp;"|"&amp;'管线现金流'!AJ697&amp;"|"&amp;'管线现金流'!H698&amp;"|"&amp;'管线现金流'!AJ698&amp;"|"&amp;'管线现金流'!H699&amp;"|"&amp;'管线现金流'!AJ699&amp;"|"&amp;'管线现金流'!H700&amp;"|"&amp;'管线现金流'!AJ700&amp;"|"&amp;'管线现金流'!H701&amp;"|"&amp;'管线现金流'!AJ701&amp;"|"&amp;'管线现金流'!H702&amp;"|"&amp;'管线现金流'!AJ702&amp;"|"&amp;'管线现金流'!H703&amp;"|"&amp;'管线现金流'!AJ703&amp;"|"&amp;'管线现金流'!H704&amp;"|"&amp;'管线现金流'!AJ704&amp;"|"&amp;'管线现金流'!H705&amp;"|"&amp;'管线现金流'!AJ705&amp;"|"&amp;'管线现金流'!H706&amp;"|"&amp;'管线现金流'!AJ706&amp;"|"&amp;'管线现金流'!H707&amp;"|"&amp;'管线现金流'!AJ707&amp;"|"&amp;'管线现金流'!H708&amp;"|"&amp;'管线现金流'!AJ708&amp;"|"&amp;'管线现金流'!H709&amp;"|"&amp;'管线现金流'!AJ709&amp;"|"&amp;'管线现金流'!H710&amp;"|"&amp;'管线现金流'!AJ710&amp;"|"&amp;'管线现金流'!H711&amp;"|"&amp;'管线现金流'!AJ711&amp;"|"&amp;'管线现金流'!H712&amp;"|"&amp;'管线现金流'!AJ712&amp;"|"&amp;'管线现金流'!H713&amp;"|"&amp;'管线现金流'!AJ713&amp;"|"&amp;'管线现金流'!H714&amp;"|"&amp;'管线现金流'!AJ714&amp;"|"&amp;'管线现金流'!H715&amp;"|"&amp;'管线现金流'!AJ715&amp;"|"&amp;'管线现金流'!H716&amp;"|"&amp;'管线现金流'!AJ716&amp;"|"&amp;'管线现金流'!H717&amp;"|"&amp;'管线现金流'!AJ717&amp;"|"&amp;'管线现金流'!H718&amp;"|"&amp;'管线现金流'!AJ718&amp;"|"&amp;'管线现金流'!H719&amp;"|"&amp;'管线现金流'!AJ719&amp;"|"&amp;'管线现金流'!H720&amp;"|"&amp;'管线现金流'!AJ720&amp;"|"&amp;'管线现金流'!H721&amp;"|"&amp;'管线现金流'!AJ721&amp;"|"&amp;'管线现金流'!H722&amp;"|"&amp;'管线现金流'!AJ722&amp;"|"&amp;'管线现金流'!H723&amp;"|"&amp;'管线现金流'!AJ723&amp;"|"&amp;'管线现金流'!H724&amp;"|"&amp;'管线现金流'!AJ724&amp;"|"&amp;'管线现金流'!H725&amp;"|"&amp;'管线现金流'!AJ725&amp;"|"&amp;'管线现金流'!H726&amp;"|"&amp;'管线现金流'!AJ726&amp;"|"&amp;'管线现金流'!H727&amp;"|"&amp;'管线现金流'!AJ727&amp;"|"&amp;'管线现金流'!H728&amp;"|"&amp;'管线现金流'!AJ728&amp;"|"&amp;'管线现金流'!H729&amp;"|"&amp;'管线现金流'!AJ729&amp;"|"&amp;'管线现金流'!H730&amp;"|"&amp;'管线现金流'!AJ730&amp;"|"&amp;'管线现金流'!H731&amp;"|"&amp;'管线现金流'!AJ731&amp;"|"&amp;'管线现金流'!H732&amp;"|"&amp;'管线现金流'!AJ732&amp;"|"&amp;'管线现金流'!H733&amp;"|"&amp;'管线现金流'!AJ733&amp;"|"&amp;'管线现金流'!H734&amp;"|"&amp;'管线现金流'!AJ734&amp;"|"&amp;'管线现金流'!H735&amp;"|"&amp;'管线现金流'!AJ735&amp;"|"&amp;'管线现金流'!H736&amp;"|"&amp;'管线现金流'!AJ736&amp;"|"&amp;'管线现金流'!H737&amp;"|"&amp;'管线现金流'!AJ737&amp;"|"&amp;'管线现金流'!H738&amp;"|"&amp;'管线现金流'!AJ738&amp;"|"&amp;'管线现金流'!H739&amp;"|"&amp;'管线现金流'!AJ739&amp;"|"&amp;'管线现金流'!H740&amp;"|"&amp;'管线现金流'!AJ740&amp;"|"&amp;'管线现金流'!H741&amp;"|"&amp;'管线现金流'!AJ741&amp;"|"&amp;'管线现金流'!H742&amp;"|"&amp;'管线现金流'!AJ742&amp;"|"&amp;'管线现金流'!H743&amp;"|"&amp;'管线现金流'!AJ743&amp;"|"&amp;'管线现金流'!H744&amp;"|"&amp;'管线现金流'!AJ744&amp;"|"&amp;'管线现金流'!H745&amp;"|"&amp;'管线现金流'!AJ745&amp;"|"&amp;'管线现金流'!H746&amp;"|"&amp;'管线现金流'!AJ746&amp;"|"&amp;'管线现金流'!H747&amp;"|"&amp;'管线现金流'!AJ747&amp;"|"&amp;'管线现金流'!H748&amp;"|"&amp;'管线现金流'!AJ748&amp;"|"&amp;'管线现金流'!H749&amp;"|"&amp;'管线现金流'!AJ749&amp;"|"&amp;'管线现金流'!H750&amp;"|"&amp;'管线现金流'!AJ750&amp;"|"&amp;'管线现金流'!H751&amp;"|"&amp;'管线现金流'!AJ751&amp;"|"&amp;'管线现金流'!H752&amp;"|"&amp;'管线现金流'!AJ752&amp;"|"&amp;'管线现金流'!H753&amp;"|"&amp;'管线现金流'!AJ753&amp;"|"&amp;'管线现金流'!H754&amp;"|"&amp;'管线现金流'!AJ754&amp;"|"&amp;'管线现金流'!H755&amp;"|"&amp;'管线现金流'!AJ755&amp;"|"&amp;'管线现金流'!H756&amp;"|"&amp;'管线现金流'!AJ756&amp;"|"&amp;'管线现金流'!H757&amp;"|"&amp;'管线现金流'!AJ757&amp;"|"&amp;'管线现金流'!H758&amp;"|"&amp;'管线现金流'!AJ758&amp;"|"&amp;'管线现金流'!H759&amp;"|"&amp;'管线现金流'!AJ759&amp;"|"&amp;'管线现金流'!H760&amp;"|"&amp;'管线现金流'!AJ760&amp;"|"&amp;'管线现金流'!H761&amp;"|"&amp;'管线现金流'!AJ761&amp;"|"&amp;'管线现金流'!H762&amp;"|"&amp;'管线现金流'!AJ762&amp;"|"&amp;'管线现金流'!H763&amp;"|"&amp;'管线现金流'!AJ763&amp;"|"&amp;'管线现金流'!H764&amp;"|"&amp;'管线现金流'!AJ764&amp;"|"&amp;'管线现金流'!H765&amp;"|"&amp;'管线现金流'!AJ765&amp;"|"&amp;'管线现金流'!H766&amp;"|"&amp;'管线现金流'!AJ766&amp;"|"&amp;'管线现金流'!H767&amp;"|"&amp;'管线现金流'!AJ767&amp;"|"&amp;'管线现金流'!H768&amp;"|"&amp;'管线现金流'!AJ768&amp;"|"&amp;'管线现金流'!H769&amp;"|"&amp;'管线现金流'!AJ769&amp;"|"&amp;'管线现金流'!H770&amp;"|"&amp;'管线现金流'!AJ770&amp;"|"&amp;'管线现金流'!H771&amp;"|"&amp;'管线现金流'!AJ771&amp;"|"&amp;'管线现金流'!H772&amp;"|"&amp;'管线现金流'!AJ772&amp;"|"&amp;'管线现金流'!H773&amp;"|"&amp;'管线现金流'!AJ773&amp;"|"&amp;'管线现金流'!H774&amp;"|"&amp;'管线现金流'!AJ774&amp;"|"&amp;'管线现金流'!H775&amp;"|"&amp;'管线现金流'!AJ775&amp;"|"&amp;'管线现金流'!H776&amp;"|"&amp;'管线现金流'!AJ776&amp;"|"&amp;'管线现金流'!H777&amp;"|"&amp;'管线现金流'!AJ777&amp;"|"&amp;'管线现金流'!H778&amp;"|"&amp;'管线现金流'!AJ778&amp;"|"&amp;'管线现金流'!H779&amp;"|"&amp;'管线现金流'!AJ779&amp;"|"&amp;'管线现金流'!H780&amp;"|"&amp;'管线现金流'!AJ780&amp;"|"&amp;'管线现金流'!H781&amp;"|"&amp;'管线现金流'!AJ781&amp;"|"&amp;'管线现金流'!H782&amp;"|"&amp;'管线现金流'!AJ782&amp;"|"&amp;'管线现金流'!H783&amp;"|"&amp;'管线现金流'!AJ783&amp;"|"&amp;'管线现金流'!H784&amp;"|"&amp;'管线现金流'!AJ784&amp;"|"&amp;'管线现金流'!H785&amp;"|"&amp;'管线现金流'!AJ785&amp;"|"&amp;'管线现金流'!H786&amp;"|"&amp;'管线现金流'!AJ786&amp;"|"&amp;'管线现金流'!H787&amp;"|"&amp;'管线现金流'!AJ787&amp;"|"&amp;'管线现金流'!H788&amp;"|"&amp;'管线现金流'!AJ788&amp;"|"&amp;'管线现金流'!H789&amp;"|"&amp;'管线现金流'!AJ789&amp;"|"&amp;'管线现金流'!H790&amp;"|"&amp;'管线现金流'!AJ790&amp;"|"&amp;'管线现金流'!H791&amp;"|"&amp;'管线现金流'!AJ791&amp;"|"&amp;'管线现金流'!H792&amp;"|"&amp;'管线现金流'!AJ792&amp;"|"&amp;'管线现金流'!H793&amp;"|"&amp;'管线现金流'!AJ793&amp;"|"&amp;'管线现金流'!H794&amp;"|"&amp;'管线现金流'!AJ794&amp;"|"&amp;'管线现金流'!H795&amp;"|"&amp;'管线现金流'!AJ795&amp;"|"&amp;'管线现金流'!U23&amp;"|"&amp;'管线现金流'!X23&amp;"|"&amp;'管线现金流'!AO23&amp;"|"&amp;'管线现金流'!AR23</x:f>
        <x:v>3.5|2.7|1|0.064|1|0.16|6.8|0.44999999999999996|0.064|1|0.16|6.8|1|0.22|1|0.16|6.8|0.15000000000000002|0.22|1|0.16|6.8|0.06000000000000005|0.2|1|0.16|6.8|0.17999999999999994|0.22|1|0.16|6.8|0.09999999999999998|0.22|1|0.16|6.8|0.09999999999999998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</x:row>
    <x:row r="191" ht="23" customHeight="1">
      <x:c r="A191" s="11" t="str">
        <x:v>688192.SH</x:v>
      </x:c>
      <x:c r="B191" s="11" t="str">
        <x:v>迪哲医药</x:v>
      </x:c>
      <x:c r="C191" s="11" t="str">
        <x:v>半年</x:v>
      </x:c>
      <x:c r="D191" s="11" t="str">
        <x:v>基准</x:v>
      </x:c>
      <x:c r="E191" s="11" t="n">
        <x:v>59.95</x:v>
      </x:c>
      <x:c r="F191" s="11" t="n">
        <x:v>42.24013946166621</x:v>
      </x:c>
      <x:c r="G191" s="11" t="n">
        <x:v>0</x:v>
      </x:c>
      <x:c r="H191" s="25" t="n">
        <x:v>-0.29541051773701066</x:v>
      </x:c>
      <x:c r="I191" s="25" t="n">
        <x:v>-0.29541051773701066</x:v>
      </x:c>
      <x:c r="J191" s="25" t="str"/>
      <x:c r="K191" s="11" t="n">
        <x:v>0</x:v>
      </x:c>
      <x:c r="L191" s="11" t="n">
        <x:v>0</x:v>
      </x:c>
      <x:c r="M191" s="11" t="n">
        <x:v>1</x:v>
      </x:c>
      <x:c r="N191" s="11" t="n">
        <x:v>0</x:v>
      </x:c>
      <x:c r="O191" s="11" t="n">
        <x:v>0</x:v>
      </x:c>
      <x:c r="P191" s="11" t="n">
        <x:v>0</x:v>
      </x:c>
      <x:c r="Q191" s="11" t="n">
        <x:v>0.485</x:v>
      </x:c>
      <x:c r="R191" s="11" t="str">
        <x:v>dizal-rnpv-v1.0</x:v>
      </x:c>
      <x:c r="S191" s="11" t="str">
        <x:v>2026-10-10</x:v>
      </x:c>
      <x:c r="T191" s="11" t="str">
        <x:f>IF(AND(SUM(IF(K191='假设'!E253,0,1),IF(L191='假设'!F253,0,1),IF(M191='假设'!G253,0,1),IF(N191='假设'!H253,0,1),IF(O191='假设'!I253,0,1),IF(P191='假设'!J253,0,1),IF(Q191='假设'!K253,0,1))=0,U191=V191),"已刷新","待刷新")</x:f>
        <x:v>已刷新</x:v>
      </x:c>
      <x:c r="U191" t="str">
        <x:v>4.05|2.4|1|0.08610000000000001|1|0.125|6.8|0.7844|0.08610000000000001|1|0.125|6.8|1|0.33|1|0.125|6.8|0.41200000000000003|0.33|1|0.125|6.8|0.21599999999999997|0.3|1|0.125|6.8|0.49039999999999995|0.32|1|0.125|6.8|0.31400000000000006|0.32|1|0.125|6.8|0.31400000000000006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  <x:c r="V191" t="str">
        <x:f>'假设'!N253&amp;"|"&amp;'假设'!Q253&amp;"|"&amp;'管线假设'!E161&amp;"|"&amp;'管线假设'!F161&amp;"|"&amp;'管线假设'!G161&amp;"|"&amp;'管线假设'!H161&amp;"|"&amp;'管线假设'!I161&amp;"|"&amp;'管线假设'!E165&amp;"|"&amp;'管线假设'!F165&amp;"|"&amp;'管线假设'!G165&amp;"|"&amp;'管线假设'!H165&amp;"|"&amp;'管线假设'!I165&amp;"|"&amp;'管线假设'!E169&amp;"|"&amp;'管线假设'!F169&amp;"|"&amp;'管线假设'!G169&amp;"|"&amp;'管线假设'!H169&amp;"|"&amp;'管线假设'!I169&amp;"|"&amp;'管线假设'!E173&amp;"|"&amp;'管线假设'!F173&amp;"|"&amp;'管线假设'!G173&amp;"|"&amp;'管线假设'!H173&amp;"|"&amp;'管线假设'!I173&amp;"|"&amp;'管线假设'!E177&amp;"|"&amp;'管线假设'!F177&amp;"|"&amp;'管线假设'!G177&amp;"|"&amp;'管线假设'!H177&amp;"|"&amp;'管线假设'!I177&amp;"|"&amp;'管线假设'!E181&amp;"|"&amp;'管线假设'!F181&amp;"|"&amp;'管线假设'!G181&amp;"|"&amp;'管线假设'!H181&amp;"|"&amp;'管线假设'!I181&amp;"|"&amp;'管线假设'!E185&amp;"|"&amp;'管线假设'!F185&amp;"|"&amp;'管线假设'!G185&amp;"|"&amp;'管线假设'!H185&amp;"|"&amp;'管线假设'!I185&amp;"|"&amp;'管线假设'!E189&amp;"|"&amp;'管线假设'!F189&amp;"|"&amp;'管线假设'!G189&amp;"|"&amp;'管线假设'!H189&amp;"|"&amp;'管线假设'!I189&amp;"|"&amp;'管线现金流'!I644&amp;"|"&amp;'管线现金流'!AK644&amp;"|"&amp;'管线现金流'!I645&amp;"|"&amp;'管线现金流'!AK645&amp;"|"&amp;'管线现金流'!I646&amp;"|"&amp;'管线现金流'!AK646&amp;"|"&amp;'管线现金流'!I647&amp;"|"&amp;'管线现金流'!AK647&amp;"|"&amp;'管线现金流'!I648&amp;"|"&amp;'管线现金流'!AK648&amp;"|"&amp;'管线现金流'!I649&amp;"|"&amp;'管线现金流'!AK649&amp;"|"&amp;'管线现金流'!I650&amp;"|"&amp;'管线现金流'!AK650&amp;"|"&amp;'管线现金流'!I651&amp;"|"&amp;'管线现金流'!AK651&amp;"|"&amp;'管线现金流'!I652&amp;"|"&amp;'管线现金流'!AK652&amp;"|"&amp;'管线现金流'!I653&amp;"|"&amp;'管线现金流'!AK653&amp;"|"&amp;'管线现金流'!I654&amp;"|"&amp;'管线现金流'!AK654&amp;"|"&amp;'管线现金流'!I655&amp;"|"&amp;'管线现金流'!AK655&amp;"|"&amp;'管线现金流'!I656&amp;"|"&amp;'管线现金流'!AK656&amp;"|"&amp;'管线现金流'!I657&amp;"|"&amp;'管线现金流'!AK657&amp;"|"&amp;'管线现金流'!I658&amp;"|"&amp;'管线现金流'!AK658&amp;"|"&amp;'管线现金流'!I659&amp;"|"&amp;'管线现金流'!AK659&amp;"|"&amp;'管线现金流'!I660&amp;"|"&amp;'管线现金流'!AK660&amp;"|"&amp;'管线现金流'!I661&amp;"|"&amp;'管线现金流'!AK661&amp;"|"&amp;'管线现金流'!I662&amp;"|"&amp;'管线现金流'!AK662&amp;"|"&amp;'管线现金流'!I663&amp;"|"&amp;'管线现金流'!AK663&amp;"|"&amp;'管线现金流'!I664&amp;"|"&amp;'管线现金流'!AK664&amp;"|"&amp;'管线现金流'!I665&amp;"|"&amp;'管线现金流'!AK665&amp;"|"&amp;'管线现金流'!I666&amp;"|"&amp;'管线现金流'!AK666&amp;"|"&amp;'管线现金流'!I667&amp;"|"&amp;'管线现金流'!AK667&amp;"|"&amp;'管线现金流'!I668&amp;"|"&amp;'管线现金流'!AK668&amp;"|"&amp;'管线现金流'!I669&amp;"|"&amp;'管线现金流'!AK669&amp;"|"&amp;'管线现金流'!I670&amp;"|"&amp;'管线现金流'!AK670&amp;"|"&amp;'管线现金流'!I671&amp;"|"&amp;'管线现金流'!AK671&amp;"|"&amp;'管线现金流'!I672&amp;"|"&amp;'管线现金流'!AK672&amp;"|"&amp;'管线现金流'!I673&amp;"|"&amp;'管线现金流'!AK673&amp;"|"&amp;'管线现金流'!I674&amp;"|"&amp;'管线现金流'!AK674&amp;"|"&amp;'管线现金流'!I675&amp;"|"&amp;'管线现金流'!AK675&amp;"|"&amp;'管线现金流'!I676&amp;"|"&amp;'管线现金流'!AK676&amp;"|"&amp;'管线现金流'!I677&amp;"|"&amp;'管线现金流'!AK677&amp;"|"&amp;'管线现金流'!I678&amp;"|"&amp;'管线现金流'!AK678&amp;"|"&amp;'管线现金流'!I679&amp;"|"&amp;'管线现金流'!AK679&amp;"|"&amp;'管线现金流'!I680&amp;"|"&amp;'管线现金流'!AK680&amp;"|"&amp;'管线现金流'!I681&amp;"|"&amp;'管线现金流'!AK681&amp;"|"&amp;'管线现金流'!I682&amp;"|"&amp;'管线现金流'!AK682&amp;"|"&amp;'管线现金流'!I683&amp;"|"&amp;'管线现金流'!AK683&amp;"|"&amp;'管线现金流'!I684&amp;"|"&amp;'管线现金流'!AK684&amp;"|"&amp;'管线现金流'!I685&amp;"|"&amp;'管线现金流'!AK685&amp;"|"&amp;'管线现金流'!I686&amp;"|"&amp;'管线现金流'!AK686&amp;"|"&amp;'管线现金流'!I687&amp;"|"&amp;'管线现金流'!AK687&amp;"|"&amp;'管线现金流'!I688&amp;"|"&amp;'管线现金流'!AK688&amp;"|"&amp;'管线现金流'!I689&amp;"|"&amp;'管线现金流'!AK689&amp;"|"&amp;'管线现金流'!I690&amp;"|"&amp;'管线现金流'!AK690&amp;"|"&amp;'管线现金流'!I691&amp;"|"&amp;'管线现金流'!AK691&amp;"|"&amp;'管线现金流'!I692&amp;"|"&amp;'管线现金流'!AK692&amp;"|"&amp;'管线现金流'!I693&amp;"|"&amp;'管线现金流'!AK693&amp;"|"&amp;'管线现金流'!I694&amp;"|"&amp;'管线现金流'!AK694&amp;"|"&amp;'管线现金流'!I695&amp;"|"&amp;'管线现金流'!AK695&amp;"|"&amp;'管线现金流'!I696&amp;"|"&amp;'管线现金流'!AK696&amp;"|"&amp;'管线现金流'!I697&amp;"|"&amp;'管线现金流'!AK697&amp;"|"&amp;'管线现金流'!I698&amp;"|"&amp;'管线现金流'!AK698&amp;"|"&amp;'管线现金流'!I699&amp;"|"&amp;'管线现金流'!AK699&amp;"|"&amp;'管线现金流'!I700&amp;"|"&amp;'管线现金流'!AK700&amp;"|"&amp;'管线现金流'!I701&amp;"|"&amp;'管线现金流'!AK701&amp;"|"&amp;'管线现金流'!I702&amp;"|"&amp;'管线现金流'!AK702&amp;"|"&amp;'管线现金流'!I703&amp;"|"&amp;'管线现金流'!AK703&amp;"|"&amp;'管线现金流'!I704&amp;"|"&amp;'管线现金流'!AK704&amp;"|"&amp;'管线现金流'!I705&amp;"|"&amp;'管线现金流'!AK705&amp;"|"&amp;'管线现金流'!I706&amp;"|"&amp;'管线现金流'!AK706&amp;"|"&amp;'管线现金流'!I707&amp;"|"&amp;'管线现金流'!AK707&amp;"|"&amp;'管线现金流'!I708&amp;"|"&amp;'管线现金流'!AK708&amp;"|"&amp;'管线现金流'!I709&amp;"|"&amp;'管线现金流'!AK709&amp;"|"&amp;'管线现金流'!I710&amp;"|"&amp;'管线现金流'!AK710&amp;"|"&amp;'管线现金流'!I711&amp;"|"&amp;'管线现金流'!AK711&amp;"|"&amp;'管线现金流'!I712&amp;"|"&amp;'管线现金流'!AK712&amp;"|"&amp;'管线现金流'!I713&amp;"|"&amp;'管线现金流'!AK713&amp;"|"&amp;'管线现金流'!I714&amp;"|"&amp;'管线现金流'!AK714&amp;"|"&amp;'管线现金流'!I715&amp;"|"&amp;'管线现金流'!AK715&amp;"|"&amp;'管线现金流'!I716&amp;"|"&amp;'管线现金流'!AK716&amp;"|"&amp;'管线现金流'!I717&amp;"|"&amp;'管线现金流'!AK717&amp;"|"&amp;'管线现金流'!I718&amp;"|"&amp;'管线现金流'!AK718&amp;"|"&amp;'管线现金流'!I719&amp;"|"&amp;'管线现金流'!AK719&amp;"|"&amp;'管线现金流'!I720&amp;"|"&amp;'管线现金流'!AK720&amp;"|"&amp;'管线现金流'!I721&amp;"|"&amp;'管线现金流'!AK721&amp;"|"&amp;'管线现金流'!I722&amp;"|"&amp;'管线现金流'!AK722&amp;"|"&amp;'管线现金流'!I723&amp;"|"&amp;'管线现金流'!AK723&amp;"|"&amp;'管线现金流'!I724&amp;"|"&amp;'管线现金流'!AK724&amp;"|"&amp;'管线现金流'!I725&amp;"|"&amp;'管线现金流'!AK725&amp;"|"&amp;'管线现金流'!I726&amp;"|"&amp;'管线现金流'!AK726&amp;"|"&amp;'管线现金流'!I727&amp;"|"&amp;'管线现金流'!AK727&amp;"|"&amp;'管线现金流'!I728&amp;"|"&amp;'管线现金流'!AK728&amp;"|"&amp;'管线现金流'!I729&amp;"|"&amp;'管线现金流'!AK729&amp;"|"&amp;'管线现金流'!I730&amp;"|"&amp;'管线现金流'!AK730&amp;"|"&amp;'管线现金流'!I731&amp;"|"&amp;'管线现金流'!AK731&amp;"|"&amp;'管线现金流'!I732&amp;"|"&amp;'管线现金流'!AK732&amp;"|"&amp;'管线现金流'!I733&amp;"|"&amp;'管线现金流'!AK733&amp;"|"&amp;'管线现金流'!I734&amp;"|"&amp;'管线现金流'!AK734&amp;"|"&amp;'管线现金流'!I735&amp;"|"&amp;'管线现金流'!AK735&amp;"|"&amp;'管线现金流'!I736&amp;"|"&amp;'管线现金流'!AK736&amp;"|"&amp;'管线现金流'!I737&amp;"|"&amp;'管线现金流'!AK737&amp;"|"&amp;'管线现金流'!I738&amp;"|"&amp;'管线现金流'!AK738&amp;"|"&amp;'管线现金流'!I739&amp;"|"&amp;'管线现金流'!AK739&amp;"|"&amp;'管线现金流'!I740&amp;"|"&amp;'管线现金流'!AK740&amp;"|"&amp;'管线现金流'!I741&amp;"|"&amp;'管线现金流'!AK741&amp;"|"&amp;'管线现金流'!I742&amp;"|"&amp;'管线现金流'!AK742&amp;"|"&amp;'管线现金流'!I743&amp;"|"&amp;'管线现金流'!AK743&amp;"|"&amp;'管线现金流'!I744&amp;"|"&amp;'管线现金流'!AK744&amp;"|"&amp;'管线现金流'!I745&amp;"|"&amp;'管线现金流'!AK745&amp;"|"&amp;'管线现金流'!I746&amp;"|"&amp;'管线现金流'!AK746&amp;"|"&amp;'管线现金流'!I747&amp;"|"&amp;'管线现金流'!AK747&amp;"|"&amp;'管线现金流'!I748&amp;"|"&amp;'管线现金流'!AK748&amp;"|"&amp;'管线现金流'!I749&amp;"|"&amp;'管线现金流'!AK749&amp;"|"&amp;'管线现金流'!I750&amp;"|"&amp;'管线现金流'!AK750&amp;"|"&amp;'管线现金流'!I751&amp;"|"&amp;'管线现金流'!AK751&amp;"|"&amp;'管线现金流'!I752&amp;"|"&amp;'管线现金流'!AK752&amp;"|"&amp;'管线现金流'!I753&amp;"|"&amp;'管线现金流'!AK753&amp;"|"&amp;'管线现金流'!I754&amp;"|"&amp;'管线现金流'!AK754&amp;"|"&amp;'管线现金流'!I755&amp;"|"&amp;'管线现金流'!AK755&amp;"|"&amp;'管线现金流'!I756&amp;"|"&amp;'管线现金流'!AK756&amp;"|"&amp;'管线现金流'!I757&amp;"|"&amp;'管线现金流'!AK757&amp;"|"&amp;'管线现金流'!I758&amp;"|"&amp;'管线现金流'!AK758&amp;"|"&amp;'管线现金流'!I759&amp;"|"&amp;'管线现金流'!AK759&amp;"|"&amp;'管线现金流'!I760&amp;"|"&amp;'管线现金流'!AK760&amp;"|"&amp;'管线现金流'!I761&amp;"|"&amp;'管线现金流'!AK761&amp;"|"&amp;'管线现金流'!I762&amp;"|"&amp;'管线现金流'!AK762&amp;"|"&amp;'管线现金流'!I763&amp;"|"&amp;'管线现金流'!AK763&amp;"|"&amp;'管线现金流'!I764&amp;"|"&amp;'管线现金流'!AK764&amp;"|"&amp;'管线现金流'!I765&amp;"|"&amp;'管线现金流'!AK765&amp;"|"&amp;'管线现金流'!I766&amp;"|"&amp;'管线现金流'!AK766&amp;"|"&amp;'管线现金流'!I767&amp;"|"&amp;'管线现金流'!AK767&amp;"|"&amp;'管线现金流'!I768&amp;"|"&amp;'管线现金流'!AK768&amp;"|"&amp;'管线现金流'!I769&amp;"|"&amp;'管线现金流'!AK769&amp;"|"&amp;'管线现金流'!I770&amp;"|"&amp;'管线现金流'!AK770&amp;"|"&amp;'管线现金流'!I771&amp;"|"&amp;'管线现金流'!AK771&amp;"|"&amp;'管线现金流'!I772&amp;"|"&amp;'管线现金流'!AK772&amp;"|"&amp;'管线现金流'!I773&amp;"|"&amp;'管线现金流'!AK773&amp;"|"&amp;'管线现金流'!I774&amp;"|"&amp;'管线现金流'!AK774&amp;"|"&amp;'管线现金流'!I775&amp;"|"&amp;'管线现金流'!AK775&amp;"|"&amp;'管线现金流'!I776&amp;"|"&amp;'管线现金流'!AK776&amp;"|"&amp;'管线现金流'!I777&amp;"|"&amp;'管线现金流'!AK777&amp;"|"&amp;'管线现金流'!I778&amp;"|"&amp;'管线现金流'!AK778&amp;"|"&amp;'管线现金流'!I779&amp;"|"&amp;'管线现金流'!AK779&amp;"|"&amp;'管线现金流'!I780&amp;"|"&amp;'管线现金流'!AK780&amp;"|"&amp;'管线现金流'!I781&amp;"|"&amp;'管线现金流'!AK781&amp;"|"&amp;'管线现金流'!I782&amp;"|"&amp;'管线现金流'!AK782&amp;"|"&amp;'管线现金流'!I783&amp;"|"&amp;'管线现金流'!AK783&amp;"|"&amp;'管线现金流'!I784&amp;"|"&amp;'管线现金流'!AK784&amp;"|"&amp;'管线现金流'!I785&amp;"|"&amp;'管线现金流'!AK785&amp;"|"&amp;'管线现金流'!I786&amp;"|"&amp;'管线现金流'!AK786&amp;"|"&amp;'管线现金流'!I787&amp;"|"&amp;'管线现金流'!AK787&amp;"|"&amp;'管线现金流'!I788&amp;"|"&amp;'管线现金流'!AK788&amp;"|"&amp;'管线现金流'!I789&amp;"|"&amp;'管线现金流'!AK789&amp;"|"&amp;'管线现金流'!I790&amp;"|"&amp;'管线现金流'!AK790&amp;"|"&amp;'管线现金流'!I791&amp;"|"&amp;'管线现金流'!AK791&amp;"|"&amp;'管线现金流'!I792&amp;"|"&amp;'管线现金流'!AK792&amp;"|"&amp;'管线现金流'!I793&amp;"|"&amp;'管线现金流'!AK793&amp;"|"&amp;'管线现金流'!I794&amp;"|"&amp;'管线现金流'!AK794&amp;"|"&amp;'管线现金流'!I795&amp;"|"&amp;'管线现金流'!AK795&amp;"|"&amp;'管线现金流'!V23&amp;"|"&amp;'管线现金流'!Y23&amp;"|"&amp;'管线现金流'!AP23&amp;"|"&amp;'管线现金流'!AS23</x:f>
        <x:v>4.05|2.4|1|0.08610000000000001|1|0.125|6.8|0.7844|0.08610000000000001|1|0.125|6.8|1|0.33|1|0.125|6.8|0.41200000000000003|0.33|1|0.125|6.8|0.21599999999999997|0.3|1|0.125|6.8|0.49039999999999995|0.32|1|0.125|6.8|0.31400000000000006|0.32|1|0.125|6.8|0.31400000000000006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</x:row>
    <x:row r="192" ht="23" customHeight="1">
      <x:c r="A192" s="11" t="str">
        <x:v>688192.SH</x:v>
      </x:c>
      <x:c r="B192" s="11" t="str">
        <x:v>迪哲医药</x:v>
      </x:c>
      <x:c r="C192" s="11" t="str">
        <x:v>半年</x:v>
      </x:c>
      <x:c r="D192" s="11" t="str">
        <x:v>乐观</x:v>
      </x:c>
      <x:c r="E192" s="11" t="n">
        <x:v>59.95</x:v>
      </x:c>
      <x:c r="F192" s="11" t="n">
        <x:v>185.22316408617084</x:v>
      </x:c>
      <x:c r="G192" s="11" t="n">
        <x:v>0</x:v>
      </x:c>
      <x:c r="H192" s="25" t="n">
        <x:v>2.0896274242897555</x:v>
      </x:c>
      <x:c r="I192" s="25" t="n">
        <x:v>2.0896274242897555</x:v>
      </x:c>
      <x:c r="J192" s="25" t="str"/>
      <x:c r="K192" s="11" t="n">
        <x:v>0</x:v>
      </x:c>
      <x:c r="L192" s="11" t="n">
        <x:v>0</x:v>
      </x:c>
      <x:c r="M192" s="11" t="n">
        <x:v>1</x:v>
      </x:c>
      <x:c r="N192" s="11" t="n">
        <x:v>0</x:v>
      </x:c>
      <x:c r="O192" s="11" t="n">
        <x:v>0</x:v>
      </x:c>
      <x:c r="P192" s="11" t="n">
        <x:v>0</x:v>
      </x:c>
      <x:c r="Q192" s="11" t="n">
        <x:v>0.48</x:v>
      </x:c>
      <x:c r="R192" s="11" t="str">
        <x:v>dizal-rnpv-v1.0</x:v>
      </x:c>
      <x:c r="S192" s="11" t="str">
        <x:v>2026-10-10</x:v>
      </x:c>
      <x:c r="T192" s="11" t="str">
        <x:f>IF(AND(SUM(IF(K192='假设'!E254,0,1),IF(L192='假设'!F254,0,1),IF(M192='假设'!G254,0,1),IF(N192='假设'!H254,0,1),IF(O192='假设'!I254,0,1),IF(P192='假设'!J254,0,1),IF(Q192='假设'!K254,0,1))=0,U192=V192),"已刷新","待刷新")</x:f>
        <x:v>已刷新</x:v>
      </x:c>
      <x:c r="U192" t="str">
        <x:v>4.5|2.6|1|0.1105|1|0.105|6.8|0.924|0.1105|1|0.105|6.8|1|0.4|1|0.105|6.8|0.6675|0.4|1|0.105|6.8|0.43000000000000005|0.38|1|0.105|6.8|0.715|0.4|1|0.105|6.8|0.5725|0.4|1|0.105|6.8|0.5725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  <x:c r="V192" t="str">
        <x:f>'假设'!N254&amp;"|"&amp;'假设'!Q254&amp;"|"&amp;'管线假设'!E162&amp;"|"&amp;'管线假设'!F162&amp;"|"&amp;'管线假设'!G162&amp;"|"&amp;'管线假设'!H162&amp;"|"&amp;'管线假设'!I162&amp;"|"&amp;'管线假设'!E166&amp;"|"&amp;'管线假设'!F166&amp;"|"&amp;'管线假设'!G166&amp;"|"&amp;'管线假设'!H166&amp;"|"&amp;'管线假设'!I166&amp;"|"&amp;'管线假设'!E170&amp;"|"&amp;'管线假设'!F170&amp;"|"&amp;'管线假设'!G170&amp;"|"&amp;'管线假设'!H170&amp;"|"&amp;'管线假设'!I170&amp;"|"&amp;'管线假设'!E174&amp;"|"&amp;'管线假设'!F174&amp;"|"&amp;'管线假设'!G174&amp;"|"&amp;'管线假设'!H174&amp;"|"&amp;'管线假设'!I174&amp;"|"&amp;'管线假设'!E178&amp;"|"&amp;'管线假设'!F178&amp;"|"&amp;'管线假设'!G178&amp;"|"&amp;'管线假设'!H178&amp;"|"&amp;'管线假设'!I178&amp;"|"&amp;'管线假设'!E182&amp;"|"&amp;'管线假设'!F182&amp;"|"&amp;'管线假设'!G182&amp;"|"&amp;'管线假设'!H182&amp;"|"&amp;'管线假设'!I182&amp;"|"&amp;'管线假设'!E186&amp;"|"&amp;'管线假设'!F186&amp;"|"&amp;'管线假设'!G186&amp;"|"&amp;'管线假设'!H186&amp;"|"&amp;'管线假设'!I186&amp;"|"&amp;'管线假设'!E190&amp;"|"&amp;'管线假设'!F190&amp;"|"&amp;'管线假设'!G190&amp;"|"&amp;'管线假设'!H190&amp;"|"&amp;'管线假设'!I190&amp;"|"&amp;'管线现金流'!J644&amp;"|"&amp;'管线现金流'!AL644&amp;"|"&amp;'管线现金流'!J645&amp;"|"&amp;'管线现金流'!AL645&amp;"|"&amp;'管线现金流'!J646&amp;"|"&amp;'管线现金流'!AL646&amp;"|"&amp;'管线现金流'!J647&amp;"|"&amp;'管线现金流'!AL647&amp;"|"&amp;'管线现金流'!J648&amp;"|"&amp;'管线现金流'!AL648&amp;"|"&amp;'管线现金流'!J649&amp;"|"&amp;'管线现金流'!AL649&amp;"|"&amp;'管线现金流'!J650&amp;"|"&amp;'管线现金流'!AL650&amp;"|"&amp;'管线现金流'!J651&amp;"|"&amp;'管线现金流'!AL651&amp;"|"&amp;'管线现金流'!J652&amp;"|"&amp;'管线现金流'!AL652&amp;"|"&amp;'管线现金流'!J653&amp;"|"&amp;'管线现金流'!AL653&amp;"|"&amp;'管线现金流'!J654&amp;"|"&amp;'管线现金流'!AL654&amp;"|"&amp;'管线现金流'!J655&amp;"|"&amp;'管线现金流'!AL655&amp;"|"&amp;'管线现金流'!J656&amp;"|"&amp;'管线现金流'!AL656&amp;"|"&amp;'管线现金流'!J657&amp;"|"&amp;'管线现金流'!AL657&amp;"|"&amp;'管线现金流'!J658&amp;"|"&amp;'管线现金流'!AL658&amp;"|"&amp;'管线现金流'!J659&amp;"|"&amp;'管线现金流'!AL659&amp;"|"&amp;'管线现金流'!J660&amp;"|"&amp;'管线现金流'!AL660&amp;"|"&amp;'管线现金流'!J661&amp;"|"&amp;'管线现金流'!AL661&amp;"|"&amp;'管线现金流'!J662&amp;"|"&amp;'管线现金流'!AL662&amp;"|"&amp;'管线现金流'!J663&amp;"|"&amp;'管线现金流'!AL663&amp;"|"&amp;'管线现金流'!J664&amp;"|"&amp;'管线现金流'!AL664&amp;"|"&amp;'管线现金流'!J665&amp;"|"&amp;'管线现金流'!AL665&amp;"|"&amp;'管线现金流'!J666&amp;"|"&amp;'管线现金流'!AL666&amp;"|"&amp;'管线现金流'!J667&amp;"|"&amp;'管线现金流'!AL667&amp;"|"&amp;'管线现金流'!J668&amp;"|"&amp;'管线现金流'!AL668&amp;"|"&amp;'管线现金流'!J669&amp;"|"&amp;'管线现金流'!AL669&amp;"|"&amp;'管线现金流'!J670&amp;"|"&amp;'管线现金流'!AL670&amp;"|"&amp;'管线现金流'!J671&amp;"|"&amp;'管线现金流'!AL671&amp;"|"&amp;'管线现金流'!J672&amp;"|"&amp;'管线现金流'!AL672&amp;"|"&amp;'管线现金流'!J673&amp;"|"&amp;'管线现金流'!AL673&amp;"|"&amp;'管线现金流'!J674&amp;"|"&amp;'管线现金流'!AL674&amp;"|"&amp;'管线现金流'!J675&amp;"|"&amp;'管线现金流'!AL675&amp;"|"&amp;'管线现金流'!J676&amp;"|"&amp;'管线现金流'!AL676&amp;"|"&amp;'管线现金流'!J677&amp;"|"&amp;'管线现金流'!AL677&amp;"|"&amp;'管线现金流'!J678&amp;"|"&amp;'管线现金流'!AL678&amp;"|"&amp;'管线现金流'!J679&amp;"|"&amp;'管线现金流'!AL679&amp;"|"&amp;'管线现金流'!J680&amp;"|"&amp;'管线现金流'!AL680&amp;"|"&amp;'管线现金流'!J681&amp;"|"&amp;'管线现金流'!AL681&amp;"|"&amp;'管线现金流'!J682&amp;"|"&amp;'管线现金流'!AL682&amp;"|"&amp;'管线现金流'!J683&amp;"|"&amp;'管线现金流'!AL683&amp;"|"&amp;'管线现金流'!J684&amp;"|"&amp;'管线现金流'!AL684&amp;"|"&amp;'管线现金流'!J685&amp;"|"&amp;'管线现金流'!AL685&amp;"|"&amp;'管线现金流'!J686&amp;"|"&amp;'管线现金流'!AL686&amp;"|"&amp;'管线现金流'!J687&amp;"|"&amp;'管线现金流'!AL687&amp;"|"&amp;'管线现金流'!J688&amp;"|"&amp;'管线现金流'!AL688&amp;"|"&amp;'管线现金流'!J689&amp;"|"&amp;'管线现金流'!AL689&amp;"|"&amp;'管线现金流'!J690&amp;"|"&amp;'管线现金流'!AL690&amp;"|"&amp;'管线现金流'!J691&amp;"|"&amp;'管线现金流'!AL691&amp;"|"&amp;'管线现金流'!J692&amp;"|"&amp;'管线现金流'!AL692&amp;"|"&amp;'管线现金流'!J693&amp;"|"&amp;'管线现金流'!AL693&amp;"|"&amp;'管线现金流'!J694&amp;"|"&amp;'管线现金流'!AL694&amp;"|"&amp;'管线现金流'!J695&amp;"|"&amp;'管线现金流'!AL695&amp;"|"&amp;'管线现金流'!J696&amp;"|"&amp;'管线现金流'!AL696&amp;"|"&amp;'管线现金流'!J697&amp;"|"&amp;'管线现金流'!AL697&amp;"|"&amp;'管线现金流'!J698&amp;"|"&amp;'管线现金流'!AL698&amp;"|"&amp;'管线现金流'!J699&amp;"|"&amp;'管线现金流'!AL699&amp;"|"&amp;'管线现金流'!J700&amp;"|"&amp;'管线现金流'!AL700&amp;"|"&amp;'管线现金流'!J701&amp;"|"&amp;'管线现金流'!AL701&amp;"|"&amp;'管线现金流'!J702&amp;"|"&amp;'管线现金流'!AL702&amp;"|"&amp;'管线现金流'!J703&amp;"|"&amp;'管线现金流'!AL703&amp;"|"&amp;'管线现金流'!J704&amp;"|"&amp;'管线现金流'!AL704&amp;"|"&amp;'管线现金流'!J705&amp;"|"&amp;'管线现金流'!AL705&amp;"|"&amp;'管线现金流'!J706&amp;"|"&amp;'管线现金流'!AL706&amp;"|"&amp;'管线现金流'!J707&amp;"|"&amp;'管线现金流'!AL707&amp;"|"&amp;'管线现金流'!J708&amp;"|"&amp;'管线现金流'!AL708&amp;"|"&amp;'管线现金流'!J709&amp;"|"&amp;'管线现金流'!AL709&amp;"|"&amp;'管线现金流'!J710&amp;"|"&amp;'管线现金流'!AL710&amp;"|"&amp;'管线现金流'!J711&amp;"|"&amp;'管线现金流'!AL711&amp;"|"&amp;'管线现金流'!J712&amp;"|"&amp;'管线现金流'!AL712&amp;"|"&amp;'管线现金流'!J713&amp;"|"&amp;'管线现金流'!AL713&amp;"|"&amp;'管线现金流'!J714&amp;"|"&amp;'管线现金流'!AL714&amp;"|"&amp;'管线现金流'!J715&amp;"|"&amp;'管线现金流'!AL715&amp;"|"&amp;'管线现金流'!J716&amp;"|"&amp;'管线现金流'!AL716&amp;"|"&amp;'管线现金流'!J717&amp;"|"&amp;'管线现金流'!AL717&amp;"|"&amp;'管线现金流'!J718&amp;"|"&amp;'管线现金流'!AL718&amp;"|"&amp;'管线现金流'!J719&amp;"|"&amp;'管线现金流'!AL719&amp;"|"&amp;'管线现金流'!J720&amp;"|"&amp;'管线现金流'!AL720&amp;"|"&amp;'管线现金流'!J721&amp;"|"&amp;'管线现金流'!AL721&amp;"|"&amp;'管线现金流'!J722&amp;"|"&amp;'管线现金流'!AL722&amp;"|"&amp;'管线现金流'!J723&amp;"|"&amp;'管线现金流'!AL723&amp;"|"&amp;'管线现金流'!J724&amp;"|"&amp;'管线现金流'!AL724&amp;"|"&amp;'管线现金流'!J725&amp;"|"&amp;'管线现金流'!AL725&amp;"|"&amp;'管线现金流'!J726&amp;"|"&amp;'管线现金流'!AL726&amp;"|"&amp;'管线现金流'!J727&amp;"|"&amp;'管线现金流'!AL727&amp;"|"&amp;'管线现金流'!J728&amp;"|"&amp;'管线现金流'!AL728&amp;"|"&amp;'管线现金流'!J729&amp;"|"&amp;'管线现金流'!AL729&amp;"|"&amp;'管线现金流'!J730&amp;"|"&amp;'管线现金流'!AL730&amp;"|"&amp;'管线现金流'!J731&amp;"|"&amp;'管线现金流'!AL731&amp;"|"&amp;'管线现金流'!J732&amp;"|"&amp;'管线现金流'!AL732&amp;"|"&amp;'管线现金流'!J733&amp;"|"&amp;'管线现金流'!AL733&amp;"|"&amp;'管线现金流'!J734&amp;"|"&amp;'管线现金流'!AL734&amp;"|"&amp;'管线现金流'!J735&amp;"|"&amp;'管线现金流'!AL735&amp;"|"&amp;'管线现金流'!J736&amp;"|"&amp;'管线现金流'!AL736&amp;"|"&amp;'管线现金流'!J737&amp;"|"&amp;'管线现金流'!AL737&amp;"|"&amp;'管线现金流'!J738&amp;"|"&amp;'管线现金流'!AL738&amp;"|"&amp;'管线现金流'!J739&amp;"|"&amp;'管线现金流'!AL739&amp;"|"&amp;'管线现金流'!J740&amp;"|"&amp;'管线现金流'!AL740&amp;"|"&amp;'管线现金流'!J741&amp;"|"&amp;'管线现金流'!AL741&amp;"|"&amp;'管线现金流'!J742&amp;"|"&amp;'管线现金流'!AL742&amp;"|"&amp;'管线现金流'!J743&amp;"|"&amp;'管线现金流'!AL743&amp;"|"&amp;'管线现金流'!J744&amp;"|"&amp;'管线现金流'!AL744&amp;"|"&amp;'管线现金流'!J745&amp;"|"&amp;'管线现金流'!AL745&amp;"|"&amp;'管线现金流'!J746&amp;"|"&amp;'管线现金流'!AL746&amp;"|"&amp;'管线现金流'!J747&amp;"|"&amp;'管线现金流'!AL747&amp;"|"&amp;'管线现金流'!J748&amp;"|"&amp;'管线现金流'!AL748&amp;"|"&amp;'管线现金流'!J749&amp;"|"&amp;'管线现金流'!AL749&amp;"|"&amp;'管线现金流'!J750&amp;"|"&amp;'管线现金流'!AL750&amp;"|"&amp;'管线现金流'!J751&amp;"|"&amp;'管线现金流'!AL751&amp;"|"&amp;'管线现金流'!J752&amp;"|"&amp;'管线现金流'!AL752&amp;"|"&amp;'管线现金流'!J753&amp;"|"&amp;'管线现金流'!AL753&amp;"|"&amp;'管线现金流'!J754&amp;"|"&amp;'管线现金流'!AL754&amp;"|"&amp;'管线现金流'!J755&amp;"|"&amp;'管线现金流'!AL755&amp;"|"&amp;'管线现金流'!J756&amp;"|"&amp;'管线现金流'!AL756&amp;"|"&amp;'管线现金流'!J757&amp;"|"&amp;'管线现金流'!AL757&amp;"|"&amp;'管线现金流'!J758&amp;"|"&amp;'管线现金流'!AL758&amp;"|"&amp;'管线现金流'!J759&amp;"|"&amp;'管线现金流'!AL759&amp;"|"&amp;'管线现金流'!J760&amp;"|"&amp;'管线现金流'!AL760&amp;"|"&amp;'管线现金流'!J761&amp;"|"&amp;'管线现金流'!AL761&amp;"|"&amp;'管线现金流'!J762&amp;"|"&amp;'管线现金流'!AL762&amp;"|"&amp;'管线现金流'!J763&amp;"|"&amp;'管线现金流'!AL763&amp;"|"&amp;'管线现金流'!J764&amp;"|"&amp;'管线现金流'!AL764&amp;"|"&amp;'管线现金流'!J765&amp;"|"&amp;'管线现金流'!AL765&amp;"|"&amp;'管线现金流'!J766&amp;"|"&amp;'管线现金流'!AL766&amp;"|"&amp;'管线现金流'!J767&amp;"|"&amp;'管线现金流'!AL767&amp;"|"&amp;'管线现金流'!J768&amp;"|"&amp;'管线现金流'!AL768&amp;"|"&amp;'管线现金流'!J769&amp;"|"&amp;'管线现金流'!AL769&amp;"|"&amp;'管线现金流'!J770&amp;"|"&amp;'管线现金流'!AL770&amp;"|"&amp;'管线现金流'!J771&amp;"|"&amp;'管线现金流'!AL771&amp;"|"&amp;'管线现金流'!J772&amp;"|"&amp;'管线现金流'!AL772&amp;"|"&amp;'管线现金流'!J773&amp;"|"&amp;'管线现金流'!AL773&amp;"|"&amp;'管线现金流'!J774&amp;"|"&amp;'管线现金流'!AL774&amp;"|"&amp;'管线现金流'!J775&amp;"|"&amp;'管线现金流'!AL775&amp;"|"&amp;'管线现金流'!J776&amp;"|"&amp;'管线现金流'!AL776&amp;"|"&amp;'管线现金流'!J777&amp;"|"&amp;'管线现金流'!AL777&amp;"|"&amp;'管线现金流'!J778&amp;"|"&amp;'管线现金流'!AL778&amp;"|"&amp;'管线现金流'!J779&amp;"|"&amp;'管线现金流'!AL779&amp;"|"&amp;'管线现金流'!J780&amp;"|"&amp;'管线现金流'!AL780&amp;"|"&amp;'管线现金流'!J781&amp;"|"&amp;'管线现金流'!AL781&amp;"|"&amp;'管线现金流'!J782&amp;"|"&amp;'管线现金流'!AL782&amp;"|"&amp;'管线现金流'!J783&amp;"|"&amp;'管线现金流'!AL783&amp;"|"&amp;'管线现金流'!J784&amp;"|"&amp;'管线现金流'!AL784&amp;"|"&amp;'管线现金流'!J785&amp;"|"&amp;'管线现金流'!AL785&amp;"|"&amp;'管线现金流'!J786&amp;"|"&amp;'管线现金流'!AL786&amp;"|"&amp;'管线现金流'!J787&amp;"|"&amp;'管线现金流'!AL787&amp;"|"&amp;'管线现金流'!J788&amp;"|"&amp;'管线现金流'!AL788&amp;"|"&amp;'管线现金流'!J789&amp;"|"&amp;'管线现金流'!AL789&amp;"|"&amp;'管线现金流'!J790&amp;"|"&amp;'管线现金流'!AL790&amp;"|"&amp;'管线现金流'!J791&amp;"|"&amp;'管线现金流'!AL791&amp;"|"&amp;'管线现金流'!J792&amp;"|"&amp;'管线现金流'!AL792&amp;"|"&amp;'管线现金流'!J793&amp;"|"&amp;'管线现金流'!AL793&amp;"|"&amp;'管线现金流'!J794&amp;"|"&amp;'管线现金流'!AL794&amp;"|"&amp;'管线现金流'!J795&amp;"|"&amp;'管线现金流'!AL795&amp;"|"&amp;'管线现金流'!W23&amp;"|"&amp;'管线现金流'!Z23&amp;"|"&amp;'管线现金流'!AQ23&amp;"|"&amp;'管线现金流'!AT23</x:f>
        <x:v>4.5|2.6|1|0.1105|1|0.105|6.8|0.924|0.1105|1|0.105|6.8|1|0.4|1|0.105|6.8|0.6675|0.4|1|0.105|6.8|0.43000000000000005|0.38|1|0.105|6.8|0.715|0.4|1|0.105|6.8|0.5725|0.4|1|0.105|6.8|0.5725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</x:row>
    <x:row r="193" ht="23" customHeight="1">
      <x:c r="A193" s="11" t="str">
        <x:v>688192.SH</x:v>
      </x:c>
      <x:c r="B193" s="11" t="str">
        <x:v>迪哲医药</x:v>
      </x:c>
      <x:c r="C193" s="11" t="str">
        <x:v>一年</x:v>
      </x:c>
      <x:c r="D193" s="11" t="str">
        <x:v>悲观</x:v>
      </x:c>
      <x:c r="E193" s="11" t="n">
        <x:v>59.95</x:v>
      </x:c>
      <x:c r="F193" s="11" t="n">
        <x:v>4.805076176760017</x:v>
      </x:c>
      <x:c r="G193" s="11" t="n">
        <x:v>0</x:v>
      </x:c>
      <x:c r="H193" s="25" t="n">
        <x:v>-0.9198486042241866</x:v>
      </x:c>
      <x:c r="I193" s="25" t="n">
        <x:v>-0.9198486042241866</x:v>
      </x:c>
      <x:c r="J193" s="25" t="str"/>
      <x:c r="K193" s="11" t="n">
        <x:v>0</x:v>
      </x:c>
      <x:c r="L193" s="11" t="n">
        <x:v>0</x:v>
      </x:c>
      <x:c r="M193" s="11" t="n">
        <x:v>1</x:v>
      </x:c>
      <x:c r="N193" s="11" t="n">
        <x:v>0</x:v>
      </x:c>
      <x:c r="O193" s="11" t="n">
        <x:v>0</x:v>
      </x:c>
      <x:c r="P193" s="11" t="n">
        <x:v>0</x:v>
      </x:c>
      <x:c r="Q193" s="11" t="n">
        <x:v>0.51</x:v>
      </x:c>
      <x:c r="R193" s="11" t="str">
        <x:v>dizal-rnpv-v1.0</x:v>
      </x:c>
      <x:c r="S193" s="11" t="str">
        <x:v>2026-10-10</x:v>
      </x:c>
      <x:c r="T193" s="11" t="str">
        <x:f>IF(AND(SUM(IF(K193='假设'!E256,0,1),IF(L193='假设'!F256,0,1),IF(M193='假设'!G256,0,1),IF(N193='假设'!H256,0,1),IF(O193='假设'!I256,0,1),IF(P193='假设'!J256,0,1),IF(Q193='假设'!K256,0,1))=0,U193=V193),"已刷新","待刷新")</x:f>
        <x:v>已刷新</x:v>
      </x:c>
      <x:c r="U193" t="str">
        <x:v>3.1|2.6|1|0.064|1|0.16|6.8|0.4665|0.064|1|0.16|6.8|1|0.22|1|0.16|6.8|0.1755|0.22|1|0.16|6.8|0.08820000000000006|0.2|1|0.16|6.8|0.2046|0.22|1|0.16|6.8|0.127|0.22|1|0.16|6.8|0.127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  <x:c r="V193" t="str">
        <x:f>'假设'!N256&amp;"|"&amp;'假设'!Q256&amp;"|"&amp;'管线假设'!E192&amp;"|"&amp;'管线假设'!F192&amp;"|"&amp;'管线假设'!G192&amp;"|"&amp;'管线假设'!H192&amp;"|"&amp;'管线假设'!I192&amp;"|"&amp;'管线假设'!E196&amp;"|"&amp;'管线假设'!F196&amp;"|"&amp;'管线假设'!G196&amp;"|"&amp;'管线假设'!H196&amp;"|"&amp;'管线假设'!I196&amp;"|"&amp;'管线假设'!E200&amp;"|"&amp;'管线假设'!F200&amp;"|"&amp;'管线假设'!G200&amp;"|"&amp;'管线假设'!H200&amp;"|"&amp;'管线假设'!I200&amp;"|"&amp;'管线假设'!E204&amp;"|"&amp;'管线假设'!F204&amp;"|"&amp;'管线假设'!G204&amp;"|"&amp;'管线假设'!H204&amp;"|"&amp;'管线假设'!I204&amp;"|"&amp;'管线假设'!E208&amp;"|"&amp;'管线假设'!F208&amp;"|"&amp;'管线假设'!G208&amp;"|"&amp;'管线假设'!H208&amp;"|"&amp;'管线假设'!I208&amp;"|"&amp;'管线假设'!E212&amp;"|"&amp;'管线假设'!F212&amp;"|"&amp;'管线假设'!G212&amp;"|"&amp;'管线假设'!H212&amp;"|"&amp;'管线假设'!I212&amp;"|"&amp;'管线假设'!E216&amp;"|"&amp;'管线假设'!F216&amp;"|"&amp;'管线假设'!G216&amp;"|"&amp;'管线假设'!H216&amp;"|"&amp;'管线假设'!I216&amp;"|"&amp;'管线假设'!E220&amp;"|"&amp;'管线假设'!F220&amp;"|"&amp;'管线假设'!G220&amp;"|"&amp;'管线假设'!H220&amp;"|"&amp;'管线假设'!I220&amp;"|"&amp;'管线现金流'!H796&amp;"|"&amp;'管线现金流'!AJ796&amp;"|"&amp;'管线现金流'!H797&amp;"|"&amp;'管线现金流'!AJ797&amp;"|"&amp;'管线现金流'!H798&amp;"|"&amp;'管线现金流'!AJ798&amp;"|"&amp;'管线现金流'!H799&amp;"|"&amp;'管线现金流'!AJ799&amp;"|"&amp;'管线现金流'!H800&amp;"|"&amp;'管线现金流'!AJ800&amp;"|"&amp;'管线现金流'!H801&amp;"|"&amp;'管线现金流'!AJ801&amp;"|"&amp;'管线现金流'!H802&amp;"|"&amp;'管线现金流'!AJ802&amp;"|"&amp;'管线现金流'!H803&amp;"|"&amp;'管线现金流'!AJ803&amp;"|"&amp;'管线现金流'!H804&amp;"|"&amp;'管线现金流'!AJ804&amp;"|"&amp;'管线现金流'!H805&amp;"|"&amp;'管线现金流'!AJ805&amp;"|"&amp;'管线现金流'!H806&amp;"|"&amp;'管线现金流'!AJ806&amp;"|"&amp;'管线现金流'!H807&amp;"|"&amp;'管线现金流'!AJ807&amp;"|"&amp;'管线现金流'!H808&amp;"|"&amp;'管线现金流'!AJ808&amp;"|"&amp;'管线现金流'!H809&amp;"|"&amp;'管线现金流'!AJ809&amp;"|"&amp;'管线现金流'!H810&amp;"|"&amp;'管线现金流'!AJ810&amp;"|"&amp;'管线现金流'!H811&amp;"|"&amp;'管线现金流'!AJ811&amp;"|"&amp;'管线现金流'!H812&amp;"|"&amp;'管线现金流'!AJ812&amp;"|"&amp;'管线现金流'!H813&amp;"|"&amp;'管线现金流'!AJ813&amp;"|"&amp;'管线现金流'!H814&amp;"|"&amp;'管线现金流'!AJ814&amp;"|"&amp;'管线现金流'!H815&amp;"|"&amp;'管线现金流'!AJ815&amp;"|"&amp;'管线现金流'!H816&amp;"|"&amp;'管线现金流'!AJ816&amp;"|"&amp;'管线现金流'!H817&amp;"|"&amp;'管线现金流'!AJ817&amp;"|"&amp;'管线现金流'!H818&amp;"|"&amp;'管线现金流'!AJ818&amp;"|"&amp;'管线现金流'!H819&amp;"|"&amp;'管线现金流'!AJ819&amp;"|"&amp;'管线现金流'!H820&amp;"|"&amp;'管线现金流'!AJ820&amp;"|"&amp;'管线现金流'!H821&amp;"|"&amp;'管线现金流'!AJ821&amp;"|"&amp;'管线现金流'!H822&amp;"|"&amp;'管线现金流'!AJ822&amp;"|"&amp;'管线现金流'!H823&amp;"|"&amp;'管线现金流'!AJ823&amp;"|"&amp;'管线现金流'!H824&amp;"|"&amp;'管线现金流'!AJ824&amp;"|"&amp;'管线现金流'!H825&amp;"|"&amp;'管线现金流'!AJ825&amp;"|"&amp;'管线现金流'!H826&amp;"|"&amp;'管线现金流'!AJ826&amp;"|"&amp;'管线现金流'!H827&amp;"|"&amp;'管线现金流'!AJ827&amp;"|"&amp;'管线现金流'!H828&amp;"|"&amp;'管线现金流'!AJ828&amp;"|"&amp;'管线现金流'!H829&amp;"|"&amp;'管线现金流'!AJ829&amp;"|"&amp;'管线现金流'!H830&amp;"|"&amp;'管线现金流'!AJ830&amp;"|"&amp;'管线现金流'!H831&amp;"|"&amp;'管线现金流'!AJ831&amp;"|"&amp;'管线现金流'!H832&amp;"|"&amp;'管线现金流'!AJ832&amp;"|"&amp;'管线现金流'!H833&amp;"|"&amp;'管线现金流'!AJ833&amp;"|"&amp;'管线现金流'!H834&amp;"|"&amp;'管线现金流'!AJ834&amp;"|"&amp;'管线现金流'!H835&amp;"|"&amp;'管线现金流'!AJ835&amp;"|"&amp;'管线现金流'!H836&amp;"|"&amp;'管线现金流'!AJ836&amp;"|"&amp;'管线现金流'!H837&amp;"|"&amp;'管线现金流'!AJ837&amp;"|"&amp;'管线现金流'!H838&amp;"|"&amp;'管线现金流'!AJ838&amp;"|"&amp;'管线现金流'!H839&amp;"|"&amp;'管线现金流'!AJ839&amp;"|"&amp;'管线现金流'!H840&amp;"|"&amp;'管线现金流'!AJ840&amp;"|"&amp;'管线现金流'!H841&amp;"|"&amp;'管线现金流'!AJ841&amp;"|"&amp;'管线现金流'!H842&amp;"|"&amp;'管线现金流'!AJ842&amp;"|"&amp;'管线现金流'!H843&amp;"|"&amp;'管线现金流'!AJ843&amp;"|"&amp;'管线现金流'!H844&amp;"|"&amp;'管线现金流'!AJ844&amp;"|"&amp;'管线现金流'!H845&amp;"|"&amp;'管线现金流'!AJ845&amp;"|"&amp;'管线现金流'!H846&amp;"|"&amp;'管线现金流'!AJ846&amp;"|"&amp;'管线现金流'!H847&amp;"|"&amp;'管线现金流'!AJ847&amp;"|"&amp;'管线现金流'!H848&amp;"|"&amp;'管线现金流'!AJ848&amp;"|"&amp;'管线现金流'!H849&amp;"|"&amp;'管线现金流'!AJ849&amp;"|"&amp;'管线现金流'!H850&amp;"|"&amp;'管线现金流'!AJ850&amp;"|"&amp;'管线现金流'!H851&amp;"|"&amp;'管线现金流'!AJ851&amp;"|"&amp;'管线现金流'!H852&amp;"|"&amp;'管线现金流'!AJ852&amp;"|"&amp;'管线现金流'!H853&amp;"|"&amp;'管线现金流'!AJ853&amp;"|"&amp;'管线现金流'!H854&amp;"|"&amp;'管线现金流'!AJ854&amp;"|"&amp;'管线现金流'!H855&amp;"|"&amp;'管线现金流'!AJ855&amp;"|"&amp;'管线现金流'!H856&amp;"|"&amp;'管线现金流'!AJ856&amp;"|"&amp;'管线现金流'!H857&amp;"|"&amp;'管线现金流'!AJ857&amp;"|"&amp;'管线现金流'!H858&amp;"|"&amp;'管线现金流'!AJ858&amp;"|"&amp;'管线现金流'!H859&amp;"|"&amp;'管线现金流'!AJ859&amp;"|"&amp;'管线现金流'!H860&amp;"|"&amp;'管线现金流'!AJ860&amp;"|"&amp;'管线现金流'!H861&amp;"|"&amp;'管线现金流'!AJ861&amp;"|"&amp;'管线现金流'!H862&amp;"|"&amp;'管线现金流'!AJ862&amp;"|"&amp;'管线现金流'!H863&amp;"|"&amp;'管线现金流'!AJ863&amp;"|"&amp;'管线现金流'!H864&amp;"|"&amp;'管线现金流'!AJ864&amp;"|"&amp;'管线现金流'!H865&amp;"|"&amp;'管线现金流'!AJ865&amp;"|"&amp;'管线现金流'!H866&amp;"|"&amp;'管线现金流'!AJ866&amp;"|"&amp;'管线现金流'!H867&amp;"|"&amp;'管线现金流'!AJ867&amp;"|"&amp;'管线现金流'!H868&amp;"|"&amp;'管线现金流'!AJ868&amp;"|"&amp;'管线现金流'!H869&amp;"|"&amp;'管线现金流'!AJ869&amp;"|"&amp;'管线现金流'!H870&amp;"|"&amp;'管线现金流'!AJ870&amp;"|"&amp;'管线现金流'!H871&amp;"|"&amp;'管线现金流'!AJ871&amp;"|"&amp;'管线现金流'!H872&amp;"|"&amp;'管线现金流'!AJ872&amp;"|"&amp;'管线现金流'!H873&amp;"|"&amp;'管线现金流'!AJ873&amp;"|"&amp;'管线现金流'!H874&amp;"|"&amp;'管线现金流'!AJ874&amp;"|"&amp;'管线现金流'!H875&amp;"|"&amp;'管线现金流'!AJ875&amp;"|"&amp;'管线现金流'!H876&amp;"|"&amp;'管线现金流'!AJ876&amp;"|"&amp;'管线现金流'!H877&amp;"|"&amp;'管线现金流'!AJ877&amp;"|"&amp;'管线现金流'!H878&amp;"|"&amp;'管线现金流'!AJ878&amp;"|"&amp;'管线现金流'!H879&amp;"|"&amp;'管线现金流'!AJ879&amp;"|"&amp;'管线现金流'!H880&amp;"|"&amp;'管线现金流'!AJ880&amp;"|"&amp;'管线现金流'!H881&amp;"|"&amp;'管线现金流'!AJ881&amp;"|"&amp;'管线现金流'!H882&amp;"|"&amp;'管线现金流'!AJ882&amp;"|"&amp;'管线现金流'!H883&amp;"|"&amp;'管线现金流'!AJ883&amp;"|"&amp;'管线现金流'!H884&amp;"|"&amp;'管线现金流'!AJ884&amp;"|"&amp;'管线现金流'!H885&amp;"|"&amp;'管线现金流'!AJ885&amp;"|"&amp;'管线现金流'!H886&amp;"|"&amp;'管线现金流'!AJ886&amp;"|"&amp;'管线现金流'!H887&amp;"|"&amp;'管线现金流'!AJ887&amp;"|"&amp;'管线现金流'!H888&amp;"|"&amp;'管线现金流'!AJ888&amp;"|"&amp;'管线现金流'!H889&amp;"|"&amp;'管线现金流'!AJ889&amp;"|"&amp;'管线现金流'!H890&amp;"|"&amp;'管线现金流'!AJ890&amp;"|"&amp;'管线现金流'!H891&amp;"|"&amp;'管线现金流'!AJ891&amp;"|"&amp;'管线现金流'!H892&amp;"|"&amp;'管线现金流'!AJ892&amp;"|"&amp;'管线现金流'!H893&amp;"|"&amp;'管线现金流'!AJ893&amp;"|"&amp;'管线现金流'!H894&amp;"|"&amp;'管线现金流'!AJ894&amp;"|"&amp;'管线现金流'!H895&amp;"|"&amp;'管线现金流'!AJ895&amp;"|"&amp;'管线现金流'!H896&amp;"|"&amp;'管线现金流'!AJ896&amp;"|"&amp;'管线现金流'!H897&amp;"|"&amp;'管线现金流'!AJ897&amp;"|"&amp;'管线现金流'!H898&amp;"|"&amp;'管线现金流'!AJ898&amp;"|"&amp;'管线现金流'!H899&amp;"|"&amp;'管线现金流'!AJ899&amp;"|"&amp;'管线现金流'!H900&amp;"|"&amp;'管线现金流'!AJ900&amp;"|"&amp;'管线现金流'!H901&amp;"|"&amp;'管线现金流'!AJ901&amp;"|"&amp;'管线现金流'!H902&amp;"|"&amp;'管线现金流'!AJ902&amp;"|"&amp;'管线现金流'!H903&amp;"|"&amp;'管线现金流'!AJ903&amp;"|"&amp;'管线现金流'!H904&amp;"|"&amp;'管线现金流'!AJ904&amp;"|"&amp;'管线现金流'!H905&amp;"|"&amp;'管线现金流'!AJ905&amp;"|"&amp;'管线现金流'!H906&amp;"|"&amp;'管线现金流'!AJ906&amp;"|"&amp;'管线现金流'!H907&amp;"|"&amp;'管线现金流'!AJ907&amp;"|"&amp;'管线现金流'!H908&amp;"|"&amp;'管线现金流'!AJ908&amp;"|"&amp;'管线现金流'!H909&amp;"|"&amp;'管线现金流'!AJ909&amp;"|"&amp;'管线现金流'!H910&amp;"|"&amp;'管线现金流'!AJ910&amp;"|"&amp;'管线现金流'!H911&amp;"|"&amp;'管线现金流'!AJ911&amp;"|"&amp;'管线现金流'!H912&amp;"|"&amp;'管线现金流'!AJ912&amp;"|"&amp;'管线现金流'!H913&amp;"|"&amp;'管线现金流'!AJ913&amp;"|"&amp;'管线现金流'!H914&amp;"|"&amp;'管线现金流'!AJ914&amp;"|"&amp;'管线现金流'!H915&amp;"|"&amp;'管线现金流'!AJ915&amp;"|"&amp;'管线现金流'!H916&amp;"|"&amp;'管线现金流'!AJ916&amp;"|"&amp;'管线现金流'!H917&amp;"|"&amp;'管线现金流'!AJ917&amp;"|"&amp;'管线现金流'!H918&amp;"|"&amp;'管线现金流'!AJ918&amp;"|"&amp;'管线现金流'!H919&amp;"|"&amp;'管线现金流'!AJ919&amp;"|"&amp;'管线现金流'!H920&amp;"|"&amp;'管线现金流'!AJ920&amp;"|"&amp;'管线现金流'!H921&amp;"|"&amp;'管线现金流'!AJ921&amp;"|"&amp;'管线现金流'!H922&amp;"|"&amp;'管线现金流'!AJ922&amp;"|"&amp;'管线现金流'!H923&amp;"|"&amp;'管线现金流'!AJ923&amp;"|"&amp;'管线现金流'!H924&amp;"|"&amp;'管线现金流'!AJ924&amp;"|"&amp;'管线现金流'!H925&amp;"|"&amp;'管线现金流'!AJ925&amp;"|"&amp;'管线现金流'!H926&amp;"|"&amp;'管线现金流'!AJ926&amp;"|"&amp;'管线现金流'!H927&amp;"|"&amp;'管线现金流'!AJ927&amp;"|"&amp;'管线现金流'!H928&amp;"|"&amp;'管线现金流'!AJ928&amp;"|"&amp;'管线现金流'!H929&amp;"|"&amp;'管线现金流'!AJ929&amp;"|"&amp;'管线现金流'!H930&amp;"|"&amp;'管线现金流'!AJ930&amp;"|"&amp;'管线现金流'!H931&amp;"|"&amp;'管线现金流'!AJ931&amp;"|"&amp;'管线现金流'!H932&amp;"|"&amp;'管线现金流'!AJ932&amp;"|"&amp;'管线现金流'!H933&amp;"|"&amp;'管线现金流'!AJ933&amp;"|"&amp;'管线现金流'!H934&amp;"|"&amp;'管线现金流'!AJ934&amp;"|"&amp;'管线现金流'!H935&amp;"|"&amp;'管线现金流'!AJ935&amp;"|"&amp;'管线现金流'!H936&amp;"|"&amp;'管线现金流'!AJ936&amp;"|"&amp;'管线现金流'!H937&amp;"|"&amp;'管线现金流'!AJ937&amp;"|"&amp;'管线现金流'!H938&amp;"|"&amp;'管线现金流'!AJ938&amp;"|"&amp;'管线现金流'!H939&amp;"|"&amp;'管线现金流'!AJ939&amp;"|"&amp;'管线现金流'!H940&amp;"|"&amp;'管线现金流'!AJ940&amp;"|"&amp;'管线现金流'!H941&amp;"|"&amp;'管线现金流'!AJ941&amp;"|"&amp;'管线现金流'!H942&amp;"|"&amp;'管线现金流'!AJ942&amp;"|"&amp;'管线现金流'!H943&amp;"|"&amp;'管线现金流'!AJ943&amp;"|"&amp;'管线现金流'!H944&amp;"|"&amp;'管线现金流'!AJ944&amp;"|"&amp;'管线现金流'!H945&amp;"|"&amp;'管线现金流'!AJ945&amp;"|"&amp;'管线现金流'!H946&amp;"|"&amp;'管线现金流'!AJ946&amp;"|"&amp;'管线现金流'!H947&amp;"|"&amp;'管线现金流'!AJ947&amp;"|"&amp;'管线现金流'!U24&amp;"|"&amp;'管线现金流'!X24&amp;"|"&amp;'管线现金流'!AO24&amp;"|"&amp;'管线现金流'!AR24</x:f>
        <x:v>3.1|2.6|1|0.064|1|0.16|6.8|0.4665|0.064|1|0.16|6.8|1|0.22|1|0.16|6.8|0.1755|0.22|1|0.16|6.8|0.08820000000000006|0.2|1|0.16|6.8|0.2046|0.22|1|0.16|6.8|0.127|0.22|1|0.16|6.8|0.127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</x:row>
    <x:row r="194" ht="23" customHeight="1">
      <x:c r="A194" s="11" t="str">
        <x:v>688192.SH</x:v>
      </x:c>
      <x:c r="B194" s="11" t="str">
        <x:v>迪哲医药</x:v>
      </x:c>
      <x:c r="C194" s="11" t="str">
        <x:v>一年</x:v>
      </x:c>
      <x:c r="D194" s="11" t="str">
        <x:v>基准</x:v>
      </x:c>
      <x:c r="E194" s="11" t="n">
        <x:v>59.95</x:v>
      </x:c>
      <x:c r="F194" s="11" t="n">
        <x:v>47.29176590301235</x:v>
      </x:c>
      <x:c r="G194" s="11" t="n">
        <x:v>0</x:v>
      </x:c>
      <x:c r="H194" s="25" t="n">
        <x:v>-0.21114652371956055</x:v>
      </x:c>
      <x:c r="I194" s="25" t="n">
        <x:v>-0.21114652371956055</x:v>
      </x:c>
      <x:c r="J194" s="25" t="str"/>
      <x:c r="K194" s="11" t="n">
        <x:v>0</x:v>
      </x:c>
      <x:c r="L194" s="11" t="n">
        <x:v>0</x:v>
      </x:c>
      <x:c r="M194" s="11" t="n">
        <x:v>1</x:v>
      </x:c>
      <x:c r="N194" s="11" t="n">
        <x:v>0</x:v>
      </x:c>
      <x:c r="O194" s="11" t="n">
        <x:v>0</x:v>
      </x:c>
      <x:c r="P194" s="11" t="n">
        <x:v>0</x:v>
      </x:c>
      <x:c r="Q194" s="11" t="n">
        <x:v>0.495</x:v>
      </x:c>
      <x:c r="R194" s="11" t="str">
        <x:v>dizal-rnpv-v1.0</x:v>
      </x:c>
      <x:c r="S194" s="11" t="str">
        <x:v>2026-10-10</x:v>
      </x:c>
      <x:c r="T194" s="11" t="str">
        <x:f>IF(AND(SUM(IF(K194='假设'!E257,0,1),IF(L194='假设'!F257,0,1),IF(M194='假设'!G257,0,1),IF(N194='假设'!H257,0,1),IF(O194='假设'!I257,0,1),IF(P194='假设'!J257,0,1),IF(Q194='假设'!K257,0,1))=0,U194=V194),"已刷新","待刷新")</x:f>
        <x:v>已刷新</x:v>
      </x:c>
      <x:c r="U194" t="str">
        <x:v>4|2.25|1|0.08610000000000001|1|0.125|6.8|0.7976|0.08610000000000001|1|0.125|6.8|1|0.33|1|0.125|6.8|0.44799999999999995|0.33|1|0.125|6.8|0.2639999999999999|0.3|1|0.125|6.8|0.5216|0.32|1|0.125|6.8|0.356|0.32|1|0.125|6.8|0.356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  <x:c r="V194" t="str">
        <x:f>'假设'!N257&amp;"|"&amp;'假设'!Q257&amp;"|"&amp;'管线假设'!E193&amp;"|"&amp;'管线假设'!F193&amp;"|"&amp;'管线假设'!G193&amp;"|"&amp;'管线假设'!H193&amp;"|"&amp;'管线假设'!I193&amp;"|"&amp;'管线假设'!E197&amp;"|"&amp;'管线假设'!F197&amp;"|"&amp;'管线假设'!G197&amp;"|"&amp;'管线假设'!H197&amp;"|"&amp;'管线假设'!I197&amp;"|"&amp;'管线假设'!E201&amp;"|"&amp;'管线假设'!F201&amp;"|"&amp;'管线假设'!G201&amp;"|"&amp;'管线假设'!H201&amp;"|"&amp;'管线假设'!I201&amp;"|"&amp;'管线假设'!E205&amp;"|"&amp;'管线假设'!F205&amp;"|"&amp;'管线假设'!G205&amp;"|"&amp;'管线假设'!H205&amp;"|"&amp;'管线假设'!I205&amp;"|"&amp;'管线假设'!E209&amp;"|"&amp;'管线假设'!F209&amp;"|"&amp;'管线假设'!G209&amp;"|"&amp;'管线假设'!H209&amp;"|"&amp;'管线假设'!I209&amp;"|"&amp;'管线假设'!E213&amp;"|"&amp;'管线假设'!F213&amp;"|"&amp;'管线假设'!G213&amp;"|"&amp;'管线假设'!H213&amp;"|"&amp;'管线假设'!I213&amp;"|"&amp;'管线假设'!E217&amp;"|"&amp;'管线假设'!F217&amp;"|"&amp;'管线假设'!G217&amp;"|"&amp;'管线假设'!H217&amp;"|"&amp;'管线假设'!I217&amp;"|"&amp;'管线假设'!E221&amp;"|"&amp;'管线假设'!F221&amp;"|"&amp;'管线假设'!G221&amp;"|"&amp;'管线假设'!H221&amp;"|"&amp;'管线假设'!I221&amp;"|"&amp;'管线现金流'!I796&amp;"|"&amp;'管线现金流'!AK796&amp;"|"&amp;'管线现金流'!I797&amp;"|"&amp;'管线现金流'!AK797&amp;"|"&amp;'管线现金流'!I798&amp;"|"&amp;'管线现金流'!AK798&amp;"|"&amp;'管线现金流'!I799&amp;"|"&amp;'管线现金流'!AK799&amp;"|"&amp;'管线现金流'!I800&amp;"|"&amp;'管线现金流'!AK800&amp;"|"&amp;'管线现金流'!I801&amp;"|"&amp;'管线现金流'!AK801&amp;"|"&amp;'管线现金流'!I802&amp;"|"&amp;'管线现金流'!AK802&amp;"|"&amp;'管线现金流'!I803&amp;"|"&amp;'管线现金流'!AK803&amp;"|"&amp;'管线现金流'!I804&amp;"|"&amp;'管线现金流'!AK804&amp;"|"&amp;'管线现金流'!I805&amp;"|"&amp;'管线现金流'!AK805&amp;"|"&amp;'管线现金流'!I806&amp;"|"&amp;'管线现金流'!AK806&amp;"|"&amp;'管线现金流'!I807&amp;"|"&amp;'管线现金流'!AK807&amp;"|"&amp;'管线现金流'!I808&amp;"|"&amp;'管线现金流'!AK808&amp;"|"&amp;'管线现金流'!I809&amp;"|"&amp;'管线现金流'!AK809&amp;"|"&amp;'管线现金流'!I810&amp;"|"&amp;'管线现金流'!AK810&amp;"|"&amp;'管线现金流'!I811&amp;"|"&amp;'管线现金流'!AK811&amp;"|"&amp;'管线现金流'!I812&amp;"|"&amp;'管线现金流'!AK812&amp;"|"&amp;'管线现金流'!I813&amp;"|"&amp;'管线现金流'!AK813&amp;"|"&amp;'管线现金流'!I814&amp;"|"&amp;'管线现金流'!AK814&amp;"|"&amp;'管线现金流'!I815&amp;"|"&amp;'管线现金流'!AK815&amp;"|"&amp;'管线现金流'!I816&amp;"|"&amp;'管线现金流'!AK816&amp;"|"&amp;'管线现金流'!I817&amp;"|"&amp;'管线现金流'!AK817&amp;"|"&amp;'管线现金流'!I818&amp;"|"&amp;'管线现金流'!AK818&amp;"|"&amp;'管线现金流'!I819&amp;"|"&amp;'管线现金流'!AK819&amp;"|"&amp;'管线现金流'!I820&amp;"|"&amp;'管线现金流'!AK820&amp;"|"&amp;'管线现金流'!I821&amp;"|"&amp;'管线现金流'!AK821&amp;"|"&amp;'管线现金流'!I822&amp;"|"&amp;'管线现金流'!AK822&amp;"|"&amp;'管线现金流'!I823&amp;"|"&amp;'管线现金流'!AK823&amp;"|"&amp;'管线现金流'!I824&amp;"|"&amp;'管线现金流'!AK824&amp;"|"&amp;'管线现金流'!I825&amp;"|"&amp;'管线现金流'!AK825&amp;"|"&amp;'管线现金流'!I826&amp;"|"&amp;'管线现金流'!AK826&amp;"|"&amp;'管线现金流'!I827&amp;"|"&amp;'管线现金流'!AK827&amp;"|"&amp;'管线现金流'!I828&amp;"|"&amp;'管线现金流'!AK828&amp;"|"&amp;'管线现金流'!I829&amp;"|"&amp;'管线现金流'!AK829&amp;"|"&amp;'管线现金流'!I830&amp;"|"&amp;'管线现金流'!AK830&amp;"|"&amp;'管线现金流'!I831&amp;"|"&amp;'管线现金流'!AK831&amp;"|"&amp;'管线现金流'!I832&amp;"|"&amp;'管线现金流'!AK832&amp;"|"&amp;'管线现金流'!I833&amp;"|"&amp;'管线现金流'!AK833&amp;"|"&amp;'管线现金流'!I834&amp;"|"&amp;'管线现金流'!AK834&amp;"|"&amp;'管线现金流'!I835&amp;"|"&amp;'管线现金流'!AK835&amp;"|"&amp;'管线现金流'!I836&amp;"|"&amp;'管线现金流'!AK836&amp;"|"&amp;'管线现金流'!I837&amp;"|"&amp;'管线现金流'!AK837&amp;"|"&amp;'管线现金流'!I838&amp;"|"&amp;'管线现金流'!AK838&amp;"|"&amp;'管线现金流'!I839&amp;"|"&amp;'管线现金流'!AK839&amp;"|"&amp;'管线现金流'!I840&amp;"|"&amp;'管线现金流'!AK840&amp;"|"&amp;'管线现金流'!I841&amp;"|"&amp;'管线现金流'!AK841&amp;"|"&amp;'管线现金流'!I842&amp;"|"&amp;'管线现金流'!AK842&amp;"|"&amp;'管线现金流'!I843&amp;"|"&amp;'管线现金流'!AK843&amp;"|"&amp;'管线现金流'!I844&amp;"|"&amp;'管线现金流'!AK844&amp;"|"&amp;'管线现金流'!I845&amp;"|"&amp;'管线现金流'!AK845&amp;"|"&amp;'管线现金流'!I846&amp;"|"&amp;'管线现金流'!AK846&amp;"|"&amp;'管线现金流'!I847&amp;"|"&amp;'管线现金流'!AK847&amp;"|"&amp;'管线现金流'!I848&amp;"|"&amp;'管线现金流'!AK848&amp;"|"&amp;'管线现金流'!I849&amp;"|"&amp;'管线现金流'!AK849&amp;"|"&amp;'管线现金流'!I850&amp;"|"&amp;'管线现金流'!AK850&amp;"|"&amp;'管线现金流'!I851&amp;"|"&amp;'管线现金流'!AK851&amp;"|"&amp;'管线现金流'!I852&amp;"|"&amp;'管线现金流'!AK852&amp;"|"&amp;'管线现金流'!I853&amp;"|"&amp;'管线现金流'!AK853&amp;"|"&amp;'管线现金流'!I854&amp;"|"&amp;'管线现金流'!AK854&amp;"|"&amp;'管线现金流'!I855&amp;"|"&amp;'管线现金流'!AK855&amp;"|"&amp;'管线现金流'!I856&amp;"|"&amp;'管线现金流'!AK856&amp;"|"&amp;'管线现金流'!I857&amp;"|"&amp;'管线现金流'!AK857&amp;"|"&amp;'管线现金流'!I858&amp;"|"&amp;'管线现金流'!AK858&amp;"|"&amp;'管线现金流'!I859&amp;"|"&amp;'管线现金流'!AK859&amp;"|"&amp;'管线现金流'!I860&amp;"|"&amp;'管线现金流'!AK860&amp;"|"&amp;'管线现金流'!I861&amp;"|"&amp;'管线现金流'!AK861&amp;"|"&amp;'管线现金流'!I862&amp;"|"&amp;'管线现金流'!AK862&amp;"|"&amp;'管线现金流'!I863&amp;"|"&amp;'管线现金流'!AK863&amp;"|"&amp;'管线现金流'!I864&amp;"|"&amp;'管线现金流'!AK864&amp;"|"&amp;'管线现金流'!I865&amp;"|"&amp;'管线现金流'!AK865&amp;"|"&amp;'管线现金流'!I866&amp;"|"&amp;'管线现金流'!AK866&amp;"|"&amp;'管线现金流'!I867&amp;"|"&amp;'管线现金流'!AK867&amp;"|"&amp;'管线现金流'!I868&amp;"|"&amp;'管线现金流'!AK868&amp;"|"&amp;'管线现金流'!I869&amp;"|"&amp;'管线现金流'!AK869&amp;"|"&amp;'管线现金流'!I870&amp;"|"&amp;'管线现金流'!AK870&amp;"|"&amp;'管线现金流'!I871&amp;"|"&amp;'管线现金流'!AK871&amp;"|"&amp;'管线现金流'!I872&amp;"|"&amp;'管线现金流'!AK872&amp;"|"&amp;'管线现金流'!I873&amp;"|"&amp;'管线现金流'!AK873&amp;"|"&amp;'管线现金流'!I874&amp;"|"&amp;'管线现金流'!AK874&amp;"|"&amp;'管线现金流'!I875&amp;"|"&amp;'管线现金流'!AK875&amp;"|"&amp;'管线现金流'!I876&amp;"|"&amp;'管线现金流'!AK876&amp;"|"&amp;'管线现金流'!I877&amp;"|"&amp;'管线现金流'!AK877&amp;"|"&amp;'管线现金流'!I878&amp;"|"&amp;'管线现金流'!AK878&amp;"|"&amp;'管线现金流'!I879&amp;"|"&amp;'管线现金流'!AK879&amp;"|"&amp;'管线现金流'!I880&amp;"|"&amp;'管线现金流'!AK880&amp;"|"&amp;'管线现金流'!I881&amp;"|"&amp;'管线现金流'!AK881&amp;"|"&amp;'管线现金流'!I882&amp;"|"&amp;'管线现金流'!AK882&amp;"|"&amp;'管线现金流'!I883&amp;"|"&amp;'管线现金流'!AK883&amp;"|"&amp;'管线现金流'!I884&amp;"|"&amp;'管线现金流'!AK884&amp;"|"&amp;'管线现金流'!I885&amp;"|"&amp;'管线现金流'!AK885&amp;"|"&amp;'管线现金流'!I886&amp;"|"&amp;'管线现金流'!AK886&amp;"|"&amp;'管线现金流'!I887&amp;"|"&amp;'管线现金流'!AK887&amp;"|"&amp;'管线现金流'!I888&amp;"|"&amp;'管线现金流'!AK888&amp;"|"&amp;'管线现金流'!I889&amp;"|"&amp;'管线现金流'!AK889&amp;"|"&amp;'管线现金流'!I890&amp;"|"&amp;'管线现金流'!AK890&amp;"|"&amp;'管线现金流'!I891&amp;"|"&amp;'管线现金流'!AK891&amp;"|"&amp;'管线现金流'!I892&amp;"|"&amp;'管线现金流'!AK892&amp;"|"&amp;'管线现金流'!I893&amp;"|"&amp;'管线现金流'!AK893&amp;"|"&amp;'管线现金流'!I894&amp;"|"&amp;'管线现金流'!AK894&amp;"|"&amp;'管线现金流'!I895&amp;"|"&amp;'管线现金流'!AK895&amp;"|"&amp;'管线现金流'!I896&amp;"|"&amp;'管线现金流'!AK896&amp;"|"&amp;'管线现金流'!I897&amp;"|"&amp;'管线现金流'!AK897&amp;"|"&amp;'管线现金流'!I898&amp;"|"&amp;'管线现金流'!AK898&amp;"|"&amp;'管线现金流'!I899&amp;"|"&amp;'管线现金流'!AK899&amp;"|"&amp;'管线现金流'!I900&amp;"|"&amp;'管线现金流'!AK900&amp;"|"&amp;'管线现金流'!I901&amp;"|"&amp;'管线现金流'!AK901&amp;"|"&amp;'管线现金流'!I902&amp;"|"&amp;'管线现金流'!AK902&amp;"|"&amp;'管线现金流'!I903&amp;"|"&amp;'管线现金流'!AK903&amp;"|"&amp;'管线现金流'!I904&amp;"|"&amp;'管线现金流'!AK904&amp;"|"&amp;'管线现金流'!I905&amp;"|"&amp;'管线现金流'!AK905&amp;"|"&amp;'管线现金流'!I906&amp;"|"&amp;'管线现金流'!AK906&amp;"|"&amp;'管线现金流'!I907&amp;"|"&amp;'管线现金流'!AK907&amp;"|"&amp;'管线现金流'!I908&amp;"|"&amp;'管线现金流'!AK908&amp;"|"&amp;'管线现金流'!I909&amp;"|"&amp;'管线现金流'!AK909&amp;"|"&amp;'管线现金流'!I910&amp;"|"&amp;'管线现金流'!AK910&amp;"|"&amp;'管线现金流'!I911&amp;"|"&amp;'管线现金流'!AK911&amp;"|"&amp;'管线现金流'!I912&amp;"|"&amp;'管线现金流'!AK912&amp;"|"&amp;'管线现金流'!I913&amp;"|"&amp;'管线现金流'!AK913&amp;"|"&amp;'管线现金流'!I914&amp;"|"&amp;'管线现金流'!AK914&amp;"|"&amp;'管线现金流'!I915&amp;"|"&amp;'管线现金流'!AK915&amp;"|"&amp;'管线现金流'!I916&amp;"|"&amp;'管线现金流'!AK916&amp;"|"&amp;'管线现金流'!I917&amp;"|"&amp;'管线现金流'!AK917&amp;"|"&amp;'管线现金流'!I918&amp;"|"&amp;'管线现金流'!AK918&amp;"|"&amp;'管线现金流'!I919&amp;"|"&amp;'管线现金流'!AK919&amp;"|"&amp;'管线现金流'!I920&amp;"|"&amp;'管线现金流'!AK920&amp;"|"&amp;'管线现金流'!I921&amp;"|"&amp;'管线现金流'!AK921&amp;"|"&amp;'管线现金流'!I922&amp;"|"&amp;'管线现金流'!AK922&amp;"|"&amp;'管线现金流'!I923&amp;"|"&amp;'管线现金流'!AK923&amp;"|"&amp;'管线现金流'!I924&amp;"|"&amp;'管线现金流'!AK924&amp;"|"&amp;'管线现金流'!I925&amp;"|"&amp;'管线现金流'!AK925&amp;"|"&amp;'管线现金流'!I926&amp;"|"&amp;'管线现金流'!AK926&amp;"|"&amp;'管线现金流'!I927&amp;"|"&amp;'管线现金流'!AK927&amp;"|"&amp;'管线现金流'!I928&amp;"|"&amp;'管线现金流'!AK928&amp;"|"&amp;'管线现金流'!I929&amp;"|"&amp;'管线现金流'!AK929&amp;"|"&amp;'管线现金流'!I930&amp;"|"&amp;'管线现金流'!AK930&amp;"|"&amp;'管线现金流'!I931&amp;"|"&amp;'管线现金流'!AK931&amp;"|"&amp;'管线现金流'!I932&amp;"|"&amp;'管线现金流'!AK932&amp;"|"&amp;'管线现金流'!I933&amp;"|"&amp;'管线现金流'!AK933&amp;"|"&amp;'管线现金流'!I934&amp;"|"&amp;'管线现金流'!AK934&amp;"|"&amp;'管线现金流'!I935&amp;"|"&amp;'管线现金流'!AK935&amp;"|"&amp;'管线现金流'!I936&amp;"|"&amp;'管线现金流'!AK936&amp;"|"&amp;'管线现金流'!I937&amp;"|"&amp;'管线现金流'!AK937&amp;"|"&amp;'管线现金流'!I938&amp;"|"&amp;'管线现金流'!AK938&amp;"|"&amp;'管线现金流'!I939&amp;"|"&amp;'管线现金流'!AK939&amp;"|"&amp;'管线现金流'!I940&amp;"|"&amp;'管线现金流'!AK940&amp;"|"&amp;'管线现金流'!I941&amp;"|"&amp;'管线现金流'!AK941&amp;"|"&amp;'管线现金流'!I942&amp;"|"&amp;'管线现金流'!AK942&amp;"|"&amp;'管线现金流'!I943&amp;"|"&amp;'管线现金流'!AK943&amp;"|"&amp;'管线现金流'!I944&amp;"|"&amp;'管线现金流'!AK944&amp;"|"&amp;'管线现金流'!I945&amp;"|"&amp;'管线现金流'!AK945&amp;"|"&amp;'管线现金流'!I946&amp;"|"&amp;'管线现金流'!AK946&amp;"|"&amp;'管线现金流'!I947&amp;"|"&amp;'管线现金流'!AK947&amp;"|"&amp;'管线现金流'!V24&amp;"|"&amp;'管线现金流'!Y24&amp;"|"&amp;'管线现金流'!AP24&amp;"|"&amp;'管线现金流'!AS24</x:f>
        <x:v>4|2.25|1|0.08610000000000001|1|0.125|6.8|0.7976|0.08610000000000001|1|0.125|6.8|1|0.33|1|0.125|6.8|0.44799999999999995|0.33|1|0.125|6.8|0.2639999999999999|0.3|1|0.125|6.8|0.5216|0.32|1|0.125|6.8|0.356|0.32|1|0.125|6.8|0.356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</x:row>
    <x:row r="195" ht="23" customHeight="1">
      <x:c r="A195" s="11" t="str">
        <x:v>688192.SH</x:v>
      </x:c>
      <x:c r="B195" s="11" t="str">
        <x:v>迪哲医药</x:v>
      </x:c>
      <x:c r="C195" s="11" t="str">
        <x:v>一年</x:v>
      </x:c>
      <x:c r="D195" s="11" t="str">
        <x:v>乐观</x:v>
      </x:c>
      <x:c r="E195" s="11" t="n">
        <x:v>59.95</x:v>
      </x:c>
      <x:c r="F195" s="11" t="n">
        <x:v>205.1409317784805</x:v>
      </x:c>
      <x:c r="G195" s="11" t="n">
        <x:v>0</x:v>
      </x:c>
      <x:c r="H195" s="25" t="n">
        <x:v>2.4218670855459634</x:v>
      </x:c>
      <x:c r="I195" s="25" t="n">
        <x:v>2.4218670855459634</x:v>
      </x:c>
      <x:c r="J195" s="25" t="str"/>
      <x:c r="K195" s="11" t="n">
        <x:v>0</x:v>
      </x:c>
      <x:c r="L195" s="11" t="n">
        <x:v>0</x:v>
      </x:c>
      <x:c r="M195" s="11" t="n">
        <x:v>1</x:v>
      </x:c>
      <x:c r="N195" s="11" t="n">
        <x:v>0</x:v>
      </x:c>
      <x:c r="O195" s="11" t="n">
        <x:v>0</x:v>
      </x:c>
      <x:c r="P195" s="11" t="n">
        <x:v>0</x:v>
      </x:c>
      <x:c r="Q195" s="11" t="n">
        <x:v>0.485</x:v>
      </x:c>
      <x:c r="R195" s="11" t="str">
        <x:v>dizal-rnpv-v1.0</x:v>
      </x:c>
      <x:c r="S195" s="11" t="str">
        <x:v>2026-10-10</x:v>
      </x:c>
      <x:c r="T195" s="11" t="str">
        <x:f>IF(AND(SUM(IF(K195='假设'!E258,0,1),IF(L195='假设'!F258,0,1),IF(M195='假设'!G258,0,1),IF(N195='假设'!H258,0,1),IF(O195='假设'!I258,0,1),IF(P195='假设'!J258,0,1),IF(Q195='假设'!K258,0,1))=0,U195=V195),"已刷新","待刷新")</x:f>
        <x:v>已刷新</x:v>
      </x:c>
      <x:c r="U195" t="str">
        <x:v>4.6|2.5|1|0.1105|1|0.105|6.8|0.932|0.1105|1|0.105|6.8|1|0.4|1|0.105|6.8|0.7025|0.4|1|0.105|6.8|0.49|0.38|1|0.105|6.8|0.745|0.4|1|0.105|6.8|0.6175|0.4|1|0.105|6.8|0.6175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  <x:c r="V195" t="str">
        <x:f>'假设'!N258&amp;"|"&amp;'假设'!Q258&amp;"|"&amp;'管线假设'!E194&amp;"|"&amp;'管线假设'!F194&amp;"|"&amp;'管线假设'!G194&amp;"|"&amp;'管线假设'!H194&amp;"|"&amp;'管线假设'!I194&amp;"|"&amp;'管线假设'!E198&amp;"|"&amp;'管线假设'!F198&amp;"|"&amp;'管线假设'!G198&amp;"|"&amp;'管线假设'!H198&amp;"|"&amp;'管线假设'!I198&amp;"|"&amp;'管线假设'!E202&amp;"|"&amp;'管线假设'!F202&amp;"|"&amp;'管线假设'!G202&amp;"|"&amp;'管线假设'!H202&amp;"|"&amp;'管线假设'!I202&amp;"|"&amp;'管线假设'!E206&amp;"|"&amp;'管线假设'!F206&amp;"|"&amp;'管线假设'!G206&amp;"|"&amp;'管线假设'!H206&amp;"|"&amp;'管线假设'!I206&amp;"|"&amp;'管线假设'!E210&amp;"|"&amp;'管线假设'!F210&amp;"|"&amp;'管线假设'!G210&amp;"|"&amp;'管线假设'!H210&amp;"|"&amp;'管线假设'!I210&amp;"|"&amp;'管线假设'!E214&amp;"|"&amp;'管线假设'!F214&amp;"|"&amp;'管线假设'!G214&amp;"|"&amp;'管线假设'!H214&amp;"|"&amp;'管线假设'!I214&amp;"|"&amp;'管线假设'!E218&amp;"|"&amp;'管线假设'!F218&amp;"|"&amp;'管线假设'!G218&amp;"|"&amp;'管线假设'!H218&amp;"|"&amp;'管线假设'!I218&amp;"|"&amp;'管线假设'!E222&amp;"|"&amp;'管线假设'!F222&amp;"|"&amp;'管线假设'!G222&amp;"|"&amp;'管线假设'!H222&amp;"|"&amp;'管线假设'!I222&amp;"|"&amp;'管线现金流'!J796&amp;"|"&amp;'管线现金流'!AL796&amp;"|"&amp;'管线现金流'!J797&amp;"|"&amp;'管线现金流'!AL797&amp;"|"&amp;'管线现金流'!J798&amp;"|"&amp;'管线现金流'!AL798&amp;"|"&amp;'管线现金流'!J799&amp;"|"&amp;'管线现金流'!AL799&amp;"|"&amp;'管线现金流'!J800&amp;"|"&amp;'管线现金流'!AL800&amp;"|"&amp;'管线现金流'!J801&amp;"|"&amp;'管线现金流'!AL801&amp;"|"&amp;'管线现金流'!J802&amp;"|"&amp;'管线现金流'!AL802&amp;"|"&amp;'管线现金流'!J803&amp;"|"&amp;'管线现金流'!AL803&amp;"|"&amp;'管线现金流'!J804&amp;"|"&amp;'管线现金流'!AL804&amp;"|"&amp;'管线现金流'!J805&amp;"|"&amp;'管线现金流'!AL805&amp;"|"&amp;'管线现金流'!J806&amp;"|"&amp;'管线现金流'!AL806&amp;"|"&amp;'管线现金流'!J807&amp;"|"&amp;'管线现金流'!AL807&amp;"|"&amp;'管线现金流'!J808&amp;"|"&amp;'管线现金流'!AL808&amp;"|"&amp;'管线现金流'!J809&amp;"|"&amp;'管线现金流'!AL809&amp;"|"&amp;'管线现金流'!J810&amp;"|"&amp;'管线现金流'!AL810&amp;"|"&amp;'管线现金流'!J811&amp;"|"&amp;'管线现金流'!AL811&amp;"|"&amp;'管线现金流'!J812&amp;"|"&amp;'管线现金流'!AL812&amp;"|"&amp;'管线现金流'!J813&amp;"|"&amp;'管线现金流'!AL813&amp;"|"&amp;'管线现金流'!J814&amp;"|"&amp;'管线现金流'!AL814&amp;"|"&amp;'管线现金流'!J815&amp;"|"&amp;'管线现金流'!AL815&amp;"|"&amp;'管线现金流'!J816&amp;"|"&amp;'管线现金流'!AL816&amp;"|"&amp;'管线现金流'!J817&amp;"|"&amp;'管线现金流'!AL817&amp;"|"&amp;'管线现金流'!J818&amp;"|"&amp;'管线现金流'!AL818&amp;"|"&amp;'管线现金流'!J819&amp;"|"&amp;'管线现金流'!AL819&amp;"|"&amp;'管线现金流'!J820&amp;"|"&amp;'管线现金流'!AL820&amp;"|"&amp;'管线现金流'!J821&amp;"|"&amp;'管线现金流'!AL821&amp;"|"&amp;'管线现金流'!J822&amp;"|"&amp;'管线现金流'!AL822&amp;"|"&amp;'管线现金流'!J823&amp;"|"&amp;'管线现金流'!AL823&amp;"|"&amp;'管线现金流'!J824&amp;"|"&amp;'管线现金流'!AL824&amp;"|"&amp;'管线现金流'!J825&amp;"|"&amp;'管线现金流'!AL825&amp;"|"&amp;'管线现金流'!J826&amp;"|"&amp;'管线现金流'!AL826&amp;"|"&amp;'管线现金流'!J827&amp;"|"&amp;'管线现金流'!AL827&amp;"|"&amp;'管线现金流'!J828&amp;"|"&amp;'管线现金流'!AL828&amp;"|"&amp;'管线现金流'!J829&amp;"|"&amp;'管线现金流'!AL829&amp;"|"&amp;'管线现金流'!J830&amp;"|"&amp;'管线现金流'!AL830&amp;"|"&amp;'管线现金流'!J831&amp;"|"&amp;'管线现金流'!AL831&amp;"|"&amp;'管线现金流'!J832&amp;"|"&amp;'管线现金流'!AL832&amp;"|"&amp;'管线现金流'!J833&amp;"|"&amp;'管线现金流'!AL833&amp;"|"&amp;'管线现金流'!J834&amp;"|"&amp;'管线现金流'!AL834&amp;"|"&amp;'管线现金流'!J835&amp;"|"&amp;'管线现金流'!AL835&amp;"|"&amp;'管线现金流'!J836&amp;"|"&amp;'管线现金流'!AL836&amp;"|"&amp;'管线现金流'!J837&amp;"|"&amp;'管线现金流'!AL837&amp;"|"&amp;'管线现金流'!J838&amp;"|"&amp;'管线现金流'!AL838&amp;"|"&amp;'管线现金流'!J839&amp;"|"&amp;'管线现金流'!AL839&amp;"|"&amp;'管线现金流'!J840&amp;"|"&amp;'管线现金流'!AL840&amp;"|"&amp;'管线现金流'!J841&amp;"|"&amp;'管线现金流'!AL841&amp;"|"&amp;'管线现金流'!J842&amp;"|"&amp;'管线现金流'!AL842&amp;"|"&amp;'管线现金流'!J843&amp;"|"&amp;'管线现金流'!AL843&amp;"|"&amp;'管线现金流'!J844&amp;"|"&amp;'管线现金流'!AL844&amp;"|"&amp;'管线现金流'!J845&amp;"|"&amp;'管线现金流'!AL845&amp;"|"&amp;'管线现金流'!J846&amp;"|"&amp;'管线现金流'!AL846&amp;"|"&amp;'管线现金流'!J847&amp;"|"&amp;'管线现金流'!AL847&amp;"|"&amp;'管线现金流'!J848&amp;"|"&amp;'管线现金流'!AL848&amp;"|"&amp;'管线现金流'!J849&amp;"|"&amp;'管线现金流'!AL849&amp;"|"&amp;'管线现金流'!J850&amp;"|"&amp;'管线现金流'!AL850&amp;"|"&amp;'管线现金流'!J851&amp;"|"&amp;'管线现金流'!AL851&amp;"|"&amp;'管线现金流'!J852&amp;"|"&amp;'管线现金流'!AL852&amp;"|"&amp;'管线现金流'!J853&amp;"|"&amp;'管线现金流'!AL853&amp;"|"&amp;'管线现金流'!J854&amp;"|"&amp;'管线现金流'!AL854&amp;"|"&amp;'管线现金流'!J855&amp;"|"&amp;'管线现金流'!AL855&amp;"|"&amp;'管线现金流'!J856&amp;"|"&amp;'管线现金流'!AL856&amp;"|"&amp;'管线现金流'!J857&amp;"|"&amp;'管线现金流'!AL857&amp;"|"&amp;'管线现金流'!J858&amp;"|"&amp;'管线现金流'!AL858&amp;"|"&amp;'管线现金流'!J859&amp;"|"&amp;'管线现金流'!AL859&amp;"|"&amp;'管线现金流'!J860&amp;"|"&amp;'管线现金流'!AL860&amp;"|"&amp;'管线现金流'!J861&amp;"|"&amp;'管线现金流'!AL861&amp;"|"&amp;'管线现金流'!J862&amp;"|"&amp;'管线现金流'!AL862&amp;"|"&amp;'管线现金流'!J863&amp;"|"&amp;'管线现金流'!AL863&amp;"|"&amp;'管线现金流'!J864&amp;"|"&amp;'管线现金流'!AL864&amp;"|"&amp;'管线现金流'!J865&amp;"|"&amp;'管线现金流'!AL865&amp;"|"&amp;'管线现金流'!J866&amp;"|"&amp;'管线现金流'!AL866&amp;"|"&amp;'管线现金流'!J867&amp;"|"&amp;'管线现金流'!AL867&amp;"|"&amp;'管线现金流'!J868&amp;"|"&amp;'管线现金流'!AL868&amp;"|"&amp;'管线现金流'!J869&amp;"|"&amp;'管线现金流'!AL869&amp;"|"&amp;'管线现金流'!J870&amp;"|"&amp;'管线现金流'!AL870&amp;"|"&amp;'管线现金流'!J871&amp;"|"&amp;'管线现金流'!AL871&amp;"|"&amp;'管线现金流'!J872&amp;"|"&amp;'管线现金流'!AL872&amp;"|"&amp;'管线现金流'!J873&amp;"|"&amp;'管线现金流'!AL873&amp;"|"&amp;'管线现金流'!J874&amp;"|"&amp;'管线现金流'!AL874&amp;"|"&amp;'管线现金流'!J875&amp;"|"&amp;'管线现金流'!AL875&amp;"|"&amp;'管线现金流'!J876&amp;"|"&amp;'管线现金流'!AL876&amp;"|"&amp;'管线现金流'!J877&amp;"|"&amp;'管线现金流'!AL877&amp;"|"&amp;'管线现金流'!J878&amp;"|"&amp;'管线现金流'!AL878&amp;"|"&amp;'管线现金流'!J879&amp;"|"&amp;'管线现金流'!AL879&amp;"|"&amp;'管线现金流'!J880&amp;"|"&amp;'管线现金流'!AL880&amp;"|"&amp;'管线现金流'!J881&amp;"|"&amp;'管线现金流'!AL881&amp;"|"&amp;'管线现金流'!J882&amp;"|"&amp;'管线现金流'!AL882&amp;"|"&amp;'管线现金流'!J883&amp;"|"&amp;'管线现金流'!AL883&amp;"|"&amp;'管线现金流'!J884&amp;"|"&amp;'管线现金流'!AL884&amp;"|"&amp;'管线现金流'!J885&amp;"|"&amp;'管线现金流'!AL885&amp;"|"&amp;'管线现金流'!J886&amp;"|"&amp;'管线现金流'!AL886&amp;"|"&amp;'管线现金流'!J887&amp;"|"&amp;'管线现金流'!AL887&amp;"|"&amp;'管线现金流'!J888&amp;"|"&amp;'管线现金流'!AL888&amp;"|"&amp;'管线现金流'!J889&amp;"|"&amp;'管线现金流'!AL889&amp;"|"&amp;'管线现金流'!J890&amp;"|"&amp;'管线现金流'!AL890&amp;"|"&amp;'管线现金流'!J891&amp;"|"&amp;'管线现金流'!AL891&amp;"|"&amp;'管线现金流'!J892&amp;"|"&amp;'管线现金流'!AL892&amp;"|"&amp;'管线现金流'!J893&amp;"|"&amp;'管线现金流'!AL893&amp;"|"&amp;'管线现金流'!J894&amp;"|"&amp;'管线现金流'!AL894&amp;"|"&amp;'管线现金流'!J895&amp;"|"&amp;'管线现金流'!AL895&amp;"|"&amp;'管线现金流'!J896&amp;"|"&amp;'管线现金流'!AL896&amp;"|"&amp;'管线现金流'!J897&amp;"|"&amp;'管线现金流'!AL897&amp;"|"&amp;'管线现金流'!J898&amp;"|"&amp;'管线现金流'!AL898&amp;"|"&amp;'管线现金流'!J899&amp;"|"&amp;'管线现金流'!AL899&amp;"|"&amp;'管线现金流'!J900&amp;"|"&amp;'管线现金流'!AL900&amp;"|"&amp;'管线现金流'!J901&amp;"|"&amp;'管线现金流'!AL901&amp;"|"&amp;'管线现金流'!J902&amp;"|"&amp;'管线现金流'!AL902&amp;"|"&amp;'管线现金流'!J903&amp;"|"&amp;'管线现金流'!AL903&amp;"|"&amp;'管线现金流'!J904&amp;"|"&amp;'管线现金流'!AL904&amp;"|"&amp;'管线现金流'!J905&amp;"|"&amp;'管线现金流'!AL905&amp;"|"&amp;'管线现金流'!J906&amp;"|"&amp;'管线现金流'!AL906&amp;"|"&amp;'管线现金流'!J907&amp;"|"&amp;'管线现金流'!AL907&amp;"|"&amp;'管线现金流'!J908&amp;"|"&amp;'管线现金流'!AL908&amp;"|"&amp;'管线现金流'!J909&amp;"|"&amp;'管线现金流'!AL909&amp;"|"&amp;'管线现金流'!J910&amp;"|"&amp;'管线现金流'!AL910&amp;"|"&amp;'管线现金流'!J911&amp;"|"&amp;'管线现金流'!AL911&amp;"|"&amp;'管线现金流'!J912&amp;"|"&amp;'管线现金流'!AL912&amp;"|"&amp;'管线现金流'!J913&amp;"|"&amp;'管线现金流'!AL913&amp;"|"&amp;'管线现金流'!J914&amp;"|"&amp;'管线现金流'!AL914&amp;"|"&amp;'管线现金流'!J915&amp;"|"&amp;'管线现金流'!AL915&amp;"|"&amp;'管线现金流'!J916&amp;"|"&amp;'管线现金流'!AL916&amp;"|"&amp;'管线现金流'!J917&amp;"|"&amp;'管线现金流'!AL917&amp;"|"&amp;'管线现金流'!J918&amp;"|"&amp;'管线现金流'!AL918&amp;"|"&amp;'管线现金流'!J919&amp;"|"&amp;'管线现金流'!AL919&amp;"|"&amp;'管线现金流'!J920&amp;"|"&amp;'管线现金流'!AL920&amp;"|"&amp;'管线现金流'!J921&amp;"|"&amp;'管线现金流'!AL921&amp;"|"&amp;'管线现金流'!J922&amp;"|"&amp;'管线现金流'!AL922&amp;"|"&amp;'管线现金流'!J923&amp;"|"&amp;'管线现金流'!AL923&amp;"|"&amp;'管线现金流'!J924&amp;"|"&amp;'管线现金流'!AL924&amp;"|"&amp;'管线现金流'!J925&amp;"|"&amp;'管线现金流'!AL925&amp;"|"&amp;'管线现金流'!J926&amp;"|"&amp;'管线现金流'!AL926&amp;"|"&amp;'管线现金流'!J927&amp;"|"&amp;'管线现金流'!AL927&amp;"|"&amp;'管线现金流'!J928&amp;"|"&amp;'管线现金流'!AL928&amp;"|"&amp;'管线现金流'!J929&amp;"|"&amp;'管线现金流'!AL929&amp;"|"&amp;'管线现金流'!J930&amp;"|"&amp;'管线现金流'!AL930&amp;"|"&amp;'管线现金流'!J931&amp;"|"&amp;'管线现金流'!AL931&amp;"|"&amp;'管线现金流'!J932&amp;"|"&amp;'管线现金流'!AL932&amp;"|"&amp;'管线现金流'!J933&amp;"|"&amp;'管线现金流'!AL933&amp;"|"&amp;'管线现金流'!J934&amp;"|"&amp;'管线现金流'!AL934&amp;"|"&amp;'管线现金流'!J935&amp;"|"&amp;'管线现金流'!AL935&amp;"|"&amp;'管线现金流'!J936&amp;"|"&amp;'管线现金流'!AL936&amp;"|"&amp;'管线现金流'!J937&amp;"|"&amp;'管线现金流'!AL937&amp;"|"&amp;'管线现金流'!J938&amp;"|"&amp;'管线现金流'!AL938&amp;"|"&amp;'管线现金流'!J939&amp;"|"&amp;'管线现金流'!AL939&amp;"|"&amp;'管线现金流'!J940&amp;"|"&amp;'管线现金流'!AL940&amp;"|"&amp;'管线现金流'!J941&amp;"|"&amp;'管线现金流'!AL941&amp;"|"&amp;'管线现金流'!J942&amp;"|"&amp;'管线现金流'!AL942&amp;"|"&amp;'管线现金流'!J943&amp;"|"&amp;'管线现金流'!AL943&amp;"|"&amp;'管线现金流'!J944&amp;"|"&amp;'管线现金流'!AL944&amp;"|"&amp;'管线现金流'!J945&amp;"|"&amp;'管线现金流'!AL945&amp;"|"&amp;'管线现金流'!J946&amp;"|"&amp;'管线现金流'!AL946&amp;"|"&amp;'管线现金流'!J947&amp;"|"&amp;'管线现金流'!AL947&amp;"|"&amp;'管线现金流'!W24&amp;"|"&amp;'管线现金流'!Z24&amp;"|"&amp;'管线现金流'!AQ24&amp;"|"&amp;'管线现金流'!AT24</x:f>
        <x:v>4.6|2.5|1|0.1105|1|0.105|6.8|0.932|0.1105|1|0.105|6.8|1|0.4|1|0.105|6.8|0.7025|0.4|1|0.105|6.8|0.49|0.38|1|0.105|6.8|0.745|0.4|1|0.105|6.8|0.6175|0.4|1|0.105|6.8|0.6175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</x:row>
    <x:row r="196" ht="23" customHeight="1">
      <x:c r="A196" s="11" t="str">
        <x:v>688192.SH</x:v>
      </x:c>
      <x:c r="B196" s="11" t="str">
        <x:v>迪哲医药</x:v>
      </x:c>
      <x:c r="C196" s="11" t="str">
        <x:v>三年</x:v>
      </x:c>
      <x:c r="D196" s="11" t="str">
        <x:v>悲观</x:v>
      </x:c>
      <x:c r="E196" s="11" t="n">
        <x:v>59.95</x:v>
      </x:c>
      <x:c r="F196" s="11" t="n">
        <x:v>4.1002049588900125</x:v>
      </x:c>
      <x:c r="G196" s="11" t="n">
        <x:v>0</x:v>
      </x:c>
      <x:c r="H196" s="25" t="n">
        <x:v>-0.9316062558984152</x:v>
      </x:c>
      <x:c r="I196" s="25" t="n">
        <x:v>-0.9316062558984152</x:v>
      </x:c>
      <x:c r="J196" s="25" t="n">
        <x:v>-0.5910481978400879</x:v>
      </x:c>
      <x:c r="K196" s="11" t="n">
        <x:v>0</x:v>
      </x:c>
      <x:c r="L196" s="11" t="n">
        <x:v>0</x:v>
      </x:c>
      <x:c r="M196" s="11" t="n">
        <x:v>1</x:v>
      </x:c>
      <x:c r="N196" s="11" t="n">
        <x:v>0</x:v>
      </x:c>
      <x:c r="O196" s="11" t="n">
        <x:v>0</x:v>
      </x:c>
      <x:c r="P196" s="11" t="n">
        <x:v>0</x:v>
      </x:c>
      <x:c r="Q196" s="11" t="n">
        <x:v>0.55</x:v>
      </x:c>
      <x:c r="R196" s="11" t="str">
        <x:v>dizal-rnpv-v1.0</x:v>
      </x:c>
      <x:c r="S196" s="11" t="str">
        <x:v>2026-10-10</x:v>
      </x:c>
      <x:c r="T196" s="11" t="str">
        <x:f>IF(AND(SUM(IF(K196='假设'!E260,0,1),IF(L196='假设'!F260,0,1),IF(M196='假设'!G260,0,1),IF(N196='假设'!H260,0,1),IF(O196='假设'!I260,0,1),IF(P196='假设'!J260,0,1),IF(Q196='假设'!K260,0,1))=0,U196=V196),"已刷新","待刷新")</x:f>
        <x:v>已刷新</x:v>
      </x:c>
      <x:c r="U196" t="str">
        <x:v>1.8|2.3|1|0.064|1|0.16|6.8|0.4939999999999999|0.064|1|0.16|6.8|1|0.22|1|0.16|6.8|0.21799999999999997|0.22|1|0.16|6.8|0.1352|0.2|1|0.16|6.8|0.24559999999999993|0.22|1|0.16|6.8|0.17199999999999993|0.22|1|0.16|6.8|0.17199999999999993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  <x:c r="V196" t="str">
        <x:f>'假设'!N260&amp;"|"&amp;'假设'!Q260&amp;"|"&amp;'管线假设'!E224&amp;"|"&amp;'管线假设'!F224&amp;"|"&amp;'管线假设'!G224&amp;"|"&amp;'管线假设'!H224&amp;"|"&amp;'管线假设'!I224&amp;"|"&amp;'管线假设'!E228&amp;"|"&amp;'管线假设'!F228&amp;"|"&amp;'管线假设'!G228&amp;"|"&amp;'管线假设'!H228&amp;"|"&amp;'管线假设'!I228&amp;"|"&amp;'管线假设'!E232&amp;"|"&amp;'管线假设'!F232&amp;"|"&amp;'管线假设'!G232&amp;"|"&amp;'管线假设'!H232&amp;"|"&amp;'管线假设'!I232&amp;"|"&amp;'管线假设'!E236&amp;"|"&amp;'管线假设'!F236&amp;"|"&amp;'管线假设'!G236&amp;"|"&amp;'管线假设'!H236&amp;"|"&amp;'管线假设'!I236&amp;"|"&amp;'管线假设'!E240&amp;"|"&amp;'管线假设'!F240&amp;"|"&amp;'管线假设'!G240&amp;"|"&amp;'管线假设'!H240&amp;"|"&amp;'管线假设'!I240&amp;"|"&amp;'管线假设'!E244&amp;"|"&amp;'管线假设'!F244&amp;"|"&amp;'管线假设'!G244&amp;"|"&amp;'管线假设'!H244&amp;"|"&amp;'管线假设'!I244&amp;"|"&amp;'管线假设'!E248&amp;"|"&amp;'管线假设'!F248&amp;"|"&amp;'管线假设'!G248&amp;"|"&amp;'管线假设'!H248&amp;"|"&amp;'管线假设'!I248&amp;"|"&amp;'管线假设'!E252&amp;"|"&amp;'管线假设'!F252&amp;"|"&amp;'管线假设'!G252&amp;"|"&amp;'管线假设'!H252&amp;"|"&amp;'管线假设'!I252&amp;"|"&amp;'管线现金流'!H948&amp;"|"&amp;'管线现金流'!AJ948&amp;"|"&amp;'管线现金流'!H949&amp;"|"&amp;'管线现金流'!AJ949&amp;"|"&amp;'管线现金流'!H950&amp;"|"&amp;'管线现金流'!AJ950&amp;"|"&amp;'管线现金流'!H951&amp;"|"&amp;'管线现金流'!AJ951&amp;"|"&amp;'管线现金流'!H952&amp;"|"&amp;'管线现金流'!AJ952&amp;"|"&amp;'管线现金流'!H953&amp;"|"&amp;'管线现金流'!AJ953&amp;"|"&amp;'管线现金流'!H954&amp;"|"&amp;'管线现金流'!AJ954&amp;"|"&amp;'管线现金流'!H955&amp;"|"&amp;'管线现金流'!AJ955&amp;"|"&amp;'管线现金流'!H956&amp;"|"&amp;'管线现金流'!AJ956&amp;"|"&amp;'管线现金流'!H957&amp;"|"&amp;'管线现金流'!AJ957&amp;"|"&amp;'管线现金流'!H958&amp;"|"&amp;'管线现金流'!AJ958&amp;"|"&amp;'管线现金流'!H959&amp;"|"&amp;'管线现金流'!AJ959&amp;"|"&amp;'管线现金流'!H960&amp;"|"&amp;'管线现金流'!AJ960&amp;"|"&amp;'管线现金流'!H961&amp;"|"&amp;'管线现金流'!AJ961&amp;"|"&amp;'管线现金流'!H962&amp;"|"&amp;'管线现金流'!AJ962&amp;"|"&amp;'管线现金流'!H963&amp;"|"&amp;'管线现金流'!AJ963&amp;"|"&amp;'管线现金流'!H964&amp;"|"&amp;'管线现金流'!AJ964&amp;"|"&amp;'管线现金流'!H965&amp;"|"&amp;'管线现金流'!AJ965&amp;"|"&amp;'管线现金流'!H966&amp;"|"&amp;'管线现金流'!AJ966&amp;"|"&amp;'管线现金流'!H967&amp;"|"&amp;'管线现金流'!AJ967&amp;"|"&amp;'管线现金流'!H968&amp;"|"&amp;'管线现金流'!AJ968&amp;"|"&amp;'管线现金流'!H969&amp;"|"&amp;'管线现金流'!AJ969&amp;"|"&amp;'管线现金流'!H970&amp;"|"&amp;'管线现金流'!AJ970&amp;"|"&amp;'管线现金流'!H971&amp;"|"&amp;'管线现金流'!AJ971&amp;"|"&amp;'管线现金流'!H972&amp;"|"&amp;'管线现金流'!AJ972&amp;"|"&amp;'管线现金流'!H973&amp;"|"&amp;'管线现金流'!AJ973&amp;"|"&amp;'管线现金流'!H974&amp;"|"&amp;'管线现金流'!AJ974&amp;"|"&amp;'管线现金流'!H975&amp;"|"&amp;'管线现金流'!AJ975&amp;"|"&amp;'管线现金流'!H976&amp;"|"&amp;'管线现金流'!AJ976&amp;"|"&amp;'管线现金流'!H977&amp;"|"&amp;'管线现金流'!AJ977&amp;"|"&amp;'管线现金流'!H978&amp;"|"&amp;'管线现金流'!AJ978&amp;"|"&amp;'管线现金流'!H979&amp;"|"&amp;'管线现金流'!AJ979&amp;"|"&amp;'管线现金流'!H980&amp;"|"&amp;'管线现金流'!AJ980&amp;"|"&amp;'管线现金流'!H981&amp;"|"&amp;'管线现金流'!AJ981&amp;"|"&amp;'管线现金流'!H982&amp;"|"&amp;'管线现金流'!AJ982&amp;"|"&amp;'管线现金流'!H983&amp;"|"&amp;'管线现金流'!AJ983&amp;"|"&amp;'管线现金流'!H984&amp;"|"&amp;'管线现金流'!AJ984&amp;"|"&amp;'管线现金流'!H985&amp;"|"&amp;'管线现金流'!AJ985&amp;"|"&amp;'管线现金流'!H986&amp;"|"&amp;'管线现金流'!AJ986&amp;"|"&amp;'管线现金流'!H987&amp;"|"&amp;'管线现金流'!AJ987&amp;"|"&amp;'管线现金流'!H988&amp;"|"&amp;'管线现金流'!AJ988&amp;"|"&amp;'管线现金流'!H989&amp;"|"&amp;'管线现金流'!AJ989&amp;"|"&amp;'管线现金流'!H990&amp;"|"&amp;'管线现金流'!AJ990&amp;"|"&amp;'管线现金流'!H991&amp;"|"&amp;'管线现金流'!AJ991&amp;"|"&amp;'管线现金流'!H992&amp;"|"&amp;'管线现金流'!AJ992&amp;"|"&amp;'管线现金流'!H993&amp;"|"&amp;'管线现金流'!AJ993&amp;"|"&amp;'管线现金流'!H994&amp;"|"&amp;'管线现金流'!AJ994&amp;"|"&amp;'管线现金流'!H995&amp;"|"&amp;'管线现金流'!AJ995&amp;"|"&amp;'管线现金流'!H996&amp;"|"&amp;'管线现金流'!AJ996&amp;"|"&amp;'管线现金流'!H997&amp;"|"&amp;'管线现金流'!AJ997&amp;"|"&amp;'管线现金流'!H998&amp;"|"&amp;'管线现金流'!AJ998&amp;"|"&amp;'管线现金流'!H999&amp;"|"&amp;'管线现金流'!AJ999&amp;"|"&amp;'管线现金流'!H1000&amp;"|"&amp;'管线现金流'!AJ1000&amp;"|"&amp;'管线现金流'!H1001&amp;"|"&amp;'管线现金流'!AJ1001&amp;"|"&amp;'管线现金流'!H1002&amp;"|"&amp;'管线现金流'!AJ1002&amp;"|"&amp;'管线现金流'!H1003&amp;"|"&amp;'管线现金流'!AJ1003&amp;"|"&amp;'管线现金流'!H1004&amp;"|"&amp;'管线现金流'!AJ1004&amp;"|"&amp;'管线现金流'!H1005&amp;"|"&amp;'管线现金流'!AJ1005&amp;"|"&amp;'管线现金流'!H1006&amp;"|"&amp;'管线现金流'!AJ1006&amp;"|"&amp;'管线现金流'!H1007&amp;"|"&amp;'管线现金流'!AJ1007&amp;"|"&amp;'管线现金流'!H1008&amp;"|"&amp;'管线现金流'!AJ1008&amp;"|"&amp;'管线现金流'!H1009&amp;"|"&amp;'管线现金流'!AJ1009&amp;"|"&amp;'管线现金流'!H1010&amp;"|"&amp;'管线现金流'!AJ1010&amp;"|"&amp;'管线现金流'!H1011&amp;"|"&amp;'管线现金流'!AJ1011&amp;"|"&amp;'管线现金流'!H1012&amp;"|"&amp;'管线现金流'!AJ1012&amp;"|"&amp;'管线现金流'!H1013&amp;"|"&amp;'管线现金流'!AJ1013&amp;"|"&amp;'管线现金流'!H1014&amp;"|"&amp;'管线现金流'!AJ1014&amp;"|"&amp;'管线现金流'!H1015&amp;"|"&amp;'管线现金流'!AJ1015&amp;"|"&amp;'管线现金流'!H1016&amp;"|"&amp;'管线现金流'!AJ1016&amp;"|"&amp;'管线现金流'!H1017&amp;"|"&amp;'管线现金流'!AJ1017&amp;"|"&amp;'管线现金流'!H1018&amp;"|"&amp;'管线现金流'!AJ1018&amp;"|"&amp;'管线现金流'!H1019&amp;"|"&amp;'管线现金流'!AJ1019&amp;"|"&amp;'管线现金流'!H1020&amp;"|"&amp;'管线现金流'!AJ1020&amp;"|"&amp;'管线现金流'!H1021&amp;"|"&amp;'管线现金流'!AJ1021&amp;"|"&amp;'管线现金流'!H1022&amp;"|"&amp;'管线现金流'!AJ1022&amp;"|"&amp;'管线现金流'!H1023&amp;"|"&amp;'管线现金流'!AJ1023&amp;"|"&amp;'管线现金流'!H1024&amp;"|"&amp;'管线现金流'!AJ1024&amp;"|"&amp;'管线现金流'!H1025&amp;"|"&amp;'管线现金流'!AJ1025&amp;"|"&amp;'管线现金流'!H1026&amp;"|"&amp;'管线现金流'!AJ1026&amp;"|"&amp;'管线现金流'!H1027&amp;"|"&amp;'管线现金流'!AJ1027&amp;"|"&amp;'管线现金流'!H1028&amp;"|"&amp;'管线现金流'!AJ1028&amp;"|"&amp;'管线现金流'!H1029&amp;"|"&amp;'管线现金流'!AJ1029&amp;"|"&amp;'管线现金流'!H1030&amp;"|"&amp;'管线现金流'!AJ1030&amp;"|"&amp;'管线现金流'!H1031&amp;"|"&amp;'管线现金流'!AJ1031&amp;"|"&amp;'管线现金流'!H1032&amp;"|"&amp;'管线现金流'!AJ1032&amp;"|"&amp;'管线现金流'!H1033&amp;"|"&amp;'管线现金流'!AJ1033&amp;"|"&amp;'管线现金流'!H1034&amp;"|"&amp;'管线现金流'!AJ1034&amp;"|"&amp;'管线现金流'!H1035&amp;"|"&amp;'管线现金流'!AJ1035&amp;"|"&amp;'管线现金流'!H1036&amp;"|"&amp;'管线现金流'!AJ1036&amp;"|"&amp;'管线现金流'!H1037&amp;"|"&amp;'管线现金流'!AJ1037&amp;"|"&amp;'管线现金流'!H1038&amp;"|"&amp;'管线现金流'!AJ1038&amp;"|"&amp;'管线现金流'!H1039&amp;"|"&amp;'管线现金流'!AJ1039&amp;"|"&amp;'管线现金流'!H1040&amp;"|"&amp;'管线现金流'!AJ1040&amp;"|"&amp;'管线现金流'!H1041&amp;"|"&amp;'管线现金流'!AJ1041&amp;"|"&amp;'管线现金流'!H1042&amp;"|"&amp;'管线现金流'!AJ1042&amp;"|"&amp;'管线现金流'!H1043&amp;"|"&amp;'管线现金流'!AJ1043&amp;"|"&amp;'管线现金流'!H1044&amp;"|"&amp;'管线现金流'!AJ1044&amp;"|"&amp;'管线现金流'!H1045&amp;"|"&amp;'管线现金流'!AJ1045&amp;"|"&amp;'管线现金流'!H1046&amp;"|"&amp;'管线现金流'!AJ1046&amp;"|"&amp;'管线现金流'!H1047&amp;"|"&amp;'管线现金流'!AJ1047&amp;"|"&amp;'管线现金流'!H1048&amp;"|"&amp;'管线现金流'!AJ1048&amp;"|"&amp;'管线现金流'!H1049&amp;"|"&amp;'管线现金流'!AJ1049&amp;"|"&amp;'管线现金流'!H1050&amp;"|"&amp;'管线现金流'!AJ1050&amp;"|"&amp;'管线现金流'!H1051&amp;"|"&amp;'管线现金流'!AJ1051&amp;"|"&amp;'管线现金流'!H1052&amp;"|"&amp;'管线现金流'!AJ1052&amp;"|"&amp;'管线现金流'!H1053&amp;"|"&amp;'管线现金流'!AJ1053&amp;"|"&amp;'管线现金流'!H1054&amp;"|"&amp;'管线现金流'!AJ1054&amp;"|"&amp;'管线现金流'!H1055&amp;"|"&amp;'管线现金流'!AJ1055&amp;"|"&amp;'管线现金流'!H1056&amp;"|"&amp;'管线现金流'!AJ1056&amp;"|"&amp;'管线现金流'!H1057&amp;"|"&amp;'管线现金流'!AJ1057&amp;"|"&amp;'管线现金流'!H1058&amp;"|"&amp;'管线现金流'!AJ1058&amp;"|"&amp;'管线现金流'!H1059&amp;"|"&amp;'管线现金流'!AJ1059&amp;"|"&amp;'管线现金流'!H1060&amp;"|"&amp;'管线现金流'!AJ1060&amp;"|"&amp;'管线现金流'!H1061&amp;"|"&amp;'管线现金流'!AJ1061&amp;"|"&amp;'管线现金流'!H1062&amp;"|"&amp;'管线现金流'!AJ1062&amp;"|"&amp;'管线现金流'!H1063&amp;"|"&amp;'管线现金流'!AJ1063&amp;"|"&amp;'管线现金流'!H1064&amp;"|"&amp;'管线现金流'!AJ1064&amp;"|"&amp;'管线现金流'!H1065&amp;"|"&amp;'管线现金流'!AJ1065&amp;"|"&amp;'管线现金流'!H1066&amp;"|"&amp;'管线现金流'!AJ1066&amp;"|"&amp;'管线现金流'!H1067&amp;"|"&amp;'管线现金流'!AJ1067&amp;"|"&amp;'管线现金流'!H1068&amp;"|"&amp;'管线现金流'!AJ1068&amp;"|"&amp;'管线现金流'!H1069&amp;"|"&amp;'管线现金流'!AJ1069&amp;"|"&amp;'管线现金流'!H1070&amp;"|"&amp;'管线现金流'!AJ1070&amp;"|"&amp;'管线现金流'!H1071&amp;"|"&amp;'管线现金流'!AJ1071&amp;"|"&amp;'管线现金流'!H1072&amp;"|"&amp;'管线现金流'!AJ1072&amp;"|"&amp;'管线现金流'!H1073&amp;"|"&amp;'管线现金流'!AJ1073&amp;"|"&amp;'管线现金流'!H1074&amp;"|"&amp;'管线现金流'!AJ1074&amp;"|"&amp;'管线现金流'!H1075&amp;"|"&amp;'管线现金流'!AJ1075&amp;"|"&amp;'管线现金流'!H1076&amp;"|"&amp;'管线现金流'!AJ1076&amp;"|"&amp;'管线现金流'!H1077&amp;"|"&amp;'管线现金流'!AJ1077&amp;"|"&amp;'管线现金流'!H1078&amp;"|"&amp;'管线现金流'!AJ1078&amp;"|"&amp;'管线现金流'!H1079&amp;"|"&amp;'管线现金流'!AJ1079&amp;"|"&amp;'管线现金流'!H1080&amp;"|"&amp;'管线现金流'!AJ1080&amp;"|"&amp;'管线现金流'!H1081&amp;"|"&amp;'管线现金流'!AJ1081&amp;"|"&amp;'管线现金流'!H1082&amp;"|"&amp;'管线现金流'!AJ1082&amp;"|"&amp;'管线现金流'!H1083&amp;"|"&amp;'管线现金流'!AJ1083&amp;"|"&amp;'管线现金流'!H1084&amp;"|"&amp;'管线现金流'!AJ1084&amp;"|"&amp;'管线现金流'!H1085&amp;"|"&amp;'管线现金流'!AJ1085&amp;"|"&amp;'管线现金流'!H1086&amp;"|"&amp;'管线现金流'!AJ1086&amp;"|"&amp;'管线现金流'!H1087&amp;"|"&amp;'管线现金流'!AJ1087&amp;"|"&amp;'管线现金流'!H1088&amp;"|"&amp;'管线现金流'!AJ1088&amp;"|"&amp;'管线现金流'!H1089&amp;"|"&amp;'管线现金流'!AJ1089&amp;"|"&amp;'管线现金流'!H1090&amp;"|"&amp;'管线现金流'!AJ1090&amp;"|"&amp;'管线现金流'!H1091&amp;"|"&amp;'管线现金流'!AJ1091&amp;"|"&amp;'管线现金流'!H1092&amp;"|"&amp;'管线现金流'!AJ1092&amp;"|"&amp;'管线现金流'!H1093&amp;"|"&amp;'管线现金流'!AJ1093&amp;"|"&amp;'管线现金流'!H1094&amp;"|"&amp;'管线现金流'!AJ1094&amp;"|"&amp;'管线现金流'!H1095&amp;"|"&amp;'管线现金流'!AJ1095&amp;"|"&amp;'管线现金流'!H1096&amp;"|"&amp;'管线现金流'!AJ1096&amp;"|"&amp;'管线现金流'!H1097&amp;"|"&amp;'管线现金流'!AJ1097&amp;"|"&amp;'管线现金流'!H1098&amp;"|"&amp;'管线现金流'!AJ1098&amp;"|"&amp;'管线现金流'!H1099&amp;"|"&amp;'管线现金流'!AJ1099&amp;"|"&amp;'管线现金流'!U25&amp;"|"&amp;'管线现金流'!X25&amp;"|"&amp;'管线现金流'!AO25&amp;"|"&amp;'管线现金流'!AR25</x:f>
        <x:v>1.8|2.3|1|0.064|1|0.16|6.8|0.4939999999999999|0.064|1|0.16|6.8|1|0.22|1|0.16|6.8|0.21799999999999997|0.22|1|0.16|6.8|0.1352|0.2|1|0.16|6.8|0.24559999999999993|0.22|1|0.16|6.8|0.17199999999999993|0.22|1|0.16|6.8|0.17199999999999993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</x:row>
    <x:row r="197" ht="23" customHeight="1">
      <x:c r="A197" s="11" t="str">
        <x:v>688192.SH</x:v>
      </x:c>
      <x:c r="B197" s="11" t="str">
        <x:v>迪哲医药</x:v>
      </x:c>
      <x:c r="C197" s="11" t="str">
        <x:v>三年</x:v>
      </x:c>
      <x:c r="D197" s="11" t="str">
        <x:v>基准</x:v>
      </x:c>
      <x:c r="E197" s="11" t="n">
        <x:v>59.95</x:v>
      </x:c>
      <x:c r="F197" s="11" t="n">
        <x:v>70.33778493018646</x:v>
      </x:c>
      <x:c r="G197" s="11" t="n">
        <x:v>0</x:v>
      </x:c>
      <x:c r="H197" s="25" t="n">
        <x:v>0.1732741439564045</x:v>
      </x:c>
      <x:c r="I197" s="25" t="n">
        <x:v>0.1732741439564045</x:v>
      </x:c>
      <x:c r="J197" s="25" t="n">
        <x:v>0.054710250073176425</x:v>
      </x:c>
      <x:c r="K197" s="11" t="n">
        <x:v>0</x:v>
      </x:c>
      <x:c r="L197" s="11" t="n">
        <x:v>0</x:v>
      </x:c>
      <x:c r="M197" s="11" t="n">
        <x:v>1</x:v>
      </x:c>
      <x:c r="N197" s="11" t="n">
        <x:v>0</x:v>
      </x:c>
      <x:c r="O197" s="11" t="n">
        <x:v>0</x:v>
      </x:c>
      <x:c r="P197" s="11" t="n">
        <x:v>0</x:v>
      </x:c>
      <x:c r="Q197" s="11" t="n">
        <x:v>0.52</x:v>
      </x:c>
      <x:c r="R197" s="11" t="str">
        <x:v>dizal-rnpv-v1.0</x:v>
      </x:c>
      <x:c r="S197" s="11" t="str">
        <x:v>2026-10-10</x:v>
      </x:c>
      <x:c r="T197" s="11" t="str">
        <x:f>IF(AND(SUM(IF(K197='假设'!E261,0,1),IF(L197='假设'!F261,0,1),IF(M197='假设'!G261,0,1),IF(N197='假设'!H261,0,1),IF(O197='假设'!I261,0,1),IF(P197='假设'!J261,0,1),IF(Q197='假设'!K261,0,1))=0,U197=V197),"已刷新","待刷新")</x:f>
        <x:v>已刷新</x:v>
      </x:c>
      <x:c r="U197" t="str">
        <x:v>4.4|1.7|1|0.08610000000000001|1|0.125|6.8|0.8416|0.08610000000000001|1|0.125|6.8|1|0.33|1|0.125|6.8|0.5680000000000001|0.33|1|0.125|6.8|0.42400000000000004|0.3|1|0.125|6.8|0.6255999999999999|0.32|1|0.125|6.8|0.496|0.32|1|0.125|6.8|0.496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  <x:c r="V197" t="str">
        <x:f>'假设'!N261&amp;"|"&amp;'假设'!Q261&amp;"|"&amp;'管线假设'!E225&amp;"|"&amp;'管线假设'!F225&amp;"|"&amp;'管线假设'!G225&amp;"|"&amp;'管线假设'!H225&amp;"|"&amp;'管线假设'!I225&amp;"|"&amp;'管线假设'!E229&amp;"|"&amp;'管线假设'!F229&amp;"|"&amp;'管线假设'!G229&amp;"|"&amp;'管线假设'!H229&amp;"|"&amp;'管线假设'!I229&amp;"|"&amp;'管线假设'!E233&amp;"|"&amp;'管线假设'!F233&amp;"|"&amp;'管线假设'!G233&amp;"|"&amp;'管线假设'!H233&amp;"|"&amp;'管线假设'!I233&amp;"|"&amp;'管线假设'!E237&amp;"|"&amp;'管线假设'!F237&amp;"|"&amp;'管线假设'!G237&amp;"|"&amp;'管线假设'!H237&amp;"|"&amp;'管线假设'!I237&amp;"|"&amp;'管线假设'!E241&amp;"|"&amp;'管线假设'!F241&amp;"|"&amp;'管线假设'!G241&amp;"|"&amp;'管线假设'!H241&amp;"|"&amp;'管线假设'!I241&amp;"|"&amp;'管线假设'!E245&amp;"|"&amp;'管线假设'!F245&amp;"|"&amp;'管线假设'!G245&amp;"|"&amp;'管线假设'!H245&amp;"|"&amp;'管线假设'!I245&amp;"|"&amp;'管线假设'!E249&amp;"|"&amp;'管线假设'!F249&amp;"|"&amp;'管线假设'!G249&amp;"|"&amp;'管线假设'!H249&amp;"|"&amp;'管线假设'!I249&amp;"|"&amp;'管线假设'!E253&amp;"|"&amp;'管线假设'!F253&amp;"|"&amp;'管线假设'!G253&amp;"|"&amp;'管线假设'!H253&amp;"|"&amp;'管线假设'!I253&amp;"|"&amp;'管线现金流'!I948&amp;"|"&amp;'管线现金流'!AK948&amp;"|"&amp;'管线现金流'!I949&amp;"|"&amp;'管线现金流'!AK949&amp;"|"&amp;'管线现金流'!I950&amp;"|"&amp;'管线现金流'!AK950&amp;"|"&amp;'管线现金流'!I951&amp;"|"&amp;'管线现金流'!AK951&amp;"|"&amp;'管线现金流'!I952&amp;"|"&amp;'管线现金流'!AK952&amp;"|"&amp;'管线现金流'!I953&amp;"|"&amp;'管线现金流'!AK953&amp;"|"&amp;'管线现金流'!I954&amp;"|"&amp;'管线现金流'!AK954&amp;"|"&amp;'管线现金流'!I955&amp;"|"&amp;'管线现金流'!AK955&amp;"|"&amp;'管线现金流'!I956&amp;"|"&amp;'管线现金流'!AK956&amp;"|"&amp;'管线现金流'!I957&amp;"|"&amp;'管线现金流'!AK957&amp;"|"&amp;'管线现金流'!I958&amp;"|"&amp;'管线现金流'!AK958&amp;"|"&amp;'管线现金流'!I959&amp;"|"&amp;'管线现金流'!AK959&amp;"|"&amp;'管线现金流'!I960&amp;"|"&amp;'管线现金流'!AK960&amp;"|"&amp;'管线现金流'!I961&amp;"|"&amp;'管线现金流'!AK961&amp;"|"&amp;'管线现金流'!I962&amp;"|"&amp;'管线现金流'!AK962&amp;"|"&amp;'管线现金流'!I963&amp;"|"&amp;'管线现金流'!AK963&amp;"|"&amp;'管线现金流'!I964&amp;"|"&amp;'管线现金流'!AK964&amp;"|"&amp;'管线现金流'!I965&amp;"|"&amp;'管线现金流'!AK965&amp;"|"&amp;'管线现金流'!I966&amp;"|"&amp;'管线现金流'!AK966&amp;"|"&amp;'管线现金流'!I967&amp;"|"&amp;'管线现金流'!AK967&amp;"|"&amp;'管线现金流'!I968&amp;"|"&amp;'管线现金流'!AK968&amp;"|"&amp;'管线现金流'!I969&amp;"|"&amp;'管线现金流'!AK969&amp;"|"&amp;'管线现金流'!I970&amp;"|"&amp;'管线现金流'!AK970&amp;"|"&amp;'管线现金流'!I971&amp;"|"&amp;'管线现金流'!AK971&amp;"|"&amp;'管线现金流'!I972&amp;"|"&amp;'管线现金流'!AK972&amp;"|"&amp;'管线现金流'!I973&amp;"|"&amp;'管线现金流'!AK973&amp;"|"&amp;'管线现金流'!I974&amp;"|"&amp;'管线现金流'!AK974&amp;"|"&amp;'管线现金流'!I975&amp;"|"&amp;'管线现金流'!AK975&amp;"|"&amp;'管线现金流'!I976&amp;"|"&amp;'管线现金流'!AK976&amp;"|"&amp;'管线现金流'!I977&amp;"|"&amp;'管线现金流'!AK977&amp;"|"&amp;'管线现金流'!I978&amp;"|"&amp;'管线现金流'!AK978&amp;"|"&amp;'管线现金流'!I979&amp;"|"&amp;'管线现金流'!AK979&amp;"|"&amp;'管线现金流'!I980&amp;"|"&amp;'管线现金流'!AK980&amp;"|"&amp;'管线现金流'!I981&amp;"|"&amp;'管线现金流'!AK981&amp;"|"&amp;'管线现金流'!I982&amp;"|"&amp;'管线现金流'!AK982&amp;"|"&amp;'管线现金流'!I983&amp;"|"&amp;'管线现金流'!AK983&amp;"|"&amp;'管线现金流'!I984&amp;"|"&amp;'管线现金流'!AK984&amp;"|"&amp;'管线现金流'!I985&amp;"|"&amp;'管线现金流'!AK985&amp;"|"&amp;'管线现金流'!I986&amp;"|"&amp;'管线现金流'!AK986&amp;"|"&amp;'管线现金流'!I987&amp;"|"&amp;'管线现金流'!AK987&amp;"|"&amp;'管线现金流'!I988&amp;"|"&amp;'管线现金流'!AK988&amp;"|"&amp;'管线现金流'!I989&amp;"|"&amp;'管线现金流'!AK989&amp;"|"&amp;'管线现金流'!I990&amp;"|"&amp;'管线现金流'!AK990&amp;"|"&amp;'管线现金流'!I991&amp;"|"&amp;'管线现金流'!AK991&amp;"|"&amp;'管线现金流'!I992&amp;"|"&amp;'管线现金流'!AK992&amp;"|"&amp;'管线现金流'!I993&amp;"|"&amp;'管线现金流'!AK993&amp;"|"&amp;'管线现金流'!I994&amp;"|"&amp;'管线现金流'!AK994&amp;"|"&amp;'管线现金流'!I995&amp;"|"&amp;'管线现金流'!AK995&amp;"|"&amp;'管线现金流'!I996&amp;"|"&amp;'管线现金流'!AK996&amp;"|"&amp;'管线现金流'!I997&amp;"|"&amp;'管线现金流'!AK997&amp;"|"&amp;'管线现金流'!I998&amp;"|"&amp;'管线现金流'!AK998&amp;"|"&amp;'管线现金流'!I999&amp;"|"&amp;'管线现金流'!AK999&amp;"|"&amp;'管线现金流'!I1000&amp;"|"&amp;'管线现金流'!AK1000&amp;"|"&amp;'管线现金流'!I1001&amp;"|"&amp;'管线现金流'!AK1001&amp;"|"&amp;'管线现金流'!I1002&amp;"|"&amp;'管线现金流'!AK1002&amp;"|"&amp;'管线现金流'!I1003&amp;"|"&amp;'管线现金流'!AK1003&amp;"|"&amp;'管线现金流'!I1004&amp;"|"&amp;'管线现金流'!AK1004&amp;"|"&amp;'管线现金流'!I1005&amp;"|"&amp;'管线现金流'!AK1005&amp;"|"&amp;'管线现金流'!I1006&amp;"|"&amp;'管线现金流'!AK1006&amp;"|"&amp;'管线现金流'!I1007&amp;"|"&amp;'管线现金流'!AK1007&amp;"|"&amp;'管线现金流'!I1008&amp;"|"&amp;'管线现金流'!AK1008&amp;"|"&amp;'管线现金流'!I1009&amp;"|"&amp;'管线现金流'!AK1009&amp;"|"&amp;'管线现金流'!I1010&amp;"|"&amp;'管线现金流'!AK1010&amp;"|"&amp;'管线现金流'!I1011&amp;"|"&amp;'管线现金流'!AK1011&amp;"|"&amp;'管线现金流'!I1012&amp;"|"&amp;'管线现金流'!AK1012&amp;"|"&amp;'管线现金流'!I1013&amp;"|"&amp;'管线现金流'!AK1013&amp;"|"&amp;'管线现金流'!I1014&amp;"|"&amp;'管线现金流'!AK1014&amp;"|"&amp;'管线现金流'!I1015&amp;"|"&amp;'管线现金流'!AK1015&amp;"|"&amp;'管线现金流'!I1016&amp;"|"&amp;'管线现金流'!AK1016&amp;"|"&amp;'管线现金流'!I1017&amp;"|"&amp;'管线现金流'!AK1017&amp;"|"&amp;'管线现金流'!I1018&amp;"|"&amp;'管线现金流'!AK1018&amp;"|"&amp;'管线现金流'!I1019&amp;"|"&amp;'管线现金流'!AK1019&amp;"|"&amp;'管线现金流'!I1020&amp;"|"&amp;'管线现金流'!AK1020&amp;"|"&amp;'管线现金流'!I1021&amp;"|"&amp;'管线现金流'!AK1021&amp;"|"&amp;'管线现金流'!I1022&amp;"|"&amp;'管线现金流'!AK1022&amp;"|"&amp;'管线现金流'!I1023&amp;"|"&amp;'管线现金流'!AK1023&amp;"|"&amp;'管线现金流'!I1024&amp;"|"&amp;'管线现金流'!AK1024&amp;"|"&amp;'管线现金流'!I1025&amp;"|"&amp;'管线现金流'!AK1025&amp;"|"&amp;'管线现金流'!I1026&amp;"|"&amp;'管线现金流'!AK1026&amp;"|"&amp;'管线现金流'!I1027&amp;"|"&amp;'管线现金流'!AK1027&amp;"|"&amp;'管线现金流'!I1028&amp;"|"&amp;'管线现金流'!AK1028&amp;"|"&amp;'管线现金流'!I1029&amp;"|"&amp;'管线现金流'!AK1029&amp;"|"&amp;'管线现金流'!I1030&amp;"|"&amp;'管线现金流'!AK1030&amp;"|"&amp;'管线现金流'!I1031&amp;"|"&amp;'管线现金流'!AK1031&amp;"|"&amp;'管线现金流'!I1032&amp;"|"&amp;'管线现金流'!AK1032&amp;"|"&amp;'管线现金流'!I1033&amp;"|"&amp;'管线现金流'!AK1033&amp;"|"&amp;'管线现金流'!I1034&amp;"|"&amp;'管线现金流'!AK1034&amp;"|"&amp;'管线现金流'!I1035&amp;"|"&amp;'管线现金流'!AK1035&amp;"|"&amp;'管线现金流'!I1036&amp;"|"&amp;'管线现金流'!AK1036&amp;"|"&amp;'管线现金流'!I1037&amp;"|"&amp;'管线现金流'!AK1037&amp;"|"&amp;'管线现金流'!I1038&amp;"|"&amp;'管线现金流'!AK1038&amp;"|"&amp;'管线现金流'!I1039&amp;"|"&amp;'管线现金流'!AK1039&amp;"|"&amp;'管线现金流'!I1040&amp;"|"&amp;'管线现金流'!AK1040&amp;"|"&amp;'管线现金流'!I1041&amp;"|"&amp;'管线现金流'!AK1041&amp;"|"&amp;'管线现金流'!I1042&amp;"|"&amp;'管线现金流'!AK1042&amp;"|"&amp;'管线现金流'!I1043&amp;"|"&amp;'管线现金流'!AK1043&amp;"|"&amp;'管线现金流'!I1044&amp;"|"&amp;'管线现金流'!AK1044&amp;"|"&amp;'管线现金流'!I1045&amp;"|"&amp;'管线现金流'!AK1045&amp;"|"&amp;'管线现金流'!I1046&amp;"|"&amp;'管线现金流'!AK1046&amp;"|"&amp;'管线现金流'!I1047&amp;"|"&amp;'管线现金流'!AK1047&amp;"|"&amp;'管线现金流'!I1048&amp;"|"&amp;'管线现金流'!AK1048&amp;"|"&amp;'管线现金流'!I1049&amp;"|"&amp;'管线现金流'!AK1049&amp;"|"&amp;'管线现金流'!I1050&amp;"|"&amp;'管线现金流'!AK1050&amp;"|"&amp;'管线现金流'!I1051&amp;"|"&amp;'管线现金流'!AK1051&amp;"|"&amp;'管线现金流'!I1052&amp;"|"&amp;'管线现金流'!AK1052&amp;"|"&amp;'管线现金流'!I1053&amp;"|"&amp;'管线现金流'!AK1053&amp;"|"&amp;'管线现金流'!I1054&amp;"|"&amp;'管线现金流'!AK1054&amp;"|"&amp;'管线现金流'!I1055&amp;"|"&amp;'管线现金流'!AK1055&amp;"|"&amp;'管线现金流'!I1056&amp;"|"&amp;'管线现金流'!AK1056&amp;"|"&amp;'管线现金流'!I1057&amp;"|"&amp;'管线现金流'!AK1057&amp;"|"&amp;'管线现金流'!I1058&amp;"|"&amp;'管线现金流'!AK1058&amp;"|"&amp;'管线现金流'!I1059&amp;"|"&amp;'管线现金流'!AK1059&amp;"|"&amp;'管线现金流'!I1060&amp;"|"&amp;'管线现金流'!AK1060&amp;"|"&amp;'管线现金流'!I1061&amp;"|"&amp;'管线现金流'!AK1061&amp;"|"&amp;'管线现金流'!I1062&amp;"|"&amp;'管线现金流'!AK1062&amp;"|"&amp;'管线现金流'!I1063&amp;"|"&amp;'管线现金流'!AK1063&amp;"|"&amp;'管线现金流'!I1064&amp;"|"&amp;'管线现金流'!AK1064&amp;"|"&amp;'管线现金流'!I1065&amp;"|"&amp;'管线现金流'!AK1065&amp;"|"&amp;'管线现金流'!I1066&amp;"|"&amp;'管线现金流'!AK1066&amp;"|"&amp;'管线现金流'!I1067&amp;"|"&amp;'管线现金流'!AK1067&amp;"|"&amp;'管线现金流'!I1068&amp;"|"&amp;'管线现金流'!AK1068&amp;"|"&amp;'管线现金流'!I1069&amp;"|"&amp;'管线现金流'!AK1069&amp;"|"&amp;'管线现金流'!I1070&amp;"|"&amp;'管线现金流'!AK1070&amp;"|"&amp;'管线现金流'!I1071&amp;"|"&amp;'管线现金流'!AK1071&amp;"|"&amp;'管线现金流'!I1072&amp;"|"&amp;'管线现金流'!AK1072&amp;"|"&amp;'管线现金流'!I1073&amp;"|"&amp;'管线现金流'!AK1073&amp;"|"&amp;'管线现金流'!I1074&amp;"|"&amp;'管线现金流'!AK1074&amp;"|"&amp;'管线现金流'!I1075&amp;"|"&amp;'管线现金流'!AK1075&amp;"|"&amp;'管线现金流'!I1076&amp;"|"&amp;'管线现金流'!AK1076&amp;"|"&amp;'管线现金流'!I1077&amp;"|"&amp;'管线现金流'!AK1077&amp;"|"&amp;'管线现金流'!I1078&amp;"|"&amp;'管线现金流'!AK1078&amp;"|"&amp;'管线现金流'!I1079&amp;"|"&amp;'管线现金流'!AK1079&amp;"|"&amp;'管线现金流'!I1080&amp;"|"&amp;'管线现金流'!AK1080&amp;"|"&amp;'管线现金流'!I1081&amp;"|"&amp;'管线现金流'!AK1081&amp;"|"&amp;'管线现金流'!I1082&amp;"|"&amp;'管线现金流'!AK1082&amp;"|"&amp;'管线现金流'!I1083&amp;"|"&amp;'管线现金流'!AK1083&amp;"|"&amp;'管线现金流'!I1084&amp;"|"&amp;'管线现金流'!AK1084&amp;"|"&amp;'管线现金流'!I1085&amp;"|"&amp;'管线现金流'!AK1085&amp;"|"&amp;'管线现金流'!I1086&amp;"|"&amp;'管线现金流'!AK1086&amp;"|"&amp;'管线现金流'!I1087&amp;"|"&amp;'管线现金流'!AK1087&amp;"|"&amp;'管线现金流'!I1088&amp;"|"&amp;'管线现金流'!AK1088&amp;"|"&amp;'管线现金流'!I1089&amp;"|"&amp;'管线现金流'!AK1089&amp;"|"&amp;'管线现金流'!I1090&amp;"|"&amp;'管线现金流'!AK1090&amp;"|"&amp;'管线现金流'!I1091&amp;"|"&amp;'管线现金流'!AK1091&amp;"|"&amp;'管线现金流'!I1092&amp;"|"&amp;'管线现金流'!AK1092&amp;"|"&amp;'管线现金流'!I1093&amp;"|"&amp;'管线现金流'!AK1093&amp;"|"&amp;'管线现金流'!I1094&amp;"|"&amp;'管线现金流'!AK1094&amp;"|"&amp;'管线现金流'!I1095&amp;"|"&amp;'管线现金流'!AK1095&amp;"|"&amp;'管线现金流'!I1096&amp;"|"&amp;'管线现金流'!AK1096&amp;"|"&amp;'管线现金流'!I1097&amp;"|"&amp;'管线现金流'!AK1097&amp;"|"&amp;'管线现金流'!I1098&amp;"|"&amp;'管线现金流'!AK1098&amp;"|"&amp;'管线现金流'!I1099&amp;"|"&amp;'管线现金流'!AK1099&amp;"|"&amp;'管线现金流'!V25&amp;"|"&amp;'管线现金流'!Y25&amp;"|"&amp;'管线现金流'!AP25&amp;"|"&amp;'管线现金流'!AS25</x:f>
        <x:v>4.4|1.7|1|0.08610000000000001|1|0.125|6.8|0.8416|0.08610000000000001|1|0.125|6.8|1|0.33|1|0.125|6.8|0.5680000000000001|0.33|1|0.125|6.8|0.42400000000000004|0.3|1|0.125|6.8|0.6255999999999999|0.32|1|0.125|6.8|0.496|0.32|1|0.125|6.8|0.496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</x:row>
    <x:row r="198" ht="23" customHeight="1">
      <x:c r="A198" s="11" t="str">
        <x:v>688192.SH</x:v>
      </x:c>
      <x:c r="B198" s="11" t="str">
        <x:v>迪哲医药</x:v>
      </x:c>
      <x:c r="C198" s="11" t="str">
        <x:v>三年</x:v>
      </x:c>
      <x:c r="D198" s="11" t="str">
        <x:v>乐观</x:v>
      </x:c>
      <x:c r="E198" s="11" t="n">
        <x:v>59.95</x:v>
      </x:c>
      <x:c r="F198" s="11" t="n">
        <x:v>274.0151488828972</x:v>
      </x:c>
      <x:c r="G198" s="11" t="n">
        <x:v>0</x:v>
      </x:c>
      <x:c r="H198" s="25" t="n">
        <x:v>3.5707280881217214</x:v>
      </x:c>
      <x:c r="I198" s="25" t="n">
        <x:v>3.5707280881217214</x:v>
      </x:c>
      <x:c r="J198" s="25" t="n">
        <x:v>0.6595682924556767</x:v>
      </x:c>
      <x:c r="K198" s="11" t="n">
        <x:v>0</x:v>
      </x:c>
      <x:c r="L198" s="11" t="n">
        <x:v>0</x:v>
      </x:c>
      <x:c r="M198" s="11" t="n">
        <x:v>1</x:v>
      </x:c>
      <x:c r="N198" s="11" t="n">
        <x:v>0</x:v>
      </x:c>
      <x:c r="O198" s="11" t="n">
        <x:v>0</x:v>
      </x:c>
      <x:c r="P198" s="11" t="n">
        <x:v>0</x:v>
      </x:c>
      <x:c r="Q198" s="11" t="n">
        <x:v>0.505</x:v>
      </x:c>
      <x:c r="R198" s="11" t="str">
        <x:v>dizal-rnpv-v1.0</x:v>
      </x:c>
      <x:c r="S198" s="11" t="str">
        <x:v>2026-10-10</x:v>
      </x:c>
      <x:c r="T198" s="11" t="str">
        <x:f>IF(AND(SUM(IF(K198='假设'!E262,0,1),IF(L198='假设'!F262,0,1),IF(M198='假设'!G262,0,1),IF(N198='假设'!H262,0,1),IF(O198='假设'!I262,0,1),IF(P198='假设'!J262,0,1),IF(Q198='假设'!K262,0,1))=0,U198=V198),"已刷新","待刷新")</x:f>
        <x:v>已刷新</x:v>
      </x:c>
      <x:c r="U198" t="str">
        <x:v>5.8|2.1|1|0.1105|1|0.105|6.8|0.9520000000000001|0.1105|1|0.105|6.8|1|0.4|1|0.105|6.8|0.79|0.4|1|0.105|6.8|0.64|0.38|1|0.105|6.8|0.82|0.4|1|0.105|6.8|0.73|0.4|1|0.105|6.8|0.73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  <x:c r="V198" t="str">
        <x:f>'假设'!N262&amp;"|"&amp;'假设'!Q262&amp;"|"&amp;'管线假设'!E226&amp;"|"&amp;'管线假设'!F226&amp;"|"&amp;'管线假设'!G226&amp;"|"&amp;'管线假设'!H226&amp;"|"&amp;'管线假设'!I226&amp;"|"&amp;'管线假设'!E230&amp;"|"&amp;'管线假设'!F230&amp;"|"&amp;'管线假设'!G230&amp;"|"&amp;'管线假设'!H230&amp;"|"&amp;'管线假设'!I230&amp;"|"&amp;'管线假设'!E234&amp;"|"&amp;'管线假设'!F234&amp;"|"&amp;'管线假设'!G234&amp;"|"&amp;'管线假设'!H234&amp;"|"&amp;'管线假设'!I234&amp;"|"&amp;'管线假设'!E238&amp;"|"&amp;'管线假设'!F238&amp;"|"&amp;'管线假设'!G238&amp;"|"&amp;'管线假设'!H238&amp;"|"&amp;'管线假设'!I238&amp;"|"&amp;'管线假设'!E242&amp;"|"&amp;'管线假设'!F242&amp;"|"&amp;'管线假设'!G242&amp;"|"&amp;'管线假设'!H242&amp;"|"&amp;'管线假设'!I242&amp;"|"&amp;'管线假设'!E246&amp;"|"&amp;'管线假设'!F246&amp;"|"&amp;'管线假设'!G246&amp;"|"&amp;'管线假设'!H246&amp;"|"&amp;'管线假设'!I246&amp;"|"&amp;'管线假设'!E250&amp;"|"&amp;'管线假设'!F250&amp;"|"&amp;'管线假设'!G250&amp;"|"&amp;'管线假设'!H250&amp;"|"&amp;'管线假设'!I250&amp;"|"&amp;'管线假设'!E254&amp;"|"&amp;'管线假设'!F254&amp;"|"&amp;'管线假设'!G254&amp;"|"&amp;'管线假设'!H254&amp;"|"&amp;'管线假设'!I254&amp;"|"&amp;'管线现金流'!J948&amp;"|"&amp;'管线现金流'!AL948&amp;"|"&amp;'管线现金流'!J949&amp;"|"&amp;'管线现金流'!AL949&amp;"|"&amp;'管线现金流'!J950&amp;"|"&amp;'管线现金流'!AL950&amp;"|"&amp;'管线现金流'!J951&amp;"|"&amp;'管线现金流'!AL951&amp;"|"&amp;'管线现金流'!J952&amp;"|"&amp;'管线现金流'!AL952&amp;"|"&amp;'管线现金流'!J953&amp;"|"&amp;'管线现金流'!AL953&amp;"|"&amp;'管线现金流'!J954&amp;"|"&amp;'管线现金流'!AL954&amp;"|"&amp;'管线现金流'!J955&amp;"|"&amp;'管线现金流'!AL955&amp;"|"&amp;'管线现金流'!J956&amp;"|"&amp;'管线现金流'!AL956&amp;"|"&amp;'管线现金流'!J957&amp;"|"&amp;'管线现金流'!AL957&amp;"|"&amp;'管线现金流'!J958&amp;"|"&amp;'管线现金流'!AL958&amp;"|"&amp;'管线现金流'!J959&amp;"|"&amp;'管线现金流'!AL959&amp;"|"&amp;'管线现金流'!J960&amp;"|"&amp;'管线现金流'!AL960&amp;"|"&amp;'管线现金流'!J961&amp;"|"&amp;'管线现金流'!AL961&amp;"|"&amp;'管线现金流'!J962&amp;"|"&amp;'管线现金流'!AL962&amp;"|"&amp;'管线现金流'!J963&amp;"|"&amp;'管线现金流'!AL963&amp;"|"&amp;'管线现金流'!J964&amp;"|"&amp;'管线现金流'!AL964&amp;"|"&amp;'管线现金流'!J965&amp;"|"&amp;'管线现金流'!AL965&amp;"|"&amp;'管线现金流'!J966&amp;"|"&amp;'管线现金流'!AL966&amp;"|"&amp;'管线现金流'!J967&amp;"|"&amp;'管线现金流'!AL967&amp;"|"&amp;'管线现金流'!J968&amp;"|"&amp;'管线现金流'!AL968&amp;"|"&amp;'管线现金流'!J969&amp;"|"&amp;'管线现金流'!AL969&amp;"|"&amp;'管线现金流'!J970&amp;"|"&amp;'管线现金流'!AL970&amp;"|"&amp;'管线现金流'!J971&amp;"|"&amp;'管线现金流'!AL971&amp;"|"&amp;'管线现金流'!J972&amp;"|"&amp;'管线现金流'!AL972&amp;"|"&amp;'管线现金流'!J973&amp;"|"&amp;'管线现金流'!AL973&amp;"|"&amp;'管线现金流'!J974&amp;"|"&amp;'管线现金流'!AL974&amp;"|"&amp;'管线现金流'!J975&amp;"|"&amp;'管线现金流'!AL975&amp;"|"&amp;'管线现金流'!J976&amp;"|"&amp;'管线现金流'!AL976&amp;"|"&amp;'管线现金流'!J977&amp;"|"&amp;'管线现金流'!AL977&amp;"|"&amp;'管线现金流'!J978&amp;"|"&amp;'管线现金流'!AL978&amp;"|"&amp;'管线现金流'!J979&amp;"|"&amp;'管线现金流'!AL979&amp;"|"&amp;'管线现金流'!J980&amp;"|"&amp;'管线现金流'!AL980&amp;"|"&amp;'管线现金流'!J981&amp;"|"&amp;'管线现金流'!AL981&amp;"|"&amp;'管线现金流'!J982&amp;"|"&amp;'管线现金流'!AL982&amp;"|"&amp;'管线现金流'!J983&amp;"|"&amp;'管线现金流'!AL983&amp;"|"&amp;'管线现金流'!J984&amp;"|"&amp;'管线现金流'!AL984&amp;"|"&amp;'管线现金流'!J985&amp;"|"&amp;'管线现金流'!AL985&amp;"|"&amp;'管线现金流'!J986&amp;"|"&amp;'管线现金流'!AL986&amp;"|"&amp;'管线现金流'!J987&amp;"|"&amp;'管线现金流'!AL987&amp;"|"&amp;'管线现金流'!J988&amp;"|"&amp;'管线现金流'!AL988&amp;"|"&amp;'管线现金流'!J989&amp;"|"&amp;'管线现金流'!AL989&amp;"|"&amp;'管线现金流'!J990&amp;"|"&amp;'管线现金流'!AL990&amp;"|"&amp;'管线现金流'!J991&amp;"|"&amp;'管线现金流'!AL991&amp;"|"&amp;'管线现金流'!J992&amp;"|"&amp;'管线现金流'!AL992&amp;"|"&amp;'管线现金流'!J993&amp;"|"&amp;'管线现金流'!AL993&amp;"|"&amp;'管线现金流'!J994&amp;"|"&amp;'管线现金流'!AL994&amp;"|"&amp;'管线现金流'!J995&amp;"|"&amp;'管线现金流'!AL995&amp;"|"&amp;'管线现金流'!J996&amp;"|"&amp;'管线现金流'!AL996&amp;"|"&amp;'管线现金流'!J997&amp;"|"&amp;'管线现金流'!AL997&amp;"|"&amp;'管线现金流'!J998&amp;"|"&amp;'管线现金流'!AL998&amp;"|"&amp;'管线现金流'!J999&amp;"|"&amp;'管线现金流'!AL999&amp;"|"&amp;'管线现金流'!J1000&amp;"|"&amp;'管线现金流'!AL1000&amp;"|"&amp;'管线现金流'!J1001&amp;"|"&amp;'管线现金流'!AL1001&amp;"|"&amp;'管线现金流'!J1002&amp;"|"&amp;'管线现金流'!AL1002&amp;"|"&amp;'管线现金流'!J1003&amp;"|"&amp;'管线现金流'!AL1003&amp;"|"&amp;'管线现金流'!J1004&amp;"|"&amp;'管线现金流'!AL1004&amp;"|"&amp;'管线现金流'!J1005&amp;"|"&amp;'管线现金流'!AL1005&amp;"|"&amp;'管线现金流'!J1006&amp;"|"&amp;'管线现金流'!AL1006&amp;"|"&amp;'管线现金流'!J1007&amp;"|"&amp;'管线现金流'!AL1007&amp;"|"&amp;'管线现金流'!J1008&amp;"|"&amp;'管线现金流'!AL1008&amp;"|"&amp;'管线现金流'!J1009&amp;"|"&amp;'管线现金流'!AL1009&amp;"|"&amp;'管线现金流'!J1010&amp;"|"&amp;'管线现金流'!AL1010&amp;"|"&amp;'管线现金流'!J1011&amp;"|"&amp;'管线现金流'!AL1011&amp;"|"&amp;'管线现金流'!J1012&amp;"|"&amp;'管线现金流'!AL1012&amp;"|"&amp;'管线现金流'!J1013&amp;"|"&amp;'管线现金流'!AL1013&amp;"|"&amp;'管线现金流'!J1014&amp;"|"&amp;'管线现金流'!AL1014&amp;"|"&amp;'管线现金流'!J1015&amp;"|"&amp;'管线现金流'!AL1015&amp;"|"&amp;'管线现金流'!J1016&amp;"|"&amp;'管线现金流'!AL1016&amp;"|"&amp;'管线现金流'!J1017&amp;"|"&amp;'管线现金流'!AL1017&amp;"|"&amp;'管线现金流'!J1018&amp;"|"&amp;'管线现金流'!AL1018&amp;"|"&amp;'管线现金流'!J1019&amp;"|"&amp;'管线现金流'!AL1019&amp;"|"&amp;'管线现金流'!J1020&amp;"|"&amp;'管线现金流'!AL1020&amp;"|"&amp;'管线现金流'!J1021&amp;"|"&amp;'管线现金流'!AL1021&amp;"|"&amp;'管线现金流'!J1022&amp;"|"&amp;'管线现金流'!AL1022&amp;"|"&amp;'管线现金流'!J1023&amp;"|"&amp;'管线现金流'!AL1023&amp;"|"&amp;'管线现金流'!J1024&amp;"|"&amp;'管线现金流'!AL1024&amp;"|"&amp;'管线现金流'!J1025&amp;"|"&amp;'管线现金流'!AL1025&amp;"|"&amp;'管线现金流'!J1026&amp;"|"&amp;'管线现金流'!AL1026&amp;"|"&amp;'管线现金流'!J1027&amp;"|"&amp;'管线现金流'!AL1027&amp;"|"&amp;'管线现金流'!J1028&amp;"|"&amp;'管线现金流'!AL1028&amp;"|"&amp;'管线现金流'!J1029&amp;"|"&amp;'管线现金流'!AL1029&amp;"|"&amp;'管线现金流'!J1030&amp;"|"&amp;'管线现金流'!AL1030&amp;"|"&amp;'管线现金流'!J1031&amp;"|"&amp;'管线现金流'!AL1031&amp;"|"&amp;'管线现金流'!J1032&amp;"|"&amp;'管线现金流'!AL1032&amp;"|"&amp;'管线现金流'!J1033&amp;"|"&amp;'管线现金流'!AL1033&amp;"|"&amp;'管线现金流'!J1034&amp;"|"&amp;'管线现金流'!AL1034&amp;"|"&amp;'管线现金流'!J1035&amp;"|"&amp;'管线现金流'!AL1035&amp;"|"&amp;'管线现金流'!J1036&amp;"|"&amp;'管线现金流'!AL1036&amp;"|"&amp;'管线现金流'!J1037&amp;"|"&amp;'管线现金流'!AL1037&amp;"|"&amp;'管线现金流'!J1038&amp;"|"&amp;'管线现金流'!AL1038&amp;"|"&amp;'管线现金流'!J1039&amp;"|"&amp;'管线现金流'!AL1039&amp;"|"&amp;'管线现金流'!J1040&amp;"|"&amp;'管线现金流'!AL1040&amp;"|"&amp;'管线现金流'!J1041&amp;"|"&amp;'管线现金流'!AL1041&amp;"|"&amp;'管线现金流'!J1042&amp;"|"&amp;'管线现金流'!AL1042&amp;"|"&amp;'管线现金流'!J1043&amp;"|"&amp;'管线现金流'!AL1043&amp;"|"&amp;'管线现金流'!J1044&amp;"|"&amp;'管线现金流'!AL1044&amp;"|"&amp;'管线现金流'!J1045&amp;"|"&amp;'管线现金流'!AL1045&amp;"|"&amp;'管线现金流'!J1046&amp;"|"&amp;'管线现金流'!AL1046&amp;"|"&amp;'管线现金流'!J1047&amp;"|"&amp;'管线现金流'!AL1047&amp;"|"&amp;'管线现金流'!J1048&amp;"|"&amp;'管线现金流'!AL1048&amp;"|"&amp;'管线现金流'!J1049&amp;"|"&amp;'管线现金流'!AL1049&amp;"|"&amp;'管线现金流'!J1050&amp;"|"&amp;'管线现金流'!AL1050&amp;"|"&amp;'管线现金流'!J1051&amp;"|"&amp;'管线现金流'!AL1051&amp;"|"&amp;'管线现金流'!J1052&amp;"|"&amp;'管线现金流'!AL1052&amp;"|"&amp;'管线现金流'!J1053&amp;"|"&amp;'管线现金流'!AL1053&amp;"|"&amp;'管线现金流'!J1054&amp;"|"&amp;'管线现金流'!AL1054&amp;"|"&amp;'管线现金流'!J1055&amp;"|"&amp;'管线现金流'!AL1055&amp;"|"&amp;'管线现金流'!J1056&amp;"|"&amp;'管线现金流'!AL1056&amp;"|"&amp;'管线现金流'!J1057&amp;"|"&amp;'管线现金流'!AL1057&amp;"|"&amp;'管线现金流'!J1058&amp;"|"&amp;'管线现金流'!AL1058&amp;"|"&amp;'管线现金流'!J1059&amp;"|"&amp;'管线现金流'!AL1059&amp;"|"&amp;'管线现金流'!J1060&amp;"|"&amp;'管线现金流'!AL1060&amp;"|"&amp;'管线现金流'!J1061&amp;"|"&amp;'管线现金流'!AL1061&amp;"|"&amp;'管线现金流'!J1062&amp;"|"&amp;'管线现金流'!AL1062&amp;"|"&amp;'管线现金流'!J1063&amp;"|"&amp;'管线现金流'!AL1063&amp;"|"&amp;'管线现金流'!J1064&amp;"|"&amp;'管线现金流'!AL1064&amp;"|"&amp;'管线现金流'!J1065&amp;"|"&amp;'管线现金流'!AL1065&amp;"|"&amp;'管线现金流'!J1066&amp;"|"&amp;'管线现金流'!AL1066&amp;"|"&amp;'管线现金流'!J1067&amp;"|"&amp;'管线现金流'!AL1067&amp;"|"&amp;'管线现金流'!J1068&amp;"|"&amp;'管线现金流'!AL1068&amp;"|"&amp;'管线现金流'!J1069&amp;"|"&amp;'管线现金流'!AL1069&amp;"|"&amp;'管线现金流'!J1070&amp;"|"&amp;'管线现金流'!AL1070&amp;"|"&amp;'管线现金流'!J1071&amp;"|"&amp;'管线现金流'!AL1071&amp;"|"&amp;'管线现金流'!J1072&amp;"|"&amp;'管线现金流'!AL1072&amp;"|"&amp;'管线现金流'!J1073&amp;"|"&amp;'管线现金流'!AL1073&amp;"|"&amp;'管线现金流'!J1074&amp;"|"&amp;'管线现金流'!AL1074&amp;"|"&amp;'管线现金流'!J1075&amp;"|"&amp;'管线现金流'!AL1075&amp;"|"&amp;'管线现金流'!J1076&amp;"|"&amp;'管线现金流'!AL1076&amp;"|"&amp;'管线现金流'!J1077&amp;"|"&amp;'管线现金流'!AL1077&amp;"|"&amp;'管线现金流'!J1078&amp;"|"&amp;'管线现金流'!AL1078&amp;"|"&amp;'管线现金流'!J1079&amp;"|"&amp;'管线现金流'!AL1079&amp;"|"&amp;'管线现金流'!J1080&amp;"|"&amp;'管线现金流'!AL1080&amp;"|"&amp;'管线现金流'!J1081&amp;"|"&amp;'管线现金流'!AL1081&amp;"|"&amp;'管线现金流'!J1082&amp;"|"&amp;'管线现金流'!AL1082&amp;"|"&amp;'管线现金流'!J1083&amp;"|"&amp;'管线现金流'!AL1083&amp;"|"&amp;'管线现金流'!J1084&amp;"|"&amp;'管线现金流'!AL1084&amp;"|"&amp;'管线现金流'!J1085&amp;"|"&amp;'管线现金流'!AL1085&amp;"|"&amp;'管线现金流'!J1086&amp;"|"&amp;'管线现金流'!AL1086&amp;"|"&amp;'管线现金流'!J1087&amp;"|"&amp;'管线现金流'!AL1087&amp;"|"&amp;'管线现金流'!J1088&amp;"|"&amp;'管线现金流'!AL1088&amp;"|"&amp;'管线现金流'!J1089&amp;"|"&amp;'管线现金流'!AL1089&amp;"|"&amp;'管线现金流'!J1090&amp;"|"&amp;'管线现金流'!AL1090&amp;"|"&amp;'管线现金流'!J1091&amp;"|"&amp;'管线现金流'!AL1091&amp;"|"&amp;'管线现金流'!J1092&amp;"|"&amp;'管线现金流'!AL1092&amp;"|"&amp;'管线现金流'!J1093&amp;"|"&amp;'管线现金流'!AL1093&amp;"|"&amp;'管线现金流'!J1094&amp;"|"&amp;'管线现金流'!AL1094&amp;"|"&amp;'管线现金流'!J1095&amp;"|"&amp;'管线现金流'!AL1095&amp;"|"&amp;'管线现金流'!J1096&amp;"|"&amp;'管线现金流'!AL1096&amp;"|"&amp;'管线现金流'!J1097&amp;"|"&amp;'管线现金流'!AL1097&amp;"|"&amp;'管线现金流'!J1098&amp;"|"&amp;'管线现金流'!AL1098&amp;"|"&amp;'管线现金流'!J1099&amp;"|"&amp;'管线现金流'!AL1099&amp;"|"&amp;'管线现金流'!W25&amp;"|"&amp;'管线现金流'!Z25&amp;"|"&amp;'管线现金流'!AQ25&amp;"|"&amp;'管线现金流'!AT25</x:f>
        <x:v>5.8|2.1|1|0.1105|1|0.105|6.8|0.9520000000000001|0.1105|1|0.105|6.8|1|0.4|1|0.105|6.8|0.79|0.4|1|0.105|6.8|0.64|0.38|1|0.105|6.8|0.82|0.4|1|0.105|6.8|0.73|0.4|1|0.105|6.8|0.73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</x:row>
    <x:row r="199" ht="23" customHeight="1">
      <x:c r="A199" s="11" t="str">
        <x:v>688192.SH</x:v>
      </x:c>
      <x:c r="B199" s="11" t="str">
        <x:v>迪哲医药</x:v>
      </x:c>
      <x:c r="C199" s="11" t="str">
        <x:v>五年</x:v>
      </x:c>
      <x:c r="D199" s="11" t="str">
        <x:v>悲观</x:v>
      </x:c>
      <x:c r="E199" s="11" t="n">
        <x:v>59.95</x:v>
      </x:c>
      <x:c r="F199" s="11" t="n">
        <x:v>4.626686362426997</x:v>
      </x:c>
      <x:c r="G199" s="11" t="n">
        <x:v>0</x:v>
      </x:c>
      <x:c r="H199" s="25" t="n">
        <x:v>-0.9228242474991326</x:v>
      </x:c>
      <x:c r="I199" s="25" t="n">
        <x:v>-0.9228242474991326</x:v>
      </x:c>
      <x:c r="J199" s="25" t="n">
        <x:v>-0.400904338498986</x:v>
      </x:c>
      <x:c r="K199" s="11" t="n">
        <x:v>0</x:v>
      </x:c>
      <x:c r="L199" s="11" t="n">
        <x:v>0</x:v>
      </x:c>
      <x:c r="M199" s="11" t="n">
        <x:v>1</x:v>
      </x:c>
      <x:c r="N199" s="11" t="n">
        <x:v>0</x:v>
      </x:c>
      <x:c r="O199" s="11" t="n">
        <x:v>0</x:v>
      </x:c>
      <x:c r="P199" s="11" t="n">
        <x:v>0</x:v>
      </x:c>
      <x:c r="Q199" s="11" t="n">
        <x:v>0.6</x:v>
      </x:c>
      <x:c r="R199" s="11" t="str">
        <x:v>dizal-rnpv-v1.0</x:v>
      </x:c>
      <x:c r="S199" s="11" t="str">
        <x:v>2026-10-10</x:v>
      </x:c>
      <x:c r="T199" s="11" t="str">
        <x:f>IF(AND(SUM(IF(K199='假设'!E264,0,1),IF(L199='假设'!F264,0,1),IF(M199='假设'!G264,0,1),IF(N199='假设'!H264,0,1),IF(O199='假设'!I264,0,1),IF(P199='假设'!J264,0,1),IF(Q199='假设'!K264,0,1))=0,U199=V199),"已刷新","待刷新")</x:f>
        <x:v>已刷新</x:v>
      </x:c>
      <x:c r="U199" t="str">
        <x:v>1|2|1|0.064|1|0.16|6.8|0.5325|0.064|1|0.16|6.8|1|0.22|1|0.16|6.8|0.2775000000000001|0.22|1|0.16|6.8|0.20100000000000007|0.2|1|0.16|6.8|0.30299999999999994|0.22|1|0.16|6.8|0.235|0.22|1|0.16|6.8|0.235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  <x:c r="V199" t="str">
        <x:f>'假设'!N264&amp;"|"&amp;'假设'!Q264&amp;"|"&amp;'管线假设'!E256&amp;"|"&amp;'管线假设'!F256&amp;"|"&amp;'管线假设'!G256&amp;"|"&amp;'管线假设'!H256&amp;"|"&amp;'管线假设'!I256&amp;"|"&amp;'管线假设'!E260&amp;"|"&amp;'管线假设'!F260&amp;"|"&amp;'管线假设'!G260&amp;"|"&amp;'管线假设'!H260&amp;"|"&amp;'管线假设'!I260&amp;"|"&amp;'管线假设'!E264&amp;"|"&amp;'管线假设'!F264&amp;"|"&amp;'管线假设'!G264&amp;"|"&amp;'管线假设'!H264&amp;"|"&amp;'管线假设'!I264&amp;"|"&amp;'管线假设'!E268&amp;"|"&amp;'管线假设'!F268&amp;"|"&amp;'管线假设'!G268&amp;"|"&amp;'管线假设'!H268&amp;"|"&amp;'管线假设'!I268&amp;"|"&amp;'管线假设'!E272&amp;"|"&amp;'管线假设'!F272&amp;"|"&amp;'管线假设'!G272&amp;"|"&amp;'管线假设'!H272&amp;"|"&amp;'管线假设'!I272&amp;"|"&amp;'管线假设'!E276&amp;"|"&amp;'管线假设'!F276&amp;"|"&amp;'管线假设'!G276&amp;"|"&amp;'管线假设'!H276&amp;"|"&amp;'管线假设'!I276&amp;"|"&amp;'管线假设'!E280&amp;"|"&amp;'管线假设'!F280&amp;"|"&amp;'管线假设'!G280&amp;"|"&amp;'管线假设'!H280&amp;"|"&amp;'管线假设'!I280&amp;"|"&amp;'管线假设'!E284&amp;"|"&amp;'管线假设'!F284&amp;"|"&amp;'管线假设'!G284&amp;"|"&amp;'管线假设'!H284&amp;"|"&amp;'管线假设'!I284&amp;"|"&amp;'管线现金流'!H1100&amp;"|"&amp;'管线现金流'!AJ1100&amp;"|"&amp;'管线现金流'!H1101&amp;"|"&amp;'管线现金流'!AJ1101&amp;"|"&amp;'管线现金流'!H1102&amp;"|"&amp;'管线现金流'!AJ1102&amp;"|"&amp;'管线现金流'!H1103&amp;"|"&amp;'管线现金流'!AJ1103&amp;"|"&amp;'管线现金流'!H1104&amp;"|"&amp;'管线现金流'!AJ1104&amp;"|"&amp;'管线现金流'!H1105&amp;"|"&amp;'管线现金流'!AJ1105&amp;"|"&amp;'管线现金流'!H1106&amp;"|"&amp;'管线现金流'!AJ1106&amp;"|"&amp;'管线现金流'!H1107&amp;"|"&amp;'管线现金流'!AJ1107&amp;"|"&amp;'管线现金流'!H1108&amp;"|"&amp;'管线现金流'!AJ1108&amp;"|"&amp;'管线现金流'!H1109&amp;"|"&amp;'管线现金流'!AJ1109&amp;"|"&amp;'管线现金流'!H1110&amp;"|"&amp;'管线现金流'!AJ1110&amp;"|"&amp;'管线现金流'!H1111&amp;"|"&amp;'管线现金流'!AJ1111&amp;"|"&amp;'管线现金流'!H1112&amp;"|"&amp;'管线现金流'!AJ1112&amp;"|"&amp;'管线现金流'!H1113&amp;"|"&amp;'管线现金流'!AJ1113&amp;"|"&amp;'管线现金流'!H1114&amp;"|"&amp;'管线现金流'!AJ1114&amp;"|"&amp;'管线现金流'!H1115&amp;"|"&amp;'管线现金流'!AJ1115&amp;"|"&amp;'管线现金流'!H1116&amp;"|"&amp;'管线现金流'!AJ1116&amp;"|"&amp;'管线现金流'!H1117&amp;"|"&amp;'管线现金流'!AJ1117&amp;"|"&amp;'管线现金流'!H1118&amp;"|"&amp;'管线现金流'!AJ1118&amp;"|"&amp;'管线现金流'!H1119&amp;"|"&amp;'管线现金流'!AJ1119&amp;"|"&amp;'管线现金流'!H1120&amp;"|"&amp;'管线现金流'!AJ1120&amp;"|"&amp;'管线现金流'!H1121&amp;"|"&amp;'管线现金流'!AJ1121&amp;"|"&amp;'管线现金流'!H1122&amp;"|"&amp;'管线现金流'!AJ1122&amp;"|"&amp;'管线现金流'!H1123&amp;"|"&amp;'管线现金流'!AJ1123&amp;"|"&amp;'管线现金流'!H1124&amp;"|"&amp;'管线现金流'!AJ1124&amp;"|"&amp;'管线现金流'!H1125&amp;"|"&amp;'管线现金流'!AJ1125&amp;"|"&amp;'管线现金流'!H1126&amp;"|"&amp;'管线现金流'!AJ1126&amp;"|"&amp;'管线现金流'!H1127&amp;"|"&amp;'管线现金流'!AJ1127&amp;"|"&amp;'管线现金流'!H1128&amp;"|"&amp;'管线现金流'!AJ1128&amp;"|"&amp;'管线现金流'!H1129&amp;"|"&amp;'管线现金流'!AJ1129&amp;"|"&amp;'管线现金流'!H1130&amp;"|"&amp;'管线现金流'!AJ1130&amp;"|"&amp;'管线现金流'!H1131&amp;"|"&amp;'管线现金流'!AJ1131&amp;"|"&amp;'管线现金流'!H1132&amp;"|"&amp;'管线现金流'!AJ1132&amp;"|"&amp;'管线现金流'!H1133&amp;"|"&amp;'管线现金流'!AJ1133&amp;"|"&amp;'管线现金流'!H1134&amp;"|"&amp;'管线现金流'!AJ1134&amp;"|"&amp;'管线现金流'!H1135&amp;"|"&amp;'管线现金流'!AJ1135&amp;"|"&amp;'管线现金流'!H1136&amp;"|"&amp;'管线现金流'!AJ1136&amp;"|"&amp;'管线现金流'!H1137&amp;"|"&amp;'管线现金流'!AJ1137&amp;"|"&amp;'管线现金流'!H1138&amp;"|"&amp;'管线现金流'!AJ1138&amp;"|"&amp;'管线现金流'!H1139&amp;"|"&amp;'管线现金流'!AJ1139&amp;"|"&amp;'管线现金流'!H1140&amp;"|"&amp;'管线现金流'!AJ1140&amp;"|"&amp;'管线现金流'!H1141&amp;"|"&amp;'管线现金流'!AJ1141&amp;"|"&amp;'管线现金流'!H1142&amp;"|"&amp;'管线现金流'!AJ1142&amp;"|"&amp;'管线现金流'!H1143&amp;"|"&amp;'管线现金流'!AJ1143&amp;"|"&amp;'管线现金流'!H1144&amp;"|"&amp;'管线现金流'!AJ1144&amp;"|"&amp;'管线现金流'!H1145&amp;"|"&amp;'管线现金流'!AJ1145&amp;"|"&amp;'管线现金流'!H1146&amp;"|"&amp;'管线现金流'!AJ1146&amp;"|"&amp;'管线现金流'!H1147&amp;"|"&amp;'管线现金流'!AJ1147&amp;"|"&amp;'管线现金流'!H1148&amp;"|"&amp;'管线现金流'!AJ1148&amp;"|"&amp;'管线现金流'!H1149&amp;"|"&amp;'管线现金流'!AJ1149&amp;"|"&amp;'管线现金流'!H1150&amp;"|"&amp;'管线现金流'!AJ1150&amp;"|"&amp;'管线现金流'!H1151&amp;"|"&amp;'管线现金流'!AJ1151&amp;"|"&amp;'管线现金流'!H1152&amp;"|"&amp;'管线现金流'!AJ1152&amp;"|"&amp;'管线现金流'!H1153&amp;"|"&amp;'管线现金流'!AJ1153&amp;"|"&amp;'管线现金流'!H1154&amp;"|"&amp;'管线现金流'!AJ1154&amp;"|"&amp;'管线现金流'!H1155&amp;"|"&amp;'管线现金流'!AJ1155&amp;"|"&amp;'管线现金流'!H1156&amp;"|"&amp;'管线现金流'!AJ1156&amp;"|"&amp;'管线现金流'!H1157&amp;"|"&amp;'管线现金流'!AJ1157&amp;"|"&amp;'管线现金流'!H1158&amp;"|"&amp;'管线现金流'!AJ1158&amp;"|"&amp;'管线现金流'!H1159&amp;"|"&amp;'管线现金流'!AJ1159&amp;"|"&amp;'管线现金流'!H1160&amp;"|"&amp;'管线现金流'!AJ1160&amp;"|"&amp;'管线现金流'!H1161&amp;"|"&amp;'管线现金流'!AJ1161&amp;"|"&amp;'管线现金流'!H1162&amp;"|"&amp;'管线现金流'!AJ1162&amp;"|"&amp;'管线现金流'!H1163&amp;"|"&amp;'管线现金流'!AJ1163&amp;"|"&amp;'管线现金流'!H1164&amp;"|"&amp;'管线现金流'!AJ1164&amp;"|"&amp;'管线现金流'!H1165&amp;"|"&amp;'管线现金流'!AJ1165&amp;"|"&amp;'管线现金流'!H1166&amp;"|"&amp;'管线现金流'!AJ1166&amp;"|"&amp;'管线现金流'!H1167&amp;"|"&amp;'管线现金流'!AJ1167&amp;"|"&amp;'管线现金流'!H1168&amp;"|"&amp;'管线现金流'!AJ1168&amp;"|"&amp;'管线现金流'!H1169&amp;"|"&amp;'管线现金流'!AJ1169&amp;"|"&amp;'管线现金流'!H1170&amp;"|"&amp;'管线现金流'!AJ1170&amp;"|"&amp;'管线现金流'!H1171&amp;"|"&amp;'管线现金流'!AJ1171&amp;"|"&amp;'管线现金流'!H1172&amp;"|"&amp;'管线现金流'!AJ1172&amp;"|"&amp;'管线现金流'!H1173&amp;"|"&amp;'管线现金流'!AJ1173&amp;"|"&amp;'管线现金流'!H1174&amp;"|"&amp;'管线现金流'!AJ1174&amp;"|"&amp;'管线现金流'!H1175&amp;"|"&amp;'管线现金流'!AJ1175&amp;"|"&amp;'管线现金流'!H1176&amp;"|"&amp;'管线现金流'!AJ1176&amp;"|"&amp;'管线现金流'!H1177&amp;"|"&amp;'管线现金流'!AJ1177&amp;"|"&amp;'管线现金流'!H1178&amp;"|"&amp;'管线现金流'!AJ1178&amp;"|"&amp;'管线现金流'!H1179&amp;"|"&amp;'管线现金流'!AJ1179&amp;"|"&amp;'管线现金流'!H1180&amp;"|"&amp;'管线现金流'!AJ1180&amp;"|"&amp;'管线现金流'!H1181&amp;"|"&amp;'管线现金流'!AJ1181&amp;"|"&amp;'管线现金流'!H1182&amp;"|"&amp;'管线现金流'!AJ1182&amp;"|"&amp;'管线现金流'!H1183&amp;"|"&amp;'管线现金流'!AJ1183&amp;"|"&amp;'管线现金流'!H1184&amp;"|"&amp;'管线现金流'!AJ1184&amp;"|"&amp;'管线现金流'!H1185&amp;"|"&amp;'管线现金流'!AJ1185&amp;"|"&amp;'管线现金流'!H1186&amp;"|"&amp;'管线现金流'!AJ1186&amp;"|"&amp;'管线现金流'!H1187&amp;"|"&amp;'管线现金流'!AJ1187&amp;"|"&amp;'管线现金流'!H1188&amp;"|"&amp;'管线现金流'!AJ1188&amp;"|"&amp;'管线现金流'!H1189&amp;"|"&amp;'管线现金流'!AJ1189&amp;"|"&amp;'管线现金流'!H1190&amp;"|"&amp;'管线现金流'!AJ1190&amp;"|"&amp;'管线现金流'!H1191&amp;"|"&amp;'管线现金流'!AJ1191&amp;"|"&amp;'管线现金流'!H1192&amp;"|"&amp;'管线现金流'!AJ1192&amp;"|"&amp;'管线现金流'!H1193&amp;"|"&amp;'管线现金流'!AJ1193&amp;"|"&amp;'管线现金流'!H1194&amp;"|"&amp;'管线现金流'!AJ1194&amp;"|"&amp;'管线现金流'!H1195&amp;"|"&amp;'管线现金流'!AJ1195&amp;"|"&amp;'管线现金流'!H1196&amp;"|"&amp;'管线现金流'!AJ1196&amp;"|"&amp;'管线现金流'!H1197&amp;"|"&amp;'管线现金流'!AJ1197&amp;"|"&amp;'管线现金流'!H1198&amp;"|"&amp;'管线现金流'!AJ1198&amp;"|"&amp;'管线现金流'!H1199&amp;"|"&amp;'管线现金流'!AJ1199&amp;"|"&amp;'管线现金流'!H1200&amp;"|"&amp;'管线现金流'!AJ1200&amp;"|"&amp;'管线现金流'!H1201&amp;"|"&amp;'管线现金流'!AJ1201&amp;"|"&amp;'管线现金流'!H1202&amp;"|"&amp;'管线现金流'!AJ1202&amp;"|"&amp;'管线现金流'!H1203&amp;"|"&amp;'管线现金流'!AJ1203&amp;"|"&amp;'管线现金流'!H1204&amp;"|"&amp;'管线现金流'!AJ1204&amp;"|"&amp;'管线现金流'!H1205&amp;"|"&amp;'管线现金流'!AJ1205&amp;"|"&amp;'管线现金流'!H1206&amp;"|"&amp;'管线现金流'!AJ1206&amp;"|"&amp;'管线现金流'!H1207&amp;"|"&amp;'管线现金流'!AJ1207&amp;"|"&amp;'管线现金流'!H1208&amp;"|"&amp;'管线现金流'!AJ1208&amp;"|"&amp;'管线现金流'!H1209&amp;"|"&amp;'管线现金流'!AJ1209&amp;"|"&amp;'管线现金流'!H1210&amp;"|"&amp;'管线现金流'!AJ1210&amp;"|"&amp;'管线现金流'!H1211&amp;"|"&amp;'管线现金流'!AJ1211&amp;"|"&amp;'管线现金流'!H1212&amp;"|"&amp;'管线现金流'!AJ1212&amp;"|"&amp;'管线现金流'!H1213&amp;"|"&amp;'管线现金流'!AJ1213&amp;"|"&amp;'管线现金流'!H1214&amp;"|"&amp;'管线现金流'!AJ1214&amp;"|"&amp;'管线现金流'!H1215&amp;"|"&amp;'管线现金流'!AJ1215&amp;"|"&amp;'管线现金流'!H1216&amp;"|"&amp;'管线现金流'!AJ1216&amp;"|"&amp;'管线现金流'!H1217&amp;"|"&amp;'管线现金流'!AJ1217&amp;"|"&amp;'管线现金流'!H1218&amp;"|"&amp;'管线现金流'!AJ1218&amp;"|"&amp;'管线现金流'!H1219&amp;"|"&amp;'管线现金流'!AJ1219&amp;"|"&amp;'管线现金流'!H1220&amp;"|"&amp;'管线现金流'!AJ1220&amp;"|"&amp;'管线现金流'!H1221&amp;"|"&amp;'管线现金流'!AJ1221&amp;"|"&amp;'管线现金流'!H1222&amp;"|"&amp;'管线现金流'!AJ1222&amp;"|"&amp;'管线现金流'!H1223&amp;"|"&amp;'管线现金流'!AJ1223&amp;"|"&amp;'管线现金流'!H1224&amp;"|"&amp;'管线现金流'!AJ1224&amp;"|"&amp;'管线现金流'!H1225&amp;"|"&amp;'管线现金流'!AJ1225&amp;"|"&amp;'管线现金流'!H1226&amp;"|"&amp;'管线现金流'!AJ1226&amp;"|"&amp;'管线现金流'!H1227&amp;"|"&amp;'管线现金流'!AJ1227&amp;"|"&amp;'管线现金流'!H1228&amp;"|"&amp;'管线现金流'!AJ1228&amp;"|"&amp;'管线现金流'!H1229&amp;"|"&amp;'管线现金流'!AJ1229&amp;"|"&amp;'管线现金流'!H1230&amp;"|"&amp;'管线现金流'!AJ1230&amp;"|"&amp;'管线现金流'!H1231&amp;"|"&amp;'管线现金流'!AJ1231&amp;"|"&amp;'管线现金流'!H1232&amp;"|"&amp;'管线现金流'!AJ1232&amp;"|"&amp;'管线现金流'!H1233&amp;"|"&amp;'管线现金流'!AJ1233&amp;"|"&amp;'管线现金流'!H1234&amp;"|"&amp;'管线现金流'!AJ1234&amp;"|"&amp;'管线现金流'!H1235&amp;"|"&amp;'管线现金流'!AJ1235&amp;"|"&amp;'管线现金流'!H1236&amp;"|"&amp;'管线现金流'!AJ1236&amp;"|"&amp;'管线现金流'!H1237&amp;"|"&amp;'管线现金流'!AJ1237&amp;"|"&amp;'管线现金流'!H1238&amp;"|"&amp;'管线现金流'!AJ1238&amp;"|"&amp;'管线现金流'!H1239&amp;"|"&amp;'管线现金流'!AJ1239&amp;"|"&amp;'管线现金流'!H1240&amp;"|"&amp;'管线现金流'!AJ1240&amp;"|"&amp;'管线现金流'!H1241&amp;"|"&amp;'管线现金流'!AJ1241&amp;"|"&amp;'管线现金流'!H1242&amp;"|"&amp;'管线现金流'!AJ1242&amp;"|"&amp;'管线现金流'!H1243&amp;"|"&amp;'管线现金流'!AJ1243&amp;"|"&amp;'管线现金流'!H1244&amp;"|"&amp;'管线现金流'!AJ1244&amp;"|"&amp;'管线现金流'!H1245&amp;"|"&amp;'管线现金流'!AJ1245&amp;"|"&amp;'管线现金流'!H1246&amp;"|"&amp;'管线现金流'!AJ1246&amp;"|"&amp;'管线现金流'!H1247&amp;"|"&amp;'管线现金流'!AJ1247&amp;"|"&amp;'管线现金流'!H1248&amp;"|"&amp;'管线现金流'!AJ1248&amp;"|"&amp;'管线现金流'!H1249&amp;"|"&amp;'管线现金流'!AJ1249&amp;"|"&amp;'管线现金流'!H1250&amp;"|"&amp;'管线现金流'!AJ1250&amp;"|"&amp;'管线现金流'!H1251&amp;"|"&amp;'管线现金流'!AJ1251&amp;"|"&amp;'管线现金流'!U26&amp;"|"&amp;'管线现金流'!X26&amp;"|"&amp;'管线现金流'!AO26&amp;"|"&amp;'管线现金流'!AR26</x:f>
        <x:v>1|2|1|0.064|1|0.16|6.8|0.5325|0.064|1|0.16|6.8|1|0.22|1|0.16|6.8|0.2775000000000001|0.22|1|0.16|6.8|0.20100000000000007|0.2|1|0.16|6.8|0.30299999999999994|0.22|1|0.16|6.8|0.235|0.22|1|0.16|6.8|0.235|0.22|1|0.16|6.8|0.06999999999999999|0|0.13999999999999999|0|0.21|0|0.27999999999999997|0|0.35|0|0.308|0|0.26599999999999996|0|0.22399999999999998|0|0.182|0|0.13999999999999999|0|0.098|0|0.05600000000000001|0|0.01400000000000001|0|0|0|0|0|0|0|0|0|0|0|0|0|0|0|0|0|0.1|0|0.2|0|0.3|0|0.4|0|0.5|0|0.44|0|0.38|0|0.32|0|0.26|0|0.2|0|0.14|0|0.08000000000000002|0|0.020000000000000018|0|0|0|0|0|0|0|0|0|0.10833333333333334|0|0.21666666666666667|0|0.325|0|0.43333333333333335|0|0.5416666666666667|0|0.65|0|0.5720000000000001|0|0.49400000000000005|0|0.41600000000000004|0|0.338|0|0.26|0|0.18200000000000002|0|0.10400000000000002|0|0.026000000000000023|0|0|0|0|0|0|0|0|0|0|0|0|0|0|0|0|0|0|0|0.08000000000000002|0|0.16000000000000003|0|0.24|0|0.32000000000000006|0|0.4|0|0.35200000000000004|0|0.30400000000000005|0|0.256|0|0.20800000000000002|0|0.16000000000000003|0|0.11200000000000002|0|0.06400000000000002|0|0.016000000000000014|0|0|0|0|0|0|0|0|0|0|0|0|0|0|0|0|0|0|0|0.12|0|0.24|0|0.36|0|0.48|0|0.6|0|0.528|0|0.45599999999999996|0|0.384|0|0.312|0|0.24|0|0.168|0|0.09600000000000002|0|0|0|0|0|0|0|0|0|0|0|0.13999999999999999|0|0.27999999999999997|0|0.42|0|0.5599999999999999|0|0.7|0|0.616|0|0.5319999999999999|0|0.44799999999999995|0|0.364|0|0.27999999999999997|0|0.196|0|0.11200000000000002|0|0.02800000000000002|0|0|0|0|0|0|0|0|0|0|0|0|0|0|0|0.1|0|0.2|0|0.3|0|0.4|0|0.5|0|0.44|0|0.38|0|0.32|0|0.26|0|0.2|0|0.14|0|0.08000000000000002|0|0.020000000000000018|0|0|0|0|0|0|0|0|0|0|0|0|0|0|0|0.16000000000000003|0|0.32000000000000006|0|0.48|0|0.6400000000000001|0|0.8|0|0.7040000000000001|0|0.6080000000000001|0|0.512|0|0.41600000000000004|0|0.32000000000000006|0|0.22400000000000003|0|0.12800000000000003|0|0|1|1|1</x:v>
      </x:c>
    </x:row>
    <x:row r="200" ht="23" customHeight="1">
      <x:c r="A200" s="11" t="str">
        <x:v>688192.SH</x:v>
      </x:c>
      <x:c r="B200" s="11" t="str">
        <x:v>迪哲医药</x:v>
      </x:c>
      <x:c r="C200" s="11" t="str">
        <x:v>五年</x:v>
      </x:c>
      <x:c r="D200" s="11" t="str">
        <x:v>基准</x:v>
      </x:c>
      <x:c r="E200" s="11" t="n">
        <x:v>59.95</x:v>
      </x:c>
      <x:c r="F200" s="11" t="n">
        <x:v>92.57482531070634</x:v>
      </x:c>
      <x:c r="G200" s="11" t="n">
        <x:v>0</x:v>
      </x:c>
      <x:c r="H200" s="25" t="n">
        <x:v>0.5442005890026078</x:v>
      </x:c>
      <x:c r="I200" s="25" t="n">
        <x:v>0.5442005890026078</x:v>
      </x:c>
      <x:c r="J200" s="25" t="n">
        <x:v>0.09078898262112722</x:v>
      </x:c>
      <x:c r="K200" s="11" t="n">
        <x:v>0</x:v>
      </x:c>
      <x:c r="L200" s="11" t="n">
        <x:v>0</x:v>
      </x:c>
      <x:c r="M200" s="11" t="n">
        <x:v>1</x:v>
      </x:c>
      <x:c r="N200" s="11" t="n">
        <x:v>0</x:v>
      </x:c>
      <x:c r="O200" s="11" t="n">
        <x:v>0</x:v>
      </x:c>
      <x:c r="P200" s="11" t="n">
        <x:v>0</x:v>
      </x:c>
      <x:c r="Q200" s="11" t="n">
        <x:v>0.55</x:v>
      </x:c>
      <x:c r="R200" s="11" t="str">
        <x:v>dizal-rnpv-v1.0</x:v>
      </x:c>
      <x:c r="S200" s="11" t="str">
        <x:v>2026-10-10</x:v>
      </x:c>
      <x:c r="T200" s="11" t="str">
        <x:f>IF(AND(SUM(IF(K200='假设'!E265,0,1),IF(L200='假设'!F265,0,1),IF(M200='假设'!G265,0,1),IF(N200='假设'!H265,0,1),IF(O200='假设'!I265,0,1),IF(P200='假设'!J265,0,1),IF(Q200='假设'!K265,0,1))=0,U200=V200),"已刷新","待刷新")</x:f>
        <x:v>已刷新</x:v>
      </x:c>
      <x:c r="U200" t="str">
        <x:v>5.5|1.2|1|0.08610000000000001|1|0.125|6.8|0.879|0.08610000000000001|1|0.125|6.8|1|0.33|1|0.125|6.8|0.6699999999999999|0.33|1|0.125|6.8|0.5599999999999999|0.3|1|0.125|6.8|0.714|0.32|1|0.125|6.8|0.615|0.32|1|0.125|6.8|0.615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  <x:c r="V200" t="str">
        <x:f>'假设'!N265&amp;"|"&amp;'假设'!Q265&amp;"|"&amp;'管线假设'!E257&amp;"|"&amp;'管线假设'!F257&amp;"|"&amp;'管线假设'!G257&amp;"|"&amp;'管线假设'!H257&amp;"|"&amp;'管线假设'!I257&amp;"|"&amp;'管线假设'!E261&amp;"|"&amp;'管线假设'!F261&amp;"|"&amp;'管线假设'!G261&amp;"|"&amp;'管线假设'!H261&amp;"|"&amp;'管线假设'!I261&amp;"|"&amp;'管线假设'!E265&amp;"|"&amp;'管线假设'!F265&amp;"|"&amp;'管线假设'!G265&amp;"|"&amp;'管线假设'!H265&amp;"|"&amp;'管线假设'!I265&amp;"|"&amp;'管线假设'!E269&amp;"|"&amp;'管线假设'!F269&amp;"|"&amp;'管线假设'!G269&amp;"|"&amp;'管线假设'!H269&amp;"|"&amp;'管线假设'!I269&amp;"|"&amp;'管线假设'!E273&amp;"|"&amp;'管线假设'!F273&amp;"|"&amp;'管线假设'!G273&amp;"|"&amp;'管线假设'!H273&amp;"|"&amp;'管线假设'!I273&amp;"|"&amp;'管线假设'!E277&amp;"|"&amp;'管线假设'!F277&amp;"|"&amp;'管线假设'!G277&amp;"|"&amp;'管线假设'!H277&amp;"|"&amp;'管线假设'!I277&amp;"|"&amp;'管线假设'!E281&amp;"|"&amp;'管线假设'!F281&amp;"|"&amp;'管线假设'!G281&amp;"|"&amp;'管线假设'!H281&amp;"|"&amp;'管线假设'!I281&amp;"|"&amp;'管线假设'!E285&amp;"|"&amp;'管线假设'!F285&amp;"|"&amp;'管线假设'!G285&amp;"|"&amp;'管线假设'!H285&amp;"|"&amp;'管线假设'!I285&amp;"|"&amp;'管线现金流'!I1100&amp;"|"&amp;'管线现金流'!AK1100&amp;"|"&amp;'管线现金流'!I1101&amp;"|"&amp;'管线现金流'!AK1101&amp;"|"&amp;'管线现金流'!I1102&amp;"|"&amp;'管线现金流'!AK1102&amp;"|"&amp;'管线现金流'!I1103&amp;"|"&amp;'管线现金流'!AK1103&amp;"|"&amp;'管线现金流'!I1104&amp;"|"&amp;'管线现金流'!AK1104&amp;"|"&amp;'管线现金流'!I1105&amp;"|"&amp;'管线现金流'!AK1105&amp;"|"&amp;'管线现金流'!I1106&amp;"|"&amp;'管线现金流'!AK1106&amp;"|"&amp;'管线现金流'!I1107&amp;"|"&amp;'管线现金流'!AK1107&amp;"|"&amp;'管线现金流'!I1108&amp;"|"&amp;'管线现金流'!AK1108&amp;"|"&amp;'管线现金流'!I1109&amp;"|"&amp;'管线现金流'!AK1109&amp;"|"&amp;'管线现金流'!I1110&amp;"|"&amp;'管线现金流'!AK1110&amp;"|"&amp;'管线现金流'!I1111&amp;"|"&amp;'管线现金流'!AK1111&amp;"|"&amp;'管线现金流'!I1112&amp;"|"&amp;'管线现金流'!AK1112&amp;"|"&amp;'管线现金流'!I1113&amp;"|"&amp;'管线现金流'!AK1113&amp;"|"&amp;'管线现金流'!I1114&amp;"|"&amp;'管线现金流'!AK1114&amp;"|"&amp;'管线现金流'!I1115&amp;"|"&amp;'管线现金流'!AK1115&amp;"|"&amp;'管线现金流'!I1116&amp;"|"&amp;'管线现金流'!AK1116&amp;"|"&amp;'管线现金流'!I1117&amp;"|"&amp;'管线现金流'!AK1117&amp;"|"&amp;'管线现金流'!I1118&amp;"|"&amp;'管线现金流'!AK1118&amp;"|"&amp;'管线现金流'!I1119&amp;"|"&amp;'管线现金流'!AK1119&amp;"|"&amp;'管线现金流'!I1120&amp;"|"&amp;'管线现金流'!AK1120&amp;"|"&amp;'管线现金流'!I1121&amp;"|"&amp;'管线现金流'!AK1121&amp;"|"&amp;'管线现金流'!I1122&amp;"|"&amp;'管线现金流'!AK1122&amp;"|"&amp;'管线现金流'!I1123&amp;"|"&amp;'管线现金流'!AK1123&amp;"|"&amp;'管线现金流'!I1124&amp;"|"&amp;'管线现金流'!AK1124&amp;"|"&amp;'管线现金流'!I1125&amp;"|"&amp;'管线现金流'!AK1125&amp;"|"&amp;'管线现金流'!I1126&amp;"|"&amp;'管线现金流'!AK1126&amp;"|"&amp;'管线现金流'!I1127&amp;"|"&amp;'管线现金流'!AK1127&amp;"|"&amp;'管线现金流'!I1128&amp;"|"&amp;'管线现金流'!AK1128&amp;"|"&amp;'管线现金流'!I1129&amp;"|"&amp;'管线现金流'!AK1129&amp;"|"&amp;'管线现金流'!I1130&amp;"|"&amp;'管线现金流'!AK1130&amp;"|"&amp;'管线现金流'!I1131&amp;"|"&amp;'管线现金流'!AK1131&amp;"|"&amp;'管线现金流'!I1132&amp;"|"&amp;'管线现金流'!AK1132&amp;"|"&amp;'管线现金流'!I1133&amp;"|"&amp;'管线现金流'!AK1133&amp;"|"&amp;'管线现金流'!I1134&amp;"|"&amp;'管线现金流'!AK1134&amp;"|"&amp;'管线现金流'!I1135&amp;"|"&amp;'管线现金流'!AK1135&amp;"|"&amp;'管线现金流'!I1136&amp;"|"&amp;'管线现金流'!AK1136&amp;"|"&amp;'管线现金流'!I1137&amp;"|"&amp;'管线现金流'!AK1137&amp;"|"&amp;'管线现金流'!I1138&amp;"|"&amp;'管线现金流'!AK1138&amp;"|"&amp;'管线现金流'!I1139&amp;"|"&amp;'管线现金流'!AK1139&amp;"|"&amp;'管线现金流'!I1140&amp;"|"&amp;'管线现金流'!AK1140&amp;"|"&amp;'管线现金流'!I1141&amp;"|"&amp;'管线现金流'!AK1141&amp;"|"&amp;'管线现金流'!I1142&amp;"|"&amp;'管线现金流'!AK1142&amp;"|"&amp;'管线现金流'!I1143&amp;"|"&amp;'管线现金流'!AK1143&amp;"|"&amp;'管线现金流'!I1144&amp;"|"&amp;'管线现金流'!AK1144&amp;"|"&amp;'管线现金流'!I1145&amp;"|"&amp;'管线现金流'!AK1145&amp;"|"&amp;'管线现金流'!I1146&amp;"|"&amp;'管线现金流'!AK1146&amp;"|"&amp;'管线现金流'!I1147&amp;"|"&amp;'管线现金流'!AK1147&amp;"|"&amp;'管线现金流'!I1148&amp;"|"&amp;'管线现金流'!AK1148&amp;"|"&amp;'管线现金流'!I1149&amp;"|"&amp;'管线现金流'!AK1149&amp;"|"&amp;'管线现金流'!I1150&amp;"|"&amp;'管线现金流'!AK1150&amp;"|"&amp;'管线现金流'!I1151&amp;"|"&amp;'管线现金流'!AK1151&amp;"|"&amp;'管线现金流'!I1152&amp;"|"&amp;'管线现金流'!AK1152&amp;"|"&amp;'管线现金流'!I1153&amp;"|"&amp;'管线现金流'!AK1153&amp;"|"&amp;'管线现金流'!I1154&amp;"|"&amp;'管线现金流'!AK1154&amp;"|"&amp;'管线现金流'!I1155&amp;"|"&amp;'管线现金流'!AK1155&amp;"|"&amp;'管线现金流'!I1156&amp;"|"&amp;'管线现金流'!AK1156&amp;"|"&amp;'管线现金流'!I1157&amp;"|"&amp;'管线现金流'!AK1157&amp;"|"&amp;'管线现金流'!I1158&amp;"|"&amp;'管线现金流'!AK1158&amp;"|"&amp;'管线现金流'!I1159&amp;"|"&amp;'管线现金流'!AK1159&amp;"|"&amp;'管线现金流'!I1160&amp;"|"&amp;'管线现金流'!AK1160&amp;"|"&amp;'管线现金流'!I1161&amp;"|"&amp;'管线现金流'!AK1161&amp;"|"&amp;'管线现金流'!I1162&amp;"|"&amp;'管线现金流'!AK1162&amp;"|"&amp;'管线现金流'!I1163&amp;"|"&amp;'管线现金流'!AK1163&amp;"|"&amp;'管线现金流'!I1164&amp;"|"&amp;'管线现金流'!AK1164&amp;"|"&amp;'管线现金流'!I1165&amp;"|"&amp;'管线现金流'!AK1165&amp;"|"&amp;'管线现金流'!I1166&amp;"|"&amp;'管线现金流'!AK1166&amp;"|"&amp;'管线现金流'!I1167&amp;"|"&amp;'管线现金流'!AK1167&amp;"|"&amp;'管线现金流'!I1168&amp;"|"&amp;'管线现金流'!AK1168&amp;"|"&amp;'管线现金流'!I1169&amp;"|"&amp;'管线现金流'!AK1169&amp;"|"&amp;'管线现金流'!I1170&amp;"|"&amp;'管线现金流'!AK1170&amp;"|"&amp;'管线现金流'!I1171&amp;"|"&amp;'管线现金流'!AK1171&amp;"|"&amp;'管线现金流'!I1172&amp;"|"&amp;'管线现金流'!AK1172&amp;"|"&amp;'管线现金流'!I1173&amp;"|"&amp;'管线现金流'!AK1173&amp;"|"&amp;'管线现金流'!I1174&amp;"|"&amp;'管线现金流'!AK1174&amp;"|"&amp;'管线现金流'!I1175&amp;"|"&amp;'管线现金流'!AK1175&amp;"|"&amp;'管线现金流'!I1176&amp;"|"&amp;'管线现金流'!AK1176&amp;"|"&amp;'管线现金流'!I1177&amp;"|"&amp;'管线现金流'!AK1177&amp;"|"&amp;'管线现金流'!I1178&amp;"|"&amp;'管线现金流'!AK1178&amp;"|"&amp;'管线现金流'!I1179&amp;"|"&amp;'管线现金流'!AK1179&amp;"|"&amp;'管线现金流'!I1180&amp;"|"&amp;'管线现金流'!AK1180&amp;"|"&amp;'管线现金流'!I1181&amp;"|"&amp;'管线现金流'!AK1181&amp;"|"&amp;'管线现金流'!I1182&amp;"|"&amp;'管线现金流'!AK1182&amp;"|"&amp;'管线现金流'!I1183&amp;"|"&amp;'管线现金流'!AK1183&amp;"|"&amp;'管线现金流'!I1184&amp;"|"&amp;'管线现金流'!AK1184&amp;"|"&amp;'管线现金流'!I1185&amp;"|"&amp;'管线现金流'!AK1185&amp;"|"&amp;'管线现金流'!I1186&amp;"|"&amp;'管线现金流'!AK1186&amp;"|"&amp;'管线现金流'!I1187&amp;"|"&amp;'管线现金流'!AK1187&amp;"|"&amp;'管线现金流'!I1188&amp;"|"&amp;'管线现金流'!AK1188&amp;"|"&amp;'管线现金流'!I1189&amp;"|"&amp;'管线现金流'!AK1189&amp;"|"&amp;'管线现金流'!I1190&amp;"|"&amp;'管线现金流'!AK1190&amp;"|"&amp;'管线现金流'!I1191&amp;"|"&amp;'管线现金流'!AK1191&amp;"|"&amp;'管线现金流'!I1192&amp;"|"&amp;'管线现金流'!AK1192&amp;"|"&amp;'管线现金流'!I1193&amp;"|"&amp;'管线现金流'!AK1193&amp;"|"&amp;'管线现金流'!I1194&amp;"|"&amp;'管线现金流'!AK1194&amp;"|"&amp;'管线现金流'!I1195&amp;"|"&amp;'管线现金流'!AK1195&amp;"|"&amp;'管线现金流'!I1196&amp;"|"&amp;'管线现金流'!AK1196&amp;"|"&amp;'管线现金流'!I1197&amp;"|"&amp;'管线现金流'!AK1197&amp;"|"&amp;'管线现金流'!I1198&amp;"|"&amp;'管线现金流'!AK1198&amp;"|"&amp;'管线现金流'!I1199&amp;"|"&amp;'管线现金流'!AK1199&amp;"|"&amp;'管线现金流'!I1200&amp;"|"&amp;'管线现金流'!AK1200&amp;"|"&amp;'管线现金流'!I1201&amp;"|"&amp;'管线现金流'!AK1201&amp;"|"&amp;'管线现金流'!I1202&amp;"|"&amp;'管线现金流'!AK1202&amp;"|"&amp;'管线现金流'!I1203&amp;"|"&amp;'管线现金流'!AK1203&amp;"|"&amp;'管线现金流'!I1204&amp;"|"&amp;'管线现金流'!AK1204&amp;"|"&amp;'管线现金流'!I1205&amp;"|"&amp;'管线现金流'!AK1205&amp;"|"&amp;'管线现金流'!I1206&amp;"|"&amp;'管线现金流'!AK1206&amp;"|"&amp;'管线现金流'!I1207&amp;"|"&amp;'管线现金流'!AK1207&amp;"|"&amp;'管线现金流'!I1208&amp;"|"&amp;'管线现金流'!AK1208&amp;"|"&amp;'管线现金流'!I1209&amp;"|"&amp;'管线现金流'!AK1209&amp;"|"&amp;'管线现金流'!I1210&amp;"|"&amp;'管线现金流'!AK1210&amp;"|"&amp;'管线现金流'!I1211&amp;"|"&amp;'管线现金流'!AK1211&amp;"|"&amp;'管线现金流'!I1212&amp;"|"&amp;'管线现金流'!AK1212&amp;"|"&amp;'管线现金流'!I1213&amp;"|"&amp;'管线现金流'!AK1213&amp;"|"&amp;'管线现金流'!I1214&amp;"|"&amp;'管线现金流'!AK1214&amp;"|"&amp;'管线现金流'!I1215&amp;"|"&amp;'管线现金流'!AK1215&amp;"|"&amp;'管线现金流'!I1216&amp;"|"&amp;'管线现金流'!AK1216&amp;"|"&amp;'管线现金流'!I1217&amp;"|"&amp;'管线现金流'!AK1217&amp;"|"&amp;'管线现金流'!I1218&amp;"|"&amp;'管线现金流'!AK1218&amp;"|"&amp;'管线现金流'!I1219&amp;"|"&amp;'管线现金流'!AK1219&amp;"|"&amp;'管线现金流'!I1220&amp;"|"&amp;'管线现金流'!AK1220&amp;"|"&amp;'管线现金流'!I1221&amp;"|"&amp;'管线现金流'!AK1221&amp;"|"&amp;'管线现金流'!I1222&amp;"|"&amp;'管线现金流'!AK1222&amp;"|"&amp;'管线现金流'!I1223&amp;"|"&amp;'管线现金流'!AK1223&amp;"|"&amp;'管线现金流'!I1224&amp;"|"&amp;'管线现金流'!AK1224&amp;"|"&amp;'管线现金流'!I1225&amp;"|"&amp;'管线现金流'!AK1225&amp;"|"&amp;'管线现金流'!I1226&amp;"|"&amp;'管线现金流'!AK1226&amp;"|"&amp;'管线现金流'!I1227&amp;"|"&amp;'管线现金流'!AK1227&amp;"|"&amp;'管线现金流'!I1228&amp;"|"&amp;'管线现金流'!AK1228&amp;"|"&amp;'管线现金流'!I1229&amp;"|"&amp;'管线现金流'!AK1229&amp;"|"&amp;'管线现金流'!I1230&amp;"|"&amp;'管线现金流'!AK1230&amp;"|"&amp;'管线现金流'!I1231&amp;"|"&amp;'管线现金流'!AK1231&amp;"|"&amp;'管线现金流'!I1232&amp;"|"&amp;'管线现金流'!AK1232&amp;"|"&amp;'管线现金流'!I1233&amp;"|"&amp;'管线现金流'!AK1233&amp;"|"&amp;'管线现金流'!I1234&amp;"|"&amp;'管线现金流'!AK1234&amp;"|"&amp;'管线现金流'!I1235&amp;"|"&amp;'管线现金流'!AK1235&amp;"|"&amp;'管线现金流'!I1236&amp;"|"&amp;'管线现金流'!AK1236&amp;"|"&amp;'管线现金流'!I1237&amp;"|"&amp;'管线现金流'!AK1237&amp;"|"&amp;'管线现金流'!I1238&amp;"|"&amp;'管线现金流'!AK1238&amp;"|"&amp;'管线现金流'!I1239&amp;"|"&amp;'管线现金流'!AK1239&amp;"|"&amp;'管线现金流'!I1240&amp;"|"&amp;'管线现金流'!AK1240&amp;"|"&amp;'管线现金流'!I1241&amp;"|"&amp;'管线现金流'!AK1241&amp;"|"&amp;'管线现金流'!I1242&amp;"|"&amp;'管线现金流'!AK1242&amp;"|"&amp;'管线现金流'!I1243&amp;"|"&amp;'管线现金流'!AK1243&amp;"|"&amp;'管线现金流'!I1244&amp;"|"&amp;'管线现金流'!AK1244&amp;"|"&amp;'管线现金流'!I1245&amp;"|"&amp;'管线现金流'!AK1245&amp;"|"&amp;'管线现金流'!I1246&amp;"|"&amp;'管线现金流'!AK1246&amp;"|"&amp;'管线现金流'!I1247&amp;"|"&amp;'管线现金流'!AK1247&amp;"|"&amp;'管线现金流'!I1248&amp;"|"&amp;'管线现金流'!AK1248&amp;"|"&amp;'管线现金流'!I1249&amp;"|"&amp;'管线现金流'!AK1249&amp;"|"&amp;'管线现金流'!I1250&amp;"|"&amp;'管线现金流'!AK1250&amp;"|"&amp;'管线现金流'!I1251&amp;"|"&amp;'管线现金流'!AK1251&amp;"|"&amp;'管线现金流'!V26&amp;"|"&amp;'管线现金流'!Y26&amp;"|"&amp;'管线现金流'!AP26&amp;"|"&amp;'管线现金流'!AS26</x:f>
        <x:v>5.5|1.2|1|0.08610000000000001|1|0.125|6.8|0.879|0.08610000000000001|1|0.125|6.8|1|0.33|1|0.125|6.8|0.6699999999999999|0.33|1|0.125|6.8|0.5599999999999999|0.3|1|0.125|6.8|0.714|0.32|1|0.125|6.8|0.615|0.32|1|0.125|6.8|0.615|0.32|1|0.125|6.8|0.13|0|0.26|0|0.39|0|0.52|0|0.65|0|0.5720000000000001|0|0.49400000000000005|0|0.41600000000000004|0|0.338|0|0.26|0|0.18200000000000002|0|0.10400000000000002|0|0.026000000000000023|0|0|0|0|0|0|0|0|0|0|0|0|0|0|0|0.25|0|0.5|0|0.75|0|1|0|1.25|0|1.5|0|1.32|0|1.1400000000000001|0|0.96|0|0.78|0|0.6000000000000001|0|0.42000000000000004|0|0.24000000000000005|0|0.06000000000000005|0|0|0|0|0|0|0|0|0|0.19999999999999998|0|0.39999999999999997|0|0.6|0|0.7999999999999999|0|1|0|1.2|0|1.056|0|0.9119999999999999|0|0.768|0|0.624|0|0.48|0|0.336|0|0.19200000000000003|0|0.04800000000000004|0|0|0|0|0|0|0|0|0|0|0|0|0|0|0|0.15833333333333333|0|0.31666666666666665|0|0.475|0|0.6333333333333333|0|0.7916666666666666|0|0.95|0|0.836|0|0.722|0|0.608|0|0.494|0|0.38|0|0.266|0|0.15200000000000002|0|0.038000000000000034|0|0|0|0|0|0|0|0|0|0|0|0|0|0|0|0|0|0.3|0|0.6|0|0.9|0|1.2|0|1.5|0|1.8|0|1.584|0|1.368|0|1.1520000000000001|0|0.936|0|0.7200000000000001|0|0.5040000000000001|0|0.2880000000000001|0|0.07200000000000006|0|0|0|0|0|0|0|0.3|0|0.6|0|0.9|0|1.2|0|1.5|0|1.8|0|1.584|0|1.368|0|1.1520000000000001|0|0.936|0|0.7200000000000001|0|0.5040000000000001|0|0.2880000000000001|0|0.07200000000000006|0|0|0|0|0|0|0|0|0|0|0|0|0|0.3|0|0.6|0|0.9|0|1.2|0|1.5|0|1.8|0|1.584|0|1.368|0|1.1520000000000001|0|0.936|0|0.7200000000000001|0|0.5040000000000001|0|0.2880000000000001|0|0.07200000000000006|0|0|0|0|0|0|0|0|0|0|0|0.41666666666666663|0|0.8333333333333333|0|1.25|0|1.6666666666666665|0|2.0833333333333335|0|2.5|0|2.2|0|1.9|0|1.6|0|1.3|0|1|0|0.7000000000000001|0|0.4000000000000001|0|0.10000000000000009|0|0|0|0.18|1|1|1</x:v>
      </x:c>
    </x:row>
    <x:row r="201" ht="23" customHeight="1">
      <x:c r="A201" s="11" t="str">
        <x:v>688192.SH</x:v>
      </x:c>
      <x:c r="B201" s="11" t="str">
        <x:v>迪哲医药</x:v>
      </x:c>
      <x:c r="C201" s="11" t="str">
        <x:v>五年</x:v>
      </x:c>
      <x:c r="D201" s="11" t="str">
        <x:v>乐观</x:v>
      </x:c>
      <x:c r="E201" s="11" t="n">
        <x:v>59.95</x:v>
      </x:c>
      <x:c r="F201" s="11" t="n">
        <x:v>319.43575631684683</x:v>
      </x:c>
      <x:c r="G201" s="11" t="n">
        <x:v>0</x:v>
      </x:c>
      <x:c r="H201" s="25" t="n">
        <x:v>4.3283695799307225</x:v>
      </x:c>
      <x:c r="I201" s="25" t="n">
        <x:v>4.3283695799307225</x:v>
      </x:c>
      <x:c r="J201" s="25" t="n">
        <x:v>0.3973939802244808</x:v>
      </x:c>
      <x:c r="K201" s="11" t="n">
        <x:v>0</x:v>
      </x:c>
      <x:c r="L201" s="11" t="n">
        <x:v>0</x:v>
      </x:c>
      <x:c r="M201" s="11" t="n">
        <x:v>1</x:v>
      </x:c>
      <x:c r="N201" s="11" t="n">
        <x:v>0</x:v>
      </x:c>
      <x:c r="O201" s="11" t="n">
        <x:v>0</x:v>
      </x:c>
      <x:c r="P201" s="11" t="n">
        <x:v>0</x:v>
      </x:c>
      <x:c r="Q201" s="11" t="n">
        <x:v>0.53</x:v>
      </x:c>
      <x:c r="R201" s="11" t="str">
        <x:v>dizal-rnpv-v1.0</x:v>
      </x:c>
      <x:c r="S201" s="11" t="str">
        <x:v>2026-10-10</x:v>
      </x:c>
      <x:c r="T201" s="11" t="str">
        <x:f>IF(AND(SUM(IF(K201='假设'!E266,0,1),IF(L201='假设'!F266,0,1),IF(M201='假设'!G266,0,1),IF(N201='假设'!H266,0,1),IF(O201='假设'!I266,0,1),IF(P201='假设'!J266,0,1),IF(Q201='假设'!K266,0,1))=0,U201=V201),"已刷新","待刷新")</x:f>
        <x:v>已刷新</x:v>
      </x:c>
      <x:c r="U201" t="str">
        <x:v>9|1.6|1|0.1105|1|0.105|6.8|0.972|0.1105|1|0.105|6.8|1|0.4|1|0.105|6.8|0.8775000000000001|0.4|1|0.105|6.8|0.79|0.38|1|0.105|6.8|0.895|0.4|1|0.105|6.8|0.8425|0.4|1|0.105|6.8|0.8425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  <x:c r="V201" t="str">
        <x:f>'假设'!N266&amp;"|"&amp;'假设'!Q266&amp;"|"&amp;'管线假设'!E258&amp;"|"&amp;'管线假设'!F258&amp;"|"&amp;'管线假设'!G258&amp;"|"&amp;'管线假设'!H258&amp;"|"&amp;'管线假设'!I258&amp;"|"&amp;'管线假设'!E262&amp;"|"&amp;'管线假设'!F262&amp;"|"&amp;'管线假设'!G262&amp;"|"&amp;'管线假设'!H262&amp;"|"&amp;'管线假设'!I262&amp;"|"&amp;'管线假设'!E266&amp;"|"&amp;'管线假设'!F266&amp;"|"&amp;'管线假设'!G266&amp;"|"&amp;'管线假设'!H266&amp;"|"&amp;'管线假设'!I266&amp;"|"&amp;'管线假设'!E270&amp;"|"&amp;'管线假设'!F270&amp;"|"&amp;'管线假设'!G270&amp;"|"&amp;'管线假设'!H270&amp;"|"&amp;'管线假设'!I270&amp;"|"&amp;'管线假设'!E274&amp;"|"&amp;'管线假设'!F274&amp;"|"&amp;'管线假设'!G274&amp;"|"&amp;'管线假设'!H274&amp;"|"&amp;'管线假设'!I274&amp;"|"&amp;'管线假设'!E278&amp;"|"&amp;'管线假设'!F278&amp;"|"&amp;'管线假设'!G278&amp;"|"&amp;'管线假设'!H278&amp;"|"&amp;'管线假设'!I278&amp;"|"&amp;'管线假设'!E282&amp;"|"&amp;'管线假设'!F282&amp;"|"&amp;'管线假设'!G282&amp;"|"&amp;'管线假设'!H282&amp;"|"&amp;'管线假设'!I282&amp;"|"&amp;'管线假设'!E286&amp;"|"&amp;'管线假设'!F286&amp;"|"&amp;'管线假设'!G286&amp;"|"&amp;'管线假设'!H286&amp;"|"&amp;'管线假设'!I286&amp;"|"&amp;'管线现金流'!J1100&amp;"|"&amp;'管线现金流'!AL1100&amp;"|"&amp;'管线现金流'!J1101&amp;"|"&amp;'管线现金流'!AL1101&amp;"|"&amp;'管线现金流'!J1102&amp;"|"&amp;'管线现金流'!AL1102&amp;"|"&amp;'管线现金流'!J1103&amp;"|"&amp;'管线现金流'!AL1103&amp;"|"&amp;'管线现金流'!J1104&amp;"|"&amp;'管线现金流'!AL1104&amp;"|"&amp;'管线现金流'!J1105&amp;"|"&amp;'管线现金流'!AL1105&amp;"|"&amp;'管线现金流'!J1106&amp;"|"&amp;'管线现金流'!AL1106&amp;"|"&amp;'管线现金流'!J1107&amp;"|"&amp;'管线现金流'!AL1107&amp;"|"&amp;'管线现金流'!J1108&amp;"|"&amp;'管线现金流'!AL1108&amp;"|"&amp;'管线现金流'!J1109&amp;"|"&amp;'管线现金流'!AL1109&amp;"|"&amp;'管线现金流'!J1110&amp;"|"&amp;'管线现金流'!AL1110&amp;"|"&amp;'管线现金流'!J1111&amp;"|"&amp;'管线现金流'!AL1111&amp;"|"&amp;'管线现金流'!J1112&amp;"|"&amp;'管线现金流'!AL1112&amp;"|"&amp;'管线现金流'!J1113&amp;"|"&amp;'管线现金流'!AL1113&amp;"|"&amp;'管线现金流'!J1114&amp;"|"&amp;'管线现金流'!AL1114&amp;"|"&amp;'管线现金流'!J1115&amp;"|"&amp;'管线现金流'!AL1115&amp;"|"&amp;'管线现金流'!J1116&amp;"|"&amp;'管线现金流'!AL1116&amp;"|"&amp;'管线现金流'!J1117&amp;"|"&amp;'管线现金流'!AL1117&amp;"|"&amp;'管线现金流'!J1118&amp;"|"&amp;'管线现金流'!AL1118&amp;"|"&amp;'管线现金流'!J1119&amp;"|"&amp;'管线现金流'!AL1119&amp;"|"&amp;'管线现金流'!J1120&amp;"|"&amp;'管线现金流'!AL1120&amp;"|"&amp;'管线现金流'!J1121&amp;"|"&amp;'管线现金流'!AL1121&amp;"|"&amp;'管线现金流'!J1122&amp;"|"&amp;'管线现金流'!AL1122&amp;"|"&amp;'管线现金流'!J1123&amp;"|"&amp;'管线现金流'!AL1123&amp;"|"&amp;'管线现金流'!J1124&amp;"|"&amp;'管线现金流'!AL1124&amp;"|"&amp;'管线现金流'!J1125&amp;"|"&amp;'管线现金流'!AL1125&amp;"|"&amp;'管线现金流'!J1126&amp;"|"&amp;'管线现金流'!AL1126&amp;"|"&amp;'管线现金流'!J1127&amp;"|"&amp;'管线现金流'!AL1127&amp;"|"&amp;'管线现金流'!J1128&amp;"|"&amp;'管线现金流'!AL1128&amp;"|"&amp;'管线现金流'!J1129&amp;"|"&amp;'管线现金流'!AL1129&amp;"|"&amp;'管线现金流'!J1130&amp;"|"&amp;'管线现金流'!AL1130&amp;"|"&amp;'管线现金流'!J1131&amp;"|"&amp;'管线现金流'!AL1131&amp;"|"&amp;'管线现金流'!J1132&amp;"|"&amp;'管线现金流'!AL1132&amp;"|"&amp;'管线现金流'!J1133&amp;"|"&amp;'管线现金流'!AL1133&amp;"|"&amp;'管线现金流'!J1134&amp;"|"&amp;'管线现金流'!AL1134&amp;"|"&amp;'管线现金流'!J1135&amp;"|"&amp;'管线现金流'!AL1135&amp;"|"&amp;'管线现金流'!J1136&amp;"|"&amp;'管线现金流'!AL1136&amp;"|"&amp;'管线现金流'!J1137&amp;"|"&amp;'管线现金流'!AL1137&amp;"|"&amp;'管线现金流'!J1138&amp;"|"&amp;'管线现金流'!AL1138&amp;"|"&amp;'管线现金流'!J1139&amp;"|"&amp;'管线现金流'!AL1139&amp;"|"&amp;'管线现金流'!J1140&amp;"|"&amp;'管线现金流'!AL1140&amp;"|"&amp;'管线现金流'!J1141&amp;"|"&amp;'管线现金流'!AL1141&amp;"|"&amp;'管线现金流'!J1142&amp;"|"&amp;'管线现金流'!AL1142&amp;"|"&amp;'管线现金流'!J1143&amp;"|"&amp;'管线现金流'!AL1143&amp;"|"&amp;'管线现金流'!J1144&amp;"|"&amp;'管线现金流'!AL1144&amp;"|"&amp;'管线现金流'!J1145&amp;"|"&amp;'管线现金流'!AL1145&amp;"|"&amp;'管线现金流'!J1146&amp;"|"&amp;'管线现金流'!AL1146&amp;"|"&amp;'管线现金流'!J1147&amp;"|"&amp;'管线现金流'!AL1147&amp;"|"&amp;'管线现金流'!J1148&amp;"|"&amp;'管线现金流'!AL1148&amp;"|"&amp;'管线现金流'!J1149&amp;"|"&amp;'管线现金流'!AL1149&amp;"|"&amp;'管线现金流'!J1150&amp;"|"&amp;'管线现金流'!AL1150&amp;"|"&amp;'管线现金流'!J1151&amp;"|"&amp;'管线现金流'!AL1151&amp;"|"&amp;'管线现金流'!J1152&amp;"|"&amp;'管线现金流'!AL1152&amp;"|"&amp;'管线现金流'!J1153&amp;"|"&amp;'管线现金流'!AL1153&amp;"|"&amp;'管线现金流'!J1154&amp;"|"&amp;'管线现金流'!AL1154&amp;"|"&amp;'管线现金流'!J1155&amp;"|"&amp;'管线现金流'!AL1155&amp;"|"&amp;'管线现金流'!J1156&amp;"|"&amp;'管线现金流'!AL1156&amp;"|"&amp;'管线现金流'!J1157&amp;"|"&amp;'管线现金流'!AL1157&amp;"|"&amp;'管线现金流'!J1158&amp;"|"&amp;'管线现金流'!AL1158&amp;"|"&amp;'管线现金流'!J1159&amp;"|"&amp;'管线现金流'!AL1159&amp;"|"&amp;'管线现金流'!J1160&amp;"|"&amp;'管线现金流'!AL1160&amp;"|"&amp;'管线现金流'!J1161&amp;"|"&amp;'管线现金流'!AL1161&amp;"|"&amp;'管线现金流'!J1162&amp;"|"&amp;'管线现金流'!AL1162&amp;"|"&amp;'管线现金流'!J1163&amp;"|"&amp;'管线现金流'!AL1163&amp;"|"&amp;'管线现金流'!J1164&amp;"|"&amp;'管线现金流'!AL1164&amp;"|"&amp;'管线现金流'!J1165&amp;"|"&amp;'管线现金流'!AL1165&amp;"|"&amp;'管线现金流'!J1166&amp;"|"&amp;'管线现金流'!AL1166&amp;"|"&amp;'管线现金流'!J1167&amp;"|"&amp;'管线现金流'!AL1167&amp;"|"&amp;'管线现金流'!J1168&amp;"|"&amp;'管线现金流'!AL1168&amp;"|"&amp;'管线现金流'!J1169&amp;"|"&amp;'管线现金流'!AL1169&amp;"|"&amp;'管线现金流'!J1170&amp;"|"&amp;'管线现金流'!AL1170&amp;"|"&amp;'管线现金流'!J1171&amp;"|"&amp;'管线现金流'!AL1171&amp;"|"&amp;'管线现金流'!J1172&amp;"|"&amp;'管线现金流'!AL1172&amp;"|"&amp;'管线现金流'!J1173&amp;"|"&amp;'管线现金流'!AL1173&amp;"|"&amp;'管线现金流'!J1174&amp;"|"&amp;'管线现金流'!AL1174&amp;"|"&amp;'管线现金流'!J1175&amp;"|"&amp;'管线现金流'!AL1175&amp;"|"&amp;'管线现金流'!J1176&amp;"|"&amp;'管线现金流'!AL1176&amp;"|"&amp;'管线现金流'!J1177&amp;"|"&amp;'管线现金流'!AL1177&amp;"|"&amp;'管线现金流'!J1178&amp;"|"&amp;'管线现金流'!AL1178&amp;"|"&amp;'管线现金流'!J1179&amp;"|"&amp;'管线现金流'!AL1179&amp;"|"&amp;'管线现金流'!J1180&amp;"|"&amp;'管线现金流'!AL1180&amp;"|"&amp;'管线现金流'!J1181&amp;"|"&amp;'管线现金流'!AL1181&amp;"|"&amp;'管线现金流'!J1182&amp;"|"&amp;'管线现金流'!AL1182&amp;"|"&amp;'管线现金流'!J1183&amp;"|"&amp;'管线现金流'!AL1183&amp;"|"&amp;'管线现金流'!J1184&amp;"|"&amp;'管线现金流'!AL1184&amp;"|"&amp;'管线现金流'!J1185&amp;"|"&amp;'管线现金流'!AL1185&amp;"|"&amp;'管线现金流'!J1186&amp;"|"&amp;'管线现金流'!AL1186&amp;"|"&amp;'管线现金流'!J1187&amp;"|"&amp;'管线现金流'!AL1187&amp;"|"&amp;'管线现金流'!J1188&amp;"|"&amp;'管线现金流'!AL1188&amp;"|"&amp;'管线现金流'!J1189&amp;"|"&amp;'管线现金流'!AL1189&amp;"|"&amp;'管线现金流'!J1190&amp;"|"&amp;'管线现金流'!AL1190&amp;"|"&amp;'管线现金流'!J1191&amp;"|"&amp;'管线现金流'!AL1191&amp;"|"&amp;'管线现金流'!J1192&amp;"|"&amp;'管线现金流'!AL1192&amp;"|"&amp;'管线现金流'!J1193&amp;"|"&amp;'管线现金流'!AL1193&amp;"|"&amp;'管线现金流'!J1194&amp;"|"&amp;'管线现金流'!AL1194&amp;"|"&amp;'管线现金流'!J1195&amp;"|"&amp;'管线现金流'!AL1195&amp;"|"&amp;'管线现金流'!J1196&amp;"|"&amp;'管线现金流'!AL1196&amp;"|"&amp;'管线现金流'!J1197&amp;"|"&amp;'管线现金流'!AL1197&amp;"|"&amp;'管线现金流'!J1198&amp;"|"&amp;'管线现金流'!AL1198&amp;"|"&amp;'管线现金流'!J1199&amp;"|"&amp;'管线现金流'!AL1199&amp;"|"&amp;'管线现金流'!J1200&amp;"|"&amp;'管线现金流'!AL1200&amp;"|"&amp;'管线现金流'!J1201&amp;"|"&amp;'管线现金流'!AL1201&amp;"|"&amp;'管线现金流'!J1202&amp;"|"&amp;'管线现金流'!AL1202&amp;"|"&amp;'管线现金流'!J1203&amp;"|"&amp;'管线现金流'!AL1203&amp;"|"&amp;'管线现金流'!J1204&amp;"|"&amp;'管线现金流'!AL1204&amp;"|"&amp;'管线现金流'!J1205&amp;"|"&amp;'管线现金流'!AL1205&amp;"|"&amp;'管线现金流'!J1206&amp;"|"&amp;'管线现金流'!AL1206&amp;"|"&amp;'管线现金流'!J1207&amp;"|"&amp;'管线现金流'!AL1207&amp;"|"&amp;'管线现金流'!J1208&amp;"|"&amp;'管线现金流'!AL1208&amp;"|"&amp;'管线现金流'!J1209&amp;"|"&amp;'管线现金流'!AL1209&amp;"|"&amp;'管线现金流'!J1210&amp;"|"&amp;'管线现金流'!AL1210&amp;"|"&amp;'管线现金流'!J1211&amp;"|"&amp;'管线现金流'!AL1211&amp;"|"&amp;'管线现金流'!J1212&amp;"|"&amp;'管线现金流'!AL1212&amp;"|"&amp;'管线现金流'!J1213&amp;"|"&amp;'管线现金流'!AL1213&amp;"|"&amp;'管线现金流'!J1214&amp;"|"&amp;'管线现金流'!AL1214&amp;"|"&amp;'管线现金流'!J1215&amp;"|"&amp;'管线现金流'!AL1215&amp;"|"&amp;'管线现金流'!J1216&amp;"|"&amp;'管线现金流'!AL1216&amp;"|"&amp;'管线现金流'!J1217&amp;"|"&amp;'管线现金流'!AL1217&amp;"|"&amp;'管线现金流'!J1218&amp;"|"&amp;'管线现金流'!AL1218&amp;"|"&amp;'管线现金流'!J1219&amp;"|"&amp;'管线现金流'!AL1219&amp;"|"&amp;'管线现金流'!J1220&amp;"|"&amp;'管线现金流'!AL1220&amp;"|"&amp;'管线现金流'!J1221&amp;"|"&amp;'管线现金流'!AL1221&amp;"|"&amp;'管线现金流'!J1222&amp;"|"&amp;'管线现金流'!AL1222&amp;"|"&amp;'管线现金流'!J1223&amp;"|"&amp;'管线现金流'!AL1223&amp;"|"&amp;'管线现金流'!J1224&amp;"|"&amp;'管线现金流'!AL1224&amp;"|"&amp;'管线现金流'!J1225&amp;"|"&amp;'管线现金流'!AL1225&amp;"|"&amp;'管线现金流'!J1226&amp;"|"&amp;'管线现金流'!AL1226&amp;"|"&amp;'管线现金流'!J1227&amp;"|"&amp;'管线现金流'!AL1227&amp;"|"&amp;'管线现金流'!J1228&amp;"|"&amp;'管线现金流'!AL1228&amp;"|"&amp;'管线现金流'!J1229&amp;"|"&amp;'管线现金流'!AL1229&amp;"|"&amp;'管线现金流'!J1230&amp;"|"&amp;'管线现金流'!AL1230&amp;"|"&amp;'管线现金流'!J1231&amp;"|"&amp;'管线现金流'!AL1231&amp;"|"&amp;'管线现金流'!J1232&amp;"|"&amp;'管线现金流'!AL1232&amp;"|"&amp;'管线现金流'!J1233&amp;"|"&amp;'管线现金流'!AL1233&amp;"|"&amp;'管线现金流'!J1234&amp;"|"&amp;'管线现金流'!AL1234&amp;"|"&amp;'管线现金流'!J1235&amp;"|"&amp;'管线现金流'!AL1235&amp;"|"&amp;'管线现金流'!J1236&amp;"|"&amp;'管线现金流'!AL1236&amp;"|"&amp;'管线现金流'!J1237&amp;"|"&amp;'管线现金流'!AL1237&amp;"|"&amp;'管线现金流'!J1238&amp;"|"&amp;'管线现金流'!AL1238&amp;"|"&amp;'管线现金流'!J1239&amp;"|"&amp;'管线现金流'!AL1239&amp;"|"&amp;'管线现金流'!J1240&amp;"|"&amp;'管线现金流'!AL1240&amp;"|"&amp;'管线现金流'!J1241&amp;"|"&amp;'管线现金流'!AL1241&amp;"|"&amp;'管线现金流'!J1242&amp;"|"&amp;'管线现金流'!AL1242&amp;"|"&amp;'管线现金流'!J1243&amp;"|"&amp;'管线现金流'!AL1243&amp;"|"&amp;'管线现金流'!J1244&amp;"|"&amp;'管线现金流'!AL1244&amp;"|"&amp;'管线现金流'!J1245&amp;"|"&amp;'管线现金流'!AL1245&amp;"|"&amp;'管线现金流'!J1246&amp;"|"&amp;'管线现金流'!AL1246&amp;"|"&amp;'管线现金流'!J1247&amp;"|"&amp;'管线现金流'!AL1247&amp;"|"&amp;'管线现金流'!J1248&amp;"|"&amp;'管线现金流'!AL1248&amp;"|"&amp;'管线现金流'!J1249&amp;"|"&amp;'管线现金流'!AL1249&amp;"|"&amp;'管线现金流'!J1250&amp;"|"&amp;'管线现金流'!AL1250&amp;"|"&amp;'管线现金流'!J1251&amp;"|"&amp;'管线现金流'!AL1251&amp;"|"&amp;'管线现金流'!W26&amp;"|"&amp;'管线现金流'!Z26&amp;"|"&amp;'管线现金流'!AQ26&amp;"|"&amp;'管线现金流'!AT26</x:f>
        <x:v>9|1.6|1|0.1105|1|0.105|6.8|0.972|0.1105|1|0.105|6.8|1|0.4|1|0.105|6.8|0.8775000000000001|0.4|1|0.105|6.8|0.79|0.38|1|0.105|6.8|0.895|0.4|1|0.105|6.8|0.8425|0.4|1|0.105|6.8|0.8425|0.4|1|0.105|6.8|0.275|0|0.55|0|0.8250000000000001|0|1.1|0|0.9680000000000001|0|0.8360000000000001|0|0.7040000000000001|0|0.5720000000000001|0|0.44000000000000006|0|0.30800000000000005|0|0.17600000000000005|0|0.044000000000000046|0|0|0|0|0|0|0|0|0|0|0|0|0|0|0|0.45|0|0.9|0|1.35|0|1.8|0|2.2500000000000004|0|2.7|0|2.3760000000000003|0|2.052|0|1.7280000000000002|0|1.4040000000000001|0|1.08|0|0.7560000000000001|0|0.4320000000000001|0|0.10800000000000011|0|0|0|0|0|0|0|0|0|0|0|0.36000000000000004|0|0.7200000000000001|0|1.08|0|1.4400000000000002|0|1.8|0|1.584|0|1.368|0|1.1520000000000001|0|0.936|0|0.7200000000000001|0|0.5040000000000001|0|0.2880000000000001|0|0.07200000000000006|0|0|0|0|0|0|0|0|0|0|0|0|0|0|0|0.25|0|0.5|0|0.75|0|1|0|1.25|0|1.5|0|1.32|0|1.1400000000000001|0|0.96|0|0.78|0|0.6000000000000001|0|0.42000000000000004|0|0.24000000000000005|0|0.06000000000000005|0|0|0|0|0|0|0|0|0|0|0|0|0|0|0|0.5833333333333333|0|1.1666666666666665|0|1.75|0|2.333333333333333|0|2.916666666666667|0|3.5|0|3.08|0|2.66|0|2.24|0|1.82|0|1.4000000000000001|0|0.9800000000000001|0|0.56|0|0.14000000000000012|0|0|0|0|0|0|0|0|0|0.5333333333333333|0|1.0666666666666667|0|1.6|0|2.1333333333333333|0|2.666666666666667|0|3.2|0|2.8160000000000003|0|2.4320000000000004|0|2.048|0|1.6640000000000001|0|1.2800000000000002|0|0.8960000000000001|0|0.5120000000000001|0|0.1280000000000001|0|0|0|0|0|0|0|0|0|0|0|0.5666666666666667|0|1.1333333333333333|0|1.7|0|2.2666666666666666|0|2.8333333333333335|0|3.4|0|2.992|0|2.584|0|2.176|0|1.768|0|1.36|0|0.9520000000000001|0|0.544|0|0.13600000000000012|0|0|0|0|0|0|0|0|0|0|0|0.75|0|1.5|0|2.25|0|3|0|3.75|0|4.5|0|3.96|0|3.42|0|2.88|0|2.34|0|1.8|0|1.2600000000000002|0|0.7200000000000002|0|0.18000000000000016|0|0|0|0|0|0|0|0.4|1|1|1</x:v>
      </x:c>
    </x:row>
    <x:row r="202" ht="23" customHeight="1">
      <x:c r="A202" s="11" t="str">
        <x:v>02196.HK</x:v>
      </x:c>
      <x:c r="B202" s="11" t="str">
        <x:v>复星医药</x:v>
      </x:c>
      <x:c r="C202" s="11" t="str">
        <x:v>2026年底</x:v>
      </x:c>
      <x:c r="D202" s="11" t="str">
        <x:v>悲观</x:v>
      </x:c>
      <x:c r="E202" s="11" t="n">
        <x:v>17.87</x:v>
      </x:c>
      <x:c r="F202" s="11" t="n">
        <x:v>10.30423076259469</x:v>
      </x:c>
      <x:c r="G202" s="11" t="n">
        <x:v>0</x:v>
      </x:c>
      <x:c r="H202" s="25" t="n">
        <x:v>-0.42337824495832743</x:v>
      </x:c>
      <x:c r="I202" s="25" t="n">
        <x:v>-0.42337824495832743</x:v>
      </x:c>
      <x:c r="J202" s="25" t="str"/>
      <x:c r="K202" s="11" t="n">
        <x:v>0.6691058936749797</x:v>
      </x:c>
      <x:c r="L202" s="11" t="n">
        <x:v>14</x:v>
      </x:c>
      <x:c r="M202" s="11" t="n">
        <x:v>1.1</x:v>
      </x:c>
      <x:c r="N202" s="11" t="n">
        <x:v>0</x:v>
      </x:c>
      <x:c r="O202" s="11" t="str"/>
      <x:c r="P202" s="11" t="str"/>
      <x:c r="Q202" s="11" t="str"/>
      <x:c r="R202" s="11" t="str">
        <x:v>fosun-H-native-normal-profit-v1.0</x:v>
      </x:c>
      <x:c r="S202" s="11" t="str">
        <x:v>2026-10-10</x:v>
      </x:c>
      <x:c r="T202" s="11" t="str">
        <x:f>IF(AND(SUM(IF(K202='假设'!E268,0,1),IF(L202='假设'!F268,0,1),IF(M202='假设'!G268,0,1),IF(N202='假设'!H268,0,1),IF(O202='假设'!I268,0,1),IF(P202='假设'!J268,0,1),IF(Q202='假设'!K268,0,1))=0,U202=V202),"已刷新","待刷新")</x:f>
        <x:v>已刷新</x:v>
      </x:c>
      <x:c r="U202" t="str">
        <x:v>29|3.6|7.3|0.1|0.45|19.8|0.32|8.6|4.45|4.25|1.2|0.16|1.9|0.05|0.15|0.28|0.22|0.6|2.670429325</x:v>
      </x:c>
      <x:c r="V202" t="str">
        <x:f>'复星经营假设'!D8&amp;"|"&amp;'复星经营假设'!E8&amp;"|"&amp;'复星经营假设'!F8&amp;"|"&amp;'复星经营假设'!G8&amp;"|"&amp;'复星经营假设'!H8&amp;"|"&amp;'复星经营假设'!I8&amp;"|"&amp;'复星经营假设'!J8&amp;"|"&amp;'复星经营假设'!K8&amp;"|"&amp;'复星经营假设'!L8&amp;"|"&amp;'复星经营假设'!M8&amp;"|"&amp;'复星经营假设'!N8&amp;"|"&amp;'复星经营假设'!O8&amp;"|"&amp;'复星经营假设'!P8&amp;"|"&amp;'复星经营假设'!Q8&amp;"|"&amp;'复星经营假设'!R8&amp;"|"&amp;'复星经营假设'!S8&amp;"|"&amp;'复星经营假设'!T8&amp;"|"&amp;'复星经营假设'!U8&amp;"|"&amp;'复星经营假设'!V8</x:f>
        <x:v>29|3.6|7.3|0.1|0.45|19.8|0.32|8.6|4.45|4.25|1.2|0.16|1.9|0.05|0.15|0.28|0.22|0.6|2.670429325</x:v>
      </x:c>
    </x:row>
    <x:row r="203" ht="23" customHeight="1">
      <x:c r="A203" s="11" t="str">
        <x:v>02196.HK</x:v>
      </x:c>
      <x:c r="B203" s="11" t="str">
        <x:v>复星医药</x:v>
      </x:c>
      <x:c r="C203" s="11" t="str">
        <x:v>2026年底</x:v>
      </x:c>
      <x:c r="D203" s="11" t="str">
        <x:v>基准</x:v>
      </x:c>
      <x:c r="E203" s="11" t="n">
        <x:v>17.87</x:v>
      </x:c>
      <x:c r="F203" s="11" t="n">
        <x:v>18.630468716860747</x:v>
      </x:c>
      <x:c r="G203" s="11" t="n">
        <x:v>0</x:v>
      </x:c>
      <x:c r="H203" s="25" t="n">
        <x:v>0.04255560810636516</x:v>
      </x:c>
      <x:c r="I203" s="25" t="n">
        <x:v>0.04255560810636516</x:v>
      </x:c>
      <x:c r="J203" s="25" t="str"/>
      <x:c r="K203" s="11" t="n">
        <x:v>0.9962817495647458</x:v>
      </x:c>
      <x:c r="L203" s="11" t="n">
        <x:v>17</x:v>
      </x:c>
      <x:c r="M203" s="11" t="n">
        <x:v>1.1</x:v>
      </x:c>
      <x:c r="N203" s="11" t="n">
        <x:v>0</x:v>
      </x:c>
      <x:c r="O203" s="11" t="str"/>
      <x:c r="P203" s="11" t="str"/>
      <x:c r="Q203" s="11" t="str"/>
      <x:c r="R203" s="11" t="str">
        <x:v>fosun-H-native-normal-profit-v1.0</x:v>
      </x:c>
      <x:c r="S203" s="11" t="str">
        <x:v>2026-10-10</x:v>
      </x:c>
      <x:c r="T203" s="11" t="str">
        <x:f>IF(AND(SUM(IF(K203='假设'!E269,0,1),IF(L203='假设'!F269,0,1),IF(M203='假设'!G269,0,1),IF(N203='假设'!H269,0,1),IF(O203='假设'!I269,0,1),IF(P203='假设'!J269,0,1),IF(Q203='假设'!K269,0,1))=0,U203=V203),"已刷新","待刷新")</x:f>
        <x:v>已刷新</x:v>
      </x:c>
      <x:c r="U203" t="str">
        <x:v>31|3.75|7.45|0.1|0.8|20.7|0.32|9.15|4.65|4.55|1.1|0.2|2.15|0.1|0.08|0.15|0.19|0.62|2.670429325</x:v>
      </x:c>
      <x:c r="V203" t="str">
        <x:f>'复星经营假设'!D9&amp;"|"&amp;'复星经营假设'!E9&amp;"|"&amp;'复星经营假设'!F9&amp;"|"&amp;'复星经营假设'!G9&amp;"|"&amp;'复星经营假设'!H9&amp;"|"&amp;'复星经营假设'!I9&amp;"|"&amp;'复星经营假设'!J9&amp;"|"&amp;'复星经营假设'!K9&amp;"|"&amp;'复星经营假设'!L9&amp;"|"&amp;'复星经营假设'!M9&amp;"|"&amp;'复星经营假设'!N9&amp;"|"&amp;'复星经营假设'!O9&amp;"|"&amp;'复星经营假设'!P9&amp;"|"&amp;'复星经营假设'!Q9&amp;"|"&amp;'复星经营假设'!R9&amp;"|"&amp;'复星经营假设'!S9&amp;"|"&amp;'复星经营假设'!T9&amp;"|"&amp;'复星经营假设'!U9&amp;"|"&amp;'复星经营假设'!V9</x:f>
        <x:v>31|3.75|7.45|0.1|0.8|20.7|0.32|9.15|4.65|4.55|1.1|0.2|2.15|0.1|0.08|0.15|0.19|0.62|2.670429325</x:v>
      </x:c>
    </x:row>
    <x:row r="204" ht="23" customHeight="1">
      <x:c r="A204" s="11" t="str">
        <x:v>02196.HK</x:v>
      </x:c>
      <x:c r="B204" s="11" t="str">
        <x:v>复星医药</x:v>
      </x:c>
      <x:c r="C204" s="11" t="str">
        <x:v>2026年底</x:v>
      </x:c>
      <x:c r="D204" s="11" t="str">
        <x:v>乐观</x:v>
      </x:c>
      <x:c r="E204" s="11" t="n">
        <x:v>17.87</x:v>
      </x:c>
      <x:c r="F204" s="11" t="n">
        <x:v>27.233598477653047</x:v>
      </x:c>
      <x:c r="G204" s="11" t="n">
        <x:v>0</x:v>
      </x:c>
      <x:c r="H204" s="25" t="n">
        <x:v>0.5239842460913848</x:v>
      </x:c>
      <x:c r="I204" s="25" t="n">
        <x:v>0.5239842460913848</x:v>
      </x:c>
      <x:c r="J204" s="25" t="str"/>
      <x:c r="K204" s="11" t="n">
        <x:v>1.2378908398933202</x:v>
      </x:c>
      <x:c r="L204" s="11" t="n">
        <x:v>20</x:v>
      </x:c>
      <x:c r="M204" s="11" t="n">
        <x:v>1.1</x:v>
      </x:c>
      <x:c r="N204" s="11" t="n">
        <x:v>0</x:v>
      </x:c>
      <x:c r="O204" s="11" t="str"/>
      <x:c r="P204" s="11" t="str"/>
      <x:c r="Q204" s="11" t="str"/>
      <x:c r="R204" s="11" t="str">
        <x:v>fosun-H-native-normal-profit-v1.0</x:v>
      </x:c>
      <x:c r="S204" s="11" t="str">
        <x:v>2026-10-10</x:v>
      </x:c>
      <x:c r="T204" s="11" t="str">
        <x:f>IF(AND(SUM(IF(K204='假设'!E270,0,1),IF(L204='假设'!F270,0,1),IF(M204='假设'!G270,0,1),IF(N204='假设'!H270,0,1),IF(O204='假设'!I270,0,1),IF(P204='假设'!J270,0,1),IF(Q204='假设'!K270,0,1))=0,U204=V204),"已刷新","待刷新")</x:f>
        <x:v>已刷新</x:v>
      </x:c>
      <x:c r="U204" t="str">
        <x:v>32.7|3.9|7.8|0.1|1.2|21.65|0.34|9.5|4.7|4.75|1.05|0.22|2.3|0.12|0.08|0.1|0.19|0.72|2.670429325</x:v>
      </x:c>
      <x:c r="V204" t="str">
        <x:f>'复星经营假设'!D10&amp;"|"&amp;'复星经营假设'!E10&amp;"|"&amp;'复星经营假设'!F10&amp;"|"&amp;'复星经营假设'!G10&amp;"|"&amp;'复星经营假设'!H10&amp;"|"&amp;'复星经营假设'!I10&amp;"|"&amp;'复星经营假设'!J10&amp;"|"&amp;'复星经营假设'!K10&amp;"|"&amp;'复星经营假设'!L10&amp;"|"&amp;'复星经营假设'!M10&amp;"|"&amp;'复星经营假设'!N10&amp;"|"&amp;'复星经营假设'!O10&amp;"|"&amp;'复星经营假设'!P10&amp;"|"&amp;'复星经营假设'!Q10&amp;"|"&amp;'复星经营假设'!R10&amp;"|"&amp;'复星经营假设'!S10&amp;"|"&amp;'复星经营假设'!T10&amp;"|"&amp;'复星经营假设'!U10&amp;"|"&amp;'复星经营假设'!V10</x:f>
        <x:v>32.7|3.9|7.8|0.1|1.2|21.65|0.34|9.5|4.7|4.75|1.05|0.22|2.3|0.12|0.08|0.1|0.19|0.72|2.670429325</x:v>
      </x:c>
    </x:row>
    <x:row r="205" ht="23" customHeight="1">
      <x:c r="A205" s="11" t="str">
        <x:v>02196.HK</x:v>
      </x:c>
      <x:c r="B205" s="11" t="str">
        <x:v>复星医药</x:v>
      </x:c>
      <x:c r="C205" s="11" t="str">
        <x:v>半年</x:v>
      </x:c>
      <x:c r="D205" s="11" t="str">
        <x:v>悲观</x:v>
      </x:c>
      <x:c r="E205" s="11" t="n">
        <x:v>17.87</x:v>
      </x:c>
      <x:c r="F205" s="11" t="n">
        <x:v>9.326194029850743</x:v>
      </x:c>
      <x:c r="G205" s="11" t="n">
        <x:v>0</x:v>
      </x:c>
      <x:c r="H205" s="25" t="n">
        <x:v>-0.47810889592329364</x:v>
      </x:c>
      <x:c r="I205" s="25" t="n">
        <x:v>-0.47810889592329364</x:v>
      </x:c>
      <x:c r="J205" s="25" t="str"/>
      <x:c r="K205" s="11" t="n">
        <x:v>0.605597014925373</x:v>
      </x:c>
      <x:c r="L205" s="11" t="n">
        <x:v>14</x:v>
      </x:c>
      <x:c r="M205" s="11" t="n">
        <x:v>1.1</x:v>
      </x:c>
      <x:c r="N205" s="11" t="n">
        <x:v>0</x:v>
      </x:c>
      <x:c r="O205" s="11" t="str"/>
      <x:c r="P205" s="11" t="str"/>
      <x:c r="Q205" s="11" t="str"/>
      <x:c r="R205" s="11" t="str">
        <x:v>fosun-H-native-normal-profit-v1.0</x:v>
      </x:c>
      <x:c r="S205" s="11" t="str">
        <x:v>2026-10-10</x:v>
      </x:c>
      <x:c r="T205" s="11" t="str">
        <x:f>IF(AND(SUM(IF(K205='假设'!E272,0,1),IF(L205='假设'!F272,0,1),IF(M205='假设'!G272,0,1),IF(N205='假设'!H272,0,1),IF(O205='假设'!I272,0,1),IF(P205='假设'!J272,0,1),IF(Q205='假设'!K272,0,1))=0,U205=V205),"已刷新","待刷新")</x:f>
        <x:v>已刷新</x:v>
      </x:c>
      <x:c r="U205" t="str">
        <x:v>29.5|3.5|7.5|0.1|0.4|20.1|0.32|8.75|4.5|4.4|1.25|0.15|1.85|0.04|0.17|0.3|0.22|0.6|2.68</x:v>
      </x:c>
      <x:c r="V205" t="str">
        <x:f>'复星经营假设'!D12&amp;"|"&amp;'复星经营假设'!E12&amp;"|"&amp;'复星经营假设'!F12&amp;"|"&amp;'复星经营假设'!G12&amp;"|"&amp;'复星经营假设'!H12&amp;"|"&amp;'复星经营假设'!I12&amp;"|"&amp;'复星经营假设'!J12&amp;"|"&amp;'复星经营假设'!K12&amp;"|"&amp;'复星经营假设'!L12&amp;"|"&amp;'复星经营假设'!M12&amp;"|"&amp;'复星经营假设'!N12&amp;"|"&amp;'复星经营假设'!O12&amp;"|"&amp;'复星经营假设'!P12&amp;"|"&amp;'复星经营假设'!Q12&amp;"|"&amp;'复星经营假设'!R12&amp;"|"&amp;'复星经营假设'!S12&amp;"|"&amp;'复星经营假设'!T12&amp;"|"&amp;'复星经营假设'!U12&amp;"|"&amp;'复星经营假设'!V12</x:f>
        <x:v>29.5|3.5|7.5|0.1|0.4|20.1|0.32|8.75|4.5|4.4|1.25|0.15|1.85|0.04|0.17|0.3|0.22|0.6|2.68</x:v>
      </x:c>
    </x:row>
    <x:row r="206" ht="23" customHeight="1">
      <x:c r="A206" s="11" t="str">
        <x:v>02196.HK</x:v>
      </x:c>
      <x:c r="B206" s="11" t="str">
        <x:v>复星医药</x:v>
      </x:c>
      <x:c r="C206" s="11" t="str">
        <x:v>半年</x:v>
      </x:c>
      <x:c r="D206" s="11" t="str">
        <x:v>基准</x:v>
      </x:c>
      <x:c r="E206" s="11" t="n">
        <x:v>17.87</x:v>
      </x:c>
      <x:c r="F206" s="11" t="n">
        <x:v>20.72894589552243</x:v>
      </x:c>
      <x:c r="G206" s="11" t="n">
        <x:v>0</x:v>
      </x:c>
      <x:c r="H206" s="25" t="n">
        <x:v>0.15998578038737699</x:v>
      </x:c>
      <x:c r="I206" s="25" t="n">
        <x:v>0.15998578038737699</x:v>
      </x:c>
      <x:c r="J206" s="25" t="str"/>
      <x:c r="K206" s="11" t="n">
        <x:v>1.0768283582089573</x:v>
      </x:c>
      <x:c r="L206" s="11" t="n">
        <x:v>17.5</x:v>
      </x:c>
      <x:c r="M206" s="11" t="n">
        <x:v>1.1</x:v>
      </x:c>
      <x:c r="N206" s="11" t="n">
        <x:v>0</x:v>
      </x:c>
      <x:c r="O206" s="11" t="str"/>
      <x:c r="P206" s="11" t="str"/>
      <x:c r="Q206" s="11" t="str"/>
      <x:c r="R206" s="11" t="str">
        <x:v>fosun-H-native-normal-profit-v1.0</x:v>
      </x:c>
      <x:c r="S206" s="11" t="str">
        <x:v>2026-10-10</x:v>
      </x:c>
      <x:c r="T206" s="11" t="str">
        <x:f>IF(AND(SUM(IF(K206='假设'!E273,0,1),IF(L206='假设'!F273,0,1),IF(M206='假设'!G273,0,1),IF(N206='假设'!H273,0,1),IF(O206='假设'!I273,0,1),IF(P206='假设'!J273,0,1),IF(Q206='假设'!K273,0,1))=0,U206=V206),"已刷新","待刷新")</x:f>
        <x:v>已刷新</x:v>
      </x:c>
      <x:c r="U206" t="str">
        <x:v>32|3.85|7.7|0.1|0.85|21.2|0.34|9.4|4.75|4.8|1.05|0.2|2.2|0.1|0.09|0.13|0.19|0.67|2.68</x:v>
      </x:c>
      <x:c r="V206" t="str">
        <x:f>'复星经营假设'!D13&amp;"|"&amp;'复星经营假设'!E13&amp;"|"&amp;'复星经营假设'!F13&amp;"|"&amp;'复星经营假设'!G13&amp;"|"&amp;'复星经营假设'!H13&amp;"|"&amp;'复星经营假设'!I13&amp;"|"&amp;'复星经营假设'!J13&amp;"|"&amp;'复星经营假设'!K13&amp;"|"&amp;'复星经营假设'!L13&amp;"|"&amp;'复星经营假设'!M13&amp;"|"&amp;'复星经营假设'!N13&amp;"|"&amp;'复星经营假设'!O13&amp;"|"&amp;'复星经营假设'!P13&amp;"|"&amp;'复星经营假设'!Q13&amp;"|"&amp;'复星经营假设'!R13&amp;"|"&amp;'复星经营假设'!S13&amp;"|"&amp;'复星经营假设'!T13&amp;"|"&amp;'复星经营假设'!U13&amp;"|"&amp;'复星经营假设'!V13</x:f>
        <x:v>32|3.85|7.7|0.1|0.85|21.2|0.34|9.4|4.75|4.8|1.05|0.2|2.2|0.1|0.09|0.13|0.19|0.67|2.68</x:v>
      </x:c>
    </x:row>
    <x:row r="207" ht="23" customHeight="1">
      <x:c r="A207" s="11" t="str">
        <x:v>02196.HK</x:v>
      </x:c>
      <x:c r="B207" s="11" t="str">
        <x:v>复星医药</x:v>
      </x:c>
      <x:c r="C207" s="11" t="str">
        <x:v>半年</x:v>
      </x:c>
      <x:c r="D207" s="11" t="str">
        <x:v>乐观</x:v>
      </x:c>
      <x:c r="E207" s="11" t="n">
        <x:v>17.87</x:v>
      </x:c>
      <x:c r="F207" s="11" t="n">
        <x:v>32.69080970149254</x:v>
      </x:c>
      <x:c r="G207" s="11" t="n">
        <x:v>0</x:v>
      </x:c>
      <x:c r="H207" s="25" t="n">
        <x:v>0.8293681981808918</x:v>
      </x:c>
      <x:c r="I207" s="25" t="n">
        <x:v>0.8293681981808918</x:v>
      </x:c>
      <x:c r="J207" s="25" t="str"/>
      <x:c r="K207" s="11" t="n">
        <x:v>1.4151865671641792</x:v>
      </x:c>
      <x:c r="L207" s="11" t="n">
        <x:v>21</x:v>
      </x:c>
      <x:c r="M207" s="11" t="n">
        <x:v>1.1</x:v>
      </x:c>
      <x:c r="N207" s="11" t="n">
        <x:v>0</x:v>
      </x:c>
      <x:c r="O207" s="11" t="str"/>
      <x:c r="P207" s="11" t="str"/>
      <x:c r="Q207" s="11" t="str"/>
      <x:c r="R207" s="11" t="str">
        <x:v>fosun-H-native-normal-profit-v1.0</x:v>
      </x:c>
      <x:c r="S207" s="11" t="str">
        <x:v>2026-10-10</x:v>
      </x:c>
      <x:c r="T207" s="11" t="str">
        <x:f>IF(AND(SUM(IF(K207='假设'!E274,0,1),IF(L207='假设'!F274,0,1),IF(M207='假设'!G274,0,1),IF(N207='假设'!H274,0,1),IF(O207='假设'!I274,0,1),IF(P207='假设'!J274,0,1),IF(Q207='假设'!K274,0,1))=0,U207=V207),"已刷新","待刷新")</x:f>
        <x:v>已刷新</x:v>
      </x:c>
      <x:c r="U207" t="str">
        <x:v>34.5|4|8|0.1|1.3|22.4|0.35|9.9|4.85|5|1|0.22|2.4|0.13|0.08|0.1|0.19|0.8|2.68</x:v>
      </x:c>
      <x:c r="V207" t="str">
        <x:f>'复星经营假设'!D14&amp;"|"&amp;'复星经营假设'!E14&amp;"|"&amp;'复星经营假设'!F14&amp;"|"&amp;'复星经营假设'!G14&amp;"|"&amp;'复星经营假设'!H14&amp;"|"&amp;'复星经营假设'!I14&amp;"|"&amp;'复星经营假设'!J14&amp;"|"&amp;'复星经营假设'!K14&amp;"|"&amp;'复星经营假设'!L14&amp;"|"&amp;'复星经营假设'!M14&amp;"|"&amp;'复星经营假设'!N14&amp;"|"&amp;'复星经营假设'!O14&amp;"|"&amp;'复星经营假设'!P14&amp;"|"&amp;'复星经营假设'!Q14&amp;"|"&amp;'复星经营假设'!R14&amp;"|"&amp;'复星经营假设'!S14&amp;"|"&amp;'复星经营假设'!T14&amp;"|"&amp;'复星经营假设'!U14&amp;"|"&amp;'复星经营假设'!V14</x:f>
        <x:v>34.5|4|8|0.1|1.3|22.4|0.35|9.9|4.85|5|1|0.22|2.4|0.13|0.08|0.1|0.19|0.8|2.68</x:v>
      </x:c>
    </x:row>
    <x:row r="208" ht="23" customHeight="1">
      <x:c r="A208" s="11" t="str">
        <x:v>02196.HK</x:v>
      </x:c>
      <x:c r="B208" s="11" t="str">
        <x:v>复星医药</x:v>
      </x:c>
      <x:c r="C208" s="11" t="str">
        <x:v>一年</x:v>
      </x:c>
      <x:c r="D208" s="11" t="str">
        <x:v>悲观</x:v>
      </x:c>
      <x:c r="E208" s="11" t="n">
        <x:v>17.87</x:v>
      </x:c>
      <x:c r="F208" s="11" t="n">
        <x:v>9.8354666666667</x:v>
      </x:c>
      <x:c r="G208" s="11" t="n">
        <x:v>0.18</x:v>
      </x:c>
      <x:c r="H208" s="25" t="n">
        <x:v>-0.44961014736056515</x:v>
      </x:c>
      <x:c r="I208" s="25" t="n">
        <x:v>-0.43953739973885286</x:v>
      </x:c>
      <x:c r="J208" s="25" t="str"/>
      <x:c r="K208" s="11" t="n">
        <x:v>0.6386666666666688</x:v>
      </x:c>
      <x:c r="L208" s="11" t="n">
        <x:v>14</x:v>
      </x:c>
      <x:c r="M208" s="11" t="n">
        <x:v>1.1</x:v>
      </x:c>
      <x:c r="N208" s="11" t="n">
        <x:v>0.18</x:v>
      </x:c>
      <x:c r="O208" s="11" t="str"/>
      <x:c r="P208" s="11" t="str"/>
      <x:c r="Q208" s="11" t="str"/>
      <x:c r="R208" s="11" t="str">
        <x:v>fosun-H-native-normal-profit-v1.0</x:v>
      </x:c>
      <x:c r="S208" s="11" t="str">
        <x:v>2026-10-10</x:v>
      </x:c>
      <x:c r="T208" s="11" t="str">
        <x:f>IF(AND(SUM(IF(K208='假设'!E276,0,1),IF(L208='假设'!F276,0,1),IF(M208='假设'!G276,0,1),IF(N208='假设'!H276,0,1),IF(O208='假设'!I276,0,1),IF(P208='假设'!J276,0,1),IF(Q208='假设'!K276,0,1))=0,U208=V208),"已刷新","待刷新")</x:f>
        <x:v>已刷新</x:v>
      </x:c>
      <x:c r="U208" t="str">
        <x:v>30.5|3.5|7.7|0.1|0.45|20.7|0.33|8.9|4.55|4.6|1.3|0.15|1.9|0.04|0.18|0.35|0.22|0.6|2.7</x:v>
      </x:c>
      <x:c r="V208" t="str">
        <x:f>'复星经营假设'!D16&amp;"|"&amp;'复星经营假设'!E16&amp;"|"&amp;'复星经营假设'!F16&amp;"|"&amp;'复星经营假设'!G16&amp;"|"&amp;'复星经营假设'!H16&amp;"|"&amp;'复星经营假设'!I16&amp;"|"&amp;'复星经营假设'!J16&amp;"|"&amp;'复星经营假设'!K16&amp;"|"&amp;'复星经营假设'!L16&amp;"|"&amp;'复星经营假设'!M16&amp;"|"&amp;'复星经营假设'!N16&amp;"|"&amp;'复星经营假设'!O16&amp;"|"&amp;'复星经营假设'!P16&amp;"|"&amp;'复星经营假设'!Q16&amp;"|"&amp;'复星经营假设'!R16&amp;"|"&amp;'复星经营假设'!S16&amp;"|"&amp;'复星经营假设'!T16&amp;"|"&amp;'复星经营假设'!U16&amp;"|"&amp;'复星经营假设'!V16</x:f>
        <x:v>30.5|3.5|7.7|0.1|0.45|20.7|0.33|8.9|4.55|4.6|1.3|0.15|1.9|0.04|0.18|0.35|0.22|0.6|2.7</x:v>
      </x:c>
    </x:row>
    <x:row r="209" ht="23" customHeight="1">
      <x:c r="A209" s="11" t="str">
        <x:v>02196.HK</x:v>
      </x:c>
      <x:c r="B209" s="11" t="str">
        <x:v>复星医药</x:v>
      </x:c>
      <x:c r="C209" s="11" t="str">
        <x:v>一年</x:v>
      </x:c>
      <x:c r="D209" s="11" t="str">
        <x:v>基准</x:v>
      </x:c>
      <x:c r="E209" s="11" t="n">
        <x:v>17.87</x:v>
      </x:c>
      <x:c r="F209" s="11" t="n">
        <x:v>27.83053358208953</x:v>
      </x:c>
      <x:c r="G209" s="11" t="n">
        <x:v>0.4</x:v>
      </x:c>
      <x:c r="H209" s="25" t="n">
        <x:v>0.5573885608332136</x:v>
      </x:c>
      <x:c r="I209" s="25" t="n">
        <x:v>0.5797724444370189</x:v>
      </x:c>
      <x:c r="J209" s="25" t="str"/>
      <x:c r="K209" s="11" t="n">
        <x:v>1.3316044776119391</x:v>
      </x:c>
      <x:c r="L209" s="11" t="n">
        <x:v>19</x:v>
      </x:c>
      <x:c r="M209" s="11" t="n">
        <x:v>1.1</x:v>
      </x:c>
      <x:c r="N209" s="11" t="n">
        <x:v>0.4</x:v>
      </x:c>
      <x:c r="O209" s="11" t="str"/>
      <x:c r="P209" s="11" t="str"/>
      <x:c r="Q209" s="11" t="str"/>
      <x:c r="R209" s="11" t="str">
        <x:v>fosun-H-native-normal-profit-v1.0</x:v>
      </x:c>
      <x:c r="S209" s="11" t="str">
        <x:v>2026-10-10</x:v>
      </x:c>
      <x:c r="T209" s="11" t="str">
        <x:f>IF(AND(SUM(IF(K209='假设'!E277,0,1),IF(L209='假设'!F277,0,1),IF(M209='假设'!G277,0,1),IF(N209='假设'!H277,0,1),IF(O209='假设'!I277,0,1),IF(P209='假设'!J277,0,1),IF(Q209='假设'!K277,0,1))=0,U209=V209),"已刷新","待刷新")</x:f>
        <x:v>已刷新</x:v>
      </x:c>
      <x:c r="U209" t="str">
        <x:v>34|3.9|8|0.1|0.9|22.1|0.35|9.65|4.9|5.1|1|0.22|2.3|0.1|0.1|0.15|0.19|0.7|2.68</x:v>
      </x:c>
      <x:c r="V209" t="str">
        <x:f>'复星经营假设'!D17&amp;"|"&amp;'复星经营假设'!E17&amp;"|"&amp;'复星经营假设'!F17&amp;"|"&amp;'复星经营假设'!G17&amp;"|"&amp;'复星经营假设'!H17&amp;"|"&amp;'复星经营假设'!I17&amp;"|"&amp;'复星经营假设'!J17&amp;"|"&amp;'复星经营假设'!K17&amp;"|"&amp;'复星经营假设'!L17&amp;"|"&amp;'复星经营假设'!M17&amp;"|"&amp;'复星经营假设'!N17&amp;"|"&amp;'复星经营假设'!O17&amp;"|"&amp;'复星经营假设'!P17&amp;"|"&amp;'复星经营假设'!Q17&amp;"|"&amp;'复星经营假设'!R17&amp;"|"&amp;'复星经营假设'!S17&amp;"|"&amp;'复星经营假设'!T17&amp;"|"&amp;'复星经营假设'!U17&amp;"|"&amp;'复星经营假设'!V17</x:f>
        <x:v>34|3.9|8|0.1|0.9|22.1|0.35|9.65|4.9|5.1|1|0.22|2.3|0.1|0.1|0.15|0.19|0.7|2.68</x:v>
      </x:c>
    </x:row>
    <x:row r="210" ht="23" customHeight="1">
      <x:c r="A210" s="11" t="str">
        <x:v>02196.HK</x:v>
      </x:c>
      <x:c r="B210" s="11" t="str">
        <x:v>复星医药</x:v>
      </x:c>
      <x:c r="C210" s="11" t="str">
        <x:v>一年</x:v>
      </x:c>
      <x:c r="D210" s="11" t="str">
        <x:v>乐观</x:v>
      </x:c>
      <x:c r="E210" s="11" t="n">
        <x:v>17.87</x:v>
      </x:c>
      <x:c r="F210" s="11" t="n">
        <x:v>45.10771641791046</x:v>
      </x:c>
      <x:c r="G210" s="11" t="n">
        <x:v>0.55</x:v>
      </x:c>
      <x:c r="H210" s="25" t="n">
        <x:v>1.524214684829908</x:v>
      </x:c>
      <x:c r="I210" s="25" t="n">
        <x:v>1.5549925247851402</x:v>
      </x:c>
      <x:c r="J210" s="25" t="str"/>
      <x:c r="K210" s="11" t="n">
        <x:v>1.8639552238805972</x:v>
      </x:c>
      <x:c r="L210" s="11" t="n">
        <x:v>22</x:v>
      </x:c>
      <x:c r="M210" s="11" t="n">
        <x:v>1.1</x:v>
      </x:c>
      <x:c r="N210" s="11" t="n">
        <x:v>0.55</x:v>
      </x:c>
      <x:c r="O210" s="11" t="str"/>
      <x:c r="P210" s="11" t="str"/>
      <x:c r="Q210" s="11" t="str"/>
      <x:c r="R210" s="11" t="str">
        <x:v>fosun-H-native-normal-profit-v1.0</x:v>
      </x:c>
      <x:c r="S210" s="11" t="str">
        <x:v>2026-10-10</x:v>
      </x:c>
      <x:c r="T210" s="11" t="str">
        <x:f>IF(AND(SUM(IF(K210='假设'!E278,0,1),IF(L210='假设'!F278,0,1),IF(M210='假设'!G278,0,1),IF(N210='假设'!H278,0,1),IF(O210='假设'!I278,0,1),IF(P210='假设'!J278,0,1),IF(Q210='假设'!K278,0,1))=0,U210=V210),"已刷新","待刷新")</x:f>
        <x:v>已刷新</x:v>
      </x:c>
      <x:c r="U210" t="str">
        <x:v>38|4.1|8.4|0.1|1.4|23.65|0.38|10.4|5.05|5.55|0.95|0.25|2.5|0.15|0.08|0.1|0.19|0.95|2.68</x:v>
      </x:c>
      <x:c r="V210" t="str">
        <x:f>'复星经营假设'!D18&amp;"|"&amp;'复星经营假设'!E18&amp;"|"&amp;'复星经营假设'!F18&amp;"|"&amp;'复星经营假设'!G18&amp;"|"&amp;'复星经营假设'!H18&amp;"|"&amp;'复星经营假设'!I18&amp;"|"&amp;'复星经营假设'!J18&amp;"|"&amp;'复星经营假设'!K18&amp;"|"&amp;'复星经营假设'!L18&amp;"|"&amp;'复星经营假设'!M18&amp;"|"&amp;'复星经营假设'!N18&amp;"|"&amp;'复星经营假设'!O18&amp;"|"&amp;'复星经营假设'!P18&amp;"|"&amp;'复星经营假设'!Q18&amp;"|"&amp;'复星经营假设'!R18&amp;"|"&amp;'复星经营假设'!S18&amp;"|"&amp;'复星经营假设'!T18&amp;"|"&amp;'复星经营假设'!U18&amp;"|"&amp;'复星经营假设'!V18</x:f>
        <x:v>38|4.1|8.4|0.1|1.4|23.65|0.38|10.4|5.05|5.55|0.95|0.25|2.5|0.15|0.08|0.1|0.19|0.95|2.68</x:v>
      </x:c>
    </x:row>
    <x:row r="211" ht="23" customHeight="1">
      <x:c r="A211" s="11" t="str">
        <x:v>02196.HK</x:v>
      </x:c>
      <x:c r="B211" s="11" t="str">
        <x:v>复星医药</x:v>
      </x:c>
      <x:c r="C211" s="11" t="str">
        <x:v>三年</x:v>
      </x:c>
      <x:c r="D211" s="11" t="str">
        <x:v>悲观</x:v>
      </x:c>
      <x:c r="E211" s="11" t="n">
        <x:v>17.87</x:v>
      </x:c>
      <x:c r="F211" s="11" t="n">
        <x:v>7.064084210526304</x:v>
      </x:c>
      <x:c r="G211" s="11" t="n">
        <x:v>0.55</x:v>
      </x:c>
      <x:c r="H211" s="25" t="n">
        <x:v>-0.6046959031602517</x:v>
      </x:c>
      <x:c r="I211" s="25" t="n">
        <x:v>-0.5739180632050194</x:v>
      </x:c>
      <x:c r="J211" s="25" t="n">
        <x:v>-0.24751524154152438</x:v>
      </x:c>
      <x:c r="K211" s="11" t="n">
        <x:v>0.5351578947368412</x:v>
      </x:c>
      <x:c r="L211" s="11" t="n">
        <x:v>12</x:v>
      </x:c>
      <x:c r="M211" s="11" t="n">
        <x:v>1.1</x:v>
      </x:c>
      <x:c r="N211" s="11" t="n">
        <x:v>0.55</x:v>
      </x:c>
      <x:c r="O211" s="11" t="str"/>
      <x:c r="P211" s="11" t="str"/>
      <x:c r="Q211" s="11" t="str"/>
      <x:c r="R211" s="11" t="str">
        <x:v>fosun-H-native-normal-profit-v1.0</x:v>
      </x:c>
      <x:c r="S211" s="11" t="str">
        <x:v>2026-10-10</x:v>
      </x:c>
      <x:c r="T211" s="11" t="str">
        <x:f>IF(AND(SUM(IF(K211='假设'!E280,0,1),IF(L211='假设'!F280,0,1),IF(M211='假设'!G280,0,1),IF(N211='假设'!H280,0,1),IF(O211='假设'!I280,0,1),IF(P211='假设'!J280,0,1),IF(Q211='假设'!K280,0,1))=0,U211=V211),"已刷新","待刷新")</x:f>
        <x:v>已刷新</x:v>
      </x:c>
      <x:c r="U211" t="str">
        <x:v>31.5|3.4|8.2|0.1|0.4|21.4|0.35|9.1|4.8|4.8|1.4|0.15|1.85|0.03|0.22|0.4|0.23|0.6|2.85</x:v>
      </x:c>
      <x:c r="V211" t="str">
        <x:f>'复星经营假设'!D20&amp;"|"&amp;'复星经营假设'!E20&amp;"|"&amp;'复星经营假设'!F20&amp;"|"&amp;'复星经营假设'!G20&amp;"|"&amp;'复星经营假设'!H20&amp;"|"&amp;'复星经营假设'!I20&amp;"|"&amp;'复星经营假设'!J20&amp;"|"&amp;'复星经营假设'!K20&amp;"|"&amp;'复星经营假设'!L20&amp;"|"&amp;'复星经营假设'!M20&amp;"|"&amp;'复星经营假设'!N20&amp;"|"&amp;'复星经营假设'!O20&amp;"|"&amp;'复星经营假设'!P20&amp;"|"&amp;'复星经营假设'!Q20&amp;"|"&amp;'复星经营假设'!R20&amp;"|"&amp;'复星经营假设'!S20&amp;"|"&amp;'复星经营假设'!T20&amp;"|"&amp;'复星经营假设'!U20&amp;"|"&amp;'复星经营假设'!V20</x:f>
        <x:v>31.5|3.4|8.2|0.1|0.4|21.4|0.35|9.1|4.8|4.8|1.4|0.15|1.85|0.03|0.22|0.4|0.23|0.6|2.85</x:v>
      </x:c>
    </x:row>
    <x:row r="212" ht="23" customHeight="1">
      <x:c r="A212" s="11" t="str">
        <x:v>02196.HK</x:v>
      </x:c>
      <x:c r="B212" s="11" t="str">
        <x:v>复星医药</x:v>
      </x:c>
      <x:c r="C212" s="11" t="str">
        <x:v>三年</x:v>
      </x:c>
      <x:c r="D212" s="11" t="str">
        <x:v>基准</x:v>
      </x:c>
      <x:c r="E212" s="11" t="n">
        <x:v>17.87</x:v>
      </x:c>
      <x:c r="F212" s="11" t="n">
        <x:v>41.25566176470589</x:v>
      </x:c>
      <x:c r="G212" s="11" t="n">
        <x:v>1.55</x:v>
      </x:c>
      <x:c r="H212" s="25" t="n">
        <x:v>1.3086548273478393</x:v>
      </x:c>
      <x:c r="I212" s="25" t="n">
        <x:v>1.3953923763125844</x:v>
      </x:c>
      <x:c r="J212" s="25" t="n">
        <x:v>0.3380085470694407</x:v>
      </x:c>
      <x:c r="K212" s="11" t="n">
        <x:v>1.8752573529411767</x:v>
      </x:c>
      <x:c r="L212" s="11" t="n">
        <x:v>20</x:v>
      </x:c>
      <x:c r="M212" s="11" t="n">
        <x:v>1.1</x:v>
      </x:c>
      <x:c r="N212" s="11" t="n">
        <x:v>1.55</x:v>
      </x:c>
      <x:c r="O212" s="11" t="str"/>
      <x:c r="P212" s="11" t="str"/>
      <x:c r="Q212" s="11" t="str"/>
      <x:c r="R212" s="11" t="str">
        <x:v>fosun-H-native-normal-profit-v1.0</x:v>
      </x:c>
      <x:c r="S212" s="11" t="str">
        <x:v>2026-10-10</x:v>
      </x:c>
      <x:c r="T212" s="11" t="str">
        <x:f>IF(AND(SUM(IF(K212='假设'!E281,0,1),IF(L212='假设'!F281,0,1),IF(M212='假设'!G281,0,1),IF(N212='假设'!H281,0,1),IF(O212='假设'!I281,0,1),IF(P212='假设'!J281,0,1),IF(Q212='假设'!K281,0,1))=0,U212=V212),"已刷新","待刷新")</x:f>
        <x:v>已刷新</x:v>
      </x:c>
      <x:c r="U212" t="str">
        <x:v>44.5|4.5|8.9|0.1|1.1|28|0.45|11.6|5.65|6.65|0.9|0.25|2.7|0.12|0.15|0.2|0.19|0.95|2.72</x:v>
      </x:c>
      <x:c r="V212" t="str">
        <x:f>'复星经营假设'!D21&amp;"|"&amp;'复星经营假设'!E21&amp;"|"&amp;'复星经营假设'!F21&amp;"|"&amp;'复星经营假设'!G21&amp;"|"&amp;'复星经营假设'!H21&amp;"|"&amp;'复星经营假设'!I21&amp;"|"&amp;'复星经营假设'!J21&amp;"|"&amp;'复星经营假设'!K21&amp;"|"&amp;'复星经营假设'!L21&amp;"|"&amp;'复星经营假设'!M21&amp;"|"&amp;'复星经营假设'!N21&amp;"|"&amp;'复星经营假设'!O21&amp;"|"&amp;'复星经营假设'!P21&amp;"|"&amp;'复星经营假设'!Q21&amp;"|"&amp;'复星经营假设'!R21&amp;"|"&amp;'复星经营假设'!S21&amp;"|"&amp;'复星经营假设'!T21&amp;"|"&amp;'复星经营假设'!U21&amp;"|"&amp;'复星经营假设'!V21</x:f>
        <x:v>44.5|4.5|8.9|0.1|1.1|28|0.45|11.6|5.65|6.65|0.9|0.25|2.7|0.12|0.15|0.2|0.19|0.95|2.72</x:v>
      </x:c>
    </x:row>
    <x:row r="213" ht="23" customHeight="1">
      <x:c r="A213" s="11" t="str">
        <x:v>02196.HK</x:v>
      </x:c>
      <x:c r="B213" s="11" t="str">
        <x:v>复星医药</x:v>
      </x:c>
      <x:c r="C213" s="11" t="str">
        <x:v>三年</x:v>
      </x:c>
      <x:c r="D213" s="11" t="str">
        <x:v>乐观</x:v>
      </x:c>
      <x:c r="E213" s="11" t="n">
        <x:v>17.87</x:v>
      </x:c>
      <x:c r="F213" s="11" t="n">
        <x:v>93.68117647058827</x:v>
      </x:c>
      <x:c r="G213" s="11" t="n">
        <x:v>2.2</x:v>
      </x:c>
      <x:c r="H213" s="25" t="n">
        <x:v>4.2423713749629695</x:v>
      </x:c>
      <x:c r="I213" s="25" t="n">
        <x:v>4.365482734783899</x:v>
      </x:c>
      <x:c r="J213" s="25" t="n">
        <x:v>0.7506645350807455</x:v>
      </x:c>
      <x:c r="K213" s="11" t="n">
        <x:v>3.548529411764706</x:v>
      </x:c>
      <x:c r="L213" s="11" t="n">
        <x:v>24</x:v>
      </x:c>
      <x:c r="M213" s="11" t="n">
        <x:v>1.1</x:v>
      </x:c>
      <x:c r="N213" s="11" t="n">
        <x:v>2.2</x:v>
      </x:c>
      <x:c r="O213" s="11" t="str"/>
      <x:c r="P213" s="11" t="str"/>
      <x:c r="Q213" s="11" t="str"/>
      <x:c r="R213" s="11" t="str">
        <x:v>fosun-H-native-normal-profit-v1.0</x:v>
      </x:c>
      <x:c r="S213" s="11" t="str">
        <x:v>2026-10-10</x:v>
      </x:c>
      <x:c r="T213" s="11" t="str">
        <x:f>IF(AND(SUM(IF(K213='假设'!E282,0,1),IF(L213='假设'!F282,0,1),IF(M213='假设'!G282,0,1),IF(N213='假设'!H282,0,1),IF(O213='假设'!I282,0,1),IF(P213='假设'!J282,0,1),IF(Q213='假设'!K282,0,1))=0,U213=V213),"已刷新","待刷新")</x:f>
        <x:v>已刷新</x:v>
      </x:c>
      <x:c r="U213" t="str">
        <x:v>55.5|5.5|10.4|0.1|1.7|32.3|0.52|13.3|6.1|8.2|0.75|0.3|3.1|0.18|0.13|0.18|0.18|1.5|2.72</x:v>
      </x:c>
      <x:c r="V213" t="str">
        <x:f>'复星经营假设'!D22&amp;"|"&amp;'复星经营假设'!E22&amp;"|"&amp;'复星经营假设'!F22&amp;"|"&amp;'复星经营假设'!G22&amp;"|"&amp;'复星经营假设'!H22&amp;"|"&amp;'复星经营假设'!I22&amp;"|"&amp;'复星经营假设'!J22&amp;"|"&amp;'复星经营假设'!K22&amp;"|"&amp;'复星经营假设'!L22&amp;"|"&amp;'复星经营假设'!M22&amp;"|"&amp;'复星经营假设'!N22&amp;"|"&amp;'复星经营假设'!O22&amp;"|"&amp;'复星经营假设'!P22&amp;"|"&amp;'复星经营假设'!Q22&amp;"|"&amp;'复星经营假设'!R22&amp;"|"&amp;'复星经营假设'!S22&amp;"|"&amp;'复星经营假设'!T22&amp;"|"&amp;'复星经营假设'!U22&amp;"|"&amp;'复星经营假设'!V22</x:f>
        <x:v>55.5|5.5|10.4|0.1|1.7|32.3|0.52|13.3|6.1|8.2|0.75|0.3|3.1|0.18|0.13|0.18|0.18|1.5|2.72</x:v>
      </x:c>
    </x:row>
    <x:row r="214" ht="23" customHeight="1">
      <x:c r="A214" s="11" t="str">
        <x:v>02196.HK</x:v>
      </x:c>
      <x:c r="B214" s="11" t="str">
        <x:v>复星医药</x:v>
      </x:c>
      <x:c r="C214" s="11" t="str">
        <x:v>五年</x:v>
      </x:c>
      <x:c r="D214" s="11" t="str">
        <x:v>悲观</x:v>
      </x:c>
      <x:c r="E214" s="11" t="n">
        <x:v>17.87</x:v>
      </x:c>
      <x:c r="F214" s="11" t="n">
        <x:v>6.462206666666665</x:v>
      </x:c>
      <x:c r="G214" s="11" t="n">
        <x:v>0.85</x:v>
      </x:c>
      <x:c r="H214" s="25" t="n">
        <x:v>-0.6383767953739975</x:v>
      </x:c>
      <x:c r="I214" s="25" t="n">
        <x:v>-0.5908110427159113</x:v>
      </x:c>
      <x:c r="J214" s="25" t="n">
        <x:v>-0.1636563169707601</x:v>
      </x:c>
      <x:c r="K214" s="11" t="n">
        <x:v>0.5340666666666665</x:v>
      </x:c>
      <x:c r="L214" s="11" t="n">
        <x:v>11</x:v>
      </x:c>
      <x:c r="M214" s="11" t="n">
        <x:v>1.1</x:v>
      </x:c>
      <x:c r="N214" s="11" t="n">
        <x:v>0.85</x:v>
      </x:c>
      <x:c r="O214" s="11" t="str"/>
      <x:c r="P214" s="11" t="str"/>
      <x:c r="Q214" s="11" t="str"/>
      <x:c r="R214" s="11" t="str">
        <x:v>fosun-H-native-normal-profit-v1.0</x:v>
      </x:c>
      <x:c r="S214" s="11" t="str">
        <x:v>2026-10-10</x:v>
      </x:c>
      <x:c r="T214" s="11" t="str">
        <x:f>IF(AND(SUM(IF(K214='假设'!E284,0,1),IF(L214='假设'!F284,0,1),IF(M214='假设'!G284,0,1),IF(N214='假设'!H284,0,1),IF(O214='假设'!I284,0,1),IF(P214='假设'!J284,0,1),IF(Q214='假设'!K284,0,1))=0,U214=V214),"已刷新","待刷新")</x:f>
        <x:v>已刷新</x:v>
      </x:c>
      <x:c r="U214" t="str">
        <x:v>33.5|3.4|8.5|0.1|0.35|22.5|0.37|9.6|5|5|1.45|0.15|1.8|0.03|0.25|0.45|0.23|0.6|3</x:v>
      </x:c>
      <x:c r="V214" t="str">
        <x:f>'复星经营假设'!D24&amp;"|"&amp;'复星经营假设'!E24&amp;"|"&amp;'复星经营假设'!F24&amp;"|"&amp;'复星经营假设'!G24&amp;"|"&amp;'复星经营假设'!H24&amp;"|"&amp;'复星经营假设'!I24&amp;"|"&amp;'复星经营假设'!J24&amp;"|"&amp;'复星经营假设'!K24&amp;"|"&amp;'复星经营假设'!L24&amp;"|"&amp;'复星经营假设'!M24&amp;"|"&amp;'复星经营假设'!N24&amp;"|"&amp;'复星经营假设'!O24&amp;"|"&amp;'复星经营假设'!P24&amp;"|"&amp;'复星经营假设'!Q24&amp;"|"&amp;'复星经营假设'!R24&amp;"|"&amp;'复星经营假设'!S24&amp;"|"&amp;'复星经营假设'!T24&amp;"|"&amp;'复星经营假设'!U24&amp;"|"&amp;'复星经营假设'!V24</x:f>
        <x:v>33.5|3.4|8.5|0.1|0.35|22.5|0.37|9.6|5|5|1.45|0.15|1.8|0.03|0.25|0.45|0.23|0.6|3</x:v>
      </x:c>
    </x:row>
    <x:row r="215" ht="23" customHeight="1">
      <x:c r="A215" s="11" t="str">
        <x:v>02196.HK</x:v>
      </x:c>
      <x:c r="B215" s="11" t="str">
        <x:v>复星医药</x:v>
      </x:c>
      <x:c r="C215" s="11" t="str">
        <x:v>五年</x:v>
      </x:c>
      <x:c r="D215" s="11" t="str">
        <x:v>基准</x:v>
      </x:c>
      <x:c r="E215" s="11" t="n">
        <x:v>17.87</x:v>
      </x:c>
      <x:c r="F215" s="11" t="n">
        <x:v>51.01988571428572</x:v>
      </x:c>
      <x:c r="G215" s="11" t="n">
        <x:v>3</x:v>
      </x:c>
      <x:c r="H215" s="25" t="n">
        <x:v>1.855057958270046</x:v>
      </x:c>
      <x:c r="I215" s="25" t="n">
        <x:v>2.0229370852985853</x:v>
      </x:c>
      <x:c r="J215" s="25" t="n">
        <x:v>0.24763003628534497</x:v>
      </x:c>
      <x:c r="K215" s="11" t="n">
        <x:v>2.4411428571428573</x:v>
      </x:c>
      <x:c r="L215" s="11" t="n">
        <x:v>19</x:v>
      </x:c>
      <x:c r="M215" s="11" t="n">
        <x:v>1.1</x:v>
      </x:c>
      <x:c r="N215" s="11" t="n">
        <x:v>3</x:v>
      </x:c>
      <x:c r="O215" s="11" t="str"/>
      <x:c r="P215" s="11" t="str"/>
      <x:c r="Q215" s="11" t="str"/>
      <x:c r="R215" s="11" t="str">
        <x:v>fosun-H-native-normal-profit-v1.0</x:v>
      </x:c>
      <x:c r="S215" s="11" t="str">
        <x:v>2026-10-10</x:v>
      </x:c>
      <x:c r="T215" s="11" t="str">
        <x:f>IF(AND(SUM(IF(K215='假设'!E285,0,1),IF(L215='假设'!F285,0,1),IF(M215='假设'!G285,0,1),IF(N215='假设'!H285,0,1),IF(O215='假设'!I285,0,1),IF(P215='假设'!J285,0,1),IF(Q215='假设'!K285,0,1))=0,U215=V215),"已刷新","待刷新")</x:f>
        <x:v>已刷新</x:v>
      </x:c>
      <x:c r="U215" t="str">
        <x:v>56.5|5.2|11.2|0.1|1.3|34.8|0.56|14.1|6.9|9|0.85|0.3|3.2|0.15|0.22|0.3|0.19|1.2|2.8</x:v>
      </x:c>
      <x:c r="V215" t="str">
        <x:f>'复星经营假设'!D25&amp;"|"&amp;'复星经营假设'!E25&amp;"|"&amp;'复星经营假设'!F25&amp;"|"&amp;'复星经营假设'!G25&amp;"|"&amp;'复星经营假设'!H25&amp;"|"&amp;'复星经营假设'!I25&amp;"|"&amp;'复星经营假设'!J25&amp;"|"&amp;'复星经营假设'!K25&amp;"|"&amp;'复星经营假设'!L25&amp;"|"&amp;'复星经营假设'!M25&amp;"|"&amp;'复星经营假设'!N25&amp;"|"&amp;'复星经营假设'!O25&amp;"|"&amp;'复星经营假设'!P25&amp;"|"&amp;'复星经营假设'!Q25&amp;"|"&amp;'复星经营假设'!R25&amp;"|"&amp;'复星经营假设'!S25&amp;"|"&amp;'复星经营假设'!T25&amp;"|"&amp;'复星经营假设'!U25&amp;"|"&amp;'复星经营假设'!V25</x:f>
        <x:v>56.5|5.2|11.2|0.1|1.3|34.8|0.56|14.1|6.9|9|0.85|0.3|3.2|0.15|0.22|0.3|0.19|1.2|2.8</x:v>
      </x:c>
    </x:row>
    <x:row r="216" ht="23" customHeight="1">
      <x:c r="A216" s="11" t="str">
        <x:v>02196.HK</x:v>
      </x:c>
      <x:c r="B216" s="11" t="str">
        <x:v>复星医药</x:v>
      </x:c>
      <x:c r="C216" s="11" t="str">
        <x:v>五年</x:v>
      </x:c>
      <x:c r="D216" s="11" t="str">
        <x:v>乐观</x:v>
      </x:c>
      <x:c r="E216" s="11" t="n">
        <x:v>17.87</x:v>
      </x:c>
      <x:c r="F216" s="11" t="n">
        <x:v>135.50860714285713</x:v>
      </x:c>
      <x:c r="G216" s="11" t="n">
        <x:v>4.5</x:v>
      </x:c>
      <x:c r="H216" s="25" t="n">
        <x:v>6.58302222399872</x:v>
      </x:c>
      <x:c r="I216" s="25" t="n">
        <x:v>6.8348409145415285</x:v>
      </x:c>
      <x:c r="J216" s="25" t="n">
        <x:v>0.5094058766480751</x:v>
      </x:c>
      <x:c r="K216" s="11" t="n">
        <x:v>5.356071428571427</x:v>
      </x:c>
      <x:c r="L216" s="11" t="n">
        <x:v>23</x:v>
      </x:c>
      <x:c r="M216" s="11" t="n">
        <x:v>1.1</x:v>
      </x:c>
      <x:c r="N216" s="11" t="n">
        <x:v>4.5</x:v>
      </x:c>
      <x:c r="O216" s="11" t="str"/>
      <x:c r="P216" s="11" t="str"/>
      <x:c r="Q216" s="11" t="str"/>
      <x:c r="R216" s="11" t="str">
        <x:v>fosun-H-native-normal-profit-v1.0</x:v>
      </x:c>
      <x:c r="S216" s="11" t="str">
        <x:v>2026-10-10</x:v>
      </x:c>
      <x:c r="T216" s="11" t="str">
        <x:f>IF(AND(SUM(IF(K216='假设'!E286,0,1),IF(L216='假设'!F286,0,1),IF(M216='假设'!G286,0,1),IF(N216='假设'!H286,0,1),IF(O216='假设'!I286,0,1),IF(P216='假设'!J286,0,1),IF(Q216='假设'!K286,0,1))=0,U216=V216),"已刷新","待刷新")</x:f>
        <x:v>已刷新</x:v>
      </x:c>
      <x:c r="U216" t="str">
        <x:v>76|7|13.9|0.1|2.2|43.6|0.7|16.8|7.5|10.9|0.6|0.4|3.8|0.2|0.2|0.25|0.18|2.1|2.8</x:v>
      </x:c>
      <x:c r="V216" t="str">
        <x:f>'复星经营假设'!D26&amp;"|"&amp;'复星经营假设'!E26&amp;"|"&amp;'复星经营假设'!F26&amp;"|"&amp;'复星经营假设'!G26&amp;"|"&amp;'复星经营假设'!H26&amp;"|"&amp;'复星经营假设'!I26&amp;"|"&amp;'复星经营假设'!J26&amp;"|"&amp;'复星经营假设'!K26&amp;"|"&amp;'复星经营假设'!L26&amp;"|"&amp;'复星经营假设'!M26&amp;"|"&amp;'复星经营假设'!N26&amp;"|"&amp;'复星经营假设'!O26&amp;"|"&amp;'复星经营假设'!P26&amp;"|"&amp;'复星经营假设'!Q26&amp;"|"&amp;'复星经营假设'!R26&amp;"|"&amp;'复星经营假设'!S26&amp;"|"&amp;'复星经营假设'!T26&amp;"|"&amp;'复星经营假设'!U26&amp;"|"&amp;'复星经营假设'!V26</x:f>
        <x:v>76|7|13.9|0.1|2.2|43.6|0.7|16.8|7.5|10.9|0.6|0.4|3.8|0.2|0.2|0.25|0.18|2.1|2.8</x:v>
      </x:c>
    </x:row>
    <x:row r="217" ht="23" customHeight="1">
      <x:c r="A217" s="11" t="str">
        <x:v>01548.HK</x:v>
      </x:c>
      <x:c r="B217" s="11" t="str">
        <x:v>金斯瑞生物科技</x:v>
      </x:c>
      <x:c r="C217" s="11" t="str">
        <x:v>2026年底</x:v>
      </x:c>
      <x:c r="D217" s="11" t="str">
        <x:v>悲观</x:v>
      </x:c>
      <x:c r="E217" s="11" t="n">
        <x:v>42.4</x:v>
      </x:c>
      <x:c r="F217" s="11" t="n">
        <x:v>9.212140796046072</x:v>
      </x:c>
      <x:c r="G217" s="11" t="n">
        <x:v>0</x:v>
      </x:c>
      <x:c r="H217" s="25" t="n">
        <x:v>-0.7827325283951398</x:v>
      </x:c>
      <x:c r="I217" s="25" t="n">
        <x:v>-0.7827325283951398</x:v>
      </x:c>
      <x:c r="J217" s="25" t="str"/>
      <x:c r="K217" s="11" t="str"/>
      <x:c r="L217" s="11" t="str"/>
      <x:c r="M217" s="11" t="n">
        <x:v>7.8</x:v>
      </x:c>
      <x:c r="N217" s="11" t="n">
        <x:v>0</x:v>
      </x:c>
      <x:c r="O217" s="11" t="str"/>
      <x:c r="P217" s="11" t="str"/>
      <x:c r="Q217" s="11" t="n">
        <x:v>2.34</x:v>
      </x:c>
      <x:c r="R217" s="11" t="str">
        <x:v>genscript-v1-transparent-SOTP-preferred-residual</x:v>
      </x:c>
      <x:c r="S217" s="11" t="str">
        <x:v>2026-10-10</x:v>
      </x:c>
      <x:c r="T217" s="11" t="str">
        <x:f>IF(AND(SUM(IF(K217='假设'!E288,0,1),IF(L217='假设'!F288,0,1),IF(M217='假设'!G288,0,1),IF(N217='假设'!H288,0,1),IF(O217='假设'!I288,0,1),IF(P217='假设'!J288,0,1),IF(Q217='假设'!K288,0,1))=0,U217=V217),"已刷新","待刷新")</x:f>
        <x:v>已刷新</x:v>
      </x:c>
      <x:c r="U217" t="str">
        <x:v>0.65|0.23|25|0.14|3|0.065|1.5|0.04|20|0.23|1.38|0.58|0.44|0.38|0.23|28|0.15|0.44|0.8|0|0.4|2.34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  <x:c r="V217" t="str">
        <x:f>'SOTP假设'!D8&amp;"|"&amp;'SOTP假设'!E8&amp;"|"&amp;'SOTP假设'!F8&amp;"|"&amp;'SOTP假设'!G8&amp;"|"&amp;'SOTP假设'!H8&amp;"|"&amp;'SOTP假设'!I8&amp;"|"&amp;'SOTP假设'!J8&amp;"|"&amp;'SOTP假设'!K8&amp;"|"&amp;'SOTP假设'!L8&amp;"|"&amp;'SOTP假设'!M8&amp;"|"&amp;'SOTP假设'!N8&amp;"|"&amp;'SOTP假设'!O8&amp;"|"&amp;'SOTP假设'!P8&amp;"|"&amp;'SOTP假设'!Q8&amp;"|"&amp;'SOTP假设'!R8&amp;"|"&amp;'SOTP假设'!S8&amp;"|"&amp;'SOTP假设'!T8&amp;"|"&amp;'SOTP假设'!U8&amp;"|"&amp;'SOTP假设'!V8&amp;"|"&amp;'SOTP假设'!W8&amp;"|"&amp;'SOTP假设'!X8&amp;"|"&amp;'SOTP假设'!Y8&amp;"|"&amp;'SOTP管线参数'!E8&amp;"|"&amp;'SOTP管线参数'!F8&amp;"|"&amp;'SOTP管线参数'!G8&amp;"|"&amp;'SOTP管线参数'!H8&amp;"|"&amp;'SOTP管线参数'!I8&amp;"|"&amp;'SOTP管线参数'!E12&amp;"|"&amp;'SOTP管线参数'!F12&amp;"|"&amp;'SOTP管线参数'!G12&amp;"|"&amp;'SOTP管线参数'!H12&amp;"|"&amp;'SOTP管线参数'!I12&amp;"|"&amp;'SOTP管线现金流'!G7&amp;"|"&amp;'SOTP管线现金流'!G8&amp;"|"&amp;'SOTP管线现金流'!G9&amp;"|"&amp;'SOTP管线现金流'!G10&amp;"|"&amp;'SOTP管线现金流'!G11&amp;"|"&amp;'SOTP管线现金流'!G12&amp;"|"&amp;'SOTP管线现金流'!G13&amp;"|"&amp;'SOTP管线现金流'!G14&amp;"|"&amp;'SOTP管线现金流'!G15&amp;"|"&amp;'SOTP管线现金流'!G16&amp;"|"&amp;'SOTP管线现金流'!G17&amp;"|"&amp;'SOTP管线现金流'!G18&amp;"|"&amp;'SOTP管线现金流'!G19&amp;"|"&amp;'SOTP管线现金流'!G20&amp;"|"&amp;'SOTP管线现金流'!G21&amp;"|"&amp;'SOTP管线现金流'!G22&amp;"|"&amp;'SOTP管线现金流'!G23&amp;"|"&amp;'SOTP管线现金流'!G24&amp;"|"&amp;'SOTP管线现金流'!G25&amp;"|"&amp;'SOTP管线现金流'!G26&amp;"|"&amp;'SOTP管线现金流'!G27&amp;"|"&amp;'SOTP管线现金流'!G28&amp;"|"&amp;'SOTP管线现金流'!G29&amp;"|"&amp;'SOTP管线现金流'!G30&amp;"|"&amp;'SOTP管线现金流'!G31&amp;"|"&amp;'SOTP管线现金流'!G32&amp;"|"&amp;'SOTP管线现金流'!G33&amp;"|"&amp;'SOTP管线现金流'!G34&amp;"|"&amp;'SOTP管线现金流'!G35&amp;"|"&amp;'SOTP管线现金流'!G36&amp;"|"&amp;'SOTP管线现金流'!G37</x:f>
        <x:v>0.65|0.23|25|0.14|3|0.065|1.5|0.04|20|0.23|1.38|0.58|0.44|0.38|0.23|28|0.15|0.44|0.8|0|0.4|2.34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</x:row>
    <x:row r="218" ht="23" customHeight="1">
      <x:c r="A218" s="11" t="str">
        <x:v>01548.HK</x:v>
      </x:c>
      <x:c r="B218" s="11" t="str">
        <x:v>金斯瑞生物科技</x:v>
      </x:c>
      <x:c r="C218" s="11" t="str">
        <x:v>2026年底</x:v>
      </x:c>
      <x:c r="D218" s="11" t="str">
        <x:v>基准</x:v>
      </x:c>
      <x:c r="E218" s="11" t="n">
        <x:v>42.4</x:v>
      </x:c>
      <x:c r="F218" s="11" t="n">
        <x:v>33.820189688815226</x:v>
      </x:c>
      <x:c r="G218" s="11" t="n">
        <x:v>0</x:v>
      </x:c>
      <x:c r="H218" s="25" t="n">
        <x:v>-0.20235401677322573</x:v>
      </x:c>
      <x:c r="I218" s="25" t="n">
        <x:v>-0.20235401677322573</x:v>
      </x:c>
      <x:c r="J218" s="25" t="str"/>
      <x:c r="K218" s="11" t="str"/>
      <x:c r="L218" s="11" t="str"/>
      <x:c r="M218" s="11" t="n">
        <x:v>7.8</x:v>
      </x:c>
      <x:c r="N218" s="11" t="n">
        <x:v>0</x:v>
      </x:c>
      <x:c r="O218" s="11" t="str"/>
      <x:c r="P218" s="11" t="str"/>
      <x:c r="Q218" s="11" t="n">
        <x:v>2.31</x:v>
      </x:c>
      <x:c r="R218" s="11" t="str">
        <x:v>genscript-v1-transparent-SOTP-preferred-residual</x:v>
      </x:c>
      <x:c r="S218" s="11" t="str">
        <x:v>2026-10-10</x:v>
      </x:c>
      <x:c r="T218" s="11" t="str">
        <x:f>IF(AND(SUM(IF(K218='假设'!E289,0,1),IF(L218='假设'!F289,0,1),IF(M218='假设'!G289,0,1),IF(N218='假设'!H289,0,1),IF(O218='假设'!I289,0,1),IF(P218='假设'!J289,0,1),IF(Q218='假设'!K289,0,1))=0,U218=V218),"已刷新","待刷新")</x:f>
        <x:v>已刷新</x:v>
      </x:c>
      <x:c r="U218" t="str">
        <x:v>0.8|0.29|34|0.18|5.5|0.075|2.5|0.035|22|0.18|1.65|0.61|0.43|0.37|0.2|40|0.45|0.445|0.92|0.1|0.365|2.31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  <x:c r="V218" t="str">
        <x:f>'SOTP假设'!D9&amp;"|"&amp;'SOTP假设'!E9&amp;"|"&amp;'SOTP假设'!F9&amp;"|"&amp;'SOTP假设'!G9&amp;"|"&amp;'SOTP假设'!H9&amp;"|"&amp;'SOTP假设'!I9&amp;"|"&amp;'SOTP假设'!J9&amp;"|"&amp;'SOTP假设'!K9&amp;"|"&amp;'SOTP假设'!L9&amp;"|"&amp;'SOTP假设'!M9&amp;"|"&amp;'SOTP假设'!N9&amp;"|"&amp;'SOTP假设'!O9&amp;"|"&amp;'SOTP假设'!P9&amp;"|"&amp;'SOTP假设'!Q9&amp;"|"&amp;'SOTP假设'!R9&amp;"|"&amp;'SOTP假设'!S9&amp;"|"&amp;'SOTP假设'!T9&amp;"|"&amp;'SOTP假设'!U9&amp;"|"&amp;'SOTP假设'!V9&amp;"|"&amp;'SOTP假设'!W9&amp;"|"&amp;'SOTP假设'!X9&amp;"|"&amp;'SOTP假设'!Y9&amp;"|"&amp;'SOTP管线参数'!E9&amp;"|"&amp;'SOTP管线参数'!F9&amp;"|"&amp;'SOTP管线参数'!G9&amp;"|"&amp;'SOTP管线参数'!H9&amp;"|"&amp;'SOTP管线参数'!I9&amp;"|"&amp;'SOTP管线参数'!E13&amp;"|"&amp;'SOTP管线参数'!F13&amp;"|"&amp;'SOTP管线参数'!G13&amp;"|"&amp;'SOTP管线参数'!H13&amp;"|"&amp;'SOTP管线参数'!I13&amp;"|"&amp;'SOTP管线现金流'!H7&amp;"|"&amp;'SOTP管线现金流'!H8&amp;"|"&amp;'SOTP管线现金流'!H9&amp;"|"&amp;'SOTP管线现金流'!H10&amp;"|"&amp;'SOTP管线现金流'!H11&amp;"|"&amp;'SOTP管线现金流'!H12&amp;"|"&amp;'SOTP管线现金流'!H13&amp;"|"&amp;'SOTP管线现金流'!H14&amp;"|"&amp;'SOTP管线现金流'!H15&amp;"|"&amp;'SOTP管线现金流'!H16&amp;"|"&amp;'SOTP管线现金流'!H17&amp;"|"&amp;'SOTP管线现金流'!H18&amp;"|"&amp;'SOTP管线现金流'!H19&amp;"|"&amp;'SOTP管线现金流'!H20&amp;"|"&amp;'SOTP管线现金流'!H21&amp;"|"&amp;'SOTP管线现金流'!H22&amp;"|"&amp;'SOTP管线现金流'!H23&amp;"|"&amp;'SOTP管线现金流'!H24&amp;"|"&amp;'SOTP管线现金流'!H25&amp;"|"&amp;'SOTP管线现金流'!H26&amp;"|"&amp;'SOTP管线现金流'!H27&amp;"|"&amp;'SOTP管线现金流'!H28&amp;"|"&amp;'SOTP管线现金流'!H29&amp;"|"&amp;'SOTP管线现金流'!H30&amp;"|"&amp;'SOTP管线现金流'!H31&amp;"|"&amp;'SOTP管线现金流'!H32&amp;"|"&amp;'SOTP管线现金流'!H33&amp;"|"&amp;'SOTP管线现金流'!H34&amp;"|"&amp;'SOTP管线现金流'!H35&amp;"|"&amp;'SOTP管线现金流'!H36&amp;"|"&amp;'SOTP管线现金流'!H37</x:f>
        <x:v>0.8|0.29|34|0.18|5.5|0.075|2.5|0.035|22|0.18|1.65|0.61|0.43|0.37|0.2|40|0.45|0.445|0.92|0.1|0.365|2.31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</x:row>
    <x:row r="219" ht="23" customHeight="1">
      <x:c r="A219" s="11" t="str">
        <x:v>01548.HK</x:v>
      </x:c>
      <x:c r="B219" s="11" t="str">
        <x:v>金斯瑞生物科技</x:v>
      </x:c>
      <x:c r="C219" s="11" t="str">
        <x:v>2026年底</x:v>
      </x:c>
      <x:c r="D219" s="11" t="str">
        <x:v>乐观</x:v>
      </x:c>
      <x:c r="E219" s="11" t="n">
        <x:v>42.4</x:v>
      </x:c>
      <x:c r="F219" s="11" t="n">
        <x:v>67.81099735839203</x:v>
      </x:c>
      <x:c r="G219" s="11" t="n">
        <x:v>0</x:v>
      </x:c>
      <x:c r="H219" s="25" t="n">
        <x:v>0.5993159754337742</x:v>
      </x:c>
      <x:c r="I219" s="25" t="n">
        <x:v>0.5993159754337742</x:v>
      </x:c>
      <x:c r="J219" s="25" t="str"/>
      <x:c r="K219" s="11" t="str"/>
      <x:c r="L219" s="11" t="str"/>
      <x:c r="M219" s="11" t="n">
        <x:v>7.8</x:v>
      </x:c>
      <x:c r="N219" s="11" t="n">
        <x:v>0</x:v>
      </x:c>
      <x:c r="O219" s="11" t="str"/>
      <x:c r="P219" s="11" t="str"/>
      <x:c r="Q219" s="11" t="n">
        <x:v>2.3</x:v>
      </x:c>
      <x:c r="R219" s="11" t="str">
        <x:v>genscript-v1-transparent-SOTP-preferred-residual</x:v>
      </x:c>
      <x:c r="S219" s="11" t="str">
        <x:v>2026-10-10</x:v>
      </x:c>
      <x:c r="T219" s="11" t="str">
        <x:f>IF(AND(SUM(IF(K219='假设'!E290,0,1),IF(L219='假设'!F290,0,1),IF(M219='假设'!G290,0,1),IF(N219='假设'!H290,0,1),IF(O219='假设'!I290,0,1),IF(P219='假设'!J290,0,1),IF(Q219='假设'!K290,0,1))=0,U219=V219),"已刷新","待刷新")</x:f>
        <x:v>已刷新</x:v>
      </x:c>
      <x:c r="U219" t="str">
        <x:v>0.95|0.32|40|0.23|8|0.09|3.5|0.035|24|0.15|1.95|0.64|0.46|0.39|0.18|48|0.65|0.4503|1|0.18|0.36|2.3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  <x:c r="V219" t="str">
        <x:f>'SOTP假设'!D10&amp;"|"&amp;'SOTP假设'!E10&amp;"|"&amp;'SOTP假设'!F10&amp;"|"&amp;'SOTP假设'!G10&amp;"|"&amp;'SOTP假设'!H10&amp;"|"&amp;'SOTP假设'!I10&amp;"|"&amp;'SOTP假设'!J10&amp;"|"&amp;'SOTP假设'!K10&amp;"|"&amp;'SOTP假设'!L10&amp;"|"&amp;'SOTP假设'!M10&amp;"|"&amp;'SOTP假设'!N10&amp;"|"&amp;'SOTP假设'!O10&amp;"|"&amp;'SOTP假设'!P10&amp;"|"&amp;'SOTP假设'!Q10&amp;"|"&amp;'SOTP假设'!R10&amp;"|"&amp;'SOTP假设'!S10&amp;"|"&amp;'SOTP假设'!T10&amp;"|"&amp;'SOTP假设'!U10&amp;"|"&amp;'SOTP假设'!V10&amp;"|"&amp;'SOTP假设'!W10&amp;"|"&amp;'SOTP假设'!X10&amp;"|"&amp;'SOTP假设'!Y10&amp;"|"&amp;'SOTP管线参数'!E10&amp;"|"&amp;'SOTP管线参数'!F10&amp;"|"&amp;'SOTP管线参数'!G10&amp;"|"&amp;'SOTP管线参数'!H10&amp;"|"&amp;'SOTP管线参数'!I10&amp;"|"&amp;'SOTP管线参数'!E14&amp;"|"&amp;'SOTP管线参数'!F14&amp;"|"&amp;'SOTP管线参数'!G14&amp;"|"&amp;'SOTP管线参数'!H14&amp;"|"&amp;'SOTP管线参数'!I14&amp;"|"&amp;'SOTP管线现金流'!I7&amp;"|"&amp;'SOTP管线现金流'!I8&amp;"|"&amp;'SOTP管线现金流'!I9&amp;"|"&amp;'SOTP管线现金流'!I10&amp;"|"&amp;'SOTP管线现金流'!I11&amp;"|"&amp;'SOTP管线现金流'!I12&amp;"|"&amp;'SOTP管线现金流'!I13&amp;"|"&amp;'SOTP管线现金流'!I14&amp;"|"&amp;'SOTP管线现金流'!I15&amp;"|"&amp;'SOTP管线现金流'!I16&amp;"|"&amp;'SOTP管线现金流'!I17&amp;"|"&amp;'SOTP管线现金流'!I18&amp;"|"&amp;'SOTP管线现金流'!I19&amp;"|"&amp;'SOTP管线现金流'!I20&amp;"|"&amp;'SOTP管线现金流'!I21&amp;"|"&amp;'SOTP管线现金流'!I22&amp;"|"&amp;'SOTP管线现金流'!I23&amp;"|"&amp;'SOTP管线现金流'!I24&amp;"|"&amp;'SOTP管线现金流'!I25&amp;"|"&amp;'SOTP管线现金流'!I26&amp;"|"&amp;'SOTP管线现金流'!I27&amp;"|"&amp;'SOTP管线现金流'!I28&amp;"|"&amp;'SOTP管线现金流'!I29&amp;"|"&amp;'SOTP管线现金流'!I30&amp;"|"&amp;'SOTP管线现金流'!I31&amp;"|"&amp;'SOTP管线现金流'!I32&amp;"|"&amp;'SOTP管线现金流'!I33&amp;"|"&amp;'SOTP管线现金流'!I34&amp;"|"&amp;'SOTP管线现金流'!I35&amp;"|"&amp;'SOTP管线现金流'!I36&amp;"|"&amp;'SOTP管线现金流'!I37</x:f>
        <x:v>0.95|0.32|40|0.23|8|0.09|3.5|0.035|24|0.15|1.95|0.64|0.46|0.39|0.18|48|0.65|0.4503|1|0.18|0.36|2.3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</x:row>
    <x:row r="220" ht="23" customHeight="1">
      <x:c r="A220" s="11" t="str">
        <x:v>01548.HK</x:v>
      </x:c>
      <x:c r="B220" s="11" t="str">
        <x:v>金斯瑞生物科技</x:v>
      </x:c>
      <x:c r="C220" s="11" t="str">
        <x:v>半年</x:v>
      </x:c>
      <x:c r="D220" s="11" t="str">
        <x:v>悲观</x:v>
      </x:c>
      <x:c r="E220" s="11" t="n">
        <x:v>42.4</x:v>
      </x:c>
      <x:c r="F220" s="11" t="n">
        <x:v>8.308360084033614</x:v>
      </x:c>
      <x:c r="G220" s="11" t="n">
        <x:v>0</x:v>
      </x:c>
      <x:c r="H220" s="25" t="n">
        <x:v>-0.8040481112256224</x:v>
      </x:c>
      <x:c r="I220" s="25" t="n">
        <x:v>-0.8040481112256224</x:v>
      </x:c>
      <x:c r="J220" s="25" t="str"/>
      <x:c r="K220" s="11" t="str"/>
      <x:c r="L220" s="11" t="str"/>
      <x:c r="M220" s="11" t="n">
        <x:v>7.8</x:v>
      </x:c>
      <x:c r="N220" s="11" t="n">
        <x:v>0</x:v>
      </x:c>
      <x:c r="O220" s="11" t="str"/>
      <x:c r="P220" s="11" t="str"/>
      <x:c r="Q220" s="11" t="n">
        <x:v>2.38</x:v>
      </x:c>
      <x:c r="R220" s="11" t="str">
        <x:v>genscript-v1-transparent-SOTP-preferred-residual</x:v>
      </x:c>
      <x:c r="S220" s="11" t="str">
        <x:v>2026-10-10</x:v>
      </x:c>
      <x:c r="T220" s="11" t="str">
        <x:f>IF(AND(SUM(IF(K220='假设'!E292,0,1),IF(L220='假设'!F292,0,1),IF(M220='假设'!G292,0,1),IF(N220='假设'!H292,0,1),IF(O220='假设'!I292,0,1),IF(P220='假设'!J292,0,1),IF(Q220='假设'!K292,0,1))=0,U220=V220),"已刷新","待刷新")</x:f>
        <x:v>已刷新</x:v>
      </x:c>
      <x:c r="U220" t="str">
        <x:v>0.65|0.23|24|0.14|3|0.065|1.5|0.042|20|0.23|1.35|0.57|0.45|0.39|0.23|26|0.08|0.435|0.8|-0.03|0.43|2.38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  <x:c r="V220" t="str">
        <x:f>'SOTP假设'!D12&amp;"|"&amp;'SOTP假设'!E12&amp;"|"&amp;'SOTP假设'!F12&amp;"|"&amp;'SOTP假设'!G12&amp;"|"&amp;'SOTP假设'!H12&amp;"|"&amp;'SOTP假设'!I12&amp;"|"&amp;'SOTP假设'!J12&amp;"|"&amp;'SOTP假设'!K12&amp;"|"&amp;'SOTP假设'!L12&amp;"|"&amp;'SOTP假设'!M12&amp;"|"&amp;'SOTP假设'!N12&amp;"|"&amp;'SOTP假设'!O12&amp;"|"&amp;'SOTP假设'!P12&amp;"|"&amp;'SOTP假设'!Q12&amp;"|"&amp;'SOTP假设'!R12&amp;"|"&amp;'SOTP假设'!S12&amp;"|"&amp;'SOTP假设'!T12&amp;"|"&amp;'SOTP假设'!U12&amp;"|"&amp;'SOTP假设'!V12&amp;"|"&amp;'SOTP假设'!W12&amp;"|"&amp;'SOTP假设'!X12&amp;"|"&amp;'SOTP假设'!Y12&amp;"|"&amp;'SOTP管线参数'!E16&amp;"|"&amp;'SOTP管线参数'!F16&amp;"|"&amp;'SOTP管线参数'!G16&amp;"|"&amp;'SOTP管线参数'!H16&amp;"|"&amp;'SOTP管线参数'!I16&amp;"|"&amp;'SOTP管线参数'!E20&amp;"|"&amp;'SOTP管线参数'!F20&amp;"|"&amp;'SOTP管线参数'!G20&amp;"|"&amp;'SOTP管线参数'!H20&amp;"|"&amp;'SOTP管线参数'!I20&amp;"|"&amp;'SOTP管线现金流'!G38&amp;"|"&amp;'SOTP管线现金流'!G39&amp;"|"&amp;'SOTP管线现金流'!G40&amp;"|"&amp;'SOTP管线现金流'!G41&amp;"|"&amp;'SOTP管线现金流'!G42&amp;"|"&amp;'SOTP管线现金流'!G43&amp;"|"&amp;'SOTP管线现金流'!G44&amp;"|"&amp;'SOTP管线现金流'!G45&amp;"|"&amp;'SOTP管线现金流'!G46&amp;"|"&amp;'SOTP管线现金流'!G47&amp;"|"&amp;'SOTP管线现金流'!G48&amp;"|"&amp;'SOTP管线现金流'!G49&amp;"|"&amp;'SOTP管线现金流'!G50&amp;"|"&amp;'SOTP管线现金流'!G51&amp;"|"&amp;'SOTP管线现金流'!G52&amp;"|"&amp;'SOTP管线现金流'!G53&amp;"|"&amp;'SOTP管线现金流'!G54&amp;"|"&amp;'SOTP管线现金流'!G55&amp;"|"&amp;'SOTP管线现金流'!G56&amp;"|"&amp;'SOTP管线现金流'!G57&amp;"|"&amp;'SOTP管线现金流'!G58&amp;"|"&amp;'SOTP管线现金流'!G59&amp;"|"&amp;'SOTP管线现金流'!G60&amp;"|"&amp;'SOTP管线现金流'!G61&amp;"|"&amp;'SOTP管线现金流'!G62&amp;"|"&amp;'SOTP管线现金流'!G63&amp;"|"&amp;'SOTP管线现金流'!G64&amp;"|"&amp;'SOTP管线现金流'!G65&amp;"|"&amp;'SOTP管线现金流'!G66&amp;"|"&amp;'SOTP管线现金流'!G67&amp;"|"&amp;'SOTP管线现金流'!G68</x:f>
        <x:v>0.65|0.23|24|0.14|3|0.065|1.5|0.042|20|0.23|1.35|0.57|0.45|0.39|0.23|26|0.08|0.435|0.8|-0.03|0.43|2.38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</x:row>
    <x:row r="221" ht="23" customHeight="1">
      <x:c r="A221" s="11" t="str">
        <x:v>01548.HK</x:v>
      </x:c>
      <x:c r="B221" s="11" t="str">
        <x:v>金斯瑞生物科技</x:v>
      </x:c>
      <x:c r="C221" s="11" t="str">
        <x:v>半年</x:v>
      </x:c>
      <x:c r="D221" s="11" t="str">
        <x:v>基准</x:v>
      </x:c>
      <x:c r="E221" s="11" t="n">
        <x:v>42.4</x:v>
      </x:c>
      <x:c r="F221" s="11" t="n">
        <x:v>38.71410722986074</x:v>
      </x:c>
      <x:c r="G221" s="11" t="n">
        <x:v>0</x:v>
      </x:c>
      <x:c r="H221" s="25" t="n">
        <x:v>-0.08693143325800146</x:v>
      </x:c>
      <x:c r="I221" s="25" t="n">
        <x:v>-0.08693143325800146</x:v>
      </x:c>
      <x:c r="J221" s="25" t="str"/>
      <x:c r="K221" s="11" t="str"/>
      <x:c r="L221" s="11" t="str"/>
      <x:c r="M221" s="11" t="n">
        <x:v>7.8</x:v>
      </x:c>
      <x:c r="N221" s="11" t="n">
        <x:v>0</x:v>
      </x:c>
      <x:c r="O221" s="11" t="str"/>
      <x:c r="P221" s="11" t="str"/>
      <x:c r="Q221" s="11" t="n">
        <x:v>2.34</x:v>
      </x:c>
      <x:c r="R221" s="11" t="str">
        <x:v>genscript-v1-transparent-SOTP-preferred-residual</x:v>
      </x:c>
      <x:c r="S221" s="11" t="str">
        <x:v>2026-10-10</x:v>
      </x:c>
      <x:c r="T221" s="11" t="str">
        <x:f>IF(AND(SUM(IF(K221='假设'!E293,0,1),IF(L221='假设'!F293,0,1),IF(M221='假设'!G293,0,1),IF(N221='假设'!H293,0,1),IF(O221='假设'!I293,0,1),IF(P221='假设'!J293,0,1),IF(Q221='假设'!K293,0,1))=0,U221=V221),"已刷新","待刷新")</x:f>
        <x:v>已刷新</x:v>
      </x:c>
      <x:c r="U221" t="str">
        <x:v>0.86|0.3|34|0.2|6|0.08|2.5|0.036|22|0.18|1.75|0.62|0.44|0.39|0.2|40|0.5|0.443|0.92|0.14|0.38|2.34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  <x:c r="V221" t="str">
        <x:f>'SOTP假设'!D13&amp;"|"&amp;'SOTP假设'!E13&amp;"|"&amp;'SOTP假设'!F13&amp;"|"&amp;'SOTP假设'!G13&amp;"|"&amp;'SOTP假设'!H13&amp;"|"&amp;'SOTP假设'!I13&amp;"|"&amp;'SOTP假设'!J13&amp;"|"&amp;'SOTP假设'!K13&amp;"|"&amp;'SOTP假设'!L13&amp;"|"&amp;'SOTP假设'!M13&amp;"|"&amp;'SOTP假设'!N13&amp;"|"&amp;'SOTP假设'!O13&amp;"|"&amp;'SOTP假设'!P13&amp;"|"&amp;'SOTP假设'!Q13&amp;"|"&amp;'SOTP假设'!R13&amp;"|"&amp;'SOTP假设'!S13&amp;"|"&amp;'SOTP假设'!T13&amp;"|"&amp;'SOTP假设'!U13&amp;"|"&amp;'SOTP假设'!V13&amp;"|"&amp;'SOTP假设'!W13&amp;"|"&amp;'SOTP假设'!X13&amp;"|"&amp;'SOTP假设'!Y13&amp;"|"&amp;'SOTP管线参数'!E17&amp;"|"&amp;'SOTP管线参数'!F17&amp;"|"&amp;'SOTP管线参数'!G17&amp;"|"&amp;'SOTP管线参数'!H17&amp;"|"&amp;'SOTP管线参数'!I17&amp;"|"&amp;'SOTP管线参数'!E21&amp;"|"&amp;'SOTP管线参数'!F21&amp;"|"&amp;'SOTP管线参数'!G21&amp;"|"&amp;'SOTP管线参数'!H21&amp;"|"&amp;'SOTP管线参数'!I21&amp;"|"&amp;'SOTP管线现金流'!H38&amp;"|"&amp;'SOTP管线现金流'!H39&amp;"|"&amp;'SOTP管线现金流'!H40&amp;"|"&amp;'SOTP管线现金流'!H41&amp;"|"&amp;'SOTP管线现金流'!H42&amp;"|"&amp;'SOTP管线现金流'!H43&amp;"|"&amp;'SOTP管线现金流'!H44&amp;"|"&amp;'SOTP管线现金流'!H45&amp;"|"&amp;'SOTP管线现金流'!H46&amp;"|"&amp;'SOTP管线现金流'!H47&amp;"|"&amp;'SOTP管线现金流'!H48&amp;"|"&amp;'SOTP管线现金流'!H49&amp;"|"&amp;'SOTP管线现金流'!H50&amp;"|"&amp;'SOTP管线现金流'!H51&amp;"|"&amp;'SOTP管线现金流'!H52&amp;"|"&amp;'SOTP管线现金流'!H53&amp;"|"&amp;'SOTP管线现金流'!H54&amp;"|"&amp;'SOTP管线现金流'!H55&amp;"|"&amp;'SOTP管线现金流'!H56&amp;"|"&amp;'SOTP管线现金流'!H57&amp;"|"&amp;'SOTP管线现金流'!H58&amp;"|"&amp;'SOTP管线现金流'!H59&amp;"|"&amp;'SOTP管线现金流'!H60&amp;"|"&amp;'SOTP管线现金流'!H61&amp;"|"&amp;'SOTP管线现金流'!H62&amp;"|"&amp;'SOTP管线现金流'!H63&amp;"|"&amp;'SOTP管线现金流'!H64&amp;"|"&amp;'SOTP管线现金流'!H65&amp;"|"&amp;'SOTP管线现金流'!H66&amp;"|"&amp;'SOTP管线现金流'!H67&amp;"|"&amp;'SOTP管线现金流'!H68</x:f>
        <x:v>0.86|0.3|34|0.2|6|0.08|2.5|0.036|22|0.18|1.75|0.62|0.44|0.39|0.2|40|0.5|0.443|0.92|0.14|0.38|2.34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</x:row>
    <x:row r="222" ht="23" customHeight="1">
      <x:c r="A222" s="11" t="str">
        <x:v>01548.HK</x:v>
      </x:c>
      <x:c r="B222" s="11" t="str">
        <x:v>金斯瑞生物科技</x:v>
      </x:c>
      <x:c r="C222" s="11" t="str">
        <x:v>半年</x:v>
      </x:c>
      <x:c r="D222" s="11" t="str">
        <x:v>乐观</x:v>
      </x:c>
      <x:c r="E222" s="11" t="n">
        <x:v>42.4</x:v>
      </x:c>
      <x:c r="F222" s="11" t="n">
        <x:v>77.3942674435027</x:v>
      </x:c>
      <x:c r="G222" s="11" t="n">
        <x:v>0</x:v>
      </x:c>
      <x:c r="H222" s="25" t="n">
        <x:v>0.825336496309026</x:v>
      </x:c>
      <x:c r="I222" s="25" t="n">
        <x:v>0.825336496309026</x:v>
      </x:c>
      <x:c r="J222" s="25" t="str"/>
      <x:c r="K222" s="11" t="str"/>
      <x:c r="L222" s="11" t="str"/>
      <x:c r="M222" s="11" t="n">
        <x:v>7.8</x:v>
      </x:c>
      <x:c r="N222" s="11" t="n">
        <x:v>0</x:v>
      </x:c>
      <x:c r="O222" s="11" t="str"/>
      <x:c r="P222" s="11" t="str"/>
      <x:c r="Q222" s="11" t="n">
        <x:v>2.31</x:v>
      </x:c>
      <x:c r="R222" s="11" t="str">
        <x:v>genscript-v1-transparent-SOTP-preferred-residual</x:v>
      </x:c>
      <x:c r="S222" s="11" t="str">
        <x:v>2026-10-10</x:v>
      </x:c>
      <x:c r="T222" s="11" t="str">
        <x:f>IF(AND(SUM(IF(K222='假设'!E294,0,1),IF(L222='假设'!F294,0,1),IF(M222='假设'!G294,0,1),IF(N222='假设'!H294,0,1),IF(O222='假设'!I294,0,1),IF(P222='假设'!J294,0,1),IF(Q222='假设'!K294,0,1))=0,U222=V222),"已刷新","待刷新")</x:f>
        <x:v>已刷新</x:v>
      </x:c>
      <x:c r="U222" t="str">
        <x:v>1.03|0.33|40|0.26|8|0.1|3.5|0.037|24|0.15|2.1|0.65|0.48|0.41|0.18|48|0.75|0.449|1|0.24|0.36|2.31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  <x:c r="V222" t="str">
        <x:f>'SOTP假设'!D14&amp;"|"&amp;'SOTP假设'!E14&amp;"|"&amp;'SOTP假设'!F14&amp;"|"&amp;'SOTP假设'!G14&amp;"|"&amp;'SOTP假设'!H14&amp;"|"&amp;'SOTP假设'!I14&amp;"|"&amp;'SOTP假设'!J14&amp;"|"&amp;'SOTP假设'!K14&amp;"|"&amp;'SOTP假设'!L14&amp;"|"&amp;'SOTP假设'!M14&amp;"|"&amp;'SOTP假设'!N14&amp;"|"&amp;'SOTP假设'!O14&amp;"|"&amp;'SOTP假设'!P14&amp;"|"&amp;'SOTP假设'!Q14&amp;"|"&amp;'SOTP假设'!R14&amp;"|"&amp;'SOTP假设'!S14&amp;"|"&amp;'SOTP假设'!T14&amp;"|"&amp;'SOTP假设'!U14&amp;"|"&amp;'SOTP假设'!V14&amp;"|"&amp;'SOTP假设'!W14&amp;"|"&amp;'SOTP假设'!X14&amp;"|"&amp;'SOTP假设'!Y14&amp;"|"&amp;'SOTP管线参数'!E18&amp;"|"&amp;'SOTP管线参数'!F18&amp;"|"&amp;'SOTP管线参数'!G18&amp;"|"&amp;'SOTP管线参数'!H18&amp;"|"&amp;'SOTP管线参数'!I18&amp;"|"&amp;'SOTP管线参数'!E22&amp;"|"&amp;'SOTP管线参数'!F22&amp;"|"&amp;'SOTP管线参数'!G22&amp;"|"&amp;'SOTP管线参数'!H22&amp;"|"&amp;'SOTP管线参数'!I22&amp;"|"&amp;'SOTP管线现金流'!I38&amp;"|"&amp;'SOTP管线现金流'!I39&amp;"|"&amp;'SOTP管线现金流'!I40&amp;"|"&amp;'SOTP管线现金流'!I41&amp;"|"&amp;'SOTP管线现金流'!I42&amp;"|"&amp;'SOTP管线现金流'!I43&amp;"|"&amp;'SOTP管线现金流'!I44&amp;"|"&amp;'SOTP管线现金流'!I45&amp;"|"&amp;'SOTP管线现金流'!I46&amp;"|"&amp;'SOTP管线现金流'!I47&amp;"|"&amp;'SOTP管线现金流'!I48&amp;"|"&amp;'SOTP管线现金流'!I49&amp;"|"&amp;'SOTP管线现金流'!I50&amp;"|"&amp;'SOTP管线现金流'!I51&amp;"|"&amp;'SOTP管线现金流'!I52&amp;"|"&amp;'SOTP管线现金流'!I53&amp;"|"&amp;'SOTP管线现金流'!I54&amp;"|"&amp;'SOTP管线现金流'!I55&amp;"|"&amp;'SOTP管线现金流'!I56&amp;"|"&amp;'SOTP管线现金流'!I57&amp;"|"&amp;'SOTP管线现金流'!I58&amp;"|"&amp;'SOTP管线现金流'!I59&amp;"|"&amp;'SOTP管线现金流'!I60&amp;"|"&amp;'SOTP管线现金流'!I61&amp;"|"&amp;'SOTP管线现金流'!I62&amp;"|"&amp;'SOTP管线现金流'!I63&amp;"|"&amp;'SOTP管线现金流'!I64&amp;"|"&amp;'SOTP管线现金流'!I65&amp;"|"&amp;'SOTP管线现金流'!I66&amp;"|"&amp;'SOTP管线现金流'!I67&amp;"|"&amp;'SOTP管线现金流'!I68</x:f>
        <x:v>1.03|0.33|40|0.26|8|0.1|3.5|0.037|24|0.15|2.1|0.65|0.48|0.41|0.18|48|0.75|0.449|1|0.24|0.36|2.31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</x:row>
    <x:row r="223" ht="23" customHeight="1">
      <x:c r="A223" s="11" t="str">
        <x:v>01548.HK</x:v>
      </x:c>
      <x:c r="B223" s="11" t="str">
        <x:v>金斯瑞生物科技</x:v>
      </x:c>
      <x:c r="C223" s="11" t="str">
        <x:v>一年</x:v>
      </x:c>
      <x:c r="D223" s="11" t="str">
        <x:v>悲观</x:v>
      </x:c>
      <x:c r="E223" s="11" t="n">
        <x:v>42.4</x:v>
      </x:c>
      <x:c r="F223" s="11" t="n">
        <x:v>8.33722024390244</x:v>
      </x:c>
      <x:c r="G223" s="11" t="n">
        <x:v>0</x:v>
      </x:c>
      <x:c r="H223" s="25" t="n">
        <x:v>-0.8033674470777726</x:v>
      </x:c>
      <x:c r="I223" s="25" t="n">
        <x:v>-0.8033674470777726</x:v>
      </x:c>
      <x:c r="J223" s="25" t="str"/>
      <x:c r="K223" s="11" t="str"/>
      <x:c r="L223" s="11" t="str"/>
      <x:c r="M223" s="11" t="n">
        <x:v>7.8</x:v>
      </x:c>
      <x:c r="N223" s="11" t="n">
        <x:v>0</x:v>
      </x:c>
      <x:c r="O223" s="11" t="str"/>
      <x:c r="P223" s="11" t="str"/>
      <x:c r="Q223" s="11" t="n">
        <x:v>2.46</x:v>
      </x:c>
      <x:c r="R223" s="11" t="str">
        <x:v>genscript-v1-transparent-SOTP-preferred-residual</x:v>
      </x:c>
      <x:c r="S223" s="11" t="str">
        <x:v>2026-10-10</x:v>
      </x:c>
      <x:c r="T223" s="11" t="str">
        <x:f>IF(AND(SUM(IF(K223='假设'!E296,0,1),IF(L223='假设'!F296,0,1),IF(M223='假设'!G296,0,1),IF(N223='假设'!H296,0,1),IF(O223='假设'!I296,0,1),IF(P223='假设'!J296,0,1),IF(Q223='假设'!K296,0,1))=0,U223=V223),"已刷新","待刷新")</x:f>
        <x:v>已刷新</x:v>
      </x:c>
      <x:c r="U223" t="str">
        <x:v>0.72|0.23|23|0.16|3|0.07|1.4|0.045|20|0.23|1.5|0.58|0.49|0.43|0.23|24|0.02|0.42|0.78|-0.08|0.47|2.46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  <x:c r="V223" t="str">
        <x:f>'SOTP假设'!D16&amp;"|"&amp;'SOTP假设'!E16&amp;"|"&amp;'SOTP假设'!F16&amp;"|"&amp;'SOTP假设'!G16&amp;"|"&amp;'SOTP假设'!H16&amp;"|"&amp;'SOTP假设'!I16&amp;"|"&amp;'SOTP假设'!J16&amp;"|"&amp;'SOTP假设'!K16&amp;"|"&amp;'SOTP假设'!L16&amp;"|"&amp;'SOTP假设'!M16&amp;"|"&amp;'SOTP假设'!N16&amp;"|"&amp;'SOTP假设'!O16&amp;"|"&amp;'SOTP假设'!P16&amp;"|"&amp;'SOTP假设'!Q16&amp;"|"&amp;'SOTP假设'!R16&amp;"|"&amp;'SOTP假设'!S16&amp;"|"&amp;'SOTP假设'!T16&amp;"|"&amp;'SOTP假设'!U16&amp;"|"&amp;'SOTP假设'!V16&amp;"|"&amp;'SOTP假设'!W16&amp;"|"&amp;'SOTP假设'!X16&amp;"|"&amp;'SOTP假设'!Y16&amp;"|"&amp;'SOTP管线参数'!E24&amp;"|"&amp;'SOTP管线参数'!F24&amp;"|"&amp;'SOTP管线参数'!G24&amp;"|"&amp;'SOTP管线参数'!H24&amp;"|"&amp;'SOTP管线参数'!I24&amp;"|"&amp;'SOTP管线参数'!E28&amp;"|"&amp;'SOTP管线参数'!F28&amp;"|"&amp;'SOTP管线参数'!G28&amp;"|"&amp;'SOTP管线参数'!H28&amp;"|"&amp;'SOTP管线参数'!I28&amp;"|"&amp;'SOTP管线现金流'!G69&amp;"|"&amp;'SOTP管线现金流'!G70&amp;"|"&amp;'SOTP管线现金流'!G71&amp;"|"&amp;'SOTP管线现金流'!G72&amp;"|"&amp;'SOTP管线现金流'!G73&amp;"|"&amp;'SOTP管线现金流'!G74&amp;"|"&amp;'SOTP管线现金流'!G75&amp;"|"&amp;'SOTP管线现金流'!G76&amp;"|"&amp;'SOTP管线现金流'!G77&amp;"|"&amp;'SOTP管线现金流'!G78&amp;"|"&amp;'SOTP管线现金流'!G79&amp;"|"&amp;'SOTP管线现金流'!G80&amp;"|"&amp;'SOTP管线现金流'!G81&amp;"|"&amp;'SOTP管线现金流'!G82&amp;"|"&amp;'SOTP管线现金流'!G83&amp;"|"&amp;'SOTP管线现金流'!G84&amp;"|"&amp;'SOTP管线现金流'!G85&amp;"|"&amp;'SOTP管线现金流'!G86&amp;"|"&amp;'SOTP管线现金流'!G87&amp;"|"&amp;'SOTP管线现金流'!G88&amp;"|"&amp;'SOTP管线现金流'!G89&amp;"|"&amp;'SOTP管线现金流'!G90&amp;"|"&amp;'SOTP管线现金流'!G91&amp;"|"&amp;'SOTP管线现金流'!G92&amp;"|"&amp;'SOTP管线现金流'!G93&amp;"|"&amp;'SOTP管线现金流'!G94&amp;"|"&amp;'SOTP管线现金流'!G95&amp;"|"&amp;'SOTP管线现金流'!G96&amp;"|"&amp;'SOTP管线现金流'!G97&amp;"|"&amp;'SOTP管线现金流'!G98&amp;"|"&amp;'SOTP管线现金流'!G99</x:f>
        <x:v>0.72|0.23|23|0.16|3|0.07|1.4|0.045|20|0.23|1.5|0.58|0.49|0.43|0.23|24|0.02|0.42|0.78|-0.08|0.47|2.46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</x:row>
    <x:row r="224" ht="23" customHeight="1">
      <x:c r="A224" s="11" t="str">
        <x:v>01548.HK</x:v>
      </x:c>
      <x:c r="B224" s="11" t="str">
        <x:v>金斯瑞生物科技</x:v>
      </x:c>
      <x:c r="C224" s="11" t="str">
        <x:v>一年</x:v>
      </x:c>
      <x:c r="D224" s="11" t="str">
        <x:v>基准</x:v>
      </x:c>
      <x:c r="E224" s="11" t="n">
        <x:v>42.4</x:v>
      </x:c>
      <x:c r="F224" s="11" t="n">
        <x:v>48.02616980410601</x:v>
      </x:c>
      <x:c r="G224" s="11" t="n">
        <x:v>0</x:v>
      </x:c>
      <x:c r="H224" s="25" t="n">
        <x:v>0.13269268405910406</x:v>
      </x:c>
      <x:c r="I224" s="25" t="n">
        <x:v>0.13269268405910406</x:v>
      </x:c>
      <x:c r="J224" s="25" t="str"/>
      <x:c r="K224" s="11" t="str"/>
      <x:c r="L224" s="11" t="str"/>
      <x:c r="M224" s="11" t="n">
        <x:v>7.8</x:v>
      </x:c>
      <x:c r="N224" s="11" t="n">
        <x:v>0</x:v>
      </x:c>
      <x:c r="O224" s="11" t="str"/>
      <x:c r="P224" s="11" t="str"/>
      <x:c r="Q224" s="11" t="n">
        <x:v>2.4</x:v>
      </x:c>
      <x:c r="R224" s="11" t="str">
        <x:v>genscript-v1-transparent-SOTP-preferred-residual</x:v>
      </x:c>
      <x:c r="S224" s="11" t="str">
        <x:v>2026-10-10</x:v>
      </x:c>
      <x:c r="T224" s="11" t="str">
        <x:f>IF(AND(SUM(IF(K224='假设'!E297,0,1),IF(L224='假设'!F297,0,1),IF(M224='假设'!G297,0,1),IF(N224='假设'!H297,0,1),IF(O224='假设'!I297,0,1),IF(P224='假设'!J297,0,1),IF(Q224='假设'!K297,0,1))=0,U224=V224),"已刷新","待刷新")</x:f>
        <x:v>待刷新</x:v>
      </x:c>
      <x:c r="U224" t="str">
        <x:v>1.07|0.31|32|0.27|6|0.095|2.4|0.045|21|0.18|2.18|0.64|0.55|0.46|0.2|36|0.75|0.437|0.92|0.25|0.4|2.4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  <x:c r="V224" t="str">
        <x:f>'SOTP假设'!D17&amp;"|"&amp;'SOTP假设'!E17&amp;"|"&amp;'SOTP假设'!F17&amp;"|"&amp;'SOTP假设'!G17&amp;"|"&amp;'SOTP假设'!H17&amp;"|"&amp;'SOTP假设'!I17&amp;"|"&amp;'SOTP假设'!J17&amp;"|"&amp;'SOTP假设'!K17&amp;"|"&amp;'SOTP假设'!L17&amp;"|"&amp;'SOTP假设'!M17&amp;"|"&amp;'SOTP假设'!N17&amp;"|"&amp;'SOTP假设'!O17&amp;"|"&amp;'SOTP假设'!P17&amp;"|"&amp;'SOTP假设'!Q17&amp;"|"&amp;'SOTP假设'!R17&amp;"|"&amp;'SOTP假设'!S17&amp;"|"&amp;'SOTP假设'!T17&amp;"|"&amp;'SOTP假设'!U17&amp;"|"&amp;'SOTP假设'!V17&amp;"|"&amp;'SOTP假设'!W17&amp;"|"&amp;'SOTP假设'!X17&amp;"|"&amp;'SOTP假设'!Y17&amp;"|"&amp;'SOTP管线参数'!E25&amp;"|"&amp;'SOTP管线参数'!F25&amp;"|"&amp;'SOTP管线参数'!G25&amp;"|"&amp;'SOTP管线参数'!H25&amp;"|"&amp;'SOTP管线参数'!I25&amp;"|"&amp;'SOTP管线参数'!E29&amp;"|"&amp;'SOTP管线参数'!F29&amp;"|"&amp;'SOTP管线参数'!G29&amp;"|"&amp;'SOTP管线参数'!H29&amp;"|"&amp;'SOTP管线参数'!I29&amp;"|"&amp;'SOTP管线现金流'!H69&amp;"|"&amp;'SOTP管线现金流'!H70&amp;"|"&amp;'SOTP管线现金流'!H71&amp;"|"&amp;'SOTP管线现金流'!H72&amp;"|"&amp;'SOTP管线现金流'!H73&amp;"|"&amp;'SOTP管线现金流'!H74&amp;"|"&amp;'SOTP管线现金流'!H75&amp;"|"&amp;'SOTP管线现金流'!H76&amp;"|"&amp;'SOTP管线现金流'!H77&amp;"|"&amp;'SOTP管线现金流'!H78&amp;"|"&amp;'SOTP管线现金流'!H79&amp;"|"&amp;'SOTP管线现金流'!H80&amp;"|"&amp;'SOTP管线现金流'!H81&amp;"|"&amp;'SOTP管线现金流'!H82&amp;"|"&amp;'SOTP管线现金流'!H83&amp;"|"&amp;'SOTP管线现金流'!H84&amp;"|"&amp;'SOTP管线现金流'!H85&amp;"|"&amp;'SOTP管线现金流'!H86&amp;"|"&amp;'SOTP管线现金流'!H87&amp;"|"&amp;'SOTP管线现金流'!H88&amp;"|"&amp;'SOTP管线现金流'!H89&amp;"|"&amp;'SOTP管线现金流'!H90&amp;"|"&amp;'SOTP管线现金流'!H91&amp;"|"&amp;'SOTP管线现金流'!H92&amp;"|"&amp;'SOTP管线现金流'!H93&amp;"|"&amp;'SOTP管线现金流'!H94&amp;"|"&amp;'SOTP管线现金流'!H95&amp;"|"&amp;'SOTP管线现金流'!H96&amp;"|"&amp;'SOTP管线现金流'!H97&amp;"|"&amp;'SOTP管线现金流'!H98&amp;"|"&amp;'SOTP管线现金流'!H99</x:f>
        <x:v>2.0700000000000003|0.31|32|0.27|6|0.095|2.4|0.045|21|0.18|2.18|0.64|0.55|0.46|0.2|36|0.75|0.437|0.92|0.25|0.4|2.4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</x:row>
    <x:row r="225" ht="23" customHeight="1">
      <x:c r="A225" s="11" t="str">
        <x:v>01548.HK</x:v>
      </x:c>
      <x:c r="B225" s="11" t="str">
        <x:v>金斯瑞生物科技</x:v>
      </x:c>
      <x:c r="C225" s="11" t="str">
        <x:v>一年</x:v>
      </x:c>
      <x:c r="D225" s="11" t="str">
        <x:v>乐观</x:v>
      </x:c>
      <x:c r="E225" s="11" t="n">
        <x:v>42.4</x:v>
      </x:c>
      <x:c r="F225" s="11" t="n">
        <x:v>99.54471642370319</x:v>
      </x:c>
      <x:c r="G225" s="11" t="n">
        <x:v>0</x:v>
      </x:c>
      <x:c r="H225" s="25" t="n">
        <x:v>1.3477527458420564</x:v>
      </x:c>
      <x:c r="I225" s="25" t="n">
        <x:v>1.3477527458420564</x:v>
      </x:c>
      <x:c r="J225" s="25" t="str"/>
      <x:c r="K225" s="11" t="str"/>
      <x:c r="L225" s="11" t="str"/>
      <x:c r="M225" s="11" t="n">
        <x:v>7.8</x:v>
      </x:c>
      <x:c r="N225" s="11" t="n">
        <x:v>0</x:v>
      </x:c>
      <x:c r="O225" s="11" t="str"/>
      <x:c r="P225" s="11" t="str"/>
      <x:c r="Q225" s="11" t="n">
        <x:v>2.34</x:v>
      </x:c>
      <x:c r="R225" s="11" t="str">
        <x:v>genscript-v1-transparent-SOTP-preferred-residual</x:v>
      </x:c>
      <x:c r="S225" s="11" t="str">
        <x:v>2026-10-10</x:v>
      </x:c>
      <x:c r="T225" s="11" t="str">
        <x:f>IF(AND(SUM(IF(K225='假设'!E298,0,1),IF(L225='假设'!F298,0,1),IF(M225='假设'!G298,0,1),IF(N225='假设'!H298,0,1),IF(O225='假设'!I298,0,1),IF(P225='假设'!J298,0,1),IF(Q225='假设'!K298,0,1))=0,U225=V225),"已刷新","待刷新")</x:f>
        <x:v>已刷新</x:v>
      </x:c>
      <x:c r="U225" t="str">
        <x:v>1.35|0.34|39|0.37|8|0.12|3.4|0.047|23|0.15|2.65|0.66|0.6|0.5|0.18|44|1.2|0.445|1|0.5|0.38|2.34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  <x:c r="V225" t="str">
        <x:f>'SOTP假设'!D18&amp;"|"&amp;'SOTP假设'!E18&amp;"|"&amp;'SOTP假设'!F18&amp;"|"&amp;'SOTP假设'!G18&amp;"|"&amp;'SOTP假设'!H18&amp;"|"&amp;'SOTP假设'!I18&amp;"|"&amp;'SOTP假设'!J18&amp;"|"&amp;'SOTP假设'!K18&amp;"|"&amp;'SOTP假设'!L18&amp;"|"&amp;'SOTP假设'!M18&amp;"|"&amp;'SOTP假设'!N18&amp;"|"&amp;'SOTP假设'!O18&amp;"|"&amp;'SOTP假设'!P18&amp;"|"&amp;'SOTP假设'!Q18&amp;"|"&amp;'SOTP假设'!R18&amp;"|"&amp;'SOTP假设'!S18&amp;"|"&amp;'SOTP假设'!T18&amp;"|"&amp;'SOTP假设'!U18&amp;"|"&amp;'SOTP假设'!V18&amp;"|"&amp;'SOTP假设'!W18&amp;"|"&amp;'SOTP假设'!X18&amp;"|"&amp;'SOTP假设'!Y18&amp;"|"&amp;'SOTP管线参数'!E26&amp;"|"&amp;'SOTP管线参数'!F26&amp;"|"&amp;'SOTP管线参数'!G26&amp;"|"&amp;'SOTP管线参数'!H26&amp;"|"&amp;'SOTP管线参数'!I26&amp;"|"&amp;'SOTP管线参数'!E30&amp;"|"&amp;'SOTP管线参数'!F30&amp;"|"&amp;'SOTP管线参数'!G30&amp;"|"&amp;'SOTP管线参数'!H30&amp;"|"&amp;'SOTP管线参数'!I30&amp;"|"&amp;'SOTP管线现金流'!I69&amp;"|"&amp;'SOTP管线现金流'!I70&amp;"|"&amp;'SOTP管线现金流'!I71&amp;"|"&amp;'SOTP管线现金流'!I72&amp;"|"&amp;'SOTP管线现金流'!I73&amp;"|"&amp;'SOTP管线现金流'!I74&amp;"|"&amp;'SOTP管线现金流'!I75&amp;"|"&amp;'SOTP管线现金流'!I76&amp;"|"&amp;'SOTP管线现金流'!I77&amp;"|"&amp;'SOTP管线现金流'!I78&amp;"|"&amp;'SOTP管线现金流'!I79&amp;"|"&amp;'SOTP管线现金流'!I80&amp;"|"&amp;'SOTP管线现金流'!I81&amp;"|"&amp;'SOTP管线现金流'!I82&amp;"|"&amp;'SOTP管线现金流'!I83&amp;"|"&amp;'SOTP管线现金流'!I84&amp;"|"&amp;'SOTP管线现金流'!I85&amp;"|"&amp;'SOTP管线现金流'!I86&amp;"|"&amp;'SOTP管线现金流'!I87&amp;"|"&amp;'SOTP管线现金流'!I88&amp;"|"&amp;'SOTP管线现金流'!I89&amp;"|"&amp;'SOTP管线现金流'!I90&amp;"|"&amp;'SOTP管线现金流'!I91&amp;"|"&amp;'SOTP管线现金流'!I92&amp;"|"&amp;'SOTP管线现金流'!I93&amp;"|"&amp;'SOTP管线现金流'!I94&amp;"|"&amp;'SOTP管线现金流'!I95&amp;"|"&amp;'SOTP管线现金流'!I96&amp;"|"&amp;'SOTP管线现金流'!I97&amp;"|"&amp;'SOTP管线现金流'!I98&amp;"|"&amp;'SOTP管线现金流'!I99</x:f>
        <x:v>1.35|0.34|39|0.37|8|0.12|3.4|0.047|23|0.15|2.65|0.66|0.6|0.5|0.18|44|1.2|0.445|1|0.5|0.38|2.34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</x:row>
    <x:row r="226" ht="23" customHeight="1">
      <x:c r="A226" s="11" t="str">
        <x:v>01548.HK</x:v>
      </x:c>
      <x:c r="B226" s="11" t="str">
        <x:v>金斯瑞生物科技</x:v>
      </x:c>
      <x:c r="C226" s="11" t="str">
        <x:v>三年</x:v>
      </x:c>
      <x:c r="D226" s="11" t="str">
        <x:v>悲观</x:v>
      </x:c>
      <x:c r="E226" s="11" t="n">
        <x:v>42.4</x:v>
      </x:c>
      <x:c r="F226" s="11" t="n">
        <x:v>7.067658582089551</x:v>
      </x:c>
      <x:c r="G226" s="11" t="n">
        <x:v>0</x:v>
      </x:c>
      <x:c r="H226" s="25" t="n">
        <x:v>-0.8333099391016615</x:v>
      </x:c>
      <x:c r="I226" s="25" t="n">
        <x:v>-0.8333099391016615</x:v>
      </x:c>
      <x:c r="J226" s="25" t="n">
        <x:v>-0.44965304437186826</x:v>
      </x:c>
      <x:c r="K226" s="11" t="str"/>
      <x:c r="L226" s="11" t="str"/>
      <x:c r="M226" s="11" t="n">
        <x:v>7.8</x:v>
      </x:c>
      <x:c r="N226" s="11" t="n">
        <x:v>0</x:v>
      </x:c>
      <x:c r="O226" s="11" t="str"/>
      <x:c r="P226" s="11" t="str"/>
      <x:c r="Q226" s="11" t="n">
        <x:v>2.68</x:v>
      </x:c>
      <x:c r="R226" s="11" t="str">
        <x:v>genscript-v1-transparent-SOTP-preferred-residual</x:v>
      </x:c>
      <x:c r="S226" s="11" t="str">
        <x:v>2026-10-10</x:v>
      </x:c>
      <x:c r="T226" s="11" t="str">
        <x:f>IF(AND(SUM(IF(K226='假设'!E300,0,1),IF(L226='假设'!F300,0,1),IF(M226='假设'!G300,0,1),IF(N226='假设'!H300,0,1),IF(O226='假设'!I300,0,1),IF(P226='假设'!J300,0,1),IF(Q226='假设'!K300,0,1))=0,U226=V226),"已刷新","待刷新")</x:f>
        <x:v>已刷新</x:v>
      </x:c>
      <x:c r="U226" t="str">
        <x:v>0.88|0.22|20|0.22|2.5|0.09|1.2|0.05|18|0.24|1.7|0.57|0.62|0.52|0.24|20|-0.05|0.38|0.75|-0.25|0.6|2.68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  <x:c r="V226" t="str">
        <x:f>'SOTP假设'!D20&amp;"|"&amp;'SOTP假设'!E20&amp;"|"&amp;'SOTP假设'!F20&amp;"|"&amp;'SOTP假设'!G20&amp;"|"&amp;'SOTP假设'!H20&amp;"|"&amp;'SOTP假设'!I20&amp;"|"&amp;'SOTP假设'!J20&amp;"|"&amp;'SOTP假设'!K20&amp;"|"&amp;'SOTP假设'!L20&amp;"|"&amp;'SOTP假设'!M20&amp;"|"&amp;'SOTP假设'!N20&amp;"|"&amp;'SOTP假设'!O20&amp;"|"&amp;'SOTP假设'!P20&amp;"|"&amp;'SOTP假设'!Q20&amp;"|"&amp;'SOTP假设'!R20&amp;"|"&amp;'SOTP假设'!S20&amp;"|"&amp;'SOTP假设'!T20&amp;"|"&amp;'SOTP假设'!U20&amp;"|"&amp;'SOTP假设'!V20&amp;"|"&amp;'SOTP假设'!W20&amp;"|"&amp;'SOTP假设'!X20&amp;"|"&amp;'SOTP假设'!Y20&amp;"|"&amp;'SOTP管线参数'!E32&amp;"|"&amp;'SOTP管线参数'!F32&amp;"|"&amp;'SOTP管线参数'!G32&amp;"|"&amp;'SOTP管线参数'!H32&amp;"|"&amp;'SOTP管线参数'!I32&amp;"|"&amp;'SOTP管线参数'!E36&amp;"|"&amp;'SOTP管线参数'!F36&amp;"|"&amp;'SOTP管线参数'!G36&amp;"|"&amp;'SOTP管线参数'!H36&amp;"|"&amp;'SOTP管线参数'!I36&amp;"|"&amp;'SOTP管线现金流'!G100&amp;"|"&amp;'SOTP管线现金流'!G101&amp;"|"&amp;'SOTP管线现金流'!G102&amp;"|"&amp;'SOTP管线现金流'!G103&amp;"|"&amp;'SOTP管线现金流'!G104&amp;"|"&amp;'SOTP管线现金流'!G105&amp;"|"&amp;'SOTP管线现金流'!G106&amp;"|"&amp;'SOTP管线现金流'!G107&amp;"|"&amp;'SOTP管线现金流'!G108&amp;"|"&amp;'SOTP管线现金流'!G109&amp;"|"&amp;'SOTP管线现金流'!G110&amp;"|"&amp;'SOTP管线现金流'!G111&amp;"|"&amp;'SOTP管线现金流'!G112&amp;"|"&amp;'SOTP管线现金流'!G113&amp;"|"&amp;'SOTP管线现金流'!G114&amp;"|"&amp;'SOTP管线现金流'!G115&amp;"|"&amp;'SOTP管线现金流'!G116&amp;"|"&amp;'SOTP管线现金流'!G117&amp;"|"&amp;'SOTP管线现金流'!G118&amp;"|"&amp;'SOTP管线现金流'!G119&amp;"|"&amp;'SOTP管线现金流'!G120&amp;"|"&amp;'SOTP管线现金流'!G121&amp;"|"&amp;'SOTP管线现金流'!G122&amp;"|"&amp;'SOTP管线现金流'!G123&amp;"|"&amp;'SOTP管线现金流'!G124&amp;"|"&amp;'SOTP管线现金流'!G125&amp;"|"&amp;'SOTP管线现金流'!G126&amp;"|"&amp;'SOTP管线现金流'!G127&amp;"|"&amp;'SOTP管线现金流'!G128&amp;"|"&amp;'SOTP管线现金流'!G129&amp;"|"&amp;'SOTP管线现金流'!G130</x:f>
        <x:v>0.88|0.22|20|0.22|2.5|0.09|1.2|0.05|18|0.24|1.7|0.57|0.62|0.52|0.24|20|-0.05|0.38|0.75|-0.25|0.6|2.68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</x:row>
    <x:row r="227" ht="23" customHeight="1">
      <x:c r="A227" s="11" t="str">
        <x:v>01548.HK</x:v>
      </x:c>
      <x:c r="B227" s="11" t="str">
        <x:v>金斯瑞生物科技</x:v>
      </x:c>
      <x:c r="C227" s="11" t="str">
        <x:v>三年</x:v>
      </x:c>
      <x:c r="D227" s="11" t="str">
        <x:v>基准</x:v>
      </x:c>
      <x:c r="E227" s="11" t="n">
        <x:v>42.4</x:v>
      </x:c>
      <x:c r="F227" s="11" t="n">
        <x:v>54.84424578761926</x:v>
      </x:c>
      <x:c r="G227" s="11" t="n">
        <x:v>0</x:v>
      </x:c>
      <x:c r="H227" s="25" t="n">
        <x:v>0.2934963629155485</x:v>
      </x:c>
      <x:c r="I227" s="25" t="n">
        <x:v>0.2934963629155485</x:v>
      </x:c>
      <x:c r="J227" s="25" t="n">
        <x:v>0.08956983360101844</x:v>
      </x:c>
      <x:c r="K227" s="11" t="str"/>
      <x:c r="L227" s="11" t="str"/>
      <x:c r="M227" s="11" t="n">
        <x:v>7.8</x:v>
      </x:c>
      <x:c r="N227" s="11" t="n">
        <x:v>0</x:v>
      </x:c>
      <x:c r="O227" s="11" t="str"/>
      <x:c r="P227" s="11" t="str"/>
      <x:c r="Q227" s="11" t="n">
        <x:v>2.52</x:v>
      </x:c>
      <x:c r="R227" s="11" t="str">
        <x:v>genscript-v1-transparent-SOTP-preferred-residual</x:v>
      </x:c>
      <x:c r="S227" s="11" t="str">
        <x:v>2026-10-10</x:v>
      </x:c>
      <x:c r="T227" s="11" t="str">
        <x:f>IF(AND(SUM(IF(K227='假设'!E301,0,1),IF(L227='假设'!F301,0,1),IF(M227='假设'!G301,0,1),IF(N227='假设'!H301,0,1),IF(O227='假设'!I301,0,1),IF(P227='假设'!J301,0,1),IF(Q227='假设'!K301,0,1))=0,U227=V227),"已刷新","待刷新")</x:f>
        <x:v>待刷新</x:v>
      </x:c>
      <x:c r="U227" t="str">
        <x:v>1.5|0.3|28|0.38|5|0.13|2.2|0.06|20|0.18|3.1|0.65|0.75|0.75|0.2|30|1.8|0.42|0.92|0.75|0.46|2.52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  <x:c r="V227" t="str">
        <x:f>'SOTP假设'!D21&amp;"|"&amp;'SOTP假设'!E21&amp;"|"&amp;'SOTP假设'!F21&amp;"|"&amp;'SOTP假设'!G21&amp;"|"&amp;'SOTP假设'!H21&amp;"|"&amp;'SOTP假设'!I21&amp;"|"&amp;'SOTP假设'!J21&amp;"|"&amp;'SOTP假设'!K21&amp;"|"&amp;'SOTP假设'!L21&amp;"|"&amp;'SOTP假设'!M21&amp;"|"&amp;'SOTP假设'!N21&amp;"|"&amp;'SOTP假设'!O21&amp;"|"&amp;'SOTP假设'!P21&amp;"|"&amp;'SOTP假设'!Q21&amp;"|"&amp;'SOTP假设'!R21&amp;"|"&amp;'SOTP假设'!S21&amp;"|"&amp;'SOTP假设'!T21&amp;"|"&amp;'SOTP假设'!U21&amp;"|"&amp;'SOTP假设'!V21&amp;"|"&amp;'SOTP假设'!W21&amp;"|"&amp;'SOTP假设'!X21&amp;"|"&amp;'SOTP假设'!Y21&amp;"|"&amp;'SOTP管线参数'!E33&amp;"|"&amp;'SOTP管线参数'!F33&amp;"|"&amp;'SOTP管线参数'!G33&amp;"|"&amp;'SOTP管线参数'!H33&amp;"|"&amp;'SOTP管线参数'!I33&amp;"|"&amp;'SOTP管线参数'!E37&amp;"|"&amp;'SOTP管线参数'!F37&amp;"|"&amp;'SOTP管线参数'!G37&amp;"|"&amp;'SOTP管线参数'!H37&amp;"|"&amp;'SOTP管线参数'!I37&amp;"|"&amp;'SOTP管线现金流'!H100&amp;"|"&amp;'SOTP管线现金流'!H101&amp;"|"&amp;'SOTP管线现金流'!H102&amp;"|"&amp;'SOTP管线现金流'!H103&amp;"|"&amp;'SOTP管线现金流'!H104&amp;"|"&amp;'SOTP管线现金流'!H105&amp;"|"&amp;'SOTP管线现金流'!H106&amp;"|"&amp;'SOTP管线现金流'!H107&amp;"|"&amp;'SOTP管线现金流'!H108&amp;"|"&amp;'SOTP管线现金流'!H109&amp;"|"&amp;'SOTP管线现金流'!H110&amp;"|"&amp;'SOTP管线现金流'!H111&amp;"|"&amp;'SOTP管线现金流'!H112&amp;"|"&amp;'SOTP管线现金流'!H113&amp;"|"&amp;'SOTP管线现金流'!H114&amp;"|"&amp;'SOTP管线现金流'!H115&amp;"|"&amp;'SOTP管线现金流'!H116&amp;"|"&amp;'SOTP管线现金流'!H117&amp;"|"&amp;'SOTP管线现金流'!H118&amp;"|"&amp;'SOTP管线现金流'!H119&amp;"|"&amp;'SOTP管线现金流'!H120&amp;"|"&amp;'SOTP管线现金流'!H121&amp;"|"&amp;'SOTP管线现金流'!H122&amp;"|"&amp;'SOTP管线现金流'!H123&amp;"|"&amp;'SOTP管线现金流'!H124&amp;"|"&amp;'SOTP管线现金流'!H125&amp;"|"&amp;'SOTP管线现金流'!H126&amp;"|"&amp;'SOTP管线现金流'!H127&amp;"|"&amp;'SOTP管线现金流'!H128&amp;"|"&amp;'SOTP管线现金流'!H129&amp;"|"&amp;'SOTP管线现金流'!H130</x:f>
        <x:v>1.5|0.3|28|0.38|5|0.13|2.2|0.06|20|0.18|3.1|0.65|0.75|0.75|0.2|30|1.8|0.42|0.92|0.75|0.46|2.52|0.13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</x:row>
    <x:row r="228" ht="23" customHeight="1">
      <x:c r="A228" s="11" t="str">
        <x:v>01548.HK</x:v>
      </x:c>
      <x:c r="B228" s="11" t="str">
        <x:v>金斯瑞生物科技</x:v>
      </x:c>
      <x:c r="C228" s="11" t="str">
        <x:v>三年</x:v>
      </x:c>
      <x:c r="D228" s="11" t="str">
        <x:v>乐观</x:v>
      </x:c>
      <x:c r="E228" s="11" t="n">
        <x:v>42.4</x:v>
      </x:c>
      <x:c r="F228" s="11" t="n">
        <x:v>131.3819387037984</x:v>
      </x:c>
      <x:c r="G228" s="11" t="n">
        <x:v>0</x:v>
      </x:c>
      <x:c r="H228" s="25" t="n">
        <x:v>2.098630629806566</x:v>
      </x:c>
      <x:c r="I228" s="25" t="n">
        <x:v>2.098630629806566</x:v>
      </x:c>
      <x:c r="J228" s="25" t="n">
        <x:v>0.45788500761288575</x:v>
      </x:c>
      <x:c r="K228" s="11" t="str"/>
      <x:c r="L228" s="11" t="str"/>
      <x:c r="M228" s="11" t="n">
        <x:v>7.8</x:v>
      </x:c>
      <x:c r="N228" s="11" t="n">
        <x:v>0</x:v>
      </x:c>
      <x:c r="O228" s="11" t="str"/>
      <x:c r="P228" s="11" t="str"/>
      <x:c r="Q228" s="11" t="n">
        <x:v>2.44</x:v>
      </x:c>
      <x:c r="R228" s="11" t="str">
        <x:v>genscript-v1-transparent-SOTP-preferred-residual</x:v>
      </x:c>
      <x:c r="S228" s="11" t="str">
        <x:v>2026-10-10</x:v>
      </x:c>
      <x:c r="T228" s="11" t="str">
        <x:f>IF(AND(SUM(IF(K228='假设'!E302,0,1),IF(L228='假设'!F302,0,1),IF(M228='假设'!G302,0,1),IF(N228='假设'!H302,0,1),IF(O228='假设'!I302,0,1),IF(P228='假设'!J302,0,1),IF(Q228='假设'!K302,0,1))=0,U228=V228),"已刷新","待刷新")</x:f>
        <x:v>已刷新</x:v>
      </x:c>
      <x:c r="U228" t="str">
        <x:v>2.05|0.34|34|0.62|7|0.19|3|0.07|22|0.16|4.1|0.68|0.9|0.88|0.18|38|3.2|0.44|1|1.4|0.41|2.44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  <x:c r="V228" t="str">
        <x:f>'SOTP假设'!D22&amp;"|"&amp;'SOTP假设'!E22&amp;"|"&amp;'SOTP假设'!F22&amp;"|"&amp;'SOTP假设'!G22&amp;"|"&amp;'SOTP假设'!H22&amp;"|"&amp;'SOTP假设'!I22&amp;"|"&amp;'SOTP假设'!J22&amp;"|"&amp;'SOTP假设'!K22&amp;"|"&amp;'SOTP假设'!L22&amp;"|"&amp;'SOTP假设'!M22&amp;"|"&amp;'SOTP假设'!N22&amp;"|"&amp;'SOTP假设'!O22&amp;"|"&amp;'SOTP假设'!P22&amp;"|"&amp;'SOTP假设'!Q22&amp;"|"&amp;'SOTP假设'!R22&amp;"|"&amp;'SOTP假设'!S22&amp;"|"&amp;'SOTP假设'!T22&amp;"|"&amp;'SOTP假设'!U22&amp;"|"&amp;'SOTP假设'!V22&amp;"|"&amp;'SOTP假设'!W22&amp;"|"&amp;'SOTP假设'!X22&amp;"|"&amp;'SOTP假设'!Y22&amp;"|"&amp;'SOTP管线参数'!E34&amp;"|"&amp;'SOTP管线参数'!F34&amp;"|"&amp;'SOTP管线参数'!G34&amp;"|"&amp;'SOTP管线参数'!H34&amp;"|"&amp;'SOTP管线参数'!I34&amp;"|"&amp;'SOTP管线参数'!E38&amp;"|"&amp;'SOTP管线参数'!F38&amp;"|"&amp;'SOTP管线参数'!G38&amp;"|"&amp;'SOTP管线参数'!H38&amp;"|"&amp;'SOTP管线参数'!I38&amp;"|"&amp;'SOTP管线现金流'!I100&amp;"|"&amp;'SOTP管线现金流'!I101&amp;"|"&amp;'SOTP管线现金流'!I102&amp;"|"&amp;'SOTP管线现金流'!I103&amp;"|"&amp;'SOTP管线现金流'!I104&amp;"|"&amp;'SOTP管线现金流'!I105&amp;"|"&amp;'SOTP管线现金流'!I106&amp;"|"&amp;'SOTP管线现金流'!I107&amp;"|"&amp;'SOTP管线现金流'!I108&amp;"|"&amp;'SOTP管线现金流'!I109&amp;"|"&amp;'SOTP管线现金流'!I110&amp;"|"&amp;'SOTP管线现金流'!I111&amp;"|"&amp;'SOTP管线现金流'!I112&amp;"|"&amp;'SOTP管线现金流'!I113&amp;"|"&amp;'SOTP管线现金流'!I114&amp;"|"&amp;'SOTP管线现金流'!I115&amp;"|"&amp;'SOTP管线现金流'!I116&amp;"|"&amp;'SOTP管线现金流'!I117&amp;"|"&amp;'SOTP管线现金流'!I118&amp;"|"&amp;'SOTP管线现金流'!I119&amp;"|"&amp;'SOTP管线现金流'!I120&amp;"|"&amp;'SOTP管线现金流'!I121&amp;"|"&amp;'SOTP管线现金流'!I122&amp;"|"&amp;'SOTP管线现金流'!I123&amp;"|"&amp;'SOTP管线现金流'!I124&amp;"|"&amp;'SOTP管线现金流'!I125&amp;"|"&amp;'SOTP管线现金流'!I126&amp;"|"&amp;'SOTP管线现金流'!I127&amp;"|"&amp;'SOTP管线现金流'!I128&amp;"|"&amp;'SOTP管线现金流'!I129&amp;"|"&amp;'SOTP管线现金流'!I130</x:f>
        <x:v>2.05|0.34|34|0.62|7|0.19|3|0.07|22|0.16|4.1|0.68|0.9|0.88|0.18|38|3.2|0.44|1|1.4|0.41|2.44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</x:row>
    <x:row r="229" ht="23" customHeight="1">
      <x:c r="A229" s="11" t="str">
        <x:v>01548.HK</x:v>
      </x:c>
      <x:c r="B229" s="11" t="str">
        <x:v>金斯瑞生物科技</x:v>
      </x:c>
      <x:c r="C229" s="11" t="str">
        <x:v>五年</x:v>
      </x:c>
      <x:c r="D229" s="11" t="str">
        <x:v>悲观</x:v>
      </x:c>
      <x:c r="E229" s="11" t="n">
        <x:v>42.4</x:v>
      </x:c>
      <x:c r="F229" s="11" t="n">
        <x:v>4.596839795918367</x:v>
      </x:c>
      <x:c r="G229" s="11" t="n">
        <x:v>0</x:v>
      </x:c>
      <x:c r="H229" s="25" t="n">
        <x:v>-0.8915839670773971</x:v>
      </x:c>
      <x:c r="I229" s="25" t="n">
        <x:v>-0.8915839670773971</x:v>
      </x:c>
      <x:c r="J229" s="25" t="n">
        <x:v>-0.3587628098972766</x:v>
      </x:c>
      <x:c r="K229" s="11" t="str"/>
      <x:c r="L229" s="11" t="str"/>
      <x:c r="M229" s="11" t="n">
        <x:v>7.8</x:v>
      </x:c>
      <x:c r="N229" s="11" t="n">
        <x:v>0</x:v>
      </x:c>
      <x:c r="O229" s="11" t="str"/>
      <x:c r="P229" s="11" t="str"/>
      <x:c r="Q229" s="11" t="n">
        <x:v>2.94</x:v>
      </x:c>
      <x:c r="R229" s="11" t="str">
        <x:v>genscript-v1-transparent-SOTP-preferred-residual</x:v>
      </x:c>
      <x:c r="S229" s="11" t="str">
        <x:v>2026-10-10</x:v>
      </x:c>
      <x:c r="T229" s="11" t="str">
        <x:f>IF(AND(SUM(IF(K229='假设'!E304,0,1),IF(L229='假设'!F304,0,1),IF(M229='假设'!G304,0,1),IF(N229='假设'!H304,0,1),IF(O229='假设'!I304,0,1),IF(P229='假设'!J304,0,1),IF(Q229='假设'!K304,0,1))=0,U229=V229),"已刷新","待刷新")</x:f>
        <x:v>已刷新</x:v>
      </x:c>
      <x:c r="U229" t="str">
        <x:v>1|0.2|18|0.28|2|0.11|1.1|0.06|18|0.25|1.75|0.56|0.68|0.6|0.25|18|-0.1|0.33|0.7|-0.4|0.8|2.94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  <x:c r="V229" t="str">
        <x:f>'SOTP假设'!D24&amp;"|"&amp;'SOTP假设'!E24&amp;"|"&amp;'SOTP假设'!F24&amp;"|"&amp;'SOTP假设'!G24&amp;"|"&amp;'SOTP假设'!H24&amp;"|"&amp;'SOTP假设'!I24&amp;"|"&amp;'SOTP假设'!J24&amp;"|"&amp;'SOTP假设'!K24&amp;"|"&amp;'SOTP假设'!L24&amp;"|"&amp;'SOTP假设'!M24&amp;"|"&amp;'SOTP假设'!N24&amp;"|"&amp;'SOTP假设'!O24&amp;"|"&amp;'SOTP假设'!P24&amp;"|"&amp;'SOTP假设'!Q24&amp;"|"&amp;'SOTP假设'!R24&amp;"|"&amp;'SOTP假设'!S24&amp;"|"&amp;'SOTP假设'!T24&amp;"|"&amp;'SOTP假设'!U24&amp;"|"&amp;'SOTP假设'!V24&amp;"|"&amp;'SOTP假设'!W24&amp;"|"&amp;'SOTP假设'!X24&amp;"|"&amp;'SOTP假设'!Y24&amp;"|"&amp;'SOTP管线参数'!E40&amp;"|"&amp;'SOTP管线参数'!F40&amp;"|"&amp;'SOTP管线参数'!G40&amp;"|"&amp;'SOTP管线参数'!H40&amp;"|"&amp;'SOTP管线参数'!I40&amp;"|"&amp;'SOTP管线参数'!E44&amp;"|"&amp;'SOTP管线参数'!F44&amp;"|"&amp;'SOTP管线参数'!G44&amp;"|"&amp;'SOTP管线参数'!H44&amp;"|"&amp;'SOTP管线参数'!I44&amp;"|"&amp;'SOTP管线现金流'!G131&amp;"|"&amp;'SOTP管线现金流'!G132&amp;"|"&amp;'SOTP管线现金流'!G133&amp;"|"&amp;'SOTP管线现金流'!G134&amp;"|"&amp;'SOTP管线现金流'!G135&amp;"|"&amp;'SOTP管线现金流'!G136&amp;"|"&amp;'SOTP管线现金流'!G137&amp;"|"&amp;'SOTP管线现金流'!G138&amp;"|"&amp;'SOTP管线现金流'!G139&amp;"|"&amp;'SOTP管线现金流'!G140&amp;"|"&amp;'SOTP管线现金流'!G141&amp;"|"&amp;'SOTP管线现金流'!G142&amp;"|"&amp;'SOTP管线现金流'!G143&amp;"|"&amp;'SOTP管线现金流'!G144&amp;"|"&amp;'SOTP管线现金流'!G145&amp;"|"&amp;'SOTP管线现金流'!G146&amp;"|"&amp;'SOTP管线现金流'!G147&amp;"|"&amp;'SOTP管线现金流'!G148&amp;"|"&amp;'SOTP管线现金流'!G149&amp;"|"&amp;'SOTP管线现金流'!G150&amp;"|"&amp;'SOTP管线现金流'!G151&amp;"|"&amp;'SOTP管线现金流'!G152&amp;"|"&amp;'SOTP管线现金流'!G153&amp;"|"&amp;'SOTP管线现金流'!G154&amp;"|"&amp;'SOTP管线现金流'!G155&amp;"|"&amp;'SOTP管线现金流'!G156&amp;"|"&amp;'SOTP管线现金流'!G157&amp;"|"&amp;'SOTP管线现金流'!G158&amp;"|"&amp;'SOTP管线现金流'!G159&amp;"|"&amp;'SOTP管线现金流'!G160&amp;"|"&amp;'SOTP管线现金流'!G161</x:f>
        <x:v>1|0.2|18|0.28|2|0.11|1.1|0.06|18|0.25|1.75|0.56|0.68|0.6|0.25|18|-0.1|0.33|0.7|-0.4|0.8|2.94|0.03|0.18|1|0.18|0.1|0.05|0.78|0.08|0.18|0.1|0|0|0|0.07500000000000001|0.22499999999999998|0.5249999999999999|0.8999999999999999|1.275|1.5|1.5|1.4249999999999998|1.35|1.2000000000000002|0.9750000000000001|0.75|0.5249999999999999|0.30000000000000004|0|0|0.07500000000000001|0.22499999999999998|0.5249999999999999|0.8999999999999999|1.275|1.5|1.5|1.4249999999999998|1.35|1.2000000000000002|0.9750000000000001|0.75</x:v>
      </x:c>
    </x:row>
    <x:row r="230" ht="23" customHeight="1">
      <x:c r="A230" s="11" t="str">
        <x:v>01548.HK</x:v>
      </x:c>
      <x:c r="B230" s="11" t="str">
        <x:v>金斯瑞生物科技</x:v>
      </x:c>
      <x:c r="C230" s="11" t="str">
        <x:v>五年</x:v>
      </x:c>
      <x:c r="D230" s="11" t="str">
        <x:v>基准</x:v>
      </x:c>
      <x:c r="E230" s="11" t="n">
        <x:v>42.4</x:v>
      </x:c>
      <x:c r="F230" s="11" t="n">
        <x:v>72.60345214300675</x:v>
      </x:c>
      <x:c r="G230" s="11" t="n">
        <x:v>0</x:v>
      </x:c>
      <x:c r="H230" s="25" t="n">
        <x:v>0.7123455694105365</x:v>
      </x:c>
      <x:c r="I230" s="25" t="n">
        <x:v>0.7123455694105365</x:v>
      </x:c>
      <x:c r="J230" s="25" t="n">
        <x:v>0.1135719500279615</x:v>
      </x:c>
      <x:c r="K230" s="11" t="str"/>
      <x:c r="L230" s="11" t="str"/>
      <x:c r="M230" s="11" t="n">
        <x:v>7.8</x:v>
      </x:c>
      <x:c r="N230" s="11" t="n">
        <x:v>0</x:v>
      </x:c>
      <x:c r="O230" s="11" t="str"/>
      <x:c r="P230" s="11" t="str"/>
      <x:c r="Q230" s="11" t="n">
        <x:v>2.65</x:v>
      </x:c>
      <x:c r="R230" s="11" t="str">
        <x:v>genscript-v1-transparent-SOTP-preferred-residual</x:v>
      </x:c>
      <x:c r="S230" s="11" t="str">
        <x:v>2026-10-10</x:v>
      </x:c>
      <x:c r="T230" s="11" t="str">
        <x:f>IF(AND(SUM(IF(K230='假设'!E305,0,1),IF(L230='假设'!F305,0,1),IF(M230='假设'!G305,0,1),IF(N230='假设'!H305,0,1),IF(O230='假设'!I305,0,1),IF(P230='假设'!J305,0,1),IF(Q230='假设'!K305,0,1))=0,U230=V230),"已刷新","待刷新")</x:f>
        <x:v>已刷新</x:v>
      </x:c>
      <x:c r="U230" t="str">
        <x:v>2.2|0.3|26|0.6|4.5|0.22|2|0.08|20|0.18|4.2|0.66|1|1|0.2|28|3.5|0.4|0.92|1.2|0.55|2.65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  <x:c r="V230" t="str">
        <x:f>'SOTP假设'!D25&amp;"|"&amp;'SOTP假设'!E25&amp;"|"&amp;'SOTP假设'!F25&amp;"|"&amp;'SOTP假设'!G25&amp;"|"&amp;'SOTP假设'!H25&amp;"|"&amp;'SOTP假设'!I25&amp;"|"&amp;'SOTP假设'!J25&amp;"|"&amp;'SOTP假设'!K25&amp;"|"&amp;'SOTP假设'!L25&amp;"|"&amp;'SOTP假设'!M25&amp;"|"&amp;'SOTP假设'!N25&amp;"|"&amp;'SOTP假设'!O25&amp;"|"&amp;'SOTP假设'!P25&amp;"|"&amp;'SOTP假设'!Q25&amp;"|"&amp;'SOTP假设'!R25&amp;"|"&amp;'SOTP假设'!S25&amp;"|"&amp;'SOTP假设'!T25&amp;"|"&amp;'SOTP假设'!U25&amp;"|"&amp;'SOTP假设'!V25&amp;"|"&amp;'SOTP假设'!W25&amp;"|"&amp;'SOTP假设'!X25&amp;"|"&amp;'SOTP假设'!Y25&amp;"|"&amp;'SOTP管线参数'!E41&amp;"|"&amp;'SOTP管线参数'!F41&amp;"|"&amp;'SOTP管线参数'!G41&amp;"|"&amp;'SOTP管线参数'!H41&amp;"|"&amp;'SOTP管线参数'!I41&amp;"|"&amp;'SOTP管线参数'!E45&amp;"|"&amp;'SOTP管线参数'!F45&amp;"|"&amp;'SOTP管线参数'!G45&amp;"|"&amp;'SOTP管线参数'!H45&amp;"|"&amp;'SOTP管线参数'!I45&amp;"|"&amp;'SOTP管线现金流'!H131&amp;"|"&amp;'SOTP管线现金流'!H132&amp;"|"&amp;'SOTP管线现金流'!H133&amp;"|"&amp;'SOTP管线现金流'!H134&amp;"|"&amp;'SOTP管线现金流'!H135&amp;"|"&amp;'SOTP管线现金流'!H136&amp;"|"&amp;'SOTP管线现金流'!H137&amp;"|"&amp;'SOTP管线现金流'!H138&amp;"|"&amp;'SOTP管线现金流'!H139&amp;"|"&amp;'SOTP管线现金流'!H140&amp;"|"&amp;'SOTP管线现金流'!H141&amp;"|"&amp;'SOTP管线现金流'!H142&amp;"|"&amp;'SOTP管线现金流'!H143&amp;"|"&amp;'SOTP管线现金流'!H144&amp;"|"&amp;'SOTP管线现金流'!H145&amp;"|"&amp;'SOTP管线现金流'!H146&amp;"|"&amp;'SOTP管线现金流'!H147&amp;"|"&amp;'SOTP管线现金流'!H148&amp;"|"&amp;'SOTP管线现金流'!H149&amp;"|"&amp;'SOTP管线现金流'!H150&amp;"|"&amp;'SOTP管线现金流'!H151&amp;"|"&amp;'SOTP管线现金流'!H152&amp;"|"&amp;'SOTP管线现金流'!H153&amp;"|"&amp;'SOTP管线现金流'!H154&amp;"|"&amp;'SOTP管线现金流'!H155&amp;"|"&amp;'SOTP管线现金流'!H156&amp;"|"&amp;'SOTP管线现金流'!H157&amp;"|"&amp;'SOTP管线现金流'!H158&amp;"|"&amp;'SOTP管线现金流'!H159&amp;"|"&amp;'SOTP管线现金流'!H160&amp;"|"&amp;'SOTP管线现金流'!H161</x:f>
        <x:v>2.2|0.3|26|0.6|4.5|0.22|2|0.08|20|0.18|4.2|0.66|1|1|0.2|28|3.5|0.4|0.92|1.2|0.55|2.65|0.12|0.25|1|0.15|0.22|0.18|0.8|0.1|0.15|0.22|0|0|0.17500000000000002|0.525|1.2249999999999999|2.1|2.975|3.5|3.5|3.3249999999999997|3.15|2.8000000000000003|2.275|1.75|1.2249999999999999|0.7000000000000001|0.35000000000000003|0|0.15000000000000002|0.44999999999999996|1.0499999999999998|1.7999999999999998|2.55|3|3|2.8499999999999996|2.7|2.4000000000000004|1.9500000000000002|1.5|1.0499999999999998</x:v>
      </x:c>
    </x:row>
    <x:row r="231" ht="23" customHeight="1">
      <x:c r="A231" s="11" t="str">
        <x:v>01548.HK</x:v>
      </x:c>
      <x:c r="B231" s="11" t="str">
        <x:v>金斯瑞生物科技</x:v>
      </x:c>
      <x:c r="C231" s="11" t="str">
        <x:v>五年</x:v>
      </x:c>
      <x:c r="D231" s="11" t="str">
        <x:v>乐观</x:v>
      </x:c>
      <x:c r="E231" s="11" t="n">
        <x:v>42.4</x:v>
      </x:c>
      <x:c r="F231" s="11" t="n">
        <x:v>172.77816126437517</x:v>
      </x:c>
      <x:c r="G231" s="11" t="n">
        <x:v>0</x:v>
      </x:c>
      <x:c r="H231" s="25" t="n">
        <x:v>3.0749566335937546</x:v>
      </x:c>
      <x:c r="I231" s="25" t="n">
        <x:v>3.0749566335937546</x:v>
      </x:c>
      <x:c r="J231" s="25" t="n">
        <x:v>0.3244165474532541</x:v>
      </x:c>
      <x:c r="K231" s="11" t="str"/>
      <x:c r="L231" s="11" t="str"/>
      <x:c r="M231" s="11" t="n">
        <x:v>7.8</x:v>
      </x:c>
      <x:c r="N231" s="11" t="n">
        <x:v>0</x:v>
      </x:c>
      <x:c r="O231" s="11" t="str"/>
      <x:c r="P231" s="11" t="str"/>
      <x:c r="Q231" s="11" t="n">
        <x:v>2.55</x:v>
      </x:c>
      <x:c r="R231" s="11" t="str">
        <x:v>genscript-v1-transparent-SOTP-preferred-residual</x:v>
      </x:c>
      <x:c r="S231" s="11" t="str">
        <x:v>2026-10-10</x:v>
      </x:c>
      <x:c r="T231" s="11" t="str">
        <x:f>IF(AND(SUM(IF(K231='假设'!E306,0,1),IF(L231='假设'!F306,0,1),IF(M231='假设'!G306,0,1),IF(N231='假设'!H306,0,1),IF(O231='假设'!I306,0,1),IF(P231='假设'!J306,0,1),IF(Q231='假设'!K306,0,1))=0,U231=V231),"已刷新","待刷新")</x:f>
        <x:v>已刷新</x:v>
      </x:c>
      <x:c r="U231" t="str">
        <x:v>3.1|0.34|32|0.95|6.5|0.32|2.8|0.1|22|0.16|5.8|0.69|1.35|1.3|0.18|35|6|0.435|1|2.3|0.45|2.55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  <x:c r="V231" t="str">
        <x:f>'SOTP假设'!D26&amp;"|"&amp;'SOTP假设'!E26&amp;"|"&amp;'SOTP假设'!F26&amp;"|"&amp;'SOTP假设'!G26&amp;"|"&amp;'SOTP假设'!H26&amp;"|"&amp;'SOTP假设'!I26&amp;"|"&amp;'SOTP假设'!J26&amp;"|"&amp;'SOTP假设'!K26&amp;"|"&amp;'SOTP假设'!L26&amp;"|"&amp;'SOTP假设'!M26&amp;"|"&amp;'SOTP假设'!N26&amp;"|"&amp;'SOTP假设'!O26&amp;"|"&amp;'SOTP假设'!P26&amp;"|"&amp;'SOTP假设'!Q26&amp;"|"&amp;'SOTP假设'!R26&amp;"|"&amp;'SOTP假设'!S26&amp;"|"&amp;'SOTP假设'!T26&amp;"|"&amp;'SOTP假设'!U26&amp;"|"&amp;'SOTP假设'!V26&amp;"|"&amp;'SOTP假设'!W26&amp;"|"&amp;'SOTP假设'!X26&amp;"|"&amp;'SOTP假设'!Y26&amp;"|"&amp;'SOTP管线参数'!E42&amp;"|"&amp;'SOTP管线参数'!F42&amp;"|"&amp;'SOTP管线参数'!G42&amp;"|"&amp;'SOTP管线参数'!H42&amp;"|"&amp;'SOTP管线参数'!I42&amp;"|"&amp;'SOTP管线参数'!E46&amp;"|"&amp;'SOTP管线参数'!F46&amp;"|"&amp;'SOTP管线参数'!G46&amp;"|"&amp;'SOTP管线参数'!H46&amp;"|"&amp;'SOTP管线参数'!I46&amp;"|"&amp;'SOTP管线现金流'!I131&amp;"|"&amp;'SOTP管线现金流'!I132&amp;"|"&amp;'SOTP管线现金流'!I133&amp;"|"&amp;'SOTP管线现金流'!I134&amp;"|"&amp;'SOTP管线现金流'!I135&amp;"|"&amp;'SOTP管线现金流'!I136&amp;"|"&amp;'SOTP管线现金流'!I137&amp;"|"&amp;'SOTP管线现金流'!I138&amp;"|"&amp;'SOTP管线现金流'!I139&amp;"|"&amp;'SOTP管线现金流'!I140&amp;"|"&amp;'SOTP管线现金流'!I141&amp;"|"&amp;'SOTP管线现金流'!I142&amp;"|"&amp;'SOTP管线现金流'!I143&amp;"|"&amp;'SOTP管线现金流'!I144&amp;"|"&amp;'SOTP管线现金流'!I145&amp;"|"&amp;'SOTP管线现金流'!I146&amp;"|"&amp;'SOTP管线现金流'!I147&amp;"|"&amp;'SOTP管线现金流'!I148&amp;"|"&amp;'SOTP管线现金流'!I149&amp;"|"&amp;'SOTP管线现金流'!I150&amp;"|"&amp;'SOTP管线现金流'!I151&amp;"|"&amp;'SOTP管线现金流'!I152&amp;"|"&amp;'SOTP管线现金流'!I153&amp;"|"&amp;'SOTP管线现金流'!I154&amp;"|"&amp;'SOTP管线现金流'!I155&amp;"|"&amp;'SOTP管线现金流'!I156&amp;"|"&amp;'SOTP管线现金流'!I157&amp;"|"&amp;'SOTP管线现金流'!I158&amp;"|"&amp;'SOTP管线现金流'!I159&amp;"|"&amp;'SOTP管线现金流'!I160&amp;"|"&amp;'SOTP管线现金流'!I161</x:f>
        <x:v>3.1|0.34|32|0.95|6.5|0.32|2.8|0.1|22|0.16|5.8|0.69|1.35|1.3|0.18|35|6|0.435|1|2.3|0.45|2.55|0.25|0.3|1|0.12|0.45|0.35|0.82|0.12|0.12|0.45|0.35000000000000003|1.05|2.4499999999999997|4.2|5.95|7|7|6.6499999999999995|6.3|5.6000000000000005|4.55|3.5|2.4499999999999997|1.4000000000000001|0.7000000000000001|0.35000000000000003|0.35000000000000003|0.25|0.75|1.75|3|4.25|5|5|4.75|4.5|4|3.25|2.5|1.75|1</x:v>
      </x:c>
    </x:row>
    <x:row r="232" ht="23" customHeight="1">
      <x:c r="A232" s="11" t="str">
        <x:v>688139.SH</x:v>
      </x:c>
      <x:c r="B232" s="11" t="str">
        <x:v>海尔生物</x:v>
      </x:c>
      <x:c r="C232" s="11" t="str">
        <x:v>2026年底</x:v>
      </x:c>
      <x:c r="D232" s="11" t="str">
        <x:v>悲观</x:v>
      </x:c>
      <x:c r="E232" s="11" t="n">
        <x:v>35.13</x:v>
      </x:c>
      <x:c r="F232" s="11" t="n">
        <x:v>18</x:v>
      </x:c>
      <x:c r="G232" s="11" t="n">
        <x:v>0</x:v>
      </x:c>
      <x:c r="H232" s="25" t="n">
        <x:v>-0.4876174210076858</x:v>
      </x:c>
      <x:c r="I232" s="25" t="n">
        <x:v>-0.4876174210076858</x:v>
      </x:c>
      <x:c r="J232" s="25" t="str"/>
      <x:c r="K232" s="11" t="n">
        <x:v>0.72</x:v>
      </x:c>
      <x:c r="L232" s="11" t="n">
        <x:v>25</x:v>
      </x:c>
      <x:c r="M232" s="11" t="n">
        <x:v>1</x:v>
      </x:c>
      <x:c r="N232" s="11" t="n">
        <x:v>0</x:v>
      </x:c>
      <x:c r="O232" s="11" t="str"/>
      <x:c r="P232" s="11" t="str"/>
      <x:c r="Q232" s="11" t="str"/>
      <x:c r="R232" s="11" t="str">
        <x:v>haier-bio-pe-v1.0</x:v>
      </x:c>
      <x:c r="S232" s="11" t="str">
        <x:v>2026-10-10</x:v>
      </x:c>
      <x:c r="T232" s="11" t="str">
        <x:f>IF(AND(SUM(IF(K232='假设'!E308,0,1),IF(L232='假设'!F308,0,1),IF(M232='假设'!G308,0,1),IF(N232='假设'!H308,0,1),IF(O232='假设'!I308,0,1),IF(P232='假设'!J308,0,1),IF(Q232='假设'!K308,0,1))=0,U232=V232),"已刷新","待刷新")</x:f>
        <x:v>已刷新</x:v>
      </x:c>
    </x:row>
    <x:row r="233" ht="23" customHeight="1">
      <x:c r="A233" s="11" t="str">
        <x:v>688139.SH</x:v>
      </x:c>
      <x:c r="B233" s="11" t="str">
        <x:v>海尔生物</x:v>
      </x:c>
      <x:c r="C233" s="11" t="str">
        <x:v>2026年底</x:v>
      </x:c>
      <x:c r="D233" s="11" t="str">
        <x:v>基准</x:v>
      </x:c>
      <x:c r="E233" s="11" t="n">
        <x:v>35.13</x:v>
      </x:c>
      <x:c r="F233" s="11" t="n">
        <x:v>35.28</x:v>
      </x:c>
      <x:c r="G233" s="11" t="n">
        <x:v>0</x:v>
      </x:c>
      <x:c r="H233" s="25" t="n">
        <x:v>0.004269854824935804</x:v>
      </x:c>
      <x:c r="I233" s="25" t="n">
        <x:v>0.004269854824935804</x:v>
      </x:c>
      <x:c r="J233" s="25" t="str"/>
      <x:c r="K233" s="11" t="n">
        <x:v>0.98</x:v>
      </x:c>
      <x:c r="L233" s="11" t="n">
        <x:v>36</x:v>
      </x:c>
      <x:c r="M233" s="11" t="n">
        <x:v>1</x:v>
      </x:c>
      <x:c r="N233" s="11" t="n">
        <x:v>0</x:v>
      </x:c>
      <x:c r="O233" s="11" t="str"/>
      <x:c r="P233" s="11" t="str"/>
      <x:c r="Q233" s="11" t="str"/>
      <x:c r="R233" s="11" t="str">
        <x:v>haier-bio-pe-v1.0</x:v>
      </x:c>
      <x:c r="S233" s="11" t="str">
        <x:v>2026-10-10</x:v>
      </x:c>
      <x:c r="T233" s="11" t="str">
        <x:f>IF(AND(SUM(IF(K233='假设'!E309,0,1),IF(L233='假设'!F309,0,1),IF(M233='假设'!G309,0,1),IF(N233='假设'!H309,0,1),IF(O233='假设'!I309,0,1),IF(P233='假设'!J309,0,1),IF(Q233='假设'!K309,0,1))=0,U233=V233),"已刷新","待刷新")</x:f>
        <x:v>已刷新</x:v>
      </x:c>
    </x:row>
    <x:row r="234" ht="23" customHeight="1">
      <x:c r="A234" s="11" t="str">
        <x:v>688139.SH</x:v>
      </x:c>
      <x:c r="B234" s="11" t="str">
        <x:v>海尔生物</x:v>
      </x:c>
      <x:c r="C234" s="11" t="str">
        <x:v>2026年底</x:v>
      </x:c>
      <x:c r="D234" s="11" t="str">
        <x:v>乐观</x:v>
      </x:c>
      <x:c r="E234" s="11" t="n">
        <x:v>35.13</x:v>
      </x:c>
      <x:c r="F234" s="11" t="n">
        <x:v>50.16</x:v>
      </x:c>
      <x:c r="G234" s="11" t="n">
        <x:v>0</x:v>
      </x:c>
      <x:c r="H234" s="25" t="n">
        <x:v>0.4278394534585821</x:v>
      </x:c>
      <x:c r="I234" s="25" t="n">
        <x:v>0.4278394534585821</x:v>
      </x:c>
      <x:c r="J234" s="25" t="str"/>
      <x:c r="K234" s="11" t="n">
        <x:v>1.14</x:v>
      </x:c>
      <x:c r="L234" s="11" t="n">
        <x:v>44</x:v>
      </x:c>
      <x:c r="M234" s="11" t="n">
        <x:v>1</x:v>
      </x:c>
      <x:c r="N234" s="11" t="n">
        <x:v>0</x:v>
      </x:c>
      <x:c r="O234" s="11" t="str"/>
      <x:c r="P234" s="11" t="str"/>
      <x:c r="Q234" s="11" t="str"/>
      <x:c r="R234" s="11" t="str">
        <x:v>haier-bio-pe-v1.0</x:v>
      </x:c>
      <x:c r="S234" s="11" t="str">
        <x:v>2026-10-10</x:v>
      </x:c>
      <x:c r="T234" s="11" t="str">
        <x:f>IF(AND(SUM(IF(K234='假设'!E310,0,1),IF(L234='假设'!F310,0,1),IF(M234='假设'!G310,0,1),IF(N234='假设'!H310,0,1),IF(O234='假设'!I310,0,1),IF(P234='假设'!J310,0,1),IF(Q234='假设'!K310,0,1))=0,U234=V234),"已刷新","待刷新")</x:f>
        <x:v>已刷新</x:v>
      </x:c>
    </x:row>
    <x:row r="235" ht="23" customHeight="1">
      <x:c r="A235" s="11" t="str">
        <x:v>688139.SH</x:v>
      </x:c>
      <x:c r="B235" s="11" t="str">
        <x:v>海尔生物</x:v>
      </x:c>
      <x:c r="C235" s="11" t="str">
        <x:v>半年</x:v>
      </x:c>
      <x:c r="D235" s="11" t="str">
        <x:v>悲观</x:v>
      </x:c>
      <x:c r="E235" s="11" t="n">
        <x:v>35.13</x:v>
      </x:c>
      <x:c r="F235" s="11" t="n">
        <x:v>18.75</x:v>
      </x:c>
      <x:c r="G235" s="11" t="n">
        <x:v>0</x:v>
      </x:c>
      <x:c r="H235" s="25" t="n">
        <x:v>-0.466268146883006</x:v>
      </x:c>
      <x:c r="I235" s="25" t="n">
        <x:v>-0.466268146883006</x:v>
      </x:c>
      <x:c r="J235" s="25" t="str"/>
      <x:c r="K235" s="11" t="n">
        <x:v>0.75</x:v>
      </x:c>
      <x:c r="L235" s="11" t="n">
        <x:v>25</x:v>
      </x:c>
      <x:c r="M235" s="11" t="n">
        <x:v>1</x:v>
      </x:c>
      <x:c r="N235" s="11" t="n">
        <x:v>0</x:v>
      </x:c>
      <x:c r="O235" s="11" t="str"/>
      <x:c r="P235" s="11" t="str"/>
      <x:c r="Q235" s="11" t="str"/>
      <x:c r="R235" s="11" t="str">
        <x:v>haier-bio-pe-v1.0</x:v>
      </x:c>
      <x:c r="S235" s="11" t="str">
        <x:v>2026-10-10</x:v>
      </x:c>
      <x:c r="T235" s="11" t="str">
        <x:f>IF(AND(SUM(IF(K235='假设'!E312,0,1),IF(L235='假设'!F312,0,1),IF(M235='假设'!G312,0,1),IF(N235='假设'!H312,0,1),IF(O235='假设'!I312,0,1),IF(P235='假设'!J312,0,1),IF(Q235='假设'!K312,0,1))=0,U235=V235),"已刷新","待刷新")</x:f>
        <x:v>已刷新</x:v>
      </x:c>
    </x:row>
    <x:row r="236" ht="23" customHeight="1">
      <x:c r="A236" s="11" t="str">
        <x:v>688139.SH</x:v>
      </x:c>
      <x:c r="B236" s="11" t="str">
        <x:v>海尔生物</x:v>
      </x:c>
      <x:c r="C236" s="11" t="str">
        <x:v>半年</x:v>
      </x:c>
      <x:c r="D236" s="11" t="str">
        <x:v>基准</x:v>
      </x:c>
      <x:c r="E236" s="11" t="n">
        <x:v>35.13</x:v>
      </x:c>
      <x:c r="F236" s="11" t="n">
        <x:v>38.88</x:v>
      </x:c>
      <x:c r="G236" s="11" t="n">
        <x:v>0</x:v>
      </x:c>
      <x:c r="H236" s="25" t="n">
        <x:v>0.10674637062339887</x:v>
      </x:c>
      <x:c r="I236" s="25" t="n">
        <x:v>0.10674637062339887</x:v>
      </x:c>
      <x:c r="J236" s="25" t="str"/>
      <x:c r="K236" s="11" t="n">
        <x:v>1.08</x:v>
      </x:c>
      <x:c r="L236" s="11" t="n">
        <x:v>36</x:v>
      </x:c>
      <x:c r="M236" s="11" t="n">
        <x:v>1</x:v>
      </x:c>
      <x:c r="N236" s="11" t="n">
        <x:v>0</x:v>
      </x:c>
      <x:c r="O236" s="11" t="str"/>
      <x:c r="P236" s="11" t="str"/>
      <x:c r="Q236" s="11" t="str"/>
      <x:c r="R236" s="11" t="str">
        <x:v>haier-bio-pe-v1.0</x:v>
      </x:c>
      <x:c r="S236" s="11" t="str">
        <x:v>2026-10-10</x:v>
      </x:c>
      <x:c r="T236" s="11" t="str">
        <x:f>IF(AND(SUM(IF(K236='假设'!E313,0,1),IF(L236='假设'!F313,0,1),IF(M236='假设'!G313,0,1),IF(N236='假设'!H313,0,1),IF(O236='假设'!I313,0,1),IF(P236='假设'!J313,0,1),IF(Q236='假设'!K313,0,1))=0,U236=V236),"已刷新","待刷新")</x:f>
        <x:v>已刷新</x:v>
      </x:c>
    </x:row>
    <x:row r="237" ht="23" customHeight="1">
      <x:c r="A237" s="11" t="str">
        <x:v>688139.SH</x:v>
      </x:c>
      <x:c r="B237" s="11" t="str">
        <x:v>海尔生物</x:v>
      </x:c>
      <x:c r="C237" s="11" t="str">
        <x:v>半年</x:v>
      </x:c>
      <x:c r="D237" s="11" t="str">
        <x:v>乐观</x:v>
      </x:c>
      <x:c r="E237" s="11" t="n">
        <x:v>35.13</x:v>
      </x:c>
      <x:c r="F237" s="11" t="n">
        <x:v>59.400000000000006</x:v>
      </x:c>
      <x:c r="G237" s="11" t="n">
        <x:v>0</x:v>
      </x:c>
      <x:c r="H237" s="25" t="n">
        <x:v>0.6908625106746371</x:v>
      </x:c>
      <x:c r="I237" s="25" t="n">
        <x:v>0.6908625106746371</x:v>
      </x:c>
      <x:c r="J237" s="25" t="str"/>
      <x:c r="K237" s="11" t="n">
        <x:v>1.32</x:v>
      </x:c>
      <x:c r="L237" s="11" t="n">
        <x:v>45</x:v>
      </x:c>
      <x:c r="M237" s="11" t="n">
        <x:v>1</x:v>
      </x:c>
      <x:c r="N237" s="11" t="n">
        <x:v>0</x:v>
      </x:c>
      <x:c r="O237" s="11" t="str"/>
      <x:c r="P237" s="11" t="str"/>
      <x:c r="Q237" s="11" t="str"/>
      <x:c r="R237" s="11" t="str">
        <x:v>haier-bio-pe-v1.0</x:v>
      </x:c>
      <x:c r="S237" s="11" t="str">
        <x:v>2026-10-10</x:v>
      </x:c>
      <x:c r="T237" s="11" t="str">
        <x:f>IF(AND(SUM(IF(K237='假设'!E314,0,1),IF(L237='假设'!F314,0,1),IF(M237='假设'!G314,0,1),IF(N237='假设'!H314,0,1),IF(O237='假设'!I314,0,1),IF(P237='假设'!J314,0,1),IF(Q237='假设'!K314,0,1))=0,U237=V237),"已刷新","待刷新")</x:f>
        <x:v>已刷新</x:v>
      </x:c>
    </x:row>
    <x:row r="238" ht="23" customHeight="1">
      <x:c r="A238" s="11" t="str">
        <x:v>688139.SH</x:v>
      </x:c>
      <x:c r="B238" s="11" t="str">
        <x:v>海尔生物</x:v>
      </x:c>
      <x:c r="C238" s="11" t="str">
        <x:v>一年</x:v>
      </x:c>
      <x:c r="D238" s="11" t="str">
        <x:v>悲观</x:v>
      </x:c>
      <x:c r="E238" s="11" t="n">
        <x:v>35.13</x:v>
      </x:c>
      <x:c r="F238" s="11" t="n">
        <x:v>19.200000000000003</x:v>
      </x:c>
      <x:c r="G238" s="11" t="n">
        <x:v>0.25</x:v>
      </x:c>
      <x:c r="H238" s="25" t="n">
        <x:v>-0.45345858240819803</x:v>
      </x:c>
      <x:c r="I238" s="25" t="n">
        <x:v>-0.44634215769997154</x:v>
      </x:c>
      <x:c r="J238" s="25" t="str"/>
      <x:c r="K238" s="11" t="n">
        <x:v>0.8</x:v>
      </x:c>
      <x:c r="L238" s="11" t="n">
        <x:v>24</x:v>
      </x:c>
      <x:c r="M238" s="11" t="n">
        <x:v>1</x:v>
      </x:c>
      <x:c r="N238" s="11" t="n">
        <x:v>0.25</x:v>
      </x:c>
      <x:c r="O238" s="11" t="str"/>
      <x:c r="P238" s="11" t="str"/>
      <x:c r="Q238" s="11" t="str"/>
      <x:c r="R238" s="11" t="str">
        <x:v>haier-bio-pe-v1.0</x:v>
      </x:c>
      <x:c r="S238" s="11" t="str">
        <x:v>2026-10-10</x:v>
      </x:c>
      <x:c r="T238" s="11" t="str">
        <x:f>IF(AND(SUM(IF(K238='假设'!E316,0,1),IF(L238='假设'!F316,0,1),IF(M238='假设'!G316,0,1),IF(N238='假设'!H316,0,1),IF(O238='假设'!I316,0,1),IF(P238='假设'!J316,0,1),IF(Q238='假设'!K316,0,1))=0,U238=V238),"已刷新","待刷新")</x:f>
        <x:v>已刷新</x:v>
      </x:c>
    </x:row>
    <x:row r="239" ht="23" customHeight="1">
      <x:c r="A239" s="11" t="str">
        <x:v>688139.SH</x:v>
      </x:c>
      <x:c r="B239" s="11" t="str">
        <x:v>海尔生物</x:v>
      </x:c>
      <x:c r="C239" s="11" t="str">
        <x:v>一年</x:v>
      </x:c>
      <x:c r="D239" s="11" t="str">
        <x:v>基准</x:v>
      </x:c>
      <x:c r="E239" s="11" t="n">
        <x:v>35.13</x:v>
      </x:c>
      <x:c r="F239" s="11" t="n">
        <x:v>45.5</x:v>
      </x:c>
      <x:c r="G239" s="11" t="n">
        <x:v>0.4</x:v>
      </x:c>
      <x:c r="H239" s="25" t="n">
        <x:v>0.2951892968972387</x:v>
      </x:c>
      <x:c r="I239" s="25" t="n">
        <x:v>0.30657557643040123</x:v>
      </x:c>
      <x:c r="J239" s="25" t="str"/>
      <x:c r="K239" s="11" t="n">
        <x:v>1.3</x:v>
      </x:c>
      <x:c r="L239" s="11" t="n">
        <x:v>35</x:v>
      </x:c>
      <x:c r="M239" s="11" t="n">
        <x:v>1</x:v>
      </x:c>
      <x:c r="N239" s="11" t="n">
        <x:v>0.4</x:v>
      </x:c>
      <x:c r="O239" s="11" t="str"/>
      <x:c r="P239" s="11" t="str"/>
      <x:c r="Q239" s="11" t="str"/>
      <x:c r="R239" s="11" t="str">
        <x:v>haier-bio-pe-v1.0</x:v>
      </x:c>
      <x:c r="S239" s="11" t="str">
        <x:v>2026-10-10</x:v>
      </x:c>
      <x:c r="T239" s="11" t="str">
        <x:f>IF(AND(SUM(IF(K239='假设'!E317,0,1),IF(L239='假设'!F317,0,1),IF(M239='假设'!G317,0,1),IF(N239='假设'!H317,0,1),IF(O239='假设'!I317,0,1),IF(P239='假设'!J317,0,1),IF(Q239='假设'!K317,0,1))=0,U239=V239),"已刷新","待刷新")</x:f>
        <x:v>已刷新</x:v>
      </x:c>
    </x:row>
    <x:row r="240" ht="23" customHeight="1">
      <x:c r="A240" s="11" t="str">
        <x:v>688139.SH</x:v>
      </x:c>
      <x:c r="B240" s="11" t="str">
        <x:v>海尔生物</x:v>
      </x:c>
      <x:c r="C240" s="11" t="str">
        <x:v>一年</x:v>
      </x:c>
      <x:c r="D240" s="11" t="str">
        <x:v>乐观</x:v>
      </x:c>
      <x:c r="E240" s="11" t="n">
        <x:v>35.13</x:v>
      </x:c>
      <x:c r="F240" s="11" t="n">
        <x:v>72.6</x:v>
      </x:c>
      <x:c r="G240" s="11" t="n">
        <x:v>0.5</x:v>
      </x:c>
      <x:c r="H240" s="25" t="n">
        <x:v>1.0666097352690005</x:v>
      </x:c>
      <x:c r="I240" s="25" t="n">
        <x:v>1.080842584685454</x:v>
      </x:c>
      <x:c r="J240" s="25" t="str"/>
      <x:c r="K240" s="11" t="n">
        <x:v>1.65</x:v>
      </x:c>
      <x:c r="L240" s="11" t="n">
        <x:v>44</x:v>
      </x:c>
      <x:c r="M240" s="11" t="n">
        <x:v>1</x:v>
      </x:c>
      <x:c r="N240" s="11" t="n">
        <x:v>0.5</x:v>
      </x:c>
      <x:c r="O240" s="11" t="str"/>
      <x:c r="P240" s="11" t="str"/>
      <x:c r="Q240" s="11" t="str"/>
      <x:c r="R240" s="11" t="str">
        <x:v>haier-bio-pe-v1.0</x:v>
      </x:c>
      <x:c r="S240" s="11" t="str">
        <x:v>2026-10-10</x:v>
      </x:c>
      <x:c r="T240" s="11" t="str">
        <x:f>IF(AND(SUM(IF(K240='假设'!E318,0,1),IF(L240='假设'!F318,0,1),IF(M240='假设'!G318,0,1),IF(N240='假设'!H318,0,1),IF(O240='假设'!I318,0,1),IF(P240='假设'!J318,0,1),IF(Q240='假设'!K318,0,1))=0,U240=V240),"已刷新","待刷新")</x:f>
        <x:v>已刷新</x:v>
      </x:c>
    </x:row>
    <x:row r="241" ht="23" customHeight="1">
      <x:c r="A241" s="11" t="str">
        <x:v>688139.SH</x:v>
      </x:c>
      <x:c r="B241" s="11" t="str">
        <x:v>海尔生物</x:v>
      </x:c>
      <x:c r="C241" s="11" t="str">
        <x:v>三年</x:v>
      </x:c>
      <x:c r="D241" s="11" t="str">
        <x:v>悲观</x:v>
      </x:c>
      <x:c r="E241" s="11" t="n">
        <x:v>35.13</x:v>
      </x:c>
      <x:c r="F241" s="11" t="n">
        <x:v>20.9</x:v>
      </x:c>
      <x:c r="G241" s="11" t="n">
        <x:v>1</x:v>
      </x:c>
      <x:c r="H241" s="25" t="n">
        <x:v>-0.4050668943922574</x:v>
      </x:c>
      <x:c r="I241" s="25" t="n">
        <x:v>-0.3766011955593511</x:v>
      </x:c>
      <x:c r="J241" s="25" t="n">
        <x:v>-0.1457427859692615</x:v>
      </x:c>
      <x:c r="K241" s="11" t="n">
        <x:v>0.95</x:v>
      </x:c>
      <x:c r="L241" s="11" t="n">
        <x:v>22</x:v>
      </x:c>
      <x:c r="M241" s="11" t="n">
        <x:v>1</x:v>
      </x:c>
      <x:c r="N241" s="11" t="n">
        <x:v>1</x:v>
      </x:c>
      <x:c r="O241" s="11" t="str"/>
      <x:c r="P241" s="11" t="str"/>
      <x:c r="Q241" s="11" t="str"/>
      <x:c r="R241" s="11" t="str">
        <x:v>haier-bio-pe-v1.0</x:v>
      </x:c>
      <x:c r="S241" s="11" t="str">
        <x:v>2026-10-10</x:v>
      </x:c>
      <x:c r="T241" s="11" t="str">
        <x:f>IF(AND(SUM(IF(K241='假设'!E320,0,1),IF(L241='假设'!F320,0,1),IF(M241='假设'!G320,0,1),IF(N241='假设'!H320,0,1),IF(O241='假设'!I320,0,1),IF(P241='假设'!J320,0,1),IF(Q241='假设'!K320,0,1))=0,U241=V241),"已刷新","待刷新")</x:f>
        <x:v>已刷新</x:v>
      </x:c>
    </x:row>
    <x:row r="242" ht="23" customHeight="1">
      <x:c r="A242" s="11" t="str">
        <x:v>688139.SH</x:v>
      </x:c>
      <x:c r="B242" s="11" t="str">
        <x:v>海尔生物</x:v>
      </x:c>
      <x:c r="C242" s="11" t="str">
        <x:v>三年</x:v>
      </x:c>
      <x:c r="D242" s="11" t="str">
        <x:v>基准</x:v>
      </x:c>
      <x:c r="E242" s="11" t="n">
        <x:v>35.13</x:v>
      </x:c>
      <x:c r="F242" s="11" t="n">
        <x:v>62.4</x:v>
      </x:c>
      <x:c r="G242" s="11" t="n">
        <x:v>1.7</x:v>
      </x:c>
      <x:c r="H242" s="25" t="n">
        <x:v>0.7762596071733558</x:v>
      </x:c>
      <x:c r="I242" s="25" t="n">
        <x:v>0.8246512951892966</x:v>
      </x:c>
      <x:c r="J242" s="25" t="n">
        <x:v>0.22196835688290828</x:v>
      </x:c>
      <x:c r="K242" s="11" t="n">
        <x:v>1.95</x:v>
      </x:c>
      <x:c r="L242" s="11" t="n">
        <x:v>32</x:v>
      </x:c>
      <x:c r="M242" s="11" t="n">
        <x:v>1</x:v>
      </x:c>
      <x:c r="N242" s="11" t="n">
        <x:v>1.7</x:v>
      </x:c>
      <x:c r="O242" s="11" t="str"/>
      <x:c r="P242" s="11" t="str"/>
      <x:c r="Q242" s="11" t="str"/>
      <x:c r="R242" s="11" t="str">
        <x:v>haier-bio-pe-v1.0</x:v>
      </x:c>
      <x:c r="S242" s="11" t="str">
        <x:v>2026-10-10</x:v>
      </x:c>
      <x:c r="T242" s="11" t="str">
        <x:f>IF(AND(SUM(IF(K242='假设'!E321,0,1),IF(L242='假设'!F321,0,1),IF(M242='假设'!G321,0,1),IF(N242='假设'!H321,0,1),IF(O242='假设'!I321,0,1),IF(P242='假设'!J321,0,1),IF(Q242='假设'!K321,0,1))=0,U242=V242),"已刷新","待刷新")</x:f>
        <x:v>已刷新</x:v>
      </x:c>
    </x:row>
    <x:row r="243" ht="23" customHeight="1">
      <x:c r="A243" s="11" t="str">
        <x:v>688139.SH</x:v>
      </x:c>
      <x:c r="B243" s="11" t="str">
        <x:v>海尔生物</x:v>
      </x:c>
      <x:c r="C243" s="11" t="str">
        <x:v>三年</x:v>
      </x:c>
      <x:c r="D243" s="11" t="str">
        <x:v>乐观</x:v>
      </x:c>
      <x:c r="E243" s="11" t="n">
        <x:v>35.13</x:v>
      </x:c>
      <x:c r="F243" s="11" t="n">
        <x:v>120</x:v>
      </x:c>
      <x:c r="G243" s="11" t="n">
        <x:v>2.4</x:v>
      </x:c>
      <x:c r="H243" s="25" t="n">
        <x:v>2.4158838599487615</x:v>
      </x:c>
      <x:c r="I243" s="25" t="n">
        <x:v>2.484201537147737</x:v>
      </x:c>
      <x:c r="J243" s="25" t="n">
        <x:v>0.516006590642381</x:v>
      </x:c>
      <x:c r="K243" s="11" t="n">
        <x:v>3</x:v>
      </x:c>
      <x:c r="L243" s="11" t="n">
        <x:v>40</x:v>
      </x:c>
      <x:c r="M243" s="11" t="n">
        <x:v>1</x:v>
      </x:c>
      <x:c r="N243" s="11" t="n">
        <x:v>2.4</x:v>
      </x:c>
      <x:c r="O243" s="11" t="str"/>
      <x:c r="P243" s="11" t="str"/>
      <x:c r="Q243" s="11" t="str"/>
      <x:c r="R243" s="11" t="str">
        <x:v>haier-bio-pe-v1.0</x:v>
      </x:c>
      <x:c r="S243" s="11" t="str">
        <x:v>2026-10-10</x:v>
      </x:c>
      <x:c r="T243" s="11" t="str">
        <x:f>IF(AND(SUM(IF(K243='假设'!E322,0,1),IF(L243='假设'!F322,0,1),IF(M243='假设'!G322,0,1),IF(N243='假设'!H322,0,1),IF(O243='假设'!I322,0,1),IF(P243='假设'!J322,0,1),IF(Q243='假设'!K322,0,1))=0,U243=V243),"已刷新","待刷新")</x:f>
        <x:v>已刷新</x:v>
      </x:c>
    </x:row>
    <x:row r="244" ht="23" customHeight="1">
      <x:c r="A244" s="11" t="str">
        <x:v>688139.SH</x:v>
      </x:c>
      <x:c r="B244" s="11" t="str">
        <x:v>海尔生物</x:v>
      </x:c>
      <x:c r="C244" s="11" t="str">
        <x:v>五年</x:v>
      </x:c>
      <x:c r="D244" s="11" t="str">
        <x:v>悲观</x:v>
      </x:c>
      <x:c r="E244" s="11" t="n">
        <x:v>35.13</x:v>
      </x:c>
      <x:c r="F244" s="11" t="n">
        <x:v>22</x:v>
      </x:c>
      <x:c r="G244" s="11" t="n">
        <x:v>1.8</x:v>
      </x:c>
      <x:c r="H244" s="25" t="n">
        <x:v>-0.37375462567606044</x:v>
      </x:c>
      <x:c r="I244" s="25" t="n">
        <x:v>-0.3225163677768289</x:v>
      </x:c>
      <x:c r="J244" s="25" t="n">
        <x:v>-0.07491899943024394</x:v>
      </x:c>
      <x:c r="K244" s="11" t="n">
        <x:v>1.1</x:v>
      </x:c>
      <x:c r="L244" s="11" t="n">
        <x:v>20</x:v>
      </x:c>
      <x:c r="M244" s="11" t="n">
        <x:v>1</x:v>
      </x:c>
      <x:c r="N244" s="11" t="n">
        <x:v>1.8</x:v>
      </x:c>
      <x:c r="O244" s="11" t="str"/>
      <x:c r="P244" s="11" t="str"/>
      <x:c r="Q244" s="11" t="str"/>
      <x:c r="R244" s="11" t="str">
        <x:v>haier-bio-pe-v1.0</x:v>
      </x:c>
      <x:c r="S244" s="11" t="str">
        <x:v>2026-10-10</x:v>
      </x:c>
      <x:c r="T244" s="11" t="str">
        <x:f>IF(AND(SUM(IF(K244='假设'!E324,0,1),IF(L244='假设'!F324,0,1),IF(M244='假设'!G324,0,1),IF(N244='假设'!H324,0,1),IF(O244='假设'!I324,0,1),IF(P244='假设'!J324,0,1),IF(Q244='假设'!K324,0,1))=0,U244=V244),"已刷新","待刷新")</x:f>
        <x:v>已刷新</x:v>
      </x:c>
    </x:row>
    <x:row r="245" ht="23" customHeight="1">
      <x:c r="A245" s="11" t="str">
        <x:v>688139.SH</x:v>
      </x:c>
      <x:c r="B245" s="11" t="str">
        <x:v>海尔生物</x:v>
      </x:c>
      <x:c r="C245" s="11" t="str">
        <x:v>五年</x:v>
      </x:c>
      <x:c r="D245" s="11" t="str">
        <x:v>基准</x:v>
      </x:c>
      <x:c r="E245" s="11" t="n">
        <x:v>35.13</x:v>
      </x:c>
      <x:c r="F245" s="11" t="n">
        <x:v>79.5</x:v>
      </x:c>
      <x:c r="G245" s="11" t="n">
        <x:v>3.4</x:v>
      </x:c>
      <x:c r="H245" s="25" t="n">
        <x:v>1.2630230572160546</x:v>
      </x:c>
      <x:c r="I245" s="25" t="n">
        <x:v>1.359806433247936</x:v>
      </x:c>
      <x:c r="J245" s="25" t="n">
        <x:v>0.18734048463188469</x:v>
      </x:c>
      <x:c r="K245" s="11" t="n">
        <x:v>2.65</x:v>
      </x:c>
      <x:c r="L245" s="11" t="n">
        <x:v>30</x:v>
      </x:c>
      <x:c r="M245" s="11" t="n">
        <x:v>1</x:v>
      </x:c>
      <x:c r="N245" s="11" t="n">
        <x:v>3.4</x:v>
      </x:c>
      <x:c r="O245" s="11" t="str"/>
      <x:c r="P245" s="11" t="str"/>
      <x:c r="Q245" s="11" t="str"/>
      <x:c r="R245" s="11" t="str">
        <x:v>haier-bio-pe-v1.0</x:v>
      </x:c>
      <x:c r="S245" s="11" t="str">
        <x:v>2026-10-10</x:v>
      </x:c>
      <x:c r="T245" s="11" t="str">
        <x:f>IF(AND(SUM(IF(K245='假设'!E325,0,1),IF(L245='假设'!F325,0,1),IF(M245='假设'!G325,0,1),IF(N245='假设'!H325,0,1),IF(O245='假设'!I325,0,1),IF(P245='假设'!J325,0,1),IF(Q245='假设'!K325,0,1))=0,U245=V245),"已刷新","待刷新")</x:f>
        <x:v>已刷新</x:v>
      </x:c>
    </x:row>
    <x:row r="246" ht="23" customHeight="1">
      <x:c r="A246" s="11" t="str">
        <x:v>688139.SH</x:v>
      </x:c>
      <x:c r="B246" s="11" t="str">
        <x:v>海尔生物</x:v>
      </x:c>
      <x:c r="C246" s="11" t="str">
        <x:v>五年</x:v>
      </x:c>
      <x:c r="D246" s="11" t="str">
        <x:v>乐观</x:v>
      </x:c>
      <x:c r="E246" s="11" t="n">
        <x:v>35.13</x:v>
      </x:c>
      <x:c r="F246" s="11" t="n">
        <x:v>178.6</x:v>
      </x:c>
      <x:c r="G246" s="11" t="n">
        <x:v>5.2</x:v>
      </x:c>
      <x:c r="H246" s="25" t="n">
        <x:v>4.083973811557073</x:v>
      </x:c>
      <x:c r="I246" s="25" t="n">
        <x:v>4.231995445488186</x:v>
      </x:c>
      <x:c r="J246" s="25" t="n">
        <x:v>0.392302078420959</x:v>
      </x:c>
      <x:c r="K246" s="11" t="n">
        <x:v>4.7</x:v>
      </x:c>
      <x:c r="L246" s="11" t="n">
        <x:v>38</x:v>
      </x:c>
      <x:c r="M246" s="11" t="n">
        <x:v>1</x:v>
      </x:c>
      <x:c r="N246" s="11" t="n">
        <x:v>5.2</x:v>
      </x:c>
      <x:c r="O246" s="11" t="str"/>
      <x:c r="P246" s="11" t="str"/>
      <x:c r="Q246" s="11" t="str"/>
      <x:c r="R246" s="11" t="str">
        <x:v>haier-bio-pe-v1.0</x:v>
      </x:c>
      <x:c r="S246" s="11" t="str">
        <x:v>2026-10-10</x:v>
      </x:c>
      <x:c r="T246" s="11" t="str">
        <x:f>IF(AND(SUM(IF(K246='假设'!E326,0,1),IF(L246='假设'!F326,0,1),IF(M246='假设'!G326,0,1),IF(N246='假设'!H326,0,1),IF(O246='假设'!I326,0,1),IF(P246='假设'!J326,0,1),IF(Q246='假设'!K326,0,1))=0,U246=V246),"已刷新","待刷新")</x:f>
        <x:v>已刷新</x:v>
      </x:c>
    </x:row>
    <x:row r="247" ht="23" customHeight="1">
      <x:c r="A247" s="11" t="str">
        <x:v>03692.HK</x:v>
      </x:c>
      <x:c r="B247" s="11" t="str">
        <x:v>翰森制药</x:v>
      </x:c>
      <x:c r="C247" s="11" t="str">
        <x:v>2026年底</x:v>
      </x:c>
      <x:c r="D247" s="11" t="str">
        <x:v>悲观</x:v>
      </x:c>
      <x:c r="E247" s="11" t="n">
        <x:v>31.54</x:v>
      </x:c>
      <x:c r="F247" s="11" t="n">
        <x:v>22.28352411575563</x:v>
      </x:c>
      <x:c r="G247" s="11" t="n">
        <x:v>0</x:v>
      </x:c>
      <x:c r="H247" s="25" t="n">
        <x:v>-0.2934836995638672</x:v>
      </x:c>
      <x:c r="I247" s="25" t="n">
        <x:v>-0.2934836995638672</x:v>
      </x:c>
      <x:c r="J247" s="25" t="str"/>
      <x:c r="K247" s="11" t="n">
        <x:v>0.72</x:v>
      </x:c>
      <x:c r="L247" s="11" t="n">
        <x:v>23</x:v>
      </x:c>
      <x:c r="M247" s="11" t="n">
        <x:v>1.1</x:v>
      </x:c>
      <x:c r="N247" s="11" t="n">
        <x:v>0</x:v>
      </x:c>
      <x:c r="O247" s="11" t="n">
        <x:v>16.5</x:v>
      </x:c>
      <x:c r="P247" s="11" t="n">
        <x:v>0.2714181818181818</x:v>
      </x:c>
      <x:c r="Q247" s="11" t="n">
        <x:v>6.22</x:v>
      </x:c>
      <x:c r="R247" s="11" t="str">
        <x:v>hansoh-v1</x:v>
      </x:c>
      <x:c r="S247" s="11" t="str">
        <x:v>2026-10-10</x:v>
      </x:c>
      <x:c r="T247" s="11" t="str">
        <x:f>IF(AND(SUM(IF(K247='假设'!E328,0,1),IF(L247='假设'!F328,0,1),IF(M247='假设'!G328,0,1),IF(N247='假设'!H328,0,1),IF(O247='假设'!I328,0,1),IF(P247='假设'!J328,0,1),IF(Q247='假设'!K328,0,1))=0,U247=V247),"已刷新","待刷新")</x:f>
        <x:v>已刷新</x:v>
      </x:c>
      <x:c r="U247" t="n">
        <x:v>23</x:v>
      </x:c>
      <x:c r="V247" t="n">
        <x:f>'假设'!N328</x:f>
        <x:v>23</x:v>
      </x:c>
    </x:row>
    <x:row r="248" ht="23" customHeight="1">
      <x:c r="A248" s="11" t="str">
        <x:v>03692.HK</x:v>
      </x:c>
      <x:c r="B248" s="11" t="str">
        <x:v>翰森制药</x:v>
      </x:c>
      <x:c r="C248" s="11" t="str">
        <x:v>2026年底</x:v>
      </x:c>
      <x:c r="D248" s="11" t="str">
        <x:v>基准</x:v>
      </x:c>
      <x:c r="E248" s="11" t="n">
        <x:v>31.54</x:v>
      </x:c>
      <x:c r="F248" s="11" t="n">
        <x:v>36.9753322528363</x:v>
      </x:c>
      <x:c r="G248" s="11" t="n">
        <x:v>0</x:v>
      </x:c>
      <x:c r="H248" s="25" t="n">
        <x:v>0.17233139672911557</x:v>
      </x:c>
      <x:c r="I248" s="25" t="n">
        <x:v>0.17233139672911557</x:v>
      </x:c>
      <x:c r="J248" s="25" t="str"/>
      <x:c r="K248" s="11" t="n">
        <x:v>0.98</x:v>
      </x:c>
      <x:c r="L248" s="11" t="n">
        <x:v>30</x:v>
      </x:c>
      <x:c r="M248" s="11" t="n">
        <x:v>1.1</x:v>
      </x:c>
      <x:c r="N248" s="11" t="n">
        <x:v>0</x:v>
      </x:c>
      <x:c r="O248" s="11" t="n">
        <x:v>18.8</x:v>
      </x:c>
      <x:c r="P248" s="11" t="n">
        <x:v>0.32162765957446804</x:v>
      </x:c>
      <x:c r="Q248" s="11" t="n">
        <x:v>6.17</x:v>
      </x:c>
      <x:c r="R248" s="11" t="str">
        <x:v>hansoh-v1</x:v>
      </x:c>
      <x:c r="S248" s="11" t="str">
        <x:v>2026-10-10</x:v>
      </x:c>
      <x:c r="T248" s="11" t="str">
        <x:f>IF(AND(SUM(IF(K248='假设'!E329,0,1),IF(L248='假设'!F329,0,1),IF(M248='假设'!G329,0,1),IF(N248='假设'!H329,0,1),IF(O248='假设'!I329,0,1),IF(P248='假设'!J329,0,1),IF(Q248='假设'!K329,0,1))=0,U248=V248),"已刷新","待刷新")</x:f>
        <x:v>待刷新</x:v>
      </x:c>
      <x:c r="U248" t="n">
        <x:v>26</x:v>
      </x:c>
      <x:c r="V248" t="n">
        <x:f>'假设'!N329</x:f>
        <x:v>27</x:v>
      </x:c>
    </x:row>
    <x:row r="249" ht="23" customHeight="1">
      <x:c r="A249" s="11" t="str">
        <x:v>03692.HK</x:v>
      </x:c>
      <x:c r="B249" s="11" t="str">
        <x:v>翰森制药</x:v>
      </x:c>
      <x:c r="C249" s="11" t="str">
        <x:v>2026年底</x:v>
      </x:c>
      <x:c r="D249" s="11" t="str">
        <x:v>乐观</x:v>
      </x:c>
      <x:c r="E249" s="11" t="n">
        <x:v>31.54</x:v>
      </x:c>
      <x:c r="F249" s="11" t="n">
        <x:v>52.14017828200972</x:v>
      </x:c>
      <x:c r="G249" s="11" t="n">
        <x:v>0</x:v>
      </x:c>
      <x:c r="H249" s="25" t="n">
        <x:v>0.6531445238430476</x:v>
      </x:c>
      <x:c r="I249" s="25" t="n">
        <x:v>0.6531445238430476</x:v>
      </x:c>
      <x:c r="J249" s="25" t="str"/>
      <x:c r="K249" s="11" t="n">
        <x:v>1.22</x:v>
      </x:c>
      <x:c r="L249" s="11" t="n">
        <x:v>35</x:v>
      </x:c>
      <x:c r="M249" s="11" t="n">
        <x:v>1.1</x:v>
      </x:c>
      <x:c r="N249" s="11" t="n">
        <x:v>0</x:v>
      </x:c>
      <x:c r="O249" s="11" t="n">
        <x:v>21.5</x:v>
      </x:c>
      <x:c r="P249" s="11" t="n">
        <x:v>0.35011162790697675</x:v>
      </x:c>
      <x:c r="Q249" s="11" t="n">
        <x:v>6.17</x:v>
      </x:c>
      <x:c r="R249" s="11" t="str">
        <x:v>hansoh-v1</x:v>
      </x:c>
      <x:c r="S249" s="11" t="str">
        <x:v>2026-10-10</x:v>
      </x:c>
      <x:c r="T249" s="11" t="str">
        <x:f>IF(AND(SUM(IF(K249='假设'!E330,0,1),IF(L249='假设'!F330,0,1),IF(M249='假设'!G330,0,1),IF(N249='假设'!H330,0,1),IF(O249='假设'!I330,0,1),IF(P249='假设'!J330,0,1),IF(Q249='假设'!K330,0,1))=0,U249=V249),"已刷新","待刷新")</x:f>
        <x:v>已刷新</x:v>
      </x:c>
      <x:c r="U249" t="n">
        <x:v>29</x:v>
      </x:c>
      <x:c r="V249" t="n">
        <x:f>'假设'!N330</x:f>
        <x:v>29</x:v>
      </x:c>
    </x:row>
    <x:row r="250" ht="23" customHeight="1">
      <x:c r="A250" s="11" t="str">
        <x:v>03692.HK</x:v>
      </x:c>
      <x:c r="B250" s="11" t="str">
        <x:v>翰森制药</x:v>
      </x:c>
      <x:c r="C250" s="11" t="str">
        <x:v>半年</x:v>
      </x:c>
      <x:c r="D250" s="11" t="str">
        <x:v>悲观</x:v>
      </x:c>
      <x:c r="E250" s="11" t="n">
        <x:v>31.54</x:v>
      </x:c>
      <x:c r="F250" s="11" t="n">
        <x:v>23.07552411575563</x:v>
      </x:c>
      <x:c r="G250" s="11" t="n">
        <x:v>0</x:v>
      </x:c>
      <x:c r="H250" s="25" t="n">
        <x:v>-0.2683727293672913</x:v>
      </x:c>
      <x:c r="I250" s="25" t="n">
        <x:v>-0.2683727293672913</x:v>
      </x:c>
      <x:c r="J250" s="25" t="str"/>
      <x:c r="K250" s="11" t="n">
        <x:v>0.72</x:v>
      </x:c>
      <x:c r="L250" s="11" t="n">
        <x:v>24</x:v>
      </x:c>
      <x:c r="M250" s="11" t="n">
        <x:v>1.1</x:v>
      </x:c>
      <x:c r="N250" s="11" t="n">
        <x:v>0</x:v>
      </x:c>
      <x:c r="O250" s="11" t="n">
        <x:v>16.5</x:v>
      </x:c>
      <x:c r="P250" s="11" t="n">
        <x:v>0.2714181818181818</x:v>
      </x:c>
      <x:c r="Q250" s="11" t="n">
        <x:v>6.22</x:v>
      </x:c>
      <x:c r="R250" s="11" t="str">
        <x:v>hansoh-v1</x:v>
      </x:c>
      <x:c r="S250" s="11" t="str">
        <x:v>2026-10-10</x:v>
      </x:c>
      <x:c r="T250" s="11" t="str">
        <x:f>IF(AND(SUM(IF(K250='假设'!E332,0,1),IF(L250='假设'!F332,0,1),IF(M250='假设'!G332,0,1),IF(N250='假设'!H332,0,1),IF(O250='假设'!I332,0,1),IF(P250='假设'!J332,0,1),IF(Q250='假设'!K332,0,1))=0,U250=V250),"已刷新","待刷新")</x:f>
        <x:v>已刷新</x:v>
      </x:c>
      <x:c r="U250" t="n">
        <x:v>23</x:v>
      </x:c>
      <x:c r="V250" t="n">
        <x:f>'假设'!N332</x:f>
        <x:v>23</x:v>
      </x:c>
    </x:row>
    <x:row r="251" ht="23" customHeight="1">
      <x:c r="A251" s="11" t="str">
        <x:v>03692.HK</x:v>
      </x:c>
      <x:c r="B251" s="11" t="str">
        <x:v>翰森制药</x:v>
      </x:c>
      <x:c r="C251" s="11" t="str">
        <x:v>半年</x:v>
      </x:c>
      <x:c r="D251" s="11" t="str">
        <x:v>基准</x:v>
      </x:c>
      <x:c r="E251" s="11" t="n">
        <x:v>31.54</x:v>
      </x:c>
      <x:c r="F251" s="11" t="n">
        <x:v>39.13133225283631</x:v>
      </x:c>
      <x:c r="G251" s="11" t="n">
        <x:v>0</x:v>
      </x:c>
      <x:c r="H251" s="25" t="n">
        <x:v>0.24068903781979412</x:v>
      </x:c>
      <x:c r="I251" s="25" t="n">
        <x:v>0.24068903781979412</x:v>
      </x:c>
      <x:c r="J251" s="25" t="str"/>
      <x:c r="K251" s="11" t="n">
        <x:v>0.98</x:v>
      </x:c>
      <x:c r="L251" s="11" t="n">
        <x:v>32</x:v>
      </x:c>
      <x:c r="M251" s="11" t="n">
        <x:v>1.1</x:v>
      </x:c>
      <x:c r="N251" s="11" t="n">
        <x:v>0</x:v>
      </x:c>
      <x:c r="O251" s="11" t="n">
        <x:v>18.8</x:v>
      </x:c>
      <x:c r="P251" s="11" t="n">
        <x:v>0.32162765957446804</x:v>
      </x:c>
      <x:c r="Q251" s="11" t="n">
        <x:v>6.17</x:v>
      </x:c>
      <x:c r="R251" s="11" t="str">
        <x:v>hansoh-v1</x:v>
      </x:c>
      <x:c r="S251" s="11" t="str">
        <x:v>2026-10-10</x:v>
      </x:c>
      <x:c r="T251" s="11" t="str">
        <x:f>IF(AND(SUM(IF(K251='假设'!E333,0,1),IF(L251='假设'!F333,0,1),IF(M251='假设'!G333,0,1),IF(N251='假设'!H333,0,1),IF(O251='假设'!I333,0,1),IF(P251='假设'!J333,0,1),IF(Q251='假设'!K333,0,1))=0,U251=V251),"已刷新","待刷新")</x:f>
        <x:v>已刷新</x:v>
      </x:c>
      <x:c r="U251" t="n">
        <x:v>26</x:v>
      </x:c>
      <x:c r="V251" t="n">
        <x:f>'假设'!N333</x:f>
        <x:v>26</x:v>
      </x:c>
    </x:row>
    <x:row r="252" ht="23" customHeight="1">
      <x:c r="A252" s="11" t="str">
        <x:v>03692.HK</x:v>
      </x:c>
      <x:c r="B252" s="11" t="str">
        <x:v>翰森制药</x:v>
      </x:c>
      <x:c r="C252" s="11" t="str">
        <x:v>半年</x:v>
      </x:c>
      <x:c r="D252" s="11" t="str">
        <x:v>乐观</x:v>
      </x:c>
      <x:c r="E252" s="11" t="n">
        <x:v>31.54</x:v>
      </x:c>
      <x:c r="F252" s="11" t="n">
        <x:v>56.166178282009724</x:v>
      </x:c>
      <x:c r="G252" s="11" t="n">
        <x:v>0</x:v>
      </x:c>
      <x:c r="H252" s="25" t="n">
        <x:v>0.7807919556756413</x:v>
      </x:c>
      <x:c r="I252" s="25" t="n">
        <x:v>0.7807919556756413</x:v>
      </x:c>
      <x:c r="J252" s="25" t="str"/>
      <x:c r="K252" s="11" t="n">
        <x:v>1.22</x:v>
      </x:c>
      <x:c r="L252" s="11" t="n">
        <x:v>38</x:v>
      </x:c>
      <x:c r="M252" s="11" t="n">
        <x:v>1.1</x:v>
      </x:c>
      <x:c r="N252" s="11" t="n">
        <x:v>0</x:v>
      </x:c>
      <x:c r="O252" s="11" t="n">
        <x:v>21.5</x:v>
      </x:c>
      <x:c r="P252" s="11" t="n">
        <x:v>0.35011162790697675</x:v>
      </x:c>
      <x:c r="Q252" s="11" t="n">
        <x:v>6.17</x:v>
      </x:c>
      <x:c r="R252" s="11" t="str">
        <x:v>hansoh-v1</x:v>
      </x:c>
      <x:c r="S252" s="11" t="str">
        <x:v>2026-10-10</x:v>
      </x:c>
      <x:c r="T252" s="11" t="str">
        <x:f>IF(AND(SUM(IF(K252='假设'!E334,0,1),IF(L252='假设'!F334,0,1),IF(M252='假设'!G334,0,1),IF(N252='假设'!H334,0,1),IF(O252='假设'!I334,0,1),IF(P252='假设'!J334,0,1),IF(Q252='假设'!K334,0,1))=0,U252=V252),"已刷新","待刷新")</x:f>
        <x:v>已刷新</x:v>
      </x:c>
      <x:c r="U252" t="n">
        <x:v>29</x:v>
      </x:c>
      <x:c r="V252" t="n">
        <x:f>'假设'!N334</x:f>
        <x:v>29</x:v>
      </x:c>
    </x:row>
    <x:row r="253" ht="23" customHeight="1">
      <x:c r="A253" s="11" t="str">
        <x:v>03692.HK</x:v>
      </x:c>
      <x:c r="B253" s="11" t="str">
        <x:v>翰森制药</x:v>
      </x:c>
      <x:c r="C253" s="11" t="str">
        <x:v>一年</x:v>
      </x:c>
      <x:c r="D253" s="11" t="str">
        <x:v>悲观</x:v>
      </x:c>
      <x:c r="E253" s="11" t="n">
        <x:v>31.54</x:v>
      </x:c>
      <x:c r="F253" s="11" t="n">
        <x:v>23.510666666666665</x:v>
      </x:c>
      <x:c r="G253" s="11" t="n">
        <x:v>0.25</x:v>
      </x:c>
      <x:c r="H253" s="25" t="n">
        <x:v>-0.254576199534982</x:v>
      </x:c>
      <x:c r="I253" s="25" t="n">
        <x:v>-0.24664975692242652</x:v>
      </x:c>
      <x:c r="J253" s="25" t="str"/>
      <x:c r="K253" s="11" t="n">
        <x:v>0.82</x:v>
      </x:c>
      <x:c r="L253" s="11" t="n">
        <x:v>22</x:v>
      </x:c>
      <x:c r="M253" s="11" t="n">
        <x:v>1.1</x:v>
      </x:c>
      <x:c r="N253" s="11" t="n">
        <x:v>0.25</x:v>
      </x:c>
      <x:c r="O253" s="11" t="n">
        <x:v>18.5</x:v>
      </x:c>
      <x:c r="P253" s="11" t="n">
        <x:v>0.27924324324324323</x:v>
      </x:c>
      <x:c r="Q253" s="11" t="n">
        <x:v>6.3</x:v>
      </x:c>
      <x:c r="R253" s="11" t="str">
        <x:v>hansoh-v1</x:v>
      </x:c>
      <x:c r="S253" s="11" t="str">
        <x:v>2026-10-10</x:v>
      </x:c>
      <x:c r="T253" s="11" t="str">
        <x:f>IF(AND(SUM(IF(K253='假设'!E336,0,1),IF(L253='假设'!F336,0,1),IF(M253='假设'!G336,0,1),IF(N253='假设'!H336,0,1),IF(O253='假设'!I336,0,1),IF(P253='假设'!J336,0,1),IF(Q253='假设'!K336,0,1))=0,U253=V253),"已刷新","待刷新")</x:f>
        <x:v>已刷新</x:v>
      </x:c>
      <x:c r="U253" t="n">
        <x:v>21</x:v>
      </x:c>
      <x:c r="V253" t="n">
        <x:f>'假设'!N336</x:f>
        <x:v>21</x:v>
      </x:c>
    </x:row>
    <x:row r="254" ht="23" customHeight="1">
      <x:c r="A254" s="11" t="str">
        <x:v>03692.HK</x:v>
      </x:c>
      <x:c r="B254" s="11" t="str">
        <x:v>翰森制药</x:v>
      </x:c>
      <x:c r="C254" s="11" t="str">
        <x:v>一年</x:v>
      </x:c>
      <x:c r="D254" s="11" t="str">
        <x:v>基准</x:v>
      </x:c>
      <x:c r="E254" s="11" t="n">
        <x:v>31.54</x:v>
      </x:c>
      <x:c r="F254" s="11" t="n">
        <x:v>46.009615384615394</x:v>
      </x:c>
      <x:c r="G254" s="11" t="n">
        <x:v>0.55</x:v>
      </x:c>
      <x:c r="H254" s="25" t="n">
        <x:v>0.45877030388761564</x:v>
      </x:c>
      <x:c r="I254" s="25" t="n">
        <x:v>0.47620847763523755</x:v>
      </x:c>
      <x:c r="J254" s="25" t="str"/>
      <x:c r="K254" s="11" t="n">
        <x:v>1.25</x:v>
      </x:c>
      <x:c r="L254" s="11" t="n">
        <x:v>30</x:v>
      </x:c>
      <x:c r="M254" s="11" t="n">
        <x:v>1.1</x:v>
      </x:c>
      <x:c r="N254" s="11" t="n">
        <x:v>0.55</x:v>
      </x:c>
      <x:c r="O254" s="11" t="n">
        <x:v>23.3</x:v>
      </x:c>
      <x:c r="P254" s="11" t="n">
        <x:v>0.3347639484978541</x:v>
      </x:c>
      <x:c r="Q254" s="11" t="n">
        <x:v>6.24</x:v>
      </x:c>
      <x:c r="R254" s="11" t="str">
        <x:v>hansoh-v1</x:v>
      </x:c>
      <x:c r="S254" s="11" t="str">
        <x:v>2026-10-10</x:v>
      </x:c>
      <x:c r="T254" s="11" t="str">
        <x:f>IF(AND(SUM(IF(K254='假设'!E337,0,1),IF(L254='假设'!F337,0,1),IF(M254='假设'!G337,0,1),IF(N254='假设'!H337,0,1),IF(O254='假设'!I337,0,1),IF(P254='假设'!J337,0,1),IF(Q254='假设'!K337,0,1))=0,U254=V254),"已刷新","待刷新")</x:f>
        <x:v>已刷新</x:v>
      </x:c>
      <x:c r="U254" t="n">
        <x:v>27</x:v>
      </x:c>
      <x:c r="V254" t="n">
        <x:f>'假设'!N337</x:f>
        <x:v>27</x:v>
      </x:c>
    </x:row>
    <x:row r="255" ht="23" customHeight="1">
      <x:c r="A255" s="11" t="str">
        <x:v>03692.HK</x:v>
      </x:c>
      <x:c r="B255" s="11" t="str">
        <x:v>翰森制药</x:v>
      </x:c>
      <x:c r="C255" s="11" t="str">
        <x:v>一年</x:v>
      </x:c>
      <x:c r="D255" s="11" t="str">
        <x:v>乐观</x:v>
      </x:c>
      <x:c r="E255" s="11" t="n">
        <x:v>31.54</x:v>
      </x:c>
      <x:c r="F255" s="11" t="n">
        <x:v>70.98102564102565</x:v>
      </x:c>
      <x:c r="G255" s="11" t="n">
        <x:v>0.75</x:v>
      </x:c>
      <x:c r="H255" s="25" t="n">
        <x:v>1.250508105295677</x:v>
      </x:c>
      <x:c r="I255" s="25" t="n">
        <x:v>1.2742874331333436</x:v>
      </x:c>
      <x:c r="J255" s="25" t="str"/>
      <x:c r="K255" s="11" t="n">
        <x:v>1.65</x:v>
      </x:c>
      <x:c r="L255" s="11" t="n">
        <x:v>36</x:v>
      </x:c>
      <x:c r="M255" s="11" t="n">
        <x:v>1.1</x:v>
      </x:c>
      <x:c r="N255" s="11" t="n">
        <x:v>0.75</x:v>
      </x:c>
      <x:c r="O255" s="11" t="n">
        <x:v>27.8</x:v>
      </x:c>
      <x:c r="P255" s="11" t="n">
        <x:v>0.3703597122302158</x:v>
      </x:c>
      <x:c r="Q255" s="11" t="n">
        <x:v>6.24</x:v>
      </x:c>
      <x:c r="R255" s="11" t="str">
        <x:v>hansoh-v1</x:v>
      </x:c>
      <x:c r="S255" s="11" t="str">
        <x:v>2026-10-10</x:v>
      </x:c>
      <x:c r="T255" s="11" t="str">
        <x:f>IF(AND(SUM(IF(K255='假设'!E338,0,1),IF(L255='假设'!F338,0,1),IF(M255='假设'!G338,0,1),IF(N255='假设'!H338,0,1),IF(O255='假设'!I338,0,1),IF(P255='假设'!J338,0,1),IF(Q255='假设'!K338,0,1))=0,U255=V255),"已刷新","待刷新")</x:f>
        <x:v>已刷新</x:v>
      </x:c>
      <x:c r="U255" t="n">
        <x:v>32</x:v>
      </x:c>
      <x:c r="V255" t="n">
        <x:f>'假设'!N338</x:f>
        <x:v>32</x:v>
      </x:c>
    </x:row>
    <x:row r="256" ht="23" customHeight="1">
      <x:c r="A256" s="11" t="str">
        <x:v>03692.HK</x:v>
      </x:c>
      <x:c r="B256" s="11" t="str">
        <x:v>翰森制药</x:v>
      </x:c>
      <x:c r="C256" s="11" t="str">
        <x:v>三年</x:v>
      </x:c>
      <x:c r="D256" s="11" t="str">
        <x:v>悲观</x:v>
      </x:c>
      <x:c r="E256" s="11" t="n">
        <x:v>31.54</x:v>
      </x:c>
      <x:c r="F256" s="11" t="n">
        <x:v>25.04615384615385</x:v>
      </x:c>
      <x:c r="G256" s="11" t="n">
        <x:v>0.9</x:v>
      </x:c>
      <x:c r="H256" s="25" t="n">
        <x:v>-0.2058923954929026</x:v>
      </x:c>
      <x:c r="I256" s="25" t="n">
        <x:v>-0.177357202087703</x:v>
      </x:c>
      <x:c r="J256" s="25" t="n">
        <x:v>-0.06300537420982988</x:v>
      </x:c>
      <x:c r="K256" s="11" t="n">
        <x:v>1</x:v>
      </x:c>
      <x:c r="L256" s="11" t="n">
        <x:v>20</x:v>
      </x:c>
      <x:c r="M256" s="11" t="n">
        <x:v>1.1</x:v>
      </x:c>
      <x:c r="N256" s="11" t="n">
        <x:v>0.9</x:v>
      </x:c>
      <x:c r="O256" s="11" t="n">
        <x:v>22.2</x:v>
      </x:c>
      <x:c r="P256" s="11" t="n">
        <x:v>0.2927927927927928</x:v>
      </x:c>
      <x:c r="Q256" s="11" t="n">
        <x:v>6.5</x:v>
      </x:c>
      <x:c r="R256" s="11" t="str">
        <x:v>hansoh-v1</x:v>
      </x:c>
      <x:c r="S256" s="11" t="str">
        <x:v>2026-10-10</x:v>
      </x:c>
      <x:c r="T256" s="11" t="str">
        <x:f>IF(AND(SUM(IF(K256='假设'!E340,0,1),IF(L256='假设'!F340,0,1),IF(M256='假设'!G340,0,1),IF(N256='假设'!H340,0,1),IF(O256='假设'!I340,0,1),IF(P256='假设'!J340,0,1),IF(Q256='假设'!K340,0,1))=0,U256=V256),"已刷新","待刷新")</x:f>
        <x:v>已刷新</x:v>
      </x:c>
      <x:c r="U256" t="n">
        <x:v>18</x:v>
      </x:c>
      <x:c r="V256" t="n">
        <x:f>'假设'!N340</x:f>
        <x:v>18</x:v>
      </x:c>
    </x:row>
    <x:row r="257" ht="23" customHeight="1">
      <x:c r="A257" s="11" t="str">
        <x:v>03692.HK</x:v>
      </x:c>
      <x:c r="B257" s="11" t="str">
        <x:v>翰森制药</x:v>
      </x:c>
      <x:c r="C257" s="11" t="str">
        <x:v>三年</x:v>
      </x:c>
      <x:c r="D257" s="11" t="str">
        <x:v>基准</x:v>
      </x:c>
      <x:c r="E257" s="11" t="n">
        <x:v>31.54</x:v>
      </x:c>
      <x:c r="F257" s="11" t="n">
        <x:v>54.896000000000015</x:v>
      </x:c>
      <x:c r="G257" s="11" t="n">
        <x:v>1.9</x:v>
      </x:c>
      <x:c r="H257" s="25" t="n">
        <x:v>0.7405199746353841</x:v>
      </x:c>
      <x:c r="I257" s="25" t="n">
        <x:v>0.8007609384908059</x:v>
      </x:c>
      <x:c r="J257" s="25" t="n">
        <x:v>0.21661178909921164</x:v>
      </x:c>
      <x:c r="K257" s="11" t="n">
        <x:v>1.62</x:v>
      </x:c>
      <x:c r="L257" s="11" t="n">
        <x:v>28</x:v>
      </x:c>
      <x:c r="M257" s="11" t="n">
        <x:v>1.1</x:v>
      </x:c>
      <x:c r="N257" s="11" t="n">
        <x:v>1.9</x:v>
      </x:c>
      <x:c r="O257" s="11" t="n">
        <x:v>30</x:v>
      </x:c>
      <x:c r="P257" s="11" t="n">
        <x:v>0.34452000000000005</x:v>
      </x:c>
      <x:c r="Q257" s="11" t="n">
        <x:v>6.38</x:v>
      </x:c>
      <x:c r="R257" s="11" t="str">
        <x:v>hansoh-v1</x:v>
      </x:c>
      <x:c r="S257" s="11" t="str">
        <x:v>2026-10-10</x:v>
      </x:c>
      <x:c r="T257" s="11" t="str">
        <x:f>IF(AND(SUM(IF(K257='假设'!E341,0,1),IF(L257='假设'!F341,0,1),IF(M257='假设'!G341,0,1),IF(N257='假设'!H341,0,1),IF(O257='假设'!I341,0,1),IF(P257='假设'!J341,0,1),IF(Q257='假设'!K341,0,1))=0,U257=V257),"已刷新","待刷新")</x:f>
        <x:v>已刷新</x:v>
      </x:c>
      <x:c r="U257" t="n">
        <x:v>29</x:v>
      </x:c>
      <x:c r="V257" t="n">
        <x:f>'假设'!N341</x:f>
        <x:v>29</x:v>
      </x:c>
    </x:row>
    <x:row r="258" ht="23" customHeight="1">
      <x:c r="A258" s="11" t="str">
        <x:v>03692.HK</x:v>
      </x:c>
      <x:c r="B258" s="11" t="str">
        <x:v>翰森制药</x:v>
      </x:c>
      <x:c r="C258" s="11" t="str">
        <x:v>三年</x:v>
      </x:c>
      <x:c r="D258" s="11" t="str">
        <x:v>乐观</x:v>
      </x:c>
      <x:c r="E258" s="11" t="n">
        <x:v>31.54</x:v>
      </x:c>
      <x:c r="F258" s="11" t="n">
        <x:v>96.31172413793104</x:v>
      </x:c>
      <x:c r="G258" s="11" t="n">
        <x:v>2.8</x:v>
      </x:c>
      <x:c r="H258" s="25" t="n">
        <x:v>2.0536374171823413</x:v>
      </x:c>
      <x:c r="I258" s="25" t="n">
        <x:v>2.1424135744429624</x:v>
      </x:c>
      <x:c r="J258" s="25" t="n">
        <x:v>0.46471944593134795</x:v>
      </x:c>
      <x:c r="K258" s="11" t="n">
        <x:v>2.4</x:v>
      </x:c>
      <x:c r="L258" s="11" t="n">
        <x:v>34</x:v>
      </x:c>
      <x:c r="M258" s="11" t="n">
        <x:v>1.1</x:v>
      </x:c>
      <x:c r="N258" s="11" t="n">
        <x:v>2.8</x:v>
      </x:c>
      <x:c r="O258" s="11" t="n">
        <x:v>39</x:v>
      </x:c>
      <x:c r="P258" s="11" t="n">
        <x:v>0.3926153846153846</x:v>
      </x:c>
      <x:c r="Q258" s="11" t="n">
        <x:v>6.38</x:v>
      </x:c>
      <x:c r="R258" s="11" t="str">
        <x:v>hansoh-v1</x:v>
      </x:c>
      <x:c r="S258" s="11" t="str">
        <x:v>2026-10-10</x:v>
      </x:c>
      <x:c r="T258" s="11" t="str">
        <x:f>IF(AND(SUM(IF(K258='假设'!E342,0,1),IF(L258='假设'!F342,0,1),IF(M258='假设'!G342,0,1),IF(N258='假设'!H342,0,1),IF(O258='假设'!I342,0,1),IF(P258='假设'!J342,0,1),IF(Q258='假设'!K342,0,1))=0,U258=V258),"已刷新","待刷新")</x:f>
        <x:v>已刷新</x:v>
      </x:c>
      <x:c r="U258" t="n">
        <x:v>38</x:v>
      </x:c>
      <x:c r="V258" t="n">
        <x:f>'假设'!N342</x:f>
        <x:v>38</x:v>
      </x:c>
    </x:row>
    <x:row r="259" ht="23" customHeight="1">
      <x:c r="A259" s="11" t="str">
        <x:v>03692.HK</x:v>
      </x:c>
      <x:c r="B259" s="11" t="str">
        <x:v>翰森制药</x:v>
      </x:c>
      <x:c r="C259" s="11" t="str">
        <x:v>五年</x:v>
      </x:c>
      <x:c r="D259" s="11" t="str">
        <x:v>悲观</x:v>
      </x:c>
      <x:c r="E259" s="11" t="n">
        <x:v>31.54</x:v>
      </x:c>
      <x:c r="F259" s="11" t="n">
        <x:v>25.97140740740741</x:v>
      </x:c>
      <x:c r="G259" s="11" t="n">
        <x:v>1.7</x:v>
      </x:c>
      <x:c r="H259" s="25" t="n">
        <x:v>-0.17655651847154696</x:v>
      </x:c>
      <x:c r="I259" s="25" t="n">
        <x:v>-0.12265670870616963</x:v>
      </x:c>
      <x:c r="J259" s="25" t="n">
        <x:v>-0.025831882503968062</x:v>
      </x:c>
      <x:c r="K259" s="11" t="n">
        <x:v>1.18</x:v>
      </x:c>
      <x:c r="L259" s="11" t="n">
        <x:v>18</x:v>
      </x:c>
      <x:c r="M259" s="11" t="n">
        <x:v>1.1</x:v>
      </x:c>
      <x:c r="N259" s="11" t="n">
        <x:v>1.7</x:v>
      </x:c>
      <x:c r="O259" s="11" t="n">
        <x:v>26.5</x:v>
      </x:c>
      <x:c r="P259" s="11" t="n">
        <x:v>0.30056603773584906</x:v>
      </x:c>
      <x:c r="Q259" s="11" t="n">
        <x:v>6.75</x:v>
      </x:c>
      <x:c r="R259" s="11" t="str">
        <x:v>hansoh-v1</x:v>
      </x:c>
      <x:c r="S259" s="11" t="str">
        <x:v>2026-10-10</x:v>
      </x:c>
      <x:c r="T259" s="11" t="str">
        <x:f>IF(AND(SUM(IF(K259='假设'!E344,0,1),IF(L259='假设'!F344,0,1),IF(M259='假设'!G344,0,1),IF(N259='假设'!H344,0,1),IF(O259='假设'!I344,0,1),IF(P259='假设'!J344,0,1),IF(Q259='假设'!K344,0,1))=0,U259=V259),"已刷新","待刷新")</x:f>
        <x:v>已刷新</x:v>
      </x:c>
      <x:c r="U259" t="n">
        <x:v>16</x:v>
      </x:c>
      <x:c r="V259" t="n">
        <x:f>'假设'!N344</x:f>
        <x:v>16</x:v>
      </x:c>
    </x:row>
    <x:row r="260" ht="23" customHeight="1">
      <x:c r="A260" s="11" t="str">
        <x:v>03692.HK</x:v>
      </x:c>
      <x:c r="B260" s="11" t="str">
        <x:v>翰森制药</x:v>
      </x:c>
      <x:c r="C260" s="11" t="str">
        <x:v>五年</x:v>
      </x:c>
      <x:c r="D260" s="11" t="str">
        <x:v>基准</x:v>
      </x:c>
      <x:c r="E260" s="11" t="n">
        <x:v>31.54</x:v>
      </x:c>
      <x:c r="F260" s="11" t="n">
        <x:v>70.45833333333333</x:v>
      </x:c>
      <x:c r="G260" s="11" t="n">
        <x:v>3.7</x:v>
      </x:c>
      <x:c r="H260" s="25" t="n">
        <x:v>1.2339357429718874</x:v>
      </x:c>
      <x:c r="I260" s="25" t="n">
        <x:v>1.3512470936377086</x:v>
      </x:c>
      <x:c r="J260" s="25" t="n">
        <x:v>0.186477903084036</x:v>
      </x:c>
      <x:c r="K260" s="11" t="n">
        <x:v>2.35</x:v>
      </x:c>
      <x:c r="L260" s="11" t="n">
        <x:v>25</x:v>
      </x:c>
      <x:c r="M260" s="11" t="n">
        <x:v>1.1</x:v>
      </x:c>
      <x:c r="N260" s="11" t="n">
        <x:v>3.7</x:v>
      </x:c>
      <x:c r="O260" s="11" t="n">
        <x:v>43</x:v>
      </x:c>
      <x:c r="P260" s="11" t="n">
        <x:v>0.3606976744186046</x:v>
      </x:c>
      <x:c r="Q260" s="11" t="n">
        <x:v>6.6</x:v>
      </x:c>
      <x:c r="R260" s="11" t="str">
        <x:v>hansoh-v1</x:v>
      </x:c>
      <x:c r="S260" s="11" t="str">
        <x:v>2026-10-10</x:v>
      </x:c>
      <x:c r="T260" s="11" t="str">
        <x:f>IF(AND(SUM(IF(K260='假设'!E345,0,1),IF(L260='假设'!F345,0,1),IF(M260='假设'!G345,0,1),IF(N260='假设'!H345,0,1),IF(O260='假设'!I345,0,1),IF(P260='假设'!J345,0,1),IF(Q260='假设'!K345,0,1))=0,U260=V260),"已刷新","待刷新")</x:f>
        <x:v>已刷新</x:v>
      </x:c>
      <x:c r="U260" t="n">
        <x:v>35</x:v>
      </x:c>
      <x:c r="V260" t="n">
        <x:f>'假设'!N345</x:f>
        <x:v>35</x:v>
      </x:c>
    </x:row>
    <x:row r="261" ht="23" customHeight="1">
      <x:c r="A261" s="11" t="str">
        <x:v>03692.HK</x:v>
      </x:c>
      <x:c r="B261" s="11" t="str">
        <x:v>翰森制药</x:v>
      </x:c>
      <x:c r="C261" s="11" t="str">
        <x:v>五年</x:v>
      </x:c>
      <x:c r="D261" s="11" t="str">
        <x:v>乐观</x:v>
      </x:c>
      <x:c r="E261" s="11" t="n">
        <x:v>31.54</x:v>
      </x:c>
      <x:c r="F261" s="11" t="n">
        <x:v>130.76000000000002</x:v>
      </x:c>
      <x:c r="G261" s="11" t="n">
        <x:v>5.5</x:v>
      </x:c>
      <x:c r="H261" s="25" t="n">
        <x:v>3.1458465440710217</x:v>
      </x:c>
      <x:c r="I261" s="25" t="n">
        <x:v>3.3202282815472426</x:v>
      </x:c>
      <x:c r="J261" s="25" t="n">
        <x:v>0.3399893266735776</x:v>
      </x:c>
      <x:c r="K261" s="11" t="n">
        <x:v>3.6</x:v>
      </x:c>
      <x:c r="L261" s="11" t="n">
        <x:v>31</x:v>
      </x:c>
      <x:c r="M261" s="11" t="n">
        <x:v>1.1</x:v>
      </x:c>
      <x:c r="N261" s="11" t="n">
        <x:v>5.5</x:v>
      </x:c>
      <x:c r="O261" s="11" t="n">
        <x:v>61</x:v>
      </x:c>
      <x:c r="P261" s="11" t="n">
        <x:v>0.38950819672131143</x:v>
      </x:c>
      <x:c r="Q261" s="11" t="n">
        <x:v>6.6</x:v>
      </x:c>
      <x:c r="R261" s="11" t="str">
        <x:v>hansoh-v1</x:v>
      </x:c>
      <x:c r="S261" s="11" t="str">
        <x:v>2026-10-10</x:v>
      </x:c>
      <x:c r="T261" s="11" t="str">
        <x:f>IF(AND(SUM(IF(K261='假设'!E346,0,1),IF(L261='假设'!F346,0,1),IF(M261='假设'!G346,0,1),IF(N261='假设'!H346,0,1),IF(O261='假设'!I346,0,1),IF(P261='假设'!J346,0,1),IF(Q261='假设'!K346,0,1))=0,U261=V261),"已刷新","待刷新")</x:f>
        <x:v>已刷新</x:v>
      </x:c>
      <x:c r="U261" t="n">
        <x:v>48</x:v>
      </x:c>
      <x:c r="V261" t="n">
        <x:f>'假设'!N346</x:f>
        <x:v>48</x:v>
      </x:c>
    </x:row>
    <x:row r="262" ht="23" customHeight="1">
      <x:c r="A262" s="11" t="str">
        <x:v>688131.SH</x:v>
      </x:c>
      <x:c r="B262" s="11" t="str">
        <x:v>皓元医药</x:v>
      </x:c>
      <x:c r="C262" s="11" t="str">
        <x:v>2026年底</x:v>
      </x:c>
      <x:c r="D262" s="11" t="str">
        <x:v>悲观</x:v>
      </x:c>
      <x:c r="E262" s="11" t="n">
        <x:v>93.16</x:v>
      </x:c>
      <x:c r="F262" s="11" t="n">
        <x:v>39.9</x:v>
      </x:c>
      <x:c r="G262" s="11" t="n">
        <x:v>0</x:v>
      </x:c>
      <x:c r="H262" s="25" t="n">
        <x:v>-0.5717045942464577</x:v>
      </x:c>
      <x:c r="I262" s="25" t="n">
        <x:v>-0.5717045942464577</x:v>
      </x:c>
      <x:c r="J262" s="25" t="str"/>
      <x:c r="K262" s="11" t="n">
        <x:v>1.05</x:v>
      </x:c>
      <x:c r="L262" s="11" t="n">
        <x:v>38</x:v>
      </x:c>
      <x:c r="M262" s="11" t="n">
        <x:v>1</x:v>
      </x:c>
      <x:c r="N262" s="11" t="n">
        <x:v>0</x:v>
      </x:c>
      <x:c r="O262" s="11" t="str"/>
      <x:c r="P262" s="11" t="str"/>
      <x:c r="Q262" s="11" t="str"/>
      <x:c r="R262" s="11" t="str">
        <x:v>haoyuan-diluted-pe-v1.0</x:v>
      </x:c>
      <x:c r="S262" s="11" t="str">
        <x:v>2026-10-10</x:v>
      </x:c>
      <x:c r="T262" s="11" t="str">
        <x:f>IF(AND(SUM(IF(K262='假设'!E348,0,1),IF(L262='假设'!F348,0,1),IF(M262='假设'!G348,0,1),IF(N262='假设'!H348,0,1),IF(O262='假设'!I348,0,1),IF(P262='假设'!J348,0,1),IF(Q262='假设'!K348,0,1))=0,U262=V262),"已刷新","待刷新")</x:f>
        <x:v>已刷新</x:v>
      </x:c>
    </x:row>
    <x:row r="263" ht="23" customHeight="1">
      <x:c r="A263" s="11" t="str">
        <x:v>688131.SH</x:v>
      </x:c>
      <x:c r="B263" s="11" t="str">
        <x:v>皓元医药</x:v>
      </x:c>
      <x:c r="C263" s="11" t="str">
        <x:v>2026年底</x:v>
      </x:c>
      <x:c r="D263" s="11" t="str">
        <x:v>基准</x:v>
      </x:c>
      <x:c r="E263" s="11" t="n">
        <x:v>93.16</x:v>
      </x:c>
      <x:c r="F263" s="11" t="n">
        <x:v>89.9</x:v>
      </x:c>
      <x:c r="G263" s="11" t="n">
        <x:v>0</x:v>
      </x:c>
      <x:c r="H263" s="25" t="n">
        <x:v>-0.034993559467582536</x:v>
      </x:c>
      <x:c r="I263" s="25" t="n">
        <x:v>-0.034993559467582536</x:v>
      </x:c>
      <x:c r="J263" s="25" t="str"/>
      <x:c r="K263" s="11" t="n">
        <x:v>1.55</x:v>
      </x:c>
      <x:c r="L263" s="11" t="n">
        <x:v>58</x:v>
      </x:c>
      <x:c r="M263" s="11" t="n">
        <x:v>1</x:v>
      </x:c>
      <x:c r="N263" s="11" t="n">
        <x:v>0</x:v>
      </x:c>
      <x:c r="O263" s="11" t="str"/>
      <x:c r="P263" s="11" t="str"/>
      <x:c r="Q263" s="11" t="str"/>
      <x:c r="R263" s="11" t="str">
        <x:v>haoyuan-diluted-pe-v1.0</x:v>
      </x:c>
      <x:c r="S263" s="11" t="str">
        <x:v>2026-10-10</x:v>
      </x:c>
      <x:c r="T263" s="11" t="str">
        <x:f>IF(AND(SUM(IF(K263='假设'!E349,0,1),IF(L263='假设'!F349,0,1),IF(M263='假设'!G349,0,1),IF(N263='假设'!H349,0,1),IF(O263='假设'!I349,0,1),IF(P263='假设'!J349,0,1),IF(Q263='假设'!K349,0,1))=0,U263=V263),"已刷新","待刷新")</x:f>
        <x:v>已刷新</x:v>
      </x:c>
    </x:row>
    <x:row r="264" ht="23" customHeight="1">
      <x:c r="A264" s="11" t="str">
        <x:v>688131.SH</x:v>
      </x:c>
      <x:c r="B264" s="11" t="str">
        <x:v>皓元医药</x:v>
      </x:c>
      <x:c r="C264" s="11" t="str">
        <x:v>2026年底</x:v>
      </x:c>
      <x:c r="D264" s="11" t="str">
        <x:v>乐观</x:v>
      </x:c>
      <x:c r="E264" s="11" t="n">
        <x:v>93.16</x:v>
      </x:c>
      <x:c r="F264" s="11" t="n">
        <x:v>133.20000000000002</x:v>
      </x:c>
      <x:c r="G264" s="11" t="n">
        <x:v>0</x:v>
      </x:c>
      <x:c r="H264" s="25" t="n">
        <x:v>0.42979819665092345</x:v>
      </x:c>
      <x:c r="I264" s="25" t="n">
        <x:v>0.42979819665092345</x:v>
      </x:c>
      <x:c r="J264" s="25" t="str"/>
      <x:c r="K264" s="11" t="n">
        <x:v>1.85</x:v>
      </x:c>
      <x:c r="L264" s="11" t="n">
        <x:v>72</x:v>
      </x:c>
      <x:c r="M264" s="11" t="n">
        <x:v>1</x:v>
      </x:c>
      <x:c r="N264" s="11" t="n">
        <x:v>0</x:v>
      </x:c>
      <x:c r="O264" s="11" t="str"/>
      <x:c r="P264" s="11" t="str"/>
      <x:c r="Q264" s="11" t="str"/>
      <x:c r="R264" s="11" t="str">
        <x:v>haoyuan-diluted-pe-v1.0</x:v>
      </x:c>
      <x:c r="S264" s="11" t="str">
        <x:v>2026-10-10</x:v>
      </x:c>
      <x:c r="T264" s="11" t="str">
        <x:f>IF(AND(SUM(IF(K264='假设'!E350,0,1),IF(L264='假设'!F350,0,1),IF(M264='假设'!G350,0,1),IF(N264='假设'!H350,0,1),IF(O264='假设'!I350,0,1),IF(P264='假设'!J350,0,1),IF(Q264='假设'!K350,0,1))=0,U264=V264),"已刷新","待刷新")</x:f>
        <x:v>已刷新</x:v>
      </x:c>
    </x:row>
    <x:row r="265" ht="23" customHeight="1">
      <x:c r="A265" s="11" t="str">
        <x:v>688131.SH</x:v>
      </x:c>
      <x:c r="B265" s="11" t="str">
        <x:v>皓元医药</x:v>
      </x:c>
      <x:c r="C265" s="11" t="str">
        <x:v>半年</x:v>
      </x:c>
      <x:c r="D265" s="11" t="str">
        <x:v>悲观</x:v>
      </x:c>
      <x:c r="E265" s="11" t="n">
        <x:v>93.16</x:v>
      </x:c>
      <x:c r="F265" s="11" t="n">
        <x:v>39.6</x:v>
      </x:c>
      <x:c r="G265" s="11" t="n">
        <x:v>0</x:v>
      </x:c>
      <x:c r="H265" s="25" t="n">
        <x:v>-0.5749248604551309</x:v>
      </x:c>
      <x:c r="I265" s="25" t="n">
        <x:v>-0.5749248604551309</x:v>
      </x:c>
      <x:c r="J265" s="25" t="str"/>
      <x:c r="K265" s="11" t="n">
        <x:v>1.1</x:v>
      </x:c>
      <x:c r="L265" s="11" t="n">
        <x:v>36</x:v>
      </x:c>
      <x:c r="M265" s="11" t="n">
        <x:v>1</x:v>
      </x:c>
      <x:c r="N265" s="11" t="n">
        <x:v>0</x:v>
      </x:c>
      <x:c r="O265" s="11" t="str"/>
      <x:c r="P265" s="11" t="str"/>
      <x:c r="Q265" s="11" t="str"/>
      <x:c r="R265" s="11" t="str">
        <x:v>haoyuan-diluted-pe-v1.0</x:v>
      </x:c>
      <x:c r="S265" s="11" t="str">
        <x:v>2026-10-10</x:v>
      </x:c>
      <x:c r="T265" s="11" t="str">
        <x:f>IF(AND(SUM(IF(K265='假设'!E352,0,1),IF(L265='假设'!F352,0,1),IF(M265='假设'!G352,0,1),IF(N265='假设'!H352,0,1),IF(O265='假设'!I352,0,1),IF(P265='假设'!J352,0,1),IF(Q265='假设'!K352,0,1))=0,U265=V265),"已刷新","待刷新")</x:f>
        <x:v>已刷新</x:v>
      </x:c>
    </x:row>
    <x:row r="266" ht="23" customHeight="1">
      <x:c r="A266" s="11" t="str">
        <x:v>688131.SH</x:v>
      </x:c>
      <x:c r="B266" s="11" t="str">
        <x:v>皓元医药</x:v>
      </x:c>
      <x:c r="C266" s="11" t="str">
        <x:v>半年</x:v>
      </x:c>
      <x:c r="D266" s="11" t="str">
        <x:v>基准</x:v>
      </x:c>
      <x:c r="E266" s="11" t="n">
        <x:v>93.16</x:v>
      </x:c>
      <x:c r="F266" s="11" t="n">
        <x:v>99</x:v>
      </x:c>
      <x:c r="G266" s="11" t="n">
        <x:v>0</x:v>
      </x:c>
      <x:c r="H266" s="25" t="n">
        <x:v>0.06268784886217271</x:v>
      </x:c>
      <x:c r="I266" s="25" t="n">
        <x:v>0.06268784886217271</x:v>
      </x:c>
      <x:c r="J266" s="25" t="str"/>
      <x:c r="K266" s="11" t="n">
        <x:v>1.8</x:v>
      </x:c>
      <x:c r="L266" s="11" t="n">
        <x:v>55</x:v>
      </x:c>
      <x:c r="M266" s="11" t="n">
        <x:v>1</x:v>
      </x:c>
      <x:c r="N266" s="11" t="n">
        <x:v>0</x:v>
      </x:c>
      <x:c r="O266" s="11" t="str"/>
      <x:c r="P266" s="11" t="str"/>
      <x:c r="Q266" s="11" t="str"/>
      <x:c r="R266" s="11" t="str">
        <x:v>haoyuan-diluted-pe-v1.0</x:v>
      </x:c>
      <x:c r="S266" s="11" t="str">
        <x:v>2026-10-10</x:v>
      </x:c>
      <x:c r="T266" s="11" t="str">
        <x:f>IF(AND(SUM(IF(K266='假设'!E353,0,1),IF(L266='假设'!F353,0,1),IF(M266='假设'!G353,0,1),IF(N266='假设'!H353,0,1),IF(O266='假设'!I353,0,1),IF(P266='假设'!J353,0,1),IF(Q266='假设'!K353,0,1))=0,U266=V266),"已刷新","待刷新")</x:f>
        <x:v>已刷新</x:v>
      </x:c>
    </x:row>
    <x:row r="267" ht="23" customHeight="1">
      <x:c r="A267" s="11" t="str">
        <x:v>688131.SH</x:v>
      </x:c>
      <x:c r="B267" s="11" t="str">
        <x:v>皓元医药</x:v>
      </x:c>
      <x:c r="C267" s="11" t="str">
        <x:v>半年</x:v>
      </x:c>
      <x:c r="D267" s="11" t="str">
        <x:v>乐观</x:v>
      </x:c>
      <x:c r="E267" s="11" t="n">
        <x:v>93.16</x:v>
      </x:c>
      <x:c r="F267" s="11" t="n">
        <x:v>161</x:v>
      </x:c>
      <x:c r="G267" s="11" t="n">
        <x:v>0</x:v>
      </x:c>
      <x:c r="H267" s="25" t="n">
        <x:v>0.7282095319879778</x:v>
      </x:c>
      <x:c r="I267" s="25" t="n">
        <x:v>0.7282095319879778</x:v>
      </x:c>
      <x:c r="J267" s="25" t="str"/>
      <x:c r="K267" s="11" t="n">
        <x:v>2.3</x:v>
      </x:c>
      <x:c r="L267" s="11" t="n">
        <x:v>70</x:v>
      </x:c>
      <x:c r="M267" s="11" t="n">
        <x:v>1</x:v>
      </x:c>
      <x:c r="N267" s="11" t="n">
        <x:v>0</x:v>
      </x:c>
      <x:c r="O267" s="11" t="str"/>
      <x:c r="P267" s="11" t="str"/>
      <x:c r="Q267" s="11" t="str"/>
      <x:c r="R267" s="11" t="str">
        <x:v>haoyuan-diluted-pe-v1.0</x:v>
      </x:c>
      <x:c r="S267" s="11" t="str">
        <x:v>2026-10-10</x:v>
      </x:c>
      <x:c r="T267" s="11" t="str">
        <x:f>IF(AND(SUM(IF(K267='假设'!E354,0,1),IF(L267='假设'!F354,0,1),IF(M267='假设'!G354,0,1),IF(N267='假设'!H354,0,1),IF(O267='假设'!I354,0,1),IF(P267='假设'!J354,0,1),IF(Q267='假设'!K354,0,1))=0,U267=V267),"已刷新","待刷新")</x:f>
        <x:v>已刷新</x:v>
      </x:c>
    </x:row>
    <x:row r="268" ht="23" customHeight="1">
      <x:c r="A268" s="11" t="str">
        <x:v>688131.SH</x:v>
      </x:c>
      <x:c r="B268" s="11" t="str">
        <x:v>皓元医药</x:v>
      </x:c>
      <x:c r="C268" s="11" t="str">
        <x:v>一年</x:v>
      </x:c>
      <x:c r="D268" s="11" t="str">
        <x:v>悲观</x:v>
      </x:c>
      <x:c r="E268" s="11" t="n">
        <x:v>93.16</x:v>
      </x:c>
      <x:c r="F268" s="11" t="n">
        <x:v>40.8</x:v>
      </x:c>
      <x:c r="G268" s="11" t="n">
        <x:v>0.15</x:v>
      </x:c>
      <x:c r="H268" s="25" t="n">
        <x:v>-0.562043795620438</x:v>
      </x:c>
      <x:c r="I268" s="25" t="n">
        <x:v>-0.5604336625161014</x:v>
      </x:c>
      <x:c r="J268" s="25" t="str"/>
      <x:c r="K268" s="11" t="n">
        <x:v>1.2</x:v>
      </x:c>
      <x:c r="L268" s="11" t="n">
        <x:v>34</x:v>
      </x:c>
      <x:c r="M268" s="11" t="n">
        <x:v>1</x:v>
      </x:c>
      <x:c r="N268" s="11" t="n">
        <x:v>0.15</x:v>
      </x:c>
      <x:c r="O268" s="11" t="str"/>
      <x:c r="P268" s="11" t="str"/>
      <x:c r="Q268" s="11" t="str"/>
      <x:c r="R268" s="11" t="str">
        <x:v>haoyuan-diluted-pe-v1.0</x:v>
      </x:c>
      <x:c r="S268" s="11" t="str">
        <x:v>2026-10-10</x:v>
      </x:c>
      <x:c r="T268" s="11" t="str">
        <x:f>IF(AND(SUM(IF(K268='假设'!E356,0,1),IF(L268='假设'!F356,0,1),IF(M268='假设'!G356,0,1),IF(N268='假设'!H356,0,1),IF(O268='假设'!I356,0,1),IF(P268='假设'!J356,0,1),IF(Q268='假设'!K356,0,1))=0,U268=V268),"已刷新","待刷新")</x:f>
        <x:v>已刷新</x:v>
      </x:c>
    </x:row>
    <x:row r="269" ht="23" customHeight="1">
      <x:c r="A269" s="11" t="str">
        <x:v>688131.SH</x:v>
      </x:c>
      <x:c r="B269" s="11" t="str">
        <x:v>皓元医药</x:v>
      </x:c>
      <x:c r="C269" s="11" t="str">
        <x:v>一年</x:v>
      </x:c>
      <x:c r="D269" s="11" t="str">
        <x:v>基准</x:v>
      </x:c>
      <x:c r="E269" s="11" t="n">
        <x:v>93.16</x:v>
      </x:c>
      <x:c r="F269" s="11" t="n">
        <x:v>117</x:v>
      </x:c>
      <x:c r="G269" s="11" t="n">
        <x:v>0.28</x:v>
      </x:c>
      <x:c r="H269" s="25" t="n">
        <x:v>0.25590382138256773</x:v>
      </x:c>
      <x:c r="I269" s="25" t="n">
        <x:v>0.25890940317732936</x:v>
      </x:c>
      <x:c r="J269" s="25" t="str"/>
      <x:c r="K269" s="11" t="n">
        <x:v>2.25</x:v>
      </x:c>
      <x:c r="L269" s="11" t="n">
        <x:v>52</x:v>
      </x:c>
      <x:c r="M269" s="11" t="n">
        <x:v>1</x:v>
      </x:c>
      <x:c r="N269" s="11" t="n">
        <x:v>0.28</x:v>
      </x:c>
      <x:c r="O269" s="11" t="str"/>
      <x:c r="P269" s="11" t="str"/>
      <x:c r="Q269" s="11" t="str"/>
      <x:c r="R269" s="11" t="str">
        <x:v>haoyuan-diluted-pe-v1.0</x:v>
      </x:c>
      <x:c r="S269" s="11" t="str">
        <x:v>2026-10-10</x:v>
      </x:c>
      <x:c r="T269" s="11" t="str">
        <x:f>IF(AND(SUM(IF(K269='假设'!E357,0,1),IF(L269='假设'!F357,0,1),IF(M269='假设'!G357,0,1),IF(N269='假设'!H357,0,1),IF(O269='假设'!I357,0,1),IF(P269='假设'!J357,0,1),IF(Q269='假设'!K357,0,1))=0,U269=V269),"已刷新","待刷新")</x:f>
        <x:v>已刷新</x:v>
      </x:c>
    </x:row>
    <x:row r="270" ht="23" customHeight="1">
      <x:c r="A270" s="11" t="str">
        <x:v>688131.SH</x:v>
      </x:c>
      <x:c r="B270" s="11" t="str">
        <x:v>皓元医药</x:v>
      </x:c>
      <x:c r="C270" s="11" t="str">
        <x:v>一年</x:v>
      </x:c>
      <x:c r="D270" s="11" t="str">
        <x:v>乐观</x:v>
      </x:c>
      <x:c r="E270" s="11" t="n">
        <x:v>93.16</x:v>
      </x:c>
      <x:c r="F270" s="11" t="n">
        <x:v>195</x:v>
      </x:c>
      <x:c r="G270" s="11" t="n">
        <x:v>0.4</x:v>
      </x:c>
      <x:c r="H270" s="25" t="n">
        <x:v>1.0931730356376126</x:v>
      </x:c>
      <x:c r="I270" s="25" t="n">
        <x:v>1.097466723915844</x:v>
      </x:c>
      <x:c r="J270" s="25" t="str"/>
      <x:c r="K270" s="11" t="n">
        <x:v>3</x:v>
      </x:c>
      <x:c r="L270" s="11" t="n">
        <x:v>65</x:v>
      </x:c>
      <x:c r="M270" s="11" t="n">
        <x:v>1</x:v>
      </x:c>
      <x:c r="N270" s="11" t="n">
        <x:v>0.4</x:v>
      </x:c>
      <x:c r="O270" s="11" t="str"/>
      <x:c r="P270" s="11" t="str"/>
      <x:c r="Q270" s="11" t="str"/>
      <x:c r="R270" s="11" t="str">
        <x:v>haoyuan-diluted-pe-v1.0</x:v>
      </x:c>
      <x:c r="S270" s="11" t="str">
        <x:v>2026-10-10</x:v>
      </x:c>
      <x:c r="T270" s="11" t="str">
        <x:f>IF(AND(SUM(IF(K270='假设'!E358,0,1),IF(L270='假设'!F358,0,1),IF(M270='假设'!G358,0,1),IF(N270='假设'!H358,0,1),IF(O270='假设'!I358,0,1),IF(P270='假设'!J358,0,1),IF(Q270='假设'!K358,0,1))=0,U270=V270),"已刷新","待刷新")</x:f>
        <x:v>已刷新</x:v>
      </x:c>
    </x:row>
    <x:row r="271" ht="23" customHeight="1">
      <x:c r="A271" s="11" t="str">
        <x:v>688131.SH</x:v>
      </x:c>
      <x:c r="B271" s="11" t="str">
        <x:v>皓元医药</x:v>
      </x:c>
      <x:c r="C271" s="11" t="str">
        <x:v>三年</x:v>
      </x:c>
      <x:c r="D271" s="11" t="str">
        <x:v>悲观</x:v>
      </x:c>
      <x:c r="E271" s="11" t="n">
        <x:v>93.16</x:v>
      </x:c>
      <x:c r="F271" s="11" t="n">
        <x:v>45</x:v>
      </x:c>
      <x:c r="G271" s="11" t="n">
        <x:v>0.5</x:v>
      </x:c>
      <x:c r="H271" s="25" t="n">
        <x:v>-0.5169600686990125</x:v>
      </x:c>
      <x:c r="I271" s="25" t="n">
        <x:v>-0.5115929583512238</x:v>
      </x:c>
      <x:c r="J271" s="25" t="n">
        <x:v>-0.21248172826873069</x:v>
      </x:c>
      <x:c r="K271" s="11" t="n">
        <x:v>1.5</x:v>
      </x:c>
      <x:c r="L271" s="11" t="n">
        <x:v>30</x:v>
      </x:c>
      <x:c r="M271" s="11" t="n">
        <x:v>1</x:v>
      </x:c>
      <x:c r="N271" s="11" t="n">
        <x:v>0.5</x:v>
      </x:c>
      <x:c r="O271" s="11" t="str"/>
      <x:c r="P271" s="11" t="str"/>
      <x:c r="Q271" s="11" t="str"/>
      <x:c r="R271" s="11" t="str">
        <x:v>haoyuan-diluted-pe-v1.0</x:v>
      </x:c>
      <x:c r="S271" s="11" t="str">
        <x:v>2026-10-10</x:v>
      </x:c>
      <x:c r="T271" s="11" t="str">
        <x:f>IF(AND(SUM(IF(K271='假设'!E360,0,1),IF(L271='假设'!F360,0,1),IF(M271='假设'!G360,0,1),IF(N271='假设'!H360,0,1),IF(O271='假设'!I360,0,1),IF(P271='假设'!J360,0,1),IF(Q271='假设'!K360,0,1))=0,U271=V271),"已刷新","待刷新")</x:f>
        <x:v>已刷新</x:v>
      </x:c>
    </x:row>
    <x:row r="272" ht="23" customHeight="1">
      <x:c r="A272" s="11" t="str">
        <x:v>688131.SH</x:v>
      </x:c>
      <x:c r="B272" s="11" t="str">
        <x:v>皓元医药</x:v>
      </x:c>
      <x:c r="C272" s="11" t="str">
        <x:v>三年</x:v>
      </x:c>
      <x:c r="D272" s="11" t="str">
        <x:v>基准</x:v>
      </x:c>
      <x:c r="E272" s="11" t="n">
        <x:v>93.16</x:v>
      </x:c>
      <x:c r="F272" s="11" t="n">
        <x:v>171.6</x:v>
      </x:c>
      <x:c r="G272" s="11" t="n">
        <x:v>1.1</x:v>
      </x:c>
      <x:c r="H272" s="25" t="n">
        <x:v>0.8419922713610992</x:v>
      </x:c>
      <x:c r="I272" s="25" t="n">
        <x:v>0.8537999141262345</x:v>
      </x:c>
      <x:c r="J272" s="25" t="n">
        <x:v>0.22844095201019288</x:v>
      </x:c>
      <x:c r="K272" s="11" t="n">
        <x:v>3.9</x:v>
      </x:c>
      <x:c r="L272" s="11" t="n">
        <x:v>44</x:v>
      </x:c>
      <x:c r="M272" s="11" t="n">
        <x:v>1</x:v>
      </x:c>
      <x:c r="N272" s="11" t="n">
        <x:v>1.1</x:v>
      </x:c>
      <x:c r="O272" s="11" t="str"/>
      <x:c r="P272" s="11" t="str"/>
      <x:c r="Q272" s="11" t="str"/>
      <x:c r="R272" s="11" t="str">
        <x:v>haoyuan-diluted-pe-v1.0</x:v>
      </x:c>
      <x:c r="S272" s="11" t="str">
        <x:v>2026-10-10</x:v>
      </x:c>
      <x:c r="T272" s="11" t="str">
        <x:f>IF(AND(SUM(IF(K272='假设'!E361,0,1),IF(L272='假设'!F361,0,1),IF(M272='假设'!G361,0,1),IF(N272='假设'!H361,0,1),IF(O272='假设'!I361,0,1),IF(P272='假设'!J361,0,1),IF(Q272='假设'!K361,0,1))=0,U272=V272),"已刷新","待刷新")</x:f>
        <x:v>已刷新</x:v>
      </x:c>
    </x:row>
    <x:row r="273" ht="23" customHeight="1">
      <x:c r="A273" s="11" t="str">
        <x:v>688131.SH</x:v>
      </x:c>
      <x:c r="B273" s="11" t="str">
        <x:v>皓元医药</x:v>
      </x:c>
      <x:c r="C273" s="11" t="str">
        <x:v>三年</x:v>
      </x:c>
      <x:c r="D273" s="11" t="str">
        <x:v>乐观</x:v>
      </x:c>
      <x:c r="E273" s="11" t="n">
        <x:v>93.16</x:v>
      </x:c>
      <x:c r="F273" s="11" t="n">
        <x:v>377</x:v>
      </x:c>
      <x:c r="G273" s="11" t="n">
        <x:v>1.7</x:v>
      </x:c>
      <x:c r="H273" s="25" t="n">
        <x:v>3.046801202232718</x:v>
      </x:c>
      <x:c r="I273" s="25" t="n">
        <x:v>3.0650493774151997</x:v>
      </x:c>
      <x:c r="J273" s="25" t="n">
        <x:v>0.5959597774811132</x:v>
      </x:c>
      <x:c r="K273" s="11" t="n">
        <x:v>6.5</x:v>
      </x:c>
      <x:c r="L273" s="11" t="n">
        <x:v>58</x:v>
      </x:c>
      <x:c r="M273" s="11" t="n">
        <x:v>1</x:v>
      </x:c>
      <x:c r="N273" s="11" t="n">
        <x:v>1.7</x:v>
      </x:c>
      <x:c r="O273" s="11" t="str"/>
      <x:c r="P273" s="11" t="str"/>
      <x:c r="Q273" s="11" t="str"/>
      <x:c r="R273" s="11" t="str">
        <x:v>haoyuan-diluted-pe-v1.0</x:v>
      </x:c>
      <x:c r="S273" s="11" t="str">
        <x:v>2026-10-10</x:v>
      </x:c>
      <x:c r="T273" s="11" t="str">
        <x:f>IF(AND(SUM(IF(K273='假设'!E362,0,1),IF(L273='假设'!F362,0,1),IF(M273='假设'!G362,0,1),IF(N273='假设'!H362,0,1),IF(O273='假设'!I362,0,1),IF(P273='假设'!J362,0,1),IF(Q273='假设'!K362,0,1))=0,U273=V273),"已刷新","待刷新")</x:f>
        <x:v>已刷新</x:v>
      </x:c>
    </x:row>
    <x:row r="274" ht="23" customHeight="1">
      <x:c r="A274" s="11" t="str">
        <x:v>688131.SH</x:v>
      </x:c>
      <x:c r="B274" s="11" t="str">
        <x:v>皓元医药</x:v>
      </x:c>
      <x:c r="C274" s="11" t="str">
        <x:v>五年</x:v>
      </x:c>
      <x:c r="D274" s="11" t="str">
        <x:v>悲观</x:v>
      </x:c>
      <x:c r="E274" s="11" t="n">
        <x:v>93.16</x:v>
      </x:c>
      <x:c r="F274" s="11" t="n">
        <x:v>46.800000000000004</x:v>
      </x:c>
      <x:c r="G274" s="11" t="n">
        <x:v>1</x:v>
      </x:c>
      <x:c r="H274" s="25" t="n">
        <x:v>-0.49763847144697293</x:v>
      </x:c>
      <x:c r="I274" s="25" t="n">
        <x:v>-0.48690425075139543</x:v>
      </x:c>
      <x:c r="J274" s="25" t="n">
        <x:v>-0.12493627009857577</x:v>
      </x:c>
      <x:c r="K274" s="11" t="n">
        <x:v>1.8</x:v>
      </x:c>
      <x:c r="L274" s="11" t="n">
        <x:v>26</x:v>
      </x:c>
      <x:c r="M274" s="11" t="n">
        <x:v>1</x:v>
      </x:c>
      <x:c r="N274" s="11" t="n">
        <x:v>1</x:v>
      </x:c>
      <x:c r="O274" s="11" t="str"/>
      <x:c r="P274" s="11" t="str"/>
      <x:c r="Q274" s="11" t="str"/>
      <x:c r="R274" s="11" t="str">
        <x:v>haoyuan-diluted-pe-v1.0</x:v>
      </x:c>
      <x:c r="S274" s="11" t="str">
        <x:v>2026-10-10</x:v>
      </x:c>
      <x:c r="T274" s="11" t="str">
        <x:f>IF(AND(SUM(IF(K274='假设'!E364,0,1),IF(L274='假设'!F364,0,1),IF(M274='假设'!G364,0,1),IF(N274='假设'!H364,0,1),IF(O274='假设'!I364,0,1),IF(P274='假设'!J364,0,1),IF(Q274='假设'!K364,0,1))=0,U274=V274),"已刷新","待刷新")</x:f>
        <x:v>已刷新</x:v>
      </x:c>
    </x:row>
    <x:row r="275" ht="23" customHeight="1">
      <x:c r="A275" s="11" t="str">
        <x:v>688131.SH</x:v>
      </x:c>
      <x:c r="B275" s="11" t="str">
        <x:v>皓元医药</x:v>
      </x:c>
      <x:c r="C275" s="11" t="str">
        <x:v>五年</x:v>
      </x:c>
      <x:c r="D275" s="11" t="str">
        <x:v>基准</x:v>
      </x:c>
      <x:c r="E275" s="11" t="n">
        <x:v>93.16</x:v>
      </x:c>
      <x:c r="F275" s="11" t="n">
        <x:v>209</x:v>
      </x:c>
      <x:c r="G275" s="11" t="n">
        <x:v>2.3</x:v>
      </x:c>
      <x:c r="H275" s="25" t="n">
        <x:v>1.2434521253756978</x:v>
      </x:c>
      <x:c r="I275" s="25" t="n">
        <x:v>1.2681408329755262</x:v>
      </x:c>
      <x:c r="J275" s="25" t="n">
        <x:v>0.17796938499274906</x:v>
      </x:c>
      <x:c r="K275" s="11" t="n">
        <x:v>5.5</x:v>
      </x:c>
      <x:c r="L275" s="11" t="n">
        <x:v>38</x:v>
      </x:c>
      <x:c r="M275" s="11" t="n">
        <x:v>1</x:v>
      </x:c>
      <x:c r="N275" s="11" t="n">
        <x:v>2.3</x:v>
      </x:c>
      <x:c r="O275" s="11" t="str"/>
      <x:c r="P275" s="11" t="str"/>
      <x:c r="Q275" s="11" t="str"/>
      <x:c r="R275" s="11" t="str">
        <x:v>haoyuan-diluted-pe-v1.0</x:v>
      </x:c>
      <x:c r="S275" s="11" t="str">
        <x:v>2026-10-10</x:v>
      </x:c>
      <x:c r="T275" s="11" t="str">
        <x:f>IF(AND(SUM(IF(K275='假设'!E365,0,1),IF(L275='假设'!F365,0,1),IF(M275='假设'!G365,0,1),IF(N275='假设'!H365,0,1),IF(O275='假设'!I365,0,1),IF(P275='假设'!J365,0,1),IF(Q275='假设'!K365,0,1))=0,U275=V275),"已刷新","待刷新")</x:f>
        <x:v>已刷新</x:v>
      </x:c>
    </x:row>
    <x:row r="276" ht="23" customHeight="1">
      <x:c r="A276" s="11" t="str">
        <x:v>688131.SH</x:v>
      </x:c>
      <x:c r="B276" s="11" t="str">
        <x:v>皓元医药</x:v>
      </x:c>
      <x:c r="C276" s="11" t="str">
        <x:v>五年</x:v>
      </x:c>
      <x:c r="D276" s="11" t="str">
        <x:v>乐观</x:v>
      </x:c>
      <x:c r="E276" s="11" t="n">
        <x:v>93.16</x:v>
      </x:c>
      <x:c r="F276" s="11" t="n">
        <x:v>500</x:v>
      </x:c>
      <x:c r="G276" s="11" t="n">
        <x:v>4</x:v>
      </x:c>
      <x:c r="H276" s="25" t="n">
        <x:v>4.367110347788751</x:v>
      </x:c>
      <x:c r="I276" s="25" t="n">
        <x:v>4.4100472305710605</x:v>
      </x:c>
      <x:c r="J276" s="25" t="n">
        <x:v>0.40165203313875364</x:v>
      </x:c>
      <x:c r="K276" s="11" t="n">
        <x:v>10</x:v>
      </x:c>
      <x:c r="L276" s="11" t="n">
        <x:v>50</x:v>
      </x:c>
      <x:c r="M276" s="11" t="n">
        <x:v>1</x:v>
      </x:c>
      <x:c r="N276" s="11" t="n">
        <x:v>4</x:v>
      </x:c>
      <x:c r="O276" s="11" t="str"/>
      <x:c r="P276" s="11" t="str"/>
      <x:c r="Q276" s="11" t="str"/>
      <x:c r="R276" s="11" t="str">
        <x:v>haoyuan-diluted-pe-v1.0</x:v>
      </x:c>
      <x:c r="S276" s="11" t="str">
        <x:v>2026-10-10</x:v>
      </x:c>
      <x:c r="T276" s="11" t="str">
        <x:f>IF(AND(SUM(IF(K276='假设'!E366,0,1),IF(L276='假设'!F366,0,1),IF(M276='假设'!G366,0,1),IF(N276='假设'!H366,0,1),IF(O276='假设'!I366,0,1),IF(P276='假设'!J366,0,1),IF(Q276='假设'!K366,0,1))=0,U276=V276),"已刷新","待刷新")</x:f>
        <x:v>已刷新</x:v>
      </x:c>
    </x:row>
    <x:row r="277" ht="23" customHeight="1">
      <x:c r="A277" s="11" t="str">
        <x:v>600276.SH</x:v>
      </x:c>
      <x:c r="B277" s="11" t="str">
        <x:v>恒瑞医药</x:v>
      </x:c>
      <x:c r="C277" s="11" t="str">
        <x:v>2026年底</x:v>
      </x:c>
      <x:c r="D277" s="11" t="str">
        <x:v>悲观</x:v>
      </x:c>
      <x:c r="E277" s="11" t="n">
        <x:v>46.85</x:v>
      </x:c>
      <x:c r="F277" s="11" t="n">
        <x:v>26.400000000000002</x:v>
      </x:c>
      <x:c r="G277" s="11" t="n">
        <x:v>0</x:v>
      </x:c>
      <x:c r="H277" s="25" t="n">
        <x:v>-0.4364994663820704</x:v>
      </x:c>
      <x:c r="I277" s="25" t="n">
        <x:v>-0.4364994663820704</x:v>
      </x:c>
      <x:c r="J277" s="25" t="str"/>
      <x:c r="K277" s="11" t="n">
        <x:v>1.1</x:v>
      </x:c>
      <x:c r="L277" s="11" t="n">
        <x:v>24</x:v>
      </x:c>
      <x:c r="M277" s="11" t="n">
        <x:v>1</x:v>
      </x:c>
      <x:c r="N277" s="11" t="n">
        <x:v>0</x:v>
      </x:c>
      <x:c r="O277" s="11" t="str"/>
      <x:c r="P277" s="11" t="str"/>
      <x:c r="Q277" s="11" t="str"/>
      <x:c r="R277" s="11" t="str">
        <x:v>hengrui-normalized-ntm-pe-v1.0</x:v>
      </x:c>
      <x:c r="S277" s="11" t="str">
        <x:v>2026-10-10</x:v>
      </x:c>
      <x:c r="T277" s="11" t="str">
        <x:f>IF(AND(SUM(IF(K277='假设'!E368,0,1),IF(L277='假设'!F368,0,1),IF(M277='假设'!G368,0,1),IF(N277='假设'!H368,0,1),IF(O277='假设'!I368,0,1),IF(P277='假设'!J368,0,1),IF(Q277='假设'!K368,0,1))=0,U277=V277),"已刷新","待刷新")</x:f>
        <x:v>已刷新</x:v>
      </x:c>
    </x:row>
    <x:row r="278" ht="23" customHeight="1">
      <x:c r="A278" s="11" t="str">
        <x:v>600276.SH</x:v>
      </x:c>
      <x:c r="B278" s="11" t="str">
        <x:v>恒瑞医药</x:v>
      </x:c>
      <x:c r="C278" s="11" t="str">
        <x:v>2026年底</x:v>
      </x:c>
      <x:c r="D278" s="11" t="str">
        <x:v>基准</x:v>
      </x:c>
      <x:c r="E278" s="11" t="n">
        <x:v>46.85</x:v>
      </x:c>
      <x:c r="F278" s="11" t="n">
        <x:v>49.3</x:v>
      </x:c>
      <x:c r="G278" s="11" t="n">
        <x:v>0</x:v>
      </x:c>
      <x:c r="H278" s="25" t="n">
        <x:v>0.05229455709711828</x:v>
      </x:c>
      <x:c r="I278" s="25" t="n">
        <x:v>0.05229455709711828</x:v>
      </x:c>
      <x:c r="J278" s="25" t="str"/>
      <x:c r="K278" s="11" t="n">
        <x:v>1.45</x:v>
      </x:c>
      <x:c r="L278" s="11" t="n">
        <x:v>34</x:v>
      </x:c>
      <x:c r="M278" s="11" t="n">
        <x:v>1</x:v>
      </x:c>
      <x:c r="N278" s="11" t="n">
        <x:v>0</x:v>
      </x:c>
      <x:c r="O278" s="11" t="str"/>
      <x:c r="P278" s="11" t="str"/>
      <x:c r="Q278" s="11" t="str"/>
      <x:c r="R278" s="11" t="str">
        <x:v>hengrui-normalized-ntm-pe-v1.0</x:v>
      </x:c>
      <x:c r="S278" s="11" t="str">
        <x:v>2026-10-10</x:v>
      </x:c>
      <x:c r="T278" s="11" t="str">
        <x:f>IF(AND(SUM(IF(K278='假设'!E369,0,1),IF(L278='假设'!F369,0,1),IF(M278='假设'!G369,0,1),IF(N278='假设'!H369,0,1),IF(O278='假设'!I369,0,1),IF(P278='假设'!J369,0,1),IF(Q278='假设'!K369,0,1))=0,U278=V278),"已刷新","待刷新")</x:f>
        <x:v>已刷新</x:v>
      </x:c>
    </x:row>
    <x:row r="279" ht="23" customHeight="1">
      <x:c r="A279" s="11" t="str">
        <x:v>600276.SH</x:v>
      </x:c>
      <x:c r="B279" s="11" t="str">
        <x:v>恒瑞医药</x:v>
      </x:c>
      <x:c r="C279" s="11" t="str">
        <x:v>2026年底</x:v>
      </x:c>
      <x:c r="D279" s="11" t="str">
        <x:v>乐观</x:v>
      </x:c>
      <x:c r="E279" s="11" t="n">
        <x:v>46.85</x:v>
      </x:c>
      <x:c r="F279" s="11" t="n">
        <x:v>79.2</x:v>
      </x:c>
      <x:c r="G279" s="11" t="n">
        <x:v>0</x:v>
      </x:c>
      <x:c r="H279" s="25" t="n">
        <x:v>0.6905016008537888</x:v>
      </x:c>
      <x:c r="I279" s="25" t="n">
        <x:v>0.6905016008537888</x:v>
      </x:c>
      <x:c r="J279" s="25" t="str"/>
      <x:c r="K279" s="11" t="n">
        <x:v>1.8</x:v>
      </x:c>
      <x:c r="L279" s="11" t="n">
        <x:v>44</x:v>
      </x:c>
      <x:c r="M279" s="11" t="n">
        <x:v>1</x:v>
      </x:c>
      <x:c r="N279" s="11" t="n">
        <x:v>0</x:v>
      </x:c>
      <x:c r="O279" s="11" t="str"/>
      <x:c r="P279" s="11" t="str"/>
      <x:c r="Q279" s="11" t="str"/>
      <x:c r="R279" s="11" t="str">
        <x:v>hengrui-normalized-ntm-pe-v1.0</x:v>
      </x:c>
      <x:c r="S279" s="11" t="str">
        <x:v>2026-10-10</x:v>
      </x:c>
      <x:c r="T279" s="11" t="str">
        <x:f>IF(AND(SUM(IF(K279='假设'!E370,0,1),IF(L279='假设'!F370,0,1),IF(M279='假设'!G370,0,1),IF(N279='假设'!H370,0,1),IF(O279='假设'!I370,0,1),IF(P279='假设'!J370,0,1),IF(Q279='假设'!K370,0,1))=0,U279=V279),"已刷新","待刷新")</x:f>
        <x:v>已刷新</x:v>
      </x:c>
    </x:row>
    <x:row r="280" ht="23" customHeight="1">
      <x:c r="A280" s="11" t="str">
        <x:v>600276.SH</x:v>
      </x:c>
      <x:c r="B280" s="11" t="str">
        <x:v>恒瑞医药</x:v>
      </x:c>
      <x:c r="C280" s="11" t="str">
        <x:v>半年</x:v>
      </x:c>
      <x:c r="D280" s="11" t="str">
        <x:v>悲观</x:v>
      </x:c>
      <x:c r="E280" s="11" t="n">
        <x:v>46.85</x:v>
      </x:c>
      <x:c r="F280" s="11" t="n">
        <x:v>27.599999999999998</x:v>
      </x:c>
      <x:c r="G280" s="11" t="n">
        <x:v>0</x:v>
      </x:c>
      <x:c r="H280" s="25" t="n">
        <x:v>-0.41088580576307365</x:v>
      </x:c>
      <x:c r="I280" s="25" t="n">
        <x:v>-0.41088580576307365</x:v>
      </x:c>
      <x:c r="J280" s="25" t="str"/>
      <x:c r="K280" s="11" t="n">
        <x:v>1.15</x:v>
      </x:c>
      <x:c r="L280" s="11" t="n">
        <x:v>24</x:v>
      </x:c>
      <x:c r="M280" s="11" t="n">
        <x:v>1</x:v>
      </x:c>
      <x:c r="N280" s="11" t="n">
        <x:v>0</x:v>
      </x:c>
      <x:c r="O280" s="11" t="str"/>
      <x:c r="P280" s="11" t="str"/>
      <x:c r="Q280" s="11" t="str"/>
      <x:c r="R280" s="11" t="str">
        <x:v>hengrui-normalized-ntm-pe-v1.0</x:v>
      </x:c>
      <x:c r="S280" s="11" t="str">
        <x:v>2026-10-10</x:v>
      </x:c>
      <x:c r="T280" s="11" t="str">
        <x:f>IF(AND(SUM(IF(K280='假设'!E372,0,1),IF(L280='假设'!F372,0,1),IF(M280='假设'!G372,0,1),IF(N280='假设'!H372,0,1),IF(O280='假设'!I372,0,1),IF(P280='假设'!J372,0,1),IF(Q280='假设'!K372,0,1))=0,U280=V280),"已刷新","待刷新")</x:f>
        <x:v>已刷新</x:v>
      </x:c>
    </x:row>
    <x:row r="281" ht="23" customHeight="1">
      <x:c r="A281" s="11" t="str">
        <x:v>600276.SH</x:v>
      </x:c>
      <x:c r="B281" s="11" t="str">
        <x:v>恒瑞医药</x:v>
      </x:c>
      <x:c r="C281" s="11" t="str">
        <x:v>半年</x:v>
      </x:c>
      <x:c r="D281" s="11" t="str">
        <x:v>基准</x:v>
      </x:c>
      <x:c r="E281" s="11" t="n">
        <x:v>46.85</x:v>
      </x:c>
      <x:c r="F281" s="11" t="n">
        <x:v>57.6</x:v>
      </x:c>
      <x:c r="G281" s="11" t="n">
        <x:v>0</x:v>
      </x:c>
      <x:c r="H281" s="25" t="n">
        <x:v>0.22945570971184637</x:v>
      </x:c>
      <x:c r="I281" s="25" t="n">
        <x:v>0.22945570971184637</x:v>
      </x:c>
      <x:c r="J281" s="25" t="str"/>
      <x:c r="K281" s="11" t="n">
        <x:v>1.6</x:v>
      </x:c>
      <x:c r="L281" s="11" t="n">
        <x:v>36</x:v>
      </x:c>
      <x:c r="M281" s="11" t="n">
        <x:v>1</x:v>
      </x:c>
      <x:c r="N281" s="11" t="n">
        <x:v>0</x:v>
      </x:c>
      <x:c r="O281" s="11" t="str"/>
      <x:c r="P281" s="11" t="str"/>
      <x:c r="Q281" s="11" t="str"/>
      <x:c r="R281" s="11" t="str">
        <x:v>hengrui-normalized-ntm-pe-v1.0</x:v>
      </x:c>
      <x:c r="S281" s="11" t="str">
        <x:v>2026-10-10</x:v>
      </x:c>
      <x:c r="T281" s="11" t="str">
        <x:f>IF(AND(SUM(IF(K281='假设'!E373,0,1),IF(L281='假设'!F373,0,1),IF(M281='假设'!G373,0,1),IF(N281='假设'!H373,0,1),IF(O281='假设'!I373,0,1),IF(P281='假设'!J373,0,1),IF(Q281='假设'!K373,0,1))=0,U281=V281),"已刷新","待刷新")</x:f>
        <x:v>已刷新</x:v>
      </x:c>
    </x:row>
    <x:row r="282" ht="23" customHeight="1">
      <x:c r="A282" s="11" t="str">
        <x:v>600276.SH</x:v>
      </x:c>
      <x:c r="B282" s="11" t="str">
        <x:v>恒瑞医药</x:v>
      </x:c>
      <x:c r="C282" s="11" t="str">
        <x:v>半年</x:v>
      </x:c>
      <x:c r="D282" s="11" t="str">
        <x:v>乐观</x:v>
      </x:c>
      <x:c r="E282" s="11" t="n">
        <x:v>46.85</x:v>
      </x:c>
      <x:c r="F282" s="11" t="n">
        <x:v>90</x:v>
      </x:c>
      <x:c r="G282" s="11" t="n">
        <x:v>0</x:v>
      </x:c>
      <x:c r="H282" s="25" t="n">
        <x:v>0.9210245464247597</x:v>
      </x:c>
      <x:c r="I282" s="25" t="n">
        <x:v>0.9210245464247597</x:v>
      </x:c>
      <x:c r="J282" s="25" t="str"/>
      <x:c r="K282" s="11" t="n">
        <x:v>2</x:v>
      </x:c>
      <x:c r="L282" s="11" t="n">
        <x:v>45</x:v>
      </x:c>
      <x:c r="M282" s="11" t="n">
        <x:v>1</x:v>
      </x:c>
      <x:c r="N282" s="11" t="n">
        <x:v>0</x:v>
      </x:c>
      <x:c r="O282" s="11" t="str"/>
      <x:c r="P282" s="11" t="str"/>
      <x:c r="Q282" s="11" t="str"/>
      <x:c r="R282" s="11" t="str">
        <x:v>hengrui-normalized-ntm-pe-v1.0</x:v>
      </x:c>
      <x:c r="S282" s="11" t="str">
        <x:v>2026-10-10</x:v>
      </x:c>
      <x:c r="T282" s="11" t="str">
        <x:f>IF(AND(SUM(IF(K282='假设'!E374,0,1),IF(L282='假设'!F374,0,1),IF(M282='假设'!G374,0,1),IF(N282='假设'!H374,0,1),IF(O282='假设'!I374,0,1),IF(P282='假设'!J374,0,1),IF(Q282='假设'!K374,0,1))=0,U282=V282),"已刷新","待刷新")</x:f>
        <x:v>已刷新</x:v>
      </x:c>
    </x:row>
    <x:row r="283" ht="23" customHeight="1">
      <x:c r="A283" s="11" t="str">
        <x:v>600276.SH</x:v>
      </x:c>
      <x:c r="B283" s="11" t="str">
        <x:v>恒瑞医药</x:v>
      </x:c>
      <x:c r="C283" s="11" t="str">
        <x:v>一年</x:v>
      </x:c>
      <x:c r="D283" s="11" t="str">
        <x:v>悲观</x:v>
      </x:c>
      <x:c r="E283" s="11" t="n">
        <x:v>46.85</x:v>
      </x:c>
      <x:c r="F283" s="11" t="n">
        <x:v>30</x:v>
      </x:c>
      <x:c r="G283" s="11" t="n">
        <x:v>0.15</x:v>
      </x:c>
      <x:c r="H283" s="25" t="n">
        <x:v>-0.3596584845250801</x:v>
      </x:c>
      <x:c r="I283" s="25" t="n">
        <x:v>-0.3564567769477055</x:v>
      </x:c>
      <x:c r="J283" s="25" t="str"/>
      <x:c r="K283" s="11" t="n">
        <x:v>1.25</x:v>
      </x:c>
      <x:c r="L283" s="11" t="n">
        <x:v>24</x:v>
      </x:c>
      <x:c r="M283" s="11" t="n">
        <x:v>1</x:v>
      </x:c>
      <x:c r="N283" s="11" t="n">
        <x:v>0.15</x:v>
      </x:c>
      <x:c r="O283" s="11" t="str"/>
      <x:c r="P283" s="11" t="str"/>
      <x:c r="Q283" s="11" t="str"/>
      <x:c r="R283" s="11" t="str">
        <x:v>hengrui-normalized-ntm-pe-v1.0</x:v>
      </x:c>
      <x:c r="S283" s="11" t="str">
        <x:v>2026-10-10</x:v>
      </x:c>
      <x:c r="T283" s="11" t="str">
        <x:f>IF(AND(SUM(IF(K283='假设'!E376,0,1),IF(L283='假设'!F376,0,1),IF(M283='假设'!G376,0,1),IF(N283='假设'!H376,0,1),IF(O283='假设'!I376,0,1),IF(P283='假设'!J376,0,1),IF(Q283='假设'!K376,0,1))=0,U283=V283),"已刷新","待刷新")</x:f>
        <x:v>已刷新</x:v>
      </x:c>
    </x:row>
    <x:row r="284" ht="23" customHeight="1">
      <x:c r="A284" s="11" t="str">
        <x:v>600276.SH</x:v>
      </x:c>
      <x:c r="B284" s="11" t="str">
        <x:v>恒瑞医药</x:v>
      </x:c>
      <x:c r="C284" s="11" t="str">
        <x:v>一年</x:v>
      </x:c>
      <x:c r="D284" s="11" t="str">
        <x:v>基准</x:v>
      </x:c>
      <x:c r="E284" s="11" t="n">
        <x:v>46.85</x:v>
      </x:c>
      <x:c r="F284" s="11" t="n">
        <x:v>64.8</x:v>
      </x:c>
      <x:c r="G284" s="11" t="n">
        <x:v>0.25</x:v>
      </x:c>
      <x:c r="H284" s="25" t="n">
        <x:v>0.38313767342582694</x:v>
      </x:c>
      <x:c r="I284" s="25" t="n">
        <x:v>0.3884738527214513</x:v>
      </x:c>
      <x:c r="J284" s="25" t="str"/>
      <x:c r="K284" s="11" t="n">
        <x:v>1.8</x:v>
      </x:c>
      <x:c r="L284" s="11" t="n">
        <x:v>36</x:v>
      </x:c>
      <x:c r="M284" s="11" t="n">
        <x:v>1</x:v>
      </x:c>
      <x:c r="N284" s="11" t="n">
        <x:v>0.25</x:v>
      </x:c>
      <x:c r="O284" s="11" t="str"/>
      <x:c r="P284" s="11" t="str"/>
      <x:c r="Q284" s="11" t="str"/>
      <x:c r="R284" s="11" t="str">
        <x:v>hengrui-normalized-ntm-pe-v1.0</x:v>
      </x:c>
      <x:c r="S284" s="11" t="str">
        <x:v>2026-10-10</x:v>
      </x:c>
      <x:c r="T284" s="11" t="str">
        <x:f>IF(AND(SUM(IF(K284='假设'!E377,0,1),IF(L284='假设'!F377,0,1),IF(M284='假设'!G377,0,1),IF(N284='假设'!H377,0,1),IF(O284='假设'!I377,0,1),IF(P284='假设'!J377,0,1),IF(Q284='假设'!K377,0,1))=0,U284=V284),"已刷新","待刷新")</x:f>
        <x:v>已刷新</x:v>
      </x:c>
    </x:row>
    <x:row r="285" ht="23" customHeight="1">
      <x:c r="A285" s="11" t="str">
        <x:v>600276.SH</x:v>
      </x:c>
      <x:c r="B285" s="11" t="str">
        <x:v>恒瑞医药</x:v>
      </x:c>
      <x:c r="C285" s="11" t="str">
        <x:v>一年</x:v>
      </x:c>
      <x:c r="D285" s="11" t="str">
        <x:v>乐观</x:v>
      </x:c>
      <x:c r="E285" s="11" t="n">
        <x:v>46.85</x:v>
      </x:c>
      <x:c r="F285" s="11" t="n">
        <x:v>108.10000000000001</x:v>
      </x:c>
      <x:c r="G285" s="11" t="n">
        <x:v>0.35</x:v>
      </x:c>
      <x:c r="H285" s="25" t="n">
        <x:v>1.3073639274279616</x:v>
      </x:c>
      <x:c r="I285" s="25" t="n">
        <x:v>1.3148345784418356</x:v>
      </x:c>
      <x:c r="J285" s="25" t="str"/>
      <x:c r="K285" s="11" t="n">
        <x:v>2.35</x:v>
      </x:c>
      <x:c r="L285" s="11" t="n">
        <x:v>46</x:v>
      </x:c>
      <x:c r="M285" s="11" t="n">
        <x:v>1</x:v>
      </x:c>
      <x:c r="N285" s="11" t="n">
        <x:v>0.35</x:v>
      </x:c>
      <x:c r="O285" s="11" t="str"/>
      <x:c r="P285" s="11" t="str"/>
      <x:c r="Q285" s="11" t="str"/>
      <x:c r="R285" s="11" t="str">
        <x:v>hengrui-normalized-ntm-pe-v1.0</x:v>
      </x:c>
      <x:c r="S285" s="11" t="str">
        <x:v>2026-10-10</x:v>
      </x:c>
      <x:c r="T285" s="11" t="str">
        <x:f>IF(AND(SUM(IF(K285='假设'!E378,0,1),IF(L285='假设'!F378,0,1),IF(M285='假设'!G378,0,1),IF(N285='假设'!H378,0,1),IF(O285='假设'!I378,0,1),IF(P285='假设'!J378,0,1),IF(Q285='假设'!K378,0,1))=0,U285=V285),"已刷新","待刷新")</x:f>
        <x:v>已刷新</x:v>
      </x:c>
    </x:row>
    <x:row r="286" ht="23" customHeight="1">
      <x:c r="A286" s="11" t="str">
        <x:v>600276.SH</x:v>
      </x:c>
      <x:c r="B286" s="11" t="str">
        <x:v>恒瑞医药</x:v>
      </x:c>
      <x:c r="C286" s="11" t="str">
        <x:v>三年</x:v>
      </x:c>
      <x:c r="D286" s="11" t="str">
        <x:v>悲观</x:v>
      </x:c>
      <x:c r="E286" s="11" t="n">
        <x:v>46.85</x:v>
      </x:c>
      <x:c r="F286" s="11" t="n">
        <x:v>30.799999999999997</x:v>
      </x:c>
      <x:c r="G286" s="11" t="n">
        <x:v>0.5</x:v>
      </x:c>
      <x:c r="H286" s="25" t="n">
        <x:v>-0.3425827107790823</x:v>
      </x:c>
      <x:c r="I286" s="25" t="n">
        <x:v>-0.3319103521878336</x:v>
      </x:c>
      <x:c r="J286" s="25" t="n">
        <x:v>-0.12579843269773738</x:v>
      </x:c>
      <x:c r="K286" s="11" t="n">
        <x:v>1.4</x:v>
      </x:c>
      <x:c r="L286" s="11" t="n">
        <x:v>22</x:v>
      </x:c>
      <x:c r="M286" s="11" t="n">
        <x:v>1</x:v>
      </x:c>
      <x:c r="N286" s="11" t="n">
        <x:v>0.5</x:v>
      </x:c>
      <x:c r="O286" s="11" t="str"/>
      <x:c r="P286" s="11" t="str"/>
      <x:c r="Q286" s="11" t="str"/>
      <x:c r="R286" s="11" t="str">
        <x:v>hengrui-normalized-ntm-pe-v1.0</x:v>
      </x:c>
      <x:c r="S286" s="11" t="str">
        <x:v>2026-10-10</x:v>
      </x:c>
      <x:c r="T286" s="11" t="str">
        <x:f>IF(AND(SUM(IF(K286='假设'!E380,0,1),IF(L286='假设'!F380,0,1),IF(M286='假设'!G380,0,1),IF(N286='假设'!H380,0,1),IF(O286='假设'!I380,0,1),IF(P286='假设'!J380,0,1),IF(Q286='假设'!K380,0,1))=0,U286=V286),"已刷新","待刷新")</x:f>
        <x:v>已刷新</x:v>
      </x:c>
    </x:row>
    <x:row r="287" ht="23" customHeight="1">
      <x:c r="A287" s="11" t="str">
        <x:v>600276.SH</x:v>
      </x:c>
      <x:c r="B287" s="11" t="str">
        <x:v>恒瑞医药</x:v>
      </x:c>
      <x:c r="C287" s="11" t="str">
        <x:v>三年</x:v>
      </x:c>
      <x:c r="D287" s="11" t="str">
        <x:v>基准</x:v>
      </x:c>
      <x:c r="E287" s="11" t="n">
        <x:v>46.85</x:v>
      </x:c>
      <x:c r="F287" s="11" t="n">
        <x:v>83.30000000000001</x:v>
      </x:c>
      <x:c r="G287" s="11" t="n">
        <x:v>0.9</x:v>
      </x:c>
      <x:c r="H287" s="25" t="n">
        <x:v>0.7780149413020279</x:v>
      </x:c>
      <x:c r="I287" s="25" t="n">
        <x:v>0.7972251867662756</x:v>
      </x:c>
      <x:c r="J287" s="25" t="n">
        <x:v>0.2158150045099274</x:v>
      </x:c>
      <x:c r="K287" s="11" t="n">
        <x:v>2.45</x:v>
      </x:c>
      <x:c r="L287" s="11" t="n">
        <x:v>34</x:v>
      </x:c>
      <x:c r="M287" s="11" t="n">
        <x:v>1</x:v>
      </x:c>
      <x:c r="N287" s="11" t="n">
        <x:v>0.9</x:v>
      </x:c>
      <x:c r="O287" s="11" t="str"/>
      <x:c r="P287" s="11" t="str"/>
      <x:c r="Q287" s="11" t="str"/>
      <x:c r="R287" s="11" t="str">
        <x:v>hengrui-normalized-ntm-pe-v1.0</x:v>
      </x:c>
      <x:c r="S287" s="11" t="str">
        <x:v>2026-10-10</x:v>
      </x:c>
      <x:c r="T287" s="11" t="str">
        <x:f>IF(AND(SUM(IF(K287='假设'!E381,0,1),IF(L287='假设'!F381,0,1),IF(M287='假设'!G381,0,1),IF(N287='假设'!H381,0,1),IF(O287='假设'!I381,0,1),IF(P287='假设'!J381,0,1),IF(Q287='假设'!K381,0,1))=0,U287=V287),"已刷新","待刷新")</x:f>
        <x:v>已刷新</x:v>
      </x:c>
    </x:row>
    <x:row r="288" ht="23" customHeight="1">
      <x:c r="A288" s="11" t="str">
        <x:v>600276.SH</x:v>
      </x:c>
      <x:c r="B288" s="11" t="str">
        <x:v>恒瑞医药</x:v>
      </x:c>
      <x:c r="C288" s="11" t="str">
        <x:v>三年</x:v>
      </x:c>
      <x:c r="D288" s="11" t="str">
        <x:v>乐观</x:v>
      </x:c>
      <x:c r="E288" s="11" t="n">
        <x:v>46.85</x:v>
      </x:c>
      <x:c r="F288" s="11" t="n">
        <x:v>165</x:v>
      </x:c>
      <x:c r="G288" s="11" t="n">
        <x:v>1.4</x:v>
      </x:c>
      <x:c r="H288" s="25" t="n">
        <x:v>2.5218783351120595</x:v>
      </x:c>
      <x:c r="I288" s="25" t="n">
        <x:v>2.551760939167556</x:v>
      </x:c>
      <x:c r="J288" s="25" t="n">
        <x:v>0.5257424945364859</x:v>
      </x:c>
      <x:c r="K288" s="11" t="n">
        <x:v>3.75</x:v>
      </x:c>
      <x:c r="L288" s="11" t="n">
        <x:v>44</x:v>
      </x:c>
      <x:c r="M288" s="11" t="n">
        <x:v>1</x:v>
      </x:c>
      <x:c r="N288" s="11" t="n">
        <x:v>1.4</x:v>
      </x:c>
      <x:c r="O288" s="11" t="str"/>
      <x:c r="P288" s="11" t="str"/>
      <x:c r="Q288" s="11" t="str"/>
      <x:c r="R288" s="11" t="str">
        <x:v>hengrui-normalized-ntm-pe-v1.0</x:v>
      </x:c>
      <x:c r="S288" s="11" t="str">
        <x:v>2026-10-10</x:v>
      </x:c>
      <x:c r="T288" s="11" t="str">
        <x:f>IF(AND(SUM(IF(K288='假设'!E382,0,1),IF(L288='假设'!F382,0,1),IF(M288='假设'!G382,0,1),IF(N288='假设'!H382,0,1),IF(O288='假设'!I382,0,1),IF(P288='假设'!J382,0,1),IF(Q288='假设'!K382,0,1))=0,U288=V288),"已刷新","待刷新")</x:f>
        <x:v>已刷新</x:v>
      </x:c>
    </x:row>
    <x:row r="289" ht="23" customHeight="1">
      <x:c r="A289" s="11" t="str">
        <x:v>600276.SH</x:v>
      </x:c>
      <x:c r="B289" s="11" t="str">
        <x:v>恒瑞医药</x:v>
      </x:c>
      <x:c r="C289" s="11" t="str">
        <x:v>五年</x:v>
      </x:c>
      <x:c r="D289" s="11" t="str">
        <x:v>悲观</x:v>
      </x:c>
      <x:c r="E289" s="11" t="n">
        <x:v>46.85</x:v>
      </x:c>
      <x:c r="F289" s="11" t="n">
        <x:v>30</x:v>
      </x:c>
      <x:c r="G289" s="11" t="n">
        <x:v>0.8</x:v>
      </x:c>
      <x:c r="H289" s="25" t="n">
        <x:v>-0.3596584845250801</x:v>
      </x:c>
      <x:c r="I289" s="25" t="n">
        <x:v>-0.3425827107790822</x:v>
      </x:c>
      <x:c r="J289" s="25" t="n">
        <x:v>-0.08046508482167869</x:v>
      </x:c>
      <x:c r="K289" s="11" t="n">
        <x:v>1.5</x:v>
      </x:c>
      <x:c r="L289" s="11" t="n">
        <x:v>20</x:v>
      </x:c>
      <x:c r="M289" s="11" t="n">
        <x:v>1</x:v>
      </x:c>
      <x:c r="N289" s="11" t="n">
        <x:v>0.8</x:v>
      </x:c>
      <x:c r="O289" s="11" t="str"/>
      <x:c r="P289" s="11" t="str"/>
      <x:c r="Q289" s="11" t="str"/>
      <x:c r="R289" s="11" t="str">
        <x:v>hengrui-normalized-ntm-pe-v1.0</x:v>
      </x:c>
      <x:c r="S289" s="11" t="str">
        <x:v>2026-10-10</x:v>
      </x:c>
      <x:c r="T289" s="11" t="str">
        <x:f>IF(AND(SUM(IF(K289='假设'!E384,0,1),IF(L289='假设'!F384,0,1),IF(M289='假设'!G384,0,1),IF(N289='假设'!H384,0,1),IF(O289='假设'!I384,0,1),IF(P289='假设'!J384,0,1),IF(Q289='假设'!K384,0,1))=0,U289=V289),"已刷新","待刷新")</x:f>
        <x:v>已刷新</x:v>
      </x:c>
    </x:row>
    <x:row r="290" ht="23" customHeight="1">
      <x:c r="A290" s="11" t="str">
        <x:v>600276.SH</x:v>
      </x:c>
      <x:c r="B290" s="11" t="str">
        <x:v>恒瑞医药</x:v>
      </x:c>
      <x:c r="C290" s="11" t="str">
        <x:v>五年</x:v>
      </x:c>
      <x:c r="D290" s="11" t="str">
        <x:v>基准</x:v>
      </x:c>
      <x:c r="E290" s="11" t="n">
        <x:v>46.85</x:v>
      </x:c>
      <x:c r="F290" s="11" t="n">
        <x:v>104</x:v>
      </x:c>
      <x:c r="G290" s="11" t="n">
        <x:v>1.75</x:v>
      </x:c>
      <x:c r="H290" s="25" t="n">
        <x:v>1.2198505869797223</x:v>
      </x:c>
      <x:c r="I290" s="25" t="n">
        <x:v>1.2572038420490927</x:v>
      </x:c>
      <x:c r="J290" s="25" t="n">
        <x:v>0.17683115212447653</x:v>
      </x:c>
      <x:c r="K290" s="11" t="n">
        <x:v>3.25</x:v>
      </x:c>
      <x:c r="L290" s="11" t="n">
        <x:v>32</x:v>
      </x:c>
      <x:c r="M290" s="11" t="n">
        <x:v>1</x:v>
      </x:c>
      <x:c r="N290" s="11" t="n">
        <x:v>1.75</x:v>
      </x:c>
      <x:c r="O290" s="11" t="str"/>
      <x:c r="P290" s="11" t="str"/>
      <x:c r="Q290" s="11" t="str"/>
      <x:c r="R290" s="11" t="str">
        <x:v>hengrui-normalized-ntm-pe-v1.0</x:v>
      </x:c>
      <x:c r="S290" s="11" t="str">
        <x:v>2026-10-10</x:v>
      </x:c>
      <x:c r="T290" s="11" t="str">
        <x:f>IF(AND(SUM(IF(K290='假设'!E385,0,1),IF(L290='假设'!F385,0,1),IF(M290='假设'!G385,0,1),IF(N290='假设'!H385,0,1),IF(O290='假设'!I385,0,1),IF(P290='假设'!J385,0,1),IF(Q290='假设'!K385,0,1))=0,U290=V290),"已刷新","待刷新")</x:f>
        <x:v>已刷新</x:v>
      </x:c>
    </x:row>
    <x:row r="291" ht="23" customHeight="1">
      <x:c r="A291" s="11" t="str">
        <x:v>600276.SH</x:v>
      </x:c>
      <x:c r="B291" s="11" t="str">
        <x:v>恒瑞医药</x:v>
      </x:c>
      <x:c r="C291" s="11" t="str">
        <x:v>五年</x:v>
      </x:c>
      <x:c r="D291" s="11" t="str">
        <x:v>乐观</x:v>
      </x:c>
      <x:c r="E291" s="11" t="n">
        <x:v>46.85</x:v>
      </x:c>
      <x:c r="F291" s="11" t="n">
        <x:v>226.8</x:v>
      </x:c>
      <x:c r="G291" s="11" t="n">
        <x:v>3</x:v>
      </x:c>
      <x:c r="H291" s="25" t="n">
        <x:v>3.8409818569903953</x:v>
      </x:c>
      <x:c r="I291" s="25" t="n">
        <x:v>3.9050160085378867</x:v>
      </x:c>
      <x:c r="J291" s="25" t="n">
        <x:v>0.3744472789337254</x:v>
      </x:c>
      <x:c r="K291" s="11" t="n">
        <x:v>5.4</x:v>
      </x:c>
      <x:c r="L291" s="11" t="n">
        <x:v>42</x:v>
      </x:c>
      <x:c r="M291" s="11" t="n">
        <x:v>1</x:v>
      </x:c>
      <x:c r="N291" s="11" t="n">
        <x:v>3</x:v>
      </x:c>
      <x:c r="O291" s="11" t="str"/>
      <x:c r="P291" s="11" t="str"/>
      <x:c r="Q291" s="11" t="str"/>
      <x:c r="R291" s="11" t="str">
        <x:v>hengrui-normalized-ntm-pe-v1.0</x:v>
      </x:c>
      <x:c r="S291" s="11" t="str">
        <x:v>2026-10-10</x:v>
      </x:c>
      <x:c r="T291" s="11" t="str">
        <x:f>IF(AND(SUM(IF(K291='假设'!E386,0,1),IF(L291='假设'!F386,0,1),IF(M291='假设'!G386,0,1),IF(N291='假设'!H386,0,1),IF(O291='假设'!I386,0,1),IF(P291='假设'!J386,0,1),IF(Q291='假设'!K386,0,1))=0,U291=V291),"已刷新","待刷新")</x:f>
        <x:v>已刷新</x:v>
      </x:c>
    </x:row>
    <x:row r="292" ht="23" customHeight="1">
      <x:c r="A292" s="11" t="str">
        <x:v>01276.HK</x:v>
      </x:c>
      <x:c r="B292" s="11" t="str">
        <x:v>恒瑞医药</x:v>
      </x:c>
      <x:c r="C292" s="11" t="str">
        <x:v>2026年底</x:v>
      </x:c>
      <x:c r="D292" s="11" t="str">
        <x:v>悲观</x:v>
      </x:c>
      <x:c r="E292" s="11" t="n">
        <x:v>48</x:v>
      </x:c>
      <x:c r="F292" s="11" t="n">
        <x:v>26.620000000000005</x:v>
      </x:c>
      <x:c r="G292" s="11" t="n">
        <x:v>0</x:v>
      </x:c>
      <x:c r="H292" s="25" t="n">
        <x:v>-0.44541666666666657</x:v>
      </x:c>
      <x:c r="I292" s="25" t="n">
        <x:v>-0.44541666666666657</x:v>
      </x:c>
      <x:c r="J292" s="25" t="str"/>
      <x:c r="K292" s="11" t="n">
        <x:v>1.1</x:v>
      </x:c>
      <x:c r="L292" s="11" t="n">
        <x:v>22</x:v>
      </x:c>
      <x:c r="M292" s="11" t="n">
        <x:v>1.1</x:v>
      </x:c>
      <x:c r="N292" s="11" t="n">
        <x:v>0</x:v>
      </x:c>
      <x:c r="O292" s="11" t="n">
        <x:v>0</x:v>
      </x:c>
      <x:c r="P292" s="11" t="n">
        <x:v>0</x:v>
      </x:c>
      <x:c r="Q292" s="11" t="n">
        <x:v>0</x:v>
      </x:c>
      <x:c r="R292" s="11" t="str">
        <x:v>hengrui-normalized-ntm-pe-v1.0</x:v>
      </x:c>
      <x:c r="S292" s="11" t="str">
        <x:v>2026-10-10</x:v>
      </x:c>
      <x:c r="T292" s="11" t="str">
        <x:f>IF(AND(SUM(IF(K292='假设'!E388,0,1),IF(L292='假设'!F388,0,1),IF(M292='假设'!G388,0,1),IF(N292='假设'!H388,0,1),IF(O292='假设'!I388,0,1),IF(P292='假设'!J388,0,1),IF(Q292='假设'!K388,0,1))=0,U292=V292),"已刷新","待刷新")</x:f>
        <x:v>已刷新</x:v>
      </x:c>
    </x:row>
    <x:row r="293" ht="23" customHeight="1">
      <x:c r="A293" s="11" t="str">
        <x:v>01276.HK</x:v>
      </x:c>
      <x:c r="B293" s="11" t="str">
        <x:v>恒瑞医药</x:v>
      </x:c>
      <x:c r="C293" s="11" t="str">
        <x:v>2026年底</x:v>
      </x:c>
      <x:c r="D293" s="11" t="str">
        <x:v>基准</x:v>
      </x:c>
      <x:c r="E293" s="11" t="n">
        <x:v>48</x:v>
      </x:c>
      <x:c r="F293" s="11" t="n">
        <x:v>52.635000000000005</x:v>
      </x:c>
      <x:c r="G293" s="11" t="n">
        <x:v>0</x:v>
      </x:c>
      <x:c r="H293" s="25" t="n">
        <x:v>0.0965625000000001</x:v>
      </x:c>
      <x:c r="I293" s="25" t="n">
        <x:v>0.0965625000000001</x:v>
      </x:c>
      <x:c r="J293" s="25" t="str"/>
      <x:c r="K293" s="11" t="n">
        <x:v>1.45</x:v>
      </x:c>
      <x:c r="L293" s="11" t="n">
        <x:v>33</x:v>
      </x:c>
      <x:c r="M293" s="11" t="n">
        <x:v>1.1</x:v>
      </x:c>
      <x:c r="N293" s="11" t="n">
        <x:v>0</x:v>
      </x:c>
      <x:c r="O293" s="11" t="n">
        <x:v>0</x:v>
      </x:c>
      <x:c r="P293" s="11" t="n">
        <x:v>0</x:v>
      </x:c>
      <x:c r="Q293" s="11" t="n">
        <x:v>0</x:v>
      </x:c>
      <x:c r="R293" s="11" t="str">
        <x:v>hengrui-normalized-ntm-pe-v1.0</x:v>
      </x:c>
      <x:c r="S293" s="11" t="str">
        <x:v>2026-10-10</x:v>
      </x:c>
      <x:c r="T293" s="11" t="str">
        <x:f>IF(AND(SUM(IF(K293='假设'!E389,0,1),IF(L293='假设'!F389,0,1),IF(M293='假设'!G389,0,1),IF(N293='假设'!H389,0,1),IF(O293='假设'!I389,0,1),IF(P293='假设'!J389,0,1),IF(Q293='假设'!K389,0,1))=0,U293=V293),"已刷新","待刷新")</x:f>
        <x:v>已刷新</x:v>
      </x:c>
    </x:row>
    <x:row r="294" ht="23" customHeight="1">
      <x:c r="A294" s="11" t="str">
        <x:v>01276.HK</x:v>
      </x:c>
      <x:c r="B294" s="11" t="str">
        <x:v>恒瑞医药</x:v>
      </x:c>
      <x:c r="C294" s="11" t="str">
        <x:v>2026年底</x:v>
      </x:c>
      <x:c r="D294" s="11" t="str">
        <x:v>乐观</x:v>
      </x:c>
      <x:c r="E294" s="11" t="n">
        <x:v>48</x:v>
      </x:c>
      <x:c r="F294" s="11" t="n">
        <x:v>85.14000000000001</x:v>
      </x:c>
      <x:c r="G294" s="11" t="n">
        <x:v>0</x:v>
      </x:c>
      <x:c r="H294" s="25" t="n">
        <x:v>0.7737500000000004</x:v>
      </x:c>
      <x:c r="I294" s="25" t="n">
        <x:v>0.7737500000000004</x:v>
      </x:c>
      <x:c r="J294" s="25" t="str"/>
      <x:c r="K294" s="11" t="n">
        <x:v>1.8</x:v>
      </x:c>
      <x:c r="L294" s="11" t="n">
        <x:v>43</x:v>
      </x:c>
      <x:c r="M294" s="11" t="n">
        <x:v>1.1</x:v>
      </x:c>
      <x:c r="N294" s="11" t="n">
        <x:v>0</x:v>
      </x:c>
      <x:c r="O294" s="11" t="n">
        <x:v>0</x:v>
      </x:c>
      <x:c r="P294" s="11" t="n">
        <x:v>0</x:v>
      </x:c>
      <x:c r="Q294" s="11" t="n">
        <x:v>0</x:v>
      </x:c>
      <x:c r="R294" s="11" t="str">
        <x:v>hengrui-normalized-ntm-pe-v1.0</x:v>
      </x:c>
      <x:c r="S294" s="11" t="str">
        <x:v>2026-10-10</x:v>
      </x:c>
      <x:c r="T294" s="11" t="str">
        <x:f>IF(AND(SUM(IF(K294='假设'!E390,0,1),IF(L294='假设'!F390,0,1),IF(M294='假设'!G390,0,1),IF(N294='假设'!H390,0,1),IF(O294='假设'!I390,0,1),IF(P294='假设'!J390,0,1),IF(Q294='假设'!K390,0,1))=0,U294=V294),"已刷新","待刷新")</x:f>
        <x:v>已刷新</x:v>
      </x:c>
    </x:row>
    <x:row r="295" ht="23" customHeight="1">
      <x:c r="A295" s="11" t="str">
        <x:v>01276.HK</x:v>
      </x:c>
      <x:c r="B295" s="11" t="str">
        <x:v>恒瑞医药</x:v>
      </x:c>
      <x:c r="C295" s="11" t="str">
        <x:v>半年</x:v>
      </x:c>
      <x:c r="D295" s="11" t="str">
        <x:v>悲观</x:v>
      </x:c>
      <x:c r="E295" s="11" t="n">
        <x:v>48</x:v>
      </x:c>
      <x:c r="F295" s="11" t="n">
        <x:v>27.83</x:v>
      </x:c>
      <x:c r="G295" s="11" t="n">
        <x:v>0</x:v>
      </x:c>
      <x:c r="H295" s="25" t="n">
        <x:v>-0.4202083333333334</x:v>
      </x:c>
      <x:c r="I295" s="25" t="n">
        <x:v>-0.4202083333333334</x:v>
      </x:c>
      <x:c r="J295" s="25" t="str"/>
      <x:c r="K295" s="11" t="n">
        <x:v>1.15</x:v>
      </x:c>
      <x:c r="L295" s="11" t="n">
        <x:v>22</x:v>
      </x:c>
      <x:c r="M295" s="11" t="n">
        <x:v>1.1</x:v>
      </x:c>
      <x:c r="N295" s="11" t="n">
        <x:v>0</x:v>
      </x:c>
      <x:c r="O295" s="11" t="n">
        <x:v>0</x:v>
      </x:c>
      <x:c r="P295" s="11" t="n">
        <x:v>0</x:v>
      </x:c>
      <x:c r="Q295" s="11" t="n">
        <x:v>0</x:v>
      </x:c>
      <x:c r="R295" s="11" t="str">
        <x:v>hengrui-normalized-ntm-pe-v1.0</x:v>
      </x:c>
      <x:c r="S295" s="11" t="str">
        <x:v>2026-10-10</x:v>
      </x:c>
      <x:c r="T295" s="11" t="str">
        <x:f>IF(AND(SUM(IF(K295='假设'!E392,0,1),IF(L295='假设'!F392,0,1),IF(M295='假设'!G392,0,1),IF(N295='假设'!H392,0,1),IF(O295='假设'!I392,0,1),IF(P295='假设'!J392,0,1),IF(Q295='假设'!K392,0,1))=0,U295=V295),"已刷新","待刷新")</x:f>
        <x:v>已刷新</x:v>
      </x:c>
    </x:row>
    <x:row r="296" ht="23" customHeight="1">
      <x:c r="A296" s="11" t="str">
        <x:v>01276.HK</x:v>
      </x:c>
      <x:c r="B296" s="11" t="str">
        <x:v>恒瑞医药</x:v>
      </x:c>
      <x:c r="C296" s="11" t="str">
        <x:v>半年</x:v>
      </x:c>
      <x:c r="D296" s="11" t="str">
        <x:v>基准</x:v>
      </x:c>
      <x:c r="E296" s="11" t="n">
        <x:v>48</x:v>
      </x:c>
      <x:c r="F296" s="11" t="n">
        <x:v>59.84000000000001</x:v>
      </x:c>
      <x:c r="G296" s="11" t="n">
        <x:v>0</x:v>
      </x:c>
      <x:c r="H296" s="25" t="n">
        <x:v>0.2466666666666668</x:v>
      </x:c>
      <x:c r="I296" s="25" t="n">
        <x:v>0.2466666666666668</x:v>
      </x:c>
      <x:c r="J296" s="25" t="str"/>
      <x:c r="K296" s="11" t="n">
        <x:v>1.6</x:v>
      </x:c>
      <x:c r="L296" s="11" t="n">
        <x:v>34</x:v>
      </x:c>
      <x:c r="M296" s="11" t="n">
        <x:v>1.1</x:v>
      </x:c>
      <x:c r="N296" s="11" t="n">
        <x:v>0</x:v>
      </x:c>
      <x:c r="O296" s="11" t="n">
        <x:v>0</x:v>
      </x:c>
      <x:c r="P296" s="11" t="n">
        <x:v>0</x:v>
      </x:c>
      <x:c r="Q296" s="11" t="n">
        <x:v>0</x:v>
      </x:c>
      <x:c r="R296" s="11" t="str">
        <x:v>hengrui-normalized-ntm-pe-v1.0</x:v>
      </x:c>
      <x:c r="S296" s="11" t="str">
        <x:v>2026-10-10</x:v>
      </x:c>
      <x:c r="T296" s="11" t="str">
        <x:f>IF(AND(SUM(IF(K296='假设'!E393,0,1),IF(L296='假设'!F393,0,1),IF(M296='假设'!G393,0,1),IF(N296='假设'!H393,0,1),IF(O296='假设'!I393,0,1),IF(P296='假设'!J393,0,1),IF(Q296='假设'!K393,0,1))=0,U296=V296),"已刷新","待刷新")</x:f>
        <x:v>已刷新</x:v>
      </x:c>
    </x:row>
    <x:row r="297" ht="23" customHeight="1">
      <x:c r="A297" s="11" t="str">
        <x:v>01276.HK</x:v>
      </x:c>
      <x:c r="B297" s="11" t="str">
        <x:v>恒瑞医药</x:v>
      </x:c>
      <x:c r="C297" s="11" t="str">
        <x:v>半年</x:v>
      </x:c>
      <x:c r="D297" s="11" t="str">
        <x:v>乐观</x:v>
      </x:c>
      <x:c r="E297" s="11" t="n">
        <x:v>48</x:v>
      </x:c>
      <x:c r="F297" s="11" t="n">
        <x:v>96.80000000000001</x:v>
      </x:c>
      <x:c r="G297" s="11" t="n">
        <x:v>0</x:v>
      </x:c>
      <x:c r="H297" s="25" t="n">
        <x:v>1.016666666666667</x:v>
      </x:c>
      <x:c r="I297" s="25" t="n">
        <x:v>1.016666666666667</x:v>
      </x:c>
      <x:c r="J297" s="25" t="str"/>
      <x:c r="K297" s="11" t="n">
        <x:v>2</x:v>
      </x:c>
      <x:c r="L297" s="11" t="n">
        <x:v>44</x:v>
      </x:c>
      <x:c r="M297" s="11" t="n">
        <x:v>1.1</x:v>
      </x:c>
      <x:c r="N297" s="11" t="n">
        <x:v>0</x:v>
      </x:c>
      <x:c r="O297" s="11" t="n">
        <x:v>0</x:v>
      </x:c>
      <x:c r="P297" s="11" t="n">
        <x:v>0</x:v>
      </x:c>
      <x:c r="Q297" s="11" t="n">
        <x:v>0</x:v>
      </x:c>
      <x:c r="R297" s="11" t="str">
        <x:v>hengrui-normalized-ntm-pe-v1.0</x:v>
      </x:c>
      <x:c r="S297" s="11" t="str">
        <x:v>2026-10-10</x:v>
      </x:c>
      <x:c r="T297" s="11" t="str">
        <x:f>IF(AND(SUM(IF(K297='假设'!E394,0,1),IF(L297='假设'!F394,0,1),IF(M297='假设'!G394,0,1),IF(N297='假设'!H394,0,1),IF(O297='假设'!I394,0,1),IF(P297='假设'!J394,0,1),IF(Q297='假设'!K394,0,1))=0,U297=V297),"已刷新","待刷新")</x:f>
        <x:v>已刷新</x:v>
      </x:c>
    </x:row>
    <x:row r="298" ht="23" customHeight="1">
      <x:c r="A298" s="11" t="str">
        <x:v>01276.HK</x:v>
      </x:c>
      <x:c r="B298" s="11" t="str">
        <x:v>恒瑞医药</x:v>
      </x:c>
      <x:c r="C298" s="11" t="str">
        <x:v>一年</x:v>
      </x:c>
      <x:c r="D298" s="11" t="str">
        <x:v>悲观</x:v>
      </x:c>
      <x:c r="E298" s="11" t="n">
        <x:v>48</x:v>
      </x:c>
      <x:c r="F298" s="11" t="n">
        <x:v>30.250000000000004</x:v>
      </x:c>
      <x:c r="G298" s="11" t="n">
        <x:v>0.165</x:v>
      </x:c>
      <x:c r="H298" s="25" t="n">
        <x:v>-0.36979166666666663</x:v>
      </x:c>
      <x:c r="I298" s="25" t="n">
        <x:v>-0.36635416666666665</x:v>
      </x:c>
      <x:c r="J298" s="25" t="str"/>
      <x:c r="K298" s="11" t="n">
        <x:v>1.25</x:v>
      </x:c>
      <x:c r="L298" s="11" t="n">
        <x:v>22</x:v>
      </x:c>
      <x:c r="M298" s="11" t="n">
        <x:v>1.1</x:v>
      </x:c>
      <x:c r="N298" s="11" t="n">
        <x:v>0.165</x:v>
      </x:c>
      <x:c r="O298" s="11" t="n">
        <x:v>0</x:v>
      </x:c>
      <x:c r="P298" s="11" t="n">
        <x:v>0</x:v>
      </x:c>
      <x:c r="Q298" s="11" t="n">
        <x:v>0</x:v>
      </x:c>
      <x:c r="R298" s="11" t="str">
        <x:v>hengrui-normalized-ntm-pe-v1.0</x:v>
      </x:c>
      <x:c r="S298" s="11" t="str">
        <x:v>2026-10-10</x:v>
      </x:c>
      <x:c r="T298" s="11" t="str">
        <x:f>IF(AND(SUM(IF(K298='假设'!E396,0,1),IF(L298='假设'!F396,0,1),IF(M298='假设'!G396,0,1),IF(N298='假设'!H396,0,1),IF(O298='假设'!I396,0,1),IF(P298='假设'!J396,0,1),IF(Q298='假设'!K396,0,1))=0,U298=V298),"已刷新","待刷新")</x:f>
        <x:v>已刷新</x:v>
      </x:c>
    </x:row>
    <x:row r="299" ht="23" customHeight="1">
      <x:c r="A299" s="11" t="str">
        <x:v>01276.HK</x:v>
      </x:c>
      <x:c r="B299" s="11" t="str">
        <x:v>恒瑞医药</x:v>
      </x:c>
      <x:c r="C299" s="11" t="str">
        <x:v>一年</x:v>
      </x:c>
      <x:c r="D299" s="11" t="str">
        <x:v>基准</x:v>
      </x:c>
      <x:c r="E299" s="11" t="n">
        <x:v>48</x:v>
      </x:c>
      <x:c r="F299" s="11" t="n">
        <x:v>69.30000000000001</x:v>
      </x:c>
      <x:c r="G299" s="11" t="n">
        <x:v>0.275</x:v>
      </x:c>
      <x:c r="H299" s="25" t="n">
        <x:v>0.4437500000000003</x:v>
      </x:c>
      <x:c r="I299" s="25" t="n">
        <x:v>0.4494791666666671</x:v>
      </x:c>
      <x:c r="J299" s="25" t="str"/>
      <x:c r="K299" s="11" t="n">
        <x:v>1.8</x:v>
      </x:c>
      <x:c r="L299" s="11" t="n">
        <x:v>35</x:v>
      </x:c>
      <x:c r="M299" s="11" t="n">
        <x:v>1.1</x:v>
      </x:c>
      <x:c r="N299" s="11" t="n">
        <x:v>0.275</x:v>
      </x:c>
      <x:c r="O299" s="11" t="n">
        <x:v>0</x:v>
      </x:c>
      <x:c r="P299" s="11" t="n">
        <x:v>0</x:v>
      </x:c>
      <x:c r="Q299" s="11" t="n">
        <x:v>0</x:v>
      </x:c>
      <x:c r="R299" s="11" t="str">
        <x:v>hengrui-normalized-ntm-pe-v1.0</x:v>
      </x:c>
      <x:c r="S299" s="11" t="str">
        <x:v>2026-10-10</x:v>
      </x:c>
      <x:c r="T299" s="11" t="str">
        <x:f>IF(AND(SUM(IF(K299='假设'!E397,0,1),IF(L299='假设'!F397,0,1),IF(M299='假设'!G397,0,1),IF(N299='假设'!H397,0,1),IF(O299='假设'!I397,0,1),IF(P299='假设'!J397,0,1),IF(Q299='假设'!K397,0,1))=0,U299=V299),"已刷新","待刷新")</x:f>
        <x:v>已刷新</x:v>
      </x:c>
    </x:row>
    <x:row r="300" ht="23" customHeight="1">
      <x:c r="A300" s="11" t="str">
        <x:v>01276.HK</x:v>
      </x:c>
      <x:c r="B300" s="11" t="str">
        <x:v>恒瑞医药</x:v>
      </x:c>
      <x:c r="C300" s="11" t="str">
        <x:v>一年</x:v>
      </x:c>
      <x:c r="D300" s="11" t="str">
        <x:v>乐观</x:v>
      </x:c>
      <x:c r="E300" s="11" t="n">
        <x:v>48</x:v>
      </x:c>
      <x:c r="F300" s="11" t="n">
        <x:v>116.325</x:v>
      </x:c>
      <x:c r="G300" s="11" t="n">
        <x:v>0.385</x:v>
      </x:c>
      <x:c r="H300" s="25" t="n">
        <x:v>1.4234375</x:v>
      </x:c>
      <x:c r="I300" s="25" t="n">
        <x:v>1.4314583333333335</x:v>
      </x:c>
      <x:c r="J300" s="25" t="str"/>
      <x:c r="K300" s="11" t="n">
        <x:v>2.35</x:v>
      </x:c>
      <x:c r="L300" s="11" t="n">
        <x:v>45</x:v>
      </x:c>
      <x:c r="M300" s="11" t="n">
        <x:v>1.1</x:v>
      </x:c>
      <x:c r="N300" s="11" t="n">
        <x:v>0.385</x:v>
      </x:c>
      <x:c r="O300" s="11" t="n">
        <x:v>0</x:v>
      </x:c>
      <x:c r="P300" s="11" t="n">
        <x:v>0</x:v>
      </x:c>
      <x:c r="Q300" s="11" t="n">
        <x:v>0</x:v>
      </x:c>
      <x:c r="R300" s="11" t="str">
        <x:v>hengrui-normalized-ntm-pe-v1.0</x:v>
      </x:c>
      <x:c r="S300" s="11" t="str">
        <x:v>2026-10-10</x:v>
      </x:c>
      <x:c r="T300" s="11" t="str">
        <x:f>IF(AND(SUM(IF(K300='假设'!E398,0,1),IF(L300='假设'!F398,0,1),IF(M300='假设'!G398,0,1),IF(N300='假设'!H398,0,1),IF(O300='假设'!I398,0,1),IF(P300='假设'!J398,0,1),IF(Q300='假设'!K398,0,1))=0,U300=V300),"已刷新","待刷新")</x:f>
        <x:v>已刷新</x:v>
      </x:c>
    </x:row>
    <x:row r="301" ht="23" customHeight="1">
      <x:c r="A301" s="11" t="str">
        <x:v>01276.HK</x:v>
      </x:c>
      <x:c r="B301" s="11" t="str">
        <x:v>恒瑞医药</x:v>
      </x:c>
      <x:c r="C301" s="11" t="str">
        <x:v>三年</x:v>
      </x:c>
      <x:c r="D301" s="11" t="str">
        <x:v>悲观</x:v>
      </x:c>
      <x:c r="E301" s="11" t="n">
        <x:v>48</x:v>
      </x:c>
      <x:c r="F301" s="11" t="n">
        <x:v>30.800000000000004</x:v>
      </x:c>
      <x:c r="G301" s="11" t="n">
        <x:v>0.55</x:v>
      </x:c>
      <x:c r="H301" s="25" t="n">
        <x:v>-0.3583333333333333</x:v>
      </x:c>
      <x:c r="I301" s="25" t="n">
        <x:v>-0.34687499999999993</x:v>
      </x:c>
      <x:c r="J301" s="25" t="n">
        <x:v>-0.13237490972702481</x:v>
      </x:c>
      <x:c r="K301" s="11" t="n">
        <x:v>1.4</x:v>
      </x:c>
      <x:c r="L301" s="11" t="n">
        <x:v>20</x:v>
      </x:c>
      <x:c r="M301" s="11" t="n">
        <x:v>1.1</x:v>
      </x:c>
      <x:c r="N301" s="11" t="n">
        <x:v>0.55</x:v>
      </x:c>
      <x:c r="O301" s="11" t="n">
        <x:v>0</x:v>
      </x:c>
      <x:c r="P301" s="11" t="n">
        <x:v>0</x:v>
      </x:c>
      <x:c r="Q301" s="11" t="n">
        <x:v>0</x:v>
      </x:c>
      <x:c r="R301" s="11" t="str">
        <x:v>hengrui-normalized-ntm-pe-v1.0</x:v>
      </x:c>
      <x:c r="S301" s="11" t="str">
        <x:v>2026-10-10</x:v>
      </x:c>
      <x:c r="T301" s="11" t="str">
        <x:f>IF(AND(SUM(IF(K301='假设'!E400,0,1),IF(L301='假设'!F400,0,1),IF(M301='假设'!G400,0,1),IF(N301='假设'!H400,0,1),IF(O301='假设'!I400,0,1),IF(P301='假设'!J400,0,1),IF(Q301='假设'!K400,0,1))=0,U301=V301),"已刷新","待刷新")</x:f>
        <x:v>已刷新</x:v>
      </x:c>
    </x:row>
    <x:row r="302" ht="23" customHeight="1">
      <x:c r="A302" s="11" t="str">
        <x:v>01276.HK</x:v>
      </x:c>
      <x:c r="B302" s="11" t="str">
        <x:v>恒瑞医药</x:v>
      </x:c>
      <x:c r="C302" s="11" t="str">
        <x:v>三年</x:v>
      </x:c>
      <x:c r="D302" s="11" t="str">
        <x:v>基准</x:v>
      </x:c>
      <x:c r="E302" s="11" t="n">
        <x:v>48</x:v>
      </x:c>
      <x:c r="F302" s="11" t="n">
        <x:v>88.93500000000002</x:v>
      </x:c>
      <x:c r="G302" s="11" t="n">
        <x:v>0.9900000000000001</x:v>
      </x:c>
      <x:c r="H302" s="25" t="n">
        <x:v>0.8528125000000004</x:v>
      </x:c>
      <x:c r="I302" s="25" t="n">
        <x:v>0.8734375000000003</x:v>
      </x:c>
      <x:c r="J302" s="25" t="n">
        <x:v>0.2327634125193221</x:v>
      </x:c>
      <x:c r="K302" s="11" t="n">
        <x:v>2.45</x:v>
      </x:c>
      <x:c r="L302" s="11" t="n">
        <x:v>33</x:v>
      </x:c>
      <x:c r="M302" s="11" t="n">
        <x:v>1.1</x:v>
      </x:c>
      <x:c r="N302" s="11" t="n">
        <x:v>0.9900000000000001</x:v>
      </x:c>
      <x:c r="O302" s="11" t="n">
        <x:v>0</x:v>
      </x:c>
      <x:c r="P302" s="11" t="n">
        <x:v>0</x:v>
      </x:c>
      <x:c r="Q302" s="11" t="n">
        <x:v>0</x:v>
      </x:c>
      <x:c r="R302" s="11" t="str">
        <x:v>hengrui-normalized-ntm-pe-v1.0</x:v>
      </x:c>
      <x:c r="S302" s="11" t="str">
        <x:v>2026-10-10</x:v>
      </x:c>
      <x:c r="T302" s="11" t="str">
        <x:f>IF(AND(SUM(IF(K302='假设'!E401,0,1),IF(L302='假设'!F401,0,1),IF(M302='假设'!G401,0,1),IF(N302='假设'!H401,0,1),IF(O302='假设'!I401,0,1),IF(P302='假设'!J401,0,1),IF(Q302='假设'!K401,0,1))=0,U302=V302),"已刷新","待刷新")</x:f>
        <x:v>已刷新</x:v>
      </x:c>
    </x:row>
    <x:row r="303" ht="23" customHeight="1">
      <x:c r="A303" s="11" t="str">
        <x:v>01276.HK</x:v>
      </x:c>
      <x:c r="B303" s="11" t="str">
        <x:v>恒瑞医药</x:v>
      </x:c>
      <x:c r="C303" s="11" t="str">
        <x:v>三年</x:v>
      </x:c>
      <x:c r="D303" s="11" t="str">
        <x:v>乐观</x:v>
      </x:c>
      <x:c r="E303" s="11" t="n">
        <x:v>48</x:v>
      </x:c>
      <x:c r="F303" s="11" t="n">
        <x:v>177.37500000000003</x:v>
      </x:c>
      <x:c r="G303" s="11" t="n">
        <x:v>1.54</x:v>
      </x:c>
      <x:c r="H303" s="25" t="n">
        <x:v>2.6953125000000004</x:v>
      </x:c>
      <x:c r="I303" s="25" t="n">
        <x:v>2.727395833333334</x:v>
      </x:c>
      <x:c r="J303" s="25" t="n">
        <x:v>0.5504883419070441</x:v>
      </x:c>
      <x:c r="K303" s="11" t="n">
        <x:v>3.75</x:v>
      </x:c>
      <x:c r="L303" s="11" t="n">
        <x:v>43</x:v>
      </x:c>
      <x:c r="M303" s="11" t="n">
        <x:v>1.1</x:v>
      </x:c>
      <x:c r="N303" s="11" t="n">
        <x:v>1.54</x:v>
      </x:c>
      <x:c r="O303" s="11" t="n">
        <x:v>0</x:v>
      </x:c>
      <x:c r="P303" s="11" t="n">
        <x:v>0</x:v>
      </x:c>
      <x:c r="Q303" s="11" t="n">
        <x:v>0</x:v>
      </x:c>
      <x:c r="R303" s="11" t="str">
        <x:v>hengrui-normalized-ntm-pe-v1.0</x:v>
      </x:c>
      <x:c r="S303" s="11" t="str">
        <x:v>2026-10-10</x:v>
      </x:c>
      <x:c r="T303" s="11" t="str">
        <x:f>IF(AND(SUM(IF(K303='假设'!E402,0,1),IF(L303='假设'!F402,0,1),IF(M303='假设'!G402,0,1),IF(N303='假设'!H402,0,1),IF(O303='假设'!I402,0,1),IF(P303='假设'!J402,0,1),IF(Q303='假设'!K402,0,1))=0,U303=V303),"已刷新","待刷新")</x:f>
        <x:v>已刷新</x:v>
      </x:c>
    </x:row>
    <x:row r="304" ht="23" customHeight="1">
      <x:c r="A304" s="11" t="str">
        <x:v>01276.HK</x:v>
      </x:c>
      <x:c r="B304" s="11" t="str">
        <x:v>恒瑞医药</x:v>
      </x:c>
      <x:c r="C304" s="11" t="str">
        <x:v>五年</x:v>
      </x:c>
      <x:c r="D304" s="11" t="str">
        <x:v>悲观</x:v>
      </x:c>
      <x:c r="E304" s="11" t="n">
        <x:v>48</x:v>
      </x:c>
      <x:c r="F304" s="11" t="n">
        <x:v>29.700000000000003</x:v>
      </x:c>
      <x:c r="G304" s="11" t="n">
        <x:v>0.8800000000000001</x:v>
      </x:c>
      <x:c r="H304" s="25" t="n">
        <x:v>-0.38125</x:v>
      </x:c>
      <x:c r="I304" s="25" t="n">
        <x:v>-0.36291666666666667</x:v>
      </x:c>
      <x:c r="J304" s="25" t="n">
        <x:v>-0.08622504895101313</x:v>
      </x:c>
      <x:c r="K304" s="11" t="n">
        <x:v>1.5</x:v>
      </x:c>
      <x:c r="L304" s="11" t="n">
        <x:v>18</x:v>
      </x:c>
      <x:c r="M304" s="11" t="n">
        <x:v>1.1</x:v>
      </x:c>
      <x:c r="N304" s="11" t="n">
        <x:v>0.8800000000000001</x:v>
      </x:c>
      <x:c r="O304" s="11" t="n">
        <x:v>0</x:v>
      </x:c>
      <x:c r="P304" s="11" t="n">
        <x:v>0</x:v>
      </x:c>
      <x:c r="Q304" s="11" t="n">
        <x:v>0</x:v>
      </x:c>
      <x:c r="R304" s="11" t="str">
        <x:v>hengrui-normalized-ntm-pe-v1.0</x:v>
      </x:c>
      <x:c r="S304" s="11" t="str">
        <x:v>2026-10-10</x:v>
      </x:c>
      <x:c r="T304" s="11" t="str">
        <x:f>IF(AND(SUM(IF(K304='假设'!E404,0,1),IF(L304='假设'!F404,0,1),IF(M304='假设'!G404,0,1),IF(N304='假设'!H404,0,1),IF(O304='假设'!I404,0,1),IF(P304='假设'!J404,0,1),IF(Q304='假设'!K404,0,1))=0,U304=V304),"已刷新","待刷新")</x:f>
        <x:v>已刷新</x:v>
      </x:c>
    </x:row>
    <x:row r="305" ht="23" customHeight="1">
      <x:c r="A305" s="11" t="str">
        <x:v>01276.HK</x:v>
      </x:c>
      <x:c r="B305" s="11" t="str">
        <x:v>恒瑞医药</x:v>
      </x:c>
      <x:c r="C305" s="11" t="str">
        <x:v>五年</x:v>
      </x:c>
      <x:c r="D305" s="11" t="str">
        <x:v>基准</x:v>
      </x:c>
      <x:c r="E305" s="11" t="n">
        <x:v>48</x:v>
      </x:c>
      <x:c r="F305" s="11" t="n">
        <x:v>110.825</x:v>
      </x:c>
      <x:c r="G305" s="11" t="n">
        <x:v>1.9250000000000003</x:v>
      </x:c>
      <x:c r="H305" s="25" t="n">
        <x:v>1.3088541666666669</x:v>
      </x:c>
      <x:c r="I305" s="25" t="n">
        <x:v>1.3489583333333335</x:v>
      </x:c>
      <x:c r="J305" s="25" t="n">
        <x:v>0.18624682388272307</x:v>
      </x:c>
      <x:c r="K305" s="11" t="n">
        <x:v>3.25</x:v>
      </x:c>
      <x:c r="L305" s="11" t="n">
        <x:v>31</x:v>
      </x:c>
      <x:c r="M305" s="11" t="n">
        <x:v>1.1</x:v>
      </x:c>
      <x:c r="N305" s="11" t="n">
        <x:v>1.9250000000000003</x:v>
      </x:c>
      <x:c r="O305" s="11" t="n">
        <x:v>0</x:v>
      </x:c>
      <x:c r="P305" s="11" t="n">
        <x:v>0</x:v>
      </x:c>
      <x:c r="Q305" s="11" t="n">
        <x:v>0</x:v>
      </x:c>
      <x:c r="R305" s="11" t="str">
        <x:v>hengrui-normalized-ntm-pe-v1.0</x:v>
      </x:c>
      <x:c r="S305" s="11" t="str">
        <x:v>2026-10-10</x:v>
      </x:c>
      <x:c r="T305" s="11" t="str">
        <x:f>IF(AND(SUM(IF(K305='假设'!E405,0,1),IF(L305='假设'!F405,0,1),IF(M305='假设'!G405,0,1),IF(N305='假设'!H405,0,1),IF(O305='假设'!I405,0,1),IF(P305='假设'!J405,0,1),IF(Q305='假设'!K405,0,1))=0,U305=V305),"已刷新","待刷新")</x:f>
        <x:v>已刷新</x:v>
      </x:c>
    </x:row>
    <x:row r="306" ht="23" customHeight="1">
      <x:c r="A306" s="11" t="str">
        <x:v>01276.HK</x:v>
      </x:c>
      <x:c r="B306" s="11" t="str">
        <x:v>恒瑞医药</x:v>
      </x:c>
      <x:c r="C306" s="11" t="str">
        <x:v>五年</x:v>
      </x:c>
      <x:c r="D306" s="11" t="str">
        <x:v>乐观</x:v>
      </x:c>
      <x:c r="E306" s="11" t="n">
        <x:v>48</x:v>
      </x:c>
      <x:c r="F306" s="11" t="n">
        <x:v>243.54000000000002</x:v>
      </x:c>
      <x:c r="G306" s="11" t="n">
        <x:v>3.3000000000000003</x:v>
      </x:c>
      <x:c r="H306" s="25" t="n">
        <x:v>4.07375</x:v>
      </x:c>
      <x:c r="I306" s="25" t="n">
        <x:v>4.142500000000001</x:v>
      </x:c>
      <x:c r="J306" s="25" t="n">
        <x:v>0.38750596885821653</x:v>
      </x:c>
      <x:c r="K306" s="11" t="n">
        <x:v>5.4</x:v>
      </x:c>
      <x:c r="L306" s="11" t="n">
        <x:v>41</x:v>
      </x:c>
      <x:c r="M306" s="11" t="n">
        <x:v>1.1</x:v>
      </x:c>
      <x:c r="N306" s="11" t="n">
        <x:v>3.3000000000000003</x:v>
      </x:c>
      <x:c r="O306" s="11" t="n">
        <x:v>0</x:v>
      </x:c>
      <x:c r="P306" s="11" t="n">
        <x:v>0</x:v>
      </x:c>
      <x:c r="Q306" s="11" t="n">
        <x:v>0</x:v>
      </x:c>
      <x:c r="R306" s="11" t="str">
        <x:v>hengrui-normalized-ntm-pe-v1.0</x:v>
      </x:c>
      <x:c r="S306" s="11" t="str">
        <x:v>2026-10-10</x:v>
      </x:c>
      <x:c r="T306" s="11" t="str">
        <x:f>IF(AND(SUM(IF(K306='假设'!E406,0,1),IF(L306='假设'!F406,0,1),IF(M306='假设'!G406,0,1),IF(N306='假设'!H406,0,1),IF(O306='假设'!I406,0,1),IF(P306='假设'!J406,0,1),IF(Q306='假设'!K406,0,1))=0,U306=V306),"已刷新","待刷新")</x:f>
        <x:v>已刷新</x:v>
      </x:c>
    </x:row>
    <x:row r="307" ht="23" customHeight="1">
      <x:c r="A307" s="11" t="str">
        <x:v>688302.SH</x:v>
      </x:c>
      <x:c r="B307" s="11" t="str">
        <x:v>海创药业</x:v>
      </x:c>
      <x:c r="C307" s="11" t="str">
        <x:v>2026年底</x:v>
      </x:c>
      <x:c r="D307" s="11" t="str">
        <x:v>悲观</x:v>
      </x:c>
      <x:c r="E307" s="11" t="n">
        <x:v>32.09</x:v>
      </x:c>
      <x:c r="F307" s="11" t="n">
        <x:v>18.401056564850535</x:v>
      </x:c>
      <x:c r="G307" s="11" t="n">
        <x:v>0</x:v>
      </x:c>
      <x:c r="H307" s="25" t="n">
        <x:v>-0.4265797268666085</x:v>
      </x:c>
      <x:c r="I307" s="25" t="n">
        <x:v>-0.4265797268666085</x:v>
      </x:c>
      <x:c r="J307" s="25" t="str"/>
      <x:c r="K307" s="11" t="n">
        <x:v>0</x:v>
      </x:c>
      <x:c r="L307" s="11" t="n">
        <x:v>0</x:v>
      </x:c>
      <x:c r="M307" s="11" t="n">
        <x:v>1</x:v>
      </x:c>
      <x:c r="N307" s="11" t="n">
        <x:v>0</x:v>
      </x:c>
      <x:c r="O307" s="11" t="n">
        <x:v>0</x:v>
      </x:c>
      <x:c r="P307" s="11" t="n">
        <x:v>0</x:v>
      </x:c>
      <x:c r="Q307" s="11" t="n">
        <x:v>0.102</x:v>
      </x:c>
      <x:c r="R307" s="11" t="str">
        <x:v>hinova-rnpv-v1.0</x:v>
      </x:c>
      <x:c r="S307" s="11" t="str">
        <x:v>2026-10-10</x:v>
      </x:c>
      <x:c r="T307" s="11" t="str">
        <x:f>IF(AND(SUM(IF(K307='假设'!E408,0,1),IF(L307='假设'!F408,0,1),IF(M307='假设'!G408,0,1),IF(N307='假设'!H408,0,1),IF(O307='假设'!I408,0,1),IF(P307='假设'!J408,0,1),IF(Q307='假设'!K408,0,1))=0,U307=V307),"已刷新","待刷新")</x:f>
        <x:v>已刷新</x:v>
      </x:c>
      <x:c r="U307" t="str">
        <x:v>0.45|0.55|0.6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  <x:c r="V307" t="str">
        <x:f>'假设'!U408&amp;"|"&amp;'假设'!N408&amp;"|"&amp;'假设'!Q408&amp;"|"&amp;'管线假设'!E288&amp;"|"&amp;'管线假设'!F288&amp;"|"&amp;'管线假设'!G288&amp;"|"&amp;'管线假设'!H288&amp;"|"&amp;'管线假设'!I288&amp;"|"&amp;'管线假设'!E292&amp;"|"&amp;'管线假设'!F292&amp;"|"&amp;'管线假设'!G292&amp;"|"&amp;'管线假设'!H292&amp;"|"&amp;'管线假设'!I292&amp;"|"&amp;'管线假设'!E296&amp;"|"&amp;'管线假设'!F296&amp;"|"&amp;'管线假设'!G296&amp;"|"&amp;'管线假设'!H296&amp;"|"&amp;'管线假设'!I296&amp;"|"&amp;'管线假设'!E300&amp;"|"&amp;'管线假设'!F300&amp;"|"&amp;'管线假设'!G300&amp;"|"&amp;'管线假设'!H300&amp;"|"&amp;'管线假设'!I300&amp;"|"&amp;'管线假设'!E304&amp;"|"&amp;'管线假设'!F304&amp;"|"&amp;'管线假设'!G304&amp;"|"&amp;'管线假设'!H304&amp;"|"&amp;'管线假设'!I304&amp;"|"&amp;'管线假设'!E308&amp;"|"&amp;'管线假设'!F308&amp;"|"&amp;'管线假设'!G308&amp;"|"&amp;'管线假设'!H308&amp;"|"&amp;'管线假设'!I308&amp;"|"&amp;'管线假设'!E312&amp;"|"&amp;'管线假设'!F312&amp;"|"&amp;'管线假设'!G312&amp;"|"&amp;'管线假设'!H312&amp;"|"&amp;'管线假设'!I312&amp;"|"&amp;'管线假设'!E316&amp;"|"&amp;'管线假设'!F316&amp;"|"&amp;'管线假设'!G316&amp;"|"&amp;'管线假设'!H316&amp;"|"&amp;'管线假设'!I316&amp;"|"&amp;'管线假设'!E320&amp;"|"&amp;'管线假设'!F320&amp;"|"&amp;'管线假设'!G320&amp;"|"&amp;'管线假设'!H320&amp;"|"&amp;'管线假设'!I320&amp;"|"&amp;'管线假设'!E324&amp;"|"&amp;'管线假设'!F324&amp;"|"&amp;'管线假设'!G324&amp;"|"&amp;'管线假设'!H324&amp;"|"&amp;'管线假设'!I324&amp;"|"&amp;'管线假设'!E328&amp;"|"&amp;'管线假设'!F328&amp;"|"&amp;'管线假设'!G328&amp;"|"&amp;'管线假设'!H328&amp;"|"&amp;'管线假设'!I328&amp;"|"&amp;'管线现金流'!H1252&amp;"|"&amp;'管线现金流'!AJ1252&amp;"|"&amp;'管线现金流'!H1253&amp;"|"&amp;'管线现金流'!AJ1253&amp;"|"&amp;'管线现金流'!H1254&amp;"|"&amp;'管线现金流'!AJ1254&amp;"|"&amp;'管线现金流'!H1255&amp;"|"&amp;'管线现金流'!AJ1255&amp;"|"&amp;'管线现金流'!H1256&amp;"|"&amp;'管线现金流'!AJ1256&amp;"|"&amp;'管线现金流'!H1257&amp;"|"&amp;'管线现金流'!AJ1257&amp;"|"&amp;'管线现金流'!H1258&amp;"|"&amp;'管线现金流'!AJ1258&amp;"|"&amp;'管线现金流'!H1259&amp;"|"&amp;'管线现金流'!AJ1259&amp;"|"&amp;'管线现金流'!H1260&amp;"|"&amp;'管线现金流'!AJ1260&amp;"|"&amp;'管线现金流'!H1261&amp;"|"&amp;'管线现金流'!AJ1261&amp;"|"&amp;'管线现金流'!H1262&amp;"|"&amp;'管线现金流'!AJ1262&amp;"|"&amp;'管线现金流'!H1263&amp;"|"&amp;'管线现金流'!AJ1263&amp;"|"&amp;'管线现金流'!H1264&amp;"|"&amp;'管线现金流'!AJ1264&amp;"|"&amp;'管线现金流'!H1265&amp;"|"&amp;'管线现金流'!AJ1265&amp;"|"&amp;'管线现金流'!H1266&amp;"|"&amp;'管线现金流'!AJ1266&amp;"|"&amp;'管线现金流'!H1267&amp;"|"&amp;'管线现金流'!AJ1267&amp;"|"&amp;'管线现金流'!H1268&amp;"|"&amp;'管线现金流'!AJ1268&amp;"|"&amp;'管线现金流'!H1269&amp;"|"&amp;'管线现金流'!AJ1269&amp;"|"&amp;'管线现金流'!H1270&amp;"|"&amp;'管线现金流'!AJ1270&amp;"|"&amp;'管线现金流'!H1271&amp;"|"&amp;'管线现金流'!AJ1271&amp;"|"&amp;'管线现金流'!H1272&amp;"|"&amp;'管线现金流'!AJ1272&amp;"|"&amp;'管线现金流'!H1273&amp;"|"&amp;'管线现金流'!AJ1273&amp;"|"&amp;'管线现金流'!H1274&amp;"|"&amp;'管线现金流'!AJ1274&amp;"|"&amp;'管线现金流'!H1275&amp;"|"&amp;'管线现金流'!AJ1275&amp;"|"&amp;'管线现金流'!H1276&amp;"|"&amp;'管线现金流'!AJ1276&amp;"|"&amp;'管线现金流'!H1277&amp;"|"&amp;'管线现金流'!AJ1277&amp;"|"&amp;'管线现金流'!H1278&amp;"|"&amp;'管线现金流'!AJ1278&amp;"|"&amp;'管线现金流'!H1279&amp;"|"&amp;'管线现金流'!AJ1279&amp;"|"&amp;'管线现金流'!H1280&amp;"|"&amp;'管线现金流'!AJ1280&amp;"|"&amp;'管线现金流'!H1281&amp;"|"&amp;'管线现金流'!AJ1281&amp;"|"&amp;'管线现金流'!H1282&amp;"|"&amp;'管线现金流'!AJ1282&amp;"|"&amp;'管线现金流'!H1283&amp;"|"&amp;'管线现金流'!AJ1283&amp;"|"&amp;'管线现金流'!H1284&amp;"|"&amp;'管线现金流'!AJ1284&amp;"|"&amp;'管线现金流'!H1285&amp;"|"&amp;'管线现金流'!AJ1285&amp;"|"&amp;'管线现金流'!H1286&amp;"|"&amp;'管线现金流'!AJ1286&amp;"|"&amp;'管线现金流'!H1287&amp;"|"&amp;'管线现金流'!AJ1287&amp;"|"&amp;'管线现金流'!H1288&amp;"|"&amp;'管线现金流'!AJ1288&amp;"|"&amp;'管线现金流'!H1289&amp;"|"&amp;'管线现金流'!AJ1289&amp;"|"&amp;'管线现金流'!H1290&amp;"|"&amp;'管线现金流'!AJ1290&amp;"|"&amp;'管线现金流'!H1291&amp;"|"&amp;'管线现金流'!AJ1291&amp;"|"&amp;'管线现金流'!H1292&amp;"|"&amp;'管线现金流'!AJ1292&amp;"|"&amp;'管线现金流'!H1293&amp;"|"&amp;'管线现金流'!AJ1293&amp;"|"&amp;'管线现金流'!H1294&amp;"|"&amp;'管线现金流'!AJ1294&amp;"|"&amp;'管线现金流'!H1295&amp;"|"&amp;'管线现金流'!AJ1295&amp;"|"&amp;'管线现金流'!H1296&amp;"|"&amp;'管线现金流'!AJ1296&amp;"|"&amp;'管线现金流'!H1297&amp;"|"&amp;'管线现金流'!AJ1297&amp;"|"&amp;'管线现金流'!H1298&amp;"|"&amp;'管线现金流'!AJ1298&amp;"|"&amp;'管线现金流'!H1299&amp;"|"&amp;'管线现金流'!AJ1299&amp;"|"&amp;'管线现金流'!H1300&amp;"|"&amp;'管线现金流'!AJ1300&amp;"|"&amp;'管线现金流'!H1301&amp;"|"&amp;'管线现金流'!AJ1301&amp;"|"&amp;'管线现金流'!H1302&amp;"|"&amp;'管线现金流'!AJ1302&amp;"|"&amp;'管线现金流'!H1303&amp;"|"&amp;'管线现金流'!AJ1303&amp;"|"&amp;'管线现金流'!H1304&amp;"|"&amp;'管线现金流'!AJ1304&amp;"|"&amp;'管线现金流'!H1305&amp;"|"&amp;'管线现金流'!AJ1305&amp;"|"&amp;'管线现金流'!H1306&amp;"|"&amp;'管线现金流'!AJ1306&amp;"|"&amp;'管线现金流'!H1307&amp;"|"&amp;'管线现金流'!AJ1307&amp;"|"&amp;'管线现金流'!H1308&amp;"|"&amp;'管线现金流'!AJ1308&amp;"|"&amp;'管线现金流'!H1309&amp;"|"&amp;'管线现金流'!AJ1309&amp;"|"&amp;'管线现金流'!H1310&amp;"|"&amp;'管线现金流'!AJ1310&amp;"|"&amp;'管线现金流'!H1311&amp;"|"&amp;'管线现金流'!AJ1311&amp;"|"&amp;'管线现金流'!H1312&amp;"|"&amp;'管线现金流'!AJ1312&amp;"|"&amp;'管线现金流'!H1313&amp;"|"&amp;'管线现金流'!AJ1313&amp;"|"&amp;'管线现金流'!H1314&amp;"|"&amp;'管线现金流'!AJ1314&amp;"|"&amp;'管线现金流'!H1315&amp;"|"&amp;'管线现金流'!AJ1315&amp;"|"&amp;'管线现金流'!H1316&amp;"|"&amp;'管线现金流'!AJ1316&amp;"|"&amp;'管线现金流'!H1317&amp;"|"&amp;'管线现金流'!AJ1317&amp;"|"&amp;'管线现金流'!H1318&amp;"|"&amp;'管线现金流'!AJ1318&amp;"|"&amp;'管线现金流'!H1319&amp;"|"&amp;'管线现金流'!AJ1319&amp;"|"&amp;'管线现金流'!H1320&amp;"|"&amp;'管线现金流'!AJ1320&amp;"|"&amp;'管线现金流'!H1321&amp;"|"&amp;'管线现金流'!AJ1321&amp;"|"&amp;'管线现金流'!H1322&amp;"|"&amp;'管线现金流'!AJ1322&amp;"|"&amp;'管线现金流'!H1323&amp;"|"&amp;'管线现金流'!AJ1323&amp;"|"&amp;'管线现金流'!H1324&amp;"|"&amp;'管线现金流'!AJ1324&amp;"|"&amp;'管线现金流'!H1325&amp;"|"&amp;'管线现金流'!AJ1325&amp;"|"&amp;'管线现金流'!H1326&amp;"|"&amp;'管线现金流'!AJ1326&amp;"|"&amp;'管线现金流'!H1327&amp;"|"&amp;'管线现金流'!AJ1327&amp;"|"&amp;'管线现金流'!H1328&amp;"|"&amp;'管线现金流'!AJ1328&amp;"|"&amp;'管线现金流'!H1329&amp;"|"&amp;'管线现金流'!AJ1329&amp;"|"&amp;'管线现金流'!H1330&amp;"|"&amp;'管线现金流'!AJ1330&amp;"|"&amp;'管线现金流'!H1331&amp;"|"&amp;'管线现金流'!AJ1331&amp;"|"&amp;'管线现金流'!H1332&amp;"|"&amp;'管线现金流'!AJ1332&amp;"|"&amp;'管线现金流'!H1333&amp;"|"&amp;'管线现金流'!AJ1333&amp;"|"&amp;'管线现金流'!H1334&amp;"|"&amp;'管线现金流'!AJ1334&amp;"|"&amp;'管线现金流'!H1335&amp;"|"&amp;'管线现金流'!AJ1335&amp;"|"&amp;'管线现金流'!H1336&amp;"|"&amp;'管线现金流'!AJ1336&amp;"|"&amp;'管线现金流'!H1337&amp;"|"&amp;'管线现金流'!AJ1337&amp;"|"&amp;'管线现金流'!H1338&amp;"|"&amp;'管线现金流'!AJ1338&amp;"|"&amp;'管线现金流'!H1339&amp;"|"&amp;'管线现金流'!AJ1339&amp;"|"&amp;'管线现金流'!H1340&amp;"|"&amp;'管线现金流'!AJ1340&amp;"|"&amp;'管线现金流'!H1341&amp;"|"&amp;'管线现金流'!AJ1341&amp;"|"&amp;'管线现金流'!H1342&amp;"|"&amp;'管线现金流'!AJ1342&amp;"|"&amp;'管线现金流'!H1343&amp;"|"&amp;'管线现金流'!AJ1343&amp;"|"&amp;'管线现金流'!H1344&amp;"|"&amp;'管线现金流'!AJ1344&amp;"|"&amp;'管线现金流'!H1345&amp;"|"&amp;'管线现金流'!AJ1345&amp;"|"&amp;'管线现金流'!H1346&amp;"|"&amp;'管线现金流'!AJ1346&amp;"|"&amp;'管线现金流'!H1347&amp;"|"&amp;'管线现金流'!AJ1347&amp;"|"&amp;'管线现金流'!H1348&amp;"|"&amp;'管线现金流'!AJ1348&amp;"|"&amp;'管线现金流'!H1349&amp;"|"&amp;'管线现金流'!AJ1349&amp;"|"&amp;'管线现金流'!H1350&amp;"|"&amp;'管线现金流'!AJ1350&amp;"|"&amp;'管线现金流'!H1351&amp;"|"&amp;'管线现金流'!AJ1351&amp;"|"&amp;'管线现金流'!H1352&amp;"|"&amp;'管线现金流'!AJ1352&amp;"|"&amp;'管线现金流'!H1353&amp;"|"&amp;'管线现金流'!AJ1353&amp;"|"&amp;'管线现金流'!H1354&amp;"|"&amp;'管线现金流'!AJ1354&amp;"|"&amp;'管线现金流'!H1355&amp;"|"&amp;'管线现金流'!AJ1355&amp;"|"&amp;'管线现金流'!H1356&amp;"|"&amp;'管线现金流'!AJ1356&amp;"|"&amp;'管线现金流'!H1357&amp;"|"&amp;'管线现金流'!AJ1357&amp;"|"&amp;'管线现金流'!H1358&amp;"|"&amp;'管线现金流'!AJ1358&amp;"|"&amp;'管线现金流'!H1359&amp;"|"&amp;'管线现金流'!AJ1359&amp;"|"&amp;'管线现金流'!H1360&amp;"|"&amp;'管线现金流'!AJ1360&amp;"|"&amp;'管线现金流'!H1361&amp;"|"&amp;'管线现金流'!AJ1361&amp;"|"&amp;'管线现金流'!H1362&amp;"|"&amp;'管线现金流'!AJ1362&amp;"|"&amp;'管线现金流'!H1363&amp;"|"&amp;'管线现金流'!AJ1363&amp;"|"&amp;'管线现金流'!H1364&amp;"|"&amp;'管线现金流'!AJ1364&amp;"|"&amp;'管线现金流'!H1365&amp;"|"&amp;'管线现金流'!AJ1365&amp;"|"&amp;'管线现金流'!H1366&amp;"|"&amp;'管线现金流'!AJ1366&amp;"|"&amp;'管线现金流'!H1367&amp;"|"&amp;'管线现金流'!AJ1367&amp;"|"&amp;'管线现金流'!H1368&amp;"|"&amp;'管线现金流'!AJ1368&amp;"|"&amp;'管线现金流'!H1369&amp;"|"&amp;'管线现金流'!AJ1369&amp;"|"&amp;'管线现金流'!H1370&amp;"|"&amp;'管线现金流'!AJ1370&amp;"|"&amp;'管线现金流'!H1371&amp;"|"&amp;'管线现金流'!AJ1371&amp;"|"&amp;'管线现金流'!H1372&amp;"|"&amp;'管线现金流'!AJ1372&amp;"|"&amp;'管线现金流'!H1373&amp;"|"&amp;'管线现金流'!AJ1373&amp;"|"&amp;'管线现金流'!H1374&amp;"|"&amp;'管线现金流'!AJ1374&amp;"|"&amp;'管线现金流'!H1375&amp;"|"&amp;'管线现金流'!AJ1375&amp;"|"&amp;'管线现金流'!H1376&amp;"|"&amp;'管线现金流'!AJ1376&amp;"|"&amp;'管线现金流'!H1377&amp;"|"&amp;'管线现金流'!AJ1377&amp;"|"&amp;'管线现金流'!H1378&amp;"|"&amp;'管线现金流'!AJ1378&amp;"|"&amp;'管线现金流'!H1379&amp;"|"&amp;'管线现金流'!AJ1379&amp;"|"&amp;'管线现金流'!H1380&amp;"|"&amp;'管线现金流'!AJ1380&amp;"|"&amp;'管线现金流'!H1381&amp;"|"&amp;'管线现金流'!AJ1381&amp;"|"&amp;'管线现金流'!H1382&amp;"|"&amp;'管线现金流'!AJ1382&amp;"|"&amp;'管线现金流'!H1383&amp;"|"&amp;'管线现金流'!AJ1383&amp;"|"&amp;'管线现金流'!H1384&amp;"|"&amp;'管线现金流'!AJ1384&amp;"|"&amp;'管线现金流'!H1385&amp;"|"&amp;'管线现金流'!AJ1385&amp;"|"&amp;'管线现金流'!H1386&amp;"|"&amp;'管线现金流'!AJ1386&amp;"|"&amp;'管线现金流'!H1387&amp;"|"&amp;'管线现金流'!AJ1387&amp;"|"&amp;'管线现金流'!H1388&amp;"|"&amp;'管线现金流'!AJ1388&amp;"|"&amp;'管线现金流'!H1389&amp;"|"&amp;'管线现金流'!AJ1389&amp;"|"&amp;'管线现金流'!H1390&amp;"|"&amp;'管线现金流'!AJ1390&amp;"|"&amp;'管线现金流'!H1391&amp;"|"&amp;'管线现金流'!AJ1391&amp;"|"&amp;'管线现金流'!H1392&amp;"|"&amp;'管线现金流'!AJ1392&amp;"|"&amp;'管线现金流'!H1393&amp;"|"&amp;'管线现金流'!AJ1393&amp;"|"&amp;'管线现金流'!H1394&amp;"|"&amp;'管线现金流'!AJ1394&amp;"|"&amp;'管线现金流'!H1395&amp;"|"&amp;'管线现金流'!AJ1395&amp;"|"&amp;'管线现金流'!H1396&amp;"|"&amp;'管线现金流'!AJ1396&amp;"|"&amp;'管线现金流'!H1397&amp;"|"&amp;'管线现金流'!AJ1397&amp;"|"&amp;'管线现金流'!H1398&amp;"|"&amp;'管线现金流'!AJ1398&amp;"|"&amp;'管线现金流'!H1399&amp;"|"&amp;'管线现金流'!AJ1399&amp;"|"&amp;'管线现金流'!H1400&amp;"|"&amp;'管线现金流'!AJ1400&amp;"|"&amp;'管线现金流'!H1401&amp;"|"&amp;'管线现金流'!AJ1401&amp;"|"&amp;'管线现金流'!H1402&amp;"|"&amp;'管线现金流'!AJ1402&amp;"|"&amp;'管线现金流'!H1403&amp;"|"&amp;'管线现金流'!AJ1403&amp;"|"&amp;'管线现金流'!H1404&amp;"|"&amp;'管线现金流'!AJ1404&amp;"|"&amp;'管线现金流'!H1405&amp;"|"&amp;'管线现金流'!AJ1405&amp;"|"&amp;'管线现金流'!H1406&amp;"|"&amp;'管线现金流'!AJ1406&amp;"|"&amp;'管线现金流'!H1407&amp;"|"&amp;'管线现金流'!AJ1407&amp;"|"&amp;'管线现金流'!H1408&amp;"|"&amp;'管线现金流'!AJ1408&amp;"|"&amp;'管线现金流'!H1409&amp;"|"&amp;'管线现金流'!AJ1409&amp;"|"&amp;'管线现金流'!H1410&amp;"|"&amp;'管线现金流'!AJ1410&amp;"|"&amp;'管线现金流'!H1411&amp;"|"&amp;'管线现金流'!AJ1411&amp;"|"&amp;'管线现金流'!H1412&amp;"|"&amp;'管线现金流'!AJ1412&amp;"|"&amp;'管线现金流'!H1413&amp;"|"&amp;'管线现金流'!AJ1413&amp;"|"&amp;'管线现金流'!H1414&amp;"|"&amp;'管线现金流'!AJ1414&amp;"|"&amp;'管线现金流'!H1415&amp;"|"&amp;'管线现金流'!AJ1415&amp;"|"&amp;'管线现金流'!H1416&amp;"|"&amp;'管线现金流'!AJ1416&amp;"|"&amp;'管线现金流'!H1417&amp;"|"&amp;'管线现金流'!AJ1417&amp;"|"&amp;'管线现金流'!H1418&amp;"|"&amp;'管线现金流'!AJ1418&amp;"|"&amp;'管线现金流'!H1419&amp;"|"&amp;'管线现金流'!AJ1419&amp;"|"&amp;'管线现金流'!H1420&amp;"|"&amp;'管线现金流'!AJ1420&amp;"|"&amp;'管线现金流'!H1421&amp;"|"&amp;'管线现金流'!AJ1421&amp;"|"&amp;'管线现金流'!H1422&amp;"|"&amp;'管线现金流'!AJ1422&amp;"|"&amp;'管线现金流'!H1423&amp;"|"&amp;'管线现金流'!AJ1423&amp;"|"&amp;'管线现金流'!H1424&amp;"|"&amp;'管线现金流'!AJ1424&amp;"|"&amp;'管线现金流'!H1425&amp;"|"&amp;'管线现金流'!AJ1425&amp;"|"&amp;'管线现金流'!H1426&amp;"|"&amp;'管线现金流'!AJ1426&amp;"|"&amp;'管线现金流'!H1427&amp;"|"&amp;'管线现金流'!AJ1427&amp;"|"&amp;'管线现金流'!H1428&amp;"|"&amp;'管线现金流'!AJ1428&amp;"|"&amp;'管线现金流'!H1429&amp;"|"&amp;'管线现金流'!AJ1429&amp;"|"&amp;'管线现金流'!H1430&amp;"|"&amp;'管线现金流'!AJ1430&amp;"|"&amp;'管线现金流'!H1431&amp;"|"&amp;'管线现金流'!AJ1431&amp;"|"&amp;'管线现金流'!H1432&amp;"|"&amp;'管线现金流'!AJ1432&amp;"|"&amp;'管线现金流'!H1433&amp;"|"&amp;'管线现金流'!AJ1433&amp;"|"&amp;'管线现金流'!H1434&amp;"|"&amp;'管线现金流'!AJ1434&amp;"|"&amp;'管线现金流'!H1435&amp;"|"&amp;'管线现金流'!AJ1435&amp;"|"&amp;'管线现金流'!H1436&amp;"|"&amp;'管线现金流'!AJ1436&amp;"|"&amp;'管线现金流'!H1437&amp;"|"&amp;'管线现金流'!AJ1437&amp;"|"&amp;'管线现金流'!H1438&amp;"|"&amp;'管线现金流'!AJ1438&amp;"|"&amp;'管线现金流'!H1439&amp;"|"&amp;'管线现金流'!AJ1439&amp;"|"&amp;'管线现金流'!H1440&amp;"|"&amp;'管线现金流'!AJ1440&amp;"|"&amp;'管线现金流'!H1441&amp;"|"&amp;'管线现金流'!AJ1441&amp;"|"&amp;'管线现金流'!H1442&amp;"|"&amp;'管线现金流'!AJ1442&amp;"|"&amp;'管线现金流'!H1443&amp;"|"&amp;'管线现金流'!AJ1443&amp;"|"&amp;'管线现金流'!H1444&amp;"|"&amp;'管线现金流'!AJ1444&amp;"|"&amp;'管线现金流'!H1445&amp;"|"&amp;'管线现金流'!AJ1445&amp;"|"&amp;'管线现金流'!H1446&amp;"|"&amp;'管线现金流'!AJ1446&amp;"|"&amp;'管线现金流'!H1447&amp;"|"&amp;'管线现金流'!AJ1447&amp;"|"&amp;'管线现金流'!H1448&amp;"|"&amp;'管线现金流'!AJ1448&amp;"|"&amp;'管线现金流'!H1449&amp;"|"&amp;'管线现金流'!AJ1449&amp;"|"&amp;'管线现金流'!H1450&amp;"|"&amp;'管线现金流'!AJ1450&amp;"|"&amp;'管线现金流'!H1451&amp;"|"&amp;'管线现金流'!AJ1451&amp;"|"&amp;'管线现金流'!H1452&amp;"|"&amp;'管线现金流'!AJ1452&amp;"|"&amp;'管线现金流'!H1453&amp;"|"&amp;'管线现金流'!AJ1453&amp;"|"&amp;'管线现金流'!H1454&amp;"|"&amp;'管线现金流'!AJ1454&amp;"|"&amp;'管线现金流'!H1455&amp;"|"&amp;'管线现金流'!AJ1455&amp;"|"&amp;'管线现金流'!H1456&amp;"|"&amp;'管线现金流'!AJ1456&amp;"|"&amp;'管线现金流'!H1457&amp;"|"&amp;'管线现金流'!AJ1457&amp;"|"&amp;'管线现金流'!H1458&amp;"|"&amp;'管线现金流'!AJ1458&amp;"|"&amp;'管线现金流'!H1459&amp;"|"&amp;'管线现金流'!AJ1459&amp;"|"&amp;'管线现金流'!H1460&amp;"|"&amp;'管线现金流'!AJ1460</x:f>
        <x:v>0.45|0.55|0.6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</x:row>
    <x:row r="308" ht="23" customHeight="1">
      <x:c r="A308" s="11" t="str">
        <x:v>688302.SH</x:v>
      </x:c>
      <x:c r="B308" s="11" t="str">
        <x:v>海创药业</x:v>
      </x:c>
      <x:c r="C308" s="11" t="str">
        <x:v>2026年底</x:v>
      </x:c>
      <x:c r="D308" s="11" t="str">
        <x:v>基准</x:v>
      </x:c>
      <x:c r="E308" s="11" t="n">
        <x:v>32.09</x:v>
      </x:c>
      <x:c r="F308" s="11" t="n">
        <x:v>29.620147833265147</x:v>
      </x:c>
      <x:c r="G308" s="11" t="n">
        <x:v>0</x:v>
      </x:c>
      <x:c r="H308" s="25" t="n">
        <x:v>-0.07696641217621869</x:v>
      </x:c>
      <x:c r="I308" s="25" t="n">
        <x:v>-0.07696641217621869</x:v>
      </x:c>
      <x:c r="J308" s="25" t="str"/>
      <x:c r="K308" s="11" t="n">
        <x:v>0</x:v>
      </x:c>
      <x:c r="L308" s="11" t="n">
        <x:v>0</x:v>
      </x:c>
      <x:c r="M308" s="11" t="n">
        <x:v>1</x:v>
      </x:c>
      <x:c r="N308" s="11" t="n">
        <x:v>0</x:v>
      </x:c>
      <x:c r="O308" s="11" t="n">
        <x:v>0</x:v>
      </x:c>
      <x:c r="P308" s="11" t="n">
        <x:v>0</x:v>
      </x:c>
      <x:c r="Q308" s="11" t="n">
        <x:v>0.1</x:v>
      </x:c>
      <x:c r="R308" s="11" t="str">
        <x:v>hinova-rnpv-v1.0</x:v>
      </x:c>
      <x:c r="S308" s="11" t="str">
        <x:v>2026-10-10</x:v>
      </x:c>
      <x:c r="T308" s="11" t="str">
        <x:f>IF(AND(SUM(IF(K308='假设'!E409,0,1),IF(L308='假设'!F409,0,1),IF(M308='假设'!G409,0,1),IF(N308='假设'!H409,0,1),IF(O308='假设'!I409,0,1),IF(P308='假设'!J409,0,1),IF(Q308='假设'!K409,0,1))=0,U308=V308),"已刷新","待刷新")</x:f>
        <x:v>已刷新</x:v>
      </x:c>
      <x:c r="U308" t="str">
        <x:v>0.35|0.62|0.75|1|0.25|1|0.14|6.8|0.44999999999999996|0.25|1|0.14|6.8|0.21999999999999997|0.23|1|0.14|6.8|0.15000000000000002|0.0738|1|0.14|6.8|0.12|0.23|1|0.14|6.8|0.09999999999999998|0.0738|1|0.14|6.8|0.38|0.25|1|0.14|6.8|0.25|0.0738|1|0.14|6.8|0.15000000000000002|0.18|1|0.14|6.8|0.09999999999999998|0.0656|1|0.14|6.8|0.06000000000000005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  <x:c r="V308" t="str">
        <x:f>'假设'!U409&amp;"|"&amp;'假设'!N409&amp;"|"&amp;'假设'!Q409&amp;"|"&amp;'管线假设'!E289&amp;"|"&amp;'管线假设'!F289&amp;"|"&amp;'管线假设'!G289&amp;"|"&amp;'管线假设'!H289&amp;"|"&amp;'管线假设'!I289&amp;"|"&amp;'管线假设'!E293&amp;"|"&amp;'管线假设'!F293&amp;"|"&amp;'管线假设'!G293&amp;"|"&amp;'管线假设'!H293&amp;"|"&amp;'管线假设'!I293&amp;"|"&amp;'管线假设'!E297&amp;"|"&amp;'管线假设'!F297&amp;"|"&amp;'管线假设'!G297&amp;"|"&amp;'管线假设'!H297&amp;"|"&amp;'管线假设'!I297&amp;"|"&amp;'管线假设'!E301&amp;"|"&amp;'管线假设'!F301&amp;"|"&amp;'管线假设'!G301&amp;"|"&amp;'管线假设'!H301&amp;"|"&amp;'管线假设'!I301&amp;"|"&amp;'管线假设'!E305&amp;"|"&amp;'管线假设'!F305&amp;"|"&amp;'管线假设'!G305&amp;"|"&amp;'管线假设'!H305&amp;"|"&amp;'管线假设'!I305&amp;"|"&amp;'管线假设'!E309&amp;"|"&amp;'管线假设'!F309&amp;"|"&amp;'管线假设'!G309&amp;"|"&amp;'管线假设'!H309&amp;"|"&amp;'管线假设'!I309&amp;"|"&amp;'管线假设'!E313&amp;"|"&amp;'管线假设'!F313&amp;"|"&amp;'管线假设'!G313&amp;"|"&amp;'管线假设'!H313&amp;"|"&amp;'管线假设'!I313&amp;"|"&amp;'管线假设'!E317&amp;"|"&amp;'管线假设'!F317&amp;"|"&amp;'管线假设'!G317&amp;"|"&amp;'管线假设'!H317&amp;"|"&amp;'管线假设'!I317&amp;"|"&amp;'管线假设'!E321&amp;"|"&amp;'管线假设'!F321&amp;"|"&amp;'管线假设'!G321&amp;"|"&amp;'管线假设'!H321&amp;"|"&amp;'管线假设'!I321&amp;"|"&amp;'管线假设'!E325&amp;"|"&amp;'管线假设'!F325&amp;"|"&amp;'管线假设'!G325&amp;"|"&amp;'管线假设'!H325&amp;"|"&amp;'管线假设'!I325&amp;"|"&amp;'管线假设'!E329&amp;"|"&amp;'管线假设'!F329&amp;"|"&amp;'管线假设'!G329&amp;"|"&amp;'管线假设'!H329&amp;"|"&amp;'管线假设'!I329&amp;"|"&amp;'管线现金流'!I1252&amp;"|"&amp;'管线现金流'!AK1252&amp;"|"&amp;'管线现金流'!I1253&amp;"|"&amp;'管线现金流'!AK1253&amp;"|"&amp;'管线现金流'!I1254&amp;"|"&amp;'管线现金流'!AK1254&amp;"|"&amp;'管线现金流'!I1255&amp;"|"&amp;'管线现金流'!AK1255&amp;"|"&amp;'管线现金流'!I1256&amp;"|"&amp;'管线现金流'!AK1256&amp;"|"&amp;'管线现金流'!I1257&amp;"|"&amp;'管线现金流'!AK1257&amp;"|"&amp;'管线现金流'!I1258&amp;"|"&amp;'管线现金流'!AK1258&amp;"|"&amp;'管线现金流'!I1259&amp;"|"&amp;'管线现金流'!AK1259&amp;"|"&amp;'管线现金流'!I1260&amp;"|"&amp;'管线现金流'!AK1260&amp;"|"&amp;'管线现金流'!I1261&amp;"|"&amp;'管线现金流'!AK1261&amp;"|"&amp;'管线现金流'!I1262&amp;"|"&amp;'管线现金流'!AK1262&amp;"|"&amp;'管线现金流'!I1263&amp;"|"&amp;'管线现金流'!AK1263&amp;"|"&amp;'管线现金流'!I1264&amp;"|"&amp;'管线现金流'!AK1264&amp;"|"&amp;'管线现金流'!I1265&amp;"|"&amp;'管线现金流'!AK1265&amp;"|"&amp;'管线现金流'!I1266&amp;"|"&amp;'管线现金流'!AK1266&amp;"|"&amp;'管线现金流'!I1267&amp;"|"&amp;'管线现金流'!AK1267&amp;"|"&amp;'管线现金流'!I1268&amp;"|"&amp;'管线现金流'!AK1268&amp;"|"&amp;'管线现金流'!I1269&amp;"|"&amp;'管线现金流'!AK1269&amp;"|"&amp;'管线现金流'!I1270&amp;"|"&amp;'管线现金流'!AK1270&amp;"|"&amp;'管线现金流'!I1271&amp;"|"&amp;'管线现金流'!AK1271&amp;"|"&amp;'管线现金流'!I1272&amp;"|"&amp;'管线现金流'!AK1272&amp;"|"&amp;'管线现金流'!I1273&amp;"|"&amp;'管线现金流'!AK1273&amp;"|"&amp;'管线现金流'!I1274&amp;"|"&amp;'管线现金流'!AK1274&amp;"|"&amp;'管线现金流'!I1275&amp;"|"&amp;'管线现金流'!AK1275&amp;"|"&amp;'管线现金流'!I1276&amp;"|"&amp;'管线现金流'!AK1276&amp;"|"&amp;'管线现金流'!I1277&amp;"|"&amp;'管线现金流'!AK1277&amp;"|"&amp;'管线现金流'!I1278&amp;"|"&amp;'管线现金流'!AK1278&amp;"|"&amp;'管线现金流'!I1279&amp;"|"&amp;'管线现金流'!AK1279&amp;"|"&amp;'管线现金流'!I1280&amp;"|"&amp;'管线现金流'!AK1280&amp;"|"&amp;'管线现金流'!I1281&amp;"|"&amp;'管线现金流'!AK1281&amp;"|"&amp;'管线现金流'!I1282&amp;"|"&amp;'管线现金流'!AK1282&amp;"|"&amp;'管线现金流'!I1283&amp;"|"&amp;'管线现金流'!AK1283&amp;"|"&amp;'管线现金流'!I1284&amp;"|"&amp;'管线现金流'!AK1284&amp;"|"&amp;'管线现金流'!I1285&amp;"|"&amp;'管线现金流'!AK1285&amp;"|"&amp;'管线现金流'!I1286&amp;"|"&amp;'管线现金流'!AK1286&amp;"|"&amp;'管线现金流'!I1287&amp;"|"&amp;'管线现金流'!AK1287&amp;"|"&amp;'管线现金流'!I1288&amp;"|"&amp;'管线现金流'!AK1288&amp;"|"&amp;'管线现金流'!I1289&amp;"|"&amp;'管线现金流'!AK1289&amp;"|"&amp;'管线现金流'!I1290&amp;"|"&amp;'管线现金流'!AK1290&amp;"|"&amp;'管线现金流'!I1291&amp;"|"&amp;'管线现金流'!AK1291&amp;"|"&amp;'管线现金流'!I1292&amp;"|"&amp;'管线现金流'!AK1292&amp;"|"&amp;'管线现金流'!I1293&amp;"|"&amp;'管线现金流'!AK1293&amp;"|"&amp;'管线现金流'!I1294&amp;"|"&amp;'管线现金流'!AK1294&amp;"|"&amp;'管线现金流'!I1295&amp;"|"&amp;'管线现金流'!AK1295&amp;"|"&amp;'管线现金流'!I1296&amp;"|"&amp;'管线现金流'!AK1296&amp;"|"&amp;'管线现金流'!I1297&amp;"|"&amp;'管线现金流'!AK1297&amp;"|"&amp;'管线现金流'!I1298&amp;"|"&amp;'管线现金流'!AK1298&amp;"|"&amp;'管线现金流'!I1299&amp;"|"&amp;'管线现金流'!AK1299&amp;"|"&amp;'管线现金流'!I1300&amp;"|"&amp;'管线现金流'!AK1300&amp;"|"&amp;'管线现金流'!I1301&amp;"|"&amp;'管线现金流'!AK1301&amp;"|"&amp;'管线现金流'!I1302&amp;"|"&amp;'管线现金流'!AK1302&amp;"|"&amp;'管线现金流'!I1303&amp;"|"&amp;'管线现金流'!AK1303&amp;"|"&amp;'管线现金流'!I1304&amp;"|"&amp;'管线现金流'!AK1304&amp;"|"&amp;'管线现金流'!I1305&amp;"|"&amp;'管线现金流'!AK1305&amp;"|"&amp;'管线现金流'!I1306&amp;"|"&amp;'管线现金流'!AK1306&amp;"|"&amp;'管线现金流'!I1307&amp;"|"&amp;'管线现金流'!AK1307&amp;"|"&amp;'管线现金流'!I1308&amp;"|"&amp;'管线现金流'!AK1308&amp;"|"&amp;'管线现金流'!I1309&amp;"|"&amp;'管线现金流'!AK1309&amp;"|"&amp;'管线现金流'!I1310&amp;"|"&amp;'管线现金流'!AK1310&amp;"|"&amp;'管线现金流'!I1311&amp;"|"&amp;'管线现金流'!AK1311&amp;"|"&amp;'管线现金流'!I1312&amp;"|"&amp;'管线现金流'!AK1312&amp;"|"&amp;'管线现金流'!I1313&amp;"|"&amp;'管线现金流'!AK1313&amp;"|"&amp;'管线现金流'!I1314&amp;"|"&amp;'管线现金流'!AK1314&amp;"|"&amp;'管线现金流'!I1315&amp;"|"&amp;'管线现金流'!AK1315&amp;"|"&amp;'管线现金流'!I1316&amp;"|"&amp;'管线现金流'!AK1316&amp;"|"&amp;'管线现金流'!I1317&amp;"|"&amp;'管线现金流'!AK1317&amp;"|"&amp;'管线现金流'!I1318&amp;"|"&amp;'管线现金流'!AK1318&amp;"|"&amp;'管线现金流'!I1319&amp;"|"&amp;'管线现金流'!AK1319&amp;"|"&amp;'管线现金流'!I1320&amp;"|"&amp;'管线现金流'!AK1320&amp;"|"&amp;'管线现金流'!I1321&amp;"|"&amp;'管线现金流'!AK1321&amp;"|"&amp;'管线现金流'!I1322&amp;"|"&amp;'管线现金流'!AK1322&amp;"|"&amp;'管线现金流'!I1323&amp;"|"&amp;'管线现金流'!AK1323&amp;"|"&amp;'管线现金流'!I1324&amp;"|"&amp;'管线现金流'!AK1324&amp;"|"&amp;'管线现金流'!I1325&amp;"|"&amp;'管线现金流'!AK1325&amp;"|"&amp;'管线现金流'!I1326&amp;"|"&amp;'管线现金流'!AK1326&amp;"|"&amp;'管线现金流'!I1327&amp;"|"&amp;'管线现金流'!AK1327&amp;"|"&amp;'管线现金流'!I1328&amp;"|"&amp;'管线现金流'!AK1328&amp;"|"&amp;'管线现金流'!I1329&amp;"|"&amp;'管线现金流'!AK1329&amp;"|"&amp;'管线现金流'!I1330&amp;"|"&amp;'管线现金流'!AK1330&amp;"|"&amp;'管线现金流'!I1331&amp;"|"&amp;'管线现金流'!AK1331&amp;"|"&amp;'管线现金流'!I1332&amp;"|"&amp;'管线现金流'!AK1332&amp;"|"&amp;'管线现金流'!I1333&amp;"|"&amp;'管线现金流'!AK1333&amp;"|"&amp;'管线现金流'!I1334&amp;"|"&amp;'管线现金流'!AK1334&amp;"|"&amp;'管线现金流'!I1335&amp;"|"&amp;'管线现金流'!AK1335&amp;"|"&amp;'管线现金流'!I1336&amp;"|"&amp;'管线现金流'!AK1336&amp;"|"&amp;'管线现金流'!I1337&amp;"|"&amp;'管线现金流'!AK1337&amp;"|"&amp;'管线现金流'!I1338&amp;"|"&amp;'管线现金流'!AK1338&amp;"|"&amp;'管线现金流'!I1339&amp;"|"&amp;'管线现金流'!AK1339&amp;"|"&amp;'管线现金流'!I1340&amp;"|"&amp;'管线现金流'!AK1340&amp;"|"&amp;'管线现金流'!I1341&amp;"|"&amp;'管线现金流'!AK1341&amp;"|"&amp;'管线现金流'!I1342&amp;"|"&amp;'管线现金流'!AK1342&amp;"|"&amp;'管线现金流'!I1343&amp;"|"&amp;'管线现金流'!AK1343&amp;"|"&amp;'管线现金流'!I1344&amp;"|"&amp;'管线现金流'!AK1344&amp;"|"&amp;'管线现金流'!I1345&amp;"|"&amp;'管线现金流'!AK1345&amp;"|"&amp;'管线现金流'!I1346&amp;"|"&amp;'管线现金流'!AK1346&amp;"|"&amp;'管线现金流'!I1347&amp;"|"&amp;'管线现金流'!AK1347&amp;"|"&amp;'管线现金流'!I1348&amp;"|"&amp;'管线现金流'!AK1348&amp;"|"&amp;'管线现金流'!I1349&amp;"|"&amp;'管线现金流'!AK1349&amp;"|"&amp;'管线现金流'!I1350&amp;"|"&amp;'管线现金流'!AK1350&amp;"|"&amp;'管线现金流'!I1351&amp;"|"&amp;'管线现金流'!AK1351&amp;"|"&amp;'管线现金流'!I1352&amp;"|"&amp;'管线现金流'!AK1352&amp;"|"&amp;'管线现金流'!I1353&amp;"|"&amp;'管线现金流'!AK1353&amp;"|"&amp;'管线现金流'!I1354&amp;"|"&amp;'管线现金流'!AK1354&amp;"|"&amp;'管线现金流'!I1355&amp;"|"&amp;'管线现金流'!AK1355&amp;"|"&amp;'管线现金流'!I1356&amp;"|"&amp;'管线现金流'!AK1356&amp;"|"&amp;'管线现金流'!I1357&amp;"|"&amp;'管线现金流'!AK1357&amp;"|"&amp;'管线现金流'!I1358&amp;"|"&amp;'管线现金流'!AK1358&amp;"|"&amp;'管线现金流'!I1359&amp;"|"&amp;'管线现金流'!AK1359&amp;"|"&amp;'管线现金流'!I1360&amp;"|"&amp;'管线现金流'!AK1360&amp;"|"&amp;'管线现金流'!I1361&amp;"|"&amp;'管线现金流'!AK1361&amp;"|"&amp;'管线现金流'!I1362&amp;"|"&amp;'管线现金流'!AK1362&amp;"|"&amp;'管线现金流'!I1363&amp;"|"&amp;'管线现金流'!AK1363&amp;"|"&amp;'管线现金流'!I1364&amp;"|"&amp;'管线现金流'!AK1364&amp;"|"&amp;'管线现金流'!I1365&amp;"|"&amp;'管线现金流'!AK1365&amp;"|"&amp;'管线现金流'!I1366&amp;"|"&amp;'管线现金流'!AK1366&amp;"|"&amp;'管线现金流'!I1367&amp;"|"&amp;'管线现金流'!AK1367&amp;"|"&amp;'管线现金流'!I1368&amp;"|"&amp;'管线现金流'!AK1368&amp;"|"&amp;'管线现金流'!I1369&amp;"|"&amp;'管线现金流'!AK1369&amp;"|"&amp;'管线现金流'!I1370&amp;"|"&amp;'管线现金流'!AK1370&amp;"|"&amp;'管线现金流'!I1371&amp;"|"&amp;'管线现金流'!AK1371&amp;"|"&amp;'管线现金流'!I1372&amp;"|"&amp;'管线现金流'!AK1372&amp;"|"&amp;'管线现金流'!I1373&amp;"|"&amp;'管线现金流'!AK1373&amp;"|"&amp;'管线现金流'!I1374&amp;"|"&amp;'管线现金流'!AK1374&amp;"|"&amp;'管线现金流'!I1375&amp;"|"&amp;'管线现金流'!AK1375&amp;"|"&amp;'管线现金流'!I1376&amp;"|"&amp;'管线现金流'!AK1376&amp;"|"&amp;'管线现金流'!I1377&amp;"|"&amp;'管线现金流'!AK1377&amp;"|"&amp;'管线现金流'!I1378&amp;"|"&amp;'管线现金流'!AK1378&amp;"|"&amp;'管线现金流'!I1379&amp;"|"&amp;'管线现金流'!AK1379&amp;"|"&amp;'管线现金流'!I1380&amp;"|"&amp;'管线现金流'!AK1380&amp;"|"&amp;'管线现金流'!I1381&amp;"|"&amp;'管线现金流'!AK1381&amp;"|"&amp;'管线现金流'!I1382&amp;"|"&amp;'管线现金流'!AK1382&amp;"|"&amp;'管线现金流'!I1383&amp;"|"&amp;'管线现金流'!AK1383&amp;"|"&amp;'管线现金流'!I1384&amp;"|"&amp;'管线现金流'!AK1384&amp;"|"&amp;'管线现金流'!I1385&amp;"|"&amp;'管线现金流'!AK1385&amp;"|"&amp;'管线现金流'!I1386&amp;"|"&amp;'管线现金流'!AK1386&amp;"|"&amp;'管线现金流'!I1387&amp;"|"&amp;'管线现金流'!AK1387&amp;"|"&amp;'管线现金流'!I1388&amp;"|"&amp;'管线现金流'!AK1388&amp;"|"&amp;'管线现金流'!I1389&amp;"|"&amp;'管线现金流'!AK1389&amp;"|"&amp;'管线现金流'!I1390&amp;"|"&amp;'管线现金流'!AK1390&amp;"|"&amp;'管线现金流'!I1391&amp;"|"&amp;'管线现金流'!AK1391&amp;"|"&amp;'管线现金流'!I1392&amp;"|"&amp;'管线现金流'!AK1392&amp;"|"&amp;'管线现金流'!I1393&amp;"|"&amp;'管线现金流'!AK1393&amp;"|"&amp;'管线现金流'!I1394&amp;"|"&amp;'管线现金流'!AK1394&amp;"|"&amp;'管线现金流'!I1395&amp;"|"&amp;'管线现金流'!AK1395&amp;"|"&amp;'管线现金流'!I1396&amp;"|"&amp;'管线现金流'!AK1396&amp;"|"&amp;'管线现金流'!I1397&amp;"|"&amp;'管线现金流'!AK1397&amp;"|"&amp;'管线现金流'!I1398&amp;"|"&amp;'管线现金流'!AK1398&amp;"|"&amp;'管线现金流'!I1399&amp;"|"&amp;'管线现金流'!AK1399&amp;"|"&amp;'管线现金流'!I1400&amp;"|"&amp;'管线现金流'!AK1400&amp;"|"&amp;'管线现金流'!I1401&amp;"|"&amp;'管线现金流'!AK1401&amp;"|"&amp;'管线现金流'!I1402&amp;"|"&amp;'管线现金流'!AK1402&amp;"|"&amp;'管线现金流'!I1403&amp;"|"&amp;'管线现金流'!AK1403&amp;"|"&amp;'管线现金流'!I1404&amp;"|"&amp;'管线现金流'!AK1404&amp;"|"&amp;'管线现金流'!I1405&amp;"|"&amp;'管线现金流'!AK1405&amp;"|"&amp;'管线现金流'!I1406&amp;"|"&amp;'管线现金流'!AK1406&amp;"|"&amp;'管线现金流'!I1407&amp;"|"&amp;'管线现金流'!AK1407&amp;"|"&amp;'管线现金流'!I1408&amp;"|"&amp;'管线现金流'!AK1408&amp;"|"&amp;'管线现金流'!I1409&amp;"|"&amp;'管线现金流'!AK1409&amp;"|"&amp;'管线现金流'!I1410&amp;"|"&amp;'管线现金流'!AK1410&amp;"|"&amp;'管线现金流'!I1411&amp;"|"&amp;'管线现金流'!AK1411&amp;"|"&amp;'管线现金流'!I1412&amp;"|"&amp;'管线现金流'!AK1412&amp;"|"&amp;'管线现金流'!I1413&amp;"|"&amp;'管线现金流'!AK1413&amp;"|"&amp;'管线现金流'!I1414&amp;"|"&amp;'管线现金流'!AK1414&amp;"|"&amp;'管线现金流'!I1415&amp;"|"&amp;'管线现金流'!AK1415&amp;"|"&amp;'管线现金流'!I1416&amp;"|"&amp;'管线现金流'!AK1416&amp;"|"&amp;'管线现金流'!I1417&amp;"|"&amp;'管线现金流'!AK1417&amp;"|"&amp;'管线现金流'!I1418&amp;"|"&amp;'管线现金流'!AK1418&amp;"|"&amp;'管线现金流'!I1419&amp;"|"&amp;'管线现金流'!AK1419&amp;"|"&amp;'管线现金流'!I1420&amp;"|"&amp;'管线现金流'!AK1420&amp;"|"&amp;'管线现金流'!I1421&amp;"|"&amp;'管线现金流'!AK1421&amp;"|"&amp;'管线现金流'!I1422&amp;"|"&amp;'管线现金流'!AK1422&amp;"|"&amp;'管线现金流'!I1423&amp;"|"&amp;'管线现金流'!AK1423&amp;"|"&amp;'管线现金流'!I1424&amp;"|"&amp;'管线现金流'!AK1424&amp;"|"&amp;'管线现金流'!I1425&amp;"|"&amp;'管线现金流'!AK1425&amp;"|"&amp;'管线现金流'!I1426&amp;"|"&amp;'管线现金流'!AK1426&amp;"|"&amp;'管线现金流'!I1427&amp;"|"&amp;'管线现金流'!AK1427&amp;"|"&amp;'管线现金流'!I1428&amp;"|"&amp;'管线现金流'!AK1428&amp;"|"&amp;'管线现金流'!I1429&amp;"|"&amp;'管线现金流'!AK1429&amp;"|"&amp;'管线现金流'!I1430&amp;"|"&amp;'管线现金流'!AK1430&amp;"|"&amp;'管线现金流'!I1431&amp;"|"&amp;'管线现金流'!AK1431&amp;"|"&amp;'管线现金流'!I1432&amp;"|"&amp;'管线现金流'!AK1432&amp;"|"&amp;'管线现金流'!I1433&amp;"|"&amp;'管线现金流'!AK1433&amp;"|"&amp;'管线现金流'!I1434&amp;"|"&amp;'管线现金流'!AK1434&amp;"|"&amp;'管线现金流'!I1435&amp;"|"&amp;'管线现金流'!AK1435&amp;"|"&amp;'管线现金流'!I1436&amp;"|"&amp;'管线现金流'!AK1436&amp;"|"&amp;'管线现金流'!I1437&amp;"|"&amp;'管线现金流'!AK1437&amp;"|"&amp;'管线现金流'!I1438&amp;"|"&amp;'管线现金流'!AK1438&amp;"|"&amp;'管线现金流'!I1439&amp;"|"&amp;'管线现金流'!AK1439&amp;"|"&amp;'管线现金流'!I1440&amp;"|"&amp;'管线现金流'!AK1440&amp;"|"&amp;'管线现金流'!I1441&amp;"|"&amp;'管线现金流'!AK1441&amp;"|"&amp;'管线现金流'!I1442&amp;"|"&amp;'管线现金流'!AK1442&amp;"|"&amp;'管线现金流'!I1443&amp;"|"&amp;'管线现金流'!AK1443&amp;"|"&amp;'管线现金流'!I1444&amp;"|"&amp;'管线现金流'!AK1444&amp;"|"&amp;'管线现金流'!I1445&amp;"|"&amp;'管线现金流'!AK1445&amp;"|"&amp;'管线现金流'!I1446&amp;"|"&amp;'管线现金流'!AK1446&amp;"|"&amp;'管线现金流'!I1447&amp;"|"&amp;'管线现金流'!AK1447&amp;"|"&amp;'管线现金流'!I1448&amp;"|"&amp;'管线现金流'!AK1448&amp;"|"&amp;'管线现金流'!I1449&amp;"|"&amp;'管线现金流'!AK1449&amp;"|"&amp;'管线现金流'!I1450&amp;"|"&amp;'管线现金流'!AK1450&amp;"|"&amp;'管线现金流'!I1451&amp;"|"&amp;'管线现金流'!AK1451&amp;"|"&amp;'管线现金流'!I1452&amp;"|"&amp;'管线现金流'!AK1452&amp;"|"&amp;'管线现金流'!I1453&amp;"|"&amp;'管线现金流'!AK1453&amp;"|"&amp;'管线现金流'!I1454&amp;"|"&amp;'管线现金流'!AK1454&amp;"|"&amp;'管线现金流'!I1455&amp;"|"&amp;'管线现金流'!AK1455&amp;"|"&amp;'管线现金流'!I1456&amp;"|"&amp;'管线现金流'!AK1456&amp;"|"&amp;'管线现金流'!I1457&amp;"|"&amp;'管线现金流'!AK1457&amp;"|"&amp;'管线现金流'!I1458&amp;"|"&amp;'管线现金流'!AK1458&amp;"|"&amp;'管线现金流'!I1459&amp;"|"&amp;'管线现金流'!AK1459&amp;"|"&amp;'管线现金流'!I1460&amp;"|"&amp;'管线现金流'!AK1460</x:f>
        <x:v>0.35|0.62|0.75|1|0.25|1|0.14|6.8|0.44999999999999996|0.25|1|0.14|6.8|0.21999999999999997|0.23|1|0.14|6.8|0.15000000000000002|0.0738|1|0.14|6.8|0.12|0.23|1|0.14|6.8|0.09999999999999998|0.0738|1|0.14|6.8|0.38|0.25|1|0.14|6.8|0.25|0.0738|1|0.14|6.8|0.15000000000000002|0.18|1|0.14|6.8|0.09999999999999998|0.0656|1|0.14|6.8|0.06000000000000005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</x:row>
    <x:row r="309" ht="23" customHeight="1">
      <x:c r="A309" s="11" t="str">
        <x:v>688302.SH</x:v>
      </x:c>
      <x:c r="B309" s="11" t="str">
        <x:v>海创药业</x:v>
      </x:c>
      <x:c r="C309" s="11" t="str">
        <x:v>2026年底</x:v>
      </x:c>
      <x:c r="D309" s="11" t="str">
        <x:v>乐观</x:v>
      </x:c>
      <x:c r="E309" s="11" t="n">
        <x:v>32.09</x:v>
      </x:c>
      <x:c r="F309" s="11" t="n">
        <x:v>45.03519958089347</x:v>
      </x:c>
      <x:c r="G309" s="11" t="n">
        <x:v>0</x:v>
      </x:c>
      <x:c r="H309" s="25" t="n">
        <x:v>0.40340291620110524</x:v>
      </x:c>
      <x:c r="I309" s="25" t="n">
        <x:v>0.40340291620110524</x:v>
      </x:c>
      <x:c r="J309" s="25" t="str"/>
      <x:c r="K309" s="11" t="n">
        <x:v>0</x:v>
      </x:c>
      <x:c r="L309" s="11" t="n">
        <x:v>0</x:v>
      </x:c>
      <x:c r="M309" s="11" t="n">
        <x:v>1</x:v>
      </x:c>
      <x:c r="N309" s="11" t="n">
        <x:v>0</x:v>
      </x:c>
      <x:c r="O309" s="11" t="n">
        <x:v>0</x:v>
      </x:c>
      <x:c r="P309" s="11" t="n">
        <x:v>0</x:v>
      </x:c>
      <x:c r="Q309" s="11" t="n">
        <x:v>0.0995</x:v>
      </x:c>
      <x:c r="R309" s="11" t="str">
        <x:v>hinova-rnpv-v1.0</x:v>
      </x:c>
      <x:c r="S309" s="11" t="str">
        <x:v>2026-10-10</x:v>
      </x:c>
      <x:c r="T309" s="11" t="str">
        <x:f>IF(AND(SUM(IF(K309='假设'!E410,0,1),IF(L309='假设'!F410,0,1),IF(M309='假设'!G410,0,1),IF(N309='假设'!H410,0,1),IF(O309='假设'!I410,0,1),IF(P309='假设'!J410,0,1),IF(Q309='假设'!K410,0,1))=0,U309=V309),"已刷新","待刷新")</x:f>
        <x:v>已刷新</x:v>
      </x:c>
      <x:c r="U309" t="str">
        <x:v>0.08|0.7|1.1|1|0.35|1|0.105|6.8|0.7|0.35|1|0.105|6.8|0.44999999999999996|0.33|1|0.105|6.8|0.35|0.102|1|0.105|6.8|0.30000000000000004|0.33|1|0.105|6.8|0.25|0.102|1|0.105|6.8|0.6|0.35|1|0.105|6.8|0.5|0.102|1|0.105|6.8|0.35|0.28|1|0.105|6.8|0.25|0.0935|1|0.105|6.8|0.17999999999999994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  <x:c r="V309" t="str">
        <x:f>'假设'!U410&amp;"|"&amp;'假设'!N410&amp;"|"&amp;'假设'!Q410&amp;"|"&amp;'管线假设'!E290&amp;"|"&amp;'管线假设'!F290&amp;"|"&amp;'管线假设'!G290&amp;"|"&amp;'管线假设'!H290&amp;"|"&amp;'管线假设'!I290&amp;"|"&amp;'管线假设'!E294&amp;"|"&amp;'管线假设'!F294&amp;"|"&amp;'管线假设'!G294&amp;"|"&amp;'管线假设'!H294&amp;"|"&amp;'管线假设'!I294&amp;"|"&amp;'管线假设'!E298&amp;"|"&amp;'管线假设'!F298&amp;"|"&amp;'管线假设'!G298&amp;"|"&amp;'管线假设'!H298&amp;"|"&amp;'管线假设'!I298&amp;"|"&amp;'管线假设'!E302&amp;"|"&amp;'管线假设'!F302&amp;"|"&amp;'管线假设'!G302&amp;"|"&amp;'管线假设'!H302&amp;"|"&amp;'管线假设'!I302&amp;"|"&amp;'管线假设'!E306&amp;"|"&amp;'管线假设'!F306&amp;"|"&amp;'管线假设'!G306&amp;"|"&amp;'管线假设'!H306&amp;"|"&amp;'管线假设'!I306&amp;"|"&amp;'管线假设'!E310&amp;"|"&amp;'管线假设'!F310&amp;"|"&amp;'管线假设'!G310&amp;"|"&amp;'管线假设'!H310&amp;"|"&amp;'管线假设'!I310&amp;"|"&amp;'管线假设'!E314&amp;"|"&amp;'管线假设'!F314&amp;"|"&amp;'管线假设'!G314&amp;"|"&amp;'管线假设'!H314&amp;"|"&amp;'管线假设'!I314&amp;"|"&amp;'管线假设'!E318&amp;"|"&amp;'管线假设'!F318&amp;"|"&amp;'管线假设'!G318&amp;"|"&amp;'管线假设'!H318&amp;"|"&amp;'管线假设'!I318&amp;"|"&amp;'管线假设'!E322&amp;"|"&amp;'管线假设'!F322&amp;"|"&amp;'管线假设'!G322&amp;"|"&amp;'管线假设'!H322&amp;"|"&amp;'管线假设'!I322&amp;"|"&amp;'管线假设'!E326&amp;"|"&amp;'管线假设'!F326&amp;"|"&amp;'管线假设'!G326&amp;"|"&amp;'管线假设'!H326&amp;"|"&amp;'管线假设'!I326&amp;"|"&amp;'管线假设'!E330&amp;"|"&amp;'管线假设'!F330&amp;"|"&amp;'管线假设'!G330&amp;"|"&amp;'管线假设'!H330&amp;"|"&amp;'管线假设'!I330&amp;"|"&amp;'管线现金流'!J1252&amp;"|"&amp;'管线现金流'!AL1252&amp;"|"&amp;'管线现金流'!J1253&amp;"|"&amp;'管线现金流'!AL1253&amp;"|"&amp;'管线现金流'!J1254&amp;"|"&amp;'管线现金流'!AL1254&amp;"|"&amp;'管线现金流'!J1255&amp;"|"&amp;'管线现金流'!AL1255&amp;"|"&amp;'管线现金流'!J1256&amp;"|"&amp;'管线现金流'!AL1256&amp;"|"&amp;'管线现金流'!J1257&amp;"|"&amp;'管线现金流'!AL1257&amp;"|"&amp;'管线现金流'!J1258&amp;"|"&amp;'管线现金流'!AL1258&amp;"|"&amp;'管线现金流'!J1259&amp;"|"&amp;'管线现金流'!AL1259&amp;"|"&amp;'管线现金流'!J1260&amp;"|"&amp;'管线现金流'!AL1260&amp;"|"&amp;'管线现金流'!J1261&amp;"|"&amp;'管线现金流'!AL1261&amp;"|"&amp;'管线现金流'!J1262&amp;"|"&amp;'管线现金流'!AL1262&amp;"|"&amp;'管线现金流'!J1263&amp;"|"&amp;'管线现金流'!AL1263&amp;"|"&amp;'管线现金流'!J1264&amp;"|"&amp;'管线现金流'!AL1264&amp;"|"&amp;'管线现金流'!J1265&amp;"|"&amp;'管线现金流'!AL1265&amp;"|"&amp;'管线现金流'!J1266&amp;"|"&amp;'管线现金流'!AL1266&amp;"|"&amp;'管线现金流'!J1267&amp;"|"&amp;'管线现金流'!AL1267&amp;"|"&amp;'管线现金流'!J1268&amp;"|"&amp;'管线现金流'!AL1268&amp;"|"&amp;'管线现金流'!J1269&amp;"|"&amp;'管线现金流'!AL1269&amp;"|"&amp;'管线现金流'!J1270&amp;"|"&amp;'管线现金流'!AL1270&amp;"|"&amp;'管线现金流'!J1271&amp;"|"&amp;'管线现金流'!AL1271&amp;"|"&amp;'管线现金流'!J1272&amp;"|"&amp;'管线现金流'!AL1272&amp;"|"&amp;'管线现金流'!J1273&amp;"|"&amp;'管线现金流'!AL1273&amp;"|"&amp;'管线现金流'!J1274&amp;"|"&amp;'管线现金流'!AL1274&amp;"|"&amp;'管线现金流'!J1275&amp;"|"&amp;'管线现金流'!AL1275&amp;"|"&amp;'管线现金流'!J1276&amp;"|"&amp;'管线现金流'!AL1276&amp;"|"&amp;'管线现金流'!J1277&amp;"|"&amp;'管线现金流'!AL1277&amp;"|"&amp;'管线现金流'!J1278&amp;"|"&amp;'管线现金流'!AL1278&amp;"|"&amp;'管线现金流'!J1279&amp;"|"&amp;'管线现金流'!AL1279&amp;"|"&amp;'管线现金流'!J1280&amp;"|"&amp;'管线现金流'!AL1280&amp;"|"&amp;'管线现金流'!J1281&amp;"|"&amp;'管线现金流'!AL1281&amp;"|"&amp;'管线现金流'!J1282&amp;"|"&amp;'管线现金流'!AL1282&amp;"|"&amp;'管线现金流'!J1283&amp;"|"&amp;'管线现金流'!AL1283&amp;"|"&amp;'管线现金流'!J1284&amp;"|"&amp;'管线现金流'!AL1284&amp;"|"&amp;'管线现金流'!J1285&amp;"|"&amp;'管线现金流'!AL1285&amp;"|"&amp;'管线现金流'!J1286&amp;"|"&amp;'管线现金流'!AL1286&amp;"|"&amp;'管线现金流'!J1287&amp;"|"&amp;'管线现金流'!AL1287&amp;"|"&amp;'管线现金流'!J1288&amp;"|"&amp;'管线现金流'!AL1288&amp;"|"&amp;'管线现金流'!J1289&amp;"|"&amp;'管线现金流'!AL1289&amp;"|"&amp;'管线现金流'!J1290&amp;"|"&amp;'管线现金流'!AL1290&amp;"|"&amp;'管线现金流'!J1291&amp;"|"&amp;'管线现金流'!AL1291&amp;"|"&amp;'管线现金流'!J1292&amp;"|"&amp;'管线现金流'!AL1292&amp;"|"&amp;'管线现金流'!J1293&amp;"|"&amp;'管线现金流'!AL1293&amp;"|"&amp;'管线现金流'!J1294&amp;"|"&amp;'管线现金流'!AL1294&amp;"|"&amp;'管线现金流'!J1295&amp;"|"&amp;'管线现金流'!AL1295&amp;"|"&amp;'管线现金流'!J1296&amp;"|"&amp;'管线现金流'!AL1296&amp;"|"&amp;'管线现金流'!J1297&amp;"|"&amp;'管线现金流'!AL1297&amp;"|"&amp;'管线现金流'!J1298&amp;"|"&amp;'管线现金流'!AL1298&amp;"|"&amp;'管线现金流'!J1299&amp;"|"&amp;'管线现金流'!AL1299&amp;"|"&amp;'管线现金流'!J1300&amp;"|"&amp;'管线现金流'!AL1300&amp;"|"&amp;'管线现金流'!J1301&amp;"|"&amp;'管线现金流'!AL1301&amp;"|"&amp;'管线现金流'!J1302&amp;"|"&amp;'管线现金流'!AL1302&amp;"|"&amp;'管线现金流'!J1303&amp;"|"&amp;'管线现金流'!AL1303&amp;"|"&amp;'管线现金流'!J1304&amp;"|"&amp;'管线现金流'!AL1304&amp;"|"&amp;'管线现金流'!J1305&amp;"|"&amp;'管线现金流'!AL1305&amp;"|"&amp;'管线现金流'!J1306&amp;"|"&amp;'管线现金流'!AL1306&amp;"|"&amp;'管线现金流'!J1307&amp;"|"&amp;'管线现金流'!AL1307&amp;"|"&amp;'管线现金流'!J1308&amp;"|"&amp;'管线现金流'!AL1308&amp;"|"&amp;'管线现金流'!J1309&amp;"|"&amp;'管线现金流'!AL1309&amp;"|"&amp;'管线现金流'!J1310&amp;"|"&amp;'管线现金流'!AL1310&amp;"|"&amp;'管线现金流'!J1311&amp;"|"&amp;'管线现金流'!AL1311&amp;"|"&amp;'管线现金流'!J1312&amp;"|"&amp;'管线现金流'!AL1312&amp;"|"&amp;'管线现金流'!J1313&amp;"|"&amp;'管线现金流'!AL1313&amp;"|"&amp;'管线现金流'!J1314&amp;"|"&amp;'管线现金流'!AL1314&amp;"|"&amp;'管线现金流'!J1315&amp;"|"&amp;'管线现金流'!AL1315&amp;"|"&amp;'管线现金流'!J1316&amp;"|"&amp;'管线现金流'!AL1316&amp;"|"&amp;'管线现金流'!J1317&amp;"|"&amp;'管线现金流'!AL1317&amp;"|"&amp;'管线现金流'!J1318&amp;"|"&amp;'管线现金流'!AL1318&amp;"|"&amp;'管线现金流'!J1319&amp;"|"&amp;'管线现金流'!AL1319&amp;"|"&amp;'管线现金流'!J1320&amp;"|"&amp;'管线现金流'!AL1320&amp;"|"&amp;'管线现金流'!J1321&amp;"|"&amp;'管线现金流'!AL1321&amp;"|"&amp;'管线现金流'!J1322&amp;"|"&amp;'管线现金流'!AL1322&amp;"|"&amp;'管线现金流'!J1323&amp;"|"&amp;'管线现金流'!AL1323&amp;"|"&amp;'管线现金流'!J1324&amp;"|"&amp;'管线现金流'!AL1324&amp;"|"&amp;'管线现金流'!J1325&amp;"|"&amp;'管线现金流'!AL1325&amp;"|"&amp;'管线现金流'!J1326&amp;"|"&amp;'管线现金流'!AL1326&amp;"|"&amp;'管线现金流'!J1327&amp;"|"&amp;'管线现金流'!AL1327&amp;"|"&amp;'管线现金流'!J1328&amp;"|"&amp;'管线现金流'!AL1328&amp;"|"&amp;'管线现金流'!J1329&amp;"|"&amp;'管线现金流'!AL1329&amp;"|"&amp;'管线现金流'!J1330&amp;"|"&amp;'管线现金流'!AL1330&amp;"|"&amp;'管线现金流'!J1331&amp;"|"&amp;'管线现金流'!AL1331&amp;"|"&amp;'管线现金流'!J1332&amp;"|"&amp;'管线现金流'!AL1332&amp;"|"&amp;'管线现金流'!J1333&amp;"|"&amp;'管线现金流'!AL1333&amp;"|"&amp;'管线现金流'!J1334&amp;"|"&amp;'管线现金流'!AL1334&amp;"|"&amp;'管线现金流'!J1335&amp;"|"&amp;'管线现金流'!AL1335&amp;"|"&amp;'管线现金流'!J1336&amp;"|"&amp;'管线现金流'!AL1336&amp;"|"&amp;'管线现金流'!J1337&amp;"|"&amp;'管线现金流'!AL1337&amp;"|"&amp;'管线现金流'!J1338&amp;"|"&amp;'管线现金流'!AL1338&amp;"|"&amp;'管线现金流'!J1339&amp;"|"&amp;'管线现金流'!AL1339&amp;"|"&amp;'管线现金流'!J1340&amp;"|"&amp;'管线现金流'!AL1340&amp;"|"&amp;'管线现金流'!J1341&amp;"|"&amp;'管线现金流'!AL1341&amp;"|"&amp;'管线现金流'!J1342&amp;"|"&amp;'管线现金流'!AL1342&amp;"|"&amp;'管线现金流'!J1343&amp;"|"&amp;'管线现金流'!AL1343&amp;"|"&amp;'管线现金流'!J1344&amp;"|"&amp;'管线现金流'!AL1344&amp;"|"&amp;'管线现金流'!J1345&amp;"|"&amp;'管线现金流'!AL1345&amp;"|"&amp;'管线现金流'!J1346&amp;"|"&amp;'管线现金流'!AL1346&amp;"|"&amp;'管线现金流'!J1347&amp;"|"&amp;'管线现金流'!AL1347&amp;"|"&amp;'管线现金流'!J1348&amp;"|"&amp;'管线现金流'!AL1348&amp;"|"&amp;'管线现金流'!J1349&amp;"|"&amp;'管线现金流'!AL1349&amp;"|"&amp;'管线现金流'!J1350&amp;"|"&amp;'管线现金流'!AL1350&amp;"|"&amp;'管线现金流'!J1351&amp;"|"&amp;'管线现金流'!AL1351&amp;"|"&amp;'管线现金流'!J1352&amp;"|"&amp;'管线现金流'!AL1352&amp;"|"&amp;'管线现金流'!J1353&amp;"|"&amp;'管线现金流'!AL1353&amp;"|"&amp;'管线现金流'!J1354&amp;"|"&amp;'管线现金流'!AL1354&amp;"|"&amp;'管线现金流'!J1355&amp;"|"&amp;'管线现金流'!AL1355&amp;"|"&amp;'管线现金流'!J1356&amp;"|"&amp;'管线现金流'!AL1356&amp;"|"&amp;'管线现金流'!J1357&amp;"|"&amp;'管线现金流'!AL1357&amp;"|"&amp;'管线现金流'!J1358&amp;"|"&amp;'管线现金流'!AL1358&amp;"|"&amp;'管线现金流'!J1359&amp;"|"&amp;'管线现金流'!AL1359&amp;"|"&amp;'管线现金流'!J1360&amp;"|"&amp;'管线现金流'!AL1360&amp;"|"&amp;'管线现金流'!J1361&amp;"|"&amp;'管线现金流'!AL1361&amp;"|"&amp;'管线现金流'!J1362&amp;"|"&amp;'管线现金流'!AL1362&amp;"|"&amp;'管线现金流'!J1363&amp;"|"&amp;'管线现金流'!AL1363&amp;"|"&amp;'管线现金流'!J1364&amp;"|"&amp;'管线现金流'!AL1364&amp;"|"&amp;'管线现金流'!J1365&amp;"|"&amp;'管线现金流'!AL1365&amp;"|"&amp;'管线现金流'!J1366&amp;"|"&amp;'管线现金流'!AL1366&amp;"|"&amp;'管线现金流'!J1367&amp;"|"&amp;'管线现金流'!AL1367&amp;"|"&amp;'管线现金流'!J1368&amp;"|"&amp;'管线现金流'!AL1368&amp;"|"&amp;'管线现金流'!J1369&amp;"|"&amp;'管线现金流'!AL1369&amp;"|"&amp;'管线现金流'!J1370&amp;"|"&amp;'管线现金流'!AL1370&amp;"|"&amp;'管线现金流'!J1371&amp;"|"&amp;'管线现金流'!AL1371&amp;"|"&amp;'管线现金流'!J1372&amp;"|"&amp;'管线现金流'!AL1372&amp;"|"&amp;'管线现金流'!J1373&amp;"|"&amp;'管线现金流'!AL1373&amp;"|"&amp;'管线现金流'!J1374&amp;"|"&amp;'管线现金流'!AL1374&amp;"|"&amp;'管线现金流'!J1375&amp;"|"&amp;'管线现金流'!AL1375&amp;"|"&amp;'管线现金流'!J1376&amp;"|"&amp;'管线现金流'!AL1376&amp;"|"&amp;'管线现金流'!J1377&amp;"|"&amp;'管线现金流'!AL1377&amp;"|"&amp;'管线现金流'!J1378&amp;"|"&amp;'管线现金流'!AL1378&amp;"|"&amp;'管线现金流'!J1379&amp;"|"&amp;'管线现金流'!AL1379&amp;"|"&amp;'管线现金流'!J1380&amp;"|"&amp;'管线现金流'!AL1380&amp;"|"&amp;'管线现金流'!J1381&amp;"|"&amp;'管线现金流'!AL1381&amp;"|"&amp;'管线现金流'!J1382&amp;"|"&amp;'管线现金流'!AL1382&amp;"|"&amp;'管线现金流'!J1383&amp;"|"&amp;'管线现金流'!AL1383&amp;"|"&amp;'管线现金流'!J1384&amp;"|"&amp;'管线现金流'!AL1384&amp;"|"&amp;'管线现金流'!J1385&amp;"|"&amp;'管线现金流'!AL1385&amp;"|"&amp;'管线现金流'!J1386&amp;"|"&amp;'管线现金流'!AL1386&amp;"|"&amp;'管线现金流'!J1387&amp;"|"&amp;'管线现金流'!AL1387&amp;"|"&amp;'管线现金流'!J1388&amp;"|"&amp;'管线现金流'!AL1388&amp;"|"&amp;'管线现金流'!J1389&amp;"|"&amp;'管线现金流'!AL1389&amp;"|"&amp;'管线现金流'!J1390&amp;"|"&amp;'管线现金流'!AL1390&amp;"|"&amp;'管线现金流'!J1391&amp;"|"&amp;'管线现金流'!AL1391&amp;"|"&amp;'管线现金流'!J1392&amp;"|"&amp;'管线现金流'!AL1392&amp;"|"&amp;'管线现金流'!J1393&amp;"|"&amp;'管线现金流'!AL1393&amp;"|"&amp;'管线现金流'!J1394&amp;"|"&amp;'管线现金流'!AL1394&amp;"|"&amp;'管线现金流'!J1395&amp;"|"&amp;'管线现金流'!AL1395&amp;"|"&amp;'管线现金流'!J1396&amp;"|"&amp;'管线现金流'!AL1396&amp;"|"&amp;'管线现金流'!J1397&amp;"|"&amp;'管线现金流'!AL1397&amp;"|"&amp;'管线现金流'!J1398&amp;"|"&amp;'管线现金流'!AL1398&amp;"|"&amp;'管线现金流'!J1399&amp;"|"&amp;'管线现金流'!AL1399&amp;"|"&amp;'管线现金流'!J1400&amp;"|"&amp;'管线现金流'!AL1400&amp;"|"&amp;'管线现金流'!J1401&amp;"|"&amp;'管线现金流'!AL1401&amp;"|"&amp;'管线现金流'!J1402&amp;"|"&amp;'管线现金流'!AL1402&amp;"|"&amp;'管线现金流'!J1403&amp;"|"&amp;'管线现金流'!AL1403&amp;"|"&amp;'管线现金流'!J1404&amp;"|"&amp;'管线现金流'!AL1404&amp;"|"&amp;'管线现金流'!J1405&amp;"|"&amp;'管线现金流'!AL1405&amp;"|"&amp;'管线现金流'!J1406&amp;"|"&amp;'管线现金流'!AL1406&amp;"|"&amp;'管线现金流'!J1407&amp;"|"&amp;'管线现金流'!AL1407&amp;"|"&amp;'管线现金流'!J1408&amp;"|"&amp;'管线现金流'!AL1408&amp;"|"&amp;'管线现金流'!J1409&amp;"|"&amp;'管线现金流'!AL1409&amp;"|"&amp;'管线现金流'!J1410&amp;"|"&amp;'管线现金流'!AL1410&amp;"|"&amp;'管线现金流'!J1411&amp;"|"&amp;'管线现金流'!AL1411&amp;"|"&amp;'管线现金流'!J1412&amp;"|"&amp;'管线现金流'!AL1412&amp;"|"&amp;'管线现金流'!J1413&amp;"|"&amp;'管线现金流'!AL1413&amp;"|"&amp;'管线现金流'!J1414&amp;"|"&amp;'管线现金流'!AL1414&amp;"|"&amp;'管线现金流'!J1415&amp;"|"&amp;'管线现金流'!AL1415&amp;"|"&amp;'管线现金流'!J1416&amp;"|"&amp;'管线现金流'!AL1416&amp;"|"&amp;'管线现金流'!J1417&amp;"|"&amp;'管线现金流'!AL1417&amp;"|"&amp;'管线现金流'!J1418&amp;"|"&amp;'管线现金流'!AL1418&amp;"|"&amp;'管线现金流'!J1419&amp;"|"&amp;'管线现金流'!AL1419&amp;"|"&amp;'管线现金流'!J1420&amp;"|"&amp;'管线现金流'!AL1420&amp;"|"&amp;'管线现金流'!J1421&amp;"|"&amp;'管线现金流'!AL1421&amp;"|"&amp;'管线现金流'!J1422&amp;"|"&amp;'管线现金流'!AL1422&amp;"|"&amp;'管线现金流'!J1423&amp;"|"&amp;'管线现金流'!AL1423&amp;"|"&amp;'管线现金流'!J1424&amp;"|"&amp;'管线现金流'!AL1424&amp;"|"&amp;'管线现金流'!J1425&amp;"|"&amp;'管线现金流'!AL1425&amp;"|"&amp;'管线现金流'!J1426&amp;"|"&amp;'管线现金流'!AL1426&amp;"|"&amp;'管线现金流'!J1427&amp;"|"&amp;'管线现金流'!AL1427&amp;"|"&amp;'管线现金流'!J1428&amp;"|"&amp;'管线现金流'!AL1428&amp;"|"&amp;'管线现金流'!J1429&amp;"|"&amp;'管线现金流'!AL1429&amp;"|"&amp;'管线现金流'!J1430&amp;"|"&amp;'管线现金流'!AL1430&amp;"|"&amp;'管线现金流'!J1431&amp;"|"&amp;'管线现金流'!AL1431&amp;"|"&amp;'管线现金流'!J1432&amp;"|"&amp;'管线现金流'!AL1432&amp;"|"&amp;'管线现金流'!J1433&amp;"|"&amp;'管线现金流'!AL1433&amp;"|"&amp;'管线现金流'!J1434&amp;"|"&amp;'管线现金流'!AL1434&amp;"|"&amp;'管线现金流'!J1435&amp;"|"&amp;'管线现金流'!AL1435&amp;"|"&amp;'管线现金流'!J1436&amp;"|"&amp;'管线现金流'!AL1436&amp;"|"&amp;'管线现金流'!J1437&amp;"|"&amp;'管线现金流'!AL1437&amp;"|"&amp;'管线现金流'!J1438&amp;"|"&amp;'管线现金流'!AL1438&amp;"|"&amp;'管线现金流'!J1439&amp;"|"&amp;'管线现金流'!AL1439&amp;"|"&amp;'管线现金流'!J1440&amp;"|"&amp;'管线现金流'!AL1440&amp;"|"&amp;'管线现金流'!J1441&amp;"|"&amp;'管线现金流'!AL1441&amp;"|"&amp;'管线现金流'!J1442&amp;"|"&amp;'管线现金流'!AL1442&amp;"|"&amp;'管线现金流'!J1443&amp;"|"&amp;'管线现金流'!AL1443&amp;"|"&amp;'管线现金流'!J1444&amp;"|"&amp;'管线现金流'!AL1444&amp;"|"&amp;'管线现金流'!J1445&amp;"|"&amp;'管线现金流'!AL1445&amp;"|"&amp;'管线现金流'!J1446&amp;"|"&amp;'管线现金流'!AL1446&amp;"|"&amp;'管线现金流'!J1447&amp;"|"&amp;'管线现金流'!AL1447&amp;"|"&amp;'管线现金流'!J1448&amp;"|"&amp;'管线现金流'!AL1448&amp;"|"&amp;'管线现金流'!J1449&amp;"|"&amp;'管线现金流'!AL1449&amp;"|"&amp;'管线现金流'!J1450&amp;"|"&amp;'管线现金流'!AL1450&amp;"|"&amp;'管线现金流'!J1451&amp;"|"&amp;'管线现金流'!AL1451&amp;"|"&amp;'管线现金流'!J1452&amp;"|"&amp;'管线现金流'!AL1452&amp;"|"&amp;'管线现金流'!J1453&amp;"|"&amp;'管线现金流'!AL1453&amp;"|"&amp;'管线现金流'!J1454&amp;"|"&amp;'管线现金流'!AL1454&amp;"|"&amp;'管线现金流'!J1455&amp;"|"&amp;'管线现金流'!AL1455&amp;"|"&amp;'管线现金流'!J1456&amp;"|"&amp;'管线现金流'!AL1456&amp;"|"&amp;'管线现金流'!J1457&amp;"|"&amp;'管线现金流'!AL1457&amp;"|"&amp;'管线现金流'!J1458&amp;"|"&amp;'管线现金流'!AL1458&amp;"|"&amp;'管线现金流'!J1459&amp;"|"&amp;'管线现金流'!AL1459&amp;"|"&amp;'管线现金流'!J1460&amp;"|"&amp;'管线现金流'!AL1460</x:f>
        <x:v>0.08|0.7|1.1|1|0.35|1|0.105|6.8|0.7|0.35|1|0.105|6.8|0.44999999999999996|0.33|1|0.105|6.8|0.35|0.102|1|0.105|6.8|0.30000000000000004|0.33|1|0.105|6.8|0.25|0.102|1|0.105|6.8|0.6|0.35|1|0.105|6.8|0.5|0.102|1|0.105|6.8|0.35|0.28|1|0.105|6.8|0.25|0.0935|1|0.105|6.8|0.17999999999999994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</x:row>
    <x:row r="310" ht="23" customHeight="1">
      <x:c r="A310" s="11" t="str">
        <x:v>688302.SH</x:v>
      </x:c>
      <x:c r="B310" s="11" t="str">
        <x:v>海创药业</x:v>
      </x:c>
      <x:c r="C310" s="11" t="str">
        <x:v>半年</x:v>
      </x:c>
      <x:c r="D310" s="11" t="str">
        <x:v>悲观</x:v>
      </x:c>
      <x:c r="E310" s="11" t="n">
        <x:v>32.09</x:v>
      </x:c>
      <x:c r="F310" s="11" t="n">
        <x:v>11.595400315046025</x:v>
      </x:c>
      <x:c r="G310" s="11" t="n">
        <x:v>0</x:v>
      </x:c>
      <x:c r="H310" s="25" t="n">
        <x:v>-0.6386600088798372</x:v>
      </x:c>
      <x:c r="I310" s="25" t="n">
        <x:v>-0.6386600088798372</x:v>
      </x:c>
      <x:c r="J310" s="25" t="str"/>
      <x:c r="K310" s="11" t="n">
        <x:v>0</x:v>
      </x:c>
      <x:c r="L310" s="11" t="n">
        <x:v>0</x:v>
      </x:c>
      <x:c r="M310" s="11" t="n">
        <x:v>1</x:v>
      </x:c>
      <x:c r="N310" s="11" t="n">
        <x:v>0</x:v>
      </x:c>
      <x:c r="O310" s="11" t="n">
        <x:v>0</x:v>
      </x:c>
      <x:c r="P310" s="11" t="n">
        <x:v>0</x:v>
      </x:c>
      <x:c r="Q310" s="11" t="n">
        <x:v>0.108</x:v>
      </x:c>
      <x:c r="R310" s="11" t="str">
        <x:v>hinova-rnpv-v1.0</x:v>
      </x:c>
      <x:c r="S310" s="11" t="str">
        <x:v>2026-10-10</x:v>
      </x:c>
      <x:c r="T310" s="11" t="str">
        <x:f>IF(AND(SUM(IF(K310='假设'!E412,0,1),IF(L310='假设'!F412,0,1),IF(M310='假设'!G412,0,1),IF(N310='假设'!H412,0,1),IF(O310='假设'!I412,0,1),IF(P310='假设'!J412,0,1),IF(Q310='假设'!K412,0,1))=0,U310=V310),"已刷新","待刷新")</x:f>
        <x:v>已刷新</x:v>
      </x:c>
      <x:c r="U310" t="str">
        <x:v>0.65|0.48|0.65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  <x:c r="V310" t="str">
        <x:f>'假设'!U412&amp;"|"&amp;'假设'!N412&amp;"|"&amp;'假设'!Q412&amp;"|"&amp;'管线假设'!E332&amp;"|"&amp;'管线假设'!F332&amp;"|"&amp;'管线假设'!G332&amp;"|"&amp;'管线假设'!H332&amp;"|"&amp;'管线假设'!I332&amp;"|"&amp;'管线假设'!E336&amp;"|"&amp;'管线假设'!F336&amp;"|"&amp;'管线假设'!G336&amp;"|"&amp;'管线假设'!H336&amp;"|"&amp;'管线假设'!I336&amp;"|"&amp;'管线假设'!E340&amp;"|"&amp;'管线假设'!F340&amp;"|"&amp;'管线假设'!G340&amp;"|"&amp;'管线假设'!H340&amp;"|"&amp;'管线假设'!I340&amp;"|"&amp;'管线假设'!E344&amp;"|"&amp;'管线假设'!F344&amp;"|"&amp;'管线假设'!G344&amp;"|"&amp;'管线假设'!H344&amp;"|"&amp;'管线假设'!I344&amp;"|"&amp;'管线假设'!E348&amp;"|"&amp;'管线假设'!F348&amp;"|"&amp;'管线假设'!G348&amp;"|"&amp;'管线假设'!H348&amp;"|"&amp;'管线假设'!I348&amp;"|"&amp;'管线假设'!E352&amp;"|"&amp;'管线假设'!F352&amp;"|"&amp;'管线假设'!G352&amp;"|"&amp;'管线假设'!H352&amp;"|"&amp;'管线假设'!I352&amp;"|"&amp;'管线假设'!E356&amp;"|"&amp;'管线假设'!F356&amp;"|"&amp;'管线假设'!G356&amp;"|"&amp;'管线假设'!H356&amp;"|"&amp;'管线假设'!I356&amp;"|"&amp;'管线假设'!E360&amp;"|"&amp;'管线假设'!F360&amp;"|"&amp;'管线假设'!G360&amp;"|"&amp;'管线假设'!H360&amp;"|"&amp;'管线假设'!I360&amp;"|"&amp;'管线假设'!E364&amp;"|"&amp;'管线假设'!F364&amp;"|"&amp;'管线假设'!G364&amp;"|"&amp;'管线假设'!H364&amp;"|"&amp;'管线假设'!I364&amp;"|"&amp;'管线假设'!E368&amp;"|"&amp;'管线假设'!F368&amp;"|"&amp;'管线假设'!G368&amp;"|"&amp;'管线假设'!H368&amp;"|"&amp;'管线假设'!I368&amp;"|"&amp;'管线假设'!E372&amp;"|"&amp;'管线假设'!F372&amp;"|"&amp;'管线假设'!G372&amp;"|"&amp;'管线假设'!H372&amp;"|"&amp;'管线假设'!I372&amp;"|"&amp;'管线现金流'!H1461&amp;"|"&amp;'管线现金流'!AJ1461&amp;"|"&amp;'管线现金流'!H1462&amp;"|"&amp;'管线现金流'!AJ1462&amp;"|"&amp;'管线现金流'!H1463&amp;"|"&amp;'管线现金流'!AJ1463&amp;"|"&amp;'管线现金流'!H1464&amp;"|"&amp;'管线现金流'!AJ1464&amp;"|"&amp;'管线现金流'!H1465&amp;"|"&amp;'管线现金流'!AJ1465&amp;"|"&amp;'管线现金流'!H1466&amp;"|"&amp;'管线现金流'!AJ1466&amp;"|"&amp;'管线现金流'!H1467&amp;"|"&amp;'管线现金流'!AJ1467&amp;"|"&amp;'管线现金流'!H1468&amp;"|"&amp;'管线现金流'!AJ1468&amp;"|"&amp;'管线现金流'!H1469&amp;"|"&amp;'管线现金流'!AJ1469&amp;"|"&amp;'管线现金流'!H1470&amp;"|"&amp;'管线现金流'!AJ1470&amp;"|"&amp;'管线现金流'!H1471&amp;"|"&amp;'管线现金流'!AJ1471&amp;"|"&amp;'管线现金流'!H1472&amp;"|"&amp;'管线现金流'!AJ1472&amp;"|"&amp;'管线现金流'!H1473&amp;"|"&amp;'管线现金流'!AJ1473&amp;"|"&amp;'管线现金流'!H1474&amp;"|"&amp;'管线现金流'!AJ1474&amp;"|"&amp;'管线现金流'!H1475&amp;"|"&amp;'管线现金流'!AJ1475&amp;"|"&amp;'管线现金流'!H1476&amp;"|"&amp;'管线现金流'!AJ1476&amp;"|"&amp;'管线现金流'!H1477&amp;"|"&amp;'管线现金流'!AJ1477&amp;"|"&amp;'管线现金流'!H1478&amp;"|"&amp;'管线现金流'!AJ1478&amp;"|"&amp;'管线现金流'!H1479&amp;"|"&amp;'管线现金流'!AJ1479&amp;"|"&amp;'管线现金流'!H1480&amp;"|"&amp;'管线现金流'!AJ1480&amp;"|"&amp;'管线现金流'!H1481&amp;"|"&amp;'管线现金流'!AJ1481&amp;"|"&amp;'管线现金流'!H1482&amp;"|"&amp;'管线现金流'!AJ1482&amp;"|"&amp;'管线现金流'!H1483&amp;"|"&amp;'管线现金流'!AJ1483&amp;"|"&amp;'管线现金流'!H1484&amp;"|"&amp;'管线现金流'!AJ1484&amp;"|"&amp;'管线现金流'!H1485&amp;"|"&amp;'管线现金流'!AJ1485&amp;"|"&amp;'管线现金流'!H1486&amp;"|"&amp;'管线现金流'!AJ1486&amp;"|"&amp;'管线现金流'!H1487&amp;"|"&amp;'管线现金流'!AJ1487&amp;"|"&amp;'管线现金流'!H1488&amp;"|"&amp;'管线现金流'!AJ1488&amp;"|"&amp;'管线现金流'!H1489&amp;"|"&amp;'管线现金流'!AJ1489&amp;"|"&amp;'管线现金流'!H1490&amp;"|"&amp;'管线现金流'!AJ1490&amp;"|"&amp;'管线现金流'!H1491&amp;"|"&amp;'管线现金流'!AJ1491&amp;"|"&amp;'管线现金流'!H1492&amp;"|"&amp;'管线现金流'!AJ1492&amp;"|"&amp;'管线现金流'!H1493&amp;"|"&amp;'管线现金流'!AJ1493&amp;"|"&amp;'管线现金流'!H1494&amp;"|"&amp;'管线现金流'!AJ1494&amp;"|"&amp;'管线现金流'!H1495&amp;"|"&amp;'管线现金流'!AJ1495&amp;"|"&amp;'管线现金流'!H1496&amp;"|"&amp;'管线现金流'!AJ1496&amp;"|"&amp;'管线现金流'!H1497&amp;"|"&amp;'管线现金流'!AJ1497&amp;"|"&amp;'管线现金流'!H1498&amp;"|"&amp;'管线现金流'!AJ1498&amp;"|"&amp;'管线现金流'!H1499&amp;"|"&amp;'管线现金流'!AJ1499&amp;"|"&amp;'管线现金流'!H1500&amp;"|"&amp;'管线现金流'!AJ1500&amp;"|"&amp;'管线现金流'!H1501&amp;"|"&amp;'管线现金流'!AJ1501&amp;"|"&amp;'管线现金流'!H1502&amp;"|"&amp;'管线现金流'!AJ1502&amp;"|"&amp;'管线现金流'!H1503&amp;"|"&amp;'管线现金流'!AJ1503&amp;"|"&amp;'管线现金流'!H1504&amp;"|"&amp;'管线现金流'!AJ1504&amp;"|"&amp;'管线现金流'!H1505&amp;"|"&amp;'管线现金流'!AJ1505&amp;"|"&amp;'管线现金流'!H1506&amp;"|"&amp;'管线现金流'!AJ1506&amp;"|"&amp;'管线现金流'!H1507&amp;"|"&amp;'管线现金流'!AJ1507&amp;"|"&amp;'管线现金流'!H1508&amp;"|"&amp;'管线现金流'!AJ1508&amp;"|"&amp;'管线现金流'!H1509&amp;"|"&amp;'管线现金流'!AJ1509&amp;"|"&amp;'管线现金流'!H1510&amp;"|"&amp;'管线现金流'!AJ1510&amp;"|"&amp;'管线现金流'!H1511&amp;"|"&amp;'管线现金流'!AJ1511&amp;"|"&amp;'管线现金流'!H1512&amp;"|"&amp;'管线现金流'!AJ1512&amp;"|"&amp;'管线现金流'!H1513&amp;"|"&amp;'管线现金流'!AJ1513&amp;"|"&amp;'管线现金流'!H1514&amp;"|"&amp;'管线现金流'!AJ1514&amp;"|"&amp;'管线现金流'!H1515&amp;"|"&amp;'管线现金流'!AJ1515&amp;"|"&amp;'管线现金流'!H1516&amp;"|"&amp;'管线现金流'!AJ1516&amp;"|"&amp;'管线现金流'!H1517&amp;"|"&amp;'管线现金流'!AJ1517&amp;"|"&amp;'管线现金流'!H1518&amp;"|"&amp;'管线现金流'!AJ1518&amp;"|"&amp;'管线现金流'!H1519&amp;"|"&amp;'管线现金流'!AJ1519&amp;"|"&amp;'管线现金流'!H1520&amp;"|"&amp;'管线现金流'!AJ1520&amp;"|"&amp;'管线现金流'!H1521&amp;"|"&amp;'管线现金流'!AJ1521&amp;"|"&amp;'管线现金流'!H1522&amp;"|"&amp;'管线现金流'!AJ1522&amp;"|"&amp;'管线现金流'!H1523&amp;"|"&amp;'管线现金流'!AJ1523&amp;"|"&amp;'管线现金流'!H1524&amp;"|"&amp;'管线现金流'!AJ1524&amp;"|"&amp;'管线现金流'!H1525&amp;"|"&amp;'管线现金流'!AJ1525&amp;"|"&amp;'管线现金流'!H1526&amp;"|"&amp;'管线现金流'!AJ1526&amp;"|"&amp;'管线现金流'!H1527&amp;"|"&amp;'管线现金流'!AJ1527&amp;"|"&amp;'管线现金流'!H1528&amp;"|"&amp;'管线现金流'!AJ1528&amp;"|"&amp;'管线现金流'!H1529&amp;"|"&amp;'管线现金流'!AJ1529&amp;"|"&amp;'管线现金流'!H1530&amp;"|"&amp;'管线现金流'!AJ1530&amp;"|"&amp;'管线现金流'!H1531&amp;"|"&amp;'管线现金流'!AJ1531&amp;"|"&amp;'管线现金流'!H1532&amp;"|"&amp;'管线现金流'!AJ1532&amp;"|"&amp;'管线现金流'!H1533&amp;"|"&amp;'管线现金流'!AJ1533&amp;"|"&amp;'管线现金流'!H1534&amp;"|"&amp;'管线现金流'!AJ1534&amp;"|"&amp;'管线现金流'!H1535&amp;"|"&amp;'管线现金流'!AJ1535&amp;"|"&amp;'管线现金流'!H1536&amp;"|"&amp;'管线现金流'!AJ1536&amp;"|"&amp;'管线现金流'!H1537&amp;"|"&amp;'管线现金流'!AJ1537&amp;"|"&amp;'管线现金流'!H1538&amp;"|"&amp;'管线现金流'!AJ1538&amp;"|"&amp;'管线现金流'!H1539&amp;"|"&amp;'管线现金流'!AJ1539&amp;"|"&amp;'管线现金流'!H1540&amp;"|"&amp;'管线现金流'!AJ1540&amp;"|"&amp;'管线现金流'!H1541&amp;"|"&amp;'管线现金流'!AJ1541&amp;"|"&amp;'管线现金流'!H1542&amp;"|"&amp;'管线现金流'!AJ1542&amp;"|"&amp;'管线现金流'!H1543&amp;"|"&amp;'管线现金流'!AJ1543&amp;"|"&amp;'管线现金流'!H1544&amp;"|"&amp;'管线现金流'!AJ1544&amp;"|"&amp;'管线现金流'!H1545&amp;"|"&amp;'管线现金流'!AJ1545&amp;"|"&amp;'管线现金流'!H1546&amp;"|"&amp;'管线现金流'!AJ1546&amp;"|"&amp;'管线现金流'!H1547&amp;"|"&amp;'管线现金流'!AJ1547&amp;"|"&amp;'管线现金流'!H1548&amp;"|"&amp;'管线现金流'!AJ1548&amp;"|"&amp;'管线现金流'!H1549&amp;"|"&amp;'管线现金流'!AJ1549&amp;"|"&amp;'管线现金流'!H1550&amp;"|"&amp;'管线现金流'!AJ1550&amp;"|"&amp;'管线现金流'!H1551&amp;"|"&amp;'管线现金流'!AJ1551&amp;"|"&amp;'管线现金流'!H1552&amp;"|"&amp;'管线现金流'!AJ1552&amp;"|"&amp;'管线现金流'!H1553&amp;"|"&amp;'管线现金流'!AJ1553&amp;"|"&amp;'管线现金流'!H1554&amp;"|"&amp;'管线现金流'!AJ1554&amp;"|"&amp;'管线现金流'!H1555&amp;"|"&amp;'管线现金流'!AJ1555&amp;"|"&amp;'管线现金流'!H1556&amp;"|"&amp;'管线现金流'!AJ1556&amp;"|"&amp;'管线现金流'!H1557&amp;"|"&amp;'管线现金流'!AJ1557&amp;"|"&amp;'管线现金流'!H1558&amp;"|"&amp;'管线现金流'!AJ1558&amp;"|"&amp;'管线现金流'!H1559&amp;"|"&amp;'管线现金流'!AJ1559&amp;"|"&amp;'管线现金流'!H1560&amp;"|"&amp;'管线现金流'!AJ1560&amp;"|"&amp;'管线现金流'!H1561&amp;"|"&amp;'管线现金流'!AJ1561&amp;"|"&amp;'管线现金流'!H1562&amp;"|"&amp;'管线现金流'!AJ1562&amp;"|"&amp;'管线现金流'!H1563&amp;"|"&amp;'管线现金流'!AJ1563&amp;"|"&amp;'管线现金流'!H1564&amp;"|"&amp;'管线现金流'!AJ1564&amp;"|"&amp;'管线现金流'!H1565&amp;"|"&amp;'管线现金流'!AJ1565&amp;"|"&amp;'管线现金流'!H1566&amp;"|"&amp;'管线现金流'!AJ1566&amp;"|"&amp;'管线现金流'!H1567&amp;"|"&amp;'管线现金流'!AJ1567&amp;"|"&amp;'管线现金流'!H1568&amp;"|"&amp;'管线现金流'!AJ1568&amp;"|"&amp;'管线现金流'!H1569&amp;"|"&amp;'管线现金流'!AJ1569&amp;"|"&amp;'管线现金流'!H1570&amp;"|"&amp;'管线现金流'!AJ1570&amp;"|"&amp;'管线现金流'!H1571&amp;"|"&amp;'管线现金流'!AJ1571&amp;"|"&amp;'管线现金流'!H1572&amp;"|"&amp;'管线现金流'!AJ1572&amp;"|"&amp;'管线现金流'!H1573&amp;"|"&amp;'管线现金流'!AJ1573&amp;"|"&amp;'管线现金流'!H1574&amp;"|"&amp;'管线现金流'!AJ1574&amp;"|"&amp;'管线现金流'!H1575&amp;"|"&amp;'管线现金流'!AJ1575&amp;"|"&amp;'管线现金流'!H1576&amp;"|"&amp;'管线现金流'!AJ1576&amp;"|"&amp;'管线现金流'!H1577&amp;"|"&amp;'管线现金流'!AJ1577&amp;"|"&amp;'管线现金流'!H1578&amp;"|"&amp;'管线现金流'!AJ1578&amp;"|"&amp;'管线现金流'!H1579&amp;"|"&amp;'管线现金流'!AJ1579&amp;"|"&amp;'管线现金流'!H1580&amp;"|"&amp;'管线现金流'!AJ1580&amp;"|"&amp;'管线现金流'!H1581&amp;"|"&amp;'管线现金流'!AJ1581&amp;"|"&amp;'管线现金流'!H1582&amp;"|"&amp;'管线现金流'!AJ1582&amp;"|"&amp;'管线现金流'!H1583&amp;"|"&amp;'管线现金流'!AJ1583&amp;"|"&amp;'管线现金流'!H1584&amp;"|"&amp;'管线现金流'!AJ1584&amp;"|"&amp;'管线现金流'!H1585&amp;"|"&amp;'管线现金流'!AJ1585&amp;"|"&amp;'管线现金流'!H1586&amp;"|"&amp;'管线现金流'!AJ1586&amp;"|"&amp;'管线现金流'!H1587&amp;"|"&amp;'管线现金流'!AJ1587&amp;"|"&amp;'管线现金流'!H1588&amp;"|"&amp;'管线现金流'!AJ1588&amp;"|"&amp;'管线现金流'!H1589&amp;"|"&amp;'管线现金流'!AJ1589&amp;"|"&amp;'管线现金流'!H1590&amp;"|"&amp;'管线现金流'!AJ1590&amp;"|"&amp;'管线现金流'!H1591&amp;"|"&amp;'管线现金流'!AJ1591&amp;"|"&amp;'管线现金流'!H1592&amp;"|"&amp;'管线现金流'!AJ1592&amp;"|"&amp;'管线现金流'!H1593&amp;"|"&amp;'管线现金流'!AJ1593&amp;"|"&amp;'管线现金流'!H1594&amp;"|"&amp;'管线现金流'!AJ1594&amp;"|"&amp;'管线现金流'!H1595&amp;"|"&amp;'管线现金流'!AJ1595&amp;"|"&amp;'管线现金流'!H1596&amp;"|"&amp;'管线现金流'!AJ1596&amp;"|"&amp;'管线现金流'!H1597&amp;"|"&amp;'管线现金流'!AJ1597&amp;"|"&amp;'管线现金流'!H1598&amp;"|"&amp;'管线现金流'!AJ1598&amp;"|"&amp;'管线现金流'!H1599&amp;"|"&amp;'管线现金流'!AJ1599&amp;"|"&amp;'管线现金流'!H1600&amp;"|"&amp;'管线现金流'!AJ1600&amp;"|"&amp;'管线现金流'!H1601&amp;"|"&amp;'管线现金流'!AJ1601&amp;"|"&amp;'管线现金流'!H1602&amp;"|"&amp;'管线现金流'!AJ1602&amp;"|"&amp;'管线现金流'!H1603&amp;"|"&amp;'管线现金流'!AJ1603&amp;"|"&amp;'管线现金流'!H1604&amp;"|"&amp;'管线现金流'!AJ1604&amp;"|"&amp;'管线现金流'!H1605&amp;"|"&amp;'管线现金流'!AJ1605&amp;"|"&amp;'管线现金流'!H1606&amp;"|"&amp;'管线现金流'!AJ1606&amp;"|"&amp;'管线现金流'!H1607&amp;"|"&amp;'管线现金流'!AJ1607&amp;"|"&amp;'管线现金流'!H1608&amp;"|"&amp;'管线现金流'!AJ1608&amp;"|"&amp;'管线现金流'!H1609&amp;"|"&amp;'管线现金流'!AJ1609&amp;"|"&amp;'管线现金流'!H1610&amp;"|"&amp;'管线现金流'!AJ1610&amp;"|"&amp;'管线现金流'!H1611&amp;"|"&amp;'管线现金流'!AJ1611&amp;"|"&amp;'管线现金流'!H1612&amp;"|"&amp;'管线现金流'!AJ1612&amp;"|"&amp;'管线现金流'!H1613&amp;"|"&amp;'管线现金流'!AJ1613&amp;"|"&amp;'管线现金流'!H1614&amp;"|"&amp;'管线现金流'!AJ1614&amp;"|"&amp;'管线现金流'!H1615&amp;"|"&amp;'管线现金流'!AJ1615&amp;"|"&amp;'管线现金流'!H1616&amp;"|"&amp;'管线现金流'!AJ1616&amp;"|"&amp;'管线现金流'!H1617&amp;"|"&amp;'管线现金流'!AJ1617&amp;"|"&amp;'管线现金流'!H1618&amp;"|"&amp;'管线现金流'!AJ1618&amp;"|"&amp;'管线现金流'!H1619&amp;"|"&amp;'管线现金流'!AJ1619&amp;"|"&amp;'管线现金流'!H1620&amp;"|"&amp;'管线现金流'!AJ1620&amp;"|"&amp;'管线现金流'!H1621&amp;"|"&amp;'管线现金流'!AJ1621&amp;"|"&amp;'管线现金流'!H1622&amp;"|"&amp;'管线现金流'!AJ1622&amp;"|"&amp;'管线现金流'!H1623&amp;"|"&amp;'管线现金流'!AJ1623&amp;"|"&amp;'管线现金流'!H1624&amp;"|"&amp;'管线现金流'!AJ1624&amp;"|"&amp;'管线现金流'!H1625&amp;"|"&amp;'管线现金流'!AJ1625&amp;"|"&amp;'管线现金流'!H1626&amp;"|"&amp;'管线现金流'!AJ1626&amp;"|"&amp;'管线现金流'!H1627&amp;"|"&amp;'管线现金流'!AJ1627&amp;"|"&amp;'管线现金流'!H1628&amp;"|"&amp;'管线现金流'!AJ1628&amp;"|"&amp;'管线现金流'!H1629&amp;"|"&amp;'管线现金流'!AJ1629&amp;"|"&amp;'管线现金流'!H1630&amp;"|"&amp;'管线现金流'!AJ1630&amp;"|"&amp;'管线现金流'!H1631&amp;"|"&amp;'管线现金流'!AJ1631&amp;"|"&amp;'管线现金流'!H1632&amp;"|"&amp;'管线现金流'!AJ1632&amp;"|"&amp;'管线现金流'!H1633&amp;"|"&amp;'管线现金流'!AJ1633&amp;"|"&amp;'管线现金流'!H1634&amp;"|"&amp;'管线现金流'!AJ1634&amp;"|"&amp;'管线现金流'!H1635&amp;"|"&amp;'管线现金流'!AJ1635&amp;"|"&amp;'管线现金流'!H1636&amp;"|"&amp;'管线现金流'!AJ1636&amp;"|"&amp;'管线现金流'!H1637&amp;"|"&amp;'管线现金流'!AJ1637&amp;"|"&amp;'管线现金流'!H1638&amp;"|"&amp;'管线现金流'!AJ1638&amp;"|"&amp;'管线现金流'!H1639&amp;"|"&amp;'管线现金流'!AJ1639&amp;"|"&amp;'管线现金流'!H1640&amp;"|"&amp;'管线现金流'!AJ1640&amp;"|"&amp;'管线现金流'!H1641&amp;"|"&amp;'管线现金流'!AJ1641&amp;"|"&amp;'管线现金流'!H1642&amp;"|"&amp;'管线现金流'!AJ1642&amp;"|"&amp;'管线现金流'!H1643&amp;"|"&amp;'管线现金流'!AJ1643&amp;"|"&amp;'管线现金流'!H1644&amp;"|"&amp;'管线现金流'!AJ1644&amp;"|"&amp;'管线现金流'!H1645&amp;"|"&amp;'管线现金流'!AJ1645&amp;"|"&amp;'管线现金流'!H1646&amp;"|"&amp;'管线现金流'!AJ1646&amp;"|"&amp;'管线现金流'!H1647&amp;"|"&amp;'管线现金流'!AJ1647&amp;"|"&amp;'管线现金流'!H1648&amp;"|"&amp;'管线现金流'!AJ1648&amp;"|"&amp;'管线现金流'!H1649&amp;"|"&amp;'管线现金流'!AJ1649&amp;"|"&amp;'管线现金流'!H1650&amp;"|"&amp;'管线现金流'!AJ1650&amp;"|"&amp;'管线现金流'!H1651&amp;"|"&amp;'管线现金流'!AJ1651&amp;"|"&amp;'管线现金流'!H1652&amp;"|"&amp;'管线现金流'!AJ1652&amp;"|"&amp;'管线现金流'!H1653&amp;"|"&amp;'管线现金流'!AJ1653&amp;"|"&amp;'管线现金流'!H1654&amp;"|"&amp;'管线现金流'!AJ1654&amp;"|"&amp;'管线现金流'!H1655&amp;"|"&amp;'管线现金流'!AJ1655&amp;"|"&amp;'管线现金流'!H1656&amp;"|"&amp;'管线现金流'!AJ1656&amp;"|"&amp;'管线现金流'!H1657&amp;"|"&amp;'管线现金流'!AJ1657&amp;"|"&amp;'管线现金流'!H1658&amp;"|"&amp;'管线现金流'!AJ1658&amp;"|"&amp;'管线现金流'!H1659&amp;"|"&amp;'管线现金流'!AJ1659&amp;"|"&amp;'管线现金流'!H1660&amp;"|"&amp;'管线现金流'!AJ1660&amp;"|"&amp;'管线现金流'!H1661&amp;"|"&amp;'管线现金流'!AJ1661&amp;"|"&amp;'管线现金流'!H1662&amp;"|"&amp;'管线现金流'!AJ1662&amp;"|"&amp;'管线现金流'!H1663&amp;"|"&amp;'管线现金流'!AJ1663&amp;"|"&amp;'管线现金流'!H1664&amp;"|"&amp;'管线现金流'!AJ1664&amp;"|"&amp;'管线现金流'!H1665&amp;"|"&amp;'管线现金流'!AJ1665&amp;"|"&amp;'管线现金流'!H1666&amp;"|"&amp;'管线现金流'!AJ1666&amp;"|"&amp;'管线现金流'!H1667&amp;"|"&amp;'管线现金流'!AJ1667&amp;"|"&amp;'管线现金流'!H1668&amp;"|"&amp;'管线现金流'!AJ1668&amp;"|"&amp;'管线现金流'!H1669&amp;"|"&amp;'管线现金流'!AJ1669</x:f>
        <x:v>0.65|0.48|0.65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</x:row>
    <x:row r="311" ht="23" customHeight="1">
      <x:c r="A311" s="11" t="str">
        <x:v>688302.SH</x:v>
      </x:c>
      <x:c r="B311" s="11" t="str">
        <x:v>海创药业</x:v>
      </x:c>
      <x:c r="C311" s="11" t="str">
        <x:v>半年</x:v>
      </x:c>
      <x:c r="D311" s="11" t="str">
        <x:v>基准</x:v>
      </x:c>
      <x:c r="E311" s="11" t="n">
        <x:v>32.09</x:v>
      </x:c>
      <x:c r="F311" s="11" t="n">
        <x:v>27.965125127281603</x:v>
      </x:c>
      <x:c r="G311" s="11" t="n">
        <x:v>0</x:v>
      </x:c>
      <x:c r="H311" s="25" t="n">
        <x:v>-0.1285408187198006</x:v>
      </x:c>
      <x:c r="I311" s="25" t="n">
        <x:v>-0.1285408187198006</x:v>
      </x:c>
      <x:c r="J311" s="25" t="str"/>
      <x:c r="K311" s="11" t="n">
        <x:v>0</x:v>
      </x:c>
      <x:c r="L311" s="11" t="n">
        <x:v>0</x:v>
      </x:c>
      <x:c r="M311" s="11" t="n">
        <x:v>1</x:v>
      </x:c>
      <x:c r="N311" s="11" t="n">
        <x:v>0</x:v>
      </x:c>
      <x:c r="O311" s="11" t="n">
        <x:v>0</x:v>
      </x:c>
      <x:c r="P311" s="11" t="n">
        <x:v>0</x:v>
      </x:c>
      <x:c r="Q311" s="11" t="n">
        <x:v>0.103</x:v>
      </x:c>
      <x:c r="R311" s="11" t="str">
        <x:v>hinova-rnpv-v1.0</x:v>
      </x:c>
      <x:c r="S311" s="11" t="str">
        <x:v>2026-10-10</x:v>
      </x:c>
      <x:c r="T311" s="11" t="str">
        <x:f>IF(AND(SUM(IF(K311='假设'!E413,0,1),IF(L311='假设'!F413,0,1),IF(M311='假设'!G413,0,1),IF(N311='假设'!H413,0,1),IF(O311='假设'!I413,0,1),IF(P311='假设'!J413,0,1),IF(Q311='假设'!K413,0,1))=0,U311=V311),"已刷新","待刷新")</x:f>
        <x:v>已刷新</x:v>
      </x:c>
      <x:c r="U311" t="str">
        <x:v>0.6|0.6|0.8|1|0.25|1|0.14|6.8|0.4555|0.25|1|0.14|6.8|0.2278|0.23|1|0.14|6.8|0.15849999999999997|0.0738|1|0.14|6.8|0.12880000000000003|0.23|1|0.14|6.8|0.10899999999999999|0.0738|1|0.14|6.8|0.3862|0.25|1|0.14|6.8|0.25750000000000006|0.0738|1|0.14|6.8|0.15849999999999997|0.18|1|0.14|6.8|0.10899999999999999|0.0656|1|0.14|6.8|0.06940000000000002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  <x:c r="V311" t="str">
        <x:f>'假设'!U413&amp;"|"&amp;'假设'!N413&amp;"|"&amp;'假设'!Q413&amp;"|"&amp;'管线假设'!E333&amp;"|"&amp;'管线假设'!F333&amp;"|"&amp;'管线假设'!G333&amp;"|"&amp;'管线假设'!H333&amp;"|"&amp;'管线假设'!I333&amp;"|"&amp;'管线假设'!E337&amp;"|"&amp;'管线假设'!F337&amp;"|"&amp;'管线假设'!G337&amp;"|"&amp;'管线假设'!H337&amp;"|"&amp;'管线假设'!I337&amp;"|"&amp;'管线假设'!E341&amp;"|"&amp;'管线假设'!F341&amp;"|"&amp;'管线假设'!G341&amp;"|"&amp;'管线假设'!H341&amp;"|"&amp;'管线假设'!I341&amp;"|"&amp;'管线假设'!E345&amp;"|"&amp;'管线假设'!F345&amp;"|"&amp;'管线假设'!G345&amp;"|"&amp;'管线假设'!H345&amp;"|"&amp;'管线假设'!I345&amp;"|"&amp;'管线假设'!E349&amp;"|"&amp;'管线假设'!F349&amp;"|"&amp;'管线假设'!G349&amp;"|"&amp;'管线假设'!H349&amp;"|"&amp;'管线假设'!I349&amp;"|"&amp;'管线假设'!E353&amp;"|"&amp;'管线假设'!F353&amp;"|"&amp;'管线假设'!G353&amp;"|"&amp;'管线假设'!H353&amp;"|"&amp;'管线假设'!I353&amp;"|"&amp;'管线假设'!E357&amp;"|"&amp;'管线假设'!F357&amp;"|"&amp;'管线假设'!G357&amp;"|"&amp;'管线假设'!H357&amp;"|"&amp;'管线假设'!I357&amp;"|"&amp;'管线假设'!E361&amp;"|"&amp;'管线假设'!F361&amp;"|"&amp;'管线假设'!G361&amp;"|"&amp;'管线假设'!H361&amp;"|"&amp;'管线假设'!I361&amp;"|"&amp;'管线假设'!E365&amp;"|"&amp;'管线假设'!F365&amp;"|"&amp;'管线假设'!G365&amp;"|"&amp;'管线假设'!H365&amp;"|"&amp;'管线假设'!I365&amp;"|"&amp;'管线假设'!E369&amp;"|"&amp;'管线假设'!F369&amp;"|"&amp;'管线假设'!G369&amp;"|"&amp;'管线假设'!H369&amp;"|"&amp;'管线假设'!I369&amp;"|"&amp;'管线假设'!E373&amp;"|"&amp;'管线假设'!F373&amp;"|"&amp;'管线假设'!G373&amp;"|"&amp;'管线假设'!H373&amp;"|"&amp;'管线假设'!I373&amp;"|"&amp;'管线现金流'!I1461&amp;"|"&amp;'管线现金流'!AK1461&amp;"|"&amp;'管线现金流'!I1462&amp;"|"&amp;'管线现金流'!AK1462&amp;"|"&amp;'管线现金流'!I1463&amp;"|"&amp;'管线现金流'!AK1463&amp;"|"&amp;'管线现金流'!I1464&amp;"|"&amp;'管线现金流'!AK1464&amp;"|"&amp;'管线现金流'!I1465&amp;"|"&amp;'管线现金流'!AK1465&amp;"|"&amp;'管线现金流'!I1466&amp;"|"&amp;'管线现金流'!AK1466&amp;"|"&amp;'管线现金流'!I1467&amp;"|"&amp;'管线现金流'!AK1467&amp;"|"&amp;'管线现金流'!I1468&amp;"|"&amp;'管线现金流'!AK1468&amp;"|"&amp;'管线现金流'!I1469&amp;"|"&amp;'管线现金流'!AK1469&amp;"|"&amp;'管线现金流'!I1470&amp;"|"&amp;'管线现金流'!AK1470&amp;"|"&amp;'管线现金流'!I1471&amp;"|"&amp;'管线现金流'!AK1471&amp;"|"&amp;'管线现金流'!I1472&amp;"|"&amp;'管线现金流'!AK1472&amp;"|"&amp;'管线现金流'!I1473&amp;"|"&amp;'管线现金流'!AK1473&amp;"|"&amp;'管线现金流'!I1474&amp;"|"&amp;'管线现金流'!AK1474&amp;"|"&amp;'管线现金流'!I1475&amp;"|"&amp;'管线现金流'!AK1475&amp;"|"&amp;'管线现金流'!I1476&amp;"|"&amp;'管线现金流'!AK1476&amp;"|"&amp;'管线现金流'!I1477&amp;"|"&amp;'管线现金流'!AK1477&amp;"|"&amp;'管线现金流'!I1478&amp;"|"&amp;'管线现金流'!AK1478&amp;"|"&amp;'管线现金流'!I1479&amp;"|"&amp;'管线现金流'!AK1479&amp;"|"&amp;'管线现金流'!I1480&amp;"|"&amp;'管线现金流'!AK1480&amp;"|"&amp;'管线现金流'!I1481&amp;"|"&amp;'管线现金流'!AK1481&amp;"|"&amp;'管线现金流'!I1482&amp;"|"&amp;'管线现金流'!AK1482&amp;"|"&amp;'管线现金流'!I1483&amp;"|"&amp;'管线现金流'!AK1483&amp;"|"&amp;'管线现金流'!I1484&amp;"|"&amp;'管线现金流'!AK1484&amp;"|"&amp;'管线现金流'!I1485&amp;"|"&amp;'管线现金流'!AK1485&amp;"|"&amp;'管线现金流'!I1486&amp;"|"&amp;'管线现金流'!AK1486&amp;"|"&amp;'管线现金流'!I1487&amp;"|"&amp;'管线现金流'!AK1487&amp;"|"&amp;'管线现金流'!I1488&amp;"|"&amp;'管线现金流'!AK1488&amp;"|"&amp;'管线现金流'!I1489&amp;"|"&amp;'管线现金流'!AK1489&amp;"|"&amp;'管线现金流'!I1490&amp;"|"&amp;'管线现金流'!AK1490&amp;"|"&amp;'管线现金流'!I1491&amp;"|"&amp;'管线现金流'!AK1491&amp;"|"&amp;'管线现金流'!I1492&amp;"|"&amp;'管线现金流'!AK1492&amp;"|"&amp;'管线现金流'!I1493&amp;"|"&amp;'管线现金流'!AK1493&amp;"|"&amp;'管线现金流'!I1494&amp;"|"&amp;'管线现金流'!AK1494&amp;"|"&amp;'管线现金流'!I1495&amp;"|"&amp;'管线现金流'!AK1495&amp;"|"&amp;'管线现金流'!I1496&amp;"|"&amp;'管线现金流'!AK1496&amp;"|"&amp;'管线现金流'!I1497&amp;"|"&amp;'管线现金流'!AK1497&amp;"|"&amp;'管线现金流'!I1498&amp;"|"&amp;'管线现金流'!AK1498&amp;"|"&amp;'管线现金流'!I1499&amp;"|"&amp;'管线现金流'!AK1499&amp;"|"&amp;'管线现金流'!I1500&amp;"|"&amp;'管线现金流'!AK1500&amp;"|"&amp;'管线现金流'!I1501&amp;"|"&amp;'管线现金流'!AK1501&amp;"|"&amp;'管线现金流'!I1502&amp;"|"&amp;'管线现金流'!AK1502&amp;"|"&amp;'管线现金流'!I1503&amp;"|"&amp;'管线现金流'!AK1503&amp;"|"&amp;'管线现金流'!I1504&amp;"|"&amp;'管线现金流'!AK1504&amp;"|"&amp;'管线现金流'!I1505&amp;"|"&amp;'管线现金流'!AK1505&amp;"|"&amp;'管线现金流'!I1506&amp;"|"&amp;'管线现金流'!AK1506&amp;"|"&amp;'管线现金流'!I1507&amp;"|"&amp;'管线现金流'!AK1507&amp;"|"&amp;'管线现金流'!I1508&amp;"|"&amp;'管线现金流'!AK1508&amp;"|"&amp;'管线现金流'!I1509&amp;"|"&amp;'管线现金流'!AK1509&amp;"|"&amp;'管线现金流'!I1510&amp;"|"&amp;'管线现金流'!AK1510&amp;"|"&amp;'管线现金流'!I1511&amp;"|"&amp;'管线现金流'!AK1511&amp;"|"&amp;'管线现金流'!I1512&amp;"|"&amp;'管线现金流'!AK1512&amp;"|"&amp;'管线现金流'!I1513&amp;"|"&amp;'管线现金流'!AK1513&amp;"|"&amp;'管线现金流'!I1514&amp;"|"&amp;'管线现金流'!AK1514&amp;"|"&amp;'管线现金流'!I1515&amp;"|"&amp;'管线现金流'!AK1515&amp;"|"&amp;'管线现金流'!I1516&amp;"|"&amp;'管线现金流'!AK1516&amp;"|"&amp;'管线现金流'!I1517&amp;"|"&amp;'管线现金流'!AK1517&amp;"|"&amp;'管线现金流'!I1518&amp;"|"&amp;'管线现金流'!AK1518&amp;"|"&amp;'管线现金流'!I1519&amp;"|"&amp;'管线现金流'!AK1519&amp;"|"&amp;'管线现金流'!I1520&amp;"|"&amp;'管线现金流'!AK1520&amp;"|"&amp;'管线现金流'!I1521&amp;"|"&amp;'管线现金流'!AK1521&amp;"|"&amp;'管线现金流'!I1522&amp;"|"&amp;'管线现金流'!AK1522&amp;"|"&amp;'管线现金流'!I1523&amp;"|"&amp;'管线现金流'!AK1523&amp;"|"&amp;'管线现金流'!I1524&amp;"|"&amp;'管线现金流'!AK1524&amp;"|"&amp;'管线现金流'!I1525&amp;"|"&amp;'管线现金流'!AK1525&amp;"|"&amp;'管线现金流'!I1526&amp;"|"&amp;'管线现金流'!AK1526&amp;"|"&amp;'管线现金流'!I1527&amp;"|"&amp;'管线现金流'!AK1527&amp;"|"&amp;'管线现金流'!I1528&amp;"|"&amp;'管线现金流'!AK1528&amp;"|"&amp;'管线现金流'!I1529&amp;"|"&amp;'管线现金流'!AK1529&amp;"|"&amp;'管线现金流'!I1530&amp;"|"&amp;'管线现金流'!AK1530&amp;"|"&amp;'管线现金流'!I1531&amp;"|"&amp;'管线现金流'!AK1531&amp;"|"&amp;'管线现金流'!I1532&amp;"|"&amp;'管线现金流'!AK1532&amp;"|"&amp;'管线现金流'!I1533&amp;"|"&amp;'管线现金流'!AK1533&amp;"|"&amp;'管线现金流'!I1534&amp;"|"&amp;'管线现金流'!AK1534&amp;"|"&amp;'管线现金流'!I1535&amp;"|"&amp;'管线现金流'!AK1535&amp;"|"&amp;'管线现金流'!I1536&amp;"|"&amp;'管线现金流'!AK1536&amp;"|"&amp;'管线现金流'!I1537&amp;"|"&amp;'管线现金流'!AK1537&amp;"|"&amp;'管线现金流'!I1538&amp;"|"&amp;'管线现金流'!AK1538&amp;"|"&amp;'管线现金流'!I1539&amp;"|"&amp;'管线现金流'!AK1539&amp;"|"&amp;'管线现金流'!I1540&amp;"|"&amp;'管线现金流'!AK1540&amp;"|"&amp;'管线现金流'!I1541&amp;"|"&amp;'管线现金流'!AK1541&amp;"|"&amp;'管线现金流'!I1542&amp;"|"&amp;'管线现金流'!AK1542&amp;"|"&amp;'管线现金流'!I1543&amp;"|"&amp;'管线现金流'!AK1543&amp;"|"&amp;'管线现金流'!I1544&amp;"|"&amp;'管线现金流'!AK1544&amp;"|"&amp;'管线现金流'!I1545&amp;"|"&amp;'管线现金流'!AK1545&amp;"|"&amp;'管线现金流'!I1546&amp;"|"&amp;'管线现金流'!AK1546&amp;"|"&amp;'管线现金流'!I1547&amp;"|"&amp;'管线现金流'!AK1547&amp;"|"&amp;'管线现金流'!I1548&amp;"|"&amp;'管线现金流'!AK1548&amp;"|"&amp;'管线现金流'!I1549&amp;"|"&amp;'管线现金流'!AK1549&amp;"|"&amp;'管线现金流'!I1550&amp;"|"&amp;'管线现金流'!AK1550&amp;"|"&amp;'管线现金流'!I1551&amp;"|"&amp;'管线现金流'!AK1551&amp;"|"&amp;'管线现金流'!I1552&amp;"|"&amp;'管线现金流'!AK1552&amp;"|"&amp;'管线现金流'!I1553&amp;"|"&amp;'管线现金流'!AK1553&amp;"|"&amp;'管线现金流'!I1554&amp;"|"&amp;'管线现金流'!AK1554&amp;"|"&amp;'管线现金流'!I1555&amp;"|"&amp;'管线现金流'!AK1555&amp;"|"&amp;'管线现金流'!I1556&amp;"|"&amp;'管线现金流'!AK1556&amp;"|"&amp;'管线现金流'!I1557&amp;"|"&amp;'管线现金流'!AK1557&amp;"|"&amp;'管线现金流'!I1558&amp;"|"&amp;'管线现金流'!AK1558&amp;"|"&amp;'管线现金流'!I1559&amp;"|"&amp;'管线现金流'!AK1559&amp;"|"&amp;'管线现金流'!I1560&amp;"|"&amp;'管线现金流'!AK1560&amp;"|"&amp;'管线现金流'!I1561&amp;"|"&amp;'管线现金流'!AK1561&amp;"|"&amp;'管线现金流'!I1562&amp;"|"&amp;'管线现金流'!AK1562&amp;"|"&amp;'管线现金流'!I1563&amp;"|"&amp;'管线现金流'!AK1563&amp;"|"&amp;'管线现金流'!I1564&amp;"|"&amp;'管线现金流'!AK1564&amp;"|"&amp;'管线现金流'!I1565&amp;"|"&amp;'管线现金流'!AK1565&amp;"|"&amp;'管线现金流'!I1566&amp;"|"&amp;'管线现金流'!AK1566&amp;"|"&amp;'管线现金流'!I1567&amp;"|"&amp;'管线现金流'!AK1567&amp;"|"&amp;'管线现金流'!I1568&amp;"|"&amp;'管线现金流'!AK1568&amp;"|"&amp;'管线现金流'!I1569&amp;"|"&amp;'管线现金流'!AK1569&amp;"|"&amp;'管线现金流'!I1570&amp;"|"&amp;'管线现金流'!AK1570&amp;"|"&amp;'管线现金流'!I1571&amp;"|"&amp;'管线现金流'!AK1571&amp;"|"&amp;'管线现金流'!I1572&amp;"|"&amp;'管线现金流'!AK1572&amp;"|"&amp;'管线现金流'!I1573&amp;"|"&amp;'管线现金流'!AK1573&amp;"|"&amp;'管线现金流'!I1574&amp;"|"&amp;'管线现金流'!AK1574&amp;"|"&amp;'管线现金流'!I1575&amp;"|"&amp;'管线现金流'!AK1575&amp;"|"&amp;'管线现金流'!I1576&amp;"|"&amp;'管线现金流'!AK1576&amp;"|"&amp;'管线现金流'!I1577&amp;"|"&amp;'管线现金流'!AK1577&amp;"|"&amp;'管线现金流'!I1578&amp;"|"&amp;'管线现金流'!AK1578&amp;"|"&amp;'管线现金流'!I1579&amp;"|"&amp;'管线现金流'!AK1579&amp;"|"&amp;'管线现金流'!I1580&amp;"|"&amp;'管线现金流'!AK1580&amp;"|"&amp;'管线现金流'!I1581&amp;"|"&amp;'管线现金流'!AK1581&amp;"|"&amp;'管线现金流'!I1582&amp;"|"&amp;'管线现金流'!AK1582&amp;"|"&amp;'管线现金流'!I1583&amp;"|"&amp;'管线现金流'!AK1583&amp;"|"&amp;'管线现金流'!I1584&amp;"|"&amp;'管线现金流'!AK1584&amp;"|"&amp;'管线现金流'!I1585&amp;"|"&amp;'管线现金流'!AK1585&amp;"|"&amp;'管线现金流'!I1586&amp;"|"&amp;'管线现金流'!AK1586&amp;"|"&amp;'管线现金流'!I1587&amp;"|"&amp;'管线现金流'!AK1587&amp;"|"&amp;'管线现金流'!I1588&amp;"|"&amp;'管线现金流'!AK1588&amp;"|"&amp;'管线现金流'!I1589&amp;"|"&amp;'管线现金流'!AK1589&amp;"|"&amp;'管线现金流'!I1590&amp;"|"&amp;'管线现金流'!AK1590&amp;"|"&amp;'管线现金流'!I1591&amp;"|"&amp;'管线现金流'!AK1591&amp;"|"&amp;'管线现金流'!I1592&amp;"|"&amp;'管线现金流'!AK1592&amp;"|"&amp;'管线现金流'!I1593&amp;"|"&amp;'管线现金流'!AK1593&amp;"|"&amp;'管线现金流'!I1594&amp;"|"&amp;'管线现金流'!AK1594&amp;"|"&amp;'管线现金流'!I1595&amp;"|"&amp;'管线现金流'!AK1595&amp;"|"&amp;'管线现金流'!I1596&amp;"|"&amp;'管线现金流'!AK1596&amp;"|"&amp;'管线现金流'!I1597&amp;"|"&amp;'管线现金流'!AK1597&amp;"|"&amp;'管线现金流'!I1598&amp;"|"&amp;'管线现金流'!AK1598&amp;"|"&amp;'管线现金流'!I1599&amp;"|"&amp;'管线现金流'!AK1599&amp;"|"&amp;'管线现金流'!I1600&amp;"|"&amp;'管线现金流'!AK1600&amp;"|"&amp;'管线现金流'!I1601&amp;"|"&amp;'管线现金流'!AK1601&amp;"|"&amp;'管线现金流'!I1602&amp;"|"&amp;'管线现金流'!AK1602&amp;"|"&amp;'管线现金流'!I1603&amp;"|"&amp;'管线现金流'!AK1603&amp;"|"&amp;'管线现金流'!I1604&amp;"|"&amp;'管线现金流'!AK1604&amp;"|"&amp;'管线现金流'!I1605&amp;"|"&amp;'管线现金流'!AK1605&amp;"|"&amp;'管线现金流'!I1606&amp;"|"&amp;'管线现金流'!AK1606&amp;"|"&amp;'管线现金流'!I1607&amp;"|"&amp;'管线现金流'!AK1607&amp;"|"&amp;'管线现金流'!I1608&amp;"|"&amp;'管线现金流'!AK1608&amp;"|"&amp;'管线现金流'!I1609&amp;"|"&amp;'管线现金流'!AK1609&amp;"|"&amp;'管线现金流'!I1610&amp;"|"&amp;'管线现金流'!AK1610&amp;"|"&amp;'管线现金流'!I1611&amp;"|"&amp;'管线现金流'!AK1611&amp;"|"&amp;'管线现金流'!I1612&amp;"|"&amp;'管线现金流'!AK1612&amp;"|"&amp;'管线现金流'!I1613&amp;"|"&amp;'管线现金流'!AK1613&amp;"|"&amp;'管线现金流'!I1614&amp;"|"&amp;'管线现金流'!AK1614&amp;"|"&amp;'管线现金流'!I1615&amp;"|"&amp;'管线现金流'!AK1615&amp;"|"&amp;'管线现金流'!I1616&amp;"|"&amp;'管线现金流'!AK1616&amp;"|"&amp;'管线现金流'!I1617&amp;"|"&amp;'管线现金流'!AK1617&amp;"|"&amp;'管线现金流'!I1618&amp;"|"&amp;'管线现金流'!AK1618&amp;"|"&amp;'管线现金流'!I1619&amp;"|"&amp;'管线现金流'!AK1619&amp;"|"&amp;'管线现金流'!I1620&amp;"|"&amp;'管线现金流'!AK1620&amp;"|"&amp;'管线现金流'!I1621&amp;"|"&amp;'管线现金流'!AK1621&amp;"|"&amp;'管线现金流'!I1622&amp;"|"&amp;'管线现金流'!AK1622&amp;"|"&amp;'管线现金流'!I1623&amp;"|"&amp;'管线现金流'!AK1623&amp;"|"&amp;'管线现金流'!I1624&amp;"|"&amp;'管线现金流'!AK1624&amp;"|"&amp;'管线现金流'!I1625&amp;"|"&amp;'管线现金流'!AK1625&amp;"|"&amp;'管线现金流'!I1626&amp;"|"&amp;'管线现金流'!AK1626&amp;"|"&amp;'管线现金流'!I1627&amp;"|"&amp;'管线现金流'!AK1627&amp;"|"&amp;'管线现金流'!I1628&amp;"|"&amp;'管线现金流'!AK1628&amp;"|"&amp;'管线现金流'!I1629&amp;"|"&amp;'管线现金流'!AK1629&amp;"|"&amp;'管线现金流'!I1630&amp;"|"&amp;'管线现金流'!AK1630&amp;"|"&amp;'管线现金流'!I1631&amp;"|"&amp;'管线现金流'!AK1631&amp;"|"&amp;'管线现金流'!I1632&amp;"|"&amp;'管线现金流'!AK1632&amp;"|"&amp;'管线现金流'!I1633&amp;"|"&amp;'管线现金流'!AK1633&amp;"|"&amp;'管线现金流'!I1634&amp;"|"&amp;'管线现金流'!AK1634&amp;"|"&amp;'管线现金流'!I1635&amp;"|"&amp;'管线现金流'!AK1635&amp;"|"&amp;'管线现金流'!I1636&amp;"|"&amp;'管线现金流'!AK1636&amp;"|"&amp;'管线现金流'!I1637&amp;"|"&amp;'管线现金流'!AK1637&amp;"|"&amp;'管线现金流'!I1638&amp;"|"&amp;'管线现金流'!AK1638&amp;"|"&amp;'管线现金流'!I1639&amp;"|"&amp;'管线现金流'!AK1639&amp;"|"&amp;'管线现金流'!I1640&amp;"|"&amp;'管线现金流'!AK1640&amp;"|"&amp;'管线现金流'!I1641&amp;"|"&amp;'管线现金流'!AK1641&amp;"|"&amp;'管线现金流'!I1642&amp;"|"&amp;'管线现金流'!AK1642&amp;"|"&amp;'管线现金流'!I1643&amp;"|"&amp;'管线现金流'!AK1643&amp;"|"&amp;'管线现金流'!I1644&amp;"|"&amp;'管线现金流'!AK1644&amp;"|"&amp;'管线现金流'!I1645&amp;"|"&amp;'管线现金流'!AK1645&amp;"|"&amp;'管线现金流'!I1646&amp;"|"&amp;'管线现金流'!AK1646&amp;"|"&amp;'管线现金流'!I1647&amp;"|"&amp;'管线现金流'!AK1647&amp;"|"&amp;'管线现金流'!I1648&amp;"|"&amp;'管线现金流'!AK1648&amp;"|"&amp;'管线现金流'!I1649&amp;"|"&amp;'管线现金流'!AK1649&amp;"|"&amp;'管线现金流'!I1650&amp;"|"&amp;'管线现金流'!AK1650&amp;"|"&amp;'管线现金流'!I1651&amp;"|"&amp;'管线现金流'!AK1651&amp;"|"&amp;'管线现金流'!I1652&amp;"|"&amp;'管线现金流'!AK1652&amp;"|"&amp;'管线现金流'!I1653&amp;"|"&amp;'管线现金流'!AK1653&amp;"|"&amp;'管线现金流'!I1654&amp;"|"&amp;'管线现金流'!AK1654&amp;"|"&amp;'管线现金流'!I1655&amp;"|"&amp;'管线现金流'!AK1655&amp;"|"&amp;'管线现金流'!I1656&amp;"|"&amp;'管线现金流'!AK1656&amp;"|"&amp;'管线现金流'!I1657&amp;"|"&amp;'管线现金流'!AK1657&amp;"|"&amp;'管线现金流'!I1658&amp;"|"&amp;'管线现金流'!AK1658&amp;"|"&amp;'管线现金流'!I1659&amp;"|"&amp;'管线现金流'!AK1659&amp;"|"&amp;'管线现金流'!I1660&amp;"|"&amp;'管线现金流'!AK1660&amp;"|"&amp;'管线现金流'!I1661&amp;"|"&amp;'管线现金流'!AK1661&amp;"|"&amp;'管线现金流'!I1662&amp;"|"&amp;'管线现金流'!AK1662&amp;"|"&amp;'管线现金流'!I1663&amp;"|"&amp;'管线现金流'!AK1663&amp;"|"&amp;'管线现金流'!I1664&amp;"|"&amp;'管线现金流'!AK1664&amp;"|"&amp;'管线现金流'!I1665&amp;"|"&amp;'管线现金流'!AK1665&amp;"|"&amp;'管线现金流'!I1666&amp;"|"&amp;'管线现金流'!AK1666&amp;"|"&amp;'管线现金流'!I1667&amp;"|"&amp;'管线现金流'!AK1667&amp;"|"&amp;'管线现金流'!I1668&amp;"|"&amp;'管线现金流'!AK1668&amp;"|"&amp;'管线现金流'!I1669&amp;"|"&amp;'管线现金流'!AK1669</x:f>
        <x:v>0.6|0.6|0.8|1|0.25|1|0.14|6.8|0.4555|0.25|1|0.14|6.8|0.2278|0.23|1|0.14|6.8|0.15849999999999997|0.0738|1|0.14|6.8|0.12880000000000003|0.23|1|0.14|6.8|0.10899999999999999|0.0738|1|0.14|6.8|0.3862|0.25|1|0.14|6.8|0.25750000000000006|0.0738|1|0.14|6.8|0.15849999999999997|0.18|1|0.14|6.8|0.10899999999999999|0.0656|1|0.14|6.8|0.06940000000000002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</x:row>
    <x:row r="312" ht="23" customHeight="1">
      <x:c r="A312" s="11" t="str">
        <x:v>688302.SH</x:v>
      </x:c>
      <x:c r="B312" s="11" t="str">
        <x:v>海创药业</x:v>
      </x:c>
      <x:c r="C312" s="11" t="str">
        <x:v>半年</x:v>
      </x:c>
      <x:c r="D312" s="11" t="str">
        <x:v>乐观</x:v>
      </x:c>
      <x:c r="E312" s="11" t="n">
        <x:v>32.09</x:v>
      </x:c>
      <x:c r="F312" s="11" t="n">
        <x:v>52.82550949496451</x:v>
      </x:c>
      <x:c r="G312" s="11" t="n">
        <x:v>0</x:v>
      </x:c>
      <x:c r="H312" s="25" t="n">
        <x:v>0.6461673261129479</x:v>
      </x:c>
      <x:c r="I312" s="25" t="n">
        <x:v>0.6461673261129479</x:v>
      </x:c>
      <x:c r="J312" s="25" t="str"/>
      <x:c r="K312" s="11" t="n">
        <x:v>0</x:v>
      </x:c>
      <x:c r="L312" s="11" t="n">
        <x:v>0</x:v>
      </x:c>
      <x:c r="M312" s="11" t="n">
        <x:v>1</x:v>
      </x:c>
      <x:c r="N312" s="11" t="n">
        <x:v>0</x:v>
      </x:c>
      <x:c r="O312" s="11" t="n">
        <x:v>0</x:v>
      </x:c>
      <x:c r="P312" s="11" t="n">
        <x:v>0</x:v>
      </x:c>
      <x:c r="Q312" s="11" t="n">
        <x:v>0.101</x:v>
      </x:c>
      <x:c r="R312" s="11" t="str">
        <x:v>hinova-rnpv-v1.0</x:v>
      </x:c>
      <x:c r="S312" s="11" t="str">
        <x:v>2026-10-10</x:v>
      </x:c>
      <x:c r="T312" s="11" t="str">
        <x:f>IF(AND(SUM(IF(K312='假设'!E414,0,1),IF(L312='假设'!F414,0,1),IF(M312='假设'!G414,0,1),IF(N312='假设'!H414,0,1),IF(O312='假设'!I414,0,1),IF(P312='假设'!J414,0,1),IF(Q312='假设'!K414,0,1))=0,U312=V312),"已刷新","待刷新")</x:f>
        <x:v>已刷新</x:v>
      </x:c>
      <x:c r="U312" t="str">
        <x:v>0.12|0.8|1.1|1|0.35|1|0.105|6.8|0.709|0.35|1|0.105|6.8|0.4665|0.33|1|0.105|6.8|0.36950000000000005|0.102|1|0.105|6.8|0.32100000000000006|0.33|1|0.105|6.8|0.27249999999999996|0.102|1|0.105|6.8|0.612|0.35|1|0.105|6.8|0.515|0.102|1|0.105|6.8|0.36950000000000005|0.28|1|0.105|6.8|0.27249999999999996|0.0935|1|0.105|6.8|0.2046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  <x:c r="V312" t="str">
        <x:f>'假设'!U414&amp;"|"&amp;'假设'!N414&amp;"|"&amp;'假设'!Q414&amp;"|"&amp;'管线假设'!E334&amp;"|"&amp;'管线假设'!F334&amp;"|"&amp;'管线假设'!G334&amp;"|"&amp;'管线假设'!H334&amp;"|"&amp;'管线假设'!I334&amp;"|"&amp;'管线假设'!E338&amp;"|"&amp;'管线假设'!F338&amp;"|"&amp;'管线假设'!G338&amp;"|"&amp;'管线假设'!H338&amp;"|"&amp;'管线假设'!I338&amp;"|"&amp;'管线假设'!E342&amp;"|"&amp;'管线假设'!F342&amp;"|"&amp;'管线假设'!G342&amp;"|"&amp;'管线假设'!H342&amp;"|"&amp;'管线假设'!I342&amp;"|"&amp;'管线假设'!E346&amp;"|"&amp;'管线假设'!F346&amp;"|"&amp;'管线假设'!G346&amp;"|"&amp;'管线假设'!H346&amp;"|"&amp;'管线假设'!I346&amp;"|"&amp;'管线假设'!E350&amp;"|"&amp;'管线假设'!F350&amp;"|"&amp;'管线假设'!G350&amp;"|"&amp;'管线假设'!H350&amp;"|"&amp;'管线假设'!I350&amp;"|"&amp;'管线假设'!E354&amp;"|"&amp;'管线假设'!F354&amp;"|"&amp;'管线假设'!G354&amp;"|"&amp;'管线假设'!H354&amp;"|"&amp;'管线假设'!I354&amp;"|"&amp;'管线假设'!E358&amp;"|"&amp;'管线假设'!F358&amp;"|"&amp;'管线假设'!G358&amp;"|"&amp;'管线假设'!H358&amp;"|"&amp;'管线假设'!I358&amp;"|"&amp;'管线假设'!E362&amp;"|"&amp;'管线假设'!F362&amp;"|"&amp;'管线假设'!G362&amp;"|"&amp;'管线假设'!H362&amp;"|"&amp;'管线假设'!I362&amp;"|"&amp;'管线假设'!E366&amp;"|"&amp;'管线假设'!F366&amp;"|"&amp;'管线假设'!G366&amp;"|"&amp;'管线假设'!H366&amp;"|"&amp;'管线假设'!I366&amp;"|"&amp;'管线假设'!E370&amp;"|"&amp;'管线假设'!F370&amp;"|"&amp;'管线假设'!G370&amp;"|"&amp;'管线假设'!H370&amp;"|"&amp;'管线假设'!I370&amp;"|"&amp;'管线假设'!E374&amp;"|"&amp;'管线假设'!F374&amp;"|"&amp;'管线假设'!G374&amp;"|"&amp;'管线假设'!H374&amp;"|"&amp;'管线假设'!I374&amp;"|"&amp;'管线现金流'!J1461&amp;"|"&amp;'管线现金流'!AL1461&amp;"|"&amp;'管线现金流'!J1462&amp;"|"&amp;'管线现金流'!AL1462&amp;"|"&amp;'管线现金流'!J1463&amp;"|"&amp;'管线现金流'!AL1463&amp;"|"&amp;'管线现金流'!J1464&amp;"|"&amp;'管线现金流'!AL1464&amp;"|"&amp;'管线现金流'!J1465&amp;"|"&amp;'管线现金流'!AL1465&amp;"|"&amp;'管线现金流'!J1466&amp;"|"&amp;'管线现金流'!AL1466&amp;"|"&amp;'管线现金流'!J1467&amp;"|"&amp;'管线现金流'!AL1467&amp;"|"&amp;'管线现金流'!J1468&amp;"|"&amp;'管线现金流'!AL1468&amp;"|"&amp;'管线现金流'!J1469&amp;"|"&amp;'管线现金流'!AL1469&amp;"|"&amp;'管线现金流'!J1470&amp;"|"&amp;'管线现金流'!AL1470&amp;"|"&amp;'管线现金流'!J1471&amp;"|"&amp;'管线现金流'!AL1471&amp;"|"&amp;'管线现金流'!J1472&amp;"|"&amp;'管线现金流'!AL1472&amp;"|"&amp;'管线现金流'!J1473&amp;"|"&amp;'管线现金流'!AL1473&amp;"|"&amp;'管线现金流'!J1474&amp;"|"&amp;'管线现金流'!AL1474&amp;"|"&amp;'管线现金流'!J1475&amp;"|"&amp;'管线现金流'!AL1475&amp;"|"&amp;'管线现金流'!J1476&amp;"|"&amp;'管线现金流'!AL1476&amp;"|"&amp;'管线现金流'!J1477&amp;"|"&amp;'管线现金流'!AL1477&amp;"|"&amp;'管线现金流'!J1478&amp;"|"&amp;'管线现金流'!AL1478&amp;"|"&amp;'管线现金流'!J1479&amp;"|"&amp;'管线现金流'!AL1479&amp;"|"&amp;'管线现金流'!J1480&amp;"|"&amp;'管线现金流'!AL1480&amp;"|"&amp;'管线现金流'!J1481&amp;"|"&amp;'管线现金流'!AL1481&amp;"|"&amp;'管线现金流'!J1482&amp;"|"&amp;'管线现金流'!AL1482&amp;"|"&amp;'管线现金流'!J1483&amp;"|"&amp;'管线现金流'!AL1483&amp;"|"&amp;'管线现金流'!J1484&amp;"|"&amp;'管线现金流'!AL1484&amp;"|"&amp;'管线现金流'!J1485&amp;"|"&amp;'管线现金流'!AL1485&amp;"|"&amp;'管线现金流'!J1486&amp;"|"&amp;'管线现金流'!AL1486&amp;"|"&amp;'管线现金流'!J1487&amp;"|"&amp;'管线现金流'!AL1487&amp;"|"&amp;'管线现金流'!J1488&amp;"|"&amp;'管线现金流'!AL1488&amp;"|"&amp;'管线现金流'!J1489&amp;"|"&amp;'管线现金流'!AL1489&amp;"|"&amp;'管线现金流'!J1490&amp;"|"&amp;'管线现金流'!AL1490&amp;"|"&amp;'管线现金流'!J1491&amp;"|"&amp;'管线现金流'!AL1491&amp;"|"&amp;'管线现金流'!J1492&amp;"|"&amp;'管线现金流'!AL1492&amp;"|"&amp;'管线现金流'!J1493&amp;"|"&amp;'管线现金流'!AL1493&amp;"|"&amp;'管线现金流'!J1494&amp;"|"&amp;'管线现金流'!AL1494&amp;"|"&amp;'管线现金流'!J1495&amp;"|"&amp;'管线现金流'!AL1495&amp;"|"&amp;'管线现金流'!J1496&amp;"|"&amp;'管线现金流'!AL1496&amp;"|"&amp;'管线现金流'!J1497&amp;"|"&amp;'管线现金流'!AL1497&amp;"|"&amp;'管线现金流'!J1498&amp;"|"&amp;'管线现金流'!AL1498&amp;"|"&amp;'管线现金流'!J1499&amp;"|"&amp;'管线现金流'!AL1499&amp;"|"&amp;'管线现金流'!J1500&amp;"|"&amp;'管线现金流'!AL1500&amp;"|"&amp;'管线现金流'!J1501&amp;"|"&amp;'管线现金流'!AL1501&amp;"|"&amp;'管线现金流'!J1502&amp;"|"&amp;'管线现金流'!AL1502&amp;"|"&amp;'管线现金流'!J1503&amp;"|"&amp;'管线现金流'!AL1503&amp;"|"&amp;'管线现金流'!J1504&amp;"|"&amp;'管线现金流'!AL1504&amp;"|"&amp;'管线现金流'!J1505&amp;"|"&amp;'管线现金流'!AL1505&amp;"|"&amp;'管线现金流'!J1506&amp;"|"&amp;'管线现金流'!AL1506&amp;"|"&amp;'管线现金流'!J1507&amp;"|"&amp;'管线现金流'!AL1507&amp;"|"&amp;'管线现金流'!J1508&amp;"|"&amp;'管线现金流'!AL1508&amp;"|"&amp;'管线现金流'!J1509&amp;"|"&amp;'管线现金流'!AL1509&amp;"|"&amp;'管线现金流'!J1510&amp;"|"&amp;'管线现金流'!AL1510&amp;"|"&amp;'管线现金流'!J1511&amp;"|"&amp;'管线现金流'!AL1511&amp;"|"&amp;'管线现金流'!J1512&amp;"|"&amp;'管线现金流'!AL1512&amp;"|"&amp;'管线现金流'!J1513&amp;"|"&amp;'管线现金流'!AL1513&amp;"|"&amp;'管线现金流'!J1514&amp;"|"&amp;'管线现金流'!AL1514&amp;"|"&amp;'管线现金流'!J1515&amp;"|"&amp;'管线现金流'!AL1515&amp;"|"&amp;'管线现金流'!J1516&amp;"|"&amp;'管线现金流'!AL1516&amp;"|"&amp;'管线现金流'!J1517&amp;"|"&amp;'管线现金流'!AL1517&amp;"|"&amp;'管线现金流'!J1518&amp;"|"&amp;'管线现金流'!AL1518&amp;"|"&amp;'管线现金流'!J1519&amp;"|"&amp;'管线现金流'!AL1519&amp;"|"&amp;'管线现金流'!J1520&amp;"|"&amp;'管线现金流'!AL1520&amp;"|"&amp;'管线现金流'!J1521&amp;"|"&amp;'管线现金流'!AL1521&amp;"|"&amp;'管线现金流'!J1522&amp;"|"&amp;'管线现金流'!AL1522&amp;"|"&amp;'管线现金流'!J1523&amp;"|"&amp;'管线现金流'!AL1523&amp;"|"&amp;'管线现金流'!J1524&amp;"|"&amp;'管线现金流'!AL1524&amp;"|"&amp;'管线现金流'!J1525&amp;"|"&amp;'管线现金流'!AL1525&amp;"|"&amp;'管线现金流'!J1526&amp;"|"&amp;'管线现金流'!AL1526&amp;"|"&amp;'管线现金流'!J1527&amp;"|"&amp;'管线现金流'!AL1527&amp;"|"&amp;'管线现金流'!J1528&amp;"|"&amp;'管线现金流'!AL1528&amp;"|"&amp;'管线现金流'!J1529&amp;"|"&amp;'管线现金流'!AL1529&amp;"|"&amp;'管线现金流'!J1530&amp;"|"&amp;'管线现金流'!AL1530&amp;"|"&amp;'管线现金流'!J1531&amp;"|"&amp;'管线现金流'!AL1531&amp;"|"&amp;'管线现金流'!J1532&amp;"|"&amp;'管线现金流'!AL1532&amp;"|"&amp;'管线现金流'!J1533&amp;"|"&amp;'管线现金流'!AL1533&amp;"|"&amp;'管线现金流'!J1534&amp;"|"&amp;'管线现金流'!AL1534&amp;"|"&amp;'管线现金流'!J1535&amp;"|"&amp;'管线现金流'!AL1535&amp;"|"&amp;'管线现金流'!J1536&amp;"|"&amp;'管线现金流'!AL1536&amp;"|"&amp;'管线现金流'!J1537&amp;"|"&amp;'管线现金流'!AL1537&amp;"|"&amp;'管线现金流'!J1538&amp;"|"&amp;'管线现金流'!AL1538&amp;"|"&amp;'管线现金流'!J1539&amp;"|"&amp;'管线现金流'!AL1539&amp;"|"&amp;'管线现金流'!J1540&amp;"|"&amp;'管线现金流'!AL1540&amp;"|"&amp;'管线现金流'!J1541&amp;"|"&amp;'管线现金流'!AL1541&amp;"|"&amp;'管线现金流'!J1542&amp;"|"&amp;'管线现金流'!AL1542&amp;"|"&amp;'管线现金流'!J1543&amp;"|"&amp;'管线现金流'!AL1543&amp;"|"&amp;'管线现金流'!J1544&amp;"|"&amp;'管线现金流'!AL1544&amp;"|"&amp;'管线现金流'!J1545&amp;"|"&amp;'管线现金流'!AL1545&amp;"|"&amp;'管线现金流'!J1546&amp;"|"&amp;'管线现金流'!AL1546&amp;"|"&amp;'管线现金流'!J1547&amp;"|"&amp;'管线现金流'!AL1547&amp;"|"&amp;'管线现金流'!J1548&amp;"|"&amp;'管线现金流'!AL1548&amp;"|"&amp;'管线现金流'!J1549&amp;"|"&amp;'管线现金流'!AL1549&amp;"|"&amp;'管线现金流'!J1550&amp;"|"&amp;'管线现金流'!AL1550&amp;"|"&amp;'管线现金流'!J1551&amp;"|"&amp;'管线现金流'!AL1551&amp;"|"&amp;'管线现金流'!J1552&amp;"|"&amp;'管线现金流'!AL1552&amp;"|"&amp;'管线现金流'!J1553&amp;"|"&amp;'管线现金流'!AL1553&amp;"|"&amp;'管线现金流'!J1554&amp;"|"&amp;'管线现金流'!AL1554&amp;"|"&amp;'管线现金流'!J1555&amp;"|"&amp;'管线现金流'!AL1555&amp;"|"&amp;'管线现金流'!J1556&amp;"|"&amp;'管线现金流'!AL1556&amp;"|"&amp;'管线现金流'!J1557&amp;"|"&amp;'管线现金流'!AL1557&amp;"|"&amp;'管线现金流'!J1558&amp;"|"&amp;'管线现金流'!AL1558&amp;"|"&amp;'管线现金流'!J1559&amp;"|"&amp;'管线现金流'!AL1559&amp;"|"&amp;'管线现金流'!J1560&amp;"|"&amp;'管线现金流'!AL1560&amp;"|"&amp;'管线现金流'!J1561&amp;"|"&amp;'管线现金流'!AL1561&amp;"|"&amp;'管线现金流'!J1562&amp;"|"&amp;'管线现金流'!AL1562&amp;"|"&amp;'管线现金流'!J1563&amp;"|"&amp;'管线现金流'!AL1563&amp;"|"&amp;'管线现金流'!J1564&amp;"|"&amp;'管线现金流'!AL1564&amp;"|"&amp;'管线现金流'!J1565&amp;"|"&amp;'管线现金流'!AL1565&amp;"|"&amp;'管线现金流'!J1566&amp;"|"&amp;'管线现金流'!AL1566&amp;"|"&amp;'管线现金流'!J1567&amp;"|"&amp;'管线现金流'!AL1567&amp;"|"&amp;'管线现金流'!J1568&amp;"|"&amp;'管线现金流'!AL1568&amp;"|"&amp;'管线现金流'!J1569&amp;"|"&amp;'管线现金流'!AL1569&amp;"|"&amp;'管线现金流'!J1570&amp;"|"&amp;'管线现金流'!AL1570&amp;"|"&amp;'管线现金流'!J1571&amp;"|"&amp;'管线现金流'!AL1571&amp;"|"&amp;'管线现金流'!J1572&amp;"|"&amp;'管线现金流'!AL1572&amp;"|"&amp;'管线现金流'!J1573&amp;"|"&amp;'管线现金流'!AL1573&amp;"|"&amp;'管线现金流'!J1574&amp;"|"&amp;'管线现金流'!AL1574&amp;"|"&amp;'管线现金流'!J1575&amp;"|"&amp;'管线现金流'!AL1575&amp;"|"&amp;'管线现金流'!J1576&amp;"|"&amp;'管线现金流'!AL1576&amp;"|"&amp;'管线现金流'!J1577&amp;"|"&amp;'管线现金流'!AL1577&amp;"|"&amp;'管线现金流'!J1578&amp;"|"&amp;'管线现金流'!AL1578&amp;"|"&amp;'管线现金流'!J1579&amp;"|"&amp;'管线现金流'!AL1579&amp;"|"&amp;'管线现金流'!J1580&amp;"|"&amp;'管线现金流'!AL1580&amp;"|"&amp;'管线现金流'!J1581&amp;"|"&amp;'管线现金流'!AL1581&amp;"|"&amp;'管线现金流'!J1582&amp;"|"&amp;'管线现金流'!AL1582&amp;"|"&amp;'管线现金流'!J1583&amp;"|"&amp;'管线现金流'!AL1583&amp;"|"&amp;'管线现金流'!J1584&amp;"|"&amp;'管线现金流'!AL1584&amp;"|"&amp;'管线现金流'!J1585&amp;"|"&amp;'管线现金流'!AL1585&amp;"|"&amp;'管线现金流'!J1586&amp;"|"&amp;'管线现金流'!AL1586&amp;"|"&amp;'管线现金流'!J1587&amp;"|"&amp;'管线现金流'!AL1587&amp;"|"&amp;'管线现金流'!J1588&amp;"|"&amp;'管线现金流'!AL1588&amp;"|"&amp;'管线现金流'!J1589&amp;"|"&amp;'管线现金流'!AL1589&amp;"|"&amp;'管线现金流'!J1590&amp;"|"&amp;'管线现金流'!AL1590&amp;"|"&amp;'管线现金流'!J1591&amp;"|"&amp;'管线现金流'!AL1591&amp;"|"&amp;'管线现金流'!J1592&amp;"|"&amp;'管线现金流'!AL1592&amp;"|"&amp;'管线现金流'!J1593&amp;"|"&amp;'管线现金流'!AL1593&amp;"|"&amp;'管线现金流'!J1594&amp;"|"&amp;'管线现金流'!AL1594&amp;"|"&amp;'管线现金流'!J1595&amp;"|"&amp;'管线现金流'!AL1595&amp;"|"&amp;'管线现金流'!J1596&amp;"|"&amp;'管线现金流'!AL1596&amp;"|"&amp;'管线现金流'!J1597&amp;"|"&amp;'管线现金流'!AL1597&amp;"|"&amp;'管线现金流'!J1598&amp;"|"&amp;'管线现金流'!AL1598&amp;"|"&amp;'管线现金流'!J1599&amp;"|"&amp;'管线现金流'!AL1599&amp;"|"&amp;'管线现金流'!J1600&amp;"|"&amp;'管线现金流'!AL1600&amp;"|"&amp;'管线现金流'!J1601&amp;"|"&amp;'管线现金流'!AL1601&amp;"|"&amp;'管线现金流'!J1602&amp;"|"&amp;'管线现金流'!AL1602&amp;"|"&amp;'管线现金流'!J1603&amp;"|"&amp;'管线现金流'!AL1603&amp;"|"&amp;'管线现金流'!J1604&amp;"|"&amp;'管线现金流'!AL1604&amp;"|"&amp;'管线现金流'!J1605&amp;"|"&amp;'管线现金流'!AL1605&amp;"|"&amp;'管线现金流'!J1606&amp;"|"&amp;'管线现金流'!AL1606&amp;"|"&amp;'管线现金流'!J1607&amp;"|"&amp;'管线现金流'!AL1607&amp;"|"&amp;'管线现金流'!J1608&amp;"|"&amp;'管线现金流'!AL1608&amp;"|"&amp;'管线现金流'!J1609&amp;"|"&amp;'管线现金流'!AL1609&amp;"|"&amp;'管线现金流'!J1610&amp;"|"&amp;'管线现金流'!AL1610&amp;"|"&amp;'管线现金流'!J1611&amp;"|"&amp;'管线现金流'!AL1611&amp;"|"&amp;'管线现金流'!J1612&amp;"|"&amp;'管线现金流'!AL1612&amp;"|"&amp;'管线现金流'!J1613&amp;"|"&amp;'管线现金流'!AL1613&amp;"|"&amp;'管线现金流'!J1614&amp;"|"&amp;'管线现金流'!AL1614&amp;"|"&amp;'管线现金流'!J1615&amp;"|"&amp;'管线现金流'!AL1615&amp;"|"&amp;'管线现金流'!J1616&amp;"|"&amp;'管线现金流'!AL1616&amp;"|"&amp;'管线现金流'!J1617&amp;"|"&amp;'管线现金流'!AL1617&amp;"|"&amp;'管线现金流'!J1618&amp;"|"&amp;'管线现金流'!AL1618&amp;"|"&amp;'管线现金流'!J1619&amp;"|"&amp;'管线现金流'!AL1619&amp;"|"&amp;'管线现金流'!J1620&amp;"|"&amp;'管线现金流'!AL1620&amp;"|"&amp;'管线现金流'!J1621&amp;"|"&amp;'管线现金流'!AL1621&amp;"|"&amp;'管线现金流'!J1622&amp;"|"&amp;'管线现金流'!AL1622&amp;"|"&amp;'管线现金流'!J1623&amp;"|"&amp;'管线现金流'!AL1623&amp;"|"&amp;'管线现金流'!J1624&amp;"|"&amp;'管线现金流'!AL1624&amp;"|"&amp;'管线现金流'!J1625&amp;"|"&amp;'管线现金流'!AL1625&amp;"|"&amp;'管线现金流'!J1626&amp;"|"&amp;'管线现金流'!AL1626&amp;"|"&amp;'管线现金流'!J1627&amp;"|"&amp;'管线现金流'!AL1627&amp;"|"&amp;'管线现金流'!J1628&amp;"|"&amp;'管线现金流'!AL1628&amp;"|"&amp;'管线现金流'!J1629&amp;"|"&amp;'管线现金流'!AL1629&amp;"|"&amp;'管线现金流'!J1630&amp;"|"&amp;'管线现金流'!AL1630&amp;"|"&amp;'管线现金流'!J1631&amp;"|"&amp;'管线现金流'!AL1631&amp;"|"&amp;'管线现金流'!J1632&amp;"|"&amp;'管线现金流'!AL1632&amp;"|"&amp;'管线现金流'!J1633&amp;"|"&amp;'管线现金流'!AL1633&amp;"|"&amp;'管线现金流'!J1634&amp;"|"&amp;'管线现金流'!AL1634&amp;"|"&amp;'管线现金流'!J1635&amp;"|"&amp;'管线现金流'!AL1635&amp;"|"&amp;'管线现金流'!J1636&amp;"|"&amp;'管线现金流'!AL1636&amp;"|"&amp;'管线现金流'!J1637&amp;"|"&amp;'管线现金流'!AL1637&amp;"|"&amp;'管线现金流'!J1638&amp;"|"&amp;'管线现金流'!AL1638&amp;"|"&amp;'管线现金流'!J1639&amp;"|"&amp;'管线现金流'!AL1639&amp;"|"&amp;'管线现金流'!J1640&amp;"|"&amp;'管线现金流'!AL1640&amp;"|"&amp;'管线现金流'!J1641&amp;"|"&amp;'管线现金流'!AL1641&amp;"|"&amp;'管线现金流'!J1642&amp;"|"&amp;'管线现金流'!AL1642&amp;"|"&amp;'管线现金流'!J1643&amp;"|"&amp;'管线现金流'!AL1643&amp;"|"&amp;'管线现金流'!J1644&amp;"|"&amp;'管线现金流'!AL1644&amp;"|"&amp;'管线现金流'!J1645&amp;"|"&amp;'管线现金流'!AL1645&amp;"|"&amp;'管线现金流'!J1646&amp;"|"&amp;'管线现金流'!AL1646&amp;"|"&amp;'管线现金流'!J1647&amp;"|"&amp;'管线现金流'!AL1647&amp;"|"&amp;'管线现金流'!J1648&amp;"|"&amp;'管线现金流'!AL1648&amp;"|"&amp;'管线现金流'!J1649&amp;"|"&amp;'管线现金流'!AL1649&amp;"|"&amp;'管线现金流'!J1650&amp;"|"&amp;'管线现金流'!AL1650&amp;"|"&amp;'管线现金流'!J1651&amp;"|"&amp;'管线现金流'!AL1651&amp;"|"&amp;'管线现金流'!J1652&amp;"|"&amp;'管线现金流'!AL1652&amp;"|"&amp;'管线现金流'!J1653&amp;"|"&amp;'管线现金流'!AL1653&amp;"|"&amp;'管线现金流'!J1654&amp;"|"&amp;'管线现金流'!AL1654&amp;"|"&amp;'管线现金流'!J1655&amp;"|"&amp;'管线现金流'!AL1655&amp;"|"&amp;'管线现金流'!J1656&amp;"|"&amp;'管线现金流'!AL1656&amp;"|"&amp;'管线现金流'!J1657&amp;"|"&amp;'管线现金流'!AL1657&amp;"|"&amp;'管线现金流'!J1658&amp;"|"&amp;'管线现金流'!AL1658&amp;"|"&amp;'管线现金流'!J1659&amp;"|"&amp;'管线现金流'!AL1659&amp;"|"&amp;'管线现金流'!J1660&amp;"|"&amp;'管线现金流'!AL1660&amp;"|"&amp;'管线现金流'!J1661&amp;"|"&amp;'管线现金流'!AL1661&amp;"|"&amp;'管线现金流'!J1662&amp;"|"&amp;'管线现金流'!AL1662&amp;"|"&amp;'管线现金流'!J1663&amp;"|"&amp;'管线现金流'!AL1663&amp;"|"&amp;'管线现金流'!J1664&amp;"|"&amp;'管线现金流'!AL1664&amp;"|"&amp;'管线现金流'!J1665&amp;"|"&amp;'管线现金流'!AL1665&amp;"|"&amp;'管线现金流'!J1666&amp;"|"&amp;'管线现金流'!AL1666&amp;"|"&amp;'管线现金流'!J1667&amp;"|"&amp;'管线现金流'!AL1667&amp;"|"&amp;'管线现金流'!J1668&amp;"|"&amp;'管线现金流'!AL1668&amp;"|"&amp;'管线现金流'!J1669&amp;"|"&amp;'管线现金流'!AL1669</x:f>
        <x:v>0.12|0.8|1.1|1|0.35|1|0.105|6.8|0.709|0.35|1|0.105|6.8|0.4665|0.33|1|0.105|6.8|0.36950000000000005|0.102|1|0.105|6.8|0.32100000000000006|0.33|1|0.105|6.8|0.27249999999999996|0.102|1|0.105|6.8|0.612|0.35|1|0.105|6.8|0.515|0.102|1|0.105|6.8|0.36950000000000005|0.28|1|0.105|6.8|0.27249999999999996|0.0935|1|0.105|6.8|0.2046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</x:row>
    <x:row r="313" ht="23" customHeight="1">
      <x:c r="A313" s="11" t="str">
        <x:v>688302.SH</x:v>
      </x:c>
      <x:c r="B313" s="11" t="str">
        <x:v>海创药业</x:v>
      </x:c>
      <x:c r="C313" s="11" t="str">
        <x:v>一年</x:v>
      </x:c>
      <x:c r="D313" s="11" t="str">
        <x:v>悲观</x:v>
      </x:c>
      <x:c r="E313" s="11" t="n">
        <x:v>32.09</x:v>
      </x:c>
      <x:c r="F313" s="11" t="n">
        <x:v>4.813500000000001</x:v>
      </x:c>
      <x:c r="G313" s="11" t="n">
        <x:v>0</x:v>
      </x:c>
      <x:c r="H313" s="25" t="n">
        <x:v>-0.85</x:v>
      </x:c>
      <x:c r="I313" s="25" t="n">
        <x:v>-0.85</x:v>
      </x:c>
      <x:c r="J313" s="25" t="str"/>
      <x:c r="K313" s="11" t="n">
        <x:v>0</x:v>
      </x:c>
      <x:c r="L313" s="11" t="n">
        <x:v>0</x:v>
      </x:c>
      <x:c r="M313" s="11" t="n">
        <x:v>1</x:v>
      </x:c>
      <x:c r="N313" s="11" t="n">
        <x:v>0</x:v>
      </x:c>
      <x:c r="O313" s="11" t="n">
        <x:v>0</x:v>
      </x:c>
      <x:c r="P313" s="11" t="n">
        <x:v>0</x:v>
      </x:c>
      <x:c r="Q313" s="11" t="n">
        <x:v>0.12</x:v>
      </x:c>
      <x:c r="R313" s="11" t="str">
        <x:v>hinova-rnpv-v1.0</x:v>
      </x:c>
      <x:c r="S313" s="11" t="str">
        <x:v>2026-10-10</x:v>
      </x:c>
      <x:c r="T313" s="11" t="str">
        <x:f>IF(AND(SUM(IF(K313='假设'!E416,0,1),IF(L313='假设'!F416,0,1),IF(M313='假设'!G416,0,1),IF(N313='假设'!H416,0,1),IF(O313='假设'!I416,0,1),IF(P313='假设'!J416,0,1),IF(Q313='假设'!K416,0,1))=0,U313=V313),"已刷新","待刷新")</x:f>
        <x:v>已刷新</x:v>
      </x:c>
      <x:c r="U313" t="str">
        <x:v>0.85|0.35|0.65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  <x:c r="V313" t="str">
        <x:f>'假设'!U416&amp;"|"&amp;'假设'!N416&amp;"|"&amp;'假设'!Q416&amp;"|"&amp;'管线假设'!E376&amp;"|"&amp;'管线假设'!F376&amp;"|"&amp;'管线假设'!G376&amp;"|"&amp;'管线假设'!H376&amp;"|"&amp;'管线假设'!I376&amp;"|"&amp;'管线假设'!E380&amp;"|"&amp;'管线假设'!F380&amp;"|"&amp;'管线假设'!G380&amp;"|"&amp;'管线假设'!H380&amp;"|"&amp;'管线假设'!I380&amp;"|"&amp;'管线假设'!E384&amp;"|"&amp;'管线假设'!F384&amp;"|"&amp;'管线假设'!G384&amp;"|"&amp;'管线假设'!H384&amp;"|"&amp;'管线假设'!I384&amp;"|"&amp;'管线假设'!E388&amp;"|"&amp;'管线假设'!F388&amp;"|"&amp;'管线假设'!G388&amp;"|"&amp;'管线假设'!H388&amp;"|"&amp;'管线假设'!I388&amp;"|"&amp;'管线假设'!E392&amp;"|"&amp;'管线假设'!F392&amp;"|"&amp;'管线假设'!G392&amp;"|"&amp;'管线假设'!H392&amp;"|"&amp;'管线假设'!I392&amp;"|"&amp;'管线假设'!E396&amp;"|"&amp;'管线假设'!F396&amp;"|"&amp;'管线假设'!G396&amp;"|"&amp;'管线假设'!H396&amp;"|"&amp;'管线假设'!I396&amp;"|"&amp;'管线假设'!E400&amp;"|"&amp;'管线假设'!F400&amp;"|"&amp;'管线假设'!G400&amp;"|"&amp;'管线假设'!H400&amp;"|"&amp;'管线假设'!I400&amp;"|"&amp;'管线假设'!E404&amp;"|"&amp;'管线假设'!F404&amp;"|"&amp;'管线假设'!G404&amp;"|"&amp;'管线假设'!H404&amp;"|"&amp;'管线假设'!I404&amp;"|"&amp;'管线假设'!E408&amp;"|"&amp;'管线假设'!F408&amp;"|"&amp;'管线假设'!G408&amp;"|"&amp;'管线假设'!H408&amp;"|"&amp;'管线假设'!I408&amp;"|"&amp;'管线假设'!E412&amp;"|"&amp;'管线假设'!F412&amp;"|"&amp;'管线假设'!G412&amp;"|"&amp;'管线假设'!H412&amp;"|"&amp;'管线假设'!I412&amp;"|"&amp;'管线假设'!E416&amp;"|"&amp;'管线假设'!F416&amp;"|"&amp;'管线假设'!G416&amp;"|"&amp;'管线假设'!H416&amp;"|"&amp;'管线假设'!I416&amp;"|"&amp;'管线现金流'!H1670&amp;"|"&amp;'管线现金流'!AJ1670&amp;"|"&amp;'管线现金流'!H1671&amp;"|"&amp;'管线现金流'!AJ1671&amp;"|"&amp;'管线现金流'!H1672&amp;"|"&amp;'管线现金流'!AJ1672&amp;"|"&amp;'管线现金流'!H1673&amp;"|"&amp;'管线现金流'!AJ1673&amp;"|"&amp;'管线现金流'!H1674&amp;"|"&amp;'管线现金流'!AJ1674&amp;"|"&amp;'管线现金流'!H1675&amp;"|"&amp;'管线现金流'!AJ1675&amp;"|"&amp;'管线现金流'!H1676&amp;"|"&amp;'管线现金流'!AJ1676&amp;"|"&amp;'管线现金流'!H1677&amp;"|"&amp;'管线现金流'!AJ1677&amp;"|"&amp;'管线现金流'!H1678&amp;"|"&amp;'管线现金流'!AJ1678&amp;"|"&amp;'管线现金流'!H1679&amp;"|"&amp;'管线现金流'!AJ1679&amp;"|"&amp;'管线现金流'!H1680&amp;"|"&amp;'管线现金流'!AJ1680&amp;"|"&amp;'管线现金流'!H1681&amp;"|"&amp;'管线现金流'!AJ1681&amp;"|"&amp;'管线现金流'!H1682&amp;"|"&amp;'管线现金流'!AJ1682&amp;"|"&amp;'管线现金流'!H1683&amp;"|"&amp;'管线现金流'!AJ1683&amp;"|"&amp;'管线现金流'!H1684&amp;"|"&amp;'管线现金流'!AJ1684&amp;"|"&amp;'管线现金流'!H1685&amp;"|"&amp;'管线现金流'!AJ1685&amp;"|"&amp;'管线现金流'!H1686&amp;"|"&amp;'管线现金流'!AJ1686&amp;"|"&amp;'管线现金流'!H1687&amp;"|"&amp;'管线现金流'!AJ1687&amp;"|"&amp;'管线现金流'!H1688&amp;"|"&amp;'管线现金流'!AJ1688&amp;"|"&amp;'管线现金流'!H1689&amp;"|"&amp;'管线现金流'!AJ1689&amp;"|"&amp;'管线现金流'!H1690&amp;"|"&amp;'管线现金流'!AJ1690&amp;"|"&amp;'管线现金流'!H1691&amp;"|"&amp;'管线现金流'!AJ1691&amp;"|"&amp;'管线现金流'!H1692&amp;"|"&amp;'管线现金流'!AJ1692&amp;"|"&amp;'管线现金流'!H1693&amp;"|"&amp;'管线现金流'!AJ1693&amp;"|"&amp;'管线现金流'!H1694&amp;"|"&amp;'管线现金流'!AJ1694&amp;"|"&amp;'管线现金流'!H1695&amp;"|"&amp;'管线现金流'!AJ1695&amp;"|"&amp;'管线现金流'!H1696&amp;"|"&amp;'管线现金流'!AJ1696&amp;"|"&amp;'管线现金流'!H1697&amp;"|"&amp;'管线现金流'!AJ1697&amp;"|"&amp;'管线现金流'!H1698&amp;"|"&amp;'管线现金流'!AJ1698&amp;"|"&amp;'管线现金流'!H1699&amp;"|"&amp;'管线现金流'!AJ1699&amp;"|"&amp;'管线现金流'!H1700&amp;"|"&amp;'管线现金流'!AJ1700&amp;"|"&amp;'管线现金流'!H1701&amp;"|"&amp;'管线现金流'!AJ1701&amp;"|"&amp;'管线现金流'!H1702&amp;"|"&amp;'管线现金流'!AJ1702&amp;"|"&amp;'管线现金流'!H1703&amp;"|"&amp;'管线现金流'!AJ1703&amp;"|"&amp;'管线现金流'!H1704&amp;"|"&amp;'管线现金流'!AJ1704&amp;"|"&amp;'管线现金流'!H1705&amp;"|"&amp;'管线现金流'!AJ1705&amp;"|"&amp;'管线现金流'!H1706&amp;"|"&amp;'管线现金流'!AJ1706&amp;"|"&amp;'管线现金流'!H1707&amp;"|"&amp;'管线现金流'!AJ1707&amp;"|"&amp;'管线现金流'!H1708&amp;"|"&amp;'管线现金流'!AJ1708&amp;"|"&amp;'管线现金流'!H1709&amp;"|"&amp;'管线现金流'!AJ1709&amp;"|"&amp;'管线现金流'!H1710&amp;"|"&amp;'管线现金流'!AJ1710&amp;"|"&amp;'管线现金流'!H1711&amp;"|"&amp;'管线现金流'!AJ1711&amp;"|"&amp;'管线现金流'!H1712&amp;"|"&amp;'管线现金流'!AJ1712&amp;"|"&amp;'管线现金流'!H1713&amp;"|"&amp;'管线现金流'!AJ1713&amp;"|"&amp;'管线现金流'!H1714&amp;"|"&amp;'管线现金流'!AJ1714&amp;"|"&amp;'管线现金流'!H1715&amp;"|"&amp;'管线现金流'!AJ1715&amp;"|"&amp;'管线现金流'!H1716&amp;"|"&amp;'管线现金流'!AJ1716&amp;"|"&amp;'管线现金流'!H1717&amp;"|"&amp;'管线现金流'!AJ1717&amp;"|"&amp;'管线现金流'!H1718&amp;"|"&amp;'管线现金流'!AJ1718&amp;"|"&amp;'管线现金流'!H1719&amp;"|"&amp;'管线现金流'!AJ1719&amp;"|"&amp;'管线现金流'!H1720&amp;"|"&amp;'管线现金流'!AJ1720&amp;"|"&amp;'管线现金流'!H1721&amp;"|"&amp;'管线现金流'!AJ1721&amp;"|"&amp;'管线现金流'!H1722&amp;"|"&amp;'管线现金流'!AJ1722&amp;"|"&amp;'管线现金流'!H1723&amp;"|"&amp;'管线现金流'!AJ1723&amp;"|"&amp;'管线现金流'!H1724&amp;"|"&amp;'管线现金流'!AJ1724&amp;"|"&amp;'管线现金流'!H1725&amp;"|"&amp;'管线现金流'!AJ1725&amp;"|"&amp;'管线现金流'!H1726&amp;"|"&amp;'管线现金流'!AJ1726&amp;"|"&amp;'管线现金流'!H1727&amp;"|"&amp;'管线现金流'!AJ1727&amp;"|"&amp;'管线现金流'!H1728&amp;"|"&amp;'管线现金流'!AJ1728&amp;"|"&amp;'管线现金流'!H1729&amp;"|"&amp;'管线现金流'!AJ1729&amp;"|"&amp;'管线现金流'!H1730&amp;"|"&amp;'管线现金流'!AJ1730&amp;"|"&amp;'管线现金流'!H1731&amp;"|"&amp;'管线现金流'!AJ1731&amp;"|"&amp;'管线现金流'!H1732&amp;"|"&amp;'管线现金流'!AJ1732&amp;"|"&amp;'管线现金流'!H1733&amp;"|"&amp;'管线现金流'!AJ1733&amp;"|"&amp;'管线现金流'!H1734&amp;"|"&amp;'管线现金流'!AJ1734&amp;"|"&amp;'管线现金流'!H1735&amp;"|"&amp;'管线现金流'!AJ1735&amp;"|"&amp;'管线现金流'!H1736&amp;"|"&amp;'管线现金流'!AJ1736&amp;"|"&amp;'管线现金流'!H1737&amp;"|"&amp;'管线现金流'!AJ1737&amp;"|"&amp;'管线现金流'!H1738&amp;"|"&amp;'管线现金流'!AJ1738&amp;"|"&amp;'管线现金流'!H1739&amp;"|"&amp;'管线现金流'!AJ1739&amp;"|"&amp;'管线现金流'!H1740&amp;"|"&amp;'管线现金流'!AJ1740&amp;"|"&amp;'管线现金流'!H1741&amp;"|"&amp;'管线现金流'!AJ1741&amp;"|"&amp;'管线现金流'!H1742&amp;"|"&amp;'管线现金流'!AJ1742&amp;"|"&amp;'管线现金流'!H1743&amp;"|"&amp;'管线现金流'!AJ1743&amp;"|"&amp;'管线现金流'!H1744&amp;"|"&amp;'管线现金流'!AJ1744&amp;"|"&amp;'管线现金流'!H1745&amp;"|"&amp;'管线现金流'!AJ1745&amp;"|"&amp;'管线现金流'!H1746&amp;"|"&amp;'管线现金流'!AJ1746&amp;"|"&amp;'管线现金流'!H1747&amp;"|"&amp;'管线现金流'!AJ1747&amp;"|"&amp;'管线现金流'!H1748&amp;"|"&amp;'管线现金流'!AJ1748&amp;"|"&amp;'管线现金流'!H1749&amp;"|"&amp;'管线现金流'!AJ1749&amp;"|"&amp;'管线现金流'!H1750&amp;"|"&amp;'管线现金流'!AJ1750&amp;"|"&amp;'管线现金流'!H1751&amp;"|"&amp;'管线现金流'!AJ1751&amp;"|"&amp;'管线现金流'!H1752&amp;"|"&amp;'管线现金流'!AJ1752&amp;"|"&amp;'管线现金流'!H1753&amp;"|"&amp;'管线现金流'!AJ1753&amp;"|"&amp;'管线现金流'!H1754&amp;"|"&amp;'管线现金流'!AJ1754&amp;"|"&amp;'管线现金流'!H1755&amp;"|"&amp;'管线现金流'!AJ1755&amp;"|"&amp;'管线现金流'!H1756&amp;"|"&amp;'管线现金流'!AJ1756&amp;"|"&amp;'管线现金流'!H1757&amp;"|"&amp;'管线现金流'!AJ1757&amp;"|"&amp;'管线现金流'!H1758&amp;"|"&amp;'管线现金流'!AJ1758&amp;"|"&amp;'管线现金流'!H1759&amp;"|"&amp;'管线现金流'!AJ1759&amp;"|"&amp;'管线现金流'!H1760&amp;"|"&amp;'管线现金流'!AJ1760&amp;"|"&amp;'管线现金流'!H1761&amp;"|"&amp;'管线现金流'!AJ1761&amp;"|"&amp;'管线现金流'!H1762&amp;"|"&amp;'管线现金流'!AJ1762&amp;"|"&amp;'管线现金流'!H1763&amp;"|"&amp;'管线现金流'!AJ1763&amp;"|"&amp;'管线现金流'!H1764&amp;"|"&amp;'管线现金流'!AJ1764&amp;"|"&amp;'管线现金流'!H1765&amp;"|"&amp;'管线现金流'!AJ1765&amp;"|"&amp;'管线现金流'!H1766&amp;"|"&amp;'管线现金流'!AJ1766&amp;"|"&amp;'管线现金流'!H1767&amp;"|"&amp;'管线现金流'!AJ1767&amp;"|"&amp;'管线现金流'!H1768&amp;"|"&amp;'管线现金流'!AJ1768&amp;"|"&amp;'管线现金流'!H1769&amp;"|"&amp;'管线现金流'!AJ1769&amp;"|"&amp;'管线现金流'!H1770&amp;"|"&amp;'管线现金流'!AJ1770&amp;"|"&amp;'管线现金流'!H1771&amp;"|"&amp;'管线现金流'!AJ1771&amp;"|"&amp;'管线现金流'!H1772&amp;"|"&amp;'管线现金流'!AJ1772&amp;"|"&amp;'管线现金流'!H1773&amp;"|"&amp;'管线现金流'!AJ1773&amp;"|"&amp;'管线现金流'!H1774&amp;"|"&amp;'管线现金流'!AJ1774&amp;"|"&amp;'管线现金流'!H1775&amp;"|"&amp;'管线现金流'!AJ1775&amp;"|"&amp;'管线现金流'!H1776&amp;"|"&amp;'管线现金流'!AJ1776&amp;"|"&amp;'管线现金流'!H1777&amp;"|"&amp;'管线现金流'!AJ1777&amp;"|"&amp;'管线现金流'!H1778&amp;"|"&amp;'管线现金流'!AJ1778&amp;"|"&amp;'管线现金流'!H1779&amp;"|"&amp;'管线现金流'!AJ1779&amp;"|"&amp;'管线现金流'!H1780&amp;"|"&amp;'管线现金流'!AJ1780&amp;"|"&amp;'管线现金流'!H1781&amp;"|"&amp;'管线现金流'!AJ1781&amp;"|"&amp;'管线现金流'!H1782&amp;"|"&amp;'管线现金流'!AJ1782&amp;"|"&amp;'管线现金流'!H1783&amp;"|"&amp;'管线现金流'!AJ1783&amp;"|"&amp;'管线现金流'!H1784&amp;"|"&amp;'管线现金流'!AJ1784&amp;"|"&amp;'管线现金流'!H1785&amp;"|"&amp;'管线现金流'!AJ1785&amp;"|"&amp;'管线现金流'!H1786&amp;"|"&amp;'管线现金流'!AJ1786&amp;"|"&amp;'管线现金流'!H1787&amp;"|"&amp;'管线现金流'!AJ1787&amp;"|"&amp;'管线现金流'!H1788&amp;"|"&amp;'管线现金流'!AJ1788&amp;"|"&amp;'管线现金流'!H1789&amp;"|"&amp;'管线现金流'!AJ1789&amp;"|"&amp;'管线现金流'!H1790&amp;"|"&amp;'管线现金流'!AJ1790&amp;"|"&amp;'管线现金流'!H1791&amp;"|"&amp;'管线现金流'!AJ1791&amp;"|"&amp;'管线现金流'!H1792&amp;"|"&amp;'管线现金流'!AJ1792&amp;"|"&amp;'管线现金流'!H1793&amp;"|"&amp;'管线现金流'!AJ1793&amp;"|"&amp;'管线现金流'!H1794&amp;"|"&amp;'管线现金流'!AJ1794&amp;"|"&amp;'管线现金流'!H1795&amp;"|"&amp;'管线现金流'!AJ1795&amp;"|"&amp;'管线现金流'!H1796&amp;"|"&amp;'管线现金流'!AJ1796&amp;"|"&amp;'管线现金流'!H1797&amp;"|"&amp;'管线现金流'!AJ1797&amp;"|"&amp;'管线现金流'!H1798&amp;"|"&amp;'管线现金流'!AJ1798&amp;"|"&amp;'管线现金流'!H1799&amp;"|"&amp;'管线现金流'!AJ1799&amp;"|"&amp;'管线现金流'!H1800&amp;"|"&amp;'管线现金流'!AJ1800&amp;"|"&amp;'管线现金流'!H1801&amp;"|"&amp;'管线现金流'!AJ1801&amp;"|"&amp;'管线现金流'!H1802&amp;"|"&amp;'管线现金流'!AJ1802&amp;"|"&amp;'管线现金流'!H1803&amp;"|"&amp;'管线现金流'!AJ1803&amp;"|"&amp;'管线现金流'!H1804&amp;"|"&amp;'管线现金流'!AJ1804&amp;"|"&amp;'管线现金流'!H1805&amp;"|"&amp;'管线现金流'!AJ1805&amp;"|"&amp;'管线现金流'!H1806&amp;"|"&amp;'管线现金流'!AJ1806&amp;"|"&amp;'管线现金流'!H1807&amp;"|"&amp;'管线现金流'!AJ1807&amp;"|"&amp;'管线现金流'!H1808&amp;"|"&amp;'管线现金流'!AJ1808&amp;"|"&amp;'管线现金流'!H1809&amp;"|"&amp;'管线现金流'!AJ1809&amp;"|"&amp;'管线现金流'!H1810&amp;"|"&amp;'管线现金流'!AJ1810&amp;"|"&amp;'管线现金流'!H1811&amp;"|"&amp;'管线现金流'!AJ1811&amp;"|"&amp;'管线现金流'!H1812&amp;"|"&amp;'管线现金流'!AJ1812&amp;"|"&amp;'管线现金流'!H1813&amp;"|"&amp;'管线现金流'!AJ1813&amp;"|"&amp;'管线现金流'!H1814&amp;"|"&amp;'管线现金流'!AJ1814&amp;"|"&amp;'管线现金流'!H1815&amp;"|"&amp;'管线现金流'!AJ1815&amp;"|"&amp;'管线现金流'!H1816&amp;"|"&amp;'管线现金流'!AJ1816&amp;"|"&amp;'管线现金流'!H1817&amp;"|"&amp;'管线现金流'!AJ1817&amp;"|"&amp;'管线现金流'!H1818&amp;"|"&amp;'管线现金流'!AJ1818&amp;"|"&amp;'管线现金流'!H1819&amp;"|"&amp;'管线现金流'!AJ1819&amp;"|"&amp;'管线现金流'!H1820&amp;"|"&amp;'管线现金流'!AJ1820&amp;"|"&amp;'管线现金流'!H1821&amp;"|"&amp;'管线现金流'!AJ1821&amp;"|"&amp;'管线现金流'!H1822&amp;"|"&amp;'管线现金流'!AJ1822&amp;"|"&amp;'管线现金流'!H1823&amp;"|"&amp;'管线现金流'!AJ1823&amp;"|"&amp;'管线现金流'!H1824&amp;"|"&amp;'管线现金流'!AJ1824&amp;"|"&amp;'管线现金流'!H1825&amp;"|"&amp;'管线现金流'!AJ1825&amp;"|"&amp;'管线现金流'!H1826&amp;"|"&amp;'管线现金流'!AJ1826&amp;"|"&amp;'管线现金流'!H1827&amp;"|"&amp;'管线现金流'!AJ1827&amp;"|"&amp;'管线现金流'!H1828&amp;"|"&amp;'管线现金流'!AJ1828&amp;"|"&amp;'管线现金流'!H1829&amp;"|"&amp;'管线现金流'!AJ1829&amp;"|"&amp;'管线现金流'!H1830&amp;"|"&amp;'管线现金流'!AJ1830&amp;"|"&amp;'管线现金流'!H1831&amp;"|"&amp;'管线现金流'!AJ1831&amp;"|"&amp;'管线现金流'!H1832&amp;"|"&amp;'管线现金流'!AJ1832&amp;"|"&amp;'管线现金流'!H1833&amp;"|"&amp;'管线现金流'!AJ1833&amp;"|"&amp;'管线现金流'!H1834&amp;"|"&amp;'管线现金流'!AJ1834&amp;"|"&amp;'管线现金流'!H1835&amp;"|"&amp;'管线现金流'!AJ1835&amp;"|"&amp;'管线现金流'!H1836&amp;"|"&amp;'管线现金流'!AJ1836&amp;"|"&amp;'管线现金流'!H1837&amp;"|"&amp;'管线现金流'!AJ1837&amp;"|"&amp;'管线现金流'!H1838&amp;"|"&amp;'管线现金流'!AJ1838&amp;"|"&amp;'管线现金流'!H1839&amp;"|"&amp;'管线现金流'!AJ1839&amp;"|"&amp;'管线现金流'!H1840&amp;"|"&amp;'管线现金流'!AJ1840&amp;"|"&amp;'管线现金流'!H1841&amp;"|"&amp;'管线现金流'!AJ1841&amp;"|"&amp;'管线现金流'!H1842&amp;"|"&amp;'管线现金流'!AJ1842&amp;"|"&amp;'管线现金流'!H1843&amp;"|"&amp;'管线现金流'!AJ1843&amp;"|"&amp;'管线现金流'!H1844&amp;"|"&amp;'管线现金流'!AJ1844&amp;"|"&amp;'管线现金流'!H1845&amp;"|"&amp;'管线现金流'!AJ1845&amp;"|"&amp;'管线现金流'!H1846&amp;"|"&amp;'管线现金流'!AJ1846&amp;"|"&amp;'管线现金流'!H1847&amp;"|"&amp;'管线现金流'!AJ1847&amp;"|"&amp;'管线现金流'!H1848&amp;"|"&amp;'管线现金流'!AJ1848&amp;"|"&amp;'管线现金流'!H1849&amp;"|"&amp;'管线现金流'!AJ1849&amp;"|"&amp;'管线现金流'!H1850&amp;"|"&amp;'管线现金流'!AJ1850&amp;"|"&amp;'管线现金流'!H1851&amp;"|"&amp;'管线现金流'!AJ1851&amp;"|"&amp;'管线现金流'!H1852&amp;"|"&amp;'管线现金流'!AJ1852&amp;"|"&amp;'管线现金流'!H1853&amp;"|"&amp;'管线现金流'!AJ1853&amp;"|"&amp;'管线现金流'!H1854&amp;"|"&amp;'管线现金流'!AJ1854&amp;"|"&amp;'管线现金流'!H1855&amp;"|"&amp;'管线现金流'!AJ1855&amp;"|"&amp;'管线现金流'!H1856&amp;"|"&amp;'管线现金流'!AJ1856&amp;"|"&amp;'管线现金流'!H1857&amp;"|"&amp;'管线现金流'!AJ1857&amp;"|"&amp;'管线现金流'!H1858&amp;"|"&amp;'管线现金流'!AJ1858&amp;"|"&amp;'管线现金流'!H1859&amp;"|"&amp;'管线现金流'!AJ1859&amp;"|"&amp;'管线现金流'!H1860&amp;"|"&amp;'管线现金流'!AJ1860&amp;"|"&amp;'管线现金流'!H1861&amp;"|"&amp;'管线现金流'!AJ1861&amp;"|"&amp;'管线现金流'!H1862&amp;"|"&amp;'管线现金流'!AJ1862&amp;"|"&amp;'管线现金流'!H1863&amp;"|"&amp;'管线现金流'!AJ1863&amp;"|"&amp;'管线现金流'!H1864&amp;"|"&amp;'管线现金流'!AJ1864&amp;"|"&amp;'管线现金流'!H1865&amp;"|"&amp;'管线现金流'!AJ1865&amp;"|"&amp;'管线现金流'!H1866&amp;"|"&amp;'管线现金流'!AJ1866&amp;"|"&amp;'管线现金流'!H1867&amp;"|"&amp;'管线现金流'!AJ1867&amp;"|"&amp;'管线现金流'!H1868&amp;"|"&amp;'管线现金流'!AJ1868&amp;"|"&amp;'管线现金流'!H1869&amp;"|"&amp;'管线现金流'!AJ1869&amp;"|"&amp;'管线现金流'!H1870&amp;"|"&amp;'管线现金流'!AJ1870&amp;"|"&amp;'管线现金流'!H1871&amp;"|"&amp;'管线现金流'!AJ1871&amp;"|"&amp;'管线现金流'!H1872&amp;"|"&amp;'管线现金流'!AJ1872&amp;"|"&amp;'管线现金流'!H1873&amp;"|"&amp;'管线现金流'!AJ1873&amp;"|"&amp;'管线现金流'!H1874&amp;"|"&amp;'管线现金流'!AJ1874&amp;"|"&amp;'管线现金流'!H1875&amp;"|"&amp;'管线现金流'!AJ1875&amp;"|"&amp;'管线现金流'!H1876&amp;"|"&amp;'管线现金流'!AJ1876&amp;"|"&amp;'管线现金流'!H1877&amp;"|"&amp;'管线现金流'!AJ1877&amp;"|"&amp;'管线现金流'!H1878&amp;"|"&amp;'管线现金流'!AJ1878</x:f>
        <x:v>0.85|0.35|0.65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</x:row>
    <x:row r="314" ht="23" customHeight="1">
      <x:c r="A314" s="11" t="str">
        <x:v>688302.SH</x:v>
      </x:c>
      <x:c r="B314" s="11" t="str">
        <x:v>海创药业</x:v>
      </x:c>
      <x:c r="C314" s="11" t="str">
        <x:v>一年</x:v>
      </x:c>
      <x:c r="D314" s="11" t="str">
        <x:v>基准</x:v>
      </x:c>
      <x:c r="E314" s="11" t="n">
        <x:v>32.09</x:v>
      </x:c>
      <x:c r="F314" s="11" t="n">
        <x:v>28.66174088141036</x:v>
      </x:c>
      <x:c r="G314" s="11" t="n">
        <x:v>0</x:v>
      </x:c>
      <x:c r="H314" s="25" t="n">
        <x:v>-0.10683263068213289</x:v>
      </x:c>
      <x:c r="I314" s="25" t="n">
        <x:v>-0.10683263068213289</x:v>
      </x:c>
      <x:c r="J314" s="25" t="str"/>
      <x:c r="K314" s="11" t="n">
        <x:v>0</x:v>
      </x:c>
      <x:c r="L314" s="11" t="n">
        <x:v>0</x:v>
      </x:c>
      <x:c r="M314" s="11" t="n">
        <x:v>1</x:v>
      </x:c>
      <x:c r="N314" s="11" t="n">
        <x:v>0</x:v>
      </x:c>
      <x:c r="O314" s="11" t="n">
        <x:v>0</x:v>
      </x:c>
      <x:c r="P314" s="11" t="n">
        <x:v>0</x:v>
      </x:c>
      <x:c r="Q314" s="11" t="n">
        <x:v>0.108</x:v>
      </x:c>
      <x:c r="R314" s="11" t="str">
        <x:v>hinova-rnpv-v1.0</x:v>
      </x:c>
      <x:c r="S314" s="11" t="str">
        <x:v>2026-10-10</x:v>
      </x:c>
      <x:c r="T314" s="11" t="str">
        <x:f>IF(AND(SUM(IF(K314='假设'!E417,0,1),IF(L314='假设'!F417,0,1),IF(M314='假设'!G417,0,1),IF(N314='假设'!H417,0,1),IF(O314='假设'!I417,0,1),IF(P314='假设'!J417,0,1),IF(Q314='假设'!K417,0,1))=0,U314=V314),"已刷新","待刷新")</x:f>
        <x:v>已刷新</x:v>
      </x:c>
      <x:c r="U314" t="str">
        <x:v>0.85|0.55|0.8|1|0.25|1|0.14|6.8|0.47750000000000004|0.25|1|0.14|6.8|0.259|0.23|1|0.14|6.8|0.1925|0.0738|1|0.14|6.8|0.16400000000000003|0.23|1|0.14|6.8|0.14500000000000002|0.0738|1|0.14|6.8|0.41100000000000003|0.25|1|0.14|6.8|0.2875000000000001|0.0738|1|0.14|6.8|0.1925|0.18|1|0.14|6.8|0.14500000000000002|0.0656|1|0.14|6.8|0.1070000000000001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  <x:c r="V314" t="str">
        <x:f>'假设'!U417&amp;"|"&amp;'假设'!N417&amp;"|"&amp;'假设'!Q417&amp;"|"&amp;'管线假设'!E377&amp;"|"&amp;'管线假设'!F377&amp;"|"&amp;'管线假设'!G377&amp;"|"&amp;'管线假设'!H377&amp;"|"&amp;'管线假设'!I377&amp;"|"&amp;'管线假设'!E381&amp;"|"&amp;'管线假设'!F381&amp;"|"&amp;'管线假设'!G381&amp;"|"&amp;'管线假设'!H381&amp;"|"&amp;'管线假设'!I381&amp;"|"&amp;'管线假设'!E385&amp;"|"&amp;'管线假设'!F385&amp;"|"&amp;'管线假设'!G385&amp;"|"&amp;'管线假设'!H385&amp;"|"&amp;'管线假设'!I385&amp;"|"&amp;'管线假设'!E389&amp;"|"&amp;'管线假设'!F389&amp;"|"&amp;'管线假设'!G389&amp;"|"&amp;'管线假设'!H389&amp;"|"&amp;'管线假设'!I389&amp;"|"&amp;'管线假设'!E393&amp;"|"&amp;'管线假设'!F393&amp;"|"&amp;'管线假设'!G393&amp;"|"&amp;'管线假设'!H393&amp;"|"&amp;'管线假设'!I393&amp;"|"&amp;'管线假设'!E397&amp;"|"&amp;'管线假设'!F397&amp;"|"&amp;'管线假设'!G397&amp;"|"&amp;'管线假设'!H397&amp;"|"&amp;'管线假设'!I397&amp;"|"&amp;'管线假设'!E401&amp;"|"&amp;'管线假设'!F401&amp;"|"&amp;'管线假设'!G401&amp;"|"&amp;'管线假设'!H401&amp;"|"&amp;'管线假设'!I401&amp;"|"&amp;'管线假设'!E405&amp;"|"&amp;'管线假设'!F405&amp;"|"&amp;'管线假设'!G405&amp;"|"&amp;'管线假设'!H405&amp;"|"&amp;'管线假设'!I405&amp;"|"&amp;'管线假设'!E409&amp;"|"&amp;'管线假设'!F409&amp;"|"&amp;'管线假设'!G409&amp;"|"&amp;'管线假设'!H409&amp;"|"&amp;'管线假设'!I409&amp;"|"&amp;'管线假设'!E413&amp;"|"&amp;'管线假设'!F413&amp;"|"&amp;'管线假设'!G413&amp;"|"&amp;'管线假设'!H413&amp;"|"&amp;'管线假设'!I413&amp;"|"&amp;'管线假设'!E417&amp;"|"&amp;'管线假设'!F417&amp;"|"&amp;'管线假设'!G417&amp;"|"&amp;'管线假设'!H417&amp;"|"&amp;'管线假设'!I417&amp;"|"&amp;'管线现金流'!I1670&amp;"|"&amp;'管线现金流'!AK1670&amp;"|"&amp;'管线现金流'!I1671&amp;"|"&amp;'管线现金流'!AK1671&amp;"|"&amp;'管线现金流'!I1672&amp;"|"&amp;'管线现金流'!AK1672&amp;"|"&amp;'管线现金流'!I1673&amp;"|"&amp;'管线现金流'!AK1673&amp;"|"&amp;'管线现金流'!I1674&amp;"|"&amp;'管线现金流'!AK1674&amp;"|"&amp;'管线现金流'!I1675&amp;"|"&amp;'管线现金流'!AK1675&amp;"|"&amp;'管线现金流'!I1676&amp;"|"&amp;'管线现金流'!AK1676&amp;"|"&amp;'管线现金流'!I1677&amp;"|"&amp;'管线现金流'!AK1677&amp;"|"&amp;'管线现金流'!I1678&amp;"|"&amp;'管线现金流'!AK1678&amp;"|"&amp;'管线现金流'!I1679&amp;"|"&amp;'管线现金流'!AK1679&amp;"|"&amp;'管线现金流'!I1680&amp;"|"&amp;'管线现金流'!AK1680&amp;"|"&amp;'管线现金流'!I1681&amp;"|"&amp;'管线现金流'!AK1681&amp;"|"&amp;'管线现金流'!I1682&amp;"|"&amp;'管线现金流'!AK1682&amp;"|"&amp;'管线现金流'!I1683&amp;"|"&amp;'管线现金流'!AK1683&amp;"|"&amp;'管线现金流'!I1684&amp;"|"&amp;'管线现金流'!AK1684&amp;"|"&amp;'管线现金流'!I1685&amp;"|"&amp;'管线现金流'!AK1685&amp;"|"&amp;'管线现金流'!I1686&amp;"|"&amp;'管线现金流'!AK1686&amp;"|"&amp;'管线现金流'!I1687&amp;"|"&amp;'管线现金流'!AK1687&amp;"|"&amp;'管线现金流'!I1688&amp;"|"&amp;'管线现金流'!AK1688&amp;"|"&amp;'管线现金流'!I1689&amp;"|"&amp;'管线现金流'!AK1689&amp;"|"&amp;'管线现金流'!I1690&amp;"|"&amp;'管线现金流'!AK1690&amp;"|"&amp;'管线现金流'!I1691&amp;"|"&amp;'管线现金流'!AK1691&amp;"|"&amp;'管线现金流'!I1692&amp;"|"&amp;'管线现金流'!AK1692&amp;"|"&amp;'管线现金流'!I1693&amp;"|"&amp;'管线现金流'!AK1693&amp;"|"&amp;'管线现金流'!I1694&amp;"|"&amp;'管线现金流'!AK1694&amp;"|"&amp;'管线现金流'!I1695&amp;"|"&amp;'管线现金流'!AK1695&amp;"|"&amp;'管线现金流'!I1696&amp;"|"&amp;'管线现金流'!AK1696&amp;"|"&amp;'管线现金流'!I1697&amp;"|"&amp;'管线现金流'!AK1697&amp;"|"&amp;'管线现金流'!I1698&amp;"|"&amp;'管线现金流'!AK1698&amp;"|"&amp;'管线现金流'!I1699&amp;"|"&amp;'管线现金流'!AK1699&amp;"|"&amp;'管线现金流'!I1700&amp;"|"&amp;'管线现金流'!AK1700&amp;"|"&amp;'管线现金流'!I1701&amp;"|"&amp;'管线现金流'!AK1701&amp;"|"&amp;'管线现金流'!I1702&amp;"|"&amp;'管线现金流'!AK1702&amp;"|"&amp;'管线现金流'!I1703&amp;"|"&amp;'管线现金流'!AK1703&amp;"|"&amp;'管线现金流'!I1704&amp;"|"&amp;'管线现金流'!AK1704&amp;"|"&amp;'管线现金流'!I1705&amp;"|"&amp;'管线现金流'!AK1705&amp;"|"&amp;'管线现金流'!I1706&amp;"|"&amp;'管线现金流'!AK1706&amp;"|"&amp;'管线现金流'!I1707&amp;"|"&amp;'管线现金流'!AK1707&amp;"|"&amp;'管线现金流'!I1708&amp;"|"&amp;'管线现金流'!AK1708&amp;"|"&amp;'管线现金流'!I1709&amp;"|"&amp;'管线现金流'!AK1709&amp;"|"&amp;'管线现金流'!I1710&amp;"|"&amp;'管线现金流'!AK1710&amp;"|"&amp;'管线现金流'!I1711&amp;"|"&amp;'管线现金流'!AK1711&amp;"|"&amp;'管线现金流'!I1712&amp;"|"&amp;'管线现金流'!AK1712&amp;"|"&amp;'管线现金流'!I1713&amp;"|"&amp;'管线现金流'!AK1713&amp;"|"&amp;'管线现金流'!I1714&amp;"|"&amp;'管线现金流'!AK1714&amp;"|"&amp;'管线现金流'!I1715&amp;"|"&amp;'管线现金流'!AK1715&amp;"|"&amp;'管线现金流'!I1716&amp;"|"&amp;'管线现金流'!AK1716&amp;"|"&amp;'管线现金流'!I1717&amp;"|"&amp;'管线现金流'!AK1717&amp;"|"&amp;'管线现金流'!I1718&amp;"|"&amp;'管线现金流'!AK1718&amp;"|"&amp;'管线现金流'!I1719&amp;"|"&amp;'管线现金流'!AK1719&amp;"|"&amp;'管线现金流'!I1720&amp;"|"&amp;'管线现金流'!AK1720&amp;"|"&amp;'管线现金流'!I1721&amp;"|"&amp;'管线现金流'!AK1721&amp;"|"&amp;'管线现金流'!I1722&amp;"|"&amp;'管线现金流'!AK1722&amp;"|"&amp;'管线现金流'!I1723&amp;"|"&amp;'管线现金流'!AK1723&amp;"|"&amp;'管线现金流'!I1724&amp;"|"&amp;'管线现金流'!AK1724&amp;"|"&amp;'管线现金流'!I1725&amp;"|"&amp;'管线现金流'!AK1725&amp;"|"&amp;'管线现金流'!I1726&amp;"|"&amp;'管线现金流'!AK1726&amp;"|"&amp;'管线现金流'!I1727&amp;"|"&amp;'管线现金流'!AK1727&amp;"|"&amp;'管线现金流'!I1728&amp;"|"&amp;'管线现金流'!AK1728&amp;"|"&amp;'管线现金流'!I1729&amp;"|"&amp;'管线现金流'!AK1729&amp;"|"&amp;'管线现金流'!I1730&amp;"|"&amp;'管线现金流'!AK1730&amp;"|"&amp;'管线现金流'!I1731&amp;"|"&amp;'管线现金流'!AK1731&amp;"|"&amp;'管线现金流'!I1732&amp;"|"&amp;'管线现金流'!AK1732&amp;"|"&amp;'管线现金流'!I1733&amp;"|"&amp;'管线现金流'!AK1733&amp;"|"&amp;'管线现金流'!I1734&amp;"|"&amp;'管线现金流'!AK1734&amp;"|"&amp;'管线现金流'!I1735&amp;"|"&amp;'管线现金流'!AK1735&amp;"|"&amp;'管线现金流'!I1736&amp;"|"&amp;'管线现金流'!AK1736&amp;"|"&amp;'管线现金流'!I1737&amp;"|"&amp;'管线现金流'!AK1737&amp;"|"&amp;'管线现金流'!I1738&amp;"|"&amp;'管线现金流'!AK1738&amp;"|"&amp;'管线现金流'!I1739&amp;"|"&amp;'管线现金流'!AK1739&amp;"|"&amp;'管线现金流'!I1740&amp;"|"&amp;'管线现金流'!AK1740&amp;"|"&amp;'管线现金流'!I1741&amp;"|"&amp;'管线现金流'!AK1741&amp;"|"&amp;'管线现金流'!I1742&amp;"|"&amp;'管线现金流'!AK1742&amp;"|"&amp;'管线现金流'!I1743&amp;"|"&amp;'管线现金流'!AK1743&amp;"|"&amp;'管线现金流'!I1744&amp;"|"&amp;'管线现金流'!AK1744&amp;"|"&amp;'管线现金流'!I1745&amp;"|"&amp;'管线现金流'!AK1745&amp;"|"&amp;'管线现金流'!I1746&amp;"|"&amp;'管线现金流'!AK1746&amp;"|"&amp;'管线现金流'!I1747&amp;"|"&amp;'管线现金流'!AK1747&amp;"|"&amp;'管线现金流'!I1748&amp;"|"&amp;'管线现金流'!AK1748&amp;"|"&amp;'管线现金流'!I1749&amp;"|"&amp;'管线现金流'!AK1749&amp;"|"&amp;'管线现金流'!I1750&amp;"|"&amp;'管线现金流'!AK1750&amp;"|"&amp;'管线现金流'!I1751&amp;"|"&amp;'管线现金流'!AK1751&amp;"|"&amp;'管线现金流'!I1752&amp;"|"&amp;'管线现金流'!AK1752&amp;"|"&amp;'管线现金流'!I1753&amp;"|"&amp;'管线现金流'!AK1753&amp;"|"&amp;'管线现金流'!I1754&amp;"|"&amp;'管线现金流'!AK1754&amp;"|"&amp;'管线现金流'!I1755&amp;"|"&amp;'管线现金流'!AK1755&amp;"|"&amp;'管线现金流'!I1756&amp;"|"&amp;'管线现金流'!AK1756&amp;"|"&amp;'管线现金流'!I1757&amp;"|"&amp;'管线现金流'!AK1757&amp;"|"&amp;'管线现金流'!I1758&amp;"|"&amp;'管线现金流'!AK1758&amp;"|"&amp;'管线现金流'!I1759&amp;"|"&amp;'管线现金流'!AK1759&amp;"|"&amp;'管线现金流'!I1760&amp;"|"&amp;'管线现金流'!AK1760&amp;"|"&amp;'管线现金流'!I1761&amp;"|"&amp;'管线现金流'!AK1761&amp;"|"&amp;'管线现金流'!I1762&amp;"|"&amp;'管线现金流'!AK1762&amp;"|"&amp;'管线现金流'!I1763&amp;"|"&amp;'管线现金流'!AK1763&amp;"|"&amp;'管线现金流'!I1764&amp;"|"&amp;'管线现金流'!AK1764&amp;"|"&amp;'管线现金流'!I1765&amp;"|"&amp;'管线现金流'!AK1765&amp;"|"&amp;'管线现金流'!I1766&amp;"|"&amp;'管线现金流'!AK1766&amp;"|"&amp;'管线现金流'!I1767&amp;"|"&amp;'管线现金流'!AK1767&amp;"|"&amp;'管线现金流'!I1768&amp;"|"&amp;'管线现金流'!AK1768&amp;"|"&amp;'管线现金流'!I1769&amp;"|"&amp;'管线现金流'!AK1769&amp;"|"&amp;'管线现金流'!I1770&amp;"|"&amp;'管线现金流'!AK1770&amp;"|"&amp;'管线现金流'!I1771&amp;"|"&amp;'管线现金流'!AK1771&amp;"|"&amp;'管线现金流'!I1772&amp;"|"&amp;'管线现金流'!AK1772&amp;"|"&amp;'管线现金流'!I1773&amp;"|"&amp;'管线现金流'!AK1773&amp;"|"&amp;'管线现金流'!I1774&amp;"|"&amp;'管线现金流'!AK1774&amp;"|"&amp;'管线现金流'!I1775&amp;"|"&amp;'管线现金流'!AK1775&amp;"|"&amp;'管线现金流'!I1776&amp;"|"&amp;'管线现金流'!AK1776&amp;"|"&amp;'管线现金流'!I1777&amp;"|"&amp;'管线现金流'!AK1777&amp;"|"&amp;'管线现金流'!I1778&amp;"|"&amp;'管线现金流'!AK1778&amp;"|"&amp;'管线现金流'!I1779&amp;"|"&amp;'管线现金流'!AK1779&amp;"|"&amp;'管线现金流'!I1780&amp;"|"&amp;'管线现金流'!AK1780&amp;"|"&amp;'管线现金流'!I1781&amp;"|"&amp;'管线现金流'!AK1781&amp;"|"&amp;'管线现金流'!I1782&amp;"|"&amp;'管线现金流'!AK1782&amp;"|"&amp;'管线现金流'!I1783&amp;"|"&amp;'管线现金流'!AK1783&amp;"|"&amp;'管线现金流'!I1784&amp;"|"&amp;'管线现金流'!AK1784&amp;"|"&amp;'管线现金流'!I1785&amp;"|"&amp;'管线现金流'!AK1785&amp;"|"&amp;'管线现金流'!I1786&amp;"|"&amp;'管线现金流'!AK1786&amp;"|"&amp;'管线现金流'!I1787&amp;"|"&amp;'管线现金流'!AK1787&amp;"|"&amp;'管线现金流'!I1788&amp;"|"&amp;'管线现金流'!AK1788&amp;"|"&amp;'管线现金流'!I1789&amp;"|"&amp;'管线现金流'!AK1789&amp;"|"&amp;'管线现金流'!I1790&amp;"|"&amp;'管线现金流'!AK1790&amp;"|"&amp;'管线现金流'!I1791&amp;"|"&amp;'管线现金流'!AK1791&amp;"|"&amp;'管线现金流'!I1792&amp;"|"&amp;'管线现金流'!AK1792&amp;"|"&amp;'管线现金流'!I1793&amp;"|"&amp;'管线现金流'!AK1793&amp;"|"&amp;'管线现金流'!I1794&amp;"|"&amp;'管线现金流'!AK1794&amp;"|"&amp;'管线现金流'!I1795&amp;"|"&amp;'管线现金流'!AK1795&amp;"|"&amp;'管线现金流'!I1796&amp;"|"&amp;'管线现金流'!AK1796&amp;"|"&amp;'管线现金流'!I1797&amp;"|"&amp;'管线现金流'!AK1797&amp;"|"&amp;'管线现金流'!I1798&amp;"|"&amp;'管线现金流'!AK1798&amp;"|"&amp;'管线现金流'!I1799&amp;"|"&amp;'管线现金流'!AK1799&amp;"|"&amp;'管线现金流'!I1800&amp;"|"&amp;'管线现金流'!AK1800&amp;"|"&amp;'管线现金流'!I1801&amp;"|"&amp;'管线现金流'!AK1801&amp;"|"&amp;'管线现金流'!I1802&amp;"|"&amp;'管线现金流'!AK1802&amp;"|"&amp;'管线现金流'!I1803&amp;"|"&amp;'管线现金流'!AK1803&amp;"|"&amp;'管线现金流'!I1804&amp;"|"&amp;'管线现金流'!AK1804&amp;"|"&amp;'管线现金流'!I1805&amp;"|"&amp;'管线现金流'!AK1805&amp;"|"&amp;'管线现金流'!I1806&amp;"|"&amp;'管线现金流'!AK1806&amp;"|"&amp;'管线现金流'!I1807&amp;"|"&amp;'管线现金流'!AK1807&amp;"|"&amp;'管线现金流'!I1808&amp;"|"&amp;'管线现金流'!AK1808&amp;"|"&amp;'管线现金流'!I1809&amp;"|"&amp;'管线现金流'!AK1809&amp;"|"&amp;'管线现金流'!I1810&amp;"|"&amp;'管线现金流'!AK1810&amp;"|"&amp;'管线现金流'!I1811&amp;"|"&amp;'管线现金流'!AK1811&amp;"|"&amp;'管线现金流'!I1812&amp;"|"&amp;'管线现金流'!AK1812&amp;"|"&amp;'管线现金流'!I1813&amp;"|"&amp;'管线现金流'!AK1813&amp;"|"&amp;'管线现金流'!I1814&amp;"|"&amp;'管线现金流'!AK1814&amp;"|"&amp;'管线现金流'!I1815&amp;"|"&amp;'管线现金流'!AK1815&amp;"|"&amp;'管线现金流'!I1816&amp;"|"&amp;'管线现金流'!AK1816&amp;"|"&amp;'管线现金流'!I1817&amp;"|"&amp;'管线现金流'!AK1817&amp;"|"&amp;'管线现金流'!I1818&amp;"|"&amp;'管线现金流'!AK1818&amp;"|"&amp;'管线现金流'!I1819&amp;"|"&amp;'管线现金流'!AK1819&amp;"|"&amp;'管线现金流'!I1820&amp;"|"&amp;'管线现金流'!AK1820&amp;"|"&amp;'管线现金流'!I1821&amp;"|"&amp;'管线现金流'!AK1821&amp;"|"&amp;'管线现金流'!I1822&amp;"|"&amp;'管线现金流'!AK1822&amp;"|"&amp;'管线现金流'!I1823&amp;"|"&amp;'管线现金流'!AK1823&amp;"|"&amp;'管线现金流'!I1824&amp;"|"&amp;'管线现金流'!AK1824&amp;"|"&amp;'管线现金流'!I1825&amp;"|"&amp;'管线现金流'!AK1825&amp;"|"&amp;'管线现金流'!I1826&amp;"|"&amp;'管线现金流'!AK1826&amp;"|"&amp;'管线现金流'!I1827&amp;"|"&amp;'管线现金流'!AK1827&amp;"|"&amp;'管线现金流'!I1828&amp;"|"&amp;'管线现金流'!AK1828&amp;"|"&amp;'管线现金流'!I1829&amp;"|"&amp;'管线现金流'!AK1829&amp;"|"&amp;'管线现金流'!I1830&amp;"|"&amp;'管线现金流'!AK1830&amp;"|"&amp;'管线现金流'!I1831&amp;"|"&amp;'管线现金流'!AK1831&amp;"|"&amp;'管线现金流'!I1832&amp;"|"&amp;'管线现金流'!AK1832&amp;"|"&amp;'管线现金流'!I1833&amp;"|"&amp;'管线现金流'!AK1833&amp;"|"&amp;'管线现金流'!I1834&amp;"|"&amp;'管线现金流'!AK1834&amp;"|"&amp;'管线现金流'!I1835&amp;"|"&amp;'管线现金流'!AK1835&amp;"|"&amp;'管线现金流'!I1836&amp;"|"&amp;'管线现金流'!AK1836&amp;"|"&amp;'管线现金流'!I1837&amp;"|"&amp;'管线现金流'!AK1837&amp;"|"&amp;'管线现金流'!I1838&amp;"|"&amp;'管线现金流'!AK1838&amp;"|"&amp;'管线现金流'!I1839&amp;"|"&amp;'管线现金流'!AK1839&amp;"|"&amp;'管线现金流'!I1840&amp;"|"&amp;'管线现金流'!AK1840&amp;"|"&amp;'管线现金流'!I1841&amp;"|"&amp;'管线现金流'!AK1841&amp;"|"&amp;'管线现金流'!I1842&amp;"|"&amp;'管线现金流'!AK1842&amp;"|"&amp;'管线现金流'!I1843&amp;"|"&amp;'管线现金流'!AK1843&amp;"|"&amp;'管线现金流'!I1844&amp;"|"&amp;'管线现金流'!AK1844&amp;"|"&amp;'管线现金流'!I1845&amp;"|"&amp;'管线现金流'!AK1845&amp;"|"&amp;'管线现金流'!I1846&amp;"|"&amp;'管线现金流'!AK1846&amp;"|"&amp;'管线现金流'!I1847&amp;"|"&amp;'管线现金流'!AK1847&amp;"|"&amp;'管线现金流'!I1848&amp;"|"&amp;'管线现金流'!AK1848&amp;"|"&amp;'管线现金流'!I1849&amp;"|"&amp;'管线现金流'!AK1849&amp;"|"&amp;'管线现金流'!I1850&amp;"|"&amp;'管线现金流'!AK1850&amp;"|"&amp;'管线现金流'!I1851&amp;"|"&amp;'管线现金流'!AK1851&amp;"|"&amp;'管线现金流'!I1852&amp;"|"&amp;'管线现金流'!AK1852&amp;"|"&amp;'管线现金流'!I1853&amp;"|"&amp;'管线现金流'!AK1853&amp;"|"&amp;'管线现金流'!I1854&amp;"|"&amp;'管线现金流'!AK1854&amp;"|"&amp;'管线现金流'!I1855&amp;"|"&amp;'管线现金流'!AK1855&amp;"|"&amp;'管线现金流'!I1856&amp;"|"&amp;'管线现金流'!AK1856&amp;"|"&amp;'管线现金流'!I1857&amp;"|"&amp;'管线现金流'!AK1857&amp;"|"&amp;'管线现金流'!I1858&amp;"|"&amp;'管线现金流'!AK1858&amp;"|"&amp;'管线现金流'!I1859&amp;"|"&amp;'管线现金流'!AK1859&amp;"|"&amp;'管线现金流'!I1860&amp;"|"&amp;'管线现金流'!AK1860&amp;"|"&amp;'管线现金流'!I1861&amp;"|"&amp;'管线现金流'!AK1861&amp;"|"&amp;'管线现金流'!I1862&amp;"|"&amp;'管线现金流'!AK1862&amp;"|"&amp;'管线现金流'!I1863&amp;"|"&amp;'管线现金流'!AK1863&amp;"|"&amp;'管线现金流'!I1864&amp;"|"&amp;'管线现金流'!AK1864&amp;"|"&amp;'管线现金流'!I1865&amp;"|"&amp;'管线现金流'!AK1865&amp;"|"&amp;'管线现金流'!I1866&amp;"|"&amp;'管线现金流'!AK1866&amp;"|"&amp;'管线现金流'!I1867&amp;"|"&amp;'管线现金流'!AK1867&amp;"|"&amp;'管线现金流'!I1868&amp;"|"&amp;'管线现金流'!AK1868&amp;"|"&amp;'管线现金流'!I1869&amp;"|"&amp;'管线现金流'!AK1869&amp;"|"&amp;'管线现金流'!I1870&amp;"|"&amp;'管线现金流'!AK1870&amp;"|"&amp;'管线现金流'!I1871&amp;"|"&amp;'管线现金流'!AK1871&amp;"|"&amp;'管线现金流'!I1872&amp;"|"&amp;'管线现金流'!AK1872&amp;"|"&amp;'管线现金流'!I1873&amp;"|"&amp;'管线现金流'!AK1873&amp;"|"&amp;'管线现金流'!I1874&amp;"|"&amp;'管线现金流'!AK1874&amp;"|"&amp;'管线现金流'!I1875&amp;"|"&amp;'管线现金流'!AK1875&amp;"|"&amp;'管线现金流'!I1876&amp;"|"&amp;'管线现金流'!AK1876&amp;"|"&amp;'管线现金流'!I1877&amp;"|"&amp;'管线现金流'!AK1877&amp;"|"&amp;'管线现金流'!I1878&amp;"|"&amp;'管线现金流'!AK1878</x:f>
        <x:v>0.85|0.55|0.8|1|0.25|1|0.14|6.8|0.47750000000000004|0.25|1|0.14|6.8|0.259|0.23|1|0.14|6.8|0.1925|0.0738|1|0.14|6.8|0.16400000000000003|0.23|1|0.14|6.8|0.14500000000000002|0.0738|1|0.14|6.8|0.41100000000000003|0.25|1|0.14|6.8|0.2875000000000001|0.0738|1|0.14|6.8|0.1925|0.18|1|0.14|6.8|0.14500000000000002|0.0656|1|0.14|6.8|0.1070000000000001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</x:row>
    <x:row r="315" ht="23" customHeight="1">
      <x:c r="A315" s="11" t="str">
        <x:v>688302.SH</x:v>
      </x:c>
      <x:c r="B315" s="11" t="str">
        <x:v>海创药业</x:v>
      </x:c>
      <x:c r="C315" s="11" t="str">
        <x:v>一年</x:v>
      </x:c>
      <x:c r="D315" s="11" t="str">
        <x:v>乐观</x:v>
      </x:c>
      <x:c r="E315" s="11" t="n">
        <x:v>32.09</x:v>
      </x:c>
      <x:c r="F315" s="11" t="n">
        <x:v>72.69408435957217</x:v>
      </x:c>
      <x:c r="G315" s="11" t="n">
        <x:v>0</x:v>
      </x:c>
      <x:c r="H315" s="25" t="n">
        <x:v>1.2653189267551315</x:v>
      </x:c>
      <x:c r="I315" s="25" t="n">
        <x:v>1.2653189267551315</x:v>
      </x:c>
      <x:c r="J315" s="25" t="str"/>
      <x:c r="K315" s="11" t="n">
        <x:v>0</x:v>
      </x:c>
      <x:c r="L315" s="11" t="n">
        <x:v>0</x:v>
      </x:c>
      <x:c r="M315" s="11" t="n">
        <x:v>1</x:v>
      </x:c>
      <x:c r="N315" s="11" t="n">
        <x:v>0</x:v>
      </x:c>
      <x:c r="O315" s="11" t="n">
        <x:v>0</x:v>
      </x:c>
      <x:c r="P315" s="11" t="n">
        <x:v>0</x:v>
      </x:c>
      <x:c r="Q315" s="11" t="n">
        <x:v>0.103</x:v>
      </x:c>
      <x:c r="R315" s="11" t="str">
        <x:v>hinova-rnpv-v1.0</x:v>
      </x:c>
      <x:c r="S315" s="11" t="str">
        <x:v>2026-10-10</x:v>
      </x:c>
      <x:c r="T315" s="11" t="str">
        <x:f>IF(AND(SUM(IF(K315='假设'!E418,0,1),IF(L315='假设'!F418,0,1),IF(M315='假设'!G418,0,1),IF(N315='假设'!H418,0,1),IF(O315='假设'!I418,0,1),IF(P315='假设'!J418,0,1),IF(Q315='假设'!K418,0,1))=0,U315=V315),"已刷新","待刷新")</x:f>
        <x:v>已刷新</x:v>
      </x:c>
      <x:c r="U315" t="str">
        <x:v>0.2|0.95|1.2|1|0.35|1|0.105|6.8|0.736|0.35|1|0.105|6.8|0.516|0.33|1|0.105|6.8|0.42799999999999994|0.102|1|0.105|6.8|0.384|0.33|1|0.105|6.8|0.33999999999999997|0.102|1|0.105|6.8|0.6479999999999999|0.35|1|0.105|6.8|0.56|0.102|1|0.105|6.8|0.42799999999999994|0.28|1|0.105|6.8|0.33999999999999997|0.0935|1|0.105|6.8|0.2784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  <x:c r="V315" t="str">
        <x:f>'假设'!U418&amp;"|"&amp;'假设'!N418&amp;"|"&amp;'假设'!Q418&amp;"|"&amp;'管线假设'!E378&amp;"|"&amp;'管线假设'!F378&amp;"|"&amp;'管线假设'!G378&amp;"|"&amp;'管线假设'!H378&amp;"|"&amp;'管线假设'!I378&amp;"|"&amp;'管线假设'!E382&amp;"|"&amp;'管线假设'!F382&amp;"|"&amp;'管线假设'!G382&amp;"|"&amp;'管线假设'!H382&amp;"|"&amp;'管线假设'!I382&amp;"|"&amp;'管线假设'!E386&amp;"|"&amp;'管线假设'!F386&amp;"|"&amp;'管线假设'!G386&amp;"|"&amp;'管线假设'!H386&amp;"|"&amp;'管线假设'!I386&amp;"|"&amp;'管线假设'!E390&amp;"|"&amp;'管线假设'!F390&amp;"|"&amp;'管线假设'!G390&amp;"|"&amp;'管线假设'!H390&amp;"|"&amp;'管线假设'!I390&amp;"|"&amp;'管线假设'!E394&amp;"|"&amp;'管线假设'!F394&amp;"|"&amp;'管线假设'!G394&amp;"|"&amp;'管线假设'!H394&amp;"|"&amp;'管线假设'!I394&amp;"|"&amp;'管线假设'!E398&amp;"|"&amp;'管线假设'!F398&amp;"|"&amp;'管线假设'!G398&amp;"|"&amp;'管线假设'!H398&amp;"|"&amp;'管线假设'!I398&amp;"|"&amp;'管线假设'!E402&amp;"|"&amp;'管线假设'!F402&amp;"|"&amp;'管线假设'!G402&amp;"|"&amp;'管线假设'!H402&amp;"|"&amp;'管线假设'!I402&amp;"|"&amp;'管线假设'!E406&amp;"|"&amp;'管线假设'!F406&amp;"|"&amp;'管线假设'!G406&amp;"|"&amp;'管线假设'!H406&amp;"|"&amp;'管线假设'!I406&amp;"|"&amp;'管线假设'!E410&amp;"|"&amp;'管线假设'!F410&amp;"|"&amp;'管线假设'!G410&amp;"|"&amp;'管线假设'!H410&amp;"|"&amp;'管线假设'!I410&amp;"|"&amp;'管线假设'!E414&amp;"|"&amp;'管线假设'!F414&amp;"|"&amp;'管线假设'!G414&amp;"|"&amp;'管线假设'!H414&amp;"|"&amp;'管线假设'!I414&amp;"|"&amp;'管线假设'!E418&amp;"|"&amp;'管线假设'!F418&amp;"|"&amp;'管线假设'!G418&amp;"|"&amp;'管线假设'!H418&amp;"|"&amp;'管线假设'!I418&amp;"|"&amp;'管线现金流'!J1670&amp;"|"&amp;'管线现金流'!AL1670&amp;"|"&amp;'管线现金流'!J1671&amp;"|"&amp;'管线现金流'!AL1671&amp;"|"&amp;'管线现金流'!J1672&amp;"|"&amp;'管线现金流'!AL1672&amp;"|"&amp;'管线现金流'!J1673&amp;"|"&amp;'管线现金流'!AL1673&amp;"|"&amp;'管线现金流'!J1674&amp;"|"&amp;'管线现金流'!AL1674&amp;"|"&amp;'管线现金流'!J1675&amp;"|"&amp;'管线现金流'!AL1675&amp;"|"&amp;'管线现金流'!J1676&amp;"|"&amp;'管线现金流'!AL1676&amp;"|"&amp;'管线现金流'!J1677&amp;"|"&amp;'管线现金流'!AL1677&amp;"|"&amp;'管线现金流'!J1678&amp;"|"&amp;'管线现金流'!AL1678&amp;"|"&amp;'管线现金流'!J1679&amp;"|"&amp;'管线现金流'!AL1679&amp;"|"&amp;'管线现金流'!J1680&amp;"|"&amp;'管线现金流'!AL1680&amp;"|"&amp;'管线现金流'!J1681&amp;"|"&amp;'管线现金流'!AL1681&amp;"|"&amp;'管线现金流'!J1682&amp;"|"&amp;'管线现金流'!AL1682&amp;"|"&amp;'管线现金流'!J1683&amp;"|"&amp;'管线现金流'!AL1683&amp;"|"&amp;'管线现金流'!J1684&amp;"|"&amp;'管线现金流'!AL1684&amp;"|"&amp;'管线现金流'!J1685&amp;"|"&amp;'管线现金流'!AL1685&amp;"|"&amp;'管线现金流'!J1686&amp;"|"&amp;'管线现金流'!AL1686&amp;"|"&amp;'管线现金流'!J1687&amp;"|"&amp;'管线现金流'!AL1687&amp;"|"&amp;'管线现金流'!J1688&amp;"|"&amp;'管线现金流'!AL1688&amp;"|"&amp;'管线现金流'!J1689&amp;"|"&amp;'管线现金流'!AL1689&amp;"|"&amp;'管线现金流'!J1690&amp;"|"&amp;'管线现金流'!AL1690&amp;"|"&amp;'管线现金流'!J1691&amp;"|"&amp;'管线现金流'!AL1691&amp;"|"&amp;'管线现金流'!J1692&amp;"|"&amp;'管线现金流'!AL1692&amp;"|"&amp;'管线现金流'!J1693&amp;"|"&amp;'管线现金流'!AL1693&amp;"|"&amp;'管线现金流'!J1694&amp;"|"&amp;'管线现金流'!AL1694&amp;"|"&amp;'管线现金流'!J1695&amp;"|"&amp;'管线现金流'!AL1695&amp;"|"&amp;'管线现金流'!J1696&amp;"|"&amp;'管线现金流'!AL1696&amp;"|"&amp;'管线现金流'!J1697&amp;"|"&amp;'管线现金流'!AL1697&amp;"|"&amp;'管线现金流'!J1698&amp;"|"&amp;'管线现金流'!AL1698&amp;"|"&amp;'管线现金流'!J1699&amp;"|"&amp;'管线现金流'!AL1699&amp;"|"&amp;'管线现金流'!J1700&amp;"|"&amp;'管线现金流'!AL1700&amp;"|"&amp;'管线现金流'!J1701&amp;"|"&amp;'管线现金流'!AL1701&amp;"|"&amp;'管线现金流'!J1702&amp;"|"&amp;'管线现金流'!AL1702&amp;"|"&amp;'管线现金流'!J1703&amp;"|"&amp;'管线现金流'!AL1703&amp;"|"&amp;'管线现金流'!J1704&amp;"|"&amp;'管线现金流'!AL1704&amp;"|"&amp;'管线现金流'!J1705&amp;"|"&amp;'管线现金流'!AL1705&amp;"|"&amp;'管线现金流'!J1706&amp;"|"&amp;'管线现金流'!AL1706&amp;"|"&amp;'管线现金流'!J1707&amp;"|"&amp;'管线现金流'!AL1707&amp;"|"&amp;'管线现金流'!J1708&amp;"|"&amp;'管线现金流'!AL1708&amp;"|"&amp;'管线现金流'!J1709&amp;"|"&amp;'管线现金流'!AL1709&amp;"|"&amp;'管线现金流'!J1710&amp;"|"&amp;'管线现金流'!AL1710&amp;"|"&amp;'管线现金流'!J1711&amp;"|"&amp;'管线现金流'!AL1711&amp;"|"&amp;'管线现金流'!J1712&amp;"|"&amp;'管线现金流'!AL1712&amp;"|"&amp;'管线现金流'!J1713&amp;"|"&amp;'管线现金流'!AL1713&amp;"|"&amp;'管线现金流'!J1714&amp;"|"&amp;'管线现金流'!AL1714&amp;"|"&amp;'管线现金流'!J1715&amp;"|"&amp;'管线现金流'!AL1715&amp;"|"&amp;'管线现金流'!J1716&amp;"|"&amp;'管线现金流'!AL1716&amp;"|"&amp;'管线现金流'!J1717&amp;"|"&amp;'管线现金流'!AL1717&amp;"|"&amp;'管线现金流'!J1718&amp;"|"&amp;'管线现金流'!AL1718&amp;"|"&amp;'管线现金流'!J1719&amp;"|"&amp;'管线现金流'!AL1719&amp;"|"&amp;'管线现金流'!J1720&amp;"|"&amp;'管线现金流'!AL1720&amp;"|"&amp;'管线现金流'!J1721&amp;"|"&amp;'管线现金流'!AL1721&amp;"|"&amp;'管线现金流'!J1722&amp;"|"&amp;'管线现金流'!AL1722&amp;"|"&amp;'管线现金流'!J1723&amp;"|"&amp;'管线现金流'!AL1723&amp;"|"&amp;'管线现金流'!J1724&amp;"|"&amp;'管线现金流'!AL1724&amp;"|"&amp;'管线现金流'!J1725&amp;"|"&amp;'管线现金流'!AL1725&amp;"|"&amp;'管线现金流'!J1726&amp;"|"&amp;'管线现金流'!AL1726&amp;"|"&amp;'管线现金流'!J1727&amp;"|"&amp;'管线现金流'!AL1727&amp;"|"&amp;'管线现金流'!J1728&amp;"|"&amp;'管线现金流'!AL1728&amp;"|"&amp;'管线现金流'!J1729&amp;"|"&amp;'管线现金流'!AL1729&amp;"|"&amp;'管线现金流'!J1730&amp;"|"&amp;'管线现金流'!AL1730&amp;"|"&amp;'管线现金流'!J1731&amp;"|"&amp;'管线现金流'!AL1731&amp;"|"&amp;'管线现金流'!J1732&amp;"|"&amp;'管线现金流'!AL1732&amp;"|"&amp;'管线现金流'!J1733&amp;"|"&amp;'管线现金流'!AL1733&amp;"|"&amp;'管线现金流'!J1734&amp;"|"&amp;'管线现金流'!AL1734&amp;"|"&amp;'管线现金流'!J1735&amp;"|"&amp;'管线现金流'!AL1735&amp;"|"&amp;'管线现金流'!J1736&amp;"|"&amp;'管线现金流'!AL1736&amp;"|"&amp;'管线现金流'!J1737&amp;"|"&amp;'管线现金流'!AL1737&amp;"|"&amp;'管线现金流'!J1738&amp;"|"&amp;'管线现金流'!AL1738&amp;"|"&amp;'管线现金流'!J1739&amp;"|"&amp;'管线现金流'!AL1739&amp;"|"&amp;'管线现金流'!J1740&amp;"|"&amp;'管线现金流'!AL1740&amp;"|"&amp;'管线现金流'!J1741&amp;"|"&amp;'管线现金流'!AL1741&amp;"|"&amp;'管线现金流'!J1742&amp;"|"&amp;'管线现金流'!AL1742&amp;"|"&amp;'管线现金流'!J1743&amp;"|"&amp;'管线现金流'!AL1743&amp;"|"&amp;'管线现金流'!J1744&amp;"|"&amp;'管线现金流'!AL1744&amp;"|"&amp;'管线现金流'!J1745&amp;"|"&amp;'管线现金流'!AL1745&amp;"|"&amp;'管线现金流'!J1746&amp;"|"&amp;'管线现金流'!AL1746&amp;"|"&amp;'管线现金流'!J1747&amp;"|"&amp;'管线现金流'!AL1747&amp;"|"&amp;'管线现金流'!J1748&amp;"|"&amp;'管线现金流'!AL1748&amp;"|"&amp;'管线现金流'!J1749&amp;"|"&amp;'管线现金流'!AL1749&amp;"|"&amp;'管线现金流'!J1750&amp;"|"&amp;'管线现金流'!AL1750&amp;"|"&amp;'管线现金流'!J1751&amp;"|"&amp;'管线现金流'!AL1751&amp;"|"&amp;'管线现金流'!J1752&amp;"|"&amp;'管线现金流'!AL1752&amp;"|"&amp;'管线现金流'!J1753&amp;"|"&amp;'管线现金流'!AL1753&amp;"|"&amp;'管线现金流'!J1754&amp;"|"&amp;'管线现金流'!AL1754&amp;"|"&amp;'管线现金流'!J1755&amp;"|"&amp;'管线现金流'!AL1755&amp;"|"&amp;'管线现金流'!J1756&amp;"|"&amp;'管线现金流'!AL1756&amp;"|"&amp;'管线现金流'!J1757&amp;"|"&amp;'管线现金流'!AL1757&amp;"|"&amp;'管线现金流'!J1758&amp;"|"&amp;'管线现金流'!AL1758&amp;"|"&amp;'管线现金流'!J1759&amp;"|"&amp;'管线现金流'!AL1759&amp;"|"&amp;'管线现金流'!J1760&amp;"|"&amp;'管线现金流'!AL1760&amp;"|"&amp;'管线现金流'!J1761&amp;"|"&amp;'管线现金流'!AL1761&amp;"|"&amp;'管线现金流'!J1762&amp;"|"&amp;'管线现金流'!AL1762&amp;"|"&amp;'管线现金流'!J1763&amp;"|"&amp;'管线现金流'!AL1763&amp;"|"&amp;'管线现金流'!J1764&amp;"|"&amp;'管线现金流'!AL1764&amp;"|"&amp;'管线现金流'!J1765&amp;"|"&amp;'管线现金流'!AL1765&amp;"|"&amp;'管线现金流'!J1766&amp;"|"&amp;'管线现金流'!AL1766&amp;"|"&amp;'管线现金流'!J1767&amp;"|"&amp;'管线现金流'!AL1767&amp;"|"&amp;'管线现金流'!J1768&amp;"|"&amp;'管线现金流'!AL1768&amp;"|"&amp;'管线现金流'!J1769&amp;"|"&amp;'管线现金流'!AL1769&amp;"|"&amp;'管线现金流'!J1770&amp;"|"&amp;'管线现金流'!AL1770&amp;"|"&amp;'管线现金流'!J1771&amp;"|"&amp;'管线现金流'!AL1771&amp;"|"&amp;'管线现金流'!J1772&amp;"|"&amp;'管线现金流'!AL1772&amp;"|"&amp;'管线现金流'!J1773&amp;"|"&amp;'管线现金流'!AL1773&amp;"|"&amp;'管线现金流'!J1774&amp;"|"&amp;'管线现金流'!AL1774&amp;"|"&amp;'管线现金流'!J1775&amp;"|"&amp;'管线现金流'!AL1775&amp;"|"&amp;'管线现金流'!J1776&amp;"|"&amp;'管线现金流'!AL1776&amp;"|"&amp;'管线现金流'!J1777&amp;"|"&amp;'管线现金流'!AL1777&amp;"|"&amp;'管线现金流'!J1778&amp;"|"&amp;'管线现金流'!AL1778&amp;"|"&amp;'管线现金流'!J1779&amp;"|"&amp;'管线现金流'!AL1779&amp;"|"&amp;'管线现金流'!J1780&amp;"|"&amp;'管线现金流'!AL1780&amp;"|"&amp;'管线现金流'!J1781&amp;"|"&amp;'管线现金流'!AL1781&amp;"|"&amp;'管线现金流'!J1782&amp;"|"&amp;'管线现金流'!AL1782&amp;"|"&amp;'管线现金流'!J1783&amp;"|"&amp;'管线现金流'!AL1783&amp;"|"&amp;'管线现金流'!J1784&amp;"|"&amp;'管线现金流'!AL1784&amp;"|"&amp;'管线现金流'!J1785&amp;"|"&amp;'管线现金流'!AL1785&amp;"|"&amp;'管线现金流'!J1786&amp;"|"&amp;'管线现金流'!AL1786&amp;"|"&amp;'管线现金流'!J1787&amp;"|"&amp;'管线现金流'!AL1787&amp;"|"&amp;'管线现金流'!J1788&amp;"|"&amp;'管线现金流'!AL1788&amp;"|"&amp;'管线现金流'!J1789&amp;"|"&amp;'管线现金流'!AL1789&amp;"|"&amp;'管线现金流'!J1790&amp;"|"&amp;'管线现金流'!AL1790&amp;"|"&amp;'管线现金流'!J1791&amp;"|"&amp;'管线现金流'!AL1791&amp;"|"&amp;'管线现金流'!J1792&amp;"|"&amp;'管线现金流'!AL1792&amp;"|"&amp;'管线现金流'!J1793&amp;"|"&amp;'管线现金流'!AL1793&amp;"|"&amp;'管线现金流'!J1794&amp;"|"&amp;'管线现金流'!AL1794&amp;"|"&amp;'管线现金流'!J1795&amp;"|"&amp;'管线现金流'!AL1795&amp;"|"&amp;'管线现金流'!J1796&amp;"|"&amp;'管线现金流'!AL1796&amp;"|"&amp;'管线现金流'!J1797&amp;"|"&amp;'管线现金流'!AL1797&amp;"|"&amp;'管线现金流'!J1798&amp;"|"&amp;'管线现金流'!AL1798&amp;"|"&amp;'管线现金流'!J1799&amp;"|"&amp;'管线现金流'!AL1799&amp;"|"&amp;'管线现金流'!J1800&amp;"|"&amp;'管线现金流'!AL1800&amp;"|"&amp;'管线现金流'!J1801&amp;"|"&amp;'管线现金流'!AL1801&amp;"|"&amp;'管线现金流'!J1802&amp;"|"&amp;'管线现金流'!AL1802&amp;"|"&amp;'管线现金流'!J1803&amp;"|"&amp;'管线现金流'!AL1803&amp;"|"&amp;'管线现金流'!J1804&amp;"|"&amp;'管线现金流'!AL1804&amp;"|"&amp;'管线现金流'!J1805&amp;"|"&amp;'管线现金流'!AL1805&amp;"|"&amp;'管线现金流'!J1806&amp;"|"&amp;'管线现金流'!AL1806&amp;"|"&amp;'管线现金流'!J1807&amp;"|"&amp;'管线现金流'!AL1807&amp;"|"&amp;'管线现金流'!J1808&amp;"|"&amp;'管线现金流'!AL1808&amp;"|"&amp;'管线现金流'!J1809&amp;"|"&amp;'管线现金流'!AL1809&amp;"|"&amp;'管线现金流'!J1810&amp;"|"&amp;'管线现金流'!AL1810&amp;"|"&amp;'管线现金流'!J1811&amp;"|"&amp;'管线现金流'!AL1811&amp;"|"&amp;'管线现金流'!J1812&amp;"|"&amp;'管线现金流'!AL1812&amp;"|"&amp;'管线现金流'!J1813&amp;"|"&amp;'管线现金流'!AL1813&amp;"|"&amp;'管线现金流'!J1814&amp;"|"&amp;'管线现金流'!AL1814&amp;"|"&amp;'管线现金流'!J1815&amp;"|"&amp;'管线现金流'!AL1815&amp;"|"&amp;'管线现金流'!J1816&amp;"|"&amp;'管线现金流'!AL1816&amp;"|"&amp;'管线现金流'!J1817&amp;"|"&amp;'管线现金流'!AL1817&amp;"|"&amp;'管线现金流'!J1818&amp;"|"&amp;'管线现金流'!AL1818&amp;"|"&amp;'管线现金流'!J1819&amp;"|"&amp;'管线现金流'!AL1819&amp;"|"&amp;'管线现金流'!J1820&amp;"|"&amp;'管线现金流'!AL1820&amp;"|"&amp;'管线现金流'!J1821&amp;"|"&amp;'管线现金流'!AL1821&amp;"|"&amp;'管线现金流'!J1822&amp;"|"&amp;'管线现金流'!AL1822&amp;"|"&amp;'管线现金流'!J1823&amp;"|"&amp;'管线现金流'!AL1823&amp;"|"&amp;'管线现金流'!J1824&amp;"|"&amp;'管线现金流'!AL1824&amp;"|"&amp;'管线现金流'!J1825&amp;"|"&amp;'管线现金流'!AL1825&amp;"|"&amp;'管线现金流'!J1826&amp;"|"&amp;'管线现金流'!AL1826&amp;"|"&amp;'管线现金流'!J1827&amp;"|"&amp;'管线现金流'!AL1827&amp;"|"&amp;'管线现金流'!J1828&amp;"|"&amp;'管线现金流'!AL1828&amp;"|"&amp;'管线现金流'!J1829&amp;"|"&amp;'管线现金流'!AL1829&amp;"|"&amp;'管线现金流'!J1830&amp;"|"&amp;'管线现金流'!AL1830&amp;"|"&amp;'管线现金流'!J1831&amp;"|"&amp;'管线现金流'!AL1831&amp;"|"&amp;'管线现金流'!J1832&amp;"|"&amp;'管线现金流'!AL1832&amp;"|"&amp;'管线现金流'!J1833&amp;"|"&amp;'管线现金流'!AL1833&amp;"|"&amp;'管线现金流'!J1834&amp;"|"&amp;'管线现金流'!AL1834&amp;"|"&amp;'管线现金流'!J1835&amp;"|"&amp;'管线现金流'!AL1835&amp;"|"&amp;'管线现金流'!J1836&amp;"|"&amp;'管线现金流'!AL1836&amp;"|"&amp;'管线现金流'!J1837&amp;"|"&amp;'管线现金流'!AL1837&amp;"|"&amp;'管线现金流'!J1838&amp;"|"&amp;'管线现金流'!AL1838&amp;"|"&amp;'管线现金流'!J1839&amp;"|"&amp;'管线现金流'!AL1839&amp;"|"&amp;'管线现金流'!J1840&amp;"|"&amp;'管线现金流'!AL1840&amp;"|"&amp;'管线现金流'!J1841&amp;"|"&amp;'管线现金流'!AL1841&amp;"|"&amp;'管线现金流'!J1842&amp;"|"&amp;'管线现金流'!AL1842&amp;"|"&amp;'管线现金流'!J1843&amp;"|"&amp;'管线现金流'!AL1843&amp;"|"&amp;'管线现金流'!J1844&amp;"|"&amp;'管线现金流'!AL1844&amp;"|"&amp;'管线现金流'!J1845&amp;"|"&amp;'管线现金流'!AL1845&amp;"|"&amp;'管线现金流'!J1846&amp;"|"&amp;'管线现金流'!AL1846&amp;"|"&amp;'管线现金流'!J1847&amp;"|"&amp;'管线现金流'!AL1847&amp;"|"&amp;'管线现金流'!J1848&amp;"|"&amp;'管线现金流'!AL1848&amp;"|"&amp;'管线现金流'!J1849&amp;"|"&amp;'管线现金流'!AL1849&amp;"|"&amp;'管线现金流'!J1850&amp;"|"&amp;'管线现金流'!AL1850&amp;"|"&amp;'管线现金流'!J1851&amp;"|"&amp;'管线现金流'!AL1851&amp;"|"&amp;'管线现金流'!J1852&amp;"|"&amp;'管线现金流'!AL1852&amp;"|"&amp;'管线现金流'!J1853&amp;"|"&amp;'管线现金流'!AL1853&amp;"|"&amp;'管线现金流'!J1854&amp;"|"&amp;'管线现金流'!AL1854&amp;"|"&amp;'管线现金流'!J1855&amp;"|"&amp;'管线现金流'!AL1855&amp;"|"&amp;'管线现金流'!J1856&amp;"|"&amp;'管线现金流'!AL1856&amp;"|"&amp;'管线现金流'!J1857&amp;"|"&amp;'管线现金流'!AL1857&amp;"|"&amp;'管线现金流'!J1858&amp;"|"&amp;'管线现金流'!AL1858&amp;"|"&amp;'管线现金流'!J1859&amp;"|"&amp;'管线现金流'!AL1859&amp;"|"&amp;'管线现金流'!J1860&amp;"|"&amp;'管线现金流'!AL1860&amp;"|"&amp;'管线现金流'!J1861&amp;"|"&amp;'管线现金流'!AL1861&amp;"|"&amp;'管线现金流'!J1862&amp;"|"&amp;'管线现金流'!AL1862&amp;"|"&amp;'管线现金流'!J1863&amp;"|"&amp;'管线现金流'!AL1863&amp;"|"&amp;'管线现金流'!J1864&amp;"|"&amp;'管线现金流'!AL1864&amp;"|"&amp;'管线现金流'!J1865&amp;"|"&amp;'管线现金流'!AL1865&amp;"|"&amp;'管线现金流'!J1866&amp;"|"&amp;'管线现金流'!AL1866&amp;"|"&amp;'管线现金流'!J1867&amp;"|"&amp;'管线现金流'!AL1867&amp;"|"&amp;'管线现金流'!J1868&amp;"|"&amp;'管线现金流'!AL1868&amp;"|"&amp;'管线现金流'!J1869&amp;"|"&amp;'管线现金流'!AL1869&amp;"|"&amp;'管线现金流'!J1870&amp;"|"&amp;'管线现金流'!AL1870&amp;"|"&amp;'管线现金流'!J1871&amp;"|"&amp;'管线现金流'!AL1871&amp;"|"&amp;'管线现金流'!J1872&amp;"|"&amp;'管线现金流'!AL1872&amp;"|"&amp;'管线现金流'!J1873&amp;"|"&amp;'管线现金流'!AL1873&amp;"|"&amp;'管线现金流'!J1874&amp;"|"&amp;'管线现金流'!AL1874&amp;"|"&amp;'管线现金流'!J1875&amp;"|"&amp;'管线现金流'!AL1875&amp;"|"&amp;'管线现金流'!J1876&amp;"|"&amp;'管线现金流'!AL1876&amp;"|"&amp;'管线现金流'!J1877&amp;"|"&amp;'管线现金流'!AL1877&amp;"|"&amp;'管线现金流'!J1878&amp;"|"&amp;'管线现金流'!AL1878</x:f>
        <x:v>0.2|0.95|1.2|1|0.35|1|0.105|6.8|0.736|0.35|1|0.105|6.8|0.516|0.33|1|0.105|6.8|0.42799999999999994|0.102|1|0.105|6.8|0.384|0.33|1|0.105|6.8|0.33999999999999997|0.102|1|0.105|6.8|0.6479999999999999|0.35|1|0.105|6.8|0.56|0.102|1|0.105|6.8|0.42799999999999994|0.28|1|0.105|6.8|0.33999999999999997|0.0935|1|0.105|6.8|0.2784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</x:row>
    <x:row r="316" ht="23" customHeight="1">
      <x:c r="A316" s="11" t="str">
        <x:v>688302.SH</x:v>
      </x:c>
      <x:c r="B316" s="11" t="str">
        <x:v>海创药业</x:v>
      </x:c>
      <x:c r="C316" s="11" t="str">
        <x:v>三年</x:v>
      </x:c>
      <x:c r="D316" s="11" t="str">
        <x:v>悲观</x:v>
      </x:c>
      <x:c r="E316" s="11" t="n">
        <x:v>32.09</x:v>
      </x:c>
      <x:c r="F316" s="11" t="n">
        <x:v>0</x:v>
      </x:c>
      <x:c r="G316" s="11" t="n">
        <x:v>0</x:v>
      </x:c>
      <x:c r="H316" s="25" t="n">
        <x:v>-1</x:v>
      </x:c>
      <x:c r="I316" s="25" t="n">
        <x:v>-1</x:v>
      </x:c>
      <x:c r="J316" s="25" t="n">
        <x:v>-1</x:v>
      </x:c>
      <x:c r="K316" s="11" t="n">
        <x:v>0</x:v>
      </x:c>
      <x:c r="L316" s="11" t="n">
        <x:v>0</x:v>
      </x:c>
      <x:c r="M316" s="11" t="n">
        <x:v>1</x:v>
      </x:c>
      <x:c r="N316" s="11" t="n">
        <x:v>0</x:v>
      </x:c>
      <x:c r="O316" s="11" t="n">
        <x:v>0</x:v>
      </x:c>
      <x:c r="P316" s="11" t="n">
        <x:v>0</x:v>
      </x:c>
      <x:c r="Q316" s="11" t="n">
        <x:v>0.15</x:v>
      </x:c>
      <x:c r="R316" s="11" t="str">
        <x:v>hinova-rnpv-v1.0</x:v>
      </x:c>
      <x:c r="S316" s="11" t="str">
        <x:v>2026-10-10</x:v>
      </x:c>
      <x:c r="T316" s="11" t="str">
        <x:f>IF(AND(SUM(IF(K316='假设'!E420,0,1),IF(L316='假设'!F420,0,1),IF(M316='假设'!G420,0,1),IF(N316='假设'!H420,0,1),IF(O316='假设'!I420,0,1),IF(P316='假设'!J420,0,1),IF(Q316='假设'!K420,0,1))=0,U316=V316),"已刷新","待刷新")</x:f>
        <x:v>已刷新</x:v>
      </x:c>
      <x:c r="U316" t="str">
        <x:v>1|0.1|0.6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  <x:c r="V316" t="str">
        <x:f>'假设'!U420&amp;"|"&amp;'假设'!N420&amp;"|"&amp;'假设'!Q420&amp;"|"&amp;'管线假设'!E420&amp;"|"&amp;'管线假设'!F420&amp;"|"&amp;'管线假设'!G420&amp;"|"&amp;'管线假设'!H420&amp;"|"&amp;'管线假设'!I420&amp;"|"&amp;'管线假设'!E424&amp;"|"&amp;'管线假设'!F424&amp;"|"&amp;'管线假设'!G424&amp;"|"&amp;'管线假设'!H424&amp;"|"&amp;'管线假设'!I424&amp;"|"&amp;'管线假设'!E428&amp;"|"&amp;'管线假设'!F428&amp;"|"&amp;'管线假设'!G428&amp;"|"&amp;'管线假设'!H428&amp;"|"&amp;'管线假设'!I428&amp;"|"&amp;'管线假设'!E432&amp;"|"&amp;'管线假设'!F432&amp;"|"&amp;'管线假设'!G432&amp;"|"&amp;'管线假设'!H432&amp;"|"&amp;'管线假设'!I432&amp;"|"&amp;'管线假设'!E436&amp;"|"&amp;'管线假设'!F436&amp;"|"&amp;'管线假设'!G436&amp;"|"&amp;'管线假设'!H436&amp;"|"&amp;'管线假设'!I436&amp;"|"&amp;'管线假设'!E440&amp;"|"&amp;'管线假设'!F440&amp;"|"&amp;'管线假设'!G440&amp;"|"&amp;'管线假设'!H440&amp;"|"&amp;'管线假设'!I440&amp;"|"&amp;'管线假设'!E444&amp;"|"&amp;'管线假设'!F444&amp;"|"&amp;'管线假设'!G444&amp;"|"&amp;'管线假设'!H444&amp;"|"&amp;'管线假设'!I444&amp;"|"&amp;'管线假设'!E448&amp;"|"&amp;'管线假设'!F448&amp;"|"&amp;'管线假设'!G448&amp;"|"&amp;'管线假设'!H448&amp;"|"&amp;'管线假设'!I448&amp;"|"&amp;'管线假设'!E452&amp;"|"&amp;'管线假设'!F452&amp;"|"&amp;'管线假设'!G452&amp;"|"&amp;'管线假设'!H452&amp;"|"&amp;'管线假设'!I452&amp;"|"&amp;'管线假设'!E456&amp;"|"&amp;'管线假设'!F456&amp;"|"&amp;'管线假设'!G456&amp;"|"&amp;'管线假设'!H456&amp;"|"&amp;'管线假设'!I456&amp;"|"&amp;'管线假设'!E460&amp;"|"&amp;'管线假设'!F460&amp;"|"&amp;'管线假设'!G460&amp;"|"&amp;'管线假设'!H460&amp;"|"&amp;'管线假设'!I460&amp;"|"&amp;'管线现金流'!H1879&amp;"|"&amp;'管线现金流'!AJ1879&amp;"|"&amp;'管线现金流'!H1880&amp;"|"&amp;'管线现金流'!AJ1880&amp;"|"&amp;'管线现金流'!H1881&amp;"|"&amp;'管线现金流'!AJ1881&amp;"|"&amp;'管线现金流'!H1882&amp;"|"&amp;'管线现金流'!AJ1882&amp;"|"&amp;'管线现金流'!H1883&amp;"|"&amp;'管线现金流'!AJ1883&amp;"|"&amp;'管线现金流'!H1884&amp;"|"&amp;'管线现金流'!AJ1884&amp;"|"&amp;'管线现金流'!H1885&amp;"|"&amp;'管线现金流'!AJ1885&amp;"|"&amp;'管线现金流'!H1886&amp;"|"&amp;'管线现金流'!AJ1886&amp;"|"&amp;'管线现金流'!H1887&amp;"|"&amp;'管线现金流'!AJ1887&amp;"|"&amp;'管线现金流'!H1888&amp;"|"&amp;'管线现金流'!AJ1888&amp;"|"&amp;'管线现金流'!H1889&amp;"|"&amp;'管线现金流'!AJ1889&amp;"|"&amp;'管线现金流'!H1890&amp;"|"&amp;'管线现金流'!AJ1890&amp;"|"&amp;'管线现金流'!H1891&amp;"|"&amp;'管线现金流'!AJ1891&amp;"|"&amp;'管线现金流'!H1892&amp;"|"&amp;'管线现金流'!AJ1892&amp;"|"&amp;'管线现金流'!H1893&amp;"|"&amp;'管线现金流'!AJ1893&amp;"|"&amp;'管线现金流'!H1894&amp;"|"&amp;'管线现金流'!AJ1894&amp;"|"&amp;'管线现金流'!H1895&amp;"|"&amp;'管线现金流'!AJ1895&amp;"|"&amp;'管线现金流'!H1896&amp;"|"&amp;'管线现金流'!AJ1896&amp;"|"&amp;'管线现金流'!H1897&amp;"|"&amp;'管线现金流'!AJ1897&amp;"|"&amp;'管线现金流'!H1898&amp;"|"&amp;'管线现金流'!AJ1898&amp;"|"&amp;'管线现金流'!H1899&amp;"|"&amp;'管线现金流'!AJ1899&amp;"|"&amp;'管线现金流'!H1900&amp;"|"&amp;'管线现金流'!AJ1900&amp;"|"&amp;'管线现金流'!H1901&amp;"|"&amp;'管线现金流'!AJ1901&amp;"|"&amp;'管线现金流'!H1902&amp;"|"&amp;'管线现金流'!AJ1902&amp;"|"&amp;'管线现金流'!H1903&amp;"|"&amp;'管线现金流'!AJ1903&amp;"|"&amp;'管线现金流'!H1904&amp;"|"&amp;'管线现金流'!AJ1904&amp;"|"&amp;'管线现金流'!H1905&amp;"|"&amp;'管线现金流'!AJ1905&amp;"|"&amp;'管线现金流'!H1906&amp;"|"&amp;'管线现金流'!AJ1906&amp;"|"&amp;'管线现金流'!H1907&amp;"|"&amp;'管线现金流'!AJ1907&amp;"|"&amp;'管线现金流'!H1908&amp;"|"&amp;'管线现金流'!AJ1908&amp;"|"&amp;'管线现金流'!H1909&amp;"|"&amp;'管线现金流'!AJ1909&amp;"|"&amp;'管线现金流'!H1910&amp;"|"&amp;'管线现金流'!AJ1910&amp;"|"&amp;'管线现金流'!H1911&amp;"|"&amp;'管线现金流'!AJ1911&amp;"|"&amp;'管线现金流'!H1912&amp;"|"&amp;'管线现金流'!AJ1912&amp;"|"&amp;'管线现金流'!H1913&amp;"|"&amp;'管线现金流'!AJ1913&amp;"|"&amp;'管线现金流'!H1914&amp;"|"&amp;'管线现金流'!AJ1914&amp;"|"&amp;'管线现金流'!H1915&amp;"|"&amp;'管线现金流'!AJ1915&amp;"|"&amp;'管线现金流'!H1916&amp;"|"&amp;'管线现金流'!AJ1916&amp;"|"&amp;'管线现金流'!H1917&amp;"|"&amp;'管线现金流'!AJ1917&amp;"|"&amp;'管线现金流'!H1918&amp;"|"&amp;'管线现金流'!AJ1918&amp;"|"&amp;'管线现金流'!H1919&amp;"|"&amp;'管线现金流'!AJ1919&amp;"|"&amp;'管线现金流'!H1920&amp;"|"&amp;'管线现金流'!AJ1920&amp;"|"&amp;'管线现金流'!H1921&amp;"|"&amp;'管线现金流'!AJ1921&amp;"|"&amp;'管线现金流'!H1922&amp;"|"&amp;'管线现金流'!AJ1922&amp;"|"&amp;'管线现金流'!H1923&amp;"|"&amp;'管线现金流'!AJ1923&amp;"|"&amp;'管线现金流'!H1924&amp;"|"&amp;'管线现金流'!AJ1924&amp;"|"&amp;'管线现金流'!H1925&amp;"|"&amp;'管线现金流'!AJ1925&amp;"|"&amp;'管线现金流'!H1926&amp;"|"&amp;'管线现金流'!AJ1926&amp;"|"&amp;'管线现金流'!H1927&amp;"|"&amp;'管线现金流'!AJ1927&amp;"|"&amp;'管线现金流'!H1928&amp;"|"&amp;'管线现金流'!AJ1928&amp;"|"&amp;'管线现金流'!H1929&amp;"|"&amp;'管线现金流'!AJ1929&amp;"|"&amp;'管线现金流'!H1930&amp;"|"&amp;'管线现金流'!AJ1930&amp;"|"&amp;'管线现金流'!H1931&amp;"|"&amp;'管线现金流'!AJ1931&amp;"|"&amp;'管线现金流'!H1932&amp;"|"&amp;'管线现金流'!AJ1932&amp;"|"&amp;'管线现金流'!H1933&amp;"|"&amp;'管线现金流'!AJ1933&amp;"|"&amp;'管线现金流'!H1934&amp;"|"&amp;'管线现金流'!AJ1934&amp;"|"&amp;'管线现金流'!H1935&amp;"|"&amp;'管线现金流'!AJ1935&amp;"|"&amp;'管线现金流'!H1936&amp;"|"&amp;'管线现金流'!AJ1936&amp;"|"&amp;'管线现金流'!H1937&amp;"|"&amp;'管线现金流'!AJ1937&amp;"|"&amp;'管线现金流'!H1938&amp;"|"&amp;'管线现金流'!AJ1938&amp;"|"&amp;'管线现金流'!H1939&amp;"|"&amp;'管线现金流'!AJ1939&amp;"|"&amp;'管线现金流'!H1940&amp;"|"&amp;'管线现金流'!AJ1940&amp;"|"&amp;'管线现金流'!H1941&amp;"|"&amp;'管线现金流'!AJ1941&amp;"|"&amp;'管线现金流'!H1942&amp;"|"&amp;'管线现金流'!AJ1942&amp;"|"&amp;'管线现金流'!H1943&amp;"|"&amp;'管线现金流'!AJ1943&amp;"|"&amp;'管线现金流'!H1944&amp;"|"&amp;'管线现金流'!AJ1944&amp;"|"&amp;'管线现金流'!H1945&amp;"|"&amp;'管线现金流'!AJ1945&amp;"|"&amp;'管线现金流'!H1946&amp;"|"&amp;'管线现金流'!AJ1946&amp;"|"&amp;'管线现金流'!H1947&amp;"|"&amp;'管线现金流'!AJ1947&amp;"|"&amp;'管线现金流'!H1948&amp;"|"&amp;'管线现金流'!AJ1948&amp;"|"&amp;'管线现金流'!H1949&amp;"|"&amp;'管线现金流'!AJ1949&amp;"|"&amp;'管线现金流'!H1950&amp;"|"&amp;'管线现金流'!AJ1950&amp;"|"&amp;'管线现金流'!H1951&amp;"|"&amp;'管线现金流'!AJ1951&amp;"|"&amp;'管线现金流'!H1952&amp;"|"&amp;'管线现金流'!AJ1952&amp;"|"&amp;'管线现金流'!H1953&amp;"|"&amp;'管线现金流'!AJ1953&amp;"|"&amp;'管线现金流'!H1954&amp;"|"&amp;'管线现金流'!AJ1954&amp;"|"&amp;'管线现金流'!H1955&amp;"|"&amp;'管线现金流'!AJ1955&amp;"|"&amp;'管线现金流'!H1956&amp;"|"&amp;'管线现金流'!AJ1956&amp;"|"&amp;'管线现金流'!H1957&amp;"|"&amp;'管线现金流'!AJ1957&amp;"|"&amp;'管线现金流'!H1958&amp;"|"&amp;'管线现金流'!AJ1958&amp;"|"&amp;'管线现金流'!H1959&amp;"|"&amp;'管线现金流'!AJ1959&amp;"|"&amp;'管线现金流'!H1960&amp;"|"&amp;'管线现金流'!AJ1960&amp;"|"&amp;'管线现金流'!H1961&amp;"|"&amp;'管线现金流'!AJ1961&amp;"|"&amp;'管线现金流'!H1962&amp;"|"&amp;'管线现金流'!AJ1962&amp;"|"&amp;'管线现金流'!H1963&amp;"|"&amp;'管线现金流'!AJ1963&amp;"|"&amp;'管线现金流'!H1964&amp;"|"&amp;'管线现金流'!AJ1964&amp;"|"&amp;'管线现金流'!H1965&amp;"|"&amp;'管线现金流'!AJ1965&amp;"|"&amp;'管线现金流'!H1966&amp;"|"&amp;'管线现金流'!AJ1966&amp;"|"&amp;'管线现金流'!H1967&amp;"|"&amp;'管线现金流'!AJ1967&amp;"|"&amp;'管线现金流'!H1968&amp;"|"&amp;'管线现金流'!AJ1968&amp;"|"&amp;'管线现金流'!H1969&amp;"|"&amp;'管线现金流'!AJ1969&amp;"|"&amp;'管线现金流'!H1970&amp;"|"&amp;'管线现金流'!AJ1970&amp;"|"&amp;'管线现金流'!H1971&amp;"|"&amp;'管线现金流'!AJ1971&amp;"|"&amp;'管线现金流'!H1972&amp;"|"&amp;'管线现金流'!AJ1972&amp;"|"&amp;'管线现金流'!H1973&amp;"|"&amp;'管线现金流'!AJ1973&amp;"|"&amp;'管线现金流'!H1974&amp;"|"&amp;'管线现金流'!AJ1974&amp;"|"&amp;'管线现金流'!H1975&amp;"|"&amp;'管线现金流'!AJ1975&amp;"|"&amp;'管线现金流'!H1976&amp;"|"&amp;'管线现金流'!AJ1976&amp;"|"&amp;'管线现金流'!H1977&amp;"|"&amp;'管线现金流'!AJ1977&amp;"|"&amp;'管线现金流'!H1978&amp;"|"&amp;'管线现金流'!AJ1978&amp;"|"&amp;'管线现金流'!H1979&amp;"|"&amp;'管线现金流'!AJ1979&amp;"|"&amp;'管线现金流'!H1980&amp;"|"&amp;'管线现金流'!AJ1980&amp;"|"&amp;'管线现金流'!H1981&amp;"|"&amp;'管线现金流'!AJ1981&amp;"|"&amp;'管线现金流'!H1982&amp;"|"&amp;'管线现金流'!AJ1982&amp;"|"&amp;'管线现金流'!H1983&amp;"|"&amp;'管线现金流'!AJ1983&amp;"|"&amp;'管线现金流'!H1984&amp;"|"&amp;'管线现金流'!AJ1984&amp;"|"&amp;'管线现金流'!H1985&amp;"|"&amp;'管线现金流'!AJ1985&amp;"|"&amp;'管线现金流'!H1986&amp;"|"&amp;'管线现金流'!AJ1986&amp;"|"&amp;'管线现金流'!H1987&amp;"|"&amp;'管线现金流'!AJ1987&amp;"|"&amp;'管线现金流'!H1988&amp;"|"&amp;'管线现金流'!AJ1988&amp;"|"&amp;'管线现金流'!H1989&amp;"|"&amp;'管线现金流'!AJ1989&amp;"|"&amp;'管线现金流'!H1990&amp;"|"&amp;'管线现金流'!AJ1990&amp;"|"&amp;'管线现金流'!H1991&amp;"|"&amp;'管线现金流'!AJ1991&amp;"|"&amp;'管线现金流'!H1992&amp;"|"&amp;'管线现金流'!AJ1992&amp;"|"&amp;'管线现金流'!H1993&amp;"|"&amp;'管线现金流'!AJ1993&amp;"|"&amp;'管线现金流'!H1994&amp;"|"&amp;'管线现金流'!AJ1994&amp;"|"&amp;'管线现金流'!H1995&amp;"|"&amp;'管线现金流'!AJ1995&amp;"|"&amp;'管线现金流'!H1996&amp;"|"&amp;'管线现金流'!AJ1996&amp;"|"&amp;'管线现金流'!H1997&amp;"|"&amp;'管线现金流'!AJ1997&amp;"|"&amp;'管线现金流'!H1998&amp;"|"&amp;'管线现金流'!AJ1998&amp;"|"&amp;'管线现金流'!H1999&amp;"|"&amp;'管线现金流'!AJ1999&amp;"|"&amp;'管线现金流'!H2000&amp;"|"&amp;'管线现金流'!AJ2000&amp;"|"&amp;'管线现金流'!H2001&amp;"|"&amp;'管线现金流'!AJ2001&amp;"|"&amp;'管线现金流'!H2002&amp;"|"&amp;'管线现金流'!AJ2002&amp;"|"&amp;'管线现金流'!H2003&amp;"|"&amp;'管线现金流'!AJ2003&amp;"|"&amp;'管线现金流'!H2004&amp;"|"&amp;'管线现金流'!AJ2004&amp;"|"&amp;'管线现金流'!H2005&amp;"|"&amp;'管线现金流'!AJ2005&amp;"|"&amp;'管线现金流'!H2006&amp;"|"&amp;'管线现金流'!AJ2006&amp;"|"&amp;'管线现金流'!H2007&amp;"|"&amp;'管线现金流'!AJ2007&amp;"|"&amp;'管线现金流'!H2008&amp;"|"&amp;'管线现金流'!AJ2008&amp;"|"&amp;'管线现金流'!H2009&amp;"|"&amp;'管线现金流'!AJ2009&amp;"|"&amp;'管线现金流'!H2010&amp;"|"&amp;'管线现金流'!AJ2010&amp;"|"&amp;'管线现金流'!H2011&amp;"|"&amp;'管线现金流'!AJ2011&amp;"|"&amp;'管线现金流'!H2012&amp;"|"&amp;'管线现金流'!AJ2012&amp;"|"&amp;'管线现金流'!H2013&amp;"|"&amp;'管线现金流'!AJ2013&amp;"|"&amp;'管线现金流'!H2014&amp;"|"&amp;'管线现金流'!AJ2014&amp;"|"&amp;'管线现金流'!H2015&amp;"|"&amp;'管线现金流'!AJ2015&amp;"|"&amp;'管线现金流'!H2016&amp;"|"&amp;'管线现金流'!AJ2016&amp;"|"&amp;'管线现金流'!H2017&amp;"|"&amp;'管线现金流'!AJ2017&amp;"|"&amp;'管线现金流'!H2018&amp;"|"&amp;'管线现金流'!AJ2018&amp;"|"&amp;'管线现金流'!H2019&amp;"|"&amp;'管线现金流'!AJ2019&amp;"|"&amp;'管线现金流'!H2020&amp;"|"&amp;'管线现金流'!AJ2020&amp;"|"&amp;'管线现金流'!H2021&amp;"|"&amp;'管线现金流'!AJ2021&amp;"|"&amp;'管线现金流'!H2022&amp;"|"&amp;'管线现金流'!AJ2022&amp;"|"&amp;'管线现金流'!H2023&amp;"|"&amp;'管线现金流'!AJ2023&amp;"|"&amp;'管线现金流'!H2024&amp;"|"&amp;'管线现金流'!AJ2024&amp;"|"&amp;'管线现金流'!H2025&amp;"|"&amp;'管线现金流'!AJ2025&amp;"|"&amp;'管线现金流'!H2026&amp;"|"&amp;'管线现金流'!AJ2026&amp;"|"&amp;'管线现金流'!H2027&amp;"|"&amp;'管线现金流'!AJ2027&amp;"|"&amp;'管线现金流'!H2028&amp;"|"&amp;'管线现金流'!AJ2028&amp;"|"&amp;'管线现金流'!H2029&amp;"|"&amp;'管线现金流'!AJ2029&amp;"|"&amp;'管线现金流'!H2030&amp;"|"&amp;'管线现金流'!AJ2030&amp;"|"&amp;'管线现金流'!H2031&amp;"|"&amp;'管线现金流'!AJ2031&amp;"|"&amp;'管线现金流'!H2032&amp;"|"&amp;'管线现金流'!AJ2032&amp;"|"&amp;'管线现金流'!H2033&amp;"|"&amp;'管线现金流'!AJ2033&amp;"|"&amp;'管线现金流'!H2034&amp;"|"&amp;'管线现金流'!AJ2034&amp;"|"&amp;'管线现金流'!H2035&amp;"|"&amp;'管线现金流'!AJ2035&amp;"|"&amp;'管线现金流'!H2036&amp;"|"&amp;'管线现金流'!AJ2036&amp;"|"&amp;'管线现金流'!H2037&amp;"|"&amp;'管线现金流'!AJ2037&amp;"|"&amp;'管线现金流'!H2038&amp;"|"&amp;'管线现金流'!AJ2038&amp;"|"&amp;'管线现金流'!H2039&amp;"|"&amp;'管线现金流'!AJ2039&amp;"|"&amp;'管线现金流'!H2040&amp;"|"&amp;'管线现金流'!AJ2040&amp;"|"&amp;'管线现金流'!H2041&amp;"|"&amp;'管线现金流'!AJ2041&amp;"|"&amp;'管线现金流'!H2042&amp;"|"&amp;'管线现金流'!AJ2042&amp;"|"&amp;'管线现金流'!H2043&amp;"|"&amp;'管线现金流'!AJ2043&amp;"|"&amp;'管线现金流'!H2044&amp;"|"&amp;'管线现金流'!AJ2044&amp;"|"&amp;'管线现金流'!H2045&amp;"|"&amp;'管线现金流'!AJ2045&amp;"|"&amp;'管线现金流'!H2046&amp;"|"&amp;'管线现金流'!AJ2046&amp;"|"&amp;'管线现金流'!H2047&amp;"|"&amp;'管线现金流'!AJ2047&amp;"|"&amp;'管线现金流'!H2048&amp;"|"&amp;'管线现金流'!AJ2048&amp;"|"&amp;'管线现金流'!H2049&amp;"|"&amp;'管线现金流'!AJ2049&amp;"|"&amp;'管线现金流'!H2050&amp;"|"&amp;'管线现金流'!AJ2050&amp;"|"&amp;'管线现金流'!H2051&amp;"|"&amp;'管线现金流'!AJ2051&amp;"|"&amp;'管线现金流'!H2052&amp;"|"&amp;'管线现金流'!AJ2052&amp;"|"&amp;'管线现金流'!H2053&amp;"|"&amp;'管线现金流'!AJ2053&amp;"|"&amp;'管线现金流'!H2054&amp;"|"&amp;'管线现金流'!AJ2054&amp;"|"&amp;'管线现金流'!H2055&amp;"|"&amp;'管线现金流'!AJ2055&amp;"|"&amp;'管线现金流'!H2056&amp;"|"&amp;'管线现金流'!AJ2056&amp;"|"&amp;'管线现金流'!H2057&amp;"|"&amp;'管线现金流'!AJ2057&amp;"|"&amp;'管线现金流'!H2058&amp;"|"&amp;'管线现金流'!AJ2058&amp;"|"&amp;'管线现金流'!H2059&amp;"|"&amp;'管线现金流'!AJ2059&amp;"|"&amp;'管线现金流'!H2060&amp;"|"&amp;'管线现金流'!AJ2060&amp;"|"&amp;'管线现金流'!H2061&amp;"|"&amp;'管线现金流'!AJ2061&amp;"|"&amp;'管线现金流'!H2062&amp;"|"&amp;'管线现金流'!AJ2062&amp;"|"&amp;'管线现金流'!H2063&amp;"|"&amp;'管线现金流'!AJ2063&amp;"|"&amp;'管线现金流'!H2064&amp;"|"&amp;'管线现金流'!AJ2064&amp;"|"&amp;'管线现金流'!H2065&amp;"|"&amp;'管线现金流'!AJ2065&amp;"|"&amp;'管线现金流'!H2066&amp;"|"&amp;'管线现金流'!AJ2066&amp;"|"&amp;'管线现金流'!H2067&amp;"|"&amp;'管线现金流'!AJ2067&amp;"|"&amp;'管线现金流'!H2068&amp;"|"&amp;'管线现金流'!AJ2068&amp;"|"&amp;'管线现金流'!H2069&amp;"|"&amp;'管线现金流'!AJ2069&amp;"|"&amp;'管线现金流'!H2070&amp;"|"&amp;'管线现金流'!AJ2070&amp;"|"&amp;'管线现金流'!H2071&amp;"|"&amp;'管线现金流'!AJ2071&amp;"|"&amp;'管线现金流'!H2072&amp;"|"&amp;'管线现金流'!AJ2072&amp;"|"&amp;'管线现金流'!H2073&amp;"|"&amp;'管线现金流'!AJ2073&amp;"|"&amp;'管线现金流'!H2074&amp;"|"&amp;'管线现金流'!AJ2074&amp;"|"&amp;'管线现金流'!H2075&amp;"|"&amp;'管线现金流'!AJ2075&amp;"|"&amp;'管线现金流'!H2076&amp;"|"&amp;'管线现金流'!AJ2076&amp;"|"&amp;'管线现金流'!H2077&amp;"|"&amp;'管线现金流'!AJ2077&amp;"|"&amp;'管线现金流'!H2078&amp;"|"&amp;'管线现金流'!AJ2078&amp;"|"&amp;'管线现金流'!H2079&amp;"|"&amp;'管线现金流'!AJ2079&amp;"|"&amp;'管线现金流'!H2080&amp;"|"&amp;'管线现金流'!AJ2080&amp;"|"&amp;'管线现金流'!H2081&amp;"|"&amp;'管线现金流'!AJ2081&amp;"|"&amp;'管线现金流'!H2082&amp;"|"&amp;'管线现金流'!AJ2082&amp;"|"&amp;'管线现金流'!H2083&amp;"|"&amp;'管线现金流'!AJ2083&amp;"|"&amp;'管线现金流'!H2084&amp;"|"&amp;'管线现金流'!AJ2084&amp;"|"&amp;'管线现金流'!H2085&amp;"|"&amp;'管线现金流'!AJ2085&amp;"|"&amp;'管线现金流'!H2086&amp;"|"&amp;'管线现金流'!AJ2086&amp;"|"&amp;'管线现金流'!H2087&amp;"|"&amp;'管线现金流'!AJ2087</x:f>
        <x:v>1|0.1|0.6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</x:row>
    <x:row r="317" ht="23" customHeight="1">
      <x:c r="A317" s="11" t="str">
        <x:v>688302.SH</x:v>
      </x:c>
      <x:c r="B317" s="11" t="str">
        <x:v>海创药业</x:v>
      </x:c>
      <x:c r="C317" s="11" t="str">
        <x:v>三年</x:v>
      </x:c>
      <x:c r="D317" s="11" t="str">
        <x:v>基准</x:v>
      </x:c>
      <x:c r="E317" s="11" t="n">
        <x:v>32.09</x:v>
      </x:c>
      <x:c r="F317" s="11" t="n">
        <x:v>46.552406634363</x:v>
      </x:c>
      <x:c r="G317" s="11" t="n">
        <x:v>0</x:v>
      </x:c>
      <x:c r="H317" s="25" t="n">
        <x:v>0.4506826623360236</x:v>
      </x:c>
      <x:c r="I317" s="25" t="n">
        <x:v>0.4506826623360236</x:v>
      </x:c>
      <x:c r="J317" s="25" t="n">
        <x:v>0.13202879388358002</x:v>
      </x:c>
      <x:c r="K317" s="11" t="n">
        <x:v>0</x:v>
      </x:c>
      <x:c r="L317" s="11" t="n">
        <x:v>0</x:v>
      </x:c>
      <x:c r="M317" s="11" t="n">
        <x:v>1</x:v>
      </x:c>
      <x:c r="N317" s="11" t="n">
        <x:v>0</x:v>
      </x:c>
      <x:c r="O317" s="11" t="n">
        <x:v>0</x:v>
      </x:c>
      <x:c r="P317" s="11" t="n">
        <x:v>0</x:v>
      </x:c>
      <x:c r="Q317" s="11" t="n">
        <x:v>0.12</x:v>
      </x:c>
      <x:c r="R317" s="11" t="str">
        <x:v>hinova-rnpv-v1.0</x:v>
      </x:c>
      <x:c r="S317" s="11" t="str">
        <x:v>2026-10-10</x:v>
      </x:c>
      <x:c r="T317" s="11" t="str">
        <x:f>IF(AND(SUM(IF(K317='假设'!E421,0,1),IF(L317='假设'!F421,0,1),IF(M317='假设'!G421,0,1),IF(N317='假设'!H421,0,1),IF(O317='假设'!I421,0,1),IF(P317='假设'!J421,0,1),IF(Q317='假设'!K421,0,1))=0,U317=V317),"已刷新","待刷新")</x:f>
        <x:v>已刷新</x:v>
      </x:c>
      <x:c r="U317" t="str">
        <x:v>1|0.8|0.75|1|0.25|1|0.14|6.8|0.5599999999999999|0.25|1|0.14|6.8|0.3759999999999999|0.23|1|0.14|6.8|0.31999999999999995|0.0738|1|0.14|6.8|0.29599999999999993|0.23|1|0.14|6.8|0.2799999999999999|0.0738|1|0.14|6.8|0.504|0.25|1|0.14|6.8|0.3999999999999999|0.0738|1|0.14|6.8|0.31999999999999995|0.18|1|0.14|6.8|0.2799999999999999|0.0656|1|0.14|6.8|0.248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  <x:c r="V317" t="str">
        <x:f>'假设'!U421&amp;"|"&amp;'假设'!N421&amp;"|"&amp;'假设'!Q421&amp;"|"&amp;'管线假设'!E421&amp;"|"&amp;'管线假设'!F421&amp;"|"&amp;'管线假设'!G421&amp;"|"&amp;'管线假设'!H421&amp;"|"&amp;'管线假设'!I421&amp;"|"&amp;'管线假设'!E425&amp;"|"&amp;'管线假设'!F425&amp;"|"&amp;'管线假设'!G425&amp;"|"&amp;'管线假设'!H425&amp;"|"&amp;'管线假设'!I425&amp;"|"&amp;'管线假设'!E429&amp;"|"&amp;'管线假设'!F429&amp;"|"&amp;'管线假设'!G429&amp;"|"&amp;'管线假设'!H429&amp;"|"&amp;'管线假设'!I429&amp;"|"&amp;'管线假设'!E433&amp;"|"&amp;'管线假设'!F433&amp;"|"&amp;'管线假设'!G433&amp;"|"&amp;'管线假设'!H433&amp;"|"&amp;'管线假设'!I433&amp;"|"&amp;'管线假设'!E437&amp;"|"&amp;'管线假设'!F437&amp;"|"&amp;'管线假设'!G437&amp;"|"&amp;'管线假设'!H437&amp;"|"&amp;'管线假设'!I437&amp;"|"&amp;'管线假设'!E441&amp;"|"&amp;'管线假设'!F441&amp;"|"&amp;'管线假设'!G441&amp;"|"&amp;'管线假设'!H441&amp;"|"&amp;'管线假设'!I441&amp;"|"&amp;'管线假设'!E445&amp;"|"&amp;'管线假设'!F445&amp;"|"&amp;'管线假设'!G445&amp;"|"&amp;'管线假设'!H445&amp;"|"&amp;'管线假设'!I445&amp;"|"&amp;'管线假设'!E449&amp;"|"&amp;'管线假设'!F449&amp;"|"&amp;'管线假设'!G449&amp;"|"&amp;'管线假设'!H449&amp;"|"&amp;'管线假设'!I449&amp;"|"&amp;'管线假设'!E453&amp;"|"&amp;'管线假设'!F453&amp;"|"&amp;'管线假设'!G453&amp;"|"&amp;'管线假设'!H453&amp;"|"&amp;'管线假设'!I453&amp;"|"&amp;'管线假设'!E457&amp;"|"&amp;'管线假设'!F457&amp;"|"&amp;'管线假设'!G457&amp;"|"&amp;'管线假设'!H457&amp;"|"&amp;'管线假设'!I457&amp;"|"&amp;'管线假设'!E461&amp;"|"&amp;'管线假设'!F461&amp;"|"&amp;'管线假设'!G461&amp;"|"&amp;'管线假设'!H461&amp;"|"&amp;'管线假设'!I461&amp;"|"&amp;'管线现金流'!I1879&amp;"|"&amp;'管线现金流'!AK1879&amp;"|"&amp;'管线现金流'!I1880&amp;"|"&amp;'管线现金流'!AK1880&amp;"|"&amp;'管线现金流'!I1881&amp;"|"&amp;'管线现金流'!AK1881&amp;"|"&amp;'管线现金流'!I1882&amp;"|"&amp;'管线现金流'!AK1882&amp;"|"&amp;'管线现金流'!I1883&amp;"|"&amp;'管线现金流'!AK1883&amp;"|"&amp;'管线现金流'!I1884&amp;"|"&amp;'管线现金流'!AK1884&amp;"|"&amp;'管线现金流'!I1885&amp;"|"&amp;'管线现金流'!AK1885&amp;"|"&amp;'管线现金流'!I1886&amp;"|"&amp;'管线现金流'!AK1886&amp;"|"&amp;'管线现金流'!I1887&amp;"|"&amp;'管线现金流'!AK1887&amp;"|"&amp;'管线现金流'!I1888&amp;"|"&amp;'管线现金流'!AK1888&amp;"|"&amp;'管线现金流'!I1889&amp;"|"&amp;'管线现金流'!AK1889&amp;"|"&amp;'管线现金流'!I1890&amp;"|"&amp;'管线现金流'!AK1890&amp;"|"&amp;'管线现金流'!I1891&amp;"|"&amp;'管线现金流'!AK1891&amp;"|"&amp;'管线现金流'!I1892&amp;"|"&amp;'管线现金流'!AK1892&amp;"|"&amp;'管线现金流'!I1893&amp;"|"&amp;'管线现金流'!AK1893&amp;"|"&amp;'管线现金流'!I1894&amp;"|"&amp;'管线现金流'!AK1894&amp;"|"&amp;'管线现金流'!I1895&amp;"|"&amp;'管线现金流'!AK1895&amp;"|"&amp;'管线现金流'!I1896&amp;"|"&amp;'管线现金流'!AK1896&amp;"|"&amp;'管线现金流'!I1897&amp;"|"&amp;'管线现金流'!AK1897&amp;"|"&amp;'管线现金流'!I1898&amp;"|"&amp;'管线现金流'!AK1898&amp;"|"&amp;'管线现金流'!I1899&amp;"|"&amp;'管线现金流'!AK1899&amp;"|"&amp;'管线现金流'!I1900&amp;"|"&amp;'管线现金流'!AK1900&amp;"|"&amp;'管线现金流'!I1901&amp;"|"&amp;'管线现金流'!AK1901&amp;"|"&amp;'管线现金流'!I1902&amp;"|"&amp;'管线现金流'!AK1902&amp;"|"&amp;'管线现金流'!I1903&amp;"|"&amp;'管线现金流'!AK1903&amp;"|"&amp;'管线现金流'!I1904&amp;"|"&amp;'管线现金流'!AK1904&amp;"|"&amp;'管线现金流'!I1905&amp;"|"&amp;'管线现金流'!AK1905&amp;"|"&amp;'管线现金流'!I1906&amp;"|"&amp;'管线现金流'!AK1906&amp;"|"&amp;'管线现金流'!I1907&amp;"|"&amp;'管线现金流'!AK1907&amp;"|"&amp;'管线现金流'!I1908&amp;"|"&amp;'管线现金流'!AK1908&amp;"|"&amp;'管线现金流'!I1909&amp;"|"&amp;'管线现金流'!AK1909&amp;"|"&amp;'管线现金流'!I1910&amp;"|"&amp;'管线现金流'!AK1910&amp;"|"&amp;'管线现金流'!I1911&amp;"|"&amp;'管线现金流'!AK1911&amp;"|"&amp;'管线现金流'!I1912&amp;"|"&amp;'管线现金流'!AK1912&amp;"|"&amp;'管线现金流'!I1913&amp;"|"&amp;'管线现金流'!AK1913&amp;"|"&amp;'管线现金流'!I1914&amp;"|"&amp;'管线现金流'!AK1914&amp;"|"&amp;'管线现金流'!I1915&amp;"|"&amp;'管线现金流'!AK1915&amp;"|"&amp;'管线现金流'!I1916&amp;"|"&amp;'管线现金流'!AK1916&amp;"|"&amp;'管线现金流'!I1917&amp;"|"&amp;'管线现金流'!AK1917&amp;"|"&amp;'管线现金流'!I1918&amp;"|"&amp;'管线现金流'!AK1918&amp;"|"&amp;'管线现金流'!I1919&amp;"|"&amp;'管线现金流'!AK1919&amp;"|"&amp;'管线现金流'!I1920&amp;"|"&amp;'管线现金流'!AK1920&amp;"|"&amp;'管线现金流'!I1921&amp;"|"&amp;'管线现金流'!AK1921&amp;"|"&amp;'管线现金流'!I1922&amp;"|"&amp;'管线现金流'!AK1922&amp;"|"&amp;'管线现金流'!I1923&amp;"|"&amp;'管线现金流'!AK1923&amp;"|"&amp;'管线现金流'!I1924&amp;"|"&amp;'管线现金流'!AK1924&amp;"|"&amp;'管线现金流'!I1925&amp;"|"&amp;'管线现金流'!AK1925&amp;"|"&amp;'管线现金流'!I1926&amp;"|"&amp;'管线现金流'!AK1926&amp;"|"&amp;'管线现金流'!I1927&amp;"|"&amp;'管线现金流'!AK1927&amp;"|"&amp;'管线现金流'!I1928&amp;"|"&amp;'管线现金流'!AK1928&amp;"|"&amp;'管线现金流'!I1929&amp;"|"&amp;'管线现金流'!AK1929&amp;"|"&amp;'管线现金流'!I1930&amp;"|"&amp;'管线现金流'!AK1930&amp;"|"&amp;'管线现金流'!I1931&amp;"|"&amp;'管线现金流'!AK1931&amp;"|"&amp;'管线现金流'!I1932&amp;"|"&amp;'管线现金流'!AK1932&amp;"|"&amp;'管线现金流'!I1933&amp;"|"&amp;'管线现金流'!AK1933&amp;"|"&amp;'管线现金流'!I1934&amp;"|"&amp;'管线现金流'!AK1934&amp;"|"&amp;'管线现金流'!I1935&amp;"|"&amp;'管线现金流'!AK1935&amp;"|"&amp;'管线现金流'!I1936&amp;"|"&amp;'管线现金流'!AK1936&amp;"|"&amp;'管线现金流'!I1937&amp;"|"&amp;'管线现金流'!AK1937&amp;"|"&amp;'管线现金流'!I1938&amp;"|"&amp;'管线现金流'!AK1938&amp;"|"&amp;'管线现金流'!I1939&amp;"|"&amp;'管线现金流'!AK1939&amp;"|"&amp;'管线现金流'!I1940&amp;"|"&amp;'管线现金流'!AK1940&amp;"|"&amp;'管线现金流'!I1941&amp;"|"&amp;'管线现金流'!AK1941&amp;"|"&amp;'管线现金流'!I1942&amp;"|"&amp;'管线现金流'!AK1942&amp;"|"&amp;'管线现金流'!I1943&amp;"|"&amp;'管线现金流'!AK1943&amp;"|"&amp;'管线现金流'!I1944&amp;"|"&amp;'管线现金流'!AK1944&amp;"|"&amp;'管线现金流'!I1945&amp;"|"&amp;'管线现金流'!AK1945&amp;"|"&amp;'管线现金流'!I1946&amp;"|"&amp;'管线现金流'!AK1946&amp;"|"&amp;'管线现金流'!I1947&amp;"|"&amp;'管线现金流'!AK1947&amp;"|"&amp;'管线现金流'!I1948&amp;"|"&amp;'管线现金流'!AK1948&amp;"|"&amp;'管线现金流'!I1949&amp;"|"&amp;'管线现金流'!AK1949&amp;"|"&amp;'管线现金流'!I1950&amp;"|"&amp;'管线现金流'!AK1950&amp;"|"&amp;'管线现金流'!I1951&amp;"|"&amp;'管线现金流'!AK1951&amp;"|"&amp;'管线现金流'!I1952&amp;"|"&amp;'管线现金流'!AK1952&amp;"|"&amp;'管线现金流'!I1953&amp;"|"&amp;'管线现金流'!AK1953&amp;"|"&amp;'管线现金流'!I1954&amp;"|"&amp;'管线现金流'!AK1954&amp;"|"&amp;'管线现金流'!I1955&amp;"|"&amp;'管线现金流'!AK1955&amp;"|"&amp;'管线现金流'!I1956&amp;"|"&amp;'管线现金流'!AK1956&amp;"|"&amp;'管线现金流'!I1957&amp;"|"&amp;'管线现金流'!AK1957&amp;"|"&amp;'管线现金流'!I1958&amp;"|"&amp;'管线现金流'!AK1958&amp;"|"&amp;'管线现金流'!I1959&amp;"|"&amp;'管线现金流'!AK1959&amp;"|"&amp;'管线现金流'!I1960&amp;"|"&amp;'管线现金流'!AK1960&amp;"|"&amp;'管线现金流'!I1961&amp;"|"&amp;'管线现金流'!AK1961&amp;"|"&amp;'管线现金流'!I1962&amp;"|"&amp;'管线现金流'!AK1962&amp;"|"&amp;'管线现金流'!I1963&amp;"|"&amp;'管线现金流'!AK1963&amp;"|"&amp;'管线现金流'!I1964&amp;"|"&amp;'管线现金流'!AK1964&amp;"|"&amp;'管线现金流'!I1965&amp;"|"&amp;'管线现金流'!AK1965&amp;"|"&amp;'管线现金流'!I1966&amp;"|"&amp;'管线现金流'!AK1966&amp;"|"&amp;'管线现金流'!I1967&amp;"|"&amp;'管线现金流'!AK1967&amp;"|"&amp;'管线现金流'!I1968&amp;"|"&amp;'管线现金流'!AK1968&amp;"|"&amp;'管线现金流'!I1969&amp;"|"&amp;'管线现金流'!AK1969&amp;"|"&amp;'管线现金流'!I1970&amp;"|"&amp;'管线现金流'!AK1970&amp;"|"&amp;'管线现金流'!I1971&amp;"|"&amp;'管线现金流'!AK1971&amp;"|"&amp;'管线现金流'!I1972&amp;"|"&amp;'管线现金流'!AK1972&amp;"|"&amp;'管线现金流'!I1973&amp;"|"&amp;'管线现金流'!AK1973&amp;"|"&amp;'管线现金流'!I1974&amp;"|"&amp;'管线现金流'!AK1974&amp;"|"&amp;'管线现金流'!I1975&amp;"|"&amp;'管线现金流'!AK1975&amp;"|"&amp;'管线现金流'!I1976&amp;"|"&amp;'管线现金流'!AK1976&amp;"|"&amp;'管线现金流'!I1977&amp;"|"&amp;'管线现金流'!AK1977&amp;"|"&amp;'管线现金流'!I1978&amp;"|"&amp;'管线现金流'!AK1978&amp;"|"&amp;'管线现金流'!I1979&amp;"|"&amp;'管线现金流'!AK1979&amp;"|"&amp;'管线现金流'!I1980&amp;"|"&amp;'管线现金流'!AK1980&amp;"|"&amp;'管线现金流'!I1981&amp;"|"&amp;'管线现金流'!AK1981&amp;"|"&amp;'管线现金流'!I1982&amp;"|"&amp;'管线现金流'!AK1982&amp;"|"&amp;'管线现金流'!I1983&amp;"|"&amp;'管线现金流'!AK1983&amp;"|"&amp;'管线现金流'!I1984&amp;"|"&amp;'管线现金流'!AK1984&amp;"|"&amp;'管线现金流'!I1985&amp;"|"&amp;'管线现金流'!AK1985&amp;"|"&amp;'管线现金流'!I1986&amp;"|"&amp;'管线现金流'!AK1986&amp;"|"&amp;'管线现金流'!I1987&amp;"|"&amp;'管线现金流'!AK1987&amp;"|"&amp;'管线现金流'!I1988&amp;"|"&amp;'管线现金流'!AK1988&amp;"|"&amp;'管线现金流'!I1989&amp;"|"&amp;'管线现金流'!AK1989&amp;"|"&amp;'管线现金流'!I1990&amp;"|"&amp;'管线现金流'!AK1990&amp;"|"&amp;'管线现金流'!I1991&amp;"|"&amp;'管线现金流'!AK1991&amp;"|"&amp;'管线现金流'!I1992&amp;"|"&amp;'管线现金流'!AK1992&amp;"|"&amp;'管线现金流'!I1993&amp;"|"&amp;'管线现金流'!AK1993&amp;"|"&amp;'管线现金流'!I1994&amp;"|"&amp;'管线现金流'!AK1994&amp;"|"&amp;'管线现金流'!I1995&amp;"|"&amp;'管线现金流'!AK1995&amp;"|"&amp;'管线现金流'!I1996&amp;"|"&amp;'管线现金流'!AK1996&amp;"|"&amp;'管线现金流'!I1997&amp;"|"&amp;'管线现金流'!AK1997&amp;"|"&amp;'管线现金流'!I1998&amp;"|"&amp;'管线现金流'!AK1998&amp;"|"&amp;'管线现金流'!I1999&amp;"|"&amp;'管线现金流'!AK1999&amp;"|"&amp;'管线现金流'!I2000&amp;"|"&amp;'管线现金流'!AK2000&amp;"|"&amp;'管线现金流'!I2001&amp;"|"&amp;'管线现金流'!AK2001&amp;"|"&amp;'管线现金流'!I2002&amp;"|"&amp;'管线现金流'!AK2002&amp;"|"&amp;'管线现金流'!I2003&amp;"|"&amp;'管线现金流'!AK2003&amp;"|"&amp;'管线现金流'!I2004&amp;"|"&amp;'管线现金流'!AK2004&amp;"|"&amp;'管线现金流'!I2005&amp;"|"&amp;'管线现金流'!AK2005&amp;"|"&amp;'管线现金流'!I2006&amp;"|"&amp;'管线现金流'!AK2006&amp;"|"&amp;'管线现金流'!I2007&amp;"|"&amp;'管线现金流'!AK2007&amp;"|"&amp;'管线现金流'!I2008&amp;"|"&amp;'管线现金流'!AK2008&amp;"|"&amp;'管线现金流'!I2009&amp;"|"&amp;'管线现金流'!AK2009&amp;"|"&amp;'管线现金流'!I2010&amp;"|"&amp;'管线现金流'!AK2010&amp;"|"&amp;'管线现金流'!I2011&amp;"|"&amp;'管线现金流'!AK2011&amp;"|"&amp;'管线现金流'!I2012&amp;"|"&amp;'管线现金流'!AK2012&amp;"|"&amp;'管线现金流'!I2013&amp;"|"&amp;'管线现金流'!AK2013&amp;"|"&amp;'管线现金流'!I2014&amp;"|"&amp;'管线现金流'!AK2014&amp;"|"&amp;'管线现金流'!I2015&amp;"|"&amp;'管线现金流'!AK2015&amp;"|"&amp;'管线现金流'!I2016&amp;"|"&amp;'管线现金流'!AK2016&amp;"|"&amp;'管线现金流'!I2017&amp;"|"&amp;'管线现金流'!AK2017&amp;"|"&amp;'管线现金流'!I2018&amp;"|"&amp;'管线现金流'!AK2018&amp;"|"&amp;'管线现金流'!I2019&amp;"|"&amp;'管线现金流'!AK2019&amp;"|"&amp;'管线现金流'!I2020&amp;"|"&amp;'管线现金流'!AK2020&amp;"|"&amp;'管线现金流'!I2021&amp;"|"&amp;'管线现金流'!AK2021&amp;"|"&amp;'管线现金流'!I2022&amp;"|"&amp;'管线现金流'!AK2022&amp;"|"&amp;'管线现金流'!I2023&amp;"|"&amp;'管线现金流'!AK2023&amp;"|"&amp;'管线现金流'!I2024&amp;"|"&amp;'管线现金流'!AK2024&amp;"|"&amp;'管线现金流'!I2025&amp;"|"&amp;'管线现金流'!AK2025&amp;"|"&amp;'管线现金流'!I2026&amp;"|"&amp;'管线现金流'!AK2026&amp;"|"&amp;'管线现金流'!I2027&amp;"|"&amp;'管线现金流'!AK2027&amp;"|"&amp;'管线现金流'!I2028&amp;"|"&amp;'管线现金流'!AK2028&amp;"|"&amp;'管线现金流'!I2029&amp;"|"&amp;'管线现金流'!AK2029&amp;"|"&amp;'管线现金流'!I2030&amp;"|"&amp;'管线现金流'!AK2030&amp;"|"&amp;'管线现金流'!I2031&amp;"|"&amp;'管线现金流'!AK2031&amp;"|"&amp;'管线现金流'!I2032&amp;"|"&amp;'管线现金流'!AK2032&amp;"|"&amp;'管线现金流'!I2033&amp;"|"&amp;'管线现金流'!AK2033&amp;"|"&amp;'管线现金流'!I2034&amp;"|"&amp;'管线现金流'!AK2034&amp;"|"&amp;'管线现金流'!I2035&amp;"|"&amp;'管线现金流'!AK2035&amp;"|"&amp;'管线现金流'!I2036&amp;"|"&amp;'管线现金流'!AK2036&amp;"|"&amp;'管线现金流'!I2037&amp;"|"&amp;'管线现金流'!AK2037&amp;"|"&amp;'管线现金流'!I2038&amp;"|"&amp;'管线现金流'!AK2038&amp;"|"&amp;'管线现金流'!I2039&amp;"|"&amp;'管线现金流'!AK2039&amp;"|"&amp;'管线现金流'!I2040&amp;"|"&amp;'管线现金流'!AK2040&amp;"|"&amp;'管线现金流'!I2041&amp;"|"&amp;'管线现金流'!AK2041&amp;"|"&amp;'管线现金流'!I2042&amp;"|"&amp;'管线现金流'!AK2042&amp;"|"&amp;'管线现金流'!I2043&amp;"|"&amp;'管线现金流'!AK2043&amp;"|"&amp;'管线现金流'!I2044&amp;"|"&amp;'管线现金流'!AK2044&amp;"|"&amp;'管线现金流'!I2045&amp;"|"&amp;'管线现金流'!AK2045&amp;"|"&amp;'管线现金流'!I2046&amp;"|"&amp;'管线现金流'!AK2046&amp;"|"&amp;'管线现金流'!I2047&amp;"|"&amp;'管线现金流'!AK2047&amp;"|"&amp;'管线现金流'!I2048&amp;"|"&amp;'管线现金流'!AK2048&amp;"|"&amp;'管线现金流'!I2049&amp;"|"&amp;'管线现金流'!AK2049&amp;"|"&amp;'管线现金流'!I2050&amp;"|"&amp;'管线现金流'!AK2050&amp;"|"&amp;'管线现金流'!I2051&amp;"|"&amp;'管线现金流'!AK2051&amp;"|"&amp;'管线现金流'!I2052&amp;"|"&amp;'管线现金流'!AK2052&amp;"|"&amp;'管线现金流'!I2053&amp;"|"&amp;'管线现金流'!AK2053&amp;"|"&amp;'管线现金流'!I2054&amp;"|"&amp;'管线现金流'!AK2054&amp;"|"&amp;'管线现金流'!I2055&amp;"|"&amp;'管线现金流'!AK2055&amp;"|"&amp;'管线现金流'!I2056&amp;"|"&amp;'管线现金流'!AK2056&amp;"|"&amp;'管线现金流'!I2057&amp;"|"&amp;'管线现金流'!AK2057&amp;"|"&amp;'管线现金流'!I2058&amp;"|"&amp;'管线现金流'!AK2058&amp;"|"&amp;'管线现金流'!I2059&amp;"|"&amp;'管线现金流'!AK2059&amp;"|"&amp;'管线现金流'!I2060&amp;"|"&amp;'管线现金流'!AK2060&amp;"|"&amp;'管线现金流'!I2061&amp;"|"&amp;'管线现金流'!AK2061&amp;"|"&amp;'管线现金流'!I2062&amp;"|"&amp;'管线现金流'!AK2062&amp;"|"&amp;'管线现金流'!I2063&amp;"|"&amp;'管线现金流'!AK2063&amp;"|"&amp;'管线现金流'!I2064&amp;"|"&amp;'管线现金流'!AK2064&amp;"|"&amp;'管线现金流'!I2065&amp;"|"&amp;'管线现金流'!AK2065&amp;"|"&amp;'管线现金流'!I2066&amp;"|"&amp;'管线现金流'!AK2066&amp;"|"&amp;'管线现金流'!I2067&amp;"|"&amp;'管线现金流'!AK2067&amp;"|"&amp;'管线现金流'!I2068&amp;"|"&amp;'管线现金流'!AK2068&amp;"|"&amp;'管线现金流'!I2069&amp;"|"&amp;'管线现金流'!AK2069&amp;"|"&amp;'管线现金流'!I2070&amp;"|"&amp;'管线现金流'!AK2070&amp;"|"&amp;'管线现金流'!I2071&amp;"|"&amp;'管线现金流'!AK2071&amp;"|"&amp;'管线现金流'!I2072&amp;"|"&amp;'管线现金流'!AK2072&amp;"|"&amp;'管线现金流'!I2073&amp;"|"&amp;'管线现金流'!AK2073&amp;"|"&amp;'管线现金流'!I2074&amp;"|"&amp;'管线现金流'!AK2074&amp;"|"&amp;'管线现金流'!I2075&amp;"|"&amp;'管线现金流'!AK2075&amp;"|"&amp;'管线现金流'!I2076&amp;"|"&amp;'管线现金流'!AK2076&amp;"|"&amp;'管线现金流'!I2077&amp;"|"&amp;'管线现金流'!AK2077&amp;"|"&amp;'管线现金流'!I2078&amp;"|"&amp;'管线现金流'!AK2078&amp;"|"&amp;'管线现金流'!I2079&amp;"|"&amp;'管线现金流'!AK2079&amp;"|"&amp;'管线现金流'!I2080&amp;"|"&amp;'管线现金流'!AK2080&amp;"|"&amp;'管线现金流'!I2081&amp;"|"&amp;'管线现金流'!AK2081&amp;"|"&amp;'管线现金流'!I2082&amp;"|"&amp;'管线现金流'!AK2082&amp;"|"&amp;'管线现金流'!I2083&amp;"|"&amp;'管线现金流'!AK2083&amp;"|"&amp;'管线现金流'!I2084&amp;"|"&amp;'管线现金流'!AK2084&amp;"|"&amp;'管线现金流'!I2085&amp;"|"&amp;'管线现金流'!AK2085&amp;"|"&amp;'管线现金流'!I2086&amp;"|"&amp;'管线现金流'!AK2086&amp;"|"&amp;'管线现金流'!I2087&amp;"|"&amp;'管线现金流'!AK2087</x:f>
        <x:v>1|0.8|0.75|1|0.25|1|0.14|6.8|0.5599999999999999|0.25|1|0.14|6.8|0.3759999999999999|0.23|1|0.14|6.8|0.31999999999999995|0.0738|1|0.14|6.8|0.29599999999999993|0.23|1|0.14|6.8|0.2799999999999999|0.0738|1|0.14|6.8|0.504|0.25|1|0.14|6.8|0.3999999999999999|0.0738|1|0.14|6.8|0.31999999999999995|0.18|1|0.14|6.8|0.2799999999999999|0.0656|1|0.14|6.8|0.248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</x:row>
    <x:row r="318" ht="23" customHeight="1">
      <x:c r="A318" s="11" t="str">
        <x:v>688302.SH</x:v>
      </x:c>
      <x:c r="B318" s="11" t="str">
        <x:v>海创药业</x:v>
      </x:c>
      <x:c r="C318" s="11" t="str">
        <x:v>三年</x:v>
      </x:c>
      <x:c r="D318" s="11" t="str">
        <x:v>乐观</x:v>
      </x:c>
      <x:c r="E318" s="11" t="n">
        <x:v>32.09</x:v>
      </x:c>
      <x:c r="F318" s="11" t="n">
        <x:v>351.28075324748795</x:v>
      </x:c>
      <x:c r="G318" s="11" t="n">
        <x:v>0</x:v>
      </x:c>
      <x:c r="H318" s="25" t="n">
        <x:v>9.946735844421562</x:v>
      </x:c>
      <x:c r="I318" s="25" t="n">
        <x:v>9.946735844421562</x:v>
      </x:c>
      <x:c r="J318" s="25" t="n">
        <x:v>1.2203846318665366</x:v>
      </x:c>
      <x:c r="K318" s="11" t="n">
        <x:v>0</x:v>
      </x:c>
      <x:c r="L318" s="11" t="n">
        <x:v>0</x:v>
      </x:c>
      <x:c r="M318" s="11" t="n">
        <x:v>1</x:v>
      </x:c>
      <x:c r="N318" s="11" t="n">
        <x:v>0</x:v>
      </x:c>
      <x:c r="O318" s="11" t="n">
        <x:v>0</x:v>
      </x:c>
      <x:c r="P318" s="11" t="n">
        <x:v>0</x:v>
      </x:c>
      <x:c r="Q318" s="11" t="n">
        <x:v>0.11</x:v>
      </x:c>
      <x:c r="R318" s="11" t="str">
        <x:v>hinova-rnpv-v1.0</x:v>
      </x:c>
      <x:c r="S318" s="11" t="str">
        <x:v>2026-10-10</x:v>
      </x:c>
      <x:c r="T318" s="11" t="str">
        <x:f>IF(AND(SUM(IF(K318='假设'!E422,0,1),IF(L318='假设'!F422,0,1),IF(M318='假设'!G422,0,1),IF(N318='假设'!H422,0,1),IF(O318='假设'!I422,0,1),IF(P318='假设'!J422,0,1),IF(Q318='假设'!K422,0,1))=0,U318=V318),"已刷新","待刷新")</x:f>
        <x:v>已刷新</x:v>
      </x:c>
      <x:c r="U318" t="str">
        <x:v>1|1.4|1.3|1|0.35|1|0.105|6.8|0.82|0.35|1|0.105|6.8|0.6699999999999999|0.33|1|0.105|6.8|0.61|0.102|1|0.105|6.8|0.5800000000000001|0.33|1|0.105|6.8|0.55|0.102|1|0.105|6.8|0.76|0.35|1|0.105|6.8|0.7|0.102|1|0.105|6.8|0.61|0.28|1|0.105|6.8|0.55|0.0935|1|0.105|6.8|0.508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  <x:c r="V318" t="str">
        <x:f>'假设'!U422&amp;"|"&amp;'假设'!N422&amp;"|"&amp;'假设'!Q422&amp;"|"&amp;'管线假设'!E422&amp;"|"&amp;'管线假设'!F422&amp;"|"&amp;'管线假设'!G422&amp;"|"&amp;'管线假设'!H422&amp;"|"&amp;'管线假设'!I422&amp;"|"&amp;'管线假设'!E426&amp;"|"&amp;'管线假设'!F426&amp;"|"&amp;'管线假设'!G426&amp;"|"&amp;'管线假设'!H426&amp;"|"&amp;'管线假设'!I426&amp;"|"&amp;'管线假设'!E430&amp;"|"&amp;'管线假设'!F430&amp;"|"&amp;'管线假设'!G430&amp;"|"&amp;'管线假设'!H430&amp;"|"&amp;'管线假设'!I430&amp;"|"&amp;'管线假设'!E434&amp;"|"&amp;'管线假设'!F434&amp;"|"&amp;'管线假设'!G434&amp;"|"&amp;'管线假设'!H434&amp;"|"&amp;'管线假设'!I434&amp;"|"&amp;'管线假设'!E438&amp;"|"&amp;'管线假设'!F438&amp;"|"&amp;'管线假设'!G438&amp;"|"&amp;'管线假设'!H438&amp;"|"&amp;'管线假设'!I438&amp;"|"&amp;'管线假设'!E442&amp;"|"&amp;'管线假设'!F442&amp;"|"&amp;'管线假设'!G442&amp;"|"&amp;'管线假设'!H442&amp;"|"&amp;'管线假设'!I442&amp;"|"&amp;'管线假设'!E446&amp;"|"&amp;'管线假设'!F446&amp;"|"&amp;'管线假设'!G446&amp;"|"&amp;'管线假设'!H446&amp;"|"&amp;'管线假设'!I446&amp;"|"&amp;'管线假设'!E450&amp;"|"&amp;'管线假设'!F450&amp;"|"&amp;'管线假设'!G450&amp;"|"&amp;'管线假设'!H450&amp;"|"&amp;'管线假设'!I450&amp;"|"&amp;'管线假设'!E454&amp;"|"&amp;'管线假设'!F454&amp;"|"&amp;'管线假设'!G454&amp;"|"&amp;'管线假设'!H454&amp;"|"&amp;'管线假设'!I454&amp;"|"&amp;'管线假设'!E458&amp;"|"&amp;'管线假设'!F458&amp;"|"&amp;'管线假设'!G458&amp;"|"&amp;'管线假设'!H458&amp;"|"&amp;'管线假设'!I458&amp;"|"&amp;'管线假设'!E462&amp;"|"&amp;'管线假设'!F462&amp;"|"&amp;'管线假设'!G462&amp;"|"&amp;'管线假设'!H462&amp;"|"&amp;'管线假设'!I462&amp;"|"&amp;'管线现金流'!J1879&amp;"|"&amp;'管线现金流'!AL1879&amp;"|"&amp;'管线现金流'!J1880&amp;"|"&amp;'管线现金流'!AL1880&amp;"|"&amp;'管线现金流'!J1881&amp;"|"&amp;'管线现金流'!AL1881&amp;"|"&amp;'管线现金流'!J1882&amp;"|"&amp;'管线现金流'!AL1882&amp;"|"&amp;'管线现金流'!J1883&amp;"|"&amp;'管线现金流'!AL1883&amp;"|"&amp;'管线现金流'!J1884&amp;"|"&amp;'管线现金流'!AL1884&amp;"|"&amp;'管线现金流'!J1885&amp;"|"&amp;'管线现金流'!AL1885&amp;"|"&amp;'管线现金流'!J1886&amp;"|"&amp;'管线现金流'!AL1886&amp;"|"&amp;'管线现金流'!J1887&amp;"|"&amp;'管线现金流'!AL1887&amp;"|"&amp;'管线现金流'!J1888&amp;"|"&amp;'管线现金流'!AL1888&amp;"|"&amp;'管线现金流'!J1889&amp;"|"&amp;'管线现金流'!AL1889&amp;"|"&amp;'管线现金流'!J1890&amp;"|"&amp;'管线现金流'!AL1890&amp;"|"&amp;'管线现金流'!J1891&amp;"|"&amp;'管线现金流'!AL1891&amp;"|"&amp;'管线现金流'!J1892&amp;"|"&amp;'管线现金流'!AL1892&amp;"|"&amp;'管线现金流'!J1893&amp;"|"&amp;'管线现金流'!AL1893&amp;"|"&amp;'管线现金流'!J1894&amp;"|"&amp;'管线现金流'!AL1894&amp;"|"&amp;'管线现金流'!J1895&amp;"|"&amp;'管线现金流'!AL1895&amp;"|"&amp;'管线现金流'!J1896&amp;"|"&amp;'管线现金流'!AL1896&amp;"|"&amp;'管线现金流'!J1897&amp;"|"&amp;'管线现金流'!AL1897&amp;"|"&amp;'管线现金流'!J1898&amp;"|"&amp;'管线现金流'!AL1898&amp;"|"&amp;'管线现金流'!J1899&amp;"|"&amp;'管线现金流'!AL1899&amp;"|"&amp;'管线现金流'!J1900&amp;"|"&amp;'管线现金流'!AL1900&amp;"|"&amp;'管线现金流'!J1901&amp;"|"&amp;'管线现金流'!AL1901&amp;"|"&amp;'管线现金流'!J1902&amp;"|"&amp;'管线现金流'!AL1902&amp;"|"&amp;'管线现金流'!J1903&amp;"|"&amp;'管线现金流'!AL1903&amp;"|"&amp;'管线现金流'!J1904&amp;"|"&amp;'管线现金流'!AL1904&amp;"|"&amp;'管线现金流'!J1905&amp;"|"&amp;'管线现金流'!AL1905&amp;"|"&amp;'管线现金流'!J1906&amp;"|"&amp;'管线现金流'!AL1906&amp;"|"&amp;'管线现金流'!J1907&amp;"|"&amp;'管线现金流'!AL1907&amp;"|"&amp;'管线现金流'!J1908&amp;"|"&amp;'管线现金流'!AL1908&amp;"|"&amp;'管线现金流'!J1909&amp;"|"&amp;'管线现金流'!AL1909&amp;"|"&amp;'管线现金流'!J1910&amp;"|"&amp;'管线现金流'!AL1910&amp;"|"&amp;'管线现金流'!J1911&amp;"|"&amp;'管线现金流'!AL1911&amp;"|"&amp;'管线现金流'!J1912&amp;"|"&amp;'管线现金流'!AL1912&amp;"|"&amp;'管线现金流'!J1913&amp;"|"&amp;'管线现金流'!AL1913&amp;"|"&amp;'管线现金流'!J1914&amp;"|"&amp;'管线现金流'!AL1914&amp;"|"&amp;'管线现金流'!J1915&amp;"|"&amp;'管线现金流'!AL1915&amp;"|"&amp;'管线现金流'!J1916&amp;"|"&amp;'管线现金流'!AL1916&amp;"|"&amp;'管线现金流'!J1917&amp;"|"&amp;'管线现金流'!AL1917&amp;"|"&amp;'管线现金流'!J1918&amp;"|"&amp;'管线现金流'!AL1918&amp;"|"&amp;'管线现金流'!J1919&amp;"|"&amp;'管线现金流'!AL1919&amp;"|"&amp;'管线现金流'!J1920&amp;"|"&amp;'管线现金流'!AL1920&amp;"|"&amp;'管线现金流'!J1921&amp;"|"&amp;'管线现金流'!AL1921&amp;"|"&amp;'管线现金流'!J1922&amp;"|"&amp;'管线现金流'!AL1922&amp;"|"&amp;'管线现金流'!J1923&amp;"|"&amp;'管线现金流'!AL1923&amp;"|"&amp;'管线现金流'!J1924&amp;"|"&amp;'管线现金流'!AL1924&amp;"|"&amp;'管线现金流'!J1925&amp;"|"&amp;'管线现金流'!AL1925&amp;"|"&amp;'管线现金流'!J1926&amp;"|"&amp;'管线现金流'!AL1926&amp;"|"&amp;'管线现金流'!J1927&amp;"|"&amp;'管线现金流'!AL1927&amp;"|"&amp;'管线现金流'!J1928&amp;"|"&amp;'管线现金流'!AL1928&amp;"|"&amp;'管线现金流'!J1929&amp;"|"&amp;'管线现金流'!AL1929&amp;"|"&amp;'管线现金流'!J1930&amp;"|"&amp;'管线现金流'!AL1930&amp;"|"&amp;'管线现金流'!J1931&amp;"|"&amp;'管线现金流'!AL1931&amp;"|"&amp;'管线现金流'!J1932&amp;"|"&amp;'管线现金流'!AL1932&amp;"|"&amp;'管线现金流'!J1933&amp;"|"&amp;'管线现金流'!AL1933&amp;"|"&amp;'管线现金流'!J1934&amp;"|"&amp;'管线现金流'!AL1934&amp;"|"&amp;'管线现金流'!J1935&amp;"|"&amp;'管线现金流'!AL1935&amp;"|"&amp;'管线现金流'!J1936&amp;"|"&amp;'管线现金流'!AL1936&amp;"|"&amp;'管线现金流'!J1937&amp;"|"&amp;'管线现金流'!AL1937&amp;"|"&amp;'管线现金流'!J1938&amp;"|"&amp;'管线现金流'!AL1938&amp;"|"&amp;'管线现金流'!J1939&amp;"|"&amp;'管线现金流'!AL1939&amp;"|"&amp;'管线现金流'!J1940&amp;"|"&amp;'管线现金流'!AL1940&amp;"|"&amp;'管线现金流'!J1941&amp;"|"&amp;'管线现金流'!AL1941&amp;"|"&amp;'管线现金流'!J1942&amp;"|"&amp;'管线现金流'!AL1942&amp;"|"&amp;'管线现金流'!J1943&amp;"|"&amp;'管线现金流'!AL1943&amp;"|"&amp;'管线现金流'!J1944&amp;"|"&amp;'管线现金流'!AL1944&amp;"|"&amp;'管线现金流'!J1945&amp;"|"&amp;'管线现金流'!AL1945&amp;"|"&amp;'管线现金流'!J1946&amp;"|"&amp;'管线现金流'!AL1946&amp;"|"&amp;'管线现金流'!J1947&amp;"|"&amp;'管线现金流'!AL1947&amp;"|"&amp;'管线现金流'!J1948&amp;"|"&amp;'管线现金流'!AL1948&amp;"|"&amp;'管线现金流'!J1949&amp;"|"&amp;'管线现金流'!AL1949&amp;"|"&amp;'管线现金流'!J1950&amp;"|"&amp;'管线现金流'!AL1950&amp;"|"&amp;'管线现金流'!J1951&amp;"|"&amp;'管线现金流'!AL1951&amp;"|"&amp;'管线现金流'!J1952&amp;"|"&amp;'管线现金流'!AL1952&amp;"|"&amp;'管线现金流'!J1953&amp;"|"&amp;'管线现金流'!AL1953&amp;"|"&amp;'管线现金流'!J1954&amp;"|"&amp;'管线现金流'!AL1954&amp;"|"&amp;'管线现金流'!J1955&amp;"|"&amp;'管线现金流'!AL1955&amp;"|"&amp;'管线现金流'!J1956&amp;"|"&amp;'管线现金流'!AL1956&amp;"|"&amp;'管线现金流'!J1957&amp;"|"&amp;'管线现金流'!AL1957&amp;"|"&amp;'管线现金流'!J1958&amp;"|"&amp;'管线现金流'!AL1958&amp;"|"&amp;'管线现金流'!J1959&amp;"|"&amp;'管线现金流'!AL1959&amp;"|"&amp;'管线现金流'!J1960&amp;"|"&amp;'管线现金流'!AL1960&amp;"|"&amp;'管线现金流'!J1961&amp;"|"&amp;'管线现金流'!AL1961&amp;"|"&amp;'管线现金流'!J1962&amp;"|"&amp;'管线现金流'!AL1962&amp;"|"&amp;'管线现金流'!J1963&amp;"|"&amp;'管线现金流'!AL1963&amp;"|"&amp;'管线现金流'!J1964&amp;"|"&amp;'管线现金流'!AL1964&amp;"|"&amp;'管线现金流'!J1965&amp;"|"&amp;'管线现金流'!AL1965&amp;"|"&amp;'管线现金流'!J1966&amp;"|"&amp;'管线现金流'!AL1966&amp;"|"&amp;'管线现金流'!J1967&amp;"|"&amp;'管线现金流'!AL1967&amp;"|"&amp;'管线现金流'!J1968&amp;"|"&amp;'管线现金流'!AL1968&amp;"|"&amp;'管线现金流'!J1969&amp;"|"&amp;'管线现金流'!AL1969&amp;"|"&amp;'管线现金流'!J1970&amp;"|"&amp;'管线现金流'!AL1970&amp;"|"&amp;'管线现金流'!J1971&amp;"|"&amp;'管线现金流'!AL1971&amp;"|"&amp;'管线现金流'!J1972&amp;"|"&amp;'管线现金流'!AL1972&amp;"|"&amp;'管线现金流'!J1973&amp;"|"&amp;'管线现金流'!AL1973&amp;"|"&amp;'管线现金流'!J1974&amp;"|"&amp;'管线现金流'!AL1974&amp;"|"&amp;'管线现金流'!J1975&amp;"|"&amp;'管线现金流'!AL1975&amp;"|"&amp;'管线现金流'!J1976&amp;"|"&amp;'管线现金流'!AL1976&amp;"|"&amp;'管线现金流'!J1977&amp;"|"&amp;'管线现金流'!AL1977&amp;"|"&amp;'管线现金流'!J1978&amp;"|"&amp;'管线现金流'!AL1978&amp;"|"&amp;'管线现金流'!J1979&amp;"|"&amp;'管线现金流'!AL1979&amp;"|"&amp;'管线现金流'!J1980&amp;"|"&amp;'管线现金流'!AL1980&amp;"|"&amp;'管线现金流'!J1981&amp;"|"&amp;'管线现金流'!AL1981&amp;"|"&amp;'管线现金流'!J1982&amp;"|"&amp;'管线现金流'!AL1982&amp;"|"&amp;'管线现金流'!J1983&amp;"|"&amp;'管线现金流'!AL1983&amp;"|"&amp;'管线现金流'!J1984&amp;"|"&amp;'管线现金流'!AL1984&amp;"|"&amp;'管线现金流'!J1985&amp;"|"&amp;'管线现金流'!AL1985&amp;"|"&amp;'管线现金流'!J1986&amp;"|"&amp;'管线现金流'!AL1986&amp;"|"&amp;'管线现金流'!J1987&amp;"|"&amp;'管线现金流'!AL1987&amp;"|"&amp;'管线现金流'!J1988&amp;"|"&amp;'管线现金流'!AL1988&amp;"|"&amp;'管线现金流'!J1989&amp;"|"&amp;'管线现金流'!AL1989&amp;"|"&amp;'管线现金流'!J1990&amp;"|"&amp;'管线现金流'!AL1990&amp;"|"&amp;'管线现金流'!J1991&amp;"|"&amp;'管线现金流'!AL1991&amp;"|"&amp;'管线现金流'!J1992&amp;"|"&amp;'管线现金流'!AL1992&amp;"|"&amp;'管线现金流'!J1993&amp;"|"&amp;'管线现金流'!AL1993&amp;"|"&amp;'管线现金流'!J1994&amp;"|"&amp;'管线现金流'!AL1994&amp;"|"&amp;'管线现金流'!J1995&amp;"|"&amp;'管线现金流'!AL1995&amp;"|"&amp;'管线现金流'!J1996&amp;"|"&amp;'管线现金流'!AL1996&amp;"|"&amp;'管线现金流'!J1997&amp;"|"&amp;'管线现金流'!AL1997&amp;"|"&amp;'管线现金流'!J1998&amp;"|"&amp;'管线现金流'!AL1998&amp;"|"&amp;'管线现金流'!J1999&amp;"|"&amp;'管线现金流'!AL1999&amp;"|"&amp;'管线现金流'!J2000&amp;"|"&amp;'管线现金流'!AL2000&amp;"|"&amp;'管线现金流'!J2001&amp;"|"&amp;'管线现金流'!AL2001&amp;"|"&amp;'管线现金流'!J2002&amp;"|"&amp;'管线现金流'!AL2002&amp;"|"&amp;'管线现金流'!J2003&amp;"|"&amp;'管线现金流'!AL2003&amp;"|"&amp;'管线现金流'!J2004&amp;"|"&amp;'管线现金流'!AL2004&amp;"|"&amp;'管线现金流'!J2005&amp;"|"&amp;'管线现金流'!AL2005&amp;"|"&amp;'管线现金流'!J2006&amp;"|"&amp;'管线现金流'!AL2006&amp;"|"&amp;'管线现金流'!J2007&amp;"|"&amp;'管线现金流'!AL2007&amp;"|"&amp;'管线现金流'!J2008&amp;"|"&amp;'管线现金流'!AL2008&amp;"|"&amp;'管线现金流'!J2009&amp;"|"&amp;'管线现金流'!AL2009&amp;"|"&amp;'管线现金流'!J2010&amp;"|"&amp;'管线现金流'!AL2010&amp;"|"&amp;'管线现金流'!J2011&amp;"|"&amp;'管线现金流'!AL2011&amp;"|"&amp;'管线现金流'!J2012&amp;"|"&amp;'管线现金流'!AL2012&amp;"|"&amp;'管线现金流'!J2013&amp;"|"&amp;'管线现金流'!AL2013&amp;"|"&amp;'管线现金流'!J2014&amp;"|"&amp;'管线现金流'!AL2014&amp;"|"&amp;'管线现金流'!J2015&amp;"|"&amp;'管线现金流'!AL2015&amp;"|"&amp;'管线现金流'!J2016&amp;"|"&amp;'管线现金流'!AL2016&amp;"|"&amp;'管线现金流'!J2017&amp;"|"&amp;'管线现金流'!AL2017&amp;"|"&amp;'管线现金流'!J2018&amp;"|"&amp;'管线现金流'!AL2018&amp;"|"&amp;'管线现金流'!J2019&amp;"|"&amp;'管线现金流'!AL2019&amp;"|"&amp;'管线现金流'!J2020&amp;"|"&amp;'管线现金流'!AL2020&amp;"|"&amp;'管线现金流'!J2021&amp;"|"&amp;'管线现金流'!AL2021&amp;"|"&amp;'管线现金流'!J2022&amp;"|"&amp;'管线现金流'!AL2022&amp;"|"&amp;'管线现金流'!J2023&amp;"|"&amp;'管线现金流'!AL2023&amp;"|"&amp;'管线现金流'!J2024&amp;"|"&amp;'管线现金流'!AL2024&amp;"|"&amp;'管线现金流'!J2025&amp;"|"&amp;'管线现金流'!AL2025&amp;"|"&amp;'管线现金流'!J2026&amp;"|"&amp;'管线现金流'!AL2026&amp;"|"&amp;'管线现金流'!J2027&amp;"|"&amp;'管线现金流'!AL2027&amp;"|"&amp;'管线现金流'!J2028&amp;"|"&amp;'管线现金流'!AL2028&amp;"|"&amp;'管线现金流'!J2029&amp;"|"&amp;'管线现金流'!AL2029&amp;"|"&amp;'管线现金流'!J2030&amp;"|"&amp;'管线现金流'!AL2030&amp;"|"&amp;'管线现金流'!J2031&amp;"|"&amp;'管线现金流'!AL2031&amp;"|"&amp;'管线现金流'!J2032&amp;"|"&amp;'管线现金流'!AL2032&amp;"|"&amp;'管线现金流'!J2033&amp;"|"&amp;'管线现金流'!AL2033&amp;"|"&amp;'管线现金流'!J2034&amp;"|"&amp;'管线现金流'!AL2034&amp;"|"&amp;'管线现金流'!J2035&amp;"|"&amp;'管线现金流'!AL2035&amp;"|"&amp;'管线现金流'!J2036&amp;"|"&amp;'管线现金流'!AL2036&amp;"|"&amp;'管线现金流'!J2037&amp;"|"&amp;'管线现金流'!AL2037&amp;"|"&amp;'管线现金流'!J2038&amp;"|"&amp;'管线现金流'!AL2038&amp;"|"&amp;'管线现金流'!J2039&amp;"|"&amp;'管线现金流'!AL2039&amp;"|"&amp;'管线现金流'!J2040&amp;"|"&amp;'管线现金流'!AL2040&amp;"|"&amp;'管线现金流'!J2041&amp;"|"&amp;'管线现金流'!AL2041&amp;"|"&amp;'管线现金流'!J2042&amp;"|"&amp;'管线现金流'!AL2042&amp;"|"&amp;'管线现金流'!J2043&amp;"|"&amp;'管线现金流'!AL2043&amp;"|"&amp;'管线现金流'!J2044&amp;"|"&amp;'管线现金流'!AL2044&amp;"|"&amp;'管线现金流'!J2045&amp;"|"&amp;'管线现金流'!AL2045&amp;"|"&amp;'管线现金流'!J2046&amp;"|"&amp;'管线现金流'!AL2046&amp;"|"&amp;'管线现金流'!J2047&amp;"|"&amp;'管线现金流'!AL2047&amp;"|"&amp;'管线现金流'!J2048&amp;"|"&amp;'管线现金流'!AL2048&amp;"|"&amp;'管线现金流'!J2049&amp;"|"&amp;'管线现金流'!AL2049&amp;"|"&amp;'管线现金流'!J2050&amp;"|"&amp;'管线现金流'!AL2050&amp;"|"&amp;'管线现金流'!J2051&amp;"|"&amp;'管线现金流'!AL2051&amp;"|"&amp;'管线现金流'!J2052&amp;"|"&amp;'管线现金流'!AL2052&amp;"|"&amp;'管线现金流'!J2053&amp;"|"&amp;'管线现金流'!AL2053&amp;"|"&amp;'管线现金流'!J2054&amp;"|"&amp;'管线现金流'!AL2054&amp;"|"&amp;'管线现金流'!J2055&amp;"|"&amp;'管线现金流'!AL2055&amp;"|"&amp;'管线现金流'!J2056&amp;"|"&amp;'管线现金流'!AL2056&amp;"|"&amp;'管线现金流'!J2057&amp;"|"&amp;'管线现金流'!AL2057&amp;"|"&amp;'管线现金流'!J2058&amp;"|"&amp;'管线现金流'!AL2058&amp;"|"&amp;'管线现金流'!J2059&amp;"|"&amp;'管线现金流'!AL2059&amp;"|"&amp;'管线现金流'!J2060&amp;"|"&amp;'管线现金流'!AL2060&amp;"|"&amp;'管线现金流'!J2061&amp;"|"&amp;'管线现金流'!AL2061&amp;"|"&amp;'管线现金流'!J2062&amp;"|"&amp;'管线现金流'!AL2062&amp;"|"&amp;'管线现金流'!J2063&amp;"|"&amp;'管线现金流'!AL2063&amp;"|"&amp;'管线现金流'!J2064&amp;"|"&amp;'管线现金流'!AL2064&amp;"|"&amp;'管线现金流'!J2065&amp;"|"&amp;'管线现金流'!AL2065&amp;"|"&amp;'管线现金流'!J2066&amp;"|"&amp;'管线现金流'!AL2066&amp;"|"&amp;'管线现金流'!J2067&amp;"|"&amp;'管线现金流'!AL2067&amp;"|"&amp;'管线现金流'!J2068&amp;"|"&amp;'管线现金流'!AL2068&amp;"|"&amp;'管线现金流'!J2069&amp;"|"&amp;'管线现金流'!AL2069&amp;"|"&amp;'管线现金流'!J2070&amp;"|"&amp;'管线现金流'!AL2070&amp;"|"&amp;'管线现金流'!J2071&amp;"|"&amp;'管线现金流'!AL2071&amp;"|"&amp;'管线现金流'!J2072&amp;"|"&amp;'管线现金流'!AL2072&amp;"|"&amp;'管线现金流'!J2073&amp;"|"&amp;'管线现金流'!AL2073&amp;"|"&amp;'管线现金流'!J2074&amp;"|"&amp;'管线现金流'!AL2074&amp;"|"&amp;'管线现金流'!J2075&amp;"|"&amp;'管线现金流'!AL2075&amp;"|"&amp;'管线现金流'!J2076&amp;"|"&amp;'管线现金流'!AL2076&amp;"|"&amp;'管线现金流'!J2077&amp;"|"&amp;'管线现金流'!AL2077&amp;"|"&amp;'管线现金流'!J2078&amp;"|"&amp;'管线现金流'!AL2078&amp;"|"&amp;'管线现金流'!J2079&amp;"|"&amp;'管线现金流'!AL2079&amp;"|"&amp;'管线现金流'!J2080&amp;"|"&amp;'管线现金流'!AL2080&amp;"|"&amp;'管线现金流'!J2081&amp;"|"&amp;'管线现金流'!AL2081&amp;"|"&amp;'管线现金流'!J2082&amp;"|"&amp;'管线现金流'!AL2082&amp;"|"&amp;'管线现金流'!J2083&amp;"|"&amp;'管线现金流'!AL2083&amp;"|"&amp;'管线现金流'!J2084&amp;"|"&amp;'管线现金流'!AL2084&amp;"|"&amp;'管线现金流'!J2085&amp;"|"&amp;'管线现金流'!AL2085&amp;"|"&amp;'管线现金流'!J2086&amp;"|"&amp;'管线现金流'!AL2086&amp;"|"&amp;'管线现金流'!J2087&amp;"|"&amp;'管线现金流'!AL2087</x:f>
        <x:v>1|1.4|1.3|1|0.35|1|0.105|6.8|0.82|0.35|1|0.105|6.8|0.6699999999999999|0.33|1|0.105|6.8|0.61|0.102|1|0.105|6.8|0.5800000000000001|0.33|1|0.105|6.8|0.55|0.102|1|0.105|6.8|0.76|0.35|1|0.105|6.8|0.7|0.102|1|0.105|6.8|0.61|0.28|1|0.105|6.8|0.55|0.0935|1|0.105|6.8|0.508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</x:row>
    <x:row r="319" ht="23" customHeight="1">
      <x:c r="A319" s="11" t="str">
        <x:v>688302.SH</x:v>
      </x:c>
      <x:c r="B319" s="11" t="str">
        <x:v>海创药业</x:v>
      </x:c>
      <x:c r="C319" s="11" t="str">
        <x:v>五年</x:v>
      </x:c>
      <x:c r="D319" s="11" t="str">
        <x:v>悲观</x:v>
      </x:c>
      <x:c r="E319" s="11" t="n">
        <x:v>32.09</x:v>
      </x:c>
      <x:c r="F319" s="11" t="n">
        <x:v>0</x:v>
      </x:c>
      <x:c r="G319" s="11" t="n">
        <x:v>0</x:v>
      </x:c>
      <x:c r="H319" s="25" t="n">
        <x:v>-1</x:v>
      </x:c>
      <x:c r="I319" s="25" t="n">
        <x:v>-1</x:v>
      </x:c>
      <x:c r="J319" s="25" t="n">
        <x:v>-1</x:v>
      </x:c>
      <x:c r="K319" s="11" t="n">
        <x:v>0</x:v>
      </x:c>
      <x:c r="L319" s="11" t="n">
        <x:v>0</x:v>
      </x:c>
      <x:c r="M319" s="11" t="n">
        <x:v>1</x:v>
      </x:c>
      <x:c r="N319" s="11" t="n">
        <x:v>0</x:v>
      </x:c>
      <x:c r="O319" s="11" t="n">
        <x:v>0</x:v>
      </x:c>
      <x:c r="P319" s="11" t="n">
        <x:v>0</x:v>
      </x:c>
      <x:c r="Q319" s="11" t="n">
        <x:v>0.18</x:v>
      </x:c>
      <x:c r="R319" s="11" t="str">
        <x:v>hinova-rnpv-v1.0</x:v>
      </x:c>
      <x:c r="S319" s="11" t="str">
        <x:v>2026-10-10</x:v>
      </x:c>
      <x:c r="T319" s="11" t="str">
        <x:f>IF(AND(SUM(IF(K319='假设'!E424,0,1),IF(L319='假设'!F424,0,1),IF(M319='假设'!G424,0,1),IF(N319='假设'!H424,0,1),IF(O319='假设'!I424,0,1),IF(P319='假设'!J424,0,1),IF(Q319='假设'!K424,0,1))=0,U319=V319),"已刷新","待刷新")</x:f>
        <x:v>已刷新</x:v>
      </x:c>
      <x:c r="U319" t="str">
        <x:v>1|0|0.5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  <x:c r="V319" t="str">
        <x:f>'假设'!U424&amp;"|"&amp;'假设'!N424&amp;"|"&amp;'假设'!Q424&amp;"|"&amp;'管线假设'!E464&amp;"|"&amp;'管线假设'!F464&amp;"|"&amp;'管线假设'!G464&amp;"|"&amp;'管线假设'!H464&amp;"|"&amp;'管线假设'!I464&amp;"|"&amp;'管线假设'!E468&amp;"|"&amp;'管线假设'!F468&amp;"|"&amp;'管线假设'!G468&amp;"|"&amp;'管线假设'!H468&amp;"|"&amp;'管线假设'!I468&amp;"|"&amp;'管线假设'!E472&amp;"|"&amp;'管线假设'!F472&amp;"|"&amp;'管线假设'!G472&amp;"|"&amp;'管线假设'!H472&amp;"|"&amp;'管线假设'!I472&amp;"|"&amp;'管线假设'!E476&amp;"|"&amp;'管线假设'!F476&amp;"|"&amp;'管线假设'!G476&amp;"|"&amp;'管线假设'!H476&amp;"|"&amp;'管线假设'!I476&amp;"|"&amp;'管线假设'!E480&amp;"|"&amp;'管线假设'!F480&amp;"|"&amp;'管线假设'!G480&amp;"|"&amp;'管线假设'!H480&amp;"|"&amp;'管线假设'!I480&amp;"|"&amp;'管线假设'!E484&amp;"|"&amp;'管线假设'!F484&amp;"|"&amp;'管线假设'!G484&amp;"|"&amp;'管线假设'!H484&amp;"|"&amp;'管线假设'!I484&amp;"|"&amp;'管线假设'!E488&amp;"|"&amp;'管线假设'!F488&amp;"|"&amp;'管线假设'!G488&amp;"|"&amp;'管线假设'!H488&amp;"|"&amp;'管线假设'!I488&amp;"|"&amp;'管线假设'!E492&amp;"|"&amp;'管线假设'!F492&amp;"|"&amp;'管线假设'!G492&amp;"|"&amp;'管线假设'!H492&amp;"|"&amp;'管线假设'!I492&amp;"|"&amp;'管线假设'!E496&amp;"|"&amp;'管线假设'!F496&amp;"|"&amp;'管线假设'!G496&amp;"|"&amp;'管线假设'!H496&amp;"|"&amp;'管线假设'!I496&amp;"|"&amp;'管线假设'!E500&amp;"|"&amp;'管线假设'!F500&amp;"|"&amp;'管线假设'!G500&amp;"|"&amp;'管线假设'!H500&amp;"|"&amp;'管线假设'!I500&amp;"|"&amp;'管线假设'!E504&amp;"|"&amp;'管线假设'!F504&amp;"|"&amp;'管线假设'!G504&amp;"|"&amp;'管线假设'!H504&amp;"|"&amp;'管线假设'!I504&amp;"|"&amp;'管线现金流'!H2088&amp;"|"&amp;'管线现金流'!AJ2088&amp;"|"&amp;'管线现金流'!H2089&amp;"|"&amp;'管线现金流'!AJ2089&amp;"|"&amp;'管线现金流'!H2090&amp;"|"&amp;'管线现金流'!AJ2090&amp;"|"&amp;'管线现金流'!H2091&amp;"|"&amp;'管线现金流'!AJ2091&amp;"|"&amp;'管线现金流'!H2092&amp;"|"&amp;'管线现金流'!AJ2092&amp;"|"&amp;'管线现金流'!H2093&amp;"|"&amp;'管线现金流'!AJ2093&amp;"|"&amp;'管线现金流'!H2094&amp;"|"&amp;'管线现金流'!AJ2094&amp;"|"&amp;'管线现金流'!H2095&amp;"|"&amp;'管线现金流'!AJ2095&amp;"|"&amp;'管线现金流'!H2096&amp;"|"&amp;'管线现金流'!AJ2096&amp;"|"&amp;'管线现金流'!H2097&amp;"|"&amp;'管线现金流'!AJ2097&amp;"|"&amp;'管线现金流'!H2098&amp;"|"&amp;'管线现金流'!AJ2098&amp;"|"&amp;'管线现金流'!H2099&amp;"|"&amp;'管线现金流'!AJ2099&amp;"|"&amp;'管线现金流'!H2100&amp;"|"&amp;'管线现金流'!AJ2100&amp;"|"&amp;'管线现金流'!H2101&amp;"|"&amp;'管线现金流'!AJ2101&amp;"|"&amp;'管线现金流'!H2102&amp;"|"&amp;'管线现金流'!AJ2102&amp;"|"&amp;'管线现金流'!H2103&amp;"|"&amp;'管线现金流'!AJ2103&amp;"|"&amp;'管线现金流'!H2104&amp;"|"&amp;'管线现金流'!AJ2104&amp;"|"&amp;'管线现金流'!H2105&amp;"|"&amp;'管线现金流'!AJ2105&amp;"|"&amp;'管线现金流'!H2106&amp;"|"&amp;'管线现金流'!AJ2106&amp;"|"&amp;'管线现金流'!H2107&amp;"|"&amp;'管线现金流'!AJ2107&amp;"|"&amp;'管线现金流'!H2108&amp;"|"&amp;'管线现金流'!AJ2108&amp;"|"&amp;'管线现金流'!H2109&amp;"|"&amp;'管线现金流'!AJ2109&amp;"|"&amp;'管线现金流'!H2110&amp;"|"&amp;'管线现金流'!AJ2110&amp;"|"&amp;'管线现金流'!H2111&amp;"|"&amp;'管线现金流'!AJ2111&amp;"|"&amp;'管线现金流'!H2112&amp;"|"&amp;'管线现金流'!AJ2112&amp;"|"&amp;'管线现金流'!H2113&amp;"|"&amp;'管线现金流'!AJ2113&amp;"|"&amp;'管线现金流'!H2114&amp;"|"&amp;'管线现金流'!AJ2114&amp;"|"&amp;'管线现金流'!H2115&amp;"|"&amp;'管线现金流'!AJ2115&amp;"|"&amp;'管线现金流'!H2116&amp;"|"&amp;'管线现金流'!AJ2116&amp;"|"&amp;'管线现金流'!H2117&amp;"|"&amp;'管线现金流'!AJ2117&amp;"|"&amp;'管线现金流'!H2118&amp;"|"&amp;'管线现金流'!AJ2118&amp;"|"&amp;'管线现金流'!H2119&amp;"|"&amp;'管线现金流'!AJ2119&amp;"|"&amp;'管线现金流'!H2120&amp;"|"&amp;'管线现金流'!AJ2120&amp;"|"&amp;'管线现金流'!H2121&amp;"|"&amp;'管线现金流'!AJ2121&amp;"|"&amp;'管线现金流'!H2122&amp;"|"&amp;'管线现金流'!AJ2122&amp;"|"&amp;'管线现金流'!H2123&amp;"|"&amp;'管线现金流'!AJ2123&amp;"|"&amp;'管线现金流'!H2124&amp;"|"&amp;'管线现金流'!AJ2124&amp;"|"&amp;'管线现金流'!H2125&amp;"|"&amp;'管线现金流'!AJ2125&amp;"|"&amp;'管线现金流'!H2126&amp;"|"&amp;'管线现金流'!AJ2126&amp;"|"&amp;'管线现金流'!H2127&amp;"|"&amp;'管线现金流'!AJ2127&amp;"|"&amp;'管线现金流'!H2128&amp;"|"&amp;'管线现金流'!AJ2128&amp;"|"&amp;'管线现金流'!H2129&amp;"|"&amp;'管线现金流'!AJ2129&amp;"|"&amp;'管线现金流'!H2130&amp;"|"&amp;'管线现金流'!AJ2130&amp;"|"&amp;'管线现金流'!H2131&amp;"|"&amp;'管线现金流'!AJ2131&amp;"|"&amp;'管线现金流'!H2132&amp;"|"&amp;'管线现金流'!AJ2132&amp;"|"&amp;'管线现金流'!H2133&amp;"|"&amp;'管线现金流'!AJ2133&amp;"|"&amp;'管线现金流'!H2134&amp;"|"&amp;'管线现金流'!AJ2134&amp;"|"&amp;'管线现金流'!H2135&amp;"|"&amp;'管线现金流'!AJ2135&amp;"|"&amp;'管线现金流'!H2136&amp;"|"&amp;'管线现金流'!AJ2136&amp;"|"&amp;'管线现金流'!H2137&amp;"|"&amp;'管线现金流'!AJ2137&amp;"|"&amp;'管线现金流'!H2138&amp;"|"&amp;'管线现金流'!AJ2138&amp;"|"&amp;'管线现金流'!H2139&amp;"|"&amp;'管线现金流'!AJ2139&amp;"|"&amp;'管线现金流'!H2140&amp;"|"&amp;'管线现金流'!AJ2140&amp;"|"&amp;'管线现金流'!H2141&amp;"|"&amp;'管线现金流'!AJ2141&amp;"|"&amp;'管线现金流'!H2142&amp;"|"&amp;'管线现金流'!AJ2142&amp;"|"&amp;'管线现金流'!H2143&amp;"|"&amp;'管线现金流'!AJ2143&amp;"|"&amp;'管线现金流'!H2144&amp;"|"&amp;'管线现金流'!AJ2144&amp;"|"&amp;'管线现金流'!H2145&amp;"|"&amp;'管线现金流'!AJ2145&amp;"|"&amp;'管线现金流'!H2146&amp;"|"&amp;'管线现金流'!AJ2146&amp;"|"&amp;'管线现金流'!H2147&amp;"|"&amp;'管线现金流'!AJ2147&amp;"|"&amp;'管线现金流'!H2148&amp;"|"&amp;'管线现金流'!AJ2148&amp;"|"&amp;'管线现金流'!H2149&amp;"|"&amp;'管线现金流'!AJ2149&amp;"|"&amp;'管线现金流'!H2150&amp;"|"&amp;'管线现金流'!AJ2150&amp;"|"&amp;'管线现金流'!H2151&amp;"|"&amp;'管线现金流'!AJ2151&amp;"|"&amp;'管线现金流'!H2152&amp;"|"&amp;'管线现金流'!AJ2152&amp;"|"&amp;'管线现金流'!H2153&amp;"|"&amp;'管线现金流'!AJ2153&amp;"|"&amp;'管线现金流'!H2154&amp;"|"&amp;'管线现金流'!AJ2154&amp;"|"&amp;'管线现金流'!H2155&amp;"|"&amp;'管线现金流'!AJ2155&amp;"|"&amp;'管线现金流'!H2156&amp;"|"&amp;'管线现金流'!AJ2156&amp;"|"&amp;'管线现金流'!H2157&amp;"|"&amp;'管线现金流'!AJ2157&amp;"|"&amp;'管线现金流'!H2158&amp;"|"&amp;'管线现金流'!AJ2158&amp;"|"&amp;'管线现金流'!H2159&amp;"|"&amp;'管线现金流'!AJ2159&amp;"|"&amp;'管线现金流'!H2160&amp;"|"&amp;'管线现金流'!AJ2160&amp;"|"&amp;'管线现金流'!H2161&amp;"|"&amp;'管线现金流'!AJ2161&amp;"|"&amp;'管线现金流'!H2162&amp;"|"&amp;'管线现金流'!AJ2162&amp;"|"&amp;'管线现金流'!H2163&amp;"|"&amp;'管线现金流'!AJ2163&amp;"|"&amp;'管线现金流'!H2164&amp;"|"&amp;'管线现金流'!AJ2164&amp;"|"&amp;'管线现金流'!H2165&amp;"|"&amp;'管线现金流'!AJ2165&amp;"|"&amp;'管线现金流'!H2166&amp;"|"&amp;'管线现金流'!AJ2166&amp;"|"&amp;'管线现金流'!H2167&amp;"|"&amp;'管线现金流'!AJ2167&amp;"|"&amp;'管线现金流'!H2168&amp;"|"&amp;'管线现金流'!AJ2168&amp;"|"&amp;'管线现金流'!H2169&amp;"|"&amp;'管线现金流'!AJ2169&amp;"|"&amp;'管线现金流'!H2170&amp;"|"&amp;'管线现金流'!AJ2170&amp;"|"&amp;'管线现金流'!H2171&amp;"|"&amp;'管线现金流'!AJ2171&amp;"|"&amp;'管线现金流'!H2172&amp;"|"&amp;'管线现金流'!AJ2172&amp;"|"&amp;'管线现金流'!H2173&amp;"|"&amp;'管线现金流'!AJ2173&amp;"|"&amp;'管线现金流'!H2174&amp;"|"&amp;'管线现金流'!AJ2174&amp;"|"&amp;'管线现金流'!H2175&amp;"|"&amp;'管线现金流'!AJ2175&amp;"|"&amp;'管线现金流'!H2176&amp;"|"&amp;'管线现金流'!AJ2176&amp;"|"&amp;'管线现金流'!H2177&amp;"|"&amp;'管线现金流'!AJ2177&amp;"|"&amp;'管线现金流'!H2178&amp;"|"&amp;'管线现金流'!AJ2178&amp;"|"&amp;'管线现金流'!H2179&amp;"|"&amp;'管线现金流'!AJ2179&amp;"|"&amp;'管线现金流'!H2180&amp;"|"&amp;'管线现金流'!AJ2180&amp;"|"&amp;'管线现金流'!H2181&amp;"|"&amp;'管线现金流'!AJ2181&amp;"|"&amp;'管线现金流'!H2182&amp;"|"&amp;'管线现金流'!AJ2182&amp;"|"&amp;'管线现金流'!H2183&amp;"|"&amp;'管线现金流'!AJ2183&amp;"|"&amp;'管线现金流'!H2184&amp;"|"&amp;'管线现金流'!AJ2184&amp;"|"&amp;'管线现金流'!H2185&amp;"|"&amp;'管线现金流'!AJ2185&amp;"|"&amp;'管线现金流'!H2186&amp;"|"&amp;'管线现金流'!AJ2186&amp;"|"&amp;'管线现金流'!H2187&amp;"|"&amp;'管线现金流'!AJ2187&amp;"|"&amp;'管线现金流'!H2188&amp;"|"&amp;'管线现金流'!AJ2188&amp;"|"&amp;'管线现金流'!H2189&amp;"|"&amp;'管线现金流'!AJ2189&amp;"|"&amp;'管线现金流'!H2190&amp;"|"&amp;'管线现金流'!AJ2190&amp;"|"&amp;'管线现金流'!H2191&amp;"|"&amp;'管线现金流'!AJ2191&amp;"|"&amp;'管线现金流'!H2192&amp;"|"&amp;'管线现金流'!AJ2192&amp;"|"&amp;'管线现金流'!H2193&amp;"|"&amp;'管线现金流'!AJ2193&amp;"|"&amp;'管线现金流'!H2194&amp;"|"&amp;'管线现金流'!AJ2194&amp;"|"&amp;'管线现金流'!H2195&amp;"|"&amp;'管线现金流'!AJ2195&amp;"|"&amp;'管线现金流'!H2196&amp;"|"&amp;'管线现金流'!AJ2196&amp;"|"&amp;'管线现金流'!H2197&amp;"|"&amp;'管线现金流'!AJ2197&amp;"|"&amp;'管线现金流'!H2198&amp;"|"&amp;'管线现金流'!AJ2198&amp;"|"&amp;'管线现金流'!H2199&amp;"|"&amp;'管线现金流'!AJ2199&amp;"|"&amp;'管线现金流'!H2200&amp;"|"&amp;'管线现金流'!AJ2200&amp;"|"&amp;'管线现金流'!H2201&amp;"|"&amp;'管线现金流'!AJ2201&amp;"|"&amp;'管线现金流'!H2202&amp;"|"&amp;'管线现金流'!AJ2202&amp;"|"&amp;'管线现金流'!H2203&amp;"|"&amp;'管线现金流'!AJ2203&amp;"|"&amp;'管线现金流'!H2204&amp;"|"&amp;'管线现金流'!AJ2204&amp;"|"&amp;'管线现金流'!H2205&amp;"|"&amp;'管线现金流'!AJ2205&amp;"|"&amp;'管线现金流'!H2206&amp;"|"&amp;'管线现金流'!AJ2206&amp;"|"&amp;'管线现金流'!H2207&amp;"|"&amp;'管线现金流'!AJ2207&amp;"|"&amp;'管线现金流'!H2208&amp;"|"&amp;'管线现金流'!AJ2208&amp;"|"&amp;'管线现金流'!H2209&amp;"|"&amp;'管线现金流'!AJ2209&amp;"|"&amp;'管线现金流'!H2210&amp;"|"&amp;'管线现金流'!AJ2210&amp;"|"&amp;'管线现金流'!H2211&amp;"|"&amp;'管线现金流'!AJ2211&amp;"|"&amp;'管线现金流'!H2212&amp;"|"&amp;'管线现金流'!AJ2212&amp;"|"&amp;'管线现金流'!H2213&amp;"|"&amp;'管线现金流'!AJ2213&amp;"|"&amp;'管线现金流'!H2214&amp;"|"&amp;'管线现金流'!AJ2214&amp;"|"&amp;'管线现金流'!H2215&amp;"|"&amp;'管线现金流'!AJ2215&amp;"|"&amp;'管线现金流'!H2216&amp;"|"&amp;'管线现金流'!AJ2216&amp;"|"&amp;'管线现金流'!H2217&amp;"|"&amp;'管线现金流'!AJ2217&amp;"|"&amp;'管线现金流'!H2218&amp;"|"&amp;'管线现金流'!AJ2218&amp;"|"&amp;'管线现金流'!H2219&amp;"|"&amp;'管线现金流'!AJ2219&amp;"|"&amp;'管线现金流'!H2220&amp;"|"&amp;'管线现金流'!AJ2220&amp;"|"&amp;'管线现金流'!H2221&amp;"|"&amp;'管线现金流'!AJ2221&amp;"|"&amp;'管线现金流'!H2222&amp;"|"&amp;'管线现金流'!AJ2222&amp;"|"&amp;'管线现金流'!H2223&amp;"|"&amp;'管线现金流'!AJ2223&amp;"|"&amp;'管线现金流'!H2224&amp;"|"&amp;'管线现金流'!AJ2224&amp;"|"&amp;'管线现金流'!H2225&amp;"|"&amp;'管线现金流'!AJ2225&amp;"|"&amp;'管线现金流'!H2226&amp;"|"&amp;'管线现金流'!AJ2226&amp;"|"&amp;'管线现金流'!H2227&amp;"|"&amp;'管线现金流'!AJ2227&amp;"|"&amp;'管线现金流'!H2228&amp;"|"&amp;'管线现金流'!AJ2228&amp;"|"&amp;'管线现金流'!H2229&amp;"|"&amp;'管线现金流'!AJ2229&amp;"|"&amp;'管线现金流'!H2230&amp;"|"&amp;'管线现金流'!AJ2230&amp;"|"&amp;'管线现金流'!H2231&amp;"|"&amp;'管线现金流'!AJ2231&amp;"|"&amp;'管线现金流'!H2232&amp;"|"&amp;'管线现金流'!AJ2232&amp;"|"&amp;'管线现金流'!H2233&amp;"|"&amp;'管线现金流'!AJ2233&amp;"|"&amp;'管线现金流'!H2234&amp;"|"&amp;'管线现金流'!AJ2234&amp;"|"&amp;'管线现金流'!H2235&amp;"|"&amp;'管线现金流'!AJ2235&amp;"|"&amp;'管线现金流'!H2236&amp;"|"&amp;'管线现金流'!AJ2236&amp;"|"&amp;'管线现金流'!H2237&amp;"|"&amp;'管线现金流'!AJ2237&amp;"|"&amp;'管线现金流'!H2238&amp;"|"&amp;'管线现金流'!AJ2238&amp;"|"&amp;'管线现金流'!H2239&amp;"|"&amp;'管线现金流'!AJ2239&amp;"|"&amp;'管线现金流'!H2240&amp;"|"&amp;'管线现金流'!AJ2240&amp;"|"&amp;'管线现金流'!H2241&amp;"|"&amp;'管线现金流'!AJ2241&amp;"|"&amp;'管线现金流'!H2242&amp;"|"&amp;'管线现金流'!AJ2242&amp;"|"&amp;'管线现金流'!H2243&amp;"|"&amp;'管线现金流'!AJ2243&amp;"|"&amp;'管线现金流'!H2244&amp;"|"&amp;'管线现金流'!AJ2244&amp;"|"&amp;'管线现金流'!H2245&amp;"|"&amp;'管线现金流'!AJ2245&amp;"|"&amp;'管线现金流'!H2246&amp;"|"&amp;'管线现金流'!AJ2246&amp;"|"&amp;'管线现金流'!H2247&amp;"|"&amp;'管线现金流'!AJ2247&amp;"|"&amp;'管线现金流'!H2248&amp;"|"&amp;'管线现金流'!AJ2248&amp;"|"&amp;'管线现金流'!H2249&amp;"|"&amp;'管线现金流'!AJ2249&amp;"|"&amp;'管线现金流'!H2250&amp;"|"&amp;'管线现金流'!AJ2250&amp;"|"&amp;'管线现金流'!H2251&amp;"|"&amp;'管线现金流'!AJ2251&amp;"|"&amp;'管线现金流'!H2252&amp;"|"&amp;'管线现金流'!AJ2252&amp;"|"&amp;'管线现金流'!H2253&amp;"|"&amp;'管线现金流'!AJ2253&amp;"|"&amp;'管线现金流'!H2254&amp;"|"&amp;'管线现金流'!AJ2254&amp;"|"&amp;'管线现金流'!H2255&amp;"|"&amp;'管线现金流'!AJ2255&amp;"|"&amp;'管线现金流'!H2256&amp;"|"&amp;'管线现金流'!AJ2256&amp;"|"&amp;'管线现金流'!H2257&amp;"|"&amp;'管线现金流'!AJ2257&amp;"|"&amp;'管线现金流'!H2258&amp;"|"&amp;'管线现金流'!AJ2258&amp;"|"&amp;'管线现金流'!H2259&amp;"|"&amp;'管线现金流'!AJ2259&amp;"|"&amp;'管线现金流'!H2260&amp;"|"&amp;'管线现金流'!AJ2260&amp;"|"&amp;'管线现金流'!H2261&amp;"|"&amp;'管线现金流'!AJ2261&amp;"|"&amp;'管线现金流'!H2262&amp;"|"&amp;'管线现金流'!AJ2262&amp;"|"&amp;'管线现金流'!H2263&amp;"|"&amp;'管线现金流'!AJ2263&amp;"|"&amp;'管线现金流'!H2264&amp;"|"&amp;'管线现金流'!AJ2264&amp;"|"&amp;'管线现金流'!H2265&amp;"|"&amp;'管线现金流'!AJ2265&amp;"|"&amp;'管线现金流'!H2266&amp;"|"&amp;'管线现金流'!AJ2266&amp;"|"&amp;'管线现金流'!H2267&amp;"|"&amp;'管线现金流'!AJ2267&amp;"|"&amp;'管线现金流'!H2268&amp;"|"&amp;'管线现金流'!AJ2268&amp;"|"&amp;'管线现金流'!H2269&amp;"|"&amp;'管线现金流'!AJ2269&amp;"|"&amp;'管线现金流'!H2270&amp;"|"&amp;'管线现金流'!AJ2270&amp;"|"&amp;'管线现金流'!H2271&amp;"|"&amp;'管线现金流'!AJ2271&amp;"|"&amp;'管线现金流'!H2272&amp;"|"&amp;'管线现金流'!AJ2272&amp;"|"&amp;'管线现金流'!H2273&amp;"|"&amp;'管线现金流'!AJ2273&amp;"|"&amp;'管线现金流'!H2274&amp;"|"&amp;'管线现金流'!AJ2274&amp;"|"&amp;'管线现金流'!H2275&amp;"|"&amp;'管线现金流'!AJ2275&amp;"|"&amp;'管线现金流'!H2276&amp;"|"&amp;'管线现金流'!AJ2276&amp;"|"&amp;'管线现金流'!H2277&amp;"|"&amp;'管线现金流'!AJ2277&amp;"|"&amp;'管线现金流'!H2278&amp;"|"&amp;'管线现金流'!AJ2278&amp;"|"&amp;'管线现金流'!H2279&amp;"|"&amp;'管线现金流'!AJ2279&amp;"|"&amp;'管线现金流'!H2280&amp;"|"&amp;'管线现金流'!AJ2280&amp;"|"&amp;'管线现金流'!H2281&amp;"|"&amp;'管线现金流'!AJ2281&amp;"|"&amp;'管线现金流'!H2282&amp;"|"&amp;'管线现金流'!AJ2282&amp;"|"&amp;'管线现金流'!H2283&amp;"|"&amp;'管线现金流'!AJ2283&amp;"|"&amp;'管线现金流'!H2284&amp;"|"&amp;'管线现金流'!AJ2284&amp;"|"&amp;'管线现金流'!H2285&amp;"|"&amp;'管线现金流'!AJ2285&amp;"|"&amp;'管线现金流'!H2286&amp;"|"&amp;'管线现金流'!AJ2286&amp;"|"&amp;'管线现金流'!H2287&amp;"|"&amp;'管线现金流'!AJ2287&amp;"|"&amp;'管线现金流'!H2288&amp;"|"&amp;'管线现金流'!AJ2288&amp;"|"&amp;'管线现金流'!H2289&amp;"|"&amp;'管线现金流'!AJ2289&amp;"|"&amp;'管线现金流'!H2290&amp;"|"&amp;'管线现金流'!AJ2290&amp;"|"&amp;'管线现金流'!H2291&amp;"|"&amp;'管线现金流'!AJ2291&amp;"|"&amp;'管线现金流'!H2292&amp;"|"&amp;'管线现金流'!AJ2292&amp;"|"&amp;'管线现金流'!H2293&amp;"|"&amp;'管线现金流'!AJ2293&amp;"|"&amp;'管线现金流'!H2294&amp;"|"&amp;'管线现金流'!AJ2294&amp;"|"&amp;'管线现金流'!H2295&amp;"|"&amp;'管线现金流'!AJ2295&amp;"|"&amp;'管线现金流'!H2296&amp;"|"&amp;'管线现金流'!AJ2296</x:f>
        <x:v>1|0|0.5|1|0.15|1|0.18|6.8|0.15000000000000002|0.15|1|0.18|6.8|0.06000000000000005|0.13|1|0.18|6.8|0.040000000000000036|0.048|1|0.18|6.8|0.030000000000000027|0.13|1|0.18|6.8|0.020000000000000018|0.048|1|0.18|6.8|0.12|0.15|1|0.18|6.8|0.06000000000000005|0.048|1|0.18|6.8|0.040000000000000036|0.1|1|0.18|6.8|0.025000000000000022|0.04000000000000001|1|0.18|6.8|0.010000000000000009|0.04000000000000001|1|0.18|6.8|0.09000000000000001|0|0.18000000000000002|0|0.27|0|0.36000000000000004|0|0.45|0|0.3915|0|0.333|0|0.2745|0|0.216|0|0.1575|0|0.09899999999999999|0|0.04049999999999999|0|0|0|0|0|0|0|0|0|0|0|0|0|0|0|0|0|0|0|0|0|0|0|0|0|0|0|0|0|0.12|0|0.24|0|0.36|0|0.48|0|0.6|0|0.522|0|0.444|0|0.366|0|0.288|0|0.21|0|0.13199999999999998|0|0.05399999999999998|0|0|0|0|0|0|0|0|0|0|0|0|0|0|0|0|0|0|0|0.1|0|0.2|0|0.3|0|0.4|0|0.5|0|0.435|0|0.37|0|0.305|0|0.24|0|0.175|0|0|0|0|0|0|0|0|0|0|0|0|0|0|0|0|0|0|0|0|0|0.1|0|0.2|0|0.3|0|0.4|0|0.5|0|0.435|0|0.37|0|0.305|0|0.24|0|0|0|0|0|0|0|0|0|0|0|0|0|0|0|0|0|0|0|0.04000000000000001|0|0.08000000000000002|0|0.12|0|0.16000000000000003|0|0.2|0|0.17400000000000002|0|0.148|0|0.122|0|0.096|0|0.06999999999999999|0|0|0|0|0|0|0|0|0|0|0|0|0|0|0|0|0|0|0|0|0|0.06|0|0.12|0|0.18|0|0.24|0|0.3|0|0.261|0|0.222|0|0.183|0|0.144|0|0|0|0|0|0|0|0|0|0|0|0|0|0|0|0|0|0.2|0|0.4|0|0.6|0|0.8|0|1|0|0.87|0|0.74|0|0.61|0|0.48|0|0.35|0|0.21999999999999997|0|0|0|0|0|0|0|0|0|0|0|0|0|0|0|0|0|0|0|0.2|0|0.4|0|0.6|0|0.8|0|1|0|0.87|0|0.74|0|0.61|0|0.48|0|0.35|0|0|0|0|0|0|0|0|0|0|0|0|0|0|0|0|0|0|0|0|0|0.08000000000000002|0|0.16000000000000003|0|0.24|0|0.32000000000000006|0|0.4|0|0.34800000000000003|0|0.296|0|0.244|0|0.192|0|0|0|0|0|0|0|0|0|0|0|0|0|0|0|0|0|0|0|0|0|0|0|0.1|0|0.2|0|0.3|0|0.4|0|0.5|0|0.435|0|0.37|0|0.305|0|0|0|0|0|0|0|0|0|0|0|0|0|0|0|0|0|0|0|0|0|0|0|0|0|0.1|0|0.2|0|0.3|0|0.4|0|0.5|0|0.435|0|0.37|0</x:v>
      </x:c>
    </x:row>
    <x:row r="320" ht="23" customHeight="1">
      <x:c r="A320" s="11" t="str">
        <x:v>688302.SH</x:v>
      </x:c>
      <x:c r="B320" s="11" t="str">
        <x:v>海创药业</x:v>
      </x:c>
      <x:c r="C320" s="11" t="str">
        <x:v>五年</x:v>
      </x:c>
      <x:c r="D320" s="11" t="str">
        <x:v>基准</x:v>
      </x:c>
      <x:c r="E320" s="11" t="n">
        <x:v>32.09</x:v>
      </x:c>
      <x:c r="F320" s="11" t="n">
        <x:v>64.51631468718563</x:v>
      </x:c>
      <x:c r="G320" s="11" t="n">
        <x:v>0</x:v>
      </x:c>
      <x:c r="H320" s="25" t="n">
        <x:v>1.0104803579677664</x:v>
      </x:c>
      <x:c r="I320" s="25" t="n">
        <x:v>1.0104803579677664</x:v>
      </x:c>
      <x:c r="J320" s="25" t="n">
        <x:v>0.14989971648529</x:v>
      </x:c>
      <x:c r="K320" s="11" t="n">
        <x:v>0</x:v>
      </x:c>
      <x:c r="L320" s="11" t="n">
        <x:v>0</x:v>
      </x:c>
      <x:c r="M320" s="11" t="n">
        <x:v>1</x:v>
      </x:c>
      <x:c r="N320" s="11" t="n">
        <x:v>0</x:v>
      </x:c>
      <x:c r="O320" s="11" t="n">
        <x:v>0</x:v>
      </x:c>
      <x:c r="P320" s="11" t="n">
        <x:v>0</x:v>
      </x:c>
      <x:c r="Q320" s="11" t="n">
        <x:v>0.135</x:v>
      </x:c>
      <x:c r="R320" s="11" t="str">
        <x:v>hinova-rnpv-v1.0</x:v>
      </x:c>
      <x:c r="S320" s="11" t="str">
        <x:v>2026-10-10</x:v>
      </x:c>
      <x:c r="T320" s="11" t="str">
        <x:f>IF(AND(SUM(IF(K320='假设'!E425,0,1),IF(L320='假设'!F425,0,1),IF(M320='假设'!G425,0,1),IF(N320='假设'!H425,0,1),IF(O320='假设'!I425,0,1),IF(P320='假设'!J425,0,1),IF(Q320='假设'!K425,0,1))=0,U320=V320),"已刷新","待刷新")</x:f>
        <x:v>已刷新</x:v>
      </x:c>
      <x:c r="U320" t="str">
        <x:v>1|1|0.6|1|0.25|1|0.14|6.8|0.6259999999999999|0.25|1|0.14|6.8|0.4695999999999999|0.23|1|0.14|6.8|0.42199999999999993|0.0738|1|0.14|6.8|0.40159999999999996|0.23|1|0.14|6.8|0.3879999999999999|0.0738|1|0.14|6.8|0.5784|0.25|1|0.14|6.8|0.49|0.0738|1|0.14|6.8|0.42199999999999993|0.18|1|0.14|6.8|0.3879999999999999|0.0656|1|0.14|6.8|0.3608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  <x:c r="V320" t="str">
        <x:f>'假设'!U425&amp;"|"&amp;'假设'!N425&amp;"|"&amp;'假设'!Q425&amp;"|"&amp;'管线假设'!E465&amp;"|"&amp;'管线假设'!F465&amp;"|"&amp;'管线假设'!G465&amp;"|"&amp;'管线假设'!H465&amp;"|"&amp;'管线假设'!I465&amp;"|"&amp;'管线假设'!E469&amp;"|"&amp;'管线假设'!F469&amp;"|"&amp;'管线假设'!G469&amp;"|"&amp;'管线假设'!H469&amp;"|"&amp;'管线假设'!I469&amp;"|"&amp;'管线假设'!E473&amp;"|"&amp;'管线假设'!F473&amp;"|"&amp;'管线假设'!G473&amp;"|"&amp;'管线假设'!H473&amp;"|"&amp;'管线假设'!I473&amp;"|"&amp;'管线假设'!E477&amp;"|"&amp;'管线假设'!F477&amp;"|"&amp;'管线假设'!G477&amp;"|"&amp;'管线假设'!H477&amp;"|"&amp;'管线假设'!I477&amp;"|"&amp;'管线假设'!E481&amp;"|"&amp;'管线假设'!F481&amp;"|"&amp;'管线假设'!G481&amp;"|"&amp;'管线假设'!H481&amp;"|"&amp;'管线假设'!I481&amp;"|"&amp;'管线假设'!E485&amp;"|"&amp;'管线假设'!F485&amp;"|"&amp;'管线假设'!G485&amp;"|"&amp;'管线假设'!H485&amp;"|"&amp;'管线假设'!I485&amp;"|"&amp;'管线假设'!E489&amp;"|"&amp;'管线假设'!F489&amp;"|"&amp;'管线假设'!G489&amp;"|"&amp;'管线假设'!H489&amp;"|"&amp;'管线假设'!I489&amp;"|"&amp;'管线假设'!E493&amp;"|"&amp;'管线假设'!F493&amp;"|"&amp;'管线假设'!G493&amp;"|"&amp;'管线假设'!H493&amp;"|"&amp;'管线假设'!I493&amp;"|"&amp;'管线假设'!E497&amp;"|"&amp;'管线假设'!F497&amp;"|"&amp;'管线假设'!G497&amp;"|"&amp;'管线假设'!H497&amp;"|"&amp;'管线假设'!I497&amp;"|"&amp;'管线假设'!E501&amp;"|"&amp;'管线假设'!F501&amp;"|"&amp;'管线假设'!G501&amp;"|"&amp;'管线假设'!H501&amp;"|"&amp;'管线假设'!I501&amp;"|"&amp;'管线假设'!E505&amp;"|"&amp;'管线假设'!F505&amp;"|"&amp;'管线假设'!G505&amp;"|"&amp;'管线假设'!H505&amp;"|"&amp;'管线假设'!I505&amp;"|"&amp;'管线现金流'!I2088&amp;"|"&amp;'管线现金流'!AK2088&amp;"|"&amp;'管线现金流'!I2089&amp;"|"&amp;'管线现金流'!AK2089&amp;"|"&amp;'管线现金流'!I2090&amp;"|"&amp;'管线现金流'!AK2090&amp;"|"&amp;'管线现金流'!I2091&amp;"|"&amp;'管线现金流'!AK2091&amp;"|"&amp;'管线现金流'!I2092&amp;"|"&amp;'管线现金流'!AK2092&amp;"|"&amp;'管线现金流'!I2093&amp;"|"&amp;'管线现金流'!AK2093&amp;"|"&amp;'管线现金流'!I2094&amp;"|"&amp;'管线现金流'!AK2094&amp;"|"&amp;'管线现金流'!I2095&amp;"|"&amp;'管线现金流'!AK2095&amp;"|"&amp;'管线现金流'!I2096&amp;"|"&amp;'管线现金流'!AK2096&amp;"|"&amp;'管线现金流'!I2097&amp;"|"&amp;'管线现金流'!AK2097&amp;"|"&amp;'管线现金流'!I2098&amp;"|"&amp;'管线现金流'!AK2098&amp;"|"&amp;'管线现金流'!I2099&amp;"|"&amp;'管线现金流'!AK2099&amp;"|"&amp;'管线现金流'!I2100&amp;"|"&amp;'管线现金流'!AK2100&amp;"|"&amp;'管线现金流'!I2101&amp;"|"&amp;'管线现金流'!AK2101&amp;"|"&amp;'管线现金流'!I2102&amp;"|"&amp;'管线现金流'!AK2102&amp;"|"&amp;'管线现金流'!I2103&amp;"|"&amp;'管线现金流'!AK2103&amp;"|"&amp;'管线现金流'!I2104&amp;"|"&amp;'管线现金流'!AK2104&amp;"|"&amp;'管线现金流'!I2105&amp;"|"&amp;'管线现金流'!AK2105&amp;"|"&amp;'管线现金流'!I2106&amp;"|"&amp;'管线现金流'!AK2106&amp;"|"&amp;'管线现金流'!I2107&amp;"|"&amp;'管线现金流'!AK2107&amp;"|"&amp;'管线现金流'!I2108&amp;"|"&amp;'管线现金流'!AK2108&amp;"|"&amp;'管线现金流'!I2109&amp;"|"&amp;'管线现金流'!AK2109&amp;"|"&amp;'管线现金流'!I2110&amp;"|"&amp;'管线现金流'!AK2110&amp;"|"&amp;'管线现金流'!I2111&amp;"|"&amp;'管线现金流'!AK2111&amp;"|"&amp;'管线现金流'!I2112&amp;"|"&amp;'管线现金流'!AK2112&amp;"|"&amp;'管线现金流'!I2113&amp;"|"&amp;'管线现金流'!AK2113&amp;"|"&amp;'管线现金流'!I2114&amp;"|"&amp;'管线现金流'!AK2114&amp;"|"&amp;'管线现金流'!I2115&amp;"|"&amp;'管线现金流'!AK2115&amp;"|"&amp;'管线现金流'!I2116&amp;"|"&amp;'管线现金流'!AK2116&amp;"|"&amp;'管线现金流'!I2117&amp;"|"&amp;'管线现金流'!AK2117&amp;"|"&amp;'管线现金流'!I2118&amp;"|"&amp;'管线现金流'!AK2118&amp;"|"&amp;'管线现金流'!I2119&amp;"|"&amp;'管线现金流'!AK2119&amp;"|"&amp;'管线现金流'!I2120&amp;"|"&amp;'管线现金流'!AK2120&amp;"|"&amp;'管线现金流'!I2121&amp;"|"&amp;'管线现金流'!AK2121&amp;"|"&amp;'管线现金流'!I2122&amp;"|"&amp;'管线现金流'!AK2122&amp;"|"&amp;'管线现金流'!I2123&amp;"|"&amp;'管线现金流'!AK2123&amp;"|"&amp;'管线现金流'!I2124&amp;"|"&amp;'管线现金流'!AK2124&amp;"|"&amp;'管线现金流'!I2125&amp;"|"&amp;'管线现金流'!AK2125&amp;"|"&amp;'管线现金流'!I2126&amp;"|"&amp;'管线现金流'!AK2126&amp;"|"&amp;'管线现金流'!I2127&amp;"|"&amp;'管线现金流'!AK2127&amp;"|"&amp;'管线现金流'!I2128&amp;"|"&amp;'管线现金流'!AK2128&amp;"|"&amp;'管线现金流'!I2129&amp;"|"&amp;'管线现金流'!AK2129&amp;"|"&amp;'管线现金流'!I2130&amp;"|"&amp;'管线现金流'!AK2130&amp;"|"&amp;'管线现金流'!I2131&amp;"|"&amp;'管线现金流'!AK2131&amp;"|"&amp;'管线现金流'!I2132&amp;"|"&amp;'管线现金流'!AK2132&amp;"|"&amp;'管线现金流'!I2133&amp;"|"&amp;'管线现金流'!AK2133&amp;"|"&amp;'管线现金流'!I2134&amp;"|"&amp;'管线现金流'!AK2134&amp;"|"&amp;'管线现金流'!I2135&amp;"|"&amp;'管线现金流'!AK2135&amp;"|"&amp;'管线现金流'!I2136&amp;"|"&amp;'管线现金流'!AK2136&amp;"|"&amp;'管线现金流'!I2137&amp;"|"&amp;'管线现金流'!AK2137&amp;"|"&amp;'管线现金流'!I2138&amp;"|"&amp;'管线现金流'!AK2138&amp;"|"&amp;'管线现金流'!I2139&amp;"|"&amp;'管线现金流'!AK2139&amp;"|"&amp;'管线现金流'!I2140&amp;"|"&amp;'管线现金流'!AK2140&amp;"|"&amp;'管线现金流'!I2141&amp;"|"&amp;'管线现金流'!AK2141&amp;"|"&amp;'管线现金流'!I2142&amp;"|"&amp;'管线现金流'!AK2142&amp;"|"&amp;'管线现金流'!I2143&amp;"|"&amp;'管线现金流'!AK2143&amp;"|"&amp;'管线现金流'!I2144&amp;"|"&amp;'管线现金流'!AK2144&amp;"|"&amp;'管线现金流'!I2145&amp;"|"&amp;'管线现金流'!AK2145&amp;"|"&amp;'管线现金流'!I2146&amp;"|"&amp;'管线现金流'!AK2146&amp;"|"&amp;'管线现金流'!I2147&amp;"|"&amp;'管线现金流'!AK2147&amp;"|"&amp;'管线现金流'!I2148&amp;"|"&amp;'管线现金流'!AK2148&amp;"|"&amp;'管线现金流'!I2149&amp;"|"&amp;'管线现金流'!AK2149&amp;"|"&amp;'管线现金流'!I2150&amp;"|"&amp;'管线现金流'!AK2150&amp;"|"&amp;'管线现金流'!I2151&amp;"|"&amp;'管线现金流'!AK2151&amp;"|"&amp;'管线现金流'!I2152&amp;"|"&amp;'管线现金流'!AK2152&amp;"|"&amp;'管线现金流'!I2153&amp;"|"&amp;'管线现金流'!AK2153&amp;"|"&amp;'管线现金流'!I2154&amp;"|"&amp;'管线现金流'!AK2154&amp;"|"&amp;'管线现金流'!I2155&amp;"|"&amp;'管线现金流'!AK2155&amp;"|"&amp;'管线现金流'!I2156&amp;"|"&amp;'管线现金流'!AK2156&amp;"|"&amp;'管线现金流'!I2157&amp;"|"&amp;'管线现金流'!AK2157&amp;"|"&amp;'管线现金流'!I2158&amp;"|"&amp;'管线现金流'!AK2158&amp;"|"&amp;'管线现金流'!I2159&amp;"|"&amp;'管线现金流'!AK2159&amp;"|"&amp;'管线现金流'!I2160&amp;"|"&amp;'管线现金流'!AK2160&amp;"|"&amp;'管线现金流'!I2161&amp;"|"&amp;'管线现金流'!AK2161&amp;"|"&amp;'管线现金流'!I2162&amp;"|"&amp;'管线现金流'!AK2162&amp;"|"&amp;'管线现金流'!I2163&amp;"|"&amp;'管线现金流'!AK2163&amp;"|"&amp;'管线现金流'!I2164&amp;"|"&amp;'管线现金流'!AK2164&amp;"|"&amp;'管线现金流'!I2165&amp;"|"&amp;'管线现金流'!AK2165&amp;"|"&amp;'管线现金流'!I2166&amp;"|"&amp;'管线现金流'!AK2166&amp;"|"&amp;'管线现金流'!I2167&amp;"|"&amp;'管线现金流'!AK2167&amp;"|"&amp;'管线现金流'!I2168&amp;"|"&amp;'管线现金流'!AK2168&amp;"|"&amp;'管线现金流'!I2169&amp;"|"&amp;'管线现金流'!AK2169&amp;"|"&amp;'管线现金流'!I2170&amp;"|"&amp;'管线现金流'!AK2170&amp;"|"&amp;'管线现金流'!I2171&amp;"|"&amp;'管线现金流'!AK2171&amp;"|"&amp;'管线现金流'!I2172&amp;"|"&amp;'管线现金流'!AK2172&amp;"|"&amp;'管线现金流'!I2173&amp;"|"&amp;'管线现金流'!AK2173&amp;"|"&amp;'管线现金流'!I2174&amp;"|"&amp;'管线现金流'!AK2174&amp;"|"&amp;'管线现金流'!I2175&amp;"|"&amp;'管线现金流'!AK2175&amp;"|"&amp;'管线现金流'!I2176&amp;"|"&amp;'管线现金流'!AK2176&amp;"|"&amp;'管线现金流'!I2177&amp;"|"&amp;'管线现金流'!AK2177&amp;"|"&amp;'管线现金流'!I2178&amp;"|"&amp;'管线现金流'!AK2178&amp;"|"&amp;'管线现金流'!I2179&amp;"|"&amp;'管线现金流'!AK2179&amp;"|"&amp;'管线现金流'!I2180&amp;"|"&amp;'管线现金流'!AK2180&amp;"|"&amp;'管线现金流'!I2181&amp;"|"&amp;'管线现金流'!AK2181&amp;"|"&amp;'管线现金流'!I2182&amp;"|"&amp;'管线现金流'!AK2182&amp;"|"&amp;'管线现金流'!I2183&amp;"|"&amp;'管线现金流'!AK2183&amp;"|"&amp;'管线现金流'!I2184&amp;"|"&amp;'管线现金流'!AK2184&amp;"|"&amp;'管线现金流'!I2185&amp;"|"&amp;'管线现金流'!AK2185&amp;"|"&amp;'管线现金流'!I2186&amp;"|"&amp;'管线现金流'!AK2186&amp;"|"&amp;'管线现金流'!I2187&amp;"|"&amp;'管线现金流'!AK2187&amp;"|"&amp;'管线现金流'!I2188&amp;"|"&amp;'管线现金流'!AK2188&amp;"|"&amp;'管线现金流'!I2189&amp;"|"&amp;'管线现金流'!AK2189&amp;"|"&amp;'管线现金流'!I2190&amp;"|"&amp;'管线现金流'!AK2190&amp;"|"&amp;'管线现金流'!I2191&amp;"|"&amp;'管线现金流'!AK2191&amp;"|"&amp;'管线现金流'!I2192&amp;"|"&amp;'管线现金流'!AK2192&amp;"|"&amp;'管线现金流'!I2193&amp;"|"&amp;'管线现金流'!AK2193&amp;"|"&amp;'管线现金流'!I2194&amp;"|"&amp;'管线现金流'!AK2194&amp;"|"&amp;'管线现金流'!I2195&amp;"|"&amp;'管线现金流'!AK2195&amp;"|"&amp;'管线现金流'!I2196&amp;"|"&amp;'管线现金流'!AK2196&amp;"|"&amp;'管线现金流'!I2197&amp;"|"&amp;'管线现金流'!AK2197&amp;"|"&amp;'管线现金流'!I2198&amp;"|"&amp;'管线现金流'!AK2198&amp;"|"&amp;'管线现金流'!I2199&amp;"|"&amp;'管线现金流'!AK2199&amp;"|"&amp;'管线现金流'!I2200&amp;"|"&amp;'管线现金流'!AK2200&amp;"|"&amp;'管线现金流'!I2201&amp;"|"&amp;'管线现金流'!AK2201&amp;"|"&amp;'管线现金流'!I2202&amp;"|"&amp;'管线现金流'!AK2202&amp;"|"&amp;'管线现金流'!I2203&amp;"|"&amp;'管线现金流'!AK2203&amp;"|"&amp;'管线现金流'!I2204&amp;"|"&amp;'管线现金流'!AK2204&amp;"|"&amp;'管线现金流'!I2205&amp;"|"&amp;'管线现金流'!AK2205&amp;"|"&amp;'管线现金流'!I2206&amp;"|"&amp;'管线现金流'!AK2206&amp;"|"&amp;'管线现金流'!I2207&amp;"|"&amp;'管线现金流'!AK2207&amp;"|"&amp;'管线现金流'!I2208&amp;"|"&amp;'管线现金流'!AK2208&amp;"|"&amp;'管线现金流'!I2209&amp;"|"&amp;'管线现金流'!AK2209&amp;"|"&amp;'管线现金流'!I2210&amp;"|"&amp;'管线现金流'!AK2210&amp;"|"&amp;'管线现金流'!I2211&amp;"|"&amp;'管线现金流'!AK2211&amp;"|"&amp;'管线现金流'!I2212&amp;"|"&amp;'管线现金流'!AK2212&amp;"|"&amp;'管线现金流'!I2213&amp;"|"&amp;'管线现金流'!AK2213&amp;"|"&amp;'管线现金流'!I2214&amp;"|"&amp;'管线现金流'!AK2214&amp;"|"&amp;'管线现金流'!I2215&amp;"|"&amp;'管线现金流'!AK2215&amp;"|"&amp;'管线现金流'!I2216&amp;"|"&amp;'管线现金流'!AK2216&amp;"|"&amp;'管线现金流'!I2217&amp;"|"&amp;'管线现金流'!AK2217&amp;"|"&amp;'管线现金流'!I2218&amp;"|"&amp;'管线现金流'!AK2218&amp;"|"&amp;'管线现金流'!I2219&amp;"|"&amp;'管线现金流'!AK2219&amp;"|"&amp;'管线现金流'!I2220&amp;"|"&amp;'管线现金流'!AK2220&amp;"|"&amp;'管线现金流'!I2221&amp;"|"&amp;'管线现金流'!AK2221&amp;"|"&amp;'管线现金流'!I2222&amp;"|"&amp;'管线现金流'!AK2222&amp;"|"&amp;'管线现金流'!I2223&amp;"|"&amp;'管线现金流'!AK2223&amp;"|"&amp;'管线现金流'!I2224&amp;"|"&amp;'管线现金流'!AK2224&amp;"|"&amp;'管线现金流'!I2225&amp;"|"&amp;'管线现金流'!AK2225&amp;"|"&amp;'管线现金流'!I2226&amp;"|"&amp;'管线现金流'!AK2226&amp;"|"&amp;'管线现金流'!I2227&amp;"|"&amp;'管线现金流'!AK2227&amp;"|"&amp;'管线现金流'!I2228&amp;"|"&amp;'管线现金流'!AK2228&amp;"|"&amp;'管线现金流'!I2229&amp;"|"&amp;'管线现金流'!AK2229&amp;"|"&amp;'管线现金流'!I2230&amp;"|"&amp;'管线现金流'!AK2230&amp;"|"&amp;'管线现金流'!I2231&amp;"|"&amp;'管线现金流'!AK2231&amp;"|"&amp;'管线现金流'!I2232&amp;"|"&amp;'管线现金流'!AK2232&amp;"|"&amp;'管线现金流'!I2233&amp;"|"&amp;'管线现金流'!AK2233&amp;"|"&amp;'管线现金流'!I2234&amp;"|"&amp;'管线现金流'!AK2234&amp;"|"&amp;'管线现金流'!I2235&amp;"|"&amp;'管线现金流'!AK2235&amp;"|"&amp;'管线现金流'!I2236&amp;"|"&amp;'管线现金流'!AK2236&amp;"|"&amp;'管线现金流'!I2237&amp;"|"&amp;'管线现金流'!AK2237&amp;"|"&amp;'管线现金流'!I2238&amp;"|"&amp;'管线现金流'!AK2238&amp;"|"&amp;'管线现金流'!I2239&amp;"|"&amp;'管线现金流'!AK2239&amp;"|"&amp;'管线现金流'!I2240&amp;"|"&amp;'管线现金流'!AK2240&amp;"|"&amp;'管线现金流'!I2241&amp;"|"&amp;'管线现金流'!AK2241&amp;"|"&amp;'管线现金流'!I2242&amp;"|"&amp;'管线现金流'!AK2242&amp;"|"&amp;'管线现金流'!I2243&amp;"|"&amp;'管线现金流'!AK2243&amp;"|"&amp;'管线现金流'!I2244&amp;"|"&amp;'管线现金流'!AK2244&amp;"|"&amp;'管线现金流'!I2245&amp;"|"&amp;'管线现金流'!AK2245&amp;"|"&amp;'管线现金流'!I2246&amp;"|"&amp;'管线现金流'!AK2246&amp;"|"&amp;'管线现金流'!I2247&amp;"|"&amp;'管线现金流'!AK2247&amp;"|"&amp;'管线现金流'!I2248&amp;"|"&amp;'管线现金流'!AK2248&amp;"|"&amp;'管线现金流'!I2249&amp;"|"&amp;'管线现金流'!AK2249&amp;"|"&amp;'管线现金流'!I2250&amp;"|"&amp;'管线现金流'!AK2250&amp;"|"&amp;'管线现金流'!I2251&amp;"|"&amp;'管线现金流'!AK2251&amp;"|"&amp;'管线现金流'!I2252&amp;"|"&amp;'管线现金流'!AK2252&amp;"|"&amp;'管线现金流'!I2253&amp;"|"&amp;'管线现金流'!AK2253&amp;"|"&amp;'管线现金流'!I2254&amp;"|"&amp;'管线现金流'!AK2254&amp;"|"&amp;'管线现金流'!I2255&amp;"|"&amp;'管线现金流'!AK2255&amp;"|"&amp;'管线现金流'!I2256&amp;"|"&amp;'管线现金流'!AK2256&amp;"|"&amp;'管线现金流'!I2257&amp;"|"&amp;'管线现金流'!AK2257&amp;"|"&amp;'管线现金流'!I2258&amp;"|"&amp;'管线现金流'!AK2258&amp;"|"&amp;'管线现金流'!I2259&amp;"|"&amp;'管线现金流'!AK2259&amp;"|"&amp;'管线现金流'!I2260&amp;"|"&amp;'管线现金流'!AK2260&amp;"|"&amp;'管线现金流'!I2261&amp;"|"&amp;'管线现金流'!AK2261&amp;"|"&amp;'管线现金流'!I2262&amp;"|"&amp;'管线现金流'!AK2262&amp;"|"&amp;'管线现金流'!I2263&amp;"|"&amp;'管线现金流'!AK2263&amp;"|"&amp;'管线现金流'!I2264&amp;"|"&amp;'管线现金流'!AK2264&amp;"|"&amp;'管线现金流'!I2265&amp;"|"&amp;'管线现金流'!AK2265&amp;"|"&amp;'管线现金流'!I2266&amp;"|"&amp;'管线现金流'!AK2266&amp;"|"&amp;'管线现金流'!I2267&amp;"|"&amp;'管线现金流'!AK2267&amp;"|"&amp;'管线现金流'!I2268&amp;"|"&amp;'管线现金流'!AK2268&amp;"|"&amp;'管线现金流'!I2269&amp;"|"&amp;'管线现金流'!AK2269&amp;"|"&amp;'管线现金流'!I2270&amp;"|"&amp;'管线现金流'!AK2270&amp;"|"&amp;'管线现金流'!I2271&amp;"|"&amp;'管线现金流'!AK2271&amp;"|"&amp;'管线现金流'!I2272&amp;"|"&amp;'管线现金流'!AK2272&amp;"|"&amp;'管线现金流'!I2273&amp;"|"&amp;'管线现金流'!AK2273&amp;"|"&amp;'管线现金流'!I2274&amp;"|"&amp;'管线现金流'!AK2274&amp;"|"&amp;'管线现金流'!I2275&amp;"|"&amp;'管线现金流'!AK2275&amp;"|"&amp;'管线现金流'!I2276&amp;"|"&amp;'管线现金流'!AK2276&amp;"|"&amp;'管线现金流'!I2277&amp;"|"&amp;'管线现金流'!AK2277&amp;"|"&amp;'管线现金流'!I2278&amp;"|"&amp;'管线现金流'!AK2278&amp;"|"&amp;'管线现金流'!I2279&amp;"|"&amp;'管线现金流'!AK2279&amp;"|"&amp;'管线现金流'!I2280&amp;"|"&amp;'管线现金流'!AK2280&amp;"|"&amp;'管线现金流'!I2281&amp;"|"&amp;'管线现金流'!AK2281&amp;"|"&amp;'管线现金流'!I2282&amp;"|"&amp;'管线现金流'!AK2282&amp;"|"&amp;'管线现金流'!I2283&amp;"|"&amp;'管线现金流'!AK2283&amp;"|"&amp;'管线现金流'!I2284&amp;"|"&amp;'管线现金流'!AK2284&amp;"|"&amp;'管线现金流'!I2285&amp;"|"&amp;'管线现金流'!AK2285&amp;"|"&amp;'管线现金流'!I2286&amp;"|"&amp;'管线现金流'!AK2286&amp;"|"&amp;'管线现金流'!I2287&amp;"|"&amp;'管线现金流'!AK2287&amp;"|"&amp;'管线现金流'!I2288&amp;"|"&amp;'管线现金流'!AK2288&amp;"|"&amp;'管线现金流'!I2289&amp;"|"&amp;'管线现金流'!AK2289&amp;"|"&amp;'管线现金流'!I2290&amp;"|"&amp;'管线现金流'!AK2290&amp;"|"&amp;'管线现金流'!I2291&amp;"|"&amp;'管线现金流'!AK2291&amp;"|"&amp;'管线现金流'!I2292&amp;"|"&amp;'管线现金流'!AK2292&amp;"|"&amp;'管线现金流'!I2293&amp;"|"&amp;'管线现金流'!AK2293&amp;"|"&amp;'管线现金流'!I2294&amp;"|"&amp;'管线现金流'!AK2294&amp;"|"&amp;'管线现金流'!I2295&amp;"|"&amp;'管线现金流'!AK2295&amp;"|"&amp;'管线现金流'!I2296&amp;"|"&amp;'管线现金流'!AK2296</x:f>
        <x:v>1|1|0.6|1|0.25|1|0.14|6.8|0.6259999999999999|0.25|1|0.14|6.8|0.4695999999999999|0.23|1|0.14|6.8|0.42199999999999993|0.0738|1|0.14|6.8|0.40159999999999996|0.23|1|0.14|6.8|0.3879999999999999|0.0738|1|0.14|6.8|0.5784|0.25|1|0.14|6.8|0.49|0.0738|1|0.14|6.8|0.42199999999999993|0.18|1|0.14|6.8|0.3879999999999999|0.0656|1|0.14|6.8|0.3608|0.0656|1|0.14|6.8|0.18000000000000002|0|0.36000000000000004|0|0.54|0|0.7200000000000001|0|0.9|0|0.783|0|0.666|0|0.549|0|0.432|0|0.315|0|0.19799999999999998|0|0.08099999999999997|0|0|0|0|0|0|0|0|0|0|0|0|0|0|0|0|0|0|0|0|0|0|0|0.3|0|0.6|0|0.9|0|1.2|0|1.5|0|1.8|0|1.566|0|1.332|0|1.098|0|0.864|0|0.63|0|0.39599999999999996|0|0.16199999999999995|0|0|0|0|0|0|0|0|0|0|0|0|0|0|0|0|0|0.21666666666666667|0|0.43333333333333335|0|0.65|0|0.8666666666666667|0|1.0833333333333335|0|1.3|0|1.131|0|0.962|0|0.793|0|0.624|0|0.45499999999999996|0|0.286|0|0.11699999999999997|0|0|0|0|0|0|0|0|0|0|0|0|0|0|0|0.26666666666666666|0|0.5333333333333333|0|0.8|0|1.0666666666666667|0|1.3333333333333335|0|1.6|0|1.3920000000000001|0|1.184|0|0.976|0|0.768|0|0.5599999999999999|0|0.352|0|0|0|0|0|0|0|0|0|0|0|0|0|0|0|0.09999999999999999|0|0.19999999999999998|0|0.3|0|0.39999999999999997|0|0.5|0|0.6|0|0.522|0|0.444|0|0.366|0|0.288|0|0.21|0|0.13199999999999998|0|0|0|0|0|0|0|0|0|0|0|0|0|0|0|0|0|0.15|0|0.3|0|0.45|0|0.6|0|0.75|0|0.9|0|0.783|0|0.666|0|0.549|0|0.432|0|0.315|0|0|0|0|0|0|0|0|0|0|0|0.5|0|1|0|1.5|0|2|0|2.5|0|3|0|2.61|0|2.2199999999999998|0|1.83|0|1.44|0|1.0499999999999998|0|0.6599999999999999|0|0.2699999999999999|0|0|0|0|0|0|0|0|0|0|0|0|0|0|0|0.5833333333333333|0|1.1666666666666665|0|1.75|0|2.333333333333333|0|2.916666666666667|0|3.5|0|3.045|0|2.59|0|2.135|0|1.68|0|1.2249999999999999|0|0.7699999999999999|0|0.3149999999999999|0|0|0|0|0|0|0|0|0|0|0|0|0|0|0|0.18333333333333335|0|0.3666666666666667|0|0.55|0|0.7333333333333334|0|0.9166666666666667|0|1.1|0|0.9570000000000001|0|0.8140000000000001|0|0.671|0|0.528|0|0.385|0|0.242|0|0|0|0|0|0|0|0|0|0|0|0|0|0|0|0|0|0.3333333333333333|0|0.6666666666666666|0|1|0|1.3333333333333333|0|1.6666666666666667|0|2|0|1.74|0|1.48|0|1.22|0|0.96|0|0.7|0|0|0|0|0|0|0|0|0|0|0|0|0|0|0|0|0|0|0|0.3333333333333333|0|0.6666666666666666|0|1|0|1.3333333333333333|0|1.6666666666666667|0|2|0|1.74|0|1.48|0|1.22|0|0.96|0</x:v>
      </x:c>
    </x:row>
    <x:row r="321" ht="23" customHeight="1">
      <x:c r="A321" s="11" t="str">
        <x:v>688302.SH</x:v>
      </x:c>
      <x:c r="B321" s="11" t="str">
        <x:v>海创药业</x:v>
      </x:c>
      <x:c r="C321" s="11" t="str">
        <x:v>五年</x:v>
      </x:c>
      <x:c r="D321" s="11" t="str">
        <x:v>乐观</x:v>
      </x:c>
      <x:c r="E321" s="11" t="n">
        <x:v>32.09</x:v>
      </x:c>
      <x:c r="F321" s="11" t="n">
        <x:v>437.09917370453434</x:v>
      </x:c>
      <x:c r="G321" s="11" t="n">
        <x:v>0</x:v>
      </x:c>
      <x:c r="H321" s="25" t="n">
        <x:v>12.621040003257535</x:v>
      </x:c>
      <x:c r="I321" s="25" t="n">
        <x:v>12.621040003257535</x:v>
      </x:c>
      <x:c r="J321" s="25" t="n">
        <x:v>0.6859397631432955</x:v>
      </x:c>
      <x:c r="K321" s="11" t="n">
        <x:v>0</x:v>
      </x:c>
      <x:c r="L321" s="11" t="n">
        <x:v>0</x:v>
      </x:c>
      <x:c r="M321" s="11" t="n">
        <x:v>1</x:v>
      </x:c>
      <x:c r="N321" s="11" t="n">
        <x:v>0</x:v>
      </x:c>
      <x:c r="O321" s="11" t="n">
        <x:v>0</x:v>
      </x:c>
      <x:c r="P321" s="11" t="n">
        <x:v>0</x:v>
      </x:c>
      <x:c r="Q321" s="11" t="n">
        <x:v>0.12</x:v>
      </x:c>
      <x:c r="R321" s="11" t="str">
        <x:v>hinova-rnpv-v1.0</x:v>
      </x:c>
      <x:c r="S321" s="11" t="str">
        <x:v>2026-10-10</x:v>
      </x:c>
      <x:c r="T321" s="11" t="str">
        <x:f>IF(AND(SUM(IF(K321='假设'!E426,0,1),IF(L321='假设'!F426,0,1),IF(M321='假设'!G426,0,1),IF(N321='假设'!H426,0,1),IF(O321='假设'!I426,0,1),IF(P321='假设'!J426,0,1),IF(Q321='假设'!K426,0,1))=0,U321=V321),"已刷新","待刷新")</x:f>
        <x:v>已刷新</x:v>
      </x:c>
      <x:c r="U321" t="str">
        <x:v>1|2.5|1.2|1|0.35|1|0.105|6.8|0.865|0.35|1|0.105|6.8|0.7525|0.33|1|0.105|6.8|0.7075|0.102|1|0.105|6.8|0.685|0.33|1|0.105|6.8|0.6625|0.102|1|0.105|6.8|0.82|0.35|1|0.105|6.8|0.775|0.102|1|0.105|6.8|0.7075|0.28|1|0.105|6.8|0.6625|0.0935|1|0.105|6.8|0.631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  <x:c r="V321" t="str">
        <x:f>'假设'!U426&amp;"|"&amp;'假设'!N426&amp;"|"&amp;'假设'!Q426&amp;"|"&amp;'管线假设'!E466&amp;"|"&amp;'管线假设'!F466&amp;"|"&amp;'管线假设'!G466&amp;"|"&amp;'管线假设'!H466&amp;"|"&amp;'管线假设'!I466&amp;"|"&amp;'管线假设'!E470&amp;"|"&amp;'管线假设'!F470&amp;"|"&amp;'管线假设'!G470&amp;"|"&amp;'管线假设'!H470&amp;"|"&amp;'管线假设'!I470&amp;"|"&amp;'管线假设'!E474&amp;"|"&amp;'管线假设'!F474&amp;"|"&amp;'管线假设'!G474&amp;"|"&amp;'管线假设'!H474&amp;"|"&amp;'管线假设'!I474&amp;"|"&amp;'管线假设'!E478&amp;"|"&amp;'管线假设'!F478&amp;"|"&amp;'管线假设'!G478&amp;"|"&amp;'管线假设'!H478&amp;"|"&amp;'管线假设'!I478&amp;"|"&amp;'管线假设'!E482&amp;"|"&amp;'管线假设'!F482&amp;"|"&amp;'管线假设'!G482&amp;"|"&amp;'管线假设'!H482&amp;"|"&amp;'管线假设'!I482&amp;"|"&amp;'管线假设'!E486&amp;"|"&amp;'管线假设'!F486&amp;"|"&amp;'管线假设'!G486&amp;"|"&amp;'管线假设'!H486&amp;"|"&amp;'管线假设'!I486&amp;"|"&amp;'管线假设'!E490&amp;"|"&amp;'管线假设'!F490&amp;"|"&amp;'管线假设'!G490&amp;"|"&amp;'管线假设'!H490&amp;"|"&amp;'管线假设'!I490&amp;"|"&amp;'管线假设'!E494&amp;"|"&amp;'管线假设'!F494&amp;"|"&amp;'管线假设'!G494&amp;"|"&amp;'管线假设'!H494&amp;"|"&amp;'管线假设'!I494&amp;"|"&amp;'管线假设'!E498&amp;"|"&amp;'管线假设'!F498&amp;"|"&amp;'管线假设'!G498&amp;"|"&amp;'管线假设'!H498&amp;"|"&amp;'管线假设'!I498&amp;"|"&amp;'管线假设'!E502&amp;"|"&amp;'管线假设'!F502&amp;"|"&amp;'管线假设'!G502&amp;"|"&amp;'管线假设'!H502&amp;"|"&amp;'管线假设'!I502&amp;"|"&amp;'管线假设'!E506&amp;"|"&amp;'管线假设'!F506&amp;"|"&amp;'管线假设'!G506&amp;"|"&amp;'管线假设'!H506&amp;"|"&amp;'管线假设'!I506&amp;"|"&amp;'管线现金流'!J2088&amp;"|"&amp;'管线现金流'!AL2088&amp;"|"&amp;'管线现金流'!J2089&amp;"|"&amp;'管线现金流'!AL2089&amp;"|"&amp;'管线现金流'!J2090&amp;"|"&amp;'管线现金流'!AL2090&amp;"|"&amp;'管线现金流'!J2091&amp;"|"&amp;'管线现金流'!AL2091&amp;"|"&amp;'管线现金流'!J2092&amp;"|"&amp;'管线现金流'!AL2092&amp;"|"&amp;'管线现金流'!J2093&amp;"|"&amp;'管线现金流'!AL2093&amp;"|"&amp;'管线现金流'!J2094&amp;"|"&amp;'管线现金流'!AL2094&amp;"|"&amp;'管线现金流'!J2095&amp;"|"&amp;'管线现金流'!AL2095&amp;"|"&amp;'管线现金流'!J2096&amp;"|"&amp;'管线现金流'!AL2096&amp;"|"&amp;'管线现金流'!J2097&amp;"|"&amp;'管线现金流'!AL2097&amp;"|"&amp;'管线现金流'!J2098&amp;"|"&amp;'管线现金流'!AL2098&amp;"|"&amp;'管线现金流'!J2099&amp;"|"&amp;'管线现金流'!AL2099&amp;"|"&amp;'管线现金流'!J2100&amp;"|"&amp;'管线现金流'!AL2100&amp;"|"&amp;'管线现金流'!J2101&amp;"|"&amp;'管线现金流'!AL2101&amp;"|"&amp;'管线现金流'!J2102&amp;"|"&amp;'管线现金流'!AL2102&amp;"|"&amp;'管线现金流'!J2103&amp;"|"&amp;'管线现金流'!AL2103&amp;"|"&amp;'管线现金流'!J2104&amp;"|"&amp;'管线现金流'!AL2104&amp;"|"&amp;'管线现金流'!J2105&amp;"|"&amp;'管线现金流'!AL2105&amp;"|"&amp;'管线现金流'!J2106&amp;"|"&amp;'管线现金流'!AL2106&amp;"|"&amp;'管线现金流'!J2107&amp;"|"&amp;'管线现金流'!AL2107&amp;"|"&amp;'管线现金流'!J2108&amp;"|"&amp;'管线现金流'!AL2108&amp;"|"&amp;'管线现金流'!J2109&amp;"|"&amp;'管线现金流'!AL2109&amp;"|"&amp;'管线现金流'!J2110&amp;"|"&amp;'管线现金流'!AL2110&amp;"|"&amp;'管线现金流'!J2111&amp;"|"&amp;'管线现金流'!AL2111&amp;"|"&amp;'管线现金流'!J2112&amp;"|"&amp;'管线现金流'!AL2112&amp;"|"&amp;'管线现金流'!J2113&amp;"|"&amp;'管线现金流'!AL2113&amp;"|"&amp;'管线现金流'!J2114&amp;"|"&amp;'管线现金流'!AL2114&amp;"|"&amp;'管线现金流'!J2115&amp;"|"&amp;'管线现金流'!AL2115&amp;"|"&amp;'管线现金流'!J2116&amp;"|"&amp;'管线现金流'!AL2116&amp;"|"&amp;'管线现金流'!J2117&amp;"|"&amp;'管线现金流'!AL2117&amp;"|"&amp;'管线现金流'!J2118&amp;"|"&amp;'管线现金流'!AL2118&amp;"|"&amp;'管线现金流'!J2119&amp;"|"&amp;'管线现金流'!AL2119&amp;"|"&amp;'管线现金流'!J2120&amp;"|"&amp;'管线现金流'!AL2120&amp;"|"&amp;'管线现金流'!J2121&amp;"|"&amp;'管线现金流'!AL2121&amp;"|"&amp;'管线现金流'!J2122&amp;"|"&amp;'管线现金流'!AL2122&amp;"|"&amp;'管线现金流'!J2123&amp;"|"&amp;'管线现金流'!AL2123&amp;"|"&amp;'管线现金流'!J2124&amp;"|"&amp;'管线现金流'!AL2124&amp;"|"&amp;'管线现金流'!J2125&amp;"|"&amp;'管线现金流'!AL2125&amp;"|"&amp;'管线现金流'!J2126&amp;"|"&amp;'管线现金流'!AL2126&amp;"|"&amp;'管线现金流'!J2127&amp;"|"&amp;'管线现金流'!AL2127&amp;"|"&amp;'管线现金流'!J2128&amp;"|"&amp;'管线现金流'!AL2128&amp;"|"&amp;'管线现金流'!J2129&amp;"|"&amp;'管线现金流'!AL2129&amp;"|"&amp;'管线现金流'!J2130&amp;"|"&amp;'管线现金流'!AL2130&amp;"|"&amp;'管线现金流'!J2131&amp;"|"&amp;'管线现金流'!AL2131&amp;"|"&amp;'管线现金流'!J2132&amp;"|"&amp;'管线现金流'!AL2132&amp;"|"&amp;'管线现金流'!J2133&amp;"|"&amp;'管线现金流'!AL2133&amp;"|"&amp;'管线现金流'!J2134&amp;"|"&amp;'管线现金流'!AL2134&amp;"|"&amp;'管线现金流'!J2135&amp;"|"&amp;'管线现金流'!AL2135&amp;"|"&amp;'管线现金流'!J2136&amp;"|"&amp;'管线现金流'!AL2136&amp;"|"&amp;'管线现金流'!J2137&amp;"|"&amp;'管线现金流'!AL2137&amp;"|"&amp;'管线现金流'!J2138&amp;"|"&amp;'管线现金流'!AL2138&amp;"|"&amp;'管线现金流'!J2139&amp;"|"&amp;'管线现金流'!AL2139&amp;"|"&amp;'管线现金流'!J2140&amp;"|"&amp;'管线现金流'!AL2140&amp;"|"&amp;'管线现金流'!J2141&amp;"|"&amp;'管线现金流'!AL2141&amp;"|"&amp;'管线现金流'!J2142&amp;"|"&amp;'管线现金流'!AL2142&amp;"|"&amp;'管线现金流'!J2143&amp;"|"&amp;'管线现金流'!AL2143&amp;"|"&amp;'管线现金流'!J2144&amp;"|"&amp;'管线现金流'!AL2144&amp;"|"&amp;'管线现金流'!J2145&amp;"|"&amp;'管线现金流'!AL2145&amp;"|"&amp;'管线现金流'!J2146&amp;"|"&amp;'管线现金流'!AL2146&amp;"|"&amp;'管线现金流'!J2147&amp;"|"&amp;'管线现金流'!AL2147&amp;"|"&amp;'管线现金流'!J2148&amp;"|"&amp;'管线现金流'!AL2148&amp;"|"&amp;'管线现金流'!J2149&amp;"|"&amp;'管线现金流'!AL2149&amp;"|"&amp;'管线现金流'!J2150&amp;"|"&amp;'管线现金流'!AL2150&amp;"|"&amp;'管线现金流'!J2151&amp;"|"&amp;'管线现金流'!AL2151&amp;"|"&amp;'管线现金流'!J2152&amp;"|"&amp;'管线现金流'!AL2152&amp;"|"&amp;'管线现金流'!J2153&amp;"|"&amp;'管线现金流'!AL2153&amp;"|"&amp;'管线现金流'!J2154&amp;"|"&amp;'管线现金流'!AL2154&amp;"|"&amp;'管线现金流'!J2155&amp;"|"&amp;'管线现金流'!AL2155&amp;"|"&amp;'管线现金流'!J2156&amp;"|"&amp;'管线现金流'!AL2156&amp;"|"&amp;'管线现金流'!J2157&amp;"|"&amp;'管线现金流'!AL2157&amp;"|"&amp;'管线现金流'!J2158&amp;"|"&amp;'管线现金流'!AL2158&amp;"|"&amp;'管线现金流'!J2159&amp;"|"&amp;'管线现金流'!AL2159&amp;"|"&amp;'管线现金流'!J2160&amp;"|"&amp;'管线现金流'!AL2160&amp;"|"&amp;'管线现金流'!J2161&amp;"|"&amp;'管线现金流'!AL2161&amp;"|"&amp;'管线现金流'!J2162&amp;"|"&amp;'管线现金流'!AL2162&amp;"|"&amp;'管线现金流'!J2163&amp;"|"&amp;'管线现金流'!AL2163&amp;"|"&amp;'管线现金流'!J2164&amp;"|"&amp;'管线现金流'!AL2164&amp;"|"&amp;'管线现金流'!J2165&amp;"|"&amp;'管线现金流'!AL2165&amp;"|"&amp;'管线现金流'!J2166&amp;"|"&amp;'管线现金流'!AL2166&amp;"|"&amp;'管线现金流'!J2167&amp;"|"&amp;'管线现金流'!AL2167&amp;"|"&amp;'管线现金流'!J2168&amp;"|"&amp;'管线现金流'!AL2168&amp;"|"&amp;'管线现金流'!J2169&amp;"|"&amp;'管线现金流'!AL2169&amp;"|"&amp;'管线现金流'!J2170&amp;"|"&amp;'管线现金流'!AL2170&amp;"|"&amp;'管线现金流'!J2171&amp;"|"&amp;'管线现金流'!AL2171&amp;"|"&amp;'管线现金流'!J2172&amp;"|"&amp;'管线现金流'!AL2172&amp;"|"&amp;'管线现金流'!J2173&amp;"|"&amp;'管线现金流'!AL2173&amp;"|"&amp;'管线现金流'!J2174&amp;"|"&amp;'管线现金流'!AL2174&amp;"|"&amp;'管线现金流'!J2175&amp;"|"&amp;'管线现金流'!AL2175&amp;"|"&amp;'管线现金流'!J2176&amp;"|"&amp;'管线现金流'!AL2176&amp;"|"&amp;'管线现金流'!J2177&amp;"|"&amp;'管线现金流'!AL2177&amp;"|"&amp;'管线现金流'!J2178&amp;"|"&amp;'管线现金流'!AL2178&amp;"|"&amp;'管线现金流'!J2179&amp;"|"&amp;'管线现金流'!AL2179&amp;"|"&amp;'管线现金流'!J2180&amp;"|"&amp;'管线现金流'!AL2180&amp;"|"&amp;'管线现金流'!J2181&amp;"|"&amp;'管线现金流'!AL2181&amp;"|"&amp;'管线现金流'!J2182&amp;"|"&amp;'管线现金流'!AL2182&amp;"|"&amp;'管线现金流'!J2183&amp;"|"&amp;'管线现金流'!AL2183&amp;"|"&amp;'管线现金流'!J2184&amp;"|"&amp;'管线现金流'!AL2184&amp;"|"&amp;'管线现金流'!J2185&amp;"|"&amp;'管线现金流'!AL2185&amp;"|"&amp;'管线现金流'!J2186&amp;"|"&amp;'管线现金流'!AL2186&amp;"|"&amp;'管线现金流'!J2187&amp;"|"&amp;'管线现金流'!AL2187&amp;"|"&amp;'管线现金流'!J2188&amp;"|"&amp;'管线现金流'!AL2188&amp;"|"&amp;'管线现金流'!J2189&amp;"|"&amp;'管线现金流'!AL2189&amp;"|"&amp;'管线现金流'!J2190&amp;"|"&amp;'管线现金流'!AL2190&amp;"|"&amp;'管线现金流'!J2191&amp;"|"&amp;'管线现金流'!AL2191&amp;"|"&amp;'管线现金流'!J2192&amp;"|"&amp;'管线现金流'!AL2192&amp;"|"&amp;'管线现金流'!J2193&amp;"|"&amp;'管线现金流'!AL2193&amp;"|"&amp;'管线现金流'!J2194&amp;"|"&amp;'管线现金流'!AL2194&amp;"|"&amp;'管线现金流'!J2195&amp;"|"&amp;'管线现金流'!AL2195&amp;"|"&amp;'管线现金流'!J2196&amp;"|"&amp;'管线现金流'!AL2196&amp;"|"&amp;'管线现金流'!J2197&amp;"|"&amp;'管线现金流'!AL2197&amp;"|"&amp;'管线现金流'!J2198&amp;"|"&amp;'管线现金流'!AL2198&amp;"|"&amp;'管线现金流'!J2199&amp;"|"&amp;'管线现金流'!AL2199&amp;"|"&amp;'管线现金流'!J2200&amp;"|"&amp;'管线现金流'!AL2200&amp;"|"&amp;'管线现金流'!J2201&amp;"|"&amp;'管线现金流'!AL2201&amp;"|"&amp;'管线现金流'!J2202&amp;"|"&amp;'管线现金流'!AL2202&amp;"|"&amp;'管线现金流'!J2203&amp;"|"&amp;'管线现金流'!AL2203&amp;"|"&amp;'管线现金流'!J2204&amp;"|"&amp;'管线现金流'!AL2204&amp;"|"&amp;'管线现金流'!J2205&amp;"|"&amp;'管线现金流'!AL2205&amp;"|"&amp;'管线现金流'!J2206&amp;"|"&amp;'管线现金流'!AL2206&amp;"|"&amp;'管线现金流'!J2207&amp;"|"&amp;'管线现金流'!AL2207&amp;"|"&amp;'管线现金流'!J2208&amp;"|"&amp;'管线现金流'!AL2208&amp;"|"&amp;'管线现金流'!J2209&amp;"|"&amp;'管线现金流'!AL2209&amp;"|"&amp;'管线现金流'!J2210&amp;"|"&amp;'管线现金流'!AL2210&amp;"|"&amp;'管线现金流'!J2211&amp;"|"&amp;'管线现金流'!AL2211&amp;"|"&amp;'管线现金流'!J2212&amp;"|"&amp;'管线现金流'!AL2212&amp;"|"&amp;'管线现金流'!J2213&amp;"|"&amp;'管线现金流'!AL2213&amp;"|"&amp;'管线现金流'!J2214&amp;"|"&amp;'管线现金流'!AL2214&amp;"|"&amp;'管线现金流'!J2215&amp;"|"&amp;'管线现金流'!AL2215&amp;"|"&amp;'管线现金流'!J2216&amp;"|"&amp;'管线现金流'!AL2216&amp;"|"&amp;'管线现金流'!J2217&amp;"|"&amp;'管线现金流'!AL2217&amp;"|"&amp;'管线现金流'!J2218&amp;"|"&amp;'管线现金流'!AL2218&amp;"|"&amp;'管线现金流'!J2219&amp;"|"&amp;'管线现金流'!AL2219&amp;"|"&amp;'管线现金流'!J2220&amp;"|"&amp;'管线现金流'!AL2220&amp;"|"&amp;'管线现金流'!J2221&amp;"|"&amp;'管线现金流'!AL2221&amp;"|"&amp;'管线现金流'!J2222&amp;"|"&amp;'管线现金流'!AL2222&amp;"|"&amp;'管线现金流'!J2223&amp;"|"&amp;'管线现金流'!AL2223&amp;"|"&amp;'管线现金流'!J2224&amp;"|"&amp;'管线现金流'!AL2224&amp;"|"&amp;'管线现金流'!J2225&amp;"|"&amp;'管线现金流'!AL2225&amp;"|"&amp;'管线现金流'!J2226&amp;"|"&amp;'管线现金流'!AL2226&amp;"|"&amp;'管线现金流'!J2227&amp;"|"&amp;'管线现金流'!AL2227&amp;"|"&amp;'管线现金流'!J2228&amp;"|"&amp;'管线现金流'!AL2228&amp;"|"&amp;'管线现金流'!J2229&amp;"|"&amp;'管线现金流'!AL2229&amp;"|"&amp;'管线现金流'!J2230&amp;"|"&amp;'管线现金流'!AL2230&amp;"|"&amp;'管线现金流'!J2231&amp;"|"&amp;'管线现金流'!AL2231&amp;"|"&amp;'管线现金流'!J2232&amp;"|"&amp;'管线现金流'!AL2232&amp;"|"&amp;'管线现金流'!J2233&amp;"|"&amp;'管线现金流'!AL2233&amp;"|"&amp;'管线现金流'!J2234&amp;"|"&amp;'管线现金流'!AL2234&amp;"|"&amp;'管线现金流'!J2235&amp;"|"&amp;'管线现金流'!AL2235&amp;"|"&amp;'管线现金流'!J2236&amp;"|"&amp;'管线现金流'!AL2236&amp;"|"&amp;'管线现金流'!J2237&amp;"|"&amp;'管线现金流'!AL2237&amp;"|"&amp;'管线现金流'!J2238&amp;"|"&amp;'管线现金流'!AL2238&amp;"|"&amp;'管线现金流'!J2239&amp;"|"&amp;'管线现金流'!AL2239&amp;"|"&amp;'管线现金流'!J2240&amp;"|"&amp;'管线现金流'!AL2240&amp;"|"&amp;'管线现金流'!J2241&amp;"|"&amp;'管线现金流'!AL2241&amp;"|"&amp;'管线现金流'!J2242&amp;"|"&amp;'管线现金流'!AL2242&amp;"|"&amp;'管线现金流'!J2243&amp;"|"&amp;'管线现金流'!AL2243&amp;"|"&amp;'管线现金流'!J2244&amp;"|"&amp;'管线现金流'!AL2244&amp;"|"&amp;'管线现金流'!J2245&amp;"|"&amp;'管线现金流'!AL2245&amp;"|"&amp;'管线现金流'!J2246&amp;"|"&amp;'管线现金流'!AL2246&amp;"|"&amp;'管线现金流'!J2247&amp;"|"&amp;'管线现金流'!AL2247&amp;"|"&amp;'管线现金流'!J2248&amp;"|"&amp;'管线现金流'!AL2248&amp;"|"&amp;'管线现金流'!J2249&amp;"|"&amp;'管线现金流'!AL2249&amp;"|"&amp;'管线现金流'!J2250&amp;"|"&amp;'管线现金流'!AL2250&amp;"|"&amp;'管线现金流'!J2251&amp;"|"&amp;'管线现金流'!AL2251&amp;"|"&amp;'管线现金流'!J2252&amp;"|"&amp;'管线现金流'!AL2252&amp;"|"&amp;'管线现金流'!J2253&amp;"|"&amp;'管线现金流'!AL2253&amp;"|"&amp;'管线现金流'!J2254&amp;"|"&amp;'管线现金流'!AL2254&amp;"|"&amp;'管线现金流'!J2255&amp;"|"&amp;'管线现金流'!AL2255&amp;"|"&amp;'管线现金流'!J2256&amp;"|"&amp;'管线现金流'!AL2256&amp;"|"&amp;'管线现金流'!J2257&amp;"|"&amp;'管线现金流'!AL2257&amp;"|"&amp;'管线现金流'!J2258&amp;"|"&amp;'管线现金流'!AL2258&amp;"|"&amp;'管线现金流'!J2259&amp;"|"&amp;'管线现金流'!AL2259&amp;"|"&amp;'管线现金流'!J2260&amp;"|"&amp;'管线现金流'!AL2260&amp;"|"&amp;'管线现金流'!J2261&amp;"|"&amp;'管线现金流'!AL2261&amp;"|"&amp;'管线现金流'!J2262&amp;"|"&amp;'管线现金流'!AL2262&amp;"|"&amp;'管线现金流'!J2263&amp;"|"&amp;'管线现金流'!AL2263&amp;"|"&amp;'管线现金流'!J2264&amp;"|"&amp;'管线现金流'!AL2264&amp;"|"&amp;'管线现金流'!J2265&amp;"|"&amp;'管线现金流'!AL2265&amp;"|"&amp;'管线现金流'!J2266&amp;"|"&amp;'管线现金流'!AL2266&amp;"|"&amp;'管线现金流'!J2267&amp;"|"&amp;'管线现金流'!AL2267&amp;"|"&amp;'管线现金流'!J2268&amp;"|"&amp;'管线现金流'!AL2268&amp;"|"&amp;'管线现金流'!J2269&amp;"|"&amp;'管线现金流'!AL2269&amp;"|"&amp;'管线现金流'!J2270&amp;"|"&amp;'管线现金流'!AL2270&amp;"|"&amp;'管线现金流'!J2271&amp;"|"&amp;'管线现金流'!AL2271&amp;"|"&amp;'管线现金流'!J2272&amp;"|"&amp;'管线现金流'!AL2272&amp;"|"&amp;'管线现金流'!J2273&amp;"|"&amp;'管线现金流'!AL2273&amp;"|"&amp;'管线现金流'!J2274&amp;"|"&amp;'管线现金流'!AL2274&amp;"|"&amp;'管线现金流'!J2275&amp;"|"&amp;'管线现金流'!AL2275&amp;"|"&amp;'管线现金流'!J2276&amp;"|"&amp;'管线现金流'!AL2276&amp;"|"&amp;'管线现金流'!J2277&amp;"|"&amp;'管线现金流'!AL2277&amp;"|"&amp;'管线现金流'!J2278&amp;"|"&amp;'管线现金流'!AL2278&amp;"|"&amp;'管线现金流'!J2279&amp;"|"&amp;'管线现金流'!AL2279&amp;"|"&amp;'管线现金流'!J2280&amp;"|"&amp;'管线现金流'!AL2280&amp;"|"&amp;'管线现金流'!J2281&amp;"|"&amp;'管线现金流'!AL2281&amp;"|"&amp;'管线现金流'!J2282&amp;"|"&amp;'管线现金流'!AL2282&amp;"|"&amp;'管线现金流'!J2283&amp;"|"&amp;'管线现金流'!AL2283&amp;"|"&amp;'管线现金流'!J2284&amp;"|"&amp;'管线现金流'!AL2284&amp;"|"&amp;'管线现金流'!J2285&amp;"|"&amp;'管线现金流'!AL2285&amp;"|"&amp;'管线现金流'!J2286&amp;"|"&amp;'管线现金流'!AL2286&amp;"|"&amp;'管线现金流'!J2287&amp;"|"&amp;'管线现金流'!AL2287&amp;"|"&amp;'管线现金流'!J2288&amp;"|"&amp;'管线现金流'!AL2288&amp;"|"&amp;'管线现金流'!J2289&amp;"|"&amp;'管线现金流'!AL2289&amp;"|"&amp;'管线现金流'!J2290&amp;"|"&amp;'管线现金流'!AL2290&amp;"|"&amp;'管线现金流'!J2291&amp;"|"&amp;'管线现金流'!AL2291&amp;"|"&amp;'管线现金流'!J2292&amp;"|"&amp;'管线现金流'!AL2292&amp;"|"&amp;'管线现金流'!J2293&amp;"|"&amp;'管线现金流'!AL2293&amp;"|"&amp;'管线现金流'!J2294&amp;"|"&amp;'管线现金流'!AL2294&amp;"|"&amp;'管线现金流'!J2295&amp;"|"&amp;'管线现金流'!AL2295&amp;"|"&amp;'管线现金流'!J2296&amp;"|"&amp;'管线现金流'!AL2296</x:f>
        <x:v>1|2.5|1.2|1|0.35|1|0.105|6.8|0.865|0.35|1|0.105|6.8|0.7525|0.33|1|0.105|6.8|0.7075|0.102|1|0.105|6.8|0.685|0.33|1|0.105|6.8|0.6625|0.102|1|0.105|6.8|0.82|0.35|1|0.105|6.8|0.775|0.102|1|0.105|6.8|0.7075|0.28|1|0.105|6.8|0.6625|0.0935|1|0.105|6.8|0.631|0.0935|1|0.105|6.8|0.375|0|0.75|0|1.125|0|1.5|0|1.305|0|1.1099999999999999|0|0.915|0|0.72|0|0.5249999999999999|0|0.32999999999999996|0|0.13499999999999995|0|0|0|0|0|0|0|0|0|0|0|0|0|0|0|0|0|0|0|0|0|0.5|0|1|0|1.5|0|2|0|2.5|0|3|0|2.61|0|2.2199999999999998|0|1.83|0|1.44|0|1.0499999999999998|0|0.6599999999999999|0|0.2699999999999999|0|0|0|0|0|0|0|0|0|0|0|0|0|0|0|0|0|0.41666666666666663|0|0.8333333333333333|0|1.25|0|1.6666666666666665|0|2.0833333333333335|0|2.5|0|2.175|0|1.85|0|1.525|0|1.2|0|0.875|0|0.5499999999999999|0|0.22499999999999992|0|0|0|0|0|0|0|0|0|0|0|0|0|0|0|0.5|0|1|0|1.5|0|2|0|2.5|0|3|0|2.61|0|2.2199999999999998|0|1.83|0|1.44|0|1.0499999999999998|0|0.6599999999999999|0|0.2699999999999999|0|0|0|0|0|0|0|0|0|0|0|0|0|0.19999999999999998|0|0.39999999999999997|0|0.6|0|0.7999999999999999|0|1|0|1.2|0|1.044|0|0.888|0|0.732|0|0.576|0|0.42|0|0.26399999999999996|0|0.10799999999999996|0|0|0|0|0|0|0|0|0|0|0|0|0|0|0|0.3|0|0.6|0|0.9|0|1.2|0|1.5|0|1.8|0|1.566|0|1.332|0|1.098|0|0.864|0|0.63|0|0.39599999999999996|0|0.16199999999999995|0|0|0|0|0|0|0|1|0|2|0|3|0|4|0|5|0|6|0|5.22|0|4.4399999999999995|0|3.66|0|2.88|0|2.0999999999999996|0|1.3199999999999998|0|0.5399999999999998|0|0|0|0|0|0|0|0|0|0|0|0|0|0|0|1.1666666666666665|0|2.333333333333333|0|3.5|0|4.666666666666666|0|5.833333333333334|0|7|0|6.09|0|5.18|0|4.27|0|3.36|0|2.4499999999999997|0|1.5399999999999998|0|0.6299999999999998|0|0|0|0|0|0|0|0|0|0|0|0|0|0|0|0.41666666666666663|0|0.8333333333333333|0|1.25|0|1.6666666666666665|0|2.0833333333333335|0|2.5|0|2.175|0|1.85|0|1.525|0|1.2|0|0.875|0|0.5499999999999999|0|0.22499999999999992|0|0|0|0|0|0|0|0|0|0|0|0|0|0|0|0.6666666666666666|0|1.3333333333333333|0|2|0|2.6666666666666665|0|3.3333333333333335|0|4|0|3.48|0|2.96|0|2.44|0|1.92|0|1.4|0|0.8799999999999999|0|0.3599999999999999|0|0|0|0|0|0|0|0|0|0|0|0|0|0|0|0.6666666666666666|0|1.3333333333333333|0|2|0|2.6666666666666665|0|3.3333333333333335|0|4|0|3.48|0|2.96|0|2.44|0|1.92|0|1.4|0|0.8799999999999999|0</x:v>
      </x:c>
    </x:row>
    <x:row r="322" ht="23" customHeight="1">
      <x:c r="A322" s="11" t="str">
        <x:v>01801.HK</x:v>
      </x:c>
      <x:c r="B322" s="11" t="str">
        <x:v>信达生物</x:v>
      </x:c>
      <x:c r="C322" s="11" t="str">
        <x:v>2026年底</x:v>
      </x:c>
      <x:c r="D322" s="11" t="str">
        <x:v>悲观</x:v>
      </x:c>
      <x:c r="E322" s="11" t="n">
        <x:v>92.65</x:v>
      </x:c>
      <x:c r="F322" s="11" t="n">
        <x:v>47.52000000000001</x:v>
      </x:c>
      <x:c r="G322" s="11" t="n">
        <x:v>0</x:v>
      </x:c>
      <x:c r="H322" s="25" t="n">
        <x:v>-0.4871019967620075</x:v>
      </x:c>
      <x:c r="I322" s="25" t="n">
        <x:v>-0.4871019967620075</x:v>
      </x:c>
      <x:c r="J322" s="25" t="str"/>
      <x:c r="K322" s="11" t="n">
        <x:v>1.8</x:v>
      </x:c>
      <x:c r="L322" s="11" t="n">
        <x:v>24</x:v>
      </x:c>
      <x:c r="M322" s="11" t="n">
        <x:v>1.1</x:v>
      </x:c>
      <x:c r="N322" s="11" t="n">
        <x:v>0</x:v>
      </x:c>
      <x:c r="O322" s="11" t="n">
        <x:v>18</x:v>
      </x:c>
      <x:c r="P322" s="11" t="n">
        <x:v>0.188</x:v>
      </x:c>
      <x:c r="Q322" s="11" t="n">
        <x:v>1.88</x:v>
      </x:c>
      <x:c r="R322" s="11" t="str">
        <x:v>innovent-v1</x:v>
      </x:c>
      <x:c r="S322" s="11" t="str">
        <x:v>2026-10-10</x:v>
      </x:c>
      <x:c r="T322" s="11" t="str">
        <x:f>IF(AND(SUM(IF(K322='假设'!E428,0,1),IF(L322='假设'!F428,0,1),IF(M322='假设'!G428,0,1),IF(N322='假设'!H428,0,1),IF(O322='假设'!I428,0,1),IF(P322='假设'!J428,0,1),IF(Q322='假设'!K428,0,1))=0,U322=V322),"已刷新","待刷新")</x:f>
        <x:v>已刷新</x:v>
      </x:c>
    </x:row>
    <x:row r="323" ht="23" customHeight="1">
      <x:c r="A323" s="11" t="str">
        <x:v>01801.HK</x:v>
      </x:c>
      <x:c r="B323" s="11" t="str">
        <x:v>信达生物</x:v>
      </x:c>
      <x:c r="C323" s="11" t="str">
        <x:v>2026年底</x:v>
      </x:c>
      <x:c r="D323" s="11" t="str">
        <x:v>基准</x:v>
      </x:c>
      <x:c r="E323" s="11" t="n">
        <x:v>92.65</x:v>
      </x:c>
      <x:c r="F323" s="11" t="n">
        <x:v>102.30000000000003</x:v>
      </x:c>
      <x:c r="G323" s="11" t="n">
        <x:v>0</x:v>
      </x:c>
      <x:c r="H323" s="25" t="n">
        <x:v>0.10415542363734498</x:v>
      </x:c>
      <x:c r="I323" s="25" t="n">
        <x:v>0.10415542363734498</x:v>
      </x:c>
      <x:c r="J323" s="25" t="str"/>
      <x:c r="K323" s="11" t="n">
        <x:v>3</x:v>
      </x:c>
      <x:c r="L323" s="11" t="n">
        <x:v>31</x:v>
      </x:c>
      <x:c r="M323" s="11" t="n">
        <x:v>1.1</x:v>
      </x:c>
      <x:c r="N323" s="11" t="n">
        <x:v>0</x:v>
      </x:c>
      <x:c r="O323" s="11" t="n">
        <x:v>23</x:v>
      </x:c>
      <x:c r="P323" s="11" t="n">
        <x:v>0.24130434782608698</x:v>
      </x:c>
      <x:c r="Q323" s="11" t="n">
        <x:v>1.85</x:v>
      </x:c>
      <x:c r="R323" s="11" t="str">
        <x:v>innovent-v1</x:v>
      </x:c>
      <x:c r="S323" s="11" t="str">
        <x:v>2026-10-10</x:v>
      </x:c>
      <x:c r="T323" s="11" t="str">
        <x:f>IF(AND(SUM(IF(K323='假设'!E429,0,1),IF(L323='假设'!F429,0,1),IF(M323='假设'!G429,0,1),IF(N323='假设'!H429,0,1),IF(O323='假设'!I429,0,1),IF(P323='假设'!J429,0,1),IF(Q323='假设'!K429,0,1))=0,U323=V323),"已刷新","待刷新")</x:f>
        <x:v>已刷新</x:v>
      </x:c>
    </x:row>
    <x:row r="324" ht="23" customHeight="1">
      <x:c r="A324" s="11" t="str">
        <x:v>01801.HK</x:v>
      </x:c>
      <x:c r="B324" s="11" t="str">
        <x:v>信达生物</x:v>
      </x:c>
      <x:c r="C324" s="11" t="str">
        <x:v>2026年底</x:v>
      </x:c>
      <x:c r="D324" s="11" t="str">
        <x:v>乐观</x:v>
      </x:c>
      <x:c r="E324" s="11" t="n">
        <x:v>92.65</x:v>
      </x:c>
      <x:c r="F324" s="11" t="n">
        <x:v>166.87</x:v>
      </x:c>
      <x:c r="G324" s="11" t="n">
        <x:v>0</x:v>
      </x:c>
      <x:c r="H324" s="25" t="n">
        <x:v>0.8010793308148947</x:v>
      </x:c>
      <x:c r="I324" s="25" t="n">
        <x:v>0.8010793308148947</x:v>
      </x:c>
      <x:c r="J324" s="25" t="str"/>
      <x:c r="K324" s="11" t="n">
        <x:v>4.1</x:v>
      </x:c>
      <x:c r="L324" s="11" t="n">
        <x:v>37</x:v>
      </x:c>
      <x:c r="M324" s="11" t="n">
        <x:v>1.1</x:v>
      </x:c>
      <x:c r="N324" s="11" t="n">
        <x:v>0</x:v>
      </x:c>
      <x:c r="O324" s="11" t="n">
        <x:v>27</x:v>
      </x:c>
      <x:c r="P324" s="11" t="n">
        <x:v>0.2809259259259259</x:v>
      </x:c>
      <x:c r="Q324" s="11" t="n">
        <x:v>1.85</x:v>
      </x:c>
      <x:c r="R324" s="11" t="str">
        <x:v>innovent-v1</x:v>
      </x:c>
      <x:c r="S324" s="11" t="str">
        <x:v>2026-10-10</x:v>
      </x:c>
      <x:c r="T324" s="11" t="str">
        <x:f>IF(AND(SUM(IF(K324='假设'!E430,0,1),IF(L324='假设'!F430,0,1),IF(M324='假设'!G430,0,1),IF(N324='假设'!H430,0,1),IF(O324='假设'!I430,0,1),IF(P324='假设'!J430,0,1),IF(Q324='假设'!K430,0,1))=0,U324=V324),"已刷新","待刷新")</x:f>
        <x:v>已刷新</x:v>
      </x:c>
    </x:row>
    <x:row r="325" ht="23" customHeight="1">
      <x:c r="A325" s="11" t="str">
        <x:v>01801.HK</x:v>
      </x:c>
      <x:c r="B325" s="11" t="str">
        <x:v>信达生物</x:v>
      </x:c>
      <x:c r="C325" s="11" t="str">
        <x:v>半年</x:v>
      </x:c>
      <x:c r="D325" s="11" t="str">
        <x:v>悲观</x:v>
      </x:c>
      <x:c r="E325" s="11" t="n">
        <x:v>92.65</x:v>
      </x:c>
      <x:c r="F325" s="11" t="n">
        <x:v>47.52000000000001</x:v>
      </x:c>
      <x:c r="G325" s="11" t="n">
        <x:v>0</x:v>
      </x:c>
      <x:c r="H325" s="25" t="n">
        <x:v>-0.4871019967620075</x:v>
      </x:c>
      <x:c r="I325" s="25" t="n">
        <x:v>-0.4871019967620075</x:v>
      </x:c>
      <x:c r="J325" s="25" t="str"/>
      <x:c r="K325" s="11" t="n">
        <x:v>1.8</x:v>
      </x:c>
      <x:c r="L325" s="11" t="n">
        <x:v>24</x:v>
      </x:c>
      <x:c r="M325" s="11" t="n">
        <x:v>1.1</x:v>
      </x:c>
      <x:c r="N325" s="11" t="n">
        <x:v>0</x:v>
      </x:c>
      <x:c r="O325" s="11" t="n">
        <x:v>18</x:v>
      </x:c>
      <x:c r="P325" s="11" t="n">
        <x:v>0.188</x:v>
      </x:c>
      <x:c r="Q325" s="11" t="n">
        <x:v>1.88</x:v>
      </x:c>
      <x:c r="R325" s="11" t="str">
        <x:v>innovent-v1</x:v>
      </x:c>
      <x:c r="S325" s="11" t="str">
        <x:v>2026-10-10</x:v>
      </x:c>
      <x:c r="T325" s="11" t="str">
        <x:f>IF(AND(SUM(IF(K325='假设'!E432,0,1),IF(L325='假设'!F432,0,1),IF(M325='假设'!G432,0,1),IF(N325='假设'!H432,0,1),IF(O325='假设'!I432,0,1),IF(P325='假设'!J432,0,1),IF(Q325='假设'!K432,0,1))=0,U325=V325),"已刷新","待刷新")</x:f>
        <x:v>已刷新</x:v>
      </x:c>
    </x:row>
    <x:row r="326" ht="23" customHeight="1">
      <x:c r="A326" s="11" t="str">
        <x:v>01801.HK</x:v>
      </x:c>
      <x:c r="B326" s="11" t="str">
        <x:v>信达生物</x:v>
      </x:c>
      <x:c r="C326" s="11" t="str">
        <x:v>半年</x:v>
      </x:c>
      <x:c r="D326" s="11" t="str">
        <x:v>基准</x:v>
      </x:c>
      <x:c r="E326" s="11" t="n">
        <x:v>92.65</x:v>
      </x:c>
      <x:c r="F326" s="11" t="n">
        <x:v>112.20000000000003</x:v>
      </x:c>
      <x:c r="G326" s="11" t="n">
        <x:v>0</x:v>
      </x:c>
      <x:c r="H326" s="25" t="n">
        <x:v>0.2110091743119269</x:v>
      </x:c>
      <x:c r="I326" s="25" t="n">
        <x:v>0.2110091743119269</x:v>
      </x:c>
      <x:c r="J326" s="25" t="str"/>
      <x:c r="K326" s="11" t="n">
        <x:v>3</x:v>
      </x:c>
      <x:c r="L326" s="11" t="n">
        <x:v>34</x:v>
      </x:c>
      <x:c r="M326" s="11" t="n">
        <x:v>1.1</x:v>
      </x:c>
      <x:c r="N326" s="11" t="n">
        <x:v>0</x:v>
      </x:c>
      <x:c r="O326" s="11" t="n">
        <x:v>23</x:v>
      </x:c>
      <x:c r="P326" s="11" t="n">
        <x:v>0.24130434782608698</x:v>
      </x:c>
      <x:c r="Q326" s="11" t="n">
        <x:v>1.85</x:v>
      </x:c>
      <x:c r="R326" s="11" t="str">
        <x:v>innovent-v1</x:v>
      </x:c>
      <x:c r="S326" s="11" t="str">
        <x:v>2026-10-10</x:v>
      </x:c>
      <x:c r="T326" s="11" t="str">
        <x:f>IF(AND(SUM(IF(K326='假设'!E433,0,1),IF(L326='假设'!F433,0,1),IF(M326='假设'!G433,0,1),IF(N326='假设'!H433,0,1),IF(O326='假设'!I433,0,1),IF(P326='假设'!J433,0,1),IF(Q326='假设'!K433,0,1))=0,U326=V326),"已刷新","待刷新")</x:f>
        <x:v>已刷新</x:v>
      </x:c>
    </x:row>
    <x:row r="327" ht="23" customHeight="1">
      <x:c r="A327" s="11" t="str">
        <x:v>01801.HK</x:v>
      </x:c>
      <x:c r="B327" s="11" t="str">
        <x:v>信达生物</x:v>
      </x:c>
      <x:c r="C327" s="11" t="str">
        <x:v>半年</x:v>
      </x:c>
      <x:c r="D327" s="11" t="str">
        <x:v>乐观</x:v>
      </x:c>
      <x:c r="E327" s="11" t="n">
        <x:v>92.65</x:v>
      </x:c>
      <x:c r="F327" s="11" t="n">
        <x:v>180.4</x:v>
      </x:c>
      <x:c r="G327" s="11" t="n">
        <x:v>0</x:v>
      </x:c>
      <x:c r="H327" s="25" t="n">
        <x:v>0.9471127900701564</x:v>
      </x:c>
      <x:c r="I327" s="25" t="n">
        <x:v>0.9471127900701564</x:v>
      </x:c>
      <x:c r="J327" s="25" t="str"/>
      <x:c r="K327" s="11" t="n">
        <x:v>4.1</x:v>
      </x:c>
      <x:c r="L327" s="11" t="n">
        <x:v>40</x:v>
      </x:c>
      <x:c r="M327" s="11" t="n">
        <x:v>1.1</x:v>
      </x:c>
      <x:c r="N327" s="11" t="n">
        <x:v>0</x:v>
      </x:c>
      <x:c r="O327" s="11" t="n">
        <x:v>27</x:v>
      </x:c>
      <x:c r="P327" s="11" t="n">
        <x:v>0.2809259259259259</x:v>
      </x:c>
      <x:c r="Q327" s="11" t="n">
        <x:v>1.85</x:v>
      </x:c>
      <x:c r="R327" s="11" t="str">
        <x:v>innovent-v1</x:v>
      </x:c>
      <x:c r="S327" s="11" t="str">
        <x:v>2026-10-10</x:v>
      </x:c>
      <x:c r="T327" s="11" t="str">
        <x:f>IF(AND(SUM(IF(K327='假设'!E434,0,1),IF(L327='假设'!F434,0,1),IF(M327='假设'!G434,0,1),IF(N327='假设'!H434,0,1),IF(O327='假设'!I434,0,1),IF(P327='假设'!J434,0,1),IF(Q327='假设'!K434,0,1))=0,U327=V327),"已刷新","待刷新")</x:f>
        <x:v>已刷新</x:v>
      </x:c>
    </x:row>
    <x:row r="328" ht="23" customHeight="1">
      <x:c r="A328" s="11" t="str">
        <x:v>01801.HK</x:v>
      </x:c>
      <x:c r="B328" s="11" t="str">
        <x:v>信达生物</x:v>
      </x:c>
      <x:c r="C328" s="11" t="str">
        <x:v>一年</x:v>
      </x:c>
      <x:c r="D328" s="11" t="str">
        <x:v>悲观</x:v>
      </x:c>
      <x:c r="E328" s="11" t="n">
        <x:v>92.65</x:v>
      </x:c>
      <x:c r="F328" s="11" t="n">
        <x:v>55.66</x:v>
      </x:c>
      <x:c r="G328" s="11" t="n">
        <x:v>0</x:v>
      </x:c>
      <x:c r="H328" s="25" t="n">
        <x:v>-0.39924446842957373</x:v>
      </x:c>
      <x:c r="I328" s="25" t="n">
        <x:v>-0.39924446842957373</x:v>
      </x:c>
      <x:c r="J328" s="25" t="str"/>
      <x:c r="K328" s="11" t="n">
        <x:v>2.3</x:v>
      </x:c>
      <x:c r="L328" s="11" t="n">
        <x:v>22</x:v>
      </x:c>
      <x:c r="M328" s="11" t="n">
        <x:v>1.1</x:v>
      </x:c>
      <x:c r="N328" s="11" t="n">
        <x:v>0</x:v>
      </x:c>
      <x:c r="O328" s="11" t="n">
        <x:v>21</x:v>
      </x:c>
      <x:c r="P328" s="11" t="n">
        <x:v>0.20919047619047618</x:v>
      </x:c>
      <x:c r="Q328" s="11" t="n">
        <x:v>1.91</x:v>
      </x:c>
      <x:c r="R328" s="11" t="str">
        <x:v>innovent-v1</x:v>
      </x:c>
      <x:c r="S328" s="11" t="str">
        <x:v>2026-10-10</x:v>
      </x:c>
      <x:c r="T328" s="11" t="str">
        <x:f>IF(AND(SUM(IF(K328='假设'!E436,0,1),IF(L328='假设'!F436,0,1),IF(M328='假设'!G436,0,1),IF(N328='假设'!H436,0,1),IF(O328='假设'!I436,0,1),IF(P328='假设'!J436,0,1),IF(Q328='假设'!K436,0,1))=0,U328=V328),"已刷新","待刷新")</x:f>
        <x:v>已刷新</x:v>
      </x:c>
    </x:row>
    <x:row r="329" ht="23" customHeight="1">
      <x:c r="A329" s="11" t="str">
        <x:v>01801.HK</x:v>
      </x:c>
      <x:c r="B329" s="11" t="str">
        <x:v>信达生物</x:v>
      </x:c>
      <x:c r="C329" s="11" t="str">
        <x:v>一年</x:v>
      </x:c>
      <x:c r="D329" s="11" t="str">
        <x:v>基准</x:v>
      </x:c>
      <x:c r="E329" s="11" t="n">
        <x:v>92.65</x:v>
      </x:c>
      <x:c r="F329" s="11" t="n">
        <x:v>139.81</x:v>
      </x:c>
      <x:c r="G329" s="11" t="n">
        <x:v>0</x:v>
      </x:c>
      <x:c r="H329" s="25" t="n">
        <x:v>0.5090124123043713</x:v>
      </x:c>
      <x:c r="I329" s="25" t="n">
        <x:v>0.5090124123043713</x:v>
      </x:c>
      <x:c r="J329" s="25" t="str"/>
      <x:c r="K329" s="11" t="n">
        <x:v>4.1</x:v>
      </x:c>
      <x:c r="L329" s="11" t="n">
        <x:v>31</x:v>
      </x:c>
      <x:c r="M329" s="11" t="n">
        <x:v>1.1</x:v>
      </x:c>
      <x:c r="N329" s="11" t="n">
        <x:v>0</x:v>
      </x:c>
      <x:c r="O329" s="11" t="n">
        <x:v>28</x:v>
      </x:c>
      <x:c r="P329" s="11" t="n">
        <x:v>0.27528571428571424</x:v>
      </x:c>
      <x:c r="Q329" s="11" t="n">
        <x:v>1.88</x:v>
      </x:c>
      <x:c r="R329" s="11" t="str">
        <x:v>innovent-v1</x:v>
      </x:c>
      <x:c r="S329" s="11" t="str">
        <x:v>2026-10-10</x:v>
      </x:c>
      <x:c r="T329" s="11" t="str">
        <x:f>IF(AND(SUM(IF(K329='假设'!E437,0,1),IF(L329='假设'!F437,0,1),IF(M329='假设'!G437,0,1),IF(N329='假设'!H437,0,1),IF(O329='假设'!I437,0,1),IF(P329='假设'!J437,0,1),IF(Q329='假设'!K437,0,1))=0,U329=V329),"已刷新","待刷新")</x:f>
        <x:v>已刷新</x:v>
      </x:c>
    </x:row>
    <x:row r="330" ht="23" customHeight="1">
      <x:c r="A330" s="11" t="str">
        <x:v>01801.HK</x:v>
      </x:c>
      <x:c r="B330" s="11" t="str">
        <x:v>信达生物</x:v>
      </x:c>
      <x:c r="C330" s="11" t="str">
        <x:v>一年</x:v>
      </x:c>
      <x:c r="D330" s="11" t="str">
        <x:v>乐观</x:v>
      </x:c>
      <x:c r="E330" s="11" t="n">
        <x:v>92.65</x:v>
      </x:c>
      <x:c r="F330" s="11" t="n">
        <x:v>225.72</x:v>
      </x:c>
      <x:c r="G330" s="11" t="n">
        <x:v>0</x:v>
      </x:c>
      <x:c r="H330" s="25" t="n">
        <x:v>1.4362655153804638</x:v>
      </x:c>
      <x:c r="I330" s="25" t="n">
        <x:v>1.4362655153804638</x:v>
      </x:c>
      <x:c r="J330" s="25" t="str"/>
      <x:c r="K330" s="11" t="n">
        <x:v>5.4</x:v>
      </x:c>
      <x:c r="L330" s="11" t="n">
        <x:v>38</x:v>
      </x:c>
      <x:c r="M330" s="11" t="n">
        <x:v>1.1</x:v>
      </x:c>
      <x:c r="N330" s="11" t="n">
        <x:v>0</x:v>
      </x:c>
      <x:c r="O330" s="11" t="n">
        <x:v>33</x:v>
      </x:c>
      <x:c r="P330" s="11" t="n">
        <x:v>0.3076363636363636</x:v>
      </x:c>
      <x:c r="Q330" s="11" t="n">
        <x:v>1.88</x:v>
      </x:c>
      <x:c r="R330" s="11" t="str">
        <x:v>innovent-v1</x:v>
      </x:c>
      <x:c r="S330" s="11" t="str">
        <x:v>2026-10-10</x:v>
      </x:c>
      <x:c r="T330" s="11" t="str">
        <x:f>IF(AND(SUM(IF(K330='假设'!E438,0,1),IF(L330='假设'!F438,0,1),IF(M330='假设'!G438,0,1),IF(N330='假设'!H438,0,1),IF(O330='假设'!I438,0,1),IF(P330='假设'!J438,0,1),IF(Q330='假设'!K438,0,1))=0,U330=V330),"已刷新","待刷新")</x:f>
        <x:v>已刷新</x:v>
      </x:c>
    </x:row>
    <x:row r="331" ht="23" customHeight="1">
      <x:c r="A331" s="11" t="str">
        <x:v>01801.HK</x:v>
      </x:c>
      <x:c r="B331" s="11" t="str">
        <x:v>信达生物</x:v>
      </x:c>
      <x:c r="C331" s="11" t="str">
        <x:v>三年</x:v>
      </x:c>
      <x:c r="D331" s="11" t="str">
        <x:v>悲观</x:v>
      </x:c>
      <x:c r="E331" s="11" t="n">
        <x:v>92.65</x:v>
      </x:c>
      <x:c r="F331" s="11" t="n">
        <x:v>59.400000000000006</x:v>
      </x:c>
      <x:c r="G331" s="11" t="n">
        <x:v>0</x:v>
      </x:c>
      <x:c r="H331" s="25" t="n">
        <x:v>-0.3588774959525094</x:v>
      </x:c>
      <x:c r="I331" s="25" t="n">
        <x:v>-0.3588774959525094</x:v>
      </x:c>
      <x:c r="J331" s="25" t="n">
        <x:v>-0.1377225929100182</x:v>
      </x:c>
      <x:c r="K331" s="11" t="n">
        <x:v>2.7</x:v>
      </x:c>
      <x:c r="L331" s="11" t="n">
        <x:v>20</x:v>
      </x:c>
      <x:c r="M331" s="11" t="n">
        <x:v>1.1</x:v>
      </x:c>
      <x:c r="N331" s="11" t="n">
        <x:v>0</x:v>
      </x:c>
      <x:c r="O331" s="11" t="n">
        <x:v>24</x:v>
      </x:c>
      <x:c r="P331" s="11" t="n">
        <x:v>0.21825000000000003</x:v>
      </x:c>
      <x:c r="Q331" s="11" t="n">
        <x:v>1.94</x:v>
      </x:c>
      <x:c r="R331" s="11" t="str">
        <x:v>innovent-v1</x:v>
      </x:c>
      <x:c r="S331" s="11" t="str">
        <x:v>2026-10-10</x:v>
      </x:c>
      <x:c r="T331" s="11" t="str">
        <x:f>IF(AND(SUM(IF(K331='假设'!E440,0,1),IF(L331='假设'!F440,0,1),IF(M331='假设'!G440,0,1),IF(N331='假设'!H440,0,1),IF(O331='假设'!I440,0,1),IF(P331='假设'!J440,0,1),IF(Q331='假设'!K440,0,1))=0,U331=V331),"已刷新","待刷新")</x:f>
        <x:v>已刷新</x:v>
      </x:c>
    </x:row>
    <x:row r="332" ht="23" customHeight="1">
      <x:c r="A332" s="11" t="str">
        <x:v>01801.HK</x:v>
      </x:c>
      <x:c r="B332" s="11" t="str">
        <x:v>信达生物</x:v>
      </x:c>
      <x:c r="C332" s="11" t="str">
        <x:v>三年</x:v>
      </x:c>
      <x:c r="D332" s="11" t="str">
        <x:v>基准</x:v>
      </x:c>
      <x:c r="E332" s="11" t="n">
        <x:v>92.65</x:v>
      </x:c>
      <x:c r="F332" s="11" t="n">
        <x:v>169.4</x:v>
      </x:c>
      <x:c r="G332" s="11" t="n">
        <x:v>0</x:v>
      </x:c>
      <x:c r="H332" s="25" t="n">
        <x:v>0.8283864004317323</x:v>
      </x:c>
      <x:c r="I332" s="25" t="n">
        <x:v>0.8283864004317323</x:v>
      </x:c>
      <x:c r="J332" s="25" t="n">
        <x:v>0.22280158816672513</x:v>
      </x:c>
      <x:c r="K332" s="11" t="n">
        <x:v>5.5</x:v>
      </x:c>
      <x:c r="L332" s="11" t="n">
        <x:v>28</x:v>
      </x:c>
      <x:c r="M332" s="11" t="n">
        <x:v>1.1</x:v>
      </x:c>
      <x:c r="N332" s="11" t="n">
        <x:v>0</x:v>
      </x:c>
      <x:c r="O332" s="11" t="n">
        <x:v>34</x:v>
      </x:c>
      <x:c r="P332" s="11" t="n">
        <x:v>0.3089705882352941</x:v>
      </x:c>
      <x:c r="Q332" s="11" t="n">
        <x:v>1.91</x:v>
      </x:c>
      <x:c r="R332" s="11" t="str">
        <x:v>innovent-v1</x:v>
      </x:c>
      <x:c r="S332" s="11" t="str">
        <x:v>2026-10-10</x:v>
      </x:c>
      <x:c r="T332" s="11" t="str">
        <x:f>IF(AND(SUM(IF(K332='假设'!E441,0,1),IF(L332='假设'!F441,0,1),IF(M332='假设'!G441,0,1),IF(N332='假设'!H441,0,1),IF(O332='假设'!I441,0,1),IF(P332='假设'!J441,0,1),IF(Q332='假设'!K441,0,1))=0,U332=V332),"已刷新","待刷新")</x:f>
        <x:v>已刷新</x:v>
      </x:c>
    </x:row>
    <x:row r="333" ht="23" customHeight="1">
      <x:c r="A333" s="11" t="str">
        <x:v>01801.HK</x:v>
      </x:c>
      <x:c r="B333" s="11" t="str">
        <x:v>信达生物</x:v>
      </x:c>
      <x:c r="C333" s="11" t="str">
        <x:v>三年</x:v>
      </x:c>
      <x:c r="D333" s="11" t="str">
        <x:v>乐观</x:v>
      </x:c>
      <x:c r="E333" s="11" t="n">
        <x:v>92.65</x:v>
      </x:c>
      <x:c r="F333" s="11" t="n">
        <x:v>311.85</x:v>
      </x:c>
      <x:c r="G333" s="11" t="n">
        <x:v>0</x:v>
      </x:c>
      <x:c r="H333" s="25" t="n">
        <x:v>2.3658931462493253</x:v>
      </x:c>
      <x:c r="I333" s="25" t="n">
        <x:v>2.3658931462493253</x:v>
      </x:c>
      <x:c r="J333" s="25" t="n">
        <x:v>0.4986496211641882</x:v>
      </x:c>
      <x:c r="K333" s="11" t="n">
        <x:v>8.1</x:v>
      </x:c>
      <x:c r="L333" s="11" t="n">
        <x:v>35</x:v>
      </x:c>
      <x:c r="M333" s="11" t="n">
        <x:v>1.1</x:v>
      </x:c>
      <x:c r="N333" s="11" t="n">
        <x:v>0</x:v>
      </x:c>
      <x:c r="O333" s="11" t="n">
        <x:v>43</x:v>
      </x:c>
      <x:c r="P333" s="11" t="n">
        <x:v>0.35979069767441857</x:v>
      </x:c>
      <x:c r="Q333" s="11" t="n">
        <x:v>1.91</x:v>
      </x:c>
      <x:c r="R333" s="11" t="str">
        <x:v>innovent-v1</x:v>
      </x:c>
      <x:c r="S333" s="11" t="str">
        <x:v>2026-10-10</x:v>
      </x:c>
      <x:c r="T333" s="11" t="str">
        <x:f>IF(AND(SUM(IF(K333='假设'!E442,0,1),IF(L333='假设'!F442,0,1),IF(M333='假设'!G442,0,1),IF(N333='假设'!H442,0,1),IF(O333='假设'!I442,0,1),IF(P333='假设'!J442,0,1),IF(Q333='假设'!K442,0,1))=0,U333=V333),"已刷新","待刷新")</x:f>
        <x:v>已刷新</x:v>
      </x:c>
    </x:row>
    <x:row r="334" ht="23" customHeight="1">
      <x:c r="A334" s="11" t="str">
        <x:v>01801.HK</x:v>
      </x:c>
      <x:c r="B334" s="11" t="str">
        <x:v>信达生物</x:v>
      </x:c>
      <x:c r="C334" s="11" t="str">
        <x:v>五年</x:v>
      </x:c>
      <x:c r="D334" s="11" t="str">
        <x:v>悲观</x:v>
      </x:c>
      <x:c r="E334" s="11" t="n">
        <x:v>92.65</x:v>
      </x:c>
      <x:c r="F334" s="11" t="n">
        <x:v>63.36000000000001</x:v>
      </x:c>
      <x:c r="G334" s="11" t="n">
        <x:v>0</x:v>
      </x:c>
      <x:c r="H334" s="25" t="n">
        <x:v>-0.3161359956826767</x:v>
      </x:c>
      <x:c r="I334" s="25" t="n">
        <x:v>-0.3161359956826767</x:v>
      </x:c>
      <x:c r="J334" s="25" t="n">
        <x:v>-0.07318309002859358</x:v>
      </x:c>
      <x:c r="K334" s="11" t="n">
        <x:v>3.2</x:v>
      </x:c>
      <x:c r="L334" s="11" t="n">
        <x:v>18</x:v>
      </x:c>
      <x:c r="M334" s="11" t="n">
        <x:v>1.1</x:v>
      </x:c>
      <x:c r="N334" s="11" t="n">
        <x:v>0</x:v>
      </x:c>
      <x:c r="O334" s="11" t="n">
        <x:v>29</x:v>
      </x:c>
      <x:c r="P334" s="11" t="n">
        <x:v>0.22289655172413794</x:v>
      </x:c>
      <x:c r="Q334" s="11" t="n">
        <x:v>2.02</x:v>
      </x:c>
      <x:c r="R334" s="11" t="str">
        <x:v>innovent-v1</x:v>
      </x:c>
      <x:c r="S334" s="11" t="str">
        <x:v>2026-10-10</x:v>
      </x:c>
      <x:c r="T334" s="11" t="str">
        <x:f>IF(AND(SUM(IF(K334='假设'!E444,0,1),IF(L334='假设'!F444,0,1),IF(M334='假设'!G444,0,1),IF(N334='假设'!H444,0,1),IF(O334='假设'!I444,0,1),IF(P334='假设'!J444,0,1),IF(Q334='假设'!K444,0,1))=0,U334=V334),"已刷新","待刷新")</x:f>
        <x:v>已刷新</x:v>
      </x:c>
    </x:row>
    <x:row r="335" ht="23" customHeight="1">
      <x:c r="A335" s="11" t="str">
        <x:v>01801.HK</x:v>
      </x:c>
      <x:c r="B335" s="11" t="str">
        <x:v>信达生物</x:v>
      </x:c>
      <x:c r="C335" s="11" t="str">
        <x:v>五年</x:v>
      </x:c>
      <x:c r="D335" s="11" t="str">
        <x:v>基准</x:v>
      </x:c>
      <x:c r="E335" s="11" t="n">
        <x:v>92.65</x:v>
      </x:c>
      <x:c r="F335" s="11" t="n">
        <x:v>206.25000000000006</x:v>
      </x:c>
      <x:c r="G335" s="11" t="n">
        <x:v>0</x:v>
      </x:c>
      <x:c r="H335" s="25" t="n">
        <x:v>1.2261198057204536</x:v>
      </x:c>
      <x:c r="I335" s="25" t="n">
        <x:v>1.2261198057204536</x:v>
      </x:c>
      <x:c r="J335" s="25" t="n">
        <x:v>0.1735719121566175</x:v>
      </x:c>
      <x:c r="K335" s="11" t="n">
        <x:v>7.5</x:v>
      </x:c>
      <x:c r="L335" s="11" t="n">
        <x:v>25</x:v>
      </x:c>
      <x:c r="M335" s="11" t="n">
        <x:v>1.1</x:v>
      </x:c>
      <x:c r="N335" s="11" t="n">
        <x:v>0</x:v>
      </x:c>
      <x:c r="O335" s="11" t="n">
        <x:v>45</x:v>
      </x:c>
      <x:c r="P335" s="11" t="n">
        <x:v>0.33</x:v>
      </x:c>
      <x:c r="Q335" s="11" t="n">
        <x:v>1.98</x:v>
      </x:c>
      <x:c r="R335" s="11" t="str">
        <x:v>innovent-v1</x:v>
      </x:c>
      <x:c r="S335" s="11" t="str">
        <x:v>2026-10-10</x:v>
      </x:c>
      <x:c r="T335" s="11" t="str">
        <x:f>IF(AND(SUM(IF(K335='假设'!E445,0,1),IF(L335='假设'!F445,0,1),IF(M335='假设'!G445,0,1),IF(N335='假设'!H445,0,1),IF(O335='假设'!I445,0,1),IF(P335='假设'!J445,0,1),IF(Q335='假设'!K445,0,1))=0,U335=V335),"已刷新","待刷新")</x:f>
        <x:v>已刷新</x:v>
      </x:c>
    </x:row>
    <x:row r="336" ht="23" customHeight="1">
      <x:c r="A336" s="11" t="str">
        <x:v>01801.HK</x:v>
      </x:c>
      <x:c r="B336" s="11" t="str">
        <x:v>信达生物</x:v>
      </x:c>
      <x:c r="C336" s="11" t="str">
        <x:v>五年</x:v>
      </x:c>
      <x:c r="D336" s="11" t="str">
        <x:v>乐观</x:v>
      </x:c>
      <x:c r="E336" s="11" t="n">
        <x:v>92.65</x:v>
      </x:c>
      <x:c r="F336" s="11" t="n">
        <x:v>422.4</x:v>
      </x:c>
      <x:c r="G336" s="11" t="n">
        <x:v>0</x:v>
      </x:c>
      <x:c r="H336" s="25" t="n">
        <x:v>3.5590933621154877</x:v>
      </x:c>
      <x:c r="I336" s="25" t="n">
        <x:v>3.5590933621154877</x:v>
      </x:c>
      <x:c r="J336" s="25" t="n">
        <x:v>0.35448966979496044</x:v>
      </x:c>
      <x:c r="K336" s="11" t="n">
        <x:v>12</x:v>
      </x:c>
      <x:c r="L336" s="11" t="n">
        <x:v>32</x:v>
      </x:c>
      <x:c r="M336" s="11" t="n">
        <x:v>1.1</x:v>
      </x:c>
      <x:c r="N336" s="11" t="n">
        <x:v>0</x:v>
      </x:c>
      <x:c r="O336" s="11" t="n">
        <x:v>63</x:v>
      </x:c>
      <x:c r="P336" s="11" t="n">
        <x:v>0.3771428571428571</x:v>
      </x:c>
      <x:c r="Q336" s="11" t="n">
        <x:v>1.98</x:v>
      </x:c>
      <x:c r="R336" s="11" t="str">
        <x:v>innovent-v1</x:v>
      </x:c>
      <x:c r="S336" s="11" t="str">
        <x:v>2026-10-10</x:v>
      </x:c>
      <x:c r="T336" s="11" t="str">
        <x:f>IF(AND(SUM(IF(K336='假设'!E446,0,1),IF(L336='假设'!F446,0,1),IF(M336='假设'!G446,0,1),IF(N336='假设'!H446,0,1),IF(O336='假设'!I446,0,1),IF(P336='假设'!J446,0,1),IF(Q336='假设'!K446,0,1))=0,U336=V336),"已刷新","待刷新")</x:f>
        <x:v>已刷新</x:v>
      </x:c>
    </x:row>
    <x:row r="337" ht="23" customHeight="1">
      <x:c r="A337" s="11" t="str">
        <x:v>688382.SH</x:v>
      </x:c>
      <x:c r="B337" s="11" t="str">
        <x:v>益方生物</x:v>
      </x:c>
      <x:c r="C337" s="11" t="str">
        <x:v>2026年底</x:v>
      </x:c>
      <x:c r="D337" s="11" t="str">
        <x:v>悲观</x:v>
      </x:c>
      <x:c r="E337" s="11" t="n">
        <x:v>17.26</x:v>
      </x:c>
      <x:c r="F337" s="11" t="n">
        <x:v>9.493</x:v>
      </x:c>
      <x:c r="G337" s="11" t="n">
        <x:v>0</x:v>
      </x:c>
      <x:c r="H337" s="25" t="n">
        <x:v>-0.45000000000000007</x:v>
      </x:c>
      <x:c r="I337" s="25" t="n">
        <x:v>-0.45000000000000007</x:v>
      </x:c>
      <x:c r="J337" s="25" t="str"/>
      <x:c r="K337" s="11" t="n">
        <x:v>0</x:v>
      </x:c>
      <x:c r="L337" s="11" t="n">
        <x:v>0</x:v>
      </x:c>
      <x:c r="M337" s="11" t="n">
        <x:v>1</x:v>
      </x:c>
      <x:c r="N337" s="11" t="n">
        <x:v>0</x:v>
      </x:c>
      <x:c r="O337" s="11" t="n">
        <x:v>0</x:v>
      </x:c>
      <x:c r="P337" s="11" t="n">
        <x:v>0</x:v>
      </x:c>
      <x:c r="Q337" s="11" t="n">
        <x:v>0.59</x:v>
      </x:c>
      <x:c r="R337" s="11" t="str">
        <x:v>inventis-rnpv-v1.0</x:v>
      </x:c>
      <x:c r="S337" s="11" t="str">
        <x:v>2026-10-10</x:v>
      </x:c>
      <x:c r="T337" s="11" t="str">
        <x:f>IF(AND(SUM(IF(K337='假设'!E448,0,1),IF(L337='假设'!F448,0,1),IF(M337='假设'!G448,0,1),IF(N337='假设'!H448,0,1),IF(O337='假设'!I448,0,1),IF(P337='假设'!J448,0,1),IF(Q337='假设'!K448,0,1))=0,U337=V337),"已刷新","待刷新")</x:f>
        <x:v>已刷新</x:v>
      </x:c>
      <x:c r="U337" t="str">
        <x:v>0.45|0.9|1.6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  <x:c r="V337" t="str">
        <x:f>'假设'!U448&amp;"|"&amp;'假设'!N448&amp;"|"&amp;'假设'!Q448&amp;"|"&amp;'管线假设'!E508&amp;"|"&amp;'管线假设'!F508&amp;"|"&amp;'管线假设'!G508&amp;"|"&amp;'管线假设'!H508&amp;"|"&amp;'管线假设'!I508&amp;"|"&amp;'管线假设'!E512&amp;"|"&amp;'管线假设'!F512&amp;"|"&amp;'管线假设'!G512&amp;"|"&amp;'管线假设'!H512&amp;"|"&amp;'管线假设'!I512&amp;"|"&amp;'管线假设'!E516&amp;"|"&amp;'管线假设'!F516&amp;"|"&amp;'管线假设'!G516&amp;"|"&amp;'管线假设'!H516&amp;"|"&amp;'管线假设'!I516&amp;"|"&amp;'管线假设'!E520&amp;"|"&amp;'管线假设'!F520&amp;"|"&amp;'管线假设'!G520&amp;"|"&amp;'管线假设'!H520&amp;"|"&amp;'管线假设'!I520&amp;"|"&amp;'管线假设'!E524&amp;"|"&amp;'管线假设'!F524&amp;"|"&amp;'管线假设'!G524&amp;"|"&amp;'管线假设'!H524&amp;"|"&amp;'管线假设'!I524&amp;"|"&amp;'管线假设'!E528&amp;"|"&amp;'管线假设'!F528&amp;"|"&amp;'管线假设'!G528&amp;"|"&amp;'管线假设'!H528&amp;"|"&amp;'管线假设'!I528&amp;"|"&amp;'管线假设'!E532&amp;"|"&amp;'管线假设'!F532&amp;"|"&amp;'管线假设'!G532&amp;"|"&amp;'管线假设'!H532&amp;"|"&amp;'管线假设'!I532&amp;"|"&amp;'管线假设'!E536&amp;"|"&amp;'管线假设'!F536&amp;"|"&amp;'管线假设'!G536&amp;"|"&amp;'管线假设'!H536&amp;"|"&amp;'管线假设'!I536&amp;"|"&amp;'管线假设'!E540&amp;"|"&amp;'管线假设'!F540&amp;"|"&amp;'管线假设'!G540&amp;"|"&amp;'管线假设'!H540&amp;"|"&amp;'管线假设'!I540&amp;"|"&amp;'管线假设'!E544&amp;"|"&amp;'管线假设'!F544&amp;"|"&amp;'管线假设'!G544&amp;"|"&amp;'管线假设'!H544&amp;"|"&amp;'管线假设'!I544&amp;"|"&amp;'管线假设'!E548&amp;"|"&amp;'管线假设'!F548&amp;"|"&amp;'管线假设'!G548&amp;"|"&amp;'管线假设'!H548&amp;"|"&amp;'管线假设'!I548&amp;"|"&amp;'管线假设'!E552&amp;"|"&amp;'管线假设'!F552&amp;"|"&amp;'管线假设'!G552&amp;"|"&amp;'管线假设'!H552&amp;"|"&amp;'管线假设'!I552&amp;"|"&amp;'管线假设'!E556&amp;"|"&amp;'管线假设'!F556&amp;"|"&amp;'管线假设'!G556&amp;"|"&amp;'管线假设'!H556&amp;"|"&amp;'管线假设'!I556&amp;"|"&amp;'管线假设'!E560&amp;"|"&amp;'管线假设'!F560&amp;"|"&amp;'管线假设'!G560&amp;"|"&amp;'管线假设'!H560&amp;"|"&amp;'管线假设'!I560&amp;"|"&amp;'管线假设'!E564&amp;"|"&amp;'管线假设'!F564&amp;"|"&amp;'管线假设'!G564&amp;"|"&amp;'管线假设'!H564&amp;"|"&amp;'管线假设'!I564&amp;"|"&amp;'管线现金流'!H2297&amp;"|"&amp;'管线现金流'!AJ2297&amp;"|"&amp;'管线现金流'!H2298&amp;"|"&amp;'管线现金流'!AJ2298&amp;"|"&amp;'管线现金流'!H2299&amp;"|"&amp;'管线现金流'!AJ2299&amp;"|"&amp;'管线现金流'!H2300&amp;"|"&amp;'管线现金流'!AJ2300&amp;"|"&amp;'管线现金流'!H2301&amp;"|"&amp;'管线现金流'!AJ2301&amp;"|"&amp;'管线现金流'!H2302&amp;"|"&amp;'管线现金流'!AJ2302&amp;"|"&amp;'管线现金流'!H2303&amp;"|"&amp;'管线现金流'!AJ2303&amp;"|"&amp;'管线现金流'!H2304&amp;"|"&amp;'管线现金流'!AJ2304&amp;"|"&amp;'管线现金流'!H2305&amp;"|"&amp;'管线现金流'!AJ2305&amp;"|"&amp;'管线现金流'!H2306&amp;"|"&amp;'管线现金流'!AJ2306&amp;"|"&amp;'管线现金流'!H2307&amp;"|"&amp;'管线现金流'!AJ2307&amp;"|"&amp;'管线现金流'!H2308&amp;"|"&amp;'管线现金流'!AJ2308&amp;"|"&amp;'管线现金流'!H2309&amp;"|"&amp;'管线现金流'!AJ2309&amp;"|"&amp;'管线现金流'!H2310&amp;"|"&amp;'管线现金流'!AJ2310&amp;"|"&amp;'管线现金流'!H2311&amp;"|"&amp;'管线现金流'!AJ2311&amp;"|"&amp;'管线现金流'!H2312&amp;"|"&amp;'管线现金流'!AJ2312&amp;"|"&amp;'管线现金流'!H2313&amp;"|"&amp;'管线现金流'!AJ2313&amp;"|"&amp;'管线现金流'!H2314&amp;"|"&amp;'管线现金流'!AJ2314&amp;"|"&amp;'管线现金流'!H2315&amp;"|"&amp;'管线现金流'!AJ2315&amp;"|"&amp;'管线现金流'!H2316&amp;"|"&amp;'管线现金流'!AJ2316&amp;"|"&amp;'管线现金流'!H2317&amp;"|"&amp;'管线现金流'!AJ2317&amp;"|"&amp;'管线现金流'!H2318&amp;"|"&amp;'管线现金流'!AJ2318&amp;"|"&amp;'管线现金流'!H2319&amp;"|"&amp;'管线现金流'!AJ2319&amp;"|"&amp;'管线现金流'!H2320&amp;"|"&amp;'管线现金流'!AJ2320&amp;"|"&amp;'管线现金流'!H2321&amp;"|"&amp;'管线现金流'!AJ2321&amp;"|"&amp;'管线现金流'!H2322&amp;"|"&amp;'管线现金流'!AJ2322&amp;"|"&amp;'管线现金流'!H2323&amp;"|"&amp;'管线现金流'!AJ2323&amp;"|"&amp;'管线现金流'!H2324&amp;"|"&amp;'管线现金流'!AJ2324&amp;"|"&amp;'管线现金流'!H2325&amp;"|"&amp;'管线现金流'!AJ2325&amp;"|"&amp;'管线现金流'!H2326&amp;"|"&amp;'管线现金流'!AJ2326&amp;"|"&amp;'管线现金流'!H2327&amp;"|"&amp;'管线现金流'!AJ2327&amp;"|"&amp;'管线现金流'!H2328&amp;"|"&amp;'管线现金流'!AJ2328&amp;"|"&amp;'管线现金流'!H2329&amp;"|"&amp;'管线现金流'!AJ2329&amp;"|"&amp;'管线现金流'!H2330&amp;"|"&amp;'管线现金流'!AJ2330&amp;"|"&amp;'管线现金流'!H2331&amp;"|"&amp;'管线现金流'!AJ2331&amp;"|"&amp;'管线现金流'!H2332&amp;"|"&amp;'管线现金流'!AJ2332&amp;"|"&amp;'管线现金流'!H2333&amp;"|"&amp;'管线现金流'!AJ2333&amp;"|"&amp;'管线现金流'!H2334&amp;"|"&amp;'管线现金流'!AJ2334&amp;"|"&amp;'管线现金流'!H2335&amp;"|"&amp;'管线现金流'!AJ2335&amp;"|"&amp;'管线现金流'!H2336&amp;"|"&amp;'管线现金流'!AJ2336&amp;"|"&amp;'管线现金流'!H2337&amp;"|"&amp;'管线现金流'!AJ2337&amp;"|"&amp;'管线现金流'!H2338&amp;"|"&amp;'管线现金流'!AJ2338&amp;"|"&amp;'管线现金流'!H2339&amp;"|"&amp;'管线现金流'!AJ2339&amp;"|"&amp;'管线现金流'!H2340&amp;"|"&amp;'管线现金流'!AJ2340&amp;"|"&amp;'管线现金流'!H2341&amp;"|"&amp;'管线现金流'!AJ2341&amp;"|"&amp;'管线现金流'!H2342&amp;"|"&amp;'管线现金流'!AJ2342&amp;"|"&amp;'管线现金流'!H2343&amp;"|"&amp;'管线现金流'!AJ2343&amp;"|"&amp;'管线现金流'!H2344&amp;"|"&amp;'管线现金流'!AJ2344&amp;"|"&amp;'管线现金流'!H2345&amp;"|"&amp;'管线现金流'!AJ2345&amp;"|"&amp;'管线现金流'!H2346&amp;"|"&amp;'管线现金流'!AJ2346&amp;"|"&amp;'管线现金流'!H2347&amp;"|"&amp;'管线现金流'!AJ2347&amp;"|"&amp;'管线现金流'!H2348&amp;"|"&amp;'管线现金流'!AJ2348&amp;"|"&amp;'管线现金流'!H2349&amp;"|"&amp;'管线现金流'!AJ2349&amp;"|"&amp;'管线现金流'!H2350&amp;"|"&amp;'管线现金流'!AJ2350&amp;"|"&amp;'管线现金流'!H2351&amp;"|"&amp;'管线现金流'!AJ2351&amp;"|"&amp;'管线现金流'!H2352&amp;"|"&amp;'管线现金流'!AJ2352&amp;"|"&amp;'管线现金流'!H2353&amp;"|"&amp;'管线现金流'!AJ2353&amp;"|"&amp;'管线现金流'!H2354&amp;"|"&amp;'管线现金流'!AJ2354&amp;"|"&amp;'管线现金流'!H2355&amp;"|"&amp;'管线现金流'!AJ2355&amp;"|"&amp;'管线现金流'!H2356&amp;"|"&amp;'管线现金流'!AJ2356&amp;"|"&amp;'管线现金流'!H2357&amp;"|"&amp;'管线现金流'!AJ2357&amp;"|"&amp;'管线现金流'!H2358&amp;"|"&amp;'管线现金流'!AJ2358&amp;"|"&amp;'管线现金流'!H2359&amp;"|"&amp;'管线现金流'!AJ2359&amp;"|"&amp;'管线现金流'!H2360&amp;"|"&amp;'管线现金流'!AJ2360&amp;"|"&amp;'管线现金流'!H2361&amp;"|"&amp;'管线现金流'!AJ2361&amp;"|"&amp;'管线现金流'!H2362&amp;"|"&amp;'管线现金流'!AJ2362&amp;"|"&amp;'管线现金流'!H2363&amp;"|"&amp;'管线现金流'!AJ2363&amp;"|"&amp;'管线现金流'!H2364&amp;"|"&amp;'管线现金流'!AJ2364&amp;"|"&amp;'管线现金流'!H2365&amp;"|"&amp;'管线现金流'!AJ2365&amp;"|"&amp;'管线现金流'!H2366&amp;"|"&amp;'管线现金流'!AJ2366&amp;"|"&amp;'管线现金流'!H2367&amp;"|"&amp;'管线现金流'!AJ2367&amp;"|"&amp;'管线现金流'!H2368&amp;"|"&amp;'管线现金流'!AJ2368&amp;"|"&amp;'管线现金流'!H2369&amp;"|"&amp;'管线现金流'!AJ2369&amp;"|"&amp;'管线现金流'!H2370&amp;"|"&amp;'管线现金流'!AJ2370&amp;"|"&amp;'管线现金流'!H2371&amp;"|"&amp;'管线现金流'!AJ2371&amp;"|"&amp;'管线现金流'!H2372&amp;"|"&amp;'管线现金流'!AJ2372&amp;"|"&amp;'管线现金流'!H2373&amp;"|"&amp;'管线现金流'!AJ2373&amp;"|"&amp;'管线现金流'!H2374&amp;"|"&amp;'管线现金流'!AJ2374&amp;"|"&amp;'管线现金流'!H2375&amp;"|"&amp;'管线现金流'!AJ2375&amp;"|"&amp;'管线现金流'!H2376&amp;"|"&amp;'管线现金流'!AJ2376&amp;"|"&amp;'管线现金流'!H2377&amp;"|"&amp;'管线现金流'!AJ2377&amp;"|"&amp;'管线现金流'!H2378&amp;"|"&amp;'管线现金流'!AJ2378&amp;"|"&amp;'管线现金流'!H2379&amp;"|"&amp;'管线现金流'!AJ2379&amp;"|"&amp;'管线现金流'!H2380&amp;"|"&amp;'管线现金流'!AJ2380&amp;"|"&amp;'管线现金流'!H2381&amp;"|"&amp;'管线现金流'!AJ2381&amp;"|"&amp;'管线现金流'!H2382&amp;"|"&amp;'管线现金流'!AJ2382&amp;"|"&amp;'管线现金流'!H2383&amp;"|"&amp;'管线现金流'!AJ2383&amp;"|"&amp;'管线现金流'!H2384&amp;"|"&amp;'管线现金流'!AJ2384&amp;"|"&amp;'管线现金流'!H2385&amp;"|"&amp;'管线现金流'!AJ2385&amp;"|"&amp;'管线现金流'!H2386&amp;"|"&amp;'管线现金流'!AJ2386&amp;"|"&amp;'管线现金流'!H2387&amp;"|"&amp;'管线现金流'!AJ2387&amp;"|"&amp;'管线现金流'!H2388&amp;"|"&amp;'管线现金流'!AJ2388&amp;"|"&amp;'管线现金流'!H2389&amp;"|"&amp;'管线现金流'!AJ2389&amp;"|"&amp;'管线现金流'!H2390&amp;"|"&amp;'管线现金流'!AJ2390&amp;"|"&amp;'管线现金流'!H2391&amp;"|"&amp;'管线现金流'!AJ2391&amp;"|"&amp;'管线现金流'!H2392&amp;"|"&amp;'管线现金流'!AJ2392&amp;"|"&amp;'管线现金流'!H2393&amp;"|"&amp;'管线现金流'!AJ2393&amp;"|"&amp;'管线现金流'!H2394&amp;"|"&amp;'管线现金流'!AJ2394&amp;"|"&amp;'管线现金流'!H2395&amp;"|"&amp;'管线现金流'!AJ2395&amp;"|"&amp;'管线现金流'!H2396&amp;"|"&amp;'管线现金流'!AJ2396&amp;"|"&amp;'管线现金流'!H2397&amp;"|"&amp;'管线现金流'!AJ2397&amp;"|"&amp;'管线现金流'!H2398&amp;"|"&amp;'管线现金流'!AJ2398&amp;"|"&amp;'管线现金流'!H2399&amp;"|"&amp;'管线现金流'!AJ2399&amp;"|"&amp;'管线现金流'!H2400&amp;"|"&amp;'管线现金流'!AJ2400&amp;"|"&amp;'管线现金流'!H2401&amp;"|"&amp;'管线现金流'!AJ2401&amp;"|"&amp;'管线现金流'!H2402&amp;"|"&amp;'管线现金流'!AJ2402&amp;"|"&amp;'管线现金流'!H2403&amp;"|"&amp;'管线现金流'!AJ2403&amp;"|"&amp;'管线现金流'!H2404&amp;"|"&amp;'管线现金流'!AJ2404&amp;"|"&amp;'管线现金流'!H2405&amp;"|"&amp;'管线现金流'!AJ2405&amp;"|"&amp;'管线现金流'!H2406&amp;"|"&amp;'管线现金流'!AJ2406&amp;"|"&amp;'管线现金流'!H2407&amp;"|"&amp;'管线现金流'!AJ2407&amp;"|"&amp;'管线现金流'!H2408&amp;"|"&amp;'管线现金流'!AJ2408&amp;"|"&amp;'管线现金流'!H2409&amp;"|"&amp;'管线现金流'!AJ2409&amp;"|"&amp;'管线现金流'!H2410&amp;"|"&amp;'管线现金流'!AJ2410&amp;"|"&amp;'管线现金流'!H2411&amp;"|"&amp;'管线现金流'!AJ2411&amp;"|"&amp;'管线现金流'!H2412&amp;"|"&amp;'管线现金流'!AJ2412&amp;"|"&amp;'管线现金流'!H2413&amp;"|"&amp;'管线现金流'!AJ2413&amp;"|"&amp;'管线现金流'!H2414&amp;"|"&amp;'管线现金流'!AJ2414&amp;"|"&amp;'管线现金流'!H2415&amp;"|"&amp;'管线现金流'!AJ2415&amp;"|"&amp;'管线现金流'!H2416&amp;"|"&amp;'管线现金流'!AJ2416&amp;"|"&amp;'管线现金流'!H2417&amp;"|"&amp;'管线现金流'!AJ2417&amp;"|"&amp;'管线现金流'!H2418&amp;"|"&amp;'管线现金流'!AJ2418&amp;"|"&amp;'管线现金流'!H2419&amp;"|"&amp;'管线现金流'!AJ2419&amp;"|"&amp;'管线现金流'!H2420&amp;"|"&amp;'管线现金流'!AJ2420&amp;"|"&amp;'管线现金流'!H2421&amp;"|"&amp;'管线现金流'!AJ2421&amp;"|"&amp;'管线现金流'!H2422&amp;"|"&amp;'管线现金流'!AJ2422&amp;"|"&amp;'管线现金流'!H2423&amp;"|"&amp;'管线现金流'!AJ2423&amp;"|"&amp;'管线现金流'!H2424&amp;"|"&amp;'管线现金流'!AJ2424&amp;"|"&amp;'管线现金流'!H2425&amp;"|"&amp;'管线现金流'!AJ2425&amp;"|"&amp;'管线现金流'!H2426&amp;"|"&amp;'管线现金流'!AJ2426&amp;"|"&amp;'管线现金流'!H2427&amp;"|"&amp;'管线现金流'!AJ2427&amp;"|"&amp;'管线现金流'!H2428&amp;"|"&amp;'管线现金流'!AJ2428&amp;"|"&amp;'管线现金流'!H2429&amp;"|"&amp;'管线现金流'!AJ2429&amp;"|"&amp;'管线现金流'!H2430&amp;"|"&amp;'管线现金流'!AJ2430&amp;"|"&amp;'管线现金流'!H2431&amp;"|"&amp;'管线现金流'!AJ2431&amp;"|"&amp;'管线现金流'!H2432&amp;"|"&amp;'管线现金流'!AJ2432&amp;"|"&amp;'管线现金流'!H2433&amp;"|"&amp;'管线现金流'!AJ2433&amp;"|"&amp;'管线现金流'!H2434&amp;"|"&amp;'管线现金流'!AJ2434&amp;"|"&amp;'管线现金流'!H2435&amp;"|"&amp;'管线现金流'!AJ2435&amp;"|"&amp;'管线现金流'!H2436&amp;"|"&amp;'管线现金流'!AJ2436&amp;"|"&amp;'管线现金流'!H2437&amp;"|"&amp;'管线现金流'!AJ2437&amp;"|"&amp;'管线现金流'!H2438&amp;"|"&amp;'管线现金流'!AJ2438&amp;"|"&amp;'管线现金流'!H2439&amp;"|"&amp;'管线现金流'!AJ2439&amp;"|"&amp;'管线现金流'!H2440&amp;"|"&amp;'管线现金流'!AJ2440&amp;"|"&amp;'管线现金流'!H2441&amp;"|"&amp;'管线现金流'!AJ2441&amp;"|"&amp;'管线现金流'!H2442&amp;"|"&amp;'管线现金流'!AJ2442&amp;"|"&amp;'管线现金流'!H2443&amp;"|"&amp;'管线现金流'!AJ2443&amp;"|"&amp;'管线现金流'!H2444&amp;"|"&amp;'管线现金流'!AJ2444&amp;"|"&amp;'管线现金流'!H2445&amp;"|"&amp;'管线现金流'!AJ2445&amp;"|"&amp;'管线现金流'!H2446&amp;"|"&amp;'管线现金流'!AJ2446&amp;"|"&amp;'管线现金流'!H2447&amp;"|"&amp;'管线现金流'!AJ2447&amp;"|"&amp;'管线现金流'!H2448&amp;"|"&amp;'管线现金流'!AJ2448&amp;"|"&amp;'管线现金流'!H2449&amp;"|"&amp;'管线现金流'!AJ2449&amp;"|"&amp;'管线现金流'!H2450&amp;"|"&amp;'管线现金流'!AJ2450&amp;"|"&amp;'管线现金流'!H2451&amp;"|"&amp;'管线现金流'!AJ2451&amp;"|"&amp;'管线现金流'!H2452&amp;"|"&amp;'管线现金流'!AJ2452&amp;"|"&amp;'管线现金流'!H2453&amp;"|"&amp;'管线现金流'!AJ2453&amp;"|"&amp;'管线现金流'!H2454&amp;"|"&amp;'管线现金流'!AJ2454&amp;"|"&amp;'管线现金流'!H2455&amp;"|"&amp;'管线现金流'!AJ2455&amp;"|"&amp;'管线现金流'!H2456&amp;"|"&amp;'管线现金流'!AJ2456&amp;"|"&amp;'管线现金流'!H2457&amp;"|"&amp;'管线现金流'!AJ2457&amp;"|"&amp;'管线现金流'!H2458&amp;"|"&amp;'管线现金流'!AJ2458&amp;"|"&amp;'管线现金流'!H2459&amp;"|"&amp;'管线现金流'!AJ2459&amp;"|"&amp;'管线现金流'!H2460&amp;"|"&amp;'管线现金流'!AJ2460&amp;"|"&amp;'管线现金流'!H2461&amp;"|"&amp;'管线现金流'!AJ2461&amp;"|"&amp;'管线现金流'!H2462&amp;"|"&amp;'管线现金流'!AJ2462&amp;"|"&amp;'管线现金流'!H2463&amp;"|"&amp;'管线现金流'!AJ2463&amp;"|"&amp;'管线现金流'!H2464&amp;"|"&amp;'管线现金流'!AJ2464&amp;"|"&amp;'管线现金流'!H2465&amp;"|"&amp;'管线现金流'!AJ2465&amp;"|"&amp;'管线现金流'!H2466&amp;"|"&amp;'管线现金流'!AJ2466&amp;"|"&amp;'管线现金流'!H2467&amp;"|"&amp;'管线现金流'!AJ2467&amp;"|"&amp;'管线现金流'!H2468&amp;"|"&amp;'管线现金流'!AJ2468&amp;"|"&amp;'管线现金流'!H2469&amp;"|"&amp;'管线现金流'!AJ2469&amp;"|"&amp;'管线现金流'!H2470&amp;"|"&amp;'管线现金流'!AJ2470&amp;"|"&amp;'管线现金流'!H2471&amp;"|"&amp;'管线现金流'!AJ2471&amp;"|"&amp;'管线现金流'!H2472&amp;"|"&amp;'管线现金流'!AJ2472&amp;"|"&amp;'管线现金流'!H2473&amp;"|"&amp;'管线现金流'!AJ2473&amp;"|"&amp;'管线现金流'!H2474&amp;"|"&amp;'管线现金流'!AJ2474&amp;"|"&amp;'管线现金流'!H2475&amp;"|"&amp;'管线现金流'!AJ2475&amp;"|"&amp;'管线现金流'!H2476&amp;"|"&amp;'管线现金流'!AJ2476&amp;"|"&amp;'管线现金流'!H2477&amp;"|"&amp;'管线现金流'!AJ2477&amp;"|"&amp;'管线现金流'!H2478&amp;"|"&amp;'管线现金流'!AJ2478&amp;"|"&amp;'管线现金流'!H2479&amp;"|"&amp;'管线现金流'!AJ2479&amp;"|"&amp;'管线现金流'!H2480&amp;"|"&amp;'管线现金流'!AJ2480&amp;"|"&amp;'管线现金流'!H2481&amp;"|"&amp;'管线现金流'!AJ2481&amp;"|"&amp;'管线现金流'!H2482&amp;"|"&amp;'管线现金流'!AJ2482&amp;"|"&amp;'管线现金流'!H2483&amp;"|"&amp;'管线现金流'!AJ2483&amp;"|"&amp;'管线现金流'!H2484&amp;"|"&amp;'管线现金流'!AJ2484&amp;"|"&amp;'管线现金流'!H2485&amp;"|"&amp;'管线现金流'!AJ2485&amp;"|"&amp;'管线现金流'!H2486&amp;"|"&amp;'管线现金流'!AJ2486&amp;"|"&amp;'管线现金流'!H2487&amp;"|"&amp;'管线现金流'!AJ2487&amp;"|"&amp;'管线现金流'!H2488&amp;"|"&amp;'管线现金流'!AJ2488&amp;"|"&amp;'管线现金流'!H2489&amp;"|"&amp;'管线现金流'!AJ2489&amp;"|"&amp;'管线现金流'!H2490&amp;"|"&amp;'管线现金流'!AJ2490&amp;"|"&amp;'管线现金流'!H2491&amp;"|"&amp;'管线现金流'!AJ2491&amp;"|"&amp;'管线现金流'!H2492&amp;"|"&amp;'管线现金流'!AJ2492&amp;"|"&amp;'管线现金流'!H2493&amp;"|"&amp;'管线现金流'!AJ2493&amp;"|"&amp;'管线现金流'!H2494&amp;"|"&amp;'管线现金流'!AJ2494&amp;"|"&amp;'管线现金流'!H2495&amp;"|"&amp;'管线现金流'!AJ2495&amp;"|"&amp;'管线现金流'!H2496&amp;"|"&amp;'管线现金流'!AJ2496&amp;"|"&amp;'管线现金流'!H2497&amp;"|"&amp;'管线现金流'!AJ2497&amp;"|"&amp;'管线现金流'!H2498&amp;"|"&amp;'管线现金流'!AJ2498&amp;"|"&amp;'管线现金流'!H2499&amp;"|"&amp;'管线现金流'!AJ2499&amp;"|"&amp;'管线现金流'!H2500&amp;"|"&amp;'管线现金流'!AJ2500&amp;"|"&amp;'管线现金流'!H2501&amp;"|"&amp;'管线现金流'!AJ2501&amp;"|"&amp;'管线现金流'!H2502&amp;"|"&amp;'管线现金流'!AJ2502&amp;"|"&amp;'管线现金流'!H2503&amp;"|"&amp;'管线现金流'!AJ2503&amp;"|"&amp;'管线现金流'!H2504&amp;"|"&amp;'管线现金流'!AJ2504&amp;"|"&amp;'管线现金流'!H2505&amp;"|"&amp;'管线现金流'!AJ2505&amp;"|"&amp;'管线现金流'!H2506&amp;"|"&amp;'管线现金流'!AJ2506&amp;"|"&amp;'管线现金流'!H2507&amp;"|"&amp;'管线现金流'!AJ2507&amp;"|"&amp;'管线现金流'!H2508&amp;"|"&amp;'管线现金流'!AJ2508&amp;"|"&amp;'管线现金流'!H2509&amp;"|"&amp;'管线现金流'!AJ2509&amp;"|"&amp;'管线现金流'!H2510&amp;"|"&amp;'管线现金流'!AJ2510&amp;"|"&amp;'管线现金流'!H2511&amp;"|"&amp;'管线现金流'!AJ2511&amp;"|"&amp;'管线现金流'!H2512&amp;"|"&amp;'管线现金流'!AJ2512&amp;"|"&amp;'管线现金流'!H2513&amp;"|"&amp;'管线现金流'!AJ2513&amp;"|"&amp;'管线现金流'!H2514&amp;"|"&amp;'管线现金流'!AJ2514&amp;"|"&amp;'管线现金流'!H2515&amp;"|"&amp;'管线现金流'!AJ2515&amp;"|"&amp;'管线现金流'!H2516&amp;"|"&amp;'管线现金流'!AJ2516&amp;"|"&amp;'管线现金流'!H2517&amp;"|"&amp;'管线现金流'!AJ2517&amp;"|"&amp;'管线现金流'!H2518&amp;"|"&amp;'管线现金流'!AJ2518&amp;"|"&amp;'管线现金流'!H2519&amp;"|"&amp;'管线现金流'!AJ2519&amp;"|"&amp;'管线现金流'!H2520&amp;"|"&amp;'管线现金流'!AJ2520&amp;"|"&amp;'管线现金流'!H2521&amp;"|"&amp;'管线现金流'!AJ2521&amp;"|"&amp;'管线现金流'!H2522&amp;"|"&amp;'管线现金流'!AJ2522&amp;"|"&amp;'管线现金流'!H2523&amp;"|"&amp;'管线现金流'!AJ2523&amp;"|"&amp;'管线现金流'!H2524&amp;"|"&amp;'管线现金流'!AJ2524&amp;"|"&amp;'管线现金流'!H2525&amp;"|"&amp;'管线现金流'!AJ2525&amp;"|"&amp;'管线现金流'!H2526&amp;"|"&amp;'管线现金流'!AJ2526&amp;"|"&amp;'管线现金流'!H2527&amp;"|"&amp;'管线现金流'!AJ2527&amp;"|"&amp;'管线现金流'!H2528&amp;"|"&amp;'管线现金流'!AJ2528&amp;"|"&amp;'管线现金流'!H2529&amp;"|"&amp;'管线现金流'!AJ2529&amp;"|"&amp;'管线现金流'!H2530&amp;"|"&amp;'管线现金流'!AJ2530&amp;"|"&amp;'管线现金流'!H2531&amp;"|"&amp;'管线现金流'!AJ2531&amp;"|"&amp;'管线现金流'!H2532&amp;"|"&amp;'管线现金流'!AJ2532&amp;"|"&amp;'管线现金流'!H2533&amp;"|"&amp;'管线现金流'!AJ2533&amp;"|"&amp;'管线现金流'!H2534&amp;"|"&amp;'管线现金流'!AJ2534&amp;"|"&amp;'管线现金流'!H2535&amp;"|"&amp;'管线现金流'!AJ2535&amp;"|"&amp;'管线现金流'!H2536&amp;"|"&amp;'管线现金流'!AJ2536&amp;"|"&amp;'管线现金流'!H2537&amp;"|"&amp;'管线现金流'!AJ2537&amp;"|"&amp;'管线现金流'!H2538&amp;"|"&amp;'管线现金流'!AJ2538&amp;"|"&amp;'管线现金流'!H2539&amp;"|"&amp;'管线现金流'!AJ2539&amp;"|"&amp;'管线现金流'!H2540&amp;"|"&amp;'管线现金流'!AJ2540&amp;"|"&amp;'管线现金流'!H2541&amp;"|"&amp;'管线现金流'!AJ2541&amp;"|"&amp;'管线现金流'!H2542&amp;"|"&amp;'管线现金流'!AJ2542&amp;"|"&amp;'管线现金流'!H2543&amp;"|"&amp;'管线现金流'!AJ2543&amp;"|"&amp;'管线现金流'!H2544&amp;"|"&amp;'管线现金流'!AJ2544&amp;"|"&amp;'管线现金流'!H2545&amp;"|"&amp;'管线现金流'!AJ2545&amp;"|"&amp;'管线现金流'!H2546&amp;"|"&amp;'管线现金流'!AJ2546&amp;"|"&amp;'管线现金流'!H2547&amp;"|"&amp;'管线现金流'!AJ2547&amp;"|"&amp;'管线现金流'!H2548&amp;"|"&amp;'管线现金流'!AJ2548&amp;"|"&amp;'管线现金流'!H2549&amp;"|"&amp;'管线现金流'!AJ2549&amp;"|"&amp;'管线现金流'!H2550&amp;"|"&amp;'管线现金流'!AJ2550&amp;"|"&amp;'管线现金流'!H2551&amp;"|"&amp;'管线现金流'!AJ2551&amp;"|"&amp;'管线现金流'!H2552&amp;"|"&amp;'管线现金流'!AJ2552&amp;"|"&amp;'管线现金流'!H2553&amp;"|"&amp;'管线现金流'!AJ2553&amp;"|"&amp;'管线现金流'!H2554&amp;"|"&amp;'管线现金流'!AJ2554&amp;"|"&amp;'管线现金流'!H2555&amp;"|"&amp;'管线现金流'!AJ2555&amp;"|"&amp;'管线现金流'!H2556&amp;"|"&amp;'管线现金流'!AJ2556&amp;"|"&amp;'管线现金流'!H2557&amp;"|"&amp;'管线现金流'!AJ2557&amp;"|"&amp;'管线现金流'!H2558&amp;"|"&amp;'管线现金流'!AJ2558&amp;"|"&amp;'管线现金流'!H2559&amp;"|"&amp;'管线现金流'!AJ2559&amp;"|"&amp;'管线现金流'!H2560&amp;"|"&amp;'管线现金流'!AJ2560&amp;"|"&amp;'管线现金流'!H2561&amp;"|"&amp;'管线现金流'!AJ2561&amp;"|"&amp;'管线现金流'!H2562&amp;"|"&amp;'管线现金流'!AJ2562&amp;"|"&amp;'管线现金流'!H2563&amp;"|"&amp;'管线现金流'!AJ2563&amp;"|"&amp;'管线现金流'!H2564&amp;"|"&amp;'管线现金流'!AJ2564&amp;"|"&amp;'管线现金流'!H2565&amp;"|"&amp;'管线现金流'!AJ2565&amp;"|"&amp;'管线现金流'!H2566&amp;"|"&amp;'管线现金流'!AJ2566&amp;"|"&amp;'管线现金流'!H2567&amp;"|"&amp;'管线现金流'!AJ2567&amp;"|"&amp;'管线现金流'!H2568&amp;"|"&amp;'管线现金流'!AJ2568&amp;"|"&amp;'管线现金流'!H2569&amp;"|"&amp;'管线现金流'!AJ2569&amp;"|"&amp;'管线现金流'!H2570&amp;"|"&amp;'管线现金流'!AJ2570&amp;"|"&amp;'管线现金流'!H2571&amp;"|"&amp;'管线现金流'!AJ2571&amp;"|"&amp;'管线现金流'!H2572&amp;"|"&amp;'管线现金流'!AJ2572&amp;"|"&amp;'管线现金流'!H2573&amp;"|"&amp;'管线现金流'!AJ2573&amp;"|"&amp;'管线现金流'!H2574&amp;"|"&amp;'管线现金流'!AJ2574&amp;"|"&amp;'管线现金流'!H2575&amp;"|"&amp;'管线现金流'!AJ2575&amp;"|"&amp;'管线现金流'!H2576&amp;"|"&amp;'管线现金流'!AJ2576&amp;"|"&amp;'管线现金流'!H2577&amp;"|"&amp;'管线现金流'!AJ2577&amp;"|"&amp;'管线现金流'!H2578&amp;"|"&amp;'管线现金流'!AJ2578&amp;"|"&amp;'管线现金流'!H2579&amp;"|"&amp;'管线现金流'!AJ2579&amp;"|"&amp;'管线现金流'!H2580&amp;"|"&amp;'管线现金流'!AJ2580&amp;"|"&amp;'管线现金流'!H2581&amp;"|"&amp;'管线现金流'!AJ2581&amp;"|"&amp;'管线现金流'!U27&amp;"|"&amp;'管线现金流'!X27&amp;"|"&amp;'管线现金流'!AO27&amp;"|"&amp;'管线现金流'!AR27&amp;"|"&amp;'管线现金流'!U28&amp;"|"&amp;'管线现金流'!X28&amp;"|"&amp;'管线现金流'!AO28&amp;"|"&amp;'管线现金流'!AR28</x:f>
        <x:v>0.45|0.9|1.6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</x:row>
    <x:row r="338" ht="23" customHeight="1">
      <x:c r="A338" s="11" t="str">
        <x:v>688382.SH</x:v>
      </x:c>
      <x:c r="B338" s="11" t="str">
        <x:v>益方生物</x:v>
      </x:c>
      <x:c r="C338" s="11" t="str">
        <x:v>2026年底</x:v>
      </x:c>
      <x:c r="D338" s="11" t="str">
        <x:v>基准</x:v>
      </x:c>
      <x:c r="E338" s="11" t="n">
        <x:v>17.26</x:v>
      </x:c>
      <x:c r="F338" s="11" t="n">
        <x:v>13.6798167484683</x:v>
      </x:c>
      <x:c r="G338" s="11" t="n">
        <x:v>0</x:v>
      </x:c>
      <x:c r="H338" s="25" t="n">
        <x:v>-0.2074266078523581</x:v>
      </x:c>
      <x:c r="I338" s="25" t="n">
        <x:v>-0.2074266078523581</x:v>
      </x:c>
      <x:c r="J338" s="25" t="str"/>
      <x:c r="K338" s="11" t="n">
        <x:v>0</x:v>
      </x:c>
      <x:c r="L338" s="11" t="n">
        <x:v>0</x:v>
      </x:c>
      <x:c r="M338" s="11" t="n">
        <x:v>1</x:v>
      </x:c>
      <x:c r="N338" s="11" t="n">
        <x:v>0</x:v>
      </x:c>
      <x:c r="O338" s="11" t="n">
        <x:v>0</x:v>
      </x:c>
      <x:c r="P338" s="11" t="n">
        <x:v>0</x:v>
      </x:c>
      <x:c r="Q338" s="11" t="n">
        <x:v>0.585</x:v>
      </x:c>
      <x:c r="R338" s="11" t="str">
        <x:v>inventis-rnpv-v1.0</x:v>
      </x:c>
      <x:c r="S338" s="11" t="str">
        <x:v>2026-10-10</x:v>
      </x:c>
      <x:c r="T338" s="11" t="str">
        <x:f>IF(AND(SUM(IF(K338='假设'!E449,0,1),IF(L338='假设'!F449,0,1),IF(M338='假设'!G449,0,1),IF(N338='假设'!H449,0,1),IF(O338='假设'!I449,0,1),IF(P338='假设'!J449,0,1),IF(Q338='假设'!K449,0,1))=0,U338=V338),"已刷新","待刷新")</x:f>
        <x:v>已刷新</x:v>
      </x:c>
      <x:c r="U338" t="str">
        <x:v>0.35|1.05|1.5|1|0.0656|1|0.135|6.8|1|0.08200000000000002|1|0.135|6.8|0.48|0.08200000000000002|1|0.135|6.8|0.27|0.08200000000000002|1|0.135|6.8|0.22999999999999998|0.08200000000000002|1|0.135|6.8|0.62|0.28|1|0.135|6.8|0.28|0.28|1|0.135|6.8|0.17999999999999994|0.28|1|0.135|6.8|0.30000000000000004|0.28|1|0.135|6.8|0.15000000000000002|0.28|1|0.135|6.8|0.35|0.08200000000000002|1|0.135|6.8|0.5|0.28|1|0.135|6.8|0.17999999999999994|0.2|1|0.135|6.8|0.38|0.28|1|0.135|6.8|0.25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  <x:c r="V338" t="str">
        <x:f>'假设'!U449&amp;"|"&amp;'假设'!N449&amp;"|"&amp;'假设'!Q449&amp;"|"&amp;'管线假设'!E509&amp;"|"&amp;'管线假设'!F509&amp;"|"&amp;'管线假设'!G509&amp;"|"&amp;'管线假设'!H509&amp;"|"&amp;'管线假设'!I509&amp;"|"&amp;'管线假设'!E513&amp;"|"&amp;'管线假设'!F513&amp;"|"&amp;'管线假设'!G513&amp;"|"&amp;'管线假设'!H513&amp;"|"&amp;'管线假设'!I513&amp;"|"&amp;'管线假设'!E517&amp;"|"&amp;'管线假设'!F517&amp;"|"&amp;'管线假设'!G517&amp;"|"&amp;'管线假设'!H517&amp;"|"&amp;'管线假设'!I517&amp;"|"&amp;'管线假设'!E521&amp;"|"&amp;'管线假设'!F521&amp;"|"&amp;'管线假设'!G521&amp;"|"&amp;'管线假设'!H521&amp;"|"&amp;'管线假设'!I521&amp;"|"&amp;'管线假设'!E525&amp;"|"&amp;'管线假设'!F525&amp;"|"&amp;'管线假设'!G525&amp;"|"&amp;'管线假设'!H525&amp;"|"&amp;'管线假设'!I525&amp;"|"&amp;'管线假设'!E529&amp;"|"&amp;'管线假设'!F529&amp;"|"&amp;'管线假设'!G529&amp;"|"&amp;'管线假设'!H529&amp;"|"&amp;'管线假设'!I529&amp;"|"&amp;'管线假设'!E533&amp;"|"&amp;'管线假设'!F533&amp;"|"&amp;'管线假设'!G533&amp;"|"&amp;'管线假设'!H533&amp;"|"&amp;'管线假设'!I533&amp;"|"&amp;'管线假设'!E537&amp;"|"&amp;'管线假设'!F537&amp;"|"&amp;'管线假设'!G537&amp;"|"&amp;'管线假设'!H537&amp;"|"&amp;'管线假设'!I537&amp;"|"&amp;'管线假设'!E541&amp;"|"&amp;'管线假设'!F541&amp;"|"&amp;'管线假设'!G541&amp;"|"&amp;'管线假设'!H541&amp;"|"&amp;'管线假设'!I541&amp;"|"&amp;'管线假设'!E545&amp;"|"&amp;'管线假设'!F545&amp;"|"&amp;'管线假设'!G545&amp;"|"&amp;'管线假设'!H545&amp;"|"&amp;'管线假设'!I545&amp;"|"&amp;'管线假设'!E549&amp;"|"&amp;'管线假设'!F549&amp;"|"&amp;'管线假设'!G549&amp;"|"&amp;'管线假设'!H549&amp;"|"&amp;'管线假设'!I549&amp;"|"&amp;'管线假设'!E553&amp;"|"&amp;'管线假设'!F553&amp;"|"&amp;'管线假设'!G553&amp;"|"&amp;'管线假设'!H553&amp;"|"&amp;'管线假设'!I553&amp;"|"&amp;'管线假设'!E557&amp;"|"&amp;'管线假设'!F557&amp;"|"&amp;'管线假设'!G557&amp;"|"&amp;'管线假设'!H557&amp;"|"&amp;'管线假设'!I557&amp;"|"&amp;'管线假设'!E561&amp;"|"&amp;'管线假设'!F561&amp;"|"&amp;'管线假设'!G561&amp;"|"&amp;'管线假设'!H561&amp;"|"&amp;'管线假设'!I561&amp;"|"&amp;'管线假设'!E565&amp;"|"&amp;'管线假设'!F565&amp;"|"&amp;'管线假设'!G565&amp;"|"&amp;'管线假设'!H565&amp;"|"&amp;'管线假设'!I565&amp;"|"&amp;'管线现金流'!I2297&amp;"|"&amp;'管线现金流'!AK2297&amp;"|"&amp;'管线现金流'!I2298&amp;"|"&amp;'管线现金流'!AK2298&amp;"|"&amp;'管线现金流'!I2299&amp;"|"&amp;'管线现金流'!AK2299&amp;"|"&amp;'管线现金流'!I2300&amp;"|"&amp;'管线现金流'!AK2300&amp;"|"&amp;'管线现金流'!I2301&amp;"|"&amp;'管线现金流'!AK2301&amp;"|"&amp;'管线现金流'!I2302&amp;"|"&amp;'管线现金流'!AK2302&amp;"|"&amp;'管线现金流'!I2303&amp;"|"&amp;'管线现金流'!AK2303&amp;"|"&amp;'管线现金流'!I2304&amp;"|"&amp;'管线现金流'!AK2304&amp;"|"&amp;'管线现金流'!I2305&amp;"|"&amp;'管线现金流'!AK2305&amp;"|"&amp;'管线现金流'!I2306&amp;"|"&amp;'管线现金流'!AK2306&amp;"|"&amp;'管线现金流'!I2307&amp;"|"&amp;'管线现金流'!AK2307&amp;"|"&amp;'管线现金流'!I2308&amp;"|"&amp;'管线现金流'!AK2308&amp;"|"&amp;'管线现金流'!I2309&amp;"|"&amp;'管线现金流'!AK2309&amp;"|"&amp;'管线现金流'!I2310&amp;"|"&amp;'管线现金流'!AK2310&amp;"|"&amp;'管线现金流'!I2311&amp;"|"&amp;'管线现金流'!AK2311&amp;"|"&amp;'管线现金流'!I2312&amp;"|"&amp;'管线现金流'!AK2312&amp;"|"&amp;'管线现金流'!I2313&amp;"|"&amp;'管线现金流'!AK2313&amp;"|"&amp;'管线现金流'!I2314&amp;"|"&amp;'管线现金流'!AK2314&amp;"|"&amp;'管线现金流'!I2315&amp;"|"&amp;'管线现金流'!AK2315&amp;"|"&amp;'管线现金流'!I2316&amp;"|"&amp;'管线现金流'!AK2316&amp;"|"&amp;'管线现金流'!I2317&amp;"|"&amp;'管线现金流'!AK2317&amp;"|"&amp;'管线现金流'!I2318&amp;"|"&amp;'管线现金流'!AK2318&amp;"|"&amp;'管线现金流'!I2319&amp;"|"&amp;'管线现金流'!AK2319&amp;"|"&amp;'管线现金流'!I2320&amp;"|"&amp;'管线现金流'!AK2320&amp;"|"&amp;'管线现金流'!I2321&amp;"|"&amp;'管线现金流'!AK2321&amp;"|"&amp;'管线现金流'!I2322&amp;"|"&amp;'管线现金流'!AK2322&amp;"|"&amp;'管线现金流'!I2323&amp;"|"&amp;'管线现金流'!AK2323&amp;"|"&amp;'管线现金流'!I2324&amp;"|"&amp;'管线现金流'!AK2324&amp;"|"&amp;'管线现金流'!I2325&amp;"|"&amp;'管线现金流'!AK2325&amp;"|"&amp;'管线现金流'!I2326&amp;"|"&amp;'管线现金流'!AK2326&amp;"|"&amp;'管线现金流'!I2327&amp;"|"&amp;'管线现金流'!AK2327&amp;"|"&amp;'管线现金流'!I2328&amp;"|"&amp;'管线现金流'!AK2328&amp;"|"&amp;'管线现金流'!I2329&amp;"|"&amp;'管线现金流'!AK2329&amp;"|"&amp;'管线现金流'!I2330&amp;"|"&amp;'管线现金流'!AK2330&amp;"|"&amp;'管线现金流'!I2331&amp;"|"&amp;'管线现金流'!AK2331&amp;"|"&amp;'管线现金流'!I2332&amp;"|"&amp;'管线现金流'!AK2332&amp;"|"&amp;'管线现金流'!I2333&amp;"|"&amp;'管线现金流'!AK2333&amp;"|"&amp;'管线现金流'!I2334&amp;"|"&amp;'管线现金流'!AK2334&amp;"|"&amp;'管线现金流'!I2335&amp;"|"&amp;'管线现金流'!AK2335&amp;"|"&amp;'管线现金流'!I2336&amp;"|"&amp;'管线现金流'!AK2336&amp;"|"&amp;'管线现金流'!I2337&amp;"|"&amp;'管线现金流'!AK2337&amp;"|"&amp;'管线现金流'!I2338&amp;"|"&amp;'管线现金流'!AK2338&amp;"|"&amp;'管线现金流'!I2339&amp;"|"&amp;'管线现金流'!AK2339&amp;"|"&amp;'管线现金流'!I2340&amp;"|"&amp;'管线现金流'!AK2340&amp;"|"&amp;'管线现金流'!I2341&amp;"|"&amp;'管线现金流'!AK2341&amp;"|"&amp;'管线现金流'!I2342&amp;"|"&amp;'管线现金流'!AK2342&amp;"|"&amp;'管线现金流'!I2343&amp;"|"&amp;'管线现金流'!AK2343&amp;"|"&amp;'管线现金流'!I2344&amp;"|"&amp;'管线现金流'!AK2344&amp;"|"&amp;'管线现金流'!I2345&amp;"|"&amp;'管线现金流'!AK2345&amp;"|"&amp;'管线现金流'!I2346&amp;"|"&amp;'管线现金流'!AK2346&amp;"|"&amp;'管线现金流'!I2347&amp;"|"&amp;'管线现金流'!AK2347&amp;"|"&amp;'管线现金流'!I2348&amp;"|"&amp;'管线现金流'!AK2348&amp;"|"&amp;'管线现金流'!I2349&amp;"|"&amp;'管线现金流'!AK2349&amp;"|"&amp;'管线现金流'!I2350&amp;"|"&amp;'管线现金流'!AK2350&amp;"|"&amp;'管线现金流'!I2351&amp;"|"&amp;'管线现金流'!AK2351&amp;"|"&amp;'管线现金流'!I2352&amp;"|"&amp;'管线现金流'!AK2352&amp;"|"&amp;'管线现金流'!I2353&amp;"|"&amp;'管线现金流'!AK2353&amp;"|"&amp;'管线现金流'!I2354&amp;"|"&amp;'管线现金流'!AK2354&amp;"|"&amp;'管线现金流'!I2355&amp;"|"&amp;'管线现金流'!AK2355&amp;"|"&amp;'管线现金流'!I2356&amp;"|"&amp;'管线现金流'!AK2356&amp;"|"&amp;'管线现金流'!I2357&amp;"|"&amp;'管线现金流'!AK2357&amp;"|"&amp;'管线现金流'!I2358&amp;"|"&amp;'管线现金流'!AK2358&amp;"|"&amp;'管线现金流'!I2359&amp;"|"&amp;'管线现金流'!AK2359&amp;"|"&amp;'管线现金流'!I2360&amp;"|"&amp;'管线现金流'!AK2360&amp;"|"&amp;'管线现金流'!I2361&amp;"|"&amp;'管线现金流'!AK2361&amp;"|"&amp;'管线现金流'!I2362&amp;"|"&amp;'管线现金流'!AK2362&amp;"|"&amp;'管线现金流'!I2363&amp;"|"&amp;'管线现金流'!AK2363&amp;"|"&amp;'管线现金流'!I2364&amp;"|"&amp;'管线现金流'!AK2364&amp;"|"&amp;'管线现金流'!I2365&amp;"|"&amp;'管线现金流'!AK2365&amp;"|"&amp;'管线现金流'!I2366&amp;"|"&amp;'管线现金流'!AK2366&amp;"|"&amp;'管线现金流'!I2367&amp;"|"&amp;'管线现金流'!AK2367&amp;"|"&amp;'管线现金流'!I2368&amp;"|"&amp;'管线现金流'!AK2368&amp;"|"&amp;'管线现金流'!I2369&amp;"|"&amp;'管线现金流'!AK2369&amp;"|"&amp;'管线现金流'!I2370&amp;"|"&amp;'管线现金流'!AK2370&amp;"|"&amp;'管线现金流'!I2371&amp;"|"&amp;'管线现金流'!AK2371&amp;"|"&amp;'管线现金流'!I2372&amp;"|"&amp;'管线现金流'!AK2372&amp;"|"&amp;'管线现金流'!I2373&amp;"|"&amp;'管线现金流'!AK2373&amp;"|"&amp;'管线现金流'!I2374&amp;"|"&amp;'管线现金流'!AK2374&amp;"|"&amp;'管线现金流'!I2375&amp;"|"&amp;'管线现金流'!AK2375&amp;"|"&amp;'管线现金流'!I2376&amp;"|"&amp;'管线现金流'!AK2376&amp;"|"&amp;'管线现金流'!I2377&amp;"|"&amp;'管线现金流'!AK2377&amp;"|"&amp;'管线现金流'!I2378&amp;"|"&amp;'管线现金流'!AK2378&amp;"|"&amp;'管线现金流'!I2379&amp;"|"&amp;'管线现金流'!AK2379&amp;"|"&amp;'管线现金流'!I2380&amp;"|"&amp;'管线现金流'!AK2380&amp;"|"&amp;'管线现金流'!I2381&amp;"|"&amp;'管线现金流'!AK2381&amp;"|"&amp;'管线现金流'!I2382&amp;"|"&amp;'管线现金流'!AK2382&amp;"|"&amp;'管线现金流'!I2383&amp;"|"&amp;'管线现金流'!AK2383&amp;"|"&amp;'管线现金流'!I2384&amp;"|"&amp;'管线现金流'!AK2384&amp;"|"&amp;'管线现金流'!I2385&amp;"|"&amp;'管线现金流'!AK2385&amp;"|"&amp;'管线现金流'!I2386&amp;"|"&amp;'管线现金流'!AK2386&amp;"|"&amp;'管线现金流'!I2387&amp;"|"&amp;'管线现金流'!AK2387&amp;"|"&amp;'管线现金流'!I2388&amp;"|"&amp;'管线现金流'!AK2388&amp;"|"&amp;'管线现金流'!I2389&amp;"|"&amp;'管线现金流'!AK2389&amp;"|"&amp;'管线现金流'!I2390&amp;"|"&amp;'管线现金流'!AK2390&amp;"|"&amp;'管线现金流'!I2391&amp;"|"&amp;'管线现金流'!AK2391&amp;"|"&amp;'管线现金流'!I2392&amp;"|"&amp;'管线现金流'!AK2392&amp;"|"&amp;'管线现金流'!I2393&amp;"|"&amp;'管线现金流'!AK2393&amp;"|"&amp;'管线现金流'!I2394&amp;"|"&amp;'管线现金流'!AK2394&amp;"|"&amp;'管线现金流'!I2395&amp;"|"&amp;'管线现金流'!AK2395&amp;"|"&amp;'管线现金流'!I2396&amp;"|"&amp;'管线现金流'!AK2396&amp;"|"&amp;'管线现金流'!I2397&amp;"|"&amp;'管线现金流'!AK2397&amp;"|"&amp;'管线现金流'!I2398&amp;"|"&amp;'管线现金流'!AK2398&amp;"|"&amp;'管线现金流'!I2399&amp;"|"&amp;'管线现金流'!AK2399&amp;"|"&amp;'管线现金流'!I2400&amp;"|"&amp;'管线现金流'!AK2400&amp;"|"&amp;'管线现金流'!I2401&amp;"|"&amp;'管线现金流'!AK2401&amp;"|"&amp;'管线现金流'!I2402&amp;"|"&amp;'管线现金流'!AK2402&amp;"|"&amp;'管线现金流'!I2403&amp;"|"&amp;'管线现金流'!AK2403&amp;"|"&amp;'管线现金流'!I2404&amp;"|"&amp;'管线现金流'!AK2404&amp;"|"&amp;'管线现金流'!I2405&amp;"|"&amp;'管线现金流'!AK2405&amp;"|"&amp;'管线现金流'!I2406&amp;"|"&amp;'管线现金流'!AK2406&amp;"|"&amp;'管线现金流'!I2407&amp;"|"&amp;'管线现金流'!AK2407&amp;"|"&amp;'管线现金流'!I2408&amp;"|"&amp;'管线现金流'!AK2408&amp;"|"&amp;'管线现金流'!I2409&amp;"|"&amp;'管线现金流'!AK2409&amp;"|"&amp;'管线现金流'!I2410&amp;"|"&amp;'管线现金流'!AK2410&amp;"|"&amp;'管线现金流'!I2411&amp;"|"&amp;'管线现金流'!AK2411&amp;"|"&amp;'管线现金流'!I2412&amp;"|"&amp;'管线现金流'!AK2412&amp;"|"&amp;'管线现金流'!I2413&amp;"|"&amp;'管线现金流'!AK2413&amp;"|"&amp;'管线现金流'!I2414&amp;"|"&amp;'管线现金流'!AK2414&amp;"|"&amp;'管线现金流'!I2415&amp;"|"&amp;'管线现金流'!AK2415&amp;"|"&amp;'管线现金流'!I2416&amp;"|"&amp;'管线现金流'!AK2416&amp;"|"&amp;'管线现金流'!I2417&amp;"|"&amp;'管线现金流'!AK2417&amp;"|"&amp;'管线现金流'!I2418&amp;"|"&amp;'管线现金流'!AK2418&amp;"|"&amp;'管线现金流'!I2419&amp;"|"&amp;'管线现金流'!AK2419&amp;"|"&amp;'管线现金流'!I2420&amp;"|"&amp;'管线现金流'!AK2420&amp;"|"&amp;'管线现金流'!I2421&amp;"|"&amp;'管线现金流'!AK2421&amp;"|"&amp;'管线现金流'!I2422&amp;"|"&amp;'管线现金流'!AK2422&amp;"|"&amp;'管线现金流'!I2423&amp;"|"&amp;'管线现金流'!AK2423&amp;"|"&amp;'管线现金流'!I2424&amp;"|"&amp;'管线现金流'!AK2424&amp;"|"&amp;'管线现金流'!I2425&amp;"|"&amp;'管线现金流'!AK2425&amp;"|"&amp;'管线现金流'!I2426&amp;"|"&amp;'管线现金流'!AK2426&amp;"|"&amp;'管线现金流'!I2427&amp;"|"&amp;'管线现金流'!AK2427&amp;"|"&amp;'管线现金流'!I2428&amp;"|"&amp;'管线现金流'!AK2428&amp;"|"&amp;'管线现金流'!I2429&amp;"|"&amp;'管线现金流'!AK2429&amp;"|"&amp;'管线现金流'!I2430&amp;"|"&amp;'管线现金流'!AK2430&amp;"|"&amp;'管线现金流'!I2431&amp;"|"&amp;'管线现金流'!AK2431&amp;"|"&amp;'管线现金流'!I2432&amp;"|"&amp;'管线现金流'!AK2432&amp;"|"&amp;'管线现金流'!I2433&amp;"|"&amp;'管线现金流'!AK2433&amp;"|"&amp;'管线现金流'!I2434&amp;"|"&amp;'管线现金流'!AK2434&amp;"|"&amp;'管线现金流'!I2435&amp;"|"&amp;'管线现金流'!AK2435&amp;"|"&amp;'管线现金流'!I2436&amp;"|"&amp;'管线现金流'!AK2436&amp;"|"&amp;'管线现金流'!I2437&amp;"|"&amp;'管线现金流'!AK2437&amp;"|"&amp;'管线现金流'!I2438&amp;"|"&amp;'管线现金流'!AK2438&amp;"|"&amp;'管线现金流'!I2439&amp;"|"&amp;'管线现金流'!AK2439&amp;"|"&amp;'管线现金流'!I2440&amp;"|"&amp;'管线现金流'!AK2440&amp;"|"&amp;'管线现金流'!I2441&amp;"|"&amp;'管线现金流'!AK2441&amp;"|"&amp;'管线现金流'!I2442&amp;"|"&amp;'管线现金流'!AK2442&amp;"|"&amp;'管线现金流'!I2443&amp;"|"&amp;'管线现金流'!AK2443&amp;"|"&amp;'管线现金流'!I2444&amp;"|"&amp;'管线现金流'!AK2444&amp;"|"&amp;'管线现金流'!I2445&amp;"|"&amp;'管线现金流'!AK2445&amp;"|"&amp;'管线现金流'!I2446&amp;"|"&amp;'管线现金流'!AK2446&amp;"|"&amp;'管线现金流'!I2447&amp;"|"&amp;'管线现金流'!AK2447&amp;"|"&amp;'管线现金流'!I2448&amp;"|"&amp;'管线现金流'!AK2448&amp;"|"&amp;'管线现金流'!I2449&amp;"|"&amp;'管线现金流'!AK2449&amp;"|"&amp;'管线现金流'!I2450&amp;"|"&amp;'管线现金流'!AK2450&amp;"|"&amp;'管线现金流'!I2451&amp;"|"&amp;'管线现金流'!AK2451&amp;"|"&amp;'管线现金流'!I2452&amp;"|"&amp;'管线现金流'!AK2452&amp;"|"&amp;'管线现金流'!I2453&amp;"|"&amp;'管线现金流'!AK2453&amp;"|"&amp;'管线现金流'!I2454&amp;"|"&amp;'管线现金流'!AK2454&amp;"|"&amp;'管线现金流'!I2455&amp;"|"&amp;'管线现金流'!AK2455&amp;"|"&amp;'管线现金流'!I2456&amp;"|"&amp;'管线现金流'!AK2456&amp;"|"&amp;'管线现金流'!I2457&amp;"|"&amp;'管线现金流'!AK2457&amp;"|"&amp;'管线现金流'!I2458&amp;"|"&amp;'管线现金流'!AK2458&amp;"|"&amp;'管线现金流'!I2459&amp;"|"&amp;'管线现金流'!AK2459&amp;"|"&amp;'管线现金流'!I2460&amp;"|"&amp;'管线现金流'!AK2460&amp;"|"&amp;'管线现金流'!I2461&amp;"|"&amp;'管线现金流'!AK2461&amp;"|"&amp;'管线现金流'!I2462&amp;"|"&amp;'管线现金流'!AK2462&amp;"|"&amp;'管线现金流'!I2463&amp;"|"&amp;'管线现金流'!AK2463&amp;"|"&amp;'管线现金流'!I2464&amp;"|"&amp;'管线现金流'!AK2464&amp;"|"&amp;'管线现金流'!I2465&amp;"|"&amp;'管线现金流'!AK2465&amp;"|"&amp;'管线现金流'!I2466&amp;"|"&amp;'管线现金流'!AK2466&amp;"|"&amp;'管线现金流'!I2467&amp;"|"&amp;'管线现金流'!AK2467&amp;"|"&amp;'管线现金流'!I2468&amp;"|"&amp;'管线现金流'!AK2468&amp;"|"&amp;'管线现金流'!I2469&amp;"|"&amp;'管线现金流'!AK2469&amp;"|"&amp;'管线现金流'!I2470&amp;"|"&amp;'管线现金流'!AK2470&amp;"|"&amp;'管线现金流'!I2471&amp;"|"&amp;'管线现金流'!AK2471&amp;"|"&amp;'管线现金流'!I2472&amp;"|"&amp;'管线现金流'!AK2472&amp;"|"&amp;'管线现金流'!I2473&amp;"|"&amp;'管线现金流'!AK2473&amp;"|"&amp;'管线现金流'!I2474&amp;"|"&amp;'管线现金流'!AK2474&amp;"|"&amp;'管线现金流'!I2475&amp;"|"&amp;'管线现金流'!AK2475&amp;"|"&amp;'管线现金流'!I2476&amp;"|"&amp;'管线现金流'!AK2476&amp;"|"&amp;'管线现金流'!I2477&amp;"|"&amp;'管线现金流'!AK2477&amp;"|"&amp;'管线现金流'!I2478&amp;"|"&amp;'管线现金流'!AK2478&amp;"|"&amp;'管线现金流'!I2479&amp;"|"&amp;'管线现金流'!AK2479&amp;"|"&amp;'管线现金流'!I2480&amp;"|"&amp;'管线现金流'!AK2480&amp;"|"&amp;'管线现金流'!I2481&amp;"|"&amp;'管线现金流'!AK2481&amp;"|"&amp;'管线现金流'!I2482&amp;"|"&amp;'管线现金流'!AK2482&amp;"|"&amp;'管线现金流'!I2483&amp;"|"&amp;'管线现金流'!AK2483&amp;"|"&amp;'管线现金流'!I2484&amp;"|"&amp;'管线现金流'!AK2484&amp;"|"&amp;'管线现金流'!I2485&amp;"|"&amp;'管线现金流'!AK2485&amp;"|"&amp;'管线现金流'!I2486&amp;"|"&amp;'管线现金流'!AK2486&amp;"|"&amp;'管线现金流'!I2487&amp;"|"&amp;'管线现金流'!AK2487&amp;"|"&amp;'管线现金流'!I2488&amp;"|"&amp;'管线现金流'!AK2488&amp;"|"&amp;'管线现金流'!I2489&amp;"|"&amp;'管线现金流'!AK2489&amp;"|"&amp;'管线现金流'!I2490&amp;"|"&amp;'管线现金流'!AK2490&amp;"|"&amp;'管线现金流'!I2491&amp;"|"&amp;'管线现金流'!AK2491&amp;"|"&amp;'管线现金流'!I2492&amp;"|"&amp;'管线现金流'!AK2492&amp;"|"&amp;'管线现金流'!I2493&amp;"|"&amp;'管线现金流'!AK2493&amp;"|"&amp;'管线现金流'!I2494&amp;"|"&amp;'管线现金流'!AK2494&amp;"|"&amp;'管线现金流'!I2495&amp;"|"&amp;'管线现金流'!AK2495&amp;"|"&amp;'管线现金流'!I2496&amp;"|"&amp;'管线现金流'!AK2496&amp;"|"&amp;'管线现金流'!I2497&amp;"|"&amp;'管线现金流'!AK2497&amp;"|"&amp;'管线现金流'!I2498&amp;"|"&amp;'管线现金流'!AK2498&amp;"|"&amp;'管线现金流'!I2499&amp;"|"&amp;'管线现金流'!AK2499&amp;"|"&amp;'管线现金流'!I2500&amp;"|"&amp;'管线现金流'!AK2500&amp;"|"&amp;'管线现金流'!I2501&amp;"|"&amp;'管线现金流'!AK2501&amp;"|"&amp;'管线现金流'!I2502&amp;"|"&amp;'管线现金流'!AK2502&amp;"|"&amp;'管线现金流'!I2503&amp;"|"&amp;'管线现金流'!AK2503&amp;"|"&amp;'管线现金流'!I2504&amp;"|"&amp;'管线现金流'!AK2504&amp;"|"&amp;'管线现金流'!I2505&amp;"|"&amp;'管线现金流'!AK2505&amp;"|"&amp;'管线现金流'!I2506&amp;"|"&amp;'管线现金流'!AK2506&amp;"|"&amp;'管线现金流'!I2507&amp;"|"&amp;'管线现金流'!AK2507&amp;"|"&amp;'管线现金流'!I2508&amp;"|"&amp;'管线现金流'!AK2508&amp;"|"&amp;'管线现金流'!I2509&amp;"|"&amp;'管线现金流'!AK2509&amp;"|"&amp;'管线现金流'!I2510&amp;"|"&amp;'管线现金流'!AK2510&amp;"|"&amp;'管线现金流'!I2511&amp;"|"&amp;'管线现金流'!AK2511&amp;"|"&amp;'管线现金流'!I2512&amp;"|"&amp;'管线现金流'!AK2512&amp;"|"&amp;'管线现金流'!I2513&amp;"|"&amp;'管线现金流'!AK2513&amp;"|"&amp;'管线现金流'!I2514&amp;"|"&amp;'管线现金流'!AK2514&amp;"|"&amp;'管线现金流'!I2515&amp;"|"&amp;'管线现金流'!AK2515&amp;"|"&amp;'管线现金流'!I2516&amp;"|"&amp;'管线现金流'!AK2516&amp;"|"&amp;'管线现金流'!I2517&amp;"|"&amp;'管线现金流'!AK2517&amp;"|"&amp;'管线现金流'!I2518&amp;"|"&amp;'管线现金流'!AK2518&amp;"|"&amp;'管线现金流'!I2519&amp;"|"&amp;'管线现金流'!AK2519&amp;"|"&amp;'管线现金流'!I2520&amp;"|"&amp;'管线现金流'!AK2520&amp;"|"&amp;'管线现金流'!I2521&amp;"|"&amp;'管线现金流'!AK2521&amp;"|"&amp;'管线现金流'!I2522&amp;"|"&amp;'管线现金流'!AK2522&amp;"|"&amp;'管线现金流'!I2523&amp;"|"&amp;'管线现金流'!AK2523&amp;"|"&amp;'管线现金流'!I2524&amp;"|"&amp;'管线现金流'!AK2524&amp;"|"&amp;'管线现金流'!I2525&amp;"|"&amp;'管线现金流'!AK2525&amp;"|"&amp;'管线现金流'!I2526&amp;"|"&amp;'管线现金流'!AK2526&amp;"|"&amp;'管线现金流'!I2527&amp;"|"&amp;'管线现金流'!AK2527&amp;"|"&amp;'管线现金流'!I2528&amp;"|"&amp;'管线现金流'!AK2528&amp;"|"&amp;'管线现金流'!I2529&amp;"|"&amp;'管线现金流'!AK2529&amp;"|"&amp;'管线现金流'!I2530&amp;"|"&amp;'管线现金流'!AK2530&amp;"|"&amp;'管线现金流'!I2531&amp;"|"&amp;'管线现金流'!AK2531&amp;"|"&amp;'管线现金流'!I2532&amp;"|"&amp;'管线现金流'!AK2532&amp;"|"&amp;'管线现金流'!I2533&amp;"|"&amp;'管线现金流'!AK2533&amp;"|"&amp;'管线现金流'!I2534&amp;"|"&amp;'管线现金流'!AK2534&amp;"|"&amp;'管线现金流'!I2535&amp;"|"&amp;'管线现金流'!AK2535&amp;"|"&amp;'管线现金流'!I2536&amp;"|"&amp;'管线现金流'!AK2536&amp;"|"&amp;'管线现金流'!I2537&amp;"|"&amp;'管线现金流'!AK2537&amp;"|"&amp;'管线现金流'!I2538&amp;"|"&amp;'管线现金流'!AK2538&amp;"|"&amp;'管线现金流'!I2539&amp;"|"&amp;'管线现金流'!AK2539&amp;"|"&amp;'管线现金流'!I2540&amp;"|"&amp;'管线现金流'!AK2540&amp;"|"&amp;'管线现金流'!I2541&amp;"|"&amp;'管线现金流'!AK2541&amp;"|"&amp;'管线现金流'!I2542&amp;"|"&amp;'管线现金流'!AK2542&amp;"|"&amp;'管线现金流'!I2543&amp;"|"&amp;'管线现金流'!AK2543&amp;"|"&amp;'管线现金流'!I2544&amp;"|"&amp;'管线现金流'!AK2544&amp;"|"&amp;'管线现金流'!I2545&amp;"|"&amp;'管线现金流'!AK2545&amp;"|"&amp;'管线现金流'!I2546&amp;"|"&amp;'管线现金流'!AK2546&amp;"|"&amp;'管线现金流'!I2547&amp;"|"&amp;'管线现金流'!AK2547&amp;"|"&amp;'管线现金流'!I2548&amp;"|"&amp;'管线现金流'!AK2548&amp;"|"&amp;'管线现金流'!I2549&amp;"|"&amp;'管线现金流'!AK2549&amp;"|"&amp;'管线现金流'!I2550&amp;"|"&amp;'管线现金流'!AK2550&amp;"|"&amp;'管线现金流'!I2551&amp;"|"&amp;'管线现金流'!AK2551&amp;"|"&amp;'管线现金流'!I2552&amp;"|"&amp;'管线现金流'!AK2552&amp;"|"&amp;'管线现金流'!I2553&amp;"|"&amp;'管线现金流'!AK2553&amp;"|"&amp;'管线现金流'!I2554&amp;"|"&amp;'管线现金流'!AK2554&amp;"|"&amp;'管线现金流'!I2555&amp;"|"&amp;'管线现金流'!AK2555&amp;"|"&amp;'管线现金流'!I2556&amp;"|"&amp;'管线现金流'!AK2556&amp;"|"&amp;'管线现金流'!I2557&amp;"|"&amp;'管线现金流'!AK2557&amp;"|"&amp;'管线现金流'!I2558&amp;"|"&amp;'管线现金流'!AK2558&amp;"|"&amp;'管线现金流'!I2559&amp;"|"&amp;'管线现金流'!AK2559&amp;"|"&amp;'管线现金流'!I2560&amp;"|"&amp;'管线现金流'!AK2560&amp;"|"&amp;'管线现金流'!I2561&amp;"|"&amp;'管线现金流'!AK2561&amp;"|"&amp;'管线现金流'!I2562&amp;"|"&amp;'管线现金流'!AK2562&amp;"|"&amp;'管线现金流'!I2563&amp;"|"&amp;'管线现金流'!AK2563&amp;"|"&amp;'管线现金流'!I2564&amp;"|"&amp;'管线现金流'!AK2564&amp;"|"&amp;'管线现金流'!I2565&amp;"|"&amp;'管线现金流'!AK2565&amp;"|"&amp;'管线现金流'!I2566&amp;"|"&amp;'管线现金流'!AK2566&amp;"|"&amp;'管线现金流'!I2567&amp;"|"&amp;'管线现金流'!AK2567&amp;"|"&amp;'管线现金流'!I2568&amp;"|"&amp;'管线现金流'!AK2568&amp;"|"&amp;'管线现金流'!I2569&amp;"|"&amp;'管线现金流'!AK2569&amp;"|"&amp;'管线现金流'!I2570&amp;"|"&amp;'管线现金流'!AK2570&amp;"|"&amp;'管线现金流'!I2571&amp;"|"&amp;'管线现金流'!AK2571&amp;"|"&amp;'管线现金流'!I2572&amp;"|"&amp;'管线现金流'!AK2572&amp;"|"&amp;'管线现金流'!I2573&amp;"|"&amp;'管线现金流'!AK2573&amp;"|"&amp;'管线现金流'!I2574&amp;"|"&amp;'管线现金流'!AK2574&amp;"|"&amp;'管线现金流'!I2575&amp;"|"&amp;'管线现金流'!AK2575&amp;"|"&amp;'管线现金流'!I2576&amp;"|"&amp;'管线现金流'!AK2576&amp;"|"&amp;'管线现金流'!I2577&amp;"|"&amp;'管线现金流'!AK2577&amp;"|"&amp;'管线现金流'!I2578&amp;"|"&amp;'管线现金流'!AK2578&amp;"|"&amp;'管线现金流'!I2579&amp;"|"&amp;'管线现金流'!AK2579&amp;"|"&amp;'管线现金流'!I2580&amp;"|"&amp;'管线现金流'!AK2580&amp;"|"&amp;'管线现金流'!I2581&amp;"|"&amp;'管线现金流'!AK2581&amp;"|"&amp;'管线现金流'!V27&amp;"|"&amp;'管线现金流'!Y27&amp;"|"&amp;'管线现金流'!AP27&amp;"|"&amp;'管线现金流'!AS27&amp;"|"&amp;'管线现金流'!V28&amp;"|"&amp;'管线现金流'!Y28&amp;"|"&amp;'管线现金流'!AP28&amp;"|"&amp;'管线现金流'!AS28</x:f>
        <x:v>0.35|1.05|1.5|1|0.0656|1|0.135|6.8|1|0.08200000000000002|1|0.135|6.8|0.48|0.08200000000000002|1|0.135|6.8|0.27|0.08200000000000002|1|0.135|6.8|0.22999999999999998|0.08200000000000002|1|0.135|6.8|0.62|0.28|1|0.135|6.8|0.28|0.28|1|0.135|6.8|0.17999999999999994|0.28|1|0.135|6.8|0.30000000000000004|0.28|1|0.135|6.8|0.15000000000000002|0.28|1|0.135|6.8|0.35|0.08200000000000002|1|0.135|6.8|0.5|0.28|1|0.135|6.8|0.17999999999999994|0.2|1|0.135|6.8|0.38|0.28|1|0.135|6.8|0.25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</x:row>
    <x:row r="339" ht="23" customHeight="1">
      <x:c r="A339" s="11" t="str">
        <x:v>688382.SH</x:v>
      </x:c>
      <x:c r="B339" s="11" t="str">
        <x:v>益方生物</x:v>
      </x:c>
      <x:c r="C339" s="11" t="str">
        <x:v>2026年底</x:v>
      </x:c>
      <x:c r="D339" s="11" t="str">
        <x:v>乐观</x:v>
      </x:c>
      <x:c r="E339" s="11" t="n">
        <x:v>17.26</x:v>
      </x:c>
      <x:c r="F339" s="11" t="n">
        <x:v>28.9999618848802</x:v>
      </x:c>
      <x:c r="G339" s="11" t="n">
        <x:v>0</x:v>
      </x:c>
      <x:c r="H339" s="25" t="n">
        <x:v>0.680183191476257</x:v>
      </x:c>
      <x:c r="I339" s="25" t="n">
        <x:v>0.680183191476257</x:v>
      </x:c>
      <x:c r="J339" s="25" t="str"/>
      <x:c r="K339" s="11" t="n">
        <x:v>0</x:v>
      </x:c>
      <x:c r="L339" s="11" t="n">
        <x:v>0</x:v>
      </x:c>
      <x:c r="M339" s="11" t="n">
        <x:v>1</x:v>
      </x:c>
      <x:c r="N339" s="11" t="n">
        <x:v>0</x:v>
      </x:c>
      <x:c r="O339" s="11" t="n">
        <x:v>0</x:v>
      </x:c>
      <x:c r="P339" s="11" t="n">
        <x:v>0</x:v>
      </x:c>
      <x:c r="Q339" s="11" t="n">
        <x:v>0.583</x:v>
      </x:c>
      <x:c r="R339" s="11" t="str">
        <x:v>inventis-rnpv-v1.0</x:v>
      </x:c>
      <x:c r="S339" s="11" t="str">
        <x:v>2026-10-10</x:v>
      </x:c>
      <x:c r="T339" s="11" t="str">
        <x:f>IF(AND(SUM(IF(K339='假设'!E450,0,1),IF(L339='假设'!F450,0,1),IF(M339='假设'!G450,0,1),IF(N339='假设'!H450,0,1),IF(O339='假设'!I450,0,1),IF(P339='假设'!J450,0,1),IF(Q339='假设'!K450,0,1))=0,U339=V339),"已刷新","待刷新")</x:f>
        <x:v>已刷新</x:v>
      </x:c>
      <x:c r="U339" t="str">
        <x:v>0.5|1.2|1.6|1|0.0935|1|0.105|6.8|1|0.1105|1|0.105|6.8|0.7|0.1105|1|0.105|6.8|0.5|0.1105|1|0.105|6.8|0.44999999999999996|0.1105|1|0.105|6.8|0.82|0.36|1|0.105|6.8|0.5|0.36|1|0.105|6.8|0.38|0.36|1|0.105|6.8|0.55|0.36|1|0.105|6.8|0.3400000000000001|0.36|1|0.105|6.8|0.6|0.1105|1|0.105|6.8|0.75|0.36|1|0.105|6.8|0.4|0.28|1|0.105|6.8|0.62|0.36|1|0.105|6.8|0.48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  <x:c r="V339" t="str">
        <x:f>'假设'!U450&amp;"|"&amp;'假设'!N450&amp;"|"&amp;'假设'!Q450&amp;"|"&amp;'管线假设'!E510&amp;"|"&amp;'管线假设'!F510&amp;"|"&amp;'管线假设'!G510&amp;"|"&amp;'管线假设'!H510&amp;"|"&amp;'管线假设'!I510&amp;"|"&amp;'管线假设'!E514&amp;"|"&amp;'管线假设'!F514&amp;"|"&amp;'管线假设'!G514&amp;"|"&amp;'管线假设'!H514&amp;"|"&amp;'管线假设'!I514&amp;"|"&amp;'管线假设'!E518&amp;"|"&amp;'管线假设'!F518&amp;"|"&amp;'管线假设'!G518&amp;"|"&amp;'管线假设'!H518&amp;"|"&amp;'管线假设'!I518&amp;"|"&amp;'管线假设'!E522&amp;"|"&amp;'管线假设'!F522&amp;"|"&amp;'管线假设'!G522&amp;"|"&amp;'管线假设'!H522&amp;"|"&amp;'管线假设'!I522&amp;"|"&amp;'管线假设'!E526&amp;"|"&amp;'管线假设'!F526&amp;"|"&amp;'管线假设'!G526&amp;"|"&amp;'管线假设'!H526&amp;"|"&amp;'管线假设'!I526&amp;"|"&amp;'管线假设'!E530&amp;"|"&amp;'管线假设'!F530&amp;"|"&amp;'管线假设'!G530&amp;"|"&amp;'管线假设'!H530&amp;"|"&amp;'管线假设'!I530&amp;"|"&amp;'管线假设'!E534&amp;"|"&amp;'管线假设'!F534&amp;"|"&amp;'管线假设'!G534&amp;"|"&amp;'管线假设'!H534&amp;"|"&amp;'管线假设'!I534&amp;"|"&amp;'管线假设'!E538&amp;"|"&amp;'管线假设'!F538&amp;"|"&amp;'管线假设'!G538&amp;"|"&amp;'管线假设'!H538&amp;"|"&amp;'管线假设'!I538&amp;"|"&amp;'管线假设'!E542&amp;"|"&amp;'管线假设'!F542&amp;"|"&amp;'管线假设'!G542&amp;"|"&amp;'管线假设'!H542&amp;"|"&amp;'管线假设'!I542&amp;"|"&amp;'管线假设'!E546&amp;"|"&amp;'管线假设'!F546&amp;"|"&amp;'管线假设'!G546&amp;"|"&amp;'管线假设'!H546&amp;"|"&amp;'管线假设'!I546&amp;"|"&amp;'管线假设'!E550&amp;"|"&amp;'管线假设'!F550&amp;"|"&amp;'管线假设'!G550&amp;"|"&amp;'管线假设'!H550&amp;"|"&amp;'管线假设'!I550&amp;"|"&amp;'管线假设'!E554&amp;"|"&amp;'管线假设'!F554&amp;"|"&amp;'管线假设'!G554&amp;"|"&amp;'管线假设'!H554&amp;"|"&amp;'管线假设'!I554&amp;"|"&amp;'管线假设'!E558&amp;"|"&amp;'管线假设'!F558&amp;"|"&amp;'管线假设'!G558&amp;"|"&amp;'管线假设'!H558&amp;"|"&amp;'管线假设'!I558&amp;"|"&amp;'管线假设'!E562&amp;"|"&amp;'管线假设'!F562&amp;"|"&amp;'管线假设'!G562&amp;"|"&amp;'管线假设'!H562&amp;"|"&amp;'管线假设'!I562&amp;"|"&amp;'管线假设'!E566&amp;"|"&amp;'管线假设'!F566&amp;"|"&amp;'管线假设'!G566&amp;"|"&amp;'管线假设'!H566&amp;"|"&amp;'管线假设'!I566&amp;"|"&amp;'管线现金流'!J2297&amp;"|"&amp;'管线现金流'!AL2297&amp;"|"&amp;'管线现金流'!J2298&amp;"|"&amp;'管线现金流'!AL2298&amp;"|"&amp;'管线现金流'!J2299&amp;"|"&amp;'管线现金流'!AL2299&amp;"|"&amp;'管线现金流'!J2300&amp;"|"&amp;'管线现金流'!AL2300&amp;"|"&amp;'管线现金流'!J2301&amp;"|"&amp;'管线现金流'!AL2301&amp;"|"&amp;'管线现金流'!J2302&amp;"|"&amp;'管线现金流'!AL2302&amp;"|"&amp;'管线现金流'!J2303&amp;"|"&amp;'管线现金流'!AL2303&amp;"|"&amp;'管线现金流'!J2304&amp;"|"&amp;'管线现金流'!AL2304&amp;"|"&amp;'管线现金流'!J2305&amp;"|"&amp;'管线现金流'!AL2305&amp;"|"&amp;'管线现金流'!J2306&amp;"|"&amp;'管线现金流'!AL2306&amp;"|"&amp;'管线现金流'!J2307&amp;"|"&amp;'管线现金流'!AL2307&amp;"|"&amp;'管线现金流'!J2308&amp;"|"&amp;'管线现金流'!AL2308&amp;"|"&amp;'管线现金流'!J2309&amp;"|"&amp;'管线现金流'!AL2309&amp;"|"&amp;'管线现金流'!J2310&amp;"|"&amp;'管线现金流'!AL2310&amp;"|"&amp;'管线现金流'!J2311&amp;"|"&amp;'管线现金流'!AL2311&amp;"|"&amp;'管线现金流'!J2312&amp;"|"&amp;'管线现金流'!AL2312&amp;"|"&amp;'管线现金流'!J2313&amp;"|"&amp;'管线现金流'!AL2313&amp;"|"&amp;'管线现金流'!J2314&amp;"|"&amp;'管线现金流'!AL2314&amp;"|"&amp;'管线现金流'!J2315&amp;"|"&amp;'管线现金流'!AL2315&amp;"|"&amp;'管线现金流'!J2316&amp;"|"&amp;'管线现金流'!AL2316&amp;"|"&amp;'管线现金流'!J2317&amp;"|"&amp;'管线现金流'!AL2317&amp;"|"&amp;'管线现金流'!J2318&amp;"|"&amp;'管线现金流'!AL2318&amp;"|"&amp;'管线现金流'!J2319&amp;"|"&amp;'管线现金流'!AL2319&amp;"|"&amp;'管线现金流'!J2320&amp;"|"&amp;'管线现金流'!AL2320&amp;"|"&amp;'管线现金流'!J2321&amp;"|"&amp;'管线现金流'!AL2321&amp;"|"&amp;'管线现金流'!J2322&amp;"|"&amp;'管线现金流'!AL2322&amp;"|"&amp;'管线现金流'!J2323&amp;"|"&amp;'管线现金流'!AL2323&amp;"|"&amp;'管线现金流'!J2324&amp;"|"&amp;'管线现金流'!AL2324&amp;"|"&amp;'管线现金流'!J2325&amp;"|"&amp;'管线现金流'!AL2325&amp;"|"&amp;'管线现金流'!J2326&amp;"|"&amp;'管线现金流'!AL2326&amp;"|"&amp;'管线现金流'!J2327&amp;"|"&amp;'管线现金流'!AL2327&amp;"|"&amp;'管线现金流'!J2328&amp;"|"&amp;'管线现金流'!AL2328&amp;"|"&amp;'管线现金流'!J2329&amp;"|"&amp;'管线现金流'!AL2329&amp;"|"&amp;'管线现金流'!J2330&amp;"|"&amp;'管线现金流'!AL2330&amp;"|"&amp;'管线现金流'!J2331&amp;"|"&amp;'管线现金流'!AL2331&amp;"|"&amp;'管线现金流'!J2332&amp;"|"&amp;'管线现金流'!AL2332&amp;"|"&amp;'管线现金流'!J2333&amp;"|"&amp;'管线现金流'!AL2333&amp;"|"&amp;'管线现金流'!J2334&amp;"|"&amp;'管线现金流'!AL2334&amp;"|"&amp;'管线现金流'!J2335&amp;"|"&amp;'管线现金流'!AL2335&amp;"|"&amp;'管线现金流'!J2336&amp;"|"&amp;'管线现金流'!AL2336&amp;"|"&amp;'管线现金流'!J2337&amp;"|"&amp;'管线现金流'!AL2337&amp;"|"&amp;'管线现金流'!J2338&amp;"|"&amp;'管线现金流'!AL2338&amp;"|"&amp;'管线现金流'!J2339&amp;"|"&amp;'管线现金流'!AL2339&amp;"|"&amp;'管线现金流'!J2340&amp;"|"&amp;'管线现金流'!AL2340&amp;"|"&amp;'管线现金流'!J2341&amp;"|"&amp;'管线现金流'!AL2341&amp;"|"&amp;'管线现金流'!J2342&amp;"|"&amp;'管线现金流'!AL2342&amp;"|"&amp;'管线现金流'!J2343&amp;"|"&amp;'管线现金流'!AL2343&amp;"|"&amp;'管线现金流'!J2344&amp;"|"&amp;'管线现金流'!AL2344&amp;"|"&amp;'管线现金流'!J2345&amp;"|"&amp;'管线现金流'!AL2345&amp;"|"&amp;'管线现金流'!J2346&amp;"|"&amp;'管线现金流'!AL2346&amp;"|"&amp;'管线现金流'!J2347&amp;"|"&amp;'管线现金流'!AL2347&amp;"|"&amp;'管线现金流'!J2348&amp;"|"&amp;'管线现金流'!AL2348&amp;"|"&amp;'管线现金流'!J2349&amp;"|"&amp;'管线现金流'!AL2349&amp;"|"&amp;'管线现金流'!J2350&amp;"|"&amp;'管线现金流'!AL2350&amp;"|"&amp;'管线现金流'!J2351&amp;"|"&amp;'管线现金流'!AL2351&amp;"|"&amp;'管线现金流'!J2352&amp;"|"&amp;'管线现金流'!AL2352&amp;"|"&amp;'管线现金流'!J2353&amp;"|"&amp;'管线现金流'!AL2353&amp;"|"&amp;'管线现金流'!J2354&amp;"|"&amp;'管线现金流'!AL2354&amp;"|"&amp;'管线现金流'!J2355&amp;"|"&amp;'管线现金流'!AL2355&amp;"|"&amp;'管线现金流'!J2356&amp;"|"&amp;'管线现金流'!AL2356&amp;"|"&amp;'管线现金流'!J2357&amp;"|"&amp;'管线现金流'!AL2357&amp;"|"&amp;'管线现金流'!J2358&amp;"|"&amp;'管线现金流'!AL2358&amp;"|"&amp;'管线现金流'!J2359&amp;"|"&amp;'管线现金流'!AL2359&amp;"|"&amp;'管线现金流'!J2360&amp;"|"&amp;'管线现金流'!AL2360&amp;"|"&amp;'管线现金流'!J2361&amp;"|"&amp;'管线现金流'!AL2361&amp;"|"&amp;'管线现金流'!J2362&amp;"|"&amp;'管线现金流'!AL2362&amp;"|"&amp;'管线现金流'!J2363&amp;"|"&amp;'管线现金流'!AL2363&amp;"|"&amp;'管线现金流'!J2364&amp;"|"&amp;'管线现金流'!AL2364&amp;"|"&amp;'管线现金流'!J2365&amp;"|"&amp;'管线现金流'!AL2365&amp;"|"&amp;'管线现金流'!J2366&amp;"|"&amp;'管线现金流'!AL2366&amp;"|"&amp;'管线现金流'!J2367&amp;"|"&amp;'管线现金流'!AL2367&amp;"|"&amp;'管线现金流'!J2368&amp;"|"&amp;'管线现金流'!AL2368&amp;"|"&amp;'管线现金流'!J2369&amp;"|"&amp;'管线现金流'!AL2369&amp;"|"&amp;'管线现金流'!J2370&amp;"|"&amp;'管线现金流'!AL2370&amp;"|"&amp;'管线现金流'!J2371&amp;"|"&amp;'管线现金流'!AL2371&amp;"|"&amp;'管线现金流'!J2372&amp;"|"&amp;'管线现金流'!AL2372&amp;"|"&amp;'管线现金流'!J2373&amp;"|"&amp;'管线现金流'!AL2373&amp;"|"&amp;'管线现金流'!J2374&amp;"|"&amp;'管线现金流'!AL2374&amp;"|"&amp;'管线现金流'!J2375&amp;"|"&amp;'管线现金流'!AL2375&amp;"|"&amp;'管线现金流'!J2376&amp;"|"&amp;'管线现金流'!AL2376&amp;"|"&amp;'管线现金流'!J2377&amp;"|"&amp;'管线现金流'!AL2377&amp;"|"&amp;'管线现金流'!J2378&amp;"|"&amp;'管线现金流'!AL2378&amp;"|"&amp;'管线现金流'!J2379&amp;"|"&amp;'管线现金流'!AL2379&amp;"|"&amp;'管线现金流'!J2380&amp;"|"&amp;'管线现金流'!AL2380&amp;"|"&amp;'管线现金流'!J2381&amp;"|"&amp;'管线现金流'!AL2381&amp;"|"&amp;'管线现金流'!J2382&amp;"|"&amp;'管线现金流'!AL2382&amp;"|"&amp;'管线现金流'!J2383&amp;"|"&amp;'管线现金流'!AL2383&amp;"|"&amp;'管线现金流'!J2384&amp;"|"&amp;'管线现金流'!AL2384&amp;"|"&amp;'管线现金流'!J2385&amp;"|"&amp;'管线现金流'!AL2385&amp;"|"&amp;'管线现金流'!J2386&amp;"|"&amp;'管线现金流'!AL2386&amp;"|"&amp;'管线现金流'!J2387&amp;"|"&amp;'管线现金流'!AL2387&amp;"|"&amp;'管线现金流'!J2388&amp;"|"&amp;'管线现金流'!AL2388&amp;"|"&amp;'管线现金流'!J2389&amp;"|"&amp;'管线现金流'!AL2389&amp;"|"&amp;'管线现金流'!J2390&amp;"|"&amp;'管线现金流'!AL2390&amp;"|"&amp;'管线现金流'!J2391&amp;"|"&amp;'管线现金流'!AL2391&amp;"|"&amp;'管线现金流'!J2392&amp;"|"&amp;'管线现金流'!AL2392&amp;"|"&amp;'管线现金流'!J2393&amp;"|"&amp;'管线现金流'!AL2393&amp;"|"&amp;'管线现金流'!J2394&amp;"|"&amp;'管线现金流'!AL2394&amp;"|"&amp;'管线现金流'!J2395&amp;"|"&amp;'管线现金流'!AL2395&amp;"|"&amp;'管线现金流'!J2396&amp;"|"&amp;'管线现金流'!AL2396&amp;"|"&amp;'管线现金流'!J2397&amp;"|"&amp;'管线现金流'!AL2397&amp;"|"&amp;'管线现金流'!J2398&amp;"|"&amp;'管线现金流'!AL2398&amp;"|"&amp;'管线现金流'!J2399&amp;"|"&amp;'管线现金流'!AL2399&amp;"|"&amp;'管线现金流'!J2400&amp;"|"&amp;'管线现金流'!AL2400&amp;"|"&amp;'管线现金流'!J2401&amp;"|"&amp;'管线现金流'!AL2401&amp;"|"&amp;'管线现金流'!J2402&amp;"|"&amp;'管线现金流'!AL2402&amp;"|"&amp;'管线现金流'!J2403&amp;"|"&amp;'管线现金流'!AL2403&amp;"|"&amp;'管线现金流'!J2404&amp;"|"&amp;'管线现金流'!AL2404&amp;"|"&amp;'管线现金流'!J2405&amp;"|"&amp;'管线现金流'!AL2405&amp;"|"&amp;'管线现金流'!J2406&amp;"|"&amp;'管线现金流'!AL2406&amp;"|"&amp;'管线现金流'!J2407&amp;"|"&amp;'管线现金流'!AL2407&amp;"|"&amp;'管线现金流'!J2408&amp;"|"&amp;'管线现金流'!AL2408&amp;"|"&amp;'管线现金流'!J2409&amp;"|"&amp;'管线现金流'!AL2409&amp;"|"&amp;'管线现金流'!J2410&amp;"|"&amp;'管线现金流'!AL2410&amp;"|"&amp;'管线现金流'!J2411&amp;"|"&amp;'管线现金流'!AL2411&amp;"|"&amp;'管线现金流'!J2412&amp;"|"&amp;'管线现金流'!AL2412&amp;"|"&amp;'管线现金流'!J2413&amp;"|"&amp;'管线现金流'!AL2413&amp;"|"&amp;'管线现金流'!J2414&amp;"|"&amp;'管线现金流'!AL2414&amp;"|"&amp;'管线现金流'!J2415&amp;"|"&amp;'管线现金流'!AL2415&amp;"|"&amp;'管线现金流'!J2416&amp;"|"&amp;'管线现金流'!AL2416&amp;"|"&amp;'管线现金流'!J2417&amp;"|"&amp;'管线现金流'!AL2417&amp;"|"&amp;'管线现金流'!J2418&amp;"|"&amp;'管线现金流'!AL2418&amp;"|"&amp;'管线现金流'!J2419&amp;"|"&amp;'管线现金流'!AL2419&amp;"|"&amp;'管线现金流'!J2420&amp;"|"&amp;'管线现金流'!AL2420&amp;"|"&amp;'管线现金流'!J2421&amp;"|"&amp;'管线现金流'!AL2421&amp;"|"&amp;'管线现金流'!J2422&amp;"|"&amp;'管线现金流'!AL2422&amp;"|"&amp;'管线现金流'!J2423&amp;"|"&amp;'管线现金流'!AL2423&amp;"|"&amp;'管线现金流'!J2424&amp;"|"&amp;'管线现金流'!AL2424&amp;"|"&amp;'管线现金流'!J2425&amp;"|"&amp;'管线现金流'!AL2425&amp;"|"&amp;'管线现金流'!J2426&amp;"|"&amp;'管线现金流'!AL2426&amp;"|"&amp;'管线现金流'!J2427&amp;"|"&amp;'管线现金流'!AL2427&amp;"|"&amp;'管线现金流'!J2428&amp;"|"&amp;'管线现金流'!AL2428&amp;"|"&amp;'管线现金流'!J2429&amp;"|"&amp;'管线现金流'!AL2429&amp;"|"&amp;'管线现金流'!J2430&amp;"|"&amp;'管线现金流'!AL2430&amp;"|"&amp;'管线现金流'!J2431&amp;"|"&amp;'管线现金流'!AL2431&amp;"|"&amp;'管线现金流'!J2432&amp;"|"&amp;'管线现金流'!AL2432&amp;"|"&amp;'管线现金流'!J2433&amp;"|"&amp;'管线现金流'!AL2433&amp;"|"&amp;'管线现金流'!J2434&amp;"|"&amp;'管线现金流'!AL2434&amp;"|"&amp;'管线现金流'!J2435&amp;"|"&amp;'管线现金流'!AL2435&amp;"|"&amp;'管线现金流'!J2436&amp;"|"&amp;'管线现金流'!AL2436&amp;"|"&amp;'管线现金流'!J2437&amp;"|"&amp;'管线现金流'!AL2437&amp;"|"&amp;'管线现金流'!J2438&amp;"|"&amp;'管线现金流'!AL2438&amp;"|"&amp;'管线现金流'!J2439&amp;"|"&amp;'管线现金流'!AL2439&amp;"|"&amp;'管线现金流'!J2440&amp;"|"&amp;'管线现金流'!AL2440&amp;"|"&amp;'管线现金流'!J2441&amp;"|"&amp;'管线现金流'!AL2441&amp;"|"&amp;'管线现金流'!J2442&amp;"|"&amp;'管线现金流'!AL2442&amp;"|"&amp;'管线现金流'!J2443&amp;"|"&amp;'管线现金流'!AL2443&amp;"|"&amp;'管线现金流'!J2444&amp;"|"&amp;'管线现金流'!AL2444&amp;"|"&amp;'管线现金流'!J2445&amp;"|"&amp;'管线现金流'!AL2445&amp;"|"&amp;'管线现金流'!J2446&amp;"|"&amp;'管线现金流'!AL2446&amp;"|"&amp;'管线现金流'!J2447&amp;"|"&amp;'管线现金流'!AL2447&amp;"|"&amp;'管线现金流'!J2448&amp;"|"&amp;'管线现金流'!AL2448&amp;"|"&amp;'管线现金流'!J2449&amp;"|"&amp;'管线现金流'!AL2449&amp;"|"&amp;'管线现金流'!J2450&amp;"|"&amp;'管线现金流'!AL2450&amp;"|"&amp;'管线现金流'!J2451&amp;"|"&amp;'管线现金流'!AL2451&amp;"|"&amp;'管线现金流'!J2452&amp;"|"&amp;'管线现金流'!AL2452&amp;"|"&amp;'管线现金流'!J2453&amp;"|"&amp;'管线现金流'!AL2453&amp;"|"&amp;'管线现金流'!J2454&amp;"|"&amp;'管线现金流'!AL2454&amp;"|"&amp;'管线现金流'!J2455&amp;"|"&amp;'管线现金流'!AL2455&amp;"|"&amp;'管线现金流'!J2456&amp;"|"&amp;'管线现金流'!AL2456&amp;"|"&amp;'管线现金流'!J2457&amp;"|"&amp;'管线现金流'!AL2457&amp;"|"&amp;'管线现金流'!J2458&amp;"|"&amp;'管线现金流'!AL2458&amp;"|"&amp;'管线现金流'!J2459&amp;"|"&amp;'管线现金流'!AL2459&amp;"|"&amp;'管线现金流'!J2460&amp;"|"&amp;'管线现金流'!AL2460&amp;"|"&amp;'管线现金流'!J2461&amp;"|"&amp;'管线现金流'!AL2461&amp;"|"&amp;'管线现金流'!J2462&amp;"|"&amp;'管线现金流'!AL2462&amp;"|"&amp;'管线现金流'!J2463&amp;"|"&amp;'管线现金流'!AL2463&amp;"|"&amp;'管线现金流'!J2464&amp;"|"&amp;'管线现金流'!AL2464&amp;"|"&amp;'管线现金流'!J2465&amp;"|"&amp;'管线现金流'!AL2465&amp;"|"&amp;'管线现金流'!J2466&amp;"|"&amp;'管线现金流'!AL2466&amp;"|"&amp;'管线现金流'!J2467&amp;"|"&amp;'管线现金流'!AL2467&amp;"|"&amp;'管线现金流'!J2468&amp;"|"&amp;'管线现金流'!AL2468&amp;"|"&amp;'管线现金流'!J2469&amp;"|"&amp;'管线现金流'!AL2469&amp;"|"&amp;'管线现金流'!J2470&amp;"|"&amp;'管线现金流'!AL2470&amp;"|"&amp;'管线现金流'!J2471&amp;"|"&amp;'管线现金流'!AL2471&amp;"|"&amp;'管线现金流'!J2472&amp;"|"&amp;'管线现金流'!AL2472&amp;"|"&amp;'管线现金流'!J2473&amp;"|"&amp;'管线现金流'!AL2473&amp;"|"&amp;'管线现金流'!J2474&amp;"|"&amp;'管线现金流'!AL2474&amp;"|"&amp;'管线现金流'!J2475&amp;"|"&amp;'管线现金流'!AL2475&amp;"|"&amp;'管线现金流'!J2476&amp;"|"&amp;'管线现金流'!AL2476&amp;"|"&amp;'管线现金流'!J2477&amp;"|"&amp;'管线现金流'!AL2477&amp;"|"&amp;'管线现金流'!J2478&amp;"|"&amp;'管线现金流'!AL2478&amp;"|"&amp;'管线现金流'!J2479&amp;"|"&amp;'管线现金流'!AL2479&amp;"|"&amp;'管线现金流'!J2480&amp;"|"&amp;'管线现金流'!AL2480&amp;"|"&amp;'管线现金流'!J2481&amp;"|"&amp;'管线现金流'!AL2481&amp;"|"&amp;'管线现金流'!J2482&amp;"|"&amp;'管线现金流'!AL2482&amp;"|"&amp;'管线现金流'!J2483&amp;"|"&amp;'管线现金流'!AL2483&amp;"|"&amp;'管线现金流'!J2484&amp;"|"&amp;'管线现金流'!AL2484&amp;"|"&amp;'管线现金流'!J2485&amp;"|"&amp;'管线现金流'!AL2485&amp;"|"&amp;'管线现金流'!J2486&amp;"|"&amp;'管线现金流'!AL2486&amp;"|"&amp;'管线现金流'!J2487&amp;"|"&amp;'管线现金流'!AL2487&amp;"|"&amp;'管线现金流'!J2488&amp;"|"&amp;'管线现金流'!AL2488&amp;"|"&amp;'管线现金流'!J2489&amp;"|"&amp;'管线现金流'!AL2489&amp;"|"&amp;'管线现金流'!J2490&amp;"|"&amp;'管线现金流'!AL2490&amp;"|"&amp;'管线现金流'!J2491&amp;"|"&amp;'管线现金流'!AL2491&amp;"|"&amp;'管线现金流'!J2492&amp;"|"&amp;'管线现金流'!AL2492&amp;"|"&amp;'管线现金流'!J2493&amp;"|"&amp;'管线现金流'!AL2493&amp;"|"&amp;'管线现金流'!J2494&amp;"|"&amp;'管线现金流'!AL2494&amp;"|"&amp;'管线现金流'!J2495&amp;"|"&amp;'管线现金流'!AL2495&amp;"|"&amp;'管线现金流'!J2496&amp;"|"&amp;'管线现金流'!AL2496&amp;"|"&amp;'管线现金流'!J2497&amp;"|"&amp;'管线现金流'!AL2497&amp;"|"&amp;'管线现金流'!J2498&amp;"|"&amp;'管线现金流'!AL2498&amp;"|"&amp;'管线现金流'!J2499&amp;"|"&amp;'管线现金流'!AL2499&amp;"|"&amp;'管线现金流'!J2500&amp;"|"&amp;'管线现金流'!AL2500&amp;"|"&amp;'管线现金流'!J2501&amp;"|"&amp;'管线现金流'!AL2501&amp;"|"&amp;'管线现金流'!J2502&amp;"|"&amp;'管线现金流'!AL2502&amp;"|"&amp;'管线现金流'!J2503&amp;"|"&amp;'管线现金流'!AL2503&amp;"|"&amp;'管线现金流'!J2504&amp;"|"&amp;'管线现金流'!AL2504&amp;"|"&amp;'管线现金流'!J2505&amp;"|"&amp;'管线现金流'!AL2505&amp;"|"&amp;'管线现金流'!J2506&amp;"|"&amp;'管线现金流'!AL2506&amp;"|"&amp;'管线现金流'!J2507&amp;"|"&amp;'管线现金流'!AL2507&amp;"|"&amp;'管线现金流'!J2508&amp;"|"&amp;'管线现金流'!AL2508&amp;"|"&amp;'管线现金流'!J2509&amp;"|"&amp;'管线现金流'!AL2509&amp;"|"&amp;'管线现金流'!J2510&amp;"|"&amp;'管线现金流'!AL2510&amp;"|"&amp;'管线现金流'!J2511&amp;"|"&amp;'管线现金流'!AL2511&amp;"|"&amp;'管线现金流'!J2512&amp;"|"&amp;'管线现金流'!AL2512&amp;"|"&amp;'管线现金流'!J2513&amp;"|"&amp;'管线现金流'!AL2513&amp;"|"&amp;'管线现金流'!J2514&amp;"|"&amp;'管线现金流'!AL2514&amp;"|"&amp;'管线现金流'!J2515&amp;"|"&amp;'管线现金流'!AL2515&amp;"|"&amp;'管线现金流'!J2516&amp;"|"&amp;'管线现金流'!AL2516&amp;"|"&amp;'管线现金流'!J2517&amp;"|"&amp;'管线现金流'!AL2517&amp;"|"&amp;'管线现金流'!J2518&amp;"|"&amp;'管线现金流'!AL2518&amp;"|"&amp;'管线现金流'!J2519&amp;"|"&amp;'管线现金流'!AL2519&amp;"|"&amp;'管线现金流'!J2520&amp;"|"&amp;'管线现金流'!AL2520&amp;"|"&amp;'管线现金流'!J2521&amp;"|"&amp;'管线现金流'!AL2521&amp;"|"&amp;'管线现金流'!J2522&amp;"|"&amp;'管线现金流'!AL2522&amp;"|"&amp;'管线现金流'!J2523&amp;"|"&amp;'管线现金流'!AL2523&amp;"|"&amp;'管线现金流'!J2524&amp;"|"&amp;'管线现金流'!AL2524&amp;"|"&amp;'管线现金流'!J2525&amp;"|"&amp;'管线现金流'!AL2525&amp;"|"&amp;'管线现金流'!J2526&amp;"|"&amp;'管线现金流'!AL2526&amp;"|"&amp;'管线现金流'!J2527&amp;"|"&amp;'管线现金流'!AL2527&amp;"|"&amp;'管线现金流'!J2528&amp;"|"&amp;'管线现金流'!AL2528&amp;"|"&amp;'管线现金流'!J2529&amp;"|"&amp;'管线现金流'!AL2529&amp;"|"&amp;'管线现金流'!J2530&amp;"|"&amp;'管线现金流'!AL2530&amp;"|"&amp;'管线现金流'!J2531&amp;"|"&amp;'管线现金流'!AL2531&amp;"|"&amp;'管线现金流'!J2532&amp;"|"&amp;'管线现金流'!AL2532&amp;"|"&amp;'管线现金流'!J2533&amp;"|"&amp;'管线现金流'!AL2533&amp;"|"&amp;'管线现金流'!J2534&amp;"|"&amp;'管线现金流'!AL2534&amp;"|"&amp;'管线现金流'!J2535&amp;"|"&amp;'管线现金流'!AL2535&amp;"|"&amp;'管线现金流'!J2536&amp;"|"&amp;'管线现金流'!AL2536&amp;"|"&amp;'管线现金流'!J2537&amp;"|"&amp;'管线现金流'!AL2537&amp;"|"&amp;'管线现金流'!J2538&amp;"|"&amp;'管线现金流'!AL2538&amp;"|"&amp;'管线现金流'!J2539&amp;"|"&amp;'管线现金流'!AL2539&amp;"|"&amp;'管线现金流'!J2540&amp;"|"&amp;'管线现金流'!AL2540&amp;"|"&amp;'管线现金流'!J2541&amp;"|"&amp;'管线现金流'!AL2541&amp;"|"&amp;'管线现金流'!J2542&amp;"|"&amp;'管线现金流'!AL2542&amp;"|"&amp;'管线现金流'!J2543&amp;"|"&amp;'管线现金流'!AL2543&amp;"|"&amp;'管线现金流'!J2544&amp;"|"&amp;'管线现金流'!AL2544&amp;"|"&amp;'管线现金流'!J2545&amp;"|"&amp;'管线现金流'!AL2545&amp;"|"&amp;'管线现金流'!J2546&amp;"|"&amp;'管线现金流'!AL2546&amp;"|"&amp;'管线现金流'!J2547&amp;"|"&amp;'管线现金流'!AL2547&amp;"|"&amp;'管线现金流'!J2548&amp;"|"&amp;'管线现金流'!AL2548&amp;"|"&amp;'管线现金流'!J2549&amp;"|"&amp;'管线现金流'!AL2549&amp;"|"&amp;'管线现金流'!J2550&amp;"|"&amp;'管线现金流'!AL2550&amp;"|"&amp;'管线现金流'!J2551&amp;"|"&amp;'管线现金流'!AL2551&amp;"|"&amp;'管线现金流'!J2552&amp;"|"&amp;'管线现金流'!AL2552&amp;"|"&amp;'管线现金流'!J2553&amp;"|"&amp;'管线现金流'!AL2553&amp;"|"&amp;'管线现金流'!J2554&amp;"|"&amp;'管线现金流'!AL2554&amp;"|"&amp;'管线现金流'!J2555&amp;"|"&amp;'管线现金流'!AL2555&amp;"|"&amp;'管线现金流'!J2556&amp;"|"&amp;'管线现金流'!AL2556&amp;"|"&amp;'管线现金流'!J2557&amp;"|"&amp;'管线现金流'!AL2557&amp;"|"&amp;'管线现金流'!J2558&amp;"|"&amp;'管线现金流'!AL2558&amp;"|"&amp;'管线现金流'!J2559&amp;"|"&amp;'管线现金流'!AL2559&amp;"|"&amp;'管线现金流'!J2560&amp;"|"&amp;'管线现金流'!AL2560&amp;"|"&amp;'管线现金流'!J2561&amp;"|"&amp;'管线现金流'!AL2561&amp;"|"&amp;'管线现金流'!J2562&amp;"|"&amp;'管线现金流'!AL2562&amp;"|"&amp;'管线现金流'!J2563&amp;"|"&amp;'管线现金流'!AL2563&amp;"|"&amp;'管线现金流'!J2564&amp;"|"&amp;'管线现金流'!AL2564&amp;"|"&amp;'管线现金流'!J2565&amp;"|"&amp;'管线现金流'!AL2565&amp;"|"&amp;'管线现金流'!J2566&amp;"|"&amp;'管线现金流'!AL2566&amp;"|"&amp;'管线现金流'!J2567&amp;"|"&amp;'管线现金流'!AL2567&amp;"|"&amp;'管线现金流'!J2568&amp;"|"&amp;'管线现金流'!AL2568&amp;"|"&amp;'管线现金流'!J2569&amp;"|"&amp;'管线现金流'!AL2569&amp;"|"&amp;'管线现金流'!J2570&amp;"|"&amp;'管线现金流'!AL2570&amp;"|"&amp;'管线现金流'!J2571&amp;"|"&amp;'管线现金流'!AL2571&amp;"|"&amp;'管线现金流'!J2572&amp;"|"&amp;'管线现金流'!AL2572&amp;"|"&amp;'管线现金流'!J2573&amp;"|"&amp;'管线现金流'!AL2573&amp;"|"&amp;'管线现金流'!J2574&amp;"|"&amp;'管线现金流'!AL2574&amp;"|"&amp;'管线现金流'!J2575&amp;"|"&amp;'管线现金流'!AL2575&amp;"|"&amp;'管线现金流'!J2576&amp;"|"&amp;'管线现金流'!AL2576&amp;"|"&amp;'管线现金流'!J2577&amp;"|"&amp;'管线现金流'!AL2577&amp;"|"&amp;'管线现金流'!J2578&amp;"|"&amp;'管线现金流'!AL2578&amp;"|"&amp;'管线现金流'!J2579&amp;"|"&amp;'管线现金流'!AL2579&amp;"|"&amp;'管线现金流'!J2580&amp;"|"&amp;'管线现金流'!AL2580&amp;"|"&amp;'管线现金流'!J2581&amp;"|"&amp;'管线现金流'!AL2581&amp;"|"&amp;'管线现金流'!W27&amp;"|"&amp;'管线现金流'!Z27&amp;"|"&amp;'管线现金流'!AQ27&amp;"|"&amp;'管线现金流'!AT27&amp;"|"&amp;'管线现金流'!W28&amp;"|"&amp;'管线现金流'!Z28&amp;"|"&amp;'管线现金流'!AQ28&amp;"|"&amp;'管线现金流'!AT28</x:f>
        <x:v>0.5|1.2|1.6|1|0.0935|1|0.105|6.8|1|0.1105|1|0.105|6.8|0.7|0.1105|1|0.105|6.8|0.5|0.1105|1|0.105|6.8|0.44999999999999996|0.1105|1|0.105|6.8|0.82|0.36|1|0.105|6.8|0.5|0.36|1|0.105|6.8|0.38|0.36|1|0.105|6.8|0.55|0.36|1|0.105|6.8|0.3400000000000001|0.36|1|0.105|6.8|0.6|0.1105|1|0.105|6.8|0.75|0.36|1|0.105|6.8|0.4|0.28|1|0.105|6.8|0.62|0.36|1|0.105|6.8|0.48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</x:row>
    <x:row r="340" ht="23" customHeight="1">
      <x:c r="A340" s="11" t="str">
        <x:v>688382.SH</x:v>
      </x:c>
      <x:c r="B340" s="11" t="str">
        <x:v>益方生物</x:v>
      </x:c>
      <x:c r="C340" s="11" t="str">
        <x:v>半年</x:v>
      </x:c>
      <x:c r="D340" s="11" t="str">
        <x:v>悲观</x:v>
      </x:c>
      <x:c r="E340" s="11" t="n">
        <x:v>17.26</x:v>
      </x:c>
      <x:c r="F340" s="11" t="n">
        <x:v>6.041</x:v>
      </x:c>
      <x:c r="G340" s="11" t="n">
        <x:v>0</x:v>
      </x:c>
      <x:c r="H340" s="25" t="n">
        <x:v>-0.65</x:v>
      </x:c>
      <x:c r="I340" s="25" t="n">
        <x:v>-0.65</x:v>
      </x:c>
      <x:c r="J340" s="25" t="str"/>
      <x:c r="K340" s="11" t="n">
        <x:v>0</x:v>
      </x:c>
      <x:c r="L340" s="11" t="n">
        <x:v>0</x:v>
      </x:c>
      <x:c r="M340" s="11" t="n">
        <x:v>1</x:v>
      </x:c>
      <x:c r="N340" s="11" t="n">
        <x:v>0</x:v>
      </x:c>
      <x:c r="O340" s="11" t="n">
        <x:v>0</x:v>
      </x:c>
      <x:c r="P340" s="11" t="n">
        <x:v>0</x:v>
      </x:c>
      <x:c r="Q340" s="11" t="n">
        <x:v>0.61</x:v>
      </x:c>
      <x:c r="R340" s="11" t="str">
        <x:v>inventis-rnpv-v1.0</x:v>
      </x:c>
      <x:c r="S340" s="11" t="str">
        <x:v>2026-10-10</x:v>
      </x:c>
      <x:c r="T340" s="11" t="str">
        <x:f>IF(AND(SUM(IF(K340='假设'!E452,0,1),IF(L340='假设'!F452,0,1),IF(M340='假设'!G452,0,1),IF(N340='假设'!H452,0,1),IF(O340='假设'!I452,0,1),IF(P340='假设'!J452,0,1),IF(Q340='假设'!K452,0,1))=0,U340=V340),"已刷新","待刷新")</x:f>
        <x:v>已刷新</x:v>
      </x:c>
      <x:c r="U340" t="str">
        <x:v>0.65|0.75|1.6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  <x:c r="V340" t="str">
        <x:f>'假设'!U452&amp;"|"&amp;'假设'!N452&amp;"|"&amp;'假设'!Q452&amp;"|"&amp;'管线假设'!E568&amp;"|"&amp;'管线假设'!F568&amp;"|"&amp;'管线假设'!G568&amp;"|"&amp;'管线假设'!H568&amp;"|"&amp;'管线假设'!I568&amp;"|"&amp;'管线假设'!E572&amp;"|"&amp;'管线假设'!F572&amp;"|"&amp;'管线假设'!G572&amp;"|"&amp;'管线假设'!H572&amp;"|"&amp;'管线假设'!I572&amp;"|"&amp;'管线假设'!E576&amp;"|"&amp;'管线假设'!F576&amp;"|"&amp;'管线假设'!G576&amp;"|"&amp;'管线假设'!H576&amp;"|"&amp;'管线假设'!I576&amp;"|"&amp;'管线假设'!E580&amp;"|"&amp;'管线假设'!F580&amp;"|"&amp;'管线假设'!G580&amp;"|"&amp;'管线假设'!H580&amp;"|"&amp;'管线假设'!I580&amp;"|"&amp;'管线假设'!E584&amp;"|"&amp;'管线假设'!F584&amp;"|"&amp;'管线假设'!G584&amp;"|"&amp;'管线假设'!H584&amp;"|"&amp;'管线假设'!I584&amp;"|"&amp;'管线假设'!E588&amp;"|"&amp;'管线假设'!F588&amp;"|"&amp;'管线假设'!G588&amp;"|"&amp;'管线假设'!H588&amp;"|"&amp;'管线假设'!I588&amp;"|"&amp;'管线假设'!E592&amp;"|"&amp;'管线假设'!F592&amp;"|"&amp;'管线假设'!G592&amp;"|"&amp;'管线假设'!H592&amp;"|"&amp;'管线假设'!I592&amp;"|"&amp;'管线假设'!E596&amp;"|"&amp;'管线假设'!F596&amp;"|"&amp;'管线假设'!G596&amp;"|"&amp;'管线假设'!H596&amp;"|"&amp;'管线假设'!I596&amp;"|"&amp;'管线假设'!E600&amp;"|"&amp;'管线假设'!F600&amp;"|"&amp;'管线假设'!G600&amp;"|"&amp;'管线假设'!H600&amp;"|"&amp;'管线假设'!I600&amp;"|"&amp;'管线假设'!E604&amp;"|"&amp;'管线假设'!F604&amp;"|"&amp;'管线假设'!G604&amp;"|"&amp;'管线假设'!H604&amp;"|"&amp;'管线假设'!I604&amp;"|"&amp;'管线假设'!E608&amp;"|"&amp;'管线假设'!F608&amp;"|"&amp;'管线假设'!G608&amp;"|"&amp;'管线假设'!H608&amp;"|"&amp;'管线假设'!I608&amp;"|"&amp;'管线假设'!E612&amp;"|"&amp;'管线假设'!F612&amp;"|"&amp;'管线假设'!G612&amp;"|"&amp;'管线假设'!H612&amp;"|"&amp;'管线假设'!I612&amp;"|"&amp;'管线假设'!E616&amp;"|"&amp;'管线假设'!F616&amp;"|"&amp;'管线假设'!G616&amp;"|"&amp;'管线假设'!H616&amp;"|"&amp;'管线假设'!I616&amp;"|"&amp;'管线假设'!E620&amp;"|"&amp;'管线假设'!F620&amp;"|"&amp;'管线假设'!G620&amp;"|"&amp;'管线假设'!H620&amp;"|"&amp;'管线假设'!I620&amp;"|"&amp;'管线假设'!E624&amp;"|"&amp;'管线假设'!F624&amp;"|"&amp;'管线假设'!G624&amp;"|"&amp;'管线假设'!H624&amp;"|"&amp;'管线假设'!I624&amp;"|"&amp;'管线现金流'!H2582&amp;"|"&amp;'管线现金流'!AJ2582&amp;"|"&amp;'管线现金流'!H2583&amp;"|"&amp;'管线现金流'!AJ2583&amp;"|"&amp;'管线现金流'!H2584&amp;"|"&amp;'管线现金流'!AJ2584&amp;"|"&amp;'管线现金流'!H2585&amp;"|"&amp;'管线现金流'!AJ2585&amp;"|"&amp;'管线现金流'!H2586&amp;"|"&amp;'管线现金流'!AJ2586&amp;"|"&amp;'管线现金流'!H2587&amp;"|"&amp;'管线现金流'!AJ2587&amp;"|"&amp;'管线现金流'!H2588&amp;"|"&amp;'管线现金流'!AJ2588&amp;"|"&amp;'管线现金流'!H2589&amp;"|"&amp;'管线现金流'!AJ2589&amp;"|"&amp;'管线现金流'!H2590&amp;"|"&amp;'管线现金流'!AJ2590&amp;"|"&amp;'管线现金流'!H2591&amp;"|"&amp;'管线现金流'!AJ2591&amp;"|"&amp;'管线现金流'!H2592&amp;"|"&amp;'管线现金流'!AJ2592&amp;"|"&amp;'管线现金流'!H2593&amp;"|"&amp;'管线现金流'!AJ2593&amp;"|"&amp;'管线现金流'!H2594&amp;"|"&amp;'管线现金流'!AJ2594&amp;"|"&amp;'管线现金流'!H2595&amp;"|"&amp;'管线现金流'!AJ2595&amp;"|"&amp;'管线现金流'!H2596&amp;"|"&amp;'管线现金流'!AJ2596&amp;"|"&amp;'管线现金流'!H2597&amp;"|"&amp;'管线现金流'!AJ2597&amp;"|"&amp;'管线现金流'!H2598&amp;"|"&amp;'管线现金流'!AJ2598&amp;"|"&amp;'管线现金流'!H2599&amp;"|"&amp;'管线现金流'!AJ2599&amp;"|"&amp;'管线现金流'!H2600&amp;"|"&amp;'管线现金流'!AJ2600&amp;"|"&amp;'管线现金流'!H2601&amp;"|"&amp;'管线现金流'!AJ2601&amp;"|"&amp;'管线现金流'!H2602&amp;"|"&amp;'管线现金流'!AJ2602&amp;"|"&amp;'管线现金流'!H2603&amp;"|"&amp;'管线现金流'!AJ2603&amp;"|"&amp;'管线现金流'!H2604&amp;"|"&amp;'管线现金流'!AJ2604&amp;"|"&amp;'管线现金流'!H2605&amp;"|"&amp;'管线现金流'!AJ2605&amp;"|"&amp;'管线现金流'!H2606&amp;"|"&amp;'管线现金流'!AJ2606&amp;"|"&amp;'管线现金流'!H2607&amp;"|"&amp;'管线现金流'!AJ2607&amp;"|"&amp;'管线现金流'!H2608&amp;"|"&amp;'管线现金流'!AJ2608&amp;"|"&amp;'管线现金流'!H2609&amp;"|"&amp;'管线现金流'!AJ2609&amp;"|"&amp;'管线现金流'!H2610&amp;"|"&amp;'管线现金流'!AJ2610&amp;"|"&amp;'管线现金流'!H2611&amp;"|"&amp;'管线现金流'!AJ2611&amp;"|"&amp;'管线现金流'!H2612&amp;"|"&amp;'管线现金流'!AJ2612&amp;"|"&amp;'管线现金流'!H2613&amp;"|"&amp;'管线现金流'!AJ2613&amp;"|"&amp;'管线现金流'!H2614&amp;"|"&amp;'管线现金流'!AJ2614&amp;"|"&amp;'管线现金流'!H2615&amp;"|"&amp;'管线现金流'!AJ2615&amp;"|"&amp;'管线现金流'!H2616&amp;"|"&amp;'管线现金流'!AJ2616&amp;"|"&amp;'管线现金流'!H2617&amp;"|"&amp;'管线现金流'!AJ2617&amp;"|"&amp;'管线现金流'!H2618&amp;"|"&amp;'管线现金流'!AJ2618&amp;"|"&amp;'管线现金流'!H2619&amp;"|"&amp;'管线现金流'!AJ2619&amp;"|"&amp;'管线现金流'!H2620&amp;"|"&amp;'管线现金流'!AJ2620&amp;"|"&amp;'管线现金流'!H2621&amp;"|"&amp;'管线现金流'!AJ2621&amp;"|"&amp;'管线现金流'!H2622&amp;"|"&amp;'管线现金流'!AJ2622&amp;"|"&amp;'管线现金流'!H2623&amp;"|"&amp;'管线现金流'!AJ2623&amp;"|"&amp;'管线现金流'!H2624&amp;"|"&amp;'管线现金流'!AJ2624&amp;"|"&amp;'管线现金流'!H2625&amp;"|"&amp;'管线现金流'!AJ2625&amp;"|"&amp;'管线现金流'!H2626&amp;"|"&amp;'管线现金流'!AJ2626&amp;"|"&amp;'管线现金流'!H2627&amp;"|"&amp;'管线现金流'!AJ2627&amp;"|"&amp;'管线现金流'!H2628&amp;"|"&amp;'管线现金流'!AJ2628&amp;"|"&amp;'管线现金流'!H2629&amp;"|"&amp;'管线现金流'!AJ2629&amp;"|"&amp;'管线现金流'!H2630&amp;"|"&amp;'管线现金流'!AJ2630&amp;"|"&amp;'管线现金流'!H2631&amp;"|"&amp;'管线现金流'!AJ2631&amp;"|"&amp;'管线现金流'!H2632&amp;"|"&amp;'管线现金流'!AJ2632&amp;"|"&amp;'管线现金流'!H2633&amp;"|"&amp;'管线现金流'!AJ2633&amp;"|"&amp;'管线现金流'!H2634&amp;"|"&amp;'管线现金流'!AJ2634&amp;"|"&amp;'管线现金流'!H2635&amp;"|"&amp;'管线现金流'!AJ2635&amp;"|"&amp;'管线现金流'!H2636&amp;"|"&amp;'管线现金流'!AJ2636&amp;"|"&amp;'管线现金流'!H2637&amp;"|"&amp;'管线现金流'!AJ2637&amp;"|"&amp;'管线现金流'!H2638&amp;"|"&amp;'管线现金流'!AJ2638&amp;"|"&amp;'管线现金流'!H2639&amp;"|"&amp;'管线现金流'!AJ2639&amp;"|"&amp;'管线现金流'!H2640&amp;"|"&amp;'管线现金流'!AJ2640&amp;"|"&amp;'管线现金流'!H2641&amp;"|"&amp;'管线现金流'!AJ2641&amp;"|"&amp;'管线现金流'!H2642&amp;"|"&amp;'管线现金流'!AJ2642&amp;"|"&amp;'管线现金流'!H2643&amp;"|"&amp;'管线现金流'!AJ2643&amp;"|"&amp;'管线现金流'!H2644&amp;"|"&amp;'管线现金流'!AJ2644&amp;"|"&amp;'管线现金流'!H2645&amp;"|"&amp;'管线现金流'!AJ2645&amp;"|"&amp;'管线现金流'!H2646&amp;"|"&amp;'管线现金流'!AJ2646&amp;"|"&amp;'管线现金流'!H2647&amp;"|"&amp;'管线现金流'!AJ2647&amp;"|"&amp;'管线现金流'!H2648&amp;"|"&amp;'管线现金流'!AJ2648&amp;"|"&amp;'管线现金流'!H2649&amp;"|"&amp;'管线现金流'!AJ2649&amp;"|"&amp;'管线现金流'!H2650&amp;"|"&amp;'管线现金流'!AJ2650&amp;"|"&amp;'管线现金流'!H2651&amp;"|"&amp;'管线现金流'!AJ2651&amp;"|"&amp;'管线现金流'!H2652&amp;"|"&amp;'管线现金流'!AJ2652&amp;"|"&amp;'管线现金流'!H2653&amp;"|"&amp;'管线现金流'!AJ2653&amp;"|"&amp;'管线现金流'!H2654&amp;"|"&amp;'管线现金流'!AJ2654&amp;"|"&amp;'管线现金流'!H2655&amp;"|"&amp;'管线现金流'!AJ2655&amp;"|"&amp;'管线现金流'!H2656&amp;"|"&amp;'管线现金流'!AJ2656&amp;"|"&amp;'管线现金流'!H2657&amp;"|"&amp;'管线现金流'!AJ2657&amp;"|"&amp;'管线现金流'!H2658&amp;"|"&amp;'管线现金流'!AJ2658&amp;"|"&amp;'管线现金流'!H2659&amp;"|"&amp;'管线现金流'!AJ2659&amp;"|"&amp;'管线现金流'!H2660&amp;"|"&amp;'管线现金流'!AJ2660&amp;"|"&amp;'管线现金流'!H2661&amp;"|"&amp;'管线现金流'!AJ2661&amp;"|"&amp;'管线现金流'!H2662&amp;"|"&amp;'管线现金流'!AJ2662&amp;"|"&amp;'管线现金流'!H2663&amp;"|"&amp;'管线现金流'!AJ2663&amp;"|"&amp;'管线现金流'!H2664&amp;"|"&amp;'管线现金流'!AJ2664&amp;"|"&amp;'管线现金流'!H2665&amp;"|"&amp;'管线现金流'!AJ2665&amp;"|"&amp;'管线现金流'!H2666&amp;"|"&amp;'管线现金流'!AJ2666&amp;"|"&amp;'管线现金流'!H2667&amp;"|"&amp;'管线现金流'!AJ2667&amp;"|"&amp;'管线现金流'!H2668&amp;"|"&amp;'管线现金流'!AJ2668&amp;"|"&amp;'管线现金流'!H2669&amp;"|"&amp;'管线现金流'!AJ2669&amp;"|"&amp;'管线现金流'!H2670&amp;"|"&amp;'管线现金流'!AJ2670&amp;"|"&amp;'管线现金流'!H2671&amp;"|"&amp;'管线现金流'!AJ2671&amp;"|"&amp;'管线现金流'!H2672&amp;"|"&amp;'管线现金流'!AJ2672&amp;"|"&amp;'管线现金流'!H2673&amp;"|"&amp;'管线现金流'!AJ2673&amp;"|"&amp;'管线现金流'!H2674&amp;"|"&amp;'管线现金流'!AJ2674&amp;"|"&amp;'管线现金流'!H2675&amp;"|"&amp;'管线现金流'!AJ2675&amp;"|"&amp;'管线现金流'!H2676&amp;"|"&amp;'管线现金流'!AJ2676&amp;"|"&amp;'管线现金流'!H2677&amp;"|"&amp;'管线现金流'!AJ2677&amp;"|"&amp;'管线现金流'!H2678&amp;"|"&amp;'管线现金流'!AJ2678&amp;"|"&amp;'管线现金流'!H2679&amp;"|"&amp;'管线现金流'!AJ2679&amp;"|"&amp;'管线现金流'!H2680&amp;"|"&amp;'管线现金流'!AJ2680&amp;"|"&amp;'管线现金流'!H2681&amp;"|"&amp;'管线现金流'!AJ2681&amp;"|"&amp;'管线现金流'!H2682&amp;"|"&amp;'管线现金流'!AJ2682&amp;"|"&amp;'管线现金流'!H2683&amp;"|"&amp;'管线现金流'!AJ2683&amp;"|"&amp;'管线现金流'!H2684&amp;"|"&amp;'管线现金流'!AJ2684&amp;"|"&amp;'管线现金流'!H2685&amp;"|"&amp;'管线现金流'!AJ2685&amp;"|"&amp;'管线现金流'!H2686&amp;"|"&amp;'管线现金流'!AJ2686&amp;"|"&amp;'管线现金流'!H2687&amp;"|"&amp;'管线现金流'!AJ2687&amp;"|"&amp;'管线现金流'!H2688&amp;"|"&amp;'管线现金流'!AJ2688&amp;"|"&amp;'管线现金流'!H2689&amp;"|"&amp;'管线现金流'!AJ2689&amp;"|"&amp;'管线现金流'!H2690&amp;"|"&amp;'管线现金流'!AJ2690&amp;"|"&amp;'管线现金流'!H2691&amp;"|"&amp;'管线现金流'!AJ2691&amp;"|"&amp;'管线现金流'!H2692&amp;"|"&amp;'管线现金流'!AJ2692&amp;"|"&amp;'管线现金流'!H2693&amp;"|"&amp;'管线现金流'!AJ2693&amp;"|"&amp;'管线现金流'!H2694&amp;"|"&amp;'管线现金流'!AJ2694&amp;"|"&amp;'管线现金流'!H2695&amp;"|"&amp;'管线现金流'!AJ2695&amp;"|"&amp;'管线现金流'!H2696&amp;"|"&amp;'管线现金流'!AJ2696&amp;"|"&amp;'管线现金流'!H2697&amp;"|"&amp;'管线现金流'!AJ2697&amp;"|"&amp;'管线现金流'!H2698&amp;"|"&amp;'管线现金流'!AJ2698&amp;"|"&amp;'管线现金流'!H2699&amp;"|"&amp;'管线现金流'!AJ2699&amp;"|"&amp;'管线现金流'!H2700&amp;"|"&amp;'管线现金流'!AJ2700&amp;"|"&amp;'管线现金流'!H2701&amp;"|"&amp;'管线现金流'!AJ2701&amp;"|"&amp;'管线现金流'!H2702&amp;"|"&amp;'管线现金流'!AJ2702&amp;"|"&amp;'管线现金流'!H2703&amp;"|"&amp;'管线现金流'!AJ2703&amp;"|"&amp;'管线现金流'!H2704&amp;"|"&amp;'管线现金流'!AJ2704&amp;"|"&amp;'管线现金流'!H2705&amp;"|"&amp;'管线现金流'!AJ2705&amp;"|"&amp;'管线现金流'!H2706&amp;"|"&amp;'管线现金流'!AJ2706&amp;"|"&amp;'管线现金流'!H2707&amp;"|"&amp;'管线现金流'!AJ2707&amp;"|"&amp;'管线现金流'!H2708&amp;"|"&amp;'管线现金流'!AJ2708&amp;"|"&amp;'管线现金流'!H2709&amp;"|"&amp;'管线现金流'!AJ2709&amp;"|"&amp;'管线现金流'!H2710&amp;"|"&amp;'管线现金流'!AJ2710&amp;"|"&amp;'管线现金流'!H2711&amp;"|"&amp;'管线现金流'!AJ2711&amp;"|"&amp;'管线现金流'!H2712&amp;"|"&amp;'管线现金流'!AJ2712&amp;"|"&amp;'管线现金流'!H2713&amp;"|"&amp;'管线现金流'!AJ2713&amp;"|"&amp;'管线现金流'!H2714&amp;"|"&amp;'管线现金流'!AJ2714&amp;"|"&amp;'管线现金流'!H2715&amp;"|"&amp;'管线现金流'!AJ2715&amp;"|"&amp;'管线现金流'!H2716&amp;"|"&amp;'管线现金流'!AJ2716&amp;"|"&amp;'管线现金流'!H2717&amp;"|"&amp;'管线现金流'!AJ2717&amp;"|"&amp;'管线现金流'!H2718&amp;"|"&amp;'管线现金流'!AJ2718&amp;"|"&amp;'管线现金流'!H2719&amp;"|"&amp;'管线现金流'!AJ2719&amp;"|"&amp;'管线现金流'!H2720&amp;"|"&amp;'管线现金流'!AJ2720&amp;"|"&amp;'管线现金流'!H2721&amp;"|"&amp;'管线现金流'!AJ2721&amp;"|"&amp;'管线现金流'!H2722&amp;"|"&amp;'管线现金流'!AJ2722&amp;"|"&amp;'管线现金流'!H2723&amp;"|"&amp;'管线现金流'!AJ2723&amp;"|"&amp;'管线现金流'!H2724&amp;"|"&amp;'管线现金流'!AJ2724&amp;"|"&amp;'管线现金流'!H2725&amp;"|"&amp;'管线现金流'!AJ2725&amp;"|"&amp;'管线现金流'!H2726&amp;"|"&amp;'管线现金流'!AJ2726&amp;"|"&amp;'管线现金流'!H2727&amp;"|"&amp;'管线现金流'!AJ2727&amp;"|"&amp;'管线现金流'!H2728&amp;"|"&amp;'管线现金流'!AJ2728&amp;"|"&amp;'管线现金流'!H2729&amp;"|"&amp;'管线现金流'!AJ2729&amp;"|"&amp;'管线现金流'!H2730&amp;"|"&amp;'管线现金流'!AJ2730&amp;"|"&amp;'管线现金流'!H2731&amp;"|"&amp;'管线现金流'!AJ2731&amp;"|"&amp;'管线现金流'!H2732&amp;"|"&amp;'管线现金流'!AJ2732&amp;"|"&amp;'管线现金流'!H2733&amp;"|"&amp;'管线现金流'!AJ2733&amp;"|"&amp;'管线现金流'!H2734&amp;"|"&amp;'管线现金流'!AJ2734&amp;"|"&amp;'管线现金流'!H2735&amp;"|"&amp;'管线现金流'!AJ2735&amp;"|"&amp;'管线现金流'!H2736&amp;"|"&amp;'管线现金流'!AJ2736&amp;"|"&amp;'管线现金流'!H2737&amp;"|"&amp;'管线现金流'!AJ2737&amp;"|"&amp;'管线现金流'!H2738&amp;"|"&amp;'管线现金流'!AJ2738&amp;"|"&amp;'管线现金流'!H2739&amp;"|"&amp;'管线现金流'!AJ2739&amp;"|"&amp;'管线现金流'!H2740&amp;"|"&amp;'管线现金流'!AJ2740&amp;"|"&amp;'管线现金流'!H2741&amp;"|"&amp;'管线现金流'!AJ2741&amp;"|"&amp;'管线现金流'!H2742&amp;"|"&amp;'管线现金流'!AJ2742&amp;"|"&amp;'管线现金流'!H2743&amp;"|"&amp;'管线现金流'!AJ2743&amp;"|"&amp;'管线现金流'!H2744&amp;"|"&amp;'管线现金流'!AJ2744&amp;"|"&amp;'管线现金流'!H2745&amp;"|"&amp;'管线现金流'!AJ2745&amp;"|"&amp;'管线现金流'!H2746&amp;"|"&amp;'管线现金流'!AJ2746&amp;"|"&amp;'管线现金流'!H2747&amp;"|"&amp;'管线现金流'!AJ2747&amp;"|"&amp;'管线现金流'!H2748&amp;"|"&amp;'管线现金流'!AJ2748&amp;"|"&amp;'管线现金流'!H2749&amp;"|"&amp;'管线现金流'!AJ2749&amp;"|"&amp;'管线现金流'!H2750&amp;"|"&amp;'管线现金流'!AJ2750&amp;"|"&amp;'管线现金流'!H2751&amp;"|"&amp;'管线现金流'!AJ2751&amp;"|"&amp;'管线现金流'!H2752&amp;"|"&amp;'管线现金流'!AJ2752&amp;"|"&amp;'管线现金流'!H2753&amp;"|"&amp;'管线现金流'!AJ2753&amp;"|"&amp;'管线现金流'!H2754&amp;"|"&amp;'管线现金流'!AJ2754&amp;"|"&amp;'管线现金流'!H2755&amp;"|"&amp;'管线现金流'!AJ2755&amp;"|"&amp;'管线现金流'!H2756&amp;"|"&amp;'管线现金流'!AJ2756&amp;"|"&amp;'管线现金流'!H2757&amp;"|"&amp;'管线现金流'!AJ2757&amp;"|"&amp;'管线现金流'!H2758&amp;"|"&amp;'管线现金流'!AJ2758&amp;"|"&amp;'管线现金流'!H2759&amp;"|"&amp;'管线现金流'!AJ2759&amp;"|"&amp;'管线现金流'!H2760&amp;"|"&amp;'管线现金流'!AJ2760&amp;"|"&amp;'管线现金流'!H2761&amp;"|"&amp;'管线现金流'!AJ2761&amp;"|"&amp;'管线现金流'!H2762&amp;"|"&amp;'管线现金流'!AJ2762&amp;"|"&amp;'管线现金流'!H2763&amp;"|"&amp;'管线现金流'!AJ2763&amp;"|"&amp;'管线现金流'!H2764&amp;"|"&amp;'管线现金流'!AJ2764&amp;"|"&amp;'管线现金流'!H2765&amp;"|"&amp;'管线现金流'!AJ2765&amp;"|"&amp;'管线现金流'!H2766&amp;"|"&amp;'管线现金流'!AJ2766&amp;"|"&amp;'管线现金流'!H2767&amp;"|"&amp;'管线现金流'!AJ2767&amp;"|"&amp;'管线现金流'!H2768&amp;"|"&amp;'管线现金流'!AJ2768&amp;"|"&amp;'管线现金流'!H2769&amp;"|"&amp;'管线现金流'!AJ2769&amp;"|"&amp;'管线现金流'!H2770&amp;"|"&amp;'管线现金流'!AJ2770&amp;"|"&amp;'管线现金流'!H2771&amp;"|"&amp;'管线现金流'!AJ2771&amp;"|"&amp;'管线现金流'!H2772&amp;"|"&amp;'管线现金流'!AJ2772&amp;"|"&amp;'管线现金流'!H2773&amp;"|"&amp;'管线现金流'!AJ2773&amp;"|"&amp;'管线现金流'!H2774&amp;"|"&amp;'管线现金流'!AJ2774&amp;"|"&amp;'管线现金流'!H2775&amp;"|"&amp;'管线现金流'!AJ2775&amp;"|"&amp;'管线现金流'!H2776&amp;"|"&amp;'管线现金流'!AJ2776&amp;"|"&amp;'管线现金流'!H2777&amp;"|"&amp;'管线现金流'!AJ2777&amp;"|"&amp;'管线现金流'!H2778&amp;"|"&amp;'管线现金流'!AJ2778&amp;"|"&amp;'管线现金流'!H2779&amp;"|"&amp;'管线现金流'!AJ2779&amp;"|"&amp;'管线现金流'!H2780&amp;"|"&amp;'管线现金流'!AJ2780&amp;"|"&amp;'管线现金流'!H2781&amp;"|"&amp;'管线现金流'!AJ2781&amp;"|"&amp;'管线现金流'!H2782&amp;"|"&amp;'管线现金流'!AJ2782&amp;"|"&amp;'管线现金流'!H2783&amp;"|"&amp;'管线现金流'!AJ2783&amp;"|"&amp;'管线现金流'!H2784&amp;"|"&amp;'管线现金流'!AJ2784&amp;"|"&amp;'管线现金流'!H2785&amp;"|"&amp;'管线现金流'!AJ2785&amp;"|"&amp;'管线现金流'!H2786&amp;"|"&amp;'管线现金流'!AJ2786&amp;"|"&amp;'管线现金流'!H2787&amp;"|"&amp;'管线现金流'!AJ2787&amp;"|"&amp;'管线现金流'!H2788&amp;"|"&amp;'管线现金流'!AJ2788&amp;"|"&amp;'管线现金流'!H2789&amp;"|"&amp;'管线现金流'!AJ2789&amp;"|"&amp;'管线现金流'!H2790&amp;"|"&amp;'管线现金流'!AJ2790&amp;"|"&amp;'管线现金流'!H2791&amp;"|"&amp;'管线现金流'!AJ2791&amp;"|"&amp;'管线现金流'!H2792&amp;"|"&amp;'管线现金流'!AJ2792&amp;"|"&amp;'管线现金流'!H2793&amp;"|"&amp;'管线现金流'!AJ2793&amp;"|"&amp;'管线现金流'!H2794&amp;"|"&amp;'管线现金流'!AJ2794&amp;"|"&amp;'管线现金流'!H2795&amp;"|"&amp;'管线现金流'!AJ2795&amp;"|"&amp;'管线现金流'!H2796&amp;"|"&amp;'管线现金流'!AJ2796&amp;"|"&amp;'管线现金流'!H2797&amp;"|"&amp;'管线现金流'!AJ2797&amp;"|"&amp;'管线现金流'!H2798&amp;"|"&amp;'管线现金流'!AJ2798&amp;"|"&amp;'管线现金流'!H2799&amp;"|"&amp;'管线现金流'!AJ2799&amp;"|"&amp;'管线现金流'!H2800&amp;"|"&amp;'管线现金流'!AJ2800&amp;"|"&amp;'管线现金流'!H2801&amp;"|"&amp;'管线现金流'!AJ2801&amp;"|"&amp;'管线现金流'!H2802&amp;"|"&amp;'管线现金流'!AJ2802&amp;"|"&amp;'管线现金流'!H2803&amp;"|"&amp;'管线现金流'!AJ2803&amp;"|"&amp;'管线现金流'!H2804&amp;"|"&amp;'管线现金流'!AJ2804&amp;"|"&amp;'管线现金流'!H2805&amp;"|"&amp;'管线现金流'!AJ2805&amp;"|"&amp;'管线现金流'!H2806&amp;"|"&amp;'管线现金流'!AJ2806&amp;"|"&amp;'管线现金流'!H2807&amp;"|"&amp;'管线现金流'!AJ2807&amp;"|"&amp;'管线现金流'!H2808&amp;"|"&amp;'管线现金流'!AJ2808&amp;"|"&amp;'管线现金流'!H2809&amp;"|"&amp;'管线现金流'!AJ2809&amp;"|"&amp;'管线现金流'!H2810&amp;"|"&amp;'管线现金流'!AJ2810&amp;"|"&amp;'管线现金流'!H2811&amp;"|"&amp;'管线现金流'!AJ2811&amp;"|"&amp;'管线现金流'!H2812&amp;"|"&amp;'管线现金流'!AJ2812&amp;"|"&amp;'管线现金流'!H2813&amp;"|"&amp;'管线现金流'!AJ2813&amp;"|"&amp;'管线现金流'!H2814&amp;"|"&amp;'管线现金流'!AJ2814&amp;"|"&amp;'管线现金流'!H2815&amp;"|"&amp;'管线现金流'!AJ2815&amp;"|"&amp;'管线现金流'!H2816&amp;"|"&amp;'管线现金流'!AJ2816&amp;"|"&amp;'管线现金流'!H2817&amp;"|"&amp;'管线现金流'!AJ2817&amp;"|"&amp;'管线现金流'!H2818&amp;"|"&amp;'管线现金流'!AJ2818&amp;"|"&amp;'管线现金流'!H2819&amp;"|"&amp;'管线现金流'!AJ2819&amp;"|"&amp;'管线现金流'!H2820&amp;"|"&amp;'管线现金流'!AJ2820&amp;"|"&amp;'管线现金流'!H2821&amp;"|"&amp;'管线现金流'!AJ2821&amp;"|"&amp;'管线现金流'!H2822&amp;"|"&amp;'管线现金流'!AJ2822&amp;"|"&amp;'管线现金流'!H2823&amp;"|"&amp;'管线现金流'!AJ2823&amp;"|"&amp;'管线现金流'!H2824&amp;"|"&amp;'管线现金流'!AJ2824&amp;"|"&amp;'管线现金流'!H2825&amp;"|"&amp;'管线现金流'!AJ2825&amp;"|"&amp;'管线现金流'!H2826&amp;"|"&amp;'管线现金流'!AJ2826&amp;"|"&amp;'管线现金流'!H2827&amp;"|"&amp;'管线现金流'!AJ2827&amp;"|"&amp;'管线现金流'!H2828&amp;"|"&amp;'管线现金流'!AJ2828&amp;"|"&amp;'管线现金流'!H2829&amp;"|"&amp;'管线现金流'!AJ2829&amp;"|"&amp;'管线现金流'!H2830&amp;"|"&amp;'管线现金流'!AJ2830&amp;"|"&amp;'管线现金流'!H2831&amp;"|"&amp;'管线现金流'!AJ2831&amp;"|"&amp;'管线现金流'!H2832&amp;"|"&amp;'管线现金流'!AJ2832&amp;"|"&amp;'管线现金流'!H2833&amp;"|"&amp;'管线现金流'!AJ2833&amp;"|"&amp;'管线现金流'!H2834&amp;"|"&amp;'管线现金流'!AJ2834&amp;"|"&amp;'管线现金流'!H2835&amp;"|"&amp;'管线现金流'!AJ2835&amp;"|"&amp;'管线现金流'!H2836&amp;"|"&amp;'管线现金流'!AJ2836&amp;"|"&amp;'管线现金流'!H2837&amp;"|"&amp;'管线现金流'!AJ2837&amp;"|"&amp;'管线现金流'!H2838&amp;"|"&amp;'管线现金流'!AJ2838&amp;"|"&amp;'管线现金流'!H2839&amp;"|"&amp;'管线现金流'!AJ2839&amp;"|"&amp;'管线现金流'!H2840&amp;"|"&amp;'管线现金流'!AJ2840&amp;"|"&amp;'管线现金流'!H2841&amp;"|"&amp;'管线现金流'!AJ2841&amp;"|"&amp;'管线现金流'!H2842&amp;"|"&amp;'管线现金流'!AJ2842&amp;"|"&amp;'管线现金流'!H2843&amp;"|"&amp;'管线现金流'!AJ2843&amp;"|"&amp;'管线现金流'!H2844&amp;"|"&amp;'管线现金流'!AJ2844&amp;"|"&amp;'管线现金流'!H2845&amp;"|"&amp;'管线现金流'!AJ2845&amp;"|"&amp;'管线现金流'!H2846&amp;"|"&amp;'管线现金流'!AJ2846&amp;"|"&amp;'管线现金流'!H2847&amp;"|"&amp;'管线现金流'!AJ2847&amp;"|"&amp;'管线现金流'!H2848&amp;"|"&amp;'管线现金流'!AJ2848&amp;"|"&amp;'管线现金流'!H2849&amp;"|"&amp;'管线现金流'!AJ2849&amp;"|"&amp;'管线现金流'!H2850&amp;"|"&amp;'管线现金流'!AJ2850&amp;"|"&amp;'管线现金流'!H2851&amp;"|"&amp;'管线现金流'!AJ2851&amp;"|"&amp;'管线现金流'!H2852&amp;"|"&amp;'管线现金流'!AJ2852&amp;"|"&amp;'管线现金流'!H2853&amp;"|"&amp;'管线现金流'!AJ2853&amp;"|"&amp;'管线现金流'!H2854&amp;"|"&amp;'管线现金流'!AJ2854&amp;"|"&amp;'管线现金流'!H2855&amp;"|"&amp;'管线现金流'!AJ2855&amp;"|"&amp;'管线现金流'!H2856&amp;"|"&amp;'管线现金流'!AJ2856&amp;"|"&amp;'管线现金流'!H2857&amp;"|"&amp;'管线现金流'!AJ2857&amp;"|"&amp;'管线现金流'!H2858&amp;"|"&amp;'管线现金流'!AJ2858&amp;"|"&amp;'管线现金流'!H2859&amp;"|"&amp;'管线现金流'!AJ2859&amp;"|"&amp;'管线现金流'!H2860&amp;"|"&amp;'管线现金流'!AJ2860&amp;"|"&amp;'管线现金流'!H2861&amp;"|"&amp;'管线现金流'!AJ2861&amp;"|"&amp;'管线现金流'!H2862&amp;"|"&amp;'管线现金流'!AJ2862&amp;"|"&amp;'管线现金流'!H2863&amp;"|"&amp;'管线现金流'!AJ2863&amp;"|"&amp;'管线现金流'!H2864&amp;"|"&amp;'管线现金流'!AJ2864&amp;"|"&amp;'管线现金流'!H2865&amp;"|"&amp;'管线现金流'!AJ2865&amp;"|"&amp;'管线现金流'!H2866&amp;"|"&amp;'管线现金流'!AJ2866&amp;"|"&amp;'管线现金流'!U29&amp;"|"&amp;'管线现金流'!X29&amp;"|"&amp;'管线现金流'!AO29&amp;"|"&amp;'管线现金流'!AR29&amp;"|"&amp;'管线现金流'!U30&amp;"|"&amp;'管线现金流'!X30&amp;"|"&amp;'管线现金流'!AO30&amp;"|"&amp;'管线现金流'!AR30</x:f>
        <x:v>0.65|0.75|1.6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</x:row>
    <x:row r="341" ht="23" customHeight="1">
      <x:c r="A341" s="11" t="str">
        <x:v>688382.SH</x:v>
      </x:c>
      <x:c r="B341" s="11" t="str">
        <x:v>益方生物</x:v>
      </x:c>
      <x:c r="C341" s="11" t="str">
        <x:v>半年</x:v>
      </x:c>
      <x:c r="D341" s="11" t="str">
        <x:v>基准</x:v>
      </x:c>
      <x:c r="E341" s="11" t="n">
        <x:v>17.26</x:v>
      </x:c>
      <x:c r="F341" s="11" t="n">
        <x:v>10.823948226264573</x:v>
      </x:c>
      <x:c r="G341" s="11" t="n">
        <x:v>0</x:v>
      </x:c>
      <x:c r="H341" s="25" t="n">
        <x:v>-0.3728882835304419</x:v>
      </x:c>
      <x:c r="I341" s="25" t="n">
        <x:v>-0.3728882835304419</x:v>
      </x:c>
      <x:c r="J341" s="25" t="str"/>
      <x:c r="K341" s="11" t="n">
        <x:v>0</x:v>
      </x:c>
      <x:c r="L341" s="11" t="n">
        <x:v>0</x:v>
      </x:c>
      <x:c r="M341" s="11" t="n">
        <x:v>1</x:v>
      </x:c>
      <x:c r="N341" s="11" t="n">
        <x:v>0</x:v>
      </x:c>
      <x:c r="O341" s="11" t="n">
        <x:v>0</x:v>
      </x:c>
      <x:c r="P341" s="11" t="n">
        <x:v>0</x:v>
      </x:c>
      <x:c r="Q341" s="11" t="n">
        <x:v>0.6</x:v>
      </x:c>
      <x:c r="R341" s="11" t="str">
        <x:v>inventis-rnpv-v1.0</x:v>
      </x:c>
      <x:c r="S341" s="11" t="str">
        <x:v>2026-10-10</x:v>
      </x:c>
      <x:c r="T341" s="11" t="str">
        <x:f>IF(AND(SUM(IF(K341='假设'!E453,0,1),IF(L341='假设'!F453,0,1),IF(M341='假设'!G453,0,1),IF(N341='假设'!H453,0,1),IF(O341='假设'!I453,0,1),IF(P341='假设'!J453,0,1),IF(Q341='假设'!K453,0,1))=0,U341=V341),"已刷新","待刷新")</x:f>
        <x:v>已刷新</x:v>
      </x:c>
      <x:c r="U341" t="str">
        <x:v>0.65|1|1.45|1|0.0656|1|0.135|6.8|1|0.08200000000000002|1|0.135|6.8|0.49039999999999995|0.08200000000000002|1|0.135|6.8|0.2846000000000001|0.08200000000000002|1|0.135|6.8|0.24539999999999995|0.08200000000000002|1|0.135|6.8|0.6275999999999999|0.28|1|0.135|6.8|0.2944|0.28|1|0.135|6.8|0.1963999999999999|0.28|1|0.135|6.8|0.31400000000000006|0.28|1|0.135|6.8|0.16700000000000004|0.28|1|0.135|6.8|0.363|0.08200000000000002|1|0.135|6.8|0.51|0.28|1|0.135|6.8|0.1963999999999999|0.2|1|0.135|6.8|0.39239999999999997|0.28|1|0.135|6.8|0.265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  <x:c r="V341" t="str">
        <x:f>'假设'!U453&amp;"|"&amp;'假设'!N453&amp;"|"&amp;'假设'!Q453&amp;"|"&amp;'管线假设'!E569&amp;"|"&amp;'管线假设'!F569&amp;"|"&amp;'管线假设'!G569&amp;"|"&amp;'管线假设'!H569&amp;"|"&amp;'管线假设'!I569&amp;"|"&amp;'管线假设'!E573&amp;"|"&amp;'管线假设'!F573&amp;"|"&amp;'管线假设'!G573&amp;"|"&amp;'管线假设'!H573&amp;"|"&amp;'管线假设'!I573&amp;"|"&amp;'管线假设'!E577&amp;"|"&amp;'管线假设'!F577&amp;"|"&amp;'管线假设'!G577&amp;"|"&amp;'管线假设'!H577&amp;"|"&amp;'管线假设'!I577&amp;"|"&amp;'管线假设'!E581&amp;"|"&amp;'管线假设'!F581&amp;"|"&amp;'管线假设'!G581&amp;"|"&amp;'管线假设'!H581&amp;"|"&amp;'管线假设'!I581&amp;"|"&amp;'管线假设'!E585&amp;"|"&amp;'管线假设'!F585&amp;"|"&amp;'管线假设'!G585&amp;"|"&amp;'管线假设'!H585&amp;"|"&amp;'管线假设'!I585&amp;"|"&amp;'管线假设'!E589&amp;"|"&amp;'管线假设'!F589&amp;"|"&amp;'管线假设'!G589&amp;"|"&amp;'管线假设'!H589&amp;"|"&amp;'管线假设'!I589&amp;"|"&amp;'管线假设'!E593&amp;"|"&amp;'管线假设'!F593&amp;"|"&amp;'管线假设'!G593&amp;"|"&amp;'管线假设'!H593&amp;"|"&amp;'管线假设'!I593&amp;"|"&amp;'管线假设'!E597&amp;"|"&amp;'管线假设'!F597&amp;"|"&amp;'管线假设'!G597&amp;"|"&amp;'管线假设'!H597&amp;"|"&amp;'管线假设'!I597&amp;"|"&amp;'管线假设'!E601&amp;"|"&amp;'管线假设'!F601&amp;"|"&amp;'管线假设'!G601&amp;"|"&amp;'管线假设'!H601&amp;"|"&amp;'管线假设'!I601&amp;"|"&amp;'管线假设'!E605&amp;"|"&amp;'管线假设'!F605&amp;"|"&amp;'管线假设'!G605&amp;"|"&amp;'管线假设'!H605&amp;"|"&amp;'管线假设'!I605&amp;"|"&amp;'管线假设'!E609&amp;"|"&amp;'管线假设'!F609&amp;"|"&amp;'管线假设'!G609&amp;"|"&amp;'管线假设'!H609&amp;"|"&amp;'管线假设'!I609&amp;"|"&amp;'管线假设'!E613&amp;"|"&amp;'管线假设'!F613&amp;"|"&amp;'管线假设'!G613&amp;"|"&amp;'管线假设'!H613&amp;"|"&amp;'管线假设'!I613&amp;"|"&amp;'管线假设'!E617&amp;"|"&amp;'管线假设'!F617&amp;"|"&amp;'管线假设'!G617&amp;"|"&amp;'管线假设'!H617&amp;"|"&amp;'管线假设'!I617&amp;"|"&amp;'管线假设'!E621&amp;"|"&amp;'管线假设'!F621&amp;"|"&amp;'管线假设'!G621&amp;"|"&amp;'管线假设'!H621&amp;"|"&amp;'管线假设'!I621&amp;"|"&amp;'管线假设'!E625&amp;"|"&amp;'管线假设'!F625&amp;"|"&amp;'管线假设'!G625&amp;"|"&amp;'管线假设'!H625&amp;"|"&amp;'管线假设'!I625&amp;"|"&amp;'管线现金流'!I2582&amp;"|"&amp;'管线现金流'!AK2582&amp;"|"&amp;'管线现金流'!I2583&amp;"|"&amp;'管线现金流'!AK2583&amp;"|"&amp;'管线现金流'!I2584&amp;"|"&amp;'管线现金流'!AK2584&amp;"|"&amp;'管线现金流'!I2585&amp;"|"&amp;'管线现金流'!AK2585&amp;"|"&amp;'管线现金流'!I2586&amp;"|"&amp;'管线现金流'!AK2586&amp;"|"&amp;'管线现金流'!I2587&amp;"|"&amp;'管线现金流'!AK2587&amp;"|"&amp;'管线现金流'!I2588&amp;"|"&amp;'管线现金流'!AK2588&amp;"|"&amp;'管线现金流'!I2589&amp;"|"&amp;'管线现金流'!AK2589&amp;"|"&amp;'管线现金流'!I2590&amp;"|"&amp;'管线现金流'!AK2590&amp;"|"&amp;'管线现金流'!I2591&amp;"|"&amp;'管线现金流'!AK2591&amp;"|"&amp;'管线现金流'!I2592&amp;"|"&amp;'管线现金流'!AK2592&amp;"|"&amp;'管线现金流'!I2593&amp;"|"&amp;'管线现金流'!AK2593&amp;"|"&amp;'管线现金流'!I2594&amp;"|"&amp;'管线现金流'!AK2594&amp;"|"&amp;'管线现金流'!I2595&amp;"|"&amp;'管线现金流'!AK2595&amp;"|"&amp;'管线现金流'!I2596&amp;"|"&amp;'管线现金流'!AK2596&amp;"|"&amp;'管线现金流'!I2597&amp;"|"&amp;'管线现金流'!AK2597&amp;"|"&amp;'管线现金流'!I2598&amp;"|"&amp;'管线现金流'!AK2598&amp;"|"&amp;'管线现金流'!I2599&amp;"|"&amp;'管线现金流'!AK2599&amp;"|"&amp;'管线现金流'!I2600&amp;"|"&amp;'管线现金流'!AK2600&amp;"|"&amp;'管线现金流'!I2601&amp;"|"&amp;'管线现金流'!AK2601&amp;"|"&amp;'管线现金流'!I2602&amp;"|"&amp;'管线现金流'!AK2602&amp;"|"&amp;'管线现金流'!I2603&amp;"|"&amp;'管线现金流'!AK2603&amp;"|"&amp;'管线现金流'!I2604&amp;"|"&amp;'管线现金流'!AK2604&amp;"|"&amp;'管线现金流'!I2605&amp;"|"&amp;'管线现金流'!AK2605&amp;"|"&amp;'管线现金流'!I2606&amp;"|"&amp;'管线现金流'!AK2606&amp;"|"&amp;'管线现金流'!I2607&amp;"|"&amp;'管线现金流'!AK2607&amp;"|"&amp;'管线现金流'!I2608&amp;"|"&amp;'管线现金流'!AK2608&amp;"|"&amp;'管线现金流'!I2609&amp;"|"&amp;'管线现金流'!AK2609&amp;"|"&amp;'管线现金流'!I2610&amp;"|"&amp;'管线现金流'!AK2610&amp;"|"&amp;'管线现金流'!I2611&amp;"|"&amp;'管线现金流'!AK2611&amp;"|"&amp;'管线现金流'!I2612&amp;"|"&amp;'管线现金流'!AK2612&amp;"|"&amp;'管线现金流'!I2613&amp;"|"&amp;'管线现金流'!AK2613&amp;"|"&amp;'管线现金流'!I2614&amp;"|"&amp;'管线现金流'!AK2614&amp;"|"&amp;'管线现金流'!I2615&amp;"|"&amp;'管线现金流'!AK2615&amp;"|"&amp;'管线现金流'!I2616&amp;"|"&amp;'管线现金流'!AK2616&amp;"|"&amp;'管线现金流'!I2617&amp;"|"&amp;'管线现金流'!AK2617&amp;"|"&amp;'管线现金流'!I2618&amp;"|"&amp;'管线现金流'!AK2618&amp;"|"&amp;'管线现金流'!I2619&amp;"|"&amp;'管线现金流'!AK2619&amp;"|"&amp;'管线现金流'!I2620&amp;"|"&amp;'管线现金流'!AK2620&amp;"|"&amp;'管线现金流'!I2621&amp;"|"&amp;'管线现金流'!AK2621&amp;"|"&amp;'管线现金流'!I2622&amp;"|"&amp;'管线现金流'!AK2622&amp;"|"&amp;'管线现金流'!I2623&amp;"|"&amp;'管线现金流'!AK2623&amp;"|"&amp;'管线现金流'!I2624&amp;"|"&amp;'管线现金流'!AK2624&amp;"|"&amp;'管线现金流'!I2625&amp;"|"&amp;'管线现金流'!AK2625&amp;"|"&amp;'管线现金流'!I2626&amp;"|"&amp;'管线现金流'!AK2626&amp;"|"&amp;'管线现金流'!I2627&amp;"|"&amp;'管线现金流'!AK2627&amp;"|"&amp;'管线现金流'!I2628&amp;"|"&amp;'管线现金流'!AK2628&amp;"|"&amp;'管线现金流'!I2629&amp;"|"&amp;'管线现金流'!AK2629&amp;"|"&amp;'管线现金流'!I2630&amp;"|"&amp;'管线现金流'!AK2630&amp;"|"&amp;'管线现金流'!I2631&amp;"|"&amp;'管线现金流'!AK2631&amp;"|"&amp;'管线现金流'!I2632&amp;"|"&amp;'管线现金流'!AK2632&amp;"|"&amp;'管线现金流'!I2633&amp;"|"&amp;'管线现金流'!AK2633&amp;"|"&amp;'管线现金流'!I2634&amp;"|"&amp;'管线现金流'!AK2634&amp;"|"&amp;'管线现金流'!I2635&amp;"|"&amp;'管线现金流'!AK2635&amp;"|"&amp;'管线现金流'!I2636&amp;"|"&amp;'管线现金流'!AK2636&amp;"|"&amp;'管线现金流'!I2637&amp;"|"&amp;'管线现金流'!AK2637&amp;"|"&amp;'管线现金流'!I2638&amp;"|"&amp;'管线现金流'!AK2638&amp;"|"&amp;'管线现金流'!I2639&amp;"|"&amp;'管线现金流'!AK2639&amp;"|"&amp;'管线现金流'!I2640&amp;"|"&amp;'管线现金流'!AK2640&amp;"|"&amp;'管线现金流'!I2641&amp;"|"&amp;'管线现金流'!AK2641&amp;"|"&amp;'管线现金流'!I2642&amp;"|"&amp;'管线现金流'!AK2642&amp;"|"&amp;'管线现金流'!I2643&amp;"|"&amp;'管线现金流'!AK2643&amp;"|"&amp;'管线现金流'!I2644&amp;"|"&amp;'管线现金流'!AK2644&amp;"|"&amp;'管线现金流'!I2645&amp;"|"&amp;'管线现金流'!AK2645&amp;"|"&amp;'管线现金流'!I2646&amp;"|"&amp;'管线现金流'!AK2646&amp;"|"&amp;'管线现金流'!I2647&amp;"|"&amp;'管线现金流'!AK2647&amp;"|"&amp;'管线现金流'!I2648&amp;"|"&amp;'管线现金流'!AK2648&amp;"|"&amp;'管线现金流'!I2649&amp;"|"&amp;'管线现金流'!AK2649&amp;"|"&amp;'管线现金流'!I2650&amp;"|"&amp;'管线现金流'!AK2650&amp;"|"&amp;'管线现金流'!I2651&amp;"|"&amp;'管线现金流'!AK2651&amp;"|"&amp;'管线现金流'!I2652&amp;"|"&amp;'管线现金流'!AK2652&amp;"|"&amp;'管线现金流'!I2653&amp;"|"&amp;'管线现金流'!AK2653&amp;"|"&amp;'管线现金流'!I2654&amp;"|"&amp;'管线现金流'!AK2654&amp;"|"&amp;'管线现金流'!I2655&amp;"|"&amp;'管线现金流'!AK2655&amp;"|"&amp;'管线现金流'!I2656&amp;"|"&amp;'管线现金流'!AK2656&amp;"|"&amp;'管线现金流'!I2657&amp;"|"&amp;'管线现金流'!AK2657&amp;"|"&amp;'管线现金流'!I2658&amp;"|"&amp;'管线现金流'!AK2658&amp;"|"&amp;'管线现金流'!I2659&amp;"|"&amp;'管线现金流'!AK2659&amp;"|"&amp;'管线现金流'!I2660&amp;"|"&amp;'管线现金流'!AK2660&amp;"|"&amp;'管线现金流'!I2661&amp;"|"&amp;'管线现金流'!AK2661&amp;"|"&amp;'管线现金流'!I2662&amp;"|"&amp;'管线现金流'!AK2662&amp;"|"&amp;'管线现金流'!I2663&amp;"|"&amp;'管线现金流'!AK2663&amp;"|"&amp;'管线现金流'!I2664&amp;"|"&amp;'管线现金流'!AK2664&amp;"|"&amp;'管线现金流'!I2665&amp;"|"&amp;'管线现金流'!AK2665&amp;"|"&amp;'管线现金流'!I2666&amp;"|"&amp;'管线现金流'!AK2666&amp;"|"&amp;'管线现金流'!I2667&amp;"|"&amp;'管线现金流'!AK2667&amp;"|"&amp;'管线现金流'!I2668&amp;"|"&amp;'管线现金流'!AK2668&amp;"|"&amp;'管线现金流'!I2669&amp;"|"&amp;'管线现金流'!AK2669&amp;"|"&amp;'管线现金流'!I2670&amp;"|"&amp;'管线现金流'!AK2670&amp;"|"&amp;'管线现金流'!I2671&amp;"|"&amp;'管线现金流'!AK2671&amp;"|"&amp;'管线现金流'!I2672&amp;"|"&amp;'管线现金流'!AK2672&amp;"|"&amp;'管线现金流'!I2673&amp;"|"&amp;'管线现金流'!AK2673&amp;"|"&amp;'管线现金流'!I2674&amp;"|"&amp;'管线现金流'!AK2674&amp;"|"&amp;'管线现金流'!I2675&amp;"|"&amp;'管线现金流'!AK2675&amp;"|"&amp;'管线现金流'!I2676&amp;"|"&amp;'管线现金流'!AK2676&amp;"|"&amp;'管线现金流'!I2677&amp;"|"&amp;'管线现金流'!AK2677&amp;"|"&amp;'管线现金流'!I2678&amp;"|"&amp;'管线现金流'!AK2678&amp;"|"&amp;'管线现金流'!I2679&amp;"|"&amp;'管线现金流'!AK2679&amp;"|"&amp;'管线现金流'!I2680&amp;"|"&amp;'管线现金流'!AK2680&amp;"|"&amp;'管线现金流'!I2681&amp;"|"&amp;'管线现金流'!AK2681&amp;"|"&amp;'管线现金流'!I2682&amp;"|"&amp;'管线现金流'!AK2682&amp;"|"&amp;'管线现金流'!I2683&amp;"|"&amp;'管线现金流'!AK2683&amp;"|"&amp;'管线现金流'!I2684&amp;"|"&amp;'管线现金流'!AK2684&amp;"|"&amp;'管线现金流'!I2685&amp;"|"&amp;'管线现金流'!AK2685&amp;"|"&amp;'管线现金流'!I2686&amp;"|"&amp;'管线现金流'!AK2686&amp;"|"&amp;'管线现金流'!I2687&amp;"|"&amp;'管线现金流'!AK2687&amp;"|"&amp;'管线现金流'!I2688&amp;"|"&amp;'管线现金流'!AK2688&amp;"|"&amp;'管线现金流'!I2689&amp;"|"&amp;'管线现金流'!AK2689&amp;"|"&amp;'管线现金流'!I2690&amp;"|"&amp;'管线现金流'!AK2690&amp;"|"&amp;'管线现金流'!I2691&amp;"|"&amp;'管线现金流'!AK2691&amp;"|"&amp;'管线现金流'!I2692&amp;"|"&amp;'管线现金流'!AK2692&amp;"|"&amp;'管线现金流'!I2693&amp;"|"&amp;'管线现金流'!AK2693&amp;"|"&amp;'管线现金流'!I2694&amp;"|"&amp;'管线现金流'!AK2694&amp;"|"&amp;'管线现金流'!I2695&amp;"|"&amp;'管线现金流'!AK2695&amp;"|"&amp;'管线现金流'!I2696&amp;"|"&amp;'管线现金流'!AK2696&amp;"|"&amp;'管线现金流'!I2697&amp;"|"&amp;'管线现金流'!AK2697&amp;"|"&amp;'管线现金流'!I2698&amp;"|"&amp;'管线现金流'!AK2698&amp;"|"&amp;'管线现金流'!I2699&amp;"|"&amp;'管线现金流'!AK2699&amp;"|"&amp;'管线现金流'!I2700&amp;"|"&amp;'管线现金流'!AK2700&amp;"|"&amp;'管线现金流'!I2701&amp;"|"&amp;'管线现金流'!AK2701&amp;"|"&amp;'管线现金流'!I2702&amp;"|"&amp;'管线现金流'!AK2702&amp;"|"&amp;'管线现金流'!I2703&amp;"|"&amp;'管线现金流'!AK2703&amp;"|"&amp;'管线现金流'!I2704&amp;"|"&amp;'管线现金流'!AK2704&amp;"|"&amp;'管线现金流'!I2705&amp;"|"&amp;'管线现金流'!AK2705&amp;"|"&amp;'管线现金流'!I2706&amp;"|"&amp;'管线现金流'!AK2706&amp;"|"&amp;'管线现金流'!I2707&amp;"|"&amp;'管线现金流'!AK2707&amp;"|"&amp;'管线现金流'!I2708&amp;"|"&amp;'管线现金流'!AK2708&amp;"|"&amp;'管线现金流'!I2709&amp;"|"&amp;'管线现金流'!AK2709&amp;"|"&amp;'管线现金流'!I2710&amp;"|"&amp;'管线现金流'!AK2710&amp;"|"&amp;'管线现金流'!I2711&amp;"|"&amp;'管线现金流'!AK2711&amp;"|"&amp;'管线现金流'!I2712&amp;"|"&amp;'管线现金流'!AK2712&amp;"|"&amp;'管线现金流'!I2713&amp;"|"&amp;'管线现金流'!AK2713&amp;"|"&amp;'管线现金流'!I2714&amp;"|"&amp;'管线现金流'!AK2714&amp;"|"&amp;'管线现金流'!I2715&amp;"|"&amp;'管线现金流'!AK2715&amp;"|"&amp;'管线现金流'!I2716&amp;"|"&amp;'管线现金流'!AK2716&amp;"|"&amp;'管线现金流'!I2717&amp;"|"&amp;'管线现金流'!AK2717&amp;"|"&amp;'管线现金流'!I2718&amp;"|"&amp;'管线现金流'!AK2718&amp;"|"&amp;'管线现金流'!I2719&amp;"|"&amp;'管线现金流'!AK2719&amp;"|"&amp;'管线现金流'!I2720&amp;"|"&amp;'管线现金流'!AK2720&amp;"|"&amp;'管线现金流'!I2721&amp;"|"&amp;'管线现金流'!AK2721&amp;"|"&amp;'管线现金流'!I2722&amp;"|"&amp;'管线现金流'!AK2722&amp;"|"&amp;'管线现金流'!I2723&amp;"|"&amp;'管线现金流'!AK2723&amp;"|"&amp;'管线现金流'!I2724&amp;"|"&amp;'管线现金流'!AK2724&amp;"|"&amp;'管线现金流'!I2725&amp;"|"&amp;'管线现金流'!AK2725&amp;"|"&amp;'管线现金流'!I2726&amp;"|"&amp;'管线现金流'!AK2726&amp;"|"&amp;'管线现金流'!I2727&amp;"|"&amp;'管线现金流'!AK2727&amp;"|"&amp;'管线现金流'!I2728&amp;"|"&amp;'管线现金流'!AK2728&amp;"|"&amp;'管线现金流'!I2729&amp;"|"&amp;'管线现金流'!AK2729&amp;"|"&amp;'管线现金流'!I2730&amp;"|"&amp;'管线现金流'!AK2730&amp;"|"&amp;'管线现金流'!I2731&amp;"|"&amp;'管线现金流'!AK2731&amp;"|"&amp;'管线现金流'!I2732&amp;"|"&amp;'管线现金流'!AK2732&amp;"|"&amp;'管线现金流'!I2733&amp;"|"&amp;'管线现金流'!AK2733&amp;"|"&amp;'管线现金流'!I2734&amp;"|"&amp;'管线现金流'!AK2734&amp;"|"&amp;'管线现金流'!I2735&amp;"|"&amp;'管线现金流'!AK2735&amp;"|"&amp;'管线现金流'!I2736&amp;"|"&amp;'管线现金流'!AK2736&amp;"|"&amp;'管线现金流'!I2737&amp;"|"&amp;'管线现金流'!AK2737&amp;"|"&amp;'管线现金流'!I2738&amp;"|"&amp;'管线现金流'!AK2738&amp;"|"&amp;'管线现金流'!I2739&amp;"|"&amp;'管线现金流'!AK2739&amp;"|"&amp;'管线现金流'!I2740&amp;"|"&amp;'管线现金流'!AK2740&amp;"|"&amp;'管线现金流'!I2741&amp;"|"&amp;'管线现金流'!AK2741&amp;"|"&amp;'管线现金流'!I2742&amp;"|"&amp;'管线现金流'!AK2742&amp;"|"&amp;'管线现金流'!I2743&amp;"|"&amp;'管线现金流'!AK2743&amp;"|"&amp;'管线现金流'!I2744&amp;"|"&amp;'管线现金流'!AK2744&amp;"|"&amp;'管线现金流'!I2745&amp;"|"&amp;'管线现金流'!AK2745&amp;"|"&amp;'管线现金流'!I2746&amp;"|"&amp;'管线现金流'!AK2746&amp;"|"&amp;'管线现金流'!I2747&amp;"|"&amp;'管线现金流'!AK2747&amp;"|"&amp;'管线现金流'!I2748&amp;"|"&amp;'管线现金流'!AK2748&amp;"|"&amp;'管线现金流'!I2749&amp;"|"&amp;'管线现金流'!AK2749&amp;"|"&amp;'管线现金流'!I2750&amp;"|"&amp;'管线现金流'!AK2750&amp;"|"&amp;'管线现金流'!I2751&amp;"|"&amp;'管线现金流'!AK2751&amp;"|"&amp;'管线现金流'!I2752&amp;"|"&amp;'管线现金流'!AK2752&amp;"|"&amp;'管线现金流'!I2753&amp;"|"&amp;'管线现金流'!AK2753&amp;"|"&amp;'管线现金流'!I2754&amp;"|"&amp;'管线现金流'!AK2754&amp;"|"&amp;'管线现金流'!I2755&amp;"|"&amp;'管线现金流'!AK2755&amp;"|"&amp;'管线现金流'!I2756&amp;"|"&amp;'管线现金流'!AK2756&amp;"|"&amp;'管线现金流'!I2757&amp;"|"&amp;'管线现金流'!AK2757&amp;"|"&amp;'管线现金流'!I2758&amp;"|"&amp;'管线现金流'!AK2758&amp;"|"&amp;'管线现金流'!I2759&amp;"|"&amp;'管线现金流'!AK2759&amp;"|"&amp;'管线现金流'!I2760&amp;"|"&amp;'管线现金流'!AK2760&amp;"|"&amp;'管线现金流'!I2761&amp;"|"&amp;'管线现金流'!AK2761&amp;"|"&amp;'管线现金流'!I2762&amp;"|"&amp;'管线现金流'!AK2762&amp;"|"&amp;'管线现金流'!I2763&amp;"|"&amp;'管线现金流'!AK2763&amp;"|"&amp;'管线现金流'!I2764&amp;"|"&amp;'管线现金流'!AK2764&amp;"|"&amp;'管线现金流'!I2765&amp;"|"&amp;'管线现金流'!AK2765&amp;"|"&amp;'管线现金流'!I2766&amp;"|"&amp;'管线现金流'!AK2766&amp;"|"&amp;'管线现金流'!I2767&amp;"|"&amp;'管线现金流'!AK2767&amp;"|"&amp;'管线现金流'!I2768&amp;"|"&amp;'管线现金流'!AK2768&amp;"|"&amp;'管线现金流'!I2769&amp;"|"&amp;'管线现金流'!AK2769&amp;"|"&amp;'管线现金流'!I2770&amp;"|"&amp;'管线现金流'!AK2770&amp;"|"&amp;'管线现金流'!I2771&amp;"|"&amp;'管线现金流'!AK2771&amp;"|"&amp;'管线现金流'!I2772&amp;"|"&amp;'管线现金流'!AK2772&amp;"|"&amp;'管线现金流'!I2773&amp;"|"&amp;'管线现金流'!AK2773&amp;"|"&amp;'管线现金流'!I2774&amp;"|"&amp;'管线现金流'!AK2774&amp;"|"&amp;'管线现金流'!I2775&amp;"|"&amp;'管线现金流'!AK2775&amp;"|"&amp;'管线现金流'!I2776&amp;"|"&amp;'管线现金流'!AK2776&amp;"|"&amp;'管线现金流'!I2777&amp;"|"&amp;'管线现金流'!AK2777&amp;"|"&amp;'管线现金流'!I2778&amp;"|"&amp;'管线现金流'!AK2778&amp;"|"&amp;'管线现金流'!I2779&amp;"|"&amp;'管线现金流'!AK2779&amp;"|"&amp;'管线现金流'!I2780&amp;"|"&amp;'管线现金流'!AK2780&amp;"|"&amp;'管线现金流'!I2781&amp;"|"&amp;'管线现金流'!AK2781&amp;"|"&amp;'管线现金流'!I2782&amp;"|"&amp;'管线现金流'!AK2782&amp;"|"&amp;'管线现金流'!I2783&amp;"|"&amp;'管线现金流'!AK2783&amp;"|"&amp;'管线现金流'!I2784&amp;"|"&amp;'管线现金流'!AK2784&amp;"|"&amp;'管线现金流'!I2785&amp;"|"&amp;'管线现金流'!AK2785&amp;"|"&amp;'管线现金流'!I2786&amp;"|"&amp;'管线现金流'!AK2786&amp;"|"&amp;'管线现金流'!I2787&amp;"|"&amp;'管线现金流'!AK2787&amp;"|"&amp;'管线现金流'!I2788&amp;"|"&amp;'管线现金流'!AK2788&amp;"|"&amp;'管线现金流'!I2789&amp;"|"&amp;'管线现金流'!AK2789&amp;"|"&amp;'管线现金流'!I2790&amp;"|"&amp;'管线现金流'!AK2790&amp;"|"&amp;'管线现金流'!I2791&amp;"|"&amp;'管线现金流'!AK2791&amp;"|"&amp;'管线现金流'!I2792&amp;"|"&amp;'管线现金流'!AK2792&amp;"|"&amp;'管线现金流'!I2793&amp;"|"&amp;'管线现金流'!AK2793&amp;"|"&amp;'管线现金流'!I2794&amp;"|"&amp;'管线现金流'!AK2794&amp;"|"&amp;'管线现金流'!I2795&amp;"|"&amp;'管线现金流'!AK2795&amp;"|"&amp;'管线现金流'!I2796&amp;"|"&amp;'管线现金流'!AK2796&amp;"|"&amp;'管线现金流'!I2797&amp;"|"&amp;'管线现金流'!AK2797&amp;"|"&amp;'管线现金流'!I2798&amp;"|"&amp;'管线现金流'!AK2798&amp;"|"&amp;'管线现金流'!I2799&amp;"|"&amp;'管线现金流'!AK2799&amp;"|"&amp;'管线现金流'!I2800&amp;"|"&amp;'管线现金流'!AK2800&amp;"|"&amp;'管线现金流'!I2801&amp;"|"&amp;'管线现金流'!AK2801&amp;"|"&amp;'管线现金流'!I2802&amp;"|"&amp;'管线现金流'!AK2802&amp;"|"&amp;'管线现金流'!I2803&amp;"|"&amp;'管线现金流'!AK2803&amp;"|"&amp;'管线现金流'!I2804&amp;"|"&amp;'管线现金流'!AK2804&amp;"|"&amp;'管线现金流'!I2805&amp;"|"&amp;'管线现金流'!AK2805&amp;"|"&amp;'管线现金流'!I2806&amp;"|"&amp;'管线现金流'!AK2806&amp;"|"&amp;'管线现金流'!I2807&amp;"|"&amp;'管线现金流'!AK2807&amp;"|"&amp;'管线现金流'!I2808&amp;"|"&amp;'管线现金流'!AK2808&amp;"|"&amp;'管线现金流'!I2809&amp;"|"&amp;'管线现金流'!AK2809&amp;"|"&amp;'管线现金流'!I2810&amp;"|"&amp;'管线现金流'!AK2810&amp;"|"&amp;'管线现金流'!I2811&amp;"|"&amp;'管线现金流'!AK2811&amp;"|"&amp;'管线现金流'!I2812&amp;"|"&amp;'管线现金流'!AK2812&amp;"|"&amp;'管线现金流'!I2813&amp;"|"&amp;'管线现金流'!AK2813&amp;"|"&amp;'管线现金流'!I2814&amp;"|"&amp;'管线现金流'!AK2814&amp;"|"&amp;'管线现金流'!I2815&amp;"|"&amp;'管线现金流'!AK2815&amp;"|"&amp;'管线现金流'!I2816&amp;"|"&amp;'管线现金流'!AK2816&amp;"|"&amp;'管线现金流'!I2817&amp;"|"&amp;'管线现金流'!AK2817&amp;"|"&amp;'管线现金流'!I2818&amp;"|"&amp;'管线现金流'!AK2818&amp;"|"&amp;'管线现金流'!I2819&amp;"|"&amp;'管线现金流'!AK2819&amp;"|"&amp;'管线现金流'!I2820&amp;"|"&amp;'管线现金流'!AK2820&amp;"|"&amp;'管线现金流'!I2821&amp;"|"&amp;'管线现金流'!AK2821&amp;"|"&amp;'管线现金流'!I2822&amp;"|"&amp;'管线现金流'!AK2822&amp;"|"&amp;'管线现金流'!I2823&amp;"|"&amp;'管线现金流'!AK2823&amp;"|"&amp;'管线现金流'!I2824&amp;"|"&amp;'管线现金流'!AK2824&amp;"|"&amp;'管线现金流'!I2825&amp;"|"&amp;'管线现金流'!AK2825&amp;"|"&amp;'管线现金流'!I2826&amp;"|"&amp;'管线现金流'!AK2826&amp;"|"&amp;'管线现金流'!I2827&amp;"|"&amp;'管线现金流'!AK2827&amp;"|"&amp;'管线现金流'!I2828&amp;"|"&amp;'管线现金流'!AK2828&amp;"|"&amp;'管线现金流'!I2829&amp;"|"&amp;'管线现金流'!AK2829&amp;"|"&amp;'管线现金流'!I2830&amp;"|"&amp;'管线现金流'!AK2830&amp;"|"&amp;'管线现金流'!I2831&amp;"|"&amp;'管线现金流'!AK2831&amp;"|"&amp;'管线现金流'!I2832&amp;"|"&amp;'管线现金流'!AK2832&amp;"|"&amp;'管线现金流'!I2833&amp;"|"&amp;'管线现金流'!AK2833&amp;"|"&amp;'管线现金流'!I2834&amp;"|"&amp;'管线现金流'!AK2834&amp;"|"&amp;'管线现金流'!I2835&amp;"|"&amp;'管线现金流'!AK2835&amp;"|"&amp;'管线现金流'!I2836&amp;"|"&amp;'管线现金流'!AK2836&amp;"|"&amp;'管线现金流'!I2837&amp;"|"&amp;'管线现金流'!AK2837&amp;"|"&amp;'管线现金流'!I2838&amp;"|"&amp;'管线现金流'!AK2838&amp;"|"&amp;'管线现金流'!I2839&amp;"|"&amp;'管线现金流'!AK2839&amp;"|"&amp;'管线现金流'!I2840&amp;"|"&amp;'管线现金流'!AK2840&amp;"|"&amp;'管线现金流'!I2841&amp;"|"&amp;'管线现金流'!AK2841&amp;"|"&amp;'管线现金流'!I2842&amp;"|"&amp;'管线现金流'!AK2842&amp;"|"&amp;'管线现金流'!I2843&amp;"|"&amp;'管线现金流'!AK2843&amp;"|"&amp;'管线现金流'!I2844&amp;"|"&amp;'管线现金流'!AK2844&amp;"|"&amp;'管线现金流'!I2845&amp;"|"&amp;'管线现金流'!AK2845&amp;"|"&amp;'管线现金流'!I2846&amp;"|"&amp;'管线现金流'!AK2846&amp;"|"&amp;'管线现金流'!I2847&amp;"|"&amp;'管线现金流'!AK2847&amp;"|"&amp;'管线现金流'!I2848&amp;"|"&amp;'管线现金流'!AK2848&amp;"|"&amp;'管线现金流'!I2849&amp;"|"&amp;'管线现金流'!AK2849&amp;"|"&amp;'管线现金流'!I2850&amp;"|"&amp;'管线现金流'!AK2850&amp;"|"&amp;'管线现金流'!I2851&amp;"|"&amp;'管线现金流'!AK2851&amp;"|"&amp;'管线现金流'!I2852&amp;"|"&amp;'管线现金流'!AK2852&amp;"|"&amp;'管线现金流'!I2853&amp;"|"&amp;'管线现金流'!AK2853&amp;"|"&amp;'管线现金流'!I2854&amp;"|"&amp;'管线现金流'!AK2854&amp;"|"&amp;'管线现金流'!I2855&amp;"|"&amp;'管线现金流'!AK2855&amp;"|"&amp;'管线现金流'!I2856&amp;"|"&amp;'管线现金流'!AK2856&amp;"|"&amp;'管线现金流'!I2857&amp;"|"&amp;'管线现金流'!AK2857&amp;"|"&amp;'管线现金流'!I2858&amp;"|"&amp;'管线现金流'!AK2858&amp;"|"&amp;'管线现金流'!I2859&amp;"|"&amp;'管线现金流'!AK2859&amp;"|"&amp;'管线现金流'!I2860&amp;"|"&amp;'管线现金流'!AK2860&amp;"|"&amp;'管线现金流'!I2861&amp;"|"&amp;'管线现金流'!AK2861&amp;"|"&amp;'管线现金流'!I2862&amp;"|"&amp;'管线现金流'!AK2862&amp;"|"&amp;'管线现金流'!I2863&amp;"|"&amp;'管线现金流'!AK2863&amp;"|"&amp;'管线现金流'!I2864&amp;"|"&amp;'管线现金流'!AK2864&amp;"|"&amp;'管线现金流'!I2865&amp;"|"&amp;'管线现金流'!AK2865&amp;"|"&amp;'管线现金流'!I2866&amp;"|"&amp;'管线现金流'!AK2866&amp;"|"&amp;'管线现金流'!V29&amp;"|"&amp;'管线现金流'!Y29&amp;"|"&amp;'管线现金流'!AP29&amp;"|"&amp;'管线现金流'!AS29&amp;"|"&amp;'管线现金流'!V30&amp;"|"&amp;'管线现金流'!Y30&amp;"|"&amp;'管线现金流'!AP30&amp;"|"&amp;'管线现金流'!AS30</x:f>
        <x:v>0.65|1|1.45|1|0.0656|1|0.135|6.8|1|0.08200000000000002|1|0.135|6.8|0.49039999999999995|0.08200000000000002|1|0.135|6.8|0.2846000000000001|0.08200000000000002|1|0.135|6.8|0.24539999999999995|0.08200000000000002|1|0.135|6.8|0.6275999999999999|0.28|1|0.135|6.8|0.2944|0.28|1|0.135|6.8|0.1963999999999999|0.28|1|0.135|6.8|0.31400000000000006|0.28|1|0.135|6.8|0.16700000000000004|0.28|1|0.135|6.8|0.363|0.08200000000000002|1|0.135|6.8|0.51|0.28|1|0.135|6.8|0.1963999999999999|0.2|1|0.135|6.8|0.39239999999999997|0.28|1|0.135|6.8|0.265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</x:row>
    <x:row r="342" ht="23" customHeight="1">
      <x:c r="A342" s="11" t="str">
        <x:v>688382.SH</x:v>
      </x:c>
      <x:c r="B342" s="11" t="str">
        <x:v>益方生物</x:v>
      </x:c>
      <x:c r="C342" s="11" t="str">
        <x:v>半年</x:v>
      </x:c>
      <x:c r="D342" s="11" t="str">
        <x:v>乐观</x:v>
      </x:c>
      <x:c r="E342" s="11" t="n">
        <x:v>17.26</x:v>
      </x:c>
      <x:c r="F342" s="11" t="n">
        <x:v>36.41408082978004</x:v>
      </x:c>
      <x:c r="G342" s="11" t="n">
        <x:v>0</x:v>
      </x:c>
      <x:c r="H342" s="25" t="n">
        <x:v>1.1097381709026672</x:v>
      </x:c>
      <x:c r="I342" s="25" t="n">
        <x:v>1.1097381709026672</x:v>
      </x:c>
      <x:c r="J342" s="25" t="str"/>
      <x:c r="K342" s="11" t="n">
        <x:v>0</x:v>
      </x:c>
      <x:c r="L342" s="11" t="n">
        <x:v>0</x:v>
      </x:c>
      <x:c r="M342" s="11" t="n">
        <x:v>1</x:v>
      </x:c>
      <x:c r="N342" s="11" t="n">
        <x:v>0</x:v>
      </x:c>
      <x:c r="O342" s="11" t="n">
        <x:v>0</x:v>
      </x:c>
      <x:c r="P342" s="11" t="n">
        <x:v>0</x:v>
      </x:c>
      <x:c r="Q342" s="11" t="n">
        <x:v>0.59</x:v>
      </x:c>
      <x:c r="R342" s="11" t="str">
        <x:v>inventis-rnpv-v1.0</x:v>
      </x:c>
      <x:c r="S342" s="11" t="str">
        <x:v>2026-10-10</x:v>
      </x:c>
      <x:c r="T342" s="11" t="str">
        <x:f>IF(AND(SUM(IF(K342='假设'!E454,0,1),IF(L342='假设'!F454,0,1),IF(M342='假设'!G454,0,1),IF(N342='假设'!H454,0,1),IF(O342='假设'!I454,0,1),IF(P342='假设'!J454,0,1),IF(Q342='假设'!K454,0,1))=0,U342=V342),"已刷新","待刷新")</x:f>
        <x:v>已刷新</x:v>
      </x:c>
      <x:c r="U342" t="str">
        <x:v>0.75|1.15|1.6|1|0.0935|1|0.105|6.8|1|0.1105|1|0.105|6.8|0.715|0.1105|1|0.105|6.8|0.525|0.1105|1|0.105|6.8|0.47750000000000004|0.1105|1|0.105|6.8|0.829|0.36|1|0.105|6.8|0.525|0.36|1|0.105|6.8|0.41100000000000003|0.36|1|0.105|6.8|0.5725|0.36|1|0.105|6.8|0.3730000000000001|0.36|1|0.105|6.8|0.62|0.1105|1|0.105|6.8|0.7625|0.36|1|0.105|6.8|0.43000000000000005|0.28|1|0.105|6.8|0.639|0.36|1|0.105|6.8|0.506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  <x:c r="V342" t="str">
        <x:f>'假设'!U454&amp;"|"&amp;'假设'!N454&amp;"|"&amp;'假设'!Q454&amp;"|"&amp;'管线假设'!E570&amp;"|"&amp;'管线假设'!F570&amp;"|"&amp;'管线假设'!G570&amp;"|"&amp;'管线假设'!H570&amp;"|"&amp;'管线假设'!I570&amp;"|"&amp;'管线假设'!E574&amp;"|"&amp;'管线假设'!F574&amp;"|"&amp;'管线假设'!G574&amp;"|"&amp;'管线假设'!H574&amp;"|"&amp;'管线假设'!I574&amp;"|"&amp;'管线假设'!E578&amp;"|"&amp;'管线假设'!F578&amp;"|"&amp;'管线假设'!G578&amp;"|"&amp;'管线假设'!H578&amp;"|"&amp;'管线假设'!I578&amp;"|"&amp;'管线假设'!E582&amp;"|"&amp;'管线假设'!F582&amp;"|"&amp;'管线假设'!G582&amp;"|"&amp;'管线假设'!H582&amp;"|"&amp;'管线假设'!I582&amp;"|"&amp;'管线假设'!E586&amp;"|"&amp;'管线假设'!F586&amp;"|"&amp;'管线假设'!G586&amp;"|"&amp;'管线假设'!H586&amp;"|"&amp;'管线假设'!I586&amp;"|"&amp;'管线假设'!E590&amp;"|"&amp;'管线假设'!F590&amp;"|"&amp;'管线假设'!G590&amp;"|"&amp;'管线假设'!H590&amp;"|"&amp;'管线假设'!I590&amp;"|"&amp;'管线假设'!E594&amp;"|"&amp;'管线假设'!F594&amp;"|"&amp;'管线假设'!G594&amp;"|"&amp;'管线假设'!H594&amp;"|"&amp;'管线假设'!I594&amp;"|"&amp;'管线假设'!E598&amp;"|"&amp;'管线假设'!F598&amp;"|"&amp;'管线假设'!G598&amp;"|"&amp;'管线假设'!H598&amp;"|"&amp;'管线假设'!I598&amp;"|"&amp;'管线假设'!E602&amp;"|"&amp;'管线假设'!F602&amp;"|"&amp;'管线假设'!G602&amp;"|"&amp;'管线假设'!H602&amp;"|"&amp;'管线假设'!I602&amp;"|"&amp;'管线假设'!E606&amp;"|"&amp;'管线假设'!F606&amp;"|"&amp;'管线假设'!G606&amp;"|"&amp;'管线假设'!H606&amp;"|"&amp;'管线假设'!I606&amp;"|"&amp;'管线假设'!E610&amp;"|"&amp;'管线假设'!F610&amp;"|"&amp;'管线假设'!G610&amp;"|"&amp;'管线假设'!H610&amp;"|"&amp;'管线假设'!I610&amp;"|"&amp;'管线假设'!E614&amp;"|"&amp;'管线假设'!F614&amp;"|"&amp;'管线假设'!G614&amp;"|"&amp;'管线假设'!H614&amp;"|"&amp;'管线假设'!I614&amp;"|"&amp;'管线假设'!E618&amp;"|"&amp;'管线假设'!F618&amp;"|"&amp;'管线假设'!G618&amp;"|"&amp;'管线假设'!H618&amp;"|"&amp;'管线假设'!I618&amp;"|"&amp;'管线假设'!E622&amp;"|"&amp;'管线假设'!F622&amp;"|"&amp;'管线假设'!G622&amp;"|"&amp;'管线假设'!H622&amp;"|"&amp;'管线假设'!I622&amp;"|"&amp;'管线假设'!E626&amp;"|"&amp;'管线假设'!F626&amp;"|"&amp;'管线假设'!G626&amp;"|"&amp;'管线假设'!H626&amp;"|"&amp;'管线假设'!I626&amp;"|"&amp;'管线现金流'!J2582&amp;"|"&amp;'管线现金流'!AL2582&amp;"|"&amp;'管线现金流'!J2583&amp;"|"&amp;'管线现金流'!AL2583&amp;"|"&amp;'管线现金流'!J2584&amp;"|"&amp;'管线现金流'!AL2584&amp;"|"&amp;'管线现金流'!J2585&amp;"|"&amp;'管线现金流'!AL2585&amp;"|"&amp;'管线现金流'!J2586&amp;"|"&amp;'管线现金流'!AL2586&amp;"|"&amp;'管线现金流'!J2587&amp;"|"&amp;'管线现金流'!AL2587&amp;"|"&amp;'管线现金流'!J2588&amp;"|"&amp;'管线现金流'!AL2588&amp;"|"&amp;'管线现金流'!J2589&amp;"|"&amp;'管线现金流'!AL2589&amp;"|"&amp;'管线现金流'!J2590&amp;"|"&amp;'管线现金流'!AL2590&amp;"|"&amp;'管线现金流'!J2591&amp;"|"&amp;'管线现金流'!AL2591&amp;"|"&amp;'管线现金流'!J2592&amp;"|"&amp;'管线现金流'!AL2592&amp;"|"&amp;'管线现金流'!J2593&amp;"|"&amp;'管线现金流'!AL2593&amp;"|"&amp;'管线现金流'!J2594&amp;"|"&amp;'管线现金流'!AL2594&amp;"|"&amp;'管线现金流'!J2595&amp;"|"&amp;'管线现金流'!AL2595&amp;"|"&amp;'管线现金流'!J2596&amp;"|"&amp;'管线现金流'!AL2596&amp;"|"&amp;'管线现金流'!J2597&amp;"|"&amp;'管线现金流'!AL2597&amp;"|"&amp;'管线现金流'!J2598&amp;"|"&amp;'管线现金流'!AL2598&amp;"|"&amp;'管线现金流'!J2599&amp;"|"&amp;'管线现金流'!AL2599&amp;"|"&amp;'管线现金流'!J2600&amp;"|"&amp;'管线现金流'!AL2600&amp;"|"&amp;'管线现金流'!J2601&amp;"|"&amp;'管线现金流'!AL2601&amp;"|"&amp;'管线现金流'!J2602&amp;"|"&amp;'管线现金流'!AL2602&amp;"|"&amp;'管线现金流'!J2603&amp;"|"&amp;'管线现金流'!AL2603&amp;"|"&amp;'管线现金流'!J2604&amp;"|"&amp;'管线现金流'!AL2604&amp;"|"&amp;'管线现金流'!J2605&amp;"|"&amp;'管线现金流'!AL2605&amp;"|"&amp;'管线现金流'!J2606&amp;"|"&amp;'管线现金流'!AL2606&amp;"|"&amp;'管线现金流'!J2607&amp;"|"&amp;'管线现金流'!AL2607&amp;"|"&amp;'管线现金流'!J2608&amp;"|"&amp;'管线现金流'!AL2608&amp;"|"&amp;'管线现金流'!J2609&amp;"|"&amp;'管线现金流'!AL2609&amp;"|"&amp;'管线现金流'!J2610&amp;"|"&amp;'管线现金流'!AL2610&amp;"|"&amp;'管线现金流'!J2611&amp;"|"&amp;'管线现金流'!AL2611&amp;"|"&amp;'管线现金流'!J2612&amp;"|"&amp;'管线现金流'!AL2612&amp;"|"&amp;'管线现金流'!J2613&amp;"|"&amp;'管线现金流'!AL2613&amp;"|"&amp;'管线现金流'!J2614&amp;"|"&amp;'管线现金流'!AL2614&amp;"|"&amp;'管线现金流'!J2615&amp;"|"&amp;'管线现金流'!AL2615&amp;"|"&amp;'管线现金流'!J2616&amp;"|"&amp;'管线现金流'!AL2616&amp;"|"&amp;'管线现金流'!J2617&amp;"|"&amp;'管线现金流'!AL2617&amp;"|"&amp;'管线现金流'!J2618&amp;"|"&amp;'管线现金流'!AL2618&amp;"|"&amp;'管线现金流'!J2619&amp;"|"&amp;'管线现金流'!AL2619&amp;"|"&amp;'管线现金流'!J2620&amp;"|"&amp;'管线现金流'!AL2620&amp;"|"&amp;'管线现金流'!J2621&amp;"|"&amp;'管线现金流'!AL2621&amp;"|"&amp;'管线现金流'!J2622&amp;"|"&amp;'管线现金流'!AL2622&amp;"|"&amp;'管线现金流'!J2623&amp;"|"&amp;'管线现金流'!AL2623&amp;"|"&amp;'管线现金流'!J2624&amp;"|"&amp;'管线现金流'!AL2624&amp;"|"&amp;'管线现金流'!J2625&amp;"|"&amp;'管线现金流'!AL2625&amp;"|"&amp;'管线现金流'!J2626&amp;"|"&amp;'管线现金流'!AL2626&amp;"|"&amp;'管线现金流'!J2627&amp;"|"&amp;'管线现金流'!AL2627&amp;"|"&amp;'管线现金流'!J2628&amp;"|"&amp;'管线现金流'!AL2628&amp;"|"&amp;'管线现金流'!J2629&amp;"|"&amp;'管线现金流'!AL2629&amp;"|"&amp;'管线现金流'!J2630&amp;"|"&amp;'管线现金流'!AL2630&amp;"|"&amp;'管线现金流'!J2631&amp;"|"&amp;'管线现金流'!AL2631&amp;"|"&amp;'管线现金流'!J2632&amp;"|"&amp;'管线现金流'!AL2632&amp;"|"&amp;'管线现金流'!J2633&amp;"|"&amp;'管线现金流'!AL2633&amp;"|"&amp;'管线现金流'!J2634&amp;"|"&amp;'管线现金流'!AL2634&amp;"|"&amp;'管线现金流'!J2635&amp;"|"&amp;'管线现金流'!AL2635&amp;"|"&amp;'管线现金流'!J2636&amp;"|"&amp;'管线现金流'!AL2636&amp;"|"&amp;'管线现金流'!J2637&amp;"|"&amp;'管线现金流'!AL2637&amp;"|"&amp;'管线现金流'!J2638&amp;"|"&amp;'管线现金流'!AL2638&amp;"|"&amp;'管线现金流'!J2639&amp;"|"&amp;'管线现金流'!AL2639&amp;"|"&amp;'管线现金流'!J2640&amp;"|"&amp;'管线现金流'!AL2640&amp;"|"&amp;'管线现金流'!J2641&amp;"|"&amp;'管线现金流'!AL2641&amp;"|"&amp;'管线现金流'!J2642&amp;"|"&amp;'管线现金流'!AL2642&amp;"|"&amp;'管线现金流'!J2643&amp;"|"&amp;'管线现金流'!AL2643&amp;"|"&amp;'管线现金流'!J2644&amp;"|"&amp;'管线现金流'!AL2644&amp;"|"&amp;'管线现金流'!J2645&amp;"|"&amp;'管线现金流'!AL2645&amp;"|"&amp;'管线现金流'!J2646&amp;"|"&amp;'管线现金流'!AL2646&amp;"|"&amp;'管线现金流'!J2647&amp;"|"&amp;'管线现金流'!AL2647&amp;"|"&amp;'管线现金流'!J2648&amp;"|"&amp;'管线现金流'!AL2648&amp;"|"&amp;'管线现金流'!J2649&amp;"|"&amp;'管线现金流'!AL2649&amp;"|"&amp;'管线现金流'!J2650&amp;"|"&amp;'管线现金流'!AL2650&amp;"|"&amp;'管线现金流'!J2651&amp;"|"&amp;'管线现金流'!AL2651&amp;"|"&amp;'管线现金流'!J2652&amp;"|"&amp;'管线现金流'!AL2652&amp;"|"&amp;'管线现金流'!J2653&amp;"|"&amp;'管线现金流'!AL2653&amp;"|"&amp;'管线现金流'!J2654&amp;"|"&amp;'管线现金流'!AL2654&amp;"|"&amp;'管线现金流'!J2655&amp;"|"&amp;'管线现金流'!AL2655&amp;"|"&amp;'管线现金流'!J2656&amp;"|"&amp;'管线现金流'!AL2656&amp;"|"&amp;'管线现金流'!J2657&amp;"|"&amp;'管线现金流'!AL2657&amp;"|"&amp;'管线现金流'!J2658&amp;"|"&amp;'管线现金流'!AL2658&amp;"|"&amp;'管线现金流'!J2659&amp;"|"&amp;'管线现金流'!AL2659&amp;"|"&amp;'管线现金流'!J2660&amp;"|"&amp;'管线现金流'!AL2660&amp;"|"&amp;'管线现金流'!J2661&amp;"|"&amp;'管线现金流'!AL2661&amp;"|"&amp;'管线现金流'!J2662&amp;"|"&amp;'管线现金流'!AL2662&amp;"|"&amp;'管线现金流'!J2663&amp;"|"&amp;'管线现金流'!AL2663&amp;"|"&amp;'管线现金流'!J2664&amp;"|"&amp;'管线现金流'!AL2664&amp;"|"&amp;'管线现金流'!J2665&amp;"|"&amp;'管线现金流'!AL2665&amp;"|"&amp;'管线现金流'!J2666&amp;"|"&amp;'管线现金流'!AL2666&amp;"|"&amp;'管线现金流'!J2667&amp;"|"&amp;'管线现金流'!AL2667&amp;"|"&amp;'管线现金流'!J2668&amp;"|"&amp;'管线现金流'!AL2668&amp;"|"&amp;'管线现金流'!J2669&amp;"|"&amp;'管线现金流'!AL2669&amp;"|"&amp;'管线现金流'!J2670&amp;"|"&amp;'管线现金流'!AL2670&amp;"|"&amp;'管线现金流'!J2671&amp;"|"&amp;'管线现金流'!AL2671&amp;"|"&amp;'管线现金流'!J2672&amp;"|"&amp;'管线现金流'!AL2672&amp;"|"&amp;'管线现金流'!J2673&amp;"|"&amp;'管线现金流'!AL2673&amp;"|"&amp;'管线现金流'!J2674&amp;"|"&amp;'管线现金流'!AL2674&amp;"|"&amp;'管线现金流'!J2675&amp;"|"&amp;'管线现金流'!AL2675&amp;"|"&amp;'管线现金流'!J2676&amp;"|"&amp;'管线现金流'!AL2676&amp;"|"&amp;'管线现金流'!J2677&amp;"|"&amp;'管线现金流'!AL2677&amp;"|"&amp;'管线现金流'!J2678&amp;"|"&amp;'管线现金流'!AL2678&amp;"|"&amp;'管线现金流'!J2679&amp;"|"&amp;'管线现金流'!AL2679&amp;"|"&amp;'管线现金流'!J2680&amp;"|"&amp;'管线现金流'!AL2680&amp;"|"&amp;'管线现金流'!J2681&amp;"|"&amp;'管线现金流'!AL2681&amp;"|"&amp;'管线现金流'!J2682&amp;"|"&amp;'管线现金流'!AL2682&amp;"|"&amp;'管线现金流'!J2683&amp;"|"&amp;'管线现金流'!AL2683&amp;"|"&amp;'管线现金流'!J2684&amp;"|"&amp;'管线现金流'!AL2684&amp;"|"&amp;'管线现金流'!J2685&amp;"|"&amp;'管线现金流'!AL2685&amp;"|"&amp;'管线现金流'!J2686&amp;"|"&amp;'管线现金流'!AL2686&amp;"|"&amp;'管线现金流'!J2687&amp;"|"&amp;'管线现金流'!AL2687&amp;"|"&amp;'管线现金流'!J2688&amp;"|"&amp;'管线现金流'!AL2688&amp;"|"&amp;'管线现金流'!J2689&amp;"|"&amp;'管线现金流'!AL2689&amp;"|"&amp;'管线现金流'!J2690&amp;"|"&amp;'管线现金流'!AL2690&amp;"|"&amp;'管线现金流'!J2691&amp;"|"&amp;'管线现金流'!AL2691&amp;"|"&amp;'管线现金流'!J2692&amp;"|"&amp;'管线现金流'!AL2692&amp;"|"&amp;'管线现金流'!J2693&amp;"|"&amp;'管线现金流'!AL2693&amp;"|"&amp;'管线现金流'!J2694&amp;"|"&amp;'管线现金流'!AL2694&amp;"|"&amp;'管线现金流'!J2695&amp;"|"&amp;'管线现金流'!AL2695&amp;"|"&amp;'管线现金流'!J2696&amp;"|"&amp;'管线现金流'!AL2696&amp;"|"&amp;'管线现金流'!J2697&amp;"|"&amp;'管线现金流'!AL2697&amp;"|"&amp;'管线现金流'!J2698&amp;"|"&amp;'管线现金流'!AL2698&amp;"|"&amp;'管线现金流'!J2699&amp;"|"&amp;'管线现金流'!AL2699&amp;"|"&amp;'管线现金流'!J2700&amp;"|"&amp;'管线现金流'!AL2700&amp;"|"&amp;'管线现金流'!J2701&amp;"|"&amp;'管线现金流'!AL2701&amp;"|"&amp;'管线现金流'!J2702&amp;"|"&amp;'管线现金流'!AL2702&amp;"|"&amp;'管线现金流'!J2703&amp;"|"&amp;'管线现金流'!AL2703&amp;"|"&amp;'管线现金流'!J2704&amp;"|"&amp;'管线现金流'!AL2704&amp;"|"&amp;'管线现金流'!J2705&amp;"|"&amp;'管线现金流'!AL2705&amp;"|"&amp;'管线现金流'!J2706&amp;"|"&amp;'管线现金流'!AL2706&amp;"|"&amp;'管线现金流'!J2707&amp;"|"&amp;'管线现金流'!AL2707&amp;"|"&amp;'管线现金流'!J2708&amp;"|"&amp;'管线现金流'!AL2708&amp;"|"&amp;'管线现金流'!J2709&amp;"|"&amp;'管线现金流'!AL2709&amp;"|"&amp;'管线现金流'!J2710&amp;"|"&amp;'管线现金流'!AL2710&amp;"|"&amp;'管线现金流'!J2711&amp;"|"&amp;'管线现金流'!AL2711&amp;"|"&amp;'管线现金流'!J2712&amp;"|"&amp;'管线现金流'!AL2712&amp;"|"&amp;'管线现金流'!J2713&amp;"|"&amp;'管线现金流'!AL2713&amp;"|"&amp;'管线现金流'!J2714&amp;"|"&amp;'管线现金流'!AL2714&amp;"|"&amp;'管线现金流'!J2715&amp;"|"&amp;'管线现金流'!AL2715&amp;"|"&amp;'管线现金流'!J2716&amp;"|"&amp;'管线现金流'!AL2716&amp;"|"&amp;'管线现金流'!J2717&amp;"|"&amp;'管线现金流'!AL2717&amp;"|"&amp;'管线现金流'!J2718&amp;"|"&amp;'管线现金流'!AL2718&amp;"|"&amp;'管线现金流'!J2719&amp;"|"&amp;'管线现金流'!AL2719&amp;"|"&amp;'管线现金流'!J2720&amp;"|"&amp;'管线现金流'!AL2720&amp;"|"&amp;'管线现金流'!J2721&amp;"|"&amp;'管线现金流'!AL2721&amp;"|"&amp;'管线现金流'!J2722&amp;"|"&amp;'管线现金流'!AL2722&amp;"|"&amp;'管线现金流'!J2723&amp;"|"&amp;'管线现金流'!AL2723&amp;"|"&amp;'管线现金流'!J2724&amp;"|"&amp;'管线现金流'!AL2724&amp;"|"&amp;'管线现金流'!J2725&amp;"|"&amp;'管线现金流'!AL2725&amp;"|"&amp;'管线现金流'!J2726&amp;"|"&amp;'管线现金流'!AL2726&amp;"|"&amp;'管线现金流'!J2727&amp;"|"&amp;'管线现金流'!AL2727&amp;"|"&amp;'管线现金流'!J2728&amp;"|"&amp;'管线现金流'!AL2728&amp;"|"&amp;'管线现金流'!J2729&amp;"|"&amp;'管线现金流'!AL2729&amp;"|"&amp;'管线现金流'!J2730&amp;"|"&amp;'管线现金流'!AL2730&amp;"|"&amp;'管线现金流'!J2731&amp;"|"&amp;'管线现金流'!AL2731&amp;"|"&amp;'管线现金流'!J2732&amp;"|"&amp;'管线现金流'!AL2732&amp;"|"&amp;'管线现金流'!J2733&amp;"|"&amp;'管线现金流'!AL2733&amp;"|"&amp;'管线现金流'!J2734&amp;"|"&amp;'管线现金流'!AL2734&amp;"|"&amp;'管线现金流'!J2735&amp;"|"&amp;'管线现金流'!AL2735&amp;"|"&amp;'管线现金流'!J2736&amp;"|"&amp;'管线现金流'!AL2736&amp;"|"&amp;'管线现金流'!J2737&amp;"|"&amp;'管线现金流'!AL2737&amp;"|"&amp;'管线现金流'!J2738&amp;"|"&amp;'管线现金流'!AL2738&amp;"|"&amp;'管线现金流'!J2739&amp;"|"&amp;'管线现金流'!AL2739&amp;"|"&amp;'管线现金流'!J2740&amp;"|"&amp;'管线现金流'!AL2740&amp;"|"&amp;'管线现金流'!J2741&amp;"|"&amp;'管线现金流'!AL2741&amp;"|"&amp;'管线现金流'!J2742&amp;"|"&amp;'管线现金流'!AL2742&amp;"|"&amp;'管线现金流'!J2743&amp;"|"&amp;'管线现金流'!AL2743&amp;"|"&amp;'管线现金流'!J2744&amp;"|"&amp;'管线现金流'!AL2744&amp;"|"&amp;'管线现金流'!J2745&amp;"|"&amp;'管线现金流'!AL2745&amp;"|"&amp;'管线现金流'!J2746&amp;"|"&amp;'管线现金流'!AL2746&amp;"|"&amp;'管线现金流'!J2747&amp;"|"&amp;'管线现金流'!AL2747&amp;"|"&amp;'管线现金流'!J2748&amp;"|"&amp;'管线现金流'!AL2748&amp;"|"&amp;'管线现金流'!J2749&amp;"|"&amp;'管线现金流'!AL2749&amp;"|"&amp;'管线现金流'!J2750&amp;"|"&amp;'管线现金流'!AL2750&amp;"|"&amp;'管线现金流'!J2751&amp;"|"&amp;'管线现金流'!AL2751&amp;"|"&amp;'管线现金流'!J2752&amp;"|"&amp;'管线现金流'!AL2752&amp;"|"&amp;'管线现金流'!J2753&amp;"|"&amp;'管线现金流'!AL2753&amp;"|"&amp;'管线现金流'!J2754&amp;"|"&amp;'管线现金流'!AL2754&amp;"|"&amp;'管线现金流'!J2755&amp;"|"&amp;'管线现金流'!AL2755&amp;"|"&amp;'管线现金流'!J2756&amp;"|"&amp;'管线现金流'!AL2756&amp;"|"&amp;'管线现金流'!J2757&amp;"|"&amp;'管线现金流'!AL2757&amp;"|"&amp;'管线现金流'!J2758&amp;"|"&amp;'管线现金流'!AL2758&amp;"|"&amp;'管线现金流'!J2759&amp;"|"&amp;'管线现金流'!AL2759&amp;"|"&amp;'管线现金流'!J2760&amp;"|"&amp;'管线现金流'!AL2760&amp;"|"&amp;'管线现金流'!J2761&amp;"|"&amp;'管线现金流'!AL2761&amp;"|"&amp;'管线现金流'!J2762&amp;"|"&amp;'管线现金流'!AL2762&amp;"|"&amp;'管线现金流'!J2763&amp;"|"&amp;'管线现金流'!AL2763&amp;"|"&amp;'管线现金流'!J2764&amp;"|"&amp;'管线现金流'!AL2764&amp;"|"&amp;'管线现金流'!J2765&amp;"|"&amp;'管线现金流'!AL2765&amp;"|"&amp;'管线现金流'!J2766&amp;"|"&amp;'管线现金流'!AL2766&amp;"|"&amp;'管线现金流'!J2767&amp;"|"&amp;'管线现金流'!AL2767&amp;"|"&amp;'管线现金流'!J2768&amp;"|"&amp;'管线现金流'!AL2768&amp;"|"&amp;'管线现金流'!J2769&amp;"|"&amp;'管线现金流'!AL2769&amp;"|"&amp;'管线现金流'!J2770&amp;"|"&amp;'管线现金流'!AL2770&amp;"|"&amp;'管线现金流'!J2771&amp;"|"&amp;'管线现金流'!AL2771&amp;"|"&amp;'管线现金流'!J2772&amp;"|"&amp;'管线现金流'!AL2772&amp;"|"&amp;'管线现金流'!J2773&amp;"|"&amp;'管线现金流'!AL2773&amp;"|"&amp;'管线现金流'!J2774&amp;"|"&amp;'管线现金流'!AL2774&amp;"|"&amp;'管线现金流'!J2775&amp;"|"&amp;'管线现金流'!AL2775&amp;"|"&amp;'管线现金流'!J2776&amp;"|"&amp;'管线现金流'!AL2776&amp;"|"&amp;'管线现金流'!J2777&amp;"|"&amp;'管线现金流'!AL2777&amp;"|"&amp;'管线现金流'!J2778&amp;"|"&amp;'管线现金流'!AL2778&amp;"|"&amp;'管线现金流'!J2779&amp;"|"&amp;'管线现金流'!AL2779&amp;"|"&amp;'管线现金流'!J2780&amp;"|"&amp;'管线现金流'!AL2780&amp;"|"&amp;'管线现金流'!J2781&amp;"|"&amp;'管线现金流'!AL2781&amp;"|"&amp;'管线现金流'!J2782&amp;"|"&amp;'管线现金流'!AL2782&amp;"|"&amp;'管线现金流'!J2783&amp;"|"&amp;'管线现金流'!AL2783&amp;"|"&amp;'管线现金流'!J2784&amp;"|"&amp;'管线现金流'!AL2784&amp;"|"&amp;'管线现金流'!J2785&amp;"|"&amp;'管线现金流'!AL2785&amp;"|"&amp;'管线现金流'!J2786&amp;"|"&amp;'管线现金流'!AL2786&amp;"|"&amp;'管线现金流'!J2787&amp;"|"&amp;'管线现金流'!AL2787&amp;"|"&amp;'管线现金流'!J2788&amp;"|"&amp;'管线现金流'!AL2788&amp;"|"&amp;'管线现金流'!J2789&amp;"|"&amp;'管线现金流'!AL2789&amp;"|"&amp;'管线现金流'!J2790&amp;"|"&amp;'管线现金流'!AL2790&amp;"|"&amp;'管线现金流'!J2791&amp;"|"&amp;'管线现金流'!AL2791&amp;"|"&amp;'管线现金流'!J2792&amp;"|"&amp;'管线现金流'!AL2792&amp;"|"&amp;'管线现金流'!J2793&amp;"|"&amp;'管线现金流'!AL2793&amp;"|"&amp;'管线现金流'!J2794&amp;"|"&amp;'管线现金流'!AL2794&amp;"|"&amp;'管线现金流'!J2795&amp;"|"&amp;'管线现金流'!AL2795&amp;"|"&amp;'管线现金流'!J2796&amp;"|"&amp;'管线现金流'!AL2796&amp;"|"&amp;'管线现金流'!J2797&amp;"|"&amp;'管线现金流'!AL2797&amp;"|"&amp;'管线现金流'!J2798&amp;"|"&amp;'管线现金流'!AL2798&amp;"|"&amp;'管线现金流'!J2799&amp;"|"&amp;'管线现金流'!AL2799&amp;"|"&amp;'管线现金流'!J2800&amp;"|"&amp;'管线现金流'!AL2800&amp;"|"&amp;'管线现金流'!J2801&amp;"|"&amp;'管线现金流'!AL2801&amp;"|"&amp;'管线现金流'!J2802&amp;"|"&amp;'管线现金流'!AL2802&amp;"|"&amp;'管线现金流'!J2803&amp;"|"&amp;'管线现金流'!AL2803&amp;"|"&amp;'管线现金流'!J2804&amp;"|"&amp;'管线现金流'!AL2804&amp;"|"&amp;'管线现金流'!J2805&amp;"|"&amp;'管线现金流'!AL2805&amp;"|"&amp;'管线现金流'!J2806&amp;"|"&amp;'管线现金流'!AL2806&amp;"|"&amp;'管线现金流'!J2807&amp;"|"&amp;'管线现金流'!AL2807&amp;"|"&amp;'管线现金流'!J2808&amp;"|"&amp;'管线现金流'!AL2808&amp;"|"&amp;'管线现金流'!J2809&amp;"|"&amp;'管线现金流'!AL2809&amp;"|"&amp;'管线现金流'!J2810&amp;"|"&amp;'管线现金流'!AL2810&amp;"|"&amp;'管线现金流'!J2811&amp;"|"&amp;'管线现金流'!AL2811&amp;"|"&amp;'管线现金流'!J2812&amp;"|"&amp;'管线现金流'!AL2812&amp;"|"&amp;'管线现金流'!J2813&amp;"|"&amp;'管线现金流'!AL2813&amp;"|"&amp;'管线现金流'!J2814&amp;"|"&amp;'管线现金流'!AL2814&amp;"|"&amp;'管线现金流'!J2815&amp;"|"&amp;'管线现金流'!AL2815&amp;"|"&amp;'管线现金流'!J2816&amp;"|"&amp;'管线现金流'!AL2816&amp;"|"&amp;'管线现金流'!J2817&amp;"|"&amp;'管线现金流'!AL2817&amp;"|"&amp;'管线现金流'!J2818&amp;"|"&amp;'管线现金流'!AL2818&amp;"|"&amp;'管线现金流'!J2819&amp;"|"&amp;'管线现金流'!AL2819&amp;"|"&amp;'管线现金流'!J2820&amp;"|"&amp;'管线现金流'!AL2820&amp;"|"&amp;'管线现金流'!J2821&amp;"|"&amp;'管线现金流'!AL2821&amp;"|"&amp;'管线现金流'!J2822&amp;"|"&amp;'管线现金流'!AL2822&amp;"|"&amp;'管线现金流'!J2823&amp;"|"&amp;'管线现金流'!AL2823&amp;"|"&amp;'管线现金流'!J2824&amp;"|"&amp;'管线现金流'!AL2824&amp;"|"&amp;'管线现金流'!J2825&amp;"|"&amp;'管线现金流'!AL2825&amp;"|"&amp;'管线现金流'!J2826&amp;"|"&amp;'管线现金流'!AL2826&amp;"|"&amp;'管线现金流'!J2827&amp;"|"&amp;'管线现金流'!AL2827&amp;"|"&amp;'管线现金流'!J2828&amp;"|"&amp;'管线现金流'!AL2828&amp;"|"&amp;'管线现金流'!J2829&amp;"|"&amp;'管线现金流'!AL2829&amp;"|"&amp;'管线现金流'!J2830&amp;"|"&amp;'管线现金流'!AL2830&amp;"|"&amp;'管线现金流'!J2831&amp;"|"&amp;'管线现金流'!AL2831&amp;"|"&amp;'管线现金流'!J2832&amp;"|"&amp;'管线现金流'!AL2832&amp;"|"&amp;'管线现金流'!J2833&amp;"|"&amp;'管线现金流'!AL2833&amp;"|"&amp;'管线现金流'!J2834&amp;"|"&amp;'管线现金流'!AL2834&amp;"|"&amp;'管线现金流'!J2835&amp;"|"&amp;'管线现金流'!AL2835&amp;"|"&amp;'管线现金流'!J2836&amp;"|"&amp;'管线现金流'!AL2836&amp;"|"&amp;'管线现金流'!J2837&amp;"|"&amp;'管线现金流'!AL2837&amp;"|"&amp;'管线现金流'!J2838&amp;"|"&amp;'管线现金流'!AL2838&amp;"|"&amp;'管线现金流'!J2839&amp;"|"&amp;'管线现金流'!AL2839&amp;"|"&amp;'管线现金流'!J2840&amp;"|"&amp;'管线现金流'!AL2840&amp;"|"&amp;'管线现金流'!J2841&amp;"|"&amp;'管线现金流'!AL2841&amp;"|"&amp;'管线现金流'!J2842&amp;"|"&amp;'管线现金流'!AL2842&amp;"|"&amp;'管线现金流'!J2843&amp;"|"&amp;'管线现金流'!AL2843&amp;"|"&amp;'管线现金流'!J2844&amp;"|"&amp;'管线现金流'!AL2844&amp;"|"&amp;'管线现金流'!J2845&amp;"|"&amp;'管线现金流'!AL2845&amp;"|"&amp;'管线现金流'!J2846&amp;"|"&amp;'管线现金流'!AL2846&amp;"|"&amp;'管线现金流'!J2847&amp;"|"&amp;'管线现金流'!AL2847&amp;"|"&amp;'管线现金流'!J2848&amp;"|"&amp;'管线现金流'!AL2848&amp;"|"&amp;'管线现金流'!J2849&amp;"|"&amp;'管线现金流'!AL2849&amp;"|"&amp;'管线现金流'!J2850&amp;"|"&amp;'管线现金流'!AL2850&amp;"|"&amp;'管线现金流'!J2851&amp;"|"&amp;'管线现金流'!AL2851&amp;"|"&amp;'管线现金流'!J2852&amp;"|"&amp;'管线现金流'!AL2852&amp;"|"&amp;'管线现金流'!J2853&amp;"|"&amp;'管线现金流'!AL2853&amp;"|"&amp;'管线现金流'!J2854&amp;"|"&amp;'管线现金流'!AL2854&amp;"|"&amp;'管线现金流'!J2855&amp;"|"&amp;'管线现金流'!AL2855&amp;"|"&amp;'管线现金流'!J2856&amp;"|"&amp;'管线现金流'!AL2856&amp;"|"&amp;'管线现金流'!J2857&amp;"|"&amp;'管线现金流'!AL2857&amp;"|"&amp;'管线现金流'!J2858&amp;"|"&amp;'管线现金流'!AL2858&amp;"|"&amp;'管线现金流'!J2859&amp;"|"&amp;'管线现金流'!AL2859&amp;"|"&amp;'管线现金流'!J2860&amp;"|"&amp;'管线现金流'!AL2860&amp;"|"&amp;'管线现金流'!J2861&amp;"|"&amp;'管线现金流'!AL2861&amp;"|"&amp;'管线现金流'!J2862&amp;"|"&amp;'管线现金流'!AL2862&amp;"|"&amp;'管线现金流'!J2863&amp;"|"&amp;'管线现金流'!AL2863&amp;"|"&amp;'管线现金流'!J2864&amp;"|"&amp;'管线现金流'!AL2864&amp;"|"&amp;'管线现金流'!J2865&amp;"|"&amp;'管线现金流'!AL2865&amp;"|"&amp;'管线现金流'!J2866&amp;"|"&amp;'管线现金流'!AL2866&amp;"|"&amp;'管线现金流'!W29&amp;"|"&amp;'管线现金流'!Z29&amp;"|"&amp;'管线现金流'!AQ29&amp;"|"&amp;'管线现金流'!AT29&amp;"|"&amp;'管线现金流'!W30&amp;"|"&amp;'管线现金流'!Z30&amp;"|"&amp;'管线现金流'!AQ30&amp;"|"&amp;'管线现金流'!AT30</x:f>
        <x:v>0.75|1.15|1.6|1|0.0935|1|0.105|6.8|1|0.1105|1|0.105|6.8|0.715|0.1105|1|0.105|6.8|0.525|0.1105|1|0.105|6.8|0.47750000000000004|0.1105|1|0.105|6.8|0.829|0.36|1|0.105|6.8|0.525|0.36|1|0.105|6.8|0.41100000000000003|0.36|1|0.105|6.8|0.5725|0.36|1|0.105|6.8|0.3730000000000001|0.36|1|0.105|6.8|0.62|0.1105|1|0.105|6.8|0.7625|0.36|1|0.105|6.8|0.43000000000000005|0.28|1|0.105|6.8|0.639|0.36|1|0.105|6.8|0.506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</x:row>
    <x:row r="343" ht="23" customHeight="1">
      <x:c r="A343" s="11" t="str">
        <x:v>688382.SH</x:v>
      </x:c>
      <x:c r="B343" s="11" t="str">
        <x:v>益方生物</x:v>
      </x:c>
      <x:c r="C343" s="11" t="str">
        <x:v>一年</x:v>
      </x:c>
      <x:c r="D343" s="11" t="str">
        <x:v>悲观</x:v>
      </x:c>
      <x:c r="E343" s="11" t="n">
        <x:v>17.26</x:v>
      </x:c>
      <x:c r="F343" s="11" t="n">
        <x:v>2.5890000000000004</x:v>
      </x:c>
      <x:c r="G343" s="11" t="n">
        <x:v>0</x:v>
      </x:c>
      <x:c r="H343" s="25" t="n">
        <x:v>-0.85</x:v>
      </x:c>
      <x:c r="I343" s="25" t="n">
        <x:v>-0.85</x:v>
      </x:c>
      <x:c r="J343" s="25" t="str"/>
      <x:c r="K343" s="11" t="n">
        <x:v>0</x:v>
      </x:c>
      <x:c r="L343" s="11" t="n">
        <x:v>0</x:v>
      </x:c>
      <x:c r="M343" s="11" t="n">
        <x:v>1</x:v>
      </x:c>
      <x:c r="N343" s="11" t="n">
        <x:v>0</x:v>
      </x:c>
      <x:c r="O343" s="11" t="n">
        <x:v>0</x:v>
      </x:c>
      <x:c r="P343" s="11" t="n">
        <x:v>0</x:v>
      </x:c>
      <x:c r="Q343" s="11" t="n">
        <x:v>0.65</x:v>
      </x:c>
      <x:c r="R343" s="11" t="str">
        <x:v>inventis-rnpv-v1.0</x:v>
      </x:c>
      <x:c r="S343" s="11" t="str">
        <x:v>2026-10-10</x:v>
      </x:c>
      <x:c r="T343" s="11" t="str">
        <x:f>IF(AND(SUM(IF(K343='假设'!E456,0,1),IF(L343='假设'!F456,0,1),IF(M343='假设'!G456,0,1),IF(N343='假设'!H456,0,1),IF(O343='假设'!I456,0,1),IF(P343='假设'!J456,0,1),IF(Q343='假设'!K456,0,1))=0,U343=V343),"已刷新","待刷新")</x:f>
        <x:v>已刷新</x:v>
      </x:c>
      <x:c r="U343" t="str">
        <x:v>0.85|0.6|1.5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  <x:c r="V343" t="str">
        <x:f>'假设'!U456&amp;"|"&amp;'假设'!N456&amp;"|"&amp;'假设'!Q456&amp;"|"&amp;'管线假设'!E628&amp;"|"&amp;'管线假设'!F628&amp;"|"&amp;'管线假设'!G628&amp;"|"&amp;'管线假设'!H628&amp;"|"&amp;'管线假设'!I628&amp;"|"&amp;'管线假设'!E632&amp;"|"&amp;'管线假设'!F632&amp;"|"&amp;'管线假设'!G632&amp;"|"&amp;'管线假设'!H632&amp;"|"&amp;'管线假设'!I632&amp;"|"&amp;'管线假设'!E636&amp;"|"&amp;'管线假设'!F636&amp;"|"&amp;'管线假设'!G636&amp;"|"&amp;'管线假设'!H636&amp;"|"&amp;'管线假设'!I636&amp;"|"&amp;'管线假设'!E640&amp;"|"&amp;'管线假设'!F640&amp;"|"&amp;'管线假设'!G640&amp;"|"&amp;'管线假设'!H640&amp;"|"&amp;'管线假设'!I640&amp;"|"&amp;'管线假设'!E644&amp;"|"&amp;'管线假设'!F644&amp;"|"&amp;'管线假设'!G644&amp;"|"&amp;'管线假设'!H644&amp;"|"&amp;'管线假设'!I644&amp;"|"&amp;'管线假设'!E648&amp;"|"&amp;'管线假设'!F648&amp;"|"&amp;'管线假设'!G648&amp;"|"&amp;'管线假设'!H648&amp;"|"&amp;'管线假设'!I648&amp;"|"&amp;'管线假设'!E652&amp;"|"&amp;'管线假设'!F652&amp;"|"&amp;'管线假设'!G652&amp;"|"&amp;'管线假设'!H652&amp;"|"&amp;'管线假设'!I652&amp;"|"&amp;'管线假设'!E656&amp;"|"&amp;'管线假设'!F656&amp;"|"&amp;'管线假设'!G656&amp;"|"&amp;'管线假设'!H656&amp;"|"&amp;'管线假设'!I656&amp;"|"&amp;'管线假设'!E660&amp;"|"&amp;'管线假设'!F660&amp;"|"&amp;'管线假设'!G660&amp;"|"&amp;'管线假设'!H660&amp;"|"&amp;'管线假设'!I660&amp;"|"&amp;'管线假设'!E664&amp;"|"&amp;'管线假设'!F664&amp;"|"&amp;'管线假设'!G664&amp;"|"&amp;'管线假设'!H664&amp;"|"&amp;'管线假设'!I664&amp;"|"&amp;'管线假设'!E668&amp;"|"&amp;'管线假设'!F668&amp;"|"&amp;'管线假设'!G668&amp;"|"&amp;'管线假设'!H668&amp;"|"&amp;'管线假设'!I668&amp;"|"&amp;'管线假设'!E672&amp;"|"&amp;'管线假设'!F672&amp;"|"&amp;'管线假设'!G672&amp;"|"&amp;'管线假设'!H672&amp;"|"&amp;'管线假设'!I672&amp;"|"&amp;'管线假设'!E676&amp;"|"&amp;'管线假设'!F676&amp;"|"&amp;'管线假设'!G676&amp;"|"&amp;'管线假设'!H676&amp;"|"&amp;'管线假设'!I676&amp;"|"&amp;'管线假设'!E680&amp;"|"&amp;'管线假设'!F680&amp;"|"&amp;'管线假设'!G680&amp;"|"&amp;'管线假设'!H680&amp;"|"&amp;'管线假设'!I680&amp;"|"&amp;'管线假设'!E684&amp;"|"&amp;'管线假设'!F684&amp;"|"&amp;'管线假设'!G684&amp;"|"&amp;'管线假设'!H684&amp;"|"&amp;'管线假设'!I684&amp;"|"&amp;'管线现金流'!H2867&amp;"|"&amp;'管线现金流'!AJ2867&amp;"|"&amp;'管线现金流'!H2868&amp;"|"&amp;'管线现金流'!AJ2868&amp;"|"&amp;'管线现金流'!H2869&amp;"|"&amp;'管线现金流'!AJ2869&amp;"|"&amp;'管线现金流'!H2870&amp;"|"&amp;'管线现金流'!AJ2870&amp;"|"&amp;'管线现金流'!H2871&amp;"|"&amp;'管线现金流'!AJ2871&amp;"|"&amp;'管线现金流'!H2872&amp;"|"&amp;'管线现金流'!AJ2872&amp;"|"&amp;'管线现金流'!H2873&amp;"|"&amp;'管线现金流'!AJ2873&amp;"|"&amp;'管线现金流'!H2874&amp;"|"&amp;'管线现金流'!AJ2874&amp;"|"&amp;'管线现金流'!H2875&amp;"|"&amp;'管线现金流'!AJ2875&amp;"|"&amp;'管线现金流'!H2876&amp;"|"&amp;'管线现金流'!AJ2876&amp;"|"&amp;'管线现金流'!H2877&amp;"|"&amp;'管线现金流'!AJ2877&amp;"|"&amp;'管线现金流'!H2878&amp;"|"&amp;'管线现金流'!AJ2878&amp;"|"&amp;'管线现金流'!H2879&amp;"|"&amp;'管线现金流'!AJ2879&amp;"|"&amp;'管线现金流'!H2880&amp;"|"&amp;'管线现金流'!AJ2880&amp;"|"&amp;'管线现金流'!H2881&amp;"|"&amp;'管线现金流'!AJ2881&amp;"|"&amp;'管线现金流'!H2882&amp;"|"&amp;'管线现金流'!AJ2882&amp;"|"&amp;'管线现金流'!H2883&amp;"|"&amp;'管线现金流'!AJ2883&amp;"|"&amp;'管线现金流'!H2884&amp;"|"&amp;'管线现金流'!AJ2884&amp;"|"&amp;'管线现金流'!H2885&amp;"|"&amp;'管线现金流'!AJ2885&amp;"|"&amp;'管线现金流'!H2886&amp;"|"&amp;'管线现金流'!AJ2886&amp;"|"&amp;'管线现金流'!H2887&amp;"|"&amp;'管线现金流'!AJ2887&amp;"|"&amp;'管线现金流'!H2888&amp;"|"&amp;'管线现金流'!AJ2888&amp;"|"&amp;'管线现金流'!H2889&amp;"|"&amp;'管线现金流'!AJ2889&amp;"|"&amp;'管线现金流'!H2890&amp;"|"&amp;'管线现金流'!AJ2890&amp;"|"&amp;'管线现金流'!H2891&amp;"|"&amp;'管线现金流'!AJ2891&amp;"|"&amp;'管线现金流'!H2892&amp;"|"&amp;'管线现金流'!AJ2892&amp;"|"&amp;'管线现金流'!H2893&amp;"|"&amp;'管线现金流'!AJ2893&amp;"|"&amp;'管线现金流'!H2894&amp;"|"&amp;'管线现金流'!AJ2894&amp;"|"&amp;'管线现金流'!H2895&amp;"|"&amp;'管线现金流'!AJ2895&amp;"|"&amp;'管线现金流'!H2896&amp;"|"&amp;'管线现金流'!AJ2896&amp;"|"&amp;'管线现金流'!H2897&amp;"|"&amp;'管线现金流'!AJ2897&amp;"|"&amp;'管线现金流'!H2898&amp;"|"&amp;'管线现金流'!AJ2898&amp;"|"&amp;'管线现金流'!H2899&amp;"|"&amp;'管线现金流'!AJ2899&amp;"|"&amp;'管线现金流'!H2900&amp;"|"&amp;'管线现金流'!AJ2900&amp;"|"&amp;'管线现金流'!H2901&amp;"|"&amp;'管线现金流'!AJ2901&amp;"|"&amp;'管线现金流'!H2902&amp;"|"&amp;'管线现金流'!AJ2902&amp;"|"&amp;'管线现金流'!H2903&amp;"|"&amp;'管线现金流'!AJ2903&amp;"|"&amp;'管线现金流'!H2904&amp;"|"&amp;'管线现金流'!AJ2904&amp;"|"&amp;'管线现金流'!H2905&amp;"|"&amp;'管线现金流'!AJ2905&amp;"|"&amp;'管线现金流'!H2906&amp;"|"&amp;'管线现金流'!AJ2906&amp;"|"&amp;'管线现金流'!H2907&amp;"|"&amp;'管线现金流'!AJ2907&amp;"|"&amp;'管线现金流'!H2908&amp;"|"&amp;'管线现金流'!AJ2908&amp;"|"&amp;'管线现金流'!H2909&amp;"|"&amp;'管线现金流'!AJ2909&amp;"|"&amp;'管线现金流'!H2910&amp;"|"&amp;'管线现金流'!AJ2910&amp;"|"&amp;'管线现金流'!H2911&amp;"|"&amp;'管线现金流'!AJ2911&amp;"|"&amp;'管线现金流'!H2912&amp;"|"&amp;'管线现金流'!AJ2912&amp;"|"&amp;'管线现金流'!H2913&amp;"|"&amp;'管线现金流'!AJ2913&amp;"|"&amp;'管线现金流'!H2914&amp;"|"&amp;'管线现金流'!AJ2914&amp;"|"&amp;'管线现金流'!H2915&amp;"|"&amp;'管线现金流'!AJ2915&amp;"|"&amp;'管线现金流'!H2916&amp;"|"&amp;'管线现金流'!AJ2916&amp;"|"&amp;'管线现金流'!H2917&amp;"|"&amp;'管线现金流'!AJ2917&amp;"|"&amp;'管线现金流'!H2918&amp;"|"&amp;'管线现金流'!AJ2918&amp;"|"&amp;'管线现金流'!H2919&amp;"|"&amp;'管线现金流'!AJ2919&amp;"|"&amp;'管线现金流'!H2920&amp;"|"&amp;'管线现金流'!AJ2920&amp;"|"&amp;'管线现金流'!H2921&amp;"|"&amp;'管线现金流'!AJ2921&amp;"|"&amp;'管线现金流'!H2922&amp;"|"&amp;'管线现金流'!AJ2922&amp;"|"&amp;'管线现金流'!H2923&amp;"|"&amp;'管线现金流'!AJ2923&amp;"|"&amp;'管线现金流'!H2924&amp;"|"&amp;'管线现金流'!AJ2924&amp;"|"&amp;'管线现金流'!H2925&amp;"|"&amp;'管线现金流'!AJ2925&amp;"|"&amp;'管线现金流'!H2926&amp;"|"&amp;'管线现金流'!AJ2926&amp;"|"&amp;'管线现金流'!H2927&amp;"|"&amp;'管线现金流'!AJ2927&amp;"|"&amp;'管线现金流'!H2928&amp;"|"&amp;'管线现金流'!AJ2928&amp;"|"&amp;'管线现金流'!H2929&amp;"|"&amp;'管线现金流'!AJ2929&amp;"|"&amp;'管线现金流'!H2930&amp;"|"&amp;'管线现金流'!AJ2930&amp;"|"&amp;'管线现金流'!H2931&amp;"|"&amp;'管线现金流'!AJ2931&amp;"|"&amp;'管线现金流'!H2932&amp;"|"&amp;'管线现金流'!AJ2932&amp;"|"&amp;'管线现金流'!H2933&amp;"|"&amp;'管线现金流'!AJ2933&amp;"|"&amp;'管线现金流'!H2934&amp;"|"&amp;'管线现金流'!AJ2934&amp;"|"&amp;'管线现金流'!H2935&amp;"|"&amp;'管线现金流'!AJ2935&amp;"|"&amp;'管线现金流'!H2936&amp;"|"&amp;'管线现金流'!AJ2936&amp;"|"&amp;'管线现金流'!H2937&amp;"|"&amp;'管线现金流'!AJ2937&amp;"|"&amp;'管线现金流'!H2938&amp;"|"&amp;'管线现金流'!AJ2938&amp;"|"&amp;'管线现金流'!H2939&amp;"|"&amp;'管线现金流'!AJ2939&amp;"|"&amp;'管线现金流'!H2940&amp;"|"&amp;'管线现金流'!AJ2940&amp;"|"&amp;'管线现金流'!H2941&amp;"|"&amp;'管线现金流'!AJ2941&amp;"|"&amp;'管线现金流'!H2942&amp;"|"&amp;'管线现金流'!AJ2942&amp;"|"&amp;'管线现金流'!H2943&amp;"|"&amp;'管线现金流'!AJ2943&amp;"|"&amp;'管线现金流'!H2944&amp;"|"&amp;'管线现金流'!AJ2944&amp;"|"&amp;'管线现金流'!H2945&amp;"|"&amp;'管线现金流'!AJ2945&amp;"|"&amp;'管线现金流'!H2946&amp;"|"&amp;'管线现金流'!AJ2946&amp;"|"&amp;'管线现金流'!H2947&amp;"|"&amp;'管线现金流'!AJ2947&amp;"|"&amp;'管线现金流'!H2948&amp;"|"&amp;'管线现金流'!AJ2948&amp;"|"&amp;'管线现金流'!H2949&amp;"|"&amp;'管线现金流'!AJ2949&amp;"|"&amp;'管线现金流'!H2950&amp;"|"&amp;'管线现金流'!AJ2950&amp;"|"&amp;'管线现金流'!H2951&amp;"|"&amp;'管线现金流'!AJ2951&amp;"|"&amp;'管线现金流'!H2952&amp;"|"&amp;'管线现金流'!AJ2952&amp;"|"&amp;'管线现金流'!H2953&amp;"|"&amp;'管线现金流'!AJ2953&amp;"|"&amp;'管线现金流'!H2954&amp;"|"&amp;'管线现金流'!AJ2954&amp;"|"&amp;'管线现金流'!H2955&amp;"|"&amp;'管线现金流'!AJ2955&amp;"|"&amp;'管线现金流'!H2956&amp;"|"&amp;'管线现金流'!AJ2956&amp;"|"&amp;'管线现金流'!H2957&amp;"|"&amp;'管线现金流'!AJ2957&amp;"|"&amp;'管线现金流'!H2958&amp;"|"&amp;'管线现金流'!AJ2958&amp;"|"&amp;'管线现金流'!H2959&amp;"|"&amp;'管线现金流'!AJ2959&amp;"|"&amp;'管线现金流'!H2960&amp;"|"&amp;'管线现金流'!AJ2960&amp;"|"&amp;'管线现金流'!H2961&amp;"|"&amp;'管线现金流'!AJ2961&amp;"|"&amp;'管线现金流'!H2962&amp;"|"&amp;'管线现金流'!AJ2962&amp;"|"&amp;'管线现金流'!H2963&amp;"|"&amp;'管线现金流'!AJ2963&amp;"|"&amp;'管线现金流'!H2964&amp;"|"&amp;'管线现金流'!AJ2964&amp;"|"&amp;'管线现金流'!H2965&amp;"|"&amp;'管线现金流'!AJ2965&amp;"|"&amp;'管线现金流'!H2966&amp;"|"&amp;'管线现金流'!AJ2966&amp;"|"&amp;'管线现金流'!H2967&amp;"|"&amp;'管线现金流'!AJ2967&amp;"|"&amp;'管线现金流'!H2968&amp;"|"&amp;'管线现金流'!AJ2968&amp;"|"&amp;'管线现金流'!H2969&amp;"|"&amp;'管线现金流'!AJ2969&amp;"|"&amp;'管线现金流'!H2970&amp;"|"&amp;'管线现金流'!AJ2970&amp;"|"&amp;'管线现金流'!H2971&amp;"|"&amp;'管线现金流'!AJ2971&amp;"|"&amp;'管线现金流'!H2972&amp;"|"&amp;'管线现金流'!AJ2972&amp;"|"&amp;'管线现金流'!H2973&amp;"|"&amp;'管线现金流'!AJ2973&amp;"|"&amp;'管线现金流'!H2974&amp;"|"&amp;'管线现金流'!AJ2974&amp;"|"&amp;'管线现金流'!H2975&amp;"|"&amp;'管线现金流'!AJ2975&amp;"|"&amp;'管线现金流'!H2976&amp;"|"&amp;'管线现金流'!AJ2976&amp;"|"&amp;'管线现金流'!H2977&amp;"|"&amp;'管线现金流'!AJ2977&amp;"|"&amp;'管线现金流'!H2978&amp;"|"&amp;'管线现金流'!AJ2978&amp;"|"&amp;'管线现金流'!H2979&amp;"|"&amp;'管线现金流'!AJ2979&amp;"|"&amp;'管线现金流'!H2980&amp;"|"&amp;'管线现金流'!AJ2980&amp;"|"&amp;'管线现金流'!H2981&amp;"|"&amp;'管线现金流'!AJ2981&amp;"|"&amp;'管线现金流'!H2982&amp;"|"&amp;'管线现金流'!AJ2982&amp;"|"&amp;'管线现金流'!H2983&amp;"|"&amp;'管线现金流'!AJ2983&amp;"|"&amp;'管线现金流'!H2984&amp;"|"&amp;'管线现金流'!AJ2984&amp;"|"&amp;'管线现金流'!H2985&amp;"|"&amp;'管线现金流'!AJ2985&amp;"|"&amp;'管线现金流'!H2986&amp;"|"&amp;'管线现金流'!AJ2986&amp;"|"&amp;'管线现金流'!H2987&amp;"|"&amp;'管线现金流'!AJ2987&amp;"|"&amp;'管线现金流'!H2988&amp;"|"&amp;'管线现金流'!AJ2988&amp;"|"&amp;'管线现金流'!H2989&amp;"|"&amp;'管线现金流'!AJ2989&amp;"|"&amp;'管线现金流'!H2990&amp;"|"&amp;'管线现金流'!AJ2990&amp;"|"&amp;'管线现金流'!H2991&amp;"|"&amp;'管线现金流'!AJ2991&amp;"|"&amp;'管线现金流'!H2992&amp;"|"&amp;'管线现金流'!AJ2992&amp;"|"&amp;'管线现金流'!H2993&amp;"|"&amp;'管线现金流'!AJ2993&amp;"|"&amp;'管线现金流'!H2994&amp;"|"&amp;'管线现金流'!AJ2994&amp;"|"&amp;'管线现金流'!H2995&amp;"|"&amp;'管线现金流'!AJ2995&amp;"|"&amp;'管线现金流'!H2996&amp;"|"&amp;'管线现金流'!AJ2996&amp;"|"&amp;'管线现金流'!H2997&amp;"|"&amp;'管线现金流'!AJ2997&amp;"|"&amp;'管线现金流'!H2998&amp;"|"&amp;'管线现金流'!AJ2998&amp;"|"&amp;'管线现金流'!H2999&amp;"|"&amp;'管线现金流'!AJ2999&amp;"|"&amp;'管线现金流'!H3000&amp;"|"&amp;'管线现金流'!AJ3000&amp;"|"&amp;'管线现金流'!H3001&amp;"|"&amp;'管线现金流'!AJ3001&amp;"|"&amp;'管线现金流'!H3002&amp;"|"&amp;'管线现金流'!AJ3002&amp;"|"&amp;'管线现金流'!H3003&amp;"|"&amp;'管线现金流'!AJ3003&amp;"|"&amp;'管线现金流'!H3004&amp;"|"&amp;'管线现金流'!AJ3004&amp;"|"&amp;'管线现金流'!H3005&amp;"|"&amp;'管线现金流'!AJ3005&amp;"|"&amp;'管线现金流'!H3006&amp;"|"&amp;'管线现金流'!AJ3006&amp;"|"&amp;'管线现金流'!H3007&amp;"|"&amp;'管线现金流'!AJ3007&amp;"|"&amp;'管线现金流'!H3008&amp;"|"&amp;'管线现金流'!AJ3008&amp;"|"&amp;'管线现金流'!H3009&amp;"|"&amp;'管线现金流'!AJ3009&amp;"|"&amp;'管线现金流'!H3010&amp;"|"&amp;'管线现金流'!AJ3010&amp;"|"&amp;'管线现金流'!H3011&amp;"|"&amp;'管线现金流'!AJ3011&amp;"|"&amp;'管线现金流'!H3012&amp;"|"&amp;'管线现金流'!AJ3012&amp;"|"&amp;'管线现金流'!H3013&amp;"|"&amp;'管线现金流'!AJ3013&amp;"|"&amp;'管线现金流'!H3014&amp;"|"&amp;'管线现金流'!AJ3014&amp;"|"&amp;'管线现金流'!H3015&amp;"|"&amp;'管线现金流'!AJ3015&amp;"|"&amp;'管线现金流'!H3016&amp;"|"&amp;'管线现金流'!AJ3016&amp;"|"&amp;'管线现金流'!H3017&amp;"|"&amp;'管线现金流'!AJ3017&amp;"|"&amp;'管线现金流'!H3018&amp;"|"&amp;'管线现金流'!AJ3018&amp;"|"&amp;'管线现金流'!H3019&amp;"|"&amp;'管线现金流'!AJ3019&amp;"|"&amp;'管线现金流'!H3020&amp;"|"&amp;'管线现金流'!AJ3020&amp;"|"&amp;'管线现金流'!H3021&amp;"|"&amp;'管线现金流'!AJ3021&amp;"|"&amp;'管线现金流'!H3022&amp;"|"&amp;'管线现金流'!AJ3022&amp;"|"&amp;'管线现金流'!H3023&amp;"|"&amp;'管线现金流'!AJ3023&amp;"|"&amp;'管线现金流'!H3024&amp;"|"&amp;'管线现金流'!AJ3024&amp;"|"&amp;'管线现金流'!H3025&amp;"|"&amp;'管线现金流'!AJ3025&amp;"|"&amp;'管线现金流'!H3026&amp;"|"&amp;'管线现金流'!AJ3026&amp;"|"&amp;'管线现金流'!H3027&amp;"|"&amp;'管线现金流'!AJ3027&amp;"|"&amp;'管线现金流'!H3028&amp;"|"&amp;'管线现金流'!AJ3028&amp;"|"&amp;'管线现金流'!H3029&amp;"|"&amp;'管线现金流'!AJ3029&amp;"|"&amp;'管线现金流'!H3030&amp;"|"&amp;'管线现金流'!AJ3030&amp;"|"&amp;'管线现金流'!H3031&amp;"|"&amp;'管线现金流'!AJ3031&amp;"|"&amp;'管线现金流'!H3032&amp;"|"&amp;'管线现金流'!AJ3032&amp;"|"&amp;'管线现金流'!H3033&amp;"|"&amp;'管线现金流'!AJ3033&amp;"|"&amp;'管线现金流'!H3034&amp;"|"&amp;'管线现金流'!AJ3034&amp;"|"&amp;'管线现金流'!H3035&amp;"|"&amp;'管线现金流'!AJ3035&amp;"|"&amp;'管线现金流'!H3036&amp;"|"&amp;'管线现金流'!AJ3036&amp;"|"&amp;'管线现金流'!H3037&amp;"|"&amp;'管线现金流'!AJ3037&amp;"|"&amp;'管线现金流'!H3038&amp;"|"&amp;'管线现金流'!AJ3038&amp;"|"&amp;'管线现金流'!H3039&amp;"|"&amp;'管线现金流'!AJ3039&amp;"|"&amp;'管线现金流'!H3040&amp;"|"&amp;'管线现金流'!AJ3040&amp;"|"&amp;'管线现金流'!H3041&amp;"|"&amp;'管线现金流'!AJ3041&amp;"|"&amp;'管线现金流'!H3042&amp;"|"&amp;'管线现金流'!AJ3042&amp;"|"&amp;'管线现金流'!H3043&amp;"|"&amp;'管线现金流'!AJ3043&amp;"|"&amp;'管线现金流'!H3044&amp;"|"&amp;'管线现金流'!AJ3044&amp;"|"&amp;'管线现金流'!H3045&amp;"|"&amp;'管线现金流'!AJ3045&amp;"|"&amp;'管线现金流'!H3046&amp;"|"&amp;'管线现金流'!AJ3046&amp;"|"&amp;'管线现金流'!H3047&amp;"|"&amp;'管线现金流'!AJ3047&amp;"|"&amp;'管线现金流'!H3048&amp;"|"&amp;'管线现金流'!AJ3048&amp;"|"&amp;'管线现金流'!H3049&amp;"|"&amp;'管线现金流'!AJ3049&amp;"|"&amp;'管线现金流'!H3050&amp;"|"&amp;'管线现金流'!AJ3050&amp;"|"&amp;'管线现金流'!H3051&amp;"|"&amp;'管线现金流'!AJ3051&amp;"|"&amp;'管线现金流'!H3052&amp;"|"&amp;'管线现金流'!AJ3052&amp;"|"&amp;'管线现金流'!H3053&amp;"|"&amp;'管线现金流'!AJ3053&amp;"|"&amp;'管线现金流'!H3054&amp;"|"&amp;'管线现金流'!AJ3054&amp;"|"&amp;'管线现金流'!H3055&amp;"|"&amp;'管线现金流'!AJ3055&amp;"|"&amp;'管线现金流'!H3056&amp;"|"&amp;'管线现金流'!AJ3056&amp;"|"&amp;'管线现金流'!H3057&amp;"|"&amp;'管线现金流'!AJ3057&amp;"|"&amp;'管线现金流'!H3058&amp;"|"&amp;'管线现金流'!AJ3058&amp;"|"&amp;'管线现金流'!H3059&amp;"|"&amp;'管线现金流'!AJ3059&amp;"|"&amp;'管线现金流'!H3060&amp;"|"&amp;'管线现金流'!AJ3060&amp;"|"&amp;'管线现金流'!H3061&amp;"|"&amp;'管线现金流'!AJ3061&amp;"|"&amp;'管线现金流'!H3062&amp;"|"&amp;'管线现金流'!AJ3062&amp;"|"&amp;'管线现金流'!H3063&amp;"|"&amp;'管线现金流'!AJ3063&amp;"|"&amp;'管线现金流'!H3064&amp;"|"&amp;'管线现金流'!AJ3064&amp;"|"&amp;'管线现金流'!H3065&amp;"|"&amp;'管线现金流'!AJ3065&amp;"|"&amp;'管线现金流'!H3066&amp;"|"&amp;'管线现金流'!AJ3066&amp;"|"&amp;'管线现金流'!H3067&amp;"|"&amp;'管线现金流'!AJ3067&amp;"|"&amp;'管线现金流'!H3068&amp;"|"&amp;'管线现金流'!AJ3068&amp;"|"&amp;'管线现金流'!H3069&amp;"|"&amp;'管线现金流'!AJ3069&amp;"|"&amp;'管线现金流'!H3070&amp;"|"&amp;'管线现金流'!AJ3070&amp;"|"&amp;'管线现金流'!H3071&amp;"|"&amp;'管线现金流'!AJ3071&amp;"|"&amp;'管线现金流'!H3072&amp;"|"&amp;'管线现金流'!AJ3072&amp;"|"&amp;'管线现金流'!H3073&amp;"|"&amp;'管线现金流'!AJ3073&amp;"|"&amp;'管线现金流'!H3074&amp;"|"&amp;'管线现金流'!AJ3074&amp;"|"&amp;'管线现金流'!H3075&amp;"|"&amp;'管线现金流'!AJ3075&amp;"|"&amp;'管线现金流'!H3076&amp;"|"&amp;'管线现金流'!AJ3076&amp;"|"&amp;'管线现金流'!H3077&amp;"|"&amp;'管线现金流'!AJ3077&amp;"|"&amp;'管线现金流'!H3078&amp;"|"&amp;'管线现金流'!AJ3078&amp;"|"&amp;'管线现金流'!H3079&amp;"|"&amp;'管线现金流'!AJ3079&amp;"|"&amp;'管线现金流'!H3080&amp;"|"&amp;'管线现金流'!AJ3080&amp;"|"&amp;'管线现金流'!H3081&amp;"|"&amp;'管线现金流'!AJ3081&amp;"|"&amp;'管线现金流'!H3082&amp;"|"&amp;'管线现金流'!AJ3082&amp;"|"&amp;'管线现金流'!H3083&amp;"|"&amp;'管线现金流'!AJ3083&amp;"|"&amp;'管线现金流'!H3084&amp;"|"&amp;'管线现金流'!AJ3084&amp;"|"&amp;'管线现金流'!H3085&amp;"|"&amp;'管线现金流'!AJ3085&amp;"|"&amp;'管线现金流'!H3086&amp;"|"&amp;'管线现金流'!AJ3086&amp;"|"&amp;'管线现金流'!H3087&amp;"|"&amp;'管线现金流'!AJ3087&amp;"|"&amp;'管线现金流'!H3088&amp;"|"&amp;'管线现金流'!AJ3088&amp;"|"&amp;'管线现金流'!H3089&amp;"|"&amp;'管线现金流'!AJ3089&amp;"|"&amp;'管线现金流'!H3090&amp;"|"&amp;'管线现金流'!AJ3090&amp;"|"&amp;'管线现金流'!H3091&amp;"|"&amp;'管线现金流'!AJ3091&amp;"|"&amp;'管线现金流'!H3092&amp;"|"&amp;'管线现金流'!AJ3092&amp;"|"&amp;'管线现金流'!H3093&amp;"|"&amp;'管线现金流'!AJ3093&amp;"|"&amp;'管线现金流'!H3094&amp;"|"&amp;'管线现金流'!AJ3094&amp;"|"&amp;'管线现金流'!H3095&amp;"|"&amp;'管线现金流'!AJ3095&amp;"|"&amp;'管线现金流'!H3096&amp;"|"&amp;'管线现金流'!AJ3096&amp;"|"&amp;'管线现金流'!H3097&amp;"|"&amp;'管线现金流'!AJ3097&amp;"|"&amp;'管线现金流'!H3098&amp;"|"&amp;'管线现金流'!AJ3098&amp;"|"&amp;'管线现金流'!H3099&amp;"|"&amp;'管线现金流'!AJ3099&amp;"|"&amp;'管线现金流'!H3100&amp;"|"&amp;'管线现金流'!AJ3100&amp;"|"&amp;'管线现金流'!H3101&amp;"|"&amp;'管线现金流'!AJ3101&amp;"|"&amp;'管线现金流'!H3102&amp;"|"&amp;'管线现金流'!AJ3102&amp;"|"&amp;'管线现金流'!H3103&amp;"|"&amp;'管线现金流'!AJ3103&amp;"|"&amp;'管线现金流'!H3104&amp;"|"&amp;'管线现金流'!AJ3104&amp;"|"&amp;'管线现金流'!H3105&amp;"|"&amp;'管线现金流'!AJ3105&amp;"|"&amp;'管线现金流'!H3106&amp;"|"&amp;'管线现金流'!AJ3106&amp;"|"&amp;'管线现金流'!H3107&amp;"|"&amp;'管线现金流'!AJ3107&amp;"|"&amp;'管线现金流'!H3108&amp;"|"&amp;'管线现金流'!AJ3108&amp;"|"&amp;'管线现金流'!H3109&amp;"|"&amp;'管线现金流'!AJ3109&amp;"|"&amp;'管线现金流'!H3110&amp;"|"&amp;'管线现金流'!AJ3110&amp;"|"&amp;'管线现金流'!H3111&amp;"|"&amp;'管线现金流'!AJ3111&amp;"|"&amp;'管线现金流'!H3112&amp;"|"&amp;'管线现金流'!AJ3112&amp;"|"&amp;'管线现金流'!H3113&amp;"|"&amp;'管线现金流'!AJ3113&amp;"|"&amp;'管线现金流'!H3114&amp;"|"&amp;'管线现金流'!AJ3114&amp;"|"&amp;'管线现金流'!H3115&amp;"|"&amp;'管线现金流'!AJ3115&amp;"|"&amp;'管线现金流'!H3116&amp;"|"&amp;'管线现金流'!AJ3116&amp;"|"&amp;'管线现金流'!H3117&amp;"|"&amp;'管线现金流'!AJ3117&amp;"|"&amp;'管线现金流'!H3118&amp;"|"&amp;'管线现金流'!AJ3118&amp;"|"&amp;'管线现金流'!H3119&amp;"|"&amp;'管线现金流'!AJ3119&amp;"|"&amp;'管线现金流'!H3120&amp;"|"&amp;'管线现金流'!AJ3120&amp;"|"&amp;'管线现金流'!H3121&amp;"|"&amp;'管线现金流'!AJ3121&amp;"|"&amp;'管线现金流'!H3122&amp;"|"&amp;'管线现金流'!AJ3122&amp;"|"&amp;'管线现金流'!H3123&amp;"|"&amp;'管线现金流'!AJ3123&amp;"|"&amp;'管线现金流'!H3124&amp;"|"&amp;'管线现金流'!AJ3124&amp;"|"&amp;'管线现金流'!H3125&amp;"|"&amp;'管线现金流'!AJ3125&amp;"|"&amp;'管线现金流'!H3126&amp;"|"&amp;'管线现金流'!AJ3126&amp;"|"&amp;'管线现金流'!H3127&amp;"|"&amp;'管线现金流'!AJ3127&amp;"|"&amp;'管线现金流'!H3128&amp;"|"&amp;'管线现金流'!AJ3128&amp;"|"&amp;'管线现金流'!H3129&amp;"|"&amp;'管线现金流'!AJ3129&amp;"|"&amp;'管线现金流'!H3130&amp;"|"&amp;'管线现金流'!AJ3130&amp;"|"&amp;'管线现金流'!H3131&amp;"|"&amp;'管线现金流'!AJ3131&amp;"|"&amp;'管线现金流'!H3132&amp;"|"&amp;'管线现金流'!AJ3132&amp;"|"&amp;'管线现金流'!H3133&amp;"|"&amp;'管线现金流'!AJ3133&amp;"|"&amp;'管线现金流'!H3134&amp;"|"&amp;'管线现金流'!AJ3134&amp;"|"&amp;'管线现金流'!H3135&amp;"|"&amp;'管线现金流'!AJ3135&amp;"|"&amp;'管线现金流'!H3136&amp;"|"&amp;'管线现金流'!AJ3136&amp;"|"&amp;'管线现金流'!H3137&amp;"|"&amp;'管线现金流'!AJ3137&amp;"|"&amp;'管线现金流'!H3138&amp;"|"&amp;'管线现金流'!AJ3138&amp;"|"&amp;'管线现金流'!H3139&amp;"|"&amp;'管线现金流'!AJ3139&amp;"|"&amp;'管线现金流'!H3140&amp;"|"&amp;'管线现金流'!AJ3140&amp;"|"&amp;'管线现金流'!H3141&amp;"|"&amp;'管线现金流'!AJ3141&amp;"|"&amp;'管线现金流'!H3142&amp;"|"&amp;'管线现金流'!AJ3142&amp;"|"&amp;'管线现金流'!H3143&amp;"|"&amp;'管线现金流'!AJ3143&amp;"|"&amp;'管线现金流'!H3144&amp;"|"&amp;'管线现金流'!AJ3144&amp;"|"&amp;'管线现金流'!H3145&amp;"|"&amp;'管线现金流'!AJ3145&amp;"|"&amp;'管线现金流'!H3146&amp;"|"&amp;'管线现金流'!AJ3146&amp;"|"&amp;'管线现金流'!H3147&amp;"|"&amp;'管线现金流'!AJ3147&amp;"|"&amp;'管线现金流'!H3148&amp;"|"&amp;'管线现金流'!AJ3148&amp;"|"&amp;'管线现金流'!H3149&amp;"|"&amp;'管线现金流'!AJ3149&amp;"|"&amp;'管线现金流'!H3150&amp;"|"&amp;'管线现金流'!AJ3150&amp;"|"&amp;'管线现金流'!H3151&amp;"|"&amp;'管线现金流'!AJ3151&amp;"|"&amp;'管线现金流'!U31&amp;"|"&amp;'管线现金流'!X31&amp;"|"&amp;'管线现金流'!AO31&amp;"|"&amp;'管线现金流'!AR31&amp;"|"&amp;'管线现金流'!U32&amp;"|"&amp;'管线现金流'!X32&amp;"|"&amp;'管线现金流'!AO32&amp;"|"&amp;'管线现金流'!AR32</x:f>
        <x:v>0.85|0.6|1.5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</x:row>
    <x:row r="344" ht="23" customHeight="1">
      <x:c r="A344" s="11" t="str">
        <x:v>688382.SH</x:v>
      </x:c>
      <x:c r="B344" s="11" t="str">
        <x:v>益方生物</x:v>
      </x:c>
      <x:c r="C344" s="11" t="str">
        <x:v>一年</x:v>
      </x:c>
      <x:c r="D344" s="11" t="str">
        <x:v>基准</x:v>
      </x:c>
      <x:c r="E344" s="11" t="n">
        <x:v>17.26</x:v>
      </x:c>
      <x:c r="F344" s="11" t="n">
        <x:v>9.12695851034157</x:v>
      </x:c>
      <x:c r="G344" s="11" t="n">
        <x:v>0</x:v>
      </x:c>
      <x:c r="H344" s="25" t="n">
        <x:v>-0.47120750229770747</x:v>
      </x:c>
      <x:c r="I344" s="25" t="n">
        <x:v>-0.47120750229770747</x:v>
      </x:c>
      <x:c r="J344" s="25" t="str"/>
      <x:c r="K344" s="11" t="n">
        <x:v>0</x:v>
      </x:c>
      <x:c r="L344" s="11" t="n">
        <x:v>0</x:v>
      </x:c>
      <x:c r="M344" s="11" t="n">
        <x:v>1</x:v>
      </x:c>
      <x:c r="N344" s="11" t="n">
        <x:v>0</x:v>
      </x:c>
      <x:c r="O344" s="11" t="n">
        <x:v>0</x:v>
      </x:c>
      <x:c r="P344" s="11" t="n">
        <x:v>0</x:v>
      </x:c>
      <x:c r="Q344" s="11" t="n">
        <x:v>0.625</x:v>
      </x:c>
      <x:c r="R344" s="11" t="str">
        <x:v>inventis-rnpv-v1.0</x:v>
      </x:c>
      <x:c r="S344" s="11" t="str">
        <x:v>2026-10-10</x:v>
      </x:c>
      <x:c r="T344" s="11" t="str">
        <x:f>IF(AND(SUM(IF(K344='假设'!E457,0,1),IF(L344='假设'!F457,0,1),IF(M344='假设'!G457,0,1),IF(N344='假设'!H457,0,1),IF(O344='假设'!I457,0,1),IF(P344='假设'!J457,0,1),IF(Q344='假设'!K457,0,1))=0,U344=V344),"已刷新","待刷新")</x:f>
        <x:v>待刷新</x:v>
      </x:c>
      <x:c r="U344" t="str">
        <x:v>0.9|0.9|1.4|1|0.0656|1|0.135|6.8|1|0.08200000000000002|1|0.135|6.8|0.5216|0.08200000000000002|1|0.135|6.8|0.3284|0.08200000000000002|1|0.135|6.8|0.29159999999999997|0.08200000000000002|1|0.135|6.8|0.6504|0.28|1|0.135|6.8|0.3376|0.28|1|0.135|6.8|0.24559999999999993|0.28|1|0.135|6.8|0.356|0.28|1|0.135|6.8|0.21799999999999997|0.28|1|0.135|6.8|0.4019999999999999|0.08200000000000002|1|0.135|6.8|0.54|0.28|1|0.135|6.8|0.24559999999999993|0.2|1|0.135|6.8|0.4296|0.28|1|0.135|6.8|0.30999999999999994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  <x:c r="V344" t="str">
        <x:f>'假设'!U457&amp;"|"&amp;'假设'!N457&amp;"|"&amp;'假设'!Q457&amp;"|"&amp;'管线假设'!E629&amp;"|"&amp;'管线假设'!F629&amp;"|"&amp;'管线假设'!G629&amp;"|"&amp;'管线假设'!H629&amp;"|"&amp;'管线假设'!I629&amp;"|"&amp;'管线假设'!E633&amp;"|"&amp;'管线假设'!F633&amp;"|"&amp;'管线假设'!G633&amp;"|"&amp;'管线假设'!H633&amp;"|"&amp;'管线假设'!I633&amp;"|"&amp;'管线假设'!E637&amp;"|"&amp;'管线假设'!F637&amp;"|"&amp;'管线假设'!G637&amp;"|"&amp;'管线假设'!H637&amp;"|"&amp;'管线假设'!I637&amp;"|"&amp;'管线假设'!E641&amp;"|"&amp;'管线假设'!F641&amp;"|"&amp;'管线假设'!G641&amp;"|"&amp;'管线假设'!H641&amp;"|"&amp;'管线假设'!I641&amp;"|"&amp;'管线假设'!E645&amp;"|"&amp;'管线假设'!F645&amp;"|"&amp;'管线假设'!G645&amp;"|"&amp;'管线假设'!H645&amp;"|"&amp;'管线假设'!I645&amp;"|"&amp;'管线假设'!E649&amp;"|"&amp;'管线假设'!F649&amp;"|"&amp;'管线假设'!G649&amp;"|"&amp;'管线假设'!H649&amp;"|"&amp;'管线假设'!I649&amp;"|"&amp;'管线假设'!E653&amp;"|"&amp;'管线假设'!F653&amp;"|"&amp;'管线假设'!G653&amp;"|"&amp;'管线假设'!H653&amp;"|"&amp;'管线假设'!I653&amp;"|"&amp;'管线假设'!E657&amp;"|"&amp;'管线假设'!F657&amp;"|"&amp;'管线假设'!G657&amp;"|"&amp;'管线假设'!H657&amp;"|"&amp;'管线假设'!I657&amp;"|"&amp;'管线假设'!E661&amp;"|"&amp;'管线假设'!F661&amp;"|"&amp;'管线假设'!G661&amp;"|"&amp;'管线假设'!H661&amp;"|"&amp;'管线假设'!I661&amp;"|"&amp;'管线假设'!E665&amp;"|"&amp;'管线假设'!F665&amp;"|"&amp;'管线假设'!G665&amp;"|"&amp;'管线假设'!H665&amp;"|"&amp;'管线假设'!I665&amp;"|"&amp;'管线假设'!E669&amp;"|"&amp;'管线假设'!F669&amp;"|"&amp;'管线假设'!G669&amp;"|"&amp;'管线假设'!H669&amp;"|"&amp;'管线假设'!I669&amp;"|"&amp;'管线假设'!E673&amp;"|"&amp;'管线假设'!F673&amp;"|"&amp;'管线假设'!G673&amp;"|"&amp;'管线假设'!H673&amp;"|"&amp;'管线假设'!I673&amp;"|"&amp;'管线假设'!E677&amp;"|"&amp;'管线假设'!F677&amp;"|"&amp;'管线假设'!G677&amp;"|"&amp;'管线假设'!H677&amp;"|"&amp;'管线假设'!I677&amp;"|"&amp;'管线假设'!E681&amp;"|"&amp;'管线假设'!F681&amp;"|"&amp;'管线假设'!G681&amp;"|"&amp;'管线假设'!H681&amp;"|"&amp;'管线假设'!I681&amp;"|"&amp;'管线假设'!E685&amp;"|"&amp;'管线假设'!F685&amp;"|"&amp;'管线假设'!G685&amp;"|"&amp;'管线假设'!H685&amp;"|"&amp;'管线假设'!I685&amp;"|"&amp;'管线现金流'!I2867&amp;"|"&amp;'管线现金流'!AK2867&amp;"|"&amp;'管线现金流'!I2868&amp;"|"&amp;'管线现金流'!AK2868&amp;"|"&amp;'管线现金流'!I2869&amp;"|"&amp;'管线现金流'!AK2869&amp;"|"&amp;'管线现金流'!I2870&amp;"|"&amp;'管线现金流'!AK2870&amp;"|"&amp;'管线现金流'!I2871&amp;"|"&amp;'管线现金流'!AK2871&amp;"|"&amp;'管线现金流'!I2872&amp;"|"&amp;'管线现金流'!AK2872&amp;"|"&amp;'管线现金流'!I2873&amp;"|"&amp;'管线现金流'!AK2873&amp;"|"&amp;'管线现金流'!I2874&amp;"|"&amp;'管线现金流'!AK2874&amp;"|"&amp;'管线现金流'!I2875&amp;"|"&amp;'管线现金流'!AK2875&amp;"|"&amp;'管线现金流'!I2876&amp;"|"&amp;'管线现金流'!AK2876&amp;"|"&amp;'管线现金流'!I2877&amp;"|"&amp;'管线现金流'!AK2877&amp;"|"&amp;'管线现金流'!I2878&amp;"|"&amp;'管线现金流'!AK2878&amp;"|"&amp;'管线现金流'!I2879&amp;"|"&amp;'管线现金流'!AK2879&amp;"|"&amp;'管线现金流'!I2880&amp;"|"&amp;'管线现金流'!AK2880&amp;"|"&amp;'管线现金流'!I2881&amp;"|"&amp;'管线现金流'!AK2881&amp;"|"&amp;'管线现金流'!I2882&amp;"|"&amp;'管线现金流'!AK2882&amp;"|"&amp;'管线现金流'!I2883&amp;"|"&amp;'管线现金流'!AK2883&amp;"|"&amp;'管线现金流'!I2884&amp;"|"&amp;'管线现金流'!AK2884&amp;"|"&amp;'管线现金流'!I2885&amp;"|"&amp;'管线现金流'!AK2885&amp;"|"&amp;'管线现金流'!I2886&amp;"|"&amp;'管线现金流'!AK2886&amp;"|"&amp;'管线现金流'!I2887&amp;"|"&amp;'管线现金流'!AK2887&amp;"|"&amp;'管线现金流'!I2888&amp;"|"&amp;'管线现金流'!AK2888&amp;"|"&amp;'管线现金流'!I2889&amp;"|"&amp;'管线现金流'!AK2889&amp;"|"&amp;'管线现金流'!I2890&amp;"|"&amp;'管线现金流'!AK2890&amp;"|"&amp;'管线现金流'!I2891&amp;"|"&amp;'管线现金流'!AK2891&amp;"|"&amp;'管线现金流'!I2892&amp;"|"&amp;'管线现金流'!AK2892&amp;"|"&amp;'管线现金流'!I2893&amp;"|"&amp;'管线现金流'!AK2893&amp;"|"&amp;'管线现金流'!I2894&amp;"|"&amp;'管线现金流'!AK2894&amp;"|"&amp;'管线现金流'!I2895&amp;"|"&amp;'管线现金流'!AK2895&amp;"|"&amp;'管线现金流'!I2896&amp;"|"&amp;'管线现金流'!AK2896&amp;"|"&amp;'管线现金流'!I2897&amp;"|"&amp;'管线现金流'!AK2897&amp;"|"&amp;'管线现金流'!I2898&amp;"|"&amp;'管线现金流'!AK2898&amp;"|"&amp;'管线现金流'!I2899&amp;"|"&amp;'管线现金流'!AK2899&amp;"|"&amp;'管线现金流'!I2900&amp;"|"&amp;'管线现金流'!AK2900&amp;"|"&amp;'管线现金流'!I2901&amp;"|"&amp;'管线现金流'!AK2901&amp;"|"&amp;'管线现金流'!I2902&amp;"|"&amp;'管线现金流'!AK2902&amp;"|"&amp;'管线现金流'!I2903&amp;"|"&amp;'管线现金流'!AK2903&amp;"|"&amp;'管线现金流'!I2904&amp;"|"&amp;'管线现金流'!AK2904&amp;"|"&amp;'管线现金流'!I2905&amp;"|"&amp;'管线现金流'!AK2905&amp;"|"&amp;'管线现金流'!I2906&amp;"|"&amp;'管线现金流'!AK2906&amp;"|"&amp;'管线现金流'!I2907&amp;"|"&amp;'管线现金流'!AK2907&amp;"|"&amp;'管线现金流'!I2908&amp;"|"&amp;'管线现金流'!AK2908&amp;"|"&amp;'管线现金流'!I2909&amp;"|"&amp;'管线现金流'!AK2909&amp;"|"&amp;'管线现金流'!I2910&amp;"|"&amp;'管线现金流'!AK2910&amp;"|"&amp;'管线现金流'!I2911&amp;"|"&amp;'管线现金流'!AK2911&amp;"|"&amp;'管线现金流'!I2912&amp;"|"&amp;'管线现金流'!AK2912&amp;"|"&amp;'管线现金流'!I2913&amp;"|"&amp;'管线现金流'!AK2913&amp;"|"&amp;'管线现金流'!I2914&amp;"|"&amp;'管线现金流'!AK2914&amp;"|"&amp;'管线现金流'!I2915&amp;"|"&amp;'管线现金流'!AK2915&amp;"|"&amp;'管线现金流'!I2916&amp;"|"&amp;'管线现金流'!AK2916&amp;"|"&amp;'管线现金流'!I2917&amp;"|"&amp;'管线现金流'!AK2917&amp;"|"&amp;'管线现金流'!I2918&amp;"|"&amp;'管线现金流'!AK2918&amp;"|"&amp;'管线现金流'!I2919&amp;"|"&amp;'管线现金流'!AK2919&amp;"|"&amp;'管线现金流'!I2920&amp;"|"&amp;'管线现金流'!AK2920&amp;"|"&amp;'管线现金流'!I2921&amp;"|"&amp;'管线现金流'!AK2921&amp;"|"&amp;'管线现金流'!I2922&amp;"|"&amp;'管线现金流'!AK2922&amp;"|"&amp;'管线现金流'!I2923&amp;"|"&amp;'管线现金流'!AK2923&amp;"|"&amp;'管线现金流'!I2924&amp;"|"&amp;'管线现金流'!AK2924&amp;"|"&amp;'管线现金流'!I2925&amp;"|"&amp;'管线现金流'!AK2925&amp;"|"&amp;'管线现金流'!I2926&amp;"|"&amp;'管线现金流'!AK2926&amp;"|"&amp;'管线现金流'!I2927&amp;"|"&amp;'管线现金流'!AK2927&amp;"|"&amp;'管线现金流'!I2928&amp;"|"&amp;'管线现金流'!AK2928&amp;"|"&amp;'管线现金流'!I2929&amp;"|"&amp;'管线现金流'!AK2929&amp;"|"&amp;'管线现金流'!I2930&amp;"|"&amp;'管线现金流'!AK2930&amp;"|"&amp;'管线现金流'!I2931&amp;"|"&amp;'管线现金流'!AK2931&amp;"|"&amp;'管线现金流'!I2932&amp;"|"&amp;'管线现金流'!AK2932&amp;"|"&amp;'管线现金流'!I2933&amp;"|"&amp;'管线现金流'!AK2933&amp;"|"&amp;'管线现金流'!I2934&amp;"|"&amp;'管线现金流'!AK2934&amp;"|"&amp;'管线现金流'!I2935&amp;"|"&amp;'管线现金流'!AK2935&amp;"|"&amp;'管线现金流'!I2936&amp;"|"&amp;'管线现金流'!AK2936&amp;"|"&amp;'管线现金流'!I2937&amp;"|"&amp;'管线现金流'!AK2937&amp;"|"&amp;'管线现金流'!I2938&amp;"|"&amp;'管线现金流'!AK2938&amp;"|"&amp;'管线现金流'!I2939&amp;"|"&amp;'管线现金流'!AK2939&amp;"|"&amp;'管线现金流'!I2940&amp;"|"&amp;'管线现金流'!AK2940&amp;"|"&amp;'管线现金流'!I2941&amp;"|"&amp;'管线现金流'!AK2941&amp;"|"&amp;'管线现金流'!I2942&amp;"|"&amp;'管线现金流'!AK2942&amp;"|"&amp;'管线现金流'!I2943&amp;"|"&amp;'管线现金流'!AK2943&amp;"|"&amp;'管线现金流'!I2944&amp;"|"&amp;'管线现金流'!AK2944&amp;"|"&amp;'管线现金流'!I2945&amp;"|"&amp;'管线现金流'!AK2945&amp;"|"&amp;'管线现金流'!I2946&amp;"|"&amp;'管线现金流'!AK2946&amp;"|"&amp;'管线现金流'!I2947&amp;"|"&amp;'管线现金流'!AK2947&amp;"|"&amp;'管线现金流'!I2948&amp;"|"&amp;'管线现金流'!AK2948&amp;"|"&amp;'管线现金流'!I2949&amp;"|"&amp;'管线现金流'!AK2949&amp;"|"&amp;'管线现金流'!I2950&amp;"|"&amp;'管线现金流'!AK2950&amp;"|"&amp;'管线现金流'!I2951&amp;"|"&amp;'管线现金流'!AK2951&amp;"|"&amp;'管线现金流'!I2952&amp;"|"&amp;'管线现金流'!AK2952&amp;"|"&amp;'管线现金流'!I2953&amp;"|"&amp;'管线现金流'!AK2953&amp;"|"&amp;'管线现金流'!I2954&amp;"|"&amp;'管线现金流'!AK2954&amp;"|"&amp;'管线现金流'!I2955&amp;"|"&amp;'管线现金流'!AK2955&amp;"|"&amp;'管线现金流'!I2956&amp;"|"&amp;'管线现金流'!AK2956&amp;"|"&amp;'管线现金流'!I2957&amp;"|"&amp;'管线现金流'!AK2957&amp;"|"&amp;'管线现金流'!I2958&amp;"|"&amp;'管线现金流'!AK2958&amp;"|"&amp;'管线现金流'!I2959&amp;"|"&amp;'管线现金流'!AK2959&amp;"|"&amp;'管线现金流'!I2960&amp;"|"&amp;'管线现金流'!AK2960&amp;"|"&amp;'管线现金流'!I2961&amp;"|"&amp;'管线现金流'!AK2961&amp;"|"&amp;'管线现金流'!I2962&amp;"|"&amp;'管线现金流'!AK2962&amp;"|"&amp;'管线现金流'!I2963&amp;"|"&amp;'管线现金流'!AK2963&amp;"|"&amp;'管线现金流'!I2964&amp;"|"&amp;'管线现金流'!AK2964&amp;"|"&amp;'管线现金流'!I2965&amp;"|"&amp;'管线现金流'!AK2965&amp;"|"&amp;'管线现金流'!I2966&amp;"|"&amp;'管线现金流'!AK2966&amp;"|"&amp;'管线现金流'!I2967&amp;"|"&amp;'管线现金流'!AK2967&amp;"|"&amp;'管线现金流'!I2968&amp;"|"&amp;'管线现金流'!AK2968&amp;"|"&amp;'管线现金流'!I2969&amp;"|"&amp;'管线现金流'!AK2969&amp;"|"&amp;'管线现金流'!I2970&amp;"|"&amp;'管线现金流'!AK2970&amp;"|"&amp;'管线现金流'!I2971&amp;"|"&amp;'管线现金流'!AK2971&amp;"|"&amp;'管线现金流'!I2972&amp;"|"&amp;'管线现金流'!AK2972&amp;"|"&amp;'管线现金流'!I2973&amp;"|"&amp;'管线现金流'!AK2973&amp;"|"&amp;'管线现金流'!I2974&amp;"|"&amp;'管线现金流'!AK2974&amp;"|"&amp;'管线现金流'!I2975&amp;"|"&amp;'管线现金流'!AK2975&amp;"|"&amp;'管线现金流'!I2976&amp;"|"&amp;'管线现金流'!AK2976&amp;"|"&amp;'管线现金流'!I2977&amp;"|"&amp;'管线现金流'!AK2977&amp;"|"&amp;'管线现金流'!I2978&amp;"|"&amp;'管线现金流'!AK2978&amp;"|"&amp;'管线现金流'!I2979&amp;"|"&amp;'管线现金流'!AK2979&amp;"|"&amp;'管线现金流'!I2980&amp;"|"&amp;'管线现金流'!AK2980&amp;"|"&amp;'管线现金流'!I2981&amp;"|"&amp;'管线现金流'!AK2981&amp;"|"&amp;'管线现金流'!I2982&amp;"|"&amp;'管线现金流'!AK2982&amp;"|"&amp;'管线现金流'!I2983&amp;"|"&amp;'管线现金流'!AK2983&amp;"|"&amp;'管线现金流'!I2984&amp;"|"&amp;'管线现金流'!AK2984&amp;"|"&amp;'管线现金流'!I2985&amp;"|"&amp;'管线现金流'!AK2985&amp;"|"&amp;'管线现金流'!I2986&amp;"|"&amp;'管线现金流'!AK2986&amp;"|"&amp;'管线现金流'!I2987&amp;"|"&amp;'管线现金流'!AK2987&amp;"|"&amp;'管线现金流'!I2988&amp;"|"&amp;'管线现金流'!AK2988&amp;"|"&amp;'管线现金流'!I2989&amp;"|"&amp;'管线现金流'!AK2989&amp;"|"&amp;'管线现金流'!I2990&amp;"|"&amp;'管线现金流'!AK2990&amp;"|"&amp;'管线现金流'!I2991&amp;"|"&amp;'管线现金流'!AK2991&amp;"|"&amp;'管线现金流'!I2992&amp;"|"&amp;'管线现金流'!AK2992&amp;"|"&amp;'管线现金流'!I2993&amp;"|"&amp;'管线现金流'!AK2993&amp;"|"&amp;'管线现金流'!I2994&amp;"|"&amp;'管线现金流'!AK2994&amp;"|"&amp;'管线现金流'!I2995&amp;"|"&amp;'管线现金流'!AK2995&amp;"|"&amp;'管线现金流'!I2996&amp;"|"&amp;'管线现金流'!AK2996&amp;"|"&amp;'管线现金流'!I2997&amp;"|"&amp;'管线现金流'!AK2997&amp;"|"&amp;'管线现金流'!I2998&amp;"|"&amp;'管线现金流'!AK2998&amp;"|"&amp;'管线现金流'!I2999&amp;"|"&amp;'管线现金流'!AK2999&amp;"|"&amp;'管线现金流'!I3000&amp;"|"&amp;'管线现金流'!AK3000&amp;"|"&amp;'管线现金流'!I3001&amp;"|"&amp;'管线现金流'!AK3001&amp;"|"&amp;'管线现金流'!I3002&amp;"|"&amp;'管线现金流'!AK3002&amp;"|"&amp;'管线现金流'!I3003&amp;"|"&amp;'管线现金流'!AK3003&amp;"|"&amp;'管线现金流'!I3004&amp;"|"&amp;'管线现金流'!AK3004&amp;"|"&amp;'管线现金流'!I3005&amp;"|"&amp;'管线现金流'!AK3005&amp;"|"&amp;'管线现金流'!I3006&amp;"|"&amp;'管线现金流'!AK3006&amp;"|"&amp;'管线现金流'!I3007&amp;"|"&amp;'管线现金流'!AK3007&amp;"|"&amp;'管线现金流'!I3008&amp;"|"&amp;'管线现金流'!AK3008&amp;"|"&amp;'管线现金流'!I3009&amp;"|"&amp;'管线现金流'!AK3009&amp;"|"&amp;'管线现金流'!I3010&amp;"|"&amp;'管线现金流'!AK3010&amp;"|"&amp;'管线现金流'!I3011&amp;"|"&amp;'管线现金流'!AK3011&amp;"|"&amp;'管线现金流'!I3012&amp;"|"&amp;'管线现金流'!AK3012&amp;"|"&amp;'管线现金流'!I3013&amp;"|"&amp;'管线现金流'!AK3013&amp;"|"&amp;'管线现金流'!I3014&amp;"|"&amp;'管线现金流'!AK3014&amp;"|"&amp;'管线现金流'!I3015&amp;"|"&amp;'管线现金流'!AK3015&amp;"|"&amp;'管线现金流'!I3016&amp;"|"&amp;'管线现金流'!AK3016&amp;"|"&amp;'管线现金流'!I3017&amp;"|"&amp;'管线现金流'!AK3017&amp;"|"&amp;'管线现金流'!I3018&amp;"|"&amp;'管线现金流'!AK3018&amp;"|"&amp;'管线现金流'!I3019&amp;"|"&amp;'管线现金流'!AK3019&amp;"|"&amp;'管线现金流'!I3020&amp;"|"&amp;'管线现金流'!AK3020&amp;"|"&amp;'管线现金流'!I3021&amp;"|"&amp;'管线现金流'!AK3021&amp;"|"&amp;'管线现金流'!I3022&amp;"|"&amp;'管线现金流'!AK3022&amp;"|"&amp;'管线现金流'!I3023&amp;"|"&amp;'管线现金流'!AK3023&amp;"|"&amp;'管线现金流'!I3024&amp;"|"&amp;'管线现金流'!AK3024&amp;"|"&amp;'管线现金流'!I3025&amp;"|"&amp;'管线现金流'!AK3025&amp;"|"&amp;'管线现金流'!I3026&amp;"|"&amp;'管线现金流'!AK3026&amp;"|"&amp;'管线现金流'!I3027&amp;"|"&amp;'管线现金流'!AK3027&amp;"|"&amp;'管线现金流'!I3028&amp;"|"&amp;'管线现金流'!AK3028&amp;"|"&amp;'管线现金流'!I3029&amp;"|"&amp;'管线现金流'!AK3029&amp;"|"&amp;'管线现金流'!I3030&amp;"|"&amp;'管线现金流'!AK3030&amp;"|"&amp;'管线现金流'!I3031&amp;"|"&amp;'管线现金流'!AK3031&amp;"|"&amp;'管线现金流'!I3032&amp;"|"&amp;'管线现金流'!AK3032&amp;"|"&amp;'管线现金流'!I3033&amp;"|"&amp;'管线现金流'!AK3033&amp;"|"&amp;'管线现金流'!I3034&amp;"|"&amp;'管线现金流'!AK3034&amp;"|"&amp;'管线现金流'!I3035&amp;"|"&amp;'管线现金流'!AK3035&amp;"|"&amp;'管线现金流'!I3036&amp;"|"&amp;'管线现金流'!AK3036&amp;"|"&amp;'管线现金流'!I3037&amp;"|"&amp;'管线现金流'!AK3037&amp;"|"&amp;'管线现金流'!I3038&amp;"|"&amp;'管线现金流'!AK3038&amp;"|"&amp;'管线现金流'!I3039&amp;"|"&amp;'管线现金流'!AK3039&amp;"|"&amp;'管线现金流'!I3040&amp;"|"&amp;'管线现金流'!AK3040&amp;"|"&amp;'管线现金流'!I3041&amp;"|"&amp;'管线现金流'!AK3041&amp;"|"&amp;'管线现金流'!I3042&amp;"|"&amp;'管线现金流'!AK3042&amp;"|"&amp;'管线现金流'!I3043&amp;"|"&amp;'管线现金流'!AK3043&amp;"|"&amp;'管线现金流'!I3044&amp;"|"&amp;'管线现金流'!AK3044&amp;"|"&amp;'管线现金流'!I3045&amp;"|"&amp;'管线现金流'!AK3045&amp;"|"&amp;'管线现金流'!I3046&amp;"|"&amp;'管线现金流'!AK3046&amp;"|"&amp;'管线现金流'!I3047&amp;"|"&amp;'管线现金流'!AK3047&amp;"|"&amp;'管线现金流'!I3048&amp;"|"&amp;'管线现金流'!AK3048&amp;"|"&amp;'管线现金流'!I3049&amp;"|"&amp;'管线现金流'!AK3049&amp;"|"&amp;'管线现金流'!I3050&amp;"|"&amp;'管线现金流'!AK3050&amp;"|"&amp;'管线现金流'!I3051&amp;"|"&amp;'管线现金流'!AK3051&amp;"|"&amp;'管线现金流'!I3052&amp;"|"&amp;'管线现金流'!AK3052&amp;"|"&amp;'管线现金流'!I3053&amp;"|"&amp;'管线现金流'!AK3053&amp;"|"&amp;'管线现金流'!I3054&amp;"|"&amp;'管线现金流'!AK3054&amp;"|"&amp;'管线现金流'!I3055&amp;"|"&amp;'管线现金流'!AK3055&amp;"|"&amp;'管线现金流'!I3056&amp;"|"&amp;'管线现金流'!AK3056&amp;"|"&amp;'管线现金流'!I3057&amp;"|"&amp;'管线现金流'!AK3057&amp;"|"&amp;'管线现金流'!I3058&amp;"|"&amp;'管线现金流'!AK3058&amp;"|"&amp;'管线现金流'!I3059&amp;"|"&amp;'管线现金流'!AK3059&amp;"|"&amp;'管线现金流'!I3060&amp;"|"&amp;'管线现金流'!AK3060&amp;"|"&amp;'管线现金流'!I3061&amp;"|"&amp;'管线现金流'!AK3061&amp;"|"&amp;'管线现金流'!I3062&amp;"|"&amp;'管线现金流'!AK3062&amp;"|"&amp;'管线现金流'!I3063&amp;"|"&amp;'管线现金流'!AK3063&amp;"|"&amp;'管线现金流'!I3064&amp;"|"&amp;'管线现金流'!AK3064&amp;"|"&amp;'管线现金流'!I3065&amp;"|"&amp;'管线现金流'!AK3065&amp;"|"&amp;'管线现金流'!I3066&amp;"|"&amp;'管线现金流'!AK3066&amp;"|"&amp;'管线现金流'!I3067&amp;"|"&amp;'管线现金流'!AK3067&amp;"|"&amp;'管线现金流'!I3068&amp;"|"&amp;'管线现金流'!AK3068&amp;"|"&amp;'管线现金流'!I3069&amp;"|"&amp;'管线现金流'!AK3069&amp;"|"&amp;'管线现金流'!I3070&amp;"|"&amp;'管线现金流'!AK3070&amp;"|"&amp;'管线现金流'!I3071&amp;"|"&amp;'管线现金流'!AK3071&amp;"|"&amp;'管线现金流'!I3072&amp;"|"&amp;'管线现金流'!AK3072&amp;"|"&amp;'管线现金流'!I3073&amp;"|"&amp;'管线现金流'!AK3073&amp;"|"&amp;'管线现金流'!I3074&amp;"|"&amp;'管线现金流'!AK3074&amp;"|"&amp;'管线现金流'!I3075&amp;"|"&amp;'管线现金流'!AK3075&amp;"|"&amp;'管线现金流'!I3076&amp;"|"&amp;'管线现金流'!AK3076&amp;"|"&amp;'管线现金流'!I3077&amp;"|"&amp;'管线现金流'!AK3077&amp;"|"&amp;'管线现金流'!I3078&amp;"|"&amp;'管线现金流'!AK3078&amp;"|"&amp;'管线现金流'!I3079&amp;"|"&amp;'管线现金流'!AK3079&amp;"|"&amp;'管线现金流'!I3080&amp;"|"&amp;'管线现金流'!AK3080&amp;"|"&amp;'管线现金流'!I3081&amp;"|"&amp;'管线现金流'!AK3081&amp;"|"&amp;'管线现金流'!I3082&amp;"|"&amp;'管线现金流'!AK3082&amp;"|"&amp;'管线现金流'!I3083&amp;"|"&amp;'管线现金流'!AK3083&amp;"|"&amp;'管线现金流'!I3084&amp;"|"&amp;'管线现金流'!AK3084&amp;"|"&amp;'管线现金流'!I3085&amp;"|"&amp;'管线现金流'!AK3085&amp;"|"&amp;'管线现金流'!I3086&amp;"|"&amp;'管线现金流'!AK3086&amp;"|"&amp;'管线现金流'!I3087&amp;"|"&amp;'管线现金流'!AK3087&amp;"|"&amp;'管线现金流'!I3088&amp;"|"&amp;'管线现金流'!AK3088&amp;"|"&amp;'管线现金流'!I3089&amp;"|"&amp;'管线现金流'!AK3089&amp;"|"&amp;'管线现金流'!I3090&amp;"|"&amp;'管线现金流'!AK3090&amp;"|"&amp;'管线现金流'!I3091&amp;"|"&amp;'管线现金流'!AK3091&amp;"|"&amp;'管线现金流'!I3092&amp;"|"&amp;'管线现金流'!AK3092&amp;"|"&amp;'管线现金流'!I3093&amp;"|"&amp;'管线现金流'!AK3093&amp;"|"&amp;'管线现金流'!I3094&amp;"|"&amp;'管线现金流'!AK3094&amp;"|"&amp;'管线现金流'!I3095&amp;"|"&amp;'管线现金流'!AK3095&amp;"|"&amp;'管线现金流'!I3096&amp;"|"&amp;'管线现金流'!AK3096&amp;"|"&amp;'管线现金流'!I3097&amp;"|"&amp;'管线现金流'!AK3097&amp;"|"&amp;'管线现金流'!I3098&amp;"|"&amp;'管线现金流'!AK3098&amp;"|"&amp;'管线现金流'!I3099&amp;"|"&amp;'管线现金流'!AK3099&amp;"|"&amp;'管线现金流'!I3100&amp;"|"&amp;'管线现金流'!AK3100&amp;"|"&amp;'管线现金流'!I3101&amp;"|"&amp;'管线现金流'!AK3101&amp;"|"&amp;'管线现金流'!I3102&amp;"|"&amp;'管线现金流'!AK3102&amp;"|"&amp;'管线现金流'!I3103&amp;"|"&amp;'管线现金流'!AK3103&amp;"|"&amp;'管线现金流'!I3104&amp;"|"&amp;'管线现金流'!AK3104&amp;"|"&amp;'管线现金流'!I3105&amp;"|"&amp;'管线现金流'!AK3105&amp;"|"&amp;'管线现金流'!I3106&amp;"|"&amp;'管线现金流'!AK3106&amp;"|"&amp;'管线现金流'!I3107&amp;"|"&amp;'管线现金流'!AK3107&amp;"|"&amp;'管线现金流'!I3108&amp;"|"&amp;'管线现金流'!AK3108&amp;"|"&amp;'管线现金流'!I3109&amp;"|"&amp;'管线现金流'!AK3109&amp;"|"&amp;'管线现金流'!I3110&amp;"|"&amp;'管线现金流'!AK3110&amp;"|"&amp;'管线现金流'!I3111&amp;"|"&amp;'管线现金流'!AK3111&amp;"|"&amp;'管线现金流'!I3112&amp;"|"&amp;'管线现金流'!AK3112&amp;"|"&amp;'管线现金流'!I3113&amp;"|"&amp;'管线现金流'!AK3113&amp;"|"&amp;'管线现金流'!I3114&amp;"|"&amp;'管线现金流'!AK3114&amp;"|"&amp;'管线现金流'!I3115&amp;"|"&amp;'管线现金流'!AK3115&amp;"|"&amp;'管线现金流'!I3116&amp;"|"&amp;'管线现金流'!AK3116&amp;"|"&amp;'管线现金流'!I3117&amp;"|"&amp;'管线现金流'!AK3117&amp;"|"&amp;'管线现金流'!I3118&amp;"|"&amp;'管线现金流'!AK3118&amp;"|"&amp;'管线现金流'!I3119&amp;"|"&amp;'管线现金流'!AK3119&amp;"|"&amp;'管线现金流'!I3120&amp;"|"&amp;'管线现金流'!AK3120&amp;"|"&amp;'管线现金流'!I3121&amp;"|"&amp;'管线现金流'!AK3121&amp;"|"&amp;'管线现金流'!I3122&amp;"|"&amp;'管线现金流'!AK3122&amp;"|"&amp;'管线现金流'!I3123&amp;"|"&amp;'管线现金流'!AK3123&amp;"|"&amp;'管线现金流'!I3124&amp;"|"&amp;'管线现金流'!AK3124&amp;"|"&amp;'管线现金流'!I3125&amp;"|"&amp;'管线现金流'!AK3125&amp;"|"&amp;'管线现金流'!I3126&amp;"|"&amp;'管线现金流'!AK3126&amp;"|"&amp;'管线现金流'!I3127&amp;"|"&amp;'管线现金流'!AK3127&amp;"|"&amp;'管线现金流'!I3128&amp;"|"&amp;'管线现金流'!AK3128&amp;"|"&amp;'管线现金流'!I3129&amp;"|"&amp;'管线现金流'!AK3129&amp;"|"&amp;'管线现金流'!I3130&amp;"|"&amp;'管线现金流'!AK3130&amp;"|"&amp;'管线现金流'!I3131&amp;"|"&amp;'管线现金流'!AK3131&amp;"|"&amp;'管线现金流'!I3132&amp;"|"&amp;'管线现金流'!AK3132&amp;"|"&amp;'管线现金流'!I3133&amp;"|"&amp;'管线现金流'!AK3133&amp;"|"&amp;'管线现金流'!I3134&amp;"|"&amp;'管线现金流'!AK3134&amp;"|"&amp;'管线现金流'!I3135&amp;"|"&amp;'管线现金流'!AK3135&amp;"|"&amp;'管线现金流'!I3136&amp;"|"&amp;'管线现金流'!AK3136&amp;"|"&amp;'管线现金流'!I3137&amp;"|"&amp;'管线现金流'!AK3137&amp;"|"&amp;'管线现金流'!I3138&amp;"|"&amp;'管线现金流'!AK3138&amp;"|"&amp;'管线现金流'!I3139&amp;"|"&amp;'管线现金流'!AK3139&amp;"|"&amp;'管线现金流'!I3140&amp;"|"&amp;'管线现金流'!AK3140&amp;"|"&amp;'管线现金流'!I3141&amp;"|"&amp;'管线现金流'!AK3141&amp;"|"&amp;'管线现金流'!I3142&amp;"|"&amp;'管线现金流'!AK3142&amp;"|"&amp;'管线现金流'!I3143&amp;"|"&amp;'管线现金流'!AK3143&amp;"|"&amp;'管线现金流'!I3144&amp;"|"&amp;'管线现金流'!AK3144&amp;"|"&amp;'管线现金流'!I3145&amp;"|"&amp;'管线现金流'!AK3145&amp;"|"&amp;'管线现金流'!I3146&amp;"|"&amp;'管线现金流'!AK3146&amp;"|"&amp;'管线现金流'!I3147&amp;"|"&amp;'管线现金流'!AK3147&amp;"|"&amp;'管线现金流'!I3148&amp;"|"&amp;'管线现金流'!AK3148&amp;"|"&amp;'管线现金流'!I3149&amp;"|"&amp;'管线现金流'!AK3149&amp;"|"&amp;'管线现金流'!I3150&amp;"|"&amp;'管线现金流'!AK3150&amp;"|"&amp;'管线现金流'!I3151&amp;"|"&amp;'管线现金流'!AK3151&amp;"|"&amp;'管线现金流'!V31&amp;"|"&amp;'管线现金流'!Y31&amp;"|"&amp;'管线现金流'!AP31&amp;"|"&amp;'管线现金流'!AS31&amp;"|"&amp;'管线现金流'!V32&amp;"|"&amp;'管线现金流'!Y32&amp;"|"&amp;'管线现金流'!AP32&amp;"|"&amp;'管线现金流'!AS32</x:f>
        <x:v>0.9|0.9|1.4|1|0.0756|1|0.135|6.8|1|0.08200000000000002|1|0.135|6.8|0.5216|0.08200000000000002|1|0.135|6.8|0.3284|0.08200000000000002|1|0.135|6.8|0.29159999999999997|0.08200000000000002|1|0.135|6.8|0.6504|0.28|1|0.135|6.8|0.3376|0.28|1|0.135|6.8|0.24559999999999993|0.28|1|0.135|6.8|0.356|0.28|1|0.135|6.8|0.21799999999999997|0.28|1|0.135|6.8|0.4019999999999999|0.08200000000000002|1|0.135|6.8|0.54|0.28|1|0.135|6.8|0.24559999999999993|0.2|1|0.135|6.8|0.4296|0.28|1|0.135|6.8|0.30999999999999994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</x:row>
    <x:row r="345" ht="23" customHeight="1">
      <x:c r="A345" s="11" t="str">
        <x:v>688382.SH</x:v>
      </x:c>
      <x:c r="B345" s="11" t="str">
        <x:v>益方生物</x:v>
      </x:c>
      <x:c r="C345" s="11" t="str">
        <x:v>一年</x:v>
      </x:c>
      <x:c r="D345" s="11" t="str">
        <x:v>乐观</x:v>
      </x:c>
      <x:c r="E345" s="11" t="n">
        <x:v>17.26</x:v>
      </x:c>
      <x:c r="F345" s="11" t="n">
        <x:v>47.41400987698288</x:v>
      </x:c>
      <x:c r="G345" s="11" t="n">
        <x:v>0</x:v>
      </x:c>
      <x:c r="H345" s="25" t="n">
        <x:v>1.7470457634404912</x:v>
      </x:c>
      <x:c r="I345" s="25" t="n">
        <x:v>1.7470457634404912</x:v>
      </x:c>
      <x:c r="J345" s="25" t="str"/>
      <x:c r="K345" s="11" t="n">
        <x:v>0</x:v>
      </x:c>
      <x:c r="L345" s="11" t="n">
        <x:v>0</x:v>
      </x:c>
      <x:c r="M345" s="11" t="n">
        <x:v>1</x:v>
      </x:c>
      <x:c r="N345" s="11" t="n">
        <x:v>0</x:v>
      </x:c>
      <x:c r="O345" s="11" t="n">
        <x:v>0</x:v>
      </x:c>
      <x:c r="P345" s="11" t="n">
        <x:v>0</x:v>
      </x:c>
      <x:c r="Q345" s="11" t="n">
        <x:v>0.605</x:v>
      </x:c>
      <x:c r="R345" s="11" t="str">
        <x:v>inventis-rnpv-v1.0</x:v>
      </x:c>
      <x:c r="S345" s="11" t="str">
        <x:v>2026-10-10</x:v>
      </x:c>
      <x:c r="T345" s="11" t="str">
        <x:f>IF(AND(SUM(IF(K345='假设'!E458,0,1),IF(L345='假设'!F458,0,1),IF(M345='假设'!G458,0,1),IF(N345='假设'!H458,0,1),IF(O345='假设'!I458,0,1),IF(P345='假设'!J458,0,1),IF(Q345='假设'!K458,0,1))=0,U345=V345),"已刷新","待刷新")</x:f>
        <x:v>已刷新</x:v>
      </x:c>
      <x:c r="U345" t="str">
        <x:v>1|1.3|1.5|1|0.0935|1|0.105|6.8|1|0.1105|1|0.105|6.8|0.745|0.1105|1|0.105|6.8|0.575|0.1105|1|0.105|6.8|0.5325|0.1105|1|0.105|6.8|0.847|0.36|1|0.105|6.8|0.575|0.36|1|0.105|6.8|0.473|0.36|1|0.105|6.8|0.6175|0.36|1|0.105|6.8|0.43900000000000006|0.36|1|0.105|6.8|0.6599999999999999|0.1105|1|0.105|6.8|0.7875|0.36|1|0.105|6.8|0.49|0.28|1|0.105|6.8|0.677|0.36|1|0.105|6.8|0.558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  <x:c r="V345" t="str">
        <x:f>'假设'!U458&amp;"|"&amp;'假设'!N458&amp;"|"&amp;'假设'!Q458&amp;"|"&amp;'管线假设'!E630&amp;"|"&amp;'管线假设'!F630&amp;"|"&amp;'管线假设'!G630&amp;"|"&amp;'管线假设'!H630&amp;"|"&amp;'管线假设'!I630&amp;"|"&amp;'管线假设'!E634&amp;"|"&amp;'管线假设'!F634&amp;"|"&amp;'管线假设'!G634&amp;"|"&amp;'管线假设'!H634&amp;"|"&amp;'管线假设'!I634&amp;"|"&amp;'管线假设'!E638&amp;"|"&amp;'管线假设'!F638&amp;"|"&amp;'管线假设'!G638&amp;"|"&amp;'管线假设'!H638&amp;"|"&amp;'管线假设'!I638&amp;"|"&amp;'管线假设'!E642&amp;"|"&amp;'管线假设'!F642&amp;"|"&amp;'管线假设'!G642&amp;"|"&amp;'管线假设'!H642&amp;"|"&amp;'管线假设'!I642&amp;"|"&amp;'管线假设'!E646&amp;"|"&amp;'管线假设'!F646&amp;"|"&amp;'管线假设'!G646&amp;"|"&amp;'管线假设'!H646&amp;"|"&amp;'管线假设'!I646&amp;"|"&amp;'管线假设'!E650&amp;"|"&amp;'管线假设'!F650&amp;"|"&amp;'管线假设'!G650&amp;"|"&amp;'管线假设'!H650&amp;"|"&amp;'管线假设'!I650&amp;"|"&amp;'管线假设'!E654&amp;"|"&amp;'管线假设'!F654&amp;"|"&amp;'管线假设'!G654&amp;"|"&amp;'管线假设'!H654&amp;"|"&amp;'管线假设'!I654&amp;"|"&amp;'管线假设'!E658&amp;"|"&amp;'管线假设'!F658&amp;"|"&amp;'管线假设'!G658&amp;"|"&amp;'管线假设'!H658&amp;"|"&amp;'管线假设'!I658&amp;"|"&amp;'管线假设'!E662&amp;"|"&amp;'管线假设'!F662&amp;"|"&amp;'管线假设'!G662&amp;"|"&amp;'管线假设'!H662&amp;"|"&amp;'管线假设'!I662&amp;"|"&amp;'管线假设'!E666&amp;"|"&amp;'管线假设'!F666&amp;"|"&amp;'管线假设'!G666&amp;"|"&amp;'管线假设'!H666&amp;"|"&amp;'管线假设'!I666&amp;"|"&amp;'管线假设'!E670&amp;"|"&amp;'管线假设'!F670&amp;"|"&amp;'管线假设'!G670&amp;"|"&amp;'管线假设'!H670&amp;"|"&amp;'管线假设'!I670&amp;"|"&amp;'管线假设'!E674&amp;"|"&amp;'管线假设'!F674&amp;"|"&amp;'管线假设'!G674&amp;"|"&amp;'管线假设'!H674&amp;"|"&amp;'管线假设'!I674&amp;"|"&amp;'管线假设'!E678&amp;"|"&amp;'管线假设'!F678&amp;"|"&amp;'管线假设'!G678&amp;"|"&amp;'管线假设'!H678&amp;"|"&amp;'管线假设'!I678&amp;"|"&amp;'管线假设'!E682&amp;"|"&amp;'管线假设'!F682&amp;"|"&amp;'管线假设'!G682&amp;"|"&amp;'管线假设'!H682&amp;"|"&amp;'管线假设'!I682&amp;"|"&amp;'管线假设'!E686&amp;"|"&amp;'管线假设'!F686&amp;"|"&amp;'管线假设'!G686&amp;"|"&amp;'管线假设'!H686&amp;"|"&amp;'管线假设'!I686&amp;"|"&amp;'管线现金流'!J2867&amp;"|"&amp;'管线现金流'!AL2867&amp;"|"&amp;'管线现金流'!J2868&amp;"|"&amp;'管线现金流'!AL2868&amp;"|"&amp;'管线现金流'!J2869&amp;"|"&amp;'管线现金流'!AL2869&amp;"|"&amp;'管线现金流'!J2870&amp;"|"&amp;'管线现金流'!AL2870&amp;"|"&amp;'管线现金流'!J2871&amp;"|"&amp;'管线现金流'!AL2871&amp;"|"&amp;'管线现金流'!J2872&amp;"|"&amp;'管线现金流'!AL2872&amp;"|"&amp;'管线现金流'!J2873&amp;"|"&amp;'管线现金流'!AL2873&amp;"|"&amp;'管线现金流'!J2874&amp;"|"&amp;'管线现金流'!AL2874&amp;"|"&amp;'管线现金流'!J2875&amp;"|"&amp;'管线现金流'!AL2875&amp;"|"&amp;'管线现金流'!J2876&amp;"|"&amp;'管线现金流'!AL2876&amp;"|"&amp;'管线现金流'!J2877&amp;"|"&amp;'管线现金流'!AL2877&amp;"|"&amp;'管线现金流'!J2878&amp;"|"&amp;'管线现金流'!AL2878&amp;"|"&amp;'管线现金流'!J2879&amp;"|"&amp;'管线现金流'!AL2879&amp;"|"&amp;'管线现金流'!J2880&amp;"|"&amp;'管线现金流'!AL2880&amp;"|"&amp;'管线现金流'!J2881&amp;"|"&amp;'管线现金流'!AL2881&amp;"|"&amp;'管线现金流'!J2882&amp;"|"&amp;'管线现金流'!AL2882&amp;"|"&amp;'管线现金流'!J2883&amp;"|"&amp;'管线现金流'!AL2883&amp;"|"&amp;'管线现金流'!J2884&amp;"|"&amp;'管线现金流'!AL2884&amp;"|"&amp;'管线现金流'!J2885&amp;"|"&amp;'管线现金流'!AL2885&amp;"|"&amp;'管线现金流'!J2886&amp;"|"&amp;'管线现金流'!AL2886&amp;"|"&amp;'管线现金流'!J2887&amp;"|"&amp;'管线现金流'!AL2887&amp;"|"&amp;'管线现金流'!J2888&amp;"|"&amp;'管线现金流'!AL2888&amp;"|"&amp;'管线现金流'!J2889&amp;"|"&amp;'管线现金流'!AL2889&amp;"|"&amp;'管线现金流'!J2890&amp;"|"&amp;'管线现金流'!AL2890&amp;"|"&amp;'管线现金流'!J2891&amp;"|"&amp;'管线现金流'!AL2891&amp;"|"&amp;'管线现金流'!J2892&amp;"|"&amp;'管线现金流'!AL2892&amp;"|"&amp;'管线现金流'!J2893&amp;"|"&amp;'管线现金流'!AL2893&amp;"|"&amp;'管线现金流'!J2894&amp;"|"&amp;'管线现金流'!AL2894&amp;"|"&amp;'管线现金流'!J2895&amp;"|"&amp;'管线现金流'!AL2895&amp;"|"&amp;'管线现金流'!J2896&amp;"|"&amp;'管线现金流'!AL2896&amp;"|"&amp;'管线现金流'!J2897&amp;"|"&amp;'管线现金流'!AL2897&amp;"|"&amp;'管线现金流'!J2898&amp;"|"&amp;'管线现金流'!AL2898&amp;"|"&amp;'管线现金流'!J2899&amp;"|"&amp;'管线现金流'!AL2899&amp;"|"&amp;'管线现金流'!J2900&amp;"|"&amp;'管线现金流'!AL2900&amp;"|"&amp;'管线现金流'!J2901&amp;"|"&amp;'管线现金流'!AL2901&amp;"|"&amp;'管线现金流'!J2902&amp;"|"&amp;'管线现金流'!AL2902&amp;"|"&amp;'管线现金流'!J2903&amp;"|"&amp;'管线现金流'!AL2903&amp;"|"&amp;'管线现金流'!J2904&amp;"|"&amp;'管线现金流'!AL2904&amp;"|"&amp;'管线现金流'!J2905&amp;"|"&amp;'管线现金流'!AL2905&amp;"|"&amp;'管线现金流'!J2906&amp;"|"&amp;'管线现金流'!AL2906&amp;"|"&amp;'管线现金流'!J2907&amp;"|"&amp;'管线现金流'!AL2907&amp;"|"&amp;'管线现金流'!J2908&amp;"|"&amp;'管线现金流'!AL2908&amp;"|"&amp;'管线现金流'!J2909&amp;"|"&amp;'管线现金流'!AL2909&amp;"|"&amp;'管线现金流'!J2910&amp;"|"&amp;'管线现金流'!AL2910&amp;"|"&amp;'管线现金流'!J2911&amp;"|"&amp;'管线现金流'!AL2911&amp;"|"&amp;'管线现金流'!J2912&amp;"|"&amp;'管线现金流'!AL2912&amp;"|"&amp;'管线现金流'!J2913&amp;"|"&amp;'管线现金流'!AL2913&amp;"|"&amp;'管线现金流'!J2914&amp;"|"&amp;'管线现金流'!AL2914&amp;"|"&amp;'管线现金流'!J2915&amp;"|"&amp;'管线现金流'!AL2915&amp;"|"&amp;'管线现金流'!J2916&amp;"|"&amp;'管线现金流'!AL2916&amp;"|"&amp;'管线现金流'!J2917&amp;"|"&amp;'管线现金流'!AL2917&amp;"|"&amp;'管线现金流'!J2918&amp;"|"&amp;'管线现金流'!AL2918&amp;"|"&amp;'管线现金流'!J2919&amp;"|"&amp;'管线现金流'!AL2919&amp;"|"&amp;'管线现金流'!J2920&amp;"|"&amp;'管线现金流'!AL2920&amp;"|"&amp;'管线现金流'!J2921&amp;"|"&amp;'管线现金流'!AL2921&amp;"|"&amp;'管线现金流'!J2922&amp;"|"&amp;'管线现金流'!AL2922&amp;"|"&amp;'管线现金流'!J2923&amp;"|"&amp;'管线现金流'!AL2923&amp;"|"&amp;'管线现金流'!J2924&amp;"|"&amp;'管线现金流'!AL2924&amp;"|"&amp;'管线现金流'!J2925&amp;"|"&amp;'管线现金流'!AL2925&amp;"|"&amp;'管线现金流'!J2926&amp;"|"&amp;'管线现金流'!AL2926&amp;"|"&amp;'管线现金流'!J2927&amp;"|"&amp;'管线现金流'!AL2927&amp;"|"&amp;'管线现金流'!J2928&amp;"|"&amp;'管线现金流'!AL2928&amp;"|"&amp;'管线现金流'!J2929&amp;"|"&amp;'管线现金流'!AL2929&amp;"|"&amp;'管线现金流'!J2930&amp;"|"&amp;'管线现金流'!AL2930&amp;"|"&amp;'管线现金流'!J2931&amp;"|"&amp;'管线现金流'!AL2931&amp;"|"&amp;'管线现金流'!J2932&amp;"|"&amp;'管线现金流'!AL2932&amp;"|"&amp;'管线现金流'!J2933&amp;"|"&amp;'管线现金流'!AL2933&amp;"|"&amp;'管线现金流'!J2934&amp;"|"&amp;'管线现金流'!AL2934&amp;"|"&amp;'管线现金流'!J2935&amp;"|"&amp;'管线现金流'!AL2935&amp;"|"&amp;'管线现金流'!J2936&amp;"|"&amp;'管线现金流'!AL2936&amp;"|"&amp;'管线现金流'!J2937&amp;"|"&amp;'管线现金流'!AL2937&amp;"|"&amp;'管线现金流'!J2938&amp;"|"&amp;'管线现金流'!AL2938&amp;"|"&amp;'管线现金流'!J2939&amp;"|"&amp;'管线现金流'!AL2939&amp;"|"&amp;'管线现金流'!J2940&amp;"|"&amp;'管线现金流'!AL2940&amp;"|"&amp;'管线现金流'!J2941&amp;"|"&amp;'管线现金流'!AL2941&amp;"|"&amp;'管线现金流'!J2942&amp;"|"&amp;'管线现金流'!AL2942&amp;"|"&amp;'管线现金流'!J2943&amp;"|"&amp;'管线现金流'!AL2943&amp;"|"&amp;'管线现金流'!J2944&amp;"|"&amp;'管线现金流'!AL2944&amp;"|"&amp;'管线现金流'!J2945&amp;"|"&amp;'管线现金流'!AL2945&amp;"|"&amp;'管线现金流'!J2946&amp;"|"&amp;'管线现金流'!AL2946&amp;"|"&amp;'管线现金流'!J2947&amp;"|"&amp;'管线现金流'!AL2947&amp;"|"&amp;'管线现金流'!J2948&amp;"|"&amp;'管线现金流'!AL2948&amp;"|"&amp;'管线现金流'!J2949&amp;"|"&amp;'管线现金流'!AL2949&amp;"|"&amp;'管线现金流'!J2950&amp;"|"&amp;'管线现金流'!AL2950&amp;"|"&amp;'管线现金流'!J2951&amp;"|"&amp;'管线现金流'!AL2951&amp;"|"&amp;'管线现金流'!J2952&amp;"|"&amp;'管线现金流'!AL2952&amp;"|"&amp;'管线现金流'!J2953&amp;"|"&amp;'管线现金流'!AL2953&amp;"|"&amp;'管线现金流'!J2954&amp;"|"&amp;'管线现金流'!AL2954&amp;"|"&amp;'管线现金流'!J2955&amp;"|"&amp;'管线现金流'!AL2955&amp;"|"&amp;'管线现金流'!J2956&amp;"|"&amp;'管线现金流'!AL2956&amp;"|"&amp;'管线现金流'!J2957&amp;"|"&amp;'管线现金流'!AL2957&amp;"|"&amp;'管线现金流'!J2958&amp;"|"&amp;'管线现金流'!AL2958&amp;"|"&amp;'管线现金流'!J2959&amp;"|"&amp;'管线现金流'!AL2959&amp;"|"&amp;'管线现金流'!J2960&amp;"|"&amp;'管线现金流'!AL2960&amp;"|"&amp;'管线现金流'!J2961&amp;"|"&amp;'管线现金流'!AL2961&amp;"|"&amp;'管线现金流'!J2962&amp;"|"&amp;'管线现金流'!AL2962&amp;"|"&amp;'管线现金流'!J2963&amp;"|"&amp;'管线现金流'!AL2963&amp;"|"&amp;'管线现金流'!J2964&amp;"|"&amp;'管线现金流'!AL2964&amp;"|"&amp;'管线现金流'!J2965&amp;"|"&amp;'管线现金流'!AL2965&amp;"|"&amp;'管线现金流'!J2966&amp;"|"&amp;'管线现金流'!AL2966&amp;"|"&amp;'管线现金流'!J2967&amp;"|"&amp;'管线现金流'!AL2967&amp;"|"&amp;'管线现金流'!J2968&amp;"|"&amp;'管线现金流'!AL2968&amp;"|"&amp;'管线现金流'!J2969&amp;"|"&amp;'管线现金流'!AL2969&amp;"|"&amp;'管线现金流'!J2970&amp;"|"&amp;'管线现金流'!AL2970&amp;"|"&amp;'管线现金流'!J2971&amp;"|"&amp;'管线现金流'!AL2971&amp;"|"&amp;'管线现金流'!J2972&amp;"|"&amp;'管线现金流'!AL2972&amp;"|"&amp;'管线现金流'!J2973&amp;"|"&amp;'管线现金流'!AL2973&amp;"|"&amp;'管线现金流'!J2974&amp;"|"&amp;'管线现金流'!AL2974&amp;"|"&amp;'管线现金流'!J2975&amp;"|"&amp;'管线现金流'!AL2975&amp;"|"&amp;'管线现金流'!J2976&amp;"|"&amp;'管线现金流'!AL2976&amp;"|"&amp;'管线现金流'!J2977&amp;"|"&amp;'管线现金流'!AL2977&amp;"|"&amp;'管线现金流'!J2978&amp;"|"&amp;'管线现金流'!AL2978&amp;"|"&amp;'管线现金流'!J2979&amp;"|"&amp;'管线现金流'!AL2979&amp;"|"&amp;'管线现金流'!J2980&amp;"|"&amp;'管线现金流'!AL2980&amp;"|"&amp;'管线现金流'!J2981&amp;"|"&amp;'管线现金流'!AL2981&amp;"|"&amp;'管线现金流'!J2982&amp;"|"&amp;'管线现金流'!AL2982&amp;"|"&amp;'管线现金流'!J2983&amp;"|"&amp;'管线现金流'!AL2983&amp;"|"&amp;'管线现金流'!J2984&amp;"|"&amp;'管线现金流'!AL2984&amp;"|"&amp;'管线现金流'!J2985&amp;"|"&amp;'管线现金流'!AL2985&amp;"|"&amp;'管线现金流'!J2986&amp;"|"&amp;'管线现金流'!AL2986&amp;"|"&amp;'管线现金流'!J2987&amp;"|"&amp;'管线现金流'!AL2987&amp;"|"&amp;'管线现金流'!J2988&amp;"|"&amp;'管线现金流'!AL2988&amp;"|"&amp;'管线现金流'!J2989&amp;"|"&amp;'管线现金流'!AL2989&amp;"|"&amp;'管线现金流'!J2990&amp;"|"&amp;'管线现金流'!AL2990&amp;"|"&amp;'管线现金流'!J2991&amp;"|"&amp;'管线现金流'!AL2991&amp;"|"&amp;'管线现金流'!J2992&amp;"|"&amp;'管线现金流'!AL2992&amp;"|"&amp;'管线现金流'!J2993&amp;"|"&amp;'管线现金流'!AL2993&amp;"|"&amp;'管线现金流'!J2994&amp;"|"&amp;'管线现金流'!AL2994&amp;"|"&amp;'管线现金流'!J2995&amp;"|"&amp;'管线现金流'!AL2995&amp;"|"&amp;'管线现金流'!J2996&amp;"|"&amp;'管线现金流'!AL2996&amp;"|"&amp;'管线现金流'!J2997&amp;"|"&amp;'管线现金流'!AL2997&amp;"|"&amp;'管线现金流'!J2998&amp;"|"&amp;'管线现金流'!AL2998&amp;"|"&amp;'管线现金流'!J2999&amp;"|"&amp;'管线现金流'!AL2999&amp;"|"&amp;'管线现金流'!J3000&amp;"|"&amp;'管线现金流'!AL3000&amp;"|"&amp;'管线现金流'!J3001&amp;"|"&amp;'管线现金流'!AL3001&amp;"|"&amp;'管线现金流'!J3002&amp;"|"&amp;'管线现金流'!AL3002&amp;"|"&amp;'管线现金流'!J3003&amp;"|"&amp;'管线现金流'!AL3003&amp;"|"&amp;'管线现金流'!J3004&amp;"|"&amp;'管线现金流'!AL3004&amp;"|"&amp;'管线现金流'!J3005&amp;"|"&amp;'管线现金流'!AL3005&amp;"|"&amp;'管线现金流'!J3006&amp;"|"&amp;'管线现金流'!AL3006&amp;"|"&amp;'管线现金流'!J3007&amp;"|"&amp;'管线现金流'!AL3007&amp;"|"&amp;'管线现金流'!J3008&amp;"|"&amp;'管线现金流'!AL3008&amp;"|"&amp;'管线现金流'!J3009&amp;"|"&amp;'管线现金流'!AL3009&amp;"|"&amp;'管线现金流'!J3010&amp;"|"&amp;'管线现金流'!AL3010&amp;"|"&amp;'管线现金流'!J3011&amp;"|"&amp;'管线现金流'!AL3011&amp;"|"&amp;'管线现金流'!J3012&amp;"|"&amp;'管线现金流'!AL3012&amp;"|"&amp;'管线现金流'!J3013&amp;"|"&amp;'管线现金流'!AL3013&amp;"|"&amp;'管线现金流'!J3014&amp;"|"&amp;'管线现金流'!AL3014&amp;"|"&amp;'管线现金流'!J3015&amp;"|"&amp;'管线现金流'!AL3015&amp;"|"&amp;'管线现金流'!J3016&amp;"|"&amp;'管线现金流'!AL3016&amp;"|"&amp;'管线现金流'!J3017&amp;"|"&amp;'管线现金流'!AL3017&amp;"|"&amp;'管线现金流'!J3018&amp;"|"&amp;'管线现金流'!AL3018&amp;"|"&amp;'管线现金流'!J3019&amp;"|"&amp;'管线现金流'!AL3019&amp;"|"&amp;'管线现金流'!J3020&amp;"|"&amp;'管线现金流'!AL3020&amp;"|"&amp;'管线现金流'!J3021&amp;"|"&amp;'管线现金流'!AL3021&amp;"|"&amp;'管线现金流'!J3022&amp;"|"&amp;'管线现金流'!AL3022&amp;"|"&amp;'管线现金流'!J3023&amp;"|"&amp;'管线现金流'!AL3023&amp;"|"&amp;'管线现金流'!J3024&amp;"|"&amp;'管线现金流'!AL3024&amp;"|"&amp;'管线现金流'!J3025&amp;"|"&amp;'管线现金流'!AL3025&amp;"|"&amp;'管线现金流'!J3026&amp;"|"&amp;'管线现金流'!AL3026&amp;"|"&amp;'管线现金流'!J3027&amp;"|"&amp;'管线现金流'!AL3027&amp;"|"&amp;'管线现金流'!J3028&amp;"|"&amp;'管线现金流'!AL3028&amp;"|"&amp;'管线现金流'!J3029&amp;"|"&amp;'管线现金流'!AL3029&amp;"|"&amp;'管线现金流'!J3030&amp;"|"&amp;'管线现金流'!AL3030&amp;"|"&amp;'管线现金流'!J3031&amp;"|"&amp;'管线现金流'!AL3031&amp;"|"&amp;'管线现金流'!J3032&amp;"|"&amp;'管线现金流'!AL3032&amp;"|"&amp;'管线现金流'!J3033&amp;"|"&amp;'管线现金流'!AL3033&amp;"|"&amp;'管线现金流'!J3034&amp;"|"&amp;'管线现金流'!AL3034&amp;"|"&amp;'管线现金流'!J3035&amp;"|"&amp;'管线现金流'!AL3035&amp;"|"&amp;'管线现金流'!J3036&amp;"|"&amp;'管线现金流'!AL3036&amp;"|"&amp;'管线现金流'!J3037&amp;"|"&amp;'管线现金流'!AL3037&amp;"|"&amp;'管线现金流'!J3038&amp;"|"&amp;'管线现金流'!AL3038&amp;"|"&amp;'管线现金流'!J3039&amp;"|"&amp;'管线现金流'!AL3039&amp;"|"&amp;'管线现金流'!J3040&amp;"|"&amp;'管线现金流'!AL3040&amp;"|"&amp;'管线现金流'!J3041&amp;"|"&amp;'管线现金流'!AL3041&amp;"|"&amp;'管线现金流'!J3042&amp;"|"&amp;'管线现金流'!AL3042&amp;"|"&amp;'管线现金流'!J3043&amp;"|"&amp;'管线现金流'!AL3043&amp;"|"&amp;'管线现金流'!J3044&amp;"|"&amp;'管线现金流'!AL3044&amp;"|"&amp;'管线现金流'!J3045&amp;"|"&amp;'管线现金流'!AL3045&amp;"|"&amp;'管线现金流'!J3046&amp;"|"&amp;'管线现金流'!AL3046&amp;"|"&amp;'管线现金流'!J3047&amp;"|"&amp;'管线现金流'!AL3047&amp;"|"&amp;'管线现金流'!J3048&amp;"|"&amp;'管线现金流'!AL3048&amp;"|"&amp;'管线现金流'!J3049&amp;"|"&amp;'管线现金流'!AL3049&amp;"|"&amp;'管线现金流'!J3050&amp;"|"&amp;'管线现金流'!AL3050&amp;"|"&amp;'管线现金流'!J3051&amp;"|"&amp;'管线现金流'!AL3051&amp;"|"&amp;'管线现金流'!J3052&amp;"|"&amp;'管线现金流'!AL3052&amp;"|"&amp;'管线现金流'!J3053&amp;"|"&amp;'管线现金流'!AL3053&amp;"|"&amp;'管线现金流'!J3054&amp;"|"&amp;'管线现金流'!AL3054&amp;"|"&amp;'管线现金流'!J3055&amp;"|"&amp;'管线现金流'!AL3055&amp;"|"&amp;'管线现金流'!J3056&amp;"|"&amp;'管线现金流'!AL3056&amp;"|"&amp;'管线现金流'!J3057&amp;"|"&amp;'管线现金流'!AL3057&amp;"|"&amp;'管线现金流'!J3058&amp;"|"&amp;'管线现金流'!AL3058&amp;"|"&amp;'管线现金流'!J3059&amp;"|"&amp;'管线现金流'!AL3059&amp;"|"&amp;'管线现金流'!J3060&amp;"|"&amp;'管线现金流'!AL3060&amp;"|"&amp;'管线现金流'!J3061&amp;"|"&amp;'管线现金流'!AL3061&amp;"|"&amp;'管线现金流'!J3062&amp;"|"&amp;'管线现金流'!AL3062&amp;"|"&amp;'管线现金流'!J3063&amp;"|"&amp;'管线现金流'!AL3063&amp;"|"&amp;'管线现金流'!J3064&amp;"|"&amp;'管线现金流'!AL3064&amp;"|"&amp;'管线现金流'!J3065&amp;"|"&amp;'管线现金流'!AL3065&amp;"|"&amp;'管线现金流'!J3066&amp;"|"&amp;'管线现金流'!AL3066&amp;"|"&amp;'管线现金流'!J3067&amp;"|"&amp;'管线现金流'!AL3067&amp;"|"&amp;'管线现金流'!J3068&amp;"|"&amp;'管线现金流'!AL3068&amp;"|"&amp;'管线现金流'!J3069&amp;"|"&amp;'管线现金流'!AL3069&amp;"|"&amp;'管线现金流'!J3070&amp;"|"&amp;'管线现金流'!AL3070&amp;"|"&amp;'管线现金流'!J3071&amp;"|"&amp;'管线现金流'!AL3071&amp;"|"&amp;'管线现金流'!J3072&amp;"|"&amp;'管线现金流'!AL3072&amp;"|"&amp;'管线现金流'!J3073&amp;"|"&amp;'管线现金流'!AL3073&amp;"|"&amp;'管线现金流'!J3074&amp;"|"&amp;'管线现金流'!AL3074&amp;"|"&amp;'管线现金流'!J3075&amp;"|"&amp;'管线现金流'!AL3075&amp;"|"&amp;'管线现金流'!J3076&amp;"|"&amp;'管线现金流'!AL3076&amp;"|"&amp;'管线现金流'!J3077&amp;"|"&amp;'管线现金流'!AL3077&amp;"|"&amp;'管线现金流'!J3078&amp;"|"&amp;'管线现金流'!AL3078&amp;"|"&amp;'管线现金流'!J3079&amp;"|"&amp;'管线现金流'!AL3079&amp;"|"&amp;'管线现金流'!J3080&amp;"|"&amp;'管线现金流'!AL3080&amp;"|"&amp;'管线现金流'!J3081&amp;"|"&amp;'管线现金流'!AL3081&amp;"|"&amp;'管线现金流'!J3082&amp;"|"&amp;'管线现金流'!AL3082&amp;"|"&amp;'管线现金流'!J3083&amp;"|"&amp;'管线现金流'!AL3083&amp;"|"&amp;'管线现金流'!J3084&amp;"|"&amp;'管线现金流'!AL3084&amp;"|"&amp;'管线现金流'!J3085&amp;"|"&amp;'管线现金流'!AL3085&amp;"|"&amp;'管线现金流'!J3086&amp;"|"&amp;'管线现金流'!AL3086&amp;"|"&amp;'管线现金流'!J3087&amp;"|"&amp;'管线现金流'!AL3087&amp;"|"&amp;'管线现金流'!J3088&amp;"|"&amp;'管线现金流'!AL3088&amp;"|"&amp;'管线现金流'!J3089&amp;"|"&amp;'管线现金流'!AL3089&amp;"|"&amp;'管线现金流'!J3090&amp;"|"&amp;'管线现金流'!AL3090&amp;"|"&amp;'管线现金流'!J3091&amp;"|"&amp;'管线现金流'!AL3091&amp;"|"&amp;'管线现金流'!J3092&amp;"|"&amp;'管线现金流'!AL3092&amp;"|"&amp;'管线现金流'!J3093&amp;"|"&amp;'管线现金流'!AL3093&amp;"|"&amp;'管线现金流'!J3094&amp;"|"&amp;'管线现金流'!AL3094&amp;"|"&amp;'管线现金流'!J3095&amp;"|"&amp;'管线现金流'!AL3095&amp;"|"&amp;'管线现金流'!J3096&amp;"|"&amp;'管线现金流'!AL3096&amp;"|"&amp;'管线现金流'!J3097&amp;"|"&amp;'管线现金流'!AL3097&amp;"|"&amp;'管线现金流'!J3098&amp;"|"&amp;'管线现金流'!AL3098&amp;"|"&amp;'管线现金流'!J3099&amp;"|"&amp;'管线现金流'!AL3099&amp;"|"&amp;'管线现金流'!J3100&amp;"|"&amp;'管线现金流'!AL3100&amp;"|"&amp;'管线现金流'!J3101&amp;"|"&amp;'管线现金流'!AL3101&amp;"|"&amp;'管线现金流'!J3102&amp;"|"&amp;'管线现金流'!AL3102&amp;"|"&amp;'管线现金流'!J3103&amp;"|"&amp;'管线现金流'!AL3103&amp;"|"&amp;'管线现金流'!J3104&amp;"|"&amp;'管线现金流'!AL3104&amp;"|"&amp;'管线现金流'!J3105&amp;"|"&amp;'管线现金流'!AL3105&amp;"|"&amp;'管线现金流'!J3106&amp;"|"&amp;'管线现金流'!AL3106&amp;"|"&amp;'管线现金流'!J3107&amp;"|"&amp;'管线现金流'!AL3107&amp;"|"&amp;'管线现金流'!J3108&amp;"|"&amp;'管线现金流'!AL3108&amp;"|"&amp;'管线现金流'!J3109&amp;"|"&amp;'管线现金流'!AL3109&amp;"|"&amp;'管线现金流'!J3110&amp;"|"&amp;'管线现金流'!AL3110&amp;"|"&amp;'管线现金流'!J3111&amp;"|"&amp;'管线现金流'!AL3111&amp;"|"&amp;'管线现金流'!J3112&amp;"|"&amp;'管线现金流'!AL3112&amp;"|"&amp;'管线现金流'!J3113&amp;"|"&amp;'管线现金流'!AL3113&amp;"|"&amp;'管线现金流'!J3114&amp;"|"&amp;'管线现金流'!AL3114&amp;"|"&amp;'管线现金流'!J3115&amp;"|"&amp;'管线现金流'!AL3115&amp;"|"&amp;'管线现金流'!J3116&amp;"|"&amp;'管线现金流'!AL3116&amp;"|"&amp;'管线现金流'!J3117&amp;"|"&amp;'管线现金流'!AL3117&amp;"|"&amp;'管线现金流'!J3118&amp;"|"&amp;'管线现金流'!AL3118&amp;"|"&amp;'管线现金流'!J3119&amp;"|"&amp;'管线现金流'!AL3119&amp;"|"&amp;'管线现金流'!J3120&amp;"|"&amp;'管线现金流'!AL3120&amp;"|"&amp;'管线现金流'!J3121&amp;"|"&amp;'管线现金流'!AL3121&amp;"|"&amp;'管线现金流'!J3122&amp;"|"&amp;'管线现金流'!AL3122&amp;"|"&amp;'管线现金流'!J3123&amp;"|"&amp;'管线现金流'!AL3123&amp;"|"&amp;'管线现金流'!J3124&amp;"|"&amp;'管线现金流'!AL3124&amp;"|"&amp;'管线现金流'!J3125&amp;"|"&amp;'管线现金流'!AL3125&amp;"|"&amp;'管线现金流'!J3126&amp;"|"&amp;'管线现金流'!AL3126&amp;"|"&amp;'管线现金流'!J3127&amp;"|"&amp;'管线现金流'!AL3127&amp;"|"&amp;'管线现金流'!J3128&amp;"|"&amp;'管线现金流'!AL3128&amp;"|"&amp;'管线现金流'!J3129&amp;"|"&amp;'管线现金流'!AL3129&amp;"|"&amp;'管线现金流'!J3130&amp;"|"&amp;'管线现金流'!AL3130&amp;"|"&amp;'管线现金流'!J3131&amp;"|"&amp;'管线现金流'!AL3131&amp;"|"&amp;'管线现金流'!J3132&amp;"|"&amp;'管线现金流'!AL3132&amp;"|"&amp;'管线现金流'!J3133&amp;"|"&amp;'管线现金流'!AL3133&amp;"|"&amp;'管线现金流'!J3134&amp;"|"&amp;'管线现金流'!AL3134&amp;"|"&amp;'管线现金流'!J3135&amp;"|"&amp;'管线现金流'!AL3135&amp;"|"&amp;'管线现金流'!J3136&amp;"|"&amp;'管线现金流'!AL3136&amp;"|"&amp;'管线现金流'!J3137&amp;"|"&amp;'管线现金流'!AL3137&amp;"|"&amp;'管线现金流'!J3138&amp;"|"&amp;'管线现金流'!AL3138&amp;"|"&amp;'管线现金流'!J3139&amp;"|"&amp;'管线现金流'!AL3139&amp;"|"&amp;'管线现金流'!J3140&amp;"|"&amp;'管线现金流'!AL3140&amp;"|"&amp;'管线现金流'!J3141&amp;"|"&amp;'管线现金流'!AL3141&amp;"|"&amp;'管线现金流'!J3142&amp;"|"&amp;'管线现金流'!AL3142&amp;"|"&amp;'管线现金流'!J3143&amp;"|"&amp;'管线现金流'!AL3143&amp;"|"&amp;'管线现金流'!J3144&amp;"|"&amp;'管线现金流'!AL3144&amp;"|"&amp;'管线现金流'!J3145&amp;"|"&amp;'管线现金流'!AL3145&amp;"|"&amp;'管线现金流'!J3146&amp;"|"&amp;'管线现金流'!AL3146&amp;"|"&amp;'管线现金流'!J3147&amp;"|"&amp;'管线现金流'!AL3147&amp;"|"&amp;'管线现金流'!J3148&amp;"|"&amp;'管线现金流'!AL3148&amp;"|"&amp;'管线现金流'!J3149&amp;"|"&amp;'管线现金流'!AL3149&amp;"|"&amp;'管线现金流'!J3150&amp;"|"&amp;'管线现金流'!AL3150&amp;"|"&amp;'管线现金流'!J3151&amp;"|"&amp;'管线现金流'!AL3151&amp;"|"&amp;'管线现金流'!W31&amp;"|"&amp;'管线现金流'!Z31&amp;"|"&amp;'管线现金流'!AQ31&amp;"|"&amp;'管线现金流'!AT31&amp;"|"&amp;'管线现金流'!W32&amp;"|"&amp;'管线现金流'!Z32&amp;"|"&amp;'管线现金流'!AQ32&amp;"|"&amp;'管线现金流'!AT32</x:f>
        <x:v>1|1.3|1.5|1|0.0935|1|0.105|6.8|1|0.1105|1|0.105|6.8|0.745|0.1105|1|0.105|6.8|0.575|0.1105|1|0.105|6.8|0.5325|0.1105|1|0.105|6.8|0.847|0.36|1|0.105|6.8|0.575|0.36|1|0.105|6.8|0.473|0.36|1|0.105|6.8|0.6175|0.36|1|0.105|6.8|0.43900000000000006|0.36|1|0.105|6.8|0.6599999999999999|0.1105|1|0.105|6.8|0.7875|0.36|1|0.105|6.8|0.49|0.28|1|0.105|6.8|0.677|0.36|1|0.105|6.8|0.558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</x:row>
    <x:row r="346" ht="23" customHeight="1">
      <x:c r="A346" s="11" t="str">
        <x:v>688382.SH</x:v>
      </x:c>
      <x:c r="B346" s="11" t="str">
        <x:v>益方生物</x:v>
      </x:c>
      <x:c r="C346" s="11" t="str">
        <x:v>三年</x:v>
      </x:c>
      <x:c r="D346" s="11" t="str">
        <x:v>悲观</x:v>
      </x:c>
      <x:c r="E346" s="11" t="n">
        <x:v>17.26</x:v>
      </x:c>
      <x:c r="F346" s="11" t="n">
        <x:v>0</x:v>
      </x:c>
      <x:c r="G346" s="11" t="n">
        <x:v>0</x:v>
      </x:c>
      <x:c r="H346" s="25" t="n">
        <x:v>-1</x:v>
      </x:c>
      <x:c r="I346" s="25" t="n">
        <x:v>-1</x:v>
      </x:c>
      <x:c r="J346" s="25" t="n">
        <x:v>-1</x:v>
      </x:c>
      <x:c r="K346" s="11" t="n">
        <x:v>0</x:v>
      </x:c>
      <x:c r="L346" s="11" t="n">
        <x:v>0</x:v>
      </x:c>
      <x:c r="M346" s="11" t="n">
        <x:v>1</x:v>
      </x:c>
      <x:c r="N346" s="11" t="n">
        <x:v>0</x:v>
      </x:c>
      <x:c r="O346" s="11" t="n">
        <x:v>0</x:v>
      </x:c>
      <x:c r="P346" s="11" t="n">
        <x:v>0</x:v>
      </x:c>
      <x:c r="Q346" s="11" t="n">
        <x:v>0.74</x:v>
      </x:c>
      <x:c r="R346" s="11" t="str">
        <x:v>inventis-rnpv-v1.0</x:v>
      </x:c>
      <x:c r="S346" s="11" t="str">
        <x:v>2026-10-10</x:v>
      </x:c>
      <x:c r="T346" s="11" t="str">
        <x:f>IF(AND(SUM(IF(K346='假设'!E460,0,1),IF(L346='假设'!F460,0,1),IF(M346='假设'!G460,0,1),IF(N346='假设'!H460,0,1),IF(O346='假设'!I460,0,1),IF(P346='假设'!J460,0,1),IF(Q346='假设'!K460,0,1))=0,U346=V346),"已刷新","待刷新")</x:f>
        <x:v>已刷新</x:v>
      </x:c>
      <x:c r="U346" t="str">
        <x:v>1|0.2|1.3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  <x:c r="V346" t="str">
        <x:f>'假设'!U460&amp;"|"&amp;'假设'!N460&amp;"|"&amp;'假设'!Q460&amp;"|"&amp;'管线假设'!E688&amp;"|"&amp;'管线假设'!F688&amp;"|"&amp;'管线假设'!G688&amp;"|"&amp;'管线假设'!H688&amp;"|"&amp;'管线假设'!I688&amp;"|"&amp;'管线假设'!E692&amp;"|"&amp;'管线假设'!F692&amp;"|"&amp;'管线假设'!G692&amp;"|"&amp;'管线假设'!H692&amp;"|"&amp;'管线假设'!I692&amp;"|"&amp;'管线假设'!E696&amp;"|"&amp;'管线假设'!F696&amp;"|"&amp;'管线假设'!G696&amp;"|"&amp;'管线假设'!H696&amp;"|"&amp;'管线假设'!I696&amp;"|"&amp;'管线假设'!E700&amp;"|"&amp;'管线假设'!F700&amp;"|"&amp;'管线假设'!G700&amp;"|"&amp;'管线假设'!H700&amp;"|"&amp;'管线假设'!I700&amp;"|"&amp;'管线假设'!E704&amp;"|"&amp;'管线假设'!F704&amp;"|"&amp;'管线假设'!G704&amp;"|"&amp;'管线假设'!H704&amp;"|"&amp;'管线假设'!I704&amp;"|"&amp;'管线假设'!E708&amp;"|"&amp;'管线假设'!F708&amp;"|"&amp;'管线假设'!G708&amp;"|"&amp;'管线假设'!H708&amp;"|"&amp;'管线假设'!I708&amp;"|"&amp;'管线假设'!E712&amp;"|"&amp;'管线假设'!F712&amp;"|"&amp;'管线假设'!G712&amp;"|"&amp;'管线假设'!H712&amp;"|"&amp;'管线假设'!I712&amp;"|"&amp;'管线假设'!E716&amp;"|"&amp;'管线假设'!F716&amp;"|"&amp;'管线假设'!G716&amp;"|"&amp;'管线假设'!H716&amp;"|"&amp;'管线假设'!I716&amp;"|"&amp;'管线假设'!E720&amp;"|"&amp;'管线假设'!F720&amp;"|"&amp;'管线假设'!G720&amp;"|"&amp;'管线假设'!H720&amp;"|"&amp;'管线假设'!I720&amp;"|"&amp;'管线假设'!E724&amp;"|"&amp;'管线假设'!F724&amp;"|"&amp;'管线假设'!G724&amp;"|"&amp;'管线假设'!H724&amp;"|"&amp;'管线假设'!I724&amp;"|"&amp;'管线假设'!E728&amp;"|"&amp;'管线假设'!F728&amp;"|"&amp;'管线假设'!G728&amp;"|"&amp;'管线假设'!H728&amp;"|"&amp;'管线假设'!I728&amp;"|"&amp;'管线假设'!E732&amp;"|"&amp;'管线假设'!F732&amp;"|"&amp;'管线假设'!G732&amp;"|"&amp;'管线假设'!H732&amp;"|"&amp;'管线假设'!I732&amp;"|"&amp;'管线假设'!E736&amp;"|"&amp;'管线假设'!F736&amp;"|"&amp;'管线假设'!G736&amp;"|"&amp;'管线假设'!H736&amp;"|"&amp;'管线假设'!I736&amp;"|"&amp;'管线假设'!E740&amp;"|"&amp;'管线假设'!F740&amp;"|"&amp;'管线假设'!G740&amp;"|"&amp;'管线假设'!H740&amp;"|"&amp;'管线假设'!I740&amp;"|"&amp;'管线假设'!E744&amp;"|"&amp;'管线假设'!F744&amp;"|"&amp;'管线假设'!G744&amp;"|"&amp;'管线假设'!H744&amp;"|"&amp;'管线假设'!I744&amp;"|"&amp;'管线现金流'!H3152&amp;"|"&amp;'管线现金流'!AJ3152&amp;"|"&amp;'管线现金流'!H3153&amp;"|"&amp;'管线现金流'!AJ3153&amp;"|"&amp;'管线现金流'!H3154&amp;"|"&amp;'管线现金流'!AJ3154&amp;"|"&amp;'管线现金流'!H3155&amp;"|"&amp;'管线现金流'!AJ3155&amp;"|"&amp;'管线现金流'!H3156&amp;"|"&amp;'管线现金流'!AJ3156&amp;"|"&amp;'管线现金流'!H3157&amp;"|"&amp;'管线现金流'!AJ3157&amp;"|"&amp;'管线现金流'!H3158&amp;"|"&amp;'管线现金流'!AJ3158&amp;"|"&amp;'管线现金流'!H3159&amp;"|"&amp;'管线现金流'!AJ3159&amp;"|"&amp;'管线现金流'!H3160&amp;"|"&amp;'管线现金流'!AJ3160&amp;"|"&amp;'管线现金流'!H3161&amp;"|"&amp;'管线现金流'!AJ3161&amp;"|"&amp;'管线现金流'!H3162&amp;"|"&amp;'管线现金流'!AJ3162&amp;"|"&amp;'管线现金流'!H3163&amp;"|"&amp;'管线现金流'!AJ3163&amp;"|"&amp;'管线现金流'!H3164&amp;"|"&amp;'管线现金流'!AJ3164&amp;"|"&amp;'管线现金流'!H3165&amp;"|"&amp;'管线现金流'!AJ3165&amp;"|"&amp;'管线现金流'!H3166&amp;"|"&amp;'管线现金流'!AJ3166&amp;"|"&amp;'管线现金流'!H3167&amp;"|"&amp;'管线现金流'!AJ3167&amp;"|"&amp;'管线现金流'!H3168&amp;"|"&amp;'管线现金流'!AJ3168&amp;"|"&amp;'管线现金流'!H3169&amp;"|"&amp;'管线现金流'!AJ3169&amp;"|"&amp;'管线现金流'!H3170&amp;"|"&amp;'管线现金流'!AJ3170&amp;"|"&amp;'管线现金流'!H3171&amp;"|"&amp;'管线现金流'!AJ3171&amp;"|"&amp;'管线现金流'!H3172&amp;"|"&amp;'管线现金流'!AJ3172&amp;"|"&amp;'管线现金流'!H3173&amp;"|"&amp;'管线现金流'!AJ3173&amp;"|"&amp;'管线现金流'!H3174&amp;"|"&amp;'管线现金流'!AJ3174&amp;"|"&amp;'管线现金流'!H3175&amp;"|"&amp;'管线现金流'!AJ3175&amp;"|"&amp;'管线现金流'!H3176&amp;"|"&amp;'管线现金流'!AJ3176&amp;"|"&amp;'管线现金流'!H3177&amp;"|"&amp;'管线现金流'!AJ3177&amp;"|"&amp;'管线现金流'!H3178&amp;"|"&amp;'管线现金流'!AJ3178&amp;"|"&amp;'管线现金流'!H3179&amp;"|"&amp;'管线现金流'!AJ3179&amp;"|"&amp;'管线现金流'!H3180&amp;"|"&amp;'管线现金流'!AJ3180&amp;"|"&amp;'管线现金流'!H3181&amp;"|"&amp;'管线现金流'!AJ3181&amp;"|"&amp;'管线现金流'!H3182&amp;"|"&amp;'管线现金流'!AJ3182&amp;"|"&amp;'管线现金流'!H3183&amp;"|"&amp;'管线现金流'!AJ3183&amp;"|"&amp;'管线现金流'!H3184&amp;"|"&amp;'管线现金流'!AJ3184&amp;"|"&amp;'管线现金流'!H3185&amp;"|"&amp;'管线现金流'!AJ3185&amp;"|"&amp;'管线现金流'!H3186&amp;"|"&amp;'管线现金流'!AJ3186&amp;"|"&amp;'管线现金流'!H3187&amp;"|"&amp;'管线现金流'!AJ3187&amp;"|"&amp;'管线现金流'!H3188&amp;"|"&amp;'管线现金流'!AJ3188&amp;"|"&amp;'管线现金流'!H3189&amp;"|"&amp;'管线现金流'!AJ3189&amp;"|"&amp;'管线现金流'!H3190&amp;"|"&amp;'管线现金流'!AJ3190&amp;"|"&amp;'管线现金流'!H3191&amp;"|"&amp;'管线现金流'!AJ3191&amp;"|"&amp;'管线现金流'!H3192&amp;"|"&amp;'管线现金流'!AJ3192&amp;"|"&amp;'管线现金流'!H3193&amp;"|"&amp;'管线现金流'!AJ3193&amp;"|"&amp;'管线现金流'!H3194&amp;"|"&amp;'管线现金流'!AJ3194&amp;"|"&amp;'管线现金流'!H3195&amp;"|"&amp;'管线现金流'!AJ3195&amp;"|"&amp;'管线现金流'!H3196&amp;"|"&amp;'管线现金流'!AJ3196&amp;"|"&amp;'管线现金流'!H3197&amp;"|"&amp;'管线现金流'!AJ3197&amp;"|"&amp;'管线现金流'!H3198&amp;"|"&amp;'管线现金流'!AJ3198&amp;"|"&amp;'管线现金流'!H3199&amp;"|"&amp;'管线现金流'!AJ3199&amp;"|"&amp;'管线现金流'!H3200&amp;"|"&amp;'管线现金流'!AJ3200&amp;"|"&amp;'管线现金流'!H3201&amp;"|"&amp;'管线现金流'!AJ3201&amp;"|"&amp;'管线现金流'!H3202&amp;"|"&amp;'管线现金流'!AJ3202&amp;"|"&amp;'管线现金流'!H3203&amp;"|"&amp;'管线现金流'!AJ3203&amp;"|"&amp;'管线现金流'!H3204&amp;"|"&amp;'管线现金流'!AJ3204&amp;"|"&amp;'管线现金流'!H3205&amp;"|"&amp;'管线现金流'!AJ3205&amp;"|"&amp;'管线现金流'!H3206&amp;"|"&amp;'管线现金流'!AJ3206&amp;"|"&amp;'管线现金流'!H3207&amp;"|"&amp;'管线现金流'!AJ3207&amp;"|"&amp;'管线现金流'!H3208&amp;"|"&amp;'管线现金流'!AJ3208&amp;"|"&amp;'管线现金流'!H3209&amp;"|"&amp;'管线现金流'!AJ3209&amp;"|"&amp;'管线现金流'!H3210&amp;"|"&amp;'管线现金流'!AJ3210&amp;"|"&amp;'管线现金流'!H3211&amp;"|"&amp;'管线现金流'!AJ3211&amp;"|"&amp;'管线现金流'!H3212&amp;"|"&amp;'管线现金流'!AJ3212&amp;"|"&amp;'管线现金流'!H3213&amp;"|"&amp;'管线现金流'!AJ3213&amp;"|"&amp;'管线现金流'!H3214&amp;"|"&amp;'管线现金流'!AJ3214&amp;"|"&amp;'管线现金流'!H3215&amp;"|"&amp;'管线现金流'!AJ3215&amp;"|"&amp;'管线现金流'!H3216&amp;"|"&amp;'管线现金流'!AJ3216&amp;"|"&amp;'管线现金流'!H3217&amp;"|"&amp;'管线现金流'!AJ3217&amp;"|"&amp;'管线现金流'!H3218&amp;"|"&amp;'管线现金流'!AJ3218&amp;"|"&amp;'管线现金流'!H3219&amp;"|"&amp;'管线现金流'!AJ3219&amp;"|"&amp;'管线现金流'!H3220&amp;"|"&amp;'管线现金流'!AJ3220&amp;"|"&amp;'管线现金流'!H3221&amp;"|"&amp;'管线现金流'!AJ3221&amp;"|"&amp;'管线现金流'!H3222&amp;"|"&amp;'管线现金流'!AJ3222&amp;"|"&amp;'管线现金流'!H3223&amp;"|"&amp;'管线现金流'!AJ3223&amp;"|"&amp;'管线现金流'!H3224&amp;"|"&amp;'管线现金流'!AJ3224&amp;"|"&amp;'管线现金流'!H3225&amp;"|"&amp;'管线现金流'!AJ3225&amp;"|"&amp;'管线现金流'!H3226&amp;"|"&amp;'管线现金流'!AJ3226&amp;"|"&amp;'管线现金流'!H3227&amp;"|"&amp;'管线现金流'!AJ3227&amp;"|"&amp;'管线现金流'!H3228&amp;"|"&amp;'管线现金流'!AJ3228&amp;"|"&amp;'管线现金流'!H3229&amp;"|"&amp;'管线现金流'!AJ3229&amp;"|"&amp;'管线现金流'!H3230&amp;"|"&amp;'管线现金流'!AJ3230&amp;"|"&amp;'管线现金流'!H3231&amp;"|"&amp;'管线现金流'!AJ3231&amp;"|"&amp;'管线现金流'!H3232&amp;"|"&amp;'管线现金流'!AJ3232&amp;"|"&amp;'管线现金流'!H3233&amp;"|"&amp;'管线现金流'!AJ3233&amp;"|"&amp;'管线现金流'!H3234&amp;"|"&amp;'管线现金流'!AJ3234&amp;"|"&amp;'管线现金流'!H3235&amp;"|"&amp;'管线现金流'!AJ3235&amp;"|"&amp;'管线现金流'!H3236&amp;"|"&amp;'管线现金流'!AJ3236&amp;"|"&amp;'管线现金流'!H3237&amp;"|"&amp;'管线现金流'!AJ3237&amp;"|"&amp;'管线现金流'!H3238&amp;"|"&amp;'管线现金流'!AJ3238&amp;"|"&amp;'管线现金流'!H3239&amp;"|"&amp;'管线现金流'!AJ3239&amp;"|"&amp;'管线现金流'!H3240&amp;"|"&amp;'管线现金流'!AJ3240&amp;"|"&amp;'管线现金流'!H3241&amp;"|"&amp;'管线现金流'!AJ3241&amp;"|"&amp;'管线现金流'!H3242&amp;"|"&amp;'管线现金流'!AJ3242&amp;"|"&amp;'管线现金流'!H3243&amp;"|"&amp;'管线现金流'!AJ3243&amp;"|"&amp;'管线现金流'!H3244&amp;"|"&amp;'管线现金流'!AJ3244&amp;"|"&amp;'管线现金流'!H3245&amp;"|"&amp;'管线现金流'!AJ3245&amp;"|"&amp;'管线现金流'!H3246&amp;"|"&amp;'管线现金流'!AJ3246&amp;"|"&amp;'管线现金流'!H3247&amp;"|"&amp;'管线现金流'!AJ3247&amp;"|"&amp;'管线现金流'!H3248&amp;"|"&amp;'管线现金流'!AJ3248&amp;"|"&amp;'管线现金流'!H3249&amp;"|"&amp;'管线现金流'!AJ3249&amp;"|"&amp;'管线现金流'!H3250&amp;"|"&amp;'管线现金流'!AJ3250&amp;"|"&amp;'管线现金流'!H3251&amp;"|"&amp;'管线现金流'!AJ3251&amp;"|"&amp;'管线现金流'!H3252&amp;"|"&amp;'管线现金流'!AJ3252&amp;"|"&amp;'管线现金流'!H3253&amp;"|"&amp;'管线现金流'!AJ3253&amp;"|"&amp;'管线现金流'!H3254&amp;"|"&amp;'管线现金流'!AJ3254&amp;"|"&amp;'管线现金流'!H3255&amp;"|"&amp;'管线现金流'!AJ3255&amp;"|"&amp;'管线现金流'!H3256&amp;"|"&amp;'管线现金流'!AJ3256&amp;"|"&amp;'管线现金流'!H3257&amp;"|"&amp;'管线现金流'!AJ3257&amp;"|"&amp;'管线现金流'!H3258&amp;"|"&amp;'管线现金流'!AJ3258&amp;"|"&amp;'管线现金流'!H3259&amp;"|"&amp;'管线现金流'!AJ3259&amp;"|"&amp;'管线现金流'!H3260&amp;"|"&amp;'管线现金流'!AJ3260&amp;"|"&amp;'管线现金流'!H3261&amp;"|"&amp;'管线现金流'!AJ3261&amp;"|"&amp;'管线现金流'!H3262&amp;"|"&amp;'管线现金流'!AJ3262&amp;"|"&amp;'管线现金流'!H3263&amp;"|"&amp;'管线现金流'!AJ3263&amp;"|"&amp;'管线现金流'!H3264&amp;"|"&amp;'管线现金流'!AJ3264&amp;"|"&amp;'管线现金流'!H3265&amp;"|"&amp;'管线现金流'!AJ3265&amp;"|"&amp;'管线现金流'!H3266&amp;"|"&amp;'管线现金流'!AJ3266&amp;"|"&amp;'管线现金流'!H3267&amp;"|"&amp;'管线现金流'!AJ3267&amp;"|"&amp;'管线现金流'!H3268&amp;"|"&amp;'管线现金流'!AJ3268&amp;"|"&amp;'管线现金流'!H3269&amp;"|"&amp;'管线现金流'!AJ3269&amp;"|"&amp;'管线现金流'!H3270&amp;"|"&amp;'管线现金流'!AJ3270&amp;"|"&amp;'管线现金流'!H3271&amp;"|"&amp;'管线现金流'!AJ3271&amp;"|"&amp;'管线现金流'!H3272&amp;"|"&amp;'管线现金流'!AJ3272&amp;"|"&amp;'管线现金流'!H3273&amp;"|"&amp;'管线现金流'!AJ3273&amp;"|"&amp;'管线现金流'!H3274&amp;"|"&amp;'管线现金流'!AJ3274&amp;"|"&amp;'管线现金流'!H3275&amp;"|"&amp;'管线现金流'!AJ3275&amp;"|"&amp;'管线现金流'!H3276&amp;"|"&amp;'管线现金流'!AJ3276&amp;"|"&amp;'管线现金流'!H3277&amp;"|"&amp;'管线现金流'!AJ3277&amp;"|"&amp;'管线现金流'!H3278&amp;"|"&amp;'管线现金流'!AJ3278&amp;"|"&amp;'管线现金流'!H3279&amp;"|"&amp;'管线现金流'!AJ3279&amp;"|"&amp;'管线现金流'!H3280&amp;"|"&amp;'管线现金流'!AJ3280&amp;"|"&amp;'管线现金流'!H3281&amp;"|"&amp;'管线现金流'!AJ3281&amp;"|"&amp;'管线现金流'!H3282&amp;"|"&amp;'管线现金流'!AJ3282&amp;"|"&amp;'管线现金流'!H3283&amp;"|"&amp;'管线现金流'!AJ3283&amp;"|"&amp;'管线现金流'!H3284&amp;"|"&amp;'管线现金流'!AJ3284&amp;"|"&amp;'管线现金流'!H3285&amp;"|"&amp;'管线现金流'!AJ3285&amp;"|"&amp;'管线现金流'!H3286&amp;"|"&amp;'管线现金流'!AJ3286&amp;"|"&amp;'管线现金流'!H3287&amp;"|"&amp;'管线现金流'!AJ3287&amp;"|"&amp;'管线现金流'!H3288&amp;"|"&amp;'管线现金流'!AJ3288&amp;"|"&amp;'管线现金流'!H3289&amp;"|"&amp;'管线现金流'!AJ3289&amp;"|"&amp;'管线现金流'!H3290&amp;"|"&amp;'管线现金流'!AJ3290&amp;"|"&amp;'管线现金流'!H3291&amp;"|"&amp;'管线现金流'!AJ3291&amp;"|"&amp;'管线现金流'!H3292&amp;"|"&amp;'管线现金流'!AJ3292&amp;"|"&amp;'管线现金流'!H3293&amp;"|"&amp;'管线现金流'!AJ3293&amp;"|"&amp;'管线现金流'!H3294&amp;"|"&amp;'管线现金流'!AJ3294&amp;"|"&amp;'管线现金流'!H3295&amp;"|"&amp;'管线现金流'!AJ3295&amp;"|"&amp;'管线现金流'!H3296&amp;"|"&amp;'管线现金流'!AJ3296&amp;"|"&amp;'管线现金流'!H3297&amp;"|"&amp;'管线现金流'!AJ3297&amp;"|"&amp;'管线现金流'!H3298&amp;"|"&amp;'管线现金流'!AJ3298&amp;"|"&amp;'管线现金流'!H3299&amp;"|"&amp;'管线现金流'!AJ3299&amp;"|"&amp;'管线现金流'!H3300&amp;"|"&amp;'管线现金流'!AJ3300&amp;"|"&amp;'管线现金流'!H3301&amp;"|"&amp;'管线现金流'!AJ3301&amp;"|"&amp;'管线现金流'!H3302&amp;"|"&amp;'管线现金流'!AJ3302&amp;"|"&amp;'管线现金流'!H3303&amp;"|"&amp;'管线现金流'!AJ3303&amp;"|"&amp;'管线现金流'!H3304&amp;"|"&amp;'管线现金流'!AJ3304&amp;"|"&amp;'管线现金流'!H3305&amp;"|"&amp;'管线现金流'!AJ3305&amp;"|"&amp;'管线现金流'!H3306&amp;"|"&amp;'管线现金流'!AJ3306&amp;"|"&amp;'管线现金流'!H3307&amp;"|"&amp;'管线现金流'!AJ3307&amp;"|"&amp;'管线现金流'!H3308&amp;"|"&amp;'管线现金流'!AJ3308&amp;"|"&amp;'管线现金流'!H3309&amp;"|"&amp;'管线现金流'!AJ3309&amp;"|"&amp;'管线现金流'!H3310&amp;"|"&amp;'管线现金流'!AJ3310&amp;"|"&amp;'管线现金流'!H3311&amp;"|"&amp;'管线现金流'!AJ3311&amp;"|"&amp;'管线现金流'!H3312&amp;"|"&amp;'管线现金流'!AJ3312&amp;"|"&amp;'管线现金流'!H3313&amp;"|"&amp;'管线现金流'!AJ3313&amp;"|"&amp;'管线现金流'!H3314&amp;"|"&amp;'管线现金流'!AJ3314&amp;"|"&amp;'管线现金流'!H3315&amp;"|"&amp;'管线现金流'!AJ3315&amp;"|"&amp;'管线现金流'!H3316&amp;"|"&amp;'管线现金流'!AJ3316&amp;"|"&amp;'管线现金流'!H3317&amp;"|"&amp;'管线现金流'!AJ3317&amp;"|"&amp;'管线现金流'!H3318&amp;"|"&amp;'管线现金流'!AJ3318&amp;"|"&amp;'管线现金流'!H3319&amp;"|"&amp;'管线现金流'!AJ3319&amp;"|"&amp;'管线现金流'!H3320&amp;"|"&amp;'管线现金流'!AJ3320&amp;"|"&amp;'管线现金流'!H3321&amp;"|"&amp;'管线现金流'!AJ3321&amp;"|"&amp;'管线现金流'!H3322&amp;"|"&amp;'管线现金流'!AJ3322&amp;"|"&amp;'管线现金流'!H3323&amp;"|"&amp;'管线现金流'!AJ3323&amp;"|"&amp;'管线现金流'!H3324&amp;"|"&amp;'管线现金流'!AJ3324&amp;"|"&amp;'管线现金流'!H3325&amp;"|"&amp;'管线现金流'!AJ3325&amp;"|"&amp;'管线现金流'!H3326&amp;"|"&amp;'管线现金流'!AJ3326&amp;"|"&amp;'管线现金流'!H3327&amp;"|"&amp;'管线现金流'!AJ3327&amp;"|"&amp;'管线现金流'!H3328&amp;"|"&amp;'管线现金流'!AJ3328&amp;"|"&amp;'管线现金流'!H3329&amp;"|"&amp;'管线现金流'!AJ3329&amp;"|"&amp;'管线现金流'!H3330&amp;"|"&amp;'管线现金流'!AJ3330&amp;"|"&amp;'管线现金流'!H3331&amp;"|"&amp;'管线现金流'!AJ3331&amp;"|"&amp;'管线现金流'!H3332&amp;"|"&amp;'管线现金流'!AJ3332&amp;"|"&amp;'管线现金流'!H3333&amp;"|"&amp;'管线现金流'!AJ3333&amp;"|"&amp;'管线现金流'!H3334&amp;"|"&amp;'管线现金流'!AJ3334&amp;"|"&amp;'管线现金流'!H3335&amp;"|"&amp;'管线现金流'!AJ3335&amp;"|"&amp;'管线现金流'!H3336&amp;"|"&amp;'管线现金流'!AJ3336&amp;"|"&amp;'管线现金流'!H3337&amp;"|"&amp;'管线现金流'!AJ3337&amp;"|"&amp;'管线现金流'!H3338&amp;"|"&amp;'管线现金流'!AJ3338&amp;"|"&amp;'管线现金流'!H3339&amp;"|"&amp;'管线现金流'!AJ3339&amp;"|"&amp;'管线现金流'!H3340&amp;"|"&amp;'管线现金流'!AJ3340&amp;"|"&amp;'管线现金流'!H3341&amp;"|"&amp;'管线现金流'!AJ3341&amp;"|"&amp;'管线现金流'!H3342&amp;"|"&amp;'管线现金流'!AJ3342&amp;"|"&amp;'管线现金流'!H3343&amp;"|"&amp;'管线现金流'!AJ3343&amp;"|"&amp;'管线现金流'!H3344&amp;"|"&amp;'管线现金流'!AJ3344&amp;"|"&amp;'管线现金流'!H3345&amp;"|"&amp;'管线现金流'!AJ3345&amp;"|"&amp;'管线现金流'!H3346&amp;"|"&amp;'管线现金流'!AJ3346&amp;"|"&amp;'管线现金流'!H3347&amp;"|"&amp;'管线现金流'!AJ3347&amp;"|"&amp;'管线现金流'!H3348&amp;"|"&amp;'管线现金流'!AJ3348&amp;"|"&amp;'管线现金流'!H3349&amp;"|"&amp;'管线现金流'!AJ3349&amp;"|"&amp;'管线现金流'!H3350&amp;"|"&amp;'管线现金流'!AJ3350&amp;"|"&amp;'管线现金流'!H3351&amp;"|"&amp;'管线现金流'!AJ3351&amp;"|"&amp;'管线现金流'!H3352&amp;"|"&amp;'管线现金流'!AJ3352&amp;"|"&amp;'管线现金流'!H3353&amp;"|"&amp;'管线现金流'!AJ3353&amp;"|"&amp;'管线现金流'!H3354&amp;"|"&amp;'管线现金流'!AJ3354&amp;"|"&amp;'管线现金流'!H3355&amp;"|"&amp;'管线现金流'!AJ3355&amp;"|"&amp;'管线现金流'!H3356&amp;"|"&amp;'管线现金流'!AJ3356&amp;"|"&amp;'管线现金流'!H3357&amp;"|"&amp;'管线现金流'!AJ3357&amp;"|"&amp;'管线现金流'!H3358&amp;"|"&amp;'管线现金流'!AJ3358&amp;"|"&amp;'管线现金流'!H3359&amp;"|"&amp;'管线现金流'!AJ3359&amp;"|"&amp;'管线现金流'!H3360&amp;"|"&amp;'管线现金流'!AJ3360&amp;"|"&amp;'管线现金流'!H3361&amp;"|"&amp;'管线现金流'!AJ3361&amp;"|"&amp;'管线现金流'!H3362&amp;"|"&amp;'管线现金流'!AJ3362&amp;"|"&amp;'管线现金流'!H3363&amp;"|"&amp;'管线现金流'!AJ3363&amp;"|"&amp;'管线现金流'!H3364&amp;"|"&amp;'管线现金流'!AJ3364&amp;"|"&amp;'管线现金流'!H3365&amp;"|"&amp;'管线现金流'!AJ3365&amp;"|"&amp;'管线现金流'!H3366&amp;"|"&amp;'管线现金流'!AJ3366&amp;"|"&amp;'管线现金流'!H3367&amp;"|"&amp;'管线现金流'!AJ3367&amp;"|"&amp;'管线现金流'!H3368&amp;"|"&amp;'管线现金流'!AJ3368&amp;"|"&amp;'管线现金流'!H3369&amp;"|"&amp;'管线现金流'!AJ3369&amp;"|"&amp;'管线现金流'!H3370&amp;"|"&amp;'管线现金流'!AJ3370&amp;"|"&amp;'管线现金流'!H3371&amp;"|"&amp;'管线现金流'!AJ3371&amp;"|"&amp;'管线现金流'!H3372&amp;"|"&amp;'管线现金流'!AJ3372&amp;"|"&amp;'管线现金流'!H3373&amp;"|"&amp;'管线现金流'!AJ3373&amp;"|"&amp;'管线现金流'!H3374&amp;"|"&amp;'管线现金流'!AJ3374&amp;"|"&amp;'管线现金流'!H3375&amp;"|"&amp;'管线现金流'!AJ3375&amp;"|"&amp;'管线现金流'!H3376&amp;"|"&amp;'管线现金流'!AJ3376&amp;"|"&amp;'管线现金流'!H3377&amp;"|"&amp;'管线现金流'!AJ3377&amp;"|"&amp;'管线现金流'!H3378&amp;"|"&amp;'管线现金流'!AJ3378&amp;"|"&amp;'管线现金流'!H3379&amp;"|"&amp;'管线现金流'!AJ3379&amp;"|"&amp;'管线现金流'!H3380&amp;"|"&amp;'管线现金流'!AJ3380&amp;"|"&amp;'管线现金流'!H3381&amp;"|"&amp;'管线现金流'!AJ3381&amp;"|"&amp;'管线现金流'!H3382&amp;"|"&amp;'管线现金流'!AJ3382&amp;"|"&amp;'管线现金流'!H3383&amp;"|"&amp;'管线现金流'!AJ3383&amp;"|"&amp;'管线现金流'!H3384&amp;"|"&amp;'管线现金流'!AJ3384&amp;"|"&amp;'管线现金流'!H3385&amp;"|"&amp;'管线现金流'!AJ3385&amp;"|"&amp;'管线现金流'!H3386&amp;"|"&amp;'管线现金流'!AJ3386&amp;"|"&amp;'管线现金流'!H3387&amp;"|"&amp;'管线现金流'!AJ3387&amp;"|"&amp;'管线现金流'!H3388&amp;"|"&amp;'管线现金流'!AJ3388&amp;"|"&amp;'管线现金流'!H3389&amp;"|"&amp;'管线现金流'!AJ3389&amp;"|"&amp;'管线现金流'!H3390&amp;"|"&amp;'管线现金流'!AJ3390&amp;"|"&amp;'管线现金流'!H3391&amp;"|"&amp;'管线现金流'!AJ3391&amp;"|"&amp;'管线现金流'!H3392&amp;"|"&amp;'管线现金流'!AJ3392&amp;"|"&amp;'管线现金流'!H3393&amp;"|"&amp;'管线现金流'!AJ3393&amp;"|"&amp;'管线现金流'!H3394&amp;"|"&amp;'管线现金流'!AJ3394&amp;"|"&amp;'管线现金流'!H3395&amp;"|"&amp;'管线现金流'!AJ3395&amp;"|"&amp;'管线现金流'!H3396&amp;"|"&amp;'管线现金流'!AJ3396&amp;"|"&amp;'管线现金流'!H3397&amp;"|"&amp;'管线现金流'!AJ3397&amp;"|"&amp;'管线现金流'!H3398&amp;"|"&amp;'管线现金流'!AJ3398&amp;"|"&amp;'管线现金流'!H3399&amp;"|"&amp;'管线现金流'!AJ3399&amp;"|"&amp;'管线现金流'!H3400&amp;"|"&amp;'管线现金流'!AJ3400&amp;"|"&amp;'管线现金流'!H3401&amp;"|"&amp;'管线现金流'!AJ3401&amp;"|"&amp;'管线现金流'!H3402&amp;"|"&amp;'管线现金流'!AJ3402&amp;"|"&amp;'管线现金流'!H3403&amp;"|"&amp;'管线现金流'!AJ3403&amp;"|"&amp;'管线现金流'!H3404&amp;"|"&amp;'管线现金流'!AJ3404&amp;"|"&amp;'管线现金流'!H3405&amp;"|"&amp;'管线现金流'!AJ3405&amp;"|"&amp;'管线现金流'!H3406&amp;"|"&amp;'管线现金流'!AJ3406&amp;"|"&amp;'管线现金流'!H3407&amp;"|"&amp;'管线现金流'!AJ3407&amp;"|"&amp;'管线现金流'!H3408&amp;"|"&amp;'管线现金流'!AJ3408&amp;"|"&amp;'管线现金流'!H3409&amp;"|"&amp;'管线现金流'!AJ3409&amp;"|"&amp;'管线现金流'!H3410&amp;"|"&amp;'管线现金流'!AJ3410&amp;"|"&amp;'管线现金流'!H3411&amp;"|"&amp;'管线现金流'!AJ3411&amp;"|"&amp;'管线现金流'!H3412&amp;"|"&amp;'管线现金流'!AJ3412&amp;"|"&amp;'管线现金流'!H3413&amp;"|"&amp;'管线现金流'!AJ3413&amp;"|"&amp;'管线现金流'!H3414&amp;"|"&amp;'管线现金流'!AJ3414&amp;"|"&amp;'管线现金流'!H3415&amp;"|"&amp;'管线现金流'!AJ3415&amp;"|"&amp;'管线现金流'!H3416&amp;"|"&amp;'管线现金流'!AJ3416&amp;"|"&amp;'管线现金流'!H3417&amp;"|"&amp;'管线现金流'!AJ3417&amp;"|"&amp;'管线现金流'!H3418&amp;"|"&amp;'管线现金流'!AJ3418&amp;"|"&amp;'管线现金流'!H3419&amp;"|"&amp;'管线现金流'!AJ3419&amp;"|"&amp;'管线现金流'!H3420&amp;"|"&amp;'管线现金流'!AJ3420&amp;"|"&amp;'管线现金流'!H3421&amp;"|"&amp;'管线现金流'!AJ3421&amp;"|"&amp;'管线现金流'!H3422&amp;"|"&amp;'管线现金流'!AJ3422&amp;"|"&amp;'管线现金流'!H3423&amp;"|"&amp;'管线现金流'!AJ3423&amp;"|"&amp;'管线现金流'!H3424&amp;"|"&amp;'管线现金流'!AJ3424&amp;"|"&amp;'管线现金流'!H3425&amp;"|"&amp;'管线现金流'!AJ3425&amp;"|"&amp;'管线现金流'!H3426&amp;"|"&amp;'管线现金流'!AJ3426&amp;"|"&amp;'管线现金流'!H3427&amp;"|"&amp;'管线现金流'!AJ3427&amp;"|"&amp;'管线现金流'!H3428&amp;"|"&amp;'管线现金流'!AJ3428&amp;"|"&amp;'管线现金流'!H3429&amp;"|"&amp;'管线现金流'!AJ3429&amp;"|"&amp;'管线现金流'!H3430&amp;"|"&amp;'管线现金流'!AJ3430&amp;"|"&amp;'管线现金流'!H3431&amp;"|"&amp;'管线现金流'!AJ3431&amp;"|"&amp;'管线现金流'!H3432&amp;"|"&amp;'管线现金流'!AJ3432&amp;"|"&amp;'管线现金流'!H3433&amp;"|"&amp;'管线现金流'!AJ3433&amp;"|"&amp;'管线现金流'!H3434&amp;"|"&amp;'管线现金流'!AJ3434&amp;"|"&amp;'管线现金流'!H3435&amp;"|"&amp;'管线现金流'!AJ3435&amp;"|"&amp;'管线现金流'!H3436&amp;"|"&amp;'管线现金流'!AJ3436&amp;"|"&amp;'管线现金流'!U33&amp;"|"&amp;'管线现金流'!X33&amp;"|"&amp;'管线现金流'!AO33&amp;"|"&amp;'管线现金流'!AR33&amp;"|"&amp;'管线现金流'!U34&amp;"|"&amp;'管线现金流'!X34&amp;"|"&amp;'管线现金流'!AO34&amp;"|"&amp;'管线现金流'!AR34</x:f>
        <x:v>1|0.2|1.3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</x:row>
    <x:row r="347" ht="23" customHeight="1">
      <x:c r="A347" s="11" t="str">
        <x:v>688382.SH</x:v>
      </x:c>
      <x:c r="B347" s="11" t="str">
        <x:v>益方生物</x:v>
      </x:c>
      <x:c r="C347" s="11" t="str">
        <x:v>三年</x:v>
      </x:c>
      <x:c r="D347" s="11" t="str">
        <x:v>基准</x:v>
      </x:c>
      <x:c r="E347" s="11" t="n">
        <x:v>17.26</x:v>
      </x:c>
      <x:c r="F347" s="11" t="n">
        <x:v>12.809740140868128</x:v>
      </x:c>
      <x:c r="G347" s="11" t="n">
        <x:v>0</x:v>
      </x:c>
      <x:c r="H347" s="25" t="n">
        <x:v>-0.2578366082926926</x:v>
      </x:c>
      <x:c r="I347" s="25" t="n">
        <x:v>-0.2578366082926926</x:v>
      </x:c>
      <x:c r="J347" s="25" t="n">
        <x:v>-0.09461524791161002</x:v>
      </x:c>
      <x:c r="K347" s="11" t="n">
        <x:v>0</x:v>
      </x:c>
      <x:c r="L347" s="11" t="n">
        <x:v>0</x:v>
      </x:c>
      <x:c r="M347" s="11" t="n">
        <x:v>1</x:v>
      </x:c>
      <x:c r="N347" s="11" t="n">
        <x:v>0</x:v>
      </x:c>
      <x:c r="O347" s="11" t="n">
        <x:v>0</x:v>
      </x:c>
      <x:c r="P347" s="11" t="n">
        <x:v>0</x:v>
      </x:c>
      <x:c r="Q347" s="11" t="n">
        <x:v>0.68</x:v>
      </x:c>
      <x:c r="R347" s="11" t="str">
        <x:v>inventis-rnpv-v1.0</x:v>
      </x:c>
      <x:c r="S347" s="11" t="str">
        <x:v>2026-10-10</x:v>
      </x:c>
      <x:c r="T347" s="11" t="str">
        <x:f>IF(AND(SUM(IF(K347='假设'!E461,0,1),IF(L347='假设'!F461,0,1),IF(M347='假设'!G461,0,1),IF(N347='假设'!H461,0,1),IF(O347='假设'!I461,0,1),IF(P347='假设'!J461,0,1),IF(Q347='假设'!K461,0,1))=0,U347=V347),"已刷新","待刷新")</x:f>
        <x:v>已刷新</x:v>
      </x:c>
      <x:c r="U347" t="str">
        <x:v>1|1.2|1.1|1|0.0656|1|0.135|6.8|1|0.08200000000000002|1|0.135|6.8|0.6048|0.08200000000000002|1|0.135|6.8|0.44520000000000004|0.08200000000000002|1|0.135|6.8|0.41479999999999995|0.08200000000000002|1|0.135|6.8|0.7112|0.28|1|0.135|6.8|0.4528|0.28|1|0.135|6.8|0.3767999999999999|0.28|1|0.135|6.8|0.4680000000000001|0.28|1|0.135|6.8|0.354|0.28|1|0.135|6.8|0.506|0.08200000000000002|1|0.135|6.8|0.62|0.28|1|0.135|6.8|0.3767999999999999|0.2|1|0.135|6.8|0.5287999999999999|0.28|1|0.135|6.8|0.42999999999999994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  <x:c r="V347" t="str">
        <x:f>'假设'!U461&amp;"|"&amp;'假设'!N461&amp;"|"&amp;'假设'!Q461&amp;"|"&amp;'管线假设'!E689&amp;"|"&amp;'管线假设'!F689&amp;"|"&amp;'管线假设'!G689&amp;"|"&amp;'管线假设'!H689&amp;"|"&amp;'管线假设'!I689&amp;"|"&amp;'管线假设'!E693&amp;"|"&amp;'管线假设'!F693&amp;"|"&amp;'管线假设'!G693&amp;"|"&amp;'管线假设'!H693&amp;"|"&amp;'管线假设'!I693&amp;"|"&amp;'管线假设'!E697&amp;"|"&amp;'管线假设'!F697&amp;"|"&amp;'管线假设'!G697&amp;"|"&amp;'管线假设'!H697&amp;"|"&amp;'管线假设'!I697&amp;"|"&amp;'管线假设'!E701&amp;"|"&amp;'管线假设'!F701&amp;"|"&amp;'管线假设'!G701&amp;"|"&amp;'管线假设'!H701&amp;"|"&amp;'管线假设'!I701&amp;"|"&amp;'管线假设'!E705&amp;"|"&amp;'管线假设'!F705&amp;"|"&amp;'管线假设'!G705&amp;"|"&amp;'管线假设'!H705&amp;"|"&amp;'管线假设'!I705&amp;"|"&amp;'管线假设'!E709&amp;"|"&amp;'管线假设'!F709&amp;"|"&amp;'管线假设'!G709&amp;"|"&amp;'管线假设'!H709&amp;"|"&amp;'管线假设'!I709&amp;"|"&amp;'管线假设'!E713&amp;"|"&amp;'管线假设'!F713&amp;"|"&amp;'管线假设'!G713&amp;"|"&amp;'管线假设'!H713&amp;"|"&amp;'管线假设'!I713&amp;"|"&amp;'管线假设'!E717&amp;"|"&amp;'管线假设'!F717&amp;"|"&amp;'管线假设'!G717&amp;"|"&amp;'管线假设'!H717&amp;"|"&amp;'管线假设'!I717&amp;"|"&amp;'管线假设'!E721&amp;"|"&amp;'管线假设'!F721&amp;"|"&amp;'管线假设'!G721&amp;"|"&amp;'管线假设'!H721&amp;"|"&amp;'管线假设'!I721&amp;"|"&amp;'管线假设'!E725&amp;"|"&amp;'管线假设'!F725&amp;"|"&amp;'管线假设'!G725&amp;"|"&amp;'管线假设'!H725&amp;"|"&amp;'管线假设'!I725&amp;"|"&amp;'管线假设'!E729&amp;"|"&amp;'管线假设'!F729&amp;"|"&amp;'管线假设'!G729&amp;"|"&amp;'管线假设'!H729&amp;"|"&amp;'管线假设'!I729&amp;"|"&amp;'管线假设'!E733&amp;"|"&amp;'管线假设'!F733&amp;"|"&amp;'管线假设'!G733&amp;"|"&amp;'管线假设'!H733&amp;"|"&amp;'管线假设'!I733&amp;"|"&amp;'管线假设'!E737&amp;"|"&amp;'管线假设'!F737&amp;"|"&amp;'管线假设'!G737&amp;"|"&amp;'管线假设'!H737&amp;"|"&amp;'管线假设'!I737&amp;"|"&amp;'管线假设'!E741&amp;"|"&amp;'管线假设'!F741&amp;"|"&amp;'管线假设'!G741&amp;"|"&amp;'管线假设'!H741&amp;"|"&amp;'管线假设'!I741&amp;"|"&amp;'管线假设'!E745&amp;"|"&amp;'管线假设'!F745&amp;"|"&amp;'管线假设'!G745&amp;"|"&amp;'管线假设'!H745&amp;"|"&amp;'管线假设'!I745&amp;"|"&amp;'管线现金流'!I3152&amp;"|"&amp;'管线现金流'!AK3152&amp;"|"&amp;'管线现金流'!I3153&amp;"|"&amp;'管线现金流'!AK3153&amp;"|"&amp;'管线现金流'!I3154&amp;"|"&amp;'管线现金流'!AK3154&amp;"|"&amp;'管线现金流'!I3155&amp;"|"&amp;'管线现金流'!AK3155&amp;"|"&amp;'管线现金流'!I3156&amp;"|"&amp;'管线现金流'!AK3156&amp;"|"&amp;'管线现金流'!I3157&amp;"|"&amp;'管线现金流'!AK3157&amp;"|"&amp;'管线现金流'!I3158&amp;"|"&amp;'管线现金流'!AK3158&amp;"|"&amp;'管线现金流'!I3159&amp;"|"&amp;'管线现金流'!AK3159&amp;"|"&amp;'管线现金流'!I3160&amp;"|"&amp;'管线现金流'!AK3160&amp;"|"&amp;'管线现金流'!I3161&amp;"|"&amp;'管线现金流'!AK3161&amp;"|"&amp;'管线现金流'!I3162&amp;"|"&amp;'管线现金流'!AK3162&amp;"|"&amp;'管线现金流'!I3163&amp;"|"&amp;'管线现金流'!AK3163&amp;"|"&amp;'管线现金流'!I3164&amp;"|"&amp;'管线现金流'!AK3164&amp;"|"&amp;'管线现金流'!I3165&amp;"|"&amp;'管线现金流'!AK3165&amp;"|"&amp;'管线现金流'!I3166&amp;"|"&amp;'管线现金流'!AK3166&amp;"|"&amp;'管线现金流'!I3167&amp;"|"&amp;'管线现金流'!AK3167&amp;"|"&amp;'管线现金流'!I3168&amp;"|"&amp;'管线现金流'!AK3168&amp;"|"&amp;'管线现金流'!I3169&amp;"|"&amp;'管线现金流'!AK3169&amp;"|"&amp;'管线现金流'!I3170&amp;"|"&amp;'管线现金流'!AK3170&amp;"|"&amp;'管线现金流'!I3171&amp;"|"&amp;'管线现金流'!AK3171&amp;"|"&amp;'管线现金流'!I3172&amp;"|"&amp;'管线现金流'!AK3172&amp;"|"&amp;'管线现金流'!I3173&amp;"|"&amp;'管线现金流'!AK3173&amp;"|"&amp;'管线现金流'!I3174&amp;"|"&amp;'管线现金流'!AK3174&amp;"|"&amp;'管线现金流'!I3175&amp;"|"&amp;'管线现金流'!AK3175&amp;"|"&amp;'管线现金流'!I3176&amp;"|"&amp;'管线现金流'!AK3176&amp;"|"&amp;'管线现金流'!I3177&amp;"|"&amp;'管线现金流'!AK3177&amp;"|"&amp;'管线现金流'!I3178&amp;"|"&amp;'管线现金流'!AK3178&amp;"|"&amp;'管线现金流'!I3179&amp;"|"&amp;'管线现金流'!AK3179&amp;"|"&amp;'管线现金流'!I3180&amp;"|"&amp;'管线现金流'!AK3180&amp;"|"&amp;'管线现金流'!I3181&amp;"|"&amp;'管线现金流'!AK3181&amp;"|"&amp;'管线现金流'!I3182&amp;"|"&amp;'管线现金流'!AK3182&amp;"|"&amp;'管线现金流'!I3183&amp;"|"&amp;'管线现金流'!AK3183&amp;"|"&amp;'管线现金流'!I3184&amp;"|"&amp;'管线现金流'!AK3184&amp;"|"&amp;'管线现金流'!I3185&amp;"|"&amp;'管线现金流'!AK3185&amp;"|"&amp;'管线现金流'!I3186&amp;"|"&amp;'管线现金流'!AK3186&amp;"|"&amp;'管线现金流'!I3187&amp;"|"&amp;'管线现金流'!AK3187&amp;"|"&amp;'管线现金流'!I3188&amp;"|"&amp;'管线现金流'!AK3188&amp;"|"&amp;'管线现金流'!I3189&amp;"|"&amp;'管线现金流'!AK3189&amp;"|"&amp;'管线现金流'!I3190&amp;"|"&amp;'管线现金流'!AK3190&amp;"|"&amp;'管线现金流'!I3191&amp;"|"&amp;'管线现金流'!AK3191&amp;"|"&amp;'管线现金流'!I3192&amp;"|"&amp;'管线现金流'!AK3192&amp;"|"&amp;'管线现金流'!I3193&amp;"|"&amp;'管线现金流'!AK3193&amp;"|"&amp;'管线现金流'!I3194&amp;"|"&amp;'管线现金流'!AK3194&amp;"|"&amp;'管线现金流'!I3195&amp;"|"&amp;'管线现金流'!AK3195&amp;"|"&amp;'管线现金流'!I3196&amp;"|"&amp;'管线现金流'!AK3196&amp;"|"&amp;'管线现金流'!I3197&amp;"|"&amp;'管线现金流'!AK3197&amp;"|"&amp;'管线现金流'!I3198&amp;"|"&amp;'管线现金流'!AK3198&amp;"|"&amp;'管线现金流'!I3199&amp;"|"&amp;'管线现金流'!AK3199&amp;"|"&amp;'管线现金流'!I3200&amp;"|"&amp;'管线现金流'!AK3200&amp;"|"&amp;'管线现金流'!I3201&amp;"|"&amp;'管线现金流'!AK3201&amp;"|"&amp;'管线现金流'!I3202&amp;"|"&amp;'管线现金流'!AK3202&amp;"|"&amp;'管线现金流'!I3203&amp;"|"&amp;'管线现金流'!AK3203&amp;"|"&amp;'管线现金流'!I3204&amp;"|"&amp;'管线现金流'!AK3204&amp;"|"&amp;'管线现金流'!I3205&amp;"|"&amp;'管线现金流'!AK3205&amp;"|"&amp;'管线现金流'!I3206&amp;"|"&amp;'管线现金流'!AK3206&amp;"|"&amp;'管线现金流'!I3207&amp;"|"&amp;'管线现金流'!AK3207&amp;"|"&amp;'管线现金流'!I3208&amp;"|"&amp;'管线现金流'!AK3208&amp;"|"&amp;'管线现金流'!I3209&amp;"|"&amp;'管线现金流'!AK3209&amp;"|"&amp;'管线现金流'!I3210&amp;"|"&amp;'管线现金流'!AK3210&amp;"|"&amp;'管线现金流'!I3211&amp;"|"&amp;'管线现金流'!AK3211&amp;"|"&amp;'管线现金流'!I3212&amp;"|"&amp;'管线现金流'!AK3212&amp;"|"&amp;'管线现金流'!I3213&amp;"|"&amp;'管线现金流'!AK3213&amp;"|"&amp;'管线现金流'!I3214&amp;"|"&amp;'管线现金流'!AK3214&amp;"|"&amp;'管线现金流'!I3215&amp;"|"&amp;'管线现金流'!AK3215&amp;"|"&amp;'管线现金流'!I3216&amp;"|"&amp;'管线现金流'!AK3216&amp;"|"&amp;'管线现金流'!I3217&amp;"|"&amp;'管线现金流'!AK3217&amp;"|"&amp;'管线现金流'!I3218&amp;"|"&amp;'管线现金流'!AK3218&amp;"|"&amp;'管线现金流'!I3219&amp;"|"&amp;'管线现金流'!AK3219&amp;"|"&amp;'管线现金流'!I3220&amp;"|"&amp;'管线现金流'!AK3220&amp;"|"&amp;'管线现金流'!I3221&amp;"|"&amp;'管线现金流'!AK3221&amp;"|"&amp;'管线现金流'!I3222&amp;"|"&amp;'管线现金流'!AK3222&amp;"|"&amp;'管线现金流'!I3223&amp;"|"&amp;'管线现金流'!AK3223&amp;"|"&amp;'管线现金流'!I3224&amp;"|"&amp;'管线现金流'!AK3224&amp;"|"&amp;'管线现金流'!I3225&amp;"|"&amp;'管线现金流'!AK3225&amp;"|"&amp;'管线现金流'!I3226&amp;"|"&amp;'管线现金流'!AK3226&amp;"|"&amp;'管线现金流'!I3227&amp;"|"&amp;'管线现金流'!AK3227&amp;"|"&amp;'管线现金流'!I3228&amp;"|"&amp;'管线现金流'!AK3228&amp;"|"&amp;'管线现金流'!I3229&amp;"|"&amp;'管线现金流'!AK3229&amp;"|"&amp;'管线现金流'!I3230&amp;"|"&amp;'管线现金流'!AK3230&amp;"|"&amp;'管线现金流'!I3231&amp;"|"&amp;'管线现金流'!AK3231&amp;"|"&amp;'管线现金流'!I3232&amp;"|"&amp;'管线现金流'!AK3232&amp;"|"&amp;'管线现金流'!I3233&amp;"|"&amp;'管线现金流'!AK3233&amp;"|"&amp;'管线现金流'!I3234&amp;"|"&amp;'管线现金流'!AK3234&amp;"|"&amp;'管线现金流'!I3235&amp;"|"&amp;'管线现金流'!AK3235&amp;"|"&amp;'管线现金流'!I3236&amp;"|"&amp;'管线现金流'!AK3236&amp;"|"&amp;'管线现金流'!I3237&amp;"|"&amp;'管线现金流'!AK3237&amp;"|"&amp;'管线现金流'!I3238&amp;"|"&amp;'管线现金流'!AK3238&amp;"|"&amp;'管线现金流'!I3239&amp;"|"&amp;'管线现金流'!AK3239&amp;"|"&amp;'管线现金流'!I3240&amp;"|"&amp;'管线现金流'!AK3240&amp;"|"&amp;'管线现金流'!I3241&amp;"|"&amp;'管线现金流'!AK3241&amp;"|"&amp;'管线现金流'!I3242&amp;"|"&amp;'管线现金流'!AK3242&amp;"|"&amp;'管线现金流'!I3243&amp;"|"&amp;'管线现金流'!AK3243&amp;"|"&amp;'管线现金流'!I3244&amp;"|"&amp;'管线现金流'!AK3244&amp;"|"&amp;'管线现金流'!I3245&amp;"|"&amp;'管线现金流'!AK3245&amp;"|"&amp;'管线现金流'!I3246&amp;"|"&amp;'管线现金流'!AK3246&amp;"|"&amp;'管线现金流'!I3247&amp;"|"&amp;'管线现金流'!AK3247&amp;"|"&amp;'管线现金流'!I3248&amp;"|"&amp;'管线现金流'!AK3248&amp;"|"&amp;'管线现金流'!I3249&amp;"|"&amp;'管线现金流'!AK3249&amp;"|"&amp;'管线现金流'!I3250&amp;"|"&amp;'管线现金流'!AK3250&amp;"|"&amp;'管线现金流'!I3251&amp;"|"&amp;'管线现金流'!AK3251&amp;"|"&amp;'管线现金流'!I3252&amp;"|"&amp;'管线现金流'!AK3252&amp;"|"&amp;'管线现金流'!I3253&amp;"|"&amp;'管线现金流'!AK3253&amp;"|"&amp;'管线现金流'!I3254&amp;"|"&amp;'管线现金流'!AK3254&amp;"|"&amp;'管线现金流'!I3255&amp;"|"&amp;'管线现金流'!AK3255&amp;"|"&amp;'管线现金流'!I3256&amp;"|"&amp;'管线现金流'!AK3256&amp;"|"&amp;'管线现金流'!I3257&amp;"|"&amp;'管线现金流'!AK3257&amp;"|"&amp;'管线现金流'!I3258&amp;"|"&amp;'管线现金流'!AK3258&amp;"|"&amp;'管线现金流'!I3259&amp;"|"&amp;'管线现金流'!AK3259&amp;"|"&amp;'管线现金流'!I3260&amp;"|"&amp;'管线现金流'!AK3260&amp;"|"&amp;'管线现金流'!I3261&amp;"|"&amp;'管线现金流'!AK3261&amp;"|"&amp;'管线现金流'!I3262&amp;"|"&amp;'管线现金流'!AK3262&amp;"|"&amp;'管线现金流'!I3263&amp;"|"&amp;'管线现金流'!AK3263&amp;"|"&amp;'管线现金流'!I3264&amp;"|"&amp;'管线现金流'!AK3264&amp;"|"&amp;'管线现金流'!I3265&amp;"|"&amp;'管线现金流'!AK3265&amp;"|"&amp;'管线现金流'!I3266&amp;"|"&amp;'管线现金流'!AK3266&amp;"|"&amp;'管线现金流'!I3267&amp;"|"&amp;'管线现金流'!AK3267&amp;"|"&amp;'管线现金流'!I3268&amp;"|"&amp;'管线现金流'!AK3268&amp;"|"&amp;'管线现金流'!I3269&amp;"|"&amp;'管线现金流'!AK3269&amp;"|"&amp;'管线现金流'!I3270&amp;"|"&amp;'管线现金流'!AK3270&amp;"|"&amp;'管线现金流'!I3271&amp;"|"&amp;'管线现金流'!AK3271&amp;"|"&amp;'管线现金流'!I3272&amp;"|"&amp;'管线现金流'!AK3272&amp;"|"&amp;'管线现金流'!I3273&amp;"|"&amp;'管线现金流'!AK3273&amp;"|"&amp;'管线现金流'!I3274&amp;"|"&amp;'管线现金流'!AK3274&amp;"|"&amp;'管线现金流'!I3275&amp;"|"&amp;'管线现金流'!AK3275&amp;"|"&amp;'管线现金流'!I3276&amp;"|"&amp;'管线现金流'!AK3276&amp;"|"&amp;'管线现金流'!I3277&amp;"|"&amp;'管线现金流'!AK3277&amp;"|"&amp;'管线现金流'!I3278&amp;"|"&amp;'管线现金流'!AK3278&amp;"|"&amp;'管线现金流'!I3279&amp;"|"&amp;'管线现金流'!AK3279&amp;"|"&amp;'管线现金流'!I3280&amp;"|"&amp;'管线现金流'!AK3280&amp;"|"&amp;'管线现金流'!I3281&amp;"|"&amp;'管线现金流'!AK3281&amp;"|"&amp;'管线现金流'!I3282&amp;"|"&amp;'管线现金流'!AK3282&amp;"|"&amp;'管线现金流'!I3283&amp;"|"&amp;'管线现金流'!AK3283&amp;"|"&amp;'管线现金流'!I3284&amp;"|"&amp;'管线现金流'!AK3284&amp;"|"&amp;'管线现金流'!I3285&amp;"|"&amp;'管线现金流'!AK3285&amp;"|"&amp;'管线现金流'!I3286&amp;"|"&amp;'管线现金流'!AK3286&amp;"|"&amp;'管线现金流'!I3287&amp;"|"&amp;'管线现金流'!AK3287&amp;"|"&amp;'管线现金流'!I3288&amp;"|"&amp;'管线现金流'!AK3288&amp;"|"&amp;'管线现金流'!I3289&amp;"|"&amp;'管线现金流'!AK3289&amp;"|"&amp;'管线现金流'!I3290&amp;"|"&amp;'管线现金流'!AK3290&amp;"|"&amp;'管线现金流'!I3291&amp;"|"&amp;'管线现金流'!AK3291&amp;"|"&amp;'管线现金流'!I3292&amp;"|"&amp;'管线现金流'!AK3292&amp;"|"&amp;'管线现金流'!I3293&amp;"|"&amp;'管线现金流'!AK3293&amp;"|"&amp;'管线现金流'!I3294&amp;"|"&amp;'管线现金流'!AK3294&amp;"|"&amp;'管线现金流'!I3295&amp;"|"&amp;'管线现金流'!AK3295&amp;"|"&amp;'管线现金流'!I3296&amp;"|"&amp;'管线现金流'!AK3296&amp;"|"&amp;'管线现金流'!I3297&amp;"|"&amp;'管线现金流'!AK3297&amp;"|"&amp;'管线现金流'!I3298&amp;"|"&amp;'管线现金流'!AK3298&amp;"|"&amp;'管线现金流'!I3299&amp;"|"&amp;'管线现金流'!AK3299&amp;"|"&amp;'管线现金流'!I3300&amp;"|"&amp;'管线现金流'!AK3300&amp;"|"&amp;'管线现金流'!I3301&amp;"|"&amp;'管线现金流'!AK3301&amp;"|"&amp;'管线现金流'!I3302&amp;"|"&amp;'管线现金流'!AK3302&amp;"|"&amp;'管线现金流'!I3303&amp;"|"&amp;'管线现金流'!AK3303&amp;"|"&amp;'管线现金流'!I3304&amp;"|"&amp;'管线现金流'!AK3304&amp;"|"&amp;'管线现金流'!I3305&amp;"|"&amp;'管线现金流'!AK3305&amp;"|"&amp;'管线现金流'!I3306&amp;"|"&amp;'管线现金流'!AK3306&amp;"|"&amp;'管线现金流'!I3307&amp;"|"&amp;'管线现金流'!AK3307&amp;"|"&amp;'管线现金流'!I3308&amp;"|"&amp;'管线现金流'!AK3308&amp;"|"&amp;'管线现金流'!I3309&amp;"|"&amp;'管线现金流'!AK3309&amp;"|"&amp;'管线现金流'!I3310&amp;"|"&amp;'管线现金流'!AK3310&amp;"|"&amp;'管线现金流'!I3311&amp;"|"&amp;'管线现金流'!AK3311&amp;"|"&amp;'管线现金流'!I3312&amp;"|"&amp;'管线现金流'!AK3312&amp;"|"&amp;'管线现金流'!I3313&amp;"|"&amp;'管线现金流'!AK3313&amp;"|"&amp;'管线现金流'!I3314&amp;"|"&amp;'管线现金流'!AK3314&amp;"|"&amp;'管线现金流'!I3315&amp;"|"&amp;'管线现金流'!AK3315&amp;"|"&amp;'管线现金流'!I3316&amp;"|"&amp;'管线现金流'!AK3316&amp;"|"&amp;'管线现金流'!I3317&amp;"|"&amp;'管线现金流'!AK3317&amp;"|"&amp;'管线现金流'!I3318&amp;"|"&amp;'管线现金流'!AK3318&amp;"|"&amp;'管线现金流'!I3319&amp;"|"&amp;'管线现金流'!AK3319&amp;"|"&amp;'管线现金流'!I3320&amp;"|"&amp;'管线现金流'!AK3320&amp;"|"&amp;'管线现金流'!I3321&amp;"|"&amp;'管线现金流'!AK3321&amp;"|"&amp;'管线现金流'!I3322&amp;"|"&amp;'管线现金流'!AK3322&amp;"|"&amp;'管线现金流'!I3323&amp;"|"&amp;'管线现金流'!AK3323&amp;"|"&amp;'管线现金流'!I3324&amp;"|"&amp;'管线现金流'!AK3324&amp;"|"&amp;'管线现金流'!I3325&amp;"|"&amp;'管线现金流'!AK3325&amp;"|"&amp;'管线现金流'!I3326&amp;"|"&amp;'管线现金流'!AK3326&amp;"|"&amp;'管线现金流'!I3327&amp;"|"&amp;'管线现金流'!AK3327&amp;"|"&amp;'管线现金流'!I3328&amp;"|"&amp;'管线现金流'!AK3328&amp;"|"&amp;'管线现金流'!I3329&amp;"|"&amp;'管线现金流'!AK3329&amp;"|"&amp;'管线现金流'!I3330&amp;"|"&amp;'管线现金流'!AK3330&amp;"|"&amp;'管线现金流'!I3331&amp;"|"&amp;'管线现金流'!AK3331&amp;"|"&amp;'管线现金流'!I3332&amp;"|"&amp;'管线现金流'!AK3332&amp;"|"&amp;'管线现金流'!I3333&amp;"|"&amp;'管线现金流'!AK3333&amp;"|"&amp;'管线现金流'!I3334&amp;"|"&amp;'管线现金流'!AK3334&amp;"|"&amp;'管线现金流'!I3335&amp;"|"&amp;'管线现金流'!AK3335&amp;"|"&amp;'管线现金流'!I3336&amp;"|"&amp;'管线现金流'!AK3336&amp;"|"&amp;'管线现金流'!I3337&amp;"|"&amp;'管线现金流'!AK3337&amp;"|"&amp;'管线现金流'!I3338&amp;"|"&amp;'管线现金流'!AK3338&amp;"|"&amp;'管线现金流'!I3339&amp;"|"&amp;'管线现金流'!AK3339&amp;"|"&amp;'管线现金流'!I3340&amp;"|"&amp;'管线现金流'!AK3340&amp;"|"&amp;'管线现金流'!I3341&amp;"|"&amp;'管线现金流'!AK3341&amp;"|"&amp;'管线现金流'!I3342&amp;"|"&amp;'管线现金流'!AK3342&amp;"|"&amp;'管线现金流'!I3343&amp;"|"&amp;'管线现金流'!AK3343&amp;"|"&amp;'管线现金流'!I3344&amp;"|"&amp;'管线现金流'!AK3344&amp;"|"&amp;'管线现金流'!I3345&amp;"|"&amp;'管线现金流'!AK3345&amp;"|"&amp;'管线现金流'!I3346&amp;"|"&amp;'管线现金流'!AK3346&amp;"|"&amp;'管线现金流'!I3347&amp;"|"&amp;'管线现金流'!AK3347&amp;"|"&amp;'管线现金流'!I3348&amp;"|"&amp;'管线现金流'!AK3348&amp;"|"&amp;'管线现金流'!I3349&amp;"|"&amp;'管线现金流'!AK3349&amp;"|"&amp;'管线现金流'!I3350&amp;"|"&amp;'管线现金流'!AK3350&amp;"|"&amp;'管线现金流'!I3351&amp;"|"&amp;'管线现金流'!AK3351&amp;"|"&amp;'管线现金流'!I3352&amp;"|"&amp;'管线现金流'!AK3352&amp;"|"&amp;'管线现金流'!I3353&amp;"|"&amp;'管线现金流'!AK3353&amp;"|"&amp;'管线现金流'!I3354&amp;"|"&amp;'管线现金流'!AK3354&amp;"|"&amp;'管线现金流'!I3355&amp;"|"&amp;'管线现金流'!AK3355&amp;"|"&amp;'管线现金流'!I3356&amp;"|"&amp;'管线现金流'!AK3356&amp;"|"&amp;'管线现金流'!I3357&amp;"|"&amp;'管线现金流'!AK3357&amp;"|"&amp;'管线现金流'!I3358&amp;"|"&amp;'管线现金流'!AK3358&amp;"|"&amp;'管线现金流'!I3359&amp;"|"&amp;'管线现金流'!AK3359&amp;"|"&amp;'管线现金流'!I3360&amp;"|"&amp;'管线现金流'!AK3360&amp;"|"&amp;'管线现金流'!I3361&amp;"|"&amp;'管线现金流'!AK3361&amp;"|"&amp;'管线现金流'!I3362&amp;"|"&amp;'管线现金流'!AK3362&amp;"|"&amp;'管线现金流'!I3363&amp;"|"&amp;'管线现金流'!AK3363&amp;"|"&amp;'管线现金流'!I3364&amp;"|"&amp;'管线现金流'!AK3364&amp;"|"&amp;'管线现金流'!I3365&amp;"|"&amp;'管线现金流'!AK3365&amp;"|"&amp;'管线现金流'!I3366&amp;"|"&amp;'管线现金流'!AK3366&amp;"|"&amp;'管线现金流'!I3367&amp;"|"&amp;'管线现金流'!AK3367&amp;"|"&amp;'管线现金流'!I3368&amp;"|"&amp;'管线现金流'!AK3368&amp;"|"&amp;'管线现金流'!I3369&amp;"|"&amp;'管线现金流'!AK3369&amp;"|"&amp;'管线现金流'!I3370&amp;"|"&amp;'管线现金流'!AK3370&amp;"|"&amp;'管线现金流'!I3371&amp;"|"&amp;'管线现金流'!AK3371&amp;"|"&amp;'管线现金流'!I3372&amp;"|"&amp;'管线现金流'!AK3372&amp;"|"&amp;'管线现金流'!I3373&amp;"|"&amp;'管线现金流'!AK3373&amp;"|"&amp;'管线现金流'!I3374&amp;"|"&amp;'管线现金流'!AK3374&amp;"|"&amp;'管线现金流'!I3375&amp;"|"&amp;'管线现金流'!AK3375&amp;"|"&amp;'管线现金流'!I3376&amp;"|"&amp;'管线现金流'!AK3376&amp;"|"&amp;'管线现金流'!I3377&amp;"|"&amp;'管线现金流'!AK3377&amp;"|"&amp;'管线现金流'!I3378&amp;"|"&amp;'管线现金流'!AK3378&amp;"|"&amp;'管线现金流'!I3379&amp;"|"&amp;'管线现金流'!AK3379&amp;"|"&amp;'管线现金流'!I3380&amp;"|"&amp;'管线现金流'!AK3380&amp;"|"&amp;'管线现金流'!I3381&amp;"|"&amp;'管线现金流'!AK3381&amp;"|"&amp;'管线现金流'!I3382&amp;"|"&amp;'管线现金流'!AK3382&amp;"|"&amp;'管线现金流'!I3383&amp;"|"&amp;'管线现金流'!AK3383&amp;"|"&amp;'管线现金流'!I3384&amp;"|"&amp;'管线现金流'!AK3384&amp;"|"&amp;'管线现金流'!I3385&amp;"|"&amp;'管线现金流'!AK3385&amp;"|"&amp;'管线现金流'!I3386&amp;"|"&amp;'管线现金流'!AK3386&amp;"|"&amp;'管线现金流'!I3387&amp;"|"&amp;'管线现金流'!AK3387&amp;"|"&amp;'管线现金流'!I3388&amp;"|"&amp;'管线现金流'!AK3388&amp;"|"&amp;'管线现金流'!I3389&amp;"|"&amp;'管线现金流'!AK3389&amp;"|"&amp;'管线现金流'!I3390&amp;"|"&amp;'管线现金流'!AK3390&amp;"|"&amp;'管线现金流'!I3391&amp;"|"&amp;'管线现金流'!AK3391&amp;"|"&amp;'管线现金流'!I3392&amp;"|"&amp;'管线现金流'!AK3392&amp;"|"&amp;'管线现金流'!I3393&amp;"|"&amp;'管线现金流'!AK3393&amp;"|"&amp;'管线现金流'!I3394&amp;"|"&amp;'管线现金流'!AK3394&amp;"|"&amp;'管线现金流'!I3395&amp;"|"&amp;'管线现金流'!AK3395&amp;"|"&amp;'管线现金流'!I3396&amp;"|"&amp;'管线现金流'!AK3396&amp;"|"&amp;'管线现金流'!I3397&amp;"|"&amp;'管线现金流'!AK3397&amp;"|"&amp;'管线现金流'!I3398&amp;"|"&amp;'管线现金流'!AK3398&amp;"|"&amp;'管线现金流'!I3399&amp;"|"&amp;'管线现金流'!AK3399&amp;"|"&amp;'管线现金流'!I3400&amp;"|"&amp;'管线现金流'!AK3400&amp;"|"&amp;'管线现金流'!I3401&amp;"|"&amp;'管线现金流'!AK3401&amp;"|"&amp;'管线现金流'!I3402&amp;"|"&amp;'管线现金流'!AK3402&amp;"|"&amp;'管线现金流'!I3403&amp;"|"&amp;'管线现金流'!AK3403&amp;"|"&amp;'管线现金流'!I3404&amp;"|"&amp;'管线现金流'!AK3404&amp;"|"&amp;'管线现金流'!I3405&amp;"|"&amp;'管线现金流'!AK3405&amp;"|"&amp;'管线现金流'!I3406&amp;"|"&amp;'管线现金流'!AK3406&amp;"|"&amp;'管线现金流'!I3407&amp;"|"&amp;'管线现金流'!AK3407&amp;"|"&amp;'管线现金流'!I3408&amp;"|"&amp;'管线现金流'!AK3408&amp;"|"&amp;'管线现金流'!I3409&amp;"|"&amp;'管线现金流'!AK3409&amp;"|"&amp;'管线现金流'!I3410&amp;"|"&amp;'管线现金流'!AK3410&amp;"|"&amp;'管线现金流'!I3411&amp;"|"&amp;'管线现金流'!AK3411&amp;"|"&amp;'管线现金流'!I3412&amp;"|"&amp;'管线现金流'!AK3412&amp;"|"&amp;'管线现金流'!I3413&amp;"|"&amp;'管线现金流'!AK3413&amp;"|"&amp;'管线现金流'!I3414&amp;"|"&amp;'管线现金流'!AK3414&amp;"|"&amp;'管线现金流'!I3415&amp;"|"&amp;'管线现金流'!AK3415&amp;"|"&amp;'管线现金流'!I3416&amp;"|"&amp;'管线现金流'!AK3416&amp;"|"&amp;'管线现金流'!I3417&amp;"|"&amp;'管线现金流'!AK3417&amp;"|"&amp;'管线现金流'!I3418&amp;"|"&amp;'管线现金流'!AK3418&amp;"|"&amp;'管线现金流'!I3419&amp;"|"&amp;'管线现金流'!AK3419&amp;"|"&amp;'管线现金流'!I3420&amp;"|"&amp;'管线现金流'!AK3420&amp;"|"&amp;'管线现金流'!I3421&amp;"|"&amp;'管线现金流'!AK3421&amp;"|"&amp;'管线现金流'!I3422&amp;"|"&amp;'管线现金流'!AK3422&amp;"|"&amp;'管线现金流'!I3423&amp;"|"&amp;'管线现金流'!AK3423&amp;"|"&amp;'管线现金流'!I3424&amp;"|"&amp;'管线现金流'!AK3424&amp;"|"&amp;'管线现金流'!I3425&amp;"|"&amp;'管线现金流'!AK3425&amp;"|"&amp;'管线现金流'!I3426&amp;"|"&amp;'管线现金流'!AK3426&amp;"|"&amp;'管线现金流'!I3427&amp;"|"&amp;'管线现金流'!AK3427&amp;"|"&amp;'管线现金流'!I3428&amp;"|"&amp;'管线现金流'!AK3428&amp;"|"&amp;'管线现金流'!I3429&amp;"|"&amp;'管线现金流'!AK3429&amp;"|"&amp;'管线现金流'!I3430&amp;"|"&amp;'管线现金流'!AK3430&amp;"|"&amp;'管线现金流'!I3431&amp;"|"&amp;'管线现金流'!AK3431&amp;"|"&amp;'管线现金流'!I3432&amp;"|"&amp;'管线现金流'!AK3432&amp;"|"&amp;'管线现金流'!I3433&amp;"|"&amp;'管线现金流'!AK3433&amp;"|"&amp;'管线现金流'!I3434&amp;"|"&amp;'管线现金流'!AK3434&amp;"|"&amp;'管线现金流'!I3435&amp;"|"&amp;'管线现金流'!AK3435&amp;"|"&amp;'管线现金流'!I3436&amp;"|"&amp;'管线现金流'!AK3436&amp;"|"&amp;'管线现金流'!V33&amp;"|"&amp;'管线现金流'!Y33&amp;"|"&amp;'管线现金流'!AP33&amp;"|"&amp;'管线现金流'!AS33&amp;"|"&amp;'管线现金流'!V34&amp;"|"&amp;'管线现金流'!Y34&amp;"|"&amp;'管线现金流'!AP34&amp;"|"&amp;'管线现金流'!AS34</x:f>
        <x:v>1|1.2|1.1|1|0.0656|1|0.135|6.8|1|0.08200000000000002|1|0.135|6.8|0.6048|0.08200000000000002|1|0.135|6.8|0.44520000000000004|0.08200000000000002|1|0.135|6.8|0.41479999999999995|0.08200000000000002|1|0.135|6.8|0.7112|0.28|1|0.135|6.8|0.4528|0.28|1|0.135|6.8|0.3767999999999999|0.28|1|0.135|6.8|0.4680000000000001|0.28|1|0.135|6.8|0.354|0.28|1|0.135|6.8|0.506|0.08200000000000002|1|0.135|6.8|0.62|0.28|1|0.135|6.8|0.3767999999999999|0.2|1|0.135|6.8|0.5287999999999999|0.28|1|0.135|6.8|0.42999999999999994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</x:row>
    <x:row r="348" ht="23" customHeight="1">
      <x:c r="A348" s="11" t="str">
        <x:v>688382.SH</x:v>
      </x:c>
      <x:c r="B348" s="11" t="str">
        <x:v>益方生物</x:v>
      </x:c>
      <x:c r="C348" s="11" t="str">
        <x:v>三年</x:v>
      </x:c>
      <x:c r="D348" s="11" t="str">
        <x:v>乐观</x:v>
      </x:c>
      <x:c r="E348" s="11" t="n">
        <x:v>17.26</x:v>
      </x:c>
      <x:c r="F348" s="11" t="n">
        <x:v>63.89009222458887</x:v>
      </x:c>
      <x:c r="G348" s="11" t="n">
        <x:v>0</x:v>
      </x:c>
      <x:c r="H348" s="25" t="n">
        <x:v>2.7016275912276284</x:v>
      </x:c>
      <x:c r="I348" s="25" t="n">
        <x:v>2.7016275912276284</x:v>
      </x:c>
      <x:c r="J348" s="25" t="n">
        <x:v>0.546907130022295</x:v>
      </x:c>
      <x:c r="K348" s="11" t="n">
        <x:v>0</x:v>
      </x:c>
      <x:c r="L348" s="11" t="n">
        <x:v>0</x:v>
      </x:c>
      <x:c r="M348" s="11" t="n">
        <x:v>1</x:v>
      </x:c>
      <x:c r="N348" s="11" t="n">
        <x:v>0</x:v>
      </x:c>
      <x:c r="O348" s="11" t="n">
        <x:v>0</x:v>
      </x:c>
      <x:c r="P348" s="11" t="n">
        <x:v>0</x:v>
      </x:c>
      <x:c r="Q348" s="11" t="n">
        <x:v>0.64</x:v>
      </x:c>
      <x:c r="R348" s="11" t="str">
        <x:v>inventis-rnpv-v1.0</x:v>
      </x:c>
      <x:c r="S348" s="11" t="str">
        <x:v>2026-10-10</x:v>
      </x:c>
      <x:c r="T348" s="11" t="str">
        <x:f>IF(AND(SUM(IF(K348='假设'!E462,0,1),IF(L348='假设'!F462,0,1),IF(M348='假设'!G462,0,1),IF(N348='假设'!H462,0,1),IF(O348='假设'!I462,0,1),IF(P348='假设'!J462,0,1),IF(Q348='假设'!K462,0,1))=0,U348=V348),"已刷新","待刷新")</x:f>
        <x:v>已刷新</x:v>
      </x:c>
      <x:c r="U348" t="str">
        <x:v>1|2|1.3|1|0.0935|1|0.105|6.8|1|0.1105|1|0.105|6.8|0.82|0.1105|1|0.105|6.8|0.7|0.1105|1|0.105|6.8|0.6699999999999999|0.1105|1|0.105|6.8|0.892|0.36|1|0.105|6.8|0.7|0.36|1|0.105|6.8|0.628|0.36|1|0.105|6.8|0.73|0.36|1|0.105|6.8|0.6040000000000001|0.36|1|0.105|6.8|0.76|0.1105|1|0.105|6.8|0.85|0.36|1|0.105|6.8|0.64|0.28|1|0.105|6.8|0.772|0.36|1|0.105|6.8|0.688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  <x:c r="V348" t="str">
        <x:f>'假设'!U462&amp;"|"&amp;'假设'!N462&amp;"|"&amp;'假设'!Q462&amp;"|"&amp;'管线假设'!E690&amp;"|"&amp;'管线假设'!F690&amp;"|"&amp;'管线假设'!G690&amp;"|"&amp;'管线假设'!H690&amp;"|"&amp;'管线假设'!I690&amp;"|"&amp;'管线假设'!E694&amp;"|"&amp;'管线假设'!F694&amp;"|"&amp;'管线假设'!G694&amp;"|"&amp;'管线假设'!H694&amp;"|"&amp;'管线假设'!I694&amp;"|"&amp;'管线假设'!E698&amp;"|"&amp;'管线假设'!F698&amp;"|"&amp;'管线假设'!G698&amp;"|"&amp;'管线假设'!H698&amp;"|"&amp;'管线假设'!I698&amp;"|"&amp;'管线假设'!E702&amp;"|"&amp;'管线假设'!F702&amp;"|"&amp;'管线假设'!G702&amp;"|"&amp;'管线假设'!H702&amp;"|"&amp;'管线假设'!I702&amp;"|"&amp;'管线假设'!E706&amp;"|"&amp;'管线假设'!F706&amp;"|"&amp;'管线假设'!G706&amp;"|"&amp;'管线假设'!H706&amp;"|"&amp;'管线假设'!I706&amp;"|"&amp;'管线假设'!E710&amp;"|"&amp;'管线假设'!F710&amp;"|"&amp;'管线假设'!G710&amp;"|"&amp;'管线假设'!H710&amp;"|"&amp;'管线假设'!I710&amp;"|"&amp;'管线假设'!E714&amp;"|"&amp;'管线假设'!F714&amp;"|"&amp;'管线假设'!G714&amp;"|"&amp;'管线假设'!H714&amp;"|"&amp;'管线假设'!I714&amp;"|"&amp;'管线假设'!E718&amp;"|"&amp;'管线假设'!F718&amp;"|"&amp;'管线假设'!G718&amp;"|"&amp;'管线假设'!H718&amp;"|"&amp;'管线假设'!I718&amp;"|"&amp;'管线假设'!E722&amp;"|"&amp;'管线假设'!F722&amp;"|"&amp;'管线假设'!G722&amp;"|"&amp;'管线假设'!H722&amp;"|"&amp;'管线假设'!I722&amp;"|"&amp;'管线假设'!E726&amp;"|"&amp;'管线假设'!F726&amp;"|"&amp;'管线假设'!G726&amp;"|"&amp;'管线假设'!H726&amp;"|"&amp;'管线假设'!I726&amp;"|"&amp;'管线假设'!E730&amp;"|"&amp;'管线假设'!F730&amp;"|"&amp;'管线假设'!G730&amp;"|"&amp;'管线假设'!H730&amp;"|"&amp;'管线假设'!I730&amp;"|"&amp;'管线假设'!E734&amp;"|"&amp;'管线假设'!F734&amp;"|"&amp;'管线假设'!G734&amp;"|"&amp;'管线假设'!H734&amp;"|"&amp;'管线假设'!I734&amp;"|"&amp;'管线假设'!E738&amp;"|"&amp;'管线假设'!F738&amp;"|"&amp;'管线假设'!G738&amp;"|"&amp;'管线假设'!H738&amp;"|"&amp;'管线假设'!I738&amp;"|"&amp;'管线假设'!E742&amp;"|"&amp;'管线假设'!F742&amp;"|"&amp;'管线假设'!G742&amp;"|"&amp;'管线假设'!H742&amp;"|"&amp;'管线假设'!I742&amp;"|"&amp;'管线假设'!E746&amp;"|"&amp;'管线假设'!F746&amp;"|"&amp;'管线假设'!G746&amp;"|"&amp;'管线假设'!H746&amp;"|"&amp;'管线假设'!I746&amp;"|"&amp;'管线现金流'!J3152&amp;"|"&amp;'管线现金流'!AL3152&amp;"|"&amp;'管线现金流'!J3153&amp;"|"&amp;'管线现金流'!AL3153&amp;"|"&amp;'管线现金流'!J3154&amp;"|"&amp;'管线现金流'!AL3154&amp;"|"&amp;'管线现金流'!J3155&amp;"|"&amp;'管线现金流'!AL3155&amp;"|"&amp;'管线现金流'!J3156&amp;"|"&amp;'管线现金流'!AL3156&amp;"|"&amp;'管线现金流'!J3157&amp;"|"&amp;'管线现金流'!AL3157&amp;"|"&amp;'管线现金流'!J3158&amp;"|"&amp;'管线现金流'!AL3158&amp;"|"&amp;'管线现金流'!J3159&amp;"|"&amp;'管线现金流'!AL3159&amp;"|"&amp;'管线现金流'!J3160&amp;"|"&amp;'管线现金流'!AL3160&amp;"|"&amp;'管线现金流'!J3161&amp;"|"&amp;'管线现金流'!AL3161&amp;"|"&amp;'管线现金流'!J3162&amp;"|"&amp;'管线现金流'!AL3162&amp;"|"&amp;'管线现金流'!J3163&amp;"|"&amp;'管线现金流'!AL3163&amp;"|"&amp;'管线现金流'!J3164&amp;"|"&amp;'管线现金流'!AL3164&amp;"|"&amp;'管线现金流'!J3165&amp;"|"&amp;'管线现金流'!AL3165&amp;"|"&amp;'管线现金流'!J3166&amp;"|"&amp;'管线现金流'!AL3166&amp;"|"&amp;'管线现金流'!J3167&amp;"|"&amp;'管线现金流'!AL3167&amp;"|"&amp;'管线现金流'!J3168&amp;"|"&amp;'管线现金流'!AL3168&amp;"|"&amp;'管线现金流'!J3169&amp;"|"&amp;'管线现金流'!AL3169&amp;"|"&amp;'管线现金流'!J3170&amp;"|"&amp;'管线现金流'!AL3170&amp;"|"&amp;'管线现金流'!J3171&amp;"|"&amp;'管线现金流'!AL3171&amp;"|"&amp;'管线现金流'!J3172&amp;"|"&amp;'管线现金流'!AL3172&amp;"|"&amp;'管线现金流'!J3173&amp;"|"&amp;'管线现金流'!AL3173&amp;"|"&amp;'管线现金流'!J3174&amp;"|"&amp;'管线现金流'!AL3174&amp;"|"&amp;'管线现金流'!J3175&amp;"|"&amp;'管线现金流'!AL3175&amp;"|"&amp;'管线现金流'!J3176&amp;"|"&amp;'管线现金流'!AL3176&amp;"|"&amp;'管线现金流'!J3177&amp;"|"&amp;'管线现金流'!AL3177&amp;"|"&amp;'管线现金流'!J3178&amp;"|"&amp;'管线现金流'!AL3178&amp;"|"&amp;'管线现金流'!J3179&amp;"|"&amp;'管线现金流'!AL3179&amp;"|"&amp;'管线现金流'!J3180&amp;"|"&amp;'管线现金流'!AL3180&amp;"|"&amp;'管线现金流'!J3181&amp;"|"&amp;'管线现金流'!AL3181&amp;"|"&amp;'管线现金流'!J3182&amp;"|"&amp;'管线现金流'!AL3182&amp;"|"&amp;'管线现金流'!J3183&amp;"|"&amp;'管线现金流'!AL3183&amp;"|"&amp;'管线现金流'!J3184&amp;"|"&amp;'管线现金流'!AL3184&amp;"|"&amp;'管线现金流'!J3185&amp;"|"&amp;'管线现金流'!AL3185&amp;"|"&amp;'管线现金流'!J3186&amp;"|"&amp;'管线现金流'!AL3186&amp;"|"&amp;'管线现金流'!J3187&amp;"|"&amp;'管线现金流'!AL3187&amp;"|"&amp;'管线现金流'!J3188&amp;"|"&amp;'管线现金流'!AL3188&amp;"|"&amp;'管线现金流'!J3189&amp;"|"&amp;'管线现金流'!AL3189&amp;"|"&amp;'管线现金流'!J3190&amp;"|"&amp;'管线现金流'!AL3190&amp;"|"&amp;'管线现金流'!J3191&amp;"|"&amp;'管线现金流'!AL3191&amp;"|"&amp;'管线现金流'!J3192&amp;"|"&amp;'管线现金流'!AL3192&amp;"|"&amp;'管线现金流'!J3193&amp;"|"&amp;'管线现金流'!AL3193&amp;"|"&amp;'管线现金流'!J3194&amp;"|"&amp;'管线现金流'!AL3194&amp;"|"&amp;'管线现金流'!J3195&amp;"|"&amp;'管线现金流'!AL3195&amp;"|"&amp;'管线现金流'!J3196&amp;"|"&amp;'管线现金流'!AL3196&amp;"|"&amp;'管线现金流'!J3197&amp;"|"&amp;'管线现金流'!AL3197&amp;"|"&amp;'管线现金流'!J3198&amp;"|"&amp;'管线现金流'!AL3198&amp;"|"&amp;'管线现金流'!J3199&amp;"|"&amp;'管线现金流'!AL3199&amp;"|"&amp;'管线现金流'!J3200&amp;"|"&amp;'管线现金流'!AL3200&amp;"|"&amp;'管线现金流'!J3201&amp;"|"&amp;'管线现金流'!AL3201&amp;"|"&amp;'管线现金流'!J3202&amp;"|"&amp;'管线现金流'!AL3202&amp;"|"&amp;'管线现金流'!J3203&amp;"|"&amp;'管线现金流'!AL3203&amp;"|"&amp;'管线现金流'!J3204&amp;"|"&amp;'管线现金流'!AL3204&amp;"|"&amp;'管线现金流'!J3205&amp;"|"&amp;'管线现金流'!AL3205&amp;"|"&amp;'管线现金流'!J3206&amp;"|"&amp;'管线现金流'!AL3206&amp;"|"&amp;'管线现金流'!J3207&amp;"|"&amp;'管线现金流'!AL3207&amp;"|"&amp;'管线现金流'!J3208&amp;"|"&amp;'管线现金流'!AL3208&amp;"|"&amp;'管线现金流'!J3209&amp;"|"&amp;'管线现金流'!AL3209&amp;"|"&amp;'管线现金流'!J3210&amp;"|"&amp;'管线现金流'!AL3210&amp;"|"&amp;'管线现金流'!J3211&amp;"|"&amp;'管线现金流'!AL3211&amp;"|"&amp;'管线现金流'!J3212&amp;"|"&amp;'管线现金流'!AL3212&amp;"|"&amp;'管线现金流'!J3213&amp;"|"&amp;'管线现金流'!AL3213&amp;"|"&amp;'管线现金流'!J3214&amp;"|"&amp;'管线现金流'!AL3214&amp;"|"&amp;'管线现金流'!J3215&amp;"|"&amp;'管线现金流'!AL3215&amp;"|"&amp;'管线现金流'!J3216&amp;"|"&amp;'管线现金流'!AL3216&amp;"|"&amp;'管线现金流'!J3217&amp;"|"&amp;'管线现金流'!AL3217&amp;"|"&amp;'管线现金流'!J3218&amp;"|"&amp;'管线现金流'!AL3218&amp;"|"&amp;'管线现金流'!J3219&amp;"|"&amp;'管线现金流'!AL3219&amp;"|"&amp;'管线现金流'!J3220&amp;"|"&amp;'管线现金流'!AL3220&amp;"|"&amp;'管线现金流'!J3221&amp;"|"&amp;'管线现金流'!AL3221&amp;"|"&amp;'管线现金流'!J3222&amp;"|"&amp;'管线现金流'!AL3222&amp;"|"&amp;'管线现金流'!J3223&amp;"|"&amp;'管线现金流'!AL3223&amp;"|"&amp;'管线现金流'!J3224&amp;"|"&amp;'管线现金流'!AL3224&amp;"|"&amp;'管线现金流'!J3225&amp;"|"&amp;'管线现金流'!AL3225&amp;"|"&amp;'管线现金流'!J3226&amp;"|"&amp;'管线现金流'!AL3226&amp;"|"&amp;'管线现金流'!J3227&amp;"|"&amp;'管线现金流'!AL3227&amp;"|"&amp;'管线现金流'!J3228&amp;"|"&amp;'管线现金流'!AL3228&amp;"|"&amp;'管线现金流'!J3229&amp;"|"&amp;'管线现金流'!AL3229&amp;"|"&amp;'管线现金流'!J3230&amp;"|"&amp;'管线现金流'!AL3230&amp;"|"&amp;'管线现金流'!J3231&amp;"|"&amp;'管线现金流'!AL3231&amp;"|"&amp;'管线现金流'!J3232&amp;"|"&amp;'管线现金流'!AL3232&amp;"|"&amp;'管线现金流'!J3233&amp;"|"&amp;'管线现金流'!AL3233&amp;"|"&amp;'管线现金流'!J3234&amp;"|"&amp;'管线现金流'!AL3234&amp;"|"&amp;'管线现金流'!J3235&amp;"|"&amp;'管线现金流'!AL3235&amp;"|"&amp;'管线现金流'!J3236&amp;"|"&amp;'管线现金流'!AL3236&amp;"|"&amp;'管线现金流'!J3237&amp;"|"&amp;'管线现金流'!AL3237&amp;"|"&amp;'管线现金流'!J3238&amp;"|"&amp;'管线现金流'!AL3238&amp;"|"&amp;'管线现金流'!J3239&amp;"|"&amp;'管线现金流'!AL3239&amp;"|"&amp;'管线现金流'!J3240&amp;"|"&amp;'管线现金流'!AL3240&amp;"|"&amp;'管线现金流'!J3241&amp;"|"&amp;'管线现金流'!AL3241&amp;"|"&amp;'管线现金流'!J3242&amp;"|"&amp;'管线现金流'!AL3242&amp;"|"&amp;'管线现金流'!J3243&amp;"|"&amp;'管线现金流'!AL3243&amp;"|"&amp;'管线现金流'!J3244&amp;"|"&amp;'管线现金流'!AL3244&amp;"|"&amp;'管线现金流'!J3245&amp;"|"&amp;'管线现金流'!AL3245&amp;"|"&amp;'管线现金流'!J3246&amp;"|"&amp;'管线现金流'!AL3246&amp;"|"&amp;'管线现金流'!J3247&amp;"|"&amp;'管线现金流'!AL3247&amp;"|"&amp;'管线现金流'!J3248&amp;"|"&amp;'管线现金流'!AL3248&amp;"|"&amp;'管线现金流'!J3249&amp;"|"&amp;'管线现金流'!AL3249&amp;"|"&amp;'管线现金流'!J3250&amp;"|"&amp;'管线现金流'!AL3250&amp;"|"&amp;'管线现金流'!J3251&amp;"|"&amp;'管线现金流'!AL3251&amp;"|"&amp;'管线现金流'!J3252&amp;"|"&amp;'管线现金流'!AL3252&amp;"|"&amp;'管线现金流'!J3253&amp;"|"&amp;'管线现金流'!AL3253&amp;"|"&amp;'管线现金流'!J3254&amp;"|"&amp;'管线现金流'!AL3254&amp;"|"&amp;'管线现金流'!J3255&amp;"|"&amp;'管线现金流'!AL3255&amp;"|"&amp;'管线现金流'!J3256&amp;"|"&amp;'管线现金流'!AL3256&amp;"|"&amp;'管线现金流'!J3257&amp;"|"&amp;'管线现金流'!AL3257&amp;"|"&amp;'管线现金流'!J3258&amp;"|"&amp;'管线现金流'!AL3258&amp;"|"&amp;'管线现金流'!J3259&amp;"|"&amp;'管线现金流'!AL3259&amp;"|"&amp;'管线现金流'!J3260&amp;"|"&amp;'管线现金流'!AL3260&amp;"|"&amp;'管线现金流'!J3261&amp;"|"&amp;'管线现金流'!AL3261&amp;"|"&amp;'管线现金流'!J3262&amp;"|"&amp;'管线现金流'!AL3262&amp;"|"&amp;'管线现金流'!J3263&amp;"|"&amp;'管线现金流'!AL3263&amp;"|"&amp;'管线现金流'!J3264&amp;"|"&amp;'管线现金流'!AL3264&amp;"|"&amp;'管线现金流'!J3265&amp;"|"&amp;'管线现金流'!AL3265&amp;"|"&amp;'管线现金流'!J3266&amp;"|"&amp;'管线现金流'!AL3266&amp;"|"&amp;'管线现金流'!J3267&amp;"|"&amp;'管线现金流'!AL3267&amp;"|"&amp;'管线现金流'!J3268&amp;"|"&amp;'管线现金流'!AL3268&amp;"|"&amp;'管线现金流'!J3269&amp;"|"&amp;'管线现金流'!AL3269&amp;"|"&amp;'管线现金流'!J3270&amp;"|"&amp;'管线现金流'!AL3270&amp;"|"&amp;'管线现金流'!J3271&amp;"|"&amp;'管线现金流'!AL3271&amp;"|"&amp;'管线现金流'!J3272&amp;"|"&amp;'管线现金流'!AL3272&amp;"|"&amp;'管线现金流'!J3273&amp;"|"&amp;'管线现金流'!AL3273&amp;"|"&amp;'管线现金流'!J3274&amp;"|"&amp;'管线现金流'!AL3274&amp;"|"&amp;'管线现金流'!J3275&amp;"|"&amp;'管线现金流'!AL3275&amp;"|"&amp;'管线现金流'!J3276&amp;"|"&amp;'管线现金流'!AL3276&amp;"|"&amp;'管线现金流'!J3277&amp;"|"&amp;'管线现金流'!AL3277&amp;"|"&amp;'管线现金流'!J3278&amp;"|"&amp;'管线现金流'!AL3278&amp;"|"&amp;'管线现金流'!J3279&amp;"|"&amp;'管线现金流'!AL3279&amp;"|"&amp;'管线现金流'!J3280&amp;"|"&amp;'管线现金流'!AL3280&amp;"|"&amp;'管线现金流'!J3281&amp;"|"&amp;'管线现金流'!AL3281&amp;"|"&amp;'管线现金流'!J3282&amp;"|"&amp;'管线现金流'!AL3282&amp;"|"&amp;'管线现金流'!J3283&amp;"|"&amp;'管线现金流'!AL3283&amp;"|"&amp;'管线现金流'!J3284&amp;"|"&amp;'管线现金流'!AL3284&amp;"|"&amp;'管线现金流'!J3285&amp;"|"&amp;'管线现金流'!AL3285&amp;"|"&amp;'管线现金流'!J3286&amp;"|"&amp;'管线现金流'!AL3286&amp;"|"&amp;'管线现金流'!J3287&amp;"|"&amp;'管线现金流'!AL3287&amp;"|"&amp;'管线现金流'!J3288&amp;"|"&amp;'管线现金流'!AL3288&amp;"|"&amp;'管线现金流'!J3289&amp;"|"&amp;'管线现金流'!AL3289&amp;"|"&amp;'管线现金流'!J3290&amp;"|"&amp;'管线现金流'!AL3290&amp;"|"&amp;'管线现金流'!J3291&amp;"|"&amp;'管线现金流'!AL3291&amp;"|"&amp;'管线现金流'!J3292&amp;"|"&amp;'管线现金流'!AL3292&amp;"|"&amp;'管线现金流'!J3293&amp;"|"&amp;'管线现金流'!AL3293&amp;"|"&amp;'管线现金流'!J3294&amp;"|"&amp;'管线现金流'!AL3294&amp;"|"&amp;'管线现金流'!J3295&amp;"|"&amp;'管线现金流'!AL3295&amp;"|"&amp;'管线现金流'!J3296&amp;"|"&amp;'管线现金流'!AL3296&amp;"|"&amp;'管线现金流'!J3297&amp;"|"&amp;'管线现金流'!AL3297&amp;"|"&amp;'管线现金流'!J3298&amp;"|"&amp;'管线现金流'!AL3298&amp;"|"&amp;'管线现金流'!J3299&amp;"|"&amp;'管线现金流'!AL3299&amp;"|"&amp;'管线现金流'!J3300&amp;"|"&amp;'管线现金流'!AL3300&amp;"|"&amp;'管线现金流'!J3301&amp;"|"&amp;'管线现金流'!AL3301&amp;"|"&amp;'管线现金流'!J3302&amp;"|"&amp;'管线现金流'!AL3302&amp;"|"&amp;'管线现金流'!J3303&amp;"|"&amp;'管线现金流'!AL3303&amp;"|"&amp;'管线现金流'!J3304&amp;"|"&amp;'管线现金流'!AL3304&amp;"|"&amp;'管线现金流'!J3305&amp;"|"&amp;'管线现金流'!AL3305&amp;"|"&amp;'管线现金流'!J3306&amp;"|"&amp;'管线现金流'!AL3306&amp;"|"&amp;'管线现金流'!J3307&amp;"|"&amp;'管线现金流'!AL3307&amp;"|"&amp;'管线现金流'!J3308&amp;"|"&amp;'管线现金流'!AL3308&amp;"|"&amp;'管线现金流'!J3309&amp;"|"&amp;'管线现金流'!AL3309&amp;"|"&amp;'管线现金流'!J3310&amp;"|"&amp;'管线现金流'!AL3310&amp;"|"&amp;'管线现金流'!J3311&amp;"|"&amp;'管线现金流'!AL3311&amp;"|"&amp;'管线现金流'!J3312&amp;"|"&amp;'管线现金流'!AL3312&amp;"|"&amp;'管线现金流'!J3313&amp;"|"&amp;'管线现金流'!AL3313&amp;"|"&amp;'管线现金流'!J3314&amp;"|"&amp;'管线现金流'!AL3314&amp;"|"&amp;'管线现金流'!J3315&amp;"|"&amp;'管线现金流'!AL3315&amp;"|"&amp;'管线现金流'!J3316&amp;"|"&amp;'管线现金流'!AL3316&amp;"|"&amp;'管线现金流'!J3317&amp;"|"&amp;'管线现金流'!AL3317&amp;"|"&amp;'管线现金流'!J3318&amp;"|"&amp;'管线现金流'!AL3318&amp;"|"&amp;'管线现金流'!J3319&amp;"|"&amp;'管线现金流'!AL3319&amp;"|"&amp;'管线现金流'!J3320&amp;"|"&amp;'管线现金流'!AL3320&amp;"|"&amp;'管线现金流'!J3321&amp;"|"&amp;'管线现金流'!AL3321&amp;"|"&amp;'管线现金流'!J3322&amp;"|"&amp;'管线现金流'!AL3322&amp;"|"&amp;'管线现金流'!J3323&amp;"|"&amp;'管线现金流'!AL3323&amp;"|"&amp;'管线现金流'!J3324&amp;"|"&amp;'管线现金流'!AL3324&amp;"|"&amp;'管线现金流'!J3325&amp;"|"&amp;'管线现金流'!AL3325&amp;"|"&amp;'管线现金流'!J3326&amp;"|"&amp;'管线现金流'!AL3326&amp;"|"&amp;'管线现金流'!J3327&amp;"|"&amp;'管线现金流'!AL3327&amp;"|"&amp;'管线现金流'!J3328&amp;"|"&amp;'管线现金流'!AL3328&amp;"|"&amp;'管线现金流'!J3329&amp;"|"&amp;'管线现金流'!AL3329&amp;"|"&amp;'管线现金流'!J3330&amp;"|"&amp;'管线现金流'!AL3330&amp;"|"&amp;'管线现金流'!J3331&amp;"|"&amp;'管线现金流'!AL3331&amp;"|"&amp;'管线现金流'!J3332&amp;"|"&amp;'管线现金流'!AL3332&amp;"|"&amp;'管线现金流'!J3333&amp;"|"&amp;'管线现金流'!AL3333&amp;"|"&amp;'管线现金流'!J3334&amp;"|"&amp;'管线现金流'!AL3334&amp;"|"&amp;'管线现金流'!J3335&amp;"|"&amp;'管线现金流'!AL3335&amp;"|"&amp;'管线现金流'!J3336&amp;"|"&amp;'管线现金流'!AL3336&amp;"|"&amp;'管线现金流'!J3337&amp;"|"&amp;'管线现金流'!AL3337&amp;"|"&amp;'管线现金流'!J3338&amp;"|"&amp;'管线现金流'!AL3338&amp;"|"&amp;'管线现金流'!J3339&amp;"|"&amp;'管线现金流'!AL3339&amp;"|"&amp;'管线现金流'!J3340&amp;"|"&amp;'管线现金流'!AL3340&amp;"|"&amp;'管线现金流'!J3341&amp;"|"&amp;'管线现金流'!AL3341&amp;"|"&amp;'管线现金流'!J3342&amp;"|"&amp;'管线现金流'!AL3342&amp;"|"&amp;'管线现金流'!J3343&amp;"|"&amp;'管线现金流'!AL3343&amp;"|"&amp;'管线现金流'!J3344&amp;"|"&amp;'管线现金流'!AL3344&amp;"|"&amp;'管线现金流'!J3345&amp;"|"&amp;'管线现金流'!AL3345&amp;"|"&amp;'管线现金流'!J3346&amp;"|"&amp;'管线现金流'!AL3346&amp;"|"&amp;'管线现金流'!J3347&amp;"|"&amp;'管线现金流'!AL3347&amp;"|"&amp;'管线现金流'!J3348&amp;"|"&amp;'管线现金流'!AL3348&amp;"|"&amp;'管线现金流'!J3349&amp;"|"&amp;'管线现金流'!AL3349&amp;"|"&amp;'管线现金流'!J3350&amp;"|"&amp;'管线现金流'!AL3350&amp;"|"&amp;'管线现金流'!J3351&amp;"|"&amp;'管线现金流'!AL3351&amp;"|"&amp;'管线现金流'!J3352&amp;"|"&amp;'管线现金流'!AL3352&amp;"|"&amp;'管线现金流'!J3353&amp;"|"&amp;'管线现金流'!AL3353&amp;"|"&amp;'管线现金流'!J3354&amp;"|"&amp;'管线现金流'!AL3354&amp;"|"&amp;'管线现金流'!J3355&amp;"|"&amp;'管线现金流'!AL3355&amp;"|"&amp;'管线现金流'!J3356&amp;"|"&amp;'管线现金流'!AL3356&amp;"|"&amp;'管线现金流'!J3357&amp;"|"&amp;'管线现金流'!AL3357&amp;"|"&amp;'管线现金流'!J3358&amp;"|"&amp;'管线现金流'!AL3358&amp;"|"&amp;'管线现金流'!J3359&amp;"|"&amp;'管线现金流'!AL3359&amp;"|"&amp;'管线现金流'!J3360&amp;"|"&amp;'管线现金流'!AL3360&amp;"|"&amp;'管线现金流'!J3361&amp;"|"&amp;'管线现金流'!AL3361&amp;"|"&amp;'管线现金流'!J3362&amp;"|"&amp;'管线现金流'!AL3362&amp;"|"&amp;'管线现金流'!J3363&amp;"|"&amp;'管线现金流'!AL3363&amp;"|"&amp;'管线现金流'!J3364&amp;"|"&amp;'管线现金流'!AL3364&amp;"|"&amp;'管线现金流'!J3365&amp;"|"&amp;'管线现金流'!AL3365&amp;"|"&amp;'管线现金流'!J3366&amp;"|"&amp;'管线现金流'!AL3366&amp;"|"&amp;'管线现金流'!J3367&amp;"|"&amp;'管线现金流'!AL3367&amp;"|"&amp;'管线现金流'!J3368&amp;"|"&amp;'管线现金流'!AL3368&amp;"|"&amp;'管线现金流'!J3369&amp;"|"&amp;'管线现金流'!AL3369&amp;"|"&amp;'管线现金流'!J3370&amp;"|"&amp;'管线现金流'!AL3370&amp;"|"&amp;'管线现金流'!J3371&amp;"|"&amp;'管线现金流'!AL3371&amp;"|"&amp;'管线现金流'!J3372&amp;"|"&amp;'管线现金流'!AL3372&amp;"|"&amp;'管线现金流'!J3373&amp;"|"&amp;'管线现金流'!AL3373&amp;"|"&amp;'管线现金流'!J3374&amp;"|"&amp;'管线现金流'!AL3374&amp;"|"&amp;'管线现金流'!J3375&amp;"|"&amp;'管线现金流'!AL3375&amp;"|"&amp;'管线现金流'!J3376&amp;"|"&amp;'管线现金流'!AL3376&amp;"|"&amp;'管线现金流'!J3377&amp;"|"&amp;'管线现金流'!AL3377&amp;"|"&amp;'管线现金流'!J3378&amp;"|"&amp;'管线现金流'!AL3378&amp;"|"&amp;'管线现金流'!J3379&amp;"|"&amp;'管线现金流'!AL3379&amp;"|"&amp;'管线现金流'!J3380&amp;"|"&amp;'管线现金流'!AL3380&amp;"|"&amp;'管线现金流'!J3381&amp;"|"&amp;'管线现金流'!AL3381&amp;"|"&amp;'管线现金流'!J3382&amp;"|"&amp;'管线现金流'!AL3382&amp;"|"&amp;'管线现金流'!J3383&amp;"|"&amp;'管线现金流'!AL3383&amp;"|"&amp;'管线现金流'!J3384&amp;"|"&amp;'管线现金流'!AL3384&amp;"|"&amp;'管线现金流'!J3385&amp;"|"&amp;'管线现金流'!AL3385&amp;"|"&amp;'管线现金流'!J3386&amp;"|"&amp;'管线现金流'!AL3386&amp;"|"&amp;'管线现金流'!J3387&amp;"|"&amp;'管线现金流'!AL3387&amp;"|"&amp;'管线现金流'!J3388&amp;"|"&amp;'管线现金流'!AL3388&amp;"|"&amp;'管线现金流'!J3389&amp;"|"&amp;'管线现金流'!AL3389&amp;"|"&amp;'管线现金流'!J3390&amp;"|"&amp;'管线现金流'!AL3390&amp;"|"&amp;'管线现金流'!J3391&amp;"|"&amp;'管线现金流'!AL3391&amp;"|"&amp;'管线现金流'!J3392&amp;"|"&amp;'管线现金流'!AL3392&amp;"|"&amp;'管线现金流'!J3393&amp;"|"&amp;'管线现金流'!AL3393&amp;"|"&amp;'管线现金流'!J3394&amp;"|"&amp;'管线现金流'!AL3394&amp;"|"&amp;'管线现金流'!J3395&amp;"|"&amp;'管线现金流'!AL3395&amp;"|"&amp;'管线现金流'!J3396&amp;"|"&amp;'管线现金流'!AL3396&amp;"|"&amp;'管线现金流'!J3397&amp;"|"&amp;'管线现金流'!AL3397&amp;"|"&amp;'管线现金流'!J3398&amp;"|"&amp;'管线现金流'!AL3398&amp;"|"&amp;'管线现金流'!J3399&amp;"|"&amp;'管线现金流'!AL3399&amp;"|"&amp;'管线现金流'!J3400&amp;"|"&amp;'管线现金流'!AL3400&amp;"|"&amp;'管线现金流'!J3401&amp;"|"&amp;'管线现金流'!AL3401&amp;"|"&amp;'管线现金流'!J3402&amp;"|"&amp;'管线现金流'!AL3402&amp;"|"&amp;'管线现金流'!J3403&amp;"|"&amp;'管线现金流'!AL3403&amp;"|"&amp;'管线现金流'!J3404&amp;"|"&amp;'管线现金流'!AL3404&amp;"|"&amp;'管线现金流'!J3405&amp;"|"&amp;'管线现金流'!AL3405&amp;"|"&amp;'管线现金流'!J3406&amp;"|"&amp;'管线现金流'!AL3406&amp;"|"&amp;'管线现金流'!J3407&amp;"|"&amp;'管线现金流'!AL3407&amp;"|"&amp;'管线现金流'!J3408&amp;"|"&amp;'管线现金流'!AL3408&amp;"|"&amp;'管线现金流'!J3409&amp;"|"&amp;'管线现金流'!AL3409&amp;"|"&amp;'管线现金流'!J3410&amp;"|"&amp;'管线现金流'!AL3410&amp;"|"&amp;'管线现金流'!J3411&amp;"|"&amp;'管线现金流'!AL3411&amp;"|"&amp;'管线现金流'!J3412&amp;"|"&amp;'管线现金流'!AL3412&amp;"|"&amp;'管线现金流'!J3413&amp;"|"&amp;'管线现金流'!AL3413&amp;"|"&amp;'管线现金流'!J3414&amp;"|"&amp;'管线现金流'!AL3414&amp;"|"&amp;'管线现金流'!J3415&amp;"|"&amp;'管线现金流'!AL3415&amp;"|"&amp;'管线现金流'!J3416&amp;"|"&amp;'管线现金流'!AL3416&amp;"|"&amp;'管线现金流'!J3417&amp;"|"&amp;'管线现金流'!AL3417&amp;"|"&amp;'管线现金流'!J3418&amp;"|"&amp;'管线现金流'!AL3418&amp;"|"&amp;'管线现金流'!J3419&amp;"|"&amp;'管线现金流'!AL3419&amp;"|"&amp;'管线现金流'!J3420&amp;"|"&amp;'管线现金流'!AL3420&amp;"|"&amp;'管线现金流'!J3421&amp;"|"&amp;'管线现金流'!AL3421&amp;"|"&amp;'管线现金流'!J3422&amp;"|"&amp;'管线现金流'!AL3422&amp;"|"&amp;'管线现金流'!J3423&amp;"|"&amp;'管线现金流'!AL3423&amp;"|"&amp;'管线现金流'!J3424&amp;"|"&amp;'管线现金流'!AL3424&amp;"|"&amp;'管线现金流'!J3425&amp;"|"&amp;'管线现金流'!AL3425&amp;"|"&amp;'管线现金流'!J3426&amp;"|"&amp;'管线现金流'!AL3426&amp;"|"&amp;'管线现金流'!J3427&amp;"|"&amp;'管线现金流'!AL3427&amp;"|"&amp;'管线现金流'!J3428&amp;"|"&amp;'管线现金流'!AL3428&amp;"|"&amp;'管线现金流'!J3429&amp;"|"&amp;'管线现金流'!AL3429&amp;"|"&amp;'管线现金流'!J3430&amp;"|"&amp;'管线现金流'!AL3430&amp;"|"&amp;'管线现金流'!J3431&amp;"|"&amp;'管线现金流'!AL3431&amp;"|"&amp;'管线现金流'!J3432&amp;"|"&amp;'管线现金流'!AL3432&amp;"|"&amp;'管线现金流'!J3433&amp;"|"&amp;'管线现金流'!AL3433&amp;"|"&amp;'管线现金流'!J3434&amp;"|"&amp;'管线现金流'!AL3434&amp;"|"&amp;'管线现金流'!J3435&amp;"|"&amp;'管线现金流'!AL3435&amp;"|"&amp;'管线现金流'!J3436&amp;"|"&amp;'管线现金流'!AL3436&amp;"|"&amp;'管线现金流'!W33&amp;"|"&amp;'管线现金流'!Z33&amp;"|"&amp;'管线现金流'!AQ33&amp;"|"&amp;'管线现金流'!AT33&amp;"|"&amp;'管线现金流'!W34&amp;"|"&amp;'管线现金流'!Z34&amp;"|"&amp;'管线现金流'!AQ34&amp;"|"&amp;'管线现金流'!AT34</x:f>
        <x:v>1|2|1.3|1|0.0935|1|0.105|6.8|1|0.1105|1|0.105|6.8|0.82|0.1105|1|0.105|6.8|0.7|0.1105|1|0.105|6.8|0.6699999999999999|0.1105|1|0.105|6.8|0.892|0.36|1|0.105|6.8|0.7|0.36|1|0.105|6.8|0.628|0.36|1|0.105|6.8|0.73|0.36|1|0.105|6.8|0.6040000000000001|0.36|1|0.105|6.8|0.76|0.1105|1|0.105|6.8|0.85|0.36|1|0.105|6.8|0.64|0.28|1|0.105|6.8|0.772|0.36|1|0.105|6.8|0.688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</x:row>
    <x:row r="349" ht="23" customHeight="1">
      <x:c r="A349" s="11" t="str">
        <x:v>688382.SH</x:v>
      </x:c>
      <x:c r="B349" s="11" t="str">
        <x:v>益方生物</x:v>
      </x:c>
      <x:c r="C349" s="11" t="str">
        <x:v>五年</x:v>
      </x:c>
      <x:c r="D349" s="11" t="str">
        <x:v>悲观</x:v>
      </x:c>
      <x:c r="E349" s="11" t="n">
        <x:v>17.26</x:v>
      </x:c>
      <x:c r="F349" s="11" t="n">
        <x:v>0</x:v>
      </x:c>
      <x:c r="G349" s="11" t="n">
        <x:v>0</x:v>
      </x:c>
      <x:c r="H349" s="25" t="n">
        <x:v>-1</x:v>
      </x:c>
      <x:c r="I349" s="25" t="n">
        <x:v>-1</x:v>
      </x:c>
      <x:c r="J349" s="25" t="n">
        <x:v>-1</x:v>
      </x:c>
      <x:c r="K349" s="11" t="n">
        <x:v>0</x:v>
      </x:c>
      <x:c r="L349" s="11" t="n">
        <x:v>0</x:v>
      </x:c>
      <x:c r="M349" s="11" t="n">
        <x:v>1</x:v>
      </x:c>
      <x:c r="N349" s="11" t="n">
        <x:v>0</x:v>
      </x:c>
      <x:c r="O349" s="11" t="n">
        <x:v>0</x:v>
      </x:c>
      <x:c r="P349" s="11" t="n">
        <x:v>0</x:v>
      </x:c>
      <x:c r="Q349" s="11" t="n">
        <x:v>0.85</x:v>
      </x:c>
      <x:c r="R349" s="11" t="str">
        <x:v>inventis-rnpv-v1.0</x:v>
      </x:c>
      <x:c r="S349" s="11" t="str">
        <x:v>2026-10-10</x:v>
      </x:c>
      <x:c r="T349" s="11" t="str">
        <x:f>IF(AND(SUM(IF(K349='假设'!E464,0,1),IF(L349='假设'!F464,0,1),IF(M349='假设'!G464,0,1),IF(N349='假设'!H464,0,1),IF(O349='假设'!I464,0,1),IF(P349='假设'!J464,0,1),IF(Q349='假设'!K464,0,1))=0,U349=V349),"已刷新","待刷新")</x:f>
        <x:v>已刷新</x:v>
      </x:c>
      <x:c r="U349" t="str">
        <x:v>1|0|1.1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  <x:c r="V349" t="str">
        <x:f>'假设'!U464&amp;"|"&amp;'假设'!N464&amp;"|"&amp;'假设'!Q464&amp;"|"&amp;'管线假设'!E748&amp;"|"&amp;'管线假设'!F748&amp;"|"&amp;'管线假设'!G748&amp;"|"&amp;'管线假设'!H748&amp;"|"&amp;'管线假设'!I748&amp;"|"&amp;'管线假设'!E752&amp;"|"&amp;'管线假设'!F752&amp;"|"&amp;'管线假设'!G752&amp;"|"&amp;'管线假设'!H752&amp;"|"&amp;'管线假设'!I752&amp;"|"&amp;'管线假设'!E756&amp;"|"&amp;'管线假设'!F756&amp;"|"&amp;'管线假设'!G756&amp;"|"&amp;'管线假设'!H756&amp;"|"&amp;'管线假设'!I756&amp;"|"&amp;'管线假设'!E760&amp;"|"&amp;'管线假设'!F760&amp;"|"&amp;'管线假设'!G760&amp;"|"&amp;'管线假设'!H760&amp;"|"&amp;'管线假设'!I760&amp;"|"&amp;'管线假设'!E764&amp;"|"&amp;'管线假设'!F764&amp;"|"&amp;'管线假设'!G764&amp;"|"&amp;'管线假设'!H764&amp;"|"&amp;'管线假设'!I764&amp;"|"&amp;'管线假设'!E768&amp;"|"&amp;'管线假设'!F768&amp;"|"&amp;'管线假设'!G768&amp;"|"&amp;'管线假设'!H768&amp;"|"&amp;'管线假设'!I768&amp;"|"&amp;'管线假设'!E772&amp;"|"&amp;'管线假设'!F772&amp;"|"&amp;'管线假设'!G772&amp;"|"&amp;'管线假设'!H772&amp;"|"&amp;'管线假设'!I772&amp;"|"&amp;'管线假设'!E776&amp;"|"&amp;'管线假设'!F776&amp;"|"&amp;'管线假设'!G776&amp;"|"&amp;'管线假设'!H776&amp;"|"&amp;'管线假设'!I776&amp;"|"&amp;'管线假设'!E780&amp;"|"&amp;'管线假设'!F780&amp;"|"&amp;'管线假设'!G780&amp;"|"&amp;'管线假设'!H780&amp;"|"&amp;'管线假设'!I780&amp;"|"&amp;'管线假设'!E784&amp;"|"&amp;'管线假设'!F784&amp;"|"&amp;'管线假设'!G784&amp;"|"&amp;'管线假设'!H784&amp;"|"&amp;'管线假设'!I784&amp;"|"&amp;'管线假设'!E788&amp;"|"&amp;'管线假设'!F788&amp;"|"&amp;'管线假设'!G788&amp;"|"&amp;'管线假设'!H788&amp;"|"&amp;'管线假设'!I788&amp;"|"&amp;'管线假设'!E792&amp;"|"&amp;'管线假设'!F792&amp;"|"&amp;'管线假设'!G792&amp;"|"&amp;'管线假设'!H792&amp;"|"&amp;'管线假设'!I792&amp;"|"&amp;'管线假设'!E796&amp;"|"&amp;'管线假设'!F796&amp;"|"&amp;'管线假设'!G796&amp;"|"&amp;'管线假设'!H796&amp;"|"&amp;'管线假设'!I796&amp;"|"&amp;'管线假设'!E800&amp;"|"&amp;'管线假设'!F800&amp;"|"&amp;'管线假设'!G800&amp;"|"&amp;'管线假设'!H800&amp;"|"&amp;'管线假设'!I800&amp;"|"&amp;'管线假设'!E804&amp;"|"&amp;'管线假设'!F804&amp;"|"&amp;'管线假设'!G804&amp;"|"&amp;'管线假设'!H804&amp;"|"&amp;'管线假设'!I804&amp;"|"&amp;'管线现金流'!H3437&amp;"|"&amp;'管线现金流'!AJ3437&amp;"|"&amp;'管线现金流'!H3438&amp;"|"&amp;'管线现金流'!AJ3438&amp;"|"&amp;'管线现金流'!H3439&amp;"|"&amp;'管线现金流'!AJ3439&amp;"|"&amp;'管线现金流'!H3440&amp;"|"&amp;'管线现金流'!AJ3440&amp;"|"&amp;'管线现金流'!H3441&amp;"|"&amp;'管线现金流'!AJ3441&amp;"|"&amp;'管线现金流'!H3442&amp;"|"&amp;'管线现金流'!AJ3442&amp;"|"&amp;'管线现金流'!H3443&amp;"|"&amp;'管线现金流'!AJ3443&amp;"|"&amp;'管线现金流'!H3444&amp;"|"&amp;'管线现金流'!AJ3444&amp;"|"&amp;'管线现金流'!H3445&amp;"|"&amp;'管线现金流'!AJ3445&amp;"|"&amp;'管线现金流'!H3446&amp;"|"&amp;'管线现金流'!AJ3446&amp;"|"&amp;'管线现金流'!H3447&amp;"|"&amp;'管线现金流'!AJ3447&amp;"|"&amp;'管线现金流'!H3448&amp;"|"&amp;'管线现金流'!AJ3448&amp;"|"&amp;'管线现金流'!H3449&amp;"|"&amp;'管线现金流'!AJ3449&amp;"|"&amp;'管线现金流'!H3450&amp;"|"&amp;'管线现金流'!AJ3450&amp;"|"&amp;'管线现金流'!H3451&amp;"|"&amp;'管线现金流'!AJ3451&amp;"|"&amp;'管线现金流'!H3452&amp;"|"&amp;'管线现金流'!AJ3452&amp;"|"&amp;'管线现金流'!H3453&amp;"|"&amp;'管线现金流'!AJ3453&amp;"|"&amp;'管线现金流'!H3454&amp;"|"&amp;'管线现金流'!AJ3454&amp;"|"&amp;'管线现金流'!H3455&amp;"|"&amp;'管线现金流'!AJ3455&amp;"|"&amp;'管线现金流'!H3456&amp;"|"&amp;'管线现金流'!AJ3456&amp;"|"&amp;'管线现金流'!H3457&amp;"|"&amp;'管线现金流'!AJ3457&amp;"|"&amp;'管线现金流'!H3458&amp;"|"&amp;'管线现金流'!AJ3458&amp;"|"&amp;'管线现金流'!H3459&amp;"|"&amp;'管线现金流'!AJ3459&amp;"|"&amp;'管线现金流'!H3460&amp;"|"&amp;'管线现金流'!AJ3460&amp;"|"&amp;'管线现金流'!H3461&amp;"|"&amp;'管线现金流'!AJ3461&amp;"|"&amp;'管线现金流'!H3462&amp;"|"&amp;'管线现金流'!AJ3462&amp;"|"&amp;'管线现金流'!H3463&amp;"|"&amp;'管线现金流'!AJ3463&amp;"|"&amp;'管线现金流'!H3464&amp;"|"&amp;'管线现金流'!AJ3464&amp;"|"&amp;'管线现金流'!H3465&amp;"|"&amp;'管线现金流'!AJ3465&amp;"|"&amp;'管线现金流'!H3466&amp;"|"&amp;'管线现金流'!AJ3466&amp;"|"&amp;'管线现金流'!H3467&amp;"|"&amp;'管线现金流'!AJ3467&amp;"|"&amp;'管线现金流'!H3468&amp;"|"&amp;'管线现金流'!AJ3468&amp;"|"&amp;'管线现金流'!H3469&amp;"|"&amp;'管线现金流'!AJ3469&amp;"|"&amp;'管线现金流'!H3470&amp;"|"&amp;'管线现金流'!AJ3470&amp;"|"&amp;'管线现金流'!H3471&amp;"|"&amp;'管线现金流'!AJ3471&amp;"|"&amp;'管线现金流'!H3472&amp;"|"&amp;'管线现金流'!AJ3472&amp;"|"&amp;'管线现金流'!H3473&amp;"|"&amp;'管线现金流'!AJ3473&amp;"|"&amp;'管线现金流'!H3474&amp;"|"&amp;'管线现金流'!AJ3474&amp;"|"&amp;'管线现金流'!H3475&amp;"|"&amp;'管线现金流'!AJ3475&amp;"|"&amp;'管线现金流'!H3476&amp;"|"&amp;'管线现金流'!AJ3476&amp;"|"&amp;'管线现金流'!H3477&amp;"|"&amp;'管线现金流'!AJ3477&amp;"|"&amp;'管线现金流'!H3478&amp;"|"&amp;'管线现金流'!AJ3478&amp;"|"&amp;'管线现金流'!H3479&amp;"|"&amp;'管线现金流'!AJ3479&amp;"|"&amp;'管线现金流'!H3480&amp;"|"&amp;'管线现金流'!AJ3480&amp;"|"&amp;'管线现金流'!H3481&amp;"|"&amp;'管线现金流'!AJ3481&amp;"|"&amp;'管线现金流'!H3482&amp;"|"&amp;'管线现金流'!AJ3482&amp;"|"&amp;'管线现金流'!H3483&amp;"|"&amp;'管线现金流'!AJ3483&amp;"|"&amp;'管线现金流'!H3484&amp;"|"&amp;'管线现金流'!AJ3484&amp;"|"&amp;'管线现金流'!H3485&amp;"|"&amp;'管线现金流'!AJ3485&amp;"|"&amp;'管线现金流'!H3486&amp;"|"&amp;'管线现金流'!AJ3486&amp;"|"&amp;'管线现金流'!H3487&amp;"|"&amp;'管线现金流'!AJ3487&amp;"|"&amp;'管线现金流'!H3488&amp;"|"&amp;'管线现金流'!AJ3488&amp;"|"&amp;'管线现金流'!H3489&amp;"|"&amp;'管线现金流'!AJ3489&amp;"|"&amp;'管线现金流'!H3490&amp;"|"&amp;'管线现金流'!AJ3490&amp;"|"&amp;'管线现金流'!H3491&amp;"|"&amp;'管线现金流'!AJ3491&amp;"|"&amp;'管线现金流'!H3492&amp;"|"&amp;'管线现金流'!AJ3492&amp;"|"&amp;'管线现金流'!H3493&amp;"|"&amp;'管线现金流'!AJ3493&amp;"|"&amp;'管线现金流'!H3494&amp;"|"&amp;'管线现金流'!AJ3494&amp;"|"&amp;'管线现金流'!H3495&amp;"|"&amp;'管线现金流'!AJ3495&amp;"|"&amp;'管线现金流'!H3496&amp;"|"&amp;'管线现金流'!AJ3496&amp;"|"&amp;'管线现金流'!H3497&amp;"|"&amp;'管线现金流'!AJ3497&amp;"|"&amp;'管线现金流'!H3498&amp;"|"&amp;'管线现金流'!AJ3498&amp;"|"&amp;'管线现金流'!H3499&amp;"|"&amp;'管线现金流'!AJ3499&amp;"|"&amp;'管线现金流'!H3500&amp;"|"&amp;'管线现金流'!AJ3500&amp;"|"&amp;'管线现金流'!H3501&amp;"|"&amp;'管线现金流'!AJ3501&amp;"|"&amp;'管线现金流'!H3502&amp;"|"&amp;'管线现金流'!AJ3502&amp;"|"&amp;'管线现金流'!H3503&amp;"|"&amp;'管线现金流'!AJ3503&amp;"|"&amp;'管线现金流'!H3504&amp;"|"&amp;'管线现金流'!AJ3504&amp;"|"&amp;'管线现金流'!H3505&amp;"|"&amp;'管线现金流'!AJ3505&amp;"|"&amp;'管线现金流'!H3506&amp;"|"&amp;'管线现金流'!AJ3506&amp;"|"&amp;'管线现金流'!H3507&amp;"|"&amp;'管线现金流'!AJ3507&amp;"|"&amp;'管线现金流'!H3508&amp;"|"&amp;'管线现金流'!AJ3508&amp;"|"&amp;'管线现金流'!H3509&amp;"|"&amp;'管线现金流'!AJ3509&amp;"|"&amp;'管线现金流'!H3510&amp;"|"&amp;'管线现金流'!AJ3510&amp;"|"&amp;'管线现金流'!H3511&amp;"|"&amp;'管线现金流'!AJ3511&amp;"|"&amp;'管线现金流'!H3512&amp;"|"&amp;'管线现金流'!AJ3512&amp;"|"&amp;'管线现金流'!H3513&amp;"|"&amp;'管线现金流'!AJ3513&amp;"|"&amp;'管线现金流'!H3514&amp;"|"&amp;'管线现金流'!AJ3514&amp;"|"&amp;'管线现金流'!H3515&amp;"|"&amp;'管线现金流'!AJ3515&amp;"|"&amp;'管线现金流'!H3516&amp;"|"&amp;'管线现金流'!AJ3516&amp;"|"&amp;'管线现金流'!H3517&amp;"|"&amp;'管线现金流'!AJ3517&amp;"|"&amp;'管线现金流'!H3518&amp;"|"&amp;'管线现金流'!AJ3518&amp;"|"&amp;'管线现金流'!H3519&amp;"|"&amp;'管线现金流'!AJ3519&amp;"|"&amp;'管线现金流'!H3520&amp;"|"&amp;'管线现金流'!AJ3520&amp;"|"&amp;'管线现金流'!H3521&amp;"|"&amp;'管线现金流'!AJ3521&amp;"|"&amp;'管线现金流'!H3522&amp;"|"&amp;'管线现金流'!AJ3522&amp;"|"&amp;'管线现金流'!H3523&amp;"|"&amp;'管线现金流'!AJ3523&amp;"|"&amp;'管线现金流'!H3524&amp;"|"&amp;'管线现金流'!AJ3524&amp;"|"&amp;'管线现金流'!H3525&amp;"|"&amp;'管线现金流'!AJ3525&amp;"|"&amp;'管线现金流'!H3526&amp;"|"&amp;'管线现金流'!AJ3526&amp;"|"&amp;'管线现金流'!H3527&amp;"|"&amp;'管线现金流'!AJ3527&amp;"|"&amp;'管线现金流'!H3528&amp;"|"&amp;'管线现金流'!AJ3528&amp;"|"&amp;'管线现金流'!H3529&amp;"|"&amp;'管线现金流'!AJ3529&amp;"|"&amp;'管线现金流'!H3530&amp;"|"&amp;'管线现金流'!AJ3530&amp;"|"&amp;'管线现金流'!H3531&amp;"|"&amp;'管线现金流'!AJ3531&amp;"|"&amp;'管线现金流'!H3532&amp;"|"&amp;'管线现金流'!AJ3532&amp;"|"&amp;'管线现金流'!H3533&amp;"|"&amp;'管线现金流'!AJ3533&amp;"|"&amp;'管线现金流'!H3534&amp;"|"&amp;'管线现金流'!AJ3534&amp;"|"&amp;'管线现金流'!H3535&amp;"|"&amp;'管线现金流'!AJ3535&amp;"|"&amp;'管线现金流'!H3536&amp;"|"&amp;'管线现金流'!AJ3536&amp;"|"&amp;'管线现金流'!H3537&amp;"|"&amp;'管线现金流'!AJ3537&amp;"|"&amp;'管线现金流'!H3538&amp;"|"&amp;'管线现金流'!AJ3538&amp;"|"&amp;'管线现金流'!H3539&amp;"|"&amp;'管线现金流'!AJ3539&amp;"|"&amp;'管线现金流'!H3540&amp;"|"&amp;'管线现金流'!AJ3540&amp;"|"&amp;'管线现金流'!H3541&amp;"|"&amp;'管线现金流'!AJ3541&amp;"|"&amp;'管线现金流'!H3542&amp;"|"&amp;'管线现金流'!AJ3542&amp;"|"&amp;'管线现金流'!H3543&amp;"|"&amp;'管线现金流'!AJ3543&amp;"|"&amp;'管线现金流'!H3544&amp;"|"&amp;'管线现金流'!AJ3544&amp;"|"&amp;'管线现金流'!H3545&amp;"|"&amp;'管线现金流'!AJ3545&amp;"|"&amp;'管线现金流'!H3546&amp;"|"&amp;'管线现金流'!AJ3546&amp;"|"&amp;'管线现金流'!H3547&amp;"|"&amp;'管线现金流'!AJ3547&amp;"|"&amp;'管线现金流'!H3548&amp;"|"&amp;'管线现金流'!AJ3548&amp;"|"&amp;'管线现金流'!H3549&amp;"|"&amp;'管线现金流'!AJ3549&amp;"|"&amp;'管线现金流'!H3550&amp;"|"&amp;'管线现金流'!AJ3550&amp;"|"&amp;'管线现金流'!H3551&amp;"|"&amp;'管线现金流'!AJ3551&amp;"|"&amp;'管线现金流'!H3552&amp;"|"&amp;'管线现金流'!AJ3552&amp;"|"&amp;'管线现金流'!H3553&amp;"|"&amp;'管线现金流'!AJ3553&amp;"|"&amp;'管线现金流'!H3554&amp;"|"&amp;'管线现金流'!AJ3554&amp;"|"&amp;'管线现金流'!H3555&amp;"|"&amp;'管线现金流'!AJ3555&amp;"|"&amp;'管线现金流'!H3556&amp;"|"&amp;'管线现金流'!AJ3556&amp;"|"&amp;'管线现金流'!H3557&amp;"|"&amp;'管线现金流'!AJ3557&amp;"|"&amp;'管线现金流'!H3558&amp;"|"&amp;'管线现金流'!AJ3558&amp;"|"&amp;'管线现金流'!H3559&amp;"|"&amp;'管线现金流'!AJ3559&amp;"|"&amp;'管线现金流'!H3560&amp;"|"&amp;'管线现金流'!AJ3560&amp;"|"&amp;'管线现金流'!H3561&amp;"|"&amp;'管线现金流'!AJ3561&amp;"|"&amp;'管线现金流'!H3562&amp;"|"&amp;'管线现金流'!AJ3562&amp;"|"&amp;'管线现金流'!H3563&amp;"|"&amp;'管线现金流'!AJ3563&amp;"|"&amp;'管线现金流'!H3564&amp;"|"&amp;'管线现金流'!AJ3564&amp;"|"&amp;'管线现金流'!H3565&amp;"|"&amp;'管线现金流'!AJ3565&amp;"|"&amp;'管线现金流'!H3566&amp;"|"&amp;'管线现金流'!AJ3566&amp;"|"&amp;'管线现金流'!H3567&amp;"|"&amp;'管线现金流'!AJ3567&amp;"|"&amp;'管线现金流'!H3568&amp;"|"&amp;'管线现金流'!AJ3568&amp;"|"&amp;'管线现金流'!H3569&amp;"|"&amp;'管线现金流'!AJ3569&amp;"|"&amp;'管线现金流'!H3570&amp;"|"&amp;'管线现金流'!AJ3570&amp;"|"&amp;'管线现金流'!H3571&amp;"|"&amp;'管线现金流'!AJ3571&amp;"|"&amp;'管线现金流'!H3572&amp;"|"&amp;'管线现金流'!AJ3572&amp;"|"&amp;'管线现金流'!H3573&amp;"|"&amp;'管线现金流'!AJ3573&amp;"|"&amp;'管线现金流'!H3574&amp;"|"&amp;'管线现金流'!AJ3574&amp;"|"&amp;'管线现金流'!H3575&amp;"|"&amp;'管线现金流'!AJ3575&amp;"|"&amp;'管线现金流'!H3576&amp;"|"&amp;'管线现金流'!AJ3576&amp;"|"&amp;'管线现金流'!H3577&amp;"|"&amp;'管线现金流'!AJ3577&amp;"|"&amp;'管线现金流'!H3578&amp;"|"&amp;'管线现金流'!AJ3578&amp;"|"&amp;'管线现金流'!H3579&amp;"|"&amp;'管线现金流'!AJ3579&amp;"|"&amp;'管线现金流'!H3580&amp;"|"&amp;'管线现金流'!AJ3580&amp;"|"&amp;'管线现金流'!H3581&amp;"|"&amp;'管线现金流'!AJ3581&amp;"|"&amp;'管线现金流'!H3582&amp;"|"&amp;'管线现金流'!AJ3582&amp;"|"&amp;'管线现金流'!H3583&amp;"|"&amp;'管线现金流'!AJ3583&amp;"|"&amp;'管线现金流'!H3584&amp;"|"&amp;'管线现金流'!AJ3584&amp;"|"&amp;'管线现金流'!H3585&amp;"|"&amp;'管线现金流'!AJ3585&amp;"|"&amp;'管线现金流'!H3586&amp;"|"&amp;'管线现金流'!AJ3586&amp;"|"&amp;'管线现金流'!H3587&amp;"|"&amp;'管线现金流'!AJ3587&amp;"|"&amp;'管线现金流'!H3588&amp;"|"&amp;'管线现金流'!AJ3588&amp;"|"&amp;'管线现金流'!H3589&amp;"|"&amp;'管线现金流'!AJ3589&amp;"|"&amp;'管线现金流'!H3590&amp;"|"&amp;'管线现金流'!AJ3590&amp;"|"&amp;'管线现金流'!H3591&amp;"|"&amp;'管线现金流'!AJ3591&amp;"|"&amp;'管线现金流'!H3592&amp;"|"&amp;'管线现金流'!AJ3592&amp;"|"&amp;'管线现金流'!H3593&amp;"|"&amp;'管线现金流'!AJ3593&amp;"|"&amp;'管线现金流'!H3594&amp;"|"&amp;'管线现金流'!AJ3594&amp;"|"&amp;'管线现金流'!H3595&amp;"|"&amp;'管线现金流'!AJ3595&amp;"|"&amp;'管线现金流'!H3596&amp;"|"&amp;'管线现金流'!AJ3596&amp;"|"&amp;'管线现金流'!H3597&amp;"|"&amp;'管线现金流'!AJ3597&amp;"|"&amp;'管线现金流'!H3598&amp;"|"&amp;'管线现金流'!AJ3598&amp;"|"&amp;'管线现金流'!H3599&amp;"|"&amp;'管线现金流'!AJ3599&amp;"|"&amp;'管线现金流'!H3600&amp;"|"&amp;'管线现金流'!AJ3600&amp;"|"&amp;'管线现金流'!H3601&amp;"|"&amp;'管线现金流'!AJ3601&amp;"|"&amp;'管线现金流'!H3602&amp;"|"&amp;'管线现金流'!AJ3602&amp;"|"&amp;'管线现金流'!H3603&amp;"|"&amp;'管线现金流'!AJ3603&amp;"|"&amp;'管线现金流'!H3604&amp;"|"&amp;'管线现金流'!AJ3604&amp;"|"&amp;'管线现金流'!H3605&amp;"|"&amp;'管线现金流'!AJ3605&amp;"|"&amp;'管线现金流'!H3606&amp;"|"&amp;'管线现金流'!AJ3606&amp;"|"&amp;'管线现金流'!H3607&amp;"|"&amp;'管线现金流'!AJ3607&amp;"|"&amp;'管线现金流'!H3608&amp;"|"&amp;'管线现金流'!AJ3608&amp;"|"&amp;'管线现金流'!H3609&amp;"|"&amp;'管线现金流'!AJ3609&amp;"|"&amp;'管线现金流'!H3610&amp;"|"&amp;'管线现金流'!AJ3610&amp;"|"&amp;'管线现金流'!H3611&amp;"|"&amp;'管线现金流'!AJ3611&amp;"|"&amp;'管线现金流'!H3612&amp;"|"&amp;'管线现金流'!AJ3612&amp;"|"&amp;'管线现金流'!H3613&amp;"|"&amp;'管线现金流'!AJ3613&amp;"|"&amp;'管线现金流'!H3614&amp;"|"&amp;'管线现金流'!AJ3614&amp;"|"&amp;'管线现金流'!H3615&amp;"|"&amp;'管线现金流'!AJ3615&amp;"|"&amp;'管线现金流'!H3616&amp;"|"&amp;'管线现金流'!AJ3616&amp;"|"&amp;'管线现金流'!H3617&amp;"|"&amp;'管线现金流'!AJ3617&amp;"|"&amp;'管线现金流'!H3618&amp;"|"&amp;'管线现金流'!AJ3618&amp;"|"&amp;'管线现金流'!H3619&amp;"|"&amp;'管线现金流'!AJ3619&amp;"|"&amp;'管线现金流'!H3620&amp;"|"&amp;'管线现金流'!AJ3620&amp;"|"&amp;'管线现金流'!H3621&amp;"|"&amp;'管线现金流'!AJ3621&amp;"|"&amp;'管线现金流'!H3622&amp;"|"&amp;'管线现金流'!AJ3622&amp;"|"&amp;'管线现金流'!H3623&amp;"|"&amp;'管线现金流'!AJ3623&amp;"|"&amp;'管线现金流'!H3624&amp;"|"&amp;'管线现金流'!AJ3624&amp;"|"&amp;'管线现金流'!H3625&amp;"|"&amp;'管线现金流'!AJ3625&amp;"|"&amp;'管线现金流'!H3626&amp;"|"&amp;'管线现金流'!AJ3626&amp;"|"&amp;'管线现金流'!H3627&amp;"|"&amp;'管线现金流'!AJ3627&amp;"|"&amp;'管线现金流'!H3628&amp;"|"&amp;'管线现金流'!AJ3628&amp;"|"&amp;'管线现金流'!H3629&amp;"|"&amp;'管线现金流'!AJ3629&amp;"|"&amp;'管线现金流'!H3630&amp;"|"&amp;'管线现金流'!AJ3630&amp;"|"&amp;'管线现金流'!H3631&amp;"|"&amp;'管线现金流'!AJ3631&amp;"|"&amp;'管线现金流'!H3632&amp;"|"&amp;'管线现金流'!AJ3632&amp;"|"&amp;'管线现金流'!H3633&amp;"|"&amp;'管线现金流'!AJ3633&amp;"|"&amp;'管线现金流'!H3634&amp;"|"&amp;'管线现金流'!AJ3634&amp;"|"&amp;'管线现金流'!H3635&amp;"|"&amp;'管线现金流'!AJ3635&amp;"|"&amp;'管线现金流'!H3636&amp;"|"&amp;'管线现金流'!AJ3636&amp;"|"&amp;'管线现金流'!H3637&amp;"|"&amp;'管线现金流'!AJ3637&amp;"|"&amp;'管线现金流'!H3638&amp;"|"&amp;'管线现金流'!AJ3638&amp;"|"&amp;'管线现金流'!H3639&amp;"|"&amp;'管线现金流'!AJ3639&amp;"|"&amp;'管线现金流'!H3640&amp;"|"&amp;'管线现金流'!AJ3640&amp;"|"&amp;'管线现金流'!H3641&amp;"|"&amp;'管线现金流'!AJ3641&amp;"|"&amp;'管线现金流'!H3642&amp;"|"&amp;'管线现金流'!AJ3642&amp;"|"&amp;'管线现金流'!H3643&amp;"|"&amp;'管线现金流'!AJ3643&amp;"|"&amp;'管线现金流'!H3644&amp;"|"&amp;'管线现金流'!AJ3644&amp;"|"&amp;'管线现金流'!H3645&amp;"|"&amp;'管线现金流'!AJ3645&amp;"|"&amp;'管线现金流'!H3646&amp;"|"&amp;'管线现金流'!AJ3646&amp;"|"&amp;'管线现金流'!H3647&amp;"|"&amp;'管线现金流'!AJ3647&amp;"|"&amp;'管线现金流'!H3648&amp;"|"&amp;'管线现金流'!AJ3648&amp;"|"&amp;'管线现金流'!H3649&amp;"|"&amp;'管线现金流'!AJ3649&amp;"|"&amp;'管线现金流'!H3650&amp;"|"&amp;'管线现金流'!AJ3650&amp;"|"&amp;'管线现金流'!H3651&amp;"|"&amp;'管线现金流'!AJ3651&amp;"|"&amp;'管线现金流'!H3652&amp;"|"&amp;'管线现金流'!AJ3652&amp;"|"&amp;'管线现金流'!H3653&amp;"|"&amp;'管线现金流'!AJ3653&amp;"|"&amp;'管线现金流'!H3654&amp;"|"&amp;'管线现金流'!AJ3654&amp;"|"&amp;'管线现金流'!H3655&amp;"|"&amp;'管线现金流'!AJ3655&amp;"|"&amp;'管线现金流'!H3656&amp;"|"&amp;'管线现金流'!AJ3656&amp;"|"&amp;'管线现金流'!H3657&amp;"|"&amp;'管线现金流'!AJ3657&amp;"|"&amp;'管线现金流'!H3658&amp;"|"&amp;'管线现金流'!AJ3658&amp;"|"&amp;'管线现金流'!H3659&amp;"|"&amp;'管线现金流'!AJ3659&amp;"|"&amp;'管线现金流'!H3660&amp;"|"&amp;'管线现金流'!AJ3660&amp;"|"&amp;'管线现金流'!H3661&amp;"|"&amp;'管线现金流'!AJ3661&amp;"|"&amp;'管线现金流'!H3662&amp;"|"&amp;'管线现金流'!AJ3662&amp;"|"&amp;'管线现金流'!H3663&amp;"|"&amp;'管线现金流'!AJ3663&amp;"|"&amp;'管线现金流'!H3664&amp;"|"&amp;'管线现金流'!AJ3664&amp;"|"&amp;'管线现金流'!H3665&amp;"|"&amp;'管线现金流'!AJ3665&amp;"|"&amp;'管线现金流'!H3666&amp;"|"&amp;'管线现金流'!AJ3666&amp;"|"&amp;'管线现金流'!H3667&amp;"|"&amp;'管线现金流'!AJ3667&amp;"|"&amp;'管线现金流'!H3668&amp;"|"&amp;'管线现金流'!AJ3668&amp;"|"&amp;'管线现金流'!H3669&amp;"|"&amp;'管线现金流'!AJ3669&amp;"|"&amp;'管线现金流'!H3670&amp;"|"&amp;'管线现金流'!AJ3670&amp;"|"&amp;'管线现金流'!H3671&amp;"|"&amp;'管线现金流'!AJ3671&amp;"|"&amp;'管线现金流'!H3672&amp;"|"&amp;'管线现金流'!AJ3672&amp;"|"&amp;'管线现金流'!H3673&amp;"|"&amp;'管线现金流'!AJ3673&amp;"|"&amp;'管线现金流'!H3674&amp;"|"&amp;'管线现金流'!AJ3674&amp;"|"&amp;'管线现金流'!H3675&amp;"|"&amp;'管线现金流'!AJ3675&amp;"|"&amp;'管线现金流'!H3676&amp;"|"&amp;'管线现金流'!AJ3676&amp;"|"&amp;'管线现金流'!H3677&amp;"|"&amp;'管线现金流'!AJ3677&amp;"|"&amp;'管线现金流'!H3678&amp;"|"&amp;'管线现金流'!AJ3678&amp;"|"&amp;'管线现金流'!H3679&amp;"|"&amp;'管线现金流'!AJ3679&amp;"|"&amp;'管线现金流'!H3680&amp;"|"&amp;'管线现金流'!AJ3680&amp;"|"&amp;'管线现金流'!H3681&amp;"|"&amp;'管线现金流'!AJ3681&amp;"|"&amp;'管线现金流'!H3682&amp;"|"&amp;'管线现金流'!AJ3682&amp;"|"&amp;'管线现金流'!H3683&amp;"|"&amp;'管线现金流'!AJ3683&amp;"|"&amp;'管线现金流'!H3684&amp;"|"&amp;'管线现金流'!AJ3684&amp;"|"&amp;'管线现金流'!H3685&amp;"|"&amp;'管线现金流'!AJ3685&amp;"|"&amp;'管线现金流'!H3686&amp;"|"&amp;'管线现金流'!AJ3686&amp;"|"&amp;'管线现金流'!H3687&amp;"|"&amp;'管线现金流'!AJ3687&amp;"|"&amp;'管线现金流'!H3688&amp;"|"&amp;'管线现金流'!AJ3688&amp;"|"&amp;'管线现金流'!H3689&amp;"|"&amp;'管线现金流'!AJ3689&amp;"|"&amp;'管线现金流'!H3690&amp;"|"&amp;'管线现金流'!AJ3690&amp;"|"&amp;'管线现金流'!H3691&amp;"|"&amp;'管线现金流'!AJ3691&amp;"|"&amp;'管线现金流'!H3692&amp;"|"&amp;'管线现金流'!AJ3692&amp;"|"&amp;'管线现金流'!H3693&amp;"|"&amp;'管线现金流'!AJ3693&amp;"|"&amp;'管线现金流'!H3694&amp;"|"&amp;'管线现金流'!AJ3694&amp;"|"&amp;'管线现金流'!H3695&amp;"|"&amp;'管线现金流'!AJ3695&amp;"|"&amp;'管线现金流'!H3696&amp;"|"&amp;'管线现金流'!AJ3696&amp;"|"&amp;'管线现金流'!H3697&amp;"|"&amp;'管线现金流'!AJ3697&amp;"|"&amp;'管线现金流'!H3698&amp;"|"&amp;'管线现金流'!AJ3698&amp;"|"&amp;'管线现金流'!H3699&amp;"|"&amp;'管线现金流'!AJ3699&amp;"|"&amp;'管线现金流'!H3700&amp;"|"&amp;'管线现金流'!AJ3700&amp;"|"&amp;'管线现金流'!H3701&amp;"|"&amp;'管线现金流'!AJ3701&amp;"|"&amp;'管线现金流'!H3702&amp;"|"&amp;'管线现金流'!AJ3702&amp;"|"&amp;'管线现金流'!H3703&amp;"|"&amp;'管线现金流'!AJ3703&amp;"|"&amp;'管线现金流'!H3704&amp;"|"&amp;'管线现金流'!AJ3704&amp;"|"&amp;'管线现金流'!H3705&amp;"|"&amp;'管线现金流'!AJ3705&amp;"|"&amp;'管线现金流'!H3706&amp;"|"&amp;'管线现金流'!AJ3706&amp;"|"&amp;'管线现金流'!H3707&amp;"|"&amp;'管线现金流'!AJ3707&amp;"|"&amp;'管线现金流'!H3708&amp;"|"&amp;'管线现金流'!AJ3708&amp;"|"&amp;'管线现金流'!H3709&amp;"|"&amp;'管线现金流'!AJ3709&amp;"|"&amp;'管线现金流'!H3710&amp;"|"&amp;'管线现金流'!AJ3710&amp;"|"&amp;'管线现金流'!H3711&amp;"|"&amp;'管线现金流'!AJ3711&amp;"|"&amp;'管线现金流'!H3712&amp;"|"&amp;'管线现金流'!AJ3712&amp;"|"&amp;'管线现金流'!H3713&amp;"|"&amp;'管线现金流'!AJ3713&amp;"|"&amp;'管线现金流'!H3714&amp;"|"&amp;'管线现金流'!AJ3714&amp;"|"&amp;'管线现金流'!H3715&amp;"|"&amp;'管线现金流'!AJ3715&amp;"|"&amp;'管线现金流'!H3716&amp;"|"&amp;'管线现金流'!AJ3716&amp;"|"&amp;'管线现金流'!H3717&amp;"|"&amp;'管线现金流'!AJ3717&amp;"|"&amp;'管线现金流'!H3718&amp;"|"&amp;'管线现金流'!AJ3718&amp;"|"&amp;'管线现金流'!H3719&amp;"|"&amp;'管线现金流'!AJ3719&amp;"|"&amp;'管线现金流'!H3720&amp;"|"&amp;'管线现金流'!AJ3720&amp;"|"&amp;'管线现金流'!H3721&amp;"|"&amp;'管线现金流'!AJ3721&amp;"|"&amp;'管线现金流'!U35&amp;"|"&amp;'管线现金流'!X35&amp;"|"&amp;'管线现金流'!AO35&amp;"|"&amp;'管线现金流'!AR35&amp;"|"&amp;'管线现金流'!U36&amp;"|"&amp;'管线现金流'!X36&amp;"|"&amp;'管线现金流'!AO36&amp;"|"&amp;'管线现金流'!AR36</x:f>
        <x:v>1|0|1.1|1|0.04000000000000001|1|0.18|6.8|1|0.05600000000000001|1|0.18|6.8|0.19999999999999996|0.05600000000000001|1|0.18|6.8|0.09999999999999998|0.05600000000000001|1|0.18|6.8|0.07000000000000006|0.05600000000000001|1|0.18|6.8|0.35|0.18|1|0.18|6.8|0.07999999999999996|0.18|1|0.18|6.8|0.050000000000000044|0.18|1|0.18|6.8|0.08999999999999997|0.18|1|0.18|6.8|0.040000000000000036|0.18|1|0.18|6.8|0.12|0.05600000000000001|1|0.18|6.8|0.25|0.18|1|0.18|6.8|0.050000000000000044|0.12|1|0.18|6.8|0.15000000000000002|0.18|1|0.18|6.8|0.07999999999999996|0.05600000000000001|1|0.18|6.8|0.21666666666666667|0|0.43333333333333335|0|0.65|0|0.5655|0|0.481|0|0.3965|0|0.312|0|0.22749999999999998|0|0.143|0|0.05849999999999998|0|0|0|0|0|0|0|0|0|0|0|0|0|0|0|0|0|0|0|0.1|0|0.2|0|0.3|0|0.4|0|0.5|0|0.435|0|0.37|0|0.305|0|0.24|0|0.175|0|0.10999999999999999|0|0.044999999999999984|0|0|0|0|0|0|0|0|0|0|0|0|0|0|0|0|0|0|0|0|0|0|0|0|0|0.13999999999999999|0|0.27999999999999997|0|0.42|0|0.5599999999999999|0|0.7|0|0.609|0|0.518|0|0.427|0|0.33599999999999997|0|0.24499999999999997|0|0.15399999999999997|0|0.06299999999999997|0|0|0|0|0|0|0|0|0|0|0|0|0|0|0|0|0|0|0|0.06|0|0.12|0|0.18|0|0.24|0|0.3|0|0.261|0|0.222|0|0.183|0|0.144|0|0.105|0|0.06599999999999999|0|0.02699999999999999|0|0|0|0|0|0|0|0|0|0|0|0|0|0|0|0|0|0.1|0|0.2|0|0.3|0|0.4|0|0.5|0|0.435|0|0.37|0|0.305|0|0.24|0|0.175|0|0.10999999999999999|0|0|0|0|0|0|0|0|0|0.2|0|0.4|0|0.6|0|0.8|0|1|0|0.87|0|0.74|0|0.61|0|0.48|0|0.35|0|0.21999999999999997|0|0.08999999999999997|0|0|0|0|0|0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0.06|0|0.12|0|0.18|0|0.24|0|0.3|0|0.261|0|0.222|0|0.183|0|0.144|0|0.105|0|0.06599999999999999|0|0.02699999999999999|0|0|0|0|0|0|0|0|0|0|0|0|0|0|0|0|0|0.08000000000000002|0|0.16000000000000003|0|0.24|0|0.32000000000000006|0|0.4|0|0.34800000000000003|0|0.296|0|0.244|0|0.192|0|0.13999999999999999|0|0.088|0|0|0|0|0|0|0|0|0|0|0|0|0|0|0|0|0|0.13999999999999999|0|0.27999999999999997|0|0.42|0|0.5599999999999999|0|0.7|0|0.609|0|0.518|0|0.427|0|0.33599999999999997|0|0.24499999999999997|0|0.15399999999999997|0|0|0|0|0|0|0|0|0|0.12|0|0.24|0|0.36|0|0.48|0|0.6|0|0.522|0|0.444|0|0.366|0|0.288|0|0.21|0|0.13199999999999998|0|0.05399999999999998|0|0|0|0|0|0|0|0|0|0|0|0|0|0|0|0|0|0|0|0|0|0|0|0.06|0|0.12|0|0.18|0|0.24|0|0.3|0|0.261|0|0.222|0|0.183|0|0.144|0|0.105|0|0.06599999999999999|0|0|0|0|0|0|0|0|0|0|0|0|0|0|0|0.12|0|0.24|0|0.36|0|0.48|0|0.6|0|0.522|0|0.444|0|0.366|0|0.288|0|0.21|0|0.13199999999999998|0|0.05399999999999998|0|0|0|0|0|0|0|0|0|0|0|0|0|0|0|0|0|0|0|0.08000000000000002|0|0.16000000000000003|0|0.24|0|0.32000000000000006|0|0.4|0|0.34800000000000003|0|0.296|0|0.244|0|0.192|0|0.13999999999999999|0|0|1|0.8|1|0.02|1|0.8|1</x:v>
      </x:c>
    </x:row>
    <x:row r="350" ht="23" customHeight="1">
      <x:c r="A350" s="11" t="str">
        <x:v>688382.SH</x:v>
      </x:c>
      <x:c r="B350" s="11" t="str">
        <x:v>益方生物</x:v>
      </x:c>
      <x:c r="C350" s="11" t="str">
        <x:v>五年</x:v>
      </x:c>
      <x:c r="D350" s="11" t="str">
        <x:v>基准</x:v>
      </x:c>
      <x:c r="E350" s="11" t="n">
        <x:v>17.26</x:v>
      </x:c>
      <x:c r="F350" s="11" t="n">
        <x:v>16.674532291259816</x:v>
      </x:c>
      <x:c r="G350" s="11" t="n">
        <x:v>0</x:v>
      </x:c>
      <x:c r="H350" s="25" t="n">
        <x:v>-0.03392049297451827</x:v>
      </x:c>
      <x:c r="I350" s="25" t="n">
        <x:v>-0.03392049297451827</x:v>
      </x:c>
      <x:c r="J350" s="25" t="n">
        <x:v>-0.006878065631385599</x:v>
      </x:c>
      <x:c r="K350" s="11" t="n">
        <x:v>0</x:v>
      </x:c>
      <x:c r="L350" s="11" t="n">
        <x:v>0</x:v>
      </x:c>
      <x:c r="M350" s="11" t="n">
        <x:v>1</x:v>
      </x:c>
      <x:c r="N350" s="11" t="n">
        <x:v>0</x:v>
      </x:c>
      <x:c r="O350" s="11" t="n">
        <x:v>0</x:v>
      </x:c>
      <x:c r="P350" s="11" t="n">
        <x:v>0</x:v>
      </x:c>
      <x:c r="Q350" s="11" t="n">
        <x:v>0.74</x:v>
      </x:c>
      <x:c r="R350" s="11" t="str">
        <x:v>inventis-rnpv-v1.0</x:v>
      </x:c>
      <x:c r="S350" s="11" t="str">
        <x:v>2026-10-10</x:v>
      </x:c>
      <x:c r="T350" s="11" t="str">
        <x:f>IF(AND(SUM(IF(K350='假设'!E465,0,1),IF(L350='假设'!F465,0,1),IF(M350='假设'!G465,0,1),IF(N350='假设'!H465,0,1),IF(O350='假设'!I465,0,1),IF(P350='假设'!J465,0,1),IF(Q350='假设'!K465,0,1))=0,U350=V350),"已刷新","待刷新")</x:f>
        <x:v>已刷新</x:v>
      </x:c>
      <x:c r="U350" t="str">
        <x:v>1|1.8|0.8|1|0.0656|1|0.135|6.8|1|0.08200000000000002|1|0.135|6.8|0.6619999999999999|0.08200000000000002|1|0.135|6.8|0.5255000000000001|0.08200000000000002|1|0.135|6.8|0.49949999999999994|0.08200000000000002|1|0.135|6.8|0.753|0.28|1|0.135|6.8|0.532|0.28|1|0.135|6.8|0.46699999999999997|0.28|1|0.135|6.8|0.545|0.28|1|0.135|6.8|0.4475|0.28|1|0.135|6.8|0.5774999999999999|0.08200000000000002|1|0.135|6.8|0.675|0.28|1|0.135|6.8|0.46699999999999997|0.2|1|0.135|6.8|0.597|0.28|1|0.135|6.8|0.5125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  <x:c r="V350" t="str">
        <x:f>'假设'!U465&amp;"|"&amp;'假设'!N465&amp;"|"&amp;'假设'!Q465&amp;"|"&amp;'管线假设'!E749&amp;"|"&amp;'管线假设'!F749&amp;"|"&amp;'管线假设'!G749&amp;"|"&amp;'管线假设'!H749&amp;"|"&amp;'管线假设'!I749&amp;"|"&amp;'管线假设'!E753&amp;"|"&amp;'管线假设'!F753&amp;"|"&amp;'管线假设'!G753&amp;"|"&amp;'管线假设'!H753&amp;"|"&amp;'管线假设'!I753&amp;"|"&amp;'管线假设'!E757&amp;"|"&amp;'管线假设'!F757&amp;"|"&amp;'管线假设'!G757&amp;"|"&amp;'管线假设'!H757&amp;"|"&amp;'管线假设'!I757&amp;"|"&amp;'管线假设'!E761&amp;"|"&amp;'管线假设'!F761&amp;"|"&amp;'管线假设'!G761&amp;"|"&amp;'管线假设'!H761&amp;"|"&amp;'管线假设'!I761&amp;"|"&amp;'管线假设'!E765&amp;"|"&amp;'管线假设'!F765&amp;"|"&amp;'管线假设'!G765&amp;"|"&amp;'管线假设'!H765&amp;"|"&amp;'管线假设'!I765&amp;"|"&amp;'管线假设'!E769&amp;"|"&amp;'管线假设'!F769&amp;"|"&amp;'管线假设'!G769&amp;"|"&amp;'管线假设'!H769&amp;"|"&amp;'管线假设'!I769&amp;"|"&amp;'管线假设'!E773&amp;"|"&amp;'管线假设'!F773&amp;"|"&amp;'管线假设'!G773&amp;"|"&amp;'管线假设'!H773&amp;"|"&amp;'管线假设'!I773&amp;"|"&amp;'管线假设'!E777&amp;"|"&amp;'管线假设'!F777&amp;"|"&amp;'管线假设'!G777&amp;"|"&amp;'管线假设'!H777&amp;"|"&amp;'管线假设'!I777&amp;"|"&amp;'管线假设'!E781&amp;"|"&amp;'管线假设'!F781&amp;"|"&amp;'管线假设'!G781&amp;"|"&amp;'管线假设'!H781&amp;"|"&amp;'管线假设'!I781&amp;"|"&amp;'管线假设'!E785&amp;"|"&amp;'管线假设'!F785&amp;"|"&amp;'管线假设'!G785&amp;"|"&amp;'管线假设'!H785&amp;"|"&amp;'管线假设'!I785&amp;"|"&amp;'管线假设'!E789&amp;"|"&amp;'管线假设'!F789&amp;"|"&amp;'管线假设'!G789&amp;"|"&amp;'管线假设'!H789&amp;"|"&amp;'管线假设'!I789&amp;"|"&amp;'管线假设'!E793&amp;"|"&amp;'管线假设'!F793&amp;"|"&amp;'管线假设'!G793&amp;"|"&amp;'管线假设'!H793&amp;"|"&amp;'管线假设'!I793&amp;"|"&amp;'管线假设'!E797&amp;"|"&amp;'管线假设'!F797&amp;"|"&amp;'管线假设'!G797&amp;"|"&amp;'管线假设'!H797&amp;"|"&amp;'管线假设'!I797&amp;"|"&amp;'管线假设'!E801&amp;"|"&amp;'管线假设'!F801&amp;"|"&amp;'管线假设'!G801&amp;"|"&amp;'管线假设'!H801&amp;"|"&amp;'管线假设'!I801&amp;"|"&amp;'管线假设'!E805&amp;"|"&amp;'管线假设'!F805&amp;"|"&amp;'管线假设'!G805&amp;"|"&amp;'管线假设'!H805&amp;"|"&amp;'管线假设'!I805&amp;"|"&amp;'管线现金流'!I3437&amp;"|"&amp;'管线现金流'!AK3437&amp;"|"&amp;'管线现金流'!I3438&amp;"|"&amp;'管线现金流'!AK3438&amp;"|"&amp;'管线现金流'!I3439&amp;"|"&amp;'管线现金流'!AK3439&amp;"|"&amp;'管线现金流'!I3440&amp;"|"&amp;'管线现金流'!AK3440&amp;"|"&amp;'管线现金流'!I3441&amp;"|"&amp;'管线现金流'!AK3441&amp;"|"&amp;'管线现金流'!I3442&amp;"|"&amp;'管线现金流'!AK3442&amp;"|"&amp;'管线现金流'!I3443&amp;"|"&amp;'管线现金流'!AK3443&amp;"|"&amp;'管线现金流'!I3444&amp;"|"&amp;'管线现金流'!AK3444&amp;"|"&amp;'管线现金流'!I3445&amp;"|"&amp;'管线现金流'!AK3445&amp;"|"&amp;'管线现金流'!I3446&amp;"|"&amp;'管线现金流'!AK3446&amp;"|"&amp;'管线现金流'!I3447&amp;"|"&amp;'管线现金流'!AK3447&amp;"|"&amp;'管线现金流'!I3448&amp;"|"&amp;'管线现金流'!AK3448&amp;"|"&amp;'管线现金流'!I3449&amp;"|"&amp;'管线现金流'!AK3449&amp;"|"&amp;'管线现金流'!I3450&amp;"|"&amp;'管线现金流'!AK3450&amp;"|"&amp;'管线现金流'!I3451&amp;"|"&amp;'管线现金流'!AK3451&amp;"|"&amp;'管线现金流'!I3452&amp;"|"&amp;'管线现金流'!AK3452&amp;"|"&amp;'管线现金流'!I3453&amp;"|"&amp;'管线现金流'!AK3453&amp;"|"&amp;'管线现金流'!I3454&amp;"|"&amp;'管线现金流'!AK3454&amp;"|"&amp;'管线现金流'!I3455&amp;"|"&amp;'管线现金流'!AK3455&amp;"|"&amp;'管线现金流'!I3456&amp;"|"&amp;'管线现金流'!AK3456&amp;"|"&amp;'管线现金流'!I3457&amp;"|"&amp;'管线现金流'!AK3457&amp;"|"&amp;'管线现金流'!I3458&amp;"|"&amp;'管线现金流'!AK3458&amp;"|"&amp;'管线现金流'!I3459&amp;"|"&amp;'管线现金流'!AK3459&amp;"|"&amp;'管线现金流'!I3460&amp;"|"&amp;'管线现金流'!AK3460&amp;"|"&amp;'管线现金流'!I3461&amp;"|"&amp;'管线现金流'!AK3461&amp;"|"&amp;'管线现金流'!I3462&amp;"|"&amp;'管线现金流'!AK3462&amp;"|"&amp;'管线现金流'!I3463&amp;"|"&amp;'管线现金流'!AK3463&amp;"|"&amp;'管线现金流'!I3464&amp;"|"&amp;'管线现金流'!AK3464&amp;"|"&amp;'管线现金流'!I3465&amp;"|"&amp;'管线现金流'!AK3465&amp;"|"&amp;'管线现金流'!I3466&amp;"|"&amp;'管线现金流'!AK3466&amp;"|"&amp;'管线现金流'!I3467&amp;"|"&amp;'管线现金流'!AK3467&amp;"|"&amp;'管线现金流'!I3468&amp;"|"&amp;'管线现金流'!AK3468&amp;"|"&amp;'管线现金流'!I3469&amp;"|"&amp;'管线现金流'!AK3469&amp;"|"&amp;'管线现金流'!I3470&amp;"|"&amp;'管线现金流'!AK3470&amp;"|"&amp;'管线现金流'!I3471&amp;"|"&amp;'管线现金流'!AK3471&amp;"|"&amp;'管线现金流'!I3472&amp;"|"&amp;'管线现金流'!AK3472&amp;"|"&amp;'管线现金流'!I3473&amp;"|"&amp;'管线现金流'!AK3473&amp;"|"&amp;'管线现金流'!I3474&amp;"|"&amp;'管线现金流'!AK3474&amp;"|"&amp;'管线现金流'!I3475&amp;"|"&amp;'管线现金流'!AK3475&amp;"|"&amp;'管线现金流'!I3476&amp;"|"&amp;'管线现金流'!AK3476&amp;"|"&amp;'管线现金流'!I3477&amp;"|"&amp;'管线现金流'!AK3477&amp;"|"&amp;'管线现金流'!I3478&amp;"|"&amp;'管线现金流'!AK3478&amp;"|"&amp;'管线现金流'!I3479&amp;"|"&amp;'管线现金流'!AK3479&amp;"|"&amp;'管线现金流'!I3480&amp;"|"&amp;'管线现金流'!AK3480&amp;"|"&amp;'管线现金流'!I3481&amp;"|"&amp;'管线现金流'!AK3481&amp;"|"&amp;'管线现金流'!I3482&amp;"|"&amp;'管线现金流'!AK3482&amp;"|"&amp;'管线现金流'!I3483&amp;"|"&amp;'管线现金流'!AK3483&amp;"|"&amp;'管线现金流'!I3484&amp;"|"&amp;'管线现金流'!AK3484&amp;"|"&amp;'管线现金流'!I3485&amp;"|"&amp;'管线现金流'!AK3485&amp;"|"&amp;'管线现金流'!I3486&amp;"|"&amp;'管线现金流'!AK3486&amp;"|"&amp;'管线现金流'!I3487&amp;"|"&amp;'管线现金流'!AK3487&amp;"|"&amp;'管线现金流'!I3488&amp;"|"&amp;'管线现金流'!AK3488&amp;"|"&amp;'管线现金流'!I3489&amp;"|"&amp;'管线现金流'!AK3489&amp;"|"&amp;'管线现金流'!I3490&amp;"|"&amp;'管线现金流'!AK3490&amp;"|"&amp;'管线现金流'!I3491&amp;"|"&amp;'管线现金流'!AK3491&amp;"|"&amp;'管线现金流'!I3492&amp;"|"&amp;'管线现金流'!AK3492&amp;"|"&amp;'管线现金流'!I3493&amp;"|"&amp;'管线现金流'!AK3493&amp;"|"&amp;'管线现金流'!I3494&amp;"|"&amp;'管线现金流'!AK3494&amp;"|"&amp;'管线现金流'!I3495&amp;"|"&amp;'管线现金流'!AK3495&amp;"|"&amp;'管线现金流'!I3496&amp;"|"&amp;'管线现金流'!AK3496&amp;"|"&amp;'管线现金流'!I3497&amp;"|"&amp;'管线现金流'!AK3497&amp;"|"&amp;'管线现金流'!I3498&amp;"|"&amp;'管线现金流'!AK3498&amp;"|"&amp;'管线现金流'!I3499&amp;"|"&amp;'管线现金流'!AK3499&amp;"|"&amp;'管线现金流'!I3500&amp;"|"&amp;'管线现金流'!AK3500&amp;"|"&amp;'管线现金流'!I3501&amp;"|"&amp;'管线现金流'!AK3501&amp;"|"&amp;'管线现金流'!I3502&amp;"|"&amp;'管线现金流'!AK3502&amp;"|"&amp;'管线现金流'!I3503&amp;"|"&amp;'管线现金流'!AK3503&amp;"|"&amp;'管线现金流'!I3504&amp;"|"&amp;'管线现金流'!AK3504&amp;"|"&amp;'管线现金流'!I3505&amp;"|"&amp;'管线现金流'!AK3505&amp;"|"&amp;'管线现金流'!I3506&amp;"|"&amp;'管线现金流'!AK3506&amp;"|"&amp;'管线现金流'!I3507&amp;"|"&amp;'管线现金流'!AK3507&amp;"|"&amp;'管线现金流'!I3508&amp;"|"&amp;'管线现金流'!AK3508&amp;"|"&amp;'管线现金流'!I3509&amp;"|"&amp;'管线现金流'!AK3509&amp;"|"&amp;'管线现金流'!I3510&amp;"|"&amp;'管线现金流'!AK3510&amp;"|"&amp;'管线现金流'!I3511&amp;"|"&amp;'管线现金流'!AK3511&amp;"|"&amp;'管线现金流'!I3512&amp;"|"&amp;'管线现金流'!AK3512&amp;"|"&amp;'管线现金流'!I3513&amp;"|"&amp;'管线现金流'!AK3513&amp;"|"&amp;'管线现金流'!I3514&amp;"|"&amp;'管线现金流'!AK3514&amp;"|"&amp;'管线现金流'!I3515&amp;"|"&amp;'管线现金流'!AK3515&amp;"|"&amp;'管线现金流'!I3516&amp;"|"&amp;'管线现金流'!AK3516&amp;"|"&amp;'管线现金流'!I3517&amp;"|"&amp;'管线现金流'!AK3517&amp;"|"&amp;'管线现金流'!I3518&amp;"|"&amp;'管线现金流'!AK3518&amp;"|"&amp;'管线现金流'!I3519&amp;"|"&amp;'管线现金流'!AK3519&amp;"|"&amp;'管线现金流'!I3520&amp;"|"&amp;'管线现金流'!AK3520&amp;"|"&amp;'管线现金流'!I3521&amp;"|"&amp;'管线现金流'!AK3521&amp;"|"&amp;'管线现金流'!I3522&amp;"|"&amp;'管线现金流'!AK3522&amp;"|"&amp;'管线现金流'!I3523&amp;"|"&amp;'管线现金流'!AK3523&amp;"|"&amp;'管线现金流'!I3524&amp;"|"&amp;'管线现金流'!AK3524&amp;"|"&amp;'管线现金流'!I3525&amp;"|"&amp;'管线现金流'!AK3525&amp;"|"&amp;'管线现金流'!I3526&amp;"|"&amp;'管线现金流'!AK3526&amp;"|"&amp;'管线现金流'!I3527&amp;"|"&amp;'管线现金流'!AK3527&amp;"|"&amp;'管线现金流'!I3528&amp;"|"&amp;'管线现金流'!AK3528&amp;"|"&amp;'管线现金流'!I3529&amp;"|"&amp;'管线现金流'!AK3529&amp;"|"&amp;'管线现金流'!I3530&amp;"|"&amp;'管线现金流'!AK3530&amp;"|"&amp;'管线现金流'!I3531&amp;"|"&amp;'管线现金流'!AK3531&amp;"|"&amp;'管线现金流'!I3532&amp;"|"&amp;'管线现金流'!AK3532&amp;"|"&amp;'管线现金流'!I3533&amp;"|"&amp;'管线现金流'!AK3533&amp;"|"&amp;'管线现金流'!I3534&amp;"|"&amp;'管线现金流'!AK3534&amp;"|"&amp;'管线现金流'!I3535&amp;"|"&amp;'管线现金流'!AK3535&amp;"|"&amp;'管线现金流'!I3536&amp;"|"&amp;'管线现金流'!AK3536&amp;"|"&amp;'管线现金流'!I3537&amp;"|"&amp;'管线现金流'!AK3537&amp;"|"&amp;'管线现金流'!I3538&amp;"|"&amp;'管线现金流'!AK3538&amp;"|"&amp;'管线现金流'!I3539&amp;"|"&amp;'管线现金流'!AK3539&amp;"|"&amp;'管线现金流'!I3540&amp;"|"&amp;'管线现金流'!AK3540&amp;"|"&amp;'管线现金流'!I3541&amp;"|"&amp;'管线现金流'!AK3541&amp;"|"&amp;'管线现金流'!I3542&amp;"|"&amp;'管线现金流'!AK3542&amp;"|"&amp;'管线现金流'!I3543&amp;"|"&amp;'管线现金流'!AK3543&amp;"|"&amp;'管线现金流'!I3544&amp;"|"&amp;'管线现金流'!AK3544&amp;"|"&amp;'管线现金流'!I3545&amp;"|"&amp;'管线现金流'!AK3545&amp;"|"&amp;'管线现金流'!I3546&amp;"|"&amp;'管线现金流'!AK3546&amp;"|"&amp;'管线现金流'!I3547&amp;"|"&amp;'管线现金流'!AK3547&amp;"|"&amp;'管线现金流'!I3548&amp;"|"&amp;'管线现金流'!AK3548&amp;"|"&amp;'管线现金流'!I3549&amp;"|"&amp;'管线现金流'!AK3549&amp;"|"&amp;'管线现金流'!I3550&amp;"|"&amp;'管线现金流'!AK3550&amp;"|"&amp;'管线现金流'!I3551&amp;"|"&amp;'管线现金流'!AK3551&amp;"|"&amp;'管线现金流'!I3552&amp;"|"&amp;'管线现金流'!AK3552&amp;"|"&amp;'管线现金流'!I3553&amp;"|"&amp;'管线现金流'!AK3553&amp;"|"&amp;'管线现金流'!I3554&amp;"|"&amp;'管线现金流'!AK3554&amp;"|"&amp;'管线现金流'!I3555&amp;"|"&amp;'管线现金流'!AK3555&amp;"|"&amp;'管线现金流'!I3556&amp;"|"&amp;'管线现金流'!AK3556&amp;"|"&amp;'管线现金流'!I3557&amp;"|"&amp;'管线现金流'!AK3557&amp;"|"&amp;'管线现金流'!I3558&amp;"|"&amp;'管线现金流'!AK3558&amp;"|"&amp;'管线现金流'!I3559&amp;"|"&amp;'管线现金流'!AK3559&amp;"|"&amp;'管线现金流'!I3560&amp;"|"&amp;'管线现金流'!AK3560&amp;"|"&amp;'管线现金流'!I3561&amp;"|"&amp;'管线现金流'!AK3561&amp;"|"&amp;'管线现金流'!I3562&amp;"|"&amp;'管线现金流'!AK3562&amp;"|"&amp;'管线现金流'!I3563&amp;"|"&amp;'管线现金流'!AK3563&amp;"|"&amp;'管线现金流'!I3564&amp;"|"&amp;'管线现金流'!AK3564&amp;"|"&amp;'管线现金流'!I3565&amp;"|"&amp;'管线现金流'!AK3565&amp;"|"&amp;'管线现金流'!I3566&amp;"|"&amp;'管线现金流'!AK3566&amp;"|"&amp;'管线现金流'!I3567&amp;"|"&amp;'管线现金流'!AK3567&amp;"|"&amp;'管线现金流'!I3568&amp;"|"&amp;'管线现金流'!AK3568&amp;"|"&amp;'管线现金流'!I3569&amp;"|"&amp;'管线现金流'!AK3569&amp;"|"&amp;'管线现金流'!I3570&amp;"|"&amp;'管线现金流'!AK3570&amp;"|"&amp;'管线现金流'!I3571&amp;"|"&amp;'管线现金流'!AK3571&amp;"|"&amp;'管线现金流'!I3572&amp;"|"&amp;'管线现金流'!AK3572&amp;"|"&amp;'管线现金流'!I3573&amp;"|"&amp;'管线现金流'!AK3573&amp;"|"&amp;'管线现金流'!I3574&amp;"|"&amp;'管线现金流'!AK3574&amp;"|"&amp;'管线现金流'!I3575&amp;"|"&amp;'管线现金流'!AK3575&amp;"|"&amp;'管线现金流'!I3576&amp;"|"&amp;'管线现金流'!AK3576&amp;"|"&amp;'管线现金流'!I3577&amp;"|"&amp;'管线现金流'!AK3577&amp;"|"&amp;'管线现金流'!I3578&amp;"|"&amp;'管线现金流'!AK3578&amp;"|"&amp;'管线现金流'!I3579&amp;"|"&amp;'管线现金流'!AK3579&amp;"|"&amp;'管线现金流'!I3580&amp;"|"&amp;'管线现金流'!AK3580&amp;"|"&amp;'管线现金流'!I3581&amp;"|"&amp;'管线现金流'!AK3581&amp;"|"&amp;'管线现金流'!I3582&amp;"|"&amp;'管线现金流'!AK3582&amp;"|"&amp;'管线现金流'!I3583&amp;"|"&amp;'管线现金流'!AK3583&amp;"|"&amp;'管线现金流'!I3584&amp;"|"&amp;'管线现金流'!AK3584&amp;"|"&amp;'管线现金流'!I3585&amp;"|"&amp;'管线现金流'!AK3585&amp;"|"&amp;'管线现金流'!I3586&amp;"|"&amp;'管线现金流'!AK3586&amp;"|"&amp;'管线现金流'!I3587&amp;"|"&amp;'管线现金流'!AK3587&amp;"|"&amp;'管线现金流'!I3588&amp;"|"&amp;'管线现金流'!AK3588&amp;"|"&amp;'管线现金流'!I3589&amp;"|"&amp;'管线现金流'!AK3589&amp;"|"&amp;'管线现金流'!I3590&amp;"|"&amp;'管线现金流'!AK3590&amp;"|"&amp;'管线现金流'!I3591&amp;"|"&amp;'管线现金流'!AK3591&amp;"|"&amp;'管线现金流'!I3592&amp;"|"&amp;'管线现金流'!AK3592&amp;"|"&amp;'管线现金流'!I3593&amp;"|"&amp;'管线现金流'!AK3593&amp;"|"&amp;'管线现金流'!I3594&amp;"|"&amp;'管线现金流'!AK3594&amp;"|"&amp;'管线现金流'!I3595&amp;"|"&amp;'管线现金流'!AK3595&amp;"|"&amp;'管线现金流'!I3596&amp;"|"&amp;'管线现金流'!AK3596&amp;"|"&amp;'管线现金流'!I3597&amp;"|"&amp;'管线现金流'!AK3597&amp;"|"&amp;'管线现金流'!I3598&amp;"|"&amp;'管线现金流'!AK3598&amp;"|"&amp;'管线现金流'!I3599&amp;"|"&amp;'管线现金流'!AK3599&amp;"|"&amp;'管线现金流'!I3600&amp;"|"&amp;'管线现金流'!AK3600&amp;"|"&amp;'管线现金流'!I3601&amp;"|"&amp;'管线现金流'!AK3601&amp;"|"&amp;'管线现金流'!I3602&amp;"|"&amp;'管线现金流'!AK3602&amp;"|"&amp;'管线现金流'!I3603&amp;"|"&amp;'管线现金流'!AK3603&amp;"|"&amp;'管线现金流'!I3604&amp;"|"&amp;'管线现金流'!AK3604&amp;"|"&amp;'管线现金流'!I3605&amp;"|"&amp;'管线现金流'!AK3605&amp;"|"&amp;'管线现金流'!I3606&amp;"|"&amp;'管线现金流'!AK3606&amp;"|"&amp;'管线现金流'!I3607&amp;"|"&amp;'管线现金流'!AK3607&amp;"|"&amp;'管线现金流'!I3608&amp;"|"&amp;'管线现金流'!AK3608&amp;"|"&amp;'管线现金流'!I3609&amp;"|"&amp;'管线现金流'!AK3609&amp;"|"&amp;'管线现金流'!I3610&amp;"|"&amp;'管线现金流'!AK3610&amp;"|"&amp;'管线现金流'!I3611&amp;"|"&amp;'管线现金流'!AK3611&amp;"|"&amp;'管线现金流'!I3612&amp;"|"&amp;'管线现金流'!AK3612&amp;"|"&amp;'管线现金流'!I3613&amp;"|"&amp;'管线现金流'!AK3613&amp;"|"&amp;'管线现金流'!I3614&amp;"|"&amp;'管线现金流'!AK3614&amp;"|"&amp;'管线现金流'!I3615&amp;"|"&amp;'管线现金流'!AK3615&amp;"|"&amp;'管线现金流'!I3616&amp;"|"&amp;'管线现金流'!AK3616&amp;"|"&amp;'管线现金流'!I3617&amp;"|"&amp;'管线现金流'!AK3617&amp;"|"&amp;'管线现金流'!I3618&amp;"|"&amp;'管线现金流'!AK3618&amp;"|"&amp;'管线现金流'!I3619&amp;"|"&amp;'管线现金流'!AK3619&amp;"|"&amp;'管线现金流'!I3620&amp;"|"&amp;'管线现金流'!AK3620&amp;"|"&amp;'管线现金流'!I3621&amp;"|"&amp;'管线现金流'!AK3621&amp;"|"&amp;'管线现金流'!I3622&amp;"|"&amp;'管线现金流'!AK3622&amp;"|"&amp;'管线现金流'!I3623&amp;"|"&amp;'管线现金流'!AK3623&amp;"|"&amp;'管线现金流'!I3624&amp;"|"&amp;'管线现金流'!AK3624&amp;"|"&amp;'管线现金流'!I3625&amp;"|"&amp;'管线现金流'!AK3625&amp;"|"&amp;'管线现金流'!I3626&amp;"|"&amp;'管线现金流'!AK3626&amp;"|"&amp;'管线现金流'!I3627&amp;"|"&amp;'管线现金流'!AK3627&amp;"|"&amp;'管线现金流'!I3628&amp;"|"&amp;'管线现金流'!AK3628&amp;"|"&amp;'管线现金流'!I3629&amp;"|"&amp;'管线现金流'!AK3629&amp;"|"&amp;'管线现金流'!I3630&amp;"|"&amp;'管线现金流'!AK3630&amp;"|"&amp;'管线现金流'!I3631&amp;"|"&amp;'管线现金流'!AK3631&amp;"|"&amp;'管线现金流'!I3632&amp;"|"&amp;'管线现金流'!AK3632&amp;"|"&amp;'管线现金流'!I3633&amp;"|"&amp;'管线现金流'!AK3633&amp;"|"&amp;'管线现金流'!I3634&amp;"|"&amp;'管线现金流'!AK3634&amp;"|"&amp;'管线现金流'!I3635&amp;"|"&amp;'管线现金流'!AK3635&amp;"|"&amp;'管线现金流'!I3636&amp;"|"&amp;'管线现金流'!AK3636&amp;"|"&amp;'管线现金流'!I3637&amp;"|"&amp;'管线现金流'!AK3637&amp;"|"&amp;'管线现金流'!I3638&amp;"|"&amp;'管线现金流'!AK3638&amp;"|"&amp;'管线现金流'!I3639&amp;"|"&amp;'管线现金流'!AK3639&amp;"|"&amp;'管线现金流'!I3640&amp;"|"&amp;'管线现金流'!AK3640&amp;"|"&amp;'管线现金流'!I3641&amp;"|"&amp;'管线现金流'!AK3641&amp;"|"&amp;'管线现金流'!I3642&amp;"|"&amp;'管线现金流'!AK3642&amp;"|"&amp;'管线现金流'!I3643&amp;"|"&amp;'管线现金流'!AK3643&amp;"|"&amp;'管线现金流'!I3644&amp;"|"&amp;'管线现金流'!AK3644&amp;"|"&amp;'管线现金流'!I3645&amp;"|"&amp;'管线现金流'!AK3645&amp;"|"&amp;'管线现金流'!I3646&amp;"|"&amp;'管线现金流'!AK3646&amp;"|"&amp;'管线现金流'!I3647&amp;"|"&amp;'管线现金流'!AK3647&amp;"|"&amp;'管线现金流'!I3648&amp;"|"&amp;'管线现金流'!AK3648&amp;"|"&amp;'管线现金流'!I3649&amp;"|"&amp;'管线现金流'!AK3649&amp;"|"&amp;'管线现金流'!I3650&amp;"|"&amp;'管线现金流'!AK3650&amp;"|"&amp;'管线现金流'!I3651&amp;"|"&amp;'管线现金流'!AK3651&amp;"|"&amp;'管线现金流'!I3652&amp;"|"&amp;'管线现金流'!AK3652&amp;"|"&amp;'管线现金流'!I3653&amp;"|"&amp;'管线现金流'!AK3653&amp;"|"&amp;'管线现金流'!I3654&amp;"|"&amp;'管线现金流'!AK3654&amp;"|"&amp;'管线现金流'!I3655&amp;"|"&amp;'管线现金流'!AK3655&amp;"|"&amp;'管线现金流'!I3656&amp;"|"&amp;'管线现金流'!AK3656&amp;"|"&amp;'管线现金流'!I3657&amp;"|"&amp;'管线现金流'!AK3657&amp;"|"&amp;'管线现金流'!I3658&amp;"|"&amp;'管线现金流'!AK3658&amp;"|"&amp;'管线现金流'!I3659&amp;"|"&amp;'管线现金流'!AK3659&amp;"|"&amp;'管线现金流'!I3660&amp;"|"&amp;'管线现金流'!AK3660&amp;"|"&amp;'管线现金流'!I3661&amp;"|"&amp;'管线现金流'!AK3661&amp;"|"&amp;'管线现金流'!I3662&amp;"|"&amp;'管线现金流'!AK3662&amp;"|"&amp;'管线现金流'!I3663&amp;"|"&amp;'管线现金流'!AK3663&amp;"|"&amp;'管线现金流'!I3664&amp;"|"&amp;'管线现金流'!AK3664&amp;"|"&amp;'管线现金流'!I3665&amp;"|"&amp;'管线现金流'!AK3665&amp;"|"&amp;'管线现金流'!I3666&amp;"|"&amp;'管线现金流'!AK3666&amp;"|"&amp;'管线现金流'!I3667&amp;"|"&amp;'管线现金流'!AK3667&amp;"|"&amp;'管线现金流'!I3668&amp;"|"&amp;'管线现金流'!AK3668&amp;"|"&amp;'管线现金流'!I3669&amp;"|"&amp;'管线现金流'!AK3669&amp;"|"&amp;'管线现金流'!I3670&amp;"|"&amp;'管线现金流'!AK3670&amp;"|"&amp;'管线现金流'!I3671&amp;"|"&amp;'管线现金流'!AK3671&amp;"|"&amp;'管线现金流'!I3672&amp;"|"&amp;'管线现金流'!AK3672&amp;"|"&amp;'管线现金流'!I3673&amp;"|"&amp;'管线现金流'!AK3673&amp;"|"&amp;'管线现金流'!I3674&amp;"|"&amp;'管线现金流'!AK3674&amp;"|"&amp;'管线现金流'!I3675&amp;"|"&amp;'管线现金流'!AK3675&amp;"|"&amp;'管线现金流'!I3676&amp;"|"&amp;'管线现金流'!AK3676&amp;"|"&amp;'管线现金流'!I3677&amp;"|"&amp;'管线现金流'!AK3677&amp;"|"&amp;'管线现金流'!I3678&amp;"|"&amp;'管线现金流'!AK3678&amp;"|"&amp;'管线现金流'!I3679&amp;"|"&amp;'管线现金流'!AK3679&amp;"|"&amp;'管线现金流'!I3680&amp;"|"&amp;'管线现金流'!AK3680&amp;"|"&amp;'管线现金流'!I3681&amp;"|"&amp;'管线现金流'!AK3681&amp;"|"&amp;'管线现金流'!I3682&amp;"|"&amp;'管线现金流'!AK3682&amp;"|"&amp;'管线现金流'!I3683&amp;"|"&amp;'管线现金流'!AK3683&amp;"|"&amp;'管线现金流'!I3684&amp;"|"&amp;'管线现金流'!AK3684&amp;"|"&amp;'管线现金流'!I3685&amp;"|"&amp;'管线现金流'!AK3685&amp;"|"&amp;'管线现金流'!I3686&amp;"|"&amp;'管线现金流'!AK3686&amp;"|"&amp;'管线现金流'!I3687&amp;"|"&amp;'管线现金流'!AK3687&amp;"|"&amp;'管线现金流'!I3688&amp;"|"&amp;'管线现金流'!AK3688&amp;"|"&amp;'管线现金流'!I3689&amp;"|"&amp;'管线现金流'!AK3689&amp;"|"&amp;'管线现金流'!I3690&amp;"|"&amp;'管线现金流'!AK3690&amp;"|"&amp;'管线现金流'!I3691&amp;"|"&amp;'管线现金流'!AK3691&amp;"|"&amp;'管线现金流'!I3692&amp;"|"&amp;'管线现金流'!AK3692&amp;"|"&amp;'管线现金流'!I3693&amp;"|"&amp;'管线现金流'!AK3693&amp;"|"&amp;'管线现金流'!I3694&amp;"|"&amp;'管线现金流'!AK3694&amp;"|"&amp;'管线现金流'!I3695&amp;"|"&amp;'管线现金流'!AK3695&amp;"|"&amp;'管线现金流'!I3696&amp;"|"&amp;'管线现金流'!AK3696&amp;"|"&amp;'管线现金流'!I3697&amp;"|"&amp;'管线现金流'!AK3697&amp;"|"&amp;'管线现金流'!I3698&amp;"|"&amp;'管线现金流'!AK3698&amp;"|"&amp;'管线现金流'!I3699&amp;"|"&amp;'管线现金流'!AK3699&amp;"|"&amp;'管线现金流'!I3700&amp;"|"&amp;'管线现金流'!AK3700&amp;"|"&amp;'管线现金流'!I3701&amp;"|"&amp;'管线现金流'!AK3701&amp;"|"&amp;'管线现金流'!I3702&amp;"|"&amp;'管线现金流'!AK3702&amp;"|"&amp;'管线现金流'!I3703&amp;"|"&amp;'管线现金流'!AK3703&amp;"|"&amp;'管线现金流'!I3704&amp;"|"&amp;'管线现金流'!AK3704&amp;"|"&amp;'管线现金流'!I3705&amp;"|"&amp;'管线现金流'!AK3705&amp;"|"&amp;'管线现金流'!I3706&amp;"|"&amp;'管线现金流'!AK3706&amp;"|"&amp;'管线现金流'!I3707&amp;"|"&amp;'管线现金流'!AK3707&amp;"|"&amp;'管线现金流'!I3708&amp;"|"&amp;'管线现金流'!AK3708&amp;"|"&amp;'管线现金流'!I3709&amp;"|"&amp;'管线现金流'!AK3709&amp;"|"&amp;'管线现金流'!I3710&amp;"|"&amp;'管线现金流'!AK3710&amp;"|"&amp;'管线现金流'!I3711&amp;"|"&amp;'管线现金流'!AK3711&amp;"|"&amp;'管线现金流'!I3712&amp;"|"&amp;'管线现金流'!AK3712&amp;"|"&amp;'管线现金流'!I3713&amp;"|"&amp;'管线现金流'!AK3713&amp;"|"&amp;'管线现金流'!I3714&amp;"|"&amp;'管线现金流'!AK3714&amp;"|"&amp;'管线现金流'!I3715&amp;"|"&amp;'管线现金流'!AK3715&amp;"|"&amp;'管线现金流'!I3716&amp;"|"&amp;'管线现金流'!AK3716&amp;"|"&amp;'管线现金流'!I3717&amp;"|"&amp;'管线现金流'!AK3717&amp;"|"&amp;'管线现金流'!I3718&amp;"|"&amp;'管线现金流'!AK3718&amp;"|"&amp;'管线现金流'!I3719&amp;"|"&amp;'管线现金流'!AK3719&amp;"|"&amp;'管线现金流'!I3720&amp;"|"&amp;'管线现金流'!AK3720&amp;"|"&amp;'管线现金流'!I3721&amp;"|"&amp;'管线现金流'!AK3721&amp;"|"&amp;'管线现金流'!V35&amp;"|"&amp;'管线现金流'!Y35&amp;"|"&amp;'管线现金流'!AP35&amp;"|"&amp;'管线现金流'!AS35&amp;"|"&amp;'管线现金流'!V36&amp;"|"&amp;'管线现金流'!Y36&amp;"|"&amp;'管线现金流'!AP36&amp;"|"&amp;'管线现金流'!AS36</x:f>
        <x:v>1|1.8|0.8|1|0.0656|1|0.135|6.8|1|0.08200000000000002|1|0.135|6.8|0.6619999999999999|0.08200000000000002|1|0.135|6.8|0.5255000000000001|0.08200000000000002|1|0.135|6.8|0.49949999999999994|0.08200000000000002|1|0.135|6.8|0.753|0.28|1|0.135|6.8|0.532|0.28|1|0.135|6.8|0.46699999999999997|0.28|1|0.135|6.8|0.545|0.28|1|0.135|6.8|0.4475|0.28|1|0.135|6.8|0.5774999999999999|0.08200000000000002|1|0.135|6.8|0.675|0.28|1|0.135|6.8|0.46699999999999997|0.2|1|0.135|6.8|0.597|0.28|1|0.135|6.8|0.5125|0.08200000000000002|1|0.135|6.8|0.3|0|0.6|0|0.8999999999999999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|0|0|0|0.26666666666666666|0|0.5333333333333333|0|0.8|0|1.0666666666666667|0|1.3333333333333335|0|1.6|0|1.3920000000000001|0|1.184|0|0.976|0|0.768|0|0.5599999999999999|0|0.352|0|0.14399999999999996|0|0|0|0|0|0|0|0|0|0|0|0|0|0|0|0|0|0.11666666666666665|0|0.2333333333333333|0|0.35|0|0.4666666666666666|0|0.5833333333333334|0|0.7|0|0.609|0|0.518|0|0.427|0|0.33599999999999997|0|0.24499999999999997|0|0.15399999999999997|0|0.06299999999999997|0|0|0|0|0|0|0|0|0|0|0|0|0|0|0|0.21666666666666667|0|0.43333333333333335|0|0.65|0|0.8666666666666667|0|1.0833333333333335|0|1.3|0|1.131|0|0.962|0|0.793|0|0.624|0|0.45499999999999996|0|0.286|0|0.11699999999999997|0|0|0|0|0|0.41666666666666663|0|0.8333333333333333|0|1.25|0|1.6666666666666665|0|2.0833333333333335|0|2.5|0|2.175|0|1.85|0|1.525|0|1.2|0|0.875|0|0.5499999999999999|0|0.22499999999999992|0|0|0|0|0|0|0|0|0|0|0|0|0|0|0|0|0|0|0|0.2833333333333333|0|0.5666666666666667|0|0.85|0|1.1333333333333333|0|1.4166666666666667|0|1.7|0|1.4789999999999999|0|1.258|0|1.037|0|0.816|0|0.595|0|0.37399999999999994|0|0.15299999999999994|0|0|0|0|0|0|0|0|0|0|0|0|0|0|0|0.21666666666666667|0|0.43333333333333335|0|0.65|0|0.8666666666666667|0|1.0833333333333335|0|1.3|0|1.131|0|0.962|0|0.793|0|0.624|0|0.45499999999999996|0|0.286|0|0.11699999999999997|0|0|0|0|0|0|0|0|0|0|0|0.13333333333333333|0|0.26666666666666666|0|0.4|0|0.5333333333333333|0|0.6666666666666667|0|0.8|0|0.6960000000000001|0|0.592|0|0.488|0|0.384|0|0.27999999999999997|0|0.176|0|0.07199999999999998|0|0|0|0|0|0|0|0|0|0|0|0|0|0|0|0.16666666666666666|0|0.3333333333333333|0|0.5|0|0.6666666666666666|0|0.8333333333333334|0|1|0|0.87|0|0.74|0|0.61|0|0.48|0|0.35|0|0.21999999999999997|0|0.08999999999999997|0|0|0|0|0|0|0|0|0|0|0|0|0|0.3333333333333333|0|0.6666666666666666|0|1|0|1.3333333333333333|0|1.6666666666666667|0|2|0|1.74|0|1.48|0|1.22|0|0.96|0|0.7|0|0.43999999999999995|0|0.17999999999999994|0|0|0|0|0|0|0|0.25|0|0.5|0|0.75|0|1|0|1.25|0|1.5|0|1.305|0|1.1099999999999999|0|0.915|0|0.72|0|0.5249999999999999|0|0.32999999999999996|0|0.13499999999999995|0|0|0|0|0|0|0|0|0|0|0|0|0|0|0|0|0|0|0|0.13333333333333333|0|0.26666666666666666|0|0.4|0|0.5333333333333333|0|0.6666666666666667|0|0.8|0|0.6960000000000001|0|0.592|0|0.488|0|0.384|0|0.27999999999999997|0|0.176|0|0.07199999999999998|0|0|0|0|0|0|0|0|0|0|0|0.2333333333333333|0|0.4666666666666666|0|0.7|0|0.9333333333333332|0|1.1666666666666667|0|1.4|0|1.218|0|1.036|0|0.854|0|0.6719999999999999|0|0.48999999999999994|0|0.30799999999999994|0|0.12599999999999995|0|0|0|0|0|0|0|0|0|0|0|0|0|0|0|0|0|0.18333333333333335|0|0.3666666666666667|0|0.55|0|0.7333333333333334|0|0.9166666666666667|0|1.1|0|0.9570000000000001|0|0.8140000000000001|0|0.671|0|0.528|0|0.385|0|0.242|0|0.09899999999999998|0|0.03|1|0.8200000000000001|1|0.08|1|0.8200000000000001|1</x:v>
      </x:c>
    </x:row>
    <x:row r="351" ht="23" customHeight="1">
      <x:c r="A351" s="11" t="str">
        <x:v>688382.SH</x:v>
      </x:c>
      <x:c r="B351" s="11" t="str">
        <x:v>益方生物</x:v>
      </x:c>
      <x:c r="C351" s="11" t="str">
        <x:v>五年</x:v>
      </x:c>
      <x:c r="D351" s="11" t="str">
        <x:v>乐观</x:v>
      </x:c>
      <x:c r="E351" s="11" t="n">
        <x:v>17.26</x:v>
      </x:c>
      <x:c r="F351" s="11" t="n">
        <x:v>73.32875468095584</x:v>
      </x:c>
      <x:c r="G351" s="11" t="n">
        <x:v>0</x:v>
      </x:c>
      <x:c r="H351" s="25" t="n">
        <x:v>3.248479413728611</x:v>
      </x:c>
      <x:c r="I351" s="25" t="n">
        <x:v>3.248479413728611</x:v>
      </x:c>
      <x:c r="J351" s="25" t="n">
        <x:v>0.3355086450056981</x:v>
      </x:c>
      <x:c r="K351" s="11" t="n">
        <x:v>0</x:v>
      </x:c>
      <x:c r="L351" s="11" t="n">
        <x:v>0</x:v>
      </x:c>
      <x:c r="M351" s="11" t="n">
        <x:v>1</x:v>
      </x:c>
      <x:c r="N351" s="11" t="n">
        <x:v>0</x:v>
      </x:c>
      <x:c r="O351" s="11" t="n">
        <x:v>0</x:v>
      </x:c>
      <x:c r="P351" s="11" t="n">
        <x:v>0</x:v>
      </x:c>
      <x:c r="Q351" s="11" t="n">
        <x:v>0.68</x:v>
      </x:c>
      <x:c r="R351" s="11" t="str">
        <x:v>inventis-rnpv-v1.0</x:v>
      </x:c>
      <x:c r="S351" s="11" t="str">
        <x:v>2026-10-10</x:v>
      </x:c>
      <x:c r="T351" s="11" t="str">
        <x:f>IF(AND(SUM(IF(K351='假设'!E466,0,1),IF(L351='假设'!F466,0,1),IF(M351='假设'!G466,0,1),IF(N351='假设'!H466,0,1),IF(O351='假设'!I466,0,1),IF(P351='假设'!J466,0,1),IF(Q351='假设'!K466,0,1))=0,U351=V351),"已刷新","待刷新")</x:f>
        <x:v>已刷新</x:v>
      </x:c>
      <x:c r="U351" t="str">
        <x:v>1|3.5|1.2|1|0.0935|1|0.105|6.8|1|0.1105|1|0.105|6.8|0.865|0.1105|1|0.105|6.8|0.775|0.1105|1|0.105|6.8|0.7525|0.1105|1|0.105|6.8|0.9189999999999999|0.36|1|0.105|6.8|0.775|0.36|1|0.105|6.8|0.721|0.36|1|0.105|6.8|0.7975|0.36|1|0.105|6.8|0.7030000000000001|0.36|1|0.105|6.8|0.82|0.1105|1|0.105|6.8|0.8875|0.36|1|0.105|6.8|0.73|0.28|1|0.105|6.8|0.829|0.36|1|0.105|6.8|0.766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  <x:c r="V351" t="str">
        <x:f>'假设'!U466&amp;"|"&amp;'假设'!N466&amp;"|"&amp;'假设'!Q466&amp;"|"&amp;'管线假设'!E750&amp;"|"&amp;'管线假设'!F750&amp;"|"&amp;'管线假设'!G750&amp;"|"&amp;'管线假设'!H750&amp;"|"&amp;'管线假设'!I750&amp;"|"&amp;'管线假设'!E754&amp;"|"&amp;'管线假设'!F754&amp;"|"&amp;'管线假设'!G754&amp;"|"&amp;'管线假设'!H754&amp;"|"&amp;'管线假设'!I754&amp;"|"&amp;'管线假设'!E758&amp;"|"&amp;'管线假设'!F758&amp;"|"&amp;'管线假设'!G758&amp;"|"&amp;'管线假设'!H758&amp;"|"&amp;'管线假设'!I758&amp;"|"&amp;'管线假设'!E762&amp;"|"&amp;'管线假设'!F762&amp;"|"&amp;'管线假设'!G762&amp;"|"&amp;'管线假设'!H762&amp;"|"&amp;'管线假设'!I762&amp;"|"&amp;'管线假设'!E766&amp;"|"&amp;'管线假设'!F766&amp;"|"&amp;'管线假设'!G766&amp;"|"&amp;'管线假设'!H766&amp;"|"&amp;'管线假设'!I766&amp;"|"&amp;'管线假设'!E770&amp;"|"&amp;'管线假设'!F770&amp;"|"&amp;'管线假设'!G770&amp;"|"&amp;'管线假设'!H770&amp;"|"&amp;'管线假设'!I770&amp;"|"&amp;'管线假设'!E774&amp;"|"&amp;'管线假设'!F774&amp;"|"&amp;'管线假设'!G774&amp;"|"&amp;'管线假设'!H774&amp;"|"&amp;'管线假设'!I774&amp;"|"&amp;'管线假设'!E778&amp;"|"&amp;'管线假设'!F778&amp;"|"&amp;'管线假设'!G778&amp;"|"&amp;'管线假设'!H778&amp;"|"&amp;'管线假设'!I778&amp;"|"&amp;'管线假设'!E782&amp;"|"&amp;'管线假设'!F782&amp;"|"&amp;'管线假设'!G782&amp;"|"&amp;'管线假设'!H782&amp;"|"&amp;'管线假设'!I782&amp;"|"&amp;'管线假设'!E786&amp;"|"&amp;'管线假设'!F786&amp;"|"&amp;'管线假设'!G786&amp;"|"&amp;'管线假设'!H786&amp;"|"&amp;'管线假设'!I786&amp;"|"&amp;'管线假设'!E790&amp;"|"&amp;'管线假设'!F790&amp;"|"&amp;'管线假设'!G790&amp;"|"&amp;'管线假设'!H790&amp;"|"&amp;'管线假设'!I790&amp;"|"&amp;'管线假设'!E794&amp;"|"&amp;'管线假设'!F794&amp;"|"&amp;'管线假设'!G794&amp;"|"&amp;'管线假设'!H794&amp;"|"&amp;'管线假设'!I794&amp;"|"&amp;'管线假设'!E798&amp;"|"&amp;'管线假设'!F798&amp;"|"&amp;'管线假设'!G798&amp;"|"&amp;'管线假设'!H798&amp;"|"&amp;'管线假设'!I798&amp;"|"&amp;'管线假设'!E802&amp;"|"&amp;'管线假设'!F802&amp;"|"&amp;'管线假设'!G802&amp;"|"&amp;'管线假设'!H802&amp;"|"&amp;'管线假设'!I802&amp;"|"&amp;'管线假设'!E806&amp;"|"&amp;'管线假设'!F806&amp;"|"&amp;'管线假设'!G806&amp;"|"&amp;'管线假设'!H806&amp;"|"&amp;'管线假设'!I806&amp;"|"&amp;'管线现金流'!J3437&amp;"|"&amp;'管线现金流'!AL3437&amp;"|"&amp;'管线现金流'!J3438&amp;"|"&amp;'管线现金流'!AL3438&amp;"|"&amp;'管线现金流'!J3439&amp;"|"&amp;'管线现金流'!AL3439&amp;"|"&amp;'管线现金流'!J3440&amp;"|"&amp;'管线现金流'!AL3440&amp;"|"&amp;'管线现金流'!J3441&amp;"|"&amp;'管线现金流'!AL3441&amp;"|"&amp;'管线现金流'!J3442&amp;"|"&amp;'管线现金流'!AL3442&amp;"|"&amp;'管线现金流'!J3443&amp;"|"&amp;'管线现金流'!AL3443&amp;"|"&amp;'管线现金流'!J3444&amp;"|"&amp;'管线现金流'!AL3444&amp;"|"&amp;'管线现金流'!J3445&amp;"|"&amp;'管线现金流'!AL3445&amp;"|"&amp;'管线现金流'!J3446&amp;"|"&amp;'管线现金流'!AL3446&amp;"|"&amp;'管线现金流'!J3447&amp;"|"&amp;'管线现金流'!AL3447&amp;"|"&amp;'管线现金流'!J3448&amp;"|"&amp;'管线现金流'!AL3448&amp;"|"&amp;'管线现金流'!J3449&amp;"|"&amp;'管线现金流'!AL3449&amp;"|"&amp;'管线现金流'!J3450&amp;"|"&amp;'管线现金流'!AL3450&amp;"|"&amp;'管线现金流'!J3451&amp;"|"&amp;'管线现金流'!AL3451&amp;"|"&amp;'管线现金流'!J3452&amp;"|"&amp;'管线现金流'!AL3452&amp;"|"&amp;'管线现金流'!J3453&amp;"|"&amp;'管线现金流'!AL3453&amp;"|"&amp;'管线现金流'!J3454&amp;"|"&amp;'管线现金流'!AL3454&amp;"|"&amp;'管线现金流'!J3455&amp;"|"&amp;'管线现金流'!AL3455&amp;"|"&amp;'管线现金流'!J3456&amp;"|"&amp;'管线现金流'!AL3456&amp;"|"&amp;'管线现金流'!J3457&amp;"|"&amp;'管线现金流'!AL3457&amp;"|"&amp;'管线现金流'!J3458&amp;"|"&amp;'管线现金流'!AL3458&amp;"|"&amp;'管线现金流'!J3459&amp;"|"&amp;'管线现金流'!AL3459&amp;"|"&amp;'管线现金流'!J3460&amp;"|"&amp;'管线现金流'!AL3460&amp;"|"&amp;'管线现金流'!J3461&amp;"|"&amp;'管线现金流'!AL3461&amp;"|"&amp;'管线现金流'!J3462&amp;"|"&amp;'管线现金流'!AL3462&amp;"|"&amp;'管线现金流'!J3463&amp;"|"&amp;'管线现金流'!AL3463&amp;"|"&amp;'管线现金流'!J3464&amp;"|"&amp;'管线现金流'!AL3464&amp;"|"&amp;'管线现金流'!J3465&amp;"|"&amp;'管线现金流'!AL3465&amp;"|"&amp;'管线现金流'!J3466&amp;"|"&amp;'管线现金流'!AL3466&amp;"|"&amp;'管线现金流'!J3467&amp;"|"&amp;'管线现金流'!AL3467&amp;"|"&amp;'管线现金流'!J3468&amp;"|"&amp;'管线现金流'!AL3468&amp;"|"&amp;'管线现金流'!J3469&amp;"|"&amp;'管线现金流'!AL3469&amp;"|"&amp;'管线现金流'!J3470&amp;"|"&amp;'管线现金流'!AL3470&amp;"|"&amp;'管线现金流'!J3471&amp;"|"&amp;'管线现金流'!AL3471&amp;"|"&amp;'管线现金流'!J3472&amp;"|"&amp;'管线现金流'!AL3472&amp;"|"&amp;'管线现金流'!J3473&amp;"|"&amp;'管线现金流'!AL3473&amp;"|"&amp;'管线现金流'!J3474&amp;"|"&amp;'管线现金流'!AL3474&amp;"|"&amp;'管线现金流'!J3475&amp;"|"&amp;'管线现金流'!AL3475&amp;"|"&amp;'管线现金流'!J3476&amp;"|"&amp;'管线现金流'!AL3476&amp;"|"&amp;'管线现金流'!J3477&amp;"|"&amp;'管线现金流'!AL3477&amp;"|"&amp;'管线现金流'!J3478&amp;"|"&amp;'管线现金流'!AL3478&amp;"|"&amp;'管线现金流'!J3479&amp;"|"&amp;'管线现金流'!AL3479&amp;"|"&amp;'管线现金流'!J3480&amp;"|"&amp;'管线现金流'!AL3480&amp;"|"&amp;'管线现金流'!J3481&amp;"|"&amp;'管线现金流'!AL3481&amp;"|"&amp;'管线现金流'!J3482&amp;"|"&amp;'管线现金流'!AL3482&amp;"|"&amp;'管线现金流'!J3483&amp;"|"&amp;'管线现金流'!AL3483&amp;"|"&amp;'管线现金流'!J3484&amp;"|"&amp;'管线现金流'!AL3484&amp;"|"&amp;'管线现金流'!J3485&amp;"|"&amp;'管线现金流'!AL3485&amp;"|"&amp;'管线现金流'!J3486&amp;"|"&amp;'管线现金流'!AL3486&amp;"|"&amp;'管线现金流'!J3487&amp;"|"&amp;'管线现金流'!AL3487&amp;"|"&amp;'管线现金流'!J3488&amp;"|"&amp;'管线现金流'!AL3488&amp;"|"&amp;'管线现金流'!J3489&amp;"|"&amp;'管线现金流'!AL3489&amp;"|"&amp;'管线现金流'!J3490&amp;"|"&amp;'管线现金流'!AL3490&amp;"|"&amp;'管线现金流'!J3491&amp;"|"&amp;'管线现金流'!AL3491&amp;"|"&amp;'管线现金流'!J3492&amp;"|"&amp;'管线现金流'!AL3492&amp;"|"&amp;'管线现金流'!J3493&amp;"|"&amp;'管线现金流'!AL3493&amp;"|"&amp;'管线现金流'!J3494&amp;"|"&amp;'管线现金流'!AL3494&amp;"|"&amp;'管线现金流'!J3495&amp;"|"&amp;'管线现金流'!AL3495&amp;"|"&amp;'管线现金流'!J3496&amp;"|"&amp;'管线现金流'!AL3496&amp;"|"&amp;'管线现金流'!J3497&amp;"|"&amp;'管线现金流'!AL3497&amp;"|"&amp;'管线现金流'!J3498&amp;"|"&amp;'管线现金流'!AL3498&amp;"|"&amp;'管线现金流'!J3499&amp;"|"&amp;'管线现金流'!AL3499&amp;"|"&amp;'管线现金流'!J3500&amp;"|"&amp;'管线现金流'!AL3500&amp;"|"&amp;'管线现金流'!J3501&amp;"|"&amp;'管线现金流'!AL3501&amp;"|"&amp;'管线现金流'!J3502&amp;"|"&amp;'管线现金流'!AL3502&amp;"|"&amp;'管线现金流'!J3503&amp;"|"&amp;'管线现金流'!AL3503&amp;"|"&amp;'管线现金流'!J3504&amp;"|"&amp;'管线现金流'!AL3504&amp;"|"&amp;'管线现金流'!J3505&amp;"|"&amp;'管线现金流'!AL3505&amp;"|"&amp;'管线现金流'!J3506&amp;"|"&amp;'管线现金流'!AL3506&amp;"|"&amp;'管线现金流'!J3507&amp;"|"&amp;'管线现金流'!AL3507&amp;"|"&amp;'管线现金流'!J3508&amp;"|"&amp;'管线现金流'!AL3508&amp;"|"&amp;'管线现金流'!J3509&amp;"|"&amp;'管线现金流'!AL3509&amp;"|"&amp;'管线现金流'!J3510&amp;"|"&amp;'管线现金流'!AL3510&amp;"|"&amp;'管线现金流'!J3511&amp;"|"&amp;'管线现金流'!AL3511&amp;"|"&amp;'管线现金流'!J3512&amp;"|"&amp;'管线现金流'!AL3512&amp;"|"&amp;'管线现金流'!J3513&amp;"|"&amp;'管线现金流'!AL3513&amp;"|"&amp;'管线现金流'!J3514&amp;"|"&amp;'管线现金流'!AL3514&amp;"|"&amp;'管线现金流'!J3515&amp;"|"&amp;'管线现金流'!AL3515&amp;"|"&amp;'管线现金流'!J3516&amp;"|"&amp;'管线现金流'!AL3516&amp;"|"&amp;'管线现金流'!J3517&amp;"|"&amp;'管线现金流'!AL3517&amp;"|"&amp;'管线现金流'!J3518&amp;"|"&amp;'管线现金流'!AL3518&amp;"|"&amp;'管线现金流'!J3519&amp;"|"&amp;'管线现金流'!AL3519&amp;"|"&amp;'管线现金流'!J3520&amp;"|"&amp;'管线现金流'!AL3520&amp;"|"&amp;'管线现金流'!J3521&amp;"|"&amp;'管线现金流'!AL3521&amp;"|"&amp;'管线现金流'!J3522&amp;"|"&amp;'管线现金流'!AL3522&amp;"|"&amp;'管线现金流'!J3523&amp;"|"&amp;'管线现金流'!AL3523&amp;"|"&amp;'管线现金流'!J3524&amp;"|"&amp;'管线现金流'!AL3524&amp;"|"&amp;'管线现金流'!J3525&amp;"|"&amp;'管线现金流'!AL3525&amp;"|"&amp;'管线现金流'!J3526&amp;"|"&amp;'管线现金流'!AL3526&amp;"|"&amp;'管线现金流'!J3527&amp;"|"&amp;'管线现金流'!AL3527&amp;"|"&amp;'管线现金流'!J3528&amp;"|"&amp;'管线现金流'!AL3528&amp;"|"&amp;'管线现金流'!J3529&amp;"|"&amp;'管线现金流'!AL3529&amp;"|"&amp;'管线现金流'!J3530&amp;"|"&amp;'管线现金流'!AL3530&amp;"|"&amp;'管线现金流'!J3531&amp;"|"&amp;'管线现金流'!AL3531&amp;"|"&amp;'管线现金流'!J3532&amp;"|"&amp;'管线现金流'!AL3532&amp;"|"&amp;'管线现金流'!J3533&amp;"|"&amp;'管线现金流'!AL3533&amp;"|"&amp;'管线现金流'!J3534&amp;"|"&amp;'管线现金流'!AL3534&amp;"|"&amp;'管线现金流'!J3535&amp;"|"&amp;'管线现金流'!AL3535&amp;"|"&amp;'管线现金流'!J3536&amp;"|"&amp;'管线现金流'!AL3536&amp;"|"&amp;'管线现金流'!J3537&amp;"|"&amp;'管线现金流'!AL3537&amp;"|"&amp;'管线现金流'!J3538&amp;"|"&amp;'管线现金流'!AL3538&amp;"|"&amp;'管线现金流'!J3539&amp;"|"&amp;'管线现金流'!AL3539&amp;"|"&amp;'管线现金流'!J3540&amp;"|"&amp;'管线现金流'!AL3540&amp;"|"&amp;'管线现金流'!J3541&amp;"|"&amp;'管线现金流'!AL3541&amp;"|"&amp;'管线现金流'!J3542&amp;"|"&amp;'管线现金流'!AL3542&amp;"|"&amp;'管线现金流'!J3543&amp;"|"&amp;'管线现金流'!AL3543&amp;"|"&amp;'管线现金流'!J3544&amp;"|"&amp;'管线现金流'!AL3544&amp;"|"&amp;'管线现金流'!J3545&amp;"|"&amp;'管线现金流'!AL3545&amp;"|"&amp;'管线现金流'!J3546&amp;"|"&amp;'管线现金流'!AL3546&amp;"|"&amp;'管线现金流'!J3547&amp;"|"&amp;'管线现金流'!AL3547&amp;"|"&amp;'管线现金流'!J3548&amp;"|"&amp;'管线现金流'!AL3548&amp;"|"&amp;'管线现金流'!J3549&amp;"|"&amp;'管线现金流'!AL3549&amp;"|"&amp;'管线现金流'!J3550&amp;"|"&amp;'管线现金流'!AL3550&amp;"|"&amp;'管线现金流'!J3551&amp;"|"&amp;'管线现金流'!AL3551&amp;"|"&amp;'管线现金流'!J3552&amp;"|"&amp;'管线现金流'!AL3552&amp;"|"&amp;'管线现金流'!J3553&amp;"|"&amp;'管线现金流'!AL3553&amp;"|"&amp;'管线现金流'!J3554&amp;"|"&amp;'管线现金流'!AL3554&amp;"|"&amp;'管线现金流'!J3555&amp;"|"&amp;'管线现金流'!AL3555&amp;"|"&amp;'管线现金流'!J3556&amp;"|"&amp;'管线现金流'!AL3556&amp;"|"&amp;'管线现金流'!J3557&amp;"|"&amp;'管线现金流'!AL3557&amp;"|"&amp;'管线现金流'!J3558&amp;"|"&amp;'管线现金流'!AL3558&amp;"|"&amp;'管线现金流'!J3559&amp;"|"&amp;'管线现金流'!AL3559&amp;"|"&amp;'管线现金流'!J3560&amp;"|"&amp;'管线现金流'!AL3560&amp;"|"&amp;'管线现金流'!J3561&amp;"|"&amp;'管线现金流'!AL3561&amp;"|"&amp;'管线现金流'!J3562&amp;"|"&amp;'管线现金流'!AL3562&amp;"|"&amp;'管线现金流'!J3563&amp;"|"&amp;'管线现金流'!AL3563&amp;"|"&amp;'管线现金流'!J3564&amp;"|"&amp;'管线现金流'!AL3564&amp;"|"&amp;'管线现金流'!J3565&amp;"|"&amp;'管线现金流'!AL3565&amp;"|"&amp;'管线现金流'!J3566&amp;"|"&amp;'管线现金流'!AL3566&amp;"|"&amp;'管线现金流'!J3567&amp;"|"&amp;'管线现金流'!AL3567&amp;"|"&amp;'管线现金流'!J3568&amp;"|"&amp;'管线现金流'!AL3568&amp;"|"&amp;'管线现金流'!J3569&amp;"|"&amp;'管线现金流'!AL3569&amp;"|"&amp;'管线现金流'!J3570&amp;"|"&amp;'管线现金流'!AL3570&amp;"|"&amp;'管线现金流'!J3571&amp;"|"&amp;'管线现金流'!AL3571&amp;"|"&amp;'管线现金流'!J3572&amp;"|"&amp;'管线现金流'!AL3572&amp;"|"&amp;'管线现金流'!J3573&amp;"|"&amp;'管线现金流'!AL3573&amp;"|"&amp;'管线现金流'!J3574&amp;"|"&amp;'管线现金流'!AL3574&amp;"|"&amp;'管线现金流'!J3575&amp;"|"&amp;'管线现金流'!AL3575&amp;"|"&amp;'管线现金流'!J3576&amp;"|"&amp;'管线现金流'!AL3576&amp;"|"&amp;'管线现金流'!J3577&amp;"|"&amp;'管线现金流'!AL3577&amp;"|"&amp;'管线现金流'!J3578&amp;"|"&amp;'管线现金流'!AL3578&amp;"|"&amp;'管线现金流'!J3579&amp;"|"&amp;'管线现金流'!AL3579&amp;"|"&amp;'管线现金流'!J3580&amp;"|"&amp;'管线现金流'!AL3580&amp;"|"&amp;'管线现金流'!J3581&amp;"|"&amp;'管线现金流'!AL3581&amp;"|"&amp;'管线现金流'!J3582&amp;"|"&amp;'管线现金流'!AL3582&amp;"|"&amp;'管线现金流'!J3583&amp;"|"&amp;'管线现金流'!AL3583&amp;"|"&amp;'管线现金流'!J3584&amp;"|"&amp;'管线现金流'!AL3584&amp;"|"&amp;'管线现金流'!J3585&amp;"|"&amp;'管线现金流'!AL3585&amp;"|"&amp;'管线现金流'!J3586&amp;"|"&amp;'管线现金流'!AL3586&amp;"|"&amp;'管线现金流'!J3587&amp;"|"&amp;'管线现金流'!AL3587&amp;"|"&amp;'管线现金流'!J3588&amp;"|"&amp;'管线现金流'!AL3588&amp;"|"&amp;'管线现金流'!J3589&amp;"|"&amp;'管线现金流'!AL3589&amp;"|"&amp;'管线现金流'!J3590&amp;"|"&amp;'管线现金流'!AL3590&amp;"|"&amp;'管线现金流'!J3591&amp;"|"&amp;'管线现金流'!AL3591&amp;"|"&amp;'管线现金流'!J3592&amp;"|"&amp;'管线现金流'!AL3592&amp;"|"&amp;'管线现金流'!J3593&amp;"|"&amp;'管线现金流'!AL3593&amp;"|"&amp;'管线现金流'!J3594&amp;"|"&amp;'管线现金流'!AL3594&amp;"|"&amp;'管线现金流'!J3595&amp;"|"&amp;'管线现金流'!AL3595&amp;"|"&amp;'管线现金流'!J3596&amp;"|"&amp;'管线现金流'!AL3596&amp;"|"&amp;'管线现金流'!J3597&amp;"|"&amp;'管线现金流'!AL3597&amp;"|"&amp;'管线现金流'!J3598&amp;"|"&amp;'管线现金流'!AL3598&amp;"|"&amp;'管线现金流'!J3599&amp;"|"&amp;'管线现金流'!AL3599&amp;"|"&amp;'管线现金流'!J3600&amp;"|"&amp;'管线现金流'!AL3600&amp;"|"&amp;'管线现金流'!J3601&amp;"|"&amp;'管线现金流'!AL3601&amp;"|"&amp;'管线现金流'!J3602&amp;"|"&amp;'管线现金流'!AL3602&amp;"|"&amp;'管线现金流'!J3603&amp;"|"&amp;'管线现金流'!AL3603&amp;"|"&amp;'管线现金流'!J3604&amp;"|"&amp;'管线现金流'!AL3604&amp;"|"&amp;'管线现金流'!J3605&amp;"|"&amp;'管线现金流'!AL3605&amp;"|"&amp;'管线现金流'!J3606&amp;"|"&amp;'管线现金流'!AL3606&amp;"|"&amp;'管线现金流'!J3607&amp;"|"&amp;'管线现金流'!AL3607&amp;"|"&amp;'管线现金流'!J3608&amp;"|"&amp;'管线现金流'!AL3608&amp;"|"&amp;'管线现金流'!J3609&amp;"|"&amp;'管线现金流'!AL3609&amp;"|"&amp;'管线现金流'!J3610&amp;"|"&amp;'管线现金流'!AL3610&amp;"|"&amp;'管线现金流'!J3611&amp;"|"&amp;'管线现金流'!AL3611&amp;"|"&amp;'管线现金流'!J3612&amp;"|"&amp;'管线现金流'!AL3612&amp;"|"&amp;'管线现金流'!J3613&amp;"|"&amp;'管线现金流'!AL3613&amp;"|"&amp;'管线现金流'!J3614&amp;"|"&amp;'管线现金流'!AL3614&amp;"|"&amp;'管线现金流'!J3615&amp;"|"&amp;'管线现金流'!AL3615&amp;"|"&amp;'管线现金流'!J3616&amp;"|"&amp;'管线现金流'!AL3616&amp;"|"&amp;'管线现金流'!J3617&amp;"|"&amp;'管线现金流'!AL3617&amp;"|"&amp;'管线现金流'!J3618&amp;"|"&amp;'管线现金流'!AL3618&amp;"|"&amp;'管线现金流'!J3619&amp;"|"&amp;'管线现金流'!AL3619&amp;"|"&amp;'管线现金流'!J3620&amp;"|"&amp;'管线现金流'!AL3620&amp;"|"&amp;'管线现金流'!J3621&amp;"|"&amp;'管线现金流'!AL3621&amp;"|"&amp;'管线现金流'!J3622&amp;"|"&amp;'管线现金流'!AL3622&amp;"|"&amp;'管线现金流'!J3623&amp;"|"&amp;'管线现金流'!AL3623&amp;"|"&amp;'管线现金流'!J3624&amp;"|"&amp;'管线现金流'!AL3624&amp;"|"&amp;'管线现金流'!J3625&amp;"|"&amp;'管线现金流'!AL3625&amp;"|"&amp;'管线现金流'!J3626&amp;"|"&amp;'管线现金流'!AL3626&amp;"|"&amp;'管线现金流'!J3627&amp;"|"&amp;'管线现金流'!AL3627&amp;"|"&amp;'管线现金流'!J3628&amp;"|"&amp;'管线现金流'!AL3628&amp;"|"&amp;'管线现金流'!J3629&amp;"|"&amp;'管线现金流'!AL3629&amp;"|"&amp;'管线现金流'!J3630&amp;"|"&amp;'管线现金流'!AL3630&amp;"|"&amp;'管线现金流'!J3631&amp;"|"&amp;'管线现金流'!AL3631&amp;"|"&amp;'管线现金流'!J3632&amp;"|"&amp;'管线现金流'!AL3632&amp;"|"&amp;'管线现金流'!J3633&amp;"|"&amp;'管线现金流'!AL3633&amp;"|"&amp;'管线现金流'!J3634&amp;"|"&amp;'管线现金流'!AL3634&amp;"|"&amp;'管线现金流'!J3635&amp;"|"&amp;'管线现金流'!AL3635&amp;"|"&amp;'管线现金流'!J3636&amp;"|"&amp;'管线现金流'!AL3636&amp;"|"&amp;'管线现金流'!J3637&amp;"|"&amp;'管线现金流'!AL3637&amp;"|"&amp;'管线现金流'!J3638&amp;"|"&amp;'管线现金流'!AL3638&amp;"|"&amp;'管线现金流'!J3639&amp;"|"&amp;'管线现金流'!AL3639&amp;"|"&amp;'管线现金流'!J3640&amp;"|"&amp;'管线现金流'!AL3640&amp;"|"&amp;'管线现金流'!J3641&amp;"|"&amp;'管线现金流'!AL3641&amp;"|"&amp;'管线现金流'!J3642&amp;"|"&amp;'管线现金流'!AL3642&amp;"|"&amp;'管线现金流'!J3643&amp;"|"&amp;'管线现金流'!AL3643&amp;"|"&amp;'管线现金流'!J3644&amp;"|"&amp;'管线现金流'!AL3644&amp;"|"&amp;'管线现金流'!J3645&amp;"|"&amp;'管线现金流'!AL3645&amp;"|"&amp;'管线现金流'!J3646&amp;"|"&amp;'管线现金流'!AL3646&amp;"|"&amp;'管线现金流'!J3647&amp;"|"&amp;'管线现金流'!AL3647&amp;"|"&amp;'管线现金流'!J3648&amp;"|"&amp;'管线现金流'!AL3648&amp;"|"&amp;'管线现金流'!J3649&amp;"|"&amp;'管线现金流'!AL3649&amp;"|"&amp;'管线现金流'!J3650&amp;"|"&amp;'管线现金流'!AL3650&amp;"|"&amp;'管线现金流'!J3651&amp;"|"&amp;'管线现金流'!AL3651&amp;"|"&amp;'管线现金流'!J3652&amp;"|"&amp;'管线现金流'!AL3652&amp;"|"&amp;'管线现金流'!J3653&amp;"|"&amp;'管线现金流'!AL3653&amp;"|"&amp;'管线现金流'!J3654&amp;"|"&amp;'管线现金流'!AL3654&amp;"|"&amp;'管线现金流'!J3655&amp;"|"&amp;'管线现金流'!AL3655&amp;"|"&amp;'管线现金流'!J3656&amp;"|"&amp;'管线现金流'!AL3656&amp;"|"&amp;'管线现金流'!J3657&amp;"|"&amp;'管线现金流'!AL3657&amp;"|"&amp;'管线现金流'!J3658&amp;"|"&amp;'管线现金流'!AL3658&amp;"|"&amp;'管线现金流'!J3659&amp;"|"&amp;'管线现金流'!AL3659&amp;"|"&amp;'管线现金流'!J3660&amp;"|"&amp;'管线现金流'!AL3660&amp;"|"&amp;'管线现金流'!J3661&amp;"|"&amp;'管线现金流'!AL3661&amp;"|"&amp;'管线现金流'!J3662&amp;"|"&amp;'管线现金流'!AL3662&amp;"|"&amp;'管线现金流'!J3663&amp;"|"&amp;'管线现金流'!AL3663&amp;"|"&amp;'管线现金流'!J3664&amp;"|"&amp;'管线现金流'!AL3664&amp;"|"&amp;'管线现金流'!J3665&amp;"|"&amp;'管线现金流'!AL3665&amp;"|"&amp;'管线现金流'!J3666&amp;"|"&amp;'管线现金流'!AL3666&amp;"|"&amp;'管线现金流'!J3667&amp;"|"&amp;'管线现金流'!AL3667&amp;"|"&amp;'管线现金流'!J3668&amp;"|"&amp;'管线现金流'!AL3668&amp;"|"&amp;'管线现金流'!J3669&amp;"|"&amp;'管线现金流'!AL3669&amp;"|"&amp;'管线现金流'!J3670&amp;"|"&amp;'管线现金流'!AL3670&amp;"|"&amp;'管线现金流'!J3671&amp;"|"&amp;'管线现金流'!AL3671&amp;"|"&amp;'管线现金流'!J3672&amp;"|"&amp;'管线现金流'!AL3672&amp;"|"&amp;'管线现金流'!J3673&amp;"|"&amp;'管线现金流'!AL3673&amp;"|"&amp;'管线现金流'!J3674&amp;"|"&amp;'管线现金流'!AL3674&amp;"|"&amp;'管线现金流'!J3675&amp;"|"&amp;'管线现金流'!AL3675&amp;"|"&amp;'管线现金流'!J3676&amp;"|"&amp;'管线现金流'!AL3676&amp;"|"&amp;'管线现金流'!J3677&amp;"|"&amp;'管线现金流'!AL3677&amp;"|"&amp;'管线现金流'!J3678&amp;"|"&amp;'管线现金流'!AL3678&amp;"|"&amp;'管线现金流'!J3679&amp;"|"&amp;'管线现金流'!AL3679&amp;"|"&amp;'管线现金流'!J3680&amp;"|"&amp;'管线现金流'!AL3680&amp;"|"&amp;'管线现金流'!J3681&amp;"|"&amp;'管线现金流'!AL3681&amp;"|"&amp;'管线现金流'!J3682&amp;"|"&amp;'管线现金流'!AL3682&amp;"|"&amp;'管线现金流'!J3683&amp;"|"&amp;'管线现金流'!AL3683&amp;"|"&amp;'管线现金流'!J3684&amp;"|"&amp;'管线现金流'!AL3684&amp;"|"&amp;'管线现金流'!J3685&amp;"|"&amp;'管线现金流'!AL3685&amp;"|"&amp;'管线现金流'!J3686&amp;"|"&amp;'管线现金流'!AL3686&amp;"|"&amp;'管线现金流'!J3687&amp;"|"&amp;'管线现金流'!AL3687&amp;"|"&amp;'管线现金流'!J3688&amp;"|"&amp;'管线现金流'!AL3688&amp;"|"&amp;'管线现金流'!J3689&amp;"|"&amp;'管线现金流'!AL3689&amp;"|"&amp;'管线现金流'!J3690&amp;"|"&amp;'管线现金流'!AL3690&amp;"|"&amp;'管线现金流'!J3691&amp;"|"&amp;'管线现金流'!AL3691&amp;"|"&amp;'管线现金流'!J3692&amp;"|"&amp;'管线现金流'!AL3692&amp;"|"&amp;'管线现金流'!J3693&amp;"|"&amp;'管线现金流'!AL3693&amp;"|"&amp;'管线现金流'!J3694&amp;"|"&amp;'管线现金流'!AL3694&amp;"|"&amp;'管线现金流'!J3695&amp;"|"&amp;'管线现金流'!AL3695&amp;"|"&amp;'管线现金流'!J3696&amp;"|"&amp;'管线现金流'!AL3696&amp;"|"&amp;'管线现金流'!J3697&amp;"|"&amp;'管线现金流'!AL3697&amp;"|"&amp;'管线现金流'!J3698&amp;"|"&amp;'管线现金流'!AL3698&amp;"|"&amp;'管线现金流'!J3699&amp;"|"&amp;'管线现金流'!AL3699&amp;"|"&amp;'管线现金流'!J3700&amp;"|"&amp;'管线现金流'!AL3700&amp;"|"&amp;'管线现金流'!J3701&amp;"|"&amp;'管线现金流'!AL3701&amp;"|"&amp;'管线现金流'!J3702&amp;"|"&amp;'管线现金流'!AL3702&amp;"|"&amp;'管线现金流'!J3703&amp;"|"&amp;'管线现金流'!AL3703&amp;"|"&amp;'管线现金流'!J3704&amp;"|"&amp;'管线现金流'!AL3704&amp;"|"&amp;'管线现金流'!J3705&amp;"|"&amp;'管线现金流'!AL3705&amp;"|"&amp;'管线现金流'!J3706&amp;"|"&amp;'管线现金流'!AL3706&amp;"|"&amp;'管线现金流'!J3707&amp;"|"&amp;'管线现金流'!AL3707&amp;"|"&amp;'管线现金流'!J3708&amp;"|"&amp;'管线现金流'!AL3708&amp;"|"&amp;'管线现金流'!J3709&amp;"|"&amp;'管线现金流'!AL3709&amp;"|"&amp;'管线现金流'!J3710&amp;"|"&amp;'管线现金流'!AL3710&amp;"|"&amp;'管线现金流'!J3711&amp;"|"&amp;'管线现金流'!AL3711&amp;"|"&amp;'管线现金流'!J3712&amp;"|"&amp;'管线现金流'!AL3712&amp;"|"&amp;'管线现金流'!J3713&amp;"|"&amp;'管线现金流'!AL3713&amp;"|"&amp;'管线现金流'!J3714&amp;"|"&amp;'管线现金流'!AL3714&amp;"|"&amp;'管线现金流'!J3715&amp;"|"&amp;'管线现金流'!AL3715&amp;"|"&amp;'管线现金流'!J3716&amp;"|"&amp;'管线现金流'!AL3716&amp;"|"&amp;'管线现金流'!J3717&amp;"|"&amp;'管线现金流'!AL3717&amp;"|"&amp;'管线现金流'!J3718&amp;"|"&amp;'管线现金流'!AL3718&amp;"|"&amp;'管线现金流'!J3719&amp;"|"&amp;'管线现金流'!AL3719&amp;"|"&amp;'管线现金流'!J3720&amp;"|"&amp;'管线现金流'!AL3720&amp;"|"&amp;'管线现金流'!J3721&amp;"|"&amp;'管线现金流'!AL3721&amp;"|"&amp;'管线现金流'!W35&amp;"|"&amp;'管线现金流'!Z35&amp;"|"&amp;'管线现金流'!AQ35&amp;"|"&amp;'管线现金流'!AT35&amp;"|"&amp;'管线现金流'!W36&amp;"|"&amp;'管线现金流'!Z36&amp;"|"&amp;'管线现金流'!AQ36&amp;"|"&amp;'管线现金流'!AT36</x:f>
        <x:v>1|3.5|1.2|1|0.0935|1|0.105|6.8|1|0.1105|1|0.105|6.8|0.865|0.1105|1|0.105|6.8|0.775|0.1105|1|0.105|6.8|0.7525|0.1105|1|0.105|6.8|0.9189999999999999|0.36|1|0.105|6.8|0.775|0.36|1|0.105|6.8|0.721|0.36|1|0.105|6.8|0.7975|0.36|1|0.105|6.8|0.7030000000000001|0.36|1|0.105|6.8|0.82|0.1105|1|0.105|6.8|0.8875|0.36|1|0.105|6.8|0.73|0.28|1|0.105|6.8|0.829|0.36|1|0.105|6.8|0.766|0.1105|1|0.105|6.8|0.45|0|0.9|0|1.35|0|1.8|0|1.566|0|1.332|0|1.098|0|0.864|0|0.63|0|0.39599999999999996|0|0.16199999999999995|0|0|0|0|0|0|0|0|0|0|0|0|0|0|0|0|0|0.425|0|0.85|0|1.275|0|1.7|0|1.4789999999999999|0|1.258|0|1.037|0|0.816|0|0.595|0|0.37399999999999994|0|0.15299999999999994|0|0|0|0|0|0|0|0|0|0|0|0|0|0|0|0|0|0|0|0.52|0|1.04|0|1.56|0|2.08|0|2.6|0|2.262|0|1.924|0|1.586|0|1.248|0|0.9099999999999999|0|0.572|0|0.23399999999999993|0|0|0|0|0|0|0|0|0|0|0|0|0|0|0|0|0|0.19999999999999998|0|0.39999999999999997|0|0.6|0|0.7999999999999999|0|1|0|1.2|0|1.044|0|0.888|0|0.732|0|0.576|0|0.42|0|0.26399999999999996|0|0.10799999999999996|0|0|0|0|0|0|0|0|0|0|0|0|0|0|0|0.41666666666666663|0|0.8333333333333333|0|1.25|0|1.6666666666666665|0|2.0833333333333335|0|2.5|0|2.175|0|1.85|0|1.525|0|1.2|0|0.875|0|0.5499999999999999|0|0.22499999999999992|0|0|0|0|0|0|0|0|0|0.8|0|1.6|0|2.4|0|3.2|0|4|0|3.48|0|2.96|0|2.44|0|1.92|0|1.4|0|0.8799999999999999|0|0.3599999999999999|0|0|0|0|0|0|0|0|0|0|0|0|0|0|0|0|0|0.5|0|1|0|1.5|0|2|0|2.5|0|3|0|2.61|0|2.2199999999999998|0|1.83|0|1.44|0|1.0499999999999998|0|0.6599999999999999|0|0.2699999999999999|0|0|0|0|0|0|0|0|0|0|0|0|0|0|0|0.3833333333333333|0|0.7666666666666666|0|1.15|0|1.5333333333333332|0|1.9166666666666665|0|2.3|0|2.001|0|1.702|0|1.4029999999999998|0|1.1039999999999999|0|0.8049999999999999|0|0.5059999999999999|0|0.2069999999999999|0|0|0|0|0|0|0|0|0|0|0|0.2333333333333333|0|0.4666666666666666|0|0.7|0|0.9333333333333332|0|1.1666666666666667|0|1.4|0|1.218|0|1.036|0|0.854|0|0.6719999999999999|0|0.48999999999999994|0|0.30799999999999994|0|0.12599999999999995|0|0|0|0|0|0|0|0|0|0|0|0|0|0|0|0.3333333333333333|0|0.6666666666666666|0|1|0|1.3333333333333333|0|1.6666666666666667|0|2|0|1.74|0|1.48|0|1.22|0|0.96|0|0.7|0|0.43999999999999995|0|0.17999999999999994|0|0|0|0|0|0|0|0|0|0|0|0|0|0.6666666666666666|0|1.3333333333333333|0|2|0|2.6666666666666665|0|3.3333333333333335|0|4|0|3.48|0|2.96|0|2.44|0|1.92|0|1.4|0|0.8799999999999999|0|0.3599999999999999|0|0|0|0|0|0|0|0|0|0.4666666666666666|0|0.9333333333333332|0|1.4|0|1.8666666666666665|0|2.3333333333333335|0|2.8|0|2.436|0|2.072|0|1.708|0|1.3439999999999999|0|0.9799999999999999|0|0.6159999999999999|0|0.2519999999999999|0|0|0|0|0|0|0|0|0|0|0|0|0|0|0|0|0|0.26666666666666666|0|0.5333333333333333|0|0.8|0|1.0666666666666667|0|1.3333333333333335|0|1.6|0|1.3920000000000001|0|1.184|0|0.976|0|0.768|0|0.5599999999999999|0|0.352|0|0.14399999999999996|0|0|0|0|0|0|0|0|0|0|0|0.43333333333333335|0|0.8666666666666667|0|1.3|0|1.7333333333333334|0|2.166666666666667|0|2.6|0|2.262|0|1.924|0|1.586|0|1.248|0|0.9099999999999999|0|0.572|0|0.23399999999999993|0|0|0|0|0|0|0|0|0|0|0|0|0|0|0|0|0|0.3666666666666667|0|0.7333333333333334|0|1.1|0|1.4666666666666668|0|1.8333333333333335|0|2.2|0|1.9140000000000001|0|1.6280000000000001|0|1.342|0|1.056|0|0.77|0|0.484|0|0.19799999999999995|0|0|0|0|0|0.06|1|0.85|1|0.16|1|0.85|1</x:v>
      </x:c>
    </x:row>
    <x:row r="352" ht="23" customHeight="1">
      <x:c r="A352" s="11" t="str">
        <x:v>06618.HK</x:v>
      </x:c>
      <x:c r="B352" s="11" t="str">
        <x:v>京东健康</x:v>
      </x:c>
      <x:c r="C352" s="11" t="str">
        <x:v>2026年底</x:v>
      </x:c>
      <x:c r="D352" s="11" t="str">
        <x:v>悲观</x:v>
      </x:c>
      <x:c r="E352" s="11" t="n">
        <x:v>36.08</x:v>
      </x:c>
      <x:c r="F352" s="11" t="n">
        <x:v>17.39</x:v>
      </x:c>
      <x:c r="G352" s="11" t="n">
        <x:v>0</x:v>
      </x:c>
      <x:c r="H352" s="25" t="n">
        <x:v>-0.5180155210643015</x:v>
      </x:c>
      <x:c r="I352" s="25" t="n">
        <x:v>-0.5180155210643015</x:v>
      </x:c>
      <x:c r="J352" s="25" t="str"/>
      <x:c r="K352" s="11" t="n">
        <x:v>1.216322</x:v>
      </x:c>
      <x:c r="L352" s="11" t="n">
        <x:v>13</x:v>
      </x:c>
      <x:c r="M352" s="11" t="n">
        <x:v>1.1</x:v>
      </x:c>
      <x:c r="N352" s="11" t="n">
        <x:v>0</x:v>
      </x:c>
      <x:c r="O352" s="11" t="str"/>
      <x:c r="P352" s="11" t="str"/>
      <x:c r="Q352" s="11" t="str"/>
      <x:c r="R352" s="11" t="str">
        <x:v>jdhealth-products-services-normalized-profit-v1.0</x:v>
      </x:c>
      <x:c r="S352" s="11" t="str">
        <x:v>2026-10-10</x:v>
      </x:c>
      <x:c r="T352" s="11" t="str">
        <x:f>IF(AND(SUM(IF(K352='假设'!E468,0,1),IF(L352='假设'!F468,0,1),IF(M352='假设'!G468,0,1),IF(N352='假设'!H468,0,1),IF(O352='假设'!I468,0,1),IF(P352='假设'!J468,0,1),IF(Q352='假设'!K468,0,1))=0,U352=V352),"已刷新","待刷新")</x:f>
        <x:v>已刷新</x:v>
      </x:c>
      <x:c r="U352" t="str">
        <x:v>||||0.22|0.4|3.23|78|0.058|0</x:v>
      </x:c>
      <x:c r="V352" t="str">
        <x:f>'经营假设'!D48&amp;"|"&amp;'经营假设'!E48&amp;"|"&amp;'经营假设'!F48&amp;"|"&amp;'经营假设'!G48&amp;"|"&amp;'经营假设'!H48&amp;"|"&amp;'经营假设'!I48&amp;"|"&amp;'经营假设'!J48&amp;"|"&amp;'经营假设'!K48&amp;"|"&amp;'经营假设'!L48&amp;"|"&amp;'经营假设'!M48</x:f>
        <x:v>||||0.22|0.4|3.23|78|0.058|0</x:v>
      </x:c>
    </x:row>
    <x:row r="353" ht="23" customHeight="1">
      <x:c r="A353" s="11" t="str">
        <x:v>06618.HK</x:v>
      </x:c>
      <x:c r="B353" s="11" t="str">
        <x:v>京东健康</x:v>
      </x:c>
      <x:c r="C353" s="11" t="str">
        <x:v>2026年底</x:v>
      </x:c>
      <x:c r="D353" s="11" t="str">
        <x:v>基准</x:v>
      </x:c>
      <x:c r="E353" s="11" t="n">
        <x:v>36.08</x:v>
      </x:c>
      <x:c r="F353" s="11" t="n">
        <x:v>43.32</x:v>
      </x:c>
      <x:c r="G353" s="11" t="n">
        <x:v>0</x:v>
      </x:c>
      <x:c r="H353" s="25" t="n">
        <x:v>0.20066518847006654</x:v>
      </x:c>
      <x:c r="I353" s="25" t="n">
        <x:v>0.20066518847006654</x:v>
      </x:c>
      <x:c r="J353" s="25" t="str"/>
      <x:c r="K353" s="11" t="n">
        <x:v>2.072897</x:v>
      </x:c>
      <x:c r="L353" s="11" t="n">
        <x:v>19</x:v>
      </x:c>
      <x:c r="M353" s="11" t="n">
        <x:v>1.1</x:v>
      </x:c>
      <x:c r="N353" s="11" t="n">
        <x:v>0</x:v>
      </x:c>
      <x:c r="O353" s="11" t="str"/>
      <x:c r="P353" s="11" t="str"/>
      <x:c r="Q353" s="11" t="str"/>
      <x:c r="R353" s="11" t="str">
        <x:v>jdhealth-products-services-normalized-profit-v1.0</x:v>
      </x:c>
      <x:c r="S353" s="11" t="str">
        <x:v>2026-10-10</x:v>
      </x:c>
      <x:c r="T353" s="11" t="str">
        <x:f>IF(AND(SUM(IF(K353='假设'!E469,0,1),IF(L353='假设'!F469,0,1),IF(M353='假设'!G469,0,1),IF(N353='假设'!H469,0,1),IF(O353='假设'!I469,0,1),IF(P353='假设'!J469,0,1),IF(Q353='假设'!K469,0,1))=0,U353=V353),"已刷新","待刷新")</x:f>
        <x:v>已刷新</x:v>
      </x:c>
      <x:c r="U353" t="str">
        <x:v>||||0.22|1.35|3.21|85|0.08|0</x:v>
      </x:c>
      <x:c r="V353" t="str">
        <x:f>'经营假设'!D49&amp;"|"&amp;'经营假设'!E49&amp;"|"&amp;'经营假设'!F49&amp;"|"&amp;'经营假设'!G49&amp;"|"&amp;'经营假设'!H49&amp;"|"&amp;'经营假设'!I49&amp;"|"&amp;'经营假设'!J49&amp;"|"&amp;'经营假设'!K49&amp;"|"&amp;'经营假设'!L49&amp;"|"&amp;'经营假设'!M49</x:f>
        <x:v>||||0.22|1.35|3.21|85|0.08|0</x:v>
      </x:c>
    </x:row>
    <x:row r="354" ht="23" customHeight="1">
      <x:c r="A354" s="11" t="str">
        <x:v>06618.HK</x:v>
      </x:c>
      <x:c r="B354" s="11" t="str">
        <x:v>京东健康</x:v>
      </x:c>
      <x:c r="C354" s="11" t="str">
        <x:v>2026年底</x:v>
      </x:c>
      <x:c r="D354" s="11" t="str">
        <x:v>乐观</x:v>
      </x:c>
      <x:c r="E354" s="11" t="n">
        <x:v>36.08</x:v>
      </x:c>
      <x:c r="F354" s="11" t="n">
        <x:v>65.38</x:v>
      </x:c>
      <x:c r="G354" s="11" t="n">
        <x:v>0</x:v>
      </x:c>
      <x:c r="H354" s="25" t="n">
        <x:v>0.8120842572062084</x:v>
      </x:c>
      <x:c r="I354" s="25" t="n">
        <x:v>0.8120842572062084</x:v>
      </x:c>
      <x:c r="J354" s="25" t="str"/>
      <x:c r="K354" s="11" t="n">
        <x:v>2.584063</x:v>
      </x:c>
      <x:c r="L354" s="11" t="n">
        <x:v>23</x:v>
      </x:c>
      <x:c r="M354" s="11" t="n">
        <x:v>1.1</x:v>
      </x:c>
      <x:c r="N354" s="11" t="n">
        <x:v>0</x:v>
      </x:c>
      <x:c r="O354" s="11" t="str"/>
      <x:c r="P354" s="11" t="str"/>
      <x:c r="Q354" s="11" t="str"/>
      <x:c r="R354" s="11" t="str">
        <x:v>jdhealth-products-services-normalized-profit-v1.0</x:v>
      </x:c>
      <x:c r="S354" s="11" t="str">
        <x:v>2026-10-10</x:v>
      </x:c>
      <x:c r="T354" s="11" t="str">
        <x:f>IF(AND(SUM(IF(K354='假设'!E470,0,1),IF(L354='假设'!F470,0,1),IF(M354='假设'!G470,0,1),IF(N354='假设'!H470,0,1),IF(O354='假设'!I470,0,1),IF(P354='假设'!J470,0,1),IF(Q354='假设'!K470,0,1))=0,U354=V354),"已刷新","待刷新")</x:f>
        <x:v>已刷新</x:v>
      </x:c>
      <x:c r="U354" t="str">
        <x:v>||||0.22|1.6|3.2|90|0.095|0</x:v>
      </x:c>
      <x:c r="V354" t="str">
        <x:f>'经营假设'!D50&amp;"|"&amp;'经营假设'!E50&amp;"|"&amp;'经营假设'!F50&amp;"|"&amp;'经营假设'!G50&amp;"|"&amp;'经营假设'!H50&amp;"|"&amp;'经营假设'!I50&amp;"|"&amp;'经营假设'!J50&amp;"|"&amp;'经营假设'!K50&amp;"|"&amp;'经营假设'!L50&amp;"|"&amp;'经营假设'!M50</x:f>
        <x:v>||||0.22|1.6|3.2|90|0.095|0</x:v>
      </x:c>
    </x:row>
    <x:row r="355" ht="23" customHeight="1">
      <x:c r="A355" s="11" t="str">
        <x:v>06618.HK</x:v>
      </x:c>
      <x:c r="B355" s="11" t="str">
        <x:v>京东健康</x:v>
      </x:c>
      <x:c r="C355" s="11" t="str">
        <x:v>半年</x:v>
      </x:c>
      <x:c r="D355" s="11" t="str">
        <x:v>悲观</x:v>
      </x:c>
      <x:c r="E355" s="11" t="n">
        <x:v>36.08</x:v>
      </x:c>
      <x:c r="F355" s="11" t="n">
        <x:v>14.37</x:v>
      </x:c>
      <x:c r="G355" s="11" t="n">
        <x:v>0</x:v>
      </x:c>
      <x:c r="H355" s="25" t="n">
        <x:v>-0.6017184035476719</x:v>
      </x:c>
      <x:c r="I355" s="25" t="n">
        <x:v>-0.6017184035476719</x:v>
      </x:c>
      <x:c r="J355" s="25" t="str"/>
      <x:c r="K355" s="11" t="n">
        <x:v>1.088908</x:v>
      </x:c>
      <x:c r="L355" s="11" t="n">
        <x:v>12</x:v>
      </x:c>
      <x:c r="M355" s="11" t="n">
        <x:v>1.1</x:v>
      </x:c>
      <x:c r="N355" s="11" t="n">
        <x:v>0</x:v>
      </x:c>
      <x:c r="O355" s="11" t="str"/>
      <x:c r="P355" s="11" t="str"/>
      <x:c r="Q355" s="11" t="str"/>
      <x:c r="R355" s="11" t="str">
        <x:v>jdhealth-products-services-normalized-profit-v1.0</x:v>
      </x:c>
      <x:c r="S355" s="11" t="str">
        <x:v>2026-10-10</x:v>
      </x:c>
      <x:c r="T355" s="11" t="str">
        <x:f>IF(AND(SUM(IF(K355='假设'!E472,0,1),IF(L355='假设'!F472,0,1),IF(M355='假设'!G472,0,1),IF(N355='假设'!H472,0,1),IF(O355='假设'!I472,0,1),IF(P355='假设'!J472,0,1),IF(Q355='假设'!K472,0,1))=0,U355=V355),"已刷新","待刷新")</x:f>
        <x:v>已刷新</x:v>
      </x:c>
      <x:c r="U355" t="str">
        <x:v>||||0.22|0.3|3.25|75.5|0.055|0</x:v>
      </x:c>
      <x:c r="V355" t="str">
        <x:f>'经营假设'!D52&amp;"|"&amp;'经营假设'!E52&amp;"|"&amp;'经营假设'!F52&amp;"|"&amp;'经营假设'!G52&amp;"|"&amp;'经营假设'!H52&amp;"|"&amp;'经营假设'!I52&amp;"|"&amp;'经营假设'!J52&amp;"|"&amp;'经营假设'!K52&amp;"|"&amp;'经营假设'!L52&amp;"|"&amp;'经营假设'!M52</x:f>
        <x:v>||||0.22|0.3|3.25|75.5|0.055|0</x:v>
      </x:c>
    </x:row>
    <x:row r="356" ht="23" customHeight="1">
      <x:c r="A356" s="11" t="str">
        <x:v>06618.HK</x:v>
      </x:c>
      <x:c r="B356" s="11" t="str">
        <x:v>京东健康</x:v>
      </x:c>
      <x:c r="C356" s="11" t="str">
        <x:v>半年</x:v>
      </x:c>
      <x:c r="D356" s="11" t="str">
        <x:v>基准</x:v>
      </x:c>
      <x:c r="E356" s="11" t="n">
        <x:v>36.08</x:v>
      </x:c>
      <x:c r="F356" s="11" t="n">
        <x:v>50.37</x:v>
      </x:c>
      <x:c r="G356" s="11" t="n">
        <x:v>0</x:v>
      </x:c>
      <x:c r="H356" s="25" t="n">
        <x:v>0.39606430155210637</x:v>
      </x:c>
      <x:c r="I356" s="25" t="n">
        <x:v>0.39606430155210637</x:v>
      </x:c>
      <x:c r="J356" s="25" t="str"/>
      <x:c r="K356" s="11" t="n">
        <x:v>2.289688</x:v>
      </x:c>
      <x:c r="L356" s="11" t="n">
        <x:v>20</x:v>
      </x:c>
      <x:c r="M356" s="11" t="n">
        <x:v>1.1</x:v>
      </x:c>
      <x:c r="N356" s="11" t="n">
        <x:v>0</x:v>
      </x:c>
      <x:c r="O356" s="11" t="str"/>
      <x:c r="P356" s="11" t="str"/>
      <x:c r="Q356" s="11" t="str"/>
      <x:c r="R356" s="11" t="str">
        <x:v>jdhealth-products-services-normalized-profit-v1.0</x:v>
      </x:c>
      <x:c r="S356" s="11" t="str">
        <x:v>2026-10-10</x:v>
      </x:c>
      <x:c r="T356" s="11" t="str">
        <x:f>IF(AND(SUM(IF(K356='假设'!E473,0,1),IF(L356='假设'!F473,0,1),IF(M356='假设'!G473,0,1),IF(N356='假设'!H473,0,1),IF(O356='假设'!I473,0,1),IF(P356='假设'!J473,0,1),IF(Q356='假设'!K473,0,1))=0,U356=V356),"已刷新","待刷新")</x:f>
        <x:v>已刷新</x:v>
      </x:c>
      <x:c r="U356" t="str">
        <x:v>||||0.22|1.35|3.205|92.5|0.083|0</x:v>
      </x:c>
      <x:c r="V356" t="str">
        <x:f>'经营假设'!D53&amp;"|"&amp;'经营假设'!E53&amp;"|"&amp;'经营假设'!F53&amp;"|"&amp;'经营假设'!G53&amp;"|"&amp;'经营假设'!H53&amp;"|"&amp;'经营假设'!I53&amp;"|"&amp;'经营假设'!J53&amp;"|"&amp;'经营假设'!K53&amp;"|"&amp;'经营假设'!L53&amp;"|"&amp;'经营假设'!M53</x:f>
        <x:v>||||0.22|1.35|3.205|92.5|0.083|0</x:v>
      </x:c>
    </x:row>
    <x:row r="357" ht="23" customHeight="1">
      <x:c r="A357" s="11" t="str">
        <x:v>06618.HK</x:v>
      </x:c>
      <x:c r="B357" s="11" t="str">
        <x:v>京东健康</x:v>
      </x:c>
      <x:c r="C357" s="11" t="str">
        <x:v>半年</x:v>
      </x:c>
      <x:c r="D357" s="11" t="str">
        <x:v>乐观</x:v>
      </x:c>
      <x:c r="E357" s="11" t="n">
        <x:v>36.08</x:v>
      </x:c>
      <x:c r="F357" s="11" t="n">
        <x:v>81.23</x:v>
      </x:c>
      <x:c r="G357" s="11" t="n">
        <x:v>0</x:v>
      </x:c>
      <x:c r="H357" s="25" t="n">
        <x:v>1.2513858093126387</x:v>
      </x:c>
      <x:c r="I357" s="25" t="n">
        <x:v>1.2513858093126387</x:v>
      </x:c>
      <x:c r="J357" s="25" t="str"/>
      <x:c r="K357" s="11" t="n">
        <x:v>3.07684</x:v>
      </x:c>
      <x:c r="L357" s="11" t="n">
        <x:v>24</x:v>
      </x:c>
      <x:c r="M357" s="11" t="n">
        <x:v>1.1</x:v>
      </x:c>
      <x:c r="N357" s="11" t="n">
        <x:v>0</x:v>
      </x:c>
      <x:c r="O357" s="11" t="str"/>
      <x:c r="P357" s="11" t="str"/>
      <x:c r="Q357" s="11" t="str"/>
      <x:c r="R357" s="11" t="str">
        <x:v>jdhealth-products-services-normalized-profit-v1.0</x:v>
      </x:c>
      <x:c r="S357" s="11" t="str">
        <x:v>2026-10-10</x:v>
      </x:c>
      <x:c r="T357" s="11" t="str">
        <x:f>IF(AND(SUM(IF(K357='假设'!E474,0,1),IF(L357='假设'!F474,0,1),IF(M357='假设'!G474,0,1),IF(N357='假设'!H474,0,1),IF(O357='假设'!I474,0,1),IF(P357='假设'!J474,0,1),IF(Q357='假设'!K474,0,1))=0,U357=V357),"已刷新","待刷新")</x:f>
        <x:v>已刷新</x:v>
      </x:c>
      <x:c r="U357" t="str">
        <x:v>||||0.22|1.7|3.19|102|0.102|0</x:v>
      </x:c>
      <x:c r="V357" t="str">
        <x:f>'经营假设'!D54&amp;"|"&amp;'经营假设'!E54&amp;"|"&amp;'经营假设'!F54&amp;"|"&amp;'经营假设'!G54&amp;"|"&amp;'经营假设'!H54&amp;"|"&amp;'经营假设'!I54&amp;"|"&amp;'经营假设'!J54&amp;"|"&amp;'经营假设'!K54&amp;"|"&amp;'经营假设'!L54&amp;"|"&amp;'经营假设'!M54</x:f>
        <x:v>||||0.22|1.7|3.19|102|0.102|0</x:v>
      </x:c>
    </x:row>
    <x:row r="358" ht="23" customHeight="1">
      <x:c r="A358" s="11" t="str">
        <x:v>06618.HK</x:v>
      </x:c>
      <x:c r="B358" s="11" t="str">
        <x:v>京东健康</x:v>
      </x:c>
      <x:c r="C358" s="11" t="str">
        <x:v>一年</x:v>
      </x:c>
      <x:c r="D358" s="11" t="str">
        <x:v>悲观</x:v>
      </x:c>
      <x:c r="E358" s="11" t="n">
        <x:v>36.08</x:v>
      </x:c>
      <x:c r="F358" s="11" t="n">
        <x:v>11.99</x:v>
      </x:c>
      <x:c r="G358" s="11" t="n">
        <x:v>0</x:v>
      </x:c>
      <x:c r="H358" s="25" t="n">
        <x:v>-0.6676829268292683</x:v>
      </x:c>
      <x:c r="I358" s="25" t="n">
        <x:v>-0.6676829268292683</x:v>
      </x:c>
      <x:c r="J358" s="25" t="str"/>
      <x:c r="K358" s="11" t="n">
        <x:v>0.991293</x:v>
      </x:c>
      <x:c r="L358" s="11" t="n">
        <x:v>11</x:v>
      </x:c>
      <x:c r="M358" s="11" t="n">
        <x:v>1.1</x:v>
      </x:c>
      <x:c r="N358" s="11" t="n">
        <x:v>0</x:v>
      </x:c>
      <x:c r="O358" s="11" t="str"/>
      <x:c r="P358" s="11" t="str"/>
      <x:c r="Q358" s="11" t="str"/>
      <x:c r="R358" s="11" t="str">
        <x:v>jdhealth-products-services-normalized-profit-v1.0</x:v>
      </x:c>
      <x:c r="S358" s="11" t="str">
        <x:v>2026-10-10</x:v>
      </x:c>
      <x:c r="T358" s="11" t="str">
        <x:f>IF(AND(SUM(IF(K358='假设'!E476,0,1),IF(L358='假设'!F476,0,1),IF(M358='假设'!G476,0,1),IF(N358='假设'!H476,0,1),IF(O358='假设'!I476,0,1),IF(P358='假设'!J476,0,1),IF(Q358='假设'!K476,0,1))=0,U358=V358),"已刷新","待刷新")</x:f>
        <x:v>已刷新</x:v>
      </x:c>
      <x:c r="U358" t="str">
        <x:v>||||0.22|0.25|3.28|74|0.052|0</x:v>
      </x:c>
      <x:c r="V358" t="str">
        <x:f>'经营假设'!D56&amp;"|"&amp;'经营假设'!E56&amp;"|"&amp;'经营假设'!F56&amp;"|"&amp;'经营假设'!G56&amp;"|"&amp;'经营假设'!H56&amp;"|"&amp;'经营假设'!I56&amp;"|"&amp;'经营假设'!J56&amp;"|"&amp;'经营假设'!K56&amp;"|"&amp;'经营假设'!L56&amp;"|"&amp;'经营假设'!M56</x:f>
        <x:v>||||0.22|0.25|3.28|74|0.052|0</x:v>
      </x:c>
    </x:row>
    <x:row r="359" ht="23" customHeight="1">
      <x:c r="A359" s="11" t="str">
        <x:v>06618.HK</x:v>
      </x:c>
      <x:c r="B359" s="11" t="str">
        <x:v>京东健康</x:v>
      </x:c>
      <x:c r="C359" s="11" t="str">
        <x:v>一年</x:v>
      </x:c>
      <x:c r="D359" s="11" t="str">
        <x:v>基准</x:v>
      </x:c>
      <x:c r="E359" s="11" t="n">
        <x:v>36.08</x:v>
      </x:c>
      <x:c r="F359" s="11" t="n">
        <x:v>61.04</x:v>
      </x:c>
      <x:c r="G359" s="11" t="n">
        <x:v>0</x:v>
      </x:c>
      <x:c r="H359" s="25" t="n">
        <x:v>0.6917960088691797</x:v>
      </x:c>
      <x:c r="I359" s="25" t="n">
        <x:v>0.6917960088691797</x:v>
      </x:c>
      <x:c r="J359" s="25" t="str"/>
      <x:c r="K359" s="11" t="n">
        <x:v>2.642219</x:v>
      </x:c>
      <x:c r="L359" s="11" t="n">
        <x:v>21</x:v>
      </x:c>
      <x:c r="M359" s="11" t="n">
        <x:v>1.1</x:v>
      </x:c>
      <x:c r="N359" s="11" t="n">
        <x:v>0</x:v>
      </x:c>
      <x:c r="O359" s="11" t="str"/>
      <x:c r="P359" s="11" t="str"/>
      <x:c r="Q359" s="11" t="str"/>
      <x:c r="R359" s="11" t="str">
        <x:v>jdhealth-products-services-normalized-profit-v1.0</x:v>
      </x:c>
      <x:c r="S359" s="11" t="str">
        <x:v>2026-10-10</x:v>
      </x:c>
      <x:c r="T359" s="11" t="str">
        <x:f>IF(AND(SUM(IF(K359='假设'!E477,0,1),IF(L359='假设'!F477,0,1),IF(M359='假设'!G477,0,1),IF(N359='假设'!H477,0,1),IF(O359='假设'!I477,0,1),IF(P359='假设'!J477,0,1),IF(Q359='假设'!K477,0,1))=0,U359=V359),"已刷新","待刷新")</x:f>
        <x:v>已刷新</x:v>
      </x:c>
      <x:c r="U359" t="str">
        <x:v>||||0.22|1.4|3.2|100.5|0.09|0</x:v>
      </x:c>
      <x:c r="V359" t="str">
        <x:f>'经营假设'!D57&amp;"|"&amp;'经营假设'!E57&amp;"|"&amp;'经营假设'!F57&amp;"|"&amp;'经营假设'!G57&amp;"|"&amp;'经营假设'!H57&amp;"|"&amp;'经营假设'!I57&amp;"|"&amp;'经营假设'!J57&amp;"|"&amp;'经营假设'!K57&amp;"|"&amp;'经营假设'!L57&amp;"|"&amp;'经营假设'!M57</x:f>
        <x:v>||||0.22|1.4|3.2|100.5|0.09|0</x:v>
      </x:c>
    </x:row>
    <x:row r="360" ht="23" customHeight="1">
      <x:c r="A360" s="11" t="str">
        <x:v>06618.HK</x:v>
      </x:c>
      <x:c r="B360" s="11" t="str">
        <x:v>京东健康</x:v>
      </x:c>
      <x:c r="C360" s="11" t="str">
        <x:v>一年</x:v>
      </x:c>
      <x:c r="D360" s="11" t="str">
        <x:v>乐观</x:v>
      </x:c>
      <x:c r="E360" s="11" t="n">
        <x:v>36.08</x:v>
      </x:c>
      <x:c r="F360" s="11" t="n">
        <x:v>100.42</x:v>
      </x:c>
      <x:c r="G360" s="11" t="n">
        <x:v>0.15</x:v>
      </x:c>
      <x:c r="H360" s="25" t="n">
        <x:v>1.7832594235033263</x:v>
      </x:c>
      <x:c r="I360" s="25" t="n">
        <x:v>1.7874168514412418</x:v>
      </x:c>
      <x:c r="J360" s="25" t="str"/>
      <x:c r="K360" s="11" t="n">
        <x:v>3.803774</x:v>
      </x:c>
      <x:c r="L360" s="11" t="n">
        <x:v>24</x:v>
      </x:c>
      <x:c r="M360" s="11" t="n">
        <x:v>1.1</x:v>
      </x:c>
      <x:c r="N360" s="11" t="n">
        <x:v>0.15</x:v>
      </x:c>
      <x:c r="O360" s="11" t="str"/>
      <x:c r="P360" s="11" t="str"/>
      <x:c r="Q360" s="11" t="str"/>
      <x:c r="R360" s="11" t="str">
        <x:v>jdhealth-products-services-normalized-profit-v1.0</x:v>
      </x:c>
      <x:c r="S360" s="11" t="str">
        <x:v>2026-10-10</x:v>
      </x:c>
      <x:c r="T360" s="11" t="str">
        <x:f>IF(AND(SUM(IF(K360='假设'!E478,0,1),IF(L360='假设'!F478,0,1),IF(M360='假设'!G478,0,1),IF(N360='假设'!H478,0,1),IF(O360='假设'!I478,0,1),IF(P360='假设'!J478,0,1),IF(Q360='假设'!K478,0,1))=0,U360=V360),"已刷新","待刷新")</x:f>
        <x:v>已刷新</x:v>
      </x:c>
      <x:c r="U360" t="str">
        <x:v>||||0.22|1.8|3.18|120|0.11|0</x:v>
      </x:c>
      <x:c r="V360" t="str">
        <x:f>'经营假设'!D58&amp;"|"&amp;'经营假设'!E58&amp;"|"&amp;'经营假设'!F58&amp;"|"&amp;'经营假设'!G58&amp;"|"&amp;'经营假设'!H58&amp;"|"&amp;'经营假设'!I58&amp;"|"&amp;'经营假设'!J58&amp;"|"&amp;'经营假设'!K58&amp;"|"&amp;'经营假设'!L58&amp;"|"&amp;'经营假设'!M58</x:f>
        <x:v>||||0.22|1.8|3.18|120|0.11|0</x:v>
      </x:c>
    </x:row>
    <x:row r="361" ht="23" customHeight="1">
      <x:c r="A361" s="11" t="str">
        <x:v>06618.HK</x:v>
      </x:c>
      <x:c r="B361" s="11" t="str">
        <x:v>京东健康</x:v>
      </x:c>
      <x:c r="C361" s="11" t="str">
        <x:v>三年</x:v>
      </x:c>
      <x:c r="D361" s="11" t="str">
        <x:v>悲观</x:v>
      </x:c>
      <x:c r="E361" s="11" t="n">
        <x:v>36.08</x:v>
      </x:c>
      <x:c r="F361" s="11" t="n">
        <x:v>9.21</x:v>
      </x:c>
      <x:c r="G361" s="11" t="n">
        <x:v>0</x:v>
      </x:c>
      <x:c r="H361" s="25" t="n">
        <x:v>-0.7447339246119733</x:v>
      </x:c>
      <x:c r="I361" s="25" t="n">
        <x:v>-0.7447339246119733</x:v>
      </x:c>
      <x:c r="J361" s="25" t="n">
        <x:v>-0.36564694786851104</x:v>
      </x:c>
      <x:c r="K361" s="11" t="n">
        <x:v>0.837043</x:v>
      </x:c>
      <x:c r="L361" s="11" t="n">
        <x:v>10</x:v>
      </x:c>
      <x:c r="M361" s="11" t="n">
        <x:v>1.1</x:v>
      </x:c>
      <x:c r="N361" s="11" t="n">
        <x:v>0</x:v>
      </x:c>
      <x:c r="O361" s="11" t="str"/>
      <x:c r="P361" s="11" t="str"/>
      <x:c r="Q361" s="11" t="str"/>
      <x:c r="R361" s="11" t="str">
        <x:v>jdhealth-products-services-normalized-profit-v1.0</x:v>
      </x:c>
      <x:c r="S361" s="11" t="str">
        <x:v>2026-10-10</x:v>
      </x:c>
      <x:c r="T361" s="11" t="str">
        <x:f>IF(AND(SUM(IF(K361='假设'!E480,0,1),IF(L361='假设'!F480,0,1),IF(M361='假设'!G480,0,1),IF(N361='假设'!H480,0,1),IF(O361='假设'!I480,0,1),IF(P361='假设'!J480,0,1),IF(Q361='假设'!K480,0,1))=0,U361=V361),"已刷新","待刷新")</x:f>
        <x:v>已刷新</x:v>
      </x:c>
      <x:c r="U361" t="str">
        <x:v>||||0.22|0.15|3.45|78|0.045|0</x:v>
      </x:c>
      <x:c r="V361" t="str">
        <x:f>'经营假设'!D60&amp;"|"&amp;'经营假设'!E60&amp;"|"&amp;'经营假设'!F60&amp;"|"&amp;'经营假设'!G60&amp;"|"&amp;'经营假设'!H60&amp;"|"&amp;'经营假设'!I60&amp;"|"&amp;'经营假设'!J60&amp;"|"&amp;'经营假设'!K60&amp;"|"&amp;'经营假设'!L60&amp;"|"&amp;'经营假设'!M60</x:f>
        <x:v>||||0.22|0.15|3.45|78|0.045|0</x:v>
      </x:c>
    </x:row>
    <x:row r="362" ht="23" customHeight="1">
      <x:c r="A362" s="11" t="str">
        <x:v>06618.HK</x:v>
      </x:c>
      <x:c r="B362" s="11" t="str">
        <x:v>京东健康</x:v>
      </x:c>
      <x:c r="C362" s="11" t="str">
        <x:v>三年</x:v>
      </x:c>
      <x:c r="D362" s="11" t="str">
        <x:v>基准</x:v>
      </x:c>
      <x:c r="E362" s="11" t="n">
        <x:v>36.08</x:v>
      </x:c>
      <x:c r="F362" s="11" t="n">
        <x:v>88.86</x:v>
      </x:c>
      <x:c r="G362" s="11" t="n">
        <x:v>1</x:v>
      </x:c>
      <x:c r="H362" s="25" t="n">
        <x:v>1.462860310421286</x:v>
      </x:c>
      <x:c r="I362" s="25" t="n">
        <x:v>1.4905764966740578</x:v>
      </x:c>
      <x:c r="J362" s="25" t="n">
        <x:v>0.35550137293145</x:v>
      </x:c>
      <x:c r="K362" s="11" t="n">
        <x:v>4.039252</x:v>
      </x:c>
      <x:c r="L362" s="11" t="n">
        <x:v>20</x:v>
      </x:c>
      <x:c r="M362" s="11" t="n">
        <x:v>1.1</x:v>
      </x:c>
      <x:c r="N362" s="11" t="n">
        <x:v>1</x:v>
      </x:c>
      <x:c r="O362" s="11" t="str"/>
      <x:c r="P362" s="11" t="str"/>
      <x:c r="Q362" s="11" t="str"/>
      <x:c r="R362" s="11" t="str">
        <x:v>jdhealth-products-services-normalized-profit-v1.0</x:v>
      </x:c>
      <x:c r="S362" s="11" t="str">
        <x:v>2026-10-10</x:v>
      </x:c>
      <x:c r="T362" s="11" t="str">
        <x:f>IF(AND(SUM(IF(K362='假设'!E481,0,1),IF(L362='假设'!F481,0,1),IF(M362='假设'!G481,0,1),IF(N362='假设'!H481,0,1),IF(O362='假设'!I481,0,1),IF(P362='假设'!J481,0,1),IF(Q362='假设'!K481,0,1))=0,U362=V362),"已刷新","待刷新")</x:f>
        <x:v>已刷新</x:v>
      </x:c>
      <x:c r="U362" t="str">
        <x:v>||||0.22|1.5|3.21|140|0.105|0</x:v>
      </x:c>
      <x:c r="V362" t="str">
        <x:f>'经营假设'!D61&amp;"|"&amp;'经营假设'!E61&amp;"|"&amp;'经营假设'!F61&amp;"|"&amp;'经营假设'!G61&amp;"|"&amp;'经营假设'!H61&amp;"|"&amp;'经营假设'!I61&amp;"|"&amp;'经营假设'!J61&amp;"|"&amp;'经营假设'!K61&amp;"|"&amp;'经营假设'!L61&amp;"|"&amp;'经营假设'!M61</x:f>
        <x:v>||||0.22|1.5|3.21|140|0.105|0</x:v>
      </x:c>
    </x:row>
    <x:row r="363" ht="23" customHeight="1">
      <x:c r="A363" s="11" t="str">
        <x:v>06618.HK</x:v>
      </x:c>
      <x:c r="B363" s="11" t="str">
        <x:v>京东健康</x:v>
      </x:c>
      <x:c r="C363" s="11" t="str">
        <x:v>三年</x:v>
      </x:c>
      <x:c r="D363" s="11" t="str">
        <x:v>乐观</x:v>
      </x:c>
      <x:c r="E363" s="11" t="n">
        <x:v>36.08</x:v>
      </x:c>
      <x:c r="F363" s="11" t="n">
        <x:v>175.98</x:v>
      </x:c>
      <x:c r="G363" s="11" t="n">
        <x:v>2.5</x:v>
      </x:c>
      <x:c r="H363" s="25" t="n">
        <x:v>3.877494456762749</x:v>
      </x:c>
      <x:c r="I363" s="25" t="n">
        <x:v>3.946784922394678</x:v>
      </x:c>
      <x:c r="J363" s="25" t="n">
        <x:v>0.7038878632843224</x:v>
      </x:c>
      <x:c r="K363" s="11" t="n">
        <x:v>6.666019</x:v>
      </x:c>
      <x:c r="L363" s="11" t="n">
        <x:v>24</x:v>
      </x:c>
      <x:c r="M363" s="11" t="n">
        <x:v>1.1</x:v>
      </x:c>
      <x:c r="N363" s="11" t="n">
        <x:v>2.5</x:v>
      </x:c>
      <x:c r="O363" s="11" t="str"/>
      <x:c r="P363" s="11" t="str"/>
      <x:c r="Q363" s="11" t="str"/>
      <x:c r="R363" s="11" t="str">
        <x:v>jdhealth-products-services-normalized-profit-v1.0</x:v>
      </x:c>
      <x:c r="S363" s="11" t="str">
        <x:v>2026-10-10</x:v>
      </x:c>
      <x:c r="T363" s="11" t="str">
        <x:f>IF(AND(SUM(IF(K363='假设'!E482,0,1),IF(L363='假设'!F482,0,1),IF(M363='假设'!G482,0,1),IF(N363='假设'!H482,0,1),IF(O363='假设'!I482,0,1),IF(P363='假设'!J482,0,1),IF(Q363='假设'!K482,0,1))=0,U363=V363),"已刷新","待刷新")</x:f>
        <x:v>已刷新</x:v>
      </x:c>
      <x:c r="U363" t="str">
        <x:v>||||0.22|2.1|3.19|189|0.13|0</x:v>
      </x:c>
      <x:c r="V363" t="str">
        <x:f>'经营假设'!D62&amp;"|"&amp;'经营假设'!E62&amp;"|"&amp;'经营假设'!F62&amp;"|"&amp;'经营假设'!G62&amp;"|"&amp;'经营假设'!H62&amp;"|"&amp;'经营假设'!I62&amp;"|"&amp;'经营假设'!J62&amp;"|"&amp;'经营假设'!K62&amp;"|"&amp;'经营假设'!L62&amp;"|"&amp;'经营假设'!M62</x:f>
        <x:v>||||0.22|2.1|3.19|189|0.13|0</x:v>
      </x:c>
    </x:row>
    <x:row r="364" ht="23" customHeight="1">
      <x:c r="A364" s="11" t="str">
        <x:v>06618.HK</x:v>
      </x:c>
      <x:c r="B364" s="11" t="str">
        <x:v>京东健康</x:v>
      </x:c>
      <x:c r="C364" s="11" t="str">
        <x:v>五年</x:v>
      </x:c>
      <x:c r="D364" s="11" t="str">
        <x:v>悲观</x:v>
      </x:c>
      <x:c r="E364" s="11" t="n">
        <x:v>36.08</x:v>
      </x:c>
      <x:c r="F364" s="11" t="n">
        <x:v>6.78</x:v>
      </x:c>
      <x:c r="G364" s="11" t="n">
        <x:v>0</x:v>
      </x:c>
      <x:c r="H364" s="25" t="n">
        <x:v>-0.8120842572062084</x:v>
      </x:c>
      <x:c r="I364" s="25" t="n">
        <x:v>-0.8120842572062084</x:v>
      </x:c>
      <x:c r="J364" s="25" t="n">
        <x:v>-0.28419845243744724</x:v>
      </x:c>
      <x:c r="K364" s="11" t="n">
        <x:v>0.685162</x:v>
      </x:c>
      <x:c r="L364" s="11" t="n">
        <x:v>9</x:v>
      </x:c>
      <x:c r="M364" s="11" t="n">
        <x:v>1.1</x:v>
      </x:c>
      <x:c r="N364" s="11" t="n">
        <x:v>0</x:v>
      </x:c>
      <x:c r="O364" s="11" t="str"/>
      <x:c r="P364" s="11" t="str"/>
      <x:c r="Q364" s="11" t="str"/>
      <x:c r="R364" s="11" t="str">
        <x:v>jdhealth-products-services-normalized-profit-v1.0</x:v>
      </x:c>
      <x:c r="S364" s="11" t="str">
        <x:v>2026-10-10</x:v>
      </x:c>
      <x:c r="T364" s="11" t="str">
        <x:f>IF(AND(SUM(IF(K364='假设'!E484,0,1),IF(L364='假设'!F484,0,1),IF(M364='假设'!G484,0,1),IF(N364='假设'!H484,0,1),IF(O364='假设'!I484,0,1),IF(P364='假设'!J484,0,1),IF(Q364='假设'!K484,0,1))=0,U364=V364),"已刷新","待刷新")</x:f>
        <x:v>已刷新</x:v>
      </x:c>
      <x:c r="U364" t="str">
        <x:v>||||0.22|0.1|3.65|81|0.038|0</x:v>
      </x:c>
      <x:c r="V364" t="str">
        <x:f>'经营假设'!D64&amp;"|"&amp;'经营假设'!E64&amp;"|"&amp;'经营假设'!F64&amp;"|"&amp;'经营假设'!G64&amp;"|"&amp;'经营假设'!H64&amp;"|"&amp;'经营假设'!I64&amp;"|"&amp;'经营假设'!J64&amp;"|"&amp;'经营假设'!K64&amp;"|"&amp;'经营假设'!L64&amp;"|"&amp;'经营假设'!M64</x:f>
        <x:v>||||0.22|0.1|3.65|81|0.038|0</x:v>
      </x:c>
    </x:row>
    <x:row r="365" ht="23" customHeight="1">
      <x:c r="A365" s="11" t="str">
        <x:v>06618.HK</x:v>
      </x:c>
      <x:c r="B365" s="11" t="str">
        <x:v>京东健康</x:v>
      </x:c>
      <x:c r="C365" s="11" t="str">
        <x:v>五年</x:v>
      </x:c>
      <x:c r="D365" s="11" t="str">
        <x:v>基准</x:v>
      </x:c>
      <x:c r="E365" s="11" t="n">
        <x:v>36.08</x:v>
      </x:c>
      <x:c r="F365" s="11" t="n">
        <x:v>112.63</x:v>
      </x:c>
      <x:c r="G365" s="11" t="n">
        <x:v>3</x:v>
      </x:c>
      <x:c r="H365" s="25" t="n">
        <x:v>2.1216740576496673</x:v>
      </x:c>
      <x:c r="I365" s="25" t="n">
        <x:v>2.2048226164079825</x:v>
      </x:c>
      <x:c r="J365" s="25" t="n">
        <x:v>0.2622948180325948</x:v>
      </x:c>
      <x:c r="K365" s="11" t="n">
        <x:v>5.688514</x:v>
      </x:c>
      <x:c r="L365" s="11" t="n">
        <x:v>18</x:v>
      </x:c>
      <x:c r="M365" s="11" t="n">
        <x:v>1.1</x:v>
      </x:c>
      <x:c r="N365" s="11" t="n">
        <x:v>3</x:v>
      </x:c>
      <x:c r="O365" s="11" t="str"/>
      <x:c r="P365" s="11" t="str"/>
      <x:c r="Q365" s="11" t="str"/>
      <x:c r="R365" s="11" t="str">
        <x:v>jdhealth-products-services-normalized-profit-v1.0</x:v>
      </x:c>
      <x:c r="S365" s="11" t="str">
        <x:v>2026-10-10</x:v>
      </x:c>
      <x:c r="T365" s="11" t="str">
        <x:f>IF(AND(SUM(IF(K365='假设'!E485,0,1),IF(L365='假设'!F485,0,1),IF(M365='假设'!G485,0,1),IF(N365='假设'!H485,0,1),IF(O365='假设'!I485,0,1),IF(P365='假设'!J485,0,1),IF(Q365='假设'!K485,0,1))=0,U365=V365),"已刷新","待刷新")</x:f>
        <x:v>已刷新</x:v>
      </x:c>
      <x:c r="U365" t="str">
        <x:v>||||0.22|1.6|3.23|187|0.115|0</x:v>
      </x:c>
      <x:c r="V365" t="str">
        <x:f>'经营假设'!D65&amp;"|"&amp;'经营假设'!E65&amp;"|"&amp;'经营假设'!F65&amp;"|"&amp;'经营假设'!G65&amp;"|"&amp;'经营假设'!H65&amp;"|"&amp;'经营假设'!I65&amp;"|"&amp;'经营假设'!J65&amp;"|"&amp;'经营假设'!K65&amp;"|"&amp;'经营假设'!L65&amp;"|"&amp;'经营假设'!M65</x:f>
        <x:v>||||0.22|1.6|3.23|187|0.115|0</x:v>
      </x:c>
    </x:row>
    <x:row r="366" ht="23" customHeight="1">
      <x:c r="A366" s="11" t="str">
        <x:v>06618.HK</x:v>
      </x:c>
      <x:c r="B366" s="11" t="str">
        <x:v>京东健康</x:v>
      </x:c>
      <x:c r="C366" s="11" t="str">
        <x:v>五年</x:v>
      </x:c>
      <x:c r="D366" s="11" t="str">
        <x:v>乐观</x:v>
      </x:c>
      <x:c r="E366" s="11" t="n">
        <x:v>36.08</x:v>
      </x:c>
      <x:c r="F366" s="11" t="n">
        <x:v>249.94</x:v>
      </x:c>
      <x:c r="G366" s="11" t="n">
        <x:v>7</x:v>
      </x:c>
      <x:c r="H366" s="25" t="n">
        <x:v>5.927383592017739</x:v>
      </x:c>
      <x:c r="I366" s="25" t="n">
        <x:v>6.12139689578714</x:v>
      </x:c>
      <x:c r="J366" s="25" t="n">
        <x:v>0.4808567121789402</x:v>
      </x:c>
      <x:c r="K366" s="11" t="n">
        <x:v>10.328156</x:v>
      </x:c>
      <x:c r="L366" s="11" t="n">
        <x:v>22</x:v>
      </x:c>
      <x:c r="M366" s="11" t="n">
        <x:v>1.1</x:v>
      </x:c>
      <x:c r="N366" s="11" t="n">
        <x:v>7</x:v>
      </x:c>
      <x:c r="O366" s="11" t="str"/>
      <x:c r="P366" s="11" t="str"/>
      <x:c r="Q366" s="11" t="str"/>
      <x:c r="R366" s="11" t="str">
        <x:v>jdhealth-products-services-normalized-profit-v1.0</x:v>
      </x:c>
      <x:c r="S366" s="11" t="str">
        <x:v>2026-10-10</x:v>
      </x:c>
      <x:c r="T366" s="11" t="str">
        <x:f>IF(AND(SUM(IF(K366='假设'!E486,0,1),IF(L366='假设'!F486,0,1),IF(M366='假设'!G486,0,1),IF(N366='假设'!H486,0,1),IF(O366='假设'!I486,0,1),IF(P366='假设'!J486,0,1),IF(Q366='假设'!K486,0,1))=0,U366=V366),"已刷新","待刷新")</x:f>
        <x:v>已刷新</x:v>
      </x:c>
      <x:c r="U366" t="str">
        <x:v>||||0.22|2.4|3.2|271|0.145|0</x:v>
      </x:c>
      <x:c r="V366" t="str">
        <x:f>'经营假设'!D66&amp;"|"&amp;'经营假设'!E66&amp;"|"&amp;'经营假设'!F66&amp;"|"&amp;'经营假设'!G66&amp;"|"&amp;'经营假设'!H66&amp;"|"&amp;'经营假设'!I66&amp;"|"&amp;'经营假设'!J66&amp;"|"&amp;'经营假设'!K66&amp;"|"&amp;'经营假设'!L66&amp;"|"&amp;'经营假设'!M66</x:f>
        <x:v>||||0.22|2.4|3.2|271|0.145|0</x:v>
      </x:c>
    </x:row>
    <x:row r="367" ht="23" customHeight="1">
      <x:c r="A367" s="11" t="str">
        <x:v>09618.HK</x:v>
      </x:c>
      <x:c r="B367" s="11" t="str">
        <x:v>京东集团-SW</x:v>
      </x:c>
      <x:c r="C367" s="11" t="str">
        <x:v>2026年底</x:v>
      </x:c>
      <x:c r="D367" s="11" t="str">
        <x:v>悲观</x:v>
      </x:c>
      <x:c r="E367" s="11" t="n">
        <x:v>105.6</x:v>
      </x:c>
      <x:c r="F367" s="11" t="n">
        <x:v>49.48</x:v>
      </x:c>
      <x:c r="G367" s="11" t="n">
        <x:v>0</x:v>
      </x:c>
      <x:c r="H367" s="25" t="n">
        <x:v>-0.531439393939394</x:v>
      </x:c>
      <x:c r="I367" s="25" t="n">
        <x:v>-0.531439393939394</x:v>
      </x:c>
      <x:c r="J367" s="25" t="str"/>
      <x:c r="K367" s="11" t="n">
        <x:v>4.998</x:v>
      </x:c>
      <x:c r="L367" s="11" t="n">
        <x:v>9</x:v>
      </x:c>
      <x:c r="M367" s="11" t="n">
        <x:v>1.1</x:v>
      </x:c>
      <x:c r="N367" s="11" t="n">
        <x:v>0</x:v>
      </x:c>
      <x:c r="O367" s="11" t="str"/>
      <x:c r="P367" s="11" t="str"/>
      <x:c r="Q367" s="11" t="str"/>
      <x:c r="R367" s="11" t="str">
        <x:v>jd-three-segment-normalized-v1.0</x:v>
      </x:c>
      <x:c r="S367" s="11" t="str">
        <x:v>2026-10-10</x:v>
      </x:c>
      <x:c r="T367" s="11" t="str">
        <x:f>IF(AND(SUM(IF(K367='假设'!E488,0,1),IF(L367='假设'!F488,0,1),IF(M367='假设'!G488,0,1),IF(N367='假设'!H488,0,1),IF(O367='假设'!I488,0,1),IF(P367='假设'!J488,0,1),IF(Q367='假设'!K488,0,1))=0,U367=V367),"已刷新","待刷新")</x:f>
        <x:v>已刷新</x:v>
      </x:c>
      <x:c r="U367" t="str">
        <x:v>1130|0.042|250|0.032|34|5|5|0.2|0.85|2.92</x:v>
      </x:c>
      <x:c r="V367" t="str">
        <x:f>'零售物流假设'!D8&amp;"|"&amp;'零售物流假设'!E8&amp;"|"&amp;'零售物流假设'!F8&amp;"|"&amp;'零售物流假设'!G8&amp;"|"&amp;'零售物流假设'!H8&amp;"|"&amp;'零售物流假设'!I8&amp;"|"&amp;'零售物流假设'!J8&amp;"|"&amp;'零售物流假设'!K8&amp;"|"&amp;'零售物流假设'!L8&amp;"|"&amp;'零售物流假设'!M8</x:f>
        <x:v>1130|0.042|250|0.032|34|5|5|0.2|0.85|2.92</x:v>
      </x:c>
    </x:row>
    <x:row r="368" ht="23" customHeight="1">
      <x:c r="A368" s="11" t="str">
        <x:v>09618.HK</x:v>
      </x:c>
      <x:c r="B368" s="11" t="str">
        <x:v>京东集团-SW</x:v>
      </x:c>
      <x:c r="C368" s="11" t="str">
        <x:v>2026年底</x:v>
      </x:c>
      <x:c r="D368" s="11" t="str">
        <x:v>基准</x:v>
      </x:c>
      <x:c r="E368" s="11" t="n">
        <x:v>105.6</x:v>
      </x:c>
      <x:c r="F368" s="11" t="n">
        <x:v>132.01</x:v>
      </x:c>
      <x:c r="G368" s="11" t="n">
        <x:v>0</x:v>
      </x:c>
      <x:c r="H368" s="25" t="n">
        <x:v>0.2500946969696969</x:v>
      </x:c>
      <x:c r="I368" s="25" t="n">
        <x:v>0.2500946969696969</x:v>
      </x:c>
      <x:c r="J368" s="25" t="str"/>
      <x:c r="K368" s="11" t="n">
        <x:v>10.001</x:v>
      </x:c>
      <x:c r="L368" s="11" t="n">
        <x:v>12</x:v>
      </x:c>
      <x:c r="M368" s="11" t="n">
        <x:v>1.1</x:v>
      </x:c>
      <x:c r="N368" s="11" t="n">
        <x:v>0</x:v>
      </x:c>
      <x:c r="O368" s="11" t="str"/>
      <x:c r="P368" s="11" t="str"/>
      <x:c r="Q368" s="11" t="str"/>
      <x:c r="R368" s="11" t="str">
        <x:v>jd-three-segment-normalized-v1.0</x:v>
      </x:c>
      <x:c r="S368" s="11" t="str">
        <x:v>2026-10-10</x:v>
      </x:c>
      <x:c r="T368" s="11" t="str">
        <x:f>IF(AND(SUM(IF(K368='假设'!E489,0,1),IF(L368='假设'!F489,0,1),IF(M368='假设'!G489,0,1),IF(N368='假设'!H489,0,1),IF(O368='假设'!I489,0,1),IF(P368='假设'!J489,0,1),IF(Q368='假设'!K489,0,1))=0,U368=V368),"已刷新","待刷新")</x:f>
        <x:v>已刷新</x:v>
      </x:c>
      <x:c r="U368" t="str">
        <x:v>1200|0.048|270|0.035|30|4|6|0.2|0.89|2.78</x:v>
      </x:c>
      <x:c r="V368" t="str">
        <x:f>'零售物流假设'!D9&amp;"|"&amp;'零售物流假设'!E9&amp;"|"&amp;'零售物流假设'!F9&amp;"|"&amp;'零售物流假设'!G9&amp;"|"&amp;'零售物流假设'!H9&amp;"|"&amp;'零售物流假设'!I9&amp;"|"&amp;'零售物流假设'!J9&amp;"|"&amp;'零售物流假设'!K9&amp;"|"&amp;'零售物流假设'!L9&amp;"|"&amp;'零售物流假设'!M9</x:f>
        <x:v>1200|0.048|270|0.035|30|4|6|0.2|0.89|2.78</x:v>
      </x:c>
    </x:row>
    <x:row r="369" ht="23" customHeight="1">
      <x:c r="A369" s="11" t="str">
        <x:v>09618.HK</x:v>
      </x:c>
      <x:c r="B369" s="11" t="str">
        <x:v>京东集团-SW</x:v>
      </x:c>
      <x:c r="C369" s="11" t="str">
        <x:v>2026年底</x:v>
      </x:c>
      <x:c r="D369" s="11" t="str">
        <x:v>乐观</x:v>
      </x:c>
      <x:c r="E369" s="11" t="n">
        <x:v>105.6</x:v>
      </x:c>
      <x:c r="F369" s="11" t="n">
        <x:v>260.78</x:v>
      </x:c>
      <x:c r="G369" s="11" t="n">
        <x:v>0</x:v>
      </x:c>
      <x:c r="H369" s="25" t="n">
        <x:v>1.4695075757575755</x:v>
      </x:c>
      <x:c r="I369" s="25" t="n">
        <x:v>1.4695075757575755</x:v>
      </x:c>
      <x:c r="J369" s="25" t="str"/>
      <x:c r="K369" s="11" t="n">
        <x:v>15.805</x:v>
      </x:c>
      <x:c r="L369" s="11" t="n">
        <x:v>15</x:v>
      </x:c>
      <x:c r="M369" s="11" t="n">
        <x:v>1.1</x:v>
      </x:c>
      <x:c r="N369" s="11" t="n">
        <x:v>0</x:v>
      </x:c>
      <x:c r="O369" s="11" t="str"/>
      <x:c r="P369" s="11" t="str"/>
      <x:c r="Q369" s="11" t="str"/>
      <x:c r="R369" s="11" t="str">
        <x:v>jd-three-segment-normalized-v1.0</x:v>
      </x:c>
      <x:c r="S369" s="11" t="str">
        <x:v>2026-10-10</x:v>
      </x:c>
      <x:c r="T369" s="11" t="str">
        <x:f>IF(AND(SUM(IF(K369='假设'!E490,0,1),IF(L369='假设'!F490,0,1),IF(M369='假设'!G490,0,1),IF(N369='假设'!H490,0,1),IF(O369='假设'!I490,0,1),IF(P369='假设'!J490,0,1),IF(Q369='假设'!K490,0,1))=0,U369=V369),"已刷新","待刷新")</x:f>
        <x:v>已刷新</x:v>
      </x:c>
      <x:c r="U369" t="str">
        <x:v>1250|0.052|290|0.045|22|4|7|0.2|0.91|2.72</x:v>
      </x:c>
      <x:c r="V369" t="str">
        <x:f>'零售物流假设'!D10&amp;"|"&amp;'零售物流假设'!E10&amp;"|"&amp;'零售物流假设'!F10&amp;"|"&amp;'零售物流假设'!G10&amp;"|"&amp;'零售物流假设'!H10&amp;"|"&amp;'零售物流假设'!I10&amp;"|"&amp;'零售物流假设'!J10&amp;"|"&amp;'零售物流假设'!K10&amp;"|"&amp;'零售物流假设'!L10&amp;"|"&amp;'零售物流假设'!M10</x:f>
        <x:v>1250|0.052|290|0.045|22|4|7|0.2|0.91|2.72</x:v>
      </x:c>
    </x:row>
    <x:row r="370" ht="23" customHeight="1">
      <x:c r="A370" s="11" t="str">
        <x:v>09618.HK</x:v>
      </x:c>
      <x:c r="B370" s="11" t="str">
        <x:v>京东集团-SW</x:v>
      </x:c>
      <x:c r="C370" s="11" t="str">
        <x:v>半年</x:v>
      </x:c>
      <x:c r="D370" s="11" t="str">
        <x:v>悲观</x:v>
      </x:c>
      <x:c r="E370" s="11" t="n">
        <x:v>105.6</x:v>
      </x:c>
      <x:c r="F370" s="11" t="n">
        <x:v>51.69</x:v>
      </x:c>
      <x:c r="G370" s="11" t="n">
        <x:v>0</x:v>
      </x:c>
      <x:c r="H370" s="25" t="n">
        <x:v>-0.5105113636363636</x:v>
      </x:c>
      <x:c r="I370" s="25" t="n">
        <x:v>-0.5105113636363636</x:v>
      </x:c>
      <x:c r="J370" s="25" t="str"/>
      <x:c r="K370" s="11" t="n">
        <x:v>5.221</x:v>
      </x:c>
      <x:c r="L370" s="11" t="n">
        <x:v>9</x:v>
      </x:c>
      <x:c r="M370" s="11" t="n">
        <x:v>1.1</x:v>
      </x:c>
      <x:c r="N370" s="11" t="n">
        <x:v>0</x:v>
      </x:c>
      <x:c r="O370" s="11" t="str"/>
      <x:c r="P370" s="11" t="str"/>
      <x:c r="Q370" s="11" t="str"/>
      <x:c r="R370" s="11" t="str">
        <x:v>jd-three-segment-normalized-v1.0</x:v>
      </x:c>
      <x:c r="S370" s="11" t="str">
        <x:v>2026-10-10</x:v>
      </x:c>
      <x:c r="T370" s="11" t="str">
        <x:f>IF(AND(SUM(IF(K370='假设'!E492,0,1),IF(L370='假设'!F492,0,1),IF(M370='假设'!G492,0,1),IF(N370='假设'!H492,0,1),IF(O370='假设'!I492,0,1),IF(P370='假设'!J492,0,1),IF(Q370='假设'!K492,0,1))=0,U370=V370),"已刷新","待刷新")</x:f>
        <x:v>已刷新</x:v>
      </x:c>
      <x:c r="U370" t="str">
        <x:v>1120|0.043|255|0.033|34|5|5|0.2|0.85|2.94</x:v>
      </x:c>
      <x:c r="V370" t="str">
        <x:f>'零售物流假设'!D12&amp;"|"&amp;'零售物流假设'!E12&amp;"|"&amp;'零售物流假设'!F12&amp;"|"&amp;'零售物流假设'!G12&amp;"|"&amp;'零售物流假设'!H12&amp;"|"&amp;'零售物流假设'!I12&amp;"|"&amp;'零售物流假设'!J12&amp;"|"&amp;'零售物流假设'!K12&amp;"|"&amp;'零售物流假设'!L12&amp;"|"&amp;'零售物流假设'!M12</x:f>
        <x:v>1120|0.043|255|0.033|34|5|5|0.2|0.85|2.94</x:v>
      </x:c>
    </x:row>
    <x:row r="371" ht="23" customHeight="1">
      <x:c r="A371" s="11" t="str">
        <x:v>09618.HK</x:v>
      </x:c>
      <x:c r="B371" s="11" t="str">
        <x:v>京东集团-SW</x:v>
      </x:c>
      <x:c r="C371" s="11" t="str">
        <x:v>半年</x:v>
      </x:c>
      <x:c r="D371" s="11" t="str">
        <x:v>基准</x:v>
      </x:c>
      <x:c r="E371" s="11" t="n">
        <x:v>105.6</x:v>
      </x:c>
      <x:c r="F371" s="11" t="n">
        <x:v>155.71</x:v>
      </x:c>
      <x:c r="G371" s="11" t="n">
        <x:v>0</x:v>
      </x:c>
      <x:c r="H371" s="25" t="n">
        <x:v>0.4745265151515152</x:v>
      </x:c>
      <x:c r="I371" s="25" t="n">
        <x:v>0.4745265151515152</x:v>
      </x:c>
      <x:c r="J371" s="25" t="str"/>
      <x:c r="K371" s="11" t="n">
        <x:v>11.796</x:v>
      </x:c>
      <x:c r="L371" s="11" t="n">
        <x:v>12</x:v>
      </x:c>
      <x:c r="M371" s="11" t="n">
        <x:v>1.1</x:v>
      </x:c>
      <x:c r="N371" s="11" t="n">
        <x:v>0</x:v>
      </x:c>
      <x:c r="O371" s="11" t="str"/>
      <x:c r="P371" s="11" t="str"/>
      <x:c r="Q371" s="11" t="str"/>
      <x:c r="R371" s="11" t="str">
        <x:v>jd-three-segment-normalized-v1.0</x:v>
      </x:c>
      <x:c r="S371" s="11" t="str">
        <x:v>2026-10-10</x:v>
      </x:c>
      <x:c r="T371" s="11" t="str">
        <x:f>IF(AND(SUM(IF(K371='假设'!E493,0,1),IF(L371='假设'!F493,0,1),IF(M371='假设'!G493,0,1),IF(N371='假设'!H493,0,1),IF(O371='假设'!I493,0,1),IF(P371='假设'!J493,0,1),IF(Q371='假设'!K493,0,1))=0,U371=V371),"已刷新","待刷新")</x:f>
        <x:v>已刷新</x:v>
      </x:c>
      <x:c r="U371" t="str">
        <x:v>1230|0.05|285|0.036|28|4.2|6|0.2|0.89|2.75</x:v>
      </x:c>
      <x:c r="V371" t="str">
        <x:f>'零售物流假设'!D13&amp;"|"&amp;'零售物流假设'!E13&amp;"|"&amp;'零售物流假设'!F13&amp;"|"&amp;'零售物流假设'!G13&amp;"|"&amp;'零售物流假设'!H13&amp;"|"&amp;'零售物流假设'!I13&amp;"|"&amp;'零售物流假设'!J13&amp;"|"&amp;'零售物流假设'!K13&amp;"|"&amp;'零售物流假设'!L13&amp;"|"&amp;'零售物流假设'!M13</x:f>
        <x:v>1230|0.05|285|0.036|28|4.2|6|0.2|0.89|2.75</x:v>
      </x:c>
    </x:row>
    <x:row r="372" ht="23" customHeight="1">
      <x:c r="A372" s="11" t="str">
        <x:v>09618.HK</x:v>
      </x:c>
      <x:c r="B372" s="11" t="str">
        <x:v>京东集团-SW</x:v>
      </x:c>
      <x:c r="C372" s="11" t="str">
        <x:v>半年</x:v>
      </x:c>
      <x:c r="D372" s="11" t="str">
        <x:v>乐观</x:v>
      </x:c>
      <x:c r="E372" s="11" t="n">
        <x:v>105.6</x:v>
      </x:c>
      <x:c r="F372" s="11" t="n">
        <x:v>335</x:v>
      </x:c>
      <x:c r="G372" s="11" t="n">
        <x:v>0</x:v>
      </x:c>
      <x:c r="H372" s="25" t="n">
        <x:v>2.172348484848485</x:v>
      </x:c>
      <x:c r="I372" s="25" t="n">
        <x:v>2.172348484848485</x:v>
      </x:c>
      <x:c r="J372" s="25" t="str"/>
      <x:c r="K372" s="11" t="n">
        <x:v>19.034</x:v>
      </x:c>
      <x:c r="L372" s="11" t="n">
        <x:v>16</x:v>
      </x:c>
      <x:c r="M372" s="11" t="n">
        <x:v>1.1</x:v>
      </x:c>
      <x:c r="N372" s="11" t="n">
        <x:v>0</x:v>
      </x:c>
      <x:c r="O372" s="11" t="str"/>
      <x:c r="P372" s="11" t="str"/>
      <x:c r="Q372" s="11" t="str"/>
      <x:c r="R372" s="11" t="str">
        <x:v>jd-three-segment-normalized-v1.0</x:v>
      </x:c>
      <x:c r="S372" s="11" t="str">
        <x:v>2026-10-10</x:v>
      </x:c>
      <x:c r="T372" s="11" t="str">
        <x:f>IF(AND(SUM(IF(K372='假设'!E494,0,1),IF(L372='假设'!F494,0,1),IF(M372='假设'!G494,0,1),IF(N372='假设'!H494,0,1),IF(O372='假设'!I494,0,1),IF(P372='假设'!J494,0,1),IF(Q372='假设'!K494,0,1))=0,U372=V372),"已刷新","待刷新")</x:f>
        <x:v>已刷新</x:v>
      </x:c>
      <x:c r="U372" t="str">
        <x:v>1300|0.054|310|0.047|18|4.2|7.5|0.2|0.91|2.68</x:v>
      </x:c>
      <x:c r="V372" t="str">
        <x:f>'零售物流假设'!D14&amp;"|"&amp;'零售物流假设'!E14&amp;"|"&amp;'零售物流假设'!F14&amp;"|"&amp;'零售物流假设'!G14&amp;"|"&amp;'零售物流假设'!H14&amp;"|"&amp;'零售物流假设'!I14&amp;"|"&amp;'零售物流假设'!J14&amp;"|"&amp;'零售物流假设'!K14&amp;"|"&amp;'零售物流假设'!L14&amp;"|"&amp;'零售物流假设'!M14</x:f>
        <x:v>1300|0.054|310|0.047|18|4.2|7.5|0.2|0.91|2.68</x:v>
      </x:c>
    </x:row>
    <x:row r="373" ht="23" customHeight="1">
      <x:c r="A373" s="11" t="str">
        <x:v>09618.HK</x:v>
      </x:c>
      <x:c r="B373" s="11" t="str">
        <x:v>京东集团-SW</x:v>
      </x:c>
      <x:c r="C373" s="11" t="str">
        <x:v>一年</x:v>
      </x:c>
      <x:c r="D373" s="11" t="str">
        <x:v>悲观</x:v>
      </x:c>
      <x:c r="E373" s="11" t="n">
        <x:v>105.6</x:v>
      </x:c>
      <x:c r="F373" s="11" t="n">
        <x:v>49.9</x:v>
      </x:c>
      <x:c r="G373" s="11" t="n">
        <x:v>2.5</x:v>
      </x:c>
      <x:c r="H373" s="25" t="n">
        <x:v>-0.5274621212121212</x:v>
      </x:c>
      <x:c r="I373" s="25" t="n">
        <x:v>-0.5037878787878788</x:v>
      </x:c>
      <x:c r="J373" s="25" t="str"/>
      <x:c r="K373" s="11" t="n">
        <x:v>5.04</x:v>
      </x:c>
      <x:c r="L373" s="11" t="n">
        <x:v>9</x:v>
      </x:c>
      <x:c r="M373" s="11" t="n">
        <x:v>1.1</x:v>
      </x:c>
      <x:c r="N373" s="11" t="n">
        <x:v>2.5</x:v>
      </x:c>
      <x:c r="O373" s="11" t="str"/>
      <x:c r="P373" s="11" t="str"/>
      <x:c r="Q373" s="11" t="str"/>
      <x:c r="R373" s="11" t="str">
        <x:v>jd-three-segment-normalized-v1.0</x:v>
      </x:c>
      <x:c r="S373" s="11" t="str">
        <x:v>2026-10-10</x:v>
      </x:c>
      <x:c r="T373" s="11" t="str">
        <x:f>IF(AND(SUM(IF(K373='假设'!E496,0,1),IF(L373='假设'!F496,0,1),IF(M373='假设'!G496,0,1),IF(N373='假设'!H496,0,1),IF(O373='假设'!I496,0,1),IF(P373='假设'!J496,0,1),IF(Q373='假设'!K496,0,1))=0,U373=V373),"已刷新","待刷新")</x:f>
        <x:v>已刷新</x:v>
      </x:c>
      <x:c r="U373" t="str">
        <x:v>1160|0.042|270|0.032|35|5.2|5|0.2|0.85|2.99</x:v>
      </x:c>
      <x:c r="V373" t="str">
        <x:f>'零售物流假设'!D16&amp;"|"&amp;'零售物流假设'!E16&amp;"|"&amp;'零售物流假设'!F16&amp;"|"&amp;'零售物流假设'!G16&amp;"|"&amp;'零售物流假设'!H16&amp;"|"&amp;'零售物流假设'!I16&amp;"|"&amp;'零售物流假设'!J16&amp;"|"&amp;'零售物流假设'!K16&amp;"|"&amp;'零售物流假设'!L16&amp;"|"&amp;'零售物流假设'!M16</x:f>
        <x:v>1160|0.042|270|0.032|35|5.2|5|0.2|0.85|2.99</x:v>
      </x:c>
    </x:row>
    <x:row r="374" ht="23" customHeight="1">
      <x:c r="A374" s="11" t="str">
        <x:v>09618.HK</x:v>
      </x:c>
      <x:c r="B374" s="11" t="str">
        <x:v>京东集团-SW</x:v>
      </x:c>
      <x:c r="C374" s="11" t="str">
        <x:v>一年</x:v>
      </x:c>
      <x:c r="D374" s="11" t="str">
        <x:v>基准</x:v>
      </x:c>
      <x:c r="E374" s="11" t="n">
        <x:v>105.6</x:v>
      </x:c>
      <x:c r="F374" s="11" t="n">
        <x:v>169.05</x:v>
      </x:c>
      <x:c r="G374" s="11" t="n">
        <x:v>4</x:v>
      </x:c>
      <x:c r="H374" s="25" t="n">
        <x:v>0.6008522727272729</x:v>
      </x:c>
      <x:c r="I374" s="25" t="n">
        <x:v>0.6387310606060608</x:v>
      </x:c>
      <x:c r="J374" s="25" t="str"/>
      <x:c r="K374" s="11" t="n">
        <x:v>12.807</x:v>
      </x:c>
      <x:c r="L374" s="11" t="n">
        <x:v>12</x:v>
      </x:c>
      <x:c r="M374" s="11" t="n">
        <x:v>1.1</x:v>
      </x:c>
      <x:c r="N374" s="11" t="n">
        <x:v>4</x:v>
      </x:c>
      <x:c r="O374" s="11" t="str"/>
      <x:c r="P374" s="11" t="str"/>
      <x:c r="Q374" s="11" t="str"/>
      <x:c r="R374" s="11" t="str">
        <x:v>jd-three-segment-normalized-v1.0</x:v>
      </x:c>
      <x:c r="S374" s="11" t="str">
        <x:v>2026-10-10</x:v>
      </x:c>
      <x:c r="T374" s="11" t="str">
        <x:f>IF(AND(SUM(IF(K374='假设'!E497,0,1),IF(L374='假设'!F497,0,1),IF(M374='假设'!G497,0,1),IF(N374='假设'!H497,0,1),IF(O374='假设'!I497,0,1),IF(P374='假设'!J497,0,1),IF(Q374='假设'!K497,0,1))=0,U374=V374),"已刷新","待刷新")</x:f>
        <x:v>待刷新</x:v>
      </x:c>
      <x:c r="U374" t="str">
        <x:v>1280|0.05|305|0.037|28|4.5|6.5|0.2|0.89|2.74</x:v>
      </x:c>
      <x:c r="V374" t="str">
        <x:f>'零售物流假设'!D17&amp;"|"&amp;'零售物流假设'!E17&amp;"|"&amp;'零售物流假设'!F17&amp;"|"&amp;'零售物流假设'!G17&amp;"|"&amp;'零售物流假设'!H17&amp;"|"&amp;'零售物流假设'!I17&amp;"|"&amp;'零售物流假设'!J17&amp;"|"&amp;'零售物流假设'!K17&amp;"|"&amp;'零售物流假设'!L17&amp;"|"&amp;'零售物流假设'!M17</x:f>
        <x:v>1280|0.060000000000000005|305|0.037|28|4.5|6.5|0.2|0.89|2.74</x:v>
      </x:c>
    </x:row>
    <x:row r="375" ht="23" customHeight="1">
      <x:c r="A375" s="11" t="str">
        <x:v>09618.HK</x:v>
      </x:c>
      <x:c r="B375" s="11" t="str">
        <x:v>京东集团-SW</x:v>
      </x:c>
      <x:c r="C375" s="11" t="str">
        <x:v>一年</x:v>
      </x:c>
      <x:c r="D375" s="11" t="str">
        <x:v>乐观</x:v>
      </x:c>
      <x:c r="E375" s="11" t="n">
        <x:v>105.6</x:v>
      </x:c>
      <x:c r="F375" s="11" t="n">
        <x:v>393.11</x:v>
      </x:c>
      <x:c r="G375" s="11" t="n">
        <x:v>5</x:v>
      </x:c>
      <x:c r="H375" s="25" t="n">
        <x:v>2.7226325757575762</x:v>
      </x:c>
      <x:c r="I375" s="25" t="n">
        <x:v>2.769981060606061</x:v>
      </x:c>
      <x:c r="J375" s="25" t="str"/>
      <x:c r="K375" s="11" t="n">
        <x:v>22.336</x:v>
      </x:c>
      <x:c r="L375" s="11" t="n">
        <x:v>16</x:v>
      </x:c>
      <x:c r="M375" s="11" t="n">
        <x:v>1.1</x:v>
      </x:c>
      <x:c r="N375" s="11" t="n">
        <x:v>5</x:v>
      </x:c>
      <x:c r="O375" s="11" t="str"/>
      <x:c r="P375" s="11" t="str"/>
      <x:c r="Q375" s="11" t="str"/>
      <x:c r="R375" s="11" t="str">
        <x:v>jd-three-segment-normalized-v1.0</x:v>
      </x:c>
      <x:c r="S375" s="11" t="str">
        <x:v>2026-10-10</x:v>
      </x:c>
      <x:c r="T375" s="11" t="str">
        <x:f>IF(AND(SUM(IF(K375='假设'!E498,0,1),IF(L375='假设'!F498,0,1),IF(M375='假设'!G498,0,1),IF(N375='假设'!H498,0,1),IF(O375='假设'!I498,0,1),IF(P375='假设'!J498,0,1),IF(Q375='假设'!K498,0,1))=0,U375=V375),"已刷新","待刷新")</x:f>
        <x:v>已刷新</x:v>
      </x:c>
      <x:c r="U375" t="str">
        <x:v>1380|0.055|340|0.048|15|4.8|8|0.2|0.92|2.65</x:v>
      </x:c>
      <x:c r="V375" t="str">
        <x:f>'零售物流假设'!D18&amp;"|"&amp;'零售物流假设'!E18&amp;"|"&amp;'零售物流假设'!F18&amp;"|"&amp;'零售物流假设'!G18&amp;"|"&amp;'零售物流假设'!H18&amp;"|"&amp;'零售物流假设'!I18&amp;"|"&amp;'零售物流假设'!J18&amp;"|"&amp;'零售物流假设'!K18&amp;"|"&amp;'零售物流假设'!L18&amp;"|"&amp;'零售物流假设'!M18</x:f>
        <x:v>1380|0.055|340|0.048|15|4.8|8|0.2|0.92|2.65</x:v>
      </x:c>
    </x:row>
    <x:row r="376" ht="23" customHeight="1">
      <x:c r="A376" s="11" t="str">
        <x:v>09618.HK</x:v>
      </x:c>
      <x:c r="B376" s="11" t="str">
        <x:v>京东集团-SW</x:v>
      </x:c>
      <x:c r="C376" s="11" t="str">
        <x:v>三年</x:v>
      </x:c>
      <x:c r="D376" s="11" t="str">
        <x:v>悲观</x:v>
      </x:c>
      <x:c r="E376" s="11" t="n">
        <x:v>105.6</x:v>
      </x:c>
      <x:c r="F376" s="11" t="n">
        <x:v>48.26</x:v>
      </x:c>
      <x:c r="G376" s="11" t="n">
        <x:v>7.5</x:v>
      </x:c>
      <x:c r="H376" s="25" t="n">
        <x:v>-0.5429924242424242</x:v>
      </x:c>
      <x:c r="I376" s="25" t="n">
        <x:v>-0.47196969696969693</x:v>
      </x:c>
      <x:c r="J376" s="25" t="n">
        <x:v>-0.1917365338204987</x:v>
      </x:c>
      <x:c r="K376" s="11" t="n">
        <x:v>5.484</x:v>
      </x:c>
      <x:c r="L376" s="11" t="n">
        <x:v>8</x:v>
      </x:c>
      <x:c r="M376" s="11" t="n">
        <x:v>1.1</x:v>
      </x:c>
      <x:c r="N376" s="11" t="n">
        <x:v>7.5</x:v>
      </x:c>
      <x:c r="O376" s="11" t="str"/>
      <x:c r="P376" s="11" t="str"/>
      <x:c r="Q376" s="11" t="str"/>
      <x:c r="R376" s="11" t="str">
        <x:v>jd-three-segment-normalized-v1.0</x:v>
      </x:c>
      <x:c r="S376" s="11" t="str">
        <x:v>2026-10-10</x:v>
      </x:c>
      <x:c r="T376" s="11" t="str">
        <x:f>IF(AND(SUM(IF(K376='假设'!E500,0,1),IF(L376='假设'!F500,0,1),IF(M376='假设'!G500,0,1),IF(N376='假设'!H500,0,1),IF(O376='假设'!I500,0,1),IF(P376='假设'!J500,0,1),IF(Q376='假设'!K500,0,1))=0,U376=V376),"已刷新","待刷新")</x:f>
        <x:v>已刷新</x:v>
      </x:c>
      <x:c r="U376" t="str">
        <x:v>1230|0.04|320|0.03|32|6|4.5|0.2|0.84|3.1</x:v>
      </x:c>
      <x:c r="V376" t="str">
        <x:f>'零售物流假设'!D20&amp;"|"&amp;'零售物流假设'!E20&amp;"|"&amp;'零售物流假设'!F20&amp;"|"&amp;'零售物流假设'!G20&amp;"|"&amp;'零售物流假设'!H20&amp;"|"&amp;'零售物流假设'!I20&amp;"|"&amp;'零售物流假设'!J20&amp;"|"&amp;'零售物流假设'!K20&amp;"|"&amp;'零售物流假设'!L20&amp;"|"&amp;'零售物流假设'!M20</x:f>
        <x:v>1230|0.04|320|0.03|32|6|4.5|0.2|0.84|3.1</x:v>
      </x:c>
    </x:row>
    <x:row r="377" ht="23" customHeight="1">
      <x:c r="A377" s="11" t="str">
        <x:v>09618.HK</x:v>
      </x:c>
      <x:c r="B377" s="11" t="str">
        <x:v>京东集团-SW</x:v>
      </x:c>
      <x:c r="C377" s="11" t="str">
        <x:v>三年</x:v>
      </x:c>
      <x:c r="D377" s="11" t="str">
        <x:v>基准</x:v>
      </x:c>
      <x:c r="E377" s="11" t="n">
        <x:v>105.6</x:v>
      </x:c>
      <x:c r="F377" s="11" t="n">
        <x:v>312.81</x:v>
      </x:c>
      <x:c r="G377" s="11" t="n">
        <x:v>14</x:v>
      </x:c>
      <x:c r="H377" s="25" t="n">
        <x:v>1.9622159090909093</x:v>
      </x:c>
      <x:c r="I377" s="25" t="n">
        <x:v>2.094791666666667</x:v>
      </x:c>
      <x:c r="J377" s="25" t="n">
        <x:v>0.45728268996706056</x:v>
      </x:c>
      <x:c r="K377" s="11" t="n">
        <x:v>21.875</x:v>
      </x:c>
      <x:c r="L377" s="11" t="n">
        <x:v>13</x:v>
      </x:c>
      <x:c r="M377" s="11" t="n">
        <x:v>1.1</x:v>
      </x:c>
      <x:c r="N377" s="11" t="n">
        <x:v>14</x:v>
      </x:c>
      <x:c r="O377" s="11" t="str"/>
      <x:c r="P377" s="11" t="str"/>
      <x:c r="Q377" s="11" t="str"/>
      <x:c r="R377" s="11" t="str">
        <x:v>jd-three-segment-normalized-v1.0</x:v>
      </x:c>
      <x:c r="S377" s="11" t="str">
        <x:v>2026-10-10</x:v>
      </x:c>
      <x:c r="T377" s="11" t="str">
        <x:f>IF(AND(SUM(IF(K377='假设'!E501,0,1),IF(L377='假设'!F501,0,1),IF(M377='假设'!G501,0,1),IF(N377='假设'!H501,0,1),IF(O377='假设'!I501,0,1),IF(P377='假设'!J501,0,1),IF(Q377='假设'!K501,0,1))=0,U377=V377),"已刷新","待刷新")</x:f>
        <x:v>已刷新</x:v>
      </x:c>
      <x:c r="U377" t="str">
        <x:v>1500|0.054|390|0.04|18|5.5|6.5|0.2|0.9|2.62</x:v>
      </x:c>
      <x:c r="V377" t="str">
        <x:f>'零售物流假设'!D21&amp;"|"&amp;'零售物流假设'!E21&amp;"|"&amp;'零售物流假设'!F21&amp;"|"&amp;'零售物流假设'!G21&amp;"|"&amp;'零售物流假设'!H21&amp;"|"&amp;'零售物流假设'!I21&amp;"|"&amp;'零售物流假设'!J21&amp;"|"&amp;'零售物流假设'!K21&amp;"|"&amp;'零售物流假设'!L21&amp;"|"&amp;'零售物流假设'!M21</x:f>
        <x:v>1500|0.054|390|0.04|18|5.5|6.5|0.2|0.9|2.62</x:v>
      </x:c>
    </x:row>
    <x:row r="378" ht="23" customHeight="1">
      <x:c r="A378" s="11" t="str">
        <x:v>09618.HK</x:v>
      </x:c>
      <x:c r="B378" s="11" t="str">
        <x:v>京东集团-SW</x:v>
      </x:c>
      <x:c r="C378" s="11" t="str">
        <x:v>三年</x:v>
      </x:c>
      <x:c r="D378" s="11" t="str">
        <x:v>乐观</x:v>
      </x:c>
      <x:c r="E378" s="11" t="n">
        <x:v>105.6</x:v>
      </x:c>
      <x:c r="F378" s="11" t="n">
        <x:v>722.92</x:v>
      </x:c>
      <x:c r="G378" s="11" t="n">
        <x:v>20</x:v>
      </x:c>
      <x:c r="H378" s="25" t="n">
        <x:v>5.845833333333333</x:v>
      </x:c>
      <x:c r="I378" s="25" t="n">
        <x:v>6.035227272727273</x:v>
      </x:c>
      <x:c r="J378" s="25" t="n">
        <x:v>0.9161347361972991</x:v>
      </x:c>
      <x:c r="K378" s="11" t="n">
        <x:v>41.075</x:v>
      </x:c>
      <x:c r="L378" s="11" t="n">
        <x:v>16</x:v>
      </x:c>
      <x:c r="M378" s="11" t="n">
        <x:v>1.1</x:v>
      </x:c>
      <x:c r="N378" s="11" t="n">
        <x:v>20</x:v>
      </x:c>
      <x:c r="O378" s="11" t="str"/>
      <x:c r="P378" s="11" t="str"/>
      <x:c r="Q378" s="11" t="str"/>
      <x:c r="R378" s="11" t="str">
        <x:v>jd-three-segment-normalized-v1.0</x:v>
      </x:c>
      <x:c r="S378" s="11" t="str">
        <x:v>2026-10-10</x:v>
      </x:c>
      <x:c r="T378" s="11" t="str">
        <x:f>IF(AND(SUM(IF(K378='假设'!E502,0,1),IF(L378='假设'!F502,0,1),IF(M378='假设'!G502,0,1),IF(N378='假设'!H502,0,1),IF(O378='假设'!I502,0,1),IF(P378='假设'!J502,0,1),IF(Q378='假设'!K502,0,1))=0,U378=V378),"已刷新","待刷新")</x:f>
        <x:v>已刷新</x:v>
      </x:c>
      <x:c r="U378" t="str">
        <x:v>1730|0.062|500|0.055|2|6.5|9|0.2|0.93|2.45</x:v>
      </x:c>
      <x:c r="V378" t="str">
        <x:f>'零售物流假设'!D22&amp;"|"&amp;'零售物流假设'!E22&amp;"|"&amp;'零售物流假设'!F22&amp;"|"&amp;'零售物流假设'!G22&amp;"|"&amp;'零售物流假设'!H22&amp;"|"&amp;'零售物流假设'!I22&amp;"|"&amp;'零售物流假设'!J22&amp;"|"&amp;'零售物流假设'!K22&amp;"|"&amp;'零售物流假设'!L22&amp;"|"&amp;'零售物流假设'!M22</x:f>
        <x:v>1730|0.062|500|0.055|2|6.5|9|0.2|0.93|2.45</x:v>
      </x:c>
    </x:row>
    <x:row r="379" ht="23" customHeight="1">
      <x:c r="A379" s="11" t="str">
        <x:v>09618.HK</x:v>
      </x:c>
      <x:c r="B379" s="11" t="str">
        <x:v>京东集团-SW</x:v>
      </x:c>
      <x:c r="C379" s="11" t="str">
        <x:v>五年</x:v>
      </x:c>
      <x:c r="D379" s="11" t="str">
        <x:v>悲观</x:v>
      </x:c>
      <x:c r="E379" s="11" t="n">
        <x:v>105.6</x:v>
      </x:c>
      <x:c r="F379" s="11" t="n">
        <x:v>54.23</x:v>
      </x:c>
      <x:c r="G379" s="11" t="n">
        <x:v>12</x:v>
      </x:c>
      <x:c r="H379" s="25" t="n">
        <x:v>-0.4864583333333333</x:v>
      </x:c>
      <x:c r="I379" s="25" t="n">
        <x:v>-0.3728219696969698</x:v>
      </x:c>
      <x:c r="J379" s="25" t="n">
        <x:v>-0.08908434197144544</x:v>
      </x:c>
      <x:c r="K379" s="11" t="n">
        <x:v>6.162</x:v>
      </x:c>
      <x:c r="L379" s="11" t="n">
        <x:v>8</x:v>
      </x:c>
      <x:c r="M379" s="11" t="n">
        <x:v>1.1</x:v>
      </x:c>
      <x:c r="N379" s="11" t="n">
        <x:v>12</x:v>
      </x:c>
      <x:c r="O379" s="11" t="str"/>
      <x:c r="P379" s="11" t="str"/>
      <x:c r="Q379" s="11" t="str"/>
      <x:c r="R379" s="11" t="str">
        <x:v>jd-three-segment-normalized-v1.0</x:v>
      </x:c>
      <x:c r="S379" s="11" t="str">
        <x:v>2026-10-10</x:v>
      </x:c>
      <x:c r="T379" s="11" t="str">
        <x:f>IF(AND(SUM(IF(K379='假设'!E504,0,1),IF(L379='假设'!F504,0,1),IF(M379='假设'!G504,0,1),IF(N379='假设'!H504,0,1),IF(O379='假设'!I504,0,1),IF(P379='假设'!J504,0,1),IF(Q379='假设'!K504,0,1))=0,U379=V379),"已刷新","待刷新")</x:f>
        <x:v>已刷新</x:v>
      </x:c>
      <x:c r="U379" t="str">
        <x:v>1300|0.038|380|0.03|28|7|4|0.2|0.84|3.25</x:v>
      </x:c>
      <x:c r="V379" t="str">
        <x:f>'零售物流假设'!D24&amp;"|"&amp;'零售物流假设'!E24&amp;"|"&amp;'零售物流假设'!F24&amp;"|"&amp;'零售物流假设'!G24&amp;"|"&amp;'零售物流假设'!H24&amp;"|"&amp;'零售物流假设'!I24&amp;"|"&amp;'零售物流假设'!J24&amp;"|"&amp;'零售物流假设'!K24&amp;"|"&amp;'零售物流假设'!L24&amp;"|"&amp;'零售物流假设'!M24</x:f>
        <x:v>1300|0.038|380|0.03|28|7|4|0.2|0.84|3.25</x:v>
      </x:c>
    </x:row>
    <x:row r="380" ht="23" customHeight="1">
      <x:c r="A380" s="11" t="str">
        <x:v>09618.HK</x:v>
      </x:c>
      <x:c r="B380" s="11" t="str">
        <x:v>京东集团-SW</x:v>
      </x:c>
      <x:c r="C380" s="11" t="str">
        <x:v>五年</x:v>
      </x:c>
      <x:c r="D380" s="11" t="str">
        <x:v>基准</x:v>
      </x:c>
      <x:c r="E380" s="11" t="n">
        <x:v>105.6</x:v>
      </x:c>
      <x:c r="F380" s="11" t="n">
        <x:v>423.34</x:v>
      </x:c>
      <x:c r="G380" s="11" t="n">
        <x:v>27</x:v>
      </x:c>
      <x:c r="H380" s="25" t="n">
        <x:v>3.008901515151515</x:v>
      </x:c>
      <x:c r="I380" s="25" t="n">
        <x:v>3.2645833333333334</x:v>
      </x:c>
      <x:c r="J380" s="25" t="n">
        <x:v>0.33651956617582446</x:v>
      </x:c>
      <x:c r="K380" s="11" t="n">
        <x:v>29.604</x:v>
      </x:c>
      <x:c r="L380" s="11" t="n">
        <x:v>13</x:v>
      </x:c>
      <x:c r="M380" s="11" t="n">
        <x:v>1.1</x:v>
      </x:c>
      <x:c r="N380" s="11" t="n">
        <x:v>27</x:v>
      </x:c>
      <x:c r="O380" s="11" t="str"/>
      <x:c r="P380" s="11" t="str"/>
      <x:c r="Q380" s="11" t="str"/>
      <x:c r="R380" s="11" t="str">
        <x:v>jd-three-segment-normalized-v1.0</x:v>
      </x:c>
      <x:c r="S380" s="11" t="str">
        <x:v>2026-10-10</x:v>
      </x:c>
      <x:c r="T380" s="11" t="str">
        <x:f>IF(AND(SUM(IF(K380='假设'!E505,0,1),IF(L380='假设'!F505,0,1),IF(M380='假设'!G505,0,1),IF(N380='假设'!H505,0,1),IF(O380='假设'!I505,0,1),IF(P380='假设'!J505,0,1),IF(Q380='假设'!K505,0,1))=0,U380=V380),"已刷新","待刷新")</x:f>
        <x:v>已刷新</x:v>
      </x:c>
      <x:c r="U380" t="str">
        <x:v>1680|0.056|470|0.043|12|7|7.5|0.2|0.9|2.5</x:v>
      </x:c>
      <x:c r="V380" t="str">
        <x:f>'零售物流假设'!D25&amp;"|"&amp;'零售物流假设'!E25&amp;"|"&amp;'零售物流假设'!F25&amp;"|"&amp;'零售物流假设'!G25&amp;"|"&amp;'零售物流假设'!H25&amp;"|"&amp;'零售物流假设'!I25&amp;"|"&amp;'零售物流假设'!J25&amp;"|"&amp;'零售物流假设'!K25&amp;"|"&amp;'零售物流假设'!L25&amp;"|"&amp;'零售物流假设'!M25</x:f>
        <x:v>1680|0.056|470|0.043|12|7|7.5|0.2|0.9|2.5</x:v>
      </x:c>
    </x:row>
    <x:row r="381" ht="23" customHeight="1">
      <x:c r="A381" s="11" t="str">
        <x:v>09618.HK</x:v>
      </x:c>
      <x:c r="B381" s="11" t="str">
        <x:v>京东集团-SW</x:v>
      </x:c>
      <x:c r="C381" s="11" t="str">
        <x:v>五年</x:v>
      </x:c>
      <x:c r="D381" s="11" t="str">
        <x:v>乐观</x:v>
      </x:c>
      <x:c r="E381" s="11" t="n">
        <x:v>105.6</x:v>
      </x:c>
      <x:c r="F381" s="11" t="n">
        <x:v>1050.19</x:v>
      </x:c>
      <x:c r="G381" s="11" t="n">
        <x:v>42</x:v>
      </x:c>
      <x:c r="H381" s="25" t="n">
        <x:v>8.944981060606061</x:v>
      </x:c>
      <x:c r="I381" s="25" t="n">
        <x:v>9.342708333333334</x:v>
      </x:c>
      <x:c r="J381" s="25" t="n">
        <x:v>0.5956103897277438</x:v>
      </x:c>
      <x:c r="K381" s="11" t="n">
        <x:v>59.67</x:v>
      </x:c>
      <x:c r="L381" s="11" t="n">
        <x:v>16</x:v>
      </x:c>
      <x:c r="M381" s="11" t="n">
        <x:v>1.1</x:v>
      </x:c>
      <x:c r="N381" s="11" t="n">
        <x:v>42</x:v>
      </x:c>
      <x:c r="O381" s="11" t="str"/>
      <x:c r="P381" s="11" t="str"/>
      <x:c r="Q381" s="11" t="str"/>
      <x:c r="R381" s="11" t="str">
        <x:v>jd-three-segment-normalized-v1.0</x:v>
      </x:c>
      <x:c r="S381" s="11" t="str">
        <x:v>2026-10-10</x:v>
      </x:c>
      <x:c r="T381" s="11" t="str">
        <x:f>IF(AND(SUM(IF(K381='假设'!E506,0,1),IF(L381='假设'!F506,0,1),IF(M381='假设'!G506,0,1),IF(N381='假设'!H506,0,1),IF(O381='假设'!I506,0,1),IF(P381='假设'!J506,0,1),IF(Q381='假设'!K506,0,1))=0,U381=V381),"已刷新","待刷新")</x:f>
        <x:v>已刷新</x:v>
      </x:c>
      <x:c r="U381" t="str">
        <x:v>2100|0.065|650|0.06|-5|9|11|0.2|0.94|2.3</x:v>
      </x:c>
      <x:c r="V381" t="str">
        <x:f>'零售物流假设'!D26&amp;"|"&amp;'零售物流假设'!E26&amp;"|"&amp;'零售物流假设'!F26&amp;"|"&amp;'零售物流假设'!G26&amp;"|"&amp;'零售物流假设'!H26&amp;"|"&amp;'零售物流假设'!I26&amp;"|"&amp;'零售物流假设'!J26&amp;"|"&amp;'零售物流假设'!K26&amp;"|"&amp;'零售物流假设'!L26&amp;"|"&amp;'零售物流假设'!M26</x:f>
        <x:v>2100|0.065|650|0.06|-5|9|11|0.2|0.94|2.3</x:v>
      </x:c>
    </x:row>
    <x:row r="382" ht="23" customHeight="1">
      <x:c r="A382" s="11" t="str">
        <x:v>688356.SH</x:v>
      </x:c>
      <x:c r="B382" s="11" t="str">
        <x:v>键凯科技</x:v>
      </x:c>
      <x:c r="C382" s="11" t="str">
        <x:v>2026年底</x:v>
      </x:c>
      <x:c r="D382" s="11" t="str">
        <x:v>悲观</x:v>
      </x:c>
      <x:c r="E382" s="11" t="n">
        <x:v>107.9</x:v>
      </x:c>
      <x:c r="F382" s="11" t="n">
        <x:v>36.75</x:v>
      </x:c>
      <x:c r="G382" s="11" t="n">
        <x:v>0</x:v>
      </x:c>
      <x:c r="H382" s="25" t="n">
        <x:v>-0.6594068582020389</x:v>
      </x:c>
      <x:c r="I382" s="25" t="n">
        <x:v>-0.6594068582020389</x:v>
      </x:c>
      <x:c r="J382" s="25" t="str"/>
      <x:c r="K382" s="11" t="n">
        <x:v>1.05</x:v>
      </x:c>
      <x:c r="L382" s="11" t="n">
        <x:v>35</x:v>
      </x:c>
      <x:c r="M382" s="11" t="n">
        <x:v>1</x:v>
      </x:c>
      <x:c r="N382" s="11" t="n">
        <x:v>0</x:v>
      </x:c>
      <x:c r="O382" s="11" t="str"/>
      <x:c r="P382" s="11" t="str"/>
      <x:c r="Q382" s="11" t="str"/>
      <x:c r="R382" s="11" t="str">
        <x:v>jenkem-normalized-pe-v1.0</x:v>
      </x:c>
      <x:c r="S382" s="11" t="str">
        <x:v>2026-10-10</x:v>
      </x:c>
      <x:c r="T382" s="11" t="str">
        <x:f>IF(AND(SUM(IF(K382='假设'!E508,0,1),IF(L382='假设'!F508,0,1),IF(M382='假设'!G508,0,1),IF(N382='假设'!H508,0,1),IF(O382='假设'!I508,0,1),IF(P382='假设'!J508,0,1),IF(Q382='假设'!K508,0,1))=0,U382=V382),"已刷新","待刷新")</x:f>
        <x:v>已刷新</x:v>
      </x:c>
    </x:row>
    <x:row r="383" ht="23" customHeight="1">
      <x:c r="A383" s="11" t="str">
        <x:v>688356.SH</x:v>
      </x:c>
      <x:c r="B383" s="11" t="str">
        <x:v>键凯科技</x:v>
      </x:c>
      <x:c r="C383" s="11" t="str">
        <x:v>2026年底</x:v>
      </x:c>
      <x:c r="D383" s="11" t="str">
        <x:v>基准</x:v>
      </x:c>
      <x:c r="E383" s="11" t="n">
        <x:v>107.9</x:v>
      </x:c>
      <x:c r="F383" s="11" t="n">
        <x:v>96</x:v>
      </x:c>
      <x:c r="G383" s="11" t="n">
        <x:v>0</x:v>
      </x:c>
      <x:c r="H383" s="25" t="n">
        <x:v>-0.11028730305838741</x:v>
      </x:c>
      <x:c r="I383" s="25" t="n">
        <x:v>-0.11028730305838741</x:v>
      </x:c>
      <x:c r="J383" s="25" t="str"/>
      <x:c r="K383" s="11" t="n">
        <x:v>2</x:v>
      </x:c>
      <x:c r="L383" s="11" t="n">
        <x:v>48</x:v>
      </x:c>
      <x:c r="M383" s="11" t="n">
        <x:v>1</x:v>
      </x:c>
      <x:c r="N383" s="11" t="n">
        <x:v>0</x:v>
      </x:c>
      <x:c r="O383" s="11" t="str"/>
      <x:c r="P383" s="11" t="str"/>
      <x:c r="Q383" s="11" t="str"/>
      <x:c r="R383" s="11" t="str">
        <x:v>jenkem-normalized-pe-v1.0</x:v>
      </x:c>
      <x:c r="S383" s="11" t="str">
        <x:v>2026-10-10</x:v>
      </x:c>
      <x:c r="T383" s="11" t="str">
        <x:f>IF(AND(SUM(IF(K383='假设'!E509,0,1),IF(L383='假设'!F509,0,1),IF(M383='假设'!G509,0,1),IF(N383='假设'!H509,0,1),IF(O383='假设'!I509,0,1),IF(P383='假设'!J509,0,1),IF(Q383='假设'!K509,0,1))=0,U383=V383),"已刷新","待刷新")</x:f>
        <x:v>已刷新</x:v>
      </x:c>
    </x:row>
    <x:row r="384" ht="23" customHeight="1">
      <x:c r="A384" s="11" t="str">
        <x:v>688356.SH</x:v>
      </x:c>
      <x:c r="B384" s="11" t="str">
        <x:v>键凯科技</x:v>
      </x:c>
      <x:c r="C384" s="11" t="str">
        <x:v>2026年底</x:v>
      </x:c>
      <x:c r="D384" s="11" t="str">
        <x:v>乐观</x:v>
      </x:c>
      <x:c r="E384" s="11" t="n">
        <x:v>107.9</x:v>
      </x:c>
      <x:c r="F384" s="11" t="n">
        <x:v>147</x:v>
      </x:c>
      <x:c r="G384" s="11" t="n">
        <x:v>0</x:v>
      </x:c>
      <x:c r="H384" s="25" t="n">
        <x:v>0.3623725671918443</x:v>
      </x:c>
      <x:c r="I384" s="25" t="n">
        <x:v>0.3623725671918443</x:v>
      </x:c>
      <x:c r="J384" s="25" t="str"/>
      <x:c r="K384" s="11" t="n">
        <x:v>2.45</x:v>
      </x:c>
      <x:c r="L384" s="11" t="n">
        <x:v>60</x:v>
      </x:c>
      <x:c r="M384" s="11" t="n">
        <x:v>1</x:v>
      </x:c>
      <x:c r="N384" s="11" t="n">
        <x:v>0</x:v>
      </x:c>
      <x:c r="O384" s="11" t="str"/>
      <x:c r="P384" s="11" t="str"/>
      <x:c r="Q384" s="11" t="str"/>
      <x:c r="R384" s="11" t="str">
        <x:v>jenkem-normalized-pe-v1.0</x:v>
      </x:c>
      <x:c r="S384" s="11" t="str">
        <x:v>2026-10-10</x:v>
      </x:c>
      <x:c r="T384" s="11" t="str">
        <x:f>IF(AND(SUM(IF(K384='假设'!E510,0,1),IF(L384='假设'!F510,0,1),IF(M384='假设'!G510,0,1),IF(N384='假设'!H510,0,1),IF(O384='假设'!I510,0,1),IF(P384='假设'!J510,0,1),IF(Q384='假设'!K510,0,1))=0,U384=V384),"已刷新","待刷新")</x:f>
        <x:v>已刷新</x:v>
      </x:c>
    </x:row>
    <x:row r="385" ht="23" customHeight="1">
      <x:c r="A385" s="11" t="str">
        <x:v>688356.SH</x:v>
      </x:c>
      <x:c r="B385" s="11" t="str">
        <x:v>键凯科技</x:v>
      </x:c>
      <x:c r="C385" s="11" t="str">
        <x:v>半年</x:v>
      </x:c>
      <x:c r="D385" s="11" t="str">
        <x:v>悲观</x:v>
      </x:c>
      <x:c r="E385" s="11" t="n">
        <x:v>107.9</x:v>
      </x:c>
      <x:c r="F385" s="11" t="n">
        <x:v>35.2</x:v>
      </x:c>
      <x:c r="G385" s="11" t="n">
        <x:v>0</x:v>
      </x:c>
      <x:c r="H385" s="25" t="n">
        <x:v>-0.6737720111214087</x:v>
      </x:c>
      <x:c r="I385" s="25" t="n">
        <x:v>-0.6737720111214087</x:v>
      </x:c>
      <x:c r="J385" s="25" t="str"/>
      <x:c r="K385" s="11" t="n">
        <x:v>1.1</x:v>
      </x:c>
      <x:c r="L385" s="11" t="n">
        <x:v>32</x:v>
      </x:c>
      <x:c r="M385" s="11" t="n">
        <x:v>1</x:v>
      </x:c>
      <x:c r="N385" s="11" t="n">
        <x:v>0</x:v>
      </x:c>
      <x:c r="O385" s="11" t="str"/>
      <x:c r="P385" s="11" t="str"/>
      <x:c r="Q385" s="11" t="str"/>
      <x:c r="R385" s="11" t="str">
        <x:v>jenkem-normalized-pe-v1.0</x:v>
      </x:c>
      <x:c r="S385" s="11" t="str">
        <x:v>2026-10-10</x:v>
      </x:c>
      <x:c r="T385" s="11" t="str">
        <x:f>IF(AND(SUM(IF(K385='假设'!E512,0,1),IF(L385='假设'!F512,0,1),IF(M385='假设'!G512,0,1),IF(N385='假设'!H512,0,1),IF(O385='假设'!I512,0,1),IF(P385='假设'!J512,0,1),IF(Q385='假设'!K512,0,1))=0,U385=V385),"已刷新","待刷新")</x:f>
        <x:v>已刷新</x:v>
      </x:c>
    </x:row>
    <x:row r="386" ht="23" customHeight="1">
      <x:c r="A386" s="11" t="str">
        <x:v>688356.SH</x:v>
      </x:c>
      <x:c r="B386" s="11" t="str">
        <x:v>键凯科技</x:v>
      </x:c>
      <x:c r="C386" s="11" t="str">
        <x:v>半年</x:v>
      </x:c>
      <x:c r="D386" s="11" t="str">
        <x:v>基准</x:v>
      </x:c>
      <x:c r="E386" s="11" t="n">
        <x:v>107.9</x:v>
      </x:c>
      <x:c r="F386" s="11" t="n">
        <x:v>100.80000000000001</x:v>
      </x:c>
      <x:c r="G386" s="11" t="n">
        <x:v>0</x:v>
      </x:c>
      <x:c r="H386" s="25" t="n">
        <x:v>-0.06580166821130673</x:v>
      </x:c>
      <x:c r="I386" s="25" t="n">
        <x:v>-0.06580166821130673</x:v>
      </x:c>
      <x:c r="J386" s="25" t="str"/>
      <x:c r="K386" s="11" t="n">
        <x:v>2.1</x:v>
      </x:c>
      <x:c r="L386" s="11" t="n">
        <x:v>48</x:v>
      </x:c>
      <x:c r="M386" s="11" t="n">
        <x:v>1</x:v>
      </x:c>
      <x:c r="N386" s="11" t="n">
        <x:v>0</x:v>
      </x:c>
      <x:c r="O386" s="11" t="str"/>
      <x:c r="P386" s="11" t="str"/>
      <x:c r="Q386" s="11" t="str"/>
      <x:c r="R386" s="11" t="str">
        <x:v>jenkem-normalized-pe-v1.0</x:v>
      </x:c>
      <x:c r="S386" s="11" t="str">
        <x:v>2026-10-10</x:v>
      </x:c>
      <x:c r="T386" s="11" t="str">
        <x:f>IF(AND(SUM(IF(K386='假设'!E513,0,1),IF(L386='假设'!F513,0,1),IF(M386='假设'!G513,0,1),IF(N386='假设'!H513,0,1),IF(O386='假设'!I513,0,1),IF(P386='假设'!J513,0,1),IF(Q386='假设'!K513,0,1))=0,U386=V386),"已刷新","待刷新")</x:f>
        <x:v>已刷新</x:v>
      </x:c>
    </x:row>
    <x:row r="387" ht="23" customHeight="1">
      <x:c r="A387" s="11" t="str">
        <x:v>688356.SH</x:v>
      </x:c>
      <x:c r="B387" s="11" t="str">
        <x:v>键凯科技</x:v>
      </x:c>
      <x:c r="C387" s="11" t="str">
        <x:v>半年</x:v>
      </x:c>
      <x:c r="D387" s="11" t="str">
        <x:v>乐观</x:v>
      </x:c>
      <x:c r="E387" s="11" t="n">
        <x:v>107.9</x:v>
      </x:c>
      <x:c r="F387" s="11" t="n">
        <x:v>173.6</x:v>
      </x:c>
      <x:c r="G387" s="11" t="n">
        <x:v>0</x:v>
      </x:c>
      <x:c r="H387" s="25" t="n">
        <x:v>0.6088971269694159</x:v>
      </x:c>
      <x:c r="I387" s="25" t="n">
        <x:v>0.6088971269694159</x:v>
      </x:c>
      <x:c r="J387" s="25" t="str"/>
      <x:c r="K387" s="11" t="n">
        <x:v>2.8</x:v>
      </x:c>
      <x:c r="L387" s="11" t="n">
        <x:v>62</x:v>
      </x:c>
      <x:c r="M387" s="11" t="n">
        <x:v>1</x:v>
      </x:c>
      <x:c r="N387" s="11" t="n">
        <x:v>0</x:v>
      </x:c>
      <x:c r="O387" s="11" t="str"/>
      <x:c r="P387" s="11" t="str"/>
      <x:c r="Q387" s="11" t="str"/>
      <x:c r="R387" s="11" t="str">
        <x:v>jenkem-normalized-pe-v1.0</x:v>
      </x:c>
      <x:c r="S387" s="11" t="str">
        <x:v>2026-10-10</x:v>
      </x:c>
      <x:c r="T387" s="11" t="str">
        <x:f>IF(AND(SUM(IF(K387='假设'!E514,0,1),IF(L387='假设'!F514,0,1),IF(M387='假设'!G514,0,1),IF(N387='假设'!H514,0,1),IF(O387='假设'!I514,0,1),IF(P387='假设'!J514,0,1),IF(Q387='假设'!K514,0,1))=0,U387=V387),"已刷新","待刷新")</x:f>
        <x:v>已刷新</x:v>
      </x:c>
    </x:row>
    <x:row r="388" ht="23" customHeight="1">
      <x:c r="A388" s="11" t="str">
        <x:v>688356.SH</x:v>
      </x:c>
      <x:c r="B388" s="11" t="str">
        <x:v>键凯科技</x:v>
      </x:c>
      <x:c r="C388" s="11" t="str">
        <x:v>一年</x:v>
      </x:c>
      <x:c r="D388" s="11" t="str">
        <x:v>悲观</x:v>
      </x:c>
      <x:c r="E388" s="11" t="n">
        <x:v>107.9</x:v>
      </x:c>
      <x:c r="F388" s="11" t="n">
        <x:v>36</x:v>
      </x:c>
      <x:c r="G388" s="11" t="n">
        <x:v>0.12</x:v>
      </x:c>
      <x:c r="H388" s="25" t="n">
        <x:v>-0.6663577386468953</x:v>
      </x:c>
      <x:c r="I388" s="25" t="n">
        <x:v>-0.6652455977757183</x:v>
      </x:c>
      <x:c r="J388" s="25" t="str"/>
      <x:c r="K388" s="11" t="n">
        <x:v>1.2</x:v>
      </x:c>
      <x:c r="L388" s="11" t="n">
        <x:v>30</x:v>
      </x:c>
      <x:c r="M388" s="11" t="n">
        <x:v>1</x:v>
      </x:c>
      <x:c r="N388" s="11" t="n">
        <x:v>0.12</x:v>
      </x:c>
      <x:c r="O388" s="11" t="str"/>
      <x:c r="P388" s="11" t="str"/>
      <x:c r="Q388" s="11" t="str"/>
      <x:c r="R388" s="11" t="str">
        <x:v>jenkem-normalized-pe-v1.0</x:v>
      </x:c>
      <x:c r="S388" s="11" t="str">
        <x:v>2026-10-10</x:v>
      </x:c>
      <x:c r="T388" s="11" t="str">
        <x:f>IF(AND(SUM(IF(K388='假设'!E516,0,1),IF(L388='假设'!F516,0,1),IF(M388='假设'!G516,0,1),IF(N388='假设'!H516,0,1),IF(O388='假设'!I516,0,1),IF(P388='假设'!J516,0,1),IF(Q388='假设'!K516,0,1))=0,U388=V388),"已刷新","待刷新")</x:f>
        <x:v>已刷新</x:v>
      </x:c>
    </x:row>
    <x:row r="389" ht="23" customHeight="1">
      <x:c r="A389" s="11" t="str">
        <x:v>688356.SH</x:v>
      </x:c>
      <x:c r="B389" s="11" t="str">
        <x:v>键凯科技</x:v>
      </x:c>
      <x:c r="C389" s="11" t="str">
        <x:v>一年</x:v>
      </x:c>
      <x:c r="D389" s="11" t="str">
        <x:v>基准</x:v>
      </x:c>
      <x:c r="E389" s="11" t="n">
        <x:v>107.9</x:v>
      </x:c>
      <x:c r="F389" s="11" t="n">
        <x:v>117</x:v>
      </x:c>
      <x:c r="G389" s="11" t="n">
        <x:v>0.32</x:v>
      </x:c>
      <x:c r="H389" s="25" t="n">
        <x:v>0.0843373493975903</x:v>
      </x:c>
      <x:c r="I389" s="25" t="n">
        <x:v>0.08730305838739572</x:v>
      </x:c>
      <x:c r="J389" s="25" t="str"/>
      <x:c r="K389" s="11" t="n">
        <x:v>2.6</x:v>
      </x:c>
      <x:c r="L389" s="11" t="n">
        <x:v>45</x:v>
      </x:c>
      <x:c r="M389" s="11" t="n">
        <x:v>1</x:v>
      </x:c>
      <x:c r="N389" s="11" t="n">
        <x:v>0.32</x:v>
      </x:c>
      <x:c r="O389" s="11" t="str"/>
      <x:c r="P389" s="11" t="str"/>
      <x:c r="Q389" s="11" t="str"/>
      <x:c r="R389" s="11" t="str">
        <x:v>jenkem-normalized-pe-v1.0</x:v>
      </x:c>
      <x:c r="S389" s="11" t="str">
        <x:v>2026-10-10</x:v>
      </x:c>
      <x:c r="T389" s="11" t="str">
        <x:f>IF(AND(SUM(IF(K389='假设'!E517,0,1),IF(L389='假设'!F517,0,1),IF(M389='假设'!G517,0,1),IF(N389='假设'!H517,0,1),IF(O389='假设'!I517,0,1),IF(P389='假设'!J517,0,1),IF(Q389='假设'!K517,0,1))=0,U389=V389),"已刷新","待刷新")</x:f>
        <x:v>已刷新</x:v>
      </x:c>
    </x:row>
    <x:row r="390" ht="23" customHeight="1">
      <x:c r="A390" s="11" t="str">
        <x:v>688356.SH</x:v>
      </x:c>
      <x:c r="B390" s="11" t="str">
        <x:v>键凯科技</x:v>
      </x:c>
      <x:c r="C390" s="11" t="str">
        <x:v>一年</x:v>
      </x:c>
      <x:c r="D390" s="11" t="str">
        <x:v>乐观</x:v>
      </x:c>
      <x:c r="E390" s="11" t="n">
        <x:v>107.9</x:v>
      </x:c>
      <x:c r="F390" s="11" t="n">
        <x:v>197.2</x:v>
      </x:c>
      <x:c r="G390" s="11" t="n">
        <x:v>0.45</x:v>
      </x:c>
      <x:c r="H390" s="25" t="n">
        <x:v>0.8276181649675625</x:v>
      </x:c>
      <x:c r="I390" s="25" t="n">
        <x:v>0.831788693234476</x:v>
      </x:c>
      <x:c r="J390" s="25" t="str"/>
      <x:c r="K390" s="11" t="n">
        <x:v>3.4</x:v>
      </x:c>
      <x:c r="L390" s="11" t="n">
        <x:v>58</x:v>
      </x:c>
      <x:c r="M390" s="11" t="n">
        <x:v>1</x:v>
      </x:c>
      <x:c r="N390" s="11" t="n">
        <x:v>0.45</x:v>
      </x:c>
      <x:c r="O390" s="11" t="str"/>
      <x:c r="P390" s="11" t="str"/>
      <x:c r="Q390" s="11" t="str"/>
      <x:c r="R390" s="11" t="str">
        <x:v>jenkem-normalized-pe-v1.0</x:v>
      </x:c>
      <x:c r="S390" s="11" t="str">
        <x:v>2026-10-10</x:v>
      </x:c>
      <x:c r="T390" s="11" t="str">
        <x:f>IF(AND(SUM(IF(K390='假设'!E518,0,1),IF(L390='假设'!F518,0,1),IF(M390='假设'!G518,0,1),IF(N390='假设'!H518,0,1),IF(O390='假设'!I518,0,1),IF(P390='假设'!J518,0,1),IF(Q390='假设'!K518,0,1))=0,U390=V390),"已刷新","待刷新")</x:f>
        <x:v>已刷新</x:v>
      </x:c>
    </x:row>
    <x:row r="391" ht="23" customHeight="1">
      <x:c r="A391" s="11" t="str">
        <x:v>688356.SH</x:v>
      </x:c>
      <x:c r="B391" s="11" t="str">
        <x:v>键凯科技</x:v>
      </x:c>
      <x:c r="C391" s="11" t="str">
        <x:v>三年</x:v>
      </x:c>
      <x:c r="D391" s="11" t="str">
        <x:v>悲观</x:v>
      </x:c>
      <x:c r="E391" s="11" t="n">
        <x:v>107.9</x:v>
      </x:c>
      <x:c r="F391" s="11" t="n">
        <x:v>39</x:v>
      </x:c>
      <x:c r="G391" s="11" t="n">
        <x:v>0.4</x:v>
      </x:c>
      <x:c r="H391" s="25" t="n">
        <x:v>-0.6385542168674698</x:v>
      </x:c>
      <x:c r="I391" s="25" t="n">
        <x:v>-0.6348470806302131</x:v>
      </x:c>
      <x:c r="J391" s="25" t="n">
        <x:v>-0.2852432605001921</x:v>
      </x:c>
      <x:c r="K391" s="11" t="n">
        <x:v>1.5</x:v>
      </x:c>
      <x:c r="L391" s="11" t="n">
        <x:v>26</x:v>
      </x:c>
      <x:c r="M391" s="11" t="n">
        <x:v>1</x:v>
      </x:c>
      <x:c r="N391" s="11" t="n">
        <x:v>0.4</x:v>
      </x:c>
      <x:c r="O391" s="11" t="str"/>
      <x:c r="P391" s="11" t="str"/>
      <x:c r="Q391" s="11" t="str"/>
      <x:c r="R391" s="11" t="str">
        <x:v>jenkem-normalized-pe-v1.0</x:v>
      </x:c>
      <x:c r="S391" s="11" t="str">
        <x:v>2026-10-10</x:v>
      </x:c>
      <x:c r="T391" s="11" t="str">
        <x:f>IF(AND(SUM(IF(K391='假设'!E520,0,1),IF(L391='假设'!F520,0,1),IF(M391='假设'!G520,0,1),IF(N391='假设'!H520,0,1),IF(O391='假设'!I520,0,1),IF(P391='假设'!J520,0,1),IF(Q391='假设'!K520,0,1))=0,U391=V391),"已刷新","待刷新")</x:f>
        <x:v>已刷新</x:v>
      </x:c>
    </x:row>
    <x:row r="392" ht="23" customHeight="1">
      <x:c r="A392" s="11" t="str">
        <x:v>688356.SH</x:v>
      </x:c>
      <x:c r="B392" s="11" t="str">
        <x:v>键凯科技</x:v>
      </x:c>
      <x:c r="C392" s="11" t="str">
        <x:v>三年</x:v>
      </x:c>
      <x:c r="D392" s="11" t="str">
        <x:v>基准</x:v>
      </x:c>
      <x:c r="E392" s="11" t="n">
        <x:v>107.9</x:v>
      </x:c>
      <x:c r="F392" s="11" t="n">
        <x:v>152</x:v>
      </x:c>
      <x:c r="G392" s="11" t="n">
        <x:v>1.2</x:v>
      </x:c>
      <x:c r="H392" s="25" t="n">
        <x:v>0.4087117701575531</x:v>
      </x:c>
      <x:c r="I392" s="25" t="n">
        <x:v>0.41983317886932325</x:v>
      </x:c>
      <x:c r="J392" s="25" t="n">
        <x:v>0.1239468475320491</x:v>
      </x:c>
      <x:c r="K392" s="11" t="n">
        <x:v>3.8</x:v>
      </x:c>
      <x:c r="L392" s="11" t="n">
        <x:v>40</x:v>
      </x:c>
      <x:c r="M392" s="11" t="n">
        <x:v>1</x:v>
      </x:c>
      <x:c r="N392" s="11" t="n">
        <x:v>1.2</x:v>
      </x:c>
      <x:c r="O392" s="11" t="str"/>
      <x:c r="P392" s="11" t="str"/>
      <x:c r="Q392" s="11" t="str"/>
      <x:c r="R392" s="11" t="str">
        <x:v>jenkem-normalized-pe-v1.0</x:v>
      </x:c>
      <x:c r="S392" s="11" t="str">
        <x:v>2026-10-10</x:v>
      </x:c>
      <x:c r="T392" s="11" t="str">
        <x:f>IF(AND(SUM(IF(K392='假设'!E521,0,1),IF(L392='假设'!F521,0,1),IF(M392='假设'!G521,0,1),IF(N392='假设'!H521,0,1),IF(O392='假设'!I521,0,1),IF(P392='假设'!J521,0,1),IF(Q392='假设'!K521,0,1))=0,U392=V392),"已刷新","待刷新")</x:f>
        <x:v>已刷新</x:v>
      </x:c>
    </x:row>
    <x:row r="393" ht="23" customHeight="1">
      <x:c r="A393" s="11" t="str">
        <x:v>688356.SH</x:v>
      </x:c>
      <x:c r="B393" s="11" t="str">
        <x:v>键凯科技</x:v>
      </x:c>
      <x:c r="C393" s="11" t="str">
        <x:v>三年</x:v>
      </x:c>
      <x:c r="D393" s="11" t="str">
        <x:v>乐观</x:v>
      </x:c>
      <x:c r="E393" s="11" t="n">
        <x:v>107.9</x:v>
      </x:c>
      <x:c r="F393" s="11" t="n">
        <x:v>312</x:v>
      </x:c>
      <x:c r="G393" s="11" t="n">
        <x:v>2</x:v>
      </x:c>
      <x:c r="H393" s="25" t="n">
        <x:v>1.891566265060241</x:v>
      </x:c>
      <x:c r="I393" s="25" t="n">
        <x:v>1.9101019462465243</x:v>
      </x:c>
      <x:c r="J393" s="25" t="n">
        <x:v>0.42769706855659373</x:v>
      </x:c>
      <x:c r="K393" s="11" t="n">
        <x:v>6</x:v>
      </x:c>
      <x:c r="L393" s="11" t="n">
        <x:v>52</x:v>
      </x:c>
      <x:c r="M393" s="11" t="n">
        <x:v>1</x:v>
      </x:c>
      <x:c r="N393" s="11" t="n">
        <x:v>2</x:v>
      </x:c>
      <x:c r="O393" s="11" t="str"/>
      <x:c r="P393" s="11" t="str"/>
      <x:c r="Q393" s="11" t="str"/>
      <x:c r="R393" s="11" t="str">
        <x:v>jenkem-normalized-pe-v1.0</x:v>
      </x:c>
      <x:c r="S393" s="11" t="str">
        <x:v>2026-10-10</x:v>
      </x:c>
      <x:c r="T393" s="11" t="str">
        <x:f>IF(AND(SUM(IF(K393='假设'!E522,0,1),IF(L393='假设'!F522,0,1),IF(M393='假设'!G522,0,1),IF(N393='假设'!H522,0,1),IF(O393='假设'!I522,0,1),IF(P393='假设'!J522,0,1),IF(Q393='假设'!K522,0,1))=0,U393=V393),"已刷新","待刷新")</x:f>
        <x:v>已刷新</x:v>
      </x:c>
    </x:row>
    <x:row r="394" ht="23" customHeight="1">
      <x:c r="A394" s="11" t="str">
        <x:v>688356.SH</x:v>
      </x:c>
      <x:c r="B394" s="11" t="str">
        <x:v>键凯科技</x:v>
      </x:c>
      <x:c r="C394" s="11" t="str">
        <x:v>五年</x:v>
      </x:c>
      <x:c r="D394" s="11" t="str">
        <x:v>悲观</x:v>
      </x:c>
      <x:c r="E394" s="11" t="n">
        <x:v>107.9</x:v>
      </x:c>
      <x:c r="F394" s="11" t="n">
        <x:v>37.4</x:v>
      </x:c>
      <x:c r="G394" s="11" t="n">
        <x:v>0.8</x:v>
      </x:c>
      <x:c r="H394" s="25" t="n">
        <x:v>-0.6533827618164968</x:v>
      </x:c>
      <x:c r="I394" s="25" t="n">
        <x:v>-0.6459684893419834</x:v>
      </x:c>
      <x:c r="J394" s="25" t="n">
        <x:v>-0.1875280360898376</x:v>
      </x:c>
      <x:c r="K394" s="11" t="n">
        <x:v>1.7</x:v>
      </x:c>
      <x:c r="L394" s="11" t="n">
        <x:v>22</x:v>
      </x:c>
      <x:c r="M394" s="11" t="n">
        <x:v>1</x:v>
      </x:c>
      <x:c r="N394" s="11" t="n">
        <x:v>0.8</x:v>
      </x:c>
      <x:c r="O394" s="11" t="str"/>
      <x:c r="P394" s="11" t="str"/>
      <x:c r="Q394" s="11" t="str"/>
      <x:c r="R394" s="11" t="str">
        <x:v>jenkem-normalized-pe-v1.0</x:v>
      </x:c>
      <x:c r="S394" s="11" t="str">
        <x:v>2026-10-10</x:v>
      </x:c>
      <x:c r="T394" s="11" t="str">
        <x:f>IF(AND(SUM(IF(K394='假设'!E524,0,1),IF(L394='假设'!F524,0,1),IF(M394='假设'!G524,0,1),IF(N394='假设'!H524,0,1),IF(O394='假设'!I524,0,1),IF(P394='假设'!J524,0,1),IF(Q394='假设'!K524,0,1))=0,U394=V394),"已刷新","待刷新")</x:f>
        <x:v>已刷新</x:v>
      </x:c>
    </x:row>
    <x:row r="395" ht="23" customHeight="1">
      <x:c r="A395" s="11" t="str">
        <x:v>688356.SH</x:v>
      </x:c>
      <x:c r="B395" s="11" t="str">
        <x:v>键凯科技</x:v>
      </x:c>
      <x:c r="C395" s="11" t="str">
        <x:v>五年</x:v>
      </x:c>
      <x:c r="D395" s="11" t="str">
        <x:v>基准</x:v>
      </x:c>
      <x:c r="E395" s="11" t="n">
        <x:v>107.9</x:v>
      </x:c>
      <x:c r="F395" s="11" t="n">
        <x:v>175</x:v>
      </x:c>
      <x:c r="G395" s="11" t="n">
        <x:v>2.6</x:v>
      </x:c>
      <x:c r="H395" s="25" t="n">
        <x:v>0.6218721037998145</x:v>
      </x:c>
      <x:c r="I395" s="25" t="n">
        <x:v>0.6459684893419833</x:v>
      </x:c>
      <x:c r="J395" s="25" t="n">
        <x:v>0.10480162245064739</x:v>
      </x:c>
      <x:c r="K395" s="11" t="n">
        <x:v>5</x:v>
      </x:c>
      <x:c r="L395" s="11" t="n">
        <x:v>35</x:v>
      </x:c>
      <x:c r="M395" s="11" t="n">
        <x:v>1</x:v>
      </x:c>
      <x:c r="N395" s="11" t="n">
        <x:v>2.6</x:v>
      </x:c>
      <x:c r="O395" s="11" t="str"/>
      <x:c r="P395" s="11" t="str"/>
      <x:c r="Q395" s="11" t="str"/>
      <x:c r="R395" s="11" t="str">
        <x:v>jenkem-normalized-pe-v1.0</x:v>
      </x:c>
      <x:c r="S395" s="11" t="str">
        <x:v>2026-10-10</x:v>
      </x:c>
      <x:c r="T395" s="11" t="str">
        <x:f>IF(AND(SUM(IF(K395='假设'!E525,0,1),IF(L395='假设'!F525,0,1),IF(M395='假设'!G525,0,1),IF(N395='假设'!H525,0,1),IF(O395='假设'!I525,0,1),IF(P395='假设'!J525,0,1),IF(Q395='假设'!K525,0,1))=0,U395=V395),"已刷新","待刷新")</x:f>
        <x:v>已刷新</x:v>
      </x:c>
    </x:row>
    <x:row r="396" ht="23" customHeight="1">
      <x:c r="A396" s="11" t="str">
        <x:v>688356.SH</x:v>
      </x:c>
      <x:c r="B396" s="11" t="str">
        <x:v>键凯科技</x:v>
      </x:c>
      <x:c r="C396" s="11" t="str">
        <x:v>五年</x:v>
      </x:c>
      <x:c r="D396" s="11" t="str">
        <x:v>乐观</x:v>
      </x:c>
      <x:c r="E396" s="11" t="n">
        <x:v>107.9</x:v>
      </x:c>
      <x:c r="F396" s="11" t="n">
        <x:v>360</x:v>
      </x:c>
      <x:c r="G396" s="11" t="n">
        <x:v>4.5</x:v>
      </x:c>
      <x:c r="H396" s="25" t="n">
        <x:v>2.336422613531047</x:v>
      </x:c>
      <x:c r="I396" s="25" t="n">
        <x:v>2.3781278962001853</x:v>
      </x:c>
      <x:c r="J396" s="25" t="n">
        <x:v>0.275660821653805</x:v>
      </x:c>
      <x:c r="K396" s="11" t="n">
        <x:v>8</x:v>
      </x:c>
      <x:c r="L396" s="11" t="n">
        <x:v>45</x:v>
      </x:c>
      <x:c r="M396" s="11" t="n">
        <x:v>1</x:v>
      </x:c>
      <x:c r="N396" s="11" t="n">
        <x:v>4.5</x:v>
      </x:c>
      <x:c r="O396" s="11" t="str"/>
      <x:c r="P396" s="11" t="str"/>
      <x:c r="Q396" s="11" t="str"/>
      <x:c r="R396" s="11" t="str">
        <x:v>jenkem-normalized-pe-v1.0</x:v>
      </x:c>
      <x:c r="S396" s="11" t="str">
        <x:v>2026-10-10</x:v>
      </x:c>
      <x:c r="T396" s="11" t="str">
        <x:f>IF(AND(SUM(IF(K396='假设'!E526,0,1),IF(L396='假设'!F526,0,1),IF(M396='假设'!G526,0,1),IF(N396='假设'!H526,0,1),IF(O396='假设'!I526,0,1),IF(P396='假设'!J526,0,1),IF(Q396='假设'!K526,0,1))=0,U396=V396),"已刷新","待刷新")</x:f>
        <x:v>已刷新</x:v>
      </x:c>
    </x:row>
    <x:row r="397" ht="23" customHeight="1">
      <x:c r="A397" s="11" t="str">
        <x:v>02162.HK</x:v>
      </x:c>
      <x:c r="B397" s="11" t="str">
        <x:v>康诺亚-B</x:v>
      </x:c>
      <x:c r="C397" s="11" t="str">
        <x:v>2026年底</x:v>
      </x:c>
      <x:c r="D397" s="11" t="str">
        <x:v>悲观</x:v>
      </x:c>
      <x:c r="E397" s="11" t="n">
        <x:v>78.3</x:v>
      </x:c>
      <x:c r="F397" s="11" t="n">
        <x:v>54.079427146870316</x:v>
      </x:c>
      <x:c r="G397" s="11" t="n">
        <x:v>0</x:v>
      </x:c>
      <x:c r="H397" s="25" t="n">
        <x:v>-0.3093304323515924</x:v>
      </x:c>
      <x:c r="I397" s="25" t="n">
        <x:v>-0.3093304323515924</x:v>
      </x:c>
      <x:c r="J397" s="25" t="str"/>
      <x:c r="K397" s="11" t="n">
        <x:v>0</x:v>
      </x:c>
      <x:c r="L397" s="11" t="n">
        <x:v>0</x:v>
      </x:c>
      <x:c r="M397" s="11" t="n">
        <x:v>1.1</x:v>
      </x:c>
      <x:c r="N397" s="11" t="n">
        <x:v>0</x:v>
      </x:c>
      <x:c r="O397" s="11" t="n">
        <x:v>0</x:v>
      </x:c>
      <x:c r="P397" s="11" t="n">
        <x:v>0</x:v>
      </x:c>
      <x:c r="Q397" s="11" t="n">
        <x:v>0.302</x:v>
      </x:c>
      <x:c r="R397" s="11" t="str">
        <x:v>keymed-v2-finite-assets-prorated-short-recognition</x:v>
      </x:c>
      <x:c r="S397" s="11" t="str">
        <x:v>2026-10-10</x:v>
      </x:c>
      <x:c r="T397" s="11" t="str">
        <x:f>IF(AND(SUM(IF(K397='假设'!E528,0,1),IF(L397='假设'!F528,0,1),IF(M397='假设'!G528,0,1),IF(N397='假设'!H528,0,1),IF(O397='假设'!I528,0,1),IF(P397='假设'!J528,0,1),IF(Q397='假设'!K528,0,1))=0,U397=V397),"已刷新","待刷新")</x:f>
        <x:v>已刷新</x:v>
      </x:c>
      <x:c r="U397" t="str">
        <x:v>0.35|1.15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  <x:c r="V397" t="str">
        <x:f>'假设'!U528&amp;"|"&amp;'假设'!N528&amp;"|"&amp;'假设'!Q528&amp;"|"&amp;'管线假设'!E808&amp;"|"&amp;'管线假设'!F808&amp;"|"&amp;'管线假设'!G808&amp;"|"&amp;'管线假设'!H808&amp;"|"&amp;'管线假设'!I808&amp;"|"&amp;'管线假设'!E812&amp;"|"&amp;'管线假设'!F812&amp;"|"&amp;'管线假设'!G812&amp;"|"&amp;'管线假设'!H812&amp;"|"&amp;'管线假设'!I812&amp;"|"&amp;'管线假设'!E816&amp;"|"&amp;'管线假设'!F816&amp;"|"&amp;'管线假设'!G816&amp;"|"&amp;'管线假设'!H816&amp;"|"&amp;'管线假设'!I816&amp;"|"&amp;'管线假设'!E820&amp;"|"&amp;'管线假设'!F820&amp;"|"&amp;'管线假设'!G820&amp;"|"&amp;'管线假设'!H820&amp;"|"&amp;'管线假设'!I820&amp;"|"&amp;'管线假设'!E824&amp;"|"&amp;'管线假设'!F824&amp;"|"&amp;'管线假设'!G824&amp;"|"&amp;'管线假设'!H824&amp;"|"&amp;'管线假设'!I824&amp;"|"&amp;'管线假设'!E828&amp;"|"&amp;'管线假设'!F828&amp;"|"&amp;'管线假设'!G828&amp;"|"&amp;'管线假设'!H828&amp;"|"&amp;'管线假设'!I828&amp;"|"&amp;'管线假设'!E832&amp;"|"&amp;'管线假设'!F832&amp;"|"&amp;'管线假设'!G832&amp;"|"&amp;'管线假设'!H832&amp;"|"&amp;'管线假设'!I832&amp;"|"&amp;'管线假设'!E836&amp;"|"&amp;'管线假设'!F836&amp;"|"&amp;'管线假设'!G836&amp;"|"&amp;'管线假设'!H836&amp;"|"&amp;'管线假设'!I836&amp;"|"&amp;'管线假设'!E840&amp;"|"&amp;'管线假设'!F840&amp;"|"&amp;'管线假设'!G840&amp;"|"&amp;'管线假设'!H840&amp;"|"&amp;'管线假设'!I840&amp;"|"&amp;'管线假设'!E844&amp;"|"&amp;'管线假设'!F844&amp;"|"&amp;'管线假设'!G844&amp;"|"&amp;'管线假设'!H844&amp;"|"&amp;'管线假设'!I844&amp;"|"&amp;'管线假设'!E848&amp;"|"&amp;'管线假设'!F848&amp;"|"&amp;'管线假设'!G848&amp;"|"&amp;'管线假设'!H848&amp;"|"&amp;'管线假设'!I848&amp;"|"&amp;'管线现金流'!H3722&amp;"|"&amp;'管线现金流'!AJ3722&amp;"|"&amp;'管线现金流'!H3723&amp;"|"&amp;'管线现金流'!AJ3723&amp;"|"&amp;'管线现金流'!H3724&amp;"|"&amp;'管线现金流'!AJ3724&amp;"|"&amp;'管线现金流'!H3725&amp;"|"&amp;'管线现金流'!AJ3725&amp;"|"&amp;'管线现金流'!H3726&amp;"|"&amp;'管线现金流'!AJ3726&amp;"|"&amp;'管线现金流'!H3727&amp;"|"&amp;'管线现金流'!AJ3727&amp;"|"&amp;'管线现金流'!H3728&amp;"|"&amp;'管线现金流'!AJ3728&amp;"|"&amp;'管线现金流'!H3729&amp;"|"&amp;'管线现金流'!AJ3729&amp;"|"&amp;'管线现金流'!H3730&amp;"|"&amp;'管线现金流'!AJ3730&amp;"|"&amp;'管线现金流'!H3731&amp;"|"&amp;'管线现金流'!AJ3731&amp;"|"&amp;'管线现金流'!H3732&amp;"|"&amp;'管线现金流'!AJ3732&amp;"|"&amp;'管线现金流'!H3733&amp;"|"&amp;'管线现金流'!AJ3733&amp;"|"&amp;'管线现金流'!H3734&amp;"|"&amp;'管线现金流'!AJ3734&amp;"|"&amp;'管线现金流'!H3735&amp;"|"&amp;'管线现金流'!AJ3735&amp;"|"&amp;'管线现金流'!H3736&amp;"|"&amp;'管线现金流'!AJ3736&amp;"|"&amp;'管线现金流'!H3737&amp;"|"&amp;'管线现金流'!AJ3737&amp;"|"&amp;'管线现金流'!H3738&amp;"|"&amp;'管线现金流'!AJ3738&amp;"|"&amp;'管线现金流'!H3739&amp;"|"&amp;'管线现金流'!AJ3739&amp;"|"&amp;'管线现金流'!H3740&amp;"|"&amp;'管线现金流'!AJ3740&amp;"|"&amp;'管线现金流'!H3741&amp;"|"&amp;'管线现金流'!AJ3741&amp;"|"&amp;'管线现金流'!H3742&amp;"|"&amp;'管线现金流'!AJ3742&amp;"|"&amp;'管线现金流'!H3743&amp;"|"&amp;'管线现金流'!AJ3743&amp;"|"&amp;'管线现金流'!H3744&amp;"|"&amp;'管线现金流'!AJ3744&amp;"|"&amp;'管线现金流'!H3745&amp;"|"&amp;'管线现金流'!AJ3745&amp;"|"&amp;'管线现金流'!H3746&amp;"|"&amp;'管线现金流'!AJ3746&amp;"|"&amp;'管线现金流'!H3747&amp;"|"&amp;'管线现金流'!AJ3747&amp;"|"&amp;'管线现金流'!H3748&amp;"|"&amp;'管线现金流'!AJ3748&amp;"|"&amp;'管线现金流'!H3749&amp;"|"&amp;'管线现金流'!AJ3749&amp;"|"&amp;'管线现金流'!H3750&amp;"|"&amp;'管线现金流'!AJ3750&amp;"|"&amp;'管线现金流'!H3751&amp;"|"&amp;'管线现金流'!AJ3751&amp;"|"&amp;'管线现金流'!H3752&amp;"|"&amp;'管线现金流'!AJ3752&amp;"|"&amp;'管线现金流'!H3753&amp;"|"&amp;'管线现金流'!AJ3753&amp;"|"&amp;'管线现金流'!H3754&amp;"|"&amp;'管线现金流'!AJ3754&amp;"|"&amp;'管线现金流'!H3755&amp;"|"&amp;'管线现金流'!AJ3755&amp;"|"&amp;'管线现金流'!H3756&amp;"|"&amp;'管线现金流'!AJ3756&amp;"|"&amp;'管线现金流'!H3757&amp;"|"&amp;'管线现金流'!AJ3757&amp;"|"&amp;'管线现金流'!H3758&amp;"|"&amp;'管线现金流'!AJ3758&amp;"|"&amp;'管线现金流'!H3759&amp;"|"&amp;'管线现金流'!AJ3759&amp;"|"&amp;'管线现金流'!H3760&amp;"|"&amp;'管线现金流'!AJ3760&amp;"|"&amp;'管线现金流'!H3761&amp;"|"&amp;'管线现金流'!AJ3761&amp;"|"&amp;'管线现金流'!H3762&amp;"|"&amp;'管线现金流'!AJ3762&amp;"|"&amp;'管线现金流'!H3763&amp;"|"&amp;'管线现金流'!AJ3763&amp;"|"&amp;'管线现金流'!H3764&amp;"|"&amp;'管线现金流'!AJ3764&amp;"|"&amp;'管线现金流'!H3765&amp;"|"&amp;'管线现金流'!AJ3765&amp;"|"&amp;'管线现金流'!H3766&amp;"|"&amp;'管线现金流'!AJ3766&amp;"|"&amp;'管线现金流'!H3767&amp;"|"&amp;'管线现金流'!AJ3767&amp;"|"&amp;'管线现金流'!H3768&amp;"|"&amp;'管线现金流'!AJ3768&amp;"|"&amp;'管线现金流'!H3769&amp;"|"&amp;'管线现金流'!AJ3769&amp;"|"&amp;'管线现金流'!H3770&amp;"|"&amp;'管线现金流'!AJ3770&amp;"|"&amp;'管线现金流'!H3771&amp;"|"&amp;'管线现金流'!AJ3771&amp;"|"&amp;'管线现金流'!H3772&amp;"|"&amp;'管线现金流'!AJ3772&amp;"|"&amp;'管线现金流'!H3773&amp;"|"&amp;'管线现金流'!AJ3773&amp;"|"&amp;'管线现金流'!H3774&amp;"|"&amp;'管线现金流'!AJ3774&amp;"|"&amp;'管线现金流'!H3775&amp;"|"&amp;'管线现金流'!AJ3775&amp;"|"&amp;'管线现金流'!H3776&amp;"|"&amp;'管线现金流'!AJ3776&amp;"|"&amp;'管线现金流'!H3777&amp;"|"&amp;'管线现金流'!AJ3777&amp;"|"&amp;'管线现金流'!H3778&amp;"|"&amp;'管线现金流'!AJ3778&amp;"|"&amp;'管线现金流'!H3779&amp;"|"&amp;'管线现金流'!AJ3779&amp;"|"&amp;'管线现金流'!H3780&amp;"|"&amp;'管线现金流'!AJ3780&amp;"|"&amp;'管线现金流'!H3781&amp;"|"&amp;'管线现金流'!AJ3781&amp;"|"&amp;'管线现金流'!H3782&amp;"|"&amp;'管线现金流'!AJ3782&amp;"|"&amp;'管线现金流'!H3783&amp;"|"&amp;'管线现金流'!AJ3783&amp;"|"&amp;'管线现金流'!H3784&amp;"|"&amp;'管线现金流'!AJ3784&amp;"|"&amp;'管线现金流'!H3785&amp;"|"&amp;'管线现金流'!AJ3785&amp;"|"&amp;'管线现金流'!H3786&amp;"|"&amp;'管线现金流'!AJ3786&amp;"|"&amp;'管线现金流'!H3787&amp;"|"&amp;'管线现金流'!AJ3787&amp;"|"&amp;'管线现金流'!H3788&amp;"|"&amp;'管线现金流'!AJ3788&amp;"|"&amp;'管线现金流'!H3789&amp;"|"&amp;'管线现金流'!AJ3789&amp;"|"&amp;'管线现金流'!H3790&amp;"|"&amp;'管线现金流'!AJ3790&amp;"|"&amp;'管线现金流'!H3791&amp;"|"&amp;'管线现金流'!AJ3791&amp;"|"&amp;'管线现金流'!H3792&amp;"|"&amp;'管线现金流'!AJ3792&amp;"|"&amp;'管线现金流'!H3793&amp;"|"&amp;'管线现金流'!AJ3793&amp;"|"&amp;'管线现金流'!H3794&amp;"|"&amp;'管线现金流'!AJ3794&amp;"|"&amp;'管线现金流'!H3795&amp;"|"&amp;'管线现金流'!AJ3795&amp;"|"&amp;'管线现金流'!H3796&amp;"|"&amp;'管线现金流'!AJ3796&amp;"|"&amp;'管线现金流'!H3797&amp;"|"&amp;'管线现金流'!AJ3797&amp;"|"&amp;'管线现金流'!H3798&amp;"|"&amp;'管线现金流'!AJ3798&amp;"|"&amp;'管线现金流'!H3799&amp;"|"&amp;'管线现金流'!AJ3799&amp;"|"&amp;'管线现金流'!H3800&amp;"|"&amp;'管线现金流'!AJ3800&amp;"|"&amp;'管线现金流'!H3801&amp;"|"&amp;'管线现金流'!AJ3801&amp;"|"&amp;'管线现金流'!H3802&amp;"|"&amp;'管线现金流'!AJ3802&amp;"|"&amp;'管线现金流'!H3803&amp;"|"&amp;'管线现金流'!AJ3803&amp;"|"&amp;'管线现金流'!H3804&amp;"|"&amp;'管线现金流'!AJ3804&amp;"|"&amp;'管线现金流'!H3805&amp;"|"&amp;'管线现金流'!AJ3805&amp;"|"&amp;'管线现金流'!H3806&amp;"|"&amp;'管线现金流'!AJ3806&amp;"|"&amp;'管线现金流'!H3807&amp;"|"&amp;'管线现金流'!AJ3807&amp;"|"&amp;'管线现金流'!H3808&amp;"|"&amp;'管线现金流'!AJ3808&amp;"|"&amp;'管线现金流'!H3809&amp;"|"&amp;'管线现金流'!AJ3809&amp;"|"&amp;'管线现金流'!H3810&amp;"|"&amp;'管线现金流'!AJ3810&amp;"|"&amp;'管线现金流'!H3811&amp;"|"&amp;'管线现金流'!AJ3811&amp;"|"&amp;'管线现金流'!H3812&amp;"|"&amp;'管线现金流'!AJ3812&amp;"|"&amp;'管线现金流'!H3813&amp;"|"&amp;'管线现金流'!AJ3813&amp;"|"&amp;'管线现金流'!H3814&amp;"|"&amp;'管线现金流'!AJ3814&amp;"|"&amp;'管线现金流'!H3815&amp;"|"&amp;'管线现金流'!AJ3815&amp;"|"&amp;'管线现金流'!H3816&amp;"|"&amp;'管线现金流'!AJ3816&amp;"|"&amp;'管线现金流'!H3817&amp;"|"&amp;'管线现金流'!AJ3817&amp;"|"&amp;'管线现金流'!H3818&amp;"|"&amp;'管线现金流'!AJ3818&amp;"|"&amp;'管线现金流'!H3819&amp;"|"&amp;'管线现金流'!AJ3819&amp;"|"&amp;'管线现金流'!H3820&amp;"|"&amp;'管线现金流'!AJ3820&amp;"|"&amp;'管线现金流'!H3821&amp;"|"&amp;'管线现金流'!AJ3821&amp;"|"&amp;'管线现金流'!H3822&amp;"|"&amp;'管线现金流'!AJ3822&amp;"|"&amp;'管线现金流'!H3823&amp;"|"&amp;'管线现金流'!AJ3823&amp;"|"&amp;'管线现金流'!H3824&amp;"|"&amp;'管线现金流'!AJ3824&amp;"|"&amp;'管线现金流'!H3825&amp;"|"&amp;'管线现金流'!AJ3825&amp;"|"&amp;'管线现金流'!H3826&amp;"|"&amp;'管线现金流'!AJ3826&amp;"|"&amp;'管线现金流'!H3827&amp;"|"&amp;'管线现金流'!AJ3827&amp;"|"&amp;'管线现金流'!H3828&amp;"|"&amp;'管线现金流'!AJ3828&amp;"|"&amp;'管线现金流'!H3829&amp;"|"&amp;'管线现金流'!AJ3829&amp;"|"&amp;'管线现金流'!H3830&amp;"|"&amp;'管线现金流'!AJ3830&amp;"|"&amp;'管线现金流'!H3831&amp;"|"&amp;'管线现金流'!AJ3831&amp;"|"&amp;'管线现金流'!H3832&amp;"|"&amp;'管线现金流'!AJ3832&amp;"|"&amp;'管线现金流'!H3833&amp;"|"&amp;'管线现金流'!AJ3833&amp;"|"&amp;'管线现金流'!H3834&amp;"|"&amp;'管线现金流'!AJ3834&amp;"|"&amp;'管线现金流'!H3835&amp;"|"&amp;'管线现金流'!AJ3835&amp;"|"&amp;'管线现金流'!H3836&amp;"|"&amp;'管线现金流'!AJ3836&amp;"|"&amp;'管线现金流'!H3837&amp;"|"&amp;'管线现金流'!AJ3837&amp;"|"&amp;'管线现金流'!H3838&amp;"|"&amp;'管线现金流'!AJ3838&amp;"|"&amp;'管线现金流'!H3839&amp;"|"&amp;'管线现金流'!AJ3839&amp;"|"&amp;'管线现金流'!H3840&amp;"|"&amp;'管线现金流'!AJ3840&amp;"|"&amp;'管线现金流'!H3841&amp;"|"&amp;'管线现金流'!AJ3841&amp;"|"&amp;'管线现金流'!H3842&amp;"|"&amp;'管线现金流'!AJ3842&amp;"|"&amp;'管线现金流'!H3843&amp;"|"&amp;'管线现金流'!AJ3843&amp;"|"&amp;'管线现金流'!H3844&amp;"|"&amp;'管线现金流'!AJ3844&amp;"|"&amp;'管线现金流'!H3845&amp;"|"&amp;'管线现金流'!AJ3845&amp;"|"&amp;'管线现金流'!H3846&amp;"|"&amp;'管线现金流'!AJ3846&amp;"|"&amp;'管线现金流'!H3847&amp;"|"&amp;'管线现金流'!AJ3847&amp;"|"&amp;'管线现金流'!H3848&amp;"|"&amp;'管线现金流'!AJ3848&amp;"|"&amp;'管线现金流'!H3849&amp;"|"&amp;'管线现金流'!AJ3849&amp;"|"&amp;'管线现金流'!H3850&amp;"|"&amp;'管线现金流'!AJ3850&amp;"|"&amp;'管线现金流'!H3851&amp;"|"&amp;'管线现金流'!AJ3851&amp;"|"&amp;'管线现金流'!H3852&amp;"|"&amp;'管线现金流'!AJ3852&amp;"|"&amp;'管线现金流'!H3853&amp;"|"&amp;'管线现金流'!AJ3853&amp;"|"&amp;'管线现金流'!H3854&amp;"|"&amp;'管线现金流'!AJ3854&amp;"|"&amp;'管线现金流'!H3855&amp;"|"&amp;'管线现金流'!AJ3855&amp;"|"&amp;'管线现金流'!H3856&amp;"|"&amp;'管线现金流'!AJ3856&amp;"|"&amp;'管线现金流'!H3857&amp;"|"&amp;'管线现金流'!AJ3857&amp;"|"&amp;'管线现金流'!H3858&amp;"|"&amp;'管线现金流'!AJ3858&amp;"|"&amp;'管线现金流'!H3859&amp;"|"&amp;'管线现金流'!AJ3859&amp;"|"&amp;'管线现金流'!H3860&amp;"|"&amp;'管线现金流'!AJ3860&amp;"|"&amp;'管线现金流'!H3861&amp;"|"&amp;'管线现金流'!AJ3861&amp;"|"&amp;'管线现金流'!H3862&amp;"|"&amp;'管线现金流'!AJ3862&amp;"|"&amp;'管线现金流'!H3863&amp;"|"&amp;'管线现金流'!AJ3863&amp;"|"&amp;'管线现金流'!H3864&amp;"|"&amp;'管线现金流'!AJ3864&amp;"|"&amp;'管线现金流'!H3865&amp;"|"&amp;'管线现金流'!AJ3865&amp;"|"&amp;'管线现金流'!H3866&amp;"|"&amp;'管线现金流'!AJ3866&amp;"|"&amp;'管线现金流'!H3867&amp;"|"&amp;'管线现金流'!AJ3867&amp;"|"&amp;'管线现金流'!H3868&amp;"|"&amp;'管线现金流'!AJ3868&amp;"|"&amp;'管线现金流'!H3869&amp;"|"&amp;'管线现金流'!AJ3869&amp;"|"&amp;'管线现金流'!H3870&amp;"|"&amp;'管线现金流'!AJ3870&amp;"|"&amp;'管线现金流'!H3871&amp;"|"&amp;'管线现金流'!AJ3871&amp;"|"&amp;'管线现金流'!H3872&amp;"|"&amp;'管线现金流'!AJ3872&amp;"|"&amp;'管线现金流'!H3873&amp;"|"&amp;'管线现金流'!AJ3873&amp;"|"&amp;'管线现金流'!H3874&amp;"|"&amp;'管线现金流'!AJ3874&amp;"|"&amp;'管线现金流'!H3875&amp;"|"&amp;'管线现金流'!AJ3875&amp;"|"&amp;'管线现金流'!H3876&amp;"|"&amp;'管线现金流'!AJ3876&amp;"|"&amp;'管线现金流'!H3877&amp;"|"&amp;'管线现金流'!AJ3877&amp;"|"&amp;'管线现金流'!H3878&amp;"|"&amp;'管线现金流'!AJ3878&amp;"|"&amp;'管线现金流'!H3879&amp;"|"&amp;'管线现金流'!AJ3879&amp;"|"&amp;'管线现金流'!H3880&amp;"|"&amp;'管线现金流'!AJ3880&amp;"|"&amp;'管线现金流'!H3881&amp;"|"&amp;'管线现金流'!AJ3881&amp;"|"&amp;'管线现金流'!H3882&amp;"|"&amp;'管线现金流'!AJ3882&amp;"|"&amp;'管线现金流'!H3883&amp;"|"&amp;'管线现金流'!AJ3883&amp;"|"&amp;'管线现金流'!H3884&amp;"|"&amp;'管线现金流'!AJ3884&amp;"|"&amp;'管线现金流'!H3885&amp;"|"&amp;'管线现金流'!AJ3885&amp;"|"&amp;'管线现金流'!H3886&amp;"|"&amp;'管线现金流'!AJ3886&amp;"|"&amp;'管线现金流'!H3887&amp;"|"&amp;'管线现金流'!AJ3887&amp;"|"&amp;'管线现金流'!H3888&amp;"|"&amp;'管线现金流'!AJ3888&amp;"|"&amp;'管线现金流'!H3889&amp;"|"&amp;'管线现金流'!AJ3889&amp;"|"&amp;'管线现金流'!H3890&amp;"|"&amp;'管线现金流'!AJ3890&amp;"|"&amp;'管线现金流'!H3891&amp;"|"&amp;'管线现金流'!AJ3891&amp;"|"&amp;'管线现金流'!H3892&amp;"|"&amp;'管线现金流'!AJ3892&amp;"|"&amp;'管线现金流'!H3893&amp;"|"&amp;'管线现金流'!AJ3893&amp;"|"&amp;'管线现金流'!H3894&amp;"|"&amp;'管线现金流'!AJ3894&amp;"|"&amp;'管线现金流'!H3895&amp;"|"&amp;'管线现金流'!AJ3895&amp;"|"&amp;'管线现金流'!H3896&amp;"|"&amp;'管线现金流'!AJ3896&amp;"|"&amp;'管线现金流'!H3897&amp;"|"&amp;'管线现金流'!AJ3897&amp;"|"&amp;'管线现金流'!H3898&amp;"|"&amp;'管线现金流'!AJ3898&amp;"|"&amp;'管线现金流'!H3899&amp;"|"&amp;'管线现金流'!AJ3899&amp;"|"&amp;'管线现金流'!H3900&amp;"|"&amp;'管线现金流'!AJ3900&amp;"|"&amp;'管线现金流'!H3901&amp;"|"&amp;'管线现金流'!AJ3901&amp;"|"&amp;'管线现金流'!H3902&amp;"|"&amp;'管线现金流'!AJ3902&amp;"|"&amp;'管线现金流'!H3903&amp;"|"&amp;'管线现金流'!AJ3903&amp;"|"&amp;'管线现金流'!H3904&amp;"|"&amp;'管线现金流'!AJ3904&amp;"|"&amp;'管线现金流'!H3905&amp;"|"&amp;'管线现金流'!AJ3905&amp;"|"&amp;'管线现金流'!H3906&amp;"|"&amp;'管线现金流'!AJ3906&amp;"|"&amp;'管线现金流'!H3907&amp;"|"&amp;'管线现金流'!AJ3907&amp;"|"&amp;'管线现金流'!H3908&amp;"|"&amp;'管线现金流'!AJ3908&amp;"|"&amp;'管线现金流'!H3909&amp;"|"&amp;'管线现金流'!AJ3909&amp;"|"&amp;'管线现金流'!H3910&amp;"|"&amp;'管线现金流'!AJ3910&amp;"|"&amp;'管线现金流'!H3911&amp;"|"&amp;'管线现金流'!AJ3911&amp;"|"&amp;'管线现金流'!H3912&amp;"|"&amp;'管线现金流'!AJ3912&amp;"|"&amp;'管线现金流'!H3913&amp;"|"&amp;'管线现金流'!AJ3913&amp;"|"&amp;'管线现金流'!H3914&amp;"|"&amp;'管线现金流'!AJ3914&amp;"|"&amp;'管线现金流'!H3915&amp;"|"&amp;'管线现金流'!AJ3915&amp;"|"&amp;'管线现金流'!H3916&amp;"|"&amp;'管线现金流'!AJ3916&amp;"|"&amp;'管线现金流'!H3917&amp;"|"&amp;'管线现金流'!AJ3917&amp;"|"&amp;'管线现金流'!H3918&amp;"|"&amp;'管线现金流'!AJ3918&amp;"|"&amp;'管线现金流'!H3919&amp;"|"&amp;'管线现金流'!AJ3919&amp;"|"&amp;'管线现金流'!H3920&amp;"|"&amp;'管线现金流'!AJ3920&amp;"|"&amp;'管线现金流'!H3921&amp;"|"&amp;'管线现金流'!AJ3921&amp;"|"&amp;'管线现金流'!H3922&amp;"|"&amp;'管线现金流'!AJ3922&amp;"|"&amp;'管线现金流'!H3923&amp;"|"&amp;'管线现金流'!AJ3923&amp;"|"&amp;'管线现金流'!H3924&amp;"|"&amp;'管线现金流'!AJ3924&amp;"|"&amp;'管线现金流'!H3925&amp;"|"&amp;'管线现金流'!AJ3925&amp;"|"&amp;'管线现金流'!H3926&amp;"|"&amp;'管线现金流'!AJ3926&amp;"|"&amp;'管线现金流'!H3927&amp;"|"&amp;'管线现金流'!AJ3927&amp;"|"&amp;'管线现金流'!H3928&amp;"|"&amp;'管线现金流'!AJ3928&amp;"|"&amp;'管线现金流'!H3929&amp;"|"&amp;'管线现金流'!AJ3929&amp;"|"&amp;'管线现金流'!H3930&amp;"|"&amp;'管线现金流'!AJ3930&amp;"|"&amp;'管线现金流'!U37&amp;"|"&amp;'管线现金流'!X37&amp;"|"&amp;'管线现金流'!AO37&amp;"|"&amp;'管线现金流'!AR37&amp;"|"&amp;'管线现金流'!U38&amp;"|"&amp;'管线现金流'!X38&amp;"|"&amp;'管线现金流'!AO38&amp;"|"&amp;'管线现金流'!AR38&amp;"|"&amp;'管线现金流'!U39&amp;"|"&amp;'管线现金流'!X39&amp;"|"&amp;'管线现金流'!AO39&amp;"|"&amp;'管线现金流'!AR39&amp;"|"&amp;'管线现金流'!U40&amp;"|"&amp;'管线现金流'!X40&amp;"|"&amp;'管线现金流'!AO40&amp;"|"&amp;'管线现金流'!AR40&amp;"|"&amp;'管线现金流'!U41&amp;"|"&amp;'管线现金流'!X41&amp;"|"&amp;'管线现金流'!AO41&amp;"|"&amp;'管线现金流'!AR41&amp;"|"&amp;'管线现金流'!U42&amp;"|"&amp;'管线现金流'!X42&amp;"|"&amp;'管线现金流'!AO42&amp;"|"&amp;'管线现金流'!AR42&amp;"|"&amp;'管线现金流'!U43&amp;"|"&amp;'管线现金流'!X43&amp;"|"&amp;'管线现金流'!AO43&amp;"|"&amp;'管线现金流'!AR43&amp;"|"&amp;'管线现金流'!U44&amp;"|"&amp;'管线现金流'!X44&amp;"|"&amp;'管线现金流'!AO44&amp;"|"&amp;'管线现金流'!AR44&amp;"|"&amp;'管线现金流'!U45&amp;"|"&amp;'管线现金流'!X45&amp;"|"&amp;'管线现金流'!AO45&amp;"|"&amp;'管线现金流'!AR45</x:f>
        <x:v>0.35|1.15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</x:row>
    <x:row r="398" ht="23" customHeight="1">
      <x:c r="A398" s="11" t="str">
        <x:v>02162.HK</x:v>
      </x:c>
      <x:c r="B398" s="11" t="str">
        <x:v>康诺亚-B</x:v>
      </x:c>
      <x:c r="C398" s="11" t="str">
        <x:v>2026年底</x:v>
      </x:c>
      <x:c r="D398" s="11" t="str">
        <x:v>基准</x:v>
      </x:c>
      <x:c r="E398" s="11" t="n">
        <x:v>78.3</x:v>
      </x:c>
      <x:c r="F398" s="11" t="n">
        <x:v>75.19773620630427</x:v>
      </x:c>
      <x:c r="G398" s="11" t="n">
        <x:v>0</x:v>
      </x:c>
      <x:c r="H398" s="25" t="n">
        <x:v>-0.039620227250264706</x:v>
      </x:c>
      <x:c r="I398" s="25" t="n">
        <x:v>-0.039620227250264706</x:v>
      </x:c>
      <x:c r="J398" s="25" t="str"/>
      <x:c r="K398" s="11" t="n">
        <x:v>0</x:v>
      </x:c>
      <x:c r="L398" s="11" t="n">
        <x:v>0</x:v>
      </x:c>
      <x:c r="M398" s="11" t="n">
        <x:v>1.1</x:v>
      </x:c>
      <x:c r="N398" s="11" t="n">
        <x:v>0</x:v>
      </x:c>
      <x:c r="O398" s="11" t="n">
        <x:v>0</x:v>
      </x:c>
      <x:c r="P398" s="11" t="n">
        <x:v>0</x:v>
      </x:c>
      <x:c r="Q398" s="11" t="n">
        <x:v>0.3</x:v>
      </x:c>
      <x:c r="R398" s="11" t="str">
        <x:v>keymed-v2-finite-assets-prorated-short-recognition</x:v>
      </x:c>
      <x:c r="S398" s="11" t="str">
        <x:v>2026-10-10</x:v>
      </x:c>
      <x:c r="T398" s="11" t="str">
        <x:f>IF(AND(SUM(IF(K398='假设'!E529,0,1),IF(L398='假设'!F529,0,1),IF(M398='假设'!G529,0,1),IF(N398='假设'!H529,0,1),IF(O398='假设'!I529,0,1),IF(P398='假设'!J529,0,1),IF(Q398='假设'!K529,0,1))=0,U398=V398),"已刷新","待刷新")</x:f>
        <x:v>已刷新</x:v>
      </x:c>
      <x:c r="U398" t="str">
        <x:v>0.6|1.65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  <x:c r="V398" t="str">
        <x:f>'假设'!U529&amp;"|"&amp;'假设'!N529&amp;"|"&amp;'假设'!Q529&amp;"|"&amp;'管线假设'!E809&amp;"|"&amp;'管线假设'!F809&amp;"|"&amp;'管线假设'!G809&amp;"|"&amp;'管线假设'!H809&amp;"|"&amp;'管线假设'!I809&amp;"|"&amp;'管线假设'!E813&amp;"|"&amp;'管线假设'!F813&amp;"|"&amp;'管线假设'!G813&amp;"|"&amp;'管线假设'!H813&amp;"|"&amp;'管线假设'!I813&amp;"|"&amp;'管线假设'!E817&amp;"|"&amp;'管线假设'!F817&amp;"|"&amp;'管线假设'!G817&amp;"|"&amp;'管线假设'!H817&amp;"|"&amp;'管线假设'!I817&amp;"|"&amp;'管线假设'!E821&amp;"|"&amp;'管线假设'!F821&amp;"|"&amp;'管线假设'!G821&amp;"|"&amp;'管线假设'!H821&amp;"|"&amp;'管线假设'!I821&amp;"|"&amp;'管线假设'!E825&amp;"|"&amp;'管线假设'!F825&amp;"|"&amp;'管线假设'!G825&amp;"|"&amp;'管线假设'!H825&amp;"|"&amp;'管线假设'!I825&amp;"|"&amp;'管线假设'!E829&amp;"|"&amp;'管线假设'!F829&amp;"|"&amp;'管线假设'!G829&amp;"|"&amp;'管线假设'!H829&amp;"|"&amp;'管线假设'!I829&amp;"|"&amp;'管线假设'!E833&amp;"|"&amp;'管线假设'!F833&amp;"|"&amp;'管线假设'!G833&amp;"|"&amp;'管线假设'!H833&amp;"|"&amp;'管线假设'!I833&amp;"|"&amp;'管线假设'!E837&amp;"|"&amp;'管线假设'!F837&amp;"|"&amp;'管线假设'!G837&amp;"|"&amp;'管线假设'!H837&amp;"|"&amp;'管线假设'!I837&amp;"|"&amp;'管线假设'!E841&amp;"|"&amp;'管线假设'!F841&amp;"|"&amp;'管线假设'!G841&amp;"|"&amp;'管线假设'!H841&amp;"|"&amp;'管线假设'!I841&amp;"|"&amp;'管线假设'!E845&amp;"|"&amp;'管线假设'!F845&amp;"|"&amp;'管线假设'!G845&amp;"|"&amp;'管线假设'!H845&amp;"|"&amp;'管线假设'!I845&amp;"|"&amp;'管线假设'!E849&amp;"|"&amp;'管线假设'!F849&amp;"|"&amp;'管线假设'!G849&amp;"|"&amp;'管线假设'!H849&amp;"|"&amp;'管线假设'!I849&amp;"|"&amp;'管线现金流'!I3722&amp;"|"&amp;'管线现金流'!AK3722&amp;"|"&amp;'管线现金流'!I3723&amp;"|"&amp;'管线现金流'!AK3723&amp;"|"&amp;'管线现金流'!I3724&amp;"|"&amp;'管线现金流'!AK3724&amp;"|"&amp;'管线现金流'!I3725&amp;"|"&amp;'管线现金流'!AK3725&amp;"|"&amp;'管线现金流'!I3726&amp;"|"&amp;'管线现金流'!AK3726&amp;"|"&amp;'管线现金流'!I3727&amp;"|"&amp;'管线现金流'!AK3727&amp;"|"&amp;'管线现金流'!I3728&amp;"|"&amp;'管线现金流'!AK3728&amp;"|"&amp;'管线现金流'!I3729&amp;"|"&amp;'管线现金流'!AK3729&amp;"|"&amp;'管线现金流'!I3730&amp;"|"&amp;'管线现金流'!AK3730&amp;"|"&amp;'管线现金流'!I3731&amp;"|"&amp;'管线现金流'!AK3731&amp;"|"&amp;'管线现金流'!I3732&amp;"|"&amp;'管线现金流'!AK3732&amp;"|"&amp;'管线现金流'!I3733&amp;"|"&amp;'管线现金流'!AK3733&amp;"|"&amp;'管线现金流'!I3734&amp;"|"&amp;'管线现金流'!AK3734&amp;"|"&amp;'管线现金流'!I3735&amp;"|"&amp;'管线现金流'!AK3735&amp;"|"&amp;'管线现金流'!I3736&amp;"|"&amp;'管线现金流'!AK3736&amp;"|"&amp;'管线现金流'!I3737&amp;"|"&amp;'管线现金流'!AK3737&amp;"|"&amp;'管线现金流'!I3738&amp;"|"&amp;'管线现金流'!AK3738&amp;"|"&amp;'管线现金流'!I3739&amp;"|"&amp;'管线现金流'!AK3739&amp;"|"&amp;'管线现金流'!I3740&amp;"|"&amp;'管线现金流'!AK3740&amp;"|"&amp;'管线现金流'!I3741&amp;"|"&amp;'管线现金流'!AK3741&amp;"|"&amp;'管线现金流'!I3742&amp;"|"&amp;'管线现金流'!AK3742&amp;"|"&amp;'管线现金流'!I3743&amp;"|"&amp;'管线现金流'!AK3743&amp;"|"&amp;'管线现金流'!I3744&amp;"|"&amp;'管线现金流'!AK3744&amp;"|"&amp;'管线现金流'!I3745&amp;"|"&amp;'管线现金流'!AK3745&amp;"|"&amp;'管线现金流'!I3746&amp;"|"&amp;'管线现金流'!AK3746&amp;"|"&amp;'管线现金流'!I3747&amp;"|"&amp;'管线现金流'!AK3747&amp;"|"&amp;'管线现金流'!I3748&amp;"|"&amp;'管线现金流'!AK3748&amp;"|"&amp;'管线现金流'!I3749&amp;"|"&amp;'管线现金流'!AK3749&amp;"|"&amp;'管线现金流'!I3750&amp;"|"&amp;'管线现金流'!AK3750&amp;"|"&amp;'管线现金流'!I3751&amp;"|"&amp;'管线现金流'!AK3751&amp;"|"&amp;'管线现金流'!I3752&amp;"|"&amp;'管线现金流'!AK3752&amp;"|"&amp;'管线现金流'!I3753&amp;"|"&amp;'管线现金流'!AK3753&amp;"|"&amp;'管线现金流'!I3754&amp;"|"&amp;'管线现金流'!AK3754&amp;"|"&amp;'管线现金流'!I3755&amp;"|"&amp;'管线现金流'!AK3755&amp;"|"&amp;'管线现金流'!I3756&amp;"|"&amp;'管线现金流'!AK3756&amp;"|"&amp;'管线现金流'!I3757&amp;"|"&amp;'管线现金流'!AK3757&amp;"|"&amp;'管线现金流'!I3758&amp;"|"&amp;'管线现金流'!AK3758&amp;"|"&amp;'管线现金流'!I3759&amp;"|"&amp;'管线现金流'!AK3759&amp;"|"&amp;'管线现金流'!I3760&amp;"|"&amp;'管线现金流'!AK3760&amp;"|"&amp;'管线现金流'!I3761&amp;"|"&amp;'管线现金流'!AK3761&amp;"|"&amp;'管线现金流'!I3762&amp;"|"&amp;'管线现金流'!AK3762&amp;"|"&amp;'管线现金流'!I3763&amp;"|"&amp;'管线现金流'!AK3763&amp;"|"&amp;'管线现金流'!I3764&amp;"|"&amp;'管线现金流'!AK3764&amp;"|"&amp;'管线现金流'!I3765&amp;"|"&amp;'管线现金流'!AK3765&amp;"|"&amp;'管线现金流'!I3766&amp;"|"&amp;'管线现金流'!AK3766&amp;"|"&amp;'管线现金流'!I3767&amp;"|"&amp;'管线现金流'!AK3767&amp;"|"&amp;'管线现金流'!I3768&amp;"|"&amp;'管线现金流'!AK3768&amp;"|"&amp;'管线现金流'!I3769&amp;"|"&amp;'管线现金流'!AK3769&amp;"|"&amp;'管线现金流'!I3770&amp;"|"&amp;'管线现金流'!AK3770&amp;"|"&amp;'管线现金流'!I3771&amp;"|"&amp;'管线现金流'!AK3771&amp;"|"&amp;'管线现金流'!I3772&amp;"|"&amp;'管线现金流'!AK3772&amp;"|"&amp;'管线现金流'!I3773&amp;"|"&amp;'管线现金流'!AK3773&amp;"|"&amp;'管线现金流'!I3774&amp;"|"&amp;'管线现金流'!AK3774&amp;"|"&amp;'管线现金流'!I3775&amp;"|"&amp;'管线现金流'!AK3775&amp;"|"&amp;'管线现金流'!I3776&amp;"|"&amp;'管线现金流'!AK3776&amp;"|"&amp;'管线现金流'!I3777&amp;"|"&amp;'管线现金流'!AK3777&amp;"|"&amp;'管线现金流'!I3778&amp;"|"&amp;'管线现金流'!AK3778&amp;"|"&amp;'管线现金流'!I3779&amp;"|"&amp;'管线现金流'!AK3779&amp;"|"&amp;'管线现金流'!I3780&amp;"|"&amp;'管线现金流'!AK3780&amp;"|"&amp;'管线现金流'!I3781&amp;"|"&amp;'管线现金流'!AK3781&amp;"|"&amp;'管线现金流'!I3782&amp;"|"&amp;'管线现金流'!AK3782&amp;"|"&amp;'管线现金流'!I3783&amp;"|"&amp;'管线现金流'!AK3783&amp;"|"&amp;'管线现金流'!I3784&amp;"|"&amp;'管线现金流'!AK3784&amp;"|"&amp;'管线现金流'!I3785&amp;"|"&amp;'管线现金流'!AK3785&amp;"|"&amp;'管线现金流'!I3786&amp;"|"&amp;'管线现金流'!AK3786&amp;"|"&amp;'管线现金流'!I3787&amp;"|"&amp;'管线现金流'!AK3787&amp;"|"&amp;'管线现金流'!I3788&amp;"|"&amp;'管线现金流'!AK3788&amp;"|"&amp;'管线现金流'!I3789&amp;"|"&amp;'管线现金流'!AK3789&amp;"|"&amp;'管线现金流'!I3790&amp;"|"&amp;'管线现金流'!AK3790&amp;"|"&amp;'管线现金流'!I3791&amp;"|"&amp;'管线现金流'!AK3791&amp;"|"&amp;'管线现金流'!I3792&amp;"|"&amp;'管线现金流'!AK3792&amp;"|"&amp;'管线现金流'!I3793&amp;"|"&amp;'管线现金流'!AK3793&amp;"|"&amp;'管线现金流'!I3794&amp;"|"&amp;'管线现金流'!AK3794&amp;"|"&amp;'管线现金流'!I3795&amp;"|"&amp;'管线现金流'!AK3795&amp;"|"&amp;'管线现金流'!I3796&amp;"|"&amp;'管线现金流'!AK3796&amp;"|"&amp;'管线现金流'!I3797&amp;"|"&amp;'管线现金流'!AK3797&amp;"|"&amp;'管线现金流'!I3798&amp;"|"&amp;'管线现金流'!AK3798&amp;"|"&amp;'管线现金流'!I3799&amp;"|"&amp;'管线现金流'!AK3799&amp;"|"&amp;'管线现金流'!I3800&amp;"|"&amp;'管线现金流'!AK3800&amp;"|"&amp;'管线现金流'!I3801&amp;"|"&amp;'管线现金流'!AK3801&amp;"|"&amp;'管线现金流'!I3802&amp;"|"&amp;'管线现金流'!AK3802&amp;"|"&amp;'管线现金流'!I3803&amp;"|"&amp;'管线现金流'!AK3803&amp;"|"&amp;'管线现金流'!I3804&amp;"|"&amp;'管线现金流'!AK3804&amp;"|"&amp;'管线现金流'!I3805&amp;"|"&amp;'管线现金流'!AK3805&amp;"|"&amp;'管线现金流'!I3806&amp;"|"&amp;'管线现金流'!AK3806&amp;"|"&amp;'管线现金流'!I3807&amp;"|"&amp;'管线现金流'!AK3807&amp;"|"&amp;'管线现金流'!I3808&amp;"|"&amp;'管线现金流'!AK3808&amp;"|"&amp;'管线现金流'!I3809&amp;"|"&amp;'管线现金流'!AK3809&amp;"|"&amp;'管线现金流'!I3810&amp;"|"&amp;'管线现金流'!AK3810&amp;"|"&amp;'管线现金流'!I3811&amp;"|"&amp;'管线现金流'!AK3811&amp;"|"&amp;'管线现金流'!I3812&amp;"|"&amp;'管线现金流'!AK3812&amp;"|"&amp;'管线现金流'!I3813&amp;"|"&amp;'管线现金流'!AK3813&amp;"|"&amp;'管线现金流'!I3814&amp;"|"&amp;'管线现金流'!AK3814&amp;"|"&amp;'管线现金流'!I3815&amp;"|"&amp;'管线现金流'!AK3815&amp;"|"&amp;'管线现金流'!I3816&amp;"|"&amp;'管线现金流'!AK3816&amp;"|"&amp;'管线现金流'!I3817&amp;"|"&amp;'管线现金流'!AK3817&amp;"|"&amp;'管线现金流'!I3818&amp;"|"&amp;'管线现金流'!AK3818&amp;"|"&amp;'管线现金流'!I3819&amp;"|"&amp;'管线现金流'!AK3819&amp;"|"&amp;'管线现金流'!I3820&amp;"|"&amp;'管线现金流'!AK3820&amp;"|"&amp;'管线现金流'!I3821&amp;"|"&amp;'管线现金流'!AK3821&amp;"|"&amp;'管线现金流'!I3822&amp;"|"&amp;'管线现金流'!AK3822&amp;"|"&amp;'管线现金流'!I3823&amp;"|"&amp;'管线现金流'!AK3823&amp;"|"&amp;'管线现金流'!I3824&amp;"|"&amp;'管线现金流'!AK3824&amp;"|"&amp;'管线现金流'!I3825&amp;"|"&amp;'管线现金流'!AK3825&amp;"|"&amp;'管线现金流'!I3826&amp;"|"&amp;'管线现金流'!AK3826&amp;"|"&amp;'管线现金流'!I3827&amp;"|"&amp;'管线现金流'!AK3827&amp;"|"&amp;'管线现金流'!I3828&amp;"|"&amp;'管线现金流'!AK3828&amp;"|"&amp;'管线现金流'!I3829&amp;"|"&amp;'管线现金流'!AK3829&amp;"|"&amp;'管线现金流'!I3830&amp;"|"&amp;'管线现金流'!AK3830&amp;"|"&amp;'管线现金流'!I3831&amp;"|"&amp;'管线现金流'!AK3831&amp;"|"&amp;'管线现金流'!I3832&amp;"|"&amp;'管线现金流'!AK3832&amp;"|"&amp;'管线现金流'!I3833&amp;"|"&amp;'管线现金流'!AK3833&amp;"|"&amp;'管线现金流'!I3834&amp;"|"&amp;'管线现金流'!AK3834&amp;"|"&amp;'管线现金流'!I3835&amp;"|"&amp;'管线现金流'!AK3835&amp;"|"&amp;'管线现金流'!I3836&amp;"|"&amp;'管线现金流'!AK3836&amp;"|"&amp;'管线现金流'!I3837&amp;"|"&amp;'管线现金流'!AK3837&amp;"|"&amp;'管线现金流'!I3838&amp;"|"&amp;'管线现金流'!AK3838&amp;"|"&amp;'管线现金流'!I3839&amp;"|"&amp;'管线现金流'!AK3839&amp;"|"&amp;'管线现金流'!I3840&amp;"|"&amp;'管线现金流'!AK3840&amp;"|"&amp;'管线现金流'!I3841&amp;"|"&amp;'管线现金流'!AK3841&amp;"|"&amp;'管线现金流'!I3842&amp;"|"&amp;'管线现金流'!AK3842&amp;"|"&amp;'管线现金流'!I3843&amp;"|"&amp;'管线现金流'!AK3843&amp;"|"&amp;'管线现金流'!I3844&amp;"|"&amp;'管线现金流'!AK3844&amp;"|"&amp;'管线现金流'!I3845&amp;"|"&amp;'管线现金流'!AK3845&amp;"|"&amp;'管线现金流'!I3846&amp;"|"&amp;'管线现金流'!AK3846&amp;"|"&amp;'管线现金流'!I3847&amp;"|"&amp;'管线现金流'!AK3847&amp;"|"&amp;'管线现金流'!I3848&amp;"|"&amp;'管线现金流'!AK3848&amp;"|"&amp;'管线现金流'!I3849&amp;"|"&amp;'管线现金流'!AK3849&amp;"|"&amp;'管线现金流'!I3850&amp;"|"&amp;'管线现金流'!AK3850&amp;"|"&amp;'管线现金流'!I3851&amp;"|"&amp;'管线现金流'!AK3851&amp;"|"&amp;'管线现金流'!I3852&amp;"|"&amp;'管线现金流'!AK3852&amp;"|"&amp;'管线现金流'!I3853&amp;"|"&amp;'管线现金流'!AK3853&amp;"|"&amp;'管线现金流'!I3854&amp;"|"&amp;'管线现金流'!AK3854&amp;"|"&amp;'管线现金流'!I3855&amp;"|"&amp;'管线现金流'!AK3855&amp;"|"&amp;'管线现金流'!I3856&amp;"|"&amp;'管线现金流'!AK3856&amp;"|"&amp;'管线现金流'!I3857&amp;"|"&amp;'管线现金流'!AK3857&amp;"|"&amp;'管线现金流'!I3858&amp;"|"&amp;'管线现金流'!AK3858&amp;"|"&amp;'管线现金流'!I3859&amp;"|"&amp;'管线现金流'!AK3859&amp;"|"&amp;'管线现金流'!I3860&amp;"|"&amp;'管线现金流'!AK3860&amp;"|"&amp;'管线现金流'!I3861&amp;"|"&amp;'管线现金流'!AK3861&amp;"|"&amp;'管线现金流'!I3862&amp;"|"&amp;'管线现金流'!AK3862&amp;"|"&amp;'管线现金流'!I3863&amp;"|"&amp;'管线现金流'!AK3863&amp;"|"&amp;'管线现金流'!I3864&amp;"|"&amp;'管线现金流'!AK3864&amp;"|"&amp;'管线现金流'!I3865&amp;"|"&amp;'管线现金流'!AK3865&amp;"|"&amp;'管线现金流'!I3866&amp;"|"&amp;'管线现金流'!AK3866&amp;"|"&amp;'管线现金流'!I3867&amp;"|"&amp;'管线现金流'!AK3867&amp;"|"&amp;'管线现金流'!I3868&amp;"|"&amp;'管线现金流'!AK3868&amp;"|"&amp;'管线现金流'!I3869&amp;"|"&amp;'管线现金流'!AK3869&amp;"|"&amp;'管线现金流'!I3870&amp;"|"&amp;'管线现金流'!AK3870&amp;"|"&amp;'管线现金流'!I3871&amp;"|"&amp;'管线现金流'!AK3871&amp;"|"&amp;'管线现金流'!I3872&amp;"|"&amp;'管线现金流'!AK3872&amp;"|"&amp;'管线现金流'!I3873&amp;"|"&amp;'管线现金流'!AK3873&amp;"|"&amp;'管线现金流'!I3874&amp;"|"&amp;'管线现金流'!AK3874&amp;"|"&amp;'管线现金流'!I3875&amp;"|"&amp;'管线现金流'!AK3875&amp;"|"&amp;'管线现金流'!I3876&amp;"|"&amp;'管线现金流'!AK3876&amp;"|"&amp;'管线现金流'!I3877&amp;"|"&amp;'管线现金流'!AK3877&amp;"|"&amp;'管线现金流'!I3878&amp;"|"&amp;'管线现金流'!AK3878&amp;"|"&amp;'管线现金流'!I3879&amp;"|"&amp;'管线现金流'!AK3879&amp;"|"&amp;'管线现金流'!I3880&amp;"|"&amp;'管线现金流'!AK3880&amp;"|"&amp;'管线现金流'!I3881&amp;"|"&amp;'管线现金流'!AK3881&amp;"|"&amp;'管线现金流'!I3882&amp;"|"&amp;'管线现金流'!AK3882&amp;"|"&amp;'管线现金流'!I3883&amp;"|"&amp;'管线现金流'!AK3883&amp;"|"&amp;'管线现金流'!I3884&amp;"|"&amp;'管线现金流'!AK3884&amp;"|"&amp;'管线现金流'!I3885&amp;"|"&amp;'管线现金流'!AK3885&amp;"|"&amp;'管线现金流'!I3886&amp;"|"&amp;'管线现金流'!AK3886&amp;"|"&amp;'管线现金流'!I3887&amp;"|"&amp;'管线现金流'!AK3887&amp;"|"&amp;'管线现金流'!I3888&amp;"|"&amp;'管线现金流'!AK3888&amp;"|"&amp;'管线现金流'!I3889&amp;"|"&amp;'管线现金流'!AK3889&amp;"|"&amp;'管线现金流'!I3890&amp;"|"&amp;'管线现金流'!AK3890&amp;"|"&amp;'管线现金流'!I3891&amp;"|"&amp;'管线现金流'!AK3891&amp;"|"&amp;'管线现金流'!I3892&amp;"|"&amp;'管线现金流'!AK3892&amp;"|"&amp;'管线现金流'!I3893&amp;"|"&amp;'管线现金流'!AK3893&amp;"|"&amp;'管线现金流'!I3894&amp;"|"&amp;'管线现金流'!AK3894&amp;"|"&amp;'管线现金流'!I3895&amp;"|"&amp;'管线现金流'!AK3895&amp;"|"&amp;'管线现金流'!I3896&amp;"|"&amp;'管线现金流'!AK3896&amp;"|"&amp;'管线现金流'!I3897&amp;"|"&amp;'管线现金流'!AK3897&amp;"|"&amp;'管线现金流'!I3898&amp;"|"&amp;'管线现金流'!AK3898&amp;"|"&amp;'管线现金流'!I3899&amp;"|"&amp;'管线现金流'!AK3899&amp;"|"&amp;'管线现金流'!I3900&amp;"|"&amp;'管线现金流'!AK3900&amp;"|"&amp;'管线现金流'!I3901&amp;"|"&amp;'管线现金流'!AK3901&amp;"|"&amp;'管线现金流'!I3902&amp;"|"&amp;'管线现金流'!AK3902&amp;"|"&amp;'管线现金流'!I3903&amp;"|"&amp;'管线现金流'!AK3903&amp;"|"&amp;'管线现金流'!I3904&amp;"|"&amp;'管线现金流'!AK3904&amp;"|"&amp;'管线现金流'!I3905&amp;"|"&amp;'管线现金流'!AK3905&amp;"|"&amp;'管线现金流'!I3906&amp;"|"&amp;'管线现金流'!AK3906&amp;"|"&amp;'管线现金流'!I3907&amp;"|"&amp;'管线现金流'!AK3907&amp;"|"&amp;'管线现金流'!I3908&amp;"|"&amp;'管线现金流'!AK3908&amp;"|"&amp;'管线现金流'!I3909&amp;"|"&amp;'管线现金流'!AK3909&amp;"|"&amp;'管线现金流'!I3910&amp;"|"&amp;'管线现金流'!AK3910&amp;"|"&amp;'管线现金流'!I3911&amp;"|"&amp;'管线现金流'!AK3911&amp;"|"&amp;'管线现金流'!I3912&amp;"|"&amp;'管线现金流'!AK3912&amp;"|"&amp;'管线现金流'!I3913&amp;"|"&amp;'管线现金流'!AK3913&amp;"|"&amp;'管线现金流'!I3914&amp;"|"&amp;'管线现金流'!AK3914&amp;"|"&amp;'管线现金流'!I3915&amp;"|"&amp;'管线现金流'!AK3915&amp;"|"&amp;'管线现金流'!I3916&amp;"|"&amp;'管线现金流'!AK3916&amp;"|"&amp;'管线现金流'!I3917&amp;"|"&amp;'管线现金流'!AK3917&amp;"|"&amp;'管线现金流'!I3918&amp;"|"&amp;'管线现金流'!AK3918&amp;"|"&amp;'管线现金流'!I3919&amp;"|"&amp;'管线现金流'!AK3919&amp;"|"&amp;'管线现金流'!I3920&amp;"|"&amp;'管线现金流'!AK3920&amp;"|"&amp;'管线现金流'!I3921&amp;"|"&amp;'管线现金流'!AK3921&amp;"|"&amp;'管线现金流'!I3922&amp;"|"&amp;'管线现金流'!AK3922&amp;"|"&amp;'管线现金流'!I3923&amp;"|"&amp;'管线现金流'!AK3923&amp;"|"&amp;'管线现金流'!I3924&amp;"|"&amp;'管线现金流'!AK3924&amp;"|"&amp;'管线现金流'!I3925&amp;"|"&amp;'管线现金流'!AK3925&amp;"|"&amp;'管线现金流'!I3926&amp;"|"&amp;'管线现金流'!AK3926&amp;"|"&amp;'管线现金流'!I3927&amp;"|"&amp;'管线现金流'!AK3927&amp;"|"&amp;'管线现金流'!I3928&amp;"|"&amp;'管线现金流'!AK3928&amp;"|"&amp;'管线现金流'!I3929&amp;"|"&amp;'管线现金流'!AK3929&amp;"|"&amp;'管线现金流'!I3930&amp;"|"&amp;'管线现金流'!AK3930&amp;"|"&amp;'管线现金流'!V37&amp;"|"&amp;'管线现金流'!Y37&amp;"|"&amp;'管线现金流'!AP37&amp;"|"&amp;'管线现金流'!AS37&amp;"|"&amp;'管线现金流'!V38&amp;"|"&amp;'管线现金流'!Y38&amp;"|"&amp;'管线现金流'!AP38&amp;"|"&amp;'管线现金流'!AS38&amp;"|"&amp;'管线现金流'!V39&amp;"|"&amp;'管线现金流'!Y39&amp;"|"&amp;'管线现金流'!AP39&amp;"|"&amp;'管线现金流'!AS39&amp;"|"&amp;'管线现金流'!V40&amp;"|"&amp;'管线现金流'!Y40&amp;"|"&amp;'管线现金流'!AP40&amp;"|"&amp;'管线现金流'!AS40&amp;"|"&amp;'管线现金流'!V41&amp;"|"&amp;'管线现金流'!Y41&amp;"|"&amp;'管线现金流'!AP41&amp;"|"&amp;'管线现金流'!AS41&amp;"|"&amp;'管线现金流'!V42&amp;"|"&amp;'管线现金流'!Y42&amp;"|"&amp;'管线现金流'!AP42&amp;"|"&amp;'管线现金流'!AS42&amp;"|"&amp;'管线现金流'!V43&amp;"|"&amp;'管线现金流'!Y43&amp;"|"&amp;'管线现金流'!AP43&amp;"|"&amp;'管线现金流'!AS43&amp;"|"&amp;'管线现金流'!V44&amp;"|"&amp;'管线现金流'!Y44&amp;"|"&amp;'管线现金流'!AP44&amp;"|"&amp;'管线现金流'!AS44&amp;"|"&amp;'管线现金流'!V45&amp;"|"&amp;'管线现金流'!Y45&amp;"|"&amp;'管线现金流'!AP45&amp;"|"&amp;'管线现金流'!AS45</x:f>
        <x:v>0.6|1.65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</x:row>
    <x:row r="399" ht="23" customHeight="1">
      <x:c r="A399" s="11" t="str">
        <x:v>02162.HK</x:v>
      </x:c>
      <x:c r="B399" s="11" t="str">
        <x:v>康诺亚-B</x:v>
      </x:c>
      <x:c r="C399" s="11" t="str">
        <x:v>2026年底</x:v>
      </x:c>
      <x:c r="D399" s="11" t="str">
        <x:v>乐观</x:v>
      </x:c>
      <x:c r="E399" s="11" t="n">
        <x:v>78.3</x:v>
      </x:c>
      <x:c r="F399" s="11" t="n">
        <x:v>123.61773893278632</x:v>
      </x:c>
      <x:c r="G399" s="11" t="n">
        <x:v>0</x:v>
      </x:c>
      <x:c r="H399" s="25" t="n">
        <x:v>0.5787706121684077</x:v>
      </x:c>
      <x:c r="I399" s="25" t="n">
        <x:v>0.5787706121684077</x:v>
      </x:c>
      <x:c r="J399" s="25" t="str"/>
      <x:c r="K399" s="11" t="n">
        <x:v>0</x:v>
      </x:c>
      <x:c r="L399" s="11" t="n">
        <x:v>0</x:v>
      </x:c>
      <x:c r="M399" s="11" t="n">
        <x:v>1.1</x:v>
      </x:c>
      <x:c r="N399" s="11" t="n">
        <x:v>0</x:v>
      </x:c>
      <x:c r="O399" s="11" t="n">
        <x:v>0</x:v>
      </x:c>
      <x:c r="P399" s="11" t="n">
        <x:v>0</x:v>
      </x:c>
      <x:c r="Q399" s="11" t="n">
        <x:v>0.299</x:v>
      </x:c>
      <x:c r="R399" s="11" t="str">
        <x:v>keymed-v2-finite-assets-prorated-short-recognition</x:v>
      </x:c>
      <x:c r="S399" s="11" t="str">
        <x:v>2026-10-10</x:v>
      </x:c>
      <x:c r="T399" s="11" t="str">
        <x:f>IF(AND(SUM(IF(K399='假设'!E530,0,1),IF(L399='假设'!F530,0,1),IF(M399='假设'!G530,0,1),IF(N399='假设'!H530,0,1),IF(O399='假设'!I530,0,1),IF(P399='假设'!J530,0,1),IF(Q399='假设'!K530,0,1))=0,U399=V399),"已刷新","待刷新")</x:f>
        <x:v>已刷新</x:v>
      </x:c>
      <x:c r="U399" t="str">
        <x:v>0.25|1.85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  <x:c r="V399" t="str">
        <x:f>'假设'!U530&amp;"|"&amp;'假设'!N530&amp;"|"&amp;'假设'!Q530&amp;"|"&amp;'管线假设'!E810&amp;"|"&amp;'管线假设'!F810&amp;"|"&amp;'管线假设'!G810&amp;"|"&amp;'管线假设'!H810&amp;"|"&amp;'管线假设'!I810&amp;"|"&amp;'管线假设'!E814&amp;"|"&amp;'管线假设'!F814&amp;"|"&amp;'管线假设'!G814&amp;"|"&amp;'管线假设'!H814&amp;"|"&amp;'管线假设'!I814&amp;"|"&amp;'管线假设'!E818&amp;"|"&amp;'管线假设'!F818&amp;"|"&amp;'管线假设'!G818&amp;"|"&amp;'管线假设'!H818&amp;"|"&amp;'管线假设'!I818&amp;"|"&amp;'管线假设'!E822&amp;"|"&amp;'管线假设'!F822&amp;"|"&amp;'管线假设'!G822&amp;"|"&amp;'管线假设'!H822&amp;"|"&amp;'管线假设'!I822&amp;"|"&amp;'管线假设'!E826&amp;"|"&amp;'管线假设'!F826&amp;"|"&amp;'管线假设'!G826&amp;"|"&amp;'管线假设'!H826&amp;"|"&amp;'管线假设'!I826&amp;"|"&amp;'管线假设'!E830&amp;"|"&amp;'管线假设'!F830&amp;"|"&amp;'管线假设'!G830&amp;"|"&amp;'管线假设'!H830&amp;"|"&amp;'管线假设'!I830&amp;"|"&amp;'管线假设'!E834&amp;"|"&amp;'管线假设'!F834&amp;"|"&amp;'管线假设'!G834&amp;"|"&amp;'管线假设'!H834&amp;"|"&amp;'管线假设'!I834&amp;"|"&amp;'管线假设'!E838&amp;"|"&amp;'管线假设'!F838&amp;"|"&amp;'管线假设'!G838&amp;"|"&amp;'管线假设'!H838&amp;"|"&amp;'管线假设'!I838&amp;"|"&amp;'管线假设'!E842&amp;"|"&amp;'管线假设'!F842&amp;"|"&amp;'管线假设'!G842&amp;"|"&amp;'管线假设'!H842&amp;"|"&amp;'管线假设'!I842&amp;"|"&amp;'管线假设'!E846&amp;"|"&amp;'管线假设'!F846&amp;"|"&amp;'管线假设'!G846&amp;"|"&amp;'管线假设'!H846&amp;"|"&amp;'管线假设'!I846&amp;"|"&amp;'管线假设'!E850&amp;"|"&amp;'管线假设'!F850&amp;"|"&amp;'管线假设'!G850&amp;"|"&amp;'管线假设'!H850&amp;"|"&amp;'管线假设'!I850&amp;"|"&amp;'管线现金流'!J3722&amp;"|"&amp;'管线现金流'!AL3722&amp;"|"&amp;'管线现金流'!J3723&amp;"|"&amp;'管线现金流'!AL3723&amp;"|"&amp;'管线现金流'!J3724&amp;"|"&amp;'管线现金流'!AL3724&amp;"|"&amp;'管线现金流'!J3725&amp;"|"&amp;'管线现金流'!AL3725&amp;"|"&amp;'管线现金流'!J3726&amp;"|"&amp;'管线现金流'!AL3726&amp;"|"&amp;'管线现金流'!J3727&amp;"|"&amp;'管线现金流'!AL3727&amp;"|"&amp;'管线现金流'!J3728&amp;"|"&amp;'管线现金流'!AL3728&amp;"|"&amp;'管线现金流'!J3729&amp;"|"&amp;'管线现金流'!AL3729&amp;"|"&amp;'管线现金流'!J3730&amp;"|"&amp;'管线现金流'!AL3730&amp;"|"&amp;'管线现金流'!J3731&amp;"|"&amp;'管线现金流'!AL3731&amp;"|"&amp;'管线现金流'!J3732&amp;"|"&amp;'管线现金流'!AL3732&amp;"|"&amp;'管线现金流'!J3733&amp;"|"&amp;'管线现金流'!AL3733&amp;"|"&amp;'管线现金流'!J3734&amp;"|"&amp;'管线现金流'!AL3734&amp;"|"&amp;'管线现金流'!J3735&amp;"|"&amp;'管线现金流'!AL3735&amp;"|"&amp;'管线现金流'!J3736&amp;"|"&amp;'管线现金流'!AL3736&amp;"|"&amp;'管线现金流'!J3737&amp;"|"&amp;'管线现金流'!AL3737&amp;"|"&amp;'管线现金流'!J3738&amp;"|"&amp;'管线现金流'!AL3738&amp;"|"&amp;'管线现金流'!J3739&amp;"|"&amp;'管线现金流'!AL3739&amp;"|"&amp;'管线现金流'!J3740&amp;"|"&amp;'管线现金流'!AL3740&amp;"|"&amp;'管线现金流'!J3741&amp;"|"&amp;'管线现金流'!AL3741&amp;"|"&amp;'管线现金流'!J3742&amp;"|"&amp;'管线现金流'!AL3742&amp;"|"&amp;'管线现金流'!J3743&amp;"|"&amp;'管线现金流'!AL3743&amp;"|"&amp;'管线现金流'!J3744&amp;"|"&amp;'管线现金流'!AL3744&amp;"|"&amp;'管线现金流'!J3745&amp;"|"&amp;'管线现金流'!AL3745&amp;"|"&amp;'管线现金流'!J3746&amp;"|"&amp;'管线现金流'!AL3746&amp;"|"&amp;'管线现金流'!J3747&amp;"|"&amp;'管线现金流'!AL3747&amp;"|"&amp;'管线现金流'!J3748&amp;"|"&amp;'管线现金流'!AL3748&amp;"|"&amp;'管线现金流'!J3749&amp;"|"&amp;'管线现金流'!AL3749&amp;"|"&amp;'管线现金流'!J3750&amp;"|"&amp;'管线现金流'!AL3750&amp;"|"&amp;'管线现金流'!J3751&amp;"|"&amp;'管线现金流'!AL3751&amp;"|"&amp;'管线现金流'!J3752&amp;"|"&amp;'管线现金流'!AL3752&amp;"|"&amp;'管线现金流'!J3753&amp;"|"&amp;'管线现金流'!AL3753&amp;"|"&amp;'管线现金流'!J3754&amp;"|"&amp;'管线现金流'!AL3754&amp;"|"&amp;'管线现金流'!J3755&amp;"|"&amp;'管线现金流'!AL3755&amp;"|"&amp;'管线现金流'!J3756&amp;"|"&amp;'管线现金流'!AL3756&amp;"|"&amp;'管线现金流'!J3757&amp;"|"&amp;'管线现金流'!AL3757&amp;"|"&amp;'管线现金流'!J3758&amp;"|"&amp;'管线现金流'!AL3758&amp;"|"&amp;'管线现金流'!J3759&amp;"|"&amp;'管线现金流'!AL3759&amp;"|"&amp;'管线现金流'!J3760&amp;"|"&amp;'管线现金流'!AL3760&amp;"|"&amp;'管线现金流'!J3761&amp;"|"&amp;'管线现金流'!AL3761&amp;"|"&amp;'管线现金流'!J3762&amp;"|"&amp;'管线现金流'!AL3762&amp;"|"&amp;'管线现金流'!J3763&amp;"|"&amp;'管线现金流'!AL3763&amp;"|"&amp;'管线现金流'!J3764&amp;"|"&amp;'管线现金流'!AL3764&amp;"|"&amp;'管线现金流'!J3765&amp;"|"&amp;'管线现金流'!AL3765&amp;"|"&amp;'管线现金流'!J3766&amp;"|"&amp;'管线现金流'!AL3766&amp;"|"&amp;'管线现金流'!J3767&amp;"|"&amp;'管线现金流'!AL3767&amp;"|"&amp;'管线现金流'!J3768&amp;"|"&amp;'管线现金流'!AL3768&amp;"|"&amp;'管线现金流'!J3769&amp;"|"&amp;'管线现金流'!AL3769&amp;"|"&amp;'管线现金流'!J3770&amp;"|"&amp;'管线现金流'!AL3770&amp;"|"&amp;'管线现金流'!J3771&amp;"|"&amp;'管线现金流'!AL3771&amp;"|"&amp;'管线现金流'!J3772&amp;"|"&amp;'管线现金流'!AL3772&amp;"|"&amp;'管线现金流'!J3773&amp;"|"&amp;'管线现金流'!AL3773&amp;"|"&amp;'管线现金流'!J3774&amp;"|"&amp;'管线现金流'!AL3774&amp;"|"&amp;'管线现金流'!J3775&amp;"|"&amp;'管线现金流'!AL3775&amp;"|"&amp;'管线现金流'!J3776&amp;"|"&amp;'管线现金流'!AL3776&amp;"|"&amp;'管线现金流'!J3777&amp;"|"&amp;'管线现金流'!AL3777&amp;"|"&amp;'管线现金流'!J3778&amp;"|"&amp;'管线现金流'!AL3778&amp;"|"&amp;'管线现金流'!J3779&amp;"|"&amp;'管线现金流'!AL3779&amp;"|"&amp;'管线现金流'!J3780&amp;"|"&amp;'管线现金流'!AL3780&amp;"|"&amp;'管线现金流'!J3781&amp;"|"&amp;'管线现金流'!AL3781&amp;"|"&amp;'管线现金流'!J3782&amp;"|"&amp;'管线现金流'!AL3782&amp;"|"&amp;'管线现金流'!J3783&amp;"|"&amp;'管线现金流'!AL3783&amp;"|"&amp;'管线现金流'!J3784&amp;"|"&amp;'管线现金流'!AL3784&amp;"|"&amp;'管线现金流'!J3785&amp;"|"&amp;'管线现金流'!AL3785&amp;"|"&amp;'管线现金流'!J3786&amp;"|"&amp;'管线现金流'!AL3786&amp;"|"&amp;'管线现金流'!J3787&amp;"|"&amp;'管线现金流'!AL3787&amp;"|"&amp;'管线现金流'!J3788&amp;"|"&amp;'管线现金流'!AL3788&amp;"|"&amp;'管线现金流'!J3789&amp;"|"&amp;'管线现金流'!AL3789&amp;"|"&amp;'管线现金流'!J3790&amp;"|"&amp;'管线现金流'!AL3790&amp;"|"&amp;'管线现金流'!J3791&amp;"|"&amp;'管线现金流'!AL3791&amp;"|"&amp;'管线现金流'!J3792&amp;"|"&amp;'管线现金流'!AL3792&amp;"|"&amp;'管线现金流'!J3793&amp;"|"&amp;'管线现金流'!AL3793&amp;"|"&amp;'管线现金流'!J3794&amp;"|"&amp;'管线现金流'!AL3794&amp;"|"&amp;'管线现金流'!J3795&amp;"|"&amp;'管线现金流'!AL3795&amp;"|"&amp;'管线现金流'!J3796&amp;"|"&amp;'管线现金流'!AL3796&amp;"|"&amp;'管线现金流'!J3797&amp;"|"&amp;'管线现金流'!AL3797&amp;"|"&amp;'管线现金流'!J3798&amp;"|"&amp;'管线现金流'!AL3798&amp;"|"&amp;'管线现金流'!J3799&amp;"|"&amp;'管线现金流'!AL3799&amp;"|"&amp;'管线现金流'!J3800&amp;"|"&amp;'管线现金流'!AL3800&amp;"|"&amp;'管线现金流'!J3801&amp;"|"&amp;'管线现金流'!AL3801&amp;"|"&amp;'管线现金流'!J3802&amp;"|"&amp;'管线现金流'!AL3802&amp;"|"&amp;'管线现金流'!J3803&amp;"|"&amp;'管线现金流'!AL3803&amp;"|"&amp;'管线现金流'!J3804&amp;"|"&amp;'管线现金流'!AL3804&amp;"|"&amp;'管线现金流'!J3805&amp;"|"&amp;'管线现金流'!AL3805&amp;"|"&amp;'管线现金流'!J3806&amp;"|"&amp;'管线现金流'!AL3806&amp;"|"&amp;'管线现金流'!J3807&amp;"|"&amp;'管线现金流'!AL3807&amp;"|"&amp;'管线现金流'!J3808&amp;"|"&amp;'管线现金流'!AL3808&amp;"|"&amp;'管线现金流'!J3809&amp;"|"&amp;'管线现金流'!AL3809&amp;"|"&amp;'管线现金流'!J3810&amp;"|"&amp;'管线现金流'!AL3810&amp;"|"&amp;'管线现金流'!J3811&amp;"|"&amp;'管线现金流'!AL3811&amp;"|"&amp;'管线现金流'!J3812&amp;"|"&amp;'管线现金流'!AL3812&amp;"|"&amp;'管线现金流'!J3813&amp;"|"&amp;'管线现金流'!AL3813&amp;"|"&amp;'管线现金流'!J3814&amp;"|"&amp;'管线现金流'!AL3814&amp;"|"&amp;'管线现金流'!J3815&amp;"|"&amp;'管线现金流'!AL3815&amp;"|"&amp;'管线现金流'!J3816&amp;"|"&amp;'管线现金流'!AL3816&amp;"|"&amp;'管线现金流'!J3817&amp;"|"&amp;'管线现金流'!AL3817&amp;"|"&amp;'管线现金流'!J3818&amp;"|"&amp;'管线现金流'!AL3818&amp;"|"&amp;'管线现金流'!J3819&amp;"|"&amp;'管线现金流'!AL3819&amp;"|"&amp;'管线现金流'!J3820&amp;"|"&amp;'管线现金流'!AL3820&amp;"|"&amp;'管线现金流'!J3821&amp;"|"&amp;'管线现金流'!AL3821&amp;"|"&amp;'管线现金流'!J3822&amp;"|"&amp;'管线现金流'!AL3822&amp;"|"&amp;'管线现金流'!J3823&amp;"|"&amp;'管线现金流'!AL3823&amp;"|"&amp;'管线现金流'!J3824&amp;"|"&amp;'管线现金流'!AL3824&amp;"|"&amp;'管线现金流'!J3825&amp;"|"&amp;'管线现金流'!AL3825&amp;"|"&amp;'管线现金流'!J3826&amp;"|"&amp;'管线现金流'!AL3826&amp;"|"&amp;'管线现金流'!J3827&amp;"|"&amp;'管线现金流'!AL3827&amp;"|"&amp;'管线现金流'!J3828&amp;"|"&amp;'管线现金流'!AL3828&amp;"|"&amp;'管线现金流'!J3829&amp;"|"&amp;'管线现金流'!AL3829&amp;"|"&amp;'管线现金流'!J3830&amp;"|"&amp;'管线现金流'!AL3830&amp;"|"&amp;'管线现金流'!J3831&amp;"|"&amp;'管线现金流'!AL3831&amp;"|"&amp;'管线现金流'!J3832&amp;"|"&amp;'管线现金流'!AL3832&amp;"|"&amp;'管线现金流'!J3833&amp;"|"&amp;'管线现金流'!AL3833&amp;"|"&amp;'管线现金流'!J3834&amp;"|"&amp;'管线现金流'!AL3834&amp;"|"&amp;'管线现金流'!J3835&amp;"|"&amp;'管线现金流'!AL3835&amp;"|"&amp;'管线现金流'!J3836&amp;"|"&amp;'管线现金流'!AL3836&amp;"|"&amp;'管线现金流'!J3837&amp;"|"&amp;'管线现金流'!AL3837&amp;"|"&amp;'管线现金流'!J3838&amp;"|"&amp;'管线现金流'!AL3838&amp;"|"&amp;'管线现金流'!J3839&amp;"|"&amp;'管线现金流'!AL3839&amp;"|"&amp;'管线现金流'!J3840&amp;"|"&amp;'管线现金流'!AL3840&amp;"|"&amp;'管线现金流'!J3841&amp;"|"&amp;'管线现金流'!AL3841&amp;"|"&amp;'管线现金流'!J3842&amp;"|"&amp;'管线现金流'!AL3842&amp;"|"&amp;'管线现金流'!J3843&amp;"|"&amp;'管线现金流'!AL3843&amp;"|"&amp;'管线现金流'!J3844&amp;"|"&amp;'管线现金流'!AL3844&amp;"|"&amp;'管线现金流'!J3845&amp;"|"&amp;'管线现金流'!AL3845&amp;"|"&amp;'管线现金流'!J3846&amp;"|"&amp;'管线现金流'!AL3846&amp;"|"&amp;'管线现金流'!J3847&amp;"|"&amp;'管线现金流'!AL3847&amp;"|"&amp;'管线现金流'!J3848&amp;"|"&amp;'管线现金流'!AL3848&amp;"|"&amp;'管线现金流'!J3849&amp;"|"&amp;'管线现金流'!AL3849&amp;"|"&amp;'管线现金流'!J3850&amp;"|"&amp;'管线现金流'!AL3850&amp;"|"&amp;'管线现金流'!J3851&amp;"|"&amp;'管线现金流'!AL3851&amp;"|"&amp;'管线现金流'!J3852&amp;"|"&amp;'管线现金流'!AL3852&amp;"|"&amp;'管线现金流'!J3853&amp;"|"&amp;'管线现金流'!AL3853&amp;"|"&amp;'管线现金流'!J3854&amp;"|"&amp;'管线现金流'!AL3854&amp;"|"&amp;'管线现金流'!J3855&amp;"|"&amp;'管线现金流'!AL3855&amp;"|"&amp;'管线现金流'!J3856&amp;"|"&amp;'管线现金流'!AL3856&amp;"|"&amp;'管线现金流'!J3857&amp;"|"&amp;'管线现金流'!AL3857&amp;"|"&amp;'管线现金流'!J3858&amp;"|"&amp;'管线现金流'!AL3858&amp;"|"&amp;'管线现金流'!J3859&amp;"|"&amp;'管线现金流'!AL3859&amp;"|"&amp;'管线现金流'!J3860&amp;"|"&amp;'管线现金流'!AL3860&amp;"|"&amp;'管线现金流'!J3861&amp;"|"&amp;'管线现金流'!AL3861&amp;"|"&amp;'管线现金流'!J3862&amp;"|"&amp;'管线现金流'!AL3862&amp;"|"&amp;'管线现金流'!J3863&amp;"|"&amp;'管线现金流'!AL3863&amp;"|"&amp;'管线现金流'!J3864&amp;"|"&amp;'管线现金流'!AL3864&amp;"|"&amp;'管线现金流'!J3865&amp;"|"&amp;'管线现金流'!AL3865&amp;"|"&amp;'管线现金流'!J3866&amp;"|"&amp;'管线现金流'!AL3866&amp;"|"&amp;'管线现金流'!J3867&amp;"|"&amp;'管线现金流'!AL3867&amp;"|"&amp;'管线现金流'!J3868&amp;"|"&amp;'管线现金流'!AL3868&amp;"|"&amp;'管线现金流'!J3869&amp;"|"&amp;'管线现金流'!AL3869&amp;"|"&amp;'管线现金流'!J3870&amp;"|"&amp;'管线现金流'!AL3870&amp;"|"&amp;'管线现金流'!J3871&amp;"|"&amp;'管线现金流'!AL3871&amp;"|"&amp;'管线现金流'!J3872&amp;"|"&amp;'管线现金流'!AL3872&amp;"|"&amp;'管线现金流'!J3873&amp;"|"&amp;'管线现金流'!AL3873&amp;"|"&amp;'管线现金流'!J3874&amp;"|"&amp;'管线现金流'!AL3874&amp;"|"&amp;'管线现金流'!J3875&amp;"|"&amp;'管线现金流'!AL3875&amp;"|"&amp;'管线现金流'!J3876&amp;"|"&amp;'管线现金流'!AL3876&amp;"|"&amp;'管线现金流'!J3877&amp;"|"&amp;'管线现金流'!AL3877&amp;"|"&amp;'管线现金流'!J3878&amp;"|"&amp;'管线现金流'!AL3878&amp;"|"&amp;'管线现金流'!J3879&amp;"|"&amp;'管线现金流'!AL3879&amp;"|"&amp;'管线现金流'!J3880&amp;"|"&amp;'管线现金流'!AL3880&amp;"|"&amp;'管线现金流'!J3881&amp;"|"&amp;'管线现金流'!AL3881&amp;"|"&amp;'管线现金流'!J3882&amp;"|"&amp;'管线现金流'!AL3882&amp;"|"&amp;'管线现金流'!J3883&amp;"|"&amp;'管线现金流'!AL3883&amp;"|"&amp;'管线现金流'!J3884&amp;"|"&amp;'管线现金流'!AL3884&amp;"|"&amp;'管线现金流'!J3885&amp;"|"&amp;'管线现金流'!AL3885&amp;"|"&amp;'管线现金流'!J3886&amp;"|"&amp;'管线现金流'!AL3886&amp;"|"&amp;'管线现金流'!J3887&amp;"|"&amp;'管线现金流'!AL3887&amp;"|"&amp;'管线现金流'!J3888&amp;"|"&amp;'管线现金流'!AL3888&amp;"|"&amp;'管线现金流'!J3889&amp;"|"&amp;'管线现金流'!AL3889&amp;"|"&amp;'管线现金流'!J3890&amp;"|"&amp;'管线现金流'!AL3890&amp;"|"&amp;'管线现金流'!J3891&amp;"|"&amp;'管线现金流'!AL3891&amp;"|"&amp;'管线现金流'!J3892&amp;"|"&amp;'管线现金流'!AL3892&amp;"|"&amp;'管线现金流'!J3893&amp;"|"&amp;'管线现金流'!AL3893&amp;"|"&amp;'管线现金流'!J3894&amp;"|"&amp;'管线现金流'!AL3894&amp;"|"&amp;'管线现金流'!J3895&amp;"|"&amp;'管线现金流'!AL3895&amp;"|"&amp;'管线现金流'!J3896&amp;"|"&amp;'管线现金流'!AL3896&amp;"|"&amp;'管线现金流'!J3897&amp;"|"&amp;'管线现金流'!AL3897&amp;"|"&amp;'管线现金流'!J3898&amp;"|"&amp;'管线现金流'!AL3898&amp;"|"&amp;'管线现金流'!J3899&amp;"|"&amp;'管线现金流'!AL3899&amp;"|"&amp;'管线现金流'!J3900&amp;"|"&amp;'管线现金流'!AL3900&amp;"|"&amp;'管线现金流'!J3901&amp;"|"&amp;'管线现金流'!AL3901&amp;"|"&amp;'管线现金流'!J3902&amp;"|"&amp;'管线现金流'!AL3902&amp;"|"&amp;'管线现金流'!J3903&amp;"|"&amp;'管线现金流'!AL3903&amp;"|"&amp;'管线现金流'!J3904&amp;"|"&amp;'管线现金流'!AL3904&amp;"|"&amp;'管线现金流'!J3905&amp;"|"&amp;'管线现金流'!AL3905&amp;"|"&amp;'管线现金流'!J3906&amp;"|"&amp;'管线现金流'!AL3906&amp;"|"&amp;'管线现金流'!J3907&amp;"|"&amp;'管线现金流'!AL3907&amp;"|"&amp;'管线现金流'!J3908&amp;"|"&amp;'管线现金流'!AL3908&amp;"|"&amp;'管线现金流'!J3909&amp;"|"&amp;'管线现金流'!AL3909&amp;"|"&amp;'管线现金流'!J3910&amp;"|"&amp;'管线现金流'!AL3910&amp;"|"&amp;'管线现金流'!J3911&amp;"|"&amp;'管线现金流'!AL3911&amp;"|"&amp;'管线现金流'!J3912&amp;"|"&amp;'管线现金流'!AL3912&amp;"|"&amp;'管线现金流'!J3913&amp;"|"&amp;'管线现金流'!AL3913&amp;"|"&amp;'管线现金流'!J3914&amp;"|"&amp;'管线现金流'!AL3914&amp;"|"&amp;'管线现金流'!J3915&amp;"|"&amp;'管线现金流'!AL3915&amp;"|"&amp;'管线现金流'!J3916&amp;"|"&amp;'管线现金流'!AL3916&amp;"|"&amp;'管线现金流'!J3917&amp;"|"&amp;'管线现金流'!AL3917&amp;"|"&amp;'管线现金流'!J3918&amp;"|"&amp;'管线现金流'!AL3918&amp;"|"&amp;'管线现金流'!J3919&amp;"|"&amp;'管线现金流'!AL3919&amp;"|"&amp;'管线现金流'!J3920&amp;"|"&amp;'管线现金流'!AL3920&amp;"|"&amp;'管线现金流'!J3921&amp;"|"&amp;'管线现金流'!AL3921&amp;"|"&amp;'管线现金流'!J3922&amp;"|"&amp;'管线现金流'!AL3922&amp;"|"&amp;'管线现金流'!J3923&amp;"|"&amp;'管线现金流'!AL3923&amp;"|"&amp;'管线现金流'!J3924&amp;"|"&amp;'管线现金流'!AL3924&amp;"|"&amp;'管线现金流'!J3925&amp;"|"&amp;'管线现金流'!AL3925&amp;"|"&amp;'管线现金流'!J3926&amp;"|"&amp;'管线现金流'!AL3926&amp;"|"&amp;'管线现金流'!J3927&amp;"|"&amp;'管线现金流'!AL3927&amp;"|"&amp;'管线现金流'!J3928&amp;"|"&amp;'管线现金流'!AL3928&amp;"|"&amp;'管线现金流'!J3929&amp;"|"&amp;'管线现金流'!AL3929&amp;"|"&amp;'管线现金流'!J3930&amp;"|"&amp;'管线现金流'!AL3930&amp;"|"&amp;'管线现金流'!W37&amp;"|"&amp;'管线现金流'!Z37&amp;"|"&amp;'管线现金流'!AQ37&amp;"|"&amp;'管线现金流'!AT37&amp;"|"&amp;'管线现金流'!W38&amp;"|"&amp;'管线现金流'!Z38&amp;"|"&amp;'管线现金流'!AQ38&amp;"|"&amp;'管线现金流'!AT38&amp;"|"&amp;'管线现金流'!W39&amp;"|"&amp;'管线现金流'!Z39&amp;"|"&amp;'管线现金流'!AQ39&amp;"|"&amp;'管线现金流'!AT39&amp;"|"&amp;'管线现金流'!W40&amp;"|"&amp;'管线现金流'!Z40&amp;"|"&amp;'管线现金流'!AQ40&amp;"|"&amp;'管线现金流'!AT40&amp;"|"&amp;'管线现金流'!W41&amp;"|"&amp;'管线现金流'!Z41&amp;"|"&amp;'管线现金流'!AQ41&amp;"|"&amp;'管线现金流'!AT41&amp;"|"&amp;'管线现金流'!W42&amp;"|"&amp;'管线现金流'!Z42&amp;"|"&amp;'管线现金流'!AQ42&amp;"|"&amp;'管线现金流'!AT42&amp;"|"&amp;'管线现金流'!W43&amp;"|"&amp;'管线现金流'!Z43&amp;"|"&amp;'管线现金流'!AQ43&amp;"|"&amp;'管线现金流'!AT43&amp;"|"&amp;'管线现金流'!W44&amp;"|"&amp;'管线现金流'!Z44&amp;"|"&amp;'管线现金流'!AQ44&amp;"|"&amp;'管线现金流'!AT44&amp;"|"&amp;'管线现金流'!W45&amp;"|"&amp;'管线现金流'!Z45&amp;"|"&amp;'管线现金流'!AQ45&amp;"|"&amp;'管线现金流'!AT45</x:f>
        <x:v>0.25|1.85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</x:row>
    <x:row r="400" ht="23" customHeight="1">
      <x:c r="A400" s="11" t="str">
        <x:v>02162.HK</x:v>
      </x:c>
      <x:c r="B400" s="11" t="str">
        <x:v>康诺亚-B</x:v>
      </x:c>
      <x:c r="C400" s="11" t="str">
        <x:v>半年</x:v>
      </x:c>
      <x:c r="D400" s="11" t="str">
        <x:v>悲观</x:v>
      </x:c>
      <x:c r="E400" s="11" t="n">
        <x:v>78.3</x:v>
      </x:c>
      <x:c r="F400" s="11" t="n">
        <x:v>32.84023987937715</x:v>
      </x:c>
      <x:c r="G400" s="11" t="n">
        <x:v>0</x:v>
      </x:c>
      <x:c r="H400" s="25" t="n">
        <x:v>-0.580584420442182</x:v>
      </x:c>
      <x:c r="I400" s="25" t="n">
        <x:v>-0.580584420442182</x:v>
      </x:c>
      <x:c r="J400" s="25" t="str"/>
      <x:c r="K400" s="11" t="n">
        <x:v>0</x:v>
      </x:c>
      <x:c r="L400" s="11" t="n">
        <x:v>0</x:v>
      </x:c>
      <x:c r="M400" s="11" t="n">
        <x:v>1.1</x:v>
      </x:c>
      <x:c r="N400" s="11" t="n">
        <x:v>0</x:v>
      </x:c>
      <x:c r="O400" s="11" t="n">
        <x:v>0</x:v>
      </x:c>
      <x:c r="P400" s="11" t="n">
        <x:v>0</x:v>
      </x:c>
      <x:c r="Q400" s="11" t="n">
        <x:v>0.312</x:v>
      </x:c>
      <x:c r="R400" s="11" t="str">
        <x:v>keymed-v2-finite-assets-prorated-short-recognition</x:v>
      </x:c>
      <x:c r="S400" s="11" t="str">
        <x:v>2026-10-10</x:v>
      </x:c>
      <x:c r="T400" s="11" t="str">
        <x:f>IF(AND(SUM(IF(K400='假设'!E532,0,1),IF(L400='假设'!F532,0,1),IF(M400='假设'!G532,0,1),IF(N400='假设'!H532,0,1),IF(O400='假设'!I532,0,1),IF(P400='假设'!J532,0,1),IF(Q400='假设'!K532,0,1))=0,U400=V400),"已刷新","待刷新")</x:f>
        <x:v>已刷新</x:v>
      </x:c>
      <x:c r="U400" t="str">
        <x:v>0.65|0.9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  <x:c r="V400" t="str">
        <x:f>'假设'!U532&amp;"|"&amp;'假设'!N532&amp;"|"&amp;'假设'!Q532&amp;"|"&amp;'管线假设'!E852&amp;"|"&amp;'管线假设'!F852&amp;"|"&amp;'管线假设'!G852&amp;"|"&amp;'管线假设'!H852&amp;"|"&amp;'管线假设'!I852&amp;"|"&amp;'管线假设'!E856&amp;"|"&amp;'管线假设'!F856&amp;"|"&amp;'管线假设'!G856&amp;"|"&amp;'管线假设'!H856&amp;"|"&amp;'管线假设'!I856&amp;"|"&amp;'管线假设'!E860&amp;"|"&amp;'管线假设'!F860&amp;"|"&amp;'管线假设'!G860&amp;"|"&amp;'管线假设'!H860&amp;"|"&amp;'管线假设'!I860&amp;"|"&amp;'管线假设'!E864&amp;"|"&amp;'管线假设'!F864&amp;"|"&amp;'管线假设'!G864&amp;"|"&amp;'管线假设'!H864&amp;"|"&amp;'管线假设'!I864&amp;"|"&amp;'管线假设'!E868&amp;"|"&amp;'管线假设'!F868&amp;"|"&amp;'管线假设'!G868&amp;"|"&amp;'管线假设'!H868&amp;"|"&amp;'管线假设'!I868&amp;"|"&amp;'管线假设'!E872&amp;"|"&amp;'管线假设'!F872&amp;"|"&amp;'管线假设'!G872&amp;"|"&amp;'管线假设'!H872&amp;"|"&amp;'管线假设'!I872&amp;"|"&amp;'管线假设'!E876&amp;"|"&amp;'管线假设'!F876&amp;"|"&amp;'管线假设'!G876&amp;"|"&amp;'管线假设'!H876&amp;"|"&amp;'管线假设'!I876&amp;"|"&amp;'管线假设'!E880&amp;"|"&amp;'管线假设'!F880&amp;"|"&amp;'管线假设'!G880&amp;"|"&amp;'管线假设'!H880&amp;"|"&amp;'管线假设'!I880&amp;"|"&amp;'管线假设'!E884&amp;"|"&amp;'管线假设'!F884&amp;"|"&amp;'管线假设'!G884&amp;"|"&amp;'管线假设'!H884&amp;"|"&amp;'管线假设'!I884&amp;"|"&amp;'管线假设'!E888&amp;"|"&amp;'管线假设'!F888&amp;"|"&amp;'管线假设'!G888&amp;"|"&amp;'管线假设'!H888&amp;"|"&amp;'管线假设'!I888&amp;"|"&amp;'管线假设'!E892&amp;"|"&amp;'管线假设'!F892&amp;"|"&amp;'管线假设'!G892&amp;"|"&amp;'管线假设'!H892&amp;"|"&amp;'管线假设'!I892&amp;"|"&amp;'管线现金流'!H3931&amp;"|"&amp;'管线现金流'!AJ3931&amp;"|"&amp;'管线现金流'!H3932&amp;"|"&amp;'管线现金流'!AJ3932&amp;"|"&amp;'管线现金流'!H3933&amp;"|"&amp;'管线现金流'!AJ3933&amp;"|"&amp;'管线现金流'!H3934&amp;"|"&amp;'管线现金流'!AJ3934&amp;"|"&amp;'管线现金流'!H3935&amp;"|"&amp;'管线现金流'!AJ3935&amp;"|"&amp;'管线现金流'!H3936&amp;"|"&amp;'管线现金流'!AJ3936&amp;"|"&amp;'管线现金流'!H3937&amp;"|"&amp;'管线现金流'!AJ3937&amp;"|"&amp;'管线现金流'!H3938&amp;"|"&amp;'管线现金流'!AJ3938&amp;"|"&amp;'管线现金流'!H3939&amp;"|"&amp;'管线现金流'!AJ3939&amp;"|"&amp;'管线现金流'!H3940&amp;"|"&amp;'管线现金流'!AJ3940&amp;"|"&amp;'管线现金流'!H3941&amp;"|"&amp;'管线现金流'!AJ3941&amp;"|"&amp;'管线现金流'!H3942&amp;"|"&amp;'管线现金流'!AJ3942&amp;"|"&amp;'管线现金流'!H3943&amp;"|"&amp;'管线现金流'!AJ3943&amp;"|"&amp;'管线现金流'!H3944&amp;"|"&amp;'管线现金流'!AJ3944&amp;"|"&amp;'管线现金流'!H3945&amp;"|"&amp;'管线现金流'!AJ3945&amp;"|"&amp;'管线现金流'!H3946&amp;"|"&amp;'管线现金流'!AJ3946&amp;"|"&amp;'管线现金流'!H3947&amp;"|"&amp;'管线现金流'!AJ3947&amp;"|"&amp;'管线现金流'!H3948&amp;"|"&amp;'管线现金流'!AJ3948&amp;"|"&amp;'管线现金流'!H3949&amp;"|"&amp;'管线现金流'!AJ3949&amp;"|"&amp;'管线现金流'!H3950&amp;"|"&amp;'管线现金流'!AJ3950&amp;"|"&amp;'管线现金流'!H3951&amp;"|"&amp;'管线现金流'!AJ3951&amp;"|"&amp;'管线现金流'!H3952&amp;"|"&amp;'管线现金流'!AJ3952&amp;"|"&amp;'管线现金流'!H3953&amp;"|"&amp;'管线现金流'!AJ3953&amp;"|"&amp;'管线现金流'!H3954&amp;"|"&amp;'管线现金流'!AJ3954&amp;"|"&amp;'管线现金流'!H3955&amp;"|"&amp;'管线现金流'!AJ3955&amp;"|"&amp;'管线现金流'!H3956&amp;"|"&amp;'管线现金流'!AJ3956&amp;"|"&amp;'管线现金流'!H3957&amp;"|"&amp;'管线现金流'!AJ3957&amp;"|"&amp;'管线现金流'!H3958&amp;"|"&amp;'管线现金流'!AJ3958&amp;"|"&amp;'管线现金流'!H3959&amp;"|"&amp;'管线现金流'!AJ3959&amp;"|"&amp;'管线现金流'!H3960&amp;"|"&amp;'管线现金流'!AJ3960&amp;"|"&amp;'管线现金流'!H3961&amp;"|"&amp;'管线现金流'!AJ3961&amp;"|"&amp;'管线现金流'!H3962&amp;"|"&amp;'管线现金流'!AJ3962&amp;"|"&amp;'管线现金流'!H3963&amp;"|"&amp;'管线现金流'!AJ3963&amp;"|"&amp;'管线现金流'!H3964&amp;"|"&amp;'管线现金流'!AJ3964&amp;"|"&amp;'管线现金流'!H3965&amp;"|"&amp;'管线现金流'!AJ3965&amp;"|"&amp;'管线现金流'!H3966&amp;"|"&amp;'管线现金流'!AJ3966&amp;"|"&amp;'管线现金流'!H3967&amp;"|"&amp;'管线现金流'!AJ3967&amp;"|"&amp;'管线现金流'!H3968&amp;"|"&amp;'管线现金流'!AJ3968&amp;"|"&amp;'管线现金流'!H3969&amp;"|"&amp;'管线现金流'!AJ3969&amp;"|"&amp;'管线现金流'!H3970&amp;"|"&amp;'管线现金流'!AJ3970&amp;"|"&amp;'管线现金流'!H3971&amp;"|"&amp;'管线现金流'!AJ3971&amp;"|"&amp;'管线现金流'!H3972&amp;"|"&amp;'管线现金流'!AJ3972&amp;"|"&amp;'管线现金流'!H3973&amp;"|"&amp;'管线现金流'!AJ3973&amp;"|"&amp;'管线现金流'!H3974&amp;"|"&amp;'管线现金流'!AJ3974&amp;"|"&amp;'管线现金流'!H3975&amp;"|"&amp;'管线现金流'!AJ3975&amp;"|"&amp;'管线现金流'!H3976&amp;"|"&amp;'管线现金流'!AJ3976&amp;"|"&amp;'管线现金流'!H3977&amp;"|"&amp;'管线现金流'!AJ3977&amp;"|"&amp;'管线现金流'!H3978&amp;"|"&amp;'管线现金流'!AJ3978&amp;"|"&amp;'管线现金流'!H3979&amp;"|"&amp;'管线现金流'!AJ3979&amp;"|"&amp;'管线现金流'!H3980&amp;"|"&amp;'管线现金流'!AJ3980&amp;"|"&amp;'管线现金流'!H3981&amp;"|"&amp;'管线现金流'!AJ3981&amp;"|"&amp;'管线现金流'!H3982&amp;"|"&amp;'管线现金流'!AJ3982&amp;"|"&amp;'管线现金流'!H3983&amp;"|"&amp;'管线现金流'!AJ3983&amp;"|"&amp;'管线现金流'!H3984&amp;"|"&amp;'管线现金流'!AJ3984&amp;"|"&amp;'管线现金流'!H3985&amp;"|"&amp;'管线现金流'!AJ3985&amp;"|"&amp;'管线现金流'!H3986&amp;"|"&amp;'管线现金流'!AJ3986&amp;"|"&amp;'管线现金流'!H3987&amp;"|"&amp;'管线现金流'!AJ3987&amp;"|"&amp;'管线现金流'!H3988&amp;"|"&amp;'管线现金流'!AJ3988&amp;"|"&amp;'管线现金流'!H3989&amp;"|"&amp;'管线现金流'!AJ3989&amp;"|"&amp;'管线现金流'!H3990&amp;"|"&amp;'管线现金流'!AJ3990&amp;"|"&amp;'管线现金流'!H3991&amp;"|"&amp;'管线现金流'!AJ3991&amp;"|"&amp;'管线现金流'!H3992&amp;"|"&amp;'管线现金流'!AJ3992&amp;"|"&amp;'管线现金流'!H3993&amp;"|"&amp;'管线现金流'!AJ3993&amp;"|"&amp;'管线现金流'!H3994&amp;"|"&amp;'管线现金流'!AJ3994&amp;"|"&amp;'管线现金流'!H3995&amp;"|"&amp;'管线现金流'!AJ3995&amp;"|"&amp;'管线现金流'!H3996&amp;"|"&amp;'管线现金流'!AJ3996&amp;"|"&amp;'管线现金流'!H3997&amp;"|"&amp;'管线现金流'!AJ3997&amp;"|"&amp;'管线现金流'!H3998&amp;"|"&amp;'管线现金流'!AJ3998&amp;"|"&amp;'管线现金流'!H3999&amp;"|"&amp;'管线现金流'!AJ3999&amp;"|"&amp;'管线现金流'!H4000&amp;"|"&amp;'管线现金流'!AJ4000&amp;"|"&amp;'管线现金流'!H4001&amp;"|"&amp;'管线现金流'!AJ4001&amp;"|"&amp;'管线现金流'!H4002&amp;"|"&amp;'管线现金流'!AJ4002&amp;"|"&amp;'管线现金流'!H4003&amp;"|"&amp;'管线现金流'!AJ4003&amp;"|"&amp;'管线现金流'!H4004&amp;"|"&amp;'管线现金流'!AJ4004&amp;"|"&amp;'管线现金流'!H4005&amp;"|"&amp;'管线现金流'!AJ4005&amp;"|"&amp;'管线现金流'!H4006&amp;"|"&amp;'管线现金流'!AJ4006&amp;"|"&amp;'管线现金流'!H4007&amp;"|"&amp;'管线现金流'!AJ4007&amp;"|"&amp;'管线现金流'!H4008&amp;"|"&amp;'管线现金流'!AJ4008&amp;"|"&amp;'管线现金流'!H4009&amp;"|"&amp;'管线现金流'!AJ4009&amp;"|"&amp;'管线现金流'!H4010&amp;"|"&amp;'管线现金流'!AJ4010&amp;"|"&amp;'管线现金流'!H4011&amp;"|"&amp;'管线现金流'!AJ4011&amp;"|"&amp;'管线现金流'!H4012&amp;"|"&amp;'管线现金流'!AJ4012&amp;"|"&amp;'管线现金流'!H4013&amp;"|"&amp;'管线现金流'!AJ4013&amp;"|"&amp;'管线现金流'!H4014&amp;"|"&amp;'管线现金流'!AJ4014&amp;"|"&amp;'管线现金流'!H4015&amp;"|"&amp;'管线现金流'!AJ4015&amp;"|"&amp;'管线现金流'!H4016&amp;"|"&amp;'管线现金流'!AJ4016&amp;"|"&amp;'管线现金流'!H4017&amp;"|"&amp;'管线现金流'!AJ4017&amp;"|"&amp;'管线现金流'!H4018&amp;"|"&amp;'管线现金流'!AJ4018&amp;"|"&amp;'管线现金流'!H4019&amp;"|"&amp;'管线现金流'!AJ4019&amp;"|"&amp;'管线现金流'!H4020&amp;"|"&amp;'管线现金流'!AJ4020&amp;"|"&amp;'管线现金流'!H4021&amp;"|"&amp;'管线现金流'!AJ4021&amp;"|"&amp;'管线现金流'!H4022&amp;"|"&amp;'管线现金流'!AJ4022&amp;"|"&amp;'管线现金流'!H4023&amp;"|"&amp;'管线现金流'!AJ4023&amp;"|"&amp;'管线现金流'!H4024&amp;"|"&amp;'管线现金流'!AJ4024&amp;"|"&amp;'管线现金流'!H4025&amp;"|"&amp;'管线现金流'!AJ4025&amp;"|"&amp;'管线现金流'!H4026&amp;"|"&amp;'管线现金流'!AJ4026&amp;"|"&amp;'管线现金流'!H4027&amp;"|"&amp;'管线现金流'!AJ4027&amp;"|"&amp;'管线现金流'!H4028&amp;"|"&amp;'管线现金流'!AJ4028&amp;"|"&amp;'管线现金流'!H4029&amp;"|"&amp;'管线现金流'!AJ4029&amp;"|"&amp;'管线现金流'!H4030&amp;"|"&amp;'管线现金流'!AJ4030&amp;"|"&amp;'管线现金流'!H4031&amp;"|"&amp;'管线现金流'!AJ4031&amp;"|"&amp;'管线现金流'!H4032&amp;"|"&amp;'管线现金流'!AJ4032&amp;"|"&amp;'管线现金流'!H4033&amp;"|"&amp;'管线现金流'!AJ4033&amp;"|"&amp;'管线现金流'!H4034&amp;"|"&amp;'管线现金流'!AJ4034&amp;"|"&amp;'管线现金流'!H4035&amp;"|"&amp;'管线现金流'!AJ4035&amp;"|"&amp;'管线现金流'!H4036&amp;"|"&amp;'管线现金流'!AJ4036&amp;"|"&amp;'管线现金流'!H4037&amp;"|"&amp;'管线现金流'!AJ4037&amp;"|"&amp;'管线现金流'!H4038&amp;"|"&amp;'管线现金流'!AJ4038&amp;"|"&amp;'管线现金流'!H4039&amp;"|"&amp;'管线现金流'!AJ4039&amp;"|"&amp;'管线现金流'!H4040&amp;"|"&amp;'管线现金流'!AJ4040&amp;"|"&amp;'管线现金流'!H4041&amp;"|"&amp;'管线现金流'!AJ4041&amp;"|"&amp;'管线现金流'!H4042&amp;"|"&amp;'管线现金流'!AJ4042&amp;"|"&amp;'管线现金流'!H4043&amp;"|"&amp;'管线现金流'!AJ4043&amp;"|"&amp;'管线现金流'!H4044&amp;"|"&amp;'管线现金流'!AJ4044&amp;"|"&amp;'管线现金流'!H4045&amp;"|"&amp;'管线现金流'!AJ4045&amp;"|"&amp;'管线现金流'!H4046&amp;"|"&amp;'管线现金流'!AJ4046&amp;"|"&amp;'管线现金流'!H4047&amp;"|"&amp;'管线现金流'!AJ4047&amp;"|"&amp;'管线现金流'!H4048&amp;"|"&amp;'管线现金流'!AJ4048&amp;"|"&amp;'管线现金流'!H4049&amp;"|"&amp;'管线现金流'!AJ4049&amp;"|"&amp;'管线现金流'!H4050&amp;"|"&amp;'管线现金流'!AJ4050&amp;"|"&amp;'管线现金流'!H4051&amp;"|"&amp;'管线现金流'!AJ4051&amp;"|"&amp;'管线现金流'!H4052&amp;"|"&amp;'管线现金流'!AJ4052&amp;"|"&amp;'管线现金流'!H4053&amp;"|"&amp;'管线现金流'!AJ4053&amp;"|"&amp;'管线现金流'!H4054&amp;"|"&amp;'管线现金流'!AJ4054&amp;"|"&amp;'管线现金流'!H4055&amp;"|"&amp;'管线现金流'!AJ4055&amp;"|"&amp;'管线现金流'!H4056&amp;"|"&amp;'管线现金流'!AJ4056&amp;"|"&amp;'管线现金流'!H4057&amp;"|"&amp;'管线现金流'!AJ4057&amp;"|"&amp;'管线现金流'!H4058&amp;"|"&amp;'管线现金流'!AJ4058&amp;"|"&amp;'管线现金流'!H4059&amp;"|"&amp;'管线现金流'!AJ4059&amp;"|"&amp;'管线现金流'!H4060&amp;"|"&amp;'管线现金流'!AJ4060&amp;"|"&amp;'管线现金流'!H4061&amp;"|"&amp;'管线现金流'!AJ4061&amp;"|"&amp;'管线现金流'!H4062&amp;"|"&amp;'管线现金流'!AJ4062&amp;"|"&amp;'管线现金流'!H4063&amp;"|"&amp;'管线现金流'!AJ4063&amp;"|"&amp;'管线现金流'!H4064&amp;"|"&amp;'管线现金流'!AJ4064&amp;"|"&amp;'管线现金流'!H4065&amp;"|"&amp;'管线现金流'!AJ4065&amp;"|"&amp;'管线现金流'!H4066&amp;"|"&amp;'管线现金流'!AJ4066&amp;"|"&amp;'管线现金流'!H4067&amp;"|"&amp;'管线现金流'!AJ4067&amp;"|"&amp;'管线现金流'!H4068&amp;"|"&amp;'管线现金流'!AJ4068&amp;"|"&amp;'管线现金流'!H4069&amp;"|"&amp;'管线现金流'!AJ4069&amp;"|"&amp;'管线现金流'!H4070&amp;"|"&amp;'管线现金流'!AJ4070&amp;"|"&amp;'管线现金流'!H4071&amp;"|"&amp;'管线现金流'!AJ4071&amp;"|"&amp;'管线现金流'!H4072&amp;"|"&amp;'管线现金流'!AJ4072&amp;"|"&amp;'管线现金流'!H4073&amp;"|"&amp;'管线现金流'!AJ4073&amp;"|"&amp;'管线现金流'!H4074&amp;"|"&amp;'管线现金流'!AJ4074&amp;"|"&amp;'管线现金流'!H4075&amp;"|"&amp;'管线现金流'!AJ4075&amp;"|"&amp;'管线现金流'!H4076&amp;"|"&amp;'管线现金流'!AJ4076&amp;"|"&amp;'管线现金流'!H4077&amp;"|"&amp;'管线现金流'!AJ4077&amp;"|"&amp;'管线现金流'!H4078&amp;"|"&amp;'管线现金流'!AJ4078&amp;"|"&amp;'管线现金流'!H4079&amp;"|"&amp;'管线现金流'!AJ4079&amp;"|"&amp;'管线现金流'!H4080&amp;"|"&amp;'管线现金流'!AJ4080&amp;"|"&amp;'管线现金流'!H4081&amp;"|"&amp;'管线现金流'!AJ4081&amp;"|"&amp;'管线现金流'!H4082&amp;"|"&amp;'管线现金流'!AJ4082&amp;"|"&amp;'管线现金流'!H4083&amp;"|"&amp;'管线现金流'!AJ4083&amp;"|"&amp;'管线现金流'!H4084&amp;"|"&amp;'管线现金流'!AJ4084&amp;"|"&amp;'管线现金流'!H4085&amp;"|"&amp;'管线现金流'!AJ4085&amp;"|"&amp;'管线现金流'!H4086&amp;"|"&amp;'管线现金流'!AJ4086&amp;"|"&amp;'管线现金流'!H4087&amp;"|"&amp;'管线现金流'!AJ4087&amp;"|"&amp;'管线现金流'!H4088&amp;"|"&amp;'管线现金流'!AJ4088&amp;"|"&amp;'管线现金流'!H4089&amp;"|"&amp;'管线现金流'!AJ4089&amp;"|"&amp;'管线现金流'!H4090&amp;"|"&amp;'管线现金流'!AJ4090&amp;"|"&amp;'管线现金流'!H4091&amp;"|"&amp;'管线现金流'!AJ4091&amp;"|"&amp;'管线现金流'!H4092&amp;"|"&amp;'管线现金流'!AJ4092&amp;"|"&amp;'管线现金流'!H4093&amp;"|"&amp;'管线现金流'!AJ4093&amp;"|"&amp;'管线现金流'!H4094&amp;"|"&amp;'管线现金流'!AJ4094&amp;"|"&amp;'管线现金流'!H4095&amp;"|"&amp;'管线现金流'!AJ4095&amp;"|"&amp;'管线现金流'!H4096&amp;"|"&amp;'管线现金流'!AJ4096&amp;"|"&amp;'管线现金流'!H4097&amp;"|"&amp;'管线现金流'!AJ4097&amp;"|"&amp;'管线现金流'!H4098&amp;"|"&amp;'管线现金流'!AJ4098&amp;"|"&amp;'管线现金流'!H4099&amp;"|"&amp;'管线现金流'!AJ4099&amp;"|"&amp;'管线现金流'!H4100&amp;"|"&amp;'管线现金流'!AJ4100&amp;"|"&amp;'管线现金流'!H4101&amp;"|"&amp;'管线现金流'!AJ4101&amp;"|"&amp;'管线现金流'!H4102&amp;"|"&amp;'管线现金流'!AJ4102&amp;"|"&amp;'管线现金流'!H4103&amp;"|"&amp;'管线现金流'!AJ4103&amp;"|"&amp;'管线现金流'!H4104&amp;"|"&amp;'管线现金流'!AJ4104&amp;"|"&amp;'管线现金流'!H4105&amp;"|"&amp;'管线现金流'!AJ4105&amp;"|"&amp;'管线现金流'!H4106&amp;"|"&amp;'管线现金流'!AJ4106&amp;"|"&amp;'管线现金流'!H4107&amp;"|"&amp;'管线现金流'!AJ4107&amp;"|"&amp;'管线现金流'!H4108&amp;"|"&amp;'管线现金流'!AJ4108&amp;"|"&amp;'管线现金流'!H4109&amp;"|"&amp;'管线现金流'!AJ4109&amp;"|"&amp;'管线现金流'!H4110&amp;"|"&amp;'管线现金流'!AJ4110&amp;"|"&amp;'管线现金流'!H4111&amp;"|"&amp;'管线现金流'!AJ4111&amp;"|"&amp;'管线现金流'!H4112&amp;"|"&amp;'管线现金流'!AJ4112&amp;"|"&amp;'管线现金流'!H4113&amp;"|"&amp;'管线现金流'!AJ4113&amp;"|"&amp;'管线现金流'!H4114&amp;"|"&amp;'管线现金流'!AJ4114&amp;"|"&amp;'管线现金流'!H4115&amp;"|"&amp;'管线现金流'!AJ4115&amp;"|"&amp;'管线现金流'!H4116&amp;"|"&amp;'管线现金流'!AJ4116&amp;"|"&amp;'管线现金流'!H4117&amp;"|"&amp;'管线现金流'!AJ4117&amp;"|"&amp;'管线现金流'!H4118&amp;"|"&amp;'管线现金流'!AJ4118&amp;"|"&amp;'管线现金流'!H4119&amp;"|"&amp;'管线现金流'!AJ4119&amp;"|"&amp;'管线现金流'!H4120&amp;"|"&amp;'管线现金流'!AJ4120&amp;"|"&amp;'管线现金流'!H4121&amp;"|"&amp;'管线现金流'!AJ4121&amp;"|"&amp;'管线现金流'!H4122&amp;"|"&amp;'管线现金流'!AJ4122&amp;"|"&amp;'管线现金流'!H4123&amp;"|"&amp;'管线现金流'!AJ4123&amp;"|"&amp;'管线现金流'!H4124&amp;"|"&amp;'管线现金流'!AJ4124&amp;"|"&amp;'管线现金流'!H4125&amp;"|"&amp;'管线现金流'!AJ4125&amp;"|"&amp;'管线现金流'!H4126&amp;"|"&amp;'管线现金流'!AJ4126&amp;"|"&amp;'管线现金流'!H4127&amp;"|"&amp;'管线现金流'!AJ4127&amp;"|"&amp;'管线现金流'!H4128&amp;"|"&amp;'管线现金流'!AJ4128&amp;"|"&amp;'管线现金流'!H4129&amp;"|"&amp;'管线现金流'!AJ4129&amp;"|"&amp;'管线现金流'!H4130&amp;"|"&amp;'管线现金流'!AJ4130&amp;"|"&amp;'管线现金流'!H4131&amp;"|"&amp;'管线现金流'!AJ4131&amp;"|"&amp;'管线现金流'!H4132&amp;"|"&amp;'管线现金流'!AJ4132&amp;"|"&amp;'管线现金流'!H4133&amp;"|"&amp;'管线现金流'!AJ4133&amp;"|"&amp;'管线现金流'!H4134&amp;"|"&amp;'管线现金流'!AJ4134&amp;"|"&amp;'管线现金流'!H4135&amp;"|"&amp;'管线现金流'!AJ4135&amp;"|"&amp;'管线现金流'!H4136&amp;"|"&amp;'管线现金流'!AJ4136&amp;"|"&amp;'管线现金流'!H4137&amp;"|"&amp;'管线现金流'!AJ4137&amp;"|"&amp;'管线现金流'!H4138&amp;"|"&amp;'管线现金流'!AJ4138&amp;"|"&amp;'管线现金流'!H4139&amp;"|"&amp;'管线现金流'!AJ4139&amp;"|"&amp;'管线现金流'!U46&amp;"|"&amp;'管线现金流'!X46&amp;"|"&amp;'管线现金流'!AO46&amp;"|"&amp;'管线现金流'!AR46&amp;"|"&amp;'管线现金流'!U47&amp;"|"&amp;'管线现金流'!X47&amp;"|"&amp;'管线现金流'!AO47&amp;"|"&amp;'管线现金流'!AR47&amp;"|"&amp;'管线现金流'!U48&amp;"|"&amp;'管线现金流'!X48&amp;"|"&amp;'管线现金流'!AO48&amp;"|"&amp;'管线现金流'!AR48&amp;"|"&amp;'管线现金流'!U49&amp;"|"&amp;'管线现金流'!X49&amp;"|"&amp;'管线现金流'!AO49&amp;"|"&amp;'管线现金流'!AR49&amp;"|"&amp;'管线现金流'!U50&amp;"|"&amp;'管线现金流'!X50&amp;"|"&amp;'管线现金流'!AO50&amp;"|"&amp;'管线现金流'!AR50&amp;"|"&amp;'管线现金流'!U51&amp;"|"&amp;'管线现金流'!X51&amp;"|"&amp;'管线现金流'!AO51&amp;"|"&amp;'管线现金流'!AR51&amp;"|"&amp;'管线现金流'!U52&amp;"|"&amp;'管线现金流'!X52&amp;"|"&amp;'管线现金流'!AO52&amp;"|"&amp;'管线现金流'!AR52&amp;"|"&amp;'管线现金流'!U53&amp;"|"&amp;'管线现金流'!X53&amp;"|"&amp;'管线现金流'!AO53&amp;"|"&amp;'管线现金流'!AR53&amp;"|"&amp;'管线现金流'!U54&amp;"|"&amp;'管线现金流'!X54&amp;"|"&amp;'管线现金流'!AO54&amp;"|"&amp;'管线现金流'!AR54</x:f>
        <x:v>0.65|0.9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</x:row>
    <x:row r="401" ht="23" customHeight="1">
      <x:c r="A401" s="11" t="str">
        <x:v>02162.HK</x:v>
      </x:c>
      <x:c r="B401" s="11" t="str">
        <x:v>康诺亚-B</x:v>
      </x:c>
      <x:c r="C401" s="11" t="str">
        <x:v>半年</x:v>
      </x:c>
      <x:c r="D401" s="11" t="str">
        <x:v>基准</x:v>
      </x:c>
      <x:c r="E401" s="11" t="n">
        <x:v>78.3</x:v>
      </x:c>
      <x:c r="F401" s="11" t="n">
        <x:v>75.03867069997371</x:v>
      </x:c>
      <x:c r="G401" s="11" t="n">
        <x:v>0</x:v>
      </x:c>
      <x:c r="H401" s="25" t="n">
        <x:v>-0.04165171519829236</x:v>
      </x:c>
      <x:c r="I401" s="25" t="n">
        <x:v>-0.04165171519829236</x:v>
      </x:c>
      <x:c r="J401" s="25" t="str"/>
      <x:c r="K401" s="11" t="n">
        <x:v>0</x:v>
      </x:c>
      <x:c r="L401" s="11" t="n">
        <x:v>0</x:v>
      </x:c>
      <x:c r="M401" s="11" t="n">
        <x:v>1.1</x:v>
      </x:c>
      <x:c r="N401" s="11" t="n">
        <x:v>0</x:v>
      </x:c>
      <x:c r="O401" s="11" t="n">
        <x:v>0</x:v>
      </x:c>
      <x:c r="P401" s="11" t="n">
        <x:v>0</x:v>
      </x:c>
      <x:c r="Q401" s="11" t="n">
        <x:v>0.305</x:v>
      </x:c>
      <x:c r="R401" s="11" t="str">
        <x:v>keymed-v2-finite-assets-prorated-short-recognition</x:v>
      </x:c>
      <x:c r="S401" s="11" t="str">
        <x:v>2026-10-10</x:v>
      </x:c>
      <x:c r="T401" s="11" t="str">
        <x:f>IF(AND(SUM(IF(K401='假设'!E533,0,1),IF(L401='假设'!F533,0,1),IF(M401='假设'!G533,0,1),IF(N401='假设'!H533,0,1),IF(O401='假设'!I533,0,1),IF(P401='假设'!J533,0,1),IF(Q401='假设'!K533,0,1))=0,U401=V401),"已刷新","待刷新")</x:f>
        <x:v>待刷新</x:v>
      </x:c>
      <x:c r="U401" t="str">
        <x:v>0.8|1.55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  <x:c r="V401" t="str">
        <x:f>'假设'!U533&amp;"|"&amp;'假设'!N533&amp;"|"&amp;'假设'!Q533&amp;"|"&amp;'管线假设'!E853&amp;"|"&amp;'管线假设'!F853&amp;"|"&amp;'管线假设'!G853&amp;"|"&amp;'管线假设'!H853&amp;"|"&amp;'管线假设'!I853&amp;"|"&amp;'管线假设'!E857&amp;"|"&amp;'管线假设'!F857&amp;"|"&amp;'管线假设'!G857&amp;"|"&amp;'管线假设'!H857&amp;"|"&amp;'管线假设'!I857&amp;"|"&amp;'管线假设'!E861&amp;"|"&amp;'管线假设'!F861&amp;"|"&amp;'管线假设'!G861&amp;"|"&amp;'管线假设'!H861&amp;"|"&amp;'管线假设'!I861&amp;"|"&amp;'管线假设'!E865&amp;"|"&amp;'管线假设'!F865&amp;"|"&amp;'管线假设'!G865&amp;"|"&amp;'管线假设'!H865&amp;"|"&amp;'管线假设'!I865&amp;"|"&amp;'管线假设'!E869&amp;"|"&amp;'管线假设'!F869&amp;"|"&amp;'管线假设'!G869&amp;"|"&amp;'管线假设'!H869&amp;"|"&amp;'管线假设'!I869&amp;"|"&amp;'管线假设'!E873&amp;"|"&amp;'管线假设'!F873&amp;"|"&amp;'管线假设'!G873&amp;"|"&amp;'管线假设'!H873&amp;"|"&amp;'管线假设'!I873&amp;"|"&amp;'管线假设'!E877&amp;"|"&amp;'管线假设'!F877&amp;"|"&amp;'管线假设'!G877&amp;"|"&amp;'管线假设'!H877&amp;"|"&amp;'管线假设'!I877&amp;"|"&amp;'管线假设'!E881&amp;"|"&amp;'管线假设'!F881&amp;"|"&amp;'管线假设'!G881&amp;"|"&amp;'管线假设'!H881&amp;"|"&amp;'管线假设'!I881&amp;"|"&amp;'管线假设'!E885&amp;"|"&amp;'管线假设'!F885&amp;"|"&amp;'管线假设'!G885&amp;"|"&amp;'管线假设'!H885&amp;"|"&amp;'管线假设'!I885&amp;"|"&amp;'管线假设'!E889&amp;"|"&amp;'管线假设'!F889&amp;"|"&amp;'管线假设'!G889&amp;"|"&amp;'管线假设'!H889&amp;"|"&amp;'管线假设'!I889&amp;"|"&amp;'管线假设'!E893&amp;"|"&amp;'管线假设'!F893&amp;"|"&amp;'管线假设'!G893&amp;"|"&amp;'管线假设'!H893&amp;"|"&amp;'管线假设'!I893&amp;"|"&amp;'管线现金流'!I3931&amp;"|"&amp;'管线现金流'!AK3931&amp;"|"&amp;'管线现金流'!I3932&amp;"|"&amp;'管线现金流'!AK3932&amp;"|"&amp;'管线现金流'!I3933&amp;"|"&amp;'管线现金流'!AK3933&amp;"|"&amp;'管线现金流'!I3934&amp;"|"&amp;'管线现金流'!AK3934&amp;"|"&amp;'管线现金流'!I3935&amp;"|"&amp;'管线现金流'!AK3935&amp;"|"&amp;'管线现金流'!I3936&amp;"|"&amp;'管线现金流'!AK3936&amp;"|"&amp;'管线现金流'!I3937&amp;"|"&amp;'管线现金流'!AK3937&amp;"|"&amp;'管线现金流'!I3938&amp;"|"&amp;'管线现金流'!AK3938&amp;"|"&amp;'管线现金流'!I3939&amp;"|"&amp;'管线现金流'!AK3939&amp;"|"&amp;'管线现金流'!I3940&amp;"|"&amp;'管线现金流'!AK3940&amp;"|"&amp;'管线现金流'!I3941&amp;"|"&amp;'管线现金流'!AK3941&amp;"|"&amp;'管线现金流'!I3942&amp;"|"&amp;'管线现金流'!AK3942&amp;"|"&amp;'管线现金流'!I3943&amp;"|"&amp;'管线现金流'!AK3943&amp;"|"&amp;'管线现金流'!I3944&amp;"|"&amp;'管线现金流'!AK3944&amp;"|"&amp;'管线现金流'!I3945&amp;"|"&amp;'管线现金流'!AK3945&amp;"|"&amp;'管线现金流'!I3946&amp;"|"&amp;'管线现金流'!AK3946&amp;"|"&amp;'管线现金流'!I3947&amp;"|"&amp;'管线现金流'!AK3947&amp;"|"&amp;'管线现金流'!I3948&amp;"|"&amp;'管线现金流'!AK3948&amp;"|"&amp;'管线现金流'!I3949&amp;"|"&amp;'管线现金流'!AK3949&amp;"|"&amp;'管线现金流'!I3950&amp;"|"&amp;'管线现金流'!AK3950&amp;"|"&amp;'管线现金流'!I3951&amp;"|"&amp;'管线现金流'!AK3951&amp;"|"&amp;'管线现金流'!I3952&amp;"|"&amp;'管线现金流'!AK3952&amp;"|"&amp;'管线现金流'!I3953&amp;"|"&amp;'管线现金流'!AK3953&amp;"|"&amp;'管线现金流'!I3954&amp;"|"&amp;'管线现金流'!AK3954&amp;"|"&amp;'管线现金流'!I3955&amp;"|"&amp;'管线现金流'!AK3955&amp;"|"&amp;'管线现金流'!I3956&amp;"|"&amp;'管线现金流'!AK3956&amp;"|"&amp;'管线现金流'!I3957&amp;"|"&amp;'管线现金流'!AK3957&amp;"|"&amp;'管线现金流'!I3958&amp;"|"&amp;'管线现金流'!AK3958&amp;"|"&amp;'管线现金流'!I3959&amp;"|"&amp;'管线现金流'!AK3959&amp;"|"&amp;'管线现金流'!I3960&amp;"|"&amp;'管线现金流'!AK3960&amp;"|"&amp;'管线现金流'!I3961&amp;"|"&amp;'管线现金流'!AK3961&amp;"|"&amp;'管线现金流'!I3962&amp;"|"&amp;'管线现金流'!AK3962&amp;"|"&amp;'管线现金流'!I3963&amp;"|"&amp;'管线现金流'!AK3963&amp;"|"&amp;'管线现金流'!I3964&amp;"|"&amp;'管线现金流'!AK3964&amp;"|"&amp;'管线现金流'!I3965&amp;"|"&amp;'管线现金流'!AK3965&amp;"|"&amp;'管线现金流'!I3966&amp;"|"&amp;'管线现金流'!AK3966&amp;"|"&amp;'管线现金流'!I3967&amp;"|"&amp;'管线现金流'!AK3967&amp;"|"&amp;'管线现金流'!I3968&amp;"|"&amp;'管线现金流'!AK3968&amp;"|"&amp;'管线现金流'!I3969&amp;"|"&amp;'管线现金流'!AK3969&amp;"|"&amp;'管线现金流'!I3970&amp;"|"&amp;'管线现金流'!AK3970&amp;"|"&amp;'管线现金流'!I3971&amp;"|"&amp;'管线现金流'!AK3971&amp;"|"&amp;'管线现金流'!I3972&amp;"|"&amp;'管线现金流'!AK3972&amp;"|"&amp;'管线现金流'!I3973&amp;"|"&amp;'管线现金流'!AK3973&amp;"|"&amp;'管线现金流'!I3974&amp;"|"&amp;'管线现金流'!AK3974&amp;"|"&amp;'管线现金流'!I3975&amp;"|"&amp;'管线现金流'!AK3975&amp;"|"&amp;'管线现金流'!I3976&amp;"|"&amp;'管线现金流'!AK3976&amp;"|"&amp;'管线现金流'!I3977&amp;"|"&amp;'管线现金流'!AK3977&amp;"|"&amp;'管线现金流'!I3978&amp;"|"&amp;'管线现金流'!AK3978&amp;"|"&amp;'管线现金流'!I3979&amp;"|"&amp;'管线现金流'!AK3979&amp;"|"&amp;'管线现金流'!I3980&amp;"|"&amp;'管线现金流'!AK3980&amp;"|"&amp;'管线现金流'!I3981&amp;"|"&amp;'管线现金流'!AK3981&amp;"|"&amp;'管线现金流'!I3982&amp;"|"&amp;'管线现金流'!AK3982&amp;"|"&amp;'管线现金流'!I3983&amp;"|"&amp;'管线现金流'!AK3983&amp;"|"&amp;'管线现金流'!I3984&amp;"|"&amp;'管线现金流'!AK3984&amp;"|"&amp;'管线现金流'!I3985&amp;"|"&amp;'管线现金流'!AK3985&amp;"|"&amp;'管线现金流'!I3986&amp;"|"&amp;'管线现金流'!AK3986&amp;"|"&amp;'管线现金流'!I3987&amp;"|"&amp;'管线现金流'!AK3987&amp;"|"&amp;'管线现金流'!I3988&amp;"|"&amp;'管线现金流'!AK3988&amp;"|"&amp;'管线现金流'!I3989&amp;"|"&amp;'管线现金流'!AK3989&amp;"|"&amp;'管线现金流'!I3990&amp;"|"&amp;'管线现金流'!AK3990&amp;"|"&amp;'管线现金流'!I3991&amp;"|"&amp;'管线现金流'!AK3991&amp;"|"&amp;'管线现金流'!I3992&amp;"|"&amp;'管线现金流'!AK3992&amp;"|"&amp;'管线现金流'!I3993&amp;"|"&amp;'管线现金流'!AK3993&amp;"|"&amp;'管线现金流'!I3994&amp;"|"&amp;'管线现金流'!AK3994&amp;"|"&amp;'管线现金流'!I3995&amp;"|"&amp;'管线现金流'!AK3995&amp;"|"&amp;'管线现金流'!I3996&amp;"|"&amp;'管线现金流'!AK3996&amp;"|"&amp;'管线现金流'!I3997&amp;"|"&amp;'管线现金流'!AK3997&amp;"|"&amp;'管线现金流'!I3998&amp;"|"&amp;'管线现金流'!AK3998&amp;"|"&amp;'管线现金流'!I3999&amp;"|"&amp;'管线现金流'!AK3999&amp;"|"&amp;'管线现金流'!I4000&amp;"|"&amp;'管线现金流'!AK4000&amp;"|"&amp;'管线现金流'!I4001&amp;"|"&amp;'管线现金流'!AK4001&amp;"|"&amp;'管线现金流'!I4002&amp;"|"&amp;'管线现金流'!AK4002&amp;"|"&amp;'管线现金流'!I4003&amp;"|"&amp;'管线现金流'!AK4003&amp;"|"&amp;'管线现金流'!I4004&amp;"|"&amp;'管线现金流'!AK4004&amp;"|"&amp;'管线现金流'!I4005&amp;"|"&amp;'管线现金流'!AK4005&amp;"|"&amp;'管线现金流'!I4006&amp;"|"&amp;'管线现金流'!AK4006&amp;"|"&amp;'管线现金流'!I4007&amp;"|"&amp;'管线现金流'!AK4007&amp;"|"&amp;'管线现金流'!I4008&amp;"|"&amp;'管线现金流'!AK4008&amp;"|"&amp;'管线现金流'!I4009&amp;"|"&amp;'管线现金流'!AK4009&amp;"|"&amp;'管线现金流'!I4010&amp;"|"&amp;'管线现金流'!AK4010&amp;"|"&amp;'管线现金流'!I4011&amp;"|"&amp;'管线现金流'!AK4011&amp;"|"&amp;'管线现金流'!I4012&amp;"|"&amp;'管线现金流'!AK4012&amp;"|"&amp;'管线现金流'!I4013&amp;"|"&amp;'管线现金流'!AK4013&amp;"|"&amp;'管线现金流'!I4014&amp;"|"&amp;'管线现金流'!AK4014&amp;"|"&amp;'管线现金流'!I4015&amp;"|"&amp;'管线现金流'!AK4015&amp;"|"&amp;'管线现金流'!I4016&amp;"|"&amp;'管线现金流'!AK4016&amp;"|"&amp;'管线现金流'!I4017&amp;"|"&amp;'管线现金流'!AK4017&amp;"|"&amp;'管线现金流'!I4018&amp;"|"&amp;'管线现金流'!AK4018&amp;"|"&amp;'管线现金流'!I4019&amp;"|"&amp;'管线现金流'!AK4019&amp;"|"&amp;'管线现金流'!I4020&amp;"|"&amp;'管线现金流'!AK4020&amp;"|"&amp;'管线现金流'!I4021&amp;"|"&amp;'管线现金流'!AK4021&amp;"|"&amp;'管线现金流'!I4022&amp;"|"&amp;'管线现金流'!AK4022&amp;"|"&amp;'管线现金流'!I4023&amp;"|"&amp;'管线现金流'!AK4023&amp;"|"&amp;'管线现金流'!I4024&amp;"|"&amp;'管线现金流'!AK4024&amp;"|"&amp;'管线现金流'!I4025&amp;"|"&amp;'管线现金流'!AK4025&amp;"|"&amp;'管线现金流'!I4026&amp;"|"&amp;'管线现金流'!AK4026&amp;"|"&amp;'管线现金流'!I4027&amp;"|"&amp;'管线现金流'!AK4027&amp;"|"&amp;'管线现金流'!I4028&amp;"|"&amp;'管线现金流'!AK4028&amp;"|"&amp;'管线现金流'!I4029&amp;"|"&amp;'管线现金流'!AK4029&amp;"|"&amp;'管线现金流'!I4030&amp;"|"&amp;'管线现金流'!AK4030&amp;"|"&amp;'管线现金流'!I4031&amp;"|"&amp;'管线现金流'!AK4031&amp;"|"&amp;'管线现金流'!I4032&amp;"|"&amp;'管线现金流'!AK4032&amp;"|"&amp;'管线现金流'!I4033&amp;"|"&amp;'管线现金流'!AK4033&amp;"|"&amp;'管线现金流'!I4034&amp;"|"&amp;'管线现金流'!AK4034&amp;"|"&amp;'管线现金流'!I4035&amp;"|"&amp;'管线现金流'!AK4035&amp;"|"&amp;'管线现金流'!I4036&amp;"|"&amp;'管线现金流'!AK4036&amp;"|"&amp;'管线现金流'!I4037&amp;"|"&amp;'管线现金流'!AK4037&amp;"|"&amp;'管线现金流'!I4038&amp;"|"&amp;'管线现金流'!AK4038&amp;"|"&amp;'管线现金流'!I4039&amp;"|"&amp;'管线现金流'!AK4039&amp;"|"&amp;'管线现金流'!I4040&amp;"|"&amp;'管线现金流'!AK4040&amp;"|"&amp;'管线现金流'!I4041&amp;"|"&amp;'管线现金流'!AK4041&amp;"|"&amp;'管线现金流'!I4042&amp;"|"&amp;'管线现金流'!AK4042&amp;"|"&amp;'管线现金流'!I4043&amp;"|"&amp;'管线现金流'!AK4043&amp;"|"&amp;'管线现金流'!I4044&amp;"|"&amp;'管线现金流'!AK4044&amp;"|"&amp;'管线现金流'!I4045&amp;"|"&amp;'管线现金流'!AK4045&amp;"|"&amp;'管线现金流'!I4046&amp;"|"&amp;'管线现金流'!AK4046&amp;"|"&amp;'管线现金流'!I4047&amp;"|"&amp;'管线现金流'!AK4047&amp;"|"&amp;'管线现金流'!I4048&amp;"|"&amp;'管线现金流'!AK4048&amp;"|"&amp;'管线现金流'!I4049&amp;"|"&amp;'管线现金流'!AK4049&amp;"|"&amp;'管线现金流'!I4050&amp;"|"&amp;'管线现金流'!AK4050&amp;"|"&amp;'管线现金流'!I4051&amp;"|"&amp;'管线现金流'!AK4051&amp;"|"&amp;'管线现金流'!I4052&amp;"|"&amp;'管线现金流'!AK4052&amp;"|"&amp;'管线现金流'!I4053&amp;"|"&amp;'管线现金流'!AK4053&amp;"|"&amp;'管线现金流'!I4054&amp;"|"&amp;'管线现金流'!AK4054&amp;"|"&amp;'管线现金流'!I4055&amp;"|"&amp;'管线现金流'!AK4055&amp;"|"&amp;'管线现金流'!I4056&amp;"|"&amp;'管线现金流'!AK4056&amp;"|"&amp;'管线现金流'!I4057&amp;"|"&amp;'管线现金流'!AK4057&amp;"|"&amp;'管线现金流'!I4058&amp;"|"&amp;'管线现金流'!AK4058&amp;"|"&amp;'管线现金流'!I4059&amp;"|"&amp;'管线现金流'!AK4059&amp;"|"&amp;'管线现金流'!I4060&amp;"|"&amp;'管线现金流'!AK4060&amp;"|"&amp;'管线现金流'!I4061&amp;"|"&amp;'管线现金流'!AK4061&amp;"|"&amp;'管线现金流'!I4062&amp;"|"&amp;'管线现金流'!AK4062&amp;"|"&amp;'管线现金流'!I4063&amp;"|"&amp;'管线现金流'!AK4063&amp;"|"&amp;'管线现金流'!I4064&amp;"|"&amp;'管线现金流'!AK4064&amp;"|"&amp;'管线现金流'!I4065&amp;"|"&amp;'管线现金流'!AK4065&amp;"|"&amp;'管线现金流'!I4066&amp;"|"&amp;'管线现金流'!AK4066&amp;"|"&amp;'管线现金流'!I4067&amp;"|"&amp;'管线现金流'!AK4067&amp;"|"&amp;'管线现金流'!I4068&amp;"|"&amp;'管线现金流'!AK4068&amp;"|"&amp;'管线现金流'!I4069&amp;"|"&amp;'管线现金流'!AK4069&amp;"|"&amp;'管线现金流'!I4070&amp;"|"&amp;'管线现金流'!AK4070&amp;"|"&amp;'管线现金流'!I4071&amp;"|"&amp;'管线现金流'!AK4071&amp;"|"&amp;'管线现金流'!I4072&amp;"|"&amp;'管线现金流'!AK4072&amp;"|"&amp;'管线现金流'!I4073&amp;"|"&amp;'管线现金流'!AK4073&amp;"|"&amp;'管线现金流'!I4074&amp;"|"&amp;'管线现金流'!AK4074&amp;"|"&amp;'管线现金流'!I4075&amp;"|"&amp;'管线现金流'!AK4075&amp;"|"&amp;'管线现金流'!I4076&amp;"|"&amp;'管线现金流'!AK4076&amp;"|"&amp;'管线现金流'!I4077&amp;"|"&amp;'管线现金流'!AK4077&amp;"|"&amp;'管线现金流'!I4078&amp;"|"&amp;'管线现金流'!AK4078&amp;"|"&amp;'管线现金流'!I4079&amp;"|"&amp;'管线现金流'!AK4079&amp;"|"&amp;'管线现金流'!I4080&amp;"|"&amp;'管线现金流'!AK4080&amp;"|"&amp;'管线现金流'!I4081&amp;"|"&amp;'管线现金流'!AK4081&amp;"|"&amp;'管线现金流'!I4082&amp;"|"&amp;'管线现金流'!AK4082&amp;"|"&amp;'管线现金流'!I4083&amp;"|"&amp;'管线现金流'!AK4083&amp;"|"&amp;'管线现金流'!I4084&amp;"|"&amp;'管线现金流'!AK4084&amp;"|"&amp;'管线现金流'!I4085&amp;"|"&amp;'管线现金流'!AK4085&amp;"|"&amp;'管线现金流'!I4086&amp;"|"&amp;'管线现金流'!AK4086&amp;"|"&amp;'管线现金流'!I4087&amp;"|"&amp;'管线现金流'!AK4087&amp;"|"&amp;'管线现金流'!I4088&amp;"|"&amp;'管线现金流'!AK4088&amp;"|"&amp;'管线现金流'!I4089&amp;"|"&amp;'管线现金流'!AK4089&amp;"|"&amp;'管线现金流'!I4090&amp;"|"&amp;'管线现金流'!AK4090&amp;"|"&amp;'管线现金流'!I4091&amp;"|"&amp;'管线现金流'!AK4091&amp;"|"&amp;'管线现金流'!I4092&amp;"|"&amp;'管线现金流'!AK4092&amp;"|"&amp;'管线现金流'!I4093&amp;"|"&amp;'管线现金流'!AK4093&amp;"|"&amp;'管线现金流'!I4094&amp;"|"&amp;'管线现金流'!AK4094&amp;"|"&amp;'管线现金流'!I4095&amp;"|"&amp;'管线现金流'!AK4095&amp;"|"&amp;'管线现金流'!I4096&amp;"|"&amp;'管线现金流'!AK4096&amp;"|"&amp;'管线现金流'!I4097&amp;"|"&amp;'管线现金流'!AK4097&amp;"|"&amp;'管线现金流'!I4098&amp;"|"&amp;'管线现金流'!AK4098&amp;"|"&amp;'管线现金流'!I4099&amp;"|"&amp;'管线现金流'!AK4099&amp;"|"&amp;'管线现金流'!I4100&amp;"|"&amp;'管线现金流'!AK4100&amp;"|"&amp;'管线现金流'!I4101&amp;"|"&amp;'管线现金流'!AK4101&amp;"|"&amp;'管线现金流'!I4102&amp;"|"&amp;'管线现金流'!AK4102&amp;"|"&amp;'管线现金流'!I4103&amp;"|"&amp;'管线现金流'!AK4103&amp;"|"&amp;'管线现金流'!I4104&amp;"|"&amp;'管线现金流'!AK4104&amp;"|"&amp;'管线现金流'!I4105&amp;"|"&amp;'管线现金流'!AK4105&amp;"|"&amp;'管线现金流'!I4106&amp;"|"&amp;'管线现金流'!AK4106&amp;"|"&amp;'管线现金流'!I4107&amp;"|"&amp;'管线现金流'!AK4107&amp;"|"&amp;'管线现金流'!I4108&amp;"|"&amp;'管线现金流'!AK4108&amp;"|"&amp;'管线现金流'!I4109&amp;"|"&amp;'管线现金流'!AK4109&amp;"|"&amp;'管线现金流'!I4110&amp;"|"&amp;'管线现金流'!AK4110&amp;"|"&amp;'管线现金流'!I4111&amp;"|"&amp;'管线现金流'!AK4111&amp;"|"&amp;'管线现金流'!I4112&amp;"|"&amp;'管线现金流'!AK4112&amp;"|"&amp;'管线现金流'!I4113&amp;"|"&amp;'管线现金流'!AK4113&amp;"|"&amp;'管线现金流'!I4114&amp;"|"&amp;'管线现金流'!AK4114&amp;"|"&amp;'管线现金流'!I4115&amp;"|"&amp;'管线现金流'!AK4115&amp;"|"&amp;'管线现金流'!I4116&amp;"|"&amp;'管线现金流'!AK4116&amp;"|"&amp;'管线现金流'!I4117&amp;"|"&amp;'管线现金流'!AK4117&amp;"|"&amp;'管线现金流'!I4118&amp;"|"&amp;'管线现金流'!AK4118&amp;"|"&amp;'管线现金流'!I4119&amp;"|"&amp;'管线现金流'!AK4119&amp;"|"&amp;'管线现金流'!I4120&amp;"|"&amp;'管线现金流'!AK4120&amp;"|"&amp;'管线现金流'!I4121&amp;"|"&amp;'管线现金流'!AK4121&amp;"|"&amp;'管线现金流'!I4122&amp;"|"&amp;'管线现金流'!AK4122&amp;"|"&amp;'管线现金流'!I4123&amp;"|"&amp;'管线现金流'!AK4123&amp;"|"&amp;'管线现金流'!I4124&amp;"|"&amp;'管线现金流'!AK4124&amp;"|"&amp;'管线现金流'!I4125&amp;"|"&amp;'管线现金流'!AK4125&amp;"|"&amp;'管线现金流'!I4126&amp;"|"&amp;'管线现金流'!AK4126&amp;"|"&amp;'管线现金流'!I4127&amp;"|"&amp;'管线现金流'!AK4127&amp;"|"&amp;'管线现金流'!I4128&amp;"|"&amp;'管线现金流'!AK4128&amp;"|"&amp;'管线现金流'!I4129&amp;"|"&amp;'管线现金流'!AK4129&amp;"|"&amp;'管线现金流'!I4130&amp;"|"&amp;'管线现金流'!AK4130&amp;"|"&amp;'管线现金流'!I4131&amp;"|"&amp;'管线现金流'!AK4131&amp;"|"&amp;'管线现金流'!I4132&amp;"|"&amp;'管线现金流'!AK4132&amp;"|"&amp;'管线现金流'!I4133&amp;"|"&amp;'管线现金流'!AK4133&amp;"|"&amp;'管线现金流'!I4134&amp;"|"&amp;'管线现金流'!AK4134&amp;"|"&amp;'管线现金流'!I4135&amp;"|"&amp;'管线现金流'!AK4135&amp;"|"&amp;'管线现金流'!I4136&amp;"|"&amp;'管线现金流'!AK4136&amp;"|"&amp;'管线现金流'!I4137&amp;"|"&amp;'管线现金流'!AK4137&amp;"|"&amp;'管线现金流'!I4138&amp;"|"&amp;'管线现金流'!AK4138&amp;"|"&amp;'管线现金流'!I4139&amp;"|"&amp;'管线现金流'!AK4139&amp;"|"&amp;'管线现金流'!V46&amp;"|"&amp;'管线现金流'!Y46&amp;"|"&amp;'管线现金流'!AP46&amp;"|"&amp;'管线现金流'!AS46&amp;"|"&amp;'管线现金流'!V47&amp;"|"&amp;'管线现金流'!Y47&amp;"|"&amp;'管线现金流'!AP47&amp;"|"&amp;'管线现金流'!AS47&amp;"|"&amp;'管线现金流'!V48&amp;"|"&amp;'管线现金流'!Y48&amp;"|"&amp;'管线现金流'!AP48&amp;"|"&amp;'管线现金流'!AS48&amp;"|"&amp;'管线现金流'!V49&amp;"|"&amp;'管线现金流'!Y49&amp;"|"&amp;'管线现金流'!AP49&amp;"|"&amp;'管线现金流'!AS49&amp;"|"&amp;'管线现金流'!V50&amp;"|"&amp;'管线现金流'!Y50&amp;"|"&amp;'管线现金流'!AP50&amp;"|"&amp;'管线现金流'!AS50&amp;"|"&amp;'管线现金流'!V51&amp;"|"&amp;'管线现金流'!Y51&amp;"|"&amp;'管线现金流'!AP51&amp;"|"&amp;'管线现金流'!AS51&amp;"|"&amp;'管线现金流'!V52&amp;"|"&amp;'管线现金流'!Y52&amp;"|"&amp;'管线现金流'!AP52&amp;"|"&amp;'管线现金流'!AS52&amp;"|"&amp;'管线现金流'!V53&amp;"|"&amp;'管线现金流'!Y53&amp;"|"&amp;'管线现金流'!AP53&amp;"|"&amp;'管线现金流'!AS53&amp;"|"&amp;'管线现金流'!V54&amp;"|"&amp;'管线现金流'!Y54&amp;"|"&amp;'管线现金流'!AP54&amp;"|"&amp;'管线现金流'!AS54</x:f>
        <x:v>0.81|1.55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</x:row>
    <x:row r="402" ht="23" customHeight="1">
      <x:c r="A402" s="11" t="str">
        <x:v>02162.HK</x:v>
      </x:c>
      <x:c r="B402" s="11" t="str">
        <x:v>康诺亚-B</x:v>
      </x:c>
      <x:c r="C402" s="11" t="str">
        <x:v>半年</x:v>
      </x:c>
      <x:c r="D402" s="11" t="str">
        <x:v>乐观</x:v>
      </x:c>
      <x:c r="E402" s="11" t="n">
        <x:v>78.3</x:v>
      </x:c>
      <x:c r="F402" s="11" t="n">
        <x:v>162.51065982555525</x:v>
      </x:c>
      <x:c r="G402" s="11" t="n">
        <x:v>0</x:v>
      </x:c>
      <x:c r="H402" s="25" t="n">
        <x:v>1.0754873540939367</x:v>
      </x:c>
      <x:c r="I402" s="25" t="n">
        <x:v>1.0754873540939367</x:v>
      </x:c>
      <x:c r="J402" s="25" t="str"/>
      <x:c r="K402" s="11" t="n">
        <x:v>0</x:v>
      </x:c>
      <x:c r="L402" s="11" t="n">
        <x:v>0</x:v>
      </x:c>
      <x:c r="M402" s="11" t="n">
        <x:v>1.1</x:v>
      </x:c>
      <x:c r="N402" s="11" t="n">
        <x:v>0</x:v>
      </x:c>
      <x:c r="O402" s="11" t="n">
        <x:v>0</x:v>
      </x:c>
      <x:c r="P402" s="11" t="n">
        <x:v>0</x:v>
      </x:c>
      <x:c r="Q402" s="11" t="n">
        <x:v>0.301</x:v>
      </x:c>
      <x:c r="R402" s="11" t="str">
        <x:v>keymed-v2-finite-assets-prorated-short-recognition</x:v>
      </x:c>
      <x:c r="S402" s="11" t="str">
        <x:v>2026-10-10</x:v>
      </x:c>
      <x:c r="T402" s="11" t="str">
        <x:f>IF(AND(SUM(IF(K402='假设'!E534,0,1),IF(L402='假设'!F534,0,1),IF(M402='假设'!G534,0,1),IF(N402='假设'!H534,0,1),IF(O402='假设'!I534,0,1),IF(P402='假设'!J534,0,1),IF(Q402='假设'!K534,0,1))=0,U402=V402),"已刷新","待刷新")</x:f>
        <x:v>已刷新</x:v>
      </x:c>
      <x:c r="U402" t="str">
        <x:v>0.45|1.9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  <x:c r="V402" t="str">
        <x:f>'假设'!U534&amp;"|"&amp;'假设'!N534&amp;"|"&amp;'假设'!Q534&amp;"|"&amp;'管线假设'!E854&amp;"|"&amp;'管线假设'!F854&amp;"|"&amp;'管线假设'!G854&amp;"|"&amp;'管线假设'!H854&amp;"|"&amp;'管线假设'!I854&amp;"|"&amp;'管线假设'!E858&amp;"|"&amp;'管线假设'!F858&amp;"|"&amp;'管线假设'!G858&amp;"|"&amp;'管线假设'!H858&amp;"|"&amp;'管线假设'!I858&amp;"|"&amp;'管线假设'!E862&amp;"|"&amp;'管线假设'!F862&amp;"|"&amp;'管线假设'!G862&amp;"|"&amp;'管线假设'!H862&amp;"|"&amp;'管线假设'!I862&amp;"|"&amp;'管线假设'!E866&amp;"|"&amp;'管线假设'!F866&amp;"|"&amp;'管线假设'!G866&amp;"|"&amp;'管线假设'!H866&amp;"|"&amp;'管线假设'!I866&amp;"|"&amp;'管线假设'!E870&amp;"|"&amp;'管线假设'!F870&amp;"|"&amp;'管线假设'!G870&amp;"|"&amp;'管线假设'!H870&amp;"|"&amp;'管线假设'!I870&amp;"|"&amp;'管线假设'!E874&amp;"|"&amp;'管线假设'!F874&amp;"|"&amp;'管线假设'!G874&amp;"|"&amp;'管线假设'!H874&amp;"|"&amp;'管线假设'!I874&amp;"|"&amp;'管线假设'!E878&amp;"|"&amp;'管线假设'!F878&amp;"|"&amp;'管线假设'!G878&amp;"|"&amp;'管线假设'!H878&amp;"|"&amp;'管线假设'!I878&amp;"|"&amp;'管线假设'!E882&amp;"|"&amp;'管线假设'!F882&amp;"|"&amp;'管线假设'!G882&amp;"|"&amp;'管线假设'!H882&amp;"|"&amp;'管线假设'!I882&amp;"|"&amp;'管线假设'!E886&amp;"|"&amp;'管线假设'!F886&amp;"|"&amp;'管线假设'!G886&amp;"|"&amp;'管线假设'!H886&amp;"|"&amp;'管线假设'!I886&amp;"|"&amp;'管线假设'!E890&amp;"|"&amp;'管线假设'!F890&amp;"|"&amp;'管线假设'!G890&amp;"|"&amp;'管线假设'!H890&amp;"|"&amp;'管线假设'!I890&amp;"|"&amp;'管线假设'!E894&amp;"|"&amp;'管线假设'!F894&amp;"|"&amp;'管线假设'!G894&amp;"|"&amp;'管线假设'!H894&amp;"|"&amp;'管线假设'!I894&amp;"|"&amp;'管线现金流'!J3931&amp;"|"&amp;'管线现金流'!AL3931&amp;"|"&amp;'管线现金流'!J3932&amp;"|"&amp;'管线现金流'!AL3932&amp;"|"&amp;'管线现金流'!J3933&amp;"|"&amp;'管线现金流'!AL3933&amp;"|"&amp;'管线现金流'!J3934&amp;"|"&amp;'管线现金流'!AL3934&amp;"|"&amp;'管线现金流'!J3935&amp;"|"&amp;'管线现金流'!AL3935&amp;"|"&amp;'管线现金流'!J3936&amp;"|"&amp;'管线现金流'!AL3936&amp;"|"&amp;'管线现金流'!J3937&amp;"|"&amp;'管线现金流'!AL3937&amp;"|"&amp;'管线现金流'!J3938&amp;"|"&amp;'管线现金流'!AL3938&amp;"|"&amp;'管线现金流'!J3939&amp;"|"&amp;'管线现金流'!AL3939&amp;"|"&amp;'管线现金流'!J3940&amp;"|"&amp;'管线现金流'!AL3940&amp;"|"&amp;'管线现金流'!J3941&amp;"|"&amp;'管线现金流'!AL3941&amp;"|"&amp;'管线现金流'!J3942&amp;"|"&amp;'管线现金流'!AL3942&amp;"|"&amp;'管线现金流'!J3943&amp;"|"&amp;'管线现金流'!AL3943&amp;"|"&amp;'管线现金流'!J3944&amp;"|"&amp;'管线现金流'!AL3944&amp;"|"&amp;'管线现金流'!J3945&amp;"|"&amp;'管线现金流'!AL3945&amp;"|"&amp;'管线现金流'!J3946&amp;"|"&amp;'管线现金流'!AL3946&amp;"|"&amp;'管线现金流'!J3947&amp;"|"&amp;'管线现金流'!AL3947&amp;"|"&amp;'管线现金流'!J3948&amp;"|"&amp;'管线现金流'!AL3948&amp;"|"&amp;'管线现金流'!J3949&amp;"|"&amp;'管线现金流'!AL3949&amp;"|"&amp;'管线现金流'!J3950&amp;"|"&amp;'管线现金流'!AL3950&amp;"|"&amp;'管线现金流'!J3951&amp;"|"&amp;'管线现金流'!AL3951&amp;"|"&amp;'管线现金流'!J3952&amp;"|"&amp;'管线现金流'!AL3952&amp;"|"&amp;'管线现金流'!J3953&amp;"|"&amp;'管线现金流'!AL3953&amp;"|"&amp;'管线现金流'!J3954&amp;"|"&amp;'管线现金流'!AL3954&amp;"|"&amp;'管线现金流'!J3955&amp;"|"&amp;'管线现金流'!AL3955&amp;"|"&amp;'管线现金流'!J3956&amp;"|"&amp;'管线现金流'!AL3956&amp;"|"&amp;'管线现金流'!J3957&amp;"|"&amp;'管线现金流'!AL3957&amp;"|"&amp;'管线现金流'!J3958&amp;"|"&amp;'管线现金流'!AL3958&amp;"|"&amp;'管线现金流'!J3959&amp;"|"&amp;'管线现金流'!AL3959&amp;"|"&amp;'管线现金流'!J3960&amp;"|"&amp;'管线现金流'!AL3960&amp;"|"&amp;'管线现金流'!J3961&amp;"|"&amp;'管线现金流'!AL3961&amp;"|"&amp;'管线现金流'!J3962&amp;"|"&amp;'管线现金流'!AL3962&amp;"|"&amp;'管线现金流'!J3963&amp;"|"&amp;'管线现金流'!AL3963&amp;"|"&amp;'管线现金流'!J3964&amp;"|"&amp;'管线现金流'!AL3964&amp;"|"&amp;'管线现金流'!J3965&amp;"|"&amp;'管线现金流'!AL3965&amp;"|"&amp;'管线现金流'!J3966&amp;"|"&amp;'管线现金流'!AL3966&amp;"|"&amp;'管线现金流'!J3967&amp;"|"&amp;'管线现金流'!AL3967&amp;"|"&amp;'管线现金流'!J3968&amp;"|"&amp;'管线现金流'!AL3968&amp;"|"&amp;'管线现金流'!J3969&amp;"|"&amp;'管线现金流'!AL3969&amp;"|"&amp;'管线现金流'!J3970&amp;"|"&amp;'管线现金流'!AL3970&amp;"|"&amp;'管线现金流'!J3971&amp;"|"&amp;'管线现金流'!AL3971&amp;"|"&amp;'管线现金流'!J3972&amp;"|"&amp;'管线现金流'!AL3972&amp;"|"&amp;'管线现金流'!J3973&amp;"|"&amp;'管线现金流'!AL3973&amp;"|"&amp;'管线现金流'!J3974&amp;"|"&amp;'管线现金流'!AL3974&amp;"|"&amp;'管线现金流'!J3975&amp;"|"&amp;'管线现金流'!AL3975&amp;"|"&amp;'管线现金流'!J3976&amp;"|"&amp;'管线现金流'!AL3976&amp;"|"&amp;'管线现金流'!J3977&amp;"|"&amp;'管线现金流'!AL3977&amp;"|"&amp;'管线现金流'!J3978&amp;"|"&amp;'管线现金流'!AL3978&amp;"|"&amp;'管线现金流'!J3979&amp;"|"&amp;'管线现金流'!AL3979&amp;"|"&amp;'管线现金流'!J3980&amp;"|"&amp;'管线现金流'!AL3980&amp;"|"&amp;'管线现金流'!J3981&amp;"|"&amp;'管线现金流'!AL3981&amp;"|"&amp;'管线现金流'!J3982&amp;"|"&amp;'管线现金流'!AL3982&amp;"|"&amp;'管线现金流'!J3983&amp;"|"&amp;'管线现金流'!AL3983&amp;"|"&amp;'管线现金流'!J3984&amp;"|"&amp;'管线现金流'!AL3984&amp;"|"&amp;'管线现金流'!J3985&amp;"|"&amp;'管线现金流'!AL3985&amp;"|"&amp;'管线现金流'!J3986&amp;"|"&amp;'管线现金流'!AL3986&amp;"|"&amp;'管线现金流'!J3987&amp;"|"&amp;'管线现金流'!AL3987&amp;"|"&amp;'管线现金流'!J3988&amp;"|"&amp;'管线现金流'!AL3988&amp;"|"&amp;'管线现金流'!J3989&amp;"|"&amp;'管线现金流'!AL3989&amp;"|"&amp;'管线现金流'!J3990&amp;"|"&amp;'管线现金流'!AL3990&amp;"|"&amp;'管线现金流'!J3991&amp;"|"&amp;'管线现金流'!AL3991&amp;"|"&amp;'管线现金流'!J3992&amp;"|"&amp;'管线现金流'!AL3992&amp;"|"&amp;'管线现金流'!J3993&amp;"|"&amp;'管线现金流'!AL3993&amp;"|"&amp;'管线现金流'!J3994&amp;"|"&amp;'管线现金流'!AL3994&amp;"|"&amp;'管线现金流'!J3995&amp;"|"&amp;'管线现金流'!AL3995&amp;"|"&amp;'管线现金流'!J3996&amp;"|"&amp;'管线现金流'!AL3996&amp;"|"&amp;'管线现金流'!J3997&amp;"|"&amp;'管线现金流'!AL3997&amp;"|"&amp;'管线现金流'!J3998&amp;"|"&amp;'管线现金流'!AL3998&amp;"|"&amp;'管线现金流'!J3999&amp;"|"&amp;'管线现金流'!AL3999&amp;"|"&amp;'管线现金流'!J4000&amp;"|"&amp;'管线现金流'!AL4000&amp;"|"&amp;'管线现金流'!J4001&amp;"|"&amp;'管线现金流'!AL4001&amp;"|"&amp;'管线现金流'!J4002&amp;"|"&amp;'管线现金流'!AL4002&amp;"|"&amp;'管线现金流'!J4003&amp;"|"&amp;'管线现金流'!AL4003&amp;"|"&amp;'管线现金流'!J4004&amp;"|"&amp;'管线现金流'!AL4004&amp;"|"&amp;'管线现金流'!J4005&amp;"|"&amp;'管线现金流'!AL4005&amp;"|"&amp;'管线现金流'!J4006&amp;"|"&amp;'管线现金流'!AL4006&amp;"|"&amp;'管线现金流'!J4007&amp;"|"&amp;'管线现金流'!AL4007&amp;"|"&amp;'管线现金流'!J4008&amp;"|"&amp;'管线现金流'!AL4008&amp;"|"&amp;'管线现金流'!J4009&amp;"|"&amp;'管线现金流'!AL4009&amp;"|"&amp;'管线现金流'!J4010&amp;"|"&amp;'管线现金流'!AL4010&amp;"|"&amp;'管线现金流'!J4011&amp;"|"&amp;'管线现金流'!AL4011&amp;"|"&amp;'管线现金流'!J4012&amp;"|"&amp;'管线现金流'!AL4012&amp;"|"&amp;'管线现金流'!J4013&amp;"|"&amp;'管线现金流'!AL4013&amp;"|"&amp;'管线现金流'!J4014&amp;"|"&amp;'管线现金流'!AL4014&amp;"|"&amp;'管线现金流'!J4015&amp;"|"&amp;'管线现金流'!AL4015&amp;"|"&amp;'管线现金流'!J4016&amp;"|"&amp;'管线现金流'!AL4016&amp;"|"&amp;'管线现金流'!J4017&amp;"|"&amp;'管线现金流'!AL4017&amp;"|"&amp;'管线现金流'!J4018&amp;"|"&amp;'管线现金流'!AL4018&amp;"|"&amp;'管线现金流'!J4019&amp;"|"&amp;'管线现金流'!AL4019&amp;"|"&amp;'管线现金流'!J4020&amp;"|"&amp;'管线现金流'!AL4020&amp;"|"&amp;'管线现金流'!J4021&amp;"|"&amp;'管线现金流'!AL4021&amp;"|"&amp;'管线现金流'!J4022&amp;"|"&amp;'管线现金流'!AL4022&amp;"|"&amp;'管线现金流'!J4023&amp;"|"&amp;'管线现金流'!AL4023&amp;"|"&amp;'管线现金流'!J4024&amp;"|"&amp;'管线现金流'!AL4024&amp;"|"&amp;'管线现金流'!J4025&amp;"|"&amp;'管线现金流'!AL4025&amp;"|"&amp;'管线现金流'!J4026&amp;"|"&amp;'管线现金流'!AL4026&amp;"|"&amp;'管线现金流'!J4027&amp;"|"&amp;'管线现金流'!AL4027&amp;"|"&amp;'管线现金流'!J4028&amp;"|"&amp;'管线现金流'!AL4028&amp;"|"&amp;'管线现金流'!J4029&amp;"|"&amp;'管线现金流'!AL4029&amp;"|"&amp;'管线现金流'!J4030&amp;"|"&amp;'管线现金流'!AL4030&amp;"|"&amp;'管线现金流'!J4031&amp;"|"&amp;'管线现金流'!AL4031&amp;"|"&amp;'管线现金流'!J4032&amp;"|"&amp;'管线现金流'!AL4032&amp;"|"&amp;'管线现金流'!J4033&amp;"|"&amp;'管线现金流'!AL4033&amp;"|"&amp;'管线现金流'!J4034&amp;"|"&amp;'管线现金流'!AL4034&amp;"|"&amp;'管线现金流'!J4035&amp;"|"&amp;'管线现金流'!AL4035&amp;"|"&amp;'管线现金流'!J4036&amp;"|"&amp;'管线现金流'!AL4036&amp;"|"&amp;'管线现金流'!J4037&amp;"|"&amp;'管线现金流'!AL4037&amp;"|"&amp;'管线现金流'!J4038&amp;"|"&amp;'管线现金流'!AL4038&amp;"|"&amp;'管线现金流'!J4039&amp;"|"&amp;'管线现金流'!AL4039&amp;"|"&amp;'管线现金流'!J4040&amp;"|"&amp;'管线现金流'!AL4040&amp;"|"&amp;'管线现金流'!J4041&amp;"|"&amp;'管线现金流'!AL4041&amp;"|"&amp;'管线现金流'!J4042&amp;"|"&amp;'管线现金流'!AL4042&amp;"|"&amp;'管线现金流'!J4043&amp;"|"&amp;'管线现金流'!AL4043&amp;"|"&amp;'管线现金流'!J4044&amp;"|"&amp;'管线现金流'!AL4044&amp;"|"&amp;'管线现金流'!J4045&amp;"|"&amp;'管线现金流'!AL4045&amp;"|"&amp;'管线现金流'!J4046&amp;"|"&amp;'管线现金流'!AL4046&amp;"|"&amp;'管线现金流'!J4047&amp;"|"&amp;'管线现金流'!AL4047&amp;"|"&amp;'管线现金流'!J4048&amp;"|"&amp;'管线现金流'!AL4048&amp;"|"&amp;'管线现金流'!J4049&amp;"|"&amp;'管线现金流'!AL4049&amp;"|"&amp;'管线现金流'!J4050&amp;"|"&amp;'管线现金流'!AL4050&amp;"|"&amp;'管线现金流'!J4051&amp;"|"&amp;'管线现金流'!AL4051&amp;"|"&amp;'管线现金流'!J4052&amp;"|"&amp;'管线现金流'!AL4052&amp;"|"&amp;'管线现金流'!J4053&amp;"|"&amp;'管线现金流'!AL4053&amp;"|"&amp;'管线现金流'!J4054&amp;"|"&amp;'管线现金流'!AL4054&amp;"|"&amp;'管线现金流'!J4055&amp;"|"&amp;'管线现金流'!AL4055&amp;"|"&amp;'管线现金流'!J4056&amp;"|"&amp;'管线现金流'!AL4056&amp;"|"&amp;'管线现金流'!J4057&amp;"|"&amp;'管线现金流'!AL4057&amp;"|"&amp;'管线现金流'!J4058&amp;"|"&amp;'管线现金流'!AL4058&amp;"|"&amp;'管线现金流'!J4059&amp;"|"&amp;'管线现金流'!AL4059&amp;"|"&amp;'管线现金流'!J4060&amp;"|"&amp;'管线现金流'!AL4060&amp;"|"&amp;'管线现金流'!J4061&amp;"|"&amp;'管线现金流'!AL4061&amp;"|"&amp;'管线现金流'!J4062&amp;"|"&amp;'管线现金流'!AL4062&amp;"|"&amp;'管线现金流'!J4063&amp;"|"&amp;'管线现金流'!AL4063&amp;"|"&amp;'管线现金流'!J4064&amp;"|"&amp;'管线现金流'!AL4064&amp;"|"&amp;'管线现金流'!J4065&amp;"|"&amp;'管线现金流'!AL4065&amp;"|"&amp;'管线现金流'!J4066&amp;"|"&amp;'管线现金流'!AL4066&amp;"|"&amp;'管线现金流'!J4067&amp;"|"&amp;'管线现金流'!AL4067&amp;"|"&amp;'管线现金流'!J4068&amp;"|"&amp;'管线现金流'!AL4068&amp;"|"&amp;'管线现金流'!J4069&amp;"|"&amp;'管线现金流'!AL4069&amp;"|"&amp;'管线现金流'!J4070&amp;"|"&amp;'管线现金流'!AL4070&amp;"|"&amp;'管线现金流'!J4071&amp;"|"&amp;'管线现金流'!AL4071&amp;"|"&amp;'管线现金流'!J4072&amp;"|"&amp;'管线现金流'!AL4072&amp;"|"&amp;'管线现金流'!J4073&amp;"|"&amp;'管线现金流'!AL4073&amp;"|"&amp;'管线现金流'!J4074&amp;"|"&amp;'管线现金流'!AL4074&amp;"|"&amp;'管线现金流'!J4075&amp;"|"&amp;'管线现金流'!AL4075&amp;"|"&amp;'管线现金流'!J4076&amp;"|"&amp;'管线现金流'!AL4076&amp;"|"&amp;'管线现金流'!J4077&amp;"|"&amp;'管线现金流'!AL4077&amp;"|"&amp;'管线现金流'!J4078&amp;"|"&amp;'管线现金流'!AL4078&amp;"|"&amp;'管线现金流'!J4079&amp;"|"&amp;'管线现金流'!AL4079&amp;"|"&amp;'管线现金流'!J4080&amp;"|"&amp;'管线现金流'!AL4080&amp;"|"&amp;'管线现金流'!J4081&amp;"|"&amp;'管线现金流'!AL4081&amp;"|"&amp;'管线现金流'!J4082&amp;"|"&amp;'管线现金流'!AL4082&amp;"|"&amp;'管线现金流'!J4083&amp;"|"&amp;'管线现金流'!AL4083&amp;"|"&amp;'管线现金流'!J4084&amp;"|"&amp;'管线现金流'!AL4084&amp;"|"&amp;'管线现金流'!J4085&amp;"|"&amp;'管线现金流'!AL4085&amp;"|"&amp;'管线现金流'!J4086&amp;"|"&amp;'管线现金流'!AL4086&amp;"|"&amp;'管线现金流'!J4087&amp;"|"&amp;'管线现金流'!AL4087&amp;"|"&amp;'管线现金流'!J4088&amp;"|"&amp;'管线现金流'!AL4088&amp;"|"&amp;'管线现金流'!J4089&amp;"|"&amp;'管线现金流'!AL4089&amp;"|"&amp;'管线现金流'!J4090&amp;"|"&amp;'管线现金流'!AL4090&amp;"|"&amp;'管线现金流'!J4091&amp;"|"&amp;'管线现金流'!AL4091&amp;"|"&amp;'管线现金流'!J4092&amp;"|"&amp;'管线现金流'!AL4092&amp;"|"&amp;'管线现金流'!J4093&amp;"|"&amp;'管线现金流'!AL4093&amp;"|"&amp;'管线现金流'!J4094&amp;"|"&amp;'管线现金流'!AL4094&amp;"|"&amp;'管线现金流'!J4095&amp;"|"&amp;'管线现金流'!AL4095&amp;"|"&amp;'管线现金流'!J4096&amp;"|"&amp;'管线现金流'!AL4096&amp;"|"&amp;'管线现金流'!J4097&amp;"|"&amp;'管线现金流'!AL4097&amp;"|"&amp;'管线现金流'!J4098&amp;"|"&amp;'管线现金流'!AL4098&amp;"|"&amp;'管线现金流'!J4099&amp;"|"&amp;'管线现金流'!AL4099&amp;"|"&amp;'管线现金流'!J4100&amp;"|"&amp;'管线现金流'!AL4100&amp;"|"&amp;'管线现金流'!J4101&amp;"|"&amp;'管线现金流'!AL4101&amp;"|"&amp;'管线现金流'!J4102&amp;"|"&amp;'管线现金流'!AL4102&amp;"|"&amp;'管线现金流'!J4103&amp;"|"&amp;'管线现金流'!AL4103&amp;"|"&amp;'管线现金流'!J4104&amp;"|"&amp;'管线现金流'!AL4104&amp;"|"&amp;'管线现金流'!J4105&amp;"|"&amp;'管线现金流'!AL4105&amp;"|"&amp;'管线现金流'!J4106&amp;"|"&amp;'管线现金流'!AL4106&amp;"|"&amp;'管线现金流'!J4107&amp;"|"&amp;'管线现金流'!AL4107&amp;"|"&amp;'管线现金流'!J4108&amp;"|"&amp;'管线现金流'!AL4108&amp;"|"&amp;'管线现金流'!J4109&amp;"|"&amp;'管线现金流'!AL4109&amp;"|"&amp;'管线现金流'!J4110&amp;"|"&amp;'管线现金流'!AL4110&amp;"|"&amp;'管线现金流'!J4111&amp;"|"&amp;'管线现金流'!AL4111&amp;"|"&amp;'管线现金流'!J4112&amp;"|"&amp;'管线现金流'!AL4112&amp;"|"&amp;'管线现金流'!J4113&amp;"|"&amp;'管线现金流'!AL4113&amp;"|"&amp;'管线现金流'!J4114&amp;"|"&amp;'管线现金流'!AL4114&amp;"|"&amp;'管线现金流'!J4115&amp;"|"&amp;'管线现金流'!AL4115&amp;"|"&amp;'管线现金流'!J4116&amp;"|"&amp;'管线现金流'!AL4116&amp;"|"&amp;'管线现金流'!J4117&amp;"|"&amp;'管线现金流'!AL4117&amp;"|"&amp;'管线现金流'!J4118&amp;"|"&amp;'管线现金流'!AL4118&amp;"|"&amp;'管线现金流'!J4119&amp;"|"&amp;'管线现金流'!AL4119&amp;"|"&amp;'管线现金流'!J4120&amp;"|"&amp;'管线现金流'!AL4120&amp;"|"&amp;'管线现金流'!J4121&amp;"|"&amp;'管线现金流'!AL4121&amp;"|"&amp;'管线现金流'!J4122&amp;"|"&amp;'管线现金流'!AL4122&amp;"|"&amp;'管线现金流'!J4123&amp;"|"&amp;'管线现金流'!AL4123&amp;"|"&amp;'管线现金流'!J4124&amp;"|"&amp;'管线现金流'!AL4124&amp;"|"&amp;'管线现金流'!J4125&amp;"|"&amp;'管线现金流'!AL4125&amp;"|"&amp;'管线现金流'!J4126&amp;"|"&amp;'管线现金流'!AL4126&amp;"|"&amp;'管线现金流'!J4127&amp;"|"&amp;'管线现金流'!AL4127&amp;"|"&amp;'管线现金流'!J4128&amp;"|"&amp;'管线现金流'!AL4128&amp;"|"&amp;'管线现金流'!J4129&amp;"|"&amp;'管线现金流'!AL4129&amp;"|"&amp;'管线现金流'!J4130&amp;"|"&amp;'管线现金流'!AL4130&amp;"|"&amp;'管线现金流'!J4131&amp;"|"&amp;'管线现金流'!AL4131&amp;"|"&amp;'管线现金流'!J4132&amp;"|"&amp;'管线现金流'!AL4132&amp;"|"&amp;'管线现金流'!J4133&amp;"|"&amp;'管线现金流'!AL4133&amp;"|"&amp;'管线现金流'!J4134&amp;"|"&amp;'管线现金流'!AL4134&amp;"|"&amp;'管线现金流'!J4135&amp;"|"&amp;'管线现金流'!AL4135&amp;"|"&amp;'管线现金流'!J4136&amp;"|"&amp;'管线现金流'!AL4136&amp;"|"&amp;'管线现金流'!J4137&amp;"|"&amp;'管线现金流'!AL4137&amp;"|"&amp;'管线现金流'!J4138&amp;"|"&amp;'管线现金流'!AL4138&amp;"|"&amp;'管线现金流'!J4139&amp;"|"&amp;'管线现金流'!AL4139&amp;"|"&amp;'管线现金流'!W46&amp;"|"&amp;'管线现金流'!Z46&amp;"|"&amp;'管线现金流'!AQ46&amp;"|"&amp;'管线现金流'!AT46&amp;"|"&amp;'管线现金流'!W47&amp;"|"&amp;'管线现金流'!Z47&amp;"|"&amp;'管线现金流'!AQ47&amp;"|"&amp;'管线现金流'!AT47&amp;"|"&amp;'管线现金流'!W48&amp;"|"&amp;'管线现金流'!Z48&amp;"|"&amp;'管线现金流'!AQ48&amp;"|"&amp;'管线现金流'!AT48&amp;"|"&amp;'管线现金流'!W49&amp;"|"&amp;'管线现金流'!Z49&amp;"|"&amp;'管线现金流'!AQ49&amp;"|"&amp;'管线现金流'!AT49&amp;"|"&amp;'管线现金流'!W50&amp;"|"&amp;'管线现金流'!Z50&amp;"|"&amp;'管线现金流'!AQ50&amp;"|"&amp;'管线现金流'!AT50&amp;"|"&amp;'管线现金流'!W51&amp;"|"&amp;'管线现金流'!Z51&amp;"|"&amp;'管线现金流'!AQ51&amp;"|"&amp;'管线现金流'!AT51&amp;"|"&amp;'管线现金流'!W52&amp;"|"&amp;'管线现金流'!Z52&amp;"|"&amp;'管线现金流'!AQ52&amp;"|"&amp;'管线现金流'!AT52&amp;"|"&amp;'管线现金流'!W53&amp;"|"&amp;'管线现金流'!Z53&amp;"|"&amp;'管线现金流'!AQ53&amp;"|"&amp;'管线现金流'!AT53&amp;"|"&amp;'管线现金流'!W54&amp;"|"&amp;'管线现金流'!Z54&amp;"|"&amp;'管线现金流'!AQ54&amp;"|"&amp;'管线现金流'!AT54</x:f>
        <x:v>0.45|1.9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</x:row>
    <x:row r="403" ht="23" customHeight="1">
      <x:c r="A403" s="11" t="str">
        <x:v>02162.HK</x:v>
      </x:c>
      <x:c r="B403" s="11" t="str">
        <x:v>康诺亚-B</x:v>
      </x:c>
      <x:c r="C403" s="11" t="str">
        <x:v>一年</x:v>
      </x:c>
      <x:c r="D403" s="11" t="str">
        <x:v>悲观</x:v>
      </x:c>
      <x:c r="E403" s="11" t="n">
        <x:v>78.3</x:v>
      </x:c>
      <x:c r="F403" s="11" t="n">
        <x:v>14.453494905373255</x:v>
      </x:c>
      <x:c r="G403" s="11" t="n">
        <x:v>0</x:v>
      </x:c>
      <x:c r="H403" s="25" t="n">
        <x:v>-0.8154087496120912</x:v>
      </x:c>
      <x:c r="I403" s="25" t="n">
        <x:v>-0.8154087496120912</x:v>
      </x:c>
      <x:c r="J403" s="25" t="str"/>
      <x:c r="K403" s="11" t="n">
        <x:v>0</x:v>
      </x:c>
      <x:c r="L403" s="11" t="n">
        <x:v>0</x:v>
      </x:c>
      <x:c r="M403" s="11" t="n">
        <x:v>1.1</x:v>
      </x:c>
      <x:c r="N403" s="11" t="n">
        <x:v>0</x:v>
      </x:c>
      <x:c r="O403" s="11" t="n">
        <x:v>0</x:v>
      </x:c>
      <x:c r="P403" s="11" t="n">
        <x:v>0</x:v>
      </x:c>
      <x:c r="Q403" s="11" t="n">
        <x:v>0.34</x:v>
      </x:c>
      <x:c r="R403" s="11" t="str">
        <x:v>keymed-v2-finite-assets-prorated-short-recognition</x:v>
      </x:c>
      <x:c r="S403" s="11" t="str">
        <x:v>2026-10-10</x:v>
      </x:c>
      <x:c r="T403" s="11" t="str">
        <x:f>IF(AND(SUM(IF(K403='假设'!E536,0,1),IF(L403='假设'!F536,0,1),IF(M403='假设'!G536,0,1),IF(N403='假设'!H536,0,1),IF(O403='假设'!I536,0,1),IF(P403='假设'!J536,0,1),IF(Q403='假设'!K536,0,1))=0,U403=V403),"已刷新","待刷新")</x:f>
        <x:v>已刷新</x:v>
      </x:c>
      <x:c r="U403" t="str">
        <x:v>0.9|0.55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  <x:c r="V403" t="str">
        <x:f>'假设'!U536&amp;"|"&amp;'假设'!N536&amp;"|"&amp;'假设'!Q536&amp;"|"&amp;'管线假设'!E896&amp;"|"&amp;'管线假设'!F896&amp;"|"&amp;'管线假设'!G896&amp;"|"&amp;'管线假设'!H896&amp;"|"&amp;'管线假设'!I896&amp;"|"&amp;'管线假设'!E900&amp;"|"&amp;'管线假设'!F900&amp;"|"&amp;'管线假设'!G900&amp;"|"&amp;'管线假设'!H900&amp;"|"&amp;'管线假设'!I900&amp;"|"&amp;'管线假设'!E904&amp;"|"&amp;'管线假设'!F904&amp;"|"&amp;'管线假设'!G904&amp;"|"&amp;'管线假设'!H904&amp;"|"&amp;'管线假设'!I904&amp;"|"&amp;'管线假设'!E908&amp;"|"&amp;'管线假设'!F908&amp;"|"&amp;'管线假设'!G908&amp;"|"&amp;'管线假设'!H908&amp;"|"&amp;'管线假设'!I908&amp;"|"&amp;'管线假设'!E912&amp;"|"&amp;'管线假设'!F912&amp;"|"&amp;'管线假设'!G912&amp;"|"&amp;'管线假设'!H912&amp;"|"&amp;'管线假设'!I912&amp;"|"&amp;'管线假设'!E916&amp;"|"&amp;'管线假设'!F916&amp;"|"&amp;'管线假设'!G916&amp;"|"&amp;'管线假设'!H916&amp;"|"&amp;'管线假设'!I916&amp;"|"&amp;'管线假设'!E920&amp;"|"&amp;'管线假设'!F920&amp;"|"&amp;'管线假设'!G920&amp;"|"&amp;'管线假设'!H920&amp;"|"&amp;'管线假设'!I920&amp;"|"&amp;'管线假设'!E924&amp;"|"&amp;'管线假设'!F924&amp;"|"&amp;'管线假设'!G924&amp;"|"&amp;'管线假设'!H924&amp;"|"&amp;'管线假设'!I924&amp;"|"&amp;'管线假设'!E928&amp;"|"&amp;'管线假设'!F928&amp;"|"&amp;'管线假设'!G928&amp;"|"&amp;'管线假设'!H928&amp;"|"&amp;'管线假设'!I928&amp;"|"&amp;'管线假设'!E932&amp;"|"&amp;'管线假设'!F932&amp;"|"&amp;'管线假设'!G932&amp;"|"&amp;'管线假设'!H932&amp;"|"&amp;'管线假设'!I932&amp;"|"&amp;'管线假设'!E936&amp;"|"&amp;'管线假设'!F936&amp;"|"&amp;'管线假设'!G936&amp;"|"&amp;'管线假设'!H936&amp;"|"&amp;'管线假设'!I936&amp;"|"&amp;'管线现金流'!H4140&amp;"|"&amp;'管线现金流'!AJ4140&amp;"|"&amp;'管线现金流'!H4141&amp;"|"&amp;'管线现金流'!AJ4141&amp;"|"&amp;'管线现金流'!H4142&amp;"|"&amp;'管线现金流'!AJ4142&amp;"|"&amp;'管线现金流'!H4143&amp;"|"&amp;'管线现金流'!AJ4143&amp;"|"&amp;'管线现金流'!H4144&amp;"|"&amp;'管线现金流'!AJ4144&amp;"|"&amp;'管线现金流'!H4145&amp;"|"&amp;'管线现金流'!AJ4145&amp;"|"&amp;'管线现金流'!H4146&amp;"|"&amp;'管线现金流'!AJ4146&amp;"|"&amp;'管线现金流'!H4147&amp;"|"&amp;'管线现金流'!AJ4147&amp;"|"&amp;'管线现金流'!H4148&amp;"|"&amp;'管线现金流'!AJ4148&amp;"|"&amp;'管线现金流'!H4149&amp;"|"&amp;'管线现金流'!AJ4149&amp;"|"&amp;'管线现金流'!H4150&amp;"|"&amp;'管线现金流'!AJ4150&amp;"|"&amp;'管线现金流'!H4151&amp;"|"&amp;'管线现金流'!AJ4151&amp;"|"&amp;'管线现金流'!H4152&amp;"|"&amp;'管线现金流'!AJ4152&amp;"|"&amp;'管线现金流'!H4153&amp;"|"&amp;'管线现金流'!AJ4153&amp;"|"&amp;'管线现金流'!H4154&amp;"|"&amp;'管线现金流'!AJ4154&amp;"|"&amp;'管线现金流'!H4155&amp;"|"&amp;'管线现金流'!AJ4155&amp;"|"&amp;'管线现金流'!H4156&amp;"|"&amp;'管线现金流'!AJ4156&amp;"|"&amp;'管线现金流'!H4157&amp;"|"&amp;'管线现金流'!AJ4157&amp;"|"&amp;'管线现金流'!H4158&amp;"|"&amp;'管线现金流'!AJ4158&amp;"|"&amp;'管线现金流'!H4159&amp;"|"&amp;'管线现金流'!AJ4159&amp;"|"&amp;'管线现金流'!H4160&amp;"|"&amp;'管线现金流'!AJ4160&amp;"|"&amp;'管线现金流'!H4161&amp;"|"&amp;'管线现金流'!AJ4161&amp;"|"&amp;'管线现金流'!H4162&amp;"|"&amp;'管线现金流'!AJ4162&amp;"|"&amp;'管线现金流'!H4163&amp;"|"&amp;'管线现金流'!AJ4163&amp;"|"&amp;'管线现金流'!H4164&amp;"|"&amp;'管线现金流'!AJ4164&amp;"|"&amp;'管线现金流'!H4165&amp;"|"&amp;'管线现金流'!AJ4165&amp;"|"&amp;'管线现金流'!H4166&amp;"|"&amp;'管线现金流'!AJ4166&amp;"|"&amp;'管线现金流'!H4167&amp;"|"&amp;'管线现金流'!AJ4167&amp;"|"&amp;'管线现金流'!H4168&amp;"|"&amp;'管线现金流'!AJ4168&amp;"|"&amp;'管线现金流'!H4169&amp;"|"&amp;'管线现金流'!AJ4169&amp;"|"&amp;'管线现金流'!H4170&amp;"|"&amp;'管线现金流'!AJ4170&amp;"|"&amp;'管线现金流'!H4171&amp;"|"&amp;'管线现金流'!AJ4171&amp;"|"&amp;'管线现金流'!H4172&amp;"|"&amp;'管线现金流'!AJ4172&amp;"|"&amp;'管线现金流'!H4173&amp;"|"&amp;'管线现金流'!AJ4173&amp;"|"&amp;'管线现金流'!H4174&amp;"|"&amp;'管线现金流'!AJ4174&amp;"|"&amp;'管线现金流'!H4175&amp;"|"&amp;'管线现金流'!AJ4175&amp;"|"&amp;'管线现金流'!H4176&amp;"|"&amp;'管线现金流'!AJ4176&amp;"|"&amp;'管线现金流'!H4177&amp;"|"&amp;'管线现金流'!AJ4177&amp;"|"&amp;'管线现金流'!H4178&amp;"|"&amp;'管线现金流'!AJ4178&amp;"|"&amp;'管线现金流'!H4179&amp;"|"&amp;'管线现金流'!AJ4179&amp;"|"&amp;'管线现金流'!H4180&amp;"|"&amp;'管线现金流'!AJ4180&amp;"|"&amp;'管线现金流'!H4181&amp;"|"&amp;'管线现金流'!AJ4181&amp;"|"&amp;'管线现金流'!H4182&amp;"|"&amp;'管线现金流'!AJ4182&amp;"|"&amp;'管线现金流'!H4183&amp;"|"&amp;'管线现金流'!AJ4183&amp;"|"&amp;'管线现金流'!H4184&amp;"|"&amp;'管线现金流'!AJ4184&amp;"|"&amp;'管线现金流'!H4185&amp;"|"&amp;'管线现金流'!AJ4185&amp;"|"&amp;'管线现金流'!H4186&amp;"|"&amp;'管线现金流'!AJ4186&amp;"|"&amp;'管线现金流'!H4187&amp;"|"&amp;'管线现金流'!AJ4187&amp;"|"&amp;'管线现金流'!H4188&amp;"|"&amp;'管线现金流'!AJ4188&amp;"|"&amp;'管线现金流'!H4189&amp;"|"&amp;'管线现金流'!AJ4189&amp;"|"&amp;'管线现金流'!H4190&amp;"|"&amp;'管线现金流'!AJ4190&amp;"|"&amp;'管线现金流'!H4191&amp;"|"&amp;'管线现金流'!AJ4191&amp;"|"&amp;'管线现金流'!H4192&amp;"|"&amp;'管线现金流'!AJ4192&amp;"|"&amp;'管线现金流'!H4193&amp;"|"&amp;'管线现金流'!AJ4193&amp;"|"&amp;'管线现金流'!H4194&amp;"|"&amp;'管线现金流'!AJ4194&amp;"|"&amp;'管线现金流'!H4195&amp;"|"&amp;'管线现金流'!AJ4195&amp;"|"&amp;'管线现金流'!H4196&amp;"|"&amp;'管线现金流'!AJ4196&amp;"|"&amp;'管线现金流'!H4197&amp;"|"&amp;'管线现金流'!AJ4197&amp;"|"&amp;'管线现金流'!H4198&amp;"|"&amp;'管线现金流'!AJ4198&amp;"|"&amp;'管线现金流'!H4199&amp;"|"&amp;'管线现金流'!AJ4199&amp;"|"&amp;'管线现金流'!H4200&amp;"|"&amp;'管线现金流'!AJ4200&amp;"|"&amp;'管线现金流'!H4201&amp;"|"&amp;'管线现金流'!AJ4201&amp;"|"&amp;'管线现金流'!H4202&amp;"|"&amp;'管线现金流'!AJ4202&amp;"|"&amp;'管线现金流'!H4203&amp;"|"&amp;'管线现金流'!AJ4203&amp;"|"&amp;'管线现金流'!H4204&amp;"|"&amp;'管线现金流'!AJ4204&amp;"|"&amp;'管线现金流'!H4205&amp;"|"&amp;'管线现金流'!AJ4205&amp;"|"&amp;'管线现金流'!H4206&amp;"|"&amp;'管线现金流'!AJ4206&amp;"|"&amp;'管线现金流'!H4207&amp;"|"&amp;'管线现金流'!AJ4207&amp;"|"&amp;'管线现金流'!H4208&amp;"|"&amp;'管线现金流'!AJ4208&amp;"|"&amp;'管线现金流'!H4209&amp;"|"&amp;'管线现金流'!AJ4209&amp;"|"&amp;'管线现金流'!H4210&amp;"|"&amp;'管线现金流'!AJ4210&amp;"|"&amp;'管线现金流'!H4211&amp;"|"&amp;'管线现金流'!AJ4211&amp;"|"&amp;'管线现金流'!H4212&amp;"|"&amp;'管线现金流'!AJ4212&amp;"|"&amp;'管线现金流'!H4213&amp;"|"&amp;'管线现金流'!AJ4213&amp;"|"&amp;'管线现金流'!H4214&amp;"|"&amp;'管线现金流'!AJ4214&amp;"|"&amp;'管线现金流'!H4215&amp;"|"&amp;'管线现金流'!AJ4215&amp;"|"&amp;'管线现金流'!H4216&amp;"|"&amp;'管线现金流'!AJ4216&amp;"|"&amp;'管线现金流'!H4217&amp;"|"&amp;'管线现金流'!AJ4217&amp;"|"&amp;'管线现金流'!H4218&amp;"|"&amp;'管线现金流'!AJ4218&amp;"|"&amp;'管线现金流'!H4219&amp;"|"&amp;'管线现金流'!AJ4219&amp;"|"&amp;'管线现金流'!H4220&amp;"|"&amp;'管线现金流'!AJ4220&amp;"|"&amp;'管线现金流'!H4221&amp;"|"&amp;'管线现金流'!AJ4221&amp;"|"&amp;'管线现金流'!H4222&amp;"|"&amp;'管线现金流'!AJ4222&amp;"|"&amp;'管线现金流'!H4223&amp;"|"&amp;'管线现金流'!AJ4223&amp;"|"&amp;'管线现金流'!H4224&amp;"|"&amp;'管线现金流'!AJ4224&amp;"|"&amp;'管线现金流'!H4225&amp;"|"&amp;'管线现金流'!AJ4225&amp;"|"&amp;'管线现金流'!H4226&amp;"|"&amp;'管线现金流'!AJ4226&amp;"|"&amp;'管线现金流'!H4227&amp;"|"&amp;'管线现金流'!AJ4227&amp;"|"&amp;'管线现金流'!H4228&amp;"|"&amp;'管线现金流'!AJ4228&amp;"|"&amp;'管线现金流'!H4229&amp;"|"&amp;'管线现金流'!AJ4229&amp;"|"&amp;'管线现金流'!H4230&amp;"|"&amp;'管线现金流'!AJ4230&amp;"|"&amp;'管线现金流'!H4231&amp;"|"&amp;'管线现金流'!AJ4231&amp;"|"&amp;'管线现金流'!H4232&amp;"|"&amp;'管线现金流'!AJ4232&amp;"|"&amp;'管线现金流'!H4233&amp;"|"&amp;'管线现金流'!AJ4233&amp;"|"&amp;'管线现金流'!H4234&amp;"|"&amp;'管线现金流'!AJ4234&amp;"|"&amp;'管线现金流'!H4235&amp;"|"&amp;'管线现金流'!AJ4235&amp;"|"&amp;'管线现金流'!H4236&amp;"|"&amp;'管线现金流'!AJ4236&amp;"|"&amp;'管线现金流'!H4237&amp;"|"&amp;'管线现金流'!AJ4237&amp;"|"&amp;'管线现金流'!H4238&amp;"|"&amp;'管线现金流'!AJ4238&amp;"|"&amp;'管线现金流'!H4239&amp;"|"&amp;'管线现金流'!AJ4239&amp;"|"&amp;'管线现金流'!H4240&amp;"|"&amp;'管线现金流'!AJ4240&amp;"|"&amp;'管线现金流'!H4241&amp;"|"&amp;'管线现金流'!AJ4241&amp;"|"&amp;'管线现金流'!H4242&amp;"|"&amp;'管线现金流'!AJ4242&amp;"|"&amp;'管线现金流'!H4243&amp;"|"&amp;'管线现金流'!AJ4243&amp;"|"&amp;'管线现金流'!H4244&amp;"|"&amp;'管线现金流'!AJ4244&amp;"|"&amp;'管线现金流'!H4245&amp;"|"&amp;'管线现金流'!AJ4245&amp;"|"&amp;'管线现金流'!H4246&amp;"|"&amp;'管线现金流'!AJ4246&amp;"|"&amp;'管线现金流'!H4247&amp;"|"&amp;'管线现金流'!AJ4247&amp;"|"&amp;'管线现金流'!H4248&amp;"|"&amp;'管线现金流'!AJ4248&amp;"|"&amp;'管线现金流'!H4249&amp;"|"&amp;'管线现金流'!AJ4249&amp;"|"&amp;'管线现金流'!H4250&amp;"|"&amp;'管线现金流'!AJ4250&amp;"|"&amp;'管线现金流'!H4251&amp;"|"&amp;'管线现金流'!AJ4251&amp;"|"&amp;'管线现金流'!H4252&amp;"|"&amp;'管线现金流'!AJ4252&amp;"|"&amp;'管线现金流'!H4253&amp;"|"&amp;'管线现金流'!AJ4253&amp;"|"&amp;'管线现金流'!H4254&amp;"|"&amp;'管线现金流'!AJ4254&amp;"|"&amp;'管线现金流'!H4255&amp;"|"&amp;'管线现金流'!AJ4255&amp;"|"&amp;'管线现金流'!H4256&amp;"|"&amp;'管线现金流'!AJ4256&amp;"|"&amp;'管线现金流'!H4257&amp;"|"&amp;'管线现金流'!AJ4257&amp;"|"&amp;'管线现金流'!H4258&amp;"|"&amp;'管线现金流'!AJ4258&amp;"|"&amp;'管线现金流'!H4259&amp;"|"&amp;'管线现金流'!AJ4259&amp;"|"&amp;'管线现金流'!H4260&amp;"|"&amp;'管线现金流'!AJ4260&amp;"|"&amp;'管线现金流'!H4261&amp;"|"&amp;'管线现金流'!AJ4261&amp;"|"&amp;'管线现金流'!H4262&amp;"|"&amp;'管线现金流'!AJ4262&amp;"|"&amp;'管线现金流'!H4263&amp;"|"&amp;'管线现金流'!AJ4263&amp;"|"&amp;'管线现金流'!H4264&amp;"|"&amp;'管线现金流'!AJ4264&amp;"|"&amp;'管线现金流'!H4265&amp;"|"&amp;'管线现金流'!AJ4265&amp;"|"&amp;'管线现金流'!H4266&amp;"|"&amp;'管线现金流'!AJ4266&amp;"|"&amp;'管线现金流'!H4267&amp;"|"&amp;'管线现金流'!AJ4267&amp;"|"&amp;'管线现金流'!H4268&amp;"|"&amp;'管线现金流'!AJ4268&amp;"|"&amp;'管线现金流'!H4269&amp;"|"&amp;'管线现金流'!AJ4269&amp;"|"&amp;'管线现金流'!H4270&amp;"|"&amp;'管线现金流'!AJ4270&amp;"|"&amp;'管线现金流'!H4271&amp;"|"&amp;'管线现金流'!AJ4271&amp;"|"&amp;'管线现金流'!H4272&amp;"|"&amp;'管线现金流'!AJ4272&amp;"|"&amp;'管线现金流'!H4273&amp;"|"&amp;'管线现金流'!AJ4273&amp;"|"&amp;'管线现金流'!H4274&amp;"|"&amp;'管线现金流'!AJ4274&amp;"|"&amp;'管线现金流'!H4275&amp;"|"&amp;'管线现金流'!AJ4275&amp;"|"&amp;'管线现金流'!H4276&amp;"|"&amp;'管线现金流'!AJ4276&amp;"|"&amp;'管线现金流'!H4277&amp;"|"&amp;'管线现金流'!AJ4277&amp;"|"&amp;'管线现金流'!H4278&amp;"|"&amp;'管线现金流'!AJ4278&amp;"|"&amp;'管线现金流'!H4279&amp;"|"&amp;'管线现金流'!AJ4279&amp;"|"&amp;'管线现金流'!H4280&amp;"|"&amp;'管线现金流'!AJ4280&amp;"|"&amp;'管线现金流'!H4281&amp;"|"&amp;'管线现金流'!AJ4281&amp;"|"&amp;'管线现金流'!H4282&amp;"|"&amp;'管线现金流'!AJ4282&amp;"|"&amp;'管线现金流'!H4283&amp;"|"&amp;'管线现金流'!AJ4283&amp;"|"&amp;'管线现金流'!H4284&amp;"|"&amp;'管线现金流'!AJ4284&amp;"|"&amp;'管线现金流'!H4285&amp;"|"&amp;'管线现金流'!AJ4285&amp;"|"&amp;'管线现金流'!H4286&amp;"|"&amp;'管线现金流'!AJ4286&amp;"|"&amp;'管线现金流'!H4287&amp;"|"&amp;'管线现金流'!AJ4287&amp;"|"&amp;'管线现金流'!H4288&amp;"|"&amp;'管线现金流'!AJ4288&amp;"|"&amp;'管线现金流'!H4289&amp;"|"&amp;'管线现金流'!AJ4289&amp;"|"&amp;'管线现金流'!H4290&amp;"|"&amp;'管线现金流'!AJ4290&amp;"|"&amp;'管线现金流'!H4291&amp;"|"&amp;'管线现金流'!AJ4291&amp;"|"&amp;'管线现金流'!H4292&amp;"|"&amp;'管线现金流'!AJ4292&amp;"|"&amp;'管线现金流'!H4293&amp;"|"&amp;'管线现金流'!AJ4293&amp;"|"&amp;'管线现金流'!H4294&amp;"|"&amp;'管线现金流'!AJ4294&amp;"|"&amp;'管线现金流'!H4295&amp;"|"&amp;'管线现金流'!AJ4295&amp;"|"&amp;'管线现金流'!H4296&amp;"|"&amp;'管线现金流'!AJ4296&amp;"|"&amp;'管线现金流'!H4297&amp;"|"&amp;'管线现金流'!AJ4297&amp;"|"&amp;'管线现金流'!H4298&amp;"|"&amp;'管线现金流'!AJ4298&amp;"|"&amp;'管线现金流'!H4299&amp;"|"&amp;'管线现金流'!AJ4299&amp;"|"&amp;'管线现金流'!H4300&amp;"|"&amp;'管线现金流'!AJ4300&amp;"|"&amp;'管线现金流'!H4301&amp;"|"&amp;'管线现金流'!AJ4301&amp;"|"&amp;'管线现金流'!H4302&amp;"|"&amp;'管线现金流'!AJ4302&amp;"|"&amp;'管线现金流'!H4303&amp;"|"&amp;'管线现金流'!AJ4303&amp;"|"&amp;'管线现金流'!H4304&amp;"|"&amp;'管线现金流'!AJ4304&amp;"|"&amp;'管线现金流'!H4305&amp;"|"&amp;'管线现金流'!AJ4305&amp;"|"&amp;'管线现金流'!H4306&amp;"|"&amp;'管线现金流'!AJ4306&amp;"|"&amp;'管线现金流'!H4307&amp;"|"&amp;'管线现金流'!AJ4307&amp;"|"&amp;'管线现金流'!H4308&amp;"|"&amp;'管线现金流'!AJ4308&amp;"|"&amp;'管线现金流'!H4309&amp;"|"&amp;'管线现金流'!AJ4309&amp;"|"&amp;'管线现金流'!H4310&amp;"|"&amp;'管线现金流'!AJ4310&amp;"|"&amp;'管线现金流'!H4311&amp;"|"&amp;'管线现金流'!AJ4311&amp;"|"&amp;'管线现金流'!H4312&amp;"|"&amp;'管线现金流'!AJ4312&amp;"|"&amp;'管线现金流'!H4313&amp;"|"&amp;'管线现金流'!AJ4313&amp;"|"&amp;'管线现金流'!H4314&amp;"|"&amp;'管线现金流'!AJ4314&amp;"|"&amp;'管线现金流'!H4315&amp;"|"&amp;'管线现金流'!AJ4315&amp;"|"&amp;'管线现金流'!H4316&amp;"|"&amp;'管线现金流'!AJ4316&amp;"|"&amp;'管线现金流'!H4317&amp;"|"&amp;'管线现金流'!AJ4317&amp;"|"&amp;'管线现金流'!H4318&amp;"|"&amp;'管线现金流'!AJ4318&amp;"|"&amp;'管线现金流'!H4319&amp;"|"&amp;'管线现金流'!AJ4319&amp;"|"&amp;'管线现金流'!H4320&amp;"|"&amp;'管线现金流'!AJ4320&amp;"|"&amp;'管线现金流'!H4321&amp;"|"&amp;'管线现金流'!AJ4321&amp;"|"&amp;'管线现金流'!H4322&amp;"|"&amp;'管线现金流'!AJ4322&amp;"|"&amp;'管线现金流'!H4323&amp;"|"&amp;'管线现金流'!AJ4323&amp;"|"&amp;'管线现金流'!H4324&amp;"|"&amp;'管线现金流'!AJ4324&amp;"|"&amp;'管线现金流'!H4325&amp;"|"&amp;'管线现金流'!AJ4325&amp;"|"&amp;'管线现金流'!H4326&amp;"|"&amp;'管线现金流'!AJ4326&amp;"|"&amp;'管线现金流'!H4327&amp;"|"&amp;'管线现金流'!AJ4327&amp;"|"&amp;'管线现金流'!H4328&amp;"|"&amp;'管线现金流'!AJ4328&amp;"|"&amp;'管线现金流'!H4329&amp;"|"&amp;'管线现金流'!AJ4329&amp;"|"&amp;'管线现金流'!H4330&amp;"|"&amp;'管线现金流'!AJ4330&amp;"|"&amp;'管线现金流'!H4331&amp;"|"&amp;'管线现金流'!AJ4331&amp;"|"&amp;'管线现金流'!H4332&amp;"|"&amp;'管线现金流'!AJ4332&amp;"|"&amp;'管线现金流'!H4333&amp;"|"&amp;'管线现金流'!AJ4333&amp;"|"&amp;'管线现金流'!H4334&amp;"|"&amp;'管线现金流'!AJ4334&amp;"|"&amp;'管线现金流'!H4335&amp;"|"&amp;'管线现金流'!AJ4335&amp;"|"&amp;'管线现金流'!H4336&amp;"|"&amp;'管线现金流'!AJ4336&amp;"|"&amp;'管线现金流'!H4337&amp;"|"&amp;'管线现金流'!AJ4337&amp;"|"&amp;'管线现金流'!H4338&amp;"|"&amp;'管线现金流'!AJ4338&amp;"|"&amp;'管线现金流'!H4339&amp;"|"&amp;'管线现金流'!AJ4339&amp;"|"&amp;'管线现金流'!H4340&amp;"|"&amp;'管线现金流'!AJ4340&amp;"|"&amp;'管线现金流'!H4341&amp;"|"&amp;'管线现金流'!AJ4341&amp;"|"&amp;'管线现金流'!H4342&amp;"|"&amp;'管线现金流'!AJ4342&amp;"|"&amp;'管线现金流'!H4343&amp;"|"&amp;'管线现金流'!AJ4343&amp;"|"&amp;'管线现金流'!H4344&amp;"|"&amp;'管线现金流'!AJ4344&amp;"|"&amp;'管线现金流'!H4345&amp;"|"&amp;'管线现金流'!AJ4345&amp;"|"&amp;'管线现金流'!H4346&amp;"|"&amp;'管线现金流'!AJ4346&amp;"|"&amp;'管线现金流'!H4347&amp;"|"&amp;'管线现金流'!AJ4347&amp;"|"&amp;'管线现金流'!H4348&amp;"|"&amp;'管线现金流'!AJ4348&amp;"|"&amp;'管线现金流'!U55&amp;"|"&amp;'管线现金流'!X55&amp;"|"&amp;'管线现金流'!AO55&amp;"|"&amp;'管线现金流'!AR55&amp;"|"&amp;'管线现金流'!U56&amp;"|"&amp;'管线现金流'!X56&amp;"|"&amp;'管线现金流'!AO56&amp;"|"&amp;'管线现金流'!AR56&amp;"|"&amp;'管线现金流'!U57&amp;"|"&amp;'管线现金流'!X57&amp;"|"&amp;'管线现金流'!AO57&amp;"|"&amp;'管线现金流'!AR57&amp;"|"&amp;'管线现金流'!U58&amp;"|"&amp;'管线现金流'!X58&amp;"|"&amp;'管线现金流'!AO58&amp;"|"&amp;'管线现金流'!AR58&amp;"|"&amp;'管线现金流'!U59&amp;"|"&amp;'管线现金流'!X59&amp;"|"&amp;'管线现金流'!AO59&amp;"|"&amp;'管线现金流'!AR59&amp;"|"&amp;'管线现金流'!U60&amp;"|"&amp;'管线现金流'!X60&amp;"|"&amp;'管线现金流'!AO60&amp;"|"&amp;'管线现金流'!AR60&amp;"|"&amp;'管线现金流'!U61&amp;"|"&amp;'管线现金流'!X61&amp;"|"&amp;'管线现金流'!AO61&amp;"|"&amp;'管线现金流'!AR61&amp;"|"&amp;'管线现金流'!U62&amp;"|"&amp;'管线现金流'!X62&amp;"|"&amp;'管线现金流'!AO62&amp;"|"&amp;'管线现金流'!AR62&amp;"|"&amp;'管线现金流'!U63&amp;"|"&amp;'管线现金流'!X63&amp;"|"&amp;'管线现金流'!AO63&amp;"|"&amp;'管线现金流'!AR63</x:f>
        <x:v>0.9|0.55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</x:row>
    <x:row r="404" ht="23" customHeight="1">
      <x:c r="A404" s="11" t="str">
        <x:v>02162.HK</x:v>
      </x:c>
      <x:c r="B404" s="11" t="str">
        <x:v>康诺亚-B</x:v>
      </x:c>
      <x:c r="C404" s="11" t="str">
        <x:v>一年</x:v>
      </x:c>
      <x:c r="D404" s="11" t="str">
        <x:v>基准</x:v>
      </x:c>
      <x:c r="E404" s="11" t="n">
        <x:v>78.3</x:v>
      </x:c>
      <x:c r="F404" s="11" t="n">
        <x:v>76.20749151493708</x:v>
      </x:c>
      <x:c r="G404" s="11" t="n">
        <x:v>0</x:v>
      </x:c>
      <x:c r="H404" s="25" t="n">
        <x:v>-0.026724246297099907</x:v>
      </x:c>
      <x:c r="I404" s="25" t="n">
        <x:v>-0.026724246297099907</x:v>
      </x:c>
      <x:c r="J404" s="25" t="str"/>
      <x:c r="K404" s="11" t="n">
        <x:v>0</x:v>
      </x:c>
      <x:c r="L404" s="11" t="n">
        <x:v>0</x:v>
      </x:c>
      <x:c r="M404" s="11" t="n">
        <x:v>1.1</x:v>
      </x:c>
      <x:c r="N404" s="11" t="n">
        <x:v>0</x:v>
      </x:c>
      <x:c r="O404" s="11" t="n">
        <x:v>0</x:v>
      </x:c>
      <x:c r="P404" s="11" t="n">
        <x:v>0</x:v>
      </x:c>
      <x:c r="Q404" s="11" t="n">
        <x:v>0.32</x:v>
      </x:c>
      <x:c r="R404" s="11" t="str">
        <x:v>keymed-v2-finite-assets-prorated-short-recognition</x:v>
      </x:c>
      <x:c r="S404" s="11" t="str">
        <x:v>2026-10-10</x:v>
      </x:c>
      <x:c r="T404" s="11" t="str">
        <x:f>IF(AND(SUM(IF(K404='假设'!E537,0,1),IF(L404='假设'!F537,0,1),IF(M404='假设'!G537,0,1),IF(N404='假设'!H537,0,1),IF(O404='假设'!I537,0,1),IF(P404='假设'!J537,0,1),IF(Q404='假设'!K537,0,1))=0,U404=V404),"已刷新","待刷新")</x:f>
        <x:v>已刷新</x:v>
      </x:c>
      <x:c r="U404" t="str">
        <x:v>1|1.7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  <x:c r="V404" t="str">
        <x:f>'假设'!U537&amp;"|"&amp;'假设'!N537&amp;"|"&amp;'假设'!Q537&amp;"|"&amp;'管线假设'!E897&amp;"|"&amp;'管线假设'!F897&amp;"|"&amp;'管线假设'!G897&amp;"|"&amp;'管线假设'!H897&amp;"|"&amp;'管线假设'!I897&amp;"|"&amp;'管线假设'!E901&amp;"|"&amp;'管线假设'!F901&amp;"|"&amp;'管线假设'!G901&amp;"|"&amp;'管线假设'!H901&amp;"|"&amp;'管线假设'!I901&amp;"|"&amp;'管线假设'!E905&amp;"|"&amp;'管线假设'!F905&amp;"|"&amp;'管线假设'!G905&amp;"|"&amp;'管线假设'!H905&amp;"|"&amp;'管线假设'!I905&amp;"|"&amp;'管线假设'!E909&amp;"|"&amp;'管线假设'!F909&amp;"|"&amp;'管线假设'!G909&amp;"|"&amp;'管线假设'!H909&amp;"|"&amp;'管线假设'!I909&amp;"|"&amp;'管线假设'!E913&amp;"|"&amp;'管线假设'!F913&amp;"|"&amp;'管线假设'!G913&amp;"|"&amp;'管线假设'!H913&amp;"|"&amp;'管线假设'!I913&amp;"|"&amp;'管线假设'!E917&amp;"|"&amp;'管线假设'!F917&amp;"|"&amp;'管线假设'!G917&amp;"|"&amp;'管线假设'!H917&amp;"|"&amp;'管线假设'!I917&amp;"|"&amp;'管线假设'!E921&amp;"|"&amp;'管线假设'!F921&amp;"|"&amp;'管线假设'!G921&amp;"|"&amp;'管线假设'!H921&amp;"|"&amp;'管线假设'!I921&amp;"|"&amp;'管线假设'!E925&amp;"|"&amp;'管线假设'!F925&amp;"|"&amp;'管线假设'!G925&amp;"|"&amp;'管线假设'!H925&amp;"|"&amp;'管线假设'!I925&amp;"|"&amp;'管线假设'!E929&amp;"|"&amp;'管线假设'!F929&amp;"|"&amp;'管线假设'!G929&amp;"|"&amp;'管线假设'!H929&amp;"|"&amp;'管线假设'!I929&amp;"|"&amp;'管线假设'!E933&amp;"|"&amp;'管线假设'!F933&amp;"|"&amp;'管线假设'!G933&amp;"|"&amp;'管线假设'!H933&amp;"|"&amp;'管线假设'!I933&amp;"|"&amp;'管线假设'!E937&amp;"|"&amp;'管线假设'!F937&amp;"|"&amp;'管线假设'!G937&amp;"|"&amp;'管线假设'!H937&amp;"|"&amp;'管线假设'!I937&amp;"|"&amp;'管线现金流'!I4140&amp;"|"&amp;'管线现金流'!AK4140&amp;"|"&amp;'管线现金流'!I4141&amp;"|"&amp;'管线现金流'!AK4141&amp;"|"&amp;'管线现金流'!I4142&amp;"|"&amp;'管线现金流'!AK4142&amp;"|"&amp;'管线现金流'!I4143&amp;"|"&amp;'管线现金流'!AK4143&amp;"|"&amp;'管线现金流'!I4144&amp;"|"&amp;'管线现金流'!AK4144&amp;"|"&amp;'管线现金流'!I4145&amp;"|"&amp;'管线现金流'!AK4145&amp;"|"&amp;'管线现金流'!I4146&amp;"|"&amp;'管线现金流'!AK4146&amp;"|"&amp;'管线现金流'!I4147&amp;"|"&amp;'管线现金流'!AK4147&amp;"|"&amp;'管线现金流'!I4148&amp;"|"&amp;'管线现金流'!AK4148&amp;"|"&amp;'管线现金流'!I4149&amp;"|"&amp;'管线现金流'!AK4149&amp;"|"&amp;'管线现金流'!I4150&amp;"|"&amp;'管线现金流'!AK4150&amp;"|"&amp;'管线现金流'!I4151&amp;"|"&amp;'管线现金流'!AK4151&amp;"|"&amp;'管线现金流'!I4152&amp;"|"&amp;'管线现金流'!AK4152&amp;"|"&amp;'管线现金流'!I4153&amp;"|"&amp;'管线现金流'!AK4153&amp;"|"&amp;'管线现金流'!I4154&amp;"|"&amp;'管线现金流'!AK4154&amp;"|"&amp;'管线现金流'!I4155&amp;"|"&amp;'管线现金流'!AK4155&amp;"|"&amp;'管线现金流'!I4156&amp;"|"&amp;'管线现金流'!AK4156&amp;"|"&amp;'管线现金流'!I4157&amp;"|"&amp;'管线现金流'!AK4157&amp;"|"&amp;'管线现金流'!I4158&amp;"|"&amp;'管线现金流'!AK4158&amp;"|"&amp;'管线现金流'!I4159&amp;"|"&amp;'管线现金流'!AK4159&amp;"|"&amp;'管线现金流'!I4160&amp;"|"&amp;'管线现金流'!AK4160&amp;"|"&amp;'管线现金流'!I4161&amp;"|"&amp;'管线现金流'!AK4161&amp;"|"&amp;'管线现金流'!I4162&amp;"|"&amp;'管线现金流'!AK4162&amp;"|"&amp;'管线现金流'!I4163&amp;"|"&amp;'管线现金流'!AK4163&amp;"|"&amp;'管线现金流'!I4164&amp;"|"&amp;'管线现金流'!AK4164&amp;"|"&amp;'管线现金流'!I4165&amp;"|"&amp;'管线现金流'!AK4165&amp;"|"&amp;'管线现金流'!I4166&amp;"|"&amp;'管线现金流'!AK4166&amp;"|"&amp;'管线现金流'!I4167&amp;"|"&amp;'管线现金流'!AK4167&amp;"|"&amp;'管线现金流'!I4168&amp;"|"&amp;'管线现金流'!AK4168&amp;"|"&amp;'管线现金流'!I4169&amp;"|"&amp;'管线现金流'!AK4169&amp;"|"&amp;'管线现金流'!I4170&amp;"|"&amp;'管线现金流'!AK4170&amp;"|"&amp;'管线现金流'!I4171&amp;"|"&amp;'管线现金流'!AK4171&amp;"|"&amp;'管线现金流'!I4172&amp;"|"&amp;'管线现金流'!AK4172&amp;"|"&amp;'管线现金流'!I4173&amp;"|"&amp;'管线现金流'!AK4173&amp;"|"&amp;'管线现金流'!I4174&amp;"|"&amp;'管线现金流'!AK4174&amp;"|"&amp;'管线现金流'!I4175&amp;"|"&amp;'管线现金流'!AK4175&amp;"|"&amp;'管线现金流'!I4176&amp;"|"&amp;'管线现金流'!AK4176&amp;"|"&amp;'管线现金流'!I4177&amp;"|"&amp;'管线现金流'!AK4177&amp;"|"&amp;'管线现金流'!I4178&amp;"|"&amp;'管线现金流'!AK4178&amp;"|"&amp;'管线现金流'!I4179&amp;"|"&amp;'管线现金流'!AK4179&amp;"|"&amp;'管线现金流'!I4180&amp;"|"&amp;'管线现金流'!AK4180&amp;"|"&amp;'管线现金流'!I4181&amp;"|"&amp;'管线现金流'!AK4181&amp;"|"&amp;'管线现金流'!I4182&amp;"|"&amp;'管线现金流'!AK4182&amp;"|"&amp;'管线现金流'!I4183&amp;"|"&amp;'管线现金流'!AK4183&amp;"|"&amp;'管线现金流'!I4184&amp;"|"&amp;'管线现金流'!AK4184&amp;"|"&amp;'管线现金流'!I4185&amp;"|"&amp;'管线现金流'!AK4185&amp;"|"&amp;'管线现金流'!I4186&amp;"|"&amp;'管线现金流'!AK4186&amp;"|"&amp;'管线现金流'!I4187&amp;"|"&amp;'管线现金流'!AK4187&amp;"|"&amp;'管线现金流'!I4188&amp;"|"&amp;'管线现金流'!AK4188&amp;"|"&amp;'管线现金流'!I4189&amp;"|"&amp;'管线现金流'!AK4189&amp;"|"&amp;'管线现金流'!I4190&amp;"|"&amp;'管线现金流'!AK4190&amp;"|"&amp;'管线现金流'!I4191&amp;"|"&amp;'管线现金流'!AK4191&amp;"|"&amp;'管线现金流'!I4192&amp;"|"&amp;'管线现金流'!AK4192&amp;"|"&amp;'管线现金流'!I4193&amp;"|"&amp;'管线现金流'!AK4193&amp;"|"&amp;'管线现金流'!I4194&amp;"|"&amp;'管线现金流'!AK4194&amp;"|"&amp;'管线现金流'!I4195&amp;"|"&amp;'管线现金流'!AK4195&amp;"|"&amp;'管线现金流'!I4196&amp;"|"&amp;'管线现金流'!AK4196&amp;"|"&amp;'管线现金流'!I4197&amp;"|"&amp;'管线现金流'!AK4197&amp;"|"&amp;'管线现金流'!I4198&amp;"|"&amp;'管线现金流'!AK4198&amp;"|"&amp;'管线现金流'!I4199&amp;"|"&amp;'管线现金流'!AK4199&amp;"|"&amp;'管线现金流'!I4200&amp;"|"&amp;'管线现金流'!AK4200&amp;"|"&amp;'管线现金流'!I4201&amp;"|"&amp;'管线现金流'!AK4201&amp;"|"&amp;'管线现金流'!I4202&amp;"|"&amp;'管线现金流'!AK4202&amp;"|"&amp;'管线现金流'!I4203&amp;"|"&amp;'管线现金流'!AK4203&amp;"|"&amp;'管线现金流'!I4204&amp;"|"&amp;'管线现金流'!AK4204&amp;"|"&amp;'管线现金流'!I4205&amp;"|"&amp;'管线现金流'!AK4205&amp;"|"&amp;'管线现金流'!I4206&amp;"|"&amp;'管线现金流'!AK4206&amp;"|"&amp;'管线现金流'!I4207&amp;"|"&amp;'管线现金流'!AK4207&amp;"|"&amp;'管线现金流'!I4208&amp;"|"&amp;'管线现金流'!AK4208&amp;"|"&amp;'管线现金流'!I4209&amp;"|"&amp;'管线现金流'!AK4209&amp;"|"&amp;'管线现金流'!I4210&amp;"|"&amp;'管线现金流'!AK4210&amp;"|"&amp;'管线现金流'!I4211&amp;"|"&amp;'管线现金流'!AK4211&amp;"|"&amp;'管线现金流'!I4212&amp;"|"&amp;'管线现金流'!AK4212&amp;"|"&amp;'管线现金流'!I4213&amp;"|"&amp;'管线现金流'!AK4213&amp;"|"&amp;'管线现金流'!I4214&amp;"|"&amp;'管线现金流'!AK4214&amp;"|"&amp;'管线现金流'!I4215&amp;"|"&amp;'管线现金流'!AK4215&amp;"|"&amp;'管线现金流'!I4216&amp;"|"&amp;'管线现金流'!AK4216&amp;"|"&amp;'管线现金流'!I4217&amp;"|"&amp;'管线现金流'!AK4217&amp;"|"&amp;'管线现金流'!I4218&amp;"|"&amp;'管线现金流'!AK4218&amp;"|"&amp;'管线现金流'!I4219&amp;"|"&amp;'管线现金流'!AK4219&amp;"|"&amp;'管线现金流'!I4220&amp;"|"&amp;'管线现金流'!AK4220&amp;"|"&amp;'管线现金流'!I4221&amp;"|"&amp;'管线现金流'!AK4221&amp;"|"&amp;'管线现金流'!I4222&amp;"|"&amp;'管线现金流'!AK4222&amp;"|"&amp;'管线现金流'!I4223&amp;"|"&amp;'管线现金流'!AK4223&amp;"|"&amp;'管线现金流'!I4224&amp;"|"&amp;'管线现金流'!AK4224&amp;"|"&amp;'管线现金流'!I4225&amp;"|"&amp;'管线现金流'!AK4225&amp;"|"&amp;'管线现金流'!I4226&amp;"|"&amp;'管线现金流'!AK4226&amp;"|"&amp;'管线现金流'!I4227&amp;"|"&amp;'管线现金流'!AK4227&amp;"|"&amp;'管线现金流'!I4228&amp;"|"&amp;'管线现金流'!AK4228&amp;"|"&amp;'管线现金流'!I4229&amp;"|"&amp;'管线现金流'!AK4229&amp;"|"&amp;'管线现金流'!I4230&amp;"|"&amp;'管线现金流'!AK4230&amp;"|"&amp;'管线现金流'!I4231&amp;"|"&amp;'管线现金流'!AK4231&amp;"|"&amp;'管线现金流'!I4232&amp;"|"&amp;'管线现金流'!AK4232&amp;"|"&amp;'管线现金流'!I4233&amp;"|"&amp;'管线现金流'!AK4233&amp;"|"&amp;'管线现金流'!I4234&amp;"|"&amp;'管线现金流'!AK4234&amp;"|"&amp;'管线现金流'!I4235&amp;"|"&amp;'管线现金流'!AK4235&amp;"|"&amp;'管线现金流'!I4236&amp;"|"&amp;'管线现金流'!AK4236&amp;"|"&amp;'管线现金流'!I4237&amp;"|"&amp;'管线现金流'!AK4237&amp;"|"&amp;'管线现金流'!I4238&amp;"|"&amp;'管线现金流'!AK4238&amp;"|"&amp;'管线现金流'!I4239&amp;"|"&amp;'管线现金流'!AK4239&amp;"|"&amp;'管线现金流'!I4240&amp;"|"&amp;'管线现金流'!AK4240&amp;"|"&amp;'管线现金流'!I4241&amp;"|"&amp;'管线现金流'!AK4241&amp;"|"&amp;'管线现金流'!I4242&amp;"|"&amp;'管线现金流'!AK4242&amp;"|"&amp;'管线现金流'!I4243&amp;"|"&amp;'管线现金流'!AK4243&amp;"|"&amp;'管线现金流'!I4244&amp;"|"&amp;'管线现金流'!AK4244&amp;"|"&amp;'管线现金流'!I4245&amp;"|"&amp;'管线现金流'!AK4245&amp;"|"&amp;'管线现金流'!I4246&amp;"|"&amp;'管线现金流'!AK4246&amp;"|"&amp;'管线现金流'!I4247&amp;"|"&amp;'管线现金流'!AK4247&amp;"|"&amp;'管线现金流'!I4248&amp;"|"&amp;'管线现金流'!AK4248&amp;"|"&amp;'管线现金流'!I4249&amp;"|"&amp;'管线现金流'!AK4249&amp;"|"&amp;'管线现金流'!I4250&amp;"|"&amp;'管线现金流'!AK4250&amp;"|"&amp;'管线现金流'!I4251&amp;"|"&amp;'管线现金流'!AK4251&amp;"|"&amp;'管线现金流'!I4252&amp;"|"&amp;'管线现金流'!AK4252&amp;"|"&amp;'管线现金流'!I4253&amp;"|"&amp;'管线现金流'!AK4253&amp;"|"&amp;'管线现金流'!I4254&amp;"|"&amp;'管线现金流'!AK4254&amp;"|"&amp;'管线现金流'!I4255&amp;"|"&amp;'管线现金流'!AK4255&amp;"|"&amp;'管线现金流'!I4256&amp;"|"&amp;'管线现金流'!AK4256&amp;"|"&amp;'管线现金流'!I4257&amp;"|"&amp;'管线现金流'!AK4257&amp;"|"&amp;'管线现金流'!I4258&amp;"|"&amp;'管线现金流'!AK4258&amp;"|"&amp;'管线现金流'!I4259&amp;"|"&amp;'管线现金流'!AK4259&amp;"|"&amp;'管线现金流'!I4260&amp;"|"&amp;'管线现金流'!AK4260&amp;"|"&amp;'管线现金流'!I4261&amp;"|"&amp;'管线现金流'!AK4261&amp;"|"&amp;'管线现金流'!I4262&amp;"|"&amp;'管线现金流'!AK4262&amp;"|"&amp;'管线现金流'!I4263&amp;"|"&amp;'管线现金流'!AK4263&amp;"|"&amp;'管线现金流'!I4264&amp;"|"&amp;'管线现金流'!AK4264&amp;"|"&amp;'管线现金流'!I4265&amp;"|"&amp;'管线现金流'!AK4265&amp;"|"&amp;'管线现金流'!I4266&amp;"|"&amp;'管线现金流'!AK4266&amp;"|"&amp;'管线现金流'!I4267&amp;"|"&amp;'管线现金流'!AK4267&amp;"|"&amp;'管线现金流'!I4268&amp;"|"&amp;'管线现金流'!AK4268&amp;"|"&amp;'管线现金流'!I4269&amp;"|"&amp;'管线现金流'!AK4269&amp;"|"&amp;'管线现金流'!I4270&amp;"|"&amp;'管线现金流'!AK4270&amp;"|"&amp;'管线现金流'!I4271&amp;"|"&amp;'管线现金流'!AK4271&amp;"|"&amp;'管线现金流'!I4272&amp;"|"&amp;'管线现金流'!AK4272&amp;"|"&amp;'管线现金流'!I4273&amp;"|"&amp;'管线现金流'!AK4273&amp;"|"&amp;'管线现金流'!I4274&amp;"|"&amp;'管线现金流'!AK4274&amp;"|"&amp;'管线现金流'!I4275&amp;"|"&amp;'管线现金流'!AK4275&amp;"|"&amp;'管线现金流'!I4276&amp;"|"&amp;'管线现金流'!AK4276&amp;"|"&amp;'管线现金流'!I4277&amp;"|"&amp;'管线现金流'!AK4277&amp;"|"&amp;'管线现金流'!I4278&amp;"|"&amp;'管线现金流'!AK4278&amp;"|"&amp;'管线现金流'!I4279&amp;"|"&amp;'管线现金流'!AK4279&amp;"|"&amp;'管线现金流'!I4280&amp;"|"&amp;'管线现金流'!AK4280&amp;"|"&amp;'管线现金流'!I4281&amp;"|"&amp;'管线现金流'!AK4281&amp;"|"&amp;'管线现金流'!I4282&amp;"|"&amp;'管线现金流'!AK4282&amp;"|"&amp;'管线现金流'!I4283&amp;"|"&amp;'管线现金流'!AK4283&amp;"|"&amp;'管线现金流'!I4284&amp;"|"&amp;'管线现金流'!AK4284&amp;"|"&amp;'管线现金流'!I4285&amp;"|"&amp;'管线现金流'!AK4285&amp;"|"&amp;'管线现金流'!I4286&amp;"|"&amp;'管线现金流'!AK4286&amp;"|"&amp;'管线现金流'!I4287&amp;"|"&amp;'管线现金流'!AK4287&amp;"|"&amp;'管线现金流'!I4288&amp;"|"&amp;'管线现金流'!AK4288&amp;"|"&amp;'管线现金流'!I4289&amp;"|"&amp;'管线现金流'!AK4289&amp;"|"&amp;'管线现金流'!I4290&amp;"|"&amp;'管线现金流'!AK4290&amp;"|"&amp;'管线现金流'!I4291&amp;"|"&amp;'管线现金流'!AK4291&amp;"|"&amp;'管线现金流'!I4292&amp;"|"&amp;'管线现金流'!AK4292&amp;"|"&amp;'管线现金流'!I4293&amp;"|"&amp;'管线现金流'!AK4293&amp;"|"&amp;'管线现金流'!I4294&amp;"|"&amp;'管线现金流'!AK4294&amp;"|"&amp;'管线现金流'!I4295&amp;"|"&amp;'管线现金流'!AK4295&amp;"|"&amp;'管线现金流'!I4296&amp;"|"&amp;'管线现金流'!AK4296&amp;"|"&amp;'管线现金流'!I4297&amp;"|"&amp;'管线现金流'!AK4297&amp;"|"&amp;'管线现金流'!I4298&amp;"|"&amp;'管线现金流'!AK4298&amp;"|"&amp;'管线现金流'!I4299&amp;"|"&amp;'管线现金流'!AK4299&amp;"|"&amp;'管线现金流'!I4300&amp;"|"&amp;'管线现金流'!AK4300&amp;"|"&amp;'管线现金流'!I4301&amp;"|"&amp;'管线现金流'!AK4301&amp;"|"&amp;'管线现金流'!I4302&amp;"|"&amp;'管线现金流'!AK4302&amp;"|"&amp;'管线现金流'!I4303&amp;"|"&amp;'管线现金流'!AK4303&amp;"|"&amp;'管线现金流'!I4304&amp;"|"&amp;'管线现金流'!AK4304&amp;"|"&amp;'管线现金流'!I4305&amp;"|"&amp;'管线现金流'!AK4305&amp;"|"&amp;'管线现金流'!I4306&amp;"|"&amp;'管线现金流'!AK4306&amp;"|"&amp;'管线现金流'!I4307&amp;"|"&amp;'管线现金流'!AK4307&amp;"|"&amp;'管线现金流'!I4308&amp;"|"&amp;'管线现金流'!AK4308&amp;"|"&amp;'管线现金流'!I4309&amp;"|"&amp;'管线现金流'!AK4309&amp;"|"&amp;'管线现金流'!I4310&amp;"|"&amp;'管线现金流'!AK4310&amp;"|"&amp;'管线现金流'!I4311&amp;"|"&amp;'管线现金流'!AK4311&amp;"|"&amp;'管线现金流'!I4312&amp;"|"&amp;'管线现金流'!AK4312&amp;"|"&amp;'管线现金流'!I4313&amp;"|"&amp;'管线现金流'!AK4313&amp;"|"&amp;'管线现金流'!I4314&amp;"|"&amp;'管线现金流'!AK4314&amp;"|"&amp;'管线现金流'!I4315&amp;"|"&amp;'管线现金流'!AK4315&amp;"|"&amp;'管线现金流'!I4316&amp;"|"&amp;'管线现金流'!AK4316&amp;"|"&amp;'管线现金流'!I4317&amp;"|"&amp;'管线现金流'!AK4317&amp;"|"&amp;'管线现金流'!I4318&amp;"|"&amp;'管线现金流'!AK4318&amp;"|"&amp;'管线现金流'!I4319&amp;"|"&amp;'管线现金流'!AK4319&amp;"|"&amp;'管线现金流'!I4320&amp;"|"&amp;'管线现金流'!AK4320&amp;"|"&amp;'管线现金流'!I4321&amp;"|"&amp;'管线现金流'!AK4321&amp;"|"&amp;'管线现金流'!I4322&amp;"|"&amp;'管线现金流'!AK4322&amp;"|"&amp;'管线现金流'!I4323&amp;"|"&amp;'管线现金流'!AK4323&amp;"|"&amp;'管线现金流'!I4324&amp;"|"&amp;'管线现金流'!AK4324&amp;"|"&amp;'管线现金流'!I4325&amp;"|"&amp;'管线现金流'!AK4325&amp;"|"&amp;'管线现金流'!I4326&amp;"|"&amp;'管线现金流'!AK4326&amp;"|"&amp;'管线现金流'!I4327&amp;"|"&amp;'管线现金流'!AK4327&amp;"|"&amp;'管线现金流'!I4328&amp;"|"&amp;'管线现金流'!AK4328&amp;"|"&amp;'管线现金流'!I4329&amp;"|"&amp;'管线现金流'!AK4329&amp;"|"&amp;'管线现金流'!I4330&amp;"|"&amp;'管线现金流'!AK4330&amp;"|"&amp;'管线现金流'!I4331&amp;"|"&amp;'管线现金流'!AK4331&amp;"|"&amp;'管线现金流'!I4332&amp;"|"&amp;'管线现金流'!AK4332&amp;"|"&amp;'管线现金流'!I4333&amp;"|"&amp;'管线现金流'!AK4333&amp;"|"&amp;'管线现金流'!I4334&amp;"|"&amp;'管线现金流'!AK4334&amp;"|"&amp;'管线现金流'!I4335&amp;"|"&amp;'管线现金流'!AK4335&amp;"|"&amp;'管线现金流'!I4336&amp;"|"&amp;'管线现金流'!AK4336&amp;"|"&amp;'管线现金流'!I4337&amp;"|"&amp;'管线现金流'!AK4337&amp;"|"&amp;'管线现金流'!I4338&amp;"|"&amp;'管线现金流'!AK4338&amp;"|"&amp;'管线现金流'!I4339&amp;"|"&amp;'管线现金流'!AK4339&amp;"|"&amp;'管线现金流'!I4340&amp;"|"&amp;'管线现金流'!AK4340&amp;"|"&amp;'管线现金流'!I4341&amp;"|"&amp;'管线现金流'!AK4341&amp;"|"&amp;'管线现金流'!I4342&amp;"|"&amp;'管线现金流'!AK4342&amp;"|"&amp;'管线现金流'!I4343&amp;"|"&amp;'管线现金流'!AK4343&amp;"|"&amp;'管线现金流'!I4344&amp;"|"&amp;'管线现金流'!AK4344&amp;"|"&amp;'管线现金流'!I4345&amp;"|"&amp;'管线现金流'!AK4345&amp;"|"&amp;'管线现金流'!I4346&amp;"|"&amp;'管线现金流'!AK4346&amp;"|"&amp;'管线现金流'!I4347&amp;"|"&amp;'管线现金流'!AK4347&amp;"|"&amp;'管线现金流'!I4348&amp;"|"&amp;'管线现金流'!AK4348&amp;"|"&amp;'管线现金流'!V55&amp;"|"&amp;'管线现金流'!Y55&amp;"|"&amp;'管线现金流'!AP55&amp;"|"&amp;'管线现金流'!AS55&amp;"|"&amp;'管线现金流'!V56&amp;"|"&amp;'管线现金流'!Y56&amp;"|"&amp;'管线现金流'!AP56&amp;"|"&amp;'管线现金流'!AS56&amp;"|"&amp;'管线现金流'!V57&amp;"|"&amp;'管线现金流'!Y57&amp;"|"&amp;'管线现金流'!AP57&amp;"|"&amp;'管线现金流'!AS57&amp;"|"&amp;'管线现金流'!V58&amp;"|"&amp;'管线现金流'!Y58&amp;"|"&amp;'管线现金流'!AP58&amp;"|"&amp;'管线现金流'!AS58&amp;"|"&amp;'管线现金流'!V59&amp;"|"&amp;'管线现金流'!Y59&amp;"|"&amp;'管线现金流'!AP59&amp;"|"&amp;'管线现金流'!AS59&amp;"|"&amp;'管线现金流'!V60&amp;"|"&amp;'管线现金流'!Y60&amp;"|"&amp;'管线现金流'!AP60&amp;"|"&amp;'管线现金流'!AS60&amp;"|"&amp;'管线现金流'!V61&amp;"|"&amp;'管线现金流'!Y61&amp;"|"&amp;'管线现金流'!AP61&amp;"|"&amp;'管线现金流'!AS61&amp;"|"&amp;'管线现金流'!V62&amp;"|"&amp;'管线现金流'!Y62&amp;"|"&amp;'管线现金流'!AP62&amp;"|"&amp;'管线现金流'!AS62&amp;"|"&amp;'管线现金流'!V63&amp;"|"&amp;'管线现金流'!Y63&amp;"|"&amp;'管线现金流'!AP63&amp;"|"&amp;'管线现金流'!AS63</x:f>
        <x:v>1|1.7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</x:row>
    <x:row r="405" ht="23" customHeight="1">
      <x:c r="A405" s="11" t="str">
        <x:v>02162.HK</x:v>
      </x:c>
      <x:c r="B405" s="11" t="str">
        <x:v>康诺亚-B</x:v>
      </x:c>
      <x:c r="C405" s="11" t="str">
        <x:v>一年</x:v>
      </x:c>
      <x:c r="D405" s="11" t="str">
        <x:v>乐观</x:v>
      </x:c>
      <x:c r="E405" s="11" t="n">
        <x:v>78.3</x:v>
      </x:c>
      <x:c r="F405" s="11" t="n">
        <x:v>226.46521002994206</x:v>
      </x:c>
      <x:c r="G405" s="11" t="n">
        <x:v>0</x:v>
      </x:c>
      <x:c r="H405" s="25" t="n">
        <x:v>1.8922759901652881</x:v>
      </x:c>
      <x:c r="I405" s="25" t="n">
        <x:v>1.8922759901652881</x:v>
      </x:c>
      <x:c r="J405" s="25" t="str"/>
      <x:c r="K405" s="11" t="n">
        <x:v>0</x:v>
      </x:c>
      <x:c r="L405" s="11" t="n">
        <x:v>0</x:v>
      </x:c>
      <x:c r="M405" s="11" t="n">
        <x:v>1.1</x:v>
      </x:c>
      <x:c r="N405" s="11" t="n">
        <x:v>0</x:v>
      </x:c>
      <x:c r="O405" s="11" t="n">
        <x:v>0</x:v>
      </x:c>
      <x:c r="P405" s="11" t="n">
        <x:v>0</x:v>
      </x:c>
      <x:c r="Q405" s="11" t="n">
        <x:v>0.307</x:v>
      </x:c>
      <x:c r="R405" s="11" t="str">
        <x:v>keymed-v2-finite-assets-prorated-short-recognition</x:v>
      </x:c>
      <x:c r="S405" s="11" t="str">
        <x:v>2026-10-10</x:v>
      </x:c>
      <x:c r="T405" s="11" t="str">
        <x:f>IF(AND(SUM(IF(K405='假设'!E538,0,1),IF(L405='假设'!F538,0,1),IF(M405='假设'!G538,0,1),IF(N405='假设'!H538,0,1),IF(O405='假设'!I538,0,1),IF(P405='假设'!J538,0,1),IF(Q405='假设'!K538,0,1))=0,U405=V405),"已刷新","待刷新")</x:f>
        <x:v>已刷新</x:v>
      </x:c>
      <x:c r="U405" t="str">
        <x:v>0.75|2.35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  <x:c r="V405" t="str">
        <x:f>'假设'!U538&amp;"|"&amp;'假设'!N538&amp;"|"&amp;'假设'!Q538&amp;"|"&amp;'管线假设'!E898&amp;"|"&amp;'管线假设'!F898&amp;"|"&amp;'管线假设'!G898&amp;"|"&amp;'管线假设'!H898&amp;"|"&amp;'管线假设'!I898&amp;"|"&amp;'管线假设'!E902&amp;"|"&amp;'管线假设'!F902&amp;"|"&amp;'管线假设'!G902&amp;"|"&amp;'管线假设'!H902&amp;"|"&amp;'管线假设'!I902&amp;"|"&amp;'管线假设'!E906&amp;"|"&amp;'管线假设'!F906&amp;"|"&amp;'管线假设'!G906&amp;"|"&amp;'管线假设'!H906&amp;"|"&amp;'管线假设'!I906&amp;"|"&amp;'管线假设'!E910&amp;"|"&amp;'管线假设'!F910&amp;"|"&amp;'管线假设'!G910&amp;"|"&amp;'管线假设'!H910&amp;"|"&amp;'管线假设'!I910&amp;"|"&amp;'管线假设'!E914&amp;"|"&amp;'管线假设'!F914&amp;"|"&amp;'管线假设'!G914&amp;"|"&amp;'管线假设'!H914&amp;"|"&amp;'管线假设'!I914&amp;"|"&amp;'管线假设'!E918&amp;"|"&amp;'管线假设'!F918&amp;"|"&amp;'管线假设'!G918&amp;"|"&amp;'管线假设'!H918&amp;"|"&amp;'管线假设'!I918&amp;"|"&amp;'管线假设'!E922&amp;"|"&amp;'管线假设'!F922&amp;"|"&amp;'管线假设'!G922&amp;"|"&amp;'管线假设'!H922&amp;"|"&amp;'管线假设'!I922&amp;"|"&amp;'管线假设'!E926&amp;"|"&amp;'管线假设'!F926&amp;"|"&amp;'管线假设'!G926&amp;"|"&amp;'管线假设'!H926&amp;"|"&amp;'管线假设'!I926&amp;"|"&amp;'管线假设'!E930&amp;"|"&amp;'管线假设'!F930&amp;"|"&amp;'管线假设'!G930&amp;"|"&amp;'管线假设'!H930&amp;"|"&amp;'管线假设'!I930&amp;"|"&amp;'管线假设'!E934&amp;"|"&amp;'管线假设'!F934&amp;"|"&amp;'管线假设'!G934&amp;"|"&amp;'管线假设'!H934&amp;"|"&amp;'管线假设'!I934&amp;"|"&amp;'管线假设'!E938&amp;"|"&amp;'管线假设'!F938&amp;"|"&amp;'管线假设'!G938&amp;"|"&amp;'管线假设'!H938&amp;"|"&amp;'管线假设'!I938&amp;"|"&amp;'管线现金流'!J4140&amp;"|"&amp;'管线现金流'!AL4140&amp;"|"&amp;'管线现金流'!J4141&amp;"|"&amp;'管线现金流'!AL4141&amp;"|"&amp;'管线现金流'!J4142&amp;"|"&amp;'管线现金流'!AL4142&amp;"|"&amp;'管线现金流'!J4143&amp;"|"&amp;'管线现金流'!AL4143&amp;"|"&amp;'管线现金流'!J4144&amp;"|"&amp;'管线现金流'!AL4144&amp;"|"&amp;'管线现金流'!J4145&amp;"|"&amp;'管线现金流'!AL4145&amp;"|"&amp;'管线现金流'!J4146&amp;"|"&amp;'管线现金流'!AL4146&amp;"|"&amp;'管线现金流'!J4147&amp;"|"&amp;'管线现金流'!AL4147&amp;"|"&amp;'管线现金流'!J4148&amp;"|"&amp;'管线现金流'!AL4148&amp;"|"&amp;'管线现金流'!J4149&amp;"|"&amp;'管线现金流'!AL4149&amp;"|"&amp;'管线现金流'!J4150&amp;"|"&amp;'管线现金流'!AL4150&amp;"|"&amp;'管线现金流'!J4151&amp;"|"&amp;'管线现金流'!AL4151&amp;"|"&amp;'管线现金流'!J4152&amp;"|"&amp;'管线现金流'!AL4152&amp;"|"&amp;'管线现金流'!J4153&amp;"|"&amp;'管线现金流'!AL4153&amp;"|"&amp;'管线现金流'!J4154&amp;"|"&amp;'管线现金流'!AL4154&amp;"|"&amp;'管线现金流'!J4155&amp;"|"&amp;'管线现金流'!AL4155&amp;"|"&amp;'管线现金流'!J4156&amp;"|"&amp;'管线现金流'!AL4156&amp;"|"&amp;'管线现金流'!J4157&amp;"|"&amp;'管线现金流'!AL4157&amp;"|"&amp;'管线现金流'!J4158&amp;"|"&amp;'管线现金流'!AL4158&amp;"|"&amp;'管线现金流'!J4159&amp;"|"&amp;'管线现金流'!AL4159&amp;"|"&amp;'管线现金流'!J4160&amp;"|"&amp;'管线现金流'!AL4160&amp;"|"&amp;'管线现金流'!J4161&amp;"|"&amp;'管线现金流'!AL4161&amp;"|"&amp;'管线现金流'!J4162&amp;"|"&amp;'管线现金流'!AL4162&amp;"|"&amp;'管线现金流'!J4163&amp;"|"&amp;'管线现金流'!AL4163&amp;"|"&amp;'管线现金流'!J4164&amp;"|"&amp;'管线现金流'!AL4164&amp;"|"&amp;'管线现金流'!J4165&amp;"|"&amp;'管线现金流'!AL4165&amp;"|"&amp;'管线现金流'!J4166&amp;"|"&amp;'管线现金流'!AL4166&amp;"|"&amp;'管线现金流'!J4167&amp;"|"&amp;'管线现金流'!AL4167&amp;"|"&amp;'管线现金流'!J4168&amp;"|"&amp;'管线现金流'!AL4168&amp;"|"&amp;'管线现金流'!J4169&amp;"|"&amp;'管线现金流'!AL4169&amp;"|"&amp;'管线现金流'!J4170&amp;"|"&amp;'管线现金流'!AL4170&amp;"|"&amp;'管线现金流'!J4171&amp;"|"&amp;'管线现金流'!AL4171&amp;"|"&amp;'管线现金流'!J4172&amp;"|"&amp;'管线现金流'!AL4172&amp;"|"&amp;'管线现金流'!J4173&amp;"|"&amp;'管线现金流'!AL4173&amp;"|"&amp;'管线现金流'!J4174&amp;"|"&amp;'管线现金流'!AL4174&amp;"|"&amp;'管线现金流'!J4175&amp;"|"&amp;'管线现金流'!AL4175&amp;"|"&amp;'管线现金流'!J4176&amp;"|"&amp;'管线现金流'!AL4176&amp;"|"&amp;'管线现金流'!J4177&amp;"|"&amp;'管线现金流'!AL4177&amp;"|"&amp;'管线现金流'!J4178&amp;"|"&amp;'管线现金流'!AL4178&amp;"|"&amp;'管线现金流'!J4179&amp;"|"&amp;'管线现金流'!AL4179&amp;"|"&amp;'管线现金流'!J4180&amp;"|"&amp;'管线现金流'!AL4180&amp;"|"&amp;'管线现金流'!J4181&amp;"|"&amp;'管线现金流'!AL4181&amp;"|"&amp;'管线现金流'!J4182&amp;"|"&amp;'管线现金流'!AL4182&amp;"|"&amp;'管线现金流'!J4183&amp;"|"&amp;'管线现金流'!AL4183&amp;"|"&amp;'管线现金流'!J4184&amp;"|"&amp;'管线现金流'!AL4184&amp;"|"&amp;'管线现金流'!J4185&amp;"|"&amp;'管线现金流'!AL4185&amp;"|"&amp;'管线现金流'!J4186&amp;"|"&amp;'管线现金流'!AL4186&amp;"|"&amp;'管线现金流'!J4187&amp;"|"&amp;'管线现金流'!AL4187&amp;"|"&amp;'管线现金流'!J4188&amp;"|"&amp;'管线现金流'!AL4188&amp;"|"&amp;'管线现金流'!J4189&amp;"|"&amp;'管线现金流'!AL4189&amp;"|"&amp;'管线现金流'!J4190&amp;"|"&amp;'管线现金流'!AL4190&amp;"|"&amp;'管线现金流'!J4191&amp;"|"&amp;'管线现金流'!AL4191&amp;"|"&amp;'管线现金流'!J4192&amp;"|"&amp;'管线现金流'!AL4192&amp;"|"&amp;'管线现金流'!J4193&amp;"|"&amp;'管线现金流'!AL4193&amp;"|"&amp;'管线现金流'!J4194&amp;"|"&amp;'管线现金流'!AL4194&amp;"|"&amp;'管线现金流'!J4195&amp;"|"&amp;'管线现金流'!AL4195&amp;"|"&amp;'管线现金流'!J4196&amp;"|"&amp;'管线现金流'!AL4196&amp;"|"&amp;'管线现金流'!J4197&amp;"|"&amp;'管线现金流'!AL4197&amp;"|"&amp;'管线现金流'!J4198&amp;"|"&amp;'管线现金流'!AL4198&amp;"|"&amp;'管线现金流'!J4199&amp;"|"&amp;'管线现金流'!AL4199&amp;"|"&amp;'管线现金流'!J4200&amp;"|"&amp;'管线现金流'!AL4200&amp;"|"&amp;'管线现金流'!J4201&amp;"|"&amp;'管线现金流'!AL4201&amp;"|"&amp;'管线现金流'!J4202&amp;"|"&amp;'管线现金流'!AL4202&amp;"|"&amp;'管线现金流'!J4203&amp;"|"&amp;'管线现金流'!AL4203&amp;"|"&amp;'管线现金流'!J4204&amp;"|"&amp;'管线现金流'!AL4204&amp;"|"&amp;'管线现金流'!J4205&amp;"|"&amp;'管线现金流'!AL4205&amp;"|"&amp;'管线现金流'!J4206&amp;"|"&amp;'管线现金流'!AL4206&amp;"|"&amp;'管线现金流'!J4207&amp;"|"&amp;'管线现金流'!AL4207&amp;"|"&amp;'管线现金流'!J4208&amp;"|"&amp;'管线现金流'!AL4208&amp;"|"&amp;'管线现金流'!J4209&amp;"|"&amp;'管线现金流'!AL4209&amp;"|"&amp;'管线现金流'!J4210&amp;"|"&amp;'管线现金流'!AL4210&amp;"|"&amp;'管线现金流'!J4211&amp;"|"&amp;'管线现金流'!AL4211&amp;"|"&amp;'管线现金流'!J4212&amp;"|"&amp;'管线现金流'!AL4212&amp;"|"&amp;'管线现金流'!J4213&amp;"|"&amp;'管线现金流'!AL4213&amp;"|"&amp;'管线现金流'!J4214&amp;"|"&amp;'管线现金流'!AL4214&amp;"|"&amp;'管线现金流'!J4215&amp;"|"&amp;'管线现金流'!AL4215&amp;"|"&amp;'管线现金流'!J4216&amp;"|"&amp;'管线现金流'!AL4216&amp;"|"&amp;'管线现金流'!J4217&amp;"|"&amp;'管线现金流'!AL4217&amp;"|"&amp;'管线现金流'!J4218&amp;"|"&amp;'管线现金流'!AL4218&amp;"|"&amp;'管线现金流'!J4219&amp;"|"&amp;'管线现金流'!AL4219&amp;"|"&amp;'管线现金流'!J4220&amp;"|"&amp;'管线现金流'!AL4220&amp;"|"&amp;'管线现金流'!J4221&amp;"|"&amp;'管线现金流'!AL4221&amp;"|"&amp;'管线现金流'!J4222&amp;"|"&amp;'管线现金流'!AL4222&amp;"|"&amp;'管线现金流'!J4223&amp;"|"&amp;'管线现金流'!AL4223&amp;"|"&amp;'管线现金流'!J4224&amp;"|"&amp;'管线现金流'!AL4224&amp;"|"&amp;'管线现金流'!J4225&amp;"|"&amp;'管线现金流'!AL4225&amp;"|"&amp;'管线现金流'!J4226&amp;"|"&amp;'管线现金流'!AL4226&amp;"|"&amp;'管线现金流'!J4227&amp;"|"&amp;'管线现金流'!AL4227&amp;"|"&amp;'管线现金流'!J4228&amp;"|"&amp;'管线现金流'!AL4228&amp;"|"&amp;'管线现金流'!J4229&amp;"|"&amp;'管线现金流'!AL4229&amp;"|"&amp;'管线现金流'!J4230&amp;"|"&amp;'管线现金流'!AL4230&amp;"|"&amp;'管线现金流'!J4231&amp;"|"&amp;'管线现金流'!AL4231&amp;"|"&amp;'管线现金流'!J4232&amp;"|"&amp;'管线现金流'!AL4232&amp;"|"&amp;'管线现金流'!J4233&amp;"|"&amp;'管线现金流'!AL4233&amp;"|"&amp;'管线现金流'!J4234&amp;"|"&amp;'管线现金流'!AL4234&amp;"|"&amp;'管线现金流'!J4235&amp;"|"&amp;'管线现金流'!AL4235&amp;"|"&amp;'管线现金流'!J4236&amp;"|"&amp;'管线现金流'!AL4236&amp;"|"&amp;'管线现金流'!J4237&amp;"|"&amp;'管线现金流'!AL4237&amp;"|"&amp;'管线现金流'!J4238&amp;"|"&amp;'管线现金流'!AL4238&amp;"|"&amp;'管线现金流'!J4239&amp;"|"&amp;'管线现金流'!AL4239&amp;"|"&amp;'管线现金流'!J4240&amp;"|"&amp;'管线现金流'!AL4240&amp;"|"&amp;'管线现金流'!J4241&amp;"|"&amp;'管线现金流'!AL4241&amp;"|"&amp;'管线现金流'!J4242&amp;"|"&amp;'管线现金流'!AL4242&amp;"|"&amp;'管线现金流'!J4243&amp;"|"&amp;'管线现金流'!AL4243&amp;"|"&amp;'管线现金流'!J4244&amp;"|"&amp;'管线现金流'!AL4244&amp;"|"&amp;'管线现金流'!J4245&amp;"|"&amp;'管线现金流'!AL4245&amp;"|"&amp;'管线现金流'!J4246&amp;"|"&amp;'管线现金流'!AL4246&amp;"|"&amp;'管线现金流'!J4247&amp;"|"&amp;'管线现金流'!AL4247&amp;"|"&amp;'管线现金流'!J4248&amp;"|"&amp;'管线现金流'!AL4248&amp;"|"&amp;'管线现金流'!J4249&amp;"|"&amp;'管线现金流'!AL4249&amp;"|"&amp;'管线现金流'!J4250&amp;"|"&amp;'管线现金流'!AL4250&amp;"|"&amp;'管线现金流'!J4251&amp;"|"&amp;'管线现金流'!AL4251&amp;"|"&amp;'管线现金流'!J4252&amp;"|"&amp;'管线现金流'!AL4252&amp;"|"&amp;'管线现金流'!J4253&amp;"|"&amp;'管线现金流'!AL4253&amp;"|"&amp;'管线现金流'!J4254&amp;"|"&amp;'管线现金流'!AL4254&amp;"|"&amp;'管线现金流'!J4255&amp;"|"&amp;'管线现金流'!AL4255&amp;"|"&amp;'管线现金流'!J4256&amp;"|"&amp;'管线现金流'!AL4256&amp;"|"&amp;'管线现金流'!J4257&amp;"|"&amp;'管线现金流'!AL4257&amp;"|"&amp;'管线现金流'!J4258&amp;"|"&amp;'管线现金流'!AL4258&amp;"|"&amp;'管线现金流'!J4259&amp;"|"&amp;'管线现金流'!AL4259&amp;"|"&amp;'管线现金流'!J4260&amp;"|"&amp;'管线现金流'!AL4260&amp;"|"&amp;'管线现金流'!J4261&amp;"|"&amp;'管线现金流'!AL4261&amp;"|"&amp;'管线现金流'!J4262&amp;"|"&amp;'管线现金流'!AL4262&amp;"|"&amp;'管线现金流'!J4263&amp;"|"&amp;'管线现金流'!AL4263&amp;"|"&amp;'管线现金流'!J4264&amp;"|"&amp;'管线现金流'!AL4264&amp;"|"&amp;'管线现金流'!J4265&amp;"|"&amp;'管线现金流'!AL4265&amp;"|"&amp;'管线现金流'!J4266&amp;"|"&amp;'管线现金流'!AL4266&amp;"|"&amp;'管线现金流'!J4267&amp;"|"&amp;'管线现金流'!AL4267&amp;"|"&amp;'管线现金流'!J4268&amp;"|"&amp;'管线现金流'!AL4268&amp;"|"&amp;'管线现金流'!J4269&amp;"|"&amp;'管线现金流'!AL4269&amp;"|"&amp;'管线现金流'!J4270&amp;"|"&amp;'管线现金流'!AL4270&amp;"|"&amp;'管线现金流'!J4271&amp;"|"&amp;'管线现金流'!AL4271&amp;"|"&amp;'管线现金流'!J4272&amp;"|"&amp;'管线现金流'!AL4272&amp;"|"&amp;'管线现金流'!J4273&amp;"|"&amp;'管线现金流'!AL4273&amp;"|"&amp;'管线现金流'!J4274&amp;"|"&amp;'管线现金流'!AL4274&amp;"|"&amp;'管线现金流'!J4275&amp;"|"&amp;'管线现金流'!AL4275&amp;"|"&amp;'管线现金流'!J4276&amp;"|"&amp;'管线现金流'!AL4276&amp;"|"&amp;'管线现金流'!J4277&amp;"|"&amp;'管线现金流'!AL4277&amp;"|"&amp;'管线现金流'!J4278&amp;"|"&amp;'管线现金流'!AL4278&amp;"|"&amp;'管线现金流'!J4279&amp;"|"&amp;'管线现金流'!AL4279&amp;"|"&amp;'管线现金流'!J4280&amp;"|"&amp;'管线现金流'!AL4280&amp;"|"&amp;'管线现金流'!J4281&amp;"|"&amp;'管线现金流'!AL4281&amp;"|"&amp;'管线现金流'!J4282&amp;"|"&amp;'管线现金流'!AL4282&amp;"|"&amp;'管线现金流'!J4283&amp;"|"&amp;'管线现金流'!AL4283&amp;"|"&amp;'管线现金流'!J4284&amp;"|"&amp;'管线现金流'!AL4284&amp;"|"&amp;'管线现金流'!J4285&amp;"|"&amp;'管线现金流'!AL4285&amp;"|"&amp;'管线现金流'!J4286&amp;"|"&amp;'管线现金流'!AL4286&amp;"|"&amp;'管线现金流'!J4287&amp;"|"&amp;'管线现金流'!AL4287&amp;"|"&amp;'管线现金流'!J4288&amp;"|"&amp;'管线现金流'!AL4288&amp;"|"&amp;'管线现金流'!J4289&amp;"|"&amp;'管线现金流'!AL4289&amp;"|"&amp;'管线现金流'!J4290&amp;"|"&amp;'管线现金流'!AL4290&amp;"|"&amp;'管线现金流'!J4291&amp;"|"&amp;'管线现金流'!AL4291&amp;"|"&amp;'管线现金流'!J4292&amp;"|"&amp;'管线现金流'!AL4292&amp;"|"&amp;'管线现金流'!J4293&amp;"|"&amp;'管线现金流'!AL4293&amp;"|"&amp;'管线现金流'!J4294&amp;"|"&amp;'管线现金流'!AL4294&amp;"|"&amp;'管线现金流'!J4295&amp;"|"&amp;'管线现金流'!AL4295&amp;"|"&amp;'管线现金流'!J4296&amp;"|"&amp;'管线现金流'!AL4296&amp;"|"&amp;'管线现金流'!J4297&amp;"|"&amp;'管线现金流'!AL4297&amp;"|"&amp;'管线现金流'!J4298&amp;"|"&amp;'管线现金流'!AL4298&amp;"|"&amp;'管线现金流'!J4299&amp;"|"&amp;'管线现金流'!AL4299&amp;"|"&amp;'管线现金流'!J4300&amp;"|"&amp;'管线现金流'!AL4300&amp;"|"&amp;'管线现金流'!J4301&amp;"|"&amp;'管线现金流'!AL4301&amp;"|"&amp;'管线现金流'!J4302&amp;"|"&amp;'管线现金流'!AL4302&amp;"|"&amp;'管线现金流'!J4303&amp;"|"&amp;'管线现金流'!AL4303&amp;"|"&amp;'管线现金流'!J4304&amp;"|"&amp;'管线现金流'!AL4304&amp;"|"&amp;'管线现金流'!J4305&amp;"|"&amp;'管线现金流'!AL4305&amp;"|"&amp;'管线现金流'!J4306&amp;"|"&amp;'管线现金流'!AL4306&amp;"|"&amp;'管线现金流'!J4307&amp;"|"&amp;'管线现金流'!AL4307&amp;"|"&amp;'管线现金流'!J4308&amp;"|"&amp;'管线现金流'!AL4308&amp;"|"&amp;'管线现金流'!J4309&amp;"|"&amp;'管线现金流'!AL4309&amp;"|"&amp;'管线现金流'!J4310&amp;"|"&amp;'管线现金流'!AL4310&amp;"|"&amp;'管线现金流'!J4311&amp;"|"&amp;'管线现金流'!AL4311&amp;"|"&amp;'管线现金流'!J4312&amp;"|"&amp;'管线现金流'!AL4312&amp;"|"&amp;'管线现金流'!J4313&amp;"|"&amp;'管线现金流'!AL4313&amp;"|"&amp;'管线现金流'!J4314&amp;"|"&amp;'管线现金流'!AL4314&amp;"|"&amp;'管线现金流'!J4315&amp;"|"&amp;'管线现金流'!AL4315&amp;"|"&amp;'管线现金流'!J4316&amp;"|"&amp;'管线现金流'!AL4316&amp;"|"&amp;'管线现金流'!J4317&amp;"|"&amp;'管线现金流'!AL4317&amp;"|"&amp;'管线现金流'!J4318&amp;"|"&amp;'管线现金流'!AL4318&amp;"|"&amp;'管线现金流'!J4319&amp;"|"&amp;'管线现金流'!AL4319&amp;"|"&amp;'管线现金流'!J4320&amp;"|"&amp;'管线现金流'!AL4320&amp;"|"&amp;'管线现金流'!J4321&amp;"|"&amp;'管线现金流'!AL4321&amp;"|"&amp;'管线现金流'!J4322&amp;"|"&amp;'管线现金流'!AL4322&amp;"|"&amp;'管线现金流'!J4323&amp;"|"&amp;'管线现金流'!AL4323&amp;"|"&amp;'管线现金流'!J4324&amp;"|"&amp;'管线现金流'!AL4324&amp;"|"&amp;'管线现金流'!J4325&amp;"|"&amp;'管线现金流'!AL4325&amp;"|"&amp;'管线现金流'!J4326&amp;"|"&amp;'管线现金流'!AL4326&amp;"|"&amp;'管线现金流'!J4327&amp;"|"&amp;'管线现金流'!AL4327&amp;"|"&amp;'管线现金流'!J4328&amp;"|"&amp;'管线现金流'!AL4328&amp;"|"&amp;'管线现金流'!J4329&amp;"|"&amp;'管线现金流'!AL4329&amp;"|"&amp;'管线现金流'!J4330&amp;"|"&amp;'管线现金流'!AL4330&amp;"|"&amp;'管线现金流'!J4331&amp;"|"&amp;'管线现金流'!AL4331&amp;"|"&amp;'管线现金流'!J4332&amp;"|"&amp;'管线现金流'!AL4332&amp;"|"&amp;'管线现金流'!J4333&amp;"|"&amp;'管线现金流'!AL4333&amp;"|"&amp;'管线现金流'!J4334&amp;"|"&amp;'管线现金流'!AL4334&amp;"|"&amp;'管线现金流'!J4335&amp;"|"&amp;'管线现金流'!AL4335&amp;"|"&amp;'管线现金流'!J4336&amp;"|"&amp;'管线现金流'!AL4336&amp;"|"&amp;'管线现金流'!J4337&amp;"|"&amp;'管线现金流'!AL4337&amp;"|"&amp;'管线现金流'!J4338&amp;"|"&amp;'管线现金流'!AL4338&amp;"|"&amp;'管线现金流'!J4339&amp;"|"&amp;'管线现金流'!AL4339&amp;"|"&amp;'管线现金流'!J4340&amp;"|"&amp;'管线现金流'!AL4340&amp;"|"&amp;'管线现金流'!J4341&amp;"|"&amp;'管线现金流'!AL4341&amp;"|"&amp;'管线现金流'!J4342&amp;"|"&amp;'管线现金流'!AL4342&amp;"|"&amp;'管线现金流'!J4343&amp;"|"&amp;'管线现金流'!AL4343&amp;"|"&amp;'管线现金流'!J4344&amp;"|"&amp;'管线现金流'!AL4344&amp;"|"&amp;'管线现金流'!J4345&amp;"|"&amp;'管线现金流'!AL4345&amp;"|"&amp;'管线现金流'!J4346&amp;"|"&amp;'管线现金流'!AL4346&amp;"|"&amp;'管线现金流'!J4347&amp;"|"&amp;'管线现金流'!AL4347&amp;"|"&amp;'管线现金流'!J4348&amp;"|"&amp;'管线现金流'!AL4348&amp;"|"&amp;'管线现金流'!W55&amp;"|"&amp;'管线现金流'!Z55&amp;"|"&amp;'管线现金流'!AQ55&amp;"|"&amp;'管线现金流'!AT55&amp;"|"&amp;'管线现金流'!W56&amp;"|"&amp;'管线现金流'!Z56&amp;"|"&amp;'管线现金流'!AQ56&amp;"|"&amp;'管线现金流'!AT56&amp;"|"&amp;'管线现金流'!W57&amp;"|"&amp;'管线现金流'!Z57&amp;"|"&amp;'管线现金流'!AQ57&amp;"|"&amp;'管线现金流'!AT57&amp;"|"&amp;'管线现金流'!W58&amp;"|"&amp;'管线现金流'!Z58&amp;"|"&amp;'管线现金流'!AQ58&amp;"|"&amp;'管线现金流'!AT58&amp;"|"&amp;'管线现金流'!W59&amp;"|"&amp;'管线现金流'!Z59&amp;"|"&amp;'管线现金流'!AQ59&amp;"|"&amp;'管线现金流'!AT59&amp;"|"&amp;'管线现金流'!W60&amp;"|"&amp;'管线现金流'!Z60&amp;"|"&amp;'管线现金流'!AQ60&amp;"|"&amp;'管线现金流'!AT60&amp;"|"&amp;'管线现金流'!W61&amp;"|"&amp;'管线现金流'!Z61&amp;"|"&amp;'管线现金流'!AQ61&amp;"|"&amp;'管线现金流'!AT61&amp;"|"&amp;'管线现金流'!W62&amp;"|"&amp;'管线现金流'!Z62&amp;"|"&amp;'管线现金流'!AQ62&amp;"|"&amp;'管线现金流'!AT62&amp;"|"&amp;'管线现金流'!W63&amp;"|"&amp;'管线现金流'!Z63&amp;"|"&amp;'管线现金流'!AQ63&amp;"|"&amp;'管线现金流'!AT63</x:f>
        <x:v>0.75|2.35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</x:row>
    <x:row r="406" ht="23" customHeight="1">
      <x:c r="A406" s="11" t="str">
        <x:v>02162.HK</x:v>
      </x:c>
      <x:c r="B406" s="11" t="str">
        <x:v>康诺亚-B</x:v>
      </x:c>
      <x:c r="C406" s="11" t="str">
        <x:v>三年</x:v>
      </x:c>
      <x:c r="D406" s="11" t="str">
        <x:v>悲观</x:v>
      </x:c>
      <x:c r="E406" s="11" t="n">
        <x:v>78.3</x:v>
      </x:c>
      <x:c r="F406" s="11" t="n">
        <x:v>5.900839851619978</x:v>
      </x:c>
      <x:c r="G406" s="11" t="n">
        <x:v>0</x:v>
      </x:c>
      <x:c r="H406" s="25" t="n">
        <x:v>-0.924638060643423</x:v>
      </x:c>
      <x:c r="I406" s="25" t="n">
        <x:v>-0.924638060643423</x:v>
      </x:c>
      <x:c r="J406" s="25" t="n">
        <x:v>-0.5776063746315034</x:v>
      </x:c>
      <x:c r="K406" s="11" t="n">
        <x:v>0</x:v>
      </x:c>
      <x:c r="L406" s="11" t="n">
        <x:v>0</x:v>
      </x:c>
      <x:c r="M406" s="11" t="n">
        <x:v>1.1</x:v>
      </x:c>
      <x:c r="N406" s="11" t="n">
        <x:v>0</x:v>
      </x:c>
      <x:c r="O406" s="11" t="n">
        <x:v>0</x:v>
      </x:c>
      <x:c r="P406" s="11" t="n">
        <x:v>0</x:v>
      </x:c>
      <x:c r="Q406" s="11" t="n">
        <x:v>0.395</x:v>
      </x:c>
      <x:c r="R406" s="11" t="str">
        <x:v>keymed-v2-finite-assets-prorated-short-recognition</x:v>
      </x:c>
      <x:c r="S406" s="11" t="str">
        <x:v>2026-10-10</x:v>
      </x:c>
      <x:c r="T406" s="11" t="str">
        <x:f>IF(AND(SUM(IF(K406='假设'!E540,0,1),IF(L406='假设'!F540,0,1),IF(M406='假设'!G540,0,1),IF(N406='假设'!H540,0,1),IF(O406='假设'!I540,0,1),IF(P406='假设'!J540,0,1),IF(Q406='假设'!K540,0,1))=0,U406=V406),"已刷新","待刷新")</x:f>
        <x:v>已刷新</x:v>
      </x:c>
      <x:c r="U406" t="str">
        <x:v>1|-0.2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  <x:c r="V406" t="str">
        <x:f>'假设'!U540&amp;"|"&amp;'假设'!N540&amp;"|"&amp;'假设'!Q540&amp;"|"&amp;'管线假设'!E940&amp;"|"&amp;'管线假设'!F940&amp;"|"&amp;'管线假设'!G940&amp;"|"&amp;'管线假设'!H940&amp;"|"&amp;'管线假设'!I940&amp;"|"&amp;'管线假设'!E944&amp;"|"&amp;'管线假设'!F944&amp;"|"&amp;'管线假设'!G944&amp;"|"&amp;'管线假设'!H944&amp;"|"&amp;'管线假设'!I944&amp;"|"&amp;'管线假设'!E948&amp;"|"&amp;'管线假设'!F948&amp;"|"&amp;'管线假设'!G948&amp;"|"&amp;'管线假设'!H948&amp;"|"&amp;'管线假设'!I948&amp;"|"&amp;'管线假设'!E952&amp;"|"&amp;'管线假设'!F952&amp;"|"&amp;'管线假设'!G952&amp;"|"&amp;'管线假设'!H952&amp;"|"&amp;'管线假设'!I952&amp;"|"&amp;'管线假设'!E956&amp;"|"&amp;'管线假设'!F956&amp;"|"&amp;'管线假设'!G956&amp;"|"&amp;'管线假设'!H956&amp;"|"&amp;'管线假设'!I956&amp;"|"&amp;'管线假设'!E960&amp;"|"&amp;'管线假设'!F960&amp;"|"&amp;'管线假设'!G960&amp;"|"&amp;'管线假设'!H960&amp;"|"&amp;'管线假设'!I960&amp;"|"&amp;'管线假设'!E964&amp;"|"&amp;'管线假设'!F964&amp;"|"&amp;'管线假设'!G964&amp;"|"&amp;'管线假设'!H964&amp;"|"&amp;'管线假设'!I964&amp;"|"&amp;'管线假设'!E968&amp;"|"&amp;'管线假设'!F968&amp;"|"&amp;'管线假设'!G968&amp;"|"&amp;'管线假设'!H968&amp;"|"&amp;'管线假设'!I968&amp;"|"&amp;'管线假设'!E972&amp;"|"&amp;'管线假设'!F972&amp;"|"&amp;'管线假设'!G972&amp;"|"&amp;'管线假设'!H972&amp;"|"&amp;'管线假设'!I972&amp;"|"&amp;'管线假设'!E976&amp;"|"&amp;'管线假设'!F976&amp;"|"&amp;'管线假设'!G976&amp;"|"&amp;'管线假设'!H976&amp;"|"&amp;'管线假设'!I976&amp;"|"&amp;'管线假设'!E980&amp;"|"&amp;'管线假设'!F980&amp;"|"&amp;'管线假设'!G980&amp;"|"&amp;'管线假设'!H980&amp;"|"&amp;'管线假设'!I980&amp;"|"&amp;'管线现金流'!H4349&amp;"|"&amp;'管线现金流'!AJ4349&amp;"|"&amp;'管线现金流'!H4350&amp;"|"&amp;'管线现金流'!AJ4350&amp;"|"&amp;'管线现金流'!H4351&amp;"|"&amp;'管线现金流'!AJ4351&amp;"|"&amp;'管线现金流'!H4352&amp;"|"&amp;'管线现金流'!AJ4352&amp;"|"&amp;'管线现金流'!H4353&amp;"|"&amp;'管线现金流'!AJ4353&amp;"|"&amp;'管线现金流'!H4354&amp;"|"&amp;'管线现金流'!AJ4354&amp;"|"&amp;'管线现金流'!H4355&amp;"|"&amp;'管线现金流'!AJ4355&amp;"|"&amp;'管线现金流'!H4356&amp;"|"&amp;'管线现金流'!AJ4356&amp;"|"&amp;'管线现金流'!H4357&amp;"|"&amp;'管线现金流'!AJ4357&amp;"|"&amp;'管线现金流'!H4358&amp;"|"&amp;'管线现金流'!AJ4358&amp;"|"&amp;'管线现金流'!H4359&amp;"|"&amp;'管线现金流'!AJ4359&amp;"|"&amp;'管线现金流'!H4360&amp;"|"&amp;'管线现金流'!AJ4360&amp;"|"&amp;'管线现金流'!H4361&amp;"|"&amp;'管线现金流'!AJ4361&amp;"|"&amp;'管线现金流'!H4362&amp;"|"&amp;'管线现金流'!AJ4362&amp;"|"&amp;'管线现金流'!H4363&amp;"|"&amp;'管线现金流'!AJ4363&amp;"|"&amp;'管线现金流'!H4364&amp;"|"&amp;'管线现金流'!AJ4364&amp;"|"&amp;'管线现金流'!H4365&amp;"|"&amp;'管线现金流'!AJ4365&amp;"|"&amp;'管线现金流'!H4366&amp;"|"&amp;'管线现金流'!AJ4366&amp;"|"&amp;'管线现金流'!H4367&amp;"|"&amp;'管线现金流'!AJ4367&amp;"|"&amp;'管线现金流'!H4368&amp;"|"&amp;'管线现金流'!AJ4368&amp;"|"&amp;'管线现金流'!H4369&amp;"|"&amp;'管线现金流'!AJ4369&amp;"|"&amp;'管线现金流'!H4370&amp;"|"&amp;'管线现金流'!AJ4370&amp;"|"&amp;'管线现金流'!H4371&amp;"|"&amp;'管线现金流'!AJ4371&amp;"|"&amp;'管线现金流'!H4372&amp;"|"&amp;'管线现金流'!AJ4372&amp;"|"&amp;'管线现金流'!H4373&amp;"|"&amp;'管线现金流'!AJ4373&amp;"|"&amp;'管线现金流'!H4374&amp;"|"&amp;'管线现金流'!AJ4374&amp;"|"&amp;'管线现金流'!H4375&amp;"|"&amp;'管线现金流'!AJ4375&amp;"|"&amp;'管线现金流'!H4376&amp;"|"&amp;'管线现金流'!AJ4376&amp;"|"&amp;'管线现金流'!H4377&amp;"|"&amp;'管线现金流'!AJ4377&amp;"|"&amp;'管线现金流'!H4378&amp;"|"&amp;'管线现金流'!AJ4378&amp;"|"&amp;'管线现金流'!H4379&amp;"|"&amp;'管线现金流'!AJ4379&amp;"|"&amp;'管线现金流'!H4380&amp;"|"&amp;'管线现金流'!AJ4380&amp;"|"&amp;'管线现金流'!H4381&amp;"|"&amp;'管线现金流'!AJ4381&amp;"|"&amp;'管线现金流'!H4382&amp;"|"&amp;'管线现金流'!AJ4382&amp;"|"&amp;'管线现金流'!H4383&amp;"|"&amp;'管线现金流'!AJ4383&amp;"|"&amp;'管线现金流'!H4384&amp;"|"&amp;'管线现金流'!AJ4384&amp;"|"&amp;'管线现金流'!H4385&amp;"|"&amp;'管线现金流'!AJ4385&amp;"|"&amp;'管线现金流'!H4386&amp;"|"&amp;'管线现金流'!AJ4386&amp;"|"&amp;'管线现金流'!H4387&amp;"|"&amp;'管线现金流'!AJ4387&amp;"|"&amp;'管线现金流'!H4388&amp;"|"&amp;'管线现金流'!AJ4388&amp;"|"&amp;'管线现金流'!H4389&amp;"|"&amp;'管线现金流'!AJ4389&amp;"|"&amp;'管线现金流'!H4390&amp;"|"&amp;'管线现金流'!AJ4390&amp;"|"&amp;'管线现金流'!H4391&amp;"|"&amp;'管线现金流'!AJ4391&amp;"|"&amp;'管线现金流'!H4392&amp;"|"&amp;'管线现金流'!AJ4392&amp;"|"&amp;'管线现金流'!H4393&amp;"|"&amp;'管线现金流'!AJ4393&amp;"|"&amp;'管线现金流'!H4394&amp;"|"&amp;'管线现金流'!AJ4394&amp;"|"&amp;'管线现金流'!H4395&amp;"|"&amp;'管线现金流'!AJ4395&amp;"|"&amp;'管线现金流'!H4396&amp;"|"&amp;'管线现金流'!AJ4396&amp;"|"&amp;'管线现金流'!H4397&amp;"|"&amp;'管线现金流'!AJ4397&amp;"|"&amp;'管线现金流'!H4398&amp;"|"&amp;'管线现金流'!AJ4398&amp;"|"&amp;'管线现金流'!H4399&amp;"|"&amp;'管线现金流'!AJ4399&amp;"|"&amp;'管线现金流'!H4400&amp;"|"&amp;'管线现金流'!AJ4400&amp;"|"&amp;'管线现金流'!H4401&amp;"|"&amp;'管线现金流'!AJ4401&amp;"|"&amp;'管线现金流'!H4402&amp;"|"&amp;'管线现金流'!AJ4402&amp;"|"&amp;'管线现金流'!H4403&amp;"|"&amp;'管线现金流'!AJ4403&amp;"|"&amp;'管线现金流'!H4404&amp;"|"&amp;'管线现金流'!AJ4404&amp;"|"&amp;'管线现金流'!H4405&amp;"|"&amp;'管线现金流'!AJ4405&amp;"|"&amp;'管线现金流'!H4406&amp;"|"&amp;'管线现金流'!AJ4406&amp;"|"&amp;'管线现金流'!H4407&amp;"|"&amp;'管线现金流'!AJ4407&amp;"|"&amp;'管线现金流'!H4408&amp;"|"&amp;'管线现金流'!AJ4408&amp;"|"&amp;'管线现金流'!H4409&amp;"|"&amp;'管线现金流'!AJ4409&amp;"|"&amp;'管线现金流'!H4410&amp;"|"&amp;'管线现金流'!AJ4410&amp;"|"&amp;'管线现金流'!H4411&amp;"|"&amp;'管线现金流'!AJ4411&amp;"|"&amp;'管线现金流'!H4412&amp;"|"&amp;'管线现金流'!AJ4412&amp;"|"&amp;'管线现金流'!H4413&amp;"|"&amp;'管线现金流'!AJ4413&amp;"|"&amp;'管线现金流'!H4414&amp;"|"&amp;'管线现金流'!AJ4414&amp;"|"&amp;'管线现金流'!H4415&amp;"|"&amp;'管线现金流'!AJ4415&amp;"|"&amp;'管线现金流'!H4416&amp;"|"&amp;'管线现金流'!AJ4416&amp;"|"&amp;'管线现金流'!H4417&amp;"|"&amp;'管线现金流'!AJ4417&amp;"|"&amp;'管线现金流'!H4418&amp;"|"&amp;'管线现金流'!AJ4418&amp;"|"&amp;'管线现金流'!H4419&amp;"|"&amp;'管线现金流'!AJ4419&amp;"|"&amp;'管线现金流'!H4420&amp;"|"&amp;'管线现金流'!AJ4420&amp;"|"&amp;'管线现金流'!H4421&amp;"|"&amp;'管线现金流'!AJ4421&amp;"|"&amp;'管线现金流'!H4422&amp;"|"&amp;'管线现金流'!AJ4422&amp;"|"&amp;'管线现金流'!H4423&amp;"|"&amp;'管线现金流'!AJ4423&amp;"|"&amp;'管线现金流'!H4424&amp;"|"&amp;'管线现金流'!AJ4424&amp;"|"&amp;'管线现金流'!H4425&amp;"|"&amp;'管线现金流'!AJ4425&amp;"|"&amp;'管线现金流'!H4426&amp;"|"&amp;'管线现金流'!AJ4426&amp;"|"&amp;'管线现金流'!H4427&amp;"|"&amp;'管线现金流'!AJ4427&amp;"|"&amp;'管线现金流'!H4428&amp;"|"&amp;'管线现金流'!AJ4428&amp;"|"&amp;'管线现金流'!H4429&amp;"|"&amp;'管线现金流'!AJ4429&amp;"|"&amp;'管线现金流'!H4430&amp;"|"&amp;'管线现金流'!AJ4430&amp;"|"&amp;'管线现金流'!H4431&amp;"|"&amp;'管线现金流'!AJ4431&amp;"|"&amp;'管线现金流'!H4432&amp;"|"&amp;'管线现金流'!AJ4432&amp;"|"&amp;'管线现金流'!H4433&amp;"|"&amp;'管线现金流'!AJ4433&amp;"|"&amp;'管线现金流'!H4434&amp;"|"&amp;'管线现金流'!AJ4434&amp;"|"&amp;'管线现金流'!H4435&amp;"|"&amp;'管线现金流'!AJ4435&amp;"|"&amp;'管线现金流'!H4436&amp;"|"&amp;'管线现金流'!AJ4436&amp;"|"&amp;'管线现金流'!H4437&amp;"|"&amp;'管线现金流'!AJ4437&amp;"|"&amp;'管线现金流'!H4438&amp;"|"&amp;'管线现金流'!AJ4438&amp;"|"&amp;'管线现金流'!H4439&amp;"|"&amp;'管线现金流'!AJ4439&amp;"|"&amp;'管线现金流'!H4440&amp;"|"&amp;'管线现金流'!AJ4440&amp;"|"&amp;'管线现金流'!H4441&amp;"|"&amp;'管线现金流'!AJ4441&amp;"|"&amp;'管线现金流'!H4442&amp;"|"&amp;'管线现金流'!AJ4442&amp;"|"&amp;'管线现金流'!H4443&amp;"|"&amp;'管线现金流'!AJ4443&amp;"|"&amp;'管线现金流'!H4444&amp;"|"&amp;'管线现金流'!AJ4444&amp;"|"&amp;'管线现金流'!H4445&amp;"|"&amp;'管线现金流'!AJ4445&amp;"|"&amp;'管线现金流'!H4446&amp;"|"&amp;'管线现金流'!AJ4446&amp;"|"&amp;'管线现金流'!H4447&amp;"|"&amp;'管线现金流'!AJ4447&amp;"|"&amp;'管线现金流'!H4448&amp;"|"&amp;'管线现金流'!AJ4448&amp;"|"&amp;'管线现金流'!H4449&amp;"|"&amp;'管线现金流'!AJ4449&amp;"|"&amp;'管线现金流'!H4450&amp;"|"&amp;'管线现金流'!AJ4450&amp;"|"&amp;'管线现金流'!H4451&amp;"|"&amp;'管线现金流'!AJ4451&amp;"|"&amp;'管线现金流'!H4452&amp;"|"&amp;'管线现金流'!AJ4452&amp;"|"&amp;'管线现金流'!H4453&amp;"|"&amp;'管线现金流'!AJ4453&amp;"|"&amp;'管线现金流'!H4454&amp;"|"&amp;'管线现金流'!AJ4454&amp;"|"&amp;'管线现金流'!H4455&amp;"|"&amp;'管线现金流'!AJ4455&amp;"|"&amp;'管线现金流'!H4456&amp;"|"&amp;'管线现金流'!AJ4456&amp;"|"&amp;'管线现金流'!H4457&amp;"|"&amp;'管线现金流'!AJ4457&amp;"|"&amp;'管线现金流'!H4458&amp;"|"&amp;'管线现金流'!AJ4458&amp;"|"&amp;'管线现金流'!H4459&amp;"|"&amp;'管线现金流'!AJ4459&amp;"|"&amp;'管线现金流'!H4460&amp;"|"&amp;'管线现金流'!AJ4460&amp;"|"&amp;'管线现金流'!H4461&amp;"|"&amp;'管线现金流'!AJ4461&amp;"|"&amp;'管线现金流'!H4462&amp;"|"&amp;'管线现金流'!AJ4462&amp;"|"&amp;'管线现金流'!H4463&amp;"|"&amp;'管线现金流'!AJ4463&amp;"|"&amp;'管线现金流'!H4464&amp;"|"&amp;'管线现金流'!AJ4464&amp;"|"&amp;'管线现金流'!H4465&amp;"|"&amp;'管线现金流'!AJ4465&amp;"|"&amp;'管线现金流'!H4466&amp;"|"&amp;'管线现金流'!AJ4466&amp;"|"&amp;'管线现金流'!H4467&amp;"|"&amp;'管线现金流'!AJ4467&amp;"|"&amp;'管线现金流'!H4468&amp;"|"&amp;'管线现金流'!AJ4468&amp;"|"&amp;'管线现金流'!H4469&amp;"|"&amp;'管线现金流'!AJ4469&amp;"|"&amp;'管线现金流'!H4470&amp;"|"&amp;'管线现金流'!AJ4470&amp;"|"&amp;'管线现金流'!H4471&amp;"|"&amp;'管线现金流'!AJ4471&amp;"|"&amp;'管线现金流'!H4472&amp;"|"&amp;'管线现金流'!AJ4472&amp;"|"&amp;'管线现金流'!H4473&amp;"|"&amp;'管线现金流'!AJ4473&amp;"|"&amp;'管线现金流'!H4474&amp;"|"&amp;'管线现金流'!AJ4474&amp;"|"&amp;'管线现金流'!H4475&amp;"|"&amp;'管线现金流'!AJ4475&amp;"|"&amp;'管线现金流'!H4476&amp;"|"&amp;'管线现金流'!AJ4476&amp;"|"&amp;'管线现金流'!H4477&amp;"|"&amp;'管线现金流'!AJ4477&amp;"|"&amp;'管线现金流'!H4478&amp;"|"&amp;'管线现金流'!AJ4478&amp;"|"&amp;'管线现金流'!H4479&amp;"|"&amp;'管线现金流'!AJ4479&amp;"|"&amp;'管线现金流'!H4480&amp;"|"&amp;'管线现金流'!AJ4480&amp;"|"&amp;'管线现金流'!H4481&amp;"|"&amp;'管线现金流'!AJ4481&amp;"|"&amp;'管线现金流'!H4482&amp;"|"&amp;'管线现金流'!AJ4482&amp;"|"&amp;'管线现金流'!H4483&amp;"|"&amp;'管线现金流'!AJ4483&amp;"|"&amp;'管线现金流'!H4484&amp;"|"&amp;'管线现金流'!AJ4484&amp;"|"&amp;'管线现金流'!H4485&amp;"|"&amp;'管线现金流'!AJ4485&amp;"|"&amp;'管线现金流'!H4486&amp;"|"&amp;'管线现金流'!AJ4486&amp;"|"&amp;'管线现金流'!H4487&amp;"|"&amp;'管线现金流'!AJ4487&amp;"|"&amp;'管线现金流'!H4488&amp;"|"&amp;'管线现金流'!AJ4488&amp;"|"&amp;'管线现金流'!H4489&amp;"|"&amp;'管线现金流'!AJ4489&amp;"|"&amp;'管线现金流'!H4490&amp;"|"&amp;'管线现金流'!AJ4490&amp;"|"&amp;'管线现金流'!H4491&amp;"|"&amp;'管线现金流'!AJ4491&amp;"|"&amp;'管线现金流'!H4492&amp;"|"&amp;'管线现金流'!AJ4492&amp;"|"&amp;'管线现金流'!H4493&amp;"|"&amp;'管线现金流'!AJ4493&amp;"|"&amp;'管线现金流'!H4494&amp;"|"&amp;'管线现金流'!AJ4494&amp;"|"&amp;'管线现金流'!H4495&amp;"|"&amp;'管线现金流'!AJ4495&amp;"|"&amp;'管线现金流'!H4496&amp;"|"&amp;'管线现金流'!AJ4496&amp;"|"&amp;'管线现金流'!H4497&amp;"|"&amp;'管线现金流'!AJ4497&amp;"|"&amp;'管线现金流'!H4498&amp;"|"&amp;'管线现金流'!AJ4498&amp;"|"&amp;'管线现金流'!H4499&amp;"|"&amp;'管线现金流'!AJ4499&amp;"|"&amp;'管线现金流'!H4500&amp;"|"&amp;'管线现金流'!AJ4500&amp;"|"&amp;'管线现金流'!H4501&amp;"|"&amp;'管线现金流'!AJ4501&amp;"|"&amp;'管线现金流'!H4502&amp;"|"&amp;'管线现金流'!AJ4502&amp;"|"&amp;'管线现金流'!H4503&amp;"|"&amp;'管线现金流'!AJ4503&amp;"|"&amp;'管线现金流'!H4504&amp;"|"&amp;'管线现金流'!AJ4504&amp;"|"&amp;'管线现金流'!H4505&amp;"|"&amp;'管线现金流'!AJ4505&amp;"|"&amp;'管线现金流'!H4506&amp;"|"&amp;'管线现金流'!AJ4506&amp;"|"&amp;'管线现金流'!H4507&amp;"|"&amp;'管线现金流'!AJ4507&amp;"|"&amp;'管线现金流'!H4508&amp;"|"&amp;'管线现金流'!AJ4508&amp;"|"&amp;'管线现金流'!H4509&amp;"|"&amp;'管线现金流'!AJ4509&amp;"|"&amp;'管线现金流'!H4510&amp;"|"&amp;'管线现金流'!AJ4510&amp;"|"&amp;'管线现金流'!H4511&amp;"|"&amp;'管线现金流'!AJ4511&amp;"|"&amp;'管线现金流'!H4512&amp;"|"&amp;'管线现金流'!AJ4512&amp;"|"&amp;'管线现金流'!H4513&amp;"|"&amp;'管线现金流'!AJ4513&amp;"|"&amp;'管线现金流'!H4514&amp;"|"&amp;'管线现金流'!AJ4514&amp;"|"&amp;'管线现金流'!H4515&amp;"|"&amp;'管线现金流'!AJ4515&amp;"|"&amp;'管线现金流'!H4516&amp;"|"&amp;'管线现金流'!AJ4516&amp;"|"&amp;'管线现金流'!H4517&amp;"|"&amp;'管线现金流'!AJ4517&amp;"|"&amp;'管线现金流'!H4518&amp;"|"&amp;'管线现金流'!AJ4518&amp;"|"&amp;'管线现金流'!H4519&amp;"|"&amp;'管线现金流'!AJ4519&amp;"|"&amp;'管线现金流'!H4520&amp;"|"&amp;'管线现金流'!AJ4520&amp;"|"&amp;'管线现金流'!H4521&amp;"|"&amp;'管线现金流'!AJ4521&amp;"|"&amp;'管线现金流'!H4522&amp;"|"&amp;'管线现金流'!AJ4522&amp;"|"&amp;'管线现金流'!H4523&amp;"|"&amp;'管线现金流'!AJ4523&amp;"|"&amp;'管线现金流'!H4524&amp;"|"&amp;'管线现金流'!AJ4524&amp;"|"&amp;'管线现金流'!H4525&amp;"|"&amp;'管线现金流'!AJ4525&amp;"|"&amp;'管线现金流'!H4526&amp;"|"&amp;'管线现金流'!AJ4526&amp;"|"&amp;'管线现金流'!H4527&amp;"|"&amp;'管线现金流'!AJ4527&amp;"|"&amp;'管线现金流'!H4528&amp;"|"&amp;'管线现金流'!AJ4528&amp;"|"&amp;'管线现金流'!H4529&amp;"|"&amp;'管线现金流'!AJ4529&amp;"|"&amp;'管线现金流'!H4530&amp;"|"&amp;'管线现金流'!AJ4530&amp;"|"&amp;'管线现金流'!H4531&amp;"|"&amp;'管线现金流'!AJ4531&amp;"|"&amp;'管线现金流'!H4532&amp;"|"&amp;'管线现金流'!AJ4532&amp;"|"&amp;'管线现金流'!H4533&amp;"|"&amp;'管线现金流'!AJ4533&amp;"|"&amp;'管线现金流'!H4534&amp;"|"&amp;'管线现金流'!AJ4534&amp;"|"&amp;'管线现金流'!H4535&amp;"|"&amp;'管线现金流'!AJ4535&amp;"|"&amp;'管线现金流'!H4536&amp;"|"&amp;'管线现金流'!AJ4536&amp;"|"&amp;'管线现金流'!H4537&amp;"|"&amp;'管线现金流'!AJ4537&amp;"|"&amp;'管线现金流'!H4538&amp;"|"&amp;'管线现金流'!AJ4538&amp;"|"&amp;'管线现金流'!H4539&amp;"|"&amp;'管线现金流'!AJ4539&amp;"|"&amp;'管线现金流'!H4540&amp;"|"&amp;'管线现金流'!AJ4540&amp;"|"&amp;'管线现金流'!H4541&amp;"|"&amp;'管线现金流'!AJ4541&amp;"|"&amp;'管线现金流'!H4542&amp;"|"&amp;'管线现金流'!AJ4542&amp;"|"&amp;'管线现金流'!H4543&amp;"|"&amp;'管线现金流'!AJ4543&amp;"|"&amp;'管线现金流'!H4544&amp;"|"&amp;'管线现金流'!AJ4544&amp;"|"&amp;'管线现金流'!H4545&amp;"|"&amp;'管线现金流'!AJ4545&amp;"|"&amp;'管线现金流'!H4546&amp;"|"&amp;'管线现金流'!AJ4546&amp;"|"&amp;'管线现金流'!H4547&amp;"|"&amp;'管线现金流'!AJ4547&amp;"|"&amp;'管线现金流'!H4548&amp;"|"&amp;'管线现金流'!AJ4548&amp;"|"&amp;'管线现金流'!H4549&amp;"|"&amp;'管线现金流'!AJ4549&amp;"|"&amp;'管线现金流'!H4550&amp;"|"&amp;'管线现金流'!AJ4550&amp;"|"&amp;'管线现金流'!H4551&amp;"|"&amp;'管线现金流'!AJ4551&amp;"|"&amp;'管线现金流'!H4552&amp;"|"&amp;'管线现金流'!AJ4552&amp;"|"&amp;'管线现金流'!H4553&amp;"|"&amp;'管线现金流'!AJ4553&amp;"|"&amp;'管线现金流'!H4554&amp;"|"&amp;'管线现金流'!AJ4554&amp;"|"&amp;'管线现金流'!H4555&amp;"|"&amp;'管线现金流'!AJ4555&amp;"|"&amp;'管线现金流'!H4556&amp;"|"&amp;'管线现金流'!AJ4556&amp;"|"&amp;'管线现金流'!H4557&amp;"|"&amp;'管线现金流'!AJ4557&amp;"|"&amp;'管线现金流'!U64&amp;"|"&amp;'管线现金流'!X64&amp;"|"&amp;'管线现金流'!AO64&amp;"|"&amp;'管线现金流'!AR64&amp;"|"&amp;'管线现金流'!U65&amp;"|"&amp;'管线现金流'!X65&amp;"|"&amp;'管线现金流'!AO65&amp;"|"&amp;'管线现金流'!AR65&amp;"|"&amp;'管线现金流'!U66&amp;"|"&amp;'管线现金流'!X66&amp;"|"&amp;'管线现金流'!AO66&amp;"|"&amp;'管线现金流'!AR66&amp;"|"&amp;'管线现金流'!U67&amp;"|"&amp;'管线现金流'!X67&amp;"|"&amp;'管线现金流'!AO67&amp;"|"&amp;'管线现金流'!AR67&amp;"|"&amp;'管线现金流'!U68&amp;"|"&amp;'管线现金流'!X68&amp;"|"&amp;'管线现金流'!AO68&amp;"|"&amp;'管线现金流'!AR68&amp;"|"&amp;'管线现金流'!U69&amp;"|"&amp;'管线现金流'!X69&amp;"|"&amp;'管线现金流'!AO69&amp;"|"&amp;'管线现金流'!AR69&amp;"|"&amp;'管线现金流'!U70&amp;"|"&amp;'管线现金流'!X70&amp;"|"&amp;'管线现金流'!AO70&amp;"|"&amp;'管线现金流'!AR70&amp;"|"&amp;'管线现金流'!U71&amp;"|"&amp;'管线现金流'!X71&amp;"|"&amp;'管线现金流'!AO71&amp;"|"&amp;'管线现金流'!AR71&amp;"|"&amp;'管线现金流'!U72&amp;"|"&amp;'管线现金流'!X72&amp;"|"&amp;'管线现金流'!AO72&amp;"|"&amp;'管线现金流'!AR72</x:f>
        <x:v>1|-0.2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</x:row>
    <x:row r="407" ht="23" customHeight="1">
      <x:c r="A407" s="11" t="str">
        <x:v>02162.HK</x:v>
      </x:c>
      <x:c r="B407" s="11" t="str">
        <x:v>康诺亚-B</x:v>
      </x:c>
      <x:c r="C407" s="11" t="str">
        <x:v>三年</x:v>
      </x:c>
      <x:c r="D407" s="11" t="str">
        <x:v>基准</x:v>
      </x:c>
      <x:c r="E407" s="11" t="n">
        <x:v>78.3</x:v>
      </x:c>
      <x:c r="F407" s="11" t="n">
        <x:v>86.58727562674746</x:v>
      </x:c>
      <x:c r="G407" s="11" t="n">
        <x:v>0</x:v>
      </x:c>
      <x:c r="H407" s="25" t="n">
        <x:v>0.10584004631861377</x:v>
      </x:c>
      <x:c r="I407" s="25" t="n">
        <x:v>0.10584004631861377</x:v>
      </x:c>
      <x:c r="J407" s="25" t="n">
        <x:v>0.034103729465295274</x:v>
      </x:c>
      <x:c r="K407" s="11" t="n">
        <x:v>0</x:v>
      </x:c>
      <x:c r="L407" s="11" t="n">
        <x:v>0</x:v>
      </x:c>
      <x:c r="M407" s="11" t="n">
        <x:v>1.1</x:v>
      </x:c>
      <x:c r="N407" s="11" t="n">
        <x:v>0</x:v>
      </x:c>
      <x:c r="O407" s="11" t="n">
        <x:v>0</x:v>
      </x:c>
      <x:c r="P407" s="11" t="n">
        <x:v>0</x:v>
      </x:c>
      <x:c r="Q407" s="11" t="n">
        <x:v>0.35</x:v>
      </x:c>
      <x:c r="R407" s="11" t="str">
        <x:v>keymed-v2-finite-assets-prorated-short-recognition</x:v>
      </x:c>
      <x:c r="S407" s="11" t="str">
        <x:v>2026-10-10</x:v>
      </x:c>
      <x:c r="T407" s="11" t="str">
        <x:f>IF(AND(SUM(IF(K407='假设'!E541,0,1),IF(L407='假设'!F541,0,1),IF(M407='假设'!G541,0,1),IF(N407='假设'!H541,0,1),IF(O407='假设'!I541,0,1),IF(P407='假设'!J541,0,1),IF(Q407='假设'!K541,0,1))=0,U407=V407),"已刷新","待刷新")</x:f>
        <x:v>待刷新</x:v>
      </x:c>
      <x:c r="U407" t="str">
        <x:v>1|2.3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  <x:c r="V407" t="str">
        <x:f>'假设'!U541&amp;"|"&amp;'假设'!N541&amp;"|"&amp;'假设'!Q541&amp;"|"&amp;'管线假设'!E941&amp;"|"&amp;'管线假设'!F941&amp;"|"&amp;'管线假设'!G941&amp;"|"&amp;'管线假设'!H941&amp;"|"&amp;'管线假设'!I941&amp;"|"&amp;'管线假设'!E945&amp;"|"&amp;'管线假设'!F945&amp;"|"&amp;'管线假设'!G945&amp;"|"&amp;'管线假设'!H945&amp;"|"&amp;'管线假设'!I945&amp;"|"&amp;'管线假设'!E949&amp;"|"&amp;'管线假设'!F949&amp;"|"&amp;'管线假设'!G949&amp;"|"&amp;'管线假设'!H949&amp;"|"&amp;'管线假设'!I949&amp;"|"&amp;'管线假设'!E953&amp;"|"&amp;'管线假设'!F953&amp;"|"&amp;'管线假设'!G953&amp;"|"&amp;'管线假设'!H953&amp;"|"&amp;'管线假设'!I953&amp;"|"&amp;'管线假设'!E957&amp;"|"&amp;'管线假设'!F957&amp;"|"&amp;'管线假设'!G957&amp;"|"&amp;'管线假设'!H957&amp;"|"&amp;'管线假设'!I957&amp;"|"&amp;'管线假设'!E961&amp;"|"&amp;'管线假设'!F961&amp;"|"&amp;'管线假设'!G961&amp;"|"&amp;'管线假设'!H961&amp;"|"&amp;'管线假设'!I961&amp;"|"&amp;'管线假设'!E965&amp;"|"&amp;'管线假设'!F965&amp;"|"&amp;'管线假设'!G965&amp;"|"&amp;'管线假设'!H965&amp;"|"&amp;'管线假设'!I965&amp;"|"&amp;'管线假设'!E969&amp;"|"&amp;'管线假设'!F969&amp;"|"&amp;'管线假设'!G969&amp;"|"&amp;'管线假设'!H969&amp;"|"&amp;'管线假设'!I969&amp;"|"&amp;'管线假设'!E973&amp;"|"&amp;'管线假设'!F973&amp;"|"&amp;'管线假设'!G973&amp;"|"&amp;'管线假设'!H973&amp;"|"&amp;'管线假设'!I973&amp;"|"&amp;'管线假设'!E977&amp;"|"&amp;'管线假设'!F977&amp;"|"&amp;'管线假设'!G977&amp;"|"&amp;'管线假设'!H977&amp;"|"&amp;'管线假设'!I977&amp;"|"&amp;'管线假设'!E981&amp;"|"&amp;'管线假设'!F981&amp;"|"&amp;'管线假设'!G981&amp;"|"&amp;'管线假设'!H981&amp;"|"&amp;'管线假设'!I981&amp;"|"&amp;'管线现金流'!I4349&amp;"|"&amp;'管线现金流'!AK4349&amp;"|"&amp;'管线现金流'!I4350&amp;"|"&amp;'管线现金流'!AK4350&amp;"|"&amp;'管线现金流'!I4351&amp;"|"&amp;'管线现金流'!AK4351&amp;"|"&amp;'管线现金流'!I4352&amp;"|"&amp;'管线现金流'!AK4352&amp;"|"&amp;'管线现金流'!I4353&amp;"|"&amp;'管线现金流'!AK4353&amp;"|"&amp;'管线现金流'!I4354&amp;"|"&amp;'管线现金流'!AK4354&amp;"|"&amp;'管线现金流'!I4355&amp;"|"&amp;'管线现金流'!AK4355&amp;"|"&amp;'管线现金流'!I4356&amp;"|"&amp;'管线现金流'!AK4356&amp;"|"&amp;'管线现金流'!I4357&amp;"|"&amp;'管线现金流'!AK4357&amp;"|"&amp;'管线现金流'!I4358&amp;"|"&amp;'管线现金流'!AK4358&amp;"|"&amp;'管线现金流'!I4359&amp;"|"&amp;'管线现金流'!AK4359&amp;"|"&amp;'管线现金流'!I4360&amp;"|"&amp;'管线现金流'!AK4360&amp;"|"&amp;'管线现金流'!I4361&amp;"|"&amp;'管线现金流'!AK4361&amp;"|"&amp;'管线现金流'!I4362&amp;"|"&amp;'管线现金流'!AK4362&amp;"|"&amp;'管线现金流'!I4363&amp;"|"&amp;'管线现金流'!AK4363&amp;"|"&amp;'管线现金流'!I4364&amp;"|"&amp;'管线现金流'!AK4364&amp;"|"&amp;'管线现金流'!I4365&amp;"|"&amp;'管线现金流'!AK4365&amp;"|"&amp;'管线现金流'!I4366&amp;"|"&amp;'管线现金流'!AK4366&amp;"|"&amp;'管线现金流'!I4367&amp;"|"&amp;'管线现金流'!AK4367&amp;"|"&amp;'管线现金流'!I4368&amp;"|"&amp;'管线现金流'!AK4368&amp;"|"&amp;'管线现金流'!I4369&amp;"|"&amp;'管线现金流'!AK4369&amp;"|"&amp;'管线现金流'!I4370&amp;"|"&amp;'管线现金流'!AK4370&amp;"|"&amp;'管线现金流'!I4371&amp;"|"&amp;'管线现金流'!AK4371&amp;"|"&amp;'管线现金流'!I4372&amp;"|"&amp;'管线现金流'!AK4372&amp;"|"&amp;'管线现金流'!I4373&amp;"|"&amp;'管线现金流'!AK4373&amp;"|"&amp;'管线现金流'!I4374&amp;"|"&amp;'管线现金流'!AK4374&amp;"|"&amp;'管线现金流'!I4375&amp;"|"&amp;'管线现金流'!AK4375&amp;"|"&amp;'管线现金流'!I4376&amp;"|"&amp;'管线现金流'!AK4376&amp;"|"&amp;'管线现金流'!I4377&amp;"|"&amp;'管线现金流'!AK4377&amp;"|"&amp;'管线现金流'!I4378&amp;"|"&amp;'管线现金流'!AK4378&amp;"|"&amp;'管线现金流'!I4379&amp;"|"&amp;'管线现金流'!AK4379&amp;"|"&amp;'管线现金流'!I4380&amp;"|"&amp;'管线现金流'!AK4380&amp;"|"&amp;'管线现金流'!I4381&amp;"|"&amp;'管线现金流'!AK4381&amp;"|"&amp;'管线现金流'!I4382&amp;"|"&amp;'管线现金流'!AK4382&amp;"|"&amp;'管线现金流'!I4383&amp;"|"&amp;'管线现金流'!AK4383&amp;"|"&amp;'管线现金流'!I4384&amp;"|"&amp;'管线现金流'!AK4384&amp;"|"&amp;'管线现金流'!I4385&amp;"|"&amp;'管线现金流'!AK4385&amp;"|"&amp;'管线现金流'!I4386&amp;"|"&amp;'管线现金流'!AK4386&amp;"|"&amp;'管线现金流'!I4387&amp;"|"&amp;'管线现金流'!AK4387&amp;"|"&amp;'管线现金流'!I4388&amp;"|"&amp;'管线现金流'!AK4388&amp;"|"&amp;'管线现金流'!I4389&amp;"|"&amp;'管线现金流'!AK4389&amp;"|"&amp;'管线现金流'!I4390&amp;"|"&amp;'管线现金流'!AK4390&amp;"|"&amp;'管线现金流'!I4391&amp;"|"&amp;'管线现金流'!AK4391&amp;"|"&amp;'管线现金流'!I4392&amp;"|"&amp;'管线现金流'!AK4392&amp;"|"&amp;'管线现金流'!I4393&amp;"|"&amp;'管线现金流'!AK4393&amp;"|"&amp;'管线现金流'!I4394&amp;"|"&amp;'管线现金流'!AK4394&amp;"|"&amp;'管线现金流'!I4395&amp;"|"&amp;'管线现金流'!AK4395&amp;"|"&amp;'管线现金流'!I4396&amp;"|"&amp;'管线现金流'!AK4396&amp;"|"&amp;'管线现金流'!I4397&amp;"|"&amp;'管线现金流'!AK4397&amp;"|"&amp;'管线现金流'!I4398&amp;"|"&amp;'管线现金流'!AK4398&amp;"|"&amp;'管线现金流'!I4399&amp;"|"&amp;'管线现金流'!AK4399&amp;"|"&amp;'管线现金流'!I4400&amp;"|"&amp;'管线现金流'!AK4400&amp;"|"&amp;'管线现金流'!I4401&amp;"|"&amp;'管线现金流'!AK4401&amp;"|"&amp;'管线现金流'!I4402&amp;"|"&amp;'管线现金流'!AK4402&amp;"|"&amp;'管线现金流'!I4403&amp;"|"&amp;'管线现金流'!AK4403&amp;"|"&amp;'管线现金流'!I4404&amp;"|"&amp;'管线现金流'!AK4404&amp;"|"&amp;'管线现金流'!I4405&amp;"|"&amp;'管线现金流'!AK4405&amp;"|"&amp;'管线现金流'!I4406&amp;"|"&amp;'管线现金流'!AK4406&amp;"|"&amp;'管线现金流'!I4407&amp;"|"&amp;'管线现金流'!AK4407&amp;"|"&amp;'管线现金流'!I4408&amp;"|"&amp;'管线现金流'!AK4408&amp;"|"&amp;'管线现金流'!I4409&amp;"|"&amp;'管线现金流'!AK4409&amp;"|"&amp;'管线现金流'!I4410&amp;"|"&amp;'管线现金流'!AK4410&amp;"|"&amp;'管线现金流'!I4411&amp;"|"&amp;'管线现金流'!AK4411&amp;"|"&amp;'管线现金流'!I4412&amp;"|"&amp;'管线现金流'!AK4412&amp;"|"&amp;'管线现金流'!I4413&amp;"|"&amp;'管线现金流'!AK4413&amp;"|"&amp;'管线现金流'!I4414&amp;"|"&amp;'管线现金流'!AK4414&amp;"|"&amp;'管线现金流'!I4415&amp;"|"&amp;'管线现金流'!AK4415&amp;"|"&amp;'管线现金流'!I4416&amp;"|"&amp;'管线现金流'!AK4416&amp;"|"&amp;'管线现金流'!I4417&amp;"|"&amp;'管线现金流'!AK4417&amp;"|"&amp;'管线现金流'!I4418&amp;"|"&amp;'管线现金流'!AK4418&amp;"|"&amp;'管线现金流'!I4419&amp;"|"&amp;'管线现金流'!AK4419&amp;"|"&amp;'管线现金流'!I4420&amp;"|"&amp;'管线现金流'!AK4420&amp;"|"&amp;'管线现金流'!I4421&amp;"|"&amp;'管线现金流'!AK4421&amp;"|"&amp;'管线现金流'!I4422&amp;"|"&amp;'管线现金流'!AK4422&amp;"|"&amp;'管线现金流'!I4423&amp;"|"&amp;'管线现金流'!AK4423&amp;"|"&amp;'管线现金流'!I4424&amp;"|"&amp;'管线现金流'!AK4424&amp;"|"&amp;'管线现金流'!I4425&amp;"|"&amp;'管线现金流'!AK4425&amp;"|"&amp;'管线现金流'!I4426&amp;"|"&amp;'管线现金流'!AK4426&amp;"|"&amp;'管线现金流'!I4427&amp;"|"&amp;'管线现金流'!AK4427&amp;"|"&amp;'管线现金流'!I4428&amp;"|"&amp;'管线现金流'!AK4428&amp;"|"&amp;'管线现金流'!I4429&amp;"|"&amp;'管线现金流'!AK4429&amp;"|"&amp;'管线现金流'!I4430&amp;"|"&amp;'管线现金流'!AK4430&amp;"|"&amp;'管线现金流'!I4431&amp;"|"&amp;'管线现金流'!AK4431&amp;"|"&amp;'管线现金流'!I4432&amp;"|"&amp;'管线现金流'!AK4432&amp;"|"&amp;'管线现金流'!I4433&amp;"|"&amp;'管线现金流'!AK4433&amp;"|"&amp;'管线现金流'!I4434&amp;"|"&amp;'管线现金流'!AK4434&amp;"|"&amp;'管线现金流'!I4435&amp;"|"&amp;'管线现金流'!AK4435&amp;"|"&amp;'管线现金流'!I4436&amp;"|"&amp;'管线现金流'!AK4436&amp;"|"&amp;'管线现金流'!I4437&amp;"|"&amp;'管线现金流'!AK4437&amp;"|"&amp;'管线现金流'!I4438&amp;"|"&amp;'管线现金流'!AK4438&amp;"|"&amp;'管线现金流'!I4439&amp;"|"&amp;'管线现金流'!AK4439&amp;"|"&amp;'管线现金流'!I4440&amp;"|"&amp;'管线现金流'!AK4440&amp;"|"&amp;'管线现金流'!I4441&amp;"|"&amp;'管线现金流'!AK4441&amp;"|"&amp;'管线现金流'!I4442&amp;"|"&amp;'管线现金流'!AK4442&amp;"|"&amp;'管线现金流'!I4443&amp;"|"&amp;'管线现金流'!AK4443&amp;"|"&amp;'管线现金流'!I4444&amp;"|"&amp;'管线现金流'!AK4444&amp;"|"&amp;'管线现金流'!I4445&amp;"|"&amp;'管线现金流'!AK4445&amp;"|"&amp;'管线现金流'!I4446&amp;"|"&amp;'管线现金流'!AK4446&amp;"|"&amp;'管线现金流'!I4447&amp;"|"&amp;'管线现金流'!AK4447&amp;"|"&amp;'管线现金流'!I4448&amp;"|"&amp;'管线现金流'!AK4448&amp;"|"&amp;'管线现金流'!I4449&amp;"|"&amp;'管线现金流'!AK4449&amp;"|"&amp;'管线现金流'!I4450&amp;"|"&amp;'管线现金流'!AK4450&amp;"|"&amp;'管线现金流'!I4451&amp;"|"&amp;'管线现金流'!AK4451&amp;"|"&amp;'管线现金流'!I4452&amp;"|"&amp;'管线现金流'!AK4452&amp;"|"&amp;'管线现金流'!I4453&amp;"|"&amp;'管线现金流'!AK4453&amp;"|"&amp;'管线现金流'!I4454&amp;"|"&amp;'管线现金流'!AK4454&amp;"|"&amp;'管线现金流'!I4455&amp;"|"&amp;'管线现金流'!AK4455&amp;"|"&amp;'管线现金流'!I4456&amp;"|"&amp;'管线现金流'!AK4456&amp;"|"&amp;'管线现金流'!I4457&amp;"|"&amp;'管线现金流'!AK4457&amp;"|"&amp;'管线现金流'!I4458&amp;"|"&amp;'管线现金流'!AK4458&amp;"|"&amp;'管线现金流'!I4459&amp;"|"&amp;'管线现金流'!AK4459&amp;"|"&amp;'管线现金流'!I4460&amp;"|"&amp;'管线现金流'!AK4460&amp;"|"&amp;'管线现金流'!I4461&amp;"|"&amp;'管线现金流'!AK4461&amp;"|"&amp;'管线现金流'!I4462&amp;"|"&amp;'管线现金流'!AK4462&amp;"|"&amp;'管线现金流'!I4463&amp;"|"&amp;'管线现金流'!AK4463&amp;"|"&amp;'管线现金流'!I4464&amp;"|"&amp;'管线现金流'!AK4464&amp;"|"&amp;'管线现金流'!I4465&amp;"|"&amp;'管线现金流'!AK4465&amp;"|"&amp;'管线现金流'!I4466&amp;"|"&amp;'管线现金流'!AK4466&amp;"|"&amp;'管线现金流'!I4467&amp;"|"&amp;'管线现金流'!AK4467&amp;"|"&amp;'管线现金流'!I4468&amp;"|"&amp;'管线现金流'!AK4468&amp;"|"&amp;'管线现金流'!I4469&amp;"|"&amp;'管线现金流'!AK4469&amp;"|"&amp;'管线现金流'!I4470&amp;"|"&amp;'管线现金流'!AK4470&amp;"|"&amp;'管线现金流'!I4471&amp;"|"&amp;'管线现金流'!AK4471&amp;"|"&amp;'管线现金流'!I4472&amp;"|"&amp;'管线现金流'!AK4472&amp;"|"&amp;'管线现金流'!I4473&amp;"|"&amp;'管线现金流'!AK4473&amp;"|"&amp;'管线现金流'!I4474&amp;"|"&amp;'管线现金流'!AK4474&amp;"|"&amp;'管线现金流'!I4475&amp;"|"&amp;'管线现金流'!AK4475&amp;"|"&amp;'管线现金流'!I4476&amp;"|"&amp;'管线现金流'!AK4476&amp;"|"&amp;'管线现金流'!I4477&amp;"|"&amp;'管线现金流'!AK4477&amp;"|"&amp;'管线现金流'!I4478&amp;"|"&amp;'管线现金流'!AK4478&amp;"|"&amp;'管线现金流'!I4479&amp;"|"&amp;'管线现金流'!AK4479&amp;"|"&amp;'管线现金流'!I4480&amp;"|"&amp;'管线现金流'!AK4480&amp;"|"&amp;'管线现金流'!I4481&amp;"|"&amp;'管线现金流'!AK4481&amp;"|"&amp;'管线现金流'!I4482&amp;"|"&amp;'管线现金流'!AK4482&amp;"|"&amp;'管线现金流'!I4483&amp;"|"&amp;'管线现金流'!AK4483&amp;"|"&amp;'管线现金流'!I4484&amp;"|"&amp;'管线现金流'!AK4484&amp;"|"&amp;'管线现金流'!I4485&amp;"|"&amp;'管线现金流'!AK4485&amp;"|"&amp;'管线现金流'!I4486&amp;"|"&amp;'管线现金流'!AK4486&amp;"|"&amp;'管线现金流'!I4487&amp;"|"&amp;'管线现金流'!AK4487&amp;"|"&amp;'管线现金流'!I4488&amp;"|"&amp;'管线现金流'!AK4488&amp;"|"&amp;'管线现金流'!I4489&amp;"|"&amp;'管线现金流'!AK4489&amp;"|"&amp;'管线现金流'!I4490&amp;"|"&amp;'管线现金流'!AK4490&amp;"|"&amp;'管线现金流'!I4491&amp;"|"&amp;'管线现金流'!AK4491&amp;"|"&amp;'管线现金流'!I4492&amp;"|"&amp;'管线现金流'!AK4492&amp;"|"&amp;'管线现金流'!I4493&amp;"|"&amp;'管线现金流'!AK4493&amp;"|"&amp;'管线现金流'!I4494&amp;"|"&amp;'管线现金流'!AK4494&amp;"|"&amp;'管线现金流'!I4495&amp;"|"&amp;'管线现金流'!AK4495&amp;"|"&amp;'管线现金流'!I4496&amp;"|"&amp;'管线现金流'!AK4496&amp;"|"&amp;'管线现金流'!I4497&amp;"|"&amp;'管线现金流'!AK4497&amp;"|"&amp;'管线现金流'!I4498&amp;"|"&amp;'管线现金流'!AK4498&amp;"|"&amp;'管线现金流'!I4499&amp;"|"&amp;'管线现金流'!AK4499&amp;"|"&amp;'管线现金流'!I4500&amp;"|"&amp;'管线现金流'!AK4500&amp;"|"&amp;'管线现金流'!I4501&amp;"|"&amp;'管线现金流'!AK4501&amp;"|"&amp;'管线现金流'!I4502&amp;"|"&amp;'管线现金流'!AK4502&amp;"|"&amp;'管线现金流'!I4503&amp;"|"&amp;'管线现金流'!AK4503&amp;"|"&amp;'管线现金流'!I4504&amp;"|"&amp;'管线现金流'!AK4504&amp;"|"&amp;'管线现金流'!I4505&amp;"|"&amp;'管线现金流'!AK4505&amp;"|"&amp;'管线现金流'!I4506&amp;"|"&amp;'管线现金流'!AK4506&amp;"|"&amp;'管线现金流'!I4507&amp;"|"&amp;'管线现金流'!AK4507&amp;"|"&amp;'管线现金流'!I4508&amp;"|"&amp;'管线现金流'!AK4508&amp;"|"&amp;'管线现金流'!I4509&amp;"|"&amp;'管线现金流'!AK4509&amp;"|"&amp;'管线现金流'!I4510&amp;"|"&amp;'管线现金流'!AK4510&amp;"|"&amp;'管线现金流'!I4511&amp;"|"&amp;'管线现金流'!AK4511&amp;"|"&amp;'管线现金流'!I4512&amp;"|"&amp;'管线现金流'!AK4512&amp;"|"&amp;'管线现金流'!I4513&amp;"|"&amp;'管线现金流'!AK4513&amp;"|"&amp;'管线现金流'!I4514&amp;"|"&amp;'管线现金流'!AK4514&amp;"|"&amp;'管线现金流'!I4515&amp;"|"&amp;'管线现金流'!AK4515&amp;"|"&amp;'管线现金流'!I4516&amp;"|"&amp;'管线现金流'!AK4516&amp;"|"&amp;'管线现金流'!I4517&amp;"|"&amp;'管线现金流'!AK4517&amp;"|"&amp;'管线现金流'!I4518&amp;"|"&amp;'管线现金流'!AK4518&amp;"|"&amp;'管线现金流'!I4519&amp;"|"&amp;'管线现金流'!AK4519&amp;"|"&amp;'管线现金流'!I4520&amp;"|"&amp;'管线现金流'!AK4520&amp;"|"&amp;'管线现金流'!I4521&amp;"|"&amp;'管线现金流'!AK4521&amp;"|"&amp;'管线现金流'!I4522&amp;"|"&amp;'管线现金流'!AK4522&amp;"|"&amp;'管线现金流'!I4523&amp;"|"&amp;'管线现金流'!AK4523&amp;"|"&amp;'管线现金流'!I4524&amp;"|"&amp;'管线现金流'!AK4524&amp;"|"&amp;'管线现金流'!I4525&amp;"|"&amp;'管线现金流'!AK4525&amp;"|"&amp;'管线现金流'!I4526&amp;"|"&amp;'管线现金流'!AK4526&amp;"|"&amp;'管线现金流'!I4527&amp;"|"&amp;'管线现金流'!AK4527&amp;"|"&amp;'管线现金流'!I4528&amp;"|"&amp;'管线现金流'!AK4528&amp;"|"&amp;'管线现金流'!I4529&amp;"|"&amp;'管线现金流'!AK4529&amp;"|"&amp;'管线现金流'!I4530&amp;"|"&amp;'管线现金流'!AK4530&amp;"|"&amp;'管线现金流'!I4531&amp;"|"&amp;'管线现金流'!AK4531&amp;"|"&amp;'管线现金流'!I4532&amp;"|"&amp;'管线现金流'!AK4532&amp;"|"&amp;'管线现金流'!I4533&amp;"|"&amp;'管线现金流'!AK4533&amp;"|"&amp;'管线现金流'!I4534&amp;"|"&amp;'管线现金流'!AK4534&amp;"|"&amp;'管线现金流'!I4535&amp;"|"&amp;'管线现金流'!AK4535&amp;"|"&amp;'管线现金流'!I4536&amp;"|"&amp;'管线现金流'!AK4536&amp;"|"&amp;'管线现金流'!I4537&amp;"|"&amp;'管线现金流'!AK4537&amp;"|"&amp;'管线现金流'!I4538&amp;"|"&amp;'管线现金流'!AK4538&amp;"|"&amp;'管线现金流'!I4539&amp;"|"&amp;'管线现金流'!AK4539&amp;"|"&amp;'管线现金流'!I4540&amp;"|"&amp;'管线现金流'!AK4540&amp;"|"&amp;'管线现金流'!I4541&amp;"|"&amp;'管线现金流'!AK4541&amp;"|"&amp;'管线现金流'!I4542&amp;"|"&amp;'管线现金流'!AK4542&amp;"|"&amp;'管线现金流'!I4543&amp;"|"&amp;'管线现金流'!AK4543&amp;"|"&amp;'管线现金流'!I4544&amp;"|"&amp;'管线现金流'!AK4544&amp;"|"&amp;'管线现金流'!I4545&amp;"|"&amp;'管线现金流'!AK4545&amp;"|"&amp;'管线现金流'!I4546&amp;"|"&amp;'管线现金流'!AK4546&amp;"|"&amp;'管线现金流'!I4547&amp;"|"&amp;'管线现金流'!AK4547&amp;"|"&amp;'管线现金流'!I4548&amp;"|"&amp;'管线现金流'!AK4548&amp;"|"&amp;'管线现金流'!I4549&amp;"|"&amp;'管线现金流'!AK4549&amp;"|"&amp;'管线现金流'!I4550&amp;"|"&amp;'管线现金流'!AK4550&amp;"|"&amp;'管线现金流'!I4551&amp;"|"&amp;'管线现金流'!AK4551&amp;"|"&amp;'管线现金流'!I4552&amp;"|"&amp;'管线现金流'!AK4552&amp;"|"&amp;'管线现金流'!I4553&amp;"|"&amp;'管线现金流'!AK4553&amp;"|"&amp;'管线现金流'!I4554&amp;"|"&amp;'管线现金流'!AK4554&amp;"|"&amp;'管线现金流'!I4555&amp;"|"&amp;'管线现金流'!AK4555&amp;"|"&amp;'管线现金流'!I4556&amp;"|"&amp;'管线现金流'!AK4556&amp;"|"&amp;'管线现金流'!I4557&amp;"|"&amp;'管线现金流'!AK4557&amp;"|"&amp;'管线现金流'!V64&amp;"|"&amp;'管线现金流'!Y64&amp;"|"&amp;'管线现金流'!AP64&amp;"|"&amp;'管线现金流'!AS64&amp;"|"&amp;'管线现金流'!V65&amp;"|"&amp;'管线现金流'!Y65&amp;"|"&amp;'管线现金流'!AP65&amp;"|"&amp;'管线现金流'!AS65&amp;"|"&amp;'管线现金流'!V66&amp;"|"&amp;'管线现金流'!Y66&amp;"|"&amp;'管线现金流'!AP66&amp;"|"&amp;'管线现金流'!AS66&amp;"|"&amp;'管线现金流'!V67&amp;"|"&amp;'管线现金流'!Y67&amp;"|"&amp;'管线现金流'!AP67&amp;"|"&amp;'管线现金流'!AS67&amp;"|"&amp;'管线现金流'!V68&amp;"|"&amp;'管线现金流'!Y68&amp;"|"&amp;'管线现金流'!AP68&amp;"|"&amp;'管线现金流'!AS68&amp;"|"&amp;'管线现金流'!V69&amp;"|"&amp;'管线现金流'!Y69&amp;"|"&amp;'管线现金流'!AP69&amp;"|"&amp;'管线现金流'!AS69&amp;"|"&amp;'管线现金流'!V70&amp;"|"&amp;'管线现金流'!Y70&amp;"|"&amp;'管线现金流'!AP70&amp;"|"&amp;'管线现金流'!AS70&amp;"|"&amp;'管线现金流'!V71&amp;"|"&amp;'管线现金流'!Y71&amp;"|"&amp;'管线现金流'!AP71&amp;"|"&amp;'管线现金流'!AS71&amp;"|"&amp;'管线现金流'!V72&amp;"|"&amp;'管线现金流'!Y72&amp;"|"&amp;'管线现金流'!AP72&amp;"|"&amp;'管线现金流'!AS72</x:f>
        <x:v>1|2.3|0|0.97|0.45|1|0.14|7|0.7|0.45|1|0.14|7|0.5|0.5|1|0.14|7|0.3|0.48|1|0.14|7|0.75|0.09839999999999999|0.7|0.14|7|0.35|0.09839999999999999|0.7|0.14|7|0.25|0.09129999999999999|1|0.14|7|0.4|0.45|1|0.14|7|0.3|0.45|1|0.14|7|0.45|0.083|1|0.14|7|1|0|1|0.14|7|0.85|0.04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</x:row>
    <x:row r="408" ht="23" customHeight="1">
      <x:c r="A408" s="11" t="str">
        <x:v>02162.HK</x:v>
      </x:c>
      <x:c r="B408" s="11" t="str">
        <x:v>康诺亚-B</x:v>
      </x:c>
      <x:c r="C408" s="11" t="str">
        <x:v>三年</x:v>
      </x:c>
      <x:c r="D408" s="11" t="str">
        <x:v>乐观</x:v>
      </x:c>
      <x:c r="E408" s="11" t="n">
        <x:v>78.3</x:v>
      </x:c>
      <x:c r="F408" s="11" t="n">
        <x:v>312.7140691868285</x:v>
      </x:c>
      <x:c r="G408" s="11" t="n">
        <x:v>0</x:v>
      </x:c>
      <x:c r="H408" s="25" t="n">
        <x:v>2.99379398706039</x:v>
      </x:c>
      <x:c r="I408" s="25" t="n">
        <x:v>2.99379398706039</x:v>
      </x:c>
      <x:c r="J408" s="25" t="n">
        <x:v>0.586579674409242</x:v>
      </x:c>
      <x:c r="K408" s="11" t="n">
        <x:v>0</x:v>
      </x:c>
      <x:c r="L408" s="11" t="n">
        <x:v>0</x:v>
      </x:c>
      <x:c r="M408" s="11" t="n">
        <x:v>1.1</x:v>
      </x:c>
      <x:c r="N408" s="11" t="n">
        <x:v>0</x:v>
      </x:c>
      <x:c r="O408" s="11" t="n">
        <x:v>0</x:v>
      </x:c>
      <x:c r="P408" s="11" t="n">
        <x:v>0</x:v>
      </x:c>
      <x:c r="Q408" s="11" t="n">
        <x:v>0.325</x:v>
      </x:c>
      <x:c r="R408" s="11" t="str">
        <x:v>keymed-v2-finite-assets-prorated-short-recognition</x:v>
      </x:c>
      <x:c r="S408" s="11" t="str">
        <x:v>2026-10-10</x:v>
      </x:c>
      <x:c r="T408" s="11" t="str">
        <x:f>IF(AND(SUM(IF(K408='假设'!E542,0,1),IF(L408='假设'!F542,0,1),IF(M408='假设'!G542,0,1),IF(N408='假设'!H542,0,1),IF(O408='假设'!I542,0,1),IF(P408='假设'!J542,0,1),IF(Q408='假设'!K542,0,1))=0,U408=V408),"已刷新","待刷新")</x:f>
        <x:v>已刷新</x:v>
      </x:c>
      <x:c r="U408" t="str">
        <x:v>1|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  <x:c r="V408" t="str">
        <x:f>'假设'!U542&amp;"|"&amp;'假设'!N542&amp;"|"&amp;'假设'!Q542&amp;"|"&amp;'管线假设'!E942&amp;"|"&amp;'管线假设'!F942&amp;"|"&amp;'管线假设'!G942&amp;"|"&amp;'管线假设'!H942&amp;"|"&amp;'管线假设'!I942&amp;"|"&amp;'管线假设'!E946&amp;"|"&amp;'管线假设'!F946&amp;"|"&amp;'管线假设'!G946&amp;"|"&amp;'管线假设'!H946&amp;"|"&amp;'管线假设'!I946&amp;"|"&amp;'管线假设'!E950&amp;"|"&amp;'管线假设'!F950&amp;"|"&amp;'管线假设'!G950&amp;"|"&amp;'管线假设'!H950&amp;"|"&amp;'管线假设'!I950&amp;"|"&amp;'管线假设'!E954&amp;"|"&amp;'管线假设'!F954&amp;"|"&amp;'管线假设'!G954&amp;"|"&amp;'管线假设'!H954&amp;"|"&amp;'管线假设'!I954&amp;"|"&amp;'管线假设'!E958&amp;"|"&amp;'管线假设'!F958&amp;"|"&amp;'管线假设'!G958&amp;"|"&amp;'管线假设'!H958&amp;"|"&amp;'管线假设'!I958&amp;"|"&amp;'管线假设'!E962&amp;"|"&amp;'管线假设'!F962&amp;"|"&amp;'管线假设'!G962&amp;"|"&amp;'管线假设'!H962&amp;"|"&amp;'管线假设'!I962&amp;"|"&amp;'管线假设'!E966&amp;"|"&amp;'管线假设'!F966&amp;"|"&amp;'管线假设'!G966&amp;"|"&amp;'管线假设'!H966&amp;"|"&amp;'管线假设'!I966&amp;"|"&amp;'管线假设'!E970&amp;"|"&amp;'管线假设'!F970&amp;"|"&amp;'管线假设'!G970&amp;"|"&amp;'管线假设'!H970&amp;"|"&amp;'管线假设'!I970&amp;"|"&amp;'管线假设'!E974&amp;"|"&amp;'管线假设'!F974&amp;"|"&amp;'管线假设'!G974&amp;"|"&amp;'管线假设'!H974&amp;"|"&amp;'管线假设'!I974&amp;"|"&amp;'管线假设'!E978&amp;"|"&amp;'管线假设'!F978&amp;"|"&amp;'管线假设'!G978&amp;"|"&amp;'管线假设'!H978&amp;"|"&amp;'管线假设'!I978&amp;"|"&amp;'管线假设'!E982&amp;"|"&amp;'管线假设'!F982&amp;"|"&amp;'管线假设'!G982&amp;"|"&amp;'管线假设'!H982&amp;"|"&amp;'管线假设'!I982&amp;"|"&amp;'管线现金流'!J4349&amp;"|"&amp;'管线现金流'!AL4349&amp;"|"&amp;'管线现金流'!J4350&amp;"|"&amp;'管线现金流'!AL4350&amp;"|"&amp;'管线现金流'!J4351&amp;"|"&amp;'管线现金流'!AL4351&amp;"|"&amp;'管线现金流'!J4352&amp;"|"&amp;'管线现金流'!AL4352&amp;"|"&amp;'管线现金流'!J4353&amp;"|"&amp;'管线现金流'!AL4353&amp;"|"&amp;'管线现金流'!J4354&amp;"|"&amp;'管线现金流'!AL4354&amp;"|"&amp;'管线现金流'!J4355&amp;"|"&amp;'管线现金流'!AL4355&amp;"|"&amp;'管线现金流'!J4356&amp;"|"&amp;'管线现金流'!AL4356&amp;"|"&amp;'管线现金流'!J4357&amp;"|"&amp;'管线现金流'!AL4357&amp;"|"&amp;'管线现金流'!J4358&amp;"|"&amp;'管线现金流'!AL4358&amp;"|"&amp;'管线现金流'!J4359&amp;"|"&amp;'管线现金流'!AL4359&amp;"|"&amp;'管线现金流'!J4360&amp;"|"&amp;'管线现金流'!AL4360&amp;"|"&amp;'管线现金流'!J4361&amp;"|"&amp;'管线现金流'!AL4361&amp;"|"&amp;'管线现金流'!J4362&amp;"|"&amp;'管线现金流'!AL4362&amp;"|"&amp;'管线现金流'!J4363&amp;"|"&amp;'管线现金流'!AL4363&amp;"|"&amp;'管线现金流'!J4364&amp;"|"&amp;'管线现金流'!AL4364&amp;"|"&amp;'管线现金流'!J4365&amp;"|"&amp;'管线现金流'!AL4365&amp;"|"&amp;'管线现金流'!J4366&amp;"|"&amp;'管线现金流'!AL4366&amp;"|"&amp;'管线现金流'!J4367&amp;"|"&amp;'管线现金流'!AL4367&amp;"|"&amp;'管线现金流'!J4368&amp;"|"&amp;'管线现金流'!AL4368&amp;"|"&amp;'管线现金流'!J4369&amp;"|"&amp;'管线现金流'!AL4369&amp;"|"&amp;'管线现金流'!J4370&amp;"|"&amp;'管线现金流'!AL4370&amp;"|"&amp;'管线现金流'!J4371&amp;"|"&amp;'管线现金流'!AL4371&amp;"|"&amp;'管线现金流'!J4372&amp;"|"&amp;'管线现金流'!AL4372&amp;"|"&amp;'管线现金流'!J4373&amp;"|"&amp;'管线现金流'!AL4373&amp;"|"&amp;'管线现金流'!J4374&amp;"|"&amp;'管线现金流'!AL4374&amp;"|"&amp;'管线现金流'!J4375&amp;"|"&amp;'管线现金流'!AL4375&amp;"|"&amp;'管线现金流'!J4376&amp;"|"&amp;'管线现金流'!AL4376&amp;"|"&amp;'管线现金流'!J4377&amp;"|"&amp;'管线现金流'!AL4377&amp;"|"&amp;'管线现金流'!J4378&amp;"|"&amp;'管线现金流'!AL4378&amp;"|"&amp;'管线现金流'!J4379&amp;"|"&amp;'管线现金流'!AL4379&amp;"|"&amp;'管线现金流'!J4380&amp;"|"&amp;'管线现金流'!AL4380&amp;"|"&amp;'管线现金流'!J4381&amp;"|"&amp;'管线现金流'!AL4381&amp;"|"&amp;'管线现金流'!J4382&amp;"|"&amp;'管线现金流'!AL4382&amp;"|"&amp;'管线现金流'!J4383&amp;"|"&amp;'管线现金流'!AL4383&amp;"|"&amp;'管线现金流'!J4384&amp;"|"&amp;'管线现金流'!AL4384&amp;"|"&amp;'管线现金流'!J4385&amp;"|"&amp;'管线现金流'!AL4385&amp;"|"&amp;'管线现金流'!J4386&amp;"|"&amp;'管线现金流'!AL4386&amp;"|"&amp;'管线现金流'!J4387&amp;"|"&amp;'管线现金流'!AL4387&amp;"|"&amp;'管线现金流'!J4388&amp;"|"&amp;'管线现金流'!AL4388&amp;"|"&amp;'管线现金流'!J4389&amp;"|"&amp;'管线现金流'!AL4389&amp;"|"&amp;'管线现金流'!J4390&amp;"|"&amp;'管线现金流'!AL4390&amp;"|"&amp;'管线现金流'!J4391&amp;"|"&amp;'管线现金流'!AL4391&amp;"|"&amp;'管线现金流'!J4392&amp;"|"&amp;'管线现金流'!AL4392&amp;"|"&amp;'管线现金流'!J4393&amp;"|"&amp;'管线现金流'!AL4393&amp;"|"&amp;'管线现金流'!J4394&amp;"|"&amp;'管线现金流'!AL4394&amp;"|"&amp;'管线现金流'!J4395&amp;"|"&amp;'管线现金流'!AL4395&amp;"|"&amp;'管线现金流'!J4396&amp;"|"&amp;'管线现金流'!AL4396&amp;"|"&amp;'管线现金流'!J4397&amp;"|"&amp;'管线现金流'!AL4397&amp;"|"&amp;'管线现金流'!J4398&amp;"|"&amp;'管线现金流'!AL4398&amp;"|"&amp;'管线现金流'!J4399&amp;"|"&amp;'管线现金流'!AL4399&amp;"|"&amp;'管线现金流'!J4400&amp;"|"&amp;'管线现金流'!AL4400&amp;"|"&amp;'管线现金流'!J4401&amp;"|"&amp;'管线现金流'!AL4401&amp;"|"&amp;'管线现金流'!J4402&amp;"|"&amp;'管线现金流'!AL4402&amp;"|"&amp;'管线现金流'!J4403&amp;"|"&amp;'管线现金流'!AL4403&amp;"|"&amp;'管线现金流'!J4404&amp;"|"&amp;'管线现金流'!AL4404&amp;"|"&amp;'管线现金流'!J4405&amp;"|"&amp;'管线现金流'!AL4405&amp;"|"&amp;'管线现金流'!J4406&amp;"|"&amp;'管线现金流'!AL4406&amp;"|"&amp;'管线现金流'!J4407&amp;"|"&amp;'管线现金流'!AL4407&amp;"|"&amp;'管线现金流'!J4408&amp;"|"&amp;'管线现金流'!AL4408&amp;"|"&amp;'管线现金流'!J4409&amp;"|"&amp;'管线现金流'!AL4409&amp;"|"&amp;'管线现金流'!J4410&amp;"|"&amp;'管线现金流'!AL4410&amp;"|"&amp;'管线现金流'!J4411&amp;"|"&amp;'管线现金流'!AL4411&amp;"|"&amp;'管线现金流'!J4412&amp;"|"&amp;'管线现金流'!AL4412&amp;"|"&amp;'管线现金流'!J4413&amp;"|"&amp;'管线现金流'!AL4413&amp;"|"&amp;'管线现金流'!J4414&amp;"|"&amp;'管线现金流'!AL4414&amp;"|"&amp;'管线现金流'!J4415&amp;"|"&amp;'管线现金流'!AL4415&amp;"|"&amp;'管线现金流'!J4416&amp;"|"&amp;'管线现金流'!AL4416&amp;"|"&amp;'管线现金流'!J4417&amp;"|"&amp;'管线现金流'!AL4417&amp;"|"&amp;'管线现金流'!J4418&amp;"|"&amp;'管线现金流'!AL4418&amp;"|"&amp;'管线现金流'!J4419&amp;"|"&amp;'管线现金流'!AL4419&amp;"|"&amp;'管线现金流'!J4420&amp;"|"&amp;'管线现金流'!AL4420&amp;"|"&amp;'管线现金流'!J4421&amp;"|"&amp;'管线现金流'!AL4421&amp;"|"&amp;'管线现金流'!J4422&amp;"|"&amp;'管线现金流'!AL4422&amp;"|"&amp;'管线现金流'!J4423&amp;"|"&amp;'管线现金流'!AL4423&amp;"|"&amp;'管线现金流'!J4424&amp;"|"&amp;'管线现金流'!AL4424&amp;"|"&amp;'管线现金流'!J4425&amp;"|"&amp;'管线现金流'!AL4425&amp;"|"&amp;'管线现金流'!J4426&amp;"|"&amp;'管线现金流'!AL4426&amp;"|"&amp;'管线现金流'!J4427&amp;"|"&amp;'管线现金流'!AL4427&amp;"|"&amp;'管线现金流'!J4428&amp;"|"&amp;'管线现金流'!AL4428&amp;"|"&amp;'管线现金流'!J4429&amp;"|"&amp;'管线现金流'!AL4429&amp;"|"&amp;'管线现金流'!J4430&amp;"|"&amp;'管线现金流'!AL4430&amp;"|"&amp;'管线现金流'!J4431&amp;"|"&amp;'管线现金流'!AL4431&amp;"|"&amp;'管线现金流'!J4432&amp;"|"&amp;'管线现金流'!AL4432&amp;"|"&amp;'管线现金流'!J4433&amp;"|"&amp;'管线现金流'!AL4433&amp;"|"&amp;'管线现金流'!J4434&amp;"|"&amp;'管线现金流'!AL4434&amp;"|"&amp;'管线现金流'!J4435&amp;"|"&amp;'管线现金流'!AL4435&amp;"|"&amp;'管线现金流'!J4436&amp;"|"&amp;'管线现金流'!AL4436&amp;"|"&amp;'管线现金流'!J4437&amp;"|"&amp;'管线现金流'!AL4437&amp;"|"&amp;'管线现金流'!J4438&amp;"|"&amp;'管线现金流'!AL4438&amp;"|"&amp;'管线现金流'!J4439&amp;"|"&amp;'管线现金流'!AL4439&amp;"|"&amp;'管线现金流'!J4440&amp;"|"&amp;'管线现金流'!AL4440&amp;"|"&amp;'管线现金流'!J4441&amp;"|"&amp;'管线现金流'!AL4441&amp;"|"&amp;'管线现金流'!J4442&amp;"|"&amp;'管线现金流'!AL4442&amp;"|"&amp;'管线现金流'!J4443&amp;"|"&amp;'管线现金流'!AL4443&amp;"|"&amp;'管线现金流'!J4444&amp;"|"&amp;'管线现金流'!AL4444&amp;"|"&amp;'管线现金流'!J4445&amp;"|"&amp;'管线现金流'!AL4445&amp;"|"&amp;'管线现金流'!J4446&amp;"|"&amp;'管线现金流'!AL4446&amp;"|"&amp;'管线现金流'!J4447&amp;"|"&amp;'管线现金流'!AL4447&amp;"|"&amp;'管线现金流'!J4448&amp;"|"&amp;'管线现金流'!AL4448&amp;"|"&amp;'管线现金流'!J4449&amp;"|"&amp;'管线现金流'!AL4449&amp;"|"&amp;'管线现金流'!J4450&amp;"|"&amp;'管线现金流'!AL4450&amp;"|"&amp;'管线现金流'!J4451&amp;"|"&amp;'管线现金流'!AL4451&amp;"|"&amp;'管线现金流'!J4452&amp;"|"&amp;'管线现金流'!AL4452&amp;"|"&amp;'管线现金流'!J4453&amp;"|"&amp;'管线现金流'!AL4453&amp;"|"&amp;'管线现金流'!J4454&amp;"|"&amp;'管线现金流'!AL4454&amp;"|"&amp;'管线现金流'!J4455&amp;"|"&amp;'管线现金流'!AL4455&amp;"|"&amp;'管线现金流'!J4456&amp;"|"&amp;'管线现金流'!AL4456&amp;"|"&amp;'管线现金流'!J4457&amp;"|"&amp;'管线现金流'!AL4457&amp;"|"&amp;'管线现金流'!J4458&amp;"|"&amp;'管线现金流'!AL4458&amp;"|"&amp;'管线现金流'!J4459&amp;"|"&amp;'管线现金流'!AL4459&amp;"|"&amp;'管线现金流'!J4460&amp;"|"&amp;'管线现金流'!AL4460&amp;"|"&amp;'管线现金流'!J4461&amp;"|"&amp;'管线现金流'!AL4461&amp;"|"&amp;'管线现金流'!J4462&amp;"|"&amp;'管线现金流'!AL4462&amp;"|"&amp;'管线现金流'!J4463&amp;"|"&amp;'管线现金流'!AL4463&amp;"|"&amp;'管线现金流'!J4464&amp;"|"&amp;'管线现金流'!AL4464&amp;"|"&amp;'管线现金流'!J4465&amp;"|"&amp;'管线现金流'!AL4465&amp;"|"&amp;'管线现金流'!J4466&amp;"|"&amp;'管线现金流'!AL4466&amp;"|"&amp;'管线现金流'!J4467&amp;"|"&amp;'管线现金流'!AL4467&amp;"|"&amp;'管线现金流'!J4468&amp;"|"&amp;'管线现金流'!AL4468&amp;"|"&amp;'管线现金流'!J4469&amp;"|"&amp;'管线现金流'!AL4469&amp;"|"&amp;'管线现金流'!J4470&amp;"|"&amp;'管线现金流'!AL4470&amp;"|"&amp;'管线现金流'!J4471&amp;"|"&amp;'管线现金流'!AL4471&amp;"|"&amp;'管线现金流'!J4472&amp;"|"&amp;'管线现金流'!AL4472&amp;"|"&amp;'管线现金流'!J4473&amp;"|"&amp;'管线现金流'!AL4473&amp;"|"&amp;'管线现金流'!J4474&amp;"|"&amp;'管线现金流'!AL4474&amp;"|"&amp;'管线现金流'!J4475&amp;"|"&amp;'管线现金流'!AL4475&amp;"|"&amp;'管线现金流'!J4476&amp;"|"&amp;'管线现金流'!AL4476&amp;"|"&amp;'管线现金流'!J4477&amp;"|"&amp;'管线现金流'!AL4477&amp;"|"&amp;'管线现金流'!J4478&amp;"|"&amp;'管线现金流'!AL4478&amp;"|"&amp;'管线现金流'!J4479&amp;"|"&amp;'管线现金流'!AL4479&amp;"|"&amp;'管线现金流'!J4480&amp;"|"&amp;'管线现金流'!AL4480&amp;"|"&amp;'管线现金流'!J4481&amp;"|"&amp;'管线现金流'!AL4481&amp;"|"&amp;'管线现金流'!J4482&amp;"|"&amp;'管线现金流'!AL4482&amp;"|"&amp;'管线现金流'!J4483&amp;"|"&amp;'管线现金流'!AL4483&amp;"|"&amp;'管线现金流'!J4484&amp;"|"&amp;'管线现金流'!AL4484&amp;"|"&amp;'管线现金流'!J4485&amp;"|"&amp;'管线现金流'!AL4485&amp;"|"&amp;'管线现金流'!J4486&amp;"|"&amp;'管线现金流'!AL4486&amp;"|"&amp;'管线现金流'!J4487&amp;"|"&amp;'管线现金流'!AL4487&amp;"|"&amp;'管线现金流'!J4488&amp;"|"&amp;'管线现金流'!AL4488&amp;"|"&amp;'管线现金流'!J4489&amp;"|"&amp;'管线现金流'!AL4489&amp;"|"&amp;'管线现金流'!J4490&amp;"|"&amp;'管线现金流'!AL4490&amp;"|"&amp;'管线现金流'!J4491&amp;"|"&amp;'管线现金流'!AL4491&amp;"|"&amp;'管线现金流'!J4492&amp;"|"&amp;'管线现金流'!AL4492&amp;"|"&amp;'管线现金流'!J4493&amp;"|"&amp;'管线现金流'!AL4493&amp;"|"&amp;'管线现金流'!J4494&amp;"|"&amp;'管线现金流'!AL4494&amp;"|"&amp;'管线现金流'!J4495&amp;"|"&amp;'管线现金流'!AL4495&amp;"|"&amp;'管线现金流'!J4496&amp;"|"&amp;'管线现金流'!AL4496&amp;"|"&amp;'管线现金流'!J4497&amp;"|"&amp;'管线现金流'!AL4497&amp;"|"&amp;'管线现金流'!J4498&amp;"|"&amp;'管线现金流'!AL4498&amp;"|"&amp;'管线现金流'!J4499&amp;"|"&amp;'管线现金流'!AL4499&amp;"|"&amp;'管线现金流'!J4500&amp;"|"&amp;'管线现金流'!AL4500&amp;"|"&amp;'管线现金流'!J4501&amp;"|"&amp;'管线现金流'!AL4501&amp;"|"&amp;'管线现金流'!J4502&amp;"|"&amp;'管线现金流'!AL4502&amp;"|"&amp;'管线现金流'!J4503&amp;"|"&amp;'管线现金流'!AL4503&amp;"|"&amp;'管线现金流'!J4504&amp;"|"&amp;'管线现金流'!AL4504&amp;"|"&amp;'管线现金流'!J4505&amp;"|"&amp;'管线现金流'!AL4505&amp;"|"&amp;'管线现金流'!J4506&amp;"|"&amp;'管线现金流'!AL4506&amp;"|"&amp;'管线现金流'!J4507&amp;"|"&amp;'管线现金流'!AL4507&amp;"|"&amp;'管线现金流'!J4508&amp;"|"&amp;'管线现金流'!AL4508&amp;"|"&amp;'管线现金流'!J4509&amp;"|"&amp;'管线现金流'!AL4509&amp;"|"&amp;'管线现金流'!J4510&amp;"|"&amp;'管线现金流'!AL4510&amp;"|"&amp;'管线现金流'!J4511&amp;"|"&amp;'管线现金流'!AL4511&amp;"|"&amp;'管线现金流'!J4512&amp;"|"&amp;'管线现金流'!AL4512&amp;"|"&amp;'管线现金流'!J4513&amp;"|"&amp;'管线现金流'!AL4513&amp;"|"&amp;'管线现金流'!J4514&amp;"|"&amp;'管线现金流'!AL4514&amp;"|"&amp;'管线现金流'!J4515&amp;"|"&amp;'管线现金流'!AL4515&amp;"|"&amp;'管线现金流'!J4516&amp;"|"&amp;'管线现金流'!AL4516&amp;"|"&amp;'管线现金流'!J4517&amp;"|"&amp;'管线现金流'!AL4517&amp;"|"&amp;'管线现金流'!J4518&amp;"|"&amp;'管线现金流'!AL4518&amp;"|"&amp;'管线现金流'!J4519&amp;"|"&amp;'管线现金流'!AL4519&amp;"|"&amp;'管线现金流'!J4520&amp;"|"&amp;'管线现金流'!AL4520&amp;"|"&amp;'管线现金流'!J4521&amp;"|"&amp;'管线现金流'!AL4521&amp;"|"&amp;'管线现金流'!J4522&amp;"|"&amp;'管线现金流'!AL4522&amp;"|"&amp;'管线现金流'!J4523&amp;"|"&amp;'管线现金流'!AL4523&amp;"|"&amp;'管线现金流'!J4524&amp;"|"&amp;'管线现金流'!AL4524&amp;"|"&amp;'管线现金流'!J4525&amp;"|"&amp;'管线现金流'!AL4525&amp;"|"&amp;'管线现金流'!J4526&amp;"|"&amp;'管线现金流'!AL4526&amp;"|"&amp;'管线现金流'!J4527&amp;"|"&amp;'管线现金流'!AL4527&amp;"|"&amp;'管线现金流'!J4528&amp;"|"&amp;'管线现金流'!AL4528&amp;"|"&amp;'管线现金流'!J4529&amp;"|"&amp;'管线现金流'!AL4529&amp;"|"&amp;'管线现金流'!J4530&amp;"|"&amp;'管线现金流'!AL4530&amp;"|"&amp;'管线现金流'!J4531&amp;"|"&amp;'管线现金流'!AL4531&amp;"|"&amp;'管线现金流'!J4532&amp;"|"&amp;'管线现金流'!AL4532&amp;"|"&amp;'管线现金流'!J4533&amp;"|"&amp;'管线现金流'!AL4533&amp;"|"&amp;'管线现金流'!J4534&amp;"|"&amp;'管线现金流'!AL4534&amp;"|"&amp;'管线现金流'!J4535&amp;"|"&amp;'管线现金流'!AL4535&amp;"|"&amp;'管线现金流'!J4536&amp;"|"&amp;'管线现金流'!AL4536&amp;"|"&amp;'管线现金流'!J4537&amp;"|"&amp;'管线现金流'!AL4537&amp;"|"&amp;'管线现金流'!J4538&amp;"|"&amp;'管线现金流'!AL4538&amp;"|"&amp;'管线现金流'!J4539&amp;"|"&amp;'管线现金流'!AL4539&amp;"|"&amp;'管线现金流'!J4540&amp;"|"&amp;'管线现金流'!AL4540&amp;"|"&amp;'管线现金流'!J4541&amp;"|"&amp;'管线现金流'!AL4541&amp;"|"&amp;'管线现金流'!J4542&amp;"|"&amp;'管线现金流'!AL4542&amp;"|"&amp;'管线现金流'!J4543&amp;"|"&amp;'管线现金流'!AL4543&amp;"|"&amp;'管线现金流'!J4544&amp;"|"&amp;'管线现金流'!AL4544&amp;"|"&amp;'管线现金流'!J4545&amp;"|"&amp;'管线现金流'!AL4545&amp;"|"&amp;'管线现金流'!J4546&amp;"|"&amp;'管线现金流'!AL4546&amp;"|"&amp;'管线现金流'!J4547&amp;"|"&amp;'管线现金流'!AL4547&amp;"|"&amp;'管线现金流'!J4548&amp;"|"&amp;'管线现金流'!AL4548&amp;"|"&amp;'管线现金流'!J4549&amp;"|"&amp;'管线现金流'!AL4549&amp;"|"&amp;'管线现金流'!J4550&amp;"|"&amp;'管线现金流'!AL4550&amp;"|"&amp;'管线现金流'!J4551&amp;"|"&amp;'管线现金流'!AL4551&amp;"|"&amp;'管线现金流'!J4552&amp;"|"&amp;'管线现金流'!AL4552&amp;"|"&amp;'管线现金流'!J4553&amp;"|"&amp;'管线现金流'!AL4553&amp;"|"&amp;'管线现金流'!J4554&amp;"|"&amp;'管线现金流'!AL4554&amp;"|"&amp;'管线现金流'!J4555&amp;"|"&amp;'管线现金流'!AL4555&amp;"|"&amp;'管线现金流'!J4556&amp;"|"&amp;'管线现金流'!AL4556&amp;"|"&amp;'管线现金流'!J4557&amp;"|"&amp;'管线现金流'!AL4557&amp;"|"&amp;'管线现金流'!W64&amp;"|"&amp;'管线现金流'!Z64&amp;"|"&amp;'管线现金流'!AQ64&amp;"|"&amp;'管线现金流'!AT64&amp;"|"&amp;'管线现金流'!W65&amp;"|"&amp;'管线现金流'!Z65&amp;"|"&amp;'管线现金流'!AQ65&amp;"|"&amp;'管线现金流'!AT65&amp;"|"&amp;'管线现金流'!W66&amp;"|"&amp;'管线现金流'!Z66&amp;"|"&amp;'管线现金流'!AQ66&amp;"|"&amp;'管线现金流'!AT66&amp;"|"&amp;'管线现金流'!W67&amp;"|"&amp;'管线现金流'!Z67&amp;"|"&amp;'管线现金流'!AQ67&amp;"|"&amp;'管线现金流'!AT67&amp;"|"&amp;'管线现金流'!W68&amp;"|"&amp;'管线现金流'!Z68&amp;"|"&amp;'管线现金流'!AQ68&amp;"|"&amp;'管线现金流'!AT68&amp;"|"&amp;'管线现金流'!W69&amp;"|"&amp;'管线现金流'!Z69&amp;"|"&amp;'管线现金流'!AQ69&amp;"|"&amp;'管线现金流'!AT69&amp;"|"&amp;'管线现金流'!W70&amp;"|"&amp;'管线现金流'!Z70&amp;"|"&amp;'管线现金流'!AQ70&amp;"|"&amp;'管线现金流'!AT70&amp;"|"&amp;'管线现金流'!W71&amp;"|"&amp;'管线现金流'!Z71&amp;"|"&amp;'管线现金流'!AQ71&amp;"|"&amp;'管线现金流'!AT71&amp;"|"&amp;'管线现金流'!W72&amp;"|"&amp;'管线现金流'!Z72&amp;"|"&amp;'管线现金流'!AQ72&amp;"|"&amp;'管线现金流'!AT72</x:f>
        <x:v>1|5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</x:row>
    <x:row r="409" ht="23" customHeight="1">
      <x:c r="A409" s="11" t="str">
        <x:v>02162.HK</x:v>
      </x:c>
      <x:c r="B409" s="11" t="str">
        <x:v>康诺亚-B</x:v>
      </x:c>
      <x:c r="C409" s="11" t="str">
        <x:v>五年</x:v>
      </x:c>
      <x:c r="D409" s="11" t="str">
        <x:v>悲观</x:v>
      </x:c>
      <x:c r="E409" s="11" t="n">
        <x:v>78.3</x:v>
      </x:c>
      <x:c r="F409" s="11" t="n">
        <x:v>3.8956626495794495</x:v>
      </x:c>
      <x:c r="G409" s="11" t="n">
        <x:v>0</x:v>
      </x:c>
      <x:c r="H409" s="25" t="n">
        <x:v>-0.9502469648840428</x:v>
      </x:c>
      <x:c r="I409" s="25" t="n">
        <x:v>-0.9502469648840428</x:v>
      </x:c>
      <x:c r="J409" s="25" t="n">
        <x:v>-0.4512634153378423</x:v>
      </x:c>
      <x:c r="K409" s="11" t="n">
        <x:v>0</x:v>
      </x:c>
      <x:c r="L409" s="11" t="n">
        <x:v>0</x:v>
      </x:c>
      <x:c r="M409" s="11" t="n">
        <x:v>1.1</x:v>
      </x:c>
      <x:c r="N409" s="11" t="n">
        <x:v>0</x:v>
      </x:c>
      <x:c r="O409" s="11" t="n">
        <x:v>0</x:v>
      </x:c>
      <x:c r="P409" s="11" t="n">
        <x:v>0</x:v>
      </x:c>
      <x:c r="Q409" s="11" t="n">
        <x:v>0.45</x:v>
      </x:c>
      <x:c r="R409" s="11" t="str">
        <x:v>keymed-v2-finite-assets-prorated-short-recognition</x:v>
      </x:c>
      <x:c r="S409" s="11" t="str">
        <x:v>2026-10-10</x:v>
      </x:c>
      <x:c r="T409" s="11" t="str">
        <x:f>IF(AND(SUM(IF(K409='假设'!E544,0,1),IF(L409='假设'!F544,0,1),IF(M409='假设'!G544,0,1),IF(N409='假设'!H544,0,1),IF(O409='假设'!I544,0,1),IF(P409='假设'!J544,0,1),IF(Q409='假设'!K544,0,1))=0,U409=V409),"已刷新","待刷新")</x:f>
        <x:v>已刷新</x:v>
      </x:c>
      <x:c r="U409" t="str">
        <x:v>1|-0.8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  <x:c r="V409" t="str">
        <x:f>'假设'!U544&amp;"|"&amp;'假设'!N544&amp;"|"&amp;'假设'!Q544&amp;"|"&amp;'管线假设'!E984&amp;"|"&amp;'管线假设'!F984&amp;"|"&amp;'管线假设'!G984&amp;"|"&amp;'管线假设'!H984&amp;"|"&amp;'管线假设'!I984&amp;"|"&amp;'管线假设'!E988&amp;"|"&amp;'管线假设'!F988&amp;"|"&amp;'管线假设'!G988&amp;"|"&amp;'管线假设'!H988&amp;"|"&amp;'管线假设'!I988&amp;"|"&amp;'管线假设'!E992&amp;"|"&amp;'管线假设'!F992&amp;"|"&amp;'管线假设'!G992&amp;"|"&amp;'管线假设'!H992&amp;"|"&amp;'管线假设'!I992&amp;"|"&amp;'管线假设'!E996&amp;"|"&amp;'管线假设'!F996&amp;"|"&amp;'管线假设'!G996&amp;"|"&amp;'管线假设'!H996&amp;"|"&amp;'管线假设'!I996&amp;"|"&amp;'管线假设'!E1000&amp;"|"&amp;'管线假设'!F1000&amp;"|"&amp;'管线假设'!G1000&amp;"|"&amp;'管线假设'!H1000&amp;"|"&amp;'管线假设'!I1000&amp;"|"&amp;'管线假设'!E1004&amp;"|"&amp;'管线假设'!F1004&amp;"|"&amp;'管线假设'!G1004&amp;"|"&amp;'管线假设'!H1004&amp;"|"&amp;'管线假设'!I1004&amp;"|"&amp;'管线假设'!E1008&amp;"|"&amp;'管线假设'!F1008&amp;"|"&amp;'管线假设'!G1008&amp;"|"&amp;'管线假设'!H1008&amp;"|"&amp;'管线假设'!I1008&amp;"|"&amp;'管线假设'!E1012&amp;"|"&amp;'管线假设'!F1012&amp;"|"&amp;'管线假设'!G1012&amp;"|"&amp;'管线假设'!H1012&amp;"|"&amp;'管线假设'!I1012&amp;"|"&amp;'管线假设'!E1016&amp;"|"&amp;'管线假设'!F1016&amp;"|"&amp;'管线假设'!G1016&amp;"|"&amp;'管线假设'!H1016&amp;"|"&amp;'管线假设'!I1016&amp;"|"&amp;'管线假设'!E1020&amp;"|"&amp;'管线假设'!F1020&amp;"|"&amp;'管线假设'!G1020&amp;"|"&amp;'管线假设'!H1020&amp;"|"&amp;'管线假设'!I1020&amp;"|"&amp;'管线假设'!E1024&amp;"|"&amp;'管线假设'!F1024&amp;"|"&amp;'管线假设'!G1024&amp;"|"&amp;'管线假设'!H1024&amp;"|"&amp;'管线假设'!I1024&amp;"|"&amp;'管线现金流'!H4558&amp;"|"&amp;'管线现金流'!AJ4558&amp;"|"&amp;'管线现金流'!H4559&amp;"|"&amp;'管线现金流'!AJ4559&amp;"|"&amp;'管线现金流'!H4560&amp;"|"&amp;'管线现金流'!AJ4560&amp;"|"&amp;'管线现金流'!H4561&amp;"|"&amp;'管线现金流'!AJ4561&amp;"|"&amp;'管线现金流'!H4562&amp;"|"&amp;'管线现金流'!AJ4562&amp;"|"&amp;'管线现金流'!H4563&amp;"|"&amp;'管线现金流'!AJ4563&amp;"|"&amp;'管线现金流'!H4564&amp;"|"&amp;'管线现金流'!AJ4564&amp;"|"&amp;'管线现金流'!H4565&amp;"|"&amp;'管线现金流'!AJ4565&amp;"|"&amp;'管线现金流'!H4566&amp;"|"&amp;'管线现金流'!AJ4566&amp;"|"&amp;'管线现金流'!H4567&amp;"|"&amp;'管线现金流'!AJ4567&amp;"|"&amp;'管线现金流'!H4568&amp;"|"&amp;'管线现金流'!AJ4568&amp;"|"&amp;'管线现金流'!H4569&amp;"|"&amp;'管线现金流'!AJ4569&amp;"|"&amp;'管线现金流'!H4570&amp;"|"&amp;'管线现金流'!AJ4570&amp;"|"&amp;'管线现金流'!H4571&amp;"|"&amp;'管线现金流'!AJ4571&amp;"|"&amp;'管线现金流'!H4572&amp;"|"&amp;'管线现金流'!AJ4572&amp;"|"&amp;'管线现金流'!H4573&amp;"|"&amp;'管线现金流'!AJ4573&amp;"|"&amp;'管线现金流'!H4574&amp;"|"&amp;'管线现金流'!AJ4574&amp;"|"&amp;'管线现金流'!H4575&amp;"|"&amp;'管线现金流'!AJ4575&amp;"|"&amp;'管线现金流'!H4576&amp;"|"&amp;'管线现金流'!AJ4576&amp;"|"&amp;'管线现金流'!H4577&amp;"|"&amp;'管线现金流'!AJ4577&amp;"|"&amp;'管线现金流'!H4578&amp;"|"&amp;'管线现金流'!AJ4578&amp;"|"&amp;'管线现金流'!H4579&amp;"|"&amp;'管线现金流'!AJ4579&amp;"|"&amp;'管线现金流'!H4580&amp;"|"&amp;'管线现金流'!AJ4580&amp;"|"&amp;'管线现金流'!H4581&amp;"|"&amp;'管线现金流'!AJ4581&amp;"|"&amp;'管线现金流'!H4582&amp;"|"&amp;'管线现金流'!AJ4582&amp;"|"&amp;'管线现金流'!H4583&amp;"|"&amp;'管线现金流'!AJ4583&amp;"|"&amp;'管线现金流'!H4584&amp;"|"&amp;'管线现金流'!AJ4584&amp;"|"&amp;'管线现金流'!H4585&amp;"|"&amp;'管线现金流'!AJ4585&amp;"|"&amp;'管线现金流'!H4586&amp;"|"&amp;'管线现金流'!AJ4586&amp;"|"&amp;'管线现金流'!H4587&amp;"|"&amp;'管线现金流'!AJ4587&amp;"|"&amp;'管线现金流'!H4588&amp;"|"&amp;'管线现金流'!AJ4588&amp;"|"&amp;'管线现金流'!H4589&amp;"|"&amp;'管线现金流'!AJ4589&amp;"|"&amp;'管线现金流'!H4590&amp;"|"&amp;'管线现金流'!AJ4590&amp;"|"&amp;'管线现金流'!H4591&amp;"|"&amp;'管线现金流'!AJ4591&amp;"|"&amp;'管线现金流'!H4592&amp;"|"&amp;'管线现金流'!AJ4592&amp;"|"&amp;'管线现金流'!H4593&amp;"|"&amp;'管线现金流'!AJ4593&amp;"|"&amp;'管线现金流'!H4594&amp;"|"&amp;'管线现金流'!AJ4594&amp;"|"&amp;'管线现金流'!H4595&amp;"|"&amp;'管线现金流'!AJ4595&amp;"|"&amp;'管线现金流'!H4596&amp;"|"&amp;'管线现金流'!AJ4596&amp;"|"&amp;'管线现金流'!H4597&amp;"|"&amp;'管线现金流'!AJ4597&amp;"|"&amp;'管线现金流'!H4598&amp;"|"&amp;'管线现金流'!AJ4598&amp;"|"&amp;'管线现金流'!H4599&amp;"|"&amp;'管线现金流'!AJ4599&amp;"|"&amp;'管线现金流'!H4600&amp;"|"&amp;'管线现金流'!AJ4600&amp;"|"&amp;'管线现金流'!H4601&amp;"|"&amp;'管线现金流'!AJ4601&amp;"|"&amp;'管线现金流'!H4602&amp;"|"&amp;'管线现金流'!AJ4602&amp;"|"&amp;'管线现金流'!H4603&amp;"|"&amp;'管线现金流'!AJ4603&amp;"|"&amp;'管线现金流'!H4604&amp;"|"&amp;'管线现金流'!AJ4604&amp;"|"&amp;'管线现金流'!H4605&amp;"|"&amp;'管线现金流'!AJ4605&amp;"|"&amp;'管线现金流'!H4606&amp;"|"&amp;'管线现金流'!AJ4606&amp;"|"&amp;'管线现金流'!H4607&amp;"|"&amp;'管线现金流'!AJ4607&amp;"|"&amp;'管线现金流'!H4608&amp;"|"&amp;'管线现金流'!AJ4608&amp;"|"&amp;'管线现金流'!H4609&amp;"|"&amp;'管线现金流'!AJ4609&amp;"|"&amp;'管线现金流'!H4610&amp;"|"&amp;'管线现金流'!AJ4610&amp;"|"&amp;'管线现金流'!H4611&amp;"|"&amp;'管线现金流'!AJ4611&amp;"|"&amp;'管线现金流'!H4612&amp;"|"&amp;'管线现金流'!AJ4612&amp;"|"&amp;'管线现金流'!H4613&amp;"|"&amp;'管线现金流'!AJ4613&amp;"|"&amp;'管线现金流'!H4614&amp;"|"&amp;'管线现金流'!AJ4614&amp;"|"&amp;'管线现金流'!H4615&amp;"|"&amp;'管线现金流'!AJ4615&amp;"|"&amp;'管线现金流'!H4616&amp;"|"&amp;'管线现金流'!AJ4616&amp;"|"&amp;'管线现金流'!H4617&amp;"|"&amp;'管线现金流'!AJ4617&amp;"|"&amp;'管线现金流'!H4618&amp;"|"&amp;'管线现金流'!AJ4618&amp;"|"&amp;'管线现金流'!H4619&amp;"|"&amp;'管线现金流'!AJ4619&amp;"|"&amp;'管线现金流'!H4620&amp;"|"&amp;'管线现金流'!AJ4620&amp;"|"&amp;'管线现金流'!H4621&amp;"|"&amp;'管线现金流'!AJ4621&amp;"|"&amp;'管线现金流'!H4622&amp;"|"&amp;'管线现金流'!AJ4622&amp;"|"&amp;'管线现金流'!H4623&amp;"|"&amp;'管线现金流'!AJ4623&amp;"|"&amp;'管线现金流'!H4624&amp;"|"&amp;'管线现金流'!AJ4624&amp;"|"&amp;'管线现金流'!H4625&amp;"|"&amp;'管线现金流'!AJ4625&amp;"|"&amp;'管线现金流'!H4626&amp;"|"&amp;'管线现金流'!AJ4626&amp;"|"&amp;'管线现金流'!H4627&amp;"|"&amp;'管线现金流'!AJ4627&amp;"|"&amp;'管线现金流'!H4628&amp;"|"&amp;'管线现金流'!AJ4628&amp;"|"&amp;'管线现金流'!H4629&amp;"|"&amp;'管线现金流'!AJ4629&amp;"|"&amp;'管线现金流'!H4630&amp;"|"&amp;'管线现金流'!AJ4630&amp;"|"&amp;'管线现金流'!H4631&amp;"|"&amp;'管线现金流'!AJ4631&amp;"|"&amp;'管线现金流'!H4632&amp;"|"&amp;'管线现金流'!AJ4632&amp;"|"&amp;'管线现金流'!H4633&amp;"|"&amp;'管线现金流'!AJ4633&amp;"|"&amp;'管线现金流'!H4634&amp;"|"&amp;'管线现金流'!AJ4634&amp;"|"&amp;'管线现金流'!H4635&amp;"|"&amp;'管线现金流'!AJ4635&amp;"|"&amp;'管线现金流'!H4636&amp;"|"&amp;'管线现金流'!AJ4636&amp;"|"&amp;'管线现金流'!H4637&amp;"|"&amp;'管线现金流'!AJ4637&amp;"|"&amp;'管线现金流'!H4638&amp;"|"&amp;'管线现金流'!AJ4638&amp;"|"&amp;'管线现金流'!H4639&amp;"|"&amp;'管线现金流'!AJ4639&amp;"|"&amp;'管线现金流'!H4640&amp;"|"&amp;'管线现金流'!AJ4640&amp;"|"&amp;'管线现金流'!H4641&amp;"|"&amp;'管线现金流'!AJ4641&amp;"|"&amp;'管线现金流'!H4642&amp;"|"&amp;'管线现金流'!AJ4642&amp;"|"&amp;'管线现金流'!H4643&amp;"|"&amp;'管线现金流'!AJ4643&amp;"|"&amp;'管线现金流'!H4644&amp;"|"&amp;'管线现金流'!AJ4644&amp;"|"&amp;'管线现金流'!H4645&amp;"|"&amp;'管线现金流'!AJ4645&amp;"|"&amp;'管线现金流'!H4646&amp;"|"&amp;'管线现金流'!AJ4646&amp;"|"&amp;'管线现金流'!H4647&amp;"|"&amp;'管线现金流'!AJ4647&amp;"|"&amp;'管线现金流'!H4648&amp;"|"&amp;'管线现金流'!AJ4648&amp;"|"&amp;'管线现金流'!H4649&amp;"|"&amp;'管线现金流'!AJ4649&amp;"|"&amp;'管线现金流'!H4650&amp;"|"&amp;'管线现金流'!AJ4650&amp;"|"&amp;'管线现金流'!H4651&amp;"|"&amp;'管线现金流'!AJ4651&amp;"|"&amp;'管线现金流'!H4652&amp;"|"&amp;'管线现金流'!AJ4652&amp;"|"&amp;'管线现金流'!H4653&amp;"|"&amp;'管线现金流'!AJ4653&amp;"|"&amp;'管线现金流'!H4654&amp;"|"&amp;'管线现金流'!AJ4654&amp;"|"&amp;'管线现金流'!H4655&amp;"|"&amp;'管线现金流'!AJ4655&amp;"|"&amp;'管线现金流'!H4656&amp;"|"&amp;'管线现金流'!AJ4656&amp;"|"&amp;'管线现金流'!H4657&amp;"|"&amp;'管线现金流'!AJ4657&amp;"|"&amp;'管线现金流'!H4658&amp;"|"&amp;'管线现金流'!AJ4658&amp;"|"&amp;'管线现金流'!H4659&amp;"|"&amp;'管线现金流'!AJ4659&amp;"|"&amp;'管线现金流'!H4660&amp;"|"&amp;'管线现金流'!AJ4660&amp;"|"&amp;'管线现金流'!H4661&amp;"|"&amp;'管线现金流'!AJ4661&amp;"|"&amp;'管线现金流'!H4662&amp;"|"&amp;'管线现金流'!AJ4662&amp;"|"&amp;'管线现金流'!H4663&amp;"|"&amp;'管线现金流'!AJ4663&amp;"|"&amp;'管线现金流'!H4664&amp;"|"&amp;'管线现金流'!AJ4664&amp;"|"&amp;'管线现金流'!H4665&amp;"|"&amp;'管线现金流'!AJ4665&amp;"|"&amp;'管线现金流'!H4666&amp;"|"&amp;'管线现金流'!AJ4666&amp;"|"&amp;'管线现金流'!H4667&amp;"|"&amp;'管线现金流'!AJ4667&amp;"|"&amp;'管线现金流'!H4668&amp;"|"&amp;'管线现金流'!AJ4668&amp;"|"&amp;'管线现金流'!H4669&amp;"|"&amp;'管线现金流'!AJ4669&amp;"|"&amp;'管线现金流'!H4670&amp;"|"&amp;'管线现金流'!AJ4670&amp;"|"&amp;'管线现金流'!H4671&amp;"|"&amp;'管线现金流'!AJ4671&amp;"|"&amp;'管线现金流'!H4672&amp;"|"&amp;'管线现金流'!AJ4672&amp;"|"&amp;'管线现金流'!H4673&amp;"|"&amp;'管线现金流'!AJ4673&amp;"|"&amp;'管线现金流'!H4674&amp;"|"&amp;'管线现金流'!AJ4674&amp;"|"&amp;'管线现金流'!H4675&amp;"|"&amp;'管线现金流'!AJ4675&amp;"|"&amp;'管线现金流'!H4676&amp;"|"&amp;'管线现金流'!AJ4676&amp;"|"&amp;'管线现金流'!H4677&amp;"|"&amp;'管线现金流'!AJ4677&amp;"|"&amp;'管线现金流'!H4678&amp;"|"&amp;'管线现金流'!AJ4678&amp;"|"&amp;'管线现金流'!H4679&amp;"|"&amp;'管线现金流'!AJ4679&amp;"|"&amp;'管线现金流'!H4680&amp;"|"&amp;'管线现金流'!AJ4680&amp;"|"&amp;'管线现金流'!H4681&amp;"|"&amp;'管线现金流'!AJ4681&amp;"|"&amp;'管线现金流'!H4682&amp;"|"&amp;'管线现金流'!AJ4682&amp;"|"&amp;'管线现金流'!H4683&amp;"|"&amp;'管线现金流'!AJ4683&amp;"|"&amp;'管线现金流'!H4684&amp;"|"&amp;'管线现金流'!AJ4684&amp;"|"&amp;'管线现金流'!H4685&amp;"|"&amp;'管线现金流'!AJ4685&amp;"|"&amp;'管线现金流'!H4686&amp;"|"&amp;'管线现金流'!AJ4686&amp;"|"&amp;'管线现金流'!H4687&amp;"|"&amp;'管线现金流'!AJ4687&amp;"|"&amp;'管线现金流'!H4688&amp;"|"&amp;'管线现金流'!AJ4688&amp;"|"&amp;'管线现金流'!H4689&amp;"|"&amp;'管线现金流'!AJ4689&amp;"|"&amp;'管线现金流'!H4690&amp;"|"&amp;'管线现金流'!AJ4690&amp;"|"&amp;'管线现金流'!H4691&amp;"|"&amp;'管线现金流'!AJ4691&amp;"|"&amp;'管线现金流'!H4692&amp;"|"&amp;'管线现金流'!AJ4692&amp;"|"&amp;'管线现金流'!H4693&amp;"|"&amp;'管线现金流'!AJ4693&amp;"|"&amp;'管线现金流'!H4694&amp;"|"&amp;'管线现金流'!AJ4694&amp;"|"&amp;'管线现金流'!H4695&amp;"|"&amp;'管线现金流'!AJ4695&amp;"|"&amp;'管线现金流'!H4696&amp;"|"&amp;'管线现金流'!AJ4696&amp;"|"&amp;'管线现金流'!H4697&amp;"|"&amp;'管线现金流'!AJ4697&amp;"|"&amp;'管线现金流'!H4698&amp;"|"&amp;'管线现金流'!AJ4698&amp;"|"&amp;'管线现金流'!H4699&amp;"|"&amp;'管线现金流'!AJ4699&amp;"|"&amp;'管线现金流'!H4700&amp;"|"&amp;'管线现金流'!AJ4700&amp;"|"&amp;'管线现金流'!H4701&amp;"|"&amp;'管线现金流'!AJ4701&amp;"|"&amp;'管线现金流'!H4702&amp;"|"&amp;'管线现金流'!AJ4702&amp;"|"&amp;'管线现金流'!H4703&amp;"|"&amp;'管线现金流'!AJ4703&amp;"|"&amp;'管线现金流'!H4704&amp;"|"&amp;'管线现金流'!AJ4704&amp;"|"&amp;'管线现金流'!H4705&amp;"|"&amp;'管线现金流'!AJ4705&amp;"|"&amp;'管线现金流'!H4706&amp;"|"&amp;'管线现金流'!AJ4706&amp;"|"&amp;'管线现金流'!H4707&amp;"|"&amp;'管线现金流'!AJ4707&amp;"|"&amp;'管线现金流'!H4708&amp;"|"&amp;'管线现金流'!AJ4708&amp;"|"&amp;'管线现金流'!H4709&amp;"|"&amp;'管线现金流'!AJ4709&amp;"|"&amp;'管线现金流'!H4710&amp;"|"&amp;'管线现金流'!AJ4710&amp;"|"&amp;'管线现金流'!H4711&amp;"|"&amp;'管线现金流'!AJ4711&amp;"|"&amp;'管线现金流'!H4712&amp;"|"&amp;'管线现金流'!AJ4712&amp;"|"&amp;'管线现金流'!H4713&amp;"|"&amp;'管线现金流'!AJ4713&amp;"|"&amp;'管线现金流'!H4714&amp;"|"&amp;'管线现金流'!AJ4714&amp;"|"&amp;'管线现金流'!H4715&amp;"|"&amp;'管线现金流'!AJ4715&amp;"|"&amp;'管线现金流'!H4716&amp;"|"&amp;'管线现金流'!AJ4716&amp;"|"&amp;'管线现金流'!H4717&amp;"|"&amp;'管线现金流'!AJ4717&amp;"|"&amp;'管线现金流'!H4718&amp;"|"&amp;'管线现金流'!AJ4718&amp;"|"&amp;'管线现金流'!H4719&amp;"|"&amp;'管线现金流'!AJ4719&amp;"|"&amp;'管线现金流'!H4720&amp;"|"&amp;'管线现金流'!AJ4720&amp;"|"&amp;'管线现金流'!H4721&amp;"|"&amp;'管线现金流'!AJ4721&amp;"|"&amp;'管线现金流'!H4722&amp;"|"&amp;'管线现金流'!AJ4722&amp;"|"&amp;'管线现金流'!H4723&amp;"|"&amp;'管线现金流'!AJ4723&amp;"|"&amp;'管线现金流'!H4724&amp;"|"&amp;'管线现金流'!AJ4724&amp;"|"&amp;'管线现金流'!H4725&amp;"|"&amp;'管线现金流'!AJ4725&amp;"|"&amp;'管线现金流'!H4726&amp;"|"&amp;'管线现金流'!AJ4726&amp;"|"&amp;'管线现金流'!H4727&amp;"|"&amp;'管线现金流'!AJ4727&amp;"|"&amp;'管线现金流'!H4728&amp;"|"&amp;'管线现金流'!AJ4728&amp;"|"&amp;'管线现金流'!H4729&amp;"|"&amp;'管线现金流'!AJ4729&amp;"|"&amp;'管线现金流'!H4730&amp;"|"&amp;'管线现金流'!AJ4730&amp;"|"&amp;'管线现金流'!H4731&amp;"|"&amp;'管线现金流'!AJ4731&amp;"|"&amp;'管线现金流'!H4732&amp;"|"&amp;'管线现金流'!AJ4732&amp;"|"&amp;'管线现金流'!H4733&amp;"|"&amp;'管线现金流'!AJ4733&amp;"|"&amp;'管线现金流'!H4734&amp;"|"&amp;'管线现金流'!AJ4734&amp;"|"&amp;'管线现金流'!H4735&amp;"|"&amp;'管线现金流'!AJ4735&amp;"|"&amp;'管线现金流'!H4736&amp;"|"&amp;'管线现金流'!AJ4736&amp;"|"&amp;'管线现金流'!H4737&amp;"|"&amp;'管线现金流'!AJ4737&amp;"|"&amp;'管线现金流'!H4738&amp;"|"&amp;'管线现金流'!AJ4738&amp;"|"&amp;'管线现金流'!H4739&amp;"|"&amp;'管线现金流'!AJ4739&amp;"|"&amp;'管线现金流'!H4740&amp;"|"&amp;'管线现金流'!AJ4740&amp;"|"&amp;'管线现金流'!H4741&amp;"|"&amp;'管线现金流'!AJ4741&amp;"|"&amp;'管线现金流'!H4742&amp;"|"&amp;'管线现金流'!AJ4742&amp;"|"&amp;'管线现金流'!H4743&amp;"|"&amp;'管线现金流'!AJ4743&amp;"|"&amp;'管线现金流'!H4744&amp;"|"&amp;'管线现金流'!AJ4744&amp;"|"&amp;'管线现金流'!H4745&amp;"|"&amp;'管线现金流'!AJ4745&amp;"|"&amp;'管线现金流'!H4746&amp;"|"&amp;'管线现金流'!AJ4746&amp;"|"&amp;'管线现金流'!H4747&amp;"|"&amp;'管线现金流'!AJ4747&amp;"|"&amp;'管线现金流'!H4748&amp;"|"&amp;'管线现金流'!AJ4748&amp;"|"&amp;'管线现金流'!H4749&amp;"|"&amp;'管线现金流'!AJ4749&amp;"|"&amp;'管线现金流'!H4750&amp;"|"&amp;'管线现金流'!AJ4750&amp;"|"&amp;'管线现金流'!H4751&amp;"|"&amp;'管线现金流'!AJ4751&amp;"|"&amp;'管线现金流'!H4752&amp;"|"&amp;'管线现金流'!AJ4752&amp;"|"&amp;'管线现金流'!H4753&amp;"|"&amp;'管线现金流'!AJ4753&amp;"|"&amp;'管线现金流'!H4754&amp;"|"&amp;'管线现金流'!AJ4754&amp;"|"&amp;'管线现金流'!H4755&amp;"|"&amp;'管线现金流'!AJ4755&amp;"|"&amp;'管线现金流'!H4756&amp;"|"&amp;'管线现金流'!AJ4756&amp;"|"&amp;'管线现金流'!H4757&amp;"|"&amp;'管线现金流'!AJ4757&amp;"|"&amp;'管线现金流'!H4758&amp;"|"&amp;'管线现金流'!AJ4758&amp;"|"&amp;'管线现金流'!H4759&amp;"|"&amp;'管线现金流'!AJ4759&amp;"|"&amp;'管线现金流'!H4760&amp;"|"&amp;'管线现金流'!AJ4760&amp;"|"&amp;'管线现金流'!H4761&amp;"|"&amp;'管线现金流'!AJ4761&amp;"|"&amp;'管线现金流'!H4762&amp;"|"&amp;'管线现金流'!AJ4762&amp;"|"&amp;'管线现金流'!H4763&amp;"|"&amp;'管线现金流'!AJ4763&amp;"|"&amp;'管线现金流'!H4764&amp;"|"&amp;'管线现金流'!AJ4764&amp;"|"&amp;'管线现金流'!H4765&amp;"|"&amp;'管线现金流'!AJ4765&amp;"|"&amp;'管线现金流'!H4766&amp;"|"&amp;'管线现金流'!AJ4766&amp;"|"&amp;'管线现金流'!U73&amp;"|"&amp;'管线现金流'!X73&amp;"|"&amp;'管线现金流'!AO73&amp;"|"&amp;'管线现金流'!AR73&amp;"|"&amp;'管线现金流'!U74&amp;"|"&amp;'管线现金流'!X74&amp;"|"&amp;'管线现金流'!AO74&amp;"|"&amp;'管线现金流'!AR74&amp;"|"&amp;'管线现金流'!U75&amp;"|"&amp;'管线现金流'!X75&amp;"|"&amp;'管线现金流'!AO75&amp;"|"&amp;'管线现金流'!AR75&amp;"|"&amp;'管线现金流'!U76&amp;"|"&amp;'管线现金流'!X76&amp;"|"&amp;'管线现金流'!AO76&amp;"|"&amp;'管线现金流'!AR76&amp;"|"&amp;'管线现金流'!U77&amp;"|"&amp;'管线现金流'!X77&amp;"|"&amp;'管线现金流'!AO77&amp;"|"&amp;'管线现金流'!AR77&amp;"|"&amp;'管线现金流'!U78&amp;"|"&amp;'管线现金流'!X78&amp;"|"&amp;'管线现金流'!AO78&amp;"|"&amp;'管线现金流'!AR78&amp;"|"&amp;'管线现金流'!U79&amp;"|"&amp;'管线现金流'!X79&amp;"|"&amp;'管线现金流'!AO79&amp;"|"&amp;'管线现金流'!AR79&amp;"|"&amp;'管线现金流'!U80&amp;"|"&amp;'管线现金流'!X80&amp;"|"&amp;'管线现金流'!AO80&amp;"|"&amp;'管线现金流'!AR80&amp;"|"&amp;'管线现金流'!U81&amp;"|"&amp;'管线现金流'!X81&amp;"|"&amp;'管线现金流'!AO81&amp;"|"&amp;'管线现金流'!AR81</x:f>
        <x:v>1|-0.8|0|0.9|0.35|1|0.18|7|0.35|0.35|1|0.18|7|0.15|0.38|1|0.18|7|0.08|0.35|1|0.18|7|0.35|0.0702|0.7|0.18|7|0.1|0.0702|0.7|0.18|7|0.08|0.064|1|0.18|7|0.15|0.35|1|0.18|7|0.1|0.35|1|0.18|7|0.15|0.05600000000000001|1|0.18|7|1|0|1|0.18|7|0.75|0.025|0.88|0.025|1|0.025|1.2|0.025|1.3|0.02|1.4|0|1.45|0|1.45|0|1.4|0|1.3|0|1.2|0|1.1|0|0.9|0|0.7|0|0.5|0|0.35|0|0.25|0|0.15|0|0.1|0|0|0.04|0|0.02|0.024|0|0.072|0|0.15200000000000002|0|0.26|0|0.34|0|0.4|0|0.4|0|0.38|0|0.36000000000000004|0|0.32000000000000006|0|0.26|0|0.2|0|0.13999999999999999|0|0.08000000000000002|0|0.048|0|0.028000000000000004|0|0.012|0|0|0.04|0|0.06|0|0.07|0|0.04|0.078|0|0.23399999999999999|0|0.49400000000000005|0|0.8450000000000001|0|1.105|0|1.3|0|1.3|0|1.2349999999999999|0|1.1700000000000002|0|1.04|0|0.8450000000000001|0|0.65|0|0.45499999999999996|0|0.26|0|0.156|0|0|0.05|0|0.06|0|0.05|0|0|0|0|0|0|0.06|0|0.18|0|0.38|0|0.65|0|0.85|0|1|0|1|0|0.95|0|0.9|0|0.8|0|0.65|0|0.5|0|0.35|0|0|0.035|0|0.035|0.09|0|0.27|0|0.5700000000000001|0|0.9750000000000001|0|1.275|0|1.5|0|1.5|0|1.4249999999999998|0|1.35|0|1.2000000000000002|0|0.9750000000000001|0|0.75|0|0.5249999999999999|0|0.30000000000000004|0|0.18|0|0.10500000000000001|0|0.045|0|0|0.028|0|0.028|0|0|0|0|0|0|0|0|0.048|0|0.144|0|0.30400000000000005|0|0.52|0|0.68|0|0.8|0|0.8|0|0.76|0|0.7200000000000001|0|0.6400000000000001|0|0.52|0|0.4|0|0.27999999999999997|0|0|0.035|0|0.035|0|0|0|0|0|0|0|0|0.09|0|0.27|0|0.5700000000000001|0|0.9750000000000001|0|1.275|0|1.5|0|1.5|0|1.4249999999999998|0|1.35|0|1.2000000000000002|0|0.9750000000000001|0|0.75|0|0.5249999999999999|0|0|0.08|0|0.08|0|0.06|0|0|0|0|0.03|0|0.09|0|0.19|0|0.325|0|0.425|0|0.5|0|0.5|0|0.475|0|0.45|0|0.4|0|0.325|0|0.25|0|0.175|0|0.1|0|0|0.06|0|0.06|0|0.04|0|0|0|0|0|0|0.024|0|0.072|0|0.15200000000000002|0|0.26|0|0.34|0|0.4|0|0.4|0|0.38|0|0.36000000000000004|0|0.32000000000000006|0|0.26|0|0.2|0|0.13999999999999999|0|0|0.005|0|0|0|0|0|0|0|0|0.03|0|0.09|0|0.19|0|0.325|0|0.425|0|0.5|0|0.5|0|0.475|0|0.45|0|0.4|0|0.325|0|0.25|0|0.175|0|0.1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0.04|0.35|0.85|0.7|0|0|0.8|0.9|0.02|0.1|0.85|1|0|0|0.8|0.9|0.03|0.15|0.83|1|0|0|0.8|0.9|0|0|0.8|0.9</x:v>
      </x:c>
    </x:row>
    <x:row r="410" ht="23" customHeight="1">
      <x:c r="A410" s="11" t="str">
        <x:v>02162.HK</x:v>
      </x:c>
      <x:c r="B410" s="11" t="str">
        <x:v>康诺亚-B</x:v>
      </x:c>
      <x:c r="C410" s="11" t="str">
        <x:v>五年</x:v>
      </x:c>
      <x:c r="D410" s="11" t="str">
        <x:v>基准</x:v>
      </x:c>
      <x:c r="E410" s="11" t="n">
        <x:v>78.3</x:v>
      </x:c>
      <x:c r="F410" s="11" t="n">
        <x:v>91.56120647580155</x:v>
      </x:c>
      <x:c r="G410" s="11" t="n">
        <x:v>0</x:v>
      </x:c>
      <x:c r="H410" s="25" t="n">
        <x:v>0.16936406737933019</x:v>
      </x:c>
      <x:c r="I410" s="25" t="n">
        <x:v>0.16936406737933019</x:v>
      </x:c>
      <x:c r="J410" s="25" t="n">
        <x:v>0.031786755847793335</x:v>
      </x:c>
      <x:c r="K410" s="11" t="n">
        <x:v>0</x:v>
      </x:c>
      <x:c r="L410" s="11" t="n">
        <x:v>0</x:v>
      </x:c>
      <x:c r="M410" s="11" t="n">
        <x:v>1.1</x:v>
      </x:c>
      <x:c r="N410" s="11" t="n">
        <x:v>0</x:v>
      </x:c>
      <x:c r="O410" s="11" t="n">
        <x:v>0</x:v>
      </x:c>
      <x:c r="P410" s="11" t="n">
        <x:v>0</x:v>
      </x:c>
      <x:c r="Q410" s="11" t="n">
        <x:v>0.38</x:v>
      </x:c>
      <x:c r="R410" s="11" t="str">
        <x:v>keymed-v2-finite-assets-prorated-short-recognition</x:v>
      </x:c>
      <x:c r="S410" s="11" t="str">
        <x:v>2026-10-10</x:v>
      </x:c>
      <x:c r="T410" s="11" t="str">
        <x:f>IF(AND(SUM(IF(K410='假设'!E545,0,1),IF(L410='假设'!F545,0,1),IF(M410='假设'!G545,0,1),IF(N410='假设'!H545,0,1),IF(O410='假设'!I545,0,1),IF(P410='假设'!J545,0,1),IF(Q410='假设'!K545,0,1))=0,U410=V410),"已刷新","待刷新")</x:f>
        <x:v>已刷新</x:v>
      </x:c>
      <x:c r="U410" t="str">
        <x:v>1|4.5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  <x:c r="V410" t="str">
        <x:f>'假设'!U545&amp;"|"&amp;'假设'!N545&amp;"|"&amp;'假设'!Q545&amp;"|"&amp;'管线假设'!E985&amp;"|"&amp;'管线假设'!F985&amp;"|"&amp;'管线假设'!G985&amp;"|"&amp;'管线假设'!H985&amp;"|"&amp;'管线假设'!I985&amp;"|"&amp;'管线假设'!E989&amp;"|"&amp;'管线假设'!F989&amp;"|"&amp;'管线假设'!G989&amp;"|"&amp;'管线假设'!H989&amp;"|"&amp;'管线假设'!I989&amp;"|"&amp;'管线假设'!E993&amp;"|"&amp;'管线假设'!F993&amp;"|"&amp;'管线假设'!G993&amp;"|"&amp;'管线假设'!H993&amp;"|"&amp;'管线假设'!I993&amp;"|"&amp;'管线假设'!E997&amp;"|"&amp;'管线假设'!F997&amp;"|"&amp;'管线假设'!G997&amp;"|"&amp;'管线假设'!H997&amp;"|"&amp;'管线假设'!I997&amp;"|"&amp;'管线假设'!E1001&amp;"|"&amp;'管线假设'!F1001&amp;"|"&amp;'管线假设'!G1001&amp;"|"&amp;'管线假设'!H1001&amp;"|"&amp;'管线假设'!I1001&amp;"|"&amp;'管线假设'!E1005&amp;"|"&amp;'管线假设'!F1005&amp;"|"&amp;'管线假设'!G1005&amp;"|"&amp;'管线假设'!H1005&amp;"|"&amp;'管线假设'!I1005&amp;"|"&amp;'管线假设'!E1009&amp;"|"&amp;'管线假设'!F1009&amp;"|"&amp;'管线假设'!G1009&amp;"|"&amp;'管线假设'!H1009&amp;"|"&amp;'管线假设'!I1009&amp;"|"&amp;'管线假设'!E1013&amp;"|"&amp;'管线假设'!F1013&amp;"|"&amp;'管线假设'!G1013&amp;"|"&amp;'管线假设'!H1013&amp;"|"&amp;'管线假设'!I1013&amp;"|"&amp;'管线假设'!E1017&amp;"|"&amp;'管线假设'!F1017&amp;"|"&amp;'管线假设'!G1017&amp;"|"&amp;'管线假设'!H1017&amp;"|"&amp;'管线假设'!I1017&amp;"|"&amp;'管线假设'!E1021&amp;"|"&amp;'管线假设'!F1021&amp;"|"&amp;'管线假设'!G1021&amp;"|"&amp;'管线假设'!H1021&amp;"|"&amp;'管线假设'!I1021&amp;"|"&amp;'管线假设'!E1025&amp;"|"&amp;'管线假设'!F1025&amp;"|"&amp;'管线假设'!G1025&amp;"|"&amp;'管线假设'!H1025&amp;"|"&amp;'管线假设'!I1025&amp;"|"&amp;'管线现金流'!I4558&amp;"|"&amp;'管线现金流'!AK4558&amp;"|"&amp;'管线现金流'!I4559&amp;"|"&amp;'管线现金流'!AK4559&amp;"|"&amp;'管线现金流'!I4560&amp;"|"&amp;'管线现金流'!AK4560&amp;"|"&amp;'管线现金流'!I4561&amp;"|"&amp;'管线现金流'!AK4561&amp;"|"&amp;'管线现金流'!I4562&amp;"|"&amp;'管线现金流'!AK4562&amp;"|"&amp;'管线现金流'!I4563&amp;"|"&amp;'管线现金流'!AK4563&amp;"|"&amp;'管线现金流'!I4564&amp;"|"&amp;'管线现金流'!AK4564&amp;"|"&amp;'管线现金流'!I4565&amp;"|"&amp;'管线现金流'!AK4565&amp;"|"&amp;'管线现金流'!I4566&amp;"|"&amp;'管线现金流'!AK4566&amp;"|"&amp;'管线现金流'!I4567&amp;"|"&amp;'管线现金流'!AK4567&amp;"|"&amp;'管线现金流'!I4568&amp;"|"&amp;'管线现金流'!AK4568&amp;"|"&amp;'管线现金流'!I4569&amp;"|"&amp;'管线现金流'!AK4569&amp;"|"&amp;'管线现金流'!I4570&amp;"|"&amp;'管线现金流'!AK4570&amp;"|"&amp;'管线现金流'!I4571&amp;"|"&amp;'管线现金流'!AK4571&amp;"|"&amp;'管线现金流'!I4572&amp;"|"&amp;'管线现金流'!AK4572&amp;"|"&amp;'管线现金流'!I4573&amp;"|"&amp;'管线现金流'!AK4573&amp;"|"&amp;'管线现金流'!I4574&amp;"|"&amp;'管线现金流'!AK4574&amp;"|"&amp;'管线现金流'!I4575&amp;"|"&amp;'管线现金流'!AK4575&amp;"|"&amp;'管线现金流'!I4576&amp;"|"&amp;'管线现金流'!AK4576&amp;"|"&amp;'管线现金流'!I4577&amp;"|"&amp;'管线现金流'!AK4577&amp;"|"&amp;'管线现金流'!I4578&amp;"|"&amp;'管线现金流'!AK4578&amp;"|"&amp;'管线现金流'!I4579&amp;"|"&amp;'管线现金流'!AK4579&amp;"|"&amp;'管线现金流'!I4580&amp;"|"&amp;'管线现金流'!AK4580&amp;"|"&amp;'管线现金流'!I4581&amp;"|"&amp;'管线现金流'!AK4581&amp;"|"&amp;'管线现金流'!I4582&amp;"|"&amp;'管线现金流'!AK4582&amp;"|"&amp;'管线现金流'!I4583&amp;"|"&amp;'管线现金流'!AK4583&amp;"|"&amp;'管线现金流'!I4584&amp;"|"&amp;'管线现金流'!AK4584&amp;"|"&amp;'管线现金流'!I4585&amp;"|"&amp;'管线现金流'!AK4585&amp;"|"&amp;'管线现金流'!I4586&amp;"|"&amp;'管线现金流'!AK4586&amp;"|"&amp;'管线现金流'!I4587&amp;"|"&amp;'管线现金流'!AK4587&amp;"|"&amp;'管线现金流'!I4588&amp;"|"&amp;'管线现金流'!AK4588&amp;"|"&amp;'管线现金流'!I4589&amp;"|"&amp;'管线现金流'!AK4589&amp;"|"&amp;'管线现金流'!I4590&amp;"|"&amp;'管线现金流'!AK4590&amp;"|"&amp;'管线现金流'!I4591&amp;"|"&amp;'管线现金流'!AK4591&amp;"|"&amp;'管线现金流'!I4592&amp;"|"&amp;'管线现金流'!AK4592&amp;"|"&amp;'管线现金流'!I4593&amp;"|"&amp;'管线现金流'!AK4593&amp;"|"&amp;'管线现金流'!I4594&amp;"|"&amp;'管线现金流'!AK4594&amp;"|"&amp;'管线现金流'!I4595&amp;"|"&amp;'管线现金流'!AK4595&amp;"|"&amp;'管线现金流'!I4596&amp;"|"&amp;'管线现金流'!AK4596&amp;"|"&amp;'管线现金流'!I4597&amp;"|"&amp;'管线现金流'!AK4597&amp;"|"&amp;'管线现金流'!I4598&amp;"|"&amp;'管线现金流'!AK4598&amp;"|"&amp;'管线现金流'!I4599&amp;"|"&amp;'管线现金流'!AK4599&amp;"|"&amp;'管线现金流'!I4600&amp;"|"&amp;'管线现金流'!AK4600&amp;"|"&amp;'管线现金流'!I4601&amp;"|"&amp;'管线现金流'!AK4601&amp;"|"&amp;'管线现金流'!I4602&amp;"|"&amp;'管线现金流'!AK4602&amp;"|"&amp;'管线现金流'!I4603&amp;"|"&amp;'管线现金流'!AK4603&amp;"|"&amp;'管线现金流'!I4604&amp;"|"&amp;'管线现金流'!AK4604&amp;"|"&amp;'管线现金流'!I4605&amp;"|"&amp;'管线现金流'!AK4605&amp;"|"&amp;'管线现金流'!I4606&amp;"|"&amp;'管线现金流'!AK4606&amp;"|"&amp;'管线现金流'!I4607&amp;"|"&amp;'管线现金流'!AK4607&amp;"|"&amp;'管线现金流'!I4608&amp;"|"&amp;'管线现金流'!AK4608&amp;"|"&amp;'管线现金流'!I4609&amp;"|"&amp;'管线现金流'!AK4609&amp;"|"&amp;'管线现金流'!I4610&amp;"|"&amp;'管线现金流'!AK4610&amp;"|"&amp;'管线现金流'!I4611&amp;"|"&amp;'管线现金流'!AK4611&amp;"|"&amp;'管线现金流'!I4612&amp;"|"&amp;'管线现金流'!AK4612&amp;"|"&amp;'管线现金流'!I4613&amp;"|"&amp;'管线现金流'!AK4613&amp;"|"&amp;'管线现金流'!I4614&amp;"|"&amp;'管线现金流'!AK4614&amp;"|"&amp;'管线现金流'!I4615&amp;"|"&amp;'管线现金流'!AK4615&amp;"|"&amp;'管线现金流'!I4616&amp;"|"&amp;'管线现金流'!AK4616&amp;"|"&amp;'管线现金流'!I4617&amp;"|"&amp;'管线现金流'!AK4617&amp;"|"&amp;'管线现金流'!I4618&amp;"|"&amp;'管线现金流'!AK4618&amp;"|"&amp;'管线现金流'!I4619&amp;"|"&amp;'管线现金流'!AK4619&amp;"|"&amp;'管线现金流'!I4620&amp;"|"&amp;'管线现金流'!AK4620&amp;"|"&amp;'管线现金流'!I4621&amp;"|"&amp;'管线现金流'!AK4621&amp;"|"&amp;'管线现金流'!I4622&amp;"|"&amp;'管线现金流'!AK4622&amp;"|"&amp;'管线现金流'!I4623&amp;"|"&amp;'管线现金流'!AK4623&amp;"|"&amp;'管线现金流'!I4624&amp;"|"&amp;'管线现金流'!AK4624&amp;"|"&amp;'管线现金流'!I4625&amp;"|"&amp;'管线现金流'!AK4625&amp;"|"&amp;'管线现金流'!I4626&amp;"|"&amp;'管线现金流'!AK4626&amp;"|"&amp;'管线现金流'!I4627&amp;"|"&amp;'管线现金流'!AK4627&amp;"|"&amp;'管线现金流'!I4628&amp;"|"&amp;'管线现金流'!AK4628&amp;"|"&amp;'管线现金流'!I4629&amp;"|"&amp;'管线现金流'!AK4629&amp;"|"&amp;'管线现金流'!I4630&amp;"|"&amp;'管线现金流'!AK4630&amp;"|"&amp;'管线现金流'!I4631&amp;"|"&amp;'管线现金流'!AK4631&amp;"|"&amp;'管线现金流'!I4632&amp;"|"&amp;'管线现金流'!AK4632&amp;"|"&amp;'管线现金流'!I4633&amp;"|"&amp;'管线现金流'!AK4633&amp;"|"&amp;'管线现金流'!I4634&amp;"|"&amp;'管线现金流'!AK4634&amp;"|"&amp;'管线现金流'!I4635&amp;"|"&amp;'管线现金流'!AK4635&amp;"|"&amp;'管线现金流'!I4636&amp;"|"&amp;'管线现金流'!AK4636&amp;"|"&amp;'管线现金流'!I4637&amp;"|"&amp;'管线现金流'!AK4637&amp;"|"&amp;'管线现金流'!I4638&amp;"|"&amp;'管线现金流'!AK4638&amp;"|"&amp;'管线现金流'!I4639&amp;"|"&amp;'管线现金流'!AK4639&amp;"|"&amp;'管线现金流'!I4640&amp;"|"&amp;'管线现金流'!AK4640&amp;"|"&amp;'管线现金流'!I4641&amp;"|"&amp;'管线现金流'!AK4641&amp;"|"&amp;'管线现金流'!I4642&amp;"|"&amp;'管线现金流'!AK4642&amp;"|"&amp;'管线现金流'!I4643&amp;"|"&amp;'管线现金流'!AK4643&amp;"|"&amp;'管线现金流'!I4644&amp;"|"&amp;'管线现金流'!AK4644&amp;"|"&amp;'管线现金流'!I4645&amp;"|"&amp;'管线现金流'!AK4645&amp;"|"&amp;'管线现金流'!I4646&amp;"|"&amp;'管线现金流'!AK4646&amp;"|"&amp;'管线现金流'!I4647&amp;"|"&amp;'管线现金流'!AK4647&amp;"|"&amp;'管线现金流'!I4648&amp;"|"&amp;'管线现金流'!AK4648&amp;"|"&amp;'管线现金流'!I4649&amp;"|"&amp;'管线现金流'!AK4649&amp;"|"&amp;'管线现金流'!I4650&amp;"|"&amp;'管线现金流'!AK4650&amp;"|"&amp;'管线现金流'!I4651&amp;"|"&amp;'管线现金流'!AK4651&amp;"|"&amp;'管线现金流'!I4652&amp;"|"&amp;'管线现金流'!AK4652&amp;"|"&amp;'管线现金流'!I4653&amp;"|"&amp;'管线现金流'!AK4653&amp;"|"&amp;'管线现金流'!I4654&amp;"|"&amp;'管线现金流'!AK4654&amp;"|"&amp;'管线现金流'!I4655&amp;"|"&amp;'管线现金流'!AK4655&amp;"|"&amp;'管线现金流'!I4656&amp;"|"&amp;'管线现金流'!AK4656&amp;"|"&amp;'管线现金流'!I4657&amp;"|"&amp;'管线现金流'!AK4657&amp;"|"&amp;'管线现金流'!I4658&amp;"|"&amp;'管线现金流'!AK4658&amp;"|"&amp;'管线现金流'!I4659&amp;"|"&amp;'管线现金流'!AK4659&amp;"|"&amp;'管线现金流'!I4660&amp;"|"&amp;'管线现金流'!AK4660&amp;"|"&amp;'管线现金流'!I4661&amp;"|"&amp;'管线现金流'!AK4661&amp;"|"&amp;'管线现金流'!I4662&amp;"|"&amp;'管线现金流'!AK4662&amp;"|"&amp;'管线现金流'!I4663&amp;"|"&amp;'管线现金流'!AK4663&amp;"|"&amp;'管线现金流'!I4664&amp;"|"&amp;'管线现金流'!AK4664&amp;"|"&amp;'管线现金流'!I4665&amp;"|"&amp;'管线现金流'!AK4665&amp;"|"&amp;'管线现金流'!I4666&amp;"|"&amp;'管线现金流'!AK4666&amp;"|"&amp;'管线现金流'!I4667&amp;"|"&amp;'管线现金流'!AK4667&amp;"|"&amp;'管线现金流'!I4668&amp;"|"&amp;'管线现金流'!AK4668&amp;"|"&amp;'管线现金流'!I4669&amp;"|"&amp;'管线现金流'!AK4669&amp;"|"&amp;'管线现金流'!I4670&amp;"|"&amp;'管线现金流'!AK4670&amp;"|"&amp;'管线现金流'!I4671&amp;"|"&amp;'管线现金流'!AK4671&amp;"|"&amp;'管线现金流'!I4672&amp;"|"&amp;'管线现金流'!AK4672&amp;"|"&amp;'管线现金流'!I4673&amp;"|"&amp;'管线现金流'!AK4673&amp;"|"&amp;'管线现金流'!I4674&amp;"|"&amp;'管线现金流'!AK4674&amp;"|"&amp;'管线现金流'!I4675&amp;"|"&amp;'管线现金流'!AK4675&amp;"|"&amp;'管线现金流'!I4676&amp;"|"&amp;'管线现金流'!AK4676&amp;"|"&amp;'管线现金流'!I4677&amp;"|"&amp;'管线现金流'!AK4677&amp;"|"&amp;'管线现金流'!I4678&amp;"|"&amp;'管线现金流'!AK4678&amp;"|"&amp;'管线现金流'!I4679&amp;"|"&amp;'管线现金流'!AK4679&amp;"|"&amp;'管线现金流'!I4680&amp;"|"&amp;'管线现金流'!AK4680&amp;"|"&amp;'管线现金流'!I4681&amp;"|"&amp;'管线现金流'!AK4681&amp;"|"&amp;'管线现金流'!I4682&amp;"|"&amp;'管线现金流'!AK4682&amp;"|"&amp;'管线现金流'!I4683&amp;"|"&amp;'管线现金流'!AK4683&amp;"|"&amp;'管线现金流'!I4684&amp;"|"&amp;'管线现金流'!AK4684&amp;"|"&amp;'管线现金流'!I4685&amp;"|"&amp;'管线现金流'!AK4685&amp;"|"&amp;'管线现金流'!I4686&amp;"|"&amp;'管线现金流'!AK4686&amp;"|"&amp;'管线现金流'!I4687&amp;"|"&amp;'管线现金流'!AK4687&amp;"|"&amp;'管线现金流'!I4688&amp;"|"&amp;'管线现金流'!AK4688&amp;"|"&amp;'管线现金流'!I4689&amp;"|"&amp;'管线现金流'!AK4689&amp;"|"&amp;'管线现金流'!I4690&amp;"|"&amp;'管线现金流'!AK4690&amp;"|"&amp;'管线现金流'!I4691&amp;"|"&amp;'管线现金流'!AK4691&amp;"|"&amp;'管线现金流'!I4692&amp;"|"&amp;'管线现金流'!AK4692&amp;"|"&amp;'管线现金流'!I4693&amp;"|"&amp;'管线现金流'!AK4693&amp;"|"&amp;'管线现金流'!I4694&amp;"|"&amp;'管线现金流'!AK4694&amp;"|"&amp;'管线现金流'!I4695&amp;"|"&amp;'管线现金流'!AK4695&amp;"|"&amp;'管线现金流'!I4696&amp;"|"&amp;'管线现金流'!AK4696&amp;"|"&amp;'管线现金流'!I4697&amp;"|"&amp;'管线现金流'!AK4697&amp;"|"&amp;'管线现金流'!I4698&amp;"|"&amp;'管线现金流'!AK4698&amp;"|"&amp;'管线现金流'!I4699&amp;"|"&amp;'管线现金流'!AK4699&amp;"|"&amp;'管线现金流'!I4700&amp;"|"&amp;'管线现金流'!AK4700&amp;"|"&amp;'管线现金流'!I4701&amp;"|"&amp;'管线现金流'!AK4701&amp;"|"&amp;'管线现金流'!I4702&amp;"|"&amp;'管线现金流'!AK4702&amp;"|"&amp;'管线现金流'!I4703&amp;"|"&amp;'管线现金流'!AK4703&amp;"|"&amp;'管线现金流'!I4704&amp;"|"&amp;'管线现金流'!AK4704&amp;"|"&amp;'管线现金流'!I4705&amp;"|"&amp;'管线现金流'!AK4705&amp;"|"&amp;'管线现金流'!I4706&amp;"|"&amp;'管线现金流'!AK4706&amp;"|"&amp;'管线现金流'!I4707&amp;"|"&amp;'管线现金流'!AK4707&amp;"|"&amp;'管线现金流'!I4708&amp;"|"&amp;'管线现金流'!AK4708&amp;"|"&amp;'管线现金流'!I4709&amp;"|"&amp;'管线现金流'!AK4709&amp;"|"&amp;'管线现金流'!I4710&amp;"|"&amp;'管线现金流'!AK4710&amp;"|"&amp;'管线现金流'!I4711&amp;"|"&amp;'管线现金流'!AK4711&amp;"|"&amp;'管线现金流'!I4712&amp;"|"&amp;'管线现金流'!AK4712&amp;"|"&amp;'管线现金流'!I4713&amp;"|"&amp;'管线现金流'!AK4713&amp;"|"&amp;'管线现金流'!I4714&amp;"|"&amp;'管线现金流'!AK4714&amp;"|"&amp;'管线现金流'!I4715&amp;"|"&amp;'管线现金流'!AK4715&amp;"|"&amp;'管线现金流'!I4716&amp;"|"&amp;'管线现金流'!AK4716&amp;"|"&amp;'管线现金流'!I4717&amp;"|"&amp;'管线现金流'!AK4717&amp;"|"&amp;'管线现金流'!I4718&amp;"|"&amp;'管线现金流'!AK4718&amp;"|"&amp;'管线现金流'!I4719&amp;"|"&amp;'管线现金流'!AK4719&amp;"|"&amp;'管线现金流'!I4720&amp;"|"&amp;'管线现金流'!AK4720&amp;"|"&amp;'管线现金流'!I4721&amp;"|"&amp;'管线现金流'!AK4721&amp;"|"&amp;'管线现金流'!I4722&amp;"|"&amp;'管线现金流'!AK4722&amp;"|"&amp;'管线现金流'!I4723&amp;"|"&amp;'管线现金流'!AK4723&amp;"|"&amp;'管线现金流'!I4724&amp;"|"&amp;'管线现金流'!AK4724&amp;"|"&amp;'管线现金流'!I4725&amp;"|"&amp;'管线现金流'!AK4725&amp;"|"&amp;'管线现金流'!I4726&amp;"|"&amp;'管线现金流'!AK4726&amp;"|"&amp;'管线现金流'!I4727&amp;"|"&amp;'管线现金流'!AK4727&amp;"|"&amp;'管线现金流'!I4728&amp;"|"&amp;'管线现金流'!AK4728&amp;"|"&amp;'管线现金流'!I4729&amp;"|"&amp;'管线现金流'!AK4729&amp;"|"&amp;'管线现金流'!I4730&amp;"|"&amp;'管线现金流'!AK4730&amp;"|"&amp;'管线现金流'!I4731&amp;"|"&amp;'管线现金流'!AK4731&amp;"|"&amp;'管线现金流'!I4732&amp;"|"&amp;'管线现金流'!AK4732&amp;"|"&amp;'管线现金流'!I4733&amp;"|"&amp;'管线现金流'!AK4733&amp;"|"&amp;'管线现金流'!I4734&amp;"|"&amp;'管线现金流'!AK4734&amp;"|"&amp;'管线现金流'!I4735&amp;"|"&amp;'管线现金流'!AK4735&amp;"|"&amp;'管线现金流'!I4736&amp;"|"&amp;'管线现金流'!AK4736&amp;"|"&amp;'管线现金流'!I4737&amp;"|"&amp;'管线现金流'!AK4737&amp;"|"&amp;'管线现金流'!I4738&amp;"|"&amp;'管线现金流'!AK4738&amp;"|"&amp;'管线现金流'!I4739&amp;"|"&amp;'管线现金流'!AK4739&amp;"|"&amp;'管线现金流'!I4740&amp;"|"&amp;'管线现金流'!AK4740&amp;"|"&amp;'管线现金流'!I4741&amp;"|"&amp;'管线现金流'!AK4741&amp;"|"&amp;'管线现金流'!I4742&amp;"|"&amp;'管线现金流'!AK4742&amp;"|"&amp;'管线现金流'!I4743&amp;"|"&amp;'管线现金流'!AK4743&amp;"|"&amp;'管线现金流'!I4744&amp;"|"&amp;'管线现金流'!AK4744&amp;"|"&amp;'管线现金流'!I4745&amp;"|"&amp;'管线现金流'!AK4745&amp;"|"&amp;'管线现金流'!I4746&amp;"|"&amp;'管线现金流'!AK4746&amp;"|"&amp;'管线现金流'!I4747&amp;"|"&amp;'管线现金流'!AK4747&amp;"|"&amp;'管线现金流'!I4748&amp;"|"&amp;'管线现金流'!AK4748&amp;"|"&amp;'管线现金流'!I4749&amp;"|"&amp;'管线现金流'!AK4749&amp;"|"&amp;'管线现金流'!I4750&amp;"|"&amp;'管线现金流'!AK4750&amp;"|"&amp;'管线现金流'!I4751&amp;"|"&amp;'管线现金流'!AK4751&amp;"|"&amp;'管线现金流'!I4752&amp;"|"&amp;'管线现金流'!AK4752&amp;"|"&amp;'管线现金流'!I4753&amp;"|"&amp;'管线现金流'!AK4753&amp;"|"&amp;'管线现金流'!I4754&amp;"|"&amp;'管线现金流'!AK4754&amp;"|"&amp;'管线现金流'!I4755&amp;"|"&amp;'管线现金流'!AK4755&amp;"|"&amp;'管线现金流'!I4756&amp;"|"&amp;'管线现金流'!AK4756&amp;"|"&amp;'管线现金流'!I4757&amp;"|"&amp;'管线现金流'!AK4757&amp;"|"&amp;'管线现金流'!I4758&amp;"|"&amp;'管线现金流'!AK4758&amp;"|"&amp;'管线现金流'!I4759&amp;"|"&amp;'管线现金流'!AK4759&amp;"|"&amp;'管线现金流'!I4760&amp;"|"&amp;'管线现金流'!AK4760&amp;"|"&amp;'管线现金流'!I4761&amp;"|"&amp;'管线现金流'!AK4761&amp;"|"&amp;'管线现金流'!I4762&amp;"|"&amp;'管线现金流'!AK4762&amp;"|"&amp;'管线现金流'!I4763&amp;"|"&amp;'管线现金流'!AK4763&amp;"|"&amp;'管线现金流'!I4764&amp;"|"&amp;'管线现金流'!AK4764&amp;"|"&amp;'管线现金流'!I4765&amp;"|"&amp;'管线现金流'!AK4765&amp;"|"&amp;'管线现金流'!I4766&amp;"|"&amp;'管线现金流'!AK4766&amp;"|"&amp;'管线现金流'!V73&amp;"|"&amp;'管线现金流'!Y73&amp;"|"&amp;'管线现金流'!AP73&amp;"|"&amp;'管线现金流'!AS73&amp;"|"&amp;'管线现金流'!V74&amp;"|"&amp;'管线现金流'!Y74&amp;"|"&amp;'管线现金流'!AP74&amp;"|"&amp;'管线现金流'!AS74&amp;"|"&amp;'管线现金流'!V75&amp;"|"&amp;'管线现金流'!Y75&amp;"|"&amp;'管线现金流'!AP75&amp;"|"&amp;'管线现金流'!AS75&amp;"|"&amp;'管线现金流'!V76&amp;"|"&amp;'管线现金流'!Y76&amp;"|"&amp;'管线现金流'!AP76&amp;"|"&amp;'管线现金流'!AS76&amp;"|"&amp;'管线现金流'!V77&amp;"|"&amp;'管线现金流'!Y77&amp;"|"&amp;'管线现金流'!AP77&amp;"|"&amp;'管线现金流'!AS77&amp;"|"&amp;'管线现金流'!V78&amp;"|"&amp;'管线现金流'!Y78&amp;"|"&amp;'管线现金流'!AP78&amp;"|"&amp;'管线现金流'!AS78&amp;"|"&amp;'管线现金流'!V79&amp;"|"&amp;'管线现金流'!Y79&amp;"|"&amp;'管线现金流'!AP79&amp;"|"&amp;'管线现金流'!AS79&amp;"|"&amp;'管线现金流'!V80&amp;"|"&amp;'管线现金流'!Y80&amp;"|"&amp;'管线现金流'!AP80&amp;"|"&amp;'管线现金流'!AS80&amp;"|"&amp;'管线现金流'!V81&amp;"|"&amp;'管线现金流'!Y81&amp;"|"&amp;'管线现金流'!AP81&amp;"|"&amp;'管线现金流'!AS81</x:f>
        <x:v>1|4.5|0|0.97|0.45|1|0.14|7|0.7|0.45|1|0.14|7|0.5|0.5|1|0.14|7|0.3|0.48|1|0.14|7|0.75|0.09839999999999999|0.7|0.14|7|0.35|0.09839999999999999|0.7|0.14|7|0.25|0.09129999999999999|1|0.14|7|0.4|0.45|1|0.14|7|0.3|0.45|1|0.14|7|0.45|0.083|1|0.14|7|1|0|1|0.14|7|0.85|0.03|1.35|0.03|1.9|0.03|2.6|0.03|3.25|0.03|3.9|0|4.4|0|4.8|0|5|0|5|0|4.9|0|4.6|0|4.2|0|3.6|0|2.9|0|2.2|0|1.5|0|0.9|0|0.5|0|0|0.05|0.06|0.04|0.18|0.02|0.38|0|0.65|0|0.85|0|1|0|1|0|0.95|0|0.9|0|0.8|0|0.65|0|0.5|0|0.35|0|0.2|0|0.12|0|0.07|0|0.03|0|0.03|0|0|0.06|0|0.1|0|0.13|0.21|0.1|0.63|0.04|1.33|0|2.275|0|2.975|0|3.5|0|3.5|0|3.3249999999999997|0|3.15|0|2.8000000000000003|0|2.275|0|1.75|0|1.2249999999999999|0|0.7000000000000001|0|0.42|0|0.24500000000000002|0|0|0.1|0|0.18|0|0.24|0|0.22|0.24|0.12|0.72|0|1.52|0|2.6|0|3.4|0|4|0|4|0|3.8|0|3.6|0|3.2|0|2.6|0|2|0|1.4|0|0.8|0|0.48|0|0|0.056|0.18|0.056|0.54|0|1.1400000000000001|0|1.9500000000000002|0|2.55|0|3|0|3|0|2.8499999999999996|0|2.7|0|2.4000000000000004|0|1.9500000000000002|0|1.5|0|1.0499999999999998|0|0.6000000000000001|0|0.36|0|0.21000000000000002|0|0.09|0|0.09|0|0|0.042|0|0.042|0|0|0|0|0.15|0|0.44999999999999996|0|0.95|0|1.625|0|2.125|0|2.5|0|2.5|0|2.375|0|2.25|0|2|0|1.625|0|1.25|0|0.875|0|0.5|0|0.3|0|0|0.084|0|0.084|0|0|0|0|0.24|0|0.72|0|1.52|0|2.6|0|3.4|0|4|0|4|0|3.8|0|3.6|0|3.2|0|2.6|0|2|0|1.4|0|0.8|0|0.48|0|0|0.12|0|0.15|0|0.14|0.09|0.07|0.27|0|0.5700000000000001|0|0.9750000000000001|0|1.275|0|1.5|0|1.5|0|1.4249999999999998|0|1.35|0|1.2000000000000002|0|0.9750000000000001|0|0.75|0|0.5249999999999999|0|0.30000000000000004|0|0.18|0|0.10500000000000001|0|0|0.1|0|0.13|0|0.13|0|0.07|0.072|0|0.216|0|0.45599999999999996|0|0.78|0|1.02|0|1.2|0|1.2|0|1.14|0|1.08|0|0.96|0|0.78|0|0.6|0|0.42|0|0.24|0|0.144|0|0|0.01|0|0|0|0|0.09|0|0.27|0|0.5700000000000001|0|0.9750000000000001|0|1.275|0|1.5|0|1.5|0|1.4249999999999998|0|1.35|0|1.2000000000000002|0|0.9750000000000001|0|0.75|0|0.5249999999999999|0|0.30000000000000004|0|0.18|0|0.10500000000000001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0.06|0.65|0.85|0.7|0.06|0.25|0.85|1|0|0|0.8|0.9|0.04|0.35|0.83|1|0|0|0.8|0.9|0.1|0.35|0.85|0.7|0|0|0.8|0.9|0.03|0.25|0.83|1|0.1|0.18|0.85|1</x:v>
      </x:c>
    </x:row>
    <x:row r="411" ht="23" customHeight="1">
      <x:c r="A411" s="11" t="str">
        <x:v>02162.HK</x:v>
      </x:c>
      <x:c r="B411" s="11" t="str">
        <x:v>康诺亚-B</x:v>
      </x:c>
      <x:c r="C411" s="11" t="str">
        <x:v>五年</x:v>
      </x:c>
      <x:c r="D411" s="11" t="str">
        <x:v>乐观</x:v>
      </x:c>
      <x:c r="E411" s="11" t="n">
        <x:v>78.3</x:v>
      </x:c>
      <x:c r="F411" s="11" t="n">
        <x:v>315.4145221455877</x:v>
      </x:c>
      <x:c r="G411" s="11" t="n">
        <x:v>0</x:v>
      </x:c>
      <x:c r="H411" s="25" t="n">
        <x:v>3.02828253059499</x:v>
      </x:c>
      <x:c r="I411" s="25" t="n">
        <x:v>3.02828253059499</x:v>
      </x:c>
      <x:c r="J411" s="25" t="n">
        <x:v>0.3213686068121424</x:v>
      </x:c>
      <x:c r="K411" s="11" t="n">
        <x:v>0</x:v>
      </x:c>
      <x:c r="L411" s="11" t="n">
        <x:v>0</x:v>
      </x:c>
      <x:c r="M411" s="11" t="n">
        <x:v>1.1</x:v>
      </x:c>
      <x:c r="N411" s="11" t="n">
        <x:v>0</x:v>
      </x:c>
      <x:c r="O411" s="11" t="n">
        <x:v>0</x:v>
      </x:c>
      <x:c r="P411" s="11" t="n">
        <x:v>0</x:v>
      </x:c>
      <x:c r="Q411" s="11" t="n">
        <x:v>0.345</x:v>
      </x:c>
      <x:c r="R411" s="11" t="str">
        <x:v>keymed-v2-finite-assets-prorated-short-recognition</x:v>
      </x:c>
      <x:c r="S411" s="11" t="str">
        <x:v>2026-10-10</x:v>
      </x:c>
      <x:c r="T411" s="11" t="str">
        <x:f>IF(AND(SUM(IF(K411='假设'!E546,0,1),IF(L411='假设'!F546,0,1),IF(M411='假设'!G546,0,1),IF(N411='假设'!H546,0,1),IF(O411='假设'!I546,0,1),IF(P411='假设'!J546,0,1),IF(Q411='假设'!K546,0,1))=0,U411=V411),"已刷新","待刷新")</x:f>
        <x:v>已刷新</x:v>
      </x:c>
      <x:c r="U411" t="str">
        <x:v>1|9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  <x:c r="V411" t="str">
        <x:f>'假设'!U546&amp;"|"&amp;'假设'!N546&amp;"|"&amp;'假设'!Q546&amp;"|"&amp;'管线假设'!E986&amp;"|"&amp;'管线假设'!F986&amp;"|"&amp;'管线假设'!G986&amp;"|"&amp;'管线假设'!H986&amp;"|"&amp;'管线假设'!I986&amp;"|"&amp;'管线假设'!E990&amp;"|"&amp;'管线假设'!F990&amp;"|"&amp;'管线假设'!G990&amp;"|"&amp;'管线假设'!H990&amp;"|"&amp;'管线假设'!I990&amp;"|"&amp;'管线假设'!E994&amp;"|"&amp;'管线假设'!F994&amp;"|"&amp;'管线假设'!G994&amp;"|"&amp;'管线假设'!H994&amp;"|"&amp;'管线假设'!I994&amp;"|"&amp;'管线假设'!E998&amp;"|"&amp;'管线假设'!F998&amp;"|"&amp;'管线假设'!G998&amp;"|"&amp;'管线假设'!H998&amp;"|"&amp;'管线假设'!I998&amp;"|"&amp;'管线假设'!E1002&amp;"|"&amp;'管线假设'!F1002&amp;"|"&amp;'管线假设'!G1002&amp;"|"&amp;'管线假设'!H1002&amp;"|"&amp;'管线假设'!I1002&amp;"|"&amp;'管线假设'!E1006&amp;"|"&amp;'管线假设'!F1006&amp;"|"&amp;'管线假设'!G1006&amp;"|"&amp;'管线假设'!H1006&amp;"|"&amp;'管线假设'!I1006&amp;"|"&amp;'管线假设'!E1010&amp;"|"&amp;'管线假设'!F1010&amp;"|"&amp;'管线假设'!G1010&amp;"|"&amp;'管线假设'!H1010&amp;"|"&amp;'管线假设'!I1010&amp;"|"&amp;'管线假设'!E1014&amp;"|"&amp;'管线假设'!F1014&amp;"|"&amp;'管线假设'!G1014&amp;"|"&amp;'管线假设'!H1014&amp;"|"&amp;'管线假设'!I1014&amp;"|"&amp;'管线假设'!E1018&amp;"|"&amp;'管线假设'!F1018&amp;"|"&amp;'管线假设'!G1018&amp;"|"&amp;'管线假设'!H1018&amp;"|"&amp;'管线假设'!I1018&amp;"|"&amp;'管线假设'!E1022&amp;"|"&amp;'管线假设'!F1022&amp;"|"&amp;'管线假设'!G1022&amp;"|"&amp;'管线假设'!H1022&amp;"|"&amp;'管线假设'!I1022&amp;"|"&amp;'管线假设'!E1026&amp;"|"&amp;'管线假设'!F1026&amp;"|"&amp;'管线假设'!G1026&amp;"|"&amp;'管线假设'!H1026&amp;"|"&amp;'管线假设'!I1026&amp;"|"&amp;'管线现金流'!J4558&amp;"|"&amp;'管线现金流'!AL4558&amp;"|"&amp;'管线现金流'!J4559&amp;"|"&amp;'管线现金流'!AL4559&amp;"|"&amp;'管线现金流'!J4560&amp;"|"&amp;'管线现金流'!AL4560&amp;"|"&amp;'管线现金流'!J4561&amp;"|"&amp;'管线现金流'!AL4561&amp;"|"&amp;'管线现金流'!J4562&amp;"|"&amp;'管线现金流'!AL4562&amp;"|"&amp;'管线现金流'!J4563&amp;"|"&amp;'管线现金流'!AL4563&amp;"|"&amp;'管线现金流'!J4564&amp;"|"&amp;'管线现金流'!AL4564&amp;"|"&amp;'管线现金流'!J4565&amp;"|"&amp;'管线现金流'!AL4565&amp;"|"&amp;'管线现金流'!J4566&amp;"|"&amp;'管线现金流'!AL4566&amp;"|"&amp;'管线现金流'!J4567&amp;"|"&amp;'管线现金流'!AL4567&amp;"|"&amp;'管线现金流'!J4568&amp;"|"&amp;'管线现金流'!AL4568&amp;"|"&amp;'管线现金流'!J4569&amp;"|"&amp;'管线现金流'!AL4569&amp;"|"&amp;'管线现金流'!J4570&amp;"|"&amp;'管线现金流'!AL4570&amp;"|"&amp;'管线现金流'!J4571&amp;"|"&amp;'管线现金流'!AL4571&amp;"|"&amp;'管线现金流'!J4572&amp;"|"&amp;'管线现金流'!AL4572&amp;"|"&amp;'管线现金流'!J4573&amp;"|"&amp;'管线现金流'!AL4573&amp;"|"&amp;'管线现金流'!J4574&amp;"|"&amp;'管线现金流'!AL4574&amp;"|"&amp;'管线现金流'!J4575&amp;"|"&amp;'管线现金流'!AL4575&amp;"|"&amp;'管线现金流'!J4576&amp;"|"&amp;'管线现金流'!AL4576&amp;"|"&amp;'管线现金流'!J4577&amp;"|"&amp;'管线现金流'!AL4577&amp;"|"&amp;'管线现金流'!J4578&amp;"|"&amp;'管线现金流'!AL4578&amp;"|"&amp;'管线现金流'!J4579&amp;"|"&amp;'管线现金流'!AL4579&amp;"|"&amp;'管线现金流'!J4580&amp;"|"&amp;'管线现金流'!AL4580&amp;"|"&amp;'管线现金流'!J4581&amp;"|"&amp;'管线现金流'!AL4581&amp;"|"&amp;'管线现金流'!J4582&amp;"|"&amp;'管线现金流'!AL4582&amp;"|"&amp;'管线现金流'!J4583&amp;"|"&amp;'管线现金流'!AL4583&amp;"|"&amp;'管线现金流'!J4584&amp;"|"&amp;'管线现金流'!AL4584&amp;"|"&amp;'管线现金流'!J4585&amp;"|"&amp;'管线现金流'!AL4585&amp;"|"&amp;'管线现金流'!J4586&amp;"|"&amp;'管线现金流'!AL4586&amp;"|"&amp;'管线现金流'!J4587&amp;"|"&amp;'管线现金流'!AL4587&amp;"|"&amp;'管线现金流'!J4588&amp;"|"&amp;'管线现金流'!AL4588&amp;"|"&amp;'管线现金流'!J4589&amp;"|"&amp;'管线现金流'!AL4589&amp;"|"&amp;'管线现金流'!J4590&amp;"|"&amp;'管线现金流'!AL4590&amp;"|"&amp;'管线现金流'!J4591&amp;"|"&amp;'管线现金流'!AL4591&amp;"|"&amp;'管线现金流'!J4592&amp;"|"&amp;'管线现金流'!AL4592&amp;"|"&amp;'管线现金流'!J4593&amp;"|"&amp;'管线现金流'!AL4593&amp;"|"&amp;'管线现金流'!J4594&amp;"|"&amp;'管线现金流'!AL4594&amp;"|"&amp;'管线现金流'!J4595&amp;"|"&amp;'管线现金流'!AL4595&amp;"|"&amp;'管线现金流'!J4596&amp;"|"&amp;'管线现金流'!AL4596&amp;"|"&amp;'管线现金流'!J4597&amp;"|"&amp;'管线现金流'!AL4597&amp;"|"&amp;'管线现金流'!J4598&amp;"|"&amp;'管线现金流'!AL4598&amp;"|"&amp;'管线现金流'!J4599&amp;"|"&amp;'管线现金流'!AL4599&amp;"|"&amp;'管线现金流'!J4600&amp;"|"&amp;'管线现金流'!AL4600&amp;"|"&amp;'管线现金流'!J4601&amp;"|"&amp;'管线现金流'!AL4601&amp;"|"&amp;'管线现金流'!J4602&amp;"|"&amp;'管线现金流'!AL4602&amp;"|"&amp;'管线现金流'!J4603&amp;"|"&amp;'管线现金流'!AL4603&amp;"|"&amp;'管线现金流'!J4604&amp;"|"&amp;'管线现金流'!AL4604&amp;"|"&amp;'管线现金流'!J4605&amp;"|"&amp;'管线现金流'!AL4605&amp;"|"&amp;'管线现金流'!J4606&amp;"|"&amp;'管线现金流'!AL4606&amp;"|"&amp;'管线现金流'!J4607&amp;"|"&amp;'管线现金流'!AL4607&amp;"|"&amp;'管线现金流'!J4608&amp;"|"&amp;'管线现金流'!AL4608&amp;"|"&amp;'管线现金流'!J4609&amp;"|"&amp;'管线现金流'!AL4609&amp;"|"&amp;'管线现金流'!J4610&amp;"|"&amp;'管线现金流'!AL4610&amp;"|"&amp;'管线现金流'!J4611&amp;"|"&amp;'管线现金流'!AL4611&amp;"|"&amp;'管线现金流'!J4612&amp;"|"&amp;'管线现金流'!AL4612&amp;"|"&amp;'管线现金流'!J4613&amp;"|"&amp;'管线现金流'!AL4613&amp;"|"&amp;'管线现金流'!J4614&amp;"|"&amp;'管线现金流'!AL4614&amp;"|"&amp;'管线现金流'!J4615&amp;"|"&amp;'管线现金流'!AL4615&amp;"|"&amp;'管线现金流'!J4616&amp;"|"&amp;'管线现金流'!AL4616&amp;"|"&amp;'管线现金流'!J4617&amp;"|"&amp;'管线现金流'!AL4617&amp;"|"&amp;'管线现金流'!J4618&amp;"|"&amp;'管线现金流'!AL4618&amp;"|"&amp;'管线现金流'!J4619&amp;"|"&amp;'管线现金流'!AL4619&amp;"|"&amp;'管线现金流'!J4620&amp;"|"&amp;'管线现金流'!AL4620&amp;"|"&amp;'管线现金流'!J4621&amp;"|"&amp;'管线现金流'!AL4621&amp;"|"&amp;'管线现金流'!J4622&amp;"|"&amp;'管线现金流'!AL4622&amp;"|"&amp;'管线现金流'!J4623&amp;"|"&amp;'管线现金流'!AL4623&amp;"|"&amp;'管线现金流'!J4624&amp;"|"&amp;'管线现金流'!AL4624&amp;"|"&amp;'管线现金流'!J4625&amp;"|"&amp;'管线现金流'!AL4625&amp;"|"&amp;'管线现金流'!J4626&amp;"|"&amp;'管线现金流'!AL4626&amp;"|"&amp;'管线现金流'!J4627&amp;"|"&amp;'管线现金流'!AL4627&amp;"|"&amp;'管线现金流'!J4628&amp;"|"&amp;'管线现金流'!AL4628&amp;"|"&amp;'管线现金流'!J4629&amp;"|"&amp;'管线现金流'!AL4629&amp;"|"&amp;'管线现金流'!J4630&amp;"|"&amp;'管线现金流'!AL4630&amp;"|"&amp;'管线现金流'!J4631&amp;"|"&amp;'管线现金流'!AL4631&amp;"|"&amp;'管线现金流'!J4632&amp;"|"&amp;'管线现金流'!AL4632&amp;"|"&amp;'管线现金流'!J4633&amp;"|"&amp;'管线现金流'!AL4633&amp;"|"&amp;'管线现金流'!J4634&amp;"|"&amp;'管线现金流'!AL4634&amp;"|"&amp;'管线现金流'!J4635&amp;"|"&amp;'管线现金流'!AL4635&amp;"|"&amp;'管线现金流'!J4636&amp;"|"&amp;'管线现金流'!AL4636&amp;"|"&amp;'管线现金流'!J4637&amp;"|"&amp;'管线现金流'!AL4637&amp;"|"&amp;'管线现金流'!J4638&amp;"|"&amp;'管线现金流'!AL4638&amp;"|"&amp;'管线现金流'!J4639&amp;"|"&amp;'管线现金流'!AL4639&amp;"|"&amp;'管线现金流'!J4640&amp;"|"&amp;'管线现金流'!AL4640&amp;"|"&amp;'管线现金流'!J4641&amp;"|"&amp;'管线现金流'!AL4641&amp;"|"&amp;'管线现金流'!J4642&amp;"|"&amp;'管线现金流'!AL4642&amp;"|"&amp;'管线现金流'!J4643&amp;"|"&amp;'管线现金流'!AL4643&amp;"|"&amp;'管线现金流'!J4644&amp;"|"&amp;'管线现金流'!AL4644&amp;"|"&amp;'管线现金流'!J4645&amp;"|"&amp;'管线现金流'!AL4645&amp;"|"&amp;'管线现金流'!J4646&amp;"|"&amp;'管线现金流'!AL4646&amp;"|"&amp;'管线现金流'!J4647&amp;"|"&amp;'管线现金流'!AL4647&amp;"|"&amp;'管线现金流'!J4648&amp;"|"&amp;'管线现金流'!AL4648&amp;"|"&amp;'管线现金流'!J4649&amp;"|"&amp;'管线现金流'!AL4649&amp;"|"&amp;'管线现金流'!J4650&amp;"|"&amp;'管线现金流'!AL4650&amp;"|"&amp;'管线现金流'!J4651&amp;"|"&amp;'管线现金流'!AL4651&amp;"|"&amp;'管线现金流'!J4652&amp;"|"&amp;'管线现金流'!AL4652&amp;"|"&amp;'管线现金流'!J4653&amp;"|"&amp;'管线现金流'!AL4653&amp;"|"&amp;'管线现金流'!J4654&amp;"|"&amp;'管线现金流'!AL4654&amp;"|"&amp;'管线现金流'!J4655&amp;"|"&amp;'管线现金流'!AL4655&amp;"|"&amp;'管线现金流'!J4656&amp;"|"&amp;'管线现金流'!AL4656&amp;"|"&amp;'管线现金流'!J4657&amp;"|"&amp;'管线现金流'!AL4657&amp;"|"&amp;'管线现金流'!J4658&amp;"|"&amp;'管线现金流'!AL4658&amp;"|"&amp;'管线现金流'!J4659&amp;"|"&amp;'管线现金流'!AL4659&amp;"|"&amp;'管线现金流'!J4660&amp;"|"&amp;'管线现金流'!AL4660&amp;"|"&amp;'管线现金流'!J4661&amp;"|"&amp;'管线现金流'!AL4661&amp;"|"&amp;'管线现金流'!J4662&amp;"|"&amp;'管线现金流'!AL4662&amp;"|"&amp;'管线现金流'!J4663&amp;"|"&amp;'管线现金流'!AL4663&amp;"|"&amp;'管线现金流'!J4664&amp;"|"&amp;'管线现金流'!AL4664&amp;"|"&amp;'管线现金流'!J4665&amp;"|"&amp;'管线现金流'!AL4665&amp;"|"&amp;'管线现金流'!J4666&amp;"|"&amp;'管线现金流'!AL4666&amp;"|"&amp;'管线现金流'!J4667&amp;"|"&amp;'管线现金流'!AL4667&amp;"|"&amp;'管线现金流'!J4668&amp;"|"&amp;'管线现金流'!AL4668&amp;"|"&amp;'管线现金流'!J4669&amp;"|"&amp;'管线现金流'!AL4669&amp;"|"&amp;'管线现金流'!J4670&amp;"|"&amp;'管线现金流'!AL4670&amp;"|"&amp;'管线现金流'!J4671&amp;"|"&amp;'管线现金流'!AL4671&amp;"|"&amp;'管线现金流'!J4672&amp;"|"&amp;'管线现金流'!AL4672&amp;"|"&amp;'管线现金流'!J4673&amp;"|"&amp;'管线现金流'!AL4673&amp;"|"&amp;'管线现金流'!J4674&amp;"|"&amp;'管线现金流'!AL4674&amp;"|"&amp;'管线现金流'!J4675&amp;"|"&amp;'管线现金流'!AL4675&amp;"|"&amp;'管线现金流'!J4676&amp;"|"&amp;'管线现金流'!AL4676&amp;"|"&amp;'管线现金流'!J4677&amp;"|"&amp;'管线现金流'!AL4677&amp;"|"&amp;'管线现金流'!J4678&amp;"|"&amp;'管线现金流'!AL4678&amp;"|"&amp;'管线现金流'!J4679&amp;"|"&amp;'管线现金流'!AL4679&amp;"|"&amp;'管线现金流'!J4680&amp;"|"&amp;'管线现金流'!AL4680&amp;"|"&amp;'管线现金流'!J4681&amp;"|"&amp;'管线现金流'!AL4681&amp;"|"&amp;'管线现金流'!J4682&amp;"|"&amp;'管线现金流'!AL4682&amp;"|"&amp;'管线现金流'!J4683&amp;"|"&amp;'管线现金流'!AL4683&amp;"|"&amp;'管线现金流'!J4684&amp;"|"&amp;'管线现金流'!AL4684&amp;"|"&amp;'管线现金流'!J4685&amp;"|"&amp;'管线现金流'!AL4685&amp;"|"&amp;'管线现金流'!J4686&amp;"|"&amp;'管线现金流'!AL4686&amp;"|"&amp;'管线现金流'!J4687&amp;"|"&amp;'管线现金流'!AL4687&amp;"|"&amp;'管线现金流'!J4688&amp;"|"&amp;'管线现金流'!AL4688&amp;"|"&amp;'管线现金流'!J4689&amp;"|"&amp;'管线现金流'!AL4689&amp;"|"&amp;'管线现金流'!J4690&amp;"|"&amp;'管线现金流'!AL4690&amp;"|"&amp;'管线现金流'!J4691&amp;"|"&amp;'管线现金流'!AL4691&amp;"|"&amp;'管线现金流'!J4692&amp;"|"&amp;'管线现金流'!AL4692&amp;"|"&amp;'管线现金流'!J4693&amp;"|"&amp;'管线现金流'!AL4693&amp;"|"&amp;'管线现金流'!J4694&amp;"|"&amp;'管线现金流'!AL4694&amp;"|"&amp;'管线现金流'!J4695&amp;"|"&amp;'管线现金流'!AL4695&amp;"|"&amp;'管线现金流'!J4696&amp;"|"&amp;'管线现金流'!AL4696&amp;"|"&amp;'管线现金流'!J4697&amp;"|"&amp;'管线现金流'!AL4697&amp;"|"&amp;'管线现金流'!J4698&amp;"|"&amp;'管线现金流'!AL4698&amp;"|"&amp;'管线现金流'!J4699&amp;"|"&amp;'管线现金流'!AL4699&amp;"|"&amp;'管线现金流'!J4700&amp;"|"&amp;'管线现金流'!AL4700&amp;"|"&amp;'管线现金流'!J4701&amp;"|"&amp;'管线现金流'!AL4701&amp;"|"&amp;'管线现金流'!J4702&amp;"|"&amp;'管线现金流'!AL4702&amp;"|"&amp;'管线现金流'!J4703&amp;"|"&amp;'管线现金流'!AL4703&amp;"|"&amp;'管线现金流'!J4704&amp;"|"&amp;'管线现金流'!AL4704&amp;"|"&amp;'管线现金流'!J4705&amp;"|"&amp;'管线现金流'!AL4705&amp;"|"&amp;'管线现金流'!J4706&amp;"|"&amp;'管线现金流'!AL4706&amp;"|"&amp;'管线现金流'!J4707&amp;"|"&amp;'管线现金流'!AL4707&amp;"|"&amp;'管线现金流'!J4708&amp;"|"&amp;'管线现金流'!AL4708&amp;"|"&amp;'管线现金流'!J4709&amp;"|"&amp;'管线现金流'!AL4709&amp;"|"&amp;'管线现金流'!J4710&amp;"|"&amp;'管线现金流'!AL4710&amp;"|"&amp;'管线现金流'!J4711&amp;"|"&amp;'管线现金流'!AL4711&amp;"|"&amp;'管线现金流'!J4712&amp;"|"&amp;'管线现金流'!AL4712&amp;"|"&amp;'管线现金流'!J4713&amp;"|"&amp;'管线现金流'!AL4713&amp;"|"&amp;'管线现金流'!J4714&amp;"|"&amp;'管线现金流'!AL4714&amp;"|"&amp;'管线现金流'!J4715&amp;"|"&amp;'管线现金流'!AL4715&amp;"|"&amp;'管线现金流'!J4716&amp;"|"&amp;'管线现金流'!AL4716&amp;"|"&amp;'管线现金流'!J4717&amp;"|"&amp;'管线现金流'!AL4717&amp;"|"&amp;'管线现金流'!J4718&amp;"|"&amp;'管线现金流'!AL4718&amp;"|"&amp;'管线现金流'!J4719&amp;"|"&amp;'管线现金流'!AL4719&amp;"|"&amp;'管线现金流'!J4720&amp;"|"&amp;'管线现金流'!AL4720&amp;"|"&amp;'管线现金流'!J4721&amp;"|"&amp;'管线现金流'!AL4721&amp;"|"&amp;'管线现金流'!J4722&amp;"|"&amp;'管线现金流'!AL4722&amp;"|"&amp;'管线现金流'!J4723&amp;"|"&amp;'管线现金流'!AL4723&amp;"|"&amp;'管线现金流'!J4724&amp;"|"&amp;'管线现金流'!AL4724&amp;"|"&amp;'管线现金流'!J4725&amp;"|"&amp;'管线现金流'!AL4725&amp;"|"&amp;'管线现金流'!J4726&amp;"|"&amp;'管线现金流'!AL4726&amp;"|"&amp;'管线现金流'!J4727&amp;"|"&amp;'管线现金流'!AL4727&amp;"|"&amp;'管线现金流'!J4728&amp;"|"&amp;'管线现金流'!AL4728&amp;"|"&amp;'管线现金流'!J4729&amp;"|"&amp;'管线现金流'!AL4729&amp;"|"&amp;'管线现金流'!J4730&amp;"|"&amp;'管线现金流'!AL4730&amp;"|"&amp;'管线现金流'!J4731&amp;"|"&amp;'管线现金流'!AL4731&amp;"|"&amp;'管线现金流'!J4732&amp;"|"&amp;'管线现金流'!AL4732&amp;"|"&amp;'管线现金流'!J4733&amp;"|"&amp;'管线现金流'!AL4733&amp;"|"&amp;'管线现金流'!J4734&amp;"|"&amp;'管线现金流'!AL4734&amp;"|"&amp;'管线现金流'!J4735&amp;"|"&amp;'管线现金流'!AL4735&amp;"|"&amp;'管线现金流'!J4736&amp;"|"&amp;'管线现金流'!AL4736&amp;"|"&amp;'管线现金流'!J4737&amp;"|"&amp;'管线现金流'!AL4737&amp;"|"&amp;'管线现金流'!J4738&amp;"|"&amp;'管线现金流'!AL4738&amp;"|"&amp;'管线现金流'!J4739&amp;"|"&amp;'管线现金流'!AL4739&amp;"|"&amp;'管线现金流'!J4740&amp;"|"&amp;'管线现金流'!AL4740&amp;"|"&amp;'管线现金流'!J4741&amp;"|"&amp;'管线现金流'!AL4741&amp;"|"&amp;'管线现金流'!J4742&amp;"|"&amp;'管线现金流'!AL4742&amp;"|"&amp;'管线现金流'!J4743&amp;"|"&amp;'管线现金流'!AL4743&amp;"|"&amp;'管线现金流'!J4744&amp;"|"&amp;'管线现金流'!AL4744&amp;"|"&amp;'管线现金流'!J4745&amp;"|"&amp;'管线现金流'!AL4745&amp;"|"&amp;'管线现金流'!J4746&amp;"|"&amp;'管线现金流'!AL4746&amp;"|"&amp;'管线现金流'!J4747&amp;"|"&amp;'管线现金流'!AL4747&amp;"|"&amp;'管线现金流'!J4748&amp;"|"&amp;'管线现金流'!AL4748&amp;"|"&amp;'管线现金流'!J4749&amp;"|"&amp;'管线现金流'!AL4749&amp;"|"&amp;'管线现金流'!J4750&amp;"|"&amp;'管线现金流'!AL4750&amp;"|"&amp;'管线现金流'!J4751&amp;"|"&amp;'管线现金流'!AL4751&amp;"|"&amp;'管线现金流'!J4752&amp;"|"&amp;'管线现金流'!AL4752&amp;"|"&amp;'管线现金流'!J4753&amp;"|"&amp;'管线现金流'!AL4753&amp;"|"&amp;'管线现金流'!J4754&amp;"|"&amp;'管线现金流'!AL4754&amp;"|"&amp;'管线现金流'!J4755&amp;"|"&amp;'管线现金流'!AL4755&amp;"|"&amp;'管线现金流'!J4756&amp;"|"&amp;'管线现金流'!AL4756&amp;"|"&amp;'管线现金流'!J4757&amp;"|"&amp;'管线现金流'!AL4757&amp;"|"&amp;'管线现金流'!J4758&amp;"|"&amp;'管线现金流'!AL4758&amp;"|"&amp;'管线现金流'!J4759&amp;"|"&amp;'管线现金流'!AL4759&amp;"|"&amp;'管线现金流'!J4760&amp;"|"&amp;'管线现金流'!AL4760&amp;"|"&amp;'管线现金流'!J4761&amp;"|"&amp;'管线现金流'!AL4761&amp;"|"&amp;'管线现金流'!J4762&amp;"|"&amp;'管线现金流'!AL4762&amp;"|"&amp;'管线现金流'!J4763&amp;"|"&amp;'管线现金流'!AL4763&amp;"|"&amp;'管线现金流'!J4764&amp;"|"&amp;'管线现金流'!AL4764&amp;"|"&amp;'管线现金流'!J4765&amp;"|"&amp;'管线现金流'!AL4765&amp;"|"&amp;'管线现金流'!J4766&amp;"|"&amp;'管线现金流'!AL4766&amp;"|"&amp;'管线现金流'!W73&amp;"|"&amp;'管线现金流'!Z73&amp;"|"&amp;'管线现金流'!AQ73&amp;"|"&amp;'管线现金流'!AT73&amp;"|"&amp;'管线现金流'!W74&amp;"|"&amp;'管线现金流'!Z74&amp;"|"&amp;'管线现金流'!AQ74&amp;"|"&amp;'管线现金流'!AT74&amp;"|"&amp;'管线现金流'!W75&amp;"|"&amp;'管线现金流'!Z75&amp;"|"&amp;'管线现金流'!AQ75&amp;"|"&amp;'管线现金流'!AT75&amp;"|"&amp;'管线现金流'!W76&amp;"|"&amp;'管线现金流'!Z76&amp;"|"&amp;'管线现金流'!AQ76&amp;"|"&amp;'管线现金流'!AT76&amp;"|"&amp;'管线现金流'!W77&amp;"|"&amp;'管线现金流'!Z77&amp;"|"&amp;'管线现金流'!AQ77&amp;"|"&amp;'管线现金流'!AT77&amp;"|"&amp;'管线现金流'!W78&amp;"|"&amp;'管线现金流'!Z78&amp;"|"&amp;'管线现金流'!AQ78&amp;"|"&amp;'管线现金流'!AT78&amp;"|"&amp;'管线现金流'!W79&amp;"|"&amp;'管线现金流'!Z79&amp;"|"&amp;'管线现金流'!AQ79&amp;"|"&amp;'管线现金流'!AT79&amp;"|"&amp;'管线现金流'!W80&amp;"|"&amp;'管线现金流'!Z80&amp;"|"&amp;'管线现金流'!AQ80&amp;"|"&amp;'管线现金流'!AT80&amp;"|"&amp;'管线现金流'!W81&amp;"|"&amp;'管线现金流'!Z81&amp;"|"&amp;'管线现金流'!AQ81&amp;"|"&amp;'管线现金流'!AT81</x:f>
        <x:v>1|9|0|1|0.52|1|0.11|7|0.9|0.52|1|0.11|7|0.75|0.57|1|0.11|7|0.55|0.55|1|0.11|7|0.9|0.1275|0.7|0.11|7|0.6|0.1275|0.7|0.11|7|0.5|0.11900000000000001|1|0.11|7|0.65|0.52|1|0.11|7|0.55|0.5|1|0.11|7|0.7|0.1105|1|0.11|7|1|0|1|0.11|7|0.95|0.04|1.75|0.04|2.6|0.04|3.65|0.04|4.8|0.04|5.7|0|6.5|0|7.1|0|7.5|0|7.5|0|7.3|0|6.9|0|6.2|0|5.3|0|4.3|0|3.3|0|2.3|0|1.4|0|0.8|0|0|0.06|0.108|0.05|0.324|0.03|0.684|0|1.1700000000000002|0|1.53|0|1.8|0|1.8|0|1.71|0|1.62|0|1.4400000000000002|0|1.1700000000000002|0|0.9|0|0.63|0|0.36000000000000004|0|0.216|0|0.12600000000000003|0|0.054|0|0.054|0|0|0.1|0|0.13|0.36|0.18|1.08|0.12|2.2800000000000002|0.04|3.9000000000000004|0|5.1|0|6|0|6|0|5.699999999999999|0|5.4|0|4.800000000000001|0|3.9000000000000004|0|3|0|2.0999999999999996|0|1.2000000000000002|0|0.72|0|0.42000000000000004|0|0.18|0|0|0.15|0|0.24|0|0.35|0.48|0.3|1.44|0.15|3.04|0|5.2|0|6.8|0|8|0|8|0|7.6|0|7.2|0|6.4|0|5.2|0|4|0|2.8|0|1.6|0|0.96|0|0.56|0|0|0.084|0.27|0.07|0.8099999999999999|0|1.71|0|2.9250000000000003|0|3.8249999999999997|0|4.5|0|4.5|0|4.2749999999999995|0|4.05|0|3.6|0|2.9250000000000003|0|2.25|0|1.575|0|0.9|0|0.54|0|0.31500000000000006|0|0.135|0|0.135|0|0|0.056|0|0.056|0|0|0.3|0|0.8999999999999999|0|1.9|0|3.25|0|4.25|0|5|0|5|0|4.75|0|4.5|0|4|0|3.25|0|2.5|0|1.75|0|1|0|0.6|0|0.35000000000000003|0|0|0.14|0|0.14|0|0|0.42|0|1.26|0|2.66|0|4.55|0|5.95|0|7|0|7|0|6.6499999999999995|0|6.3|0|5.6000000000000005|0|4.55|0|3.5|0|2.4499999999999997|0|1.4000000000000001|0|0.84|0|0.49000000000000005|0|0|0.18|0|0.22|0.18|0.18|0.54|0.07|1.1400000000000001|0|1.9500000000000002|0|2.55|0|3|0|3|0|2.8499999999999996|0|2.7|0|2.4000000000000004|0|1.9500000000000002|0|1.5|0|1.0499999999999998|0|0.6000000000000001|0|0.36|0|0.21000000000000002|0|0.09|0|0|0.14|0|0.18|0|0.18|0.15|0.09|0.44999999999999996|0|0.95|0|1.625|0|2.125|0|2.5|0|2.5|0|2.375|0|2.25|0|2|0|1.625|0|1.25|0|0.875|0|0.5|0|0.3|0|0.17500000000000002|0|0|0.015|0|0|0.18|0|0.54|0|1.1400000000000001|0|1.9500000000000002|0|2.55|0|3|0|3|0|2.8499999999999996|0|2.7|0|2.4000000000000004|0|1.9500000000000002|0|1.5|0|1.0499999999999998|0|0.6000000000000001|0|0.36|0|0.21000000000000002|0|0.09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0.85|0.85|0.7|0.1|0.5|0.85|1|0|0|0.8|0.9|0.04|0.65|0.83|1|0|0|0.8|0.9|0.2|0.65|0.85|0.7|0|0|0.8|0.9|0.03|0.5|0.83|1|0.2|0.35|0.85|1</x:v>
      </x:c>
    </x:row>
    <x:row r="412" ht="23" customHeight="1">
      <x:c r="A412" s="11" t="str">
        <x:v>00268.HK</x:v>
      </x:c>
      <x:c r="B412" s="11" t="str">
        <x:v>金蝶国际</x:v>
      </x:c>
      <x:c r="C412" s="11" t="str">
        <x:v>2026年底</x:v>
      </x:c>
      <x:c r="D412" s="11" t="str">
        <x:v>悲观</x:v>
      </x:c>
      <x:c r="E412" s="11" t="n">
        <x:v>7.835</x:v>
      </x:c>
      <x:c r="F412" s="11" t="n">
        <x:v>3.09</x:v>
      </x:c>
      <x:c r="G412" s="11" t="n">
        <x:v>0</x:v>
      </x:c>
      <x:c r="H412" s="25" t="n">
        <x:v>-0.6056158264199107</x:v>
      </x:c>
      <x:c r="I412" s="25" t="n">
        <x:v>-0.6056158264199107</x:v>
      </x:c>
      <x:c r="J412" s="25" t="str"/>
      <x:c r="K412" s="11" t="n">
        <x:v>0.017582</x:v>
      </x:c>
      <x:c r="L412" s="11" t="n">
        <x:v>8</x:v>
      </x:c>
      <x:c r="M412" s="11" t="n">
        <x:v>1.1</x:v>
      </x:c>
      <x:c r="N412" s="11" t="n">
        <x:v>0</x:v>
      </x:c>
      <x:c r="O412" s="11" t="str"/>
      <x:c r="P412" s="11" t="str"/>
      <x:c r="Q412" s="11" t="str"/>
      <x:c r="R412" s="11" t="str">
        <x:v>kingdee-cloud-evsales-cash-reserve-v1.0</x:v>
      </x:c>
      <x:c r="S412" s="11" t="str">
        <x:v>2026-10-10</x:v>
      </x:c>
      <x:c r="T412" s="11" t="str">
        <x:f>IF(AND(SUM(IF(K412='假设'!E548,0,1),IF(L412='假设'!F548,0,1),IF(M412='假设'!G548,0,1),IF(N412='假设'!H548,0,1),IF(O412='假设'!I548,0,1),IF(P412='假设'!J548,0,1),IF(Q412='假设'!K548,0,1))=0,U412=V412),"已刷新","待刷新")</x:f>
        <x:v>已刷新</x:v>
      </x:c>
      <x:c r="U412" t="str">
        <x:v>0.8|0.1|0|0.2|1|3.64|6|1.8|0.4|1.5</x:v>
      </x:c>
      <x:c r="V412" t="str">
        <x:f>'业务分拆假设'!D8&amp;"|"&amp;'业务分拆假设'!E8&amp;"|"&amp;'业务分拆假设'!F8&amp;"|"&amp;'业务分拆假设'!G8&amp;"|"&amp;'业务分拆假设'!H8&amp;"|"&amp;'业务分拆假设'!I8&amp;"|"&amp;'业务分拆假设'!J8&amp;"|"&amp;'业务分拆假设'!K8&amp;"|"&amp;'业务分拆假设'!L8&amp;"|"&amp;'业务分拆假设'!M8</x:f>
        <x:v>0.8|0.1|0|0.2|1|3.64|6|1.8|0.4|1.5</x:v>
      </x:c>
    </x:row>
    <x:row r="413" ht="23" customHeight="1">
      <x:c r="A413" s="11" t="str">
        <x:v>00268.HK</x:v>
      </x:c>
      <x:c r="B413" s="11" t="str">
        <x:v>金蝶国际</x:v>
      </x:c>
      <x:c r="C413" s="11" t="str">
        <x:v>2026年底</x:v>
      </x:c>
      <x:c r="D413" s="11" t="str">
        <x:v>基准</x:v>
      </x:c>
      <x:c r="E413" s="11" t="n">
        <x:v>7.835</x:v>
      </x:c>
      <x:c r="F413" s="11" t="n">
        <x:v>9.21</x:v>
      </x:c>
      <x:c r="G413" s="11" t="n">
        <x:v>0</x:v>
      </x:c>
      <x:c r="H413" s="25" t="n">
        <x:v>0.17549457562220816</x:v>
      </x:c>
      <x:c r="I413" s="25" t="n">
        <x:v>0.17549457562220816</x:v>
      </x:c>
      <x:c r="J413" s="25" t="str"/>
      <x:c r="K413" s="11" t="n">
        <x:v>0.03661</x:v>
      </x:c>
      <x:c r="L413" s="11" t="n">
        <x:v>12</x:v>
      </x:c>
      <x:c r="M413" s="11" t="n">
        <x:v>1.1</x:v>
      </x:c>
      <x:c r="N413" s="11" t="n">
        <x:v>0</x:v>
      </x:c>
      <x:c r="O413" s="11" t="str"/>
      <x:c r="P413" s="11" t="str"/>
      <x:c r="Q413" s="11" t="str"/>
      <x:c r="R413" s="11" t="str">
        <x:v>kingdee-cloud-evsales-cash-reserve-v1.0</x:v>
      </x:c>
      <x:c r="S413" s="11" t="str">
        <x:v>2026-10-10</x:v>
      </x:c>
      <x:c r="T413" s="11" t="str">
        <x:f>IF(AND(SUM(IF(K413='假设'!E549,0,1),IF(L413='假设'!F549,0,1),IF(M413='假设'!G549,0,1),IF(N413='假设'!H549,0,1),IF(O413='假设'!I549,0,1),IF(P413='假设'!J549,0,1),IF(Q413='假设'!K549,0,1))=0,U413=V413),"已刷新","待刷新")</x:f>
        <x:v>已刷新</x:v>
      </x:c>
      <x:c r="U413" t="str">
        <x:v>0.9|0.18|0|0.2|1|3.54|7|4|1|0.9</x:v>
      </x:c>
      <x:c r="V413" t="str">
        <x:f>'业务分拆假设'!D9&amp;"|"&amp;'业务分拆假设'!E9&amp;"|"&amp;'业务分拆假设'!F9&amp;"|"&amp;'业务分拆假设'!G9&amp;"|"&amp;'业务分拆假设'!H9&amp;"|"&amp;'业务分拆假设'!I9&amp;"|"&amp;'业务分拆假设'!J9&amp;"|"&amp;'业务分拆假设'!K9&amp;"|"&amp;'业务分拆假设'!L9&amp;"|"&amp;'业务分拆假设'!M9</x:f>
        <x:v>0.9|0.18|0|0.2|1|3.54|7|4|1|0.9</x:v>
      </x:c>
    </x:row>
    <x:row r="414" ht="23" customHeight="1">
      <x:c r="A414" s="11" t="str">
        <x:v>00268.HK</x:v>
      </x:c>
      <x:c r="B414" s="11" t="str">
        <x:v>金蝶国际</x:v>
      </x:c>
      <x:c r="C414" s="11" t="str">
        <x:v>2026年底</x:v>
      </x:c>
      <x:c r="D414" s="11" t="str">
        <x:v>乐观</x:v>
      </x:c>
      <x:c r="E414" s="11" t="n">
        <x:v>7.835</x:v>
      </x:c>
      <x:c r="F414" s="11" t="n">
        <x:v>14.06</x:v>
      </x:c>
      <x:c r="G414" s="11" t="n">
        <x:v>0</x:v>
      </x:c>
      <x:c r="H414" s="25" t="n">
        <x:v>0.7945118059987237</x:v>
      </x:c>
      <x:c r="I414" s="25" t="n">
        <x:v>0.7945118059987237</x:v>
      </x:c>
      <x:c r="J414" s="25" t="str"/>
      <x:c r="K414" s="11" t="n">
        <x:v>0.049801</x:v>
      </x:c>
      <x:c r="L414" s="11" t="n">
        <x:v>15</x:v>
      </x:c>
      <x:c r="M414" s="11" t="n">
        <x:v>1.1</x:v>
      </x:c>
      <x:c r="N414" s="11" t="n">
        <x:v>0</x:v>
      </x:c>
      <x:c r="O414" s="11" t="str"/>
      <x:c r="P414" s="11" t="str"/>
      <x:c r="Q414" s="11" t="str"/>
      <x:c r="R414" s="11" t="str">
        <x:v>kingdee-cloud-evsales-cash-reserve-v1.0</x:v>
      </x:c>
      <x:c r="S414" s="11" t="str">
        <x:v>2026-10-10</x:v>
      </x:c>
      <x:c r="T414" s="11" t="str">
        <x:f>IF(AND(SUM(IF(K414='假设'!E550,0,1),IF(L414='假设'!F550,0,1),IF(M414='假设'!G550,0,1),IF(N414='假设'!H550,0,1),IF(O414='假设'!I550,0,1),IF(P414='假设'!J550,0,1),IF(Q414='假设'!K550,0,1))=0,U414=V414),"已刷新","待刷新")</x:f>
        <x:v>已刷新</x:v>
      </x:c>
      <x:c r="U414" t="str">
        <x:v>0.95|0.23|0|0.2|1|3.51|7.8|5.3|1.4|0.5</x:v>
      </x:c>
      <x:c r="V414" t="str">
        <x:f>'业务分拆假设'!D10&amp;"|"&amp;'业务分拆假设'!E10&amp;"|"&amp;'业务分拆假设'!F10&amp;"|"&amp;'业务分拆假设'!G10&amp;"|"&amp;'业务分拆假设'!H10&amp;"|"&amp;'业务分拆假设'!I10&amp;"|"&amp;'业务分拆假设'!J10&amp;"|"&amp;'业务分拆假设'!K10&amp;"|"&amp;'业务分拆假设'!L10&amp;"|"&amp;'业务分拆假设'!M10</x:f>
        <x:v>0.95|0.23|0|0.2|1|3.51|7.8|5.3|1.4|0.5</x:v>
      </x:c>
    </x:row>
    <x:row r="415" ht="23" customHeight="1">
      <x:c r="A415" s="11" t="str">
        <x:v>00268.HK</x:v>
      </x:c>
      <x:c r="B415" s="11" t="str">
        <x:v>金蝶国际</x:v>
      </x:c>
      <x:c r="C415" s="11" t="str">
        <x:v>半年</x:v>
      </x:c>
      <x:c r="D415" s="11" t="str">
        <x:v>悲观</x:v>
      </x:c>
      <x:c r="E415" s="11" t="n">
        <x:v>7.835</x:v>
      </x:c>
      <x:c r="F415" s="11" t="n">
        <x:v>2.82</x:v>
      </x:c>
      <x:c r="G415" s="11" t="n">
        <x:v>0</x:v>
      </x:c>
      <x:c r="H415" s="25" t="n">
        <x:v>-0.6400765794511807</x:v>
      </x:c>
      <x:c r="I415" s="25" t="n">
        <x:v>-0.6400765794511807</x:v>
      </x:c>
      <x:c r="J415" s="25" t="str"/>
      <x:c r="K415" s="11" t="n">
        <x:v>0.012174</x:v>
      </x:c>
      <x:c r="L415" s="11" t="n">
        <x:v>8</x:v>
      </x:c>
      <x:c r="M415" s="11" t="n">
        <x:v>1.1</x:v>
      </x:c>
      <x:c r="N415" s="11" t="n">
        <x:v>0</x:v>
      </x:c>
      <x:c r="O415" s="11" t="str"/>
      <x:c r="P415" s="11" t="str"/>
      <x:c r="Q415" s="11" t="str"/>
      <x:c r="R415" s="11" t="str">
        <x:v>kingdee-cloud-evsales-cash-reserve-v1.0</x:v>
      </x:c>
      <x:c r="S415" s="11" t="str">
        <x:v>2026-10-10</x:v>
      </x:c>
      <x:c r="T415" s="11" t="str">
        <x:f>IF(AND(SUM(IF(K415='假设'!E552,0,1),IF(L415='假设'!F552,0,1),IF(M415='假设'!G552,0,1),IF(N415='假设'!H552,0,1),IF(O415='假设'!I552,0,1),IF(P415='假设'!J552,0,1),IF(Q415='假设'!K552,0,1))=0,U415=V415),"已刷新","待刷新")</x:f>
        <x:v>已刷新</x:v>
      </x:c>
      <x:c r="U415" t="str">
        <x:v>0.7|0.08|0|0.2|1|3.68|6.1|1.7|0.3|1.6</x:v>
      </x:c>
      <x:c r="V415" t="str">
        <x:f>'业务分拆假设'!D12&amp;"|"&amp;'业务分拆假设'!E12&amp;"|"&amp;'业务分拆假设'!F12&amp;"|"&amp;'业务分拆假设'!G12&amp;"|"&amp;'业务分拆假设'!H12&amp;"|"&amp;'业务分拆假设'!I12&amp;"|"&amp;'业务分拆假设'!J12&amp;"|"&amp;'业务分拆假设'!K12&amp;"|"&amp;'业务分拆假设'!L12&amp;"|"&amp;'业务分拆假设'!M12</x:f>
        <x:v>0.7|0.08|0|0.2|1|3.68|6.1|1.7|0.3|1.6</x:v>
      </x:c>
    </x:row>
    <x:row r="416" ht="23" customHeight="1">
      <x:c r="A416" s="11" t="str">
        <x:v>00268.HK</x:v>
      </x:c>
      <x:c r="B416" s="11" t="str">
        <x:v>金蝶国际</x:v>
      </x:c>
      <x:c r="C416" s="11" t="str">
        <x:v>半年</x:v>
      </x:c>
      <x:c r="D416" s="11" t="str">
        <x:v>基准</x:v>
      </x:c>
      <x:c r="E416" s="11" t="n">
        <x:v>7.835</x:v>
      </x:c>
      <x:c r="F416" s="11" t="n">
        <x:v>9.93</x:v>
      </x:c>
      <x:c r="G416" s="11" t="n">
        <x:v>0</x:v>
      </x:c>
      <x:c r="H416" s="25" t="n">
        <x:v>0.2673899170389278</x:v>
      </x:c>
      <x:c r="I416" s="25" t="n">
        <x:v>0.2673899170389278</x:v>
      </x:c>
      <x:c r="J416" s="25" t="str"/>
      <x:c r="K416" s="11" t="n">
        <x:v>0.032563</x:v>
      </x:c>
      <x:c r="L416" s="11" t="n">
        <x:v>12</x:v>
      </x:c>
      <x:c r="M416" s="11" t="n">
        <x:v>1.1</x:v>
      </x:c>
      <x:c r="N416" s="11" t="n">
        <x:v>0</x:v>
      </x:c>
      <x:c r="O416" s="11" t="str"/>
      <x:c r="P416" s="11" t="str"/>
      <x:c r="Q416" s="11" t="str"/>
      <x:c r="R416" s="11" t="str">
        <x:v>kingdee-cloud-evsales-cash-reserve-v1.0</x:v>
      </x:c>
      <x:c r="S416" s="11" t="str">
        <x:v>2026-10-10</x:v>
      </x:c>
      <x:c r="T416" s="11" t="str">
        <x:f>IF(AND(SUM(IF(K416='假设'!E553,0,1),IF(L416='假设'!F553,0,1),IF(M416='假设'!G553,0,1),IF(N416='假设'!H553,0,1),IF(O416='假设'!I553,0,1),IF(P416='假设'!J553,0,1),IF(Q416='假设'!K553,0,1))=0,U416=V416),"已刷新","待刷新")</x:f>
        <x:v>已刷新</x:v>
      </x:c>
      <x:c r="U416" t="str">
        <x:v>0.85|0.17|0|0.2|1|3.55|7.5|4.1|0.9|1</x:v>
      </x:c>
      <x:c r="V416" t="str">
        <x:f>'业务分拆假设'!D13&amp;"|"&amp;'业务分拆假设'!E13&amp;"|"&amp;'业务分拆假设'!F13&amp;"|"&amp;'业务分拆假设'!G13&amp;"|"&amp;'业务分拆假设'!H13&amp;"|"&amp;'业务分拆假设'!I13&amp;"|"&amp;'业务分拆假设'!J13&amp;"|"&amp;'业务分拆假设'!K13&amp;"|"&amp;'业务分拆假设'!L13&amp;"|"&amp;'业务分拆假设'!M13</x:f>
        <x:v>0.85|0.17|0|0.2|1|3.55|7.5|4.1|0.9|1</x:v>
      </x:c>
    </x:row>
    <x:row r="417" ht="23" customHeight="1">
      <x:c r="A417" s="11" t="str">
        <x:v>00268.HK</x:v>
      </x:c>
      <x:c r="B417" s="11" t="str">
        <x:v>金蝶国际</x:v>
      </x:c>
      <x:c r="C417" s="11" t="str">
        <x:v>半年</x:v>
      </x:c>
      <x:c r="D417" s="11" t="str">
        <x:v>乐观</x:v>
      </x:c>
      <x:c r="E417" s="11" t="n">
        <x:v>7.835</x:v>
      </x:c>
      <x:c r="F417" s="11" t="n">
        <x:v>15.93</x:v>
      </x:c>
      <x:c r="G417" s="11" t="n">
        <x:v>0</x:v>
      </x:c>
      <x:c r="H417" s="25" t="n">
        <x:v>1.0331844288449266</x:v>
      </x:c>
      <x:c r="I417" s="25" t="n">
        <x:v>1.0331844288449266</x:v>
      </x:c>
      <x:c r="J417" s="25" t="str"/>
      <x:c r="K417" s="11" t="n">
        <x:v>0.049801</x:v>
      </x:c>
      <x:c r="L417" s="11" t="n">
        <x:v>15</x:v>
      </x:c>
      <x:c r="M417" s="11" t="n">
        <x:v>1.1</x:v>
      </x:c>
      <x:c r="N417" s="11" t="n">
        <x:v>0</x:v>
      </x:c>
      <x:c r="O417" s="11" t="str"/>
      <x:c r="P417" s="11" t="str"/>
      <x:c r="Q417" s="11" t="str"/>
      <x:c r="R417" s="11" t="str">
        <x:v>kingdee-cloud-evsales-cash-reserve-v1.0</x:v>
      </x:c>
      <x:c r="S417" s="11" t="str">
        <x:v>2026-10-10</x:v>
      </x:c>
      <x:c r="T417" s="11" t="str">
        <x:f>IF(AND(SUM(IF(K417='假设'!E554,0,1),IF(L417='假设'!F554,0,1),IF(M417='假设'!G554,0,1),IF(N417='假设'!H554,0,1),IF(O417='假设'!I554,0,1),IF(P417='假设'!J554,0,1),IF(Q417='假设'!K554,0,1))=0,U417=V417),"已刷新","待刷新")</x:f>
        <x:v>已刷新</x:v>
      </x:c>
      <x:c r="U417" t="str">
        <x:v>0.95|0.23|0|0.2|1|3.51|8.6|5.5|1.4|0.5</x:v>
      </x:c>
      <x:c r="V417" t="str">
        <x:f>'业务分拆假设'!D14&amp;"|"&amp;'业务分拆假设'!E14&amp;"|"&amp;'业务分拆假设'!F14&amp;"|"&amp;'业务分拆假设'!G14&amp;"|"&amp;'业务分拆假设'!H14&amp;"|"&amp;'业务分拆假设'!I14&amp;"|"&amp;'业务分拆假设'!J14&amp;"|"&amp;'业务分拆假设'!K14&amp;"|"&amp;'业务分拆假设'!L14&amp;"|"&amp;'业务分拆假设'!M14</x:f>
        <x:v>0.95|0.23|0|0.2|1|3.51|8.6|5.5|1.4|0.5</x:v>
      </x:c>
    </x:row>
    <x:row r="418" ht="23" customHeight="1">
      <x:c r="A418" s="11" t="str">
        <x:v>00268.HK</x:v>
      </x:c>
      <x:c r="B418" s="11" t="str">
        <x:v>金蝶国际</x:v>
      </x:c>
      <x:c r="C418" s="11" t="str">
        <x:v>一年</x:v>
      </x:c>
      <x:c r="D418" s="11" t="str">
        <x:v>悲观</x:v>
      </x:c>
      <x:c r="E418" s="11" t="n">
        <x:v>7.835</x:v>
      </x:c>
      <x:c r="F418" s="11" t="n">
        <x:v>2.5</x:v>
      </x:c>
      <x:c r="G418" s="11" t="n">
        <x:v>0</x:v>
      </x:c>
      <x:c r="H418" s="25" t="n">
        <x:v>-0.6809189534141672</x:v>
      </x:c>
      <x:c r="I418" s="25" t="n">
        <x:v>-0.6809189534141672</x:v>
      </x:c>
      <x:c r="J418" s="25" t="str"/>
      <x:c r="K418" s="11" t="n">
        <x:v>0.009733</x:v>
      </x:c>
      <x:c r="L418" s="11" t="n">
        <x:v>8</x:v>
      </x:c>
      <x:c r="M418" s="11" t="n">
        <x:v>1.1</x:v>
      </x:c>
      <x:c r="N418" s="11" t="n">
        <x:v>0</x:v>
      </x:c>
      <x:c r="O418" s="11" t="str"/>
      <x:c r="P418" s="11" t="str"/>
      <x:c r="Q418" s="11" t="str"/>
      <x:c r="R418" s="11" t="str">
        <x:v>kingdee-cloud-evsales-cash-reserve-v1.0</x:v>
      </x:c>
      <x:c r="S418" s="11" t="str">
        <x:v>2026-10-10</x:v>
      </x:c>
      <x:c r="T418" s="11" t="str">
        <x:f>IF(AND(SUM(IF(K418='假设'!E556,0,1),IF(L418='假设'!F556,0,1),IF(M418='假设'!G556,0,1),IF(N418='假设'!H556,0,1),IF(O418='假设'!I556,0,1),IF(P418='假设'!J556,0,1),IF(Q418='假设'!K556,0,1))=0,U418=V418),"已刷新","待刷新")</x:f>
        <x:v>已刷新</x:v>
      </x:c>
      <x:c r="U418" t="str">
        <x:v>0.65|0.07|0|0.2|1|3.74|6.2|1.6|0.1|1.8</x:v>
      </x:c>
      <x:c r="V418" t="str">
        <x:f>'业务分拆假设'!D16&amp;"|"&amp;'业务分拆假设'!E16&amp;"|"&amp;'业务分拆假设'!F16&amp;"|"&amp;'业务分拆假设'!G16&amp;"|"&amp;'业务分拆假设'!H16&amp;"|"&amp;'业务分拆假设'!I16&amp;"|"&amp;'业务分拆假设'!J16&amp;"|"&amp;'业务分拆假设'!K16&amp;"|"&amp;'业务分拆假设'!L16&amp;"|"&amp;'业务分拆假设'!M16</x:f>
        <x:v>0.65|0.07|0|0.2|1|3.74|6.2|1.6|0.1|1.8</x:v>
      </x:c>
    </x:row>
    <x:row r="419" ht="23" customHeight="1">
      <x:c r="A419" s="11" t="str">
        <x:v>00268.HK</x:v>
      </x:c>
      <x:c r="B419" s="11" t="str">
        <x:v>金蝶国际</x:v>
      </x:c>
      <x:c r="C419" s="11" t="str">
        <x:v>一年</x:v>
      </x:c>
      <x:c r="D419" s="11" t="str">
        <x:v>基准</x:v>
      </x:c>
      <x:c r="E419" s="11" t="n">
        <x:v>7.835</x:v>
      </x:c>
      <x:c r="F419" s="11" t="n">
        <x:v>11.22</x:v>
      </x:c>
      <x:c r="G419" s="11" t="n">
        <x:v>0</x:v>
      </x:c>
      <x:c r="H419" s="25" t="n">
        <x:v>0.43203573707721765</x:v>
      </x:c>
      <x:c r="I419" s="25" t="n">
        <x:v>0.43203573707721765</x:v>
      </x:c>
      <x:c r="J419" s="25" t="str"/>
      <x:c r="K419" s="11" t="n">
        <x:v>0.028764</x:v>
      </x:c>
      <x:c r="L419" s="11" t="n">
        <x:v>12</x:v>
      </x:c>
      <x:c r="M419" s="11" t="n">
        <x:v>1.1</x:v>
      </x:c>
      <x:c r="N419" s="11" t="n">
        <x:v>0</x:v>
      </x:c>
      <x:c r="O419" s="11" t="str"/>
      <x:c r="P419" s="11" t="str"/>
      <x:c r="Q419" s="11" t="str"/>
      <x:c r="R419" s="11" t="str">
        <x:v>kingdee-cloud-evsales-cash-reserve-v1.0</x:v>
      </x:c>
      <x:c r="S419" s="11" t="str">
        <x:v>2026-10-10</x:v>
      </x:c>
      <x:c r="T419" s="11" t="str">
        <x:f>IF(AND(SUM(IF(K419='假设'!E557,0,1),IF(L419='假设'!F557,0,1),IF(M419='假设'!G557,0,1),IF(N419='假设'!H557,0,1),IF(O419='假设'!I557,0,1),IF(P419='假设'!J557,0,1),IF(Q419='假设'!K557,0,1))=0,U419=V419),"已刷新","待刷新")</x:f>
        <x:v>待刷新</x:v>
      </x:c>
      <x:c r="U419" t="str">
        <x:v>0.8|0.16|0|0.2|1|3.56|8.4|4.2|0.8|1</x:v>
      </x:c>
      <x:c r="V419" t="str">
        <x:f>'业务分拆假设'!D17&amp;"|"&amp;'业务分拆假设'!E17&amp;"|"&amp;'业务分拆假设'!F17&amp;"|"&amp;'业务分拆假设'!G17&amp;"|"&amp;'业务分拆假设'!H17&amp;"|"&amp;'业务分拆假设'!I17&amp;"|"&amp;'业务分拆假设'!J17&amp;"|"&amp;'业务分拆假设'!K17&amp;"|"&amp;'业务分拆假设'!L17&amp;"|"&amp;'业务分拆假设'!M17</x:f>
        <x:v>0.8|0.16|0|0.2|1|3.56|8.4|5.2|0.8|1</x:v>
      </x:c>
    </x:row>
    <x:row r="420" ht="23" customHeight="1">
      <x:c r="A420" s="11" t="str">
        <x:v>00268.HK</x:v>
      </x:c>
      <x:c r="B420" s="11" t="str">
        <x:v>金蝶国际</x:v>
      </x:c>
      <x:c r="C420" s="11" t="str">
        <x:v>一年</x:v>
      </x:c>
      <x:c r="D420" s="11" t="str">
        <x:v>乐观</x:v>
      </x:c>
      <x:c r="E420" s="11" t="n">
        <x:v>7.835</x:v>
      </x:c>
      <x:c r="F420" s="11" t="n">
        <x:v>18.33</x:v>
      </x:c>
      <x:c r="G420" s="11" t="n">
        <x:v>0.03</x:v>
      </x:c>
      <x:c r="H420" s="25" t="n">
        <x:v>1.339502233567326</x:v>
      </x:c>
      <x:c r="I420" s="25" t="n">
        <x:v>1.343331206126356</x:v>
      </x:c>
      <x:c r="J420" s="25" t="str"/>
      <x:c r="K420" s="11" t="n">
        <x:v>0.047179</x:v>
      </x:c>
      <x:c r="L420" s="11" t="n">
        <x:v>15</x:v>
      </x:c>
      <x:c r="M420" s="11" t="n">
        <x:v>1.1</x:v>
      </x:c>
      <x:c r="N420" s="11" t="n">
        <x:v>0.03</x:v>
      </x:c>
      <x:c r="O420" s="11" t="str"/>
      <x:c r="P420" s="11" t="str"/>
      <x:c r="Q420" s="11" t="str"/>
      <x:c r="R420" s="11" t="str">
        <x:v>kingdee-cloud-evsales-cash-reserve-v1.0</x:v>
      </x:c>
      <x:c r="S420" s="11" t="str">
        <x:v>2026-10-10</x:v>
      </x:c>
      <x:c r="T420" s="11" t="str">
        <x:f>IF(AND(SUM(IF(K420='假设'!E558,0,1),IF(L420='假设'!F558,0,1),IF(M420='假设'!G558,0,1),IF(N420='假设'!H558,0,1),IF(O420='假设'!I558,0,1),IF(P420='假设'!J558,0,1),IF(Q420='假设'!K558,0,1))=0,U420=V420),"已刷新","待刷新")</x:f>
        <x:v>已刷新</x:v>
      </x:c>
      <x:c r="U420" t="str">
        <x:v>0.9|0.23|0|0.2|1|3.51|10|5.5|1.4|0.4</x:v>
      </x:c>
      <x:c r="V420" t="str">
        <x:f>'业务分拆假设'!D18&amp;"|"&amp;'业务分拆假设'!E18&amp;"|"&amp;'业务分拆假设'!F18&amp;"|"&amp;'业务分拆假设'!G18&amp;"|"&amp;'业务分拆假设'!H18&amp;"|"&amp;'业务分拆假设'!I18&amp;"|"&amp;'业务分拆假设'!J18&amp;"|"&amp;'业务分拆假设'!K18&amp;"|"&amp;'业务分拆假设'!L18&amp;"|"&amp;'业务分拆假设'!M18</x:f>
        <x:v>0.9|0.23|0|0.2|1|3.51|10|5.5|1.4|0.4</x:v>
      </x:c>
    </x:row>
    <x:row r="421" ht="23" customHeight="1">
      <x:c r="A421" s="11" t="str">
        <x:v>00268.HK</x:v>
      </x:c>
      <x:c r="B421" s="11" t="str">
        <x:v>金蝶国际</x:v>
      </x:c>
      <x:c r="C421" s="11" t="str">
        <x:v>三年</x:v>
      </x:c>
      <x:c r="D421" s="11" t="str">
        <x:v>悲观</x:v>
      </x:c>
      <x:c r="E421" s="11" t="n">
        <x:v>7.835</x:v>
      </x:c>
      <x:c r="F421" s="11" t="n">
        <x:v>1.87</x:v>
      </x:c>
      <x:c r="G421" s="11" t="n">
        <x:v>0</x:v>
      </x:c>
      <x:c r="H421" s="25" t="n">
        <x:v>-0.7613273771537971</x:v>
      </x:c>
      <x:c r="I421" s="25" t="n">
        <x:v>-0.7613273771537971</x:v>
      </x:c>
      <x:c r="J421" s="25" t="n">
        <x:v>-0.3797013034416977</x:v>
      </x:c>
      <x:c r="K421" s="11" t="n">
        <x:v>0.004557</x:v>
      </x:c>
      <x:c r="L421" s="11" t="n">
        <x:v>7</x:v>
      </x:c>
      <x:c r="M421" s="11" t="n">
        <x:v>1.1</x:v>
      </x:c>
      <x:c r="N421" s="11" t="n">
        <x:v>0</x:v>
      </x:c>
      <x:c r="O421" s="11" t="str"/>
      <x:c r="P421" s="11" t="str"/>
      <x:c r="Q421" s="11" t="str"/>
      <x:c r="R421" s="11" t="str">
        <x:v>kingdee-cloud-evsales-cash-reserve-v1.0</x:v>
      </x:c>
      <x:c r="S421" s="11" t="str">
        <x:v>2026-10-10</x:v>
      </x:c>
      <x:c r="T421" s="11" t="str">
        <x:f>IF(AND(SUM(IF(K421='假设'!E560,0,1),IF(L421='假设'!F560,0,1),IF(M421='假设'!G560,0,1),IF(N421='假设'!H560,0,1),IF(O421='假设'!I560,0,1),IF(P421='假设'!J560,0,1),IF(Q421='假设'!K560,0,1))=0,U421=V421),"已刷新","待刷新")</x:f>
        <x:v>已刷新</x:v>
      </x:c>
      <x:c r="U421" t="str">
        <x:v>0.45|0.05|0|0.2|1|3.95|6.6|1.3|0|2</x:v>
      </x:c>
      <x:c r="V421" t="str">
        <x:f>'业务分拆假设'!D20&amp;"|"&amp;'业务分拆假设'!E20&amp;"|"&amp;'业务分拆假设'!F20&amp;"|"&amp;'业务分拆假设'!G20&amp;"|"&amp;'业务分拆假设'!H20&amp;"|"&amp;'业务分拆假设'!I20&amp;"|"&amp;'业务分拆假设'!J20&amp;"|"&amp;'业务分拆假设'!K20&amp;"|"&amp;'业务分拆假设'!L20&amp;"|"&amp;'业务分拆假设'!M20</x:f>
        <x:v>0.45|0.05|0|0.2|1|3.95|6.6|1.3|0|2</x:v>
      </x:c>
    </x:row>
    <x:row r="422" ht="23" customHeight="1">
      <x:c r="A422" s="11" t="str">
        <x:v>00268.HK</x:v>
      </x:c>
      <x:c r="B422" s="11" t="str">
        <x:v>金蝶国际</x:v>
      </x:c>
      <x:c r="C422" s="11" t="str">
        <x:v>三年</x:v>
      </x:c>
      <x:c r="D422" s="11" t="str">
        <x:v>基准</x:v>
      </x:c>
      <x:c r="E422" s="11" t="n">
        <x:v>7.835</x:v>
      </x:c>
      <x:c r="F422" s="11" t="n">
        <x:v>14.3</x:v>
      </x:c>
      <x:c r="G422" s="11" t="n">
        <x:v>0.12</x:v>
      </x:c>
      <x:c r="H422" s="25" t="n">
        <x:v>0.8251435864709638</x:v>
      </x:c>
      <x:c r="I422" s="25" t="n">
        <x:v>0.8404594767070837</x:v>
      </x:c>
      <x:c r="J422" s="25" t="n">
        <x:v>0.22548712581868613</x:v>
      </x:c>
      <x:c r="K422" s="11" t="n">
        <x:v>0.02</x:v>
      </x:c>
      <x:c r="L422" s="11" t="n">
        <x:v>11</x:v>
      </x:c>
      <x:c r="M422" s="11" t="n">
        <x:v>1.1</x:v>
      </x:c>
      <x:c r="N422" s="11" t="n">
        <x:v>0.12</x:v>
      </x:c>
      <x:c r="O422" s="11" t="str"/>
      <x:c r="P422" s="11" t="str"/>
      <x:c r="Q422" s="11" t="str"/>
      <x:c r="R422" s="11" t="str">
        <x:v>kingdee-cloud-evsales-cash-reserve-v1.0</x:v>
      </x:c>
      <x:c r="S422" s="11" t="str">
        <x:v>2026-10-10</x:v>
      </x:c>
      <x:c r="T422" s="11" t="str">
        <x:f>IF(AND(SUM(IF(K422='假设'!E561,0,1),IF(L422='假设'!F561,0,1),IF(M422='假设'!G561,0,1),IF(N422='假设'!H561,0,1),IF(O422='假设'!I561,0,1),IF(P422='假设'!J561,0,1),IF(Q422='假设'!K561,0,1))=0,U422=V422),"已刷新","待刷新")</x:f>
        <x:v>已刷新</x:v>
      </x:c>
      <x:c r="U422" t="str">
        <x:v>0.6|0.15|0|0.2|1|3.6|11.2|4.1|1.1|1</x:v>
      </x:c>
      <x:c r="V422" t="str">
        <x:f>'业务分拆假设'!D21&amp;"|"&amp;'业务分拆假设'!E21&amp;"|"&amp;'业务分拆假设'!F21&amp;"|"&amp;'业务分拆假设'!G21&amp;"|"&amp;'业务分拆假设'!H21&amp;"|"&amp;'业务分拆假设'!I21&amp;"|"&amp;'业务分拆假设'!J21&amp;"|"&amp;'业务分拆假设'!K21&amp;"|"&amp;'业务分拆假设'!L21&amp;"|"&amp;'业务分拆假设'!M21</x:f>
        <x:v>0.6|0.15|0|0.2|1|3.6|11.2|4.1|1.1|1</x:v>
      </x:c>
    </x:row>
    <x:row r="423" ht="23" customHeight="1">
      <x:c r="A423" s="11" t="str">
        <x:v>00268.HK</x:v>
      </x:c>
      <x:c r="B423" s="11" t="str">
        <x:v>金蝶国际</x:v>
      </x:c>
      <x:c r="C423" s="11" t="str">
        <x:v>三年</x:v>
      </x:c>
      <x:c r="D423" s="11" t="str">
        <x:v>乐观</x:v>
      </x:c>
      <x:c r="E423" s="11" t="n">
        <x:v>7.835</x:v>
      </x:c>
      <x:c r="F423" s="11" t="n">
        <x:v>26.95</x:v>
      </x:c>
      <x:c r="G423" s="11" t="n">
        <x:v>0.3</x:v>
      </x:c>
      <x:c r="H423" s="25" t="n">
        <x:v>2.4396936821952777</x:v>
      </x:c>
      <x:c r="I423" s="25" t="n">
        <x:v>2.4779834077855774</x:v>
      </x:c>
      <x:c r="J423" s="25" t="n">
        <x:v>0.5151041994338983</x:v>
      </x:c>
      <x:c r="K423" s="11" t="n">
        <x:v>0.036695</x:v>
      </x:c>
      <x:c r="L423" s="11" t="n">
        <x:v>14</x:v>
      </x:c>
      <x:c r="M423" s="11" t="n">
        <x:v>1.1</x:v>
      </x:c>
      <x:c r="N423" s="11" t="n">
        <x:v>0.3</x:v>
      </x:c>
      <x:c r="O423" s="11" t="str"/>
      <x:c r="P423" s="11" t="str"/>
      <x:c r="Q423" s="11" t="str"/>
      <x:c r="R423" s="11" t="str">
        <x:v>kingdee-cloud-evsales-cash-reserve-v1.0</x:v>
      </x:c>
      <x:c r="S423" s="11" t="str">
        <x:v>2026-10-10</x:v>
      </x:c>
      <x:c r="T423" s="11" t="str">
        <x:f>IF(AND(SUM(IF(K423='假设'!E562,0,1),IF(L423='假设'!F562,0,1),IF(M423='假设'!G562,0,1),IF(N423='假设'!H562,0,1),IF(O423='假设'!I562,0,1),IF(P423='假设'!J562,0,1),IF(Q423='假设'!K562,0,1))=0,U423=V423),"已刷新","待刷新")</x:f>
        <x:v>已刷新</x:v>
      </x:c>
      <x:c r="U423" t="str">
        <x:v>0.7|0.23|0|0.2|1|3.51|15|5.5|2|0.3</x:v>
      </x:c>
      <x:c r="V423" t="str">
        <x:f>'业务分拆假设'!D22&amp;"|"&amp;'业务分拆假设'!E22&amp;"|"&amp;'业务分拆假设'!F22&amp;"|"&amp;'业务分拆假设'!G22&amp;"|"&amp;'业务分拆假设'!H22&amp;"|"&amp;'业务分拆假设'!I22&amp;"|"&amp;'业务分拆假设'!J22&amp;"|"&amp;'业务分拆假设'!K22&amp;"|"&amp;'业务分拆假设'!L22&amp;"|"&amp;'业务分拆假设'!M22</x:f>
        <x:v>0.7|0.23|0|0.2|1|3.51|15|5.5|2|0.3</x:v>
      </x:c>
    </x:row>
    <x:row r="424" ht="23" customHeight="1">
      <x:c r="A424" s="11" t="str">
        <x:v>00268.HK</x:v>
      </x:c>
      <x:c r="B424" s="11" t="str">
        <x:v>金蝶国际</x:v>
      </x:c>
      <x:c r="C424" s="11" t="str">
        <x:v>五年</x:v>
      </x:c>
      <x:c r="D424" s="11" t="str">
        <x:v>悲观</x:v>
      </x:c>
      <x:c r="E424" s="11" t="n">
        <x:v>7.835</x:v>
      </x:c>
      <x:c r="F424" s="11" t="n">
        <x:v>1.24</x:v>
      </x:c>
      <x:c r="G424" s="11" t="n">
        <x:v>0</x:v>
      </x:c>
      <x:c r="H424" s="25" t="n">
        <x:v>-0.8417358008934269</x:v>
      </x:c>
      <x:c r="I424" s="25" t="n">
        <x:v>-0.8417358008934269</x:v>
      </x:c>
      <x:c r="J424" s="25" t="n">
        <x:v>-0.3083656778518693</x:v>
      </x:c>
      <x:c r="K424" s="11" t="n">
        <x:v>0.001714</x:v>
      </x:c>
      <x:c r="L424" s="11" t="n">
        <x:v>6</x:v>
      </x:c>
      <x:c r="M424" s="11" t="n">
        <x:v>1.1</x:v>
      </x:c>
      <x:c r="N424" s="11" t="n">
        <x:v>0</x:v>
      </x:c>
      <x:c r="O424" s="11" t="str"/>
      <x:c r="P424" s="11" t="str"/>
      <x:c r="Q424" s="11" t="str"/>
      <x:c r="R424" s="11" t="str">
        <x:v>kingdee-cloud-evsales-cash-reserve-v1.0</x:v>
      </x:c>
      <x:c r="S424" s="11" t="str">
        <x:v>2026-10-10</x:v>
      </x:c>
      <x:c r="T424" s="11" t="str">
        <x:f>IF(AND(SUM(IF(K424='假设'!E564,0,1),IF(L424='假设'!F564,0,1),IF(M424='假设'!G564,0,1),IF(N424='假设'!H564,0,1),IF(O424='假设'!I564,0,1),IF(P424='假设'!J564,0,1),IF(Q424='假设'!K564,0,1))=0,U424=V424),"已刷新","待刷新")</x:f>
        <x:v>已刷新</x:v>
      </x:c>
      <x:c r="U424" t="str">
        <x:v>0.3|0.03|0|0.2|1|4.2|6.8|1|0|2.1</x:v>
      </x:c>
      <x:c r="V424" t="str">
        <x:f>'业务分拆假设'!D24&amp;"|"&amp;'业务分拆假设'!E24&amp;"|"&amp;'业务分拆假设'!F24&amp;"|"&amp;'业务分拆假设'!G24&amp;"|"&amp;'业务分拆假设'!H24&amp;"|"&amp;'业务分拆假设'!I24&amp;"|"&amp;'业务分拆假设'!J24&amp;"|"&amp;'业务分拆假设'!K24&amp;"|"&amp;'业务分拆假设'!L24&amp;"|"&amp;'业务分拆假设'!M24</x:f>
        <x:v>0.3|0.03|0|0.2|1|4.2|6.8|1|0|2.1</x:v>
      </x:c>
    </x:row>
    <x:row r="425" ht="23" customHeight="1">
      <x:c r="A425" s="11" t="str">
        <x:v>00268.HK</x:v>
      </x:c>
      <x:c r="B425" s="11" t="str">
        <x:v>金蝶国际</x:v>
      </x:c>
      <x:c r="C425" s="11" t="str">
        <x:v>五年</x:v>
      </x:c>
      <x:c r="D425" s="11" t="str">
        <x:v>基准</x:v>
      </x:c>
      <x:c r="E425" s="11" t="n">
        <x:v>7.835</x:v>
      </x:c>
      <x:c r="F425" s="11" t="n">
        <x:v>15.17</x:v>
      </x:c>
      <x:c r="G425" s="11" t="n">
        <x:v>0.4</x:v>
      </x:c>
      <x:c r="H425" s="25" t="n">
        <x:v>0.9361837906828334</x:v>
      </x:c>
      <x:c r="I425" s="25" t="n">
        <x:v>0.9872367581365666</x:v>
      </x:c>
      <x:c r="J425" s="25" t="n">
        <x:v>0.14722848664249288</x:v>
      </x:c>
      <x:c r="K425" s="11" t="n">
        <x:v>0.013733</x:v>
      </x:c>
      <x:c r="L425" s="11" t="n">
        <x:v>10</x:v>
      </x:c>
      <x:c r="M425" s="11" t="n">
        <x:v>1.1</x:v>
      </x:c>
      <x:c r="N425" s="11" t="n">
        <x:v>0.4</x:v>
      </x:c>
      <x:c r="O425" s="11" t="str"/>
      <x:c r="P425" s="11" t="str"/>
      <x:c r="Q425" s="11" t="str"/>
      <x:c r="R425" s="11" t="str">
        <x:v>kingdee-cloud-evsales-cash-reserve-v1.0</x:v>
      </x:c>
      <x:c r="S425" s="11" t="str">
        <x:v>2026-10-10</x:v>
      </x:c>
      <x:c r="T425" s="11" t="str">
        <x:f>IF(AND(SUM(IF(K425='假设'!E565,0,1),IF(L425='假设'!F565,0,1),IF(M425='假设'!G565,0,1),IF(N425='假设'!H565,0,1),IF(O425='假设'!I565,0,1),IF(P425='假设'!J565,0,1),IF(Q425='假设'!K565,0,1))=0,U425=V425),"已刷新","待刷新")</x:f>
        <x:v>已刷新</x:v>
      </x:c>
      <x:c r="U425" t="str">
        <x:v>0.45|0.14|0|0.2|1|3.67|13.7|3.6|1.5|0.7</x:v>
      </x:c>
      <x:c r="V425" t="str">
        <x:f>'业务分拆假设'!D25&amp;"|"&amp;'业务分拆假设'!E25&amp;"|"&amp;'业务分拆假设'!F25&amp;"|"&amp;'业务分拆假设'!G25&amp;"|"&amp;'业务分拆假设'!H25&amp;"|"&amp;'业务分拆假设'!I25&amp;"|"&amp;'业务分拆假设'!J25&amp;"|"&amp;'业务分拆假设'!K25&amp;"|"&amp;'业务分拆假设'!L25&amp;"|"&amp;'业务分拆假设'!M25</x:f>
        <x:v>0.45|0.14|0|0.2|1|3.67|13.7|3.6|1.5|0.7</x:v>
      </x:c>
    </x:row>
    <x:row r="426" ht="23" customHeight="1">
      <x:c r="A426" s="11" t="str">
        <x:v>00268.HK</x:v>
      </x:c>
      <x:c r="B426" s="11" t="str">
        <x:v>金蝶国际</x:v>
      </x:c>
      <x:c r="C426" s="11" t="str">
        <x:v>五年</x:v>
      </x:c>
      <x:c r="D426" s="11" t="str">
        <x:v>乐观</x:v>
      </x:c>
      <x:c r="E426" s="11" t="n">
        <x:v>7.835</x:v>
      </x:c>
      <x:c r="F426" s="11" t="n">
        <x:v>35.84</x:v>
      </x:c>
      <x:c r="G426" s="11" t="n">
        <x:v>1.1</x:v>
      </x:c>
      <x:c r="H426" s="25" t="n">
        <x:v>3.5743458838545</x:v>
      </x:c>
      <x:c r="I426" s="25" t="n">
        <x:v>3.7147415443522664</x:v>
      </x:c>
      <x:c r="J426" s="25" t="n">
        <x:v>0.3636143976616235</x:v>
      </x:c>
      <x:c r="K426" s="11" t="n">
        <x:v>0.030085</x:v>
      </x:c>
      <x:c r="L426" s="11" t="n">
        <x:v>13</x:v>
      </x:c>
      <x:c r="M426" s="11" t="n">
        <x:v>1.1</x:v>
      </x:c>
      <x:c r="N426" s="11" t="n">
        <x:v>1.1</x:v>
      </x:c>
      <x:c r="O426" s="11" t="str"/>
      <x:c r="P426" s="11" t="str"/>
      <x:c r="Q426" s="11" t="str"/>
      <x:c r="R426" s="11" t="str">
        <x:v>kingdee-cloud-evsales-cash-reserve-v1.0</x:v>
      </x:c>
      <x:c r="S426" s="11" t="str">
        <x:v>2026-10-10</x:v>
      </x:c>
      <x:c r="T426" s="11" t="str">
        <x:f>IF(AND(SUM(IF(K426='假设'!E566,0,1),IF(L426='假设'!F566,0,1),IF(M426='假设'!G566,0,1),IF(N426='假设'!H566,0,1),IF(O426='假设'!I566,0,1),IF(P426='假设'!J566,0,1),IF(Q426='假设'!K566,0,1))=0,U426=V426),"已刷新","待刷新")</x:f>
        <x:v>已刷新</x:v>
      </x:c>
      <x:c r="U426" t="str">
        <x:v>0.6|0.22|0|0.2|1|3.51|22|5|3.2|0.2</x:v>
      </x:c>
      <x:c r="V426" t="str">
        <x:f>'业务分拆假设'!D26&amp;"|"&amp;'业务分拆假设'!E26&amp;"|"&amp;'业务分拆假设'!F26&amp;"|"&amp;'业务分拆假设'!G26&amp;"|"&amp;'业务分拆假设'!H26&amp;"|"&amp;'业务分拆假设'!I26&amp;"|"&amp;'业务分拆假设'!J26&amp;"|"&amp;'业务分拆假设'!K26&amp;"|"&amp;'业务分拆假设'!L26&amp;"|"&amp;'业务分拆假设'!M26</x:f>
        <x:v>0.6|0.22|0|0.2|1|3.51|22|5|3.2|0.2</x:v>
      </x:c>
    </x:row>
    <x:row r="427" ht="23" customHeight="1">
      <x:c r="A427" s="11" t="str">
        <x:v>01024.HK</x:v>
      </x:c>
      <x:c r="B427" s="11" t="str">
        <x:v>快手-W</x:v>
      </x:c>
      <x:c r="C427" s="11" t="str">
        <x:v>2026年底</x:v>
      </x:c>
      <x:c r="D427" s="11" t="str">
        <x:v>悲观</x:v>
      </x:c>
      <x:c r="E427" s="11" t="n">
        <x:v>30.1</x:v>
      </x:c>
      <x:c r="F427" s="11" t="n">
        <x:v>15.2</x:v>
      </x:c>
      <x:c r="G427" s="11" t="n">
        <x:v>0</x:v>
      </x:c>
      <x:c r="H427" s="25" t="n">
        <x:v>-0.4950166112956811</x:v>
      </x:c>
      <x:c r="I427" s="25" t="n">
        <x:v>-0.4950166112956811</x:v>
      </x:c>
      <x:c r="J427" s="25" t="str"/>
      <x:c r="K427" s="11" t="n">
        <x:v>1.382</x:v>
      </x:c>
      <x:c r="L427" s="11" t="n">
        <x:v>10</x:v>
      </x:c>
      <x:c r="M427" s="11" t="n">
        <x:v>1.1</x:v>
      </x:c>
      <x:c r="N427" s="11" t="n">
        <x:v>0</x:v>
      </x:c>
      <x:c r="O427" s="11" t="str"/>
      <x:c r="P427" s="11" t="str"/>
      <x:c r="Q427" s="11" t="str"/>
      <x:c r="R427" s="11" t="str">
        <x:v>kuaishou-core-kling-normalized-v1.0</x:v>
      </x:c>
      <x:c r="S427" s="11" t="str">
        <x:v>2026-10-10</x:v>
      </x:c>
      <x:c r="T427" s="11" t="str">
        <x:f>IF(AND(SUM(IF(K427='假设'!E568,0,1),IF(L427='假设'!F568,0,1),IF(M427='假设'!G568,0,1),IF(N427='假设'!H568,0,1),IF(O427='假设'!I568,0,1),IF(P427='假设'!J568,0,1),IF(Q427='假设'!K568,0,1))=0,U427=V427),"已刷新","待刷新")</x:f>
        <x:v>已刷新</x:v>
      </x:c>
      <x:c r="U427" t="str">
        <x:v>75|0.27|30|0.17|19|0.37|20|3.2|0.3|8|0.64|0.4|0.2|0.4|4.5</x:v>
      </x:c>
      <x:c r="V427" t="str">
        <x:f>'内容经营假设'!D8&amp;"|"&amp;'内容经营假设'!E8&amp;"|"&amp;'内容经营假设'!F8&amp;"|"&amp;'内容经营假设'!G8&amp;"|"&amp;'内容经营假设'!H8&amp;"|"&amp;'内容经营假设'!I8&amp;"|"&amp;'内容经营假设'!J8&amp;"|"&amp;'内容经营假设'!K8&amp;"|"&amp;'内容经营假设'!L8&amp;"|"&amp;'内容经营假设'!M8&amp;"|"&amp;'内容经营假设'!N8&amp;"|"&amp;'内容经营假设'!O8&amp;"|"&amp;'内容经营假设'!P8&amp;"|"&amp;'内容经营假设'!Q8&amp;"|"&amp;'内容经营假设'!R8</x:f>
        <x:v>75|0.27|30|0.17|19|0.37|20|3.2|0.3|8|0.64|0.4|0.2|0.4|4.5</x:v>
      </x:c>
    </x:row>
    <x:row r="428" ht="23" customHeight="1">
      <x:c r="A428" s="11" t="str">
        <x:v>01024.HK</x:v>
      </x:c>
      <x:c r="B428" s="11" t="str">
        <x:v>快手-W</x:v>
      </x:c>
      <x:c r="C428" s="11" t="str">
        <x:v>2026年底</x:v>
      </x:c>
      <x:c r="D428" s="11" t="str">
        <x:v>基准</x:v>
      </x:c>
      <x:c r="E428" s="11" t="n">
        <x:v>30.1</x:v>
      </x:c>
      <x:c r="F428" s="11" t="n">
        <x:v>43.07</x:v>
      </x:c>
      <x:c r="G428" s="11" t="n">
        <x:v>0</x:v>
      </x:c>
      <x:c r="H428" s="25" t="n">
        <x:v>0.43089700996677727</x:v>
      </x:c>
      <x:c r="I428" s="25" t="n">
        <x:v>0.43089700996677727</x:v>
      </x:c>
      <x:c r="J428" s="25" t="str"/>
      <x:c r="K428" s="11" t="n">
        <x:v>2.303</x:v>
      </x:c>
      <x:c r="L428" s="11" t="n">
        <x:v>17</x:v>
      </x:c>
      <x:c r="M428" s="11" t="n">
        <x:v>1.1</x:v>
      </x:c>
      <x:c r="N428" s="11" t="n">
        <x:v>0</x:v>
      </x:c>
      <x:c r="O428" s="11" t="str"/>
      <x:c r="P428" s="11" t="str"/>
      <x:c r="Q428" s="11" t="str"/>
      <x:c r="R428" s="11" t="str">
        <x:v>kuaishou-core-kling-normalized-v1.0</x:v>
      </x:c>
      <x:c r="S428" s="11" t="str">
        <x:v>2026-10-10</x:v>
      </x:c>
      <x:c r="T428" s="11" t="str">
        <x:f>IF(AND(SUM(IF(K428='假设'!E569,0,1),IF(L428='假设'!F569,0,1),IF(M428='假设'!G569,0,1),IF(N428='假设'!H569,0,1),IF(O428='假设'!I569,0,1),IF(P428='假设'!J569,0,1),IF(Q428='假设'!K569,0,1))=0,U428=V428),"已刷新","待刷新")</x:f>
        <x:v>已刷新</x:v>
      </x:c>
      <x:c r="U428" t="str">
        <x:v>79|0.31|32|0.19|21|0.42|23|3.8|0.46|8|0.6833|0.8|0.2|0.2|4.4</x:v>
      </x:c>
      <x:c r="V428" t="str">
        <x:f>'内容经营假设'!D9&amp;"|"&amp;'内容经营假设'!E9&amp;"|"&amp;'内容经营假设'!F9&amp;"|"&amp;'内容经营假设'!G9&amp;"|"&amp;'内容经营假设'!H9&amp;"|"&amp;'内容经营假设'!I9&amp;"|"&amp;'内容经营假设'!J9&amp;"|"&amp;'内容经营假设'!K9&amp;"|"&amp;'内容经营假设'!L9&amp;"|"&amp;'内容经营假设'!M9&amp;"|"&amp;'内容经营假设'!N9&amp;"|"&amp;'内容经营假设'!O9&amp;"|"&amp;'内容经营假设'!P9&amp;"|"&amp;'内容经营假设'!Q9&amp;"|"&amp;'内容经营假设'!R9</x:f>
        <x:v>79|0.31|32|0.19|21|0.42|23|3.8|0.46|8|0.6833|0.8|0.2|0.2|4.4</x:v>
      </x:c>
    </x:row>
    <x:row r="429" ht="23" customHeight="1">
      <x:c r="A429" s="11" t="str">
        <x:v>01024.HK</x:v>
      </x:c>
      <x:c r="B429" s="11" t="str">
        <x:v>快手-W</x:v>
      </x:c>
      <x:c r="C429" s="11" t="str">
        <x:v>2026年底</x:v>
      </x:c>
      <x:c r="D429" s="11" t="str">
        <x:v>乐观</x:v>
      </x:c>
      <x:c r="E429" s="11" t="n">
        <x:v>30.1</x:v>
      </x:c>
      <x:c r="F429" s="11" t="n">
        <x:v>80.02</x:v>
      </x:c>
      <x:c r="G429" s="11" t="n">
        <x:v>0</x:v>
      </x:c>
      <x:c r="H429" s="25" t="n">
        <x:v>1.658471760797342</x:v>
      </x:c>
      <x:c r="I429" s="25" t="n">
        <x:v>1.658471760797342</x:v>
      </x:c>
      <x:c r="J429" s="25" t="str"/>
      <x:c r="K429" s="11" t="n">
        <x:v>3.464</x:v>
      </x:c>
      <x:c r="L429" s="11" t="n">
        <x:v>21</x:v>
      </x:c>
      <x:c r="M429" s="11" t="n">
        <x:v>1.1</x:v>
      </x:c>
      <x:c r="N429" s="11" t="n">
        <x:v>0</x:v>
      </x:c>
      <x:c r="O429" s="11" t="str"/>
      <x:c r="P429" s="11" t="str"/>
      <x:c r="Q429" s="11" t="str"/>
      <x:c r="R429" s="11" t="str">
        <x:v>kuaishou-core-kling-normalized-v1.0</x:v>
      </x:c>
      <x:c r="S429" s="11" t="str">
        <x:v>2026-10-10</x:v>
      </x:c>
      <x:c r="T429" s="11" t="str">
        <x:f>IF(AND(SUM(IF(K429='假设'!E570,0,1),IF(L429='假设'!F570,0,1),IF(M429='假设'!G570,0,1),IF(N429='假设'!H570,0,1),IF(O429='假设'!I570,0,1),IF(P429='假设'!J570,0,1),IF(Q429='假设'!K570,0,1))=0,U429=V429),"已刷新","待刷新")</x:f>
        <x:v>已刷新</x:v>
      </x:c>
      <x:c r="U429" t="str">
        <x:v>83|0.34|34|0.21|23|0.46|25|4.8|0.58|7.5|0.72|1.2|0.2|0.1|4.3</x:v>
      </x:c>
      <x:c r="V429" t="str">
        <x:f>'内容经营假设'!D10&amp;"|"&amp;'内容经营假设'!E10&amp;"|"&amp;'内容经营假设'!F10&amp;"|"&amp;'内容经营假设'!G10&amp;"|"&amp;'内容经营假设'!H10&amp;"|"&amp;'内容经营假设'!I10&amp;"|"&amp;'内容经营假设'!J10&amp;"|"&amp;'内容经营假设'!K10&amp;"|"&amp;'内容经营假设'!L10&amp;"|"&amp;'内容经营假设'!M10&amp;"|"&amp;'内容经营假设'!N10&amp;"|"&amp;'内容经营假设'!O10&amp;"|"&amp;'内容经营假设'!P10&amp;"|"&amp;'内容经营假设'!Q10&amp;"|"&amp;'内容经营假设'!R10</x:f>
        <x:v>83|0.34|34|0.21|23|0.46|25|4.8|0.58|7.5|0.72|1.2|0.2|0.1|4.3</x:v>
      </x:c>
    </x:row>
    <x:row r="430" ht="23" customHeight="1">
      <x:c r="A430" s="11" t="str">
        <x:v>01024.HK</x:v>
      </x:c>
      <x:c r="B430" s="11" t="str">
        <x:v>快手-W</x:v>
      </x:c>
      <x:c r="C430" s="11" t="str">
        <x:v>半年</x:v>
      </x:c>
      <x:c r="D430" s="11" t="str">
        <x:v>悲观</x:v>
      </x:c>
      <x:c r="E430" s="11" t="n">
        <x:v>30.1</x:v>
      </x:c>
      <x:c r="F430" s="11" t="n">
        <x:v>13.85</x:v>
      </x:c>
      <x:c r="G430" s="11" t="n">
        <x:v>0</x:v>
      </x:c>
      <x:c r="H430" s="25" t="n">
        <x:v>-0.5398671096345515</x:v>
      </x:c>
      <x:c r="I430" s="25" t="n">
        <x:v>-0.5398671096345515</x:v>
      </x:c>
      <x:c r="J430" s="25" t="str"/>
      <x:c r="K430" s="11" t="n">
        <x:v>1.259</x:v>
      </x:c>
      <x:c r="L430" s="11" t="n">
        <x:v>10</x:v>
      </x:c>
      <x:c r="M430" s="11" t="n">
        <x:v>1.1</x:v>
      </x:c>
      <x:c r="N430" s="11" t="n">
        <x:v>0</x:v>
      </x:c>
      <x:c r="O430" s="11" t="str"/>
      <x:c r="P430" s="11" t="str"/>
      <x:c r="Q430" s="11" t="str"/>
      <x:c r="R430" s="11" t="str">
        <x:v>kuaishou-core-kling-normalized-v1.0</x:v>
      </x:c>
      <x:c r="S430" s="11" t="str">
        <x:v>2026-10-10</x:v>
      </x:c>
      <x:c r="T430" s="11" t="str">
        <x:f>IF(AND(SUM(IF(K430='假设'!E572,0,1),IF(L430='假设'!F572,0,1),IF(M430='假设'!G572,0,1),IF(N430='假设'!H572,0,1),IF(O430='假设'!I572,0,1),IF(P430='假设'!J572,0,1),IF(Q430='假设'!K572,0,1))=0,U430=V430),"已刷新","待刷新")</x:f>
        <x:v>已刷新</x:v>
      </x:c>
      <x:c r="U430" t="str">
        <x:v>72|0.265|29|0.17|18|0.37|19|3.5|0.3|8|0.62|0.3|0.2|0.4|4.55</x:v>
      </x:c>
      <x:c r="V430" t="str">
        <x:f>'内容经营假设'!D12&amp;"|"&amp;'内容经营假设'!E12&amp;"|"&amp;'内容经营假设'!F12&amp;"|"&amp;'内容经营假设'!G12&amp;"|"&amp;'内容经营假设'!H12&amp;"|"&amp;'内容经营假设'!I12&amp;"|"&amp;'内容经营假设'!J12&amp;"|"&amp;'内容经营假设'!K12&amp;"|"&amp;'内容经营假设'!L12&amp;"|"&amp;'内容经营假设'!M12&amp;"|"&amp;'内容经营假设'!N12&amp;"|"&amp;'内容经营假设'!O12&amp;"|"&amp;'内容经营假设'!P12&amp;"|"&amp;'内容经营假设'!Q12&amp;"|"&amp;'内容经营假设'!R12</x:f>
        <x:v>72|0.265|29|0.17|18|0.37|19|3.5|0.3|8|0.62|0.3|0.2|0.4|4.55</x:v>
      </x:c>
    </x:row>
    <x:row r="431" ht="23" customHeight="1">
      <x:c r="A431" s="11" t="str">
        <x:v>01024.HK</x:v>
      </x:c>
      <x:c r="B431" s="11" t="str">
        <x:v>快手-W</x:v>
      </x:c>
      <x:c r="C431" s="11" t="str">
        <x:v>半年</x:v>
      </x:c>
      <x:c r="D431" s="11" t="str">
        <x:v>基准</x:v>
      </x:c>
      <x:c r="E431" s="11" t="n">
        <x:v>30.1</x:v>
      </x:c>
      <x:c r="F431" s="11" t="n">
        <x:v>48.33</x:v>
      </x:c>
      <x:c r="G431" s="11" t="n">
        <x:v>0</x:v>
      </x:c>
      <x:c r="H431" s="25" t="n">
        <x:v>0.6056478405315613</x:v>
      </x:c>
      <x:c r="I431" s="25" t="n">
        <x:v>0.6056478405315613</x:v>
      </x:c>
      <x:c r="J431" s="25" t="str"/>
      <x:c r="K431" s="11" t="n">
        <x:v>2.441</x:v>
      </x:c>
      <x:c r="L431" s="11" t="n">
        <x:v>18</x:v>
      </x:c>
      <x:c r="M431" s="11" t="n">
        <x:v>1.1</x:v>
      </x:c>
      <x:c r="N431" s="11" t="n">
        <x:v>0</x:v>
      </x:c>
      <x:c r="O431" s="11" t="str"/>
      <x:c r="P431" s="11" t="str"/>
      <x:c r="Q431" s="11" t="str"/>
      <x:c r="R431" s="11" t="str">
        <x:v>kuaishou-core-kling-normalized-v1.0</x:v>
      </x:c>
      <x:c r="S431" s="11" t="str">
        <x:v>2026-10-10</x:v>
      </x:c>
      <x:c r="T431" s="11" t="str">
        <x:f>IF(AND(SUM(IF(K431='假设'!E573,0,1),IF(L431='假设'!F573,0,1),IF(M431='假设'!G573,0,1),IF(N431='假设'!H573,0,1),IF(O431='假设'!I573,0,1),IF(P431='假设'!J573,0,1),IF(Q431='假设'!K573,0,1))=0,U431=V431),"已刷新","待刷新")</x:f>
        <x:v>已刷新</x:v>
      </x:c>
      <x:c r="U431" t="str">
        <x:v>80|0.32|31|0.19|22|0.43|24|5|0.48|8.5|0.6833|0.8|0.2|0.2|4.37</x:v>
      </x:c>
      <x:c r="V431" t="str">
        <x:f>'内容经营假设'!D13&amp;"|"&amp;'内容经营假设'!E13&amp;"|"&amp;'内容经营假设'!F13&amp;"|"&amp;'内容经营假设'!G13&amp;"|"&amp;'内容经营假设'!H13&amp;"|"&amp;'内容经营假设'!I13&amp;"|"&amp;'内容经营假设'!J13&amp;"|"&amp;'内容经营假设'!K13&amp;"|"&amp;'内容经营假设'!L13&amp;"|"&amp;'内容经营假设'!M13&amp;"|"&amp;'内容经营假设'!N13&amp;"|"&amp;'内容经营假设'!O13&amp;"|"&amp;'内容经营假设'!P13&amp;"|"&amp;'内容经营假设'!Q13&amp;"|"&amp;'内容经营假设'!R13</x:f>
        <x:v>80|0.32|31|0.19|22|0.43|24|5|0.48|8.5|0.6833|0.8|0.2|0.2|4.37</x:v>
      </x:c>
    </x:row>
    <x:row r="432" ht="23" customHeight="1">
      <x:c r="A432" s="11" t="str">
        <x:v>01024.HK</x:v>
      </x:c>
      <x:c r="B432" s="11" t="str">
        <x:v>快手-W</x:v>
      </x:c>
      <x:c r="C432" s="11" t="str">
        <x:v>半年</x:v>
      </x:c>
      <x:c r="D432" s="11" t="str">
        <x:v>乐观</x:v>
      </x:c>
      <x:c r="E432" s="11" t="n">
        <x:v>30.1</x:v>
      </x:c>
      <x:c r="F432" s="11" t="n">
        <x:v>98.71</x:v>
      </x:c>
      <x:c r="G432" s="11" t="n">
        <x:v>0</x:v>
      </x:c>
      <x:c r="H432" s="25" t="n">
        <x:v>2.2794019933554814</x:v>
      </x:c>
      <x:c r="I432" s="25" t="n">
        <x:v>2.2794019933554814</x:v>
      </x:c>
      <x:c r="J432" s="25" t="str"/>
      <x:c r="K432" s="11" t="n">
        <x:v>4.079</x:v>
      </x:c>
      <x:c r="L432" s="11" t="n">
        <x:v>22</x:v>
      </x:c>
      <x:c r="M432" s="11" t="n">
        <x:v>1.1</x:v>
      </x:c>
      <x:c r="N432" s="11" t="n">
        <x:v>0</x:v>
      </x:c>
      <x:c r="O432" s="11" t="str"/>
      <x:c r="P432" s="11" t="str"/>
      <x:c r="Q432" s="11" t="str"/>
      <x:c r="R432" s="11" t="str">
        <x:v>kuaishou-core-kling-normalized-v1.0</x:v>
      </x:c>
      <x:c r="S432" s="11" t="str">
        <x:v>2026-10-10</x:v>
      </x:c>
      <x:c r="T432" s="11" t="str">
        <x:f>IF(AND(SUM(IF(K432='假设'!E574,0,1),IF(L432='假设'!F574,0,1),IF(M432='假设'!G574,0,1),IF(N432='假设'!H574,0,1),IF(O432='假设'!I574,0,1),IF(P432='假设'!J574,0,1),IF(Q432='假设'!K574,0,1))=0,U432=V432),"已刷新","待刷新")</x:f>
        <x:v>已刷新</x:v>
      </x:c>
      <x:c r="U432" t="str">
        <x:v>86|0.35|34|0.22|25|0.47|26|7|0.6|8|0.72|1.2|0.2|0.1|4.25</x:v>
      </x:c>
      <x:c r="V432" t="str">
        <x:f>'内容经营假设'!D14&amp;"|"&amp;'内容经营假设'!E14&amp;"|"&amp;'内容经营假设'!F14&amp;"|"&amp;'内容经营假设'!G14&amp;"|"&amp;'内容经营假设'!H14&amp;"|"&amp;'内容经营假设'!I14&amp;"|"&amp;'内容经营假设'!J14&amp;"|"&amp;'内容经营假设'!K14&amp;"|"&amp;'内容经营假设'!L14&amp;"|"&amp;'内容经营假设'!M14&amp;"|"&amp;'内容经营假设'!N14&amp;"|"&amp;'内容经营假设'!O14&amp;"|"&amp;'内容经营假设'!P14&amp;"|"&amp;'内容经营假设'!Q14&amp;"|"&amp;'内容经营假设'!R14</x:f>
        <x:v>86|0.35|34|0.22|25|0.47|26|7|0.6|8|0.72|1.2|0.2|0.1|4.25</x:v>
      </x:c>
    </x:row>
    <x:row r="433" ht="23" customHeight="1">
      <x:c r="A433" s="11" t="str">
        <x:v>01024.HK</x:v>
      </x:c>
      <x:c r="B433" s="11" t="str">
        <x:v>快手-W</x:v>
      </x:c>
      <x:c r="C433" s="11" t="str">
        <x:v>一年</x:v>
      </x:c>
      <x:c r="D433" s="11" t="str">
        <x:v>悲观</x:v>
      </x:c>
      <x:c r="E433" s="11" t="n">
        <x:v>30.1</x:v>
      </x:c>
      <x:c r="F433" s="11" t="n">
        <x:v>11.45</x:v>
      </x:c>
      <x:c r="G433" s="11" t="n">
        <x:v>0.1</x:v>
      </x:c>
      <x:c r="H433" s="25" t="n">
        <x:v>-0.6196013289036546</x:v>
      </x:c>
      <x:c r="I433" s="25" t="n">
        <x:v>-0.6162790697674418</x:v>
      </x:c>
      <x:c r="J433" s="25" t="str"/>
      <x:c r="K433" s="11" t="n">
        <x:v>1.157</x:v>
      </x:c>
      <x:c r="L433" s="11" t="n">
        <x:v>9</x:v>
      </x:c>
      <x:c r="M433" s="11" t="n">
        <x:v>1.1</x:v>
      </x:c>
      <x:c r="N433" s="11" t="n">
        <x:v>0.1</x:v>
      </x:c>
      <x:c r="O433" s="11" t="str"/>
      <x:c r="P433" s="11" t="str"/>
      <x:c r="Q433" s="11" t="str"/>
      <x:c r="R433" s="11" t="str">
        <x:v>kuaishou-core-kling-normalized-v1.0</x:v>
      </x:c>
      <x:c r="S433" s="11" t="str">
        <x:v>2026-10-10</x:v>
      </x:c>
      <x:c r="T433" s="11" t="str">
        <x:f>IF(AND(SUM(IF(K433='假设'!E576,0,1),IF(L433='假设'!F576,0,1),IF(M433='假设'!G576,0,1),IF(N433='假设'!H576,0,1),IF(O433='假设'!I576,0,1),IF(P433='假设'!J576,0,1),IF(Q433='假设'!K576,0,1))=0,U433=V433),"已刷新","待刷新")</x:f>
        <x:v>已刷新</x:v>
      </x:c>
      <x:c r="U433" t="str">
        <x:v>70|0.265|27|0.17|18|0.37|18.5|4|0.32|8.3|0.6|0.2|0.2|0.45|4.65</x:v>
      </x:c>
      <x:c r="V433" t="str">
        <x:f>'内容经营假设'!D16&amp;"|"&amp;'内容经营假设'!E16&amp;"|"&amp;'内容经营假设'!F16&amp;"|"&amp;'内容经营假设'!G16&amp;"|"&amp;'内容经营假设'!H16&amp;"|"&amp;'内容经营假设'!I16&amp;"|"&amp;'内容经营假设'!J16&amp;"|"&amp;'内容经营假设'!K16&amp;"|"&amp;'内容经营假设'!L16&amp;"|"&amp;'内容经营假设'!M16&amp;"|"&amp;'内容经营假设'!N16&amp;"|"&amp;'内容经营假设'!O16&amp;"|"&amp;'内容经营假设'!P16&amp;"|"&amp;'内容经营假设'!Q16&amp;"|"&amp;'内容经营假设'!R16</x:f>
        <x:v>70|0.265|27|0.17|18|0.37|18.5|4|0.32|8.3|0.6|0.2|0.2|0.45|4.65</x:v>
      </x:c>
    </x:row>
    <x:row r="434" ht="23" customHeight="1">
      <x:c r="A434" s="11" t="str">
        <x:v>01024.HK</x:v>
      </x:c>
      <x:c r="B434" s="11" t="str">
        <x:v>快手-W</x:v>
      </x:c>
      <x:c r="C434" s="11" t="str">
        <x:v>一年</x:v>
      </x:c>
      <x:c r="D434" s="11" t="str">
        <x:v>基准</x:v>
      </x:c>
      <x:c r="E434" s="11" t="n">
        <x:v>30.1</x:v>
      </x:c>
      <x:c r="F434" s="11" t="n">
        <x:v>60.99</x:v>
      </x:c>
      <x:c r="G434" s="11" t="n">
        <x:v>0.4</x:v>
      </x:c>
      <x:c r="H434" s="25" t="n">
        <x:v>1.0262458471760798</x:v>
      </x:c>
      <x:c r="I434" s="25" t="n">
        <x:v>1.03953488372093</x:v>
      </x:c>
      <x:c r="J434" s="25" t="str"/>
      <x:c r="K434" s="11" t="n">
        <x:v>2.918</x:v>
      </x:c>
      <x:c r="L434" s="11" t="n">
        <x:v>19</x:v>
      </x:c>
      <x:c r="M434" s="11" t="n">
        <x:v>1.1</x:v>
      </x:c>
      <x:c r="N434" s="11" t="n">
        <x:v>0.4</x:v>
      </x:c>
      <x:c r="O434" s="11" t="str"/>
      <x:c r="P434" s="11" t="str"/>
      <x:c r="Q434" s="11" t="str"/>
      <x:c r="R434" s="11" t="str">
        <x:v>kuaishou-core-kling-normalized-v1.0</x:v>
      </x:c>
      <x:c r="S434" s="11" t="str">
        <x:v>2026-10-10</x:v>
      </x:c>
      <x:c r="T434" s="11" t="str">
        <x:f>IF(AND(SUM(IF(K434='假设'!E577,0,1),IF(L434='假设'!F577,0,1),IF(M434='假设'!G577,0,1),IF(N434='假设'!H577,0,1),IF(O434='假设'!I577,0,1),IF(P434='假设'!J577,0,1),IF(Q434='假设'!K577,0,1))=0,U434=V434),"已刷新","待刷新")</x:f>
        <x:v>待刷新</x:v>
      </x:c>
      <x:c r="U434" t="str">
        <x:v>84|0.33|31|0.2|24|0.44|25.5|7|0.51|9|0.67|0.8|0.2|0.25|4.34</x:v>
      </x:c>
      <x:c r="V434" t="str">
        <x:f>'内容经营假设'!D17&amp;"|"&amp;'内容经营假设'!E17&amp;"|"&amp;'内容经营假设'!F17&amp;"|"&amp;'内容经营假设'!G17&amp;"|"&amp;'内容经营假设'!H17&amp;"|"&amp;'内容经营假设'!I17&amp;"|"&amp;'内容经营假设'!J17&amp;"|"&amp;'内容经营假设'!K17&amp;"|"&amp;'内容经营假设'!L17&amp;"|"&amp;'内容经营假设'!M17&amp;"|"&amp;'内容经营假设'!N17&amp;"|"&amp;'内容经营假设'!O17&amp;"|"&amp;'内容经营假设'!P17&amp;"|"&amp;'内容经营假设'!Q17&amp;"|"&amp;'内容经营假设'!R17</x:f>
        <x:v>84|0.33|31|0.2|24|0.44|25.5|7|0.51|9|0.68|0.8|0.2|0.25|4.34</x:v>
      </x:c>
    </x:row>
    <x:row r="435" ht="23" customHeight="1">
      <x:c r="A435" s="11" t="str">
        <x:v>01024.HK</x:v>
      </x:c>
      <x:c r="B435" s="11" t="str">
        <x:v>快手-W</x:v>
      </x:c>
      <x:c r="C435" s="11" t="str">
        <x:v>一年</x:v>
      </x:c>
      <x:c r="D435" s="11" t="str">
        <x:v>乐观</x:v>
      </x:c>
      <x:c r="E435" s="11" t="n">
        <x:v>30.1</x:v>
      </x:c>
      <x:c r="F435" s="11" t="n">
        <x:v>128.2</x:v>
      </x:c>
      <x:c r="G435" s="11" t="n">
        <x:v>0.7</x:v>
      </x:c>
      <x:c r="H435" s="25" t="n">
        <x:v>3.2591362126245844</x:v>
      </x:c>
      <x:c r="I435" s="25" t="n">
        <x:v>3.282392026578072</x:v>
      </x:c>
      <x:c r="J435" s="25" t="str"/>
      <x:c r="K435" s="11" t="n">
        <x:v>5.067</x:v>
      </x:c>
      <x:c r="L435" s="11" t="n">
        <x:v>23</x:v>
      </x:c>
      <x:c r="M435" s="11" t="n">
        <x:v>1.1</x:v>
      </x:c>
      <x:c r="N435" s="11" t="n">
        <x:v>0.7</x:v>
      </x:c>
      <x:c r="O435" s="11" t="str"/>
      <x:c r="P435" s="11" t="str"/>
      <x:c r="Q435" s="11" t="str"/>
      <x:c r="R435" s="11" t="str">
        <x:v>kuaishou-core-kling-normalized-v1.0</x:v>
      </x:c>
      <x:c r="S435" s="11" t="str">
        <x:v>2026-10-10</x:v>
      </x:c>
      <x:c r="T435" s="11" t="str">
        <x:f>IF(AND(SUM(IF(K435='假设'!E578,0,1),IF(L435='假设'!F578,0,1),IF(M435='假设'!G578,0,1),IF(N435='假设'!H578,0,1),IF(O435='假设'!I578,0,1),IF(P435='假设'!J578,0,1),IF(Q435='假设'!K578,0,1))=0,U435=V435),"已刷新","待刷新")</x:f>
        <x:v>已刷新</x:v>
      </x:c>
      <x:c r="U435" t="str">
        <x:v>93|0.36|35|0.23|28|0.48|28|11|0.62|9|0.72|1.2|0.2|0.1|4.18</x:v>
      </x:c>
      <x:c r="V435" t="str">
        <x:f>'内容经营假设'!D18&amp;"|"&amp;'内容经营假设'!E18&amp;"|"&amp;'内容经营假设'!F18&amp;"|"&amp;'内容经营假设'!G18&amp;"|"&amp;'内容经营假设'!H18&amp;"|"&amp;'内容经营假设'!I18&amp;"|"&amp;'内容经营假设'!J18&amp;"|"&amp;'内容经营假设'!K18&amp;"|"&amp;'内容经营假设'!L18&amp;"|"&amp;'内容经营假设'!M18&amp;"|"&amp;'内容经营假设'!N18&amp;"|"&amp;'内容经营假设'!O18&amp;"|"&amp;'内容经营假设'!P18&amp;"|"&amp;'内容经营假设'!Q18&amp;"|"&amp;'内容经营假设'!R18</x:f>
        <x:v>93|0.36|35|0.23|28|0.48|28|11|0.62|9|0.72|1.2|0.2|0.1|4.18</x:v>
      </x:c>
    </x:row>
    <x:row r="436" ht="23" customHeight="1">
      <x:c r="A436" s="11" t="str">
        <x:v>01024.HK</x:v>
      </x:c>
      <x:c r="B436" s="11" t="str">
        <x:v>快手-W</x:v>
      </x:c>
      <x:c r="C436" s="11" t="str">
        <x:v>三年</x:v>
      </x:c>
      <x:c r="D436" s="11" t="str">
        <x:v>悲观</x:v>
      </x:c>
      <x:c r="E436" s="11" t="n">
        <x:v>30.1</x:v>
      </x:c>
      <x:c r="F436" s="11" t="n">
        <x:v>7.89</x:v>
      </x:c>
      <x:c r="G436" s="11" t="n">
        <x:v>0.2</x:v>
      </x:c>
      <x:c r="H436" s="25" t="n">
        <x:v>-0.737873754152824</x:v>
      </x:c>
      <x:c r="I436" s="25" t="n">
        <x:v>-0.7312292358803987</x:v>
      </x:c>
      <x:c r="J436" s="25" t="n">
        <x:v>-0.3546519402594136</x:v>
      </x:c>
      <x:c r="K436" s="11" t="n">
        <x:v>0.897</x:v>
      </x:c>
      <x:c r="L436" s="11" t="n">
        <x:v>8</x:v>
      </x:c>
      <x:c r="M436" s="11" t="n">
        <x:v>1.1</x:v>
      </x:c>
      <x:c r="N436" s="11" t="n">
        <x:v>0.2</x:v>
      </x:c>
      <x:c r="O436" s="11" t="str"/>
      <x:c r="P436" s="11" t="str"/>
      <x:c r="Q436" s="11" t="str"/>
      <x:c r="R436" s="11" t="str">
        <x:v>kuaishou-core-kling-normalized-v1.0</x:v>
      </x:c>
      <x:c r="S436" s="11" t="str">
        <x:v>2026-10-10</x:v>
      </x:c>
      <x:c r="T436" s="11" t="str">
        <x:f>IF(AND(SUM(IF(K436='假设'!E580,0,1),IF(L436='假设'!F580,0,1),IF(M436='假设'!G580,0,1),IF(N436='假设'!H580,0,1),IF(O436='假设'!I580,0,1),IF(P436='假设'!J580,0,1),IF(Q436='假设'!K580,0,1))=0,U436=V436),"已刷新","待刷新")</x:f>
        <x:v>已刷新</x:v>
      </x:c>
      <x:c r="U436" t="str">
        <x:v>65|0.255|22|0.17|17|0.36|17|6|0.35|8.5|0.5|0|0.2|0.55|4.95</x:v>
      </x:c>
      <x:c r="V436" t="str">
        <x:f>'内容经营假设'!D20&amp;"|"&amp;'内容经营假设'!E20&amp;"|"&amp;'内容经营假设'!F20&amp;"|"&amp;'内容经营假设'!G20&amp;"|"&amp;'内容经营假设'!H20&amp;"|"&amp;'内容经营假设'!I20&amp;"|"&amp;'内容经营假设'!J20&amp;"|"&amp;'内容经营假设'!K20&amp;"|"&amp;'内容经营假设'!L20&amp;"|"&amp;'内容经营假设'!M20&amp;"|"&amp;'内容经营假设'!N20&amp;"|"&amp;'内容经营假设'!O20&amp;"|"&amp;'内容经营假设'!P20&amp;"|"&amp;'内容经营假设'!Q20&amp;"|"&amp;'内容经营假设'!R20</x:f>
        <x:v>65|0.255|22|0.17|17|0.36|17|6|0.35|8.5|0.5|0|0.2|0.55|4.95</x:v>
      </x:c>
    </x:row>
    <x:row r="437" ht="23" customHeight="1">
      <x:c r="A437" s="11" t="str">
        <x:v>01024.HK</x:v>
      </x:c>
      <x:c r="B437" s="11" t="str">
        <x:v>快手-W</x:v>
      </x:c>
      <x:c r="C437" s="11" t="str">
        <x:v>三年</x:v>
      </x:c>
      <x:c r="D437" s="11" t="str">
        <x:v>基准</x:v>
      </x:c>
      <x:c r="E437" s="11" t="n">
        <x:v>30.1</x:v>
      </x:c>
      <x:c r="F437" s="11" t="n">
        <x:v>103.79</x:v>
      </x:c>
      <x:c r="G437" s="11" t="n">
        <x:v>1.8</x:v>
      </x:c>
      <x:c r="H437" s="25" t="n">
        <x:v>2.448172757475083</x:v>
      </x:c>
      <x:c r="I437" s="25" t="n">
        <x:v>2.50797342192691</x:v>
      </x:c>
      <x:c r="J437" s="25" t="n">
        <x:v>0.5194465641459411</x:v>
      </x:c>
      <x:c r="K437" s="11" t="n">
        <x:v>4.493</x:v>
      </x:c>
      <x:c r="L437" s="11" t="n">
        <x:v>21</x:v>
      </x:c>
      <x:c r="M437" s="11" t="n">
        <x:v>1.1</x:v>
      </x:c>
      <x:c r="N437" s="11" t="n">
        <x:v>1.8</x:v>
      </x:c>
      <x:c r="O437" s="11" t="str"/>
      <x:c r="P437" s="11" t="str"/>
      <x:c r="Q437" s="11" t="str"/>
      <x:c r="R437" s="11" t="str">
        <x:v>kuaishou-core-kling-normalized-v1.0</x:v>
      </x:c>
      <x:c r="S437" s="11" t="str">
        <x:v>2026-10-10</x:v>
      </x:c>
      <x:c r="T437" s="11" t="str">
        <x:f>IF(AND(SUM(IF(K437='假设'!E581,0,1),IF(L437='假设'!F581,0,1),IF(M437='假设'!G581,0,1),IF(N437='假设'!H581,0,1),IF(O437='假设'!I581,0,1),IF(P437='假设'!J581,0,1),IF(Q437='假设'!K581,0,1))=0,U437=V437),"已刷新","待刷新")</x:f>
        <x:v>已刷新</x:v>
      </x:c>
      <x:c r="U437" t="str">
        <x:v>100|0.35|31|0.21|31|0.46|31|17|0.57|12|0.62|0.8|0.2|0.35|4.22</x:v>
      </x:c>
      <x:c r="V437" t="str">
        <x:f>'内容经营假设'!D21&amp;"|"&amp;'内容经营假设'!E21&amp;"|"&amp;'内容经营假设'!F21&amp;"|"&amp;'内容经营假设'!G21&amp;"|"&amp;'内容经营假设'!H21&amp;"|"&amp;'内容经营假设'!I21&amp;"|"&amp;'内容经营假设'!J21&amp;"|"&amp;'内容经营假设'!K21&amp;"|"&amp;'内容经营假设'!L21&amp;"|"&amp;'内容经营假设'!M21&amp;"|"&amp;'内容经营假设'!N21&amp;"|"&amp;'内容经营假设'!O21&amp;"|"&amp;'内容经营假设'!P21&amp;"|"&amp;'内容经营假设'!Q21&amp;"|"&amp;'内容经营假设'!R21</x:f>
        <x:v>100|0.35|31|0.21|31|0.46|31|17|0.57|12|0.62|0.8|0.2|0.35|4.22</x:v>
      </x:c>
    </x:row>
    <x:row r="438" ht="23" customHeight="1">
      <x:c r="A438" s="11" t="str">
        <x:v>01024.HK</x:v>
      </x:c>
      <x:c r="B438" s="11" t="str">
        <x:v>快手-W</x:v>
      </x:c>
      <x:c r="C438" s="11" t="str">
        <x:v>三年</x:v>
      </x:c>
      <x:c r="D438" s="11" t="str">
        <x:v>乐观</x:v>
      </x:c>
      <x:c r="E438" s="11" t="n">
        <x:v>30.1</x:v>
      </x:c>
      <x:c r="F438" s="11" t="n">
        <x:v>266.28</x:v>
      </x:c>
      <x:c r="G438" s="11" t="n">
        <x:v>3.8</x:v>
      </x:c>
      <x:c r="H438" s="25" t="n">
        <x:v>7.846511627906976</x:v>
      </x:c>
      <x:c r="I438" s="25" t="n">
        <x:v>7.972757475083055</x:v>
      </x:c>
      <x:c r="J438" s="25" t="n">
        <x:v>1.07798293388668</x:v>
      </x:c>
      <x:c r="K438" s="11" t="n">
        <x:v>9.683</x:v>
      </x:c>
      <x:c r="L438" s="11" t="n">
        <x:v>25</x:v>
      </x:c>
      <x:c r="M438" s="11" t="n">
        <x:v>1.1</x:v>
      </x:c>
      <x:c r="N438" s="11" t="n">
        <x:v>3.8</x:v>
      </x:c>
      <x:c r="O438" s="11" t="str"/>
      <x:c r="P438" s="11" t="str"/>
      <x:c r="Q438" s="11" t="str"/>
      <x:c r="R438" s="11" t="str">
        <x:v>kuaishou-core-kling-normalized-v1.0</x:v>
      </x:c>
      <x:c r="S438" s="11" t="str">
        <x:v>2026-10-10</x:v>
      </x:c>
      <x:c r="T438" s="11" t="str">
        <x:f>IF(AND(SUM(IF(K438='假设'!E582,0,1),IF(L438='假设'!F582,0,1),IF(M438='假设'!G582,0,1),IF(N438='假设'!H582,0,1),IF(O438='假设'!I582,0,1),IF(P438='假设'!J582,0,1),IF(Q438='假设'!K582,0,1))=0,U438=V438),"已刷新","待刷新")</x:f>
        <x:v>已刷新</x:v>
      </x:c>
      <x:c r="U438" t="str">
        <x:v>130|0.39|38|0.25|42|0.5|39|32|0.68|16|0.7|1.4|0.2|0.15|3.92</x:v>
      </x:c>
      <x:c r="V438" t="str">
        <x:f>'内容经营假设'!D22&amp;"|"&amp;'内容经营假设'!E22&amp;"|"&amp;'内容经营假设'!F22&amp;"|"&amp;'内容经营假设'!G22&amp;"|"&amp;'内容经营假设'!H22&amp;"|"&amp;'内容经营假设'!I22&amp;"|"&amp;'内容经营假设'!J22&amp;"|"&amp;'内容经营假设'!K22&amp;"|"&amp;'内容经营假设'!L22&amp;"|"&amp;'内容经营假设'!M22&amp;"|"&amp;'内容经营假设'!N22&amp;"|"&amp;'内容经营假设'!O22&amp;"|"&amp;'内容经营假设'!P22&amp;"|"&amp;'内容经营假设'!Q22&amp;"|"&amp;'内容经营假设'!R22</x:f>
        <x:v>130|0.39|38|0.25|42|0.5|39|32|0.68|16|0.7|1.4|0.2|0.15|3.92</x:v>
      </x:c>
    </x:row>
    <x:row r="439" ht="23" customHeight="1">
      <x:c r="A439" s="11" t="str">
        <x:v>01024.HK</x:v>
      </x:c>
      <x:c r="B439" s="11" t="str">
        <x:v>快手-W</x:v>
      </x:c>
      <x:c r="C439" s="11" t="str">
        <x:v>五年</x:v>
      </x:c>
      <x:c r="D439" s="11" t="str">
        <x:v>悲观</x:v>
      </x:c>
      <x:c r="E439" s="11" t="n">
        <x:v>30.1</x:v>
      </x:c>
      <x:c r="F439" s="11" t="n">
        <x:v>4.7</x:v>
      </x:c>
      <x:c r="G439" s="11" t="n">
        <x:v>0.3</x:v>
      </x:c>
      <x:c r="H439" s="25" t="n">
        <x:v>-0.8438538205980066</x:v>
      </x:c>
      <x:c r="I439" s="25" t="n">
        <x:v>-0.8338870431893688</x:v>
      </x:c>
      <x:c r="J439" s="25" t="n">
        <x:v>-0.30163783647637876</x:v>
      </x:c>
      <x:c r="K439" s="11" t="n">
        <x:v>0.611</x:v>
      </x:c>
      <x:c r="L439" s="11" t="n">
        <x:v>7</x:v>
      </x:c>
      <x:c r="M439" s="11" t="n">
        <x:v>1.1</x:v>
      </x:c>
      <x:c r="N439" s="11" t="n">
        <x:v>0.3</x:v>
      </x:c>
      <x:c r="O439" s="11" t="str"/>
      <x:c r="P439" s="11" t="str"/>
      <x:c r="Q439" s="11" t="str"/>
      <x:c r="R439" s="11" t="str">
        <x:v>kuaishou-core-kling-normalized-v1.0</x:v>
      </x:c>
      <x:c r="S439" s="11" t="str">
        <x:v>2026-10-10</x:v>
      </x:c>
      <x:c r="T439" s="11" t="str">
        <x:f>IF(AND(SUM(IF(K439='假设'!E584,0,1),IF(L439='假设'!F584,0,1),IF(M439='假设'!G584,0,1),IF(N439='假设'!H584,0,1),IF(O439='假设'!I584,0,1),IF(P439='假设'!J584,0,1),IF(Q439='假设'!K584,0,1))=0,U439=V439),"已刷新","待刷新")</x:f>
        <x:v>已刷新</x:v>
      </x:c>
      <x:c r="U439" t="str">
        <x:v>60|0.25|18|0.16|16|0.35|16|8|0.37|9|0.45|0|0.2|0.6|5.25</x:v>
      </x:c>
      <x:c r="V439" t="str">
        <x:f>'内容经营假设'!D24&amp;"|"&amp;'内容经营假设'!E24&amp;"|"&amp;'内容经营假设'!F24&amp;"|"&amp;'内容经营假设'!G24&amp;"|"&amp;'内容经营假设'!H24&amp;"|"&amp;'内容经营假设'!I24&amp;"|"&amp;'内容经营假设'!J24&amp;"|"&amp;'内容经营假设'!K24&amp;"|"&amp;'内容经营假设'!L24&amp;"|"&amp;'内容经营假设'!M24&amp;"|"&amp;'内容经营假设'!N24&amp;"|"&amp;'内容经营假设'!O24&amp;"|"&amp;'内容经营假设'!P24&amp;"|"&amp;'内容经营假设'!Q24&amp;"|"&amp;'内容经营假设'!R24</x:f>
        <x:v>60|0.25|18|0.16|16|0.35|16|8|0.37|9|0.45|0|0.2|0.6|5.25</x:v>
      </x:c>
    </x:row>
    <x:row r="440" ht="23" customHeight="1">
      <x:c r="A440" s="11" t="str">
        <x:v>01024.HK</x:v>
      </x:c>
      <x:c r="B440" s="11" t="str">
        <x:v>快手-W</x:v>
      </x:c>
      <x:c r="C440" s="11" t="str">
        <x:v>五年</x:v>
      </x:c>
      <x:c r="D440" s="11" t="str">
        <x:v>基准</x:v>
      </x:c>
      <x:c r="E440" s="11" t="n">
        <x:v>30.1</x:v>
      </x:c>
      <x:c r="F440" s="11" t="n">
        <x:v>145.3</x:v>
      </x:c>
      <x:c r="G440" s="11" t="n">
        <x:v>4.2</x:v>
      </x:c>
      <x:c r="H440" s="25" t="n">
        <x:v>3.8272425249169437</x:v>
      </x:c>
      <x:c r="I440" s="25" t="n">
        <x:v>3.9667774086378733</x:v>
      </x:c>
      <x:c r="J440" s="25" t="n">
        <x:v>0.37789124098962223</x:v>
      </x:c>
      <x:c r="K440" s="11" t="n">
        <x:v>6.29</x:v>
      </x:c>
      <x:c r="L440" s="11" t="n">
        <x:v>21</x:v>
      </x:c>
      <x:c r="M440" s="11" t="n">
        <x:v>1.1</x:v>
      </x:c>
      <x:c r="N440" s="11" t="n">
        <x:v>4.2</x:v>
      </x:c>
      <x:c r="O440" s="11" t="str"/>
      <x:c r="P440" s="11" t="str"/>
      <x:c r="Q440" s="11" t="str"/>
      <x:c r="R440" s="11" t="str">
        <x:v>kuaishou-core-kling-normalized-v1.0</x:v>
      </x:c>
      <x:c r="S440" s="11" t="str">
        <x:v>2026-10-10</x:v>
      </x:c>
      <x:c r="T440" s="11" t="str">
        <x:f>IF(AND(SUM(IF(K440='假设'!E585,0,1),IF(L440='假设'!F585,0,1),IF(M440='假设'!G585,0,1),IF(N440='假设'!H585,0,1),IF(O440='假设'!I585,0,1),IF(P440='假设'!J585,0,1),IF(Q440='假设'!K585,0,1))=0,U440=V440),"已刷新","待刷新")</x:f>
        <x:v>已刷新</x:v>
      </x:c>
      <x:c r="U440" t="str">
        <x:v>115|0.36|30|0.22|39|0.47|36|32|0.6|16|0.57|0.8|0.2|0.45|4.12</x:v>
      </x:c>
      <x:c r="V440" t="str">
        <x:f>'内容经营假设'!D25&amp;"|"&amp;'内容经营假设'!E25&amp;"|"&amp;'内容经营假设'!F25&amp;"|"&amp;'内容经营假设'!G25&amp;"|"&amp;'内容经营假设'!H25&amp;"|"&amp;'内容经营假设'!I25&amp;"|"&amp;'内容经营假设'!J25&amp;"|"&amp;'内容经营假设'!K25&amp;"|"&amp;'内容经营假设'!L25&amp;"|"&amp;'内容经营假设'!M25&amp;"|"&amp;'内容经营假设'!N25&amp;"|"&amp;'内容经营假设'!O25&amp;"|"&amp;'内容经营假设'!P25&amp;"|"&amp;'内容经营假设'!Q25&amp;"|"&amp;'内容经营假设'!R25</x:f>
        <x:v>115|0.36|30|0.22|39|0.47|36|32|0.6|16|0.57|0.8|0.2|0.45|4.12</x:v>
      </x:c>
    </x:row>
    <x:row r="441" ht="23" customHeight="1">
      <x:c r="A441" s="11" t="str">
        <x:v>01024.HK</x:v>
      </x:c>
      <x:c r="B441" s="11" t="str">
        <x:v>快手-W</x:v>
      </x:c>
      <x:c r="C441" s="11" t="str">
        <x:v>五年</x:v>
      </x:c>
      <x:c r="D441" s="11" t="str">
        <x:v>乐观</x:v>
      </x:c>
      <x:c r="E441" s="11" t="n">
        <x:v>30.1</x:v>
      </x:c>
      <x:c r="F441" s="11" t="n">
        <x:v>461.06</x:v>
      </x:c>
      <x:c r="G441" s="11" t="n">
        <x:v>9</x:v>
      </x:c>
      <x:c r="H441" s="25" t="n">
        <x:v>14.317607973421927</x:v>
      </x:c>
      <x:c r="I441" s="25" t="n">
        <x:v>14.616611295681063</x:v>
      </x:c>
      <x:c r="J441" s="25" t="n">
        <x:v>0.7326760011285307</x:v>
      </x:c>
      <x:c r="K441" s="11" t="n">
        <x:v>16.121</x:v>
      </x:c>
      <x:c r="L441" s="11" t="n">
        <x:v>26</x:v>
      </x:c>
      <x:c r="M441" s="11" t="n">
        <x:v>1.1</x:v>
      </x:c>
      <x:c r="N441" s="11" t="n">
        <x:v>9</x:v>
      </x:c>
      <x:c r="O441" s="11" t="str"/>
      <x:c r="P441" s="11" t="str"/>
      <x:c r="Q441" s="11" t="str"/>
      <x:c r="R441" s="11" t="str">
        <x:v>kuaishou-core-kling-normalized-v1.0</x:v>
      </x:c>
      <x:c r="S441" s="11" t="str">
        <x:v>2026-10-10</x:v>
      </x:c>
      <x:c r="T441" s="11" t="str">
        <x:f>IF(AND(SUM(IF(K441='假设'!E586,0,1),IF(L441='假设'!F586,0,1),IF(M441='假设'!G586,0,1),IF(N441='假设'!H586,0,1),IF(O441='假设'!I586,0,1),IF(P441='假设'!J586,0,1),IF(Q441='假设'!K586,0,1))=0,U441=V441),"已刷新","待刷新")</x:f>
        <x:v>已刷新</x:v>
      </x:c>
      <x:c r="U441" t="str">
        <x:v>165|0.4|42|0.26|60|0.52|52|70|0.7|25|0.67|1.6|0.2|0.2|3.65</x:v>
      </x:c>
      <x:c r="V441" t="str">
        <x:f>'内容经营假设'!D26&amp;"|"&amp;'内容经营假设'!E26&amp;"|"&amp;'内容经营假设'!F26&amp;"|"&amp;'内容经营假设'!G26&amp;"|"&amp;'内容经营假设'!H26&amp;"|"&amp;'内容经营假设'!I26&amp;"|"&amp;'内容经营假设'!J26&amp;"|"&amp;'内容经营假设'!K26&amp;"|"&amp;'内容经营假设'!L26&amp;"|"&amp;'内容经营假设'!M26&amp;"|"&amp;'内容经营假设'!N26&amp;"|"&amp;'内容经营假设'!O26&amp;"|"&amp;'内容经营假设'!P26&amp;"|"&amp;'内容经营假设'!Q26&amp;"|"&amp;'内容经营假设'!R26</x:f>
        <x:v>165|0.4|42|0.26|60|0.52|52|70|0.7|25|0.67|1.6|0.2|0.2|3.65</x:v>
      </x:c>
    </x:row>
    <x:row r="442" ht="23" customHeight="1">
      <x:c r="A442" s="11" t="str">
        <x:v>00992.HK</x:v>
      </x:c>
      <x:c r="B442" s="11" t="str">
        <x:v>联想集团</x:v>
      </x:c>
      <x:c r="C442" s="11" t="str">
        <x:v>2026年底</x:v>
      </x:c>
      <x:c r="D442" s="11" t="str">
        <x:v>悲观</x:v>
      </x:c>
      <x:c r="E442" s="11" t="n">
        <x:v>32.84</x:v>
      </x:c>
      <x:c r="F442" s="11" t="n">
        <x:v>10.26</x:v>
      </x:c>
      <x:c r="G442" s="11" t="n">
        <x:v>0</x:v>
      </x:c>
      <x:c r="H442" s="25" t="n">
        <x:v>-0.6875761266747868</x:v>
      </x:c>
      <x:c r="I442" s="25" t="n">
        <x:v>-0.6875761266747868</x:v>
      </x:c>
      <x:c r="J442" s="25" t="str"/>
      <x:c r="K442" s="11" t="n">
        <x:v>0.131548</x:v>
      </x:c>
      <x:c r="L442" s="11" t="n">
        <x:v>10</x:v>
      </x:c>
      <x:c r="M442" s="11" t="n">
        <x:v>7.8</x:v>
      </x:c>
      <x:c r="N442" s="11" t="n">
        <x:v>0</x:v>
      </x:c>
      <x:c r="O442" s="11" t="str"/>
      <x:c r="P442" s="11" t="str"/>
      <x:c r="Q442" s="11" t="str"/>
      <x:c r="R442" s="11" t="str">
        <x:v>lenovo-normalized-operating-dilution-v1.0</x:v>
      </x:c>
      <x:c r="S442" s="11" t="str">
        <x:v>2026-10-10</x:v>
      </x:c>
      <x:c r="T442" s="11" t="str">
        <x:f>IF(AND(SUM(IF(K442='假设'!E588,0,1),IF(L442='假设'!F588,0,1),IF(M442='假设'!G588,0,1),IF(N442='假设'!H588,0,1),IF(O442='假设'!I588,0,1),IF(P442='假设'!J588,0,1),IF(Q442='假设'!K588,0,1))=0,U442=V442),"已刷新","待刷新")</x:f>
        <x:v>已刷新</x:v>
      </x:c>
      <x:c r="U442" t="str">
        <x:v>||||0.2|-0.45|16.8|95|0.035|0</x:v>
      </x:c>
      <x:c r="V442" t="str">
        <x:f>'经营假设'!D68&amp;"|"&amp;'经营假设'!E68&amp;"|"&amp;'经营假设'!F68&amp;"|"&amp;'经营假设'!G68&amp;"|"&amp;'经营假设'!H68&amp;"|"&amp;'经营假设'!I68&amp;"|"&amp;'经营假设'!J68&amp;"|"&amp;'经营假设'!K68&amp;"|"&amp;'经营假设'!L68&amp;"|"&amp;'经营假设'!M68</x:f>
        <x:v>||||0.2|-0.45|16.8|95|0.035|0</x:v>
      </x:c>
    </x:row>
    <x:row r="443" ht="23" customHeight="1">
      <x:c r="A443" s="11" t="str">
        <x:v>00992.HK</x:v>
      </x:c>
      <x:c r="B443" s="11" t="str">
        <x:v>联想集团</x:v>
      </x:c>
      <x:c r="C443" s="11" t="str">
        <x:v>2026年底</x:v>
      </x:c>
      <x:c r="D443" s="11" t="str">
        <x:v>基准</x:v>
      </x:c>
      <x:c r="E443" s="11" t="n">
        <x:v>32.84</x:v>
      </x:c>
      <x:c r="F443" s="11" t="n">
        <x:v>37.49</x:v>
      </x:c>
      <x:c r="G443" s="11" t="n">
        <x:v>0</x:v>
      </x:c>
      <x:c r="H443" s="25" t="n">
        <x:v>0.14159561510353225</x:v>
      </x:c>
      <x:c r="I443" s="25" t="n">
        <x:v>0.14159561510353225</x:v>
      </x:c>
      <x:c r="J443" s="25" t="str"/>
      <x:c r="K443" s="11" t="n">
        <x:v>0.266994</x:v>
      </x:c>
      <x:c r="L443" s="11" t="n">
        <x:v>18</x:v>
      </x:c>
      <x:c r="M443" s="11" t="n">
        <x:v>7.8</x:v>
      </x:c>
      <x:c r="N443" s="11" t="n">
        <x:v>0</x:v>
      </x:c>
      <x:c r="O443" s="11" t="str"/>
      <x:c r="P443" s="11" t="str"/>
      <x:c r="Q443" s="11" t="str"/>
      <x:c r="R443" s="11" t="str">
        <x:v>lenovo-normalized-operating-dilution-v1.0</x:v>
      </x:c>
      <x:c r="S443" s="11" t="str">
        <x:v>2026-10-10</x:v>
      </x:c>
      <x:c r="T443" s="11" t="str">
        <x:f>IF(AND(SUM(IF(K443='假设'!E589,0,1),IF(L443='假设'!F589,0,1),IF(M443='假设'!G589,0,1),IF(N443='假设'!H589,0,1),IF(O443='假设'!I589,0,1),IF(P443='假设'!J589,0,1),IF(Q443='假设'!K589,0,1))=0,U443=V443),"已刷新","待刷新")</x:f>
        <x:v>已刷新</x:v>
      </x:c>
      <x:c r="U443" t="str">
        <x:v>||||0.2|-0.4|16.3|108|0.055|0</x:v>
      </x:c>
      <x:c r="V443" t="str">
        <x:f>'经营假设'!D69&amp;"|"&amp;'经营假设'!E69&amp;"|"&amp;'经营假设'!F69&amp;"|"&amp;'经营假设'!G69&amp;"|"&amp;'经营假设'!H69&amp;"|"&amp;'经营假设'!I69&amp;"|"&amp;'经营假设'!J69&amp;"|"&amp;'经营假设'!K69&amp;"|"&amp;'经营假设'!L69&amp;"|"&amp;'经营假设'!M69</x:f>
        <x:v>||||0.2|-0.4|16.3|108|0.055|0</x:v>
      </x:c>
    </x:row>
    <x:row r="444" ht="23" customHeight="1">
      <x:c r="A444" s="11" t="str">
        <x:v>00992.HK</x:v>
      </x:c>
      <x:c r="B444" s="11" t="str">
        <x:v>联想集团</x:v>
      </x:c>
      <x:c r="C444" s="11" t="str">
        <x:v>2026年底</x:v>
      </x:c>
      <x:c r="D444" s="11" t="str">
        <x:v>乐观</x:v>
      </x:c>
      <x:c r="E444" s="11" t="n">
        <x:v>32.84</x:v>
      </x:c>
      <x:c r="F444" s="11" t="n">
        <x:v>66.39</x:v>
      </x:c>
      <x:c r="G444" s="11" t="n">
        <x:v>0</x:v>
      </x:c>
      <x:c r="H444" s="25" t="n">
        <x:v>1.0216199756394637</x:v>
      </x:c>
      <x:c r="I444" s="25" t="n">
        <x:v>1.0216199756394637</x:v>
      </x:c>
      <x:c r="J444" s="25" t="str"/>
      <x:c r="K444" s="11" t="n">
        <x:v>0.370075</x:v>
      </x:c>
      <x:c r="L444" s="11" t="n">
        <x:v>23</x:v>
      </x:c>
      <x:c r="M444" s="11" t="n">
        <x:v>7.8</x:v>
      </x:c>
      <x:c r="N444" s="11" t="n">
        <x:v>0</x:v>
      </x:c>
      <x:c r="O444" s="11" t="str"/>
      <x:c r="P444" s="11" t="str"/>
      <x:c r="Q444" s="11" t="str"/>
      <x:c r="R444" s="11" t="str">
        <x:v>lenovo-normalized-operating-dilution-v1.0</x:v>
      </x:c>
      <x:c r="S444" s="11" t="str">
        <x:v>2026-10-10</x:v>
      </x:c>
      <x:c r="T444" s="11" t="str">
        <x:f>IF(AND(SUM(IF(K444='假设'!E590,0,1),IF(L444='假设'!F590,0,1),IF(M444='假设'!G590,0,1),IF(N444='假设'!H590,0,1),IF(O444='假设'!I590,0,1),IF(P444='假设'!J590,0,1),IF(Q444='假设'!K590,0,1))=0,U444=V444),"已刷新","待刷新")</x:f>
        <x:v>已刷新</x:v>
      </x:c>
      <x:c r="U444" t="str">
        <x:v>||||0.2|-0.35|16|117|0.067|0</x:v>
      </x:c>
      <x:c r="V444" t="str">
        <x:f>'经营假设'!D70&amp;"|"&amp;'经营假设'!E70&amp;"|"&amp;'经营假设'!F70&amp;"|"&amp;'经营假设'!G70&amp;"|"&amp;'经营假设'!H70&amp;"|"&amp;'经营假设'!I70&amp;"|"&amp;'经营假设'!J70&amp;"|"&amp;'经营假设'!K70&amp;"|"&amp;'经营假设'!L70&amp;"|"&amp;'经营假设'!M70</x:f>
        <x:v>||||0.2|-0.35|16|117|0.067|0</x:v>
      </x:c>
    </x:row>
    <x:row r="445" ht="23" customHeight="1">
      <x:c r="A445" s="11" t="str">
        <x:v>00992.HK</x:v>
      </x:c>
      <x:c r="B445" s="11" t="str">
        <x:v>联想集团</x:v>
      </x:c>
      <x:c r="C445" s="11" t="str">
        <x:v>半年</x:v>
      </x:c>
      <x:c r="D445" s="11" t="str">
        <x:v>悲观</x:v>
      </x:c>
      <x:c r="E445" s="11" t="n">
        <x:v>32.84</x:v>
      </x:c>
      <x:c r="F445" s="11" t="n">
        <x:v>8.13</x:v>
      </x:c>
      <x:c r="G445" s="11" t="n">
        <x:v>0.04</x:v>
      </x:c>
      <x:c r="H445" s="25" t="n">
        <x:v>-0.7524360535931791</x:v>
      </x:c>
      <x:c r="I445" s="25" t="n">
        <x:v>-0.7512180267965896</x:v>
      </x:c>
      <x:c r="J445" s="25" t="str"/>
      <x:c r="K445" s="11" t="n">
        <x:v>0.115765</x:v>
      </x:c>
      <x:c r="L445" s="11" t="n">
        <x:v>9</x:v>
      </x:c>
      <x:c r="M445" s="11" t="n">
        <x:v>7.8</x:v>
      </x:c>
      <x:c r="N445" s="11" t="n">
        <x:v>0.04</x:v>
      </x:c>
      <x:c r="O445" s="11" t="str"/>
      <x:c r="P445" s="11" t="str"/>
      <x:c r="Q445" s="11" t="str"/>
      <x:c r="R445" s="11" t="str">
        <x:v>lenovo-normalized-operating-dilution-v1.0</x:v>
      </x:c>
      <x:c r="S445" s="11" t="str">
        <x:v>2026-10-10</x:v>
      </x:c>
      <x:c r="T445" s="11" t="str">
        <x:f>IF(AND(SUM(IF(K445='假设'!E592,0,1),IF(L445='假设'!F592,0,1),IF(M445='假设'!G592,0,1),IF(N445='假设'!H592,0,1),IF(O445='假设'!I592,0,1),IF(P445='假设'!J592,0,1),IF(Q445='假设'!K592,0,1))=0,U445=V445),"已刷新","待刷新")</x:f>
        <x:v>已刷新</x:v>
      </x:c>
      <x:c r="U445" t="str">
        <x:v>||||0.2|-0.48|17|90|0.034|0</x:v>
      </x:c>
      <x:c r="V445" t="str">
        <x:f>'经营假设'!D72&amp;"|"&amp;'经营假设'!E72&amp;"|"&amp;'经营假设'!F72&amp;"|"&amp;'经营假设'!G72&amp;"|"&amp;'经营假设'!H72&amp;"|"&amp;'经营假设'!I72&amp;"|"&amp;'经营假设'!J72&amp;"|"&amp;'经营假设'!K72&amp;"|"&amp;'经营假设'!L72&amp;"|"&amp;'经营假设'!M72</x:f>
        <x:v>||||0.2|-0.48|17|90|0.034|0</x:v>
      </x:c>
    </x:row>
    <x:row r="446" ht="23" customHeight="1">
      <x:c r="A446" s="11" t="str">
        <x:v>00992.HK</x:v>
      </x:c>
      <x:c r="B446" s="11" t="str">
        <x:v>联想集团</x:v>
      </x:c>
      <x:c r="C446" s="11" t="str">
        <x:v>半年</x:v>
      </x:c>
      <x:c r="D446" s="11" t="str">
        <x:v>基准</x:v>
      </x:c>
      <x:c r="E446" s="11" t="n">
        <x:v>32.84</x:v>
      </x:c>
      <x:c r="F446" s="11" t="n">
        <x:v>43.29</x:v>
      </x:c>
      <x:c r="G446" s="11" t="n">
        <x:v>0.09</x:v>
      </x:c>
      <x:c r="H446" s="25" t="n">
        <x:v>0.3182095006090133</x:v>
      </x:c>
      <x:c r="I446" s="25" t="n">
        <x:v>0.3209500609013398</x:v>
      </x:c>
      <x:c r="J446" s="25" t="str"/>
      <x:c r="K446" s="11" t="n">
        <x:v>0.299975</x:v>
      </x:c>
      <x:c r="L446" s="11" t="n">
        <x:v>18.5</x:v>
      </x:c>
      <x:c r="M446" s="11" t="n">
        <x:v>7.8</x:v>
      </x:c>
      <x:c r="N446" s="11" t="n">
        <x:v>0.09</x:v>
      </x:c>
      <x:c r="O446" s="11" t="str"/>
      <x:c r="P446" s="11" t="str"/>
      <x:c r="Q446" s="11" t="str"/>
      <x:c r="R446" s="11" t="str">
        <x:v>lenovo-normalized-operating-dilution-v1.0</x:v>
      </x:c>
      <x:c r="S446" s="11" t="str">
        <x:v>2026-10-10</x:v>
      </x:c>
      <x:c r="T446" s="11" t="str">
        <x:f>IF(AND(SUM(IF(K446='假设'!E593,0,1),IF(L446='假设'!F593,0,1),IF(M446='假设'!G593,0,1),IF(N446='假设'!H593,0,1),IF(O446='假设'!I593,0,1),IF(P446='假设'!J593,0,1),IF(Q446='假设'!K593,0,1))=0,U446=V446),"已刷新","待刷新")</x:f>
        <x:v>已刷新</x:v>
      </x:c>
      <x:c r="U446" t="str">
        <x:v>||||0.2|-0.4|16.3|114|0.058|0</x:v>
      </x:c>
      <x:c r="V446" t="str">
        <x:f>'经营假设'!D73&amp;"|"&amp;'经营假设'!E73&amp;"|"&amp;'经营假设'!F73&amp;"|"&amp;'经营假设'!G73&amp;"|"&amp;'经营假设'!H73&amp;"|"&amp;'经营假设'!I73&amp;"|"&amp;'经营假设'!J73&amp;"|"&amp;'经营假设'!K73&amp;"|"&amp;'经营假设'!L73&amp;"|"&amp;'经营假设'!M73</x:f>
        <x:v>||||0.2|-0.4|16.3|114|0.058|0</x:v>
      </x:c>
    </x:row>
    <x:row r="447" ht="23" customHeight="1">
      <x:c r="A447" s="11" t="str">
        <x:v>00992.HK</x:v>
      </x:c>
      <x:c r="B447" s="11" t="str">
        <x:v>联想集团</x:v>
      </x:c>
      <x:c r="C447" s="11" t="str">
        <x:v>半年</x:v>
      </x:c>
      <x:c r="D447" s="11" t="str">
        <x:v>乐观</x:v>
      </x:c>
      <x:c r="E447" s="11" t="n">
        <x:v>32.84</x:v>
      </x:c>
      <x:c r="F447" s="11" t="n">
        <x:v>83.05</x:v>
      </x:c>
      <x:c r="G447" s="11" t="n">
        <x:v>0.14</x:v>
      </x:c>
      <x:c r="H447" s="25" t="n">
        <x:v>1.528928136419001</x:v>
      </x:c>
      <x:c r="I447" s="25" t="n">
        <x:v>1.533191230207064</x:v>
      </x:c>
      <x:c r="J447" s="25" t="str"/>
      <x:c r="K447" s="11" t="n">
        <x:v>0.443648</x:v>
      </x:c>
      <x:c r="L447" s="11" t="n">
        <x:v>24</x:v>
      </x:c>
      <x:c r="M447" s="11" t="n">
        <x:v>7.8</x:v>
      </x:c>
      <x:c r="N447" s="11" t="n">
        <x:v>0.14</x:v>
      </x:c>
      <x:c r="O447" s="11" t="str"/>
      <x:c r="P447" s="11" t="str"/>
      <x:c r="Q447" s="11" t="str"/>
      <x:c r="R447" s="11" t="str">
        <x:v>lenovo-normalized-operating-dilution-v1.0</x:v>
      </x:c>
      <x:c r="S447" s="11" t="str">
        <x:v>2026-10-10</x:v>
      </x:c>
      <x:c r="T447" s="11" t="str">
        <x:f>IF(AND(SUM(IF(K447='假设'!E594,0,1),IF(L447='假设'!F594,0,1),IF(M447='假设'!G594,0,1),IF(N447='假设'!H594,0,1),IF(O447='假设'!I594,0,1),IF(P447='假设'!J594,0,1),IF(Q447='假设'!K594,0,1))=0,U447=V447),"已刷新","待刷新")</x:f>
        <x:v>已刷新</x:v>
      </x:c>
      <x:c r="U447" t="str">
        <x:v>||||0.2|-0.33|15.9|130|0.071|0</x:v>
      </x:c>
      <x:c r="V447" t="str">
        <x:f>'经营假设'!D74&amp;"|"&amp;'经营假设'!E74&amp;"|"&amp;'经营假设'!F74&amp;"|"&amp;'经营假设'!G74&amp;"|"&amp;'经营假设'!H74&amp;"|"&amp;'经营假设'!I74&amp;"|"&amp;'经营假设'!J74&amp;"|"&amp;'经营假设'!K74&amp;"|"&amp;'经营假设'!L74&amp;"|"&amp;'经营假设'!M74</x:f>
        <x:v>||||0.2|-0.33|15.9|130|0.071|0</x:v>
      </x:c>
    </x:row>
    <x:row r="448" ht="23" customHeight="1">
      <x:c r="A448" s="11" t="str">
        <x:v>00992.HK</x:v>
      </x:c>
      <x:c r="B448" s="11" t="str">
        <x:v>联想集团</x:v>
      </x:c>
      <x:c r="C448" s="11" t="str">
        <x:v>一年</x:v>
      </x:c>
      <x:c r="D448" s="11" t="str">
        <x:v>悲观</x:v>
      </x:c>
      <x:c r="E448" s="11" t="n">
        <x:v>32.84</x:v>
      </x:c>
      <x:c r="F448" s="11" t="n">
        <x:v>8.13</x:v>
      </x:c>
      <x:c r="G448" s="11" t="n">
        <x:v>0.3</x:v>
      </x:c>
      <x:c r="H448" s="25" t="n">
        <x:v>-0.7524360535931791</x:v>
      </x:c>
      <x:c r="I448" s="25" t="n">
        <x:v>-0.7433008526187577</x:v>
      </x:c>
      <x:c r="J448" s="25" t="str"/>
      <x:c r="K448" s="11" t="n">
        <x:v>0.115746</x:v>
      </x:c>
      <x:c r="L448" s="11" t="n">
        <x:v>9</x:v>
      </x:c>
      <x:c r="M448" s="11" t="n">
        <x:v>7.8</x:v>
      </x:c>
      <x:c r="N448" s="11" t="n">
        <x:v>0.3</x:v>
      </x:c>
      <x:c r="O448" s="11" t="str"/>
      <x:c r="P448" s="11" t="str"/>
      <x:c r="Q448" s="11" t="str"/>
      <x:c r="R448" s="11" t="str">
        <x:v>lenovo-normalized-operating-dilution-v1.0</x:v>
      </x:c>
      <x:c r="S448" s="11" t="str">
        <x:v>2026-10-10</x:v>
      </x:c>
      <x:c r="T448" s="11" t="str">
        <x:f>IF(AND(SUM(IF(K448='假设'!E596,0,1),IF(L448='假设'!F596,0,1),IF(M448='假设'!G596,0,1),IF(N448='假设'!H596,0,1),IF(O448='假设'!I596,0,1),IF(P448='假设'!J596,0,1),IF(Q448='假设'!K596,0,1))=0,U448=V448),"已刷新","待刷新")</x:f>
        <x:v>已刷新</x:v>
      </x:c>
      <x:c r="U448" t="str">
        <x:v>||||0.2|-0.5|17.3|92|0.034|0</x:v>
      </x:c>
      <x:c r="V448" t="str">
        <x:f>'经营假设'!D76&amp;"|"&amp;'经营假设'!E76&amp;"|"&amp;'经营假设'!F76&amp;"|"&amp;'经营假设'!G76&amp;"|"&amp;'经营假设'!H76&amp;"|"&amp;'经营假设'!I76&amp;"|"&amp;'经营假设'!J76&amp;"|"&amp;'经营假设'!K76&amp;"|"&amp;'经营假设'!L76&amp;"|"&amp;'经营假设'!M76</x:f>
        <x:v>||||0.2|-0.5|17.3|92|0.034|0</x:v>
      </x:c>
    </x:row>
    <x:row r="449" ht="23" customHeight="1">
      <x:c r="A449" s="11" t="str">
        <x:v>00992.HK</x:v>
      </x:c>
      <x:c r="B449" s="11" t="str">
        <x:v>联想集团</x:v>
      </x:c>
      <x:c r="C449" s="11" t="str">
        <x:v>一年</x:v>
      </x:c>
      <x:c r="D449" s="11" t="str">
        <x:v>基准</x:v>
      </x:c>
      <x:c r="E449" s="11" t="n">
        <x:v>32.84</x:v>
      </x:c>
      <x:c r="F449" s="11" t="n">
        <x:v>50.42</x:v>
      </x:c>
      <x:c r="G449" s="11" t="n">
        <x:v>0.55</x:v>
      </x:c>
      <x:c r="H449" s="25" t="n">
        <x:v>0.5353227771010962</x:v>
      </x:c>
      <x:c r="I449" s="25" t="n">
        <x:v>0.5520706455542019</x:v>
      </x:c>
      <x:c r="J449" s="25" t="str"/>
      <x:c r="K449" s="11" t="n">
        <x:v>0.340244</x:v>
      </x:c>
      <x:c r="L449" s="11" t="n">
        <x:v>19</x:v>
      </x:c>
      <x:c r="M449" s="11" t="n">
        <x:v>7.8</x:v>
      </x:c>
      <x:c r="N449" s="11" t="n">
        <x:v>0.55</x:v>
      </x:c>
      <x:c r="O449" s="11" t="str"/>
      <x:c r="P449" s="11" t="str"/>
      <x:c r="Q449" s="11" t="str"/>
      <x:c r="R449" s="11" t="str">
        <x:v>lenovo-normalized-operating-dilution-v1.0</x:v>
      </x:c>
      <x:c r="S449" s="11" t="str">
        <x:v>2026-10-10</x:v>
      </x:c>
      <x:c r="T449" s="11" t="str">
        <x:f>IF(AND(SUM(IF(K449='假设'!E597,0,1),IF(L449='假设'!F597,0,1),IF(M449='假设'!G597,0,1),IF(N449='假设'!H597,0,1),IF(O449='假设'!I597,0,1),IF(P449='假设'!J597,0,1),IF(Q449='假设'!K597,0,1))=0,U449=V449),"已刷新","待刷新")</x:f>
        <x:v>待刷新</x:v>
      </x:c>
      <x:c r="U449" t="str">
        <x:v>||||0.2|-0.42|16.4|125|0.06|0</x:v>
      </x:c>
      <x:c r="V449" t="str">
        <x:f>'经营假设'!D77&amp;"|"&amp;'经营假设'!E77&amp;"|"&amp;'经营假设'!F77&amp;"|"&amp;'经营假设'!G77&amp;"|"&amp;'经营假设'!H77&amp;"|"&amp;'经营假设'!I77&amp;"|"&amp;'经营假设'!J77&amp;"|"&amp;'经营假设'!K77&amp;"|"&amp;'经营假设'!L77&amp;"|"&amp;'经营假设'!M77</x:f>
        <x:v>||||0.2|-0.42|16.4|125|0.06999999999999999|0</x:v>
      </x:c>
    </x:row>
    <x:row r="450" ht="23" customHeight="1">
      <x:c r="A450" s="11" t="str">
        <x:v>00992.HK</x:v>
      </x:c>
      <x:c r="B450" s="11" t="str">
        <x:v>联想集团</x:v>
      </x:c>
      <x:c r="C450" s="11" t="str">
        <x:v>一年</x:v>
      </x:c>
      <x:c r="D450" s="11" t="str">
        <x:v>乐观</x:v>
      </x:c>
      <x:c r="E450" s="11" t="n">
        <x:v>32.84</x:v>
      </x:c>
      <x:c r="F450" s="11" t="n">
        <x:v>102.52</x:v>
      </x:c>
      <x:c r="G450" s="11" t="n">
        <x:v>0.8</x:v>
      </x:c>
      <x:c r="H450" s="25" t="n">
        <x:v>2.121802679658952</x:v>
      </x:c>
      <x:c r="I450" s="25" t="n">
        <x:v>2.1461632155907426</x:v>
      </x:c>
      <x:c r="J450" s="25" t="str"/>
      <x:c r="K450" s="11" t="n">
        <x:v>0.536478</x:v>
      </x:c>
      <x:c r="L450" s="11" t="n">
        <x:v>24.5</x:v>
      </x:c>
      <x:c r="M450" s="11" t="n">
        <x:v>7.8</x:v>
      </x:c>
      <x:c r="N450" s="11" t="n">
        <x:v>0.8</x:v>
      </x:c>
      <x:c r="O450" s="11" t="str"/>
      <x:c r="P450" s="11" t="str"/>
      <x:c r="Q450" s="11" t="str"/>
      <x:c r="R450" s="11" t="str">
        <x:v>lenovo-normalized-operating-dilution-v1.0</x:v>
      </x:c>
      <x:c r="S450" s="11" t="str">
        <x:v>2026-10-10</x:v>
      </x:c>
      <x:c r="T450" s="11" t="str">
        <x:f>IF(AND(SUM(IF(K450='假设'!E598,0,1),IF(L450='假设'!F598,0,1),IF(M450='假设'!G598,0,1),IF(N450='假设'!H598,0,1),IF(O450='假设'!I598,0,1),IF(P450='假设'!J598,0,1),IF(Q450='假设'!K598,0,1))=0,U450=V450),"已刷新","待刷新")</x:f>
        <x:v>已刷新</x:v>
      </x:c>
      <x:c r="U450" t="str">
        <x:v>||||0.2|-0.35|15.9|150|0.074|0</x:v>
      </x:c>
      <x:c r="V450" t="str">
        <x:f>'经营假设'!D78&amp;"|"&amp;'经营假设'!E78&amp;"|"&amp;'经营假设'!F78&amp;"|"&amp;'经营假设'!G78&amp;"|"&amp;'经营假设'!H78&amp;"|"&amp;'经营假设'!I78&amp;"|"&amp;'经营假设'!J78&amp;"|"&amp;'经营假设'!K78&amp;"|"&amp;'经营假设'!L78&amp;"|"&amp;'经营假设'!M78</x:f>
        <x:v>||||0.2|-0.35|15.9|150|0.074|0</x:v>
      </x:c>
    </x:row>
    <x:row r="451" ht="23" customHeight="1">
      <x:c r="A451" s="11" t="str">
        <x:v>00992.HK</x:v>
      </x:c>
      <x:c r="B451" s="11" t="str">
        <x:v>联想集团</x:v>
      </x:c>
      <x:c r="C451" s="11" t="str">
        <x:v>三年</x:v>
      </x:c>
      <x:c r="D451" s="11" t="str">
        <x:v>悲观</x:v>
      </x:c>
      <x:c r="E451" s="11" t="n">
        <x:v>32.84</x:v>
      </x:c>
      <x:c r="F451" s="11" t="n">
        <x:v>6.81</x:v>
      </x:c>
      <x:c r="G451" s="11" t="n">
        <x:v>0.9</x:v>
      </x:c>
      <x:c r="H451" s="25" t="n">
        <x:v>-0.7926309378806334</x:v>
      </x:c>
      <x:c r="I451" s="25" t="n">
        <x:v>-0.7652253349573691</x:v>
      </x:c>
      <x:c r="J451" s="25" t="n">
        <x:v>-0.3830967239869023</x:v>
      </x:c>
      <x:c r="K451" s="11" t="n">
        <x:v>0.109187</x:v>
      </x:c>
      <x:c r="L451" s="11" t="n">
        <x:v>8</x:v>
      </x:c>
      <x:c r="M451" s="11" t="n">
        <x:v>7.8</x:v>
      </x:c>
      <x:c r="N451" s="11" t="n">
        <x:v>0.9</x:v>
      </x:c>
      <x:c r="O451" s="11" t="str"/>
      <x:c r="P451" s="11" t="str"/>
      <x:c r="Q451" s="11" t="str"/>
      <x:c r="R451" s="11" t="str">
        <x:v>lenovo-normalized-operating-dilution-v1.0</x:v>
      </x:c>
      <x:c r="S451" s="11" t="str">
        <x:v>2026-10-10</x:v>
      </x:c>
      <x:c r="T451" s="11" t="str">
        <x:f>IF(AND(SUM(IF(K451='假设'!E600,0,1),IF(L451='假设'!F600,0,1),IF(M451='假设'!G600,0,1),IF(N451='假设'!H600,0,1),IF(O451='假设'!I600,0,1),IF(P451='假设'!J600,0,1),IF(Q451='假设'!K600,0,1))=0,U451=V451),"已刷新","待刷新")</x:f>
        <x:v>已刷新</x:v>
      </x:c>
      <x:c r="U451" t="str">
        <x:v>||||0.2|-0.6|18.2|98|0.033|0</x:v>
      </x:c>
      <x:c r="V451" t="str">
        <x:f>'经营假设'!D80&amp;"|"&amp;'经营假设'!E80&amp;"|"&amp;'经营假设'!F80&amp;"|"&amp;'经营假设'!G80&amp;"|"&amp;'经营假设'!H80&amp;"|"&amp;'经营假设'!I80&amp;"|"&amp;'经营假设'!J80&amp;"|"&amp;'经营假设'!K80&amp;"|"&amp;'经营假设'!L80&amp;"|"&amp;'经营假设'!M80</x:f>
        <x:v>||||0.2|-0.6|18.2|98|0.033|0</x:v>
      </x:c>
    </x:row>
    <x:row r="452" ht="23" customHeight="1">
      <x:c r="A452" s="11" t="str">
        <x:v>00992.HK</x:v>
      </x:c>
      <x:c r="B452" s="11" t="str">
        <x:v>联想集团</x:v>
      </x:c>
      <x:c r="C452" s="11" t="str">
        <x:v>三年</x:v>
      </x:c>
      <x:c r="D452" s="11" t="str">
        <x:v>基准</x:v>
      </x:c>
      <x:c r="E452" s="11" t="n">
        <x:v>32.84</x:v>
      </x:c>
      <x:c r="F452" s="11" t="n">
        <x:v>78.38</x:v>
      </x:c>
      <x:c r="G452" s="11" t="n">
        <x:v>2.4</x:v>
      </x:c>
      <x:c r="H452" s="25" t="n">
        <x:v>1.3867235079171736</x:v>
      </x:c>
      <x:c r="I452" s="25" t="n">
        <x:v>1.4598051157125456</x:v>
      </x:c>
      <x:c r="J452" s="25" t="n">
        <x:v>0.3498957607145994</x:v>
      </x:c>
      <x:c r="K452" s="11" t="n">
        <x:v>0.50241</x:v>
      </x:c>
      <x:c r="L452" s="11" t="n">
        <x:v>20</x:v>
      </x:c>
      <x:c r="M452" s="11" t="n">
        <x:v>7.8</x:v>
      </x:c>
      <x:c r="N452" s="11" t="n">
        <x:v>2.4</x:v>
      </x:c>
      <x:c r="O452" s="11" t="str"/>
      <x:c r="P452" s="11" t="str"/>
      <x:c r="Q452" s="11" t="str"/>
      <x:c r="R452" s="11" t="str">
        <x:v>lenovo-normalized-operating-dilution-v1.0</x:v>
      </x:c>
      <x:c r="S452" s="11" t="str">
        <x:v>2026-10-10</x:v>
      </x:c>
      <x:c r="T452" s="11" t="str">
        <x:f>IF(AND(SUM(IF(K452='假设'!E601,0,1),IF(L452='假设'!F601,0,1),IF(M452='假设'!G601,0,1),IF(N452='假设'!H601,0,1),IF(O452='假设'!I601,0,1),IF(P452='假设'!J601,0,1),IF(Q452='假设'!K601,0,1))=0,U452=V452),"已刷新","待刷新")</x:f>
        <x:v>已刷新</x:v>
      </x:c>
      <x:c r="U452" t="str">
        <x:v>||||0.2|-0.5|16.6|170|0.065|0</x:v>
      </x:c>
      <x:c r="V452" t="str">
        <x:f>'经营假设'!D81&amp;"|"&amp;'经营假设'!E81&amp;"|"&amp;'经营假设'!F81&amp;"|"&amp;'经营假设'!G81&amp;"|"&amp;'经营假设'!H81&amp;"|"&amp;'经营假设'!I81&amp;"|"&amp;'经营假设'!J81&amp;"|"&amp;'经营假设'!K81&amp;"|"&amp;'经营假设'!L81&amp;"|"&amp;'经营假设'!M81</x:f>
        <x:v>||||0.2|-0.5|16.6|170|0.065|0</x:v>
      </x:c>
    </x:row>
    <x:row r="453" ht="23" customHeight="1">
      <x:c r="A453" s="11" t="str">
        <x:v>00992.HK</x:v>
      </x:c>
      <x:c r="B453" s="11" t="str">
        <x:v>联想集团</x:v>
      </x:c>
      <x:c r="C453" s="11" t="str">
        <x:v>三年</x:v>
      </x:c>
      <x:c r="D453" s="11" t="str">
        <x:v>乐观</x:v>
      </x:c>
      <x:c r="E453" s="11" t="n">
        <x:v>32.84</x:v>
      </x:c>
      <x:c r="F453" s="11" t="n">
        <x:v>184.16</x:v>
      </x:c>
      <x:c r="G453" s="11" t="n">
        <x:v>4</x:v>
      </x:c>
      <x:c r="H453" s="25" t="n">
        <x:v>4.607795371498172</x:v>
      </x:c>
      <x:c r="I453" s="25" t="n">
        <x:v>4.729598051157125</x:v>
      </x:c>
      <x:c r="J453" s="25" t="n">
        <x:v>0.7894025503334063</x:v>
      </x:c>
      <x:c r="K453" s="11" t="n">
        <x:v>0.944403</x:v>
      </x:c>
      <x:c r="L453" s="11" t="n">
        <x:v>25</x:v>
      </x:c>
      <x:c r="M453" s="11" t="n">
        <x:v>7.8</x:v>
      </x:c>
      <x:c r="N453" s="11" t="n">
        <x:v>4</x:v>
      </x:c>
      <x:c r="O453" s="11" t="str"/>
      <x:c r="P453" s="11" t="str"/>
      <x:c r="Q453" s="11" t="str"/>
      <x:c r="R453" s="11" t="str">
        <x:v>lenovo-normalized-operating-dilution-v1.0</x:v>
      </x:c>
      <x:c r="S453" s="11" t="str">
        <x:v>2026-10-10</x:v>
      </x:c>
      <x:c r="T453" s="11" t="str">
        <x:f>IF(AND(SUM(IF(K453='假设'!E602,0,1),IF(L453='假设'!F602,0,1),IF(M453='假设'!G602,0,1),IF(N453='假设'!H602,0,1),IF(O453='假设'!I602,0,1),IF(P453='假设'!J602,0,1),IF(Q453='假设'!K602,0,1))=0,U453=V453),"已刷新","待刷新")</x:f>
        <x:v>已刷新</x:v>
      </x:c>
      <x:c r="U453" t="str">
        <x:v>||||0.2|-0.4|15.9|235|0.082|0</x:v>
      </x:c>
      <x:c r="V453" t="str">
        <x:f>'经营假设'!D82&amp;"|"&amp;'经营假设'!E82&amp;"|"&amp;'经营假设'!F82&amp;"|"&amp;'经营假设'!G82&amp;"|"&amp;'经营假设'!H82&amp;"|"&amp;'经营假设'!I82&amp;"|"&amp;'经营假设'!J82&amp;"|"&amp;'经营假设'!K82&amp;"|"&amp;'经营假设'!L82&amp;"|"&amp;'经营假设'!M82</x:f>
        <x:v>||||0.2|-0.4|15.9|235|0.082|0</x:v>
      </x:c>
    </x:row>
    <x:row r="454" ht="23" customHeight="1">
      <x:c r="A454" s="11" t="str">
        <x:v>00992.HK</x:v>
      </x:c>
      <x:c r="B454" s="11" t="str">
        <x:v>联想集团</x:v>
      </x:c>
      <x:c r="C454" s="11" t="str">
        <x:v>五年</x:v>
      </x:c>
      <x:c r="D454" s="11" t="str">
        <x:v>悲观</x:v>
      </x:c>
      <x:c r="E454" s="11" t="n">
        <x:v>32.84</x:v>
      </x:c>
      <x:c r="F454" s="11" t="n">
        <x:v>5.9</x:v>
      </x:c>
      <x:c r="G454" s="11" t="n">
        <x:v>1.5</x:v>
      </x:c>
      <x:c r="H454" s="25" t="n">
        <x:v>-0.820341047503045</x:v>
      </x:c>
      <x:c r="I454" s="25" t="n">
        <x:v>-0.7746650426309378</x:v>
      </x:c>
      <x:c r="J454" s="25" t="n">
        <x:v>-0.2577234949197813</x:v>
      </x:c>
      <x:c r="K454" s="11" t="n">
        <x:v>0.100875</x:v>
      </x:c>
      <x:c r="L454" s="11" t="n">
        <x:v>7.5</x:v>
      </x:c>
      <x:c r="M454" s="11" t="n">
        <x:v>7.8</x:v>
      </x:c>
      <x:c r="N454" s="11" t="n">
        <x:v>1.5</x:v>
      </x:c>
      <x:c r="O454" s="11" t="str"/>
      <x:c r="P454" s="11" t="str"/>
      <x:c r="Q454" s="11" t="str"/>
      <x:c r="R454" s="11" t="str">
        <x:v>lenovo-normalized-operating-dilution-v1.0</x:v>
      </x:c>
      <x:c r="S454" s="11" t="str">
        <x:v>2026-10-10</x:v>
      </x:c>
      <x:c r="T454" s="11" t="str">
        <x:f>IF(AND(SUM(IF(K454='假设'!E604,0,1),IF(L454='假设'!F604,0,1),IF(M454='假设'!G604,0,1),IF(N454='假设'!H604,0,1),IF(O454='假设'!I604,0,1),IF(P454='假设'!J604,0,1),IF(Q454='假设'!K604,0,1))=0,U454=V454),"已刷新","待刷新")</x:f>
        <x:v>已刷新</x:v>
      </x:c>
      <x:c r="U454" t="str">
        <x:v>||||0.2|-0.7|19.2|103|0.032|0</x:v>
      </x:c>
      <x:c r="V454" t="str">
        <x:f>'经营假设'!D84&amp;"|"&amp;'经营假设'!E84&amp;"|"&amp;'经营假设'!F84&amp;"|"&amp;'经营假设'!G84&amp;"|"&amp;'经营假设'!H84&amp;"|"&amp;'经营假设'!I84&amp;"|"&amp;'经营假设'!J84&amp;"|"&amp;'经营假设'!K84&amp;"|"&amp;'经营假设'!L84&amp;"|"&amp;'经营假设'!M84</x:f>
        <x:v>||||0.2|-0.7|19.2|103|0.032|0</x:v>
      </x:c>
    </x:row>
    <x:row r="455" ht="23" customHeight="1">
      <x:c r="A455" s="11" t="str">
        <x:v>00992.HK</x:v>
      </x:c>
      <x:c r="B455" s="11" t="str">
        <x:v>联想集团</x:v>
      </x:c>
      <x:c r="C455" s="11" t="str">
        <x:v>五年</x:v>
      </x:c>
      <x:c r="D455" s="11" t="str">
        <x:v>基准</x:v>
      </x:c>
      <x:c r="E455" s="11" t="n">
        <x:v>32.84</x:v>
      </x:c>
      <x:c r="F455" s="11" t="n">
        <x:v>100.38</x:v>
      </x:c>
      <x:c r="G455" s="11" t="n">
        <x:v>4.7</x:v>
      </x:c>
      <x:c r="H455" s="25" t="n">
        <x:v>2.0566382460414125</x:v>
      </x:c>
      <x:c r="I455" s="25" t="n">
        <x:v>2.1997563946406817</x:v>
      </x:c>
      <x:c r="J455" s="25" t="n">
        <x:v>0.2618954753014817</x:v>
      </x:c>
      <x:c r="K455" s="11" t="n">
        <x:v>0.643432</x:v>
      </x:c>
      <x:c r="L455" s="11" t="n">
        <x:v>20</x:v>
      </x:c>
      <x:c r="M455" s="11" t="n">
        <x:v>7.8</x:v>
      </x:c>
      <x:c r="N455" s="11" t="n">
        <x:v>4.7</x:v>
      </x:c>
      <x:c r="O455" s="11" t="str"/>
      <x:c r="P455" s="11" t="str"/>
      <x:c r="Q455" s="11" t="str"/>
      <x:c r="R455" s="11" t="str">
        <x:v>lenovo-normalized-operating-dilution-v1.0</x:v>
      </x:c>
      <x:c r="S455" s="11" t="str">
        <x:v>2026-10-10</x:v>
      </x:c>
      <x:c r="T455" s="11" t="str">
        <x:f>IF(AND(SUM(IF(K455='假设'!E605,0,1),IF(L455='假设'!F605,0,1),IF(M455='假设'!G605,0,1),IF(N455='假设'!H605,0,1),IF(O455='假设'!I605,0,1),IF(P455='假设'!J605,0,1),IF(Q455='假设'!K605,0,1))=0,U455=V455),"已刷新","待刷新")</x:f>
        <x:v>已刷新</x:v>
      </x:c>
      <x:c r="U455" t="str">
        <x:v>||||0.2|-0.55|16.9|210|0.068|0</x:v>
      </x:c>
      <x:c r="V455" t="str">
        <x:f>'经营假设'!D85&amp;"|"&amp;'经营假设'!E85&amp;"|"&amp;'经营假设'!F85&amp;"|"&amp;'经营假设'!G85&amp;"|"&amp;'经营假设'!H85&amp;"|"&amp;'经营假设'!I85&amp;"|"&amp;'经营假设'!J85&amp;"|"&amp;'经营假设'!K85&amp;"|"&amp;'经营假设'!L85&amp;"|"&amp;'经营假设'!M85</x:f>
        <x:v>||||0.2|-0.55|16.9|210|0.068|0</x:v>
      </x:c>
    </x:row>
    <x:row r="456" ht="23" customHeight="1">
      <x:c r="A456" s="11" t="str">
        <x:v>00992.HK</x:v>
      </x:c>
      <x:c r="B456" s="11" t="str">
        <x:v>联想集团</x:v>
      </x:c>
      <x:c r="C456" s="11" t="str">
        <x:v>五年</x:v>
      </x:c>
      <x:c r="D456" s="11" t="str">
        <x:v>乐观</x:v>
      </x:c>
      <x:c r="E456" s="11" t="n">
        <x:v>32.84</x:v>
      </x:c>
      <x:c r="F456" s="11" t="n">
        <x:v>263.45</x:v>
      </x:c>
      <x:c r="G456" s="11" t="n">
        <x:v>8</x:v>
      </x:c>
      <x:c r="H456" s="25" t="n">
        <x:v>7.0222289890377585</x:v>
      </x:c>
      <x:c r="I456" s="25" t="n">
        <x:v>7.265834348355662</x:v>
      </x:c>
      <x:c r="J456" s="25" t="n">
        <x:v>0.5256585229086632</x:v>
      </x:c>
      <x:c r="K456" s="11" t="n">
        <x:v>1.351</x:v>
      </x:c>
      <x:c r="L456" s="11" t="n">
        <x:v>25</x:v>
      </x:c>
      <x:c r="M456" s="11" t="n">
        <x:v>7.8</x:v>
      </x:c>
      <x:c r="N456" s="11" t="n">
        <x:v>8</x:v>
      </x:c>
      <x:c r="O456" s="11" t="str"/>
      <x:c r="P456" s="11" t="str"/>
      <x:c r="Q456" s="11" t="str"/>
      <x:c r="R456" s="11" t="str">
        <x:v>lenovo-normalized-operating-dilution-v1.0</x:v>
      </x:c>
      <x:c r="S456" s="11" t="str">
        <x:v>2026-10-10</x:v>
      </x:c>
      <x:c r="T456" s="11" t="str">
        <x:f>IF(AND(SUM(IF(K456='假设'!E606,0,1),IF(L456='假设'!F606,0,1),IF(M456='假设'!G606,0,1),IF(N456='假设'!H606,0,1),IF(O456='假设'!I606,0,1),IF(P456='假设'!J606,0,1),IF(Q456='假设'!K606,0,1))=0,U456=V456),"已刷新","待刷新")</x:f>
        <x:v>已刷新</x:v>
      </x:c>
      <x:c r="U456" t="str">
        <x:v>||||0.2|-0.4|16|320|0.086|0</x:v>
      </x:c>
      <x:c r="V456" t="str">
        <x:f>'经营假设'!D86&amp;"|"&amp;'经营假设'!E86&amp;"|"&amp;'经营假设'!F86&amp;"|"&amp;'经营假设'!G86&amp;"|"&amp;'经营假设'!H86&amp;"|"&amp;'经营假设'!I86&amp;"|"&amp;'经营假设'!J86&amp;"|"&amp;'经营假设'!K86&amp;"|"&amp;'经营假设'!L86&amp;"|"&amp;'经营假设'!M86</x:f>
        <x:v>||||0.2|-0.4|16|320|0.086|0</x:v>
      </x:c>
    </x:row>
    <x:row r="457" ht="23" customHeight="1">
      <x:c r="A457" s="11" t="str">
        <x:v>01513.HK</x:v>
      </x:c>
      <x:c r="B457" s="11" t="str">
        <x:v>丽珠医药</x:v>
      </x:c>
      <x:c r="C457" s="11" t="str">
        <x:v>2026年底</x:v>
      </x:c>
      <x:c r="D457" s="11" t="str">
        <x:v>悲观</x:v>
      </x:c>
      <x:c r="E457" s="11" t="n">
        <x:v>22.16</x:v>
      </x:c>
      <x:c r="F457" s="11" t="n">
        <x:v>14.080000000000002</x:v>
      </x:c>
      <x:c r="G457" s="11" t="n">
        <x:v>1.185</x:v>
      </x:c>
      <x:c r="H457" s="25" t="n">
        <x:v>-0.3646209386281588</x:v>
      </x:c>
      <x:c r="I457" s="25" t="n">
        <x:v>-0.31114620938628146</x:v>
      </x:c>
      <x:c r="J457" s="25" t="str"/>
      <x:c r="K457" s="11" t="n">
        <x:v>1.6</x:v>
      </x:c>
      <x:c r="L457" s="11" t="n">
        <x:v>8</x:v>
      </x:c>
      <x:c r="M457" s="11" t="n">
        <x:v>1.1</x:v>
      </x:c>
      <x:c r="N457" s="11" t="n">
        <x:v>1.185</x:v>
      </x:c>
      <x:c r="O457" s="11" t="str"/>
      <x:c r="P457" s="11" t="str"/>
      <x:c r="Q457" s="11" t="str"/>
      <x:c r="R457" s="11" t="str">
        <x:v>livzon-H-normalized-pe-v1.0</x:v>
      </x:c>
      <x:c r="S457" s="11" t="str">
        <x:v>2026-10-10</x:v>
      </x:c>
      <x:c r="T457" s="11" t="str">
        <x:f>IF(AND(SUM(IF(K457='假设'!E608,0,1),IF(L457='假设'!F608,0,1),IF(M457='假设'!G608,0,1),IF(N457='假设'!H608,0,1),IF(O457='假设'!I608,0,1),IF(P457='假设'!J608,0,1),IF(Q457='假设'!K608,0,1))=0,U457=V457),"已刷新","待刷新")</x:f>
        <x:v>已刷新</x:v>
      </x:c>
    </x:row>
    <x:row r="458" ht="23" customHeight="1">
      <x:c r="A458" s="11" t="str">
        <x:v>01513.HK</x:v>
      </x:c>
      <x:c r="B458" s="11" t="str">
        <x:v>丽珠医药</x:v>
      </x:c>
      <x:c r="C458" s="11" t="str">
        <x:v>2026年底</x:v>
      </x:c>
      <x:c r="D458" s="11" t="str">
        <x:v>基准</x:v>
      </x:c>
      <x:c r="E458" s="11" t="n">
        <x:v>22.16</x:v>
      </x:c>
      <x:c r="F458" s="11" t="n">
        <x:v>22.5225</x:v>
      </x:c>
      <x:c r="G458" s="11" t="n">
        <x:v>1.185</x:v>
      </x:c>
      <x:c r="H458" s="25" t="n">
        <x:v>0.016358303249097483</x:v>
      </x:c>
      <x:c r="I458" s="25" t="n">
        <x:v>0.06983303249097461</x:v>
      </x:c>
      <x:c r="J458" s="25" t="str"/>
      <x:c r="K458" s="11" t="n">
        <x:v>1.95</x:v>
      </x:c>
      <x:c r="L458" s="11" t="n">
        <x:v>10.5</x:v>
      </x:c>
      <x:c r="M458" s="11" t="n">
        <x:v>1.1</x:v>
      </x:c>
      <x:c r="N458" s="11" t="n">
        <x:v>1.185</x:v>
      </x:c>
      <x:c r="O458" s="11" t="str"/>
      <x:c r="P458" s="11" t="str"/>
      <x:c r="Q458" s="11" t="str"/>
      <x:c r="R458" s="11" t="str">
        <x:v>livzon-H-normalized-pe-v1.0</x:v>
      </x:c>
      <x:c r="S458" s="11" t="str">
        <x:v>2026-10-10</x:v>
      </x:c>
      <x:c r="T458" s="11" t="str">
        <x:f>IF(AND(SUM(IF(K458='假设'!E609,0,1),IF(L458='假设'!F609,0,1),IF(M458='假设'!G609,0,1),IF(N458='假设'!H609,0,1),IF(O458='假设'!I609,0,1),IF(P458='假设'!J609,0,1),IF(Q458='假设'!K609,0,1))=0,U458=V458),"已刷新","待刷新")</x:f>
        <x:v>已刷新</x:v>
      </x:c>
    </x:row>
    <x:row r="459" ht="23" customHeight="1">
      <x:c r="A459" s="11" t="str">
        <x:v>01513.HK</x:v>
      </x:c>
      <x:c r="B459" s="11" t="str">
        <x:v>丽珠医药</x:v>
      </x:c>
      <x:c r="C459" s="11" t="str">
        <x:v>2026年底</x:v>
      </x:c>
      <x:c r="D459" s="11" t="str">
        <x:v>乐观</x:v>
      </x:c>
      <x:c r="E459" s="11" t="n">
        <x:v>22.16</x:v>
      </x:c>
      <x:c r="F459" s="11" t="n">
        <x:v>31.460000000000004</x:v>
      </x:c>
      <x:c r="G459" s="11" t="n">
        <x:v>1.185</x:v>
      </x:c>
      <x:c r="H459" s="25" t="n">
        <x:v>0.41967509025270777</x:v>
      </x:c>
      <x:c r="I459" s="25" t="n">
        <x:v>0.4731498194945849</x:v>
      </x:c>
      <x:c r="J459" s="25" t="str"/>
      <x:c r="K459" s="11" t="n">
        <x:v>2.2</x:v>
      </x:c>
      <x:c r="L459" s="11" t="n">
        <x:v>13</x:v>
      </x:c>
      <x:c r="M459" s="11" t="n">
        <x:v>1.1</x:v>
      </x:c>
      <x:c r="N459" s="11" t="n">
        <x:v>1.185</x:v>
      </x:c>
      <x:c r="O459" s="11" t="str"/>
      <x:c r="P459" s="11" t="str"/>
      <x:c r="Q459" s="11" t="str"/>
      <x:c r="R459" s="11" t="str">
        <x:v>livzon-H-normalized-pe-v1.0</x:v>
      </x:c>
      <x:c r="S459" s="11" t="str">
        <x:v>2026-10-10</x:v>
      </x:c>
      <x:c r="T459" s="11" t="str">
        <x:f>IF(AND(SUM(IF(K459='假设'!E610,0,1),IF(L459='假设'!F610,0,1),IF(M459='假设'!G610,0,1),IF(N459='假设'!H610,0,1),IF(O459='假设'!I610,0,1),IF(P459='假设'!J610,0,1),IF(Q459='假设'!K610,0,1))=0,U459=V459),"已刷新","待刷新")</x:f>
        <x:v>已刷新</x:v>
      </x:c>
    </x:row>
    <x:row r="460" ht="23" customHeight="1">
      <x:c r="A460" s="11" t="str">
        <x:v>01513.HK</x:v>
      </x:c>
      <x:c r="B460" s="11" t="str">
        <x:v>丽珠医药</x:v>
      </x:c>
      <x:c r="C460" s="11" t="str">
        <x:v>半年</x:v>
      </x:c>
      <x:c r="D460" s="11" t="str">
        <x:v>悲观</x:v>
      </x:c>
      <x:c r="E460" s="11" t="n">
        <x:v>22.16</x:v>
      </x:c>
      <x:c r="F460" s="11" t="n">
        <x:v>14.52</x:v>
      </x:c>
      <x:c r="G460" s="11" t="n">
        <x:v>1.185</x:v>
      </x:c>
      <x:c r="H460" s="25" t="n">
        <x:v>-0.3447653429602888</x:v>
      </x:c>
      <x:c r="I460" s="25" t="n">
        <x:v>-0.2912906137184116</x:v>
      </x:c>
      <x:c r="J460" s="25" t="str"/>
      <x:c r="K460" s="11" t="n">
        <x:v>1.65</x:v>
      </x:c>
      <x:c r="L460" s="11" t="n">
        <x:v>8</x:v>
      </x:c>
      <x:c r="M460" s="11" t="n">
        <x:v>1.1</x:v>
      </x:c>
      <x:c r="N460" s="11" t="n">
        <x:v>1.185</x:v>
      </x:c>
      <x:c r="O460" s="11" t="str"/>
      <x:c r="P460" s="11" t="str"/>
      <x:c r="Q460" s="11" t="str"/>
      <x:c r="R460" s="11" t="str">
        <x:v>livzon-H-normalized-pe-v1.0</x:v>
      </x:c>
      <x:c r="S460" s="11" t="str">
        <x:v>2026-10-10</x:v>
      </x:c>
      <x:c r="T460" s="11" t="str">
        <x:f>IF(AND(SUM(IF(K460='假设'!E612,0,1),IF(L460='假设'!F612,0,1),IF(M460='假设'!G612,0,1),IF(N460='假设'!H612,0,1),IF(O460='假设'!I612,0,1),IF(P460='假设'!J612,0,1),IF(Q460='假设'!K612,0,1))=0,U460=V460),"已刷新","待刷新")</x:f>
        <x:v>已刷新</x:v>
      </x:c>
    </x:row>
    <x:row r="461" ht="23" customHeight="1">
      <x:c r="A461" s="11" t="str">
        <x:v>01513.HK</x:v>
      </x:c>
      <x:c r="B461" s="11" t="str">
        <x:v>丽珠医药</x:v>
      </x:c>
      <x:c r="C461" s="11" t="str">
        <x:v>半年</x:v>
      </x:c>
      <x:c r="D461" s="11" t="str">
        <x:v>基准</x:v>
      </x:c>
      <x:c r="E461" s="11" t="n">
        <x:v>22.16</x:v>
      </x:c>
      <x:c r="F461" s="11" t="n">
        <x:v>26.565000000000005</x:v>
      </x:c>
      <x:c r="G461" s="11" t="n">
        <x:v>1.185</x:v>
      </x:c>
      <x:c r="H461" s="25" t="n">
        <x:v>0.1987815884476536</x:v>
      </x:c>
      <x:c r="I461" s="25" t="n">
        <x:v>0.25225631768953094</x:v>
      </x:c>
      <x:c r="J461" s="25" t="str"/>
      <x:c r="K461" s="11" t="n">
        <x:v>2.1</x:v>
      </x:c>
      <x:c r="L461" s="11" t="n">
        <x:v>11.5</x:v>
      </x:c>
      <x:c r="M461" s="11" t="n">
        <x:v>1.1</x:v>
      </x:c>
      <x:c r="N461" s="11" t="n">
        <x:v>1.185</x:v>
      </x:c>
      <x:c r="O461" s="11" t="str"/>
      <x:c r="P461" s="11" t="str"/>
      <x:c r="Q461" s="11" t="str"/>
      <x:c r="R461" s="11" t="str">
        <x:v>livzon-H-normalized-pe-v1.0</x:v>
      </x:c>
      <x:c r="S461" s="11" t="str">
        <x:v>2026-10-10</x:v>
      </x:c>
      <x:c r="T461" s="11" t="str">
        <x:f>IF(AND(SUM(IF(K461='假设'!E613,0,1),IF(L461='假设'!F613,0,1),IF(M461='假设'!G613,0,1),IF(N461='假设'!H613,0,1),IF(O461='假设'!I613,0,1),IF(P461='假设'!J613,0,1),IF(Q461='假设'!K613,0,1))=0,U461=V461),"已刷新","待刷新")</x:f>
        <x:v>已刷新</x:v>
      </x:c>
    </x:row>
    <x:row r="462" ht="23" customHeight="1">
      <x:c r="A462" s="11" t="str">
        <x:v>01513.HK</x:v>
      </x:c>
      <x:c r="B462" s="11" t="str">
        <x:v>丽珠医药</x:v>
      </x:c>
      <x:c r="C462" s="11" t="str">
        <x:v>半年</x:v>
      </x:c>
      <x:c r="D462" s="11" t="str">
        <x:v>乐观</x:v>
      </x:c>
      <x:c r="E462" s="11" t="n">
        <x:v>22.16</x:v>
      </x:c>
      <x:c r="F462" s="11" t="n">
        <x:v>42.075</x:v>
      </x:c>
      <x:c r="G462" s="11" t="n">
        <x:v>1.185</x:v>
      </x:c>
      <x:c r="H462" s="25" t="n">
        <x:v>0.8986913357400723</x:v>
      </x:c>
      <x:c r="I462" s="25" t="n">
        <x:v>0.9521660649819497</x:v>
      </x:c>
      <x:c r="J462" s="25" t="str"/>
      <x:c r="K462" s="11" t="n">
        <x:v>2.55</x:v>
      </x:c>
      <x:c r="L462" s="11" t="n">
        <x:v>15</x:v>
      </x:c>
      <x:c r="M462" s="11" t="n">
        <x:v>1.1</x:v>
      </x:c>
      <x:c r="N462" s="11" t="n">
        <x:v>1.185</x:v>
      </x:c>
      <x:c r="O462" s="11" t="str"/>
      <x:c r="P462" s="11" t="str"/>
      <x:c r="Q462" s="11" t="str"/>
      <x:c r="R462" s="11" t="str">
        <x:v>livzon-H-normalized-pe-v1.0</x:v>
      </x:c>
      <x:c r="S462" s="11" t="str">
        <x:v>2026-10-10</x:v>
      </x:c>
      <x:c r="T462" s="11" t="str">
        <x:f>IF(AND(SUM(IF(K462='假设'!E614,0,1),IF(L462='假设'!F614,0,1),IF(M462='假设'!G614,0,1),IF(N462='假设'!H614,0,1),IF(O462='假设'!I614,0,1),IF(P462='假设'!J614,0,1),IF(Q462='假设'!K614,0,1))=0,U462=V462),"已刷新","待刷新")</x:f>
        <x:v>已刷新</x:v>
      </x:c>
    </x:row>
    <x:row r="463" ht="23" customHeight="1">
      <x:c r="A463" s="11" t="str">
        <x:v>01513.HK</x:v>
      </x:c>
      <x:c r="B463" s="11" t="str">
        <x:v>丽珠医药</x:v>
      </x:c>
      <x:c r="C463" s="11" t="str">
        <x:v>一年</x:v>
      </x:c>
      <x:c r="D463" s="11" t="str">
        <x:v>悲观</x:v>
      </x:c>
      <x:c r="E463" s="11" t="n">
        <x:v>22.16</x:v>
      </x:c>
      <x:c r="F463" s="11" t="n">
        <x:v>14.96</x:v>
      </x:c>
      <x:c r="G463" s="11" t="n">
        <x:v>2.05</x:v>
      </x:c>
      <x:c r="H463" s="25" t="n">
        <x:v>-0.3249097472924187</x:v>
      </x:c>
      <x:c r="I463" s="25" t="n">
        <x:v>-0.23240072202166062</x:v>
      </x:c>
      <x:c r="J463" s="25" t="str"/>
      <x:c r="K463" s="11" t="n">
        <x:v>1.7</x:v>
      </x:c>
      <x:c r="L463" s="11" t="n">
        <x:v>8</x:v>
      </x:c>
      <x:c r="M463" s="11" t="n">
        <x:v>1.1</x:v>
      </x:c>
      <x:c r="N463" s="11" t="n">
        <x:v>2.05</x:v>
      </x:c>
      <x:c r="O463" s="11" t="str"/>
      <x:c r="P463" s="11" t="str"/>
      <x:c r="Q463" s="11" t="str"/>
      <x:c r="R463" s="11" t="str">
        <x:v>livzon-H-normalized-pe-v1.0</x:v>
      </x:c>
      <x:c r="S463" s="11" t="str">
        <x:v>2026-10-10</x:v>
      </x:c>
      <x:c r="T463" s="11" t="str">
        <x:f>IF(AND(SUM(IF(K463='假设'!E616,0,1),IF(L463='假设'!F616,0,1),IF(M463='假设'!G616,0,1),IF(N463='假设'!H616,0,1),IF(O463='假设'!I616,0,1),IF(P463='假设'!J616,0,1),IF(Q463='假设'!K616,0,1))=0,U463=V463),"已刷新","待刷新")</x:f>
        <x:v>已刷新</x:v>
      </x:c>
    </x:row>
    <x:row r="464" ht="23" customHeight="1">
      <x:c r="A464" s="11" t="str">
        <x:v>01513.HK</x:v>
      </x:c>
      <x:c r="B464" s="11" t="str">
        <x:v>丽珠医药</x:v>
      </x:c>
      <x:c r="C464" s="11" t="str">
        <x:v>一年</x:v>
      </x:c>
      <x:c r="D464" s="11" t="str">
        <x:v>基准</x:v>
      </x:c>
      <x:c r="E464" s="11" t="n">
        <x:v>22.16</x:v>
      </x:c>
      <x:c r="F464" s="11" t="n">
        <x:v>30.36</x:v>
      </x:c>
      <x:c r="G464" s="11" t="n">
        <x:v>2.505</x:v>
      </x:c>
      <x:c r="H464" s="25" t="n">
        <x:v>0.3700361010830324</x:v>
      </x:c>
      <x:c r="I464" s="25" t="n">
        <x:v>0.48307761732851984</x:v>
      </x:c>
      <x:c r="J464" s="25" t="str"/>
      <x:c r="K464" s="11" t="n">
        <x:v>2.3</x:v>
      </x:c>
      <x:c r="L464" s="11" t="n">
        <x:v>12</x:v>
      </x:c>
      <x:c r="M464" s="11" t="n">
        <x:v>1.1</x:v>
      </x:c>
      <x:c r="N464" s="11" t="n">
        <x:v>2.505</x:v>
      </x:c>
      <x:c r="O464" s="11" t="str"/>
      <x:c r="P464" s="11" t="str"/>
      <x:c r="Q464" s="11" t="str"/>
      <x:c r="R464" s="11" t="str">
        <x:v>livzon-H-normalized-pe-v1.0</x:v>
      </x:c>
      <x:c r="S464" s="11" t="str">
        <x:v>2026-10-10</x:v>
      </x:c>
      <x:c r="T464" s="11" t="str">
        <x:f>IF(AND(SUM(IF(K464='假设'!E617,0,1),IF(L464='假设'!F617,0,1),IF(M464='假设'!G617,0,1),IF(N464='假设'!H617,0,1),IF(O464='假设'!I617,0,1),IF(P464='假设'!J617,0,1),IF(Q464='假设'!K617,0,1))=0,U464=V464),"已刷新","待刷新")</x:f>
        <x:v>已刷新</x:v>
      </x:c>
    </x:row>
    <x:row r="465" ht="23" customHeight="1">
      <x:c r="A465" s="11" t="str">
        <x:v>01513.HK</x:v>
      </x:c>
      <x:c r="B465" s="11" t="str">
        <x:v>丽珠医药</x:v>
      </x:c>
      <x:c r="C465" s="11" t="str">
        <x:v>一年</x:v>
      </x:c>
      <x:c r="D465" s="11" t="str">
        <x:v>乐观</x:v>
      </x:c>
      <x:c r="E465" s="11" t="n">
        <x:v>22.16</x:v>
      </x:c>
      <x:c r="F465" s="11" t="n">
        <x:v>51.04</x:v>
      </x:c>
      <x:c r="G465" s="11" t="n">
        <x:v>2.835</x:v>
      </x:c>
      <x:c r="H465" s="25" t="n">
        <x:v>1.303249097472924</x:v>
      </x:c>
      <x:c r="I465" s="25" t="n">
        <x:v>1.431182310469314</x:v>
      </x:c>
      <x:c r="J465" s="25" t="str"/>
      <x:c r="K465" s="11" t="n">
        <x:v>2.9</x:v>
      </x:c>
      <x:c r="L465" s="11" t="n">
        <x:v>16</x:v>
      </x:c>
      <x:c r="M465" s="11" t="n">
        <x:v>1.1</x:v>
      </x:c>
      <x:c r="N465" s="11" t="n">
        <x:v>2.835</x:v>
      </x:c>
      <x:c r="O465" s="11" t="str"/>
      <x:c r="P465" s="11" t="str"/>
      <x:c r="Q465" s="11" t="str"/>
      <x:c r="R465" s="11" t="str">
        <x:v>livzon-H-normalized-pe-v1.0</x:v>
      </x:c>
      <x:c r="S465" s="11" t="str">
        <x:v>2026-10-10</x:v>
      </x:c>
      <x:c r="T465" s="11" t="str">
        <x:f>IF(AND(SUM(IF(K465='假设'!E618,0,1),IF(L465='假设'!F618,0,1),IF(M465='假设'!G618,0,1),IF(N465='假设'!H618,0,1),IF(O465='假设'!I618,0,1),IF(P465='假设'!J618,0,1),IF(Q465='假设'!K618,0,1))=0,U465=V465),"已刷新","待刷新")</x:f>
        <x:v>已刷新</x:v>
      </x:c>
    </x:row>
    <x:row r="466" ht="23" customHeight="1">
      <x:c r="A466" s="11" t="str">
        <x:v>01513.HK</x:v>
      </x:c>
      <x:c r="B466" s="11" t="str">
        <x:v>丽珠医药</x:v>
      </x:c>
      <x:c r="C466" s="11" t="str">
        <x:v>三年</x:v>
      </x:c>
      <x:c r="D466" s="11" t="str">
        <x:v>悲观</x:v>
      </x:c>
      <x:c r="E466" s="11" t="n">
        <x:v>22.16</x:v>
      </x:c>
      <x:c r="F466" s="11" t="n">
        <x:v>16.72</x:v>
      </x:c>
      <x:c r="G466" s="11" t="n">
        <x:v>3.2</x:v>
      </x:c>
      <x:c r="H466" s="25" t="n">
        <x:v>-0.24548736462093868</x:v>
      </x:c>
      <x:c r="I466" s="25" t="n">
        <x:v>-0.10108303249097483</x:v>
      </x:c>
      <x:c r="J466" s="25" t="n">
        <x:v>-0.034898050983565465</x:v>
      </x:c>
      <x:c r="K466" s="11" t="n">
        <x:v>1.9</x:v>
      </x:c>
      <x:c r="L466" s="11" t="n">
        <x:v>8</x:v>
      </x:c>
      <x:c r="M466" s="11" t="n">
        <x:v>1.1</x:v>
      </x:c>
      <x:c r="N466" s="11" t="n">
        <x:v>3.2</x:v>
      </x:c>
      <x:c r="O466" s="11" t="str"/>
      <x:c r="P466" s="11" t="str"/>
      <x:c r="Q466" s="11" t="str"/>
      <x:c r="R466" s="11" t="str">
        <x:v>livzon-H-normalized-pe-v1.0</x:v>
      </x:c>
      <x:c r="S466" s="11" t="str">
        <x:v>2026-10-10</x:v>
      </x:c>
      <x:c r="T466" s="11" t="str">
        <x:f>IF(AND(SUM(IF(K466='假设'!E620,0,1),IF(L466='假设'!F620,0,1),IF(M466='假设'!G620,0,1),IF(N466='假设'!H620,0,1),IF(O466='假设'!I620,0,1),IF(P466='假设'!J620,0,1),IF(Q466='假设'!K620,0,1))=0,U466=V466),"已刷新","待刷新")</x:f>
        <x:v>已刷新</x:v>
      </x:c>
    </x:row>
    <x:row r="467" ht="23" customHeight="1">
      <x:c r="A467" s="11" t="str">
        <x:v>01513.HK</x:v>
      </x:c>
      <x:c r="B467" s="11" t="str">
        <x:v>丽珠医药</x:v>
      </x:c>
      <x:c r="C467" s="11" t="str">
        <x:v>三年</x:v>
      </x:c>
      <x:c r="D467" s="11" t="str">
        <x:v>基准</x:v>
      </x:c>
      <x:c r="E467" s="11" t="n">
        <x:v>22.16</x:v>
      </x:c>
      <x:c r="F467" s="11" t="n">
        <x:v>41.47</x:v>
      </x:c>
      <x:c r="G467" s="11" t="n">
        <x:v>5</x:v>
      </x:c>
      <x:c r="H467" s="25" t="n">
        <x:v>0.8713898916967509</x:v>
      </x:c>
      <x:c r="I467" s="25" t="n">
        <x:v>1.0970216606498195</x:v>
      </x:c>
      <x:c r="J467" s="25" t="n">
        <x:v>0.2799734818419395</x:v>
      </x:c>
      <x:c r="K467" s="11" t="n">
        <x:v>2.9</x:v>
      </x:c>
      <x:c r="L467" s="11" t="n">
        <x:v>13</x:v>
      </x:c>
      <x:c r="M467" s="11" t="n">
        <x:v>1.1</x:v>
      </x:c>
      <x:c r="N467" s="11" t="n">
        <x:v>5</x:v>
      </x:c>
      <x:c r="O467" s="11" t="str"/>
      <x:c r="P467" s="11" t="str"/>
      <x:c r="Q467" s="11" t="str"/>
      <x:c r="R467" s="11" t="str">
        <x:v>livzon-H-normalized-pe-v1.0</x:v>
      </x:c>
      <x:c r="S467" s="11" t="str">
        <x:v>2026-10-10</x:v>
      </x:c>
      <x:c r="T467" s="11" t="str">
        <x:f>IF(AND(SUM(IF(K467='假设'!E621,0,1),IF(L467='假设'!F621,0,1),IF(M467='假设'!G621,0,1),IF(N467='假设'!H621,0,1),IF(O467='假设'!I621,0,1),IF(P467='假设'!J621,0,1),IF(Q467='假设'!K621,0,1))=0,U467=V467),"已刷新","待刷新")</x:f>
        <x:v>已刷新</x:v>
      </x:c>
    </x:row>
    <x:row r="468" ht="23" customHeight="1">
      <x:c r="A468" s="11" t="str">
        <x:v>01513.HK</x:v>
      </x:c>
      <x:c r="B468" s="11" t="str">
        <x:v>丽珠医药</x:v>
      </x:c>
      <x:c r="C468" s="11" t="str">
        <x:v>三年</x:v>
      </x:c>
      <x:c r="D468" s="11" t="str">
        <x:v>乐观</x:v>
      </x:c>
      <x:c r="E468" s="11" t="n">
        <x:v>22.16</x:v>
      </x:c>
      <x:c r="F468" s="11" t="n">
        <x:v>78.54</x:v>
      </x:c>
      <x:c r="G468" s="11" t="n">
        <x:v>6.5</x:v>
      </x:c>
      <x:c r="H468" s="25" t="n">
        <x:v>2.5442238267148016</x:v>
      </x:c>
      <x:c r="I468" s="25" t="n">
        <x:v>2.837545126353791</x:v>
      </x:c>
      <x:c r="J468" s="25" t="n">
        <x:v>0.565613287228133</x:v>
      </x:c>
      <x:c r="K468" s="11" t="n">
        <x:v>4.2</x:v>
      </x:c>
      <x:c r="L468" s="11" t="n">
        <x:v>17</x:v>
      </x:c>
      <x:c r="M468" s="11" t="n">
        <x:v>1.1</x:v>
      </x:c>
      <x:c r="N468" s="11" t="n">
        <x:v>6.5</x:v>
      </x:c>
      <x:c r="O468" s="11" t="str"/>
      <x:c r="P468" s="11" t="str"/>
      <x:c r="Q468" s="11" t="str"/>
      <x:c r="R468" s="11" t="str">
        <x:v>livzon-H-normalized-pe-v1.0</x:v>
      </x:c>
      <x:c r="S468" s="11" t="str">
        <x:v>2026-10-10</x:v>
      </x:c>
      <x:c r="T468" s="11" t="str">
        <x:f>IF(AND(SUM(IF(K468='假设'!E622,0,1),IF(L468='假设'!F622,0,1),IF(M468='假设'!G622,0,1),IF(N468='假设'!H622,0,1),IF(O468='假设'!I622,0,1),IF(P468='假设'!J622,0,1),IF(Q468='假设'!K622,0,1))=0,U468=V468),"已刷新","待刷新")</x:f>
        <x:v>已刷新</x:v>
      </x:c>
    </x:row>
    <x:row r="469" ht="23" customHeight="1">
      <x:c r="A469" s="11" t="str">
        <x:v>01513.HK</x:v>
      </x:c>
      <x:c r="B469" s="11" t="str">
        <x:v>丽珠医药</x:v>
      </x:c>
      <x:c r="C469" s="11" t="str">
        <x:v>五年</x:v>
      </x:c>
      <x:c r="D469" s="11" t="str">
        <x:v>悲观</x:v>
      </x:c>
      <x:c r="E469" s="11" t="n">
        <x:v>22.16</x:v>
      </x:c>
      <x:c r="F469" s="11" t="n">
        <x:v>15.400000000000002</x:v>
      </x:c>
      <x:c r="G469" s="11" t="n">
        <x:v>5</x:v>
      </x:c>
      <x:c r="H469" s="25" t="n">
        <x:v>-0.30505415162454863</x:v>
      </x:c>
      <x:c r="I469" s="25" t="n">
        <x:v>-0.07942238267148005</x:v>
      </x:c>
      <x:c r="J469" s="25" t="n">
        <x:v>-0.016414580351139074</x:v>
      </x:c>
      <x:c r="K469" s="11" t="n">
        <x:v>2</x:v>
      </x:c>
      <x:c r="L469" s="11" t="n">
        <x:v>7</x:v>
      </x:c>
      <x:c r="M469" s="11" t="n">
        <x:v>1.1</x:v>
      </x:c>
      <x:c r="N469" s="11" t="n">
        <x:v>5</x:v>
      </x:c>
      <x:c r="O469" s="11" t="str"/>
      <x:c r="P469" s="11" t="str"/>
      <x:c r="Q469" s="11" t="str"/>
      <x:c r="R469" s="11" t="str">
        <x:v>livzon-H-normalized-pe-v1.0</x:v>
      </x:c>
      <x:c r="S469" s="11" t="str">
        <x:v>2026-10-10</x:v>
      </x:c>
      <x:c r="T469" s="11" t="str">
        <x:f>IF(AND(SUM(IF(K469='假设'!E624,0,1),IF(L469='假设'!F624,0,1),IF(M469='假设'!G624,0,1),IF(N469='假设'!H624,0,1),IF(O469='假设'!I624,0,1),IF(P469='假设'!J624,0,1),IF(Q469='假设'!K624,0,1))=0,U469=V469),"已刷新","待刷新")</x:f>
        <x:v>已刷新</x:v>
      </x:c>
    </x:row>
    <x:row r="470" ht="23" customHeight="1">
      <x:c r="A470" s="11" t="str">
        <x:v>01513.HK</x:v>
      </x:c>
      <x:c r="B470" s="11" t="str">
        <x:v>丽珠医药</x:v>
      </x:c>
      <x:c r="C470" s="11" t="str">
        <x:v>五年</x:v>
      </x:c>
      <x:c r="D470" s="11" t="str">
        <x:v>基准</x:v>
      </x:c>
      <x:c r="E470" s="11" t="n">
        <x:v>22.16</x:v>
      </x:c>
      <x:c r="F470" s="11" t="n">
        <x:v>47.52000000000001</x:v>
      </x:c>
      <x:c r="G470" s="11" t="n">
        <x:v>9</x:v>
      </x:c>
      <x:c r="H470" s="25" t="n">
        <x:v>1.1444043321299642</x:v>
      </x:c>
      <x:c r="I470" s="25" t="n">
        <x:v>1.5505415162454876</x:v>
      </x:c>
      <x:c r="J470" s="25" t="n">
        <x:v>0.20594216269116505</x:v>
      </x:c>
      <x:c r="K470" s="11" t="n">
        <x:v>3.6</x:v>
      </x:c>
      <x:c r="L470" s="11" t="n">
        <x:v>12</x:v>
      </x:c>
      <x:c r="M470" s="11" t="n">
        <x:v>1.1</x:v>
      </x:c>
      <x:c r="N470" s="11" t="n">
        <x:v>9</x:v>
      </x:c>
      <x:c r="O470" s="11" t="str"/>
      <x:c r="P470" s="11" t="str"/>
      <x:c r="Q470" s="11" t="str"/>
      <x:c r="R470" s="11" t="str">
        <x:v>livzon-H-normalized-pe-v1.0</x:v>
      </x:c>
      <x:c r="S470" s="11" t="str">
        <x:v>2026-10-10</x:v>
      </x:c>
      <x:c r="T470" s="11" t="str">
        <x:f>IF(AND(SUM(IF(K470='假设'!E625,0,1),IF(L470='假设'!F625,0,1),IF(M470='假设'!G625,0,1),IF(N470='假设'!H625,0,1),IF(O470='假设'!I625,0,1),IF(P470='假设'!J625,0,1),IF(Q470='假设'!K625,0,1))=0,U470=V470),"已刷新","待刷新")</x:f>
        <x:v>已刷新</x:v>
      </x:c>
    </x:row>
    <x:row r="471" ht="23" customHeight="1">
      <x:c r="A471" s="11" t="str">
        <x:v>01513.HK</x:v>
      </x:c>
      <x:c r="B471" s="11" t="str">
        <x:v>丽珠医药</x:v>
      </x:c>
      <x:c r="C471" s="11" t="str">
        <x:v>五年</x:v>
      </x:c>
      <x:c r="D471" s="11" t="str">
        <x:v>乐观</x:v>
      </x:c>
      <x:c r="E471" s="11" t="n">
        <x:v>22.16</x:v>
      </x:c>
      <x:c r="F471" s="11" t="n">
        <x:v>96.80000000000001</x:v>
      </x:c>
      <x:c r="G471" s="11" t="n">
        <x:v>13.5</x:v>
      </x:c>
      <x:c r="H471" s="25" t="n">
        <x:v>3.3682310469314087</x:v>
      </x:c>
      <x:c r="I471" s="25" t="n">
        <x:v>3.9774368231046937</x:v>
      </x:c>
      <x:c r="J471" s="25" t="n">
        <x:v>0.3784821642475109</x:v>
      </x:c>
      <x:c r="K471" s="11" t="n">
        <x:v>5.5</x:v>
      </x:c>
      <x:c r="L471" s="11" t="n">
        <x:v>16</x:v>
      </x:c>
      <x:c r="M471" s="11" t="n">
        <x:v>1.1</x:v>
      </x:c>
      <x:c r="N471" s="11" t="n">
        <x:v>13.5</x:v>
      </x:c>
      <x:c r="O471" s="11" t="str"/>
      <x:c r="P471" s="11" t="str"/>
      <x:c r="Q471" s="11" t="str"/>
      <x:c r="R471" s="11" t="str">
        <x:v>livzon-H-normalized-pe-v1.0</x:v>
      </x:c>
      <x:c r="S471" s="11" t="str">
        <x:v>2026-10-10</x:v>
      </x:c>
      <x:c r="T471" s="11" t="str">
        <x:f>IF(AND(SUM(IF(K471='假设'!E626,0,1),IF(L471='假设'!F626,0,1),IF(M471='假设'!G626,0,1),IF(N471='假设'!H626,0,1),IF(O471='假设'!I626,0,1),IF(P471='假设'!J626,0,1),IF(Q471='假设'!K626,0,1))=0,U471=V471),"已刷新","待刷新")</x:f>
        <x:v>已刷新</x:v>
      </x:c>
    </x:row>
    <x:row r="472" ht="23" customHeight="1">
      <x:c r="A472" s="11" t="str">
        <x:v>688062.SH</x:v>
      </x:c>
      <x:c r="B472" s="11" t="str">
        <x:v>迈威生物</x:v>
      </x:c>
      <x:c r="C472" s="11" t="str">
        <x:v>2026年底</x:v>
      </x:c>
      <x:c r="D472" s="11" t="str">
        <x:v>悲观</x:v>
      </x:c>
      <x:c r="E472" s="11" t="n">
        <x:v>24.78</x:v>
      </x:c>
      <x:c r="F472" s="11" t="n">
        <x:v>13.629</x:v>
      </x:c>
      <x:c r="G472" s="11" t="n">
        <x:v>0</x:v>
      </x:c>
      <x:c r="H472" s="25" t="n">
        <x:v>-0.45000000000000007</x:v>
      </x:c>
      <x:c r="I472" s="25" t="n">
        <x:v>-0.45000000000000007</x:v>
      </x:c>
      <x:c r="J472" s="25" t="str"/>
      <x:c r="K472" s="11" t="n">
        <x:v>0</x:v>
      </x:c>
      <x:c r="L472" s="11" t="n">
        <x:v>0</x:v>
      </x:c>
      <x:c r="M472" s="11" t="n">
        <x:v>1</x:v>
      </x:c>
      <x:c r="N472" s="11" t="n">
        <x:v>0</x:v>
      </x:c>
      <x:c r="O472" s="11" t="n">
        <x:v>0</x:v>
      </x:c>
      <x:c r="P472" s="11" t="n">
        <x:v>0</x:v>
      </x:c>
      <x:c r="Q472" s="11" t="n">
        <x:v>0.47</x:v>
      </x:c>
      <x:c r="R472" s="11" t="str">
        <x:v>mabwell-rnpv-v1.1</x:v>
      </x:c>
      <x:c r="S472" s="11" t="str">
        <x:v>2026-10-10</x:v>
      </x:c>
      <x:c r="T472" s="11" t="str">
        <x:f>IF(AND(SUM(IF(K472='假设'!E628,0,1),IF(L472='假设'!F628,0,1),IF(M472='假设'!G628,0,1),IF(N472='假设'!H628,0,1),IF(O472='假设'!I628,0,1),IF(P472='假设'!J628,0,1),IF(Q472='假设'!K628,0,1))=0,U472=V472),"已刷新","待刷新")</x:f>
        <x:v>已刷新</x:v>
      </x:c>
      <x:c r="U472" t="str">
        <x:v>0.45|-1.85|2.7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  <x:c r="V472" t="str">
        <x:f>'假设'!U628&amp;"|"&amp;'假设'!N628&amp;"|"&amp;'假设'!Q628&amp;"|"&amp;'管线假设'!E1028&amp;"|"&amp;'管线假设'!F1028&amp;"|"&amp;'管线假设'!G1028&amp;"|"&amp;'管线假设'!H1028&amp;"|"&amp;'管线假设'!I1028&amp;"|"&amp;'管线假设'!E1032&amp;"|"&amp;'管线假设'!F1032&amp;"|"&amp;'管线假设'!G1032&amp;"|"&amp;'管线假设'!H1032&amp;"|"&amp;'管线假设'!I1032&amp;"|"&amp;'管线假设'!E1036&amp;"|"&amp;'管线假设'!F1036&amp;"|"&amp;'管线假设'!G1036&amp;"|"&amp;'管线假设'!H1036&amp;"|"&amp;'管线假设'!I1036&amp;"|"&amp;'管线假设'!E1040&amp;"|"&amp;'管线假设'!F1040&amp;"|"&amp;'管线假设'!G1040&amp;"|"&amp;'管线假设'!H1040&amp;"|"&amp;'管线假设'!I1040&amp;"|"&amp;'管线假设'!E1044&amp;"|"&amp;'管线假设'!F1044&amp;"|"&amp;'管线假设'!G1044&amp;"|"&amp;'管线假设'!H1044&amp;"|"&amp;'管线假设'!I1044&amp;"|"&amp;'管线假设'!E1048&amp;"|"&amp;'管线假设'!F1048&amp;"|"&amp;'管线假设'!G1048&amp;"|"&amp;'管线假设'!H1048&amp;"|"&amp;'管线假设'!I1048&amp;"|"&amp;'管线假设'!E1052&amp;"|"&amp;'管线假设'!F1052&amp;"|"&amp;'管线假设'!G1052&amp;"|"&amp;'管线假设'!H1052&amp;"|"&amp;'管线假设'!I1052&amp;"|"&amp;'管线假设'!E1056&amp;"|"&amp;'管线假设'!F1056&amp;"|"&amp;'管线假设'!G1056&amp;"|"&amp;'管线假设'!H1056&amp;"|"&amp;'管线假设'!I1056&amp;"|"&amp;'管线假设'!E1060&amp;"|"&amp;'管线假设'!F1060&amp;"|"&amp;'管线假设'!G1060&amp;"|"&amp;'管线假设'!H1060&amp;"|"&amp;'管线假设'!I1060&amp;"|"&amp;'管线假设'!E1064&amp;"|"&amp;'管线假设'!F1064&amp;"|"&amp;'管线假设'!G1064&amp;"|"&amp;'管线假设'!H1064&amp;"|"&amp;'管线假设'!I1064&amp;"|"&amp;'管线假设'!E1068&amp;"|"&amp;'管线假设'!F1068&amp;"|"&amp;'管线假设'!G1068&amp;"|"&amp;'管线假设'!H1068&amp;"|"&amp;'管线假设'!I1068&amp;"|"&amp;'管线假设'!E1072&amp;"|"&amp;'管线假设'!F1072&amp;"|"&amp;'管线假设'!G1072&amp;"|"&amp;'管线假设'!H1072&amp;"|"&amp;'管线假设'!I1072&amp;"|"&amp;'管线假设'!E1076&amp;"|"&amp;'管线假设'!F1076&amp;"|"&amp;'管线假设'!G1076&amp;"|"&amp;'管线假设'!H1076&amp;"|"&amp;'管线假设'!I1076&amp;"|"&amp;'管线假设'!E1080&amp;"|"&amp;'管线假设'!F1080&amp;"|"&amp;'管线假设'!G1080&amp;"|"&amp;'管线假设'!H1080&amp;"|"&amp;'管线假设'!I1080&amp;"|"&amp;'管线假设'!E1084&amp;"|"&amp;'管线假设'!F1084&amp;"|"&amp;'管线假设'!G1084&amp;"|"&amp;'管线假设'!H1084&amp;"|"&amp;'管线假设'!I1084&amp;"|"&amp;'管线假设'!E1088&amp;"|"&amp;'管线假设'!F1088&amp;"|"&amp;'管线假设'!G1088&amp;"|"&amp;'管线假设'!H1088&amp;"|"&amp;'管线假设'!I1088&amp;"|"&amp;'管线现金流'!H4767&amp;"|"&amp;'管线现金流'!AJ4767&amp;"|"&amp;'管线现金流'!H4768&amp;"|"&amp;'管线现金流'!AJ4768&amp;"|"&amp;'管线现金流'!H4769&amp;"|"&amp;'管线现金流'!AJ4769&amp;"|"&amp;'管线现金流'!H4770&amp;"|"&amp;'管线现金流'!AJ4770&amp;"|"&amp;'管线现金流'!H4771&amp;"|"&amp;'管线现金流'!AJ4771&amp;"|"&amp;'管线现金流'!H4772&amp;"|"&amp;'管线现金流'!AJ4772&amp;"|"&amp;'管线现金流'!H4773&amp;"|"&amp;'管线现金流'!AJ4773&amp;"|"&amp;'管线现金流'!H4774&amp;"|"&amp;'管线现金流'!AJ4774&amp;"|"&amp;'管线现金流'!H4775&amp;"|"&amp;'管线现金流'!AJ4775&amp;"|"&amp;'管线现金流'!H4776&amp;"|"&amp;'管线现金流'!AJ4776&amp;"|"&amp;'管线现金流'!H4777&amp;"|"&amp;'管线现金流'!AJ4777&amp;"|"&amp;'管线现金流'!H4778&amp;"|"&amp;'管线现金流'!AJ4778&amp;"|"&amp;'管线现金流'!H4779&amp;"|"&amp;'管线现金流'!AJ4779&amp;"|"&amp;'管线现金流'!H4780&amp;"|"&amp;'管线现金流'!AJ4780&amp;"|"&amp;'管线现金流'!H4781&amp;"|"&amp;'管线现金流'!AJ4781&amp;"|"&amp;'管线现金流'!H4782&amp;"|"&amp;'管线现金流'!AJ4782&amp;"|"&amp;'管线现金流'!H4783&amp;"|"&amp;'管线现金流'!AJ4783&amp;"|"&amp;'管线现金流'!H4784&amp;"|"&amp;'管线现金流'!AJ4784&amp;"|"&amp;'管线现金流'!H4785&amp;"|"&amp;'管线现金流'!AJ4785&amp;"|"&amp;'管线现金流'!H4786&amp;"|"&amp;'管线现金流'!AJ4786&amp;"|"&amp;'管线现金流'!H4787&amp;"|"&amp;'管线现金流'!AJ4787&amp;"|"&amp;'管线现金流'!H4788&amp;"|"&amp;'管线现金流'!AJ4788&amp;"|"&amp;'管线现金流'!H4789&amp;"|"&amp;'管线现金流'!AJ4789&amp;"|"&amp;'管线现金流'!H4790&amp;"|"&amp;'管线现金流'!AJ4790&amp;"|"&amp;'管线现金流'!H4791&amp;"|"&amp;'管线现金流'!AJ4791&amp;"|"&amp;'管线现金流'!H4792&amp;"|"&amp;'管线现金流'!AJ4792&amp;"|"&amp;'管线现金流'!H4793&amp;"|"&amp;'管线现金流'!AJ4793&amp;"|"&amp;'管线现金流'!H4794&amp;"|"&amp;'管线现金流'!AJ4794&amp;"|"&amp;'管线现金流'!H4795&amp;"|"&amp;'管线现金流'!AJ4795&amp;"|"&amp;'管线现金流'!H4796&amp;"|"&amp;'管线现金流'!AJ4796&amp;"|"&amp;'管线现金流'!H4797&amp;"|"&amp;'管线现金流'!AJ4797&amp;"|"&amp;'管线现金流'!H4798&amp;"|"&amp;'管线现金流'!AJ4798&amp;"|"&amp;'管线现金流'!H4799&amp;"|"&amp;'管线现金流'!AJ4799&amp;"|"&amp;'管线现金流'!H4800&amp;"|"&amp;'管线现金流'!AJ4800&amp;"|"&amp;'管线现金流'!H4801&amp;"|"&amp;'管线现金流'!AJ4801&amp;"|"&amp;'管线现金流'!H4802&amp;"|"&amp;'管线现金流'!AJ4802&amp;"|"&amp;'管线现金流'!H4803&amp;"|"&amp;'管线现金流'!AJ4803&amp;"|"&amp;'管线现金流'!H4804&amp;"|"&amp;'管线现金流'!AJ4804&amp;"|"&amp;'管线现金流'!H4805&amp;"|"&amp;'管线现金流'!AJ4805&amp;"|"&amp;'管线现金流'!H4806&amp;"|"&amp;'管线现金流'!AJ4806&amp;"|"&amp;'管线现金流'!H4807&amp;"|"&amp;'管线现金流'!AJ4807&amp;"|"&amp;'管线现金流'!H4808&amp;"|"&amp;'管线现金流'!AJ4808&amp;"|"&amp;'管线现金流'!H4809&amp;"|"&amp;'管线现金流'!AJ4809&amp;"|"&amp;'管线现金流'!H4810&amp;"|"&amp;'管线现金流'!AJ4810&amp;"|"&amp;'管线现金流'!H4811&amp;"|"&amp;'管线现金流'!AJ4811&amp;"|"&amp;'管线现金流'!H4812&amp;"|"&amp;'管线现金流'!AJ4812&amp;"|"&amp;'管线现金流'!H4813&amp;"|"&amp;'管线现金流'!AJ4813&amp;"|"&amp;'管线现金流'!H4814&amp;"|"&amp;'管线现金流'!AJ4814&amp;"|"&amp;'管线现金流'!H4815&amp;"|"&amp;'管线现金流'!AJ4815&amp;"|"&amp;'管线现金流'!H4816&amp;"|"&amp;'管线现金流'!AJ4816&amp;"|"&amp;'管线现金流'!H4817&amp;"|"&amp;'管线现金流'!AJ4817&amp;"|"&amp;'管线现金流'!H4818&amp;"|"&amp;'管线现金流'!AJ4818&amp;"|"&amp;'管线现金流'!H4819&amp;"|"&amp;'管线现金流'!AJ4819&amp;"|"&amp;'管线现金流'!H4820&amp;"|"&amp;'管线现金流'!AJ4820&amp;"|"&amp;'管线现金流'!H4821&amp;"|"&amp;'管线现金流'!AJ4821&amp;"|"&amp;'管线现金流'!H4822&amp;"|"&amp;'管线现金流'!AJ4822&amp;"|"&amp;'管线现金流'!H4823&amp;"|"&amp;'管线现金流'!AJ4823&amp;"|"&amp;'管线现金流'!H4824&amp;"|"&amp;'管线现金流'!AJ4824&amp;"|"&amp;'管线现金流'!H4825&amp;"|"&amp;'管线现金流'!AJ4825&amp;"|"&amp;'管线现金流'!H4826&amp;"|"&amp;'管线现金流'!AJ4826&amp;"|"&amp;'管线现金流'!H4827&amp;"|"&amp;'管线现金流'!AJ4827&amp;"|"&amp;'管线现金流'!H4828&amp;"|"&amp;'管线现金流'!AJ4828&amp;"|"&amp;'管线现金流'!H4829&amp;"|"&amp;'管线现金流'!AJ4829&amp;"|"&amp;'管线现金流'!H4830&amp;"|"&amp;'管线现金流'!AJ4830&amp;"|"&amp;'管线现金流'!H4831&amp;"|"&amp;'管线现金流'!AJ4831&amp;"|"&amp;'管线现金流'!H4832&amp;"|"&amp;'管线现金流'!AJ4832&amp;"|"&amp;'管线现金流'!H4833&amp;"|"&amp;'管线现金流'!AJ4833&amp;"|"&amp;'管线现金流'!H4834&amp;"|"&amp;'管线现金流'!AJ4834&amp;"|"&amp;'管线现金流'!H4835&amp;"|"&amp;'管线现金流'!AJ4835&amp;"|"&amp;'管线现金流'!H4836&amp;"|"&amp;'管线现金流'!AJ4836&amp;"|"&amp;'管线现金流'!H4837&amp;"|"&amp;'管线现金流'!AJ4837&amp;"|"&amp;'管线现金流'!H4838&amp;"|"&amp;'管线现金流'!AJ4838&amp;"|"&amp;'管线现金流'!H4839&amp;"|"&amp;'管线现金流'!AJ4839&amp;"|"&amp;'管线现金流'!H4840&amp;"|"&amp;'管线现金流'!AJ4840&amp;"|"&amp;'管线现金流'!H4841&amp;"|"&amp;'管线现金流'!AJ4841&amp;"|"&amp;'管线现金流'!H4842&amp;"|"&amp;'管线现金流'!AJ4842&amp;"|"&amp;'管线现金流'!H4843&amp;"|"&amp;'管线现金流'!AJ4843&amp;"|"&amp;'管线现金流'!H4844&amp;"|"&amp;'管线现金流'!AJ4844&amp;"|"&amp;'管线现金流'!H4845&amp;"|"&amp;'管线现金流'!AJ4845&amp;"|"&amp;'管线现金流'!H4846&amp;"|"&amp;'管线现金流'!AJ4846&amp;"|"&amp;'管线现金流'!H4847&amp;"|"&amp;'管线现金流'!AJ4847&amp;"|"&amp;'管线现金流'!H4848&amp;"|"&amp;'管线现金流'!AJ4848&amp;"|"&amp;'管线现金流'!H4849&amp;"|"&amp;'管线现金流'!AJ4849&amp;"|"&amp;'管线现金流'!H4850&amp;"|"&amp;'管线现金流'!AJ4850&amp;"|"&amp;'管线现金流'!H4851&amp;"|"&amp;'管线现金流'!AJ4851&amp;"|"&amp;'管线现金流'!H4852&amp;"|"&amp;'管线现金流'!AJ4852&amp;"|"&amp;'管线现金流'!H4853&amp;"|"&amp;'管线现金流'!AJ4853&amp;"|"&amp;'管线现金流'!H4854&amp;"|"&amp;'管线现金流'!AJ4854&amp;"|"&amp;'管线现金流'!H4855&amp;"|"&amp;'管线现金流'!AJ4855&amp;"|"&amp;'管线现金流'!H4856&amp;"|"&amp;'管线现金流'!AJ4856&amp;"|"&amp;'管线现金流'!H4857&amp;"|"&amp;'管线现金流'!AJ4857&amp;"|"&amp;'管线现金流'!H4858&amp;"|"&amp;'管线现金流'!AJ4858&amp;"|"&amp;'管线现金流'!H4859&amp;"|"&amp;'管线现金流'!AJ4859&amp;"|"&amp;'管线现金流'!H4860&amp;"|"&amp;'管线现金流'!AJ4860&amp;"|"&amp;'管线现金流'!H4861&amp;"|"&amp;'管线现金流'!AJ4861&amp;"|"&amp;'管线现金流'!H4862&amp;"|"&amp;'管线现金流'!AJ4862&amp;"|"&amp;'管线现金流'!H4863&amp;"|"&amp;'管线现金流'!AJ4863&amp;"|"&amp;'管线现金流'!H4864&amp;"|"&amp;'管线现金流'!AJ4864&amp;"|"&amp;'管线现金流'!H4865&amp;"|"&amp;'管线现金流'!AJ4865&amp;"|"&amp;'管线现金流'!H4866&amp;"|"&amp;'管线现金流'!AJ4866&amp;"|"&amp;'管线现金流'!H4867&amp;"|"&amp;'管线现金流'!AJ4867&amp;"|"&amp;'管线现金流'!H4868&amp;"|"&amp;'管线现金流'!AJ4868&amp;"|"&amp;'管线现金流'!H4869&amp;"|"&amp;'管线现金流'!AJ4869&amp;"|"&amp;'管线现金流'!H4870&amp;"|"&amp;'管线现金流'!AJ4870&amp;"|"&amp;'管线现金流'!H4871&amp;"|"&amp;'管线现金流'!AJ4871&amp;"|"&amp;'管线现金流'!H4872&amp;"|"&amp;'管线现金流'!AJ4872&amp;"|"&amp;'管线现金流'!H4873&amp;"|"&amp;'管线现金流'!AJ4873&amp;"|"&amp;'管线现金流'!H4874&amp;"|"&amp;'管线现金流'!AJ4874&amp;"|"&amp;'管线现金流'!H4875&amp;"|"&amp;'管线现金流'!AJ4875&amp;"|"&amp;'管线现金流'!H4876&amp;"|"&amp;'管线现金流'!AJ4876&amp;"|"&amp;'管线现金流'!H4877&amp;"|"&amp;'管线现金流'!AJ4877&amp;"|"&amp;'管线现金流'!H4878&amp;"|"&amp;'管线现金流'!AJ4878&amp;"|"&amp;'管线现金流'!H4879&amp;"|"&amp;'管线现金流'!AJ4879&amp;"|"&amp;'管线现金流'!H4880&amp;"|"&amp;'管线现金流'!AJ4880&amp;"|"&amp;'管线现金流'!H4881&amp;"|"&amp;'管线现金流'!AJ4881&amp;"|"&amp;'管线现金流'!H4882&amp;"|"&amp;'管线现金流'!AJ4882&amp;"|"&amp;'管线现金流'!H4883&amp;"|"&amp;'管线现金流'!AJ4883&amp;"|"&amp;'管线现金流'!H4884&amp;"|"&amp;'管线现金流'!AJ4884&amp;"|"&amp;'管线现金流'!H4885&amp;"|"&amp;'管线现金流'!AJ4885&amp;"|"&amp;'管线现金流'!H4886&amp;"|"&amp;'管线现金流'!AJ4886&amp;"|"&amp;'管线现金流'!H4887&amp;"|"&amp;'管线现金流'!AJ4887&amp;"|"&amp;'管线现金流'!H4888&amp;"|"&amp;'管线现金流'!AJ4888&amp;"|"&amp;'管线现金流'!H4889&amp;"|"&amp;'管线现金流'!AJ4889&amp;"|"&amp;'管线现金流'!H4890&amp;"|"&amp;'管线现金流'!AJ4890&amp;"|"&amp;'管线现金流'!H4891&amp;"|"&amp;'管线现金流'!AJ4891&amp;"|"&amp;'管线现金流'!H4892&amp;"|"&amp;'管线现金流'!AJ4892&amp;"|"&amp;'管线现金流'!H4893&amp;"|"&amp;'管线现金流'!AJ4893&amp;"|"&amp;'管线现金流'!H4894&amp;"|"&amp;'管线现金流'!AJ4894&amp;"|"&amp;'管线现金流'!H4895&amp;"|"&amp;'管线现金流'!AJ4895&amp;"|"&amp;'管线现金流'!H4896&amp;"|"&amp;'管线现金流'!AJ4896&amp;"|"&amp;'管线现金流'!H4897&amp;"|"&amp;'管线现金流'!AJ4897&amp;"|"&amp;'管线现金流'!H4898&amp;"|"&amp;'管线现金流'!AJ4898&amp;"|"&amp;'管线现金流'!H4899&amp;"|"&amp;'管线现金流'!AJ4899&amp;"|"&amp;'管线现金流'!H4900&amp;"|"&amp;'管线现金流'!AJ4900&amp;"|"&amp;'管线现金流'!H4901&amp;"|"&amp;'管线现金流'!AJ4901&amp;"|"&amp;'管线现金流'!H4902&amp;"|"&amp;'管线现金流'!AJ4902&amp;"|"&amp;'管线现金流'!H4903&amp;"|"&amp;'管线现金流'!AJ4903&amp;"|"&amp;'管线现金流'!H4904&amp;"|"&amp;'管线现金流'!AJ4904&amp;"|"&amp;'管线现金流'!H4905&amp;"|"&amp;'管线现金流'!AJ4905&amp;"|"&amp;'管线现金流'!H4906&amp;"|"&amp;'管线现金流'!AJ4906&amp;"|"&amp;'管线现金流'!H4907&amp;"|"&amp;'管线现金流'!AJ4907&amp;"|"&amp;'管线现金流'!H4908&amp;"|"&amp;'管线现金流'!AJ4908&amp;"|"&amp;'管线现金流'!H4909&amp;"|"&amp;'管线现金流'!AJ4909&amp;"|"&amp;'管线现金流'!H4910&amp;"|"&amp;'管线现金流'!AJ4910&amp;"|"&amp;'管线现金流'!H4911&amp;"|"&amp;'管线现金流'!AJ4911&amp;"|"&amp;'管线现金流'!H4912&amp;"|"&amp;'管线现金流'!AJ4912&amp;"|"&amp;'管线现金流'!H4913&amp;"|"&amp;'管线现金流'!AJ4913&amp;"|"&amp;'管线现金流'!H4914&amp;"|"&amp;'管线现金流'!AJ4914&amp;"|"&amp;'管线现金流'!H4915&amp;"|"&amp;'管线现金流'!AJ4915&amp;"|"&amp;'管线现金流'!H4916&amp;"|"&amp;'管线现金流'!AJ4916&amp;"|"&amp;'管线现金流'!H4917&amp;"|"&amp;'管线现金流'!AJ4917&amp;"|"&amp;'管线现金流'!H4918&amp;"|"&amp;'管线现金流'!AJ4918&amp;"|"&amp;'管线现金流'!H4919&amp;"|"&amp;'管线现金流'!AJ4919&amp;"|"&amp;'管线现金流'!H4920&amp;"|"&amp;'管线现金流'!AJ4920&amp;"|"&amp;'管线现金流'!H4921&amp;"|"&amp;'管线现金流'!AJ4921&amp;"|"&amp;'管线现金流'!H4922&amp;"|"&amp;'管线现金流'!AJ4922&amp;"|"&amp;'管线现金流'!H4923&amp;"|"&amp;'管线现金流'!AJ4923&amp;"|"&amp;'管线现金流'!H4924&amp;"|"&amp;'管线现金流'!AJ4924&amp;"|"&amp;'管线现金流'!H4925&amp;"|"&amp;'管线现金流'!AJ4925&amp;"|"&amp;'管线现金流'!H4926&amp;"|"&amp;'管线现金流'!AJ4926&amp;"|"&amp;'管线现金流'!H4927&amp;"|"&amp;'管线现金流'!AJ4927&amp;"|"&amp;'管线现金流'!H4928&amp;"|"&amp;'管线现金流'!AJ4928&amp;"|"&amp;'管线现金流'!H4929&amp;"|"&amp;'管线现金流'!AJ4929&amp;"|"&amp;'管线现金流'!H4930&amp;"|"&amp;'管线现金流'!AJ4930&amp;"|"&amp;'管线现金流'!H4931&amp;"|"&amp;'管线现金流'!AJ4931&amp;"|"&amp;'管线现金流'!H4932&amp;"|"&amp;'管线现金流'!AJ4932&amp;"|"&amp;'管线现金流'!H4933&amp;"|"&amp;'管线现金流'!AJ4933&amp;"|"&amp;'管线现金流'!H4934&amp;"|"&amp;'管线现金流'!AJ4934&amp;"|"&amp;'管线现金流'!H4935&amp;"|"&amp;'管线现金流'!AJ4935&amp;"|"&amp;'管线现金流'!H4936&amp;"|"&amp;'管线现金流'!AJ4936&amp;"|"&amp;'管线现金流'!H4937&amp;"|"&amp;'管线现金流'!AJ4937&amp;"|"&amp;'管线现金流'!H4938&amp;"|"&amp;'管线现金流'!AJ4938&amp;"|"&amp;'管线现金流'!H4939&amp;"|"&amp;'管线现金流'!AJ4939&amp;"|"&amp;'管线现金流'!H4940&amp;"|"&amp;'管线现金流'!AJ4940&amp;"|"&amp;'管线现金流'!H4941&amp;"|"&amp;'管线现金流'!AJ4941&amp;"|"&amp;'管线现金流'!H4942&amp;"|"&amp;'管线现金流'!AJ4942&amp;"|"&amp;'管线现金流'!H4943&amp;"|"&amp;'管线现金流'!AJ4943&amp;"|"&amp;'管线现金流'!H4944&amp;"|"&amp;'管线现金流'!AJ4944&amp;"|"&amp;'管线现金流'!H4945&amp;"|"&amp;'管线现金流'!AJ4945&amp;"|"&amp;'管线现金流'!H4946&amp;"|"&amp;'管线现金流'!AJ4946&amp;"|"&amp;'管线现金流'!H4947&amp;"|"&amp;'管线现金流'!AJ4947&amp;"|"&amp;'管线现金流'!H4948&amp;"|"&amp;'管线现金流'!AJ4948&amp;"|"&amp;'管线现金流'!H4949&amp;"|"&amp;'管线现金流'!AJ4949&amp;"|"&amp;'管线现金流'!H4950&amp;"|"&amp;'管线现金流'!AJ4950&amp;"|"&amp;'管线现金流'!H4951&amp;"|"&amp;'管线现金流'!AJ4951&amp;"|"&amp;'管线现金流'!H4952&amp;"|"&amp;'管线现金流'!AJ4952&amp;"|"&amp;'管线现金流'!H4953&amp;"|"&amp;'管线现金流'!AJ4953&amp;"|"&amp;'管线现金流'!H4954&amp;"|"&amp;'管线现金流'!AJ4954&amp;"|"&amp;'管线现金流'!H4955&amp;"|"&amp;'管线现金流'!AJ4955&amp;"|"&amp;'管线现金流'!H4956&amp;"|"&amp;'管线现金流'!AJ4956&amp;"|"&amp;'管线现金流'!H4957&amp;"|"&amp;'管线现金流'!AJ4957&amp;"|"&amp;'管线现金流'!H4958&amp;"|"&amp;'管线现金流'!AJ4958&amp;"|"&amp;'管线现金流'!H4959&amp;"|"&amp;'管线现金流'!AJ4959&amp;"|"&amp;'管线现金流'!H4960&amp;"|"&amp;'管线现金流'!AJ4960&amp;"|"&amp;'管线现金流'!H4961&amp;"|"&amp;'管线现金流'!AJ4961&amp;"|"&amp;'管线现金流'!H4962&amp;"|"&amp;'管线现金流'!AJ4962&amp;"|"&amp;'管线现金流'!H4963&amp;"|"&amp;'管线现金流'!AJ4963&amp;"|"&amp;'管线现金流'!H4964&amp;"|"&amp;'管线现金流'!AJ4964&amp;"|"&amp;'管线现金流'!H4965&amp;"|"&amp;'管线现金流'!AJ4965&amp;"|"&amp;'管线现金流'!H4966&amp;"|"&amp;'管线现金流'!AJ4966&amp;"|"&amp;'管线现金流'!H4967&amp;"|"&amp;'管线现金流'!AJ4967&amp;"|"&amp;'管线现金流'!H4968&amp;"|"&amp;'管线现金流'!AJ4968&amp;"|"&amp;'管线现金流'!H4969&amp;"|"&amp;'管线现金流'!AJ4969&amp;"|"&amp;'管线现金流'!H4970&amp;"|"&amp;'管线现金流'!AJ4970&amp;"|"&amp;'管线现金流'!H4971&amp;"|"&amp;'管线现金流'!AJ4971&amp;"|"&amp;'管线现金流'!H4972&amp;"|"&amp;'管线现金流'!AJ4972&amp;"|"&amp;'管线现金流'!H4973&amp;"|"&amp;'管线现金流'!AJ4973&amp;"|"&amp;'管线现金流'!H4974&amp;"|"&amp;'管线现金流'!AJ4974&amp;"|"&amp;'管线现金流'!H4975&amp;"|"&amp;'管线现金流'!AJ4975&amp;"|"&amp;'管线现金流'!H4976&amp;"|"&amp;'管线现金流'!AJ4976&amp;"|"&amp;'管线现金流'!H4977&amp;"|"&amp;'管线现金流'!AJ4977&amp;"|"&amp;'管线现金流'!H4978&amp;"|"&amp;'管线现金流'!AJ4978&amp;"|"&amp;'管线现金流'!H4979&amp;"|"&amp;'管线现金流'!AJ4979&amp;"|"&amp;'管线现金流'!H4980&amp;"|"&amp;'管线现金流'!AJ4980&amp;"|"&amp;'管线现金流'!H4981&amp;"|"&amp;'管线现金流'!AJ4981&amp;"|"&amp;'管线现金流'!H4982&amp;"|"&amp;'管线现金流'!AJ4982&amp;"|"&amp;'管线现金流'!H4983&amp;"|"&amp;'管线现金流'!AJ4983&amp;"|"&amp;'管线现金流'!H4984&amp;"|"&amp;'管线现金流'!AJ4984&amp;"|"&amp;'管线现金流'!H4985&amp;"|"&amp;'管线现金流'!AJ4985&amp;"|"&amp;'管线现金流'!H4986&amp;"|"&amp;'管线现金流'!AJ4986&amp;"|"&amp;'管线现金流'!H4987&amp;"|"&amp;'管线现金流'!AJ4987&amp;"|"&amp;'管线现金流'!H4988&amp;"|"&amp;'管线现金流'!AJ4988&amp;"|"&amp;'管线现金流'!H4989&amp;"|"&amp;'管线现金流'!AJ4989&amp;"|"&amp;'管线现金流'!H4990&amp;"|"&amp;'管线现金流'!AJ4990&amp;"|"&amp;'管线现金流'!H4991&amp;"|"&amp;'管线现金流'!AJ4991&amp;"|"&amp;'管线现金流'!H4992&amp;"|"&amp;'管线现金流'!AJ4992&amp;"|"&amp;'管线现金流'!H4993&amp;"|"&amp;'管线现金流'!AJ4993&amp;"|"&amp;'管线现金流'!H4994&amp;"|"&amp;'管线现金流'!AJ4994&amp;"|"&amp;'管线现金流'!H4995&amp;"|"&amp;'管线现金流'!AJ4995&amp;"|"&amp;'管线现金流'!H4996&amp;"|"&amp;'管线现金流'!AJ4996&amp;"|"&amp;'管线现金流'!H4997&amp;"|"&amp;'管线现金流'!AJ4997&amp;"|"&amp;'管线现金流'!H4998&amp;"|"&amp;'管线现金流'!AJ4998&amp;"|"&amp;'管线现金流'!H4999&amp;"|"&amp;'管线现金流'!AJ4999&amp;"|"&amp;'管线现金流'!H5000&amp;"|"&amp;'管线现金流'!AJ5000&amp;"|"&amp;'管线现金流'!H5001&amp;"|"&amp;'管线现金流'!AJ5001&amp;"|"&amp;'管线现金流'!H5002&amp;"|"&amp;'管线现金流'!AJ5002&amp;"|"&amp;'管线现金流'!H5003&amp;"|"&amp;'管线现金流'!AJ5003&amp;"|"&amp;'管线现金流'!H5004&amp;"|"&amp;'管线现金流'!AJ5004&amp;"|"&amp;'管线现金流'!H5005&amp;"|"&amp;'管线现金流'!AJ5005&amp;"|"&amp;'管线现金流'!H5006&amp;"|"&amp;'管线现金流'!AJ5006&amp;"|"&amp;'管线现金流'!H5007&amp;"|"&amp;'管线现金流'!AJ5007&amp;"|"&amp;'管线现金流'!H5008&amp;"|"&amp;'管线现金流'!AJ5008&amp;"|"&amp;'管线现金流'!H5009&amp;"|"&amp;'管线现金流'!AJ5009&amp;"|"&amp;'管线现金流'!H5010&amp;"|"&amp;'管线现金流'!AJ5010&amp;"|"&amp;'管线现金流'!H5011&amp;"|"&amp;'管线现金流'!AJ5011&amp;"|"&amp;'管线现金流'!H5012&amp;"|"&amp;'管线现金流'!AJ5012&amp;"|"&amp;'管线现金流'!H5013&amp;"|"&amp;'管线现金流'!AJ5013&amp;"|"&amp;'管线现金流'!H5014&amp;"|"&amp;'管线现金流'!AJ5014&amp;"|"&amp;'管线现金流'!H5015&amp;"|"&amp;'管线现金流'!AJ5015&amp;"|"&amp;'管线现金流'!H5016&amp;"|"&amp;'管线现金流'!AJ5016&amp;"|"&amp;'管线现金流'!H5017&amp;"|"&amp;'管线现金流'!AJ5017&amp;"|"&amp;'管线现金流'!H5018&amp;"|"&amp;'管线现金流'!AJ5018&amp;"|"&amp;'管线现金流'!H5019&amp;"|"&amp;'管线现金流'!AJ5019&amp;"|"&amp;'管线现金流'!H5020&amp;"|"&amp;'管线现金流'!AJ5020&amp;"|"&amp;'管线现金流'!H5021&amp;"|"&amp;'管线现金流'!AJ5021&amp;"|"&amp;'管线现金流'!H5022&amp;"|"&amp;'管线现金流'!AJ5022&amp;"|"&amp;'管线现金流'!H5023&amp;"|"&amp;'管线现金流'!AJ5023&amp;"|"&amp;'管线现金流'!H5024&amp;"|"&amp;'管线现金流'!AJ5024&amp;"|"&amp;'管线现金流'!H5025&amp;"|"&amp;'管线现金流'!AJ5025&amp;"|"&amp;'管线现金流'!H5026&amp;"|"&amp;'管线现金流'!AJ5026&amp;"|"&amp;'管线现金流'!H5027&amp;"|"&amp;'管线现金流'!AJ5027&amp;"|"&amp;'管线现金流'!H5028&amp;"|"&amp;'管线现金流'!AJ5028&amp;"|"&amp;'管线现金流'!H5029&amp;"|"&amp;'管线现金流'!AJ5029&amp;"|"&amp;'管线现金流'!H5030&amp;"|"&amp;'管线现金流'!AJ5030&amp;"|"&amp;'管线现金流'!H5031&amp;"|"&amp;'管线现金流'!AJ5031&amp;"|"&amp;'管线现金流'!H5032&amp;"|"&amp;'管线现金流'!AJ5032&amp;"|"&amp;'管线现金流'!H5033&amp;"|"&amp;'管线现金流'!AJ5033&amp;"|"&amp;'管线现金流'!H5034&amp;"|"&amp;'管线现金流'!AJ5034&amp;"|"&amp;'管线现金流'!H5035&amp;"|"&amp;'管线现金流'!AJ5035&amp;"|"&amp;'管线现金流'!H5036&amp;"|"&amp;'管线现金流'!AJ5036&amp;"|"&amp;'管线现金流'!H5037&amp;"|"&amp;'管线现金流'!AJ5037&amp;"|"&amp;'管线现金流'!H5038&amp;"|"&amp;'管线现金流'!AJ5038&amp;"|"&amp;'管线现金流'!H5039&amp;"|"&amp;'管线现金流'!AJ5039&amp;"|"&amp;'管线现金流'!H5040&amp;"|"&amp;'管线现金流'!AJ5040&amp;"|"&amp;'管线现金流'!H5041&amp;"|"&amp;'管线现金流'!AJ5041&amp;"|"&amp;'管线现金流'!H5042&amp;"|"&amp;'管线现金流'!AJ5042&amp;"|"&amp;'管线现金流'!H5043&amp;"|"&amp;'管线现金流'!AJ5043&amp;"|"&amp;'管线现金流'!H5044&amp;"|"&amp;'管线现金流'!AJ5044&amp;"|"&amp;'管线现金流'!H5045&amp;"|"&amp;'管线现金流'!AJ5045&amp;"|"&amp;'管线现金流'!H5046&amp;"|"&amp;'管线现金流'!AJ5046&amp;"|"&amp;'管线现金流'!H5047&amp;"|"&amp;'管线现金流'!AJ5047&amp;"|"&amp;'管线现金流'!H5048&amp;"|"&amp;'管线现金流'!AJ5048&amp;"|"&amp;'管线现金流'!H5049&amp;"|"&amp;'管线现金流'!AJ5049&amp;"|"&amp;'管线现金流'!H5050&amp;"|"&amp;'管线现金流'!AJ5050&amp;"|"&amp;'管线现金流'!H5051&amp;"|"&amp;'管线现金流'!AJ5051&amp;"|"&amp;'管线现金流'!H5052&amp;"|"&amp;'管线现金流'!AJ5052&amp;"|"&amp;'管线现金流'!H5053&amp;"|"&amp;'管线现金流'!AJ5053&amp;"|"&amp;'管线现金流'!H5054&amp;"|"&amp;'管线现金流'!AJ5054&amp;"|"&amp;'管线现金流'!H5055&amp;"|"&amp;'管线现金流'!AJ5055&amp;"|"&amp;'管线现金流'!H5056&amp;"|"&amp;'管线现金流'!AJ5056&amp;"|"&amp;'管线现金流'!H5057&amp;"|"&amp;'管线现金流'!AJ5057&amp;"|"&amp;'管线现金流'!H5058&amp;"|"&amp;'管线现金流'!AJ5058&amp;"|"&amp;'管线现金流'!H5059&amp;"|"&amp;'管线现金流'!AJ5059&amp;"|"&amp;'管线现金流'!H5060&amp;"|"&amp;'管线现金流'!AJ5060&amp;"|"&amp;'管线现金流'!H5061&amp;"|"&amp;'管线现金流'!AJ5061&amp;"|"&amp;'管线现金流'!H5062&amp;"|"&amp;'管线现金流'!AJ5062&amp;"|"&amp;'管线现金流'!H5063&amp;"|"&amp;'管线现金流'!AJ5063&amp;"|"&amp;'管线现金流'!H5064&amp;"|"&amp;'管线现金流'!AJ5064&amp;"|"&amp;'管线现金流'!H5065&amp;"|"&amp;'管线现金流'!AJ5065&amp;"|"&amp;'管线现金流'!H5066&amp;"|"&amp;'管线现金流'!AJ5066&amp;"|"&amp;'管线现金流'!H5067&amp;"|"&amp;'管线现金流'!AJ5067&amp;"|"&amp;'管线现金流'!H5068&amp;"|"&amp;'管线现金流'!AJ5068&amp;"|"&amp;'管线现金流'!H5069&amp;"|"&amp;'管线现金流'!AJ5069&amp;"|"&amp;'管线现金流'!H5070&amp;"|"&amp;'管线现金流'!AJ5070&amp;"|"&amp;'管线现金流'!U82&amp;"|"&amp;'管线现金流'!X82&amp;"|"&amp;'管线现金流'!AO82&amp;"|"&amp;'管线现金流'!AR82&amp;"|"&amp;'管线现金流'!U83&amp;"|"&amp;'管线现金流'!X83&amp;"|"&amp;'管线现金流'!AO83&amp;"|"&amp;'管线现金流'!AR83&amp;"|"&amp;'管线现金流'!U84&amp;"|"&amp;'管线现金流'!X84&amp;"|"&amp;'管线现金流'!AO84&amp;"|"&amp;'管线现金流'!AR84&amp;"|"&amp;'管线现金流'!U85&amp;"|"&amp;'管线现金流'!X85&amp;"|"&amp;'管线现金流'!AO85&amp;"|"&amp;'管线现金流'!AR85</x:f>
        <x:v>0.45|-1.85|2.7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</x:row>
    <x:row r="473" ht="23" customHeight="1">
      <x:c r="A473" s="11" t="str">
        <x:v>688062.SH</x:v>
      </x:c>
      <x:c r="B473" s="11" t="str">
        <x:v>迈威生物</x:v>
      </x:c>
      <x:c r="C473" s="11" t="str">
        <x:v>2026年底</x:v>
      </x:c>
      <x:c r="D473" s="11" t="str">
        <x:v>基准</x:v>
      </x:c>
      <x:c r="E473" s="11" t="n">
        <x:v>24.78</x:v>
      </x:c>
      <x:c r="F473" s="11" t="n">
        <x:v>17.585189067691555</x:v>
      </x:c>
      <x:c r="G473" s="11" t="n">
        <x:v>0</x:v>
      </x:c>
      <x:c r="H473" s="25" t="n">
        <x:v>-0.2903474952505426</x:v>
      </x:c>
      <x:c r="I473" s="25" t="n">
        <x:v>-0.2903474952505426</x:v>
      </x:c>
      <x:c r="J473" s="25" t="str"/>
      <x:c r="K473" s="11" t="n">
        <x:v>0</x:v>
      </x:c>
      <x:c r="L473" s="11" t="n">
        <x:v>0</x:v>
      </x:c>
      <x:c r="M473" s="11" t="n">
        <x:v>1</x:v>
      </x:c>
      <x:c r="N473" s="11" t="n">
        <x:v>0</x:v>
      </x:c>
      <x:c r="O473" s="11" t="n">
        <x:v>0</x:v>
      </x:c>
      <x:c r="P473" s="11" t="n">
        <x:v>0</x:v>
      </x:c>
      <x:c r="Q473" s="11" t="n">
        <x:v>0.46</x:v>
      </x:c>
      <x:c r="R473" s="11" t="str">
        <x:v>mabwell-rnpv-v1.1</x:v>
      </x:c>
      <x:c r="S473" s="11" t="str">
        <x:v>2026-10-10</x:v>
      </x:c>
      <x:c r="T473" s="11" t="str">
        <x:f>IF(AND(SUM(IF(K473='假设'!E629,0,1),IF(L473='假设'!F629,0,1),IF(M473='假设'!G629,0,1),IF(N473='假设'!H629,0,1),IF(O473='假设'!I629,0,1),IF(P473='假设'!J629,0,1),IF(Q473='假设'!K629,0,1))=0,U473=V473),"已刷新","待刷新")</x:f>
        <x:v>待刷新</x:v>
      </x:c>
      <x:c r="U473" t="str">
        <x:v>0.35|-1.6|2.4|0.93|0.23|1|0.14|6.8|1|0.08000000000000002|1|0.14|6.8|0.62|0.3|1|0.14|6.8|0.55|0.3|1|0.14|6.8|0.48|0.3|1|0.14|6.8|0.30000000000000004|0.3|1|0.14|6.8|0.16000000000000003|0.3|1|0.14|6.8|0.19999999999999996|0.23|1|0.14|6.8|0.21999999999999997|0.3|1|0.14|6.8|0.09999999999999998|0.3|1|0.14|6.8|0.25|0.3|1|0.14|6.8|0.12|0.064|1|0.14|6.8|0.12|0.3|1|0.14|6.8|0.41999999999999993|0.068|1|0.14|6.8|0.35|0.3|1|0.14|6.8|0.15000000000000002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  <x:c r="V473" t="str">
        <x:f>'假设'!U629&amp;"|"&amp;'假设'!N629&amp;"|"&amp;'假设'!Q629&amp;"|"&amp;'管线假设'!E1029&amp;"|"&amp;'管线假设'!F1029&amp;"|"&amp;'管线假设'!G1029&amp;"|"&amp;'管线假设'!H1029&amp;"|"&amp;'管线假设'!I1029&amp;"|"&amp;'管线假设'!E1033&amp;"|"&amp;'管线假设'!F1033&amp;"|"&amp;'管线假设'!G1033&amp;"|"&amp;'管线假设'!H1033&amp;"|"&amp;'管线假设'!I1033&amp;"|"&amp;'管线假设'!E1037&amp;"|"&amp;'管线假设'!F1037&amp;"|"&amp;'管线假设'!G1037&amp;"|"&amp;'管线假设'!H1037&amp;"|"&amp;'管线假设'!I1037&amp;"|"&amp;'管线假设'!E1041&amp;"|"&amp;'管线假设'!F1041&amp;"|"&amp;'管线假设'!G1041&amp;"|"&amp;'管线假设'!H1041&amp;"|"&amp;'管线假设'!I1041&amp;"|"&amp;'管线假设'!E1045&amp;"|"&amp;'管线假设'!F1045&amp;"|"&amp;'管线假设'!G1045&amp;"|"&amp;'管线假设'!H1045&amp;"|"&amp;'管线假设'!I1045&amp;"|"&amp;'管线假设'!E1049&amp;"|"&amp;'管线假设'!F1049&amp;"|"&amp;'管线假设'!G1049&amp;"|"&amp;'管线假设'!H1049&amp;"|"&amp;'管线假设'!I1049&amp;"|"&amp;'管线假设'!E1053&amp;"|"&amp;'管线假设'!F1053&amp;"|"&amp;'管线假设'!G1053&amp;"|"&amp;'管线假设'!H1053&amp;"|"&amp;'管线假设'!I1053&amp;"|"&amp;'管线假设'!E1057&amp;"|"&amp;'管线假设'!F1057&amp;"|"&amp;'管线假设'!G1057&amp;"|"&amp;'管线假设'!H1057&amp;"|"&amp;'管线假设'!I1057&amp;"|"&amp;'管线假设'!E1061&amp;"|"&amp;'管线假设'!F1061&amp;"|"&amp;'管线假设'!G1061&amp;"|"&amp;'管线假设'!H1061&amp;"|"&amp;'管线假设'!I1061&amp;"|"&amp;'管线假设'!E1065&amp;"|"&amp;'管线假设'!F1065&amp;"|"&amp;'管线假设'!G1065&amp;"|"&amp;'管线假设'!H1065&amp;"|"&amp;'管线假设'!I1065&amp;"|"&amp;'管线假设'!E1069&amp;"|"&amp;'管线假设'!F1069&amp;"|"&amp;'管线假设'!G1069&amp;"|"&amp;'管线假设'!H1069&amp;"|"&amp;'管线假设'!I1069&amp;"|"&amp;'管线假设'!E1073&amp;"|"&amp;'管线假设'!F1073&amp;"|"&amp;'管线假设'!G1073&amp;"|"&amp;'管线假设'!H1073&amp;"|"&amp;'管线假设'!I1073&amp;"|"&amp;'管线假设'!E1077&amp;"|"&amp;'管线假设'!F1077&amp;"|"&amp;'管线假设'!G1077&amp;"|"&amp;'管线假设'!H1077&amp;"|"&amp;'管线假设'!I1077&amp;"|"&amp;'管线假设'!E1081&amp;"|"&amp;'管线假设'!F1081&amp;"|"&amp;'管线假设'!G1081&amp;"|"&amp;'管线假设'!H1081&amp;"|"&amp;'管线假设'!I1081&amp;"|"&amp;'管线假设'!E1085&amp;"|"&amp;'管线假设'!F1085&amp;"|"&amp;'管线假设'!G1085&amp;"|"&amp;'管线假设'!H1085&amp;"|"&amp;'管线假设'!I1085&amp;"|"&amp;'管线假设'!E1089&amp;"|"&amp;'管线假设'!F1089&amp;"|"&amp;'管线假设'!G1089&amp;"|"&amp;'管线假设'!H1089&amp;"|"&amp;'管线假设'!I1089&amp;"|"&amp;'管线现金流'!I4767&amp;"|"&amp;'管线现金流'!AK4767&amp;"|"&amp;'管线现金流'!I4768&amp;"|"&amp;'管线现金流'!AK4768&amp;"|"&amp;'管线现金流'!I4769&amp;"|"&amp;'管线现金流'!AK4769&amp;"|"&amp;'管线现金流'!I4770&amp;"|"&amp;'管线现金流'!AK4770&amp;"|"&amp;'管线现金流'!I4771&amp;"|"&amp;'管线现金流'!AK4771&amp;"|"&amp;'管线现金流'!I4772&amp;"|"&amp;'管线现金流'!AK4772&amp;"|"&amp;'管线现金流'!I4773&amp;"|"&amp;'管线现金流'!AK4773&amp;"|"&amp;'管线现金流'!I4774&amp;"|"&amp;'管线现金流'!AK4774&amp;"|"&amp;'管线现金流'!I4775&amp;"|"&amp;'管线现金流'!AK4775&amp;"|"&amp;'管线现金流'!I4776&amp;"|"&amp;'管线现金流'!AK4776&amp;"|"&amp;'管线现金流'!I4777&amp;"|"&amp;'管线现金流'!AK4777&amp;"|"&amp;'管线现金流'!I4778&amp;"|"&amp;'管线现金流'!AK4778&amp;"|"&amp;'管线现金流'!I4779&amp;"|"&amp;'管线现金流'!AK4779&amp;"|"&amp;'管线现金流'!I4780&amp;"|"&amp;'管线现金流'!AK4780&amp;"|"&amp;'管线现金流'!I4781&amp;"|"&amp;'管线现金流'!AK4781&amp;"|"&amp;'管线现金流'!I4782&amp;"|"&amp;'管线现金流'!AK4782&amp;"|"&amp;'管线现金流'!I4783&amp;"|"&amp;'管线现金流'!AK4783&amp;"|"&amp;'管线现金流'!I4784&amp;"|"&amp;'管线现金流'!AK4784&amp;"|"&amp;'管线现金流'!I4785&amp;"|"&amp;'管线现金流'!AK4785&amp;"|"&amp;'管线现金流'!I4786&amp;"|"&amp;'管线现金流'!AK4786&amp;"|"&amp;'管线现金流'!I4787&amp;"|"&amp;'管线现金流'!AK4787&amp;"|"&amp;'管线现金流'!I4788&amp;"|"&amp;'管线现金流'!AK4788&amp;"|"&amp;'管线现金流'!I4789&amp;"|"&amp;'管线现金流'!AK4789&amp;"|"&amp;'管线现金流'!I4790&amp;"|"&amp;'管线现金流'!AK4790&amp;"|"&amp;'管线现金流'!I4791&amp;"|"&amp;'管线现金流'!AK4791&amp;"|"&amp;'管线现金流'!I4792&amp;"|"&amp;'管线现金流'!AK4792&amp;"|"&amp;'管线现金流'!I4793&amp;"|"&amp;'管线现金流'!AK4793&amp;"|"&amp;'管线现金流'!I4794&amp;"|"&amp;'管线现金流'!AK4794&amp;"|"&amp;'管线现金流'!I4795&amp;"|"&amp;'管线现金流'!AK4795&amp;"|"&amp;'管线现金流'!I4796&amp;"|"&amp;'管线现金流'!AK4796&amp;"|"&amp;'管线现金流'!I4797&amp;"|"&amp;'管线现金流'!AK4797&amp;"|"&amp;'管线现金流'!I4798&amp;"|"&amp;'管线现金流'!AK4798&amp;"|"&amp;'管线现金流'!I4799&amp;"|"&amp;'管线现金流'!AK4799&amp;"|"&amp;'管线现金流'!I4800&amp;"|"&amp;'管线现金流'!AK4800&amp;"|"&amp;'管线现金流'!I4801&amp;"|"&amp;'管线现金流'!AK4801&amp;"|"&amp;'管线现金流'!I4802&amp;"|"&amp;'管线现金流'!AK4802&amp;"|"&amp;'管线现金流'!I4803&amp;"|"&amp;'管线现金流'!AK4803&amp;"|"&amp;'管线现金流'!I4804&amp;"|"&amp;'管线现金流'!AK4804&amp;"|"&amp;'管线现金流'!I4805&amp;"|"&amp;'管线现金流'!AK4805&amp;"|"&amp;'管线现金流'!I4806&amp;"|"&amp;'管线现金流'!AK4806&amp;"|"&amp;'管线现金流'!I4807&amp;"|"&amp;'管线现金流'!AK4807&amp;"|"&amp;'管线现金流'!I4808&amp;"|"&amp;'管线现金流'!AK4808&amp;"|"&amp;'管线现金流'!I4809&amp;"|"&amp;'管线现金流'!AK4809&amp;"|"&amp;'管线现金流'!I4810&amp;"|"&amp;'管线现金流'!AK4810&amp;"|"&amp;'管线现金流'!I4811&amp;"|"&amp;'管线现金流'!AK4811&amp;"|"&amp;'管线现金流'!I4812&amp;"|"&amp;'管线现金流'!AK4812&amp;"|"&amp;'管线现金流'!I4813&amp;"|"&amp;'管线现金流'!AK4813&amp;"|"&amp;'管线现金流'!I4814&amp;"|"&amp;'管线现金流'!AK4814&amp;"|"&amp;'管线现金流'!I4815&amp;"|"&amp;'管线现金流'!AK4815&amp;"|"&amp;'管线现金流'!I4816&amp;"|"&amp;'管线现金流'!AK4816&amp;"|"&amp;'管线现金流'!I4817&amp;"|"&amp;'管线现金流'!AK4817&amp;"|"&amp;'管线现金流'!I4818&amp;"|"&amp;'管线现金流'!AK4818&amp;"|"&amp;'管线现金流'!I4819&amp;"|"&amp;'管线现金流'!AK4819&amp;"|"&amp;'管线现金流'!I4820&amp;"|"&amp;'管线现金流'!AK4820&amp;"|"&amp;'管线现金流'!I4821&amp;"|"&amp;'管线现金流'!AK4821&amp;"|"&amp;'管线现金流'!I4822&amp;"|"&amp;'管线现金流'!AK4822&amp;"|"&amp;'管线现金流'!I4823&amp;"|"&amp;'管线现金流'!AK4823&amp;"|"&amp;'管线现金流'!I4824&amp;"|"&amp;'管线现金流'!AK4824&amp;"|"&amp;'管线现金流'!I4825&amp;"|"&amp;'管线现金流'!AK4825&amp;"|"&amp;'管线现金流'!I4826&amp;"|"&amp;'管线现金流'!AK4826&amp;"|"&amp;'管线现金流'!I4827&amp;"|"&amp;'管线现金流'!AK4827&amp;"|"&amp;'管线现金流'!I4828&amp;"|"&amp;'管线现金流'!AK4828&amp;"|"&amp;'管线现金流'!I4829&amp;"|"&amp;'管线现金流'!AK4829&amp;"|"&amp;'管线现金流'!I4830&amp;"|"&amp;'管线现金流'!AK4830&amp;"|"&amp;'管线现金流'!I4831&amp;"|"&amp;'管线现金流'!AK4831&amp;"|"&amp;'管线现金流'!I4832&amp;"|"&amp;'管线现金流'!AK4832&amp;"|"&amp;'管线现金流'!I4833&amp;"|"&amp;'管线现金流'!AK4833&amp;"|"&amp;'管线现金流'!I4834&amp;"|"&amp;'管线现金流'!AK4834&amp;"|"&amp;'管线现金流'!I4835&amp;"|"&amp;'管线现金流'!AK4835&amp;"|"&amp;'管线现金流'!I4836&amp;"|"&amp;'管线现金流'!AK4836&amp;"|"&amp;'管线现金流'!I4837&amp;"|"&amp;'管线现金流'!AK4837&amp;"|"&amp;'管线现金流'!I4838&amp;"|"&amp;'管线现金流'!AK4838&amp;"|"&amp;'管线现金流'!I4839&amp;"|"&amp;'管线现金流'!AK4839&amp;"|"&amp;'管线现金流'!I4840&amp;"|"&amp;'管线现金流'!AK4840&amp;"|"&amp;'管线现金流'!I4841&amp;"|"&amp;'管线现金流'!AK4841&amp;"|"&amp;'管线现金流'!I4842&amp;"|"&amp;'管线现金流'!AK4842&amp;"|"&amp;'管线现金流'!I4843&amp;"|"&amp;'管线现金流'!AK4843&amp;"|"&amp;'管线现金流'!I4844&amp;"|"&amp;'管线现金流'!AK4844&amp;"|"&amp;'管线现金流'!I4845&amp;"|"&amp;'管线现金流'!AK4845&amp;"|"&amp;'管线现金流'!I4846&amp;"|"&amp;'管线现金流'!AK4846&amp;"|"&amp;'管线现金流'!I4847&amp;"|"&amp;'管线现金流'!AK4847&amp;"|"&amp;'管线现金流'!I4848&amp;"|"&amp;'管线现金流'!AK4848&amp;"|"&amp;'管线现金流'!I4849&amp;"|"&amp;'管线现金流'!AK4849&amp;"|"&amp;'管线现金流'!I4850&amp;"|"&amp;'管线现金流'!AK4850&amp;"|"&amp;'管线现金流'!I4851&amp;"|"&amp;'管线现金流'!AK4851&amp;"|"&amp;'管线现金流'!I4852&amp;"|"&amp;'管线现金流'!AK4852&amp;"|"&amp;'管线现金流'!I4853&amp;"|"&amp;'管线现金流'!AK4853&amp;"|"&amp;'管线现金流'!I4854&amp;"|"&amp;'管线现金流'!AK4854&amp;"|"&amp;'管线现金流'!I4855&amp;"|"&amp;'管线现金流'!AK4855&amp;"|"&amp;'管线现金流'!I4856&amp;"|"&amp;'管线现金流'!AK4856&amp;"|"&amp;'管线现金流'!I4857&amp;"|"&amp;'管线现金流'!AK4857&amp;"|"&amp;'管线现金流'!I4858&amp;"|"&amp;'管线现金流'!AK4858&amp;"|"&amp;'管线现金流'!I4859&amp;"|"&amp;'管线现金流'!AK4859&amp;"|"&amp;'管线现金流'!I4860&amp;"|"&amp;'管线现金流'!AK4860&amp;"|"&amp;'管线现金流'!I4861&amp;"|"&amp;'管线现金流'!AK4861&amp;"|"&amp;'管线现金流'!I4862&amp;"|"&amp;'管线现金流'!AK4862&amp;"|"&amp;'管线现金流'!I4863&amp;"|"&amp;'管线现金流'!AK4863&amp;"|"&amp;'管线现金流'!I4864&amp;"|"&amp;'管线现金流'!AK4864&amp;"|"&amp;'管线现金流'!I4865&amp;"|"&amp;'管线现金流'!AK4865&amp;"|"&amp;'管线现金流'!I4866&amp;"|"&amp;'管线现金流'!AK4866&amp;"|"&amp;'管线现金流'!I4867&amp;"|"&amp;'管线现金流'!AK4867&amp;"|"&amp;'管线现金流'!I4868&amp;"|"&amp;'管线现金流'!AK4868&amp;"|"&amp;'管线现金流'!I4869&amp;"|"&amp;'管线现金流'!AK4869&amp;"|"&amp;'管线现金流'!I4870&amp;"|"&amp;'管线现金流'!AK4870&amp;"|"&amp;'管线现金流'!I4871&amp;"|"&amp;'管线现金流'!AK4871&amp;"|"&amp;'管线现金流'!I4872&amp;"|"&amp;'管线现金流'!AK4872&amp;"|"&amp;'管线现金流'!I4873&amp;"|"&amp;'管线现金流'!AK4873&amp;"|"&amp;'管线现金流'!I4874&amp;"|"&amp;'管线现金流'!AK4874&amp;"|"&amp;'管线现金流'!I4875&amp;"|"&amp;'管线现金流'!AK4875&amp;"|"&amp;'管线现金流'!I4876&amp;"|"&amp;'管线现金流'!AK4876&amp;"|"&amp;'管线现金流'!I4877&amp;"|"&amp;'管线现金流'!AK4877&amp;"|"&amp;'管线现金流'!I4878&amp;"|"&amp;'管线现金流'!AK4878&amp;"|"&amp;'管线现金流'!I4879&amp;"|"&amp;'管线现金流'!AK4879&amp;"|"&amp;'管线现金流'!I4880&amp;"|"&amp;'管线现金流'!AK4880&amp;"|"&amp;'管线现金流'!I4881&amp;"|"&amp;'管线现金流'!AK4881&amp;"|"&amp;'管线现金流'!I4882&amp;"|"&amp;'管线现金流'!AK4882&amp;"|"&amp;'管线现金流'!I4883&amp;"|"&amp;'管线现金流'!AK4883&amp;"|"&amp;'管线现金流'!I4884&amp;"|"&amp;'管线现金流'!AK4884&amp;"|"&amp;'管线现金流'!I4885&amp;"|"&amp;'管线现金流'!AK4885&amp;"|"&amp;'管线现金流'!I4886&amp;"|"&amp;'管线现金流'!AK4886&amp;"|"&amp;'管线现金流'!I4887&amp;"|"&amp;'管线现金流'!AK4887&amp;"|"&amp;'管线现金流'!I4888&amp;"|"&amp;'管线现金流'!AK4888&amp;"|"&amp;'管线现金流'!I4889&amp;"|"&amp;'管线现金流'!AK4889&amp;"|"&amp;'管线现金流'!I4890&amp;"|"&amp;'管线现金流'!AK4890&amp;"|"&amp;'管线现金流'!I4891&amp;"|"&amp;'管线现金流'!AK4891&amp;"|"&amp;'管线现金流'!I4892&amp;"|"&amp;'管线现金流'!AK4892&amp;"|"&amp;'管线现金流'!I4893&amp;"|"&amp;'管线现金流'!AK4893&amp;"|"&amp;'管线现金流'!I4894&amp;"|"&amp;'管线现金流'!AK4894&amp;"|"&amp;'管线现金流'!I4895&amp;"|"&amp;'管线现金流'!AK4895&amp;"|"&amp;'管线现金流'!I4896&amp;"|"&amp;'管线现金流'!AK4896&amp;"|"&amp;'管线现金流'!I4897&amp;"|"&amp;'管线现金流'!AK4897&amp;"|"&amp;'管线现金流'!I4898&amp;"|"&amp;'管线现金流'!AK4898&amp;"|"&amp;'管线现金流'!I4899&amp;"|"&amp;'管线现金流'!AK4899&amp;"|"&amp;'管线现金流'!I4900&amp;"|"&amp;'管线现金流'!AK4900&amp;"|"&amp;'管线现金流'!I4901&amp;"|"&amp;'管线现金流'!AK4901&amp;"|"&amp;'管线现金流'!I4902&amp;"|"&amp;'管线现金流'!AK4902&amp;"|"&amp;'管线现金流'!I4903&amp;"|"&amp;'管线现金流'!AK4903&amp;"|"&amp;'管线现金流'!I4904&amp;"|"&amp;'管线现金流'!AK4904&amp;"|"&amp;'管线现金流'!I4905&amp;"|"&amp;'管线现金流'!AK4905&amp;"|"&amp;'管线现金流'!I4906&amp;"|"&amp;'管线现金流'!AK4906&amp;"|"&amp;'管线现金流'!I4907&amp;"|"&amp;'管线现金流'!AK4907&amp;"|"&amp;'管线现金流'!I4908&amp;"|"&amp;'管线现金流'!AK4908&amp;"|"&amp;'管线现金流'!I4909&amp;"|"&amp;'管线现金流'!AK4909&amp;"|"&amp;'管线现金流'!I4910&amp;"|"&amp;'管线现金流'!AK4910&amp;"|"&amp;'管线现金流'!I4911&amp;"|"&amp;'管线现金流'!AK4911&amp;"|"&amp;'管线现金流'!I4912&amp;"|"&amp;'管线现金流'!AK4912&amp;"|"&amp;'管线现金流'!I4913&amp;"|"&amp;'管线现金流'!AK4913&amp;"|"&amp;'管线现金流'!I4914&amp;"|"&amp;'管线现金流'!AK4914&amp;"|"&amp;'管线现金流'!I4915&amp;"|"&amp;'管线现金流'!AK4915&amp;"|"&amp;'管线现金流'!I4916&amp;"|"&amp;'管线现金流'!AK4916&amp;"|"&amp;'管线现金流'!I4917&amp;"|"&amp;'管线现金流'!AK4917&amp;"|"&amp;'管线现金流'!I4918&amp;"|"&amp;'管线现金流'!AK4918&amp;"|"&amp;'管线现金流'!I4919&amp;"|"&amp;'管线现金流'!AK4919&amp;"|"&amp;'管线现金流'!I4920&amp;"|"&amp;'管线现金流'!AK4920&amp;"|"&amp;'管线现金流'!I4921&amp;"|"&amp;'管线现金流'!AK4921&amp;"|"&amp;'管线现金流'!I4922&amp;"|"&amp;'管线现金流'!AK4922&amp;"|"&amp;'管线现金流'!I4923&amp;"|"&amp;'管线现金流'!AK4923&amp;"|"&amp;'管线现金流'!I4924&amp;"|"&amp;'管线现金流'!AK4924&amp;"|"&amp;'管线现金流'!I4925&amp;"|"&amp;'管线现金流'!AK4925&amp;"|"&amp;'管线现金流'!I4926&amp;"|"&amp;'管线现金流'!AK4926&amp;"|"&amp;'管线现金流'!I4927&amp;"|"&amp;'管线现金流'!AK4927&amp;"|"&amp;'管线现金流'!I4928&amp;"|"&amp;'管线现金流'!AK4928&amp;"|"&amp;'管线现金流'!I4929&amp;"|"&amp;'管线现金流'!AK4929&amp;"|"&amp;'管线现金流'!I4930&amp;"|"&amp;'管线现金流'!AK4930&amp;"|"&amp;'管线现金流'!I4931&amp;"|"&amp;'管线现金流'!AK4931&amp;"|"&amp;'管线现金流'!I4932&amp;"|"&amp;'管线现金流'!AK4932&amp;"|"&amp;'管线现金流'!I4933&amp;"|"&amp;'管线现金流'!AK4933&amp;"|"&amp;'管线现金流'!I4934&amp;"|"&amp;'管线现金流'!AK4934&amp;"|"&amp;'管线现金流'!I4935&amp;"|"&amp;'管线现金流'!AK4935&amp;"|"&amp;'管线现金流'!I4936&amp;"|"&amp;'管线现金流'!AK4936&amp;"|"&amp;'管线现金流'!I4937&amp;"|"&amp;'管线现金流'!AK4937&amp;"|"&amp;'管线现金流'!I4938&amp;"|"&amp;'管线现金流'!AK4938&amp;"|"&amp;'管线现金流'!I4939&amp;"|"&amp;'管线现金流'!AK4939&amp;"|"&amp;'管线现金流'!I4940&amp;"|"&amp;'管线现金流'!AK4940&amp;"|"&amp;'管线现金流'!I4941&amp;"|"&amp;'管线现金流'!AK4941&amp;"|"&amp;'管线现金流'!I4942&amp;"|"&amp;'管线现金流'!AK4942&amp;"|"&amp;'管线现金流'!I4943&amp;"|"&amp;'管线现金流'!AK4943&amp;"|"&amp;'管线现金流'!I4944&amp;"|"&amp;'管线现金流'!AK4944&amp;"|"&amp;'管线现金流'!I4945&amp;"|"&amp;'管线现金流'!AK4945&amp;"|"&amp;'管线现金流'!I4946&amp;"|"&amp;'管线现金流'!AK4946&amp;"|"&amp;'管线现金流'!I4947&amp;"|"&amp;'管线现金流'!AK4947&amp;"|"&amp;'管线现金流'!I4948&amp;"|"&amp;'管线现金流'!AK4948&amp;"|"&amp;'管线现金流'!I4949&amp;"|"&amp;'管线现金流'!AK4949&amp;"|"&amp;'管线现金流'!I4950&amp;"|"&amp;'管线现金流'!AK4950&amp;"|"&amp;'管线现金流'!I4951&amp;"|"&amp;'管线现金流'!AK4951&amp;"|"&amp;'管线现金流'!I4952&amp;"|"&amp;'管线现金流'!AK4952&amp;"|"&amp;'管线现金流'!I4953&amp;"|"&amp;'管线现金流'!AK4953&amp;"|"&amp;'管线现金流'!I4954&amp;"|"&amp;'管线现金流'!AK4954&amp;"|"&amp;'管线现金流'!I4955&amp;"|"&amp;'管线现金流'!AK4955&amp;"|"&amp;'管线现金流'!I4956&amp;"|"&amp;'管线现金流'!AK4956&amp;"|"&amp;'管线现金流'!I4957&amp;"|"&amp;'管线现金流'!AK4957&amp;"|"&amp;'管线现金流'!I4958&amp;"|"&amp;'管线现金流'!AK4958&amp;"|"&amp;'管线现金流'!I4959&amp;"|"&amp;'管线现金流'!AK4959&amp;"|"&amp;'管线现金流'!I4960&amp;"|"&amp;'管线现金流'!AK4960&amp;"|"&amp;'管线现金流'!I4961&amp;"|"&amp;'管线现金流'!AK4961&amp;"|"&amp;'管线现金流'!I4962&amp;"|"&amp;'管线现金流'!AK4962&amp;"|"&amp;'管线现金流'!I4963&amp;"|"&amp;'管线现金流'!AK4963&amp;"|"&amp;'管线现金流'!I4964&amp;"|"&amp;'管线现金流'!AK4964&amp;"|"&amp;'管线现金流'!I4965&amp;"|"&amp;'管线现金流'!AK4965&amp;"|"&amp;'管线现金流'!I4966&amp;"|"&amp;'管线现金流'!AK4966&amp;"|"&amp;'管线现金流'!I4967&amp;"|"&amp;'管线现金流'!AK4967&amp;"|"&amp;'管线现金流'!I4968&amp;"|"&amp;'管线现金流'!AK4968&amp;"|"&amp;'管线现金流'!I4969&amp;"|"&amp;'管线现金流'!AK4969&amp;"|"&amp;'管线现金流'!I4970&amp;"|"&amp;'管线现金流'!AK4970&amp;"|"&amp;'管线现金流'!I4971&amp;"|"&amp;'管线现金流'!AK4971&amp;"|"&amp;'管线现金流'!I4972&amp;"|"&amp;'管线现金流'!AK4972&amp;"|"&amp;'管线现金流'!I4973&amp;"|"&amp;'管线现金流'!AK4973&amp;"|"&amp;'管线现金流'!I4974&amp;"|"&amp;'管线现金流'!AK4974&amp;"|"&amp;'管线现金流'!I4975&amp;"|"&amp;'管线现金流'!AK4975&amp;"|"&amp;'管线现金流'!I4976&amp;"|"&amp;'管线现金流'!AK4976&amp;"|"&amp;'管线现金流'!I4977&amp;"|"&amp;'管线现金流'!AK4977&amp;"|"&amp;'管线现金流'!I4978&amp;"|"&amp;'管线现金流'!AK4978&amp;"|"&amp;'管线现金流'!I4979&amp;"|"&amp;'管线现金流'!AK4979&amp;"|"&amp;'管线现金流'!I4980&amp;"|"&amp;'管线现金流'!AK4980&amp;"|"&amp;'管线现金流'!I4981&amp;"|"&amp;'管线现金流'!AK4981&amp;"|"&amp;'管线现金流'!I4982&amp;"|"&amp;'管线现金流'!AK4982&amp;"|"&amp;'管线现金流'!I4983&amp;"|"&amp;'管线现金流'!AK4983&amp;"|"&amp;'管线现金流'!I4984&amp;"|"&amp;'管线现金流'!AK4984&amp;"|"&amp;'管线现金流'!I4985&amp;"|"&amp;'管线现金流'!AK4985&amp;"|"&amp;'管线现金流'!I4986&amp;"|"&amp;'管线现金流'!AK4986&amp;"|"&amp;'管线现金流'!I4987&amp;"|"&amp;'管线现金流'!AK4987&amp;"|"&amp;'管线现金流'!I4988&amp;"|"&amp;'管线现金流'!AK4988&amp;"|"&amp;'管线现金流'!I4989&amp;"|"&amp;'管线现金流'!AK4989&amp;"|"&amp;'管线现金流'!I4990&amp;"|"&amp;'管线现金流'!AK4990&amp;"|"&amp;'管线现金流'!I4991&amp;"|"&amp;'管线现金流'!AK4991&amp;"|"&amp;'管线现金流'!I4992&amp;"|"&amp;'管线现金流'!AK4992&amp;"|"&amp;'管线现金流'!I4993&amp;"|"&amp;'管线现金流'!AK4993&amp;"|"&amp;'管线现金流'!I4994&amp;"|"&amp;'管线现金流'!AK4994&amp;"|"&amp;'管线现金流'!I4995&amp;"|"&amp;'管线现金流'!AK4995&amp;"|"&amp;'管线现金流'!I4996&amp;"|"&amp;'管线现金流'!AK4996&amp;"|"&amp;'管线现金流'!I4997&amp;"|"&amp;'管线现金流'!AK4997&amp;"|"&amp;'管线现金流'!I4998&amp;"|"&amp;'管线现金流'!AK4998&amp;"|"&amp;'管线现金流'!I4999&amp;"|"&amp;'管线现金流'!AK4999&amp;"|"&amp;'管线现金流'!I5000&amp;"|"&amp;'管线现金流'!AK5000&amp;"|"&amp;'管线现金流'!I5001&amp;"|"&amp;'管线现金流'!AK5001&amp;"|"&amp;'管线现金流'!I5002&amp;"|"&amp;'管线现金流'!AK5002&amp;"|"&amp;'管线现金流'!I5003&amp;"|"&amp;'管线现金流'!AK5003&amp;"|"&amp;'管线现金流'!I5004&amp;"|"&amp;'管线现金流'!AK5004&amp;"|"&amp;'管线现金流'!I5005&amp;"|"&amp;'管线现金流'!AK5005&amp;"|"&amp;'管线现金流'!I5006&amp;"|"&amp;'管线现金流'!AK5006&amp;"|"&amp;'管线现金流'!I5007&amp;"|"&amp;'管线现金流'!AK5007&amp;"|"&amp;'管线现金流'!I5008&amp;"|"&amp;'管线现金流'!AK5008&amp;"|"&amp;'管线现金流'!I5009&amp;"|"&amp;'管线现金流'!AK5009&amp;"|"&amp;'管线现金流'!I5010&amp;"|"&amp;'管线现金流'!AK5010&amp;"|"&amp;'管线现金流'!I5011&amp;"|"&amp;'管线现金流'!AK5011&amp;"|"&amp;'管线现金流'!I5012&amp;"|"&amp;'管线现金流'!AK5012&amp;"|"&amp;'管线现金流'!I5013&amp;"|"&amp;'管线现金流'!AK5013&amp;"|"&amp;'管线现金流'!I5014&amp;"|"&amp;'管线现金流'!AK5014&amp;"|"&amp;'管线现金流'!I5015&amp;"|"&amp;'管线现金流'!AK5015&amp;"|"&amp;'管线现金流'!I5016&amp;"|"&amp;'管线现金流'!AK5016&amp;"|"&amp;'管线现金流'!I5017&amp;"|"&amp;'管线现金流'!AK5017&amp;"|"&amp;'管线现金流'!I5018&amp;"|"&amp;'管线现金流'!AK5018&amp;"|"&amp;'管线现金流'!I5019&amp;"|"&amp;'管线现金流'!AK5019&amp;"|"&amp;'管线现金流'!I5020&amp;"|"&amp;'管线现金流'!AK5020&amp;"|"&amp;'管线现金流'!I5021&amp;"|"&amp;'管线现金流'!AK5021&amp;"|"&amp;'管线现金流'!I5022&amp;"|"&amp;'管线现金流'!AK5022&amp;"|"&amp;'管线现金流'!I5023&amp;"|"&amp;'管线现金流'!AK5023&amp;"|"&amp;'管线现金流'!I5024&amp;"|"&amp;'管线现金流'!AK5024&amp;"|"&amp;'管线现金流'!I5025&amp;"|"&amp;'管线现金流'!AK5025&amp;"|"&amp;'管线现金流'!I5026&amp;"|"&amp;'管线现金流'!AK5026&amp;"|"&amp;'管线现金流'!I5027&amp;"|"&amp;'管线现金流'!AK5027&amp;"|"&amp;'管线现金流'!I5028&amp;"|"&amp;'管线现金流'!AK5028&amp;"|"&amp;'管线现金流'!I5029&amp;"|"&amp;'管线现金流'!AK5029&amp;"|"&amp;'管线现金流'!I5030&amp;"|"&amp;'管线现金流'!AK5030&amp;"|"&amp;'管线现金流'!I5031&amp;"|"&amp;'管线现金流'!AK5031&amp;"|"&amp;'管线现金流'!I5032&amp;"|"&amp;'管线现金流'!AK5032&amp;"|"&amp;'管线现金流'!I5033&amp;"|"&amp;'管线现金流'!AK5033&amp;"|"&amp;'管线现金流'!I5034&amp;"|"&amp;'管线现金流'!AK5034&amp;"|"&amp;'管线现金流'!I5035&amp;"|"&amp;'管线现金流'!AK5035&amp;"|"&amp;'管线现金流'!I5036&amp;"|"&amp;'管线现金流'!AK5036&amp;"|"&amp;'管线现金流'!I5037&amp;"|"&amp;'管线现金流'!AK5037&amp;"|"&amp;'管线现金流'!I5038&amp;"|"&amp;'管线现金流'!AK5038&amp;"|"&amp;'管线现金流'!I5039&amp;"|"&amp;'管线现金流'!AK5039&amp;"|"&amp;'管线现金流'!I5040&amp;"|"&amp;'管线现金流'!AK5040&amp;"|"&amp;'管线现金流'!I5041&amp;"|"&amp;'管线现金流'!AK5041&amp;"|"&amp;'管线现金流'!I5042&amp;"|"&amp;'管线现金流'!AK5042&amp;"|"&amp;'管线现金流'!I5043&amp;"|"&amp;'管线现金流'!AK5043&amp;"|"&amp;'管线现金流'!I5044&amp;"|"&amp;'管线现金流'!AK5044&amp;"|"&amp;'管线现金流'!I5045&amp;"|"&amp;'管线现金流'!AK5045&amp;"|"&amp;'管线现金流'!I5046&amp;"|"&amp;'管线现金流'!AK5046&amp;"|"&amp;'管线现金流'!I5047&amp;"|"&amp;'管线现金流'!AK5047&amp;"|"&amp;'管线现金流'!I5048&amp;"|"&amp;'管线现金流'!AK5048&amp;"|"&amp;'管线现金流'!I5049&amp;"|"&amp;'管线现金流'!AK5049&amp;"|"&amp;'管线现金流'!I5050&amp;"|"&amp;'管线现金流'!AK5050&amp;"|"&amp;'管线现金流'!I5051&amp;"|"&amp;'管线现金流'!AK5051&amp;"|"&amp;'管线现金流'!I5052&amp;"|"&amp;'管线现金流'!AK5052&amp;"|"&amp;'管线现金流'!I5053&amp;"|"&amp;'管线现金流'!AK5053&amp;"|"&amp;'管线现金流'!I5054&amp;"|"&amp;'管线现金流'!AK5054&amp;"|"&amp;'管线现金流'!I5055&amp;"|"&amp;'管线现金流'!AK5055&amp;"|"&amp;'管线现金流'!I5056&amp;"|"&amp;'管线现金流'!AK5056&amp;"|"&amp;'管线现金流'!I5057&amp;"|"&amp;'管线现金流'!AK5057&amp;"|"&amp;'管线现金流'!I5058&amp;"|"&amp;'管线现金流'!AK5058&amp;"|"&amp;'管线现金流'!I5059&amp;"|"&amp;'管线现金流'!AK5059&amp;"|"&amp;'管线现金流'!I5060&amp;"|"&amp;'管线现金流'!AK5060&amp;"|"&amp;'管线现金流'!I5061&amp;"|"&amp;'管线现金流'!AK5061&amp;"|"&amp;'管线现金流'!I5062&amp;"|"&amp;'管线现金流'!AK5062&amp;"|"&amp;'管线现金流'!I5063&amp;"|"&amp;'管线现金流'!AK5063&amp;"|"&amp;'管线现金流'!I5064&amp;"|"&amp;'管线现金流'!AK5064&amp;"|"&amp;'管线现金流'!I5065&amp;"|"&amp;'管线现金流'!AK5065&amp;"|"&amp;'管线现金流'!I5066&amp;"|"&amp;'管线现金流'!AK5066&amp;"|"&amp;'管线现金流'!I5067&amp;"|"&amp;'管线现金流'!AK5067&amp;"|"&amp;'管线现金流'!I5068&amp;"|"&amp;'管线现金流'!AK5068&amp;"|"&amp;'管线现金流'!I5069&amp;"|"&amp;'管线现金流'!AK5069&amp;"|"&amp;'管线现金流'!I5070&amp;"|"&amp;'管线现金流'!AK5070&amp;"|"&amp;'管线现金流'!V82&amp;"|"&amp;'管线现金流'!Y82&amp;"|"&amp;'管线现金流'!AP82&amp;"|"&amp;'管线现金流'!AS82&amp;"|"&amp;'管线现金流'!V83&amp;"|"&amp;'管线现金流'!Y83&amp;"|"&amp;'管线现金流'!AP83&amp;"|"&amp;'管线现金流'!AS83&amp;"|"&amp;'管线现金流'!V84&amp;"|"&amp;'管线现金流'!Y84&amp;"|"&amp;'管线现金流'!AP84&amp;"|"&amp;'管线现金流'!AS84&amp;"|"&amp;'管线现金流'!V85&amp;"|"&amp;'管线现金流'!Y85&amp;"|"&amp;'管线现金流'!AP85&amp;"|"&amp;'管线现金流'!AS85</x:f>
        <x:v>0.35|-1.6|2.4|0.93|0.23|1|0.14|6.8|1|0.08000000000000002|1|0.14|6.8|0.62|0.3|1|0.14|6.8|0.55|0.3|1|0.14|6.8|0.48|0.3|1|0.14|6.8|0.30000000000000004|0.3|1|0.14|6.8|0.16000000000000003|0.3|1|0.14|6.8|0.19999999999999996|0.23|1|0.14|6.8|0.21999999999999997|0.3|1|0.14|6.8|0.09999999999999998|0.3|1|0.14|6.8|0.25|0.3|1|0.14|6.8|0.12|0.064|1|0.14|6.8|0.12|0.3|1|0.14|6.8|0.41999999999999993|0.068|1|0.14|6.8|0.35|0.3|1|0.14|6.8|0.15000000000000002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1.08|1|0.8|1|0.08|1|0.8|1|0.07|1|0.8|1|0.04|1|0.8|1</x:v>
      </x:c>
    </x:row>
    <x:row r="474" ht="23" customHeight="1">
      <x:c r="A474" s="11" t="str">
        <x:v>688062.SH</x:v>
      </x:c>
      <x:c r="B474" s="11" t="str">
        <x:v>迈威生物</x:v>
      </x:c>
      <x:c r="C474" s="11" t="str">
        <x:v>2026年底</x:v>
      </x:c>
      <x:c r="D474" s="11" t="str">
        <x:v>乐观</x:v>
      </x:c>
      <x:c r="E474" s="11" t="n">
        <x:v>24.78</x:v>
      </x:c>
      <x:c r="F474" s="11" t="n">
        <x:v>40.15741539560886</x:v>
      </x:c>
      <x:c r="G474" s="11" t="n">
        <x:v>0</x:v>
      </x:c>
      <x:c r="H474" s="25" t="n">
        <x:v>0.6205575220181136</x:v>
      </x:c>
      <x:c r="I474" s="25" t="n">
        <x:v>0.6205575220181136</x:v>
      </x:c>
      <x:c r="J474" s="25" t="str"/>
      <x:c r="K474" s="11" t="n">
        <x:v>0</x:v>
      </x:c>
      <x:c r="L474" s="11" t="n">
        <x:v>0</x:v>
      </x:c>
      <x:c r="M474" s="11" t="n">
        <x:v>1</x:v>
      </x:c>
      <x:c r="N474" s="11" t="n">
        <x:v>0</x:v>
      </x:c>
      <x:c r="O474" s="11" t="n">
        <x:v>0</x:v>
      </x:c>
      <x:c r="P474" s="11" t="n">
        <x:v>0</x:v>
      </x:c>
      <x:c r="Q474" s="11" t="n">
        <x:v>0.45</x:v>
      </x:c>
      <x:c r="R474" s="11" t="str">
        <x:v>mabwell-rnpv-v1.1</x:v>
      </x:c>
      <x:c r="S474" s="11" t="str">
        <x:v>2026-10-10</x:v>
      </x:c>
      <x:c r="T474" s="11" t="str">
        <x:f>IF(AND(SUM(IF(K474='假设'!E630,0,1),IF(L474='假设'!F630,0,1),IF(M474='假设'!G630,0,1),IF(N474='假设'!H630,0,1),IF(O474='假设'!I630,0,1),IF(P474='假设'!J630,0,1),IF(Q474='假设'!K630,0,1))=0,U474=V474),"已刷新","待刷新")</x:f>
        <x:v>已刷新</x:v>
      </x:c>
      <x:c r="U474" t="str">
        <x:v>0.5|-1.35|2.5|0.98|0.3|1|0.11|6.8|1|0.10660000000000001|1|0.11|6.8|0.82|0.38|1|0.11|6.8|0.78|0.38|1|0.11|6.8|0.73|0.38|1|0.11|6.8|0.55|0.38|1|0.11|6.8|0.3400000000000001|0.38|1|0.11|6.8|0.38|0.3|1|0.11|6.8|0.41999999999999993|0.38|1|0.11|6.8|0.25|0.38|1|0.11|6.8|0.44999999999999996|0.38|1|0.11|6.8|0.28|0.0902|1|0.11|6.8|0.30000000000000004|0.38|1|0.11|6.8|0.65|0.08610000000000001|1|0.11|6.8|0.6|0.38|1|0.11|6.8|0.30000000000000004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  <x:c r="V474" t="str">
        <x:f>'假设'!U630&amp;"|"&amp;'假设'!N630&amp;"|"&amp;'假设'!Q630&amp;"|"&amp;'管线假设'!E1030&amp;"|"&amp;'管线假设'!F1030&amp;"|"&amp;'管线假设'!G1030&amp;"|"&amp;'管线假设'!H1030&amp;"|"&amp;'管线假设'!I1030&amp;"|"&amp;'管线假设'!E1034&amp;"|"&amp;'管线假设'!F1034&amp;"|"&amp;'管线假设'!G1034&amp;"|"&amp;'管线假设'!H1034&amp;"|"&amp;'管线假设'!I1034&amp;"|"&amp;'管线假设'!E1038&amp;"|"&amp;'管线假设'!F1038&amp;"|"&amp;'管线假设'!G1038&amp;"|"&amp;'管线假设'!H1038&amp;"|"&amp;'管线假设'!I1038&amp;"|"&amp;'管线假设'!E1042&amp;"|"&amp;'管线假设'!F1042&amp;"|"&amp;'管线假设'!G1042&amp;"|"&amp;'管线假设'!H1042&amp;"|"&amp;'管线假设'!I1042&amp;"|"&amp;'管线假设'!E1046&amp;"|"&amp;'管线假设'!F1046&amp;"|"&amp;'管线假设'!G1046&amp;"|"&amp;'管线假设'!H1046&amp;"|"&amp;'管线假设'!I1046&amp;"|"&amp;'管线假设'!E1050&amp;"|"&amp;'管线假设'!F1050&amp;"|"&amp;'管线假设'!G1050&amp;"|"&amp;'管线假设'!H1050&amp;"|"&amp;'管线假设'!I1050&amp;"|"&amp;'管线假设'!E1054&amp;"|"&amp;'管线假设'!F1054&amp;"|"&amp;'管线假设'!G1054&amp;"|"&amp;'管线假设'!H1054&amp;"|"&amp;'管线假设'!I1054&amp;"|"&amp;'管线假设'!E1058&amp;"|"&amp;'管线假设'!F1058&amp;"|"&amp;'管线假设'!G1058&amp;"|"&amp;'管线假设'!H1058&amp;"|"&amp;'管线假设'!I1058&amp;"|"&amp;'管线假设'!E1062&amp;"|"&amp;'管线假设'!F1062&amp;"|"&amp;'管线假设'!G1062&amp;"|"&amp;'管线假设'!H1062&amp;"|"&amp;'管线假设'!I1062&amp;"|"&amp;'管线假设'!E1066&amp;"|"&amp;'管线假设'!F1066&amp;"|"&amp;'管线假设'!G1066&amp;"|"&amp;'管线假设'!H1066&amp;"|"&amp;'管线假设'!I1066&amp;"|"&amp;'管线假设'!E1070&amp;"|"&amp;'管线假设'!F1070&amp;"|"&amp;'管线假设'!G1070&amp;"|"&amp;'管线假设'!H1070&amp;"|"&amp;'管线假设'!I1070&amp;"|"&amp;'管线假设'!E1074&amp;"|"&amp;'管线假设'!F1074&amp;"|"&amp;'管线假设'!G1074&amp;"|"&amp;'管线假设'!H1074&amp;"|"&amp;'管线假设'!I1074&amp;"|"&amp;'管线假设'!E1078&amp;"|"&amp;'管线假设'!F1078&amp;"|"&amp;'管线假设'!G1078&amp;"|"&amp;'管线假设'!H1078&amp;"|"&amp;'管线假设'!I1078&amp;"|"&amp;'管线假设'!E1082&amp;"|"&amp;'管线假设'!F1082&amp;"|"&amp;'管线假设'!G1082&amp;"|"&amp;'管线假设'!H1082&amp;"|"&amp;'管线假设'!I1082&amp;"|"&amp;'管线假设'!E1086&amp;"|"&amp;'管线假设'!F1086&amp;"|"&amp;'管线假设'!G1086&amp;"|"&amp;'管线假设'!H1086&amp;"|"&amp;'管线假设'!I1086&amp;"|"&amp;'管线假设'!E1090&amp;"|"&amp;'管线假设'!F1090&amp;"|"&amp;'管线假设'!G1090&amp;"|"&amp;'管线假设'!H1090&amp;"|"&amp;'管线假设'!I1090&amp;"|"&amp;'管线现金流'!J4767&amp;"|"&amp;'管线现金流'!AL4767&amp;"|"&amp;'管线现金流'!J4768&amp;"|"&amp;'管线现金流'!AL4768&amp;"|"&amp;'管线现金流'!J4769&amp;"|"&amp;'管线现金流'!AL4769&amp;"|"&amp;'管线现金流'!J4770&amp;"|"&amp;'管线现金流'!AL4770&amp;"|"&amp;'管线现金流'!J4771&amp;"|"&amp;'管线现金流'!AL4771&amp;"|"&amp;'管线现金流'!J4772&amp;"|"&amp;'管线现金流'!AL4772&amp;"|"&amp;'管线现金流'!J4773&amp;"|"&amp;'管线现金流'!AL4773&amp;"|"&amp;'管线现金流'!J4774&amp;"|"&amp;'管线现金流'!AL4774&amp;"|"&amp;'管线现金流'!J4775&amp;"|"&amp;'管线现金流'!AL4775&amp;"|"&amp;'管线现金流'!J4776&amp;"|"&amp;'管线现金流'!AL4776&amp;"|"&amp;'管线现金流'!J4777&amp;"|"&amp;'管线现金流'!AL4777&amp;"|"&amp;'管线现金流'!J4778&amp;"|"&amp;'管线现金流'!AL4778&amp;"|"&amp;'管线现金流'!J4779&amp;"|"&amp;'管线现金流'!AL4779&amp;"|"&amp;'管线现金流'!J4780&amp;"|"&amp;'管线现金流'!AL4780&amp;"|"&amp;'管线现金流'!J4781&amp;"|"&amp;'管线现金流'!AL4781&amp;"|"&amp;'管线现金流'!J4782&amp;"|"&amp;'管线现金流'!AL4782&amp;"|"&amp;'管线现金流'!J4783&amp;"|"&amp;'管线现金流'!AL4783&amp;"|"&amp;'管线现金流'!J4784&amp;"|"&amp;'管线现金流'!AL4784&amp;"|"&amp;'管线现金流'!J4785&amp;"|"&amp;'管线现金流'!AL4785&amp;"|"&amp;'管线现金流'!J4786&amp;"|"&amp;'管线现金流'!AL4786&amp;"|"&amp;'管线现金流'!J4787&amp;"|"&amp;'管线现金流'!AL4787&amp;"|"&amp;'管线现金流'!J4788&amp;"|"&amp;'管线现金流'!AL4788&amp;"|"&amp;'管线现金流'!J4789&amp;"|"&amp;'管线现金流'!AL4789&amp;"|"&amp;'管线现金流'!J4790&amp;"|"&amp;'管线现金流'!AL4790&amp;"|"&amp;'管线现金流'!J4791&amp;"|"&amp;'管线现金流'!AL4791&amp;"|"&amp;'管线现金流'!J4792&amp;"|"&amp;'管线现金流'!AL4792&amp;"|"&amp;'管线现金流'!J4793&amp;"|"&amp;'管线现金流'!AL4793&amp;"|"&amp;'管线现金流'!J4794&amp;"|"&amp;'管线现金流'!AL4794&amp;"|"&amp;'管线现金流'!J4795&amp;"|"&amp;'管线现金流'!AL4795&amp;"|"&amp;'管线现金流'!J4796&amp;"|"&amp;'管线现金流'!AL4796&amp;"|"&amp;'管线现金流'!J4797&amp;"|"&amp;'管线现金流'!AL4797&amp;"|"&amp;'管线现金流'!J4798&amp;"|"&amp;'管线现金流'!AL4798&amp;"|"&amp;'管线现金流'!J4799&amp;"|"&amp;'管线现金流'!AL4799&amp;"|"&amp;'管线现金流'!J4800&amp;"|"&amp;'管线现金流'!AL4800&amp;"|"&amp;'管线现金流'!J4801&amp;"|"&amp;'管线现金流'!AL4801&amp;"|"&amp;'管线现金流'!J4802&amp;"|"&amp;'管线现金流'!AL4802&amp;"|"&amp;'管线现金流'!J4803&amp;"|"&amp;'管线现金流'!AL4803&amp;"|"&amp;'管线现金流'!J4804&amp;"|"&amp;'管线现金流'!AL4804&amp;"|"&amp;'管线现金流'!J4805&amp;"|"&amp;'管线现金流'!AL4805&amp;"|"&amp;'管线现金流'!J4806&amp;"|"&amp;'管线现金流'!AL4806&amp;"|"&amp;'管线现金流'!J4807&amp;"|"&amp;'管线现金流'!AL4807&amp;"|"&amp;'管线现金流'!J4808&amp;"|"&amp;'管线现金流'!AL4808&amp;"|"&amp;'管线现金流'!J4809&amp;"|"&amp;'管线现金流'!AL4809&amp;"|"&amp;'管线现金流'!J4810&amp;"|"&amp;'管线现金流'!AL4810&amp;"|"&amp;'管线现金流'!J4811&amp;"|"&amp;'管线现金流'!AL4811&amp;"|"&amp;'管线现金流'!J4812&amp;"|"&amp;'管线现金流'!AL4812&amp;"|"&amp;'管线现金流'!J4813&amp;"|"&amp;'管线现金流'!AL4813&amp;"|"&amp;'管线现金流'!J4814&amp;"|"&amp;'管线现金流'!AL4814&amp;"|"&amp;'管线现金流'!J4815&amp;"|"&amp;'管线现金流'!AL4815&amp;"|"&amp;'管线现金流'!J4816&amp;"|"&amp;'管线现金流'!AL4816&amp;"|"&amp;'管线现金流'!J4817&amp;"|"&amp;'管线现金流'!AL4817&amp;"|"&amp;'管线现金流'!J4818&amp;"|"&amp;'管线现金流'!AL4818&amp;"|"&amp;'管线现金流'!J4819&amp;"|"&amp;'管线现金流'!AL4819&amp;"|"&amp;'管线现金流'!J4820&amp;"|"&amp;'管线现金流'!AL4820&amp;"|"&amp;'管线现金流'!J4821&amp;"|"&amp;'管线现金流'!AL4821&amp;"|"&amp;'管线现金流'!J4822&amp;"|"&amp;'管线现金流'!AL4822&amp;"|"&amp;'管线现金流'!J4823&amp;"|"&amp;'管线现金流'!AL4823&amp;"|"&amp;'管线现金流'!J4824&amp;"|"&amp;'管线现金流'!AL4824&amp;"|"&amp;'管线现金流'!J4825&amp;"|"&amp;'管线现金流'!AL4825&amp;"|"&amp;'管线现金流'!J4826&amp;"|"&amp;'管线现金流'!AL4826&amp;"|"&amp;'管线现金流'!J4827&amp;"|"&amp;'管线现金流'!AL4827&amp;"|"&amp;'管线现金流'!J4828&amp;"|"&amp;'管线现金流'!AL4828&amp;"|"&amp;'管线现金流'!J4829&amp;"|"&amp;'管线现金流'!AL4829&amp;"|"&amp;'管线现金流'!J4830&amp;"|"&amp;'管线现金流'!AL4830&amp;"|"&amp;'管线现金流'!J4831&amp;"|"&amp;'管线现金流'!AL4831&amp;"|"&amp;'管线现金流'!J4832&amp;"|"&amp;'管线现金流'!AL4832&amp;"|"&amp;'管线现金流'!J4833&amp;"|"&amp;'管线现金流'!AL4833&amp;"|"&amp;'管线现金流'!J4834&amp;"|"&amp;'管线现金流'!AL4834&amp;"|"&amp;'管线现金流'!J4835&amp;"|"&amp;'管线现金流'!AL4835&amp;"|"&amp;'管线现金流'!J4836&amp;"|"&amp;'管线现金流'!AL4836&amp;"|"&amp;'管线现金流'!J4837&amp;"|"&amp;'管线现金流'!AL4837&amp;"|"&amp;'管线现金流'!J4838&amp;"|"&amp;'管线现金流'!AL4838&amp;"|"&amp;'管线现金流'!J4839&amp;"|"&amp;'管线现金流'!AL4839&amp;"|"&amp;'管线现金流'!J4840&amp;"|"&amp;'管线现金流'!AL4840&amp;"|"&amp;'管线现金流'!J4841&amp;"|"&amp;'管线现金流'!AL4841&amp;"|"&amp;'管线现金流'!J4842&amp;"|"&amp;'管线现金流'!AL4842&amp;"|"&amp;'管线现金流'!J4843&amp;"|"&amp;'管线现金流'!AL4843&amp;"|"&amp;'管线现金流'!J4844&amp;"|"&amp;'管线现金流'!AL4844&amp;"|"&amp;'管线现金流'!J4845&amp;"|"&amp;'管线现金流'!AL4845&amp;"|"&amp;'管线现金流'!J4846&amp;"|"&amp;'管线现金流'!AL4846&amp;"|"&amp;'管线现金流'!J4847&amp;"|"&amp;'管线现金流'!AL4847&amp;"|"&amp;'管线现金流'!J4848&amp;"|"&amp;'管线现金流'!AL4848&amp;"|"&amp;'管线现金流'!J4849&amp;"|"&amp;'管线现金流'!AL4849&amp;"|"&amp;'管线现金流'!J4850&amp;"|"&amp;'管线现金流'!AL4850&amp;"|"&amp;'管线现金流'!J4851&amp;"|"&amp;'管线现金流'!AL4851&amp;"|"&amp;'管线现金流'!J4852&amp;"|"&amp;'管线现金流'!AL4852&amp;"|"&amp;'管线现金流'!J4853&amp;"|"&amp;'管线现金流'!AL4853&amp;"|"&amp;'管线现金流'!J4854&amp;"|"&amp;'管线现金流'!AL4854&amp;"|"&amp;'管线现金流'!J4855&amp;"|"&amp;'管线现金流'!AL4855&amp;"|"&amp;'管线现金流'!J4856&amp;"|"&amp;'管线现金流'!AL4856&amp;"|"&amp;'管线现金流'!J4857&amp;"|"&amp;'管线现金流'!AL4857&amp;"|"&amp;'管线现金流'!J4858&amp;"|"&amp;'管线现金流'!AL4858&amp;"|"&amp;'管线现金流'!J4859&amp;"|"&amp;'管线现金流'!AL4859&amp;"|"&amp;'管线现金流'!J4860&amp;"|"&amp;'管线现金流'!AL4860&amp;"|"&amp;'管线现金流'!J4861&amp;"|"&amp;'管线现金流'!AL4861&amp;"|"&amp;'管线现金流'!J4862&amp;"|"&amp;'管线现金流'!AL4862&amp;"|"&amp;'管线现金流'!J4863&amp;"|"&amp;'管线现金流'!AL4863&amp;"|"&amp;'管线现金流'!J4864&amp;"|"&amp;'管线现金流'!AL4864&amp;"|"&amp;'管线现金流'!J4865&amp;"|"&amp;'管线现金流'!AL4865&amp;"|"&amp;'管线现金流'!J4866&amp;"|"&amp;'管线现金流'!AL4866&amp;"|"&amp;'管线现金流'!J4867&amp;"|"&amp;'管线现金流'!AL4867&amp;"|"&amp;'管线现金流'!J4868&amp;"|"&amp;'管线现金流'!AL4868&amp;"|"&amp;'管线现金流'!J4869&amp;"|"&amp;'管线现金流'!AL4869&amp;"|"&amp;'管线现金流'!J4870&amp;"|"&amp;'管线现金流'!AL4870&amp;"|"&amp;'管线现金流'!J4871&amp;"|"&amp;'管线现金流'!AL4871&amp;"|"&amp;'管线现金流'!J4872&amp;"|"&amp;'管线现金流'!AL4872&amp;"|"&amp;'管线现金流'!J4873&amp;"|"&amp;'管线现金流'!AL4873&amp;"|"&amp;'管线现金流'!J4874&amp;"|"&amp;'管线现金流'!AL4874&amp;"|"&amp;'管线现金流'!J4875&amp;"|"&amp;'管线现金流'!AL4875&amp;"|"&amp;'管线现金流'!J4876&amp;"|"&amp;'管线现金流'!AL4876&amp;"|"&amp;'管线现金流'!J4877&amp;"|"&amp;'管线现金流'!AL4877&amp;"|"&amp;'管线现金流'!J4878&amp;"|"&amp;'管线现金流'!AL4878&amp;"|"&amp;'管线现金流'!J4879&amp;"|"&amp;'管线现金流'!AL4879&amp;"|"&amp;'管线现金流'!J4880&amp;"|"&amp;'管线现金流'!AL4880&amp;"|"&amp;'管线现金流'!J4881&amp;"|"&amp;'管线现金流'!AL4881&amp;"|"&amp;'管线现金流'!J4882&amp;"|"&amp;'管线现金流'!AL4882&amp;"|"&amp;'管线现金流'!J4883&amp;"|"&amp;'管线现金流'!AL4883&amp;"|"&amp;'管线现金流'!J4884&amp;"|"&amp;'管线现金流'!AL4884&amp;"|"&amp;'管线现金流'!J4885&amp;"|"&amp;'管线现金流'!AL4885&amp;"|"&amp;'管线现金流'!J4886&amp;"|"&amp;'管线现金流'!AL4886&amp;"|"&amp;'管线现金流'!J4887&amp;"|"&amp;'管线现金流'!AL4887&amp;"|"&amp;'管线现金流'!J4888&amp;"|"&amp;'管线现金流'!AL4888&amp;"|"&amp;'管线现金流'!J4889&amp;"|"&amp;'管线现金流'!AL4889&amp;"|"&amp;'管线现金流'!J4890&amp;"|"&amp;'管线现金流'!AL4890&amp;"|"&amp;'管线现金流'!J4891&amp;"|"&amp;'管线现金流'!AL4891&amp;"|"&amp;'管线现金流'!J4892&amp;"|"&amp;'管线现金流'!AL4892&amp;"|"&amp;'管线现金流'!J4893&amp;"|"&amp;'管线现金流'!AL4893&amp;"|"&amp;'管线现金流'!J4894&amp;"|"&amp;'管线现金流'!AL4894&amp;"|"&amp;'管线现金流'!J4895&amp;"|"&amp;'管线现金流'!AL4895&amp;"|"&amp;'管线现金流'!J4896&amp;"|"&amp;'管线现金流'!AL4896&amp;"|"&amp;'管线现金流'!J4897&amp;"|"&amp;'管线现金流'!AL4897&amp;"|"&amp;'管线现金流'!J4898&amp;"|"&amp;'管线现金流'!AL4898&amp;"|"&amp;'管线现金流'!J4899&amp;"|"&amp;'管线现金流'!AL4899&amp;"|"&amp;'管线现金流'!J4900&amp;"|"&amp;'管线现金流'!AL4900&amp;"|"&amp;'管线现金流'!J4901&amp;"|"&amp;'管线现金流'!AL4901&amp;"|"&amp;'管线现金流'!J4902&amp;"|"&amp;'管线现金流'!AL4902&amp;"|"&amp;'管线现金流'!J4903&amp;"|"&amp;'管线现金流'!AL4903&amp;"|"&amp;'管线现金流'!J4904&amp;"|"&amp;'管线现金流'!AL4904&amp;"|"&amp;'管线现金流'!J4905&amp;"|"&amp;'管线现金流'!AL4905&amp;"|"&amp;'管线现金流'!J4906&amp;"|"&amp;'管线现金流'!AL4906&amp;"|"&amp;'管线现金流'!J4907&amp;"|"&amp;'管线现金流'!AL4907&amp;"|"&amp;'管线现金流'!J4908&amp;"|"&amp;'管线现金流'!AL4908&amp;"|"&amp;'管线现金流'!J4909&amp;"|"&amp;'管线现金流'!AL4909&amp;"|"&amp;'管线现金流'!J4910&amp;"|"&amp;'管线现金流'!AL4910&amp;"|"&amp;'管线现金流'!J4911&amp;"|"&amp;'管线现金流'!AL4911&amp;"|"&amp;'管线现金流'!J4912&amp;"|"&amp;'管线现金流'!AL4912&amp;"|"&amp;'管线现金流'!J4913&amp;"|"&amp;'管线现金流'!AL4913&amp;"|"&amp;'管线现金流'!J4914&amp;"|"&amp;'管线现金流'!AL4914&amp;"|"&amp;'管线现金流'!J4915&amp;"|"&amp;'管线现金流'!AL4915&amp;"|"&amp;'管线现金流'!J4916&amp;"|"&amp;'管线现金流'!AL4916&amp;"|"&amp;'管线现金流'!J4917&amp;"|"&amp;'管线现金流'!AL4917&amp;"|"&amp;'管线现金流'!J4918&amp;"|"&amp;'管线现金流'!AL4918&amp;"|"&amp;'管线现金流'!J4919&amp;"|"&amp;'管线现金流'!AL4919&amp;"|"&amp;'管线现金流'!J4920&amp;"|"&amp;'管线现金流'!AL4920&amp;"|"&amp;'管线现金流'!J4921&amp;"|"&amp;'管线现金流'!AL4921&amp;"|"&amp;'管线现金流'!J4922&amp;"|"&amp;'管线现金流'!AL4922&amp;"|"&amp;'管线现金流'!J4923&amp;"|"&amp;'管线现金流'!AL4923&amp;"|"&amp;'管线现金流'!J4924&amp;"|"&amp;'管线现金流'!AL4924&amp;"|"&amp;'管线现金流'!J4925&amp;"|"&amp;'管线现金流'!AL4925&amp;"|"&amp;'管线现金流'!J4926&amp;"|"&amp;'管线现金流'!AL4926&amp;"|"&amp;'管线现金流'!J4927&amp;"|"&amp;'管线现金流'!AL4927&amp;"|"&amp;'管线现金流'!J4928&amp;"|"&amp;'管线现金流'!AL4928&amp;"|"&amp;'管线现金流'!J4929&amp;"|"&amp;'管线现金流'!AL4929&amp;"|"&amp;'管线现金流'!J4930&amp;"|"&amp;'管线现金流'!AL4930&amp;"|"&amp;'管线现金流'!J4931&amp;"|"&amp;'管线现金流'!AL4931&amp;"|"&amp;'管线现金流'!J4932&amp;"|"&amp;'管线现金流'!AL4932&amp;"|"&amp;'管线现金流'!J4933&amp;"|"&amp;'管线现金流'!AL4933&amp;"|"&amp;'管线现金流'!J4934&amp;"|"&amp;'管线现金流'!AL4934&amp;"|"&amp;'管线现金流'!J4935&amp;"|"&amp;'管线现金流'!AL4935&amp;"|"&amp;'管线现金流'!J4936&amp;"|"&amp;'管线现金流'!AL4936&amp;"|"&amp;'管线现金流'!J4937&amp;"|"&amp;'管线现金流'!AL4937&amp;"|"&amp;'管线现金流'!J4938&amp;"|"&amp;'管线现金流'!AL4938&amp;"|"&amp;'管线现金流'!J4939&amp;"|"&amp;'管线现金流'!AL4939&amp;"|"&amp;'管线现金流'!J4940&amp;"|"&amp;'管线现金流'!AL4940&amp;"|"&amp;'管线现金流'!J4941&amp;"|"&amp;'管线现金流'!AL4941&amp;"|"&amp;'管线现金流'!J4942&amp;"|"&amp;'管线现金流'!AL4942&amp;"|"&amp;'管线现金流'!J4943&amp;"|"&amp;'管线现金流'!AL4943&amp;"|"&amp;'管线现金流'!J4944&amp;"|"&amp;'管线现金流'!AL4944&amp;"|"&amp;'管线现金流'!J4945&amp;"|"&amp;'管线现金流'!AL4945&amp;"|"&amp;'管线现金流'!J4946&amp;"|"&amp;'管线现金流'!AL4946&amp;"|"&amp;'管线现金流'!J4947&amp;"|"&amp;'管线现金流'!AL4947&amp;"|"&amp;'管线现金流'!J4948&amp;"|"&amp;'管线现金流'!AL4948&amp;"|"&amp;'管线现金流'!J4949&amp;"|"&amp;'管线现金流'!AL4949&amp;"|"&amp;'管线现金流'!J4950&amp;"|"&amp;'管线现金流'!AL4950&amp;"|"&amp;'管线现金流'!J4951&amp;"|"&amp;'管线现金流'!AL4951&amp;"|"&amp;'管线现金流'!J4952&amp;"|"&amp;'管线现金流'!AL4952&amp;"|"&amp;'管线现金流'!J4953&amp;"|"&amp;'管线现金流'!AL4953&amp;"|"&amp;'管线现金流'!J4954&amp;"|"&amp;'管线现金流'!AL4954&amp;"|"&amp;'管线现金流'!J4955&amp;"|"&amp;'管线现金流'!AL4955&amp;"|"&amp;'管线现金流'!J4956&amp;"|"&amp;'管线现金流'!AL4956&amp;"|"&amp;'管线现金流'!J4957&amp;"|"&amp;'管线现金流'!AL4957&amp;"|"&amp;'管线现金流'!J4958&amp;"|"&amp;'管线现金流'!AL4958&amp;"|"&amp;'管线现金流'!J4959&amp;"|"&amp;'管线现金流'!AL4959&amp;"|"&amp;'管线现金流'!J4960&amp;"|"&amp;'管线现金流'!AL4960&amp;"|"&amp;'管线现金流'!J4961&amp;"|"&amp;'管线现金流'!AL4961&amp;"|"&amp;'管线现金流'!J4962&amp;"|"&amp;'管线现金流'!AL4962&amp;"|"&amp;'管线现金流'!J4963&amp;"|"&amp;'管线现金流'!AL4963&amp;"|"&amp;'管线现金流'!J4964&amp;"|"&amp;'管线现金流'!AL4964&amp;"|"&amp;'管线现金流'!J4965&amp;"|"&amp;'管线现金流'!AL4965&amp;"|"&amp;'管线现金流'!J4966&amp;"|"&amp;'管线现金流'!AL4966&amp;"|"&amp;'管线现金流'!J4967&amp;"|"&amp;'管线现金流'!AL4967&amp;"|"&amp;'管线现金流'!J4968&amp;"|"&amp;'管线现金流'!AL4968&amp;"|"&amp;'管线现金流'!J4969&amp;"|"&amp;'管线现金流'!AL4969&amp;"|"&amp;'管线现金流'!J4970&amp;"|"&amp;'管线现金流'!AL4970&amp;"|"&amp;'管线现金流'!J4971&amp;"|"&amp;'管线现金流'!AL4971&amp;"|"&amp;'管线现金流'!J4972&amp;"|"&amp;'管线现金流'!AL4972&amp;"|"&amp;'管线现金流'!J4973&amp;"|"&amp;'管线现金流'!AL4973&amp;"|"&amp;'管线现金流'!J4974&amp;"|"&amp;'管线现金流'!AL4974&amp;"|"&amp;'管线现金流'!J4975&amp;"|"&amp;'管线现金流'!AL4975&amp;"|"&amp;'管线现金流'!J4976&amp;"|"&amp;'管线现金流'!AL4976&amp;"|"&amp;'管线现金流'!J4977&amp;"|"&amp;'管线现金流'!AL4977&amp;"|"&amp;'管线现金流'!J4978&amp;"|"&amp;'管线现金流'!AL4978&amp;"|"&amp;'管线现金流'!J4979&amp;"|"&amp;'管线现金流'!AL4979&amp;"|"&amp;'管线现金流'!J4980&amp;"|"&amp;'管线现金流'!AL4980&amp;"|"&amp;'管线现金流'!J4981&amp;"|"&amp;'管线现金流'!AL4981&amp;"|"&amp;'管线现金流'!J4982&amp;"|"&amp;'管线现金流'!AL4982&amp;"|"&amp;'管线现金流'!J4983&amp;"|"&amp;'管线现金流'!AL4983&amp;"|"&amp;'管线现金流'!J4984&amp;"|"&amp;'管线现金流'!AL4984&amp;"|"&amp;'管线现金流'!J4985&amp;"|"&amp;'管线现金流'!AL4985&amp;"|"&amp;'管线现金流'!J4986&amp;"|"&amp;'管线现金流'!AL4986&amp;"|"&amp;'管线现金流'!J4987&amp;"|"&amp;'管线现金流'!AL4987&amp;"|"&amp;'管线现金流'!J4988&amp;"|"&amp;'管线现金流'!AL4988&amp;"|"&amp;'管线现金流'!J4989&amp;"|"&amp;'管线现金流'!AL4989&amp;"|"&amp;'管线现金流'!J4990&amp;"|"&amp;'管线现金流'!AL4990&amp;"|"&amp;'管线现金流'!J4991&amp;"|"&amp;'管线现金流'!AL4991&amp;"|"&amp;'管线现金流'!J4992&amp;"|"&amp;'管线现金流'!AL4992&amp;"|"&amp;'管线现金流'!J4993&amp;"|"&amp;'管线现金流'!AL4993&amp;"|"&amp;'管线现金流'!J4994&amp;"|"&amp;'管线现金流'!AL4994&amp;"|"&amp;'管线现金流'!J4995&amp;"|"&amp;'管线现金流'!AL4995&amp;"|"&amp;'管线现金流'!J4996&amp;"|"&amp;'管线现金流'!AL4996&amp;"|"&amp;'管线现金流'!J4997&amp;"|"&amp;'管线现金流'!AL4997&amp;"|"&amp;'管线现金流'!J4998&amp;"|"&amp;'管线现金流'!AL4998&amp;"|"&amp;'管线现金流'!J4999&amp;"|"&amp;'管线现金流'!AL4999&amp;"|"&amp;'管线现金流'!J5000&amp;"|"&amp;'管线现金流'!AL5000&amp;"|"&amp;'管线现金流'!J5001&amp;"|"&amp;'管线现金流'!AL5001&amp;"|"&amp;'管线现金流'!J5002&amp;"|"&amp;'管线现金流'!AL5002&amp;"|"&amp;'管线现金流'!J5003&amp;"|"&amp;'管线现金流'!AL5003&amp;"|"&amp;'管线现金流'!J5004&amp;"|"&amp;'管线现金流'!AL5004&amp;"|"&amp;'管线现金流'!J5005&amp;"|"&amp;'管线现金流'!AL5005&amp;"|"&amp;'管线现金流'!J5006&amp;"|"&amp;'管线现金流'!AL5006&amp;"|"&amp;'管线现金流'!J5007&amp;"|"&amp;'管线现金流'!AL5007&amp;"|"&amp;'管线现金流'!J5008&amp;"|"&amp;'管线现金流'!AL5008&amp;"|"&amp;'管线现金流'!J5009&amp;"|"&amp;'管线现金流'!AL5009&amp;"|"&amp;'管线现金流'!J5010&amp;"|"&amp;'管线现金流'!AL5010&amp;"|"&amp;'管线现金流'!J5011&amp;"|"&amp;'管线现金流'!AL5011&amp;"|"&amp;'管线现金流'!J5012&amp;"|"&amp;'管线现金流'!AL5012&amp;"|"&amp;'管线现金流'!J5013&amp;"|"&amp;'管线现金流'!AL5013&amp;"|"&amp;'管线现金流'!J5014&amp;"|"&amp;'管线现金流'!AL5014&amp;"|"&amp;'管线现金流'!J5015&amp;"|"&amp;'管线现金流'!AL5015&amp;"|"&amp;'管线现金流'!J5016&amp;"|"&amp;'管线现金流'!AL5016&amp;"|"&amp;'管线现金流'!J5017&amp;"|"&amp;'管线现金流'!AL5017&amp;"|"&amp;'管线现金流'!J5018&amp;"|"&amp;'管线现金流'!AL5018&amp;"|"&amp;'管线现金流'!J5019&amp;"|"&amp;'管线现金流'!AL5019&amp;"|"&amp;'管线现金流'!J5020&amp;"|"&amp;'管线现金流'!AL5020&amp;"|"&amp;'管线现金流'!J5021&amp;"|"&amp;'管线现金流'!AL5021&amp;"|"&amp;'管线现金流'!J5022&amp;"|"&amp;'管线现金流'!AL5022&amp;"|"&amp;'管线现金流'!J5023&amp;"|"&amp;'管线现金流'!AL5023&amp;"|"&amp;'管线现金流'!J5024&amp;"|"&amp;'管线现金流'!AL5024&amp;"|"&amp;'管线现金流'!J5025&amp;"|"&amp;'管线现金流'!AL5025&amp;"|"&amp;'管线现金流'!J5026&amp;"|"&amp;'管线现金流'!AL5026&amp;"|"&amp;'管线现金流'!J5027&amp;"|"&amp;'管线现金流'!AL5027&amp;"|"&amp;'管线现金流'!J5028&amp;"|"&amp;'管线现金流'!AL5028&amp;"|"&amp;'管线现金流'!J5029&amp;"|"&amp;'管线现金流'!AL5029&amp;"|"&amp;'管线现金流'!J5030&amp;"|"&amp;'管线现金流'!AL5030&amp;"|"&amp;'管线现金流'!J5031&amp;"|"&amp;'管线现金流'!AL5031&amp;"|"&amp;'管线现金流'!J5032&amp;"|"&amp;'管线现金流'!AL5032&amp;"|"&amp;'管线现金流'!J5033&amp;"|"&amp;'管线现金流'!AL5033&amp;"|"&amp;'管线现金流'!J5034&amp;"|"&amp;'管线现金流'!AL5034&amp;"|"&amp;'管线现金流'!J5035&amp;"|"&amp;'管线现金流'!AL5035&amp;"|"&amp;'管线现金流'!J5036&amp;"|"&amp;'管线现金流'!AL5036&amp;"|"&amp;'管线现金流'!J5037&amp;"|"&amp;'管线现金流'!AL5037&amp;"|"&amp;'管线现金流'!J5038&amp;"|"&amp;'管线现金流'!AL5038&amp;"|"&amp;'管线现金流'!J5039&amp;"|"&amp;'管线现金流'!AL5039&amp;"|"&amp;'管线现金流'!J5040&amp;"|"&amp;'管线现金流'!AL5040&amp;"|"&amp;'管线现金流'!J5041&amp;"|"&amp;'管线现金流'!AL5041&amp;"|"&amp;'管线现金流'!J5042&amp;"|"&amp;'管线现金流'!AL5042&amp;"|"&amp;'管线现金流'!J5043&amp;"|"&amp;'管线现金流'!AL5043&amp;"|"&amp;'管线现金流'!J5044&amp;"|"&amp;'管线现金流'!AL5044&amp;"|"&amp;'管线现金流'!J5045&amp;"|"&amp;'管线现金流'!AL5045&amp;"|"&amp;'管线现金流'!J5046&amp;"|"&amp;'管线现金流'!AL5046&amp;"|"&amp;'管线现金流'!J5047&amp;"|"&amp;'管线现金流'!AL5047&amp;"|"&amp;'管线现金流'!J5048&amp;"|"&amp;'管线现金流'!AL5048&amp;"|"&amp;'管线现金流'!J5049&amp;"|"&amp;'管线现金流'!AL5049&amp;"|"&amp;'管线现金流'!J5050&amp;"|"&amp;'管线现金流'!AL5050&amp;"|"&amp;'管线现金流'!J5051&amp;"|"&amp;'管线现金流'!AL5051&amp;"|"&amp;'管线现金流'!J5052&amp;"|"&amp;'管线现金流'!AL5052&amp;"|"&amp;'管线现金流'!J5053&amp;"|"&amp;'管线现金流'!AL5053&amp;"|"&amp;'管线现金流'!J5054&amp;"|"&amp;'管线现金流'!AL5054&amp;"|"&amp;'管线现金流'!J5055&amp;"|"&amp;'管线现金流'!AL5055&amp;"|"&amp;'管线现金流'!J5056&amp;"|"&amp;'管线现金流'!AL5056&amp;"|"&amp;'管线现金流'!J5057&amp;"|"&amp;'管线现金流'!AL5057&amp;"|"&amp;'管线现金流'!J5058&amp;"|"&amp;'管线现金流'!AL5058&amp;"|"&amp;'管线现金流'!J5059&amp;"|"&amp;'管线现金流'!AL5059&amp;"|"&amp;'管线现金流'!J5060&amp;"|"&amp;'管线现金流'!AL5060&amp;"|"&amp;'管线现金流'!J5061&amp;"|"&amp;'管线现金流'!AL5061&amp;"|"&amp;'管线现金流'!J5062&amp;"|"&amp;'管线现金流'!AL5062&amp;"|"&amp;'管线现金流'!J5063&amp;"|"&amp;'管线现金流'!AL5063&amp;"|"&amp;'管线现金流'!J5064&amp;"|"&amp;'管线现金流'!AL5064&amp;"|"&amp;'管线现金流'!J5065&amp;"|"&amp;'管线现金流'!AL5065&amp;"|"&amp;'管线现金流'!J5066&amp;"|"&amp;'管线现金流'!AL5066&amp;"|"&amp;'管线现金流'!J5067&amp;"|"&amp;'管线现金流'!AL5067&amp;"|"&amp;'管线现金流'!J5068&amp;"|"&amp;'管线现金流'!AL5068&amp;"|"&amp;'管线现金流'!J5069&amp;"|"&amp;'管线现金流'!AL5069&amp;"|"&amp;'管线现金流'!J5070&amp;"|"&amp;'管线现金流'!AL5070&amp;"|"&amp;'管线现金流'!W82&amp;"|"&amp;'管线现金流'!Z82&amp;"|"&amp;'管线现金流'!AQ82&amp;"|"&amp;'管线现金流'!AT82&amp;"|"&amp;'管线现金流'!W83&amp;"|"&amp;'管线现金流'!Z83&amp;"|"&amp;'管线现金流'!AQ83&amp;"|"&amp;'管线现金流'!AT83&amp;"|"&amp;'管线现金流'!W84&amp;"|"&amp;'管线现金流'!Z84&amp;"|"&amp;'管线现金流'!AQ84&amp;"|"&amp;'管线现金流'!AT84&amp;"|"&amp;'管线现金流'!W85&amp;"|"&amp;'管线现金流'!Z85&amp;"|"&amp;'管线现金流'!AQ85&amp;"|"&amp;'管线现金流'!AT85</x:f>
        <x:v>0.5|-1.35|2.5|0.98|0.3|1|0.11|6.8|1|0.10660000000000001|1|0.11|6.8|0.82|0.38|1|0.11|6.8|0.78|0.38|1|0.11|6.8|0.73|0.38|1|0.11|6.8|0.55|0.38|1|0.11|6.8|0.3400000000000001|0.38|1|0.11|6.8|0.38|0.3|1|0.11|6.8|0.41999999999999993|0.38|1|0.11|6.8|0.25|0.38|1|0.11|6.8|0.44999999999999996|0.38|1|0.11|6.8|0.28|0.0902|1|0.11|6.8|0.30000000000000004|0.38|1|0.11|6.8|0.65|0.08610000000000001|1|0.11|6.8|0.6|0.38|1|0.11|6.8|0.30000000000000004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</x:row>
    <x:row r="475" ht="23" customHeight="1">
      <x:c r="A475" s="11" t="str">
        <x:v>688062.SH</x:v>
      </x:c>
      <x:c r="B475" s="11" t="str">
        <x:v>迈威生物</x:v>
      </x:c>
      <x:c r="C475" s="11" t="str">
        <x:v>半年</x:v>
      </x:c>
      <x:c r="D475" s="11" t="str">
        <x:v>悲观</x:v>
      </x:c>
      <x:c r="E475" s="11" t="n">
        <x:v>24.78</x:v>
      </x:c>
      <x:c r="F475" s="11" t="n">
        <x:v>8.672999999999998</x:v>
      </x:c>
      <x:c r="G475" s="11" t="n">
        <x:v>0</x:v>
      </x:c>
      <x:c r="H475" s="25" t="n">
        <x:v>-0.6500000000000001</x:v>
      </x:c>
      <x:c r="I475" s="25" t="n">
        <x:v>-0.6500000000000001</x:v>
      </x:c>
      <x:c r="J475" s="25" t="str"/>
      <x:c r="K475" s="11" t="n">
        <x:v>0</x:v>
      </x:c>
      <x:c r="L475" s="11" t="n">
        <x:v>0</x:v>
      </x:c>
      <x:c r="M475" s="11" t="n">
        <x:v>1</x:v>
      </x:c>
      <x:c r="N475" s="11" t="n">
        <x:v>0</x:v>
      </x:c>
      <x:c r="O475" s="11" t="n">
        <x:v>0</x:v>
      </x:c>
      <x:c r="P475" s="11" t="n">
        <x:v>0</x:v>
      </x:c>
      <x:c r="Q475" s="11" t="n">
        <x:v>0.49</x:v>
      </x:c>
      <x:c r="R475" s="11" t="str">
        <x:v>mabwell-rnpv-v1.1</x:v>
      </x:c>
      <x:c r="S475" s="11" t="str">
        <x:v>2026-10-10</x:v>
      </x:c>
      <x:c r="T475" s="11" t="str">
        <x:f>IF(AND(SUM(IF(K475='假设'!E632,0,1),IF(L475='假设'!F632,0,1),IF(M475='假设'!G632,0,1),IF(N475='假设'!H632,0,1),IF(O475='假设'!I632,0,1),IF(P475='假设'!J632,0,1),IF(Q475='假设'!K632,0,1))=0,U475=V475),"已刷新","待刷新")</x:f>
        <x:v>已刷新</x:v>
      </x:c>
      <x:c r="U475" t="str">
        <x:v>0.65|-2.1|2.7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  <x:c r="V475" t="str">
        <x:f>'假设'!U632&amp;"|"&amp;'假设'!N632&amp;"|"&amp;'假设'!Q632&amp;"|"&amp;'管线假设'!E1092&amp;"|"&amp;'管线假设'!F1092&amp;"|"&amp;'管线假设'!G1092&amp;"|"&amp;'管线假设'!H1092&amp;"|"&amp;'管线假设'!I1092&amp;"|"&amp;'管线假设'!E1096&amp;"|"&amp;'管线假设'!F1096&amp;"|"&amp;'管线假设'!G1096&amp;"|"&amp;'管线假设'!H1096&amp;"|"&amp;'管线假设'!I1096&amp;"|"&amp;'管线假设'!E1100&amp;"|"&amp;'管线假设'!F1100&amp;"|"&amp;'管线假设'!G1100&amp;"|"&amp;'管线假设'!H1100&amp;"|"&amp;'管线假设'!I1100&amp;"|"&amp;'管线假设'!E1104&amp;"|"&amp;'管线假设'!F1104&amp;"|"&amp;'管线假设'!G1104&amp;"|"&amp;'管线假设'!H1104&amp;"|"&amp;'管线假设'!I1104&amp;"|"&amp;'管线假设'!E1108&amp;"|"&amp;'管线假设'!F1108&amp;"|"&amp;'管线假设'!G1108&amp;"|"&amp;'管线假设'!H1108&amp;"|"&amp;'管线假设'!I1108&amp;"|"&amp;'管线假设'!E1112&amp;"|"&amp;'管线假设'!F1112&amp;"|"&amp;'管线假设'!G1112&amp;"|"&amp;'管线假设'!H1112&amp;"|"&amp;'管线假设'!I1112&amp;"|"&amp;'管线假设'!E1116&amp;"|"&amp;'管线假设'!F1116&amp;"|"&amp;'管线假设'!G1116&amp;"|"&amp;'管线假设'!H1116&amp;"|"&amp;'管线假设'!I1116&amp;"|"&amp;'管线假设'!E1120&amp;"|"&amp;'管线假设'!F1120&amp;"|"&amp;'管线假设'!G1120&amp;"|"&amp;'管线假设'!H1120&amp;"|"&amp;'管线假设'!I1120&amp;"|"&amp;'管线假设'!E1124&amp;"|"&amp;'管线假设'!F1124&amp;"|"&amp;'管线假设'!G1124&amp;"|"&amp;'管线假设'!H1124&amp;"|"&amp;'管线假设'!I1124&amp;"|"&amp;'管线假设'!E1128&amp;"|"&amp;'管线假设'!F1128&amp;"|"&amp;'管线假设'!G1128&amp;"|"&amp;'管线假设'!H1128&amp;"|"&amp;'管线假设'!I1128&amp;"|"&amp;'管线假设'!E1132&amp;"|"&amp;'管线假设'!F1132&amp;"|"&amp;'管线假设'!G1132&amp;"|"&amp;'管线假设'!H1132&amp;"|"&amp;'管线假设'!I1132&amp;"|"&amp;'管线假设'!E1136&amp;"|"&amp;'管线假设'!F1136&amp;"|"&amp;'管线假设'!G1136&amp;"|"&amp;'管线假设'!H1136&amp;"|"&amp;'管线假设'!I1136&amp;"|"&amp;'管线假设'!E1140&amp;"|"&amp;'管线假设'!F1140&amp;"|"&amp;'管线假设'!G1140&amp;"|"&amp;'管线假设'!H1140&amp;"|"&amp;'管线假设'!I1140&amp;"|"&amp;'管线假设'!E1144&amp;"|"&amp;'管线假设'!F1144&amp;"|"&amp;'管线假设'!G1144&amp;"|"&amp;'管线假设'!H1144&amp;"|"&amp;'管线假设'!I1144&amp;"|"&amp;'管线假设'!E1148&amp;"|"&amp;'管线假设'!F1148&amp;"|"&amp;'管线假设'!G1148&amp;"|"&amp;'管线假设'!H1148&amp;"|"&amp;'管线假设'!I1148&amp;"|"&amp;'管线假设'!E1152&amp;"|"&amp;'管线假设'!F1152&amp;"|"&amp;'管线假设'!G1152&amp;"|"&amp;'管线假设'!H1152&amp;"|"&amp;'管线假设'!I1152&amp;"|"&amp;'管线现金流'!H5071&amp;"|"&amp;'管线现金流'!AJ5071&amp;"|"&amp;'管线现金流'!H5072&amp;"|"&amp;'管线现金流'!AJ5072&amp;"|"&amp;'管线现金流'!H5073&amp;"|"&amp;'管线现金流'!AJ5073&amp;"|"&amp;'管线现金流'!H5074&amp;"|"&amp;'管线现金流'!AJ5074&amp;"|"&amp;'管线现金流'!H5075&amp;"|"&amp;'管线现金流'!AJ5075&amp;"|"&amp;'管线现金流'!H5076&amp;"|"&amp;'管线现金流'!AJ5076&amp;"|"&amp;'管线现金流'!H5077&amp;"|"&amp;'管线现金流'!AJ5077&amp;"|"&amp;'管线现金流'!H5078&amp;"|"&amp;'管线现金流'!AJ5078&amp;"|"&amp;'管线现金流'!H5079&amp;"|"&amp;'管线现金流'!AJ5079&amp;"|"&amp;'管线现金流'!H5080&amp;"|"&amp;'管线现金流'!AJ5080&amp;"|"&amp;'管线现金流'!H5081&amp;"|"&amp;'管线现金流'!AJ5081&amp;"|"&amp;'管线现金流'!H5082&amp;"|"&amp;'管线现金流'!AJ5082&amp;"|"&amp;'管线现金流'!H5083&amp;"|"&amp;'管线现金流'!AJ5083&amp;"|"&amp;'管线现金流'!H5084&amp;"|"&amp;'管线现金流'!AJ5084&amp;"|"&amp;'管线现金流'!H5085&amp;"|"&amp;'管线现金流'!AJ5085&amp;"|"&amp;'管线现金流'!H5086&amp;"|"&amp;'管线现金流'!AJ5086&amp;"|"&amp;'管线现金流'!H5087&amp;"|"&amp;'管线现金流'!AJ5087&amp;"|"&amp;'管线现金流'!H5088&amp;"|"&amp;'管线现金流'!AJ5088&amp;"|"&amp;'管线现金流'!H5089&amp;"|"&amp;'管线现金流'!AJ5089&amp;"|"&amp;'管线现金流'!H5090&amp;"|"&amp;'管线现金流'!AJ5090&amp;"|"&amp;'管线现金流'!H5091&amp;"|"&amp;'管线现金流'!AJ5091&amp;"|"&amp;'管线现金流'!H5092&amp;"|"&amp;'管线现金流'!AJ5092&amp;"|"&amp;'管线现金流'!H5093&amp;"|"&amp;'管线现金流'!AJ5093&amp;"|"&amp;'管线现金流'!H5094&amp;"|"&amp;'管线现金流'!AJ5094&amp;"|"&amp;'管线现金流'!H5095&amp;"|"&amp;'管线现金流'!AJ5095&amp;"|"&amp;'管线现金流'!H5096&amp;"|"&amp;'管线现金流'!AJ5096&amp;"|"&amp;'管线现金流'!H5097&amp;"|"&amp;'管线现金流'!AJ5097&amp;"|"&amp;'管线现金流'!H5098&amp;"|"&amp;'管线现金流'!AJ5098&amp;"|"&amp;'管线现金流'!H5099&amp;"|"&amp;'管线现金流'!AJ5099&amp;"|"&amp;'管线现金流'!H5100&amp;"|"&amp;'管线现金流'!AJ5100&amp;"|"&amp;'管线现金流'!H5101&amp;"|"&amp;'管线现金流'!AJ5101&amp;"|"&amp;'管线现金流'!H5102&amp;"|"&amp;'管线现金流'!AJ5102&amp;"|"&amp;'管线现金流'!H5103&amp;"|"&amp;'管线现金流'!AJ5103&amp;"|"&amp;'管线现金流'!H5104&amp;"|"&amp;'管线现金流'!AJ5104&amp;"|"&amp;'管线现金流'!H5105&amp;"|"&amp;'管线现金流'!AJ5105&amp;"|"&amp;'管线现金流'!H5106&amp;"|"&amp;'管线现金流'!AJ5106&amp;"|"&amp;'管线现金流'!H5107&amp;"|"&amp;'管线现金流'!AJ5107&amp;"|"&amp;'管线现金流'!H5108&amp;"|"&amp;'管线现金流'!AJ5108&amp;"|"&amp;'管线现金流'!H5109&amp;"|"&amp;'管线现金流'!AJ5109&amp;"|"&amp;'管线现金流'!H5110&amp;"|"&amp;'管线现金流'!AJ5110&amp;"|"&amp;'管线现金流'!H5111&amp;"|"&amp;'管线现金流'!AJ5111&amp;"|"&amp;'管线现金流'!H5112&amp;"|"&amp;'管线现金流'!AJ5112&amp;"|"&amp;'管线现金流'!H5113&amp;"|"&amp;'管线现金流'!AJ5113&amp;"|"&amp;'管线现金流'!H5114&amp;"|"&amp;'管线现金流'!AJ5114&amp;"|"&amp;'管线现金流'!H5115&amp;"|"&amp;'管线现金流'!AJ5115&amp;"|"&amp;'管线现金流'!H5116&amp;"|"&amp;'管线现金流'!AJ5116&amp;"|"&amp;'管线现金流'!H5117&amp;"|"&amp;'管线现金流'!AJ5117&amp;"|"&amp;'管线现金流'!H5118&amp;"|"&amp;'管线现金流'!AJ5118&amp;"|"&amp;'管线现金流'!H5119&amp;"|"&amp;'管线现金流'!AJ5119&amp;"|"&amp;'管线现金流'!H5120&amp;"|"&amp;'管线现金流'!AJ5120&amp;"|"&amp;'管线现金流'!H5121&amp;"|"&amp;'管线现金流'!AJ5121&amp;"|"&amp;'管线现金流'!H5122&amp;"|"&amp;'管线现金流'!AJ5122&amp;"|"&amp;'管线现金流'!H5123&amp;"|"&amp;'管线现金流'!AJ5123&amp;"|"&amp;'管线现金流'!H5124&amp;"|"&amp;'管线现金流'!AJ5124&amp;"|"&amp;'管线现金流'!H5125&amp;"|"&amp;'管线现金流'!AJ5125&amp;"|"&amp;'管线现金流'!H5126&amp;"|"&amp;'管线现金流'!AJ5126&amp;"|"&amp;'管线现金流'!H5127&amp;"|"&amp;'管线现金流'!AJ5127&amp;"|"&amp;'管线现金流'!H5128&amp;"|"&amp;'管线现金流'!AJ5128&amp;"|"&amp;'管线现金流'!H5129&amp;"|"&amp;'管线现金流'!AJ5129&amp;"|"&amp;'管线现金流'!H5130&amp;"|"&amp;'管线现金流'!AJ5130&amp;"|"&amp;'管线现金流'!H5131&amp;"|"&amp;'管线现金流'!AJ5131&amp;"|"&amp;'管线现金流'!H5132&amp;"|"&amp;'管线现金流'!AJ5132&amp;"|"&amp;'管线现金流'!H5133&amp;"|"&amp;'管线现金流'!AJ5133&amp;"|"&amp;'管线现金流'!H5134&amp;"|"&amp;'管线现金流'!AJ5134&amp;"|"&amp;'管线现金流'!H5135&amp;"|"&amp;'管线现金流'!AJ5135&amp;"|"&amp;'管线现金流'!H5136&amp;"|"&amp;'管线现金流'!AJ5136&amp;"|"&amp;'管线现金流'!H5137&amp;"|"&amp;'管线现金流'!AJ5137&amp;"|"&amp;'管线现金流'!H5138&amp;"|"&amp;'管线现金流'!AJ5138&amp;"|"&amp;'管线现金流'!H5139&amp;"|"&amp;'管线现金流'!AJ5139&amp;"|"&amp;'管线现金流'!H5140&amp;"|"&amp;'管线现金流'!AJ5140&amp;"|"&amp;'管线现金流'!H5141&amp;"|"&amp;'管线现金流'!AJ5141&amp;"|"&amp;'管线现金流'!H5142&amp;"|"&amp;'管线现金流'!AJ5142&amp;"|"&amp;'管线现金流'!H5143&amp;"|"&amp;'管线现金流'!AJ5143&amp;"|"&amp;'管线现金流'!H5144&amp;"|"&amp;'管线现金流'!AJ5144&amp;"|"&amp;'管线现金流'!H5145&amp;"|"&amp;'管线现金流'!AJ5145&amp;"|"&amp;'管线现金流'!H5146&amp;"|"&amp;'管线现金流'!AJ5146&amp;"|"&amp;'管线现金流'!H5147&amp;"|"&amp;'管线现金流'!AJ5147&amp;"|"&amp;'管线现金流'!H5148&amp;"|"&amp;'管线现金流'!AJ5148&amp;"|"&amp;'管线现金流'!H5149&amp;"|"&amp;'管线现金流'!AJ5149&amp;"|"&amp;'管线现金流'!H5150&amp;"|"&amp;'管线现金流'!AJ5150&amp;"|"&amp;'管线现金流'!H5151&amp;"|"&amp;'管线现金流'!AJ5151&amp;"|"&amp;'管线现金流'!H5152&amp;"|"&amp;'管线现金流'!AJ5152&amp;"|"&amp;'管线现金流'!H5153&amp;"|"&amp;'管线现金流'!AJ5153&amp;"|"&amp;'管线现金流'!H5154&amp;"|"&amp;'管线现金流'!AJ5154&amp;"|"&amp;'管线现金流'!H5155&amp;"|"&amp;'管线现金流'!AJ5155&amp;"|"&amp;'管线现金流'!H5156&amp;"|"&amp;'管线现金流'!AJ5156&amp;"|"&amp;'管线现金流'!H5157&amp;"|"&amp;'管线现金流'!AJ5157&amp;"|"&amp;'管线现金流'!H5158&amp;"|"&amp;'管线现金流'!AJ5158&amp;"|"&amp;'管线现金流'!H5159&amp;"|"&amp;'管线现金流'!AJ5159&amp;"|"&amp;'管线现金流'!H5160&amp;"|"&amp;'管线现金流'!AJ5160&amp;"|"&amp;'管线现金流'!H5161&amp;"|"&amp;'管线现金流'!AJ5161&amp;"|"&amp;'管线现金流'!H5162&amp;"|"&amp;'管线现金流'!AJ5162&amp;"|"&amp;'管线现金流'!H5163&amp;"|"&amp;'管线现金流'!AJ5163&amp;"|"&amp;'管线现金流'!H5164&amp;"|"&amp;'管线现金流'!AJ5164&amp;"|"&amp;'管线现金流'!H5165&amp;"|"&amp;'管线现金流'!AJ5165&amp;"|"&amp;'管线现金流'!H5166&amp;"|"&amp;'管线现金流'!AJ5166&amp;"|"&amp;'管线现金流'!H5167&amp;"|"&amp;'管线现金流'!AJ5167&amp;"|"&amp;'管线现金流'!H5168&amp;"|"&amp;'管线现金流'!AJ5168&amp;"|"&amp;'管线现金流'!H5169&amp;"|"&amp;'管线现金流'!AJ5169&amp;"|"&amp;'管线现金流'!H5170&amp;"|"&amp;'管线现金流'!AJ5170&amp;"|"&amp;'管线现金流'!H5171&amp;"|"&amp;'管线现金流'!AJ5171&amp;"|"&amp;'管线现金流'!H5172&amp;"|"&amp;'管线现金流'!AJ5172&amp;"|"&amp;'管线现金流'!H5173&amp;"|"&amp;'管线现金流'!AJ5173&amp;"|"&amp;'管线现金流'!H5174&amp;"|"&amp;'管线现金流'!AJ5174&amp;"|"&amp;'管线现金流'!H5175&amp;"|"&amp;'管线现金流'!AJ5175&amp;"|"&amp;'管线现金流'!H5176&amp;"|"&amp;'管线现金流'!AJ5176&amp;"|"&amp;'管线现金流'!H5177&amp;"|"&amp;'管线现金流'!AJ5177&amp;"|"&amp;'管线现金流'!H5178&amp;"|"&amp;'管线现金流'!AJ5178&amp;"|"&amp;'管线现金流'!H5179&amp;"|"&amp;'管线现金流'!AJ5179&amp;"|"&amp;'管线现金流'!H5180&amp;"|"&amp;'管线现金流'!AJ5180&amp;"|"&amp;'管线现金流'!H5181&amp;"|"&amp;'管线现金流'!AJ5181&amp;"|"&amp;'管线现金流'!H5182&amp;"|"&amp;'管线现金流'!AJ5182&amp;"|"&amp;'管线现金流'!H5183&amp;"|"&amp;'管线现金流'!AJ5183&amp;"|"&amp;'管线现金流'!H5184&amp;"|"&amp;'管线现金流'!AJ5184&amp;"|"&amp;'管线现金流'!H5185&amp;"|"&amp;'管线现金流'!AJ5185&amp;"|"&amp;'管线现金流'!H5186&amp;"|"&amp;'管线现金流'!AJ5186&amp;"|"&amp;'管线现金流'!H5187&amp;"|"&amp;'管线现金流'!AJ5187&amp;"|"&amp;'管线现金流'!H5188&amp;"|"&amp;'管线现金流'!AJ5188&amp;"|"&amp;'管线现金流'!H5189&amp;"|"&amp;'管线现金流'!AJ5189&amp;"|"&amp;'管线现金流'!H5190&amp;"|"&amp;'管线现金流'!AJ5190&amp;"|"&amp;'管线现金流'!H5191&amp;"|"&amp;'管线现金流'!AJ5191&amp;"|"&amp;'管线现金流'!H5192&amp;"|"&amp;'管线现金流'!AJ5192&amp;"|"&amp;'管线现金流'!H5193&amp;"|"&amp;'管线现金流'!AJ5193&amp;"|"&amp;'管线现金流'!H5194&amp;"|"&amp;'管线现金流'!AJ5194&amp;"|"&amp;'管线现金流'!H5195&amp;"|"&amp;'管线现金流'!AJ5195&amp;"|"&amp;'管线现金流'!H5196&amp;"|"&amp;'管线现金流'!AJ5196&amp;"|"&amp;'管线现金流'!H5197&amp;"|"&amp;'管线现金流'!AJ5197&amp;"|"&amp;'管线现金流'!H5198&amp;"|"&amp;'管线现金流'!AJ5198&amp;"|"&amp;'管线现金流'!H5199&amp;"|"&amp;'管线现金流'!AJ5199&amp;"|"&amp;'管线现金流'!H5200&amp;"|"&amp;'管线现金流'!AJ5200&amp;"|"&amp;'管线现金流'!H5201&amp;"|"&amp;'管线现金流'!AJ5201&amp;"|"&amp;'管线现金流'!H5202&amp;"|"&amp;'管线现金流'!AJ5202&amp;"|"&amp;'管线现金流'!H5203&amp;"|"&amp;'管线现金流'!AJ5203&amp;"|"&amp;'管线现金流'!H5204&amp;"|"&amp;'管线现金流'!AJ5204&amp;"|"&amp;'管线现金流'!H5205&amp;"|"&amp;'管线现金流'!AJ5205&amp;"|"&amp;'管线现金流'!H5206&amp;"|"&amp;'管线现金流'!AJ5206&amp;"|"&amp;'管线现金流'!H5207&amp;"|"&amp;'管线现金流'!AJ5207&amp;"|"&amp;'管线现金流'!H5208&amp;"|"&amp;'管线现金流'!AJ5208&amp;"|"&amp;'管线现金流'!H5209&amp;"|"&amp;'管线现金流'!AJ5209&amp;"|"&amp;'管线现金流'!H5210&amp;"|"&amp;'管线现金流'!AJ5210&amp;"|"&amp;'管线现金流'!H5211&amp;"|"&amp;'管线现金流'!AJ5211&amp;"|"&amp;'管线现金流'!H5212&amp;"|"&amp;'管线现金流'!AJ5212&amp;"|"&amp;'管线现金流'!H5213&amp;"|"&amp;'管线现金流'!AJ5213&amp;"|"&amp;'管线现金流'!H5214&amp;"|"&amp;'管线现金流'!AJ5214&amp;"|"&amp;'管线现金流'!H5215&amp;"|"&amp;'管线现金流'!AJ5215&amp;"|"&amp;'管线现金流'!H5216&amp;"|"&amp;'管线现金流'!AJ5216&amp;"|"&amp;'管线现金流'!H5217&amp;"|"&amp;'管线现金流'!AJ5217&amp;"|"&amp;'管线现金流'!H5218&amp;"|"&amp;'管线现金流'!AJ5218&amp;"|"&amp;'管线现金流'!H5219&amp;"|"&amp;'管线现金流'!AJ5219&amp;"|"&amp;'管线现金流'!H5220&amp;"|"&amp;'管线现金流'!AJ5220&amp;"|"&amp;'管线现金流'!H5221&amp;"|"&amp;'管线现金流'!AJ5221&amp;"|"&amp;'管线现金流'!H5222&amp;"|"&amp;'管线现金流'!AJ5222&amp;"|"&amp;'管线现金流'!H5223&amp;"|"&amp;'管线现金流'!AJ5223&amp;"|"&amp;'管线现金流'!H5224&amp;"|"&amp;'管线现金流'!AJ5224&amp;"|"&amp;'管线现金流'!H5225&amp;"|"&amp;'管线现金流'!AJ5225&amp;"|"&amp;'管线现金流'!H5226&amp;"|"&amp;'管线现金流'!AJ5226&amp;"|"&amp;'管线现金流'!H5227&amp;"|"&amp;'管线现金流'!AJ5227&amp;"|"&amp;'管线现金流'!H5228&amp;"|"&amp;'管线现金流'!AJ5228&amp;"|"&amp;'管线现金流'!H5229&amp;"|"&amp;'管线现金流'!AJ5229&amp;"|"&amp;'管线现金流'!H5230&amp;"|"&amp;'管线现金流'!AJ5230&amp;"|"&amp;'管线现金流'!H5231&amp;"|"&amp;'管线现金流'!AJ5231&amp;"|"&amp;'管线现金流'!H5232&amp;"|"&amp;'管线现金流'!AJ5232&amp;"|"&amp;'管线现金流'!H5233&amp;"|"&amp;'管线现金流'!AJ5233&amp;"|"&amp;'管线现金流'!H5234&amp;"|"&amp;'管线现金流'!AJ5234&amp;"|"&amp;'管线现金流'!H5235&amp;"|"&amp;'管线现金流'!AJ5235&amp;"|"&amp;'管线现金流'!H5236&amp;"|"&amp;'管线现金流'!AJ5236&amp;"|"&amp;'管线现金流'!H5237&amp;"|"&amp;'管线现金流'!AJ5237&amp;"|"&amp;'管线现金流'!H5238&amp;"|"&amp;'管线现金流'!AJ5238&amp;"|"&amp;'管线现金流'!H5239&amp;"|"&amp;'管线现金流'!AJ5239&amp;"|"&amp;'管线现金流'!H5240&amp;"|"&amp;'管线现金流'!AJ5240&amp;"|"&amp;'管线现金流'!H5241&amp;"|"&amp;'管线现金流'!AJ5241&amp;"|"&amp;'管线现金流'!H5242&amp;"|"&amp;'管线现金流'!AJ5242&amp;"|"&amp;'管线现金流'!H5243&amp;"|"&amp;'管线现金流'!AJ5243&amp;"|"&amp;'管线现金流'!H5244&amp;"|"&amp;'管线现金流'!AJ5244&amp;"|"&amp;'管线现金流'!H5245&amp;"|"&amp;'管线现金流'!AJ5245&amp;"|"&amp;'管线现金流'!H5246&amp;"|"&amp;'管线现金流'!AJ5246&amp;"|"&amp;'管线现金流'!H5247&amp;"|"&amp;'管线现金流'!AJ5247&amp;"|"&amp;'管线现金流'!H5248&amp;"|"&amp;'管线现金流'!AJ5248&amp;"|"&amp;'管线现金流'!H5249&amp;"|"&amp;'管线现金流'!AJ5249&amp;"|"&amp;'管线现金流'!H5250&amp;"|"&amp;'管线现金流'!AJ5250&amp;"|"&amp;'管线现金流'!H5251&amp;"|"&amp;'管线现金流'!AJ5251&amp;"|"&amp;'管线现金流'!H5252&amp;"|"&amp;'管线现金流'!AJ5252&amp;"|"&amp;'管线现金流'!H5253&amp;"|"&amp;'管线现金流'!AJ5253&amp;"|"&amp;'管线现金流'!H5254&amp;"|"&amp;'管线现金流'!AJ5254&amp;"|"&amp;'管线现金流'!H5255&amp;"|"&amp;'管线现金流'!AJ5255&amp;"|"&amp;'管线现金流'!H5256&amp;"|"&amp;'管线现金流'!AJ5256&amp;"|"&amp;'管线现金流'!H5257&amp;"|"&amp;'管线现金流'!AJ5257&amp;"|"&amp;'管线现金流'!H5258&amp;"|"&amp;'管线现金流'!AJ5258&amp;"|"&amp;'管线现金流'!H5259&amp;"|"&amp;'管线现金流'!AJ5259&amp;"|"&amp;'管线现金流'!H5260&amp;"|"&amp;'管线现金流'!AJ5260&amp;"|"&amp;'管线现金流'!H5261&amp;"|"&amp;'管线现金流'!AJ5261&amp;"|"&amp;'管线现金流'!H5262&amp;"|"&amp;'管线现金流'!AJ5262&amp;"|"&amp;'管线现金流'!H5263&amp;"|"&amp;'管线现金流'!AJ5263&amp;"|"&amp;'管线现金流'!H5264&amp;"|"&amp;'管线现金流'!AJ5264&amp;"|"&amp;'管线现金流'!H5265&amp;"|"&amp;'管线现金流'!AJ5265&amp;"|"&amp;'管线现金流'!H5266&amp;"|"&amp;'管线现金流'!AJ5266&amp;"|"&amp;'管线现金流'!H5267&amp;"|"&amp;'管线现金流'!AJ5267&amp;"|"&amp;'管线现金流'!H5268&amp;"|"&amp;'管线现金流'!AJ5268&amp;"|"&amp;'管线现金流'!H5269&amp;"|"&amp;'管线现金流'!AJ5269&amp;"|"&amp;'管线现金流'!H5270&amp;"|"&amp;'管线现金流'!AJ5270&amp;"|"&amp;'管线现金流'!H5271&amp;"|"&amp;'管线现金流'!AJ5271&amp;"|"&amp;'管线现金流'!H5272&amp;"|"&amp;'管线现金流'!AJ5272&amp;"|"&amp;'管线现金流'!H5273&amp;"|"&amp;'管线现金流'!AJ5273&amp;"|"&amp;'管线现金流'!H5274&amp;"|"&amp;'管线现金流'!AJ5274&amp;"|"&amp;'管线现金流'!H5275&amp;"|"&amp;'管线现金流'!AJ5275&amp;"|"&amp;'管线现金流'!H5276&amp;"|"&amp;'管线现金流'!AJ5276&amp;"|"&amp;'管线现金流'!H5277&amp;"|"&amp;'管线现金流'!AJ5277&amp;"|"&amp;'管线现金流'!H5278&amp;"|"&amp;'管线现金流'!AJ5278&amp;"|"&amp;'管线现金流'!H5279&amp;"|"&amp;'管线现金流'!AJ5279&amp;"|"&amp;'管线现金流'!H5280&amp;"|"&amp;'管线现金流'!AJ5280&amp;"|"&amp;'管线现金流'!H5281&amp;"|"&amp;'管线现金流'!AJ5281&amp;"|"&amp;'管线现金流'!H5282&amp;"|"&amp;'管线现金流'!AJ5282&amp;"|"&amp;'管线现金流'!H5283&amp;"|"&amp;'管线现金流'!AJ5283&amp;"|"&amp;'管线现金流'!H5284&amp;"|"&amp;'管线现金流'!AJ5284&amp;"|"&amp;'管线现金流'!H5285&amp;"|"&amp;'管线现金流'!AJ5285&amp;"|"&amp;'管线现金流'!H5286&amp;"|"&amp;'管线现金流'!AJ5286&amp;"|"&amp;'管线现金流'!H5287&amp;"|"&amp;'管线现金流'!AJ5287&amp;"|"&amp;'管线现金流'!H5288&amp;"|"&amp;'管线现金流'!AJ5288&amp;"|"&amp;'管线现金流'!H5289&amp;"|"&amp;'管线现金流'!AJ5289&amp;"|"&amp;'管线现金流'!H5290&amp;"|"&amp;'管线现金流'!AJ5290&amp;"|"&amp;'管线现金流'!H5291&amp;"|"&amp;'管线现金流'!AJ5291&amp;"|"&amp;'管线现金流'!H5292&amp;"|"&amp;'管线现金流'!AJ5292&amp;"|"&amp;'管线现金流'!H5293&amp;"|"&amp;'管线现金流'!AJ5293&amp;"|"&amp;'管线现金流'!H5294&amp;"|"&amp;'管线现金流'!AJ5294&amp;"|"&amp;'管线现金流'!H5295&amp;"|"&amp;'管线现金流'!AJ5295&amp;"|"&amp;'管线现金流'!H5296&amp;"|"&amp;'管线现金流'!AJ5296&amp;"|"&amp;'管线现金流'!H5297&amp;"|"&amp;'管线现金流'!AJ5297&amp;"|"&amp;'管线现金流'!H5298&amp;"|"&amp;'管线现金流'!AJ5298&amp;"|"&amp;'管线现金流'!H5299&amp;"|"&amp;'管线现金流'!AJ5299&amp;"|"&amp;'管线现金流'!H5300&amp;"|"&amp;'管线现金流'!AJ5300&amp;"|"&amp;'管线现金流'!H5301&amp;"|"&amp;'管线现金流'!AJ5301&amp;"|"&amp;'管线现金流'!H5302&amp;"|"&amp;'管线现金流'!AJ5302&amp;"|"&amp;'管线现金流'!H5303&amp;"|"&amp;'管线现金流'!AJ5303&amp;"|"&amp;'管线现金流'!H5304&amp;"|"&amp;'管线现金流'!AJ5304&amp;"|"&amp;'管线现金流'!H5305&amp;"|"&amp;'管线现金流'!AJ5305&amp;"|"&amp;'管线现金流'!H5306&amp;"|"&amp;'管线现金流'!AJ5306&amp;"|"&amp;'管线现金流'!H5307&amp;"|"&amp;'管线现金流'!AJ5307&amp;"|"&amp;'管线现金流'!H5308&amp;"|"&amp;'管线现金流'!AJ5308&amp;"|"&amp;'管线现金流'!H5309&amp;"|"&amp;'管线现金流'!AJ5309&amp;"|"&amp;'管线现金流'!H5310&amp;"|"&amp;'管线现金流'!AJ5310&amp;"|"&amp;'管线现金流'!H5311&amp;"|"&amp;'管线现金流'!AJ5311&amp;"|"&amp;'管线现金流'!H5312&amp;"|"&amp;'管线现金流'!AJ5312&amp;"|"&amp;'管线现金流'!H5313&amp;"|"&amp;'管线现金流'!AJ5313&amp;"|"&amp;'管线现金流'!H5314&amp;"|"&amp;'管线现金流'!AJ5314&amp;"|"&amp;'管线现金流'!H5315&amp;"|"&amp;'管线现金流'!AJ5315&amp;"|"&amp;'管线现金流'!H5316&amp;"|"&amp;'管线现金流'!AJ5316&amp;"|"&amp;'管线现金流'!H5317&amp;"|"&amp;'管线现金流'!AJ5317&amp;"|"&amp;'管线现金流'!H5318&amp;"|"&amp;'管线现金流'!AJ5318&amp;"|"&amp;'管线现金流'!H5319&amp;"|"&amp;'管线现金流'!AJ5319&amp;"|"&amp;'管线现金流'!H5320&amp;"|"&amp;'管线现金流'!AJ5320&amp;"|"&amp;'管线现金流'!H5321&amp;"|"&amp;'管线现金流'!AJ5321&amp;"|"&amp;'管线现金流'!H5322&amp;"|"&amp;'管线现金流'!AJ5322&amp;"|"&amp;'管线现金流'!H5323&amp;"|"&amp;'管线现金流'!AJ5323&amp;"|"&amp;'管线现金流'!H5324&amp;"|"&amp;'管线现金流'!AJ5324&amp;"|"&amp;'管线现金流'!H5325&amp;"|"&amp;'管线现金流'!AJ5325&amp;"|"&amp;'管线现金流'!H5326&amp;"|"&amp;'管线现金流'!AJ5326&amp;"|"&amp;'管线现金流'!H5327&amp;"|"&amp;'管线现金流'!AJ5327&amp;"|"&amp;'管线现金流'!H5328&amp;"|"&amp;'管线现金流'!AJ5328&amp;"|"&amp;'管线现金流'!H5329&amp;"|"&amp;'管线现金流'!AJ5329&amp;"|"&amp;'管线现金流'!H5330&amp;"|"&amp;'管线现金流'!AJ5330&amp;"|"&amp;'管线现金流'!H5331&amp;"|"&amp;'管线现金流'!AJ5331&amp;"|"&amp;'管线现金流'!H5332&amp;"|"&amp;'管线现金流'!AJ5332&amp;"|"&amp;'管线现金流'!H5333&amp;"|"&amp;'管线现金流'!AJ5333&amp;"|"&amp;'管线现金流'!H5334&amp;"|"&amp;'管线现金流'!AJ5334&amp;"|"&amp;'管线现金流'!H5335&amp;"|"&amp;'管线现金流'!AJ5335&amp;"|"&amp;'管线现金流'!H5336&amp;"|"&amp;'管线现金流'!AJ5336&amp;"|"&amp;'管线现金流'!H5337&amp;"|"&amp;'管线现金流'!AJ5337&amp;"|"&amp;'管线现金流'!H5338&amp;"|"&amp;'管线现金流'!AJ5338&amp;"|"&amp;'管线现金流'!H5339&amp;"|"&amp;'管线现金流'!AJ5339&amp;"|"&amp;'管线现金流'!H5340&amp;"|"&amp;'管线现金流'!AJ5340&amp;"|"&amp;'管线现金流'!H5341&amp;"|"&amp;'管线现金流'!AJ5341&amp;"|"&amp;'管线现金流'!H5342&amp;"|"&amp;'管线现金流'!AJ5342&amp;"|"&amp;'管线现金流'!H5343&amp;"|"&amp;'管线现金流'!AJ5343&amp;"|"&amp;'管线现金流'!H5344&amp;"|"&amp;'管线现金流'!AJ5344&amp;"|"&amp;'管线现金流'!H5345&amp;"|"&amp;'管线现金流'!AJ5345&amp;"|"&amp;'管线现金流'!H5346&amp;"|"&amp;'管线现金流'!AJ5346&amp;"|"&amp;'管线现金流'!H5347&amp;"|"&amp;'管线现金流'!AJ5347&amp;"|"&amp;'管线现金流'!H5348&amp;"|"&amp;'管线现金流'!AJ5348&amp;"|"&amp;'管线现金流'!H5349&amp;"|"&amp;'管线现金流'!AJ5349&amp;"|"&amp;'管线现金流'!H5350&amp;"|"&amp;'管线现金流'!AJ5350&amp;"|"&amp;'管线现金流'!H5351&amp;"|"&amp;'管线现金流'!AJ5351&amp;"|"&amp;'管线现金流'!H5352&amp;"|"&amp;'管线现金流'!AJ5352&amp;"|"&amp;'管线现金流'!H5353&amp;"|"&amp;'管线现金流'!AJ5353&amp;"|"&amp;'管线现金流'!H5354&amp;"|"&amp;'管线现金流'!AJ5354&amp;"|"&amp;'管线现金流'!H5355&amp;"|"&amp;'管线现金流'!AJ5355&amp;"|"&amp;'管线现金流'!H5356&amp;"|"&amp;'管线现金流'!AJ5356&amp;"|"&amp;'管线现金流'!H5357&amp;"|"&amp;'管线现金流'!AJ5357&amp;"|"&amp;'管线现金流'!H5358&amp;"|"&amp;'管线现金流'!AJ5358&amp;"|"&amp;'管线现金流'!H5359&amp;"|"&amp;'管线现金流'!AJ5359&amp;"|"&amp;'管线现金流'!H5360&amp;"|"&amp;'管线现金流'!AJ5360&amp;"|"&amp;'管线现金流'!H5361&amp;"|"&amp;'管线现金流'!AJ5361&amp;"|"&amp;'管线现金流'!H5362&amp;"|"&amp;'管线现金流'!AJ5362&amp;"|"&amp;'管线现金流'!H5363&amp;"|"&amp;'管线现金流'!AJ5363&amp;"|"&amp;'管线现金流'!H5364&amp;"|"&amp;'管线现金流'!AJ5364&amp;"|"&amp;'管线现金流'!H5365&amp;"|"&amp;'管线现金流'!AJ5365&amp;"|"&amp;'管线现金流'!H5366&amp;"|"&amp;'管线现金流'!AJ5366&amp;"|"&amp;'管线现金流'!H5367&amp;"|"&amp;'管线现金流'!AJ5367&amp;"|"&amp;'管线现金流'!H5368&amp;"|"&amp;'管线现金流'!AJ5368&amp;"|"&amp;'管线现金流'!H5369&amp;"|"&amp;'管线现金流'!AJ5369&amp;"|"&amp;'管线现金流'!H5370&amp;"|"&amp;'管线现金流'!AJ5370&amp;"|"&amp;'管线现金流'!H5371&amp;"|"&amp;'管线现金流'!AJ5371&amp;"|"&amp;'管线现金流'!H5372&amp;"|"&amp;'管线现金流'!AJ5372&amp;"|"&amp;'管线现金流'!H5373&amp;"|"&amp;'管线现金流'!AJ5373&amp;"|"&amp;'管线现金流'!H5374&amp;"|"&amp;'管线现金流'!AJ5374&amp;"|"&amp;'管线现金流'!U86&amp;"|"&amp;'管线现金流'!X86&amp;"|"&amp;'管线现金流'!AO86&amp;"|"&amp;'管线现金流'!AR86&amp;"|"&amp;'管线现金流'!U87&amp;"|"&amp;'管线现金流'!X87&amp;"|"&amp;'管线现金流'!AO87&amp;"|"&amp;'管线现金流'!AR87&amp;"|"&amp;'管线现金流'!U88&amp;"|"&amp;'管线现金流'!X88&amp;"|"&amp;'管线现金流'!AO88&amp;"|"&amp;'管线现金流'!AR88&amp;"|"&amp;'管线现金流'!U89&amp;"|"&amp;'管线现金流'!X89&amp;"|"&amp;'管线现金流'!AO89&amp;"|"&amp;'管线现金流'!AR89</x:f>
        <x:v>0.65|-2.1|2.7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</x:row>
    <x:row r="476" ht="23" customHeight="1">
      <x:c r="A476" s="11" t="str">
        <x:v>688062.SH</x:v>
      </x:c>
      <x:c r="B476" s="11" t="str">
        <x:v>迈威生物</x:v>
      </x:c>
      <x:c r="C476" s="11" t="str">
        <x:v>半年</x:v>
      </x:c>
      <x:c r="D476" s="11" t="str">
        <x:v>基准</x:v>
      </x:c>
      <x:c r="E476" s="11" t="n">
        <x:v>24.78</x:v>
      </x:c>
      <x:c r="F476" s="11" t="n">
        <x:v>12.82504902841254</x:v>
      </x:c>
      <x:c r="G476" s="11" t="n">
        <x:v>0</x:v>
      </x:c>
      <x:c r="H476" s="25" t="n">
        <x:v>-0.48244354203339224</x:v>
      </x:c>
      <x:c r="I476" s="25" t="n">
        <x:v>-0.48244354203339224</x:v>
      </x:c>
      <x:c r="J476" s="25" t="str"/>
      <x:c r="K476" s="11" t="n">
        <x:v>0</x:v>
      </x:c>
      <x:c r="L476" s="11" t="n">
        <x:v>0</x:v>
      </x:c>
      <x:c r="M476" s="11" t="n">
        <x:v>1</x:v>
      </x:c>
      <x:c r="N476" s="11" t="n">
        <x:v>0</x:v>
      </x:c>
      <x:c r="O476" s="11" t="n">
        <x:v>0</x:v>
      </x:c>
      <x:c r="P476" s="11" t="n">
        <x:v>0</x:v>
      </x:c>
      <x:c r="Q476" s="11" t="n">
        <x:v>0.475</x:v>
      </x:c>
      <x:c r="R476" s="11" t="str">
        <x:v>mabwell-rnpv-v1.1</x:v>
      </x:c>
      <x:c r="S476" s="11" t="str">
        <x:v>2026-10-10</x:v>
      </x:c>
      <x:c r="T476" s="11" t="str">
        <x:f>IF(AND(SUM(IF(K476='假设'!E633,0,1),IF(L476='假设'!F633,0,1),IF(M476='假设'!G633,0,1),IF(N476='假设'!H633,0,1),IF(O476='假设'!I633,0,1),IF(P476='假设'!J633,0,1),IF(Q476='假设'!K633,0,1))=0,U476=V476),"已刷新","待刷新")</x:f>
        <x:v>已刷新</x:v>
      </x:c>
      <x:c r="U476" t="str">
        <x:v>0.6|-1.75|2.3|0.9314|0.23|1|0.14|6.8|1|0.08000000000000002|1|0.14|6.8|0.6275999999999999|0.3|1|0.14|6.8|0.559|0.3|1|0.14|6.8|0.49039999999999995|0.3|1|0.14|6.8|0.31400000000000006|0.3|1|0.14|6.8|0.17680000000000007|0.3|1|0.14|6.8|0.21599999999999997|0.23|1|0.14|6.8|0.23560000000000003|0.3|1|0.14|6.8|0.118|0.3|1|0.14|6.8|0.265|0.3|1|0.14|6.8|0.13760000000000006|0.064|1|0.14|6.8|0.13760000000000006|0.3|1|0.14|6.8|0.4316|0.068|1|0.14|6.8|0.363|0.3|1|0.14|6.8|0.16700000000000004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  <x:c r="V476" t="str">
        <x:f>'假设'!U633&amp;"|"&amp;'假设'!N633&amp;"|"&amp;'假设'!Q633&amp;"|"&amp;'管线假设'!E1093&amp;"|"&amp;'管线假设'!F1093&amp;"|"&amp;'管线假设'!G1093&amp;"|"&amp;'管线假设'!H1093&amp;"|"&amp;'管线假设'!I1093&amp;"|"&amp;'管线假设'!E1097&amp;"|"&amp;'管线假设'!F1097&amp;"|"&amp;'管线假设'!G1097&amp;"|"&amp;'管线假设'!H1097&amp;"|"&amp;'管线假设'!I1097&amp;"|"&amp;'管线假设'!E1101&amp;"|"&amp;'管线假设'!F1101&amp;"|"&amp;'管线假设'!G1101&amp;"|"&amp;'管线假设'!H1101&amp;"|"&amp;'管线假设'!I1101&amp;"|"&amp;'管线假设'!E1105&amp;"|"&amp;'管线假设'!F1105&amp;"|"&amp;'管线假设'!G1105&amp;"|"&amp;'管线假设'!H1105&amp;"|"&amp;'管线假设'!I1105&amp;"|"&amp;'管线假设'!E1109&amp;"|"&amp;'管线假设'!F1109&amp;"|"&amp;'管线假设'!G1109&amp;"|"&amp;'管线假设'!H1109&amp;"|"&amp;'管线假设'!I1109&amp;"|"&amp;'管线假设'!E1113&amp;"|"&amp;'管线假设'!F1113&amp;"|"&amp;'管线假设'!G1113&amp;"|"&amp;'管线假设'!H1113&amp;"|"&amp;'管线假设'!I1113&amp;"|"&amp;'管线假设'!E1117&amp;"|"&amp;'管线假设'!F1117&amp;"|"&amp;'管线假设'!G1117&amp;"|"&amp;'管线假设'!H1117&amp;"|"&amp;'管线假设'!I1117&amp;"|"&amp;'管线假设'!E1121&amp;"|"&amp;'管线假设'!F1121&amp;"|"&amp;'管线假设'!G1121&amp;"|"&amp;'管线假设'!H1121&amp;"|"&amp;'管线假设'!I1121&amp;"|"&amp;'管线假设'!E1125&amp;"|"&amp;'管线假设'!F1125&amp;"|"&amp;'管线假设'!G1125&amp;"|"&amp;'管线假设'!H1125&amp;"|"&amp;'管线假设'!I1125&amp;"|"&amp;'管线假设'!E1129&amp;"|"&amp;'管线假设'!F1129&amp;"|"&amp;'管线假设'!G1129&amp;"|"&amp;'管线假设'!H1129&amp;"|"&amp;'管线假设'!I1129&amp;"|"&amp;'管线假设'!E1133&amp;"|"&amp;'管线假设'!F1133&amp;"|"&amp;'管线假设'!G1133&amp;"|"&amp;'管线假设'!H1133&amp;"|"&amp;'管线假设'!I1133&amp;"|"&amp;'管线假设'!E1137&amp;"|"&amp;'管线假设'!F1137&amp;"|"&amp;'管线假设'!G1137&amp;"|"&amp;'管线假设'!H1137&amp;"|"&amp;'管线假设'!I1137&amp;"|"&amp;'管线假设'!E1141&amp;"|"&amp;'管线假设'!F1141&amp;"|"&amp;'管线假设'!G1141&amp;"|"&amp;'管线假设'!H1141&amp;"|"&amp;'管线假设'!I1141&amp;"|"&amp;'管线假设'!E1145&amp;"|"&amp;'管线假设'!F1145&amp;"|"&amp;'管线假设'!G1145&amp;"|"&amp;'管线假设'!H1145&amp;"|"&amp;'管线假设'!I1145&amp;"|"&amp;'管线假设'!E1149&amp;"|"&amp;'管线假设'!F1149&amp;"|"&amp;'管线假设'!G1149&amp;"|"&amp;'管线假设'!H1149&amp;"|"&amp;'管线假设'!I1149&amp;"|"&amp;'管线假设'!E1153&amp;"|"&amp;'管线假设'!F1153&amp;"|"&amp;'管线假设'!G1153&amp;"|"&amp;'管线假设'!H1153&amp;"|"&amp;'管线假设'!I1153&amp;"|"&amp;'管线现金流'!I5071&amp;"|"&amp;'管线现金流'!AK5071&amp;"|"&amp;'管线现金流'!I5072&amp;"|"&amp;'管线现金流'!AK5072&amp;"|"&amp;'管线现金流'!I5073&amp;"|"&amp;'管线现金流'!AK5073&amp;"|"&amp;'管线现金流'!I5074&amp;"|"&amp;'管线现金流'!AK5074&amp;"|"&amp;'管线现金流'!I5075&amp;"|"&amp;'管线现金流'!AK5075&amp;"|"&amp;'管线现金流'!I5076&amp;"|"&amp;'管线现金流'!AK5076&amp;"|"&amp;'管线现金流'!I5077&amp;"|"&amp;'管线现金流'!AK5077&amp;"|"&amp;'管线现金流'!I5078&amp;"|"&amp;'管线现金流'!AK5078&amp;"|"&amp;'管线现金流'!I5079&amp;"|"&amp;'管线现金流'!AK5079&amp;"|"&amp;'管线现金流'!I5080&amp;"|"&amp;'管线现金流'!AK5080&amp;"|"&amp;'管线现金流'!I5081&amp;"|"&amp;'管线现金流'!AK5081&amp;"|"&amp;'管线现金流'!I5082&amp;"|"&amp;'管线现金流'!AK5082&amp;"|"&amp;'管线现金流'!I5083&amp;"|"&amp;'管线现金流'!AK5083&amp;"|"&amp;'管线现金流'!I5084&amp;"|"&amp;'管线现金流'!AK5084&amp;"|"&amp;'管线现金流'!I5085&amp;"|"&amp;'管线现金流'!AK5085&amp;"|"&amp;'管线现金流'!I5086&amp;"|"&amp;'管线现金流'!AK5086&amp;"|"&amp;'管线现金流'!I5087&amp;"|"&amp;'管线现金流'!AK5087&amp;"|"&amp;'管线现金流'!I5088&amp;"|"&amp;'管线现金流'!AK5088&amp;"|"&amp;'管线现金流'!I5089&amp;"|"&amp;'管线现金流'!AK5089&amp;"|"&amp;'管线现金流'!I5090&amp;"|"&amp;'管线现金流'!AK5090&amp;"|"&amp;'管线现金流'!I5091&amp;"|"&amp;'管线现金流'!AK5091&amp;"|"&amp;'管线现金流'!I5092&amp;"|"&amp;'管线现金流'!AK5092&amp;"|"&amp;'管线现金流'!I5093&amp;"|"&amp;'管线现金流'!AK5093&amp;"|"&amp;'管线现金流'!I5094&amp;"|"&amp;'管线现金流'!AK5094&amp;"|"&amp;'管线现金流'!I5095&amp;"|"&amp;'管线现金流'!AK5095&amp;"|"&amp;'管线现金流'!I5096&amp;"|"&amp;'管线现金流'!AK5096&amp;"|"&amp;'管线现金流'!I5097&amp;"|"&amp;'管线现金流'!AK5097&amp;"|"&amp;'管线现金流'!I5098&amp;"|"&amp;'管线现金流'!AK5098&amp;"|"&amp;'管线现金流'!I5099&amp;"|"&amp;'管线现金流'!AK5099&amp;"|"&amp;'管线现金流'!I5100&amp;"|"&amp;'管线现金流'!AK5100&amp;"|"&amp;'管线现金流'!I5101&amp;"|"&amp;'管线现金流'!AK5101&amp;"|"&amp;'管线现金流'!I5102&amp;"|"&amp;'管线现金流'!AK5102&amp;"|"&amp;'管线现金流'!I5103&amp;"|"&amp;'管线现金流'!AK5103&amp;"|"&amp;'管线现金流'!I5104&amp;"|"&amp;'管线现金流'!AK5104&amp;"|"&amp;'管线现金流'!I5105&amp;"|"&amp;'管线现金流'!AK5105&amp;"|"&amp;'管线现金流'!I5106&amp;"|"&amp;'管线现金流'!AK5106&amp;"|"&amp;'管线现金流'!I5107&amp;"|"&amp;'管线现金流'!AK5107&amp;"|"&amp;'管线现金流'!I5108&amp;"|"&amp;'管线现金流'!AK5108&amp;"|"&amp;'管线现金流'!I5109&amp;"|"&amp;'管线现金流'!AK5109&amp;"|"&amp;'管线现金流'!I5110&amp;"|"&amp;'管线现金流'!AK5110&amp;"|"&amp;'管线现金流'!I5111&amp;"|"&amp;'管线现金流'!AK5111&amp;"|"&amp;'管线现金流'!I5112&amp;"|"&amp;'管线现金流'!AK5112&amp;"|"&amp;'管线现金流'!I5113&amp;"|"&amp;'管线现金流'!AK5113&amp;"|"&amp;'管线现金流'!I5114&amp;"|"&amp;'管线现金流'!AK5114&amp;"|"&amp;'管线现金流'!I5115&amp;"|"&amp;'管线现金流'!AK5115&amp;"|"&amp;'管线现金流'!I5116&amp;"|"&amp;'管线现金流'!AK5116&amp;"|"&amp;'管线现金流'!I5117&amp;"|"&amp;'管线现金流'!AK5117&amp;"|"&amp;'管线现金流'!I5118&amp;"|"&amp;'管线现金流'!AK5118&amp;"|"&amp;'管线现金流'!I5119&amp;"|"&amp;'管线现金流'!AK5119&amp;"|"&amp;'管线现金流'!I5120&amp;"|"&amp;'管线现金流'!AK5120&amp;"|"&amp;'管线现金流'!I5121&amp;"|"&amp;'管线现金流'!AK5121&amp;"|"&amp;'管线现金流'!I5122&amp;"|"&amp;'管线现金流'!AK5122&amp;"|"&amp;'管线现金流'!I5123&amp;"|"&amp;'管线现金流'!AK5123&amp;"|"&amp;'管线现金流'!I5124&amp;"|"&amp;'管线现金流'!AK5124&amp;"|"&amp;'管线现金流'!I5125&amp;"|"&amp;'管线现金流'!AK5125&amp;"|"&amp;'管线现金流'!I5126&amp;"|"&amp;'管线现金流'!AK5126&amp;"|"&amp;'管线现金流'!I5127&amp;"|"&amp;'管线现金流'!AK5127&amp;"|"&amp;'管线现金流'!I5128&amp;"|"&amp;'管线现金流'!AK5128&amp;"|"&amp;'管线现金流'!I5129&amp;"|"&amp;'管线现金流'!AK5129&amp;"|"&amp;'管线现金流'!I5130&amp;"|"&amp;'管线现金流'!AK5130&amp;"|"&amp;'管线现金流'!I5131&amp;"|"&amp;'管线现金流'!AK5131&amp;"|"&amp;'管线现金流'!I5132&amp;"|"&amp;'管线现金流'!AK5132&amp;"|"&amp;'管线现金流'!I5133&amp;"|"&amp;'管线现金流'!AK5133&amp;"|"&amp;'管线现金流'!I5134&amp;"|"&amp;'管线现金流'!AK5134&amp;"|"&amp;'管线现金流'!I5135&amp;"|"&amp;'管线现金流'!AK5135&amp;"|"&amp;'管线现金流'!I5136&amp;"|"&amp;'管线现金流'!AK5136&amp;"|"&amp;'管线现金流'!I5137&amp;"|"&amp;'管线现金流'!AK5137&amp;"|"&amp;'管线现金流'!I5138&amp;"|"&amp;'管线现金流'!AK5138&amp;"|"&amp;'管线现金流'!I5139&amp;"|"&amp;'管线现金流'!AK5139&amp;"|"&amp;'管线现金流'!I5140&amp;"|"&amp;'管线现金流'!AK5140&amp;"|"&amp;'管线现金流'!I5141&amp;"|"&amp;'管线现金流'!AK5141&amp;"|"&amp;'管线现金流'!I5142&amp;"|"&amp;'管线现金流'!AK5142&amp;"|"&amp;'管线现金流'!I5143&amp;"|"&amp;'管线现金流'!AK5143&amp;"|"&amp;'管线现金流'!I5144&amp;"|"&amp;'管线现金流'!AK5144&amp;"|"&amp;'管线现金流'!I5145&amp;"|"&amp;'管线现金流'!AK5145&amp;"|"&amp;'管线现金流'!I5146&amp;"|"&amp;'管线现金流'!AK5146&amp;"|"&amp;'管线现金流'!I5147&amp;"|"&amp;'管线现金流'!AK5147&amp;"|"&amp;'管线现金流'!I5148&amp;"|"&amp;'管线现金流'!AK5148&amp;"|"&amp;'管线现金流'!I5149&amp;"|"&amp;'管线现金流'!AK5149&amp;"|"&amp;'管线现金流'!I5150&amp;"|"&amp;'管线现金流'!AK5150&amp;"|"&amp;'管线现金流'!I5151&amp;"|"&amp;'管线现金流'!AK5151&amp;"|"&amp;'管线现金流'!I5152&amp;"|"&amp;'管线现金流'!AK5152&amp;"|"&amp;'管线现金流'!I5153&amp;"|"&amp;'管线现金流'!AK5153&amp;"|"&amp;'管线现金流'!I5154&amp;"|"&amp;'管线现金流'!AK5154&amp;"|"&amp;'管线现金流'!I5155&amp;"|"&amp;'管线现金流'!AK5155&amp;"|"&amp;'管线现金流'!I5156&amp;"|"&amp;'管线现金流'!AK5156&amp;"|"&amp;'管线现金流'!I5157&amp;"|"&amp;'管线现金流'!AK5157&amp;"|"&amp;'管线现金流'!I5158&amp;"|"&amp;'管线现金流'!AK5158&amp;"|"&amp;'管线现金流'!I5159&amp;"|"&amp;'管线现金流'!AK5159&amp;"|"&amp;'管线现金流'!I5160&amp;"|"&amp;'管线现金流'!AK5160&amp;"|"&amp;'管线现金流'!I5161&amp;"|"&amp;'管线现金流'!AK5161&amp;"|"&amp;'管线现金流'!I5162&amp;"|"&amp;'管线现金流'!AK5162&amp;"|"&amp;'管线现金流'!I5163&amp;"|"&amp;'管线现金流'!AK5163&amp;"|"&amp;'管线现金流'!I5164&amp;"|"&amp;'管线现金流'!AK5164&amp;"|"&amp;'管线现金流'!I5165&amp;"|"&amp;'管线现金流'!AK5165&amp;"|"&amp;'管线现金流'!I5166&amp;"|"&amp;'管线现金流'!AK5166&amp;"|"&amp;'管线现金流'!I5167&amp;"|"&amp;'管线现金流'!AK5167&amp;"|"&amp;'管线现金流'!I5168&amp;"|"&amp;'管线现金流'!AK5168&amp;"|"&amp;'管线现金流'!I5169&amp;"|"&amp;'管线现金流'!AK5169&amp;"|"&amp;'管线现金流'!I5170&amp;"|"&amp;'管线现金流'!AK5170&amp;"|"&amp;'管线现金流'!I5171&amp;"|"&amp;'管线现金流'!AK5171&amp;"|"&amp;'管线现金流'!I5172&amp;"|"&amp;'管线现金流'!AK5172&amp;"|"&amp;'管线现金流'!I5173&amp;"|"&amp;'管线现金流'!AK5173&amp;"|"&amp;'管线现金流'!I5174&amp;"|"&amp;'管线现金流'!AK5174&amp;"|"&amp;'管线现金流'!I5175&amp;"|"&amp;'管线现金流'!AK5175&amp;"|"&amp;'管线现金流'!I5176&amp;"|"&amp;'管线现金流'!AK5176&amp;"|"&amp;'管线现金流'!I5177&amp;"|"&amp;'管线现金流'!AK5177&amp;"|"&amp;'管线现金流'!I5178&amp;"|"&amp;'管线现金流'!AK5178&amp;"|"&amp;'管线现金流'!I5179&amp;"|"&amp;'管线现金流'!AK5179&amp;"|"&amp;'管线现金流'!I5180&amp;"|"&amp;'管线现金流'!AK5180&amp;"|"&amp;'管线现金流'!I5181&amp;"|"&amp;'管线现金流'!AK5181&amp;"|"&amp;'管线现金流'!I5182&amp;"|"&amp;'管线现金流'!AK5182&amp;"|"&amp;'管线现金流'!I5183&amp;"|"&amp;'管线现金流'!AK5183&amp;"|"&amp;'管线现金流'!I5184&amp;"|"&amp;'管线现金流'!AK5184&amp;"|"&amp;'管线现金流'!I5185&amp;"|"&amp;'管线现金流'!AK5185&amp;"|"&amp;'管线现金流'!I5186&amp;"|"&amp;'管线现金流'!AK5186&amp;"|"&amp;'管线现金流'!I5187&amp;"|"&amp;'管线现金流'!AK5187&amp;"|"&amp;'管线现金流'!I5188&amp;"|"&amp;'管线现金流'!AK5188&amp;"|"&amp;'管线现金流'!I5189&amp;"|"&amp;'管线现金流'!AK5189&amp;"|"&amp;'管线现金流'!I5190&amp;"|"&amp;'管线现金流'!AK5190&amp;"|"&amp;'管线现金流'!I5191&amp;"|"&amp;'管线现金流'!AK5191&amp;"|"&amp;'管线现金流'!I5192&amp;"|"&amp;'管线现金流'!AK5192&amp;"|"&amp;'管线现金流'!I5193&amp;"|"&amp;'管线现金流'!AK5193&amp;"|"&amp;'管线现金流'!I5194&amp;"|"&amp;'管线现金流'!AK5194&amp;"|"&amp;'管线现金流'!I5195&amp;"|"&amp;'管线现金流'!AK5195&amp;"|"&amp;'管线现金流'!I5196&amp;"|"&amp;'管线现金流'!AK5196&amp;"|"&amp;'管线现金流'!I5197&amp;"|"&amp;'管线现金流'!AK5197&amp;"|"&amp;'管线现金流'!I5198&amp;"|"&amp;'管线现金流'!AK5198&amp;"|"&amp;'管线现金流'!I5199&amp;"|"&amp;'管线现金流'!AK5199&amp;"|"&amp;'管线现金流'!I5200&amp;"|"&amp;'管线现金流'!AK5200&amp;"|"&amp;'管线现金流'!I5201&amp;"|"&amp;'管线现金流'!AK5201&amp;"|"&amp;'管线现金流'!I5202&amp;"|"&amp;'管线现金流'!AK5202&amp;"|"&amp;'管线现金流'!I5203&amp;"|"&amp;'管线现金流'!AK5203&amp;"|"&amp;'管线现金流'!I5204&amp;"|"&amp;'管线现金流'!AK5204&amp;"|"&amp;'管线现金流'!I5205&amp;"|"&amp;'管线现金流'!AK5205&amp;"|"&amp;'管线现金流'!I5206&amp;"|"&amp;'管线现金流'!AK5206&amp;"|"&amp;'管线现金流'!I5207&amp;"|"&amp;'管线现金流'!AK5207&amp;"|"&amp;'管线现金流'!I5208&amp;"|"&amp;'管线现金流'!AK5208&amp;"|"&amp;'管线现金流'!I5209&amp;"|"&amp;'管线现金流'!AK5209&amp;"|"&amp;'管线现金流'!I5210&amp;"|"&amp;'管线现金流'!AK5210&amp;"|"&amp;'管线现金流'!I5211&amp;"|"&amp;'管线现金流'!AK5211&amp;"|"&amp;'管线现金流'!I5212&amp;"|"&amp;'管线现金流'!AK5212&amp;"|"&amp;'管线现金流'!I5213&amp;"|"&amp;'管线现金流'!AK5213&amp;"|"&amp;'管线现金流'!I5214&amp;"|"&amp;'管线现金流'!AK5214&amp;"|"&amp;'管线现金流'!I5215&amp;"|"&amp;'管线现金流'!AK5215&amp;"|"&amp;'管线现金流'!I5216&amp;"|"&amp;'管线现金流'!AK5216&amp;"|"&amp;'管线现金流'!I5217&amp;"|"&amp;'管线现金流'!AK5217&amp;"|"&amp;'管线现金流'!I5218&amp;"|"&amp;'管线现金流'!AK5218&amp;"|"&amp;'管线现金流'!I5219&amp;"|"&amp;'管线现金流'!AK5219&amp;"|"&amp;'管线现金流'!I5220&amp;"|"&amp;'管线现金流'!AK5220&amp;"|"&amp;'管线现金流'!I5221&amp;"|"&amp;'管线现金流'!AK5221&amp;"|"&amp;'管线现金流'!I5222&amp;"|"&amp;'管线现金流'!AK5222&amp;"|"&amp;'管线现金流'!I5223&amp;"|"&amp;'管线现金流'!AK5223&amp;"|"&amp;'管线现金流'!I5224&amp;"|"&amp;'管线现金流'!AK5224&amp;"|"&amp;'管线现金流'!I5225&amp;"|"&amp;'管线现金流'!AK5225&amp;"|"&amp;'管线现金流'!I5226&amp;"|"&amp;'管线现金流'!AK5226&amp;"|"&amp;'管线现金流'!I5227&amp;"|"&amp;'管线现金流'!AK5227&amp;"|"&amp;'管线现金流'!I5228&amp;"|"&amp;'管线现金流'!AK5228&amp;"|"&amp;'管线现金流'!I5229&amp;"|"&amp;'管线现金流'!AK5229&amp;"|"&amp;'管线现金流'!I5230&amp;"|"&amp;'管线现金流'!AK5230&amp;"|"&amp;'管线现金流'!I5231&amp;"|"&amp;'管线现金流'!AK5231&amp;"|"&amp;'管线现金流'!I5232&amp;"|"&amp;'管线现金流'!AK5232&amp;"|"&amp;'管线现金流'!I5233&amp;"|"&amp;'管线现金流'!AK5233&amp;"|"&amp;'管线现金流'!I5234&amp;"|"&amp;'管线现金流'!AK5234&amp;"|"&amp;'管线现金流'!I5235&amp;"|"&amp;'管线现金流'!AK5235&amp;"|"&amp;'管线现金流'!I5236&amp;"|"&amp;'管线现金流'!AK5236&amp;"|"&amp;'管线现金流'!I5237&amp;"|"&amp;'管线现金流'!AK5237&amp;"|"&amp;'管线现金流'!I5238&amp;"|"&amp;'管线现金流'!AK5238&amp;"|"&amp;'管线现金流'!I5239&amp;"|"&amp;'管线现金流'!AK5239&amp;"|"&amp;'管线现金流'!I5240&amp;"|"&amp;'管线现金流'!AK5240&amp;"|"&amp;'管线现金流'!I5241&amp;"|"&amp;'管线现金流'!AK5241&amp;"|"&amp;'管线现金流'!I5242&amp;"|"&amp;'管线现金流'!AK5242&amp;"|"&amp;'管线现金流'!I5243&amp;"|"&amp;'管线现金流'!AK5243&amp;"|"&amp;'管线现金流'!I5244&amp;"|"&amp;'管线现金流'!AK5244&amp;"|"&amp;'管线现金流'!I5245&amp;"|"&amp;'管线现金流'!AK5245&amp;"|"&amp;'管线现金流'!I5246&amp;"|"&amp;'管线现金流'!AK5246&amp;"|"&amp;'管线现金流'!I5247&amp;"|"&amp;'管线现金流'!AK5247&amp;"|"&amp;'管线现金流'!I5248&amp;"|"&amp;'管线现金流'!AK5248&amp;"|"&amp;'管线现金流'!I5249&amp;"|"&amp;'管线现金流'!AK5249&amp;"|"&amp;'管线现金流'!I5250&amp;"|"&amp;'管线现金流'!AK5250&amp;"|"&amp;'管线现金流'!I5251&amp;"|"&amp;'管线现金流'!AK5251&amp;"|"&amp;'管线现金流'!I5252&amp;"|"&amp;'管线现金流'!AK5252&amp;"|"&amp;'管线现金流'!I5253&amp;"|"&amp;'管线现金流'!AK5253&amp;"|"&amp;'管线现金流'!I5254&amp;"|"&amp;'管线现金流'!AK5254&amp;"|"&amp;'管线现金流'!I5255&amp;"|"&amp;'管线现金流'!AK5255&amp;"|"&amp;'管线现金流'!I5256&amp;"|"&amp;'管线现金流'!AK5256&amp;"|"&amp;'管线现金流'!I5257&amp;"|"&amp;'管线现金流'!AK5257&amp;"|"&amp;'管线现金流'!I5258&amp;"|"&amp;'管线现金流'!AK5258&amp;"|"&amp;'管线现金流'!I5259&amp;"|"&amp;'管线现金流'!AK5259&amp;"|"&amp;'管线现金流'!I5260&amp;"|"&amp;'管线现金流'!AK5260&amp;"|"&amp;'管线现金流'!I5261&amp;"|"&amp;'管线现金流'!AK5261&amp;"|"&amp;'管线现金流'!I5262&amp;"|"&amp;'管线现金流'!AK5262&amp;"|"&amp;'管线现金流'!I5263&amp;"|"&amp;'管线现金流'!AK5263&amp;"|"&amp;'管线现金流'!I5264&amp;"|"&amp;'管线现金流'!AK5264&amp;"|"&amp;'管线现金流'!I5265&amp;"|"&amp;'管线现金流'!AK5265&amp;"|"&amp;'管线现金流'!I5266&amp;"|"&amp;'管线现金流'!AK5266&amp;"|"&amp;'管线现金流'!I5267&amp;"|"&amp;'管线现金流'!AK5267&amp;"|"&amp;'管线现金流'!I5268&amp;"|"&amp;'管线现金流'!AK5268&amp;"|"&amp;'管线现金流'!I5269&amp;"|"&amp;'管线现金流'!AK5269&amp;"|"&amp;'管线现金流'!I5270&amp;"|"&amp;'管线现金流'!AK5270&amp;"|"&amp;'管线现金流'!I5271&amp;"|"&amp;'管线现金流'!AK5271&amp;"|"&amp;'管线现金流'!I5272&amp;"|"&amp;'管线现金流'!AK5272&amp;"|"&amp;'管线现金流'!I5273&amp;"|"&amp;'管线现金流'!AK5273&amp;"|"&amp;'管线现金流'!I5274&amp;"|"&amp;'管线现金流'!AK5274&amp;"|"&amp;'管线现金流'!I5275&amp;"|"&amp;'管线现金流'!AK5275&amp;"|"&amp;'管线现金流'!I5276&amp;"|"&amp;'管线现金流'!AK5276&amp;"|"&amp;'管线现金流'!I5277&amp;"|"&amp;'管线现金流'!AK5277&amp;"|"&amp;'管线现金流'!I5278&amp;"|"&amp;'管线现金流'!AK5278&amp;"|"&amp;'管线现金流'!I5279&amp;"|"&amp;'管线现金流'!AK5279&amp;"|"&amp;'管线现金流'!I5280&amp;"|"&amp;'管线现金流'!AK5280&amp;"|"&amp;'管线现金流'!I5281&amp;"|"&amp;'管线现金流'!AK5281&amp;"|"&amp;'管线现金流'!I5282&amp;"|"&amp;'管线现金流'!AK5282&amp;"|"&amp;'管线现金流'!I5283&amp;"|"&amp;'管线现金流'!AK5283&amp;"|"&amp;'管线现金流'!I5284&amp;"|"&amp;'管线现金流'!AK5284&amp;"|"&amp;'管线现金流'!I5285&amp;"|"&amp;'管线现金流'!AK5285&amp;"|"&amp;'管线现金流'!I5286&amp;"|"&amp;'管线现金流'!AK5286&amp;"|"&amp;'管线现金流'!I5287&amp;"|"&amp;'管线现金流'!AK5287&amp;"|"&amp;'管线现金流'!I5288&amp;"|"&amp;'管线现金流'!AK5288&amp;"|"&amp;'管线现金流'!I5289&amp;"|"&amp;'管线现金流'!AK5289&amp;"|"&amp;'管线现金流'!I5290&amp;"|"&amp;'管线现金流'!AK5290&amp;"|"&amp;'管线现金流'!I5291&amp;"|"&amp;'管线现金流'!AK5291&amp;"|"&amp;'管线现金流'!I5292&amp;"|"&amp;'管线现金流'!AK5292&amp;"|"&amp;'管线现金流'!I5293&amp;"|"&amp;'管线现金流'!AK5293&amp;"|"&amp;'管线现金流'!I5294&amp;"|"&amp;'管线现金流'!AK5294&amp;"|"&amp;'管线现金流'!I5295&amp;"|"&amp;'管线现金流'!AK5295&amp;"|"&amp;'管线现金流'!I5296&amp;"|"&amp;'管线现金流'!AK5296&amp;"|"&amp;'管线现金流'!I5297&amp;"|"&amp;'管线现金流'!AK5297&amp;"|"&amp;'管线现金流'!I5298&amp;"|"&amp;'管线现金流'!AK5298&amp;"|"&amp;'管线现金流'!I5299&amp;"|"&amp;'管线现金流'!AK5299&amp;"|"&amp;'管线现金流'!I5300&amp;"|"&amp;'管线现金流'!AK5300&amp;"|"&amp;'管线现金流'!I5301&amp;"|"&amp;'管线现金流'!AK5301&amp;"|"&amp;'管线现金流'!I5302&amp;"|"&amp;'管线现金流'!AK5302&amp;"|"&amp;'管线现金流'!I5303&amp;"|"&amp;'管线现金流'!AK5303&amp;"|"&amp;'管线现金流'!I5304&amp;"|"&amp;'管线现金流'!AK5304&amp;"|"&amp;'管线现金流'!I5305&amp;"|"&amp;'管线现金流'!AK5305&amp;"|"&amp;'管线现金流'!I5306&amp;"|"&amp;'管线现金流'!AK5306&amp;"|"&amp;'管线现金流'!I5307&amp;"|"&amp;'管线现金流'!AK5307&amp;"|"&amp;'管线现金流'!I5308&amp;"|"&amp;'管线现金流'!AK5308&amp;"|"&amp;'管线现金流'!I5309&amp;"|"&amp;'管线现金流'!AK5309&amp;"|"&amp;'管线现金流'!I5310&amp;"|"&amp;'管线现金流'!AK5310&amp;"|"&amp;'管线现金流'!I5311&amp;"|"&amp;'管线现金流'!AK5311&amp;"|"&amp;'管线现金流'!I5312&amp;"|"&amp;'管线现金流'!AK5312&amp;"|"&amp;'管线现金流'!I5313&amp;"|"&amp;'管线现金流'!AK5313&amp;"|"&amp;'管线现金流'!I5314&amp;"|"&amp;'管线现金流'!AK5314&amp;"|"&amp;'管线现金流'!I5315&amp;"|"&amp;'管线现金流'!AK5315&amp;"|"&amp;'管线现金流'!I5316&amp;"|"&amp;'管线现金流'!AK5316&amp;"|"&amp;'管线现金流'!I5317&amp;"|"&amp;'管线现金流'!AK5317&amp;"|"&amp;'管线现金流'!I5318&amp;"|"&amp;'管线现金流'!AK5318&amp;"|"&amp;'管线现金流'!I5319&amp;"|"&amp;'管线现金流'!AK5319&amp;"|"&amp;'管线现金流'!I5320&amp;"|"&amp;'管线现金流'!AK5320&amp;"|"&amp;'管线现金流'!I5321&amp;"|"&amp;'管线现金流'!AK5321&amp;"|"&amp;'管线现金流'!I5322&amp;"|"&amp;'管线现金流'!AK5322&amp;"|"&amp;'管线现金流'!I5323&amp;"|"&amp;'管线现金流'!AK5323&amp;"|"&amp;'管线现金流'!I5324&amp;"|"&amp;'管线现金流'!AK5324&amp;"|"&amp;'管线现金流'!I5325&amp;"|"&amp;'管线现金流'!AK5325&amp;"|"&amp;'管线现金流'!I5326&amp;"|"&amp;'管线现金流'!AK5326&amp;"|"&amp;'管线现金流'!I5327&amp;"|"&amp;'管线现金流'!AK5327&amp;"|"&amp;'管线现金流'!I5328&amp;"|"&amp;'管线现金流'!AK5328&amp;"|"&amp;'管线现金流'!I5329&amp;"|"&amp;'管线现金流'!AK5329&amp;"|"&amp;'管线现金流'!I5330&amp;"|"&amp;'管线现金流'!AK5330&amp;"|"&amp;'管线现金流'!I5331&amp;"|"&amp;'管线现金流'!AK5331&amp;"|"&amp;'管线现金流'!I5332&amp;"|"&amp;'管线现金流'!AK5332&amp;"|"&amp;'管线现金流'!I5333&amp;"|"&amp;'管线现金流'!AK5333&amp;"|"&amp;'管线现金流'!I5334&amp;"|"&amp;'管线现金流'!AK5334&amp;"|"&amp;'管线现金流'!I5335&amp;"|"&amp;'管线现金流'!AK5335&amp;"|"&amp;'管线现金流'!I5336&amp;"|"&amp;'管线现金流'!AK5336&amp;"|"&amp;'管线现金流'!I5337&amp;"|"&amp;'管线现金流'!AK5337&amp;"|"&amp;'管线现金流'!I5338&amp;"|"&amp;'管线现金流'!AK5338&amp;"|"&amp;'管线现金流'!I5339&amp;"|"&amp;'管线现金流'!AK5339&amp;"|"&amp;'管线现金流'!I5340&amp;"|"&amp;'管线现金流'!AK5340&amp;"|"&amp;'管线现金流'!I5341&amp;"|"&amp;'管线现金流'!AK5341&amp;"|"&amp;'管线现金流'!I5342&amp;"|"&amp;'管线现金流'!AK5342&amp;"|"&amp;'管线现金流'!I5343&amp;"|"&amp;'管线现金流'!AK5343&amp;"|"&amp;'管线现金流'!I5344&amp;"|"&amp;'管线现金流'!AK5344&amp;"|"&amp;'管线现金流'!I5345&amp;"|"&amp;'管线现金流'!AK5345&amp;"|"&amp;'管线现金流'!I5346&amp;"|"&amp;'管线现金流'!AK5346&amp;"|"&amp;'管线现金流'!I5347&amp;"|"&amp;'管线现金流'!AK5347&amp;"|"&amp;'管线现金流'!I5348&amp;"|"&amp;'管线现金流'!AK5348&amp;"|"&amp;'管线现金流'!I5349&amp;"|"&amp;'管线现金流'!AK5349&amp;"|"&amp;'管线现金流'!I5350&amp;"|"&amp;'管线现金流'!AK5350&amp;"|"&amp;'管线现金流'!I5351&amp;"|"&amp;'管线现金流'!AK5351&amp;"|"&amp;'管线现金流'!I5352&amp;"|"&amp;'管线现金流'!AK5352&amp;"|"&amp;'管线现金流'!I5353&amp;"|"&amp;'管线现金流'!AK5353&amp;"|"&amp;'管线现金流'!I5354&amp;"|"&amp;'管线现金流'!AK5354&amp;"|"&amp;'管线现金流'!I5355&amp;"|"&amp;'管线现金流'!AK5355&amp;"|"&amp;'管线现金流'!I5356&amp;"|"&amp;'管线现金流'!AK5356&amp;"|"&amp;'管线现金流'!I5357&amp;"|"&amp;'管线现金流'!AK5357&amp;"|"&amp;'管线现金流'!I5358&amp;"|"&amp;'管线现金流'!AK5358&amp;"|"&amp;'管线现金流'!I5359&amp;"|"&amp;'管线现金流'!AK5359&amp;"|"&amp;'管线现金流'!I5360&amp;"|"&amp;'管线现金流'!AK5360&amp;"|"&amp;'管线现金流'!I5361&amp;"|"&amp;'管线现金流'!AK5361&amp;"|"&amp;'管线现金流'!I5362&amp;"|"&amp;'管线现金流'!AK5362&amp;"|"&amp;'管线现金流'!I5363&amp;"|"&amp;'管线现金流'!AK5363&amp;"|"&amp;'管线现金流'!I5364&amp;"|"&amp;'管线现金流'!AK5364&amp;"|"&amp;'管线现金流'!I5365&amp;"|"&amp;'管线现金流'!AK5365&amp;"|"&amp;'管线现金流'!I5366&amp;"|"&amp;'管线现金流'!AK5366&amp;"|"&amp;'管线现金流'!I5367&amp;"|"&amp;'管线现金流'!AK5367&amp;"|"&amp;'管线现金流'!I5368&amp;"|"&amp;'管线现金流'!AK5368&amp;"|"&amp;'管线现金流'!I5369&amp;"|"&amp;'管线现金流'!AK5369&amp;"|"&amp;'管线现金流'!I5370&amp;"|"&amp;'管线现金流'!AK5370&amp;"|"&amp;'管线现金流'!I5371&amp;"|"&amp;'管线现金流'!AK5371&amp;"|"&amp;'管线现金流'!I5372&amp;"|"&amp;'管线现金流'!AK5372&amp;"|"&amp;'管线现金流'!I5373&amp;"|"&amp;'管线现金流'!AK5373&amp;"|"&amp;'管线现金流'!I5374&amp;"|"&amp;'管线现金流'!AK5374&amp;"|"&amp;'管线现金流'!V86&amp;"|"&amp;'管线现金流'!Y86&amp;"|"&amp;'管线现金流'!AP86&amp;"|"&amp;'管线现金流'!AS86&amp;"|"&amp;'管线现金流'!V87&amp;"|"&amp;'管线现金流'!Y87&amp;"|"&amp;'管线现金流'!AP87&amp;"|"&amp;'管线现金流'!AS87&amp;"|"&amp;'管线现金流'!V88&amp;"|"&amp;'管线现金流'!Y88&amp;"|"&amp;'管线现金流'!AP88&amp;"|"&amp;'管线现金流'!AS88&amp;"|"&amp;'管线现金流'!V89&amp;"|"&amp;'管线现金流'!Y89&amp;"|"&amp;'管线现金流'!AP89&amp;"|"&amp;'管线现金流'!AS89</x:f>
        <x:v>0.6|-1.75|2.3|0.9314|0.23|1|0.14|6.8|1|0.08000000000000002|1|0.14|6.8|0.6275999999999999|0.3|1|0.14|6.8|0.559|0.3|1|0.14|6.8|0.49039999999999995|0.3|1|0.14|6.8|0.31400000000000006|0.3|1|0.14|6.8|0.17680000000000007|0.3|1|0.14|6.8|0.21599999999999997|0.23|1|0.14|6.8|0.23560000000000003|0.3|1|0.14|6.8|0.118|0.3|1|0.14|6.8|0.265|0.3|1|0.14|6.8|0.13760000000000006|0.064|1|0.14|6.8|0.13760000000000006|0.3|1|0.14|6.8|0.4316|0.068|1|0.14|6.8|0.363|0.3|1|0.14|6.8|0.16700000000000004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</x:row>
    <x:row r="477" ht="23" customHeight="1">
      <x:c r="A477" s="11" t="str">
        <x:v>688062.SH</x:v>
      </x:c>
      <x:c r="B477" s="11" t="str">
        <x:v>迈威生物</x:v>
      </x:c>
      <x:c r="C477" s="11" t="str">
        <x:v>半年</x:v>
      </x:c>
      <x:c r="D477" s="11" t="str">
        <x:v>乐观</x:v>
      </x:c>
      <x:c r="E477" s="11" t="n">
        <x:v>24.78</x:v>
      </x:c>
      <x:c r="F477" s="11" t="n">
        <x:v>50.859494387766425</x:v>
      </x:c>
      <x:c r="G477" s="11" t="n">
        <x:v>0</x:v>
      </x:c>
      <x:c r="H477" s="25" t="n">
        <x:v>1.0524412585862155</x:v>
      </x:c>
      <x:c r="I477" s="25" t="n">
        <x:v>1.0524412585862155</x:v>
      </x:c>
      <x:c r="J477" s="25" t="str"/>
      <x:c r="K477" s="11" t="n">
        <x:v>0</x:v>
      </x:c>
      <x:c r="L477" s="11" t="n">
        <x:v>0</x:v>
      </x:c>
      <x:c r="M477" s="11" t="n">
        <x:v>1</x:v>
      </x:c>
      <x:c r="N477" s="11" t="n">
        <x:v>0</x:v>
      </x:c>
      <x:c r="O477" s="11" t="n">
        <x:v>0</x:v>
      </x:c>
      <x:c r="P477" s="11" t="n">
        <x:v>0</x:v>
      </x:c>
      <x:c r="Q477" s="11" t="n">
        <x:v>0.46</x:v>
      </x:c>
      <x:c r="R477" s="11" t="str">
        <x:v>mabwell-rnpv-v1.1</x:v>
      </x:c>
      <x:c r="S477" s="11" t="str">
        <x:v>2026-10-10</x:v>
      </x:c>
      <x:c r="T477" s="11" t="str">
        <x:f>IF(AND(SUM(IF(K477='假设'!E634,0,1),IF(L477='假设'!F634,0,1),IF(M477='假设'!G634,0,1),IF(N477='假设'!H634,0,1),IF(O477='假设'!I634,0,1),IF(P477='假设'!J634,0,1),IF(Q477='假设'!K634,0,1))=0,U477=V477),"已刷新","待刷新")</x:f>
        <x:v>已刷新</x:v>
      </x:c>
      <x:c r="U477" t="str">
        <x:v>0.75|-1.25|2.4|0.981|0.3|1|0.11|6.8|1|0.10660000000000001|1|0.11|6.8|0.829|0.38|1|0.11|6.8|0.791|0.38|1|0.11|6.8|0.7435|0.38|1|0.11|6.8|0.5725|0.38|1|0.11|6.8|0.3730000000000001|0.38|1|0.11|6.8|0.41100000000000003|0.3|1|0.11|6.8|0.44899999999999995|0.38|1|0.11|6.8|0.2875000000000001|0.38|1|0.11|6.8|0.47750000000000004|0.38|1|0.11|6.8|0.31600000000000006|0.0902|1|0.11|6.8|0.3350000000000001|0.38|1|0.11|6.8|0.6675|0.08610000000000001|1|0.11|6.8|0.62|0.38|1|0.11|6.8|0.3350000000000001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  <x:c r="V477" t="str">
        <x:f>'假设'!U634&amp;"|"&amp;'假设'!N634&amp;"|"&amp;'假设'!Q634&amp;"|"&amp;'管线假设'!E1094&amp;"|"&amp;'管线假设'!F1094&amp;"|"&amp;'管线假设'!G1094&amp;"|"&amp;'管线假设'!H1094&amp;"|"&amp;'管线假设'!I1094&amp;"|"&amp;'管线假设'!E1098&amp;"|"&amp;'管线假设'!F1098&amp;"|"&amp;'管线假设'!G1098&amp;"|"&amp;'管线假设'!H1098&amp;"|"&amp;'管线假设'!I1098&amp;"|"&amp;'管线假设'!E1102&amp;"|"&amp;'管线假设'!F1102&amp;"|"&amp;'管线假设'!G1102&amp;"|"&amp;'管线假设'!H1102&amp;"|"&amp;'管线假设'!I1102&amp;"|"&amp;'管线假设'!E1106&amp;"|"&amp;'管线假设'!F1106&amp;"|"&amp;'管线假设'!G1106&amp;"|"&amp;'管线假设'!H1106&amp;"|"&amp;'管线假设'!I1106&amp;"|"&amp;'管线假设'!E1110&amp;"|"&amp;'管线假设'!F1110&amp;"|"&amp;'管线假设'!G1110&amp;"|"&amp;'管线假设'!H1110&amp;"|"&amp;'管线假设'!I1110&amp;"|"&amp;'管线假设'!E1114&amp;"|"&amp;'管线假设'!F1114&amp;"|"&amp;'管线假设'!G1114&amp;"|"&amp;'管线假设'!H1114&amp;"|"&amp;'管线假设'!I1114&amp;"|"&amp;'管线假设'!E1118&amp;"|"&amp;'管线假设'!F1118&amp;"|"&amp;'管线假设'!G1118&amp;"|"&amp;'管线假设'!H1118&amp;"|"&amp;'管线假设'!I1118&amp;"|"&amp;'管线假设'!E1122&amp;"|"&amp;'管线假设'!F1122&amp;"|"&amp;'管线假设'!G1122&amp;"|"&amp;'管线假设'!H1122&amp;"|"&amp;'管线假设'!I1122&amp;"|"&amp;'管线假设'!E1126&amp;"|"&amp;'管线假设'!F1126&amp;"|"&amp;'管线假设'!G1126&amp;"|"&amp;'管线假设'!H1126&amp;"|"&amp;'管线假设'!I1126&amp;"|"&amp;'管线假设'!E1130&amp;"|"&amp;'管线假设'!F1130&amp;"|"&amp;'管线假设'!G1130&amp;"|"&amp;'管线假设'!H1130&amp;"|"&amp;'管线假设'!I1130&amp;"|"&amp;'管线假设'!E1134&amp;"|"&amp;'管线假设'!F1134&amp;"|"&amp;'管线假设'!G1134&amp;"|"&amp;'管线假设'!H1134&amp;"|"&amp;'管线假设'!I1134&amp;"|"&amp;'管线假设'!E1138&amp;"|"&amp;'管线假设'!F1138&amp;"|"&amp;'管线假设'!G1138&amp;"|"&amp;'管线假设'!H1138&amp;"|"&amp;'管线假设'!I1138&amp;"|"&amp;'管线假设'!E1142&amp;"|"&amp;'管线假设'!F1142&amp;"|"&amp;'管线假设'!G1142&amp;"|"&amp;'管线假设'!H1142&amp;"|"&amp;'管线假设'!I1142&amp;"|"&amp;'管线假设'!E1146&amp;"|"&amp;'管线假设'!F1146&amp;"|"&amp;'管线假设'!G1146&amp;"|"&amp;'管线假设'!H1146&amp;"|"&amp;'管线假设'!I1146&amp;"|"&amp;'管线假设'!E1150&amp;"|"&amp;'管线假设'!F1150&amp;"|"&amp;'管线假设'!G1150&amp;"|"&amp;'管线假设'!H1150&amp;"|"&amp;'管线假设'!I1150&amp;"|"&amp;'管线假设'!E1154&amp;"|"&amp;'管线假设'!F1154&amp;"|"&amp;'管线假设'!G1154&amp;"|"&amp;'管线假设'!H1154&amp;"|"&amp;'管线假设'!I1154&amp;"|"&amp;'管线现金流'!J5071&amp;"|"&amp;'管线现金流'!AL5071&amp;"|"&amp;'管线现金流'!J5072&amp;"|"&amp;'管线现金流'!AL5072&amp;"|"&amp;'管线现金流'!J5073&amp;"|"&amp;'管线现金流'!AL5073&amp;"|"&amp;'管线现金流'!J5074&amp;"|"&amp;'管线现金流'!AL5074&amp;"|"&amp;'管线现金流'!J5075&amp;"|"&amp;'管线现金流'!AL5075&amp;"|"&amp;'管线现金流'!J5076&amp;"|"&amp;'管线现金流'!AL5076&amp;"|"&amp;'管线现金流'!J5077&amp;"|"&amp;'管线现金流'!AL5077&amp;"|"&amp;'管线现金流'!J5078&amp;"|"&amp;'管线现金流'!AL5078&amp;"|"&amp;'管线现金流'!J5079&amp;"|"&amp;'管线现金流'!AL5079&amp;"|"&amp;'管线现金流'!J5080&amp;"|"&amp;'管线现金流'!AL5080&amp;"|"&amp;'管线现金流'!J5081&amp;"|"&amp;'管线现金流'!AL5081&amp;"|"&amp;'管线现金流'!J5082&amp;"|"&amp;'管线现金流'!AL5082&amp;"|"&amp;'管线现金流'!J5083&amp;"|"&amp;'管线现金流'!AL5083&amp;"|"&amp;'管线现金流'!J5084&amp;"|"&amp;'管线现金流'!AL5084&amp;"|"&amp;'管线现金流'!J5085&amp;"|"&amp;'管线现金流'!AL5085&amp;"|"&amp;'管线现金流'!J5086&amp;"|"&amp;'管线现金流'!AL5086&amp;"|"&amp;'管线现金流'!J5087&amp;"|"&amp;'管线现金流'!AL5087&amp;"|"&amp;'管线现金流'!J5088&amp;"|"&amp;'管线现金流'!AL5088&amp;"|"&amp;'管线现金流'!J5089&amp;"|"&amp;'管线现金流'!AL5089&amp;"|"&amp;'管线现金流'!J5090&amp;"|"&amp;'管线现金流'!AL5090&amp;"|"&amp;'管线现金流'!J5091&amp;"|"&amp;'管线现金流'!AL5091&amp;"|"&amp;'管线现金流'!J5092&amp;"|"&amp;'管线现金流'!AL5092&amp;"|"&amp;'管线现金流'!J5093&amp;"|"&amp;'管线现金流'!AL5093&amp;"|"&amp;'管线现金流'!J5094&amp;"|"&amp;'管线现金流'!AL5094&amp;"|"&amp;'管线现金流'!J5095&amp;"|"&amp;'管线现金流'!AL5095&amp;"|"&amp;'管线现金流'!J5096&amp;"|"&amp;'管线现金流'!AL5096&amp;"|"&amp;'管线现金流'!J5097&amp;"|"&amp;'管线现金流'!AL5097&amp;"|"&amp;'管线现金流'!J5098&amp;"|"&amp;'管线现金流'!AL5098&amp;"|"&amp;'管线现金流'!J5099&amp;"|"&amp;'管线现金流'!AL5099&amp;"|"&amp;'管线现金流'!J5100&amp;"|"&amp;'管线现金流'!AL5100&amp;"|"&amp;'管线现金流'!J5101&amp;"|"&amp;'管线现金流'!AL5101&amp;"|"&amp;'管线现金流'!J5102&amp;"|"&amp;'管线现金流'!AL5102&amp;"|"&amp;'管线现金流'!J5103&amp;"|"&amp;'管线现金流'!AL5103&amp;"|"&amp;'管线现金流'!J5104&amp;"|"&amp;'管线现金流'!AL5104&amp;"|"&amp;'管线现金流'!J5105&amp;"|"&amp;'管线现金流'!AL5105&amp;"|"&amp;'管线现金流'!J5106&amp;"|"&amp;'管线现金流'!AL5106&amp;"|"&amp;'管线现金流'!J5107&amp;"|"&amp;'管线现金流'!AL5107&amp;"|"&amp;'管线现金流'!J5108&amp;"|"&amp;'管线现金流'!AL5108&amp;"|"&amp;'管线现金流'!J5109&amp;"|"&amp;'管线现金流'!AL5109&amp;"|"&amp;'管线现金流'!J5110&amp;"|"&amp;'管线现金流'!AL5110&amp;"|"&amp;'管线现金流'!J5111&amp;"|"&amp;'管线现金流'!AL5111&amp;"|"&amp;'管线现金流'!J5112&amp;"|"&amp;'管线现金流'!AL5112&amp;"|"&amp;'管线现金流'!J5113&amp;"|"&amp;'管线现金流'!AL5113&amp;"|"&amp;'管线现金流'!J5114&amp;"|"&amp;'管线现金流'!AL5114&amp;"|"&amp;'管线现金流'!J5115&amp;"|"&amp;'管线现金流'!AL5115&amp;"|"&amp;'管线现金流'!J5116&amp;"|"&amp;'管线现金流'!AL5116&amp;"|"&amp;'管线现金流'!J5117&amp;"|"&amp;'管线现金流'!AL5117&amp;"|"&amp;'管线现金流'!J5118&amp;"|"&amp;'管线现金流'!AL5118&amp;"|"&amp;'管线现金流'!J5119&amp;"|"&amp;'管线现金流'!AL5119&amp;"|"&amp;'管线现金流'!J5120&amp;"|"&amp;'管线现金流'!AL5120&amp;"|"&amp;'管线现金流'!J5121&amp;"|"&amp;'管线现金流'!AL5121&amp;"|"&amp;'管线现金流'!J5122&amp;"|"&amp;'管线现金流'!AL5122&amp;"|"&amp;'管线现金流'!J5123&amp;"|"&amp;'管线现金流'!AL5123&amp;"|"&amp;'管线现金流'!J5124&amp;"|"&amp;'管线现金流'!AL5124&amp;"|"&amp;'管线现金流'!J5125&amp;"|"&amp;'管线现金流'!AL5125&amp;"|"&amp;'管线现金流'!J5126&amp;"|"&amp;'管线现金流'!AL5126&amp;"|"&amp;'管线现金流'!J5127&amp;"|"&amp;'管线现金流'!AL5127&amp;"|"&amp;'管线现金流'!J5128&amp;"|"&amp;'管线现金流'!AL5128&amp;"|"&amp;'管线现金流'!J5129&amp;"|"&amp;'管线现金流'!AL5129&amp;"|"&amp;'管线现金流'!J5130&amp;"|"&amp;'管线现金流'!AL5130&amp;"|"&amp;'管线现金流'!J5131&amp;"|"&amp;'管线现金流'!AL5131&amp;"|"&amp;'管线现金流'!J5132&amp;"|"&amp;'管线现金流'!AL5132&amp;"|"&amp;'管线现金流'!J5133&amp;"|"&amp;'管线现金流'!AL5133&amp;"|"&amp;'管线现金流'!J5134&amp;"|"&amp;'管线现金流'!AL5134&amp;"|"&amp;'管线现金流'!J5135&amp;"|"&amp;'管线现金流'!AL5135&amp;"|"&amp;'管线现金流'!J5136&amp;"|"&amp;'管线现金流'!AL5136&amp;"|"&amp;'管线现金流'!J5137&amp;"|"&amp;'管线现金流'!AL5137&amp;"|"&amp;'管线现金流'!J5138&amp;"|"&amp;'管线现金流'!AL5138&amp;"|"&amp;'管线现金流'!J5139&amp;"|"&amp;'管线现金流'!AL5139&amp;"|"&amp;'管线现金流'!J5140&amp;"|"&amp;'管线现金流'!AL5140&amp;"|"&amp;'管线现金流'!J5141&amp;"|"&amp;'管线现金流'!AL5141&amp;"|"&amp;'管线现金流'!J5142&amp;"|"&amp;'管线现金流'!AL5142&amp;"|"&amp;'管线现金流'!J5143&amp;"|"&amp;'管线现金流'!AL5143&amp;"|"&amp;'管线现金流'!J5144&amp;"|"&amp;'管线现金流'!AL5144&amp;"|"&amp;'管线现金流'!J5145&amp;"|"&amp;'管线现金流'!AL5145&amp;"|"&amp;'管线现金流'!J5146&amp;"|"&amp;'管线现金流'!AL5146&amp;"|"&amp;'管线现金流'!J5147&amp;"|"&amp;'管线现金流'!AL5147&amp;"|"&amp;'管线现金流'!J5148&amp;"|"&amp;'管线现金流'!AL5148&amp;"|"&amp;'管线现金流'!J5149&amp;"|"&amp;'管线现金流'!AL5149&amp;"|"&amp;'管线现金流'!J5150&amp;"|"&amp;'管线现金流'!AL5150&amp;"|"&amp;'管线现金流'!J5151&amp;"|"&amp;'管线现金流'!AL5151&amp;"|"&amp;'管线现金流'!J5152&amp;"|"&amp;'管线现金流'!AL5152&amp;"|"&amp;'管线现金流'!J5153&amp;"|"&amp;'管线现金流'!AL5153&amp;"|"&amp;'管线现金流'!J5154&amp;"|"&amp;'管线现金流'!AL5154&amp;"|"&amp;'管线现金流'!J5155&amp;"|"&amp;'管线现金流'!AL5155&amp;"|"&amp;'管线现金流'!J5156&amp;"|"&amp;'管线现金流'!AL5156&amp;"|"&amp;'管线现金流'!J5157&amp;"|"&amp;'管线现金流'!AL5157&amp;"|"&amp;'管线现金流'!J5158&amp;"|"&amp;'管线现金流'!AL5158&amp;"|"&amp;'管线现金流'!J5159&amp;"|"&amp;'管线现金流'!AL5159&amp;"|"&amp;'管线现金流'!J5160&amp;"|"&amp;'管线现金流'!AL5160&amp;"|"&amp;'管线现金流'!J5161&amp;"|"&amp;'管线现金流'!AL5161&amp;"|"&amp;'管线现金流'!J5162&amp;"|"&amp;'管线现金流'!AL5162&amp;"|"&amp;'管线现金流'!J5163&amp;"|"&amp;'管线现金流'!AL5163&amp;"|"&amp;'管线现金流'!J5164&amp;"|"&amp;'管线现金流'!AL5164&amp;"|"&amp;'管线现金流'!J5165&amp;"|"&amp;'管线现金流'!AL5165&amp;"|"&amp;'管线现金流'!J5166&amp;"|"&amp;'管线现金流'!AL5166&amp;"|"&amp;'管线现金流'!J5167&amp;"|"&amp;'管线现金流'!AL5167&amp;"|"&amp;'管线现金流'!J5168&amp;"|"&amp;'管线现金流'!AL5168&amp;"|"&amp;'管线现金流'!J5169&amp;"|"&amp;'管线现金流'!AL5169&amp;"|"&amp;'管线现金流'!J5170&amp;"|"&amp;'管线现金流'!AL5170&amp;"|"&amp;'管线现金流'!J5171&amp;"|"&amp;'管线现金流'!AL5171&amp;"|"&amp;'管线现金流'!J5172&amp;"|"&amp;'管线现金流'!AL5172&amp;"|"&amp;'管线现金流'!J5173&amp;"|"&amp;'管线现金流'!AL5173&amp;"|"&amp;'管线现金流'!J5174&amp;"|"&amp;'管线现金流'!AL5174&amp;"|"&amp;'管线现金流'!J5175&amp;"|"&amp;'管线现金流'!AL5175&amp;"|"&amp;'管线现金流'!J5176&amp;"|"&amp;'管线现金流'!AL5176&amp;"|"&amp;'管线现金流'!J5177&amp;"|"&amp;'管线现金流'!AL5177&amp;"|"&amp;'管线现金流'!J5178&amp;"|"&amp;'管线现金流'!AL5178&amp;"|"&amp;'管线现金流'!J5179&amp;"|"&amp;'管线现金流'!AL5179&amp;"|"&amp;'管线现金流'!J5180&amp;"|"&amp;'管线现金流'!AL5180&amp;"|"&amp;'管线现金流'!J5181&amp;"|"&amp;'管线现金流'!AL5181&amp;"|"&amp;'管线现金流'!J5182&amp;"|"&amp;'管线现金流'!AL5182&amp;"|"&amp;'管线现金流'!J5183&amp;"|"&amp;'管线现金流'!AL5183&amp;"|"&amp;'管线现金流'!J5184&amp;"|"&amp;'管线现金流'!AL5184&amp;"|"&amp;'管线现金流'!J5185&amp;"|"&amp;'管线现金流'!AL5185&amp;"|"&amp;'管线现金流'!J5186&amp;"|"&amp;'管线现金流'!AL5186&amp;"|"&amp;'管线现金流'!J5187&amp;"|"&amp;'管线现金流'!AL5187&amp;"|"&amp;'管线现金流'!J5188&amp;"|"&amp;'管线现金流'!AL5188&amp;"|"&amp;'管线现金流'!J5189&amp;"|"&amp;'管线现金流'!AL5189&amp;"|"&amp;'管线现金流'!J5190&amp;"|"&amp;'管线现金流'!AL5190&amp;"|"&amp;'管线现金流'!J5191&amp;"|"&amp;'管线现金流'!AL5191&amp;"|"&amp;'管线现金流'!J5192&amp;"|"&amp;'管线现金流'!AL5192&amp;"|"&amp;'管线现金流'!J5193&amp;"|"&amp;'管线现金流'!AL5193&amp;"|"&amp;'管线现金流'!J5194&amp;"|"&amp;'管线现金流'!AL5194&amp;"|"&amp;'管线现金流'!J5195&amp;"|"&amp;'管线现金流'!AL5195&amp;"|"&amp;'管线现金流'!J5196&amp;"|"&amp;'管线现金流'!AL5196&amp;"|"&amp;'管线现金流'!J5197&amp;"|"&amp;'管线现金流'!AL5197&amp;"|"&amp;'管线现金流'!J5198&amp;"|"&amp;'管线现金流'!AL5198&amp;"|"&amp;'管线现金流'!J5199&amp;"|"&amp;'管线现金流'!AL5199&amp;"|"&amp;'管线现金流'!J5200&amp;"|"&amp;'管线现金流'!AL5200&amp;"|"&amp;'管线现金流'!J5201&amp;"|"&amp;'管线现金流'!AL5201&amp;"|"&amp;'管线现金流'!J5202&amp;"|"&amp;'管线现金流'!AL5202&amp;"|"&amp;'管线现金流'!J5203&amp;"|"&amp;'管线现金流'!AL5203&amp;"|"&amp;'管线现金流'!J5204&amp;"|"&amp;'管线现金流'!AL5204&amp;"|"&amp;'管线现金流'!J5205&amp;"|"&amp;'管线现金流'!AL5205&amp;"|"&amp;'管线现金流'!J5206&amp;"|"&amp;'管线现金流'!AL5206&amp;"|"&amp;'管线现金流'!J5207&amp;"|"&amp;'管线现金流'!AL5207&amp;"|"&amp;'管线现金流'!J5208&amp;"|"&amp;'管线现金流'!AL5208&amp;"|"&amp;'管线现金流'!J5209&amp;"|"&amp;'管线现金流'!AL5209&amp;"|"&amp;'管线现金流'!J5210&amp;"|"&amp;'管线现金流'!AL5210&amp;"|"&amp;'管线现金流'!J5211&amp;"|"&amp;'管线现金流'!AL5211&amp;"|"&amp;'管线现金流'!J5212&amp;"|"&amp;'管线现金流'!AL5212&amp;"|"&amp;'管线现金流'!J5213&amp;"|"&amp;'管线现金流'!AL5213&amp;"|"&amp;'管线现金流'!J5214&amp;"|"&amp;'管线现金流'!AL5214&amp;"|"&amp;'管线现金流'!J5215&amp;"|"&amp;'管线现金流'!AL5215&amp;"|"&amp;'管线现金流'!J5216&amp;"|"&amp;'管线现金流'!AL5216&amp;"|"&amp;'管线现金流'!J5217&amp;"|"&amp;'管线现金流'!AL5217&amp;"|"&amp;'管线现金流'!J5218&amp;"|"&amp;'管线现金流'!AL5218&amp;"|"&amp;'管线现金流'!J5219&amp;"|"&amp;'管线现金流'!AL5219&amp;"|"&amp;'管线现金流'!J5220&amp;"|"&amp;'管线现金流'!AL5220&amp;"|"&amp;'管线现金流'!J5221&amp;"|"&amp;'管线现金流'!AL5221&amp;"|"&amp;'管线现金流'!J5222&amp;"|"&amp;'管线现金流'!AL5222&amp;"|"&amp;'管线现金流'!J5223&amp;"|"&amp;'管线现金流'!AL5223&amp;"|"&amp;'管线现金流'!J5224&amp;"|"&amp;'管线现金流'!AL5224&amp;"|"&amp;'管线现金流'!J5225&amp;"|"&amp;'管线现金流'!AL5225&amp;"|"&amp;'管线现金流'!J5226&amp;"|"&amp;'管线现金流'!AL5226&amp;"|"&amp;'管线现金流'!J5227&amp;"|"&amp;'管线现金流'!AL5227&amp;"|"&amp;'管线现金流'!J5228&amp;"|"&amp;'管线现金流'!AL5228&amp;"|"&amp;'管线现金流'!J5229&amp;"|"&amp;'管线现金流'!AL5229&amp;"|"&amp;'管线现金流'!J5230&amp;"|"&amp;'管线现金流'!AL5230&amp;"|"&amp;'管线现金流'!J5231&amp;"|"&amp;'管线现金流'!AL5231&amp;"|"&amp;'管线现金流'!J5232&amp;"|"&amp;'管线现金流'!AL5232&amp;"|"&amp;'管线现金流'!J5233&amp;"|"&amp;'管线现金流'!AL5233&amp;"|"&amp;'管线现金流'!J5234&amp;"|"&amp;'管线现金流'!AL5234&amp;"|"&amp;'管线现金流'!J5235&amp;"|"&amp;'管线现金流'!AL5235&amp;"|"&amp;'管线现金流'!J5236&amp;"|"&amp;'管线现金流'!AL5236&amp;"|"&amp;'管线现金流'!J5237&amp;"|"&amp;'管线现金流'!AL5237&amp;"|"&amp;'管线现金流'!J5238&amp;"|"&amp;'管线现金流'!AL5238&amp;"|"&amp;'管线现金流'!J5239&amp;"|"&amp;'管线现金流'!AL5239&amp;"|"&amp;'管线现金流'!J5240&amp;"|"&amp;'管线现金流'!AL5240&amp;"|"&amp;'管线现金流'!J5241&amp;"|"&amp;'管线现金流'!AL5241&amp;"|"&amp;'管线现金流'!J5242&amp;"|"&amp;'管线现金流'!AL5242&amp;"|"&amp;'管线现金流'!J5243&amp;"|"&amp;'管线现金流'!AL5243&amp;"|"&amp;'管线现金流'!J5244&amp;"|"&amp;'管线现金流'!AL5244&amp;"|"&amp;'管线现金流'!J5245&amp;"|"&amp;'管线现金流'!AL5245&amp;"|"&amp;'管线现金流'!J5246&amp;"|"&amp;'管线现金流'!AL5246&amp;"|"&amp;'管线现金流'!J5247&amp;"|"&amp;'管线现金流'!AL5247&amp;"|"&amp;'管线现金流'!J5248&amp;"|"&amp;'管线现金流'!AL5248&amp;"|"&amp;'管线现金流'!J5249&amp;"|"&amp;'管线现金流'!AL5249&amp;"|"&amp;'管线现金流'!J5250&amp;"|"&amp;'管线现金流'!AL5250&amp;"|"&amp;'管线现金流'!J5251&amp;"|"&amp;'管线现金流'!AL5251&amp;"|"&amp;'管线现金流'!J5252&amp;"|"&amp;'管线现金流'!AL5252&amp;"|"&amp;'管线现金流'!J5253&amp;"|"&amp;'管线现金流'!AL5253&amp;"|"&amp;'管线现金流'!J5254&amp;"|"&amp;'管线现金流'!AL5254&amp;"|"&amp;'管线现金流'!J5255&amp;"|"&amp;'管线现金流'!AL5255&amp;"|"&amp;'管线现金流'!J5256&amp;"|"&amp;'管线现金流'!AL5256&amp;"|"&amp;'管线现金流'!J5257&amp;"|"&amp;'管线现金流'!AL5257&amp;"|"&amp;'管线现金流'!J5258&amp;"|"&amp;'管线现金流'!AL5258&amp;"|"&amp;'管线现金流'!J5259&amp;"|"&amp;'管线现金流'!AL5259&amp;"|"&amp;'管线现金流'!J5260&amp;"|"&amp;'管线现金流'!AL5260&amp;"|"&amp;'管线现金流'!J5261&amp;"|"&amp;'管线现金流'!AL5261&amp;"|"&amp;'管线现金流'!J5262&amp;"|"&amp;'管线现金流'!AL5262&amp;"|"&amp;'管线现金流'!J5263&amp;"|"&amp;'管线现金流'!AL5263&amp;"|"&amp;'管线现金流'!J5264&amp;"|"&amp;'管线现金流'!AL5264&amp;"|"&amp;'管线现金流'!J5265&amp;"|"&amp;'管线现金流'!AL5265&amp;"|"&amp;'管线现金流'!J5266&amp;"|"&amp;'管线现金流'!AL5266&amp;"|"&amp;'管线现金流'!J5267&amp;"|"&amp;'管线现金流'!AL5267&amp;"|"&amp;'管线现金流'!J5268&amp;"|"&amp;'管线现金流'!AL5268&amp;"|"&amp;'管线现金流'!J5269&amp;"|"&amp;'管线现金流'!AL5269&amp;"|"&amp;'管线现金流'!J5270&amp;"|"&amp;'管线现金流'!AL5270&amp;"|"&amp;'管线现金流'!J5271&amp;"|"&amp;'管线现金流'!AL5271&amp;"|"&amp;'管线现金流'!J5272&amp;"|"&amp;'管线现金流'!AL5272&amp;"|"&amp;'管线现金流'!J5273&amp;"|"&amp;'管线现金流'!AL5273&amp;"|"&amp;'管线现金流'!J5274&amp;"|"&amp;'管线现金流'!AL5274&amp;"|"&amp;'管线现金流'!J5275&amp;"|"&amp;'管线现金流'!AL5275&amp;"|"&amp;'管线现金流'!J5276&amp;"|"&amp;'管线现金流'!AL5276&amp;"|"&amp;'管线现金流'!J5277&amp;"|"&amp;'管线现金流'!AL5277&amp;"|"&amp;'管线现金流'!J5278&amp;"|"&amp;'管线现金流'!AL5278&amp;"|"&amp;'管线现金流'!J5279&amp;"|"&amp;'管线现金流'!AL5279&amp;"|"&amp;'管线现金流'!J5280&amp;"|"&amp;'管线现金流'!AL5280&amp;"|"&amp;'管线现金流'!J5281&amp;"|"&amp;'管线现金流'!AL5281&amp;"|"&amp;'管线现金流'!J5282&amp;"|"&amp;'管线现金流'!AL5282&amp;"|"&amp;'管线现金流'!J5283&amp;"|"&amp;'管线现金流'!AL5283&amp;"|"&amp;'管线现金流'!J5284&amp;"|"&amp;'管线现金流'!AL5284&amp;"|"&amp;'管线现金流'!J5285&amp;"|"&amp;'管线现金流'!AL5285&amp;"|"&amp;'管线现金流'!J5286&amp;"|"&amp;'管线现金流'!AL5286&amp;"|"&amp;'管线现金流'!J5287&amp;"|"&amp;'管线现金流'!AL5287&amp;"|"&amp;'管线现金流'!J5288&amp;"|"&amp;'管线现金流'!AL5288&amp;"|"&amp;'管线现金流'!J5289&amp;"|"&amp;'管线现金流'!AL5289&amp;"|"&amp;'管线现金流'!J5290&amp;"|"&amp;'管线现金流'!AL5290&amp;"|"&amp;'管线现金流'!J5291&amp;"|"&amp;'管线现金流'!AL5291&amp;"|"&amp;'管线现金流'!J5292&amp;"|"&amp;'管线现金流'!AL5292&amp;"|"&amp;'管线现金流'!J5293&amp;"|"&amp;'管线现金流'!AL5293&amp;"|"&amp;'管线现金流'!J5294&amp;"|"&amp;'管线现金流'!AL5294&amp;"|"&amp;'管线现金流'!J5295&amp;"|"&amp;'管线现金流'!AL5295&amp;"|"&amp;'管线现金流'!J5296&amp;"|"&amp;'管线现金流'!AL5296&amp;"|"&amp;'管线现金流'!J5297&amp;"|"&amp;'管线现金流'!AL5297&amp;"|"&amp;'管线现金流'!J5298&amp;"|"&amp;'管线现金流'!AL5298&amp;"|"&amp;'管线现金流'!J5299&amp;"|"&amp;'管线现金流'!AL5299&amp;"|"&amp;'管线现金流'!J5300&amp;"|"&amp;'管线现金流'!AL5300&amp;"|"&amp;'管线现金流'!J5301&amp;"|"&amp;'管线现金流'!AL5301&amp;"|"&amp;'管线现金流'!J5302&amp;"|"&amp;'管线现金流'!AL5302&amp;"|"&amp;'管线现金流'!J5303&amp;"|"&amp;'管线现金流'!AL5303&amp;"|"&amp;'管线现金流'!J5304&amp;"|"&amp;'管线现金流'!AL5304&amp;"|"&amp;'管线现金流'!J5305&amp;"|"&amp;'管线现金流'!AL5305&amp;"|"&amp;'管线现金流'!J5306&amp;"|"&amp;'管线现金流'!AL5306&amp;"|"&amp;'管线现金流'!J5307&amp;"|"&amp;'管线现金流'!AL5307&amp;"|"&amp;'管线现金流'!J5308&amp;"|"&amp;'管线现金流'!AL5308&amp;"|"&amp;'管线现金流'!J5309&amp;"|"&amp;'管线现金流'!AL5309&amp;"|"&amp;'管线现金流'!J5310&amp;"|"&amp;'管线现金流'!AL5310&amp;"|"&amp;'管线现金流'!J5311&amp;"|"&amp;'管线现金流'!AL5311&amp;"|"&amp;'管线现金流'!J5312&amp;"|"&amp;'管线现金流'!AL5312&amp;"|"&amp;'管线现金流'!J5313&amp;"|"&amp;'管线现金流'!AL5313&amp;"|"&amp;'管线现金流'!J5314&amp;"|"&amp;'管线现金流'!AL5314&amp;"|"&amp;'管线现金流'!J5315&amp;"|"&amp;'管线现金流'!AL5315&amp;"|"&amp;'管线现金流'!J5316&amp;"|"&amp;'管线现金流'!AL5316&amp;"|"&amp;'管线现金流'!J5317&amp;"|"&amp;'管线现金流'!AL5317&amp;"|"&amp;'管线现金流'!J5318&amp;"|"&amp;'管线现金流'!AL5318&amp;"|"&amp;'管线现金流'!J5319&amp;"|"&amp;'管线现金流'!AL5319&amp;"|"&amp;'管线现金流'!J5320&amp;"|"&amp;'管线现金流'!AL5320&amp;"|"&amp;'管线现金流'!J5321&amp;"|"&amp;'管线现金流'!AL5321&amp;"|"&amp;'管线现金流'!J5322&amp;"|"&amp;'管线现金流'!AL5322&amp;"|"&amp;'管线现金流'!J5323&amp;"|"&amp;'管线现金流'!AL5323&amp;"|"&amp;'管线现金流'!J5324&amp;"|"&amp;'管线现金流'!AL5324&amp;"|"&amp;'管线现金流'!J5325&amp;"|"&amp;'管线现金流'!AL5325&amp;"|"&amp;'管线现金流'!J5326&amp;"|"&amp;'管线现金流'!AL5326&amp;"|"&amp;'管线现金流'!J5327&amp;"|"&amp;'管线现金流'!AL5327&amp;"|"&amp;'管线现金流'!J5328&amp;"|"&amp;'管线现金流'!AL5328&amp;"|"&amp;'管线现金流'!J5329&amp;"|"&amp;'管线现金流'!AL5329&amp;"|"&amp;'管线现金流'!J5330&amp;"|"&amp;'管线现金流'!AL5330&amp;"|"&amp;'管线现金流'!J5331&amp;"|"&amp;'管线现金流'!AL5331&amp;"|"&amp;'管线现金流'!J5332&amp;"|"&amp;'管线现金流'!AL5332&amp;"|"&amp;'管线现金流'!J5333&amp;"|"&amp;'管线现金流'!AL5333&amp;"|"&amp;'管线现金流'!J5334&amp;"|"&amp;'管线现金流'!AL5334&amp;"|"&amp;'管线现金流'!J5335&amp;"|"&amp;'管线现金流'!AL5335&amp;"|"&amp;'管线现金流'!J5336&amp;"|"&amp;'管线现金流'!AL5336&amp;"|"&amp;'管线现金流'!J5337&amp;"|"&amp;'管线现金流'!AL5337&amp;"|"&amp;'管线现金流'!J5338&amp;"|"&amp;'管线现金流'!AL5338&amp;"|"&amp;'管线现金流'!J5339&amp;"|"&amp;'管线现金流'!AL5339&amp;"|"&amp;'管线现金流'!J5340&amp;"|"&amp;'管线现金流'!AL5340&amp;"|"&amp;'管线现金流'!J5341&amp;"|"&amp;'管线现金流'!AL5341&amp;"|"&amp;'管线现金流'!J5342&amp;"|"&amp;'管线现金流'!AL5342&amp;"|"&amp;'管线现金流'!J5343&amp;"|"&amp;'管线现金流'!AL5343&amp;"|"&amp;'管线现金流'!J5344&amp;"|"&amp;'管线现金流'!AL5344&amp;"|"&amp;'管线现金流'!J5345&amp;"|"&amp;'管线现金流'!AL5345&amp;"|"&amp;'管线现金流'!J5346&amp;"|"&amp;'管线现金流'!AL5346&amp;"|"&amp;'管线现金流'!J5347&amp;"|"&amp;'管线现金流'!AL5347&amp;"|"&amp;'管线现金流'!J5348&amp;"|"&amp;'管线现金流'!AL5348&amp;"|"&amp;'管线现金流'!J5349&amp;"|"&amp;'管线现金流'!AL5349&amp;"|"&amp;'管线现金流'!J5350&amp;"|"&amp;'管线现金流'!AL5350&amp;"|"&amp;'管线现金流'!J5351&amp;"|"&amp;'管线现金流'!AL5351&amp;"|"&amp;'管线现金流'!J5352&amp;"|"&amp;'管线现金流'!AL5352&amp;"|"&amp;'管线现金流'!J5353&amp;"|"&amp;'管线现金流'!AL5353&amp;"|"&amp;'管线现金流'!J5354&amp;"|"&amp;'管线现金流'!AL5354&amp;"|"&amp;'管线现金流'!J5355&amp;"|"&amp;'管线现金流'!AL5355&amp;"|"&amp;'管线现金流'!J5356&amp;"|"&amp;'管线现金流'!AL5356&amp;"|"&amp;'管线现金流'!J5357&amp;"|"&amp;'管线现金流'!AL5357&amp;"|"&amp;'管线现金流'!J5358&amp;"|"&amp;'管线现金流'!AL5358&amp;"|"&amp;'管线现金流'!J5359&amp;"|"&amp;'管线现金流'!AL5359&amp;"|"&amp;'管线现金流'!J5360&amp;"|"&amp;'管线现金流'!AL5360&amp;"|"&amp;'管线现金流'!J5361&amp;"|"&amp;'管线现金流'!AL5361&amp;"|"&amp;'管线现金流'!J5362&amp;"|"&amp;'管线现金流'!AL5362&amp;"|"&amp;'管线现金流'!J5363&amp;"|"&amp;'管线现金流'!AL5363&amp;"|"&amp;'管线现金流'!J5364&amp;"|"&amp;'管线现金流'!AL5364&amp;"|"&amp;'管线现金流'!J5365&amp;"|"&amp;'管线现金流'!AL5365&amp;"|"&amp;'管线现金流'!J5366&amp;"|"&amp;'管线现金流'!AL5366&amp;"|"&amp;'管线现金流'!J5367&amp;"|"&amp;'管线现金流'!AL5367&amp;"|"&amp;'管线现金流'!J5368&amp;"|"&amp;'管线现金流'!AL5368&amp;"|"&amp;'管线现金流'!J5369&amp;"|"&amp;'管线现金流'!AL5369&amp;"|"&amp;'管线现金流'!J5370&amp;"|"&amp;'管线现金流'!AL5370&amp;"|"&amp;'管线现金流'!J5371&amp;"|"&amp;'管线现金流'!AL5371&amp;"|"&amp;'管线现金流'!J5372&amp;"|"&amp;'管线现金流'!AL5372&amp;"|"&amp;'管线现金流'!J5373&amp;"|"&amp;'管线现金流'!AL5373&amp;"|"&amp;'管线现金流'!J5374&amp;"|"&amp;'管线现金流'!AL5374&amp;"|"&amp;'管线现金流'!W86&amp;"|"&amp;'管线现金流'!Z86&amp;"|"&amp;'管线现金流'!AQ86&amp;"|"&amp;'管线现金流'!AT86&amp;"|"&amp;'管线现金流'!W87&amp;"|"&amp;'管线现金流'!Z87&amp;"|"&amp;'管线现金流'!AQ87&amp;"|"&amp;'管线现金流'!AT87&amp;"|"&amp;'管线现金流'!W88&amp;"|"&amp;'管线现金流'!Z88&amp;"|"&amp;'管线现金流'!AQ88&amp;"|"&amp;'管线现金流'!AT88&amp;"|"&amp;'管线现金流'!W89&amp;"|"&amp;'管线现金流'!Z89&amp;"|"&amp;'管线现金流'!AQ89&amp;"|"&amp;'管线现金流'!AT89</x:f>
        <x:v>0.75|-1.25|2.4|0.981|0.3|1|0.11|6.8|1|0.10660000000000001|1|0.11|6.8|0.829|0.38|1|0.11|6.8|0.791|0.38|1|0.11|6.8|0.7435|0.38|1|0.11|6.8|0.5725|0.38|1|0.11|6.8|0.3730000000000001|0.38|1|0.11|6.8|0.41100000000000003|0.3|1|0.11|6.8|0.44899999999999995|0.38|1|0.11|6.8|0.2875000000000001|0.38|1|0.11|6.8|0.47750000000000004|0.38|1|0.11|6.8|0.31600000000000006|0.0902|1|0.11|6.8|0.3350000000000001|0.38|1|0.11|6.8|0.6675|0.08610000000000001|1|0.11|6.8|0.62|0.38|1|0.11|6.8|0.3350000000000001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</x:row>
    <x:row r="478" ht="23" customHeight="1">
      <x:c r="A478" s="11" t="str">
        <x:v>688062.SH</x:v>
      </x:c>
      <x:c r="B478" s="11" t="str">
        <x:v>迈威生物</x:v>
      </x:c>
      <x:c r="C478" s="11" t="str">
        <x:v>一年</x:v>
      </x:c>
      <x:c r="D478" s="11" t="str">
        <x:v>悲观</x:v>
      </x:c>
      <x:c r="E478" s="11" t="n">
        <x:v>24.78</x:v>
      </x:c>
      <x:c r="F478" s="11" t="n">
        <x:v>3.7170000000000023</x:v>
      </x:c>
      <x:c r="G478" s="11" t="n">
        <x:v>0</x:v>
      </x:c>
      <x:c r="H478" s="25" t="n">
        <x:v>-0.8499999999999999</x:v>
      </x:c>
      <x:c r="I478" s="25" t="n">
        <x:v>-0.8499999999999999</x:v>
      </x:c>
      <x:c r="J478" s="25" t="str"/>
      <x:c r="K478" s="11" t="n">
        <x:v>0</x:v>
      </x:c>
      <x:c r="L478" s="11" t="n">
        <x:v>0</x:v>
      </x:c>
      <x:c r="M478" s="11" t="n">
        <x:v>1</x:v>
      </x:c>
      <x:c r="N478" s="11" t="n">
        <x:v>0</x:v>
      </x:c>
      <x:c r="O478" s="11" t="n">
        <x:v>0</x:v>
      </x:c>
      <x:c r="P478" s="11" t="n">
        <x:v>0</x:v>
      </x:c>
      <x:c r="Q478" s="11" t="n">
        <x:v>0.52</x:v>
      </x:c>
      <x:c r="R478" s="11" t="str">
        <x:v>mabwell-rnpv-v1.1</x:v>
      </x:c>
      <x:c r="S478" s="11" t="str">
        <x:v>2026-10-10</x:v>
      </x:c>
      <x:c r="T478" s="11" t="str">
        <x:f>IF(AND(SUM(IF(K478='假设'!E636,0,1),IF(L478='假设'!F636,0,1),IF(M478='假设'!G636,0,1),IF(N478='假设'!H636,0,1),IF(O478='假设'!I636,0,1),IF(P478='假设'!J636,0,1),IF(Q478='假设'!K636,0,1))=0,U478=V478),"已刷新","待刷新")</x:f>
        <x:v>已刷新</x:v>
      </x:c>
      <x:c r="U478" t="str">
        <x:v>0.85|-2.4|2.6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  <x:c r="V478" t="str">
        <x:f>'假设'!U636&amp;"|"&amp;'假设'!N636&amp;"|"&amp;'假设'!Q636&amp;"|"&amp;'管线假设'!E1156&amp;"|"&amp;'管线假设'!F1156&amp;"|"&amp;'管线假设'!G1156&amp;"|"&amp;'管线假设'!H1156&amp;"|"&amp;'管线假设'!I1156&amp;"|"&amp;'管线假设'!E1160&amp;"|"&amp;'管线假设'!F1160&amp;"|"&amp;'管线假设'!G1160&amp;"|"&amp;'管线假设'!H1160&amp;"|"&amp;'管线假设'!I1160&amp;"|"&amp;'管线假设'!E1164&amp;"|"&amp;'管线假设'!F1164&amp;"|"&amp;'管线假设'!G1164&amp;"|"&amp;'管线假设'!H1164&amp;"|"&amp;'管线假设'!I1164&amp;"|"&amp;'管线假设'!E1168&amp;"|"&amp;'管线假设'!F1168&amp;"|"&amp;'管线假设'!G1168&amp;"|"&amp;'管线假设'!H1168&amp;"|"&amp;'管线假设'!I1168&amp;"|"&amp;'管线假设'!E1172&amp;"|"&amp;'管线假设'!F1172&amp;"|"&amp;'管线假设'!G1172&amp;"|"&amp;'管线假设'!H1172&amp;"|"&amp;'管线假设'!I1172&amp;"|"&amp;'管线假设'!E1176&amp;"|"&amp;'管线假设'!F1176&amp;"|"&amp;'管线假设'!G1176&amp;"|"&amp;'管线假设'!H1176&amp;"|"&amp;'管线假设'!I1176&amp;"|"&amp;'管线假设'!E1180&amp;"|"&amp;'管线假设'!F1180&amp;"|"&amp;'管线假设'!G1180&amp;"|"&amp;'管线假设'!H1180&amp;"|"&amp;'管线假设'!I1180&amp;"|"&amp;'管线假设'!E1184&amp;"|"&amp;'管线假设'!F1184&amp;"|"&amp;'管线假设'!G1184&amp;"|"&amp;'管线假设'!H1184&amp;"|"&amp;'管线假设'!I1184&amp;"|"&amp;'管线假设'!E1188&amp;"|"&amp;'管线假设'!F1188&amp;"|"&amp;'管线假设'!G1188&amp;"|"&amp;'管线假设'!H1188&amp;"|"&amp;'管线假设'!I1188&amp;"|"&amp;'管线假设'!E1192&amp;"|"&amp;'管线假设'!F1192&amp;"|"&amp;'管线假设'!G1192&amp;"|"&amp;'管线假设'!H1192&amp;"|"&amp;'管线假设'!I1192&amp;"|"&amp;'管线假设'!E1196&amp;"|"&amp;'管线假设'!F1196&amp;"|"&amp;'管线假设'!G1196&amp;"|"&amp;'管线假设'!H1196&amp;"|"&amp;'管线假设'!I1196&amp;"|"&amp;'管线假设'!E1200&amp;"|"&amp;'管线假设'!F1200&amp;"|"&amp;'管线假设'!G1200&amp;"|"&amp;'管线假设'!H1200&amp;"|"&amp;'管线假设'!I1200&amp;"|"&amp;'管线假设'!E1204&amp;"|"&amp;'管线假设'!F1204&amp;"|"&amp;'管线假设'!G1204&amp;"|"&amp;'管线假设'!H1204&amp;"|"&amp;'管线假设'!I1204&amp;"|"&amp;'管线假设'!E1208&amp;"|"&amp;'管线假设'!F1208&amp;"|"&amp;'管线假设'!G1208&amp;"|"&amp;'管线假设'!H1208&amp;"|"&amp;'管线假设'!I1208&amp;"|"&amp;'管线假设'!E1212&amp;"|"&amp;'管线假设'!F1212&amp;"|"&amp;'管线假设'!G1212&amp;"|"&amp;'管线假设'!H1212&amp;"|"&amp;'管线假设'!I1212&amp;"|"&amp;'管线假设'!E1216&amp;"|"&amp;'管线假设'!F1216&amp;"|"&amp;'管线假设'!G1216&amp;"|"&amp;'管线假设'!H1216&amp;"|"&amp;'管线假设'!I1216&amp;"|"&amp;'管线现金流'!H5375&amp;"|"&amp;'管线现金流'!AJ5375&amp;"|"&amp;'管线现金流'!H5376&amp;"|"&amp;'管线现金流'!AJ5376&amp;"|"&amp;'管线现金流'!H5377&amp;"|"&amp;'管线现金流'!AJ5377&amp;"|"&amp;'管线现金流'!H5378&amp;"|"&amp;'管线现金流'!AJ5378&amp;"|"&amp;'管线现金流'!H5379&amp;"|"&amp;'管线现金流'!AJ5379&amp;"|"&amp;'管线现金流'!H5380&amp;"|"&amp;'管线现金流'!AJ5380&amp;"|"&amp;'管线现金流'!H5381&amp;"|"&amp;'管线现金流'!AJ5381&amp;"|"&amp;'管线现金流'!H5382&amp;"|"&amp;'管线现金流'!AJ5382&amp;"|"&amp;'管线现金流'!H5383&amp;"|"&amp;'管线现金流'!AJ5383&amp;"|"&amp;'管线现金流'!H5384&amp;"|"&amp;'管线现金流'!AJ5384&amp;"|"&amp;'管线现金流'!H5385&amp;"|"&amp;'管线现金流'!AJ5385&amp;"|"&amp;'管线现金流'!H5386&amp;"|"&amp;'管线现金流'!AJ5386&amp;"|"&amp;'管线现金流'!H5387&amp;"|"&amp;'管线现金流'!AJ5387&amp;"|"&amp;'管线现金流'!H5388&amp;"|"&amp;'管线现金流'!AJ5388&amp;"|"&amp;'管线现金流'!H5389&amp;"|"&amp;'管线现金流'!AJ5389&amp;"|"&amp;'管线现金流'!H5390&amp;"|"&amp;'管线现金流'!AJ5390&amp;"|"&amp;'管线现金流'!H5391&amp;"|"&amp;'管线现金流'!AJ5391&amp;"|"&amp;'管线现金流'!H5392&amp;"|"&amp;'管线现金流'!AJ5392&amp;"|"&amp;'管线现金流'!H5393&amp;"|"&amp;'管线现金流'!AJ5393&amp;"|"&amp;'管线现金流'!H5394&amp;"|"&amp;'管线现金流'!AJ5394&amp;"|"&amp;'管线现金流'!H5395&amp;"|"&amp;'管线现金流'!AJ5395&amp;"|"&amp;'管线现金流'!H5396&amp;"|"&amp;'管线现金流'!AJ5396&amp;"|"&amp;'管线现金流'!H5397&amp;"|"&amp;'管线现金流'!AJ5397&amp;"|"&amp;'管线现金流'!H5398&amp;"|"&amp;'管线现金流'!AJ5398&amp;"|"&amp;'管线现金流'!H5399&amp;"|"&amp;'管线现金流'!AJ5399&amp;"|"&amp;'管线现金流'!H5400&amp;"|"&amp;'管线现金流'!AJ5400&amp;"|"&amp;'管线现金流'!H5401&amp;"|"&amp;'管线现金流'!AJ5401&amp;"|"&amp;'管线现金流'!H5402&amp;"|"&amp;'管线现金流'!AJ5402&amp;"|"&amp;'管线现金流'!H5403&amp;"|"&amp;'管线现金流'!AJ5403&amp;"|"&amp;'管线现金流'!H5404&amp;"|"&amp;'管线现金流'!AJ5404&amp;"|"&amp;'管线现金流'!H5405&amp;"|"&amp;'管线现金流'!AJ5405&amp;"|"&amp;'管线现金流'!H5406&amp;"|"&amp;'管线现金流'!AJ5406&amp;"|"&amp;'管线现金流'!H5407&amp;"|"&amp;'管线现金流'!AJ5407&amp;"|"&amp;'管线现金流'!H5408&amp;"|"&amp;'管线现金流'!AJ5408&amp;"|"&amp;'管线现金流'!H5409&amp;"|"&amp;'管线现金流'!AJ5409&amp;"|"&amp;'管线现金流'!H5410&amp;"|"&amp;'管线现金流'!AJ5410&amp;"|"&amp;'管线现金流'!H5411&amp;"|"&amp;'管线现金流'!AJ5411&amp;"|"&amp;'管线现金流'!H5412&amp;"|"&amp;'管线现金流'!AJ5412&amp;"|"&amp;'管线现金流'!H5413&amp;"|"&amp;'管线现金流'!AJ5413&amp;"|"&amp;'管线现金流'!H5414&amp;"|"&amp;'管线现金流'!AJ5414&amp;"|"&amp;'管线现金流'!H5415&amp;"|"&amp;'管线现金流'!AJ5415&amp;"|"&amp;'管线现金流'!H5416&amp;"|"&amp;'管线现金流'!AJ5416&amp;"|"&amp;'管线现金流'!H5417&amp;"|"&amp;'管线现金流'!AJ5417&amp;"|"&amp;'管线现金流'!H5418&amp;"|"&amp;'管线现金流'!AJ5418&amp;"|"&amp;'管线现金流'!H5419&amp;"|"&amp;'管线现金流'!AJ5419&amp;"|"&amp;'管线现金流'!H5420&amp;"|"&amp;'管线现金流'!AJ5420&amp;"|"&amp;'管线现金流'!H5421&amp;"|"&amp;'管线现金流'!AJ5421&amp;"|"&amp;'管线现金流'!H5422&amp;"|"&amp;'管线现金流'!AJ5422&amp;"|"&amp;'管线现金流'!H5423&amp;"|"&amp;'管线现金流'!AJ5423&amp;"|"&amp;'管线现金流'!H5424&amp;"|"&amp;'管线现金流'!AJ5424&amp;"|"&amp;'管线现金流'!H5425&amp;"|"&amp;'管线现金流'!AJ5425&amp;"|"&amp;'管线现金流'!H5426&amp;"|"&amp;'管线现金流'!AJ5426&amp;"|"&amp;'管线现金流'!H5427&amp;"|"&amp;'管线现金流'!AJ5427&amp;"|"&amp;'管线现金流'!H5428&amp;"|"&amp;'管线现金流'!AJ5428&amp;"|"&amp;'管线现金流'!H5429&amp;"|"&amp;'管线现金流'!AJ5429&amp;"|"&amp;'管线现金流'!H5430&amp;"|"&amp;'管线现金流'!AJ5430&amp;"|"&amp;'管线现金流'!H5431&amp;"|"&amp;'管线现金流'!AJ5431&amp;"|"&amp;'管线现金流'!H5432&amp;"|"&amp;'管线现金流'!AJ5432&amp;"|"&amp;'管线现金流'!H5433&amp;"|"&amp;'管线现金流'!AJ5433&amp;"|"&amp;'管线现金流'!H5434&amp;"|"&amp;'管线现金流'!AJ5434&amp;"|"&amp;'管线现金流'!H5435&amp;"|"&amp;'管线现金流'!AJ5435&amp;"|"&amp;'管线现金流'!H5436&amp;"|"&amp;'管线现金流'!AJ5436&amp;"|"&amp;'管线现金流'!H5437&amp;"|"&amp;'管线现金流'!AJ5437&amp;"|"&amp;'管线现金流'!H5438&amp;"|"&amp;'管线现金流'!AJ5438&amp;"|"&amp;'管线现金流'!H5439&amp;"|"&amp;'管线现金流'!AJ5439&amp;"|"&amp;'管线现金流'!H5440&amp;"|"&amp;'管线现金流'!AJ5440&amp;"|"&amp;'管线现金流'!H5441&amp;"|"&amp;'管线现金流'!AJ5441&amp;"|"&amp;'管线现金流'!H5442&amp;"|"&amp;'管线现金流'!AJ5442&amp;"|"&amp;'管线现金流'!H5443&amp;"|"&amp;'管线现金流'!AJ5443&amp;"|"&amp;'管线现金流'!H5444&amp;"|"&amp;'管线现金流'!AJ5444&amp;"|"&amp;'管线现金流'!H5445&amp;"|"&amp;'管线现金流'!AJ5445&amp;"|"&amp;'管线现金流'!H5446&amp;"|"&amp;'管线现金流'!AJ5446&amp;"|"&amp;'管线现金流'!H5447&amp;"|"&amp;'管线现金流'!AJ5447&amp;"|"&amp;'管线现金流'!H5448&amp;"|"&amp;'管线现金流'!AJ5448&amp;"|"&amp;'管线现金流'!H5449&amp;"|"&amp;'管线现金流'!AJ5449&amp;"|"&amp;'管线现金流'!H5450&amp;"|"&amp;'管线现金流'!AJ5450&amp;"|"&amp;'管线现金流'!H5451&amp;"|"&amp;'管线现金流'!AJ5451&amp;"|"&amp;'管线现金流'!H5452&amp;"|"&amp;'管线现金流'!AJ5452&amp;"|"&amp;'管线现金流'!H5453&amp;"|"&amp;'管线现金流'!AJ5453&amp;"|"&amp;'管线现金流'!H5454&amp;"|"&amp;'管线现金流'!AJ5454&amp;"|"&amp;'管线现金流'!H5455&amp;"|"&amp;'管线现金流'!AJ5455&amp;"|"&amp;'管线现金流'!H5456&amp;"|"&amp;'管线现金流'!AJ5456&amp;"|"&amp;'管线现金流'!H5457&amp;"|"&amp;'管线现金流'!AJ5457&amp;"|"&amp;'管线现金流'!H5458&amp;"|"&amp;'管线现金流'!AJ5458&amp;"|"&amp;'管线现金流'!H5459&amp;"|"&amp;'管线现金流'!AJ5459&amp;"|"&amp;'管线现金流'!H5460&amp;"|"&amp;'管线现金流'!AJ5460&amp;"|"&amp;'管线现金流'!H5461&amp;"|"&amp;'管线现金流'!AJ5461&amp;"|"&amp;'管线现金流'!H5462&amp;"|"&amp;'管线现金流'!AJ5462&amp;"|"&amp;'管线现金流'!H5463&amp;"|"&amp;'管线现金流'!AJ5463&amp;"|"&amp;'管线现金流'!H5464&amp;"|"&amp;'管线现金流'!AJ5464&amp;"|"&amp;'管线现金流'!H5465&amp;"|"&amp;'管线现金流'!AJ5465&amp;"|"&amp;'管线现金流'!H5466&amp;"|"&amp;'管线现金流'!AJ5466&amp;"|"&amp;'管线现金流'!H5467&amp;"|"&amp;'管线现金流'!AJ5467&amp;"|"&amp;'管线现金流'!H5468&amp;"|"&amp;'管线现金流'!AJ5468&amp;"|"&amp;'管线现金流'!H5469&amp;"|"&amp;'管线现金流'!AJ5469&amp;"|"&amp;'管线现金流'!H5470&amp;"|"&amp;'管线现金流'!AJ5470&amp;"|"&amp;'管线现金流'!H5471&amp;"|"&amp;'管线现金流'!AJ5471&amp;"|"&amp;'管线现金流'!H5472&amp;"|"&amp;'管线现金流'!AJ5472&amp;"|"&amp;'管线现金流'!H5473&amp;"|"&amp;'管线现金流'!AJ5473&amp;"|"&amp;'管线现金流'!H5474&amp;"|"&amp;'管线现金流'!AJ5474&amp;"|"&amp;'管线现金流'!H5475&amp;"|"&amp;'管线现金流'!AJ5475&amp;"|"&amp;'管线现金流'!H5476&amp;"|"&amp;'管线现金流'!AJ5476&amp;"|"&amp;'管线现金流'!H5477&amp;"|"&amp;'管线现金流'!AJ5477&amp;"|"&amp;'管线现金流'!H5478&amp;"|"&amp;'管线现金流'!AJ5478&amp;"|"&amp;'管线现金流'!H5479&amp;"|"&amp;'管线现金流'!AJ5479&amp;"|"&amp;'管线现金流'!H5480&amp;"|"&amp;'管线现金流'!AJ5480&amp;"|"&amp;'管线现金流'!H5481&amp;"|"&amp;'管线现金流'!AJ5481&amp;"|"&amp;'管线现金流'!H5482&amp;"|"&amp;'管线现金流'!AJ5482&amp;"|"&amp;'管线现金流'!H5483&amp;"|"&amp;'管线现金流'!AJ5483&amp;"|"&amp;'管线现金流'!H5484&amp;"|"&amp;'管线现金流'!AJ5484&amp;"|"&amp;'管线现金流'!H5485&amp;"|"&amp;'管线现金流'!AJ5485&amp;"|"&amp;'管线现金流'!H5486&amp;"|"&amp;'管线现金流'!AJ5486&amp;"|"&amp;'管线现金流'!H5487&amp;"|"&amp;'管线现金流'!AJ5487&amp;"|"&amp;'管线现金流'!H5488&amp;"|"&amp;'管线现金流'!AJ5488&amp;"|"&amp;'管线现金流'!H5489&amp;"|"&amp;'管线现金流'!AJ5489&amp;"|"&amp;'管线现金流'!H5490&amp;"|"&amp;'管线现金流'!AJ5490&amp;"|"&amp;'管线现金流'!H5491&amp;"|"&amp;'管线现金流'!AJ5491&amp;"|"&amp;'管线现金流'!H5492&amp;"|"&amp;'管线现金流'!AJ5492&amp;"|"&amp;'管线现金流'!H5493&amp;"|"&amp;'管线现金流'!AJ5493&amp;"|"&amp;'管线现金流'!H5494&amp;"|"&amp;'管线现金流'!AJ5494&amp;"|"&amp;'管线现金流'!H5495&amp;"|"&amp;'管线现金流'!AJ5495&amp;"|"&amp;'管线现金流'!H5496&amp;"|"&amp;'管线现金流'!AJ5496&amp;"|"&amp;'管线现金流'!H5497&amp;"|"&amp;'管线现金流'!AJ5497&amp;"|"&amp;'管线现金流'!H5498&amp;"|"&amp;'管线现金流'!AJ5498&amp;"|"&amp;'管线现金流'!H5499&amp;"|"&amp;'管线现金流'!AJ5499&amp;"|"&amp;'管线现金流'!H5500&amp;"|"&amp;'管线现金流'!AJ5500&amp;"|"&amp;'管线现金流'!H5501&amp;"|"&amp;'管线现金流'!AJ5501&amp;"|"&amp;'管线现金流'!H5502&amp;"|"&amp;'管线现金流'!AJ5502&amp;"|"&amp;'管线现金流'!H5503&amp;"|"&amp;'管线现金流'!AJ5503&amp;"|"&amp;'管线现金流'!H5504&amp;"|"&amp;'管线现金流'!AJ5504&amp;"|"&amp;'管线现金流'!H5505&amp;"|"&amp;'管线现金流'!AJ5505&amp;"|"&amp;'管线现金流'!H5506&amp;"|"&amp;'管线现金流'!AJ5506&amp;"|"&amp;'管线现金流'!H5507&amp;"|"&amp;'管线现金流'!AJ5507&amp;"|"&amp;'管线现金流'!H5508&amp;"|"&amp;'管线现金流'!AJ5508&amp;"|"&amp;'管线现金流'!H5509&amp;"|"&amp;'管线现金流'!AJ5509&amp;"|"&amp;'管线现金流'!H5510&amp;"|"&amp;'管线现金流'!AJ5510&amp;"|"&amp;'管线现金流'!H5511&amp;"|"&amp;'管线现金流'!AJ5511&amp;"|"&amp;'管线现金流'!H5512&amp;"|"&amp;'管线现金流'!AJ5512&amp;"|"&amp;'管线现金流'!H5513&amp;"|"&amp;'管线现金流'!AJ5513&amp;"|"&amp;'管线现金流'!H5514&amp;"|"&amp;'管线现金流'!AJ5514&amp;"|"&amp;'管线现金流'!H5515&amp;"|"&amp;'管线现金流'!AJ5515&amp;"|"&amp;'管线现金流'!H5516&amp;"|"&amp;'管线现金流'!AJ5516&amp;"|"&amp;'管线现金流'!H5517&amp;"|"&amp;'管线现金流'!AJ5517&amp;"|"&amp;'管线现金流'!H5518&amp;"|"&amp;'管线现金流'!AJ5518&amp;"|"&amp;'管线现金流'!H5519&amp;"|"&amp;'管线现金流'!AJ5519&amp;"|"&amp;'管线现金流'!H5520&amp;"|"&amp;'管线现金流'!AJ5520&amp;"|"&amp;'管线现金流'!H5521&amp;"|"&amp;'管线现金流'!AJ5521&amp;"|"&amp;'管线现金流'!H5522&amp;"|"&amp;'管线现金流'!AJ5522&amp;"|"&amp;'管线现金流'!H5523&amp;"|"&amp;'管线现金流'!AJ5523&amp;"|"&amp;'管线现金流'!H5524&amp;"|"&amp;'管线现金流'!AJ5524&amp;"|"&amp;'管线现金流'!H5525&amp;"|"&amp;'管线现金流'!AJ5525&amp;"|"&amp;'管线现金流'!H5526&amp;"|"&amp;'管线现金流'!AJ5526&amp;"|"&amp;'管线现金流'!H5527&amp;"|"&amp;'管线现金流'!AJ5527&amp;"|"&amp;'管线现金流'!H5528&amp;"|"&amp;'管线现金流'!AJ5528&amp;"|"&amp;'管线现金流'!H5529&amp;"|"&amp;'管线现金流'!AJ5529&amp;"|"&amp;'管线现金流'!H5530&amp;"|"&amp;'管线现金流'!AJ5530&amp;"|"&amp;'管线现金流'!H5531&amp;"|"&amp;'管线现金流'!AJ5531&amp;"|"&amp;'管线现金流'!H5532&amp;"|"&amp;'管线现金流'!AJ5532&amp;"|"&amp;'管线现金流'!H5533&amp;"|"&amp;'管线现金流'!AJ5533&amp;"|"&amp;'管线现金流'!H5534&amp;"|"&amp;'管线现金流'!AJ5534&amp;"|"&amp;'管线现金流'!H5535&amp;"|"&amp;'管线现金流'!AJ5535&amp;"|"&amp;'管线现金流'!H5536&amp;"|"&amp;'管线现金流'!AJ5536&amp;"|"&amp;'管线现金流'!H5537&amp;"|"&amp;'管线现金流'!AJ5537&amp;"|"&amp;'管线现金流'!H5538&amp;"|"&amp;'管线现金流'!AJ5538&amp;"|"&amp;'管线现金流'!H5539&amp;"|"&amp;'管线现金流'!AJ5539&amp;"|"&amp;'管线现金流'!H5540&amp;"|"&amp;'管线现金流'!AJ5540&amp;"|"&amp;'管线现金流'!H5541&amp;"|"&amp;'管线现金流'!AJ5541&amp;"|"&amp;'管线现金流'!H5542&amp;"|"&amp;'管线现金流'!AJ5542&amp;"|"&amp;'管线现金流'!H5543&amp;"|"&amp;'管线现金流'!AJ5543&amp;"|"&amp;'管线现金流'!H5544&amp;"|"&amp;'管线现金流'!AJ5544&amp;"|"&amp;'管线现金流'!H5545&amp;"|"&amp;'管线现金流'!AJ5545&amp;"|"&amp;'管线现金流'!H5546&amp;"|"&amp;'管线现金流'!AJ5546&amp;"|"&amp;'管线现金流'!H5547&amp;"|"&amp;'管线现金流'!AJ5547&amp;"|"&amp;'管线现金流'!H5548&amp;"|"&amp;'管线现金流'!AJ5548&amp;"|"&amp;'管线现金流'!H5549&amp;"|"&amp;'管线现金流'!AJ5549&amp;"|"&amp;'管线现金流'!H5550&amp;"|"&amp;'管线现金流'!AJ5550&amp;"|"&amp;'管线现金流'!H5551&amp;"|"&amp;'管线现金流'!AJ5551&amp;"|"&amp;'管线现金流'!H5552&amp;"|"&amp;'管线现金流'!AJ5552&amp;"|"&amp;'管线现金流'!H5553&amp;"|"&amp;'管线现金流'!AJ5553&amp;"|"&amp;'管线现金流'!H5554&amp;"|"&amp;'管线现金流'!AJ5554&amp;"|"&amp;'管线现金流'!H5555&amp;"|"&amp;'管线现金流'!AJ5555&amp;"|"&amp;'管线现金流'!H5556&amp;"|"&amp;'管线现金流'!AJ5556&amp;"|"&amp;'管线现金流'!H5557&amp;"|"&amp;'管线现金流'!AJ5557&amp;"|"&amp;'管线现金流'!H5558&amp;"|"&amp;'管线现金流'!AJ5558&amp;"|"&amp;'管线现金流'!H5559&amp;"|"&amp;'管线现金流'!AJ5559&amp;"|"&amp;'管线现金流'!H5560&amp;"|"&amp;'管线现金流'!AJ5560&amp;"|"&amp;'管线现金流'!H5561&amp;"|"&amp;'管线现金流'!AJ5561&amp;"|"&amp;'管线现金流'!H5562&amp;"|"&amp;'管线现金流'!AJ5562&amp;"|"&amp;'管线现金流'!H5563&amp;"|"&amp;'管线现金流'!AJ5563&amp;"|"&amp;'管线现金流'!H5564&amp;"|"&amp;'管线现金流'!AJ5564&amp;"|"&amp;'管线现金流'!H5565&amp;"|"&amp;'管线现金流'!AJ5565&amp;"|"&amp;'管线现金流'!H5566&amp;"|"&amp;'管线现金流'!AJ5566&amp;"|"&amp;'管线现金流'!H5567&amp;"|"&amp;'管线现金流'!AJ5567&amp;"|"&amp;'管线现金流'!H5568&amp;"|"&amp;'管线现金流'!AJ5568&amp;"|"&amp;'管线现金流'!H5569&amp;"|"&amp;'管线现金流'!AJ5569&amp;"|"&amp;'管线现金流'!H5570&amp;"|"&amp;'管线现金流'!AJ5570&amp;"|"&amp;'管线现金流'!H5571&amp;"|"&amp;'管线现金流'!AJ5571&amp;"|"&amp;'管线现金流'!H5572&amp;"|"&amp;'管线现金流'!AJ5572&amp;"|"&amp;'管线现金流'!H5573&amp;"|"&amp;'管线现金流'!AJ5573&amp;"|"&amp;'管线现金流'!H5574&amp;"|"&amp;'管线现金流'!AJ5574&amp;"|"&amp;'管线现金流'!H5575&amp;"|"&amp;'管线现金流'!AJ5575&amp;"|"&amp;'管线现金流'!H5576&amp;"|"&amp;'管线现金流'!AJ5576&amp;"|"&amp;'管线现金流'!H5577&amp;"|"&amp;'管线现金流'!AJ5577&amp;"|"&amp;'管线现金流'!H5578&amp;"|"&amp;'管线现金流'!AJ5578&amp;"|"&amp;'管线现金流'!H5579&amp;"|"&amp;'管线现金流'!AJ5579&amp;"|"&amp;'管线现金流'!H5580&amp;"|"&amp;'管线现金流'!AJ5580&amp;"|"&amp;'管线现金流'!H5581&amp;"|"&amp;'管线现金流'!AJ5581&amp;"|"&amp;'管线现金流'!H5582&amp;"|"&amp;'管线现金流'!AJ5582&amp;"|"&amp;'管线现金流'!H5583&amp;"|"&amp;'管线现金流'!AJ5583&amp;"|"&amp;'管线现金流'!H5584&amp;"|"&amp;'管线现金流'!AJ5584&amp;"|"&amp;'管线现金流'!H5585&amp;"|"&amp;'管线现金流'!AJ5585&amp;"|"&amp;'管线现金流'!H5586&amp;"|"&amp;'管线现金流'!AJ5586&amp;"|"&amp;'管线现金流'!H5587&amp;"|"&amp;'管线现金流'!AJ5587&amp;"|"&amp;'管线现金流'!H5588&amp;"|"&amp;'管线现金流'!AJ5588&amp;"|"&amp;'管线现金流'!H5589&amp;"|"&amp;'管线现金流'!AJ5589&amp;"|"&amp;'管线现金流'!H5590&amp;"|"&amp;'管线现金流'!AJ5590&amp;"|"&amp;'管线现金流'!H5591&amp;"|"&amp;'管线现金流'!AJ5591&amp;"|"&amp;'管线现金流'!H5592&amp;"|"&amp;'管线现金流'!AJ5592&amp;"|"&amp;'管线现金流'!H5593&amp;"|"&amp;'管线现金流'!AJ5593&amp;"|"&amp;'管线现金流'!H5594&amp;"|"&amp;'管线现金流'!AJ5594&amp;"|"&amp;'管线现金流'!H5595&amp;"|"&amp;'管线现金流'!AJ5595&amp;"|"&amp;'管线现金流'!H5596&amp;"|"&amp;'管线现金流'!AJ5596&amp;"|"&amp;'管线现金流'!H5597&amp;"|"&amp;'管线现金流'!AJ5597&amp;"|"&amp;'管线现金流'!H5598&amp;"|"&amp;'管线现金流'!AJ5598&amp;"|"&amp;'管线现金流'!H5599&amp;"|"&amp;'管线现金流'!AJ5599&amp;"|"&amp;'管线现金流'!H5600&amp;"|"&amp;'管线现金流'!AJ5600&amp;"|"&amp;'管线现金流'!H5601&amp;"|"&amp;'管线现金流'!AJ5601&amp;"|"&amp;'管线现金流'!H5602&amp;"|"&amp;'管线现金流'!AJ5602&amp;"|"&amp;'管线现金流'!H5603&amp;"|"&amp;'管线现金流'!AJ5603&amp;"|"&amp;'管线现金流'!H5604&amp;"|"&amp;'管线现金流'!AJ5604&amp;"|"&amp;'管线现金流'!H5605&amp;"|"&amp;'管线现金流'!AJ5605&amp;"|"&amp;'管线现金流'!H5606&amp;"|"&amp;'管线现金流'!AJ5606&amp;"|"&amp;'管线现金流'!H5607&amp;"|"&amp;'管线现金流'!AJ5607&amp;"|"&amp;'管线现金流'!H5608&amp;"|"&amp;'管线现金流'!AJ5608&amp;"|"&amp;'管线现金流'!H5609&amp;"|"&amp;'管线现金流'!AJ5609&amp;"|"&amp;'管线现金流'!H5610&amp;"|"&amp;'管线现金流'!AJ5610&amp;"|"&amp;'管线现金流'!H5611&amp;"|"&amp;'管线现金流'!AJ5611&amp;"|"&amp;'管线现金流'!H5612&amp;"|"&amp;'管线现金流'!AJ5612&amp;"|"&amp;'管线现金流'!H5613&amp;"|"&amp;'管线现金流'!AJ5613&amp;"|"&amp;'管线现金流'!H5614&amp;"|"&amp;'管线现金流'!AJ5614&amp;"|"&amp;'管线现金流'!H5615&amp;"|"&amp;'管线现金流'!AJ5615&amp;"|"&amp;'管线现金流'!H5616&amp;"|"&amp;'管线现金流'!AJ5616&amp;"|"&amp;'管线现金流'!H5617&amp;"|"&amp;'管线现金流'!AJ5617&amp;"|"&amp;'管线现金流'!H5618&amp;"|"&amp;'管线现金流'!AJ5618&amp;"|"&amp;'管线现金流'!H5619&amp;"|"&amp;'管线现金流'!AJ5619&amp;"|"&amp;'管线现金流'!H5620&amp;"|"&amp;'管线现金流'!AJ5620&amp;"|"&amp;'管线现金流'!H5621&amp;"|"&amp;'管线现金流'!AJ5621&amp;"|"&amp;'管线现金流'!H5622&amp;"|"&amp;'管线现金流'!AJ5622&amp;"|"&amp;'管线现金流'!H5623&amp;"|"&amp;'管线现金流'!AJ5623&amp;"|"&amp;'管线现金流'!H5624&amp;"|"&amp;'管线现金流'!AJ5624&amp;"|"&amp;'管线现金流'!H5625&amp;"|"&amp;'管线现金流'!AJ5625&amp;"|"&amp;'管线现金流'!H5626&amp;"|"&amp;'管线现金流'!AJ5626&amp;"|"&amp;'管线现金流'!H5627&amp;"|"&amp;'管线现金流'!AJ5627&amp;"|"&amp;'管线现金流'!H5628&amp;"|"&amp;'管线现金流'!AJ5628&amp;"|"&amp;'管线现金流'!H5629&amp;"|"&amp;'管线现金流'!AJ5629&amp;"|"&amp;'管线现金流'!H5630&amp;"|"&amp;'管线现金流'!AJ5630&amp;"|"&amp;'管线现金流'!H5631&amp;"|"&amp;'管线现金流'!AJ5631&amp;"|"&amp;'管线现金流'!H5632&amp;"|"&amp;'管线现金流'!AJ5632&amp;"|"&amp;'管线现金流'!H5633&amp;"|"&amp;'管线现金流'!AJ5633&amp;"|"&amp;'管线现金流'!H5634&amp;"|"&amp;'管线现金流'!AJ5634&amp;"|"&amp;'管线现金流'!H5635&amp;"|"&amp;'管线现金流'!AJ5635&amp;"|"&amp;'管线现金流'!H5636&amp;"|"&amp;'管线现金流'!AJ5636&amp;"|"&amp;'管线现金流'!H5637&amp;"|"&amp;'管线现金流'!AJ5637&amp;"|"&amp;'管线现金流'!H5638&amp;"|"&amp;'管线现金流'!AJ5638&amp;"|"&amp;'管线现金流'!H5639&amp;"|"&amp;'管线现金流'!AJ5639&amp;"|"&amp;'管线现金流'!H5640&amp;"|"&amp;'管线现金流'!AJ5640&amp;"|"&amp;'管线现金流'!H5641&amp;"|"&amp;'管线现金流'!AJ5641&amp;"|"&amp;'管线现金流'!H5642&amp;"|"&amp;'管线现金流'!AJ5642&amp;"|"&amp;'管线现金流'!H5643&amp;"|"&amp;'管线现金流'!AJ5643&amp;"|"&amp;'管线现金流'!H5644&amp;"|"&amp;'管线现金流'!AJ5644&amp;"|"&amp;'管线现金流'!H5645&amp;"|"&amp;'管线现金流'!AJ5645&amp;"|"&amp;'管线现金流'!H5646&amp;"|"&amp;'管线现金流'!AJ5646&amp;"|"&amp;'管线现金流'!H5647&amp;"|"&amp;'管线现金流'!AJ5647&amp;"|"&amp;'管线现金流'!H5648&amp;"|"&amp;'管线现金流'!AJ5648&amp;"|"&amp;'管线现金流'!H5649&amp;"|"&amp;'管线现金流'!AJ5649&amp;"|"&amp;'管线现金流'!H5650&amp;"|"&amp;'管线现金流'!AJ5650&amp;"|"&amp;'管线现金流'!H5651&amp;"|"&amp;'管线现金流'!AJ5651&amp;"|"&amp;'管线现金流'!H5652&amp;"|"&amp;'管线现金流'!AJ5652&amp;"|"&amp;'管线现金流'!H5653&amp;"|"&amp;'管线现金流'!AJ5653&amp;"|"&amp;'管线现金流'!H5654&amp;"|"&amp;'管线现金流'!AJ5654&amp;"|"&amp;'管线现金流'!H5655&amp;"|"&amp;'管线现金流'!AJ5655&amp;"|"&amp;'管线现金流'!H5656&amp;"|"&amp;'管线现金流'!AJ5656&amp;"|"&amp;'管线现金流'!H5657&amp;"|"&amp;'管线现金流'!AJ5657&amp;"|"&amp;'管线现金流'!H5658&amp;"|"&amp;'管线现金流'!AJ5658&amp;"|"&amp;'管线现金流'!H5659&amp;"|"&amp;'管线现金流'!AJ5659&amp;"|"&amp;'管线现金流'!H5660&amp;"|"&amp;'管线现金流'!AJ5660&amp;"|"&amp;'管线现金流'!H5661&amp;"|"&amp;'管线现金流'!AJ5661&amp;"|"&amp;'管线现金流'!H5662&amp;"|"&amp;'管线现金流'!AJ5662&amp;"|"&amp;'管线现金流'!H5663&amp;"|"&amp;'管线现金流'!AJ5663&amp;"|"&amp;'管线现金流'!H5664&amp;"|"&amp;'管线现金流'!AJ5664&amp;"|"&amp;'管线现金流'!H5665&amp;"|"&amp;'管线现金流'!AJ5665&amp;"|"&amp;'管线现金流'!H5666&amp;"|"&amp;'管线现金流'!AJ5666&amp;"|"&amp;'管线现金流'!H5667&amp;"|"&amp;'管线现金流'!AJ5667&amp;"|"&amp;'管线现金流'!H5668&amp;"|"&amp;'管线现金流'!AJ5668&amp;"|"&amp;'管线现金流'!H5669&amp;"|"&amp;'管线现金流'!AJ5669&amp;"|"&amp;'管线现金流'!H5670&amp;"|"&amp;'管线现金流'!AJ5670&amp;"|"&amp;'管线现金流'!H5671&amp;"|"&amp;'管线现金流'!AJ5671&amp;"|"&amp;'管线现金流'!H5672&amp;"|"&amp;'管线现金流'!AJ5672&amp;"|"&amp;'管线现金流'!H5673&amp;"|"&amp;'管线现金流'!AJ5673&amp;"|"&amp;'管线现金流'!H5674&amp;"|"&amp;'管线现金流'!AJ5674&amp;"|"&amp;'管线现金流'!H5675&amp;"|"&amp;'管线现金流'!AJ5675&amp;"|"&amp;'管线现金流'!H5676&amp;"|"&amp;'管线现金流'!AJ5676&amp;"|"&amp;'管线现金流'!H5677&amp;"|"&amp;'管线现金流'!AJ5677&amp;"|"&amp;'管线现金流'!H5678&amp;"|"&amp;'管线现金流'!AJ5678&amp;"|"&amp;'管线现金流'!U90&amp;"|"&amp;'管线现金流'!X90&amp;"|"&amp;'管线现金流'!AO90&amp;"|"&amp;'管线现金流'!AR90&amp;"|"&amp;'管线现金流'!U91&amp;"|"&amp;'管线现金流'!X91&amp;"|"&amp;'管线现金流'!AO91&amp;"|"&amp;'管线现金流'!AR91&amp;"|"&amp;'管线现金流'!U92&amp;"|"&amp;'管线现金流'!X92&amp;"|"&amp;'管线现金流'!AO92&amp;"|"&amp;'管线现金流'!AR92&amp;"|"&amp;'管线现金流'!U93&amp;"|"&amp;'管线现金流'!X93&amp;"|"&amp;'管线现金流'!AO93&amp;"|"&amp;'管线现金流'!AR93</x:f>
        <x:v>0.85|-2.4|2.6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</x:row>
    <x:row r="479" ht="23" customHeight="1">
      <x:c r="A479" s="11" t="str">
        <x:v>688062.SH</x:v>
      </x:c>
      <x:c r="B479" s="11" t="str">
        <x:v>迈威生物</x:v>
      </x:c>
      <x:c r="C479" s="11" t="str">
        <x:v>一年</x:v>
      </x:c>
      <x:c r="D479" s="11" t="str">
        <x:v>基准</x:v>
      </x:c>
      <x:c r="E479" s="11" t="n">
        <x:v>24.78</x:v>
      </x:c>
      <x:c r="F479" s="11" t="n">
        <x:v>8.930579375332558</x:v>
      </x:c>
      <x:c r="G479" s="11" t="n">
        <x:v>0</x:v>
      </x:c>
      <x:c r="H479" s="25" t="n">
        <x:v>-0.6396053520850461</x:v>
      </x:c>
      <x:c r="I479" s="25" t="n">
        <x:v>-0.6396053520850461</x:v>
      </x:c>
      <x:c r="J479" s="25" t="str"/>
      <x:c r="K479" s="11" t="n">
        <x:v>0</x:v>
      </x:c>
      <x:c r="L479" s="11" t="n">
        <x:v>0</x:v>
      </x:c>
      <x:c r="M479" s="11" t="n">
        <x:v>1</x:v>
      </x:c>
      <x:c r="N479" s="11" t="n">
        <x:v>0</x:v>
      </x:c>
      <x:c r="O479" s="11" t="n">
        <x:v>0</x:v>
      </x:c>
      <x:c r="P479" s="11" t="n">
        <x:v>0</x:v>
      </x:c>
      <x:c r="Q479" s="11" t="n">
        <x:v>0.49</x:v>
      </x:c>
      <x:c r="R479" s="11" t="str">
        <x:v>mabwell-rnpv-v1.1</x:v>
      </x:c>
      <x:c r="S479" s="11" t="str">
        <x:v>2026-10-10</x:v>
      </x:c>
      <x:c r="T479" s="11" t="str">
        <x:f>IF(AND(SUM(IF(K479='假设'!E637,0,1),IF(L479='假设'!F637,0,1),IF(M479='假设'!G637,0,1),IF(N479='假设'!H637,0,1),IF(O479='假设'!I637,0,1),IF(P479='假设'!J637,0,1),IF(Q479='假设'!K637,0,1))=0,U479=V479),"已刷新","待刷新")</x:f>
        <x:v>已刷新</x:v>
      </x:c>
      <x:c r="U479" t="str">
        <x:v>0.85|-1.9|2.2|0.9335|0.23|1|0.14|6.8|1|0.08000000000000002|1|0.14|6.8|0.639|0.3|1|0.14|6.8|0.5725|0.3|1|0.14|6.8|0.506|0.3|1|0.14|6.8|0.3350000000000001|0.3|1|0.14|6.8|0.20200000000000007|0.3|1|0.14|6.8|0.24|0.23|1|0.14|6.8|0.259|0.3|1|0.14|6.8|0.14500000000000002|0.3|1|0.14|6.8|0.2875000000000001|0.3|1|0.14|6.8|0.16400000000000003|0.064|1|0.14|6.8|0.16400000000000003|0.3|1|0.14|6.8|0.44899999999999995|0.068|1|0.14|6.8|0.38250000000000006|0.3|1|0.14|6.8|0.1925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  <x:c r="V479" t="str">
        <x:f>'假设'!U637&amp;"|"&amp;'假设'!N637&amp;"|"&amp;'假设'!Q637&amp;"|"&amp;'管线假设'!E1157&amp;"|"&amp;'管线假设'!F1157&amp;"|"&amp;'管线假设'!G1157&amp;"|"&amp;'管线假设'!H1157&amp;"|"&amp;'管线假设'!I1157&amp;"|"&amp;'管线假设'!E1161&amp;"|"&amp;'管线假设'!F1161&amp;"|"&amp;'管线假设'!G1161&amp;"|"&amp;'管线假设'!H1161&amp;"|"&amp;'管线假设'!I1161&amp;"|"&amp;'管线假设'!E1165&amp;"|"&amp;'管线假设'!F1165&amp;"|"&amp;'管线假设'!G1165&amp;"|"&amp;'管线假设'!H1165&amp;"|"&amp;'管线假设'!I1165&amp;"|"&amp;'管线假设'!E1169&amp;"|"&amp;'管线假设'!F1169&amp;"|"&amp;'管线假设'!G1169&amp;"|"&amp;'管线假设'!H1169&amp;"|"&amp;'管线假设'!I1169&amp;"|"&amp;'管线假设'!E1173&amp;"|"&amp;'管线假设'!F1173&amp;"|"&amp;'管线假设'!G1173&amp;"|"&amp;'管线假设'!H1173&amp;"|"&amp;'管线假设'!I1173&amp;"|"&amp;'管线假设'!E1177&amp;"|"&amp;'管线假设'!F1177&amp;"|"&amp;'管线假设'!G1177&amp;"|"&amp;'管线假设'!H1177&amp;"|"&amp;'管线假设'!I1177&amp;"|"&amp;'管线假设'!E1181&amp;"|"&amp;'管线假设'!F1181&amp;"|"&amp;'管线假设'!G1181&amp;"|"&amp;'管线假设'!H1181&amp;"|"&amp;'管线假设'!I1181&amp;"|"&amp;'管线假设'!E1185&amp;"|"&amp;'管线假设'!F1185&amp;"|"&amp;'管线假设'!G1185&amp;"|"&amp;'管线假设'!H1185&amp;"|"&amp;'管线假设'!I1185&amp;"|"&amp;'管线假设'!E1189&amp;"|"&amp;'管线假设'!F1189&amp;"|"&amp;'管线假设'!G1189&amp;"|"&amp;'管线假设'!H1189&amp;"|"&amp;'管线假设'!I1189&amp;"|"&amp;'管线假设'!E1193&amp;"|"&amp;'管线假设'!F1193&amp;"|"&amp;'管线假设'!G1193&amp;"|"&amp;'管线假设'!H1193&amp;"|"&amp;'管线假设'!I1193&amp;"|"&amp;'管线假设'!E1197&amp;"|"&amp;'管线假设'!F1197&amp;"|"&amp;'管线假设'!G1197&amp;"|"&amp;'管线假设'!H1197&amp;"|"&amp;'管线假设'!I1197&amp;"|"&amp;'管线假设'!E1201&amp;"|"&amp;'管线假设'!F1201&amp;"|"&amp;'管线假设'!G1201&amp;"|"&amp;'管线假设'!H1201&amp;"|"&amp;'管线假设'!I1201&amp;"|"&amp;'管线假设'!E1205&amp;"|"&amp;'管线假设'!F1205&amp;"|"&amp;'管线假设'!G1205&amp;"|"&amp;'管线假设'!H1205&amp;"|"&amp;'管线假设'!I1205&amp;"|"&amp;'管线假设'!E1209&amp;"|"&amp;'管线假设'!F1209&amp;"|"&amp;'管线假设'!G1209&amp;"|"&amp;'管线假设'!H1209&amp;"|"&amp;'管线假设'!I1209&amp;"|"&amp;'管线假设'!E1213&amp;"|"&amp;'管线假设'!F1213&amp;"|"&amp;'管线假设'!G1213&amp;"|"&amp;'管线假设'!H1213&amp;"|"&amp;'管线假设'!I1213&amp;"|"&amp;'管线假设'!E1217&amp;"|"&amp;'管线假设'!F1217&amp;"|"&amp;'管线假设'!G1217&amp;"|"&amp;'管线假设'!H1217&amp;"|"&amp;'管线假设'!I1217&amp;"|"&amp;'管线现金流'!I5375&amp;"|"&amp;'管线现金流'!AK5375&amp;"|"&amp;'管线现金流'!I5376&amp;"|"&amp;'管线现金流'!AK5376&amp;"|"&amp;'管线现金流'!I5377&amp;"|"&amp;'管线现金流'!AK5377&amp;"|"&amp;'管线现金流'!I5378&amp;"|"&amp;'管线现金流'!AK5378&amp;"|"&amp;'管线现金流'!I5379&amp;"|"&amp;'管线现金流'!AK5379&amp;"|"&amp;'管线现金流'!I5380&amp;"|"&amp;'管线现金流'!AK5380&amp;"|"&amp;'管线现金流'!I5381&amp;"|"&amp;'管线现金流'!AK5381&amp;"|"&amp;'管线现金流'!I5382&amp;"|"&amp;'管线现金流'!AK5382&amp;"|"&amp;'管线现金流'!I5383&amp;"|"&amp;'管线现金流'!AK5383&amp;"|"&amp;'管线现金流'!I5384&amp;"|"&amp;'管线现金流'!AK5384&amp;"|"&amp;'管线现金流'!I5385&amp;"|"&amp;'管线现金流'!AK5385&amp;"|"&amp;'管线现金流'!I5386&amp;"|"&amp;'管线现金流'!AK5386&amp;"|"&amp;'管线现金流'!I5387&amp;"|"&amp;'管线现金流'!AK5387&amp;"|"&amp;'管线现金流'!I5388&amp;"|"&amp;'管线现金流'!AK5388&amp;"|"&amp;'管线现金流'!I5389&amp;"|"&amp;'管线现金流'!AK5389&amp;"|"&amp;'管线现金流'!I5390&amp;"|"&amp;'管线现金流'!AK5390&amp;"|"&amp;'管线现金流'!I5391&amp;"|"&amp;'管线现金流'!AK5391&amp;"|"&amp;'管线现金流'!I5392&amp;"|"&amp;'管线现金流'!AK5392&amp;"|"&amp;'管线现金流'!I5393&amp;"|"&amp;'管线现金流'!AK5393&amp;"|"&amp;'管线现金流'!I5394&amp;"|"&amp;'管线现金流'!AK5394&amp;"|"&amp;'管线现金流'!I5395&amp;"|"&amp;'管线现金流'!AK5395&amp;"|"&amp;'管线现金流'!I5396&amp;"|"&amp;'管线现金流'!AK5396&amp;"|"&amp;'管线现金流'!I5397&amp;"|"&amp;'管线现金流'!AK5397&amp;"|"&amp;'管线现金流'!I5398&amp;"|"&amp;'管线现金流'!AK5398&amp;"|"&amp;'管线现金流'!I5399&amp;"|"&amp;'管线现金流'!AK5399&amp;"|"&amp;'管线现金流'!I5400&amp;"|"&amp;'管线现金流'!AK5400&amp;"|"&amp;'管线现金流'!I5401&amp;"|"&amp;'管线现金流'!AK5401&amp;"|"&amp;'管线现金流'!I5402&amp;"|"&amp;'管线现金流'!AK5402&amp;"|"&amp;'管线现金流'!I5403&amp;"|"&amp;'管线现金流'!AK5403&amp;"|"&amp;'管线现金流'!I5404&amp;"|"&amp;'管线现金流'!AK5404&amp;"|"&amp;'管线现金流'!I5405&amp;"|"&amp;'管线现金流'!AK5405&amp;"|"&amp;'管线现金流'!I5406&amp;"|"&amp;'管线现金流'!AK5406&amp;"|"&amp;'管线现金流'!I5407&amp;"|"&amp;'管线现金流'!AK5407&amp;"|"&amp;'管线现金流'!I5408&amp;"|"&amp;'管线现金流'!AK5408&amp;"|"&amp;'管线现金流'!I5409&amp;"|"&amp;'管线现金流'!AK5409&amp;"|"&amp;'管线现金流'!I5410&amp;"|"&amp;'管线现金流'!AK5410&amp;"|"&amp;'管线现金流'!I5411&amp;"|"&amp;'管线现金流'!AK5411&amp;"|"&amp;'管线现金流'!I5412&amp;"|"&amp;'管线现金流'!AK5412&amp;"|"&amp;'管线现金流'!I5413&amp;"|"&amp;'管线现金流'!AK5413&amp;"|"&amp;'管线现金流'!I5414&amp;"|"&amp;'管线现金流'!AK5414&amp;"|"&amp;'管线现金流'!I5415&amp;"|"&amp;'管线现金流'!AK5415&amp;"|"&amp;'管线现金流'!I5416&amp;"|"&amp;'管线现金流'!AK5416&amp;"|"&amp;'管线现金流'!I5417&amp;"|"&amp;'管线现金流'!AK5417&amp;"|"&amp;'管线现金流'!I5418&amp;"|"&amp;'管线现金流'!AK5418&amp;"|"&amp;'管线现金流'!I5419&amp;"|"&amp;'管线现金流'!AK5419&amp;"|"&amp;'管线现金流'!I5420&amp;"|"&amp;'管线现金流'!AK5420&amp;"|"&amp;'管线现金流'!I5421&amp;"|"&amp;'管线现金流'!AK5421&amp;"|"&amp;'管线现金流'!I5422&amp;"|"&amp;'管线现金流'!AK5422&amp;"|"&amp;'管线现金流'!I5423&amp;"|"&amp;'管线现金流'!AK5423&amp;"|"&amp;'管线现金流'!I5424&amp;"|"&amp;'管线现金流'!AK5424&amp;"|"&amp;'管线现金流'!I5425&amp;"|"&amp;'管线现金流'!AK5425&amp;"|"&amp;'管线现金流'!I5426&amp;"|"&amp;'管线现金流'!AK5426&amp;"|"&amp;'管线现金流'!I5427&amp;"|"&amp;'管线现金流'!AK5427&amp;"|"&amp;'管线现金流'!I5428&amp;"|"&amp;'管线现金流'!AK5428&amp;"|"&amp;'管线现金流'!I5429&amp;"|"&amp;'管线现金流'!AK5429&amp;"|"&amp;'管线现金流'!I5430&amp;"|"&amp;'管线现金流'!AK5430&amp;"|"&amp;'管线现金流'!I5431&amp;"|"&amp;'管线现金流'!AK5431&amp;"|"&amp;'管线现金流'!I5432&amp;"|"&amp;'管线现金流'!AK5432&amp;"|"&amp;'管线现金流'!I5433&amp;"|"&amp;'管线现金流'!AK5433&amp;"|"&amp;'管线现金流'!I5434&amp;"|"&amp;'管线现金流'!AK5434&amp;"|"&amp;'管线现金流'!I5435&amp;"|"&amp;'管线现金流'!AK5435&amp;"|"&amp;'管线现金流'!I5436&amp;"|"&amp;'管线现金流'!AK5436&amp;"|"&amp;'管线现金流'!I5437&amp;"|"&amp;'管线现金流'!AK5437&amp;"|"&amp;'管线现金流'!I5438&amp;"|"&amp;'管线现金流'!AK5438&amp;"|"&amp;'管线现金流'!I5439&amp;"|"&amp;'管线现金流'!AK5439&amp;"|"&amp;'管线现金流'!I5440&amp;"|"&amp;'管线现金流'!AK5440&amp;"|"&amp;'管线现金流'!I5441&amp;"|"&amp;'管线现金流'!AK5441&amp;"|"&amp;'管线现金流'!I5442&amp;"|"&amp;'管线现金流'!AK5442&amp;"|"&amp;'管线现金流'!I5443&amp;"|"&amp;'管线现金流'!AK5443&amp;"|"&amp;'管线现金流'!I5444&amp;"|"&amp;'管线现金流'!AK5444&amp;"|"&amp;'管线现金流'!I5445&amp;"|"&amp;'管线现金流'!AK5445&amp;"|"&amp;'管线现金流'!I5446&amp;"|"&amp;'管线现金流'!AK5446&amp;"|"&amp;'管线现金流'!I5447&amp;"|"&amp;'管线现金流'!AK5447&amp;"|"&amp;'管线现金流'!I5448&amp;"|"&amp;'管线现金流'!AK5448&amp;"|"&amp;'管线现金流'!I5449&amp;"|"&amp;'管线现金流'!AK5449&amp;"|"&amp;'管线现金流'!I5450&amp;"|"&amp;'管线现金流'!AK5450&amp;"|"&amp;'管线现金流'!I5451&amp;"|"&amp;'管线现金流'!AK5451&amp;"|"&amp;'管线现金流'!I5452&amp;"|"&amp;'管线现金流'!AK5452&amp;"|"&amp;'管线现金流'!I5453&amp;"|"&amp;'管线现金流'!AK5453&amp;"|"&amp;'管线现金流'!I5454&amp;"|"&amp;'管线现金流'!AK5454&amp;"|"&amp;'管线现金流'!I5455&amp;"|"&amp;'管线现金流'!AK5455&amp;"|"&amp;'管线现金流'!I5456&amp;"|"&amp;'管线现金流'!AK5456&amp;"|"&amp;'管线现金流'!I5457&amp;"|"&amp;'管线现金流'!AK5457&amp;"|"&amp;'管线现金流'!I5458&amp;"|"&amp;'管线现金流'!AK5458&amp;"|"&amp;'管线现金流'!I5459&amp;"|"&amp;'管线现金流'!AK5459&amp;"|"&amp;'管线现金流'!I5460&amp;"|"&amp;'管线现金流'!AK5460&amp;"|"&amp;'管线现金流'!I5461&amp;"|"&amp;'管线现金流'!AK5461&amp;"|"&amp;'管线现金流'!I5462&amp;"|"&amp;'管线现金流'!AK5462&amp;"|"&amp;'管线现金流'!I5463&amp;"|"&amp;'管线现金流'!AK5463&amp;"|"&amp;'管线现金流'!I5464&amp;"|"&amp;'管线现金流'!AK5464&amp;"|"&amp;'管线现金流'!I5465&amp;"|"&amp;'管线现金流'!AK5465&amp;"|"&amp;'管线现金流'!I5466&amp;"|"&amp;'管线现金流'!AK5466&amp;"|"&amp;'管线现金流'!I5467&amp;"|"&amp;'管线现金流'!AK5467&amp;"|"&amp;'管线现金流'!I5468&amp;"|"&amp;'管线现金流'!AK5468&amp;"|"&amp;'管线现金流'!I5469&amp;"|"&amp;'管线现金流'!AK5469&amp;"|"&amp;'管线现金流'!I5470&amp;"|"&amp;'管线现金流'!AK5470&amp;"|"&amp;'管线现金流'!I5471&amp;"|"&amp;'管线现金流'!AK5471&amp;"|"&amp;'管线现金流'!I5472&amp;"|"&amp;'管线现金流'!AK5472&amp;"|"&amp;'管线现金流'!I5473&amp;"|"&amp;'管线现金流'!AK5473&amp;"|"&amp;'管线现金流'!I5474&amp;"|"&amp;'管线现金流'!AK5474&amp;"|"&amp;'管线现金流'!I5475&amp;"|"&amp;'管线现金流'!AK5475&amp;"|"&amp;'管线现金流'!I5476&amp;"|"&amp;'管线现金流'!AK5476&amp;"|"&amp;'管线现金流'!I5477&amp;"|"&amp;'管线现金流'!AK5477&amp;"|"&amp;'管线现金流'!I5478&amp;"|"&amp;'管线现金流'!AK5478&amp;"|"&amp;'管线现金流'!I5479&amp;"|"&amp;'管线现金流'!AK5479&amp;"|"&amp;'管线现金流'!I5480&amp;"|"&amp;'管线现金流'!AK5480&amp;"|"&amp;'管线现金流'!I5481&amp;"|"&amp;'管线现金流'!AK5481&amp;"|"&amp;'管线现金流'!I5482&amp;"|"&amp;'管线现金流'!AK5482&amp;"|"&amp;'管线现金流'!I5483&amp;"|"&amp;'管线现金流'!AK5483&amp;"|"&amp;'管线现金流'!I5484&amp;"|"&amp;'管线现金流'!AK5484&amp;"|"&amp;'管线现金流'!I5485&amp;"|"&amp;'管线现金流'!AK5485&amp;"|"&amp;'管线现金流'!I5486&amp;"|"&amp;'管线现金流'!AK5486&amp;"|"&amp;'管线现金流'!I5487&amp;"|"&amp;'管线现金流'!AK5487&amp;"|"&amp;'管线现金流'!I5488&amp;"|"&amp;'管线现金流'!AK5488&amp;"|"&amp;'管线现金流'!I5489&amp;"|"&amp;'管线现金流'!AK5489&amp;"|"&amp;'管线现金流'!I5490&amp;"|"&amp;'管线现金流'!AK5490&amp;"|"&amp;'管线现金流'!I5491&amp;"|"&amp;'管线现金流'!AK5491&amp;"|"&amp;'管线现金流'!I5492&amp;"|"&amp;'管线现金流'!AK5492&amp;"|"&amp;'管线现金流'!I5493&amp;"|"&amp;'管线现金流'!AK5493&amp;"|"&amp;'管线现金流'!I5494&amp;"|"&amp;'管线现金流'!AK5494&amp;"|"&amp;'管线现金流'!I5495&amp;"|"&amp;'管线现金流'!AK5495&amp;"|"&amp;'管线现金流'!I5496&amp;"|"&amp;'管线现金流'!AK5496&amp;"|"&amp;'管线现金流'!I5497&amp;"|"&amp;'管线现金流'!AK5497&amp;"|"&amp;'管线现金流'!I5498&amp;"|"&amp;'管线现金流'!AK5498&amp;"|"&amp;'管线现金流'!I5499&amp;"|"&amp;'管线现金流'!AK5499&amp;"|"&amp;'管线现金流'!I5500&amp;"|"&amp;'管线现金流'!AK5500&amp;"|"&amp;'管线现金流'!I5501&amp;"|"&amp;'管线现金流'!AK5501&amp;"|"&amp;'管线现金流'!I5502&amp;"|"&amp;'管线现金流'!AK5502&amp;"|"&amp;'管线现金流'!I5503&amp;"|"&amp;'管线现金流'!AK5503&amp;"|"&amp;'管线现金流'!I5504&amp;"|"&amp;'管线现金流'!AK5504&amp;"|"&amp;'管线现金流'!I5505&amp;"|"&amp;'管线现金流'!AK5505&amp;"|"&amp;'管线现金流'!I5506&amp;"|"&amp;'管线现金流'!AK5506&amp;"|"&amp;'管线现金流'!I5507&amp;"|"&amp;'管线现金流'!AK5507&amp;"|"&amp;'管线现金流'!I5508&amp;"|"&amp;'管线现金流'!AK5508&amp;"|"&amp;'管线现金流'!I5509&amp;"|"&amp;'管线现金流'!AK5509&amp;"|"&amp;'管线现金流'!I5510&amp;"|"&amp;'管线现金流'!AK5510&amp;"|"&amp;'管线现金流'!I5511&amp;"|"&amp;'管线现金流'!AK5511&amp;"|"&amp;'管线现金流'!I5512&amp;"|"&amp;'管线现金流'!AK5512&amp;"|"&amp;'管线现金流'!I5513&amp;"|"&amp;'管线现金流'!AK5513&amp;"|"&amp;'管线现金流'!I5514&amp;"|"&amp;'管线现金流'!AK5514&amp;"|"&amp;'管线现金流'!I5515&amp;"|"&amp;'管线现金流'!AK5515&amp;"|"&amp;'管线现金流'!I5516&amp;"|"&amp;'管线现金流'!AK5516&amp;"|"&amp;'管线现金流'!I5517&amp;"|"&amp;'管线现金流'!AK5517&amp;"|"&amp;'管线现金流'!I5518&amp;"|"&amp;'管线现金流'!AK5518&amp;"|"&amp;'管线现金流'!I5519&amp;"|"&amp;'管线现金流'!AK5519&amp;"|"&amp;'管线现金流'!I5520&amp;"|"&amp;'管线现金流'!AK5520&amp;"|"&amp;'管线现金流'!I5521&amp;"|"&amp;'管线现金流'!AK5521&amp;"|"&amp;'管线现金流'!I5522&amp;"|"&amp;'管线现金流'!AK5522&amp;"|"&amp;'管线现金流'!I5523&amp;"|"&amp;'管线现金流'!AK5523&amp;"|"&amp;'管线现金流'!I5524&amp;"|"&amp;'管线现金流'!AK5524&amp;"|"&amp;'管线现金流'!I5525&amp;"|"&amp;'管线现金流'!AK5525&amp;"|"&amp;'管线现金流'!I5526&amp;"|"&amp;'管线现金流'!AK5526&amp;"|"&amp;'管线现金流'!I5527&amp;"|"&amp;'管线现金流'!AK5527&amp;"|"&amp;'管线现金流'!I5528&amp;"|"&amp;'管线现金流'!AK5528&amp;"|"&amp;'管线现金流'!I5529&amp;"|"&amp;'管线现金流'!AK5529&amp;"|"&amp;'管线现金流'!I5530&amp;"|"&amp;'管线现金流'!AK5530&amp;"|"&amp;'管线现金流'!I5531&amp;"|"&amp;'管线现金流'!AK5531&amp;"|"&amp;'管线现金流'!I5532&amp;"|"&amp;'管线现金流'!AK5532&amp;"|"&amp;'管线现金流'!I5533&amp;"|"&amp;'管线现金流'!AK5533&amp;"|"&amp;'管线现金流'!I5534&amp;"|"&amp;'管线现金流'!AK5534&amp;"|"&amp;'管线现金流'!I5535&amp;"|"&amp;'管线现金流'!AK5535&amp;"|"&amp;'管线现金流'!I5536&amp;"|"&amp;'管线现金流'!AK5536&amp;"|"&amp;'管线现金流'!I5537&amp;"|"&amp;'管线现金流'!AK5537&amp;"|"&amp;'管线现金流'!I5538&amp;"|"&amp;'管线现金流'!AK5538&amp;"|"&amp;'管线现金流'!I5539&amp;"|"&amp;'管线现金流'!AK5539&amp;"|"&amp;'管线现金流'!I5540&amp;"|"&amp;'管线现金流'!AK5540&amp;"|"&amp;'管线现金流'!I5541&amp;"|"&amp;'管线现金流'!AK5541&amp;"|"&amp;'管线现金流'!I5542&amp;"|"&amp;'管线现金流'!AK5542&amp;"|"&amp;'管线现金流'!I5543&amp;"|"&amp;'管线现金流'!AK5543&amp;"|"&amp;'管线现金流'!I5544&amp;"|"&amp;'管线现金流'!AK5544&amp;"|"&amp;'管线现金流'!I5545&amp;"|"&amp;'管线现金流'!AK5545&amp;"|"&amp;'管线现金流'!I5546&amp;"|"&amp;'管线现金流'!AK5546&amp;"|"&amp;'管线现金流'!I5547&amp;"|"&amp;'管线现金流'!AK5547&amp;"|"&amp;'管线现金流'!I5548&amp;"|"&amp;'管线现金流'!AK5548&amp;"|"&amp;'管线现金流'!I5549&amp;"|"&amp;'管线现金流'!AK5549&amp;"|"&amp;'管线现金流'!I5550&amp;"|"&amp;'管线现金流'!AK5550&amp;"|"&amp;'管线现金流'!I5551&amp;"|"&amp;'管线现金流'!AK5551&amp;"|"&amp;'管线现金流'!I5552&amp;"|"&amp;'管线现金流'!AK5552&amp;"|"&amp;'管线现金流'!I5553&amp;"|"&amp;'管线现金流'!AK5553&amp;"|"&amp;'管线现金流'!I5554&amp;"|"&amp;'管线现金流'!AK5554&amp;"|"&amp;'管线现金流'!I5555&amp;"|"&amp;'管线现金流'!AK5555&amp;"|"&amp;'管线现金流'!I5556&amp;"|"&amp;'管线现金流'!AK5556&amp;"|"&amp;'管线现金流'!I5557&amp;"|"&amp;'管线现金流'!AK5557&amp;"|"&amp;'管线现金流'!I5558&amp;"|"&amp;'管线现金流'!AK5558&amp;"|"&amp;'管线现金流'!I5559&amp;"|"&amp;'管线现金流'!AK5559&amp;"|"&amp;'管线现金流'!I5560&amp;"|"&amp;'管线现金流'!AK5560&amp;"|"&amp;'管线现金流'!I5561&amp;"|"&amp;'管线现金流'!AK5561&amp;"|"&amp;'管线现金流'!I5562&amp;"|"&amp;'管线现金流'!AK5562&amp;"|"&amp;'管线现金流'!I5563&amp;"|"&amp;'管线现金流'!AK5563&amp;"|"&amp;'管线现金流'!I5564&amp;"|"&amp;'管线现金流'!AK5564&amp;"|"&amp;'管线现金流'!I5565&amp;"|"&amp;'管线现金流'!AK5565&amp;"|"&amp;'管线现金流'!I5566&amp;"|"&amp;'管线现金流'!AK5566&amp;"|"&amp;'管线现金流'!I5567&amp;"|"&amp;'管线现金流'!AK5567&amp;"|"&amp;'管线现金流'!I5568&amp;"|"&amp;'管线现金流'!AK5568&amp;"|"&amp;'管线现金流'!I5569&amp;"|"&amp;'管线现金流'!AK5569&amp;"|"&amp;'管线现金流'!I5570&amp;"|"&amp;'管线现金流'!AK5570&amp;"|"&amp;'管线现金流'!I5571&amp;"|"&amp;'管线现金流'!AK5571&amp;"|"&amp;'管线现金流'!I5572&amp;"|"&amp;'管线现金流'!AK5572&amp;"|"&amp;'管线现金流'!I5573&amp;"|"&amp;'管线现金流'!AK5573&amp;"|"&amp;'管线现金流'!I5574&amp;"|"&amp;'管线现金流'!AK5574&amp;"|"&amp;'管线现金流'!I5575&amp;"|"&amp;'管线现金流'!AK5575&amp;"|"&amp;'管线现金流'!I5576&amp;"|"&amp;'管线现金流'!AK5576&amp;"|"&amp;'管线现金流'!I5577&amp;"|"&amp;'管线现金流'!AK5577&amp;"|"&amp;'管线现金流'!I5578&amp;"|"&amp;'管线现金流'!AK5578&amp;"|"&amp;'管线现金流'!I5579&amp;"|"&amp;'管线现金流'!AK5579&amp;"|"&amp;'管线现金流'!I5580&amp;"|"&amp;'管线现金流'!AK5580&amp;"|"&amp;'管线现金流'!I5581&amp;"|"&amp;'管线现金流'!AK5581&amp;"|"&amp;'管线现金流'!I5582&amp;"|"&amp;'管线现金流'!AK5582&amp;"|"&amp;'管线现金流'!I5583&amp;"|"&amp;'管线现金流'!AK5583&amp;"|"&amp;'管线现金流'!I5584&amp;"|"&amp;'管线现金流'!AK5584&amp;"|"&amp;'管线现金流'!I5585&amp;"|"&amp;'管线现金流'!AK5585&amp;"|"&amp;'管线现金流'!I5586&amp;"|"&amp;'管线现金流'!AK5586&amp;"|"&amp;'管线现金流'!I5587&amp;"|"&amp;'管线现金流'!AK5587&amp;"|"&amp;'管线现金流'!I5588&amp;"|"&amp;'管线现金流'!AK5588&amp;"|"&amp;'管线现金流'!I5589&amp;"|"&amp;'管线现金流'!AK5589&amp;"|"&amp;'管线现金流'!I5590&amp;"|"&amp;'管线现金流'!AK5590&amp;"|"&amp;'管线现金流'!I5591&amp;"|"&amp;'管线现金流'!AK5591&amp;"|"&amp;'管线现金流'!I5592&amp;"|"&amp;'管线现金流'!AK5592&amp;"|"&amp;'管线现金流'!I5593&amp;"|"&amp;'管线现金流'!AK5593&amp;"|"&amp;'管线现金流'!I5594&amp;"|"&amp;'管线现金流'!AK5594&amp;"|"&amp;'管线现金流'!I5595&amp;"|"&amp;'管线现金流'!AK5595&amp;"|"&amp;'管线现金流'!I5596&amp;"|"&amp;'管线现金流'!AK5596&amp;"|"&amp;'管线现金流'!I5597&amp;"|"&amp;'管线现金流'!AK5597&amp;"|"&amp;'管线现金流'!I5598&amp;"|"&amp;'管线现金流'!AK5598&amp;"|"&amp;'管线现金流'!I5599&amp;"|"&amp;'管线现金流'!AK5599&amp;"|"&amp;'管线现金流'!I5600&amp;"|"&amp;'管线现金流'!AK5600&amp;"|"&amp;'管线现金流'!I5601&amp;"|"&amp;'管线现金流'!AK5601&amp;"|"&amp;'管线现金流'!I5602&amp;"|"&amp;'管线现金流'!AK5602&amp;"|"&amp;'管线现金流'!I5603&amp;"|"&amp;'管线现金流'!AK5603&amp;"|"&amp;'管线现金流'!I5604&amp;"|"&amp;'管线现金流'!AK5604&amp;"|"&amp;'管线现金流'!I5605&amp;"|"&amp;'管线现金流'!AK5605&amp;"|"&amp;'管线现金流'!I5606&amp;"|"&amp;'管线现金流'!AK5606&amp;"|"&amp;'管线现金流'!I5607&amp;"|"&amp;'管线现金流'!AK5607&amp;"|"&amp;'管线现金流'!I5608&amp;"|"&amp;'管线现金流'!AK5608&amp;"|"&amp;'管线现金流'!I5609&amp;"|"&amp;'管线现金流'!AK5609&amp;"|"&amp;'管线现金流'!I5610&amp;"|"&amp;'管线现金流'!AK5610&amp;"|"&amp;'管线现金流'!I5611&amp;"|"&amp;'管线现金流'!AK5611&amp;"|"&amp;'管线现金流'!I5612&amp;"|"&amp;'管线现金流'!AK5612&amp;"|"&amp;'管线现金流'!I5613&amp;"|"&amp;'管线现金流'!AK5613&amp;"|"&amp;'管线现金流'!I5614&amp;"|"&amp;'管线现金流'!AK5614&amp;"|"&amp;'管线现金流'!I5615&amp;"|"&amp;'管线现金流'!AK5615&amp;"|"&amp;'管线现金流'!I5616&amp;"|"&amp;'管线现金流'!AK5616&amp;"|"&amp;'管线现金流'!I5617&amp;"|"&amp;'管线现金流'!AK5617&amp;"|"&amp;'管线现金流'!I5618&amp;"|"&amp;'管线现金流'!AK5618&amp;"|"&amp;'管线现金流'!I5619&amp;"|"&amp;'管线现金流'!AK5619&amp;"|"&amp;'管线现金流'!I5620&amp;"|"&amp;'管线现金流'!AK5620&amp;"|"&amp;'管线现金流'!I5621&amp;"|"&amp;'管线现金流'!AK5621&amp;"|"&amp;'管线现金流'!I5622&amp;"|"&amp;'管线现金流'!AK5622&amp;"|"&amp;'管线现金流'!I5623&amp;"|"&amp;'管线现金流'!AK5623&amp;"|"&amp;'管线现金流'!I5624&amp;"|"&amp;'管线现金流'!AK5624&amp;"|"&amp;'管线现金流'!I5625&amp;"|"&amp;'管线现金流'!AK5625&amp;"|"&amp;'管线现金流'!I5626&amp;"|"&amp;'管线现金流'!AK5626&amp;"|"&amp;'管线现金流'!I5627&amp;"|"&amp;'管线现金流'!AK5627&amp;"|"&amp;'管线现金流'!I5628&amp;"|"&amp;'管线现金流'!AK5628&amp;"|"&amp;'管线现金流'!I5629&amp;"|"&amp;'管线现金流'!AK5629&amp;"|"&amp;'管线现金流'!I5630&amp;"|"&amp;'管线现金流'!AK5630&amp;"|"&amp;'管线现金流'!I5631&amp;"|"&amp;'管线现金流'!AK5631&amp;"|"&amp;'管线现金流'!I5632&amp;"|"&amp;'管线现金流'!AK5632&amp;"|"&amp;'管线现金流'!I5633&amp;"|"&amp;'管线现金流'!AK5633&amp;"|"&amp;'管线现金流'!I5634&amp;"|"&amp;'管线现金流'!AK5634&amp;"|"&amp;'管线现金流'!I5635&amp;"|"&amp;'管线现金流'!AK5635&amp;"|"&amp;'管线现金流'!I5636&amp;"|"&amp;'管线现金流'!AK5636&amp;"|"&amp;'管线现金流'!I5637&amp;"|"&amp;'管线现金流'!AK5637&amp;"|"&amp;'管线现金流'!I5638&amp;"|"&amp;'管线现金流'!AK5638&amp;"|"&amp;'管线现金流'!I5639&amp;"|"&amp;'管线现金流'!AK5639&amp;"|"&amp;'管线现金流'!I5640&amp;"|"&amp;'管线现金流'!AK5640&amp;"|"&amp;'管线现金流'!I5641&amp;"|"&amp;'管线现金流'!AK5641&amp;"|"&amp;'管线现金流'!I5642&amp;"|"&amp;'管线现金流'!AK5642&amp;"|"&amp;'管线现金流'!I5643&amp;"|"&amp;'管线现金流'!AK5643&amp;"|"&amp;'管线现金流'!I5644&amp;"|"&amp;'管线现金流'!AK5644&amp;"|"&amp;'管线现金流'!I5645&amp;"|"&amp;'管线现金流'!AK5645&amp;"|"&amp;'管线现金流'!I5646&amp;"|"&amp;'管线现金流'!AK5646&amp;"|"&amp;'管线现金流'!I5647&amp;"|"&amp;'管线现金流'!AK5647&amp;"|"&amp;'管线现金流'!I5648&amp;"|"&amp;'管线现金流'!AK5648&amp;"|"&amp;'管线现金流'!I5649&amp;"|"&amp;'管线现金流'!AK5649&amp;"|"&amp;'管线现金流'!I5650&amp;"|"&amp;'管线现金流'!AK5650&amp;"|"&amp;'管线现金流'!I5651&amp;"|"&amp;'管线现金流'!AK5651&amp;"|"&amp;'管线现金流'!I5652&amp;"|"&amp;'管线现金流'!AK5652&amp;"|"&amp;'管线现金流'!I5653&amp;"|"&amp;'管线现金流'!AK5653&amp;"|"&amp;'管线现金流'!I5654&amp;"|"&amp;'管线现金流'!AK5654&amp;"|"&amp;'管线现金流'!I5655&amp;"|"&amp;'管线现金流'!AK5655&amp;"|"&amp;'管线现金流'!I5656&amp;"|"&amp;'管线现金流'!AK5656&amp;"|"&amp;'管线现金流'!I5657&amp;"|"&amp;'管线现金流'!AK5657&amp;"|"&amp;'管线现金流'!I5658&amp;"|"&amp;'管线现金流'!AK5658&amp;"|"&amp;'管线现金流'!I5659&amp;"|"&amp;'管线现金流'!AK5659&amp;"|"&amp;'管线现金流'!I5660&amp;"|"&amp;'管线现金流'!AK5660&amp;"|"&amp;'管线现金流'!I5661&amp;"|"&amp;'管线现金流'!AK5661&amp;"|"&amp;'管线现金流'!I5662&amp;"|"&amp;'管线现金流'!AK5662&amp;"|"&amp;'管线现金流'!I5663&amp;"|"&amp;'管线现金流'!AK5663&amp;"|"&amp;'管线现金流'!I5664&amp;"|"&amp;'管线现金流'!AK5664&amp;"|"&amp;'管线现金流'!I5665&amp;"|"&amp;'管线现金流'!AK5665&amp;"|"&amp;'管线现金流'!I5666&amp;"|"&amp;'管线现金流'!AK5666&amp;"|"&amp;'管线现金流'!I5667&amp;"|"&amp;'管线现金流'!AK5667&amp;"|"&amp;'管线现金流'!I5668&amp;"|"&amp;'管线现金流'!AK5668&amp;"|"&amp;'管线现金流'!I5669&amp;"|"&amp;'管线现金流'!AK5669&amp;"|"&amp;'管线现金流'!I5670&amp;"|"&amp;'管线现金流'!AK5670&amp;"|"&amp;'管线现金流'!I5671&amp;"|"&amp;'管线现金流'!AK5671&amp;"|"&amp;'管线现金流'!I5672&amp;"|"&amp;'管线现金流'!AK5672&amp;"|"&amp;'管线现金流'!I5673&amp;"|"&amp;'管线现金流'!AK5673&amp;"|"&amp;'管线现金流'!I5674&amp;"|"&amp;'管线现金流'!AK5674&amp;"|"&amp;'管线现金流'!I5675&amp;"|"&amp;'管线现金流'!AK5675&amp;"|"&amp;'管线现金流'!I5676&amp;"|"&amp;'管线现金流'!AK5676&amp;"|"&amp;'管线现金流'!I5677&amp;"|"&amp;'管线现金流'!AK5677&amp;"|"&amp;'管线现金流'!I5678&amp;"|"&amp;'管线现金流'!AK5678&amp;"|"&amp;'管线现金流'!V90&amp;"|"&amp;'管线现金流'!Y90&amp;"|"&amp;'管线现金流'!AP90&amp;"|"&amp;'管线现金流'!AS90&amp;"|"&amp;'管线现金流'!V91&amp;"|"&amp;'管线现金流'!Y91&amp;"|"&amp;'管线现金流'!AP91&amp;"|"&amp;'管线现金流'!AS91&amp;"|"&amp;'管线现金流'!V92&amp;"|"&amp;'管线现金流'!Y92&amp;"|"&amp;'管线现金流'!AP92&amp;"|"&amp;'管线现金流'!AS92&amp;"|"&amp;'管线现金流'!V93&amp;"|"&amp;'管线现金流'!Y93&amp;"|"&amp;'管线现金流'!AP93&amp;"|"&amp;'管线现金流'!AS93</x:f>
        <x:v>0.85|-1.9|2.2|0.9335|0.23|1|0.14|6.8|1|0.08000000000000002|1|0.14|6.8|0.639|0.3|1|0.14|6.8|0.5725|0.3|1|0.14|6.8|0.506|0.3|1|0.14|6.8|0.3350000000000001|0.3|1|0.14|6.8|0.20200000000000007|0.3|1|0.14|6.8|0.24|0.23|1|0.14|6.8|0.259|0.3|1|0.14|6.8|0.14500000000000002|0.3|1|0.14|6.8|0.2875000000000001|0.3|1|0.14|6.8|0.16400000000000003|0.064|1|0.14|6.8|0.16400000000000003|0.3|1|0.14|6.8|0.44899999999999995|0.068|1|0.14|6.8|0.38250000000000006|0.3|1|0.14|6.8|0.1925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</x:row>
    <x:row r="480" ht="23" customHeight="1">
      <x:c r="A480" s="11" t="str">
        <x:v>688062.SH</x:v>
      </x:c>
      <x:c r="B480" s="11" t="str">
        <x:v>迈威生物</x:v>
      </x:c>
      <x:c r="C480" s="11" t="str">
        <x:v>一年</x:v>
      </x:c>
      <x:c r="D480" s="11" t="str">
        <x:v>乐观</x:v>
      </x:c>
      <x:c r="E480" s="11" t="n">
        <x:v>24.78</x:v>
      </x:c>
      <x:c r="F480" s="11" t="n">
        <x:v>66.68207860282935</x:v>
      </x:c>
      <x:c r="G480" s="11" t="n">
        <x:v>0</x:v>
      </x:c>
      <x:c r="H480" s="25" t="n">
        <x:v>1.6909636240044126</x:v>
      </x:c>
      <x:c r="I480" s="25" t="n">
        <x:v>1.6909636240044126</x:v>
      </x:c>
      <x:c r="J480" s="25" t="str"/>
      <x:c r="K480" s="11" t="n">
        <x:v>0</x:v>
      </x:c>
      <x:c r="L480" s="11" t="n">
        <x:v>0</x:v>
      </x:c>
      <x:c r="M480" s="11" t="n">
        <x:v>1</x:v>
      </x:c>
      <x:c r="N480" s="11" t="n">
        <x:v>0</x:v>
      </x:c>
      <x:c r="O480" s="11" t="n">
        <x:v>0</x:v>
      </x:c>
      <x:c r="P480" s="11" t="n">
        <x:v>0</x:v>
      </x:c>
      <x:c r="Q480" s="11" t="n">
        <x:v>0.47</x:v>
      </x:c>
      <x:c r="R480" s="11" t="str">
        <x:v>mabwell-rnpv-v1.1</x:v>
      </x:c>
      <x:c r="S480" s="11" t="str">
        <x:v>2026-10-10</x:v>
      </x:c>
      <x:c r="T480" s="11" t="str">
        <x:f>IF(AND(SUM(IF(K480='假设'!E638,0,1),IF(L480='假设'!F638,0,1),IF(M480='假设'!G638,0,1),IF(N480='假设'!H638,0,1),IF(O480='假设'!I638,0,1),IF(P480='假设'!J638,0,1),IF(Q480='假设'!K638,0,1))=0,U480=V480),"已刷新","待刷新")</x:f>
        <x:v>已刷新</x:v>
      </x:c>
      <x:c r="U480" t="str">
        <x:v>1|-1.1|2.3|0.9823999999999999|0.3|1|0.11|6.8|1|0.10660000000000001|1|0.11|6.8|0.8415999999999999|0.38|1|0.11|6.8|0.8064|0.38|1|0.11|6.8|0.7624|0.38|1|0.11|6.8|0.6040000000000001|0.38|1|0.11|6.8|0.4192|0.38|1|0.11|6.8|0.4544|0.3|1|0.11|6.8|0.4895999999999999|0.38|1|0.11|6.8|0.33999999999999997|0.38|1|0.11|6.8|0.516|0.38|1|0.11|6.8|0.36640000000000006|0.0902|1|0.11|6.8|0.384|0.38|1|0.11|6.8|0.692|0.08610000000000001|1|0.11|6.8|0.6479999999999999|0.38|1|0.11|6.8|0.384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  <x:c r="V480" t="str">
        <x:f>'假设'!U638&amp;"|"&amp;'假设'!N638&amp;"|"&amp;'假设'!Q638&amp;"|"&amp;'管线假设'!E1158&amp;"|"&amp;'管线假设'!F1158&amp;"|"&amp;'管线假设'!G1158&amp;"|"&amp;'管线假设'!H1158&amp;"|"&amp;'管线假设'!I1158&amp;"|"&amp;'管线假设'!E1162&amp;"|"&amp;'管线假设'!F1162&amp;"|"&amp;'管线假设'!G1162&amp;"|"&amp;'管线假设'!H1162&amp;"|"&amp;'管线假设'!I1162&amp;"|"&amp;'管线假设'!E1166&amp;"|"&amp;'管线假设'!F1166&amp;"|"&amp;'管线假设'!G1166&amp;"|"&amp;'管线假设'!H1166&amp;"|"&amp;'管线假设'!I1166&amp;"|"&amp;'管线假设'!E1170&amp;"|"&amp;'管线假设'!F1170&amp;"|"&amp;'管线假设'!G1170&amp;"|"&amp;'管线假设'!H1170&amp;"|"&amp;'管线假设'!I1170&amp;"|"&amp;'管线假设'!E1174&amp;"|"&amp;'管线假设'!F1174&amp;"|"&amp;'管线假设'!G1174&amp;"|"&amp;'管线假设'!H1174&amp;"|"&amp;'管线假设'!I1174&amp;"|"&amp;'管线假设'!E1178&amp;"|"&amp;'管线假设'!F1178&amp;"|"&amp;'管线假设'!G1178&amp;"|"&amp;'管线假设'!H1178&amp;"|"&amp;'管线假设'!I1178&amp;"|"&amp;'管线假设'!E1182&amp;"|"&amp;'管线假设'!F1182&amp;"|"&amp;'管线假设'!G1182&amp;"|"&amp;'管线假设'!H1182&amp;"|"&amp;'管线假设'!I1182&amp;"|"&amp;'管线假设'!E1186&amp;"|"&amp;'管线假设'!F1186&amp;"|"&amp;'管线假设'!G1186&amp;"|"&amp;'管线假设'!H1186&amp;"|"&amp;'管线假设'!I1186&amp;"|"&amp;'管线假设'!E1190&amp;"|"&amp;'管线假设'!F1190&amp;"|"&amp;'管线假设'!G1190&amp;"|"&amp;'管线假设'!H1190&amp;"|"&amp;'管线假设'!I1190&amp;"|"&amp;'管线假设'!E1194&amp;"|"&amp;'管线假设'!F1194&amp;"|"&amp;'管线假设'!G1194&amp;"|"&amp;'管线假设'!H1194&amp;"|"&amp;'管线假设'!I1194&amp;"|"&amp;'管线假设'!E1198&amp;"|"&amp;'管线假设'!F1198&amp;"|"&amp;'管线假设'!G1198&amp;"|"&amp;'管线假设'!H1198&amp;"|"&amp;'管线假设'!I1198&amp;"|"&amp;'管线假设'!E1202&amp;"|"&amp;'管线假设'!F1202&amp;"|"&amp;'管线假设'!G1202&amp;"|"&amp;'管线假设'!H1202&amp;"|"&amp;'管线假设'!I1202&amp;"|"&amp;'管线假设'!E1206&amp;"|"&amp;'管线假设'!F1206&amp;"|"&amp;'管线假设'!G1206&amp;"|"&amp;'管线假设'!H1206&amp;"|"&amp;'管线假设'!I1206&amp;"|"&amp;'管线假设'!E1210&amp;"|"&amp;'管线假设'!F1210&amp;"|"&amp;'管线假设'!G1210&amp;"|"&amp;'管线假设'!H1210&amp;"|"&amp;'管线假设'!I1210&amp;"|"&amp;'管线假设'!E1214&amp;"|"&amp;'管线假设'!F1214&amp;"|"&amp;'管线假设'!G1214&amp;"|"&amp;'管线假设'!H1214&amp;"|"&amp;'管线假设'!I1214&amp;"|"&amp;'管线假设'!E1218&amp;"|"&amp;'管线假设'!F1218&amp;"|"&amp;'管线假设'!G1218&amp;"|"&amp;'管线假设'!H1218&amp;"|"&amp;'管线假设'!I1218&amp;"|"&amp;'管线现金流'!J5375&amp;"|"&amp;'管线现金流'!AL5375&amp;"|"&amp;'管线现金流'!J5376&amp;"|"&amp;'管线现金流'!AL5376&amp;"|"&amp;'管线现金流'!J5377&amp;"|"&amp;'管线现金流'!AL5377&amp;"|"&amp;'管线现金流'!J5378&amp;"|"&amp;'管线现金流'!AL5378&amp;"|"&amp;'管线现金流'!J5379&amp;"|"&amp;'管线现金流'!AL5379&amp;"|"&amp;'管线现金流'!J5380&amp;"|"&amp;'管线现金流'!AL5380&amp;"|"&amp;'管线现金流'!J5381&amp;"|"&amp;'管线现金流'!AL5381&amp;"|"&amp;'管线现金流'!J5382&amp;"|"&amp;'管线现金流'!AL5382&amp;"|"&amp;'管线现金流'!J5383&amp;"|"&amp;'管线现金流'!AL5383&amp;"|"&amp;'管线现金流'!J5384&amp;"|"&amp;'管线现金流'!AL5384&amp;"|"&amp;'管线现金流'!J5385&amp;"|"&amp;'管线现金流'!AL5385&amp;"|"&amp;'管线现金流'!J5386&amp;"|"&amp;'管线现金流'!AL5386&amp;"|"&amp;'管线现金流'!J5387&amp;"|"&amp;'管线现金流'!AL5387&amp;"|"&amp;'管线现金流'!J5388&amp;"|"&amp;'管线现金流'!AL5388&amp;"|"&amp;'管线现金流'!J5389&amp;"|"&amp;'管线现金流'!AL5389&amp;"|"&amp;'管线现金流'!J5390&amp;"|"&amp;'管线现金流'!AL5390&amp;"|"&amp;'管线现金流'!J5391&amp;"|"&amp;'管线现金流'!AL5391&amp;"|"&amp;'管线现金流'!J5392&amp;"|"&amp;'管线现金流'!AL5392&amp;"|"&amp;'管线现金流'!J5393&amp;"|"&amp;'管线现金流'!AL5393&amp;"|"&amp;'管线现金流'!J5394&amp;"|"&amp;'管线现金流'!AL5394&amp;"|"&amp;'管线现金流'!J5395&amp;"|"&amp;'管线现金流'!AL5395&amp;"|"&amp;'管线现金流'!J5396&amp;"|"&amp;'管线现金流'!AL5396&amp;"|"&amp;'管线现金流'!J5397&amp;"|"&amp;'管线现金流'!AL5397&amp;"|"&amp;'管线现金流'!J5398&amp;"|"&amp;'管线现金流'!AL5398&amp;"|"&amp;'管线现金流'!J5399&amp;"|"&amp;'管线现金流'!AL5399&amp;"|"&amp;'管线现金流'!J5400&amp;"|"&amp;'管线现金流'!AL5400&amp;"|"&amp;'管线现金流'!J5401&amp;"|"&amp;'管线现金流'!AL5401&amp;"|"&amp;'管线现金流'!J5402&amp;"|"&amp;'管线现金流'!AL5402&amp;"|"&amp;'管线现金流'!J5403&amp;"|"&amp;'管线现金流'!AL5403&amp;"|"&amp;'管线现金流'!J5404&amp;"|"&amp;'管线现金流'!AL5404&amp;"|"&amp;'管线现金流'!J5405&amp;"|"&amp;'管线现金流'!AL5405&amp;"|"&amp;'管线现金流'!J5406&amp;"|"&amp;'管线现金流'!AL5406&amp;"|"&amp;'管线现金流'!J5407&amp;"|"&amp;'管线现金流'!AL5407&amp;"|"&amp;'管线现金流'!J5408&amp;"|"&amp;'管线现金流'!AL5408&amp;"|"&amp;'管线现金流'!J5409&amp;"|"&amp;'管线现金流'!AL5409&amp;"|"&amp;'管线现金流'!J5410&amp;"|"&amp;'管线现金流'!AL5410&amp;"|"&amp;'管线现金流'!J5411&amp;"|"&amp;'管线现金流'!AL5411&amp;"|"&amp;'管线现金流'!J5412&amp;"|"&amp;'管线现金流'!AL5412&amp;"|"&amp;'管线现金流'!J5413&amp;"|"&amp;'管线现金流'!AL5413&amp;"|"&amp;'管线现金流'!J5414&amp;"|"&amp;'管线现金流'!AL5414&amp;"|"&amp;'管线现金流'!J5415&amp;"|"&amp;'管线现金流'!AL5415&amp;"|"&amp;'管线现金流'!J5416&amp;"|"&amp;'管线现金流'!AL5416&amp;"|"&amp;'管线现金流'!J5417&amp;"|"&amp;'管线现金流'!AL5417&amp;"|"&amp;'管线现金流'!J5418&amp;"|"&amp;'管线现金流'!AL5418&amp;"|"&amp;'管线现金流'!J5419&amp;"|"&amp;'管线现金流'!AL5419&amp;"|"&amp;'管线现金流'!J5420&amp;"|"&amp;'管线现金流'!AL5420&amp;"|"&amp;'管线现金流'!J5421&amp;"|"&amp;'管线现金流'!AL5421&amp;"|"&amp;'管线现金流'!J5422&amp;"|"&amp;'管线现金流'!AL5422&amp;"|"&amp;'管线现金流'!J5423&amp;"|"&amp;'管线现金流'!AL5423&amp;"|"&amp;'管线现金流'!J5424&amp;"|"&amp;'管线现金流'!AL5424&amp;"|"&amp;'管线现金流'!J5425&amp;"|"&amp;'管线现金流'!AL5425&amp;"|"&amp;'管线现金流'!J5426&amp;"|"&amp;'管线现金流'!AL5426&amp;"|"&amp;'管线现金流'!J5427&amp;"|"&amp;'管线现金流'!AL5427&amp;"|"&amp;'管线现金流'!J5428&amp;"|"&amp;'管线现金流'!AL5428&amp;"|"&amp;'管线现金流'!J5429&amp;"|"&amp;'管线现金流'!AL5429&amp;"|"&amp;'管线现金流'!J5430&amp;"|"&amp;'管线现金流'!AL5430&amp;"|"&amp;'管线现金流'!J5431&amp;"|"&amp;'管线现金流'!AL5431&amp;"|"&amp;'管线现金流'!J5432&amp;"|"&amp;'管线现金流'!AL5432&amp;"|"&amp;'管线现金流'!J5433&amp;"|"&amp;'管线现金流'!AL5433&amp;"|"&amp;'管线现金流'!J5434&amp;"|"&amp;'管线现金流'!AL5434&amp;"|"&amp;'管线现金流'!J5435&amp;"|"&amp;'管线现金流'!AL5435&amp;"|"&amp;'管线现金流'!J5436&amp;"|"&amp;'管线现金流'!AL5436&amp;"|"&amp;'管线现金流'!J5437&amp;"|"&amp;'管线现金流'!AL5437&amp;"|"&amp;'管线现金流'!J5438&amp;"|"&amp;'管线现金流'!AL5438&amp;"|"&amp;'管线现金流'!J5439&amp;"|"&amp;'管线现金流'!AL5439&amp;"|"&amp;'管线现金流'!J5440&amp;"|"&amp;'管线现金流'!AL5440&amp;"|"&amp;'管线现金流'!J5441&amp;"|"&amp;'管线现金流'!AL5441&amp;"|"&amp;'管线现金流'!J5442&amp;"|"&amp;'管线现金流'!AL5442&amp;"|"&amp;'管线现金流'!J5443&amp;"|"&amp;'管线现金流'!AL5443&amp;"|"&amp;'管线现金流'!J5444&amp;"|"&amp;'管线现金流'!AL5444&amp;"|"&amp;'管线现金流'!J5445&amp;"|"&amp;'管线现金流'!AL5445&amp;"|"&amp;'管线现金流'!J5446&amp;"|"&amp;'管线现金流'!AL5446&amp;"|"&amp;'管线现金流'!J5447&amp;"|"&amp;'管线现金流'!AL5447&amp;"|"&amp;'管线现金流'!J5448&amp;"|"&amp;'管线现金流'!AL5448&amp;"|"&amp;'管线现金流'!J5449&amp;"|"&amp;'管线现金流'!AL5449&amp;"|"&amp;'管线现金流'!J5450&amp;"|"&amp;'管线现金流'!AL5450&amp;"|"&amp;'管线现金流'!J5451&amp;"|"&amp;'管线现金流'!AL5451&amp;"|"&amp;'管线现金流'!J5452&amp;"|"&amp;'管线现金流'!AL5452&amp;"|"&amp;'管线现金流'!J5453&amp;"|"&amp;'管线现金流'!AL5453&amp;"|"&amp;'管线现金流'!J5454&amp;"|"&amp;'管线现金流'!AL5454&amp;"|"&amp;'管线现金流'!J5455&amp;"|"&amp;'管线现金流'!AL5455&amp;"|"&amp;'管线现金流'!J5456&amp;"|"&amp;'管线现金流'!AL5456&amp;"|"&amp;'管线现金流'!J5457&amp;"|"&amp;'管线现金流'!AL5457&amp;"|"&amp;'管线现金流'!J5458&amp;"|"&amp;'管线现金流'!AL5458&amp;"|"&amp;'管线现金流'!J5459&amp;"|"&amp;'管线现金流'!AL5459&amp;"|"&amp;'管线现金流'!J5460&amp;"|"&amp;'管线现金流'!AL5460&amp;"|"&amp;'管线现金流'!J5461&amp;"|"&amp;'管线现金流'!AL5461&amp;"|"&amp;'管线现金流'!J5462&amp;"|"&amp;'管线现金流'!AL5462&amp;"|"&amp;'管线现金流'!J5463&amp;"|"&amp;'管线现金流'!AL5463&amp;"|"&amp;'管线现金流'!J5464&amp;"|"&amp;'管线现金流'!AL5464&amp;"|"&amp;'管线现金流'!J5465&amp;"|"&amp;'管线现金流'!AL5465&amp;"|"&amp;'管线现金流'!J5466&amp;"|"&amp;'管线现金流'!AL5466&amp;"|"&amp;'管线现金流'!J5467&amp;"|"&amp;'管线现金流'!AL5467&amp;"|"&amp;'管线现金流'!J5468&amp;"|"&amp;'管线现金流'!AL5468&amp;"|"&amp;'管线现金流'!J5469&amp;"|"&amp;'管线现金流'!AL5469&amp;"|"&amp;'管线现金流'!J5470&amp;"|"&amp;'管线现金流'!AL5470&amp;"|"&amp;'管线现金流'!J5471&amp;"|"&amp;'管线现金流'!AL5471&amp;"|"&amp;'管线现金流'!J5472&amp;"|"&amp;'管线现金流'!AL5472&amp;"|"&amp;'管线现金流'!J5473&amp;"|"&amp;'管线现金流'!AL5473&amp;"|"&amp;'管线现金流'!J5474&amp;"|"&amp;'管线现金流'!AL5474&amp;"|"&amp;'管线现金流'!J5475&amp;"|"&amp;'管线现金流'!AL5475&amp;"|"&amp;'管线现金流'!J5476&amp;"|"&amp;'管线现金流'!AL5476&amp;"|"&amp;'管线现金流'!J5477&amp;"|"&amp;'管线现金流'!AL5477&amp;"|"&amp;'管线现金流'!J5478&amp;"|"&amp;'管线现金流'!AL5478&amp;"|"&amp;'管线现金流'!J5479&amp;"|"&amp;'管线现金流'!AL5479&amp;"|"&amp;'管线现金流'!J5480&amp;"|"&amp;'管线现金流'!AL5480&amp;"|"&amp;'管线现金流'!J5481&amp;"|"&amp;'管线现金流'!AL5481&amp;"|"&amp;'管线现金流'!J5482&amp;"|"&amp;'管线现金流'!AL5482&amp;"|"&amp;'管线现金流'!J5483&amp;"|"&amp;'管线现金流'!AL5483&amp;"|"&amp;'管线现金流'!J5484&amp;"|"&amp;'管线现金流'!AL5484&amp;"|"&amp;'管线现金流'!J5485&amp;"|"&amp;'管线现金流'!AL5485&amp;"|"&amp;'管线现金流'!J5486&amp;"|"&amp;'管线现金流'!AL5486&amp;"|"&amp;'管线现金流'!J5487&amp;"|"&amp;'管线现金流'!AL5487&amp;"|"&amp;'管线现金流'!J5488&amp;"|"&amp;'管线现金流'!AL5488&amp;"|"&amp;'管线现金流'!J5489&amp;"|"&amp;'管线现金流'!AL5489&amp;"|"&amp;'管线现金流'!J5490&amp;"|"&amp;'管线现金流'!AL5490&amp;"|"&amp;'管线现金流'!J5491&amp;"|"&amp;'管线现金流'!AL5491&amp;"|"&amp;'管线现金流'!J5492&amp;"|"&amp;'管线现金流'!AL5492&amp;"|"&amp;'管线现金流'!J5493&amp;"|"&amp;'管线现金流'!AL5493&amp;"|"&amp;'管线现金流'!J5494&amp;"|"&amp;'管线现金流'!AL5494&amp;"|"&amp;'管线现金流'!J5495&amp;"|"&amp;'管线现金流'!AL5495&amp;"|"&amp;'管线现金流'!J5496&amp;"|"&amp;'管线现金流'!AL5496&amp;"|"&amp;'管线现金流'!J5497&amp;"|"&amp;'管线现金流'!AL5497&amp;"|"&amp;'管线现金流'!J5498&amp;"|"&amp;'管线现金流'!AL5498&amp;"|"&amp;'管线现金流'!J5499&amp;"|"&amp;'管线现金流'!AL5499&amp;"|"&amp;'管线现金流'!J5500&amp;"|"&amp;'管线现金流'!AL5500&amp;"|"&amp;'管线现金流'!J5501&amp;"|"&amp;'管线现金流'!AL5501&amp;"|"&amp;'管线现金流'!J5502&amp;"|"&amp;'管线现金流'!AL5502&amp;"|"&amp;'管线现金流'!J5503&amp;"|"&amp;'管线现金流'!AL5503&amp;"|"&amp;'管线现金流'!J5504&amp;"|"&amp;'管线现金流'!AL5504&amp;"|"&amp;'管线现金流'!J5505&amp;"|"&amp;'管线现金流'!AL5505&amp;"|"&amp;'管线现金流'!J5506&amp;"|"&amp;'管线现金流'!AL5506&amp;"|"&amp;'管线现金流'!J5507&amp;"|"&amp;'管线现金流'!AL5507&amp;"|"&amp;'管线现金流'!J5508&amp;"|"&amp;'管线现金流'!AL5508&amp;"|"&amp;'管线现金流'!J5509&amp;"|"&amp;'管线现金流'!AL5509&amp;"|"&amp;'管线现金流'!J5510&amp;"|"&amp;'管线现金流'!AL5510&amp;"|"&amp;'管线现金流'!J5511&amp;"|"&amp;'管线现金流'!AL5511&amp;"|"&amp;'管线现金流'!J5512&amp;"|"&amp;'管线现金流'!AL5512&amp;"|"&amp;'管线现金流'!J5513&amp;"|"&amp;'管线现金流'!AL5513&amp;"|"&amp;'管线现金流'!J5514&amp;"|"&amp;'管线现金流'!AL5514&amp;"|"&amp;'管线现金流'!J5515&amp;"|"&amp;'管线现金流'!AL5515&amp;"|"&amp;'管线现金流'!J5516&amp;"|"&amp;'管线现金流'!AL5516&amp;"|"&amp;'管线现金流'!J5517&amp;"|"&amp;'管线现金流'!AL5517&amp;"|"&amp;'管线现金流'!J5518&amp;"|"&amp;'管线现金流'!AL5518&amp;"|"&amp;'管线现金流'!J5519&amp;"|"&amp;'管线现金流'!AL5519&amp;"|"&amp;'管线现金流'!J5520&amp;"|"&amp;'管线现金流'!AL5520&amp;"|"&amp;'管线现金流'!J5521&amp;"|"&amp;'管线现金流'!AL5521&amp;"|"&amp;'管线现金流'!J5522&amp;"|"&amp;'管线现金流'!AL5522&amp;"|"&amp;'管线现金流'!J5523&amp;"|"&amp;'管线现金流'!AL5523&amp;"|"&amp;'管线现金流'!J5524&amp;"|"&amp;'管线现金流'!AL5524&amp;"|"&amp;'管线现金流'!J5525&amp;"|"&amp;'管线现金流'!AL5525&amp;"|"&amp;'管线现金流'!J5526&amp;"|"&amp;'管线现金流'!AL5526&amp;"|"&amp;'管线现金流'!J5527&amp;"|"&amp;'管线现金流'!AL5527&amp;"|"&amp;'管线现金流'!J5528&amp;"|"&amp;'管线现金流'!AL5528&amp;"|"&amp;'管线现金流'!J5529&amp;"|"&amp;'管线现金流'!AL5529&amp;"|"&amp;'管线现金流'!J5530&amp;"|"&amp;'管线现金流'!AL5530&amp;"|"&amp;'管线现金流'!J5531&amp;"|"&amp;'管线现金流'!AL5531&amp;"|"&amp;'管线现金流'!J5532&amp;"|"&amp;'管线现金流'!AL5532&amp;"|"&amp;'管线现金流'!J5533&amp;"|"&amp;'管线现金流'!AL5533&amp;"|"&amp;'管线现金流'!J5534&amp;"|"&amp;'管线现金流'!AL5534&amp;"|"&amp;'管线现金流'!J5535&amp;"|"&amp;'管线现金流'!AL5535&amp;"|"&amp;'管线现金流'!J5536&amp;"|"&amp;'管线现金流'!AL5536&amp;"|"&amp;'管线现金流'!J5537&amp;"|"&amp;'管线现金流'!AL5537&amp;"|"&amp;'管线现金流'!J5538&amp;"|"&amp;'管线现金流'!AL5538&amp;"|"&amp;'管线现金流'!J5539&amp;"|"&amp;'管线现金流'!AL5539&amp;"|"&amp;'管线现金流'!J5540&amp;"|"&amp;'管线现金流'!AL5540&amp;"|"&amp;'管线现金流'!J5541&amp;"|"&amp;'管线现金流'!AL5541&amp;"|"&amp;'管线现金流'!J5542&amp;"|"&amp;'管线现金流'!AL5542&amp;"|"&amp;'管线现金流'!J5543&amp;"|"&amp;'管线现金流'!AL5543&amp;"|"&amp;'管线现金流'!J5544&amp;"|"&amp;'管线现金流'!AL5544&amp;"|"&amp;'管线现金流'!J5545&amp;"|"&amp;'管线现金流'!AL5545&amp;"|"&amp;'管线现金流'!J5546&amp;"|"&amp;'管线现金流'!AL5546&amp;"|"&amp;'管线现金流'!J5547&amp;"|"&amp;'管线现金流'!AL5547&amp;"|"&amp;'管线现金流'!J5548&amp;"|"&amp;'管线现金流'!AL5548&amp;"|"&amp;'管线现金流'!J5549&amp;"|"&amp;'管线现金流'!AL5549&amp;"|"&amp;'管线现金流'!J5550&amp;"|"&amp;'管线现金流'!AL5550&amp;"|"&amp;'管线现金流'!J5551&amp;"|"&amp;'管线现金流'!AL5551&amp;"|"&amp;'管线现金流'!J5552&amp;"|"&amp;'管线现金流'!AL5552&amp;"|"&amp;'管线现金流'!J5553&amp;"|"&amp;'管线现金流'!AL5553&amp;"|"&amp;'管线现金流'!J5554&amp;"|"&amp;'管线现金流'!AL5554&amp;"|"&amp;'管线现金流'!J5555&amp;"|"&amp;'管线现金流'!AL5555&amp;"|"&amp;'管线现金流'!J5556&amp;"|"&amp;'管线现金流'!AL5556&amp;"|"&amp;'管线现金流'!J5557&amp;"|"&amp;'管线现金流'!AL5557&amp;"|"&amp;'管线现金流'!J5558&amp;"|"&amp;'管线现金流'!AL5558&amp;"|"&amp;'管线现金流'!J5559&amp;"|"&amp;'管线现金流'!AL5559&amp;"|"&amp;'管线现金流'!J5560&amp;"|"&amp;'管线现金流'!AL5560&amp;"|"&amp;'管线现金流'!J5561&amp;"|"&amp;'管线现金流'!AL5561&amp;"|"&amp;'管线现金流'!J5562&amp;"|"&amp;'管线现金流'!AL5562&amp;"|"&amp;'管线现金流'!J5563&amp;"|"&amp;'管线现金流'!AL5563&amp;"|"&amp;'管线现金流'!J5564&amp;"|"&amp;'管线现金流'!AL5564&amp;"|"&amp;'管线现金流'!J5565&amp;"|"&amp;'管线现金流'!AL5565&amp;"|"&amp;'管线现金流'!J5566&amp;"|"&amp;'管线现金流'!AL5566&amp;"|"&amp;'管线现金流'!J5567&amp;"|"&amp;'管线现金流'!AL5567&amp;"|"&amp;'管线现金流'!J5568&amp;"|"&amp;'管线现金流'!AL5568&amp;"|"&amp;'管线现金流'!J5569&amp;"|"&amp;'管线现金流'!AL5569&amp;"|"&amp;'管线现金流'!J5570&amp;"|"&amp;'管线现金流'!AL5570&amp;"|"&amp;'管线现金流'!J5571&amp;"|"&amp;'管线现金流'!AL5571&amp;"|"&amp;'管线现金流'!J5572&amp;"|"&amp;'管线现金流'!AL5572&amp;"|"&amp;'管线现金流'!J5573&amp;"|"&amp;'管线现金流'!AL5573&amp;"|"&amp;'管线现金流'!J5574&amp;"|"&amp;'管线现金流'!AL5574&amp;"|"&amp;'管线现金流'!J5575&amp;"|"&amp;'管线现金流'!AL5575&amp;"|"&amp;'管线现金流'!J5576&amp;"|"&amp;'管线现金流'!AL5576&amp;"|"&amp;'管线现金流'!J5577&amp;"|"&amp;'管线现金流'!AL5577&amp;"|"&amp;'管线现金流'!J5578&amp;"|"&amp;'管线现金流'!AL5578&amp;"|"&amp;'管线现金流'!J5579&amp;"|"&amp;'管线现金流'!AL5579&amp;"|"&amp;'管线现金流'!J5580&amp;"|"&amp;'管线现金流'!AL5580&amp;"|"&amp;'管线现金流'!J5581&amp;"|"&amp;'管线现金流'!AL5581&amp;"|"&amp;'管线现金流'!J5582&amp;"|"&amp;'管线现金流'!AL5582&amp;"|"&amp;'管线现金流'!J5583&amp;"|"&amp;'管线现金流'!AL5583&amp;"|"&amp;'管线现金流'!J5584&amp;"|"&amp;'管线现金流'!AL5584&amp;"|"&amp;'管线现金流'!J5585&amp;"|"&amp;'管线现金流'!AL5585&amp;"|"&amp;'管线现金流'!J5586&amp;"|"&amp;'管线现金流'!AL5586&amp;"|"&amp;'管线现金流'!J5587&amp;"|"&amp;'管线现金流'!AL5587&amp;"|"&amp;'管线现金流'!J5588&amp;"|"&amp;'管线现金流'!AL5588&amp;"|"&amp;'管线现金流'!J5589&amp;"|"&amp;'管线现金流'!AL5589&amp;"|"&amp;'管线现金流'!J5590&amp;"|"&amp;'管线现金流'!AL5590&amp;"|"&amp;'管线现金流'!J5591&amp;"|"&amp;'管线现金流'!AL5591&amp;"|"&amp;'管线现金流'!J5592&amp;"|"&amp;'管线现金流'!AL5592&amp;"|"&amp;'管线现金流'!J5593&amp;"|"&amp;'管线现金流'!AL5593&amp;"|"&amp;'管线现金流'!J5594&amp;"|"&amp;'管线现金流'!AL5594&amp;"|"&amp;'管线现金流'!J5595&amp;"|"&amp;'管线现金流'!AL5595&amp;"|"&amp;'管线现金流'!J5596&amp;"|"&amp;'管线现金流'!AL5596&amp;"|"&amp;'管线现金流'!J5597&amp;"|"&amp;'管线现金流'!AL5597&amp;"|"&amp;'管线现金流'!J5598&amp;"|"&amp;'管线现金流'!AL5598&amp;"|"&amp;'管线现金流'!J5599&amp;"|"&amp;'管线现金流'!AL5599&amp;"|"&amp;'管线现金流'!J5600&amp;"|"&amp;'管线现金流'!AL5600&amp;"|"&amp;'管线现金流'!J5601&amp;"|"&amp;'管线现金流'!AL5601&amp;"|"&amp;'管线现金流'!J5602&amp;"|"&amp;'管线现金流'!AL5602&amp;"|"&amp;'管线现金流'!J5603&amp;"|"&amp;'管线现金流'!AL5603&amp;"|"&amp;'管线现金流'!J5604&amp;"|"&amp;'管线现金流'!AL5604&amp;"|"&amp;'管线现金流'!J5605&amp;"|"&amp;'管线现金流'!AL5605&amp;"|"&amp;'管线现金流'!J5606&amp;"|"&amp;'管线现金流'!AL5606&amp;"|"&amp;'管线现金流'!J5607&amp;"|"&amp;'管线现金流'!AL5607&amp;"|"&amp;'管线现金流'!J5608&amp;"|"&amp;'管线现金流'!AL5608&amp;"|"&amp;'管线现金流'!J5609&amp;"|"&amp;'管线现金流'!AL5609&amp;"|"&amp;'管线现金流'!J5610&amp;"|"&amp;'管线现金流'!AL5610&amp;"|"&amp;'管线现金流'!J5611&amp;"|"&amp;'管线现金流'!AL5611&amp;"|"&amp;'管线现金流'!J5612&amp;"|"&amp;'管线现金流'!AL5612&amp;"|"&amp;'管线现金流'!J5613&amp;"|"&amp;'管线现金流'!AL5613&amp;"|"&amp;'管线现金流'!J5614&amp;"|"&amp;'管线现金流'!AL5614&amp;"|"&amp;'管线现金流'!J5615&amp;"|"&amp;'管线现金流'!AL5615&amp;"|"&amp;'管线现金流'!J5616&amp;"|"&amp;'管线现金流'!AL5616&amp;"|"&amp;'管线现金流'!J5617&amp;"|"&amp;'管线现金流'!AL5617&amp;"|"&amp;'管线现金流'!J5618&amp;"|"&amp;'管线现金流'!AL5618&amp;"|"&amp;'管线现金流'!J5619&amp;"|"&amp;'管线现金流'!AL5619&amp;"|"&amp;'管线现金流'!J5620&amp;"|"&amp;'管线现金流'!AL5620&amp;"|"&amp;'管线现金流'!J5621&amp;"|"&amp;'管线现金流'!AL5621&amp;"|"&amp;'管线现金流'!J5622&amp;"|"&amp;'管线现金流'!AL5622&amp;"|"&amp;'管线现金流'!J5623&amp;"|"&amp;'管线现金流'!AL5623&amp;"|"&amp;'管线现金流'!J5624&amp;"|"&amp;'管线现金流'!AL5624&amp;"|"&amp;'管线现金流'!J5625&amp;"|"&amp;'管线现金流'!AL5625&amp;"|"&amp;'管线现金流'!J5626&amp;"|"&amp;'管线现金流'!AL5626&amp;"|"&amp;'管线现金流'!J5627&amp;"|"&amp;'管线现金流'!AL5627&amp;"|"&amp;'管线现金流'!J5628&amp;"|"&amp;'管线现金流'!AL5628&amp;"|"&amp;'管线现金流'!J5629&amp;"|"&amp;'管线现金流'!AL5629&amp;"|"&amp;'管线现金流'!J5630&amp;"|"&amp;'管线现金流'!AL5630&amp;"|"&amp;'管线现金流'!J5631&amp;"|"&amp;'管线现金流'!AL5631&amp;"|"&amp;'管线现金流'!J5632&amp;"|"&amp;'管线现金流'!AL5632&amp;"|"&amp;'管线现金流'!J5633&amp;"|"&amp;'管线现金流'!AL5633&amp;"|"&amp;'管线现金流'!J5634&amp;"|"&amp;'管线现金流'!AL5634&amp;"|"&amp;'管线现金流'!J5635&amp;"|"&amp;'管线现金流'!AL5635&amp;"|"&amp;'管线现金流'!J5636&amp;"|"&amp;'管线现金流'!AL5636&amp;"|"&amp;'管线现金流'!J5637&amp;"|"&amp;'管线现金流'!AL5637&amp;"|"&amp;'管线现金流'!J5638&amp;"|"&amp;'管线现金流'!AL5638&amp;"|"&amp;'管线现金流'!J5639&amp;"|"&amp;'管线现金流'!AL5639&amp;"|"&amp;'管线现金流'!J5640&amp;"|"&amp;'管线现金流'!AL5640&amp;"|"&amp;'管线现金流'!J5641&amp;"|"&amp;'管线现金流'!AL5641&amp;"|"&amp;'管线现金流'!J5642&amp;"|"&amp;'管线现金流'!AL5642&amp;"|"&amp;'管线现金流'!J5643&amp;"|"&amp;'管线现金流'!AL5643&amp;"|"&amp;'管线现金流'!J5644&amp;"|"&amp;'管线现金流'!AL5644&amp;"|"&amp;'管线现金流'!J5645&amp;"|"&amp;'管线现金流'!AL5645&amp;"|"&amp;'管线现金流'!J5646&amp;"|"&amp;'管线现金流'!AL5646&amp;"|"&amp;'管线现金流'!J5647&amp;"|"&amp;'管线现金流'!AL5647&amp;"|"&amp;'管线现金流'!J5648&amp;"|"&amp;'管线现金流'!AL5648&amp;"|"&amp;'管线现金流'!J5649&amp;"|"&amp;'管线现金流'!AL5649&amp;"|"&amp;'管线现金流'!J5650&amp;"|"&amp;'管线现金流'!AL5650&amp;"|"&amp;'管线现金流'!J5651&amp;"|"&amp;'管线现金流'!AL5651&amp;"|"&amp;'管线现金流'!J5652&amp;"|"&amp;'管线现金流'!AL5652&amp;"|"&amp;'管线现金流'!J5653&amp;"|"&amp;'管线现金流'!AL5653&amp;"|"&amp;'管线现金流'!J5654&amp;"|"&amp;'管线现金流'!AL5654&amp;"|"&amp;'管线现金流'!J5655&amp;"|"&amp;'管线现金流'!AL5655&amp;"|"&amp;'管线现金流'!J5656&amp;"|"&amp;'管线现金流'!AL5656&amp;"|"&amp;'管线现金流'!J5657&amp;"|"&amp;'管线现金流'!AL5657&amp;"|"&amp;'管线现金流'!J5658&amp;"|"&amp;'管线现金流'!AL5658&amp;"|"&amp;'管线现金流'!J5659&amp;"|"&amp;'管线现金流'!AL5659&amp;"|"&amp;'管线现金流'!J5660&amp;"|"&amp;'管线现金流'!AL5660&amp;"|"&amp;'管线现金流'!J5661&amp;"|"&amp;'管线现金流'!AL5661&amp;"|"&amp;'管线现金流'!J5662&amp;"|"&amp;'管线现金流'!AL5662&amp;"|"&amp;'管线现金流'!J5663&amp;"|"&amp;'管线现金流'!AL5663&amp;"|"&amp;'管线现金流'!J5664&amp;"|"&amp;'管线现金流'!AL5664&amp;"|"&amp;'管线现金流'!J5665&amp;"|"&amp;'管线现金流'!AL5665&amp;"|"&amp;'管线现金流'!J5666&amp;"|"&amp;'管线现金流'!AL5666&amp;"|"&amp;'管线现金流'!J5667&amp;"|"&amp;'管线现金流'!AL5667&amp;"|"&amp;'管线现金流'!J5668&amp;"|"&amp;'管线现金流'!AL5668&amp;"|"&amp;'管线现金流'!J5669&amp;"|"&amp;'管线现金流'!AL5669&amp;"|"&amp;'管线现金流'!J5670&amp;"|"&amp;'管线现金流'!AL5670&amp;"|"&amp;'管线现金流'!J5671&amp;"|"&amp;'管线现金流'!AL5671&amp;"|"&amp;'管线现金流'!J5672&amp;"|"&amp;'管线现金流'!AL5672&amp;"|"&amp;'管线现金流'!J5673&amp;"|"&amp;'管线现金流'!AL5673&amp;"|"&amp;'管线现金流'!J5674&amp;"|"&amp;'管线现金流'!AL5674&amp;"|"&amp;'管线现金流'!J5675&amp;"|"&amp;'管线现金流'!AL5675&amp;"|"&amp;'管线现金流'!J5676&amp;"|"&amp;'管线现金流'!AL5676&amp;"|"&amp;'管线现金流'!J5677&amp;"|"&amp;'管线现金流'!AL5677&amp;"|"&amp;'管线现金流'!J5678&amp;"|"&amp;'管线现金流'!AL5678&amp;"|"&amp;'管线现金流'!W90&amp;"|"&amp;'管线现金流'!Z90&amp;"|"&amp;'管线现金流'!AQ90&amp;"|"&amp;'管线现金流'!AT90&amp;"|"&amp;'管线现金流'!W91&amp;"|"&amp;'管线现金流'!Z91&amp;"|"&amp;'管线现金流'!AQ91&amp;"|"&amp;'管线现金流'!AT91&amp;"|"&amp;'管线现金流'!W92&amp;"|"&amp;'管线现金流'!Z92&amp;"|"&amp;'管线现金流'!AQ92&amp;"|"&amp;'管线现金流'!AT92&amp;"|"&amp;'管线现金流'!W93&amp;"|"&amp;'管线现金流'!Z93&amp;"|"&amp;'管线现金流'!AQ93&amp;"|"&amp;'管线现金流'!AT93</x:f>
        <x:v>1|-1.1|2.3|0.9823999999999999|0.3|1|0.11|6.8|1|0.10660000000000001|1|0.11|6.8|0.8415999999999999|0.38|1|0.11|6.8|0.8064|0.38|1|0.11|6.8|0.7624|0.38|1|0.11|6.8|0.6040000000000001|0.38|1|0.11|6.8|0.4192|0.38|1|0.11|6.8|0.4544|0.3|1|0.11|6.8|0.4895999999999999|0.38|1|0.11|6.8|0.33999999999999997|0.38|1|0.11|6.8|0.516|0.38|1|0.11|6.8|0.36640000000000006|0.0902|1|0.11|6.8|0.384|0.38|1|0.11|6.8|0.692|0.08610000000000001|1|0.11|6.8|0.6479999999999999|0.38|1|0.11|6.8|0.384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</x:row>
    <x:row r="481" ht="23" customHeight="1">
      <x:c r="A481" s="11" t="str">
        <x:v>688062.SH</x:v>
      </x:c>
      <x:c r="B481" s="11" t="str">
        <x:v>迈威生物</x:v>
      </x:c>
      <x:c r="C481" s="11" t="str">
        <x:v>三年</x:v>
      </x:c>
      <x:c r="D481" s="11" t="str">
        <x:v>悲观</x:v>
      </x:c>
      <x:c r="E481" s="11" t="n">
        <x:v>24.78</x:v>
      </x:c>
      <x:c r="F481" s="11" t="n">
        <x:v>0</x:v>
      </x:c>
      <x:c r="G481" s="11" t="n">
        <x:v>0</x:v>
      </x:c>
      <x:c r="H481" s="25" t="n">
        <x:v>-1</x:v>
      </x:c>
      <x:c r="I481" s="25" t="n">
        <x:v>-1</x:v>
      </x:c>
      <x:c r="J481" s="25" t="n">
        <x:v>-1</x:v>
      </x:c>
      <x:c r="K481" s="11" t="n">
        <x:v>0</x:v>
      </x:c>
      <x:c r="L481" s="11" t="n">
        <x:v>0</x:v>
      </x:c>
      <x:c r="M481" s="11" t="n">
        <x:v>1</x:v>
      </x:c>
      <x:c r="N481" s="11" t="n">
        <x:v>0</x:v>
      </x:c>
      <x:c r="O481" s="11" t="n">
        <x:v>0</x:v>
      </x:c>
      <x:c r="P481" s="11" t="n">
        <x:v>0</x:v>
      </x:c>
      <x:c r="Q481" s="11" t="n">
        <x:v>0.62</x:v>
      </x:c>
      <x:c r="R481" s="11" t="str">
        <x:v>mabwell-rnpv-v1.1</x:v>
      </x:c>
      <x:c r="S481" s="11" t="str">
        <x:v>2026-10-10</x:v>
      </x:c>
      <x:c r="T481" s="11" t="str">
        <x:f>IF(AND(SUM(IF(K481='假设'!E640,0,1),IF(L481='假设'!F640,0,1),IF(M481='假设'!G640,0,1),IF(N481='假设'!H640,0,1),IF(O481='假设'!I640,0,1),IF(P481='假设'!J640,0,1),IF(Q481='假设'!K640,0,1))=0,U481=V481),"已刷新","待刷新")</x:f>
        <x:v>已刷新</x:v>
      </x:c>
      <x:c r="U481" t="str">
        <x:v>1|-3|2.3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  <x:c r="V481" t="str">
        <x:f>'假设'!U640&amp;"|"&amp;'假设'!N640&amp;"|"&amp;'假设'!Q640&amp;"|"&amp;'管线假设'!E1220&amp;"|"&amp;'管线假设'!F1220&amp;"|"&amp;'管线假设'!G1220&amp;"|"&amp;'管线假设'!H1220&amp;"|"&amp;'管线假设'!I1220&amp;"|"&amp;'管线假设'!E1224&amp;"|"&amp;'管线假设'!F1224&amp;"|"&amp;'管线假设'!G1224&amp;"|"&amp;'管线假设'!H1224&amp;"|"&amp;'管线假设'!I1224&amp;"|"&amp;'管线假设'!E1228&amp;"|"&amp;'管线假设'!F1228&amp;"|"&amp;'管线假设'!G1228&amp;"|"&amp;'管线假设'!H1228&amp;"|"&amp;'管线假设'!I1228&amp;"|"&amp;'管线假设'!E1232&amp;"|"&amp;'管线假设'!F1232&amp;"|"&amp;'管线假设'!G1232&amp;"|"&amp;'管线假设'!H1232&amp;"|"&amp;'管线假设'!I1232&amp;"|"&amp;'管线假设'!E1236&amp;"|"&amp;'管线假设'!F1236&amp;"|"&amp;'管线假设'!G1236&amp;"|"&amp;'管线假设'!H1236&amp;"|"&amp;'管线假设'!I1236&amp;"|"&amp;'管线假设'!E1240&amp;"|"&amp;'管线假设'!F1240&amp;"|"&amp;'管线假设'!G1240&amp;"|"&amp;'管线假设'!H1240&amp;"|"&amp;'管线假设'!I1240&amp;"|"&amp;'管线假设'!E1244&amp;"|"&amp;'管线假设'!F1244&amp;"|"&amp;'管线假设'!G1244&amp;"|"&amp;'管线假设'!H1244&amp;"|"&amp;'管线假设'!I1244&amp;"|"&amp;'管线假设'!E1248&amp;"|"&amp;'管线假设'!F1248&amp;"|"&amp;'管线假设'!G1248&amp;"|"&amp;'管线假设'!H1248&amp;"|"&amp;'管线假设'!I1248&amp;"|"&amp;'管线假设'!E1252&amp;"|"&amp;'管线假设'!F1252&amp;"|"&amp;'管线假设'!G1252&amp;"|"&amp;'管线假设'!H1252&amp;"|"&amp;'管线假设'!I1252&amp;"|"&amp;'管线假设'!E1256&amp;"|"&amp;'管线假设'!F1256&amp;"|"&amp;'管线假设'!G1256&amp;"|"&amp;'管线假设'!H1256&amp;"|"&amp;'管线假设'!I1256&amp;"|"&amp;'管线假设'!E1260&amp;"|"&amp;'管线假设'!F1260&amp;"|"&amp;'管线假设'!G1260&amp;"|"&amp;'管线假设'!H1260&amp;"|"&amp;'管线假设'!I1260&amp;"|"&amp;'管线假设'!E1264&amp;"|"&amp;'管线假设'!F1264&amp;"|"&amp;'管线假设'!G1264&amp;"|"&amp;'管线假设'!H1264&amp;"|"&amp;'管线假设'!I1264&amp;"|"&amp;'管线假设'!E1268&amp;"|"&amp;'管线假设'!F1268&amp;"|"&amp;'管线假设'!G1268&amp;"|"&amp;'管线假设'!H1268&amp;"|"&amp;'管线假设'!I1268&amp;"|"&amp;'管线假设'!E1272&amp;"|"&amp;'管线假设'!F1272&amp;"|"&amp;'管线假设'!G1272&amp;"|"&amp;'管线假设'!H1272&amp;"|"&amp;'管线假设'!I1272&amp;"|"&amp;'管线假设'!E1276&amp;"|"&amp;'管线假设'!F1276&amp;"|"&amp;'管线假设'!G1276&amp;"|"&amp;'管线假设'!H1276&amp;"|"&amp;'管线假设'!I1276&amp;"|"&amp;'管线假设'!E1280&amp;"|"&amp;'管线假设'!F1280&amp;"|"&amp;'管线假设'!G1280&amp;"|"&amp;'管线假设'!H1280&amp;"|"&amp;'管线假设'!I1280&amp;"|"&amp;'管线现金流'!H5679&amp;"|"&amp;'管线现金流'!AJ5679&amp;"|"&amp;'管线现金流'!H5680&amp;"|"&amp;'管线现金流'!AJ5680&amp;"|"&amp;'管线现金流'!H5681&amp;"|"&amp;'管线现金流'!AJ5681&amp;"|"&amp;'管线现金流'!H5682&amp;"|"&amp;'管线现金流'!AJ5682&amp;"|"&amp;'管线现金流'!H5683&amp;"|"&amp;'管线现金流'!AJ5683&amp;"|"&amp;'管线现金流'!H5684&amp;"|"&amp;'管线现金流'!AJ5684&amp;"|"&amp;'管线现金流'!H5685&amp;"|"&amp;'管线现金流'!AJ5685&amp;"|"&amp;'管线现金流'!H5686&amp;"|"&amp;'管线现金流'!AJ5686&amp;"|"&amp;'管线现金流'!H5687&amp;"|"&amp;'管线现金流'!AJ5687&amp;"|"&amp;'管线现金流'!H5688&amp;"|"&amp;'管线现金流'!AJ5688&amp;"|"&amp;'管线现金流'!H5689&amp;"|"&amp;'管线现金流'!AJ5689&amp;"|"&amp;'管线现金流'!H5690&amp;"|"&amp;'管线现金流'!AJ5690&amp;"|"&amp;'管线现金流'!H5691&amp;"|"&amp;'管线现金流'!AJ5691&amp;"|"&amp;'管线现金流'!H5692&amp;"|"&amp;'管线现金流'!AJ5692&amp;"|"&amp;'管线现金流'!H5693&amp;"|"&amp;'管线现金流'!AJ5693&amp;"|"&amp;'管线现金流'!H5694&amp;"|"&amp;'管线现金流'!AJ5694&amp;"|"&amp;'管线现金流'!H5695&amp;"|"&amp;'管线现金流'!AJ5695&amp;"|"&amp;'管线现金流'!H5696&amp;"|"&amp;'管线现金流'!AJ5696&amp;"|"&amp;'管线现金流'!H5697&amp;"|"&amp;'管线现金流'!AJ5697&amp;"|"&amp;'管线现金流'!H5698&amp;"|"&amp;'管线现金流'!AJ5698&amp;"|"&amp;'管线现金流'!H5699&amp;"|"&amp;'管线现金流'!AJ5699&amp;"|"&amp;'管线现金流'!H5700&amp;"|"&amp;'管线现金流'!AJ5700&amp;"|"&amp;'管线现金流'!H5701&amp;"|"&amp;'管线现金流'!AJ5701&amp;"|"&amp;'管线现金流'!H5702&amp;"|"&amp;'管线现金流'!AJ5702&amp;"|"&amp;'管线现金流'!H5703&amp;"|"&amp;'管线现金流'!AJ5703&amp;"|"&amp;'管线现金流'!H5704&amp;"|"&amp;'管线现金流'!AJ5704&amp;"|"&amp;'管线现金流'!H5705&amp;"|"&amp;'管线现金流'!AJ5705&amp;"|"&amp;'管线现金流'!H5706&amp;"|"&amp;'管线现金流'!AJ5706&amp;"|"&amp;'管线现金流'!H5707&amp;"|"&amp;'管线现金流'!AJ5707&amp;"|"&amp;'管线现金流'!H5708&amp;"|"&amp;'管线现金流'!AJ5708&amp;"|"&amp;'管线现金流'!H5709&amp;"|"&amp;'管线现金流'!AJ5709&amp;"|"&amp;'管线现金流'!H5710&amp;"|"&amp;'管线现金流'!AJ5710&amp;"|"&amp;'管线现金流'!H5711&amp;"|"&amp;'管线现金流'!AJ5711&amp;"|"&amp;'管线现金流'!H5712&amp;"|"&amp;'管线现金流'!AJ5712&amp;"|"&amp;'管线现金流'!H5713&amp;"|"&amp;'管线现金流'!AJ5713&amp;"|"&amp;'管线现金流'!H5714&amp;"|"&amp;'管线现金流'!AJ5714&amp;"|"&amp;'管线现金流'!H5715&amp;"|"&amp;'管线现金流'!AJ5715&amp;"|"&amp;'管线现金流'!H5716&amp;"|"&amp;'管线现金流'!AJ5716&amp;"|"&amp;'管线现金流'!H5717&amp;"|"&amp;'管线现金流'!AJ5717&amp;"|"&amp;'管线现金流'!H5718&amp;"|"&amp;'管线现金流'!AJ5718&amp;"|"&amp;'管线现金流'!H5719&amp;"|"&amp;'管线现金流'!AJ5719&amp;"|"&amp;'管线现金流'!H5720&amp;"|"&amp;'管线现金流'!AJ5720&amp;"|"&amp;'管线现金流'!H5721&amp;"|"&amp;'管线现金流'!AJ5721&amp;"|"&amp;'管线现金流'!H5722&amp;"|"&amp;'管线现金流'!AJ5722&amp;"|"&amp;'管线现金流'!H5723&amp;"|"&amp;'管线现金流'!AJ5723&amp;"|"&amp;'管线现金流'!H5724&amp;"|"&amp;'管线现金流'!AJ5724&amp;"|"&amp;'管线现金流'!H5725&amp;"|"&amp;'管线现金流'!AJ5725&amp;"|"&amp;'管线现金流'!H5726&amp;"|"&amp;'管线现金流'!AJ5726&amp;"|"&amp;'管线现金流'!H5727&amp;"|"&amp;'管线现金流'!AJ5727&amp;"|"&amp;'管线现金流'!H5728&amp;"|"&amp;'管线现金流'!AJ5728&amp;"|"&amp;'管线现金流'!H5729&amp;"|"&amp;'管线现金流'!AJ5729&amp;"|"&amp;'管线现金流'!H5730&amp;"|"&amp;'管线现金流'!AJ5730&amp;"|"&amp;'管线现金流'!H5731&amp;"|"&amp;'管线现金流'!AJ5731&amp;"|"&amp;'管线现金流'!H5732&amp;"|"&amp;'管线现金流'!AJ5732&amp;"|"&amp;'管线现金流'!H5733&amp;"|"&amp;'管线现金流'!AJ5733&amp;"|"&amp;'管线现金流'!H5734&amp;"|"&amp;'管线现金流'!AJ5734&amp;"|"&amp;'管线现金流'!H5735&amp;"|"&amp;'管线现金流'!AJ5735&amp;"|"&amp;'管线现金流'!H5736&amp;"|"&amp;'管线现金流'!AJ5736&amp;"|"&amp;'管线现金流'!H5737&amp;"|"&amp;'管线现金流'!AJ5737&amp;"|"&amp;'管线现金流'!H5738&amp;"|"&amp;'管线现金流'!AJ5738&amp;"|"&amp;'管线现金流'!H5739&amp;"|"&amp;'管线现金流'!AJ5739&amp;"|"&amp;'管线现金流'!H5740&amp;"|"&amp;'管线现金流'!AJ5740&amp;"|"&amp;'管线现金流'!H5741&amp;"|"&amp;'管线现金流'!AJ5741&amp;"|"&amp;'管线现金流'!H5742&amp;"|"&amp;'管线现金流'!AJ5742&amp;"|"&amp;'管线现金流'!H5743&amp;"|"&amp;'管线现金流'!AJ5743&amp;"|"&amp;'管线现金流'!H5744&amp;"|"&amp;'管线现金流'!AJ5744&amp;"|"&amp;'管线现金流'!H5745&amp;"|"&amp;'管线现金流'!AJ5745&amp;"|"&amp;'管线现金流'!H5746&amp;"|"&amp;'管线现金流'!AJ5746&amp;"|"&amp;'管线现金流'!H5747&amp;"|"&amp;'管线现金流'!AJ5747&amp;"|"&amp;'管线现金流'!H5748&amp;"|"&amp;'管线现金流'!AJ5748&amp;"|"&amp;'管线现金流'!H5749&amp;"|"&amp;'管线现金流'!AJ5749&amp;"|"&amp;'管线现金流'!H5750&amp;"|"&amp;'管线现金流'!AJ5750&amp;"|"&amp;'管线现金流'!H5751&amp;"|"&amp;'管线现金流'!AJ5751&amp;"|"&amp;'管线现金流'!H5752&amp;"|"&amp;'管线现金流'!AJ5752&amp;"|"&amp;'管线现金流'!H5753&amp;"|"&amp;'管线现金流'!AJ5753&amp;"|"&amp;'管线现金流'!H5754&amp;"|"&amp;'管线现金流'!AJ5754&amp;"|"&amp;'管线现金流'!H5755&amp;"|"&amp;'管线现金流'!AJ5755&amp;"|"&amp;'管线现金流'!H5756&amp;"|"&amp;'管线现金流'!AJ5756&amp;"|"&amp;'管线现金流'!H5757&amp;"|"&amp;'管线现金流'!AJ5757&amp;"|"&amp;'管线现金流'!H5758&amp;"|"&amp;'管线现金流'!AJ5758&amp;"|"&amp;'管线现金流'!H5759&amp;"|"&amp;'管线现金流'!AJ5759&amp;"|"&amp;'管线现金流'!H5760&amp;"|"&amp;'管线现金流'!AJ5760&amp;"|"&amp;'管线现金流'!H5761&amp;"|"&amp;'管线现金流'!AJ5761&amp;"|"&amp;'管线现金流'!H5762&amp;"|"&amp;'管线现金流'!AJ5762&amp;"|"&amp;'管线现金流'!H5763&amp;"|"&amp;'管线现金流'!AJ5763&amp;"|"&amp;'管线现金流'!H5764&amp;"|"&amp;'管线现金流'!AJ5764&amp;"|"&amp;'管线现金流'!H5765&amp;"|"&amp;'管线现金流'!AJ5765&amp;"|"&amp;'管线现金流'!H5766&amp;"|"&amp;'管线现金流'!AJ5766&amp;"|"&amp;'管线现金流'!H5767&amp;"|"&amp;'管线现金流'!AJ5767&amp;"|"&amp;'管线现金流'!H5768&amp;"|"&amp;'管线现金流'!AJ5768&amp;"|"&amp;'管线现金流'!H5769&amp;"|"&amp;'管线现金流'!AJ5769&amp;"|"&amp;'管线现金流'!H5770&amp;"|"&amp;'管线现金流'!AJ5770&amp;"|"&amp;'管线现金流'!H5771&amp;"|"&amp;'管线现金流'!AJ5771&amp;"|"&amp;'管线现金流'!H5772&amp;"|"&amp;'管线现金流'!AJ5772&amp;"|"&amp;'管线现金流'!H5773&amp;"|"&amp;'管线现金流'!AJ5773&amp;"|"&amp;'管线现金流'!H5774&amp;"|"&amp;'管线现金流'!AJ5774&amp;"|"&amp;'管线现金流'!H5775&amp;"|"&amp;'管线现金流'!AJ5775&amp;"|"&amp;'管线现金流'!H5776&amp;"|"&amp;'管线现金流'!AJ5776&amp;"|"&amp;'管线现金流'!H5777&amp;"|"&amp;'管线现金流'!AJ5777&amp;"|"&amp;'管线现金流'!H5778&amp;"|"&amp;'管线现金流'!AJ5778&amp;"|"&amp;'管线现金流'!H5779&amp;"|"&amp;'管线现金流'!AJ5779&amp;"|"&amp;'管线现金流'!H5780&amp;"|"&amp;'管线现金流'!AJ5780&amp;"|"&amp;'管线现金流'!H5781&amp;"|"&amp;'管线现金流'!AJ5781&amp;"|"&amp;'管线现金流'!H5782&amp;"|"&amp;'管线现金流'!AJ5782&amp;"|"&amp;'管线现金流'!H5783&amp;"|"&amp;'管线现金流'!AJ5783&amp;"|"&amp;'管线现金流'!H5784&amp;"|"&amp;'管线现金流'!AJ5784&amp;"|"&amp;'管线现金流'!H5785&amp;"|"&amp;'管线现金流'!AJ5785&amp;"|"&amp;'管线现金流'!H5786&amp;"|"&amp;'管线现金流'!AJ5786&amp;"|"&amp;'管线现金流'!H5787&amp;"|"&amp;'管线现金流'!AJ5787&amp;"|"&amp;'管线现金流'!H5788&amp;"|"&amp;'管线现金流'!AJ5788&amp;"|"&amp;'管线现金流'!H5789&amp;"|"&amp;'管线现金流'!AJ5789&amp;"|"&amp;'管线现金流'!H5790&amp;"|"&amp;'管线现金流'!AJ5790&amp;"|"&amp;'管线现金流'!H5791&amp;"|"&amp;'管线现金流'!AJ5791&amp;"|"&amp;'管线现金流'!H5792&amp;"|"&amp;'管线现金流'!AJ5792&amp;"|"&amp;'管线现金流'!H5793&amp;"|"&amp;'管线现金流'!AJ5793&amp;"|"&amp;'管线现金流'!H5794&amp;"|"&amp;'管线现金流'!AJ5794&amp;"|"&amp;'管线现金流'!H5795&amp;"|"&amp;'管线现金流'!AJ5795&amp;"|"&amp;'管线现金流'!H5796&amp;"|"&amp;'管线现金流'!AJ5796&amp;"|"&amp;'管线现金流'!H5797&amp;"|"&amp;'管线现金流'!AJ5797&amp;"|"&amp;'管线现金流'!H5798&amp;"|"&amp;'管线现金流'!AJ5798&amp;"|"&amp;'管线现金流'!H5799&amp;"|"&amp;'管线现金流'!AJ5799&amp;"|"&amp;'管线现金流'!H5800&amp;"|"&amp;'管线现金流'!AJ5800&amp;"|"&amp;'管线现金流'!H5801&amp;"|"&amp;'管线现金流'!AJ5801&amp;"|"&amp;'管线现金流'!H5802&amp;"|"&amp;'管线现金流'!AJ5802&amp;"|"&amp;'管线现金流'!H5803&amp;"|"&amp;'管线现金流'!AJ5803&amp;"|"&amp;'管线现金流'!H5804&amp;"|"&amp;'管线现金流'!AJ5804&amp;"|"&amp;'管线现金流'!H5805&amp;"|"&amp;'管线现金流'!AJ5805&amp;"|"&amp;'管线现金流'!H5806&amp;"|"&amp;'管线现金流'!AJ5806&amp;"|"&amp;'管线现金流'!H5807&amp;"|"&amp;'管线现金流'!AJ5807&amp;"|"&amp;'管线现金流'!H5808&amp;"|"&amp;'管线现金流'!AJ5808&amp;"|"&amp;'管线现金流'!H5809&amp;"|"&amp;'管线现金流'!AJ5809&amp;"|"&amp;'管线现金流'!H5810&amp;"|"&amp;'管线现金流'!AJ5810&amp;"|"&amp;'管线现金流'!H5811&amp;"|"&amp;'管线现金流'!AJ5811&amp;"|"&amp;'管线现金流'!H5812&amp;"|"&amp;'管线现金流'!AJ5812&amp;"|"&amp;'管线现金流'!H5813&amp;"|"&amp;'管线现金流'!AJ5813&amp;"|"&amp;'管线现金流'!H5814&amp;"|"&amp;'管线现金流'!AJ5814&amp;"|"&amp;'管线现金流'!H5815&amp;"|"&amp;'管线现金流'!AJ5815&amp;"|"&amp;'管线现金流'!H5816&amp;"|"&amp;'管线现金流'!AJ5816&amp;"|"&amp;'管线现金流'!H5817&amp;"|"&amp;'管线现金流'!AJ5817&amp;"|"&amp;'管线现金流'!H5818&amp;"|"&amp;'管线现金流'!AJ5818&amp;"|"&amp;'管线现金流'!H5819&amp;"|"&amp;'管线现金流'!AJ5819&amp;"|"&amp;'管线现金流'!H5820&amp;"|"&amp;'管线现金流'!AJ5820&amp;"|"&amp;'管线现金流'!H5821&amp;"|"&amp;'管线现金流'!AJ5821&amp;"|"&amp;'管线现金流'!H5822&amp;"|"&amp;'管线现金流'!AJ5822&amp;"|"&amp;'管线现金流'!H5823&amp;"|"&amp;'管线现金流'!AJ5823&amp;"|"&amp;'管线现金流'!H5824&amp;"|"&amp;'管线现金流'!AJ5824&amp;"|"&amp;'管线现金流'!H5825&amp;"|"&amp;'管线现金流'!AJ5825&amp;"|"&amp;'管线现金流'!H5826&amp;"|"&amp;'管线现金流'!AJ5826&amp;"|"&amp;'管线现金流'!H5827&amp;"|"&amp;'管线现金流'!AJ5827&amp;"|"&amp;'管线现金流'!H5828&amp;"|"&amp;'管线现金流'!AJ5828&amp;"|"&amp;'管线现金流'!H5829&amp;"|"&amp;'管线现金流'!AJ5829&amp;"|"&amp;'管线现金流'!H5830&amp;"|"&amp;'管线现金流'!AJ5830&amp;"|"&amp;'管线现金流'!H5831&amp;"|"&amp;'管线现金流'!AJ5831&amp;"|"&amp;'管线现金流'!H5832&amp;"|"&amp;'管线现金流'!AJ5832&amp;"|"&amp;'管线现金流'!H5833&amp;"|"&amp;'管线现金流'!AJ5833&amp;"|"&amp;'管线现金流'!H5834&amp;"|"&amp;'管线现金流'!AJ5834&amp;"|"&amp;'管线现金流'!H5835&amp;"|"&amp;'管线现金流'!AJ5835&amp;"|"&amp;'管线现金流'!H5836&amp;"|"&amp;'管线现金流'!AJ5836&amp;"|"&amp;'管线现金流'!H5837&amp;"|"&amp;'管线现金流'!AJ5837&amp;"|"&amp;'管线现金流'!H5838&amp;"|"&amp;'管线现金流'!AJ5838&amp;"|"&amp;'管线现金流'!H5839&amp;"|"&amp;'管线现金流'!AJ5839&amp;"|"&amp;'管线现金流'!H5840&amp;"|"&amp;'管线现金流'!AJ5840&amp;"|"&amp;'管线现金流'!H5841&amp;"|"&amp;'管线现金流'!AJ5841&amp;"|"&amp;'管线现金流'!H5842&amp;"|"&amp;'管线现金流'!AJ5842&amp;"|"&amp;'管线现金流'!H5843&amp;"|"&amp;'管线现金流'!AJ5843&amp;"|"&amp;'管线现金流'!H5844&amp;"|"&amp;'管线现金流'!AJ5844&amp;"|"&amp;'管线现金流'!H5845&amp;"|"&amp;'管线现金流'!AJ5845&amp;"|"&amp;'管线现金流'!H5846&amp;"|"&amp;'管线现金流'!AJ5846&amp;"|"&amp;'管线现金流'!H5847&amp;"|"&amp;'管线现金流'!AJ5847&amp;"|"&amp;'管线现金流'!H5848&amp;"|"&amp;'管线现金流'!AJ5848&amp;"|"&amp;'管线现金流'!H5849&amp;"|"&amp;'管线现金流'!AJ5849&amp;"|"&amp;'管线现金流'!H5850&amp;"|"&amp;'管线现金流'!AJ5850&amp;"|"&amp;'管线现金流'!H5851&amp;"|"&amp;'管线现金流'!AJ5851&amp;"|"&amp;'管线现金流'!H5852&amp;"|"&amp;'管线现金流'!AJ5852&amp;"|"&amp;'管线现金流'!H5853&amp;"|"&amp;'管线现金流'!AJ5853&amp;"|"&amp;'管线现金流'!H5854&amp;"|"&amp;'管线现金流'!AJ5854&amp;"|"&amp;'管线现金流'!H5855&amp;"|"&amp;'管线现金流'!AJ5855&amp;"|"&amp;'管线现金流'!H5856&amp;"|"&amp;'管线现金流'!AJ5856&amp;"|"&amp;'管线现金流'!H5857&amp;"|"&amp;'管线现金流'!AJ5857&amp;"|"&amp;'管线现金流'!H5858&amp;"|"&amp;'管线现金流'!AJ5858&amp;"|"&amp;'管线现金流'!H5859&amp;"|"&amp;'管线现金流'!AJ5859&amp;"|"&amp;'管线现金流'!H5860&amp;"|"&amp;'管线现金流'!AJ5860&amp;"|"&amp;'管线现金流'!H5861&amp;"|"&amp;'管线现金流'!AJ5861&amp;"|"&amp;'管线现金流'!H5862&amp;"|"&amp;'管线现金流'!AJ5862&amp;"|"&amp;'管线现金流'!H5863&amp;"|"&amp;'管线现金流'!AJ5863&amp;"|"&amp;'管线现金流'!H5864&amp;"|"&amp;'管线现金流'!AJ5864&amp;"|"&amp;'管线现金流'!H5865&amp;"|"&amp;'管线现金流'!AJ5865&amp;"|"&amp;'管线现金流'!H5866&amp;"|"&amp;'管线现金流'!AJ5866&amp;"|"&amp;'管线现金流'!H5867&amp;"|"&amp;'管线现金流'!AJ5867&amp;"|"&amp;'管线现金流'!H5868&amp;"|"&amp;'管线现金流'!AJ5868&amp;"|"&amp;'管线现金流'!H5869&amp;"|"&amp;'管线现金流'!AJ5869&amp;"|"&amp;'管线现金流'!H5870&amp;"|"&amp;'管线现金流'!AJ5870&amp;"|"&amp;'管线现金流'!H5871&amp;"|"&amp;'管线现金流'!AJ5871&amp;"|"&amp;'管线现金流'!H5872&amp;"|"&amp;'管线现金流'!AJ5872&amp;"|"&amp;'管线现金流'!H5873&amp;"|"&amp;'管线现金流'!AJ5873&amp;"|"&amp;'管线现金流'!H5874&amp;"|"&amp;'管线现金流'!AJ5874&amp;"|"&amp;'管线现金流'!H5875&amp;"|"&amp;'管线现金流'!AJ5875&amp;"|"&amp;'管线现金流'!H5876&amp;"|"&amp;'管线现金流'!AJ5876&amp;"|"&amp;'管线现金流'!H5877&amp;"|"&amp;'管线现金流'!AJ5877&amp;"|"&amp;'管线现金流'!H5878&amp;"|"&amp;'管线现金流'!AJ5878&amp;"|"&amp;'管线现金流'!H5879&amp;"|"&amp;'管线现金流'!AJ5879&amp;"|"&amp;'管线现金流'!H5880&amp;"|"&amp;'管线现金流'!AJ5880&amp;"|"&amp;'管线现金流'!H5881&amp;"|"&amp;'管线现金流'!AJ5881&amp;"|"&amp;'管线现金流'!H5882&amp;"|"&amp;'管线现金流'!AJ5882&amp;"|"&amp;'管线现金流'!H5883&amp;"|"&amp;'管线现金流'!AJ5883&amp;"|"&amp;'管线现金流'!H5884&amp;"|"&amp;'管线现金流'!AJ5884&amp;"|"&amp;'管线现金流'!H5885&amp;"|"&amp;'管线现金流'!AJ5885&amp;"|"&amp;'管线现金流'!H5886&amp;"|"&amp;'管线现金流'!AJ5886&amp;"|"&amp;'管线现金流'!H5887&amp;"|"&amp;'管线现金流'!AJ5887&amp;"|"&amp;'管线现金流'!H5888&amp;"|"&amp;'管线现金流'!AJ5888&amp;"|"&amp;'管线现金流'!H5889&amp;"|"&amp;'管线现金流'!AJ5889&amp;"|"&amp;'管线现金流'!H5890&amp;"|"&amp;'管线现金流'!AJ5890&amp;"|"&amp;'管线现金流'!H5891&amp;"|"&amp;'管线现金流'!AJ5891&amp;"|"&amp;'管线现金流'!H5892&amp;"|"&amp;'管线现金流'!AJ5892&amp;"|"&amp;'管线现金流'!H5893&amp;"|"&amp;'管线现金流'!AJ5893&amp;"|"&amp;'管线现金流'!H5894&amp;"|"&amp;'管线现金流'!AJ5894&amp;"|"&amp;'管线现金流'!H5895&amp;"|"&amp;'管线现金流'!AJ5895&amp;"|"&amp;'管线现金流'!H5896&amp;"|"&amp;'管线现金流'!AJ5896&amp;"|"&amp;'管线现金流'!H5897&amp;"|"&amp;'管线现金流'!AJ5897&amp;"|"&amp;'管线现金流'!H5898&amp;"|"&amp;'管线现金流'!AJ5898&amp;"|"&amp;'管线现金流'!H5899&amp;"|"&amp;'管线现金流'!AJ5899&amp;"|"&amp;'管线现金流'!H5900&amp;"|"&amp;'管线现金流'!AJ5900&amp;"|"&amp;'管线现金流'!H5901&amp;"|"&amp;'管线现金流'!AJ5901&amp;"|"&amp;'管线现金流'!H5902&amp;"|"&amp;'管线现金流'!AJ5902&amp;"|"&amp;'管线现金流'!H5903&amp;"|"&amp;'管线现金流'!AJ5903&amp;"|"&amp;'管线现金流'!H5904&amp;"|"&amp;'管线现金流'!AJ5904&amp;"|"&amp;'管线现金流'!H5905&amp;"|"&amp;'管线现金流'!AJ5905&amp;"|"&amp;'管线现金流'!H5906&amp;"|"&amp;'管线现金流'!AJ5906&amp;"|"&amp;'管线现金流'!H5907&amp;"|"&amp;'管线现金流'!AJ5907&amp;"|"&amp;'管线现金流'!H5908&amp;"|"&amp;'管线现金流'!AJ5908&amp;"|"&amp;'管线现金流'!H5909&amp;"|"&amp;'管线现金流'!AJ5909&amp;"|"&amp;'管线现金流'!H5910&amp;"|"&amp;'管线现金流'!AJ5910&amp;"|"&amp;'管线现金流'!H5911&amp;"|"&amp;'管线现金流'!AJ5911&amp;"|"&amp;'管线现金流'!H5912&amp;"|"&amp;'管线现金流'!AJ5912&amp;"|"&amp;'管线现金流'!H5913&amp;"|"&amp;'管线现金流'!AJ5913&amp;"|"&amp;'管线现金流'!H5914&amp;"|"&amp;'管线现金流'!AJ5914&amp;"|"&amp;'管线现金流'!H5915&amp;"|"&amp;'管线现金流'!AJ5915&amp;"|"&amp;'管线现金流'!H5916&amp;"|"&amp;'管线现金流'!AJ5916&amp;"|"&amp;'管线现金流'!H5917&amp;"|"&amp;'管线现金流'!AJ5917&amp;"|"&amp;'管线现金流'!H5918&amp;"|"&amp;'管线现金流'!AJ5918&amp;"|"&amp;'管线现金流'!H5919&amp;"|"&amp;'管线现金流'!AJ5919&amp;"|"&amp;'管线现金流'!H5920&amp;"|"&amp;'管线现金流'!AJ5920&amp;"|"&amp;'管线现金流'!H5921&amp;"|"&amp;'管线现金流'!AJ5921&amp;"|"&amp;'管线现金流'!H5922&amp;"|"&amp;'管线现金流'!AJ5922&amp;"|"&amp;'管线现金流'!H5923&amp;"|"&amp;'管线现金流'!AJ5923&amp;"|"&amp;'管线现金流'!H5924&amp;"|"&amp;'管线现金流'!AJ5924&amp;"|"&amp;'管线现金流'!H5925&amp;"|"&amp;'管线现金流'!AJ5925&amp;"|"&amp;'管线现金流'!H5926&amp;"|"&amp;'管线现金流'!AJ5926&amp;"|"&amp;'管线现金流'!H5927&amp;"|"&amp;'管线现金流'!AJ5927&amp;"|"&amp;'管线现金流'!H5928&amp;"|"&amp;'管线现金流'!AJ5928&amp;"|"&amp;'管线现金流'!H5929&amp;"|"&amp;'管线现金流'!AJ5929&amp;"|"&amp;'管线现金流'!H5930&amp;"|"&amp;'管线现金流'!AJ5930&amp;"|"&amp;'管线现金流'!H5931&amp;"|"&amp;'管线现金流'!AJ5931&amp;"|"&amp;'管线现金流'!H5932&amp;"|"&amp;'管线现金流'!AJ5932&amp;"|"&amp;'管线现金流'!H5933&amp;"|"&amp;'管线现金流'!AJ5933&amp;"|"&amp;'管线现金流'!H5934&amp;"|"&amp;'管线现金流'!AJ5934&amp;"|"&amp;'管线现金流'!H5935&amp;"|"&amp;'管线现金流'!AJ5935&amp;"|"&amp;'管线现金流'!H5936&amp;"|"&amp;'管线现金流'!AJ5936&amp;"|"&amp;'管线现金流'!H5937&amp;"|"&amp;'管线现金流'!AJ5937&amp;"|"&amp;'管线现金流'!H5938&amp;"|"&amp;'管线现金流'!AJ5938&amp;"|"&amp;'管线现金流'!H5939&amp;"|"&amp;'管线现金流'!AJ5939&amp;"|"&amp;'管线现金流'!H5940&amp;"|"&amp;'管线现金流'!AJ5940&amp;"|"&amp;'管线现金流'!H5941&amp;"|"&amp;'管线现金流'!AJ5941&amp;"|"&amp;'管线现金流'!H5942&amp;"|"&amp;'管线现金流'!AJ5942&amp;"|"&amp;'管线现金流'!H5943&amp;"|"&amp;'管线现金流'!AJ5943&amp;"|"&amp;'管线现金流'!H5944&amp;"|"&amp;'管线现金流'!AJ5944&amp;"|"&amp;'管线现金流'!H5945&amp;"|"&amp;'管线现金流'!AJ5945&amp;"|"&amp;'管线现金流'!H5946&amp;"|"&amp;'管线现金流'!AJ5946&amp;"|"&amp;'管线现金流'!H5947&amp;"|"&amp;'管线现金流'!AJ5947&amp;"|"&amp;'管线现金流'!H5948&amp;"|"&amp;'管线现金流'!AJ5948&amp;"|"&amp;'管线现金流'!H5949&amp;"|"&amp;'管线现金流'!AJ5949&amp;"|"&amp;'管线现金流'!H5950&amp;"|"&amp;'管线现金流'!AJ5950&amp;"|"&amp;'管线现金流'!H5951&amp;"|"&amp;'管线现金流'!AJ5951&amp;"|"&amp;'管线现金流'!H5952&amp;"|"&amp;'管线现金流'!AJ5952&amp;"|"&amp;'管线现金流'!H5953&amp;"|"&amp;'管线现金流'!AJ5953&amp;"|"&amp;'管线现金流'!H5954&amp;"|"&amp;'管线现金流'!AJ5954&amp;"|"&amp;'管线现金流'!H5955&amp;"|"&amp;'管线现金流'!AJ5955&amp;"|"&amp;'管线现金流'!H5956&amp;"|"&amp;'管线现金流'!AJ5956&amp;"|"&amp;'管线现金流'!H5957&amp;"|"&amp;'管线现金流'!AJ5957&amp;"|"&amp;'管线现金流'!H5958&amp;"|"&amp;'管线现金流'!AJ5958&amp;"|"&amp;'管线现金流'!H5959&amp;"|"&amp;'管线现金流'!AJ5959&amp;"|"&amp;'管线现金流'!H5960&amp;"|"&amp;'管线现金流'!AJ5960&amp;"|"&amp;'管线现金流'!H5961&amp;"|"&amp;'管线现金流'!AJ5961&amp;"|"&amp;'管线现金流'!H5962&amp;"|"&amp;'管线现金流'!AJ5962&amp;"|"&amp;'管线现金流'!H5963&amp;"|"&amp;'管线现金流'!AJ5963&amp;"|"&amp;'管线现金流'!H5964&amp;"|"&amp;'管线现金流'!AJ5964&amp;"|"&amp;'管线现金流'!H5965&amp;"|"&amp;'管线现金流'!AJ5965&amp;"|"&amp;'管线现金流'!H5966&amp;"|"&amp;'管线现金流'!AJ5966&amp;"|"&amp;'管线现金流'!H5967&amp;"|"&amp;'管线现金流'!AJ5967&amp;"|"&amp;'管线现金流'!H5968&amp;"|"&amp;'管线现金流'!AJ5968&amp;"|"&amp;'管线现金流'!H5969&amp;"|"&amp;'管线现金流'!AJ5969&amp;"|"&amp;'管线现金流'!H5970&amp;"|"&amp;'管线现金流'!AJ5970&amp;"|"&amp;'管线现金流'!H5971&amp;"|"&amp;'管线现金流'!AJ5971&amp;"|"&amp;'管线现金流'!H5972&amp;"|"&amp;'管线现金流'!AJ5972&amp;"|"&amp;'管线现金流'!H5973&amp;"|"&amp;'管线现金流'!AJ5973&amp;"|"&amp;'管线现金流'!H5974&amp;"|"&amp;'管线现金流'!AJ5974&amp;"|"&amp;'管线现金流'!H5975&amp;"|"&amp;'管线现金流'!AJ5975&amp;"|"&amp;'管线现金流'!H5976&amp;"|"&amp;'管线现金流'!AJ5976&amp;"|"&amp;'管线现金流'!H5977&amp;"|"&amp;'管线现金流'!AJ5977&amp;"|"&amp;'管线现金流'!H5978&amp;"|"&amp;'管线现金流'!AJ5978&amp;"|"&amp;'管线现金流'!H5979&amp;"|"&amp;'管线现金流'!AJ5979&amp;"|"&amp;'管线现金流'!H5980&amp;"|"&amp;'管线现金流'!AJ5980&amp;"|"&amp;'管线现金流'!H5981&amp;"|"&amp;'管线现金流'!AJ5981&amp;"|"&amp;'管线现金流'!H5982&amp;"|"&amp;'管线现金流'!AJ5982&amp;"|"&amp;'管线现金流'!U94&amp;"|"&amp;'管线现金流'!X94&amp;"|"&amp;'管线现金流'!AO94&amp;"|"&amp;'管线现金流'!AR94&amp;"|"&amp;'管线现金流'!U95&amp;"|"&amp;'管线现金流'!X95&amp;"|"&amp;'管线现金流'!AO95&amp;"|"&amp;'管线现金流'!AR95&amp;"|"&amp;'管线现金流'!U96&amp;"|"&amp;'管线现金流'!X96&amp;"|"&amp;'管线现金流'!AO96&amp;"|"&amp;'管线现金流'!AR96&amp;"|"&amp;'管线现金流'!U97&amp;"|"&amp;'管线现金流'!X97&amp;"|"&amp;'管线现金流'!AO97&amp;"|"&amp;'管线现金流'!AR97</x:f>
        <x:v>1|-3|2.3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</x:row>
    <x:row r="482" ht="23" customHeight="1">
      <x:c r="A482" s="11" t="str">
        <x:v>688062.SH</x:v>
      </x:c>
      <x:c r="B482" s="11" t="str">
        <x:v>迈威生物</x:v>
      </x:c>
      <x:c r="C482" s="11" t="str">
        <x:v>三年</x:v>
      </x:c>
      <x:c r="D482" s="11" t="str">
        <x:v>基准</x:v>
      </x:c>
      <x:c r="E482" s="11" t="n">
        <x:v>24.78</x:v>
      </x:c>
      <x:c r="F482" s="11" t="n">
        <x:v>13.036530492445527</x:v>
      </x:c>
      <x:c r="G482" s="11" t="n">
        <x:v>0</x:v>
      </x:c>
      <x:c r="H482" s="25" t="n">
        <x:v>-0.47390918109582214</x:v>
      </x:c>
      <x:c r="I482" s="25" t="n">
        <x:v>-0.47390918109582214</x:v>
      </x:c>
      <x:c r="J482" s="25" t="n">
        <x:v>-0.19272734652594736</x:v>
      </x:c>
      <x:c r="K482" s="11" t="n">
        <x:v>0</x:v>
      </x:c>
      <x:c r="L482" s="11" t="n">
        <x:v>0</x:v>
      </x:c>
      <x:c r="M482" s="11" t="n">
        <x:v>1</x:v>
      </x:c>
      <x:c r="N482" s="11" t="n">
        <x:v>0</x:v>
      </x:c>
      <x:c r="O482" s="11" t="n">
        <x:v>0</x:v>
      </x:c>
      <x:c r="P482" s="11" t="n">
        <x:v>0</x:v>
      </x:c>
      <x:c r="Q482" s="11" t="n">
        <x:v>0.55</x:v>
      </x:c>
      <x:c r="R482" s="11" t="str">
        <x:v>mabwell-rnpv-v1.1</x:v>
      </x:c>
      <x:c r="S482" s="11" t="str">
        <x:v>2026-10-10</x:v>
      </x:c>
      <x:c r="T482" s="11" t="str">
        <x:f>IF(AND(SUM(IF(K482='假设'!E641,0,1),IF(L482='假设'!F641,0,1),IF(M482='假设'!G641,0,1),IF(N482='假设'!H641,0,1),IF(O482='假设'!I641,0,1),IF(P482='假设'!J641,0,1),IF(Q482='假设'!K641,0,1))=0,U482=V482),"已刷新","待刷新")</x:f>
        <x:v>已刷新</x:v>
      </x:c>
      <x:c r="U482" t="str">
        <x:v>1|-1.6|1.8|0.9426|0.23|1|0.14|6.8|1|0.08000000000000002|1|0.14|6.8|0.6884|0.3|1|0.14|6.8|0.631|0.3|1|0.14|6.8|0.5736|0.3|1|0.14|6.8|0.42600000000000005|0.3|1|0.14|6.8|0.31120000000000003|0.3|1|0.14|6.8|0.344|0.23|1|0.14|6.8|0.36040000000000005|0.3|1|0.14|6.8|0.262|0.3|1|0.14|6.8|0.385|0.3|1|0.14|6.8|0.2784000000000001|0.064|1|0.14|6.8|0.2784000000000001|0.3|1|0.14|6.8|0.5244|0.068|1|0.14|6.8|0.46699999999999997|0.3|1|0.14|6.8|0.30300000000000005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  <x:c r="V482" t="str">
        <x:f>'假设'!U641&amp;"|"&amp;'假设'!N641&amp;"|"&amp;'假设'!Q641&amp;"|"&amp;'管线假设'!E1221&amp;"|"&amp;'管线假设'!F1221&amp;"|"&amp;'管线假设'!G1221&amp;"|"&amp;'管线假设'!H1221&amp;"|"&amp;'管线假设'!I1221&amp;"|"&amp;'管线假设'!E1225&amp;"|"&amp;'管线假设'!F1225&amp;"|"&amp;'管线假设'!G1225&amp;"|"&amp;'管线假设'!H1225&amp;"|"&amp;'管线假设'!I1225&amp;"|"&amp;'管线假设'!E1229&amp;"|"&amp;'管线假设'!F1229&amp;"|"&amp;'管线假设'!G1229&amp;"|"&amp;'管线假设'!H1229&amp;"|"&amp;'管线假设'!I1229&amp;"|"&amp;'管线假设'!E1233&amp;"|"&amp;'管线假设'!F1233&amp;"|"&amp;'管线假设'!G1233&amp;"|"&amp;'管线假设'!H1233&amp;"|"&amp;'管线假设'!I1233&amp;"|"&amp;'管线假设'!E1237&amp;"|"&amp;'管线假设'!F1237&amp;"|"&amp;'管线假设'!G1237&amp;"|"&amp;'管线假设'!H1237&amp;"|"&amp;'管线假设'!I1237&amp;"|"&amp;'管线假设'!E1241&amp;"|"&amp;'管线假设'!F1241&amp;"|"&amp;'管线假设'!G1241&amp;"|"&amp;'管线假设'!H1241&amp;"|"&amp;'管线假设'!I1241&amp;"|"&amp;'管线假设'!E1245&amp;"|"&amp;'管线假设'!F1245&amp;"|"&amp;'管线假设'!G1245&amp;"|"&amp;'管线假设'!H1245&amp;"|"&amp;'管线假设'!I1245&amp;"|"&amp;'管线假设'!E1249&amp;"|"&amp;'管线假设'!F1249&amp;"|"&amp;'管线假设'!G1249&amp;"|"&amp;'管线假设'!H1249&amp;"|"&amp;'管线假设'!I1249&amp;"|"&amp;'管线假设'!E1253&amp;"|"&amp;'管线假设'!F1253&amp;"|"&amp;'管线假设'!G1253&amp;"|"&amp;'管线假设'!H1253&amp;"|"&amp;'管线假设'!I1253&amp;"|"&amp;'管线假设'!E1257&amp;"|"&amp;'管线假设'!F1257&amp;"|"&amp;'管线假设'!G1257&amp;"|"&amp;'管线假设'!H1257&amp;"|"&amp;'管线假设'!I1257&amp;"|"&amp;'管线假设'!E1261&amp;"|"&amp;'管线假设'!F1261&amp;"|"&amp;'管线假设'!G1261&amp;"|"&amp;'管线假设'!H1261&amp;"|"&amp;'管线假设'!I1261&amp;"|"&amp;'管线假设'!E1265&amp;"|"&amp;'管线假设'!F1265&amp;"|"&amp;'管线假设'!G1265&amp;"|"&amp;'管线假设'!H1265&amp;"|"&amp;'管线假设'!I1265&amp;"|"&amp;'管线假设'!E1269&amp;"|"&amp;'管线假设'!F1269&amp;"|"&amp;'管线假设'!G1269&amp;"|"&amp;'管线假设'!H1269&amp;"|"&amp;'管线假设'!I1269&amp;"|"&amp;'管线假设'!E1273&amp;"|"&amp;'管线假设'!F1273&amp;"|"&amp;'管线假设'!G1273&amp;"|"&amp;'管线假设'!H1273&amp;"|"&amp;'管线假设'!I1273&amp;"|"&amp;'管线假设'!E1277&amp;"|"&amp;'管线假设'!F1277&amp;"|"&amp;'管线假设'!G1277&amp;"|"&amp;'管线假设'!H1277&amp;"|"&amp;'管线假设'!I1277&amp;"|"&amp;'管线假设'!E1281&amp;"|"&amp;'管线假设'!F1281&amp;"|"&amp;'管线假设'!G1281&amp;"|"&amp;'管线假设'!H1281&amp;"|"&amp;'管线假设'!I1281&amp;"|"&amp;'管线现金流'!I5679&amp;"|"&amp;'管线现金流'!AK5679&amp;"|"&amp;'管线现金流'!I5680&amp;"|"&amp;'管线现金流'!AK5680&amp;"|"&amp;'管线现金流'!I5681&amp;"|"&amp;'管线现金流'!AK5681&amp;"|"&amp;'管线现金流'!I5682&amp;"|"&amp;'管线现金流'!AK5682&amp;"|"&amp;'管线现金流'!I5683&amp;"|"&amp;'管线现金流'!AK5683&amp;"|"&amp;'管线现金流'!I5684&amp;"|"&amp;'管线现金流'!AK5684&amp;"|"&amp;'管线现金流'!I5685&amp;"|"&amp;'管线现金流'!AK5685&amp;"|"&amp;'管线现金流'!I5686&amp;"|"&amp;'管线现金流'!AK5686&amp;"|"&amp;'管线现金流'!I5687&amp;"|"&amp;'管线现金流'!AK5687&amp;"|"&amp;'管线现金流'!I5688&amp;"|"&amp;'管线现金流'!AK5688&amp;"|"&amp;'管线现金流'!I5689&amp;"|"&amp;'管线现金流'!AK5689&amp;"|"&amp;'管线现金流'!I5690&amp;"|"&amp;'管线现金流'!AK5690&amp;"|"&amp;'管线现金流'!I5691&amp;"|"&amp;'管线现金流'!AK5691&amp;"|"&amp;'管线现金流'!I5692&amp;"|"&amp;'管线现金流'!AK5692&amp;"|"&amp;'管线现金流'!I5693&amp;"|"&amp;'管线现金流'!AK5693&amp;"|"&amp;'管线现金流'!I5694&amp;"|"&amp;'管线现金流'!AK5694&amp;"|"&amp;'管线现金流'!I5695&amp;"|"&amp;'管线现金流'!AK5695&amp;"|"&amp;'管线现金流'!I5696&amp;"|"&amp;'管线现金流'!AK5696&amp;"|"&amp;'管线现金流'!I5697&amp;"|"&amp;'管线现金流'!AK5697&amp;"|"&amp;'管线现金流'!I5698&amp;"|"&amp;'管线现金流'!AK5698&amp;"|"&amp;'管线现金流'!I5699&amp;"|"&amp;'管线现金流'!AK5699&amp;"|"&amp;'管线现金流'!I5700&amp;"|"&amp;'管线现金流'!AK5700&amp;"|"&amp;'管线现金流'!I5701&amp;"|"&amp;'管线现金流'!AK5701&amp;"|"&amp;'管线现金流'!I5702&amp;"|"&amp;'管线现金流'!AK5702&amp;"|"&amp;'管线现金流'!I5703&amp;"|"&amp;'管线现金流'!AK5703&amp;"|"&amp;'管线现金流'!I5704&amp;"|"&amp;'管线现金流'!AK5704&amp;"|"&amp;'管线现金流'!I5705&amp;"|"&amp;'管线现金流'!AK5705&amp;"|"&amp;'管线现金流'!I5706&amp;"|"&amp;'管线现金流'!AK5706&amp;"|"&amp;'管线现金流'!I5707&amp;"|"&amp;'管线现金流'!AK5707&amp;"|"&amp;'管线现金流'!I5708&amp;"|"&amp;'管线现金流'!AK5708&amp;"|"&amp;'管线现金流'!I5709&amp;"|"&amp;'管线现金流'!AK5709&amp;"|"&amp;'管线现金流'!I5710&amp;"|"&amp;'管线现金流'!AK5710&amp;"|"&amp;'管线现金流'!I5711&amp;"|"&amp;'管线现金流'!AK5711&amp;"|"&amp;'管线现金流'!I5712&amp;"|"&amp;'管线现金流'!AK5712&amp;"|"&amp;'管线现金流'!I5713&amp;"|"&amp;'管线现金流'!AK5713&amp;"|"&amp;'管线现金流'!I5714&amp;"|"&amp;'管线现金流'!AK5714&amp;"|"&amp;'管线现金流'!I5715&amp;"|"&amp;'管线现金流'!AK5715&amp;"|"&amp;'管线现金流'!I5716&amp;"|"&amp;'管线现金流'!AK5716&amp;"|"&amp;'管线现金流'!I5717&amp;"|"&amp;'管线现金流'!AK5717&amp;"|"&amp;'管线现金流'!I5718&amp;"|"&amp;'管线现金流'!AK5718&amp;"|"&amp;'管线现金流'!I5719&amp;"|"&amp;'管线现金流'!AK5719&amp;"|"&amp;'管线现金流'!I5720&amp;"|"&amp;'管线现金流'!AK5720&amp;"|"&amp;'管线现金流'!I5721&amp;"|"&amp;'管线现金流'!AK5721&amp;"|"&amp;'管线现金流'!I5722&amp;"|"&amp;'管线现金流'!AK5722&amp;"|"&amp;'管线现金流'!I5723&amp;"|"&amp;'管线现金流'!AK5723&amp;"|"&amp;'管线现金流'!I5724&amp;"|"&amp;'管线现金流'!AK5724&amp;"|"&amp;'管线现金流'!I5725&amp;"|"&amp;'管线现金流'!AK5725&amp;"|"&amp;'管线现金流'!I5726&amp;"|"&amp;'管线现金流'!AK5726&amp;"|"&amp;'管线现金流'!I5727&amp;"|"&amp;'管线现金流'!AK5727&amp;"|"&amp;'管线现金流'!I5728&amp;"|"&amp;'管线现金流'!AK5728&amp;"|"&amp;'管线现金流'!I5729&amp;"|"&amp;'管线现金流'!AK5729&amp;"|"&amp;'管线现金流'!I5730&amp;"|"&amp;'管线现金流'!AK5730&amp;"|"&amp;'管线现金流'!I5731&amp;"|"&amp;'管线现金流'!AK5731&amp;"|"&amp;'管线现金流'!I5732&amp;"|"&amp;'管线现金流'!AK5732&amp;"|"&amp;'管线现金流'!I5733&amp;"|"&amp;'管线现金流'!AK5733&amp;"|"&amp;'管线现金流'!I5734&amp;"|"&amp;'管线现金流'!AK5734&amp;"|"&amp;'管线现金流'!I5735&amp;"|"&amp;'管线现金流'!AK5735&amp;"|"&amp;'管线现金流'!I5736&amp;"|"&amp;'管线现金流'!AK5736&amp;"|"&amp;'管线现金流'!I5737&amp;"|"&amp;'管线现金流'!AK5737&amp;"|"&amp;'管线现金流'!I5738&amp;"|"&amp;'管线现金流'!AK5738&amp;"|"&amp;'管线现金流'!I5739&amp;"|"&amp;'管线现金流'!AK5739&amp;"|"&amp;'管线现金流'!I5740&amp;"|"&amp;'管线现金流'!AK5740&amp;"|"&amp;'管线现金流'!I5741&amp;"|"&amp;'管线现金流'!AK5741&amp;"|"&amp;'管线现金流'!I5742&amp;"|"&amp;'管线现金流'!AK5742&amp;"|"&amp;'管线现金流'!I5743&amp;"|"&amp;'管线现金流'!AK5743&amp;"|"&amp;'管线现金流'!I5744&amp;"|"&amp;'管线现金流'!AK5744&amp;"|"&amp;'管线现金流'!I5745&amp;"|"&amp;'管线现金流'!AK5745&amp;"|"&amp;'管线现金流'!I5746&amp;"|"&amp;'管线现金流'!AK5746&amp;"|"&amp;'管线现金流'!I5747&amp;"|"&amp;'管线现金流'!AK5747&amp;"|"&amp;'管线现金流'!I5748&amp;"|"&amp;'管线现金流'!AK5748&amp;"|"&amp;'管线现金流'!I5749&amp;"|"&amp;'管线现金流'!AK5749&amp;"|"&amp;'管线现金流'!I5750&amp;"|"&amp;'管线现金流'!AK5750&amp;"|"&amp;'管线现金流'!I5751&amp;"|"&amp;'管线现金流'!AK5751&amp;"|"&amp;'管线现金流'!I5752&amp;"|"&amp;'管线现金流'!AK5752&amp;"|"&amp;'管线现金流'!I5753&amp;"|"&amp;'管线现金流'!AK5753&amp;"|"&amp;'管线现金流'!I5754&amp;"|"&amp;'管线现金流'!AK5754&amp;"|"&amp;'管线现金流'!I5755&amp;"|"&amp;'管线现金流'!AK5755&amp;"|"&amp;'管线现金流'!I5756&amp;"|"&amp;'管线现金流'!AK5756&amp;"|"&amp;'管线现金流'!I5757&amp;"|"&amp;'管线现金流'!AK5757&amp;"|"&amp;'管线现金流'!I5758&amp;"|"&amp;'管线现金流'!AK5758&amp;"|"&amp;'管线现金流'!I5759&amp;"|"&amp;'管线现金流'!AK5759&amp;"|"&amp;'管线现金流'!I5760&amp;"|"&amp;'管线现金流'!AK5760&amp;"|"&amp;'管线现金流'!I5761&amp;"|"&amp;'管线现金流'!AK5761&amp;"|"&amp;'管线现金流'!I5762&amp;"|"&amp;'管线现金流'!AK5762&amp;"|"&amp;'管线现金流'!I5763&amp;"|"&amp;'管线现金流'!AK5763&amp;"|"&amp;'管线现金流'!I5764&amp;"|"&amp;'管线现金流'!AK5764&amp;"|"&amp;'管线现金流'!I5765&amp;"|"&amp;'管线现金流'!AK5765&amp;"|"&amp;'管线现金流'!I5766&amp;"|"&amp;'管线现金流'!AK5766&amp;"|"&amp;'管线现金流'!I5767&amp;"|"&amp;'管线现金流'!AK5767&amp;"|"&amp;'管线现金流'!I5768&amp;"|"&amp;'管线现金流'!AK5768&amp;"|"&amp;'管线现金流'!I5769&amp;"|"&amp;'管线现金流'!AK5769&amp;"|"&amp;'管线现金流'!I5770&amp;"|"&amp;'管线现金流'!AK5770&amp;"|"&amp;'管线现金流'!I5771&amp;"|"&amp;'管线现金流'!AK5771&amp;"|"&amp;'管线现金流'!I5772&amp;"|"&amp;'管线现金流'!AK5772&amp;"|"&amp;'管线现金流'!I5773&amp;"|"&amp;'管线现金流'!AK5773&amp;"|"&amp;'管线现金流'!I5774&amp;"|"&amp;'管线现金流'!AK5774&amp;"|"&amp;'管线现金流'!I5775&amp;"|"&amp;'管线现金流'!AK5775&amp;"|"&amp;'管线现金流'!I5776&amp;"|"&amp;'管线现金流'!AK5776&amp;"|"&amp;'管线现金流'!I5777&amp;"|"&amp;'管线现金流'!AK5777&amp;"|"&amp;'管线现金流'!I5778&amp;"|"&amp;'管线现金流'!AK5778&amp;"|"&amp;'管线现金流'!I5779&amp;"|"&amp;'管线现金流'!AK5779&amp;"|"&amp;'管线现金流'!I5780&amp;"|"&amp;'管线现金流'!AK5780&amp;"|"&amp;'管线现金流'!I5781&amp;"|"&amp;'管线现金流'!AK5781&amp;"|"&amp;'管线现金流'!I5782&amp;"|"&amp;'管线现金流'!AK5782&amp;"|"&amp;'管线现金流'!I5783&amp;"|"&amp;'管线现金流'!AK5783&amp;"|"&amp;'管线现金流'!I5784&amp;"|"&amp;'管线现金流'!AK5784&amp;"|"&amp;'管线现金流'!I5785&amp;"|"&amp;'管线现金流'!AK5785&amp;"|"&amp;'管线现金流'!I5786&amp;"|"&amp;'管线现金流'!AK5786&amp;"|"&amp;'管线现金流'!I5787&amp;"|"&amp;'管线现金流'!AK5787&amp;"|"&amp;'管线现金流'!I5788&amp;"|"&amp;'管线现金流'!AK5788&amp;"|"&amp;'管线现金流'!I5789&amp;"|"&amp;'管线现金流'!AK5789&amp;"|"&amp;'管线现金流'!I5790&amp;"|"&amp;'管线现金流'!AK5790&amp;"|"&amp;'管线现金流'!I5791&amp;"|"&amp;'管线现金流'!AK5791&amp;"|"&amp;'管线现金流'!I5792&amp;"|"&amp;'管线现金流'!AK5792&amp;"|"&amp;'管线现金流'!I5793&amp;"|"&amp;'管线现金流'!AK5793&amp;"|"&amp;'管线现金流'!I5794&amp;"|"&amp;'管线现金流'!AK5794&amp;"|"&amp;'管线现金流'!I5795&amp;"|"&amp;'管线现金流'!AK5795&amp;"|"&amp;'管线现金流'!I5796&amp;"|"&amp;'管线现金流'!AK5796&amp;"|"&amp;'管线现金流'!I5797&amp;"|"&amp;'管线现金流'!AK5797&amp;"|"&amp;'管线现金流'!I5798&amp;"|"&amp;'管线现金流'!AK5798&amp;"|"&amp;'管线现金流'!I5799&amp;"|"&amp;'管线现金流'!AK5799&amp;"|"&amp;'管线现金流'!I5800&amp;"|"&amp;'管线现金流'!AK5800&amp;"|"&amp;'管线现金流'!I5801&amp;"|"&amp;'管线现金流'!AK5801&amp;"|"&amp;'管线现金流'!I5802&amp;"|"&amp;'管线现金流'!AK5802&amp;"|"&amp;'管线现金流'!I5803&amp;"|"&amp;'管线现金流'!AK5803&amp;"|"&amp;'管线现金流'!I5804&amp;"|"&amp;'管线现金流'!AK5804&amp;"|"&amp;'管线现金流'!I5805&amp;"|"&amp;'管线现金流'!AK5805&amp;"|"&amp;'管线现金流'!I5806&amp;"|"&amp;'管线现金流'!AK5806&amp;"|"&amp;'管线现金流'!I5807&amp;"|"&amp;'管线现金流'!AK5807&amp;"|"&amp;'管线现金流'!I5808&amp;"|"&amp;'管线现金流'!AK5808&amp;"|"&amp;'管线现金流'!I5809&amp;"|"&amp;'管线现金流'!AK5809&amp;"|"&amp;'管线现金流'!I5810&amp;"|"&amp;'管线现金流'!AK5810&amp;"|"&amp;'管线现金流'!I5811&amp;"|"&amp;'管线现金流'!AK5811&amp;"|"&amp;'管线现金流'!I5812&amp;"|"&amp;'管线现金流'!AK5812&amp;"|"&amp;'管线现金流'!I5813&amp;"|"&amp;'管线现金流'!AK5813&amp;"|"&amp;'管线现金流'!I5814&amp;"|"&amp;'管线现金流'!AK5814&amp;"|"&amp;'管线现金流'!I5815&amp;"|"&amp;'管线现金流'!AK5815&amp;"|"&amp;'管线现金流'!I5816&amp;"|"&amp;'管线现金流'!AK5816&amp;"|"&amp;'管线现金流'!I5817&amp;"|"&amp;'管线现金流'!AK5817&amp;"|"&amp;'管线现金流'!I5818&amp;"|"&amp;'管线现金流'!AK5818&amp;"|"&amp;'管线现金流'!I5819&amp;"|"&amp;'管线现金流'!AK5819&amp;"|"&amp;'管线现金流'!I5820&amp;"|"&amp;'管线现金流'!AK5820&amp;"|"&amp;'管线现金流'!I5821&amp;"|"&amp;'管线现金流'!AK5821&amp;"|"&amp;'管线现金流'!I5822&amp;"|"&amp;'管线现金流'!AK5822&amp;"|"&amp;'管线现金流'!I5823&amp;"|"&amp;'管线现金流'!AK5823&amp;"|"&amp;'管线现金流'!I5824&amp;"|"&amp;'管线现金流'!AK5824&amp;"|"&amp;'管线现金流'!I5825&amp;"|"&amp;'管线现金流'!AK5825&amp;"|"&amp;'管线现金流'!I5826&amp;"|"&amp;'管线现金流'!AK5826&amp;"|"&amp;'管线现金流'!I5827&amp;"|"&amp;'管线现金流'!AK5827&amp;"|"&amp;'管线现金流'!I5828&amp;"|"&amp;'管线现金流'!AK5828&amp;"|"&amp;'管线现金流'!I5829&amp;"|"&amp;'管线现金流'!AK5829&amp;"|"&amp;'管线现金流'!I5830&amp;"|"&amp;'管线现金流'!AK5830&amp;"|"&amp;'管线现金流'!I5831&amp;"|"&amp;'管线现金流'!AK5831&amp;"|"&amp;'管线现金流'!I5832&amp;"|"&amp;'管线现金流'!AK5832&amp;"|"&amp;'管线现金流'!I5833&amp;"|"&amp;'管线现金流'!AK5833&amp;"|"&amp;'管线现金流'!I5834&amp;"|"&amp;'管线现金流'!AK5834&amp;"|"&amp;'管线现金流'!I5835&amp;"|"&amp;'管线现金流'!AK5835&amp;"|"&amp;'管线现金流'!I5836&amp;"|"&amp;'管线现金流'!AK5836&amp;"|"&amp;'管线现金流'!I5837&amp;"|"&amp;'管线现金流'!AK5837&amp;"|"&amp;'管线现金流'!I5838&amp;"|"&amp;'管线现金流'!AK5838&amp;"|"&amp;'管线现金流'!I5839&amp;"|"&amp;'管线现金流'!AK5839&amp;"|"&amp;'管线现金流'!I5840&amp;"|"&amp;'管线现金流'!AK5840&amp;"|"&amp;'管线现金流'!I5841&amp;"|"&amp;'管线现金流'!AK5841&amp;"|"&amp;'管线现金流'!I5842&amp;"|"&amp;'管线现金流'!AK5842&amp;"|"&amp;'管线现金流'!I5843&amp;"|"&amp;'管线现金流'!AK5843&amp;"|"&amp;'管线现金流'!I5844&amp;"|"&amp;'管线现金流'!AK5844&amp;"|"&amp;'管线现金流'!I5845&amp;"|"&amp;'管线现金流'!AK5845&amp;"|"&amp;'管线现金流'!I5846&amp;"|"&amp;'管线现金流'!AK5846&amp;"|"&amp;'管线现金流'!I5847&amp;"|"&amp;'管线现金流'!AK5847&amp;"|"&amp;'管线现金流'!I5848&amp;"|"&amp;'管线现金流'!AK5848&amp;"|"&amp;'管线现金流'!I5849&amp;"|"&amp;'管线现金流'!AK5849&amp;"|"&amp;'管线现金流'!I5850&amp;"|"&amp;'管线现金流'!AK5850&amp;"|"&amp;'管线现金流'!I5851&amp;"|"&amp;'管线现金流'!AK5851&amp;"|"&amp;'管线现金流'!I5852&amp;"|"&amp;'管线现金流'!AK5852&amp;"|"&amp;'管线现金流'!I5853&amp;"|"&amp;'管线现金流'!AK5853&amp;"|"&amp;'管线现金流'!I5854&amp;"|"&amp;'管线现金流'!AK5854&amp;"|"&amp;'管线现金流'!I5855&amp;"|"&amp;'管线现金流'!AK5855&amp;"|"&amp;'管线现金流'!I5856&amp;"|"&amp;'管线现金流'!AK5856&amp;"|"&amp;'管线现金流'!I5857&amp;"|"&amp;'管线现金流'!AK5857&amp;"|"&amp;'管线现金流'!I5858&amp;"|"&amp;'管线现金流'!AK5858&amp;"|"&amp;'管线现金流'!I5859&amp;"|"&amp;'管线现金流'!AK5859&amp;"|"&amp;'管线现金流'!I5860&amp;"|"&amp;'管线现金流'!AK5860&amp;"|"&amp;'管线现金流'!I5861&amp;"|"&amp;'管线现金流'!AK5861&amp;"|"&amp;'管线现金流'!I5862&amp;"|"&amp;'管线现金流'!AK5862&amp;"|"&amp;'管线现金流'!I5863&amp;"|"&amp;'管线现金流'!AK5863&amp;"|"&amp;'管线现金流'!I5864&amp;"|"&amp;'管线现金流'!AK5864&amp;"|"&amp;'管线现金流'!I5865&amp;"|"&amp;'管线现金流'!AK5865&amp;"|"&amp;'管线现金流'!I5866&amp;"|"&amp;'管线现金流'!AK5866&amp;"|"&amp;'管线现金流'!I5867&amp;"|"&amp;'管线现金流'!AK5867&amp;"|"&amp;'管线现金流'!I5868&amp;"|"&amp;'管线现金流'!AK5868&amp;"|"&amp;'管线现金流'!I5869&amp;"|"&amp;'管线现金流'!AK5869&amp;"|"&amp;'管线现金流'!I5870&amp;"|"&amp;'管线现金流'!AK5870&amp;"|"&amp;'管线现金流'!I5871&amp;"|"&amp;'管线现金流'!AK5871&amp;"|"&amp;'管线现金流'!I5872&amp;"|"&amp;'管线现金流'!AK5872&amp;"|"&amp;'管线现金流'!I5873&amp;"|"&amp;'管线现金流'!AK5873&amp;"|"&amp;'管线现金流'!I5874&amp;"|"&amp;'管线现金流'!AK5874&amp;"|"&amp;'管线现金流'!I5875&amp;"|"&amp;'管线现金流'!AK5875&amp;"|"&amp;'管线现金流'!I5876&amp;"|"&amp;'管线现金流'!AK5876&amp;"|"&amp;'管线现金流'!I5877&amp;"|"&amp;'管线现金流'!AK5877&amp;"|"&amp;'管线现金流'!I5878&amp;"|"&amp;'管线现金流'!AK5878&amp;"|"&amp;'管线现金流'!I5879&amp;"|"&amp;'管线现金流'!AK5879&amp;"|"&amp;'管线现金流'!I5880&amp;"|"&amp;'管线现金流'!AK5880&amp;"|"&amp;'管线现金流'!I5881&amp;"|"&amp;'管线现金流'!AK5881&amp;"|"&amp;'管线现金流'!I5882&amp;"|"&amp;'管线现金流'!AK5882&amp;"|"&amp;'管线现金流'!I5883&amp;"|"&amp;'管线现金流'!AK5883&amp;"|"&amp;'管线现金流'!I5884&amp;"|"&amp;'管线现金流'!AK5884&amp;"|"&amp;'管线现金流'!I5885&amp;"|"&amp;'管线现金流'!AK5885&amp;"|"&amp;'管线现金流'!I5886&amp;"|"&amp;'管线现金流'!AK5886&amp;"|"&amp;'管线现金流'!I5887&amp;"|"&amp;'管线现金流'!AK5887&amp;"|"&amp;'管线现金流'!I5888&amp;"|"&amp;'管线现金流'!AK5888&amp;"|"&amp;'管线现金流'!I5889&amp;"|"&amp;'管线现金流'!AK5889&amp;"|"&amp;'管线现金流'!I5890&amp;"|"&amp;'管线现金流'!AK5890&amp;"|"&amp;'管线现金流'!I5891&amp;"|"&amp;'管线现金流'!AK5891&amp;"|"&amp;'管线现金流'!I5892&amp;"|"&amp;'管线现金流'!AK5892&amp;"|"&amp;'管线现金流'!I5893&amp;"|"&amp;'管线现金流'!AK5893&amp;"|"&amp;'管线现金流'!I5894&amp;"|"&amp;'管线现金流'!AK5894&amp;"|"&amp;'管线现金流'!I5895&amp;"|"&amp;'管线现金流'!AK5895&amp;"|"&amp;'管线现金流'!I5896&amp;"|"&amp;'管线现金流'!AK5896&amp;"|"&amp;'管线现金流'!I5897&amp;"|"&amp;'管线现金流'!AK5897&amp;"|"&amp;'管线现金流'!I5898&amp;"|"&amp;'管线现金流'!AK5898&amp;"|"&amp;'管线现金流'!I5899&amp;"|"&amp;'管线现金流'!AK5899&amp;"|"&amp;'管线现金流'!I5900&amp;"|"&amp;'管线现金流'!AK5900&amp;"|"&amp;'管线现金流'!I5901&amp;"|"&amp;'管线现金流'!AK5901&amp;"|"&amp;'管线现金流'!I5902&amp;"|"&amp;'管线现金流'!AK5902&amp;"|"&amp;'管线现金流'!I5903&amp;"|"&amp;'管线现金流'!AK5903&amp;"|"&amp;'管线现金流'!I5904&amp;"|"&amp;'管线现金流'!AK5904&amp;"|"&amp;'管线现金流'!I5905&amp;"|"&amp;'管线现金流'!AK5905&amp;"|"&amp;'管线现金流'!I5906&amp;"|"&amp;'管线现金流'!AK5906&amp;"|"&amp;'管线现金流'!I5907&amp;"|"&amp;'管线现金流'!AK5907&amp;"|"&amp;'管线现金流'!I5908&amp;"|"&amp;'管线现金流'!AK5908&amp;"|"&amp;'管线现金流'!I5909&amp;"|"&amp;'管线现金流'!AK5909&amp;"|"&amp;'管线现金流'!I5910&amp;"|"&amp;'管线现金流'!AK5910&amp;"|"&amp;'管线现金流'!I5911&amp;"|"&amp;'管线现金流'!AK5911&amp;"|"&amp;'管线现金流'!I5912&amp;"|"&amp;'管线现金流'!AK5912&amp;"|"&amp;'管线现金流'!I5913&amp;"|"&amp;'管线现金流'!AK5913&amp;"|"&amp;'管线现金流'!I5914&amp;"|"&amp;'管线现金流'!AK5914&amp;"|"&amp;'管线现金流'!I5915&amp;"|"&amp;'管线现金流'!AK5915&amp;"|"&amp;'管线现金流'!I5916&amp;"|"&amp;'管线现金流'!AK5916&amp;"|"&amp;'管线现金流'!I5917&amp;"|"&amp;'管线现金流'!AK5917&amp;"|"&amp;'管线现金流'!I5918&amp;"|"&amp;'管线现金流'!AK5918&amp;"|"&amp;'管线现金流'!I5919&amp;"|"&amp;'管线现金流'!AK5919&amp;"|"&amp;'管线现金流'!I5920&amp;"|"&amp;'管线现金流'!AK5920&amp;"|"&amp;'管线现金流'!I5921&amp;"|"&amp;'管线现金流'!AK5921&amp;"|"&amp;'管线现金流'!I5922&amp;"|"&amp;'管线现金流'!AK5922&amp;"|"&amp;'管线现金流'!I5923&amp;"|"&amp;'管线现金流'!AK5923&amp;"|"&amp;'管线现金流'!I5924&amp;"|"&amp;'管线现金流'!AK5924&amp;"|"&amp;'管线现金流'!I5925&amp;"|"&amp;'管线现金流'!AK5925&amp;"|"&amp;'管线现金流'!I5926&amp;"|"&amp;'管线现金流'!AK5926&amp;"|"&amp;'管线现金流'!I5927&amp;"|"&amp;'管线现金流'!AK5927&amp;"|"&amp;'管线现金流'!I5928&amp;"|"&amp;'管线现金流'!AK5928&amp;"|"&amp;'管线现金流'!I5929&amp;"|"&amp;'管线现金流'!AK5929&amp;"|"&amp;'管线现金流'!I5930&amp;"|"&amp;'管线现金流'!AK5930&amp;"|"&amp;'管线现金流'!I5931&amp;"|"&amp;'管线现金流'!AK5931&amp;"|"&amp;'管线现金流'!I5932&amp;"|"&amp;'管线现金流'!AK5932&amp;"|"&amp;'管线现金流'!I5933&amp;"|"&amp;'管线现金流'!AK5933&amp;"|"&amp;'管线现金流'!I5934&amp;"|"&amp;'管线现金流'!AK5934&amp;"|"&amp;'管线现金流'!I5935&amp;"|"&amp;'管线现金流'!AK5935&amp;"|"&amp;'管线现金流'!I5936&amp;"|"&amp;'管线现金流'!AK5936&amp;"|"&amp;'管线现金流'!I5937&amp;"|"&amp;'管线现金流'!AK5937&amp;"|"&amp;'管线现金流'!I5938&amp;"|"&amp;'管线现金流'!AK5938&amp;"|"&amp;'管线现金流'!I5939&amp;"|"&amp;'管线现金流'!AK5939&amp;"|"&amp;'管线现金流'!I5940&amp;"|"&amp;'管线现金流'!AK5940&amp;"|"&amp;'管线现金流'!I5941&amp;"|"&amp;'管线现金流'!AK5941&amp;"|"&amp;'管线现金流'!I5942&amp;"|"&amp;'管线现金流'!AK5942&amp;"|"&amp;'管线现金流'!I5943&amp;"|"&amp;'管线现金流'!AK5943&amp;"|"&amp;'管线现金流'!I5944&amp;"|"&amp;'管线现金流'!AK5944&amp;"|"&amp;'管线现金流'!I5945&amp;"|"&amp;'管线现金流'!AK5945&amp;"|"&amp;'管线现金流'!I5946&amp;"|"&amp;'管线现金流'!AK5946&amp;"|"&amp;'管线现金流'!I5947&amp;"|"&amp;'管线现金流'!AK5947&amp;"|"&amp;'管线现金流'!I5948&amp;"|"&amp;'管线现金流'!AK5948&amp;"|"&amp;'管线现金流'!I5949&amp;"|"&amp;'管线现金流'!AK5949&amp;"|"&amp;'管线现金流'!I5950&amp;"|"&amp;'管线现金流'!AK5950&amp;"|"&amp;'管线现金流'!I5951&amp;"|"&amp;'管线现金流'!AK5951&amp;"|"&amp;'管线现金流'!I5952&amp;"|"&amp;'管线现金流'!AK5952&amp;"|"&amp;'管线现金流'!I5953&amp;"|"&amp;'管线现金流'!AK5953&amp;"|"&amp;'管线现金流'!I5954&amp;"|"&amp;'管线现金流'!AK5954&amp;"|"&amp;'管线现金流'!I5955&amp;"|"&amp;'管线现金流'!AK5955&amp;"|"&amp;'管线现金流'!I5956&amp;"|"&amp;'管线现金流'!AK5956&amp;"|"&amp;'管线现金流'!I5957&amp;"|"&amp;'管线现金流'!AK5957&amp;"|"&amp;'管线现金流'!I5958&amp;"|"&amp;'管线现金流'!AK5958&amp;"|"&amp;'管线现金流'!I5959&amp;"|"&amp;'管线现金流'!AK5959&amp;"|"&amp;'管线现金流'!I5960&amp;"|"&amp;'管线现金流'!AK5960&amp;"|"&amp;'管线现金流'!I5961&amp;"|"&amp;'管线现金流'!AK5961&amp;"|"&amp;'管线现金流'!I5962&amp;"|"&amp;'管线现金流'!AK5962&amp;"|"&amp;'管线现金流'!I5963&amp;"|"&amp;'管线现金流'!AK5963&amp;"|"&amp;'管线现金流'!I5964&amp;"|"&amp;'管线现金流'!AK5964&amp;"|"&amp;'管线现金流'!I5965&amp;"|"&amp;'管线现金流'!AK5965&amp;"|"&amp;'管线现金流'!I5966&amp;"|"&amp;'管线现金流'!AK5966&amp;"|"&amp;'管线现金流'!I5967&amp;"|"&amp;'管线现金流'!AK5967&amp;"|"&amp;'管线现金流'!I5968&amp;"|"&amp;'管线现金流'!AK5968&amp;"|"&amp;'管线现金流'!I5969&amp;"|"&amp;'管线现金流'!AK5969&amp;"|"&amp;'管线现金流'!I5970&amp;"|"&amp;'管线现金流'!AK5970&amp;"|"&amp;'管线现金流'!I5971&amp;"|"&amp;'管线现金流'!AK5971&amp;"|"&amp;'管线现金流'!I5972&amp;"|"&amp;'管线现金流'!AK5972&amp;"|"&amp;'管线现金流'!I5973&amp;"|"&amp;'管线现金流'!AK5973&amp;"|"&amp;'管线现金流'!I5974&amp;"|"&amp;'管线现金流'!AK5974&amp;"|"&amp;'管线现金流'!I5975&amp;"|"&amp;'管线现金流'!AK5975&amp;"|"&amp;'管线现金流'!I5976&amp;"|"&amp;'管线现金流'!AK5976&amp;"|"&amp;'管线现金流'!I5977&amp;"|"&amp;'管线现金流'!AK5977&amp;"|"&amp;'管线现金流'!I5978&amp;"|"&amp;'管线现金流'!AK5978&amp;"|"&amp;'管线现金流'!I5979&amp;"|"&amp;'管线现金流'!AK5979&amp;"|"&amp;'管线现金流'!I5980&amp;"|"&amp;'管线现金流'!AK5980&amp;"|"&amp;'管线现金流'!I5981&amp;"|"&amp;'管线现金流'!AK5981&amp;"|"&amp;'管线现金流'!I5982&amp;"|"&amp;'管线现金流'!AK5982&amp;"|"&amp;'管线现金流'!V94&amp;"|"&amp;'管线现金流'!Y94&amp;"|"&amp;'管线现金流'!AP94&amp;"|"&amp;'管线现金流'!AS94&amp;"|"&amp;'管线现金流'!V95&amp;"|"&amp;'管线现金流'!Y95&amp;"|"&amp;'管线现金流'!AP95&amp;"|"&amp;'管线现金流'!AS95&amp;"|"&amp;'管线现金流'!V96&amp;"|"&amp;'管线现金流'!Y96&amp;"|"&amp;'管线现金流'!AP96&amp;"|"&amp;'管线现金流'!AS96&amp;"|"&amp;'管线现金流'!V97&amp;"|"&amp;'管线现金流'!Y97&amp;"|"&amp;'管线现金流'!AP97&amp;"|"&amp;'管线现金流'!AS97</x:f>
        <x:v>1|-1.6|1.8|0.9426|0.23|1|0.14|6.8|1|0.08000000000000002|1|0.14|6.8|0.6884|0.3|1|0.14|6.8|0.631|0.3|1|0.14|6.8|0.5736|0.3|1|0.14|6.8|0.42600000000000005|0.3|1|0.14|6.8|0.31120000000000003|0.3|1|0.14|6.8|0.344|0.23|1|0.14|6.8|0.36040000000000005|0.3|1|0.14|6.8|0.262|0.3|1|0.14|6.8|0.385|0.3|1|0.14|6.8|0.2784000000000001|0.064|1|0.14|6.8|0.2784000000000001|0.3|1|0.14|6.8|0.5244|0.068|1|0.14|6.8|0.46699999999999997|0.3|1|0.14|6.8|0.30300000000000005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</x:row>
    <x:row r="483" ht="23" customHeight="1">
      <x:c r="A483" s="11" t="str">
        <x:v>688062.SH</x:v>
      </x:c>
      <x:c r="B483" s="11" t="str">
        <x:v>迈威生物</x:v>
      </x:c>
      <x:c r="C483" s="11" t="str">
        <x:v>三年</x:v>
      </x:c>
      <x:c r="D483" s="11" t="str">
        <x:v>乐观</x:v>
      </x:c>
      <x:c r="E483" s="11" t="n">
        <x:v>24.78</x:v>
      </x:c>
      <x:c r="F483" s="11" t="n">
        <x:v>92.05396279887482</x:v>
      </x:c>
      <x:c r="G483" s="11" t="n">
        <x:v>0</x:v>
      </x:c>
      <x:c r="H483" s="25" t="n">
        <x:v>2.714849184781066</x:v>
      </x:c>
      <x:c r="I483" s="25" t="n">
        <x:v>2.714849184781066</x:v>
      </x:c>
      <x:c r="J483" s="25" t="n">
        <x:v>0.5487467059008411</x:v>
      </x:c>
      <x:c r="K483" s="11" t="n">
        <x:v>0</x:v>
      </x:c>
      <x:c r="L483" s="11" t="n">
        <x:v>0</x:v>
      </x:c>
      <x:c r="M483" s="11" t="n">
        <x:v>1</x:v>
      </x:c>
      <x:c r="N483" s="11" t="n">
        <x:v>0</x:v>
      </x:c>
      <x:c r="O483" s="11" t="n">
        <x:v>0</x:v>
      </x:c>
      <x:c r="P483" s="11" t="n">
        <x:v>0</x:v>
      </x:c>
      <x:c r="Q483" s="11" t="n">
        <x:v>0.5</x:v>
      </x:c>
      <x:c r="R483" s="11" t="str">
        <x:v>mabwell-rnpv-v1.1</x:v>
      </x:c>
      <x:c r="S483" s="11" t="str">
        <x:v>2026-10-10</x:v>
      </x:c>
      <x:c r="T483" s="11" t="str">
        <x:f>IF(AND(SUM(IF(K483='假设'!E642,0,1),IF(L483='假设'!F642,0,1),IF(M483='假设'!G642,0,1),IF(N483='假设'!H642,0,1),IF(O483='假设'!I642,0,1),IF(P483='假设'!J642,0,1),IF(Q483='假设'!K642,0,1))=0,U483=V483),"已刷新","待刷新")</x:f>
        <x:v>已刷新</x:v>
      </x:c>
      <x:c r="U483" t="str">
        <x:v>1|0.3|2|0.9863999999999999|0.3|1|0.11|6.8|1|0.10660000000000001|1|0.11|6.8|0.8775999999999999|0.38|1|0.11|6.8|0.8504|0.38|1|0.11|6.8|0.8164|0.38|1|0.11|6.8|0.694|0.38|1|0.11|6.8|0.5512|0.38|1|0.11|6.8|0.5784|0.3|1|0.11|6.8|0.6055999999999999|0.38|1|0.11|6.8|0.49|0.38|1|0.11|6.8|0.6259999999999999|0.38|1|0.11|6.8|0.5104|0.0902|1|0.11|6.8|0.524|0.38|1|0.11|6.8|0.762|0.08610000000000001|1|0.11|6.8|0.728|0.38|1|0.11|6.8|0.524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  <x:c r="V483" t="str">
        <x:f>'假设'!U642&amp;"|"&amp;'假设'!N642&amp;"|"&amp;'假设'!Q642&amp;"|"&amp;'管线假设'!E1222&amp;"|"&amp;'管线假设'!F1222&amp;"|"&amp;'管线假设'!G1222&amp;"|"&amp;'管线假设'!H1222&amp;"|"&amp;'管线假设'!I1222&amp;"|"&amp;'管线假设'!E1226&amp;"|"&amp;'管线假设'!F1226&amp;"|"&amp;'管线假设'!G1226&amp;"|"&amp;'管线假设'!H1226&amp;"|"&amp;'管线假设'!I1226&amp;"|"&amp;'管线假设'!E1230&amp;"|"&amp;'管线假设'!F1230&amp;"|"&amp;'管线假设'!G1230&amp;"|"&amp;'管线假设'!H1230&amp;"|"&amp;'管线假设'!I1230&amp;"|"&amp;'管线假设'!E1234&amp;"|"&amp;'管线假设'!F1234&amp;"|"&amp;'管线假设'!G1234&amp;"|"&amp;'管线假设'!H1234&amp;"|"&amp;'管线假设'!I1234&amp;"|"&amp;'管线假设'!E1238&amp;"|"&amp;'管线假设'!F1238&amp;"|"&amp;'管线假设'!G1238&amp;"|"&amp;'管线假设'!H1238&amp;"|"&amp;'管线假设'!I1238&amp;"|"&amp;'管线假设'!E1242&amp;"|"&amp;'管线假设'!F1242&amp;"|"&amp;'管线假设'!G1242&amp;"|"&amp;'管线假设'!H1242&amp;"|"&amp;'管线假设'!I1242&amp;"|"&amp;'管线假设'!E1246&amp;"|"&amp;'管线假设'!F1246&amp;"|"&amp;'管线假设'!G1246&amp;"|"&amp;'管线假设'!H1246&amp;"|"&amp;'管线假设'!I1246&amp;"|"&amp;'管线假设'!E1250&amp;"|"&amp;'管线假设'!F1250&amp;"|"&amp;'管线假设'!G1250&amp;"|"&amp;'管线假设'!H1250&amp;"|"&amp;'管线假设'!I1250&amp;"|"&amp;'管线假设'!E1254&amp;"|"&amp;'管线假设'!F1254&amp;"|"&amp;'管线假设'!G1254&amp;"|"&amp;'管线假设'!H1254&amp;"|"&amp;'管线假设'!I1254&amp;"|"&amp;'管线假设'!E1258&amp;"|"&amp;'管线假设'!F1258&amp;"|"&amp;'管线假设'!G1258&amp;"|"&amp;'管线假设'!H1258&amp;"|"&amp;'管线假设'!I1258&amp;"|"&amp;'管线假设'!E1262&amp;"|"&amp;'管线假设'!F1262&amp;"|"&amp;'管线假设'!G1262&amp;"|"&amp;'管线假设'!H1262&amp;"|"&amp;'管线假设'!I1262&amp;"|"&amp;'管线假设'!E1266&amp;"|"&amp;'管线假设'!F1266&amp;"|"&amp;'管线假设'!G1266&amp;"|"&amp;'管线假设'!H1266&amp;"|"&amp;'管线假设'!I1266&amp;"|"&amp;'管线假设'!E1270&amp;"|"&amp;'管线假设'!F1270&amp;"|"&amp;'管线假设'!G1270&amp;"|"&amp;'管线假设'!H1270&amp;"|"&amp;'管线假设'!I1270&amp;"|"&amp;'管线假设'!E1274&amp;"|"&amp;'管线假设'!F1274&amp;"|"&amp;'管线假设'!G1274&amp;"|"&amp;'管线假设'!H1274&amp;"|"&amp;'管线假设'!I1274&amp;"|"&amp;'管线假设'!E1278&amp;"|"&amp;'管线假设'!F1278&amp;"|"&amp;'管线假设'!G1278&amp;"|"&amp;'管线假设'!H1278&amp;"|"&amp;'管线假设'!I1278&amp;"|"&amp;'管线假设'!E1282&amp;"|"&amp;'管线假设'!F1282&amp;"|"&amp;'管线假设'!G1282&amp;"|"&amp;'管线假设'!H1282&amp;"|"&amp;'管线假设'!I1282&amp;"|"&amp;'管线现金流'!J5679&amp;"|"&amp;'管线现金流'!AL5679&amp;"|"&amp;'管线现金流'!J5680&amp;"|"&amp;'管线现金流'!AL5680&amp;"|"&amp;'管线现金流'!J5681&amp;"|"&amp;'管线现金流'!AL5681&amp;"|"&amp;'管线现金流'!J5682&amp;"|"&amp;'管线现金流'!AL5682&amp;"|"&amp;'管线现金流'!J5683&amp;"|"&amp;'管线现金流'!AL5683&amp;"|"&amp;'管线现金流'!J5684&amp;"|"&amp;'管线现金流'!AL5684&amp;"|"&amp;'管线现金流'!J5685&amp;"|"&amp;'管线现金流'!AL5685&amp;"|"&amp;'管线现金流'!J5686&amp;"|"&amp;'管线现金流'!AL5686&amp;"|"&amp;'管线现金流'!J5687&amp;"|"&amp;'管线现金流'!AL5687&amp;"|"&amp;'管线现金流'!J5688&amp;"|"&amp;'管线现金流'!AL5688&amp;"|"&amp;'管线现金流'!J5689&amp;"|"&amp;'管线现金流'!AL5689&amp;"|"&amp;'管线现金流'!J5690&amp;"|"&amp;'管线现金流'!AL5690&amp;"|"&amp;'管线现金流'!J5691&amp;"|"&amp;'管线现金流'!AL5691&amp;"|"&amp;'管线现金流'!J5692&amp;"|"&amp;'管线现金流'!AL5692&amp;"|"&amp;'管线现金流'!J5693&amp;"|"&amp;'管线现金流'!AL5693&amp;"|"&amp;'管线现金流'!J5694&amp;"|"&amp;'管线现金流'!AL5694&amp;"|"&amp;'管线现金流'!J5695&amp;"|"&amp;'管线现金流'!AL5695&amp;"|"&amp;'管线现金流'!J5696&amp;"|"&amp;'管线现金流'!AL5696&amp;"|"&amp;'管线现金流'!J5697&amp;"|"&amp;'管线现金流'!AL5697&amp;"|"&amp;'管线现金流'!J5698&amp;"|"&amp;'管线现金流'!AL5698&amp;"|"&amp;'管线现金流'!J5699&amp;"|"&amp;'管线现金流'!AL5699&amp;"|"&amp;'管线现金流'!J5700&amp;"|"&amp;'管线现金流'!AL5700&amp;"|"&amp;'管线现金流'!J5701&amp;"|"&amp;'管线现金流'!AL5701&amp;"|"&amp;'管线现金流'!J5702&amp;"|"&amp;'管线现金流'!AL5702&amp;"|"&amp;'管线现金流'!J5703&amp;"|"&amp;'管线现金流'!AL5703&amp;"|"&amp;'管线现金流'!J5704&amp;"|"&amp;'管线现金流'!AL5704&amp;"|"&amp;'管线现金流'!J5705&amp;"|"&amp;'管线现金流'!AL5705&amp;"|"&amp;'管线现金流'!J5706&amp;"|"&amp;'管线现金流'!AL5706&amp;"|"&amp;'管线现金流'!J5707&amp;"|"&amp;'管线现金流'!AL5707&amp;"|"&amp;'管线现金流'!J5708&amp;"|"&amp;'管线现金流'!AL5708&amp;"|"&amp;'管线现金流'!J5709&amp;"|"&amp;'管线现金流'!AL5709&amp;"|"&amp;'管线现金流'!J5710&amp;"|"&amp;'管线现金流'!AL5710&amp;"|"&amp;'管线现金流'!J5711&amp;"|"&amp;'管线现金流'!AL5711&amp;"|"&amp;'管线现金流'!J5712&amp;"|"&amp;'管线现金流'!AL5712&amp;"|"&amp;'管线现金流'!J5713&amp;"|"&amp;'管线现金流'!AL5713&amp;"|"&amp;'管线现金流'!J5714&amp;"|"&amp;'管线现金流'!AL5714&amp;"|"&amp;'管线现金流'!J5715&amp;"|"&amp;'管线现金流'!AL5715&amp;"|"&amp;'管线现金流'!J5716&amp;"|"&amp;'管线现金流'!AL5716&amp;"|"&amp;'管线现金流'!J5717&amp;"|"&amp;'管线现金流'!AL5717&amp;"|"&amp;'管线现金流'!J5718&amp;"|"&amp;'管线现金流'!AL5718&amp;"|"&amp;'管线现金流'!J5719&amp;"|"&amp;'管线现金流'!AL5719&amp;"|"&amp;'管线现金流'!J5720&amp;"|"&amp;'管线现金流'!AL5720&amp;"|"&amp;'管线现金流'!J5721&amp;"|"&amp;'管线现金流'!AL5721&amp;"|"&amp;'管线现金流'!J5722&amp;"|"&amp;'管线现金流'!AL5722&amp;"|"&amp;'管线现金流'!J5723&amp;"|"&amp;'管线现金流'!AL5723&amp;"|"&amp;'管线现金流'!J5724&amp;"|"&amp;'管线现金流'!AL5724&amp;"|"&amp;'管线现金流'!J5725&amp;"|"&amp;'管线现金流'!AL5725&amp;"|"&amp;'管线现金流'!J5726&amp;"|"&amp;'管线现金流'!AL5726&amp;"|"&amp;'管线现金流'!J5727&amp;"|"&amp;'管线现金流'!AL5727&amp;"|"&amp;'管线现金流'!J5728&amp;"|"&amp;'管线现金流'!AL5728&amp;"|"&amp;'管线现金流'!J5729&amp;"|"&amp;'管线现金流'!AL5729&amp;"|"&amp;'管线现金流'!J5730&amp;"|"&amp;'管线现金流'!AL5730&amp;"|"&amp;'管线现金流'!J5731&amp;"|"&amp;'管线现金流'!AL5731&amp;"|"&amp;'管线现金流'!J5732&amp;"|"&amp;'管线现金流'!AL5732&amp;"|"&amp;'管线现金流'!J5733&amp;"|"&amp;'管线现金流'!AL5733&amp;"|"&amp;'管线现金流'!J5734&amp;"|"&amp;'管线现金流'!AL5734&amp;"|"&amp;'管线现金流'!J5735&amp;"|"&amp;'管线现金流'!AL5735&amp;"|"&amp;'管线现金流'!J5736&amp;"|"&amp;'管线现金流'!AL5736&amp;"|"&amp;'管线现金流'!J5737&amp;"|"&amp;'管线现金流'!AL5737&amp;"|"&amp;'管线现金流'!J5738&amp;"|"&amp;'管线现金流'!AL5738&amp;"|"&amp;'管线现金流'!J5739&amp;"|"&amp;'管线现金流'!AL5739&amp;"|"&amp;'管线现金流'!J5740&amp;"|"&amp;'管线现金流'!AL5740&amp;"|"&amp;'管线现金流'!J5741&amp;"|"&amp;'管线现金流'!AL5741&amp;"|"&amp;'管线现金流'!J5742&amp;"|"&amp;'管线现金流'!AL5742&amp;"|"&amp;'管线现金流'!J5743&amp;"|"&amp;'管线现金流'!AL5743&amp;"|"&amp;'管线现金流'!J5744&amp;"|"&amp;'管线现金流'!AL5744&amp;"|"&amp;'管线现金流'!J5745&amp;"|"&amp;'管线现金流'!AL5745&amp;"|"&amp;'管线现金流'!J5746&amp;"|"&amp;'管线现金流'!AL5746&amp;"|"&amp;'管线现金流'!J5747&amp;"|"&amp;'管线现金流'!AL5747&amp;"|"&amp;'管线现金流'!J5748&amp;"|"&amp;'管线现金流'!AL5748&amp;"|"&amp;'管线现金流'!J5749&amp;"|"&amp;'管线现金流'!AL5749&amp;"|"&amp;'管线现金流'!J5750&amp;"|"&amp;'管线现金流'!AL5750&amp;"|"&amp;'管线现金流'!J5751&amp;"|"&amp;'管线现金流'!AL5751&amp;"|"&amp;'管线现金流'!J5752&amp;"|"&amp;'管线现金流'!AL5752&amp;"|"&amp;'管线现金流'!J5753&amp;"|"&amp;'管线现金流'!AL5753&amp;"|"&amp;'管线现金流'!J5754&amp;"|"&amp;'管线现金流'!AL5754&amp;"|"&amp;'管线现金流'!J5755&amp;"|"&amp;'管线现金流'!AL5755&amp;"|"&amp;'管线现金流'!J5756&amp;"|"&amp;'管线现金流'!AL5756&amp;"|"&amp;'管线现金流'!J5757&amp;"|"&amp;'管线现金流'!AL5757&amp;"|"&amp;'管线现金流'!J5758&amp;"|"&amp;'管线现金流'!AL5758&amp;"|"&amp;'管线现金流'!J5759&amp;"|"&amp;'管线现金流'!AL5759&amp;"|"&amp;'管线现金流'!J5760&amp;"|"&amp;'管线现金流'!AL5760&amp;"|"&amp;'管线现金流'!J5761&amp;"|"&amp;'管线现金流'!AL5761&amp;"|"&amp;'管线现金流'!J5762&amp;"|"&amp;'管线现金流'!AL5762&amp;"|"&amp;'管线现金流'!J5763&amp;"|"&amp;'管线现金流'!AL5763&amp;"|"&amp;'管线现金流'!J5764&amp;"|"&amp;'管线现金流'!AL5764&amp;"|"&amp;'管线现金流'!J5765&amp;"|"&amp;'管线现金流'!AL5765&amp;"|"&amp;'管线现金流'!J5766&amp;"|"&amp;'管线现金流'!AL5766&amp;"|"&amp;'管线现金流'!J5767&amp;"|"&amp;'管线现金流'!AL5767&amp;"|"&amp;'管线现金流'!J5768&amp;"|"&amp;'管线现金流'!AL5768&amp;"|"&amp;'管线现金流'!J5769&amp;"|"&amp;'管线现金流'!AL5769&amp;"|"&amp;'管线现金流'!J5770&amp;"|"&amp;'管线现金流'!AL5770&amp;"|"&amp;'管线现金流'!J5771&amp;"|"&amp;'管线现金流'!AL5771&amp;"|"&amp;'管线现金流'!J5772&amp;"|"&amp;'管线现金流'!AL5772&amp;"|"&amp;'管线现金流'!J5773&amp;"|"&amp;'管线现金流'!AL5773&amp;"|"&amp;'管线现金流'!J5774&amp;"|"&amp;'管线现金流'!AL5774&amp;"|"&amp;'管线现金流'!J5775&amp;"|"&amp;'管线现金流'!AL5775&amp;"|"&amp;'管线现金流'!J5776&amp;"|"&amp;'管线现金流'!AL5776&amp;"|"&amp;'管线现金流'!J5777&amp;"|"&amp;'管线现金流'!AL5777&amp;"|"&amp;'管线现金流'!J5778&amp;"|"&amp;'管线现金流'!AL5778&amp;"|"&amp;'管线现金流'!J5779&amp;"|"&amp;'管线现金流'!AL5779&amp;"|"&amp;'管线现金流'!J5780&amp;"|"&amp;'管线现金流'!AL5780&amp;"|"&amp;'管线现金流'!J5781&amp;"|"&amp;'管线现金流'!AL5781&amp;"|"&amp;'管线现金流'!J5782&amp;"|"&amp;'管线现金流'!AL5782&amp;"|"&amp;'管线现金流'!J5783&amp;"|"&amp;'管线现金流'!AL5783&amp;"|"&amp;'管线现金流'!J5784&amp;"|"&amp;'管线现金流'!AL5784&amp;"|"&amp;'管线现金流'!J5785&amp;"|"&amp;'管线现金流'!AL5785&amp;"|"&amp;'管线现金流'!J5786&amp;"|"&amp;'管线现金流'!AL5786&amp;"|"&amp;'管线现金流'!J5787&amp;"|"&amp;'管线现金流'!AL5787&amp;"|"&amp;'管线现金流'!J5788&amp;"|"&amp;'管线现金流'!AL5788&amp;"|"&amp;'管线现金流'!J5789&amp;"|"&amp;'管线现金流'!AL5789&amp;"|"&amp;'管线现金流'!J5790&amp;"|"&amp;'管线现金流'!AL5790&amp;"|"&amp;'管线现金流'!J5791&amp;"|"&amp;'管线现金流'!AL5791&amp;"|"&amp;'管线现金流'!J5792&amp;"|"&amp;'管线现金流'!AL5792&amp;"|"&amp;'管线现金流'!J5793&amp;"|"&amp;'管线现金流'!AL5793&amp;"|"&amp;'管线现金流'!J5794&amp;"|"&amp;'管线现金流'!AL5794&amp;"|"&amp;'管线现金流'!J5795&amp;"|"&amp;'管线现金流'!AL5795&amp;"|"&amp;'管线现金流'!J5796&amp;"|"&amp;'管线现金流'!AL5796&amp;"|"&amp;'管线现金流'!J5797&amp;"|"&amp;'管线现金流'!AL5797&amp;"|"&amp;'管线现金流'!J5798&amp;"|"&amp;'管线现金流'!AL5798&amp;"|"&amp;'管线现金流'!J5799&amp;"|"&amp;'管线现金流'!AL5799&amp;"|"&amp;'管线现金流'!J5800&amp;"|"&amp;'管线现金流'!AL5800&amp;"|"&amp;'管线现金流'!J5801&amp;"|"&amp;'管线现金流'!AL5801&amp;"|"&amp;'管线现金流'!J5802&amp;"|"&amp;'管线现金流'!AL5802&amp;"|"&amp;'管线现金流'!J5803&amp;"|"&amp;'管线现金流'!AL5803&amp;"|"&amp;'管线现金流'!J5804&amp;"|"&amp;'管线现金流'!AL5804&amp;"|"&amp;'管线现金流'!J5805&amp;"|"&amp;'管线现金流'!AL5805&amp;"|"&amp;'管线现金流'!J5806&amp;"|"&amp;'管线现金流'!AL5806&amp;"|"&amp;'管线现金流'!J5807&amp;"|"&amp;'管线现金流'!AL5807&amp;"|"&amp;'管线现金流'!J5808&amp;"|"&amp;'管线现金流'!AL5808&amp;"|"&amp;'管线现金流'!J5809&amp;"|"&amp;'管线现金流'!AL5809&amp;"|"&amp;'管线现金流'!J5810&amp;"|"&amp;'管线现金流'!AL5810&amp;"|"&amp;'管线现金流'!J5811&amp;"|"&amp;'管线现金流'!AL5811&amp;"|"&amp;'管线现金流'!J5812&amp;"|"&amp;'管线现金流'!AL5812&amp;"|"&amp;'管线现金流'!J5813&amp;"|"&amp;'管线现金流'!AL5813&amp;"|"&amp;'管线现金流'!J5814&amp;"|"&amp;'管线现金流'!AL5814&amp;"|"&amp;'管线现金流'!J5815&amp;"|"&amp;'管线现金流'!AL5815&amp;"|"&amp;'管线现金流'!J5816&amp;"|"&amp;'管线现金流'!AL5816&amp;"|"&amp;'管线现金流'!J5817&amp;"|"&amp;'管线现金流'!AL5817&amp;"|"&amp;'管线现金流'!J5818&amp;"|"&amp;'管线现金流'!AL5818&amp;"|"&amp;'管线现金流'!J5819&amp;"|"&amp;'管线现金流'!AL5819&amp;"|"&amp;'管线现金流'!J5820&amp;"|"&amp;'管线现金流'!AL5820&amp;"|"&amp;'管线现金流'!J5821&amp;"|"&amp;'管线现金流'!AL5821&amp;"|"&amp;'管线现金流'!J5822&amp;"|"&amp;'管线现金流'!AL5822&amp;"|"&amp;'管线现金流'!J5823&amp;"|"&amp;'管线现金流'!AL5823&amp;"|"&amp;'管线现金流'!J5824&amp;"|"&amp;'管线现金流'!AL5824&amp;"|"&amp;'管线现金流'!J5825&amp;"|"&amp;'管线现金流'!AL5825&amp;"|"&amp;'管线现金流'!J5826&amp;"|"&amp;'管线现金流'!AL5826&amp;"|"&amp;'管线现金流'!J5827&amp;"|"&amp;'管线现金流'!AL5827&amp;"|"&amp;'管线现金流'!J5828&amp;"|"&amp;'管线现金流'!AL5828&amp;"|"&amp;'管线现金流'!J5829&amp;"|"&amp;'管线现金流'!AL5829&amp;"|"&amp;'管线现金流'!J5830&amp;"|"&amp;'管线现金流'!AL5830&amp;"|"&amp;'管线现金流'!J5831&amp;"|"&amp;'管线现金流'!AL5831&amp;"|"&amp;'管线现金流'!J5832&amp;"|"&amp;'管线现金流'!AL5832&amp;"|"&amp;'管线现金流'!J5833&amp;"|"&amp;'管线现金流'!AL5833&amp;"|"&amp;'管线现金流'!J5834&amp;"|"&amp;'管线现金流'!AL5834&amp;"|"&amp;'管线现金流'!J5835&amp;"|"&amp;'管线现金流'!AL5835&amp;"|"&amp;'管线现金流'!J5836&amp;"|"&amp;'管线现金流'!AL5836&amp;"|"&amp;'管线现金流'!J5837&amp;"|"&amp;'管线现金流'!AL5837&amp;"|"&amp;'管线现金流'!J5838&amp;"|"&amp;'管线现金流'!AL5838&amp;"|"&amp;'管线现金流'!J5839&amp;"|"&amp;'管线现金流'!AL5839&amp;"|"&amp;'管线现金流'!J5840&amp;"|"&amp;'管线现金流'!AL5840&amp;"|"&amp;'管线现金流'!J5841&amp;"|"&amp;'管线现金流'!AL5841&amp;"|"&amp;'管线现金流'!J5842&amp;"|"&amp;'管线现金流'!AL5842&amp;"|"&amp;'管线现金流'!J5843&amp;"|"&amp;'管线现金流'!AL5843&amp;"|"&amp;'管线现金流'!J5844&amp;"|"&amp;'管线现金流'!AL5844&amp;"|"&amp;'管线现金流'!J5845&amp;"|"&amp;'管线现金流'!AL5845&amp;"|"&amp;'管线现金流'!J5846&amp;"|"&amp;'管线现金流'!AL5846&amp;"|"&amp;'管线现金流'!J5847&amp;"|"&amp;'管线现金流'!AL5847&amp;"|"&amp;'管线现金流'!J5848&amp;"|"&amp;'管线现金流'!AL5848&amp;"|"&amp;'管线现金流'!J5849&amp;"|"&amp;'管线现金流'!AL5849&amp;"|"&amp;'管线现金流'!J5850&amp;"|"&amp;'管线现金流'!AL5850&amp;"|"&amp;'管线现金流'!J5851&amp;"|"&amp;'管线现金流'!AL5851&amp;"|"&amp;'管线现金流'!J5852&amp;"|"&amp;'管线现金流'!AL5852&amp;"|"&amp;'管线现金流'!J5853&amp;"|"&amp;'管线现金流'!AL5853&amp;"|"&amp;'管线现金流'!J5854&amp;"|"&amp;'管线现金流'!AL5854&amp;"|"&amp;'管线现金流'!J5855&amp;"|"&amp;'管线现金流'!AL5855&amp;"|"&amp;'管线现金流'!J5856&amp;"|"&amp;'管线现金流'!AL5856&amp;"|"&amp;'管线现金流'!J5857&amp;"|"&amp;'管线现金流'!AL5857&amp;"|"&amp;'管线现金流'!J5858&amp;"|"&amp;'管线现金流'!AL5858&amp;"|"&amp;'管线现金流'!J5859&amp;"|"&amp;'管线现金流'!AL5859&amp;"|"&amp;'管线现金流'!J5860&amp;"|"&amp;'管线现金流'!AL5860&amp;"|"&amp;'管线现金流'!J5861&amp;"|"&amp;'管线现金流'!AL5861&amp;"|"&amp;'管线现金流'!J5862&amp;"|"&amp;'管线现金流'!AL5862&amp;"|"&amp;'管线现金流'!J5863&amp;"|"&amp;'管线现金流'!AL5863&amp;"|"&amp;'管线现金流'!J5864&amp;"|"&amp;'管线现金流'!AL5864&amp;"|"&amp;'管线现金流'!J5865&amp;"|"&amp;'管线现金流'!AL5865&amp;"|"&amp;'管线现金流'!J5866&amp;"|"&amp;'管线现金流'!AL5866&amp;"|"&amp;'管线现金流'!J5867&amp;"|"&amp;'管线现金流'!AL5867&amp;"|"&amp;'管线现金流'!J5868&amp;"|"&amp;'管线现金流'!AL5868&amp;"|"&amp;'管线现金流'!J5869&amp;"|"&amp;'管线现金流'!AL5869&amp;"|"&amp;'管线现金流'!J5870&amp;"|"&amp;'管线现金流'!AL5870&amp;"|"&amp;'管线现金流'!J5871&amp;"|"&amp;'管线现金流'!AL5871&amp;"|"&amp;'管线现金流'!J5872&amp;"|"&amp;'管线现金流'!AL5872&amp;"|"&amp;'管线现金流'!J5873&amp;"|"&amp;'管线现金流'!AL5873&amp;"|"&amp;'管线现金流'!J5874&amp;"|"&amp;'管线现金流'!AL5874&amp;"|"&amp;'管线现金流'!J5875&amp;"|"&amp;'管线现金流'!AL5875&amp;"|"&amp;'管线现金流'!J5876&amp;"|"&amp;'管线现金流'!AL5876&amp;"|"&amp;'管线现金流'!J5877&amp;"|"&amp;'管线现金流'!AL5877&amp;"|"&amp;'管线现金流'!J5878&amp;"|"&amp;'管线现金流'!AL5878&amp;"|"&amp;'管线现金流'!J5879&amp;"|"&amp;'管线现金流'!AL5879&amp;"|"&amp;'管线现金流'!J5880&amp;"|"&amp;'管线现金流'!AL5880&amp;"|"&amp;'管线现金流'!J5881&amp;"|"&amp;'管线现金流'!AL5881&amp;"|"&amp;'管线现金流'!J5882&amp;"|"&amp;'管线现金流'!AL5882&amp;"|"&amp;'管线现金流'!J5883&amp;"|"&amp;'管线现金流'!AL5883&amp;"|"&amp;'管线现金流'!J5884&amp;"|"&amp;'管线现金流'!AL5884&amp;"|"&amp;'管线现金流'!J5885&amp;"|"&amp;'管线现金流'!AL5885&amp;"|"&amp;'管线现金流'!J5886&amp;"|"&amp;'管线现金流'!AL5886&amp;"|"&amp;'管线现金流'!J5887&amp;"|"&amp;'管线现金流'!AL5887&amp;"|"&amp;'管线现金流'!J5888&amp;"|"&amp;'管线现金流'!AL5888&amp;"|"&amp;'管线现金流'!J5889&amp;"|"&amp;'管线现金流'!AL5889&amp;"|"&amp;'管线现金流'!J5890&amp;"|"&amp;'管线现金流'!AL5890&amp;"|"&amp;'管线现金流'!J5891&amp;"|"&amp;'管线现金流'!AL5891&amp;"|"&amp;'管线现金流'!J5892&amp;"|"&amp;'管线现金流'!AL5892&amp;"|"&amp;'管线现金流'!J5893&amp;"|"&amp;'管线现金流'!AL5893&amp;"|"&amp;'管线现金流'!J5894&amp;"|"&amp;'管线现金流'!AL5894&amp;"|"&amp;'管线现金流'!J5895&amp;"|"&amp;'管线现金流'!AL5895&amp;"|"&amp;'管线现金流'!J5896&amp;"|"&amp;'管线现金流'!AL5896&amp;"|"&amp;'管线现金流'!J5897&amp;"|"&amp;'管线现金流'!AL5897&amp;"|"&amp;'管线现金流'!J5898&amp;"|"&amp;'管线现金流'!AL5898&amp;"|"&amp;'管线现金流'!J5899&amp;"|"&amp;'管线现金流'!AL5899&amp;"|"&amp;'管线现金流'!J5900&amp;"|"&amp;'管线现金流'!AL5900&amp;"|"&amp;'管线现金流'!J5901&amp;"|"&amp;'管线现金流'!AL5901&amp;"|"&amp;'管线现金流'!J5902&amp;"|"&amp;'管线现金流'!AL5902&amp;"|"&amp;'管线现金流'!J5903&amp;"|"&amp;'管线现金流'!AL5903&amp;"|"&amp;'管线现金流'!J5904&amp;"|"&amp;'管线现金流'!AL5904&amp;"|"&amp;'管线现金流'!J5905&amp;"|"&amp;'管线现金流'!AL5905&amp;"|"&amp;'管线现金流'!J5906&amp;"|"&amp;'管线现金流'!AL5906&amp;"|"&amp;'管线现金流'!J5907&amp;"|"&amp;'管线现金流'!AL5907&amp;"|"&amp;'管线现金流'!J5908&amp;"|"&amp;'管线现金流'!AL5908&amp;"|"&amp;'管线现金流'!J5909&amp;"|"&amp;'管线现金流'!AL5909&amp;"|"&amp;'管线现金流'!J5910&amp;"|"&amp;'管线现金流'!AL5910&amp;"|"&amp;'管线现金流'!J5911&amp;"|"&amp;'管线现金流'!AL5911&amp;"|"&amp;'管线现金流'!J5912&amp;"|"&amp;'管线现金流'!AL5912&amp;"|"&amp;'管线现金流'!J5913&amp;"|"&amp;'管线现金流'!AL5913&amp;"|"&amp;'管线现金流'!J5914&amp;"|"&amp;'管线现金流'!AL5914&amp;"|"&amp;'管线现金流'!J5915&amp;"|"&amp;'管线现金流'!AL5915&amp;"|"&amp;'管线现金流'!J5916&amp;"|"&amp;'管线现金流'!AL5916&amp;"|"&amp;'管线现金流'!J5917&amp;"|"&amp;'管线现金流'!AL5917&amp;"|"&amp;'管线现金流'!J5918&amp;"|"&amp;'管线现金流'!AL5918&amp;"|"&amp;'管线现金流'!J5919&amp;"|"&amp;'管线现金流'!AL5919&amp;"|"&amp;'管线现金流'!J5920&amp;"|"&amp;'管线现金流'!AL5920&amp;"|"&amp;'管线现金流'!J5921&amp;"|"&amp;'管线现金流'!AL5921&amp;"|"&amp;'管线现金流'!J5922&amp;"|"&amp;'管线现金流'!AL5922&amp;"|"&amp;'管线现金流'!J5923&amp;"|"&amp;'管线现金流'!AL5923&amp;"|"&amp;'管线现金流'!J5924&amp;"|"&amp;'管线现金流'!AL5924&amp;"|"&amp;'管线现金流'!J5925&amp;"|"&amp;'管线现金流'!AL5925&amp;"|"&amp;'管线现金流'!J5926&amp;"|"&amp;'管线现金流'!AL5926&amp;"|"&amp;'管线现金流'!J5927&amp;"|"&amp;'管线现金流'!AL5927&amp;"|"&amp;'管线现金流'!J5928&amp;"|"&amp;'管线现金流'!AL5928&amp;"|"&amp;'管线现金流'!J5929&amp;"|"&amp;'管线现金流'!AL5929&amp;"|"&amp;'管线现金流'!J5930&amp;"|"&amp;'管线现金流'!AL5930&amp;"|"&amp;'管线现金流'!J5931&amp;"|"&amp;'管线现金流'!AL5931&amp;"|"&amp;'管线现金流'!J5932&amp;"|"&amp;'管线现金流'!AL5932&amp;"|"&amp;'管线现金流'!J5933&amp;"|"&amp;'管线现金流'!AL5933&amp;"|"&amp;'管线现金流'!J5934&amp;"|"&amp;'管线现金流'!AL5934&amp;"|"&amp;'管线现金流'!J5935&amp;"|"&amp;'管线现金流'!AL5935&amp;"|"&amp;'管线现金流'!J5936&amp;"|"&amp;'管线现金流'!AL5936&amp;"|"&amp;'管线现金流'!J5937&amp;"|"&amp;'管线现金流'!AL5937&amp;"|"&amp;'管线现金流'!J5938&amp;"|"&amp;'管线现金流'!AL5938&amp;"|"&amp;'管线现金流'!J5939&amp;"|"&amp;'管线现金流'!AL5939&amp;"|"&amp;'管线现金流'!J5940&amp;"|"&amp;'管线现金流'!AL5940&amp;"|"&amp;'管线现金流'!J5941&amp;"|"&amp;'管线现金流'!AL5941&amp;"|"&amp;'管线现金流'!J5942&amp;"|"&amp;'管线现金流'!AL5942&amp;"|"&amp;'管线现金流'!J5943&amp;"|"&amp;'管线现金流'!AL5943&amp;"|"&amp;'管线现金流'!J5944&amp;"|"&amp;'管线现金流'!AL5944&amp;"|"&amp;'管线现金流'!J5945&amp;"|"&amp;'管线现金流'!AL5945&amp;"|"&amp;'管线现金流'!J5946&amp;"|"&amp;'管线现金流'!AL5946&amp;"|"&amp;'管线现金流'!J5947&amp;"|"&amp;'管线现金流'!AL5947&amp;"|"&amp;'管线现金流'!J5948&amp;"|"&amp;'管线现金流'!AL5948&amp;"|"&amp;'管线现金流'!J5949&amp;"|"&amp;'管线现金流'!AL5949&amp;"|"&amp;'管线现金流'!J5950&amp;"|"&amp;'管线现金流'!AL5950&amp;"|"&amp;'管线现金流'!J5951&amp;"|"&amp;'管线现金流'!AL5951&amp;"|"&amp;'管线现金流'!J5952&amp;"|"&amp;'管线现金流'!AL5952&amp;"|"&amp;'管线现金流'!J5953&amp;"|"&amp;'管线现金流'!AL5953&amp;"|"&amp;'管线现金流'!J5954&amp;"|"&amp;'管线现金流'!AL5954&amp;"|"&amp;'管线现金流'!J5955&amp;"|"&amp;'管线现金流'!AL5955&amp;"|"&amp;'管线现金流'!J5956&amp;"|"&amp;'管线现金流'!AL5956&amp;"|"&amp;'管线现金流'!J5957&amp;"|"&amp;'管线现金流'!AL5957&amp;"|"&amp;'管线现金流'!J5958&amp;"|"&amp;'管线现金流'!AL5958&amp;"|"&amp;'管线现金流'!J5959&amp;"|"&amp;'管线现金流'!AL5959&amp;"|"&amp;'管线现金流'!J5960&amp;"|"&amp;'管线现金流'!AL5960&amp;"|"&amp;'管线现金流'!J5961&amp;"|"&amp;'管线现金流'!AL5961&amp;"|"&amp;'管线现金流'!J5962&amp;"|"&amp;'管线现金流'!AL5962&amp;"|"&amp;'管线现金流'!J5963&amp;"|"&amp;'管线现金流'!AL5963&amp;"|"&amp;'管线现金流'!J5964&amp;"|"&amp;'管线现金流'!AL5964&amp;"|"&amp;'管线现金流'!J5965&amp;"|"&amp;'管线现金流'!AL5965&amp;"|"&amp;'管线现金流'!J5966&amp;"|"&amp;'管线现金流'!AL5966&amp;"|"&amp;'管线现金流'!J5967&amp;"|"&amp;'管线现金流'!AL5967&amp;"|"&amp;'管线现金流'!J5968&amp;"|"&amp;'管线现金流'!AL5968&amp;"|"&amp;'管线现金流'!J5969&amp;"|"&amp;'管线现金流'!AL5969&amp;"|"&amp;'管线现金流'!J5970&amp;"|"&amp;'管线现金流'!AL5970&amp;"|"&amp;'管线现金流'!J5971&amp;"|"&amp;'管线现金流'!AL5971&amp;"|"&amp;'管线现金流'!J5972&amp;"|"&amp;'管线现金流'!AL5972&amp;"|"&amp;'管线现金流'!J5973&amp;"|"&amp;'管线现金流'!AL5973&amp;"|"&amp;'管线现金流'!J5974&amp;"|"&amp;'管线现金流'!AL5974&amp;"|"&amp;'管线现金流'!J5975&amp;"|"&amp;'管线现金流'!AL5975&amp;"|"&amp;'管线现金流'!J5976&amp;"|"&amp;'管线现金流'!AL5976&amp;"|"&amp;'管线现金流'!J5977&amp;"|"&amp;'管线现金流'!AL5977&amp;"|"&amp;'管线现金流'!J5978&amp;"|"&amp;'管线现金流'!AL5978&amp;"|"&amp;'管线现金流'!J5979&amp;"|"&amp;'管线现金流'!AL5979&amp;"|"&amp;'管线现金流'!J5980&amp;"|"&amp;'管线现金流'!AL5980&amp;"|"&amp;'管线现金流'!J5981&amp;"|"&amp;'管线现金流'!AL5981&amp;"|"&amp;'管线现金流'!J5982&amp;"|"&amp;'管线现金流'!AL5982&amp;"|"&amp;'管线现金流'!W94&amp;"|"&amp;'管线现金流'!Z94&amp;"|"&amp;'管线现金流'!AQ94&amp;"|"&amp;'管线现金流'!AT94&amp;"|"&amp;'管线现金流'!W95&amp;"|"&amp;'管线现金流'!Z95&amp;"|"&amp;'管线现金流'!AQ95&amp;"|"&amp;'管线现金流'!AT95&amp;"|"&amp;'管线现金流'!W96&amp;"|"&amp;'管线现金流'!Z96&amp;"|"&amp;'管线现金流'!AQ96&amp;"|"&amp;'管线现金流'!AT96&amp;"|"&amp;'管线现金流'!W97&amp;"|"&amp;'管线现金流'!Z97&amp;"|"&amp;'管线现金流'!AQ97&amp;"|"&amp;'管线现金流'!AT97</x:f>
        <x:v>1|0.3|2|0.9863999999999999|0.3|1|0.11|6.8|1|0.10660000000000001|1|0.11|6.8|0.8775999999999999|0.38|1|0.11|6.8|0.8504|0.38|1|0.11|6.8|0.8164|0.38|1|0.11|6.8|0.694|0.38|1|0.11|6.8|0.5512|0.38|1|0.11|6.8|0.5784|0.3|1|0.11|6.8|0.6055999999999999|0.38|1|0.11|6.8|0.49|0.38|1|0.11|6.8|0.6259999999999999|0.38|1|0.11|6.8|0.5104|0.0902|1|0.11|6.8|0.524|0.38|1|0.11|6.8|0.762|0.08610000000000001|1|0.11|6.8|0.728|0.38|1|0.11|6.8|0.524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</x:row>
    <x:row r="484" ht="23" customHeight="1">
      <x:c r="A484" s="11" t="str">
        <x:v>688062.SH</x:v>
      </x:c>
      <x:c r="B484" s="11" t="str">
        <x:v>迈威生物</x:v>
      </x:c>
      <x:c r="C484" s="11" t="str">
        <x:v>五年</x:v>
      </x:c>
      <x:c r="D484" s="11" t="str">
        <x:v>悲观</x:v>
      </x:c>
      <x:c r="E484" s="11" t="n">
        <x:v>24.78</x:v>
      </x:c>
      <x:c r="F484" s="11" t="n">
        <x:v>0</x:v>
      </x:c>
      <x:c r="G484" s="11" t="n">
        <x:v>0</x:v>
      </x:c>
      <x:c r="H484" s="25" t="n">
        <x:v>-1</x:v>
      </x:c>
      <x:c r="I484" s="25" t="n">
        <x:v>-1</x:v>
      </x:c>
      <x:c r="J484" s="25" t="n">
        <x:v>-1</x:v>
      </x:c>
      <x:c r="K484" s="11" t="n">
        <x:v>0</x:v>
      </x:c>
      <x:c r="L484" s="11" t="n">
        <x:v>0</x:v>
      </x:c>
      <x:c r="M484" s="11" t="n">
        <x:v>1</x:v>
      </x:c>
      <x:c r="N484" s="11" t="n">
        <x:v>0</x:v>
      </x:c>
      <x:c r="O484" s="11" t="n">
        <x:v>0</x:v>
      </x:c>
      <x:c r="P484" s="11" t="n">
        <x:v>0</x:v>
      </x:c>
      <x:c r="Q484" s="11" t="n">
        <x:v>0.72</x:v>
      </x:c>
      <x:c r="R484" s="11" t="str">
        <x:v>mabwell-rnpv-v1.1</x:v>
      </x:c>
      <x:c r="S484" s="11" t="str">
        <x:v>2026-10-10</x:v>
      </x:c>
      <x:c r="T484" s="11" t="str">
        <x:f>IF(AND(SUM(IF(K484='假设'!E644,0,1),IF(L484='假设'!F644,0,1),IF(M484='假设'!G644,0,1),IF(N484='假设'!H644,0,1),IF(O484='假设'!I644,0,1),IF(P484='假设'!J644,0,1),IF(Q484='假设'!K644,0,1))=0,U484=V484),"已刷新","待刷新")</x:f>
        <x:v>已刷新</x:v>
      </x:c>
      <x:c r="U484" t="str">
        <x:v>1|-3|2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  <x:c r="V484" t="str">
        <x:f>'假设'!U644&amp;"|"&amp;'假设'!N644&amp;"|"&amp;'假设'!Q644&amp;"|"&amp;'管线假设'!E1284&amp;"|"&amp;'管线假设'!F1284&amp;"|"&amp;'管线假设'!G1284&amp;"|"&amp;'管线假设'!H1284&amp;"|"&amp;'管线假设'!I1284&amp;"|"&amp;'管线假设'!E1288&amp;"|"&amp;'管线假设'!F1288&amp;"|"&amp;'管线假设'!G1288&amp;"|"&amp;'管线假设'!H1288&amp;"|"&amp;'管线假设'!I1288&amp;"|"&amp;'管线假设'!E1292&amp;"|"&amp;'管线假设'!F1292&amp;"|"&amp;'管线假设'!G1292&amp;"|"&amp;'管线假设'!H1292&amp;"|"&amp;'管线假设'!I1292&amp;"|"&amp;'管线假设'!E1296&amp;"|"&amp;'管线假设'!F1296&amp;"|"&amp;'管线假设'!G1296&amp;"|"&amp;'管线假设'!H1296&amp;"|"&amp;'管线假设'!I1296&amp;"|"&amp;'管线假设'!E1300&amp;"|"&amp;'管线假设'!F1300&amp;"|"&amp;'管线假设'!G1300&amp;"|"&amp;'管线假设'!H1300&amp;"|"&amp;'管线假设'!I1300&amp;"|"&amp;'管线假设'!E1304&amp;"|"&amp;'管线假设'!F1304&amp;"|"&amp;'管线假设'!G1304&amp;"|"&amp;'管线假设'!H1304&amp;"|"&amp;'管线假设'!I1304&amp;"|"&amp;'管线假设'!E1308&amp;"|"&amp;'管线假设'!F1308&amp;"|"&amp;'管线假设'!G1308&amp;"|"&amp;'管线假设'!H1308&amp;"|"&amp;'管线假设'!I1308&amp;"|"&amp;'管线假设'!E1312&amp;"|"&amp;'管线假设'!F1312&amp;"|"&amp;'管线假设'!G1312&amp;"|"&amp;'管线假设'!H1312&amp;"|"&amp;'管线假设'!I1312&amp;"|"&amp;'管线假设'!E1316&amp;"|"&amp;'管线假设'!F1316&amp;"|"&amp;'管线假设'!G1316&amp;"|"&amp;'管线假设'!H1316&amp;"|"&amp;'管线假设'!I1316&amp;"|"&amp;'管线假设'!E1320&amp;"|"&amp;'管线假设'!F1320&amp;"|"&amp;'管线假设'!G1320&amp;"|"&amp;'管线假设'!H1320&amp;"|"&amp;'管线假设'!I1320&amp;"|"&amp;'管线假设'!E1324&amp;"|"&amp;'管线假设'!F1324&amp;"|"&amp;'管线假设'!G1324&amp;"|"&amp;'管线假设'!H1324&amp;"|"&amp;'管线假设'!I1324&amp;"|"&amp;'管线假设'!E1328&amp;"|"&amp;'管线假设'!F1328&amp;"|"&amp;'管线假设'!G1328&amp;"|"&amp;'管线假设'!H1328&amp;"|"&amp;'管线假设'!I1328&amp;"|"&amp;'管线假设'!E1332&amp;"|"&amp;'管线假设'!F1332&amp;"|"&amp;'管线假设'!G1332&amp;"|"&amp;'管线假设'!H1332&amp;"|"&amp;'管线假设'!I1332&amp;"|"&amp;'管线假设'!E1336&amp;"|"&amp;'管线假设'!F1336&amp;"|"&amp;'管线假设'!G1336&amp;"|"&amp;'管线假设'!H1336&amp;"|"&amp;'管线假设'!I1336&amp;"|"&amp;'管线假设'!E1340&amp;"|"&amp;'管线假设'!F1340&amp;"|"&amp;'管线假设'!G1340&amp;"|"&amp;'管线假设'!H1340&amp;"|"&amp;'管线假设'!I1340&amp;"|"&amp;'管线假设'!E1344&amp;"|"&amp;'管线假设'!F1344&amp;"|"&amp;'管线假设'!G1344&amp;"|"&amp;'管线假设'!H1344&amp;"|"&amp;'管线假设'!I1344&amp;"|"&amp;'管线现金流'!H5983&amp;"|"&amp;'管线现金流'!AJ5983&amp;"|"&amp;'管线现金流'!H5984&amp;"|"&amp;'管线现金流'!AJ5984&amp;"|"&amp;'管线现金流'!H5985&amp;"|"&amp;'管线现金流'!AJ5985&amp;"|"&amp;'管线现金流'!H5986&amp;"|"&amp;'管线现金流'!AJ5986&amp;"|"&amp;'管线现金流'!H5987&amp;"|"&amp;'管线现金流'!AJ5987&amp;"|"&amp;'管线现金流'!H5988&amp;"|"&amp;'管线现金流'!AJ5988&amp;"|"&amp;'管线现金流'!H5989&amp;"|"&amp;'管线现金流'!AJ5989&amp;"|"&amp;'管线现金流'!H5990&amp;"|"&amp;'管线现金流'!AJ5990&amp;"|"&amp;'管线现金流'!H5991&amp;"|"&amp;'管线现金流'!AJ5991&amp;"|"&amp;'管线现金流'!H5992&amp;"|"&amp;'管线现金流'!AJ5992&amp;"|"&amp;'管线现金流'!H5993&amp;"|"&amp;'管线现金流'!AJ5993&amp;"|"&amp;'管线现金流'!H5994&amp;"|"&amp;'管线现金流'!AJ5994&amp;"|"&amp;'管线现金流'!H5995&amp;"|"&amp;'管线现金流'!AJ5995&amp;"|"&amp;'管线现金流'!H5996&amp;"|"&amp;'管线现金流'!AJ5996&amp;"|"&amp;'管线现金流'!H5997&amp;"|"&amp;'管线现金流'!AJ5997&amp;"|"&amp;'管线现金流'!H5998&amp;"|"&amp;'管线现金流'!AJ5998&amp;"|"&amp;'管线现金流'!H5999&amp;"|"&amp;'管线现金流'!AJ5999&amp;"|"&amp;'管线现金流'!H6000&amp;"|"&amp;'管线现金流'!AJ6000&amp;"|"&amp;'管线现金流'!H6001&amp;"|"&amp;'管线现金流'!AJ6001&amp;"|"&amp;'管线现金流'!H6002&amp;"|"&amp;'管线现金流'!AJ6002&amp;"|"&amp;'管线现金流'!H6003&amp;"|"&amp;'管线现金流'!AJ6003&amp;"|"&amp;'管线现金流'!H6004&amp;"|"&amp;'管线现金流'!AJ6004&amp;"|"&amp;'管线现金流'!H6005&amp;"|"&amp;'管线现金流'!AJ6005&amp;"|"&amp;'管线现金流'!H6006&amp;"|"&amp;'管线现金流'!AJ6006&amp;"|"&amp;'管线现金流'!H6007&amp;"|"&amp;'管线现金流'!AJ6007&amp;"|"&amp;'管线现金流'!H6008&amp;"|"&amp;'管线现金流'!AJ6008&amp;"|"&amp;'管线现金流'!H6009&amp;"|"&amp;'管线现金流'!AJ6009&amp;"|"&amp;'管线现金流'!H6010&amp;"|"&amp;'管线现金流'!AJ6010&amp;"|"&amp;'管线现金流'!H6011&amp;"|"&amp;'管线现金流'!AJ6011&amp;"|"&amp;'管线现金流'!H6012&amp;"|"&amp;'管线现金流'!AJ6012&amp;"|"&amp;'管线现金流'!H6013&amp;"|"&amp;'管线现金流'!AJ6013&amp;"|"&amp;'管线现金流'!H6014&amp;"|"&amp;'管线现金流'!AJ6014&amp;"|"&amp;'管线现金流'!H6015&amp;"|"&amp;'管线现金流'!AJ6015&amp;"|"&amp;'管线现金流'!H6016&amp;"|"&amp;'管线现金流'!AJ6016&amp;"|"&amp;'管线现金流'!H6017&amp;"|"&amp;'管线现金流'!AJ6017&amp;"|"&amp;'管线现金流'!H6018&amp;"|"&amp;'管线现金流'!AJ6018&amp;"|"&amp;'管线现金流'!H6019&amp;"|"&amp;'管线现金流'!AJ6019&amp;"|"&amp;'管线现金流'!H6020&amp;"|"&amp;'管线现金流'!AJ6020&amp;"|"&amp;'管线现金流'!H6021&amp;"|"&amp;'管线现金流'!AJ6021&amp;"|"&amp;'管线现金流'!H6022&amp;"|"&amp;'管线现金流'!AJ6022&amp;"|"&amp;'管线现金流'!H6023&amp;"|"&amp;'管线现金流'!AJ6023&amp;"|"&amp;'管线现金流'!H6024&amp;"|"&amp;'管线现金流'!AJ6024&amp;"|"&amp;'管线现金流'!H6025&amp;"|"&amp;'管线现金流'!AJ6025&amp;"|"&amp;'管线现金流'!H6026&amp;"|"&amp;'管线现金流'!AJ6026&amp;"|"&amp;'管线现金流'!H6027&amp;"|"&amp;'管线现金流'!AJ6027&amp;"|"&amp;'管线现金流'!H6028&amp;"|"&amp;'管线现金流'!AJ6028&amp;"|"&amp;'管线现金流'!H6029&amp;"|"&amp;'管线现金流'!AJ6029&amp;"|"&amp;'管线现金流'!H6030&amp;"|"&amp;'管线现金流'!AJ6030&amp;"|"&amp;'管线现金流'!H6031&amp;"|"&amp;'管线现金流'!AJ6031&amp;"|"&amp;'管线现金流'!H6032&amp;"|"&amp;'管线现金流'!AJ6032&amp;"|"&amp;'管线现金流'!H6033&amp;"|"&amp;'管线现金流'!AJ6033&amp;"|"&amp;'管线现金流'!H6034&amp;"|"&amp;'管线现金流'!AJ6034&amp;"|"&amp;'管线现金流'!H6035&amp;"|"&amp;'管线现金流'!AJ6035&amp;"|"&amp;'管线现金流'!H6036&amp;"|"&amp;'管线现金流'!AJ6036&amp;"|"&amp;'管线现金流'!H6037&amp;"|"&amp;'管线现金流'!AJ6037&amp;"|"&amp;'管线现金流'!H6038&amp;"|"&amp;'管线现金流'!AJ6038&amp;"|"&amp;'管线现金流'!H6039&amp;"|"&amp;'管线现金流'!AJ6039&amp;"|"&amp;'管线现金流'!H6040&amp;"|"&amp;'管线现金流'!AJ6040&amp;"|"&amp;'管线现金流'!H6041&amp;"|"&amp;'管线现金流'!AJ6041&amp;"|"&amp;'管线现金流'!H6042&amp;"|"&amp;'管线现金流'!AJ6042&amp;"|"&amp;'管线现金流'!H6043&amp;"|"&amp;'管线现金流'!AJ6043&amp;"|"&amp;'管线现金流'!H6044&amp;"|"&amp;'管线现金流'!AJ6044&amp;"|"&amp;'管线现金流'!H6045&amp;"|"&amp;'管线现金流'!AJ6045&amp;"|"&amp;'管线现金流'!H6046&amp;"|"&amp;'管线现金流'!AJ6046&amp;"|"&amp;'管线现金流'!H6047&amp;"|"&amp;'管线现金流'!AJ6047&amp;"|"&amp;'管线现金流'!H6048&amp;"|"&amp;'管线现金流'!AJ6048&amp;"|"&amp;'管线现金流'!H6049&amp;"|"&amp;'管线现金流'!AJ6049&amp;"|"&amp;'管线现金流'!H6050&amp;"|"&amp;'管线现金流'!AJ6050&amp;"|"&amp;'管线现金流'!H6051&amp;"|"&amp;'管线现金流'!AJ6051&amp;"|"&amp;'管线现金流'!H6052&amp;"|"&amp;'管线现金流'!AJ6052&amp;"|"&amp;'管线现金流'!H6053&amp;"|"&amp;'管线现金流'!AJ6053&amp;"|"&amp;'管线现金流'!H6054&amp;"|"&amp;'管线现金流'!AJ6054&amp;"|"&amp;'管线现金流'!H6055&amp;"|"&amp;'管线现金流'!AJ6055&amp;"|"&amp;'管线现金流'!H6056&amp;"|"&amp;'管线现金流'!AJ6056&amp;"|"&amp;'管线现金流'!H6057&amp;"|"&amp;'管线现金流'!AJ6057&amp;"|"&amp;'管线现金流'!H6058&amp;"|"&amp;'管线现金流'!AJ6058&amp;"|"&amp;'管线现金流'!H6059&amp;"|"&amp;'管线现金流'!AJ6059&amp;"|"&amp;'管线现金流'!H6060&amp;"|"&amp;'管线现金流'!AJ6060&amp;"|"&amp;'管线现金流'!H6061&amp;"|"&amp;'管线现金流'!AJ6061&amp;"|"&amp;'管线现金流'!H6062&amp;"|"&amp;'管线现金流'!AJ6062&amp;"|"&amp;'管线现金流'!H6063&amp;"|"&amp;'管线现金流'!AJ6063&amp;"|"&amp;'管线现金流'!H6064&amp;"|"&amp;'管线现金流'!AJ6064&amp;"|"&amp;'管线现金流'!H6065&amp;"|"&amp;'管线现金流'!AJ6065&amp;"|"&amp;'管线现金流'!H6066&amp;"|"&amp;'管线现金流'!AJ6066&amp;"|"&amp;'管线现金流'!H6067&amp;"|"&amp;'管线现金流'!AJ6067&amp;"|"&amp;'管线现金流'!H6068&amp;"|"&amp;'管线现金流'!AJ6068&amp;"|"&amp;'管线现金流'!H6069&amp;"|"&amp;'管线现金流'!AJ6069&amp;"|"&amp;'管线现金流'!H6070&amp;"|"&amp;'管线现金流'!AJ6070&amp;"|"&amp;'管线现金流'!H6071&amp;"|"&amp;'管线现金流'!AJ6071&amp;"|"&amp;'管线现金流'!H6072&amp;"|"&amp;'管线现金流'!AJ6072&amp;"|"&amp;'管线现金流'!H6073&amp;"|"&amp;'管线现金流'!AJ6073&amp;"|"&amp;'管线现金流'!H6074&amp;"|"&amp;'管线现金流'!AJ6074&amp;"|"&amp;'管线现金流'!H6075&amp;"|"&amp;'管线现金流'!AJ6075&amp;"|"&amp;'管线现金流'!H6076&amp;"|"&amp;'管线现金流'!AJ6076&amp;"|"&amp;'管线现金流'!H6077&amp;"|"&amp;'管线现金流'!AJ6077&amp;"|"&amp;'管线现金流'!H6078&amp;"|"&amp;'管线现金流'!AJ6078&amp;"|"&amp;'管线现金流'!H6079&amp;"|"&amp;'管线现金流'!AJ6079&amp;"|"&amp;'管线现金流'!H6080&amp;"|"&amp;'管线现金流'!AJ6080&amp;"|"&amp;'管线现金流'!H6081&amp;"|"&amp;'管线现金流'!AJ6081&amp;"|"&amp;'管线现金流'!H6082&amp;"|"&amp;'管线现金流'!AJ6082&amp;"|"&amp;'管线现金流'!H6083&amp;"|"&amp;'管线现金流'!AJ6083&amp;"|"&amp;'管线现金流'!H6084&amp;"|"&amp;'管线现金流'!AJ6084&amp;"|"&amp;'管线现金流'!H6085&amp;"|"&amp;'管线现金流'!AJ6085&amp;"|"&amp;'管线现金流'!H6086&amp;"|"&amp;'管线现金流'!AJ6086&amp;"|"&amp;'管线现金流'!H6087&amp;"|"&amp;'管线现金流'!AJ6087&amp;"|"&amp;'管线现金流'!H6088&amp;"|"&amp;'管线现金流'!AJ6088&amp;"|"&amp;'管线现金流'!H6089&amp;"|"&amp;'管线现金流'!AJ6089&amp;"|"&amp;'管线现金流'!H6090&amp;"|"&amp;'管线现金流'!AJ6090&amp;"|"&amp;'管线现金流'!H6091&amp;"|"&amp;'管线现金流'!AJ6091&amp;"|"&amp;'管线现金流'!H6092&amp;"|"&amp;'管线现金流'!AJ6092&amp;"|"&amp;'管线现金流'!H6093&amp;"|"&amp;'管线现金流'!AJ6093&amp;"|"&amp;'管线现金流'!H6094&amp;"|"&amp;'管线现金流'!AJ6094&amp;"|"&amp;'管线现金流'!H6095&amp;"|"&amp;'管线现金流'!AJ6095&amp;"|"&amp;'管线现金流'!H6096&amp;"|"&amp;'管线现金流'!AJ6096&amp;"|"&amp;'管线现金流'!H6097&amp;"|"&amp;'管线现金流'!AJ6097&amp;"|"&amp;'管线现金流'!H6098&amp;"|"&amp;'管线现金流'!AJ6098&amp;"|"&amp;'管线现金流'!H6099&amp;"|"&amp;'管线现金流'!AJ6099&amp;"|"&amp;'管线现金流'!H6100&amp;"|"&amp;'管线现金流'!AJ6100&amp;"|"&amp;'管线现金流'!H6101&amp;"|"&amp;'管线现金流'!AJ6101&amp;"|"&amp;'管线现金流'!H6102&amp;"|"&amp;'管线现金流'!AJ6102&amp;"|"&amp;'管线现金流'!H6103&amp;"|"&amp;'管线现金流'!AJ6103&amp;"|"&amp;'管线现金流'!H6104&amp;"|"&amp;'管线现金流'!AJ6104&amp;"|"&amp;'管线现金流'!H6105&amp;"|"&amp;'管线现金流'!AJ6105&amp;"|"&amp;'管线现金流'!H6106&amp;"|"&amp;'管线现金流'!AJ6106&amp;"|"&amp;'管线现金流'!H6107&amp;"|"&amp;'管线现金流'!AJ6107&amp;"|"&amp;'管线现金流'!H6108&amp;"|"&amp;'管线现金流'!AJ6108&amp;"|"&amp;'管线现金流'!H6109&amp;"|"&amp;'管线现金流'!AJ6109&amp;"|"&amp;'管线现金流'!H6110&amp;"|"&amp;'管线现金流'!AJ6110&amp;"|"&amp;'管线现金流'!H6111&amp;"|"&amp;'管线现金流'!AJ6111&amp;"|"&amp;'管线现金流'!H6112&amp;"|"&amp;'管线现金流'!AJ6112&amp;"|"&amp;'管线现金流'!H6113&amp;"|"&amp;'管线现金流'!AJ6113&amp;"|"&amp;'管线现金流'!H6114&amp;"|"&amp;'管线现金流'!AJ6114&amp;"|"&amp;'管线现金流'!H6115&amp;"|"&amp;'管线现金流'!AJ6115&amp;"|"&amp;'管线现金流'!H6116&amp;"|"&amp;'管线现金流'!AJ6116&amp;"|"&amp;'管线现金流'!H6117&amp;"|"&amp;'管线现金流'!AJ6117&amp;"|"&amp;'管线现金流'!H6118&amp;"|"&amp;'管线现金流'!AJ6118&amp;"|"&amp;'管线现金流'!H6119&amp;"|"&amp;'管线现金流'!AJ6119&amp;"|"&amp;'管线现金流'!H6120&amp;"|"&amp;'管线现金流'!AJ6120&amp;"|"&amp;'管线现金流'!H6121&amp;"|"&amp;'管线现金流'!AJ6121&amp;"|"&amp;'管线现金流'!H6122&amp;"|"&amp;'管线现金流'!AJ6122&amp;"|"&amp;'管线现金流'!H6123&amp;"|"&amp;'管线现金流'!AJ6123&amp;"|"&amp;'管线现金流'!H6124&amp;"|"&amp;'管线现金流'!AJ6124&amp;"|"&amp;'管线现金流'!H6125&amp;"|"&amp;'管线现金流'!AJ6125&amp;"|"&amp;'管线现金流'!H6126&amp;"|"&amp;'管线现金流'!AJ6126&amp;"|"&amp;'管线现金流'!H6127&amp;"|"&amp;'管线现金流'!AJ6127&amp;"|"&amp;'管线现金流'!H6128&amp;"|"&amp;'管线现金流'!AJ6128&amp;"|"&amp;'管线现金流'!H6129&amp;"|"&amp;'管线现金流'!AJ6129&amp;"|"&amp;'管线现金流'!H6130&amp;"|"&amp;'管线现金流'!AJ6130&amp;"|"&amp;'管线现金流'!H6131&amp;"|"&amp;'管线现金流'!AJ6131&amp;"|"&amp;'管线现金流'!H6132&amp;"|"&amp;'管线现金流'!AJ6132&amp;"|"&amp;'管线现金流'!H6133&amp;"|"&amp;'管线现金流'!AJ6133&amp;"|"&amp;'管线现金流'!H6134&amp;"|"&amp;'管线现金流'!AJ6134&amp;"|"&amp;'管线现金流'!H6135&amp;"|"&amp;'管线现金流'!AJ6135&amp;"|"&amp;'管线现金流'!H6136&amp;"|"&amp;'管线现金流'!AJ6136&amp;"|"&amp;'管线现金流'!H6137&amp;"|"&amp;'管线现金流'!AJ6137&amp;"|"&amp;'管线现金流'!H6138&amp;"|"&amp;'管线现金流'!AJ6138&amp;"|"&amp;'管线现金流'!H6139&amp;"|"&amp;'管线现金流'!AJ6139&amp;"|"&amp;'管线现金流'!H6140&amp;"|"&amp;'管线现金流'!AJ6140&amp;"|"&amp;'管线现金流'!H6141&amp;"|"&amp;'管线现金流'!AJ6141&amp;"|"&amp;'管线现金流'!H6142&amp;"|"&amp;'管线现金流'!AJ6142&amp;"|"&amp;'管线现金流'!H6143&amp;"|"&amp;'管线现金流'!AJ6143&amp;"|"&amp;'管线现金流'!H6144&amp;"|"&amp;'管线现金流'!AJ6144&amp;"|"&amp;'管线现金流'!H6145&amp;"|"&amp;'管线现金流'!AJ6145&amp;"|"&amp;'管线现金流'!H6146&amp;"|"&amp;'管线现金流'!AJ6146&amp;"|"&amp;'管线现金流'!H6147&amp;"|"&amp;'管线现金流'!AJ6147&amp;"|"&amp;'管线现金流'!H6148&amp;"|"&amp;'管线现金流'!AJ6148&amp;"|"&amp;'管线现金流'!H6149&amp;"|"&amp;'管线现金流'!AJ6149&amp;"|"&amp;'管线现金流'!H6150&amp;"|"&amp;'管线现金流'!AJ6150&amp;"|"&amp;'管线现金流'!H6151&amp;"|"&amp;'管线现金流'!AJ6151&amp;"|"&amp;'管线现金流'!H6152&amp;"|"&amp;'管线现金流'!AJ6152&amp;"|"&amp;'管线现金流'!H6153&amp;"|"&amp;'管线现金流'!AJ6153&amp;"|"&amp;'管线现金流'!H6154&amp;"|"&amp;'管线现金流'!AJ6154&amp;"|"&amp;'管线现金流'!H6155&amp;"|"&amp;'管线现金流'!AJ6155&amp;"|"&amp;'管线现金流'!H6156&amp;"|"&amp;'管线现金流'!AJ6156&amp;"|"&amp;'管线现金流'!H6157&amp;"|"&amp;'管线现金流'!AJ6157&amp;"|"&amp;'管线现金流'!H6158&amp;"|"&amp;'管线现金流'!AJ6158&amp;"|"&amp;'管线现金流'!H6159&amp;"|"&amp;'管线现金流'!AJ6159&amp;"|"&amp;'管线现金流'!H6160&amp;"|"&amp;'管线现金流'!AJ6160&amp;"|"&amp;'管线现金流'!H6161&amp;"|"&amp;'管线现金流'!AJ6161&amp;"|"&amp;'管线现金流'!H6162&amp;"|"&amp;'管线现金流'!AJ6162&amp;"|"&amp;'管线现金流'!H6163&amp;"|"&amp;'管线现金流'!AJ6163&amp;"|"&amp;'管线现金流'!H6164&amp;"|"&amp;'管线现金流'!AJ6164&amp;"|"&amp;'管线现金流'!H6165&amp;"|"&amp;'管线现金流'!AJ6165&amp;"|"&amp;'管线现金流'!H6166&amp;"|"&amp;'管线现金流'!AJ6166&amp;"|"&amp;'管线现金流'!H6167&amp;"|"&amp;'管线现金流'!AJ6167&amp;"|"&amp;'管线现金流'!H6168&amp;"|"&amp;'管线现金流'!AJ6168&amp;"|"&amp;'管线现金流'!H6169&amp;"|"&amp;'管线现金流'!AJ6169&amp;"|"&amp;'管线现金流'!H6170&amp;"|"&amp;'管线现金流'!AJ6170&amp;"|"&amp;'管线现金流'!H6171&amp;"|"&amp;'管线现金流'!AJ6171&amp;"|"&amp;'管线现金流'!H6172&amp;"|"&amp;'管线现金流'!AJ6172&amp;"|"&amp;'管线现金流'!H6173&amp;"|"&amp;'管线现金流'!AJ6173&amp;"|"&amp;'管线现金流'!H6174&amp;"|"&amp;'管线现金流'!AJ6174&amp;"|"&amp;'管线现金流'!H6175&amp;"|"&amp;'管线现金流'!AJ6175&amp;"|"&amp;'管线现金流'!H6176&amp;"|"&amp;'管线现金流'!AJ6176&amp;"|"&amp;'管线现金流'!H6177&amp;"|"&amp;'管线现金流'!AJ6177&amp;"|"&amp;'管线现金流'!H6178&amp;"|"&amp;'管线现金流'!AJ6178&amp;"|"&amp;'管线现金流'!H6179&amp;"|"&amp;'管线现金流'!AJ6179&amp;"|"&amp;'管线现金流'!H6180&amp;"|"&amp;'管线现金流'!AJ6180&amp;"|"&amp;'管线现金流'!H6181&amp;"|"&amp;'管线现金流'!AJ6181&amp;"|"&amp;'管线现金流'!H6182&amp;"|"&amp;'管线现金流'!AJ6182&amp;"|"&amp;'管线现金流'!H6183&amp;"|"&amp;'管线现金流'!AJ6183&amp;"|"&amp;'管线现金流'!H6184&amp;"|"&amp;'管线现金流'!AJ6184&amp;"|"&amp;'管线现金流'!H6185&amp;"|"&amp;'管线现金流'!AJ6185&amp;"|"&amp;'管线现金流'!H6186&amp;"|"&amp;'管线现金流'!AJ6186&amp;"|"&amp;'管线现金流'!H6187&amp;"|"&amp;'管线现金流'!AJ6187&amp;"|"&amp;'管线现金流'!H6188&amp;"|"&amp;'管线现金流'!AJ6188&amp;"|"&amp;'管线现金流'!H6189&amp;"|"&amp;'管线现金流'!AJ6189&amp;"|"&amp;'管线现金流'!H6190&amp;"|"&amp;'管线现金流'!AJ6190&amp;"|"&amp;'管线现金流'!H6191&amp;"|"&amp;'管线现金流'!AJ6191&amp;"|"&amp;'管线现金流'!H6192&amp;"|"&amp;'管线现金流'!AJ6192&amp;"|"&amp;'管线现金流'!H6193&amp;"|"&amp;'管线现金流'!AJ6193&amp;"|"&amp;'管线现金流'!H6194&amp;"|"&amp;'管线现金流'!AJ6194&amp;"|"&amp;'管线现金流'!H6195&amp;"|"&amp;'管线现金流'!AJ6195&amp;"|"&amp;'管线现金流'!H6196&amp;"|"&amp;'管线现金流'!AJ6196&amp;"|"&amp;'管线现金流'!H6197&amp;"|"&amp;'管线现金流'!AJ6197&amp;"|"&amp;'管线现金流'!H6198&amp;"|"&amp;'管线现金流'!AJ6198&amp;"|"&amp;'管线现金流'!H6199&amp;"|"&amp;'管线现金流'!AJ6199&amp;"|"&amp;'管线现金流'!H6200&amp;"|"&amp;'管线现金流'!AJ6200&amp;"|"&amp;'管线现金流'!H6201&amp;"|"&amp;'管线现金流'!AJ6201&amp;"|"&amp;'管线现金流'!H6202&amp;"|"&amp;'管线现金流'!AJ6202&amp;"|"&amp;'管线现金流'!H6203&amp;"|"&amp;'管线现金流'!AJ6203&amp;"|"&amp;'管线现金流'!H6204&amp;"|"&amp;'管线现金流'!AJ6204&amp;"|"&amp;'管线现金流'!H6205&amp;"|"&amp;'管线现金流'!AJ6205&amp;"|"&amp;'管线现金流'!H6206&amp;"|"&amp;'管线现金流'!AJ6206&amp;"|"&amp;'管线现金流'!H6207&amp;"|"&amp;'管线现金流'!AJ6207&amp;"|"&amp;'管线现金流'!H6208&amp;"|"&amp;'管线现金流'!AJ6208&amp;"|"&amp;'管线现金流'!H6209&amp;"|"&amp;'管线现金流'!AJ6209&amp;"|"&amp;'管线现金流'!H6210&amp;"|"&amp;'管线现金流'!AJ6210&amp;"|"&amp;'管线现金流'!H6211&amp;"|"&amp;'管线现金流'!AJ6211&amp;"|"&amp;'管线现金流'!H6212&amp;"|"&amp;'管线现金流'!AJ6212&amp;"|"&amp;'管线现金流'!H6213&amp;"|"&amp;'管线现金流'!AJ6213&amp;"|"&amp;'管线现金流'!H6214&amp;"|"&amp;'管线现金流'!AJ6214&amp;"|"&amp;'管线现金流'!H6215&amp;"|"&amp;'管线现金流'!AJ6215&amp;"|"&amp;'管线现金流'!H6216&amp;"|"&amp;'管线现金流'!AJ6216&amp;"|"&amp;'管线现金流'!H6217&amp;"|"&amp;'管线现金流'!AJ6217&amp;"|"&amp;'管线现金流'!H6218&amp;"|"&amp;'管线现金流'!AJ6218&amp;"|"&amp;'管线现金流'!H6219&amp;"|"&amp;'管线现金流'!AJ6219&amp;"|"&amp;'管线现金流'!H6220&amp;"|"&amp;'管线现金流'!AJ6220&amp;"|"&amp;'管线现金流'!H6221&amp;"|"&amp;'管线现金流'!AJ6221&amp;"|"&amp;'管线现金流'!H6222&amp;"|"&amp;'管线现金流'!AJ6222&amp;"|"&amp;'管线现金流'!H6223&amp;"|"&amp;'管线现金流'!AJ6223&amp;"|"&amp;'管线现金流'!H6224&amp;"|"&amp;'管线现金流'!AJ6224&amp;"|"&amp;'管线现金流'!H6225&amp;"|"&amp;'管线现金流'!AJ6225&amp;"|"&amp;'管线现金流'!H6226&amp;"|"&amp;'管线现金流'!AJ6226&amp;"|"&amp;'管线现金流'!H6227&amp;"|"&amp;'管线现金流'!AJ6227&amp;"|"&amp;'管线现金流'!H6228&amp;"|"&amp;'管线现金流'!AJ6228&amp;"|"&amp;'管线现金流'!H6229&amp;"|"&amp;'管线现金流'!AJ6229&amp;"|"&amp;'管线现金流'!H6230&amp;"|"&amp;'管线现金流'!AJ6230&amp;"|"&amp;'管线现金流'!H6231&amp;"|"&amp;'管线现金流'!AJ6231&amp;"|"&amp;'管线现金流'!H6232&amp;"|"&amp;'管线现金流'!AJ6232&amp;"|"&amp;'管线现金流'!H6233&amp;"|"&amp;'管线现金流'!AJ6233&amp;"|"&amp;'管线现金流'!H6234&amp;"|"&amp;'管线现金流'!AJ6234&amp;"|"&amp;'管线现金流'!H6235&amp;"|"&amp;'管线现金流'!AJ6235&amp;"|"&amp;'管线现金流'!H6236&amp;"|"&amp;'管线现金流'!AJ6236&amp;"|"&amp;'管线现金流'!H6237&amp;"|"&amp;'管线现金流'!AJ6237&amp;"|"&amp;'管线现金流'!H6238&amp;"|"&amp;'管线现金流'!AJ6238&amp;"|"&amp;'管线现金流'!H6239&amp;"|"&amp;'管线现金流'!AJ6239&amp;"|"&amp;'管线现金流'!H6240&amp;"|"&amp;'管线现金流'!AJ6240&amp;"|"&amp;'管线现金流'!H6241&amp;"|"&amp;'管线现金流'!AJ6241&amp;"|"&amp;'管线现金流'!H6242&amp;"|"&amp;'管线现金流'!AJ6242&amp;"|"&amp;'管线现金流'!H6243&amp;"|"&amp;'管线现金流'!AJ6243&amp;"|"&amp;'管线现金流'!H6244&amp;"|"&amp;'管线现金流'!AJ6244&amp;"|"&amp;'管线现金流'!H6245&amp;"|"&amp;'管线现金流'!AJ6245&amp;"|"&amp;'管线现金流'!H6246&amp;"|"&amp;'管线现金流'!AJ6246&amp;"|"&amp;'管线现金流'!H6247&amp;"|"&amp;'管线现金流'!AJ6247&amp;"|"&amp;'管线现金流'!H6248&amp;"|"&amp;'管线现金流'!AJ6248&amp;"|"&amp;'管线现金流'!H6249&amp;"|"&amp;'管线现金流'!AJ6249&amp;"|"&amp;'管线现金流'!H6250&amp;"|"&amp;'管线现金流'!AJ6250&amp;"|"&amp;'管线现金流'!H6251&amp;"|"&amp;'管线现金流'!AJ6251&amp;"|"&amp;'管线现金流'!H6252&amp;"|"&amp;'管线现金流'!AJ6252&amp;"|"&amp;'管线现金流'!H6253&amp;"|"&amp;'管线现金流'!AJ6253&amp;"|"&amp;'管线现金流'!H6254&amp;"|"&amp;'管线现金流'!AJ6254&amp;"|"&amp;'管线现金流'!H6255&amp;"|"&amp;'管线现金流'!AJ6255&amp;"|"&amp;'管线现金流'!H6256&amp;"|"&amp;'管线现金流'!AJ6256&amp;"|"&amp;'管线现金流'!H6257&amp;"|"&amp;'管线现金流'!AJ6257&amp;"|"&amp;'管线现金流'!H6258&amp;"|"&amp;'管线现金流'!AJ6258&amp;"|"&amp;'管线现金流'!H6259&amp;"|"&amp;'管线现金流'!AJ6259&amp;"|"&amp;'管线现金流'!H6260&amp;"|"&amp;'管线现金流'!AJ6260&amp;"|"&amp;'管线现金流'!H6261&amp;"|"&amp;'管线现金流'!AJ6261&amp;"|"&amp;'管线现金流'!H6262&amp;"|"&amp;'管线现金流'!AJ6262&amp;"|"&amp;'管线现金流'!H6263&amp;"|"&amp;'管线现金流'!AJ6263&amp;"|"&amp;'管线现金流'!H6264&amp;"|"&amp;'管线现金流'!AJ6264&amp;"|"&amp;'管线现金流'!H6265&amp;"|"&amp;'管线现金流'!AJ6265&amp;"|"&amp;'管线现金流'!H6266&amp;"|"&amp;'管线现金流'!AJ6266&amp;"|"&amp;'管线现金流'!H6267&amp;"|"&amp;'管线现金流'!AJ6267&amp;"|"&amp;'管线现金流'!H6268&amp;"|"&amp;'管线现金流'!AJ6268&amp;"|"&amp;'管线现金流'!H6269&amp;"|"&amp;'管线现金流'!AJ6269&amp;"|"&amp;'管线现金流'!H6270&amp;"|"&amp;'管线现金流'!AJ6270&amp;"|"&amp;'管线现金流'!H6271&amp;"|"&amp;'管线现金流'!AJ6271&amp;"|"&amp;'管线现金流'!H6272&amp;"|"&amp;'管线现金流'!AJ6272&amp;"|"&amp;'管线现金流'!H6273&amp;"|"&amp;'管线现金流'!AJ6273&amp;"|"&amp;'管线现金流'!H6274&amp;"|"&amp;'管线现金流'!AJ6274&amp;"|"&amp;'管线现金流'!H6275&amp;"|"&amp;'管线现金流'!AJ6275&amp;"|"&amp;'管线现金流'!H6276&amp;"|"&amp;'管线现金流'!AJ6276&amp;"|"&amp;'管线现金流'!H6277&amp;"|"&amp;'管线现金流'!AJ6277&amp;"|"&amp;'管线现金流'!H6278&amp;"|"&amp;'管线现金流'!AJ6278&amp;"|"&amp;'管线现金流'!H6279&amp;"|"&amp;'管线现金流'!AJ6279&amp;"|"&amp;'管线现金流'!H6280&amp;"|"&amp;'管线现金流'!AJ6280&amp;"|"&amp;'管线现金流'!H6281&amp;"|"&amp;'管线现金流'!AJ6281&amp;"|"&amp;'管线现金流'!H6282&amp;"|"&amp;'管线现金流'!AJ6282&amp;"|"&amp;'管线现金流'!H6283&amp;"|"&amp;'管线现金流'!AJ6283&amp;"|"&amp;'管线现金流'!H6284&amp;"|"&amp;'管线现金流'!AJ6284&amp;"|"&amp;'管线现金流'!H6285&amp;"|"&amp;'管线现金流'!AJ6285&amp;"|"&amp;'管线现金流'!H6286&amp;"|"&amp;'管线现金流'!AJ6286&amp;"|"&amp;'管线现金流'!U98&amp;"|"&amp;'管线现金流'!X98&amp;"|"&amp;'管线现金流'!AO98&amp;"|"&amp;'管线现金流'!AR98&amp;"|"&amp;'管线现金流'!U99&amp;"|"&amp;'管线现金流'!X99&amp;"|"&amp;'管线现金流'!AO99&amp;"|"&amp;'管线现金流'!AR99&amp;"|"&amp;'管线现金流'!U100&amp;"|"&amp;'管线现金流'!X100&amp;"|"&amp;'管线现金流'!AO100&amp;"|"&amp;'管线现金流'!AR100&amp;"|"&amp;'管线现金流'!U101&amp;"|"&amp;'管线现金流'!X101&amp;"|"&amp;'管线现金流'!AO101&amp;"|"&amp;'管线现金流'!AR101</x:f>
        <x:v>1|-3|2|0.85|0.12|1|0.18|6.8|1|0.0468|1|0.18|6.8|0.35|0.2|1|0.18|6.8|0.25|0.2|1|0.18|6.8|0.21999999999999997|0.2|1|0.18|6.8|0.12|0.2|1|0.18|6.8|0.050000000000000044|0.2|1|0.18|6.8|0.07999999999999996|0.15|1|0.18|6.8|0.07999999999999996|0.2|1|0.18|6.8|0.030000000000000027|0.2|1|0.18|6.8|0.07000000000000006|0.2|1|0.18|6.8|0.030000000000000027|0.03900000000000001|1|0.18|6.8|0.040000000000000036|0.2|1|0.18|6.8|0.17999999999999994|0.0468|1|0.18|6.8|0.15000000000000002|0.2|1|0.18|6.8|0.050000000000000044|0.0468|1|0.18|6.8|0.13999999999999999|0|0.27999999999999997|0|0.42|0|0.5599999999999999|0|0.7|0|0.609|0|0.518|0|0.427|0|0.33599999999999997|0|0.24499999999999997|0|0.15399999999999997|0|0.06299999999999997|0|0|0|0|0|0|0|0|0|0|0|0|0|0|0|0.12|0|0.24|0|0.36|0|0.48|0|0.6|0|0.522|0|0.444|0|0.366|0|0.288|0|0.21|0|0.13199999999999998|0|0.05399999999999998|0|0|0|0|0|0|0|0|0|0|0|0|0|0|0|0|0|0|0|0.09000000000000001|0|0.18000000000000002|0|0.27|0|0.36000000000000004|0|0.45|0|0.3915|0|0.333|0|0.2745|0|0.216|0|0.1575|0|0.09899999999999999|0|0.04049999999999999|0|0|0|0|0|0|0|0|0|0|0|0|0|0|0|0|0|0.16000000000000003|0|0.32000000000000006|0|0.48|0|0.6400000000000001|0|0.8|0|0.6960000000000001|0|0.592|0|0.488|0|0.384|0|0.27999999999999997|0|0.176|0|0.07199999999999998|0|0|0|0|0|0|0|0|0|0|0|0|0|0|0|0.12|0|0.24|0|0.36|0|0.48|0|0.6|0|0.522|0|0.444|0|0.366|0|0.288|0|0.21|0|0.13199999999999998|0|0.05399999999999998|0|0|0|0|0|0|0|0|0|0|0|0|0|0|0|0|0|0|0|0.11000000000000001|0|0.22000000000000003|0|0.33|0|0.44000000000000006|0|0.55|0|0.47850000000000004|0|0.40700000000000003|0|0.3355|0|0.264|0|0.1925|0|0.121|0|0.04949999999999999|0|0|0|0|0|0|0|0|0|0|0|0|0|0|0|0|0|0.04000000000000001|0|0.08000000000000002|0|0.12|0|0.16000000000000003|0|0.2|0|0.17400000000000002|0|0.148|0|0.122|0|0.096|0|0.06999999999999999|0|0.044|0|0.017999999999999995|0|0|0|0|0|0|0|0|0|0|0|0|0|0|0|0|0|0.08000000000000002|0|0.16000000000000003|0|0.24|0|0.32000000000000006|0|0.4|0|0.34800000000000003|0|0.296|0|0.244|0|0.192|0|0.13999999999999999|0|0.088|0|0.03599999999999999|0|0|0|0|0|0|0|0|0|0|0|0|0|0|0|0.13999999999999999|0|0.27999999999999997|0|0.42|0|0.5599999999999999|0|0.7|0|0.609|0|0.518|0|0.427|0|0.33599999999999997|0|0.24499999999999997|0|0.15399999999999997|0|0.06299999999999997|0|0|0|0|0|0|0|0|0|0|0|0|0|0|0|0|0|0.1|0|0.2|0|0.3|0|0.4|0|0.5|0|0.435|0|0.37|0|0.305|0|0.24|0|0.175|0|0.10999999999999999|0|0|0|0|0|0|0|0|0|0|0|0|0|0|0|0.12|0|0.24|0|0.36|0|0.48|0|0.6|0|0.522|0|0.444|0|0.366|0|0.288|0|0.21|0|0.13199999999999998|0|0.05399999999999998|0|0|0|0|0|0|0|0|0|0|0|0|0|0|0|0|0|0|0|0.12|0|0.24|0|0.36|0|0.48|0|0.6|0|0.522|0|0.444|0|0.366|0|0.288|0|0.21|0|0|0|0|0|0|0|0|0|0|0|0|0|0|0|0|0|0.06|0|0.12|0|0.18|0|0.24|0|0.3|0|0.261|0|0.222|0|0.183|0|0.144|0|0.105|0|0.06599999999999999|0|0|0|0|0|0|0|0|0|0|0|0|0|0|0|0.08000000000000002|0|0.16000000000000003|0|0.24|0|0.32000000000000006|0|0.4|0|0.34800000000000003|0|0.296|0|0.244|0|0.192|0|0.13999999999999999|0|0.088|0|0.03599999999999999|0|0|0|0|0|0|0|0|0|0|0|0|0|0|0|0.06|0|0.12|0|0.18|0|0.24|0|0.3|0|0.261|0|0.222|0|0.183|0|0.144|0|0.105|0|0.06599999999999999|0|0.02699999999999999|0|0|0|0|0|0|0|0|0|0|0|0|0|0|0|0|0|0|0|0.08000000000000002|0|0.16000000000000003|0|0.24|0|0.32000000000000006|0|0.4|0|0.34800000000000003|0|0.296|0|0.244|0|0.192|0|0.13999999999999999|0|0.05|1|0.78|1|0.025|1|0.78|1|0.01|1|0.78|1|0.005|1|0.78|1</x:v>
      </x:c>
    </x:row>
    <x:row r="485" ht="23" customHeight="1">
      <x:c r="A485" s="11" t="str">
        <x:v>688062.SH</x:v>
      </x:c>
      <x:c r="B485" s="11" t="str">
        <x:v>迈威生物</x:v>
      </x:c>
      <x:c r="C485" s="11" t="str">
        <x:v>五年</x:v>
      </x:c>
      <x:c r="D485" s="11" t="str">
        <x:v>基准</x:v>
      </x:c>
      <x:c r="E485" s="11" t="n">
        <x:v>24.78</x:v>
      </x:c>
      <x:c r="F485" s="11" t="n">
        <x:v>18.94953213644365</x:v>
      </x:c>
      <x:c r="G485" s="11" t="n">
        <x:v>0</x:v>
      </x:c>
      <x:c r="H485" s="25" t="n">
        <x:v>-0.23528926003052264</x:v>
      </x:c>
      <x:c r="I485" s="25" t="n">
        <x:v>-0.23528926003052264</x:v>
      </x:c>
      <x:c r="J485" s="25" t="n">
        <x:v>-0.052237681334340924</x:v>
      </x:c>
      <x:c r="K485" s="11" t="n">
        <x:v>0</x:v>
      </x:c>
      <x:c r="L485" s="11" t="n">
        <x:v>0</x:v>
      </x:c>
      <x:c r="M485" s="11" t="n">
        <x:v>1</x:v>
      </x:c>
      <x:c r="N485" s="11" t="n">
        <x:v>0</x:v>
      </x:c>
      <x:c r="O485" s="11" t="n">
        <x:v>0</x:v>
      </x:c>
      <x:c r="P485" s="11" t="n">
        <x:v>0</x:v>
      </x:c>
      <x:c r="Q485" s="11" t="n">
        <x:v>0.61</x:v>
      </x:c>
      <x:c r="R485" s="11" t="str">
        <x:v>mabwell-rnpv-v1.1</x:v>
      </x:c>
      <x:c r="S485" s="11" t="str">
        <x:v>2026-10-10</x:v>
      </x:c>
      <x:c r="T485" s="11" t="str">
        <x:f>IF(AND(SUM(IF(K485='假设'!E645,0,1),IF(L485='假设'!F645,0,1),IF(M485='假设'!G645,0,1),IF(N485='假设'!H645,0,1),IF(O485='假设'!I645,0,1),IF(P485='假设'!J645,0,1),IF(Q485='假设'!K645,0,1))=0,U485=V485),"已刷新","待刷新")</x:f>
        <x:v>已刷新</x:v>
      </x:c>
      <x:c r="U485" t="str">
        <x:v>1|-0.8|1.4|0.9496|0.23|1|0.14|6.8|1|0.08000000000000002|1|0.14|6.8|0.7263999999999999|0.3|1|0.14|6.8|0.676|0.3|1|0.14|6.8|0.6255999999999999|0.3|1|0.14|6.8|0.496|0.3|1|0.14|6.8|0.3952|0.3|1|0.14|6.8|0.42400000000000004|0.23|1|0.14|6.8|0.4384|0.3|1|0.14|6.8|0.352|0.3|1|0.14|6.8|0.45999999999999996|0.3|1|0.14|6.8|0.36640000000000006|0.064|1|0.14|6.8|0.36640000000000006|0.3|1|0.14|6.8|0.5824|0.068|1|0.14|6.8|0.532|0.3|1|0.14|6.8|0.388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  <x:c r="V485" t="str">
        <x:f>'假设'!U645&amp;"|"&amp;'假设'!N645&amp;"|"&amp;'假设'!Q645&amp;"|"&amp;'管线假设'!E1285&amp;"|"&amp;'管线假设'!F1285&amp;"|"&amp;'管线假设'!G1285&amp;"|"&amp;'管线假设'!H1285&amp;"|"&amp;'管线假设'!I1285&amp;"|"&amp;'管线假设'!E1289&amp;"|"&amp;'管线假设'!F1289&amp;"|"&amp;'管线假设'!G1289&amp;"|"&amp;'管线假设'!H1289&amp;"|"&amp;'管线假设'!I1289&amp;"|"&amp;'管线假设'!E1293&amp;"|"&amp;'管线假设'!F1293&amp;"|"&amp;'管线假设'!G1293&amp;"|"&amp;'管线假设'!H1293&amp;"|"&amp;'管线假设'!I1293&amp;"|"&amp;'管线假设'!E1297&amp;"|"&amp;'管线假设'!F1297&amp;"|"&amp;'管线假设'!G1297&amp;"|"&amp;'管线假设'!H1297&amp;"|"&amp;'管线假设'!I1297&amp;"|"&amp;'管线假设'!E1301&amp;"|"&amp;'管线假设'!F1301&amp;"|"&amp;'管线假设'!G1301&amp;"|"&amp;'管线假设'!H1301&amp;"|"&amp;'管线假设'!I1301&amp;"|"&amp;'管线假设'!E1305&amp;"|"&amp;'管线假设'!F1305&amp;"|"&amp;'管线假设'!G1305&amp;"|"&amp;'管线假设'!H1305&amp;"|"&amp;'管线假设'!I1305&amp;"|"&amp;'管线假设'!E1309&amp;"|"&amp;'管线假设'!F1309&amp;"|"&amp;'管线假设'!G1309&amp;"|"&amp;'管线假设'!H1309&amp;"|"&amp;'管线假设'!I1309&amp;"|"&amp;'管线假设'!E1313&amp;"|"&amp;'管线假设'!F1313&amp;"|"&amp;'管线假设'!G1313&amp;"|"&amp;'管线假设'!H1313&amp;"|"&amp;'管线假设'!I1313&amp;"|"&amp;'管线假设'!E1317&amp;"|"&amp;'管线假设'!F1317&amp;"|"&amp;'管线假设'!G1317&amp;"|"&amp;'管线假设'!H1317&amp;"|"&amp;'管线假设'!I1317&amp;"|"&amp;'管线假设'!E1321&amp;"|"&amp;'管线假设'!F1321&amp;"|"&amp;'管线假设'!G1321&amp;"|"&amp;'管线假设'!H1321&amp;"|"&amp;'管线假设'!I1321&amp;"|"&amp;'管线假设'!E1325&amp;"|"&amp;'管线假设'!F1325&amp;"|"&amp;'管线假设'!G1325&amp;"|"&amp;'管线假设'!H1325&amp;"|"&amp;'管线假设'!I1325&amp;"|"&amp;'管线假设'!E1329&amp;"|"&amp;'管线假设'!F1329&amp;"|"&amp;'管线假设'!G1329&amp;"|"&amp;'管线假设'!H1329&amp;"|"&amp;'管线假设'!I1329&amp;"|"&amp;'管线假设'!E1333&amp;"|"&amp;'管线假设'!F1333&amp;"|"&amp;'管线假设'!G1333&amp;"|"&amp;'管线假设'!H1333&amp;"|"&amp;'管线假设'!I1333&amp;"|"&amp;'管线假设'!E1337&amp;"|"&amp;'管线假设'!F1337&amp;"|"&amp;'管线假设'!G1337&amp;"|"&amp;'管线假设'!H1337&amp;"|"&amp;'管线假设'!I1337&amp;"|"&amp;'管线假设'!E1341&amp;"|"&amp;'管线假设'!F1341&amp;"|"&amp;'管线假设'!G1341&amp;"|"&amp;'管线假设'!H1341&amp;"|"&amp;'管线假设'!I1341&amp;"|"&amp;'管线假设'!E1345&amp;"|"&amp;'管线假设'!F1345&amp;"|"&amp;'管线假设'!G1345&amp;"|"&amp;'管线假设'!H1345&amp;"|"&amp;'管线假设'!I1345&amp;"|"&amp;'管线现金流'!I5983&amp;"|"&amp;'管线现金流'!AK5983&amp;"|"&amp;'管线现金流'!I5984&amp;"|"&amp;'管线现金流'!AK5984&amp;"|"&amp;'管线现金流'!I5985&amp;"|"&amp;'管线现金流'!AK5985&amp;"|"&amp;'管线现金流'!I5986&amp;"|"&amp;'管线现金流'!AK5986&amp;"|"&amp;'管线现金流'!I5987&amp;"|"&amp;'管线现金流'!AK5987&amp;"|"&amp;'管线现金流'!I5988&amp;"|"&amp;'管线现金流'!AK5988&amp;"|"&amp;'管线现金流'!I5989&amp;"|"&amp;'管线现金流'!AK5989&amp;"|"&amp;'管线现金流'!I5990&amp;"|"&amp;'管线现金流'!AK5990&amp;"|"&amp;'管线现金流'!I5991&amp;"|"&amp;'管线现金流'!AK5991&amp;"|"&amp;'管线现金流'!I5992&amp;"|"&amp;'管线现金流'!AK5992&amp;"|"&amp;'管线现金流'!I5993&amp;"|"&amp;'管线现金流'!AK5993&amp;"|"&amp;'管线现金流'!I5994&amp;"|"&amp;'管线现金流'!AK5994&amp;"|"&amp;'管线现金流'!I5995&amp;"|"&amp;'管线现金流'!AK5995&amp;"|"&amp;'管线现金流'!I5996&amp;"|"&amp;'管线现金流'!AK5996&amp;"|"&amp;'管线现金流'!I5997&amp;"|"&amp;'管线现金流'!AK5997&amp;"|"&amp;'管线现金流'!I5998&amp;"|"&amp;'管线现金流'!AK5998&amp;"|"&amp;'管线现金流'!I5999&amp;"|"&amp;'管线现金流'!AK5999&amp;"|"&amp;'管线现金流'!I6000&amp;"|"&amp;'管线现金流'!AK6000&amp;"|"&amp;'管线现金流'!I6001&amp;"|"&amp;'管线现金流'!AK6001&amp;"|"&amp;'管线现金流'!I6002&amp;"|"&amp;'管线现金流'!AK6002&amp;"|"&amp;'管线现金流'!I6003&amp;"|"&amp;'管线现金流'!AK6003&amp;"|"&amp;'管线现金流'!I6004&amp;"|"&amp;'管线现金流'!AK6004&amp;"|"&amp;'管线现金流'!I6005&amp;"|"&amp;'管线现金流'!AK6005&amp;"|"&amp;'管线现金流'!I6006&amp;"|"&amp;'管线现金流'!AK6006&amp;"|"&amp;'管线现金流'!I6007&amp;"|"&amp;'管线现金流'!AK6007&amp;"|"&amp;'管线现金流'!I6008&amp;"|"&amp;'管线现金流'!AK6008&amp;"|"&amp;'管线现金流'!I6009&amp;"|"&amp;'管线现金流'!AK6009&amp;"|"&amp;'管线现金流'!I6010&amp;"|"&amp;'管线现金流'!AK6010&amp;"|"&amp;'管线现金流'!I6011&amp;"|"&amp;'管线现金流'!AK6011&amp;"|"&amp;'管线现金流'!I6012&amp;"|"&amp;'管线现金流'!AK6012&amp;"|"&amp;'管线现金流'!I6013&amp;"|"&amp;'管线现金流'!AK6013&amp;"|"&amp;'管线现金流'!I6014&amp;"|"&amp;'管线现金流'!AK6014&amp;"|"&amp;'管线现金流'!I6015&amp;"|"&amp;'管线现金流'!AK6015&amp;"|"&amp;'管线现金流'!I6016&amp;"|"&amp;'管线现金流'!AK6016&amp;"|"&amp;'管线现金流'!I6017&amp;"|"&amp;'管线现金流'!AK6017&amp;"|"&amp;'管线现金流'!I6018&amp;"|"&amp;'管线现金流'!AK6018&amp;"|"&amp;'管线现金流'!I6019&amp;"|"&amp;'管线现金流'!AK6019&amp;"|"&amp;'管线现金流'!I6020&amp;"|"&amp;'管线现金流'!AK6020&amp;"|"&amp;'管线现金流'!I6021&amp;"|"&amp;'管线现金流'!AK6021&amp;"|"&amp;'管线现金流'!I6022&amp;"|"&amp;'管线现金流'!AK6022&amp;"|"&amp;'管线现金流'!I6023&amp;"|"&amp;'管线现金流'!AK6023&amp;"|"&amp;'管线现金流'!I6024&amp;"|"&amp;'管线现金流'!AK6024&amp;"|"&amp;'管线现金流'!I6025&amp;"|"&amp;'管线现金流'!AK6025&amp;"|"&amp;'管线现金流'!I6026&amp;"|"&amp;'管线现金流'!AK6026&amp;"|"&amp;'管线现金流'!I6027&amp;"|"&amp;'管线现金流'!AK6027&amp;"|"&amp;'管线现金流'!I6028&amp;"|"&amp;'管线现金流'!AK6028&amp;"|"&amp;'管线现金流'!I6029&amp;"|"&amp;'管线现金流'!AK6029&amp;"|"&amp;'管线现金流'!I6030&amp;"|"&amp;'管线现金流'!AK6030&amp;"|"&amp;'管线现金流'!I6031&amp;"|"&amp;'管线现金流'!AK6031&amp;"|"&amp;'管线现金流'!I6032&amp;"|"&amp;'管线现金流'!AK6032&amp;"|"&amp;'管线现金流'!I6033&amp;"|"&amp;'管线现金流'!AK6033&amp;"|"&amp;'管线现金流'!I6034&amp;"|"&amp;'管线现金流'!AK6034&amp;"|"&amp;'管线现金流'!I6035&amp;"|"&amp;'管线现金流'!AK6035&amp;"|"&amp;'管线现金流'!I6036&amp;"|"&amp;'管线现金流'!AK6036&amp;"|"&amp;'管线现金流'!I6037&amp;"|"&amp;'管线现金流'!AK6037&amp;"|"&amp;'管线现金流'!I6038&amp;"|"&amp;'管线现金流'!AK6038&amp;"|"&amp;'管线现金流'!I6039&amp;"|"&amp;'管线现金流'!AK6039&amp;"|"&amp;'管线现金流'!I6040&amp;"|"&amp;'管线现金流'!AK6040&amp;"|"&amp;'管线现金流'!I6041&amp;"|"&amp;'管线现金流'!AK6041&amp;"|"&amp;'管线现金流'!I6042&amp;"|"&amp;'管线现金流'!AK6042&amp;"|"&amp;'管线现金流'!I6043&amp;"|"&amp;'管线现金流'!AK6043&amp;"|"&amp;'管线现金流'!I6044&amp;"|"&amp;'管线现金流'!AK6044&amp;"|"&amp;'管线现金流'!I6045&amp;"|"&amp;'管线现金流'!AK6045&amp;"|"&amp;'管线现金流'!I6046&amp;"|"&amp;'管线现金流'!AK6046&amp;"|"&amp;'管线现金流'!I6047&amp;"|"&amp;'管线现金流'!AK6047&amp;"|"&amp;'管线现金流'!I6048&amp;"|"&amp;'管线现金流'!AK6048&amp;"|"&amp;'管线现金流'!I6049&amp;"|"&amp;'管线现金流'!AK6049&amp;"|"&amp;'管线现金流'!I6050&amp;"|"&amp;'管线现金流'!AK6050&amp;"|"&amp;'管线现金流'!I6051&amp;"|"&amp;'管线现金流'!AK6051&amp;"|"&amp;'管线现金流'!I6052&amp;"|"&amp;'管线现金流'!AK6052&amp;"|"&amp;'管线现金流'!I6053&amp;"|"&amp;'管线现金流'!AK6053&amp;"|"&amp;'管线现金流'!I6054&amp;"|"&amp;'管线现金流'!AK6054&amp;"|"&amp;'管线现金流'!I6055&amp;"|"&amp;'管线现金流'!AK6055&amp;"|"&amp;'管线现金流'!I6056&amp;"|"&amp;'管线现金流'!AK6056&amp;"|"&amp;'管线现金流'!I6057&amp;"|"&amp;'管线现金流'!AK6057&amp;"|"&amp;'管线现金流'!I6058&amp;"|"&amp;'管线现金流'!AK6058&amp;"|"&amp;'管线现金流'!I6059&amp;"|"&amp;'管线现金流'!AK6059&amp;"|"&amp;'管线现金流'!I6060&amp;"|"&amp;'管线现金流'!AK6060&amp;"|"&amp;'管线现金流'!I6061&amp;"|"&amp;'管线现金流'!AK6061&amp;"|"&amp;'管线现金流'!I6062&amp;"|"&amp;'管线现金流'!AK6062&amp;"|"&amp;'管线现金流'!I6063&amp;"|"&amp;'管线现金流'!AK6063&amp;"|"&amp;'管线现金流'!I6064&amp;"|"&amp;'管线现金流'!AK6064&amp;"|"&amp;'管线现金流'!I6065&amp;"|"&amp;'管线现金流'!AK6065&amp;"|"&amp;'管线现金流'!I6066&amp;"|"&amp;'管线现金流'!AK6066&amp;"|"&amp;'管线现金流'!I6067&amp;"|"&amp;'管线现金流'!AK6067&amp;"|"&amp;'管线现金流'!I6068&amp;"|"&amp;'管线现金流'!AK6068&amp;"|"&amp;'管线现金流'!I6069&amp;"|"&amp;'管线现金流'!AK6069&amp;"|"&amp;'管线现金流'!I6070&amp;"|"&amp;'管线现金流'!AK6070&amp;"|"&amp;'管线现金流'!I6071&amp;"|"&amp;'管线现金流'!AK6071&amp;"|"&amp;'管线现金流'!I6072&amp;"|"&amp;'管线现金流'!AK6072&amp;"|"&amp;'管线现金流'!I6073&amp;"|"&amp;'管线现金流'!AK6073&amp;"|"&amp;'管线现金流'!I6074&amp;"|"&amp;'管线现金流'!AK6074&amp;"|"&amp;'管线现金流'!I6075&amp;"|"&amp;'管线现金流'!AK6075&amp;"|"&amp;'管线现金流'!I6076&amp;"|"&amp;'管线现金流'!AK6076&amp;"|"&amp;'管线现金流'!I6077&amp;"|"&amp;'管线现金流'!AK6077&amp;"|"&amp;'管线现金流'!I6078&amp;"|"&amp;'管线现金流'!AK6078&amp;"|"&amp;'管线现金流'!I6079&amp;"|"&amp;'管线现金流'!AK6079&amp;"|"&amp;'管线现金流'!I6080&amp;"|"&amp;'管线现金流'!AK6080&amp;"|"&amp;'管线现金流'!I6081&amp;"|"&amp;'管线现金流'!AK6081&amp;"|"&amp;'管线现金流'!I6082&amp;"|"&amp;'管线现金流'!AK6082&amp;"|"&amp;'管线现金流'!I6083&amp;"|"&amp;'管线现金流'!AK6083&amp;"|"&amp;'管线现金流'!I6084&amp;"|"&amp;'管线现金流'!AK6084&amp;"|"&amp;'管线现金流'!I6085&amp;"|"&amp;'管线现金流'!AK6085&amp;"|"&amp;'管线现金流'!I6086&amp;"|"&amp;'管线现金流'!AK6086&amp;"|"&amp;'管线现金流'!I6087&amp;"|"&amp;'管线现金流'!AK6087&amp;"|"&amp;'管线现金流'!I6088&amp;"|"&amp;'管线现金流'!AK6088&amp;"|"&amp;'管线现金流'!I6089&amp;"|"&amp;'管线现金流'!AK6089&amp;"|"&amp;'管线现金流'!I6090&amp;"|"&amp;'管线现金流'!AK6090&amp;"|"&amp;'管线现金流'!I6091&amp;"|"&amp;'管线现金流'!AK6091&amp;"|"&amp;'管线现金流'!I6092&amp;"|"&amp;'管线现金流'!AK6092&amp;"|"&amp;'管线现金流'!I6093&amp;"|"&amp;'管线现金流'!AK6093&amp;"|"&amp;'管线现金流'!I6094&amp;"|"&amp;'管线现金流'!AK6094&amp;"|"&amp;'管线现金流'!I6095&amp;"|"&amp;'管线现金流'!AK6095&amp;"|"&amp;'管线现金流'!I6096&amp;"|"&amp;'管线现金流'!AK6096&amp;"|"&amp;'管线现金流'!I6097&amp;"|"&amp;'管线现金流'!AK6097&amp;"|"&amp;'管线现金流'!I6098&amp;"|"&amp;'管线现金流'!AK6098&amp;"|"&amp;'管线现金流'!I6099&amp;"|"&amp;'管线现金流'!AK6099&amp;"|"&amp;'管线现金流'!I6100&amp;"|"&amp;'管线现金流'!AK6100&amp;"|"&amp;'管线现金流'!I6101&amp;"|"&amp;'管线现金流'!AK6101&amp;"|"&amp;'管线现金流'!I6102&amp;"|"&amp;'管线现金流'!AK6102&amp;"|"&amp;'管线现金流'!I6103&amp;"|"&amp;'管线现金流'!AK6103&amp;"|"&amp;'管线现金流'!I6104&amp;"|"&amp;'管线现金流'!AK6104&amp;"|"&amp;'管线现金流'!I6105&amp;"|"&amp;'管线现金流'!AK6105&amp;"|"&amp;'管线现金流'!I6106&amp;"|"&amp;'管线现金流'!AK6106&amp;"|"&amp;'管线现金流'!I6107&amp;"|"&amp;'管线现金流'!AK6107&amp;"|"&amp;'管线现金流'!I6108&amp;"|"&amp;'管线现金流'!AK6108&amp;"|"&amp;'管线现金流'!I6109&amp;"|"&amp;'管线现金流'!AK6109&amp;"|"&amp;'管线现金流'!I6110&amp;"|"&amp;'管线现金流'!AK6110&amp;"|"&amp;'管线现金流'!I6111&amp;"|"&amp;'管线现金流'!AK6111&amp;"|"&amp;'管线现金流'!I6112&amp;"|"&amp;'管线现金流'!AK6112&amp;"|"&amp;'管线现金流'!I6113&amp;"|"&amp;'管线现金流'!AK6113&amp;"|"&amp;'管线现金流'!I6114&amp;"|"&amp;'管线现金流'!AK6114&amp;"|"&amp;'管线现金流'!I6115&amp;"|"&amp;'管线现金流'!AK6115&amp;"|"&amp;'管线现金流'!I6116&amp;"|"&amp;'管线现金流'!AK6116&amp;"|"&amp;'管线现金流'!I6117&amp;"|"&amp;'管线现金流'!AK6117&amp;"|"&amp;'管线现金流'!I6118&amp;"|"&amp;'管线现金流'!AK6118&amp;"|"&amp;'管线现金流'!I6119&amp;"|"&amp;'管线现金流'!AK6119&amp;"|"&amp;'管线现金流'!I6120&amp;"|"&amp;'管线现金流'!AK6120&amp;"|"&amp;'管线现金流'!I6121&amp;"|"&amp;'管线现金流'!AK6121&amp;"|"&amp;'管线现金流'!I6122&amp;"|"&amp;'管线现金流'!AK6122&amp;"|"&amp;'管线现金流'!I6123&amp;"|"&amp;'管线现金流'!AK6123&amp;"|"&amp;'管线现金流'!I6124&amp;"|"&amp;'管线现金流'!AK6124&amp;"|"&amp;'管线现金流'!I6125&amp;"|"&amp;'管线现金流'!AK6125&amp;"|"&amp;'管线现金流'!I6126&amp;"|"&amp;'管线现金流'!AK6126&amp;"|"&amp;'管线现金流'!I6127&amp;"|"&amp;'管线现金流'!AK6127&amp;"|"&amp;'管线现金流'!I6128&amp;"|"&amp;'管线现金流'!AK6128&amp;"|"&amp;'管线现金流'!I6129&amp;"|"&amp;'管线现金流'!AK6129&amp;"|"&amp;'管线现金流'!I6130&amp;"|"&amp;'管线现金流'!AK6130&amp;"|"&amp;'管线现金流'!I6131&amp;"|"&amp;'管线现金流'!AK6131&amp;"|"&amp;'管线现金流'!I6132&amp;"|"&amp;'管线现金流'!AK6132&amp;"|"&amp;'管线现金流'!I6133&amp;"|"&amp;'管线现金流'!AK6133&amp;"|"&amp;'管线现金流'!I6134&amp;"|"&amp;'管线现金流'!AK6134&amp;"|"&amp;'管线现金流'!I6135&amp;"|"&amp;'管线现金流'!AK6135&amp;"|"&amp;'管线现金流'!I6136&amp;"|"&amp;'管线现金流'!AK6136&amp;"|"&amp;'管线现金流'!I6137&amp;"|"&amp;'管线现金流'!AK6137&amp;"|"&amp;'管线现金流'!I6138&amp;"|"&amp;'管线现金流'!AK6138&amp;"|"&amp;'管线现金流'!I6139&amp;"|"&amp;'管线现金流'!AK6139&amp;"|"&amp;'管线现金流'!I6140&amp;"|"&amp;'管线现金流'!AK6140&amp;"|"&amp;'管线现金流'!I6141&amp;"|"&amp;'管线现金流'!AK6141&amp;"|"&amp;'管线现金流'!I6142&amp;"|"&amp;'管线现金流'!AK6142&amp;"|"&amp;'管线现金流'!I6143&amp;"|"&amp;'管线现金流'!AK6143&amp;"|"&amp;'管线现金流'!I6144&amp;"|"&amp;'管线现金流'!AK6144&amp;"|"&amp;'管线现金流'!I6145&amp;"|"&amp;'管线现金流'!AK6145&amp;"|"&amp;'管线现金流'!I6146&amp;"|"&amp;'管线现金流'!AK6146&amp;"|"&amp;'管线现金流'!I6147&amp;"|"&amp;'管线现金流'!AK6147&amp;"|"&amp;'管线现金流'!I6148&amp;"|"&amp;'管线现金流'!AK6148&amp;"|"&amp;'管线现金流'!I6149&amp;"|"&amp;'管线现金流'!AK6149&amp;"|"&amp;'管线现金流'!I6150&amp;"|"&amp;'管线现金流'!AK6150&amp;"|"&amp;'管线现金流'!I6151&amp;"|"&amp;'管线现金流'!AK6151&amp;"|"&amp;'管线现金流'!I6152&amp;"|"&amp;'管线现金流'!AK6152&amp;"|"&amp;'管线现金流'!I6153&amp;"|"&amp;'管线现金流'!AK6153&amp;"|"&amp;'管线现金流'!I6154&amp;"|"&amp;'管线现金流'!AK6154&amp;"|"&amp;'管线现金流'!I6155&amp;"|"&amp;'管线现金流'!AK6155&amp;"|"&amp;'管线现金流'!I6156&amp;"|"&amp;'管线现金流'!AK6156&amp;"|"&amp;'管线现金流'!I6157&amp;"|"&amp;'管线现金流'!AK6157&amp;"|"&amp;'管线现金流'!I6158&amp;"|"&amp;'管线现金流'!AK6158&amp;"|"&amp;'管线现金流'!I6159&amp;"|"&amp;'管线现金流'!AK6159&amp;"|"&amp;'管线现金流'!I6160&amp;"|"&amp;'管线现金流'!AK6160&amp;"|"&amp;'管线现金流'!I6161&amp;"|"&amp;'管线现金流'!AK6161&amp;"|"&amp;'管线现金流'!I6162&amp;"|"&amp;'管线现金流'!AK6162&amp;"|"&amp;'管线现金流'!I6163&amp;"|"&amp;'管线现金流'!AK6163&amp;"|"&amp;'管线现金流'!I6164&amp;"|"&amp;'管线现金流'!AK6164&amp;"|"&amp;'管线现金流'!I6165&amp;"|"&amp;'管线现金流'!AK6165&amp;"|"&amp;'管线现金流'!I6166&amp;"|"&amp;'管线现金流'!AK6166&amp;"|"&amp;'管线现金流'!I6167&amp;"|"&amp;'管线现金流'!AK6167&amp;"|"&amp;'管线现金流'!I6168&amp;"|"&amp;'管线现金流'!AK6168&amp;"|"&amp;'管线现金流'!I6169&amp;"|"&amp;'管线现金流'!AK6169&amp;"|"&amp;'管线现金流'!I6170&amp;"|"&amp;'管线现金流'!AK6170&amp;"|"&amp;'管线现金流'!I6171&amp;"|"&amp;'管线现金流'!AK6171&amp;"|"&amp;'管线现金流'!I6172&amp;"|"&amp;'管线现金流'!AK6172&amp;"|"&amp;'管线现金流'!I6173&amp;"|"&amp;'管线现金流'!AK6173&amp;"|"&amp;'管线现金流'!I6174&amp;"|"&amp;'管线现金流'!AK6174&amp;"|"&amp;'管线现金流'!I6175&amp;"|"&amp;'管线现金流'!AK6175&amp;"|"&amp;'管线现金流'!I6176&amp;"|"&amp;'管线现金流'!AK6176&amp;"|"&amp;'管线现金流'!I6177&amp;"|"&amp;'管线现金流'!AK6177&amp;"|"&amp;'管线现金流'!I6178&amp;"|"&amp;'管线现金流'!AK6178&amp;"|"&amp;'管线现金流'!I6179&amp;"|"&amp;'管线现金流'!AK6179&amp;"|"&amp;'管线现金流'!I6180&amp;"|"&amp;'管线现金流'!AK6180&amp;"|"&amp;'管线现金流'!I6181&amp;"|"&amp;'管线现金流'!AK6181&amp;"|"&amp;'管线现金流'!I6182&amp;"|"&amp;'管线现金流'!AK6182&amp;"|"&amp;'管线现金流'!I6183&amp;"|"&amp;'管线现金流'!AK6183&amp;"|"&amp;'管线现金流'!I6184&amp;"|"&amp;'管线现金流'!AK6184&amp;"|"&amp;'管线现金流'!I6185&amp;"|"&amp;'管线现金流'!AK6185&amp;"|"&amp;'管线现金流'!I6186&amp;"|"&amp;'管线现金流'!AK6186&amp;"|"&amp;'管线现金流'!I6187&amp;"|"&amp;'管线现金流'!AK6187&amp;"|"&amp;'管线现金流'!I6188&amp;"|"&amp;'管线现金流'!AK6188&amp;"|"&amp;'管线现金流'!I6189&amp;"|"&amp;'管线现金流'!AK6189&amp;"|"&amp;'管线现金流'!I6190&amp;"|"&amp;'管线现金流'!AK6190&amp;"|"&amp;'管线现金流'!I6191&amp;"|"&amp;'管线现金流'!AK6191&amp;"|"&amp;'管线现金流'!I6192&amp;"|"&amp;'管线现金流'!AK6192&amp;"|"&amp;'管线现金流'!I6193&amp;"|"&amp;'管线现金流'!AK6193&amp;"|"&amp;'管线现金流'!I6194&amp;"|"&amp;'管线现金流'!AK6194&amp;"|"&amp;'管线现金流'!I6195&amp;"|"&amp;'管线现金流'!AK6195&amp;"|"&amp;'管线现金流'!I6196&amp;"|"&amp;'管线现金流'!AK6196&amp;"|"&amp;'管线现金流'!I6197&amp;"|"&amp;'管线现金流'!AK6197&amp;"|"&amp;'管线现金流'!I6198&amp;"|"&amp;'管线现金流'!AK6198&amp;"|"&amp;'管线现金流'!I6199&amp;"|"&amp;'管线现金流'!AK6199&amp;"|"&amp;'管线现金流'!I6200&amp;"|"&amp;'管线现金流'!AK6200&amp;"|"&amp;'管线现金流'!I6201&amp;"|"&amp;'管线现金流'!AK6201&amp;"|"&amp;'管线现金流'!I6202&amp;"|"&amp;'管线现金流'!AK6202&amp;"|"&amp;'管线现金流'!I6203&amp;"|"&amp;'管线现金流'!AK6203&amp;"|"&amp;'管线现金流'!I6204&amp;"|"&amp;'管线现金流'!AK6204&amp;"|"&amp;'管线现金流'!I6205&amp;"|"&amp;'管线现金流'!AK6205&amp;"|"&amp;'管线现金流'!I6206&amp;"|"&amp;'管线现金流'!AK6206&amp;"|"&amp;'管线现金流'!I6207&amp;"|"&amp;'管线现金流'!AK6207&amp;"|"&amp;'管线现金流'!I6208&amp;"|"&amp;'管线现金流'!AK6208&amp;"|"&amp;'管线现金流'!I6209&amp;"|"&amp;'管线现金流'!AK6209&amp;"|"&amp;'管线现金流'!I6210&amp;"|"&amp;'管线现金流'!AK6210&amp;"|"&amp;'管线现金流'!I6211&amp;"|"&amp;'管线现金流'!AK6211&amp;"|"&amp;'管线现金流'!I6212&amp;"|"&amp;'管线现金流'!AK6212&amp;"|"&amp;'管线现金流'!I6213&amp;"|"&amp;'管线现金流'!AK6213&amp;"|"&amp;'管线现金流'!I6214&amp;"|"&amp;'管线现金流'!AK6214&amp;"|"&amp;'管线现金流'!I6215&amp;"|"&amp;'管线现金流'!AK6215&amp;"|"&amp;'管线现金流'!I6216&amp;"|"&amp;'管线现金流'!AK6216&amp;"|"&amp;'管线现金流'!I6217&amp;"|"&amp;'管线现金流'!AK6217&amp;"|"&amp;'管线现金流'!I6218&amp;"|"&amp;'管线现金流'!AK6218&amp;"|"&amp;'管线现金流'!I6219&amp;"|"&amp;'管线现金流'!AK6219&amp;"|"&amp;'管线现金流'!I6220&amp;"|"&amp;'管线现金流'!AK6220&amp;"|"&amp;'管线现金流'!I6221&amp;"|"&amp;'管线现金流'!AK6221&amp;"|"&amp;'管线现金流'!I6222&amp;"|"&amp;'管线现金流'!AK6222&amp;"|"&amp;'管线现金流'!I6223&amp;"|"&amp;'管线现金流'!AK6223&amp;"|"&amp;'管线现金流'!I6224&amp;"|"&amp;'管线现金流'!AK6224&amp;"|"&amp;'管线现金流'!I6225&amp;"|"&amp;'管线现金流'!AK6225&amp;"|"&amp;'管线现金流'!I6226&amp;"|"&amp;'管线现金流'!AK6226&amp;"|"&amp;'管线现金流'!I6227&amp;"|"&amp;'管线现金流'!AK6227&amp;"|"&amp;'管线现金流'!I6228&amp;"|"&amp;'管线现金流'!AK6228&amp;"|"&amp;'管线现金流'!I6229&amp;"|"&amp;'管线现金流'!AK6229&amp;"|"&amp;'管线现金流'!I6230&amp;"|"&amp;'管线现金流'!AK6230&amp;"|"&amp;'管线现金流'!I6231&amp;"|"&amp;'管线现金流'!AK6231&amp;"|"&amp;'管线现金流'!I6232&amp;"|"&amp;'管线现金流'!AK6232&amp;"|"&amp;'管线现金流'!I6233&amp;"|"&amp;'管线现金流'!AK6233&amp;"|"&amp;'管线现金流'!I6234&amp;"|"&amp;'管线现金流'!AK6234&amp;"|"&amp;'管线现金流'!I6235&amp;"|"&amp;'管线现金流'!AK6235&amp;"|"&amp;'管线现金流'!I6236&amp;"|"&amp;'管线现金流'!AK6236&amp;"|"&amp;'管线现金流'!I6237&amp;"|"&amp;'管线现金流'!AK6237&amp;"|"&amp;'管线现金流'!I6238&amp;"|"&amp;'管线现金流'!AK6238&amp;"|"&amp;'管线现金流'!I6239&amp;"|"&amp;'管线现金流'!AK6239&amp;"|"&amp;'管线现金流'!I6240&amp;"|"&amp;'管线现金流'!AK6240&amp;"|"&amp;'管线现金流'!I6241&amp;"|"&amp;'管线现金流'!AK6241&amp;"|"&amp;'管线现金流'!I6242&amp;"|"&amp;'管线现金流'!AK6242&amp;"|"&amp;'管线现金流'!I6243&amp;"|"&amp;'管线现金流'!AK6243&amp;"|"&amp;'管线现金流'!I6244&amp;"|"&amp;'管线现金流'!AK6244&amp;"|"&amp;'管线现金流'!I6245&amp;"|"&amp;'管线现金流'!AK6245&amp;"|"&amp;'管线现金流'!I6246&amp;"|"&amp;'管线现金流'!AK6246&amp;"|"&amp;'管线现金流'!I6247&amp;"|"&amp;'管线现金流'!AK6247&amp;"|"&amp;'管线现金流'!I6248&amp;"|"&amp;'管线现金流'!AK6248&amp;"|"&amp;'管线现金流'!I6249&amp;"|"&amp;'管线现金流'!AK6249&amp;"|"&amp;'管线现金流'!I6250&amp;"|"&amp;'管线现金流'!AK6250&amp;"|"&amp;'管线现金流'!I6251&amp;"|"&amp;'管线现金流'!AK6251&amp;"|"&amp;'管线现金流'!I6252&amp;"|"&amp;'管线现金流'!AK6252&amp;"|"&amp;'管线现金流'!I6253&amp;"|"&amp;'管线现金流'!AK6253&amp;"|"&amp;'管线现金流'!I6254&amp;"|"&amp;'管线现金流'!AK6254&amp;"|"&amp;'管线现金流'!I6255&amp;"|"&amp;'管线现金流'!AK6255&amp;"|"&amp;'管线现金流'!I6256&amp;"|"&amp;'管线现金流'!AK6256&amp;"|"&amp;'管线现金流'!I6257&amp;"|"&amp;'管线现金流'!AK6257&amp;"|"&amp;'管线现金流'!I6258&amp;"|"&amp;'管线现金流'!AK6258&amp;"|"&amp;'管线现金流'!I6259&amp;"|"&amp;'管线现金流'!AK6259&amp;"|"&amp;'管线现金流'!I6260&amp;"|"&amp;'管线现金流'!AK6260&amp;"|"&amp;'管线现金流'!I6261&amp;"|"&amp;'管线现金流'!AK6261&amp;"|"&amp;'管线现金流'!I6262&amp;"|"&amp;'管线现金流'!AK6262&amp;"|"&amp;'管线现金流'!I6263&amp;"|"&amp;'管线现金流'!AK6263&amp;"|"&amp;'管线现金流'!I6264&amp;"|"&amp;'管线现金流'!AK6264&amp;"|"&amp;'管线现金流'!I6265&amp;"|"&amp;'管线现金流'!AK6265&amp;"|"&amp;'管线现金流'!I6266&amp;"|"&amp;'管线现金流'!AK6266&amp;"|"&amp;'管线现金流'!I6267&amp;"|"&amp;'管线现金流'!AK6267&amp;"|"&amp;'管线现金流'!I6268&amp;"|"&amp;'管线现金流'!AK6268&amp;"|"&amp;'管线现金流'!I6269&amp;"|"&amp;'管线现金流'!AK6269&amp;"|"&amp;'管线现金流'!I6270&amp;"|"&amp;'管线现金流'!AK6270&amp;"|"&amp;'管线现金流'!I6271&amp;"|"&amp;'管线现金流'!AK6271&amp;"|"&amp;'管线现金流'!I6272&amp;"|"&amp;'管线现金流'!AK6272&amp;"|"&amp;'管线现金流'!I6273&amp;"|"&amp;'管线现金流'!AK6273&amp;"|"&amp;'管线现金流'!I6274&amp;"|"&amp;'管线现金流'!AK6274&amp;"|"&amp;'管线现金流'!I6275&amp;"|"&amp;'管线现金流'!AK6275&amp;"|"&amp;'管线现金流'!I6276&amp;"|"&amp;'管线现金流'!AK6276&amp;"|"&amp;'管线现金流'!I6277&amp;"|"&amp;'管线现金流'!AK6277&amp;"|"&amp;'管线现金流'!I6278&amp;"|"&amp;'管线现金流'!AK6278&amp;"|"&amp;'管线现金流'!I6279&amp;"|"&amp;'管线现金流'!AK6279&amp;"|"&amp;'管线现金流'!I6280&amp;"|"&amp;'管线现金流'!AK6280&amp;"|"&amp;'管线现金流'!I6281&amp;"|"&amp;'管线现金流'!AK6281&amp;"|"&amp;'管线现金流'!I6282&amp;"|"&amp;'管线现金流'!AK6282&amp;"|"&amp;'管线现金流'!I6283&amp;"|"&amp;'管线现金流'!AK6283&amp;"|"&amp;'管线现金流'!I6284&amp;"|"&amp;'管线现金流'!AK6284&amp;"|"&amp;'管线现金流'!I6285&amp;"|"&amp;'管线现金流'!AK6285&amp;"|"&amp;'管线现金流'!I6286&amp;"|"&amp;'管线现金流'!AK6286&amp;"|"&amp;'管线现金流'!V98&amp;"|"&amp;'管线现金流'!Y98&amp;"|"&amp;'管线现金流'!AP98&amp;"|"&amp;'管线现金流'!AS98&amp;"|"&amp;'管线现金流'!V99&amp;"|"&amp;'管线现金流'!Y99&amp;"|"&amp;'管线现金流'!AP99&amp;"|"&amp;'管线现金流'!AS99&amp;"|"&amp;'管线现金流'!V100&amp;"|"&amp;'管线现金流'!Y100&amp;"|"&amp;'管线现金流'!AP100&amp;"|"&amp;'管线现金流'!AS100&amp;"|"&amp;'管线现金流'!V101&amp;"|"&amp;'管线现金流'!Y101&amp;"|"&amp;'管线现金流'!AP101&amp;"|"&amp;'管线现金流'!AS101</x:f>
        <x:v>1|-0.8|1.4|0.9496|0.23|1|0.14|6.8|1|0.08000000000000002|1|0.14|6.8|0.7263999999999999|0.3|1|0.14|6.8|0.676|0.3|1|0.14|6.8|0.6255999999999999|0.3|1|0.14|6.8|0.496|0.3|1|0.14|6.8|0.3952|0.3|1|0.14|6.8|0.42400000000000004|0.23|1|0.14|6.8|0.4384|0.3|1|0.14|6.8|0.352|0.3|1|0.14|6.8|0.45999999999999996|0.3|1|0.14|6.8|0.36640000000000006|0.064|1|0.14|6.8|0.36640000000000006|0.3|1|0.14|6.8|0.5824|0.068|1|0.14|6.8|0.532|0.3|1|0.14|6.8|0.388|0.068|1|0.14|6.8|0.30000000000000004|0|0.6000000000000001|0|0.8999999999999999|0|1.2000000000000002|0|1.5|0|1.305|0|1.1099999999999999|0|0.915|0|0.72|0|0.5249999999999999|0|0.32999999999999996|0|0.13499999999999995|0|0|0|0|0|0|0|0|0|0|0|0|0|0|0|0.24|0|0.48|0|0.72|0|0.96|0|1.2|0|1.044|0|0.888|0|0.732|0|0.576|0|0.42|0|0.26399999999999996|0|0.10799999999999996|0|0|0|0|0|0|0|0|0|0|0|0|0|0|0|0|0|0.22000000000000003|0|0.44000000000000006|0|0.66|0|0.8800000000000001|0|1.1|0|0.9570000000000001|0|0.8140000000000001|0|0.671|0|0.528|0|0.385|0|0.242|0|0.09899999999999998|0|0|0|0|0|0|0|0|0|0|0|0|0|0|0|0.3333333333333333|0|0.6666666666666666|0|1|0|1.3333333333333333|0|1.6666666666666667|0|2|0|1.74|0|1.48|0|1.22|0|0.96|0|0.7|0|0.43999999999999995|0|0.17999999999999994|0|0|0|0|0|0|0|0|0|0|0|0|0|0.2333333333333333|0|0.4666666666666666|0|0.7|0|0.9333333333333332|0|1.1666666666666667|0|1.4|0|1.218|0|1.036|0|0.854|0|0.6719999999999999|0|0.48999999999999994|0|0.30799999999999994|0|0.12599999999999995|0|0|0|0|0|0|0|0|0|0|0|0|0|0|0|0|0|0.25|0|0.5|0|0.75|0|1|0|1.25|0|1.5|0|1.305|0|1.1099999999999999|0|0.915|0|0.72|0|0.5249999999999999|0|0.32999999999999996|0|0.13499999999999995|0|0|0|0|0|0|0|0|0|0|0|0|0|0|0|0.1|0|0.2|0|0.3|0|0.4|0|0.5|0|0.435|0|0.37|0|0.305|0|0.24|0|0.175|0|0.10999999999999999|0|0.044999999999999984|0|0|0|0|0|0|0|0|0|0|0|0|0|0|0|0|0|0.22000000000000003|0|0.44000000000000006|0|0.66|0|0.8800000000000001|0|1.1|0|0.9570000000000001|0|0.8140000000000001|0|0.671|0|0.528|0|0.385|0|0.242|0|0.09899999999999998|0|0|0|0|0|0|0|0|0|0|0|0|0|0.3|0|0.6|0|0.9|0|1.2|0|1.5|0|1.8|0|1.566|0|1.332|0|1.098|0|0.864|0|0.63|0|0.39599999999999996|0|0.16199999999999995|0|0|0|0|0|0|0|0|0|0|0|0|0|0|0|0|0|0.30000000000000004|0|0.6000000000000001|0|0.8999999999999999|0|1.2000000000000002|0|1.5|0|1.305|0|1.1099999999999999|0|0.915|0|0.72|0|0.5249999999999999|0|0.32999999999999996|0|0.13499999999999995|0|0|0|0|0|0|0|0|0|0|0|0.3333333333333333|0|0.6666666666666666|0|1|0|1.3333333333333333|0|1.6666666666666667|0|2|0|1.74|0|1.48|0|1.22|0|0.96|0|0.7|0|0.43999999999999995|0|0.17999999999999994|0|0|0|0|0|0|0|0|0|0|0|0|0|0|0|0|0|0.3|0|0.6|0|0.9|0|1.2|0|1.5|0|1.8|0|1.566|0|1.332|0|1.098|0|0.864|0|0.63|0|0.39599999999999996|0|0.16199999999999995|0|0|0|0|0|0|0|0|0|0|0|0.13333333333333333|0|0.26666666666666666|0|0.4|0|0.5333333333333333|0|0.6666666666666667|0|0.8|0|0.6960000000000001|0|0.592|0|0.488|0|0.384|0|0.27999999999999997|0|0.176|0|0.07199999999999998|0|0|0|0|0|0|0|0|0|0|0|0.16666666666666666|0|0.3333333333333333|0|0.5|0|0.6666666666666666|0|0.8333333333333334|0|1|0|0.87|0|0.74|0|0.61|0|0.48|0|0.35|0|0.21999999999999997|0|0.08999999999999997|0|0|0|0|0|0|0|0|0|0|0|0|0|0.09999999999999999|0|0.19999999999999998|0|0.3|0|0.39999999999999997|0|0.5|0|0.6|0|0.522|0|0.444|0|0.366|0|0.288|0|0.21|0|0.13199999999999998|0|0.05399999999999998|0|0|0|0|0|0|0|0|0|0|0|0|0|0|0|0|0|0.16666666666666666|0|0.3333333333333333|0|0.5|0|0.6666666666666666|0|0.8333333333333334|0|1|0|0.87|0|0.74|0|0.61|0|0.48|0|0.35|0|0.21999999999999997|0|0.08999999999999997|0|0.08|1|0.8|1|0.08|1|0.8|1|0.07|1|0.8|1|0.04|1|0.8|1</x:v>
      </x:c>
    </x:row>
    <x:row r="486" ht="23" customHeight="1">
      <x:c r="A486" s="11" t="str">
        <x:v>688062.SH</x:v>
      </x:c>
      <x:c r="B486" s="11" t="str">
        <x:v>迈威生物</x:v>
      </x:c>
      <x:c r="C486" s="11" t="str">
        <x:v>五年</x:v>
      </x:c>
      <x:c r="D486" s="11" t="str">
        <x:v>乐观</x:v>
      </x:c>
      <x:c r="E486" s="11" t="n">
        <x:v>24.78</x:v>
      </x:c>
      <x:c r="F486" s="11" t="n">
        <x:v>106.74043105217339</x:v>
      </x:c>
      <x:c r="G486" s="11" t="n">
        <x:v>0</x:v>
      </x:c>
      <x:c r="H486" s="25" t="n">
        <x:v>3.3075234484331473</x:v>
      </x:c>
      <x:c r="I486" s="25" t="n">
        <x:v>3.3075234484331473</x:v>
      </x:c>
      <x:c r="J486" s="25" t="n">
        <x:v>0.3392002756794501</x:v>
      </x:c>
      <x:c r="K486" s="11" t="n">
        <x:v>0</x:v>
      </x:c>
      <x:c r="L486" s="11" t="n">
        <x:v>0</x:v>
      </x:c>
      <x:c r="M486" s="11" t="n">
        <x:v>1</x:v>
      </x:c>
      <x:c r="N486" s="11" t="n">
        <x:v>0</x:v>
      </x:c>
      <x:c r="O486" s="11" t="n">
        <x:v>0</x:v>
      </x:c>
      <x:c r="P486" s="11" t="n">
        <x:v>0</x:v>
      </x:c>
      <x:c r="Q486" s="11" t="n">
        <x:v>0.54</x:v>
      </x:c>
      <x:c r="R486" s="11" t="str">
        <x:v>mabwell-rnpv-v1.1</x:v>
      </x:c>
      <x:c r="S486" s="11" t="str">
        <x:v>2026-10-10</x:v>
      </x:c>
      <x:c r="T486" s="11" t="str">
        <x:f>IF(AND(SUM(IF(K486='假设'!E646,0,1),IF(L486='假设'!F646,0,1),IF(M486='假设'!G646,0,1),IF(N486='假设'!H646,0,1),IF(O486='假设'!I646,0,1),IF(P486='假设'!J646,0,1),IF(Q486='假设'!K646,0,1))=0,U486=V486),"已刷新","待刷新")</x:f>
        <x:v>已刷新</x:v>
      </x:c>
      <x:c r="U486" t="str">
        <x:v>1|1.5|1.8|0.99|0.3|1|0.11|6.8|1|0.10660000000000001|1|0.11|6.8|0.9099999999999999|0.38|1|0.11|6.8|0.89|0.38|1|0.11|6.8|0.865|0.38|1|0.11|6.8|0.775|0.38|1|0.11|6.8|0.67|0.38|1|0.11|6.8|0.69|0.3|1|0.11|6.8|0.71|0.38|1|0.11|6.8|0.625|0.38|1|0.11|6.8|0.725|0.38|1|0.11|6.8|0.64|0.0902|1|0.11|6.8|0.65|0.38|1|0.11|6.8|0.825|0.08610000000000001|1|0.11|6.8|0.8|0.38|1|0.11|6.8|0.65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  <x:c r="V486" t="str">
        <x:f>'假设'!U646&amp;"|"&amp;'假设'!N646&amp;"|"&amp;'假设'!Q646&amp;"|"&amp;'管线假设'!E1286&amp;"|"&amp;'管线假设'!F1286&amp;"|"&amp;'管线假设'!G1286&amp;"|"&amp;'管线假设'!H1286&amp;"|"&amp;'管线假设'!I1286&amp;"|"&amp;'管线假设'!E1290&amp;"|"&amp;'管线假设'!F1290&amp;"|"&amp;'管线假设'!G1290&amp;"|"&amp;'管线假设'!H1290&amp;"|"&amp;'管线假设'!I1290&amp;"|"&amp;'管线假设'!E1294&amp;"|"&amp;'管线假设'!F1294&amp;"|"&amp;'管线假设'!G1294&amp;"|"&amp;'管线假设'!H1294&amp;"|"&amp;'管线假设'!I1294&amp;"|"&amp;'管线假设'!E1298&amp;"|"&amp;'管线假设'!F1298&amp;"|"&amp;'管线假设'!G1298&amp;"|"&amp;'管线假设'!H1298&amp;"|"&amp;'管线假设'!I1298&amp;"|"&amp;'管线假设'!E1302&amp;"|"&amp;'管线假设'!F1302&amp;"|"&amp;'管线假设'!G1302&amp;"|"&amp;'管线假设'!H1302&amp;"|"&amp;'管线假设'!I1302&amp;"|"&amp;'管线假设'!E1306&amp;"|"&amp;'管线假设'!F1306&amp;"|"&amp;'管线假设'!G1306&amp;"|"&amp;'管线假设'!H1306&amp;"|"&amp;'管线假设'!I1306&amp;"|"&amp;'管线假设'!E1310&amp;"|"&amp;'管线假设'!F1310&amp;"|"&amp;'管线假设'!G1310&amp;"|"&amp;'管线假设'!H1310&amp;"|"&amp;'管线假设'!I1310&amp;"|"&amp;'管线假设'!E1314&amp;"|"&amp;'管线假设'!F1314&amp;"|"&amp;'管线假设'!G1314&amp;"|"&amp;'管线假设'!H1314&amp;"|"&amp;'管线假设'!I1314&amp;"|"&amp;'管线假设'!E1318&amp;"|"&amp;'管线假设'!F1318&amp;"|"&amp;'管线假设'!G1318&amp;"|"&amp;'管线假设'!H1318&amp;"|"&amp;'管线假设'!I1318&amp;"|"&amp;'管线假设'!E1322&amp;"|"&amp;'管线假设'!F1322&amp;"|"&amp;'管线假设'!G1322&amp;"|"&amp;'管线假设'!H1322&amp;"|"&amp;'管线假设'!I1322&amp;"|"&amp;'管线假设'!E1326&amp;"|"&amp;'管线假设'!F1326&amp;"|"&amp;'管线假设'!G1326&amp;"|"&amp;'管线假设'!H1326&amp;"|"&amp;'管线假设'!I1326&amp;"|"&amp;'管线假设'!E1330&amp;"|"&amp;'管线假设'!F1330&amp;"|"&amp;'管线假设'!G1330&amp;"|"&amp;'管线假设'!H1330&amp;"|"&amp;'管线假设'!I1330&amp;"|"&amp;'管线假设'!E1334&amp;"|"&amp;'管线假设'!F1334&amp;"|"&amp;'管线假设'!G1334&amp;"|"&amp;'管线假设'!H1334&amp;"|"&amp;'管线假设'!I1334&amp;"|"&amp;'管线假设'!E1338&amp;"|"&amp;'管线假设'!F1338&amp;"|"&amp;'管线假设'!G1338&amp;"|"&amp;'管线假设'!H1338&amp;"|"&amp;'管线假设'!I1338&amp;"|"&amp;'管线假设'!E1342&amp;"|"&amp;'管线假设'!F1342&amp;"|"&amp;'管线假设'!G1342&amp;"|"&amp;'管线假设'!H1342&amp;"|"&amp;'管线假设'!I1342&amp;"|"&amp;'管线假设'!E1346&amp;"|"&amp;'管线假设'!F1346&amp;"|"&amp;'管线假设'!G1346&amp;"|"&amp;'管线假设'!H1346&amp;"|"&amp;'管线假设'!I1346&amp;"|"&amp;'管线现金流'!J5983&amp;"|"&amp;'管线现金流'!AL5983&amp;"|"&amp;'管线现金流'!J5984&amp;"|"&amp;'管线现金流'!AL5984&amp;"|"&amp;'管线现金流'!J5985&amp;"|"&amp;'管线现金流'!AL5985&amp;"|"&amp;'管线现金流'!J5986&amp;"|"&amp;'管线现金流'!AL5986&amp;"|"&amp;'管线现金流'!J5987&amp;"|"&amp;'管线现金流'!AL5987&amp;"|"&amp;'管线现金流'!J5988&amp;"|"&amp;'管线现金流'!AL5988&amp;"|"&amp;'管线现金流'!J5989&amp;"|"&amp;'管线现金流'!AL5989&amp;"|"&amp;'管线现金流'!J5990&amp;"|"&amp;'管线现金流'!AL5990&amp;"|"&amp;'管线现金流'!J5991&amp;"|"&amp;'管线现金流'!AL5991&amp;"|"&amp;'管线现金流'!J5992&amp;"|"&amp;'管线现金流'!AL5992&amp;"|"&amp;'管线现金流'!J5993&amp;"|"&amp;'管线现金流'!AL5993&amp;"|"&amp;'管线现金流'!J5994&amp;"|"&amp;'管线现金流'!AL5994&amp;"|"&amp;'管线现金流'!J5995&amp;"|"&amp;'管线现金流'!AL5995&amp;"|"&amp;'管线现金流'!J5996&amp;"|"&amp;'管线现金流'!AL5996&amp;"|"&amp;'管线现金流'!J5997&amp;"|"&amp;'管线现金流'!AL5997&amp;"|"&amp;'管线现金流'!J5998&amp;"|"&amp;'管线现金流'!AL5998&amp;"|"&amp;'管线现金流'!J5999&amp;"|"&amp;'管线现金流'!AL5999&amp;"|"&amp;'管线现金流'!J6000&amp;"|"&amp;'管线现金流'!AL6000&amp;"|"&amp;'管线现金流'!J6001&amp;"|"&amp;'管线现金流'!AL6001&amp;"|"&amp;'管线现金流'!J6002&amp;"|"&amp;'管线现金流'!AL6002&amp;"|"&amp;'管线现金流'!J6003&amp;"|"&amp;'管线现金流'!AL6003&amp;"|"&amp;'管线现金流'!J6004&amp;"|"&amp;'管线现金流'!AL6004&amp;"|"&amp;'管线现金流'!J6005&amp;"|"&amp;'管线现金流'!AL6005&amp;"|"&amp;'管线现金流'!J6006&amp;"|"&amp;'管线现金流'!AL6006&amp;"|"&amp;'管线现金流'!J6007&amp;"|"&amp;'管线现金流'!AL6007&amp;"|"&amp;'管线现金流'!J6008&amp;"|"&amp;'管线现金流'!AL6008&amp;"|"&amp;'管线现金流'!J6009&amp;"|"&amp;'管线现金流'!AL6009&amp;"|"&amp;'管线现金流'!J6010&amp;"|"&amp;'管线现金流'!AL6010&amp;"|"&amp;'管线现金流'!J6011&amp;"|"&amp;'管线现金流'!AL6011&amp;"|"&amp;'管线现金流'!J6012&amp;"|"&amp;'管线现金流'!AL6012&amp;"|"&amp;'管线现金流'!J6013&amp;"|"&amp;'管线现金流'!AL6013&amp;"|"&amp;'管线现金流'!J6014&amp;"|"&amp;'管线现金流'!AL6014&amp;"|"&amp;'管线现金流'!J6015&amp;"|"&amp;'管线现金流'!AL6015&amp;"|"&amp;'管线现金流'!J6016&amp;"|"&amp;'管线现金流'!AL6016&amp;"|"&amp;'管线现金流'!J6017&amp;"|"&amp;'管线现金流'!AL6017&amp;"|"&amp;'管线现金流'!J6018&amp;"|"&amp;'管线现金流'!AL6018&amp;"|"&amp;'管线现金流'!J6019&amp;"|"&amp;'管线现金流'!AL6019&amp;"|"&amp;'管线现金流'!J6020&amp;"|"&amp;'管线现金流'!AL6020&amp;"|"&amp;'管线现金流'!J6021&amp;"|"&amp;'管线现金流'!AL6021&amp;"|"&amp;'管线现金流'!J6022&amp;"|"&amp;'管线现金流'!AL6022&amp;"|"&amp;'管线现金流'!J6023&amp;"|"&amp;'管线现金流'!AL6023&amp;"|"&amp;'管线现金流'!J6024&amp;"|"&amp;'管线现金流'!AL6024&amp;"|"&amp;'管线现金流'!J6025&amp;"|"&amp;'管线现金流'!AL6025&amp;"|"&amp;'管线现金流'!J6026&amp;"|"&amp;'管线现金流'!AL6026&amp;"|"&amp;'管线现金流'!J6027&amp;"|"&amp;'管线现金流'!AL6027&amp;"|"&amp;'管线现金流'!J6028&amp;"|"&amp;'管线现金流'!AL6028&amp;"|"&amp;'管线现金流'!J6029&amp;"|"&amp;'管线现金流'!AL6029&amp;"|"&amp;'管线现金流'!J6030&amp;"|"&amp;'管线现金流'!AL6030&amp;"|"&amp;'管线现金流'!J6031&amp;"|"&amp;'管线现金流'!AL6031&amp;"|"&amp;'管线现金流'!J6032&amp;"|"&amp;'管线现金流'!AL6032&amp;"|"&amp;'管线现金流'!J6033&amp;"|"&amp;'管线现金流'!AL6033&amp;"|"&amp;'管线现金流'!J6034&amp;"|"&amp;'管线现金流'!AL6034&amp;"|"&amp;'管线现金流'!J6035&amp;"|"&amp;'管线现金流'!AL6035&amp;"|"&amp;'管线现金流'!J6036&amp;"|"&amp;'管线现金流'!AL6036&amp;"|"&amp;'管线现金流'!J6037&amp;"|"&amp;'管线现金流'!AL6037&amp;"|"&amp;'管线现金流'!J6038&amp;"|"&amp;'管线现金流'!AL6038&amp;"|"&amp;'管线现金流'!J6039&amp;"|"&amp;'管线现金流'!AL6039&amp;"|"&amp;'管线现金流'!J6040&amp;"|"&amp;'管线现金流'!AL6040&amp;"|"&amp;'管线现金流'!J6041&amp;"|"&amp;'管线现金流'!AL6041&amp;"|"&amp;'管线现金流'!J6042&amp;"|"&amp;'管线现金流'!AL6042&amp;"|"&amp;'管线现金流'!J6043&amp;"|"&amp;'管线现金流'!AL6043&amp;"|"&amp;'管线现金流'!J6044&amp;"|"&amp;'管线现金流'!AL6044&amp;"|"&amp;'管线现金流'!J6045&amp;"|"&amp;'管线现金流'!AL6045&amp;"|"&amp;'管线现金流'!J6046&amp;"|"&amp;'管线现金流'!AL6046&amp;"|"&amp;'管线现金流'!J6047&amp;"|"&amp;'管线现金流'!AL6047&amp;"|"&amp;'管线现金流'!J6048&amp;"|"&amp;'管线现金流'!AL6048&amp;"|"&amp;'管线现金流'!J6049&amp;"|"&amp;'管线现金流'!AL6049&amp;"|"&amp;'管线现金流'!J6050&amp;"|"&amp;'管线现金流'!AL6050&amp;"|"&amp;'管线现金流'!J6051&amp;"|"&amp;'管线现金流'!AL6051&amp;"|"&amp;'管线现金流'!J6052&amp;"|"&amp;'管线现金流'!AL6052&amp;"|"&amp;'管线现金流'!J6053&amp;"|"&amp;'管线现金流'!AL6053&amp;"|"&amp;'管线现金流'!J6054&amp;"|"&amp;'管线现金流'!AL6054&amp;"|"&amp;'管线现金流'!J6055&amp;"|"&amp;'管线现金流'!AL6055&amp;"|"&amp;'管线现金流'!J6056&amp;"|"&amp;'管线现金流'!AL6056&amp;"|"&amp;'管线现金流'!J6057&amp;"|"&amp;'管线现金流'!AL6057&amp;"|"&amp;'管线现金流'!J6058&amp;"|"&amp;'管线现金流'!AL6058&amp;"|"&amp;'管线现金流'!J6059&amp;"|"&amp;'管线现金流'!AL6059&amp;"|"&amp;'管线现金流'!J6060&amp;"|"&amp;'管线现金流'!AL6060&amp;"|"&amp;'管线现金流'!J6061&amp;"|"&amp;'管线现金流'!AL6061&amp;"|"&amp;'管线现金流'!J6062&amp;"|"&amp;'管线现金流'!AL6062&amp;"|"&amp;'管线现金流'!J6063&amp;"|"&amp;'管线现金流'!AL6063&amp;"|"&amp;'管线现金流'!J6064&amp;"|"&amp;'管线现金流'!AL6064&amp;"|"&amp;'管线现金流'!J6065&amp;"|"&amp;'管线现金流'!AL6065&amp;"|"&amp;'管线现金流'!J6066&amp;"|"&amp;'管线现金流'!AL6066&amp;"|"&amp;'管线现金流'!J6067&amp;"|"&amp;'管线现金流'!AL6067&amp;"|"&amp;'管线现金流'!J6068&amp;"|"&amp;'管线现金流'!AL6068&amp;"|"&amp;'管线现金流'!J6069&amp;"|"&amp;'管线现金流'!AL6069&amp;"|"&amp;'管线现金流'!J6070&amp;"|"&amp;'管线现金流'!AL6070&amp;"|"&amp;'管线现金流'!J6071&amp;"|"&amp;'管线现金流'!AL6071&amp;"|"&amp;'管线现金流'!J6072&amp;"|"&amp;'管线现金流'!AL6072&amp;"|"&amp;'管线现金流'!J6073&amp;"|"&amp;'管线现金流'!AL6073&amp;"|"&amp;'管线现金流'!J6074&amp;"|"&amp;'管线现金流'!AL6074&amp;"|"&amp;'管线现金流'!J6075&amp;"|"&amp;'管线现金流'!AL6075&amp;"|"&amp;'管线现金流'!J6076&amp;"|"&amp;'管线现金流'!AL6076&amp;"|"&amp;'管线现金流'!J6077&amp;"|"&amp;'管线现金流'!AL6077&amp;"|"&amp;'管线现金流'!J6078&amp;"|"&amp;'管线现金流'!AL6078&amp;"|"&amp;'管线现金流'!J6079&amp;"|"&amp;'管线现金流'!AL6079&amp;"|"&amp;'管线现金流'!J6080&amp;"|"&amp;'管线现金流'!AL6080&amp;"|"&amp;'管线现金流'!J6081&amp;"|"&amp;'管线现金流'!AL6081&amp;"|"&amp;'管线现金流'!J6082&amp;"|"&amp;'管线现金流'!AL6082&amp;"|"&amp;'管线现金流'!J6083&amp;"|"&amp;'管线现金流'!AL6083&amp;"|"&amp;'管线现金流'!J6084&amp;"|"&amp;'管线现金流'!AL6084&amp;"|"&amp;'管线现金流'!J6085&amp;"|"&amp;'管线现金流'!AL6085&amp;"|"&amp;'管线现金流'!J6086&amp;"|"&amp;'管线现金流'!AL6086&amp;"|"&amp;'管线现金流'!J6087&amp;"|"&amp;'管线现金流'!AL6087&amp;"|"&amp;'管线现金流'!J6088&amp;"|"&amp;'管线现金流'!AL6088&amp;"|"&amp;'管线现金流'!J6089&amp;"|"&amp;'管线现金流'!AL6089&amp;"|"&amp;'管线现金流'!J6090&amp;"|"&amp;'管线现金流'!AL6090&amp;"|"&amp;'管线现金流'!J6091&amp;"|"&amp;'管线现金流'!AL6091&amp;"|"&amp;'管线现金流'!J6092&amp;"|"&amp;'管线现金流'!AL6092&amp;"|"&amp;'管线现金流'!J6093&amp;"|"&amp;'管线现金流'!AL6093&amp;"|"&amp;'管线现金流'!J6094&amp;"|"&amp;'管线现金流'!AL6094&amp;"|"&amp;'管线现金流'!J6095&amp;"|"&amp;'管线现金流'!AL6095&amp;"|"&amp;'管线现金流'!J6096&amp;"|"&amp;'管线现金流'!AL6096&amp;"|"&amp;'管线现金流'!J6097&amp;"|"&amp;'管线现金流'!AL6097&amp;"|"&amp;'管线现金流'!J6098&amp;"|"&amp;'管线现金流'!AL6098&amp;"|"&amp;'管线现金流'!J6099&amp;"|"&amp;'管线现金流'!AL6099&amp;"|"&amp;'管线现金流'!J6100&amp;"|"&amp;'管线现金流'!AL6100&amp;"|"&amp;'管线现金流'!J6101&amp;"|"&amp;'管线现金流'!AL6101&amp;"|"&amp;'管线现金流'!J6102&amp;"|"&amp;'管线现金流'!AL6102&amp;"|"&amp;'管线现金流'!J6103&amp;"|"&amp;'管线现金流'!AL6103&amp;"|"&amp;'管线现金流'!J6104&amp;"|"&amp;'管线现金流'!AL6104&amp;"|"&amp;'管线现金流'!J6105&amp;"|"&amp;'管线现金流'!AL6105&amp;"|"&amp;'管线现金流'!J6106&amp;"|"&amp;'管线现金流'!AL6106&amp;"|"&amp;'管线现金流'!J6107&amp;"|"&amp;'管线现金流'!AL6107&amp;"|"&amp;'管线现金流'!J6108&amp;"|"&amp;'管线现金流'!AL6108&amp;"|"&amp;'管线现金流'!J6109&amp;"|"&amp;'管线现金流'!AL6109&amp;"|"&amp;'管线现金流'!J6110&amp;"|"&amp;'管线现金流'!AL6110&amp;"|"&amp;'管线现金流'!J6111&amp;"|"&amp;'管线现金流'!AL6111&amp;"|"&amp;'管线现金流'!J6112&amp;"|"&amp;'管线现金流'!AL6112&amp;"|"&amp;'管线现金流'!J6113&amp;"|"&amp;'管线现金流'!AL6113&amp;"|"&amp;'管线现金流'!J6114&amp;"|"&amp;'管线现金流'!AL6114&amp;"|"&amp;'管线现金流'!J6115&amp;"|"&amp;'管线现金流'!AL6115&amp;"|"&amp;'管线现金流'!J6116&amp;"|"&amp;'管线现金流'!AL6116&amp;"|"&amp;'管线现金流'!J6117&amp;"|"&amp;'管线现金流'!AL6117&amp;"|"&amp;'管线现金流'!J6118&amp;"|"&amp;'管线现金流'!AL6118&amp;"|"&amp;'管线现金流'!J6119&amp;"|"&amp;'管线现金流'!AL6119&amp;"|"&amp;'管线现金流'!J6120&amp;"|"&amp;'管线现金流'!AL6120&amp;"|"&amp;'管线现金流'!J6121&amp;"|"&amp;'管线现金流'!AL6121&amp;"|"&amp;'管线现金流'!J6122&amp;"|"&amp;'管线现金流'!AL6122&amp;"|"&amp;'管线现金流'!J6123&amp;"|"&amp;'管线现金流'!AL6123&amp;"|"&amp;'管线现金流'!J6124&amp;"|"&amp;'管线现金流'!AL6124&amp;"|"&amp;'管线现金流'!J6125&amp;"|"&amp;'管线现金流'!AL6125&amp;"|"&amp;'管线现金流'!J6126&amp;"|"&amp;'管线现金流'!AL6126&amp;"|"&amp;'管线现金流'!J6127&amp;"|"&amp;'管线现金流'!AL6127&amp;"|"&amp;'管线现金流'!J6128&amp;"|"&amp;'管线现金流'!AL6128&amp;"|"&amp;'管线现金流'!J6129&amp;"|"&amp;'管线现金流'!AL6129&amp;"|"&amp;'管线现金流'!J6130&amp;"|"&amp;'管线现金流'!AL6130&amp;"|"&amp;'管线现金流'!J6131&amp;"|"&amp;'管线现金流'!AL6131&amp;"|"&amp;'管线现金流'!J6132&amp;"|"&amp;'管线现金流'!AL6132&amp;"|"&amp;'管线现金流'!J6133&amp;"|"&amp;'管线现金流'!AL6133&amp;"|"&amp;'管线现金流'!J6134&amp;"|"&amp;'管线现金流'!AL6134&amp;"|"&amp;'管线现金流'!J6135&amp;"|"&amp;'管线现金流'!AL6135&amp;"|"&amp;'管线现金流'!J6136&amp;"|"&amp;'管线现金流'!AL6136&amp;"|"&amp;'管线现金流'!J6137&amp;"|"&amp;'管线现金流'!AL6137&amp;"|"&amp;'管线现金流'!J6138&amp;"|"&amp;'管线现金流'!AL6138&amp;"|"&amp;'管线现金流'!J6139&amp;"|"&amp;'管线现金流'!AL6139&amp;"|"&amp;'管线现金流'!J6140&amp;"|"&amp;'管线现金流'!AL6140&amp;"|"&amp;'管线现金流'!J6141&amp;"|"&amp;'管线现金流'!AL6141&amp;"|"&amp;'管线现金流'!J6142&amp;"|"&amp;'管线现金流'!AL6142&amp;"|"&amp;'管线现金流'!J6143&amp;"|"&amp;'管线现金流'!AL6143&amp;"|"&amp;'管线现金流'!J6144&amp;"|"&amp;'管线现金流'!AL6144&amp;"|"&amp;'管线现金流'!J6145&amp;"|"&amp;'管线现金流'!AL6145&amp;"|"&amp;'管线现金流'!J6146&amp;"|"&amp;'管线现金流'!AL6146&amp;"|"&amp;'管线现金流'!J6147&amp;"|"&amp;'管线现金流'!AL6147&amp;"|"&amp;'管线现金流'!J6148&amp;"|"&amp;'管线现金流'!AL6148&amp;"|"&amp;'管线现金流'!J6149&amp;"|"&amp;'管线现金流'!AL6149&amp;"|"&amp;'管线现金流'!J6150&amp;"|"&amp;'管线现金流'!AL6150&amp;"|"&amp;'管线现金流'!J6151&amp;"|"&amp;'管线现金流'!AL6151&amp;"|"&amp;'管线现金流'!J6152&amp;"|"&amp;'管线现金流'!AL6152&amp;"|"&amp;'管线现金流'!J6153&amp;"|"&amp;'管线现金流'!AL6153&amp;"|"&amp;'管线现金流'!J6154&amp;"|"&amp;'管线现金流'!AL6154&amp;"|"&amp;'管线现金流'!J6155&amp;"|"&amp;'管线现金流'!AL6155&amp;"|"&amp;'管线现金流'!J6156&amp;"|"&amp;'管线现金流'!AL6156&amp;"|"&amp;'管线现金流'!J6157&amp;"|"&amp;'管线现金流'!AL6157&amp;"|"&amp;'管线现金流'!J6158&amp;"|"&amp;'管线现金流'!AL6158&amp;"|"&amp;'管线现金流'!J6159&amp;"|"&amp;'管线现金流'!AL6159&amp;"|"&amp;'管线现金流'!J6160&amp;"|"&amp;'管线现金流'!AL6160&amp;"|"&amp;'管线现金流'!J6161&amp;"|"&amp;'管线现金流'!AL6161&amp;"|"&amp;'管线现金流'!J6162&amp;"|"&amp;'管线现金流'!AL6162&amp;"|"&amp;'管线现金流'!J6163&amp;"|"&amp;'管线现金流'!AL6163&amp;"|"&amp;'管线现金流'!J6164&amp;"|"&amp;'管线现金流'!AL6164&amp;"|"&amp;'管线现金流'!J6165&amp;"|"&amp;'管线现金流'!AL6165&amp;"|"&amp;'管线现金流'!J6166&amp;"|"&amp;'管线现金流'!AL6166&amp;"|"&amp;'管线现金流'!J6167&amp;"|"&amp;'管线现金流'!AL6167&amp;"|"&amp;'管线现金流'!J6168&amp;"|"&amp;'管线现金流'!AL6168&amp;"|"&amp;'管线现金流'!J6169&amp;"|"&amp;'管线现金流'!AL6169&amp;"|"&amp;'管线现金流'!J6170&amp;"|"&amp;'管线现金流'!AL6170&amp;"|"&amp;'管线现金流'!J6171&amp;"|"&amp;'管线现金流'!AL6171&amp;"|"&amp;'管线现金流'!J6172&amp;"|"&amp;'管线现金流'!AL6172&amp;"|"&amp;'管线现金流'!J6173&amp;"|"&amp;'管线现金流'!AL6173&amp;"|"&amp;'管线现金流'!J6174&amp;"|"&amp;'管线现金流'!AL6174&amp;"|"&amp;'管线现金流'!J6175&amp;"|"&amp;'管线现金流'!AL6175&amp;"|"&amp;'管线现金流'!J6176&amp;"|"&amp;'管线现金流'!AL6176&amp;"|"&amp;'管线现金流'!J6177&amp;"|"&amp;'管线现金流'!AL6177&amp;"|"&amp;'管线现金流'!J6178&amp;"|"&amp;'管线现金流'!AL6178&amp;"|"&amp;'管线现金流'!J6179&amp;"|"&amp;'管线现金流'!AL6179&amp;"|"&amp;'管线现金流'!J6180&amp;"|"&amp;'管线现金流'!AL6180&amp;"|"&amp;'管线现金流'!J6181&amp;"|"&amp;'管线现金流'!AL6181&amp;"|"&amp;'管线现金流'!J6182&amp;"|"&amp;'管线现金流'!AL6182&amp;"|"&amp;'管线现金流'!J6183&amp;"|"&amp;'管线现金流'!AL6183&amp;"|"&amp;'管线现金流'!J6184&amp;"|"&amp;'管线现金流'!AL6184&amp;"|"&amp;'管线现金流'!J6185&amp;"|"&amp;'管线现金流'!AL6185&amp;"|"&amp;'管线现金流'!J6186&amp;"|"&amp;'管线现金流'!AL6186&amp;"|"&amp;'管线现金流'!J6187&amp;"|"&amp;'管线现金流'!AL6187&amp;"|"&amp;'管线现金流'!J6188&amp;"|"&amp;'管线现金流'!AL6188&amp;"|"&amp;'管线现金流'!J6189&amp;"|"&amp;'管线现金流'!AL6189&amp;"|"&amp;'管线现金流'!J6190&amp;"|"&amp;'管线现金流'!AL6190&amp;"|"&amp;'管线现金流'!J6191&amp;"|"&amp;'管线现金流'!AL6191&amp;"|"&amp;'管线现金流'!J6192&amp;"|"&amp;'管线现金流'!AL6192&amp;"|"&amp;'管线现金流'!J6193&amp;"|"&amp;'管线现金流'!AL6193&amp;"|"&amp;'管线现金流'!J6194&amp;"|"&amp;'管线现金流'!AL6194&amp;"|"&amp;'管线现金流'!J6195&amp;"|"&amp;'管线现金流'!AL6195&amp;"|"&amp;'管线现金流'!J6196&amp;"|"&amp;'管线现金流'!AL6196&amp;"|"&amp;'管线现金流'!J6197&amp;"|"&amp;'管线现金流'!AL6197&amp;"|"&amp;'管线现金流'!J6198&amp;"|"&amp;'管线现金流'!AL6198&amp;"|"&amp;'管线现金流'!J6199&amp;"|"&amp;'管线现金流'!AL6199&amp;"|"&amp;'管线现金流'!J6200&amp;"|"&amp;'管线现金流'!AL6200&amp;"|"&amp;'管线现金流'!J6201&amp;"|"&amp;'管线现金流'!AL6201&amp;"|"&amp;'管线现金流'!J6202&amp;"|"&amp;'管线现金流'!AL6202&amp;"|"&amp;'管线现金流'!J6203&amp;"|"&amp;'管线现金流'!AL6203&amp;"|"&amp;'管线现金流'!J6204&amp;"|"&amp;'管线现金流'!AL6204&amp;"|"&amp;'管线现金流'!J6205&amp;"|"&amp;'管线现金流'!AL6205&amp;"|"&amp;'管线现金流'!J6206&amp;"|"&amp;'管线现金流'!AL6206&amp;"|"&amp;'管线现金流'!J6207&amp;"|"&amp;'管线现金流'!AL6207&amp;"|"&amp;'管线现金流'!J6208&amp;"|"&amp;'管线现金流'!AL6208&amp;"|"&amp;'管线现金流'!J6209&amp;"|"&amp;'管线现金流'!AL6209&amp;"|"&amp;'管线现金流'!J6210&amp;"|"&amp;'管线现金流'!AL6210&amp;"|"&amp;'管线现金流'!J6211&amp;"|"&amp;'管线现金流'!AL6211&amp;"|"&amp;'管线现金流'!J6212&amp;"|"&amp;'管线现金流'!AL6212&amp;"|"&amp;'管线现金流'!J6213&amp;"|"&amp;'管线现金流'!AL6213&amp;"|"&amp;'管线现金流'!J6214&amp;"|"&amp;'管线现金流'!AL6214&amp;"|"&amp;'管线现金流'!J6215&amp;"|"&amp;'管线现金流'!AL6215&amp;"|"&amp;'管线现金流'!J6216&amp;"|"&amp;'管线现金流'!AL6216&amp;"|"&amp;'管线现金流'!J6217&amp;"|"&amp;'管线现金流'!AL6217&amp;"|"&amp;'管线现金流'!J6218&amp;"|"&amp;'管线现金流'!AL6218&amp;"|"&amp;'管线现金流'!J6219&amp;"|"&amp;'管线现金流'!AL6219&amp;"|"&amp;'管线现金流'!J6220&amp;"|"&amp;'管线现金流'!AL6220&amp;"|"&amp;'管线现金流'!J6221&amp;"|"&amp;'管线现金流'!AL6221&amp;"|"&amp;'管线现金流'!J6222&amp;"|"&amp;'管线现金流'!AL6222&amp;"|"&amp;'管线现金流'!J6223&amp;"|"&amp;'管线现金流'!AL6223&amp;"|"&amp;'管线现金流'!J6224&amp;"|"&amp;'管线现金流'!AL6224&amp;"|"&amp;'管线现金流'!J6225&amp;"|"&amp;'管线现金流'!AL6225&amp;"|"&amp;'管线现金流'!J6226&amp;"|"&amp;'管线现金流'!AL6226&amp;"|"&amp;'管线现金流'!J6227&amp;"|"&amp;'管线现金流'!AL6227&amp;"|"&amp;'管线现金流'!J6228&amp;"|"&amp;'管线现金流'!AL6228&amp;"|"&amp;'管线现金流'!J6229&amp;"|"&amp;'管线现金流'!AL6229&amp;"|"&amp;'管线现金流'!J6230&amp;"|"&amp;'管线现金流'!AL6230&amp;"|"&amp;'管线现金流'!J6231&amp;"|"&amp;'管线现金流'!AL6231&amp;"|"&amp;'管线现金流'!J6232&amp;"|"&amp;'管线现金流'!AL6232&amp;"|"&amp;'管线现金流'!J6233&amp;"|"&amp;'管线现金流'!AL6233&amp;"|"&amp;'管线现金流'!J6234&amp;"|"&amp;'管线现金流'!AL6234&amp;"|"&amp;'管线现金流'!J6235&amp;"|"&amp;'管线现金流'!AL6235&amp;"|"&amp;'管线现金流'!J6236&amp;"|"&amp;'管线现金流'!AL6236&amp;"|"&amp;'管线现金流'!J6237&amp;"|"&amp;'管线现金流'!AL6237&amp;"|"&amp;'管线现金流'!J6238&amp;"|"&amp;'管线现金流'!AL6238&amp;"|"&amp;'管线现金流'!J6239&amp;"|"&amp;'管线现金流'!AL6239&amp;"|"&amp;'管线现金流'!J6240&amp;"|"&amp;'管线现金流'!AL6240&amp;"|"&amp;'管线现金流'!J6241&amp;"|"&amp;'管线现金流'!AL6241&amp;"|"&amp;'管线现金流'!J6242&amp;"|"&amp;'管线现金流'!AL6242&amp;"|"&amp;'管线现金流'!J6243&amp;"|"&amp;'管线现金流'!AL6243&amp;"|"&amp;'管线现金流'!J6244&amp;"|"&amp;'管线现金流'!AL6244&amp;"|"&amp;'管线现金流'!J6245&amp;"|"&amp;'管线现金流'!AL6245&amp;"|"&amp;'管线现金流'!J6246&amp;"|"&amp;'管线现金流'!AL6246&amp;"|"&amp;'管线现金流'!J6247&amp;"|"&amp;'管线现金流'!AL6247&amp;"|"&amp;'管线现金流'!J6248&amp;"|"&amp;'管线现金流'!AL6248&amp;"|"&amp;'管线现金流'!J6249&amp;"|"&amp;'管线现金流'!AL6249&amp;"|"&amp;'管线现金流'!J6250&amp;"|"&amp;'管线现金流'!AL6250&amp;"|"&amp;'管线现金流'!J6251&amp;"|"&amp;'管线现金流'!AL6251&amp;"|"&amp;'管线现金流'!J6252&amp;"|"&amp;'管线现金流'!AL6252&amp;"|"&amp;'管线现金流'!J6253&amp;"|"&amp;'管线现金流'!AL6253&amp;"|"&amp;'管线现金流'!J6254&amp;"|"&amp;'管线现金流'!AL6254&amp;"|"&amp;'管线现金流'!J6255&amp;"|"&amp;'管线现金流'!AL6255&amp;"|"&amp;'管线现金流'!J6256&amp;"|"&amp;'管线现金流'!AL6256&amp;"|"&amp;'管线现金流'!J6257&amp;"|"&amp;'管线现金流'!AL6257&amp;"|"&amp;'管线现金流'!J6258&amp;"|"&amp;'管线现金流'!AL6258&amp;"|"&amp;'管线现金流'!J6259&amp;"|"&amp;'管线现金流'!AL6259&amp;"|"&amp;'管线现金流'!J6260&amp;"|"&amp;'管线现金流'!AL6260&amp;"|"&amp;'管线现金流'!J6261&amp;"|"&amp;'管线现金流'!AL6261&amp;"|"&amp;'管线现金流'!J6262&amp;"|"&amp;'管线现金流'!AL6262&amp;"|"&amp;'管线现金流'!J6263&amp;"|"&amp;'管线现金流'!AL6263&amp;"|"&amp;'管线现金流'!J6264&amp;"|"&amp;'管线现金流'!AL6264&amp;"|"&amp;'管线现金流'!J6265&amp;"|"&amp;'管线现金流'!AL6265&amp;"|"&amp;'管线现金流'!J6266&amp;"|"&amp;'管线现金流'!AL6266&amp;"|"&amp;'管线现金流'!J6267&amp;"|"&amp;'管线现金流'!AL6267&amp;"|"&amp;'管线现金流'!J6268&amp;"|"&amp;'管线现金流'!AL6268&amp;"|"&amp;'管线现金流'!J6269&amp;"|"&amp;'管线现金流'!AL6269&amp;"|"&amp;'管线现金流'!J6270&amp;"|"&amp;'管线现金流'!AL6270&amp;"|"&amp;'管线现金流'!J6271&amp;"|"&amp;'管线现金流'!AL6271&amp;"|"&amp;'管线现金流'!J6272&amp;"|"&amp;'管线现金流'!AL6272&amp;"|"&amp;'管线现金流'!J6273&amp;"|"&amp;'管线现金流'!AL6273&amp;"|"&amp;'管线现金流'!J6274&amp;"|"&amp;'管线现金流'!AL6274&amp;"|"&amp;'管线现金流'!J6275&amp;"|"&amp;'管线现金流'!AL6275&amp;"|"&amp;'管线现金流'!J6276&amp;"|"&amp;'管线现金流'!AL6276&amp;"|"&amp;'管线现金流'!J6277&amp;"|"&amp;'管线现金流'!AL6277&amp;"|"&amp;'管线现金流'!J6278&amp;"|"&amp;'管线现金流'!AL6278&amp;"|"&amp;'管线现金流'!J6279&amp;"|"&amp;'管线现金流'!AL6279&amp;"|"&amp;'管线现金流'!J6280&amp;"|"&amp;'管线现金流'!AL6280&amp;"|"&amp;'管线现金流'!J6281&amp;"|"&amp;'管线现金流'!AL6281&amp;"|"&amp;'管线现金流'!J6282&amp;"|"&amp;'管线现金流'!AL6282&amp;"|"&amp;'管线现金流'!J6283&amp;"|"&amp;'管线现金流'!AL6283&amp;"|"&amp;'管线现金流'!J6284&amp;"|"&amp;'管线现金流'!AL6284&amp;"|"&amp;'管线现金流'!J6285&amp;"|"&amp;'管线现金流'!AL6285&amp;"|"&amp;'管线现金流'!J6286&amp;"|"&amp;'管线现金流'!AL6286&amp;"|"&amp;'管线现金流'!W98&amp;"|"&amp;'管线现金流'!Z98&amp;"|"&amp;'管线现金流'!AQ98&amp;"|"&amp;'管线现金流'!AT98&amp;"|"&amp;'管线现金流'!W99&amp;"|"&amp;'管线现金流'!Z99&amp;"|"&amp;'管线现金流'!AQ99&amp;"|"&amp;'管线现金流'!AT99&amp;"|"&amp;'管线现金流'!W100&amp;"|"&amp;'管线现金流'!Z100&amp;"|"&amp;'管线现金流'!AQ100&amp;"|"&amp;'管线现金流'!AT100&amp;"|"&amp;'管线现金流'!W101&amp;"|"&amp;'管线现金流'!Z101&amp;"|"&amp;'管线现金流'!AQ101&amp;"|"&amp;'管线现金流'!AT101</x:f>
        <x:v>1|1.5|1.8|0.99|0.3|1|0.11|6.8|1|0.10660000000000001|1|0.11|6.8|0.9099999999999999|0.38|1|0.11|6.8|0.89|0.38|1|0.11|6.8|0.865|0.38|1|0.11|6.8|0.775|0.38|1|0.11|6.8|0.67|0.38|1|0.11|6.8|0.69|0.3|1|0.11|6.8|0.71|0.38|1|0.11|6.8|0.625|0.38|1|0.11|6.8|0.725|0.38|1|0.11|6.8|0.64|0.0902|1|0.11|6.8|0.65|0.38|1|0.11|6.8|0.825|0.08610000000000001|1|0.11|6.8|0.8|0.38|1|0.11|6.8|0.65|0.08610000000000001|1|0.11|6.8|0.575|0|1.15|0|1.7249999999999999|0|2.3|0|2.001|0|1.702|0|1.4029999999999998|0|1.1039999999999999|0|0.8049999999999999|0|0.5059999999999999|0|0.2069999999999999|0|0|0|0|0|0|0|0|0|0|0|0|0|0|0|0|0|0.5|0|1|0|1.5|0|2|0|1.74|0|1.48|0|1.22|0|0.96|0|0.7|0|0.43999999999999995|0|0.17999999999999994|0|0|0|0|0|0|0|0|0|0|0|0|0|0|0|0|0|0.36000000000000004|0|0.7200000000000001|0|1.08|0|1.4400000000000002|0|1.8|0|1.566|0|1.332|0|1.098|0|0.864|0|0.63|0|0.39599999999999996|0|0.16199999999999995|0|0|0|0|0|0|0|0|0|0|0|0|0|0|0|0.6|0|1.2|0|1.8|0|2.4|0|3|0|3.6|0|3.132|0|2.664|0|2.196|0|1.728|0|1.26|0|0.7919999999999999|0|0.3239999999999999|0|0|0|0|0|0|0|0|0|0|0|0|0|0.39999999999999997|0|0.7999999999999999|0|1.2|0|1.5999999999999999|0|2|0|2.4|0|2.088|0|1.776|0|1.464|0|1.152|0|0.84|0|0.5279999999999999|0|0.21599999999999991|0|0|0|0|0|0|0|0|0|0|0|0|0|0|0|0|0|0.6000000000000001|0|1.2000000000000002|0|1.7999999999999998|0|2.4000000000000004|0|3|0|2.61|0|2.2199999999999998|0|1.83|0|1.44|0|1.0499999999999998|0|0.6599999999999999|0|0.2699999999999999|0|0|0|0|0|0|0|0|0|0|0|0|0|0|0|0.16666666666666666|0|0.3333333333333333|0|0.5|0|0.6666666666666666|0|0.8333333333333334|0|1|0|0.87|0|0.74|0|0.61|0|0.48|0|0.35|0|0.21999999999999997|0|0.08999999999999997|0|0|0|0|0|0|0|0|0|0|0|0|0|0|0|0.48|0|0.96|0|1.44|0|1.92|0|2.4|0|2.088|0|1.776|0|1.464|0|1.152|0|0.84|0|0.5279999999999999|0|0.21599999999999991|0|0|0|0|0|0|0|0|0|0|0|0|0|0.5|0|1|0|1.5|0|2|0|2.5|0|3|0|2.61|0|2.2199999999999998|0|1.83|0|1.44|0|1.0499999999999998|0|0.6599999999999999|0|0.2699999999999999|0|0|0|0|0|0|0|0|0|0|0|0|0|0|0|0|0|0.6000000000000001|0|1.2000000000000002|0|1.7999999999999998|0|2.4000000000000004|0|3|0|2.61|0|2.2199999999999998|0|1.83|0|1.44|0|1.0499999999999998|0|0.6599999999999999|0|0.2699999999999999|0|0|0|0|0|0|0|0|0|0|0|0.5833333333333333|0|1.1666666666666665|0|1.75|0|2.333333333333333|0|2.916666666666667|0|3.5|0|3.045|0|2.59|0|2.135|0|1.68|0|1.2249999999999999|0|0.7699999999999999|0|0.3149999999999999|0|0|0|0|0|0|0|0|0|0|0|0|0|0|0|0|0|0.5833333333333333|0|1.1666666666666665|0|1.75|0|2.333333333333333|0|2.916666666666667|0|3.5|0|3.045|0|2.59|0|2.135|0|1.68|0|1.2249999999999999|0|0.7699999999999999|0|0.3149999999999999|0|0|0|0|0|0|0|0|0|0|0|0.25|0|0.5|0|0.75|0|1|0|1.25|0|1.5|0|1.305|0|1.1099999999999999|0|0.915|0|0.72|0|0.5249999999999999|0|0.32999999999999996|0|0.13499999999999995|0|0|0|0|0|0|0|0|0|0|0|0.2833333333333333|0|0.5666666666666667|0|0.85|0|1.1333333333333333|0|1.4166666666666667|0|1.7|0|1.4789999999999999|0|1.258|0|1.037|0|0.816|0|0.595|0|0.37399999999999994|0|0.15299999999999994|0|0|0|0|0|0|0|0|0|0|0|0|0|0.16666666666666666|0|0.3333333333333333|0|0.5|0|0.6666666666666666|0|0.8333333333333334|0|1|0|0.87|0|0.74|0|0.61|0|0.48|0|0.35|0|0.21999999999999997|0|0.08999999999999997|0|0|0|0|0|0|0|0|0|0|0|0|0|0|0|0|0|0.3333333333333333|0|0.6666666666666666|0|1|0|1.3333333333333333|0|1.6666666666666667|0|2|0|1.74|0|1.48|0|1.22|0|0.96|0|0.7|0|0.43999999999999995|0|0.17999999999999994|0|0|0|0|0|0.1|1|0.8200000000000001|1|0.18|1|0.8200000000000001|1|0.18|1|0.8200000000000001|1|0.14|1|0.8200000000000001|1</x:v>
      </x:c>
    </x:row>
    <x:row r="487" ht="23" customHeight="1">
      <x:c r="A487" s="11" t="str">
        <x:v>688202.SH</x:v>
      </x:c>
      <x:c r="B487" s="11" t="str">
        <x:v>美迪西</x:v>
      </x:c>
      <x:c r="C487" s="11" t="str">
        <x:v>2026年底</x:v>
      </x:c>
      <x:c r="D487" s="11" t="str">
        <x:v>悲观</x:v>
      </x:c>
      <x:c r="E487" s="11" t="n">
        <x:v>104</x:v>
      </x:c>
      <x:c r="F487" s="11" t="n">
        <x:v>12.5</x:v>
      </x:c>
      <x:c r="G487" s="11" t="n">
        <x:v>0</x:v>
      </x:c>
      <x:c r="H487" s="25" t="n">
        <x:v>-0.8798076923076923</x:v>
      </x:c>
      <x:c r="I487" s="25" t="n">
        <x:v>-0.8798076923076923</x:v>
      </x:c>
      <x:c r="J487" s="25" t="str"/>
      <x:c r="K487" s="11" t="n">
        <x:v>0.5</x:v>
      </x:c>
      <x:c r="L487" s="11" t="n">
        <x:v>25</x:v>
      </x:c>
      <x:c r="M487" s="11" t="n">
        <x:v>1</x:v>
      </x:c>
      <x:c r="N487" s="11" t="n">
        <x:v>0</x:v>
      </x:c>
      <x:c r="O487" s="11" t="str"/>
      <x:c r="P487" s="11" t="str"/>
      <x:c r="Q487" s="11" t="str"/>
      <x:c r="R487" s="11" t="str">
        <x:v>medicilon-normalized-pe-v1.0</x:v>
      </x:c>
      <x:c r="S487" s="11" t="str">
        <x:v>2026-10-10</x:v>
      </x:c>
      <x:c r="T487" s="11" t="str">
        <x:f>IF(AND(SUM(IF(K487='假设'!E648,0,1),IF(L487='假设'!F648,0,1),IF(M487='假设'!G648,0,1),IF(N487='假设'!H648,0,1),IF(O487='假设'!I648,0,1),IF(P487='假设'!J648,0,1),IF(Q487='假设'!K648,0,1))=0,U487=V487),"已刷新","待刷新")</x:f>
        <x:v>已刷新</x:v>
      </x:c>
    </x:row>
    <x:row r="488" ht="23" customHeight="1">
      <x:c r="A488" s="11" t="str">
        <x:v>688202.SH</x:v>
      </x:c>
      <x:c r="B488" s="11" t="str">
        <x:v>美迪西</x:v>
      </x:c>
      <x:c r="C488" s="11" t="str">
        <x:v>2026年底</x:v>
      </x:c>
      <x:c r="D488" s="11" t="str">
        <x:v>基准</x:v>
      </x:c>
      <x:c r="E488" s="11" t="n">
        <x:v>104</x:v>
      </x:c>
      <x:c r="F488" s="11" t="n">
        <x:v>60</x:v>
      </x:c>
      <x:c r="G488" s="11" t="n">
        <x:v>0</x:v>
      </x:c>
      <x:c r="H488" s="25" t="n">
        <x:v>-0.42307692307692313</x:v>
      </x:c>
      <x:c r="I488" s="25" t="n">
        <x:v>-0.42307692307692313</x:v>
      </x:c>
      <x:c r="J488" s="25" t="str"/>
      <x:c r="K488" s="11" t="n">
        <x:v>1.2</x:v>
      </x:c>
      <x:c r="L488" s="11" t="n">
        <x:v>50</x:v>
      </x:c>
      <x:c r="M488" s="11" t="n">
        <x:v>1</x:v>
      </x:c>
      <x:c r="N488" s="11" t="n">
        <x:v>0</x:v>
      </x:c>
      <x:c r="O488" s="11" t="str"/>
      <x:c r="P488" s="11" t="str"/>
      <x:c r="Q488" s="11" t="str"/>
      <x:c r="R488" s="11" t="str">
        <x:v>medicilon-normalized-pe-v1.0</x:v>
      </x:c>
      <x:c r="S488" s="11" t="str">
        <x:v>2026-10-10</x:v>
      </x:c>
      <x:c r="T488" s="11" t="str">
        <x:f>IF(AND(SUM(IF(K488='假设'!E649,0,1),IF(L488='假设'!F649,0,1),IF(M488='假设'!G649,0,1),IF(N488='假设'!H649,0,1),IF(O488='假设'!I649,0,1),IF(P488='假设'!J649,0,1),IF(Q488='假设'!K649,0,1))=0,U488=V488),"已刷新","待刷新")</x:f>
        <x:v>已刷新</x:v>
      </x:c>
    </x:row>
    <x:row r="489" ht="23" customHeight="1">
      <x:c r="A489" s="11" t="str">
        <x:v>688202.SH</x:v>
      </x:c>
      <x:c r="B489" s="11" t="str">
        <x:v>美迪西</x:v>
      </x:c>
      <x:c r="C489" s="11" t="str">
        <x:v>2026年底</x:v>
      </x:c>
      <x:c r="D489" s="11" t="str">
        <x:v>乐观</x:v>
      </x:c>
      <x:c r="E489" s="11" t="n">
        <x:v>104</x:v>
      </x:c>
      <x:c r="F489" s="11" t="n">
        <x:v>120</x:v>
      </x:c>
      <x:c r="G489" s="11" t="n">
        <x:v>0</x:v>
      </x:c>
      <x:c r="H489" s="25" t="n">
        <x:v>0.15384615384615374</x:v>
      </x:c>
      <x:c r="I489" s="25" t="n">
        <x:v>0.15384615384615374</x:v>
      </x:c>
      <x:c r="J489" s="25" t="str"/>
      <x:c r="K489" s="11" t="n">
        <x:v>2</x:v>
      </x:c>
      <x:c r="L489" s="11" t="n">
        <x:v>60</x:v>
      </x:c>
      <x:c r="M489" s="11" t="n">
        <x:v>1</x:v>
      </x:c>
      <x:c r="N489" s="11" t="n">
        <x:v>0</x:v>
      </x:c>
      <x:c r="O489" s="11" t="str"/>
      <x:c r="P489" s="11" t="str"/>
      <x:c r="Q489" s="11" t="str"/>
      <x:c r="R489" s="11" t="str">
        <x:v>medicilon-normalized-pe-v1.0</x:v>
      </x:c>
      <x:c r="S489" s="11" t="str">
        <x:v>2026-10-10</x:v>
      </x:c>
      <x:c r="T489" s="11" t="str">
        <x:f>IF(AND(SUM(IF(K489='假设'!E650,0,1),IF(L489='假设'!F650,0,1),IF(M489='假设'!G650,0,1),IF(N489='假设'!H650,0,1),IF(O489='假设'!I650,0,1),IF(P489='假设'!J650,0,1),IF(Q489='假设'!K650,0,1))=0,U489=V489),"已刷新","待刷新")</x:f>
        <x:v>已刷新</x:v>
      </x:c>
    </x:row>
    <x:row r="490" ht="23" customHeight="1">
      <x:c r="A490" s="11" t="str">
        <x:v>688202.SH</x:v>
      </x:c>
      <x:c r="B490" s="11" t="str">
        <x:v>美迪西</x:v>
      </x:c>
      <x:c r="C490" s="11" t="str">
        <x:v>半年</x:v>
      </x:c>
      <x:c r="D490" s="11" t="str">
        <x:v>悲观</x:v>
      </x:c>
      <x:c r="E490" s="11" t="n">
        <x:v>104</x:v>
      </x:c>
      <x:c r="F490" s="11" t="n">
        <x:v>17.5</x:v>
      </x:c>
      <x:c r="G490" s="11" t="n">
        <x:v>0</x:v>
      </x:c>
      <x:c r="H490" s="25" t="n">
        <x:v>-0.8317307692307692</x:v>
      </x:c>
      <x:c r="I490" s="25" t="n">
        <x:v>-0.8317307692307692</x:v>
      </x:c>
      <x:c r="J490" s="25" t="str"/>
      <x:c r="K490" s="11" t="n">
        <x:v>0.7</x:v>
      </x:c>
      <x:c r="L490" s="11" t="n">
        <x:v>25</x:v>
      </x:c>
      <x:c r="M490" s="11" t="n">
        <x:v>1</x:v>
      </x:c>
      <x:c r="N490" s="11" t="n">
        <x:v>0</x:v>
      </x:c>
      <x:c r="O490" s="11" t="str"/>
      <x:c r="P490" s="11" t="str"/>
      <x:c r="Q490" s="11" t="str"/>
      <x:c r="R490" s="11" t="str">
        <x:v>medicilon-normalized-pe-v1.0</x:v>
      </x:c>
      <x:c r="S490" s="11" t="str">
        <x:v>2026-10-10</x:v>
      </x:c>
      <x:c r="T490" s="11" t="str">
        <x:f>IF(AND(SUM(IF(K490='假设'!E652,0,1),IF(L490='假设'!F652,0,1),IF(M490='假设'!G652,0,1),IF(N490='假设'!H652,0,1),IF(O490='假设'!I652,0,1),IF(P490='假设'!J652,0,1),IF(Q490='假设'!K652,0,1))=0,U490=V490),"已刷新","待刷新")</x:f>
        <x:v>已刷新</x:v>
      </x:c>
    </x:row>
    <x:row r="491" ht="23" customHeight="1">
      <x:c r="A491" s="11" t="str">
        <x:v>688202.SH</x:v>
      </x:c>
      <x:c r="B491" s="11" t="str">
        <x:v>美迪西</x:v>
      </x:c>
      <x:c r="C491" s="11" t="str">
        <x:v>半年</x:v>
      </x:c>
      <x:c r="D491" s="11" t="str">
        <x:v>基准</x:v>
      </x:c>
      <x:c r="E491" s="11" t="n">
        <x:v>104</x:v>
      </x:c>
      <x:c r="F491" s="11" t="n">
        <x:v>72</x:v>
      </x:c>
      <x:c r="G491" s="11" t="n">
        <x:v>0</x:v>
      </x:c>
      <x:c r="H491" s="25" t="n">
        <x:v>-0.3076923076923077</x:v>
      </x:c>
      <x:c r="I491" s="25" t="n">
        <x:v>-0.3076923076923077</x:v>
      </x:c>
      <x:c r="J491" s="25" t="str"/>
      <x:c r="K491" s="11" t="n">
        <x:v>1.6</x:v>
      </x:c>
      <x:c r="L491" s="11" t="n">
        <x:v>45</x:v>
      </x:c>
      <x:c r="M491" s="11" t="n">
        <x:v>1</x:v>
      </x:c>
      <x:c r="N491" s="11" t="n">
        <x:v>0</x:v>
      </x:c>
      <x:c r="O491" s="11" t="str"/>
      <x:c r="P491" s="11" t="str"/>
      <x:c r="Q491" s="11" t="str"/>
      <x:c r="R491" s="11" t="str">
        <x:v>medicilon-normalized-pe-v1.0</x:v>
      </x:c>
      <x:c r="S491" s="11" t="str">
        <x:v>2026-10-10</x:v>
      </x:c>
      <x:c r="T491" s="11" t="str">
        <x:f>IF(AND(SUM(IF(K491='假设'!E653,0,1),IF(L491='假设'!F653,0,1),IF(M491='假设'!G653,0,1),IF(N491='假设'!H653,0,1),IF(O491='假设'!I653,0,1),IF(P491='假设'!J653,0,1),IF(Q491='假设'!K653,0,1))=0,U491=V491),"已刷新","待刷新")</x:f>
        <x:v>已刷新</x:v>
      </x:c>
    </x:row>
    <x:row r="492" ht="23" customHeight="1">
      <x:c r="A492" s="11" t="str">
        <x:v>688202.SH</x:v>
      </x:c>
      <x:c r="B492" s="11" t="str">
        <x:v>美迪西</x:v>
      </x:c>
      <x:c r="C492" s="11" t="str">
        <x:v>半年</x:v>
      </x:c>
      <x:c r="D492" s="11" t="str">
        <x:v>乐观</x:v>
      </x:c>
      <x:c r="E492" s="11" t="n">
        <x:v>104</x:v>
      </x:c>
      <x:c r="F492" s="11" t="n">
        <x:v>154</x:v>
      </x:c>
      <x:c r="G492" s="11" t="n">
        <x:v>0</x:v>
      </x:c>
      <x:c r="H492" s="25" t="n">
        <x:v>0.48076923076923084</x:v>
      </x:c>
      <x:c r="I492" s="25" t="n">
        <x:v>0.48076923076923084</x:v>
      </x:c>
      <x:c r="J492" s="25" t="str"/>
      <x:c r="K492" s="11" t="n">
        <x:v>2.8</x:v>
      </x:c>
      <x:c r="L492" s="11" t="n">
        <x:v>55</x:v>
      </x:c>
      <x:c r="M492" s="11" t="n">
        <x:v>1</x:v>
      </x:c>
      <x:c r="N492" s="11" t="n">
        <x:v>0</x:v>
      </x:c>
      <x:c r="O492" s="11" t="str"/>
      <x:c r="P492" s="11" t="str"/>
      <x:c r="Q492" s="11" t="str"/>
      <x:c r="R492" s="11" t="str">
        <x:v>medicilon-normalized-pe-v1.0</x:v>
      </x:c>
      <x:c r="S492" s="11" t="str">
        <x:v>2026-10-10</x:v>
      </x:c>
      <x:c r="T492" s="11" t="str">
        <x:f>IF(AND(SUM(IF(K492='假设'!E654,0,1),IF(L492='假设'!F654,0,1),IF(M492='假设'!G654,0,1),IF(N492='假设'!H654,0,1),IF(O492='假设'!I654,0,1),IF(P492='假设'!J654,0,1),IF(Q492='假设'!K654,0,1))=0,U492=V492),"已刷新","待刷新")</x:f>
        <x:v>已刷新</x:v>
      </x:c>
    </x:row>
    <x:row r="493" ht="23" customHeight="1">
      <x:c r="A493" s="11" t="str">
        <x:v>688202.SH</x:v>
      </x:c>
      <x:c r="B493" s="11" t="str">
        <x:v>美迪西</x:v>
      </x:c>
      <x:c r="C493" s="11" t="str">
        <x:v>一年</x:v>
      </x:c>
      <x:c r="D493" s="11" t="str">
        <x:v>悲观</x:v>
      </x:c>
      <x:c r="E493" s="11" t="n">
        <x:v>104</x:v>
      </x:c>
      <x:c r="F493" s="11" t="n">
        <x:v>22.5</x:v>
      </x:c>
      <x:c r="G493" s="11" t="n">
        <x:v>0</x:v>
      </x:c>
      <x:c r="H493" s="25" t="n">
        <x:v>-0.7836538461538461</x:v>
      </x:c>
      <x:c r="I493" s="25" t="n">
        <x:v>-0.7836538461538461</x:v>
      </x:c>
      <x:c r="J493" s="25" t="str"/>
      <x:c r="K493" s="11" t="n">
        <x:v>0.9</x:v>
      </x:c>
      <x:c r="L493" s="11" t="n">
        <x:v>25</x:v>
      </x:c>
      <x:c r="M493" s="11" t="n">
        <x:v>1</x:v>
      </x:c>
      <x:c r="N493" s="11" t="n">
        <x:v>0</x:v>
      </x:c>
      <x:c r="O493" s="11" t="str"/>
      <x:c r="P493" s="11" t="str"/>
      <x:c r="Q493" s="11" t="str"/>
      <x:c r="R493" s="11" t="str">
        <x:v>medicilon-normalized-pe-v1.0</x:v>
      </x:c>
      <x:c r="S493" s="11" t="str">
        <x:v>2026-10-10</x:v>
      </x:c>
      <x:c r="T493" s="11" t="str">
        <x:f>IF(AND(SUM(IF(K493='假设'!E656,0,1),IF(L493='假设'!F656,0,1),IF(M493='假设'!G656,0,1),IF(N493='假设'!H656,0,1),IF(O493='假设'!I656,0,1),IF(P493='假设'!J656,0,1),IF(Q493='假设'!K656,0,1))=0,U493=V493),"已刷新","待刷新")</x:f>
        <x:v>已刷新</x:v>
      </x:c>
    </x:row>
    <x:row r="494" ht="23" customHeight="1">
      <x:c r="A494" s="11" t="str">
        <x:v>688202.SH</x:v>
      </x:c>
      <x:c r="B494" s="11" t="str">
        <x:v>美迪西</x:v>
      </x:c>
      <x:c r="C494" s="11" t="str">
        <x:v>一年</x:v>
      </x:c>
      <x:c r="D494" s="11" t="str">
        <x:v>基准</x:v>
      </x:c>
      <x:c r="E494" s="11" t="n">
        <x:v>104</x:v>
      </x:c>
      <x:c r="F494" s="11" t="n">
        <x:v>79.8</x:v>
      </x:c>
      <x:c r="G494" s="11" t="n">
        <x:v>0.1</x:v>
      </x:c>
      <x:c r="H494" s="25" t="n">
        <x:v>-0.23269230769230775</x:v>
      </x:c>
      <x:c r="I494" s="25" t="n">
        <x:v>-0.2317307692307693</x:v>
      </x:c>
      <x:c r="J494" s="25" t="str"/>
      <x:c r="K494" s="11" t="n">
        <x:v>2.1</x:v>
      </x:c>
      <x:c r="L494" s="11" t="n">
        <x:v>38</x:v>
      </x:c>
      <x:c r="M494" s="11" t="n">
        <x:v>1</x:v>
      </x:c>
      <x:c r="N494" s="11" t="n">
        <x:v>0.1</x:v>
      </x:c>
      <x:c r="O494" s="11" t="str"/>
      <x:c r="P494" s="11" t="str"/>
      <x:c r="Q494" s="11" t="str"/>
      <x:c r="R494" s="11" t="str">
        <x:v>medicilon-normalized-pe-v1.0</x:v>
      </x:c>
      <x:c r="S494" s="11" t="str">
        <x:v>2026-10-10</x:v>
      </x:c>
      <x:c r="T494" s="11" t="str">
        <x:f>IF(AND(SUM(IF(K494='假设'!E657,0,1),IF(L494='假设'!F657,0,1),IF(M494='假设'!G657,0,1),IF(N494='假设'!H657,0,1),IF(O494='假设'!I657,0,1),IF(P494='假设'!J657,0,1),IF(Q494='假设'!K657,0,1))=0,U494=V494),"已刷新","待刷新")</x:f>
        <x:v>已刷新</x:v>
      </x:c>
    </x:row>
    <x:row r="495" ht="23" customHeight="1">
      <x:c r="A495" s="11" t="str">
        <x:v>688202.SH</x:v>
      </x:c>
      <x:c r="B495" s="11" t="str">
        <x:v>美迪西</x:v>
      </x:c>
      <x:c r="C495" s="11" t="str">
        <x:v>一年</x:v>
      </x:c>
      <x:c r="D495" s="11" t="str">
        <x:v>乐观</x:v>
      </x:c>
      <x:c r="E495" s="11" t="n">
        <x:v>104</x:v>
      </x:c>
      <x:c r="F495" s="11" t="n">
        <x:v>168</x:v>
      </x:c>
      <x:c r="G495" s="11" t="n">
        <x:v>0.2</x:v>
      </x:c>
      <x:c r="H495" s="25" t="n">
        <x:v>0.6153846153846154</x:v>
      </x:c>
      <x:c r="I495" s="25" t="n">
        <x:v>0.6173076923076921</x:v>
      </x:c>
      <x:c r="J495" s="25" t="str"/>
      <x:c r="K495" s="11" t="n">
        <x:v>3.5</x:v>
      </x:c>
      <x:c r="L495" s="11" t="n">
        <x:v>48</x:v>
      </x:c>
      <x:c r="M495" s="11" t="n">
        <x:v>1</x:v>
      </x:c>
      <x:c r="N495" s="11" t="n">
        <x:v>0.2</x:v>
      </x:c>
      <x:c r="O495" s="11" t="str"/>
      <x:c r="P495" s="11" t="str"/>
      <x:c r="Q495" s="11" t="str"/>
      <x:c r="R495" s="11" t="str">
        <x:v>medicilon-normalized-pe-v1.0</x:v>
      </x:c>
      <x:c r="S495" s="11" t="str">
        <x:v>2026-10-10</x:v>
      </x:c>
      <x:c r="T495" s="11" t="str">
        <x:f>IF(AND(SUM(IF(K495='假设'!E658,0,1),IF(L495='假设'!F658,0,1),IF(M495='假设'!G658,0,1),IF(N495='假设'!H658,0,1),IF(O495='假设'!I658,0,1),IF(P495='假设'!J658,0,1),IF(Q495='假设'!K658,0,1))=0,U495=V495),"已刷新","待刷新")</x:f>
        <x:v>已刷新</x:v>
      </x:c>
    </x:row>
    <x:row r="496" ht="23" customHeight="1">
      <x:c r="A496" s="11" t="str">
        <x:v>688202.SH</x:v>
      </x:c>
      <x:c r="B496" s="11" t="str">
        <x:v>美迪西</x:v>
      </x:c>
      <x:c r="C496" s="11" t="str">
        <x:v>三年</x:v>
      </x:c>
      <x:c r="D496" s="11" t="str">
        <x:v>悲观</x:v>
      </x:c>
      <x:c r="E496" s="11" t="n">
        <x:v>104</x:v>
      </x:c>
      <x:c r="F496" s="11" t="n">
        <x:v>32.199999999999996</x:v>
      </x:c>
      <x:c r="G496" s="11" t="n">
        <x:v>0.1</x:v>
      </x:c>
      <x:c r="H496" s="25" t="n">
        <x:v>-0.6903846153846154</x:v>
      </x:c>
      <x:c r="I496" s="25" t="n">
        <x:v>-0.6894230769230769</x:v>
      </x:c>
      <x:c r="J496" s="25" t="n">
        <x:v>-0.3227904700908647</x:v>
      </x:c>
      <x:c r="K496" s="11" t="n">
        <x:v>1.4</x:v>
      </x:c>
      <x:c r="L496" s="11" t="n">
        <x:v>23</x:v>
      </x:c>
      <x:c r="M496" s="11" t="n">
        <x:v>1</x:v>
      </x:c>
      <x:c r="N496" s="11" t="n">
        <x:v>0.1</x:v>
      </x:c>
      <x:c r="O496" s="11" t="str"/>
      <x:c r="P496" s="11" t="str"/>
      <x:c r="Q496" s="11" t="str"/>
      <x:c r="R496" s="11" t="str">
        <x:v>medicilon-normalized-pe-v1.0</x:v>
      </x:c>
      <x:c r="S496" s="11" t="str">
        <x:v>2026-10-10</x:v>
      </x:c>
      <x:c r="T496" s="11" t="str">
        <x:f>IF(AND(SUM(IF(K496='假设'!E660,0,1),IF(L496='假设'!F660,0,1),IF(M496='假设'!G660,0,1),IF(N496='假设'!H660,0,1),IF(O496='假设'!I660,0,1),IF(P496='假设'!J660,0,1),IF(Q496='假设'!K660,0,1))=0,U496=V496),"已刷新","待刷新")</x:f>
        <x:v>已刷新</x:v>
      </x:c>
    </x:row>
    <x:row r="497" ht="23" customHeight="1">
      <x:c r="A497" s="11" t="str">
        <x:v>688202.SH</x:v>
      </x:c>
      <x:c r="B497" s="11" t="str">
        <x:v>美迪西</x:v>
      </x:c>
      <x:c r="C497" s="11" t="str">
        <x:v>三年</x:v>
      </x:c>
      <x:c r="D497" s="11" t="str">
        <x:v>基准</x:v>
      </x:c>
      <x:c r="E497" s="11" t="n">
        <x:v>104</x:v>
      </x:c>
      <x:c r="F497" s="11" t="n">
        <x:v>128</x:v>
      </x:c>
      <x:c r="G497" s="11" t="n">
        <x:v>0.8</x:v>
      </x:c>
      <x:c r="H497" s="25" t="n">
        <x:v>0.23076923076923084</x:v>
      </x:c>
      <x:c r="I497" s="25" t="n">
        <x:v>0.2384615384615385</x:v>
      </x:c>
      <x:c r="J497" s="25" t="n">
        <x:v>0.07389257897671331</x:v>
      </x:c>
      <x:c r="K497" s="11" t="n">
        <x:v>4</x:v>
      </x:c>
      <x:c r="L497" s="11" t="n">
        <x:v>32</x:v>
      </x:c>
      <x:c r="M497" s="11" t="n">
        <x:v>1</x:v>
      </x:c>
      <x:c r="N497" s="11" t="n">
        <x:v>0.8</x:v>
      </x:c>
      <x:c r="O497" s="11" t="str"/>
      <x:c r="P497" s="11" t="str"/>
      <x:c r="Q497" s="11" t="str"/>
      <x:c r="R497" s="11" t="str">
        <x:v>medicilon-normalized-pe-v1.0</x:v>
      </x:c>
      <x:c r="S497" s="11" t="str">
        <x:v>2026-10-10</x:v>
      </x:c>
      <x:c r="T497" s="11" t="str">
        <x:f>IF(AND(SUM(IF(K497='假设'!E661,0,1),IF(L497='假设'!F661,0,1),IF(M497='假设'!G661,0,1),IF(N497='假设'!H661,0,1),IF(O497='假设'!I661,0,1),IF(P497='假设'!J661,0,1),IF(Q497='假设'!K661,0,1))=0,U497=V497),"已刷新","待刷新")</x:f>
        <x:v>已刷新</x:v>
      </x:c>
    </x:row>
    <x:row r="498" ht="23" customHeight="1">
      <x:c r="A498" s="11" t="str">
        <x:v>688202.SH</x:v>
      </x:c>
      <x:c r="B498" s="11" t="str">
        <x:v>美迪西</x:v>
      </x:c>
      <x:c r="C498" s="11" t="str">
        <x:v>三年</x:v>
      </x:c>
      <x:c r="D498" s="11" t="str">
        <x:v>乐观</x:v>
      </x:c>
      <x:c r="E498" s="11" t="n">
        <x:v>104</x:v>
      </x:c>
      <x:c r="F498" s="11" t="n">
        <x:v>285.59999999999997</x:v>
      </x:c>
      <x:c r="G498" s="11" t="n">
        <x:v>1.5</x:v>
      </x:c>
      <x:c r="H498" s="25" t="n">
        <x:v>1.7461538461538457</x:v>
      </x:c>
      <x:c r="I498" s="25" t="n">
        <x:v>1.7605769230769228</x:v>
      </x:c>
      <x:c r="J498" s="25" t="n">
        <x:v>0.40281354650005974</x:v>
      </x:c>
      <x:c r="K498" s="11" t="n">
        <x:v>6.8</x:v>
      </x:c>
      <x:c r="L498" s="11" t="n">
        <x:v>42</x:v>
      </x:c>
      <x:c r="M498" s="11" t="n">
        <x:v>1</x:v>
      </x:c>
      <x:c r="N498" s="11" t="n">
        <x:v>1.5</x:v>
      </x:c>
      <x:c r="O498" s="11" t="str"/>
      <x:c r="P498" s="11" t="str"/>
      <x:c r="Q498" s="11" t="str"/>
      <x:c r="R498" s="11" t="str">
        <x:v>medicilon-normalized-pe-v1.0</x:v>
      </x:c>
      <x:c r="S498" s="11" t="str">
        <x:v>2026-10-10</x:v>
      </x:c>
      <x:c r="T498" s="11" t="str">
        <x:f>IF(AND(SUM(IF(K498='假设'!E662,0,1),IF(L498='假设'!F662,0,1),IF(M498='假设'!G662,0,1),IF(N498='假设'!H662,0,1),IF(O498='假设'!I662,0,1),IF(P498='假设'!J662,0,1),IF(Q498='假设'!K662,0,1))=0,U498=V498),"已刷新","待刷新")</x:f>
        <x:v>已刷新</x:v>
      </x:c>
    </x:row>
    <x:row r="499" ht="23" customHeight="1">
      <x:c r="A499" s="11" t="str">
        <x:v>688202.SH</x:v>
      </x:c>
      <x:c r="B499" s="11" t="str">
        <x:v>美迪西</x:v>
      </x:c>
      <x:c r="C499" s="11" t="str">
        <x:v>五年</x:v>
      </x:c>
      <x:c r="D499" s="11" t="str">
        <x:v>悲观</x:v>
      </x:c>
      <x:c r="E499" s="11" t="n">
        <x:v>104</x:v>
      </x:c>
      <x:c r="F499" s="11" t="n">
        <x:v>34</x:v>
      </x:c>
      <x:c r="G499" s="11" t="n">
        <x:v>0.3</x:v>
      </x:c>
      <x:c r="H499" s="25" t="n">
        <x:v>-0.6730769230769231</x:v>
      </x:c>
      <x:c r="I499" s="25" t="n">
        <x:v>-0.6701923076923078</x:v>
      </x:c>
      <x:c r="J499" s="25" t="n">
        <x:v>-0.19896377562209455</x:v>
      </x:c>
      <x:c r="K499" s="11" t="n">
        <x:v>1.7</x:v>
      </x:c>
      <x:c r="L499" s="11" t="n">
        <x:v>20</x:v>
      </x:c>
      <x:c r="M499" s="11" t="n">
        <x:v>1</x:v>
      </x:c>
      <x:c r="N499" s="11" t="n">
        <x:v>0.3</x:v>
      </x:c>
      <x:c r="O499" s="11" t="str"/>
      <x:c r="P499" s="11" t="str"/>
      <x:c r="Q499" s="11" t="str"/>
      <x:c r="R499" s="11" t="str">
        <x:v>medicilon-normalized-pe-v1.0</x:v>
      </x:c>
      <x:c r="S499" s="11" t="str">
        <x:v>2026-10-10</x:v>
      </x:c>
      <x:c r="T499" s="11" t="str">
        <x:f>IF(AND(SUM(IF(K499='假设'!E664,0,1),IF(L499='假设'!F664,0,1),IF(M499='假设'!G664,0,1),IF(N499='假设'!H664,0,1),IF(O499='假设'!I664,0,1),IF(P499='假设'!J664,0,1),IF(Q499='假设'!K664,0,1))=0,U499=V499),"已刷新","待刷新")</x:f>
        <x:v>已刷新</x:v>
      </x:c>
    </x:row>
    <x:row r="500" ht="23" customHeight="1">
      <x:c r="A500" s="11" t="str">
        <x:v>688202.SH</x:v>
      </x:c>
      <x:c r="B500" s="11" t="str">
        <x:v>美迪西</x:v>
      </x:c>
      <x:c r="C500" s="11" t="str">
        <x:v>五年</x:v>
      </x:c>
      <x:c r="D500" s="11" t="str">
        <x:v>基准</x:v>
      </x:c>
      <x:c r="E500" s="11" t="n">
        <x:v>104</x:v>
      </x:c>
      <x:c r="F500" s="11" t="n">
        <x:v>154</x:v>
      </x:c>
      <x:c r="G500" s="11" t="n">
        <x:v>2</x:v>
      </x:c>
      <x:c r="H500" s="25" t="n">
        <x:v>0.48076923076923084</x:v>
      </x:c>
      <x:c r="I500" s="25" t="n">
        <x:v>0.5</x:v>
      </x:c>
      <x:c r="J500" s="25" t="n">
        <x:v>0.08447177119769855</x:v>
      </x:c>
      <x:c r="K500" s="11" t="n">
        <x:v>5.5</x:v>
      </x:c>
      <x:c r="L500" s="11" t="n">
        <x:v>28</x:v>
      </x:c>
      <x:c r="M500" s="11" t="n">
        <x:v>1</x:v>
      </x:c>
      <x:c r="N500" s="11" t="n">
        <x:v>2</x:v>
      </x:c>
      <x:c r="O500" s="11" t="str"/>
      <x:c r="P500" s="11" t="str"/>
      <x:c r="Q500" s="11" t="str"/>
      <x:c r="R500" s="11" t="str">
        <x:v>medicilon-normalized-pe-v1.0</x:v>
      </x:c>
      <x:c r="S500" s="11" t="str">
        <x:v>2026-10-10</x:v>
      </x:c>
      <x:c r="T500" s="11" t="str">
        <x:f>IF(AND(SUM(IF(K500='假设'!E665,0,1),IF(L500='假设'!F665,0,1),IF(M500='假设'!G665,0,1),IF(N500='假设'!H665,0,1),IF(O500='假设'!I665,0,1),IF(P500='假设'!J665,0,1),IF(Q500='假设'!K665,0,1))=0,U500=V500),"已刷新","待刷新")</x:f>
        <x:v>已刷新</x:v>
      </x:c>
    </x:row>
    <x:row r="501" ht="23" customHeight="1">
      <x:c r="A501" s="11" t="str">
        <x:v>688202.SH</x:v>
      </x:c>
      <x:c r="B501" s="11" t="str">
        <x:v>美迪西</x:v>
      </x:c>
      <x:c r="C501" s="11" t="str">
        <x:v>五年</x:v>
      </x:c>
      <x:c r="D501" s="11" t="str">
        <x:v>乐观</x:v>
      </x:c>
      <x:c r="E501" s="11" t="n">
        <x:v>104</x:v>
      </x:c>
      <x:c r="F501" s="11" t="n">
        <x:v>315</x:v>
      </x:c>
      <x:c r="G501" s="11" t="n">
        <x:v>3.5</x:v>
      </x:c>
      <x:c r="H501" s="25" t="n">
        <x:v>2.0288461538461537</x:v>
      </x:c>
      <x:c r="I501" s="25" t="n">
        <x:v>2.0625</x:v>
      </x:c>
      <x:c r="J501" s="25" t="n">
        <x:v>0.2508787635704217</x:v>
      </x:c>
      <x:c r="K501" s="11" t="n">
        <x:v>9</x:v>
      </x:c>
      <x:c r="L501" s="11" t="n">
        <x:v>35</x:v>
      </x:c>
      <x:c r="M501" s="11" t="n">
        <x:v>1</x:v>
      </x:c>
      <x:c r="N501" s="11" t="n">
        <x:v>3.5</x:v>
      </x:c>
      <x:c r="O501" s="11" t="str"/>
      <x:c r="P501" s="11" t="str"/>
      <x:c r="Q501" s="11" t="str"/>
      <x:c r="R501" s="11" t="str">
        <x:v>medicilon-normalized-pe-v1.0</x:v>
      </x:c>
      <x:c r="S501" s="11" t="str">
        <x:v>2026-10-10</x:v>
      </x:c>
      <x:c r="T501" s="11" t="str">
        <x:f>IF(AND(SUM(IF(K501='假设'!E666,0,1),IF(L501='假设'!F666,0,1),IF(M501='假设'!G666,0,1),IF(N501='假设'!H666,0,1),IF(O501='假设'!I666,0,1),IF(P501='假设'!J666,0,1),IF(Q501='假设'!K666,0,1))=0,U501=V501),"已刷新","待刷新")</x:f>
        <x:v>已刷新</x:v>
      </x:c>
    </x:row>
    <x:row r="502" ht="23" customHeight="1">
      <x:c r="A502" s="11" t="str">
        <x:v>03690.HK</x:v>
      </x:c>
      <x:c r="B502" s="11" t="str">
        <x:v>美团-W</x:v>
      </x:c>
      <x:c r="C502" s="11" t="str">
        <x:v>2026年底</x:v>
      </x:c>
      <x:c r="D502" s="11" t="str">
        <x:v>悲观</x:v>
      </x:c>
      <x:c r="E502" s="11" t="n">
        <x:v>71.5</x:v>
      </x:c>
      <x:c r="F502" s="11" t="n">
        <x:v>29.72</x:v>
      </x:c>
      <x:c r="G502" s="11" t="n">
        <x:v>0</x:v>
      </x:c>
      <x:c r="H502" s="25" t="n">
        <x:v>-0.5843356643356643</x:v>
      </x:c>
      <x:c r="I502" s="25" t="n">
        <x:v>-0.5843356643356643</x:v>
      </x:c>
      <x:c r="J502" s="25" t="str"/>
      <x:c r="K502" s="11" t="n">
        <x:v>1.278</x:v>
      </x:c>
      <x:c r="L502" s="11" t="n">
        <x:v>16</x:v>
      </x:c>
      <x:c r="M502" s="11" t="n">
        <x:v>1.1</x:v>
      </x:c>
      <x:c r="N502" s="11" t="n">
        <x:v>0</x:v>
      </x:c>
      <x:c r="O502" s="11" t="str"/>
      <x:c r="P502" s="11" t="str"/>
      <x:c r="Q502" s="11" t="str"/>
      <x:c r="R502" s="11" t="str">
        <x:v>meituan-core-new-SOTP-v1.0</x:v>
      </x:c>
      <x:c r="S502" s="11" t="str">
        <x:v>2026-10-10</x:v>
      </x:c>
      <x:c r="T502" s="11" t="str">
        <x:f>IF(AND(SUM(IF(K502='假设'!E668,0,1),IF(L502='假设'!F668,0,1),IF(M502='假设'!G668,0,1),IF(N502='假设'!H668,0,1),IF(O502='假设'!I668,0,1),IF(P502='假设'!J668,0,1),IF(Q502='假设'!K668,0,1))=0,U502=V502),"已刷新","待刷新")</x:f>
        <x:v>已刷新</x:v>
      </x:c>
      <x:c r="U502" t="str">
        <x:v>280|0.065|8|0.2|0.99|6.32|110|0.15|50|25</x:v>
      </x:c>
      <x:c r="V502" t="str">
        <x:f>'业务分拆假设'!D28&amp;"|"&amp;'业务分拆假设'!E28&amp;"|"&amp;'业务分拆假设'!F28&amp;"|"&amp;'业务分拆假设'!G28&amp;"|"&amp;'业务分拆假设'!H28&amp;"|"&amp;'业务分拆假设'!I28&amp;"|"&amp;'业务分拆假设'!J28&amp;"|"&amp;'业务分拆假设'!K28&amp;"|"&amp;'业务分拆假设'!L28&amp;"|"&amp;'业务分拆假设'!M28</x:f>
        <x:v>280|0.065|8|0.2|0.99|6.32|110|0.15|50|25</x:v>
      </x:c>
    </x:row>
    <x:row r="503" ht="23" customHeight="1">
      <x:c r="A503" s="11" t="str">
        <x:v>03690.HK</x:v>
      </x:c>
      <x:c r="B503" s="11" t="str">
        <x:v>美团-W</x:v>
      </x:c>
      <x:c r="C503" s="11" t="str">
        <x:v>2026年底</x:v>
      </x:c>
      <x:c r="D503" s="11" t="str">
        <x:v>基准</x:v>
      </x:c>
      <x:c r="E503" s="11" t="n">
        <x:v>71.5</x:v>
      </x:c>
      <x:c r="F503" s="11" t="n">
        <x:v>99.37</x:v>
      </x:c>
      <x:c r="G503" s="11" t="n">
        <x:v>0</x:v>
      </x:c>
      <x:c r="H503" s="25" t="n">
        <x:v>0.38979020979020995</x:v>
      </x:c>
      <x:c r="I503" s="25" t="n">
        <x:v>0.38979020979020995</x:v>
      </x:c>
      <x:c r="J503" s="25" t="str"/>
      <x:c r="K503" s="11" t="n">
        <x:v>3.448</x:v>
      </x:c>
      <x:c r="L503" s="11" t="n">
        <x:v>22</x:v>
      </x:c>
      <x:c r="M503" s="11" t="n">
        <x:v>1.1</x:v>
      </x:c>
      <x:c r="N503" s="11" t="n">
        <x:v>0</x:v>
      </x:c>
      <x:c r="O503" s="11" t="str"/>
      <x:c r="P503" s="11" t="str"/>
      <x:c r="Q503" s="11" t="str"/>
      <x:c r="R503" s="11" t="str">
        <x:v>meituan-core-new-SOTP-v1.0</x:v>
      </x:c>
      <x:c r="S503" s="11" t="str">
        <x:v>2026-10-10</x:v>
      </x:c>
      <x:c r="T503" s="11" t="str">
        <x:f>IF(AND(SUM(IF(K503='假设'!E669,0,1),IF(L503='假设'!F669,0,1),IF(M503='假设'!G669,0,1),IF(N503='假设'!H669,0,1),IF(O503='假设'!I669,0,1),IF(P503='假设'!J669,0,1),IF(Q503='假设'!K669,0,1))=0,U503=V503),"已刷新","待刷新")</x:f>
        <x:v>已刷新</x:v>
      </x:c>
      <x:c r="U503" t="str">
        <x:v>305|0.115|8|0.2|0.995|6.25|130|0.35|65|20</x:v>
      </x:c>
      <x:c r="V503" t="str">
        <x:f>'业务分拆假设'!D29&amp;"|"&amp;'业务分拆假设'!E29&amp;"|"&amp;'业务分拆假设'!F29&amp;"|"&amp;'业务分拆假设'!G29&amp;"|"&amp;'业务分拆假设'!H29&amp;"|"&amp;'业务分拆假设'!I29&amp;"|"&amp;'业务分拆假设'!J29&amp;"|"&amp;'业务分拆假设'!K29&amp;"|"&amp;'业务分拆假设'!L29&amp;"|"&amp;'业务分拆假设'!M29</x:f>
        <x:v>305|0.115|8|0.2|0.995|6.25|130|0.35|65|20</x:v>
      </x:c>
    </x:row>
    <x:row r="504" ht="23" customHeight="1">
      <x:c r="A504" s="11" t="str">
        <x:v>03690.HK</x:v>
      </x:c>
      <x:c r="B504" s="11" t="str">
        <x:v>美团-W</x:v>
      </x:c>
      <x:c r="C504" s="11" t="str">
        <x:v>2026年底</x:v>
      </x:c>
      <x:c r="D504" s="11" t="str">
        <x:v>乐观</x:v>
      </x:c>
      <x:c r="E504" s="11" t="n">
        <x:v>71.5</x:v>
      </x:c>
      <x:c r="F504" s="11" t="n">
        <x:v>187.6</x:v>
      </x:c>
      <x:c r="G504" s="11" t="n">
        <x:v>0</x:v>
      </x:c>
      <x:c r="H504" s="25" t="n">
        <x:v>1.6237762237762237</x:v>
      </x:c>
      <x:c r="I504" s="25" t="n">
        <x:v>1.6237762237762237</x:v>
      </x:c>
      <x:c r="J504" s="25" t="str"/>
      <x:c r="K504" s="11" t="n">
        <x:v>5.567</x:v>
      </x:c>
      <x:c r="L504" s="11" t="n">
        <x:v>26</x:v>
      </x:c>
      <x:c r="M504" s="11" t="n">
        <x:v>1.1</x:v>
      </x:c>
      <x:c r="N504" s="11" t="n">
        <x:v>0</x:v>
      </x:c>
      <x:c r="O504" s="11" t="str"/>
      <x:c r="P504" s="11" t="str"/>
      <x:c r="Q504" s="11" t="str"/>
      <x:c r="R504" s="11" t="str">
        <x:v>meituan-core-new-SOTP-v1.0</x:v>
      </x:c>
      <x:c r="S504" s="11" t="str">
        <x:v>2026-10-10</x:v>
      </x:c>
      <x:c r="T504" s="11" t="str">
        <x:f>IF(AND(SUM(IF(K504='假设'!E670,0,1),IF(L504='假设'!F670,0,1),IF(M504='假设'!G670,0,1),IF(N504='假设'!H670,0,1),IF(O504='假设'!I670,0,1),IF(P504='假设'!J670,0,1),IF(Q504='假设'!K670,0,1))=0,U504=V504),"已刷新","待刷新")</x:f>
        <x:v>已刷新</x:v>
      </x:c>
      <x:c r="U504" t="str">
        <x:v>325|0.16|8.5|0.2|0.995|6.22|150|0.65|75|12</x:v>
      </x:c>
      <x:c r="V504" t="str">
        <x:f>'业务分拆假设'!D30&amp;"|"&amp;'业务分拆假设'!E30&amp;"|"&amp;'业务分拆假设'!F30&amp;"|"&amp;'业务分拆假设'!G30&amp;"|"&amp;'业务分拆假设'!H30&amp;"|"&amp;'业务分拆假设'!I30&amp;"|"&amp;'业务分拆假设'!J30&amp;"|"&amp;'业务分拆假设'!K30&amp;"|"&amp;'业务分拆假设'!L30&amp;"|"&amp;'业务分拆假设'!M30</x:f>
        <x:v>325|0.16|8.5|0.2|0.995|6.22|150|0.65|75|12</x:v>
      </x:c>
    </x:row>
    <x:row r="505" ht="23" customHeight="1">
      <x:c r="A505" s="11" t="str">
        <x:v>03690.HK</x:v>
      </x:c>
      <x:c r="B505" s="11" t="str">
        <x:v>美团-W</x:v>
      </x:c>
      <x:c r="C505" s="11" t="str">
        <x:v>半年</x:v>
      </x:c>
      <x:c r="D505" s="11" t="str">
        <x:v>悲观</x:v>
      </x:c>
      <x:c r="E505" s="11" t="n">
        <x:v>71.5</x:v>
      </x:c>
      <x:c r="F505" s="11" t="n">
        <x:v>25.3</x:v>
      </x:c>
      <x:c r="G505" s="11" t="n">
        <x:v>0</x:v>
      </x:c>
      <x:c r="H505" s="25" t="n">
        <x:v>-0.6461538461538461</x:v>
      </x:c>
      <x:c r="I505" s="25" t="n">
        <x:v>-0.6461538461538461</x:v>
      </x:c>
      <x:c r="J505" s="25" t="str"/>
      <x:c r="K505" s="11" t="n">
        <x:v>1.204</x:v>
      </x:c>
      <x:c r="L505" s="11" t="n">
        <x:v>15</x:v>
      </x:c>
      <x:c r="M505" s="11" t="n">
        <x:v>1.1</x:v>
      </x:c>
      <x:c r="N505" s="11" t="n">
        <x:v>0</x:v>
      </x:c>
      <x:c r="O505" s="11" t="str"/>
      <x:c r="P505" s="11" t="str"/>
      <x:c r="Q505" s="11" t="str"/>
      <x:c r="R505" s="11" t="str">
        <x:v>meituan-core-new-SOTP-v1.0</x:v>
      </x:c>
      <x:c r="S505" s="11" t="str">
        <x:v>2026-10-10</x:v>
      </x:c>
      <x:c r="T505" s="11" t="str">
        <x:f>IF(AND(SUM(IF(K505='假设'!E672,0,1),IF(L505='假设'!F672,0,1),IF(M505='假设'!G672,0,1),IF(N505='假设'!H672,0,1),IF(O505='假设'!I672,0,1),IF(P505='假设'!J672,0,1),IF(Q505='假设'!K672,0,1))=0,U505=V505),"已刷新","待刷新")</x:f>
        <x:v>已刷新</x:v>
      </x:c>
      <x:c r="U505" t="str">
        <x:v>280|0.065|8.5|0.2|0.99|6.38|110|0.15|45|30</x:v>
      </x:c>
      <x:c r="V505" t="str">
        <x:f>'业务分拆假设'!D32&amp;"|"&amp;'业务分拆假设'!E32&amp;"|"&amp;'业务分拆假设'!F32&amp;"|"&amp;'业务分拆假设'!G32&amp;"|"&amp;'业务分拆假设'!H32&amp;"|"&amp;'业务分拆假设'!I32&amp;"|"&amp;'业务分拆假设'!J32&amp;"|"&amp;'业务分拆假设'!K32&amp;"|"&amp;'业务分拆假设'!L32&amp;"|"&amp;'业务分拆假设'!M32</x:f>
        <x:v>280|0.065|8.5|0.2|0.99|6.38|110|0.15|45|30</x:v>
      </x:c>
    </x:row>
    <x:row r="506" ht="23" customHeight="1">
      <x:c r="A506" s="11" t="str">
        <x:v>03690.HK</x:v>
      </x:c>
      <x:c r="B506" s="11" t="str">
        <x:v>美团-W</x:v>
      </x:c>
      <x:c r="C506" s="11" t="str">
        <x:v>半年</x:v>
      </x:c>
      <x:c r="D506" s="11" t="str">
        <x:v>基准</x:v>
      </x:c>
      <x:c r="E506" s="11" t="n">
        <x:v>71.5</x:v>
      </x:c>
      <x:c r="F506" s="11" t="n">
        <x:v>119.45</x:v>
      </x:c>
      <x:c r="G506" s="11" t="n">
        <x:v>0</x:v>
      </x:c>
      <x:c r="H506" s="25" t="n">
        <x:v>0.6706293706293707</x:v>
      </x:c>
      <x:c r="I506" s="25" t="n">
        <x:v>0.6706293706293707</x:v>
      </x:c>
      <x:c r="J506" s="25" t="str"/>
      <x:c r="K506" s="11" t="n">
        <x:v>4.209</x:v>
      </x:c>
      <x:c r="L506" s="11" t="n">
        <x:v>22</x:v>
      </x:c>
      <x:c r="M506" s="11" t="n">
        <x:v>1.1</x:v>
      </x:c>
      <x:c r="N506" s="11" t="n">
        <x:v>0</x:v>
      </x:c>
      <x:c r="O506" s="11" t="str"/>
      <x:c r="P506" s="11" t="str"/>
      <x:c r="Q506" s="11" t="str"/>
      <x:c r="R506" s="11" t="str">
        <x:v>meituan-core-new-SOTP-v1.0</x:v>
      </x:c>
      <x:c r="S506" s="11" t="str">
        <x:v>2026-10-10</x:v>
      </x:c>
      <x:c r="T506" s="11" t="str">
        <x:f>IF(AND(SUM(IF(K506='假设'!E673,0,1),IF(L506='假设'!F673,0,1),IF(M506='假设'!G673,0,1),IF(N506='假设'!H673,0,1),IF(O506='假设'!I673,0,1),IF(P506='假设'!J673,0,1),IF(Q506='假设'!K673,0,1))=0,U506=V506),"已刷新","待刷新")</x:f>
        <x:v>已刷新</x:v>
      </x:c>
      <x:c r="U506" t="str">
        <x:v>320|0.13|8.5|0.2|0.995|6.26|145|0.38|65|20</x:v>
      </x:c>
      <x:c r="V506" t="str">
        <x:f>'业务分拆假设'!D33&amp;"|"&amp;'业务分拆假设'!E33&amp;"|"&amp;'业务分拆假设'!F33&amp;"|"&amp;'业务分拆假设'!G33&amp;"|"&amp;'业务分拆假设'!H33&amp;"|"&amp;'业务分拆假设'!I33&amp;"|"&amp;'业务分拆假设'!J33&amp;"|"&amp;'业务分拆假设'!K33&amp;"|"&amp;'业务分拆假设'!L33&amp;"|"&amp;'业务分拆假设'!M33</x:f>
        <x:v>320|0.13|8.5|0.2|0.995|6.26|145|0.38|65|20</x:v>
      </x:c>
    </x:row>
    <x:row r="507" ht="23" customHeight="1">
      <x:c r="A507" s="11" t="str">
        <x:v>03690.HK</x:v>
      </x:c>
      <x:c r="B507" s="11" t="str">
        <x:v>美团-W</x:v>
      </x:c>
      <x:c r="C507" s="11" t="str">
        <x:v>半年</x:v>
      </x:c>
      <x:c r="D507" s="11" t="str">
        <x:v>乐观</x:v>
      </x:c>
      <x:c r="E507" s="11" t="n">
        <x:v>71.5</x:v>
      </x:c>
      <x:c r="F507" s="11" t="n">
        <x:v>232.65</x:v>
      </x:c>
      <x:c r="G507" s="11" t="n">
        <x:v>0</x:v>
      </x:c>
      <x:c r="H507" s="25" t="n">
        <x:v>2.253846153846154</x:v>
      </x:c>
      <x:c r="I507" s="25" t="n">
        <x:v>2.253846153846154</x:v>
      </x:c>
      <x:c r="J507" s="25" t="str"/>
      <x:c r="K507" s="11" t="n">
        <x:v>6.687</x:v>
      </x:c>
      <x:c r="L507" s="11" t="n">
        <x:v>27</x:v>
      </x:c>
      <x:c r="M507" s="11" t="n">
        <x:v>1.1</x:v>
      </x:c>
      <x:c r="N507" s="11" t="n">
        <x:v>0</x:v>
      </x:c>
      <x:c r="O507" s="11" t="str"/>
      <x:c r="P507" s="11" t="str"/>
      <x:c r="Q507" s="11" t="str"/>
      <x:c r="R507" s="11" t="str">
        <x:v>meituan-core-new-SOTP-v1.0</x:v>
      </x:c>
      <x:c r="S507" s="11" t="str">
        <x:v>2026-10-10</x:v>
      </x:c>
      <x:c r="T507" s="11" t="str">
        <x:f>IF(AND(SUM(IF(K507='假设'!E674,0,1),IF(L507='假设'!F674,0,1),IF(M507='假设'!G674,0,1),IF(N507='假设'!H674,0,1),IF(O507='假设'!I674,0,1),IF(P507='假设'!J674,0,1),IF(Q507='假设'!K674,0,1))=0,U507=V507),"已刷新","待刷新")</x:f>
        <x:v>已刷新</x:v>
      </x:c>
      <x:c r="U507" t="str">
        <x:v>350|0.175|9|0.2|0.995|6.22|175|0.7|80|10</x:v>
      </x:c>
      <x:c r="V507" t="str">
        <x:f>'业务分拆假设'!D34&amp;"|"&amp;'业务分拆假设'!E34&amp;"|"&amp;'业务分拆假设'!F34&amp;"|"&amp;'业务分拆假设'!G34&amp;"|"&amp;'业务分拆假设'!H34&amp;"|"&amp;'业务分拆假设'!I34&amp;"|"&amp;'业务分拆假设'!J34&amp;"|"&amp;'业务分拆假设'!K34&amp;"|"&amp;'业务分拆假设'!L34&amp;"|"&amp;'业务分拆假设'!M34</x:f>
        <x:v>350|0.175|9|0.2|0.995|6.22|175|0.7|80|10</x:v>
      </x:c>
    </x:row>
    <x:row r="508" ht="23" customHeight="1">
      <x:c r="A508" s="11" t="str">
        <x:v>03690.HK</x:v>
      </x:c>
      <x:c r="B508" s="11" t="str">
        <x:v>美团-W</x:v>
      </x:c>
      <x:c r="C508" s="11" t="str">
        <x:v>一年</x:v>
      </x:c>
      <x:c r="D508" s="11" t="str">
        <x:v>悲观</x:v>
      </x:c>
      <x:c r="E508" s="11" t="n">
        <x:v>71.5</x:v>
      </x:c>
      <x:c r="F508" s="11" t="n">
        <x:v>30.25</x:v>
      </x:c>
      <x:c r="G508" s="11" t="n">
        <x:v>0</x:v>
      </x:c>
      <x:c r="H508" s="25" t="n">
        <x:v>-0.5769230769230769</x:v>
      </x:c>
      <x:c r="I508" s="25" t="n">
        <x:v>-0.5769230769230769</x:v>
      </x:c>
      <x:c r="J508" s="25" t="str"/>
      <x:c r="K508" s="11" t="n">
        <x:v>1.599</x:v>
      </x:c>
      <x:c r="L508" s="11" t="n">
        <x:v>14</x:v>
      </x:c>
      <x:c r="M508" s="11" t="n">
        <x:v>1.1</x:v>
      </x:c>
      <x:c r="N508" s="11" t="n">
        <x:v>0</x:v>
      </x:c>
      <x:c r="O508" s="11" t="str"/>
      <x:c r="P508" s="11" t="str"/>
      <x:c r="Q508" s="11" t="str"/>
      <x:c r="R508" s="11" t="str">
        <x:v>meituan-core-new-SOTP-v1.0</x:v>
      </x:c>
      <x:c r="S508" s="11" t="str">
        <x:v>2026-10-10</x:v>
      </x:c>
      <x:c r="T508" s="11" t="str">
        <x:f>IF(AND(SUM(IF(K508='假设'!E676,0,1),IF(L508='假设'!F676,0,1),IF(M508='假设'!G676,0,1),IF(N508='假设'!H676,0,1),IF(O508='假设'!I676,0,1),IF(P508='假设'!J676,0,1),IF(Q508='假设'!K676,0,1))=0,U508=V508),"已刷新","待刷新")</x:f>
        <x:v>已刷新</x:v>
      </x:c>
      <x:c r="U508" t="str">
        <x:v>295|0.075|9|0.2|0.99|6.5|118|0.18|40|28</x:v>
      </x:c>
      <x:c r="V508" t="str">
        <x:f>'业务分拆假设'!D36&amp;"|"&amp;'业务分拆假设'!E36&amp;"|"&amp;'业务分拆假设'!F36&amp;"|"&amp;'业务分拆假设'!G36&amp;"|"&amp;'业务分拆假设'!H36&amp;"|"&amp;'业务分拆假设'!I36&amp;"|"&amp;'业务分拆假设'!J36&amp;"|"&amp;'业务分拆假设'!K36&amp;"|"&amp;'业务分拆假设'!L36&amp;"|"&amp;'业务分拆假设'!M36</x:f>
        <x:v>295|0.075|9|0.2|0.99|6.5|118|0.18|40|28</x:v>
      </x:c>
    </x:row>
    <x:row r="509" ht="23" customHeight="1">
      <x:c r="A509" s="11" t="str">
        <x:v>03690.HK</x:v>
      </x:c>
      <x:c r="B509" s="11" t="str">
        <x:v>美团-W</x:v>
      </x:c>
      <x:c r="C509" s="11" t="str">
        <x:v>一年</x:v>
      </x:c>
      <x:c r="D509" s="11" t="str">
        <x:v>基准</x:v>
      </x:c>
      <x:c r="E509" s="11" t="n">
        <x:v>71.5</x:v>
      </x:c>
      <x:c r="F509" s="11" t="n">
        <x:v>153.25</x:v>
      </x:c>
      <x:c r="G509" s="11" t="n">
        <x:v>0</x:v>
      </x:c>
      <x:c r="H509" s="25" t="n">
        <x:v>1.1433566433566433</x:v>
      </x:c>
      <x:c r="I509" s="25" t="n">
        <x:v>1.1433566433566433</x:v>
      </x:c>
      <x:c r="J509" s="25" t="str"/>
      <x:c r="K509" s="11" t="n">
        <x:v>5.419</x:v>
      </x:c>
      <x:c r="L509" s="11" t="n">
        <x:v>22</x:v>
      </x:c>
      <x:c r="M509" s="11" t="n">
        <x:v>1.1</x:v>
      </x:c>
      <x:c r="N509" s="11" t="n">
        <x:v>0</x:v>
      </x:c>
      <x:c r="O509" s="11" t="str"/>
      <x:c r="P509" s="11" t="str"/>
      <x:c r="Q509" s="11" t="str"/>
      <x:c r="R509" s="11" t="str">
        <x:v>meituan-core-new-SOTP-v1.0</x:v>
      </x:c>
      <x:c r="S509" s="11" t="str">
        <x:v>2026-10-10</x:v>
      </x:c>
      <x:c r="T509" s="11" t="str">
        <x:f>IF(AND(SUM(IF(K509='假设'!E677,0,1),IF(L509='假设'!F677,0,1),IF(M509='假设'!G677,0,1),IF(N509='假设'!H677,0,1),IF(O509='假设'!I677,0,1),IF(P509='假设'!J677,0,1),IF(Q509='假设'!K677,0,1))=0,U509=V509),"已刷新","待刷新")</x:f>
        <x:v>待刷新</x:v>
      </x:c>
      <x:c r="U509" t="str">
        <x:v>345|0.15|9|0.2|0.995|6.28|165|0.45|70|18</x:v>
      </x:c>
      <x:c r="V509" t="str">
        <x:f>'业务分拆假设'!D37&amp;"|"&amp;'业务分拆假设'!E37&amp;"|"&amp;'业务分拆假设'!F37&amp;"|"&amp;'业务分拆假设'!G37&amp;"|"&amp;'业务分拆假设'!H37&amp;"|"&amp;'业务分拆假设'!I37&amp;"|"&amp;'业务分拆假设'!J37&amp;"|"&amp;'业务分拆假设'!K37&amp;"|"&amp;'业务分拆假设'!L37&amp;"|"&amp;'业务分拆假设'!M37</x:f>
        <x:v>345|0.15|9|0.2|0.995|6.28|165|1.45|70|18</x:v>
      </x:c>
    </x:row>
    <x:row r="510" ht="23" customHeight="1">
      <x:c r="A510" s="11" t="str">
        <x:v>03690.HK</x:v>
      </x:c>
      <x:c r="B510" s="11" t="str">
        <x:v>美团-W</x:v>
      </x:c>
      <x:c r="C510" s="11" t="str">
        <x:v>一年</x:v>
      </x:c>
      <x:c r="D510" s="11" t="str">
        <x:v>乐观</x:v>
      </x:c>
      <x:c r="E510" s="11" t="n">
        <x:v>71.5</x:v>
      </x:c>
      <x:c r="F510" s="11" t="n">
        <x:v>299.81</x:v>
      </x:c>
      <x:c r="G510" s="11" t="n">
        <x:v>0</x:v>
      </x:c>
      <x:c r="H510" s="25" t="n">
        <x:v>3.193146853146853</x:v>
      </x:c>
      <x:c r="I510" s="25" t="n">
        <x:v>3.193146853146853</x:v>
      </x:c>
      <x:c r="J510" s="25" t="str"/>
      <x:c r="K510" s="11" t="n">
        <x:v>8.294</x:v>
      </x:c>
      <x:c r="L510" s="11" t="n">
        <x:v>28</x:v>
      </x:c>
      <x:c r="M510" s="11" t="n">
        <x:v>1.1</x:v>
      </x:c>
      <x:c r="N510" s="11" t="n">
        <x:v>0</x:v>
      </x:c>
      <x:c r="O510" s="11" t="str"/>
      <x:c r="P510" s="11" t="str"/>
      <x:c r="Q510" s="11" t="str"/>
      <x:c r="R510" s="11" t="str">
        <x:v>meituan-core-new-SOTP-v1.0</x:v>
      </x:c>
      <x:c r="S510" s="11" t="str">
        <x:v>2026-10-10</x:v>
      </x:c>
      <x:c r="T510" s="11" t="str">
        <x:f>IF(AND(SUM(IF(K510='假设'!E678,0,1),IF(L510='假设'!F678,0,1),IF(M510='假设'!G678,0,1),IF(N510='假设'!H678,0,1),IF(O510='假设'!I678,0,1),IF(P510='假设'!J678,0,1),IF(Q510='假设'!K678,0,1))=0,U510=V510),"已刷新","待刷新")</x:f>
        <x:v>已刷新</x:v>
      </x:c>
      <x:c r="U510" t="str">
        <x:v>390|0.19|9.5|0.2|0.995|6.2|210|0.8|90|8</x:v>
      </x:c>
      <x:c r="V510" t="str">
        <x:f>'业务分拆假设'!D38&amp;"|"&amp;'业务分拆假设'!E38&amp;"|"&amp;'业务分拆假设'!F38&amp;"|"&amp;'业务分拆假设'!G38&amp;"|"&amp;'业务分拆假设'!H38&amp;"|"&amp;'业务分拆假设'!I38&amp;"|"&amp;'业务分拆假设'!J38&amp;"|"&amp;'业务分拆假设'!K38&amp;"|"&amp;'业务分拆假设'!L38&amp;"|"&amp;'业务分拆假设'!M38</x:f>
        <x:v>390|0.19|9.5|0.2|0.995|6.2|210|0.8|90|8</x:v>
      </x:c>
    </x:row>
    <x:row r="511" ht="23" customHeight="1">
      <x:c r="A511" s="11" t="str">
        <x:v>03690.HK</x:v>
      </x:c>
      <x:c r="B511" s="11" t="str">
        <x:v>美团-W</x:v>
      </x:c>
      <x:c r="C511" s="11" t="str">
        <x:v>三年</x:v>
      </x:c>
      <x:c r="D511" s="11" t="str">
        <x:v>悲观</x:v>
      </x:c>
      <x:c r="E511" s="11" t="n">
        <x:v>71.5</x:v>
      </x:c>
      <x:c r="F511" s="11" t="n">
        <x:v>28.5</x:v>
      </x:c>
      <x:c r="G511" s="11" t="n">
        <x:v>0</x:v>
      </x:c>
      <x:c r="H511" s="25" t="n">
        <x:v>-0.6013986013986015</x:v>
      </x:c>
      <x:c r="I511" s="25" t="n">
        <x:v>-0.6013986013986015</x:v>
      </x:c>
      <x:c r="J511" s="25" t="n">
        <x:v>-0.2640534516942401</x:v>
      </x:c>
      <x:c r="K511" s="11" t="n">
        <x:v>1.676</x:v>
      </x:c>
      <x:c r="L511" s="11" t="n">
        <x:v>12</x:v>
      </x:c>
      <x:c r="M511" s="11" t="n">
        <x:v>1.1</x:v>
      </x:c>
      <x:c r="N511" s="11" t="n">
        <x:v>0</x:v>
      </x:c>
      <x:c r="O511" s="11" t="str"/>
      <x:c r="P511" s="11" t="str"/>
      <x:c r="Q511" s="11" t="str"/>
      <x:c r="R511" s="11" t="str">
        <x:v>meituan-core-new-SOTP-v1.0</x:v>
      </x:c>
      <x:c r="S511" s="11" t="str">
        <x:v>2026-10-10</x:v>
      </x:c>
      <x:c r="T511" s="11" t="str">
        <x:f>IF(AND(SUM(IF(K511='假设'!E680,0,1),IF(L511='假设'!F680,0,1),IF(M511='假设'!G680,0,1),IF(N511='假设'!H680,0,1),IF(O511='假设'!I680,0,1),IF(P511='假设'!J680,0,1),IF(Q511='假设'!K680,0,1))=0,U511=V511),"已刷新","待刷新")</x:f>
        <x:v>已刷新</x:v>
      </x:c>
      <x:c r="U511" t="str">
        <x:v>320|0.08|11|0.2|0.99|6.9|135|0.2|25|12</x:v>
      </x:c>
      <x:c r="V511" t="str">
        <x:f>'业务分拆假设'!D40&amp;"|"&amp;'业务分拆假设'!E40&amp;"|"&amp;'业务分拆假设'!F40&amp;"|"&amp;'业务分拆假设'!G40&amp;"|"&amp;'业务分拆假设'!H40&amp;"|"&amp;'业务分拆假设'!I40&amp;"|"&amp;'业务分拆假设'!J40&amp;"|"&amp;'业务分拆假设'!K40&amp;"|"&amp;'业务分拆假设'!L40&amp;"|"&amp;'业务分拆假设'!M40</x:f>
        <x:v>320|0.08|11|0.2|0.99|6.9|135|0.2|25|12</x:v>
      </x:c>
    </x:row>
    <x:row r="512" ht="23" customHeight="1">
      <x:c r="A512" s="11" t="str">
        <x:v>03690.HK</x:v>
      </x:c>
      <x:c r="B512" s="11" t="str">
        <x:v>美团-W</x:v>
      </x:c>
      <x:c r="C512" s="11" t="str">
        <x:v>三年</x:v>
      </x:c>
      <x:c r="D512" s="11" t="str">
        <x:v>基准</x:v>
      </x:c>
      <x:c r="E512" s="11" t="n">
        <x:v>71.5</x:v>
      </x:c>
      <x:c r="F512" s="11" t="n">
        <x:v>237.21</x:v>
      </x:c>
      <x:c r="G512" s="11" t="n">
        <x:v>0</x:v>
      </x:c>
      <x:c r="H512" s="25" t="n">
        <x:v>2.317622377622378</x:v>
      </x:c>
      <x:c r="I512" s="25" t="n">
        <x:v>2.317622377622378</x:v>
      </x:c>
      <x:c r="J512" s="25" t="n">
        <x:v>0.49145098023834377</x:v>
      </x:c>
      <x:c r="K512" s="11" t="n">
        <x:v>8.276</x:v>
      </x:c>
      <x:c r="L512" s="11" t="n">
        <x:v>22</x:v>
      </x:c>
      <x:c r="M512" s="11" t="n">
        <x:v>1.1</x:v>
      </x:c>
      <x:c r="N512" s="11" t="n">
        <x:v>0</x:v>
      </x:c>
      <x:c r="O512" s="11" t="str"/>
      <x:c r="P512" s="11" t="str"/>
      <x:c r="Q512" s="11" t="str"/>
      <x:c r="R512" s="11" t="str">
        <x:v>meituan-core-new-SOTP-v1.0</x:v>
      </x:c>
      <x:c r="S512" s="11" t="str">
        <x:v>2026-10-10</x:v>
      </x:c>
      <x:c r="T512" s="11" t="str">
        <x:f>IF(AND(SUM(IF(K512='假设'!E681,0,1),IF(L512='假设'!F681,0,1),IF(M512='假设'!G681,0,1),IF(N512='假设'!H681,0,1),IF(O512='假设'!I681,0,1),IF(P512='假设'!J681,0,1),IF(Q512='假设'!K681,0,1))=0,U512=V512),"已刷新","待刷新")</x:f>
        <x:v>已刷新</x:v>
      </x:c>
      <x:c r="U512" t="str">
        <x:v>450|0.17|11|0.2|0.995|6.3|230|0.55|95|10</x:v>
      </x:c>
      <x:c r="V512" t="str">
        <x:f>'业务分拆假设'!D41&amp;"|"&amp;'业务分拆假设'!E41&amp;"|"&amp;'业务分拆假设'!F41&amp;"|"&amp;'业务分拆假设'!G41&amp;"|"&amp;'业务分拆假设'!H41&amp;"|"&amp;'业务分拆假设'!I41&amp;"|"&amp;'业务分拆假设'!J41&amp;"|"&amp;'业务分拆假设'!K41&amp;"|"&amp;'业务分拆假设'!L41&amp;"|"&amp;'业务分拆假设'!M41</x:f>
        <x:v>450|0.17|11|0.2|0.995|6.3|230|0.55|95|10</x:v>
      </x:c>
    </x:row>
    <x:row r="513" ht="23" customHeight="1">
      <x:c r="A513" s="11" t="str">
        <x:v>03690.HK</x:v>
      </x:c>
      <x:c r="B513" s="11" t="str">
        <x:v>美团-W</x:v>
      </x:c>
      <x:c r="C513" s="11" t="str">
        <x:v>三年</x:v>
      </x:c>
      <x:c r="D513" s="11" t="str">
        <x:v>乐观</x:v>
      </x:c>
      <x:c r="E513" s="11" t="n">
        <x:v>71.5</x:v>
      </x:c>
      <x:c r="F513" s="11" t="n">
        <x:v>520.66</x:v>
      </x:c>
      <x:c r="G513" s="11" t="n">
        <x:v>0</x:v>
      </x:c>
      <x:c r="H513" s="25" t="n">
        <x:v>6.281958041958042</x:v>
      </x:c>
      <x:c r="I513" s="25" t="n">
        <x:v>6.281958041958042</x:v>
      </x:c>
      <x:c r="J513" s="25" t="n">
        <x:v>0.9382779597819104</x:v>
      </x:c>
      <x:c r="K513" s="11" t="n">
        <x:v>14.03</x:v>
      </x:c>
      <x:c r="L513" s="11" t="n">
        <x:v>28</x:v>
      </x:c>
      <x:c r="M513" s="11" t="n">
        <x:v>1.1</x:v>
      </x:c>
      <x:c r="N513" s="11" t="n">
        <x:v>0</x:v>
      </x:c>
      <x:c r="O513" s="11" t="str"/>
      <x:c r="P513" s="11" t="str"/>
      <x:c r="Q513" s="11" t="str"/>
      <x:c r="R513" s="11" t="str">
        <x:v>meituan-core-new-SOTP-v1.0</x:v>
      </x:c>
      <x:c r="S513" s="11" t="str">
        <x:v>2026-10-10</x:v>
      </x:c>
      <x:c r="T513" s="11" t="str">
        <x:f>IF(AND(SUM(IF(K513='假设'!E682,0,1),IF(L513='假设'!F682,0,1),IF(M513='假设'!G682,0,1),IF(N513='假设'!H682,0,1),IF(O513='假设'!I682,0,1),IF(P513='假设'!J682,0,1),IF(Q513='假设'!K682,0,1))=0,U513=V513),"已刷新","待刷新")</x:f>
        <x:v>已刷新</x:v>
      </x:c>
      <x:c r="U513" t="str">
        <x:v>560|0.215|12|0.2|0.995|6.15|350|1|150|5</x:v>
      </x:c>
      <x:c r="V513" t="str">
        <x:f>'业务分拆假设'!D42&amp;"|"&amp;'业务分拆假设'!E42&amp;"|"&amp;'业务分拆假设'!F42&amp;"|"&amp;'业务分拆假设'!G42&amp;"|"&amp;'业务分拆假设'!H42&amp;"|"&amp;'业务分拆假设'!I42&amp;"|"&amp;'业务分拆假设'!J42&amp;"|"&amp;'业务分拆假设'!K42&amp;"|"&amp;'业务分拆假设'!L42&amp;"|"&amp;'业务分拆假设'!M42</x:f>
        <x:v>560|0.215|12|0.2|0.995|6.15|350|1|150|5</x:v>
      </x:c>
    </x:row>
    <x:row r="514" ht="23" customHeight="1">
      <x:c r="A514" s="11" t="str">
        <x:v>03690.HK</x:v>
      </x:c>
      <x:c r="B514" s="11" t="str">
        <x:v>美团-W</x:v>
      </x:c>
      <x:c r="C514" s="11" t="str">
        <x:v>五年</x:v>
      </x:c>
      <x:c r="D514" s="11" t="str">
        <x:v>悲观</x:v>
      </x:c>
      <x:c r="E514" s="11" t="n">
        <x:v>71.5</x:v>
      </x:c>
      <x:c r="F514" s="11" t="n">
        <x:v>26.11</x:v>
      </x:c>
      <x:c r="G514" s="11" t="n">
        <x:v>0</x:v>
      </x:c>
      <x:c r="H514" s="25" t="n">
        <x:v>-0.6348251748251748</x:v>
      </x:c>
      <x:c r="I514" s="25" t="n">
        <x:v>-0.6348251748251748</x:v>
      </x:c>
      <x:c r="J514" s="25" t="n">
        <x:v>-0.1824766495669431</x:v>
      </x:c>
      <x:c r="K514" s="11" t="n">
        <x:v>1.812</x:v>
      </x:c>
      <x:c r="L514" s="11" t="n">
        <x:v>10</x:v>
      </x:c>
      <x:c r="M514" s="11" t="n">
        <x:v>1.1</x:v>
      </x:c>
      <x:c r="N514" s="11" t="n">
        <x:v>0</x:v>
      </x:c>
      <x:c r="O514" s="11" t="str"/>
      <x:c r="P514" s="11" t="str"/>
      <x:c r="Q514" s="11" t="str"/>
      <x:c r="R514" s="11" t="str">
        <x:v>meituan-core-new-SOTP-v1.0</x:v>
      </x:c>
      <x:c r="S514" s="11" t="str">
        <x:v>2026-10-10</x:v>
      </x:c>
      <x:c r="T514" s="11" t="str">
        <x:f>IF(AND(SUM(IF(K514='假设'!E684,0,1),IF(L514='假设'!F684,0,1),IF(M514='假设'!G684,0,1),IF(N514='假设'!H684,0,1),IF(O514='假设'!I684,0,1),IF(P514='假设'!J684,0,1),IF(Q514='假设'!K684,0,1))=0,U514=V514),"已刷新","待刷新")</x:f>
        <x:v>已刷新</x:v>
      </x:c>
      <x:c r="U514" t="str">
        <x:v>330|0.09|13|0.2|0.99|7.3|145|0.2|20|8</x:v>
      </x:c>
      <x:c r="V514" t="str">
        <x:f>'业务分拆假设'!D44&amp;"|"&amp;'业务分拆假设'!E44&amp;"|"&amp;'业务分拆假设'!F44&amp;"|"&amp;'业务分拆假设'!G44&amp;"|"&amp;'业务分拆假设'!H44&amp;"|"&amp;'业务分拆假设'!I44&amp;"|"&amp;'业务分拆假设'!J44&amp;"|"&amp;'业务分拆假设'!K44&amp;"|"&amp;'业务分拆假设'!L44&amp;"|"&amp;'业务分拆假设'!M44</x:f>
        <x:v>330|0.09|13|0.2|0.99|7.3|145|0.2|20|8</x:v>
      </x:c>
    </x:row>
    <x:row r="515" ht="23" customHeight="1">
      <x:c r="A515" s="11" t="str">
        <x:v>03690.HK</x:v>
      </x:c>
      <x:c r="B515" s="11" t="str">
        <x:v>美团-W</x:v>
      </x:c>
      <x:c r="C515" s="11" t="str">
        <x:v>五年</x:v>
      </x:c>
      <x:c r="D515" s="11" t="str">
        <x:v>基准</x:v>
      </x:c>
      <x:c r="E515" s="11" t="n">
        <x:v>71.5</x:v>
      </x:c>
      <x:c r="F515" s="11" t="n">
        <x:v>294.79</x:v>
      </x:c>
      <x:c r="G515" s="11" t="n">
        <x:v>0</x:v>
      </x:c>
      <x:c r="H515" s="25" t="n">
        <x:v>3.122937062937063</x:v>
      </x:c>
      <x:c r="I515" s="25" t="n">
        <x:v>3.122937062937063</x:v>
      </x:c>
      <x:c r="J515" s="25" t="n">
        <x:v>0.3275208201601929</x:v>
      </x:c>
      <x:c r="K515" s="11" t="n">
        <x:v>11.006</x:v>
      </x:c>
      <x:c r="L515" s="11" t="n">
        <x:v>20</x:v>
      </x:c>
      <x:c r="M515" s="11" t="n">
        <x:v>1.1</x:v>
      </x:c>
      <x:c r="N515" s="11" t="n">
        <x:v>0</x:v>
      </x:c>
      <x:c r="O515" s="11" t="str"/>
      <x:c r="P515" s="11" t="str"/>
      <x:c r="Q515" s="11" t="str"/>
      <x:c r="R515" s="11" t="str">
        <x:v>meituan-core-new-SOTP-v1.0</x:v>
      </x:c>
      <x:c r="S515" s="11" t="str">
        <x:v>2026-10-10</x:v>
      </x:c>
      <x:c r="T515" s="11" t="str">
        <x:f>IF(AND(SUM(IF(K515='假设'!E685,0,1),IF(L515='假设'!F685,0,1),IF(M515='假设'!G685,0,1),IF(N515='假设'!H685,0,1),IF(O515='假设'!I685,0,1),IF(P515='假设'!J685,0,1),IF(Q515='假设'!K685,0,1))=0,U515=V515),"已刷新","待刷新")</x:f>
        <x:v>已刷新</x:v>
      </x:c>
      <x:c r="U515" t="str">
        <x:v>560|0.18|13|0.2|0.995|6.35|300|0.6|130|6</x:v>
      </x:c>
      <x:c r="V515" t="str">
        <x:f>'业务分拆假设'!D45&amp;"|"&amp;'业务分拆假设'!E45&amp;"|"&amp;'业务分拆假设'!F45&amp;"|"&amp;'业务分拆假设'!G45&amp;"|"&amp;'业务分拆假设'!H45&amp;"|"&amp;'业务分拆假设'!I45&amp;"|"&amp;'业务分拆假设'!J45&amp;"|"&amp;'业务分拆假设'!K45&amp;"|"&amp;'业务分拆假设'!L45&amp;"|"&amp;'业务分拆假设'!M45</x:f>
        <x:v>560|0.18|13|0.2|0.995|6.35|300|0.6|130|6</x:v>
      </x:c>
    </x:row>
    <x:row r="516" ht="23" customHeight="1">
      <x:c r="A516" s="11" t="str">
        <x:v>03690.HK</x:v>
      </x:c>
      <x:c r="B516" s="11" t="str">
        <x:v>美团-W</x:v>
      </x:c>
      <x:c r="C516" s="11" t="str">
        <x:v>五年</x:v>
      </x:c>
      <x:c r="D516" s="11" t="str">
        <x:v>乐观</x:v>
      </x:c>
      <x:c r="E516" s="11" t="n">
        <x:v>71.5</x:v>
      </x:c>
      <x:c r="F516" s="11" t="n">
        <x:v>717.52</x:v>
      </x:c>
      <x:c r="G516" s="11" t="n">
        <x:v>0</x:v>
      </x:c>
      <x:c r="H516" s="25" t="n">
        <x:v>9.035244755244754</x:v>
      </x:c>
      <x:c r="I516" s="25" t="n">
        <x:v>9.035244755244754</x:v>
      </x:c>
      <x:c r="J516" s="25" t="n">
        <x:v>0.5860088042423883</x:v>
      </x:c>
      <x:c r="K516" s="11" t="n">
        <x:v>20.063</x:v>
      </x:c>
      <x:c r="L516" s="11" t="n">
        <x:v>26</x:v>
      </x:c>
      <x:c r="M516" s="11" t="n">
        <x:v>1.1</x:v>
      </x:c>
      <x:c r="N516" s="11" t="n">
        <x:v>0</x:v>
      </x:c>
      <x:c r="O516" s="11" t="str"/>
      <x:c r="P516" s="11" t="str"/>
      <x:c r="Q516" s="11" t="str"/>
      <x:c r="R516" s="11" t="str">
        <x:v>meituan-core-new-SOTP-v1.0</x:v>
      </x:c>
      <x:c r="S516" s="11" t="str">
        <x:v>2026-10-10</x:v>
      </x:c>
      <x:c r="T516" s="11" t="str">
        <x:f>IF(AND(SUM(IF(K516='假设'!E686,0,1),IF(L516='假设'!F686,0,1),IF(M516='假设'!G686,0,1),IF(N516='假设'!H686,0,1),IF(O516='假设'!I686,0,1),IF(P516='假设'!J686,0,1),IF(Q516='假设'!K686,0,1))=0,U516=V516),"已刷新","待刷新")</x:f>
        <x:v>已刷新</x:v>
      </x:c>
      <x:c r="U516" t="str">
        <x:v>750|0.225|15|0.2|0.995|6.1|500|1.1|250|3</x:v>
      </x:c>
      <x:c r="V516" t="str">
        <x:f>'业务分拆假设'!D46&amp;"|"&amp;'业务分拆假设'!E46&amp;"|"&amp;'业务分拆假设'!F46&amp;"|"&amp;'业务分拆假设'!G46&amp;"|"&amp;'业务分拆假设'!H46&amp;"|"&amp;'业务分拆假设'!I46&amp;"|"&amp;'业务分拆假设'!J46&amp;"|"&amp;'业务分拆假设'!K46&amp;"|"&amp;'业务分拆假设'!L46&amp;"|"&amp;'业务分拆假设'!M46</x:f>
        <x:v>750|0.225|15|0.2|0.995|6.1|500|1.1|250|3</x:v>
      </x:c>
    </x:row>
    <x:row r="517" ht="23" customHeight="1">
      <x:c r="A517" s="11" t="str">
        <x:v>00300.HK</x:v>
      </x:c>
      <x:c r="B517" s="11" t="str">
        <x:v>美的集团</x:v>
      </x:c>
      <x:c r="C517" s="11" t="str">
        <x:v>2026年底</x:v>
      </x:c>
      <x:c r="D517" s="11" t="str">
        <x:v>悲观</x:v>
      </x:c>
      <x:c r="E517" s="11" t="n">
        <x:v>93.65</x:v>
      </x:c>
      <x:c r="F517" s="11" t="n">
        <x:v>56.59</x:v>
      </x:c>
      <x:c r="G517" s="11" t="n">
        <x:v>0</x:v>
      </x:c>
      <x:c r="H517" s="25" t="n">
        <x:v>-0.39572877736252</x:v>
      </x:c>
      <x:c r="I517" s="25" t="n">
        <x:v>-0.39572877736252</x:v>
      </x:c>
      <x:c r="J517" s="25" t="str"/>
      <x:c r="K517" s="11" t="n">
        <x:v>5.144736842105264</x:v>
      </x:c>
      <x:c r="L517" s="11" t="n">
        <x:v>10</x:v>
      </x:c>
      <x:c r="M517" s="11" t="n">
        <x:v>1.1</x:v>
      </x:c>
      <x:c r="N517" s="11" t="n">
        <x:v>0</x:v>
      </x:c>
      <x:c r="O517" s="11" t="n">
        <x:v>460</x:v>
      </x:c>
      <x:c r="P517" s="11" t="n">
        <x:v>0.085</x:v>
      </x:c>
      <x:c r="Q517" s="11" t="n">
        <x:v>7.6</x:v>
      </x:c>
      <x:c r="R517" s="11" t="str">
        <x:v>midea-normalized-owner-margin-v1.0</x:v>
      </x:c>
      <x:c r="S517" s="11" t="str">
        <x:v>2026-10-10</x:v>
      </x:c>
      <x:c r="T517" s="11" t="str">
        <x:f>IF(AND(SUM(IF(K517='假设'!E688,0,1),IF(L517='假设'!F688,0,1),IF(M517='假设'!G688,0,1),IF(N517='假设'!H688,0,1),IF(O517='假设'!I688,0,1),IF(P517='假设'!J688,0,1),IF(Q517='假设'!K688,0,1))=0,U517=V517),"已刷新","待刷新")</x:f>
        <x:v>已刷新</x:v>
      </x:c>
    </x:row>
    <x:row r="518" ht="23" customHeight="1">
      <x:c r="A518" s="11" t="str">
        <x:v>00300.HK</x:v>
      </x:c>
      <x:c r="B518" s="11" t="str">
        <x:v>美的集团</x:v>
      </x:c>
      <x:c r="C518" s="11" t="str">
        <x:v>2026年底</x:v>
      </x:c>
      <x:c r="D518" s="11" t="str">
        <x:v>基准</x:v>
      </x:c>
      <x:c r="E518" s="11" t="n">
        <x:v>93.65</x:v>
      </x:c>
      <x:c r="F518" s="11" t="n">
        <x:v>109.24</x:v>
      </x:c>
      <x:c r="G518" s="11" t="n">
        <x:v>0.55</x:v>
      </x:c>
      <x:c r="H518" s="25" t="n">
        <x:v>0.166470902295782</x:v>
      </x:c>
      <x:c r="I518" s="25" t="n">
        <x:v>0.17234383342231707</x:v>
      </x:c>
      <x:c r="J518" s="25" t="str"/>
      <x:c r="K518" s="11" t="n">
        <x:v>6.206666666666666</x:v>
      </x:c>
      <x:c r="L518" s="11" t="n">
        <x:v>16</x:v>
      </x:c>
      <x:c r="M518" s="11" t="n">
        <x:v>1.1</x:v>
      </x:c>
      <x:c r="N518" s="11" t="n">
        <x:v>0.55</x:v>
      </x:c>
      <x:c r="O518" s="11" t="n">
        <x:v>490</x:v>
      </x:c>
      <x:c r="P518" s="11" t="n">
        <x:v>0.095</x:v>
      </x:c>
      <x:c r="Q518" s="11" t="n">
        <x:v>7.5</x:v>
      </x:c>
      <x:c r="R518" s="11" t="str">
        <x:v>midea-normalized-owner-margin-v1.0</x:v>
      </x:c>
      <x:c r="S518" s="11" t="str">
        <x:v>2026-10-10</x:v>
      </x:c>
      <x:c r="T518" s="11" t="str">
        <x:f>IF(AND(SUM(IF(K518='假设'!E689,0,1),IF(L518='假设'!F689,0,1),IF(M518='假设'!G689,0,1),IF(N518='假设'!H689,0,1),IF(O518='假设'!I689,0,1),IF(P518='假设'!J689,0,1),IF(Q518='假设'!K689,0,1))=0,U518=V518),"已刷新","待刷新")</x:f>
        <x:v>已刷新</x:v>
      </x:c>
    </x:row>
    <x:row r="519" ht="23" customHeight="1">
      <x:c r="A519" s="11" t="str">
        <x:v>00300.HK</x:v>
      </x:c>
      <x:c r="B519" s="11" t="str">
        <x:v>美的集团</x:v>
      </x:c>
      <x:c r="C519" s="11" t="str">
        <x:v>2026年底</x:v>
      </x:c>
      <x:c r="D519" s="11" t="str">
        <x:v>乐观</x:v>
      </x:c>
      <x:c r="E519" s="11" t="n">
        <x:v>93.65</x:v>
      </x:c>
      <x:c r="F519" s="11" t="n">
        <x:v>147.28</x:v>
      </x:c>
      <x:c r="G519" s="11" t="n">
        <x:v>0.6</x:v>
      </x:c>
      <x:c r="H519" s="25" t="n">
        <x:v>0.572664175120128</x:v>
      </x:c>
      <x:c r="I519" s="25" t="n">
        <x:v>0.579071009076348</x:v>
      </x:c>
      <x:c r="J519" s="25" t="str"/>
      <x:c r="K519" s="11" t="n">
        <x:v>7.046979865771812</x:v>
      </x:c>
      <x:c r="L519" s="11" t="n">
        <x:v>19</x:v>
      </x:c>
      <x:c r="M519" s="11" t="n">
        <x:v>1.1</x:v>
      </x:c>
      <x:c r="N519" s="11" t="n">
        <x:v>0.6</x:v>
      </x:c>
      <x:c r="O519" s="11" t="n">
        <x:v>500</x:v>
      </x:c>
      <x:c r="P519" s="11" t="n">
        <x:v>0.105</x:v>
      </x:c>
      <x:c r="Q519" s="11" t="n">
        <x:v>7.45</x:v>
      </x:c>
      <x:c r="R519" s="11" t="str">
        <x:v>midea-normalized-owner-margin-v1.0</x:v>
      </x:c>
      <x:c r="S519" s="11" t="str">
        <x:v>2026-10-10</x:v>
      </x:c>
      <x:c r="T519" s="11" t="str">
        <x:f>IF(AND(SUM(IF(K519='假设'!E690,0,1),IF(L519='假设'!F690,0,1),IF(M519='假设'!G690,0,1),IF(N519='假设'!H690,0,1),IF(O519='假设'!I690,0,1),IF(P519='假设'!J690,0,1),IF(Q519='假设'!K690,0,1))=0,U519=V519),"已刷新","待刷新")</x:f>
        <x:v>已刷新</x:v>
      </x:c>
    </x:row>
    <x:row r="520" ht="23" customHeight="1">
      <x:c r="A520" s="11" t="str">
        <x:v>00300.HK</x:v>
      </x:c>
      <x:c r="B520" s="11" t="str">
        <x:v>美的集团</x:v>
      </x:c>
      <x:c r="C520" s="11" t="str">
        <x:v>半年</x:v>
      </x:c>
      <x:c r="D520" s="11" t="str">
        <x:v>悲观</x:v>
      </x:c>
      <x:c r="E520" s="11" t="n">
        <x:v>93.65</x:v>
      </x:c>
      <x:c r="F520" s="11" t="n">
        <x:v>51.02</x:v>
      </x:c>
      <x:c r="G520" s="11" t="n">
        <x:v>0</x:v>
      </x:c>
      <x:c r="H520" s="25" t="n">
        <x:v>-0.45520555258942874</x:v>
      </x:c>
      <x:c r="I520" s="25" t="n">
        <x:v>-0.45520555258942874</x:v>
      </x:c>
      <x:c r="J520" s="25" t="str"/>
      <x:c r="K520" s="11" t="n">
        <x:v>4.88235294117647</x:v>
      </x:c>
      <x:c r="L520" s="11" t="n">
        <x:v>9.5</x:v>
      </x:c>
      <x:c r="M520" s="11" t="n">
        <x:v>1.1</x:v>
      </x:c>
      <x:c r="N520" s="11" t="n">
        <x:v>0</x:v>
      </x:c>
      <x:c r="O520" s="11" t="n">
        <x:v>450</x:v>
      </x:c>
      <x:c r="P520" s="11" t="n">
        <x:v>0.083</x:v>
      </x:c>
      <x:c r="Q520" s="11" t="n">
        <x:v>7.65</x:v>
      </x:c>
      <x:c r="R520" s="11" t="str">
        <x:v>midea-normalized-owner-margin-v1.0</x:v>
      </x:c>
      <x:c r="S520" s="11" t="str">
        <x:v>2026-10-10</x:v>
      </x:c>
      <x:c r="T520" s="11" t="str">
        <x:f>IF(AND(SUM(IF(K520='假设'!E692,0,1),IF(L520='假设'!F692,0,1),IF(M520='假设'!G692,0,1),IF(N520='假设'!H692,0,1),IF(O520='假设'!I692,0,1),IF(P520='假设'!J692,0,1),IF(Q520='假设'!K692,0,1))=0,U520=V520),"已刷新","待刷新")</x:f>
        <x:v>已刷新</x:v>
      </x:c>
    </x:row>
    <x:row r="521" ht="23" customHeight="1">
      <x:c r="A521" s="11" t="str">
        <x:v>00300.HK</x:v>
      </x:c>
      <x:c r="B521" s="11" t="str">
        <x:v>美的集团</x:v>
      </x:c>
      <x:c r="C521" s="11" t="str">
        <x:v>半年</x:v>
      </x:c>
      <x:c r="D521" s="11" t="str">
        <x:v>基准</x:v>
      </x:c>
      <x:c r="E521" s="11" t="n">
        <x:v>93.65</x:v>
      </x:c>
      <x:c r="F521" s="11" t="n">
        <x:v>118.86</x:v>
      </x:c>
      <x:c r="G521" s="11" t="n">
        <x:v>0.55</x:v>
      </x:c>
      <x:c r="H521" s="25" t="n">
        <x:v>0.2691938067271755</x:v>
      </x:c>
      <x:c r="I521" s="25" t="n">
        <x:v>0.2750667378537106</x:v>
      </x:c>
      <x:c r="J521" s="25" t="str"/>
      <x:c r="K521" s="11" t="n">
        <x:v>6.548796791443849</x:v>
      </x:c>
      <x:c r="L521" s="11" t="n">
        <x:v>16.5</x:v>
      </x:c>
      <x:c r="M521" s="11" t="n">
        <x:v>1.1</x:v>
      </x:c>
      <x:c r="N521" s="11" t="n">
        <x:v>0.55</x:v>
      </x:c>
      <x:c r="O521" s="11" t="n">
        <x:v>505</x:v>
      </x:c>
      <x:c r="P521" s="11" t="n">
        <x:v>0.097</x:v>
      </x:c>
      <x:c r="Q521" s="11" t="n">
        <x:v>7.48</x:v>
      </x:c>
      <x:c r="R521" s="11" t="str">
        <x:v>midea-normalized-owner-margin-v1.0</x:v>
      </x:c>
      <x:c r="S521" s="11" t="str">
        <x:v>2026-10-10</x:v>
      </x:c>
      <x:c r="T521" s="11" t="str">
        <x:f>IF(AND(SUM(IF(K521='假设'!E693,0,1),IF(L521='假设'!F693,0,1),IF(M521='假设'!G693,0,1),IF(N521='假设'!H693,0,1),IF(O521='假设'!I693,0,1),IF(P521='假设'!J693,0,1),IF(Q521='假设'!K693,0,1))=0,U521=V521),"已刷新","待刷新")</x:f>
        <x:v>已刷新</x:v>
      </x:c>
    </x:row>
    <x:row r="522" ht="23" customHeight="1">
      <x:c r="A522" s="11" t="str">
        <x:v>00300.HK</x:v>
      </x:c>
      <x:c r="B522" s="11" t="str">
        <x:v>美的集团</x:v>
      </x:c>
      <x:c r="C522" s="11" t="str">
        <x:v>半年</x:v>
      </x:c>
      <x:c r="D522" s="11" t="str">
        <x:v>乐观</x:v>
      </x:c>
      <x:c r="E522" s="11" t="n">
        <x:v>93.65</x:v>
      </x:c>
      <x:c r="F522" s="11" t="n">
        <x:v>170.17</x:v>
      </x:c>
      <x:c r="G522" s="11" t="n">
        <x:v>0.6</x:v>
      </x:c>
      <x:c r="H522" s="25" t="n">
        <x:v>0.8170848905499197</x:v>
      </x:c>
      <x:c r="I522" s="25" t="n">
        <x:v>0.8234917245061395</x:v>
      </x:c>
      <x:c r="J522" s="25" t="str"/>
      <x:c r="K522" s="11" t="n">
        <x:v>7.735135135135135</x:v>
      </x:c>
      <x:c r="L522" s="11" t="n">
        <x:v>20</x:v>
      </x:c>
      <x:c r="M522" s="11" t="n">
        <x:v>1.1</x:v>
      </x:c>
      <x:c r="N522" s="11" t="n">
        <x:v>0.6</x:v>
      </x:c>
      <x:c r="O522" s="11" t="n">
        <x:v>530</x:v>
      </x:c>
      <x:c r="P522" s="11" t="n">
        <x:v>0.108</x:v>
      </x:c>
      <x:c r="Q522" s="11" t="n">
        <x:v>7.4</x:v>
      </x:c>
      <x:c r="R522" s="11" t="str">
        <x:v>midea-normalized-owner-margin-v1.0</x:v>
      </x:c>
      <x:c r="S522" s="11" t="str">
        <x:v>2026-10-10</x:v>
      </x:c>
      <x:c r="T522" s="11" t="str">
        <x:f>IF(AND(SUM(IF(K522='假设'!E694,0,1),IF(L522='假设'!F694,0,1),IF(M522='假设'!G694,0,1),IF(N522='假设'!H694,0,1),IF(O522='假设'!I694,0,1),IF(P522='假设'!J694,0,1),IF(Q522='假设'!K694,0,1))=0,U522=V522),"已刷新","待刷新")</x:f>
        <x:v>已刷新</x:v>
      </x:c>
    </x:row>
    <x:row r="523" ht="23" customHeight="1">
      <x:c r="A523" s="11" t="str">
        <x:v>00300.HK</x:v>
      </x:c>
      <x:c r="B523" s="11" t="str">
        <x:v>美的集团</x:v>
      </x:c>
      <x:c r="C523" s="11" t="str">
        <x:v>一年</x:v>
      </x:c>
      <x:c r="D523" s="11" t="str">
        <x:v>悲观</x:v>
      </x:c>
      <x:c r="E523" s="11" t="n">
        <x:v>93.65</x:v>
      </x:c>
      <x:c r="F523" s="11" t="n">
        <x:v>47.44</x:v>
      </x:c>
      <x:c r="G523" s="11" t="n">
        <x:v>3</x:v>
      </x:c>
      <x:c r="H523" s="25" t="n">
        <x:v>-0.4934329951948746</x:v>
      </x:c>
      <x:c r="I523" s="25" t="n">
        <x:v>-0.46139882541377475</x:v>
      </x:c>
      <x:c r="J523" s="25" t="str"/>
      <x:c r="K523" s="11" t="n">
        <x:v>4.792207792207792</x:v>
      </x:c>
      <x:c r="L523" s="11" t="n">
        <x:v>9</x:v>
      </x:c>
      <x:c r="M523" s="11" t="n">
        <x:v>1.1</x:v>
      </x:c>
      <x:c r="N523" s="11" t="n">
        <x:v>3</x:v>
      </x:c>
      <x:c r="O523" s="11" t="n">
        <x:v>450</x:v>
      </x:c>
      <x:c r="P523" s="11" t="n">
        <x:v>0.082</x:v>
      </x:c>
      <x:c r="Q523" s="11" t="n">
        <x:v>7.7</x:v>
      </x:c>
      <x:c r="R523" s="11" t="str">
        <x:v>midea-normalized-owner-margin-v1.0</x:v>
      </x:c>
      <x:c r="S523" s="11" t="str">
        <x:v>2026-10-10</x:v>
      </x:c>
      <x:c r="T523" s="11" t="str">
        <x:f>IF(AND(SUM(IF(K523='假设'!E696,0,1),IF(L523='假设'!F696,0,1),IF(M523='假设'!G696,0,1),IF(N523='假设'!H696,0,1),IF(O523='假设'!I696,0,1),IF(P523='假设'!J696,0,1),IF(Q523='假设'!K696,0,1))=0,U523=V523),"已刷新","待刷新")</x:f>
        <x:v>已刷新</x:v>
      </x:c>
    </x:row>
    <x:row r="524" ht="23" customHeight="1">
      <x:c r="A524" s="11" t="str">
        <x:v>00300.HK</x:v>
      </x:c>
      <x:c r="B524" s="11" t="str">
        <x:v>美的集团</x:v>
      </x:c>
      <x:c r="C524" s="11" t="str">
        <x:v>一年</x:v>
      </x:c>
      <x:c r="D524" s="11" t="str">
        <x:v>基准</x:v>
      </x:c>
      <x:c r="E524" s="11" t="n">
        <x:v>93.65</x:v>
      </x:c>
      <x:c r="F524" s="11" t="n">
        <x:v>131.88</x:v>
      </x:c>
      <x:c r="G524" s="11" t="n">
        <x:v>5.1</x:v>
      </x:c>
      <x:c r="H524" s="25" t="n">
        <x:v>0.4082221035771487</x:v>
      </x:c>
      <x:c r="I524" s="25" t="n">
        <x:v>0.46268019220501855</x:v>
      </x:c>
      <x:c r="J524" s="25" t="str"/>
      <x:c r="K524" s="11" t="n">
        <x:v>7.05241935483871</x:v>
      </x:c>
      <x:c r="L524" s="11" t="n">
        <x:v>17</x:v>
      </x:c>
      <x:c r="M524" s="11" t="n">
        <x:v>1.1</x:v>
      </x:c>
      <x:c r="N524" s="11" t="n">
        <x:v>5.1</x:v>
      </x:c>
      <x:c r="O524" s="11" t="n">
        <x:v>530</x:v>
      </x:c>
      <x:c r="P524" s="11" t="n">
        <x:v>0.099</x:v>
      </x:c>
      <x:c r="Q524" s="11" t="n">
        <x:v>7.44</x:v>
      </x:c>
      <x:c r="R524" s="11" t="str">
        <x:v>midea-normalized-owner-margin-v1.0</x:v>
      </x:c>
      <x:c r="S524" s="11" t="str">
        <x:v>2026-10-10</x:v>
      </x:c>
      <x:c r="T524" s="11" t="str">
        <x:f>IF(AND(SUM(IF(K524='假设'!E697,0,1),IF(L524='假设'!F697,0,1),IF(M524='假设'!G697,0,1),IF(N524='假设'!H697,0,1),IF(O524='假设'!I697,0,1),IF(P524='假设'!J697,0,1),IF(Q524='假设'!K697,0,1))=0,U524=V524),"已刷新","待刷新")</x:f>
        <x:v>已刷新</x:v>
      </x:c>
    </x:row>
    <x:row r="525" ht="23" customHeight="1">
      <x:c r="A525" s="11" t="str">
        <x:v>00300.HK</x:v>
      </x:c>
      <x:c r="B525" s="11" t="str">
        <x:v>美的集团</x:v>
      </x:c>
      <x:c r="C525" s="11" t="str">
        <x:v>一年</x:v>
      </x:c>
      <x:c r="D525" s="11" t="str">
        <x:v>乐观</x:v>
      </x:c>
      <x:c r="E525" s="11" t="n">
        <x:v>93.65</x:v>
      </x:c>
      <x:c r="F525" s="11" t="n">
        <x:v>198.41</x:v>
      </x:c>
      <x:c r="G525" s="11" t="n">
        <x:v>6</x:v>
      </x:c>
      <x:c r="H525" s="25" t="n">
        <x:v>1.1186332087560062</x:v>
      </x:c>
      <x:c r="I525" s="25" t="n">
        <x:v>1.1827015483182057</x:v>
      </x:c>
      <x:c r="J525" s="25" t="str"/>
      <x:c r="K525" s="11" t="n">
        <x:v>8.589041095890412</x:v>
      </x:c>
      <x:c r="L525" s="11" t="n">
        <x:v>21</x:v>
      </x:c>
      <x:c r="M525" s="11" t="n">
        <x:v>1.1</x:v>
      </x:c>
      <x:c r="N525" s="11" t="n">
        <x:v>6</x:v>
      </x:c>
      <x:c r="O525" s="11" t="n">
        <x:v>570</x:v>
      </x:c>
      <x:c r="P525" s="11" t="n">
        <x:v>0.11</x:v>
      </x:c>
      <x:c r="Q525" s="11" t="n">
        <x:v>7.3</x:v>
      </x:c>
      <x:c r="R525" s="11" t="str">
        <x:v>midea-normalized-owner-margin-v1.0</x:v>
      </x:c>
      <x:c r="S525" s="11" t="str">
        <x:v>2026-10-10</x:v>
      </x:c>
      <x:c r="T525" s="11" t="str">
        <x:f>IF(AND(SUM(IF(K525='假设'!E698,0,1),IF(L525='假设'!F698,0,1),IF(M525='假设'!G698,0,1),IF(N525='假设'!H698,0,1),IF(O525='假设'!I698,0,1),IF(P525='假设'!J698,0,1),IF(Q525='假设'!K698,0,1))=0,U525=V525),"已刷新","待刷新")</x:f>
        <x:v>已刷新</x:v>
      </x:c>
    </x:row>
    <x:row r="526" ht="23" customHeight="1">
      <x:c r="A526" s="11" t="str">
        <x:v>00300.HK</x:v>
      </x:c>
      <x:c r="B526" s="11" t="str">
        <x:v>美的集团</x:v>
      </x:c>
      <x:c r="C526" s="11" t="str">
        <x:v>三年</x:v>
      </x:c>
      <x:c r="D526" s="11" t="str">
        <x:v>悲观</x:v>
      </x:c>
      <x:c r="E526" s="11" t="n">
        <x:v>93.65</x:v>
      </x:c>
      <x:c r="F526" s="11" t="n">
        <x:v>43.39</x:v>
      </x:c>
      <x:c r="G526" s="11" t="n">
        <x:v>9</x:v>
      </x:c>
      <x:c r="H526" s="25" t="n">
        <x:v>-0.5366791243993594</x:v>
      </x:c>
      <x:c r="I526" s="25" t="n">
        <x:v>-0.44057661505605983</x:v>
      </x:c>
      <x:c r="J526" s="25" t="n">
        <x:v>-0.17602594137818683</x:v>
      </x:c>
      <x:c r="K526" s="11" t="n">
        <x:v>4.640506329113923</x:v>
      </x:c>
      <x:c r="L526" s="11" t="n">
        <x:v>8.5</x:v>
      </x:c>
      <x:c r="M526" s="11" t="n">
        <x:v>1.1</x:v>
      </x:c>
      <x:c r="N526" s="11" t="n">
        <x:v>9</x:v>
      </x:c>
      <x:c r="O526" s="11" t="n">
        <x:v>470</x:v>
      </x:c>
      <x:c r="P526" s="11" t="n">
        <x:v>0.078</x:v>
      </x:c>
      <x:c r="Q526" s="11" t="n">
        <x:v>7.9</x:v>
      </x:c>
      <x:c r="R526" s="11" t="str">
        <x:v>midea-normalized-owner-margin-v1.0</x:v>
      </x:c>
      <x:c r="S526" s="11" t="str">
        <x:v>2026-10-10</x:v>
      </x:c>
      <x:c r="T526" s="11" t="str">
        <x:f>IF(AND(SUM(IF(K526='假设'!E700,0,1),IF(L526='假设'!F700,0,1),IF(M526='假设'!G700,0,1),IF(N526='假设'!H700,0,1),IF(O526='假设'!I700,0,1),IF(P526='假设'!J700,0,1),IF(Q526='假设'!K700,0,1))=0,U526=V526),"已刷新","待刷新")</x:f>
        <x:v>已刷新</x:v>
      </x:c>
    </x:row>
    <x:row r="527" ht="23" customHeight="1">
      <x:c r="A527" s="11" t="str">
        <x:v>00300.HK</x:v>
      </x:c>
      <x:c r="B527" s="11" t="str">
        <x:v>美的集团</x:v>
      </x:c>
      <x:c r="C527" s="11" t="str">
        <x:v>三年</x:v>
      </x:c>
      <x:c r="D527" s="11" t="str">
        <x:v>基准</x:v>
      </x:c>
      <x:c r="E527" s="11" t="n">
        <x:v>93.65</x:v>
      </x:c>
      <x:c r="F527" s="11" t="n">
        <x:v>171.53</x:v>
      </x:c>
      <x:c r="G527" s="11" t="n">
        <x:v>17</x:v>
      </x:c>
      <x:c r="H527" s="25" t="n">
        <x:v>0.8316070475173518</x:v>
      </x:c>
      <x:c r="I527" s="25" t="n">
        <x:v>1.0131340096102508</x:v>
      </x:c>
      <x:c r="J527" s="25" t="n">
        <x:v>0.26267300382189496</x:v>
      </x:c>
      <x:c r="K527" s="11" t="n">
        <x:v>8.663013698630136</x:v>
      </x:c>
      <x:c r="L527" s="11" t="n">
        <x:v>18</x:v>
      </x:c>
      <x:c r="M527" s="11" t="n">
        <x:v>1.1</x:v>
      </x:c>
      <x:c r="N527" s="11" t="n">
        <x:v>17</x:v>
      </x:c>
      <x:c r="O527" s="11" t="n">
        <x:v>620</x:v>
      </x:c>
      <x:c r="P527" s="11" t="n">
        <x:v>0.102</x:v>
      </x:c>
      <x:c r="Q527" s="11" t="n">
        <x:v>7.3</x:v>
      </x:c>
      <x:c r="R527" s="11" t="str">
        <x:v>midea-normalized-owner-margin-v1.0</x:v>
      </x:c>
      <x:c r="S527" s="11" t="str">
        <x:v>2026-10-10</x:v>
      </x:c>
      <x:c r="T527" s="11" t="str">
        <x:f>IF(AND(SUM(IF(K527='假设'!E701,0,1),IF(L527='假设'!F701,0,1),IF(M527='假设'!G701,0,1),IF(N527='假设'!H701,0,1),IF(O527='假设'!I701,0,1),IF(P527='假设'!J701,0,1),IF(Q527='假设'!K701,0,1))=0,U527=V527),"已刷新","待刷新")</x:f>
        <x:v>已刷新</x:v>
      </x:c>
    </x:row>
    <x:row r="528" ht="23" customHeight="1">
      <x:c r="A528" s="11" t="str">
        <x:v>00300.HK</x:v>
      </x:c>
      <x:c r="B528" s="11" t="str">
        <x:v>美的集团</x:v>
      </x:c>
      <x:c r="C528" s="11" t="str">
        <x:v>三年</x:v>
      </x:c>
      <x:c r="D528" s="11" t="str">
        <x:v>乐观</x:v>
      </x:c>
      <x:c r="E528" s="11" t="n">
        <x:v>93.65</x:v>
      </x:c>
      <x:c r="F528" s="11" t="n">
        <x:v>306.53</x:v>
      </x:c>
      <x:c r="G528" s="11" t="n">
        <x:v>22</x:v>
      </x:c>
      <x:c r="H528" s="25" t="n">
        <x:v>2.273144687666844</x:v>
      </x:c>
      <x:c r="I528" s="25" t="n">
        <x:v>2.5080619327282427</x:v>
      </x:c>
      <x:c r="J528" s="25" t="n">
        <x:v>0.519459343252823</x:v>
      </x:c>
      <x:c r="K528" s="11" t="n">
        <x:v>12.666666666666666</x:v>
      </x:c>
      <x:c r="L528" s="11" t="n">
        <x:v>22</x:v>
      </x:c>
      <x:c r="M528" s="11" t="n">
        <x:v>1.1</x:v>
      </x:c>
      <x:c r="N528" s="11" t="n">
        <x:v>22</x:v>
      </x:c>
      <x:c r="O528" s="11" t="n">
        <x:v>760</x:v>
      </x:c>
      <x:c r="P528" s="11" t="n">
        <x:v>0.115</x:v>
      </x:c>
      <x:c r="Q528" s="11" t="n">
        <x:v>6.9</x:v>
      </x:c>
      <x:c r="R528" s="11" t="str">
        <x:v>midea-normalized-owner-margin-v1.0</x:v>
      </x:c>
      <x:c r="S528" s="11" t="str">
        <x:v>2026-10-10</x:v>
      </x:c>
      <x:c r="T528" s="11" t="str">
        <x:f>IF(AND(SUM(IF(K528='假设'!E702,0,1),IF(L528='假设'!F702,0,1),IF(M528='假设'!G702,0,1),IF(N528='假设'!H702,0,1),IF(O528='假设'!I702,0,1),IF(P528='假设'!J702,0,1),IF(Q528='假设'!K702,0,1))=0,U528=V528),"已刷新","待刷新")</x:f>
        <x:v>已刷新</x:v>
      </x:c>
    </x:row>
    <x:row r="529" ht="23" customHeight="1">
      <x:c r="A529" s="11" t="str">
        <x:v>00300.HK</x:v>
      </x:c>
      <x:c r="B529" s="11" t="str">
        <x:v>美的集团</x:v>
      </x:c>
      <x:c r="C529" s="11" t="str">
        <x:v>五年</x:v>
      </x:c>
      <x:c r="D529" s="11" t="str">
        <x:v>悲观</x:v>
      </x:c>
      <x:c r="E529" s="11" t="n">
        <x:v>93.65</x:v>
      </x:c>
      <x:c r="F529" s="11" t="n">
        <x:v>39.93</x:v>
      </x:c>
      <x:c r="G529" s="11" t="n">
        <x:v>15</x:v>
      </x:c>
      <x:c r="H529" s="25" t="n">
        <x:v>-0.5736252002135611</x:v>
      </x:c>
      <x:c r="I529" s="25" t="n">
        <x:v>-0.41345435130806196</x:v>
      </x:c>
      <x:c r="J529" s="25" t="n">
        <x:v>-0.10120558839399896</x:v>
      </x:c>
      <x:c r="K529" s="11" t="n">
        <x:v>4.537037037037037</x:v>
      </x:c>
      <x:c r="L529" s="11" t="n">
        <x:v>8</x:v>
      </x:c>
      <x:c r="M529" s="11" t="n">
        <x:v>1.1</x:v>
      </x:c>
      <x:c r="N529" s="11" t="n">
        <x:v>15</x:v>
      </x:c>
      <x:c r="O529" s="11" t="n">
        <x:v>490</x:v>
      </x:c>
      <x:c r="P529" s="11" t="n">
        <x:v>0.075</x:v>
      </x:c>
      <x:c r="Q529" s="11" t="n">
        <x:v>8.1</x:v>
      </x:c>
      <x:c r="R529" s="11" t="str">
        <x:v>midea-normalized-owner-margin-v1.0</x:v>
      </x:c>
      <x:c r="S529" s="11" t="str">
        <x:v>2026-10-10</x:v>
      </x:c>
      <x:c r="T529" s="11" t="str">
        <x:f>IF(AND(SUM(IF(K529='假设'!E704,0,1),IF(L529='假设'!F704,0,1),IF(M529='假设'!G704,0,1),IF(N529='假设'!H704,0,1),IF(O529='假设'!I704,0,1),IF(P529='假设'!J704,0,1),IF(Q529='假设'!K704,0,1))=0,U529=V529),"已刷新","待刷新")</x:f>
        <x:v>已刷新</x:v>
      </x:c>
    </x:row>
    <x:row r="530" ht="23" customHeight="1">
      <x:c r="A530" s="11" t="str">
        <x:v>00300.HK</x:v>
      </x:c>
      <x:c r="B530" s="11" t="str">
        <x:v>美的集团</x:v>
      </x:c>
      <x:c r="C530" s="11" t="str">
        <x:v>五年</x:v>
      </x:c>
      <x:c r="D530" s="11" t="str">
        <x:v>基准</x:v>
      </x:c>
      <x:c r="E530" s="11" t="n">
        <x:v>93.65</x:v>
      </x:c>
      <x:c r="F530" s="11" t="n">
        <x:v>212.29</x:v>
      </x:c>
      <x:c r="G530" s="11" t="n">
        <x:v>32</x:v>
      </x:c>
      <x:c r="H530" s="25" t="n">
        <x:v>1.2668446342765614</x:v>
      </x:c>
      <x:c r="I530" s="25" t="n">
        <x:v>1.60854244527496</x:v>
      </x:c>
      <x:c r="J530" s="25" t="n">
        <x:v>0.21137771951428697</x:v>
      </x:c>
      <x:c r="K530" s="11" t="n">
        <x:v>10.721830985915494</x:v>
      </x:c>
      <x:c r="L530" s="11" t="n">
        <x:v>18</x:v>
      </x:c>
      <x:c r="M530" s="11" t="n">
        <x:v>1.1</x:v>
      </x:c>
      <x:c r="N530" s="11" t="n">
        <x:v>32</x:v>
      </x:c>
      <x:c r="O530" s="11" t="n">
        <x:v>725</x:v>
      </x:c>
      <x:c r="P530" s="11" t="n">
        <x:v>0.105</x:v>
      </x:c>
      <x:c r="Q530" s="11" t="n">
        <x:v>7.1</x:v>
      </x:c>
      <x:c r="R530" s="11" t="str">
        <x:v>midea-normalized-owner-margin-v1.0</x:v>
      </x:c>
      <x:c r="S530" s="11" t="str">
        <x:v>2026-10-10</x:v>
      </x:c>
      <x:c r="T530" s="11" t="str">
        <x:f>IF(AND(SUM(IF(K530='假设'!E705,0,1),IF(L530='假设'!F705,0,1),IF(M530='假设'!G705,0,1),IF(N530='假设'!H705,0,1),IF(O530='假设'!I705,0,1),IF(P530='假设'!J705,0,1),IF(Q530='假设'!K705,0,1))=0,U530=V530),"已刷新","待刷新")</x:f>
        <x:v>已刷新</x:v>
      </x:c>
    </x:row>
    <x:row r="531" ht="23" customHeight="1">
      <x:c r="A531" s="11" t="str">
        <x:v>00300.HK</x:v>
      </x:c>
      <x:c r="B531" s="11" t="str">
        <x:v>美的集团</x:v>
      </x:c>
      <x:c r="C531" s="11" t="str">
        <x:v>五年</x:v>
      </x:c>
      <x:c r="D531" s="11" t="str">
        <x:v>乐观</x:v>
      </x:c>
      <x:c r="E531" s="11" t="n">
        <x:v>93.65</x:v>
      </x:c>
      <x:c r="F531" s="11" t="n">
        <x:v>453.06</x:v>
      </x:c>
      <x:c r="G531" s="11" t="n">
        <x:v>46</x:v>
      </x:c>
      <x:c r="H531" s="25" t="n">
        <x:v>3.8378003203416977</x:v>
      </x:c>
      <x:c r="I531" s="25" t="n">
        <x:v>4.328990923651895</x:v>
      </x:c>
      <x:c r="J531" s="25" t="n">
        <x:v>0.397426568860312</x:v>
      </x:c>
      <x:c r="K531" s="11" t="n">
        <x:v>17.907692307692308</x:v>
      </x:c>
      <x:c r="L531" s="11" t="n">
        <x:v>23</x:v>
      </x:c>
      <x:c r="M531" s="11" t="n">
        <x:v>1.1</x:v>
      </x:c>
      <x:c r="N531" s="11" t="n">
        <x:v>46</x:v>
      </x:c>
      <x:c r="O531" s="11" t="n">
        <x:v>970</x:v>
      </x:c>
      <x:c r="P531" s="11" t="n">
        <x:v>0.12</x:v>
      </x:c>
      <x:c r="Q531" s="11" t="n">
        <x:v>6.5</x:v>
      </x:c>
      <x:c r="R531" s="11" t="str">
        <x:v>midea-normalized-owner-margin-v1.0</x:v>
      </x:c>
      <x:c r="S531" s="11" t="str">
        <x:v>2026-10-10</x:v>
      </x:c>
      <x:c r="T531" s="11" t="str">
        <x:f>IF(AND(SUM(IF(K531='假设'!E706,0,1),IF(L531='假设'!F706,0,1),IF(M531='假设'!G706,0,1),IF(N531='假设'!H706,0,1),IF(O531='假设'!I706,0,1),IF(P531='假设'!J706,0,1),IF(Q531='假设'!K706,0,1))=0,U531=V531),"已刷新","待刷新")</x:f>
        <x:v>已刷新</x:v>
      </x:c>
    </x:row>
    <x:row r="532" ht="23" customHeight="1">
      <x:c r="A532" s="11" t="str">
        <x:v>300760.SZ</x:v>
      </x:c>
      <x:c r="B532" s="11" t="str">
        <x:v>迈瑞医疗</x:v>
      </x:c>
      <x:c r="C532" s="11" t="str">
        <x:v>2026年底</x:v>
      </x:c>
      <x:c r="D532" s="11" t="str">
        <x:v>悲观</x:v>
      </x:c>
      <x:c r="E532" s="11" t="n">
        <x:v>161.4</x:v>
      </x:c>
      <x:c r="F532" s="11" t="n">
        <x:v>110.5</x:v>
      </x:c>
      <x:c r="G532" s="11" t="n">
        <x:v>0</x:v>
      </x:c>
      <x:c r="H532" s="25" t="n">
        <x:v>-0.315365551425031</x:v>
      </x:c>
      <x:c r="I532" s="25" t="n">
        <x:v>-0.315365551425031</x:v>
      </x:c>
      <x:c r="J532" s="25" t="str"/>
      <x:c r="K532" s="11" t="n">
        <x:v>6.5</x:v>
      </x:c>
      <x:c r="L532" s="11" t="n">
        <x:v>17</x:v>
      </x:c>
      <x:c r="M532" s="11" t="n">
        <x:v>1</x:v>
      </x:c>
      <x:c r="N532" s="11" t="n">
        <x:v>0</x:v>
      </x:c>
      <x:c r="O532" s="11" t="str"/>
      <x:c r="P532" s="11" t="str"/>
      <x:c r="Q532" s="11" t="str"/>
      <x:c r="R532" s="11" t="str">
        <x:v>mindray-normalized-pe-v1.0</x:v>
      </x:c>
      <x:c r="S532" s="11" t="str">
        <x:v>2026-10-10</x:v>
      </x:c>
      <x:c r="T532" s="11" t="str">
        <x:f>IF(AND(SUM(IF(K532='假设'!E708,0,1),IF(L532='假设'!F708,0,1),IF(M532='假设'!G708,0,1),IF(N532='假设'!H708,0,1),IF(O532='假设'!I708,0,1),IF(P532='假设'!J708,0,1),IF(Q532='假设'!K708,0,1))=0,U532=V532),"已刷新","待刷新")</x:f>
        <x:v>已刷新</x:v>
      </x:c>
    </x:row>
    <x:row r="533" ht="23" customHeight="1">
      <x:c r="A533" s="11" t="str">
        <x:v>300760.SZ</x:v>
      </x:c>
      <x:c r="B533" s="11" t="str">
        <x:v>迈瑞医疗</x:v>
      </x:c>
      <x:c r="C533" s="11" t="str">
        <x:v>2026年底</x:v>
      </x:c>
      <x:c r="D533" s="11" t="str">
        <x:v>基准</x:v>
      </x:c>
      <x:c r="E533" s="11" t="n">
        <x:v>161.4</x:v>
      </x:c>
      <x:c r="F533" s="11" t="n">
        <x:v>171.6</x:v>
      </x:c>
      <x:c r="G533" s="11" t="n">
        <x:v>0</x:v>
      </x:c>
      <x:c r="H533" s="25" t="n">
        <x:v>0.0631970260223047</x:v>
      </x:c>
      <x:c r="I533" s="25" t="n">
        <x:v>0.0631970260223047</x:v>
      </x:c>
      <x:c r="J533" s="25" t="str"/>
      <x:c r="K533" s="11" t="n">
        <x:v>7.8</x:v>
      </x:c>
      <x:c r="L533" s="11" t="n">
        <x:v>22</x:v>
      </x:c>
      <x:c r="M533" s="11" t="n">
        <x:v>1</x:v>
      </x:c>
      <x:c r="N533" s="11" t="n">
        <x:v>0</x:v>
      </x:c>
      <x:c r="O533" s="11" t="str"/>
      <x:c r="P533" s="11" t="str"/>
      <x:c r="Q533" s="11" t="str"/>
      <x:c r="R533" s="11" t="str">
        <x:v>mindray-normalized-pe-v1.0</x:v>
      </x:c>
      <x:c r="S533" s="11" t="str">
        <x:v>2026-10-10</x:v>
      </x:c>
      <x:c r="T533" s="11" t="str">
        <x:f>IF(AND(SUM(IF(K533='假设'!E709,0,1),IF(L533='假设'!F709,0,1),IF(M533='假设'!G709,0,1),IF(N533='假设'!H709,0,1),IF(O533='假设'!I709,0,1),IF(P533='假设'!J709,0,1),IF(Q533='假设'!K709,0,1))=0,U533=V533),"已刷新","待刷新")</x:f>
        <x:v>已刷新</x:v>
      </x:c>
    </x:row>
    <x:row r="534" ht="23" customHeight="1">
      <x:c r="A534" s="11" t="str">
        <x:v>300760.SZ</x:v>
      </x:c>
      <x:c r="B534" s="11" t="str">
        <x:v>迈瑞医疗</x:v>
      </x:c>
      <x:c r="C534" s="11" t="str">
        <x:v>2026年底</x:v>
      </x:c>
      <x:c r="D534" s="11" t="str">
        <x:v>乐观</x:v>
      </x:c>
      <x:c r="E534" s="11" t="n">
        <x:v>161.4</x:v>
      </x:c>
      <x:c r="F534" s="11" t="n">
        <x:v>246.40000000000003</x:v>
      </x:c>
      <x:c r="G534" s="11" t="n">
        <x:v>0</x:v>
      </x:c>
      <x:c r="H534" s="25" t="n">
        <x:v>0.526641883519207</x:v>
      </x:c>
      <x:c r="I534" s="25" t="n">
        <x:v>0.526641883519207</x:v>
      </x:c>
      <x:c r="J534" s="25" t="str"/>
      <x:c r="K534" s="11" t="n">
        <x:v>8.8</x:v>
      </x:c>
      <x:c r="L534" s="11" t="n">
        <x:v>28</x:v>
      </x:c>
      <x:c r="M534" s="11" t="n">
        <x:v>1</x:v>
      </x:c>
      <x:c r="N534" s="11" t="n">
        <x:v>0</x:v>
      </x:c>
      <x:c r="O534" s="11" t="str"/>
      <x:c r="P534" s="11" t="str"/>
      <x:c r="Q534" s="11" t="str"/>
      <x:c r="R534" s="11" t="str">
        <x:v>mindray-normalized-pe-v1.0</x:v>
      </x:c>
      <x:c r="S534" s="11" t="str">
        <x:v>2026-10-10</x:v>
      </x:c>
      <x:c r="T534" s="11" t="str">
        <x:f>IF(AND(SUM(IF(K534='假设'!E710,0,1),IF(L534='假设'!F710,0,1),IF(M534='假设'!G710,0,1),IF(N534='假设'!H710,0,1),IF(O534='假设'!I710,0,1),IF(P534='假设'!J710,0,1),IF(Q534='假设'!K710,0,1))=0,U534=V534),"已刷新","待刷新")</x:f>
        <x:v>已刷新</x:v>
      </x:c>
    </x:row>
    <x:row r="535" ht="23" customHeight="1">
      <x:c r="A535" s="11" t="str">
        <x:v>300760.SZ</x:v>
      </x:c>
      <x:c r="B535" s="11" t="str">
        <x:v>迈瑞医疗</x:v>
      </x:c>
      <x:c r="C535" s="11" t="str">
        <x:v>半年</x:v>
      </x:c>
      <x:c r="D535" s="11" t="str">
        <x:v>悲观</x:v>
      </x:c>
      <x:c r="E535" s="11" t="n">
        <x:v>161.4</x:v>
      </x:c>
      <x:c r="F535" s="11" t="n">
        <x:v>113.9</x:v>
      </x:c>
      <x:c r="G535" s="11" t="n">
        <x:v>0</x:v>
      </x:c>
      <x:c r="H535" s="25" t="n">
        <x:v>-0.29429987608426267</x:v>
      </x:c>
      <x:c r="I535" s="25" t="n">
        <x:v>-0.29429987608426267</x:v>
      </x:c>
      <x:c r="J535" s="25" t="str"/>
      <x:c r="K535" s="11" t="n">
        <x:v>6.7</x:v>
      </x:c>
      <x:c r="L535" s="11" t="n">
        <x:v>17</x:v>
      </x:c>
      <x:c r="M535" s="11" t="n">
        <x:v>1</x:v>
      </x:c>
      <x:c r="N535" s="11" t="n">
        <x:v>0</x:v>
      </x:c>
      <x:c r="O535" s="11" t="str"/>
      <x:c r="P535" s="11" t="str"/>
      <x:c r="Q535" s="11" t="str"/>
      <x:c r="R535" s="11" t="str">
        <x:v>mindray-normalized-pe-v1.0</x:v>
      </x:c>
      <x:c r="S535" s="11" t="str">
        <x:v>2026-10-10</x:v>
      </x:c>
      <x:c r="T535" s="11" t="str">
        <x:f>IF(AND(SUM(IF(K535='假设'!E712,0,1),IF(L535='假设'!F712,0,1),IF(M535='假设'!G712,0,1),IF(N535='假设'!H712,0,1),IF(O535='假设'!I712,0,1),IF(P535='假设'!J712,0,1),IF(Q535='假设'!K712,0,1))=0,U535=V535),"已刷新","待刷新")</x:f>
        <x:v>已刷新</x:v>
      </x:c>
    </x:row>
    <x:row r="536" ht="23" customHeight="1">
      <x:c r="A536" s="11" t="str">
        <x:v>300760.SZ</x:v>
      </x:c>
      <x:c r="B536" s="11" t="str">
        <x:v>迈瑞医疗</x:v>
      </x:c>
      <x:c r="C536" s="11" t="str">
        <x:v>半年</x:v>
      </x:c>
      <x:c r="D536" s="11" t="str">
        <x:v>基准</x:v>
      </x:c>
      <x:c r="E536" s="11" t="n">
        <x:v>161.4</x:v>
      </x:c>
      <x:c r="F536" s="11" t="n">
        <x:v>195.5</x:v>
      </x:c>
      <x:c r="G536" s="11" t="n">
        <x:v>0</x:v>
      </x:c>
      <x:c r="H536" s="25" t="n">
        <x:v>0.21127633209417596</x:v>
      </x:c>
      <x:c r="I536" s="25" t="n">
        <x:v>0.21127633209417596</x:v>
      </x:c>
      <x:c r="J536" s="25" t="str"/>
      <x:c r="K536" s="11" t="n">
        <x:v>8.5</x:v>
      </x:c>
      <x:c r="L536" s="11" t="n">
        <x:v>23</x:v>
      </x:c>
      <x:c r="M536" s="11" t="n">
        <x:v>1</x:v>
      </x:c>
      <x:c r="N536" s="11" t="n">
        <x:v>0</x:v>
      </x:c>
      <x:c r="O536" s="11" t="str"/>
      <x:c r="P536" s="11" t="str"/>
      <x:c r="Q536" s="11" t="str"/>
      <x:c r="R536" s="11" t="str">
        <x:v>mindray-normalized-pe-v1.0</x:v>
      </x:c>
      <x:c r="S536" s="11" t="str">
        <x:v>2026-10-10</x:v>
      </x:c>
      <x:c r="T536" s="11" t="str">
        <x:f>IF(AND(SUM(IF(K536='假设'!E713,0,1),IF(L536='假设'!F713,0,1),IF(M536='假设'!G713,0,1),IF(N536='假设'!H713,0,1),IF(O536='假设'!I713,0,1),IF(P536='假设'!J713,0,1),IF(Q536='假设'!K713,0,1))=0,U536=V536),"已刷新","待刷新")</x:f>
        <x:v>已刷新</x:v>
      </x:c>
    </x:row>
    <x:row r="537" ht="23" customHeight="1">
      <x:c r="A537" s="11" t="str">
        <x:v>300760.SZ</x:v>
      </x:c>
      <x:c r="B537" s="11" t="str">
        <x:v>迈瑞医疗</x:v>
      </x:c>
      <x:c r="C537" s="11" t="str">
        <x:v>半年</x:v>
      </x:c>
      <x:c r="D537" s="11" t="str">
        <x:v>乐观</x:v>
      </x:c>
      <x:c r="E537" s="11" t="n">
        <x:v>161.4</x:v>
      </x:c>
      <x:c r="F537" s="11" t="n">
        <x:v>284.20000000000005</x:v>
      </x:c>
      <x:c r="G537" s="11" t="n">
        <x:v>0</x:v>
      </x:c>
      <x:c r="H537" s="25" t="n">
        <x:v>0.760842627013631</x:v>
      </x:c>
      <x:c r="I537" s="25" t="n">
        <x:v>0.760842627013631</x:v>
      </x:c>
      <x:c r="J537" s="25" t="str"/>
      <x:c r="K537" s="11" t="n">
        <x:v>9.8</x:v>
      </x:c>
      <x:c r="L537" s="11" t="n">
        <x:v>29</x:v>
      </x:c>
      <x:c r="M537" s="11" t="n">
        <x:v>1</x:v>
      </x:c>
      <x:c r="N537" s="11" t="n">
        <x:v>0</x:v>
      </x:c>
      <x:c r="O537" s="11" t="str"/>
      <x:c r="P537" s="11" t="str"/>
      <x:c r="Q537" s="11" t="str"/>
      <x:c r="R537" s="11" t="str">
        <x:v>mindray-normalized-pe-v1.0</x:v>
      </x:c>
      <x:c r="S537" s="11" t="str">
        <x:v>2026-10-10</x:v>
      </x:c>
      <x:c r="T537" s="11" t="str">
        <x:f>IF(AND(SUM(IF(K537='假设'!E714,0,1),IF(L537='假设'!F714,0,1),IF(M537='假设'!G714,0,1),IF(N537='假设'!H714,0,1),IF(O537='假设'!I714,0,1),IF(P537='假设'!J714,0,1),IF(Q537='假设'!K714,0,1))=0,U537=V537),"已刷新","待刷新")</x:f>
        <x:v>已刷新</x:v>
      </x:c>
    </x:row>
    <x:row r="538" ht="23" customHeight="1">
      <x:c r="A538" s="11" t="str">
        <x:v>300760.SZ</x:v>
      </x:c>
      <x:c r="B538" s="11" t="str">
        <x:v>迈瑞医疗</x:v>
      </x:c>
      <x:c r="C538" s="11" t="str">
        <x:v>一年</x:v>
      </x:c>
      <x:c r="D538" s="11" t="str">
        <x:v>悲观</x:v>
      </x:c>
      <x:c r="E538" s="11" t="n">
        <x:v>161.4</x:v>
      </x:c>
      <x:c r="F538" s="11" t="n">
        <x:v>119</x:v>
      </x:c>
      <x:c r="G538" s="11" t="n">
        <x:v>2.5</x:v>
      </x:c>
      <x:c r="H538" s="25" t="n">
        <x:v>-0.2627013630731103</x:v>
      </x:c>
      <x:c r="I538" s="25" t="n">
        <x:v>-0.24721189591078074</x:v>
      </x:c>
      <x:c r="J538" s="25" t="str"/>
      <x:c r="K538" s="11" t="n">
        <x:v>7</x:v>
      </x:c>
      <x:c r="L538" s="11" t="n">
        <x:v>17</x:v>
      </x:c>
      <x:c r="M538" s="11" t="n">
        <x:v>1</x:v>
      </x:c>
      <x:c r="N538" s="11" t="n">
        <x:v>2.5</x:v>
      </x:c>
      <x:c r="O538" s="11" t="str"/>
      <x:c r="P538" s="11" t="str"/>
      <x:c r="Q538" s="11" t="str"/>
      <x:c r="R538" s="11" t="str">
        <x:v>mindray-normalized-pe-v1.0</x:v>
      </x:c>
      <x:c r="S538" s="11" t="str">
        <x:v>2026-10-10</x:v>
      </x:c>
      <x:c r="T538" s="11" t="str">
        <x:f>IF(AND(SUM(IF(K538='假设'!E716,0,1),IF(L538='假设'!F716,0,1),IF(M538='假设'!G716,0,1),IF(N538='假设'!H716,0,1),IF(O538='假设'!I716,0,1),IF(P538='假设'!J716,0,1),IF(Q538='假设'!K716,0,1))=0,U538=V538),"已刷新","待刷新")</x:f>
        <x:v>已刷新</x:v>
      </x:c>
    </x:row>
    <x:row r="539" ht="23" customHeight="1">
      <x:c r="A539" s="11" t="str">
        <x:v>300760.SZ</x:v>
      </x:c>
      <x:c r="B539" s="11" t="str">
        <x:v>迈瑞医疗</x:v>
      </x:c>
      <x:c r="C539" s="11" t="str">
        <x:v>一年</x:v>
      </x:c>
      <x:c r="D539" s="11" t="str">
        <x:v>基准</x:v>
      </x:c>
      <x:c r="E539" s="11" t="n">
        <x:v>161.4</x:v>
      </x:c>
      <x:c r="F539" s="11" t="n">
        <x:v>228</x:v>
      </x:c>
      <x:c r="G539" s="11" t="n">
        <x:v>4</x:v>
      </x:c>
      <x:c r="H539" s="25" t="n">
        <x:v>0.41263940520446085</x:v>
      </x:c>
      <x:c r="I539" s="25" t="n">
        <x:v>0.4374225526641884</x:v>
      </x:c>
      <x:c r="J539" s="25" t="str"/>
      <x:c r="K539" s="11" t="n">
        <x:v>9.5</x:v>
      </x:c>
      <x:c r="L539" s="11" t="n">
        <x:v>24</x:v>
      </x:c>
      <x:c r="M539" s="11" t="n">
        <x:v>1</x:v>
      </x:c>
      <x:c r="N539" s="11" t="n">
        <x:v>4</x:v>
      </x:c>
      <x:c r="O539" s="11" t="str"/>
      <x:c r="P539" s="11" t="str"/>
      <x:c r="Q539" s="11" t="str"/>
      <x:c r="R539" s="11" t="str">
        <x:v>mindray-normalized-pe-v1.0</x:v>
      </x:c>
      <x:c r="S539" s="11" t="str">
        <x:v>2026-10-10</x:v>
      </x:c>
      <x:c r="T539" s="11" t="str">
        <x:f>IF(AND(SUM(IF(K539='假设'!E717,0,1),IF(L539='假设'!F717,0,1),IF(M539='假设'!G717,0,1),IF(N539='假设'!H717,0,1),IF(O539='假设'!I717,0,1),IF(P539='假设'!J717,0,1),IF(Q539='假设'!K717,0,1))=0,U539=V539),"已刷新","待刷新")</x:f>
        <x:v>已刷新</x:v>
      </x:c>
    </x:row>
    <x:row r="540" ht="23" customHeight="1">
      <x:c r="A540" s="11" t="str">
        <x:v>300760.SZ</x:v>
      </x:c>
      <x:c r="B540" s="11" t="str">
        <x:v>迈瑞医疗</x:v>
      </x:c>
      <x:c r="C540" s="11" t="str">
        <x:v>一年</x:v>
      </x:c>
      <x:c r="D540" s="11" t="str">
        <x:v>乐观</x:v>
      </x:c>
      <x:c r="E540" s="11" t="n">
        <x:v>161.4</x:v>
      </x:c>
      <x:c r="F540" s="11" t="n">
        <x:v>330</x:v>
      </x:c>
      <x:c r="G540" s="11" t="n">
        <x:v>5</x:v>
      </x:c>
      <x:c r="H540" s="25" t="n">
        <x:v>1.0446096654275094</x:v>
      </x:c>
      <x:c r="I540" s="25" t="n">
        <x:v>1.0755885997521686</x:v>
      </x:c>
      <x:c r="J540" s="25" t="str"/>
      <x:c r="K540" s="11" t="n">
        <x:v>11</x:v>
      </x:c>
      <x:c r="L540" s="11" t="n">
        <x:v>30</x:v>
      </x:c>
      <x:c r="M540" s="11" t="n">
        <x:v>1</x:v>
      </x:c>
      <x:c r="N540" s="11" t="n">
        <x:v>5</x:v>
      </x:c>
      <x:c r="O540" s="11" t="str"/>
      <x:c r="P540" s="11" t="str"/>
      <x:c r="Q540" s="11" t="str"/>
      <x:c r="R540" s="11" t="str">
        <x:v>mindray-normalized-pe-v1.0</x:v>
      </x:c>
      <x:c r="S540" s="11" t="str">
        <x:v>2026-10-10</x:v>
      </x:c>
      <x:c r="T540" s="11" t="str">
        <x:f>IF(AND(SUM(IF(K540='假设'!E718,0,1),IF(L540='假设'!F718,0,1),IF(M540='假设'!G718,0,1),IF(N540='假设'!H718,0,1),IF(O540='假设'!I718,0,1),IF(P540='假设'!J718,0,1),IF(Q540='假设'!K718,0,1))=0,U540=V540),"已刷新","待刷新")</x:f>
        <x:v>已刷新</x:v>
      </x:c>
    </x:row>
    <x:row r="541" ht="23" customHeight="1">
      <x:c r="A541" s="11" t="str">
        <x:v>300760.SZ</x:v>
      </x:c>
      <x:c r="B541" s="11" t="str">
        <x:v>迈瑞医疗</x:v>
      </x:c>
      <x:c r="C541" s="11" t="str">
        <x:v>三年</x:v>
      </x:c>
      <x:c r="D541" s="11" t="str">
        <x:v>悲观</x:v>
      </x:c>
      <x:c r="E541" s="11" t="n">
        <x:v>161.4</x:v>
      </x:c>
      <x:c r="F541" s="11" t="n">
        <x:v>124.8</x:v>
      </x:c>
      <x:c r="G541" s="11" t="n">
        <x:v>8</x:v>
      </x:c>
      <x:c r="H541" s="25" t="n">
        <x:v>-0.22676579925650564</x:v>
      </x:c>
      <x:c r="I541" s="25" t="n">
        <x:v>-0.17719950433705078</x:v>
      </x:c>
      <x:c r="J541" s="25" t="n">
        <x:v>-0.0629455051696971</x:v>
      </x:c>
      <x:c r="K541" s="11" t="n">
        <x:v>7.8</x:v>
      </x:c>
      <x:c r="L541" s="11" t="n">
        <x:v>16</x:v>
      </x:c>
      <x:c r="M541" s="11" t="n">
        <x:v>1</x:v>
      </x:c>
      <x:c r="N541" s="11" t="n">
        <x:v>8</x:v>
      </x:c>
      <x:c r="O541" s="11" t="str"/>
      <x:c r="P541" s="11" t="str"/>
      <x:c r="Q541" s="11" t="str"/>
      <x:c r="R541" s="11" t="str">
        <x:v>mindray-normalized-pe-v1.0</x:v>
      </x:c>
      <x:c r="S541" s="11" t="str">
        <x:v>2026-10-10</x:v>
      </x:c>
      <x:c r="T541" s="11" t="str">
        <x:f>IF(AND(SUM(IF(K541='假设'!E720,0,1),IF(L541='假设'!F720,0,1),IF(M541='假设'!G720,0,1),IF(N541='假设'!H720,0,1),IF(O541='假设'!I720,0,1),IF(P541='假设'!J720,0,1),IF(Q541='假设'!K720,0,1))=0,U541=V541),"已刷新","待刷新")</x:f>
        <x:v>已刷新</x:v>
      </x:c>
    </x:row>
    <x:row r="542" ht="23" customHeight="1">
      <x:c r="A542" s="11" t="str">
        <x:v>300760.SZ</x:v>
      </x:c>
      <x:c r="B542" s="11" t="str">
        <x:v>迈瑞医疗</x:v>
      </x:c>
      <x:c r="C542" s="11" t="str">
        <x:v>三年</x:v>
      </x:c>
      <x:c r="D542" s="11" t="str">
        <x:v>基准</x:v>
      </x:c>
      <x:c r="E542" s="11" t="n">
        <x:v>161.4</x:v>
      </x:c>
      <x:c r="F542" s="11" t="n">
        <x:v>276</x:v>
      </x:c>
      <x:c r="G542" s="11" t="n">
        <x:v>14</x:v>
      </x:c>
      <x:c r="H542" s="25" t="n">
        <x:v>0.7100371747211895</x:v>
      </x:c>
      <x:c r="I542" s="25" t="n">
        <x:v>0.7967781908302354</x:v>
      </x:c>
      <x:c r="J542" s="25" t="n">
        <x:v>0.2157141992181475</x:v>
      </x:c>
      <x:c r="K542" s="11" t="n">
        <x:v>12</x:v>
      </x:c>
      <x:c r="L542" s="11" t="n">
        <x:v>23</x:v>
      </x:c>
      <x:c r="M542" s="11" t="n">
        <x:v>1</x:v>
      </x:c>
      <x:c r="N542" s="11" t="n">
        <x:v>14</x:v>
      </x:c>
      <x:c r="O542" s="11" t="str"/>
      <x:c r="P542" s="11" t="str"/>
      <x:c r="Q542" s="11" t="str"/>
      <x:c r="R542" s="11" t="str">
        <x:v>mindray-normalized-pe-v1.0</x:v>
      </x:c>
      <x:c r="S542" s="11" t="str">
        <x:v>2026-10-10</x:v>
      </x:c>
      <x:c r="T542" s="11" t="str">
        <x:f>IF(AND(SUM(IF(K542='假设'!E721,0,1),IF(L542='假设'!F721,0,1),IF(M542='假设'!G721,0,1),IF(N542='假设'!H721,0,1),IF(O542='假设'!I721,0,1),IF(P542='假设'!J721,0,1),IF(Q542='假设'!K721,0,1))=0,U542=V542),"已刷新","待刷新")</x:f>
        <x:v>已刷新</x:v>
      </x:c>
    </x:row>
    <x:row r="543" ht="23" customHeight="1">
      <x:c r="A543" s="11" t="str">
        <x:v>300760.SZ</x:v>
      </x:c>
      <x:c r="B543" s="11" t="str">
        <x:v>迈瑞医疗</x:v>
      </x:c>
      <x:c r="C543" s="11" t="str">
        <x:v>三年</x:v>
      </x:c>
      <x:c r="D543" s="11" t="str">
        <x:v>乐观</x:v>
      </x:c>
      <x:c r="E543" s="11" t="n">
        <x:v>161.4</x:v>
      </x:c>
      <x:c r="F543" s="11" t="n">
        <x:v>480</x:v>
      </x:c>
      <x:c r="G543" s="11" t="n">
        <x:v>19</x:v>
      </x:c>
      <x:c r="H543" s="25" t="n">
        <x:v>1.973977695167286</x:v>
      </x:c>
      <x:c r="I543" s="25" t="n">
        <x:v>2.0916976456009913</x:v>
      </x:c>
      <x:c r="J543" s="25" t="n">
        <x:v>0.4567968880949118</x:v>
      </x:c>
      <x:c r="K543" s="11" t="n">
        <x:v>16</x:v>
      </x:c>
      <x:c r="L543" s="11" t="n">
        <x:v>30</x:v>
      </x:c>
      <x:c r="M543" s="11" t="n">
        <x:v>1</x:v>
      </x:c>
      <x:c r="N543" s="11" t="n">
        <x:v>19</x:v>
      </x:c>
      <x:c r="O543" s="11" t="str"/>
      <x:c r="P543" s="11" t="str"/>
      <x:c r="Q543" s="11" t="str"/>
      <x:c r="R543" s="11" t="str">
        <x:v>mindray-normalized-pe-v1.0</x:v>
      </x:c>
      <x:c r="S543" s="11" t="str">
        <x:v>2026-10-10</x:v>
      </x:c>
      <x:c r="T543" s="11" t="str">
        <x:f>IF(AND(SUM(IF(K543='假设'!E722,0,1),IF(L543='假设'!F722,0,1),IF(M543='假设'!G722,0,1),IF(N543='假设'!H722,0,1),IF(O543='假设'!I722,0,1),IF(P543='假设'!J722,0,1),IF(Q543='假设'!K722,0,1))=0,U543=V543),"已刷新","待刷新")</x:f>
        <x:v>已刷新</x:v>
      </x:c>
    </x:row>
    <x:row r="544" ht="23" customHeight="1">
      <x:c r="A544" s="11" t="str">
        <x:v>300760.SZ</x:v>
      </x:c>
      <x:c r="B544" s="11" t="str">
        <x:v>迈瑞医疗</x:v>
      </x:c>
      <x:c r="C544" s="11" t="str">
        <x:v>五年</x:v>
      </x:c>
      <x:c r="D544" s="11" t="str">
        <x:v>悲观</x:v>
      </x:c>
      <x:c r="E544" s="11" t="n">
        <x:v>161.4</x:v>
      </x:c>
      <x:c r="F544" s="11" t="n">
        <x:v>127.5</x:v>
      </x:c>
      <x:c r="G544" s="11" t="n">
        <x:v>14</x:v>
      </x:c>
      <x:c r="H544" s="25" t="n">
        <x:v>-0.21003717472118966</x:v>
      </x:c>
      <x:c r="I544" s="25" t="n">
        <x:v>-0.12329615861214382</x:v>
      </x:c>
      <x:c r="J544" s="25" t="n">
        <x:v>-0.02597392801928522</x:v>
      </x:c>
      <x:c r="K544" s="11" t="n">
        <x:v>8.5</x:v>
      </x:c>
      <x:c r="L544" s="11" t="n">
        <x:v>15</x:v>
      </x:c>
      <x:c r="M544" s="11" t="n">
        <x:v>1</x:v>
      </x:c>
      <x:c r="N544" s="11" t="n">
        <x:v>14</x:v>
      </x:c>
      <x:c r="O544" s="11" t="str"/>
      <x:c r="P544" s="11" t="str"/>
      <x:c r="Q544" s="11" t="str"/>
      <x:c r="R544" s="11" t="str">
        <x:v>mindray-normalized-pe-v1.0</x:v>
      </x:c>
      <x:c r="S544" s="11" t="str">
        <x:v>2026-10-10</x:v>
      </x:c>
      <x:c r="T544" s="11" t="str">
        <x:f>IF(AND(SUM(IF(K544='假设'!E724,0,1),IF(L544='假设'!F724,0,1),IF(M544='假设'!G724,0,1),IF(N544='假设'!H724,0,1),IF(O544='假设'!I724,0,1),IF(P544='假设'!J724,0,1),IF(Q544='假设'!K724,0,1))=0,U544=V544),"已刷新","待刷新")</x:f>
        <x:v>已刷新</x:v>
      </x:c>
    </x:row>
    <x:row r="545" ht="23" customHeight="1">
      <x:c r="A545" s="11" t="str">
        <x:v>300760.SZ</x:v>
      </x:c>
      <x:c r="B545" s="11" t="str">
        <x:v>迈瑞医疗</x:v>
      </x:c>
      <x:c r="C545" s="11" t="str">
        <x:v>五年</x:v>
      </x:c>
      <x:c r="D545" s="11" t="str">
        <x:v>基准</x:v>
      </x:c>
      <x:c r="E545" s="11" t="n">
        <x:v>161.4</x:v>
      </x:c>
      <x:c r="F545" s="11" t="n">
        <x:v>341</x:v>
      </x:c>
      <x:c r="G545" s="11" t="n">
        <x:v>27</x:v>
      </x:c>
      <x:c r="H545" s="25" t="n">
        <x:v>1.1127633209417596</x:v>
      </x:c>
      <x:c r="I545" s="25" t="n">
        <x:v>1.2800495662949194</x:v>
      </x:c>
      <x:c r="J545" s="25" t="n">
        <x:v>0.17920376638694813</x:v>
      </x:c>
      <x:c r="K545" s="11" t="n">
        <x:v>15.5</x:v>
      </x:c>
      <x:c r="L545" s="11" t="n">
        <x:v>22</x:v>
      </x:c>
      <x:c r="M545" s="11" t="n">
        <x:v>1</x:v>
      </x:c>
      <x:c r="N545" s="11" t="n">
        <x:v>27</x:v>
      </x:c>
      <x:c r="O545" s="11" t="str"/>
      <x:c r="P545" s="11" t="str"/>
      <x:c r="Q545" s="11" t="str"/>
      <x:c r="R545" s="11" t="str">
        <x:v>mindray-normalized-pe-v1.0</x:v>
      </x:c>
      <x:c r="S545" s="11" t="str">
        <x:v>2026-10-10</x:v>
      </x:c>
      <x:c r="T545" s="11" t="str">
        <x:f>IF(AND(SUM(IF(K545='假设'!E725,0,1),IF(L545='假设'!F725,0,1),IF(M545='假设'!G725,0,1),IF(N545='假设'!H725,0,1),IF(O545='假设'!I725,0,1),IF(P545='假设'!J725,0,1),IF(Q545='假设'!K725,0,1))=0,U545=V545),"已刷新","待刷新")</x:f>
        <x:v>已刷新</x:v>
      </x:c>
    </x:row>
    <x:row r="546" ht="23" customHeight="1">
      <x:c r="A546" s="11" t="str">
        <x:v>300760.SZ</x:v>
      </x:c>
      <x:c r="B546" s="11" t="str">
        <x:v>迈瑞医疗</x:v>
      </x:c>
      <x:c r="C546" s="11" t="str">
        <x:v>五年</x:v>
      </x:c>
      <x:c r="D546" s="11" t="str">
        <x:v>乐观</x:v>
      </x:c>
      <x:c r="E546" s="11" t="n">
        <x:v>161.4</x:v>
      </x:c>
      <x:c r="F546" s="11" t="n">
        <x:v>667</x:v>
      </x:c>
      <x:c r="G546" s="11" t="n">
        <x:v>40</x:v>
      </x:c>
      <x:c r="H546" s="25" t="n">
        <x:v>3.1325898389095412</x:v>
      </x:c>
      <x:c r="I546" s="25" t="n">
        <x:v>3.3804213135068153</x:v>
      </x:c>
      <x:c r="J546" s="25" t="n">
        <x:v>0.3437026593366592</x:v>
      </x:c>
      <x:c r="K546" s="11" t="n">
        <x:v>23</x:v>
      </x:c>
      <x:c r="L546" s="11" t="n">
        <x:v>29</x:v>
      </x:c>
      <x:c r="M546" s="11" t="n">
        <x:v>1</x:v>
      </x:c>
      <x:c r="N546" s="11" t="n">
        <x:v>40</x:v>
      </x:c>
      <x:c r="O546" s="11" t="str"/>
      <x:c r="P546" s="11" t="str"/>
      <x:c r="Q546" s="11" t="str"/>
      <x:c r="R546" s="11" t="str">
        <x:v>mindray-normalized-pe-v1.0</x:v>
      </x:c>
      <x:c r="S546" s="11" t="str">
        <x:v>2026-10-10</x:v>
      </x:c>
      <x:c r="T546" s="11" t="str">
        <x:f>IF(AND(SUM(IF(K546='假设'!E726,0,1),IF(L546='假设'!F726,0,1),IF(M546='假设'!G726,0,1),IF(N546='假设'!H726,0,1),IF(O546='假设'!I726,0,1),IF(P546='假设'!J726,0,1),IF(Q546='假设'!K726,0,1))=0,U546=V546),"已刷新","待刷新")</x:f>
        <x:v>已刷新</x:v>
      </x:c>
    </x:row>
    <x:row r="547" ht="23" customHeight="1">
      <x:c r="A547" s="11" t="str">
        <x:v>09999.HK</x:v>
      </x:c>
      <x:c r="B547" s="11" t="str">
        <x:v>网易</x:v>
      </x:c>
      <x:c r="C547" s="11" t="str">
        <x:v>2026年底</x:v>
      </x:c>
      <x:c r="D547" s="11" t="str">
        <x:v>悲观</x:v>
      </x:c>
      <x:c r="E547" s="11" t="n">
        <x:v>193.5</x:v>
      </x:c>
      <x:c r="F547" s="11" t="n">
        <x:v>132</x:v>
      </x:c>
      <x:c r="G547" s="11" t="n">
        <x:v>0</x:v>
      </x:c>
      <x:c r="H547" s="25" t="n">
        <x:v>-0.3178294573643411</x:v>
      </x:c>
      <x:c r="I547" s="25" t="n">
        <x:v>-0.3178294573643411</x:v>
      </x:c>
      <x:c r="J547" s="25" t="str"/>
      <x:c r="K547" s="11" t="n">
        <x:v>10</x:v>
      </x:c>
      <x:c r="L547" s="11" t="n">
        <x:v>12</x:v>
      </x:c>
      <x:c r="M547" s="11" t="n">
        <x:v>1.1</x:v>
      </x:c>
      <x:c r="N547" s="11" t="n">
        <x:v>0</x:v>
      </x:c>
      <x:c r="O547" s="11" t="str"/>
      <x:c r="P547" s="11" t="str"/>
      <x:c r="Q547" s="11" t="str"/>
      <x:c r="R547" s="11" t="str">
        <x:v>netease-pe-v1.0</x:v>
      </x:c>
      <x:c r="S547" s="11" t="str">
        <x:v>2026-10-10</x:v>
      </x:c>
      <x:c r="T547" s="11" t="str">
        <x:f>IF(AND(SUM(IF(K547='假设'!E728,0,1),IF(L547='假设'!F728,0,1),IF(M547='假设'!G728,0,1),IF(N547='假设'!H728,0,1),IF(O547='假设'!I728,0,1),IF(P547='假设'!J728,0,1),IF(Q547='假设'!K728,0,1))=0,U547=V547),"已刷新","待刷新")</x:f>
        <x:v>已刷新</x:v>
      </x:c>
    </x:row>
    <x:row r="548" ht="23" customHeight="1">
      <x:c r="A548" s="11" t="str">
        <x:v>09999.HK</x:v>
      </x:c>
      <x:c r="B548" s="11" t="str">
        <x:v>网易</x:v>
      </x:c>
      <x:c r="C548" s="11" t="str">
        <x:v>2026年底</x:v>
      </x:c>
      <x:c r="D548" s="11" t="str">
        <x:v>基准</x:v>
      </x:c>
      <x:c r="E548" s="11" t="n">
        <x:v>193.5</x:v>
      </x:c>
      <x:c r="F548" s="11" t="n">
        <x:v>211.20000000000002</x:v>
      </x:c>
      <x:c r="G548" s="11" t="n">
        <x:v>0</x:v>
      </x:c>
      <x:c r="H548" s="25" t="n">
        <x:v>0.09147286821705425</x:v>
      </x:c>
      <x:c r="I548" s="25" t="n">
        <x:v>0.09147286821705425</x:v>
      </x:c>
      <x:c r="J548" s="25" t="str"/>
      <x:c r="K548" s="11" t="n">
        <x:v>12</x:v>
      </x:c>
      <x:c r="L548" s="11" t="n">
        <x:v>16</x:v>
      </x:c>
      <x:c r="M548" s="11" t="n">
        <x:v>1.1</x:v>
      </x:c>
      <x:c r="N548" s="11" t="n">
        <x:v>0</x:v>
      </x:c>
      <x:c r="O548" s="11" t="str"/>
      <x:c r="P548" s="11" t="str"/>
      <x:c r="Q548" s="11" t="str"/>
      <x:c r="R548" s="11" t="str">
        <x:v>netease-pe-v1.0</x:v>
      </x:c>
      <x:c r="S548" s="11" t="str">
        <x:v>2026-10-10</x:v>
      </x:c>
      <x:c r="T548" s="11" t="str">
        <x:f>IF(AND(SUM(IF(K548='假设'!E729,0,1),IF(L548='假设'!F729,0,1),IF(M548='假设'!G729,0,1),IF(N548='假设'!H729,0,1),IF(O548='假设'!I729,0,1),IF(P548='假设'!J729,0,1),IF(Q548='假设'!K729,0,1))=0,U548=V548),"已刷新","待刷新")</x:f>
        <x:v>已刷新</x:v>
      </x:c>
    </x:row>
    <x:row r="549" ht="23" customHeight="1">
      <x:c r="A549" s="11" t="str">
        <x:v>09999.HK</x:v>
      </x:c>
      <x:c r="B549" s="11" t="str">
        <x:v>网易</x:v>
      </x:c>
      <x:c r="C549" s="11" t="str">
        <x:v>2026年底</x:v>
      </x:c>
      <x:c r="D549" s="11" t="str">
        <x:v>乐观</x:v>
      </x:c>
      <x:c r="E549" s="11" t="n">
        <x:v>193.5</x:v>
      </x:c>
      <x:c r="F549" s="11" t="n">
        <x:v>297</x:v>
      </x:c>
      <x:c r="G549" s="11" t="n">
        <x:v>0</x:v>
      </x:c>
      <x:c r="H549" s="25" t="n">
        <x:v>0.5348837209302326</x:v>
      </x:c>
      <x:c r="I549" s="25" t="n">
        <x:v>0.5348837209302326</x:v>
      </x:c>
      <x:c r="J549" s="25" t="str"/>
      <x:c r="K549" s="11" t="n">
        <x:v>13.5</x:v>
      </x:c>
      <x:c r="L549" s="11" t="n">
        <x:v>20</x:v>
      </x:c>
      <x:c r="M549" s="11" t="n">
        <x:v>1.1</x:v>
      </x:c>
      <x:c r="N549" s="11" t="n">
        <x:v>0</x:v>
      </x:c>
      <x:c r="O549" s="11" t="str"/>
      <x:c r="P549" s="11" t="str"/>
      <x:c r="Q549" s="11" t="str"/>
      <x:c r="R549" s="11" t="str">
        <x:v>netease-pe-v1.0</x:v>
      </x:c>
      <x:c r="S549" s="11" t="str">
        <x:v>2026-10-10</x:v>
      </x:c>
      <x:c r="T549" s="11" t="str">
        <x:f>IF(AND(SUM(IF(K549='假设'!E730,0,1),IF(L549='假设'!F730,0,1),IF(M549='假设'!G730,0,1),IF(N549='假设'!H730,0,1),IF(O549='假设'!I730,0,1),IF(P549='假设'!J730,0,1),IF(Q549='假设'!K730,0,1))=0,U549=V549),"已刷新","待刷新")</x:f>
        <x:v>已刷新</x:v>
      </x:c>
    </x:row>
    <x:row r="550" ht="23" customHeight="1">
      <x:c r="A550" s="11" t="str">
        <x:v>09999.HK</x:v>
      </x:c>
      <x:c r="B550" s="11" t="str">
        <x:v>网易</x:v>
      </x:c>
      <x:c r="C550" s="11" t="str">
        <x:v>半年</x:v>
      </x:c>
      <x:c r="D550" s="11" t="str">
        <x:v>悲观</x:v>
      </x:c>
      <x:c r="E550" s="11" t="n">
        <x:v>193.5</x:v>
      </x:c>
      <x:c r="F550" s="11" t="n">
        <x:v>138.60000000000002</x:v>
      </x:c>
      <x:c r="G550" s="11" t="n">
        <x:v>1</x:v>
      </x:c>
      <x:c r="H550" s="25" t="n">
        <x:v>-0.28372093023255807</x:v>
      </x:c>
      <x:c r="I550" s="25" t="n">
        <x:v>-0.27855297157622727</x:v>
      </x:c>
      <x:c r="J550" s="25" t="str"/>
      <x:c r="K550" s="11" t="n">
        <x:v>10.5</x:v>
      </x:c>
      <x:c r="L550" s="11" t="n">
        <x:v>12</x:v>
      </x:c>
      <x:c r="M550" s="11" t="n">
        <x:v>1.1</x:v>
      </x:c>
      <x:c r="N550" s="11" t="n">
        <x:v>1</x:v>
      </x:c>
      <x:c r="O550" s="11" t="str"/>
      <x:c r="P550" s="11" t="str"/>
      <x:c r="Q550" s="11" t="str"/>
      <x:c r="R550" s="11" t="str">
        <x:v>netease-pe-v1.0</x:v>
      </x:c>
      <x:c r="S550" s="11" t="str">
        <x:v>2026-10-10</x:v>
      </x:c>
      <x:c r="T550" s="11" t="str">
        <x:f>IF(AND(SUM(IF(K550='假设'!E732,0,1),IF(L550='假设'!F732,0,1),IF(M550='假设'!G732,0,1),IF(N550='假设'!H732,0,1),IF(O550='假设'!I732,0,1),IF(P550='假设'!J732,0,1),IF(Q550='假设'!K732,0,1))=0,U550=V550),"已刷新","待刷新")</x:f>
        <x:v>已刷新</x:v>
      </x:c>
    </x:row>
    <x:row r="551" ht="23" customHeight="1">
      <x:c r="A551" s="11" t="str">
        <x:v>09999.HK</x:v>
      </x:c>
      <x:c r="B551" s="11" t="str">
        <x:v>网易</x:v>
      </x:c>
      <x:c r="C551" s="11" t="str">
        <x:v>半年</x:v>
      </x:c>
      <x:c r="D551" s="11" t="str">
        <x:v>基准</x:v>
      </x:c>
      <x:c r="E551" s="11" t="n">
        <x:v>193.5</x:v>
      </x:c>
      <x:c r="F551" s="11" t="n">
        <x:v>233.75000000000003</x:v>
      </x:c>
      <x:c r="G551" s="11" t="n">
        <x:v>2</x:v>
      </x:c>
      <x:c r="H551" s="25" t="n">
        <x:v>0.20801033591731288</x:v>
      </x:c>
      <x:c r="I551" s="25" t="n">
        <x:v>0.21834625322997425</x:v>
      </x:c>
      <x:c r="J551" s="25" t="str"/>
      <x:c r="K551" s="11" t="n">
        <x:v>12.5</x:v>
      </x:c>
      <x:c r="L551" s="11" t="n">
        <x:v>17</x:v>
      </x:c>
      <x:c r="M551" s="11" t="n">
        <x:v>1.1</x:v>
      </x:c>
      <x:c r="N551" s="11" t="n">
        <x:v>2</x:v>
      </x:c>
      <x:c r="O551" s="11" t="str"/>
      <x:c r="P551" s="11" t="str"/>
      <x:c r="Q551" s="11" t="str"/>
      <x:c r="R551" s="11" t="str">
        <x:v>netease-pe-v1.0</x:v>
      </x:c>
      <x:c r="S551" s="11" t="str">
        <x:v>2026-10-10</x:v>
      </x:c>
      <x:c r="T551" s="11" t="str">
        <x:f>IF(AND(SUM(IF(K551='假设'!E733,0,1),IF(L551='假设'!F733,0,1),IF(M551='假设'!G733,0,1),IF(N551='假设'!H733,0,1),IF(O551='假设'!I733,0,1),IF(P551='假设'!J733,0,1),IF(Q551='假设'!K733,0,1))=0,U551=V551),"已刷新","待刷新")</x:f>
        <x:v>已刷新</x:v>
      </x:c>
    </x:row>
    <x:row r="552" ht="23" customHeight="1">
      <x:c r="A552" s="11" t="str">
        <x:v>09999.HK</x:v>
      </x:c>
      <x:c r="B552" s="11" t="str">
        <x:v>网易</x:v>
      </x:c>
      <x:c r="C552" s="11" t="str">
        <x:v>半年</x:v>
      </x:c>
      <x:c r="D552" s="11" t="str">
        <x:v>乐观</x:v>
      </x:c>
      <x:c r="E552" s="11" t="n">
        <x:v>193.5</x:v>
      </x:c>
      <x:c r="F552" s="11" t="n">
        <x:v>323.40000000000003</x:v>
      </x:c>
      <x:c r="G552" s="11" t="n">
        <x:v>2.5</x:v>
      </x:c>
      <x:c r="H552" s="25" t="n">
        <x:v>0.6713178294573645</x:v>
      </x:c>
      <x:c r="I552" s="25" t="n">
        <x:v>0.6842377260981913</x:v>
      </x:c>
      <x:c r="J552" s="25" t="str"/>
      <x:c r="K552" s="11" t="n">
        <x:v>14</x:v>
      </x:c>
      <x:c r="L552" s="11" t="n">
        <x:v>21</x:v>
      </x:c>
      <x:c r="M552" s="11" t="n">
        <x:v>1.1</x:v>
      </x:c>
      <x:c r="N552" s="11" t="n">
        <x:v>2.5</x:v>
      </x:c>
      <x:c r="O552" s="11" t="str"/>
      <x:c r="P552" s="11" t="str"/>
      <x:c r="Q552" s="11" t="str"/>
      <x:c r="R552" s="11" t="str">
        <x:v>netease-pe-v1.0</x:v>
      </x:c>
      <x:c r="S552" s="11" t="str">
        <x:v>2026-10-10</x:v>
      </x:c>
      <x:c r="T552" s="11" t="str">
        <x:f>IF(AND(SUM(IF(K552='假设'!E734,0,1),IF(L552='假设'!F734,0,1),IF(M552='假设'!G734,0,1),IF(N552='假设'!H734,0,1),IF(O552='假设'!I734,0,1),IF(P552='假设'!J734,0,1),IF(Q552='假设'!K734,0,1))=0,U552=V552),"已刷新","待刷新")</x:f>
        <x:v>已刷新</x:v>
      </x:c>
    </x:row>
    <x:row r="553" ht="23" customHeight="1">
      <x:c r="A553" s="11" t="str">
        <x:v>09999.HK</x:v>
      </x:c>
      <x:c r="B553" s="11" t="str">
        <x:v>网易</x:v>
      </x:c>
      <x:c r="C553" s="11" t="str">
        <x:v>一年</x:v>
      </x:c>
      <x:c r="D553" s="11" t="str">
        <x:v>悲观</x:v>
      </x:c>
      <x:c r="E553" s="11" t="n">
        <x:v>193.5</x:v>
      </x:c>
      <x:c r="F553" s="11" t="n">
        <x:v>145.20000000000002</x:v>
      </x:c>
      <x:c r="G553" s="11" t="n">
        <x:v>2</x:v>
      </x:c>
      <x:c r="H553" s="25" t="n">
        <x:v>-0.24961240310077515</x:v>
      </x:c>
      <x:c r="I553" s="25" t="n">
        <x:v>-0.23927648578811356</x:v>
      </x:c>
      <x:c r="J553" s="25" t="str"/>
      <x:c r="K553" s="11" t="n">
        <x:v>11</x:v>
      </x:c>
      <x:c r="L553" s="11" t="n">
        <x:v>12</x:v>
      </x:c>
      <x:c r="M553" s="11" t="n">
        <x:v>1.1</x:v>
      </x:c>
      <x:c r="N553" s="11" t="n">
        <x:v>2</x:v>
      </x:c>
      <x:c r="O553" s="11" t="str"/>
      <x:c r="P553" s="11" t="str"/>
      <x:c r="Q553" s="11" t="str"/>
      <x:c r="R553" s="11" t="str">
        <x:v>netease-pe-v1.0</x:v>
      </x:c>
      <x:c r="S553" s="11" t="str">
        <x:v>2026-10-10</x:v>
      </x:c>
      <x:c r="T553" s="11" t="str">
        <x:f>IF(AND(SUM(IF(K553='假设'!E736,0,1),IF(L553='假设'!F736,0,1),IF(M553='假设'!G736,0,1),IF(N553='假设'!H736,0,1),IF(O553='假设'!I736,0,1),IF(P553='假设'!J736,0,1),IF(Q553='假设'!K736,0,1))=0,U553=V553),"已刷新","待刷新")</x:f>
        <x:v>已刷新</x:v>
      </x:c>
    </x:row>
    <x:row r="554" ht="23" customHeight="1">
      <x:c r="A554" s="11" t="str">
        <x:v>09999.HK</x:v>
      </x:c>
      <x:c r="B554" s="11" t="str">
        <x:v>网易</x:v>
      </x:c>
      <x:c r="C554" s="11" t="str">
        <x:v>一年</x:v>
      </x:c>
      <x:c r="D554" s="11" t="str">
        <x:v>基准</x:v>
      </x:c>
      <x:c r="E554" s="11" t="n">
        <x:v>193.5</x:v>
      </x:c>
      <x:c r="F554" s="11" t="n">
        <x:v>257.40000000000003</x:v>
      </x:c>
      <x:c r="G554" s="11" t="n">
        <x:v>4</x:v>
      </x:c>
      <x:c r="H554" s="25" t="n">
        <x:v>0.3302325581395351</x:v>
      </x:c>
      <x:c r="I554" s="25" t="n">
        <x:v>0.3509043927648581</x:v>
      </x:c>
      <x:c r="J554" s="25" t="str"/>
      <x:c r="K554" s="11" t="n">
        <x:v>13</x:v>
      </x:c>
      <x:c r="L554" s="11" t="n">
        <x:v>18</x:v>
      </x:c>
      <x:c r="M554" s="11" t="n">
        <x:v>1.1</x:v>
      </x:c>
      <x:c r="N554" s="11" t="n">
        <x:v>4</x:v>
      </x:c>
      <x:c r="O554" s="11" t="str"/>
      <x:c r="P554" s="11" t="str"/>
      <x:c r="Q554" s="11" t="str"/>
      <x:c r="R554" s="11" t="str">
        <x:v>netease-pe-v1.0</x:v>
      </x:c>
      <x:c r="S554" s="11" t="str">
        <x:v>2026-10-10</x:v>
      </x:c>
      <x:c r="T554" s="11" t="str">
        <x:f>IF(AND(SUM(IF(K554='假设'!E737,0,1),IF(L554='假设'!F737,0,1),IF(M554='假设'!G737,0,1),IF(N554='假设'!H737,0,1),IF(O554='假设'!I737,0,1),IF(P554='假设'!J737,0,1),IF(Q554='假设'!K737,0,1))=0,U554=V554),"已刷新","待刷新")</x:f>
        <x:v>已刷新</x:v>
      </x:c>
    </x:row>
    <x:row r="555" ht="23" customHeight="1">
      <x:c r="A555" s="11" t="str">
        <x:v>09999.HK</x:v>
      </x:c>
      <x:c r="B555" s="11" t="str">
        <x:v>网易</x:v>
      </x:c>
      <x:c r="C555" s="11" t="str">
        <x:v>一年</x:v>
      </x:c>
      <x:c r="D555" s="11" t="str">
        <x:v>乐观</x:v>
      </x:c>
      <x:c r="E555" s="11" t="n">
        <x:v>193.5</x:v>
      </x:c>
      <x:c r="F555" s="11" t="n">
        <x:v>363.00000000000006</x:v>
      </x:c>
      <x:c r="G555" s="11" t="n">
        <x:v>5</x:v>
      </x:c>
      <x:c r="H555" s="25" t="n">
        <x:v>0.8759689922480622</x:v>
      </x:c>
      <x:c r="I555" s="25" t="n">
        <x:v>0.9018087855297161</x:v>
      </x:c>
      <x:c r="J555" s="25" t="str"/>
      <x:c r="K555" s="11" t="n">
        <x:v>15</x:v>
      </x:c>
      <x:c r="L555" s="11" t="n">
        <x:v>22</x:v>
      </x:c>
      <x:c r="M555" s="11" t="n">
        <x:v>1.1</x:v>
      </x:c>
      <x:c r="N555" s="11" t="n">
        <x:v>5</x:v>
      </x:c>
      <x:c r="O555" s="11" t="str"/>
      <x:c r="P555" s="11" t="str"/>
      <x:c r="Q555" s="11" t="str"/>
      <x:c r="R555" s="11" t="str">
        <x:v>netease-pe-v1.0</x:v>
      </x:c>
      <x:c r="S555" s="11" t="str">
        <x:v>2026-10-10</x:v>
      </x:c>
      <x:c r="T555" s="11" t="str">
        <x:f>IF(AND(SUM(IF(K555='假设'!E738,0,1),IF(L555='假设'!F738,0,1),IF(M555='假设'!G738,0,1),IF(N555='假设'!H738,0,1),IF(O555='假设'!I738,0,1),IF(P555='假设'!J738,0,1),IF(Q555='假设'!K738,0,1))=0,U555=V555),"已刷新","待刷新")</x:f>
        <x:v>已刷新</x:v>
      </x:c>
    </x:row>
    <x:row r="556" ht="23" customHeight="1">
      <x:c r="A556" s="11" t="str">
        <x:v>09999.HK</x:v>
      </x:c>
      <x:c r="B556" s="11" t="str">
        <x:v>网易</x:v>
      </x:c>
      <x:c r="C556" s="11" t="str">
        <x:v>三年</x:v>
      </x:c>
      <x:c r="D556" s="11" t="str">
        <x:v>悲观</x:v>
      </x:c>
      <x:c r="E556" s="11" t="n">
        <x:v>193.5</x:v>
      </x:c>
      <x:c r="F556" s="11" t="n">
        <x:v>133.10000000000002</x:v>
      </x:c>
      <x:c r="G556" s="11" t="n">
        <x:v>6</x:v>
      </x:c>
      <x:c r="H556" s="25" t="n">
        <x:v>-0.31214470284237716</x:v>
      </x:c>
      <x:c r="I556" s="25" t="n">
        <x:v>-0.2811369509043926</x:v>
      </x:c>
      <x:c r="J556" s="25" t="n">
        <x:v>-0.10419107119251081</x:v>
      </x:c>
      <x:c r="K556" s="11" t="n">
        <x:v>11</x:v>
      </x:c>
      <x:c r="L556" s="11" t="n">
        <x:v>11</x:v>
      </x:c>
      <x:c r="M556" s="11" t="n">
        <x:v>1.1</x:v>
      </x:c>
      <x:c r="N556" s="11" t="n">
        <x:v>6</x:v>
      </x:c>
      <x:c r="O556" s="11" t="str"/>
      <x:c r="P556" s="11" t="str"/>
      <x:c r="Q556" s="11" t="str"/>
      <x:c r="R556" s="11" t="str">
        <x:v>netease-pe-v1.0</x:v>
      </x:c>
      <x:c r="S556" s="11" t="str">
        <x:v>2026-10-10</x:v>
      </x:c>
      <x:c r="T556" s="11" t="str">
        <x:f>IF(AND(SUM(IF(K556='假设'!E740,0,1),IF(L556='假设'!F740,0,1),IF(M556='假设'!G740,0,1),IF(N556='假设'!H740,0,1),IF(O556='假设'!I740,0,1),IF(P556='假设'!J740,0,1),IF(Q556='假设'!K740,0,1))=0,U556=V556),"已刷新","待刷新")</x:f>
        <x:v>已刷新</x:v>
      </x:c>
    </x:row>
    <x:row r="557" ht="23" customHeight="1">
      <x:c r="A557" s="11" t="str">
        <x:v>09999.HK</x:v>
      </x:c>
      <x:c r="B557" s="11" t="str">
        <x:v>网易</x:v>
      </x:c>
      <x:c r="C557" s="11" t="str">
        <x:v>三年</x:v>
      </x:c>
      <x:c r="D557" s="11" t="str">
        <x:v>基准</x:v>
      </x:c>
      <x:c r="E557" s="11" t="n">
        <x:v>193.5</x:v>
      </x:c>
      <x:c r="F557" s="11" t="n">
        <x:v>299.20000000000005</x:v>
      </x:c>
      <x:c r="G557" s="11" t="n">
        <x:v>14</x:v>
      </x:c>
      <x:c r="H557" s="25" t="n">
        <x:v>0.5462532299741605</x:v>
      </x:c>
      <x:c r="I557" s="25" t="n">
        <x:v>0.618604651162791</x:v>
      </x:c>
      <x:c r="J557" s="25" t="n">
        <x:v>0.174122997589907</x:v>
      </x:c>
      <x:c r="K557" s="11" t="n">
        <x:v>16</x:v>
      </x:c>
      <x:c r="L557" s="11" t="n">
        <x:v>17</x:v>
      </x:c>
      <x:c r="M557" s="11" t="n">
        <x:v>1.1</x:v>
      </x:c>
      <x:c r="N557" s="11" t="n">
        <x:v>14</x:v>
      </x:c>
      <x:c r="O557" s="11" t="str"/>
      <x:c r="P557" s="11" t="str"/>
      <x:c r="Q557" s="11" t="str"/>
      <x:c r="R557" s="11" t="str">
        <x:v>netease-pe-v1.0</x:v>
      </x:c>
      <x:c r="S557" s="11" t="str">
        <x:v>2026-10-10</x:v>
      </x:c>
      <x:c r="T557" s="11" t="str">
        <x:f>IF(AND(SUM(IF(K557='假设'!E741,0,1),IF(L557='假设'!F741,0,1),IF(M557='假设'!G741,0,1),IF(N557='假设'!H741,0,1),IF(O557='假设'!I741,0,1),IF(P557='假设'!J741,0,1),IF(Q557='假设'!K741,0,1))=0,U557=V557),"已刷新","待刷新")</x:f>
        <x:v>已刷新</x:v>
      </x:c>
    </x:row>
    <x:row r="558" ht="23" customHeight="1">
      <x:c r="A558" s="11" t="str">
        <x:v>09999.HK</x:v>
      </x:c>
      <x:c r="B558" s="11" t="str">
        <x:v>网易</x:v>
      </x:c>
      <x:c r="C558" s="11" t="str">
        <x:v>三年</x:v>
      </x:c>
      <x:c r="D558" s="11" t="str">
        <x:v>乐观</x:v>
      </x:c>
      <x:c r="E558" s="11" t="n">
        <x:v>193.5</x:v>
      </x:c>
      <x:c r="F558" s="11" t="n">
        <x:v>508.20000000000005</x:v>
      </x:c>
      <x:c r="G558" s="11" t="n">
        <x:v>20</x:v>
      </x:c>
      <x:c r="H558" s="25" t="n">
        <x:v>1.6263565891472869</x:v>
      </x:c>
      <x:c r="I558" s="25" t="n">
        <x:v>1.729715762273902</x:v>
      </x:c>
      <x:c r="J558" s="25" t="n">
        <x:v>0.39756648030769726</x:v>
      </x:c>
      <x:c r="K558" s="11" t="n">
        <x:v>21</x:v>
      </x:c>
      <x:c r="L558" s="11" t="n">
        <x:v>22</x:v>
      </x:c>
      <x:c r="M558" s="11" t="n">
        <x:v>1.1</x:v>
      </x:c>
      <x:c r="N558" s="11" t="n">
        <x:v>20</x:v>
      </x:c>
      <x:c r="O558" s="11" t="str"/>
      <x:c r="P558" s="11" t="str"/>
      <x:c r="Q558" s="11" t="str"/>
      <x:c r="R558" s="11" t="str">
        <x:v>netease-pe-v1.0</x:v>
      </x:c>
      <x:c r="S558" s="11" t="str">
        <x:v>2026-10-10</x:v>
      </x:c>
      <x:c r="T558" s="11" t="str">
        <x:f>IF(AND(SUM(IF(K558='假设'!E742,0,1),IF(L558='假设'!F742,0,1),IF(M558='假设'!G742,0,1),IF(N558='假设'!H742,0,1),IF(O558='假设'!I742,0,1),IF(P558='假设'!J742,0,1),IF(Q558='假设'!K742,0,1))=0,U558=V558),"已刷新","待刷新")</x:f>
        <x:v>已刷新</x:v>
      </x:c>
    </x:row>
    <x:row r="559" ht="23" customHeight="1">
      <x:c r="A559" s="11" t="str">
        <x:v>09999.HK</x:v>
      </x:c>
      <x:c r="B559" s="11" t="str">
        <x:v>网易</x:v>
      </x:c>
      <x:c r="C559" s="11" t="str">
        <x:v>五年</x:v>
      </x:c>
      <x:c r="D559" s="11" t="str">
        <x:v>悲观</x:v>
      </x:c>
      <x:c r="E559" s="11" t="n">
        <x:v>193.5</x:v>
      </x:c>
      <x:c r="F559" s="11" t="n">
        <x:v>110.00000000000001</x:v>
      </x:c>
      <x:c r="G559" s="11" t="n">
        <x:v>10</x:v>
      </x:c>
      <x:c r="H559" s="25" t="n">
        <x:v>-0.4315245478036175</x:v>
      </x:c>
      <x:c r="I559" s="25" t="n">
        <x:v>-0.37984496124031</x:v>
      </x:c>
      <x:c r="J559" s="25" t="n">
        <x:v>-0.09113358512512049</x:v>
      </x:c>
      <x:c r="K559" s="11" t="n">
        <x:v>10</x:v>
      </x:c>
      <x:c r="L559" s="11" t="n">
        <x:v>10</x:v>
      </x:c>
      <x:c r="M559" s="11" t="n">
        <x:v>1.1</x:v>
      </x:c>
      <x:c r="N559" s="11" t="n">
        <x:v>10</x:v>
      </x:c>
      <x:c r="O559" s="11" t="str"/>
      <x:c r="P559" s="11" t="str"/>
      <x:c r="Q559" s="11" t="str"/>
      <x:c r="R559" s="11" t="str">
        <x:v>netease-pe-v1.0</x:v>
      </x:c>
      <x:c r="S559" s="11" t="str">
        <x:v>2026-10-10</x:v>
      </x:c>
      <x:c r="T559" s="11" t="str">
        <x:f>IF(AND(SUM(IF(K559='假设'!E744,0,1),IF(L559='假设'!F744,0,1),IF(M559='假设'!G744,0,1),IF(N559='假设'!H744,0,1),IF(O559='假设'!I744,0,1),IF(P559='假设'!J744,0,1),IF(Q559='假设'!K744,0,1))=0,U559=V559),"已刷新","待刷新")</x:f>
        <x:v>已刷新</x:v>
      </x:c>
    </x:row>
    <x:row r="560" ht="23" customHeight="1">
      <x:c r="A560" s="11" t="str">
        <x:v>09999.HK</x:v>
      </x:c>
      <x:c r="B560" s="11" t="str">
        <x:v>网易</x:v>
      </x:c>
      <x:c r="C560" s="11" t="str">
        <x:v>五年</x:v>
      </x:c>
      <x:c r="D560" s="11" t="str">
        <x:v>基准</x:v>
      </x:c>
      <x:c r="E560" s="11" t="n">
        <x:v>193.5</x:v>
      </x:c>
      <x:c r="F560" s="11" t="n">
        <x:v>334.40000000000003</x:v>
      </x:c>
      <x:c r="G560" s="11" t="n">
        <x:v>25</x:v>
      </x:c>
      <x:c r="H560" s="25" t="n">
        <x:v>0.7281653746770027</x:v>
      </x:c>
      <x:c r="I560" s="25" t="n">
        <x:v>0.8573643410852716</x:v>
      </x:c>
      <x:c r="J560" s="25" t="n">
        <x:v>0.1318253601301771</x:v>
      </x:c>
      <x:c r="K560" s="11" t="n">
        <x:v>19</x:v>
      </x:c>
      <x:c r="L560" s="11" t="n">
        <x:v>16</x:v>
      </x:c>
      <x:c r="M560" s="11" t="n">
        <x:v>1.1</x:v>
      </x:c>
      <x:c r="N560" s="11" t="n">
        <x:v>25</x:v>
      </x:c>
      <x:c r="O560" s="11" t="str"/>
      <x:c r="P560" s="11" t="str"/>
      <x:c r="Q560" s="11" t="str"/>
      <x:c r="R560" s="11" t="str">
        <x:v>netease-pe-v1.0</x:v>
      </x:c>
      <x:c r="S560" s="11" t="str">
        <x:v>2026-10-10</x:v>
      </x:c>
      <x:c r="T560" s="11" t="str">
        <x:f>IF(AND(SUM(IF(K560='假设'!E745,0,1),IF(L560='假设'!F745,0,1),IF(M560='假设'!G745,0,1),IF(N560='假设'!H745,0,1),IF(O560='假设'!I745,0,1),IF(P560='假设'!J745,0,1),IF(Q560='假设'!K745,0,1))=0,U560=V560),"已刷新","待刷新")</x:f>
        <x:v>已刷新</x:v>
      </x:c>
    </x:row>
    <x:row r="561" ht="23" customHeight="1">
      <x:c r="A561" s="11" t="str">
        <x:v>09999.HK</x:v>
      </x:c>
      <x:c r="B561" s="11" t="str">
        <x:v>网易</x:v>
      </x:c>
      <x:c r="C561" s="11" t="str">
        <x:v>五年</x:v>
      </x:c>
      <x:c r="D561" s="11" t="str">
        <x:v>乐观</x:v>
      </x:c>
      <x:c r="E561" s="11" t="n">
        <x:v>193.5</x:v>
      </x:c>
      <x:c r="F561" s="11" t="n">
        <x:v>677.6</x:v>
      </x:c>
      <x:c r="G561" s="11" t="n">
        <x:v>38</x:v>
      </x:c>
      <x:c r="H561" s="25" t="n">
        <x:v>2.501808785529716</x:v>
      </x:c>
      <x:c r="I561" s="25" t="n">
        <x:v>2.698191214470284</x:v>
      </x:c>
      <x:c r="J561" s="25" t="n">
        <x:v>0.29896626559572415</x:v>
      </x:c>
      <x:c r="K561" s="11" t="n">
        <x:v>28</x:v>
      </x:c>
      <x:c r="L561" s="11" t="n">
        <x:v>22</x:v>
      </x:c>
      <x:c r="M561" s="11" t="n">
        <x:v>1.1</x:v>
      </x:c>
      <x:c r="N561" s="11" t="n">
        <x:v>38</x:v>
      </x:c>
      <x:c r="O561" s="11" t="str"/>
      <x:c r="P561" s="11" t="str"/>
      <x:c r="Q561" s="11" t="str"/>
      <x:c r="R561" s="11" t="str">
        <x:v>netease-pe-v1.0</x:v>
      </x:c>
      <x:c r="S561" s="11" t="str">
        <x:v>2026-10-10</x:v>
      </x:c>
      <x:c r="T561" s="11" t="str">
        <x:f>IF(AND(SUM(IF(K561='假设'!E746,0,1),IF(L561='假设'!F746,0,1),IF(M561='假设'!G746,0,1),IF(N561='假设'!H746,0,1),IF(O561='假设'!I746,0,1),IF(P561='假设'!J746,0,1),IF(Q561='假设'!K746,0,1))=0,U561=V561),"已刷新","待刷新")</x:f>
        <x:v>已刷新</x:v>
      </x:c>
    </x:row>
    <x:row r="562" ht="23" customHeight="1">
      <x:c r="A562" s="11" t="str">
        <x:v>03759.HK</x:v>
      </x:c>
      <x:c r="B562" s="11" t="str">
        <x:v>康龙化成</x:v>
      </x:c>
      <x:c r="C562" s="11" t="str">
        <x:v>2026年底</x:v>
      </x:c>
      <x:c r="D562" s="11" t="str">
        <x:v>悲观</x:v>
      </x:c>
      <x:c r="E562" s="11" t="n">
        <x:v>30.6</x:v>
      </x:c>
      <x:c r="F562" s="11" t="n">
        <x:v>16.39603225806452</x:v>
      </x:c>
      <x:c r="G562" s="11" t="n">
        <x:v>0</x:v>
      </x:c>
      <x:c r="H562" s="25" t="n">
        <x:v>-0.4641819523508327</x:v>
      </x:c>
      <x:c r="I562" s="25" t="n">
        <x:v>-0.4641819523508327</x:v>
      </x:c>
      <x:c r="J562" s="25" t="str"/>
      <x:c r="K562" s="11" t="n">
        <x:v>0.6480645161290323</x:v>
      </x:c>
      <x:c r="L562" s="11" t="n">
        <x:v>23</x:v>
      </x:c>
      <x:c r="M562" s="11" t="n">
        <x:v>1.1</x:v>
      </x:c>
      <x:c r="N562" s="11" t="n">
        <x:v>0</x:v>
      </x:c>
      <x:c r="O562" s="11" t="n">
        <x:v>17</x:v>
      </x:c>
      <x:c r="P562" s="11" t="n">
        <x:v>0.07090588235294118</x:v>
      </x:c>
      <x:c r="Q562" s="11" t="n">
        <x:v>1.86</x:v>
      </x:c>
      <x:c r="R562" s="11" t="str">
        <x:v>pharmaron-v1-segment-normal-profit-cashroll-CBchoice</x:v>
      </x:c>
      <x:c r="S562" s="11" t="str">
        <x:v>2026-10-10</x:v>
      </x:c>
      <x:c r="T562" s="11" t="str">
        <x:f>IF(AND(SUM(IF(K562='假设'!E748,0,1),IF(L562='假设'!F748,0,1),IF(M562='假设'!G748,0,1),IF(N562='假设'!H748,0,1),IF(O562='假设'!I748,0,1),IF(P562='假设'!J748,0,1),IF(Q562='假设'!K748,0,1))=0,U562=V562),"已刷新","待刷新")</x:f>
        <x:v>已刷新</x:v>
      </x:c>
      <x:c r="U562" t="str"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  <x:c r="V562" t="str">
        <x:f>'转债资金假设'!C8&amp;"|"&amp;'转债资金假设'!D8&amp;"|"&amp;'转债资金假设'!E8&amp;"|"&amp;'转债资金假设'!F8&amp;"|"&amp;'转债资金假设'!G8&amp;"|"&amp;'转债资金假设'!H8&amp;"|"&amp;'转债资金假设'!I8&amp;"|"&amp;'转债资金假设'!J8&amp;"|"&amp;'转债资金假设'!K8&amp;"|"&amp;'转债资金假设'!L8&amp;"|"&amp;'转债资金假设'!M8&amp;"|"&amp;'转债资金假设'!N8&amp;"|"&amp;'转债资金假设'!O8&amp;"|"&amp;'转债资金假设'!P8&amp;"|"&amp;'转债资金假设'!Q8&amp;"|"&amp;'年度分部假设'!D8&amp;"|"&amp;'年度分部假设'!E8&amp;"|"&amp;'年度分部假设'!F8&amp;"|"&amp;'年度分部假设'!G8&amp;"|"&amp;'年度分部假设'!H8&amp;"|"&amp;'年度分部假设'!I8&amp;"|"&amp;'年度分部假设'!J8&amp;"|"&amp;'年度分部假设'!K8&amp;"|"&amp;'年度分部假设'!L8&amp;"|"&amp;'年度分部假设'!M8&amp;"|"&amp;'年度分部假设'!N8&amp;"|"&amp;'年度分部假设'!O8&amp;"|"&amp;'年度分部假设'!P8&amp;"|"&amp;'年度分部假设'!Q8&amp;"|"&amp;'年度分部假设'!R8&amp;"|"&amp;'年度分部假设'!S8&amp;"|"&amp;'年度分部假设'!T8&amp;"|"&amp;'年度分部假设'!U8&amp;"|"&amp;'年度分部假设'!V8&amp;"|"&amp;'年度分部假设'!W8&amp;"|"&amp;'年度分部假设'!X8&amp;"|"&amp;'年度分部假设'!Y8&amp;"|"&amp;'年度分部假设'!D12&amp;"|"&amp;'年度分部假设'!E12&amp;"|"&amp;'年度分部假设'!F12&amp;"|"&amp;'年度分部假设'!G12&amp;"|"&amp;'年度分部假设'!H12&amp;"|"&amp;'年度分部假设'!I12&amp;"|"&amp;'年度分部假设'!J12&amp;"|"&amp;'年度分部假设'!K12&amp;"|"&amp;'年度分部假设'!L12&amp;"|"&amp;'年度分部假设'!M12&amp;"|"&amp;'年度分部假设'!N12&amp;"|"&amp;'年度分部假设'!O12&amp;"|"&amp;'年度分部假设'!P12&amp;"|"&amp;'年度分部假设'!Q12&amp;"|"&amp;'年度分部假设'!R12&amp;"|"&amp;'年度分部假设'!S12&amp;"|"&amp;'年度分部假设'!T12&amp;"|"&amp;'年度分部假设'!U12&amp;"|"&amp;'年度分部假设'!V12&amp;"|"&amp;'年度分部假设'!W12&amp;"|"&amp;'年度分部假设'!X12&amp;"|"&amp;'年度分部假设'!Y12&amp;"|"&amp;'年度分部假设'!D16&amp;"|"&amp;'年度分部假设'!E16&amp;"|"&amp;'年度分部假设'!F16&amp;"|"&amp;'年度分部假设'!G16&amp;"|"&amp;'年度分部假设'!H16&amp;"|"&amp;'年度分部假设'!I16&amp;"|"&amp;'年度分部假设'!J16&amp;"|"&amp;'年度分部假设'!K16&amp;"|"&amp;'年度分部假设'!L16&amp;"|"&amp;'年度分部假设'!M16&amp;"|"&amp;'年度分部假设'!N16&amp;"|"&amp;'年度分部假设'!O16&amp;"|"&amp;'年度分部假设'!P16&amp;"|"&amp;'年度分部假设'!Q16&amp;"|"&amp;'年度分部假设'!R16&amp;"|"&amp;'年度分部假设'!S16&amp;"|"&amp;'年度分部假设'!T16&amp;"|"&amp;'年度分部假设'!U16&amp;"|"&amp;'年度分部假设'!V16&amp;"|"&amp;'年度分部假设'!W16&amp;"|"&amp;'年度分部假设'!X16&amp;"|"&amp;'年度分部假设'!Y16&amp;"|"&amp;'年度分部假设'!D20&amp;"|"&amp;'年度分部假设'!E20&amp;"|"&amp;'年度分部假设'!F20&amp;"|"&amp;'年度分部假设'!G20&amp;"|"&amp;'年度分部假设'!H20&amp;"|"&amp;'年度分部假设'!I20&amp;"|"&amp;'年度分部假设'!J20&amp;"|"&amp;'年度分部假设'!K20&amp;"|"&amp;'年度分部假设'!L20&amp;"|"&amp;'年度分部假设'!M20&amp;"|"&amp;'年度分部假设'!N20&amp;"|"&amp;'年度分部假设'!O20&amp;"|"&amp;'年度分部假设'!P20&amp;"|"&amp;'年度分部假设'!Q20&amp;"|"&amp;'年度分部假设'!R20&amp;"|"&amp;'年度分部假设'!S20&amp;"|"&amp;'年度分部假设'!T20&amp;"|"&amp;'年度分部假设'!U20&amp;"|"&amp;'年度分部假设'!V20&amp;"|"&amp;'年度分部假设'!W20&amp;"|"&amp;'年度分部假设'!X20&amp;"|"&amp;'年度分部假设'!Y20&amp;"|"&amp;'年度分部假设'!D24&amp;"|"&amp;'年度分部假设'!E24&amp;"|"&amp;'年度分部假设'!F24&amp;"|"&amp;'年度分部假设'!G24&amp;"|"&amp;'年度分部假设'!H24&amp;"|"&amp;'年度分部假设'!I24&amp;"|"&amp;'年度分部假设'!J24&amp;"|"&amp;'年度分部假设'!K24&amp;"|"&amp;'年度分部假设'!L24&amp;"|"&amp;'年度分部假设'!M24&amp;"|"&amp;'年度分部假设'!N24&amp;"|"&amp;'年度分部假设'!O24&amp;"|"&amp;'年度分部假设'!P24&amp;"|"&amp;'年度分部假设'!Q24&amp;"|"&amp;'年度分部假设'!R24&amp;"|"&amp;'年度分部假设'!S24&amp;"|"&amp;'年度分部假设'!T24&amp;"|"&amp;'年度分部假设'!U24&amp;"|"&amp;'年度分部假设'!V24&amp;"|"&amp;'年度分部假设'!W24&amp;"|"&amp;'年度分部假设'!X24&amp;"|"&amp;'年度分部假设'!Y24&amp;"|"&amp;'年度分部假设'!D28&amp;"|"&amp;'年度分部假设'!E28&amp;"|"&amp;'年度分部假设'!F28&amp;"|"&amp;'年度分部假设'!G28&amp;"|"&amp;'年度分部假设'!H28&amp;"|"&amp;'年度分部假设'!I28&amp;"|"&amp;'年度分部假设'!J28&amp;"|"&amp;'年度分部假设'!K28&amp;"|"&amp;'年度分部假设'!L28&amp;"|"&amp;'年度分部假设'!M28&amp;"|"&amp;'年度分部假设'!N28&amp;"|"&amp;'年度分部假设'!O28&amp;"|"&amp;'年度分部假设'!P28&amp;"|"&amp;'年度分部假设'!Q28&amp;"|"&amp;'年度分部假设'!R28&amp;"|"&amp;'年度分部假设'!S28&amp;"|"&amp;'年度分部假设'!T28&amp;"|"&amp;'年度分部假设'!U28&amp;"|"&amp;'年度分部假设'!V28&amp;"|"&amp;'年度分部假设'!W28&amp;"|"&amp;'年度分部假设'!X28&amp;"|"&amp;'年度分部假设'!Y28&amp;"|"&amp;'年度分部假设'!D32&amp;"|"&amp;'年度分部假设'!E32&amp;"|"&amp;'年度分部假设'!F32&amp;"|"&amp;'年度分部假设'!G32&amp;"|"&amp;'年度分部假设'!H32&amp;"|"&amp;'年度分部假设'!I32&amp;"|"&amp;'年度分部假设'!J32&amp;"|"&amp;'年度分部假设'!K32&amp;"|"&amp;'年度分部假设'!L32&amp;"|"&amp;'年度分部假设'!M32&amp;"|"&amp;'年度分部假设'!N32&amp;"|"&amp;'年度分部假设'!O32&amp;"|"&amp;'年度分部假设'!P32&amp;"|"&amp;'年度分部假设'!Q32&amp;"|"&amp;'年度分部假设'!R32&amp;"|"&amp;'年度分部假设'!S32&amp;"|"&amp;'年度分部假设'!T32&amp;"|"&amp;'年度分部假设'!U32&amp;"|"&amp;'年度分部假设'!V32&amp;"|"&amp;'年度分部假设'!W32&amp;"|"&amp;'年度分部假设'!X32&amp;"|"&amp;'年度分部假设'!Y32</x:f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</x:row>
    <x:row r="563" ht="23" customHeight="1">
      <x:c r="A563" s="11" t="str">
        <x:v>03759.HK</x:v>
      </x:c>
      <x:c r="B563" s="11" t="str">
        <x:v>康龙化成</x:v>
      </x:c>
      <x:c r="C563" s="11" t="str">
        <x:v>2026年底</x:v>
      </x:c>
      <x:c r="D563" s="11" t="str">
        <x:v>基准</x:v>
      </x:c>
      <x:c r="E563" s="11" t="n">
        <x:v>30.6</x:v>
      </x:c>
      <x:c r="F563" s="11" t="n">
        <x:v>38.67565700143121</x:v>
      </x:c>
      <x:c r="G563" s="11" t="n">
        <x:v>0</x:v>
      </x:c>
      <x:c r="H563" s="25" t="n">
        <x:v>0.26391035952389585</x:v>
      </x:c>
      <x:c r="I563" s="25" t="n">
        <x:v>0.26391035952389585</x:v>
      </x:c>
      <x:c r="J563" s="25" t="str"/>
      <x:c r="K563" s="11" t="n">
        <x:v>1.2557031493971171</x:v>
      </x:c>
      <x:c r="L563" s="11" t="n">
        <x:v>28</x:v>
      </x:c>
      <x:c r="M563" s="11" t="n">
        <x:v>1.1</x:v>
      </x:c>
      <x:c r="N563" s="11" t="n">
        <x:v>0</x:v>
      </x:c>
      <x:c r="O563" s="11" t="n">
        <x:v>20.05</x:v>
      </x:c>
      <x:c r="P563" s="11" t="n">
        <x:v>0.1202768578553616</x:v>
      </x:c>
      <x:c r="Q563" s="11" t="n">
        <x:v>1.920478579</x:v>
      </x:c>
      <x:c r="R563" s="11" t="str">
        <x:v>pharmaron-v1-segment-normal-profit-cashroll-CBchoice</x:v>
      </x:c>
      <x:c r="S563" s="11" t="str">
        <x:v>2026-10-10</x:v>
      </x:c>
      <x:c r="T563" s="11" t="str">
        <x:f>IF(AND(SUM(IF(K563='假设'!E749,0,1),IF(L563='假设'!F749,0,1),IF(M563='假设'!G749,0,1),IF(N563='假设'!H749,0,1),IF(O563='假设'!I749,0,1),IF(P563='假设'!J749,0,1),IF(Q563='假设'!K749,0,1))=0,U563=V563),"已刷新","待刷新")</x:f>
        <x:v>待刷新</x:v>
      </x:c>
      <x:c r="U563" t="str">
        <x:v>2.7038960000000003|6.474413|2.1994012091898427|2.18|0.070478579|1|1.084645|0.102838|1.368324|0.36859200000000003|0.364962|0.1|0.2|0.02|0.1|10|4.3|2.38|0.418|0.288|0.108|0.375|2.1|0.645|0.05|0.07|0.23|0.22|0.05|1.845|1.45|3|0.9|0.5|0.08|0.24|0|11.65|5.65|2.73|0.42|0.31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  <x:c r="V563" t="str">
        <x:f>'转债资金假设'!C9&amp;"|"&amp;'转债资金假设'!D9&amp;"|"&amp;'转债资金假设'!E9&amp;"|"&amp;'转债资金假设'!F9&amp;"|"&amp;'转债资金假设'!G9&amp;"|"&amp;'转债资金假设'!H9&amp;"|"&amp;'转债资金假设'!I9&amp;"|"&amp;'转债资金假设'!J9&amp;"|"&amp;'转债资金假设'!K9&amp;"|"&amp;'转债资金假设'!L9&amp;"|"&amp;'转债资金假设'!M9&amp;"|"&amp;'转债资金假设'!N9&amp;"|"&amp;'转债资金假设'!O9&amp;"|"&amp;'转债资金假设'!P9&amp;"|"&amp;'转债资金假设'!Q9&amp;"|"&amp;'年度分部假设'!D9&amp;"|"&amp;'年度分部假设'!E9&amp;"|"&amp;'年度分部假设'!F9&amp;"|"&amp;'年度分部假设'!G9&amp;"|"&amp;'年度分部假设'!H9&amp;"|"&amp;'年度分部假设'!I9&amp;"|"&amp;'年度分部假设'!J9&amp;"|"&amp;'年度分部假设'!K9&amp;"|"&amp;'年度分部假设'!L9&amp;"|"&amp;'年度分部假设'!M9&amp;"|"&amp;'年度分部假设'!N9&amp;"|"&amp;'年度分部假设'!O9&amp;"|"&amp;'年度分部假设'!P9&amp;"|"&amp;'年度分部假设'!Q9&amp;"|"&amp;'年度分部假设'!R9&amp;"|"&amp;'年度分部假设'!S9&amp;"|"&amp;'年度分部假设'!T9&amp;"|"&amp;'年度分部假设'!U9&amp;"|"&amp;'年度分部假设'!V9&amp;"|"&amp;'年度分部假设'!W9&amp;"|"&amp;'年度分部假设'!X9&amp;"|"&amp;'年度分部假设'!Y9&amp;"|"&amp;'年度分部假设'!D13&amp;"|"&amp;'年度分部假设'!E13&amp;"|"&amp;'年度分部假设'!F13&amp;"|"&amp;'年度分部假设'!G13&amp;"|"&amp;'年度分部假设'!H13&amp;"|"&amp;'年度分部假设'!I13&amp;"|"&amp;'年度分部假设'!J13&amp;"|"&amp;'年度分部假设'!K13&amp;"|"&amp;'年度分部假设'!L13&amp;"|"&amp;'年度分部假设'!M13&amp;"|"&amp;'年度分部假设'!N13&amp;"|"&amp;'年度分部假设'!O13&amp;"|"&amp;'年度分部假设'!P13&amp;"|"&amp;'年度分部假设'!Q13&amp;"|"&amp;'年度分部假设'!R13&amp;"|"&amp;'年度分部假设'!S13&amp;"|"&amp;'年度分部假设'!T13&amp;"|"&amp;'年度分部假设'!U13&amp;"|"&amp;'年度分部假设'!V13&amp;"|"&amp;'年度分部假设'!W13&amp;"|"&amp;'年度分部假设'!X13&amp;"|"&amp;'年度分部假设'!Y13&amp;"|"&amp;'年度分部假设'!D17&amp;"|"&amp;'年度分部假设'!E17&amp;"|"&amp;'年度分部假设'!F17&amp;"|"&amp;'年度分部假设'!G17&amp;"|"&amp;'年度分部假设'!H17&amp;"|"&amp;'年度分部假设'!I17&amp;"|"&amp;'年度分部假设'!J17&amp;"|"&amp;'年度分部假设'!K17&amp;"|"&amp;'年度分部假设'!L17&amp;"|"&amp;'年度分部假设'!M17&amp;"|"&amp;'年度分部假设'!N17&amp;"|"&amp;'年度分部假设'!O17&amp;"|"&amp;'年度分部假设'!P17&amp;"|"&amp;'年度分部假设'!Q17&amp;"|"&amp;'年度分部假设'!R17&amp;"|"&amp;'年度分部假设'!S17&amp;"|"&amp;'年度分部假设'!T17&amp;"|"&amp;'年度分部假设'!U17&amp;"|"&amp;'年度分部假设'!V17&amp;"|"&amp;'年度分部假设'!W17&amp;"|"&amp;'年度分部假设'!X17&amp;"|"&amp;'年度分部假设'!Y17&amp;"|"&amp;'年度分部假设'!D21&amp;"|"&amp;'年度分部假设'!E21&amp;"|"&amp;'年度分部假设'!F21&amp;"|"&amp;'年度分部假设'!G21&amp;"|"&amp;'年度分部假设'!H21&amp;"|"&amp;'年度分部假设'!I21&amp;"|"&amp;'年度分部假设'!J21&amp;"|"&amp;'年度分部假设'!K21&amp;"|"&amp;'年度分部假设'!L21&amp;"|"&amp;'年度分部假设'!M21&amp;"|"&amp;'年度分部假设'!N21&amp;"|"&amp;'年度分部假设'!O21&amp;"|"&amp;'年度分部假设'!P21&amp;"|"&amp;'年度分部假设'!Q21&amp;"|"&amp;'年度分部假设'!R21&amp;"|"&amp;'年度分部假设'!S21&amp;"|"&amp;'年度分部假设'!T21&amp;"|"&amp;'年度分部假设'!U21&amp;"|"&amp;'年度分部假设'!V21&amp;"|"&amp;'年度分部假设'!W21&amp;"|"&amp;'年度分部假设'!X21&amp;"|"&amp;'年度分部假设'!Y21&amp;"|"&amp;'年度分部假设'!D25&amp;"|"&amp;'年度分部假设'!E25&amp;"|"&amp;'年度分部假设'!F25&amp;"|"&amp;'年度分部假设'!G25&amp;"|"&amp;'年度分部假设'!H25&amp;"|"&amp;'年度分部假设'!I25&amp;"|"&amp;'年度分部假设'!J25&amp;"|"&amp;'年度分部假设'!K25&amp;"|"&amp;'年度分部假设'!L25&amp;"|"&amp;'年度分部假设'!M25&amp;"|"&amp;'年度分部假设'!N25&amp;"|"&amp;'年度分部假设'!O25&amp;"|"&amp;'年度分部假设'!P25&amp;"|"&amp;'年度分部假设'!Q25&amp;"|"&amp;'年度分部假设'!R25&amp;"|"&amp;'年度分部假设'!S25&amp;"|"&amp;'年度分部假设'!T25&amp;"|"&amp;'年度分部假设'!U25&amp;"|"&amp;'年度分部假设'!V25&amp;"|"&amp;'年度分部假设'!W25&amp;"|"&amp;'年度分部假设'!X25&amp;"|"&amp;'年度分部假设'!Y25&amp;"|"&amp;'年度分部假设'!D29&amp;"|"&amp;'年度分部假设'!E29&amp;"|"&amp;'年度分部假设'!F29&amp;"|"&amp;'年度分部假设'!G29&amp;"|"&amp;'年度分部假设'!H29&amp;"|"&amp;'年度分部假设'!I29&amp;"|"&amp;'年度分部假设'!J29&amp;"|"&amp;'年度分部假设'!K29&amp;"|"&amp;'年度分部假设'!L29&amp;"|"&amp;'年度分部假设'!M29&amp;"|"&amp;'年度分部假设'!N29&amp;"|"&amp;'年度分部假设'!O29&amp;"|"&amp;'年度分部假设'!P29&amp;"|"&amp;'年度分部假设'!Q29&amp;"|"&amp;'年度分部假设'!R29&amp;"|"&amp;'年度分部假设'!S29&amp;"|"&amp;'年度分部假设'!T29&amp;"|"&amp;'年度分部假设'!U29&amp;"|"&amp;'年度分部假设'!V29&amp;"|"&amp;'年度分部假设'!W29&amp;"|"&amp;'年度分部假设'!X29&amp;"|"&amp;'年度分部假设'!Y29&amp;"|"&amp;'年度分部假设'!D33&amp;"|"&amp;'年度分部假设'!E33&amp;"|"&amp;'年度分部假设'!F33&amp;"|"&amp;'年度分部假设'!G33&amp;"|"&amp;'年度分部假设'!H33&amp;"|"&amp;'年度分部假设'!I33&amp;"|"&amp;'年度分部假设'!J33&amp;"|"&amp;'年度分部假设'!K33&amp;"|"&amp;'年度分部假设'!L33&amp;"|"&amp;'年度分部假设'!M33&amp;"|"&amp;'年度分部假设'!N33&amp;"|"&amp;'年度分部假设'!O33&amp;"|"&amp;'年度分部假设'!P33&amp;"|"&amp;'年度分部假设'!Q33&amp;"|"&amp;'年度分部假设'!R33&amp;"|"&amp;'年度分部假设'!S33&amp;"|"&amp;'年度分部假设'!T33&amp;"|"&amp;'年度分部假设'!U33&amp;"|"&amp;'年度分部假设'!V33&amp;"|"&amp;'年度分部假设'!W33&amp;"|"&amp;'年度分部假设'!X33&amp;"|"&amp;'年度分部假设'!Y33</x:f>
        <x:v>2.7038960000000003|6.474413|2.1994012091898427|2.18|0.070478579|0|1.084645|0.102838|1.368324|0.36859200000000003|0.364962|0.1|0.2|0.02|0.1|10|4.3|2.38|0.418|0.288|0.108|0.375|2.1|0.645|0.05|0.07|0.23|0.22|0.05|1.845|1.45|3|0.9|0.5|0.08|0.24|0|11.65|5.65|2.73|0.42|0.32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</x:row>
    <x:row r="564" ht="23" customHeight="1">
      <x:c r="A564" s="11" t="str">
        <x:v>03759.HK</x:v>
      </x:c>
      <x:c r="B564" s="11" t="str">
        <x:v>康龙化成</x:v>
      </x:c>
      <x:c r="C564" s="11" t="str">
        <x:v>2026年底</x:v>
      </x:c>
      <x:c r="D564" s="11" t="str">
        <x:v>乐观</x:v>
      </x:c>
      <x:c r="E564" s="11" t="n">
        <x:v>30.6</x:v>
      </x:c>
      <x:c r="F564" s="11" t="n">
        <x:v>64.45424664119619</x:v>
      </x:c>
      <x:c r="G564" s="11" t="n">
        <x:v>0</x:v>
      </x:c>
      <x:c r="H564" s="25" t="n">
        <x:v>1.1063479294508558</x:v>
      </x:c>
      <x:c r="I564" s="25" t="n">
        <x:v>1.1063479294508558</x:v>
      </x:c>
      <x:c r="J564" s="25" t="str"/>
      <x:c r="K564" s="11" t="n">
        <x:v>1.7755990810246884</x:v>
      </x:c>
      <x:c r="L564" s="11" t="n">
        <x:v>33</x:v>
      </x:c>
      <x:c r="M564" s="11" t="n">
        <x:v>1.1</x:v>
      </x:c>
      <x:c r="N564" s="11" t="n">
        <x:v>0</x:v>
      </x:c>
      <x:c r="O564" s="11" t="n">
        <x:v>21.54</x:v>
      </x:c>
      <x:c r="P564" s="11" t="n">
        <x:v>0.1583101207056639</x:v>
      </x:c>
      <x:c r="Q564" s="11" t="n">
        <x:v>1.920478579</x:v>
      </x:c>
      <x:c r="R564" s="11" t="str">
        <x:v>pharmaron-v1-segment-normal-profit-cashroll-CBchoice</x:v>
      </x:c>
      <x:c r="S564" s="11" t="str">
        <x:v>2026-10-10</x:v>
      </x:c>
      <x:c r="T564" s="11" t="str">
        <x:f>IF(AND(SUM(IF(K564='假设'!E750,0,1),IF(L564='假设'!F750,0,1),IF(M564='假设'!G750,0,1),IF(N564='假设'!H750,0,1),IF(O564='假设'!I750,0,1),IF(P564='假设'!J750,0,1),IF(Q564='假设'!K750,0,1))=0,U564=V564),"已刷新","待刷新")</x:f>
        <x:v>已刷新</x:v>
      </x:c>
      <x:c r="U564" t="str"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  <x:c r="V564" t="str">
        <x:f>'转债资金假设'!C10&amp;"|"&amp;'转债资金假设'!D10&amp;"|"&amp;'转债资金假设'!E10&amp;"|"&amp;'转债资金假设'!F10&amp;"|"&amp;'转债资金假设'!G10&amp;"|"&amp;'转债资金假设'!H10&amp;"|"&amp;'转债资金假设'!I10&amp;"|"&amp;'转债资金假设'!J10&amp;"|"&amp;'转债资金假设'!K10&amp;"|"&amp;'转债资金假设'!L10&amp;"|"&amp;'转债资金假设'!M10&amp;"|"&amp;'转债资金假设'!N10&amp;"|"&amp;'转债资金假设'!O10&amp;"|"&amp;'转债资金假设'!P10&amp;"|"&amp;'转债资金假设'!Q10&amp;"|"&amp;'年度分部假设'!D10&amp;"|"&amp;'年度分部假设'!E10&amp;"|"&amp;'年度分部假设'!F10&amp;"|"&amp;'年度分部假设'!G10&amp;"|"&amp;'年度分部假设'!H10&amp;"|"&amp;'年度分部假设'!I10&amp;"|"&amp;'年度分部假设'!J10&amp;"|"&amp;'年度分部假设'!K10&amp;"|"&amp;'年度分部假设'!L10&amp;"|"&amp;'年度分部假设'!M10&amp;"|"&amp;'年度分部假设'!N10&amp;"|"&amp;'年度分部假设'!O10&amp;"|"&amp;'年度分部假设'!P10&amp;"|"&amp;'年度分部假设'!Q10&amp;"|"&amp;'年度分部假设'!R10&amp;"|"&amp;'年度分部假设'!S10&amp;"|"&amp;'年度分部假设'!T10&amp;"|"&amp;'年度分部假设'!U10&amp;"|"&amp;'年度分部假设'!V10&amp;"|"&amp;'年度分部假设'!W10&amp;"|"&amp;'年度分部假设'!X10&amp;"|"&amp;'年度分部假设'!Y10&amp;"|"&amp;'年度分部假设'!D14&amp;"|"&amp;'年度分部假设'!E14&amp;"|"&amp;'年度分部假设'!F14&amp;"|"&amp;'年度分部假设'!G14&amp;"|"&amp;'年度分部假设'!H14&amp;"|"&amp;'年度分部假设'!I14&amp;"|"&amp;'年度分部假设'!J14&amp;"|"&amp;'年度分部假设'!K14&amp;"|"&amp;'年度分部假设'!L14&amp;"|"&amp;'年度分部假设'!M14&amp;"|"&amp;'年度分部假设'!N14&amp;"|"&amp;'年度分部假设'!O14&amp;"|"&amp;'年度分部假设'!P14&amp;"|"&amp;'年度分部假设'!Q14&amp;"|"&amp;'年度分部假设'!R14&amp;"|"&amp;'年度分部假设'!S14&amp;"|"&amp;'年度分部假设'!T14&amp;"|"&amp;'年度分部假设'!U14&amp;"|"&amp;'年度分部假设'!V14&amp;"|"&amp;'年度分部假设'!W14&amp;"|"&amp;'年度分部假设'!X14&amp;"|"&amp;'年度分部假设'!Y14&amp;"|"&amp;'年度分部假设'!D18&amp;"|"&amp;'年度分部假设'!E18&amp;"|"&amp;'年度分部假设'!F18&amp;"|"&amp;'年度分部假设'!G18&amp;"|"&amp;'年度分部假设'!H18&amp;"|"&amp;'年度分部假设'!I18&amp;"|"&amp;'年度分部假设'!J18&amp;"|"&amp;'年度分部假设'!K18&amp;"|"&amp;'年度分部假设'!L18&amp;"|"&amp;'年度分部假设'!M18&amp;"|"&amp;'年度分部假设'!N18&amp;"|"&amp;'年度分部假设'!O18&amp;"|"&amp;'年度分部假设'!P18&amp;"|"&amp;'年度分部假设'!Q18&amp;"|"&amp;'年度分部假设'!R18&amp;"|"&amp;'年度分部假设'!S18&amp;"|"&amp;'年度分部假设'!T18&amp;"|"&amp;'年度分部假设'!U18&amp;"|"&amp;'年度分部假设'!V18&amp;"|"&amp;'年度分部假设'!W18&amp;"|"&amp;'年度分部假设'!X18&amp;"|"&amp;'年度分部假设'!Y18&amp;"|"&amp;'年度分部假设'!D22&amp;"|"&amp;'年度分部假设'!E22&amp;"|"&amp;'年度分部假设'!F22&amp;"|"&amp;'年度分部假设'!G22&amp;"|"&amp;'年度分部假设'!H22&amp;"|"&amp;'年度分部假设'!I22&amp;"|"&amp;'年度分部假设'!J22&amp;"|"&amp;'年度分部假设'!K22&amp;"|"&amp;'年度分部假设'!L22&amp;"|"&amp;'年度分部假设'!M22&amp;"|"&amp;'年度分部假设'!N22&amp;"|"&amp;'年度分部假设'!O22&amp;"|"&amp;'年度分部假设'!P22&amp;"|"&amp;'年度分部假设'!Q22&amp;"|"&amp;'年度分部假设'!R22&amp;"|"&amp;'年度分部假设'!S22&amp;"|"&amp;'年度分部假设'!T22&amp;"|"&amp;'年度分部假设'!U22&amp;"|"&amp;'年度分部假设'!V22&amp;"|"&amp;'年度分部假设'!W22&amp;"|"&amp;'年度分部假设'!X22&amp;"|"&amp;'年度分部假设'!Y22&amp;"|"&amp;'年度分部假设'!D26&amp;"|"&amp;'年度分部假设'!E26&amp;"|"&amp;'年度分部假设'!F26&amp;"|"&amp;'年度分部假设'!G26&amp;"|"&amp;'年度分部假设'!H26&amp;"|"&amp;'年度分部假设'!I26&amp;"|"&amp;'年度分部假设'!J26&amp;"|"&amp;'年度分部假设'!K26&amp;"|"&amp;'年度分部假设'!L26&amp;"|"&amp;'年度分部假设'!M26&amp;"|"&amp;'年度分部假设'!N26&amp;"|"&amp;'年度分部假设'!O26&amp;"|"&amp;'年度分部假设'!P26&amp;"|"&amp;'年度分部假设'!Q26&amp;"|"&amp;'年度分部假设'!R26&amp;"|"&amp;'年度分部假设'!S26&amp;"|"&amp;'年度分部假设'!T26&amp;"|"&amp;'年度分部假设'!U26&amp;"|"&amp;'年度分部假设'!V26&amp;"|"&amp;'年度分部假设'!W26&amp;"|"&amp;'年度分部假设'!X26&amp;"|"&amp;'年度分部假设'!Y26&amp;"|"&amp;'年度分部假设'!D30&amp;"|"&amp;'年度分部假设'!E30&amp;"|"&amp;'年度分部假设'!F30&amp;"|"&amp;'年度分部假设'!G30&amp;"|"&amp;'年度分部假设'!H30&amp;"|"&amp;'年度分部假设'!I30&amp;"|"&amp;'年度分部假设'!J30&amp;"|"&amp;'年度分部假设'!K30&amp;"|"&amp;'年度分部假设'!L30&amp;"|"&amp;'年度分部假设'!M30&amp;"|"&amp;'年度分部假设'!N30&amp;"|"&amp;'年度分部假设'!O30&amp;"|"&amp;'年度分部假设'!P30&amp;"|"&amp;'年度分部假设'!Q30&amp;"|"&amp;'年度分部假设'!R30&amp;"|"&amp;'年度分部假设'!S30&amp;"|"&amp;'年度分部假设'!T30&amp;"|"&amp;'年度分部假设'!U30&amp;"|"&amp;'年度分部假设'!V30&amp;"|"&amp;'年度分部假设'!W30&amp;"|"&amp;'年度分部假设'!X30&amp;"|"&amp;'年度分部假设'!Y30&amp;"|"&amp;'年度分部假设'!D34&amp;"|"&amp;'年度分部假设'!E34&amp;"|"&amp;'年度分部假设'!F34&amp;"|"&amp;'年度分部假设'!G34&amp;"|"&amp;'年度分部假设'!H34&amp;"|"&amp;'年度分部假设'!I34&amp;"|"&amp;'年度分部假设'!J34&amp;"|"&amp;'年度分部假设'!K34&amp;"|"&amp;'年度分部假设'!L34&amp;"|"&amp;'年度分部假设'!M34&amp;"|"&amp;'年度分部假设'!N34&amp;"|"&amp;'年度分部假设'!O34&amp;"|"&amp;'年度分部假设'!P34&amp;"|"&amp;'年度分部假设'!Q34&amp;"|"&amp;'年度分部假设'!R34&amp;"|"&amp;'年度分部假设'!S34&amp;"|"&amp;'年度分部假设'!T34&amp;"|"&amp;'年度分部假设'!U34&amp;"|"&amp;'年度分部假设'!V34&amp;"|"&amp;'年度分部假设'!W34&amp;"|"&amp;'年度分部假设'!X34&amp;"|"&amp;'年度分部假设'!Y34</x:f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</x:row>
    <x:row r="565" ht="23" customHeight="1">
      <x:c r="A565" s="11" t="str">
        <x:v>03759.HK</x:v>
      </x:c>
      <x:c r="B565" s="11" t="str">
        <x:v>康龙化成</x:v>
      </x:c>
      <x:c r="C565" s="11" t="str">
        <x:v>半年</x:v>
      </x:c>
      <x:c r="D565" s="11" t="str">
        <x:v>悲观</x:v>
      </x:c>
      <x:c r="E565" s="11" t="n">
        <x:v>30.6</x:v>
      </x:c>
      <x:c r="F565" s="11" t="n">
        <x:v>14.25741935483871</x:v>
      </x:c>
      <x:c r="G565" s="11" t="n">
        <x:v>0</x:v>
      </x:c>
      <x:c r="H565" s="25" t="n">
        <x:v>-0.5340712629137676</x:v>
      </x:c>
      <x:c r="I565" s="25" t="n">
        <x:v>-0.5340712629137676</x:v>
      </x:c>
      <x:c r="J565" s="25" t="str"/>
      <x:c r="K565" s="11" t="n">
        <x:v>0.6480645161290323</x:v>
      </x:c>
      <x:c r="L565" s="11" t="n">
        <x:v>20</x:v>
      </x:c>
      <x:c r="M565" s="11" t="n">
        <x:v>1.1</x:v>
      </x:c>
      <x:c r="N565" s="11" t="n">
        <x:v>0</x:v>
      </x:c>
      <x:c r="O565" s="11" t="n">
        <x:v>17</x:v>
      </x:c>
      <x:c r="P565" s="11" t="n">
        <x:v>0.07090588235294118</x:v>
      </x:c>
      <x:c r="Q565" s="11" t="n">
        <x:v>1.86</x:v>
      </x:c>
      <x:c r="R565" s="11" t="str">
        <x:v>pharmaron-v1-segment-normal-profit-cashroll-CBchoice</x:v>
      </x:c>
      <x:c r="S565" s="11" t="str">
        <x:v>2026-10-10</x:v>
      </x:c>
      <x:c r="T565" s="11" t="str">
        <x:f>IF(AND(SUM(IF(K565='假设'!E752,0,1),IF(L565='假设'!F752,0,1),IF(M565='假设'!G752,0,1),IF(N565='假设'!H752,0,1),IF(O565='假设'!I752,0,1),IF(P565='假设'!J752,0,1),IF(Q565='假设'!K752,0,1))=0,U565=V565),"已刷新","待刷新")</x:f>
        <x:v>已刷新</x:v>
      </x:c>
      <x:c r="U565" t="str"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  <x:c r="V565" t="str">
        <x:f>'转债资金假设'!C8&amp;"|"&amp;'转债资金假设'!D8&amp;"|"&amp;'转债资金假设'!E8&amp;"|"&amp;'转债资金假设'!F8&amp;"|"&amp;'转债资金假设'!G8&amp;"|"&amp;'转债资金假设'!H8&amp;"|"&amp;'转债资金假设'!I8&amp;"|"&amp;'转债资金假设'!J8&amp;"|"&amp;'转债资金假设'!K8&amp;"|"&amp;'转债资金假设'!L8&amp;"|"&amp;'转债资金假设'!M8&amp;"|"&amp;'转债资金假设'!N8&amp;"|"&amp;'转债资金假设'!O8&amp;"|"&amp;'转债资金假设'!P8&amp;"|"&amp;'转债资金假设'!Q8&amp;"|"&amp;'年度分部假设'!D8&amp;"|"&amp;'年度分部假设'!E8&amp;"|"&amp;'年度分部假设'!F8&amp;"|"&amp;'年度分部假设'!G8&amp;"|"&amp;'年度分部假设'!H8&amp;"|"&amp;'年度分部假设'!I8&amp;"|"&amp;'年度分部假设'!J8&amp;"|"&amp;'年度分部假设'!K8&amp;"|"&amp;'年度分部假设'!L8&amp;"|"&amp;'年度分部假设'!M8&amp;"|"&amp;'年度分部假设'!N8&amp;"|"&amp;'年度分部假设'!O8&amp;"|"&amp;'年度分部假设'!P8&amp;"|"&amp;'年度分部假设'!Q8&amp;"|"&amp;'年度分部假设'!R8&amp;"|"&amp;'年度分部假设'!S8&amp;"|"&amp;'年度分部假设'!T8&amp;"|"&amp;'年度分部假设'!U8&amp;"|"&amp;'年度分部假设'!V8&amp;"|"&amp;'年度分部假设'!W8&amp;"|"&amp;'年度分部假设'!X8&amp;"|"&amp;'年度分部假设'!Y8&amp;"|"&amp;'年度分部假设'!D12&amp;"|"&amp;'年度分部假设'!E12&amp;"|"&amp;'年度分部假设'!F12&amp;"|"&amp;'年度分部假设'!G12&amp;"|"&amp;'年度分部假设'!H12&amp;"|"&amp;'年度分部假设'!I12&amp;"|"&amp;'年度分部假设'!J12&amp;"|"&amp;'年度分部假设'!K12&amp;"|"&amp;'年度分部假设'!L12&amp;"|"&amp;'年度分部假设'!M12&amp;"|"&amp;'年度分部假设'!N12&amp;"|"&amp;'年度分部假设'!O12&amp;"|"&amp;'年度分部假设'!P12&amp;"|"&amp;'年度分部假设'!Q12&amp;"|"&amp;'年度分部假设'!R12&amp;"|"&amp;'年度分部假设'!S12&amp;"|"&amp;'年度分部假设'!T12&amp;"|"&amp;'年度分部假设'!U12&amp;"|"&amp;'年度分部假设'!V12&amp;"|"&amp;'年度分部假设'!W12&amp;"|"&amp;'年度分部假设'!X12&amp;"|"&amp;'年度分部假设'!Y12&amp;"|"&amp;'年度分部假设'!D16&amp;"|"&amp;'年度分部假设'!E16&amp;"|"&amp;'年度分部假设'!F16&amp;"|"&amp;'年度分部假设'!G16&amp;"|"&amp;'年度分部假设'!H16&amp;"|"&amp;'年度分部假设'!I16&amp;"|"&amp;'年度分部假设'!J16&amp;"|"&amp;'年度分部假设'!K16&amp;"|"&amp;'年度分部假设'!L16&amp;"|"&amp;'年度分部假设'!M16&amp;"|"&amp;'年度分部假设'!N16&amp;"|"&amp;'年度分部假设'!O16&amp;"|"&amp;'年度分部假设'!P16&amp;"|"&amp;'年度分部假设'!Q16&amp;"|"&amp;'年度分部假设'!R16&amp;"|"&amp;'年度分部假设'!S16&amp;"|"&amp;'年度分部假设'!T16&amp;"|"&amp;'年度分部假设'!U16&amp;"|"&amp;'年度分部假设'!V16&amp;"|"&amp;'年度分部假设'!W16&amp;"|"&amp;'年度分部假设'!X16&amp;"|"&amp;'年度分部假设'!Y16&amp;"|"&amp;'年度分部假设'!D20&amp;"|"&amp;'年度分部假设'!E20&amp;"|"&amp;'年度分部假设'!F20&amp;"|"&amp;'年度分部假设'!G20&amp;"|"&amp;'年度分部假设'!H20&amp;"|"&amp;'年度分部假设'!I20&amp;"|"&amp;'年度分部假设'!J20&amp;"|"&amp;'年度分部假设'!K20&amp;"|"&amp;'年度分部假设'!L20&amp;"|"&amp;'年度分部假设'!M20&amp;"|"&amp;'年度分部假设'!N20&amp;"|"&amp;'年度分部假设'!O20&amp;"|"&amp;'年度分部假设'!P20&amp;"|"&amp;'年度分部假设'!Q20&amp;"|"&amp;'年度分部假设'!R20&amp;"|"&amp;'年度分部假设'!S20&amp;"|"&amp;'年度分部假设'!T20&amp;"|"&amp;'年度分部假设'!U20&amp;"|"&amp;'年度分部假设'!V20&amp;"|"&amp;'年度分部假设'!W20&amp;"|"&amp;'年度分部假设'!X20&amp;"|"&amp;'年度分部假设'!Y20&amp;"|"&amp;'年度分部假设'!D24&amp;"|"&amp;'年度分部假设'!E24&amp;"|"&amp;'年度分部假设'!F24&amp;"|"&amp;'年度分部假设'!G24&amp;"|"&amp;'年度分部假设'!H24&amp;"|"&amp;'年度分部假设'!I24&amp;"|"&amp;'年度分部假设'!J24&amp;"|"&amp;'年度分部假设'!K24&amp;"|"&amp;'年度分部假设'!L24&amp;"|"&amp;'年度分部假设'!M24&amp;"|"&amp;'年度分部假设'!N24&amp;"|"&amp;'年度分部假设'!O24&amp;"|"&amp;'年度分部假设'!P24&amp;"|"&amp;'年度分部假设'!Q24&amp;"|"&amp;'年度分部假设'!R24&amp;"|"&amp;'年度分部假设'!S24&amp;"|"&amp;'年度分部假设'!T24&amp;"|"&amp;'年度分部假设'!U24&amp;"|"&amp;'年度分部假设'!V24&amp;"|"&amp;'年度分部假设'!W24&amp;"|"&amp;'年度分部假设'!X24&amp;"|"&amp;'年度分部假设'!Y24&amp;"|"&amp;'年度分部假设'!D28&amp;"|"&amp;'年度分部假设'!E28&amp;"|"&amp;'年度分部假设'!F28&amp;"|"&amp;'年度分部假设'!G28&amp;"|"&amp;'年度分部假设'!H28&amp;"|"&amp;'年度分部假设'!I28&amp;"|"&amp;'年度分部假设'!J28&amp;"|"&amp;'年度分部假设'!K28&amp;"|"&amp;'年度分部假设'!L28&amp;"|"&amp;'年度分部假设'!M28&amp;"|"&amp;'年度分部假设'!N28&amp;"|"&amp;'年度分部假设'!O28&amp;"|"&amp;'年度分部假设'!P28&amp;"|"&amp;'年度分部假设'!Q28&amp;"|"&amp;'年度分部假设'!R28&amp;"|"&amp;'年度分部假设'!S28&amp;"|"&amp;'年度分部假设'!T28&amp;"|"&amp;'年度分部假设'!U28&amp;"|"&amp;'年度分部假设'!V28&amp;"|"&amp;'年度分部假设'!W28&amp;"|"&amp;'年度分部假设'!X28&amp;"|"&amp;'年度分部假设'!Y28&amp;"|"&amp;'年度分部假设'!D32&amp;"|"&amp;'年度分部假设'!E32&amp;"|"&amp;'年度分部假设'!F32&amp;"|"&amp;'年度分部假设'!G32&amp;"|"&amp;'年度分部假设'!H32&amp;"|"&amp;'年度分部假设'!I32&amp;"|"&amp;'年度分部假设'!J32&amp;"|"&amp;'年度分部假设'!K32&amp;"|"&amp;'年度分部假设'!L32&amp;"|"&amp;'年度分部假设'!M32&amp;"|"&amp;'年度分部假设'!N32&amp;"|"&amp;'年度分部假设'!O32&amp;"|"&amp;'年度分部假设'!P32&amp;"|"&amp;'年度分部假设'!Q32&amp;"|"&amp;'年度分部假设'!R32&amp;"|"&amp;'年度分部假设'!S32&amp;"|"&amp;'年度分部假设'!T32&amp;"|"&amp;'年度分部假设'!U32&amp;"|"&amp;'年度分部假设'!V32&amp;"|"&amp;'年度分部假设'!W32&amp;"|"&amp;'年度分部假设'!X32&amp;"|"&amp;'年度分部假设'!Y32</x:f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</x:row>
    <x:row r="566" ht="23" customHeight="1">
      <x:c r="A566" s="11" t="str">
        <x:v>03759.HK</x:v>
      </x:c>
      <x:c r="B566" s="11" t="str">
        <x:v>康龙化成</x:v>
      </x:c>
      <x:c r="C566" s="11" t="str">
        <x:v>半年</x:v>
      </x:c>
      <x:c r="D566" s="11" t="str">
        <x:v>基准</x:v>
      </x:c>
      <x:c r="E566" s="11" t="n">
        <x:v>30.6</x:v>
      </x:c>
      <x:c r="F566" s="11" t="n">
        <x:v>41.43820393010487</x:v>
      </x:c>
      <x:c r="G566" s="11" t="n">
        <x:v>0</x:v>
      </x:c>
      <x:c r="H566" s="25" t="n">
        <x:v>0.35418967091845976</x:v>
      </x:c>
      <x:c r="I566" s="25" t="n">
        <x:v>0.35418967091845976</x:v>
      </x:c>
      <x:c r="J566" s="25" t="str"/>
      <x:c r="K566" s="11" t="n">
        <x:v>1.2557031493971171</x:v>
      </x:c>
      <x:c r="L566" s="11" t="n">
        <x:v>30</x:v>
      </x:c>
      <x:c r="M566" s="11" t="n">
        <x:v>1.1</x:v>
      </x:c>
      <x:c r="N566" s="11" t="n">
        <x:v>0</x:v>
      </x:c>
      <x:c r="O566" s="11" t="n">
        <x:v>20.05</x:v>
      </x:c>
      <x:c r="P566" s="11" t="n">
        <x:v>0.1202768578553616</x:v>
      </x:c>
      <x:c r="Q566" s="11" t="n">
        <x:v>1.920478579</x:v>
      </x:c>
      <x:c r="R566" s="11" t="str">
        <x:v>pharmaron-v1-segment-normal-profit-cashroll-CBchoice</x:v>
      </x:c>
      <x:c r="S566" s="11" t="str">
        <x:v>2026-10-10</x:v>
      </x:c>
      <x:c r="T566" s="11" t="str">
        <x:f>IF(AND(SUM(IF(K566='假设'!E753,0,1),IF(L566='假设'!F753,0,1),IF(M566='假设'!G753,0,1),IF(N566='假设'!H753,0,1),IF(O566='假设'!I753,0,1),IF(P566='假设'!J753,0,1),IF(Q566='假设'!K753,0,1))=0,U566=V566),"已刷新","待刷新")</x:f>
        <x:v>待刷新</x:v>
      </x:c>
      <x:c r="U566" t="str">
        <x:v>2.7038960000000003|6.474413|2.1994012091898427|2.18|0.070478579|1|1.084645|0.102838|1.368324|0.36859200000000003|0.364962|0.1|0.2|0.02|0.1|10|4.3|2.38|0.418|0.288|0.108|0.375|2.1|0.645|0.05|0.07|0.23|0.22|0.05|1.845|1.45|3|0.9|0.5|0.08|0.24|0|11.65|5.65|2.73|0.42|0.31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  <x:c r="V566" t="str">
        <x:f>'转债资金假设'!C9&amp;"|"&amp;'转债资金假设'!D9&amp;"|"&amp;'转债资金假设'!E9&amp;"|"&amp;'转债资金假设'!F9&amp;"|"&amp;'转债资金假设'!G9&amp;"|"&amp;'转债资金假设'!H9&amp;"|"&amp;'转债资金假设'!I9&amp;"|"&amp;'转债资金假设'!J9&amp;"|"&amp;'转债资金假设'!K9&amp;"|"&amp;'转债资金假设'!L9&amp;"|"&amp;'转债资金假设'!M9&amp;"|"&amp;'转债资金假设'!N9&amp;"|"&amp;'转债资金假设'!O9&amp;"|"&amp;'转债资金假设'!P9&amp;"|"&amp;'转债资金假设'!Q9&amp;"|"&amp;'年度分部假设'!D9&amp;"|"&amp;'年度分部假设'!E9&amp;"|"&amp;'年度分部假设'!F9&amp;"|"&amp;'年度分部假设'!G9&amp;"|"&amp;'年度分部假设'!H9&amp;"|"&amp;'年度分部假设'!I9&amp;"|"&amp;'年度分部假设'!J9&amp;"|"&amp;'年度分部假设'!K9&amp;"|"&amp;'年度分部假设'!L9&amp;"|"&amp;'年度分部假设'!M9&amp;"|"&amp;'年度分部假设'!N9&amp;"|"&amp;'年度分部假设'!O9&amp;"|"&amp;'年度分部假设'!P9&amp;"|"&amp;'年度分部假设'!Q9&amp;"|"&amp;'年度分部假设'!R9&amp;"|"&amp;'年度分部假设'!S9&amp;"|"&amp;'年度分部假设'!T9&amp;"|"&amp;'年度分部假设'!U9&amp;"|"&amp;'年度分部假设'!V9&amp;"|"&amp;'年度分部假设'!W9&amp;"|"&amp;'年度分部假设'!X9&amp;"|"&amp;'年度分部假设'!Y9&amp;"|"&amp;'年度分部假设'!D13&amp;"|"&amp;'年度分部假设'!E13&amp;"|"&amp;'年度分部假设'!F13&amp;"|"&amp;'年度分部假设'!G13&amp;"|"&amp;'年度分部假设'!H13&amp;"|"&amp;'年度分部假设'!I13&amp;"|"&amp;'年度分部假设'!J13&amp;"|"&amp;'年度分部假设'!K13&amp;"|"&amp;'年度分部假设'!L13&amp;"|"&amp;'年度分部假设'!M13&amp;"|"&amp;'年度分部假设'!N13&amp;"|"&amp;'年度分部假设'!O13&amp;"|"&amp;'年度分部假设'!P13&amp;"|"&amp;'年度分部假设'!Q13&amp;"|"&amp;'年度分部假设'!R13&amp;"|"&amp;'年度分部假设'!S13&amp;"|"&amp;'年度分部假设'!T13&amp;"|"&amp;'年度分部假设'!U13&amp;"|"&amp;'年度分部假设'!V13&amp;"|"&amp;'年度分部假设'!W13&amp;"|"&amp;'年度分部假设'!X13&amp;"|"&amp;'年度分部假设'!Y13&amp;"|"&amp;'年度分部假设'!D17&amp;"|"&amp;'年度分部假设'!E17&amp;"|"&amp;'年度分部假设'!F17&amp;"|"&amp;'年度分部假设'!G17&amp;"|"&amp;'年度分部假设'!H17&amp;"|"&amp;'年度分部假设'!I17&amp;"|"&amp;'年度分部假设'!J17&amp;"|"&amp;'年度分部假设'!K17&amp;"|"&amp;'年度分部假设'!L17&amp;"|"&amp;'年度分部假设'!M17&amp;"|"&amp;'年度分部假设'!N17&amp;"|"&amp;'年度分部假设'!O17&amp;"|"&amp;'年度分部假设'!P17&amp;"|"&amp;'年度分部假设'!Q17&amp;"|"&amp;'年度分部假设'!R17&amp;"|"&amp;'年度分部假设'!S17&amp;"|"&amp;'年度分部假设'!T17&amp;"|"&amp;'年度分部假设'!U17&amp;"|"&amp;'年度分部假设'!V17&amp;"|"&amp;'年度分部假设'!W17&amp;"|"&amp;'年度分部假设'!X17&amp;"|"&amp;'年度分部假设'!Y17&amp;"|"&amp;'年度分部假设'!D21&amp;"|"&amp;'年度分部假设'!E21&amp;"|"&amp;'年度分部假设'!F21&amp;"|"&amp;'年度分部假设'!G21&amp;"|"&amp;'年度分部假设'!H21&amp;"|"&amp;'年度分部假设'!I21&amp;"|"&amp;'年度分部假设'!J21&amp;"|"&amp;'年度分部假设'!K21&amp;"|"&amp;'年度分部假设'!L21&amp;"|"&amp;'年度分部假设'!M21&amp;"|"&amp;'年度分部假设'!N21&amp;"|"&amp;'年度分部假设'!O21&amp;"|"&amp;'年度分部假设'!P21&amp;"|"&amp;'年度分部假设'!Q21&amp;"|"&amp;'年度分部假设'!R21&amp;"|"&amp;'年度分部假设'!S21&amp;"|"&amp;'年度分部假设'!T21&amp;"|"&amp;'年度分部假设'!U21&amp;"|"&amp;'年度分部假设'!V21&amp;"|"&amp;'年度分部假设'!W21&amp;"|"&amp;'年度分部假设'!X21&amp;"|"&amp;'年度分部假设'!Y21&amp;"|"&amp;'年度分部假设'!D25&amp;"|"&amp;'年度分部假设'!E25&amp;"|"&amp;'年度分部假设'!F25&amp;"|"&amp;'年度分部假设'!G25&amp;"|"&amp;'年度分部假设'!H25&amp;"|"&amp;'年度分部假设'!I25&amp;"|"&amp;'年度分部假设'!J25&amp;"|"&amp;'年度分部假设'!K25&amp;"|"&amp;'年度分部假设'!L25&amp;"|"&amp;'年度分部假设'!M25&amp;"|"&amp;'年度分部假设'!N25&amp;"|"&amp;'年度分部假设'!O25&amp;"|"&amp;'年度分部假设'!P25&amp;"|"&amp;'年度分部假设'!Q25&amp;"|"&amp;'年度分部假设'!R25&amp;"|"&amp;'年度分部假设'!S25&amp;"|"&amp;'年度分部假设'!T25&amp;"|"&amp;'年度分部假设'!U25&amp;"|"&amp;'年度分部假设'!V25&amp;"|"&amp;'年度分部假设'!W25&amp;"|"&amp;'年度分部假设'!X25&amp;"|"&amp;'年度分部假设'!Y25&amp;"|"&amp;'年度分部假设'!D29&amp;"|"&amp;'年度分部假设'!E29&amp;"|"&amp;'年度分部假设'!F29&amp;"|"&amp;'年度分部假设'!G29&amp;"|"&amp;'年度分部假设'!H29&amp;"|"&amp;'年度分部假设'!I29&amp;"|"&amp;'年度分部假设'!J29&amp;"|"&amp;'年度分部假设'!K29&amp;"|"&amp;'年度分部假设'!L29&amp;"|"&amp;'年度分部假设'!M29&amp;"|"&amp;'年度分部假设'!N29&amp;"|"&amp;'年度分部假设'!O29&amp;"|"&amp;'年度分部假设'!P29&amp;"|"&amp;'年度分部假设'!Q29&amp;"|"&amp;'年度分部假设'!R29&amp;"|"&amp;'年度分部假设'!S29&amp;"|"&amp;'年度分部假设'!T29&amp;"|"&amp;'年度分部假设'!U29&amp;"|"&amp;'年度分部假设'!V29&amp;"|"&amp;'年度分部假设'!W29&amp;"|"&amp;'年度分部假设'!X29&amp;"|"&amp;'年度分部假设'!Y29&amp;"|"&amp;'年度分部假设'!D33&amp;"|"&amp;'年度分部假设'!E33&amp;"|"&amp;'年度分部假设'!F33&amp;"|"&amp;'年度分部假设'!G33&amp;"|"&amp;'年度分部假设'!H33&amp;"|"&amp;'年度分部假设'!I33&amp;"|"&amp;'年度分部假设'!J33&amp;"|"&amp;'年度分部假设'!K33&amp;"|"&amp;'年度分部假设'!L33&amp;"|"&amp;'年度分部假设'!M33&amp;"|"&amp;'年度分部假设'!N33&amp;"|"&amp;'年度分部假设'!O33&amp;"|"&amp;'年度分部假设'!P33&amp;"|"&amp;'年度分部假设'!Q33&amp;"|"&amp;'年度分部假设'!R33&amp;"|"&amp;'年度分部假设'!S33&amp;"|"&amp;'年度分部假设'!T33&amp;"|"&amp;'年度分部假设'!U33&amp;"|"&amp;'年度分部假设'!V33&amp;"|"&amp;'年度分部假设'!W33&amp;"|"&amp;'年度分部假设'!X33&amp;"|"&amp;'年度分部假设'!Y33</x:f>
        <x:v>2.7038960000000003|6.474413|2.1994012091898427|2.18|0.070478579|0|1.084645|0.102838|1.368324|0.36859200000000003|0.364962|0.1|0.2|0.02|0.1|10|4.3|2.38|0.418|0.288|0.108|0.375|2.1|0.645|0.05|0.07|0.23|0.22|0.05|1.845|1.45|3|0.9|0.5|0.08|0.24|0|11.65|5.65|2.73|0.42|0.32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</x:row>
    <x:row r="567" ht="23" customHeight="1">
      <x:c r="A567" s="11" t="str">
        <x:v>03759.HK</x:v>
      </x:c>
      <x:c r="B567" s="11" t="str">
        <x:v>康龙化成</x:v>
      </x:c>
      <x:c r="C567" s="11" t="str">
        <x:v>半年</x:v>
      </x:c>
      <x:c r="D567" s="11" t="str">
        <x:v>乐观</x:v>
      </x:c>
      <x:c r="E567" s="11" t="n">
        <x:v>30.6</x:v>
      </x:c>
      <x:c r="F567" s="11" t="n">
        <x:v>70.31372360857767</x:v>
      </x:c>
      <x:c r="G567" s="11" t="n">
        <x:v>0</x:v>
      </x:c>
      <x:c r="H567" s="25" t="n">
        <x:v>1.2978341048554793</x:v>
      </x:c>
      <x:c r="I567" s="25" t="n">
        <x:v>1.2978341048554793</x:v>
      </x:c>
      <x:c r="J567" s="25" t="str"/>
      <x:c r="K567" s="11" t="n">
        <x:v>1.7755990810246884</x:v>
      </x:c>
      <x:c r="L567" s="11" t="n">
        <x:v>36</x:v>
      </x:c>
      <x:c r="M567" s="11" t="n">
        <x:v>1.1</x:v>
      </x:c>
      <x:c r="N567" s="11" t="n">
        <x:v>0</x:v>
      </x:c>
      <x:c r="O567" s="11" t="n">
        <x:v>21.54</x:v>
      </x:c>
      <x:c r="P567" s="11" t="n">
        <x:v>0.1583101207056639</x:v>
      </x:c>
      <x:c r="Q567" s="11" t="n">
        <x:v>1.920478579</x:v>
      </x:c>
      <x:c r="R567" s="11" t="str">
        <x:v>pharmaron-v1-segment-normal-profit-cashroll-CBchoice</x:v>
      </x:c>
      <x:c r="S567" s="11" t="str">
        <x:v>2026-10-10</x:v>
      </x:c>
      <x:c r="T567" s="11" t="str">
        <x:f>IF(AND(SUM(IF(K567='假设'!E754,0,1),IF(L567='假设'!F754,0,1),IF(M567='假设'!G754,0,1),IF(N567='假设'!H754,0,1),IF(O567='假设'!I754,0,1),IF(P567='假设'!J754,0,1),IF(Q567='假设'!K754,0,1))=0,U567=V567),"已刷新","待刷新")</x:f>
        <x:v>已刷新</x:v>
      </x:c>
      <x:c r="U567" t="str"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  <x:c r="V567" t="str">
        <x:f>'转债资金假设'!C10&amp;"|"&amp;'转债资金假设'!D10&amp;"|"&amp;'转债资金假设'!E10&amp;"|"&amp;'转债资金假设'!F10&amp;"|"&amp;'转债资金假设'!G10&amp;"|"&amp;'转债资金假设'!H10&amp;"|"&amp;'转债资金假设'!I10&amp;"|"&amp;'转债资金假设'!J10&amp;"|"&amp;'转债资金假设'!K10&amp;"|"&amp;'转债资金假设'!L10&amp;"|"&amp;'转债资金假设'!M10&amp;"|"&amp;'转债资金假设'!N10&amp;"|"&amp;'转债资金假设'!O10&amp;"|"&amp;'转债资金假设'!P10&amp;"|"&amp;'转债资金假设'!Q10&amp;"|"&amp;'年度分部假设'!D10&amp;"|"&amp;'年度分部假设'!E10&amp;"|"&amp;'年度分部假设'!F10&amp;"|"&amp;'年度分部假设'!G10&amp;"|"&amp;'年度分部假设'!H10&amp;"|"&amp;'年度分部假设'!I10&amp;"|"&amp;'年度分部假设'!J10&amp;"|"&amp;'年度分部假设'!K10&amp;"|"&amp;'年度分部假设'!L10&amp;"|"&amp;'年度分部假设'!M10&amp;"|"&amp;'年度分部假设'!N10&amp;"|"&amp;'年度分部假设'!O10&amp;"|"&amp;'年度分部假设'!P10&amp;"|"&amp;'年度分部假设'!Q10&amp;"|"&amp;'年度分部假设'!R10&amp;"|"&amp;'年度分部假设'!S10&amp;"|"&amp;'年度分部假设'!T10&amp;"|"&amp;'年度分部假设'!U10&amp;"|"&amp;'年度分部假设'!V10&amp;"|"&amp;'年度分部假设'!W10&amp;"|"&amp;'年度分部假设'!X10&amp;"|"&amp;'年度分部假设'!Y10&amp;"|"&amp;'年度分部假设'!D14&amp;"|"&amp;'年度分部假设'!E14&amp;"|"&amp;'年度分部假设'!F14&amp;"|"&amp;'年度分部假设'!G14&amp;"|"&amp;'年度分部假设'!H14&amp;"|"&amp;'年度分部假设'!I14&amp;"|"&amp;'年度分部假设'!J14&amp;"|"&amp;'年度分部假设'!K14&amp;"|"&amp;'年度分部假设'!L14&amp;"|"&amp;'年度分部假设'!M14&amp;"|"&amp;'年度分部假设'!N14&amp;"|"&amp;'年度分部假设'!O14&amp;"|"&amp;'年度分部假设'!P14&amp;"|"&amp;'年度分部假设'!Q14&amp;"|"&amp;'年度分部假设'!R14&amp;"|"&amp;'年度分部假设'!S14&amp;"|"&amp;'年度分部假设'!T14&amp;"|"&amp;'年度分部假设'!U14&amp;"|"&amp;'年度分部假设'!V14&amp;"|"&amp;'年度分部假设'!W14&amp;"|"&amp;'年度分部假设'!X14&amp;"|"&amp;'年度分部假设'!Y14&amp;"|"&amp;'年度分部假设'!D18&amp;"|"&amp;'年度分部假设'!E18&amp;"|"&amp;'年度分部假设'!F18&amp;"|"&amp;'年度分部假设'!G18&amp;"|"&amp;'年度分部假设'!H18&amp;"|"&amp;'年度分部假设'!I18&amp;"|"&amp;'年度分部假设'!J18&amp;"|"&amp;'年度分部假设'!K18&amp;"|"&amp;'年度分部假设'!L18&amp;"|"&amp;'年度分部假设'!M18&amp;"|"&amp;'年度分部假设'!N18&amp;"|"&amp;'年度分部假设'!O18&amp;"|"&amp;'年度分部假设'!P18&amp;"|"&amp;'年度分部假设'!Q18&amp;"|"&amp;'年度分部假设'!R18&amp;"|"&amp;'年度分部假设'!S18&amp;"|"&amp;'年度分部假设'!T18&amp;"|"&amp;'年度分部假设'!U18&amp;"|"&amp;'年度分部假设'!V18&amp;"|"&amp;'年度分部假设'!W18&amp;"|"&amp;'年度分部假设'!X18&amp;"|"&amp;'年度分部假设'!Y18&amp;"|"&amp;'年度分部假设'!D22&amp;"|"&amp;'年度分部假设'!E22&amp;"|"&amp;'年度分部假设'!F22&amp;"|"&amp;'年度分部假设'!G22&amp;"|"&amp;'年度分部假设'!H22&amp;"|"&amp;'年度分部假设'!I22&amp;"|"&amp;'年度分部假设'!J22&amp;"|"&amp;'年度分部假设'!K22&amp;"|"&amp;'年度分部假设'!L22&amp;"|"&amp;'年度分部假设'!M22&amp;"|"&amp;'年度分部假设'!N22&amp;"|"&amp;'年度分部假设'!O22&amp;"|"&amp;'年度分部假设'!P22&amp;"|"&amp;'年度分部假设'!Q22&amp;"|"&amp;'年度分部假设'!R22&amp;"|"&amp;'年度分部假设'!S22&amp;"|"&amp;'年度分部假设'!T22&amp;"|"&amp;'年度分部假设'!U22&amp;"|"&amp;'年度分部假设'!V22&amp;"|"&amp;'年度分部假设'!W22&amp;"|"&amp;'年度分部假设'!X22&amp;"|"&amp;'年度分部假设'!Y22&amp;"|"&amp;'年度分部假设'!D26&amp;"|"&amp;'年度分部假设'!E26&amp;"|"&amp;'年度分部假设'!F26&amp;"|"&amp;'年度分部假设'!G26&amp;"|"&amp;'年度分部假设'!H26&amp;"|"&amp;'年度分部假设'!I26&amp;"|"&amp;'年度分部假设'!J26&amp;"|"&amp;'年度分部假设'!K26&amp;"|"&amp;'年度分部假设'!L26&amp;"|"&amp;'年度分部假设'!M26&amp;"|"&amp;'年度分部假设'!N26&amp;"|"&amp;'年度分部假设'!O26&amp;"|"&amp;'年度分部假设'!P26&amp;"|"&amp;'年度分部假设'!Q26&amp;"|"&amp;'年度分部假设'!R26&amp;"|"&amp;'年度分部假设'!S26&amp;"|"&amp;'年度分部假设'!T26&amp;"|"&amp;'年度分部假设'!U26&amp;"|"&amp;'年度分部假设'!V26&amp;"|"&amp;'年度分部假设'!W26&amp;"|"&amp;'年度分部假设'!X26&amp;"|"&amp;'年度分部假设'!Y26&amp;"|"&amp;'年度分部假设'!D30&amp;"|"&amp;'年度分部假设'!E30&amp;"|"&amp;'年度分部假设'!F30&amp;"|"&amp;'年度分部假设'!G30&amp;"|"&amp;'年度分部假设'!H30&amp;"|"&amp;'年度分部假设'!I30&amp;"|"&amp;'年度分部假设'!J30&amp;"|"&amp;'年度分部假设'!K30&amp;"|"&amp;'年度分部假设'!L30&amp;"|"&amp;'年度分部假设'!M30&amp;"|"&amp;'年度分部假设'!N30&amp;"|"&amp;'年度分部假设'!O30&amp;"|"&amp;'年度分部假设'!P30&amp;"|"&amp;'年度分部假设'!Q30&amp;"|"&amp;'年度分部假设'!R30&amp;"|"&amp;'年度分部假设'!S30&amp;"|"&amp;'年度分部假设'!T30&amp;"|"&amp;'年度分部假设'!U30&amp;"|"&amp;'年度分部假设'!V30&amp;"|"&amp;'年度分部假设'!W30&amp;"|"&amp;'年度分部假设'!X30&amp;"|"&amp;'年度分部假设'!Y30&amp;"|"&amp;'年度分部假设'!D34&amp;"|"&amp;'年度分部假设'!E34&amp;"|"&amp;'年度分部假设'!F34&amp;"|"&amp;'年度分部假设'!G34&amp;"|"&amp;'年度分部假设'!H34&amp;"|"&amp;'年度分部假设'!I34&amp;"|"&amp;'年度分部假设'!J34&amp;"|"&amp;'年度分部假设'!K34&amp;"|"&amp;'年度分部假设'!L34&amp;"|"&amp;'年度分部假设'!M34&amp;"|"&amp;'年度分部假设'!N34&amp;"|"&amp;'年度分部假设'!O34&amp;"|"&amp;'年度分部假设'!P34&amp;"|"&amp;'年度分部假设'!Q34&amp;"|"&amp;'年度分部假设'!R34&amp;"|"&amp;'年度分部假设'!S34&amp;"|"&amp;'年度分部假设'!T34&amp;"|"&amp;'年度分部假设'!U34&amp;"|"&amp;'年度分部假设'!V34&amp;"|"&amp;'年度分部假设'!W34&amp;"|"&amp;'年度分部假设'!X34&amp;"|"&amp;'年度分部假设'!Y34</x:f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</x:row>
    <x:row r="568" ht="23" customHeight="1">
      <x:c r="A568" s="11" t="str">
        <x:v>03759.HK</x:v>
      </x:c>
      <x:c r="B568" s="11" t="str">
        <x:v>康龙化成</x:v>
      </x:c>
      <x:c r="C568" s="11" t="str">
        <x:v>一年</x:v>
      </x:c>
      <x:c r="D568" s="11" t="str">
        <x:v>悲观</x:v>
      </x:c>
      <x:c r="E568" s="11" t="n">
        <x:v>30.6</x:v>
      </x:c>
      <x:c r="F568" s="11" t="n">
        <x:v>13.808936842105274</x:v>
      </x:c>
      <x:c r="G568" s="11" t="n">
        <x:v>0.132</x:v>
      </x:c>
      <x:c r="H568" s="25" t="n">
        <x:v>-0.5487275541795662</x:v>
      </x:c>
      <x:c r="I568" s="25" t="n">
        <x:v>-0.5444138286893702</x:v>
      </x:c>
      <x:c r="J568" s="25" t="str"/>
      <x:c r="K568" s="11" t="n">
        <x:v>0.6974210526315789</x:v>
      </x:c>
      <x:c r="L568" s="11" t="n">
        <x:v>18</x:v>
      </x:c>
      <x:c r="M568" s="11" t="n">
        <x:v>1.1</x:v>
      </x:c>
      <x:c r="N568" s="11" t="n">
        <x:v>0.132</x:v>
      </x:c>
      <x:c r="O568" s="11" t="n">
        <x:v>18.080000000000002</x:v>
      </x:c>
      <x:c r="P568" s="11" t="n">
        <x:v>0.07329092920353981</x:v>
      </x:c>
      <x:c r="Q568" s="11" t="n">
        <x:v>1.9</x:v>
      </x:c>
      <x:c r="R568" s="11" t="str">
        <x:v>pharmaron-v1-segment-normal-profit-cashroll-CBchoice</x:v>
      </x:c>
      <x:c r="S568" s="11" t="str">
        <x:v>2026-10-10</x:v>
      </x:c>
      <x:c r="T568" s="11" t="str">
        <x:f>IF(AND(SUM(IF(K568='假设'!E756,0,1),IF(L568='假设'!F756,0,1),IF(M568='假设'!G756,0,1),IF(N568='假设'!H756,0,1),IF(O568='假设'!I756,0,1),IF(P568='假设'!J756,0,1),IF(Q568='假设'!K756,0,1))=0,U568=V568),"已刷新","待刷新")</x:f>
        <x:v>已刷新</x:v>
      </x:c>
      <x:c r="U568" t="str"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  <x:c r="V568" t="str">
        <x:f>'转债资金假设'!C8&amp;"|"&amp;'转债资金假设'!D8&amp;"|"&amp;'转债资金假设'!E8&amp;"|"&amp;'转债资金假设'!F8&amp;"|"&amp;'转债资金假设'!G8&amp;"|"&amp;'转债资金假设'!H8&amp;"|"&amp;'转债资金假设'!I8&amp;"|"&amp;'转债资金假设'!J8&amp;"|"&amp;'转债资金假设'!K8&amp;"|"&amp;'转债资金假设'!L8&amp;"|"&amp;'转债资金假设'!M8&amp;"|"&amp;'转债资金假设'!N8&amp;"|"&amp;'转债资金假设'!O8&amp;"|"&amp;'转债资金假设'!P8&amp;"|"&amp;'转债资金假设'!Q8&amp;"|"&amp;'年度分部假设'!D8&amp;"|"&amp;'年度分部假设'!E8&amp;"|"&amp;'年度分部假设'!F8&amp;"|"&amp;'年度分部假设'!G8&amp;"|"&amp;'年度分部假设'!H8&amp;"|"&amp;'年度分部假设'!I8&amp;"|"&amp;'年度分部假设'!J8&amp;"|"&amp;'年度分部假设'!K8&amp;"|"&amp;'年度分部假设'!L8&amp;"|"&amp;'年度分部假设'!M8&amp;"|"&amp;'年度分部假设'!N8&amp;"|"&amp;'年度分部假设'!O8&amp;"|"&amp;'年度分部假设'!P8&amp;"|"&amp;'年度分部假设'!Q8&amp;"|"&amp;'年度分部假设'!R8&amp;"|"&amp;'年度分部假设'!S8&amp;"|"&amp;'年度分部假设'!T8&amp;"|"&amp;'年度分部假设'!U8&amp;"|"&amp;'年度分部假设'!V8&amp;"|"&amp;'年度分部假设'!W8&amp;"|"&amp;'年度分部假设'!X8&amp;"|"&amp;'年度分部假设'!Y8&amp;"|"&amp;'年度分部假设'!D12&amp;"|"&amp;'年度分部假设'!E12&amp;"|"&amp;'年度分部假设'!F12&amp;"|"&amp;'年度分部假设'!G12&amp;"|"&amp;'年度分部假设'!H12&amp;"|"&amp;'年度分部假设'!I12&amp;"|"&amp;'年度分部假设'!J12&amp;"|"&amp;'年度分部假设'!K12&amp;"|"&amp;'年度分部假设'!L12&amp;"|"&amp;'年度分部假设'!M12&amp;"|"&amp;'年度分部假设'!N12&amp;"|"&amp;'年度分部假设'!O12&amp;"|"&amp;'年度分部假设'!P12&amp;"|"&amp;'年度分部假设'!Q12&amp;"|"&amp;'年度分部假设'!R12&amp;"|"&amp;'年度分部假设'!S12&amp;"|"&amp;'年度分部假设'!T12&amp;"|"&amp;'年度分部假设'!U12&amp;"|"&amp;'年度分部假设'!V12&amp;"|"&amp;'年度分部假设'!W12&amp;"|"&amp;'年度分部假设'!X12&amp;"|"&amp;'年度分部假设'!Y12&amp;"|"&amp;'年度分部假设'!D16&amp;"|"&amp;'年度分部假设'!E16&amp;"|"&amp;'年度分部假设'!F16&amp;"|"&amp;'年度分部假设'!G16&amp;"|"&amp;'年度分部假设'!H16&amp;"|"&amp;'年度分部假设'!I16&amp;"|"&amp;'年度分部假设'!J16&amp;"|"&amp;'年度分部假设'!K16&amp;"|"&amp;'年度分部假设'!L16&amp;"|"&amp;'年度分部假设'!M16&amp;"|"&amp;'年度分部假设'!N16&amp;"|"&amp;'年度分部假设'!O16&amp;"|"&amp;'年度分部假设'!P16&amp;"|"&amp;'年度分部假设'!Q16&amp;"|"&amp;'年度分部假设'!R16&amp;"|"&amp;'年度分部假设'!S16&amp;"|"&amp;'年度分部假设'!T16&amp;"|"&amp;'年度分部假设'!U16&amp;"|"&amp;'年度分部假设'!V16&amp;"|"&amp;'年度分部假设'!W16&amp;"|"&amp;'年度分部假设'!X16&amp;"|"&amp;'年度分部假设'!Y16&amp;"|"&amp;'年度分部假设'!D20&amp;"|"&amp;'年度分部假设'!E20&amp;"|"&amp;'年度分部假设'!F20&amp;"|"&amp;'年度分部假设'!G20&amp;"|"&amp;'年度分部假设'!H20&amp;"|"&amp;'年度分部假设'!I20&amp;"|"&amp;'年度分部假设'!J20&amp;"|"&amp;'年度分部假设'!K20&amp;"|"&amp;'年度分部假设'!L20&amp;"|"&amp;'年度分部假设'!M20&amp;"|"&amp;'年度分部假设'!N20&amp;"|"&amp;'年度分部假设'!O20&amp;"|"&amp;'年度分部假设'!P20&amp;"|"&amp;'年度分部假设'!Q20&amp;"|"&amp;'年度分部假设'!R20&amp;"|"&amp;'年度分部假设'!S20&amp;"|"&amp;'年度分部假设'!T20&amp;"|"&amp;'年度分部假设'!U20&amp;"|"&amp;'年度分部假设'!V20&amp;"|"&amp;'年度分部假设'!W20&amp;"|"&amp;'年度分部假设'!X20&amp;"|"&amp;'年度分部假设'!Y20&amp;"|"&amp;'年度分部假设'!D24&amp;"|"&amp;'年度分部假设'!E24&amp;"|"&amp;'年度分部假设'!F24&amp;"|"&amp;'年度分部假设'!G24&amp;"|"&amp;'年度分部假设'!H24&amp;"|"&amp;'年度分部假设'!I24&amp;"|"&amp;'年度分部假设'!J24&amp;"|"&amp;'年度分部假设'!K24&amp;"|"&amp;'年度分部假设'!L24&amp;"|"&amp;'年度分部假设'!M24&amp;"|"&amp;'年度分部假设'!N24&amp;"|"&amp;'年度分部假设'!O24&amp;"|"&amp;'年度分部假设'!P24&amp;"|"&amp;'年度分部假设'!Q24&amp;"|"&amp;'年度分部假设'!R24&amp;"|"&amp;'年度分部假设'!S24&amp;"|"&amp;'年度分部假设'!T24&amp;"|"&amp;'年度分部假设'!U24&amp;"|"&amp;'年度分部假设'!V24&amp;"|"&amp;'年度分部假设'!W24&amp;"|"&amp;'年度分部假设'!X24&amp;"|"&amp;'年度分部假设'!Y24&amp;"|"&amp;'年度分部假设'!D28&amp;"|"&amp;'年度分部假设'!E28&amp;"|"&amp;'年度分部假设'!F28&amp;"|"&amp;'年度分部假设'!G28&amp;"|"&amp;'年度分部假设'!H28&amp;"|"&amp;'年度分部假设'!I28&amp;"|"&amp;'年度分部假设'!J28&amp;"|"&amp;'年度分部假设'!K28&amp;"|"&amp;'年度分部假设'!L28&amp;"|"&amp;'年度分部假设'!M28&amp;"|"&amp;'年度分部假设'!N28&amp;"|"&amp;'年度分部假设'!O28&amp;"|"&amp;'年度分部假设'!P28&amp;"|"&amp;'年度分部假设'!Q28&amp;"|"&amp;'年度分部假设'!R28&amp;"|"&amp;'年度分部假设'!S28&amp;"|"&amp;'年度分部假设'!T28&amp;"|"&amp;'年度分部假设'!U28&amp;"|"&amp;'年度分部假设'!V28&amp;"|"&amp;'年度分部假设'!W28&amp;"|"&amp;'年度分部假设'!X28&amp;"|"&amp;'年度分部假设'!Y28&amp;"|"&amp;'年度分部假设'!D32&amp;"|"&amp;'年度分部假设'!E32&amp;"|"&amp;'年度分部假设'!F32&amp;"|"&amp;'年度分部假设'!G32&amp;"|"&amp;'年度分部假设'!H32&amp;"|"&amp;'年度分部假设'!I32&amp;"|"&amp;'年度分部假设'!J32&amp;"|"&amp;'年度分部假设'!K32&amp;"|"&amp;'年度分部假设'!L32&amp;"|"&amp;'年度分部假设'!M32&amp;"|"&amp;'年度分部假设'!N32&amp;"|"&amp;'年度分部假设'!O32&amp;"|"&amp;'年度分部假设'!P32&amp;"|"&amp;'年度分部假设'!Q32&amp;"|"&amp;'年度分部假设'!R32&amp;"|"&amp;'年度分部假设'!S32&amp;"|"&amp;'年度分部假设'!T32&amp;"|"&amp;'年度分部假设'!U32&amp;"|"&amp;'年度分部假设'!V32&amp;"|"&amp;'年度分部假设'!W32&amp;"|"&amp;'年度分部假设'!X32&amp;"|"&amp;'年度分部假设'!Y32</x:f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</x:row>
    <x:row r="569" ht="23" customHeight="1">
      <x:c r="A569" s="11" t="str">
        <x:v>03759.HK</x:v>
      </x:c>
      <x:c r="B569" s="11" t="str">
        <x:v>康龙化成</x:v>
      </x:c>
      <x:c r="C569" s="11" t="str">
        <x:v>一年</x:v>
      </x:c>
      <x:c r="D569" s="11" t="str">
        <x:v>基准</x:v>
      </x:c>
      <x:c r="E569" s="11" t="n">
        <x:v>30.6</x:v>
      </x:c>
      <x:c r="F569" s="11" t="n">
        <x:v>51.121621945886695</x:v>
      </x:c>
      <x:c r="G569" s="11" t="n">
        <x:v>0.264</x:v>
      </x:c>
      <x:c r="H569" s="25" t="n">
        <x:v>0.6706412400616566</x:v>
      </x:c>
      <x:c r="I569" s="25" t="n">
        <x:v>0.6792686910420489</x:v>
      </x:c>
      <x:c r="J569" s="25" t="str"/>
      <x:c r="K569" s="11" t="n">
        <x:v>1.6025586816892379</x:v>
      </x:c>
      <x:c r="L569" s="11" t="n">
        <x:v>29</x:v>
      </x:c>
      <x:c r="M569" s="11" t="n">
        <x:v>1.1</x:v>
      </x:c>
      <x:c r="N569" s="11" t="n">
        <x:v>0.264</x:v>
      </x:c>
      <x:c r="O569" s="11" t="n">
        <x:v>23.470000000000002</x:v>
      </x:c>
      <x:c r="P569" s="11" t="n">
        <x:v>0.13215671069450358</x:v>
      </x:c>
      <x:c r="Q569" s="11" t="n">
        <x:v>1.935478579</x:v>
      </x:c>
      <x:c r="R569" s="11" t="str">
        <x:v>pharmaron-v1-segment-normal-profit-cashroll-CBchoice</x:v>
      </x:c>
      <x:c r="S569" s="11" t="str">
        <x:v>2026-10-10</x:v>
      </x:c>
      <x:c r="T569" s="11" t="str">
        <x:f>IF(AND(SUM(IF(K569='假设'!E757,0,1),IF(L569='假设'!F757,0,1),IF(M569='假设'!G757,0,1),IF(N569='假设'!H757,0,1),IF(O569='假设'!I757,0,1),IF(P569='假设'!J757,0,1),IF(Q569='假设'!K757,0,1))=0,U569=V569),"已刷新","待刷新")</x:f>
        <x:v>待刷新</x:v>
      </x:c>
      <x:c r="U569" t="str">
        <x:v>2.7038960000000003|6.474413|2.1994012091898427|2.18|0.070478579|1|1.084645|0.102838|1.368324|0.36859200000000003|0.364962|0.1|0.2|0.02|0.1|10|4.3|2.38|0.418|0.288|0.108|0.375|2.1|0.645|0.05|0.07|0.23|0.22|0.05|1.845|1.45|3|0.9|0.5|0.08|0.24|0|11.65|5.65|2.73|0.42|0.31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  <x:c r="V569" t="str">
        <x:f>'转债资金假设'!C9&amp;"|"&amp;'转债资金假设'!D9&amp;"|"&amp;'转债资金假设'!E9&amp;"|"&amp;'转债资金假设'!F9&amp;"|"&amp;'转债资金假设'!G9&amp;"|"&amp;'转债资金假设'!H9&amp;"|"&amp;'转债资金假设'!I9&amp;"|"&amp;'转债资金假设'!J9&amp;"|"&amp;'转债资金假设'!K9&amp;"|"&amp;'转债资金假设'!L9&amp;"|"&amp;'转债资金假设'!M9&amp;"|"&amp;'转债资金假设'!N9&amp;"|"&amp;'转债资金假设'!O9&amp;"|"&amp;'转债资金假设'!P9&amp;"|"&amp;'转债资金假设'!Q9&amp;"|"&amp;'年度分部假设'!D9&amp;"|"&amp;'年度分部假设'!E9&amp;"|"&amp;'年度分部假设'!F9&amp;"|"&amp;'年度分部假设'!G9&amp;"|"&amp;'年度分部假设'!H9&amp;"|"&amp;'年度分部假设'!I9&amp;"|"&amp;'年度分部假设'!J9&amp;"|"&amp;'年度分部假设'!K9&amp;"|"&amp;'年度分部假设'!L9&amp;"|"&amp;'年度分部假设'!M9&amp;"|"&amp;'年度分部假设'!N9&amp;"|"&amp;'年度分部假设'!O9&amp;"|"&amp;'年度分部假设'!P9&amp;"|"&amp;'年度分部假设'!Q9&amp;"|"&amp;'年度分部假设'!R9&amp;"|"&amp;'年度分部假设'!S9&amp;"|"&amp;'年度分部假设'!T9&amp;"|"&amp;'年度分部假设'!U9&amp;"|"&amp;'年度分部假设'!V9&amp;"|"&amp;'年度分部假设'!W9&amp;"|"&amp;'年度分部假设'!X9&amp;"|"&amp;'年度分部假设'!Y9&amp;"|"&amp;'年度分部假设'!D13&amp;"|"&amp;'年度分部假设'!E13&amp;"|"&amp;'年度分部假设'!F13&amp;"|"&amp;'年度分部假设'!G13&amp;"|"&amp;'年度分部假设'!H13&amp;"|"&amp;'年度分部假设'!I13&amp;"|"&amp;'年度分部假设'!J13&amp;"|"&amp;'年度分部假设'!K13&amp;"|"&amp;'年度分部假设'!L13&amp;"|"&amp;'年度分部假设'!M13&amp;"|"&amp;'年度分部假设'!N13&amp;"|"&amp;'年度分部假设'!O13&amp;"|"&amp;'年度分部假设'!P13&amp;"|"&amp;'年度分部假设'!Q13&amp;"|"&amp;'年度分部假设'!R13&amp;"|"&amp;'年度分部假设'!S13&amp;"|"&amp;'年度分部假设'!T13&amp;"|"&amp;'年度分部假设'!U13&amp;"|"&amp;'年度分部假设'!V13&amp;"|"&amp;'年度分部假设'!W13&amp;"|"&amp;'年度分部假设'!X13&amp;"|"&amp;'年度分部假设'!Y13&amp;"|"&amp;'年度分部假设'!D17&amp;"|"&amp;'年度分部假设'!E17&amp;"|"&amp;'年度分部假设'!F17&amp;"|"&amp;'年度分部假设'!G17&amp;"|"&amp;'年度分部假设'!H17&amp;"|"&amp;'年度分部假设'!I17&amp;"|"&amp;'年度分部假设'!J17&amp;"|"&amp;'年度分部假设'!K17&amp;"|"&amp;'年度分部假设'!L17&amp;"|"&amp;'年度分部假设'!M17&amp;"|"&amp;'年度分部假设'!N17&amp;"|"&amp;'年度分部假设'!O17&amp;"|"&amp;'年度分部假设'!P17&amp;"|"&amp;'年度分部假设'!Q17&amp;"|"&amp;'年度分部假设'!R17&amp;"|"&amp;'年度分部假设'!S17&amp;"|"&amp;'年度分部假设'!T17&amp;"|"&amp;'年度分部假设'!U17&amp;"|"&amp;'年度分部假设'!V17&amp;"|"&amp;'年度分部假设'!W17&amp;"|"&amp;'年度分部假设'!X17&amp;"|"&amp;'年度分部假设'!Y17&amp;"|"&amp;'年度分部假设'!D21&amp;"|"&amp;'年度分部假设'!E21&amp;"|"&amp;'年度分部假设'!F21&amp;"|"&amp;'年度分部假设'!G21&amp;"|"&amp;'年度分部假设'!H21&amp;"|"&amp;'年度分部假设'!I21&amp;"|"&amp;'年度分部假设'!J21&amp;"|"&amp;'年度分部假设'!K21&amp;"|"&amp;'年度分部假设'!L21&amp;"|"&amp;'年度分部假设'!M21&amp;"|"&amp;'年度分部假设'!N21&amp;"|"&amp;'年度分部假设'!O21&amp;"|"&amp;'年度分部假设'!P21&amp;"|"&amp;'年度分部假设'!Q21&amp;"|"&amp;'年度分部假设'!R21&amp;"|"&amp;'年度分部假设'!S21&amp;"|"&amp;'年度分部假设'!T21&amp;"|"&amp;'年度分部假设'!U21&amp;"|"&amp;'年度分部假设'!V21&amp;"|"&amp;'年度分部假设'!W21&amp;"|"&amp;'年度分部假设'!X21&amp;"|"&amp;'年度分部假设'!Y21&amp;"|"&amp;'年度分部假设'!D25&amp;"|"&amp;'年度分部假设'!E25&amp;"|"&amp;'年度分部假设'!F25&amp;"|"&amp;'年度分部假设'!G25&amp;"|"&amp;'年度分部假设'!H25&amp;"|"&amp;'年度分部假设'!I25&amp;"|"&amp;'年度分部假设'!J25&amp;"|"&amp;'年度分部假设'!K25&amp;"|"&amp;'年度分部假设'!L25&amp;"|"&amp;'年度分部假设'!M25&amp;"|"&amp;'年度分部假设'!N25&amp;"|"&amp;'年度分部假设'!O25&amp;"|"&amp;'年度分部假设'!P25&amp;"|"&amp;'年度分部假设'!Q25&amp;"|"&amp;'年度分部假设'!R25&amp;"|"&amp;'年度分部假设'!S25&amp;"|"&amp;'年度分部假设'!T25&amp;"|"&amp;'年度分部假设'!U25&amp;"|"&amp;'年度分部假设'!V25&amp;"|"&amp;'年度分部假设'!W25&amp;"|"&amp;'年度分部假设'!X25&amp;"|"&amp;'年度分部假设'!Y25&amp;"|"&amp;'年度分部假设'!D29&amp;"|"&amp;'年度分部假设'!E29&amp;"|"&amp;'年度分部假设'!F29&amp;"|"&amp;'年度分部假设'!G29&amp;"|"&amp;'年度分部假设'!H29&amp;"|"&amp;'年度分部假设'!I29&amp;"|"&amp;'年度分部假设'!J29&amp;"|"&amp;'年度分部假设'!K29&amp;"|"&amp;'年度分部假设'!L29&amp;"|"&amp;'年度分部假设'!M29&amp;"|"&amp;'年度分部假设'!N29&amp;"|"&amp;'年度分部假设'!O29&amp;"|"&amp;'年度分部假设'!P29&amp;"|"&amp;'年度分部假设'!Q29&amp;"|"&amp;'年度分部假设'!R29&amp;"|"&amp;'年度分部假设'!S29&amp;"|"&amp;'年度分部假设'!T29&amp;"|"&amp;'年度分部假设'!U29&amp;"|"&amp;'年度分部假设'!V29&amp;"|"&amp;'年度分部假设'!W29&amp;"|"&amp;'年度分部假设'!X29&amp;"|"&amp;'年度分部假设'!Y29&amp;"|"&amp;'年度分部假设'!D33&amp;"|"&amp;'年度分部假设'!E33&amp;"|"&amp;'年度分部假设'!F33&amp;"|"&amp;'年度分部假设'!G33&amp;"|"&amp;'年度分部假设'!H33&amp;"|"&amp;'年度分部假设'!I33&amp;"|"&amp;'年度分部假设'!J33&amp;"|"&amp;'年度分部假设'!K33&amp;"|"&amp;'年度分部假设'!L33&amp;"|"&amp;'年度分部假设'!M33&amp;"|"&amp;'年度分部假设'!N33&amp;"|"&amp;'年度分部假设'!O33&amp;"|"&amp;'年度分部假设'!P33&amp;"|"&amp;'年度分部假设'!Q33&amp;"|"&amp;'年度分部假设'!R33&amp;"|"&amp;'年度分部假设'!S33&amp;"|"&amp;'年度分部假设'!T33&amp;"|"&amp;'年度分部假设'!U33&amp;"|"&amp;'年度分部假设'!V33&amp;"|"&amp;'年度分部假设'!W33&amp;"|"&amp;'年度分部假设'!X33&amp;"|"&amp;'年度分部假设'!Y33</x:f>
        <x:v>2.7038960000000003|6.474413|2.1994012091898427|2.18|0.070478579|0|1.084645|0.102838|1.368324|0.36859200000000003|0.364962|0.1|0.2|0.02|0.1|10|4.3|2.38|0.418|0.288|0.108|0.375|2.1|0.645|0.05|0.07|0.23|0.22|0.05|1.845|1.45|3|0.9|0.5|0.08|0.24|0|11.65|5.65|2.73|0.42|0.32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</x:row>
    <x:row r="570" ht="23" customHeight="1">
      <x:c r="A570" s="11" t="str">
        <x:v>03759.HK</x:v>
      </x:c>
      <x:c r="B570" s="11" t="str">
        <x:v>康龙化成</x:v>
      </x:c>
      <x:c r="C570" s="11" t="str">
        <x:v>一年</x:v>
      </x:c>
      <x:c r="D570" s="11" t="str">
        <x:v>乐观</x:v>
      </x:c>
      <x:c r="E570" s="11" t="n">
        <x:v>30.6</x:v>
      </x:c>
      <x:c r="F570" s="11" t="n">
        <x:v>96.6514855962144</x:v>
      </x:c>
      <x:c r="G570" s="11" t="n">
        <x:v>0.30800000000000005</x:v>
      </x:c>
      <x:c r="H570" s="25" t="n">
        <x:v>2.158545280922039</x:v>
      </x:c>
      <x:c r="I570" s="25" t="n">
        <x:v>2.1686106403991636</x:v>
      </x:c>
      <x:c r="J570" s="25" t="str"/>
      <x:c r="K570" s="11" t="n">
        <x:v>2.5104281973042704</x:v>
      </x:c>
      <x:c r="L570" s="11" t="n">
        <x:v>35</x:v>
      </x:c>
      <x:c r="M570" s="11" t="n">
        <x:v>1.1</x:v>
      </x:c>
      <x:c r="N570" s="11" t="n">
        <x:v>0.30800000000000005</x:v>
      </x:c>
      <x:c r="O570" s="11" t="n">
        <x:v>26.94</x:v>
      </x:c>
      <x:c r="P570" s="11" t="n">
        <x:v>0.18035931700074243</x:v>
      </x:c>
      <x:c r="Q570" s="11" t="n">
        <x:v>1.935478579</x:v>
      </x:c>
      <x:c r="R570" s="11" t="str">
        <x:v>pharmaron-v1-segment-normal-profit-cashroll-CBchoice</x:v>
      </x:c>
      <x:c r="S570" s="11" t="str">
        <x:v>2026-10-10</x:v>
      </x:c>
      <x:c r="T570" s="11" t="str">
        <x:f>IF(AND(SUM(IF(K570='假设'!E758,0,1),IF(L570='假设'!F758,0,1),IF(M570='假设'!G758,0,1),IF(N570='假设'!H758,0,1),IF(O570='假设'!I758,0,1),IF(P570='假设'!J758,0,1),IF(Q570='假设'!K758,0,1))=0,U570=V570),"已刷新","待刷新")</x:f>
        <x:v>已刷新</x:v>
      </x:c>
      <x:c r="U570" t="str"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  <x:c r="V570" t="str">
        <x:f>'转债资金假设'!C10&amp;"|"&amp;'转债资金假设'!D10&amp;"|"&amp;'转债资金假设'!E10&amp;"|"&amp;'转债资金假设'!F10&amp;"|"&amp;'转债资金假设'!G10&amp;"|"&amp;'转债资金假设'!H10&amp;"|"&amp;'转债资金假设'!I10&amp;"|"&amp;'转债资金假设'!J10&amp;"|"&amp;'转债资金假设'!K10&amp;"|"&amp;'转债资金假设'!L10&amp;"|"&amp;'转债资金假设'!M10&amp;"|"&amp;'转债资金假设'!N10&amp;"|"&amp;'转债资金假设'!O10&amp;"|"&amp;'转债资金假设'!P10&amp;"|"&amp;'转债资金假设'!Q10&amp;"|"&amp;'年度分部假设'!D10&amp;"|"&amp;'年度分部假设'!E10&amp;"|"&amp;'年度分部假设'!F10&amp;"|"&amp;'年度分部假设'!G10&amp;"|"&amp;'年度分部假设'!H10&amp;"|"&amp;'年度分部假设'!I10&amp;"|"&amp;'年度分部假设'!J10&amp;"|"&amp;'年度分部假设'!K10&amp;"|"&amp;'年度分部假设'!L10&amp;"|"&amp;'年度分部假设'!M10&amp;"|"&amp;'年度分部假设'!N10&amp;"|"&amp;'年度分部假设'!O10&amp;"|"&amp;'年度分部假设'!P10&amp;"|"&amp;'年度分部假设'!Q10&amp;"|"&amp;'年度分部假设'!R10&amp;"|"&amp;'年度分部假设'!S10&amp;"|"&amp;'年度分部假设'!T10&amp;"|"&amp;'年度分部假设'!U10&amp;"|"&amp;'年度分部假设'!V10&amp;"|"&amp;'年度分部假设'!W10&amp;"|"&amp;'年度分部假设'!X10&amp;"|"&amp;'年度分部假设'!Y10&amp;"|"&amp;'年度分部假设'!D14&amp;"|"&amp;'年度分部假设'!E14&amp;"|"&amp;'年度分部假设'!F14&amp;"|"&amp;'年度分部假设'!G14&amp;"|"&amp;'年度分部假设'!H14&amp;"|"&amp;'年度分部假设'!I14&amp;"|"&amp;'年度分部假设'!J14&amp;"|"&amp;'年度分部假设'!K14&amp;"|"&amp;'年度分部假设'!L14&amp;"|"&amp;'年度分部假设'!M14&amp;"|"&amp;'年度分部假设'!N14&amp;"|"&amp;'年度分部假设'!O14&amp;"|"&amp;'年度分部假设'!P14&amp;"|"&amp;'年度分部假设'!Q14&amp;"|"&amp;'年度分部假设'!R14&amp;"|"&amp;'年度分部假设'!S14&amp;"|"&amp;'年度分部假设'!T14&amp;"|"&amp;'年度分部假设'!U14&amp;"|"&amp;'年度分部假设'!V14&amp;"|"&amp;'年度分部假设'!W14&amp;"|"&amp;'年度分部假设'!X14&amp;"|"&amp;'年度分部假设'!Y14&amp;"|"&amp;'年度分部假设'!D18&amp;"|"&amp;'年度分部假设'!E18&amp;"|"&amp;'年度分部假设'!F18&amp;"|"&amp;'年度分部假设'!G18&amp;"|"&amp;'年度分部假设'!H18&amp;"|"&amp;'年度分部假设'!I18&amp;"|"&amp;'年度分部假设'!J18&amp;"|"&amp;'年度分部假设'!K18&amp;"|"&amp;'年度分部假设'!L18&amp;"|"&amp;'年度分部假设'!M18&amp;"|"&amp;'年度分部假设'!N18&amp;"|"&amp;'年度分部假设'!O18&amp;"|"&amp;'年度分部假设'!P18&amp;"|"&amp;'年度分部假设'!Q18&amp;"|"&amp;'年度分部假设'!R18&amp;"|"&amp;'年度分部假设'!S18&amp;"|"&amp;'年度分部假设'!T18&amp;"|"&amp;'年度分部假设'!U18&amp;"|"&amp;'年度分部假设'!V18&amp;"|"&amp;'年度分部假设'!W18&amp;"|"&amp;'年度分部假设'!X18&amp;"|"&amp;'年度分部假设'!Y18&amp;"|"&amp;'年度分部假设'!D22&amp;"|"&amp;'年度分部假设'!E22&amp;"|"&amp;'年度分部假设'!F22&amp;"|"&amp;'年度分部假设'!G22&amp;"|"&amp;'年度分部假设'!H22&amp;"|"&amp;'年度分部假设'!I22&amp;"|"&amp;'年度分部假设'!J22&amp;"|"&amp;'年度分部假设'!K22&amp;"|"&amp;'年度分部假设'!L22&amp;"|"&amp;'年度分部假设'!M22&amp;"|"&amp;'年度分部假设'!N22&amp;"|"&amp;'年度分部假设'!O22&amp;"|"&amp;'年度分部假设'!P22&amp;"|"&amp;'年度分部假设'!Q22&amp;"|"&amp;'年度分部假设'!R22&amp;"|"&amp;'年度分部假设'!S22&amp;"|"&amp;'年度分部假设'!T22&amp;"|"&amp;'年度分部假设'!U22&amp;"|"&amp;'年度分部假设'!V22&amp;"|"&amp;'年度分部假设'!W22&amp;"|"&amp;'年度分部假设'!X22&amp;"|"&amp;'年度分部假设'!Y22&amp;"|"&amp;'年度分部假设'!D26&amp;"|"&amp;'年度分部假设'!E26&amp;"|"&amp;'年度分部假设'!F26&amp;"|"&amp;'年度分部假设'!G26&amp;"|"&amp;'年度分部假设'!H26&amp;"|"&amp;'年度分部假设'!I26&amp;"|"&amp;'年度分部假设'!J26&amp;"|"&amp;'年度分部假设'!K26&amp;"|"&amp;'年度分部假设'!L26&amp;"|"&amp;'年度分部假设'!M26&amp;"|"&amp;'年度分部假设'!N26&amp;"|"&amp;'年度分部假设'!O26&amp;"|"&amp;'年度分部假设'!P26&amp;"|"&amp;'年度分部假设'!Q26&amp;"|"&amp;'年度分部假设'!R26&amp;"|"&amp;'年度分部假设'!S26&amp;"|"&amp;'年度分部假设'!T26&amp;"|"&amp;'年度分部假设'!U26&amp;"|"&amp;'年度分部假设'!V26&amp;"|"&amp;'年度分部假设'!W26&amp;"|"&amp;'年度分部假设'!X26&amp;"|"&amp;'年度分部假设'!Y26&amp;"|"&amp;'年度分部假设'!D30&amp;"|"&amp;'年度分部假设'!E30&amp;"|"&amp;'年度分部假设'!F30&amp;"|"&amp;'年度分部假设'!G30&amp;"|"&amp;'年度分部假设'!H30&amp;"|"&amp;'年度分部假设'!I30&amp;"|"&amp;'年度分部假设'!J30&amp;"|"&amp;'年度分部假设'!K30&amp;"|"&amp;'年度分部假设'!L30&amp;"|"&amp;'年度分部假设'!M30&amp;"|"&amp;'年度分部假设'!N30&amp;"|"&amp;'年度分部假设'!O30&amp;"|"&amp;'年度分部假设'!P30&amp;"|"&amp;'年度分部假设'!Q30&amp;"|"&amp;'年度分部假设'!R30&amp;"|"&amp;'年度分部假设'!S30&amp;"|"&amp;'年度分部假设'!T30&amp;"|"&amp;'年度分部假设'!U30&amp;"|"&amp;'年度分部假设'!V30&amp;"|"&amp;'年度分部假设'!W30&amp;"|"&amp;'年度分部假设'!X30&amp;"|"&amp;'年度分部假设'!Y30&amp;"|"&amp;'年度分部假设'!D34&amp;"|"&amp;'年度分部假设'!E34&amp;"|"&amp;'年度分部假设'!F34&amp;"|"&amp;'年度分部假设'!G34&amp;"|"&amp;'年度分部假设'!H34&amp;"|"&amp;'年度分部假设'!I34&amp;"|"&amp;'年度分部假设'!J34&amp;"|"&amp;'年度分部假设'!K34&amp;"|"&amp;'年度分部假设'!L34&amp;"|"&amp;'年度分部假设'!M34&amp;"|"&amp;'年度分部假设'!N34&amp;"|"&amp;'年度分部假设'!O34&amp;"|"&amp;'年度分部假设'!P34&amp;"|"&amp;'年度分部假设'!Q34&amp;"|"&amp;'年度分部假设'!R34&amp;"|"&amp;'年度分部假设'!S34&amp;"|"&amp;'年度分部假设'!T34&amp;"|"&amp;'年度分部假设'!U34&amp;"|"&amp;'年度分部假设'!V34&amp;"|"&amp;'年度分部假设'!W34&amp;"|"&amp;'年度分部假设'!X34&amp;"|"&amp;'年度分部假设'!Y34</x:f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</x:row>
    <x:row r="571" ht="23" customHeight="1">
      <x:c r="A571" s="11" t="str">
        <x:v>03759.HK</x:v>
      </x:c>
      <x:c r="B571" s="11" t="str">
        <x:v>康龙化成</x:v>
      </x:c>
      <x:c r="C571" s="11" t="str">
        <x:v>三年</x:v>
      </x:c>
      <x:c r="D571" s="11" t="str">
        <x:v>悲观</x:v>
      </x:c>
      <x:c r="E571" s="11" t="n">
        <x:v>30.6</x:v>
      </x:c>
      <x:c r="F571" s="11" t="n">
        <x:v>14.473800000000002</x:v>
      </x:c>
      <x:c r="G571" s="11" t="n">
        <x:v>0.35200000000000004</x:v>
      </x:c>
      <x:c r="H571" s="25" t="n">
        <x:v>-0.5269999999999999</x:v>
      </x:c>
      <x:c r="I571" s="25" t="n">
        <x:v>-0.5154967320261437</x:v>
      </x:c>
      <x:c r="J571" s="25" t="n">
        <x:v>-0.21458552026231237</x:v>
      </x:c>
      <x:c r="K571" s="11" t="n">
        <x:v>0.7740000000000001</x:v>
      </x:c>
      <x:c r="L571" s="11" t="n">
        <x:v>17</x:v>
      </x:c>
      <x:c r="M571" s="11" t="n">
        <x:v>1.1</x:v>
      </x:c>
      <x:c r="N571" s="11" t="n">
        <x:v>0.35200000000000004</x:v>
      </x:c>
      <x:c r="O571" s="11" t="n">
        <x:v>19.36</x:v>
      </x:c>
      <x:c r="P571" s="11" t="n">
        <x:v>0.07795971074380167</x:v>
      </x:c>
      <x:c r="Q571" s="11" t="n">
        <x:v>1.95</x:v>
      </x:c>
      <x:c r="R571" s="11" t="str">
        <x:v>pharmaron-v1-segment-normal-profit-cashroll-CBchoice</x:v>
      </x:c>
      <x:c r="S571" s="11" t="str">
        <x:v>2026-10-10</x:v>
      </x:c>
      <x:c r="T571" s="11" t="str">
        <x:f>IF(AND(SUM(IF(K571='假设'!E760,0,1),IF(L571='假设'!F760,0,1),IF(M571='假设'!G760,0,1),IF(N571='假设'!H760,0,1),IF(O571='假设'!I760,0,1),IF(P571='假设'!J760,0,1),IF(Q571='假设'!K760,0,1))=0,U571=V571),"已刷新","待刷新")</x:f>
        <x:v>已刷新</x:v>
      </x:c>
      <x:c r="U571" t="str"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  <x:c r="V571" t="str">
        <x:f>'转债资金假设'!C8&amp;"|"&amp;'转债资金假设'!D8&amp;"|"&amp;'转债资金假设'!E8&amp;"|"&amp;'转债资金假设'!F8&amp;"|"&amp;'转债资金假设'!G8&amp;"|"&amp;'转债资金假设'!H8&amp;"|"&amp;'转债资金假设'!I8&amp;"|"&amp;'转债资金假设'!J8&amp;"|"&amp;'转债资金假设'!K8&amp;"|"&amp;'转债资金假设'!L8&amp;"|"&amp;'转债资金假设'!M8&amp;"|"&amp;'转债资金假设'!N8&amp;"|"&amp;'转债资金假设'!O8&amp;"|"&amp;'转债资金假设'!P8&amp;"|"&amp;'转债资金假设'!Q8&amp;"|"&amp;'年度分部假设'!D8&amp;"|"&amp;'年度分部假设'!E8&amp;"|"&amp;'年度分部假设'!F8&amp;"|"&amp;'年度分部假设'!G8&amp;"|"&amp;'年度分部假设'!H8&amp;"|"&amp;'年度分部假设'!I8&amp;"|"&amp;'年度分部假设'!J8&amp;"|"&amp;'年度分部假设'!K8&amp;"|"&amp;'年度分部假设'!L8&amp;"|"&amp;'年度分部假设'!M8&amp;"|"&amp;'年度分部假设'!N8&amp;"|"&amp;'年度分部假设'!O8&amp;"|"&amp;'年度分部假设'!P8&amp;"|"&amp;'年度分部假设'!Q8&amp;"|"&amp;'年度分部假设'!R8&amp;"|"&amp;'年度分部假设'!S8&amp;"|"&amp;'年度分部假设'!T8&amp;"|"&amp;'年度分部假设'!U8&amp;"|"&amp;'年度分部假设'!V8&amp;"|"&amp;'年度分部假设'!W8&amp;"|"&amp;'年度分部假设'!X8&amp;"|"&amp;'年度分部假设'!Y8&amp;"|"&amp;'年度分部假设'!D12&amp;"|"&amp;'年度分部假设'!E12&amp;"|"&amp;'年度分部假设'!F12&amp;"|"&amp;'年度分部假设'!G12&amp;"|"&amp;'年度分部假设'!H12&amp;"|"&amp;'年度分部假设'!I12&amp;"|"&amp;'年度分部假设'!J12&amp;"|"&amp;'年度分部假设'!K12&amp;"|"&amp;'年度分部假设'!L12&amp;"|"&amp;'年度分部假设'!M12&amp;"|"&amp;'年度分部假设'!N12&amp;"|"&amp;'年度分部假设'!O12&amp;"|"&amp;'年度分部假设'!P12&amp;"|"&amp;'年度分部假设'!Q12&amp;"|"&amp;'年度分部假设'!R12&amp;"|"&amp;'年度分部假设'!S12&amp;"|"&amp;'年度分部假设'!T12&amp;"|"&amp;'年度分部假设'!U12&amp;"|"&amp;'年度分部假设'!V12&amp;"|"&amp;'年度分部假设'!W12&amp;"|"&amp;'年度分部假设'!X12&amp;"|"&amp;'年度分部假设'!Y12&amp;"|"&amp;'年度分部假设'!D16&amp;"|"&amp;'年度分部假设'!E16&amp;"|"&amp;'年度分部假设'!F16&amp;"|"&amp;'年度分部假设'!G16&amp;"|"&amp;'年度分部假设'!H16&amp;"|"&amp;'年度分部假设'!I16&amp;"|"&amp;'年度分部假设'!J16&amp;"|"&amp;'年度分部假设'!K16&amp;"|"&amp;'年度分部假设'!L16&amp;"|"&amp;'年度分部假设'!M16&amp;"|"&amp;'年度分部假设'!N16&amp;"|"&amp;'年度分部假设'!O16&amp;"|"&amp;'年度分部假设'!P16&amp;"|"&amp;'年度分部假设'!Q16&amp;"|"&amp;'年度分部假设'!R16&amp;"|"&amp;'年度分部假设'!S16&amp;"|"&amp;'年度分部假设'!T16&amp;"|"&amp;'年度分部假设'!U16&amp;"|"&amp;'年度分部假设'!V16&amp;"|"&amp;'年度分部假设'!W16&amp;"|"&amp;'年度分部假设'!X16&amp;"|"&amp;'年度分部假设'!Y16&amp;"|"&amp;'年度分部假设'!D20&amp;"|"&amp;'年度分部假设'!E20&amp;"|"&amp;'年度分部假设'!F20&amp;"|"&amp;'年度分部假设'!G20&amp;"|"&amp;'年度分部假设'!H20&amp;"|"&amp;'年度分部假设'!I20&amp;"|"&amp;'年度分部假设'!J20&amp;"|"&amp;'年度分部假设'!K20&amp;"|"&amp;'年度分部假设'!L20&amp;"|"&amp;'年度分部假设'!M20&amp;"|"&amp;'年度分部假设'!N20&amp;"|"&amp;'年度分部假设'!O20&amp;"|"&amp;'年度分部假设'!P20&amp;"|"&amp;'年度分部假设'!Q20&amp;"|"&amp;'年度分部假设'!R20&amp;"|"&amp;'年度分部假设'!S20&amp;"|"&amp;'年度分部假设'!T20&amp;"|"&amp;'年度分部假设'!U20&amp;"|"&amp;'年度分部假设'!V20&amp;"|"&amp;'年度分部假设'!W20&amp;"|"&amp;'年度分部假设'!X20&amp;"|"&amp;'年度分部假设'!Y20&amp;"|"&amp;'年度分部假设'!D24&amp;"|"&amp;'年度分部假设'!E24&amp;"|"&amp;'年度分部假设'!F24&amp;"|"&amp;'年度分部假设'!G24&amp;"|"&amp;'年度分部假设'!H24&amp;"|"&amp;'年度分部假设'!I24&amp;"|"&amp;'年度分部假设'!J24&amp;"|"&amp;'年度分部假设'!K24&amp;"|"&amp;'年度分部假设'!L24&amp;"|"&amp;'年度分部假设'!M24&amp;"|"&amp;'年度分部假设'!N24&amp;"|"&amp;'年度分部假设'!O24&amp;"|"&amp;'年度分部假设'!P24&amp;"|"&amp;'年度分部假设'!Q24&amp;"|"&amp;'年度分部假设'!R24&amp;"|"&amp;'年度分部假设'!S24&amp;"|"&amp;'年度分部假设'!T24&amp;"|"&amp;'年度分部假设'!U24&amp;"|"&amp;'年度分部假设'!V24&amp;"|"&amp;'年度分部假设'!W24&amp;"|"&amp;'年度分部假设'!X24&amp;"|"&amp;'年度分部假设'!Y24&amp;"|"&amp;'年度分部假设'!D28&amp;"|"&amp;'年度分部假设'!E28&amp;"|"&amp;'年度分部假设'!F28&amp;"|"&amp;'年度分部假设'!G28&amp;"|"&amp;'年度分部假设'!H28&amp;"|"&amp;'年度分部假设'!I28&amp;"|"&amp;'年度分部假设'!J28&amp;"|"&amp;'年度分部假设'!K28&amp;"|"&amp;'年度分部假设'!L28&amp;"|"&amp;'年度分部假设'!M28&amp;"|"&amp;'年度分部假设'!N28&amp;"|"&amp;'年度分部假设'!O28&amp;"|"&amp;'年度分部假设'!P28&amp;"|"&amp;'年度分部假设'!Q28&amp;"|"&amp;'年度分部假设'!R28&amp;"|"&amp;'年度分部假设'!S28&amp;"|"&amp;'年度分部假设'!T28&amp;"|"&amp;'年度分部假设'!U28&amp;"|"&amp;'年度分部假设'!V28&amp;"|"&amp;'年度分部假设'!W28&amp;"|"&amp;'年度分部假设'!X28&amp;"|"&amp;'年度分部假设'!Y28&amp;"|"&amp;'年度分部假设'!D32&amp;"|"&amp;'年度分部假设'!E32&amp;"|"&amp;'年度分部假设'!F32&amp;"|"&amp;'年度分部假设'!G32&amp;"|"&amp;'年度分部假设'!H32&amp;"|"&amp;'年度分部假设'!I32&amp;"|"&amp;'年度分部假设'!J32&amp;"|"&amp;'年度分部假设'!K32&amp;"|"&amp;'年度分部假设'!L32&amp;"|"&amp;'年度分部假设'!M32&amp;"|"&amp;'年度分部假设'!N32&amp;"|"&amp;'年度分部假设'!O32&amp;"|"&amp;'年度分部假设'!P32&amp;"|"&amp;'年度分部假设'!Q32&amp;"|"&amp;'年度分部假设'!R32&amp;"|"&amp;'年度分部假设'!S32&amp;"|"&amp;'年度分部假设'!T32&amp;"|"&amp;'年度分部假设'!U32&amp;"|"&amp;'年度分部假设'!V32&amp;"|"&amp;'年度分部假设'!W32&amp;"|"&amp;'年度分部假设'!X32&amp;"|"&amp;'年度分部假设'!Y32</x:f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</x:row>
    <x:row r="572" ht="23" customHeight="1">
      <x:c r="A572" s="11" t="str">
        <x:v>03759.HK</x:v>
      </x:c>
      <x:c r="B572" s="11" t="str">
        <x:v>康龙化成</x:v>
      </x:c>
      <x:c r="C572" s="11" t="str">
        <x:v>三年</x:v>
      </x:c>
      <x:c r="D572" s="11" t="str">
        <x:v>基准</x:v>
      </x:c>
      <x:c r="E572" s="11" t="n">
        <x:v>30.6</x:v>
      </x:c>
      <x:c r="F572" s="11" t="n">
        <x:v>58.726734368303994</x:v>
      </x:c>
      <x:c r="G572" s="11" t="n">
        <x:v>1.078</x:v>
      </x:c>
      <x:c r="H572" s="25" t="n">
        <x:v>0.9191743257615683</x:v>
      </x:c>
      <x:c r="I572" s="25" t="n">
        <x:v>0.954403083931503</x:v>
      </x:c>
      <x:c r="J572" s="25" t="n">
        <x:v>0.25027259845313243</x:v>
      </x:c>
      <x:c r="K572" s="11" t="n">
        <x:v>1.9773311235119189</x:v>
      </x:c>
      <x:c r="L572" s="11" t="n">
        <x:v>27</x:v>
      </x:c>
      <x:c r="M572" s="11" t="n">
        <x:v>1.1</x:v>
      </x:c>
      <x:c r="N572" s="11" t="n">
        <x:v>1.078</x:v>
      </x:c>
      <x:c r="O572" s="11" t="n">
        <x:v>27.16</x:v>
      </x:c>
      <x:c r="P572" s="11" t="n">
        <x:v>0.14200081001472756</x:v>
      </x:c>
      <x:c r="Q572" s="11" t="n">
        <x:v>1.9504785789999999</x:v>
      </x:c>
      <x:c r="R572" s="11" t="str">
        <x:v>pharmaron-v1-segment-normal-profit-cashroll-CBchoice</x:v>
      </x:c>
      <x:c r="S572" s="11" t="str">
        <x:v>2026-10-10</x:v>
      </x:c>
      <x:c r="T572" s="11" t="str">
        <x:f>IF(AND(SUM(IF(K572='假设'!E761,0,1),IF(L572='假设'!F761,0,1),IF(M572='假设'!G761,0,1),IF(N572='假设'!H761,0,1),IF(O572='假设'!I761,0,1),IF(P572='假设'!J761,0,1),IF(Q572='假设'!K761,0,1))=0,U572=V572),"已刷新","待刷新")</x:f>
        <x:v>待刷新</x:v>
      </x:c>
      <x:c r="U572" t="str">
        <x:v>2.7038960000000003|6.474413|2.1994012091898427|2.18|0.070478579|1|1.084645|0.102838|1.368324|0.36859200000000003|0.364962|0.1|0.2|0.02|0.1|10|4.3|2.38|0.418|0.288|0.108|0.375|2.1|0.645|0.05|0.07|0.23|0.22|0.05|1.845|1.45|3|0.9|0.5|0.08|0.24|0|11.65|5.65|2.73|0.42|0.31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  <x:c r="V572" t="str">
        <x:f>'转债资金假设'!C9&amp;"|"&amp;'转债资金假设'!D9&amp;"|"&amp;'转债资金假设'!E9&amp;"|"&amp;'转债资金假设'!F9&amp;"|"&amp;'转债资金假设'!G9&amp;"|"&amp;'转债资金假设'!H9&amp;"|"&amp;'转债资金假设'!I9&amp;"|"&amp;'转债资金假设'!J9&amp;"|"&amp;'转债资金假设'!K9&amp;"|"&amp;'转债资金假设'!L9&amp;"|"&amp;'转债资金假设'!M9&amp;"|"&amp;'转债资金假设'!N9&amp;"|"&amp;'转债资金假设'!O9&amp;"|"&amp;'转债资金假设'!P9&amp;"|"&amp;'转债资金假设'!Q9&amp;"|"&amp;'年度分部假设'!D9&amp;"|"&amp;'年度分部假设'!E9&amp;"|"&amp;'年度分部假设'!F9&amp;"|"&amp;'年度分部假设'!G9&amp;"|"&amp;'年度分部假设'!H9&amp;"|"&amp;'年度分部假设'!I9&amp;"|"&amp;'年度分部假设'!J9&amp;"|"&amp;'年度分部假设'!K9&amp;"|"&amp;'年度分部假设'!L9&amp;"|"&amp;'年度分部假设'!M9&amp;"|"&amp;'年度分部假设'!N9&amp;"|"&amp;'年度分部假设'!O9&amp;"|"&amp;'年度分部假设'!P9&amp;"|"&amp;'年度分部假设'!Q9&amp;"|"&amp;'年度分部假设'!R9&amp;"|"&amp;'年度分部假设'!S9&amp;"|"&amp;'年度分部假设'!T9&amp;"|"&amp;'年度分部假设'!U9&amp;"|"&amp;'年度分部假设'!V9&amp;"|"&amp;'年度分部假设'!W9&amp;"|"&amp;'年度分部假设'!X9&amp;"|"&amp;'年度分部假设'!Y9&amp;"|"&amp;'年度分部假设'!D13&amp;"|"&amp;'年度分部假设'!E13&amp;"|"&amp;'年度分部假设'!F13&amp;"|"&amp;'年度分部假设'!G13&amp;"|"&amp;'年度分部假设'!H13&amp;"|"&amp;'年度分部假设'!I13&amp;"|"&amp;'年度分部假设'!J13&amp;"|"&amp;'年度分部假设'!K13&amp;"|"&amp;'年度分部假设'!L13&amp;"|"&amp;'年度分部假设'!M13&amp;"|"&amp;'年度分部假设'!N13&amp;"|"&amp;'年度分部假设'!O13&amp;"|"&amp;'年度分部假设'!P13&amp;"|"&amp;'年度分部假设'!Q13&amp;"|"&amp;'年度分部假设'!R13&amp;"|"&amp;'年度分部假设'!S13&amp;"|"&amp;'年度分部假设'!T13&amp;"|"&amp;'年度分部假设'!U13&amp;"|"&amp;'年度分部假设'!V13&amp;"|"&amp;'年度分部假设'!W13&amp;"|"&amp;'年度分部假设'!X13&amp;"|"&amp;'年度分部假设'!Y13&amp;"|"&amp;'年度分部假设'!D17&amp;"|"&amp;'年度分部假设'!E17&amp;"|"&amp;'年度分部假设'!F17&amp;"|"&amp;'年度分部假设'!G17&amp;"|"&amp;'年度分部假设'!H17&amp;"|"&amp;'年度分部假设'!I17&amp;"|"&amp;'年度分部假设'!J17&amp;"|"&amp;'年度分部假设'!K17&amp;"|"&amp;'年度分部假设'!L17&amp;"|"&amp;'年度分部假设'!M17&amp;"|"&amp;'年度分部假设'!N17&amp;"|"&amp;'年度分部假设'!O17&amp;"|"&amp;'年度分部假设'!P17&amp;"|"&amp;'年度分部假设'!Q17&amp;"|"&amp;'年度分部假设'!R17&amp;"|"&amp;'年度分部假设'!S17&amp;"|"&amp;'年度分部假设'!T17&amp;"|"&amp;'年度分部假设'!U17&amp;"|"&amp;'年度分部假设'!V17&amp;"|"&amp;'年度分部假设'!W17&amp;"|"&amp;'年度分部假设'!X17&amp;"|"&amp;'年度分部假设'!Y17&amp;"|"&amp;'年度分部假设'!D21&amp;"|"&amp;'年度分部假设'!E21&amp;"|"&amp;'年度分部假设'!F21&amp;"|"&amp;'年度分部假设'!G21&amp;"|"&amp;'年度分部假设'!H21&amp;"|"&amp;'年度分部假设'!I21&amp;"|"&amp;'年度分部假设'!J21&amp;"|"&amp;'年度分部假设'!K21&amp;"|"&amp;'年度分部假设'!L21&amp;"|"&amp;'年度分部假设'!M21&amp;"|"&amp;'年度分部假设'!N21&amp;"|"&amp;'年度分部假设'!O21&amp;"|"&amp;'年度分部假设'!P21&amp;"|"&amp;'年度分部假设'!Q21&amp;"|"&amp;'年度分部假设'!R21&amp;"|"&amp;'年度分部假设'!S21&amp;"|"&amp;'年度分部假设'!T21&amp;"|"&amp;'年度分部假设'!U21&amp;"|"&amp;'年度分部假设'!V21&amp;"|"&amp;'年度分部假设'!W21&amp;"|"&amp;'年度分部假设'!X21&amp;"|"&amp;'年度分部假设'!Y21&amp;"|"&amp;'年度分部假设'!D25&amp;"|"&amp;'年度分部假设'!E25&amp;"|"&amp;'年度分部假设'!F25&amp;"|"&amp;'年度分部假设'!G25&amp;"|"&amp;'年度分部假设'!H25&amp;"|"&amp;'年度分部假设'!I25&amp;"|"&amp;'年度分部假设'!J25&amp;"|"&amp;'年度分部假设'!K25&amp;"|"&amp;'年度分部假设'!L25&amp;"|"&amp;'年度分部假设'!M25&amp;"|"&amp;'年度分部假设'!N25&amp;"|"&amp;'年度分部假设'!O25&amp;"|"&amp;'年度分部假设'!P25&amp;"|"&amp;'年度分部假设'!Q25&amp;"|"&amp;'年度分部假设'!R25&amp;"|"&amp;'年度分部假设'!S25&amp;"|"&amp;'年度分部假设'!T25&amp;"|"&amp;'年度分部假设'!U25&amp;"|"&amp;'年度分部假设'!V25&amp;"|"&amp;'年度分部假设'!W25&amp;"|"&amp;'年度分部假设'!X25&amp;"|"&amp;'年度分部假设'!Y25&amp;"|"&amp;'年度分部假设'!D29&amp;"|"&amp;'年度分部假设'!E29&amp;"|"&amp;'年度分部假设'!F29&amp;"|"&amp;'年度分部假设'!G29&amp;"|"&amp;'年度分部假设'!H29&amp;"|"&amp;'年度分部假设'!I29&amp;"|"&amp;'年度分部假设'!J29&amp;"|"&amp;'年度分部假设'!K29&amp;"|"&amp;'年度分部假设'!L29&amp;"|"&amp;'年度分部假设'!M29&amp;"|"&amp;'年度分部假设'!N29&amp;"|"&amp;'年度分部假设'!O29&amp;"|"&amp;'年度分部假设'!P29&amp;"|"&amp;'年度分部假设'!Q29&amp;"|"&amp;'年度分部假设'!R29&amp;"|"&amp;'年度分部假设'!S29&amp;"|"&amp;'年度分部假设'!T29&amp;"|"&amp;'年度分部假设'!U29&amp;"|"&amp;'年度分部假设'!V29&amp;"|"&amp;'年度分部假设'!W29&amp;"|"&amp;'年度分部假设'!X29&amp;"|"&amp;'年度分部假设'!Y29&amp;"|"&amp;'年度分部假设'!D33&amp;"|"&amp;'年度分部假设'!E33&amp;"|"&amp;'年度分部假设'!F33&amp;"|"&amp;'年度分部假设'!G33&amp;"|"&amp;'年度分部假设'!H33&amp;"|"&amp;'年度分部假设'!I33&amp;"|"&amp;'年度分部假设'!J33&amp;"|"&amp;'年度分部假设'!K33&amp;"|"&amp;'年度分部假设'!L33&amp;"|"&amp;'年度分部假设'!M33&amp;"|"&amp;'年度分部假设'!N33&amp;"|"&amp;'年度分部假设'!O33&amp;"|"&amp;'年度分部假设'!P33&amp;"|"&amp;'年度分部假设'!Q33&amp;"|"&amp;'年度分部假设'!R33&amp;"|"&amp;'年度分部假设'!S33&amp;"|"&amp;'年度分部假设'!T33&amp;"|"&amp;'年度分部假设'!U33&amp;"|"&amp;'年度分部假设'!V33&amp;"|"&amp;'年度分部假设'!W33&amp;"|"&amp;'年度分部假设'!X33&amp;"|"&amp;'年度分部假设'!Y33</x:f>
        <x:v>2.7038960000000003|6.474413|2.1994012091898427|2.18|0.070478579|0|1.084645|0.102838|1.368324|0.36859200000000003|0.364962|0.1|0.2|0.02|0.1|10|4.3|2.38|0.418|0.288|0.108|0.375|2.1|0.645|0.05|0.07|0.23|0.22|0.05|1.845|1.45|3|0.9|0.5|0.08|0.24|0|11.65|5.65|2.73|0.42|0.32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</x:row>
    <x:row r="573" ht="23" customHeight="1">
      <x:c r="A573" s="11" t="str">
        <x:v>03759.HK</x:v>
      </x:c>
      <x:c r="B573" s="11" t="str">
        <x:v>康龙化成</x:v>
      </x:c>
      <x:c r="C573" s="11" t="str">
        <x:v>三年</x:v>
      </x:c>
      <x:c r="D573" s="11" t="str">
        <x:v>乐观</x:v>
      </x:c>
      <x:c r="E573" s="11" t="n">
        <x:v>30.6</x:v>
      </x:c>
      <x:c r="F573" s="11" t="n">
        <x:v>119.95788239825633</x:v>
      </x:c>
      <x:c r="G573" s="11" t="n">
        <x:v>1.496</x:v>
      </x:c>
      <x:c r="H573" s="25" t="n">
        <x:v>2.920192235237135</x:v>
      </x:c>
      <x:c r="I573" s="25" t="n">
        <x:v>2.9690811241260233</x:v>
      </x:c>
      <x:c r="J573" s="25" t="n">
        <x:v>0.5833004134806619</x:v>
      </x:c>
      <x:c r="K573" s="11" t="n">
        <x:v>3.304624859456097</x:v>
      </x:c>
      <x:c r="L573" s="11" t="n">
        <x:v>33</x:v>
      </x:c>
      <x:c r="M573" s="11" t="n">
        <x:v>1.1</x:v>
      </x:c>
      <x:c r="N573" s="11" t="n">
        <x:v>1.496</x:v>
      </x:c>
      <x:c r="O573" s="11" t="n">
        <x:v>33.120000000000005</x:v>
      </x:c>
      <x:c r="P573" s="11" t="n">
        <x:v>0.19461352657004835</x:v>
      </x:c>
      <x:c r="Q573" s="11" t="n">
        <x:v>1.9504785789999999</x:v>
      </x:c>
      <x:c r="R573" s="11" t="str">
        <x:v>pharmaron-v1-segment-normal-profit-cashroll-CBchoice</x:v>
      </x:c>
      <x:c r="S573" s="11" t="str">
        <x:v>2026-10-10</x:v>
      </x:c>
      <x:c r="T573" s="11" t="str">
        <x:f>IF(AND(SUM(IF(K573='假设'!E762,0,1),IF(L573='假设'!F762,0,1),IF(M573='假设'!G762,0,1),IF(N573='假设'!H762,0,1),IF(O573='假设'!I762,0,1),IF(P573='假设'!J762,0,1),IF(Q573='假设'!K762,0,1))=0,U573=V573),"已刷新","待刷新")</x:f>
        <x:v>已刷新</x:v>
      </x:c>
      <x:c r="U573" t="str"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  <x:c r="V573" t="str">
        <x:f>'转债资金假设'!C10&amp;"|"&amp;'转债资金假设'!D10&amp;"|"&amp;'转债资金假设'!E10&amp;"|"&amp;'转债资金假设'!F10&amp;"|"&amp;'转债资金假设'!G10&amp;"|"&amp;'转债资金假设'!H10&amp;"|"&amp;'转债资金假设'!I10&amp;"|"&amp;'转债资金假设'!J10&amp;"|"&amp;'转债资金假设'!K10&amp;"|"&amp;'转债资金假设'!L10&amp;"|"&amp;'转债资金假设'!M10&amp;"|"&amp;'转债资金假设'!N10&amp;"|"&amp;'转债资金假设'!O10&amp;"|"&amp;'转债资金假设'!P10&amp;"|"&amp;'转债资金假设'!Q10&amp;"|"&amp;'年度分部假设'!D10&amp;"|"&amp;'年度分部假设'!E10&amp;"|"&amp;'年度分部假设'!F10&amp;"|"&amp;'年度分部假设'!G10&amp;"|"&amp;'年度分部假设'!H10&amp;"|"&amp;'年度分部假设'!I10&amp;"|"&amp;'年度分部假设'!J10&amp;"|"&amp;'年度分部假设'!K10&amp;"|"&amp;'年度分部假设'!L10&amp;"|"&amp;'年度分部假设'!M10&amp;"|"&amp;'年度分部假设'!N10&amp;"|"&amp;'年度分部假设'!O10&amp;"|"&amp;'年度分部假设'!P10&amp;"|"&amp;'年度分部假设'!Q10&amp;"|"&amp;'年度分部假设'!R10&amp;"|"&amp;'年度分部假设'!S10&amp;"|"&amp;'年度分部假设'!T10&amp;"|"&amp;'年度分部假设'!U10&amp;"|"&amp;'年度分部假设'!V10&amp;"|"&amp;'年度分部假设'!W10&amp;"|"&amp;'年度分部假设'!X10&amp;"|"&amp;'年度分部假设'!Y10&amp;"|"&amp;'年度分部假设'!D14&amp;"|"&amp;'年度分部假设'!E14&amp;"|"&amp;'年度分部假设'!F14&amp;"|"&amp;'年度分部假设'!G14&amp;"|"&amp;'年度分部假设'!H14&amp;"|"&amp;'年度分部假设'!I14&amp;"|"&amp;'年度分部假设'!J14&amp;"|"&amp;'年度分部假设'!K14&amp;"|"&amp;'年度分部假设'!L14&amp;"|"&amp;'年度分部假设'!M14&amp;"|"&amp;'年度分部假设'!N14&amp;"|"&amp;'年度分部假设'!O14&amp;"|"&amp;'年度分部假设'!P14&amp;"|"&amp;'年度分部假设'!Q14&amp;"|"&amp;'年度分部假设'!R14&amp;"|"&amp;'年度分部假设'!S14&amp;"|"&amp;'年度分部假设'!T14&amp;"|"&amp;'年度分部假设'!U14&amp;"|"&amp;'年度分部假设'!V14&amp;"|"&amp;'年度分部假设'!W14&amp;"|"&amp;'年度分部假设'!X14&amp;"|"&amp;'年度分部假设'!Y14&amp;"|"&amp;'年度分部假设'!D18&amp;"|"&amp;'年度分部假设'!E18&amp;"|"&amp;'年度分部假设'!F18&amp;"|"&amp;'年度分部假设'!G18&amp;"|"&amp;'年度分部假设'!H18&amp;"|"&amp;'年度分部假设'!I18&amp;"|"&amp;'年度分部假设'!J18&amp;"|"&amp;'年度分部假设'!K18&amp;"|"&amp;'年度分部假设'!L18&amp;"|"&amp;'年度分部假设'!M18&amp;"|"&amp;'年度分部假设'!N18&amp;"|"&amp;'年度分部假设'!O18&amp;"|"&amp;'年度分部假设'!P18&amp;"|"&amp;'年度分部假设'!Q18&amp;"|"&amp;'年度分部假设'!R18&amp;"|"&amp;'年度分部假设'!S18&amp;"|"&amp;'年度分部假设'!T18&amp;"|"&amp;'年度分部假设'!U18&amp;"|"&amp;'年度分部假设'!V18&amp;"|"&amp;'年度分部假设'!W18&amp;"|"&amp;'年度分部假设'!X18&amp;"|"&amp;'年度分部假设'!Y18&amp;"|"&amp;'年度分部假设'!D22&amp;"|"&amp;'年度分部假设'!E22&amp;"|"&amp;'年度分部假设'!F22&amp;"|"&amp;'年度分部假设'!G22&amp;"|"&amp;'年度分部假设'!H22&amp;"|"&amp;'年度分部假设'!I22&amp;"|"&amp;'年度分部假设'!J22&amp;"|"&amp;'年度分部假设'!K22&amp;"|"&amp;'年度分部假设'!L22&amp;"|"&amp;'年度分部假设'!M22&amp;"|"&amp;'年度分部假设'!N22&amp;"|"&amp;'年度分部假设'!O22&amp;"|"&amp;'年度分部假设'!P22&amp;"|"&amp;'年度分部假设'!Q22&amp;"|"&amp;'年度分部假设'!R22&amp;"|"&amp;'年度分部假设'!S22&amp;"|"&amp;'年度分部假设'!T22&amp;"|"&amp;'年度分部假设'!U22&amp;"|"&amp;'年度分部假设'!V22&amp;"|"&amp;'年度分部假设'!W22&amp;"|"&amp;'年度分部假设'!X22&amp;"|"&amp;'年度分部假设'!Y22&amp;"|"&amp;'年度分部假设'!D26&amp;"|"&amp;'年度分部假设'!E26&amp;"|"&amp;'年度分部假设'!F26&amp;"|"&amp;'年度分部假设'!G26&amp;"|"&amp;'年度分部假设'!H26&amp;"|"&amp;'年度分部假设'!I26&amp;"|"&amp;'年度分部假设'!J26&amp;"|"&amp;'年度分部假设'!K26&amp;"|"&amp;'年度分部假设'!L26&amp;"|"&amp;'年度分部假设'!M26&amp;"|"&amp;'年度分部假设'!N26&amp;"|"&amp;'年度分部假设'!O26&amp;"|"&amp;'年度分部假设'!P26&amp;"|"&amp;'年度分部假设'!Q26&amp;"|"&amp;'年度分部假设'!R26&amp;"|"&amp;'年度分部假设'!S26&amp;"|"&amp;'年度分部假设'!T26&amp;"|"&amp;'年度分部假设'!U26&amp;"|"&amp;'年度分部假设'!V26&amp;"|"&amp;'年度分部假设'!W26&amp;"|"&amp;'年度分部假设'!X26&amp;"|"&amp;'年度分部假设'!Y26&amp;"|"&amp;'年度分部假设'!D30&amp;"|"&amp;'年度分部假设'!E30&amp;"|"&amp;'年度分部假设'!F30&amp;"|"&amp;'年度分部假设'!G30&amp;"|"&amp;'年度分部假设'!H30&amp;"|"&amp;'年度分部假设'!I30&amp;"|"&amp;'年度分部假设'!J30&amp;"|"&amp;'年度分部假设'!K30&amp;"|"&amp;'年度分部假设'!L30&amp;"|"&amp;'年度分部假设'!M30&amp;"|"&amp;'年度分部假设'!N30&amp;"|"&amp;'年度分部假设'!O30&amp;"|"&amp;'年度分部假设'!P30&amp;"|"&amp;'年度分部假设'!Q30&amp;"|"&amp;'年度分部假设'!R30&amp;"|"&amp;'年度分部假设'!S30&amp;"|"&amp;'年度分部假设'!T30&amp;"|"&amp;'年度分部假设'!U30&amp;"|"&amp;'年度分部假设'!V30&amp;"|"&amp;'年度分部假设'!W30&amp;"|"&amp;'年度分部假设'!X30&amp;"|"&amp;'年度分部假设'!Y30&amp;"|"&amp;'年度分部假设'!D34&amp;"|"&amp;'年度分部假设'!E34&amp;"|"&amp;'年度分部假设'!F34&amp;"|"&amp;'年度分部假设'!G34&amp;"|"&amp;'年度分部假设'!H34&amp;"|"&amp;'年度分部假设'!I34&amp;"|"&amp;'年度分部假设'!J34&amp;"|"&amp;'年度分部假设'!K34&amp;"|"&amp;'年度分部假设'!L34&amp;"|"&amp;'年度分部假设'!M34&amp;"|"&amp;'年度分部假设'!N34&amp;"|"&amp;'年度分部假设'!O34&amp;"|"&amp;'年度分部假设'!P34&amp;"|"&amp;'年度分部假设'!Q34&amp;"|"&amp;'年度分部假设'!R34&amp;"|"&amp;'年度分部假设'!S34&amp;"|"&amp;'年度分部假设'!T34&amp;"|"&amp;'年度分部假设'!U34&amp;"|"&amp;'年度分部假设'!V34&amp;"|"&amp;'年度分部假设'!W34&amp;"|"&amp;'年度分部假设'!X34&amp;"|"&amp;'年度分部假设'!Y34</x:f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</x:row>
    <x:row r="574" ht="23" customHeight="1">
      <x:c r="A574" s="11" t="str">
        <x:v>03759.HK</x:v>
      </x:c>
      <x:c r="B574" s="11" t="str">
        <x:v>康龙化成</x:v>
      </x:c>
      <x:c r="C574" s="11" t="str">
        <x:v>五年</x:v>
      </x:c>
      <x:c r="D574" s="11" t="str">
        <x:v>悲观</x:v>
      </x:c>
      <x:c r="E574" s="11" t="n">
        <x:v>30.6</x:v>
      </x:c>
      <x:c r="F574" s="11" t="n">
        <x:v>14.680975609756098</x:v>
      </x:c>
      <x:c r="G574" s="11" t="n">
        <x:v>0.6380000000000001</x:v>
      </x:c>
      <x:c r="H574" s="25" t="n">
        <x:v>-0.5202295552367289</x:v>
      </x:c>
      <x:c r="I574" s="25" t="n">
        <x:v>-0.49937988203411443</x:v>
      </x:c>
      <x:c r="J574" s="25" t="n">
        <x:v>-0.12923360613186086</x:v>
      </x:c>
      <x:c r="K574" s="11" t="n">
        <x:v>0.8897560975609755</x:v>
      </x:c>
      <x:c r="L574" s="11" t="n">
        <x:v>15</x:v>
      </x:c>
      <x:c r="M574" s="11" t="n">
        <x:v>1.1</x:v>
      </x:c>
      <x:c r="N574" s="11" t="n">
        <x:v>0.6380000000000001</x:v>
      </x:c>
      <x:c r="O574" s="11" t="n">
        <x:v>21.92</x:v>
      </x:c>
      <x:c r="P574" s="11" t="n">
        <x:v>0.08321167883211676</x:v>
      </x:c>
      <x:c r="Q574" s="11" t="n">
        <x:v>2.05</x:v>
      </x:c>
      <x:c r="R574" s="11" t="str">
        <x:v>pharmaron-v1-segment-normal-profit-cashroll-CBchoice</x:v>
      </x:c>
      <x:c r="S574" s="11" t="str">
        <x:v>2026-10-10</x:v>
      </x:c>
      <x:c r="T574" s="11" t="str">
        <x:f>IF(AND(SUM(IF(K574='假设'!E764,0,1),IF(L574='假设'!F764,0,1),IF(M574='假设'!G764,0,1),IF(N574='假设'!H764,0,1),IF(O574='假设'!I764,0,1),IF(P574='假设'!J764,0,1),IF(Q574='假设'!K764,0,1))=0,U574=V574),"已刷新","待刷新")</x:f>
        <x:v>已刷新</x:v>
      </x:c>
      <x:c r="U574" t="str"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  <x:c r="V574" t="str">
        <x:f>'转债资金假设'!C8&amp;"|"&amp;'转债资金假设'!D8&amp;"|"&amp;'转债资金假设'!E8&amp;"|"&amp;'转债资金假设'!F8&amp;"|"&amp;'转债资金假设'!G8&amp;"|"&amp;'转债资金假设'!H8&amp;"|"&amp;'转债资金假设'!I8&amp;"|"&amp;'转债资金假设'!J8&amp;"|"&amp;'转债资金假设'!K8&amp;"|"&amp;'转债资金假设'!L8&amp;"|"&amp;'转债资金假设'!M8&amp;"|"&amp;'转债资金假设'!N8&amp;"|"&amp;'转债资金假设'!O8&amp;"|"&amp;'转债资金假设'!P8&amp;"|"&amp;'转债资金假设'!Q8&amp;"|"&amp;'年度分部假设'!D8&amp;"|"&amp;'年度分部假设'!E8&amp;"|"&amp;'年度分部假设'!F8&amp;"|"&amp;'年度分部假设'!G8&amp;"|"&amp;'年度分部假设'!H8&amp;"|"&amp;'年度分部假设'!I8&amp;"|"&amp;'年度分部假设'!J8&amp;"|"&amp;'年度分部假设'!K8&amp;"|"&amp;'年度分部假设'!L8&amp;"|"&amp;'年度分部假设'!M8&amp;"|"&amp;'年度分部假设'!N8&amp;"|"&amp;'年度分部假设'!O8&amp;"|"&amp;'年度分部假设'!P8&amp;"|"&amp;'年度分部假设'!Q8&amp;"|"&amp;'年度分部假设'!R8&amp;"|"&amp;'年度分部假设'!S8&amp;"|"&amp;'年度分部假设'!T8&amp;"|"&amp;'年度分部假设'!U8&amp;"|"&amp;'年度分部假设'!V8&amp;"|"&amp;'年度分部假设'!W8&amp;"|"&amp;'年度分部假设'!X8&amp;"|"&amp;'年度分部假设'!Y8&amp;"|"&amp;'年度分部假设'!D12&amp;"|"&amp;'年度分部假设'!E12&amp;"|"&amp;'年度分部假设'!F12&amp;"|"&amp;'年度分部假设'!G12&amp;"|"&amp;'年度分部假设'!H12&amp;"|"&amp;'年度分部假设'!I12&amp;"|"&amp;'年度分部假设'!J12&amp;"|"&amp;'年度分部假设'!K12&amp;"|"&amp;'年度分部假设'!L12&amp;"|"&amp;'年度分部假设'!M12&amp;"|"&amp;'年度分部假设'!N12&amp;"|"&amp;'年度分部假设'!O12&amp;"|"&amp;'年度分部假设'!P12&amp;"|"&amp;'年度分部假设'!Q12&amp;"|"&amp;'年度分部假设'!R12&amp;"|"&amp;'年度分部假设'!S12&amp;"|"&amp;'年度分部假设'!T12&amp;"|"&amp;'年度分部假设'!U12&amp;"|"&amp;'年度分部假设'!V12&amp;"|"&amp;'年度分部假设'!W12&amp;"|"&amp;'年度分部假设'!X12&amp;"|"&amp;'年度分部假设'!Y12&amp;"|"&amp;'年度分部假设'!D16&amp;"|"&amp;'年度分部假设'!E16&amp;"|"&amp;'年度分部假设'!F16&amp;"|"&amp;'年度分部假设'!G16&amp;"|"&amp;'年度分部假设'!H16&amp;"|"&amp;'年度分部假设'!I16&amp;"|"&amp;'年度分部假设'!J16&amp;"|"&amp;'年度分部假设'!K16&amp;"|"&amp;'年度分部假设'!L16&amp;"|"&amp;'年度分部假设'!M16&amp;"|"&amp;'年度分部假设'!N16&amp;"|"&amp;'年度分部假设'!O16&amp;"|"&amp;'年度分部假设'!P16&amp;"|"&amp;'年度分部假设'!Q16&amp;"|"&amp;'年度分部假设'!R16&amp;"|"&amp;'年度分部假设'!S16&amp;"|"&amp;'年度分部假设'!T16&amp;"|"&amp;'年度分部假设'!U16&amp;"|"&amp;'年度分部假设'!V16&amp;"|"&amp;'年度分部假设'!W16&amp;"|"&amp;'年度分部假设'!X16&amp;"|"&amp;'年度分部假设'!Y16&amp;"|"&amp;'年度分部假设'!D20&amp;"|"&amp;'年度分部假设'!E20&amp;"|"&amp;'年度分部假设'!F20&amp;"|"&amp;'年度分部假设'!G20&amp;"|"&amp;'年度分部假设'!H20&amp;"|"&amp;'年度分部假设'!I20&amp;"|"&amp;'年度分部假设'!J20&amp;"|"&amp;'年度分部假设'!K20&amp;"|"&amp;'年度分部假设'!L20&amp;"|"&amp;'年度分部假设'!M20&amp;"|"&amp;'年度分部假设'!N20&amp;"|"&amp;'年度分部假设'!O20&amp;"|"&amp;'年度分部假设'!P20&amp;"|"&amp;'年度分部假设'!Q20&amp;"|"&amp;'年度分部假设'!R20&amp;"|"&amp;'年度分部假设'!S20&amp;"|"&amp;'年度分部假设'!T20&amp;"|"&amp;'年度分部假设'!U20&amp;"|"&amp;'年度分部假设'!V20&amp;"|"&amp;'年度分部假设'!W20&amp;"|"&amp;'年度分部假设'!X20&amp;"|"&amp;'年度分部假设'!Y20&amp;"|"&amp;'年度分部假设'!D24&amp;"|"&amp;'年度分部假设'!E24&amp;"|"&amp;'年度分部假设'!F24&amp;"|"&amp;'年度分部假设'!G24&amp;"|"&amp;'年度分部假设'!H24&amp;"|"&amp;'年度分部假设'!I24&amp;"|"&amp;'年度分部假设'!J24&amp;"|"&amp;'年度分部假设'!K24&amp;"|"&amp;'年度分部假设'!L24&amp;"|"&amp;'年度分部假设'!M24&amp;"|"&amp;'年度分部假设'!N24&amp;"|"&amp;'年度分部假设'!O24&amp;"|"&amp;'年度分部假设'!P24&amp;"|"&amp;'年度分部假设'!Q24&amp;"|"&amp;'年度分部假设'!R24&amp;"|"&amp;'年度分部假设'!S24&amp;"|"&amp;'年度分部假设'!T24&amp;"|"&amp;'年度分部假设'!U24&amp;"|"&amp;'年度分部假设'!V24&amp;"|"&amp;'年度分部假设'!W24&amp;"|"&amp;'年度分部假设'!X24&amp;"|"&amp;'年度分部假设'!Y24&amp;"|"&amp;'年度分部假设'!D28&amp;"|"&amp;'年度分部假设'!E28&amp;"|"&amp;'年度分部假设'!F28&amp;"|"&amp;'年度分部假设'!G28&amp;"|"&amp;'年度分部假设'!H28&amp;"|"&amp;'年度分部假设'!I28&amp;"|"&amp;'年度分部假设'!J28&amp;"|"&amp;'年度分部假设'!K28&amp;"|"&amp;'年度分部假设'!L28&amp;"|"&amp;'年度分部假设'!M28&amp;"|"&amp;'年度分部假设'!N28&amp;"|"&amp;'年度分部假设'!O28&amp;"|"&amp;'年度分部假设'!P28&amp;"|"&amp;'年度分部假设'!Q28&amp;"|"&amp;'年度分部假设'!R28&amp;"|"&amp;'年度分部假设'!S28&amp;"|"&amp;'年度分部假设'!T28&amp;"|"&amp;'年度分部假设'!U28&amp;"|"&amp;'年度分部假设'!V28&amp;"|"&amp;'年度分部假设'!W28&amp;"|"&amp;'年度分部假设'!X28&amp;"|"&amp;'年度分部假设'!Y28&amp;"|"&amp;'年度分部假设'!D32&amp;"|"&amp;'年度分部假设'!E32&amp;"|"&amp;'年度分部假设'!F32&amp;"|"&amp;'年度分部假设'!G32&amp;"|"&amp;'年度分部假设'!H32&amp;"|"&amp;'年度分部假设'!I32&amp;"|"&amp;'年度分部假设'!J32&amp;"|"&amp;'年度分部假设'!K32&amp;"|"&amp;'年度分部假设'!L32&amp;"|"&amp;'年度分部假设'!M32&amp;"|"&amp;'年度分部假设'!N32&amp;"|"&amp;'年度分部假设'!O32&amp;"|"&amp;'年度分部假设'!P32&amp;"|"&amp;'年度分部假设'!Q32&amp;"|"&amp;'年度分部假设'!R32&amp;"|"&amp;'年度分部假设'!S32&amp;"|"&amp;'年度分部假设'!T32&amp;"|"&amp;'年度分部假设'!U32&amp;"|"&amp;'年度分部假设'!V32&amp;"|"&amp;'年度分部假设'!W32&amp;"|"&amp;'年度分部假设'!X32&amp;"|"&amp;'年度分部假设'!Y32</x:f>
        <x:v>2.7038960000000003|6.474413|2.1994012091898427|2.18|0.070478579|0|1.084645|0.102838|1.368324|0.36859200000000003|0.364962|0.1|0.2|0.02|0.1|9.75|4|2.2|0.402|0.26|0.095|0.37|2.09|0.64|0.07|0.15|0.25|0.25|0.055|1.845|1.45|3.1|0.9|0.5|0.08|0.12|0|10.3|4.4|2.28|0.4|0.25|0.09|0.38|2.25|0.68|0.1|0.17|0.32|0.25|0.06|1.86|1.6|3|0.38|0.25|0.09|0.1|1.9|10.8|4.9|2.36|0.398|0.26|0.09|0.39|2.37|0.72|0.11|0.15|0.36|0.25|0.06|1.9|1.75|2.7|0.42|0.2|0.1|0.1|1.3|11.4|5.5|2.44|0.397|0.27|0.09|0.4|2.5|0.77|0.12|0.13|0.38|0.25|0.06|1.95|1.86|2.5|0.44|0.18|0.11|0.12|1|12|6.1|2.52|0.395|0.28|0.1|0.41|2.63|0.82|0.13|0.12|0.39|0.25|0.06|2|1.98|2.3|0.46|0.16|0.12|0.14|0.7|12.6|6.7|2.6|0.39|0.28|0.1|0.42|2.76|0.87|0.14|0.11|0.4|0.25|0.06|2.05|2.1|2.2|0.48|0.15|0.13|0.16|0.5|13.2|7.3|2.68|0.385|0.28|0.1|0.43|2.9|0.92|0.15|0.1|0.42|0.25|0.06|2.1|2.23|2.1|0.5|0.15|0.14|0.18|0.3</x:v>
      </x:c>
    </x:row>
    <x:row r="575" ht="23" customHeight="1">
      <x:c r="A575" s="11" t="str">
        <x:v>03759.HK</x:v>
      </x:c>
      <x:c r="B575" s="11" t="str">
        <x:v>康龙化成</x:v>
      </x:c>
      <x:c r="C575" s="11" t="str">
        <x:v>五年</x:v>
      </x:c>
      <x:c r="D575" s="11" t="str">
        <x:v>基准</x:v>
      </x:c>
      <x:c r="E575" s="11" t="n">
        <x:v>30.6</x:v>
      </x:c>
      <x:c r="F575" s="11" t="n">
        <x:v>70.72786461074874</x:v>
      </x:c>
      <x:c r="G575" s="11" t="n">
        <x:v>2.3540000000000005</x:v>
      </x:c>
      <x:c r="H575" s="25" t="n">
        <x:v>1.3113681245342725</x:v>
      </x:c>
      <x:c r="I575" s="25" t="n">
        <x:v>1.3882962291094358</x:v>
      </x:c>
      <x:c r="J575" s="25" t="n">
        <x:v>0.19019367665907083</x:v>
      </x:c>
      <x:c r="K575" s="11" t="n">
        <x:v>2.6790857807101784</x:v>
      </x:c>
      <x:c r="L575" s="11" t="n">
        <x:v>24</x:v>
      </x:c>
      <x:c r="M575" s="11" t="n">
        <x:v>1.1</x:v>
      </x:c>
      <x:c r="N575" s="11" t="n">
        <x:v>2.3540000000000005</x:v>
      </x:c>
      <x:c r="O575" s="11" t="n">
        <x:v>34.81</x:v>
      </x:c>
      <x:c r="P575" s="11" t="n">
        <x:v>0.15242378626831368</x:v>
      </x:c>
      <x:c r="Q575" s="11" t="n">
        <x:v>1.980478579</x:v>
      </x:c>
      <x:c r="R575" s="11" t="str">
        <x:v>pharmaron-v1-segment-normal-profit-cashroll-CBchoice</x:v>
      </x:c>
      <x:c r="S575" s="11" t="str">
        <x:v>2026-10-10</x:v>
      </x:c>
      <x:c r="T575" s="11" t="str">
        <x:f>IF(AND(SUM(IF(K575='假设'!E765,0,1),IF(L575='假设'!F765,0,1),IF(M575='假设'!G765,0,1),IF(N575='假设'!H765,0,1),IF(O575='假设'!I765,0,1),IF(P575='假设'!J765,0,1),IF(Q575='假设'!K765,0,1))=0,U575=V575),"已刷新","待刷新")</x:f>
        <x:v>待刷新</x:v>
      </x:c>
      <x:c r="U575" t="str">
        <x:v>2.7038960000000003|6.474413|2.1994012091898427|2.18|0.070478579|1|1.084645|0.102838|1.368324|0.36859200000000003|0.364962|0.1|0.2|0.02|0.1|10|4.3|2.38|0.418|0.288|0.108|0.375|2.1|0.645|0.05|0.07|0.23|0.22|0.05|1.845|1.45|3|0.9|0.5|0.08|0.24|0|11.65|5.65|2.73|0.42|0.31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  <x:c r="V575" t="str">
        <x:f>'转债资金假设'!C9&amp;"|"&amp;'转债资金假设'!D9&amp;"|"&amp;'转债资金假设'!E9&amp;"|"&amp;'转债资金假设'!F9&amp;"|"&amp;'转债资金假设'!G9&amp;"|"&amp;'转债资金假设'!H9&amp;"|"&amp;'转债资金假设'!I9&amp;"|"&amp;'转债资金假设'!J9&amp;"|"&amp;'转债资金假设'!K9&amp;"|"&amp;'转债资金假设'!L9&amp;"|"&amp;'转债资金假设'!M9&amp;"|"&amp;'转债资金假设'!N9&amp;"|"&amp;'转债资金假设'!O9&amp;"|"&amp;'转债资金假设'!P9&amp;"|"&amp;'转债资金假设'!Q9&amp;"|"&amp;'年度分部假设'!D9&amp;"|"&amp;'年度分部假设'!E9&amp;"|"&amp;'年度分部假设'!F9&amp;"|"&amp;'年度分部假设'!G9&amp;"|"&amp;'年度分部假设'!H9&amp;"|"&amp;'年度分部假设'!I9&amp;"|"&amp;'年度分部假设'!J9&amp;"|"&amp;'年度分部假设'!K9&amp;"|"&amp;'年度分部假设'!L9&amp;"|"&amp;'年度分部假设'!M9&amp;"|"&amp;'年度分部假设'!N9&amp;"|"&amp;'年度分部假设'!O9&amp;"|"&amp;'年度分部假设'!P9&amp;"|"&amp;'年度分部假设'!Q9&amp;"|"&amp;'年度分部假设'!R9&amp;"|"&amp;'年度分部假设'!S9&amp;"|"&amp;'年度分部假设'!T9&amp;"|"&amp;'年度分部假设'!U9&amp;"|"&amp;'年度分部假设'!V9&amp;"|"&amp;'年度分部假设'!W9&amp;"|"&amp;'年度分部假设'!X9&amp;"|"&amp;'年度分部假设'!Y9&amp;"|"&amp;'年度分部假设'!D13&amp;"|"&amp;'年度分部假设'!E13&amp;"|"&amp;'年度分部假设'!F13&amp;"|"&amp;'年度分部假设'!G13&amp;"|"&amp;'年度分部假设'!H13&amp;"|"&amp;'年度分部假设'!I13&amp;"|"&amp;'年度分部假设'!J13&amp;"|"&amp;'年度分部假设'!K13&amp;"|"&amp;'年度分部假设'!L13&amp;"|"&amp;'年度分部假设'!M13&amp;"|"&amp;'年度分部假设'!N13&amp;"|"&amp;'年度分部假设'!O13&amp;"|"&amp;'年度分部假设'!P13&amp;"|"&amp;'年度分部假设'!Q13&amp;"|"&amp;'年度分部假设'!R13&amp;"|"&amp;'年度分部假设'!S13&amp;"|"&amp;'年度分部假设'!T13&amp;"|"&amp;'年度分部假设'!U13&amp;"|"&amp;'年度分部假设'!V13&amp;"|"&amp;'年度分部假设'!W13&amp;"|"&amp;'年度分部假设'!X13&amp;"|"&amp;'年度分部假设'!Y13&amp;"|"&amp;'年度分部假设'!D17&amp;"|"&amp;'年度分部假设'!E17&amp;"|"&amp;'年度分部假设'!F17&amp;"|"&amp;'年度分部假设'!G17&amp;"|"&amp;'年度分部假设'!H17&amp;"|"&amp;'年度分部假设'!I17&amp;"|"&amp;'年度分部假设'!J17&amp;"|"&amp;'年度分部假设'!K17&amp;"|"&amp;'年度分部假设'!L17&amp;"|"&amp;'年度分部假设'!M17&amp;"|"&amp;'年度分部假设'!N17&amp;"|"&amp;'年度分部假设'!O17&amp;"|"&amp;'年度分部假设'!P17&amp;"|"&amp;'年度分部假设'!Q17&amp;"|"&amp;'年度分部假设'!R17&amp;"|"&amp;'年度分部假设'!S17&amp;"|"&amp;'年度分部假设'!T17&amp;"|"&amp;'年度分部假设'!U17&amp;"|"&amp;'年度分部假设'!V17&amp;"|"&amp;'年度分部假设'!W17&amp;"|"&amp;'年度分部假设'!X17&amp;"|"&amp;'年度分部假设'!Y17&amp;"|"&amp;'年度分部假设'!D21&amp;"|"&amp;'年度分部假设'!E21&amp;"|"&amp;'年度分部假设'!F21&amp;"|"&amp;'年度分部假设'!G21&amp;"|"&amp;'年度分部假设'!H21&amp;"|"&amp;'年度分部假设'!I21&amp;"|"&amp;'年度分部假设'!J21&amp;"|"&amp;'年度分部假设'!K21&amp;"|"&amp;'年度分部假设'!L21&amp;"|"&amp;'年度分部假设'!M21&amp;"|"&amp;'年度分部假设'!N21&amp;"|"&amp;'年度分部假设'!O21&amp;"|"&amp;'年度分部假设'!P21&amp;"|"&amp;'年度分部假设'!Q21&amp;"|"&amp;'年度分部假设'!R21&amp;"|"&amp;'年度分部假设'!S21&amp;"|"&amp;'年度分部假设'!T21&amp;"|"&amp;'年度分部假设'!U21&amp;"|"&amp;'年度分部假设'!V21&amp;"|"&amp;'年度分部假设'!W21&amp;"|"&amp;'年度分部假设'!X21&amp;"|"&amp;'年度分部假设'!Y21&amp;"|"&amp;'年度分部假设'!D25&amp;"|"&amp;'年度分部假设'!E25&amp;"|"&amp;'年度分部假设'!F25&amp;"|"&amp;'年度分部假设'!G25&amp;"|"&amp;'年度分部假设'!H25&amp;"|"&amp;'年度分部假设'!I25&amp;"|"&amp;'年度分部假设'!J25&amp;"|"&amp;'年度分部假设'!K25&amp;"|"&amp;'年度分部假设'!L25&amp;"|"&amp;'年度分部假设'!M25&amp;"|"&amp;'年度分部假设'!N25&amp;"|"&amp;'年度分部假设'!O25&amp;"|"&amp;'年度分部假设'!P25&amp;"|"&amp;'年度分部假设'!Q25&amp;"|"&amp;'年度分部假设'!R25&amp;"|"&amp;'年度分部假设'!S25&amp;"|"&amp;'年度分部假设'!T25&amp;"|"&amp;'年度分部假设'!U25&amp;"|"&amp;'年度分部假设'!V25&amp;"|"&amp;'年度分部假设'!W25&amp;"|"&amp;'年度分部假设'!X25&amp;"|"&amp;'年度分部假设'!Y25&amp;"|"&amp;'年度分部假设'!D29&amp;"|"&amp;'年度分部假设'!E29&amp;"|"&amp;'年度分部假设'!F29&amp;"|"&amp;'年度分部假设'!G29&amp;"|"&amp;'年度分部假设'!H29&amp;"|"&amp;'年度分部假设'!I29&amp;"|"&amp;'年度分部假设'!J29&amp;"|"&amp;'年度分部假设'!K29&amp;"|"&amp;'年度分部假设'!L29&amp;"|"&amp;'年度分部假设'!M29&amp;"|"&amp;'年度分部假设'!N29&amp;"|"&amp;'年度分部假设'!O29&amp;"|"&amp;'年度分部假设'!P29&amp;"|"&amp;'年度分部假设'!Q29&amp;"|"&amp;'年度分部假设'!R29&amp;"|"&amp;'年度分部假设'!S29&amp;"|"&amp;'年度分部假设'!T29&amp;"|"&amp;'年度分部假设'!U29&amp;"|"&amp;'年度分部假设'!V29&amp;"|"&amp;'年度分部假设'!W29&amp;"|"&amp;'年度分部假设'!X29&amp;"|"&amp;'年度分部假设'!Y29&amp;"|"&amp;'年度分部假设'!D33&amp;"|"&amp;'年度分部假设'!E33&amp;"|"&amp;'年度分部假设'!F33&amp;"|"&amp;'年度分部假设'!G33&amp;"|"&amp;'年度分部假设'!H33&amp;"|"&amp;'年度分部假设'!I33&amp;"|"&amp;'年度分部假设'!J33&amp;"|"&amp;'年度分部假设'!K33&amp;"|"&amp;'年度分部假设'!L33&amp;"|"&amp;'年度分部假设'!M33&amp;"|"&amp;'年度分部假设'!N33&amp;"|"&amp;'年度分部假设'!O33&amp;"|"&amp;'年度分部假设'!P33&amp;"|"&amp;'年度分部假设'!Q33&amp;"|"&amp;'年度分部假设'!R33&amp;"|"&amp;'年度分部假设'!S33&amp;"|"&amp;'年度分部假设'!T33&amp;"|"&amp;'年度分部假设'!U33&amp;"|"&amp;'年度分部假设'!V33&amp;"|"&amp;'年度分部假设'!W33&amp;"|"&amp;'年度分部假设'!X33&amp;"|"&amp;'年度分部假设'!Y33</x:f>
        <x:v>2.7038960000000003|6.474413|2.1994012091898427|2.18|0.070478579|0|1.084645|0.102838|1.368324|0.36859200000000003|0.364962|0.1|0.2|0.02|0.1|10|4.3|2.38|0.418|0.288|0.108|0.375|2.1|0.645|0.05|0.07|0.23|0.22|0.05|1.845|1.45|3|0.9|0.5|0.08|0.24|0|11.65|5.65|2.73|0.42|0.32|0.115|0.43|2.4|0.75|0.06|0.05|0.23|0.22|0.04|1.85|1.62|3.2|1.08|0.3|0.1|0.32|0|13.2|7.15|3.1|0.423|0.33|0.13|0.49|2.7|0.87|0.07|0.05|0.23|0.22|0.03|1.865|1.79|3.2|1.25|0.25|0.12|0.42|-0.3|14.85|8.8|3.49|0.425|0.342|0.145|0.55|3|1|0.08|0.05|0.23|0.22|0.02|1.88|1.96|3|1.38|0.2|0.14|0.52|-0.5|16.5|10.5|3.9|0.424|0.35|0.155|0.61|3.3|1.12|0.09|0.05|0.22|0.22|0.01|1.895|2.12|2.8|1.47|0.2|0.16|0.64|-0.8|18.15|12.3|4.34|0.422|0.35|0.165|0.68|3.6|1.24|0.1|0.05|0.21|0.22|0|1.91|2.27|2.6|1.54|0.2|0.18|0.76|-1|19.8|14.1|4.78|0.42|0.35|0.17|0.75|3.9|1.36|0.11|0.05|0.2|0.22|0|1.925|2.42|2.5|1.6|0.2|0.2|0.88|-1</x:v>
      </x:c>
    </x:row>
    <x:row r="576" ht="23" customHeight="1">
      <x:c r="A576" s="11" t="str">
        <x:v>03759.HK</x:v>
      </x:c>
      <x:c r="B576" s="11" t="str">
        <x:v>康龙化成</x:v>
      </x:c>
      <x:c r="C576" s="11" t="str">
        <x:v>五年</x:v>
      </x:c>
      <x:c r="D576" s="11" t="str">
        <x:v>乐观</x:v>
      </x:c>
      <x:c r="E576" s="11" t="n">
        <x:v>30.6</x:v>
      </x:c>
      <x:c r="F576" s="11" t="n">
        <x:v>164.81083080676936</x:v>
      </x:c>
      <x:c r="G576" s="11" t="n">
        <x:v>3.729</x:v>
      </x:c>
      <x:c r="H576" s="25" t="n">
        <x:v>4.385974862966319</x:v>
      </x:c>
      <x:c r="I576" s="25" t="n">
        <x:v>4.507837608064358</x:v>
      </x:c>
      <x:c r="J576" s="25" t="n">
        <x:v>0.4066829561327361</x:v>
      </x:c>
      <x:c r="K576" s="11" t="n">
        <x:v>4.994267600205132</x:v>
      </x:c>
      <x:c r="L576" s="11" t="n">
        <x:v>30</x:v>
      </x:c>
      <x:c r="M576" s="11" t="n">
        <x:v>1.1</x:v>
      </x:c>
      <x:c r="N576" s="11" t="n">
        <x:v>3.729</x:v>
      </x:c>
      <x:c r="O576" s="11" t="n">
        <x:v>47.30000000000001</x:v>
      </x:c>
      <x:c r="P576" s="11" t="n">
        <x:v>0.20911289640591957</x:v>
      </x:c>
      <x:c r="Q576" s="11" t="n">
        <x:v>1.980478579</x:v>
      </x:c>
      <x:c r="R576" s="11" t="str">
        <x:v>pharmaron-v1-segment-normal-profit-cashroll-CBchoice</x:v>
      </x:c>
      <x:c r="S576" s="11" t="str">
        <x:v>2026-10-10</x:v>
      </x:c>
      <x:c r="T576" s="11" t="str">
        <x:f>IF(AND(SUM(IF(K576='假设'!E766,0,1),IF(L576='假设'!F766,0,1),IF(M576='假设'!G766,0,1),IF(N576='假设'!H766,0,1),IF(O576='假设'!I766,0,1),IF(P576='假设'!J766,0,1),IF(Q576='假设'!K766,0,1))=0,U576=V576),"已刷新","待刷新")</x:f>
        <x:v>已刷新</x:v>
      </x:c>
      <x:c r="U576" t="str"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  <x:c r="V576" t="str">
        <x:f>'转债资金假设'!C10&amp;"|"&amp;'转债资金假设'!D10&amp;"|"&amp;'转债资金假设'!E10&amp;"|"&amp;'转债资金假设'!F10&amp;"|"&amp;'转债资金假设'!G10&amp;"|"&amp;'转债资金假设'!H10&amp;"|"&amp;'转债资金假设'!I10&amp;"|"&amp;'转债资金假设'!J10&amp;"|"&amp;'转债资金假设'!K10&amp;"|"&amp;'转债资金假设'!L10&amp;"|"&amp;'转债资金假设'!M10&amp;"|"&amp;'转债资金假设'!N10&amp;"|"&amp;'转债资金假设'!O10&amp;"|"&amp;'转债资金假设'!P10&amp;"|"&amp;'转债资金假设'!Q10&amp;"|"&amp;'年度分部假设'!D10&amp;"|"&amp;'年度分部假设'!E10&amp;"|"&amp;'年度分部假设'!F10&amp;"|"&amp;'年度分部假设'!G10&amp;"|"&amp;'年度分部假设'!H10&amp;"|"&amp;'年度分部假设'!I10&amp;"|"&amp;'年度分部假设'!J10&amp;"|"&amp;'年度分部假设'!K10&amp;"|"&amp;'年度分部假设'!L10&amp;"|"&amp;'年度分部假设'!M10&amp;"|"&amp;'年度分部假设'!N10&amp;"|"&amp;'年度分部假设'!O10&amp;"|"&amp;'年度分部假设'!P10&amp;"|"&amp;'年度分部假设'!Q10&amp;"|"&amp;'年度分部假设'!R10&amp;"|"&amp;'年度分部假设'!S10&amp;"|"&amp;'年度分部假设'!T10&amp;"|"&amp;'年度分部假设'!U10&amp;"|"&amp;'年度分部假设'!V10&amp;"|"&amp;'年度分部假设'!W10&amp;"|"&amp;'年度分部假设'!X10&amp;"|"&amp;'年度分部假设'!Y10&amp;"|"&amp;'年度分部假设'!D14&amp;"|"&amp;'年度分部假设'!E14&amp;"|"&amp;'年度分部假设'!F14&amp;"|"&amp;'年度分部假设'!G14&amp;"|"&amp;'年度分部假设'!H14&amp;"|"&amp;'年度分部假设'!I14&amp;"|"&amp;'年度分部假设'!J14&amp;"|"&amp;'年度分部假设'!K14&amp;"|"&amp;'年度分部假设'!L14&amp;"|"&amp;'年度分部假设'!M14&amp;"|"&amp;'年度分部假设'!N14&amp;"|"&amp;'年度分部假设'!O14&amp;"|"&amp;'年度分部假设'!P14&amp;"|"&amp;'年度分部假设'!Q14&amp;"|"&amp;'年度分部假设'!R14&amp;"|"&amp;'年度分部假设'!S14&amp;"|"&amp;'年度分部假设'!T14&amp;"|"&amp;'年度分部假设'!U14&amp;"|"&amp;'年度分部假设'!V14&amp;"|"&amp;'年度分部假设'!W14&amp;"|"&amp;'年度分部假设'!X14&amp;"|"&amp;'年度分部假设'!Y14&amp;"|"&amp;'年度分部假设'!D18&amp;"|"&amp;'年度分部假设'!E18&amp;"|"&amp;'年度分部假设'!F18&amp;"|"&amp;'年度分部假设'!G18&amp;"|"&amp;'年度分部假设'!H18&amp;"|"&amp;'年度分部假设'!I18&amp;"|"&amp;'年度分部假设'!J18&amp;"|"&amp;'年度分部假设'!K18&amp;"|"&amp;'年度分部假设'!L18&amp;"|"&amp;'年度分部假设'!M18&amp;"|"&amp;'年度分部假设'!N18&amp;"|"&amp;'年度分部假设'!O18&amp;"|"&amp;'年度分部假设'!P18&amp;"|"&amp;'年度分部假设'!Q18&amp;"|"&amp;'年度分部假设'!R18&amp;"|"&amp;'年度分部假设'!S18&amp;"|"&amp;'年度分部假设'!T18&amp;"|"&amp;'年度分部假设'!U18&amp;"|"&amp;'年度分部假设'!V18&amp;"|"&amp;'年度分部假设'!W18&amp;"|"&amp;'年度分部假设'!X18&amp;"|"&amp;'年度分部假设'!Y18&amp;"|"&amp;'年度分部假设'!D22&amp;"|"&amp;'年度分部假设'!E22&amp;"|"&amp;'年度分部假设'!F22&amp;"|"&amp;'年度分部假设'!G22&amp;"|"&amp;'年度分部假设'!H22&amp;"|"&amp;'年度分部假设'!I22&amp;"|"&amp;'年度分部假设'!J22&amp;"|"&amp;'年度分部假设'!K22&amp;"|"&amp;'年度分部假设'!L22&amp;"|"&amp;'年度分部假设'!M22&amp;"|"&amp;'年度分部假设'!N22&amp;"|"&amp;'年度分部假设'!O22&amp;"|"&amp;'年度分部假设'!P22&amp;"|"&amp;'年度分部假设'!Q22&amp;"|"&amp;'年度分部假设'!R22&amp;"|"&amp;'年度分部假设'!S22&amp;"|"&amp;'年度分部假设'!T22&amp;"|"&amp;'年度分部假设'!U22&amp;"|"&amp;'年度分部假设'!V22&amp;"|"&amp;'年度分部假设'!W22&amp;"|"&amp;'年度分部假设'!X22&amp;"|"&amp;'年度分部假设'!Y22&amp;"|"&amp;'年度分部假设'!D26&amp;"|"&amp;'年度分部假设'!E26&amp;"|"&amp;'年度分部假设'!F26&amp;"|"&amp;'年度分部假设'!G26&amp;"|"&amp;'年度分部假设'!H26&amp;"|"&amp;'年度分部假设'!I26&amp;"|"&amp;'年度分部假设'!J26&amp;"|"&amp;'年度分部假设'!K26&amp;"|"&amp;'年度分部假设'!L26&amp;"|"&amp;'年度分部假设'!M26&amp;"|"&amp;'年度分部假设'!N26&amp;"|"&amp;'年度分部假设'!O26&amp;"|"&amp;'年度分部假设'!P26&amp;"|"&amp;'年度分部假设'!Q26&amp;"|"&amp;'年度分部假设'!R26&amp;"|"&amp;'年度分部假设'!S26&amp;"|"&amp;'年度分部假设'!T26&amp;"|"&amp;'年度分部假设'!U26&amp;"|"&amp;'年度分部假设'!V26&amp;"|"&amp;'年度分部假设'!W26&amp;"|"&amp;'年度分部假设'!X26&amp;"|"&amp;'年度分部假设'!Y26&amp;"|"&amp;'年度分部假设'!D30&amp;"|"&amp;'年度分部假设'!E30&amp;"|"&amp;'年度分部假设'!F30&amp;"|"&amp;'年度分部假设'!G30&amp;"|"&amp;'年度分部假设'!H30&amp;"|"&amp;'年度分部假设'!I30&amp;"|"&amp;'年度分部假设'!J30&amp;"|"&amp;'年度分部假设'!K30&amp;"|"&amp;'年度分部假设'!L30&amp;"|"&amp;'年度分部假设'!M30&amp;"|"&amp;'年度分部假设'!N30&amp;"|"&amp;'年度分部假设'!O30&amp;"|"&amp;'年度分部假设'!P30&amp;"|"&amp;'年度分部假设'!Q30&amp;"|"&amp;'年度分部假设'!R30&amp;"|"&amp;'年度分部假设'!S30&amp;"|"&amp;'年度分部假设'!T30&amp;"|"&amp;'年度分部假设'!U30&amp;"|"&amp;'年度分部假设'!V30&amp;"|"&amp;'年度分部假设'!W30&amp;"|"&amp;'年度分部假设'!X30&amp;"|"&amp;'年度分部假设'!Y30&amp;"|"&amp;'年度分部假设'!D34&amp;"|"&amp;'年度分部假设'!E34&amp;"|"&amp;'年度分部假设'!F34&amp;"|"&amp;'年度分部假设'!G34&amp;"|"&amp;'年度分部假设'!H34&amp;"|"&amp;'年度分部假设'!I34&amp;"|"&amp;'年度分部假设'!J34&amp;"|"&amp;'年度分部假设'!K34&amp;"|"&amp;'年度分部假设'!L34&amp;"|"&amp;'年度分部假设'!M34&amp;"|"&amp;'年度分部假设'!N34&amp;"|"&amp;'年度分部假设'!O34&amp;"|"&amp;'年度分部假设'!P34&amp;"|"&amp;'年度分部假设'!Q34&amp;"|"&amp;'年度分部假设'!R34&amp;"|"&amp;'年度分部假设'!S34&amp;"|"&amp;'年度分部假设'!T34&amp;"|"&amp;'年度分部假设'!U34&amp;"|"&amp;'年度分部假设'!V34&amp;"|"&amp;'年度分部假设'!W34&amp;"|"&amp;'年度分部假设'!X34&amp;"|"&amp;'年度分部假设'!Y34</x:f>
        <x:v>2.7038960000000003|6.474413|2.1994012091898427|2.18|0.070478579|1|1.084645|0.102838|1.368324|0.36859200000000003|0.364962|0.1|0.2|0.02|0.1|10.3|4.5|2.5|0.435|0.31|0.12|0.385|2.12|0.66|0.04|0|0.22|0.2|0.045|1.845|1.45|3.1|0.9|0.5|0.08|0.28|0|12.2|6.3|3.02|0.45|0.35|0.15|0.46|2.43|0.79|0.045|0|0.2|0.2|0.03|1.85|1.7|3.5|1.55|0.35|0.12|0.44|-0.2|14.5|8.8|3.62|0.458|0.38|0.18|0.56|2.84|0.96|0.05|0|0.18|0.2|0.02|1.865|1.95|3.8|2.1|0.4|0.16|0.64|-0.5|17|11.8|4.3|0.46|0.4|0.2|0.67|3.3|1.17|0.055|0|0.15|0.2|0|1.88|2.2|4|2.6|0.45|0.2|0.88|-0.7|19.7|15.2|5.05|0.458|0.41|0.22|0.79|3.82|1.39|0.06|0|0.12|0.2|0|1.895|2.45|4|3|0.5|0.24|1.15|-1|22.6|18.8|5.88|0.455|0.415|0.235|0.92|4.4|1.62|0.065|0|0.1|0.2|0|1.91|2.7|3.8|3.35|0.55|0.28|1.45|-1|25.7|22.6|6.78|0.45|0.415|0.24|1.07|5.04|1.86|0.07|0|0.08|0.2|0|1.925|2.95|3.6|3.7|0.6|0.32|1.75|-1</x:v>
      </x:c>
    </x:row>
    <x:row r="577" ht="23" customHeight="1">
      <x:c r="A577" s="11" t="str">
        <x:v>09992.HK</x:v>
      </x:c>
      <x:c r="B577" s="11" t="str">
        <x:v>泡泡玛特</x:v>
      </x:c>
      <x:c r="C577" s="11" t="str">
        <x:v>2026年底</x:v>
      </x:c>
      <x:c r="D577" s="11" t="str">
        <x:v>悲观</x:v>
      </x:c>
      <x:c r="E577" s="11" t="n">
        <x:v>152.3</x:v>
      </x:c>
      <x:c r="F577" s="11" t="n">
        <x:v>71.52</x:v>
      </x:c>
      <x:c r="G577" s="11" t="n">
        <x:v>0</x:v>
      </x:c>
      <x:c r="H577" s="25" t="n">
        <x:v>-0.5304005252790546</x:v>
      </x:c>
      <x:c r="I577" s="25" t="n">
        <x:v>-0.5304005252790546</x:v>
      </x:c>
      <x:c r="J577" s="25" t="str"/>
      <x:c r="K577" s="11" t="n">
        <x:v>4.644</x:v>
      </x:c>
      <x:c r="L577" s="11" t="n">
        <x:v>14</x:v>
      </x:c>
      <x:c r="M577" s="11" t="n">
        <x:v>1.1</x:v>
      </x:c>
      <x:c r="N577" s="11" t="n">
        <x:v>0</x:v>
      </x:c>
      <x:c r="O577" s="11" t="str"/>
      <x:c r="P577" s="11" t="str"/>
      <x:c r="Q577" s="11" t="str"/>
      <x:c r="R577" s="11" t="str">
        <x:v>popmart-normalized-geography-v1.0</x:v>
      </x:c>
      <x:c r="S577" s="11" t="str">
        <x:v>2026-10-10</x:v>
      </x:c>
      <x:c r="T577" s="11" t="str">
        <x:f>IF(AND(SUM(IF(K577='假设'!E768,0,1),IF(L577='假设'!F768,0,1),IF(M577='假设'!G768,0,1),IF(N577='假设'!H768,0,1),IF(O577='假设'!I768,0,1),IF(P577='假设'!J768,0,1),IF(Q577='假设'!K768,0,1))=0,U577=V577),"已刷新","待刷新")</x:f>
        <x:v>已刷新</x:v>
      </x:c>
      <x:c r="U577" t="str">
        <x:v>22|0.42|6.5|0.16|1.8|0.05|0.25|0.98|1.35</x:v>
      </x:c>
      <x:c r="V577" t="str">
        <x:f>'地域经营假设'!D8&amp;"|"&amp;'地域经营假设'!E8&amp;"|"&amp;'地域经营假设'!F8&amp;"|"&amp;'地域经营假设'!G8&amp;"|"&amp;'地域经营假设'!H8&amp;"|"&amp;'地域经营假设'!I8&amp;"|"&amp;'地域经营假设'!J8&amp;"|"&amp;'地域经营假设'!K8&amp;"|"&amp;'地域经营假设'!L8</x:f>
        <x:v>22|0.42|6.5|0.16|1.8|0.05|0.25|0.98|1.35</x:v>
      </x:c>
    </x:row>
    <x:row r="578" ht="23" customHeight="1">
      <x:c r="A578" s="11" t="str">
        <x:v>09992.HK</x:v>
      </x:c>
      <x:c r="B578" s="11" t="str">
        <x:v>泡泡玛特</x:v>
      </x:c>
      <x:c r="C578" s="11" t="str">
        <x:v>2026年底</x:v>
      </x:c>
      <x:c r="D578" s="11" t="str">
        <x:v>基准</x:v>
      </x:c>
      <x:c r="E578" s="11" t="n">
        <x:v>152.3</x:v>
      </x:c>
      <x:c r="F578" s="11" t="n">
        <x:v>169.31</x:v>
      </x:c>
      <x:c r="G578" s="11" t="n">
        <x:v>0</x:v>
      </x:c>
      <x:c r="H578" s="25" t="n">
        <x:v>0.11168745896257382</x:v>
      </x:c>
      <x:c r="I578" s="25" t="n">
        <x:v>0.11168745896257382</x:v>
      </x:c>
      <x:c r="J578" s="25" t="str"/>
      <x:c r="K578" s="11" t="n">
        <x:v>7.696</x:v>
      </x:c>
      <x:c r="L578" s="11" t="n">
        <x:v>20</x:v>
      </x:c>
      <x:c r="M578" s="11" t="n">
        <x:v>1.1</x:v>
      </x:c>
      <x:c r="N578" s="11" t="n">
        <x:v>0</x:v>
      </x:c>
      <x:c r="O578" s="11" t="str"/>
      <x:c r="P578" s="11" t="str"/>
      <x:c r="Q578" s="11" t="str"/>
      <x:c r="R578" s="11" t="str">
        <x:v>popmart-normalized-geography-v1.0</x:v>
      </x:c>
      <x:c r="S578" s="11" t="str">
        <x:v>2026-10-10</x:v>
      </x:c>
      <x:c r="T578" s="11" t="str">
        <x:f>IF(AND(SUM(IF(K578='假设'!E769,0,1),IF(L578='假设'!F769,0,1),IF(M578='假设'!G769,0,1),IF(N578='假设'!H769,0,1),IF(O578='假设'!I769,0,1),IF(P578='假设'!J769,0,1),IF(Q578='假设'!K769,0,1))=0,U578=V578),"已刷新","待刷新")</x:f>
        <x:v>已刷新</x:v>
      </x:c>
      <x:c r="U578" t="str">
        <x:v>25.5|0.5|9.5|0.28|1.8|0.1|0.25|0.988|1.32</x:v>
      </x:c>
      <x:c r="V578" t="str">
        <x:f>'地域经营假设'!D9&amp;"|"&amp;'地域经营假设'!E9&amp;"|"&amp;'地域经营假设'!F9&amp;"|"&amp;'地域经营假设'!G9&amp;"|"&amp;'地域经营假设'!H9&amp;"|"&amp;'地域经营假设'!I9&amp;"|"&amp;'地域经营假设'!J9&amp;"|"&amp;'地域经营假设'!K9&amp;"|"&amp;'地域经营假设'!L9</x:f>
        <x:v>25.5|0.5|9.5|0.28|1.8|0.1|0.25|0.988|1.32</x:v>
      </x:c>
    </x:row>
    <x:row r="579" ht="23" customHeight="1">
      <x:c r="A579" s="11" t="str">
        <x:v>09992.HK</x:v>
      </x:c>
      <x:c r="B579" s="11" t="str">
        <x:v>泡泡玛特</x:v>
      </x:c>
      <x:c r="C579" s="11" t="str">
        <x:v>2026年底</x:v>
      </x:c>
      <x:c r="D579" s="11" t="str">
        <x:v>乐观</x:v>
      </x:c>
      <x:c r="E579" s="11" t="n">
        <x:v>152.3</x:v>
      </x:c>
      <x:c r="F579" s="11" t="n">
        <x:v>301.43</x:v>
      </x:c>
      <x:c r="G579" s="11" t="n">
        <x:v>0</x:v>
      </x:c>
      <x:c r="H579" s="25" t="n">
        <x:v>0.9791858174655284</x:v>
      </x:c>
      <x:c r="I579" s="25" t="n">
        <x:v>0.9791858174655284</x:v>
      </x:c>
      <x:c r="J579" s="25" t="str"/>
      <x:c r="K579" s="11" t="n">
        <x:v>10.149</x:v>
      </x:c>
      <x:c r="L579" s="11" t="n">
        <x:v>27</x:v>
      </x:c>
      <x:c r="M579" s="11" t="n">
        <x:v>1.1</x:v>
      </x:c>
      <x:c r="N579" s="11" t="n">
        <x:v>0</x:v>
      </x:c>
      <x:c r="O579" s="11" t="str"/>
      <x:c r="P579" s="11" t="str"/>
      <x:c r="Q579" s="11" t="str"/>
      <x:c r="R579" s="11" t="str">
        <x:v>popmart-normalized-geography-v1.0</x:v>
      </x:c>
      <x:c r="S579" s="11" t="str">
        <x:v>2026-10-10</x:v>
      </x:c>
      <x:c r="T579" s="11" t="str">
        <x:f>IF(AND(SUM(IF(K579='假设'!E770,0,1),IF(L579='假设'!F770,0,1),IF(M579='假设'!G770,0,1),IF(N579='假设'!H770,0,1),IF(O579='假设'!I770,0,1),IF(P579='假设'!J770,0,1),IF(Q579='假设'!K770,0,1))=0,U579=V579),"已刷新","待刷新")</x:f>
        <x:v>已刷新</x:v>
      </x:c>
      <x:c r="U579" t="str">
        <x:v>28|0.53|13|0.36|1.9|0.15|0.25|0.99|1.3</x:v>
      </x:c>
      <x:c r="V579" t="str">
        <x:f>'地域经营假设'!D10&amp;"|"&amp;'地域经营假设'!E10&amp;"|"&amp;'地域经营假设'!F10&amp;"|"&amp;'地域经营假设'!G10&amp;"|"&amp;'地域经营假设'!H10&amp;"|"&amp;'地域经营假设'!I10&amp;"|"&amp;'地域经营假设'!J10&amp;"|"&amp;'地域经营假设'!K10&amp;"|"&amp;'地域经营假设'!L10</x:f>
        <x:v>28|0.53|13|0.36|1.9|0.15|0.25|0.99|1.3</x:v>
      </x:c>
    </x:row>
    <x:row r="580" ht="23" customHeight="1">
      <x:c r="A580" s="11" t="str">
        <x:v>09992.HK</x:v>
      </x:c>
      <x:c r="B580" s="11" t="str">
        <x:v>泡泡玛特</x:v>
      </x:c>
      <x:c r="C580" s="11" t="str">
        <x:v>半年</x:v>
      </x:c>
      <x:c r="D580" s="11" t="str">
        <x:v>悲观</x:v>
      </x:c>
      <x:c r="E580" s="11" t="n">
        <x:v>152.3</x:v>
      </x:c>
      <x:c r="F580" s="11" t="n">
        <x:v>57.11</x:v>
      </x:c>
      <x:c r="G580" s="11" t="n">
        <x:v>0</x:v>
      </x:c>
      <x:c r="H580" s="25" t="n">
        <x:v>-0.6250164149704531</x:v>
      </x:c>
      <x:c r="I580" s="25" t="n">
        <x:v>-0.6250164149704531</x:v>
      </x:c>
      <x:c r="J580" s="25" t="str"/>
      <x:c r="K580" s="11" t="n">
        <x:v>3.994</x:v>
      </x:c>
      <x:c r="L580" s="11" t="n">
        <x:v>13</x:v>
      </x:c>
      <x:c r="M580" s="11" t="n">
        <x:v>1.1</x:v>
      </x:c>
      <x:c r="N580" s="11" t="n">
        <x:v>0</x:v>
      </x:c>
      <x:c r="O580" s="11" t="str"/>
      <x:c r="P580" s="11" t="str"/>
      <x:c r="Q580" s="11" t="str"/>
      <x:c r="R580" s="11" t="str">
        <x:v>popmart-normalized-geography-v1.0</x:v>
      </x:c>
      <x:c r="S580" s="11" t="str">
        <x:v>2026-10-10</x:v>
      </x:c>
      <x:c r="T580" s="11" t="str">
        <x:f>IF(AND(SUM(IF(K580='假设'!E772,0,1),IF(L580='假设'!F772,0,1),IF(M580='假设'!G772,0,1),IF(N580='假设'!H772,0,1),IF(O580='假设'!I772,0,1),IF(P580='假设'!J772,0,1),IF(Q580='假设'!K772,0,1))=0,U580=V580),"已刷新","待刷新")</x:f>
        <x:v>已刷新</x:v>
      </x:c>
      <x:c r="U580" t="str">
        <x:v>21|0.4|6|0.14|1.9|0.05|0.25|0.98|1.36</x:v>
      </x:c>
      <x:c r="V580" t="str">
        <x:f>'地域经营假设'!D12&amp;"|"&amp;'地域经营假设'!E12&amp;"|"&amp;'地域经营假设'!F12&amp;"|"&amp;'地域经营假设'!G12&amp;"|"&amp;'地域经营假设'!H12&amp;"|"&amp;'地域经营假设'!I12&amp;"|"&amp;'地域经营假设'!J12&amp;"|"&amp;'地域经营假设'!K12&amp;"|"&amp;'地域经营假设'!L12</x:f>
        <x:v>21|0.4|6|0.14|1.9|0.05|0.25|0.98|1.36</x:v>
      </x:c>
    </x:row>
    <x:row r="581" ht="23" customHeight="1">
      <x:c r="A581" s="11" t="str">
        <x:v>09992.HK</x:v>
      </x:c>
      <x:c r="B581" s="11" t="str">
        <x:v>泡泡玛特</x:v>
      </x:c>
      <x:c r="C581" s="11" t="str">
        <x:v>半年</x:v>
      </x:c>
      <x:c r="D581" s="11" t="str">
        <x:v>基准</x:v>
      </x:c>
      <x:c r="E581" s="11" t="n">
        <x:v>152.3</x:v>
      </x:c>
      <x:c r="F581" s="11" t="n">
        <x:v>195.86</x:v>
      </x:c>
      <x:c r="G581" s="11" t="n">
        <x:v>0</x:v>
      </x:c>
      <x:c r="H581" s="25" t="n">
        <x:v>0.28601444517399877</x:v>
      </x:c>
      <x:c r="I581" s="25" t="n">
        <x:v>0.28601444517399877</x:v>
      </x:c>
      <x:c r="J581" s="25" t="str"/>
      <x:c r="K581" s="11" t="n">
        <x:v>8.479</x:v>
      </x:c>
      <x:c r="L581" s="11" t="n">
        <x:v>21</x:v>
      </x:c>
      <x:c r="M581" s="11" t="n">
        <x:v>1.1</x:v>
      </x:c>
      <x:c r="N581" s="11" t="n">
        <x:v>0</x:v>
      </x:c>
      <x:c r="O581" s="11" t="str"/>
      <x:c r="P581" s="11" t="str"/>
      <x:c r="Q581" s="11" t="str"/>
      <x:c r="R581" s="11" t="str">
        <x:v>popmart-normalized-geography-v1.0</x:v>
      </x:c>
      <x:c r="S581" s="11" t="str">
        <x:v>2026-10-10</x:v>
      </x:c>
      <x:c r="T581" s="11" t="str">
        <x:f>IF(AND(SUM(IF(K581='假设'!E773,0,1),IF(L581='假设'!F773,0,1),IF(M581='假设'!G773,0,1),IF(N581='假设'!H773,0,1),IF(O581='假设'!I773,0,1),IF(P581='假设'!J773,0,1),IF(Q581='假设'!K773,0,1))=0,U581=V581),"已刷新","待刷新")</x:f>
        <x:v>已刷新</x:v>
      </x:c>
      <x:c r="U581" t="str">
        <x:v>27|0.5|10.8|0.3|1.85|0.1|0.25|0.988|1.31</x:v>
      </x:c>
      <x:c r="V581" t="str">
        <x:f>'地域经营假设'!D13&amp;"|"&amp;'地域经营假设'!E13&amp;"|"&amp;'地域经营假设'!F13&amp;"|"&amp;'地域经营假设'!G13&amp;"|"&amp;'地域经营假设'!H13&amp;"|"&amp;'地域经营假设'!I13&amp;"|"&amp;'地域经营假设'!J13&amp;"|"&amp;'地域经营假设'!K13&amp;"|"&amp;'地域经营假设'!L13</x:f>
        <x:v>27|0.5|10.8|0.3|1.85|0.1|0.25|0.988|1.31</x:v>
      </x:c>
    </x:row>
    <x:row r="582" ht="23" customHeight="1">
      <x:c r="A582" s="11" t="str">
        <x:v>09992.HK</x:v>
      </x:c>
      <x:c r="B582" s="11" t="str">
        <x:v>泡泡玛特</x:v>
      </x:c>
      <x:c r="C582" s="11" t="str">
        <x:v>半年</x:v>
      </x:c>
      <x:c r="D582" s="11" t="str">
        <x:v>乐观</x:v>
      </x:c>
      <x:c r="E582" s="11" t="n">
        <x:v>152.3</x:v>
      </x:c>
      <x:c r="F582" s="11" t="n">
        <x:v>356.85</x:v>
      </x:c>
      <x:c r="G582" s="11" t="n">
        <x:v>0</x:v>
      </x:c>
      <x:c r="H582" s="25" t="n">
        <x:v>1.3430728824688116</x:v>
      </x:c>
      <x:c r="I582" s="25" t="n">
        <x:v>1.3430728824688116</x:v>
      </x:c>
      <x:c r="J582" s="25" t="str"/>
      <x:c r="K582" s="11" t="n">
        <x:v>11.586</x:v>
      </x:c>
      <x:c r="L582" s="11" t="n">
        <x:v>28</x:v>
      </x:c>
      <x:c r="M582" s="11" t="n">
        <x:v>1.1</x:v>
      </x:c>
      <x:c r="N582" s="11" t="n">
        <x:v>0</x:v>
      </x:c>
      <x:c r="O582" s="11" t="str"/>
      <x:c r="P582" s="11" t="str"/>
      <x:c r="Q582" s="11" t="str"/>
      <x:c r="R582" s="11" t="str">
        <x:v>popmart-normalized-geography-v1.0</x:v>
      </x:c>
      <x:c r="S582" s="11" t="str">
        <x:v>2026-10-10</x:v>
      </x:c>
      <x:c r="T582" s="11" t="str">
        <x:f>IF(AND(SUM(IF(K582='假设'!E774,0,1),IF(L582='假设'!F774,0,1),IF(M582='假设'!G774,0,1),IF(N582='假设'!H774,0,1),IF(O582='假设'!I774,0,1),IF(P582='假设'!J774,0,1),IF(Q582='假设'!K774,0,1))=0,U582=V582),"已刷新","待刷新")</x:f>
        <x:v>已刷新</x:v>
      </x:c>
      <x:c r="U582" t="str">
        <x:v>30|0.53|16|0.38|2|0.15|0.25|0.99|1.29</x:v>
      </x:c>
      <x:c r="V582" t="str">
        <x:f>'地域经营假设'!D14&amp;"|"&amp;'地域经营假设'!E14&amp;"|"&amp;'地域经营假设'!F14&amp;"|"&amp;'地域经营假设'!G14&amp;"|"&amp;'地域经营假设'!H14&amp;"|"&amp;'地域经营假设'!I14&amp;"|"&amp;'地域经营假设'!J14&amp;"|"&amp;'地域经营假设'!K14&amp;"|"&amp;'地域经营假设'!L14</x:f>
        <x:v>30|0.53|16|0.38|2|0.15|0.25|0.99|1.29</x:v>
      </x:c>
    </x:row>
    <x:row r="583" ht="23" customHeight="1">
      <x:c r="A583" s="11" t="str">
        <x:v>09992.HK</x:v>
      </x:c>
      <x:c r="B583" s="11" t="str">
        <x:v>泡泡玛特</x:v>
      </x:c>
      <x:c r="C583" s="11" t="str">
        <x:v>一年</x:v>
      </x:c>
      <x:c r="D583" s="11" t="str">
        <x:v>悲观</x:v>
      </x:c>
      <x:c r="E583" s="11" t="n">
        <x:v>152.3</x:v>
      </x:c>
      <x:c r="F583" s="11" t="n">
        <x:v>50.48</x:v>
      </x:c>
      <x:c r="G583" s="11" t="n">
        <x:v>0.7</x:v>
      </x:c>
      <x:c r="H583" s="25" t="n">
        <x:v>-0.6685489166119502</x:v>
      </x:c>
      <x:c r="I583" s="25" t="n">
        <x:v>-0.6639527248850952</x:v>
      </x:c>
      <x:c r="J583" s="25" t="str"/>
      <x:c r="K583" s="11" t="n">
        <x:v>3.824</x:v>
      </x:c>
      <x:c r="L583" s="11" t="n">
        <x:v>12</x:v>
      </x:c>
      <x:c r="M583" s="11" t="n">
        <x:v>1.1</x:v>
      </x:c>
      <x:c r="N583" s="11" t="n">
        <x:v>0.7</x:v>
      </x:c>
      <x:c r="O583" s="11" t="str"/>
      <x:c r="P583" s="11" t="str"/>
      <x:c r="Q583" s="11" t="str"/>
      <x:c r="R583" s="11" t="str">
        <x:v>popmart-normalized-geography-v1.0</x:v>
      </x:c>
      <x:c r="S583" s="11" t="str">
        <x:v>2026-10-10</x:v>
      </x:c>
      <x:c r="T583" s="11" t="str">
        <x:f>IF(AND(SUM(IF(K583='假设'!E776,0,1),IF(L583='假设'!F776,0,1),IF(M583='假设'!G776,0,1),IF(N583='假设'!H776,0,1),IF(O583='假设'!I776,0,1),IF(P583='假设'!J776,0,1),IF(Q583='假设'!K776,0,1))=0,U583=V583),"已刷新","待刷新")</x:f>
        <x:v>已刷新</x:v>
      </x:c>
      <x:c r="U583" t="str">
        <x:v>21.5|0.39|6.2|0.12|2|0.05|0.25|0.98|1.38</x:v>
      </x:c>
      <x:c r="V583" t="str">
        <x:f>'地域经营假设'!D16&amp;"|"&amp;'地域经营假设'!E16&amp;"|"&amp;'地域经营假设'!F16&amp;"|"&amp;'地域经营假设'!G16&amp;"|"&amp;'地域经营假设'!H16&amp;"|"&amp;'地域经营假设'!I16&amp;"|"&amp;'地域经营假设'!J16&amp;"|"&amp;'地域经营假设'!K16&amp;"|"&amp;'地域经营假设'!L16</x:f>
        <x:v>21.5|0.39|6.2|0.12|2|0.05|0.25|0.98|1.38</x:v>
      </x:c>
    </x:row>
    <x:row r="584" ht="23" customHeight="1">
      <x:c r="A584" s="11" t="str">
        <x:v>09992.HK</x:v>
      </x:c>
      <x:c r="B584" s="11" t="str">
        <x:v>泡泡玛特</x:v>
      </x:c>
      <x:c r="C584" s="11" t="str">
        <x:v>一年</x:v>
      </x:c>
      <x:c r="D584" s="11" t="str">
        <x:v>基准</x:v>
      </x:c>
      <x:c r="E584" s="11" t="n">
        <x:v>152.3</x:v>
      </x:c>
      <x:c r="F584" s="11" t="n">
        <x:v>239.27</x:v>
      </x:c>
      <x:c r="G584" s="11" t="n">
        <x:v>2.2</x:v>
      </x:c>
      <x:c r="H584" s="25" t="n">
        <x:v>0.5710439921208141</x:v>
      </x:c>
      <x:c r="I584" s="25" t="n">
        <x:v>0.585489166119501</x:v>
      </x:c>
      <x:c r="J584" s="25" t="str"/>
      <x:c r="K584" s="11" t="n">
        <x:v>9.887</x:v>
      </x:c>
      <x:c r="L584" s="11" t="n">
        <x:v>22</x:v>
      </x:c>
      <x:c r="M584" s="11" t="n">
        <x:v>1.1</x:v>
      </x:c>
      <x:c r="N584" s="11" t="n">
        <x:v>2.2</x:v>
      </x:c>
      <x:c r="O584" s="11" t="str"/>
      <x:c r="P584" s="11" t="str"/>
      <x:c r="Q584" s="11" t="str"/>
      <x:c r="R584" s="11" t="str">
        <x:v>popmart-normalized-geography-v1.0</x:v>
      </x:c>
      <x:c r="S584" s="11" t="str">
        <x:v>2026-10-10</x:v>
      </x:c>
      <x:c r="T584" s="11" t="str">
        <x:f>IF(AND(SUM(IF(K584='假设'!E777,0,1),IF(L584='假设'!F777,0,1),IF(M584='假设'!G777,0,1),IF(N584='假设'!H777,0,1),IF(O584='假设'!I777,0,1),IF(P584='假设'!J777,0,1),IF(Q584='假设'!K777,0,1))=0,U584=V584),"已刷新","待刷新")</x:f>
        <x:v>待刷新</x:v>
      </x:c>
      <x:c r="U584" t="str">
        <x:v>30|0.5|13|0.32|2|0.15|0.25|0.99|1.3</x:v>
      </x:c>
      <x:c r="V584" t="str">
        <x:f>'地域经营假设'!D17&amp;"|"&amp;'地域经营假设'!E17&amp;"|"&amp;'地域经营假设'!F17&amp;"|"&amp;'地域经营假设'!G17&amp;"|"&amp;'地域经营假设'!H17&amp;"|"&amp;'地域经营假设'!I17&amp;"|"&amp;'地域经营假设'!J17&amp;"|"&amp;'地域经营假设'!K17&amp;"|"&amp;'地域经营假设'!L17</x:f>
        <x:v>30|0.5|13|0.33|2|0.15|0.25|0.99|1.3</x:v>
      </x:c>
    </x:row>
    <x:row r="585" ht="23" customHeight="1">
      <x:c r="A585" s="11" t="str">
        <x:v>09992.HK</x:v>
      </x:c>
      <x:c r="B585" s="11" t="str">
        <x:v>泡泡玛特</x:v>
      </x:c>
      <x:c r="C585" s="11" t="str">
        <x:v>一年</x:v>
      </x:c>
      <x:c r="D585" s="11" t="str">
        <x:v>乐观</x:v>
      </x:c>
      <x:c r="E585" s="11" t="n">
        <x:v>152.3</x:v>
      </x:c>
      <x:c r="F585" s="11" t="n">
        <x:v>477.71</x:v>
      </x:c>
      <x:c r="G585" s="11" t="n">
        <x:v>3.5</x:v>
      </x:c>
      <x:c r="H585" s="25" t="n">
        <x:v>2.136638214051214</x:v>
      </x:c>
      <x:c r="I585" s="25" t="n">
        <x:v>2.1596191726854888</x:v>
      </x:c>
      <x:c r="J585" s="25" t="str"/>
      <x:c r="K585" s="11" t="n">
        <x:v>14.476</x:v>
      </x:c>
      <x:c r="L585" s="11" t="n">
        <x:v>30</x:v>
      </x:c>
      <x:c r="M585" s="11" t="n">
        <x:v>1.1</x:v>
      </x:c>
      <x:c r="N585" s="11" t="n">
        <x:v>3.5</x:v>
      </x:c>
      <x:c r="O585" s="11" t="str"/>
      <x:c r="P585" s="11" t="str"/>
      <x:c r="Q585" s="11" t="str"/>
      <x:c r="R585" s="11" t="str">
        <x:v>popmart-normalized-geography-v1.0</x:v>
      </x:c>
      <x:c r="S585" s="11" t="str">
        <x:v>2026-10-10</x:v>
      </x:c>
      <x:c r="T585" s="11" t="str">
        <x:f>IF(AND(SUM(IF(K585='假设'!E778,0,1),IF(L585='假设'!F778,0,1),IF(M585='假设'!G778,0,1),IF(N585='假设'!H778,0,1),IF(O585='假设'!I778,0,1),IF(P585='假设'!J778,0,1),IF(Q585='假设'!K778,0,1))=0,U585=V585),"已刷新","待刷新")</x:f>
        <x:v>已刷新</x:v>
      </x:c>
      <x:c r="U585" t="str">
        <x:v>34|0.54|21|0.4|2.2|0.2|0.25|0.99|1.27</x:v>
      </x:c>
      <x:c r="V585" t="str">
        <x:f>'地域经营假设'!D18&amp;"|"&amp;'地域经营假设'!E18&amp;"|"&amp;'地域经营假设'!F18&amp;"|"&amp;'地域经营假设'!G18&amp;"|"&amp;'地域经营假设'!H18&amp;"|"&amp;'地域经营假设'!I18&amp;"|"&amp;'地域经营假设'!J18&amp;"|"&amp;'地域经营假设'!K18&amp;"|"&amp;'地域经营假设'!L18</x:f>
        <x:v>34|0.54|21|0.4|2.2|0.2|0.25|0.99|1.27</x:v>
      </x:c>
    </x:row>
    <x:row r="586" ht="23" customHeight="1">
      <x:c r="A586" s="11" t="str">
        <x:v>09992.HK</x:v>
      </x:c>
      <x:c r="B586" s="11" t="str">
        <x:v>泡泡玛特</x:v>
      </x:c>
      <x:c r="C586" s="11" t="str">
        <x:v>三年</x:v>
      </x:c>
      <x:c r="D586" s="11" t="str">
        <x:v>悲观</x:v>
      </x:c>
      <x:c r="E586" s="11" t="n">
        <x:v>152.3</x:v>
      </x:c>
      <x:c r="F586" s="11" t="n">
        <x:v>35.33</x:v>
      </x:c>
      <x:c r="G586" s="11" t="n">
        <x:v>2</x:v>
      </x:c>
      <x:c r="H586" s="25" t="n">
        <x:v>-0.7680236375574524</x:v>
      </x:c>
      <x:c r="I586" s="25" t="n">
        <x:v>-0.7548916611950098</x:v>
      </x:c>
      <x:c r="J586" s="25" t="n">
        <x:v>-0.3741753062234219</x:v>
      </x:c>
      <x:c r="K586" s="11" t="n">
        <x:v>3.212</x:v>
      </x:c>
      <x:c r="L586" s="11" t="n">
        <x:v>10</x:v>
      </x:c>
      <x:c r="M586" s="11" t="n">
        <x:v>1.1</x:v>
      </x:c>
      <x:c r="N586" s="11" t="n">
        <x:v>2</x:v>
      </x:c>
      <x:c r="O586" s="11" t="str"/>
      <x:c r="P586" s="11" t="str"/>
      <x:c r="Q586" s="11" t="str"/>
      <x:c r="R586" s="11" t="str">
        <x:v>popmart-normalized-geography-v1.0</x:v>
      </x:c>
      <x:c r="S586" s="11" t="str">
        <x:v>2026-10-10</x:v>
      </x:c>
      <x:c r="T586" s="11" t="str">
        <x:f>IF(AND(SUM(IF(K586='假设'!E780,0,1),IF(L586='假设'!F780,0,1),IF(M586='假设'!G780,0,1),IF(N586='假设'!H780,0,1),IF(O586='假设'!I780,0,1),IF(P586='假设'!J780,0,1),IF(Q586='假设'!K780,0,1))=0,U586=V586),"已刷新","待刷新")</x:f>
        <x:v>已刷新</x:v>
      </x:c>
      <x:c r="U586" t="str">
        <x:v>23|0.34|7.5|0.1|2.3|0|0.25|0.97|1.42</x:v>
      </x:c>
      <x:c r="V586" t="str">
        <x:f>'地域经营假设'!D20&amp;"|"&amp;'地域经营假设'!E20&amp;"|"&amp;'地域经营假设'!F20&amp;"|"&amp;'地域经营假设'!G20&amp;"|"&amp;'地域经营假设'!H20&amp;"|"&amp;'地域经营假设'!I20&amp;"|"&amp;'地域经营假设'!J20&amp;"|"&amp;'地域经营假设'!K20&amp;"|"&amp;'地域经营假设'!L20</x:f>
        <x:v>23|0.34|7.5|0.1|2.3|0|0.25|0.97|1.42</x:v>
      </x:c>
    </x:row>
    <x:row r="587" ht="23" customHeight="1">
      <x:c r="A587" s="11" t="str">
        <x:v>09992.HK</x:v>
      </x:c>
      <x:c r="B587" s="11" t="str">
        <x:v>泡泡玛特</x:v>
      </x:c>
      <x:c r="C587" s="11" t="str">
        <x:v>三年</x:v>
      </x:c>
      <x:c r="D587" s="11" t="str">
        <x:v>基准</x:v>
      </x:c>
      <x:c r="E587" s="11" t="n">
        <x:v>152.3</x:v>
      </x:c>
      <x:c r="F587" s="11" t="n">
        <x:v>395.89</x:v>
      </x:c>
      <x:c r="G587" s="11" t="n">
        <x:v>8</x:v>
      </x:c>
      <x:c r="H587" s="25" t="n">
        <x:v>1.5994090610636897</x:v>
      </x:c>
      <x:c r="I587" s="25" t="n">
        <x:v>1.65193696651346</x:v>
      </x:c>
      <x:c r="J587" s="25" t="n">
        <x:v>0.384164582226981</x:v>
      </x:c>
      <x:c r="K587" s="11" t="n">
        <x:v>14.996</x:v>
      </x:c>
      <x:c r="L587" s="11" t="n">
        <x:v>24</x:v>
      </x:c>
      <x:c r="M587" s="11" t="n">
        <x:v>1.1</x:v>
      </x:c>
      <x:c r="N587" s="11" t="n">
        <x:v>8</x:v>
      </x:c>
      <x:c r="O587" s="11" t="str"/>
      <x:c r="P587" s="11" t="str"/>
      <x:c r="Q587" s="11" t="str"/>
      <x:c r="R587" s="11" t="str">
        <x:v>popmart-normalized-geography-v1.0</x:v>
      </x:c>
      <x:c r="S587" s="11" t="str">
        <x:v>2026-10-10</x:v>
      </x:c>
      <x:c r="T587" s="11" t="str">
        <x:f>IF(AND(SUM(IF(K587='假设'!E781,0,1),IF(L587='假设'!F781,0,1),IF(M587='假设'!G781,0,1),IF(N587='假设'!H781,0,1),IF(O587='假设'!I781,0,1),IF(P587='假设'!J781,0,1),IF(Q587='假设'!K781,0,1))=0,U587=V587),"已刷新","待刷新")</x:f>
        <x:v>已刷新</x:v>
      </x:c>
      <x:c r="U587" t="str">
        <x:v>41|0.49|24|0.34|2.8|0.2|0.25|0.99|1.27</x:v>
      </x:c>
      <x:c r="V587" t="str">
        <x:f>'地域经营假设'!D21&amp;"|"&amp;'地域经营假设'!E21&amp;"|"&amp;'地域经营假设'!F21&amp;"|"&amp;'地域经营假设'!G21&amp;"|"&amp;'地域经营假设'!H21&amp;"|"&amp;'地域经营假设'!I21&amp;"|"&amp;'地域经营假设'!J21&amp;"|"&amp;'地域经营假设'!K21&amp;"|"&amp;'地域经营假设'!L21</x:f>
        <x:v>41|0.49|24|0.34|2.8|0.2|0.25|0.99|1.27</x:v>
      </x:c>
    </x:row>
    <x:row r="588" ht="23" customHeight="1">
      <x:c r="A588" s="11" t="str">
        <x:v>09992.HK</x:v>
      </x:c>
      <x:c r="B588" s="11" t="str">
        <x:v>泡泡玛特</x:v>
      </x:c>
      <x:c r="C588" s="11" t="str">
        <x:v>三年</x:v>
      </x:c>
      <x:c r="D588" s="11" t="str">
        <x:v>乐观</x:v>
      </x:c>
      <x:c r="E588" s="11" t="n">
        <x:v>152.3</x:v>
      </x:c>
      <x:c r="F588" s="11" t="n">
        <x:v>1023.58</x:v>
      </x:c>
      <x:c r="G588" s="11" t="n">
        <x:v>14</x:v>
      </x:c>
      <x:c r="H588" s="25" t="n">
        <x:v>5.720814182534471</x:v>
      </x:c>
      <x:c r="I588" s="25" t="n">
        <x:v>5.812738017071569</x:v>
      </x:c>
      <x:c r="J588" s="25" t="n">
        <x:v>0.8957187089253626</x:v>
      </x:c>
      <x:c r="K588" s="11" t="n">
        <x:v>29.079</x:v>
      </x:c>
      <x:c r="L588" s="11" t="n">
        <x:v>32</x:v>
      </x:c>
      <x:c r="M588" s="11" t="n">
        <x:v>1.1</x:v>
      </x:c>
      <x:c r="N588" s="11" t="n">
        <x:v>14</x:v>
      </x:c>
      <x:c r="O588" s="11" t="str"/>
      <x:c r="P588" s="11" t="str"/>
      <x:c r="Q588" s="11" t="str"/>
      <x:c r="R588" s="11" t="str">
        <x:v>popmart-normalized-geography-v1.0</x:v>
      </x:c>
      <x:c r="S588" s="11" t="str">
        <x:v>2026-10-10</x:v>
      </x:c>
      <x:c r="T588" s="11" t="str">
        <x:f>IF(AND(SUM(IF(K588='假设'!E782,0,1),IF(L588='假设'!F782,0,1),IF(M588='假设'!G782,0,1),IF(N588='假设'!H782,0,1),IF(O588='假设'!I782,0,1),IF(P588='假设'!J782,0,1),IF(Q588='假设'!K782,0,1))=0,U588=V588),"已刷新","待刷新")</x:f>
        <x:v>已刷新</x:v>
      </x:c>
      <x:c r="U588" t="str">
        <x:v>58|0.54|48|0.42|4|0.3|0.25|0.99|1.22</x:v>
      </x:c>
      <x:c r="V588" t="str">
        <x:f>'地域经营假设'!D22&amp;"|"&amp;'地域经营假设'!E22&amp;"|"&amp;'地域经营假设'!F22&amp;"|"&amp;'地域经营假设'!G22&amp;"|"&amp;'地域经营假设'!H22&amp;"|"&amp;'地域经营假设'!I22&amp;"|"&amp;'地域经营假设'!J22&amp;"|"&amp;'地域经营假设'!K22&amp;"|"&amp;'地域经营假设'!L22</x:f>
        <x:v>58|0.54|48|0.42|4|0.3|0.25|0.99|1.22</x:v>
      </x:c>
    </x:row>
    <x:row r="589" ht="23" customHeight="1">
      <x:c r="A589" s="11" t="str">
        <x:v>09992.HK</x:v>
      </x:c>
      <x:c r="B589" s="11" t="str">
        <x:v>泡泡玛特</x:v>
      </x:c>
      <x:c r="C589" s="11" t="str">
        <x:v>五年</x:v>
      </x:c>
      <x:c r="D589" s="11" t="str">
        <x:v>悲观</x:v>
      </x:c>
      <x:c r="E589" s="11" t="n">
        <x:v>152.3</x:v>
      </x:c>
      <x:c r="F589" s="11" t="n">
        <x:v>27.35</x:v>
      </x:c>
      <x:c r="G589" s="11" t="n">
        <x:v>3.5</x:v>
      </x:c>
      <x:c r="H589" s="25" t="n">
        <x:v>-0.8204202232435982</x:v>
      </x:c>
      <x:c r="I589" s="25" t="n">
        <x:v>-0.7974392646093237</x:v>
      </x:c>
      <x:c r="J589" s="25" t="n">
        <x:v>-0.27337380030431035</x:v>
      </x:c>
      <x:c r="K589" s="11" t="n">
        <x:v>2.763</x:v>
      </x:c>
      <x:c r="L589" s="11" t="n">
        <x:v>9</x:v>
      </x:c>
      <x:c r="M589" s="11" t="n">
        <x:v>1.1</x:v>
      </x:c>
      <x:c r="N589" s="11" t="n">
        <x:v>3.5</x:v>
      </x:c>
      <x:c r="O589" s="11" t="str"/>
      <x:c r="P589" s="11" t="str"/>
      <x:c r="Q589" s="11" t="str"/>
      <x:c r="R589" s="11" t="str">
        <x:v>popmart-normalized-geography-v1.0</x:v>
      </x:c>
      <x:c r="S589" s="11" t="str">
        <x:v>2026-10-10</x:v>
      </x:c>
      <x:c r="T589" s="11" t="str">
        <x:f>IF(AND(SUM(IF(K589='假设'!E784,0,1),IF(L589='假设'!F784,0,1),IF(M589='假设'!G784,0,1),IF(N589='假设'!H784,0,1),IF(O589='假设'!I784,0,1),IF(P589='假设'!J784,0,1),IF(Q589='假设'!K784,0,1))=0,U589=V589),"已刷新","待刷新")</x:f>
        <x:v>已刷新</x:v>
      </x:c>
      <x:c r="U589" t="str">
        <x:v>25|0.3|9|0.08|2.6|0|0.25|0.97|1.48</x:v>
      </x:c>
      <x:c r="V589" t="str">
        <x:f>'地域经营假设'!D24&amp;"|"&amp;'地域经营假设'!E24&amp;"|"&amp;'地域经营假设'!F24&amp;"|"&amp;'地域经营假设'!G24&amp;"|"&amp;'地域经营假设'!H24&amp;"|"&amp;'地域经营假设'!I24&amp;"|"&amp;'地域经营假设'!J24&amp;"|"&amp;'地域经营假设'!K24&amp;"|"&amp;'地域经营假设'!L24</x:f>
        <x:v>25|0.3|9|0.08|2.6|0|0.25|0.97|1.48</x:v>
      </x:c>
    </x:row>
    <x:row r="590" ht="23" customHeight="1">
      <x:c r="A590" s="11" t="str">
        <x:v>09992.HK</x:v>
      </x:c>
      <x:c r="B590" s="11" t="str">
        <x:v>泡泡玛特</x:v>
      </x:c>
      <x:c r="C590" s="11" t="str">
        <x:v>五年</x:v>
      </x:c>
      <x:c r="D590" s="11" t="str">
        <x:v>基准</x:v>
      </x:c>
      <x:c r="E590" s="11" t="n">
        <x:v>152.3</x:v>
      </x:c>
      <x:c r="F590" s="11" t="n">
        <x:v>545.56</x:v>
      </x:c>
      <x:c r="G590" s="11" t="n">
        <x:v>17</x:v>
      </x:c>
      <x:c r="H590" s="25" t="n">
        <x:v>2.5821405121470775</x:v>
      </x:c>
      <x:c r="I590" s="25" t="n">
        <x:v>2.693762311227839</x:v>
      </x:c>
      <x:c r="J590" s="25" t="n">
        <x:v>0.2986549916005554</x:v>
      </x:c>
      <x:c r="K590" s="11" t="n">
        <x:v>20.665</x:v>
      </x:c>
      <x:c r="L590" s="11" t="n">
        <x:v>24</x:v>
      </x:c>
      <x:c r="M590" s="11" t="n">
        <x:v>1.1</x:v>
      </x:c>
      <x:c r="N590" s="11" t="n">
        <x:v>17</x:v>
      </x:c>
      <x:c r="O590" s="11" t="str"/>
      <x:c r="P590" s="11" t="str"/>
      <x:c r="Q590" s="11" t="str"/>
      <x:c r="R590" s="11" t="str">
        <x:v>popmart-normalized-geography-v1.0</x:v>
      </x:c>
      <x:c r="S590" s="11" t="str">
        <x:v>2026-10-10</x:v>
      </x:c>
      <x:c r="T590" s="11" t="str">
        <x:f>IF(AND(SUM(IF(K590='假设'!E785,0,1),IF(L590='假设'!F785,0,1),IF(M590='假设'!G785,0,1),IF(N590='假设'!H785,0,1),IF(O590='假设'!I785,0,1),IF(P590='假设'!J785,0,1),IF(Q590='假设'!K785,0,1))=0,U590=V590),"已刷新","待刷新")</x:f>
        <x:v>已刷新</x:v>
      </x:c>
      <x:c r="U590" t="str">
        <x:v>53|0.48|37|0.35|3.8|0.2|0.25|0.99|1.25</x:v>
      </x:c>
      <x:c r="V590" t="str">
        <x:f>'地域经营假设'!D25&amp;"|"&amp;'地域经营假设'!E25&amp;"|"&amp;'地域经营假设'!F25&amp;"|"&amp;'地域经营假设'!G25&amp;"|"&amp;'地域经营假设'!H25&amp;"|"&amp;'地域经营假设'!I25&amp;"|"&amp;'地域经营假设'!J25&amp;"|"&amp;'地域经营假设'!K25&amp;"|"&amp;'地域经营假设'!L25</x:f>
        <x:v>53|0.48|37|0.35|3.8|0.2|0.25|0.99|1.25</x:v>
      </x:c>
    </x:row>
    <x:row r="591" ht="23" customHeight="1">
      <x:c r="A591" s="11" t="str">
        <x:v>09992.HK</x:v>
      </x:c>
      <x:c r="B591" s="11" t="str">
        <x:v>泡泡玛特</x:v>
      </x:c>
      <x:c r="C591" s="11" t="str">
        <x:v>五年</x:v>
      </x:c>
      <x:c r="D591" s="11" t="str">
        <x:v>乐观</x:v>
      </x:c>
      <x:c r="E591" s="11" t="n">
        <x:v>152.3</x:v>
      </x:c>
      <x:c r="F591" s="11" t="n">
        <x:v>1680.91</x:v>
      </x:c>
      <x:c r="G591" s="11" t="n">
        <x:v>35</x:v>
      </x:c>
      <x:c r="H591" s="25" t="n">
        <x:v>10.036835193696652</x:v>
      </x:c>
      <x:c r="I591" s="25" t="n">
        <x:v>10.266644780039396</x:v>
      </x:c>
      <x:c r="J591" s="25" t="n">
        <x:v>0.6231509877522521</x:v>
      </x:c>
      <x:c r="K591" s="11" t="n">
        <x:v>47.753</x:v>
      </x:c>
      <x:c r="L591" s="11" t="n">
        <x:v>32</x:v>
      </x:c>
      <x:c r="M591" s="11" t="n">
        <x:v>1.1</x:v>
      </x:c>
      <x:c r="N591" s="11" t="n">
        <x:v>35</x:v>
      </x:c>
      <x:c r="O591" s="11" t="str"/>
      <x:c r="P591" s="11" t="str"/>
      <x:c r="Q591" s="11" t="str"/>
      <x:c r="R591" s="11" t="str">
        <x:v>popmart-normalized-geography-v1.0</x:v>
      </x:c>
      <x:c r="S591" s="11" t="str">
        <x:v>2026-10-10</x:v>
      </x:c>
      <x:c r="T591" s="11" t="str">
        <x:f>IF(AND(SUM(IF(K591='假设'!E786,0,1),IF(L591='假设'!F786,0,1),IF(M591='假设'!G786,0,1),IF(N591='假设'!H786,0,1),IF(O591='假设'!I786,0,1),IF(P591='假设'!J786,0,1),IF(Q591='假设'!K786,0,1))=0,U591=V591),"已刷新","待刷新")</x:f>
        <x:v>已刷新</x:v>
      </x:c>
      <x:c r="U591" t="str">
        <x:v>85|0.54|83|0.43|6|0.3|0.25|0.99|1.18</x:v>
      </x:c>
      <x:c r="V591" t="str">
        <x:f>'地域经营假设'!D26&amp;"|"&amp;'地域经营假设'!E26&amp;"|"&amp;'地域经营假设'!F26&amp;"|"&amp;'地域经营假设'!G26&amp;"|"&amp;'地域经营假设'!H26&amp;"|"&amp;'地域经营假设'!I26&amp;"|"&amp;'地域经营假设'!J26&amp;"|"&amp;'地域经营假设'!K26&amp;"|"&amp;'地域经营假设'!L26</x:f>
        <x:v>85|0.54|83|0.43|6|0.3|0.25|0.99|1.18</x:v>
      </x:c>
    </x:row>
    <x:row r="592" ht="23" customHeight="1">
      <x:c r="A592" s="11" t="str">
        <x:v>300363.SZ</x:v>
      </x:c>
      <x:c r="B592" s="11" t="str">
        <x:v>博腾股份</x:v>
      </x:c>
      <x:c r="C592" s="11" t="str">
        <x:v>2026年底</x:v>
      </x:c>
      <x:c r="D592" s="11" t="str">
        <x:v>悲观</x:v>
      </x:c>
      <x:c r="E592" s="11" t="n">
        <x:v>23.68</x:v>
      </x:c>
      <x:c r="F592" s="11" t="n">
        <x:v>2.6999999999999997</x:v>
      </x:c>
      <x:c r="G592" s="11" t="n">
        <x:v>0</x:v>
      </x:c>
      <x:c r="H592" s="25" t="n">
        <x:v>-0.8859797297297297</x:v>
      </x:c>
      <x:c r="I592" s="25" t="n">
        <x:v>-0.8859797297297297</x:v>
      </x:c>
      <x:c r="J592" s="25" t="str"/>
      <x:c r="K592" s="11" t="n">
        <x:v>0.15</x:v>
      </x:c>
      <x:c r="L592" s="11" t="n">
        <x:v>18</x:v>
      </x:c>
      <x:c r="M592" s="11" t="n">
        <x:v>1</x:v>
      </x:c>
      <x:c r="N592" s="11" t="n">
        <x:v>0</x:v>
      </x:c>
      <x:c r="O592" s="11" t="str"/>
      <x:c r="P592" s="11" t="str"/>
      <x:c r="Q592" s="11" t="str"/>
      <x:c r="R592" s="11" t="str">
        <x:v>porton-normalized-pe-v1.0</x:v>
      </x:c>
      <x:c r="S592" s="11" t="str">
        <x:v>2026-10-10</x:v>
      </x:c>
      <x:c r="T592" s="11" t="str">
        <x:f>IF(AND(SUM(IF(K592='假设'!E788,0,1),IF(L592='假设'!F788,0,1),IF(M592='假设'!G788,0,1),IF(N592='假设'!H788,0,1),IF(O592='假设'!I788,0,1),IF(P592='假设'!J788,0,1),IF(Q592='假设'!K788,0,1))=0,U592=V592),"已刷新","待刷新")</x:f>
        <x:v>已刷新</x:v>
      </x:c>
    </x:row>
    <x:row r="593" ht="23" customHeight="1">
      <x:c r="A593" s="11" t="str">
        <x:v>300363.SZ</x:v>
      </x:c>
      <x:c r="B593" s="11" t="str">
        <x:v>博腾股份</x:v>
      </x:c>
      <x:c r="C593" s="11" t="str">
        <x:v>2026年底</x:v>
      </x:c>
      <x:c r="D593" s="11" t="str">
        <x:v>基准</x:v>
      </x:c>
      <x:c r="E593" s="11" t="n">
        <x:v>23.68</x:v>
      </x:c>
      <x:c r="F593" s="11" t="n">
        <x:v>15</x:v>
      </x:c>
      <x:c r="G593" s="11" t="n">
        <x:v>0</x:v>
      </x:c>
      <x:c r="H593" s="25" t="n">
        <x:v>-0.36655405405405406</x:v>
      </x:c>
      <x:c r="I593" s="25" t="n">
        <x:v>-0.36655405405405406</x:v>
      </x:c>
      <x:c r="J593" s="25" t="str"/>
      <x:c r="K593" s="11" t="n">
        <x:v>0.5</x:v>
      </x:c>
      <x:c r="L593" s="11" t="n">
        <x:v>30</x:v>
      </x:c>
      <x:c r="M593" s="11" t="n">
        <x:v>1</x:v>
      </x:c>
      <x:c r="N593" s="11" t="n">
        <x:v>0</x:v>
      </x:c>
      <x:c r="O593" s="11" t="str"/>
      <x:c r="P593" s="11" t="str"/>
      <x:c r="Q593" s="11" t="str"/>
      <x:c r="R593" s="11" t="str">
        <x:v>porton-normalized-pe-v1.0</x:v>
      </x:c>
      <x:c r="S593" s="11" t="str">
        <x:v>2026-10-10</x:v>
      </x:c>
      <x:c r="T593" s="11" t="str">
        <x:f>IF(AND(SUM(IF(K593='假设'!E789,0,1),IF(L593='假设'!F789,0,1),IF(M593='假设'!G789,0,1),IF(N593='假设'!H789,0,1),IF(O593='假设'!I789,0,1),IF(P593='假设'!J789,0,1),IF(Q593='假设'!K789,0,1))=0,U593=V593),"已刷新","待刷新")</x:f>
        <x:v>已刷新</x:v>
      </x:c>
    </x:row>
    <x:row r="594" ht="23" customHeight="1">
      <x:c r="A594" s="11" t="str">
        <x:v>300363.SZ</x:v>
      </x:c>
      <x:c r="B594" s="11" t="str">
        <x:v>博腾股份</x:v>
      </x:c>
      <x:c r="C594" s="11" t="str">
        <x:v>2026年底</x:v>
      </x:c>
      <x:c r="D594" s="11" t="str">
        <x:v>乐观</x:v>
      </x:c>
      <x:c r="E594" s="11" t="n">
        <x:v>23.68</x:v>
      </x:c>
      <x:c r="F594" s="11" t="n">
        <x:v>32</x:v>
      </x:c>
      <x:c r="G594" s="11" t="n">
        <x:v>0</x:v>
      </x:c>
      <x:c r="H594" s="25" t="n">
        <x:v>0.3513513513513513</x:v>
      </x:c>
      <x:c r="I594" s="25" t="n">
        <x:v>0.3513513513513513</x:v>
      </x:c>
      <x:c r="J594" s="25" t="str"/>
      <x:c r="K594" s="11" t="n">
        <x:v>0.8</x:v>
      </x:c>
      <x:c r="L594" s="11" t="n">
        <x:v>40</x:v>
      </x:c>
      <x:c r="M594" s="11" t="n">
        <x:v>1</x:v>
      </x:c>
      <x:c r="N594" s="11" t="n">
        <x:v>0</x:v>
      </x:c>
      <x:c r="O594" s="11" t="str"/>
      <x:c r="P594" s="11" t="str"/>
      <x:c r="Q594" s="11" t="str"/>
      <x:c r="R594" s="11" t="str">
        <x:v>porton-normalized-pe-v1.0</x:v>
      </x:c>
      <x:c r="S594" s="11" t="str">
        <x:v>2026-10-10</x:v>
      </x:c>
      <x:c r="T594" s="11" t="str">
        <x:f>IF(AND(SUM(IF(K594='假设'!E790,0,1),IF(L594='假设'!F790,0,1),IF(M594='假设'!G790,0,1),IF(N594='假设'!H790,0,1),IF(O594='假设'!I790,0,1),IF(P594='假设'!J790,0,1),IF(Q594='假设'!K790,0,1))=0,U594=V594),"已刷新","待刷新")</x:f>
        <x:v>已刷新</x:v>
      </x:c>
    </x:row>
    <x:row r="595" ht="23" customHeight="1">
      <x:c r="A595" s="11" t="str">
        <x:v>300363.SZ</x:v>
      </x:c>
      <x:c r="B595" s="11" t="str">
        <x:v>博腾股份</x:v>
      </x:c>
      <x:c r="C595" s="11" t="str">
        <x:v>半年</x:v>
      </x:c>
      <x:c r="D595" s="11" t="str">
        <x:v>悲观</x:v>
      </x:c>
      <x:c r="E595" s="11" t="n">
        <x:v>23.68</x:v>
      </x:c>
      <x:c r="F595" s="11" t="n">
        <x:v>3.6</x:v>
      </x:c>
      <x:c r="G595" s="11" t="n">
        <x:v>0</x:v>
      </x:c>
      <x:c r="H595" s="25" t="n">
        <x:v>-0.847972972972973</x:v>
      </x:c>
      <x:c r="I595" s="25" t="n">
        <x:v>-0.847972972972973</x:v>
      </x:c>
      <x:c r="J595" s="25" t="str"/>
      <x:c r="K595" s="11" t="n">
        <x:v>0.2</x:v>
      </x:c>
      <x:c r="L595" s="11" t="n">
        <x:v>18</x:v>
      </x:c>
      <x:c r="M595" s="11" t="n">
        <x:v>1</x:v>
      </x:c>
      <x:c r="N595" s="11" t="n">
        <x:v>0</x:v>
      </x:c>
      <x:c r="O595" s="11" t="str"/>
      <x:c r="P595" s="11" t="str"/>
      <x:c r="Q595" s="11" t="str"/>
      <x:c r="R595" s="11" t="str">
        <x:v>porton-normalized-pe-v1.0</x:v>
      </x:c>
      <x:c r="S595" s="11" t="str">
        <x:v>2026-10-10</x:v>
      </x:c>
      <x:c r="T595" s="11" t="str">
        <x:f>IF(AND(SUM(IF(K595='假设'!E792,0,1),IF(L595='假设'!F792,0,1),IF(M595='假设'!G792,0,1),IF(N595='假设'!H792,0,1),IF(O595='假设'!I792,0,1),IF(P595='假设'!J792,0,1),IF(Q595='假设'!K792,0,1))=0,U595=V595),"已刷新","待刷新")</x:f>
        <x:v>已刷新</x:v>
      </x:c>
    </x:row>
    <x:row r="596" ht="23" customHeight="1">
      <x:c r="A596" s="11" t="str">
        <x:v>300363.SZ</x:v>
      </x:c>
      <x:c r="B596" s="11" t="str">
        <x:v>博腾股份</x:v>
      </x:c>
      <x:c r="C596" s="11" t="str">
        <x:v>半年</x:v>
      </x:c>
      <x:c r="D596" s="11" t="str">
        <x:v>基准</x:v>
      </x:c>
      <x:c r="E596" s="11" t="n">
        <x:v>23.68</x:v>
      </x:c>
      <x:c r="F596" s="11" t="n">
        <x:v>19.2</x:v>
      </x:c>
      <x:c r="G596" s="11" t="n">
        <x:v>0</x:v>
      </x:c>
      <x:c r="H596" s="25" t="n">
        <x:v>-0.18918918918918926</x:v>
      </x:c>
      <x:c r="I596" s="25" t="n">
        <x:v>-0.18918918918918926</x:v>
      </x:c>
      <x:c r="J596" s="25" t="str"/>
      <x:c r="K596" s="11" t="n">
        <x:v>0.6</x:v>
      </x:c>
      <x:c r="L596" s="11" t="n">
        <x:v>32</x:v>
      </x:c>
      <x:c r="M596" s="11" t="n">
        <x:v>1</x:v>
      </x:c>
      <x:c r="N596" s="11" t="n">
        <x:v>0</x:v>
      </x:c>
      <x:c r="O596" s="11" t="str"/>
      <x:c r="P596" s="11" t="str"/>
      <x:c r="Q596" s="11" t="str"/>
      <x:c r="R596" s="11" t="str">
        <x:v>porton-normalized-pe-v1.0</x:v>
      </x:c>
      <x:c r="S596" s="11" t="str">
        <x:v>2026-10-10</x:v>
      </x:c>
      <x:c r="T596" s="11" t="str">
        <x:f>IF(AND(SUM(IF(K596='假设'!E793,0,1),IF(L596='假设'!F793,0,1),IF(M596='假设'!G793,0,1),IF(N596='假设'!H793,0,1),IF(O596='假设'!I793,0,1),IF(P596='假设'!J793,0,1),IF(Q596='假设'!K793,0,1))=0,U596=V596),"已刷新","待刷新")</x:f>
        <x:v>已刷新</x:v>
      </x:c>
    </x:row>
    <x:row r="597" ht="23" customHeight="1">
      <x:c r="A597" s="11" t="str">
        <x:v>300363.SZ</x:v>
      </x:c>
      <x:c r="B597" s="11" t="str">
        <x:v>博腾股份</x:v>
      </x:c>
      <x:c r="C597" s="11" t="str">
        <x:v>半年</x:v>
      </x:c>
      <x:c r="D597" s="11" t="str">
        <x:v>乐观</x:v>
      </x:c>
      <x:c r="E597" s="11" t="n">
        <x:v>23.68</x:v>
      </x:c>
      <x:c r="F597" s="11" t="n">
        <x:v>42</x:v>
      </x:c>
      <x:c r="G597" s="11" t="n">
        <x:v>0</x:v>
      </x:c>
      <x:c r="H597" s="25" t="n">
        <x:v>0.7736486486486487</x:v>
      </x:c>
      <x:c r="I597" s="25" t="n">
        <x:v>0.7736486486486487</x:v>
      </x:c>
      <x:c r="J597" s="25" t="str"/>
      <x:c r="K597" s="11" t="n">
        <x:v>1</x:v>
      </x:c>
      <x:c r="L597" s="11" t="n">
        <x:v>42</x:v>
      </x:c>
      <x:c r="M597" s="11" t="n">
        <x:v>1</x:v>
      </x:c>
      <x:c r="N597" s="11" t="n">
        <x:v>0</x:v>
      </x:c>
      <x:c r="O597" s="11" t="str"/>
      <x:c r="P597" s="11" t="str"/>
      <x:c r="Q597" s="11" t="str"/>
      <x:c r="R597" s="11" t="str">
        <x:v>porton-normalized-pe-v1.0</x:v>
      </x:c>
      <x:c r="S597" s="11" t="str">
        <x:v>2026-10-10</x:v>
      </x:c>
      <x:c r="T597" s="11" t="str">
        <x:f>IF(AND(SUM(IF(K597='假设'!E794,0,1),IF(L597='假设'!F794,0,1),IF(M597='假设'!G794,0,1),IF(N597='假设'!H794,0,1),IF(O597='假设'!I794,0,1),IF(P597='假设'!J794,0,1),IF(Q597='假设'!K794,0,1))=0,U597=V597),"已刷新","待刷新")</x:f>
        <x:v>已刷新</x:v>
      </x:c>
    </x:row>
    <x:row r="598" ht="23" customHeight="1">
      <x:c r="A598" s="11" t="str">
        <x:v>300363.SZ</x:v>
      </x:c>
      <x:c r="B598" s="11" t="str">
        <x:v>博腾股份</x:v>
      </x:c>
      <x:c r="C598" s="11" t="str">
        <x:v>一年</x:v>
      </x:c>
      <x:c r="D598" s="11" t="str">
        <x:v>悲观</x:v>
      </x:c>
      <x:c r="E598" s="11" t="n">
        <x:v>23.68</x:v>
      </x:c>
      <x:c r="F598" s="11" t="n">
        <x:v>4.5</x:v>
      </x:c>
      <x:c r="G598" s="11" t="n">
        <x:v>0</x:v>
      </x:c>
      <x:c r="H598" s="25" t="n">
        <x:v>-0.8099662162162162</x:v>
      </x:c>
      <x:c r="I598" s="25" t="n">
        <x:v>-0.8099662162162162</x:v>
      </x:c>
      <x:c r="J598" s="25" t="str"/>
      <x:c r="K598" s="11" t="n">
        <x:v>0.25</x:v>
      </x:c>
      <x:c r="L598" s="11" t="n">
        <x:v>18</x:v>
      </x:c>
      <x:c r="M598" s="11" t="n">
        <x:v>1</x:v>
      </x:c>
      <x:c r="N598" s="11" t="n">
        <x:v>0</x:v>
      </x:c>
      <x:c r="O598" s="11" t="str"/>
      <x:c r="P598" s="11" t="str"/>
      <x:c r="Q598" s="11" t="str"/>
      <x:c r="R598" s="11" t="str">
        <x:v>porton-normalized-pe-v1.0</x:v>
      </x:c>
      <x:c r="S598" s="11" t="str">
        <x:v>2026-10-10</x:v>
      </x:c>
      <x:c r="T598" s="11" t="str">
        <x:f>IF(AND(SUM(IF(K598='假设'!E796,0,1),IF(L598='假设'!F796,0,1),IF(M598='假设'!G796,0,1),IF(N598='假设'!H796,0,1),IF(O598='假设'!I796,0,1),IF(P598='假设'!J796,0,1),IF(Q598='假设'!K796,0,1))=0,U598=V598),"已刷新","待刷新")</x:f>
        <x:v>已刷新</x:v>
      </x:c>
    </x:row>
    <x:row r="599" ht="23" customHeight="1">
      <x:c r="A599" s="11" t="str">
        <x:v>300363.SZ</x:v>
      </x:c>
      <x:c r="B599" s="11" t="str">
        <x:v>博腾股份</x:v>
      </x:c>
      <x:c r="C599" s="11" t="str">
        <x:v>一年</x:v>
      </x:c>
      <x:c r="D599" s="11" t="str">
        <x:v>基准</x:v>
      </x:c>
      <x:c r="E599" s="11" t="n">
        <x:v>23.68</x:v>
      </x:c>
      <x:c r="F599" s="11" t="n">
        <x:v>24</x:v>
      </x:c>
      <x:c r="G599" s="11" t="n">
        <x:v>0.08</x:v>
      </x:c>
      <x:c r="H599" s="25" t="n">
        <x:v>0.013513513513513598</x:v>
      </x:c>
      <x:c r="I599" s="25" t="n">
        <x:v>0.016891891891891886</x:v>
      </x:c>
      <x:c r="J599" s="25" t="str"/>
      <x:c r="K599" s="11" t="n">
        <x:v>0.8</x:v>
      </x:c>
      <x:c r="L599" s="11" t="n">
        <x:v>30</x:v>
      </x:c>
      <x:c r="M599" s="11" t="n">
        <x:v>1</x:v>
      </x:c>
      <x:c r="N599" s="11" t="n">
        <x:v>0.08</x:v>
      </x:c>
      <x:c r="O599" s="11" t="str"/>
      <x:c r="P599" s="11" t="str"/>
      <x:c r="Q599" s="11" t="str"/>
      <x:c r="R599" s="11" t="str">
        <x:v>porton-normalized-pe-v1.0</x:v>
      </x:c>
      <x:c r="S599" s="11" t="str">
        <x:v>2026-10-10</x:v>
      </x:c>
      <x:c r="T599" s="11" t="str">
        <x:f>IF(AND(SUM(IF(K599='假设'!E797,0,1),IF(L599='假设'!F797,0,1),IF(M599='假设'!G797,0,1),IF(N599='假设'!H797,0,1),IF(O599='假设'!I797,0,1),IF(P599='假设'!J797,0,1),IF(Q599='假设'!K797,0,1))=0,U599=V599),"已刷新","待刷新")</x:f>
        <x:v>已刷新</x:v>
      </x:c>
    </x:row>
    <x:row r="600" ht="23" customHeight="1">
      <x:c r="A600" s="11" t="str">
        <x:v>300363.SZ</x:v>
      </x:c>
      <x:c r="B600" s="11" t="str">
        <x:v>博腾股份</x:v>
      </x:c>
      <x:c r="C600" s="11" t="str">
        <x:v>一年</x:v>
      </x:c>
      <x:c r="D600" s="11" t="str">
        <x:v>乐观</x:v>
      </x:c>
      <x:c r="E600" s="11" t="n">
        <x:v>23.68</x:v>
      </x:c>
      <x:c r="F600" s="11" t="n">
        <x:v>52</x:v>
      </x:c>
      <x:c r="G600" s="11" t="n">
        <x:v>0.15</x:v>
      </x:c>
      <x:c r="H600" s="25" t="n">
        <x:v>1.195945945945946</x:v>
      </x:c>
      <x:c r="I600" s="25" t="n">
        <x:v>1.2022804054054053</x:v>
      </x:c>
      <x:c r="J600" s="25" t="str"/>
      <x:c r="K600" s="11" t="n">
        <x:v>1.3</x:v>
      </x:c>
      <x:c r="L600" s="11" t="n">
        <x:v>40</x:v>
      </x:c>
      <x:c r="M600" s="11" t="n">
        <x:v>1</x:v>
      </x:c>
      <x:c r="N600" s="11" t="n">
        <x:v>0.15</x:v>
      </x:c>
      <x:c r="O600" s="11" t="str"/>
      <x:c r="P600" s="11" t="str"/>
      <x:c r="Q600" s="11" t="str"/>
      <x:c r="R600" s="11" t="str">
        <x:v>porton-normalized-pe-v1.0</x:v>
      </x:c>
      <x:c r="S600" s="11" t="str">
        <x:v>2026-10-10</x:v>
      </x:c>
      <x:c r="T600" s="11" t="str">
        <x:f>IF(AND(SUM(IF(K600='假设'!E798,0,1),IF(L600='假设'!F798,0,1),IF(M600='假设'!G798,0,1),IF(N600='假设'!H798,0,1),IF(O600='假设'!I798,0,1),IF(P600='假设'!J798,0,1),IF(Q600='假设'!K798,0,1))=0,U600=V600),"已刷新","待刷新")</x:f>
        <x:v>已刷新</x:v>
      </x:c>
    </x:row>
    <x:row r="601" ht="23" customHeight="1">
      <x:c r="A601" s="11" t="str">
        <x:v>300363.SZ</x:v>
      </x:c>
      <x:c r="B601" s="11" t="str">
        <x:v>博腾股份</x:v>
      </x:c>
      <x:c r="C601" s="11" t="str">
        <x:v>三年</x:v>
      </x:c>
      <x:c r="D601" s="11" t="str">
        <x:v>悲观</x:v>
      </x:c>
      <x:c r="E601" s="11" t="n">
        <x:v>23.68</x:v>
      </x:c>
      <x:c r="F601" s="11" t="n">
        <x:v>8.1</x:v>
      </x:c>
      <x:c r="G601" s="11" t="n">
        <x:v>0.08</x:v>
      </x:c>
      <x:c r="H601" s="25" t="n">
        <x:v>-0.6579391891891893</x:v>
      </x:c>
      <x:c r="I601" s="25" t="n">
        <x:v>-0.6545608108108107</x:v>
      </x:c>
      <x:c r="J601" s="25" t="n">
        <x:v>-0.2983446054709781</x:v>
      </x:c>
      <x:c r="K601" s="11" t="n">
        <x:v>0.45</x:v>
      </x:c>
      <x:c r="L601" s="11" t="n">
        <x:v>18</x:v>
      </x:c>
      <x:c r="M601" s="11" t="n">
        <x:v>1</x:v>
      </x:c>
      <x:c r="N601" s="11" t="n">
        <x:v>0.08</x:v>
      </x:c>
      <x:c r="O601" s="11" t="str"/>
      <x:c r="P601" s="11" t="str"/>
      <x:c r="Q601" s="11" t="str"/>
      <x:c r="R601" s="11" t="str">
        <x:v>porton-normalized-pe-v1.0</x:v>
      </x:c>
      <x:c r="S601" s="11" t="str">
        <x:v>2026-10-10</x:v>
      </x:c>
      <x:c r="T601" s="11" t="str">
        <x:f>IF(AND(SUM(IF(K601='假设'!E800,0,1),IF(L601='假设'!F800,0,1),IF(M601='假设'!G800,0,1),IF(N601='假设'!H800,0,1),IF(O601='假设'!I800,0,1),IF(P601='假设'!J800,0,1),IF(Q601='假设'!K800,0,1))=0,U601=V601),"已刷新","待刷新")</x:f>
        <x:v>已刷新</x:v>
      </x:c>
    </x:row>
    <x:row r="602" ht="23" customHeight="1">
      <x:c r="A602" s="11" t="str">
        <x:v>300363.SZ</x:v>
      </x:c>
      <x:c r="B602" s="11" t="str">
        <x:v>博腾股份</x:v>
      </x:c>
      <x:c r="C602" s="11" t="str">
        <x:v>三年</x:v>
      </x:c>
      <x:c r="D602" s="11" t="str">
        <x:v>基准</x:v>
      </x:c>
      <x:c r="E602" s="11" t="n">
        <x:v>23.68</x:v>
      </x:c>
      <x:c r="F602" s="11" t="n">
        <x:v>42</x:v>
      </x:c>
      <x:c r="G602" s="11" t="n">
        <x:v>0.35</x:v>
      </x:c>
      <x:c r="H602" s="25" t="n">
        <x:v>0.7736486486486487</x:v>
      </x:c>
      <x:c r="I602" s="25" t="n">
        <x:v>0.7884290540540542</x:v>
      </x:c>
      <x:c r="J602" s="25" t="n">
        <x:v>0.21382824457396388</x:v>
      </x:c>
      <x:c r="K602" s="11" t="n">
        <x:v>1.5</x:v>
      </x:c>
      <x:c r="L602" s="11" t="n">
        <x:v>28</x:v>
      </x:c>
      <x:c r="M602" s="11" t="n">
        <x:v>1</x:v>
      </x:c>
      <x:c r="N602" s="11" t="n">
        <x:v>0.35</x:v>
      </x:c>
      <x:c r="O602" s="11" t="str"/>
      <x:c r="P602" s="11" t="str"/>
      <x:c r="Q602" s="11" t="str"/>
      <x:c r="R602" s="11" t="str">
        <x:v>porton-normalized-pe-v1.0</x:v>
      </x:c>
      <x:c r="S602" s="11" t="str">
        <x:v>2026-10-10</x:v>
      </x:c>
      <x:c r="T602" s="11" t="str">
        <x:f>IF(AND(SUM(IF(K602='假设'!E801,0,1),IF(L602='假设'!F801,0,1),IF(M602='假设'!G801,0,1),IF(N602='假设'!H801,0,1),IF(O602='假设'!I801,0,1),IF(P602='假设'!J801,0,1),IF(Q602='假设'!K801,0,1))=0,U602=V602),"已刷新","待刷新")</x:f>
        <x:v>已刷新</x:v>
      </x:c>
    </x:row>
    <x:row r="603" ht="23" customHeight="1">
      <x:c r="A603" s="11" t="str">
        <x:v>300363.SZ</x:v>
      </x:c>
      <x:c r="B603" s="11" t="str">
        <x:v>博腾股份</x:v>
      </x:c>
      <x:c r="C603" s="11" t="str">
        <x:v>三年</x:v>
      </x:c>
      <x:c r="D603" s="11" t="str">
        <x:v>乐观</x:v>
      </x:c>
      <x:c r="E603" s="11" t="n">
        <x:v>23.68</x:v>
      </x:c>
      <x:c r="F603" s="11" t="n">
        <x:v>86.39999999999999</x:v>
      </x:c>
      <x:c r="G603" s="11" t="n">
        <x:v>0.65</x:v>
      </x:c>
      <x:c r="H603" s="25" t="n">
        <x:v>2.6486486486486482</x:v>
      </x:c>
      <x:c r="I603" s="25" t="n">
        <x:v>2.676097972972973</x:v>
      </x:c>
      <x:c r="J603" s="25" t="n">
        <x:v>0.5433426540187454</x:v>
      </x:c>
      <x:c r="K603" s="11" t="n">
        <x:v>2.4</x:v>
      </x:c>
      <x:c r="L603" s="11" t="n">
        <x:v>36</x:v>
      </x:c>
      <x:c r="M603" s="11" t="n">
        <x:v>1</x:v>
      </x:c>
      <x:c r="N603" s="11" t="n">
        <x:v>0.65</x:v>
      </x:c>
      <x:c r="O603" s="11" t="str"/>
      <x:c r="P603" s="11" t="str"/>
      <x:c r="Q603" s="11" t="str"/>
      <x:c r="R603" s="11" t="str">
        <x:v>porton-normalized-pe-v1.0</x:v>
      </x:c>
      <x:c r="S603" s="11" t="str">
        <x:v>2026-10-10</x:v>
      </x:c>
      <x:c r="T603" s="11" t="str">
        <x:f>IF(AND(SUM(IF(K603='假设'!E802,0,1),IF(L603='假设'!F802,0,1),IF(M603='假设'!G802,0,1),IF(N603='假设'!H802,0,1),IF(O603='假设'!I802,0,1),IF(P603='假设'!J802,0,1),IF(Q603='假设'!K802,0,1))=0,U603=V603),"已刷新","待刷新")</x:f>
        <x:v>已刷新</x:v>
      </x:c>
    </x:row>
    <x:row r="604" ht="23" customHeight="1">
      <x:c r="A604" s="11" t="str">
        <x:v>300363.SZ</x:v>
      </x:c>
      <x:c r="B604" s="11" t="str">
        <x:v>博腾股份</x:v>
      </x:c>
      <x:c r="C604" s="11" t="str">
        <x:v>五年</x:v>
      </x:c>
      <x:c r="D604" s="11" t="str">
        <x:v>悲观</x:v>
      </x:c>
      <x:c r="E604" s="11" t="n">
        <x:v>23.68</x:v>
      </x:c>
      <x:c r="F604" s="11" t="n">
        <x:v>10.4</x:v>
      </x:c>
      <x:c r="G604" s="11" t="n">
        <x:v>0.2</x:v>
      </x:c>
      <x:c r="H604" s="25" t="n">
        <x:v>-0.5608108108108107</x:v>
      </x:c>
      <x:c r="I604" s="25" t="n">
        <x:v>-0.5523648648648649</x:v>
      </x:c>
      <x:c r="J604" s="25" t="n">
        <x:v>-0.14849964483941447</x:v>
      </x:c>
      <x:c r="K604" s="11" t="n">
        <x:v>0.65</x:v>
      </x:c>
      <x:c r="L604" s="11" t="n">
        <x:v>16</x:v>
      </x:c>
      <x:c r="M604" s="11" t="n">
        <x:v>1</x:v>
      </x:c>
      <x:c r="N604" s="11" t="n">
        <x:v>0.2</x:v>
      </x:c>
      <x:c r="O604" s="11" t="str"/>
      <x:c r="P604" s="11" t="str"/>
      <x:c r="Q604" s="11" t="str"/>
      <x:c r="R604" s="11" t="str">
        <x:v>porton-normalized-pe-v1.0</x:v>
      </x:c>
      <x:c r="S604" s="11" t="str">
        <x:v>2026-10-10</x:v>
      </x:c>
      <x:c r="T604" s="11" t="str">
        <x:f>IF(AND(SUM(IF(K604='假设'!E804,0,1),IF(L604='假设'!F804,0,1),IF(M604='假设'!G804,0,1),IF(N604='假设'!H804,0,1),IF(O604='假设'!I804,0,1),IF(P604='假设'!J804,0,1),IF(Q604='假设'!K804,0,1))=0,U604=V604),"已刷新","待刷新")</x:f>
        <x:v>已刷新</x:v>
      </x:c>
    </x:row>
    <x:row r="605" ht="23" customHeight="1">
      <x:c r="A605" s="11" t="str">
        <x:v>300363.SZ</x:v>
      </x:c>
      <x:c r="B605" s="11" t="str">
        <x:v>博腾股份</x:v>
      </x:c>
      <x:c r="C605" s="11" t="str">
        <x:v>五年</x:v>
      </x:c>
      <x:c r="D605" s="11" t="str">
        <x:v>基准</x:v>
      </x:c>
      <x:c r="E605" s="11" t="n">
        <x:v>23.68</x:v>
      </x:c>
      <x:c r="F605" s="11" t="n">
        <x:v>55.00000000000001</x:v>
      </x:c>
      <x:c r="G605" s="11" t="n">
        <x:v>0.8</x:v>
      </x:c>
      <x:c r="H605" s="25" t="n">
        <x:v>1.3226351351351355</x:v>
      </x:c>
      <x:c r="I605" s="25" t="n">
        <x:v>1.3564189189189193</x:v>
      </x:c>
      <x:c r="J605" s="25" t="n">
        <x:v>0.18699940204505605</x:v>
      </x:c>
      <x:c r="K605" s="11" t="n">
        <x:v>2.2</x:v>
      </x:c>
      <x:c r="L605" s="11" t="n">
        <x:v>25</x:v>
      </x:c>
      <x:c r="M605" s="11" t="n">
        <x:v>1</x:v>
      </x:c>
      <x:c r="N605" s="11" t="n">
        <x:v>0.8</x:v>
      </x:c>
      <x:c r="O605" s="11" t="str"/>
      <x:c r="P605" s="11" t="str"/>
      <x:c r="Q605" s="11" t="str"/>
      <x:c r="R605" s="11" t="str">
        <x:v>porton-normalized-pe-v1.0</x:v>
      </x:c>
      <x:c r="S605" s="11" t="str">
        <x:v>2026-10-10</x:v>
      </x:c>
      <x:c r="T605" s="11" t="str">
        <x:f>IF(AND(SUM(IF(K605='假设'!E805,0,1),IF(L605='假设'!F805,0,1),IF(M605='假设'!G805,0,1),IF(N605='假设'!H805,0,1),IF(O605='假设'!I805,0,1),IF(P605='假设'!J805,0,1),IF(Q605='假设'!K805,0,1))=0,U605=V605),"已刷新","待刷新")</x:f>
        <x:v>已刷新</x:v>
      </x:c>
    </x:row>
    <x:row r="606" ht="23" customHeight="1">
      <x:c r="A606" s="11" t="str">
        <x:v>300363.SZ</x:v>
      </x:c>
      <x:c r="B606" s="11" t="str">
        <x:v>博腾股份</x:v>
      </x:c>
      <x:c r="C606" s="11" t="str">
        <x:v>五年</x:v>
      </x:c>
      <x:c r="D606" s="11" t="str">
        <x:v>乐观</x:v>
      </x:c>
      <x:c r="E606" s="11" t="n">
        <x:v>23.68</x:v>
      </x:c>
      <x:c r="F606" s="11" t="n">
        <x:v>121.6</x:v>
      </x:c>
      <x:c r="G606" s="11" t="n">
        <x:v>1.6</x:v>
      </x:c>
      <x:c r="H606" s="25" t="n">
        <x:v>4.135135135135135</x:v>
      </x:c>
      <x:c r="I606" s="25" t="n">
        <x:v>4.202702702702703</x:v>
      </x:c>
      <x:c r="J606" s="25" t="n">
        <x:v>0.39073953915643034</x:v>
      </x:c>
      <x:c r="K606" s="11" t="n">
        <x:v>3.8</x:v>
      </x:c>
      <x:c r="L606" s="11" t="n">
        <x:v>32</x:v>
      </x:c>
      <x:c r="M606" s="11" t="n">
        <x:v>1</x:v>
      </x:c>
      <x:c r="N606" s="11" t="n">
        <x:v>1.6</x:v>
      </x:c>
      <x:c r="O606" s="11" t="str"/>
      <x:c r="P606" s="11" t="str"/>
      <x:c r="Q606" s="11" t="str"/>
      <x:c r="R606" s="11" t="str">
        <x:v>porton-normalized-pe-v1.0</x:v>
      </x:c>
      <x:c r="S606" s="11" t="str">
        <x:v>2026-10-10</x:v>
      </x:c>
      <x:c r="T606" s="11" t="str">
        <x:f>IF(AND(SUM(IF(K606='假设'!E806,0,1),IF(L606='假设'!F806,0,1),IF(M606='假设'!G806,0,1),IF(N606='假设'!H806,0,1),IF(O606='假设'!I806,0,1),IF(P606='假设'!J806,0,1),IF(Q606='假设'!K806,0,1))=0,U606=V606),"已刷新","待刷新")</x:f>
        <x:v>已刷新</x:v>
      </x:c>
    </x:row>
    <x:row r="607" ht="23" customHeight="1">
      <x:c r="A607" s="11" t="str">
        <x:v>09995.HK</x:v>
      </x:c>
      <x:c r="B607" s="11" t="str">
        <x:v>荣昌生物</x:v>
      </x:c>
      <x:c r="C607" s="11" t="str">
        <x:v>2026年底</x:v>
      </x:c>
      <x:c r="D607" s="11" t="str">
        <x:v>悲观</x:v>
      </x:c>
      <x:c r="E607" s="11" t="n">
        <x:v>70.4</x:v>
      </x:c>
      <x:c r="F607" s="11" t="n">
        <x:v>46.29256174387142</x:v>
      </x:c>
      <x:c r="G607" s="11" t="n">
        <x:v>0</x:v>
      </x:c>
      <x:c r="H607" s="25" t="n">
        <x:v>-0.34243520250182646</x:v>
      </x:c>
      <x:c r="I607" s="25" t="n">
        <x:v>-0.34243520250182646</x:v>
      </x:c>
      <x:c r="J607" s="25" t="str"/>
      <x:c r="K607" s="11" t="n">
        <x:v>0</x:v>
      </x:c>
      <x:c r="L607" s="11" t="n">
        <x:v>0</x:v>
      </x:c>
      <x:c r="M607" s="11" t="n">
        <x:v>1.1</x:v>
      </x:c>
      <x:c r="N607" s="11" t="n">
        <x:v>0</x:v>
      </x:c>
      <x:c r="O607" s="11" t="n">
        <x:v>0</x:v>
      </x:c>
      <x:c r="P607" s="11" t="n">
        <x:v>0</x:v>
      </x:c>
      <x:c r="Q607" s="11" t="n">
        <x:v>0.573</x:v>
      </x:c>
      <x:c r="R607" s="11" t="str">
        <x:v>remegen-v2-finite-assets-Vor-residual-return-aligned-score</x:v>
      </x:c>
      <x:c r="S607" s="11" t="str">
        <x:v>2026-10-10</x:v>
      </x:c>
      <x:c r="T607" s="11" t="str">
        <x:f>IF(AND(SUM(IF(K607='假设'!E808,0,1),IF(L607='假设'!F808,0,1),IF(M607='假设'!G808,0,1),IF(N607='假设'!H808,0,1),IF(O607='假设'!I808,0,1),IF(P607='假设'!J808,0,1),IF(Q607='假设'!K808,0,1))=0,U607=V607),"已刷新","待刷新")</x:f>
        <x:v>已刷新</x:v>
      </x:c>
      <x:c r="U607" t="str">
        <x:v>0.4|2.45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0.38|0.13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  <x:c r="V607" t="str">
        <x:f>'假设'!U808&amp;"|"&amp;'假设'!N808&amp;"|"&amp;'假设'!Q808&amp;"|"&amp;'管线假设'!E1348&amp;"|"&amp;'管线假设'!F1348&amp;"|"&amp;'管线假设'!G1348&amp;"|"&amp;'管线假设'!H1348&amp;"|"&amp;'管线假设'!I1348&amp;"|"&amp;'管线假设'!E1352&amp;"|"&amp;'管线假设'!F1352&amp;"|"&amp;'管线假设'!G1352&amp;"|"&amp;'管线假设'!H1352&amp;"|"&amp;'管线假设'!I1352&amp;"|"&amp;'管线假设'!E1356&amp;"|"&amp;'管线假设'!F1356&amp;"|"&amp;'管线假设'!G1356&amp;"|"&amp;'管线假设'!H1356&amp;"|"&amp;'管线假设'!I1356&amp;"|"&amp;'管线假设'!E1360&amp;"|"&amp;'管线假设'!F1360&amp;"|"&amp;'管线假设'!G1360&amp;"|"&amp;'管线假设'!H1360&amp;"|"&amp;'管线假设'!I1360&amp;"|"&amp;'管线假设'!E1364&amp;"|"&amp;'管线假设'!F1364&amp;"|"&amp;'管线假设'!G1364&amp;"|"&amp;'管线假设'!H1364&amp;"|"&amp;'管线假设'!I1364&amp;"|"&amp;'管线假设'!E1368&amp;"|"&amp;'管线假设'!F1368&amp;"|"&amp;'管线假设'!G1368&amp;"|"&amp;'管线假设'!H1368&amp;"|"&amp;'管线假设'!I1368&amp;"|"&amp;'管线假设'!E1372&amp;"|"&amp;'管线假设'!F1372&amp;"|"&amp;'管线假设'!G1372&amp;"|"&amp;'管线假设'!H1372&amp;"|"&amp;'管线假设'!I1372&amp;"|"&amp;'管线假设'!E1376&amp;"|"&amp;'管线假设'!F1376&amp;"|"&amp;'管线假设'!G1376&amp;"|"&amp;'管线假设'!H1376&amp;"|"&amp;'管线假设'!I1376&amp;"|"&amp;'管线假设'!E1380&amp;"|"&amp;'管线假设'!F1380&amp;"|"&amp;'管线假设'!G1380&amp;"|"&amp;'管线假设'!H1380&amp;"|"&amp;'管线假设'!I1380&amp;"|"&amp;'管线假设'!E1384&amp;"|"&amp;'管线假设'!F1384&amp;"|"&amp;'管线假设'!G1384&amp;"|"&amp;'管线假设'!H1384&amp;"|"&amp;'管线假设'!I1384&amp;"|"&amp;'管线现金流'!H6287&amp;"|"&amp;'管线现金流'!AJ6287&amp;"|"&amp;'管线现金流'!H6288&amp;"|"&amp;'管线现金流'!AJ6288&amp;"|"&amp;'管线现金流'!H6289&amp;"|"&amp;'管线现金流'!AJ6289&amp;"|"&amp;'管线现金流'!H6290&amp;"|"&amp;'管线现金流'!AJ6290&amp;"|"&amp;'管线现金流'!H6291&amp;"|"&amp;'管线现金流'!AJ6291&amp;"|"&amp;'管线现金流'!H6292&amp;"|"&amp;'管线现金流'!AJ6292&amp;"|"&amp;'管线现金流'!H6293&amp;"|"&amp;'管线现金流'!AJ6293&amp;"|"&amp;'管线现金流'!H6294&amp;"|"&amp;'管线现金流'!AJ6294&amp;"|"&amp;'管线现金流'!H6295&amp;"|"&amp;'管线现金流'!AJ6295&amp;"|"&amp;'管线现金流'!H6296&amp;"|"&amp;'管线现金流'!AJ6296&amp;"|"&amp;'管线现金流'!H6297&amp;"|"&amp;'管线现金流'!AJ6297&amp;"|"&amp;'管线现金流'!H6298&amp;"|"&amp;'管线现金流'!AJ6298&amp;"|"&amp;'管线现金流'!H6299&amp;"|"&amp;'管线现金流'!AJ6299&amp;"|"&amp;'管线现金流'!H6300&amp;"|"&amp;'管线现金流'!AJ6300&amp;"|"&amp;'管线现金流'!H6301&amp;"|"&amp;'管线现金流'!AJ6301&amp;"|"&amp;'管线现金流'!H6302&amp;"|"&amp;'管线现金流'!AJ6302&amp;"|"&amp;'管线现金流'!H6303&amp;"|"&amp;'管线现金流'!AJ6303&amp;"|"&amp;'管线现金流'!H6304&amp;"|"&amp;'管线现金流'!AJ6304&amp;"|"&amp;'管线现金流'!H6305&amp;"|"&amp;'管线现金流'!AJ6305&amp;"|"&amp;'管线现金流'!H6306&amp;"|"&amp;'管线现金流'!AJ6306&amp;"|"&amp;'管线现金流'!H6307&amp;"|"&amp;'管线现金流'!AJ6307&amp;"|"&amp;'管线现金流'!H6308&amp;"|"&amp;'管线现金流'!AJ6308&amp;"|"&amp;'管线现金流'!H6309&amp;"|"&amp;'管线现金流'!AJ6309&amp;"|"&amp;'管线现金流'!H6310&amp;"|"&amp;'管线现金流'!AJ6310&amp;"|"&amp;'管线现金流'!H6311&amp;"|"&amp;'管线现金流'!AJ6311&amp;"|"&amp;'管线现金流'!H6312&amp;"|"&amp;'管线现金流'!AJ6312&amp;"|"&amp;'管线现金流'!H6313&amp;"|"&amp;'管线现金流'!AJ6313&amp;"|"&amp;'管线现金流'!H6314&amp;"|"&amp;'管线现金流'!AJ6314&amp;"|"&amp;'管线现金流'!H6315&amp;"|"&amp;'管线现金流'!AJ6315&amp;"|"&amp;'管线现金流'!H6316&amp;"|"&amp;'管线现金流'!AJ6316&amp;"|"&amp;'管线现金流'!H6317&amp;"|"&amp;'管线现金流'!AJ6317&amp;"|"&amp;'管线现金流'!H6318&amp;"|"&amp;'管线现金流'!AJ6318&amp;"|"&amp;'管线现金流'!H6319&amp;"|"&amp;'管线现金流'!AJ6319&amp;"|"&amp;'管线现金流'!H6320&amp;"|"&amp;'管线现金流'!AJ6320&amp;"|"&amp;'管线现金流'!H6321&amp;"|"&amp;'管线现金流'!AJ6321&amp;"|"&amp;'管线现金流'!H6322&amp;"|"&amp;'管线现金流'!AJ6322&amp;"|"&amp;'管线现金流'!H6323&amp;"|"&amp;'管线现金流'!AJ6323&amp;"|"&amp;'管线现金流'!H6324&amp;"|"&amp;'管线现金流'!AJ6324&amp;"|"&amp;'管线现金流'!H6325&amp;"|"&amp;'管线现金流'!AJ6325&amp;"|"&amp;'管线现金流'!H6326&amp;"|"&amp;'管线现金流'!AJ6326&amp;"|"&amp;'管线现金流'!H6327&amp;"|"&amp;'管线现金流'!AJ6327&amp;"|"&amp;'管线现金流'!H6328&amp;"|"&amp;'管线现金流'!AJ6328&amp;"|"&amp;'管线现金流'!H6329&amp;"|"&amp;'管线现金流'!AJ6329&amp;"|"&amp;'管线现金流'!H6330&amp;"|"&amp;'管线现金流'!AJ6330&amp;"|"&amp;'管线现金流'!H6331&amp;"|"&amp;'管线现金流'!AJ6331&amp;"|"&amp;'管线现金流'!H6332&amp;"|"&amp;'管线现金流'!AJ6332&amp;"|"&amp;'管线现金流'!H6333&amp;"|"&amp;'管线现金流'!AJ6333&amp;"|"&amp;'管线现金流'!H6334&amp;"|"&amp;'管线现金流'!AJ6334&amp;"|"&amp;'管线现金流'!H6335&amp;"|"&amp;'管线现金流'!AJ6335&amp;"|"&amp;'管线现金流'!H6336&amp;"|"&amp;'管线现金流'!AJ6336&amp;"|"&amp;'管线现金流'!H6337&amp;"|"&amp;'管线现金流'!AJ6337&amp;"|"&amp;'管线现金流'!H6338&amp;"|"&amp;'管线现金流'!AJ6338&amp;"|"&amp;'管线现金流'!H6339&amp;"|"&amp;'管线现金流'!AJ6339&amp;"|"&amp;'管线现金流'!H6340&amp;"|"&amp;'管线现金流'!AJ6340&amp;"|"&amp;'管线现金流'!H6341&amp;"|"&amp;'管线现金流'!AJ6341&amp;"|"&amp;'管线现金流'!H6342&amp;"|"&amp;'管线现金流'!AJ6342&amp;"|"&amp;'管线现金流'!H6343&amp;"|"&amp;'管线现金流'!AJ6343&amp;"|"&amp;'管线现金流'!H6344&amp;"|"&amp;'管线现金流'!AJ6344&amp;"|"&amp;'管线现金流'!H6345&amp;"|"&amp;'管线现金流'!AJ6345&amp;"|"&amp;'管线现金流'!H6346&amp;"|"&amp;'管线现金流'!AJ6346&amp;"|"&amp;'管线现金流'!H6347&amp;"|"&amp;'管线现金流'!AJ6347&amp;"|"&amp;'管线现金流'!H6348&amp;"|"&amp;'管线现金流'!AJ6348&amp;"|"&amp;'管线现金流'!H6349&amp;"|"&amp;'管线现金流'!AJ6349&amp;"|"&amp;'管线现金流'!H6350&amp;"|"&amp;'管线现金流'!AJ6350&amp;"|"&amp;'管线现金流'!H6351&amp;"|"&amp;'管线现金流'!AJ6351&amp;"|"&amp;'管线现金流'!H6352&amp;"|"&amp;'管线现金流'!AJ6352&amp;"|"&amp;'管线现金流'!H6353&amp;"|"&amp;'管线现金流'!AJ6353&amp;"|"&amp;'管线现金流'!H6354&amp;"|"&amp;'管线现金流'!AJ6354&amp;"|"&amp;'管线现金流'!H6355&amp;"|"&amp;'管线现金流'!AJ6355&amp;"|"&amp;'管线现金流'!H6356&amp;"|"&amp;'管线现金流'!AJ6356&amp;"|"&amp;'管线现金流'!H6357&amp;"|"&amp;'管线现金流'!AJ6357&amp;"|"&amp;'管线现金流'!H6358&amp;"|"&amp;'管线现金流'!AJ6358&amp;"|"&amp;'管线现金流'!H6359&amp;"|"&amp;'管线现金流'!AJ6359&amp;"|"&amp;'管线现金流'!H6360&amp;"|"&amp;'管线现金流'!AJ6360&amp;"|"&amp;'管线现金流'!H6361&amp;"|"&amp;'管线现金流'!AJ6361&amp;"|"&amp;'管线现金流'!H6362&amp;"|"&amp;'管线现金流'!AJ6362&amp;"|"&amp;'管线现金流'!H6363&amp;"|"&amp;'管线现金流'!AJ6363&amp;"|"&amp;'管线现金流'!H6364&amp;"|"&amp;'管线现金流'!AJ6364&amp;"|"&amp;'管线现金流'!H6365&amp;"|"&amp;'管线现金流'!AJ6365&amp;"|"&amp;'管线现金流'!H6366&amp;"|"&amp;'管线现金流'!AJ6366&amp;"|"&amp;'管线现金流'!H6367&amp;"|"&amp;'管线现金流'!AJ6367&amp;"|"&amp;'管线现金流'!H6368&amp;"|"&amp;'管线现金流'!AJ6368&amp;"|"&amp;'管线现金流'!H6369&amp;"|"&amp;'管线现金流'!AJ6369&amp;"|"&amp;'管线现金流'!H6370&amp;"|"&amp;'管线现金流'!AJ6370&amp;"|"&amp;'管线现金流'!H6371&amp;"|"&amp;'管线现金流'!AJ6371&amp;"|"&amp;'管线现金流'!H6372&amp;"|"&amp;'管线现金流'!AJ6372&amp;"|"&amp;'管线现金流'!H6373&amp;"|"&amp;'管线现金流'!AJ6373&amp;"|"&amp;'管线现金流'!H6374&amp;"|"&amp;'管线现金流'!AJ6374&amp;"|"&amp;'管线现金流'!H6375&amp;"|"&amp;'管线现金流'!AJ6375&amp;"|"&amp;'管线现金流'!H6376&amp;"|"&amp;'管线现金流'!AJ6376&amp;"|"&amp;'管线现金流'!H6377&amp;"|"&amp;'管线现金流'!AJ6377&amp;"|"&amp;'管线现金流'!H6378&amp;"|"&amp;'管线现金流'!AJ6378&amp;"|"&amp;'管线现金流'!H6379&amp;"|"&amp;'管线现金流'!AJ6379&amp;"|"&amp;'管线现金流'!H6380&amp;"|"&amp;'管线现金流'!AJ6380&amp;"|"&amp;'管线现金流'!H6381&amp;"|"&amp;'管线现金流'!AJ6381&amp;"|"&amp;'管线现金流'!H6382&amp;"|"&amp;'管线现金流'!AJ6382&amp;"|"&amp;'管线现金流'!H6383&amp;"|"&amp;'管线现金流'!AJ6383&amp;"|"&amp;'管线现金流'!H6384&amp;"|"&amp;'管线现金流'!AJ6384&amp;"|"&amp;'管线现金流'!H6385&amp;"|"&amp;'管线现金流'!AJ6385&amp;"|"&amp;'管线现金流'!H6386&amp;"|"&amp;'管线现金流'!AJ6386&amp;"|"&amp;'管线现金流'!H6387&amp;"|"&amp;'管线现金流'!AJ6387&amp;"|"&amp;'管线现金流'!H6388&amp;"|"&amp;'管线现金流'!AJ6388&amp;"|"&amp;'管线现金流'!H6389&amp;"|"&amp;'管线现金流'!AJ6389&amp;"|"&amp;'管线现金流'!H6390&amp;"|"&amp;'管线现金流'!AJ6390&amp;"|"&amp;'管线现金流'!H6391&amp;"|"&amp;'管线现金流'!AJ6391&amp;"|"&amp;'管线现金流'!H6392&amp;"|"&amp;'管线现金流'!AJ6392&amp;"|"&amp;'管线现金流'!H6393&amp;"|"&amp;'管线现金流'!AJ6393&amp;"|"&amp;'管线现金流'!H6394&amp;"|"&amp;'管线现金流'!AJ6394&amp;"|"&amp;'管线现金流'!H6395&amp;"|"&amp;'管线现金流'!AJ6395&amp;"|"&amp;'管线现金流'!H6396&amp;"|"&amp;'管线现金流'!AJ6396&amp;"|"&amp;'管线现金流'!H6397&amp;"|"&amp;'管线现金流'!AJ6397&amp;"|"&amp;'管线现金流'!H6398&amp;"|"&amp;'管线现金流'!AJ6398&amp;"|"&amp;'管线现金流'!H6399&amp;"|"&amp;'管线现金流'!AJ6399&amp;"|"&amp;'管线现金流'!H6400&amp;"|"&amp;'管线现金流'!AJ6400&amp;"|"&amp;'管线现金流'!H6401&amp;"|"&amp;'管线现金流'!AJ6401&amp;"|"&amp;'管线现金流'!H6402&amp;"|"&amp;'管线现金流'!AJ6402&amp;"|"&amp;'管线现金流'!H6403&amp;"|"&amp;'管线现金流'!AJ6403&amp;"|"&amp;'管线现金流'!H6404&amp;"|"&amp;'管线现金流'!AJ6404&amp;"|"&amp;'管线现金流'!H6405&amp;"|"&amp;'管线现金流'!AJ6405&amp;"|"&amp;'管线现金流'!H6406&amp;"|"&amp;'管线现金流'!AJ6406&amp;"|"&amp;'管线现金流'!H6407&amp;"|"&amp;'管线现金流'!AJ6407&amp;"|"&amp;'管线现金流'!H6408&amp;"|"&amp;'管线现金流'!AJ6408&amp;"|"&amp;'管线现金流'!H6409&amp;"|"&amp;'管线现金流'!AJ6409&amp;"|"&amp;'管线现金流'!H6410&amp;"|"&amp;'管线现金流'!AJ6410&amp;"|"&amp;'管线现金流'!H6411&amp;"|"&amp;'管线现金流'!AJ6411&amp;"|"&amp;'管线现金流'!H6412&amp;"|"&amp;'管线现金流'!AJ6412&amp;"|"&amp;'管线现金流'!H6413&amp;"|"&amp;'管线现金流'!AJ6413&amp;"|"&amp;'管线现金流'!H6414&amp;"|"&amp;'管线现金流'!AJ6414&amp;"|"&amp;'管线现金流'!H6415&amp;"|"&amp;'管线现金流'!AJ6415&amp;"|"&amp;'管线现金流'!H6416&amp;"|"&amp;'管线现金流'!AJ6416&amp;"|"&amp;'管线现金流'!H6417&amp;"|"&amp;'管线现金流'!AJ6417&amp;"|"&amp;'管线现金流'!H6418&amp;"|"&amp;'管线现金流'!AJ6418&amp;"|"&amp;'管线现金流'!H6419&amp;"|"&amp;'管线现金流'!AJ6419&amp;"|"&amp;'管线现金流'!H6420&amp;"|"&amp;'管线现金流'!AJ6420&amp;"|"&amp;'管线现金流'!H6421&amp;"|"&amp;'管线现金流'!AJ6421&amp;"|"&amp;'管线现金流'!H6422&amp;"|"&amp;'管线现金流'!AJ6422&amp;"|"&amp;'管线现金流'!H6423&amp;"|"&amp;'管线现金流'!AJ6423&amp;"|"&amp;'管线现金流'!H6424&amp;"|"&amp;'管线现金流'!AJ6424&amp;"|"&amp;'管线现金流'!H6425&amp;"|"&amp;'管线现金流'!AJ6425&amp;"|"&amp;'管线现金流'!H6426&amp;"|"&amp;'管线现金流'!AJ6426&amp;"|"&amp;'管线现金流'!H6427&amp;"|"&amp;'管线现金流'!AJ6427&amp;"|"&amp;'管线现金流'!H6428&amp;"|"&amp;'管线现金流'!AJ6428&amp;"|"&amp;'管线现金流'!H6429&amp;"|"&amp;'管线现金流'!AJ6429&amp;"|"&amp;'管线现金流'!H6430&amp;"|"&amp;'管线现金流'!AJ6430&amp;"|"&amp;'管线现金流'!H6431&amp;"|"&amp;'管线现金流'!AJ6431&amp;"|"&amp;'管线现金流'!H6432&amp;"|"&amp;'管线现金流'!AJ6432&amp;"|"&amp;'管线现金流'!H6433&amp;"|"&amp;'管线现金流'!AJ6433&amp;"|"&amp;'管线现金流'!H6434&amp;"|"&amp;'管线现金流'!AJ6434&amp;"|"&amp;'管线现金流'!H6435&amp;"|"&amp;'管线现金流'!AJ6435&amp;"|"&amp;'管线现金流'!H6436&amp;"|"&amp;'管线现金流'!AJ6436&amp;"|"&amp;'管线现金流'!H6437&amp;"|"&amp;'管线现金流'!AJ6437&amp;"|"&amp;'管线现金流'!H6438&amp;"|"&amp;'管线现金流'!AJ6438&amp;"|"&amp;'管线现金流'!H6439&amp;"|"&amp;'管线现金流'!AJ6439&amp;"|"&amp;'管线现金流'!H6440&amp;"|"&amp;'管线现金流'!AJ6440&amp;"|"&amp;'管线现金流'!H6441&amp;"|"&amp;'管线现金流'!AJ6441&amp;"|"&amp;'管线现金流'!H6442&amp;"|"&amp;'管线现金流'!AJ6442&amp;"|"&amp;'管线现金流'!H6443&amp;"|"&amp;'管线现金流'!AJ6443&amp;"|"&amp;'管线现金流'!H6444&amp;"|"&amp;'管线现金流'!AJ6444&amp;"|"&amp;'管线现金流'!H6445&amp;"|"&amp;'管线现金流'!AJ6445&amp;"|"&amp;'管线现金流'!H6446&amp;"|"&amp;'管线现金流'!AJ6446&amp;"|"&amp;'管线现金流'!H6447&amp;"|"&amp;'管线现金流'!AJ6447&amp;"|"&amp;'管线现金流'!H6448&amp;"|"&amp;'管线现金流'!AJ6448&amp;"|"&amp;'管线现金流'!H6449&amp;"|"&amp;'管线现金流'!AJ6449&amp;"|"&amp;'管线现金流'!H6450&amp;"|"&amp;'管线现金流'!AJ6450&amp;"|"&amp;'管线现金流'!H6451&amp;"|"&amp;'管线现金流'!AJ6451&amp;"|"&amp;'管线现金流'!H6452&amp;"|"&amp;'管线现金流'!AJ6452&amp;"|"&amp;'管线现金流'!H6453&amp;"|"&amp;'管线现金流'!AJ6453&amp;"|"&amp;'管线现金流'!H6454&amp;"|"&amp;'管线现金流'!AJ6454&amp;"|"&amp;'管线现金流'!H6455&amp;"|"&amp;'管线现金流'!AJ6455&amp;"|"&amp;'管线现金流'!H6456&amp;"|"&amp;'管线现金流'!AJ6456&amp;"|"&amp;'管线现金流'!H6457&amp;"|"&amp;'管线现金流'!AJ6457&amp;"|"&amp;'管线现金流'!H6458&amp;"|"&amp;'管线现金流'!AJ6458&amp;"|"&amp;'管线现金流'!H6459&amp;"|"&amp;'管线现金流'!AJ6459&amp;"|"&amp;'管线现金流'!H6460&amp;"|"&amp;'管线现金流'!AJ6460&amp;"|"&amp;'管线现金流'!H6461&amp;"|"&amp;'管线现金流'!AJ6461&amp;"|"&amp;'管线现金流'!H6462&amp;"|"&amp;'管线现金流'!AJ6462&amp;"|"&amp;'管线现金流'!H6463&amp;"|"&amp;'管线现金流'!AJ6463&amp;"|"&amp;'管线现金流'!H6464&amp;"|"&amp;'管线现金流'!AJ6464&amp;"|"&amp;'管线现金流'!H6465&amp;"|"&amp;'管线现金流'!AJ6465&amp;"|"&amp;'管线现金流'!H6466&amp;"|"&amp;'管线现金流'!AJ6466&amp;"|"&amp;'管线现金流'!H6467&amp;"|"&amp;'管线现金流'!AJ6467&amp;"|"&amp;'管线现金流'!H6468&amp;"|"&amp;'管线现金流'!AJ6468&amp;"|"&amp;'管线现金流'!H6469&amp;"|"&amp;'管线现金流'!AJ6469&amp;"|"&amp;'管线现金流'!H6470&amp;"|"&amp;'管线现金流'!AJ6470&amp;"|"&amp;'管线现金流'!H6471&amp;"|"&amp;'管线现金流'!AJ6471&amp;"|"&amp;'管线现金流'!H6472&amp;"|"&amp;'管线现金流'!AJ6472&amp;"|"&amp;'管线现金流'!H6473&amp;"|"&amp;'管线现金流'!AJ6473&amp;"|"&amp;'管线现金流'!H6474&amp;"|"&amp;'管线现金流'!AJ6474&amp;"|"&amp;'管线现金流'!H6475&amp;"|"&amp;'管线现金流'!AJ6475&amp;"|"&amp;'管线现金流'!H6476&amp;"|"&amp;'管线现金流'!AJ6476&amp;"|"&amp;'管线现金流'!U102&amp;"|"&amp;'管线现金流'!X102&amp;"|"&amp;'管线现金流'!AO102&amp;"|"&amp;'管线现金流'!AR102&amp;"|"&amp;'管线现金流'!U103&amp;"|"&amp;'管线现金流'!X103&amp;"|"&amp;'管线现金流'!AO103&amp;"|"&amp;'管线现金流'!AR103&amp;"|"&amp;'管线现金流'!U104&amp;"|"&amp;'管线现金流'!X104&amp;"|"&amp;'管线现金流'!AO104&amp;"|"&amp;'管线现金流'!AR104&amp;"|"&amp;'管线现金流'!U105&amp;"|"&amp;'管线现金流'!X105&amp;"|"&amp;'管线现金流'!AO105&amp;"|"&amp;'管线现金流'!AR105&amp;"|"&amp;'管线现金流'!U106&amp;"|"&amp;'管线现金流'!X106&amp;"|"&amp;'管线现金流'!AO106&amp;"|"&amp;'管线现金流'!AR106&amp;"|"&amp;'管线现金流'!U107&amp;"|"&amp;'管线现金流'!X107&amp;"|"&amp;'管线现金流'!AO107&amp;"|"&amp;'管线现金流'!AR107&amp;"|"&amp;'管线现金流'!U108&amp;"|"&amp;'管线现金流'!X108&amp;"|"&amp;'管线现金流'!AO108&amp;"|"&amp;'管线现金流'!AR108&amp;"|"&amp;'管线现金流'!U109&amp;"|"&amp;'管线现金流'!X109&amp;"|"&amp;'管线现金流'!AO109&amp;"|"&amp;'管线现金流'!AR109&amp;"|"&amp;'管线现金流'!U110&amp;"|"&amp;'管线现金流'!X110&amp;"|"&amp;'管线现金流'!AO110&amp;"|"&amp;'管线现金流'!AR110&amp;"|"&amp;'管线现金流'!U111&amp;"|"&amp;'管线现金流'!X111&amp;"|"&amp;'管线现金流'!AO111&amp;"|"&amp;'管线现金流'!AR111&amp;"|"&amp;'许可受让方假设'!D8&amp;"|"&amp;'许可受让方假设'!E8&amp;"|"&amp;'许可受让方假设'!F8&amp;"|"&amp;'许可受让方假设'!G8&amp;"|"&amp;'许可受让方假设'!H8&amp;"|"&amp;'许可受让方假设'!I8&amp;"|"&amp;'许可受让方假设'!J8&amp;"|"&amp;'许可受让方假设'!K8&amp;"|"&amp;'许可受让方现金流'!O7&amp;"|"&amp;'许可受让方现金流'!O8&amp;"|"&amp;'许可受让方现金流'!O9&amp;"|"&amp;'许可受让方现金流'!O10&amp;"|"&amp;'许可受让方现金流'!O11&amp;"|"&amp;'许可受让方现金流'!O12&amp;"|"&amp;'许可受让方现金流'!O13&amp;"|"&amp;'许可受让方现金流'!O14&amp;"|"&amp;'许可受让方现金流'!O15&amp;"|"&amp;'许可受让方现金流'!O16&amp;"|"&amp;'许可受让方现金流'!O17&amp;"|"&amp;'许可受让方现金流'!O18&amp;"|"&amp;'许可受让方现金流'!O19&amp;"|"&amp;'许可受让方现金流'!O20&amp;"|"&amp;'许可受让方现金流'!O21&amp;"|"&amp;'许可受让方现金流'!O22&amp;"|"&amp;'许可受让方现金流'!O23&amp;"|"&amp;'许可受让方现金流'!O24&amp;"|"&amp;'许可受让方现金流'!O25</x:f>
        <x:v>0.4|2.45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0.38|0.13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</x:row>
    <x:row r="608" ht="23" customHeight="1">
      <x:c r="A608" s="11" t="str">
        <x:v>09995.HK</x:v>
      </x:c>
      <x:c r="B608" s="11" t="str">
        <x:v>荣昌生物</x:v>
      </x:c>
      <x:c r="C608" s="11" t="str">
        <x:v>2026年底</x:v>
      </x:c>
      <x:c r="D608" s="11" t="str">
        <x:v>基准</x:v>
      </x:c>
      <x:c r="E608" s="11" t="n">
        <x:v>70.4</x:v>
      </x:c>
      <x:c r="F608" s="11" t="n">
        <x:v>69.32828031524417</x:v>
      </x:c>
      <x:c r="G608" s="11" t="n">
        <x:v>0</x:v>
      </x:c>
      <x:c r="H608" s="25" t="n">
        <x:v>-0.01522329097664532</x:v>
      </x:c>
      <x:c r="I608" s="25" t="n">
        <x:v>-0.01522329097664532</x:v>
      </x:c>
      <x:c r="J608" s="25" t="str"/>
      <x:c r="K608" s="11" t="n">
        <x:v>0</x:v>
      </x:c>
      <x:c r="L608" s="11" t="n">
        <x:v>0</x:v>
      </x:c>
      <x:c r="M608" s="11" t="n">
        <x:v>1.1</x:v>
      </x:c>
      <x:c r="N608" s="11" t="n">
        <x:v>0</x:v>
      </x:c>
      <x:c r="O608" s="11" t="n">
        <x:v>0</x:v>
      </x:c>
      <x:c r="P608" s="11" t="n">
        <x:v>0</x:v>
      </x:c>
      <x:c r="Q608" s="11" t="n">
        <x:v>0.569</x:v>
      </x:c>
      <x:c r="R608" s="11" t="str">
        <x:v>remegen-v2-finite-assets-Vor-residual-return-aligned-score</x:v>
      </x:c>
      <x:c r="S608" s="11" t="str">
        <x:v>2026-10-10</x:v>
      </x:c>
      <x:c r="T608" s="11" t="str">
        <x:f>IF(AND(SUM(IF(K608='假设'!E809,0,1),IF(L608='假设'!F809,0,1),IF(M608='假设'!G809,0,1),IF(N608='假设'!H809,0,1),IF(O608='假设'!I809,0,1),IF(P608='假设'!J809,0,1),IF(Q608='假设'!K809,0,1))=0,U608=V608),"已刷新","待刷新")</x:f>
        <x:v>待刷新</x:v>
      </x:c>
      <x:c r="U608" t="str">
        <x:v>0.6|2.7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0.46|0.112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  <x:c r="V608" t="str">
        <x:f>'假设'!U809&amp;"|"&amp;'假设'!N809&amp;"|"&amp;'假设'!Q809&amp;"|"&amp;'管线假设'!E1349&amp;"|"&amp;'管线假设'!F1349&amp;"|"&amp;'管线假设'!G1349&amp;"|"&amp;'管线假设'!H1349&amp;"|"&amp;'管线假设'!I1349&amp;"|"&amp;'管线假设'!E1353&amp;"|"&amp;'管线假设'!F1353&amp;"|"&amp;'管线假设'!G1353&amp;"|"&amp;'管线假设'!H1353&amp;"|"&amp;'管线假设'!I1353&amp;"|"&amp;'管线假设'!E1357&amp;"|"&amp;'管线假设'!F1357&amp;"|"&amp;'管线假设'!G1357&amp;"|"&amp;'管线假设'!H1357&amp;"|"&amp;'管线假设'!I1357&amp;"|"&amp;'管线假设'!E1361&amp;"|"&amp;'管线假设'!F1361&amp;"|"&amp;'管线假设'!G1361&amp;"|"&amp;'管线假设'!H1361&amp;"|"&amp;'管线假设'!I1361&amp;"|"&amp;'管线假设'!E1365&amp;"|"&amp;'管线假设'!F1365&amp;"|"&amp;'管线假设'!G1365&amp;"|"&amp;'管线假设'!H1365&amp;"|"&amp;'管线假设'!I1365&amp;"|"&amp;'管线假设'!E1369&amp;"|"&amp;'管线假设'!F1369&amp;"|"&amp;'管线假设'!G1369&amp;"|"&amp;'管线假设'!H1369&amp;"|"&amp;'管线假设'!I1369&amp;"|"&amp;'管线假设'!E1373&amp;"|"&amp;'管线假设'!F1373&amp;"|"&amp;'管线假设'!G1373&amp;"|"&amp;'管线假设'!H1373&amp;"|"&amp;'管线假设'!I1373&amp;"|"&amp;'管线假设'!E1377&amp;"|"&amp;'管线假设'!F1377&amp;"|"&amp;'管线假设'!G1377&amp;"|"&amp;'管线假设'!H1377&amp;"|"&amp;'管线假设'!I1377&amp;"|"&amp;'管线假设'!E1381&amp;"|"&amp;'管线假设'!F1381&amp;"|"&amp;'管线假设'!G1381&amp;"|"&amp;'管线假设'!H1381&amp;"|"&amp;'管线假设'!I1381&amp;"|"&amp;'管线假设'!E1385&amp;"|"&amp;'管线假设'!F1385&amp;"|"&amp;'管线假设'!G1385&amp;"|"&amp;'管线假设'!H1385&amp;"|"&amp;'管线假设'!I1385&amp;"|"&amp;'管线现金流'!I6287&amp;"|"&amp;'管线现金流'!AK6287&amp;"|"&amp;'管线现金流'!I6288&amp;"|"&amp;'管线现金流'!AK6288&amp;"|"&amp;'管线现金流'!I6289&amp;"|"&amp;'管线现金流'!AK6289&amp;"|"&amp;'管线现金流'!I6290&amp;"|"&amp;'管线现金流'!AK6290&amp;"|"&amp;'管线现金流'!I6291&amp;"|"&amp;'管线现金流'!AK6291&amp;"|"&amp;'管线现金流'!I6292&amp;"|"&amp;'管线现金流'!AK6292&amp;"|"&amp;'管线现金流'!I6293&amp;"|"&amp;'管线现金流'!AK6293&amp;"|"&amp;'管线现金流'!I6294&amp;"|"&amp;'管线现金流'!AK6294&amp;"|"&amp;'管线现金流'!I6295&amp;"|"&amp;'管线现金流'!AK6295&amp;"|"&amp;'管线现金流'!I6296&amp;"|"&amp;'管线现金流'!AK6296&amp;"|"&amp;'管线现金流'!I6297&amp;"|"&amp;'管线现金流'!AK6297&amp;"|"&amp;'管线现金流'!I6298&amp;"|"&amp;'管线现金流'!AK6298&amp;"|"&amp;'管线现金流'!I6299&amp;"|"&amp;'管线现金流'!AK6299&amp;"|"&amp;'管线现金流'!I6300&amp;"|"&amp;'管线现金流'!AK6300&amp;"|"&amp;'管线现金流'!I6301&amp;"|"&amp;'管线现金流'!AK6301&amp;"|"&amp;'管线现金流'!I6302&amp;"|"&amp;'管线现金流'!AK6302&amp;"|"&amp;'管线现金流'!I6303&amp;"|"&amp;'管线现金流'!AK6303&amp;"|"&amp;'管线现金流'!I6304&amp;"|"&amp;'管线现金流'!AK6304&amp;"|"&amp;'管线现金流'!I6305&amp;"|"&amp;'管线现金流'!AK6305&amp;"|"&amp;'管线现金流'!I6306&amp;"|"&amp;'管线现金流'!AK6306&amp;"|"&amp;'管线现金流'!I6307&amp;"|"&amp;'管线现金流'!AK6307&amp;"|"&amp;'管线现金流'!I6308&amp;"|"&amp;'管线现金流'!AK6308&amp;"|"&amp;'管线现金流'!I6309&amp;"|"&amp;'管线现金流'!AK6309&amp;"|"&amp;'管线现金流'!I6310&amp;"|"&amp;'管线现金流'!AK6310&amp;"|"&amp;'管线现金流'!I6311&amp;"|"&amp;'管线现金流'!AK6311&amp;"|"&amp;'管线现金流'!I6312&amp;"|"&amp;'管线现金流'!AK6312&amp;"|"&amp;'管线现金流'!I6313&amp;"|"&amp;'管线现金流'!AK6313&amp;"|"&amp;'管线现金流'!I6314&amp;"|"&amp;'管线现金流'!AK6314&amp;"|"&amp;'管线现金流'!I6315&amp;"|"&amp;'管线现金流'!AK6315&amp;"|"&amp;'管线现金流'!I6316&amp;"|"&amp;'管线现金流'!AK6316&amp;"|"&amp;'管线现金流'!I6317&amp;"|"&amp;'管线现金流'!AK6317&amp;"|"&amp;'管线现金流'!I6318&amp;"|"&amp;'管线现金流'!AK6318&amp;"|"&amp;'管线现金流'!I6319&amp;"|"&amp;'管线现金流'!AK6319&amp;"|"&amp;'管线现金流'!I6320&amp;"|"&amp;'管线现金流'!AK6320&amp;"|"&amp;'管线现金流'!I6321&amp;"|"&amp;'管线现金流'!AK6321&amp;"|"&amp;'管线现金流'!I6322&amp;"|"&amp;'管线现金流'!AK6322&amp;"|"&amp;'管线现金流'!I6323&amp;"|"&amp;'管线现金流'!AK6323&amp;"|"&amp;'管线现金流'!I6324&amp;"|"&amp;'管线现金流'!AK6324&amp;"|"&amp;'管线现金流'!I6325&amp;"|"&amp;'管线现金流'!AK6325&amp;"|"&amp;'管线现金流'!I6326&amp;"|"&amp;'管线现金流'!AK6326&amp;"|"&amp;'管线现金流'!I6327&amp;"|"&amp;'管线现金流'!AK6327&amp;"|"&amp;'管线现金流'!I6328&amp;"|"&amp;'管线现金流'!AK6328&amp;"|"&amp;'管线现金流'!I6329&amp;"|"&amp;'管线现金流'!AK6329&amp;"|"&amp;'管线现金流'!I6330&amp;"|"&amp;'管线现金流'!AK6330&amp;"|"&amp;'管线现金流'!I6331&amp;"|"&amp;'管线现金流'!AK6331&amp;"|"&amp;'管线现金流'!I6332&amp;"|"&amp;'管线现金流'!AK6332&amp;"|"&amp;'管线现金流'!I6333&amp;"|"&amp;'管线现金流'!AK6333&amp;"|"&amp;'管线现金流'!I6334&amp;"|"&amp;'管线现金流'!AK6334&amp;"|"&amp;'管线现金流'!I6335&amp;"|"&amp;'管线现金流'!AK6335&amp;"|"&amp;'管线现金流'!I6336&amp;"|"&amp;'管线现金流'!AK6336&amp;"|"&amp;'管线现金流'!I6337&amp;"|"&amp;'管线现金流'!AK6337&amp;"|"&amp;'管线现金流'!I6338&amp;"|"&amp;'管线现金流'!AK6338&amp;"|"&amp;'管线现金流'!I6339&amp;"|"&amp;'管线现金流'!AK6339&amp;"|"&amp;'管线现金流'!I6340&amp;"|"&amp;'管线现金流'!AK6340&amp;"|"&amp;'管线现金流'!I6341&amp;"|"&amp;'管线现金流'!AK6341&amp;"|"&amp;'管线现金流'!I6342&amp;"|"&amp;'管线现金流'!AK6342&amp;"|"&amp;'管线现金流'!I6343&amp;"|"&amp;'管线现金流'!AK6343&amp;"|"&amp;'管线现金流'!I6344&amp;"|"&amp;'管线现金流'!AK6344&amp;"|"&amp;'管线现金流'!I6345&amp;"|"&amp;'管线现金流'!AK6345&amp;"|"&amp;'管线现金流'!I6346&amp;"|"&amp;'管线现金流'!AK6346&amp;"|"&amp;'管线现金流'!I6347&amp;"|"&amp;'管线现金流'!AK6347&amp;"|"&amp;'管线现金流'!I6348&amp;"|"&amp;'管线现金流'!AK6348&amp;"|"&amp;'管线现金流'!I6349&amp;"|"&amp;'管线现金流'!AK6349&amp;"|"&amp;'管线现金流'!I6350&amp;"|"&amp;'管线现金流'!AK6350&amp;"|"&amp;'管线现金流'!I6351&amp;"|"&amp;'管线现金流'!AK6351&amp;"|"&amp;'管线现金流'!I6352&amp;"|"&amp;'管线现金流'!AK6352&amp;"|"&amp;'管线现金流'!I6353&amp;"|"&amp;'管线现金流'!AK6353&amp;"|"&amp;'管线现金流'!I6354&amp;"|"&amp;'管线现金流'!AK6354&amp;"|"&amp;'管线现金流'!I6355&amp;"|"&amp;'管线现金流'!AK6355&amp;"|"&amp;'管线现金流'!I6356&amp;"|"&amp;'管线现金流'!AK6356&amp;"|"&amp;'管线现金流'!I6357&amp;"|"&amp;'管线现金流'!AK6357&amp;"|"&amp;'管线现金流'!I6358&amp;"|"&amp;'管线现金流'!AK6358&amp;"|"&amp;'管线现金流'!I6359&amp;"|"&amp;'管线现金流'!AK6359&amp;"|"&amp;'管线现金流'!I6360&amp;"|"&amp;'管线现金流'!AK6360&amp;"|"&amp;'管线现金流'!I6361&amp;"|"&amp;'管线现金流'!AK6361&amp;"|"&amp;'管线现金流'!I6362&amp;"|"&amp;'管线现金流'!AK6362&amp;"|"&amp;'管线现金流'!I6363&amp;"|"&amp;'管线现金流'!AK6363&amp;"|"&amp;'管线现金流'!I6364&amp;"|"&amp;'管线现金流'!AK6364&amp;"|"&amp;'管线现金流'!I6365&amp;"|"&amp;'管线现金流'!AK6365&amp;"|"&amp;'管线现金流'!I6366&amp;"|"&amp;'管线现金流'!AK6366&amp;"|"&amp;'管线现金流'!I6367&amp;"|"&amp;'管线现金流'!AK6367&amp;"|"&amp;'管线现金流'!I6368&amp;"|"&amp;'管线现金流'!AK6368&amp;"|"&amp;'管线现金流'!I6369&amp;"|"&amp;'管线现金流'!AK6369&amp;"|"&amp;'管线现金流'!I6370&amp;"|"&amp;'管线现金流'!AK6370&amp;"|"&amp;'管线现金流'!I6371&amp;"|"&amp;'管线现金流'!AK6371&amp;"|"&amp;'管线现金流'!I6372&amp;"|"&amp;'管线现金流'!AK6372&amp;"|"&amp;'管线现金流'!I6373&amp;"|"&amp;'管线现金流'!AK6373&amp;"|"&amp;'管线现金流'!I6374&amp;"|"&amp;'管线现金流'!AK6374&amp;"|"&amp;'管线现金流'!I6375&amp;"|"&amp;'管线现金流'!AK6375&amp;"|"&amp;'管线现金流'!I6376&amp;"|"&amp;'管线现金流'!AK6376&amp;"|"&amp;'管线现金流'!I6377&amp;"|"&amp;'管线现金流'!AK6377&amp;"|"&amp;'管线现金流'!I6378&amp;"|"&amp;'管线现金流'!AK6378&amp;"|"&amp;'管线现金流'!I6379&amp;"|"&amp;'管线现金流'!AK6379&amp;"|"&amp;'管线现金流'!I6380&amp;"|"&amp;'管线现金流'!AK6380&amp;"|"&amp;'管线现金流'!I6381&amp;"|"&amp;'管线现金流'!AK6381&amp;"|"&amp;'管线现金流'!I6382&amp;"|"&amp;'管线现金流'!AK6382&amp;"|"&amp;'管线现金流'!I6383&amp;"|"&amp;'管线现金流'!AK6383&amp;"|"&amp;'管线现金流'!I6384&amp;"|"&amp;'管线现金流'!AK6384&amp;"|"&amp;'管线现金流'!I6385&amp;"|"&amp;'管线现金流'!AK6385&amp;"|"&amp;'管线现金流'!I6386&amp;"|"&amp;'管线现金流'!AK6386&amp;"|"&amp;'管线现金流'!I6387&amp;"|"&amp;'管线现金流'!AK6387&amp;"|"&amp;'管线现金流'!I6388&amp;"|"&amp;'管线现金流'!AK6388&amp;"|"&amp;'管线现金流'!I6389&amp;"|"&amp;'管线现金流'!AK6389&amp;"|"&amp;'管线现金流'!I6390&amp;"|"&amp;'管线现金流'!AK6390&amp;"|"&amp;'管线现金流'!I6391&amp;"|"&amp;'管线现金流'!AK6391&amp;"|"&amp;'管线现金流'!I6392&amp;"|"&amp;'管线现金流'!AK6392&amp;"|"&amp;'管线现金流'!I6393&amp;"|"&amp;'管线现金流'!AK6393&amp;"|"&amp;'管线现金流'!I6394&amp;"|"&amp;'管线现金流'!AK6394&amp;"|"&amp;'管线现金流'!I6395&amp;"|"&amp;'管线现金流'!AK6395&amp;"|"&amp;'管线现金流'!I6396&amp;"|"&amp;'管线现金流'!AK6396&amp;"|"&amp;'管线现金流'!I6397&amp;"|"&amp;'管线现金流'!AK6397&amp;"|"&amp;'管线现金流'!I6398&amp;"|"&amp;'管线现金流'!AK6398&amp;"|"&amp;'管线现金流'!I6399&amp;"|"&amp;'管线现金流'!AK6399&amp;"|"&amp;'管线现金流'!I6400&amp;"|"&amp;'管线现金流'!AK6400&amp;"|"&amp;'管线现金流'!I6401&amp;"|"&amp;'管线现金流'!AK6401&amp;"|"&amp;'管线现金流'!I6402&amp;"|"&amp;'管线现金流'!AK6402&amp;"|"&amp;'管线现金流'!I6403&amp;"|"&amp;'管线现金流'!AK6403&amp;"|"&amp;'管线现金流'!I6404&amp;"|"&amp;'管线现金流'!AK6404&amp;"|"&amp;'管线现金流'!I6405&amp;"|"&amp;'管线现金流'!AK6405&amp;"|"&amp;'管线现金流'!I6406&amp;"|"&amp;'管线现金流'!AK6406&amp;"|"&amp;'管线现金流'!I6407&amp;"|"&amp;'管线现金流'!AK6407&amp;"|"&amp;'管线现金流'!I6408&amp;"|"&amp;'管线现金流'!AK6408&amp;"|"&amp;'管线现金流'!I6409&amp;"|"&amp;'管线现金流'!AK6409&amp;"|"&amp;'管线现金流'!I6410&amp;"|"&amp;'管线现金流'!AK6410&amp;"|"&amp;'管线现金流'!I6411&amp;"|"&amp;'管线现金流'!AK6411&amp;"|"&amp;'管线现金流'!I6412&amp;"|"&amp;'管线现金流'!AK6412&amp;"|"&amp;'管线现金流'!I6413&amp;"|"&amp;'管线现金流'!AK6413&amp;"|"&amp;'管线现金流'!I6414&amp;"|"&amp;'管线现金流'!AK6414&amp;"|"&amp;'管线现金流'!I6415&amp;"|"&amp;'管线现金流'!AK6415&amp;"|"&amp;'管线现金流'!I6416&amp;"|"&amp;'管线现金流'!AK6416&amp;"|"&amp;'管线现金流'!I6417&amp;"|"&amp;'管线现金流'!AK6417&amp;"|"&amp;'管线现金流'!I6418&amp;"|"&amp;'管线现金流'!AK6418&amp;"|"&amp;'管线现金流'!I6419&amp;"|"&amp;'管线现金流'!AK6419&amp;"|"&amp;'管线现金流'!I6420&amp;"|"&amp;'管线现金流'!AK6420&amp;"|"&amp;'管线现金流'!I6421&amp;"|"&amp;'管线现金流'!AK6421&amp;"|"&amp;'管线现金流'!I6422&amp;"|"&amp;'管线现金流'!AK6422&amp;"|"&amp;'管线现金流'!I6423&amp;"|"&amp;'管线现金流'!AK6423&amp;"|"&amp;'管线现金流'!I6424&amp;"|"&amp;'管线现金流'!AK6424&amp;"|"&amp;'管线现金流'!I6425&amp;"|"&amp;'管线现金流'!AK6425&amp;"|"&amp;'管线现金流'!I6426&amp;"|"&amp;'管线现金流'!AK6426&amp;"|"&amp;'管线现金流'!I6427&amp;"|"&amp;'管线现金流'!AK6427&amp;"|"&amp;'管线现金流'!I6428&amp;"|"&amp;'管线现金流'!AK6428&amp;"|"&amp;'管线现金流'!I6429&amp;"|"&amp;'管线现金流'!AK6429&amp;"|"&amp;'管线现金流'!I6430&amp;"|"&amp;'管线现金流'!AK6430&amp;"|"&amp;'管线现金流'!I6431&amp;"|"&amp;'管线现金流'!AK6431&amp;"|"&amp;'管线现金流'!I6432&amp;"|"&amp;'管线现金流'!AK6432&amp;"|"&amp;'管线现金流'!I6433&amp;"|"&amp;'管线现金流'!AK6433&amp;"|"&amp;'管线现金流'!I6434&amp;"|"&amp;'管线现金流'!AK6434&amp;"|"&amp;'管线现金流'!I6435&amp;"|"&amp;'管线现金流'!AK6435&amp;"|"&amp;'管线现金流'!I6436&amp;"|"&amp;'管线现金流'!AK6436&amp;"|"&amp;'管线现金流'!I6437&amp;"|"&amp;'管线现金流'!AK6437&amp;"|"&amp;'管线现金流'!I6438&amp;"|"&amp;'管线现金流'!AK6438&amp;"|"&amp;'管线现金流'!I6439&amp;"|"&amp;'管线现金流'!AK6439&amp;"|"&amp;'管线现金流'!I6440&amp;"|"&amp;'管线现金流'!AK6440&amp;"|"&amp;'管线现金流'!I6441&amp;"|"&amp;'管线现金流'!AK6441&amp;"|"&amp;'管线现金流'!I6442&amp;"|"&amp;'管线现金流'!AK6442&amp;"|"&amp;'管线现金流'!I6443&amp;"|"&amp;'管线现金流'!AK6443&amp;"|"&amp;'管线现金流'!I6444&amp;"|"&amp;'管线现金流'!AK6444&amp;"|"&amp;'管线现金流'!I6445&amp;"|"&amp;'管线现金流'!AK6445&amp;"|"&amp;'管线现金流'!I6446&amp;"|"&amp;'管线现金流'!AK6446&amp;"|"&amp;'管线现金流'!I6447&amp;"|"&amp;'管线现金流'!AK6447&amp;"|"&amp;'管线现金流'!I6448&amp;"|"&amp;'管线现金流'!AK6448&amp;"|"&amp;'管线现金流'!I6449&amp;"|"&amp;'管线现金流'!AK6449&amp;"|"&amp;'管线现金流'!I6450&amp;"|"&amp;'管线现金流'!AK6450&amp;"|"&amp;'管线现金流'!I6451&amp;"|"&amp;'管线现金流'!AK6451&amp;"|"&amp;'管线现金流'!I6452&amp;"|"&amp;'管线现金流'!AK6452&amp;"|"&amp;'管线现金流'!I6453&amp;"|"&amp;'管线现金流'!AK6453&amp;"|"&amp;'管线现金流'!I6454&amp;"|"&amp;'管线现金流'!AK6454&amp;"|"&amp;'管线现金流'!I6455&amp;"|"&amp;'管线现金流'!AK6455&amp;"|"&amp;'管线现金流'!I6456&amp;"|"&amp;'管线现金流'!AK6456&amp;"|"&amp;'管线现金流'!I6457&amp;"|"&amp;'管线现金流'!AK6457&amp;"|"&amp;'管线现金流'!I6458&amp;"|"&amp;'管线现金流'!AK6458&amp;"|"&amp;'管线现金流'!I6459&amp;"|"&amp;'管线现金流'!AK6459&amp;"|"&amp;'管线现金流'!I6460&amp;"|"&amp;'管线现金流'!AK6460&amp;"|"&amp;'管线现金流'!I6461&amp;"|"&amp;'管线现金流'!AK6461&amp;"|"&amp;'管线现金流'!I6462&amp;"|"&amp;'管线现金流'!AK6462&amp;"|"&amp;'管线现金流'!I6463&amp;"|"&amp;'管线现金流'!AK6463&amp;"|"&amp;'管线现金流'!I6464&amp;"|"&amp;'管线现金流'!AK6464&amp;"|"&amp;'管线现金流'!I6465&amp;"|"&amp;'管线现金流'!AK6465&amp;"|"&amp;'管线现金流'!I6466&amp;"|"&amp;'管线现金流'!AK6466&amp;"|"&amp;'管线现金流'!I6467&amp;"|"&amp;'管线现金流'!AK6467&amp;"|"&amp;'管线现金流'!I6468&amp;"|"&amp;'管线现金流'!AK6468&amp;"|"&amp;'管线现金流'!I6469&amp;"|"&amp;'管线现金流'!AK6469&amp;"|"&amp;'管线现金流'!I6470&amp;"|"&amp;'管线现金流'!AK6470&amp;"|"&amp;'管线现金流'!I6471&amp;"|"&amp;'管线现金流'!AK6471&amp;"|"&amp;'管线现金流'!I6472&amp;"|"&amp;'管线现金流'!AK6472&amp;"|"&amp;'管线现金流'!I6473&amp;"|"&amp;'管线现金流'!AK6473&amp;"|"&amp;'管线现金流'!I6474&amp;"|"&amp;'管线现金流'!AK6474&amp;"|"&amp;'管线现金流'!I6475&amp;"|"&amp;'管线现金流'!AK6475&amp;"|"&amp;'管线现金流'!I6476&amp;"|"&amp;'管线现金流'!AK6476&amp;"|"&amp;'管线现金流'!V102&amp;"|"&amp;'管线现金流'!Y102&amp;"|"&amp;'管线现金流'!AP102&amp;"|"&amp;'管线现金流'!AS102&amp;"|"&amp;'管线现金流'!V103&amp;"|"&amp;'管线现金流'!Y103&amp;"|"&amp;'管线现金流'!AP103&amp;"|"&amp;'管线现金流'!AS103&amp;"|"&amp;'管线现金流'!V104&amp;"|"&amp;'管线现金流'!Y104&amp;"|"&amp;'管线现金流'!AP104&amp;"|"&amp;'管线现金流'!AS104&amp;"|"&amp;'管线现金流'!V105&amp;"|"&amp;'管线现金流'!Y105&amp;"|"&amp;'管线现金流'!AP105&amp;"|"&amp;'管线现金流'!AS105&amp;"|"&amp;'管线现金流'!V106&amp;"|"&amp;'管线现金流'!Y106&amp;"|"&amp;'管线现金流'!AP106&amp;"|"&amp;'管线现金流'!AS106&amp;"|"&amp;'管线现金流'!V107&amp;"|"&amp;'管线现金流'!Y107&amp;"|"&amp;'管线现金流'!AP107&amp;"|"&amp;'管线现金流'!AS107&amp;"|"&amp;'管线现金流'!V108&amp;"|"&amp;'管线现金流'!Y108&amp;"|"&amp;'管线现金流'!AP108&amp;"|"&amp;'管线现金流'!AS108&amp;"|"&amp;'管线现金流'!V109&amp;"|"&amp;'管线现金流'!Y109&amp;"|"&amp;'管线现金流'!AP109&amp;"|"&amp;'管线现金流'!AS109&amp;"|"&amp;'管线现金流'!V110&amp;"|"&amp;'管线现金流'!Y110&amp;"|"&amp;'管线现金流'!AP110&amp;"|"&amp;'管线现金流'!AS110&amp;"|"&amp;'管线现金流'!V111&amp;"|"&amp;'管线现金流'!Y111&amp;"|"&amp;'管线现金流'!AP111&amp;"|"&amp;'管线现金流'!AS111&amp;"|"&amp;'许可受让方假设'!D9&amp;"|"&amp;'许可受让方假设'!E9&amp;"|"&amp;'许可受让方假设'!F9&amp;"|"&amp;'许可受让方假设'!G9&amp;"|"&amp;'许可受让方假设'!H9&amp;"|"&amp;'许可受让方假设'!I9&amp;"|"&amp;'许可受让方假设'!J9&amp;"|"&amp;'许可受让方假设'!K9&amp;"|"&amp;'许可受让方现金流'!P7&amp;"|"&amp;'许可受让方现金流'!P8&amp;"|"&amp;'许可受让方现金流'!P9&amp;"|"&amp;'许可受让方现金流'!P10&amp;"|"&amp;'许可受让方现金流'!P11&amp;"|"&amp;'许可受让方现金流'!P12&amp;"|"&amp;'许可受让方现金流'!P13&amp;"|"&amp;'许可受让方现金流'!P14&amp;"|"&amp;'许可受让方现金流'!P15&amp;"|"&amp;'许可受让方现金流'!P16&amp;"|"&amp;'许可受让方现金流'!P17&amp;"|"&amp;'许可受让方现金流'!P18&amp;"|"&amp;'许可受让方现金流'!P19&amp;"|"&amp;'许可受让方现金流'!P20&amp;"|"&amp;'许可受让方现金流'!P21&amp;"|"&amp;'许可受让方现金流'!P22&amp;"|"&amp;'许可受让方现金流'!P23&amp;"|"&amp;'许可受让方现金流'!P24&amp;"|"&amp;'许可受让方现金流'!P25</x:f>
        <x:v>0.6|2.7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1.46|0.112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</x:row>
    <x:row r="609" ht="23" customHeight="1">
      <x:c r="A609" s="11" t="str">
        <x:v>09995.HK</x:v>
      </x:c>
      <x:c r="B609" s="11" t="str">
        <x:v>荣昌生物</x:v>
      </x:c>
      <x:c r="C609" s="11" t="str">
        <x:v>2026年底</x:v>
      </x:c>
      <x:c r="D609" s="11" t="str">
        <x:v>乐观</x:v>
      </x:c>
      <x:c r="E609" s="11" t="n">
        <x:v>70.4</x:v>
      </x:c>
      <x:c r="F609" s="11" t="n">
        <x:v>122.2155193416934</x:v>
      </x:c>
      <x:c r="G609" s="11" t="n">
        <x:v>0</x:v>
      </x:c>
      <x:c r="H609" s="25" t="n">
        <x:v>0.7360158997399628</x:v>
      </x:c>
      <x:c r="I609" s="25" t="n">
        <x:v>0.7360158997399628</x:v>
      </x:c>
      <x:c r="J609" s="25" t="str"/>
      <x:c r="K609" s="11" t="n">
        <x:v>0</x:v>
      </x:c>
      <x:c r="L609" s="11" t="n">
        <x:v>0</x:v>
      </x:c>
      <x:c r="M609" s="11" t="n">
        <x:v>1.1</x:v>
      </x:c>
      <x:c r="N609" s="11" t="n">
        <x:v>0</x:v>
      </x:c>
      <x:c r="O609" s="11" t="n">
        <x:v>0</x:v>
      </x:c>
      <x:c r="P609" s="11" t="n">
        <x:v>0</x:v>
      </x:c>
      <x:c r="Q609" s="11" t="n">
        <x:v>0.566</x:v>
      </x:c>
      <x:c r="R609" s="11" t="str">
        <x:v>remegen-v2-finite-assets-Vor-residual-return-aligned-score</x:v>
      </x:c>
      <x:c r="S609" s="11" t="str">
        <x:v>2026-10-10</x:v>
      </x:c>
      <x:c r="T609" s="11" t="str">
        <x:f>IF(AND(SUM(IF(K609='假设'!E810,0,1),IF(L609='假设'!F810,0,1),IF(M609='假设'!G810,0,1),IF(N609='假设'!H810,0,1),IF(O609='假设'!I810,0,1),IF(P609='假设'!J810,0,1),IF(Q609='假设'!K810,0,1))=0,U609=V609),"已刷新","待刷新")</x:f>
        <x:v>已刷新</x:v>
      </x:c>
      <x:c r="U609" t="str">
        <x:v>0.3|2.95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0.52|0.104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  <x:c r="V609" t="str">
        <x:f>'假设'!U810&amp;"|"&amp;'假设'!N810&amp;"|"&amp;'假设'!Q810&amp;"|"&amp;'管线假设'!E1350&amp;"|"&amp;'管线假设'!F1350&amp;"|"&amp;'管线假设'!G1350&amp;"|"&amp;'管线假设'!H1350&amp;"|"&amp;'管线假设'!I1350&amp;"|"&amp;'管线假设'!E1354&amp;"|"&amp;'管线假设'!F1354&amp;"|"&amp;'管线假设'!G1354&amp;"|"&amp;'管线假设'!H1354&amp;"|"&amp;'管线假设'!I1354&amp;"|"&amp;'管线假设'!E1358&amp;"|"&amp;'管线假设'!F1358&amp;"|"&amp;'管线假设'!G1358&amp;"|"&amp;'管线假设'!H1358&amp;"|"&amp;'管线假设'!I1358&amp;"|"&amp;'管线假设'!E1362&amp;"|"&amp;'管线假设'!F1362&amp;"|"&amp;'管线假设'!G1362&amp;"|"&amp;'管线假设'!H1362&amp;"|"&amp;'管线假设'!I1362&amp;"|"&amp;'管线假设'!E1366&amp;"|"&amp;'管线假设'!F1366&amp;"|"&amp;'管线假设'!G1366&amp;"|"&amp;'管线假设'!H1366&amp;"|"&amp;'管线假设'!I1366&amp;"|"&amp;'管线假设'!E1370&amp;"|"&amp;'管线假设'!F1370&amp;"|"&amp;'管线假设'!G1370&amp;"|"&amp;'管线假设'!H1370&amp;"|"&amp;'管线假设'!I1370&amp;"|"&amp;'管线假设'!E1374&amp;"|"&amp;'管线假设'!F1374&amp;"|"&amp;'管线假设'!G1374&amp;"|"&amp;'管线假设'!H1374&amp;"|"&amp;'管线假设'!I1374&amp;"|"&amp;'管线假设'!E1378&amp;"|"&amp;'管线假设'!F1378&amp;"|"&amp;'管线假设'!G1378&amp;"|"&amp;'管线假设'!H1378&amp;"|"&amp;'管线假设'!I1378&amp;"|"&amp;'管线假设'!E1382&amp;"|"&amp;'管线假设'!F1382&amp;"|"&amp;'管线假设'!G1382&amp;"|"&amp;'管线假设'!H1382&amp;"|"&amp;'管线假设'!I1382&amp;"|"&amp;'管线假设'!E1386&amp;"|"&amp;'管线假设'!F1386&amp;"|"&amp;'管线假设'!G1386&amp;"|"&amp;'管线假设'!H1386&amp;"|"&amp;'管线假设'!I1386&amp;"|"&amp;'管线现金流'!J6287&amp;"|"&amp;'管线现金流'!AL6287&amp;"|"&amp;'管线现金流'!J6288&amp;"|"&amp;'管线现金流'!AL6288&amp;"|"&amp;'管线现金流'!J6289&amp;"|"&amp;'管线现金流'!AL6289&amp;"|"&amp;'管线现金流'!J6290&amp;"|"&amp;'管线现金流'!AL6290&amp;"|"&amp;'管线现金流'!J6291&amp;"|"&amp;'管线现金流'!AL6291&amp;"|"&amp;'管线现金流'!J6292&amp;"|"&amp;'管线现金流'!AL6292&amp;"|"&amp;'管线现金流'!J6293&amp;"|"&amp;'管线现金流'!AL6293&amp;"|"&amp;'管线现金流'!J6294&amp;"|"&amp;'管线现金流'!AL6294&amp;"|"&amp;'管线现金流'!J6295&amp;"|"&amp;'管线现金流'!AL6295&amp;"|"&amp;'管线现金流'!J6296&amp;"|"&amp;'管线现金流'!AL6296&amp;"|"&amp;'管线现金流'!J6297&amp;"|"&amp;'管线现金流'!AL6297&amp;"|"&amp;'管线现金流'!J6298&amp;"|"&amp;'管线现金流'!AL6298&amp;"|"&amp;'管线现金流'!J6299&amp;"|"&amp;'管线现金流'!AL6299&amp;"|"&amp;'管线现金流'!J6300&amp;"|"&amp;'管线现金流'!AL6300&amp;"|"&amp;'管线现金流'!J6301&amp;"|"&amp;'管线现金流'!AL6301&amp;"|"&amp;'管线现金流'!J6302&amp;"|"&amp;'管线现金流'!AL6302&amp;"|"&amp;'管线现金流'!J6303&amp;"|"&amp;'管线现金流'!AL6303&amp;"|"&amp;'管线现金流'!J6304&amp;"|"&amp;'管线现金流'!AL6304&amp;"|"&amp;'管线现金流'!J6305&amp;"|"&amp;'管线现金流'!AL6305&amp;"|"&amp;'管线现金流'!J6306&amp;"|"&amp;'管线现金流'!AL6306&amp;"|"&amp;'管线现金流'!J6307&amp;"|"&amp;'管线现金流'!AL6307&amp;"|"&amp;'管线现金流'!J6308&amp;"|"&amp;'管线现金流'!AL6308&amp;"|"&amp;'管线现金流'!J6309&amp;"|"&amp;'管线现金流'!AL6309&amp;"|"&amp;'管线现金流'!J6310&amp;"|"&amp;'管线现金流'!AL6310&amp;"|"&amp;'管线现金流'!J6311&amp;"|"&amp;'管线现金流'!AL6311&amp;"|"&amp;'管线现金流'!J6312&amp;"|"&amp;'管线现金流'!AL6312&amp;"|"&amp;'管线现金流'!J6313&amp;"|"&amp;'管线现金流'!AL6313&amp;"|"&amp;'管线现金流'!J6314&amp;"|"&amp;'管线现金流'!AL6314&amp;"|"&amp;'管线现金流'!J6315&amp;"|"&amp;'管线现金流'!AL6315&amp;"|"&amp;'管线现金流'!J6316&amp;"|"&amp;'管线现金流'!AL6316&amp;"|"&amp;'管线现金流'!J6317&amp;"|"&amp;'管线现金流'!AL6317&amp;"|"&amp;'管线现金流'!J6318&amp;"|"&amp;'管线现金流'!AL6318&amp;"|"&amp;'管线现金流'!J6319&amp;"|"&amp;'管线现金流'!AL6319&amp;"|"&amp;'管线现金流'!J6320&amp;"|"&amp;'管线现金流'!AL6320&amp;"|"&amp;'管线现金流'!J6321&amp;"|"&amp;'管线现金流'!AL6321&amp;"|"&amp;'管线现金流'!J6322&amp;"|"&amp;'管线现金流'!AL6322&amp;"|"&amp;'管线现金流'!J6323&amp;"|"&amp;'管线现金流'!AL6323&amp;"|"&amp;'管线现金流'!J6324&amp;"|"&amp;'管线现金流'!AL6324&amp;"|"&amp;'管线现金流'!J6325&amp;"|"&amp;'管线现金流'!AL6325&amp;"|"&amp;'管线现金流'!J6326&amp;"|"&amp;'管线现金流'!AL6326&amp;"|"&amp;'管线现金流'!J6327&amp;"|"&amp;'管线现金流'!AL6327&amp;"|"&amp;'管线现金流'!J6328&amp;"|"&amp;'管线现金流'!AL6328&amp;"|"&amp;'管线现金流'!J6329&amp;"|"&amp;'管线现金流'!AL6329&amp;"|"&amp;'管线现金流'!J6330&amp;"|"&amp;'管线现金流'!AL6330&amp;"|"&amp;'管线现金流'!J6331&amp;"|"&amp;'管线现金流'!AL6331&amp;"|"&amp;'管线现金流'!J6332&amp;"|"&amp;'管线现金流'!AL6332&amp;"|"&amp;'管线现金流'!J6333&amp;"|"&amp;'管线现金流'!AL6333&amp;"|"&amp;'管线现金流'!J6334&amp;"|"&amp;'管线现金流'!AL6334&amp;"|"&amp;'管线现金流'!J6335&amp;"|"&amp;'管线现金流'!AL6335&amp;"|"&amp;'管线现金流'!J6336&amp;"|"&amp;'管线现金流'!AL6336&amp;"|"&amp;'管线现金流'!J6337&amp;"|"&amp;'管线现金流'!AL6337&amp;"|"&amp;'管线现金流'!J6338&amp;"|"&amp;'管线现金流'!AL6338&amp;"|"&amp;'管线现金流'!J6339&amp;"|"&amp;'管线现金流'!AL6339&amp;"|"&amp;'管线现金流'!J6340&amp;"|"&amp;'管线现金流'!AL6340&amp;"|"&amp;'管线现金流'!J6341&amp;"|"&amp;'管线现金流'!AL6341&amp;"|"&amp;'管线现金流'!J6342&amp;"|"&amp;'管线现金流'!AL6342&amp;"|"&amp;'管线现金流'!J6343&amp;"|"&amp;'管线现金流'!AL6343&amp;"|"&amp;'管线现金流'!J6344&amp;"|"&amp;'管线现金流'!AL6344&amp;"|"&amp;'管线现金流'!J6345&amp;"|"&amp;'管线现金流'!AL6345&amp;"|"&amp;'管线现金流'!J6346&amp;"|"&amp;'管线现金流'!AL6346&amp;"|"&amp;'管线现金流'!J6347&amp;"|"&amp;'管线现金流'!AL6347&amp;"|"&amp;'管线现金流'!J6348&amp;"|"&amp;'管线现金流'!AL6348&amp;"|"&amp;'管线现金流'!J6349&amp;"|"&amp;'管线现金流'!AL6349&amp;"|"&amp;'管线现金流'!J6350&amp;"|"&amp;'管线现金流'!AL6350&amp;"|"&amp;'管线现金流'!J6351&amp;"|"&amp;'管线现金流'!AL6351&amp;"|"&amp;'管线现金流'!J6352&amp;"|"&amp;'管线现金流'!AL6352&amp;"|"&amp;'管线现金流'!J6353&amp;"|"&amp;'管线现金流'!AL6353&amp;"|"&amp;'管线现金流'!J6354&amp;"|"&amp;'管线现金流'!AL6354&amp;"|"&amp;'管线现金流'!J6355&amp;"|"&amp;'管线现金流'!AL6355&amp;"|"&amp;'管线现金流'!J6356&amp;"|"&amp;'管线现金流'!AL6356&amp;"|"&amp;'管线现金流'!J6357&amp;"|"&amp;'管线现金流'!AL6357&amp;"|"&amp;'管线现金流'!J6358&amp;"|"&amp;'管线现金流'!AL6358&amp;"|"&amp;'管线现金流'!J6359&amp;"|"&amp;'管线现金流'!AL6359&amp;"|"&amp;'管线现金流'!J6360&amp;"|"&amp;'管线现金流'!AL6360&amp;"|"&amp;'管线现金流'!J6361&amp;"|"&amp;'管线现金流'!AL6361&amp;"|"&amp;'管线现金流'!J6362&amp;"|"&amp;'管线现金流'!AL6362&amp;"|"&amp;'管线现金流'!J6363&amp;"|"&amp;'管线现金流'!AL6363&amp;"|"&amp;'管线现金流'!J6364&amp;"|"&amp;'管线现金流'!AL6364&amp;"|"&amp;'管线现金流'!J6365&amp;"|"&amp;'管线现金流'!AL6365&amp;"|"&amp;'管线现金流'!J6366&amp;"|"&amp;'管线现金流'!AL6366&amp;"|"&amp;'管线现金流'!J6367&amp;"|"&amp;'管线现金流'!AL6367&amp;"|"&amp;'管线现金流'!J6368&amp;"|"&amp;'管线现金流'!AL6368&amp;"|"&amp;'管线现金流'!J6369&amp;"|"&amp;'管线现金流'!AL6369&amp;"|"&amp;'管线现金流'!J6370&amp;"|"&amp;'管线现金流'!AL6370&amp;"|"&amp;'管线现金流'!J6371&amp;"|"&amp;'管线现金流'!AL6371&amp;"|"&amp;'管线现金流'!J6372&amp;"|"&amp;'管线现金流'!AL6372&amp;"|"&amp;'管线现金流'!J6373&amp;"|"&amp;'管线现金流'!AL6373&amp;"|"&amp;'管线现金流'!J6374&amp;"|"&amp;'管线现金流'!AL6374&amp;"|"&amp;'管线现金流'!J6375&amp;"|"&amp;'管线现金流'!AL6375&amp;"|"&amp;'管线现金流'!J6376&amp;"|"&amp;'管线现金流'!AL6376&amp;"|"&amp;'管线现金流'!J6377&amp;"|"&amp;'管线现金流'!AL6377&amp;"|"&amp;'管线现金流'!J6378&amp;"|"&amp;'管线现金流'!AL6378&amp;"|"&amp;'管线现金流'!J6379&amp;"|"&amp;'管线现金流'!AL6379&amp;"|"&amp;'管线现金流'!J6380&amp;"|"&amp;'管线现金流'!AL6380&amp;"|"&amp;'管线现金流'!J6381&amp;"|"&amp;'管线现金流'!AL6381&amp;"|"&amp;'管线现金流'!J6382&amp;"|"&amp;'管线现金流'!AL6382&amp;"|"&amp;'管线现金流'!J6383&amp;"|"&amp;'管线现金流'!AL6383&amp;"|"&amp;'管线现金流'!J6384&amp;"|"&amp;'管线现金流'!AL6384&amp;"|"&amp;'管线现金流'!J6385&amp;"|"&amp;'管线现金流'!AL6385&amp;"|"&amp;'管线现金流'!J6386&amp;"|"&amp;'管线现金流'!AL6386&amp;"|"&amp;'管线现金流'!J6387&amp;"|"&amp;'管线现金流'!AL6387&amp;"|"&amp;'管线现金流'!J6388&amp;"|"&amp;'管线现金流'!AL6388&amp;"|"&amp;'管线现金流'!J6389&amp;"|"&amp;'管线现金流'!AL6389&amp;"|"&amp;'管线现金流'!J6390&amp;"|"&amp;'管线现金流'!AL6390&amp;"|"&amp;'管线现金流'!J6391&amp;"|"&amp;'管线现金流'!AL6391&amp;"|"&amp;'管线现金流'!J6392&amp;"|"&amp;'管线现金流'!AL6392&amp;"|"&amp;'管线现金流'!J6393&amp;"|"&amp;'管线现金流'!AL6393&amp;"|"&amp;'管线现金流'!J6394&amp;"|"&amp;'管线现金流'!AL6394&amp;"|"&amp;'管线现金流'!J6395&amp;"|"&amp;'管线现金流'!AL6395&amp;"|"&amp;'管线现金流'!J6396&amp;"|"&amp;'管线现金流'!AL6396&amp;"|"&amp;'管线现金流'!J6397&amp;"|"&amp;'管线现金流'!AL6397&amp;"|"&amp;'管线现金流'!J6398&amp;"|"&amp;'管线现金流'!AL6398&amp;"|"&amp;'管线现金流'!J6399&amp;"|"&amp;'管线现金流'!AL6399&amp;"|"&amp;'管线现金流'!J6400&amp;"|"&amp;'管线现金流'!AL6400&amp;"|"&amp;'管线现金流'!J6401&amp;"|"&amp;'管线现金流'!AL6401&amp;"|"&amp;'管线现金流'!J6402&amp;"|"&amp;'管线现金流'!AL6402&amp;"|"&amp;'管线现金流'!J6403&amp;"|"&amp;'管线现金流'!AL6403&amp;"|"&amp;'管线现金流'!J6404&amp;"|"&amp;'管线现金流'!AL6404&amp;"|"&amp;'管线现金流'!J6405&amp;"|"&amp;'管线现金流'!AL6405&amp;"|"&amp;'管线现金流'!J6406&amp;"|"&amp;'管线现金流'!AL6406&amp;"|"&amp;'管线现金流'!J6407&amp;"|"&amp;'管线现金流'!AL6407&amp;"|"&amp;'管线现金流'!J6408&amp;"|"&amp;'管线现金流'!AL6408&amp;"|"&amp;'管线现金流'!J6409&amp;"|"&amp;'管线现金流'!AL6409&amp;"|"&amp;'管线现金流'!J6410&amp;"|"&amp;'管线现金流'!AL6410&amp;"|"&amp;'管线现金流'!J6411&amp;"|"&amp;'管线现金流'!AL6411&amp;"|"&amp;'管线现金流'!J6412&amp;"|"&amp;'管线现金流'!AL6412&amp;"|"&amp;'管线现金流'!J6413&amp;"|"&amp;'管线现金流'!AL6413&amp;"|"&amp;'管线现金流'!J6414&amp;"|"&amp;'管线现金流'!AL6414&amp;"|"&amp;'管线现金流'!J6415&amp;"|"&amp;'管线现金流'!AL6415&amp;"|"&amp;'管线现金流'!J6416&amp;"|"&amp;'管线现金流'!AL6416&amp;"|"&amp;'管线现金流'!J6417&amp;"|"&amp;'管线现金流'!AL6417&amp;"|"&amp;'管线现金流'!J6418&amp;"|"&amp;'管线现金流'!AL6418&amp;"|"&amp;'管线现金流'!J6419&amp;"|"&amp;'管线现金流'!AL6419&amp;"|"&amp;'管线现金流'!J6420&amp;"|"&amp;'管线现金流'!AL6420&amp;"|"&amp;'管线现金流'!J6421&amp;"|"&amp;'管线现金流'!AL6421&amp;"|"&amp;'管线现金流'!J6422&amp;"|"&amp;'管线现金流'!AL6422&amp;"|"&amp;'管线现金流'!J6423&amp;"|"&amp;'管线现金流'!AL6423&amp;"|"&amp;'管线现金流'!J6424&amp;"|"&amp;'管线现金流'!AL6424&amp;"|"&amp;'管线现金流'!J6425&amp;"|"&amp;'管线现金流'!AL6425&amp;"|"&amp;'管线现金流'!J6426&amp;"|"&amp;'管线现金流'!AL6426&amp;"|"&amp;'管线现金流'!J6427&amp;"|"&amp;'管线现金流'!AL6427&amp;"|"&amp;'管线现金流'!J6428&amp;"|"&amp;'管线现金流'!AL6428&amp;"|"&amp;'管线现金流'!J6429&amp;"|"&amp;'管线现金流'!AL6429&amp;"|"&amp;'管线现金流'!J6430&amp;"|"&amp;'管线现金流'!AL6430&amp;"|"&amp;'管线现金流'!J6431&amp;"|"&amp;'管线现金流'!AL6431&amp;"|"&amp;'管线现金流'!J6432&amp;"|"&amp;'管线现金流'!AL6432&amp;"|"&amp;'管线现金流'!J6433&amp;"|"&amp;'管线现金流'!AL6433&amp;"|"&amp;'管线现金流'!J6434&amp;"|"&amp;'管线现金流'!AL6434&amp;"|"&amp;'管线现金流'!J6435&amp;"|"&amp;'管线现金流'!AL6435&amp;"|"&amp;'管线现金流'!J6436&amp;"|"&amp;'管线现金流'!AL6436&amp;"|"&amp;'管线现金流'!J6437&amp;"|"&amp;'管线现金流'!AL6437&amp;"|"&amp;'管线现金流'!J6438&amp;"|"&amp;'管线现金流'!AL6438&amp;"|"&amp;'管线现金流'!J6439&amp;"|"&amp;'管线现金流'!AL6439&amp;"|"&amp;'管线现金流'!J6440&amp;"|"&amp;'管线现金流'!AL6440&amp;"|"&amp;'管线现金流'!J6441&amp;"|"&amp;'管线现金流'!AL6441&amp;"|"&amp;'管线现金流'!J6442&amp;"|"&amp;'管线现金流'!AL6442&amp;"|"&amp;'管线现金流'!J6443&amp;"|"&amp;'管线现金流'!AL6443&amp;"|"&amp;'管线现金流'!J6444&amp;"|"&amp;'管线现金流'!AL6444&amp;"|"&amp;'管线现金流'!J6445&amp;"|"&amp;'管线现金流'!AL6445&amp;"|"&amp;'管线现金流'!J6446&amp;"|"&amp;'管线现金流'!AL6446&amp;"|"&amp;'管线现金流'!J6447&amp;"|"&amp;'管线现金流'!AL6447&amp;"|"&amp;'管线现金流'!J6448&amp;"|"&amp;'管线现金流'!AL6448&amp;"|"&amp;'管线现金流'!J6449&amp;"|"&amp;'管线现金流'!AL6449&amp;"|"&amp;'管线现金流'!J6450&amp;"|"&amp;'管线现金流'!AL6450&amp;"|"&amp;'管线现金流'!J6451&amp;"|"&amp;'管线现金流'!AL6451&amp;"|"&amp;'管线现金流'!J6452&amp;"|"&amp;'管线现金流'!AL6452&amp;"|"&amp;'管线现金流'!J6453&amp;"|"&amp;'管线现金流'!AL6453&amp;"|"&amp;'管线现金流'!J6454&amp;"|"&amp;'管线现金流'!AL6454&amp;"|"&amp;'管线现金流'!J6455&amp;"|"&amp;'管线现金流'!AL6455&amp;"|"&amp;'管线现金流'!J6456&amp;"|"&amp;'管线现金流'!AL6456&amp;"|"&amp;'管线现金流'!J6457&amp;"|"&amp;'管线现金流'!AL6457&amp;"|"&amp;'管线现金流'!J6458&amp;"|"&amp;'管线现金流'!AL6458&amp;"|"&amp;'管线现金流'!J6459&amp;"|"&amp;'管线现金流'!AL6459&amp;"|"&amp;'管线现金流'!J6460&amp;"|"&amp;'管线现金流'!AL6460&amp;"|"&amp;'管线现金流'!J6461&amp;"|"&amp;'管线现金流'!AL6461&amp;"|"&amp;'管线现金流'!J6462&amp;"|"&amp;'管线现金流'!AL6462&amp;"|"&amp;'管线现金流'!J6463&amp;"|"&amp;'管线现金流'!AL6463&amp;"|"&amp;'管线现金流'!J6464&amp;"|"&amp;'管线现金流'!AL6464&amp;"|"&amp;'管线现金流'!J6465&amp;"|"&amp;'管线现金流'!AL6465&amp;"|"&amp;'管线现金流'!J6466&amp;"|"&amp;'管线现金流'!AL6466&amp;"|"&amp;'管线现金流'!J6467&amp;"|"&amp;'管线现金流'!AL6467&amp;"|"&amp;'管线现金流'!J6468&amp;"|"&amp;'管线现金流'!AL6468&amp;"|"&amp;'管线现金流'!J6469&amp;"|"&amp;'管线现金流'!AL6469&amp;"|"&amp;'管线现金流'!J6470&amp;"|"&amp;'管线现金流'!AL6470&amp;"|"&amp;'管线现金流'!J6471&amp;"|"&amp;'管线现金流'!AL6471&amp;"|"&amp;'管线现金流'!J6472&amp;"|"&amp;'管线现金流'!AL6472&amp;"|"&amp;'管线现金流'!J6473&amp;"|"&amp;'管线现金流'!AL6473&amp;"|"&amp;'管线现金流'!J6474&amp;"|"&amp;'管线现金流'!AL6474&amp;"|"&amp;'管线现金流'!J6475&amp;"|"&amp;'管线现金流'!AL6475&amp;"|"&amp;'管线现金流'!J6476&amp;"|"&amp;'管线现金流'!AL6476&amp;"|"&amp;'管线现金流'!W102&amp;"|"&amp;'管线现金流'!Z102&amp;"|"&amp;'管线现金流'!AQ102&amp;"|"&amp;'管线现金流'!AT102&amp;"|"&amp;'管线现金流'!W103&amp;"|"&amp;'管线现金流'!Z103&amp;"|"&amp;'管线现金流'!AQ103&amp;"|"&amp;'管线现金流'!AT103&amp;"|"&amp;'管线现金流'!W104&amp;"|"&amp;'管线现金流'!Z104&amp;"|"&amp;'管线现金流'!AQ104&amp;"|"&amp;'管线现金流'!AT104&amp;"|"&amp;'管线现金流'!W105&amp;"|"&amp;'管线现金流'!Z105&amp;"|"&amp;'管线现金流'!AQ105&amp;"|"&amp;'管线现金流'!AT105&amp;"|"&amp;'管线现金流'!W106&amp;"|"&amp;'管线现金流'!Z106&amp;"|"&amp;'管线现金流'!AQ106&amp;"|"&amp;'管线现金流'!AT106&amp;"|"&amp;'管线现金流'!W107&amp;"|"&amp;'管线现金流'!Z107&amp;"|"&amp;'管线现金流'!AQ107&amp;"|"&amp;'管线现金流'!AT107&amp;"|"&amp;'管线现金流'!W108&amp;"|"&amp;'管线现金流'!Z108&amp;"|"&amp;'管线现金流'!AQ108&amp;"|"&amp;'管线现金流'!AT108&amp;"|"&amp;'管线现金流'!W109&amp;"|"&amp;'管线现金流'!Z109&amp;"|"&amp;'管线现金流'!AQ109&amp;"|"&amp;'管线现金流'!AT109&amp;"|"&amp;'管线现金流'!W110&amp;"|"&amp;'管线现金流'!Z110&amp;"|"&amp;'管线现金流'!AQ110&amp;"|"&amp;'管线现金流'!AT110&amp;"|"&amp;'管线现金流'!W111&amp;"|"&amp;'管线现金流'!Z111&amp;"|"&amp;'管线现金流'!AQ111&amp;"|"&amp;'管线现金流'!AT111&amp;"|"&amp;'许可受让方假设'!D10&amp;"|"&amp;'许可受让方假设'!E10&amp;"|"&amp;'许可受让方假设'!F10&amp;"|"&amp;'许可受让方假设'!G10&amp;"|"&amp;'许可受让方假设'!H10&amp;"|"&amp;'许可受让方假设'!I10&amp;"|"&amp;'许可受让方假设'!J10&amp;"|"&amp;'许可受让方假设'!K10&amp;"|"&amp;'许可受让方现金流'!Q7&amp;"|"&amp;'许可受让方现金流'!Q8&amp;"|"&amp;'许可受让方现金流'!Q9&amp;"|"&amp;'许可受让方现金流'!Q10&amp;"|"&amp;'许可受让方现金流'!Q11&amp;"|"&amp;'许可受让方现金流'!Q12&amp;"|"&amp;'许可受让方现金流'!Q13&amp;"|"&amp;'许可受让方现金流'!Q14&amp;"|"&amp;'许可受让方现金流'!Q15&amp;"|"&amp;'许可受让方现金流'!Q16&amp;"|"&amp;'许可受让方现金流'!Q17&amp;"|"&amp;'许可受让方现金流'!Q18&amp;"|"&amp;'许可受让方现金流'!Q19&amp;"|"&amp;'许可受让方现金流'!Q20&amp;"|"&amp;'许可受让方现金流'!Q21&amp;"|"&amp;'许可受让方现金流'!Q22&amp;"|"&amp;'许可受让方现金流'!Q23&amp;"|"&amp;'许可受让方现金流'!Q24&amp;"|"&amp;'许可受让方现金流'!Q25</x:f>
        <x:v>0.3|2.95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0.52|0.104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</x:row>
    <x:row r="610" ht="23" customHeight="1">
      <x:c r="A610" s="11" t="str">
        <x:v>09995.HK</x:v>
      </x:c>
      <x:c r="B610" s="11" t="str">
        <x:v>荣昌生物</x:v>
      </x:c>
      <x:c r="C610" s="11" t="str">
        <x:v>半年</x:v>
      </x:c>
      <x:c r="D610" s="11" t="str">
        <x:v>悲观</x:v>
      </x:c>
      <x:c r="E610" s="11" t="n">
        <x:v>70.4</x:v>
      </x:c>
      <x:c r="F610" s="11" t="n">
        <x:v>27.635775692156606</x:v>
      </x:c>
      <x:c r="G610" s="11" t="n">
        <x:v>0</x:v>
      </x:c>
      <x:c r="H610" s="25" t="n">
        <x:v>-0.6074463680091391</x:v>
      </x:c>
      <x:c r="I610" s="25" t="n">
        <x:v>-0.6074463680091391</x:v>
      </x:c>
      <x:c r="J610" s="25" t="str"/>
      <x:c r="K610" s="11" t="n">
        <x:v>0</x:v>
      </x:c>
      <x:c r="L610" s="11" t="n">
        <x:v>0</x:v>
      </x:c>
      <x:c r="M610" s="11" t="n">
        <x:v>1.1</x:v>
      </x:c>
      <x:c r="N610" s="11" t="n">
        <x:v>0</x:v>
      </x:c>
      <x:c r="O610" s="11" t="n">
        <x:v>0</x:v>
      </x:c>
      <x:c r="P610" s="11" t="n">
        <x:v>0</x:v>
      </x:c>
      <x:c r="Q610" s="11" t="n">
        <x:v>0.59</x:v>
      </x:c>
      <x:c r="R610" s="11" t="str">
        <x:v>remegen-v2-finite-assets-Vor-residual-return-aligned-score</x:v>
      </x:c>
      <x:c r="S610" s="11" t="str">
        <x:v>2026-10-10</x:v>
      </x:c>
      <x:c r="T610" s="11" t="str">
        <x:f>IF(AND(SUM(IF(K610='假设'!E812,0,1),IF(L610='假设'!F812,0,1),IF(M610='假设'!G812,0,1),IF(N610='假设'!H812,0,1),IF(O610='假设'!I812,0,1),IF(P610='假设'!J812,0,1),IF(Q610='假设'!K812,0,1))=0,U610=V610),"已刷新","待刷新")</x:f>
        <x:v>已刷新</x:v>
      </x:c>
      <x:c r="U610" t="str">
        <x:v>0.7|2.05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0.25|0.145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  <x:c r="V610" t="str">
        <x:f>'假设'!U812&amp;"|"&amp;'假设'!N812&amp;"|"&amp;'假设'!Q812&amp;"|"&amp;'管线假设'!E1388&amp;"|"&amp;'管线假设'!F1388&amp;"|"&amp;'管线假设'!G1388&amp;"|"&amp;'管线假设'!H1388&amp;"|"&amp;'管线假设'!I1388&amp;"|"&amp;'管线假设'!E1392&amp;"|"&amp;'管线假设'!F1392&amp;"|"&amp;'管线假设'!G1392&amp;"|"&amp;'管线假设'!H1392&amp;"|"&amp;'管线假设'!I1392&amp;"|"&amp;'管线假设'!E1396&amp;"|"&amp;'管线假设'!F1396&amp;"|"&amp;'管线假设'!G1396&amp;"|"&amp;'管线假设'!H1396&amp;"|"&amp;'管线假设'!I1396&amp;"|"&amp;'管线假设'!E1400&amp;"|"&amp;'管线假设'!F1400&amp;"|"&amp;'管线假设'!G1400&amp;"|"&amp;'管线假设'!H1400&amp;"|"&amp;'管线假设'!I1400&amp;"|"&amp;'管线假设'!E1404&amp;"|"&amp;'管线假设'!F1404&amp;"|"&amp;'管线假设'!G1404&amp;"|"&amp;'管线假设'!H1404&amp;"|"&amp;'管线假设'!I1404&amp;"|"&amp;'管线假设'!E1408&amp;"|"&amp;'管线假设'!F1408&amp;"|"&amp;'管线假设'!G1408&amp;"|"&amp;'管线假设'!H1408&amp;"|"&amp;'管线假设'!I1408&amp;"|"&amp;'管线假设'!E1412&amp;"|"&amp;'管线假设'!F1412&amp;"|"&amp;'管线假设'!G1412&amp;"|"&amp;'管线假设'!H1412&amp;"|"&amp;'管线假设'!I1412&amp;"|"&amp;'管线假设'!E1416&amp;"|"&amp;'管线假设'!F1416&amp;"|"&amp;'管线假设'!G1416&amp;"|"&amp;'管线假设'!H1416&amp;"|"&amp;'管线假设'!I1416&amp;"|"&amp;'管线假设'!E1420&amp;"|"&amp;'管线假设'!F1420&amp;"|"&amp;'管线假设'!G1420&amp;"|"&amp;'管线假设'!H1420&amp;"|"&amp;'管线假设'!I1420&amp;"|"&amp;'管线假设'!E1424&amp;"|"&amp;'管线假设'!F1424&amp;"|"&amp;'管线假设'!G1424&amp;"|"&amp;'管线假设'!H1424&amp;"|"&amp;'管线假设'!I1424&amp;"|"&amp;'管线现金流'!H6477&amp;"|"&amp;'管线现金流'!AJ6477&amp;"|"&amp;'管线现金流'!H6478&amp;"|"&amp;'管线现金流'!AJ6478&amp;"|"&amp;'管线现金流'!H6479&amp;"|"&amp;'管线现金流'!AJ6479&amp;"|"&amp;'管线现金流'!H6480&amp;"|"&amp;'管线现金流'!AJ6480&amp;"|"&amp;'管线现金流'!H6481&amp;"|"&amp;'管线现金流'!AJ6481&amp;"|"&amp;'管线现金流'!H6482&amp;"|"&amp;'管线现金流'!AJ6482&amp;"|"&amp;'管线现金流'!H6483&amp;"|"&amp;'管线现金流'!AJ6483&amp;"|"&amp;'管线现金流'!H6484&amp;"|"&amp;'管线现金流'!AJ6484&amp;"|"&amp;'管线现金流'!H6485&amp;"|"&amp;'管线现金流'!AJ6485&amp;"|"&amp;'管线现金流'!H6486&amp;"|"&amp;'管线现金流'!AJ6486&amp;"|"&amp;'管线现金流'!H6487&amp;"|"&amp;'管线现金流'!AJ6487&amp;"|"&amp;'管线现金流'!H6488&amp;"|"&amp;'管线现金流'!AJ6488&amp;"|"&amp;'管线现金流'!H6489&amp;"|"&amp;'管线现金流'!AJ6489&amp;"|"&amp;'管线现金流'!H6490&amp;"|"&amp;'管线现金流'!AJ6490&amp;"|"&amp;'管线现金流'!H6491&amp;"|"&amp;'管线现金流'!AJ6491&amp;"|"&amp;'管线现金流'!H6492&amp;"|"&amp;'管线现金流'!AJ6492&amp;"|"&amp;'管线现金流'!H6493&amp;"|"&amp;'管线现金流'!AJ6493&amp;"|"&amp;'管线现金流'!H6494&amp;"|"&amp;'管线现金流'!AJ6494&amp;"|"&amp;'管线现金流'!H6495&amp;"|"&amp;'管线现金流'!AJ6495&amp;"|"&amp;'管线现金流'!H6496&amp;"|"&amp;'管线现金流'!AJ6496&amp;"|"&amp;'管线现金流'!H6497&amp;"|"&amp;'管线现金流'!AJ6497&amp;"|"&amp;'管线现金流'!H6498&amp;"|"&amp;'管线现金流'!AJ6498&amp;"|"&amp;'管线现金流'!H6499&amp;"|"&amp;'管线现金流'!AJ6499&amp;"|"&amp;'管线现金流'!H6500&amp;"|"&amp;'管线现金流'!AJ6500&amp;"|"&amp;'管线现金流'!H6501&amp;"|"&amp;'管线现金流'!AJ6501&amp;"|"&amp;'管线现金流'!H6502&amp;"|"&amp;'管线现金流'!AJ6502&amp;"|"&amp;'管线现金流'!H6503&amp;"|"&amp;'管线现金流'!AJ6503&amp;"|"&amp;'管线现金流'!H6504&amp;"|"&amp;'管线现金流'!AJ6504&amp;"|"&amp;'管线现金流'!H6505&amp;"|"&amp;'管线现金流'!AJ6505&amp;"|"&amp;'管线现金流'!H6506&amp;"|"&amp;'管线现金流'!AJ6506&amp;"|"&amp;'管线现金流'!H6507&amp;"|"&amp;'管线现金流'!AJ6507&amp;"|"&amp;'管线现金流'!H6508&amp;"|"&amp;'管线现金流'!AJ6508&amp;"|"&amp;'管线现金流'!H6509&amp;"|"&amp;'管线现金流'!AJ6509&amp;"|"&amp;'管线现金流'!H6510&amp;"|"&amp;'管线现金流'!AJ6510&amp;"|"&amp;'管线现金流'!H6511&amp;"|"&amp;'管线现金流'!AJ6511&amp;"|"&amp;'管线现金流'!H6512&amp;"|"&amp;'管线现金流'!AJ6512&amp;"|"&amp;'管线现金流'!H6513&amp;"|"&amp;'管线现金流'!AJ6513&amp;"|"&amp;'管线现金流'!H6514&amp;"|"&amp;'管线现金流'!AJ6514&amp;"|"&amp;'管线现金流'!H6515&amp;"|"&amp;'管线现金流'!AJ6515&amp;"|"&amp;'管线现金流'!H6516&amp;"|"&amp;'管线现金流'!AJ6516&amp;"|"&amp;'管线现金流'!H6517&amp;"|"&amp;'管线现金流'!AJ6517&amp;"|"&amp;'管线现金流'!H6518&amp;"|"&amp;'管线现金流'!AJ6518&amp;"|"&amp;'管线现金流'!H6519&amp;"|"&amp;'管线现金流'!AJ6519&amp;"|"&amp;'管线现金流'!H6520&amp;"|"&amp;'管线现金流'!AJ6520&amp;"|"&amp;'管线现金流'!H6521&amp;"|"&amp;'管线现金流'!AJ6521&amp;"|"&amp;'管线现金流'!H6522&amp;"|"&amp;'管线现金流'!AJ6522&amp;"|"&amp;'管线现金流'!H6523&amp;"|"&amp;'管线现金流'!AJ6523&amp;"|"&amp;'管线现金流'!H6524&amp;"|"&amp;'管线现金流'!AJ6524&amp;"|"&amp;'管线现金流'!H6525&amp;"|"&amp;'管线现金流'!AJ6525&amp;"|"&amp;'管线现金流'!H6526&amp;"|"&amp;'管线现金流'!AJ6526&amp;"|"&amp;'管线现金流'!H6527&amp;"|"&amp;'管线现金流'!AJ6527&amp;"|"&amp;'管线现金流'!H6528&amp;"|"&amp;'管线现金流'!AJ6528&amp;"|"&amp;'管线现金流'!H6529&amp;"|"&amp;'管线现金流'!AJ6529&amp;"|"&amp;'管线现金流'!H6530&amp;"|"&amp;'管线现金流'!AJ6530&amp;"|"&amp;'管线现金流'!H6531&amp;"|"&amp;'管线现金流'!AJ6531&amp;"|"&amp;'管线现金流'!H6532&amp;"|"&amp;'管线现金流'!AJ6532&amp;"|"&amp;'管线现金流'!H6533&amp;"|"&amp;'管线现金流'!AJ6533&amp;"|"&amp;'管线现金流'!H6534&amp;"|"&amp;'管线现金流'!AJ6534&amp;"|"&amp;'管线现金流'!H6535&amp;"|"&amp;'管线现金流'!AJ6535&amp;"|"&amp;'管线现金流'!H6536&amp;"|"&amp;'管线现金流'!AJ6536&amp;"|"&amp;'管线现金流'!H6537&amp;"|"&amp;'管线现金流'!AJ6537&amp;"|"&amp;'管线现金流'!H6538&amp;"|"&amp;'管线现金流'!AJ6538&amp;"|"&amp;'管线现金流'!H6539&amp;"|"&amp;'管线现金流'!AJ6539&amp;"|"&amp;'管线现金流'!H6540&amp;"|"&amp;'管线现金流'!AJ6540&amp;"|"&amp;'管线现金流'!H6541&amp;"|"&amp;'管线现金流'!AJ6541&amp;"|"&amp;'管线现金流'!H6542&amp;"|"&amp;'管线现金流'!AJ6542&amp;"|"&amp;'管线现金流'!H6543&amp;"|"&amp;'管线现金流'!AJ6543&amp;"|"&amp;'管线现金流'!H6544&amp;"|"&amp;'管线现金流'!AJ6544&amp;"|"&amp;'管线现金流'!H6545&amp;"|"&amp;'管线现金流'!AJ6545&amp;"|"&amp;'管线现金流'!H6546&amp;"|"&amp;'管线现金流'!AJ6546&amp;"|"&amp;'管线现金流'!H6547&amp;"|"&amp;'管线现金流'!AJ6547&amp;"|"&amp;'管线现金流'!H6548&amp;"|"&amp;'管线现金流'!AJ6548&amp;"|"&amp;'管线现金流'!H6549&amp;"|"&amp;'管线现金流'!AJ6549&amp;"|"&amp;'管线现金流'!H6550&amp;"|"&amp;'管线现金流'!AJ6550&amp;"|"&amp;'管线现金流'!H6551&amp;"|"&amp;'管线现金流'!AJ6551&amp;"|"&amp;'管线现金流'!H6552&amp;"|"&amp;'管线现金流'!AJ6552&amp;"|"&amp;'管线现金流'!H6553&amp;"|"&amp;'管线现金流'!AJ6553&amp;"|"&amp;'管线现金流'!H6554&amp;"|"&amp;'管线现金流'!AJ6554&amp;"|"&amp;'管线现金流'!H6555&amp;"|"&amp;'管线现金流'!AJ6555&amp;"|"&amp;'管线现金流'!H6556&amp;"|"&amp;'管线现金流'!AJ6556&amp;"|"&amp;'管线现金流'!H6557&amp;"|"&amp;'管线现金流'!AJ6557&amp;"|"&amp;'管线现金流'!H6558&amp;"|"&amp;'管线现金流'!AJ6558&amp;"|"&amp;'管线现金流'!H6559&amp;"|"&amp;'管线现金流'!AJ6559&amp;"|"&amp;'管线现金流'!H6560&amp;"|"&amp;'管线现金流'!AJ6560&amp;"|"&amp;'管线现金流'!H6561&amp;"|"&amp;'管线现金流'!AJ6561&amp;"|"&amp;'管线现金流'!H6562&amp;"|"&amp;'管线现金流'!AJ6562&amp;"|"&amp;'管线现金流'!H6563&amp;"|"&amp;'管线现金流'!AJ6563&amp;"|"&amp;'管线现金流'!H6564&amp;"|"&amp;'管线现金流'!AJ6564&amp;"|"&amp;'管线现金流'!H6565&amp;"|"&amp;'管线现金流'!AJ6565&amp;"|"&amp;'管线现金流'!H6566&amp;"|"&amp;'管线现金流'!AJ6566&amp;"|"&amp;'管线现金流'!H6567&amp;"|"&amp;'管线现金流'!AJ6567&amp;"|"&amp;'管线现金流'!H6568&amp;"|"&amp;'管线现金流'!AJ6568&amp;"|"&amp;'管线现金流'!H6569&amp;"|"&amp;'管线现金流'!AJ6569&amp;"|"&amp;'管线现金流'!H6570&amp;"|"&amp;'管线现金流'!AJ6570&amp;"|"&amp;'管线现金流'!H6571&amp;"|"&amp;'管线现金流'!AJ6571&amp;"|"&amp;'管线现金流'!H6572&amp;"|"&amp;'管线现金流'!AJ6572&amp;"|"&amp;'管线现金流'!H6573&amp;"|"&amp;'管线现金流'!AJ6573&amp;"|"&amp;'管线现金流'!H6574&amp;"|"&amp;'管线现金流'!AJ6574&amp;"|"&amp;'管线现金流'!H6575&amp;"|"&amp;'管线现金流'!AJ6575&amp;"|"&amp;'管线现金流'!H6576&amp;"|"&amp;'管线现金流'!AJ6576&amp;"|"&amp;'管线现金流'!H6577&amp;"|"&amp;'管线现金流'!AJ6577&amp;"|"&amp;'管线现金流'!H6578&amp;"|"&amp;'管线现金流'!AJ6578&amp;"|"&amp;'管线现金流'!H6579&amp;"|"&amp;'管线现金流'!AJ6579&amp;"|"&amp;'管线现金流'!H6580&amp;"|"&amp;'管线现金流'!AJ6580&amp;"|"&amp;'管线现金流'!H6581&amp;"|"&amp;'管线现金流'!AJ6581&amp;"|"&amp;'管线现金流'!H6582&amp;"|"&amp;'管线现金流'!AJ6582&amp;"|"&amp;'管线现金流'!H6583&amp;"|"&amp;'管线现金流'!AJ6583&amp;"|"&amp;'管线现金流'!H6584&amp;"|"&amp;'管线现金流'!AJ6584&amp;"|"&amp;'管线现金流'!H6585&amp;"|"&amp;'管线现金流'!AJ6585&amp;"|"&amp;'管线现金流'!H6586&amp;"|"&amp;'管线现金流'!AJ6586&amp;"|"&amp;'管线现金流'!H6587&amp;"|"&amp;'管线现金流'!AJ6587&amp;"|"&amp;'管线现金流'!H6588&amp;"|"&amp;'管线现金流'!AJ6588&amp;"|"&amp;'管线现金流'!H6589&amp;"|"&amp;'管线现金流'!AJ6589&amp;"|"&amp;'管线现金流'!H6590&amp;"|"&amp;'管线现金流'!AJ6590&amp;"|"&amp;'管线现金流'!H6591&amp;"|"&amp;'管线现金流'!AJ6591&amp;"|"&amp;'管线现金流'!H6592&amp;"|"&amp;'管线现金流'!AJ6592&amp;"|"&amp;'管线现金流'!H6593&amp;"|"&amp;'管线现金流'!AJ6593&amp;"|"&amp;'管线现金流'!H6594&amp;"|"&amp;'管线现金流'!AJ6594&amp;"|"&amp;'管线现金流'!H6595&amp;"|"&amp;'管线现金流'!AJ6595&amp;"|"&amp;'管线现金流'!H6596&amp;"|"&amp;'管线现金流'!AJ6596&amp;"|"&amp;'管线现金流'!H6597&amp;"|"&amp;'管线现金流'!AJ6597&amp;"|"&amp;'管线现金流'!H6598&amp;"|"&amp;'管线现金流'!AJ6598&amp;"|"&amp;'管线现金流'!H6599&amp;"|"&amp;'管线现金流'!AJ6599&amp;"|"&amp;'管线现金流'!H6600&amp;"|"&amp;'管线现金流'!AJ6600&amp;"|"&amp;'管线现金流'!H6601&amp;"|"&amp;'管线现金流'!AJ6601&amp;"|"&amp;'管线现金流'!H6602&amp;"|"&amp;'管线现金流'!AJ6602&amp;"|"&amp;'管线现金流'!H6603&amp;"|"&amp;'管线现金流'!AJ6603&amp;"|"&amp;'管线现金流'!H6604&amp;"|"&amp;'管线现金流'!AJ6604&amp;"|"&amp;'管线现金流'!H6605&amp;"|"&amp;'管线现金流'!AJ6605&amp;"|"&amp;'管线现金流'!H6606&amp;"|"&amp;'管线现金流'!AJ6606&amp;"|"&amp;'管线现金流'!H6607&amp;"|"&amp;'管线现金流'!AJ6607&amp;"|"&amp;'管线现金流'!H6608&amp;"|"&amp;'管线现金流'!AJ6608&amp;"|"&amp;'管线现金流'!H6609&amp;"|"&amp;'管线现金流'!AJ6609&amp;"|"&amp;'管线现金流'!H6610&amp;"|"&amp;'管线现金流'!AJ6610&amp;"|"&amp;'管线现金流'!H6611&amp;"|"&amp;'管线现金流'!AJ6611&amp;"|"&amp;'管线现金流'!H6612&amp;"|"&amp;'管线现金流'!AJ6612&amp;"|"&amp;'管线现金流'!H6613&amp;"|"&amp;'管线现金流'!AJ6613&amp;"|"&amp;'管线现金流'!H6614&amp;"|"&amp;'管线现金流'!AJ6614&amp;"|"&amp;'管线现金流'!H6615&amp;"|"&amp;'管线现金流'!AJ6615&amp;"|"&amp;'管线现金流'!H6616&amp;"|"&amp;'管线现金流'!AJ6616&amp;"|"&amp;'管线现金流'!H6617&amp;"|"&amp;'管线现金流'!AJ6617&amp;"|"&amp;'管线现金流'!H6618&amp;"|"&amp;'管线现金流'!AJ6618&amp;"|"&amp;'管线现金流'!H6619&amp;"|"&amp;'管线现金流'!AJ6619&amp;"|"&amp;'管线现金流'!H6620&amp;"|"&amp;'管线现金流'!AJ6620&amp;"|"&amp;'管线现金流'!H6621&amp;"|"&amp;'管线现金流'!AJ6621&amp;"|"&amp;'管线现金流'!H6622&amp;"|"&amp;'管线现金流'!AJ6622&amp;"|"&amp;'管线现金流'!H6623&amp;"|"&amp;'管线现金流'!AJ6623&amp;"|"&amp;'管线现金流'!H6624&amp;"|"&amp;'管线现金流'!AJ6624&amp;"|"&amp;'管线现金流'!H6625&amp;"|"&amp;'管线现金流'!AJ6625&amp;"|"&amp;'管线现金流'!H6626&amp;"|"&amp;'管线现金流'!AJ6626&amp;"|"&amp;'管线现金流'!H6627&amp;"|"&amp;'管线现金流'!AJ6627&amp;"|"&amp;'管线现金流'!H6628&amp;"|"&amp;'管线现金流'!AJ6628&amp;"|"&amp;'管线现金流'!H6629&amp;"|"&amp;'管线现金流'!AJ6629&amp;"|"&amp;'管线现金流'!H6630&amp;"|"&amp;'管线现金流'!AJ6630&amp;"|"&amp;'管线现金流'!H6631&amp;"|"&amp;'管线现金流'!AJ6631&amp;"|"&amp;'管线现金流'!H6632&amp;"|"&amp;'管线现金流'!AJ6632&amp;"|"&amp;'管线现金流'!H6633&amp;"|"&amp;'管线现金流'!AJ6633&amp;"|"&amp;'管线现金流'!H6634&amp;"|"&amp;'管线现金流'!AJ6634&amp;"|"&amp;'管线现金流'!H6635&amp;"|"&amp;'管线现金流'!AJ6635&amp;"|"&amp;'管线现金流'!H6636&amp;"|"&amp;'管线现金流'!AJ6636&amp;"|"&amp;'管线现金流'!H6637&amp;"|"&amp;'管线现金流'!AJ6637&amp;"|"&amp;'管线现金流'!H6638&amp;"|"&amp;'管线现金流'!AJ6638&amp;"|"&amp;'管线现金流'!H6639&amp;"|"&amp;'管线现金流'!AJ6639&amp;"|"&amp;'管线现金流'!H6640&amp;"|"&amp;'管线现金流'!AJ6640&amp;"|"&amp;'管线现金流'!H6641&amp;"|"&amp;'管线现金流'!AJ6641&amp;"|"&amp;'管线现金流'!H6642&amp;"|"&amp;'管线现金流'!AJ6642&amp;"|"&amp;'管线现金流'!H6643&amp;"|"&amp;'管线现金流'!AJ6643&amp;"|"&amp;'管线现金流'!H6644&amp;"|"&amp;'管线现金流'!AJ6644&amp;"|"&amp;'管线现金流'!H6645&amp;"|"&amp;'管线现金流'!AJ6645&amp;"|"&amp;'管线现金流'!H6646&amp;"|"&amp;'管线现金流'!AJ6646&amp;"|"&amp;'管线现金流'!H6647&amp;"|"&amp;'管线现金流'!AJ6647&amp;"|"&amp;'管线现金流'!H6648&amp;"|"&amp;'管线现金流'!AJ6648&amp;"|"&amp;'管线现金流'!H6649&amp;"|"&amp;'管线现金流'!AJ6649&amp;"|"&amp;'管线现金流'!H6650&amp;"|"&amp;'管线现金流'!AJ6650&amp;"|"&amp;'管线现金流'!H6651&amp;"|"&amp;'管线现金流'!AJ6651&amp;"|"&amp;'管线现金流'!H6652&amp;"|"&amp;'管线现金流'!AJ6652&amp;"|"&amp;'管线现金流'!H6653&amp;"|"&amp;'管线现金流'!AJ6653&amp;"|"&amp;'管线现金流'!H6654&amp;"|"&amp;'管线现金流'!AJ6654&amp;"|"&amp;'管线现金流'!H6655&amp;"|"&amp;'管线现金流'!AJ6655&amp;"|"&amp;'管线现金流'!H6656&amp;"|"&amp;'管线现金流'!AJ6656&amp;"|"&amp;'管线现金流'!H6657&amp;"|"&amp;'管线现金流'!AJ6657&amp;"|"&amp;'管线现金流'!H6658&amp;"|"&amp;'管线现金流'!AJ6658&amp;"|"&amp;'管线现金流'!H6659&amp;"|"&amp;'管线现金流'!AJ6659&amp;"|"&amp;'管线现金流'!H6660&amp;"|"&amp;'管线现金流'!AJ6660&amp;"|"&amp;'管线现金流'!H6661&amp;"|"&amp;'管线现金流'!AJ6661&amp;"|"&amp;'管线现金流'!H6662&amp;"|"&amp;'管线现金流'!AJ6662&amp;"|"&amp;'管线现金流'!H6663&amp;"|"&amp;'管线现金流'!AJ6663&amp;"|"&amp;'管线现金流'!H6664&amp;"|"&amp;'管线现金流'!AJ6664&amp;"|"&amp;'管线现金流'!H6665&amp;"|"&amp;'管线现金流'!AJ6665&amp;"|"&amp;'管线现金流'!H6666&amp;"|"&amp;'管线现金流'!AJ6666&amp;"|"&amp;'管线现金流'!U112&amp;"|"&amp;'管线现金流'!X112&amp;"|"&amp;'管线现金流'!AO112&amp;"|"&amp;'管线现金流'!AR112&amp;"|"&amp;'管线现金流'!U113&amp;"|"&amp;'管线现金流'!X113&amp;"|"&amp;'管线现金流'!AO113&amp;"|"&amp;'管线现金流'!AR113&amp;"|"&amp;'管线现金流'!U114&amp;"|"&amp;'管线现金流'!X114&amp;"|"&amp;'管线现金流'!AO114&amp;"|"&amp;'管线现金流'!AR114&amp;"|"&amp;'管线现金流'!U115&amp;"|"&amp;'管线现金流'!X115&amp;"|"&amp;'管线现金流'!AO115&amp;"|"&amp;'管线现金流'!AR115&amp;"|"&amp;'管线现金流'!U116&amp;"|"&amp;'管线现金流'!X116&amp;"|"&amp;'管线现金流'!AO116&amp;"|"&amp;'管线现金流'!AR116&amp;"|"&amp;'管线现金流'!U117&amp;"|"&amp;'管线现金流'!X117&amp;"|"&amp;'管线现金流'!AO117&amp;"|"&amp;'管线现金流'!AR117&amp;"|"&amp;'管线现金流'!U118&amp;"|"&amp;'管线现金流'!X118&amp;"|"&amp;'管线现金流'!AO118&amp;"|"&amp;'管线现金流'!AR118&amp;"|"&amp;'管线现金流'!U119&amp;"|"&amp;'管线现金流'!X119&amp;"|"&amp;'管线现金流'!AO119&amp;"|"&amp;'管线现金流'!AR119&amp;"|"&amp;'管线现金流'!U120&amp;"|"&amp;'管线现金流'!X120&amp;"|"&amp;'管线现金流'!AO120&amp;"|"&amp;'管线现金流'!AR120&amp;"|"&amp;'管线现金流'!U121&amp;"|"&amp;'管线现金流'!X121&amp;"|"&amp;'管线现金流'!AO121&amp;"|"&amp;'管线现金流'!AR121&amp;"|"&amp;'许可受让方假设'!D12&amp;"|"&amp;'许可受让方假设'!E12&amp;"|"&amp;'许可受让方假设'!F12&amp;"|"&amp;'许可受让方假设'!G12&amp;"|"&amp;'许可受让方假设'!H12&amp;"|"&amp;'许可受让方假设'!I12&amp;"|"&amp;'许可受让方假设'!J12&amp;"|"&amp;'许可受让方假设'!K12&amp;"|"&amp;'许可受让方现金流'!O26&amp;"|"&amp;'许可受让方现金流'!O27&amp;"|"&amp;'许可受让方现金流'!O28&amp;"|"&amp;'许可受让方现金流'!O29&amp;"|"&amp;'许可受让方现金流'!O30&amp;"|"&amp;'许可受让方现金流'!O31&amp;"|"&amp;'许可受让方现金流'!O32&amp;"|"&amp;'许可受让方现金流'!O33&amp;"|"&amp;'许可受让方现金流'!O34&amp;"|"&amp;'许可受让方现金流'!O35&amp;"|"&amp;'许可受让方现金流'!O36&amp;"|"&amp;'许可受让方现金流'!O37&amp;"|"&amp;'许可受让方现金流'!O38&amp;"|"&amp;'许可受让方现金流'!O39&amp;"|"&amp;'许可受让方现金流'!O40&amp;"|"&amp;'许可受让方现金流'!O41&amp;"|"&amp;'许可受让方现金流'!O42&amp;"|"&amp;'许可受让方现金流'!O43&amp;"|"&amp;'许可受让方现金流'!O44</x:f>
        <x:v>0.7|2.05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0.25|0.145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</x:row>
    <x:row r="611" ht="23" customHeight="1">
      <x:c r="A611" s="11" t="str">
        <x:v>09995.HK</x:v>
      </x:c>
      <x:c r="B611" s="11" t="str">
        <x:v>荣昌生物</x:v>
      </x:c>
      <x:c r="C611" s="11" t="str">
        <x:v>半年</x:v>
      </x:c>
      <x:c r="D611" s="11" t="str">
        <x:v>基准</x:v>
      </x:c>
      <x:c r="E611" s="11" t="n">
        <x:v>70.4</x:v>
      </x:c>
      <x:c r="F611" s="11" t="n">
        <x:v>69.6273518249348</x:v>
      </x:c>
      <x:c r="G611" s="11" t="n">
        <x:v>0</x:v>
      </x:c>
      <x:c r="H611" s="25" t="n">
        <x:v>-0.010975116123085216</x:v>
      </x:c>
      <x:c r="I611" s="25" t="n">
        <x:v>-0.010975116123085216</x:v>
      </x:c>
      <x:c r="J611" s="25" t="str"/>
      <x:c r="K611" s="11" t="n">
        <x:v>0</x:v>
      </x:c>
      <x:c r="L611" s="11" t="n">
        <x:v>0</x:v>
      </x:c>
      <x:c r="M611" s="11" t="n">
        <x:v>1.1</x:v>
      </x:c>
      <x:c r="N611" s="11" t="n">
        <x:v>0</x:v>
      </x:c>
      <x:c r="O611" s="11" t="n">
        <x:v>0</x:v>
      </x:c>
      <x:c r="P611" s="11" t="n">
        <x:v>0</x:v>
      </x:c>
      <x:c r="Q611" s="11" t="n">
        <x:v>0.576</x:v>
      </x:c>
      <x:c r="R611" s="11" t="str">
        <x:v>remegen-v2-finite-assets-Vor-residual-return-aligned-score</x:v>
      </x:c>
      <x:c r="S611" s="11" t="str">
        <x:v>2026-10-10</x:v>
      </x:c>
      <x:c r="T611" s="11" t="str">
        <x:f>IF(AND(SUM(IF(K611='假设'!E813,0,1),IF(L611='假设'!F813,0,1),IF(M611='假设'!G813,0,1),IF(N611='假设'!H813,0,1),IF(O611='假设'!I813,0,1),IF(P611='假设'!J813,0,1),IF(Q611='假设'!K813,0,1))=0,U611=V611),"已刷新","待刷新")</x:f>
        <x:v>待刷新</x:v>
      </x:c>
      <x:c r="U611" t="str">
        <x:v>0.9|2.65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0.39|0.12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  <x:c r="V611" t="str">
        <x:f>'假设'!U813&amp;"|"&amp;'假设'!N813&amp;"|"&amp;'假设'!Q813&amp;"|"&amp;'管线假设'!E1389&amp;"|"&amp;'管线假设'!F1389&amp;"|"&amp;'管线假设'!G1389&amp;"|"&amp;'管线假设'!H1389&amp;"|"&amp;'管线假设'!I1389&amp;"|"&amp;'管线假设'!E1393&amp;"|"&amp;'管线假设'!F1393&amp;"|"&amp;'管线假设'!G1393&amp;"|"&amp;'管线假设'!H1393&amp;"|"&amp;'管线假设'!I1393&amp;"|"&amp;'管线假设'!E1397&amp;"|"&amp;'管线假设'!F1397&amp;"|"&amp;'管线假设'!G1397&amp;"|"&amp;'管线假设'!H1397&amp;"|"&amp;'管线假设'!I1397&amp;"|"&amp;'管线假设'!E1401&amp;"|"&amp;'管线假设'!F1401&amp;"|"&amp;'管线假设'!G1401&amp;"|"&amp;'管线假设'!H1401&amp;"|"&amp;'管线假设'!I1401&amp;"|"&amp;'管线假设'!E1405&amp;"|"&amp;'管线假设'!F1405&amp;"|"&amp;'管线假设'!G1405&amp;"|"&amp;'管线假设'!H1405&amp;"|"&amp;'管线假设'!I1405&amp;"|"&amp;'管线假设'!E1409&amp;"|"&amp;'管线假设'!F1409&amp;"|"&amp;'管线假设'!G1409&amp;"|"&amp;'管线假设'!H1409&amp;"|"&amp;'管线假设'!I1409&amp;"|"&amp;'管线假设'!E1413&amp;"|"&amp;'管线假设'!F1413&amp;"|"&amp;'管线假设'!G1413&amp;"|"&amp;'管线假设'!H1413&amp;"|"&amp;'管线假设'!I1413&amp;"|"&amp;'管线假设'!E1417&amp;"|"&amp;'管线假设'!F1417&amp;"|"&amp;'管线假设'!G1417&amp;"|"&amp;'管线假设'!H1417&amp;"|"&amp;'管线假设'!I1417&amp;"|"&amp;'管线假设'!E1421&amp;"|"&amp;'管线假设'!F1421&amp;"|"&amp;'管线假设'!G1421&amp;"|"&amp;'管线假设'!H1421&amp;"|"&amp;'管线假设'!I1421&amp;"|"&amp;'管线假设'!E1425&amp;"|"&amp;'管线假设'!F1425&amp;"|"&amp;'管线假设'!G1425&amp;"|"&amp;'管线假设'!H1425&amp;"|"&amp;'管线假设'!I1425&amp;"|"&amp;'管线现金流'!I6477&amp;"|"&amp;'管线现金流'!AK6477&amp;"|"&amp;'管线现金流'!I6478&amp;"|"&amp;'管线现金流'!AK6478&amp;"|"&amp;'管线现金流'!I6479&amp;"|"&amp;'管线现金流'!AK6479&amp;"|"&amp;'管线现金流'!I6480&amp;"|"&amp;'管线现金流'!AK6480&amp;"|"&amp;'管线现金流'!I6481&amp;"|"&amp;'管线现金流'!AK6481&amp;"|"&amp;'管线现金流'!I6482&amp;"|"&amp;'管线现金流'!AK6482&amp;"|"&amp;'管线现金流'!I6483&amp;"|"&amp;'管线现金流'!AK6483&amp;"|"&amp;'管线现金流'!I6484&amp;"|"&amp;'管线现金流'!AK6484&amp;"|"&amp;'管线现金流'!I6485&amp;"|"&amp;'管线现金流'!AK6485&amp;"|"&amp;'管线现金流'!I6486&amp;"|"&amp;'管线现金流'!AK6486&amp;"|"&amp;'管线现金流'!I6487&amp;"|"&amp;'管线现金流'!AK6487&amp;"|"&amp;'管线现金流'!I6488&amp;"|"&amp;'管线现金流'!AK6488&amp;"|"&amp;'管线现金流'!I6489&amp;"|"&amp;'管线现金流'!AK6489&amp;"|"&amp;'管线现金流'!I6490&amp;"|"&amp;'管线现金流'!AK6490&amp;"|"&amp;'管线现金流'!I6491&amp;"|"&amp;'管线现金流'!AK6491&amp;"|"&amp;'管线现金流'!I6492&amp;"|"&amp;'管线现金流'!AK6492&amp;"|"&amp;'管线现金流'!I6493&amp;"|"&amp;'管线现金流'!AK6493&amp;"|"&amp;'管线现金流'!I6494&amp;"|"&amp;'管线现金流'!AK6494&amp;"|"&amp;'管线现金流'!I6495&amp;"|"&amp;'管线现金流'!AK6495&amp;"|"&amp;'管线现金流'!I6496&amp;"|"&amp;'管线现金流'!AK6496&amp;"|"&amp;'管线现金流'!I6497&amp;"|"&amp;'管线现金流'!AK6497&amp;"|"&amp;'管线现金流'!I6498&amp;"|"&amp;'管线现金流'!AK6498&amp;"|"&amp;'管线现金流'!I6499&amp;"|"&amp;'管线现金流'!AK6499&amp;"|"&amp;'管线现金流'!I6500&amp;"|"&amp;'管线现金流'!AK6500&amp;"|"&amp;'管线现金流'!I6501&amp;"|"&amp;'管线现金流'!AK6501&amp;"|"&amp;'管线现金流'!I6502&amp;"|"&amp;'管线现金流'!AK6502&amp;"|"&amp;'管线现金流'!I6503&amp;"|"&amp;'管线现金流'!AK6503&amp;"|"&amp;'管线现金流'!I6504&amp;"|"&amp;'管线现金流'!AK6504&amp;"|"&amp;'管线现金流'!I6505&amp;"|"&amp;'管线现金流'!AK6505&amp;"|"&amp;'管线现金流'!I6506&amp;"|"&amp;'管线现金流'!AK6506&amp;"|"&amp;'管线现金流'!I6507&amp;"|"&amp;'管线现金流'!AK6507&amp;"|"&amp;'管线现金流'!I6508&amp;"|"&amp;'管线现金流'!AK6508&amp;"|"&amp;'管线现金流'!I6509&amp;"|"&amp;'管线现金流'!AK6509&amp;"|"&amp;'管线现金流'!I6510&amp;"|"&amp;'管线现金流'!AK6510&amp;"|"&amp;'管线现金流'!I6511&amp;"|"&amp;'管线现金流'!AK6511&amp;"|"&amp;'管线现金流'!I6512&amp;"|"&amp;'管线现金流'!AK6512&amp;"|"&amp;'管线现金流'!I6513&amp;"|"&amp;'管线现金流'!AK6513&amp;"|"&amp;'管线现金流'!I6514&amp;"|"&amp;'管线现金流'!AK6514&amp;"|"&amp;'管线现金流'!I6515&amp;"|"&amp;'管线现金流'!AK6515&amp;"|"&amp;'管线现金流'!I6516&amp;"|"&amp;'管线现金流'!AK6516&amp;"|"&amp;'管线现金流'!I6517&amp;"|"&amp;'管线现金流'!AK6517&amp;"|"&amp;'管线现金流'!I6518&amp;"|"&amp;'管线现金流'!AK6518&amp;"|"&amp;'管线现金流'!I6519&amp;"|"&amp;'管线现金流'!AK6519&amp;"|"&amp;'管线现金流'!I6520&amp;"|"&amp;'管线现金流'!AK6520&amp;"|"&amp;'管线现金流'!I6521&amp;"|"&amp;'管线现金流'!AK6521&amp;"|"&amp;'管线现金流'!I6522&amp;"|"&amp;'管线现金流'!AK6522&amp;"|"&amp;'管线现金流'!I6523&amp;"|"&amp;'管线现金流'!AK6523&amp;"|"&amp;'管线现金流'!I6524&amp;"|"&amp;'管线现金流'!AK6524&amp;"|"&amp;'管线现金流'!I6525&amp;"|"&amp;'管线现金流'!AK6525&amp;"|"&amp;'管线现金流'!I6526&amp;"|"&amp;'管线现金流'!AK6526&amp;"|"&amp;'管线现金流'!I6527&amp;"|"&amp;'管线现金流'!AK6527&amp;"|"&amp;'管线现金流'!I6528&amp;"|"&amp;'管线现金流'!AK6528&amp;"|"&amp;'管线现金流'!I6529&amp;"|"&amp;'管线现金流'!AK6529&amp;"|"&amp;'管线现金流'!I6530&amp;"|"&amp;'管线现金流'!AK6530&amp;"|"&amp;'管线现金流'!I6531&amp;"|"&amp;'管线现金流'!AK6531&amp;"|"&amp;'管线现金流'!I6532&amp;"|"&amp;'管线现金流'!AK6532&amp;"|"&amp;'管线现金流'!I6533&amp;"|"&amp;'管线现金流'!AK6533&amp;"|"&amp;'管线现金流'!I6534&amp;"|"&amp;'管线现金流'!AK6534&amp;"|"&amp;'管线现金流'!I6535&amp;"|"&amp;'管线现金流'!AK6535&amp;"|"&amp;'管线现金流'!I6536&amp;"|"&amp;'管线现金流'!AK6536&amp;"|"&amp;'管线现金流'!I6537&amp;"|"&amp;'管线现金流'!AK6537&amp;"|"&amp;'管线现金流'!I6538&amp;"|"&amp;'管线现金流'!AK6538&amp;"|"&amp;'管线现金流'!I6539&amp;"|"&amp;'管线现金流'!AK6539&amp;"|"&amp;'管线现金流'!I6540&amp;"|"&amp;'管线现金流'!AK6540&amp;"|"&amp;'管线现金流'!I6541&amp;"|"&amp;'管线现金流'!AK6541&amp;"|"&amp;'管线现金流'!I6542&amp;"|"&amp;'管线现金流'!AK6542&amp;"|"&amp;'管线现金流'!I6543&amp;"|"&amp;'管线现金流'!AK6543&amp;"|"&amp;'管线现金流'!I6544&amp;"|"&amp;'管线现金流'!AK6544&amp;"|"&amp;'管线现金流'!I6545&amp;"|"&amp;'管线现金流'!AK6545&amp;"|"&amp;'管线现金流'!I6546&amp;"|"&amp;'管线现金流'!AK6546&amp;"|"&amp;'管线现金流'!I6547&amp;"|"&amp;'管线现金流'!AK6547&amp;"|"&amp;'管线现金流'!I6548&amp;"|"&amp;'管线现金流'!AK6548&amp;"|"&amp;'管线现金流'!I6549&amp;"|"&amp;'管线现金流'!AK6549&amp;"|"&amp;'管线现金流'!I6550&amp;"|"&amp;'管线现金流'!AK6550&amp;"|"&amp;'管线现金流'!I6551&amp;"|"&amp;'管线现金流'!AK6551&amp;"|"&amp;'管线现金流'!I6552&amp;"|"&amp;'管线现金流'!AK6552&amp;"|"&amp;'管线现金流'!I6553&amp;"|"&amp;'管线现金流'!AK6553&amp;"|"&amp;'管线现金流'!I6554&amp;"|"&amp;'管线现金流'!AK6554&amp;"|"&amp;'管线现金流'!I6555&amp;"|"&amp;'管线现金流'!AK6555&amp;"|"&amp;'管线现金流'!I6556&amp;"|"&amp;'管线现金流'!AK6556&amp;"|"&amp;'管线现金流'!I6557&amp;"|"&amp;'管线现金流'!AK6557&amp;"|"&amp;'管线现金流'!I6558&amp;"|"&amp;'管线现金流'!AK6558&amp;"|"&amp;'管线现金流'!I6559&amp;"|"&amp;'管线现金流'!AK6559&amp;"|"&amp;'管线现金流'!I6560&amp;"|"&amp;'管线现金流'!AK6560&amp;"|"&amp;'管线现金流'!I6561&amp;"|"&amp;'管线现金流'!AK6561&amp;"|"&amp;'管线现金流'!I6562&amp;"|"&amp;'管线现金流'!AK6562&amp;"|"&amp;'管线现金流'!I6563&amp;"|"&amp;'管线现金流'!AK6563&amp;"|"&amp;'管线现金流'!I6564&amp;"|"&amp;'管线现金流'!AK6564&amp;"|"&amp;'管线现金流'!I6565&amp;"|"&amp;'管线现金流'!AK6565&amp;"|"&amp;'管线现金流'!I6566&amp;"|"&amp;'管线现金流'!AK6566&amp;"|"&amp;'管线现金流'!I6567&amp;"|"&amp;'管线现金流'!AK6567&amp;"|"&amp;'管线现金流'!I6568&amp;"|"&amp;'管线现金流'!AK6568&amp;"|"&amp;'管线现金流'!I6569&amp;"|"&amp;'管线现金流'!AK6569&amp;"|"&amp;'管线现金流'!I6570&amp;"|"&amp;'管线现金流'!AK6570&amp;"|"&amp;'管线现金流'!I6571&amp;"|"&amp;'管线现金流'!AK6571&amp;"|"&amp;'管线现金流'!I6572&amp;"|"&amp;'管线现金流'!AK6572&amp;"|"&amp;'管线现金流'!I6573&amp;"|"&amp;'管线现金流'!AK6573&amp;"|"&amp;'管线现金流'!I6574&amp;"|"&amp;'管线现金流'!AK6574&amp;"|"&amp;'管线现金流'!I6575&amp;"|"&amp;'管线现金流'!AK6575&amp;"|"&amp;'管线现金流'!I6576&amp;"|"&amp;'管线现金流'!AK6576&amp;"|"&amp;'管线现金流'!I6577&amp;"|"&amp;'管线现金流'!AK6577&amp;"|"&amp;'管线现金流'!I6578&amp;"|"&amp;'管线现金流'!AK6578&amp;"|"&amp;'管线现金流'!I6579&amp;"|"&amp;'管线现金流'!AK6579&amp;"|"&amp;'管线现金流'!I6580&amp;"|"&amp;'管线现金流'!AK6580&amp;"|"&amp;'管线现金流'!I6581&amp;"|"&amp;'管线现金流'!AK6581&amp;"|"&amp;'管线现金流'!I6582&amp;"|"&amp;'管线现金流'!AK6582&amp;"|"&amp;'管线现金流'!I6583&amp;"|"&amp;'管线现金流'!AK6583&amp;"|"&amp;'管线现金流'!I6584&amp;"|"&amp;'管线现金流'!AK6584&amp;"|"&amp;'管线现金流'!I6585&amp;"|"&amp;'管线现金流'!AK6585&amp;"|"&amp;'管线现金流'!I6586&amp;"|"&amp;'管线现金流'!AK6586&amp;"|"&amp;'管线现金流'!I6587&amp;"|"&amp;'管线现金流'!AK6587&amp;"|"&amp;'管线现金流'!I6588&amp;"|"&amp;'管线现金流'!AK6588&amp;"|"&amp;'管线现金流'!I6589&amp;"|"&amp;'管线现金流'!AK6589&amp;"|"&amp;'管线现金流'!I6590&amp;"|"&amp;'管线现金流'!AK6590&amp;"|"&amp;'管线现金流'!I6591&amp;"|"&amp;'管线现金流'!AK6591&amp;"|"&amp;'管线现金流'!I6592&amp;"|"&amp;'管线现金流'!AK6592&amp;"|"&amp;'管线现金流'!I6593&amp;"|"&amp;'管线现金流'!AK6593&amp;"|"&amp;'管线现金流'!I6594&amp;"|"&amp;'管线现金流'!AK6594&amp;"|"&amp;'管线现金流'!I6595&amp;"|"&amp;'管线现金流'!AK6595&amp;"|"&amp;'管线现金流'!I6596&amp;"|"&amp;'管线现金流'!AK6596&amp;"|"&amp;'管线现金流'!I6597&amp;"|"&amp;'管线现金流'!AK6597&amp;"|"&amp;'管线现金流'!I6598&amp;"|"&amp;'管线现金流'!AK6598&amp;"|"&amp;'管线现金流'!I6599&amp;"|"&amp;'管线现金流'!AK6599&amp;"|"&amp;'管线现金流'!I6600&amp;"|"&amp;'管线现金流'!AK6600&amp;"|"&amp;'管线现金流'!I6601&amp;"|"&amp;'管线现金流'!AK6601&amp;"|"&amp;'管线现金流'!I6602&amp;"|"&amp;'管线现金流'!AK6602&amp;"|"&amp;'管线现金流'!I6603&amp;"|"&amp;'管线现金流'!AK6603&amp;"|"&amp;'管线现金流'!I6604&amp;"|"&amp;'管线现金流'!AK6604&amp;"|"&amp;'管线现金流'!I6605&amp;"|"&amp;'管线现金流'!AK6605&amp;"|"&amp;'管线现金流'!I6606&amp;"|"&amp;'管线现金流'!AK6606&amp;"|"&amp;'管线现金流'!I6607&amp;"|"&amp;'管线现金流'!AK6607&amp;"|"&amp;'管线现金流'!I6608&amp;"|"&amp;'管线现金流'!AK6608&amp;"|"&amp;'管线现金流'!I6609&amp;"|"&amp;'管线现金流'!AK6609&amp;"|"&amp;'管线现金流'!I6610&amp;"|"&amp;'管线现金流'!AK6610&amp;"|"&amp;'管线现金流'!I6611&amp;"|"&amp;'管线现金流'!AK6611&amp;"|"&amp;'管线现金流'!I6612&amp;"|"&amp;'管线现金流'!AK6612&amp;"|"&amp;'管线现金流'!I6613&amp;"|"&amp;'管线现金流'!AK6613&amp;"|"&amp;'管线现金流'!I6614&amp;"|"&amp;'管线现金流'!AK6614&amp;"|"&amp;'管线现金流'!I6615&amp;"|"&amp;'管线现金流'!AK6615&amp;"|"&amp;'管线现金流'!I6616&amp;"|"&amp;'管线现金流'!AK6616&amp;"|"&amp;'管线现金流'!I6617&amp;"|"&amp;'管线现金流'!AK6617&amp;"|"&amp;'管线现金流'!I6618&amp;"|"&amp;'管线现金流'!AK6618&amp;"|"&amp;'管线现金流'!I6619&amp;"|"&amp;'管线现金流'!AK6619&amp;"|"&amp;'管线现金流'!I6620&amp;"|"&amp;'管线现金流'!AK6620&amp;"|"&amp;'管线现金流'!I6621&amp;"|"&amp;'管线现金流'!AK6621&amp;"|"&amp;'管线现金流'!I6622&amp;"|"&amp;'管线现金流'!AK6622&amp;"|"&amp;'管线现金流'!I6623&amp;"|"&amp;'管线现金流'!AK6623&amp;"|"&amp;'管线现金流'!I6624&amp;"|"&amp;'管线现金流'!AK6624&amp;"|"&amp;'管线现金流'!I6625&amp;"|"&amp;'管线现金流'!AK6625&amp;"|"&amp;'管线现金流'!I6626&amp;"|"&amp;'管线现金流'!AK6626&amp;"|"&amp;'管线现金流'!I6627&amp;"|"&amp;'管线现金流'!AK6627&amp;"|"&amp;'管线现金流'!I6628&amp;"|"&amp;'管线现金流'!AK6628&amp;"|"&amp;'管线现金流'!I6629&amp;"|"&amp;'管线现金流'!AK6629&amp;"|"&amp;'管线现金流'!I6630&amp;"|"&amp;'管线现金流'!AK6630&amp;"|"&amp;'管线现金流'!I6631&amp;"|"&amp;'管线现金流'!AK6631&amp;"|"&amp;'管线现金流'!I6632&amp;"|"&amp;'管线现金流'!AK6632&amp;"|"&amp;'管线现金流'!I6633&amp;"|"&amp;'管线现金流'!AK6633&amp;"|"&amp;'管线现金流'!I6634&amp;"|"&amp;'管线现金流'!AK6634&amp;"|"&amp;'管线现金流'!I6635&amp;"|"&amp;'管线现金流'!AK6635&amp;"|"&amp;'管线现金流'!I6636&amp;"|"&amp;'管线现金流'!AK6636&amp;"|"&amp;'管线现金流'!I6637&amp;"|"&amp;'管线现金流'!AK6637&amp;"|"&amp;'管线现金流'!I6638&amp;"|"&amp;'管线现金流'!AK6638&amp;"|"&amp;'管线现金流'!I6639&amp;"|"&amp;'管线现金流'!AK6639&amp;"|"&amp;'管线现金流'!I6640&amp;"|"&amp;'管线现金流'!AK6640&amp;"|"&amp;'管线现金流'!I6641&amp;"|"&amp;'管线现金流'!AK6641&amp;"|"&amp;'管线现金流'!I6642&amp;"|"&amp;'管线现金流'!AK6642&amp;"|"&amp;'管线现金流'!I6643&amp;"|"&amp;'管线现金流'!AK6643&amp;"|"&amp;'管线现金流'!I6644&amp;"|"&amp;'管线现金流'!AK6644&amp;"|"&amp;'管线现金流'!I6645&amp;"|"&amp;'管线现金流'!AK6645&amp;"|"&amp;'管线现金流'!I6646&amp;"|"&amp;'管线现金流'!AK6646&amp;"|"&amp;'管线现金流'!I6647&amp;"|"&amp;'管线现金流'!AK6647&amp;"|"&amp;'管线现金流'!I6648&amp;"|"&amp;'管线现金流'!AK6648&amp;"|"&amp;'管线现金流'!I6649&amp;"|"&amp;'管线现金流'!AK6649&amp;"|"&amp;'管线现金流'!I6650&amp;"|"&amp;'管线现金流'!AK6650&amp;"|"&amp;'管线现金流'!I6651&amp;"|"&amp;'管线现金流'!AK6651&amp;"|"&amp;'管线现金流'!I6652&amp;"|"&amp;'管线现金流'!AK6652&amp;"|"&amp;'管线现金流'!I6653&amp;"|"&amp;'管线现金流'!AK6653&amp;"|"&amp;'管线现金流'!I6654&amp;"|"&amp;'管线现金流'!AK6654&amp;"|"&amp;'管线现金流'!I6655&amp;"|"&amp;'管线现金流'!AK6655&amp;"|"&amp;'管线现金流'!I6656&amp;"|"&amp;'管线现金流'!AK6656&amp;"|"&amp;'管线现金流'!I6657&amp;"|"&amp;'管线现金流'!AK6657&amp;"|"&amp;'管线现金流'!I6658&amp;"|"&amp;'管线现金流'!AK6658&amp;"|"&amp;'管线现金流'!I6659&amp;"|"&amp;'管线现金流'!AK6659&amp;"|"&amp;'管线现金流'!I6660&amp;"|"&amp;'管线现金流'!AK6660&amp;"|"&amp;'管线现金流'!I6661&amp;"|"&amp;'管线现金流'!AK6661&amp;"|"&amp;'管线现金流'!I6662&amp;"|"&amp;'管线现金流'!AK6662&amp;"|"&amp;'管线现金流'!I6663&amp;"|"&amp;'管线现金流'!AK6663&amp;"|"&amp;'管线现金流'!I6664&amp;"|"&amp;'管线现金流'!AK6664&amp;"|"&amp;'管线现金流'!I6665&amp;"|"&amp;'管线现金流'!AK6665&amp;"|"&amp;'管线现金流'!I6666&amp;"|"&amp;'管线现金流'!AK6666&amp;"|"&amp;'管线现金流'!V112&amp;"|"&amp;'管线现金流'!Y112&amp;"|"&amp;'管线现金流'!AP112&amp;"|"&amp;'管线现金流'!AS112&amp;"|"&amp;'管线现金流'!V113&amp;"|"&amp;'管线现金流'!Y113&amp;"|"&amp;'管线现金流'!AP113&amp;"|"&amp;'管线现金流'!AS113&amp;"|"&amp;'管线现金流'!V114&amp;"|"&amp;'管线现金流'!Y114&amp;"|"&amp;'管线现金流'!AP114&amp;"|"&amp;'管线现金流'!AS114&amp;"|"&amp;'管线现金流'!V115&amp;"|"&amp;'管线现金流'!Y115&amp;"|"&amp;'管线现金流'!AP115&amp;"|"&amp;'管线现金流'!AS115&amp;"|"&amp;'管线现金流'!V116&amp;"|"&amp;'管线现金流'!Y116&amp;"|"&amp;'管线现金流'!AP116&amp;"|"&amp;'管线现金流'!AS116&amp;"|"&amp;'管线现金流'!V117&amp;"|"&amp;'管线现金流'!Y117&amp;"|"&amp;'管线现金流'!AP117&amp;"|"&amp;'管线现金流'!AS117&amp;"|"&amp;'管线现金流'!V118&amp;"|"&amp;'管线现金流'!Y118&amp;"|"&amp;'管线现金流'!AP118&amp;"|"&amp;'管线现金流'!AS118&amp;"|"&amp;'管线现金流'!V119&amp;"|"&amp;'管线现金流'!Y119&amp;"|"&amp;'管线现金流'!AP119&amp;"|"&amp;'管线现金流'!AS119&amp;"|"&amp;'管线现金流'!V120&amp;"|"&amp;'管线现金流'!Y120&amp;"|"&amp;'管线现金流'!AP120&amp;"|"&amp;'管线现金流'!AS120&amp;"|"&amp;'管线现金流'!V121&amp;"|"&amp;'管线现金流'!Y121&amp;"|"&amp;'管线现金流'!AP121&amp;"|"&amp;'管线现金流'!AS121&amp;"|"&amp;'许可受让方假设'!D13&amp;"|"&amp;'许可受让方假设'!E13&amp;"|"&amp;'许可受让方假设'!F13&amp;"|"&amp;'许可受让方假设'!G13&amp;"|"&amp;'许可受让方假设'!H13&amp;"|"&amp;'许可受让方假设'!I13&amp;"|"&amp;'许可受让方假设'!J13&amp;"|"&amp;'许可受让方假设'!K13&amp;"|"&amp;'许可受让方现金流'!P26&amp;"|"&amp;'许可受让方现金流'!P27&amp;"|"&amp;'许可受让方现金流'!P28&amp;"|"&amp;'许可受让方现金流'!P29&amp;"|"&amp;'许可受让方现金流'!P30&amp;"|"&amp;'许可受让方现金流'!P31&amp;"|"&amp;'许可受让方现金流'!P32&amp;"|"&amp;'许可受让方现金流'!P33&amp;"|"&amp;'许可受让方现金流'!P34&amp;"|"&amp;'许可受让方现金流'!P35&amp;"|"&amp;'许可受让方现金流'!P36&amp;"|"&amp;'许可受让方现金流'!P37&amp;"|"&amp;'许可受让方现金流'!P38&amp;"|"&amp;'许可受让方现金流'!P39&amp;"|"&amp;'许可受让方现金流'!P40&amp;"|"&amp;'许可受让方现金流'!P41&amp;"|"&amp;'许可受让方现金流'!P42&amp;"|"&amp;'许可受让方现金流'!P43&amp;"|"&amp;'许可受让方现金流'!P44</x:f>
        <x:v>0.9|2.65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0.39|0.12|0.016|0.002|0.9|0.84|0.8652|0.901156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</x:row>
    <x:row r="612" ht="23" customHeight="1">
      <x:c r="A612" s="11" t="str">
        <x:v>09995.HK</x:v>
      </x:c>
      <x:c r="B612" s="11" t="str">
        <x:v>荣昌生物</x:v>
      </x:c>
      <x:c r="C612" s="11" t="str">
        <x:v>半年</x:v>
      </x:c>
      <x:c r="D612" s="11" t="str">
        <x:v>乐观</x:v>
      </x:c>
      <x:c r="E612" s="11" t="n">
        <x:v>70.4</x:v>
      </x:c>
      <x:c r="F612" s="11" t="n">
        <x:v>177.24627069599325</x:v>
      </x:c>
      <x:c r="G612" s="11" t="n">
        <x:v>0</x:v>
      </x:c>
      <x:c r="H612" s="25" t="n">
        <x:v>1.517702708749904</x:v>
      </x:c>
      <x:c r="I612" s="25" t="n">
        <x:v>1.517702708749904</x:v>
      </x:c>
      <x:c r="J612" s="25" t="str"/>
      <x:c r="K612" s="11" t="n">
        <x:v>0</x:v>
      </x:c>
      <x:c r="L612" s="11" t="n">
        <x:v>0</x:v>
      </x:c>
      <x:c r="M612" s="11" t="n">
        <x:v>1.1</x:v>
      </x:c>
      <x:c r="N612" s="11" t="n">
        <x:v>0</x:v>
      </x:c>
      <x:c r="O612" s="11" t="n">
        <x:v>0</x:v>
      </x:c>
      <x:c r="P612" s="11" t="n">
        <x:v>0</x:v>
      </x:c>
      <x:c r="Q612" s="11" t="n">
        <x:v>0.568</x:v>
      </x:c>
      <x:c r="R612" s="11" t="str">
        <x:v>remegen-v2-finite-assets-Vor-residual-return-aligned-score</x:v>
      </x:c>
      <x:c r="S612" s="11" t="str">
        <x:v>2026-10-10</x:v>
      </x:c>
      <x:c r="T612" s="11" t="str">
        <x:f>IF(AND(SUM(IF(K612='假设'!E814,0,1),IF(L612='假设'!F814,0,1),IF(M612='假设'!G814,0,1),IF(N612='假设'!H814,0,1),IF(O612='假设'!I814,0,1),IF(P612='假设'!J814,0,1),IF(Q612='假设'!K814,0,1))=0,U612=V612),"已刷新","待刷新")</x:f>
        <x:v>已刷新</x:v>
      </x:c>
      <x:c r="U612" t="str">
        <x:v>0.6|3.15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0.49|0.11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  <x:c r="V612" t="str">
        <x:f>'假设'!U814&amp;"|"&amp;'假设'!N814&amp;"|"&amp;'假设'!Q814&amp;"|"&amp;'管线假设'!E1390&amp;"|"&amp;'管线假设'!F1390&amp;"|"&amp;'管线假设'!G1390&amp;"|"&amp;'管线假设'!H1390&amp;"|"&amp;'管线假设'!I1390&amp;"|"&amp;'管线假设'!E1394&amp;"|"&amp;'管线假设'!F1394&amp;"|"&amp;'管线假设'!G1394&amp;"|"&amp;'管线假设'!H1394&amp;"|"&amp;'管线假设'!I1394&amp;"|"&amp;'管线假设'!E1398&amp;"|"&amp;'管线假设'!F1398&amp;"|"&amp;'管线假设'!G1398&amp;"|"&amp;'管线假设'!H1398&amp;"|"&amp;'管线假设'!I1398&amp;"|"&amp;'管线假设'!E1402&amp;"|"&amp;'管线假设'!F1402&amp;"|"&amp;'管线假设'!G1402&amp;"|"&amp;'管线假设'!H1402&amp;"|"&amp;'管线假设'!I1402&amp;"|"&amp;'管线假设'!E1406&amp;"|"&amp;'管线假设'!F1406&amp;"|"&amp;'管线假设'!G1406&amp;"|"&amp;'管线假设'!H1406&amp;"|"&amp;'管线假设'!I1406&amp;"|"&amp;'管线假设'!E1410&amp;"|"&amp;'管线假设'!F1410&amp;"|"&amp;'管线假设'!G1410&amp;"|"&amp;'管线假设'!H1410&amp;"|"&amp;'管线假设'!I1410&amp;"|"&amp;'管线假设'!E1414&amp;"|"&amp;'管线假设'!F1414&amp;"|"&amp;'管线假设'!G1414&amp;"|"&amp;'管线假设'!H1414&amp;"|"&amp;'管线假设'!I1414&amp;"|"&amp;'管线假设'!E1418&amp;"|"&amp;'管线假设'!F1418&amp;"|"&amp;'管线假设'!G1418&amp;"|"&amp;'管线假设'!H1418&amp;"|"&amp;'管线假设'!I1418&amp;"|"&amp;'管线假设'!E1422&amp;"|"&amp;'管线假设'!F1422&amp;"|"&amp;'管线假设'!G1422&amp;"|"&amp;'管线假设'!H1422&amp;"|"&amp;'管线假设'!I1422&amp;"|"&amp;'管线假设'!E1426&amp;"|"&amp;'管线假设'!F1426&amp;"|"&amp;'管线假设'!G1426&amp;"|"&amp;'管线假设'!H1426&amp;"|"&amp;'管线假设'!I1426&amp;"|"&amp;'管线现金流'!J6477&amp;"|"&amp;'管线现金流'!AL6477&amp;"|"&amp;'管线现金流'!J6478&amp;"|"&amp;'管线现金流'!AL6478&amp;"|"&amp;'管线现金流'!J6479&amp;"|"&amp;'管线现金流'!AL6479&amp;"|"&amp;'管线现金流'!J6480&amp;"|"&amp;'管线现金流'!AL6480&amp;"|"&amp;'管线现金流'!J6481&amp;"|"&amp;'管线现金流'!AL6481&amp;"|"&amp;'管线现金流'!J6482&amp;"|"&amp;'管线现金流'!AL6482&amp;"|"&amp;'管线现金流'!J6483&amp;"|"&amp;'管线现金流'!AL6483&amp;"|"&amp;'管线现金流'!J6484&amp;"|"&amp;'管线现金流'!AL6484&amp;"|"&amp;'管线现金流'!J6485&amp;"|"&amp;'管线现金流'!AL6485&amp;"|"&amp;'管线现金流'!J6486&amp;"|"&amp;'管线现金流'!AL6486&amp;"|"&amp;'管线现金流'!J6487&amp;"|"&amp;'管线现金流'!AL6487&amp;"|"&amp;'管线现金流'!J6488&amp;"|"&amp;'管线现金流'!AL6488&amp;"|"&amp;'管线现金流'!J6489&amp;"|"&amp;'管线现金流'!AL6489&amp;"|"&amp;'管线现金流'!J6490&amp;"|"&amp;'管线现金流'!AL6490&amp;"|"&amp;'管线现金流'!J6491&amp;"|"&amp;'管线现金流'!AL6491&amp;"|"&amp;'管线现金流'!J6492&amp;"|"&amp;'管线现金流'!AL6492&amp;"|"&amp;'管线现金流'!J6493&amp;"|"&amp;'管线现金流'!AL6493&amp;"|"&amp;'管线现金流'!J6494&amp;"|"&amp;'管线现金流'!AL6494&amp;"|"&amp;'管线现金流'!J6495&amp;"|"&amp;'管线现金流'!AL6495&amp;"|"&amp;'管线现金流'!J6496&amp;"|"&amp;'管线现金流'!AL6496&amp;"|"&amp;'管线现金流'!J6497&amp;"|"&amp;'管线现金流'!AL6497&amp;"|"&amp;'管线现金流'!J6498&amp;"|"&amp;'管线现金流'!AL6498&amp;"|"&amp;'管线现金流'!J6499&amp;"|"&amp;'管线现金流'!AL6499&amp;"|"&amp;'管线现金流'!J6500&amp;"|"&amp;'管线现金流'!AL6500&amp;"|"&amp;'管线现金流'!J6501&amp;"|"&amp;'管线现金流'!AL6501&amp;"|"&amp;'管线现金流'!J6502&amp;"|"&amp;'管线现金流'!AL6502&amp;"|"&amp;'管线现金流'!J6503&amp;"|"&amp;'管线现金流'!AL6503&amp;"|"&amp;'管线现金流'!J6504&amp;"|"&amp;'管线现金流'!AL6504&amp;"|"&amp;'管线现金流'!J6505&amp;"|"&amp;'管线现金流'!AL6505&amp;"|"&amp;'管线现金流'!J6506&amp;"|"&amp;'管线现金流'!AL6506&amp;"|"&amp;'管线现金流'!J6507&amp;"|"&amp;'管线现金流'!AL6507&amp;"|"&amp;'管线现金流'!J6508&amp;"|"&amp;'管线现金流'!AL6508&amp;"|"&amp;'管线现金流'!J6509&amp;"|"&amp;'管线现金流'!AL6509&amp;"|"&amp;'管线现金流'!J6510&amp;"|"&amp;'管线现金流'!AL6510&amp;"|"&amp;'管线现金流'!J6511&amp;"|"&amp;'管线现金流'!AL6511&amp;"|"&amp;'管线现金流'!J6512&amp;"|"&amp;'管线现金流'!AL6512&amp;"|"&amp;'管线现金流'!J6513&amp;"|"&amp;'管线现金流'!AL6513&amp;"|"&amp;'管线现金流'!J6514&amp;"|"&amp;'管线现金流'!AL6514&amp;"|"&amp;'管线现金流'!J6515&amp;"|"&amp;'管线现金流'!AL6515&amp;"|"&amp;'管线现金流'!J6516&amp;"|"&amp;'管线现金流'!AL6516&amp;"|"&amp;'管线现金流'!J6517&amp;"|"&amp;'管线现金流'!AL6517&amp;"|"&amp;'管线现金流'!J6518&amp;"|"&amp;'管线现金流'!AL6518&amp;"|"&amp;'管线现金流'!J6519&amp;"|"&amp;'管线现金流'!AL6519&amp;"|"&amp;'管线现金流'!J6520&amp;"|"&amp;'管线现金流'!AL6520&amp;"|"&amp;'管线现金流'!J6521&amp;"|"&amp;'管线现金流'!AL6521&amp;"|"&amp;'管线现金流'!J6522&amp;"|"&amp;'管线现金流'!AL6522&amp;"|"&amp;'管线现金流'!J6523&amp;"|"&amp;'管线现金流'!AL6523&amp;"|"&amp;'管线现金流'!J6524&amp;"|"&amp;'管线现金流'!AL6524&amp;"|"&amp;'管线现金流'!J6525&amp;"|"&amp;'管线现金流'!AL6525&amp;"|"&amp;'管线现金流'!J6526&amp;"|"&amp;'管线现金流'!AL6526&amp;"|"&amp;'管线现金流'!J6527&amp;"|"&amp;'管线现金流'!AL6527&amp;"|"&amp;'管线现金流'!J6528&amp;"|"&amp;'管线现金流'!AL6528&amp;"|"&amp;'管线现金流'!J6529&amp;"|"&amp;'管线现金流'!AL6529&amp;"|"&amp;'管线现金流'!J6530&amp;"|"&amp;'管线现金流'!AL6530&amp;"|"&amp;'管线现金流'!J6531&amp;"|"&amp;'管线现金流'!AL6531&amp;"|"&amp;'管线现金流'!J6532&amp;"|"&amp;'管线现金流'!AL6532&amp;"|"&amp;'管线现金流'!J6533&amp;"|"&amp;'管线现金流'!AL6533&amp;"|"&amp;'管线现金流'!J6534&amp;"|"&amp;'管线现金流'!AL6534&amp;"|"&amp;'管线现金流'!J6535&amp;"|"&amp;'管线现金流'!AL6535&amp;"|"&amp;'管线现金流'!J6536&amp;"|"&amp;'管线现金流'!AL6536&amp;"|"&amp;'管线现金流'!J6537&amp;"|"&amp;'管线现金流'!AL6537&amp;"|"&amp;'管线现金流'!J6538&amp;"|"&amp;'管线现金流'!AL6538&amp;"|"&amp;'管线现金流'!J6539&amp;"|"&amp;'管线现金流'!AL6539&amp;"|"&amp;'管线现金流'!J6540&amp;"|"&amp;'管线现金流'!AL6540&amp;"|"&amp;'管线现金流'!J6541&amp;"|"&amp;'管线现金流'!AL6541&amp;"|"&amp;'管线现金流'!J6542&amp;"|"&amp;'管线现金流'!AL6542&amp;"|"&amp;'管线现金流'!J6543&amp;"|"&amp;'管线现金流'!AL6543&amp;"|"&amp;'管线现金流'!J6544&amp;"|"&amp;'管线现金流'!AL6544&amp;"|"&amp;'管线现金流'!J6545&amp;"|"&amp;'管线现金流'!AL6545&amp;"|"&amp;'管线现金流'!J6546&amp;"|"&amp;'管线现金流'!AL6546&amp;"|"&amp;'管线现金流'!J6547&amp;"|"&amp;'管线现金流'!AL6547&amp;"|"&amp;'管线现金流'!J6548&amp;"|"&amp;'管线现金流'!AL6548&amp;"|"&amp;'管线现金流'!J6549&amp;"|"&amp;'管线现金流'!AL6549&amp;"|"&amp;'管线现金流'!J6550&amp;"|"&amp;'管线现金流'!AL6550&amp;"|"&amp;'管线现金流'!J6551&amp;"|"&amp;'管线现金流'!AL6551&amp;"|"&amp;'管线现金流'!J6552&amp;"|"&amp;'管线现金流'!AL6552&amp;"|"&amp;'管线现金流'!J6553&amp;"|"&amp;'管线现金流'!AL6553&amp;"|"&amp;'管线现金流'!J6554&amp;"|"&amp;'管线现金流'!AL6554&amp;"|"&amp;'管线现金流'!J6555&amp;"|"&amp;'管线现金流'!AL6555&amp;"|"&amp;'管线现金流'!J6556&amp;"|"&amp;'管线现金流'!AL6556&amp;"|"&amp;'管线现金流'!J6557&amp;"|"&amp;'管线现金流'!AL6557&amp;"|"&amp;'管线现金流'!J6558&amp;"|"&amp;'管线现金流'!AL6558&amp;"|"&amp;'管线现金流'!J6559&amp;"|"&amp;'管线现金流'!AL6559&amp;"|"&amp;'管线现金流'!J6560&amp;"|"&amp;'管线现金流'!AL6560&amp;"|"&amp;'管线现金流'!J6561&amp;"|"&amp;'管线现金流'!AL6561&amp;"|"&amp;'管线现金流'!J6562&amp;"|"&amp;'管线现金流'!AL6562&amp;"|"&amp;'管线现金流'!J6563&amp;"|"&amp;'管线现金流'!AL6563&amp;"|"&amp;'管线现金流'!J6564&amp;"|"&amp;'管线现金流'!AL6564&amp;"|"&amp;'管线现金流'!J6565&amp;"|"&amp;'管线现金流'!AL6565&amp;"|"&amp;'管线现金流'!J6566&amp;"|"&amp;'管线现金流'!AL6566&amp;"|"&amp;'管线现金流'!J6567&amp;"|"&amp;'管线现金流'!AL6567&amp;"|"&amp;'管线现金流'!J6568&amp;"|"&amp;'管线现金流'!AL6568&amp;"|"&amp;'管线现金流'!J6569&amp;"|"&amp;'管线现金流'!AL6569&amp;"|"&amp;'管线现金流'!J6570&amp;"|"&amp;'管线现金流'!AL6570&amp;"|"&amp;'管线现金流'!J6571&amp;"|"&amp;'管线现金流'!AL6571&amp;"|"&amp;'管线现金流'!J6572&amp;"|"&amp;'管线现金流'!AL6572&amp;"|"&amp;'管线现金流'!J6573&amp;"|"&amp;'管线现金流'!AL6573&amp;"|"&amp;'管线现金流'!J6574&amp;"|"&amp;'管线现金流'!AL6574&amp;"|"&amp;'管线现金流'!J6575&amp;"|"&amp;'管线现金流'!AL6575&amp;"|"&amp;'管线现金流'!J6576&amp;"|"&amp;'管线现金流'!AL6576&amp;"|"&amp;'管线现金流'!J6577&amp;"|"&amp;'管线现金流'!AL6577&amp;"|"&amp;'管线现金流'!J6578&amp;"|"&amp;'管线现金流'!AL6578&amp;"|"&amp;'管线现金流'!J6579&amp;"|"&amp;'管线现金流'!AL6579&amp;"|"&amp;'管线现金流'!J6580&amp;"|"&amp;'管线现金流'!AL6580&amp;"|"&amp;'管线现金流'!J6581&amp;"|"&amp;'管线现金流'!AL6581&amp;"|"&amp;'管线现金流'!J6582&amp;"|"&amp;'管线现金流'!AL6582&amp;"|"&amp;'管线现金流'!J6583&amp;"|"&amp;'管线现金流'!AL6583&amp;"|"&amp;'管线现金流'!J6584&amp;"|"&amp;'管线现金流'!AL6584&amp;"|"&amp;'管线现金流'!J6585&amp;"|"&amp;'管线现金流'!AL6585&amp;"|"&amp;'管线现金流'!J6586&amp;"|"&amp;'管线现金流'!AL6586&amp;"|"&amp;'管线现金流'!J6587&amp;"|"&amp;'管线现金流'!AL6587&amp;"|"&amp;'管线现金流'!J6588&amp;"|"&amp;'管线现金流'!AL6588&amp;"|"&amp;'管线现金流'!J6589&amp;"|"&amp;'管线现金流'!AL6589&amp;"|"&amp;'管线现金流'!J6590&amp;"|"&amp;'管线现金流'!AL6590&amp;"|"&amp;'管线现金流'!J6591&amp;"|"&amp;'管线现金流'!AL6591&amp;"|"&amp;'管线现金流'!J6592&amp;"|"&amp;'管线现金流'!AL6592&amp;"|"&amp;'管线现金流'!J6593&amp;"|"&amp;'管线现金流'!AL6593&amp;"|"&amp;'管线现金流'!J6594&amp;"|"&amp;'管线现金流'!AL6594&amp;"|"&amp;'管线现金流'!J6595&amp;"|"&amp;'管线现金流'!AL6595&amp;"|"&amp;'管线现金流'!J6596&amp;"|"&amp;'管线现金流'!AL6596&amp;"|"&amp;'管线现金流'!J6597&amp;"|"&amp;'管线现金流'!AL6597&amp;"|"&amp;'管线现金流'!J6598&amp;"|"&amp;'管线现金流'!AL6598&amp;"|"&amp;'管线现金流'!J6599&amp;"|"&amp;'管线现金流'!AL6599&amp;"|"&amp;'管线现金流'!J6600&amp;"|"&amp;'管线现金流'!AL6600&amp;"|"&amp;'管线现金流'!J6601&amp;"|"&amp;'管线现金流'!AL6601&amp;"|"&amp;'管线现金流'!J6602&amp;"|"&amp;'管线现金流'!AL6602&amp;"|"&amp;'管线现金流'!J6603&amp;"|"&amp;'管线现金流'!AL6603&amp;"|"&amp;'管线现金流'!J6604&amp;"|"&amp;'管线现金流'!AL6604&amp;"|"&amp;'管线现金流'!J6605&amp;"|"&amp;'管线现金流'!AL6605&amp;"|"&amp;'管线现金流'!J6606&amp;"|"&amp;'管线现金流'!AL6606&amp;"|"&amp;'管线现金流'!J6607&amp;"|"&amp;'管线现金流'!AL6607&amp;"|"&amp;'管线现金流'!J6608&amp;"|"&amp;'管线现金流'!AL6608&amp;"|"&amp;'管线现金流'!J6609&amp;"|"&amp;'管线现金流'!AL6609&amp;"|"&amp;'管线现金流'!J6610&amp;"|"&amp;'管线现金流'!AL6610&amp;"|"&amp;'管线现金流'!J6611&amp;"|"&amp;'管线现金流'!AL6611&amp;"|"&amp;'管线现金流'!J6612&amp;"|"&amp;'管线现金流'!AL6612&amp;"|"&amp;'管线现金流'!J6613&amp;"|"&amp;'管线现金流'!AL6613&amp;"|"&amp;'管线现金流'!J6614&amp;"|"&amp;'管线现金流'!AL6614&amp;"|"&amp;'管线现金流'!J6615&amp;"|"&amp;'管线现金流'!AL6615&amp;"|"&amp;'管线现金流'!J6616&amp;"|"&amp;'管线现金流'!AL6616&amp;"|"&amp;'管线现金流'!J6617&amp;"|"&amp;'管线现金流'!AL6617&amp;"|"&amp;'管线现金流'!J6618&amp;"|"&amp;'管线现金流'!AL6618&amp;"|"&amp;'管线现金流'!J6619&amp;"|"&amp;'管线现金流'!AL6619&amp;"|"&amp;'管线现金流'!J6620&amp;"|"&amp;'管线现金流'!AL6620&amp;"|"&amp;'管线现金流'!J6621&amp;"|"&amp;'管线现金流'!AL6621&amp;"|"&amp;'管线现金流'!J6622&amp;"|"&amp;'管线现金流'!AL6622&amp;"|"&amp;'管线现金流'!J6623&amp;"|"&amp;'管线现金流'!AL6623&amp;"|"&amp;'管线现金流'!J6624&amp;"|"&amp;'管线现金流'!AL6624&amp;"|"&amp;'管线现金流'!J6625&amp;"|"&amp;'管线现金流'!AL6625&amp;"|"&amp;'管线现金流'!J6626&amp;"|"&amp;'管线现金流'!AL6626&amp;"|"&amp;'管线现金流'!J6627&amp;"|"&amp;'管线现金流'!AL6627&amp;"|"&amp;'管线现金流'!J6628&amp;"|"&amp;'管线现金流'!AL6628&amp;"|"&amp;'管线现金流'!J6629&amp;"|"&amp;'管线现金流'!AL6629&amp;"|"&amp;'管线现金流'!J6630&amp;"|"&amp;'管线现金流'!AL6630&amp;"|"&amp;'管线现金流'!J6631&amp;"|"&amp;'管线现金流'!AL6631&amp;"|"&amp;'管线现金流'!J6632&amp;"|"&amp;'管线现金流'!AL6632&amp;"|"&amp;'管线现金流'!J6633&amp;"|"&amp;'管线现金流'!AL6633&amp;"|"&amp;'管线现金流'!J6634&amp;"|"&amp;'管线现金流'!AL6634&amp;"|"&amp;'管线现金流'!J6635&amp;"|"&amp;'管线现金流'!AL6635&amp;"|"&amp;'管线现金流'!J6636&amp;"|"&amp;'管线现金流'!AL6636&amp;"|"&amp;'管线现金流'!J6637&amp;"|"&amp;'管线现金流'!AL6637&amp;"|"&amp;'管线现金流'!J6638&amp;"|"&amp;'管线现金流'!AL6638&amp;"|"&amp;'管线现金流'!J6639&amp;"|"&amp;'管线现金流'!AL6639&amp;"|"&amp;'管线现金流'!J6640&amp;"|"&amp;'管线现金流'!AL6640&amp;"|"&amp;'管线现金流'!J6641&amp;"|"&amp;'管线现金流'!AL6641&amp;"|"&amp;'管线现金流'!J6642&amp;"|"&amp;'管线现金流'!AL6642&amp;"|"&amp;'管线现金流'!J6643&amp;"|"&amp;'管线现金流'!AL6643&amp;"|"&amp;'管线现金流'!J6644&amp;"|"&amp;'管线现金流'!AL6644&amp;"|"&amp;'管线现金流'!J6645&amp;"|"&amp;'管线现金流'!AL6645&amp;"|"&amp;'管线现金流'!J6646&amp;"|"&amp;'管线现金流'!AL6646&amp;"|"&amp;'管线现金流'!J6647&amp;"|"&amp;'管线现金流'!AL6647&amp;"|"&amp;'管线现金流'!J6648&amp;"|"&amp;'管线现金流'!AL6648&amp;"|"&amp;'管线现金流'!J6649&amp;"|"&amp;'管线现金流'!AL6649&amp;"|"&amp;'管线现金流'!J6650&amp;"|"&amp;'管线现金流'!AL6650&amp;"|"&amp;'管线现金流'!J6651&amp;"|"&amp;'管线现金流'!AL6651&amp;"|"&amp;'管线现金流'!J6652&amp;"|"&amp;'管线现金流'!AL6652&amp;"|"&amp;'管线现金流'!J6653&amp;"|"&amp;'管线现金流'!AL6653&amp;"|"&amp;'管线现金流'!J6654&amp;"|"&amp;'管线现金流'!AL6654&amp;"|"&amp;'管线现金流'!J6655&amp;"|"&amp;'管线现金流'!AL6655&amp;"|"&amp;'管线现金流'!J6656&amp;"|"&amp;'管线现金流'!AL6656&amp;"|"&amp;'管线现金流'!J6657&amp;"|"&amp;'管线现金流'!AL6657&amp;"|"&amp;'管线现金流'!J6658&amp;"|"&amp;'管线现金流'!AL6658&amp;"|"&amp;'管线现金流'!J6659&amp;"|"&amp;'管线现金流'!AL6659&amp;"|"&amp;'管线现金流'!J6660&amp;"|"&amp;'管线现金流'!AL6660&amp;"|"&amp;'管线现金流'!J6661&amp;"|"&amp;'管线现金流'!AL6661&amp;"|"&amp;'管线现金流'!J6662&amp;"|"&amp;'管线现金流'!AL6662&amp;"|"&amp;'管线现金流'!J6663&amp;"|"&amp;'管线现金流'!AL6663&amp;"|"&amp;'管线现金流'!J6664&amp;"|"&amp;'管线现金流'!AL6664&amp;"|"&amp;'管线现金流'!J6665&amp;"|"&amp;'管线现金流'!AL6665&amp;"|"&amp;'管线现金流'!J6666&amp;"|"&amp;'管线现金流'!AL6666&amp;"|"&amp;'管线现金流'!W112&amp;"|"&amp;'管线现金流'!Z112&amp;"|"&amp;'管线现金流'!AQ112&amp;"|"&amp;'管线现金流'!AT112&amp;"|"&amp;'管线现金流'!W113&amp;"|"&amp;'管线现金流'!Z113&amp;"|"&amp;'管线现金流'!AQ113&amp;"|"&amp;'管线现金流'!AT113&amp;"|"&amp;'管线现金流'!W114&amp;"|"&amp;'管线现金流'!Z114&amp;"|"&amp;'管线现金流'!AQ114&amp;"|"&amp;'管线现金流'!AT114&amp;"|"&amp;'管线现金流'!W115&amp;"|"&amp;'管线现金流'!Z115&amp;"|"&amp;'管线现金流'!AQ115&amp;"|"&amp;'管线现金流'!AT115&amp;"|"&amp;'管线现金流'!W116&amp;"|"&amp;'管线现金流'!Z116&amp;"|"&amp;'管线现金流'!AQ116&amp;"|"&amp;'管线现金流'!AT116&amp;"|"&amp;'管线现金流'!W117&amp;"|"&amp;'管线现金流'!Z117&amp;"|"&amp;'管线现金流'!AQ117&amp;"|"&amp;'管线现金流'!AT117&amp;"|"&amp;'管线现金流'!W118&amp;"|"&amp;'管线现金流'!Z118&amp;"|"&amp;'管线现金流'!AQ118&amp;"|"&amp;'管线现金流'!AT118&amp;"|"&amp;'管线现金流'!W119&amp;"|"&amp;'管线现金流'!Z119&amp;"|"&amp;'管线现金流'!AQ119&amp;"|"&amp;'管线现金流'!AT119&amp;"|"&amp;'管线现金流'!W120&amp;"|"&amp;'管线现金流'!Z120&amp;"|"&amp;'管线现金流'!AQ120&amp;"|"&amp;'管线现金流'!AT120&amp;"|"&amp;'管线现金流'!W121&amp;"|"&amp;'管线现金流'!Z121&amp;"|"&amp;'管线现金流'!AQ121&amp;"|"&amp;'管线现金流'!AT121&amp;"|"&amp;'许可受让方假设'!D14&amp;"|"&amp;'许可受让方假设'!E14&amp;"|"&amp;'许可受让方假设'!F14&amp;"|"&amp;'许可受让方假设'!G14&amp;"|"&amp;'许可受让方假设'!H14&amp;"|"&amp;'许可受让方假设'!I14&amp;"|"&amp;'许可受让方假设'!J14&amp;"|"&amp;'许可受让方假设'!K14&amp;"|"&amp;'许可受让方现金流'!Q26&amp;"|"&amp;'许可受让方现金流'!Q27&amp;"|"&amp;'许可受让方现金流'!Q28&amp;"|"&amp;'许可受让方现金流'!Q29&amp;"|"&amp;'许可受让方现金流'!Q30&amp;"|"&amp;'许可受让方现金流'!Q31&amp;"|"&amp;'许可受让方现金流'!Q32&amp;"|"&amp;'许可受让方现金流'!Q33&amp;"|"&amp;'许可受让方现金流'!Q34&amp;"|"&amp;'许可受让方现金流'!Q35&amp;"|"&amp;'许可受让方现金流'!Q36&amp;"|"&amp;'许可受让方现金流'!Q37&amp;"|"&amp;'许可受让方现金流'!Q38&amp;"|"&amp;'许可受让方现金流'!Q39&amp;"|"&amp;'许可受让方现金流'!Q40&amp;"|"&amp;'许可受让方现金流'!Q41&amp;"|"&amp;'许可受让方现金流'!Q42&amp;"|"&amp;'许可受让方现金流'!Q43&amp;"|"&amp;'许可受让方现金流'!Q44</x:f>
        <x:v>0.6|3.15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0.49|0.11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</x:row>
    <x:row r="613" ht="23" customHeight="1">
      <x:c r="A613" s="11" t="str">
        <x:v>09995.HK</x:v>
      </x:c>
      <x:c r="B613" s="11" t="str">
        <x:v>荣昌生物</x:v>
      </x:c>
      <x:c r="C613" s="11" t="str">
        <x:v>一年</x:v>
      </x:c>
      <x:c r="D613" s="11" t="str">
        <x:v>悲观</x:v>
      </x:c>
      <x:c r="E613" s="11" t="n">
        <x:v>70.4</x:v>
      </x:c>
      <x:c r="F613" s="11" t="n">
        <x:v>8.126390749663756</x:v>
      </x:c>
      <x:c r="G613" s="11" t="n">
        <x:v>0</x:v>
      </x:c>
      <x:c r="H613" s="25" t="n">
        <x:v>-0.8845683132150035</x:v>
      </x:c>
      <x:c r="I613" s="25" t="n">
        <x:v>-0.8845683132150035</x:v>
      </x:c>
      <x:c r="J613" s="25" t="str"/>
      <x:c r="K613" s="11" t="n">
        <x:v>0</x:v>
      </x:c>
      <x:c r="L613" s="11" t="n">
        <x:v>0</x:v>
      </x:c>
      <x:c r="M613" s="11" t="n">
        <x:v>1.1</x:v>
      </x:c>
      <x:c r="N613" s="11" t="n">
        <x:v>0</x:v>
      </x:c>
      <x:c r="O613" s="11" t="n">
        <x:v>0</x:v>
      </x:c>
      <x:c r="P613" s="11" t="n">
        <x:v>0</x:v>
      </x:c>
      <x:c r="Q613" s="11" t="n">
        <x:v>0.625</x:v>
      </x:c>
      <x:c r="R613" s="11" t="str">
        <x:v>remegen-v2-finite-assets-Vor-residual-return-aligned-score</x:v>
      </x:c>
      <x:c r="S613" s="11" t="str">
        <x:v>2026-10-10</x:v>
      </x:c>
      <x:c r="T613" s="11" t="str">
        <x:f>IF(AND(SUM(IF(K613='假设'!E816,0,1),IF(L613='假设'!F816,0,1),IF(M613='假设'!G816,0,1),IF(N613='假设'!H816,0,1),IF(O613='假设'!I816,0,1),IF(P613='假设'!J816,0,1),IF(Q613='假设'!K816,0,1))=0,U613=V613),"已刷新","待刷新")</x:f>
        <x:v>已刷新</x:v>
      </x:c>
      <x:c r="U613" t="str">
        <x:v>1|1.45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0.12|0.16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  <x:c r="V613" t="str">
        <x:f>'假设'!U816&amp;"|"&amp;'假设'!N816&amp;"|"&amp;'假设'!Q816&amp;"|"&amp;'管线假设'!E1428&amp;"|"&amp;'管线假设'!F1428&amp;"|"&amp;'管线假设'!G1428&amp;"|"&amp;'管线假设'!H1428&amp;"|"&amp;'管线假设'!I1428&amp;"|"&amp;'管线假设'!E1432&amp;"|"&amp;'管线假设'!F1432&amp;"|"&amp;'管线假设'!G1432&amp;"|"&amp;'管线假设'!H1432&amp;"|"&amp;'管线假设'!I1432&amp;"|"&amp;'管线假设'!E1436&amp;"|"&amp;'管线假设'!F1436&amp;"|"&amp;'管线假设'!G1436&amp;"|"&amp;'管线假设'!H1436&amp;"|"&amp;'管线假设'!I1436&amp;"|"&amp;'管线假设'!E1440&amp;"|"&amp;'管线假设'!F1440&amp;"|"&amp;'管线假设'!G1440&amp;"|"&amp;'管线假设'!H1440&amp;"|"&amp;'管线假设'!I1440&amp;"|"&amp;'管线假设'!E1444&amp;"|"&amp;'管线假设'!F1444&amp;"|"&amp;'管线假设'!G1444&amp;"|"&amp;'管线假设'!H1444&amp;"|"&amp;'管线假设'!I1444&amp;"|"&amp;'管线假设'!E1448&amp;"|"&amp;'管线假设'!F1448&amp;"|"&amp;'管线假设'!G1448&amp;"|"&amp;'管线假设'!H1448&amp;"|"&amp;'管线假设'!I1448&amp;"|"&amp;'管线假设'!E1452&amp;"|"&amp;'管线假设'!F1452&amp;"|"&amp;'管线假设'!G1452&amp;"|"&amp;'管线假设'!H1452&amp;"|"&amp;'管线假设'!I1452&amp;"|"&amp;'管线假设'!E1456&amp;"|"&amp;'管线假设'!F1456&amp;"|"&amp;'管线假设'!G1456&amp;"|"&amp;'管线假设'!H1456&amp;"|"&amp;'管线假设'!I1456&amp;"|"&amp;'管线假设'!E1460&amp;"|"&amp;'管线假设'!F1460&amp;"|"&amp;'管线假设'!G1460&amp;"|"&amp;'管线假设'!H1460&amp;"|"&amp;'管线假设'!I1460&amp;"|"&amp;'管线假设'!E1464&amp;"|"&amp;'管线假设'!F1464&amp;"|"&amp;'管线假设'!G1464&amp;"|"&amp;'管线假设'!H1464&amp;"|"&amp;'管线假设'!I1464&amp;"|"&amp;'管线现金流'!H6667&amp;"|"&amp;'管线现金流'!AJ6667&amp;"|"&amp;'管线现金流'!H6668&amp;"|"&amp;'管线现金流'!AJ6668&amp;"|"&amp;'管线现金流'!H6669&amp;"|"&amp;'管线现金流'!AJ6669&amp;"|"&amp;'管线现金流'!H6670&amp;"|"&amp;'管线现金流'!AJ6670&amp;"|"&amp;'管线现金流'!H6671&amp;"|"&amp;'管线现金流'!AJ6671&amp;"|"&amp;'管线现金流'!H6672&amp;"|"&amp;'管线现金流'!AJ6672&amp;"|"&amp;'管线现金流'!H6673&amp;"|"&amp;'管线现金流'!AJ6673&amp;"|"&amp;'管线现金流'!H6674&amp;"|"&amp;'管线现金流'!AJ6674&amp;"|"&amp;'管线现金流'!H6675&amp;"|"&amp;'管线现金流'!AJ6675&amp;"|"&amp;'管线现金流'!H6676&amp;"|"&amp;'管线现金流'!AJ6676&amp;"|"&amp;'管线现金流'!H6677&amp;"|"&amp;'管线现金流'!AJ6677&amp;"|"&amp;'管线现金流'!H6678&amp;"|"&amp;'管线现金流'!AJ6678&amp;"|"&amp;'管线现金流'!H6679&amp;"|"&amp;'管线现金流'!AJ6679&amp;"|"&amp;'管线现金流'!H6680&amp;"|"&amp;'管线现金流'!AJ6680&amp;"|"&amp;'管线现金流'!H6681&amp;"|"&amp;'管线现金流'!AJ6681&amp;"|"&amp;'管线现金流'!H6682&amp;"|"&amp;'管线现金流'!AJ6682&amp;"|"&amp;'管线现金流'!H6683&amp;"|"&amp;'管线现金流'!AJ6683&amp;"|"&amp;'管线现金流'!H6684&amp;"|"&amp;'管线现金流'!AJ6684&amp;"|"&amp;'管线现金流'!H6685&amp;"|"&amp;'管线现金流'!AJ6685&amp;"|"&amp;'管线现金流'!H6686&amp;"|"&amp;'管线现金流'!AJ6686&amp;"|"&amp;'管线现金流'!H6687&amp;"|"&amp;'管线现金流'!AJ6687&amp;"|"&amp;'管线现金流'!H6688&amp;"|"&amp;'管线现金流'!AJ6688&amp;"|"&amp;'管线现金流'!H6689&amp;"|"&amp;'管线现金流'!AJ6689&amp;"|"&amp;'管线现金流'!H6690&amp;"|"&amp;'管线现金流'!AJ6690&amp;"|"&amp;'管线现金流'!H6691&amp;"|"&amp;'管线现金流'!AJ6691&amp;"|"&amp;'管线现金流'!H6692&amp;"|"&amp;'管线现金流'!AJ6692&amp;"|"&amp;'管线现金流'!H6693&amp;"|"&amp;'管线现金流'!AJ6693&amp;"|"&amp;'管线现金流'!H6694&amp;"|"&amp;'管线现金流'!AJ6694&amp;"|"&amp;'管线现金流'!H6695&amp;"|"&amp;'管线现金流'!AJ6695&amp;"|"&amp;'管线现金流'!H6696&amp;"|"&amp;'管线现金流'!AJ6696&amp;"|"&amp;'管线现金流'!H6697&amp;"|"&amp;'管线现金流'!AJ6697&amp;"|"&amp;'管线现金流'!H6698&amp;"|"&amp;'管线现金流'!AJ6698&amp;"|"&amp;'管线现金流'!H6699&amp;"|"&amp;'管线现金流'!AJ6699&amp;"|"&amp;'管线现金流'!H6700&amp;"|"&amp;'管线现金流'!AJ6700&amp;"|"&amp;'管线现金流'!H6701&amp;"|"&amp;'管线现金流'!AJ6701&amp;"|"&amp;'管线现金流'!H6702&amp;"|"&amp;'管线现金流'!AJ6702&amp;"|"&amp;'管线现金流'!H6703&amp;"|"&amp;'管线现金流'!AJ6703&amp;"|"&amp;'管线现金流'!H6704&amp;"|"&amp;'管线现金流'!AJ6704&amp;"|"&amp;'管线现金流'!H6705&amp;"|"&amp;'管线现金流'!AJ6705&amp;"|"&amp;'管线现金流'!H6706&amp;"|"&amp;'管线现金流'!AJ6706&amp;"|"&amp;'管线现金流'!H6707&amp;"|"&amp;'管线现金流'!AJ6707&amp;"|"&amp;'管线现金流'!H6708&amp;"|"&amp;'管线现金流'!AJ6708&amp;"|"&amp;'管线现金流'!H6709&amp;"|"&amp;'管线现金流'!AJ6709&amp;"|"&amp;'管线现金流'!H6710&amp;"|"&amp;'管线现金流'!AJ6710&amp;"|"&amp;'管线现金流'!H6711&amp;"|"&amp;'管线现金流'!AJ6711&amp;"|"&amp;'管线现金流'!H6712&amp;"|"&amp;'管线现金流'!AJ6712&amp;"|"&amp;'管线现金流'!H6713&amp;"|"&amp;'管线现金流'!AJ6713&amp;"|"&amp;'管线现金流'!H6714&amp;"|"&amp;'管线现金流'!AJ6714&amp;"|"&amp;'管线现金流'!H6715&amp;"|"&amp;'管线现金流'!AJ6715&amp;"|"&amp;'管线现金流'!H6716&amp;"|"&amp;'管线现金流'!AJ6716&amp;"|"&amp;'管线现金流'!H6717&amp;"|"&amp;'管线现金流'!AJ6717&amp;"|"&amp;'管线现金流'!H6718&amp;"|"&amp;'管线现金流'!AJ6718&amp;"|"&amp;'管线现金流'!H6719&amp;"|"&amp;'管线现金流'!AJ6719&amp;"|"&amp;'管线现金流'!H6720&amp;"|"&amp;'管线现金流'!AJ6720&amp;"|"&amp;'管线现金流'!H6721&amp;"|"&amp;'管线现金流'!AJ6721&amp;"|"&amp;'管线现金流'!H6722&amp;"|"&amp;'管线现金流'!AJ6722&amp;"|"&amp;'管线现金流'!H6723&amp;"|"&amp;'管线现金流'!AJ6723&amp;"|"&amp;'管线现金流'!H6724&amp;"|"&amp;'管线现金流'!AJ6724&amp;"|"&amp;'管线现金流'!H6725&amp;"|"&amp;'管线现金流'!AJ6725&amp;"|"&amp;'管线现金流'!H6726&amp;"|"&amp;'管线现金流'!AJ6726&amp;"|"&amp;'管线现金流'!H6727&amp;"|"&amp;'管线现金流'!AJ6727&amp;"|"&amp;'管线现金流'!H6728&amp;"|"&amp;'管线现金流'!AJ6728&amp;"|"&amp;'管线现金流'!H6729&amp;"|"&amp;'管线现金流'!AJ6729&amp;"|"&amp;'管线现金流'!H6730&amp;"|"&amp;'管线现金流'!AJ6730&amp;"|"&amp;'管线现金流'!H6731&amp;"|"&amp;'管线现金流'!AJ6731&amp;"|"&amp;'管线现金流'!H6732&amp;"|"&amp;'管线现金流'!AJ6732&amp;"|"&amp;'管线现金流'!H6733&amp;"|"&amp;'管线现金流'!AJ6733&amp;"|"&amp;'管线现金流'!H6734&amp;"|"&amp;'管线现金流'!AJ6734&amp;"|"&amp;'管线现金流'!H6735&amp;"|"&amp;'管线现金流'!AJ6735&amp;"|"&amp;'管线现金流'!H6736&amp;"|"&amp;'管线现金流'!AJ6736&amp;"|"&amp;'管线现金流'!H6737&amp;"|"&amp;'管线现金流'!AJ6737&amp;"|"&amp;'管线现金流'!H6738&amp;"|"&amp;'管线现金流'!AJ6738&amp;"|"&amp;'管线现金流'!H6739&amp;"|"&amp;'管线现金流'!AJ6739&amp;"|"&amp;'管线现金流'!H6740&amp;"|"&amp;'管线现金流'!AJ6740&amp;"|"&amp;'管线现金流'!H6741&amp;"|"&amp;'管线现金流'!AJ6741&amp;"|"&amp;'管线现金流'!H6742&amp;"|"&amp;'管线现金流'!AJ6742&amp;"|"&amp;'管线现金流'!H6743&amp;"|"&amp;'管线现金流'!AJ6743&amp;"|"&amp;'管线现金流'!H6744&amp;"|"&amp;'管线现金流'!AJ6744&amp;"|"&amp;'管线现金流'!H6745&amp;"|"&amp;'管线现金流'!AJ6745&amp;"|"&amp;'管线现金流'!H6746&amp;"|"&amp;'管线现金流'!AJ6746&amp;"|"&amp;'管线现金流'!H6747&amp;"|"&amp;'管线现金流'!AJ6747&amp;"|"&amp;'管线现金流'!H6748&amp;"|"&amp;'管线现金流'!AJ6748&amp;"|"&amp;'管线现金流'!H6749&amp;"|"&amp;'管线现金流'!AJ6749&amp;"|"&amp;'管线现金流'!H6750&amp;"|"&amp;'管线现金流'!AJ6750&amp;"|"&amp;'管线现金流'!H6751&amp;"|"&amp;'管线现金流'!AJ6751&amp;"|"&amp;'管线现金流'!H6752&amp;"|"&amp;'管线现金流'!AJ6752&amp;"|"&amp;'管线现金流'!H6753&amp;"|"&amp;'管线现金流'!AJ6753&amp;"|"&amp;'管线现金流'!H6754&amp;"|"&amp;'管线现金流'!AJ6754&amp;"|"&amp;'管线现金流'!H6755&amp;"|"&amp;'管线现金流'!AJ6755&amp;"|"&amp;'管线现金流'!H6756&amp;"|"&amp;'管线现金流'!AJ6756&amp;"|"&amp;'管线现金流'!H6757&amp;"|"&amp;'管线现金流'!AJ6757&amp;"|"&amp;'管线现金流'!H6758&amp;"|"&amp;'管线现金流'!AJ6758&amp;"|"&amp;'管线现金流'!H6759&amp;"|"&amp;'管线现金流'!AJ6759&amp;"|"&amp;'管线现金流'!H6760&amp;"|"&amp;'管线现金流'!AJ6760&amp;"|"&amp;'管线现金流'!H6761&amp;"|"&amp;'管线现金流'!AJ6761&amp;"|"&amp;'管线现金流'!H6762&amp;"|"&amp;'管线现金流'!AJ6762&amp;"|"&amp;'管线现金流'!H6763&amp;"|"&amp;'管线现金流'!AJ6763&amp;"|"&amp;'管线现金流'!H6764&amp;"|"&amp;'管线现金流'!AJ6764&amp;"|"&amp;'管线现金流'!H6765&amp;"|"&amp;'管线现金流'!AJ6765&amp;"|"&amp;'管线现金流'!H6766&amp;"|"&amp;'管线现金流'!AJ6766&amp;"|"&amp;'管线现金流'!H6767&amp;"|"&amp;'管线现金流'!AJ6767&amp;"|"&amp;'管线现金流'!H6768&amp;"|"&amp;'管线现金流'!AJ6768&amp;"|"&amp;'管线现金流'!H6769&amp;"|"&amp;'管线现金流'!AJ6769&amp;"|"&amp;'管线现金流'!H6770&amp;"|"&amp;'管线现金流'!AJ6770&amp;"|"&amp;'管线现金流'!H6771&amp;"|"&amp;'管线现金流'!AJ6771&amp;"|"&amp;'管线现金流'!H6772&amp;"|"&amp;'管线现金流'!AJ6772&amp;"|"&amp;'管线现金流'!H6773&amp;"|"&amp;'管线现金流'!AJ6773&amp;"|"&amp;'管线现金流'!H6774&amp;"|"&amp;'管线现金流'!AJ6774&amp;"|"&amp;'管线现金流'!H6775&amp;"|"&amp;'管线现金流'!AJ6775&amp;"|"&amp;'管线现金流'!H6776&amp;"|"&amp;'管线现金流'!AJ6776&amp;"|"&amp;'管线现金流'!H6777&amp;"|"&amp;'管线现金流'!AJ6777&amp;"|"&amp;'管线现金流'!H6778&amp;"|"&amp;'管线现金流'!AJ6778&amp;"|"&amp;'管线现金流'!H6779&amp;"|"&amp;'管线现金流'!AJ6779&amp;"|"&amp;'管线现金流'!H6780&amp;"|"&amp;'管线现金流'!AJ6780&amp;"|"&amp;'管线现金流'!H6781&amp;"|"&amp;'管线现金流'!AJ6781&amp;"|"&amp;'管线现金流'!H6782&amp;"|"&amp;'管线现金流'!AJ6782&amp;"|"&amp;'管线现金流'!H6783&amp;"|"&amp;'管线现金流'!AJ6783&amp;"|"&amp;'管线现金流'!H6784&amp;"|"&amp;'管线现金流'!AJ6784&amp;"|"&amp;'管线现金流'!H6785&amp;"|"&amp;'管线现金流'!AJ6785&amp;"|"&amp;'管线现金流'!H6786&amp;"|"&amp;'管线现金流'!AJ6786&amp;"|"&amp;'管线现金流'!H6787&amp;"|"&amp;'管线现金流'!AJ6787&amp;"|"&amp;'管线现金流'!H6788&amp;"|"&amp;'管线现金流'!AJ6788&amp;"|"&amp;'管线现金流'!H6789&amp;"|"&amp;'管线现金流'!AJ6789&amp;"|"&amp;'管线现金流'!H6790&amp;"|"&amp;'管线现金流'!AJ6790&amp;"|"&amp;'管线现金流'!H6791&amp;"|"&amp;'管线现金流'!AJ6791&amp;"|"&amp;'管线现金流'!H6792&amp;"|"&amp;'管线现金流'!AJ6792&amp;"|"&amp;'管线现金流'!H6793&amp;"|"&amp;'管线现金流'!AJ6793&amp;"|"&amp;'管线现金流'!H6794&amp;"|"&amp;'管线现金流'!AJ6794&amp;"|"&amp;'管线现金流'!H6795&amp;"|"&amp;'管线现金流'!AJ6795&amp;"|"&amp;'管线现金流'!H6796&amp;"|"&amp;'管线现金流'!AJ6796&amp;"|"&amp;'管线现金流'!H6797&amp;"|"&amp;'管线现金流'!AJ6797&amp;"|"&amp;'管线现金流'!H6798&amp;"|"&amp;'管线现金流'!AJ6798&amp;"|"&amp;'管线现金流'!H6799&amp;"|"&amp;'管线现金流'!AJ6799&amp;"|"&amp;'管线现金流'!H6800&amp;"|"&amp;'管线现金流'!AJ6800&amp;"|"&amp;'管线现金流'!H6801&amp;"|"&amp;'管线现金流'!AJ6801&amp;"|"&amp;'管线现金流'!H6802&amp;"|"&amp;'管线现金流'!AJ6802&amp;"|"&amp;'管线现金流'!H6803&amp;"|"&amp;'管线现金流'!AJ6803&amp;"|"&amp;'管线现金流'!H6804&amp;"|"&amp;'管线现金流'!AJ6804&amp;"|"&amp;'管线现金流'!H6805&amp;"|"&amp;'管线现金流'!AJ6805&amp;"|"&amp;'管线现金流'!H6806&amp;"|"&amp;'管线现金流'!AJ6806&amp;"|"&amp;'管线现金流'!H6807&amp;"|"&amp;'管线现金流'!AJ6807&amp;"|"&amp;'管线现金流'!H6808&amp;"|"&amp;'管线现金流'!AJ6808&amp;"|"&amp;'管线现金流'!H6809&amp;"|"&amp;'管线现金流'!AJ6809&amp;"|"&amp;'管线现金流'!H6810&amp;"|"&amp;'管线现金流'!AJ6810&amp;"|"&amp;'管线现金流'!H6811&amp;"|"&amp;'管线现金流'!AJ6811&amp;"|"&amp;'管线现金流'!H6812&amp;"|"&amp;'管线现金流'!AJ6812&amp;"|"&amp;'管线现金流'!H6813&amp;"|"&amp;'管线现金流'!AJ6813&amp;"|"&amp;'管线现金流'!H6814&amp;"|"&amp;'管线现金流'!AJ6814&amp;"|"&amp;'管线现金流'!H6815&amp;"|"&amp;'管线现金流'!AJ6815&amp;"|"&amp;'管线现金流'!H6816&amp;"|"&amp;'管线现金流'!AJ6816&amp;"|"&amp;'管线现金流'!H6817&amp;"|"&amp;'管线现金流'!AJ6817&amp;"|"&amp;'管线现金流'!H6818&amp;"|"&amp;'管线现金流'!AJ6818&amp;"|"&amp;'管线现金流'!H6819&amp;"|"&amp;'管线现金流'!AJ6819&amp;"|"&amp;'管线现金流'!H6820&amp;"|"&amp;'管线现金流'!AJ6820&amp;"|"&amp;'管线现金流'!H6821&amp;"|"&amp;'管线现金流'!AJ6821&amp;"|"&amp;'管线现金流'!H6822&amp;"|"&amp;'管线现金流'!AJ6822&amp;"|"&amp;'管线现金流'!H6823&amp;"|"&amp;'管线现金流'!AJ6823&amp;"|"&amp;'管线现金流'!H6824&amp;"|"&amp;'管线现金流'!AJ6824&amp;"|"&amp;'管线现金流'!H6825&amp;"|"&amp;'管线现金流'!AJ6825&amp;"|"&amp;'管线现金流'!H6826&amp;"|"&amp;'管线现金流'!AJ6826&amp;"|"&amp;'管线现金流'!H6827&amp;"|"&amp;'管线现金流'!AJ6827&amp;"|"&amp;'管线现金流'!H6828&amp;"|"&amp;'管线现金流'!AJ6828&amp;"|"&amp;'管线现金流'!H6829&amp;"|"&amp;'管线现金流'!AJ6829&amp;"|"&amp;'管线现金流'!H6830&amp;"|"&amp;'管线现金流'!AJ6830&amp;"|"&amp;'管线现金流'!H6831&amp;"|"&amp;'管线现金流'!AJ6831&amp;"|"&amp;'管线现金流'!H6832&amp;"|"&amp;'管线现金流'!AJ6832&amp;"|"&amp;'管线现金流'!H6833&amp;"|"&amp;'管线现金流'!AJ6833&amp;"|"&amp;'管线现金流'!H6834&amp;"|"&amp;'管线现金流'!AJ6834&amp;"|"&amp;'管线现金流'!H6835&amp;"|"&amp;'管线现金流'!AJ6835&amp;"|"&amp;'管线现金流'!H6836&amp;"|"&amp;'管线现金流'!AJ6836&amp;"|"&amp;'管线现金流'!H6837&amp;"|"&amp;'管线现金流'!AJ6837&amp;"|"&amp;'管线现金流'!H6838&amp;"|"&amp;'管线现金流'!AJ6838&amp;"|"&amp;'管线现金流'!H6839&amp;"|"&amp;'管线现金流'!AJ6839&amp;"|"&amp;'管线现金流'!H6840&amp;"|"&amp;'管线现金流'!AJ6840&amp;"|"&amp;'管线现金流'!H6841&amp;"|"&amp;'管线现金流'!AJ6841&amp;"|"&amp;'管线现金流'!H6842&amp;"|"&amp;'管线现金流'!AJ6842&amp;"|"&amp;'管线现金流'!H6843&amp;"|"&amp;'管线现金流'!AJ6843&amp;"|"&amp;'管线现金流'!H6844&amp;"|"&amp;'管线现金流'!AJ6844&amp;"|"&amp;'管线现金流'!H6845&amp;"|"&amp;'管线现金流'!AJ6845&amp;"|"&amp;'管线现金流'!H6846&amp;"|"&amp;'管线现金流'!AJ6846&amp;"|"&amp;'管线现金流'!H6847&amp;"|"&amp;'管线现金流'!AJ6847&amp;"|"&amp;'管线现金流'!H6848&amp;"|"&amp;'管线现金流'!AJ6848&amp;"|"&amp;'管线现金流'!H6849&amp;"|"&amp;'管线现金流'!AJ6849&amp;"|"&amp;'管线现金流'!H6850&amp;"|"&amp;'管线现金流'!AJ6850&amp;"|"&amp;'管线现金流'!H6851&amp;"|"&amp;'管线现金流'!AJ6851&amp;"|"&amp;'管线现金流'!H6852&amp;"|"&amp;'管线现金流'!AJ6852&amp;"|"&amp;'管线现金流'!H6853&amp;"|"&amp;'管线现金流'!AJ6853&amp;"|"&amp;'管线现金流'!H6854&amp;"|"&amp;'管线现金流'!AJ6854&amp;"|"&amp;'管线现金流'!H6855&amp;"|"&amp;'管线现金流'!AJ6855&amp;"|"&amp;'管线现金流'!H6856&amp;"|"&amp;'管线现金流'!AJ6856&amp;"|"&amp;'管线现金流'!U122&amp;"|"&amp;'管线现金流'!X122&amp;"|"&amp;'管线现金流'!AO122&amp;"|"&amp;'管线现金流'!AR122&amp;"|"&amp;'管线现金流'!U123&amp;"|"&amp;'管线现金流'!X123&amp;"|"&amp;'管线现金流'!AO123&amp;"|"&amp;'管线现金流'!AR123&amp;"|"&amp;'管线现金流'!U124&amp;"|"&amp;'管线现金流'!X124&amp;"|"&amp;'管线现金流'!AO124&amp;"|"&amp;'管线现金流'!AR124&amp;"|"&amp;'管线现金流'!U125&amp;"|"&amp;'管线现金流'!X125&amp;"|"&amp;'管线现金流'!AO125&amp;"|"&amp;'管线现金流'!AR125&amp;"|"&amp;'管线现金流'!U126&amp;"|"&amp;'管线现金流'!X126&amp;"|"&amp;'管线现金流'!AO126&amp;"|"&amp;'管线现金流'!AR126&amp;"|"&amp;'管线现金流'!U127&amp;"|"&amp;'管线现金流'!X127&amp;"|"&amp;'管线现金流'!AO127&amp;"|"&amp;'管线现金流'!AR127&amp;"|"&amp;'管线现金流'!U128&amp;"|"&amp;'管线现金流'!X128&amp;"|"&amp;'管线现金流'!AO128&amp;"|"&amp;'管线现金流'!AR128&amp;"|"&amp;'管线现金流'!U129&amp;"|"&amp;'管线现金流'!X129&amp;"|"&amp;'管线现金流'!AO129&amp;"|"&amp;'管线现金流'!AR129&amp;"|"&amp;'管线现金流'!U130&amp;"|"&amp;'管线现金流'!X130&amp;"|"&amp;'管线现金流'!AO130&amp;"|"&amp;'管线现金流'!AR130&amp;"|"&amp;'管线现金流'!U131&amp;"|"&amp;'管线现金流'!X131&amp;"|"&amp;'管线现金流'!AO131&amp;"|"&amp;'管线现金流'!AR131&amp;"|"&amp;'许可受让方假设'!D16&amp;"|"&amp;'许可受让方假设'!E16&amp;"|"&amp;'许可受让方假设'!F16&amp;"|"&amp;'许可受让方假设'!G16&amp;"|"&amp;'许可受让方假设'!H16&amp;"|"&amp;'许可受让方假设'!I16&amp;"|"&amp;'许可受让方假设'!J16&amp;"|"&amp;'许可受让方假设'!K16&amp;"|"&amp;'许可受让方现金流'!O45&amp;"|"&amp;'许可受让方现金流'!O46&amp;"|"&amp;'许可受让方现金流'!O47&amp;"|"&amp;'许可受让方现金流'!O48&amp;"|"&amp;'许可受让方现金流'!O49&amp;"|"&amp;'许可受让方现金流'!O50&amp;"|"&amp;'许可受让方现金流'!O51&amp;"|"&amp;'许可受让方现金流'!O52&amp;"|"&amp;'许可受让方现金流'!O53&amp;"|"&amp;'许可受让方现金流'!O54&amp;"|"&amp;'许可受让方现金流'!O55&amp;"|"&amp;'许可受让方现金流'!O56&amp;"|"&amp;'许可受让方现金流'!O57&amp;"|"&amp;'许可受让方现金流'!O58&amp;"|"&amp;'许可受让方现金流'!O59&amp;"|"&amp;'许可受让方现金流'!O60&amp;"|"&amp;'许可受让方现金流'!O61&amp;"|"&amp;'许可受让方现金流'!O62&amp;"|"&amp;'许可受让方现金流'!O63</x:f>
        <x:v>1|1.45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0.12|0.16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</x:row>
    <x:row r="614" ht="23" customHeight="1">
      <x:c r="A614" s="11" t="str">
        <x:v>09995.HK</x:v>
      </x:c>
      <x:c r="B614" s="11" t="str">
        <x:v>荣昌生物</x:v>
      </x:c>
      <x:c r="C614" s="11" t="str">
        <x:v>一年</x:v>
      </x:c>
      <x:c r="D614" s="11" t="str">
        <x:v>基准</x:v>
      </x:c>
      <x:c r="E614" s="11" t="n">
        <x:v>70.4</x:v>
      </x:c>
      <x:c r="F614" s="11" t="n">
        <x:v>71.83079551410438</x:v>
      </x:c>
      <x:c r="G614" s="11" t="n">
        <x:v>0</x:v>
      </x:c>
      <x:c r="H614" s="25" t="n">
        <x:v>0.020323799916255325</x:v>
      </x:c>
      <x:c r="I614" s="25" t="n">
        <x:v>0.020323799916255325</x:v>
      </x:c>
      <x:c r="J614" s="25" t="str"/>
      <x:c r="K614" s="11" t="n">
        <x:v>0</x:v>
      </x:c>
      <x:c r="L614" s="11" t="n">
        <x:v>0</x:v>
      </x:c>
      <x:c r="M614" s="11" t="n">
        <x:v>1.1</x:v>
      </x:c>
      <x:c r="N614" s="11" t="n">
        <x:v>0</x:v>
      </x:c>
      <x:c r="O614" s="11" t="n">
        <x:v>0</x:v>
      </x:c>
      <x:c r="P614" s="11" t="n">
        <x:v>0</x:v>
      </x:c>
      <x:c r="Q614" s="11" t="n">
        <x:v>0.59</x:v>
      </x:c>
      <x:c r="R614" s="11" t="str">
        <x:v>remegen-v2-finite-assets-Vor-residual-return-aligned-score</x:v>
      </x:c>
      <x:c r="S614" s="11" t="str">
        <x:v>2026-10-10</x:v>
      </x:c>
      <x:c r="T614" s="11" t="str">
        <x:f>IF(AND(SUM(IF(K614='假设'!E817,0,1),IF(L614='假设'!F817,0,1),IF(M614='假设'!G817,0,1),IF(N614='假设'!H817,0,1),IF(O614='假设'!I817,0,1),IF(P614='假设'!J817,0,1),IF(Q614='假设'!K817,0,1))=0,U614=V614),"已刷新","待刷新")</x:f>
        <x:v>已刷新</x:v>
      </x:c>
      <x:c r="U614" t="str">
        <x:v>1|2.8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|0.13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  <x:c r="V614" t="str">
        <x:f>'假设'!U817&amp;"|"&amp;'假设'!N817&amp;"|"&amp;'假设'!Q817&amp;"|"&amp;'管线假设'!E1429&amp;"|"&amp;'管线假设'!F1429&amp;"|"&amp;'管线假设'!G1429&amp;"|"&amp;'管线假设'!H1429&amp;"|"&amp;'管线假设'!I1429&amp;"|"&amp;'管线假设'!E1433&amp;"|"&amp;'管线假设'!F1433&amp;"|"&amp;'管线假设'!G1433&amp;"|"&amp;'管线假设'!H1433&amp;"|"&amp;'管线假设'!I1433&amp;"|"&amp;'管线假设'!E1437&amp;"|"&amp;'管线假设'!F1437&amp;"|"&amp;'管线假设'!G1437&amp;"|"&amp;'管线假设'!H1437&amp;"|"&amp;'管线假设'!I1437&amp;"|"&amp;'管线假设'!E1441&amp;"|"&amp;'管线假设'!F1441&amp;"|"&amp;'管线假设'!G1441&amp;"|"&amp;'管线假设'!H1441&amp;"|"&amp;'管线假设'!I1441&amp;"|"&amp;'管线假设'!E1445&amp;"|"&amp;'管线假设'!F1445&amp;"|"&amp;'管线假设'!G1445&amp;"|"&amp;'管线假设'!H1445&amp;"|"&amp;'管线假设'!I1445&amp;"|"&amp;'管线假设'!E1449&amp;"|"&amp;'管线假设'!F1449&amp;"|"&amp;'管线假设'!G1449&amp;"|"&amp;'管线假设'!H1449&amp;"|"&amp;'管线假设'!I1449&amp;"|"&amp;'管线假设'!E1453&amp;"|"&amp;'管线假设'!F1453&amp;"|"&amp;'管线假设'!G1453&amp;"|"&amp;'管线假设'!H1453&amp;"|"&amp;'管线假设'!I1453&amp;"|"&amp;'管线假设'!E1457&amp;"|"&amp;'管线假设'!F1457&amp;"|"&amp;'管线假设'!G1457&amp;"|"&amp;'管线假设'!H1457&amp;"|"&amp;'管线假设'!I1457&amp;"|"&amp;'管线假设'!E1461&amp;"|"&amp;'管线假设'!F1461&amp;"|"&amp;'管线假设'!G1461&amp;"|"&amp;'管线假设'!H1461&amp;"|"&amp;'管线假设'!I1461&amp;"|"&amp;'管线假设'!E1465&amp;"|"&amp;'管线假设'!F1465&amp;"|"&amp;'管线假设'!G1465&amp;"|"&amp;'管线假设'!H1465&amp;"|"&amp;'管线假设'!I1465&amp;"|"&amp;'管线现金流'!I6667&amp;"|"&amp;'管线现金流'!AK6667&amp;"|"&amp;'管线现金流'!I6668&amp;"|"&amp;'管线现金流'!AK6668&amp;"|"&amp;'管线现金流'!I6669&amp;"|"&amp;'管线现金流'!AK6669&amp;"|"&amp;'管线现金流'!I6670&amp;"|"&amp;'管线现金流'!AK6670&amp;"|"&amp;'管线现金流'!I6671&amp;"|"&amp;'管线现金流'!AK6671&amp;"|"&amp;'管线现金流'!I6672&amp;"|"&amp;'管线现金流'!AK6672&amp;"|"&amp;'管线现金流'!I6673&amp;"|"&amp;'管线现金流'!AK6673&amp;"|"&amp;'管线现金流'!I6674&amp;"|"&amp;'管线现金流'!AK6674&amp;"|"&amp;'管线现金流'!I6675&amp;"|"&amp;'管线现金流'!AK6675&amp;"|"&amp;'管线现金流'!I6676&amp;"|"&amp;'管线现金流'!AK6676&amp;"|"&amp;'管线现金流'!I6677&amp;"|"&amp;'管线现金流'!AK6677&amp;"|"&amp;'管线现金流'!I6678&amp;"|"&amp;'管线现金流'!AK6678&amp;"|"&amp;'管线现金流'!I6679&amp;"|"&amp;'管线现金流'!AK6679&amp;"|"&amp;'管线现金流'!I6680&amp;"|"&amp;'管线现金流'!AK6680&amp;"|"&amp;'管线现金流'!I6681&amp;"|"&amp;'管线现金流'!AK6681&amp;"|"&amp;'管线现金流'!I6682&amp;"|"&amp;'管线现金流'!AK6682&amp;"|"&amp;'管线现金流'!I6683&amp;"|"&amp;'管线现金流'!AK6683&amp;"|"&amp;'管线现金流'!I6684&amp;"|"&amp;'管线现金流'!AK6684&amp;"|"&amp;'管线现金流'!I6685&amp;"|"&amp;'管线现金流'!AK6685&amp;"|"&amp;'管线现金流'!I6686&amp;"|"&amp;'管线现金流'!AK6686&amp;"|"&amp;'管线现金流'!I6687&amp;"|"&amp;'管线现金流'!AK6687&amp;"|"&amp;'管线现金流'!I6688&amp;"|"&amp;'管线现金流'!AK6688&amp;"|"&amp;'管线现金流'!I6689&amp;"|"&amp;'管线现金流'!AK6689&amp;"|"&amp;'管线现金流'!I6690&amp;"|"&amp;'管线现金流'!AK6690&amp;"|"&amp;'管线现金流'!I6691&amp;"|"&amp;'管线现金流'!AK6691&amp;"|"&amp;'管线现金流'!I6692&amp;"|"&amp;'管线现金流'!AK6692&amp;"|"&amp;'管线现金流'!I6693&amp;"|"&amp;'管线现金流'!AK6693&amp;"|"&amp;'管线现金流'!I6694&amp;"|"&amp;'管线现金流'!AK6694&amp;"|"&amp;'管线现金流'!I6695&amp;"|"&amp;'管线现金流'!AK6695&amp;"|"&amp;'管线现金流'!I6696&amp;"|"&amp;'管线现金流'!AK6696&amp;"|"&amp;'管线现金流'!I6697&amp;"|"&amp;'管线现金流'!AK6697&amp;"|"&amp;'管线现金流'!I6698&amp;"|"&amp;'管线现金流'!AK6698&amp;"|"&amp;'管线现金流'!I6699&amp;"|"&amp;'管线现金流'!AK6699&amp;"|"&amp;'管线现金流'!I6700&amp;"|"&amp;'管线现金流'!AK6700&amp;"|"&amp;'管线现金流'!I6701&amp;"|"&amp;'管线现金流'!AK6701&amp;"|"&amp;'管线现金流'!I6702&amp;"|"&amp;'管线现金流'!AK6702&amp;"|"&amp;'管线现金流'!I6703&amp;"|"&amp;'管线现金流'!AK6703&amp;"|"&amp;'管线现金流'!I6704&amp;"|"&amp;'管线现金流'!AK6704&amp;"|"&amp;'管线现金流'!I6705&amp;"|"&amp;'管线现金流'!AK6705&amp;"|"&amp;'管线现金流'!I6706&amp;"|"&amp;'管线现金流'!AK6706&amp;"|"&amp;'管线现金流'!I6707&amp;"|"&amp;'管线现金流'!AK6707&amp;"|"&amp;'管线现金流'!I6708&amp;"|"&amp;'管线现金流'!AK6708&amp;"|"&amp;'管线现金流'!I6709&amp;"|"&amp;'管线现金流'!AK6709&amp;"|"&amp;'管线现金流'!I6710&amp;"|"&amp;'管线现金流'!AK6710&amp;"|"&amp;'管线现金流'!I6711&amp;"|"&amp;'管线现金流'!AK6711&amp;"|"&amp;'管线现金流'!I6712&amp;"|"&amp;'管线现金流'!AK6712&amp;"|"&amp;'管线现金流'!I6713&amp;"|"&amp;'管线现金流'!AK6713&amp;"|"&amp;'管线现金流'!I6714&amp;"|"&amp;'管线现金流'!AK6714&amp;"|"&amp;'管线现金流'!I6715&amp;"|"&amp;'管线现金流'!AK6715&amp;"|"&amp;'管线现金流'!I6716&amp;"|"&amp;'管线现金流'!AK6716&amp;"|"&amp;'管线现金流'!I6717&amp;"|"&amp;'管线现金流'!AK6717&amp;"|"&amp;'管线现金流'!I6718&amp;"|"&amp;'管线现金流'!AK6718&amp;"|"&amp;'管线现金流'!I6719&amp;"|"&amp;'管线现金流'!AK6719&amp;"|"&amp;'管线现金流'!I6720&amp;"|"&amp;'管线现金流'!AK6720&amp;"|"&amp;'管线现金流'!I6721&amp;"|"&amp;'管线现金流'!AK6721&amp;"|"&amp;'管线现金流'!I6722&amp;"|"&amp;'管线现金流'!AK6722&amp;"|"&amp;'管线现金流'!I6723&amp;"|"&amp;'管线现金流'!AK6723&amp;"|"&amp;'管线现金流'!I6724&amp;"|"&amp;'管线现金流'!AK6724&amp;"|"&amp;'管线现金流'!I6725&amp;"|"&amp;'管线现金流'!AK6725&amp;"|"&amp;'管线现金流'!I6726&amp;"|"&amp;'管线现金流'!AK6726&amp;"|"&amp;'管线现金流'!I6727&amp;"|"&amp;'管线现金流'!AK6727&amp;"|"&amp;'管线现金流'!I6728&amp;"|"&amp;'管线现金流'!AK6728&amp;"|"&amp;'管线现金流'!I6729&amp;"|"&amp;'管线现金流'!AK6729&amp;"|"&amp;'管线现金流'!I6730&amp;"|"&amp;'管线现金流'!AK6730&amp;"|"&amp;'管线现金流'!I6731&amp;"|"&amp;'管线现金流'!AK6731&amp;"|"&amp;'管线现金流'!I6732&amp;"|"&amp;'管线现金流'!AK6732&amp;"|"&amp;'管线现金流'!I6733&amp;"|"&amp;'管线现金流'!AK6733&amp;"|"&amp;'管线现金流'!I6734&amp;"|"&amp;'管线现金流'!AK6734&amp;"|"&amp;'管线现金流'!I6735&amp;"|"&amp;'管线现金流'!AK6735&amp;"|"&amp;'管线现金流'!I6736&amp;"|"&amp;'管线现金流'!AK6736&amp;"|"&amp;'管线现金流'!I6737&amp;"|"&amp;'管线现金流'!AK6737&amp;"|"&amp;'管线现金流'!I6738&amp;"|"&amp;'管线现金流'!AK6738&amp;"|"&amp;'管线现金流'!I6739&amp;"|"&amp;'管线现金流'!AK6739&amp;"|"&amp;'管线现金流'!I6740&amp;"|"&amp;'管线现金流'!AK6740&amp;"|"&amp;'管线现金流'!I6741&amp;"|"&amp;'管线现金流'!AK6741&amp;"|"&amp;'管线现金流'!I6742&amp;"|"&amp;'管线现金流'!AK6742&amp;"|"&amp;'管线现金流'!I6743&amp;"|"&amp;'管线现金流'!AK6743&amp;"|"&amp;'管线现金流'!I6744&amp;"|"&amp;'管线现金流'!AK6744&amp;"|"&amp;'管线现金流'!I6745&amp;"|"&amp;'管线现金流'!AK6745&amp;"|"&amp;'管线现金流'!I6746&amp;"|"&amp;'管线现金流'!AK6746&amp;"|"&amp;'管线现金流'!I6747&amp;"|"&amp;'管线现金流'!AK6747&amp;"|"&amp;'管线现金流'!I6748&amp;"|"&amp;'管线现金流'!AK6748&amp;"|"&amp;'管线现金流'!I6749&amp;"|"&amp;'管线现金流'!AK6749&amp;"|"&amp;'管线现金流'!I6750&amp;"|"&amp;'管线现金流'!AK6750&amp;"|"&amp;'管线现金流'!I6751&amp;"|"&amp;'管线现金流'!AK6751&amp;"|"&amp;'管线现金流'!I6752&amp;"|"&amp;'管线现金流'!AK6752&amp;"|"&amp;'管线现金流'!I6753&amp;"|"&amp;'管线现金流'!AK6753&amp;"|"&amp;'管线现金流'!I6754&amp;"|"&amp;'管线现金流'!AK6754&amp;"|"&amp;'管线现金流'!I6755&amp;"|"&amp;'管线现金流'!AK6755&amp;"|"&amp;'管线现金流'!I6756&amp;"|"&amp;'管线现金流'!AK6756&amp;"|"&amp;'管线现金流'!I6757&amp;"|"&amp;'管线现金流'!AK6757&amp;"|"&amp;'管线现金流'!I6758&amp;"|"&amp;'管线现金流'!AK6758&amp;"|"&amp;'管线现金流'!I6759&amp;"|"&amp;'管线现金流'!AK6759&amp;"|"&amp;'管线现金流'!I6760&amp;"|"&amp;'管线现金流'!AK6760&amp;"|"&amp;'管线现金流'!I6761&amp;"|"&amp;'管线现金流'!AK6761&amp;"|"&amp;'管线现金流'!I6762&amp;"|"&amp;'管线现金流'!AK6762&amp;"|"&amp;'管线现金流'!I6763&amp;"|"&amp;'管线现金流'!AK6763&amp;"|"&amp;'管线现金流'!I6764&amp;"|"&amp;'管线现金流'!AK6764&amp;"|"&amp;'管线现金流'!I6765&amp;"|"&amp;'管线现金流'!AK6765&amp;"|"&amp;'管线现金流'!I6766&amp;"|"&amp;'管线现金流'!AK6766&amp;"|"&amp;'管线现金流'!I6767&amp;"|"&amp;'管线现金流'!AK6767&amp;"|"&amp;'管线现金流'!I6768&amp;"|"&amp;'管线现金流'!AK6768&amp;"|"&amp;'管线现金流'!I6769&amp;"|"&amp;'管线现金流'!AK6769&amp;"|"&amp;'管线现金流'!I6770&amp;"|"&amp;'管线现金流'!AK6770&amp;"|"&amp;'管线现金流'!I6771&amp;"|"&amp;'管线现金流'!AK6771&amp;"|"&amp;'管线现金流'!I6772&amp;"|"&amp;'管线现金流'!AK6772&amp;"|"&amp;'管线现金流'!I6773&amp;"|"&amp;'管线现金流'!AK6773&amp;"|"&amp;'管线现金流'!I6774&amp;"|"&amp;'管线现金流'!AK6774&amp;"|"&amp;'管线现金流'!I6775&amp;"|"&amp;'管线现金流'!AK6775&amp;"|"&amp;'管线现金流'!I6776&amp;"|"&amp;'管线现金流'!AK6776&amp;"|"&amp;'管线现金流'!I6777&amp;"|"&amp;'管线现金流'!AK6777&amp;"|"&amp;'管线现金流'!I6778&amp;"|"&amp;'管线现金流'!AK6778&amp;"|"&amp;'管线现金流'!I6779&amp;"|"&amp;'管线现金流'!AK6779&amp;"|"&amp;'管线现金流'!I6780&amp;"|"&amp;'管线现金流'!AK6780&amp;"|"&amp;'管线现金流'!I6781&amp;"|"&amp;'管线现金流'!AK6781&amp;"|"&amp;'管线现金流'!I6782&amp;"|"&amp;'管线现金流'!AK6782&amp;"|"&amp;'管线现金流'!I6783&amp;"|"&amp;'管线现金流'!AK6783&amp;"|"&amp;'管线现金流'!I6784&amp;"|"&amp;'管线现金流'!AK6784&amp;"|"&amp;'管线现金流'!I6785&amp;"|"&amp;'管线现金流'!AK6785&amp;"|"&amp;'管线现金流'!I6786&amp;"|"&amp;'管线现金流'!AK6786&amp;"|"&amp;'管线现金流'!I6787&amp;"|"&amp;'管线现金流'!AK6787&amp;"|"&amp;'管线现金流'!I6788&amp;"|"&amp;'管线现金流'!AK6788&amp;"|"&amp;'管线现金流'!I6789&amp;"|"&amp;'管线现金流'!AK6789&amp;"|"&amp;'管线现金流'!I6790&amp;"|"&amp;'管线现金流'!AK6790&amp;"|"&amp;'管线现金流'!I6791&amp;"|"&amp;'管线现金流'!AK6791&amp;"|"&amp;'管线现金流'!I6792&amp;"|"&amp;'管线现金流'!AK6792&amp;"|"&amp;'管线现金流'!I6793&amp;"|"&amp;'管线现金流'!AK6793&amp;"|"&amp;'管线现金流'!I6794&amp;"|"&amp;'管线现金流'!AK6794&amp;"|"&amp;'管线现金流'!I6795&amp;"|"&amp;'管线现金流'!AK6795&amp;"|"&amp;'管线现金流'!I6796&amp;"|"&amp;'管线现金流'!AK6796&amp;"|"&amp;'管线现金流'!I6797&amp;"|"&amp;'管线现金流'!AK6797&amp;"|"&amp;'管线现金流'!I6798&amp;"|"&amp;'管线现金流'!AK6798&amp;"|"&amp;'管线现金流'!I6799&amp;"|"&amp;'管线现金流'!AK6799&amp;"|"&amp;'管线现金流'!I6800&amp;"|"&amp;'管线现金流'!AK6800&amp;"|"&amp;'管线现金流'!I6801&amp;"|"&amp;'管线现金流'!AK6801&amp;"|"&amp;'管线现金流'!I6802&amp;"|"&amp;'管线现金流'!AK6802&amp;"|"&amp;'管线现金流'!I6803&amp;"|"&amp;'管线现金流'!AK6803&amp;"|"&amp;'管线现金流'!I6804&amp;"|"&amp;'管线现金流'!AK6804&amp;"|"&amp;'管线现金流'!I6805&amp;"|"&amp;'管线现金流'!AK6805&amp;"|"&amp;'管线现金流'!I6806&amp;"|"&amp;'管线现金流'!AK6806&amp;"|"&amp;'管线现金流'!I6807&amp;"|"&amp;'管线现金流'!AK6807&amp;"|"&amp;'管线现金流'!I6808&amp;"|"&amp;'管线现金流'!AK6808&amp;"|"&amp;'管线现金流'!I6809&amp;"|"&amp;'管线现金流'!AK6809&amp;"|"&amp;'管线现金流'!I6810&amp;"|"&amp;'管线现金流'!AK6810&amp;"|"&amp;'管线现金流'!I6811&amp;"|"&amp;'管线现金流'!AK6811&amp;"|"&amp;'管线现金流'!I6812&amp;"|"&amp;'管线现金流'!AK6812&amp;"|"&amp;'管线现金流'!I6813&amp;"|"&amp;'管线现金流'!AK6813&amp;"|"&amp;'管线现金流'!I6814&amp;"|"&amp;'管线现金流'!AK6814&amp;"|"&amp;'管线现金流'!I6815&amp;"|"&amp;'管线现金流'!AK6815&amp;"|"&amp;'管线现金流'!I6816&amp;"|"&amp;'管线现金流'!AK6816&amp;"|"&amp;'管线现金流'!I6817&amp;"|"&amp;'管线现金流'!AK6817&amp;"|"&amp;'管线现金流'!I6818&amp;"|"&amp;'管线现金流'!AK6818&amp;"|"&amp;'管线现金流'!I6819&amp;"|"&amp;'管线现金流'!AK6819&amp;"|"&amp;'管线现金流'!I6820&amp;"|"&amp;'管线现金流'!AK6820&amp;"|"&amp;'管线现金流'!I6821&amp;"|"&amp;'管线现金流'!AK6821&amp;"|"&amp;'管线现金流'!I6822&amp;"|"&amp;'管线现金流'!AK6822&amp;"|"&amp;'管线现金流'!I6823&amp;"|"&amp;'管线现金流'!AK6823&amp;"|"&amp;'管线现金流'!I6824&amp;"|"&amp;'管线现金流'!AK6824&amp;"|"&amp;'管线现金流'!I6825&amp;"|"&amp;'管线现金流'!AK6825&amp;"|"&amp;'管线现金流'!I6826&amp;"|"&amp;'管线现金流'!AK6826&amp;"|"&amp;'管线现金流'!I6827&amp;"|"&amp;'管线现金流'!AK6827&amp;"|"&amp;'管线现金流'!I6828&amp;"|"&amp;'管线现金流'!AK6828&amp;"|"&amp;'管线现金流'!I6829&amp;"|"&amp;'管线现金流'!AK6829&amp;"|"&amp;'管线现金流'!I6830&amp;"|"&amp;'管线现金流'!AK6830&amp;"|"&amp;'管线现金流'!I6831&amp;"|"&amp;'管线现金流'!AK6831&amp;"|"&amp;'管线现金流'!I6832&amp;"|"&amp;'管线现金流'!AK6832&amp;"|"&amp;'管线现金流'!I6833&amp;"|"&amp;'管线现金流'!AK6833&amp;"|"&amp;'管线现金流'!I6834&amp;"|"&amp;'管线现金流'!AK6834&amp;"|"&amp;'管线现金流'!I6835&amp;"|"&amp;'管线现金流'!AK6835&amp;"|"&amp;'管线现金流'!I6836&amp;"|"&amp;'管线现金流'!AK6836&amp;"|"&amp;'管线现金流'!I6837&amp;"|"&amp;'管线现金流'!AK6837&amp;"|"&amp;'管线现金流'!I6838&amp;"|"&amp;'管线现金流'!AK6838&amp;"|"&amp;'管线现金流'!I6839&amp;"|"&amp;'管线现金流'!AK6839&amp;"|"&amp;'管线现金流'!I6840&amp;"|"&amp;'管线现金流'!AK6840&amp;"|"&amp;'管线现金流'!I6841&amp;"|"&amp;'管线现金流'!AK6841&amp;"|"&amp;'管线现金流'!I6842&amp;"|"&amp;'管线现金流'!AK6842&amp;"|"&amp;'管线现金流'!I6843&amp;"|"&amp;'管线现金流'!AK6843&amp;"|"&amp;'管线现金流'!I6844&amp;"|"&amp;'管线现金流'!AK6844&amp;"|"&amp;'管线现金流'!I6845&amp;"|"&amp;'管线现金流'!AK6845&amp;"|"&amp;'管线现金流'!I6846&amp;"|"&amp;'管线现金流'!AK6846&amp;"|"&amp;'管线现金流'!I6847&amp;"|"&amp;'管线现金流'!AK6847&amp;"|"&amp;'管线现金流'!I6848&amp;"|"&amp;'管线现金流'!AK6848&amp;"|"&amp;'管线现金流'!I6849&amp;"|"&amp;'管线现金流'!AK6849&amp;"|"&amp;'管线现金流'!I6850&amp;"|"&amp;'管线现金流'!AK6850&amp;"|"&amp;'管线现金流'!I6851&amp;"|"&amp;'管线现金流'!AK6851&amp;"|"&amp;'管线现金流'!I6852&amp;"|"&amp;'管线现金流'!AK6852&amp;"|"&amp;'管线现金流'!I6853&amp;"|"&amp;'管线现金流'!AK6853&amp;"|"&amp;'管线现金流'!I6854&amp;"|"&amp;'管线现金流'!AK6854&amp;"|"&amp;'管线现金流'!I6855&amp;"|"&amp;'管线现金流'!AK6855&amp;"|"&amp;'管线现金流'!I6856&amp;"|"&amp;'管线现金流'!AK6856&amp;"|"&amp;'管线现金流'!V122&amp;"|"&amp;'管线现金流'!Y122&amp;"|"&amp;'管线现金流'!AP122&amp;"|"&amp;'管线现金流'!AS122&amp;"|"&amp;'管线现金流'!V123&amp;"|"&amp;'管线现金流'!Y123&amp;"|"&amp;'管线现金流'!AP123&amp;"|"&amp;'管线现金流'!AS123&amp;"|"&amp;'管线现金流'!V124&amp;"|"&amp;'管线现金流'!Y124&amp;"|"&amp;'管线现金流'!AP124&amp;"|"&amp;'管线现金流'!AS124&amp;"|"&amp;'管线现金流'!V125&amp;"|"&amp;'管线现金流'!Y125&amp;"|"&amp;'管线现金流'!AP125&amp;"|"&amp;'管线现金流'!AS125&amp;"|"&amp;'管线现金流'!V126&amp;"|"&amp;'管线现金流'!Y126&amp;"|"&amp;'管线现金流'!AP126&amp;"|"&amp;'管线现金流'!AS126&amp;"|"&amp;'管线现金流'!V127&amp;"|"&amp;'管线现金流'!Y127&amp;"|"&amp;'管线现金流'!AP127&amp;"|"&amp;'管线现金流'!AS127&amp;"|"&amp;'管线现金流'!V128&amp;"|"&amp;'管线现金流'!Y128&amp;"|"&amp;'管线现金流'!AP128&amp;"|"&amp;'管线现金流'!AS128&amp;"|"&amp;'管线现金流'!V129&amp;"|"&amp;'管线现金流'!Y129&amp;"|"&amp;'管线现金流'!AP129&amp;"|"&amp;'管线现金流'!AS129&amp;"|"&amp;'管线现金流'!V130&amp;"|"&amp;'管线现金流'!Y130&amp;"|"&amp;'管线现金流'!AP130&amp;"|"&amp;'管线现金流'!AS130&amp;"|"&amp;'管线现金流'!V131&amp;"|"&amp;'管线现金流'!Y131&amp;"|"&amp;'管线现金流'!AP131&amp;"|"&amp;'管线现金流'!AS131&amp;"|"&amp;'许可受让方假设'!D17&amp;"|"&amp;'许可受让方假设'!E17&amp;"|"&amp;'许可受让方假设'!F17&amp;"|"&amp;'许可受让方假设'!G17&amp;"|"&amp;'许可受让方假设'!H17&amp;"|"&amp;'许可受让方假设'!I17&amp;"|"&amp;'许可受让方假设'!J17&amp;"|"&amp;'许可受让方假设'!K17&amp;"|"&amp;'许可受让方现金流'!P45&amp;"|"&amp;'许可受让方现金流'!P46&amp;"|"&amp;'许可受让方现金流'!P47&amp;"|"&amp;'许可受让方现金流'!P48&amp;"|"&amp;'许可受让方现金流'!P49&amp;"|"&amp;'许可受让方现金流'!P50&amp;"|"&amp;'许可受让方现金流'!P51&amp;"|"&amp;'许可受让方现金流'!P52&amp;"|"&amp;'许可受让方现金流'!P53&amp;"|"&amp;'许可受让方现金流'!P54&amp;"|"&amp;'许可受让方现金流'!P55&amp;"|"&amp;'许可受让方现金流'!P56&amp;"|"&amp;'许可受让方现金流'!P57&amp;"|"&amp;'许可受让方现金流'!P58&amp;"|"&amp;'许可受让方现金流'!P59&amp;"|"&amp;'许可受让方现金流'!P60&amp;"|"&amp;'许可受让方现金流'!P61&amp;"|"&amp;'许可受让方现金流'!P62&amp;"|"&amp;'许可受让方现金流'!P63</x:f>
        <x:v>1|2.8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|0.13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</x:row>
    <x:row r="615" ht="23" customHeight="1">
      <x:c r="A615" s="11" t="str">
        <x:v>09995.HK</x:v>
      </x:c>
      <x:c r="B615" s="11" t="str">
        <x:v>荣昌生物</x:v>
      </x:c>
      <x:c r="C615" s="11" t="str">
        <x:v>一年</x:v>
      </x:c>
      <x:c r="D615" s="11" t="str">
        <x:v>乐观</x:v>
      </x:c>
      <x:c r="E615" s="11" t="n">
        <x:v>70.4</x:v>
      </x:c>
      <x:c r="F615" s="11" t="n">
        <x:v>259.6136422605751</x:v>
      </x:c>
      <x:c r="G615" s="11" t="n">
        <x:v>0</x:v>
      </x:c>
      <x:c r="H615" s="25" t="n">
        <x:v>2.687693782110441</x:v>
      </x:c>
      <x:c r="I615" s="25" t="n">
        <x:v>2.687693782110441</x:v>
      </x:c>
      <x:c r="J615" s="25" t="str"/>
      <x:c r="K615" s="11" t="n">
        <x:v>0</x:v>
      </x:c>
      <x:c r="L615" s="11" t="n">
        <x:v>0</x:v>
      </x:c>
      <x:c r="M615" s="11" t="n">
        <x:v>1.1</x:v>
      </x:c>
      <x:c r="N615" s="11" t="n">
        <x:v>0</x:v>
      </x:c>
      <x:c r="O615" s="11" t="n">
        <x:v>0</x:v>
      </x:c>
      <x:c r="P615" s="11" t="n">
        <x:v>0</x:v>
      </x:c>
      <x:c r="Q615" s="11" t="n">
        <x:v>0.572</x:v>
      </x:c>
      <x:c r="R615" s="11" t="str">
        <x:v>remegen-v2-finite-assets-Vor-residual-return-aligned-score</x:v>
      </x:c>
      <x:c r="S615" s="11" t="str">
        <x:v>2026-10-10</x:v>
      </x:c>
      <x:c r="T615" s="11" t="str">
        <x:f>IF(AND(SUM(IF(K615='假设'!E818,0,1),IF(L615='假设'!F818,0,1),IF(M615='假设'!G818,0,1),IF(N615='假设'!H818,0,1),IF(O615='假设'!I818,0,1),IF(P615='假设'!J818,0,1),IF(Q615='假设'!K818,0,1))=0,U615=V615),"已刷新","待刷新")</x:f>
        <x:v>已刷新</x:v>
      </x:c>
      <x:c r="U615" t="str">
        <x:v>1|3.8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0.5|0.116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  <x:c r="V615" t="str">
        <x:f>'假设'!U818&amp;"|"&amp;'假设'!N818&amp;"|"&amp;'假设'!Q818&amp;"|"&amp;'管线假设'!E1430&amp;"|"&amp;'管线假设'!F1430&amp;"|"&amp;'管线假设'!G1430&amp;"|"&amp;'管线假设'!H1430&amp;"|"&amp;'管线假设'!I1430&amp;"|"&amp;'管线假设'!E1434&amp;"|"&amp;'管线假设'!F1434&amp;"|"&amp;'管线假设'!G1434&amp;"|"&amp;'管线假设'!H1434&amp;"|"&amp;'管线假设'!I1434&amp;"|"&amp;'管线假设'!E1438&amp;"|"&amp;'管线假设'!F1438&amp;"|"&amp;'管线假设'!G1438&amp;"|"&amp;'管线假设'!H1438&amp;"|"&amp;'管线假设'!I1438&amp;"|"&amp;'管线假设'!E1442&amp;"|"&amp;'管线假设'!F1442&amp;"|"&amp;'管线假设'!G1442&amp;"|"&amp;'管线假设'!H1442&amp;"|"&amp;'管线假设'!I1442&amp;"|"&amp;'管线假设'!E1446&amp;"|"&amp;'管线假设'!F1446&amp;"|"&amp;'管线假设'!G1446&amp;"|"&amp;'管线假设'!H1446&amp;"|"&amp;'管线假设'!I1446&amp;"|"&amp;'管线假设'!E1450&amp;"|"&amp;'管线假设'!F1450&amp;"|"&amp;'管线假设'!G1450&amp;"|"&amp;'管线假设'!H1450&amp;"|"&amp;'管线假设'!I1450&amp;"|"&amp;'管线假设'!E1454&amp;"|"&amp;'管线假设'!F1454&amp;"|"&amp;'管线假设'!G1454&amp;"|"&amp;'管线假设'!H1454&amp;"|"&amp;'管线假设'!I1454&amp;"|"&amp;'管线假设'!E1458&amp;"|"&amp;'管线假设'!F1458&amp;"|"&amp;'管线假设'!G1458&amp;"|"&amp;'管线假设'!H1458&amp;"|"&amp;'管线假设'!I1458&amp;"|"&amp;'管线假设'!E1462&amp;"|"&amp;'管线假设'!F1462&amp;"|"&amp;'管线假设'!G1462&amp;"|"&amp;'管线假设'!H1462&amp;"|"&amp;'管线假设'!I1462&amp;"|"&amp;'管线假设'!E1466&amp;"|"&amp;'管线假设'!F1466&amp;"|"&amp;'管线假设'!G1466&amp;"|"&amp;'管线假设'!H1466&amp;"|"&amp;'管线假设'!I1466&amp;"|"&amp;'管线现金流'!J6667&amp;"|"&amp;'管线现金流'!AL6667&amp;"|"&amp;'管线现金流'!J6668&amp;"|"&amp;'管线现金流'!AL6668&amp;"|"&amp;'管线现金流'!J6669&amp;"|"&amp;'管线现金流'!AL6669&amp;"|"&amp;'管线现金流'!J6670&amp;"|"&amp;'管线现金流'!AL6670&amp;"|"&amp;'管线现金流'!J6671&amp;"|"&amp;'管线现金流'!AL6671&amp;"|"&amp;'管线现金流'!J6672&amp;"|"&amp;'管线现金流'!AL6672&amp;"|"&amp;'管线现金流'!J6673&amp;"|"&amp;'管线现金流'!AL6673&amp;"|"&amp;'管线现金流'!J6674&amp;"|"&amp;'管线现金流'!AL6674&amp;"|"&amp;'管线现金流'!J6675&amp;"|"&amp;'管线现金流'!AL6675&amp;"|"&amp;'管线现金流'!J6676&amp;"|"&amp;'管线现金流'!AL6676&amp;"|"&amp;'管线现金流'!J6677&amp;"|"&amp;'管线现金流'!AL6677&amp;"|"&amp;'管线现金流'!J6678&amp;"|"&amp;'管线现金流'!AL6678&amp;"|"&amp;'管线现金流'!J6679&amp;"|"&amp;'管线现金流'!AL6679&amp;"|"&amp;'管线现金流'!J6680&amp;"|"&amp;'管线现金流'!AL6680&amp;"|"&amp;'管线现金流'!J6681&amp;"|"&amp;'管线现金流'!AL6681&amp;"|"&amp;'管线现金流'!J6682&amp;"|"&amp;'管线现金流'!AL6682&amp;"|"&amp;'管线现金流'!J6683&amp;"|"&amp;'管线现金流'!AL6683&amp;"|"&amp;'管线现金流'!J6684&amp;"|"&amp;'管线现金流'!AL6684&amp;"|"&amp;'管线现金流'!J6685&amp;"|"&amp;'管线现金流'!AL6685&amp;"|"&amp;'管线现金流'!J6686&amp;"|"&amp;'管线现金流'!AL6686&amp;"|"&amp;'管线现金流'!J6687&amp;"|"&amp;'管线现金流'!AL6687&amp;"|"&amp;'管线现金流'!J6688&amp;"|"&amp;'管线现金流'!AL6688&amp;"|"&amp;'管线现金流'!J6689&amp;"|"&amp;'管线现金流'!AL6689&amp;"|"&amp;'管线现金流'!J6690&amp;"|"&amp;'管线现金流'!AL6690&amp;"|"&amp;'管线现金流'!J6691&amp;"|"&amp;'管线现金流'!AL6691&amp;"|"&amp;'管线现金流'!J6692&amp;"|"&amp;'管线现金流'!AL6692&amp;"|"&amp;'管线现金流'!J6693&amp;"|"&amp;'管线现金流'!AL6693&amp;"|"&amp;'管线现金流'!J6694&amp;"|"&amp;'管线现金流'!AL6694&amp;"|"&amp;'管线现金流'!J6695&amp;"|"&amp;'管线现金流'!AL6695&amp;"|"&amp;'管线现金流'!J6696&amp;"|"&amp;'管线现金流'!AL6696&amp;"|"&amp;'管线现金流'!J6697&amp;"|"&amp;'管线现金流'!AL6697&amp;"|"&amp;'管线现金流'!J6698&amp;"|"&amp;'管线现金流'!AL6698&amp;"|"&amp;'管线现金流'!J6699&amp;"|"&amp;'管线现金流'!AL6699&amp;"|"&amp;'管线现金流'!J6700&amp;"|"&amp;'管线现金流'!AL6700&amp;"|"&amp;'管线现金流'!J6701&amp;"|"&amp;'管线现金流'!AL6701&amp;"|"&amp;'管线现金流'!J6702&amp;"|"&amp;'管线现金流'!AL6702&amp;"|"&amp;'管线现金流'!J6703&amp;"|"&amp;'管线现金流'!AL6703&amp;"|"&amp;'管线现金流'!J6704&amp;"|"&amp;'管线现金流'!AL6704&amp;"|"&amp;'管线现金流'!J6705&amp;"|"&amp;'管线现金流'!AL6705&amp;"|"&amp;'管线现金流'!J6706&amp;"|"&amp;'管线现金流'!AL6706&amp;"|"&amp;'管线现金流'!J6707&amp;"|"&amp;'管线现金流'!AL6707&amp;"|"&amp;'管线现金流'!J6708&amp;"|"&amp;'管线现金流'!AL6708&amp;"|"&amp;'管线现金流'!J6709&amp;"|"&amp;'管线现金流'!AL6709&amp;"|"&amp;'管线现金流'!J6710&amp;"|"&amp;'管线现金流'!AL6710&amp;"|"&amp;'管线现金流'!J6711&amp;"|"&amp;'管线现金流'!AL6711&amp;"|"&amp;'管线现金流'!J6712&amp;"|"&amp;'管线现金流'!AL6712&amp;"|"&amp;'管线现金流'!J6713&amp;"|"&amp;'管线现金流'!AL6713&amp;"|"&amp;'管线现金流'!J6714&amp;"|"&amp;'管线现金流'!AL6714&amp;"|"&amp;'管线现金流'!J6715&amp;"|"&amp;'管线现金流'!AL6715&amp;"|"&amp;'管线现金流'!J6716&amp;"|"&amp;'管线现金流'!AL6716&amp;"|"&amp;'管线现金流'!J6717&amp;"|"&amp;'管线现金流'!AL6717&amp;"|"&amp;'管线现金流'!J6718&amp;"|"&amp;'管线现金流'!AL6718&amp;"|"&amp;'管线现金流'!J6719&amp;"|"&amp;'管线现金流'!AL6719&amp;"|"&amp;'管线现金流'!J6720&amp;"|"&amp;'管线现金流'!AL6720&amp;"|"&amp;'管线现金流'!J6721&amp;"|"&amp;'管线现金流'!AL6721&amp;"|"&amp;'管线现金流'!J6722&amp;"|"&amp;'管线现金流'!AL6722&amp;"|"&amp;'管线现金流'!J6723&amp;"|"&amp;'管线现金流'!AL6723&amp;"|"&amp;'管线现金流'!J6724&amp;"|"&amp;'管线现金流'!AL6724&amp;"|"&amp;'管线现金流'!J6725&amp;"|"&amp;'管线现金流'!AL6725&amp;"|"&amp;'管线现金流'!J6726&amp;"|"&amp;'管线现金流'!AL6726&amp;"|"&amp;'管线现金流'!J6727&amp;"|"&amp;'管线现金流'!AL6727&amp;"|"&amp;'管线现金流'!J6728&amp;"|"&amp;'管线现金流'!AL6728&amp;"|"&amp;'管线现金流'!J6729&amp;"|"&amp;'管线现金流'!AL6729&amp;"|"&amp;'管线现金流'!J6730&amp;"|"&amp;'管线现金流'!AL6730&amp;"|"&amp;'管线现金流'!J6731&amp;"|"&amp;'管线现金流'!AL6731&amp;"|"&amp;'管线现金流'!J6732&amp;"|"&amp;'管线现金流'!AL6732&amp;"|"&amp;'管线现金流'!J6733&amp;"|"&amp;'管线现金流'!AL6733&amp;"|"&amp;'管线现金流'!J6734&amp;"|"&amp;'管线现金流'!AL6734&amp;"|"&amp;'管线现金流'!J6735&amp;"|"&amp;'管线现金流'!AL6735&amp;"|"&amp;'管线现金流'!J6736&amp;"|"&amp;'管线现金流'!AL6736&amp;"|"&amp;'管线现金流'!J6737&amp;"|"&amp;'管线现金流'!AL6737&amp;"|"&amp;'管线现金流'!J6738&amp;"|"&amp;'管线现金流'!AL6738&amp;"|"&amp;'管线现金流'!J6739&amp;"|"&amp;'管线现金流'!AL6739&amp;"|"&amp;'管线现金流'!J6740&amp;"|"&amp;'管线现金流'!AL6740&amp;"|"&amp;'管线现金流'!J6741&amp;"|"&amp;'管线现金流'!AL6741&amp;"|"&amp;'管线现金流'!J6742&amp;"|"&amp;'管线现金流'!AL6742&amp;"|"&amp;'管线现金流'!J6743&amp;"|"&amp;'管线现金流'!AL6743&amp;"|"&amp;'管线现金流'!J6744&amp;"|"&amp;'管线现金流'!AL6744&amp;"|"&amp;'管线现金流'!J6745&amp;"|"&amp;'管线现金流'!AL6745&amp;"|"&amp;'管线现金流'!J6746&amp;"|"&amp;'管线现金流'!AL6746&amp;"|"&amp;'管线现金流'!J6747&amp;"|"&amp;'管线现金流'!AL6747&amp;"|"&amp;'管线现金流'!J6748&amp;"|"&amp;'管线现金流'!AL6748&amp;"|"&amp;'管线现金流'!J6749&amp;"|"&amp;'管线现金流'!AL6749&amp;"|"&amp;'管线现金流'!J6750&amp;"|"&amp;'管线现金流'!AL6750&amp;"|"&amp;'管线现金流'!J6751&amp;"|"&amp;'管线现金流'!AL6751&amp;"|"&amp;'管线现金流'!J6752&amp;"|"&amp;'管线现金流'!AL6752&amp;"|"&amp;'管线现金流'!J6753&amp;"|"&amp;'管线现金流'!AL6753&amp;"|"&amp;'管线现金流'!J6754&amp;"|"&amp;'管线现金流'!AL6754&amp;"|"&amp;'管线现金流'!J6755&amp;"|"&amp;'管线现金流'!AL6755&amp;"|"&amp;'管线现金流'!J6756&amp;"|"&amp;'管线现金流'!AL6756&amp;"|"&amp;'管线现金流'!J6757&amp;"|"&amp;'管线现金流'!AL6757&amp;"|"&amp;'管线现金流'!J6758&amp;"|"&amp;'管线现金流'!AL6758&amp;"|"&amp;'管线现金流'!J6759&amp;"|"&amp;'管线现金流'!AL6759&amp;"|"&amp;'管线现金流'!J6760&amp;"|"&amp;'管线现金流'!AL6760&amp;"|"&amp;'管线现金流'!J6761&amp;"|"&amp;'管线现金流'!AL6761&amp;"|"&amp;'管线现金流'!J6762&amp;"|"&amp;'管线现金流'!AL6762&amp;"|"&amp;'管线现金流'!J6763&amp;"|"&amp;'管线现金流'!AL6763&amp;"|"&amp;'管线现金流'!J6764&amp;"|"&amp;'管线现金流'!AL6764&amp;"|"&amp;'管线现金流'!J6765&amp;"|"&amp;'管线现金流'!AL6765&amp;"|"&amp;'管线现金流'!J6766&amp;"|"&amp;'管线现金流'!AL6766&amp;"|"&amp;'管线现金流'!J6767&amp;"|"&amp;'管线现金流'!AL6767&amp;"|"&amp;'管线现金流'!J6768&amp;"|"&amp;'管线现金流'!AL6768&amp;"|"&amp;'管线现金流'!J6769&amp;"|"&amp;'管线现金流'!AL6769&amp;"|"&amp;'管线现金流'!J6770&amp;"|"&amp;'管线现金流'!AL6770&amp;"|"&amp;'管线现金流'!J6771&amp;"|"&amp;'管线现金流'!AL6771&amp;"|"&amp;'管线现金流'!J6772&amp;"|"&amp;'管线现金流'!AL6772&amp;"|"&amp;'管线现金流'!J6773&amp;"|"&amp;'管线现金流'!AL6773&amp;"|"&amp;'管线现金流'!J6774&amp;"|"&amp;'管线现金流'!AL6774&amp;"|"&amp;'管线现金流'!J6775&amp;"|"&amp;'管线现金流'!AL6775&amp;"|"&amp;'管线现金流'!J6776&amp;"|"&amp;'管线现金流'!AL6776&amp;"|"&amp;'管线现金流'!J6777&amp;"|"&amp;'管线现金流'!AL6777&amp;"|"&amp;'管线现金流'!J6778&amp;"|"&amp;'管线现金流'!AL6778&amp;"|"&amp;'管线现金流'!J6779&amp;"|"&amp;'管线现金流'!AL6779&amp;"|"&amp;'管线现金流'!J6780&amp;"|"&amp;'管线现金流'!AL6780&amp;"|"&amp;'管线现金流'!J6781&amp;"|"&amp;'管线现金流'!AL6781&amp;"|"&amp;'管线现金流'!J6782&amp;"|"&amp;'管线现金流'!AL6782&amp;"|"&amp;'管线现金流'!J6783&amp;"|"&amp;'管线现金流'!AL6783&amp;"|"&amp;'管线现金流'!J6784&amp;"|"&amp;'管线现金流'!AL6784&amp;"|"&amp;'管线现金流'!J6785&amp;"|"&amp;'管线现金流'!AL6785&amp;"|"&amp;'管线现金流'!J6786&amp;"|"&amp;'管线现金流'!AL6786&amp;"|"&amp;'管线现金流'!J6787&amp;"|"&amp;'管线现金流'!AL6787&amp;"|"&amp;'管线现金流'!J6788&amp;"|"&amp;'管线现金流'!AL6788&amp;"|"&amp;'管线现金流'!J6789&amp;"|"&amp;'管线现金流'!AL6789&amp;"|"&amp;'管线现金流'!J6790&amp;"|"&amp;'管线现金流'!AL6790&amp;"|"&amp;'管线现金流'!J6791&amp;"|"&amp;'管线现金流'!AL6791&amp;"|"&amp;'管线现金流'!J6792&amp;"|"&amp;'管线现金流'!AL6792&amp;"|"&amp;'管线现金流'!J6793&amp;"|"&amp;'管线现金流'!AL6793&amp;"|"&amp;'管线现金流'!J6794&amp;"|"&amp;'管线现金流'!AL6794&amp;"|"&amp;'管线现金流'!J6795&amp;"|"&amp;'管线现金流'!AL6795&amp;"|"&amp;'管线现金流'!J6796&amp;"|"&amp;'管线现金流'!AL6796&amp;"|"&amp;'管线现金流'!J6797&amp;"|"&amp;'管线现金流'!AL6797&amp;"|"&amp;'管线现金流'!J6798&amp;"|"&amp;'管线现金流'!AL6798&amp;"|"&amp;'管线现金流'!J6799&amp;"|"&amp;'管线现金流'!AL6799&amp;"|"&amp;'管线现金流'!J6800&amp;"|"&amp;'管线现金流'!AL6800&amp;"|"&amp;'管线现金流'!J6801&amp;"|"&amp;'管线现金流'!AL6801&amp;"|"&amp;'管线现金流'!J6802&amp;"|"&amp;'管线现金流'!AL6802&amp;"|"&amp;'管线现金流'!J6803&amp;"|"&amp;'管线现金流'!AL6803&amp;"|"&amp;'管线现金流'!J6804&amp;"|"&amp;'管线现金流'!AL6804&amp;"|"&amp;'管线现金流'!J6805&amp;"|"&amp;'管线现金流'!AL6805&amp;"|"&amp;'管线现金流'!J6806&amp;"|"&amp;'管线现金流'!AL6806&amp;"|"&amp;'管线现金流'!J6807&amp;"|"&amp;'管线现金流'!AL6807&amp;"|"&amp;'管线现金流'!J6808&amp;"|"&amp;'管线现金流'!AL6808&amp;"|"&amp;'管线现金流'!J6809&amp;"|"&amp;'管线现金流'!AL6809&amp;"|"&amp;'管线现金流'!J6810&amp;"|"&amp;'管线现金流'!AL6810&amp;"|"&amp;'管线现金流'!J6811&amp;"|"&amp;'管线现金流'!AL6811&amp;"|"&amp;'管线现金流'!J6812&amp;"|"&amp;'管线现金流'!AL6812&amp;"|"&amp;'管线现金流'!J6813&amp;"|"&amp;'管线现金流'!AL6813&amp;"|"&amp;'管线现金流'!J6814&amp;"|"&amp;'管线现金流'!AL6814&amp;"|"&amp;'管线现金流'!J6815&amp;"|"&amp;'管线现金流'!AL6815&amp;"|"&amp;'管线现金流'!J6816&amp;"|"&amp;'管线现金流'!AL6816&amp;"|"&amp;'管线现金流'!J6817&amp;"|"&amp;'管线现金流'!AL6817&amp;"|"&amp;'管线现金流'!J6818&amp;"|"&amp;'管线现金流'!AL6818&amp;"|"&amp;'管线现金流'!J6819&amp;"|"&amp;'管线现金流'!AL6819&amp;"|"&amp;'管线现金流'!J6820&amp;"|"&amp;'管线现金流'!AL6820&amp;"|"&amp;'管线现金流'!J6821&amp;"|"&amp;'管线现金流'!AL6821&amp;"|"&amp;'管线现金流'!J6822&amp;"|"&amp;'管线现金流'!AL6822&amp;"|"&amp;'管线现金流'!J6823&amp;"|"&amp;'管线现金流'!AL6823&amp;"|"&amp;'管线现金流'!J6824&amp;"|"&amp;'管线现金流'!AL6824&amp;"|"&amp;'管线现金流'!J6825&amp;"|"&amp;'管线现金流'!AL6825&amp;"|"&amp;'管线现金流'!J6826&amp;"|"&amp;'管线现金流'!AL6826&amp;"|"&amp;'管线现金流'!J6827&amp;"|"&amp;'管线现金流'!AL6827&amp;"|"&amp;'管线现金流'!J6828&amp;"|"&amp;'管线现金流'!AL6828&amp;"|"&amp;'管线现金流'!J6829&amp;"|"&amp;'管线现金流'!AL6829&amp;"|"&amp;'管线现金流'!J6830&amp;"|"&amp;'管线现金流'!AL6830&amp;"|"&amp;'管线现金流'!J6831&amp;"|"&amp;'管线现金流'!AL6831&amp;"|"&amp;'管线现金流'!J6832&amp;"|"&amp;'管线现金流'!AL6832&amp;"|"&amp;'管线现金流'!J6833&amp;"|"&amp;'管线现金流'!AL6833&amp;"|"&amp;'管线现金流'!J6834&amp;"|"&amp;'管线现金流'!AL6834&amp;"|"&amp;'管线现金流'!J6835&amp;"|"&amp;'管线现金流'!AL6835&amp;"|"&amp;'管线现金流'!J6836&amp;"|"&amp;'管线现金流'!AL6836&amp;"|"&amp;'管线现金流'!J6837&amp;"|"&amp;'管线现金流'!AL6837&amp;"|"&amp;'管线现金流'!J6838&amp;"|"&amp;'管线现金流'!AL6838&amp;"|"&amp;'管线现金流'!J6839&amp;"|"&amp;'管线现金流'!AL6839&amp;"|"&amp;'管线现金流'!J6840&amp;"|"&amp;'管线现金流'!AL6840&amp;"|"&amp;'管线现金流'!J6841&amp;"|"&amp;'管线现金流'!AL6841&amp;"|"&amp;'管线现金流'!J6842&amp;"|"&amp;'管线现金流'!AL6842&amp;"|"&amp;'管线现金流'!J6843&amp;"|"&amp;'管线现金流'!AL6843&amp;"|"&amp;'管线现金流'!J6844&amp;"|"&amp;'管线现金流'!AL6844&amp;"|"&amp;'管线现金流'!J6845&amp;"|"&amp;'管线现金流'!AL6845&amp;"|"&amp;'管线现金流'!J6846&amp;"|"&amp;'管线现金流'!AL6846&amp;"|"&amp;'管线现金流'!J6847&amp;"|"&amp;'管线现金流'!AL6847&amp;"|"&amp;'管线现金流'!J6848&amp;"|"&amp;'管线现金流'!AL6848&amp;"|"&amp;'管线现金流'!J6849&amp;"|"&amp;'管线现金流'!AL6849&amp;"|"&amp;'管线现金流'!J6850&amp;"|"&amp;'管线现金流'!AL6850&amp;"|"&amp;'管线现金流'!J6851&amp;"|"&amp;'管线现金流'!AL6851&amp;"|"&amp;'管线现金流'!J6852&amp;"|"&amp;'管线现金流'!AL6852&amp;"|"&amp;'管线现金流'!J6853&amp;"|"&amp;'管线现金流'!AL6853&amp;"|"&amp;'管线现金流'!J6854&amp;"|"&amp;'管线现金流'!AL6854&amp;"|"&amp;'管线现金流'!J6855&amp;"|"&amp;'管线现金流'!AL6855&amp;"|"&amp;'管线现金流'!J6856&amp;"|"&amp;'管线现金流'!AL6856&amp;"|"&amp;'管线现金流'!W122&amp;"|"&amp;'管线现金流'!Z122&amp;"|"&amp;'管线现金流'!AQ122&amp;"|"&amp;'管线现金流'!AT122&amp;"|"&amp;'管线现金流'!W123&amp;"|"&amp;'管线现金流'!Z123&amp;"|"&amp;'管线现金流'!AQ123&amp;"|"&amp;'管线现金流'!AT123&amp;"|"&amp;'管线现金流'!W124&amp;"|"&amp;'管线现金流'!Z124&amp;"|"&amp;'管线现金流'!AQ124&amp;"|"&amp;'管线现金流'!AT124&amp;"|"&amp;'管线现金流'!W125&amp;"|"&amp;'管线现金流'!Z125&amp;"|"&amp;'管线现金流'!AQ125&amp;"|"&amp;'管线现金流'!AT125&amp;"|"&amp;'管线现金流'!W126&amp;"|"&amp;'管线现金流'!Z126&amp;"|"&amp;'管线现金流'!AQ126&amp;"|"&amp;'管线现金流'!AT126&amp;"|"&amp;'管线现金流'!W127&amp;"|"&amp;'管线现金流'!Z127&amp;"|"&amp;'管线现金流'!AQ127&amp;"|"&amp;'管线现金流'!AT127&amp;"|"&amp;'管线现金流'!W128&amp;"|"&amp;'管线现金流'!Z128&amp;"|"&amp;'管线现金流'!AQ128&amp;"|"&amp;'管线现金流'!AT128&amp;"|"&amp;'管线现金流'!W129&amp;"|"&amp;'管线现金流'!Z129&amp;"|"&amp;'管线现金流'!AQ129&amp;"|"&amp;'管线现金流'!AT129&amp;"|"&amp;'管线现金流'!W130&amp;"|"&amp;'管线现金流'!Z130&amp;"|"&amp;'管线现金流'!AQ130&amp;"|"&amp;'管线现金流'!AT130&amp;"|"&amp;'管线现金流'!W131&amp;"|"&amp;'管线现金流'!Z131&amp;"|"&amp;'管线现金流'!AQ131&amp;"|"&amp;'管线现金流'!AT131&amp;"|"&amp;'许可受让方假设'!D18&amp;"|"&amp;'许可受让方假设'!E18&amp;"|"&amp;'许可受让方假设'!F18&amp;"|"&amp;'许可受让方假设'!G18&amp;"|"&amp;'许可受让方假设'!H18&amp;"|"&amp;'许可受让方假设'!I18&amp;"|"&amp;'许可受让方假设'!J18&amp;"|"&amp;'许可受让方假设'!K18&amp;"|"&amp;'许可受让方现金流'!Q45&amp;"|"&amp;'许可受让方现金流'!Q46&amp;"|"&amp;'许可受让方现金流'!Q47&amp;"|"&amp;'许可受让方现金流'!Q48&amp;"|"&amp;'许可受让方现金流'!Q49&amp;"|"&amp;'许可受让方现金流'!Q50&amp;"|"&amp;'许可受让方现金流'!Q51&amp;"|"&amp;'许可受让方现金流'!Q52&amp;"|"&amp;'许可受让方现金流'!Q53&amp;"|"&amp;'许可受让方现金流'!Q54&amp;"|"&amp;'许可受让方现金流'!Q55&amp;"|"&amp;'许可受让方现金流'!Q56&amp;"|"&amp;'许可受让方现金流'!Q57&amp;"|"&amp;'许可受让方现金流'!Q58&amp;"|"&amp;'许可受让方现金流'!Q59&amp;"|"&amp;'许可受让方现金流'!Q60&amp;"|"&amp;'许可受让方现金流'!Q61&amp;"|"&amp;'许可受让方现金流'!Q62&amp;"|"&amp;'许可受让方现金流'!Q63</x:f>
        <x:v>1|3.8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0.5|0.116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</x:row>
    <x:row r="616" ht="23" customHeight="1">
      <x:c r="A616" s="11" t="str">
        <x:v>09995.HK</x:v>
      </x:c>
      <x:c r="B616" s="11" t="str">
        <x:v>荣昌生物</x:v>
      </x:c>
      <x:c r="C616" s="11" t="str">
        <x:v>三年</x:v>
      </x:c>
      <x:c r="D616" s="11" t="str">
        <x:v>悲观</x:v>
      </x:c>
      <x:c r="E616" s="11" t="n">
        <x:v>70.4</x:v>
      </x:c>
      <x:c r="F616" s="11" t="n">
        <x:v>5.901905391099859</x:v>
      </x:c>
      <x:c r="G616" s="11" t="n">
        <x:v>0</x:v>
      </x:c>
      <x:c r="H616" s="25" t="n">
        <x:v>-0.9161661166036952</x:v>
      </x:c>
      <x:c r="I616" s="25" t="n">
        <x:v>-0.9161661166036952</x:v>
      </x:c>
      <x:c r="J616" s="25" t="n">
        <x:v>-0.5623369713060036</x:v>
      </x:c>
      <x:c r="K616" s="11" t="n">
        <x:v>0</x:v>
      </x:c>
      <x:c r="L616" s="11" t="n">
        <x:v>0</x:v>
      </x:c>
      <x:c r="M616" s="11" t="n">
        <x:v>1.1</x:v>
      </x:c>
      <x:c r="N616" s="11" t="n">
        <x:v>0</x:v>
      </x:c>
      <x:c r="O616" s="11" t="n">
        <x:v>0</x:v>
      </x:c>
      <x:c r="P616" s="11" t="n">
        <x:v>0</x:v>
      </x:c>
      <x:c r="Q616" s="11" t="n">
        <x:v>0.72</x:v>
      </x:c>
      <x:c r="R616" s="11" t="str">
        <x:v>remegen-v2-finite-assets-Vor-residual-return-aligned-score</x:v>
      </x:c>
      <x:c r="S616" s="11" t="str">
        <x:v>2026-10-10</x:v>
      </x:c>
      <x:c r="T616" s="11" t="str">
        <x:f>IF(AND(SUM(IF(K616='假设'!E820,0,1),IF(L616='假设'!F820,0,1),IF(M616='假设'!G820,0,1),IF(N616='假设'!H820,0,1),IF(O616='假设'!I820,0,1),IF(P616='假设'!J820,0,1),IF(Q616='假设'!K820,0,1))=0,U616=V616),"已刷新","待刷新")</x:f>
        <x:v>已刷新</x:v>
      </x:c>
      <x:c r="U616" t="str">
        <x:v>1|0.2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|0.22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  <x:c r="V616" t="str">
        <x:f>'假设'!U820&amp;"|"&amp;'假设'!N820&amp;"|"&amp;'假设'!Q820&amp;"|"&amp;'管线假设'!E1468&amp;"|"&amp;'管线假设'!F1468&amp;"|"&amp;'管线假设'!G1468&amp;"|"&amp;'管线假设'!H1468&amp;"|"&amp;'管线假设'!I1468&amp;"|"&amp;'管线假设'!E1472&amp;"|"&amp;'管线假设'!F1472&amp;"|"&amp;'管线假设'!G1472&amp;"|"&amp;'管线假设'!H1472&amp;"|"&amp;'管线假设'!I1472&amp;"|"&amp;'管线假设'!E1476&amp;"|"&amp;'管线假设'!F1476&amp;"|"&amp;'管线假设'!G1476&amp;"|"&amp;'管线假设'!H1476&amp;"|"&amp;'管线假设'!I1476&amp;"|"&amp;'管线假设'!E1480&amp;"|"&amp;'管线假设'!F1480&amp;"|"&amp;'管线假设'!G1480&amp;"|"&amp;'管线假设'!H1480&amp;"|"&amp;'管线假设'!I1480&amp;"|"&amp;'管线假设'!E1484&amp;"|"&amp;'管线假设'!F1484&amp;"|"&amp;'管线假设'!G1484&amp;"|"&amp;'管线假设'!H1484&amp;"|"&amp;'管线假设'!I1484&amp;"|"&amp;'管线假设'!E1488&amp;"|"&amp;'管线假设'!F1488&amp;"|"&amp;'管线假设'!G1488&amp;"|"&amp;'管线假设'!H1488&amp;"|"&amp;'管线假设'!I1488&amp;"|"&amp;'管线假设'!E1492&amp;"|"&amp;'管线假设'!F1492&amp;"|"&amp;'管线假设'!G1492&amp;"|"&amp;'管线假设'!H1492&amp;"|"&amp;'管线假设'!I1492&amp;"|"&amp;'管线假设'!E1496&amp;"|"&amp;'管线假设'!F1496&amp;"|"&amp;'管线假设'!G1496&amp;"|"&amp;'管线假设'!H1496&amp;"|"&amp;'管线假设'!I1496&amp;"|"&amp;'管线假设'!E1500&amp;"|"&amp;'管线假设'!F1500&amp;"|"&amp;'管线假设'!G1500&amp;"|"&amp;'管线假设'!H1500&amp;"|"&amp;'管线假设'!I1500&amp;"|"&amp;'管线假设'!E1504&amp;"|"&amp;'管线假设'!F1504&amp;"|"&amp;'管线假设'!G1504&amp;"|"&amp;'管线假设'!H1504&amp;"|"&amp;'管线假设'!I1504&amp;"|"&amp;'管线现金流'!H6857&amp;"|"&amp;'管线现金流'!AJ6857&amp;"|"&amp;'管线现金流'!H6858&amp;"|"&amp;'管线现金流'!AJ6858&amp;"|"&amp;'管线现金流'!H6859&amp;"|"&amp;'管线现金流'!AJ6859&amp;"|"&amp;'管线现金流'!H6860&amp;"|"&amp;'管线现金流'!AJ6860&amp;"|"&amp;'管线现金流'!H6861&amp;"|"&amp;'管线现金流'!AJ6861&amp;"|"&amp;'管线现金流'!H6862&amp;"|"&amp;'管线现金流'!AJ6862&amp;"|"&amp;'管线现金流'!H6863&amp;"|"&amp;'管线现金流'!AJ6863&amp;"|"&amp;'管线现金流'!H6864&amp;"|"&amp;'管线现金流'!AJ6864&amp;"|"&amp;'管线现金流'!H6865&amp;"|"&amp;'管线现金流'!AJ6865&amp;"|"&amp;'管线现金流'!H6866&amp;"|"&amp;'管线现金流'!AJ6866&amp;"|"&amp;'管线现金流'!H6867&amp;"|"&amp;'管线现金流'!AJ6867&amp;"|"&amp;'管线现金流'!H6868&amp;"|"&amp;'管线现金流'!AJ6868&amp;"|"&amp;'管线现金流'!H6869&amp;"|"&amp;'管线现金流'!AJ6869&amp;"|"&amp;'管线现金流'!H6870&amp;"|"&amp;'管线现金流'!AJ6870&amp;"|"&amp;'管线现金流'!H6871&amp;"|"&amp;'管线现金流'!AJ6871&amp;"|"&amp;'管线现金流'!H6872&amp;"|"&amp;'管线现金流'!AJ6872&amp;"|"&amp;'管线现金流'!H6873&amp;"|"&amp;'管线现金流'!AJ6873&amp;"|"&amp;'管线现金流'!H6874&amp;"|"&amp;'管线现金流'!AJ6874&amp;"|"&amp;'管线现金流'!H6875&amp;"|"&amp;'管线现金流'!AJ6875&amp;"|"&amp;'管线现金流'!H6876&amp;"|"&amp;'管线现金流'!AJ6876&amp;"|"&amp;'管线现金流'!H6877&amp;"|"&amp;'管线现金流'!AJ6877&amp;"|"&amp;'管线现金流'!H6878&amp;"|"&amp;'管线现金流'!AJ6878&amp;"|"&amp;'管线现金流'!H6879&amp;"|"&amp;'管线现金流'!AJ6879&amp;"|"&amp;'管线现金流'!H6880&amp;"|"&amp;'管线现金流'!AJ6880&amp;"|"&amp;'管线现金流'!H6881&amp;"|"&amp;'管线现金流'!AJ6881&amp;"|"&amp;'管线现金流'!H6882&amp;"|"&amp;'管线现金流'!AJ6882&amp;"|"&amp;'管线现金流'!H6883&amp;"|"&amp;'管线现金流'!AJ6883&amp;"|"&amp;'管线现金流'!H6884&amp;"|"&amp;'管线现金流'!AJ6884&amp;"|"&amp;'管线现金流'!H6885&amp;"|"&amp;'管线现金流'!AJ6885&amp;"|"&amp;'管线现金流'!H6886&amp;"|"&amp;'管线现金流'!AJ6886&amp;"|"&amp;'管线现金流'!H6887&amp;"|"&amp;'管线现金流'!AJ6887&amp;"|"&amp;'管线现金流'!H6888&amp;"|"&amp;'管线现金流'!AJ6888&amp;"|"&amp;'管线现金流'!H6889&amp;"|"&amp;'管线现金流'!AJ6889&amp;"|"&amp;'管线现金流'!H6890&amp;"|"&amp;'管线现金流'!AJ6890&amp;"|"&amp;'管线现金流'!H6891&amp;"|"&amp;'管线现金流'!AJ6891&amp;"|"&amp;'管线现金流'!H6892&amp;"|"&amp;'管线现金流'!AJ6892&amp;"|"&amp;'管线现金流'!H6893&amp;"|"&amp;'管线现金流'!AJ6893&amp;"|"&amp;'管线现金流'!H6894&amp;"|"&amp;'管线现金流'!AJ6894&amp;"|"&amp;'管线现金流'!H6895&amp;"|"&amp;'管线现金流'!AJ6895&amp;"|"&amp;'管线现金流'!H6896&amp;"|"&amp;'管线现金流'!AJ6896&amp;"|"&amp;'管线现金流'!H6897&amp;"|"&amp;'管线现金流'!AJ6897&amp;"|"&amp;'管线现金流'!H6898&amp;"|"&amp;'管线现金流'!AJ6898&amp;"|"&amp;'管线现金流'!H6899&amp;"|"&amp;'管线现金流'!AJ6899&amp;"|"&amp;'管线现金流'!H6900&amp;"|"&amp;'管线现金流'!AJ6900&amp;"|"&amp;'管线现金流'!H6901&amp;"|"&amp;'管线现金流'!AJ6901&amp;"|"&amp;'管线现金流'!H6902&amp;"|"&amp;'管线现金流'!AJ6902&amp;"|"&amp;'管线现金流'!H6903&amp;"|"&amp;'管线现金流'!AJ6903&amp;"|"&amp;'管线现金流'!H6904&amp;"|"&amp;'管线现金流'!AJ6904&amp;"|"&amp;'管线现金流'!H6905&amp;"|"&amp;'管线现金流'!AJ6905&amp;"|"&amp;'管线现金流'!H6906&amp;"|"&amp;'管线现金流'!AJ6906&amp;"|"&amp;'管线现金流'!H6907&amp;"|"&amp;'管线现金流'!AJ6907&amp;"|"&amp;'管线现金流'!H6908&amp;"|"&amp;'管线现金流'!AJ6908&amp;"|"&amp;'管线现金流'!H6909&amp;"|"&amp;'管线现金流'!AJ6909&amp;"|"&amp;'管线现金流'!H6910&amp;"|"&amp;'管线现金流'!AJ6910&amp;"|"&amp;'管线现金流'!H6911&amp;"|"&amp;'管线现金流'!AJ6911&amp;"|"&amp;'管线现金流'!H6912&amp;"|"&amp;'管线现金流'!AJ6912&amp;"|"&amp;'管线现金流'!H6913&amp;"|"&amp;'管线现金流'!AJ6913&amp;"|"&amp;'管线现金流'!H6914&amp;"|"&amp;'管线现金流'!AJ6914&amp;"|"&amp;'管线现金流'!H6915&amp;"|"&amp;'管线现金流'!AJ6915&amp;"|"&amp;'管线现金流'!H6916&amp;"|"&amp;'管线现金流'!AJ6916&amp;"|"&amp;'管线现金流'!H6917&amp;"|"&amp;'管线现金流'!AJ6917&amp;"|"&amp;'管线现金流'!H6918&amp;"|"&amp;'管线现金流'!AJ6918&amp;"|"&amp;'管线现金流'!H6919&amp;"|"&amp;'管线现金流'!AJ6919&amp;"|"&amp;'管线现金流'!H6920&amp;"|"&amp;'管线现金流'!AJ6920&amp;"|"&amp;'管线现金流'!H6921&amp;"|"&amp;'管线现金流'!AJ6921&amp;"|"&amp;'管线现金流'!H6922&amp;"|"&amp;'管线现金流'!AJ6922&amp;"|"&amp;'管线现金流'!H6923&amp;"|"&amp;'管线现金流'!AJ6923&amp;"|"&amp;'管线现金流'!H6924&amp;"|"&amp;'管线现金流'!AJ6924&amp;"|"&amp;'管线现金流'!H6925&amp;"|"&amp;'管线现金流'!AJ6925&amp;"|"&amp;'管线现金流'!H6926&amp;"|"&amp;'管线现金流'!AJ6926&amp;"|"&amp;'管线现金流'!H6927&amp;"|"&amp;'管线现金流'!AJ6927&amp;"|"&amp;'管线现金流'!H6928&amp;"|"&amp;'管线现金流'!AJ6928&amp;"|"&amp;'管线现金流'!H6929&amp;"|"&amp;'管线现金流'!AJ6929&amp;"|"&amp;'管线现金流'!H6930&amp;"|"&amp;'管线现金流'!AJ6930&amp;"|"&amp;'管线现金流'!H6931&amp;"|"&amp;'管线现金流'!AJ6931&amp;"|"&amp;'管线现金流'!H6932&amp;"|"&amp;'管线现金流'!AJ6932&amp;"|"&amp;'管线现金流'!H6933&amp;"|"&amp;'管线现金流'!AJ6933&amp;"|"&amp;'管线现金流'!H6934&amp;"|"&amp;'管线现金流'!AJ6934&amp;"|"&amp;'管线现金流'!H6935&amp;"|"&amp;'管线现金流'!AJ6935&amp;"|"&amp;'管线现金流'!H6936&amp;"|"&amp;'管线现金流'!AJ6936&amp;"|"&amp;'管线现金流'!H6937&amp;"|"&amp;'管线现金流'!AJ6937&amp;"|"&amp;'管线现金流'!H6938&amp;"|"&amp;'管线现金流'!AJ6938&amp;"|"&amp;'管线现金流'!H6939&amp;"|"&amp;'管线现金流'!AJ6939&amp;"|"&amp;'管线现金流'!H6940&amp;"|"&amp;'管线现金流'!AJ6940&amp;"|"&amp;'管线现金流'!H6941&amp;"|"&amp;'管线现金流'!AJ6941&amp;"|"&amp;'管线现金流'!H6942&amp;"|"&amp;'管线现金流'!AJ6942&amp;"|"&amp;'管线现金流'!H6943&amp;"|"&amp;'管线现金流'!AJ6943&amp;"|"&amp;'管线现金流'!H6944&amp;"|"&amp;'管线现金流'!AJ6944&amp;"|"&amp;'管线现金流'!H6945&amp;"|"&amp;'管线现金流'!AJ6945&amp;"|"&amp;'管线现金流'!H6946&amp;"|"&amp;'管线现金流'!AJ6946&amp;"|"&amp;'管线现金流'!H6947&amp;"|"&amp;'管线现金流'!AJ6947&amp;"|"&amp;'管线现金流'!H6948&amp;"|"&amp;'管线现金流'!AJ6948&amp;"|"&amp;'管线现金流'!H6949&amp;"|"&amp;'管线现金流'!AJ6949&amp;"|"&amp;'管线现金流'!H6950&amp;"|"&amp;'管线现金流'!AJ6950&amp;"|"&amp;'管线现金流'!H6951&amp;"|"&amp;'管线现金流'!AJ6951&amp;"|"&amp;'管线现金流'!H6952&amp;"|"&amp;'管线现金流'!AJ6952&amp;"|"&amp;'管线现金流'!H6953&amp;"|"&amp;'管线现金流'!AJ6953&amp;"|"&amp;'管线现金流'!H6954&amp;"|"&amp;'管线现金流'!AJ6954&amp;"|"&amp;'管线现金流'!H6955&amp;"|"&amp;'管线现金流'!AJ6955&amp;"|"&amp;'管线现金流'!H6956&amp;"|"&amp;'管线现金流'!AJ6956&amp;"|"&amp;'管线现金流'!H6957&amp;"|"&amp;'管线现金流'!AJ6957&amp;"|"&amp;'管线现金流'!H6958&amp;"|"&amp;'管线现金流'!AJ6958&amp;"|"&amp;'管线现金流'!H6959&amp;"|"&amp;'管线现金流'!AJ6959&amp;"|"&amp;'管线现金流'!H6960&amp;"|"&amp;'管线现金流'!AJ6960&amp;"|"&amp;'管线现金流'!H6961&amp;"|"&amp;'管线现金流'!AJ6961&amp;"|"&amp;'管线现金流'!H6962&amp;"|"&amp;'管线现金流'!AJ6962&amp;"|"&amp;'管线现金流'!H6963&amp;"|"&amp;'管线现金流'!AJ6963&amp;"|"&amp;'管线现金流'!H6964&amp;"|"&amp;'管线现金流'!AJ6964&amp;"|"&amp;'管线现金流'!H6965&amp;"|"&amp;'管线现金流'!AJ6965&amp;"|"&amp;'管线现金流'!H6966&amp;"|"&amp;'管线现金流'!AJ6966&amp;"|"&amp;'管线现金流'!H6967&amp;"|"&amp;'管线现金流'!AJ6967&amp;"|"&amp;'管线现金流'!H6968&amp;"|"&amp;'管线现金流'!AJ6968&amp;"|"&amp;'管线现金流'!H6969&amp;"|"&amp;'管线现金流'!AJ6969&amp;"|"&amp;'管线现金流'!H6970&amp;"|"&amp;'管线现金流'!AJ6970&amp;"|"&amp;'管线现金流'!H6971&amp;"|"&amp;'管线现金流'!AJ6971&amp;"|"&amp;'管线现金流'!H6972&amp;"|"&amp;'管线现金流'!AJ6972&amp;"|"&amp;'管线现金流'!H6973&amp;"|"&amp;'管线现金流'!AJ6973&amp;"|"&amp;'管线现金流'!H6974&amp;"|"&amp;'管线现金流'!AJ6974&amp;"|"&amp;'管线现金流'!H6975&amp;"|"&amp;'管线现金流'!AJ6975&amp;"|"&amp;'管线现金流'!H6976&amp;"|"&amp;'管线现金流'!AJ6976&amp;"|"&amp;'管线现金流'!H6977&amp;"|"&amp;'管线现金流'!AJ6977&amp;"|"&amp;'管线现金流'!H6978&amp;"|"&amp;'管线现金流'!AJ6978&amp;"|"&amp;'管线现金流'!H6979&amp;"|"&amp;'管线现金流'!AJ6979&amp;"|"&amp;'管线现金流'!H6980&amp;"|"&amp;'管线现金流'!AJ6980&amp;"|"&amp;'管线现金流'!H6981&amp;"|"&amp;'管线现金流'!AJ6981&amp;"|"&amp;'管线现金流'!H6982&amp;"|"&amp;'管线现金流'!AJ6982&amp;"|"&amp;'管线现金流'!H6983&amp;"|"&amp;'管线现金流'!AJ6983&amp;"|"&amp;'管线现金流'!H6984&amp;"|"&amp;'管线现金流'!AJ6984&amp;"|"&amp;'管线现金流'!H6985&amp;"|"&amp;'管线现金流'!AJ6985&amp;"|"&amp;'管线现金流'!H6986&amp;"|"&amp;'管线现金流'!AJ6986&amp;"|"&amp;'管线现金流'!H6987&amp;"|"&amp;'管线现金流'!AJ6987&amp;"|"&amp;'管线现金流'!H6988&amp;"|"&amp;'管线现金流'!AJ6988&amp;"|"&amp;'管线现金流'!H6989&amp;"|"&amp;'管线现金流'!AJ6989&amp;"|"&amp;'管线现金流'!H6990&amp;"|"&amp;'管线现金流'!AJ6990&amp;"|"&amp;'管线现金流'!H6991&amp;"|"&amp;'管线现金流'!AJ6991&amp;"|"&amp;'管线现金流'!H6992&amp;"|"&amp;'管线现金流'!AJ6992&amp;"|"&amp;'管线现金流'!H6993&amp;"|"&amp;'管线现金流'!AJ6993&amp;"|"&amp;'管线现金流'!H6994&amp;"|"&amp;'管线现金流'!AJ6994&amp;"|"&amp;'管线现金流'!H6995&amp;"|"&amp;'管线现金流'!AJ6995&amp;"|"&amp;'管线现金流'!H6996&amp;"|"&amp;'管线现金流'!AJ6996&amp;"|"&amp;'管线现金流'!H6997&amp;"|"&amp;'管线现金流'!AJ6997&amp;"|"&amp;'管线现金流'!H6998&amp;"|"&amp;'管线现金流'!AJ6998&amp;"|"&amp;'管线现金流'!H6999&amp;"|"&amp;'管线现金流'!AJ6999&amp;"|"&amp;'管线现金流'!H7000&amp;"|"&amp;'管线现金流'!AJ7000&amp;"|"&amp;'管线现金流'!H7001&amp;"|"&amp;'管线现金流'!AJ7001&amp;"|"&amp;'管线现金流'!H7002&amp;"|"&amp;'管线现金流'!AJ7002&amp;"|"&amp;'管线现金流'!H7003&amp;"|"&amp;'管线现金流'!AJ7003&amp;"|"&amp;'管线现金流'!H7004&amp;"|"&amp;'管线现金流'!AJ7004&amp;"|"&amp;'管线现金流'!H7005&amp;"|"&amp;'管线现金流'!AJ7005&amp;"|"&amp;'管线现金流'!H7006&amp;"|"&amp;'管线现金流'!AJ7006&amp;"|"&amp;'管线现金流'!H7007&amp;"|"&amp;'管线现金流'!AJ7007&amp;"|"&amp;'管线现金流'!H7008&amp;"|"&amp;'管线现金流'!AJ7008&amp;"|"&amp;'管线现金流'!H7009&amp;"|"&amp;'管线现金流'!AJ7009&amp;"|"&amp;'管线现金流'!H7010&amp;"|"&amp;'管线现金流'!AJ7010&amp;"|"&amp;'管线现金流'!H7011&amp;"|"&amp;'管线现金流'!AJ7011&amp;"|"&amp;'管线现金流'!H7012&amp;"|"&amp;'管线现金流'!AJ7012&amp;"|"&amp;'管线现金流'!H7013&amp;"|"&amp;'管线现金流'!AJ7013&amp;"|"&amp;'管线现金流'!H7014&amp;"|"&amp;'管线现金流'!AJ7014&amp;"|"&amp;'管线现金流'!H7015&amp;"|"&amp;'管线现金流'!AJ7015&amp;"|"&amp;'管线现金流'!H7016&amp;"|"&amp;'管线现金流'!AJ7016&amp;"|"&amp;'管线现金流'!H7017&amp;"|"&amp;'管线现金流'!AJ7017&amp;"|"&amp;'管线现金流'!H7018&amp;"|"&amp;'管线现金流'!AJ7018&amp;"|"&amp;'管线现金流'!H7019&amp;"|"&amp;'管线现金流'!AJ7019&amp;"|"&amp;'管线现金流'!H7020&amp;"|"&amp;'管线现金流'!AJ7020&amp;"|"&amp;'管线现金流'!H7021&amp;"|"&amp;'管线现金流'!AJ7021&amp;"|"&amp;'管线现金流'!H7022&amp;"|"&amp;'管线现金流'!AJ7022&amp;"|"&amp;'管线现金流'!H7023&amp;"|"&amp;'管线现金流'!AJ7023&amp;"|"&amp;'管线现金流'!H7024&amp;"|"&amp;'管线现金流'!AJ7024&amp;"|"&amp;'管线现金流'!H7025&amp;"|"&amp;'管线现金流'!AJ7025&amp;"|"&amp;'管线现金流'!H7026&amp;"|"&amp;'管线现金流'!AJ7026&amp;"|"&amp;'管线现金流'!H7027&amp;"|"&amp;'管线现金流'!AJ7027&amp;"|"&amp;'管线现金流'!H7028&amp;"|"&amp;'管线现金流'!AJ7028&amp;"|"&amp;'管线现金流'!H7029&amp;"|"&amp;'管线现金流'!AJ7029&amp;"|"&amp;'管线现金流'!H7030&amp;"|"&amp;'管线现金流'!AJ7030&amp;"|"&amp;'管线现金流'!H7031&amp;"|"&amp;'管线现金流'!AJ7031&amp;"|"&amp;'管线现金流'!H7032&amp;"|"&amp;'管线现金流'!AJ7032&amp;"|"&amp;'管线现金流'!H7033&amp;"|"&amp;'管线现金流'!AJ7033&amp;"|"&amp;'管线现金流'!H7034&amp;"|"&amp;'管线现金流'!AJ7034&amp;"|"&amp;'管线现金流'!H7035&amp;"|"&amp;'管线现金流'!AJ7035&amp;"|"&amp;'管线现金流'!H7036&amp;"|"&amp;'管线现金流'!AJ7036&amp;"|"&amp;'管线现金流'!H7037&amp;"|"&amp;'管线现金流'!AJ7037&amp;"|"&amp;'管线现金流'!H7038&amp;"|"&amp;'管线现金流'!AJ7038&amp;"|"&amp;'管线现金流'!H7039&amp;"|"&amp;'管线现金流'!AJ7039&amp;"|"&amp;'管线现金流'!H7040&amp;"|"&amp;'管线现金流'!AJ7040&amp;"|"&amp;'管线现金流'!H7041&amp;"|"&amp;'管线现金流'!AJ7041&amp;"|"&amp;'管线现金流'!H7042&amp;"|"&amp;'管线现金流'!AJ7042&amp;"|"&amp;'管线现金流'!H7043&amp;"|"&amp;'管线现金流'!AJ7043&amp;"|"&amp;'管线现金流'!H7044&amp;"|"&amp;'管线现金流'!AJ7044&amp;"|"&amp;'管线现金流'!H7045&amp;"|"&amp;'管线现金流'!AJ7045&amp;"|"&amp;'管线现金流'!H7046&amp;"|"&amp;'管线现金流'!AJ7046&amp;"|"&amp;'管线现金流'!U132&amp;"|"&amp;'管线现金流'!X132&amp;"|"&amp;'管线现金流'!AO132&amp;"|"&amp;'管线现金流'!AR132&amp;"|"&amp;'管线现金流'!U133&amp;"|"&amp;'管线现金流'!X133&amp;"|"&amp;'管线现金流'!AO133&amp;"|"&amp;'管线现金流'!AR133&amp;"|"&amp;'管线现金流'!U134&amp;"|"&amp;'管线现金流'!X134&amp;"|"&amp;'管线现金流'!AO134&amp;"|"&amp;'管线现金流'!AR134&amp;"|"&amp;'管线现金流'!U135&amp;"|"&amp;'管线现金流'!X135&amp;"|"&amp;'管线现金流'!AO135&amp;"|"&amp;'管线现金流'!AR135&amp;"|"&amp;'管线现金流'!U136&amp;"|"&amp;'管线现金流'!X136&amp;"|"&amp;'管线现金流'!AO136&amp;"|"&amp;'管线现金流'!AR136&amp;"|"&amp;'管线现金流'!U137&amp;"|"&amp;'管线现金流'!X137&amp;"|"&amp;'管线现金流'!AO137&amp;"|"&amp;'管线现金流'!AR137&amp;"|"&amp;'管线现金流'!U138&amp;"|"&amp;'管线现金流'!X138&amp;"|"&amp;'管线现金流'!AO138&amp;"|"&amp;'管线现金流'!AR138&amp;"|"&amp;'管线现金流'!U139&amp;"|"&amp;'管线现金流'!X139&amp;"|"&amp;'管线现金流'!AO139&amp;"|"&amp;'管线现金流'!AR139&amp;"|"&amp;'管线现金流'!U140&amp;"|"&amp;'管线现金流'!X140&amp;"|"&amp;'管线现金流'!AO140&amp;"|"&amp;'管线现金流'!AR140&amp;"|"&amp;'管线现金流'!U141&amp;"|"&amp;'管线现金流'!X141&amp;"|"&amp;'管线现金流'!AO141&amp;"|"&amp;'管线现金流'!AR141&amp;"|"&amp;'许可受让方假设'!D20&amp;"|"&amp;'许可受让方假设'!E20&amp;"|"&amp;'许可受让方假设'!F20&amp;"|"&amp;'许可受让方假设'!G20&amp;"|"&amp;'许可受让方假设'!H20&amp;"|"&amp;'许可受让方假设'!I20&amp;"|"&amp;'许可受让方假设'!J20&amp;"|"&amp;'许可受让方假设'!K20&amp;"|"&amp;'许可受让方现金流'!O64&amp;"|"&amp;'许可受让方现金流'!O65&amp;"|"&amp;'许可受让方现金流'!O66&amp;"|"&amp;'许可受让方现金流'!O67&amp;"|"&amp;'许可受让方现金流'!O68&amp;"|"&amp;'许可受让方现金流'!O69&amp;"|"&amp;'许可受让方现金流'!O70&amp;"|"&amp;'许可受让方现金流'!O71&amp;"|"&amp;'许可受让方现金流'!O72&amp;"|"&amp;'许可受让方现金流'!O73&amp;"|"&amp;'许可受让方现金流'!O74&amp;"|"&amp;'许可受让方现金流'!O75&amp;"|"&amp;'许可受让方现金流'!O76&amp;"|"&amp;'许可受让方现金流'!O77&amp;"|"&amp;'许可受让方现金流'!O78&amp;"|"&amp;'许可受让方现金流'!O79&amp;"|"&amp;'许可受让方现金流'!O80&amp;"|"&amp;'许可受让方现金流'!O81&amp;"|"&amp;'许可受让方现金流'!O82</x:f>
        <x:v>1|0.2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|0.22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</x:row>
    <x:row r="617" ht="23" customHeight="1">
      <x:c r="A617" s="11" t="str">
        <x:v>09995.HK</x:v>
      </x:c>
      <x:c r="B617" s="11" t="str">
        <x:v>荣昌生物</x:v>
      </x:c>
      <x:c r="C617" s="11" t="str">
        <x:v>三年</x:v>
      </x:c>
      <x:c r="D617" s="11" t="str">
        <x:v>基准</x:v>
      </x:c>
      <x:c r="E617" s="11" t="n">
        <x:v>70.4</x:v>
      </x:c>
      <x:c r="F617" s="11" t="n">
        <x:v>81.02595430689605</x:v>
      </x:c>
      <x:c r="G617" s="11" t="n">
        <x:v>0</x:v>
      </x:c>
      <x:c r="H617" s="25" t="n">
        <x:v>0.15093685095022802</x:v>
      </x:c>
      <x:c r="I617" s="25" t="n">
        <x:v>0.15093685095022802</x:v>
      </x:c>
      <x:c r="J617" s="25" t="n">
        <x:v>0.04797397709594531</x:v>
      </x:c>
      <x:c r="K617" s="11" t="n">
        <x:v>0</x:v>
      </x:c>
      <x:c r="L617" s="11" t="n">
        <x:v>0</x:v>
      </x:c>
      <x:c r="M617" s="11" t="n">
        <x:v>1.1</x:v>
      </x:c>
      <x:c r="N617" s="11" t="n">
        <x:v>0</x:v>
      </x:c>
      <x:c r="O617" s="11" t="n">
        <x:v>0</x:v>
      </x:c>
      <x:c r="P617" s="11" t="n">
        <x:v>0</x:v>
      </x:c>
      <x:c r="Q617" s="11" t="n">
        <x:v>0.63</x:v>
      </x:c>
      <x:c r="R617" s="11" t="str">
        <x:v>remegen-v2-finite-assets-Vor-residual-return-aligned-score</x:v>
      </x:c>
      <x:c r="S617" s="11" t="str">
        <x:v>2026-10-10</x:v>
      </x:c>
      <x:c r="T617" s="11" t="str">
        <x:f>IF(AND(SUM(IF(K617='假设'!E821,0,1),IF(L617='假设'!F821,0,1),IF(M617='假设'!G821,0,1),IF(N617='假设'!H821,0,1),IF(O617='假设'!I821,0,1),IF(P617='假设'!J821,0,1),IF(Q617='假设'!K821,0,1))=0,U617=V617),"已刷新","待刷新")</x:f>
        <x:v>已刷新</x:v>
      </x:c>
      <x:c r="U617" t="str">
        <x:v>1|3.6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|0.155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  <x:c r="V617" t="str">
        <x:f>'假设'!U821&amp;"|"&amp;'假设'!N821&amp;"|"&amp;'假设'!Q821&amp;"|"&amp;'管线假设'!E1469&amp;"|"&amp;'管线假设'!F1469&amp;"|"&amp;'管线假设'!G1469&amp;"|"&amp;'管线假设'!H1469&amp;"|"&amp;'管线假设'!I1469&amp;"|"&amp;'管线假设'!E1473&amp;"|"&amp;'管线假设'!F1473&amp;"|"&amp;'管线假设'!G1473&amp;"|"&amp;'管线假设'!H1473&amp;"|"&amp;'管线假设'!I1473&amp;"|"&amp;'管线假设'!E1477&amp;"|"&amp;'管线假设'!F1477&amp;"|"&amp;'管线假设'!G1477&amp;"|"&amp;'管线假设'!H1477&amp;"|"&amp;'管线假设'!I1477&amp;"|"&amp;'管线假设'!E1481&amp;"|"&amp;'管线假设'!F1481&amp;"|"&amp;'管线假设'!G1481&amp;"|"&amp;'管线假设'!H1481&amp;"|"&amp;'管线假设'!I1481&amp;"|"&amp;'管线假设'!E1485&amp;"|"&amp;'管线假设'!F1485&amp;"|"&amp;'管线假设'!G1485&amp;"|"&amp;'管线假设'!H1485&amp;"|"&amp;'管线假设'!I1485&amp;"|"&amp;'管线假设'!E1489&amp;"|"&amp;'管线假设'!F1489&amp;"|"&amp;'管线假设'!G1489&amp;"|"&amp;'管线假设'!H1489&amp;"|"&amp;'管线假设'!I1489&amp;"|"&amp;'管线假设'!E1493&amp;"|"&amp;'管线假设'!F1493&amp;"|"&amp;'管线假设'!G1493&amp;"|"&amp;'管线假设'!H1493&amp;"|"&amp;'管线假设'!I1493&amp;"|"&amp;'管线假设'!E1497&amp;"|"&amp;'管线假设'!F1497&amp;"|"&amp;'管线假设'!G1497&amp;"|"&amp;'管线假设'!H1497&amp;"|"&amp;'管线假设'!I1497&amp;"|"&amp;'管线假设'!E1501&amp;"|"&amp;'管线假设'!F1501&amp;"|"&amp;'管线假设'!G1501&amp;"|"&amp;'管线假设'!H1501&amp;"|"&amp;'管线假设'!I1501&amp;"|"&amp;'管线假设'!E1505&amp;"|"&amp;'管线假设'!F1505&amp;"|"&amp;'管线假设'!G1505&amp;"|"&amp;'管线假设'!H1505&amp;"|"&amp;'管线假设'!I1505&amp;"|"&amp;'管线现金流'!I6857&amp;"|"&amp;'管线现金流'!AK6857&amp;"|"&amp;'管线现金流'!I6858&amp;"|"&amp;'管线现金流'!AK6858&amp;"|"&amp;'管线现金流'!I6859&amp;"|"&amp;'管线现金流'!AK6859&amp;"|"&amp;'管线现金流'!I6860&amp;"|"&amp;'管线现金流'!AK6860&amp;"|"&amp;'管线现金流'!I6861&amp;"|"&amp;'管线现金流'!AK6861&amp;"|"&amp;'管线现金流'!I6862&amp;"|"&amp;'管线现金流'!AK6862&amp;"|"&amp;'管线现金流'!I6863&amp;"|"&amp;'管线现金流'!AK6863&amp;"|"&amp;'管线现金流'!I6864&amp;"|"&amp;'管线现金流'!AK6864&amp;"|"&amp;'管线现金流'!I6865&amp;"|"&amp;'管线现金流'!AK6865&amp;"|"&amp;'管线现金流'!I6866&amp;"|"&amp;'管线现金流'!AK6866&amp;"|"&amp;'管线现金流'!I6867&amp;"|"&amp;'管线现金流'!AK6867&amp;"|"&amp;'管线现金流'!I6868&amp;"|"&amp;'管线现金流'!AK6868&amp;"|"&amp;'管线现金流'!I6869&amp;"|"&amp;'管线现金流'!AK6869&amp;"|"&amp;'管线现金流'!I6870&amp;"|"&amp;'管线现金流'!AK6870&amp;"|"&amp;'管线现金流'!I6871&amp;"|"&amp;'管线现金流'!AK6871&amp;"|"&amp;'管线现金流'!I6872&amp;"|"&amp;'管线现金流'!AK6872&amp;"|"&amp;'管线现金流'!I6873&amp;"|"&amp;'管线现金流'!AK6873&amp;"|"&amp;'管线现金流'!I6874&amp;"|"&amp;'管线现金流'!AK6874&amp;"|"&amp;'管线现金流'!I6875&amp;"|"&amp;'管线现金流'!AK6875&amp;"|"&amp;'管线现金流'!I6876&amp;"|"&amp;'管线现金流'!AK6876&amp;"|"&amp;'管线现金流'!I6877&amp;"|"&amp;'管线现金流'!AK6877&amp;"|"&amp;'管线现金流'!I6878&amp;"|"&amp;'管线现金流'!AK6878&amp;"|"&amp;'管线现金流'!I6879&amp;"|"&amp;'管线现金流'!AK6879&amp;"|"&amp;'管线现金流'!I6880&amp;"|"&amp;'管线现金流'!AK6880&amp;"|"&amp;'管线现金流'!I6881&amp;"|"&amp;'管线现金流'!AK6881&amp;"|"&amp;'管线现金流'!I6882&amp;"|"&amp;'管线现金流'!AK6882&amp;"|"&amp;'管线现金流'!I6883&amp;"|"&amp;'管线现金流'!AK6883&amp;"|"&amp;'管线现金流'!I6884&amp;"|"&amp;'管线现金流'!AK6884&amp;"|"&amp;'管线现金流'!I6885&amp;"|"&amp;'管线现金流'!AK6885&amp;"|"&amp;'管线现金流'!I6886&amp;"|"&amp;'管线现金流'!AK6886&amp;"|"&amp;'管线现金流'!I6887&amp;"|"&amp;'管线现金流'!AK6887&amp;"|"&amp;'管线现金流'!I6888&amp;"|"&amp;'管线现金流'!AK6888&amp;"|"&amp;'管线现金流'!I6889&amp;"|"&amp;'管线现金流'!AK6889&amp;"|"&amp;'管线现金流'!I6890&amp;"|"&amp;'管线现金流'!AK6890&amp;"|"&amp;'管线现金流'!I6891&amp;"|"&amp;'管线现金流'!AK6891&amp;"|"&amp;'管线现金流'!I6892&amp;"|"&amp;'管线现金流'!AK6892&amp;"|"&amp;'管线现金流'!I6893&amp;"|"&amp;'管线现金流'!AK6893&amp;"|"&amp;'管线现金流'!I6894&amp;"|"&amp;'管线现金流'!AK6894&amp;"|"&amp;'管线现金流'!I6895&amp;"|"&amp;'管线现金流'!AK6895&amp;"|"&amp;'管线现金流'!I6896&amp;"|"&amp;'管线现金流'!AK6896&amp;"|"&amp;'管线现金流'!I6897&amp;"|"&amp;'管线现金流'!AK6897&amp;"|"&amp;'管线现金流'!I6898&amp;"|"&amp;'管线现金流'!AK6898&amp;"|"&amp;'管线现金流'!I6899&amp;"|"&amp;'管线现金流'!AK6899&amp;"|"&amp;'管线现金流'!I6900&amp;"|"&amp;'管线现金流'!AK6900&amp;"|"&amp;'管线现金流'!I6901&amp;"|"&amp;'管线现金流'!AK6901&amp;"|"&amp;'管线现金流'!I6902&amp;"|"&amp;'管线现金流'!AK6902&amp;"|"&amp;'管线现金流'!I6903&amp;"|"&amp;'管线现金流'!AK6903&amp;"|"&amp;'管线现金流'!I6904&amp;"|"&amp;'管线现金流'!AK6904&amp;"|"&amp;'管线现金流'!I6905&amp;"|"&amp;'管线现金流'!AK6905&amp;"|"&amp;'管线现金流'!I6906&amp;"|"&amp;'管线现金流'!AK6906&amp;"|"&amp;'管线现金流'!I6907&amp;"|"&amp;'管线现金流'!AK6907&amp;"|"&amp;'管线现金流'!I6908&amp;"|"&amp;'管线现金流'!AK6908&amp;"|"&amp;'管线现金流'!I6909&amp;"|"&amp;'管线现金流'!AK6909&amp;"|"&amp;'管线现金流'!I6910&amp;"|"&amp;'管线现金流'!AK6910&amp;"|"&amp;'管线现金流'!I6911&amp;"|"&amp;'管线现金流'!AK6911&amp;"|"&amp;'管线现金流'!I6912&amp;"|"&amp;'管线现金流'!AK6912&amp;"|"&amp;'管线现金流'!I6913&amp;"|"&amp;'管线现金流'!AK6913&amp;"|"&amp;'管线现金流'!I6914&amp;"|"&amp;'管线现金流'!AK6914&amp;"|"&amp;'管线现金流'!I6915&amp;"|"&amp;'管线现金流'!AK6915&amp;"|"&amp;'管线现金流'!I6916&amp;"|"&amp;'管线现金流'!AK6916&amp;"|"&amp;'管线现金流'!I6917&amp;"|"&amp;'管线现金流'!AK6917&amp;"|"&amp;'管线现金流'!I6918&amp;"|"&amp;'管线现金流'!AK6918&amp;"|"&amp;'管线现金流'!I6919&amp;"|"&amp;'管线现金流'!AK6919&amp;"|"&amp;'管线现金流'!I6920&amp;"|"&amp;'管线现金流'!AK6920&amp;"|"&amp;'管线现金流'!I6921&amp;"|"&amp;'管线现金流'!AK6921&amp;"|"&amp;'管线现金流'!I6922&amp;"|"&amp;'管线现金流'!AK6922&amp;"|"&amp;'管线现金流'!I6923&amp;"|"&amp;'管线现金流'!AK6923&amp;"|"&amp;'管线现金流'!I6924&amp;"|"&amp;'管线现金流'!AK6924&amp;"|"&amp;'管线现金流'!I6925&amp;"|"&amp;'管线现金流'!AK6925&amp;"|"&amp;'管线现金流'!I6926&amp;"|"&amp;'管线现金流'!AK6926&amp;"|"&amp;'管线现金流'!I6927&amp;"|"&amp;'管线现金流'!AK6927&amp;"|"&amp;'管线现金流'!I6928&amp;"|"&amp;'管线现金流'!AK6928&amp;"|"&amp;'管线现金流'!I6929&amp;"|"&amp;'管线现金流'!AK6929&amp;"|"&amp;'管线现金流'!I6930&amp;"|"&amp;'管线现金流'!AK6930&amp;"|"&amp;'管线现金流'!I6931&amp;"|"&amp;'管线现金流'!AK6931&amp;"|"&amp;'管线现金流'!I6932&amp;"|"&amp;'管线现金流'!AK6932&amp;"|"&amp;'管线现金流'!I6933&amp;"|"&amp;'管线现金流'!AK6933&amp;"|"&amp;'管线现金流'!I6934&amp;"|"&amp;'管线现金流'!AK6934&amp;"|"&amp;'管线现金流'!I6935&amp;"|"&amp;'管线现金流'!AK6935&amp;"|"&amp;'管线现金流'!I6936&amp;"|"&amp;'管线现金流'!AK6936&amp;"|"&amp;'管线现金流'!I6937&amp;"|"&amp;'管线现金流'!AK6937&amp;"|"&amp;'管线现金流'!I6938&amp;"|"&amp;'管线现金流'!AK6938&amp;"|"&amp;'管线现金流'!I6939&amp;"|"&amp;'管线现金流'!AK6939&amp;"|"&amp;'管线现金流'!I6940&amp;"|"&amp;'管线现金流'!AK6940&amp;"|"&amp;'管线现金流'!I6941&amp;"|"&amp;'管线现金流'!AK6941&amp;"|"&amp;'管线现金流'!I6942&amp;"|"&amp;'管线现金流'!AK6942&amp;"|"&amp;'管线现金流'!I6943&amp;"|"&amp;'管线现金流'!AK6943&amp;"|"&amp;'管线现金流'!I6944&amp;"|"&amp;'管线现金流'!AK6944&amp;"|"&amp;'管线现金流'!I6945&amp;"|"&amp;'管线现金流'!AK6945&amp;"|"&amp;'管线现金流'!I6946&amp;"|"&amp;'管线现金流'!AK6946&amp;"|"&amp;'管线现金流'!I6947&amp;"|"&amp;'管线现金流'!AK6947&amp;"|"&amp;'管线现金流'!I6948&amp;"|"&amp;'管线现金流'!AK6948&amp;"|"&amp;'管线现金流'!I6949&amp;"|"&amp;'管线现金流'!AK6949&amp;"|"&amp;'管线现金流'!I6950&amp;"|"&amp;'管线现金流'!AK6950&amp;"|"&amp;'管线现金流'!I6951&amp;"|"&amp;'管线现金流'!AK6951&amp;"|"&amp;'管线现金流'!I6952&amp;"|"&amp;'管线现金流'!AK6952&amp;"|"&amp;'管线现金流'!I6953&amp;"|"&amp;'管线现金流'!AK6953&amp;"|"&amp;'管线现金流'!I6954&amp;"|"&amp;'管线现金流'!AK6954&amp;"|"&amp;'管线现金流'!I6955&amp;"|"&amp;'管线现金流'!AK6955&amp;"|"&amp;'管线现金流'!I6956&amp;"|"&amp;'管线现金流'!AK6956&amp;"|"&amp;'管线现金流'!I6957&amp;"|"&amp;'管线现金流'!AK6957&amp;"|"&amp;'管线现金流'!I6958&amp;"|"&amp;'管线现金流'!AK6958&amp;"|"&amp;'管线现金流'!I6959&amp;"|"&amp;'管线现金流'!AK6959&amp;"|"&amp;'管线现金流'!I6960&amp;"|"&amp;'管线现金流'!AK6960&amp;"|"&amp;'管线现金流'!I6961&amp;"|"&amp;'管线现金流'!AK6961&amp;"|"&amp;'管线现金流'!I6962&amp;"|"&amp;'管线现金流'!AK6962&amp;"|"&amp;'管线现金流'!I6963&amp;"|"&amp;'管线现金流'!AK6963&amp;"|"&amp;'管线现金流'!I6964&amp;"|"&amp;'管线现金流'!AK6964&amp;"|"&amp;'管线现金流'!I6965&amp;"|"&amp;'管线现金流'!AK6965&amp;"|"&amp;'管线现金流'!I6966&amp;"|"&amp;'管线现金流'!AK6966&amp;"|"&amp;'管线现金流'!I6967&amp;"|"&amp;'管线现金流'!AK6967&amp;"|"&amp;'管线现金流'!I6968&amp;"|"&amp;'管线现金流'!AK6968&amp;"|"&amp;'管线现金流'!I6969&amp;"|"&amp;'管线现金流'!AK6969&amp;"|"&amp;'管线现金流'!I6970&amp;"|"&amp;'管线现金流'!AK6970&amp;"|"&amp;'管线现金流'!I6971&amp;"|"&amp;'管线现金流'!AK6971&amp;"|"&amp;'管线现金流'!I6972&amp;"|"&amp;'管线现金流'!AK6972&amp;"|"&amp;'管线现金流'!I6973&amp;"|"&amp;'管线现金流'!AK6973&amp;"|"&amp;'管线现金流'!I6974&amp;"|"&amp;'管线现金流'!AK6974&amp;"|"&amp;'管线现金流'!I6975&amp;"|"&amp;'管线现金流'!AK6975&amp;"|"&amp;'管线现金流'!I6976&amp;"|"&amp;'管线现金流'!AK6976&amp;"|"&amp;'管线现金流'!I6977&amp;"|"&amp;'管线现金流'!AK6977&amp;"|"&amp;'管线现金流'!I6978&amp;"|"&amp;'管线现金流'!AK6978&amp;"|"&amp;'管线现金流'!I6979&amp;"|"&amp;'管线现金流'!AK6979&amp;"|"&amp;'管线现金流'!I6980&amp;"|"&amp;'管线现金流'!AK6980&amp;"|"&amp;'管线现金流'!I6981&amp;"|"&amp;'管线现金流'!AK6981&amp;"|"&amp;'管线现金流'!I6982&amp;"|"&amp;'管线现金流'!AK6982&amp;"|"&amp;'管线现金流'!I6983&amp;"|"&amp;'管线现金流'!AK6983&amp;"|"&amp;'管线现金流'!I6984&amp;"|"&amp;'管线现金流'!AK6984&amp;"|"&amp;'管线现金流'!I6985&amp;"|"&amp;'管线现金流'!AK6985&amp;"|"&amp;'管线现金流'!I6986&amp;"|"&amp;'管线现金流'!AK6986&amp;"|"&amp;'管线现金流'!I6987&amp;"|"&amp;'管线现金流'!AK6987&amp;"|"&amp;'管线现金流'!I6988&amp;"|"&amp;'管线现金流'!AK6988&amp;"|"&amp;'管线现金流'!I6989&amp;"|"&amp;'管线现金流'!AK6989&amp;"|"&amp;'管线现金流'!I6990&amp;"|"&amp;'管线现金流'!AK6990&amp;"|"&amp;'管线现金流'!I6991&amp;"|"&amp;'管线现金流'!AK6991&amp;"|"&amp;'管线现金流'!I6992&amp;"|"&amp;'管线现金流'!AK6992&amp;"|"&amp;'管线现金流'!I6993&amp;"|"&amp;'管线现金流'!AK6993&amp;"|"&amp;'管线现金流'!I6994&amp;"|"&amp;'管线现金流'!AK6994&amp;"|"&amp;'管线现金流'!I6995&amp;"|"&amp;'管线现金流'!AK6995&amp;"|"&amp;'管线现金流'!I6996&amp;"|"&amp;'管线现金流'!AK6996&amp;"|"&amp;'管线现金流'!I6997&amp;"|"&amp;'管线现金流'!AK6997&amp;"|"&amp;'管线现金流'!I6998&amp;"|"&amp;'管线现金流'!AK6998&amp;"|"&amp;'管线现金流'!I6999&amp;"|"&amp;'管线现金流'!AK6999&amp;"|"&amp;'管线现金流'!I7000&amp;"|"&amp;'管线现金流'!AK7000&amp;"|"&amp;'管线现金流'!I7001&amp;"|"&amp;'管线现金流'!AK7001&amp;"|"&amp;'管线现金流'!I7002&amp;"|"&amp;'管线现金流'!AK7002&amp;"|"&amp;'管线现金流'!I7003&amp;"|"&amp;'管线现金流'!AK7003&amp;"|"&amp;'管线现金流'!I7004&amp;"|"&amp;'管线现金流'!AK7004&amp;"|"&amp;'管线现金流'!I7005&amp;"|"&amp;'管线现金流'!AK7005&amp;"|"&amp;'管线现金流'!I7006&amp;"|"&amp;'管线现金流'!AK7006&amp;"|"&amp;'管线现金流'!I7007&amp;"|"&amp;'管线现金流'!AK7007&amp;"|"&amp;'管线现金流'!I7008&amp;"|"&amp;'管线现金流'!AK7008&amp;"|"&amp;'管线现金流'!I7009&amp;"|"&amp;'管线现金流'!AK7009&amp;"|"&amp;'管线现金流'!I7010&amp;"|"&amp;'管线现金流'!AK7010&amp;"|"&amp;'管线现金流'!I7011&amp;"|"&amp;'管线现金流'!AK7011&amp;"|"&amp;'管线现金流'!I7012&amp;"|"&amp;'管线现金流'!AK7012&amp;"|"&amp;'管线现金流'!I7013&amp;"|"&amp;'管线现金流'!AK7013&amp;"|"&amp;'管线现金流'!I7014&amp;"|"&amp;'管线现金流'!AK7014&amp;"|"&amp;'管线现金流'!I7015&amp;"|"&amp;'管线现金流'!AK7015&amp;"|"&amp;'管线现金流'!I7016&amp;"|"&amp;'管线现金流'!AK7016&amp;"|"&amp;'管线现金流'!I7017&amp;"|"&amp;'管线现金流'!AK7017&amp;"|"&amp;'管线现金流'!I7018&amp;"|"&amp;'管线现金流'!AK7018&amp;"|"&amp;'管线现金流'!I7019&amp;"|"&amp;'管线现金流'!AK7019&amp;"|"&amp;'管线现金流'!I7020&amp;"|"&amp;'管线现金流'!AK7020&amp;"|"&amp;'管线现金流'!I7021&amp;"|"&amp;'管线现金流'!AK7021&amp;"|"&amp;'管线现金流'!I7022&amp;"|"&amp;'管线现金流'!AK7022&amp;"|"&amp;'管线现金流'!I7023&amp;"|"&amp;'管线现金流'!AK7023&amp;"|"&amp;'管线现金流'!I7024&amp;"|"&amp;'管线现金流'!AK7024&amp;"|"&amp;'管线现金流'!I7025&amp;"|"&amp;'管线现金流'!AK7025&amp;"|"&amp;'管线现金流'!I7026&amp;"|"&amp;'管线现金流'!AK7026&amp;"|"&amp;'管线现金流'!I7027&amp;"|"&amp;'管线现金流'!AK7027&amp;"|"&amp;'管线现金流'!I7028&amp;"|"&amp;'管线现金流'!AK7028&amp;"|"&amp;'管线现金流'!I7029&amp;"|"&amp;'管线现金流'!AK7029&amp;"|"&amp;'管线现金流'!I7030&amp;"|"&amp;'管线现金流'!AK7030&amp;"|"&amp;'管线现金流'!I7031&amp;"|"&amp;'管线现金流'!AK7031&amp;"|"&amp;'管线现金流'!I7032&amp;"|"&amp;'管线现金流'!AK7032&amp;"|"&amp;'管线现金流'!I7033&amp;"|"&amp;'管线现金流'!AK7033&amp;"|"&amp;'管线现金流'!I7034&amp;"|"&amp;'管线现金流'!AK7034&amp;"|"&amp;'管线现金流'!I7035&amp;"|"&amp;'管线现金流'!AK7035&amp;"|"&amp;'管线现金流'!I7036&amp;"|"&amp;'管线现金流'!AK7036&amp;"|"&amp;'管线现金流'!I7037&amp;"|"&amp;'管线现金流'!AK7037&amp;"|"&amp;'管线现金流'!I7038&amp;"|"&amp;'管线现金流'!AK7038&amp;"|"&amp;'管线现金流'!I7039&amp;"|"&amp;'管线现金流'!AK7039&amp;"|"&amp;'管线现金流'!I7040&amp;"|"&amp;'管线现金流'!AK7040&amp;"|"&amp;'管线现金流'!I7041&amp;"|"&amp;'管线现金流'!AK7041&amp;"|"&amp;'管线现金流'!I7042&amp;"|"&amp;'管线现金流'!AK7042&amp;"|"&amp;'管线现金流'!I7043&amp;"|"&amp;'管线现金流'!AK7043&amp;"|"&amp;'管线现金流'!I7044&amp;"|"&amp;'管线现金流'!AK7044&amp;"|"&amp;'管线现金流'!I7045&amp;"|"&amp;'管线现金流'!AK7045&amp;"|"&amp;'管线现金流'!I7046&amp;"|"&amp;'管线现金流'!AK7046&amp;"|"&amp;'管线现金流'!V132&amp;"|"&amp;'管线现金流'!Y132&amp;"|"&amp;'管线现金流'!AP132&amp;"|"&amp;'管线现金流'!AS132&amp;"|"&amp;'管线现金流'!V133&amp;"|"&amp;'管线现金流'!Y133&amp;"|"&amp;'管线现金流'!AP133&amp;"|"&amp;'管线现金流'!AS133&amp;"|"&amp;'管线现金流'!V134&amp;"|"&amp;'管线现金流'!Y134&amp;"|"&amp;'管线现金流'!AP134&amp;"|"&amp;'管线现金流'!AS134&amp;"|"&amp;'管线现金流'!V135&amp;"|"&amp;'管线现金流'!Y135&amp;"|"&amp;'管线现金流'!AP135&amp;"|"&amp;'管线现金流'!AS135&amp;"|"&amp;'管线现金流'!V136&amp;"|"&amp;'管线现金流'!Y136&amp;"|"&amp;'管线现金流'!AP136&amp;"|"&amp;'管线现金流'!AS136&amp;"|"&amp;'管线现金流'!V137&amp;"|"&amp;'管线现金流'!Y137&amp;"|"&amp;'管线现金流'!AP137&amp;"|"&amp;'管线现金流'!AS137&amp;"|"&amp;'管线现金流'!V138&amp;"|"&amp;'管线现金流'!Y138&amp;"|"&amp;'管线现金流'!AP138&amp;"|"&amp;'管线现金流'!AS138&amp;"|"&amp;'管线现金流'!V139&amp;"|"&amp;'管线现金流'!Y139&amp;"|"&amp;'管线现金流'!AP139&amp;"|"&amp;'管线现金流'!AS139&amp;"|"&amp;'管线现金流'!V140&amp;"|"&amp;'管线现金流'!Y140&amp;"|"&amp;'管线现金流'!AP140&amp;"|"&amp;'管线现金流'!AS140&amp;"|"&amp;'管线现金流'!V141&amp;"|"&amp;'管线现金流'!Y141&amp;"|"&amp;'管线现金流'!AP141&amp;"|"&amp;'管线现金流'!AS141&amp;"|"&amp;'许可受让方假设'!D21&amp;"|"&amp;'许可受让方假设'!E21&amp;"|"&amp;'许可受让方假设'!F21&amp;"|"&amp;'许可受让方假设'!G21&amp;"|"&amp;'许可受让方假设'!H21&amp;"|"&amp;'许可受让方假设'!I21&amp;"|"&amp;'许可受让方假设'!J21&amp;"|"&amp;'许可受让方假设'!K21&amp;"|"&amp;'许可受让方现金流'!P64&amp;"|"&amp;'许可受让方现金流'!P65&amp;"|"&amp;'许可受让方现金流'!P66&amp;"|"&amp;'许可受让方现金流'!P67&amp;"|"&amp;'许可受让方现金流'!P68&amp;"|"&amp;'许可受让方现金流'!P69&amp;"|"&amp;'许可受让方现金流'!P70&amp;"|"&amp;'许可受让方现金流'!P71&amp;"|"&amp;'许可受让方现金流'!P72&amp;"|"&amp;'许可受让方现金流'!P73&amp;"|"&amp;'许可受让方现金流'!P74&amp;"|"&amp;'许可受让方现金流'!P75&amp;"|"&amp;'许可受让方现金流'!P76&amp;"|"&amp;'许可受让方现金流'!P77&amp;"|"&amp;'许可受让方现金流'!P78&amp;"|"&amp;'许可受让方现金流'!P79&amp;"|"&amp;'许可受让方现金流'!P80&amp;"|"&amp;'许可受让方现金流'!P81&amp;"|"&amp;'许可受让方现金流'!P82</x:f>
        <x:v>1|3.6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0.3|0.155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</x:row>
    <x:row r="618" ht="23" customHeight="1">
      <x:c r="A618" s="11" t="str">
        <x:v>09995.HK</x:v>
      </x:c>
      <x:c r="B618" s="11" t="str">
        <x:v>荣昌生物</x:v>
      </x:c>
      <x:c r="C618" s="11" t="str">
        <x:v>三年</x:v>
      </x:c>
      <x:c r="D618" s="11" t="str">
        <x:v>乐观</x:v>
      </x:c>
      <x:c r="E618" s="11" t="n">
        <x:v>70.4</x:v>
      </x:c>
      <x:c r="F618" s="11" t="n">
        <x:v>290.71739161195336</x:v>
      </x:c>
      <x:c r="G618" s="11" t="n">
        <x:v>0</x:v>
      </x:c>
      <x:c r="H618" s="25" t="n">
        <x:v>3.1295084035788827</x:v>
      </x:c>
      <x:c r="I618" s="25" t="n">
        <x:v>3.1295084035788827</x:v>
      </x:c>
      <x:c r="J618" s="25" t="n">
        <x:v>0.6043512294074074</x:v>
      </x:c>
      <x:c r="K618" s="11" t="n">
        <x:v>0</x:v>
      </x:c>
      <x:c r="L618" s="11" t="n">
        <x:v>0</x:v>
      </x:c>
      <x:c r="M618" s="11" t="n">
        <x:v>1.1</x:v>
      </x:c>
      <x:c r="N618" s="11" t="n">
        <x:v>0</x:v>
      </x:c>
      <x:c r="O618" s="11" t="n">
        <x:v>0</x:v>
      </x:c>
      <x:c r="P618" s="11" t="n">
        <x:v>0</x:v>
      </x:c>
      <x:c r="Q618" s="11" t="n">
        <x:v>0.596</x:v>
      </x:c>
      <x:c r="R618" s="11" t="str">
        <x:v>remegen-v2-finite-assets-Vor-residual-return-aligned-score</x:v>
      </x:c>
      <x:c r="S618" s="11" t="str">
        <x:v>2026-10-10</x:v>
      </x:c>
      <x:c r="T618" s="11" t="str">
        <x:f>IF(AND(SUM(IF(K618='假设'!E822,0,1),IF(L618='假设'!F822,0,1),IF(M618='假设'!G822,0,1),IF(N618='假设'!H822,0,1),IF(O618='假设'!I822,0,1),IF(P618='假设'!J822,0,1),IF(Q618='假设'!K822,0,1))=0,U618=V618),"已刷新","待刷新")</x:f>
        <x:v>已刷新</x:v>
      </x:c>
      <x:c r="U618" t="str">
        <x:v>1|6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1.2|0.13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  <x:c r="V618" t="str">
        <x:f>'假设'!U822&amp;"|"&amp;'假设'!N822&amp;"|"&amp;'假设'!Q822&amp;"|"&amp;'管线假设'!E1470&amp;"|"&amp;'管线假设'!F1470&amp;"|"&amp;'管线假设'!G1470&amp;"|"&amp;'管线假设'!H1470&amp;"|"&amp;'管线假设'!I1470&amp;"|"&amp;'管线假设'!E1474&amp;"|"&amp;'管线假设'!F1474&amp;"|"&amp;'管线假设'!G1474&amp;"|"&amp;'管线假设'!H1474&amp;"|"&amp;'管线假设'!I1474&amp;"|"&amp;'管线假设'!E1478&amp;"|"&amp;'管线假设'!F1478&amp;"|"&amp;'管线假设'!G1478&amp;"|"&amp;'管线假设'!H1478&amp;"|"&amp;'管线假设'!I1478&amp;"|"&amp;'管线假设'!E1482&amp;"|"&amp;'管线假设'!F1482&amp;"|"&amp;'管线假设'!G1482&amp;"|"&amp;'管线假设'!H1482&amp;"|"&amp;'管线假设'!I1482&amp;"|"&amp;'管线假设'!E1486&amp;"|"&amp;'管线假设'!F1486&amp;"|"&amp;'管线假设'!G1486&amp;"|"&amp;'管线假设'!H1486&amp;"|"&amp;'管线假设'!I1486&amp;"|"&amp;'管线假设'!E1490&amp;"|"&amp;'管线假设'!F1490&amp;"|"&amp;'管线假设'!G1490&amp;"|"&amp;'管线假设'!H1490&amp;"|"&amp;'管线假设'!I1490&amp;"|"&amp;'管线假设'!E1494&amp;"|"&amp;'管线假设'!F1494&amp;"|"&amp;'管线假设'!G1494&amp;"|"&amp;'管线假设'!H1494&amp;"|"&amp;'管线假设'!I1494&amp;"|"&amp;'管线假设'!E1498&amp;"|"&amp;'管线假设'!F1498&amp;"|"&amp;'管线假设'!G1498&amp;"|"&amp;'管线假设'!H1498&amp;"|"&amp;'管线假设'!I1498&amp;"|"&amp;'管线假设'!E1502&amp;"|"&amp;'管线假设'!F1502&amp;"|"&amp;'管线假设'!G1502&amp;"|"&amp;'管线假设'!H1502&amp;"|"&amp;'管线假设'!I1502&amp;"|"&amp;'管线假设'!E1506&amp;"|"&amp;'管线假设'!F1506&amp;"|"&amp;'管线假设'!G1506&amp;"|"&amp;'管线假设'!H1506&amp;"|"&amp;'管线假设'!I1506&amp;"|"&amp;'管线现金流'!J6857&amp;"|"&amp;'管线现金流'!AL6857&amp;"|"&amp;'管线现金流'!J6858&amp;"|"&amp;'管线现金流'!AL6858&amp;"|"&amp;'管线现金流'!J6859&amp;"|"&amp;'管线现金流'!AL6859&amp;"|"&amp;'管线现金流'!J6860&amp;"|"&amp;'管线现金流'!AL6860&amp;"|"&amp;'管线现金流'!J6861&amp;"|"&amp;'管线现金流'!AL6861&amp;"|"&amp;'管线现金流'!J6862&amp;"|"&amp;'管线现金流'!AL6862&amp;"|"&amp;'管线现金流'!J6863&amp;"|"&amp;'管线现金流'!AL6863&amp;"|"&amp;'管线现金流'!J6864&amp;"|"&amp;'管线现金流'!AL6864&amp;"|"&amp;'管线现金流'!J6865&amp;"|"&amp;'管线现金流'!AL6865&amp;"|"&amp;'管线现金流'!J6866&amp;"|"&amp;'管线现金流'!AL6866&amp;"|"&amp;'管线现金流'!J6867&amp;"|"&amp;'管线现金流'!AL6867&amp;"|"&amp;'管线现金流'!J6868&amp;"|"&amp;'管线现金流'!AL6868&amp;"|"&amp;'管线现金流'!J6869&amp;"|"&amp;'管线现金流'!AL6869&amp;"|"&amp;'管线现金流'!J6870&amp;"|"&amp;'管线现金流'!AL6870&amp;"|"&amp;'管线现金流'!J6871&amp;"|"&amp;'管线现金流'!AL6871&amp;"|"&amp;'管线现金流'!J6872&amp;"|"&amp;'管线现金流'!AL6872&amp;"|"&amp;'管线现金流'!J6873&amp;"|"&amp;'管线现金流'!AL6873&amp;"|"&amp;'管线现金流'!J6874&amp;"|"&amp;'管线现金流'!AL6874&amp;"|"&amp;'管线现金流'!J6875&amp;"|"&amp;'管线现金流'!AL6875&amp;"|"&amp;'管线现金流'!J6876&amp;"|"&amp;'管线现金流'!AL6876&amp;"|"&amp;'管线现金流'!J6877&amp;"|"&amp;'管线现金流'!AL6877&amp;"|"&amp;'管线现金流'!J6878&amp;"|"&amp;'管线现金流'!AL6878&amp;"|"&amp;'管线现金流'!J6879&amp;"|"&amp;'管线现金流'!AL6879&amp;"|"&amp;'管线现金流'!J6880&amp;"|"&amp;'管线现金流'!AL6880&amp;"|"&amp;'管线现金流'!J6881&amp;"|"&amp;'管线现金流'!AL6881&amp;"|"&amp;'管线现金流'!J6882&amp;"|"&amp;'管线现金流'!AL6882&amp;"|"&amp;'管线现金流'!J6883&amp;"|"&amp;'管线现金流'!AL6883&amp;"|"&amp;'管线现金流'!J6884&amp;"|"&amp;'管线现金流'!AL6884&amp;"|"&amp;'管线现金流'!J6885&amp;"|"&amp;'管线现金流'!AL6885&amp;"|"&amp;'管线现金流'!J6886&amp;"|"&amp;'管线现金流'!AL6886&amp;"|"&amp;'管线现金流'!J6887&amp;"|"&amp;'管线现金流'!AL6887&amp;"|"&amp;'管线现金流'!J6888&amp;"|"&amp;'管线现金流'!AL6888&amp;"|"&amp;'管线现金流'!J6889&amp;"|"&amp;'管线现金流'!AL6889&amp;"|"&amp;'管线现金流'!J6890&amp;"|"&amp;'管线现金流'!AL6890&amp;"|"&amp;'管线现金流'!J6891&amp;"|"&amp;'管线现金流'!AL6891&amp;"|"&amp;'管线现金流'!J6892&amp;"|"&amp;'管线现金流'!AL6892&amp;"|"&amp;'管线现金流'!J6893&amp;"|"&amp;'管线现金流'!AL6893&amp;"|"&amp;'管线现金流'!J6894&amp;"|"&amp;'管线现金流'!AL6894&amp;"|"&amp;'管线现金流'!J6895&amp;"|"&amp;'管线现金流'!AL6895&amp;"|"&amp;'管线现金流'!J6896&amp;"|"&amp;'管线现金流'!AL6896&amp;"|"&amp;'管线现金流'!J6897&amp;"|"&amp;'管线现金流'!AL6897&amp;"|"&amp;'管线现金流'!J6898&amp;"|"&amp;'管线现金流'!AL6898&amp;"|"&amp;'管线现金流'!J6899&amp;"|"&amp;'管线现金流'!AL6899&amp;"|"&amp;'管线现金流'!J6900&amp;"|"&amp;'管线现金流'!AL6900&amp;"|"&amp;'管线现金流'!J6901&amp;"|"&amp;'管线现金流'!AL6901&amp;"|"&amp;'管线现金流'!J6902&amp;"|"&amp;'管线现金流'!AL6902&amp;"|"&amp;'管线现金流'!J6903&amp;"|"&amp;'管线现金流'!AL6903&amp;"|"&amp;'管线现金流'!J6904&amp;"|"&amp;'管线现金流'!AL6904&amp;"|"&amp;'管线现金流'!J6905&amp;"|"&amp;'管线现金流'!AL6905&amp;"|"&amp;'管线现金流'!J6906&amp;"|"&amp;'管线现金流'!AL6906&amp;"|"&amp;'管线现金流'!J6907&amp;"|"&amp;'管线现金流'!AL6907&amp;"|"&amp;'管线现金流'!J6908&amp;"|"&amp;'管线现金流'!AL6908&amp;"|"&amp;'管线现金流'!J6909&amp;"|"&amp;'管线现金流'!AL6909&amp;"|"&amp;'管线现金流'!J6910&amp;"|"&amp;'管线现金流'!AL6910&amp;"|"&amp;'管线现金流'!J6911&amp;"|"&amp;'管线现金流'!AL6911&amp;"|"&amp;'管线现金流'!J6912&amp;"|"&amp;'管线现金流'!AL6912&amp;"|"&amp;'管线现金流'!J6913&amp;"|"&amp;'管线现金流'!AL6913&amp;"|"&amp;'管线现金流'!J6914&amp;"|"&amp;'管线现金流'!AL6914&amp;"|"&amp;'管线现金流'!J6915&amp;"|"&amp;'管线现金流'!AL6915&amp;"|"&amp;'管线现金流'!J6916&amp;"|"&amp;'管线现金流'!AL6916&amp;"|"&amp;'管线现金流'!J6917&amp;"|"&amp;'管线现金流'!AL6917&amp;"|"&amp;'管线现金流'!J6918&amp;"|"&amp;'管线现金流'!AL6918&amp;"|"&amp;'管线现金流'!J6919&amp;"|"&amp;'管线现金流'!AL6919&amp;"|"&amp;'管线现金流'!J6920&amp;"|"&amp;'管线现金流'!AL6920&amp;"|"&amp;'管线现金流'!J6921&amp;"|"&amp;'管线现金流'!AL6921&amp;"|"&amp;'管线现金流'!J6922&amp;"|"&amp;'管线现金流'!AL6922&amp;"|"&amp;'管线现金流'!J6923&amp;"|"&amp;'管线现金流'!AL6923&amp;"|"&amp;'管线现金流'!J6924&amp;"|"&amp;'管线现金流'!AL6924&amp;"|"&amp;'管线现金流'!J6925&amp;"|"&amp;'管线现金流'!AL6925&amp;"|"&amp;'管线现金流'!J6926&amp;"|"&amp;'管线现金流'!AL6926&amp;"|"&amp;'管线现金流'!J6927&amp;"|"&amp;'管线现金流'!AL6927&amp;"|"&amp;'管线现金流'!J6928&amp;"|"&amp;'管线现金流'!AL6928&amp;"|"&amp;'管线现金流'!J6929&amp;"|"&amp;'管线现金流'!AL6929&amp;"|"&amp;'管线现金流'!J6930&amp;"|"&amp;'管线现金流'!AL6930&amp;"|"&amp;'管线现金流'!J6931&amp;"|"&amp;'管线现金流'!AL6931&amp;"|"&amp;'管线现金流'!J6932&amp;"|"&amp;'管线现金流'!AL6932&amp;"|"&amp;'管线现金流'!J6933&amp;"|"&amp;'管线现金流'!AL6933&amp;"|"&amp;'管线现金流'!J6934&amp;"|"&amp;'管线现金流'!AL6934&amp;"|"&amp;'管线现金流'!J6935&amp;"|"&amp;'管线现金流'!AL6935&amp;"|"&amp;'管线现金流'!J6936&amp;"|"&amp;'管线现金流'!AL6936&amp;"|"&amp;'管线现金流'!J6937&amp;"|"&amp;'管线现金流'!AL6937&amp;"|"&amp;'管线现金流'!J6938&amp;"|"&amp;'管线现金流'!AL6938&amp;"|"&amp;'管线现金流'!J6939&amp;"|"&amp;'管线现金流'!AL6939&amp;"|"&amp;'管线现金流'!J6940&amp;"|"&amp;'管线现金流'!AL6940&amp;"|"&amp;'管线现金流'!J6941&amp;"|"&amp;'管线现金流'!AL6941&amp;"|"&amp;'管线现金流'!J6942&amp;"|"&amp;'管线现金流'!AL6942&amp;"|"&amp;'管线现金流'!J6943&amp;"|"&amp;'管线现金流'!AL6943&amp;"|"&amp;'管线现金流'!J6944&amp;"|"&amp;'管线现金流'!AL6944&amp;"|"&amp;'管线现金流'!J6945&amp;"|"&amp;'管线现金流'!AL6945&amp;"|"&amp;'管线现金流'!J6946&amp;"|"&amp;'管线现金流'!AL6946&amp;"|"&amp;'管线现金流'!J6947&amp;"|"&amp;'管线现金流'!AL6947&amp;"|"&amp;'管线现金流'!J6948&amp;"|"&amp;'管线现金流'!AL6948&amp;"|"&amp;'管线现金流'!J6949&amp;"|"&amp;'管线现金流'!AL6949&amp;"|"&amp;'管线现金流'!J6950&amp;"|"&amp;'管线现金流'!AL6950&amp;"|"&amp;'管线现金流'!J6951&amp;"|"&amp;'管线现金流'!AL6951&amp;"|"&amp;'管线现金流'!J6952&amp;"|"&amp;'管线现金流'!AL6952&amp;"|"&amp;'管线现金流'!J6953&amp;"|"&amp;'管线现金流'!AL6953&amp;"|"&amp;'管线现金流'!J6954&amp;"|"&amp;'管线现金流'!AL6954&amp;"|"&amp;'管线现金流'!J6955&amp;"|"&amp;'管线现金流'!AL6955&amp;"|"&amp;'管线现金流'!J6956&amp;"|"&amp;'管线现金流'!AL6956&amp;"|"&amp;'管线现金流'!J6957&amp;"|"&amp;'管线现金流'!AL6957&amp;"|"&amp;'管线现金流'!J6958&amp;"|"&amp;'管线现金流'!AL6958&amp;"|"&amp;'管线现金流'!J6959&amp;"|"&amp;'管线现金流'!AL6959&amp;"|"&amp;'管线现金流'!J6960&amp;"|"&amp;'管线现金流'!AL6960&amp;"|"&amp;'管线现金流'!J6961&amp;"|"&amp;'管线现金流'!AL6961&amp;"|"&amp;'管线现金流'!J6962&amp;"|"&amp;'管线现金流'!AL6962&amp;"|"&amp;'管线现金流'!J6963&amp;"|"&amp;'管线现金流'!AL6963&amp;"|"&amp;'管线现金流'!J6964&amp;"|"&amp;'管线现金流'!AL6964&amp;"|"&amp;'管线现金流'!J6965&amp;"|"&amp;'管线现金流'!AL6965&amp;"|"&amp;'管线现金流'!J6966&amp;"|"&amp;'管线现金流'!AL6966&amp;"|"&amp;'管线现金流'!J6967&amp;"|"&amp;'管线现金流'!AL6967&amp;"|"&amp;'管线现金流'!J6968&amp;"|"&amp;'管线现金流'!AL6968&amp;"|"&amp;'管线现金流'!J6969&amp;"|"&amp;'管线现金流'!AL6969&amp;"|"&amp;'管线现金流'!J6970&amp;"|"&amp;'管线现金流'!AL6970&amp;"|"&amp;'管线现金流'!J6971&amp;"|"&amp;'管线现金流'!AL6971&amp;"|"&amp;'管线现金流'!J6972&amp;"|"&amp;'管线现金流'!AL6972&amp;"|"&amp;'管线现金流'!J6973&amp;"|"&amp;'管线现金流'!AL6973&amp;"|"&amp;'管线现金流'!J6974&amp;"|"&amp;'管线现金流'!AL6974&amp;"|"&amp;'管线现金流'!J6975&amp;"|"&amp;'管线现金流'!AL6975&amp;"|"&amp;'管线现金流'!J6976&amp;"|"&amp;'管线现金流'!AL6976&amp;"|"&amp;'管线现金流'!J6977&amp;"|"&amp;'管线现金流'!AL6977&amp;"|"&amp;'管线现金流'!J6978&amp;"|"&amp;'管线现金流'!AL6978&amp;"|"&amp;'管线现金流'!J6979&amp;"|"&amp;'管线现金流'!AL6979&amp;"|"&amp;'管线现金流'!J6980&amp;"|"&amp;'管线现金流'!AL6980&amp;"|"&amp;'管线现金流'!J6981&amp;"|"&amp;'管线现金流'!AL6981&amp;"|"&amp;'管线现金流'!J6982&amp;"|"&amp;'管线现金流'!AL6982&amp;"|"&amp;'管线现金流'!J6983&amp;"|"&amp;'管线现金流'!AL6983&amp;"|"&amp;'管线现金流'!J6984&amp;"|"&amp;'管线现金流'!AL6984&amp;"|"&amp;'管线现金流'!J6985&amp;"|"&amp;'管线现金流'!AL6985&amp;"|"&amp;'管线现金流'!J6986&amp;"|"&amp;'管线现金流'!AL6986&amp;"|"&amp;'管线现金流'!J6987&amp;"|"&amp;'管线现金流'!AL6987&amp;"|"&amp;'管线现金流'!J6988&amp;"|"&amp;'管线现金流'!AL6988&amp;"|"&amp;'管线现金流'!J6989&amp;"|"&amp;'管线现金流'!AL6989&amp;"|"&amp;'管线现金流'!J6990&amp;"|"&amp;'管线现金流'!AL6990&amp;"|"&amp;'管线现金流'!J6991&amp;"|"&amp;'管线现金流'!AL6991&amp;"|"&amp;'管线现金流'!J6992&amp;"|"&amp;'管线现金流'!AL6992&amp;"|"&amp;'管线现金流'!J6993&amp;"|"&amp;'管线现金流'!AL6993&amp;"|"&amp;'管线现金流'!J6994&amp;"|"&amp;'管线现金流'!AL6994&amp;"|"&amp;'管线现金流'!J6995&amp;"|"&amp;'管线现金流'!AL6995&amp;"|"&amp;'管线现金流'!J6996&amp;"|"&amp;'管线现金流'!AL6996&amp;"|"&amp;'管线现金流'!J6997&amp;"|"&amp;'管线现金流'!AL6997&amp;"|"&amp;'管线现金流'!J6998&amp;"|"&amp;'管线现金流'!AL6998&amp;"|"&amp;'管线现金流'!J6999&amp;"|"&amp;'管线现金流'!AL6999&amp;"|"&amp;'管线现金流'!J7000&amp;"|"&amp;'管线现金流'!AL7000&amp;"|"&amp;'管线现金流'!J7001&amp;"|"&amp;'管线现金流'!AL7001&amp;"|"&amp;'管线现金流'!J7002&amp;"|"&amp;'管线现金流'!AL7002&amp;"|"&amp;'管线现金流'!J7003&amp;"|"&amp;'管线现金流'!AL7003&amp;"|"&amp;'管线现金流'!J7004&amp;"|"&amp;'管线现金流'!AL7004&amp;"|"&amp;'管线现金流'!J7005&amp;"|"&amp;'管线现金流'!AL7005&amp;"|"&amp;'管线现金流'!J7006&amp;"|"&amp;'管线现金流'!AL7006&amp;"|"&amp;'管线现金流'!J7007&amp;"|"&amp;'管线现金流'!AL7007&amp;"|"&amp;'管线现金流'!J7008&amp;"|"&amp;'管线现金流'!AL7008&amp;"|"&amp;'管线现金流'!J7009&amp;"|"&amp;'管线现金流'!AL7009&amp;"|"&amp;'管线现金流'!J7010&amp;"|"&amp;'管线现金流'!AL7010&amp;"|"&amp;'管线现金流'!J7011&amp;"|"&amp;'管线现金流'!AL7011&amp;"|"&amp;'管线现金流'!J7012&amp;"|"&amp;'管线现金流'!AL7012&amp;"|"&amp;'管线现金流'!J7013&amp;"|"&amp;'管线现金流'!AL7013&amp;"|"&amp;'管线现金流'!J7014&amp;"|"&amp;'管线现金流'!AL7014&amp;"|"&amp;'管线现金流'!J7015&amp;"|"&amp;'管线现金流'!AL7015&amp;"|"&amp;'管线现金流'!J7016&amp;"|"&amp;'管线现金流'!AL7016&amp;"|"&amp;'管线现金流'!J7017&amp;"|"&amp;'管线现金流'!AL7017&amp;"|"&amp;'管线现金流'!J7018&amp;"|"&amp;'管线现金流'!AL7018&amp;"|"&amp;'管线现金流'!J7019&amp;"|"&amp;'管线现金流'!AL7019&amp;"|"&amp;'管线现金流'!J7020&amp;"|"&amp;'管线现金流'!AL7020&amp;"|"&amp;'管线现金流'!J7021&amp;"|"&amp;'管线现金流'!AL7021&amp;"|"&amp;'管线现金流'!J7022&amp;"|"&amp;'管线现金流'!AL7022&amp;"|"&amp;'管线现金流'!J7023&amp;"|"&amp;'管线现金流'!AL7023&amp;"|"&amp;'管线现金流'!J7024&amp;"|"&amp;'管线现金流'!AL7024&amp;"|"&amp;'管线现金流'!J7025&amp;"|"&amp;'管线现金流'!AL7025&amp;"|"&amp;'管线现金流'!J7026&amp;"|"&amp;'管线现金流'!AL7026&amp;"|"&amp;'管线现金流'!J7027&amp;"|"&amp;'管线现金流'!AL7027&amp;"|"&amp;'管线现金流'!J7028&amp;"|"&amp;'管线现金流'!AL7028&amp;"|"&amp;'管线现金流'!J7029&amp;"|"&amp;'管线现金流'!AL7029&amp;"|"&amp;'管线现金流'!J7030&amp;"|"&amp;'管线现金流'!AL7030&amp;"|"&amp;'管线现金流'!J7031&amp;"|"&amp;'管线现金流'!AL7031&amp;"|"&amp;'管线现金流'!J7032&amp;"|"&amp;'管线现金流'!AL7032&amp;"|"&amp;'管线现金流'!J7033&amp;"|"&amp;'管线现金流'!AL7033&amp;"|"&amp;'管线现金流'!J7034&amp;"|"&amp;'管线现金流'!AL7034&amp;"|"&amp;'管线现金流'!J7035&amp;"|"&amp;'管线现金流'!AL7035&amp;"|"&amp;'管线现金流'!J7036&amp;"|"&amp;'管线现金流'!AL7036&amp;"|"&amp;'管线现金流'!J7037&amp;"|"&amp;'管线现金流'!AL7037&amp;"|"&amp;'管线现金流'!J7038&amp;"|"&amp;'管线现金流'!AL7038&amp;"|"&amp;'管线现金流'!J7039&amp;"|"&amp;'管线现金流'!AL7039&amp;"|"&amp;'管线现金流'!J7040&amp;"|"&amp;'管线现金流'!AL7040&amp;"|"&amp;'管线现金流'!J7041&amp;"|"&amp;'管线现金流'!AL7041&amp;"|"&amp;'管线现金流'!J7042&amp;"|"&amp;'管线现金流'!AL7042&amp;"|"&amp;'管线现金流'!J7043&amp;"|"&amp;'管线现金流'!AL7043&amp;"|"&amp;'管线现金流'!J7044&amp;"|"&amp;'管线现金流'!AL7044&amp;"|"&amp;'管线现金流'!J7045&amp;"|"&amp;'管线现金流'!AL7045&amp;"|"&amp;'管线现金流'!J7046&amp;"|"&amp;'管线现金流'!AL7046&amp;"|"&amp;'管线现金流'!W132&amp;"|"&amp;'管线现金流'!Z132&amp;"|"&amp;'管线现金流'!AQ132&amp;"|"&amp;'管线现金流'!AT132&amp;"|"&amp;'管线现金流'!W133&amp;"|"&amp;'管线现金流'!Z133&amp;"|"&amp;'管线现金流'!AQ133&amp;"|"&amp;'管线现金流'!AT133&amp;"|"&amp;'管线现金流'!W134&amp;"|"&amp;'管线现金流'!Z134&amp;"|"&amp;'管线现金流'!AQ134&amp;"|"&amp;'管线现金流'!AT134&amp;"|"&amp;'管线现金流'!W135&amp;"|"&amp;'管线现金流'!Z135&amp;"|"&amp;'管线现金流'!AQ135&amp;"|"&amp;'管线现金流'!AT135&amp;"|"&amp;'管线现金流'!W136&amp;"|"&amp;'管线现金流'!Z136&amp;"|"&amp;'管线现金流'!AQ136&amp;"|"&amp;'管线现金流'!AT136&amp;"|"&amp;'管线现金流'!W137&amp;"|"&amp;'管线现金流'!Z137&amp;"|"&amp;'管线现金流'!AQ137&amp;"|"&amp;'管线现金流'!AT137&amp;"|"&amp;'管线现金流'!W138&amp;"|"&amp;'管线现金流'!Z138&amp;"|"&amp;'管线现金流'!AQ138&amp;"|"&amp;'管线现金流'!AT138&amp;"|"&amp;'管线现金流'!W139&amp;"|"&amp;'管线现金流'!Z139&amp;"|"&amp;'管线现金流'!AQ139&amp;"|"&amp;'管线现金流'!AT139&amp;"|"&amp;'管线现金流'!W140&amp;"|"&amp;'管线现金流'!Z140&amp;"|"&amp;'管线现金流'!AQ140&amp;"|"&amp;'管线现金流'!AT140&amp;"|"&amp;'管线现金流'!W141&amp;"|"&amp;'管线现金流'!Z141&amp;"|"&amp;'管线现金流'!AQ141&amp;"|"&amp;'管线现金流'!AT141&amp;"|"&amp;'许可受让方假设'!D22&amp;"|"&amp;'许可受让方假设'!E22&amp;"|"&amp;'许可受让方假设'!F22&amp;"|"&amp;'许可受让方假设'!G22&amp;"|"&amp;'许可受让方假设'!H22&amp;"|"&amp;'许可受让方假设'!I22&amp;"|"&amp;'许可受让方假设'!J22&amp;"|"&amp;'许可受让方假设'!K22&amp;"|"&amp;'许可受让方现金流'!Q64&amp;"|"&amp;'许可受让方现金流'!Q65&amp;"|"&amp;'许可受让方现金流'!Q66&amp;"|"&amp;'许可受让方现金流'!Q67&amp;"|"&amp;'许可受让方现金流'!Q68&amp;"|"&amp;'许可受让方现金流'!Q69&amp;"|"&amp;'许可受让方现金流'!Q70&amp;"|"&amp;'许可受让方现金流'!Q71&amp;"|"&amp;'许可受让方现金流'!Q72&amp;"|"&amp;'许可受让方现金流'!Q73&amp;"|"&amp;'许可受让方现金流'!Q74&amp;"|"&amp;'许可受让方现金流'!Q75&amp;"|"&amp;'许可受让方现金流'!Q76&amp;"|"&amp;'许可受让方现金流'!Q77&amp;"|"&amp;'许可受让方现金流'!Q78&amp;"|"&amp;'许可受让方现金流'!Q79&amp;"|"&amp;'许可受让方现金流'!Q80&amp;"|"&amp;'许可受让方现金流'!Q81&amp;"|"&amp;'许可受让方现金流'!Q82</x:f>
        <x:v>1|6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1.2|0.13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</x:row>
    <x:row r="619" ht="23" customHeight="1">
      <x:c r="A619" s="11" t="str">
        <x:v>09995.HK</x:v>
      </x:c>
      <x:c r="B619" s="11" t="str">
        <x:v>荣昌生物</x:v>
      </x:c>
      <x:c r="C619" s="11" t="str">
        <x:v>五年</x:v>
      </x:c>
      <x:c r="D619" s="11" t="str">
        <x:v>悲观</x:v>
      </x:c>
      <x:c r="E619" s="11" t="n">
        <x:v>70.4</x:v>
      </x:c>
      <x:c r="F619" s="11" t="n">
        <x:v>4.4318146328382255</x:v>
      </x:c>
      <x:c r="G619" s="11" t="n">
        <x:v>0</x:v>
      </x:c>
      <x:c r="H619" s="25" t="n">
        <x:v>-0.9370480876017298</x:v>
      </x:c>
      <x:c r="I619" s="25" t="n">
        <x:v>-0.9370480876017298</x:v>
      </x:c>
      <x:c r="J619" s="25" t="n">
        <x:v>-0.4248226367159653</x:v>
      </x:c>
      <x:c r="K619" s="11" t="n">
        <x:v>0</x:v>
      </x:c>
      <x:c r="L619" s="11" t="n">
        <x:v>0</x:v>
      </x:c>
      <x:c r="M619" s="11" t="n">
        <x:v>1.1</x:v>
      </x:c>
      <x:c r="N619" s="11" t="n">
        <x:v>0</x:v>
      </x:c>
      <x:c r="O619" s="11" t="n">
        <x:v>0</x:v>
      </x:c>
      <x:c r="P619" s="11" t="n">
        <x:v>0</x:v>
      </x:c>
      <x:c r="Q619" s="11" t="n">
        <x:v>0.8</x:v>
      </x:c>
      <x:c r="R619" s="11" t="str">
        <x:v>remegen-v2-finite-assets-Vor-residual-return-aligned-score</x:v>
      </x:c>
      <x:c r="S619" s="11" t="str">
        <x:v>2026-10-10</x:v>
      </x:c>
      <x:c r="T619" s="11" t="str">
        <x:f>IF(AND(SUM(IF(K619='假设'!E824,0,1),IF(L619='假设'!F824,0,1),IF(M619='假设'!G824,0,1),IF(N619='假设'!H824,0,1),IF(O619='假设'!I824,0,1),IF(P619='假设'!J824,0,1),IF(Q619='假设'!K824,0,1))=0,U619=V619),"已刷新","待刷新")</x:f>
        <x:v>已刷新</x:v>
      </x:c>
      <x:c r="U619" t="str">
        <x:v>1|-0.3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|0.28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  <x:c r="V619" t="str">
        <x:f>'假设'!U824&amp;"|"&amp;'假设'!N824&amp;"|"&amp;'假设'!Q824&amp;"|"&amp;'管线假设'!E1508&amp;"|"&amp;'管线假设'!F1508&amp;"|"&amp;'管线假设'!G1508&amp;"|"&amp;'管线假设'!H1508&amp;"|"&amp;'管线假设'!I1508&amp;"|"&amp;'管线假设'!E1512&amp;"|"&amp;'管线假设'!F1512&amp;"|"&amp;'管线假设'!G1512&amp;"|"&amp;'管线假设'!H1512&amp;"|"&amp;'管线假设'!I1512&amp;"|"&amp;'管线假设'!E1516&amp;"|"&amp;'管线假设'!F1516&amp;"|"&amp;'管线假设'!G1516&amp;"|"&amp;'管线假设'!H1516&amp;"|"&amp;'管线假设'!I1516&amp;"|"&amp;'管线假设'!E1520&amp;"|"&amp;'管线假设'!F1520&amp;"|"&amp;'管线假设'!G1520&amp;"|"&amp;'管线假设'!H1520&amp;"|"&amp;'管线假设'!I1520&amp;"|"&amp;'管线假设'!E1524&amp;"|"&amp;'管线假设'!F1524&amp;"|"&amp;'管线假设'!G1524&amp;"|"&amp;'管线假设'!H1524&amp;"|"&amp;'管线假设'!I1524&amp;"|"&amp;'管线假设'!E1528&amp;"|"&amp;'管线假设'!F1528&amp;"|"&amp;'管线假设'!G1528&amp;"|"&amp;'管线假设'!H1528&amp;"|"&amp;'管线假设'!I1528&amp;"|"&amp;'管线假设'!E1532&amp;"|"&amp;'管线假设'!F1532&amp;"|"&amp;'管线假设'!G1532&amp;"|"&amp;'管线假设'!H1532&amp;"|"&amp;'管线假设'!I1532&amp;"|"&amp;'管线假设'!E1536&amp;"|"&amp;'管线假设'!F1536&amp;"|"&amp;'管线假设'!G1536&amp;"|"&amp;'管线假设'!H1536&amp;"|"&amp;'管线假设'!I1536&amp;"|"&amp;'管线假设'!E1540&amp;"|"&amp;'管线假设'!F1540&amp;"|"&amp;'管线假设'!G1540&amp;"|"&amp;'管线假设'!H1540&amp;"|"&amp;'管线假设'!I1540&amp;"|"&amp;'管线假设'!E1544&amp;"|"&amp;'管线假设'!F1544&amp;"|"&amp;'管线假设'!G1544&amp;"|"&amp;'管线假设'!H1544&amp;"|"&amp;'管线假设'!I1544&amp;"|"&amp;'管线现金流'!H7047&amp;"|"&amp;'管线现金流'!AJ7047&amp;"|"&amp;'管线现金流'!H7048&amp;"|"&amp;'管线现金流'!AJ7048&amp;"|"&amp;'管线现金流'!H7049&amp;"|"&amp;'管线现金流'!AJ7049&amp;"|"&amp;'管线现金流'!H7050&amp;"|"&amp;'管线现金流'!AJ7050&amp;"|"&amp;'管线现金流'!H7051&amp;"|"&amp;'管线现金流'!AJ7051&amp;"|"&amp;'管线现金流'!H7052&amp;"|"&amp;'管线现金流'!AJ7052&amp;"|"&amp;'管线现金流'!H7053&amp;"|"&amp;'管线现金流'!AJ7053&amp;"|"&amp;'管线现金流'!H7054&amp;"|"&amp;'管线现金流'!AJ7054&amp;"|"&amp;'管线现金流'!H7055&amp;"|"&amp;'管线现金流'!AJ7055&amp;"|"&amp;'管线现金流'!H7056&amp;"|"&amp;'管线现金流'!AJ7056&amp;"|"&amp;'管线现金流'!H7057&amp;"|"&amp;'管线现金流'!AJ7057&amp;"|"&amp;'管线现金流'!H7058&amp;"|"&amp;'管线现金流'!AJ7058&amp;"|"&amp;'管线现金流'!H7059&amp;"|"&amp;'管线现金流'!AJ7059&amp;"|"&amp;'管线现金流'!H7060&amp;"|"&amp;'管线现金流'!AJ7060&amp;"|"&amp;'管线现金流'!H7061&amp;"|"&amp;'管线现金流'!AJ7061&amp;"|"&amp;'管线现金流'!H7062&amp;"|"&amp;'管线现金流'!AJ7062&amp;"|"&amp;'管线现金流'!H7063&amp;"|"&amp;'管线现金流'!AJ7063&amp;"|"&amp;'管线现金流'!H7064&amp;"|"&amp;'管线现金流'!AJ7064&amp;"|"&amp;'管线现金流'!H7065&amp;"|"&amp;'管线现金流'!AJ7065&amp;"|"&amp;'管线现金流'!H7066&amp;"|"&amp;'管线现金流'!AJ7066&amp;"|"&amp;'管线现金流'!H7067&amp;"|"&amp;'管线现金流'!AJ7067&amp;"|"&amp;'管线现金流'!H7068&amp;"|"&amp;'管线现金流'!AJ7068&amp;"|"&amp;'管线现金流'!H7069&amp;"|"&amp;'管线现金流'!AJ7069&amp;"|"&amp;'管线现金流'!H7070&amp;"|"&amp;'管线现金流'!AJ7070&amp;"|"&amp;'管线现金流'!H7071&amp;"|"&amp;'管线现金流'!AJ7071&amp;"|"&amp;'管线现金流'!H7072&amp;"|"&amp;'管线现金流'!AJ7072&amp;"|"&amp;'管线现金流'!H7073&amp;"|"&amp;'管线现金流'!AJ7073&amp;"|"&amp;'管线现金流'!H7074&amp;"|"&amp;'管线现金流'!AJ7074&amp;"|"&amp;'管线现金流'!H7075&amp;"|"&amp;'管线现金流'!AJ7075&amp;"|"&amp;'管线现金流'!H7076&amp;"|"&amp;'管线现金流'!AJ7076&amp;"|"&amp;'管线现金流'!H7077&amp;"|"&amp;'管线现金流'!AJ7077&amp;"|"&amp;'管线现金流'!H7078&amp;"|"&amp;'管线现金流'!AJ7078&amp;"|"&amp;'管线现金流'!H7079&amp;"|"&amp;'管线现金流'!AJ7079&amp;"|"&amp;'管线现金流'!H7080&amp;"|"&amp;'管线现金流'!AJ7080&amp;"|"&amp;'管线现金流'!H7081&amp;"|"&amp;'管线现金流'!AJ7081&amp;"|"&amp;'管线现金流'!H7082&amp;"|"&amp;'管线现金流'!AJ7082&amp;"|"&amp;'管线现金流'!H7083&amp;"|"&amp;'管线现金流'!AJ7083&amp;"|"&amp;'管线现金流'!H7084&amp;"|"&amp;'管线现金流'!AJ7084&amp;"|"&amp;'管线现金流'!H7085&amp;"|"&amp;'管线现金流'!AJ7085&amp;"|"&amp;'管线现金流'!H7086&amp;"|"&amp;'管线现金流'!AJ7086&amp;"|"&amp;'管线现金流'!H7087&amp;"|"&amp;'管线现金流'!AJ7087&amp;"|"&amp;'管线现金流'!H7088&amp;"|"&amp;'管线现金流'!AJ7088&amp;"|"&amp;'管线现金流'!H7089&amp;"|"&amp;'管线现金流'!AJ7089&amp;"|"&amp;'管线现金流'!H7090&amp;"|"&amp;'管线现金流'!AJ7090&amp;"|"&amp;'管线现金流'!H7091&amp;"|"&amp;'管线现金流'!AJ7091&amp;"|"&amp;'管线现金流'!H7092&amp;"|"&amp;'管线现金流'!AJ7092&amp;"|"&amp;'管线现金流'!H7093&amp;"|"&amp;'管线现金流'!AJ7093&amp;"|"&amp;'管线现金流'!H7094&amp;"|"&amp;'管线现金流'!AJ7094&amp;"|"&amp;'管线现金流'!H7095&amp;"|"&amp;'管线现金流'!AJ7095&amp;"|"&amp;'管线现金流'!H7096&amp;"|"&amp;'管线现金流'!AJ7096&amp;"|"&amp;'管线现金流'!H7097&amp;"|"&amp;'管线现金流'!AJ7097&amp;"|"&amp;'管线现金流'!H7098&amp;"|"&amp;'管线现金流'!AJ7098&amp;"|"&amp;'管线现金流'!H7099&amp;"|"&amp;'管线现金流'!AJ7099&amp;"|"&amp;'管线现金流'!H7100&amp;"|"&amp;'管线现金流'!AJ7100&amp;"|"&amp;'管线现金流'!H7101&amp;"|"&amp;'管线现金流'!AJ7101&amp;"|"&amp;'管线现金流'!H7102&amp;"|"&amp;'管线现金流'!AJ7102&amp;"|"&amp;'管线现金流'!H7103&amp;"|"&amp;'管线现金流'!AJ7103&amp;"|"&amp;'管线现金流'!H7104&amp;"|"&amp;'管线现金流'!AJ7104&amp;"|"&amp;'管线现金流'!H7105&amp;"|"&amp;'管线现金流'!AJ7105&amp;"|"&amp;'管线现金流'!H7106&amp;"|"&amp;'管线现金流'!AJ7106&amp;"|"&amp;'管线现金流'!H7107&amp;"|"&amp;'管线现金流'!AJ7107&amp;"|"&amp;'管线现金流'!H7108&amp;"|"&amp;'管线现金流'!AJ7108&amp;"|"&amp;'管线现金流'!H7109&amp;"|"&amp;'管线现金流'!AJ7109&amp;"|"&amp;'管线现金流'!H7110&amp;"|"&amp;'管线现金流'!AJ7110&amp;"|"&amp;'管线现金流'!H7111&amp;"|"&amp;'管线现金流'!AJ7111&amp;"|"&amp;'管线现金流'!H7112&amp;"|"&amp;'管线现金流'!AJ7112&amp;"|"&amp;'管线现金流'!H7113&amp;"|"&amp;'管线现金流'!AJ7113&amp;"|"&amp;'管线现金流'!H7114&amp;"|"&amp;'管线现金流'!AJ7114&amp;"|"&amp;'管线现金流'!H7115&amp;"|"&amp;'管线现金流'!AJ7115&amp;"|"&amp;'管线现金流'!H7116&amp;"|"&amp;'管线现金流'!AJ7116&amp;"|"&amp;'管线现金流'!H7117&amp;"|"&amp;'管线现金流'!AJ7117&amp;"|"&amp;'管线现金流'!H7118&amp;"|"&amp;'管线现金流'!AJ7118&amp;"|"&amp;'管线现金流'!H7119&amp;"|"&amp;'管线现金流'!AJ7119&amp;"|"&amp;'管线现金流'!H7120&amp;"|"&amp;'管线现金流'!AJ7120&amp;"|"&amp;'管线现金流'!H7121&amp;"|"&amp;'管线现金流'!AJ7121&amp;"|"&amp;'管线现金流'!H7122&amp;"|"&amp;'管线现金流'!AJ7122&amp;"|"&amp;'管线现金流'!H7123&amp;"|"&amp;'管线现金流'!AJ7123&amp;"|"&amp;'管线现金流'!H7124&amp;"|"&amp;'管线现金流'!AJ7124&amp;"|"&amp;'管线现金流'!H7125&amp;"|"&amp;'管线现金流'!AJ7125&amp;"|"&amp;'管线现金流'!H7126&amp;"|"&amp;'管线现金流'!AJ7126&amp;"|"&amp;'管线现金流'!H7127&amp;"|"&amp;'管线现金流'!AJ7127&amp;"|"&amp;'管线现金流'!H7128&amp;"|"&amp;'管线现金流'!AJ7128&amp;"|"&amp;'管线现金流'!H7129&amp;"|"&amp;'管线现金流'!AJ7129&amp;"|"&amp;'管线现金流'!H7130&amp;"|"&amp;'管线现金流'!AJ7130&amp;"|"&amp;'管线现金流'!H7131&amp;"|"&amp;'管线现金流'!AJ7131&amp;"|"&amp;'管线现金流'!H7132&amp;"|"&amp;'管线现金流'!AJ7132&amp;"|"&amp;'管线现金流'!H7133&amp;"|"&amp;'管线现金流'!AJ7133&amp;"|"&amp;'管线现金流'!H7134&amp;"|"&amp;'管线现金流'!AJ7134&amp;"|"&amp;'管线现金流'!H7135&amp;"|"&amp;'管线现金流'!AJ7135&amp;"|"&amp;'管线现金流'!H7136&amp;"|"&amp;'管线现金流'!AJ7136&amp;"|"&amp;'管线现金流'!H7137&amp;"|"&amp;'管线现金流'!AJ7137&amp;"|"&amp;'管线现金流'!H7138&amp;"|"&amp;'管线现金流'!AJ7138&amp;"|"&amp;'管线现金流'!H7139&amp;"|"&amp;'管线现金流'!AJ7139&amp;"|"&amp;'管线现金流'!H7140&amp;"|"&amp;'管线现金流'!AJ7140&amp;"|"&amp;'管线现金流'!H7141&amp;"|"&amp;'管线现金流'!AJ7141&amp;"|"&amp;'管线现金流'!H7142&amp;"|"&amp;'管线现金流'!AJ7142&amp;"|"&amp;'管线现金流'!H7143&amp;"|"&amp;'管线现金流'!AJ7143&amp;"|"&amp;'管线现金流'!H7144&amp;"|"&amp;'管线现金流'!AJ7144&amp;"|"&amp;'管线现金流'!H7145&amp;"|"&amp;'管线现金流'!AJ7145&amp;"|"&amp;'管线现金流'!H7146&amp;"|"&amp;'管线现金流'!AJ7146&amp;"|"&amp;'管线现金流'!H7147&amp;"|"&amp;'管线现金流'!AJ7147&amp;"|"&amp;'管线现金流'!H7148&amp;"|"&amp;'管线现金流'!AJ7148&amp;"|"&amp;'管线现金流'!H7149&amp;"|"&amp;'管线现金流'!AJ7149&amp;"|"&amp;'管线现金流'!H7150&amp;"|"&amp;'管线现金流'!AJ7150&amp;"|"&amp;'管线现金流'!H7151&amp;"|"&amp;'管线现金流'!AJ7151&amp;"|"&amp;'管线现金流'!H7152&amp;"|"&amp;'管线现金流'!AJ7152&amp;"|"&amp;'管线现金流'!H7153&amp;"|"&amp;'管线现金流'!AJ7153&amp;"|"&amp;'管线现金流'!H7154&amp;"|"&amp;'管线现金流'!AJ7154&amp;"|"&amp;'管线现金流'!H7155&amp;"|"&amp;'管线现金流'!AJ7155&amp;"|"&amp;'管线现金流'!H7156&amp;"|"&amp;'管线现金流'!AJ7156&amp;"|"&amp;'管线现金流'!H7157&amp;"|"&amp;'管线现金流'!AJ7157&amp;"|"&amp;'管线现金流'!H7158&amp;"|"&amp;'管线现金流'!AJ7158&amp;"|"&amp;'管线现金流'!H7159&amp;"|"&amp;'管线现金流'!AJ7159&amp;"|"&amp;'管线现金流'!H7160&amp;"|"&amp;'管线现金流'!AJ7160&amp;"|"&amp;'管线现金流'!H7161&amp;"|"&amp;'管线现金流'!AJ7161&amp;"|"&amp;'管线现金流'!H7162&amp;"|"&amp;'管线现金流'!AJ7162&amp;"|"&amp;'管线现金流'!H7163&amp;"|"&amp;'管线现金流'!AJ7163&amp;"|"&amp;'管线现金流'!H7164&amp;"|"&amp;'管线现金流'!AJ7164&amp;"|"&amp;'管线现金流'!H7165&amp;"|"&amp;'管线现金流'!AJ7165&amp;"|"&amp;'管线现金流'!H7166&amp;"|"&amp;'管线现金流'!AJ7166&amp;"|"&amp;'管线现金流'!H7167&amp;"|"&amp;'管线现金流'!AJ7167&amp;"|"&amp;'管线现金流'!H7168&amp;"|"&amp;'管线现金流'!AJ7168&amp;"|"&amp;'管线现金流'!H7169&amp;"|"&amp;'管线现金流'!AJ7169&amp;"|"&amp;'管线现金流'!H7170&amp;"|"&amp;'管线现金流'!AJ7170&amp;"|"&amp;'管线现金流'!H7171&amp;"|"&amp;'管线现金流'!AJ7171&amp;"|"&amp;'管线现金流'!H7172&amp;"|"&amp;'管线现金流'!AJ7172&amp;"|"&amp;'管线现金流'!H7173&amp;"|"&amp;'管线现金流'!AJ7173&amp;"|"&amp;'管线现金流'!H7174&amp;"|"&amp;'管线现金流'!AJ7174&amp;"|"&amp;'管线现金流'!H7175&amp;"|"&amp;'管线现金流'!AJ7175&amp;"|"&amp;'管线现金流'!H7176&amp;"|"&amp;'管线现金流'!AJ7176&amp;"|"&amp;'管线现金流'!H7177&amp;"|"&amp;'管线现金流'!AJ7177&amp;"|"&amp;'管线现金流'!H7178&amp;"|"&amp;'管线现金流'!AJ7178&amp;"|"&amp;'管线现金流'!H7179&amp;"|"&amp;'管线现金流'!AJ7179&amp;"|"&amp;'管线现金流'!H7180&amp;"|"&amp;'管线现金流'!AJ7180&amp;"|"&amp;'管线现金流'!H7181&amp;"|"&amp;'管线现金流'!AJ7181&amp;"|"&amp;'管线现金流'!H7182&amp;"|"&amp;'管线现金流'!AJ7182&amp;"|"&amp;'管线现金流'!H7183&amp;"|"&amp;'管线现金流'!AJ7183&amp;"|"&amp;'管线现金流'!H7184&amp;"|"&amp;'管线现金流'!AJ7184&amp;"|"&amp;'管线现金流'!H7185&amp;"|"&amp;'管线现金流'!AJ7185&amp;"|"&amp;'管线现金流'!H7186&amp;"|"&amp;'管线现金流'!AJ7186&amp;"|"&amp;'管线现金流'!H7187&amp;"|"&amp;'管线现金流'!AJ7187&amp;"|"&amp;'管线现金流'!H7188&amp;"|"&amp;'管线现金流'!AJ7188&amp;"|"&amp;'管线现金流'!H7189&amp;"|"&amp;'管线现金流'!AJ7189&amp;"|"&amp;'管线现金流'!H7190&amp;"|"&amp;'管线现金流'!AJ7190&amp;"|"&amp;'管线现金流'!H7191&amp;"|"&amp;'管线现金流'!AJ7191&amp;"|"&amp;'管线现金流'!H7192&amp;"|"&amp;'管线现金流'!AJ7192&amp;"|"&amp;'管线现金流'!H7193&amp;"|"&amp;'管线现金流'!AJ7193&amp;"|"&amp;'管线现金流'!H7194&amp;"|"&amp;'管线现金流'!AJ7194&amp;"|"&amp;'管线现金流'!H7195&amp;"|"&amp;'管线现金流'!AJ7195&amp;"|"&amp;'管线现金流'!H7196&amp;"|"&amp;'管线现金流'!AJ7196&amp;"|"&amp;'管线现金流'!H7197&amp;"|"&amp;'管线现金流'!AJ7197&amp;"|"&amp;'管线现金流'!H7198&amp;"|"&amp;'管线现金流'!AJ7198&amp;"|"&amp;'管线现金流'!H7199&amp;"|"&amp;'管线现金流'!AJ7199&amp;"|"&amp;'管线现金流'!H7200&amp;"|"&amp;'管线现金流'!AJ7200&amp;"|"&amp;'管线现金流'!H7201&amp;"|"&amp;'管线现金流'!AJ7201&amp;"|"&amp;'管线现金流'!H7202&amp;"|"&amp;'管线现金流'!AJ7202&amp;"|"&amp;'管线现金流'!H7203&amp;"|"&amp;'管线现金流'!AJ7203&amp;"|"&amp;'管线现金流'!H7204&amp;"|"&amp;'管线现金流'!AJ7204&amp;"|"&amp;'管线现金流'!H7205&amp;"|"&amp;'管线现金流'!AJ7205&amp;"|"&amp;'管线现金流'!H7206&amp;"|"&amp;'管线现金流'!AJ7206&amp;"|"&amp;'管线现金流'!H7207&amp;"|"&amp;'管线现金流'!AJ7207&amp;"|"&amp;'管线现金流'!H7208&amp;"|"&amp;'管线现金流'!AJ7208&amp;"|"&amp;'管线现金流'!H7209&amp;"|"&amp;'管线现金流'!AJ7209&amp;"|"&amp;'管线现金流'!H7210&amp;"|"&amp;'管线现金流'!AJ7210&amp;"|"&amp;'管线现金流'!H7211&amp;"|"&amp;'管线现金流'!AJ7211&amp;"|"&amp;'管线现金流'!H7212&amp;"|"&amp;'管线现金流'!AJ7212&amp;"|"&amp;'管线现金流'!H7213&amp;"|"&amp;'管线现金流'!AJ7213&amp;"|"&amp;'管线现金流'!H7214&amp;"|"&amp;'管线现金流'!AJ7214&amp;"|"&amp;'管线现金流'!H7215&amp;"|"&amp;'管线现金流'!AJ7215&amp;"|"&amp;'管线现金流'!H7216&amp;"|"&amp;'管线现金流'!AJ7216&amp;"|"&amp;'管线现金流'!H7217&amp;"|"&amp;'管线现金流'!AJ7217&amp;"|"&amp;'管线现金流'!H7218&amp;"|"&amp;'管线现金流'!AJ7218&amp;"|"&amp;'管线现金流'!H7219&amp;"|"&amp;'管线现金流'!AJ7219&amp;"|"&amp;'管线现金流'!H7220&amp;"|"&amp;'管线现金流'!AJ7220&amp;"|"&amp;'管线现金流'!H7221&amp;"|"&amp;'管线现金流'!AJ7221&amp;"|"&amp;'管线现金流'!H7222&amp;"|"&amp;'管线现金流'!AJ7222&amp;"|"&amp;'管线现金流'!H7223&amp;"|"&amp;'管线现金流'!AJ7223&amp;"|"&amp;'管线现金流'!H7224&amp;"|"&amp;'管线现金流'!AJ7224&amp;"|"&amp;'管线现金流'!H7225&amp;"|"&amp;'管线现金流'!AJ7225&amp;"|"&amp;'管线现金流'!H7226&amp;"|"&amp;'管线现金流'!AJ7226&amp;"|"&amp;'管线现金流'!H7227&amp;"|"&amp;'管线现金流'!AJ7227&amp;"|"&amp;'管线现金流'!H7228&amp;"|"&amp;'管线现金流'!AJ7228&amp;"|"&amp;'管线现金流'!H7229&amp;"|"&amp;'管线现金流'!AJ7229&amp;"|"&amp;'管线现金流'!H7230&amp;"|"&amp;'管线现金流'!AJ7230&amp;"|"&amp;'管线现金流'!H7231&amp;"|"&amp;'管线现金流'!AJ7231&amp;"|"&amp;'管线现金流'!H7232&amp;"|"&amp;'管线现金流'!AJ7232&amp;"|"&amp;'管线现金流'!H7233&amp;"|"&amp;'管线现金流'!AJ7233&amp;"|"&amp;'管线现金流'!H7234&amp;"|"&amp;'管线现金流'!AJ7234&amp;"|"&amp;'管线现金流'!H7235&amp;"|"&amp;'管线现金流'!AJ7235&amp;"|"&amp;'管线现金流'!H7236&amp;"|"&amp;'管线现金流'!AJ7236&amp;"|"&amp;'管线现金流'!U142&amp;"|"&amp;'管线现金流'!X142&amp;"|"&amp;'管线现金流'!AO142&amp;"|"&amp;'管线现金流'!AR142&amp;"|"&amp;'管线现金流'!U143&amp;"|"&amp;'管线现金流'!X143&amp;"|"&amp;'管线现金流'!AO143&amp;"|"&amp;'管线现金流'!AR143&amp;"|"&amp;'管线现金流'!U144&amp;"|"&amp;'管线现金流'!X144&amp;"|"&amp;'管线现金流'!AO144&amp;"|"&amp;'管线现金流'!AR144&amp;"|"&amp;'管线现金流'!U145&amp;"|"&amp;'管线现金流'!X145&amp;"|"&amp;'管线现金流'!AO145&amp;"|"&amp;'管线现金流'!AR145&amp;"|"&amp;'管线现金流'!U146&amp;"|"&amp;'管线现金流'!X146&amp;"|"&amp;'管线现金流'!AO146&amp;"|"&amp;'管线现金流'!AR146&amp;"|"&amp;'管线现金流'!U147&amp;"|"&amp;'管线现金流'!X147&amp;"|"&amp;'管线现金流'!AO147&amp;"|"&amp;'管线现金流'!AR147&amp;"|"&amp;'管线现金流'!U148&amp;"|"&amp;'管线现金流'!X148&amp;"|"&amp;'管线现金流'!AO148&amp;"|"&amp;'管线现金流'!AR148&amp;"|"&amp;'管线现金流'!U149&amp;"|"&amp;'管线现金流'!X149&amp;"|"&amp;'管线现金流'!AO149&amp;"|"&amp;'管线现金流'!AR149&amp;"|"&amp;'管线现金流'!U150&amp;"|"&amp;'管线现金流'!X150&amp;"|"&amp;'管线现金流'!AO150&amp;"|"&amp;'管线现金流'!AR150&amp;"|"&amp;'管线现金流'!U151&amp;"|"&amp;'管线现金流'!X151&amp;"|"&amp;'管线现金流'!AO151&amp;"|"&amp;'管线现金流'!AR151&amp;"|"&amp;'许可受让方假设'!D24&amp;"|"&amp;'许可受让方假设'!E24&amp;"|"&amp;'许可受让方假设'!F24&amp;"|"&amp;'许可受让方假设'!G24&amp;"|"&amp;'许可受让方假设'!H24&amp;"|"&amp;'许可受让方假设'!I24&amp;"|"&amp;'许可受让方假设'!J24&amp;"|"&amp;'许可受让方假设'!K24&amp;"|"&amp;'许可受让方现金流'!O83&amp;"|"&amp;'许可受让方现金流'!O84&amp;"|"&amp;'许可受让方现金流'!O85&amp;"|"&amp;'许可受让方现金流'!O86&amp;"|"&amp;'许可受让方现金流'!O87&amp;"|"&amp;'许可受让方现金流'!O88&amp;"|"&amp;'许可受让方现金流'!O89&amp;"|"&amp;'许可受让方现金流'!O90&amp;"|"&amp;'许可受让方现金流'!O91&amp;"|"&amp;'许可受让方现金流'!O92&amp;"|"&amp;'许可受让方现金流'!O93&amp;"|"&amp;'许可受让方现金流'!O94&amp;"|"&amp;'许可受让方现金流'!O95&amp;"|"&amp;'许可受让方现金流'!O96&amp;"|"&amp;'许可受让方现金流'!O97&amp;"|"&amp;'许可受让方现金流'!O98&amp;"|"&amp;'许可受让方现金流'!O99&amp;"|"&amp;'许可受让方现金流'!O100&amp;"|"&amp;'许可受让方现金流'!O101</x:f>
        <x:v>1|-0.3|0|0.9|0.3|1|0.18|7|0.85|0.25|1|0.18|7|0.15|0.3|1|0.18|7|0.15|0.25|1|0.18|7|0.2|0.28|1|0.18|7|0.18|0.07800000000000001|1|0.18|7|0.25|0.062400000000000004|1|0.18|7|0.2|0.062400000000000004|1|0.18|7|0.1|0.062400000000000004|1|0.18|7|1|0|1|0.18|7|1.65|0.08|1.8|0.08|1.95|0.05|2.1|0|2.2|0|2.25|0|2.2|0|2.1|0|2|0|1.8|0|1.6|0|1.4|0|1.2|0|1|0|0.8|0|0.6|0|0.4|0|0.25|0|0.15|0|0.7|0.06|0.75|0.05|0.8|0.04|0.9|0|0.95|0|1|0|1|0|0.95|0|0.9|0|0.85|0|0.75|0|0.65|0|0.55|0|0.45|0|0.35|0|0.25|0|0.18|0|0.12|0|0.08|0|0|0.08|0|0.08|0|0.06|0|0|0|0|0|0|0.036|0|0.108|0|0.22799999999999998|0|0.39|0|0.51|0|0.6|0|0.6|0|0.57|0|0.54|0|0.48|0|0.39|0|0.3|0|0.21|0|0|0.08|0|0.08|0|0.07|0|0|0|0|0|0|0.06|0|0.18|0|0.38|0|0.65|0|0.85|0|1|0|1|0|0.95|0|0.9|0|0.8|0|0.65|0|0.5|0|0.35|0|0|0.1|0|0.12|0|0.1|0|0|0|0|0.072|0|0.216|0|0.45599999999999996|0|0.78|0|1.02|0|1.2|0|1.2|0|1.14|0|1.08|0|0.96|0|0.78|0|0.6|0|0.42|0|0.24|0|0|0.021|0|0|0|0|0|0|0|0|0|0|0.12|0|0.36|0|0.76|0|1.3|0|1.7|0|2|0|2|0|1.9|0|1.8|0|1.6|0|1.3|0|1|0|0.7|0|0|0.021|0|0|0|0|0|0|0|0|0.06|0|0.18|0|0.38|0|0.65|0|0.85|0|1|0|1|0|0.95|0|0.9|0|0.8|0|0.65|0|0.5|0|0.35|0|0.2|0|0|0.021|0|0|0|0|0|0|0|0|0.06|0|0.18|0|0.38|0|0.65|0|0.85|0|1|0|1|0|0.95|0|0.9|0|0.8|0|0.65|0|0.5|0|0.35|0|0.2|0|0|0.04|0|0.04|0|0|0|0|0|0|0|0|0.03|0|0.09|0|0.19|0|0.325|0|0.425|0|0.5|0|0.5|0|0.475|0|0.45|0|0.4|0|0.325|0|0.25|0|0.175|0|0|0.13|0|0.13390000000000002|0|0.137917|0|0.14205451|0|0.14631614530000003|0|0.150705629659|0|0.15522679854877003|0|0.15988360250523312|0|0.16468011058039014|0|0.16962051389780183|0|0.1747091293147359|0|0.179950403194178|0|0.1853489152900033|0|0.19090938274870342|0|0.19663666423116455|0|0.20253576415809946|0|0.20861183708284248|0|0.21487019219532774|0|0.2213162979611876|0|0|0.8|0.9|0|0|0.8|0.9|0|0|0.8|0.9|0.03|0.25|0.8|1|0|0|0.8|0.9|0.04|0.18|0.8|1|0|0|0.8|0.9|0.03|0.2|0.8|1|0|0|0.8|0.9|0|0|0.8|0.9|0.24|0.8|0.78|0|0.28|0.016|0.002|0.8|0.63|0.6489|0.6683669999999999|0.68841801|0.7090705503000001|0.7303426668090001|0.75225294681327|0.7748205352176682|0.7980651512741983|0.8220071058124243|0.846667318986797|0.872067338556401|0.898229358713093|0.9251762394744858|0.9529315266587205|0.981519472458482|1.0109650566322366|1.0412940083312037|1.07253282858114</x:v>
      </x:c>
    </x:row>
    <x:row r="620" ht="23" customHeight="1">
      <x:c r="A620" s="11" t="str">
        <x:v>09995.HK</x:v>
      </x:c>
      <x:c r="B620" s="11" t="str">
        <x:v>荣昌生物</x:v>
      </x:c>
      <x:c r="C620" s="11" t="str">
        <x:v>五年</x:v>
      </x:c>
      <x:c r="D620" s="11" t="str">
        <x:v>基准</x:v>
      </x:c>
      <x:c r="E620" s="11" t="n">
        <x:v>70.4</x:v>
      </x:c>
      <x:c r="F620" s="11" t="n">
        <x:v>82.35746843120475</x:v>
      </x:c>
      <x:c r="G620" s="11" t="n">
        <x:v>0</x:v>
      </x:c>
      <x:c r="H620" s="25" t="n">
        <x:v>0.16985040385234007</x:v>
      </x:c>
      <x:c r="I620" s="25" t="n">
        <x:v>0.16985040385234007</x:v>
      </x:c>
      <x:c r="J620" s="25" t="n">
        <x:v>0.031872565235682826</x:v>
      </x:c>
      <x:c r="K620" s="11" t="n">
        <x:v>0</x:v>
      </x:c>
      <x:c r="L620" s="11" t="n">
        <x:v>0</x:v>
      </x:c>
      <x:c r="M620" s="11" t="n">
        <x:v>1.1</x:v>
      </x:c>
      <x:c r="N620" s="11" t="n">
        <x:v>0</x:v>
      </x:c>
      <x:c r="O620" s="11" t="n">
        <x:v>0</x:v>
      </x:c>
      <x:c r="P620" s="11" t="n">
        <x:v>0</x:v>
      </x:c>
      <x:c r="Q620" s="11" t="n">
        <x:v>0.675</x:v>
      </x:c>
      <x:c r="R620" s="11" t="str">
        <x:v>remegen-v2-finite-assets-Vor-residual-return-aligned-score</x:v>
      </x:c>
      <x:c r="S620" s="11" t="str">
        <x:v>2026-10-10</x:v>
      </x:c>
      <x:c r="T620" s="11" t="str">
        <x:f>IF(AND(SUM(IF(K620='假设'!E825,0,1),IF(L620='假设'!F825,0,1),IF(M620='假设'!G825,0,1),IF(N620='假设'!H825,0,1),IF(O620='假设'!I825,0,1),IF(P620='假设'!J825,0,1),IF(Q620='假设'!K825,0,1))=0,U620=V620),"已刷新","待刷新")</x:f>
        <x:v>已刷新</x:v>
      </x:c>
      <x:c r="U620" t="str">
        <x:v>1|5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0.8|0.18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  <x:c r="V620" t="str">
        <x:f>'假设'!U825&amp;"|"&amp;'假设'!N825&amp;"|"&amp;'假设'!Q825&amp;"|"&amp;'管线假设'!E1509&amp;"|"&amp;'管线假设'!F1509&amp;"|"&amp;'管线假设'!G1509&amp;"|"&amp;'管线假设'!H1509&amp;"|"&amp;'管线假设'!I1509&amp;"|"&amp;'管线假设'!E1513&amp;"|"&amp;'管线假设'!F1513&amp;"|"&amp;'管线假设'!G1513&amp;"|"&amp;'管线假设'!H1513&amp;"|"&amp;'管线假设'!I1513&amp;"|"&amp;'管线假设'!E1517&amp;"|"&amp;'管线假设'!F1517&amp;"|"&amp;'管线假设'!G1517&amp;"|"&amp;'管线假设'!H1517&amp;"|"&amp;'管线假设'!I1517&amp;"|"&amp;'管线假设'!E1521&amp;"|"&amp;'管线假设'!F1521&amp;"|"&amp;'管线假设'!G1521&amp;"|"&amp;'管线假设'!H1521&amp;"|"&amp;'管线假设'!I1521&amp;"|"&amp;'管线假设'!E1525&amp;"|"&amp;'管线假设'!F1525&amp;"|"&amp;'管线假设'!G1525&amp;"|"&amp;'管线假设'!H1525&amp;"|"&amp;'管线假设'!I1525&amp;"|"&amp;'管线假设'!E1529&amp;"|"&amp;'管线假设'!F1529&amp;"|"&amp;'管线假设'!G1529&amp;"|"&amp;'管线假设'!H1529&amp;"|"&amp;'管线假设'!I1529&amp;"|"&amp;'管线假设'!E1533&amp;"|"&amp;'管线假设'!F1533&amp;"|"&amp;'管线假设'!G1533&amp;"|"&amp;'管线假设'!H1533&amp;"|"&amp;'管线假设'!I1533&amp;"|"&amp;'管线假设'!E1537&amp;"|"&amp;'管线假设'!F1537&amp;"|"&amp;'管线假设'!G1537&amp;"|"&amp;'管线假设'!H1537&amp;"|"&amp;'管线假设'!I1537&amp;"|"&amp;'管线假设'!E1541&amp;"|"&amp;'管线假设'!F1541&amp;"|"&amp;'管线假设'!G1541&amp;"|"&amp;'管线假设'!H1541&amp;"|"&amp;'管线假设'!I1541&amp;"|"&amp;'管线假设'!E1545&amp;"|"&amp;'管线假设'!F1545&amp;"|"&amp;'管线假设'!G1545&amp;"|"&amp;'管线假设'!H1545&amp;"|"&amp;'管线假设'!I1545&amp;"|"&amp;'管线现金流'!I7047&amp;"|"&amp;'管线现金流'!AK7047&amp;"|"&amp;'管线现金流'!I7048&amp;"|"&amp;'管线现金流'!AK7048&amp;"|"&amp;'管线现金流'!I7049&amp;"|"&amp;'管线现金流'!AK7049&amp;"|"&amp;'管线现金流'!I7050&amp;"|"&amp;'管线现金流'!AK7050&amp;"|"&amp;'管线现金流'!I7051&amp;"|"&amp;'管线现金流'!AK7051&amp;"|"&amp;'管线现金流'!I7052&amp;"|"&amp;'管线现金流'!AK7052&amp;"|"&amp;'管线现金流'!I7053&amp;"|"&amp;'管线现金流'!AK7053&amp;"|"&amp;'管线现金流'!I7054&amp;"|"&amp;'管线现金流'!AK7054&amp;"|"&amp;'管线现金流'!I7055&amp;"|"&amp;'管线现金流'!AK7055&amp;"|"&amp;'管线现金流'!I7056&amp;"|"&amp;'管线现金流'!AK7056&amp;"|"&amp;'管线现金流'!I7057&amp;"|"&amp;'管线现金流'!AK7057&amp;"|"&amp;'管线现金流'!I7058&amp;"|"&amp;'管线现金流'!AK7058&amp;"|"&amp;'管线现金流'!I7059&amp;"|"&amp;'管线现金流'!AK7059&amp;"|"&amp;'管线现金流'!I7060&amp;"|"&amp;'管线现金流'!AK7060&amp;"|"&amp;'管线现金流'!I7061&amp;"|"&amp;'管线现金流'!AK7061&amp;"|"&amp;'管线现金流'!I7062&amp;"|"&amp;'管线现金流'!AK7062&amp;"|"&amp;'管线现金流'!I7063&amp;"|"&amp;'管线现金流'!AK7063&amp;"|"&amp;'管线现金流'!I7064&amp;"|"&amp;'管线现金流'!AK7064&amp;"|"&amp;'管线现金流'!I7065&amp;"|"&amp;'管线现金流'!AK7065&amp;"|"&amp;'管线现金流'!I7066&amp;"|"&amp;'管线现金流'!AK7066&amp;"|"&amp;'管线现金流'!I7067&amp;"|"&amp;'管线现金流'!AK7067&amp;"|"&amp;'管线现金流'!I7068&amp;"|"&amp;'管线现金流'!AK7068&amp;"|"&amp;'管线现金流'!I7069&amp;"|"&amp;'管线现金流'!AK7069&amp;"|"&amp;'管线现金流'!I7070&amp;"|"&amp;'管线现金流'!AK7070&amp;"|"&amp;'管线现金流'!I7071&amp;"|"&amp;'管线现金流'!AK7071&amp;"|"&amp;'管线现金流'!I7072&amp;"|"&amp;'管线现金流'!AK7072&amp;"|"&amp;'管线现金流'!I7073&amp;"|"&amp;'管线现金流'!AK7073&amp;"|"&amp;'管线现金流'!I7074&amp;"|"&amp;'管线现金流'!AK7074&amp;"|"&amp;'管线现金流'!I7075&amp;"|"&amp;'管线现金流'!AK7075&amp;"|"&amp;'管线现金流'!I7076&amp;"|"&amp;'管线现金流'!AK7076&amp;"|"&amp;'管线现金流'!I7077&amp;"|"&amp;'管线现金流'!AK7077&amp;"|"&amp;'管线现金流'!I7078&amp;"|"&amp;'管线现金流'!AK7078&amp;"|"&amp;'管线现金流'!I7079&amp;"|"&amp;'管线现金流'!AK7079&amp;"|"&amp;'管线现金流'!I7080&amp;"|"&amp;'管线现金流'!AK7080&amp;"|"&amp;'管线现金流'!I7081&amp;"|"&amp;'管线现金流'!AK7081&amp;"|"&amp;'管线现金流'!I7082&amp;"|"&amp;'管线现金流'!AK7082&amp;"|"&amp;'管线现金流'!I7083&amp;"|"&amp;'管线现金流'!AK7083&amp;"|"&amp;'管线现金流'!I7084&amp;"|"&amp;'管线现金流'!AK7084&amp;"|"&amp;'管线现金流'!I7085&amp;"|"&amp;'管线现金流'!AK7085&amp;"|"&amp;'管线现金流'!I7086&amp;"|"&amp;'管线现金流'!AK7086&amp;"|"&amp;'管线现金流'!I7087&amp;"|"&amp;'管线现金流'!AK7087&amp;"|"&amp;'管线现金流'!I7088&amp;"|"&amp;'管线现金流'!AK7088&amp;"|"&amp;'管线现金流'!I7089&amp;"|"&amp;'管线现金流'!AK7089&amp;"|"&amp;'管线现金流'!I7090&amp;"|"&amp;'管线现金流'!AK7090&amp;"|"&amp;'管线现金流'!I7091&amp;"|"&amp;'管线现金流'!AK7091&amp;"|"&amp;'管线现金流'!I7092&amp;"|"&amp;'管线现金流'!AK7092&amp;"|"&amp;'管线现金流'!I7093&amp;"|"&amp;'管线现金流'!AK7093&amp;"|"&amp;'管线现金流'!I7094&amp;"|"&amp;'管线现金流'!AK7094&amp;"|"&amp;'管线现金流'!I7095&amp;"|"&amp;'管线现金流'!AK7095&amp;"|"&amp;'管线现金流'!I7096&amp;"|"&amp;'管线现金流'!AK7096&amp;"|"&amp;'管线现金流'!I7097&amp;"|"&amp;'管线现金流'!AK7097&amp;"|"&amp;'管线现金流'!I7098&amp;"|"&amp;'管线现金流'!AK7098&amp;"|"&amp;'管线现金流'!I7099&amp;"|"&amp;'管线现金流'!AK7099&amp;"|"&amp;'管线现金流'!I7100&amp;"|"&amp;'管线现金流'!AK7100&amp;"|"&amp;'管线现金流'!I7101&amp;"|"&amp;'管线现金流'!AK7101&amp;"|"&amp;'管线现金流'!I7102&amp;"|"&amp;'管线现金流'!AK7102&amp;"|"&amp;'管线现金流'!I7103&amp;"|"&amp;'管线现金流'!AK7103&amp;"|"&amp;'管线现金流'!I7104&amp;"|"&amp;'管线现金流'!AK7104&amp;"|"&amp;'管线现金流'!I7105&amp;"|"&amp;'管线现金流'!AK7105&amp;"|"&amp;'管线现金流'!I7106&amp;"|"&amp;'管线现金流'!AK7106&amp;"|"&amp;'管线现金流'!I7107&amp;"|"&amp;'管线现金流'!AK7107&amp;"|"&amp;'管线现金流'!I7108&amp;"|"&amp;'管线现金流'!AK7108&amp;"|"&amp;'管线现金流'!I7109&amp;"|"&amp;'管线现金流'!AK7109&amp;"|"&amp;'管线现金流'!I7110&amp;"|"&amp;'管线现金流'!AK7110&amp;"|"&amp;'管线现金流'!I7111&amp;"|"&amp;'管线现金流'!AK7111&amp;"|"&amp;'管线现金流'!I7112&amp;"|"&amp;'管线现金流'!AK7112&amp;"|"&amp;'管线现金流'!I7113&amp;"|"&amp;'管线现金流'!AK7113&amp;"|"&amp;'管线现金流'!I7114&amp;"|"&amp;'管线现金流'!AK7114&amp;"|"&amp;'管线现金流'!I7115&amp;"|"&amp;'管线现金流'!AK7115&amp;"|"&amp;'管线现金流'!I7116&amp;"|"&amp;'管线现金流'!AK7116&amp;"|"&amp;'管线现金流'!I7117&amp;"|"&amp;'管线现金流'!AK7117&amp;"|"&amp;'管线现金流'!I7118&amp;"|"&amp;'管线现金流'!AK7118&amp;"|"&amp;'管线现金流'!I7119&amp;"|"&amp;'管线现金流'!AK7119&amp;"|"&amp;'管线现金流'!I7120&amp;"|"&amp;'管线现金流'!AK7120&amp;"|"&amp;'管线现金流'!I7121&amp;"|"&amp;'管线现金流'!AK7121&amp;"|"&amp;'管线现金流'!I7122&amp;"|"&amp;'管线现金流'!AK7122&amp;"|"&amp;'管线现金流'!I7123&amp;"|"&amp;'管线现金流'!AK7123&amp;"|"&amp;'管线现金流'!I7124&amp;"|"&amp;'管线现金流'!AK7124&amp;"|"&amp;'管线现金流'!I7125&amp;"|"&amp;'管线现金流'!AK7125&amp;"|"&amp;'管线现金流'!I7126&amp;"|"&amp;'管线现金流'!AK7126&amp;"|"&amp;'管线现金流'!I7127&amp;"|"&amp;'管线现金流'!AK7127&amp;"|"&amp;'管线现金流'!I7128&amp;"|"&amp;'管线现金流'!AK7128&amp;"|"&amp;'管线现金流'!I7129&amp;"|"&amp;'管线现金流'!AK7129&amp;"|"&amp;'管线现金流'!I7130&amp;"|"&amp;'管线现金流'!AK7130&amp;"|"&amp;'管线现金流'!I7131&amp;"|"&amp;'管线现金流'!AK7131&amp;"|"&amp;'管线现金流'!I7132&amp;"|"&amp;'管线现金流'!AK7132&amp;"|"&amp;'管线现金流'!I7133&amp;"|"&amp;'管线现金流'!AK7133&amp;"|"&amp;'管线现金流'!I7134&amp;"|"&amp;'管线现金流'!AK7134&amp;"|"&amp;'管线现金流'!I7135&amp;"|"&amp;'管线现金流'!AK7135&amp;"|"&amp;'管线现金流'!I7136&amp;"|"&amp;'管线现金流'!AK7136&amp;"|"&amp;'管线现金流'!I7137&amp;"|"&amp;'管线现金流'!AK7137&amp;"|"&amp;'管线现金流'!I7138&amp;"|"&amp;'管线现金流'!AK7138&amp;"|"&amp;'管线现金流'!I7139&amp;"|"&amp;'管线现金流'!AK7139&amp;"|"&amp;'管线现金流'!I7140&amp;"|"&amp;'管线现金流'!AK7140&amp;"|"&amp;'管线现金流'!I7141&amp;"|"&amp;'管线现金流'!AK7141&amp;"|"&amp;'管线现金流'!I7142&amp;"|"&amp;'管线现金流'!AK7142&amp;"|"&amp;'管线现金流'!I7143&amp;"|"&amp;'管线现金流'!AK7143&amp;"|"&amp;'管线现金流'!I7144&amp;"|"&amp;'管线现金流'!AK7144&amp;"|"&amp;'管线现金流'!I7145&amp;"|"&amp;'管线现金流'!AK7145&amp;"|"&amp;'管线现金流'!I7146&amp;"|"&amp;'管线现金流'!AK7146&amp;"|"&amp;'管线现金流'!I7147&amp;"|"&amp;'管线现金流'!AK7147&amp;"|"&amp;'管线现金流'!I7148&amp;"|"&amp;'管线现金流'!AK7148&amp;"|"&amp;'管线现金流'!I7149&amp;"|"&amp;'管线现金流'!AK7149&amp;"|"&amp;'管线现金流'!I7150&amp;"|"&amp;'管线现金流'!AK7150&amp;"|"&amp;'管线现金流'!I7151&amp;"|"&amp;'管线现金流'!AK7151&amp;"|"&amp;'管线现金流'!I7152&amp;"|"&amp;'管线现金流'!AK7152&amp;"|"&amp;'管线现金流'!I7153&amp;"|"&amp;'管线现金流'!AK7153&amp;"|"&amp;'管线现金流'!I7154&amp;"|"&amp;'管线现金流'!AK7154&amp;"|"&amp;'管线现金流'!I7155&amp;"|"&amp;'管线现金流'!AK7155&amp;"|"&amp;'管线现金流'!I7156&amp;"|"&amp;'管线现金流'!AK7156&amp;"|"&amp;'管线现金流'!I7157&amp;"|"&amp;'管线现金流'!AK7157&amp;"|"&amp;'管线现金流'!I7158&amp;"|"&amp;'管线现金流'!AK7158&amp;"|"&amp;'管线现金流'!I7159&amp;"|"&amp;'管线现金流'!AK7159&amp;"|"&amp;'管线现金流'!I7160&amp;"|"&amp;'管线现金流'!AK7160&amp;"|"&amp;'管线现金流'!I7161&amp;"|"&amp;'管线现金流'!AK7161&amp;"|"&amp;'管线现金流'!I7162&amp;"|"&amp;'管线现金流'!AK7162&amp;"|"&amp;'管线现金流'!I7163&amp;"|"&amp;'管线现金流'!AK7163&amp;"|"&amp;'管线现金流'!I7164&amp;"|"&amp;'管线现金流'!AK7164&amp;"|"&amp;'管线现金流'!I7165&amp;"|"&amp;'管线现金流'!AK7165&amp;"|"&amp;'管线现金流'!I7166&amp;"|"&amp;'管线现金流'!AK7166&amp;"|"&amp;'管线现金流'!I7167&amp;"|"&amp;'管线现金流'!AK7167&amp;"|"&amp;'管线现金流'!I7168&amp;"|"&amp;'管线现金流'!AK7168&amp;"|"&amp;'管线现金流'!I7169&amp;"|"&amp;'管线现金流'!AK7169&amp;"|"&amp;'管线现金流'!I7170&amp;"|"&amp;'管线现金流'!AK7170&amp;"|"&amp;'管线现金流'!I7171&amp;"|"&amp;'管线现金流'!AK7171&amp;"|"&amp;'管线现金流'!I7172&amp;"|"&amp;'管线现金流'!AK7172&amp;"|"&amp;'管线现金流'!I7173&amp;"|"&amp;'管线现金流'!AK7173&amp;"|"&amp;'管线现金流'!I7174&amp;"|"&amp;'管线现金流'!AK7174&amp;"|"&amp;'管线现金流'!I7175&amp;"|"&amp;'管线现金流'!AK7175&amp;"|"&amp;'管线现金流'!I7176&amp;"|"&amp;'管线现金流'!AK7176&amp;"|"&amp;'管线现金流'!I7177&amp;"|"&amp;'管线现金流'!AK7177&amp;"|"&amp;'管线现金流'!I7178&amp;"|"&amp;'管线现金流'!AK7178&amp;"|"&amp;'管线现金流'!I7179&amp;"|"&amp;'管线现金流'!AK7179&amp;"|"&amp;'管线现金流'!I7180&amp;"|"&amp;'管线现金流'!AK7180&amp;"|"&amp;'管线现金流'!I7181&amp;"|"&amp;'管线现金流'!AK7181&amp;"|"&amp;'管线现金流'!I7182&amp;"|"&amp;'管线现金流'!AK7182&amp;"|"&amp;'管线现金流'!I7183&amp;"|"&amp;'管线现金流'!AK7183&amp;"|"&amp;'管线现金流'!I7184&amp;"|"&amp;'管线现金流'!AK7184&amp;"|"&amp;'管线现金流'!I7185&amp;"|"&amp;'管线现金流'!AK7185&amp;"|"&amp;'管线现金流'!I7186&amp;"|"&amp;'管线现金流'!AK7186&amp;"|"&amp;'管线现金流'!I7187&amp;"|"&amp;'管线现金流'!AK7187&amp;"|"&amp;'管线现金流'!I7188&amp;"|"&amp;'管线现金流'!AK7188&amp;"|"&amp;'管线现金流'!I7189&amp;"|"&amp;'管线现金流'!AK7189&amp;"|"&amp;'管线现金流'!I7190&amp;"|"&amp;'管线现金流'!AK7190&amp;"|"&amp;'管线现金流'!I7191&amp;"|"&amp;'管线现金流'!AK7191&amp;"|"&amp;'管线现金流'!I7192&amp;"|"&amp;'管线现金流'!AK7192&amp;"|"&amp;'管线现金流'!I7193&amp;"|"&amp;'管线现金流'!AK7193&amp;"|"&amp;'管线现金流'!I7194&amp;"|"&amp;'管线现金流'!AK7194&amp;"|"&amp;'管线现金流'!I7195&amp;"|"&amp;'管线现金流'!AK7195&amp;"|"&amp;'管线现金流'!I7196&amp;"|"&amp;'管线现金流'!AK7196&amp;"|"&amp;'管线现金流'!I7197&amp;"|"&amp;'管线现金流'!AK7197&amp;"|"&amp;'管线现金流'!I7198&amp;"|"&amp;'管线现金流'!AK7198&amp;"|"&amp;'管线现金流'!I7199&amp;"|"&amp;'管线现金流'!AK7199&amp;"|"&amp;'管线现金流'!I7200&amp;"|"&amp;'管线现金流'!AK7200&amp;"|"&amp;'管线现金流'!I7201&amp;"|"&amp;'管线现金流'!AK7201&amp;"|"&amp;'管线现金流'!I7202&amp;"|"&amp;'管线现金流'!AK7202&amp;"|"&amp;'管线现金流'!I7203&amp;"|"&amp;'管线现金流'!AK7203&amp;"|"&amp;'管线现金流'!I7204&amp;"|"&amp;'管线现金流'!AK7204&amp;"|"&amp;'管线现金流'!I7205&amp;"|"&amp;'管线现金流'!AK7205&amp;"|"&amp;'管线现金流'!I7206&amp;"|"&amp;'管线现金流'!AK7206&amp;"|"&amp;'管线现金流'!I7207&amp;"|"&amp;'管线现金流'!AK7207&amp;"|"&amp;'管线现金流'!I7208&amp;"|"&amp;'管线现金流'!AK7208&amp;"|"&amp;'管线现金流'!I7209&amp;"|"&amp;'管线现金流'!AK7209&amp;"|"&amp;'管线现金流'!I7210&amp;"|"&amp;'管线现金流'!AK7210&amp;"|"&amp;'管线现金流'!I7211&amp;"|"&amp;'管线现金流'!AK7211&amp;"|"&amp;'管线现金流'!I7212&amp;"|"&amp;'管线现金流'!AK7212&amp;"|"&amp;'管线现金流'!I7213&amp;"|"&amp;'管线现金流'!AK7213&amp;"|"&amp;'管线现金流'!I7214&amp;"|"&amp;'管线现金流'!AK7214&amp;"|"&amp;'管线现金流'!I7215&amp;"|"&amp;'管线现金流'!AK7215&amp;"|"&amp;'管线现金流'!I7216&amp;"|"&amp;'管线现金流'!AK7216&amp;"|"&amp;'管线现金流'!I7217&amp;"|"&amp;'管线现金流'!AK7217&amp;"|"&amp;'管线现金流'!I7218&amp;"|"&amp;'管线现金流'!AK7218&amp;"|"&amp;'管线现金流'!I7219&amp;"|"&amp;'管线现金流'!AK7219&amp;"|"&amp;'管线现金流'!I7220&amp;"|"&amp;'管线现金流'!AK7220&amp;"|"&amp;'管线现金流'!I7221&amp;"|"&amp;'管线现金流'!AK7221&amp;"|"&amp;'管线现金流'!I7222&amp;"|"&amp;'管线现金流'!AK7222&amp;"|"&amp;'管线现金流'!I7223&amp;"|"&amp;'管线现金流'!AK7223&amp;"|"&amp;'管线现金流'!I7224&amp;"|"&amp;'管线现金流'!AK7224&amp;"|"&amp;'管线现金流'!I7225&amp;"|"&amp;'管线现金流'!AK7225&amp;"|"&amp;'管线现金流'!I7226&amp;"|"&amp;'管线现金流'!AK7226&amp;"|"&amp;'管线现金流'!I7227&amp;"|"&amp;'管线现金流'!AK7227&amp;"|"&amp;'管线现金流'!I7228&amp;"|"&amp;'管线现金流'!AK7228&amp;"|"&amp;'管线现金流'!I7229&amp;"|"&amp;'管线现金流'!AK7229&amp;"|"&amp;'管线现金流'!I7230&amp;"|"&amp;'管线现金流'!AK7230&amp;"|"&amp;'管线现金流'!I7231&amp;"|"&amp;'管线现金流'!AK7231&amp;"|"&amp;'管线现金流'!I7232&amp;"|"&amp;'管线现金流'!AK7232&amp;"|"&amp;'管线现金流'!I7233&amp;"|"&amp;'管线现金流'!AK7233&amp;"|"&amp;'管线现金流'!I7234&amp;"|"&amp;'管线现金流'!AK7234&amp;"|"&amp;'管线现金流'!I7235&amp;"|"&amp;'管线现金流'!AK7235&amp;"|"&amp;'管线现金流'!I7236&amp;"|"&amp;'管线现金流'!AK7236&amp;"|"&amp;'管线现金流'!V142&amp;"|"&amp;'管线现金流'!Y142&amp;"|"&amp;'管线现金流'!AP142&amp;"|"&amp;'管线现金流'!AS142&amp;"|"&amp;'管线现金流'!V143&amp;"|"&amp;'管线现金流'!Y143&amp;"|"&amp;'管线现金流'!AP143&amp;"|"&amp;'管线现金流'!AS143&amp;"|"&amp;'管线现金流'!V144&amp;"|"&amp;'管线现金流'!Y144&amp;"|"&amp;'管线现金流'!AP144&amp;"|"&amp;'管线现金流'!AS144&amp;"|"&amp;'管线现金流'!V145&amp;"|"&amp;'管线现金流'!Y145&amp;"|"&amp;'管线现金流'!AP145&amp;"|"&amp;'管线现金流'!AS145&amp;"|"&amp;'管线现金流'!V146&amp;"|"&amp;'管线现金流'!Y146&amp;"|"&amp;'管线现金流'!AP146&amp;"|"&amp;'管线现金流'!AS146&amp;"|"&amp;'管线现金流'!V147&amp;"|"&amp;'管线现金流'!Y147&amp;"|"&amp;'管线现金流'!AP147&amp;"|"&amp;'管线现金流'!AS147&amp;"|"&amp;'管线现金流'!V148&amp;"|"&amp;'管线现金流'!Y148&amp;"|"&amp;'管线现金流'!AP148&amp;"|"&amp;'管线现金流'!AS148&amp;"|"&amp;'管线现金流'!V149&amp;"|"&amp;'管线现金流'!Y149&amp;"|"&amp;'管线现金流'!AP149&amp;"|"&amp;'管线现金流'!AS149&amp;"|"&amp;'管线现金流'!V150&amp;"|"&amp;'管线现金流'!Y150&amp;"|"&amp;'管线现金流'!AP150&amp;"|"&amp;'管线现金流'!AS150&amp;"|"&amp;'管线现金流'!V151&amp;"|"&amp;'管线现金流'!Y151&amp;"|"&amp;'管线现金流'!AP151&amp;"|"&amp;'管线现金流'!AS151&amp;"|"&amp;'许可受让方假设'!D25&amp;"|"&amp;'许可受让方假设'!E25&amp;"|"&amp;'许可受让方假设'!F25&amp;"|"&amp;'许可受让方假设'!G25&amp;"|"&amp;'许可受让方假设'!H25&amp;"|"&amp;'许可受让方假设'!I25&amp;"|"&amp;'许可受让方假设'!J25&amp;"|"&amp;'许可受让方假设'!K25&amp;"|"&amp;'许可受让方现金流'!P83&amp;"|"&amp;'许可受让方现金流'!P84&amp;"|"&amp;'许可受让方现金流'!P85&amp;"|"&amp;'许可受让方现金流'!P86&amp;"|"&amp;'许可受让方现金流'!P87&amp;"|"&amp;'许可受让方现金流'!P88&amp;"|"&amp;'许可受让方现金流'!P89&amp;"|"&amp;'许可受让方现金流'!P90&amp;"|"&amp;'许可受让方现金流'!P91&amp;"|"&amp;'许可受让方现金流'!P92&amp;"|"&amp;'许可受让方现金流'!P93&amp;"|"&amp;'许可受让方现金流'!P94&amp;"|"&amp;'许可受让方现金流'!P95&amp;"|"&amp;'许可受让方现金流'!P96&amp;"|"&amp;'许可受让方现金流'!P97&amp;"|"&amp;'许可受让方现金流'!P98&amp;"|"&amp;'许可受让方现金流'!P99&amp;"|"&amp;'许可受让方现金流'!P100&amp;"|"&amp;'许可受让方现金流'!P101</x:f>
        <x:v>1|5|0|0.97|0.43|1|0.14|7|0.95|0.37|1|0.14|7|0.4|0.43|1|0.14|7|0.5|0.37|1|0.14|7|0.5|0.42|1|0.14|7|0.5|0.1148|1|0.14|7|0.6|0.09019999999999999|1|0.14|7|0.55|0.09019999999999999|1|0.14|7|0.35|0.09839999999999999|1|0.14|7|1|0|1|0.14|7|2|0.14|2.7|0.12|3.5|0.08|4.4|0.06|5.3|0|6.1|0|6.7|0|7.2|0|7.5|0|7.5|0|7.4|0|7.1|0|6.6|0|5.9|0|5|0|4|0|3|0|2|0|1.2|0|0.8|0.12|1.2|0.12|1.7|0.1|2.2|0.07|2.7|0|3.1|0|3.4|0|3.6|0|3.7|0|3.7|0|3.6|0|3.4|0|3.1|0|2.7|0|2.2|0|1.7|0|1.2|0|0.8|0|0.45|0|0|0.13|0|0.16|0|0.15|0|0.1|0.09|0|0.27|0|0.5700000000000001|0|0.9750000000000001|0|1.275|0|1.5|0|1.5|0|1.4249999999999998|0|1.35|0|1.2000000000000002|0|0.9750000000000001|0|0.75|0|0.5249999999999999|0|0.30000000000000004|0|0.18|0|0|0.15|0|0.18|0|0.15|0.18|0.09|0.54|0|1.1400000000000001|0|1.9500000000000002|0|2.55|0|3|0|3|0|2.8499999999999996|0|2.7|0|2.4000000000000004|0|1.9500000000000002|0|1.5|0|1.0499999999999998|0|0.6000000000000001|0|0.36|0|0.21000000000000002|0|0|0.18|0|0.23|0|0.2|0.24|0.13|0.72|0|1.52|0|2.6|0|3.4|0|4|0|4|0|3.8|0|3.6|0|3.2|0|2.6|0|2|0|1.4|0|0.8|0|0.48|0|0.28|0|0|0.056|0|0|0|0|0|0|0.3|0|0.8999999999999999|0|1.9|0|3.25|0|4.25|0|5|0|5|0|4.75|0|4.5|0|4|0|3.25|0|2.5|0|1.75|0|1|0|0.6|0|0|0.049|0|0|0.18|0|0.54|0|1.1400000000000001|0|1.9500000000000002|0|2.55|0|3|0|3|0|2.8499999999999996|0|2.7|0|2.4000000000000004|0|1.9500000000000002|0|1.5|0|1.0499999999999998|0|0.6000000000000001|0|0.36|0|0.21000000000000002|0|0.09|0|0|0.049|0|0|0|0|0.15|0|0.44999999999999996|0|0.95|0|1.625|0|2.125|0|2.5|0|2.5|0|2.375|0|2.25|0|2|0|1.625|0|1.25|0|0.875|0|0.5|0|0.3|0|0.17500000000000002|0|0|0.08|0|0.1|0|0.07|0|0|0.09|0|0.27|0|0.5700000000000001|0|0.9750000000000001|0|1.275|0|1.5|0|1.5|0|1.4249999999999998|0|1.35|0|1.2000000000000002|0|0.9750000000000001|0|0.75|0|0.5249999999999999|0|0.30000000000000004|0|0.18|0|0|0.16|0|0.1648|0|0.169744|0|0.17483632000000002|0|0.18008140960000002|0|0.185483851888|0|0.19104836744464002|0|0.19677981846797923|0|0.20268321302201864|0|0.2087637094126792|0|0.21502662069505957|0|0.22147741931591136|0|0.2281217418953887|0|0.23496539415225037|0|0.24201435597681792|0|0.24927478665612243|0|0.2567530302558061|0|0.2644556211634803|0|0.2723892897983847|0.05|0.5|0.8|1|0.06|0.6|0.8|1|0|0|0.8|0.9|0|0|0.8|0.9|0.08|0.55|0.8|1|0.15|0.45|0.8|1|0.08|0.5|0.8|1|0|0|0.8|0.9|0.1|0.4|0.8|1|0.15|0.35|0.8|1|0.34|0.8|0.82|0.8|0.18|0.016|0.002|0.9|0.84|0.8652|0.891156|0.91789068|0.9454274004000001|0.973790222412|1.00300392908436|1.033094046956891|1.0640868683655977|1.0960094744165656|1.1288897586490627|1.1627564514085345|1.1976391449507906|1.2335683192993143|1.270575368878294|1.3086926299446426|1.347953408842982|1.3883920111082715|1.4300437714415197</x:v>
      </x:c>
    </x:row>
    <x:row r="621" ht="23" customHeight="1">
      <x:c r="A621" s="11" t="str">
        <x:v>09995.HK</x:v>
      </x:c>
      <x:c r="B621" s="11" t="str">
        <x:v>荣昌生物</x:v>
      </x:c>
      <x:c r="C621" s="11" t="str">
        <x:v>五年</x:v>
      </x:c>
      <x:c r="D621" s="11" t="str">
        <x:v>乐观</x:v>
      </x:c>
      <x:c r="E621" s="11" t="n">
        <x:v>70.4</x:v>
      </x:c>
      <x:c r="F621" s="11" t="n">
        <x:v>290.05091208034185</x:v>
      </x:c>
      <x:c r="G621" s="11" t="n">
        <x:v>0</x:v>
      </x:c>
      <x:c r="H621" s="25" t="n">
        <x:v>3.120041364777583</x:v>
      </x:c>
      <x:c r="I621" s="25" t="n">
        <x:v>3.120041364777583</x:v>
      </x:c>
      <x:c r="J621" s="25" t="n">
        <x:v>0.32733429390785607</x:v>
      </x:c>
      <x:c r="K621" s="11" t="n">
        <x:v>0</x:v>
      </x:c>
      <x:c r="L621" s="11" t="n">
        <x:v>0</x:v>
      </x:c>
      <x:c r="M621" s="11" t="n">
        <x:v>1.1</x:v>
      </x:c>
      <x:c r="N621" s="11" t="n">
        <x:v>0</x:v>
      </x:c>
      <x:c r="O621" s="11" t="n">
        <x:v>0</x:v>
      </x:c>
      <x:c r="P621" s="11" t="n">
        <x:v>0</x:v>
      </x:c>
      <x:c r="Q621" s="11" t="n">
        <x:v>0.625</x:v>
      </x:c>
      <x:c r="R621" s="11" t="str">
        <x:v>remegen-v2-finite-assets-Vor-residual-return-aligned-score</x:v>
      </x:c>
      <x:c r="S621" s="11" t="str">
        <x:v>2026-10-10</x:v>
      </x:c>
      <x:c r="T621" s="11" t="str">
        <x:f>IF(AND(SUM(IF(K621='假设'!E826,0,1),IF(L621='假设'!F826,0,1),IF(M621='假设'!G826,0,1),IF(N621='假设'!H826,0,1),IF(O621='假设'!I826,0,1),IF(P621='假设'!J826,0,1),IF(Q621='假设'!K826,0,1))=0,U621=V621),"已刷新","待刷新")</x:f>
        <x:v>已刷新</x:v>
      </x:c>
      <x:c r="U621" t="str">
        <x:v>1|10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2.5|0.145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  <x:c r="V621" t="str">
        <x:f>'假设'!U826&amp;"|"&amp;'假设'!N826&amp;"|"&amp;'假设'!Q826&amp;"|"&amp;'管线假设'!E1510&amp;"|"&amp;'管线假设'!F1510&amp;"|"&amp;'管线假设'!G1510&amp;"|"&amp;'管线假设'!H1510&amp;"|"&amp;'管线假设'!I1510&amp;"|"&amp;'管线假设'!E1514&amp;"|"&amp;'管线假设'!F1514&amp;"|"&amp;'管线假设'!G1514&amp;"|"&amp;'管线假设'!H1514&amp;"|"&amp;'管线假设'!I1514&amp;"|"&amp;'管线假设'!E1518&amp;"|"&amp;'管线假设'!F1518&amp;"|"&amp;'管线假设'!G1518&amp;"|"&amp;'管线假设'!H1518&amp;"|"&amp;'管线假设'!I1518&amp;"|"&amp;'管线假设'!E1522&amp;"|"&amp;'管线假设'!F1522&amp;"|"&amp;'管线假设'!G1522&amp;"|"&amp;'管线假设'!H1522&amp;"|"&amp;'管线假设'!I1522&amp;"|"&amp;'管线假设'!E1526&amp;"|"&amp;'管线假设'!F1526&amp;"|"&amp;'管线假设'!G1526&amp;"|"&amp;'管线假设'!H1526&amp;"|"&amp;'管线假设'!I1526&amp;"|"&amp;'管线假设'!E1530&amp;"|"&amp;'管线假设'!F1530&amp;"|"&amp;'管线假设'!G1530&amp;"|"&amp;'管线假设'!H1530&amp;"|"&amp;'管线假设'!I1530&amp;"|"&amp;'管线假设'!E1534&amp;"|"&amp;'管线假设'!F1534&amp;"|"&amp;'管线假设'!G1534&amp;"|"&amp;'管线假设'!H1534&amp;"|"&amp;'管线假设'!I1534&amp;"|"&amp;'管线假设'!E1538&amp;"|"&amp;'管线假设'!F1538&amp;"|"&amp;'管线假设'!G1538&amp;"|"&amp;'管线假设'!H1538&amp;"|"&amp;'管线假设'!I1538&amp;"|"&amp;'管线假设'!E1542&amp;"|"&amp;'管线假设'!F1542&amp;"|"&amp;'管线假设'!G1542&amp;"|"&amp;'管线假设'!H1542&amp;"|"&amp;'管线假设'!I1542&amp;"|"&amp;'管线假设'!E1546&amp;"|"&amp;'管线假设'!F1546&amp;"|"&amp;'管线假设'!G1546&amp;"|"&amp;'管线假设'!H1546&amp;"|"&amp;'管线假设'!I1546&amp;"|"&amp;'管线现金流'!J7047&amp;"|"&amp;'管线现金流'!AL7047&amp;"|"&amp;'管线现金流'!J7048&amp;"|"&amp;'管线现金流'!AL7048&amp;"|"&amp;'管线现金流'!J7049&amp;"|"&amp;'管线现金流'!AL7049&amp;"|"&amp;'管线现金流'!J7050&amp;"|"&amp;'管线现金流'!AL7050&amp;"|"&amp;'管线现金流'!J7051&amp;"|"&amp;'管线现金流'!AL7051&amp;"|"&amp;'管线现金流'!J7052&amp;"|"&amp;'管线现金流'!AL7052&amp;"|"&amp;'管线现金流'!J7053&amp;"|"&amp;'管线现金流'!AL7053&amp;"|"&amp;'管线现金流'!J7054&amp;"|"&amp;'管线现金流'!AL7054&amp;"|"&amp;'管线现金流'!J7055&amp;"|"&amp;'管线现金流'!AL7055&amp;"|"&amp;'管线现金流'!J7056&amp;"|"&amp;'管线现金流'!AL7056&amp;"|"&amp;'管线现金流'!J7057&amp;"|"&amp;'管线现金流'!AL7057&amp;"|"&amp;'管线现金流'!J7058&amp;"|"&amp;'管线现金流'!AL7058&amp;"|"&amp;'管线现金流'!J7059&amp;"|"&amp;'管线现金流'!AL7059&amp;"|"&amp;'管线现金流'!J7060&amp;"|"&amp;'管线现金流'!AL7060&amp;"|"&amp;'管线现金流'!J7061&amp;"|"&amp;'管线现金流'!AL7061&amp;"|"&amp;'管线现金流'!J7062&amp;"|"&amp;'管线现金流'!AL7062&amp;"|"&amp;'管线现金流'!J7063&amp;"|"&amp;'管线现金流'!AL7063&amp;"|"&amp;'管线现金流'!J7064&amp;"|"&amp;'管线现金流'!AL7064&amp;"|"&amp;'管线现金流'!J7065&amp;"|"&amp;'管线现金流'!AL7065&amp;"|"&amp;'管线现金流'!J7066&amp;"|"&amp;'管线现金流'!AL7066&amp;"|"&amp;'管线现金流'!J7067&amp;"|"&amp;'管线现金流'!AL7067&amp;"|"&amp;'管线现金流'!J7068&amp;"|"&amp;'管线现金流'!AL7068&amp;"|"&amp;'管线现金流'!J7069&amp;"|"&amp;'管线现金流'!AL7069&amp;"|"&amp;'管线现金流'!J7070&amp;"|"&amp;'管线现金流'!AL7070&amp;"|"&amp;'管线现金流'!J7071&amp;"|"&amp;'管线现金流'!AL7071&amp;"|"&amp;'管线现金流'!J7072&amp;"|"&amp;'管线现金流'!AL7072&amp;"|"&amp;'管线现金流'!J7073&amp;"|"&amp;'管线现金流'!AL7073&amp;"|"&amp;'管线现金流'!J7074&amp;"|"&amp;'管线现金流'!AL7074&amp;"|"&amp;'管线现金流'!J7075&amp;"|"&amp;'管线现金流'!AL7075&amp;"|"&amp;'管线现金流'!J7076&amp;"|"&amp;'管线现金流'!AL7076&amp;"|"&amp;'管线现金流'!J7077&amp;"|"&amp;'管线现金流'!AL7077&amp;"|"&amp;'管线现金流'!J7078&amp;"|"&amp;'管线现金流'!AL7078&amp;"|"&amp;'管线现金流'!J7079&amp;"|"&amp;'管线现金流'!AL7079&amp;"|"&amp;'管线现金流'!J7080&amp;"|"&amp;'管线现金流'!AL7080&amp;"|"&amp;'管线现金流'!J7081&amp;"|"&amp;'管线现金流'!AL7081&amp;"|"&amp;'管线现金流'!J7082&amp;"|"&amp;'管线现金流'!AL7082&amp;"|"&amp;'管线现金流'!J7083&amp;"|"&amp;'管线现金流'!AL7083&amp;"|"&amp;'管线现金流'!J7084&amp;"|"&amp;'管线现金流'!AL7084&amp;"|"&amp;'管线现金流'!J7085&amp;"|"&amp;'管线现金流'!AL7085&amp;"|"&amp;'管线现金流'!J7086&amp;"|"&amp;'管线现金流'!AL7086&amp;"|"&amp;'管线现金流'!J7087&amp;"|"&amp;'管线现金流'!AL7087&amp;"|"&amp;'管线现金流'!J7088&amp;"|"&amp;'管线现金流'!AL7088&amp;"|"&amp;'管线现金流'!J7089&amp;"|"&amp;'管线现金流'!AL7089&amp;"|"&amp;'管线现金流'!J7090&amp;"|"&amp;'管线现金流'!AL7090&amp;"|"&amp;'管线现金流'!J7091&amp;"|"&amp;'管线现金流'!AL7091&amp;"|"&amp;'管线现金流'!J7092&amp;"|"&amp;'管线现金流'!AL7092&amp;"|"&amp;'管线现金流'!J7093&amp;"|"&amp;'管线现金流'!AL7093&amp;"|"&amp;'管线现金流'!J7094&amp;"|"&amp;'管线现金流'!AL7094&amp;"|"&amp;'管线现金流'!J7095&amp;"|"&amp;'管线现金流'!AL7095&amp;"|"&amp;'管线现金流'!J7096&amp;"|"&amp;'管线现金流'!AL7096&amp;"|"&amp;'管线现金流'!J7097&amp;"|"&amp;'管线现金流'!AL7097&amp;"|"&amp;'管线现金流'!J7098&amp;"|"&amp;'管线现金流'!AL7098&amp;"|"&amp;'管线现金流'!J7099&amp;"|"&amp;'管线现金流'!AL7099&amp;"|"&amp;'管线现金流'!J7100&amp;"|"&amp;'管线现金流'!AL7100&amp;"|"&amp;'管线现金流'!J7101&amp;"|"&amp;'管线现金流'!AL7101&amp;"|"&amp;'管线现金流'!J7102&amp;"|"&amp;'管线现金流'!AL7102&amp;"|"&amp;'管线现金流'!J7103&amp;"|"&amp;'管线现金流'!AL7103&amp;"|"&amp;'管线现金流'!J7104&amp;"|"&amp;'管线现金流'!AL7104&amp;"|"&amp;'管线现金流'!J7105&amp;"|"&amp;'管线现金流'!AL7105&amp;"|"&amp;'管线现金流'!J7106&amp;"|"&amp;'管线现金流'!AL7106&amp;"|"&amp;'管线现金流'!J7107&amp;"|"&amp;'管线现金流'!AL7107&amp;"|"&amp;'管线现金流'!J7108&amp;"|"&amp;'管线现金流'!AL7108&amp;"|"&amp;'管线现金流'!J7109&amp;"|"&amp;'管线现金流'!AL7109&amp;"|"&amp;'管线现金流'!J7110&amp;"|"&amp;'管线现金流'!AL7110&amp;"|"&amp;'管线现金流'!J7111&amp;"|"&amp;'管线现金流'!AL7111&amp;"|"&amp;'管线现金流'!J7112&amp;"|"&amp;'管线现金流'!AL7112&amp;"|"&amp;'管线现金流'!J7113&amp;"|"&amp;'管线现金流'!AL7113&amp;"|"&amp;'管线现金流'!J7114&amp;"|"&amp;'管线现金流'!AL7114&amp;"|"&amp;'管线现金流'!J7115&amp;"|"&amp;'管线现金流'!AL7115&amp;"|"&amp;'管线现金流'!J7116&amp;"|"&amp;'管线现金流'!AL7116&amp;"|"&amp;'管线现金流'!J7117&amp;"|"&amp;'管线现金流'!AL7117&amp;"|"&amp;'管线现金流'!J7118&amp;"|"&amp;'管线现金流'!AL7118&amp;"|"&amp;'管线现金流'!J7119&amp;"|"&amp;'管线现金流'!AL7119&amp;"|"&amp;'管线现金流'!J7120&amp;"|"&amp;'管线现金流'!AL7120&amp;"|"&amp;'管线现金流'!J7121&amp;"|"&amp;'管线现金流'!AL7121&amp;"|"&amp;'管线现金流'!J7122&amp;"|"&amp;'管线现金流'!AL7122&amp;"|"&amp;'管线现金流'!J7123&amp;"|"&amp;'管线现金流'!AL7123&amp;"|"&amp;'管线现金流'!J7124&amp;"|"&amp;'管线现金流'!AL7124&amp;"|"&amp;'管线现金流'!J7125&amp;"|"&amp;'管线现金流'!AL7125&amp;"|"&amp;'管线现金流'!J7126&amp;"|"&amp;'管线现金流'!AL7126&amp;"|"&amp;'管线现金流'!J7127&amp;"|"&amp;'管线现金流'!AL7127&amp;"|"&amp;'管线现金流'!J7128&amp;"|"&amp;'管线现金流'!AL7128&amp;"|"&amp;'管线现金流'!J7129&amp;"|"&amp;'管线现金流'!AL7129&amp;"|"&amp;'管线现金流'!J7130&amp;"|"&amp;'管线现金流'!AL7130&amp;"|"&amp;'管线现金流'!J7131&amp;"|"&amp;'管线现金流'!AL7131&amp;"|"&amp;'管线现金流'!J7132&amp;"|"&amp;'管线现金流'!AL7132&amp;"|"&amp;'管线现金流'!J7133&amp;"|"&amp;'管线现金流'!AL7133&amp;"|"&amp;'管线现金流'!J7134&amp;"|"&amp;'管线现金流'!AL7134&amp;"|"&amp;'管线现金流'!J7135&amp;"|"&amp;'管线现金流'!AL7135&amp;"|"&amp;'管线现金流'!J7136&amp;"|"&amp;'管线现金流'!AL7136&amp;"|"&amp;'管线现金流'!J7137&amp;"|"&amp;'管线现金流'!AL7137&amp;"|"&amp;'管线现金流'!J7138&amp;"|"&amp;'管线现金流'!AL7138&amp;"|"&amp;'管线现金流'!J7139&amp;"|"&amp;'管线现金流'!AL7139&amp;"|"&amp;'管线现金流'!J7140&amp;"|"&amp;'管线现金流'!AL7140&amp;"|"&amp;'管线现金流'!J7141&amp;"|"&amp;'管线现金流'!AL7141&amp;"|"&amp;'管线现金流'!J7142&amp;"|"&amp;'管线现金流'!AL7142&amp;"|"&amp;'管线现金流'!J7143&amp;"|"&amp;'管线现金流'!AL7143&amp;"|"&amp;'管线现金流'!J7144&amp;"|"&amp;'管线现金流'!AL7144&amp;"|"&amp;'管线现金流'!J7145&amp;"|"&amp;'管线现金流'!AL7145&amp;"|"&amp;'管线现金流'!J7146&amp;"|"&amp;'管线现金流'!AL7146&amp;"|"&amp;'管线现金流'!J7147&amp;"|"&amp;'管线现金流'!AL7147&amp;"|"&amp;'管线现金流'!J7148&amp;"|"&amp;'管线现金流'!AL7148&amp;"|"&amp;'管线现金流'!J7149&amp;"|"&amp;'管线现金流'!AL7149&amp;"|"&amp;'管线现金流'!J7150&amp;"|"&amp;'管线现金流'!AL7150&amp;"|"&amp;'管线现金流'!J7151&amp;"|"&amp;'管线现金流'!AL7151&amp;"|"&amp;'管线现金流'!J7152&amp;"|"&amp;'管线现金流'!AL7152&amp;"|"&amp;'管线现金流'!J7153&amp;"|"&amp;'管线现金流'!AL7153&amp;"|"&amp;'管线现金流'!J7154&amp;"|"&amp;'管线现金流'!AL7154&amp;"|"&amp;'管线现金流'!J7155&amp;"|"&amp;'管线现金流'!AL7155&amp;"|"&amp;'管线现金流'!J7156&amp;"|"&amp;'管线现金流'!AL7156&amp;"|"&amp;'管线现金流'!J7157&amp;"|"&amp;'管线现金流'!AL7157&amp;"|"&amp;'管线现金流'!J7158&amp;"|"&amp;'管线现金流'!AL7158&amp;"|"&amp;'管线现金流'!J7159&amp;"|"&amp;'管线现金流'!AL7159&amp;"|"&amp;'管线现金流'!J7160&amp;"|"&amp;'管线现金流'!AL7160&amp;"|"&amp;'管线现金流'!J7161&amp;"|"&amp;'管线现金流'!AL7161&amp;"|"&amp;'管线现金流'!J7162&amp;"|"&amp;'管线现金流'!AL7162&amp;"|"&amp;'管线现金流'!J7163&amp;"|"&amp;'管线现金流'!AL7163&amp;"|"&amp;'管线现金流'!J7164&amp;"|"&amp;'管线现金流'!AL7164&amp;"|"&amp;'管线现金流'!J7165&amp;"|"&amp;'管线现金流'!AL7165&amp;"|"&amp;'管线现金流'!J7166&amp;"|"&amp;'管线现金流'!AL7166&amp;"|"&amp;'管线现金流'!J7167&amp;"|"&amp;'管线现金流'!AL7167&amp;"|"&amp;'管线现金流'!J7168&amp;"|"&amp;'管线现金流'!AL7168&amp;"|"&amp;'管线现金流'!J7169&amp;"|"&amp;'管线现金流'!AL7169&amp;"|"&amp;'管线现金流'!J7170&amp;"|"&amp;'管线现金流'!AL7170&amp;"|"&amp;'管线现金流'!J7171&amp;"|"&amp;'管线现金流'!AL7171&amp;"|"&amp;'管线现金流'!J7172&amp;"|"&amp;'管线现金流'!AL7172&amp;"|"&amp;'管线现金流'!J7173&amp;"|"&amp;'管线现金流'!AL7173&amp;"|"&amp;'管线现金流'!J7174&amp;"|"&amp;'管线现金流'!AL7174&amp;"|"&amp;'管线现金流'!J7175&amp;"|"&amp;'管线现金流'!AL7175&amp;"|"&amp;'管线现金流'!J7176&amp;"|"&amp;'管线现金流'!AL7176&amp;"|"&amp;'管线现金流'!J7177&amp;"|"&amp;'管线现金流'!AL7177&amp;"|"&amp;'管线现金流'!J7178&amp;"|"&amp;'管线现金流'!AL7178&amp;"|"&amp;'管线现金流'!J7179&amp;"|"&amp;'管线现金流'!AL7179&amp;"|"&amp;'管线现金流'!J7180&amp;"|"&amp;'管线现金流'!AL7180&amp;"|"&amp;'管线现金流'!J7181&amp;"|"&amp;'管线现金流'!AL7181&amp;"|"&amp;'管线现金流'!J7182&amp;"|"&amp;'管线现金流'!AL7182&amp;"|"&amp;'管线现金流'!J7183&amp;"|"&amp;'管线现金流'!AL7183&amp;"|"&amp;'管线现金流'!J7184&amp;"|"&amp;'管线现金流'!AL7184&amp;"|"&amp;'管线现金流'!J7185&amp;"|"&amp;'管线现金流'!AL7185&amp;"|"&amp;'管线现金流'!J7186&amp;"|"&amp;'管线现金流'!AL7186&amp;"|"&amp;'管线现金流'!J7187&amp;"|"&amp;'管线现金流'!AL7187&amp;"|"&amp;'管线现金流'!J7188&amp;"|"&amp;'管线现金流'!AL7188&amp;"|"&amp;'管线现金流'!J7189&amp;"|"&amp;'管线现金流'!AL7189&amp;"|"&amp;'管线现金流'!J7190&amp;"|"&amp;'管线现金流'!AL7190&amp;"|"&amp;'管线现金流'!J7191&amp;"|"&amp;'管线现金流'!AL7191&amp;"|"&amp;'管线现金流'!J7192&amp;"|"&amp;'管线现金流'!AL7192&amp;"|"&amp;'管线现金流'!J7193&amp;"|"&amp;'管线现金流'!AL7193&amp;"|"&amp;'管线现金流'!J7194&amp;"|"&amp;'管线现金流'!AL7194&amp;"|"&amp;'管线现金流'!J7195&amp;"|"&amp;'管线现金流'!AL7195&amp;"|"&amp;'管线现金流'!J7196&amp;"|"&amp;'管线现金流'!AL7196&amp;"|"&amp;'管线现金流'!J7197&amp;"|"&amp;'管线现金流'!AL7197&amp;"|"&amp;'管线现金流'!J7198&amp;"|"&amp;'管线现金流'!AL7198&amp;"|"&amp;'管线现金流'!J7199&amp;"|"&amp;'管线现金流'!AL7199&amp;"|"&amp;'管线现金流'!J7200&amp;"|"&amp;'管线现金流'!AL7200&amp;"|"&amp;'管线现金流'!J7201&amp;"|"&amp;'管线现金流'!AL7201&amp;"|"&amp;'管线现金流'!J7202&amp;"|"&amp;'管线现金流'!AL7202&amp;"|"&amp;'管线现金流'!J7203&amp;"|"&amp;'管线现金流'!AL7203&amp;"|"&amp;'管线现金流'!J7204&amp;"|"&amp;'管线现金流'!AL7204&amp;"|"&amp;'管线现金流'!J7205&amp;"|"&amp;'管线现金流'!AL7205&amp;"|"&amp;'管线现金流'!J7206&amp;"|"&amp;'管线现金流'!AL7206&amp;"|"&amp;'管线现金流'!J7207&amp;"|"&amp;'管线现金流'!AL7207&amp;"|"&amp;'管线现金流'!J7208&amp;"|"&amp;'管线现金流'!AL7208&amp;"|"&amp;'管线现金流'!J7209&amp;"|"&amp;'管线现金流'!AL7209&amp;"|"&amp;'管线现金流'!J7210&amp;"|"&amp;'管线现金流'!AL7210&amp;"|"&amp;'管线现金流'!J7211&amp;"|"&amp;'管线现金流'!AL7211&amp;"|"&amp;'管线现金流'!J7212&amp;"|"&amp;'管线现金流'!AL7212&amp;"|"&amp;'管线现金流'!J7213&amp;"|"&amp;'管线现金流'!AL7213&amp;"|"&amp;'管线现金流'!J7214&amp;"|"&amp;'管线现金流'!AL7214&amp;"|"&amp;'管线现金流'!J7215&amp;"|"&amp;'管线现金流'!AL7215&amp;"|"&amp;'管线现金流'!J7216&amp;"|"&amp;'管线现金流'!AL7216&amp;"|"&amp;'管线现金流'!J7217&amp;"|"&amp;'管线现金流'!AL7217&amp;"|"&amp;'管线现金流'!J7218&amp;"|"&amp;'管线现金流'!AL7218&amp;"|"&amp;'管线现金流'!J7219&amp;"|"&amp;'管线现金流'!AL7219&amp;"|"&amp;'管线现金流'!J7220&amp;"|"&amp;'管线现金流'!AL7220&amp;"|"&amp;'管线现金流'!J7221&amp;"|"&amp;'管线现金流'!AL7221&amp;"|"&amp;'管线现金流'!J7222&amp;"|"&amp;'管线现金流'!AL7222&amp;"|"&amp;'管线现金流'!J7223&amp;"|"&amp;'管线现金流'!AL7223&amp;"|"&amp;'管线现金流'!J7224&amp;"|"&amp;'管线现金流'!AL7224&amp;"|"&amp;'管线现金流'!J7225&amp;"|"&amp;'管线现金流'!AL7225&amp;"|"&amp;'管线现金流'!J7226&amp;"|"&amp;'管线现金流'!AL7226&amp;"|"&amp;'管线现金流'!J7227&amp;"|"&amp;'管线现金流'!AL7227&amp;"|"&amp;'管线现金流'!J7228&amp;"|"&amp;'管线现金流'!AL7228&amp;"|"&amp;'管线现金流'!J7229&amp;"|"&amp;'管线现金流'!AL7229&amp;"|"&amp;'管线现金流'!J7230&amp;"|"&amp;'管线现金流'!AL7230&amp;"|"&amp;'管线现金流'!J7231&amp;"|"&amp;'管线现金流'!AL7231&amp;"|"&amp;'管线现金流'!J7232&amp;"|"&amp;'管线现金流'!AL7232&amp;"|"&amp;'管线现金流'!J7233&amp;"|"&amp;'管线现金流'!AL7233&amp;"|"&amp;'管线现金流'!J7234&amp;"|"&amp;'管线现金流'!AL7234&amp;"|"&amp;'管线现金流'!J7235&amp;"|"&amp;'管线现金流'!AL7235&amp;"|"&amp;'管线现金流'!J7236&amp;"|"&amp;'管线现金流'!AL7236&amp;"|"&amp;'管线现金流'!W142&amp;"|"&amp;'管线现金流'!Z142&amp;"|"&amp;'管线现金流'!AQ142&amp;"|"&amp;'管线现金流'!AT142&amp;"|"&amp;'管线现金流'!W143&amp;"|"&amp;'管线现金流'!Z143&amp;"|"&amp;'管线现金流'!AQ143&amp;"|"&amp;'管线现金流'!AT143&amp;"|"&amp;'管线现金流'!W144&amp;"|"&amp;'管线现金流'!Z144&amp;"|"&amp;'管线现金流'!AQ144&amp;"|"&amp;'管线现金流'!AT144&amp;"|"&amp;'管线现金流'!W145&amp;"|"&amp;'管线现金流'!Z145&amp;"|"&amp;'管线现金流'!AQ145&amp;"|"&amp;'管线现金流'!AT145&amp;"|"&amp;'管线现金流'!W146&amp;"|"&amp;'管线现金流'!Z146&amp;"|"&amp;'管线现金流'!AQ146&amp;"|"&amp;'管线现金流'!AT146&amp;"|"&amp;'管线现金流'!W147&amp;"|"&amp;'管线现金流'!Z147&amp;"|"&amp;'管线现金流'!AQ147&amp;"|"&amp;'管线现金流'!AT147&amp;"|"&amp;'管线现金流'!W148&amp;"|"&amp;'管线现金流'!Z148&amp;"|"&amp;'管线现金流'!AQ148&amp;"|"&amp;'管线现金流'!AT148&amp;"|"&amp;'管线现金流'!W149&amp;"|"&amp;'管线现金流'!Z149&amp;"|"&amp;'管线现金流'!AQ149&amp;"|"&amp;'管线现金流'!AT149&amp;"|"&amp;'管线现金流'!W150&amp;"|"&amp;'管线现金流'!Z150&amp;"|"&amp;'管线现金流'!AQ150&amp;"|"&amp;'管线现金流'!AT150&amp;"|"&amp;'管线现金流'!W151&amp;"|"&amp;'管线现金流'!Z151&amp;"|"&amp;'管线现金流'!AQ151&amp;"|"&amp;'管线现金流'!AT151&amp;"|"&amp;'许可受让方假设'!D26&amp;"|"&amp;'许可受让方假设'!E26&amp;"|"&amp;'许可受让方假设'!F26&amp;"|"&amp;'许可受让方假设'!G26&amp;"|"&amp;'许可受让方假设'!H26&amp;"|"&amp;'许可受让方假设'!I26&amp;"|"&amp;'许可受让方假设'!J26&amp;"|"&amp;'许可受让方假设'!K26&amp;"|"&amp;'许可受让方现金流'!Q83&amp;"|"&amp;'许可受让方现金流'!Q84&amp;"|"&amp;'许可受让方现金流'!Q85&amp;"|"&amp;'许可受让方现金流'!Q86&amp;"|"&amp;'许可受让方现金流'!Q87&amp;"|"&amp;'许可受让方现金流'!Q88&amp;"|"&amp;'许可受让方现金流'!Q89&amp;"|"&amp;'许可受让方现金流'!Q90&amp;"|"&amp;'许可受让方现金流'!Q91&amp;"|"&amp;'许可受让方现金流'!Q92&amp;"|"&amp;'许可受让方现金流'!Q93&amp;"|"&amp;'许可受让方现金流'!Q94&amp;"|"&amp;'许可受让方现金流'!Q95&amp;"|"&amp;'许可受让方现金流'!Q96&amp;"|"&amp;'许可受让方现金流'!Q97&amp;"|"&amp;'许可受让方现金流'!Q98&amp;"|"&amp;'许可受让方现金流'!Q99&amp;"|"&amp;'许可受让方现金流'!Q100&amp;"|"&amp;'许可受让方现金流'!Q101</x:f>
        <x:v>1|10|0|1|0.52|1|0.11|7|1|0.46|1|0.11|7|0.65|0.52|1|0.11|7|0.75|0.46|1|0.11|7|0.75|0.5|1|0.11|7|0.7|0.153|1|0.11|7|0.8|0.11900000000000001|1|0.11|7|0.8|0.11900000000000001|1|0.11|7|0.6|0.136|1|0.11|7|1|0|1|0.11|7|2.3|0.2|3.5|0.18|5|0.13|6.7|0.1|8.5|0|10|0|11|0|12|0|13|0|13|0|12.8|0|12|0|11|0|9.5|0|8|0|6.5|0|5|0|3.5|0|2|0|0.95|0.16|1.5|0.15|2.2|0.12|3.1|0.1|4.1|0|5|0|5.8|0|6.3|0|6.7|0|6.7|0|6.4|0|6|0|5.5|0|4.7|0|3.8|0|2.9|0|2.1|0|1.4|0|0.8|0|0|0.18|0|0.22|0|0.2|0.18|0.12|0.54|0|1.1400000000000001|0|1.9500000000000002|0|2.55|0|3|0|3|0|2.8499999999999996|0|2.7|0|2.4000000000000004|0|1.9500000000000002|0|1.5|0|1.0499999999999998|0|0.6000000000000001|0|0.36|0|0.21000000000000002|0|0|0.2|0|0.24|0.36|0.2|1.08|0.12|2.2800000000000002|0|3.9000000000000004|0|5.1|0|6|0|6|0|5.699999999999999|0|5.4|0|4.800000000000001|0|3.9000000000000004|0|3|0|2.0999999999999996|0|1.2000000000000002|0|0.72|0|0.42000000000000004|0|0.18|0|0|0.24|0|0.3|0.48|0.25|1.44|0.16|3.04|0|5.2|0|6.8|0|8|0|8|0|7.6|0|7.2|0|6.4|0|5.2|0|4|0|2.8|0|1.6|0|0.96|0|0.56|0|0.24|0|0|0.084|0|0|0|0|0.6|0|1.7999999999999998|0|3.8|0|6.5|0|8.5|0|10|0|10|0|9.5|0|9|0|8|0|6.5|0|5|0|3.5|0|2|0|1.2|0|0.7000000000000001|0|0|0.084|0|0|0.36|0|1.08|0|2.2800000000000002|0|3.9000000000000004|0|5.1|0|6|0|6|0|5.699999999999999|0|5.4|0|4.800000000000001|0|3.9000000000000004|0|3|0|2.0999999999999996|0|1.2000000000000002|0|0.72|0|0.42000000000000004|0|0.18|0|0|0.084|0|0|0.24|0|0.72|0|1.52|0|2.6|0|3.4|0|4|0|4|0|3.8|0|3.6|0|3.2|0|2.6|0|2|0|1.4|0|0.8|0|0.48|0|0.28|0|0.12|0|0|0.12|0|0.15|0|0.08|0.18|0|0.54|0|1.1400000000000001|0|1.9500000000000002|0|2.55|0|3|0|3|0|2.8499999999999996|0|2.7|0|2.4000000000000004|0|1.9500000000000002|0|1.5|0|1.0499999999999998|0|0.6000000000000001|0|0.36|0|0.21000000000000002|0|0|0.2|0|0.20800000000000002|0|0.21632000000000004|0|0.22497280000000003|0|0.23397171200000005|0|0.24333058048000003|0|0.25306380369920006|0|0.26318635584716804|0|0.2737138100810548|0|0.284662362484297|0|0.2960488569836689|0|0.30789081126301565|0|0.32020644371353635|0|0.3330147014620778|0|0.3463352895205609|0|0.36018870110138335|0|0.37459624914543865|0|0.38958009911125624|0|0.4051633030757065|0.1|0.7|0.8|1|0.1|0.8|0.8|1|0.12|0.8|0.8|1|0|0|0.8|0.9|0|0|0.8|0.9|0.3|0.65|0.8|1|0.15|0.7|0.8|1|0.2|0.65|0.8|1|0|0|0.8|0.9|0.35|0.55|0.8|1|0.42|0.8|0.85|2.5|0.145|0.016|0.002|0.95|1.1900000000000002|1.2376000000000003|1.2871040000000002|1.3385881600000002|1.3921316864000004|1.4478169538560004|1.5057296320102407|1.5659588172906502|1.628597169982276|1.6937410567815674|1.76149069905283|1.8319503270149433|1.9052283400955412|1.981437473699363|2.0606949726473376|2.143122771553231|2.2288476824153602|2.318001589711975|2.4107216533004543</x:v>
      </x:c>
    </x:row>
    <x:row r="622" ht="23" customHeight="1">
      <x:c r="A622" s="11" t="str">
        <x:v>02607.HK</x:v>
      </x:c>
      <x:c r="B622" s="11" t="str">
        <x:v>上海医药</x:v>
      </x:c>
      <x:c r="C622" s="11" t="str">
        <x:v>2026年底</x:v>
      </x:c>
      <x:c r="D622" s="11" t="str">
        <x:v>悲观</x:v>
      </x:c>
      <x:c r="E622" s="11" t="n">
        <x:v>11.03</x:v>
      </x:c>
      <x:c r="F622" s="11" t="n">
        <x:v>6.7925</x:v>
      </x:c>
      <x:c r="G622" s="11" t="n">
        <x:v>0</x:v>
      </x:c>
      <x:c r="H622" s="25" t="n">
        <x:v>-0.38417951042611054</x:v>
      </x:c>
      <x:c r="I622" s="25" t="n">
        <x:v>-0.38417951042611054</x:v>
      </x:c>
      <x:c r="J622" s="25" t="str"/>
      <x:c r="K622" s="11" t="n">
        <x:v>0.95</x:v>
      </x:c>
      <x:c r="L622" s="11" t="n">
        <x:v>6.5</x:v>
      </x:c>
      <x:c r="M622" s="11" t="n">
        <x:v>1.1</x:v>
      </x:c>
      <x:c r="N622" s="11" t="n">
        <x:v>0</x:v>
      </x:c>
      <x:c r="O622" s="11" t="str"/>
      <x:c r="P622" s="11" t="str"/>
      <x:c r="Q622" s="11" t="str"/>
      <x:c r="R622" s="11" t="str">
        <x:v>shpharma-H-normalized-pe-v1.0</x:v>
      </x:c>
      <x:c r="S622" s="11" t="str">
        <x:v>2026-10-10</x:v>
      </x:c>
      <x:c r="T622" s="11" t="str">
        <x:f>IF(AND(SUM(IF(K622='假设'!E828,0,1),IF(L622='假设'!F828,0,1),IF(M622='假设'!G828,0,1),IF(N622='假设'!H828,0,1),IF(O622='假设'!I828,0,1),IF(P622='假设'!J828,0,1),IF(Q622='假设'!K828,0,1))=0,U622=V622),"已刷新","待刷新")</x:f>
        <x:v>已刷新</x:v>
      </x:c>
    </x:row>
    <x:row r="623" ht="23" customHeight="1">
      <x:c r="A623" s="11" t="str">
        <x:v>02607.HK</x:v>
      </x:c>
      <x:c r="B623" s="11" t="str">
        <x:v>上海医药</x:v>
      </x:c>
      <x:c r="C623" s="11" t="str">
        <x:v>2026年底</x:v>
      </x:c>
      <x:c r="D623" s="11" t="str">
        <x:v>基准</x:v>
      </x:c>
      <x:c r="E623" s="11" t="n">
        <x:v>11.03</x:v>
      </x:c>
      <x:c r="F623" s="11" t="n">
        <x:v>11.407</x:v>
      </x:c>
      <x:c r="G623" s="11" t="n">
        <x:v>0</x:v>
      </x:c>
      <x:c r="H623" s="25" t="n">
        <x:v>0.03417951042611067</x:v>
      </x:c>
      <x:c r="I623" s="25" t="n">
        <x:v>0.03417951042611067</x:v>
      </x:c>
      <x:c r="J623" s="25" t="str"/>
      <x:c r="K623" s="11" t="n">
        <x:v>1.22</x:v>
      </x:c>
      <x:c r="L623" s="11" t="n">
        <x:v>8.5</x:v>
      </x:c>
      <x:c r="M623" s="11" t="n">
        <x:v>1.1</x:v>
      </x:c>
      <x:c r="N623" s="11" t="n">
        <x:v>0</x:v>
      </x:c>
      <x:c r="O623" s="11" t="str"/>
      <x:c r="P623" s="11" t="str"/>
      <x:c r="Q623" s="11" t="str"/>
      <x:c r="R623" s="11" t="str">
        <x:v>shpharma-H-normalized-pe-v1.0</x:v>
      </x:c>
      <x:c r="S623" s="11" t="str">
        <x:v>2026-10-10</x:v>
      </x:c>
      <x:c r="T623" s="11" t="str">
        <x:f>IF(AND(SUM(IF(K623='假设'!E829,0,1),IF(L623='假设'!F829,0,1),IF(M623='假设'!G829,0,1),IF(N623='假设'!H829,0,1),IF(O623='假设'!I829,0,1),IF(P623='假设'!J829,0,1),IF(Q623='假设'!K829,0,1))=0,U623=V623),"已刷新","待刷新")</x:f>
        <x:v>已刷新</x:v>
      </x:c>
    </x:row>
    <x:row r="624" ht="23" customHeight="1">
      <x:c r="A624" s="11" t="str">
        <x:v>02607.HK</x:v>
      </x:c>
      <x:c r="B624" s="11" t="str">
        <x:v>上海医药</x:v>
      </x:c>
      <x:c r="C624" s="11" t="str">
        <x:v>2026年底</x:v>
      </x:c>
      <x:c r="D624" s="11" t="str">
        <x:v>乐观</x:v>
      </x:c>
      <x:c r="E624" s="11" t="n">
        <x:v>11.03</x:v>
      </x:c>
      <x:c r="F624" s="11" t="n">
        <x:v>15.400000000000002</x:v>
      </x:c>
      <x:c r="G624" s="11" t="n">
        <x:v>0</x:v>
      </x:c>
      <x:c r="H624" s="25" t="n">
        <x:v>0.39619220308250247</x:v>
      </x:c>
      <x:c r="I624" s="25" t="n">
        <x:v>0.39619220308250247</x:v>
      </x:c>
      <x:c r="J624" s="25" t="str"/>
      <x:c r="K624" s="11" t="n">
        <x:v>1.4</x:v>
      </x:c>
      <x:c r="L624" s="11" t="n">
        <x:v>10</x:v>
      </x:c>
      <x:c r="M624" s="11" t="n">
        <x:v>1.1</x:v>
      </x:c>
      <x:c r="N624" s="11" t="n">
        <x:v>0</x:v>
      </x:c>
      <x:c r="O624" s="11" t="str"/>
      <x:c r="P624" s="11" t="str"/>
      <x:c r="Q624" s="11" t="str"/>
      <x:c r="R624" s="11" t="str">
        <x:v>shpharma-H-normalized-pe-v1.0</x:v>
      </x:c>
      <x:c r="S624" s="11" t="str">
        <x:v>2026-10-10</x:v>
      </x:c>
      <x:c r="T624" s="11" t="str">
        <x:f>IF(AND(SUM(IF(K624='假设'!E830,0,1),IF(L624='假设'!F830,0,1),IF(M624='假设'!G830,0,1),IF(N624='假设'!H830,0,1),IF(O624='假设'!I830,0,1),IF(P624='假设'!J830,0,1),IF(Q624='假设'!K830,0,1))=0,U624=V624),"已刷新","待刷新")</x:f>
        <x:v>已刷新</x:v>
      </x:c>
    </x:row>
    <x:row r="625" ht="23" customHeight="1">
      <x:c r="A625" s="11" t="str">
        <x:v>02607.HK</x:v>
      </x:c>
      <x:c r="B625" s="11" t="str">
        <x:v>上海医药</x:v>
      </x:c>
      <x:c r="C625" s="11" t="str">
        <x:v>半年</x:v>
      </x:c>
      <x:c r="D625" s="11" t="str">
        <x:v>悲观</x:v>
      </x:c>
      <x:c r="E625" s="11" t="n">
        <x:v>11.03</x:v>
      </x:c>
      <x:c r="F625" s="11" t="n">
        <x:v>7.15</x:v>
      </x:c>
      <x:c r="G625" s="11" t="n">
        <x:v>0</x:v>
      </x:c>
      <x:c r="H625" s="25" t="n">
        <x:v>-0.35176790571169536</x:v>
      </x:c>
      <x:c r="I625" s="25" t="n">
        <x:v>-0.35176790571169536</x:v>
      </x:c>
      <x:c r="J625" s="25" t="str"/>
      <x:c r="K625" s="11" t="n">
        <x:v>1</x:v>
      </x:c>
      <x:c r="L625" s="11" t="n">
        <x:v>6.5</x:v>
      </x:c>
      <x:c r="M625" s="11" t="n">
        <x:v>1.1</x:v>
      </x:c>
      <x:c r="N625" s="11" t="n">
        <x:v>0</x:v>
      </x:c>
      <x:c r="O625" s="11" t="str"/>
      <x:c r="P625" s="11" t="str"/>
      <x:c r="Q625" s="11" t="str"/>
      <x:c r="R625" s="11" t="str">
        <x:v>shpharma-H-normalized-pe-v1.0</x:v>
      </x:c>
      <x:c r="S625" s="11" t="str">
        <x:v>2026-10-10</x:v>
      </x:c>
      <x:c r="T625" s="11" t="str">
        <x:f>IF(AND(SUM(IF(K625='假设'!E832,0,1),IF(L625='假设'!F832,0,1),IF(M625='假设'!G832,0,1),IF(N625='假设'!H832,0,1),IF(O625='假设'!I832,0,1),IF(P625='假设'!J832,0,1),IF(Q625='假设'!K832,0,1))=0,U625=V625),"已刷新","待刷新")</x:f>
        <x:v>已刷新</x:v>
      </x:c>
    </x:row>
    <x:row r="626" ht="23" customHeight="1">
      <x:c r="A626" s="11" t="str">
        <x:v>02607.HK</x:v>
      </x:c>
      <x:c r="B626" s="11" t="str">
        <x:v>上海医药</x:v>
      </x:c>
      <x:c r="C626" s="11" t="str">
        <x:v>半年</x:v>
      </x:c>
      <x:c r="D626" s="11" t="str">
        <x:v>基准</x:v>
      </x:c>
      <x:c r="E626" s="11" t="n">
        <x:v>11.03</x:v>
      </x:c>
      <x:c r="F626" s="11" t="n">
        <x:v>13.062500000000002</x:v>
      </x:c>
      <x:c r="G626" s="11" t="n">
        <x:v>0</x:v>
      </x:c>
      <x:c r="H626" s="25" t="n">
        <x:v>0.18427017225747977</x:v>
      </x:c>
      <x:c r="I626" s="25" t="n">
        <x:v>0.18427017225747977</x:v>
      </x:c>
      <x:c r="J626" s="25" t="str"/>
      <x:c r="K626" s="11" t="n">
        <x:v>1.25</x:v>
      </x:c>
      <x:c r="L626" s="11" t="n">
        <x:v>9.5</x:v>
      </x:c>
      <x:c r="M626" s="11" t="n">
        <x:v>1.1</x:v>
      </x:c>
      <x:c r="N626" s="11" t="n">
        <x:v>0</x:v>
      </x:c>
      <x:c r="O626" s="11" t="str"/>
      <x:c r="P626" s="11" t="str"/>
      <x:c r="Q626" s="11" t="str"/>
      <x:c r="R626" s="11" t="str">
        <x:v>shpharma-H-normalized-pe-v1.0</x:v>
      </x:c>
      <x:c r="S626" s="11" t="str">
        <x:v>2026-10-10</x:v>
      </x:c>
      <x:c r="T626" s="11" t="str">
        <x:f>IF(AND(SUM(IF(K626='假设'!E833,0,1),IF(L626='假设'!F833,0,1),IF(M626='假设'!G833,0,1),IF(N626='假设'!H833,0,1),IF(O626='假设'!I833,0,1),IF(P626='假设'!J833,0,1),IF(Q626='假设'!K833,0,1))=0,U626=V626),"已刷新","待刷新")</x:f>
        <x:v>已刷新</x:v>
      </x:c>
    </x:row>
    <x:row r="627" ht="23" customHeight="1">
      <x:c r="A627" s="11" t="str">
        <x:v>02607.HK</x:v>
      </x:c>
      <x:c r="B627" s="11" t="str">
        <x:v>上海医药</x:v>
      </x:c>
      <x:c r="C627" s="11" t="str">
        <x:v>半年</x:v>
      </x:c>
      <x:c r="D627" s="11" t="str">
        <x:v>乐观</x:v>
      </x:c>
      <x:c r="E627" s="11" t="n">
        <x:v>11.03</x:v>
      </x:c>
      <x:c r="F627" s="11" t="n">
        <x:v>18.755000000000003</x:v>
      </x:c>
      <x:c r="G627" s="11" t="n">
        <x:v>0</x:v>
      </x:c>
      <x:c r="H627" s="25" t="n">
        <x:v>0.7003626473254763</x:v>
      </x:c>
      <x:c r="I627" s="25" t="n">
        <x:v>0.7003626473254763</x:v>
      </x:c>
      <x:c r="J627" s="25" t="str"/>
      <x:c r="K627" s="11" t="n">
        <x:v>1.55</x:v>
      </x:c>
      <x:c r="L627" s="11" t="n">
        <x:v>11</x:v>
      </x:c>
      <x:c r="M627" s="11" t="n">
        <x:v>1.1</x:v>
      </x:c>
      <x:c r="N627" s="11" t="n">
        <x:v>0</x:v>
      </x:c>
      <x:c r="O627" s="11" t="str"/>
      <x:c r="P627" s="11" t="str"/>
      <x:c r="Q627" s="11" t="str"/>
      <x:c r="R627" s="11" t="str">
        <x:v>shpharma-H-normalized-pe-v1.0</x:v>
      </x:c>
      <x:c r="S627" s="11" t="str">
        <x:v>2026-10-10</x:v>
      </x:c>
      <x:c r="T627" s="11" t="str">
        <x:f>IF(AND(SUM(IF(K627='假设'!E834,0,1),IF(L627='假设'!F834,0,1),IF(M627='假设'!G834,0,1),IF(N627='假设'!H834,0,1),IF(O627='假设'!I834,0,1),IF(P627='假设'!J834,0,1),IF(Q627='假设'!K834,0,1))=0,U627=V627),"已刷新","待刷新")</x:f>
        <x:v>已刷新</x:v>
      </x:c>
    </x:row>
    <x:row r="628" ht="23" customHeight="1">
      <x:c r="A628" s="11" t="str">
        <x:v>02607.HK</x:v>
      </x:c>
      <x:c r="B628" s="11" t="str">
        <x:v>上海医药</x:v>
      </x:c>
      <x:c r="C628" s="11" t="str">
        <x:v>一年</x:v>
      </x:c>
      <x:c r="D628" s="11" t="str">
        <x:v>悲观</x:v>
      </x:c>
      <x:c r="E628" s="11" t="n">
        <x:v>11.03</x:v>
      </x:c>
      <x:c r="F628" s="11" t="n">
        <x:v>7.293</x:v>
      </x:c>
      <x:c r="G628" s="11" t="n">
        <x:v>0.3</x:v>
      </x:c>
      <x:c r="H628" s="25" t="n">
        <x:v>-0.3388032638259292</x:v>
      </x:c>
      <x:c r="I628" s="25" t="n">
        <x:v>-0.3116047144152312</x:v>
      </x:c>
      <x:c r="J628" s="25" t="str"/>
      <x:c r="K628" s="11" t="n">
        <x:v>1.02</x:v>
      </x:c>
      <x:c r="L628" s="11" t="n">
        <x:v>6.5</x:v>
      </x:c>
      <x:c r="M628" s="11" t="n">
        <x:v>1.1</x:v>
      </x:c>
      <x:c r="N628" s="11" t="n">
        <x:v>0.3</x:v>
      </x:c>
      <x:c r="O628" s="11" t="str"/>
      <x:c r="P628" s="11" t="str"/>
      <x:c r="Q628" s="11" t="str"/>
      <x:c r="R628" s="11" t="str">
        <x:v>shpharma-H-normalized-pe-v1.0</x:v>
      </x:c>
      <x:c r="S628" s="11" t="str">
        <x:v>2026-10-10</x:v>
      </x:c>
      <x:c r="T628" s="11" t="str">
        <x:f>IF(AND(SUM(IF(K628='假设'!E836,0,1),IF(L628='假设'!F836,0,1),IF(M628='假设'!G836,0,1),IF(N628='假设'!H836,0,1),IF(O628='假设'!I836,0,1),IF(P628='假设'!J836,0,1),IF(Q628='假设'!K836,0,1))=0,U628=V628),"已刷新","待刷新")</x:f>
        <x:v>已刷新</x:v>
      </x:c>
    </x:row>
    <x:row r="629" ht="23" customHeight="1">
      <x:c r="A629" s="11" t="str">
        <x:v>02607.HK</x:v>
      </x:c>
      <x:c r="B629" s="11" t="str">
        <x:v>上海医药</x:v>
      </x:c>
      <x:c r="C629" s="11" t="str">
        <x:v>一年</x:v>
      </x:c>
      <x:c r="D629" s="11" t="str">
        <x:v>基准</x:v>
      </x:c>
      <x:c r="E629" s="11" t="n">
        <x:v>11.03</x:v>
      </x:c>
      <x:c r="F629" s="11" t="n">
        <x:v>15.400000000000002</x:v>
      </x:c>
      <x:c r="G629" s="11" t="n">
        <x:v>0.48</x:v>
      </x:c>
      <x:c r="H629" s="25" t="n">
        <x:v>0.39619220308250247</x:v>
      </x:c>
      <x:c r="I629" s="25" t="n">
        <x:v>0.4397098821396195</x:v>
      </x:c>
      <x:c r="J629" s="25" t="str"/>
      <x:c r="K629" s="11" t="n">
        <x:v>1.4</x:v>
      </x:c>
      <x:c r="L629" s="11" t="n">
        <x:v>10</x:v>
      </x:c>
      <x:c r="M629" s="11" t="n">
        <x:v>1.1</x:v>
      </x:c>
      <x:c r="N629" s="11" t="n">
        <x:v>0.48</x:v>
      </x:c>
      <x:c r="O629" s="11" t="str"/>
      <x:c r="P629" s="11" t="str"/>
      <x:c r="Q629" s="11" t="str"/>
      <x:c r="R629" s="11" t="str">
        <x:v>shpharma-H-normalized-pe-v1.0</x:v>
      </x:c>
      <x:c r="S629" s="11" t="str">
        <x:v>2026-10-10</x:v>
      </x:c>
      <x:c r="T629" s="11" t="str">
        <x:f>IF(AND(SUM(IF(K629='假设'!E837,0,1),IF(L629='假设'!F837,0,1),IF(M629='假设'!G837,0,1),IF(N629='假设'!H837,0,1),IF(O629='假设'!I837,0,1),IF(P629='假设'!J837,0,1),IF(Q629='假设'!K837,0,1))=0,U629=V629),"已刷新","待刷新")</x:f>
        <x:v>已刷新</x:v>
      </x:c>
    </x:row>
    <x:row r="630" ht="23" customHeight="1">
      <x:c r="A630" s="11" t="str">
        <x:v>02607.HK</x:v>
      </x:c>
      <x:c r="B630" s="11" t="str">
        <x:v>上海医药</x:v>
      </x:c>
      <x:c r="C630" s="11" t="str">
        <x:v>一年</x:v>
      </x:c>
      <x:c r="D630" s="11" t="str">
        <x:v>乐观</x:v>
      </x:c>
      <x:c r="E630" s="11" t="n">
        <x:v>11.03</x:v>
      </x:c>
      <x:c r="F630" s="11" t="n">
        <x:v>23.760000000000005</x:v>
      </x:c>
      <x:c r="G630" s="11" t="n">
        <x:v>0.62</x:v>
      </x:c>
      <x:c r="H630" s="25" t="n">
        <x:v>1.1541251133272898</x:v>
      </x:c>
      <x:c r="I630" s="25" t="n">
        <x:v>1.2103354487760658</x:v>
      </x:c>
      <x:c r="J630" s="25" t="str"/>
      <x:c r="K630" s="11" t="n">
        <x:v>1.8</x:v>
      </x:c>
      <x:c r="L630" s="11" t="n">
        <x:v>12</x:v>
      </x:c>
      <x:c r="M630" s="11" t="n">
        <x:v>1.1</x:v>
      </x:c>
      <x:c r="N630" s="11" t="n">
        <x:v>0.62</x:v>
      </x:c>
      <x:c r="O630" s="11" t="str"/>
      <x:c r="P630" s="11" t="str"/>
      <x:c r="Q630" s="11" t="str"/>
      <x:c r="R630" s="11" t="str">
        <x:v>shpharma-H-normalized-pe-v1.0</x:v>
      </x:c>
      <x:c r="S630" s="11" t="str">
        <x:v>2026-10-10</x:v>
      </x:c>
      <x:c r="T630" s="11" t="str">
        <x:f>IF(AND(SUM(IF(K630='假设'!E838,0,1),IF(L630='假设'!F838,0,1),IF(M630='假设'!G838,0,1),IF(N630='假设'!H838,0,1),IF(O630='假设'!I838,0,1),IF(P630='假设'!J838,0,1),IF(Q630='假设'!K838,0,1))=0,U630=V630),"已刷新","待刷新")</x:f>
        <x:v>已刷新</x:v>
      </x:c>
    </x:row>
    <x:row r="631" ht="23" customHeight="1">
      <x:c r="A631" s="11" t="str">
        <x:v>02607.HK</x:v>
      </x:c>
      <x:c r="B631" s="11" t="str">
        <x:v>上海医药</x:v>
      </x:c>
      <x:c r="C631" s="11" t="str">
        <x:v>三年</x:v>
      </x:c>
      <x:c r="D631" s="11" t="str">
        <x:v>悲观</x:v>
      </x:c>
      <x:c r="E631" s="11" t="n">
        <x:v>11.03</x:v>
      </x:c>
      <x:c r="F631" s="11" t="n">
        <x:v>6.9300000000000015</x:v>
      </x:c>
      <x:c r="G631" s="11" t="n">
        <x:v>0.85</x:v>
      </x:c>
      <x:c r="H631" s="25" t="n">
        <x:v>-0.3717135086128738</x:v>
      </x:c>
      <x:c r="I631" s="25" t="n">
        <x:v>-0.2946509519492292</x:v>
      </x:c>
      <x:c r="J631" s="25" t="n">
        <x:v>-0.10984009604144451</x:v>
      </x:c>
      <x:c r="K631" s="11" t="n">
        <x:v>1.05</x:v>
      </x:c>
      <x:c r="L631" s="11" t="n">
        <x:v>6</x:v>
      </x:c>
      <x:c r="M631" s="11" t="n">
        <x:v>1.1</x:v>
      </x:c>
      <x:c r="N631" s="11" t="n">
        <x:v>0.85</x:v>
      </x:c>
      <x:c r="O631" s="11" t="str"/>
      <x:c r="P631" s="11" t="str"/>
      <x:c r="Q631" s="11" t="str"/>
      <x:c r="R631" s="11" t="str">
        <x:v>shpharma-H-normalized-pe-v1.0</x:v>
      </x:c>
      <x:c r="S631" s="11" t="str">
        <x:v>2026-10-10</x:v>
      </x:c>
      <x:c r="T631" s="11" t="str">
        <x:f>IF(AND(SUM(IF(K631='假设'!E840,0,1),IF(L631='假设'!F840,0,1),IF(M631='假设'!G840,0,1),IF(N631='假设'!H840,0,1),IF(O631='假设'!I840,0,1),IF(P631='假设'!J840,0,1),IF(Q631='假设'!K840,0,1))=0,U631=V631),"已刷新","待刷新")</x:f>
        <x:v>已刷新</x:v>
      </x:c>
    </x:row>
    <x:row r="632" ht="23" customHeight="1">
      <x:c r="A632" s="11" t="str">
        <x:v>02607.HK</x:v>
      </x:c>
      <x:c r="B632" s="11" t="str">
        <x:v>上海医药</x:v>
      </x:c>
      <x:c r="C632" s="11" t="str">
        <x:v>三年</x:v>
      </x:c>
      <x:c r="D632" s="11" t="str">
        <x:v>基准</x:v>
      </x:c>
      <x:c r="E632" s="11" t="n">
        <x:v>11.03</x:v>
      </x:c>
      <x:c r="F632" s="11" t="n">
        <x:v>20.790000000000003</x:v>
      </x:c>
      <x:c r="G632" s="11" t="n">
        <x:v>1.6</x:v>
      </x:c>
      <x:c r="H632" s="25" t="n">
        <x:v>0.8848594741613784</x:v>
      </x:c>
      <x:c r="I632" s="25" t="n">
        <x:v>1.0299184043517684</x:v>
      </x:c>
      <x:c r="J632" s="25" t="n">
        <x:v>0.2661724519921307</x:v>
      </x:c>
      <x:c r="K632" s="11" t="n">
        <x:v>1.8</x:v>
      </x:c>
      <x:c r="L632" s="11" t="n">
        <x:v>10.5</x:v>
      </x:c>
      <x:c r="M632" s="11" t="n">
        <x:v>1.1</x:v>
      </x:c>
      <x:c r="N632" s="11" t="n">
        <x:v>1.6</x:v>
      </x:c>
      <x:c r="O632" s="11" t="str"/>
      <x:c r="P632" s="11" t="str"/>
      <x:c r="Q632" s="11" t="str"/>
      <x:c r="R632" s="11" t="str">
        <x:v>shpharma-H-normalized-pe-v1.0</x:v>
      </x:c>
      <x:c r="S632" s="11" t="str">
        <x:v>2026-10-10</x:v>
      </x:c>
      <x:c r="T632" s="11" t="str">
        <x:f>IF(AND(SUM(IF(K632='假设'!E841,0,1),IF(L632='假设'!F841,0,1),IF(M632='假设'!G841,0,1),IF(N632='假设'!H841,0,1),IF(O632='假设'!I841,0,1),IF(P632='假设'!J841,0,1),IF(Q632='假设'!K841,0,1))=0,U632=V632),"已刷新","待刷新")</x:f>
        <x:v>已刷新</x:v>
      </x:c>
    </x:row>
    <x:row r="633" ht="23" customHeight="1">
      <x:c r="A633" s="11" t="str">
        <x:v>02607.HK</x:v>
      </x:c>
      <x:c r="B633" s="11" t="str">
        <x:v>上海医药</x:v>
      </x:c>
      <x:c r="C633" s="11" t="str">
        <x:v>三年</x:v>
      </x:c>
      <x:c r="D633" s="11" t="str">
        <x:v>乐观</x:v>
      </x:c>
      <x:c r="E633" s="11" t="n">
        <x:v>11.03</x:v>
      </x:c>
      <x:c r="F633" s="11" t="n">
        <x:v>37.18000000000001</x:v>
      </x:c>
      <x:c r="G633" s="11" t="n">
        <x:v>2.3</x:v>
      </x:c>
      <x:c r="H633" s="25" t="n">
        <x:v>2.370806890299185</x:v>
      </x:c>
      <x:c r="I633" s="25" t="n">
        <x:v>2.57932910244787</x:v>
      </x:c>
      <x:c r="J633" s="25" t="n">
        <x:v>0.5296798427959004</x:v>
      </x:c>
      <x:c r="K633" s="11" t="n">
        <x:v>2.6</x:v>
      </x:c>
      <x:c r="L633" s="11" t="n">
        <x:v>13</x:v>
      </x:c>
      <x:c r="M633" s="11" t="n">
        <x:v>1.1</x:v>
      </x:c>
      <x:c r="N633" s="11" t="n">
        <x:v>2.3</x:v>
      </x:c>
      <x:c r="O633" s="11" t="str"/>
      <x:c r="P633" s="11" t="str"/>
      <x:c r="Q633" s="11" t="str"/>
      <x:c r="R633" s="11" t="str">
        <x:v>shpharma-H-normalized-pe-v1.0</x:v>
      </x:c>
      <x:c r="S633" s="11" t="str">
        <x:v>2026-10-10</x:v>
      </x:c>
      <x:c r="T633" s="11" t="str">
        <x:f>IF(AND(SUM(IF(K633='假设'!E842,0,1),IF(L633='假设'!F842,0,1),IF(M633='假设'!G842,0,1),IF(N633='假设'!H842,0,1),IF(O633='假设'!I842,0,1),IF(P633='假设'!J842,0,1),IF(Q633='假设'!K842,0,1))=0,U633=V633),"已刷新","待刷新")</x:f>
        <x:v>已刷新</x:v>
      </x:c>
    </x:row>
    <x:row r="634" ht="23" customHeight="1">
      <x:c r="A634" s="11" t="str">
        <x:v>02607.HK</x:v>
      </x:c>
      <x:c r="B634" s="11" t="str">
        <x:v>上海医药</x:v>
      </x:c>
      <x:c r="C634" s="11" t="str">
        <x:v>五年</x:v>
      </x:c>
      <x:c r="D634" s="11" t="str">
        <x:v>悲观</x:v>
      </x:c>
      <x:c r="E634" s="11" t="n">
        <x:v>11.03</x:v>
      </x:c>
      <x:c r="F634" s="11" t="n">
        <x:v>6.655000000000001</x:v>
      </x:c>
      <x:c r="G634" s="11" t="n">
        <x:v>1.4</x:v>
      </x:c>
      <x:c r="H634" s="25" t="n">
        <x:v>-0.3966455122393471</x:v>
      </x:c>
      <x:c r="I634" s="25" t="n">
        <x:v>-0.2697189483227559</x:v>
      </x:c>
      <x:c r="J634" s="25" t="n">
        <x:v>-0.060929913761200494</x:v>
      </x:c>
      <x:c r="K634" s="11" t="n">
        <x:v>1.1</x:v>
      </x:c>
      <x:c r="L634" s="11" t="n">
        <x:v>5.5</x:v>
      </x:c>
      <x:c r="M634" s="11" t="n">
        <x:v>1.1</x:v>
      </x:c>
      <x:c r="N634" s="11" t="n">
        <x:v>1.4</x:v>
      </x:c>
      <x:c r="O634" s="11" t="str"/>
      <x:c r="P634" s="11" t="str"/>
      <x:c r="Q634" s="11" t="str"/>
      <x:c r="R634" s="11" t="str">
        <x:v>shpharma-H-normalized-pe-v1.0</x:v>
      </x:c>
      <x:c r="S634" s="11" t="str">
        <x:v>2026-10-10</x:v>
      </x:c>
      <x:c r="T634" s="11" t="str">
        <x:f>IF(AND(SUM(IF(K634='假设'!E844,0,1),IF(L634='假设'!F844,0,1),IF(M634='假设'!G844,0,1),IF(N634='假设'!H844,0,1),IF(O634='假设'!I844,0,1),IF(P634='假设'!J844,0,1),IF(Q634='假设'!K844,0,1))=0,U634=V634),"已刷新","待刷新")</x:f>
        <x:v>已刷新</x:v>
      </x:c>
    </x:row>
    <x:row r="635" ht="23" customHeight="1">
      <x:c r="A635" s="11" t="str">
        <x:v>02607.HK</x:v>
      </x:c>
      <x:c r="B635" s="11" t="str">
        <x:v>上海医药</x:v>
      </x:c>
      <x:c r="C635" s="11" t="str">
        <x:v>五年</x:v>
      </x:c>
      <x:c r="D635" s="11" t="str">
        <x:v>基准</x:v>
      </x:c>
      <x:c r="E635" s="11" t="n">
        <x:v>11.03</x:v>
      </x:c>
      <x:c r="F635" s="11" t="n">
        <x:v>24.200000000000003</x:v>
      </x:c>
      <x:c r="G635" s="11" t="n">
        <x:v>3</x:v>
      </x:c>
      <x:c r="H635" s="25" t="n">
        <x:v>1.1940163191296467</x:v>
      </x:c>
      <x:c r="I635" s="25" t="n">
        <x:v>1.4660018132366277</x:v>
      </x:c>
      <x:c r="J635" s="25" t="n">
        <x:v>0.19783963245480884</x:v>
      </x:c>
      <x:c r="K635" s="11" t="n">
        <x:v>2.2</x:v>
      </x:c>
      <x:c r="L635" s="11" t="n">
        <x:v>10</x:v>
      </x:c>
      <x:c r="M635" s="11" t="n">
        <x:v>1.1</x:v>
      </x:c>
      <x:c r="N635" s="11" t="n">
        <x:v>3</x:v>
      </x:c>
      <x:c r="O635" s="11" t="str"/>
      <x:c r="P635" s="11" t="str"/>
      <x:c r="Q635" s="11" t="str"/>
      <x:c r="R635" s="11" t="str">
        <x:v>shpharma-H-normalized-pe-v1.0</x:v>
      </x:c>
      <x:c r="S635" s="11" t="str">
        <x:v>2026-10-10</x:v>
      </x:c>
      <x:c r="T635" s="11" t="str">
        <x:f>IF(AND(SUM(IF(K635='假设'!E845,0,1),IF(L635='假设'!F845,0,1),IF(M635='假设'!G845,0,1),IF(N635='假设'!H845,0,1),IF(O635='假设'!I845,0,1),IF(P635='假设'!J845,0,1),IF(Q635='假设'!K845,0,1))=0,U635=V635),"已刷新","待刷新")</x:f>
        <x:v>已刷新</x:v>
      </x:c>
    </x:row>
    <x:row r="636" ht="23" customHeight="1">
      <x:c r="A636" s="11" t="str">
        <x:v>02607.HK</x:v>
      </x:c>
      <x:c r="B636" s="11" t="str">
        <x:v>上海医药</x:v>
      </x:c>
      <x:c r="C636" s="11" t="str">
        <x:v>五年</x:v>
      </x:c>
      <x:c r="D636" s="11" t="str">
        <x:v>乐观</x:v>
      </x:c>
      <x:c r="E636" s="11" t="n">
        <x:v>11.03</x:v>
      </x:c>
      <x:c r="F636" s="11" t="n">
        <x:v>46.2</x:v>
      </x:c>
      <x:c r="G636" s="11" t="n">
        <x:v>4.6</x:v>
      </x:c>
      <x:c r="H636" s="25" t="n">
        <x:v>3.188576609247507</x:v>
      </x:c>
      <x:c r="I636" s="25" t="n">
        <x:v>3.605621033544878</x:v>
      </x:c>
      <x:c r="J636" s="25" t="n">
        <x:v>0.35724309223993167</x:v>
      </x:c>
      <x:c r="K636" s="11" t="n">
        <x:v>3.5</x:v>
      </x:c>
      <x:c r="L636" s="11" t="n">
        <x:v>12</x:v>
      </x:c>
      <x:c r="M636" s="11" t="n">
        <x:v>1.1</x:v>
      </x:c>
      <x:c r="N636" s="11" t="n">
        <x:v>4.6</x:v>
      </x:c>
      <x:c r="O636" s="11" t="str"/>
      <x:c r="P636" s="11" t="str"/>
      <x:c r="Q636" s="11" t="str"/>
      <x:c r="R636" s="11" t="str">
        <x:v>shpharma-H-normalized-pe-v1.0</x:v>
      </x:c>
      <x:c r="S636" s="11" t="str">
        <x:v>2026-10-10</x:v>
      </x:c>
      <x:c r="T636" s="11" t="str">
        <x:f>IF(AND(SUM(IF(K636='假设'!E846,0,1),IF(L636='假设'!F846,0,1),IF(M636='假设'!G846,0,1),IF(N636='假设'!H846,0,1),IF(O636='假设'!I846,0,1),IF(P636='假设'!J846,0,1),IF(Q636='假设'!K846,0,1))=0,U636=V636),"已刷新","待刷新")</x:f>
        <x:v>已刷新</x:v>
      </x:c>
    </x:row>
    <x:row r="637" ht="23" customHeight="1">
      <x:c r="A637" s="11" t="str">
        <x:v>02096.HK</x:v>
      </x:c>
      <x:c r="B637" s="11" t="str">
        <x:v>先声药业</x:v>
      </x:c>
      <x:c r="C637" s="11" t="str">
        <x:v>2026年底</x:v>
      </x:c>
      <x:c r="D637" s="11" t="str">
        <x:v>悲观</x:v>
      </x:c>
      <x:c r="E637" s="11" t="n">
        <x:v>10.89</x:v>
      </x:c>
      <x:c r="F637" s="11" t="n">
        <x:v>3.410664551724138</x:v>
      </x:c>
      <x:c r="G637" s="11" t="n">
        <x:v>0</x:v>
      </x:c>
      <x:c r="H637" s="25" t="n">
        <x:v>-0.6868076628352491</x:v>
      </x:c>
      <x:c r="I637" s="25" t="n">
        <x:v>-0.6868076628352491</x:v>
      </x:c>
      <x:c r="J637" s="25" t="str"/>
      <x:c r="K637" s="11" t="n">
        <x:v>0.1550302068965519</x:v>
      </x:c>
      <x:c r="L637" s="11" t="n">
        <x:v>20</x:v>
      </x:c>
      <x:c r="M637" s="11" t="n">
        <x:v>1.1</x:v>
      </x:c>
      <x:c r="N637" s="11" t="n">
        <x:v>0</x:v>
      </x:c>
      <x:c r="O637" s="11" t="n">
        <x:v>8.95</x:v>
      </x:c>
      <x:c r="P637" s="11" t="n">
        <x:v>0.04520992625698329</x:v>
      </x:c>
      <x:c r="Q637" s="11" t="n">
        <x:v>2.61</x:v>
      </x:c>
      <x:c r="R637" s="11" t="str">
        <x:v>simcere-v2-short-recognition-normal-product-risk-royalty-PE-cash</x:v>
      </x:c>
      <x:c r="S637" s="11" t="str">
        <x:v>2026-10-10</x:v>
      </x:c>
      <x:c r="T637" s="11" t="str">
        <x:f>IF(AND(SUM(IF(K637='假设'!E848,0,1),IF(L637='假设'!F848,0,1),IF(M637='假设'!G848,0,1),IF(N637='假设'!H848,0,1),IF(O637='假设'!I848,0,1),IF(P637='假设'!J848,0,1),IF(Q637='假设'!K848,0,1))=0,U637=V637),"已刷新","待刷新")</x:f>
        <x:v>已刷新</x:v>
      </x:c>
      <x:c r="U637" t="str"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  <x:c r="V637" t="str">
        <x:f>'先声资金假设'!C8&amp;"|"&amp;'先声资金假设'!D8&amp;"|"&amp;'先声资金假设'!E8&amp;"|"&amp;'先声资金假设'!F8&amp;"|"&amp;'先声资金假设'!G8&amp;"|"&amp;'先声资金假设'!H8&amp;"|"&amp;'先声资金假设'!I8&amp;"|"&amp;'先声资金假设'!J8&amp;"|"&amp;'先声资金假设'!K8&amp;"|"&amp;'先声资金假设'!L8&amp;"|"&amp;'先声资金假设'!M8&amp;"|"&amp;'先声资金假设'!N8&amp;"|"&amp;'先声资金假设'!O8&amp;"|"&amp;'先声资金假设'!P8&amp;"|"&amp;'先声资金假设'!Q8&amp;"|"&amp;'先声资金假设'!R8&amp;"|"&amp;'先声资金假设'!S8&amp;"|"&amp;'先声资金假设'!T8&amp;"|"&amp;'先声资金假设'!U8&amp;"|"&amp;'先声资金假设'!V8&amp;"|"&amp;'先声资金假设'!W8&amp;"|"&amp;'先声资金假设'!X8&amp;"|"&amp;'先声资金假设'!Y8&amp;"|"&amp;'先声资金假设'!Z8&amp;"|"&amp;'先声资金假设'!AA8&amp;"|"&amp;'先声年度假设'!D8&amp;"|"&amp;'先声年度假设'!E8&amp;"|"&amp;'先声年度假设'!F8&amp;"|"&amp;'先声年度假设'!G8&amp;"|"&amp;'先声年度假设'!H8&amp;"|"&amp;'先声年度假设'!I8&amp;"|"&amp;'先声年度假设'!J8&amp;"|"&amp;'先声年度假设'!K8&amp;"|"&amp;'先声年度假设'!L8&amp;"|"&amp;'先声年度假设'!M8&amp;"|"&amp;'先声年度假设'!N8&amp;"|"&amp;'先声年度假设'!O8&amp;"|"&amp;'先声年度假设'!P8&amp;"|"&amp;'先声年度假设'!Q8&amp;"|"&amp;'先声年度假设'!R8&amp;"|"&amp;'先声年度假设'!S8&amp;"|"&amp;'先声年度假设'!T8&amp;"|"&amp;'先声年度假设'!U8&amp;"|"&amp;'先声年度假设'!V8&amp;"|"&amp;'先声年度假设'!W8&amp;"|"&amp;'先声年度假设'!X8&amp;"|"&amp;'先声年度假设'!D12&amp;"|"&amp;'先声年度假设'!E12&amp;"|"&amp;'先声年度假设'!F12&amp;"|"&amp;'先声年度假设'!G12&amp;"|"&amp;'先声年度假设'!H12&amp;"|"&amp;'先声年度假设'!I12&amp;"|"&amp;'先声年度假设'!J12&amp;"|"&amp;'先声年度假设'!K12&amp;"|"&amp;'先声年度假设'!L12&amp;"|"&amp;'先声年度假设'!M12&amp;"|"&amp;'先声年度假设'!N12&amp;"|"&amp;'先声年度假设'!O12&amp;"|"&amp;'先声年度假设'!P12&amp;"|"&amp;'先声年度假设'!Q12&amp;"|"&amp;'先声年度假设'!R12&amp;"|"&amp;'先声年度假设'!S12&amp;"|"&amp;'先声年度假设'!T12&amp;"|"&amp;'先声年度假设'!U12&amp;"|"&amp;'先声年度假设'!V12&amp;"|"&amp;'先声年度假设'!W12&amp;"|"&amp;'先声年度假设'!X12&amp;"|"&amp;'先声年度假设'!D16&amp;"|"&amp;'先声年度假设'!E16&amp;"|"&amp;'先声年度假设'!F16&amp;"|"&amp;'先声年度假设'!G16&amp;"|"&amp;'先声年度假设'!H16&amp;"|"&amp;'先声年度假设'!I16&amp;"|"&amp;'先声年度假设'!J16&amp;"|"&amp;'先声年度假设'!K16&amp;"|"&amp;'先声年度假设'!L16&amp;"|"&amp;'先声年度假设'!M16&amp;"|"&amp;'先声年度假设'!N16&amp;"|"&amp;'先声年度假设'!O16&amp;"|"&amp;'先声年度假设'!P16&amp;"|"&amp;'先声年度假设'!Q16&amp;"|"&amp;'先声年度假设'!R16&amp;"|"&amp;'先声年度假设'!S16&amp;"|"&amp;'先声年度假设'!T16&amp;"|"&amp;'先声年度假设'!U16&amp;"|"&amp;'先声年度假设'!V16&amp;"|"&amp;'先声年度假设'!W16&amp;"|"&amp;'先声年度假设'!X16&amp;"|"&amp;'先声年度假设'!D20&amp;"|"&amp;'先声年度假设'!E20&amp;"|"&amp;'先声年度假设'!F20&amp;"|"&amp;'先声年度假设'!G20&amp;"|"&amp;'先声年度假设'!H20&amp;"|"&amp;'先声年度假设'!I20&amp;"|"&amp;'先声年度假设'!J20&amp;"|"&amp;'先声年度假设'!K20&amp;"|"&amp;'先声年度假设'!L20&amp;"|"&amp;'先声年度假设'!M20&amp;"|"&amp;'先声年度假设'!N20&amp;"|"&amp;'先声年度假设'!O20&amp;"|"&amp;'先声年度假设'!P20&amp;"|"&amp;'先声年度假设'!Q20&amp;"|"&amp;'先声年度假设'!R20&amp;"|"&amp;'先声年度假设'!S20&amp;"|"&amp;'先声年度假设'!T20&amp;"|"&amp;'先声年度假设'!U20&amp;"|"&amp;'先声年度假设'!V20&amp;"|"&amp;'先声年度假设'!W20&amp;"|"&amp;'先声年度假设'!X20&amp;"|"&amp;'先声年度假设'!D24&amp;"|"&amp;'先声年度假设'!E24&amp;"|"&amp;'先声年度假设'!F24&amp;"|"&amp;'先声年度假设'!G24&amp;"|"&amp;'先声年度假设'!H24&amp;"|"&amp;'先声年度假设'!I24&amp;"|"&amp;'先声年度假设'!J24&amp;"|"&amp;'先声年度假设'!K24&amp;"|"&amp;'先声年度假设'!L24&amp;"|"&amp;'先声年度假设'!M24&amp;"|"&amp;'先声年度假设'!N24&amp;"|"&amp;'先声年度假设'!O24&amp;"|"&amp;'先声年度假设'!P24&amp;"|"&amp;'先声年度假设'!Q24&amp;"|"&amp;'先声年度假设'!R24&amp;"|"&amp;'先声年度假设'!S24&amp;"|"&amp;'先声年度假设'!T24&amp;"|"&amp;'先声年度假设'!U24&amp;"|"&amp;'先声年度假设'!V24&amp;"|"&amp;'先声年度假设'!W24&amp;"|"&amp;'先声年度假设'!X24&amp;"|"&amp;'先声年度假设'!D28&amp;"|"&amp;'先声年度假设'!E28&amp;"|"&amp;'先声年度假设'!F28&amp;"|"&amp;'先声年度假设'!G28&amp;"|"&amp;'先声年度假设'!H28&amp;"|"&amp;'先声年度假设'!I28&amp;"|"&amp;'先声年度假设'!J28&amp;"|"&amp;'先声年度假设'!K28&amp;"|"&amp;'先声年度假设'!L28&amp;"|"&amp;'先声年度假设'!M28&amp;"|"&amp;'先声年度假设'!N28&amp;"|"&amp;'先声年度假设'!O28&amp;"|"&amp;'先声年度假设'!P28&amp;"|"&amp;'先声年度假设'!Q28&amp;"|"&amp;'先声年度假设'!R28&amp;"|"&amp;'先声年度假设'!S28&amp;"|"&amp;'先声年度假设'!T28&amp;"|"&amp;'先声年度假设'!U28&amp;"|"&amp;'先声年度假设'!V28&amp;"|"&amp;'先声年度假设'!W28&amp;"|"&amp;'先声年度假设'!X28&amp;"|"&amp;'先声年度假设'!D32&amp;"|"&amp;'先声年度假设'!E32&amp;"|"&amp;'先声年度假设'!F32&amp;"|"&amp;'先声年度假设'!G32&amp;"|"&amp;'先声年度假设'!H32&amp;"|"&amp;'先声年度假设'!I32&amp;"|"&amp;'先声年度假设'!J32&amp;"|"&amp;'先声年度假设'!K32&amp;"|"&amp;'先声年度假设'!L32&amp;"|"&amp;'先声年度假设'!M32&amp;"|"&amp;'先声年度假设'!N32&amp;"|"&amp;'先声年度假设'!O32&amp;"|"&amp;'先声年度假设'!P32&amp;"|"&amp;'先声年度假设'!Q32&amp;"|"&amp;'先声年度假设'!R32&amp;"|"&amp;'先声年度假设'!S32&amp;"|"&amp;'先声年度假设'!T32&amp;"|"&amp;'先声年度假设'!U32&amp;"|"&amp;'先声年度假设'!V32&amp;"|"&amp;'先声年度假设'!W32&amp;"|"&amp;'先声年度假设'!X32&amp;"|"&amp;'先声新药假设'!G8&amp;"|"&amp;'先声新药假设'!H8&amp;"|"&amp;'先声新药假设'!I8&amp;"|"&amp;'先声新药假设'!J8&amp;"|"&amp;'先声新药假设'!G12&amp;"|"&amp;'先声新药假设'!H12&amp;"|"&amp;'先声新药假设'!I12&amp;"|"&amp;'先声新药假设'!J12&amp;"|"&amp;'先声新药假设'!G16&amp;"|"&amp;'先声新药假设'!H16&amp;"|"&amp;'先声新药假设'!I16&amp;"|"&amp;'先声新药假设'!J16&amp;"|"&amp;'先声新药假设'!G20&amp;"|"&amp;'先声新药假设'!H20&amp;"|"&amp;'先声新药假设'!I20&amp;"|"&amp;'先声新药假设'!J20&amp;"|"&amp;'先声新药假设'!G24&amp;"|"&amp;'先声新药假设'!H24&amp;"|"&amp;'先声新药假设'!I24&amp;"|"&amp;'先声新药假设'!J24&amp;"|"&amp;'先声新药假设'!G28&amp;"|"&amp;'先声新药假设'!H28&amp;"|"&amp;'先声新药假设'!I28&amp;"|"&amp;'先声新药假设'!J28&amp;"|"&amp;'先声新药假设'!G32&amp;"|"&amp;'先声新药假设'!H32&amp;"|"&amp;'先声新药假设'!I32&amp;"|"&amp;'先声新药假设'!K32&amp;"|"&amp;'先声新药假设'!L32&amp;"|"&amp;'先声新药假设'!G36&amp;"|"&amp;'先声新药假设'!H36&amp;"|"&amp;'先声新药假设'!I36&amp;"|"&amp;'先声新药假设'!K36&amp;"|"&amp;'先声新药假设'!L36&amp;"|"&amp;'先声新药假设'!G40&amp;"|"&amp;'先声新药假设'!H40&amp;"|"&amp;'先声新药假设'!I40&amp;"|"&amp;'先声新药假设'!K40&amp;"|"&amp;'先声新药假设'!L40&amp;"|"&amp;'先声新药假设'!G44&amp;"|"&amp;'先声新药假设'!H44&amp;"|"&amp;'先声新药假设'!I44&amp;"|"&amp;'先声新药假设'!K44&amp;"|"&amp;'先声新药假设'!L44&amp;"|"&amp;'先声新药假设'!G48&amp;"|"&amp;'先声新药假设'!H48&amp;"|"&amp;'先声新药假设'!I48&amp;"|"&amp;'先声新药假设'!K48&amp;"|"&amp;'先声新药假设'!L48&amp;"|"&amp;'先声新药假设'!G52&amp;"|"&amp;'先声新药假设'!H52&amp;"|"&amp;'先声新药假设'!I52&amp;"|"&amp;'先声新药假设'!K52&amp;"|"&amp;'先声新药假设'!L52&amp;"|"&amp;'假设'!U848</x:f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</x:row>
    <x:row r="638" ht="23" customHeight="1">
      <x:c r="A638" s="11" t="str">
        <x:v>02096.HK</x:v>
      </x:c>
      <x:c r="B638" s="11" t="str">
        <x:v>先声药业</x:v>
      </x:c>
      <x:c r="C638" s="11" t="str">
        <x:v>2026年底</x:v>
      </x:c>
      <x:c r="D638" s="11" t="str">
        <x:v>基准</x:v>
      </x:c>
      <x:c r="E638" s="11" t="n">
        <x:v>10.89</x:v>
      </x:c>
      <x:c r="F638" s="11" t="n">
        <x:v>13.328945142857144</x:v>
      </x:c>
      <x:c r="G638" s="11" t="n">
        <x:v>0</x:v>
      </x:c>
      <x:c r="H638" s="25" t="n">
        <x:v>0.2239619047619048</x:v>
      </x:c>
      <x:c r="I638" s="25" t="n">
        <x:v>0.2239619047619048</x:v>
      </x:c>
      <x:c r="J638" s="25" t="str"/>
      <x:c r="K638" s="11" t="n">
        <x:v>0.6515657142857146</x:v>
      </x:c>
      <x:c r="L638" s="11" t="n">
        <x:v>22</x:v>
      </x:c>
      <x:c r="M638" s="11" t="n">
        <x:v>1.1</x:v>
      </x:c>
      <x:c r="N638" s="11" t="n">
        <x:v>0</x:v>
      </x:c>
      <x:c r="O638" s="11" t="n">
        <x:v>11.514</x:v>
      </x:c>
      <x:c r="P638" s="11" t="n">
        <x:v>0.14656550286607614</x:v>
      </x:c>
      <x:c r="Q638" s="11" t="n">
        <x:v>2.59</x:v>
      </x:c>
      <x:c r="R638" s="11" t="str">
        <x:v>simcere-v2-short-recognition-normal-product-risk-royalty-PE-cash</x:v>
      </x:c>
      <x:c r="S638" s="11" t="str">
        <x:v>2026-10-10</x:v>
      </x:c>
      <x:c r="T638" s="11" t="str">
        <x:f>IF(AND(SUM(IF(K638='假设'!E849,0,1),IF(L638='假设'!F849,0,1),IF(M638='假设'!G849,0,1),IF(N638='假设'!H849,0,1),IF(O638='假设'!I849,0,1),IF(P638='假设'!J849,0,1),IF(Q638='假设'!K849,0,1))=0,U638=V638),"已刷新","待刷新")</x:f>
        <x:v>已刷新</x:v>
      </x:c>
      <x:c r="U638" t="str"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0.5</x:v>
      </x:c>
      <x:c r="V638" t="str">
        <x:f>'先声资金假设'!C9&amp;"|"&amp;'先声资金假设'!D9&amp;"|"&amp;'先声资金假设'!E9&amp;"|"&amp;'先声资金假设'!F9&amp;"|"&amp;'先声资金假设'!G9&amp;"|"&amp;'先声资金假设'!H9&amp;"|"&amp;'先声资金假设'!I9&amp;"|"&amp;'先声资金假设'!J9&amp;"|"&amp;'先声资金假设'!K9&amp;"|"&amp;'先声资金假设'!L9&amp;"|"&amp;'先声资金假设'!M9&amp;"|"&amp;'先声资金假设'!N9&amp;"|"&amp;'先声资金假设'!O9&amp;"|"&amp;'先声资金假设'!P9&amp;"|"&amp;'先声资金假设'!Q9&amp;"|"&amp;'先声资金假设'!R9&amp;"|"&amp;'先声资金假设'!S9&amp;"|"&amp;'先声资金假设'!T9&amp;"|"&amp;'先声资金假设'!U9&amp;"|"&amp;'先声资金假设'!V9&amp;"|"&amp;'先声资金假设'!W9&amp;"|"&amp;'先声资金假设'!X9&amp;"|"&amp;'先声资金假设'!Y9&amp;"|"&amp;'先声资金假设'!Z9&amp;"|"&amp;'先声资金假设'!AA9&amp;"|"&amp;'先声年度假设'!D9&amp;"|"&amp;'先声年度假设'!E9&amp;"|"&amp;'先声年度假设'!F9&amp;"|"&amp;'先声年度假设'!G9&amp;"|"&amp;'先声年度假设'!H9&amp;"|"&amp;'先声年度假设'!I9&amp;"|"&amp;'先声年度假设'!J9&amp;"|"&amp;'先声年度假设'!K9&amp;"|"&amp;'先声年度假设'!L9&amp;"|"&amp;'先声年度假设'!M9&amp;"|"&amp;'先声年度假设'!N9&amp;"|"&amp;'先声年度假设'!O9&amp;"|"&amp;'先声年度假设'!P9&amp;"|"&amp;'先声年度假设'!Q9&amp;"|"&amp;'先声年度假设'!R9&amp;"|"&amp;'先声年度假设'!S9&amp;"|"&amp;'先声年度假设'!T9&amp;"|"&amp;'先声年度假设'!U9&amp;"|"&amp;'先声年度假设'!V9&amp;"|"&amp;'先声年度假设'!W9&amp;"|"&amp;'先声年度假设'!X9&amp;"|"&amp;'先声年度假设'!D13&amp;"|"&amp;'先声年度假设'!E13&amp;"|"&amp;'先声年度假设'!F13&amp;"|"&amp;'先声年度假设'!G13&amp;"|"&amp;'先声年度假设'!H13&amp;"|"&amp;'先声年度假设'!I13&amp;"|"&amp;'先声年度假设'!J13&amp;"|"&amp;'先声年度假设'!K13&amp;"|"&amp;'先声年度假设'!L13&amp;"|"&amp;'先声年度假设'!M13&amp;"|"&amp;'先声年度假设'!N13&amp;"|"&amp;'先声年度假设'!O13&amp;"|"&amp;'先声年度假设'!P13&amp;"|"&amp;'先声年度假设'!Q13&amp;"|"&amp;'先声年度假设'!R13&amp;"|"&amp;'先声年度假设'!S13&amp;"|"&amp;'先声年度假设'!T13&amp;"|"&amp;'先声年度假设'!U13&amp;"|"&amp;'先声年度假设'!V13&amp;"|"&amp;'先声年度假设'!W13&amp;"|"&amp;'先声年度假设'!X13&amp;"|"&amp;'先声年度假设'!D17&amp;"|"&amp;'先声年度假设'!E17&amp;"|"&amp;'先声年度假设'!F17&amp;"|"&amp;'先声年度假设'!G17&amp;"|"&amp;'先声年度假设'!H17&amp;"|"&amp;'先声年度假设'!I17&amp;"|"&amp;'先声年度假设'!J17&amp;"|"&amp;'先声年度假设'!K17&amp;"|"&amp;'先声年度假设'!L17&amp;"|"&amp;'先声年度假设'!M17&amp;"|"&amp;'先声年度假设'!N17&amp;"|"&amp;'先声年度假设'!O17&amp;"|"&amp;'先声年度假设'!P17&amp;"|"&amp;'先声年度假设'!Q17&amp;"|"&amp;'先声年度假设'!R17&amp;"|"&amp;'先声年度假设'!S17&amp;"|"&amp;'先声年度假设'!T17&amp;"|"&amp;'先声年度假设'!U17&amp;"|"&amp;'先声年度假设'!V17&amp;"|"&amp;'先声年度假设'!W17&amp;"|"&amp;'先声年度假设'!X17&amp;"|"&amp;'先声年度假设'!D21&amp;"|"&amp;'先声年度假设'!E21&amp;"|"&amp;'先声年度假设'!F21&amp;"|"&amp;'先声年度假设'!G21&amp;"|"&amp;'先声年度假设'!H21&amp;"|"&amp;'先声年度假设'!I21&amp;"|"&amp;'先声年度假设'!J21&amp;"|"&amp;'先声年度假设'!K21&amp;"|"&amp;'先声年度假设'!L21&amp;"|"&amp;'先声年度假设'!M21&amp;"|"&amp;'先声年度假设'!N21&amp;"|"&amp;'先声年度假设'!O21&amp;"|"&amp;'先声年度假设'!P21&amp;"|"&amp;'先声年度假设'!Q21&amp;"|"&amp;'先声年度假设'!R21&amp;"|"&amp;'先声年度假设'!S21&amp;"|"&amp;'先声年度假设'!T21&amp;"|"&amp;'先声年度假设'!U21&amp;"|"&amp;'先声年度假设'!V21&amp;"|"&amp;'先声年度假设'!W21&amp;"|"&amp;'先声年度假设'!X21&amp;"|"&amp;'先声年度假设'!D25&amp;"|"&amp;'先声年度假设'!E25&amp;"|"&amp;'先声年度假设'!F25&amp;"|"&amp;'先声年度假设'!G25&amp;"|"&amp;'先声年度假设'!H25&amp;"|"&amp;'先声年度假设'!I25&amp;"|"&amp;'先声年度假设'!J25&amp;"|"&amp;'先声年度假设'!K25&amp;"|"&amp;'先声年度假设'!L25&amp;"|"&amp;'先声年度假设'!M25&amp;"|"&amp;'先声年度假设'!N25&amp;"|"&amp;'先声年度假设'!O25&amp;"|"&amp;'先声年度假设'!P25&amp;"|"&amp;'先声年度假设'!Q25&amp;"|"&amp;'先声年度假设'!R25&amp;"|"&amp;'先声年度假设'!S25&amp;"|"&amp;'先声年度假设'!T25&amp;"|"&amp;'先声年度假设'!U25&amp;"|"&amp;'先声年度假设'!V25&amp;"|"&amp;'先声年度假设'!W25&amp;"|"&amp;'先声年度假设'!X25&amp;"|"&amp;'先声年度假设'!D29&amp;"|"&amp;'先声年度假设'!E29&amp;"|"&amp;'先声年度假设'!F29&amp;"|"&amp;'先声年度假设'!G29&amp;"|"&amp;'先声年度假设'!H29&amp;"|"&amp;'先声年度假设'!I29&amp;"|"&amp;'先声年度假设'!J29&amp;"|"&amp;'先声年度假设'!K29&amp;"|"&amp;'先声年度假设'!L29&amp;"|"&amp;'先声年度假设'!M29&amp;"|"&amp;'先声年度假设'!N29&amp;"|"&amp;'先声年度假设'!O29&amp;"|"&amp;'先声年度假设'!P29&amp;"|"&amp;'先声年度假设'!Q29&amp;"|"&amp;'先声年度假设'!R29&amp;"|"&amp;'先声年度假设'!S29&amp;"|"&amp;'先声年度假设'!T29&amp;"|"&amp;'先声年度假设'!U29&amp;"|"&amp;'先声年度假设'!V29&amp;"|"&amp;'先声年度假设'!W29&amp;"|"&amp;'先声年度假设'!X29&amp;"|"&amp;'先声年度假设'!D33&amp;"|"&amp;'先声年度假设'!E33&amp;"|"&amp;'先声年度假设'!F33&amp;"|"&amp;'先声年度假设'!G33&amp;"|"&amp;'先声年度假设'!H33&amp;"|"&amp;'先声年度假设'!I33&amp;"|"&amp;'先声年度假设'!J33&amp;"|"&amp;'先声年度假设'!K33&amp;"|"&amp;'先声年度假设'!L33&amp;"|"&amp;'先声年度假设'!M33&amp;"|"&amp;'先声年度假设'!N33&amp;"|"&amp;'先声年度假设'!O33&amp;"|"&amp;'先声年度假设'!P33&amp;"|"&amp;'先声年度假设'!Q33&amp;"|"&amp;'先声年度假设'!R33&amp;"|"&amp;'先声年度假设'!S33&amp;"|"&amp;'先声年度假设'!T33&amp;"|"&amp;'先声年度假设'!U33&amp;"|"&amp;'先声年度假设'!V33&amp;"|"&amp;'先声年度假设'!W33&amp;"|"&amp;'先声年度假设'!X33&amp;"|"&amp;'先声新药假设'!G9&amp;"|"&amp;'先声新药假设'!H9&amp;"|"&amp;'先声新药假设'!I9&amp;"|"&amp;'先声新药假设'!J9&amp;"|"&amp;'先声新药假设'!G13&amp;"|"&amp;'先声新药假设'!H13&amp;"|"&amp;'先声新药假设'!I13&amp;"|"&amp;'先声新药假设'!J13&amp;"|"&amp;'先声新药假设'!G17&amp;"|"&amp;'先声新药假设'!H17&amp;"|"&amp;'先声新药假设'!I17&amp;"|"&amp;'先声新药假设'!J17&amp;"|"&amp;'先声新药假设'!G21&amp;"|"&amp;'先声新药假设'!H21&amp;"|"&amp;'先声新药假设'!I21&amp;"|"&amp;'先声新药假设'!J21&amp;"|"&amp;'先声新药假设'!G25&amp;"|"&amp;'先声新药假设'!H25&amp;"|"&amp;'先声新药假设'!I25&amp;"|"&amp;'先声新药假设'!J25&amp;"|"&amp;'先声新药假设'!G29&amp;"|"&amp;'先声新药假设'!H29&amp;"|"&amp;'先声新药假设'!I29&amp;"|"&amp;'先声新药假设'!J29&amp;"|"&amp;'先声新药假设'!G33&amp;"|"&amp;'先声新药假设'!H33&amp;"|"&amp;'先声新药假设'!I33&amp;"|"&amp;'先声新药假设'!K33&amp;"|"&amp;'先声新药假设'!L33&amp;"|"&amp;'先声新药假设'!G37&amp;"|"&amp;'先声新药假设'!H37&amp;"|"&amp;'先声新药假设'!I37&amp;"|"&amp;'先声新药假设'!K37&amp;"|"&amp;'先声新药假设'!L37&amp;"|"&amp;'先声新药假设'!G41&amp;"|"&amp;'先声新药假设'!H41&amp;"|"&amp;'先声新药假设'!I41&amp;"|"&amp;'先声新药假设'!K41&amp;"|"&amp;'先声新药假设'!L41&amp;"|"&amp;'先声新药假设'!G45&amp;"|"&amp;'先声新药假设'!H45&amp;"|"&amp;'先声新药假设'!I45&amp;"|"&amp;'先声新药假设'!K45&amp;"|"&amp;'先声新药假设'!L45&amp;"|"&amp;'先声新药假设'!G49&amp;"|"&amp;'先声新药假设'!H49&amp;"|"&amp;'先声新药假设'!I49&amp;"|"&amp;'先声新药假设'!K49&amp;"|"&amp;'先声新药假设'!L49&amp;"|"&amp;'先声新药假设'!G53&amp;"|"&amp;'先声新药假设'!H53&amp;"|"&amp;'先声新药假设'!I53&amp;"|"&amp;'先声新药假设'!K53&amp;"|"&amp;'先声新药假设'!L53&amp;"|"&amp;'假设'!U849</x:f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0.5</x:v>
      </x:c>
    </x:row>
    <x:row r="639" ht="23" customHeight="1">
      <x:c r="A639" s="11" t="str">
        <x:v>02096.HK</x:v>
      </x:c>
      <x:c r="B639" s="11" t="str">
        <x:v>先声药业</x:v>
      </x:c>
      <x:c r="C639" s="11" t="str">
        <x:v>2026年底</x:v>
      </x:c>
      <x:c r="D639" s="11" t="str">
        <x:v>乐观</x:v>
      </x:c>
      <x:c r="E639" s="11" t="n">
        <x:v>10.89</x:v>
      </x:c>
      <x:c r="F639" s="11" t="n">
        <x:v>17.62450671155039</x:v>
      </x:c>
      <x:c r="G639" s="11" t="n">
        <x:v>0</x:v>
      </x:c>
      <x:c r="H639" s="25" t="n">
        <x:v>0.6184120028971889</x:v>
      </x:c>
      <x:c r="I639" s="25" t="n">
        <x:v>0.6184120028971889</x:v>
      </x:c>
      <x:c r="J639" s="25" t="str"/>
      <x:c r="K639" s="11" t="n">
        <x:v>1.053547124031007</x:v>
      </x:c>
      <x:c r="L639" s="11" t="n">
        <x:v>26</x:v>
      </x:c>
      <x:c r="M639" s="11" t="n">
        <x:v>1.1</x:v>
      </x:c>
      <x:c r="N639" s="11" t="n">
        <x:v>0</x:v>
      </x:c>
      <x:c r="O639" s="11" t="n">
        <x:v>13.2968</x:v>
      </x:c>
      <x:c r="P639" s="11" t="n">
        <x:v>0.2044214833644184</x:v>
      </x:c>
      <x:c r="Q639" s="11" t="n">
        <x:v>2.58</x:v>
      </x:c>
      <x:c r="R639" s="11" t="str">
        <x:v>simcere-v2-short-recognition-normal-product-risk-royalty-PE-cash</x:v>
      </x:c>
      <x:c r="S639" s="11" t="str">
        <x:v>2026-10-10</x:v>
      </x:c>
      <x:c r="T639" s="11" t="str">
        <x:f>IF(AND(SUM(IF(K639='假设'!E850,0,1),IF(L639='假设'!F850,0,1),IF(M639='假设'!G850,0,1),IF(N639='假设'!H850,0,1),IF(O639='假设'!I850,0,1),IF(P639='假设'!J850,0,1),IF(Q639='假设'!K850,0,1))=0,U639=V639),"已刷新","待刷新")</x:f>
        <x:v>已刷新</x:v>
      </x:c>
      <x:c r="U639" t="str"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0.35</x:v>
      </x:c>
      <x:c r="V639" t="str">
        <x:f>'先声资金假设'!C10&amp;"|"&amp;'先声资金假设'!D10&amp;"|"&amp;'先声资金假设'!E10&amp;"|"&amp;'先声资金假设'!F10&amp;"|"&amp;'先声资金假设'!G10&amp;"|"&amp;'先声资金假设'!H10&amp;"|"&amp;'先声资金假设'!I10&amp;"|"&amp;'先声资金假设'!J10&amp;"|"&amp;'先声资金假设'!K10&amp;"|"&amp;'先声资金假设'!L10&amp;"|"&amp;'先声资金假设'!M10&amp;"|"&amp;'先声资金假设'!N10&amp;"|"&amp;'先声资金假设'!O10&amp;"|"&amp;'先声资金假设'!P10&amp;"|"&amp;'先声资金假设'!Q10&amp;"|"&amp;'先声资金假设'!R10&amp;"|"&amp;'先声资金假设'!S10&amp;"|"&amp;'先声资金假设'!T10&amp;"|"&amp;'先声资金假设'!U10&amp;"|"&amp;'先声资金假设'!V10&amp;"|"&amp;'先声资金假设'!W10&amp;"|"&amp;'先声资金假设'!X10&amp;"|"&amp;'先声资金假设'!Y10&amp;"|"&amp;'先声资金假设'!Z10&amp;"|"&amp;'先声资金假设'!AA10&amp;"|"&amp;'先声年度假设'!D10&amp;"|"&amp;'先声年度假设'!E10&amp;"|"&amp;'先声年度假设'!F10&amp;"|"&amp;'先声年度假设'!G10&amp;"|"&amp;'先声年度假设'!H10&amp;"|"&amp;'先声年度假设'!I10&amp;"|"&amp;'先声年度假设'!J10&amp;"|"&amp;'先声年度假设'!K10&amp;"|"&amp;'先声年度假设'!L10&amp;"|"&amp;'先声年度假设'!M10&amp;"|"&amp;'先声年度假设'!N10&amp;"|"&amp;'先声年度假设'!O10&amp;"|"&amp;'先声年度假设'!P10&amp;"|"&amp;'先声年度假设'!Q10&amp;"|"&amp;'先声年度假设'!R10&amp;"|"&amp;'先声年度假设'!S10&amp;"|"&amp;'先声年度假设'!T10&amp;"|"&amp;'先声年度假设'!U10&amp;"|"&amp;'先声年度假设'!V10&amp;"|"&amp;'先声年度假设'!W10&amp;"|"&amp;'先声年度假设'!X10&amp;"|"&amp;'先声年度假设'!D14&amp;"|"&amp;'先声年度假设'!E14&amp;"|"&amp;'先声年度假设'!F14&amp;"|"&amp;'先声年度假设'!G14&amp;"|"&amp;'先声年度假设'!H14&amp;"|"&amp;'先声年度假设'!I14&amp;"|"&amp;'先声年度假设'!J14&amp;"|"&amp;'先声年度假设'!K14&amp;"|"&amp;'先声年度假设'!L14&amp;"|"&amp;'先声年度假设'!M14&amp;"|"&amp;'先声年度假设'!N14&amp;"|"&amp;'先声年度假设'!O14&amp;"|"&amp;'先声年度假设'!P14&amp;"|"&amp;'先声年度假设'!Q14&amp;"|"&amp;'先声年度假设'!R14&amp;"|"&amp;'先声年度假设'!S14&amp;"|"&amp;'先声年度假设'!T14&amp;"|"&amp;'先声年度假设'!U14&amp;"|"&amp;'先声年度假设'!V14&amp;"|"&amp;'先声年度假设'!W14&amp;"|"&amp;'先声年度假设'!X14&amp;"|"&amp;'先声年度假设'!D18&amp;"|"&amp;'先声年度假设'!E18&amp;"|"&amp;'先声年度假设'!F18&amp;"|"&amp;'先声年度假设'!G18&amp;"|"&amp;'先声年度假设'!H18&amp;"|"&amp;'先声年度假设'!I18&amp;"|"&amp;'先声年度假设'!J18&amp;"|"&amp;'先声年度假设'!K18&amp;"|"&amp;'先声年度假设'!L18&amp;"|"&amp;'先声年度假设'!M18&amp;"|"&amp;'先声年度假设'!N18&amp;"|"&amp;'先声年度假设'!O18&amp;"|"&amp;'先声年度假设'!P18&amp;"|"&amp;'先声年度假设'!Q18&amp;"|"&amp;'先声年度假设'!R18&amp;"|"&amp;'先声年度假设'!S18&amp;"|"&amp;'先声年度假设'!T18&amp;"|"&amp;'先声年度假设'!U18&amp;"|"&amp;'先声年度假设'!V18&amp;"|"&amp;'先声年度假设'!W18&amp;"|"&amp;'先声年度假设'!X18&amp;"|"&amp;'先声年度假设'!D22&amp;"|"&amp;'先声年度假设'!E22&amp;"|"&amp;'先声年度假设'!F22&amp;"|"&amp;'先声年度假设'!G22&amp;"|"&amp;'先声年度假设'!H22&amp;"|"&amp;'先声年度假设'!I22&amp;"|"&amp;'先声年度假设'!J22&amp;"|"&amp;'先声年度假设'!K22&amp;"|"&amp;'先声年度假设'!L22&amp;"|"&amp;'先声年度假设'!M22&amp;"|"&amp;'先声年度假设'!N22&amp;"|"&amp;'先声年度假设'!O22&amp;"|"&amp;'先声年度假设'!P22&amp;"|"&amp;'先声年度假设'!Q22&amp;"|"&amp;'先声年度假设'!R22&amp;"|"&amp;'先声年度假设'!S22&amp;"|"&amp;'先声年度假设'!T22&amp;"|"&amp;'先声年度假设'!U22&amp;"|"&amp;'先声年度假设'!V22&amp;"|"&amp;'先声年度假设'!W22&amp;"|"&amp;'先声年度假设'!X22&amp;"|"&amp;'先声年度假设'!D26&amp;"|"&amp;'先声年度假设'!E26&amp;"|"&amp;'先声年度假设'!F26&amp;"|"&amp;'先声年度假设'!G26&amp;"|"&amp;'先声年度假设'!H26&amp;"|"&amp;'先声年度假设'!I26&amp;"|"&amp;'先声年度假设'!J26&amp;"|"&amp;'先声年度假设'!K26&amp;"|"&amp;'先声年度假设'!L26&amp;"|"&amp;'先声年度假设'!M26&amp;"|"&amp;'先声年度假设'!N26&amp;"|"&amp;'先声年度假设'!O26&amp;"|"&amp;'先声年度假设'!P26&amp;"|"&amp;'先声年度假设'!Q26&amp;"|"&amp;'先声年度假设'!R26&amp;"|"&amp;'先声年度假设'!S26&amp;"|"&amp;'先声年度假设'!T26&amp;"|"&amp;'先声年度假设'!U26&amp;"|"&amp;'先声年度假设'!V26&amp;"|"&amp;'先声年度假设'!W26&amp;"|"&amp;'先声年度假设'!X26&amp;"|"&amp;'先声年度假设'!D30&amp;"|"&amp;'先声年度假设'!E30&amp;"|"&amp;'先声年度假设'!F30&amp;"|"&amp;'先声年度假设'!G30&amp;"|"&amp;'先声年度假设'!H30&amp;"|"&amp;'先声年度假设'!I30&amp;"|"&amp;'先声年度假设'!J30&amp;"|"&amp;'先声年度假设'!K30&amp;"|"&amp;'先声年度假设'!L30&amp;"|"&amp;'先声年度假设'!M30&amp;"|"&amp;'先声年度假设'!N30&amp;"|"&amp;'先声年度假设'!O30&amp;"|"&amp;'先声年度假设'!P30&amp;"|"&amp;'先声年度假设'!Q30&amp;"|"&amp;'先声年度假设'!R30&amp;"|"&amp;'先声年度假设'!S30&amp;"|"&amp;'先声年度假设'!T30&amp;"|"&amp;'先声年度假设'!U30&amp;"|"&amp;'先声年度假设'!V30&amp;"|"&amp;'先声年度假设'!W30&amp;"|"&amp;'先声年度假设'!X30&amp;"|"&amp;'先声年度假设'!D34&amp;"|"&amp;'先声年度假设'!E34&amp;"|"&amp;'先声年度假设'!F34&amp;"|"&amp;'先声年度假设'!G34&amp;"|"&amp;'先声年度假设'!H34&amp;"|"&amp;'先声年度假设'!I34&amp;"|"&amp;'先声年度假设'!J34&amp;"|"&amp;'先声年度假设'!K34&amp;"|"&amp;'先声年度假设'!L34&amp;"|"&amp;'先声年度假设'!M34&amp;"|"&amp;'先声年度假设'!N34&amp;"|"&amp;'先声年度假设'!O34&amp;"|"&amp;'先声年度假设'!P34&amp;"|"&amp;'先声年度假设'!Q34&amp;"|"&amp;'先声年度假设'!R34&amp;"|"&amp;'先声年度假设'!S34&amp;"|"&amp;'先声年度假设'!T34&amp;"|"&amp;'先声年度假设'!U34&amp;"|"&amp;'先声年度假设'!V34&amp;"|"&amp;'先声年度假设'!W34&amp;"|"&amp;'先声年度假设'!X34&amp;"|"&amp;'先声新药假设'!G10&amp;"|"&amp;'先声新药假设'!H10&amp;"|"&amp;'先声新药假设'!I10&amp;"|"&amp;'先声新药假设'!J10&amp;"|"&amp;'先声新药假设'!G14&amp;"|"&amp;'先声新药假设'!H14&amp;"|"&amp;'先声新药假设'!I14&amp;"|"&amp;'先声新药假设'!J14&amp;"|"&amp;'先声新药假设'!G18&amp;"|"&amp;'先声新药假设'!H18&amp;"|"&amp;'先声新药假设'!I18&amp;"|"&amp;'先声新药假设'!J18&amp;"|"&amp;'先声新药假设'!G22&amp;"|"&amp;'先声新药假设'!H22&amp;"|"&amp;'先声新药假设'!I22&amp;"|"&amp;'先声新药假设'!J22&amp;"|"&amp;'先声新药假设'!G26&amp;"|"&amp;'先声新药假设'!H26&amp;"|"&amp;'先声新药假设'!I26&amp;"|"&amp;'先声新药假设'!J26&amp;"|"&amp;'先声新药假设'!G30&amp;"|"&amp;'先声新药假设'!H30&amp;"|"&amp;'先声新药假设'!I30&amp;"|"&amp;'先声新药假设'!J30&amp;"|"&amp;'先声新药假设'!G34&amp;"|"&amp;'先声新药假设'!H34&amp;"|"&amp;'先声新药假设'!I34&amp;"|"&amp;'先声新药假设'!K34&amp;"|"&amp;'先声新药假设'!L34&amp;"|"&amp;'先声新药假设'!G38&amp;"|"&amp;'先声新药假设'!H38&amp;"|"&amp;'先声新药假设'!I38&amp;"|"&amp;'先声新药假设'!K38&amp;"|"&amp;'先声新药假设'!L38&amp;"|"&amp;'先声新药假设'!G42&amp;"|"&amp;'先声新药假设'!H42&amp;"|"&amp;'先声新药假设'!I42&amp;"|"&amp;'先声新药假设'!K42&amp;"|"&amp;'先声新药假设'!L42&amp;"|"&amp;'先声新药假设'!G46&amp;"|"&amp;'先声新药假设'!H46&amp;"|"&amp;'先声新药假设'!I46&amp;"|"&amp;'先声新药假设'!K46&amp;"|"&amp;'先声新药假设'!L46&amp;"|"&amp;'先声新药假设'!G50&amp;"|"&amp;'先声新药假设'!H50&amp;"|"&amp;'先声新药假设'!I50&amp;"|"&amp;'先声新药假设'!K50&amp;"|"&amp;'先声新药假设'!L50&amp;"|"&amp;'先声新药假设'!G54&amp;"|"&amp;'先声新药假设'!H54&amp;"|"&amp;'先声新药假设'!I54&amp;"|"&amp;'先声新药假设'!K54&amp;"|"&amp;'先声新药假设'!L54&amp;"|"&amp;'假设'!U850</x:f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0.35</x:v>
      </x:c>
    </x:row>
    <x:row r="640" ht="23" customHeight="1">
      <x:c r="A640" s="11" t="str">
        <x:v>02096.HK</x:v>
      </x:c>
      <x:c r="B640" s="11" t="str">
        <x:v>先声药业</x:v>
      </x:c>
      <x:c r="C640" s="11" t="str">
        <x:v>半年</x:v>
      </x:c>
      <x:c r="D640" s="11" t="str">
        <x:v>悲观</x:v>
      </x:c>
      <x:c r="E640" s="11" t="n">
        <x:v>10.89</x:v>
      </x:c>
      <x:c r="F640" s="11" t="n">
        <x:v>3.069598096551724</x:v>
      </x:c>
      <x:c r="G640" s="11" t="n">
        <x:v>0</x:v>
      </x:c>
      <x:c r="H640" s="25" t="n">
        <x:v>-0.7181268965517242</x:v>
      </x:c>
      <x:c r="I640" s="25" t="n">
        <x:v>-0.7181268965517242</x:v>
      </x:c>
      <x:c r="J640" s="25" t="str"/>
      <x:c r="K640" s="11" t="n">
        <x:v>0.1550302068965519</x:v>
      </x:c>
      <x:c r="L640" s="11" t="n">
        <x:v>18</x:v>
      </x:c>
      <x:c r="M640" s="11" t="n">
        <x:v>1.1</x:v>
      </x:c>
      <x:c r="N640" s="11" t="n">
        <x:v>0</x:v>
      </x:c>
      <x:c r="O640" s="11" t="n">
        <x:v>8.95</x:v>
      </x:c>
      <x:c r="P640" s="11" t="n">
        <x:v>0.04520992625698329</x:v>
      </x:c>
      <x:c r="Q640" s="11" t="n">
        <x:v>2.61</x:v>
      </x:c>
      <x:c r="R640" s="11" t="str">
        <x:v>simcere-v2-short-recognition-normal-product-risk-royalty-PE-cash</x:v>
      </x:c>
      <x:c r="S640" s="11" t="str">
        <x:v>2026-10-10</x:v>
      </x:c>
      <x:c r="T640" s="11" t="str">
        <x:f>IF(AND(SUM(IF(K640='假设'!E852,0,1),IF(L640='假设'!F852,0,1),IF(M640='假设'!G852,0,1),IF(N640='假设'!H852,0,1),IF(O640='假设'!I852,0,1),IF(P640='假设'!J852,0,1),IF(Q640='假设'!K852,0,1))=0,U640=V640),"已刷新","待刷新")</x:f>
        <x:v>已刷新</x:v>
      </x:c>
      <x:c r="U640" t="str"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  <x:c r="V640" t="str">
        <x:f>'先声资金假设'!C8&amp;"|"&amp;'先声资金假设'!D8&amp;"|"&amp;'先声资金假设'!E8&amp;"|"&amp;'先声资金假设'!F8&amp;"|"&amp;'先声资金假设'!G8&amp;"|"&amp;'先声资金假设'!H8&amp;"|"&amp;'先声资金假设'!I8&amp;"|"&amp;'先声资金假设'!J8&amp;"|"&amp;'先声资金假设'!K8&amp;"|"&amp;'先声资金假设'!L8&amp;"|"&amp;'先声资金假设'!M8&amp;"|"&amp;'先声资金假设'!N8&amp;"|"&amp;'先声资金假设'!O8&amp;"|"&amp;'先声资金假设'!P8&amp;"|"&amp;'先声资金假设'!Q8&amp;"|"&amp;'先声资金假设'!R8&amp;"|"&amp;'先声资金假设'!S8&amp;"|"&amp;'先声资金假设'!T8&amp;"|"&amp;'先声资金假设'!U8&amp;"|"&amp;'先声资金假设'!V8&amp;"|"&amp;'先声资金假设'!W8&amp;"|"&amp;'先声资金假设'!X8&amp;"|"&amp;'先声资金假设'!Y8&amp;"|"&amp;'先声资金假设'!Z8&amp;"|"&amp;'先声资金假设'!AA8&amp;"|"&amp;'先声年度假设'!D8&amp;"|"&amp;'先声年度假设'!E8&amp;"|"&amp;'先声年度假设'!F8&amp;"|"&amp;'先声年度假设'!G8&amp;"|"&amp;'先声年度假设'!H8&amp;"|"&amp;'先声年度假设'!I8&amp;"|"&amp;'先声年度假设'!J8&amp;"|"&amp;'先声年度假设'!K8&amp;"|"&amp;'先声年度假设'!L8&amp;"|"&amp;'先声年度假设'!M8&amp;"|"&amp;'先声年度假设'!N8&amp;"|"&amp;'先声年度假设'!O8&amp;"|"&amp;'先声年度假设'!P8&amp;"|"&amp;'先声年度假设'!Q8&amp;"|"&amp;'先声年度假设'!R8&amp;"|"&amp;'先声年度假设'!S8&amp;"|"&amp;'先声年度假设'!T8&amp;"|"&amp;'先声年度假设'!U8&amp;"|"&amp;'先声年度假设'!V8&amp;"|"&amp;'先声年度假设'!W8&amp;"|"&amp;'先声年度假设'!X8&amp;"|"&amp;'先声年度假设'!D12&amp;"|"&amp;'先声年度假设'!E12&amp;"|"&amp;'先声年度假设'!F12&amp;"|"&amp;'先声年度假设'!G12&amp;"|"&amp;'先声年度假设'!H12&amp;"|"&amp;'先声年度假设'!I12&amp;"|"&amp;'先声年度假设'!J12&amp;"|"&amp;'先声年度假设'!K12&amp;"|"&amp;'先声年度假设'!L12&amp;"|"&amp;'先声年度假设'!M12&amp;"|"&amp;'先声年度假设'!N12&amp;"|"&amp;'先声年度假设'!O12&amp;"|"&amp;'先声年度假设'!P12&amp;"|"&amp;'先声年度假设'!Q12&amp;"|"&amp;'先声年度假设'!R12&amp;"|"&amp;'先声年度假设'!S12&amp;"|"&amp;'先声年度假设'!T12&amp;"|"&amp;'先声年度假设'!U12&amp;"|"&amp;'先声年度假设'!V12&amp;"|"&amp;'先声年度假设'!W12&amp;"|"&amp;'先声年度假设'!X12&amp;"|"&amp;'先声年度假设'!D16&amp;"|"&amp;'先声年度假设'!E16&amp;"|"&amp;'先声年度假设'!F16&amp;"|"&amp;'先声年度假设'!G16&amp;"|"&amp;'先声年度假设'!H16&amp;"|"&amp;'先声年度假设'!I16&amp;"|"&amp;'先声年度假设'!J16&amp;"|"&amp;'先声年度假设'!K16&amp;"|"&amp;'先声年度假设'!L16&amp;"|"&amp;'先声年度假设'!M16&amp;"|"&amp;'先声年度假设'!N16&amp;"|"&amp;'先声年度假设'!O16&amp;"|"&amp;'先声年度假设'!P16&amp;"|"&amp;'先声年度假设'!Q16&amp;"|"&amp;'先声年度假设'!R16&amp;"|"&amp;'先声年度假设'!S16&amp;"|"&amp;'先声年度假设'!T16&amp;"|"&amp;'先声年度假设'!U16&amp;"|"&amp;'先声年度假设'!V16&amp;"|"&amp;'先声年度假设'!W16&amp;"|"&amp;'先声年度假设'!X16&amp;"|"&amp;'先声年度假设'!D20&amp;"|"&amp;'先声年度假设'!E20&amp;"|"&amp;'先声年度假设'!F20&amp;"|"&amp;'先声年度假设'!G20&amp;"|"&amp;'先声年度假设'!H20&amp;"|"&amp;'先声年度假设'!I20&amp;"|"&amp;'先声年度假设'!J20&amp;"|"&amp;'先声年度假设'!K20&amp;"|"&amp;'先声年度假设'!L20&amp;"|"&amp;'先声年度假设'!M20&amp;"|"&amp;'先声年度假设'!N20&amp;"|"&amp;'先声年度假设'!O20&amp;"|"&amp;'先声年度假设'!P20&amp;"|"&amp;'先声年度假设'!Q20&amp;"|"&amp;'先声年度假设'!R20&amp;"|"&amp;'先声年度假设'!S20&amp;"|"&amp;'先声年度假设'!T20&amp;"|"&amp;'先声年度假设'!U20&amp;"|"&amp;'先声年度假设'!V20&amp;"|"&amp;'先声年度假设'!W20&amp;"|"&amp;'先声年度假设'!X20&amp;"|"&amp;'先声年度假设'!D24&amp;"|"&amp;'先声年度假设'!E24&amp;"|"&amp;'先声年度假设'!F24&amp;"|"&amp;'先声年度假设'!G24&amp;"|"&amp;'先声年度假设'!H24&amp;"|"&amp;'先声年度假设'!I24&amp;"|"&amp;'先声年度假设'!J24&amp;"|"&amp;'先声年度假设'!K24&amp;"|"&amp;'先声年度假设'!L24&amp;"|"&amp;'先声年度假设'!M24&amp;"|"&amp;'先声年度假设'!N24&amp;"|"&amp;'先声年度假设'!O24&amp;"|"&amp;'先声年度假设'!P24&amp;"|"&amp;'先声年度假设'!Q24&amp;"|"&amp;'先声年度假设'!R24&amp;"|"&amp;'先声年度假设'!S24&amp;"|"&amp;'先声年度假设'!T24&amp;"|"&amp;'先声年度假设'!U24&amp;"|"&amp;'先声年度假设'!V24&amp;"|"&amp;'先声年度假设'!W24&amp;"|"&amp;'先声年度假设'!X24&amp;"|"&amp;'先声年度假设'!D28&amp;"|"&amp;'先声年度假设'!E28&amp;"|"&amp;'先声年度假设'!F28&amp;"|"&amp;'先声年度假设'!G28&amp;"|"&amp;'先声年度假设'!H28&amp;"|"&amp;'先声年度假设'!I28&amp;"|"&amp;'先声年度假设'!J28&amp;"|"&amp;'先声年度假设'!K28&amp;"|"&amp;'先声年度假设'!L28&amp;"|"&amp;'先声年度假设'!M28&amp;"|"&amp;'先声年度假设'!N28&amp;"|"&amp;'先声年度假设'!O28&amp;"|"&amp;'先声年度假设'!P28&amp;"|"&amp;'先声年度假设'!Q28&amp;"|"&amp;'先声年度假设'!R28&amp;"|"&amp;'先声年度假设'!S28&amp;"|"&amp;'先声年度假设'!T28&amp;"|"&amp;'先声年度假设'!U28&amp;"|"&amp;'先声年度假设'!V28&amp;"|"&amp;'先声年度假设'!W28&amp;"|"&amp;'先声年度假设'!X28&amp;"|"&amp;'先声年度假设'!D32&amp;"|"&amp;'先声年度假设'!E32&amp;"|"&amp;'先声年度假设'!F32&amp;"|"&amp;'先声年度假设'!G32&amp;"|"&amp;'先声年度假设'!H32&amp;"|"&amp;'先声年度假设'!I32&amp;"|"&amp;'先声年度假设'!J32&amp;"|"&amp;'先声年度假设'!K32&amp;"|"&amp;'先声年度假设'!L32&amp;"|"&amp;'先声年度假设'!M32&amp;"|"&amp;'先声年度假设'!N32&amp;"|"&amp;'先声年度假设'!O32&amp;"|"&amp;'先声年度假设'!P32&amp;"|"&amp;'先声年度假设'!Q32&amp;"|"&amp;'先声年度假设'!R32&amp;"|"&amp;'先声年度假设'!S32&amp;"|"&amp;'先声年度假设'!T32&amp;"|"&amp;'先声年度假设'!U32&amp;"|"&amp;'先声年度假设'!V32&amp;"|"&amp;'先声年度假设'!W32&amp;"|"&amp;'先声年度假设'!X32&amp;"|"&amp;'先声新药假设'!G8&amp;"|"&amp;'先声新药假设'!H8&amp;"|"&amp;'先声新药假设'!I8&amp;"|"&amp;'先声新药假设'!J8&amp;"|"&amp;'先声新药假设'!G12&amp;"|"&amp;'先声新药假设'!H12&amp;"|"&amp;'先声新药假设'!I12&amp;"|"&amp;'先声新药假设'!J12&amp;"|"&amp;'先声新药假设'!G16&amp;"|"&amp;'先声新药假设'!H16&amp;"|"&amp;'先声新药假设'!I16&amp;"|"&amp;'先声新药假设'!J16&amp;"|"&amp;'先声新药假设'!G20&amp;"|"&amp;'先声新药假设'!H20&amp;"|"&amp;'先声新药假设'!I20&amp;"|"&amp;'先声新药假设'!J20&amp;"|"&amp;'先声新药假设'!G24&amp;"|"&amp;'先声新药假设'!H24&amp;"|"&amp;'先声新药假设'!I24&amp;"|"&amp;'先声新药假设'!J24&amp;"|"&amp;'先声新药假设'!G28&amp;"|"&amp;'先声新药假设'!H28&amp;"|"&amp;'先声新药假设'!I28&amp;"|"&amp;'先声新药假设'!J28&amp;"|"&amp;'先声新药假设'!G32&amp;"|"&amp;'先声新药假设'!H32&amp;"|"&amp;'先声新药假设'!I32&amp;"|"&amp;'先声新药假设'!K32&amp;"|"&amp;'先声新药假设'!L32&amp;"|"&amp;'先声新药假设'!G36&amp;"|"&amp;'先声新药假设'!H36&amp;"|"&amp;'先声新药假设'!I36&amp;"|"&amp;'先声新药假设'!K36&amp;"|"&amp;'先声新药假设'!L36&amp;"|"&amp;'先声新药假设'!G40&amp;"|"&amp;'先声新药假设'!H40&amp;"|"&amp;'先声新药假设'!I40&amp;"|"&amp;'先声新药假设'!K40&amp;"|"&amp;'先声新药假设'!L40&amp;"|"&amp;'先声新药假设'!G44&amp;"|"&amp;'先声新药假设'!H44&amp;"|"&amp;'先声新药假设'!I44&amp;"|"&amp;'先声新药假设'!K44&amp;"|"&amp;'先声新药假设'!L44&amp;"|"&amp;'先声新药假设'!G48&amp;"|"&amp;'先声新药假设'!H48&amp;"|"&amp;'先声新药假设'!I48&amp;"|"&amp;'先声新药假设'!K48&amp;"|"&amp;'先声新药假设'!L48&amp;"|"&amp;'先声新药假设'!G52&amp;"|"&amp;'先声新药假设'!H52&amp;"|"&amp;'先声新药假设'!I52&amp;"|"&amp;'先声新药假设'!K52&amp;"|"&amp;'先声新药假设'!L52&amp;"|"&amp;'假设'!U852</x:f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</x:row>
    <x:row r="641" ht="23" customHeight="1">
      <x:c r="A641" s="11" t="str">
        <x:v>02096.HK</x:v>
      </x:c>
      <x:c r="B641" s="11" t="str">
        <x:v>先声药业</x:v>
      </x:c>
      <x:c r="C641" s="11" t="str">
        <x:v>半年</x:v>
      </x:c>
      <x:c r="D641" s="11" t="str">
        <x:v>基准</x:v>
      </x:c>
      <x:c r="E641" s="11" t="n">
        <x:v>10.89</x:v>
      </x:c>
      <x:c r="F641" s="11" t="n">
        <x:v>15.623501142857144</x:v>
      </x:c>
      <x:c r="G641" s="11" t="n">
        <x:v>0</x:v>
      </x:c>
      <x:c r="H641" s="25" t="n">
        <x:v>0.4346649350649352</x:v>
      </x:c>
      <x:c r="I641" s="25" t="n">
        <x:v>0.4346649350649352</x:v>
      </x:c>
      <x:c r="J641" s="25" t="str"/>
      <x:c r="K641" s="11" t="n">
        <x:v>0.6515657142857146</x:v>
      </x:c>
      <x:c r="L641" s="11" t="n">
        <x:v>24</x:v>
      </x:c>
      <x:c r="M641" s="11" t="n">
        <x:v>1.1</x:v>
      </x:c>
      <x:c r="N641" s="11" t="n">
        <x:v>0</x:v>
      </x:c>
      <x:c r="O641" s="11" t="n">
        <x:v>11.514</x:v>
      </x:c>
      <x:c r="P641" s="11" t="n">
        <x:v>0.14656550286607614</x:v>
      </x:c>
      <x:c r="Q641" s="11" t="n">
        <x:v>2.59</x:v>
      </x:c>
      <x:c r="R641" s="11" t="str">
        <x:v>simcere-v2-short-recognition-normal-product-risk-royalty-PE-cash</x:v>
      </x:c>
      <x:c r="S641" s="11" t="str">
        <x:v>2026-10-10</x:v>
      </x:c>
      <x:c r="T641" s="11" t="str">
        <x:f>IF(AND(SUM(IF(K641='假设'!E853,0,1),IF(L641='假设'!F853,0,1),IF(M641='假设'!G853,0,1),IF(N641='假设'!H853,0,1),IF(O641='假设'!I853,0,1),IF(P641='假设'!J853,0,1),IF(Q641='假设'!K853,0,1))=0,U641=V641),"已刷新","待刷新")</x:f>
        <x:v>已刷新</x:v>
      </x:c>
      <x:c r="U641" t="str"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0.75</x:v>
      </x:c>
      <x:c r="V641" t="str">
        <x:f>'先声资金假设'!C9&amp;"|"&amp;'先声资金假设'!D9&amp;"|"&amp;'先声资金假设'!E9&amp;"|"&amp;'先声资金假设'!F9&amp;"|"&amp;'先声资金假设'!G9&amp;"|"&amp;'先声资金假设'!H9&amp;"|"&amp;'先声资金假设'!I9&amp;"|"&amp;'先声资金假设'!J9&amp;"|"&amp;'先声资金假设'!K9&amp;"|"&amp;'先声资金假设'!L9&amp;"|"&amp;'先声资金假设'!M9&amp;"|"&amp;'先声资金假设'!N9&amp;"|"&amp;'先声资金假设'!O9&amp;"|"&amp;'先声资金假设'!P9&amp;"|"&amp;'先声资金假设'!Q9&amp;"|"&amp;'先声资金假设'!R9&amp;"|"&amp;'先声资金假设'!S9&amp;"|"&amp;'先声资金假设'!T9&amp;"|"&amp;'先声资金假设'!U9&amp;"|"&amp;'先声资金假设'!V9&amp;"|"&amp;'先声资金假设'!W9&amp;"|"&amp;'先声资金假设'!X9&amp;"|"&amp;'先声资金假设'!Y9&amp;"|"&amp;'先声资金假设'!Z9&amp;"|"&amp;'先声资金假设'!AA9&amp;"|"&amp;'先声年度假设'!D9&amp;"|"&amp;'先声年度假设'!E9&amp;"|"&amp;'先声年度假设'!F9&amp;"|"&amp;'先声年度假设'!G9&amp;"|"&amp;'先声年度假设'!H9&amp;"|"&amp;'先声年度假设'!I9&amp;"|"&amp;'先声年度假设'!J9&amp;"|"&amp;'先声年度假设'!K9&amp;"|"&amp;'先声年度假设'!L9&amp;"|"&amp;'先声年度假设'!M9&amp;"|"&amp;'先声年度假设'!N9&amp;"|"&amp;'先声年度假设'!O9&amp;"|"&amp;'先声年度假设'!P9&amp;"|"&amp;'先声年度假设'!Q9&amp;"|"&amp;'先声年度假设'!R9&amp;"|"&amp;'先声年度假设'!S9&amp;"|"&amp;'先声年度假设'!T9&amp;"|"&amp;'先声年度假设'!U9&amp;"|"&amp;'先声年度假设'!V9&amp;"|"&amp;'先声年度假设'!W9&amp;"|"&amp;'先声年度假设'!X9&amp;"|"&amp;'先声年度假设'!D13&amp;"|"&amp;'先声年度假设'!E13&amp;"|"&amp;'先声年度假设'!F13&amp;"|"&amp;'先声年度假设'!G13&amp;"|"&amp;'先声年度假设'!H13&amp;"|"&amp;'先声年度假设'!I13&amp;"|"&amp;'先声年度假设'!J13&amp;"|"&amp;'先声年度假设'!K13&amp;"|"&amp;'先声年度假设'!L13&amp;"|"&amp;'先声年度假设'!M13&amp;"|"&amp;'先声年度假设'!N13&amp;"|"&amp;'先声年度假设'!O13&amp;"|"&amp;'先声年度假设'!P13&amp;"|"&amp;'先声年度假设'!Q13&amp;"|"&amp;'先声年度假设'!R13&amp;"|"&amp;'先声年度假设'!S13&amp;"|"&amp;'先声年度假设'!T13&amp;"|"&amp;'先声年度假设'!U13&amp;"|"&amp;'先声年度假设'!V13&amp;"|"&amp;'先声年度假设'!W13&amp;"|"&amp;'先声年度假设'!X13&amp;"|"&amp;'先声年度假设'!D17&amp;"|"&amp;'先声年度假设'!E17&amp;"|"&amp;'先声年度假设'!F17&amp;"|"&amp;'先声年度假设'!G17&amp;"|"&amp;'先声年度假设'!H17&amp;"|"&amp;'先声年度假设'!I17&amp;"|"&amp;'先声年度假设'!J17&amp;"|"&amp;'先声年度假设'!K17&amp;"|"&amp;'先声年度假设'!L17&amp;"|"&amp;'先声年度假设'!M17&amp;"|"&amp;'先声年度假设'!N17&amp;"|"&amp;'先声年度假设'!O17&amp;"|"&amp;'先声年度假设'!P17&amp;"|"&amp;'先声年度假设'!Q17&amp;"|"&amp;'先声年度假设'!R17&amp;"|"&amp;'先声年度假设'!S17&amp;"|"&amp;'先声年度假设'!T17&amp;"|"&amp;'先声年度假设'!U17&amp;"|"&amp;'先声年度假设'!V17&amp;"|"&amp;'先声年度假设'!W17&amp;"|"&amp;'先声年度假设'!X17&amp;"|"&amp;'先声年度假设'!D21&amp;"|"&amp;'先声年度假设'!E21&amp;"|"&amp;'先声年度假设'!F21&amp;"|"&amp;'先声年度假设'!G21&amp;"|"&amp;'先声年度假设'!H21&amp;"|"&amp;'先声年度假设'!I21&amp;"|"&amp;'先声年度假设'!J21&amp;"|"&amp;'先声年度假设'!K21&amp;"|"&amp;'先声年度假设'!L21&amp;"|"&amp;'先声年度假设'!M21&amp;"|"&amp;'先声年度假设'!N21&amp;"|"&amp;'先声年度假设'!O21&amp;"|"&amp;'先声年度假设'!P21&amp;"|"&amp;'先声年度假设'!Q21&amp;"|"&amp;'先声年度假设'!R21&amp;"|"&amp;'先声年度假设'!S21&amp;"|"&amp;'先声年度假设'!T21&amp;"|"&amp;'先声年度假设'!U21&amp;"|"&amp;'先声年度假设'!V21&amp;"|"&amp;'先声年度假设'!W21&amp;"|"&amp;'先声年度假设'!X21&amp;"|"&amp;'先声年度假设'!D25&amp;"|"&amp;'先声年度假设'!E25&amp;"|"&amp;'先声年度假设'!F25&amp;"|"&amp;'先声年度假设'!G25&amp;"|"&amp;'先声年度假设'!H25&amp;"|"&amp;'先声年度假设'!I25&amp;"|"&amp;'先声年度假设'!J25&amp;"|"&amp;'先声年度假设'!K25&amp;"|"&amp;'先声年度假设'!L25&amp;"|"&amp;'先声年度假设'!M25&amp;"|"&amp;'先声年度假设'!N25&amp;"|"&amp;'先声年度假设'!O25&amp;"|"&amp;'先声年度假设'!P25&amp;"|"&amp;'先声年度假设'!Q25&amp;"|"&amp;'先声年度假设'!R25&amp;"|"&amp;'先声年度假设'!S25&amp;"|"&amp;'先声年度假设'!T25&amp;"|"&amp;'先声年度假设'!U25&amp;"|"&amp;'先声年度假设'!V25&amp;"|"&amp;'先声年度假设'!W25&amp;"|"&amp;'先声年度假设'!X25&amp;"|"&amp;'先声年度假设'!D29&amp;"|"&amp;'先声年度假设'!E29&amp;"|"&amp;'先声年度假设'!F29&amp;"|"&amp;'先声年度假设'!G29&amp;"|"&amp;'先声年度假设'!H29&amp;"|"&amp;'先声年度假设'!I29&amp;"|"&amp;'先声年度假设'!J29&amp;"|"&amp;'先声年度假设'!K29&amp;"|"&amp;'先声年度假设'!L29&amp;"|"&amp;'先声年度假设'!M29&amp;"|"&amp;'先声年度假设'!N29&amp;"|"&amp;'先声年度假设'!O29&amp;"|"&amp;'先声年度假设'!P29&amp;"|"&amp;'先声年度假设'!Q29&amp;"|"&amp;'先声年度假设'!R29&amp;"|"&amp;'先声年度假设'!S29&amp;"|"&amp;'先声年度假设'!T29&amp;"|"&amp;'先声年度假设'!U29&amp;"|"&amp;'先声年度假设'!V29&amp;"|"&amp;'先声年度假设'!W29&amp;"|"&amp;'先声年度假设'!X29&amp;"|"&amp;'先声年度假设'!D33&amp;"|"&amp;'先声年度假设'!E33&amp;"|"&amp;'先声年度假设'!F33&amp;"|"&amp;'先声年度假设'!G33&amp;"|"&amp;'先声年度假设'!H33&amp;"|"&amp;'先声年度假设'!I33&amp;"|"&amp;'先声年度假设'!J33&amp;"|"&amp;'先声年度假设'!K33&amp;"|"&amp;'先声年度假设'!L33&amp;"|"&amp;'先声年度假设'!M33&amp;"|"&amp;'先声年度假设'!N33&amp;"|"&amp;'先声年度假设'!O33&amp;"|"&amp;'先声年度假设'!P33&amp;"|"&amp;'先声年度假设'!Q33&amp;"|"&amp;'先声年度假设'!R33&amp;"|"&amp;'先声年度假设'!S33&amp;"|"&amp;'先声年度假设'!T33&amp;"|"&amp;'先声年度假设'!U33&amp;"|"&amp;'先声年度假设'!V33&amp;"|"&amp;'先声年度假设'!W33&amp;"|"&amp;'先声年度假设'!X33&amp;"|"&amp;'先声新药假设'!G9&amp;"|"&amp;'先声新药假设'!H9&amp;"|"&amp;'先声新药假设'!I9&amp;"|"&amp;'先声新药假设'!J9&amp;"|"&amp;'先声新药假设'!G13&amp;"|"&amp;'先声新药假设'!H13&amp;"|"&amp;'先声新药假设'!I13&amp;"|"&amp;'先声新药假设'!J13&amp;"|"&amp;'先声新药假设'!G17&amp;"|"&amp;'先声新药假设'!H17&amp;"|"&amp;'先声新药假设'!I17&amp;"|"&amp;'先声新药假设'!J17&amp;"|"&amp;'先声新药假设'!G21&amp;"|"&amp;'先声新药假设'!H21&amp;"|"&amp;'先声新药假设'!I21&amp;"|"&amp;'先声新药假设'!J21&amp;"|"&amp;'先声新药假设'!G25&amp;"|"&amp;'先声新药假设'!H25&amp;"|"&amp;'先声新药假设'!I25&amp;"|"&amp;'先声新药假设'!J25&amp;"|"&amp;'先声新药假设'!G29&amp;"|"&amp;'先声新药假设'!H29&amp;"|"&amp;'先声新药假设'!I29&amp;"|"&amp;'先声新药假设'!J29&amp;"|"&amp;'先声新药假设'!G33&amp;"|"&amp;'先声新药假设'!H33&amp;"|"&amp;'先声新药假设'!I33&amp;"|"&amp;'先声新药假设'!K33&amp;"|"&amp;'先声新药假设'!L33&amp;"|"&amp;'先声新药假设'!G37&amp;"|"&amp;'先声新药假设'!H37&amp;"|"&amp;'先声新药假设'!I37&amp;"|"&amp;'先声新药假设'!K37&amp;"|"&amp;'先声新药假设'!L37&amp;"|"&amp;'先声新药假设'!G41&amp;"|"&amp;'先声新药假设'!H41&amp;"|"&amp;'先声新药假设'!I41&amp;"|"&amp;'先声新药假设'!K41&amp;"|"&amp;'先声新药假设'!L41&amp;"|"&amp;'先声新药假设'!G45&amp;"|"&amp;'先声新药假设'!H45&amp;"|"&amp;'先声新药假设'!I45&amp;"|"&amp;'先声新药假设'!K45&amp;"|"&amp;'先声新药假设'!L45&amp;"|"&amp;'先声新药假设'!G49&amp;"|"&amp;'先声新药假设'!H49&amp;"|"&amp;'先声新药假设'!I49&amp;"|"&amp;'先声新药假设'!K49&amp;"|"&amp;'先声新药假设'!L49&amp;"|"&amp;'先声新药假设'!G53&amp;"|"&amp;'先声新药假设'!H53&amp;"|"&amp;'先声新药假设'!I53&amp;"|"&amp;'先声新药假设'!K53&amp;"|"&amp;'先声新药假设'!L53&amp;"|"&amp;'假设'!U853</x:f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0.75</x:v>
      </x:c>
    </x:row>
    <x:row r="642" ht="23" customHeight="1">
      <x:c r="A642" s="11" t="str">
        <x:v>02096.HK</x:v>
      </x:c>
      <x:c r="B642" s="11" t="str">
        <x:v>先声药业</x:v>
      </x:c>
      <x:c r="C642" s="11" t="str">
        <x:v>半年</x:v>
      </x:c>
      <x:c r="D642" s="11" t="str">
        <x:v>乐观</x:v>
      </x:c>
      <x:c r="E642" s="11" t="n">
        <x:v>10.89</x:v>
      </x:c>
      <x:c r="F642" s="11" t="n">
        <x:v>24.520891953953488</x:v>
      </x:c>
      <x:c r="G642" s="11" t="n">
        <x:v>0</x:v>
      </x:c>
      <x:c r="H642" s="25" t="n">
        <x:v>1.2516888846605587</x:v>
      </x:c>
      <x:c r="I642" s="25" t="n">
        <x:v>1.2516888846605587</x:v>
      </x:c>
      <x:c r="J642" s="25" t="str"/>
      <x:c r="K642" s="11" t="n">
        <x:v>1.053547124031007</x:v>
      </x:c>
      <x:c r="L642" s="11" t="n">
        <x:v>29</x:v>
      </x:c>
      <x:c r="M642" s="11" t="n">
        <x:v>1.1</x:v>
      </x:c>
      <x:c r="N642" s="11" t="n">
        <x:v>0</x:v>
      </x:c>
      <x:c r="O642" s="11" t="n">
        <x:v>13.2968</x:v>
      </x:c>
      <x:c r="P642" s="11" t="n">
        <x:v>0.2044214833644184</x:v>
      </x:c>
      <x:c r="Q642" s="11" t="n">
        <x:v>2.58</x:v>
      </x:c>
      <x:c r="R642" s="11" t="str">
        <x:v>simcere-v2-short-recognition-normal-product-risk-royalty-PE-cash</x:v>
      </x:c>
      <x:c r="S642" s="11" t="str">
        <x:v>2026-10-10</x:v>
      </x:c>
      <x:c r="T642" s="11" t="str">
        <x:f>IF(AND(SUM(IF(K642='假设'!E854,0,1),IF(L642='假设'!F854,0,1),IF(M642='假设'!G854,0,1),IF(N642='假设'!H854,0,1),IF(O642='假设'!I854,0,1),IF(P642='假设'!J854,0,1),IF(Q642='假设'!K854,0,1))=0,U642=V642),"已刷新","待刷新")</x:f>
        <x:v>已刷新</x:v>
      </x:c>
      <x:c r="U642" t="str"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0.6</x:v>
      </x:c>
      <x:c r="V642" t="str">
        <x:f>'先声资金假设'!C10&amp;"|"&amp;'先声资金假设'!D10&amp;"|"&amp;'先声资金假设'!E10&amp;"|"&amp;'先声资金假设'!F10&amp;"|"&amp;'先声资金假设'!G10&amp;"|"&amp;'先声资金假设'!H10&amp;"|"&amp;'先声资金假设'!I10&amp;"|"&amp;'先声资金假设'!J10&amp;"|"&amp;'先声资金假设'!K10&amp;"|"&amp;'先声资金假设'!L10&amp;"|"&amp;'先声资金假设'!M10&amp;"|"&amp;'先声资金假设'!N10&amp;"|"&amp;'先声资金假设'!O10&amp;"|"&amp;'先声资金假设'!P10&amp;"|"&amp;'先声资金假设'!Q10&amp;"|"&amp;'先声资金假设'!R10&amp;"|"&amp;'先声资金假设'!S10&amp;"|"&amp;'先声资金假设'!T10&amp;"|"&amp;'先声资金假设'!U10&amp;"|"&amp;'先声资金假设'!V10&amp;"|"&amp;'先声资金假设'!W10&amp;"|"&amp;'先声资金假设'!X10&amp;"|"&amp;'先声资金假设'!Y10&amp;"|"&amp;'先声资金假设'!Z10&amp;"|"&amp;'先声资金假设'!AA10&amp;"|"&amp;'先声年度假设'!D10&amp;"|"&amp;'先声年度假设'!E10&amp;"|"&amp;'先声年度假设'!F10&amp;"|"&amp;'先声年度假设'!G10&amp;"|"&amp;'先声年度假设'!H10&amp;"|"&amp;'先声年度假设'!I10&amp;"|"&amp;'先声年度假设'!J10&amp;"|"&amp;'先声年度假设'!K10&amp;"|"&amp;'先声年度假设'!L10&amp;"|"&amp;'先声年度假设'!M10&amp;"|"&amp;'先声年度假设'!N10&amp;"|"&amp;'先声年度假设'!O10&amp;"|"&amp;'先声年度假设'!P10&amp;"|"&amp;'先声年度假设'!Q10&amp;"|"&amp;'先声年度假设'!R10&amp;"|"&amp;'先声年度假设'!S10&amp;"|"&amp;'先声年度假设'!T10&amp;"|"&amp;'先声年度假设'!U10&amp;"|"&amp;'先声年度假设'!V10&amp;"|"&amp;'先声年度假设'!W10&amp;"|"&amp;'先声年度假设'!X10&amp;"|"&amp;'先声年度假设'!D14&amp;"|"&amp;'先声年度假设'!E14&amp;"|"&amp;'先声年度假设'!F14&amp;"|"&amp;'先声年度假设'!G14&amp;"|"&amp;'先声年度假设'!H14&amp;"|"&amp;'先声年度假设'!I14&amp;"|"&amp;'先声年度假设'!J14&amp;"|"&amp;'先声年度假设'!K14&amp;"|"&amp;'先声年度假设'!L14&amp;"|"&amp;'先声年度假设'!M14&amp;"|"&amp;'先声年度假设'!N14&amp;"|"&amp;'先声年度假设'!O14&amp;"|"&amp;'先声年度假设'!P14&amp;"|"&amp;'先声年度假设'!Q14&amp;"|"&amp;'先声年度假设'!R14&amp;"|"&amp;'先声年度假设'!S14&amp;"|"&amp;'先声年度假设'!T14&amp;"|"&amp;'先声年度假设'!U14&amp;"|"&amp;'先声年度假设'!V14&amp;"|"&amp;'先声年度假设'!W14&amp;"|"&amp;'先声年度假设'!X14&amp;"|"&amp;'先声年度假设'!D18&amp;"|"&amp;'先声年度假设'!E18&amp;"|"&amp;'先声年度假设'!F18&amp;"|"&amp;'先声年度假设'!G18&amp;"|"&amp;'先声年度假设'!H18&amp;"|"&amp;'先声年度假设'!I18&amp;"|"&amp;'先声年度假设'!J18&amp;"|"&amp;'先声年度假设'!K18&amp;"|"&amp;'先声年度假设'!L18&amp;"|"&amp;'先声年度假设'!M18&amp;"|"&amp;'先声年度假设'!N18&amp;"|"&amp;'先声年度假设'!O18&amp;"|"&amp;'先声年度假设'!P18&amp;"|"&amp;'先声年度假设'!Q18&amp;"|"&amp;'先声年度假设'!R18&amp;"|"&amp;'先声年度假设'!S18&amp;"|"&amp;'先声年度假设'!T18&amp;"|"&amp;'先声年度假设'!U18&amp;"|"&amp;'先声年度假设'!V18&amp;"|"&amp;'先声年度假设'!W18&amp;"|"&amp;'先声年度假设'!X18&amp;"|"&amp;'先声年度假设'!D22&amp;"|"&amp;'先声年度假设'!E22&amp;"|"&amp;'先声年度假设'!F22&amp;"|"&amp;'先声年度假设'!G22&amp;"|"&amp;'先声年度假设'!H22&amp;"|"&amp;'先声年度假设'!I22&amp;"|"&amp;'先声年度假设'!J22&amp;"|"&amp;'先声年度假设'!K22&amp;"|"&amp;'先声年度假设'!L22&amp;"|"&amp;'先声年度假设'!M22&amp;"|"&amp;'先声年度假设'!N22&amp;"|"&amp;'先声年度假设'!O22&amp;"|"&amp;'先声年度假设'!P22&amp;"|"&amp;'先声年度假设'!Q22&amp;"|"&amp;'先声年度假设'!R22&amp;"|"&amp;'先声年度假设'!S22&amp;"|"&amp;'先声年度假设'!T22&amp;"|"&amp;'先声年度假设'!U22&amp;"|"&amp;'先声年度假设'!V22&amp;"|"&amp;'先声年度假设'!W22&amp;"|"&amp;'先声年度假设'!X22&amp;"|"&amp;'先声年度假设'!D26&amp;"|"&amp;'先声年度假设'!E26&amp;"|"&amp;'先声年度假设'!F26&amp;"|"&amp;'先声年度假设'!G26&amp;"|"&amp;'先声年度假设'!H26&amp;"|"&amp;'先声年度假设'!I26&amp;"|"&amp;'先声年度假设'!J26&amp;"|"&amp;'先声年度假设'!K26&amp;"|"&amp;'先声年度假设'!L26&amp;"|"&amp;'先声年度假设'!M26&amp;"|"&amp;'先声年度假设'!N26&amp;"|"&amp;'先声年度假设'!O26&amp;"|"&amp;'先声年度假设'!P26&amp;"|"&amp;'先声年度假设'!Q26&amp;"|"&amp;'先声年度假设'!R26&amp;"|"&amp;'先声年度假设'!S26&amp;"|"&amp;'先声年度假设'!T26&amp;"|"&amp;'先声年度假设'!U26&amp;"|"&amp;'先声年度假设'!V26&amp;"|"&amp;'先声年度假设'!W26&amp;"|"&amp;'先声年度假设'!X26&amp;"|"&amp;'先声年度假设'!D30&amp;"|"&amp;'先声年度假设'!E30&amp;"|"&amp;'先声年度假设'!F30&amp;"|"&amp;'先声年度假设'!G30&amp;"|"&amp;'先声年度假设'!H30&amp;"|"&amp;'先声年度假设'!I30&amp;"|"&amp;'先声年度假设'!J30&amp;"|"&amp;'先声年度假设'!K30&amp;"|"&amp;'先声年度假设'!L30&amp;"|"&amp;'先声年度假设'!M30&amp;"|"&amp;'先声年度假设'!N30&amp;"|"&amp;'先声年度假设'!O30&amp;"|"&amp;'先声年度假设'!P30&amp;"|"&amp;'先声年度假设'!Q30&amp;"|"&amp;'先声年度假设'!R30&amp;"|"&amp;'先声年度假设'!S30&amp;"|"&amp;'先声年度假设'!T30&amp;"|"&amp;'先声年度假设'!U30&amp;"|"&amp;'先声年度假设'!V30&amp;"|"&amp;'先声年度假设'!W30&amp;"|"&amp;'先声年度假设'!X30&amp;"|"&amp;'先声年度假设'!D34&amp;"|"&amp;'先声年度假设'!E34&amp;"|"&amp;'先声年度假设'!F34&amp;"|"&amp;'先声年度假设'!G34&amp;"|"&amp;'先声年度假设'!H34&amp;"|"&amp;'先声年度假设'!I34&amp;"|"&amp;'先声年度假设'!J34&amp;"|"&amp;'先声年度假设'!K34&amp;"|"&amp;'先声年度假设'!L34&amp;"|"&amp;'先声年度假设'!M34&amp;"|"&amp;'先声年度假设'!N34&amp;"|"&amp;'先声年度假设'!O34&amp;"|"&amp;'先声年度假设'!P34&amp;"|"&amp;'先声年度假设'!Q34&amp;"|"&amp;'先声年度假设'!R34&amp;"|"&amp;'先声年度假设'!S34&amp;"|"&amp;'先声年度假设'!T34&amp;"|"&amp;'先声年度假设'!U34&amp;"|"&amp;'先声年度假设'!V34&amp;"|"&amp;'先声年度假设'!W34&amp;"|"&amp;'先声年度假设'!X34&amp;"|"&amp;'先声新药假设'!G10&amp;"|"&amp;'先声新药假设'!H10&amp;"|"&amp;'先声新药假设'!I10&amp;"|"&amp;'先声新药假设'!J10&amp;"|"&amp;'先声新药假设'!G14&amp;"|"&amp;'先声新药假设'!H14&amp;"|"&amp;'先声新药假设'!I14&amp;"|"&amp;'先声新药假设'!J14&amp;"|"&amp;'先声新药假设'!G18&amp;"|"&amp;'先声新药假设'!H18&amp;"|"&amp;'先声新药假设'!I18&amp;"|"&amp;'先声新药假设'!J18&amp;"|"&amp;'先声新药假设'!G22&amp;"|"&amp;'先声新药假设'!H22&amp;"|"&amp;'先声新药假设'!I22&amp;"|"&amp;'先声新药假设'!J22&amp;"|"&amp;'先声新药假设'!G26&amp;"|"&amp;'先声新药假设'!H26&amp;"|"&amp;'先声新药假设'!I26&amp;"|"&amp;'先声新药假设'!J26&amp;"|"&amp;'先声新药假设'!G30&amp;"|"&amp;'先声新药假设'!H30&amp;"|"&amp;'先声新药假设'!I30&amp;"|"&amp;'先声新药假设'!J30&amp;"|"&amp;'先声新药假设'!G34&amp;"|"&amp;'先声新药假设'!H34&amp;"|"&amp;'先声新药假设'!I34&amp;"|"&amp;'先声新药假设'!K34&amp;"|"&amp;'先声新药假设'!L34&amp;"|"&amp;'先声新药假设'!G38&amp;"|"&amp;'先声新药假设'!H38&amp;"|"&amp;'先声新药假设'!I38&amp;"|"&amp;'先声新药假设'!K38&amp;"|"&amp;'先声新药假设'!L38&amp;"|"&amp;'先声新药假设'!G42&amp;"|"&amp;'先声新药假设'!H42&amp;"|"&amp;'先声新药假设'!I42&amp;"|"&amp;'先声新药假设'!K42&amp;"|"&amp;'先声新药假设'!L42&amp;"|"&amp;'先声新药假设'!G46&amp;"|"&amp;'先声新药假设'!H46&amp;"|"&amp;'先声新药假设'!I46&amp;"|"&amp;'先声新药假设'!K46&amp;"|"&amp;'先声新药假设'!L46&amp;"|"&amp;'先声新药假设'!G50&amp;"|"&amp;'先声新药假设'!H50&amp;"|"&amp;'先声新药假设'!I50&amp;"|"&amp;'先声新药假设'!K50&amp;"|"&amp;'先声新药假设'!L50&amp;"|"&amp;'先声新药假设'!G54&amp;"|"&amp;'先声新药假设'!H54&amp;"|"&amp;'先声新药假设'!I54&amp;"|"&amp;'先声新药假设'!K54&amp;"|"&amp;'先声新药假设'!L54&amp;"|"&amp;'假设'!U854</x:f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0.6</x:v>
      </x:c>
    </x:row>
    <x:row r="643" ht="23" customHeight="1">
      <x:c r="A643" s="11" t="str">
        <x:v>02096.HK</x:v>
      </x:c>
      <x:c r="B643" s="11" t="str">
        <x:v>先声药业</x:v>
      </x:c>
      <x:c r="C643" s="11" t="str">
        <x:v>一年</x:v>
      </x:c>
      <x:c r="D643" s="11" t="str">
        <x:v>悲观</x:v>
      </x:c>
      <x:c r="E643" s="11" t="n">
        <x:v>10.89</x:v>
      </x:c>
      <x:c r="F643" s="11" t="n">
        <x:v>3.5819244710526332</x:v>
      </x:c>
      <x:c r="G643" s="11" t="n">
        <x:v>0.11000000000000001</x:v>
      </x:c>
      <x:c r="H643" s="25" t="n">
        <x:v>-0.6710813157894735</x:v>
      </x:c>
      <x:c r="I643" s="25" t="n">
        <x:v>-0.6609803056884634</x:v>
      </x:c>
      <x:c r="J643" s="25" t="str"/>
      <x:c r="K643" s="11" t="n">
        <x:v>0.191546763157895</x:v>
      </x:c>
      <x:c r="L643" s="11" t="n">
        <x:v>17</x:v>
      </x:c>
      <x:c r="M643" s="11" t="n">
        <x:v>1.1</x:v>
      </x:c>
      <x:c r="N643" s="11" t="n">
        <x:v>0.11000000000000001</x:v>
      </x:c>
      <x:c r="O643" s="11" t="n">
        <x:v>9.208400000000001</x:v>
      </x:c>
      <x:c r="P643" s="11" t="n">
        <x:v>0.0553314788671214</x:v>
      </x:c>
      <x:c r="Q643" s="11" t="n">
        <x:v>2.66</x:v>
      </x:c>
      <x:c r="R643" s="11" t="str">
        <x:v>simcere-v2-short-recognition-normal-product-risk-royalty-PE-cash</x:v>
      </x:c>
      <x:c r="S643" s="11" t="str">
        <x:v>2026-10-10</x:v>
      </x:c>
      <x:c r="T643" s="11" t="str">
        <x:f>IF(AND(SUM(IF(K643='假设'!E856,0,1),IF(L643='假设'!F856,0,1),IF(M643='假设'!G856,0,1),IF(N643='假设'!H856,0,1),IF(O643='假设'!I856,0,1),IF(P643='假设'!J856,0,1),IF(Q643='假设'!K856,0,1))=0,U643=V643),"已刷新","待刷新")</x:f>
        <x:v>已刷新</x:v>
      </x:c>
      <x:c r="U643" t="str"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  <x:c r="V643" t="str">
        <x:f>'先声资金假设'!C8&amp;"|"&amp;'先声资金假设'!D8&amp;"|"&amp;'先声资金假设'!E8&amp;"|"&amp;'先声资金假设'!F8&amp;"|"&amp;'先声资金假设'!G8&amp;"|"&amp;'先声资金假设'!H8&amp;"|"&amp;'先声资金假设'!I8&amp;"|"&amp;'先声资金假设'!J8&amp;"|"&amp;'先声资金假设'!K8&amp;"|"&amp;'先声资金假设'!L8&amp;"|"&amp;'先声资金假设'!M8&amp;"|"&amp;'先声资金假设'!N8&amp;"|"&amp;'先声资金假设'!O8&amp;"|"&amp;'先声资金假设'!P8&amp;"|"&amp;'先声资金假设'!Q8&amp;"|"&amp;'先声资金假设'!R8&amp;"|"&amp;'先声资金假设'!S8&amp;"|"&amp;'先声资金假设'!T8&amp;"|"&amp;'先声资金假设'!U8&amp;"|"&amp;'先声资金假设'!V8&amp;"|"&amp;'先声资金假设'!W8&amp;"|"&amp;'先声资金假设'!X8&amp;"|"&amp;'先声资金假设'!Y8&amp;"|"&amp;'先声资金假设'!Z8&amp;"|"&amp;'先声资金假设'!AA8&amp;"|"&amp;'先声年度假设'!D8&amp;"|"&amp;'先声年度假设'!E8&amp;"|"&amp;'先声年度假设'!F8&amp;"|"&amp;'先声年度假设'!G8&amp;"|"&amp;'先声年度假设'!H8&amp;"|"&amp;'先声年度假设'!I8&amp;"|"&amp;'先声年度假设'!J8&amp;"|"&amp;'先声年度假设'!K8&amp;"|"&amp;'先声年度假设'!L8&amp;"|"&amp;'先声年度假设'!M8&amp;"|"&amp;'先声年度假设'!N8&amp;"|"&amp;'先声年度假设'!O8&amp;"|"&amp;'先声年度假设'!P8&amp;"|"&amp;'先声年度假设'!Q8&amp;"|"&amp;'先声年度假设'!R8&amp;"|"&amp;'先声年度假设'!S8&amp;"|"&amp;'先声年度假设'!T8&amp;"|"&amp;'先声年度假设'!U8&amp;"|"&amp;'先声年度假设'!V8&amp;"|"&amp;'先声年度假设'!W8&amp;"|"&amp;'先声年度假设'!X8&amp;"|"&amp;'先声年度假设'!D12&amp;"|"&amp;'先声年度假设'!E12&amp;"|"&amp;'先声年度假设'!F12&amp;"|"&amp;'先声年度假设'!G12&amp;"|"&amp;'先声年度假设'!H12&amp;"|"&amp;'先声年度假设'!I12&amp;"|"&amp;'先声年度假设'!J12&amp;"|"&amp;'先声年度假设'!K12&amp;"|"&amp;'先声年度假设'!L12&amp;"|"&amp;'先声年度假设'!M12&amp;"|"&amp;'先声年度假设'!N12&amp;"|"&amp;'先声年度假设'!O12&amp;"|"&amp;'先声年度假设'!P12&amp;"|"&amp;'先声年度假设'!Q12&amp;"|"&amp;'先声年度假设'!R12&amp;"|"&amp;'先声年度假设'!S12&amp;"|"&amp;'先声年度假设'!T12&amp;"|"&amp;'先声年度假设'!U12&amp;"|"&amp;'先声年度假设'!V12&amp;"|"&amp;'先声年度假设'!W12&amp;"|"&amp;'先声年度假设'!X12&amp;"|"&amp;'先声年度假设'!D16&amp;"|"&amp;'先声年度假设'!E16&amp;"|"&amp;'先声年度假设'!F16&amp;"|"&amp;'先声年度假设'!G16&amp;"|"&amp;'先声年度假设'!H16&amp;"|"&amp;'先声年度假设'!I16&amp;"|"&amp;'先声年度假设'!J16&amp;"|"&amp;'先声年度假设'!K16&amp;"|"&amp;'先声年度假设'!L16&amp;"|"&amp;'先声年度假设'!M16&amp;"|"&amp;'先声年度假设'!N16&amp;"|"&amp;'先声年度假设'!O16&amp;"|"&amp;'先声年度假设'!P16&amp;"|"&amp;'先声年度假设'!Q16&amp;"|"&amp;'先声年度假设'!R16&amp;"|"&amp;'先声年度假设'!S16&amp;"|"&amp;'先声年度假设'!T16&amp;"|"&amp;'先声年度假设'!U16&amp;"|"&amp;'先声年度假设'!V16&amp;"|"&amp;'先声年度假设'!W16&amp;"|"&amp;'先声年度假设'!X16&amp;"|"&amp;'先声年度假设'!D20&amp;"|"&amp;'先声年度假设'!E20&amp;"|"&amp;'先声年度假设'!F20&amp;"|"&amp;'先声年度假设'!G20&amp;"|"&amp;'先声年度假设'!H20&amp;"|"&amp;'先声年度假设'!I20&amp;"|"&amp;'先声年度假设'!J20&amp;"|"&amp;'先声年度假设'!K20&amp;"|"&amp;'先声年度假设'!L20&amp;"|"&amp;'先声年度假设'!M20&amp;"|"&amp;'先声年度假设'!N20&amp;"|"&amp;'先声年度假设'!O20&amp;"|"&amp;'先声年度假设'!P20&amp;"|"&amp;'先声年度假设'!Q20&amp;"|"&amp;'先声年度假设'!R20&amp;"|"&amp;'先声年度假设'!S20&amp;"|"&amp;'先声年度假设'!T20&amp;"|"&amp;'先声年度假设'!U20&amp;"|"&amp;'先声年度假设'!V20&amp;"|"&amp;'先声年度假设'!W20&amp;"|"&amp;'先声年度假设'!X20&amp;"|"&amp;'先声年度假设'!D24&amp;"|"&amp;'先声年度假设'!E24&amp;"|"&amp;'先声年度假设'!F24&amp;"|"&amp;'先声年度假设'!G24&amp;"|"&amp;'先声年度假设'!H24&amp;"|"&amp;'先声年度假设'!I24&amp;"|"&amp;'先声年度假设'!J24&amp;"|"&amp;'先声年度假设'!K24&amp;"|"&amp;'先声年度假设'!L24&amp;"|"&amp;'先声年度假设'!M24&amp;"|"&amp;'先声年度假设'!N24&amp;"|"&amp;'先声年度假设'!O24&amp;"|"&amp;'先声年度假设'!P24&amp;"|"&amp;'先声年度假设'!Q24&amp;"|"&amp;'先声年度假设'!R24&amp;"|"&amp;'先声年度假设'!S24&amp;"|"&amp;'先声年度假设'!T24&amp;"|"&amp;'先声年度假设'!U24&amp;"|"&amp;'先声年度假设'!V24&amp;"|"&amp;'先声年度假设'!W24&amp;"|"&amp;'先声年度假设'!X24&amp;"|"&amp;'先声年度假设'!D28&amp;"|"&amp;'先声年度假设'!E28&amp;"|"&amp;'先声年度假设'!F28&amp;"|"&amp;'先声年度假设'!G28&amp;"|"&amp;'先声年度假设'!H28&amp;"|"&amp;'先声年度假设'!I28&amp;"|"&amp;'先声年度假设'!J28&amp;"|"&amp;'先声年度假设'!K28&amp;"|"&amp;'先声年度假设'!L28&amp;"|"&amp;'先声年度假设'!M28&amp;"|"&amp;'先声年度假设'!N28&amp;"|"&amp;'先声年度假设'!O28&amp;"|"&amp;'先声年度假设'!P28&amp;"|"&amp;'先声年度假设'!Q28&amp;"|"&amp;'先声年度假设'!R28&amp;"|"&amp;'先声年度假设'!S28&amp;"|"&amp;'先声年度假设'!T28&amp;"|"&amp;'先声年度假设'!U28&amp;"|"&amp;'先声年度假设'!V28&amp;"|"&amp;'先声年度假设'!W28&amp;"|"&amp;'先声年度假设'!X28&amp;"|"&amp;'先声年度假设'!D32&amp;"|"&amp;'先声年度假设'!E32&amp;"|"&amp;'先声年度假设'!F32&amp;"|"&amp;'先声年度假设'!G32&amp;"|"&amp;'先声年度假设'!H32&amp;"|"&amp;'先声年度假设'!I32&amp;"|"&amp;'先声年度假设'!J32&amp;"|"&amp;'先声年度假设'!K32&amp;"|"&amp;'先声年度假设'!L32&amp;"|"&amp;'先声年度假设'!M32&amp;"|"&amp;'先声年度假设'!N32&amp;"|"&amp;'先声年度假设'!O32&amp;"|"&amp;'先声年度假设'!P32&amp;"|"&amp;'先声年度假设'!Q32&amp;"|"&amp;'先声年度假设'!R32&amp;"|"&amp;'先声年度假设'!S32&amp;"|"&amp;'先声年度假设'!T32&amp;"|"&amp;'先声年度假设'!U32&amp;"|"&amp;'先声年度假设'!V32&amp;"|"&amp;'先声年度假设'!W32&amp;"|"&amp;'先声年度假设'!X32&amp;"|"&amp;'先声新药假设'!G8&amp;"|"&amp;'先声新药假设'!H8&amp;"|"&amp;'先声新药假设'!I8&amp;"|"&amp;'先声新药假设'!J8&amp;"|"&amp;'先声新药假设'!G12&amp;"|"&amp;'先声新药假设'!H12&amp;"|"&amp;'先声新药假设'!I12&amp;"|"&amp;'先声新药假设'!J12&amp;"|"&amp;'先声新药假设'!G16&amp;"|"&amp;'先声新药假设'!H16&amp;"|"&amp;'先声新药假设'!I16&amp;"|"&amp;'先声新药假设'!J16&amp;"|"&amp;'先声新药假设'!G20&amp;"|"&amp;'先声新药假设'!H20&amp;"|"&amp;'先声新药假设'!I20&amp;"|"&amp;'先声新药假设'!J20&amp;"|"&amp;'先声新药假设'!G24&amp;"|"&amp;'先声新药假设'!H24&amp;"|"&amp;'先声新药假设'!I24&amp;"|"&amp;'先声新药假设'!J24&amp;"|"&amp;'先声新药假设'!G28&amp;"|"&amp;'先声新药假设'!H28&amp;"|"&amp;'先声新药假设'!I28&amp;"|"&amp;'先声新药假设'!J28&amp;"|"&amp;'先声新药假设'!G32&amp;"|"&amp;'先声新药假设'!H32&amp;"|"&amp;'先声新药假设'!I32&amp;"|"&amp;'先声新药假设'!K32&amp;"|"&amp;'先声新药假设'!L32&amp;"|"&amp;'先声新药假设'!G36&amp;"|"&amp;'先声新药假设'!H36&amp;"|"&amp;'先声新药假设'!I36&amp;"|"&amp;'先声新药假设'!K36&amp;"|"&amp;'先声新药假设'!L36&amp;"|"&amp;'先声新药假设'!G40&amp;"|"&amp;'先声新药假设'!H40&amp;"|"&amp;'先声新药假设'!I40&amp;"|"&amp;'先声新药假设'!K40&amp;"|"&amp;'先声新药假设'!L40&amp;"|"&amp;'先声新药假设'!G44&amp;"|"&amp;'先声新药假设'!H44&amp;"|"&amp;'先声新药假设'!I44&amp;"|"&amp;'先声新药假设'!K44&amp;"|"&amp;'先声新药假设'!L44&amp;"|"&amp;'先声新药假设'!G48&amp;"|"&amp;'先声新药假设'!H48&amp;"|"&amp;'先声新药假设'!I48&amp;"|"&amp;'先声新药假设'!K48&amp;"|"&amp;'先声新药假设'!L48&amp;"|"&amp;'先声新药假设'!G52&amp;"|"&amp;'先声新药假设'!H52&amp;"|"&amp;'先声新药假设'!I52&amp;"|"&amp;'先声新药假设'!K52&amp;"|"&amp;'先声新药假设'!L52&amp;"|"&amp;'假设'!U856</x:f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</x:row>
    <x:row r="644" ht="23" customHeight="1">
      <x:c r="A644" s="11" t="str">
        <x:v>02096.HK</x:v>
      </x:c>
      <x:c r="B644" s="11" t="str">
        <x:v>先声药业</x:v>
      </x:c>
      <x:c r="C644" s="11" t="str">
        <x:v>一年</x:v>
      </x:c>
      <x:c r="D644" s="11" t="str">
        <x:v>基准</x:v>
      </x:c>
      <x:c r="E644" s="11" t="n">
        <x:v>10.89</x:v>
      </x:c>
      <x:c r="F644" s="11" t="n">
        <x:v>20.685318463754786</x:v>
      </x:c>
      <x:c r="G644" s="11" t="n">
        <x:v>0.24200000000000002</x:v>
      </x:c>
      <x:c r="H644" s="25" t="n">
        <x:v>0.8994782794999803</x:v>
      </x:c>
      <x:c r="I644" s="25" t="n">
        <x:v>0.9217005017222026</x:v>
      </x:c>
      <x:c r="J644" s="25" t="str"/>
      <x:c r="K644" s="11" t="n">
        <x:v>0.8176015203065135</x:v>
      </x:c>
      <x:c r="L644" s="11" t="n">
        <x:v>23</x:v>
      </x:c>
      <x:c r="M644" s="11" t="n">
        <x:v>1.1</x:v>
      </x:c>
      <x:c r="N644" s="11" t="n">
        <x:v>0.24200000000000002</x:v>
      </x:c>
      <x:c r="O644" s="11" t="n">
        <x:v>13.6516</x:v>
      </x:c>
      <x:c r="P644" s="11" t="n">
        <x:v>0.15631427583579946</x:v>
      </x:c>
      <x:c r="Q644" s="11" t="n">
        <x:v>2.61</x:v>
      </x:c>
      <x:c r="R644" s="11" t="str">
        <x:v>simcere-v2-short-recognition-normal-product-risk-royalty-PE-cash</x:v>
      </x:c>
      <x:c r="S644" s="11" t="str">
        <x:v>2026-10-10</x:v>
      </x:c>
      <x:c r="T644" s="11" t="str">
        <x:f>IF(AND(SUM(IF(K644='假设'!E857,0,1),IF(L644='假设'!F857,0,1),IF(M644='假设'!G857,0,1),IF(N644='假设'!H857,0,1),IF(O644='假设'!I857,0,1),IF(P644='假设'!J857,0,1),IF(Q644='假设'!K857,0,1))=0,U644=V644),"已刷新","待刷新")</x:f>
        <x:v>已刷新</x:v>
      </x:c>
      <x:c r="U644" t="str"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  <x:c r="V644" t="str">
        <x:f>'先声资金假设'!C9&amp;"|"&amp;'先声资金假设'!D9&amp;"|"&amp;'先声资金假设'!E9&amp;"|"&amp;'先声资金假设'!F9&amp;"|"&amp;'先声资金假设'!G9&amp;"|"&amp;'先声资金假设'!H9&amp;"|"&amp;'先声资金假设'!I9&amp;"|"&amp;'先声资金假设'!J9&amp;"|"&amp;'先声资金假设'!K9&amp;"|"&amp;'先声资金假设'!L9&amp;"|"&amp;'先声资金假设'!M9&amp;"|"&amp;'先声资金假设'!N9&amp;"|"&amp;'先声资金假设'!O9&amp;"|"&amp;'先声资金假设'!P9&amp;"|"&amp;'先声资金假设'!Q9&amp;"|"&amp;'先声资金假设'!R9&amp;"|"&amp;'先声资金假设'!S9&amp;"|"&amp;'先声资金假设'!T9&amp;"|"&amp;'先声资金假设'!U9&amp;"|"&amp;'先声资金假设'!V9&amp;"|"&amp;'先声资金假设'!W9&amp;"|"&amp;'先声资金假设'!X9&amp;"|"&amp;'先声资金假设'!Y9&amp;"|"&amp;'先声资金假设'!Z9&amp;"|"&amp;'先声资金假设'!AA9&amp;"|"&amp;'先声年度假设'!D9&amp;"|"&amp;'先声年度假设'!E9&amp;"|"&amp;'先声年度假设'!F9&amp;"|"&amp;'先声年度假设'!G9&amp;"|"&amp;'先声年度假设'!H9&amp;"|"&amp;'先声年度假设'!I9&amp;"|"&amp;'先声年度假设'!J9&amp;"|"&amp;'先声年度假设'!K9&amp;"|"&amp;'先声年度假设'!L9&amp;"|"&amp;'先声年度假设'!M9&amp;"|"&amp;'先声年度假设'!N9&amp;"|"&amp;'先声年度假设'!O9&amp;"|"&amp;'先声年度假设'!P9&amp;"|"&amp;'先声年度假设'!Q9&amp;"|"&amp;'先声年度假设'!R9&amp;"|"&amp;'先声年度假设'!S9&amp;"|"&amp;'先声年度假设'!T9&amp;"|"&amp;'先声年度假设'!U9&amp;"|"&amp;'先声年度假设'!V9&amp;"|"&amp;'先声年度假设'!W9&amp;"|"&amp;'先声年度假设'!X9&amp;"|"&amp;'先声年度假设'!D13&amp;"|"&amp;'先声年度假设'!E13&amp;"|"&amp;'先声年度假设'!F13&amp;"|"&amp;'先声年度假设'!G13&amp;"|"&amp;'先声年度假设'!H13&amp;"|"&amp;'先声年度假设'!I13&amp;"|"&amp;'先声年度假设'!J13&amp;"|"&amp;'先声年度假设'!K13&amp;"|"&amp;'先声年度假设'!L13&amp;"|"&amp;'先声年度假设'!M13&amp;"|"&amp;'先声年度假设'!N13&amp;"|"&amp;'先声年度假设'!O13&amp;"|"&amp;'先声年度假设'!P13&amp;"|"&amp;'先声年度假设'!Q13&amp;"|"&amp;'先声年度假设'!R13&amp;"|"&amp;'先声年度假设'!S13&amp;"|"&amp;'先声年度假设'!T13&amp;"|"&amp;'先声年度假设'!U13&amp;"|"&amp;'先声年度假设'!V13&amp;"|"&amp;'先声年度假设'!W13&amp;"|"&amp;'先声年度假设'!X13&amp;"|"&amp;'先声年度假设'!D17&amp;"|"&amp;'先声年度假设'!E17&amp;"|"&amp;'先声年度假设'!F17&amp;"|"&amp;'先声年度假设'!G17&amp;"|"&amp;'先声年度假设'!H17&amp;"|"&amp;'先声年度假设'!I17&amp;"|"&amp;'先声年度假设'!J17&amp;"|"&amp;'先声年度假设'!K17&amp;"|"&amp;'先声年度假设'!L17&amp;"|"&amp;'先声年度假设'!M17&amp;"|"&amp;'先声年度假设'!N17&amp;"|"&amp;'先声年度假设'!O17&amp;"|"&amp;'先声年度假设'!P17&amp;"|"&amp;'先声年度假设'!Q17&amp;"|"&amp;'先声年度假设'!R17&amp;"|"&amp;'先声年度假设'!S17&amp;"|"&amp;'先声年度假设'!T17&amp;"|"&amp;'先声年度假设'!U17&amp;"|"&amp;'先声年度假设'!V17&amp;"|"&amp;'先声年度假设'!W17&amp;"|"&amp;'先声年度假设'!X17&amp;"|"&amp;'先声年度假设'!D21&amp;"|"&amp;'先声年度假设'!E21&amp;"|"&amp;'先声年度假设'!F21&amp;"|"&amp;'先声年度假设'!G21&amp;"|"&amp;'先声年度假设'!H21&amp;"|"&amp;'先声年度假设'!I21&amp;"|"&amp;'先声年度假设'!J21&amp;"|"&amp;'先声年度假设'!K21&amp;"|"&amp;'先声年度假设'!L21&amp;"|"&amp;'先声年度假设'!M21&amp;"|"&amp;'先声年度假设'!N21&amp;"|"&amp;'先声年度假设'!O21&amp;"|"&amp;'先声年度假设'!P21&amp;"|"&amp;'先声年度假设'!Q21&amp;"|"&amp;'先声年度假设'!R21&amp;"|"&amp;'先声年度假设'!S21&amp;"|"&amp;'先声年度假设'!T21&amp;"|"&amp;'先声年度假设'!U21&amp;"|"&amp;'先声年度假设'!V21&amp;"|"&amp;'先声年度假设'!W21&amp;"|"&amp;'先声年度假设'!X21&amp;"|"&amp;'先声年度假设'!D25&amp;"|"&amp;'先声年度假设'!E25&amp;"|"&amp;'先声年度假设'!F25&amp;"|"&amp;'先声年度假设'!G25&amp;"|"&amp;'先声年度假设'!H25&amp;"|"&amp;'先声年度假设'!I25&amp;"|"&amp;'先声年度假设'!J25&amp;"|"&amp;'先声年度假设'!K25&amp;"|"&amp;'先声年度假设'!L25&amp;"|"&amp;'先声年度假设'!M25&amp;"|"&amp;'先声年度假设'!N25&amp;"|"&amp;'先声年度假设'!O25&amp;"|"&amp;'先声年度假设'!P25&amp;"|"&amp;'先声年度假设'!Q25&amp;"|"&amp;'先声年度假设'!R25&amp;"|"&amp;'先声年度假设'!S25&amp;"|"&amp;'先声年度假设'!T25&amp;"|"&amp;'先声年度假设'!U25&amp;"|"&amp;'先声年度假设'!V25&amp;"|"&amp;'先声年度假设'!W25&amp;"|"&amp;'先声年度假设'!X25&amp;"|"&amp;'先声年度假设'!D29&amp;"|"&amp;'先声年度假设'!E29&amp;"|"&amp;'先声年度假设'!F29&amp;"|"&amp;'先声年度假设'!G29&amp;"|"&amp;'先声年度假设'!H29&amp;"|"&amp;'先声年度假设'!I29&amp;"|"&amp;'先声年度假设'!J29&amp;"|"&amp;'先声年度假设'!K29&amp;"|"&amp;'先声年度假设'!L29&amp;"|"&amp;'先声年度假设'!M29&amp;"|"&amp;'先声年度假设'!N29&amp;"|"&amp;'先声年度假设'!O29&amp;"|"&amp;'先声年度假设'!P29&amp;"|"&amp;'先声年度假设'!Q29&amp;"|"&amp;'先声年度假设'!R29&amp;"|"&amp;'先声年度假设'!S29&amp;"|"&amp;'先声年度假设'!T29&amp;"|"&amp;'先声年度假设'!U29&amp;"|"&amp;'先声年度假设'!V29&amp;"|"&amp;'先声年度假设'!W29&amp;"|"&amp;'先声年度假设'!X29&amp;"|"&amp;'先声年度假设'!D33&amp;"|"&amp;'先声年度假设'!E33&amp;"|"&amp;'先声年度假设'!F33&amp;"|"&amp;'先声年度假设'!G33&amp;"|"&amp;'先声年度假设'!H33&amp;"|"&amp;'先声年度假设'!I33&amp;"|"&amp;'先声年度假设'!J33&amp;"|"&amp;'先声年度假设'!K33&amp;"|"&amp;'先声年度假设'!L33&amp;"|"&amp;'先声年度假设'!M33&amp;"|"&amp;'先声年度假设'!N33&amp;"|"&amp;'先声年度假设'!O33&amp;"|"&amp;'先声年度假设'!P33&amp;"|"&amp;'先声年度假设'!Q33&amp;"|"&amp;'先声年度假设'!R33&amp;"|"&amp;'先声年度假设'!S33&amp;"|"&amp;'先声年度假设'!T33&amp;"|"&amp;'先声年度假设'!U33&amp;"|"&amp;'先声年度假设'!V33&amp;"|"&amp;'先声年度假设'!W33&amp;"|"&amp;'先声年度假设'!X33&amp;"|"&amp;'先声新药假设'!G9&amp;"|"&amp;'先声新药假设'!H9&amp;"|"&amp;'先声新药假设'!I9&amp;"|"&amp;'先声新药假设'!J9&amp;"|"&amp;'先声新药假设'!G13&amp;"|"&amp;'先声新药假设'!H13&amp;"|"&amp;'先声新药假设'!I13&amp;"|"&amp;'先声新药假设'!J13&amp;"|"&amp;'先声新药假设'!G17&amp;"|"&amp;'先声新药假设'!H17&amp;"|"&amp;'先声新药假设'!I17&amp;"|"&amp;'先声新药假设'!J17&amp;"|"&amp;'先声新药假设'!G21&amp;"|"&amp;'先声新药假设'!H21&amp;"|"&amp;'先声新药假设'!I21&amp;"|"&amp;'先声新药假设'!J21&amp;"|"&amp;'先声新药假设'!G25&amp;"|"&amp;'先声新药假设'!H25&amp;"|"&amp;'先声新药假设'!I25&amp;"|"&amp;'先声新药假设'!J25&amp;"|"&amp;'先声新药假设'!G29&amp;"|"&amp;'先声新药假设'!H29&amp;"|"&amp;'先声新药假设'!I29&amp;"|"&amp;'先声新药假设'!J29&amp;"|"&amp;'先声新药假设'!G33&amp;"|"&amp;'先声新药假设'!H33&amp;"|"&amp;'先声新药假设'!I33&amp;"|"&amp;'先声新药假设'!K33&amp;"|"&amp;'先声新药假设'!L33&amp;"|"&amp;'先声新药假设'!G37&amp;"|"&amp;'先声新药假设'!H37&amp;"|"&amp;'先声新药假设'!I37&amp;"|"&amp;'先声新药假设'!K37&amp;"|"&amp;'先声新药假设'!L37&amp;"|"&amp;'先声新药假设'!G41&amp;"|"&amp;'先声新药假设'!H41&amp;"|"&amp;'先声新药假设'!I41&amp;"|"&amp;'先声新药假设'!K41&amp;"|"&amp;'先声新药假设'!L41&amp;"|"&amp;'先声新药假设'!G45&amp;"|"&amp;'先声新药假设'!H45&amp;"|"&amp;'先声新药假设'!I45&amp;"|"&amp;'先声新药假设'!K45&amp;"|"&amp;'先声新药假设'!L45&amp;"|"&amp;'先声新药假设'!G49&amp;"|"&amp;'先声新药假设'!H49&amp;"|"&amp;'先声新药假设'!I49&amp;"|"&amp;'先声新药假设'!K49&amp;"|"&amp;'先声新药假设'!L49&amp;"|"&amp;'先声新药假设'!G53&amp;"|"&amp;'先声新药假设'!H53&amp;"|"&amp;'先声新药假设'!I53&amp;"|"&amp;'先声新药假设'!K53&amp;"|"&amp;'先声新药假设'!L53&amp;"|"&amp;'假设'!U857</x:f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</x:row>
    <x:row r="645" ht="23" customHeight="1">
      <x:c r="A645" s="11" t="str">
        <x:v>02096.HK</x:v>
      </x:c>
      <x:c r="B645" s="11" t="str">
        <x:v>先声药业</x:v>
      </x:c>
      <x:c r="C645" s="11" t="str">
        <x:v>一年</x:v>
      </x:c>
      <x:c r="D645" s="11" t="str">
        <x:v>乐观</x:v>
      </x:c>
      <x:c r="E645" s="11" t="n">
        <x:v>10.89</x:v>
      </x:c>
      <x:c r="F645" s="11" t="n">
        <x:v>49.87166326153845</x:v>
      </x:c>
      <x:c r="G645" s="11" t="n">
        <x:v>0.28600000000000003</x:v>
      </x:c>
      <x:c r="H645" s="25" t="n">
        <x:v>3.5795834032634017</x:v>
      </x:c>
      <x:c r="I645" s="25" t="n">
        <x:v>3.6058460295260284</x:v>
      </x:c>
      <x:c r="J645" s="25" t="str"/>
      <x:c r="K645" s="11" t="n">
        <x:v>1.6192098461538462</x:v>
      </x:c>
      <x:c r="L645" s="11" t="n">
        <x:v>28</x:v>
      </x:c>
      <x:c r="M645" s="11" t="n">
        <x:v>1.1</x:v>
      </x:c>
      <x:c r="N645" s="11" t="n">
        <x:v>0.28600000000000003</x:v>
      </x:c>
      <x:c r="O645" s="11" t="n">
        <x:v>17.552</x:v>
      </x:c>
      <x:c r="P645" s="11" t="n">
        <x:v>0.23985560619872381</x:v>
      </x:c>
      <x:c r="Q645" s="11" t="n">
        <x:v>2.6</x:v>
      </x:c>
      <x:c r="R645" s="11" t="str">
        <x:v>simcere-v2-short-recognition-normal-product-risk-royalty-PE-cash</x:v>
      </x:c>
      <x:c r="S645" s="11" t="str">
        <x:v>2026-10-10</x:v>
      </x:c>
      <x:c r="T645" s="11" t="str">
        <x:f>IF(AND(SUM(IF(K645='假设'!E858,0,1),IF(L645='假设'!F858,0,1),IF(M645='假设'!G858,0,1),IF(N645='假设'!H858,0,1),IF(O645='假设'!I858,0,1),IF(P645='假设'!J858,0,1),IF(Q645='假设'!K858,0,1))=0,U645=V645),"已刷新","待刷新")</x:f>
        <x:v>已刷新</x:v>
      </x:c>
      <x:c r="U645" t="str"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  <x:c r="V645" t="str">
        <x:f>'先声资金假设'!C10&amp;"|"&amp;'先声资金假设'!D10&amp;"|"&amp;'先声资金假设'!E10&amp;"|"&amp;'先声资金假设'!F10&amp;"|"&amp;'先声资金假设'!G10&amp;"|"&amp;'先声资金假设'!H10&amp;"|"&amp;'先声资金假设'!I10&amp;"|"&amp;'先声资金假设'!J10&amp;"|"&amp;'先声资金假设'!K10&amp;"|"&amp;'先声资金假设'!L10&amp;"|"&amp;'先声资金假设'!M10&amp;"|"&amp;'先声资金假设'!N10&amp;"|"&amp;'先声资金假设'!O10&amp;"|"&amp;'先声资金假设'!P10&amp;"|"&amp;'先声资金假设'!Q10&amp;"|"&amp;'先声资金假设'!R10&amp;"|"&amp;'先声资金假设'!S10&amp;"|"&amp;'先声资金假设'!T10&amp;"|"&amp;'先声资金假设'!U10&amp;"|"&amp;'先声资金假设'!V10&amp;"|"&amp;'先声资金假设'!W10&amp;"|"&amp;'先声资金假设'!X10&amp;"|"&amp;'先声资金假设'!Y10&amp;"|"&amp;'先声资金假设'!Z10&amp;"|"&amp;'先声资金假设'!AA10&amp;"|"&amp;'先声年度假设'!D10&amp;"|"&amp;'先声年度假设'!E10&amp;"|"&amp;'先声年度假设'!F10&amp;"|"&amp;'先声年度假设'!G10&amp;"|"&amp;'先声年度假设'!H10&amp;"|"&amp;'先声年度假设'!I10&amp;"|"&amp;'先声年度假设'!J10&amp;"|"&amp;'先声年度假设'!K10&amp;"|"&amp;'先声年度假设'!L10&amp;"|"&amp;'先声年度假设'!M10&amp;"|"&amp;'先声年度假设'!N10&amp;"|"&amp;'先声年度假设'!O10&amp;"|"&amp;'先声年度假设'!P10&amp;"|"&amp;'先声年度假设'!Q10&amp;"|"&amp;'先声年度假设'!R10&amp;"|"&amp;'先声年度假设'!S10&amp;"|"&amp;'先声年度假设'!T10&amp;"|"&amp;'先声年度假设'!U10&amp;"|"&amp;'先声年度假设'!V10&amp;"|"&amp;'先声年度假设'!W10&amp;"|"&amp;'先声年度假设'!X10&amp;"|"&amp;'先声年度假设'!D14&amp;"|"&amp;'先声年度假设'!E14&amp;"|"&amp;'先声年度假设'!F14&amp;"|"&amp;'先声年度假设'!G14&amp;"|"&amp;'先声年度假设'!H14&amp;"|"&amp;'先声年度假设'!I14&amp;"|"&amp;'先声年度假设'!J14&amp;"|"&amp;'先声年度假设'!K14&amp;"|"&amp;'先声年度假设'!L14&amp;"|"&amp;'先声年度假设'!M14&amp;"|"&amp;'先声年度假设'!N14&amp;"|"&amp;'先声年度假设'!O14&amp;"|"&amp;'先声年度假设'!P14&amp;"|"&amp;'先声年度假设'!Q14&amp;"|"&amp;'先声年度假设'!R14&amp;"|"&amp;'先声年度假设'!S14&amp;"|"&amp;'先声年度假设'!T14&amp;"|"&amp;'先声年度假设'!U14&amp;"|"&amp;'先声年度假设'!V14&amp;"|"&amp;'先声年度假设'!W14&amp;"|"&amp;'先声年度假设'!X14&amp;"|"&amp;'先声年度假设'!D18&amp;"|"&amp;'先声年度假设'!E18&amp;"|"&amp;'先声年度假设'!F18&amp;"|"&amp;'先声年度假设'!G18&amp;"|"&amp;'先声年度假设'!H18&amp;"|"&amp;'先声年度假设'!I18&amp;"|"&amp;'先声年度假设'!J18&amp;"|"&amp;'先声年度假设'!K18&amp;"|"&amp;'先声年度假设'!L18&amp;"|"&amp;'先声年度假设'!M18&amp;"|"&amp;'先声年度假设'!N18&amp;"|"&amp;'先声年度假设'!O18&amp;"|"&amp;'先声年度假设'!P18&amp;"|"&amp;'先声年度假设'!Q18&amp;"|"&amp;'先声年度假设'!R18&amp;"|"&amp;'先声年度假设'!S18&amp;"|"&amp;'先声年度假设'!T18&amp;"|"&amp;'先声年度假设'!U18&amp;"|"&amp;'先声年度假设'!V18&amp;"|"&amp;'先声年度假设'!W18&amp;"|"&amp;'先声年度假设'!X18&amp;"|"&amp;'先声年度假设'!D22&amp;"|"&amp;'先声年度假设'!E22&amp;"|"&amp;'先声年度假设'!F22&amp;"|"&amp;'先声年度假设'!G22&amp;"|"&amp;'先声年度假设'!H22&amp;"|"&amp;'先声年度假设'!I22&amp;"|"&amp;'先声年度假设'!J22&amp;"|"&amp;'先声年度假设'!K22&amp;"|"&amp;'先声年度假设'!L22&amp;"|"&amp;'先声年度假设'!M22&amp;"|"&amp;'先声年度假设'!N22&amp;"|"&amp;'先声年度假设'!O22&amp;"|"&amp;'先声年度假设'!P22&amp;"|"&amp;'先声年度假设'!Q22&amp;"|"&amp;'先声年度假设'!R22&amp;"|"&amp;'先声年度假设'!S22&amp;"|"&amp;'先声年度假设'!T22&amp;"|"&amp;'先声年度假设'!U22&amp;"|"&amp;'先声年度假设'!V22&amp;"|"&amp;'先声年度假设'!W22&amp;"|"&amp;'先声年度假设'!X22&amp;"|"&amp;'先声年度假设'!D26&amp;"|"&amp;'先声年度假设'!E26&amp;"|"&amp;'先声年度假设'!F26&amp;"|"&amp;'先声年度假设'!G26&amp;"|"&amp;'先声年度假设'!H26&amp;"|"&amp;'先声年度假设'!I26&amp;"|"&amp;'先声年度假设'!J26&amp;"|"&amp;'先声年度假设'!K26&amp;"|"&amp;'先声年度假设'!L26&amp;"|"&amp;'先声年度假设'!M26&amp;"|"&amp;'先声年度假设'!N26&amp;"|"&amp;'先声年度假设'!O26&amp;"|"&amp;'先声年度假设'!P26&amp;"|"&amp;'先声年度假设'!Q26&amp;"|"&amp;'先声年度假设'!R26&amp;"|"&amp;'先声年度假设'!S26&amp;"|"&amp;'先声年度假设'!T26&amp;"|"&amp;'先声年度假设'!U26&amp;"|"&amp;'先声年度假设'!V26&amp;"|"&amp;'先声年度假设'!W26&amp;"|"&amp;'先声年度假设'!X26&amp;"|"&amp;'先声年度假设'!D30&amp;"|"&amp;'先声年度假设'!E30&amp;"|"&amp;'先声年度假设'!F30&amp;"|"&amp;'先声年度假设'!G30&amp;"|"&amp;'先声年度假设'!H30&amp;"|"&amp;'先声年度假设'!I30&amp;"|"&amp;'先声年度假设'!J30&amp;"|"&amp;'先声年度假设'!K30&amp;"|"&amp;'先声年度假设'!L30&amp;"|"&amp;'先声年度假设'!M30&amp;"|"&amp;'先声年度假设'!N30&amp;"|"&amp;'先声年度假设'!O30&amp;"|"&amp;'先声年度假设'!P30&amp;"|"&amp;'先声年度假设'!Q30&amp;"|"&amp;'先声年度假设'!R30&amp;"|"&amp;'先声年度假设'!S30&amp;"|"&amp;'先声年度假设'!T30&amp;"|"&amp;'先声年度假设'!U30&amp;"|"&amp;'先声年度假设'!V30&amp;"|"&amp;'先声年度假设'!W30&amp;"|"&amp;'先声年度假设'!X30&amp;"|"&amp;'先声年度假设'!D34&amp;"|"&amp;'先声年度假设'!E34&amp;"|"&amp;'先声年度假设'!F34&amp;"|"&amp;'先声年度假设'!G34&amp;"|"&amp;'先声年度假设'!H34&amp;"|"&amp;'先声年度假设'!I34&amp;"|"&amp;'先声年度假设'!J34&amp;"|"&amp;'先声年度假设'!K34&amp;"|"&amp;'先声年度假设'!L34&amp;"|"&amp;'先声年度假设'!M34&amp;"|"&amp;'先声年度假设'!N34&amp;"|"&amp;'先声年度假设'!O34&amp;"|"&amp;'先声年度假设'!P34&amp;"|"&amp;'先声年度假设'!Q34&amp;"|"&amp;'先声年度假设'!R34&amp;"|"&amp;'先声年度假设'!S34&amp;"|"&amp;'先声年度假设'!T34&amp;"|"&amp;'先声年度假设'!U34&amp;"|"&amp;'先声年度假设'!V34&amp;"|"&amp;'先声年度假设'!W34&amp;"|"&amp;'先声年度假设'!X34&amp;"|"&amp;'先声新药假设'!G10&amp;"|"&amp;'先声新药假设'!H10&amp;"|"&amp;'先声新药假设'!I10&amp;"|"&amp;'先声新药假设'!J10&amp;"|"&amp;'先声新药假设'!G14&amp;"|"&amp;'先声新药假设'!H14&amp;"|"&amp;'先声新药假设'!I14&amp;"|"&amp;'先声新药假设'!J14&amp;"|"&amp;'先声新药假设'!G18&amp;"|"&amp;'先声新药假设'!H18&amp;"|"&amp;'先声新药假设'!I18&amp;"|"&amp;'先声新药假设'!J18&amp;"|"&amp;'先声新药假设'!G22&amp;"|"&amp;'先声新药假设'!H22&amp;"|"&amp;'先声新药假设'!I22&amp;"|"&amp;'先声新药假设'!J22&amp;"|"&amp;'先声新药假设'!G26&amp;"|"&amp;'先声新药假设'!H26&amp;"|"&amp;'先声新药假设'!I26&amp;"|"&amp;'先声新药假设'!J26&amp;"|"&amp;'先声新药假设'!G30&amp;"|"&amp;'先声新药假设'!H30&amp;"|"&amp;'先声新药假设'!I30&amp;"|"&amp;'先声新药假设'!J30&amp;"|"&amp;'先声新药假设'!G34&amp;"|"&amp;'先声新药假设'!H34&amp;"|"&amp;'先声新药假设'!I34&amp;"|"&amp;'先声新药假设'!K34&amp;"|"&amp;'先声新药假设'!L34&amp;"|"&amp;'先声新药假设'!G38&amp;"|"&amp;'先声新药假设'!H38&amp;"|"&amp;'先声新药假设'!I38&amp;"|"&amp;'先声新药假设'!K38&amp;"|"&amp;'先声新药假设'!L38&amp;"|"&amp;'先声新药假设'!G42&amp;"|"&amp;'先声新药假设'!H42&amp;"|"&amp;'先声新药假设'!I42&amp;"|"&amp;'先声新药假设'!K42&amp;"|"&amp;'先声新药假设'!L42&amp;"|"&amp;'先声新药假设'!G46&amp;"|"&amp;'先声新药假设'!H46&amp;"|"&amp;'先声新药假设'!I46&amp;"|"&amp;'先声新药假设'!K46&amp;"|"&amp;'先声新药假设'!L46&amp;"|"&amp;'先声新药假设'!G50&amp;"|"&amp;'先声新药假设'!H50&amp;"|"&amp;'先声新药假设'!I50&amp;"|"&amp;'先声新药假设'!K50&amp;"|"&amp;'先声新药假设'!L50&amp;"|"&amp;'先声新药假设'!G54&amp;"|"&amp;'先声新药假设'!H54&amp;"|"&amp;'先声新药假设'!I54&amp;"|"&amp;'先声新药假设'!K54&amp;"|"&amp;'先声新药假设'!L54&amp;"|"&amp;'假设'!U858</x:f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</x:row>
    <x:row r="646" ht="23" customHeight="1">
      <x:c r="A646" s="11" t="str">
        <x:v>02096.HK</x:v>
      </x:c>
      <x:c r="B646" s="11" t="str">
        <x:v>先声药业</x:v>
      </x:c>
      <x:c r="C646" s="11" t="str">
        <x:v>三年</x:v>
      </x:c>
      <x:c r="D646" s="11" t="str">
        <x:v>悲观</x:v>
      </x:c>
      <x:c r="E646" s="11" t="n">
        <x:v>10.89</x:v>
      </x:c>
      <x:c r="F646" s="11" t="n">
        <x:v>3.44394808676471</x:v>
      </x:c>
      <x:c r="G646" s="11" t="n">
        <x:v>0.33000000000000007</x:v>
      </x:c>
      <x:c r="H646" s="25" t="n">
        <x:v>-0.6837513235294115</x:v>
      </x:c>
      <x:c r="I646" s="25" t="n">
        <x:v>-0.6534482932263811</x:v>
      </x:c>
      <x:c r="J646" s="25" t="n">
        <x:v>-0.29759216482564066</x:v>
      </x:c>
      <x:c r="K646" s="11" t="n">
        <x:v>0.2087241264705881</x:v>
      </x:c>
      <x:c r="L646" s="11" t="n">
        <x:v>15</x:v>
      </x:c>
      <x:c r="M646" s="11" t="n">
        <x:v>1.1</x:v>
      </x:c>
      <x:c r="N646" s="11" t="n">
        <x:v>0.33000000000000007</x:v>
      </x:c>
      <x:c r="O646" s="11" t="n">
        <x:v>9.4844</x:v>
      </x:c>
      <x:c r="P646" s="11" t="n">
        <x:v>0.059859308337902206</x:v>
      </x:c>
      <x:c r="Q646" s="11" t="n">
        <x:v>2.72</x:v>
      </x:c>
      <x:c r="R646" s="11" t="str">
        <x:v>simcere-v2-short-recognition-normal-product-risk-royalty-PE-cash</x:v>
      </x:c>
      <x:c r="S646" s="11" t="str">
        <x:v>2026-10-10</x:v>
      </x:c>
      <x:c r="T646" s="11" t="str">
        <x:f>IF(AND(SUM(IF(K646='假设'!E860,0,1),IF(L646='假设'!F860,0,1),IF(M646='假设'!G860,0,1),IF(N646='假设'!H860,0,1),IF(O646='假设'!I860,0,1),IF(P646='假设'!J860,0,1),IF(Q646='假设'!K860,0,1))=0,U646=V646),"已刷新","待刷新")</x:f>
        <x:v>已刷新</x:v>
      </x:c>
      <x:c r="U646" t="str"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  <x:c r="V646" t="str">
        <x:f>'先声资金假设'!C8&amp;"|"&amp;'先声资金假设'!D8&amp;"|"&amp;'先声资金假设'!E8&amp;"|"&amp;'先声资金假设'!F8&amp;"|"&amp;'先声资金假设'!G8&amp;"|"&amp;'先声资金假设'!H8&amp;"|"&amp;'先声资金假设'!I8&amp;"|"&amp;'先声资金假设'!J8&amp;"|"&amp;'先声资金假设'!K8&amp;"|"&amp;'先声资金假设'!L8&amp;"|"&amp;'先声资金假设'!M8&amp;"|"&amp;'先声资金假设'!N8&amp;"|"&amp;'先声资金假设'!O8&amp;"|"&amp;'先声资金假设'!P8&amp;"|"&amp;'先声资金假设'!Q8&amp;"|"&amp;'先声资金假设'!R8&amp;"|"&amp;'先声资金假设'!S8&amp;"|"&amp;'先声资金假设'!T8&amp;"|"&amp;'先声资金假设'!U8&amp;"|"&amp;'先声资金假设'!V8&amp;"|"&amp;'先声资金假设'!W8&amp;"|"&amp;'先声资金假设'!X8&amp;"|"&amp;'先声资金假设'!Y8&amp;"|"&amp;'先声资金假设'!Z8&amp;"|"&amp;'先声资金假设'!AA8&amp;"|"&amp;'先声年度假设'!D8&amp;"|"&amp;'先声年度假设'!E8&amp;"|"&amp;'先声年度假设'!F8&amp;"|"&amp;'先声年度假设'!G8&amp;"|"&amp;'先声年度假设'!H8&amp;"|"&amp;'先声年度假设'!I8&amp;"|"&amp;'先声年度假设'!J8&amp;"|"&amp;'先声年度假设'!K8&amp;"|"&amp;'先声年度假设'!L8&amp;"|"&amp;'先声年度假设'!M8&amp;"|"&amp;'先声年度假设'!N8&amp;"|"&amp;'先声年度假设'!O8&amp;"|"&amp;'先声年度假设'!P8&amp;"|"&amp;'先声年度假设'!Q8&amp;"|"&amp;'先声年度假设'!R8&amp;"|"&amp;'先声年度假设'!S8&amp;"|"&amp;'先声年度假设'!T8&amp;"|"&amp;'先声年度假设'!U8&amp;"|"&amp;'先声年度假设'!V8&amp;"|"&amp;'先声年度假设'!W8&amp;"|"&amp;'先声年度假设'!X8&amp;"|"&amp;'先声年度假设'!D12&amp;"|"&amp;'先声年度假设'!E12&amp;"|"&amp;'先声年度假设'!F12&amp;"|"&amp;'先声年度假设'!G12&amp;"|"&amp;'先声年度假设'!H12&amp;"|"&amp;'先声年度假设'!I12&amp;"|"&amp;'先声年度假设'!J12&amp;"|"&amp;'先声年度假设'!K12&amp;"|"&amp;'先声年度假设'!L12&amp;"|"&amp;'先声年度假设'!M12&amp;"|"&amp;'先声年度假设'!N12&amp;"|"&amp;'先声年度假设'!O12&amp;"|"&amp;'先声年度假设'!P12&amp;"|"&amp;'先声年度假设'!Q12&amp;"|"&amp;'先声年度假设'!R12&amp;"|"&amp;'先声年度假设'!S12&amp;"|"&amp;'先声年度假设'!T12&amp;"|"&amp;'先声年度假设'!U12&amp;"|"&amp;'先声年度假设'!V12&amp;"|"&amp;'先声年度假设'!W12&amp;"|"&amp;'先声年度假设'!X12&amp;"|"&amp;'先声年度假设'!D16&amp;"|"&amp;'先声年度假设'!E16&amp;"|"&amp;'先声年度假设'!F16&amp;"|"&amp;'先声年度假设'!G16&amp;"|"&amp;'先声年度假设'!H16&amp;"|"&amp;'先声年度假设'!I16&amp;"|"&amp;'先声年度假设'!J16&amp;"|"&amp;'先声年度假设'!K16&amp;"|"&amp;'先声年度假设'!L16&amp;"|"&amp;'先声年度假设'!M16&amp;"|"&amp;'先声年度假设'!N16&amp;"|"&amp;'先声年度假设'!O16&amp;"|"&amp;'先声年度假设'!P16&amp;"|"&amp;'先声年度假设'!Q16&amp;"|"&amp;'先声年度假设'!R16&amp;"|"&amp;'先声年度假设'!S16&amp;"|"&amp;'先声年度假设'!T16&amp;"|"&amp;'先声年度假设'!U16&amp;"|"&amp;'先声年度假设'!V16&amp;"|"&amp;'先声年度假设'!W16&amp;"|"&amp;'先声年度假设'!X16&amp;"|"&amp;'先声年度假设'!D20&amp;"|"&amp;'先声年度假设'!E20&amp;"|"&amp;'先声年度假设'!F20&amp;"|"&amp;'先声年度假设'!G20&amp;"|"&amp;'先声年度假设'!H20&amp;"|"&amp;'先声年度假设'!I20&amp;"|"&amp;'先声年度假设'!J20&amp;"|"&amp;'先声年度假设'!K20&amp;"|"&amp;'先声年度假设'!L20&amp;"|"&amp;'先声年度假设'!M20&amp;"|"&amp;'先声年度假设'!N20&amp;"|"&amp;'先声年度假设'!O20&amp;"|"&amp;'先声年度假设'!P20&amp;"|"&amp;'先声年度假设'!Q20&amp;"|"&amp;'先声年度假设'!R20&amp;"|"&amp;'先声年度假设'!S20&amp;"|"&amp;'先声年度假设'!T20&amp;"|"&amp;'先声年度假设'!U20&amp;"|"&amp;'先声年度假设'!V20&amp;"|"&amp;'先声年度假设'!W20&amp;"|"&amp;'先声年度假设'!X20&amp;"|"&amp;'先声年度假设'!D24&amp;"|"&amp;'先声年度假设'!E24&amp;"|"&amp;'先声年度假设'!F24&amp;"|"&amp;'先声年度假设'!G24&amp;"|"&amp;'先声年度假设'!H24&amp;"|"&amp;'先声年度假设'!I24&amp;"|"&amp;'先声年度假设'!J24&amp;"|"&amp;'先声年度假设'!K24&amp;"|"&amp;'先声年度假设'!L24&amp;"|"&amp;'先声年度假设'!M24&amp;"|"&amp;'先声年度假设'!N24&amp;"|"&amp;'先声年度假设'!O24&amp;"|"&amp;'先声年度假设'!P24&amp;"|"&amp;'先声年度假设'!Q24&amp;"|"&amp;'先声年度假设'!R24&amp;"|"&amp;'先声年度假设'!S24&amp;"|"&amp;'先声年度假设'!T24&amp;"|"&amp;'先声年度假设'!U24&amp;"|"&amp;'先声年度假设'!V24&amp;"|"&amp;'先声年度假设'!W24&amp;"|"&amp;'先声年度假设'!X24&amp;"|"&amp;'先声年度假设'!D28&amp;"|"&amp;'先声年度假设'!E28&amp;"|"&amp;'先声年度假设'!F28&amp;"|"&amp;'先声年度假设'!G28&amp;"|"&amp;'先声年度假设'!H28&amp;"|"&amp;'先声年度假设'!I28&amp;"|"&amp;'先声年度假设'!J28&amp;"|"&amp;'先声年度假设'!K28&amp;"|"&amp;'先声年度假设'!L28&amp;"|"&amp;'先声年度假设'!M28&amp;"|"&amp;'先声年度假设'!N28&amp;"|"&amp;'先声年度假设'!O28&amp;"|"&amp;'先声年度假设'!P28&amp;"|"&amp;'先声年度假设'!Q28&amp;"|"&amp;'先声年度假设'!R28&amp;"|"&amp;'先声年度假设'!S28&amp;"|"&amp;'先声年度假设'!T28&amp;"|"&amp;'先声年度假设'!U28&amp;"|"&amp;'先声年度假设'!V28&amp;"|"&amp;'先声年度假设'!W28&amp;"|"&amp;'先声年度假设'!X28&amp;"|"&amp;'先声年度假设'!D32&amp;"|"&amp;'先声年度假设'!E32&amp;"|"&amp;'先声年度假设'!F32&amp;"|"&amp;'先声年度假设'!G32&amp;"|"&amp;'先声年度假设'!H32&amp;"|"&amp;'先声年度假设'!I32&amp;"|"&amp;'先声年度假设'!J32&amp;"|"&amp;'先声年度假设'!K32&amp;"|"&amp;'先声年度假设'!L32&amp;"|"&amp;'先声年度假设'!M32&amp;"|"&amp;'先声年度假设'!N32&amp;"|"&amp;'先声年度假设'!O32&amp;"|"&amp;'先声年度假设'!P32&amp;"|"&amp;'先声年度假设'!Q32&amp;"|"&amp;'先声年度假设'!R32&amp;"|"&amp;'先声年度假设'!S32&amp;"|"&amp;'先声年度假设'!T32&amp;"|"&amp;'先声年度假设'!U32&amp;"|"&amp;'先声年度假设'!V32&amp;"|"&amp;'先声年度假设'!W32&amp;"|"&amp;'先声年度假设'!X32&amp;"|"&amp;'先声新药假设'!G8&amp;"|"&amp;'先声新药假设'!H8&amp;"|"&amp;'先声新药假设'!I8&amp;"|"&amp;'先声新药假设'!J8&amp;"|"&amp;'先声新药假设'!G12&amp;"|"&amp;'先声新药假设'!H12&amp;"|"&amp;'先声新药假设'!I12&amp;"|"&amp;'先声新药假设'!J12&amp;"|"&amp;'先声新药假设'!G16&amp;"|"&amp;'先声新药假设'!H16&amp;"|"&amp;'先声新药假设'!I16&amp;"|"&amp;'先声新药假设'!J16&amp;"|"&amp;'先声新药假设'!G20&amp;"|"&amp;'先声新药假设'!H20&amp;"|"&amp;'先声新药假设'!I20&amp;"|"&amp;'先声新药假设'!J20&amp;"|"&amp;'先声新药假设'!G24&amp;"|"&amp;'先声新药假设'!H24&amp;"|"&amp;'先声新药假设'!I24&amp;"|"&amp;'先声新药假设'!J24&amp;"|"&amp;'先声新药假设'!G28&amp;"|"&amp;'先声新药假设'!H28&amp;"|"&amp;'先声新药假设'!I28&amp;"|"&amp;'先声新药假设'!J28&amp;"|"&amp;'先声新药假设'!G32&amp;"|"&amp;'先声新药假设'!H32&amp;"|"&amp;'先声新药假设'!I32&amp;"|"&amp;'先声新药假设'!K32&amp;"|"&amp;'先声新药假设'!L32&amp;"|"&amp;'先声新药假设'!G36&amp;"|"&amp;'先声新药假设'!H36&amp;"|"&amp;'先声新药假设'!I36&amp;"|"&amp;'先声新药假设'!K36&amp;"|"&amp;'先声新药假设'!L36&amp;"|"&amp;'先声新药假设'!G40&amp;"|"&amp;'先声新药假设'!H40&amp;"|"&amp;'先声新药假设'!I40&amp;"|"&amp;'先声新药假设'!K40&amp;"|"&amp;'先声新药假设'!L40&amp;"|"&amp;'先声新药假设'!G44&amp;"|"&amp;'先声新药假设'!H44&amp;"|"&amp;'先声新药假设'!I44&amp;"|"&amp;'先声新药假设'!K44&amp;"|"&amp;'先声新药假设'!L44&amp;"|"&amp;'先声新药假设'!G48&amp;"|"&amp;'先声新药假设'!H48&amp;"|"&amp;'先声新药假设'!I48&amp;"|"&amp;'先声新药假设'!K48&amp;"|"&amp;'先声新药假设'!L48&amp;"|"&amp;'先声新药假设'!G52&amp;"|"&amp;'先声新药假设'!H52&amp;"|"&amp;'先声新药假设'!I52&amp;"|"&amp;'先声新药假设'!K52&amp;"|"&amp;'先声新药假设'!L52&amp;"|"&amp;'假设'!U860</x:f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</x:row>
    <x:row r="647" ht="23" customHeight="1">
      <x:c r="A647" s="11" t="str">
        <x:v>02096.HK</x:v>
      </x:c>
      <x:c r="B647" s="11" t="str">
        <x:v>先声药业</x:v>
      </x:c>
      <x:c r="C647" s="11" t="str">
        <x:v>三年</x:v>
      </x:c>
      <x:c r="D647" s="11" t="str">
        <x:v>基准</x:v>
      </x:c>
      <x:c r="E647" s="11" t="n">
        <x:v>10.89</x:v>
      </x:c>
      <x:c r="F647" s="11" t="n">
        <x:v>25.536724432394696</x:v>
      </x:c>
      <x:c r="G647" s="11" t="n">
        <x:v>0.8800000000000001</x:v>
      </x:c>
      <x:c r="H647" s="25" t="n">
        <x:v>1.3449701039848203</x:v>
      </x:c>
      <x:c r="I647" s="25" t="n">
        <x:v>1.4257781847929012</x:v>
      </x:c>
      <x:c r="J647" s="25" t="n">
        <x:v>0.3436423856901931</x:v>
      </x:c>
      <x:c r="K647" s="11" t="n">
        <x:v>1.0552365467931692</x:v>
      </x:c>
      <x:c r="L647" s="11" t="n">
        <x:v>22</x:v>
      </x:c>
      <x:c r="M647" s="11" t="n">
        <x:v>1.1</x:v>
      </x:c>
      <x:c r="N647" s="11" t="n">
        <x:v>0.8800000000000001</x:v>
      </x:c>
      <x:c r="O647" s="11" t="n">
        <x:v>16.03024</x:v>
      </x:c>
      <x:c r="P647" s="11" t="n">
        <x:v>0.17345643613570355</x:v>
      </x:c>
      <x:c r="Q647" s="11" t="n">
        <x:v>2.635</x:v>
      </x:c>
      <x:c r="R647" s="11" t="str">
        <x:v>simcere-v2-short-recognition-normal-product-risk-royalty-PE-cash</x:v>
      </x:c>
      <x:c r="S647" s="11" t="str">
        <x:v>2026-10-10</x:v>
      </x:c>
      <x:c r="T647" s="11" t="str">
        <x:f>IF(AND(SUM(IF(K647='假设'!E861,0,1),IF(L647='假设'!F861,0,1),IF(M647='假设'!G861,0,1),IF(N647='假设'!H861,0,1),IF(O647='假设'!I861,0,1),IF(P647='假设'!J861,0,1),IF(Q647='假设'!K861,0,1))=0,U647=V647),"已刷新","待刷新")</x:f>
        <x:v>已刷新</x:v>
      </x:c>
      <x:c r="U647" t="str"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  <x:c r="V647" t="str">
        <x:f>'先声资金假设'!C9&amp;"|"&amp;'先声资金假设'!D9&amp;"|"&amp;'先声资金假设'!E9&amp;"|"&amp;'先声资金假设'!F9&amp;"|"&amp;'先声资金假设'!G9&amp;"|"&amp;'先声资金假设'!H9&amp;"|"&amp;'先声资金假设'!I9&amp;"|"&amp;'先声资金假设'!J9&amp;"|"&amp;'先声资金假设'!K9&amp;"|"&amp;'先声资金假设'!L9&amp;"|"&amp;'先声资金假设'!M9&amp;"|"&amp;'先声资金假设'!N9&amp;"|"&amp;'先声资金假设'!O9&amp;"|"&amp;'先声资金假设'!P9&amp;"|"&amp;'先声资金假设'!Q9&amp;"|"&amp;'先声资金假设'!R9&amp;"|"&amp;'先声资金假设'!S9&amp;"|"&amp;'先声资金假设'!T9&amp;"|"&amp;'先声资金假设'!U9&amp;"|"&amp;'先声资金假设'!V9&amp;"|"&amp;'先声资金假设'!W9&amp;"|"&amp;'先声资金假设'!X9&amp;"|"&amp;'先声资金假设'!Y9&amp;"|"&amp;'先声资金假设'!Z9&amp;"|"&amp;'先声资金假设'!AA9&amp;"|"&amp;'先声年度假设'!D9&amp;"|"&amp;'先声年度假设'!E9&amp;"|"&amp;'先声年度假设'!F9&amp;"|"&amp;'先声年度假设'!G9&amp;"|"&amp;'先声年度假设'!H9&amp;"|"&amp;'先声年度假设'!I9&amp;"|"&amp;'先声年度假设'!J9&amp;"|"&amp;'先声年度假设'!K9&amp;"|"&amp;'先声年度假设'!L9&amp;"|"&amp;'先声年度假设'!M9&amp;"|"&amp;'先声年度假设'!N9&amp;"|"&amp;'先声年度假设'!O9&amp;"|"&amp;'先声年度假设'!P9&amp;"|"&amp;'先声年度假设'!Q9&amp;"|"&amp;'先声年度假设'!R9&amp;"|"&amp;'先声年度假设'!S9&amp;"|"&amp;'先声年度假设'!T9&amp;"|"&amp;'先声年度假设'!U9&amp;"|"&amp;'先声年度假设'!V9&amp;"|"&amp;'先声年度假设'!W9&amp;"|"&amp;'先声年度假设'!X9&amp;"|"&amp;'先声年度假设'!D13&amp;"|"&amp;'先声年度假设'!E13&amp;"|"&amp;'先声年度假设'!F13&amp;"|"&amp;'先声年度假设'!G13&amp;"|"&amp;'先声年度假设'!H13&amp;"|"&amp;'先声年度假设'!I13&amp;"|"&amp;'先声年度假设'!J13&amp;"|"&amp;'先声年度假设'!K13&amp;"|"&amp;'先声年度假设'!L13&amp;"|"&amp;'先声年度假设'!M13&amp;"|"&amp;'先声年度假设'!N13&amp;"|"&amp;'先声年度假设'!O13&amp;"|"&amp;'先声年度假设'!P13&amp;"|"&amp;'先声年度假设'!Q13&amp;"|"&amp;'先声年度假设'!R13&amp;"|"&amp;'先声年度假设'!S13&amp;"|"&amp;'先声年度假设'!T13&amp;"|"&amp;'先声年度假设'!U13&amp;"|"&amp;'先声年度假设'!V13&amp;"|"&amp;'先声年度假设'!W13&amp;"|"&amp;'先声年度假设'!X13&amp;"|"&amp;'先声年度假设'!D17&amp;"|"&amp;'先声年度假设'!E17&amp;"|"&amp;'先声年度假设'!F17&amp;"|"&amp;'先声年度假设'!G17&amp;"|"&amp;'先声年度假设'!H17&amp;"|"&amp;'先声年度假设'!I17&amp;"|"&amp;'先声年度假设'!J17&amp;"|"&amp;'先声年度假设'!K17&amp;"|"&amp;'先声年度假设'!L17&amp;"|"&amp;'先声年度假设'!M17&amp;"|"&amp;'先声年度假设'!N17&amp;"|"&amp;'先声年度假设'!O17&amp;"|"&amp;'先声年度假设'!P17&amp;"|"&amp;'先声年度假设'!Q17&amp;"|"&amp;'先声年度假设'!R17&amp;"|"&amp;'先声年度假设'!S17&amp;"|"&amp;'先声年度假设'!T17&amp;"|"&amp;'先声年度假设'!U17&amp;"|"&amp;'先声年度假设'!V17&amp;"|"&amp;'先声年度假设'!W17&amp;"|"&amp;'先声年度假设'!X17&amp;"|"&amp;'先声年度假设'!D21&amp;"|"&amp;'先声年度假设'!E21&amp;"|"&amp;'先声年度假设'!F21&amp;"|"&amp;'先声年度假设'!G21&amp;"|"&amp;'先声年度假设'!H21&amp;"|"&amp;'先声年度假设'!I21&amp;"|"&amp;'先声年度假设'!J21&amp;"|"&amp;'先声年度假设'!K21&amp;"|"&amp;'先声年度假设'!L21&amp;"|"&amp;'先声年度假设'!M21&amp;"|"&amp;'先声年度假设'!N21&amp;"|"&amp;'先声年度假设'!O21&amp;"|"&amp;'先声年度假设'!P21&amp;"|"&amp;'先声年度假设'!Q21&amp;"|"&amp;'先声年度假设'!R21&amp;"|"&amp;'先声年度假设'!S21&amp;"|"&amp;'先声年度假设'!T21&amp;"|"&amp;'先声年度假设'!U21&amp;"|"&amp;'先声年度假设'!V21&amp;"|"&amp;'先声年度假设'!W21&amp;"|"&amp;'先声年度假设'!X21&amp;"|"&amp;'先声年度假设'!D25&amp;"|"&amp;'先声年度假设'!E25&amp;"|"&amp;'先声年度假设'!F25&amp;"|"&amp;'先声年度假设'!G25&amp;"|"&amp;'先声年度假设'!H25&amp;"|"&amp;'先声年度假设'!I25&amp;"|"&amp;'先声年度假设'!J25&amp;"|"&amp;'先声年度假设'!K25&amp;"|"&amp;'先声年度假设'!L25&amp;"|"&amp;'先声年度假设'!M25&amp;"|"&amp;'先声年度假设'!N25&amp;"|"&amp;'先声年度假设'!O25&amp;"|"&amp;'先声年度假设'!P25&amp;"|"&amp;'先声年度假设'!Q25&amp;"|"&amp;'先声年度假设'!R25&amp;"|"&amp;'先声年度假设'!S25&amp;"|"&amp;'先声年度假设'!T25&amp;"|"&amp;'先声年度假设'!U25&amp;"|"&amp;'先声年度假设'!V25&amp;"|"&amp;'先声年度假设'!W25&amp;"|"&amp;'先声年度假设'!X25&amp;"|"&amp;'先声年度假设'!D29&amp;"|"&amp;'先声年度假设'!E29&amp;"|"&amp;'先声年度假设'!F29&amp;"|"&amp;'先声年度假设'!G29&amp;"|"&amp;'先声年度假设'!H29&amp;"|"&amp;'先声年度假设'!I29&amp;"|"&amp;'先声年度假设'!J29&amp;"|"&amp;'先声年度假设'!K29&amp;"|"&amp;'先声年度假设'!L29&amp;"|"&amp;'先声年度假设'!M29&amp;"|"&amp;'先声年度假设'!N29&amp;"|"&amp;'先声年度假设'!O29&amp;"|"&amp;'先声年度假设'!P29&amp;"|"&amp;'先声年度假设'!Q29&amp;"|"&amp;'先声年度假设'!R29&amp;"|"&amp;'先声年度假设'!S29&amp;"|"&amp;'先声年度假设'!T29&amp;"|"&amp;'先声年度假设'!U29&amp;"|"&amp;'先声年度假设'!V29&amp;"|"&amp;'先声年度假设'!W29&amp;"|"&amp;'先声年度假设'!X29&amp;"|"&amp;'先声年度假设'!D33&amp;"|"&amp;'先声年度假设'!E33&amp;"|"&amp;'先声年度假设'!F33&amp;"|"&amp;'先声年度假设'!G33&amp;"|"&amp;'先声年度假设'!H33&amp;"|"&amp;'先声年度假设'!I33&amp;"|"&amp;'先声年度假设'!J33&amp;"|"&amp;'先声年度假设'!K33&amp;"|"&amp;'先声年度假设'!L33&amp;"|"&amp;'先声年度假设'!M33&amp;"|"&amp;'先声年度假设'!N33&amp;"|"&amp;'先声年度假设'!O33&amp;"|"&amp;'先声年度假设'!P33&amp;"|"&amp;'先声年度假设'!Q33&amp;"|"&amp;'先声年度假设'!R33&amp;"|"&amp;'先声年度假设'!S33&amp;"|"&amp;'先声年度假设'!T33&amp;"|"&amp;'先声年度假设'!U33&amp;"|"&amp;'先声年度假设'!V33&amp;"|"&amp;'先声年度假设'!W33&amp;"|"&amp;'先声年度假设'!X33&amp;"|"&amp;'先声新药假设'!G9&amp;"|"&amp;'先声新药假设'!H9&amp;"|"&amp;'先声新药假设'!I9&amp;"|"&amp;'先声新药假设'!J9&amp;"|"&amp;'先声新药假设'!G13&amp;"|"&amp;'先声新药假设'!H13&amp;"|"&amp;'先声新药假设'!I13&amp;"|"&amp;'先声新药假设'!J13&amp;"|"&amp;'先声新药假设'!G17&amp;"|"&amp;'先声新药假设'!H17&amp;"|"&amp;'先声新药假设'!I17&amp;"|"&amp;'先声新药假设'!J17&amp;"|"&amp;'先声新药假设'!G21&amp;"|"&amp;'先声新药假设'!H21&amp;"|"&amp;'先声新药假设'!I21&amp;"|"&amp;'先声新药假设'!J21&amp;"|"&amp;'先声新药假设'!G25&amp;"|"&amp;'先声新药假设'!H25&amp;"|"&amp;'先声新药假设'!I25&amp;"|"&amp;'先声新药假设'!J25&amp;"|"&amp;'先声新药假设'!G29&amp;"|"&amp;'先声新药假设'!H29&amp;"|"&amp;'先声新药假设'!I29&amp;"|"&amp;'先声新药假设'!J29&amp;"|"&amp;'先声新药假设'!G33&amp;"|"&amp;'先声新药假设'!H33&amp;"|"&amp;'先声新药假设'!I33&amp;"|"&amp;'先声新药假设'!K33&amp;"|"&amp;'先声新药假设'!L33&amp;"|"&amp;'先声新药假设'!G37&amp;"|"&amp;'先声新药假设'!H37&amp;"|"&amp;'先声新药假设'!I37&amp;"|"&amp;'先声新药假设'!K37&amp;"|"&amp;'先声新药假设'!L37&amp;"|"&amp;'先声新药假设'!G41&amp;"|"&amp;'先声新药假设'!H41&amp;"|"&amp;'先声新药假设'!I41&amp;"|"&amp;'先声新药假设'!K41&amp;"|"&amp;'先声新药假设'!L41&amp;"|"&amp;'先声新药假设'!G45&amp;"|"&amp;'先声新药假设'!H45&amp;"|"&amp;'先声新药假设'!I45&amp;"|"&amp;'先声新药假设'!K45&amp;"|"&amp;'先声新药假设'!L45&amp;"|"&amp;'先声新药假设'!G49&amp;"|"&amp;'先声新药假设'!H49&amp;"|"&amp;'先声新药假设'!I49&amp;"|"&amp;'先声新药假设'!K49&amp;"|"&amp;'先声新药假设'!L49&amp;"|"&amp;'先声新药假设'!G53&amp;"|"&amp;'先声新药假设'!H53&amp;"|"&amp;'先声新药假设'!I53&amp;"|"&amp;'先声新药假设'!K53&amp;"|"&amp;'先声新药假设'!L53&amp;"|"&amp;'假设'!U861</x:f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</x:row>
    <x:row r="648" ht="23" customHeight="1">
      <x:c r="A648" s="11" t="str">
        <x:v>02096.HK</x:v>
      </x:c>
      <x:c r="B648" s="11" t="str">
        <x:v>先声药业</x:v>
      </x:c>
      <x:c r="C648" s="11" t="str">
        <x:v>三年</x:v>
      </x:c>
      <x:c r="D648" s="11" t="str">
        <x:v>乐观</x:v>
      </x:c>
      <x:c r="E648" s="11" t="n">
        <x:v>10.89</x:v>
      </x:c>
      <x:c r="F648" s="11" t="n">
        <x:v>69.86898610076335</x:v>
      </x:c>
      <x:c r="G648" s="11" t="n">
        <x:v>1.2980000000000003</x:v>
      </x:c>
      <x:c r="H648" s="25" t="n">
        <x:v>5.415884857737681</x:v>
      </x:c>
      <x:c r="I648" s="25" t="n">
        <x:v>5.535076776929601</x:v>
      </x:c>
      <x:c r="J648" s="25" t="n">
        <x:v>0.8696065952458778</x:v>
      </x:c>
      <x:c r="K648" s="11" t="n">
        <x:v>2.3524911145038163</x:v>
      </x:c>
      <x:c r="L648" s="11" t="n">
        <x:v>27</x:v>
      </x:c>
      <x:c r="M648" s="11" t="n">
        <x:v>1.1</x:v>
      </x:c>
      <x:c r="N648" s="11" t="n">
        <x:v>1.2980000000000003</x:v>
      </x:c>
      <x:c r="O648" s="11" t="n">
        <x:v>22.6818</x:v>
      </x:c>
      <x:c r="P648" s="11" t="n">
        <x:v>0.2717388708127221</x:v>
      </x:c>
      <x:c r="Q648" s="11" t="n">
        <x:v>2.62</x:v>
      </x:c>
      <x:c r="R648" s="11" t="str">
        <x:v>simcere-v2-short-recognition-normal-product-risk-royalty-PE-cash</x:v>
      </x:c>
      <x:c r="S648" s="11" t="str">
        <x:v>2026-10-10</x:v>
      </x:c>
      <x:c r="T648" s="11" t="str">
        <x:f>IF(AND(SUM(IF(K648='假设'!E862,0,1),IF(L648='假设'!F862,0,1),IF(M648='假设'!G862,0,1),IF(N648='假设'!H862,0,1),IF(O648='假设'!I862,0,1),IF(P648='假设'!J862,0,1),IF(Q648='假设'!K862,0,1))=0,U648=V648),"已刷新","待刷新")</x:f>
        <x:v>已刷新</x:v>
      </x:c>
      <x:c r="U648" t="str"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  <x:c r="V648" t="str">
        <x:f>'先声资金假设'!C10&amp;"|"&amp;'先声资金假设'!D10&amp;"|"&amp;'先声资金假设'!E10&amp;"|"&amp;'先声资金假设'!F10&amp;"|"&amp;'先声资金假设'!G10&amp;"|"&amp;'先声资金假设'!H10&amp;"|"&amp;'先声资金假设'!I10&amp;"|"&amp;'先声资金假设'!J10&amp;"|"&amp;'先声资金假设'!K10&amp;"|"&amp;'先声资金假设'!L10&amp;"|"&amp;'先声资金假设'!M10&amp;"|"&amp;'先声资金假设'!N10&amp;"|"&amp;'先声资金假设'!O10&amp;"|"&amp;'先声资金假设'!P10&amp;"|"&amp;'先声资金假设'!Q10&amp;"|"&amp;'先声资金假设'!R10&amp;"|"&amp;'先声资金假设'!S10&amp;"|"&amp;'先声资金假设'!T10&amp;"|"&amp;'先声资金假设'!U10&amp;"|"&amp;'先声资金假设'!V10&amp;"|"&amp;'先声资金假设'!W10&amp;"|"&amp;'先声资金假设'!X10&amp;"|"&amp;'先声资金假设'!Y10&amp;"|"&amp;'先声资金假设'!Z10&amp;"|"&amp;'先声资金假设'!AA10&amp;"|"&amp;'先声年度假设'!D10&amp;"|"&amp;'先声年度假设'!E10&amp;"|"&amp;'先声年度假设'!F10&amp;"|"&amp;'先声年度假设'!G10&amp;"|"&amp;'先声年度假设'!H10&amp;"|"&amp;'先声年度假设'!I10&amp;"|"&amp;'先声年度假设'!J10&amp;"|"&amp;'先声年度假设'!K10&amp;"|"&amp;'先声年度假设'!L10&amp;"|"&amp;'先声年度假设'!M10&amp;"|"&amp;'先声年度假设'!N10&amp;"|"&amp;'先声年度假设'!O10&amp;"|"&amp;'先声年度假设'!P10&amp;"|"&amp;'先声年度假设'!Q10&amp;"|"&amp;'先声年度假设'!R10&amp;"|"&amp;'先声年度假设'!S10&amp;"|"&amp;'先声年度假设'!T10&amp;"|"&amp;'先声年度假设'!U10&amp;"|"&amp;'先声年度假设'!V10&amp;"|"&amp;'先声年度假设'!W10&amp;"|"&amp;'先声年度假设'!X10&amp;"|"&amp;'先声年度假设'!D14&amp;"|"&amp;'先声年度假设'!E14&amp;"|"&amp;'先声年度假设'!F14&amp;"|"&amp;'先声年度假设'!G14&amp;"|"&amp;'先声年度假设'!H14&amp;"|"&amp;'先声年度假设'!I14&amp;"|"&amp;'先声年度假设'!J14&amp;"|"&amp;'先声年度假设'!K14&amp;"|"&amp;'先声年度假设'!L14&amp;"|"&amp;'先声年度假设'!M14&amp;"|"&amp;'先声年度假设'!N14&amp;"|"&amp;'先声年度假设'!O14&amp;"|"&amp;'先声年度假设'!P14&amp;"|"&amp;'先声年度假设'!Q14&amp;"|"&amp;'先声年度假设'!R14&amp;"|"&amp;'先声年度假设'!S14&amp;"|"&amp;'先声年度假设'!T14&amp;"|"&amp;'先声年度假设'!U14&amp;"|"&amp;'先声年度假设'!V14&amp;"|"&amp;'先声年度假设'!W14&amp;"|"&amp;'先声年度假设'!X14&amp;"|"&amp;'先声年度假设'!D18&amp;"|"&amp;'先声年度假设'!E18&amp;"|"&amp;'先声年度假设'!F18&amp;"|"&amp;'先声年度假设'!G18&amp;"|"&amp;'先声年度假设'!H18&amp;"|"&amp;'先声年度假设'!I18&amp;"|"&amp;'先声年度假设'!J18&amp;"|"&amp;'先声年度假设'!K18&amp;"|"&amp;'先声年度假设'!L18&amp;"|"&amp;'先声年度假设'!M18&amp;"|"&amp;'先声年度假设'!N18&amp;"|"&amp;'先声年度假设'!O18&amp;"|"&amp;'先声年度假设'!P18&amp;"|"&amp;'先声年度假设'!Q18&amp;"|"&amp;'先声年度假设'!R18&amp;"|"&amp;'先声年度假设'!S18&amp;"|"&amp;'先声年度假设'!T18&amp;"|"&amp;'先声年度假设'!U18&amp;"|"&amp;'先声年度假设'!V18&amp;"|"&amp;'先声年度假设'!W18&amp;"|"&amp;'先声年度假设'!X18&amp;"|"&amp;'先声年度假设'!D22&amp;"|"&amp;'先声年度假设'!E22&amp;"|"&amp;'先声年度假设'!F22&amp;"|"&amp;'先声年度假设'!G22&amp;"|"&amp;'先声年度假设'!H22&amp;"|"&amp;'先声年度假设'!I22&amp;"|"&amp;'先声年度假设'!J22&amp;"|"&amp;'先声年度假设'!K22&amp;"|"&amp;'先声年度假设'!L22&amp;"|"&amp;'先声年度假设'!M22&amp;"|"&amp;'先声年度假设'!N22&amp;"|"&amp;'先声年度假设'!O22&amp;"|"&amp;'先声年度假设'!P22&amp;"|"&amp;'先声年度假设'!Q22&amp;"|"&amp;'先声年度假设'!R22&amp;"|"&amp;'先声年度假设'!S22&amp;"|"&amp;'先声年度假设'!T22&amp;"|"&amp;'先声年度假设'!U22&amp;"|"&amp;'先声年度假设'!V22&amp;"|"&amp;'先声年度假设'!W22&amp;"|"&amp;'先声年度假设'!X22&amp;"|"&amp;'先声年度假设'!D26&amp;"|"&amp;'先声年度假设'!E26&amp;"|"&amp;'先声年度假设'!F26&amp;"|"&amp;'先声年度假设'!G26&amp;"|"&amp;'先声年度假设'!H26&amp;"|"&amp;'先声年度假设'!I26&amp;"|"&amp;'先声年度假设'!J26&amp;"|"&amp;'先声年度假设'!K26&amp;"|"&amp;'先声年度假设'!L26&amp;"|"&amp;'先声年度假设'!M26&amp;"|"&amp;'先声年度假设'!N26&amp;"|"&amp;'先声年度假设'!O26&amp;"|"&amp;'先声年度假设'!P26&amp;"|"&amp;'先声年度假设'!Q26&amp;"|"&amp;'先声年度假设'!R26&amp;"|"&amp;'先声年度假设'!S26&amp;"|"&amp;'先声年度假设'!T26&amp;"|"&amp;'先声年度假设'!U26&amp;"|"&amp;'先声年度假设'!V26&amp;"|"&amp;'先声年度假设'!W26&amp;"|"&amp;'先声年度假设'!X26&amp;"|"&amp;'先声年度假设'!D30&amp;"|"&amp;'先声年度假设'!E30&amp;"|"&amp;'先声年度假设'!F30&amp;"|"&amp;'先声年度假设'!G30&amp;"|"&amp;'先声年度假设'!H30&amp;"|"&amp;'先声年度假设'!I30&amp;"|"&amp;'先声年度假设'!J30&amp;"|"&amp;'先声年度假设'!K30&amp;"|"&amp;'先声年度假设'!L30&amp;"|"&amp;'先声年度假设'!M30&amp;"|"&amp;'先声年度假设'!N30&amp;"|"&amp;'先声年度假设'!O30&amp;"|"&amp;'先声年度假设'!P30&amp;"|"&amp;'先声年度假设'!Q30&amp;"|"&amp;'先声年度假设'!R30&amp;"|"&amp;'先声年度假设'!S30&amp;"|"&amp;'先声年度假设'!T30&amp;"|"&amp;'先声年度假设'!U30&amp;"|"&amp;'先声年度假设'!V30&amp;"|"&amp;'先声年度假设'!W30&amp;"|"&amp;'先声年度假设'!X30&amp;"|"&amp;'先声年度假设'!D34&amp;"|"&amp;'先声年度假设'!E34&amp;"|"&amp;'先声年度假设'!F34&amp;"|"&amp;'先声年度假设'!G34&amp;"|"&amp;'先声年度假设'!H34&amp;"|"&amp;'先声年度假设'!I34&amp;"|"&amp;'先声年度假设'!J34&amp;"|"&amp;'先声年度假设'!K34&amp;"|"&amp;'先声年度假设'!L34&amp;"|"&amp;'先声年度假设'!M34&amp;"|"&amp;'先声年度假设'!N34&amp;"|"&amp;'先声年度假设'!O34&amp;"|"&amp;'先声年度假设'!P34&amp;"|"&amp;'先声年度假设'!Q34&amp;"|"&amp;'先声年度假设'!R34&amp;"|"&amp;'先声年度假设'!S34&amp;"|"&amp;'先声年度假设'!T34&amp;"|"&amp;'先声年度假设'!U34&amp;"|"&amp;'先声年度假设'!V34&amp;"|"&amp;'先声年度假设'!W34&amp;"|"&amp;'先声年度假设'!X34&amp;"|"&amp;'先声新药假设'!G10&amp;"|"&amp;'先声新药假设'!H10&amp;"|"&amp;'先声新药假设'!I10&amp;"|"&amp;'先声新药假设'!J10&amp;"|"&amp;'先声新药假设'!G14&amp;"|"&amp;'先声新药假设'!H14&amp;"|"&amp;'先声新药假设'!I14&amp;"|"&amp;'先声新药假设'!J14&amp;"|"&amp;'先声新药假设'!G18&amp;"|"&amp;'先声新药假设'!H18&amp;"|"&amp;'先声新药假设'!I18&amp;"|"&amp;'先声新药假设'!J18&amp;"|"&amp;'先声新药假设'!G22&amp;"|"&amp;'先声新药假设'!H22&amp;"|"&amp;'先声新药假设'!I22&amp;"|"&amp;'先声新药假设'!J22&amp;"|"&amp;'先声新药假设'!G26&amp;"|"&amp;'先声新药假设'!H26&amp;"|"&amp;'先声新药假设'!I26&amp;"|"&amp;'先声新药假设'!J26&amp;"|"&amp;'先声新药假设'!G30&amp;"|"&amp;'先声新药假设'!H30&amp;"|"&amp;'先声新药假设'!I30&amp;"|"&amp;'先声新药假设'!J30&amp;"|"&amp;'先声新药假设'!G34&amp;"|"&amp;'先声新药假设'!H34&amp;"|"&amp;'先声新药假设'!I34&amp;"|"&amp;'先声新药假设'!K34&amp;"|"&amp;'先声新药假设'!L34&amp;"|"&amp;'先声新药假设'!G38&amp;"|"&amp;'先声新药假设'!H38&amp;"|"&amp;'先声新药假设'!I38&amp;"|"&amp;'先声新药假设'!K38&amp;"|"&amp;'先声新药假设'!L38&amp;"|"&amp;'先声新药假设'!G42&amp;"|"&amp;'先声新药假设'!H42&amp;"|"&amp;'先声新药假设'!I42&amp;"|"&amp;'先声新药假设'!K42&amp;"|"&amp;'先声新药假设'!L42&amp;"|"&amp;'先声新药假设'!G46&amp;"|"&amp;'先声新药假设'!H46&amp;"|"&amp;'先声新药假设'!I46&amp;"|"&amp;'先声新药假设'!K46&amp;"|"&amp;'先声新药假设'!L46&amp;"|"&amp;'先声新药假设'!G50&amp;"|"&amp;'先声新药假设'!H50&amp;"|"&amp;'先声新药假设'!I50&amp;"|"&amp;'先声新药假设'!K50&amp;"|"&amp;'先声新药假设'!L50&amp;"|"&amp;'先声新药假设'!G54&amp;"|"&amp;'先声新药假设'!H54&amp;"|"&amp;'先声新药假设'!I54&amp;"|"&amp;'先声新药假设'!K54&amp;"|"&amp;'先声新药假设'!L54&amp;"|"&amp;'假设'!U862</x:f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</x:row>
    <x:row r="649" ht="23" customHeight="1">
      <x:c r="A649" s="11" t="str">
        <x:v>02096.HK</x:v>
      </x:c>
      <x:c r="B649" s="11" t="str">
        <x:v>先声药业</x:v>
      </x:c>
      <x:c r="C649" s="11" t="str">
        <x:v>五年</x:v>
      </x:c>
      <x:c r="D649" s="11" t="str">
        <x:v>悲观</x:v>
      </x:c>
      <x:c r="E649" s="11" t="n">
        <x:v>10.89</x:v>
      </x:c>
      <x:c r="F649" s="11" t="n">
        <x:v>3.6924032439329215</x:v>
      </x:c>
      <x:c r="G649" s="11" t="n">
        <x:v>0.5830000000000001</x:v>
      </x:c>
      <x:c r="H649" s="25" t="n">
        <x:v>-0.6609363412366464</x:v>
      </x:c>
      <x:c r="I649" s="25" t="n">
        <x:v>-0.6074009877012928</x:v>
      </x:c>
      <x:c r="J649" s="25" t="n">
        <x:v>-0.17055070846929288</x:v>
      </x:c>
      <x:c r="K649" s="11" t="n">
        <x:v>0.25821001705824576</x:v>
      </x:c>
      <x:c r="L649" s="11" t="n">
        <x:v>13</x:v>
      </x:c>
      <x:c r="M649" s="11" t="n">
        <x:v>1.1</x:v>
      </x:c>
      <x:c r="N649" s="11" t="n">
        <x:v>0.5830000000000001</x:v>
      </x:c>
      <x:c r="O649" s="11" t="n">
        <x:v>10.169988</x:v>
      </x:c>
      <x:c r="P649" s="11" t="n">
        <x:v>0.07235982467393279</x:v>
      </x:c>
      <x:c r="Q649" s="11" t="n">
        <x:v>2.85</x:v>
      </x:c>
      <x:c r="R649" s="11" t="str">
        <x:v>simcere-v2-short-recognition-normal-product-risk-royalty-PE-cash</x:v>
      </x:c>
      <x:c r="S649" s="11" t="str">
        <x:v>2026-10-10</x:v>
      </x:c>
      <x:c r="T649" s="11" t="str">
        <x:f>IF(AND(SUM(IF(K649='假设'!E864,0,1),IF(L649='假设'!F864,0,1),IF(M649='假设'!G864,0,1),IF(N649='假设'!H864,0,1),IF(O649='假设'!I864,0,1),IF(P649='假设'!J864,0,1),IF(Q649='假设'!K864,0,1))=0,U649=V649),"已刷新","待刷新")</x:f>
        <x:v>已刷新</x:v>
      </x:c>
      <x:c r="U649" t="str"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  <x:c r="V649" t="str">
        <x:f>'先声资金假设'!C8&amp;"|"&amp;'先声资金假设'!D8&amp;"|"&amp;'先声资金假设'!E8&amp;"|"&amp;'先声资金假设'!F8&amp;"|"&amp;'先声资金假设'!G8&amp;"|"&amp;'先声资金假设'!H8&amp;"|"&amp;'先声资金假设'!I8&amp;"|"&amp;'先声资金假设'!J8&amp;"|"&amp;'先声资金假设'!K8&amp;"|"&amp;'先声资金假设'!L8&amp;"|"&amp;'先声资金假设'!M8&amp;"|"&amp;'先声资金假设'!N8&amp;"|"&amp;'先声资金假设'!O8&amp;"|"&amp;'先声资金假设'!P8&amp;"|"&amp;'先声资金假设'!Q8&amp;"|"&amp;'先声资金假设'!R8&amp;"|"&amp;'先声资金假设'!S8&amp;"|"&amp;'先声资金假设'!T8&amp;"|"&amp;'先声资金假设'!U8&amp;"|"&amp;'先声资金假设'!V8&amp;"|"&amp;'先声资金假设'!W8&amp;"|"&amp;'先声资金假设'!X8&amp;"|"&amp;'先声资金假设'!Y8&amp;"|"&amp;'先声资金假设'!Z8&amp;"|"&amp;'先声资金假设'!AA8&amp;"|"&amp;'先声年度假设'!D8&amp;"|"&amp;'先声年度假设'!E8&amp;"|"&amp;'先声年度假设'!F8&amp;"|"&amp;'先声年度假设'!G8&amp;"|"&amp;'先声年度假设'!H8&amp;"|"&amp;'先声年度假设'!I8&amp;"|"&amp;'先声年度假设'!J8&amp;"|"&amp;'先声年度假设'!K8&amp;"|"&amp;'先声年度假设'!L8&amp;"|"&amp;'先声年度假设'!M8&amp;"|"&amp;'先声年度假设'!N8&amp;"|"&amp;'先声年度假设'!O8&amp;"|"&amp;'先声年度假设'!P8&amp;"|"&amp;'先声年度假设'!Q8&amp;"|"&amp;'先声年度假设'!R8&amp;"|"&amp;'先声年度假设'!S8&amp;"|"&amp;'先声年度假设'!T8&amp;"|"&amp;'先声年度假设'!U8&amp;"|"&amp;'先声年度假设'!V8&amp;"|"&amp;'先声年度假设'!W8&amp;"|"&amp;'先声年度假设'!X8&amp;"|"&amp;'先声年度假设'!D12&amp;"|"&amp;'先声年度假设'!E12&amp;"|"&amp;'先声年度假设'!F12&amp;"|"&amp;'先声年度假设'!G12&amp;"|"&amp;'先声年度假设'!H12&amp;"|"&amp;'先声年度假设'!I12&amp;"|"&amp;'先声年度假设'!J12&amp;"|"&amp;'先声年度假设'!K12&amp;"|"&amp;'先声年度假设'!L12&amp;"|"&amp;'先声年度假设'!M12&amp;"|"&amp;'先声年度假设'!N12&amp;"|"&amp;'先声年度假设'!O12&amp;"|"&amp;'先声年度假设'!P12&amp;"|"&amp;'先声年度假设'!Q12&amp;"|"&amp;'先声年度假设'!R12&amp;"|"&amp;'先声年度假设'!S12&amp;"|"&amp;'先声年度假设'!T12&amp;"|"&amp;'先声年度假设'!U12&amp;"|"&amp;'先声年度假设'!V12&amp;"|"&amp;'先声年度假设'!W12&amp;"|"&amp;'先声年度假设'!X12&amp;"|"&amp;'先声年度假设'!D16&amp;"|"&amp;'先声年度假设'!E16&amp;"|"&amp;'先声年度假设'!F16&amp;"|"&amp;'先声年度假设'!G16&amp;"|"&amp;'先声年度假设'!H16&amp;"|"&amp;'先声年度假设'!I16&amp;"|"&amp;'先声年度假设'!J16&amp;"|"&amp;'先声年度假设'!K16&amp;"|"&amp;'先声年度假设'!L16&amp;"|"&amp;'先声年度假设'!M16&amp;"|"&amp;'先声年度假设'!N16&amp;"|"&amp;'先声年度假设'!O16&amp;"|"&amp;'先声年度假设'!P16&amp;"|"&amp;'先声年度假设'!Q16&amp;"|"&amp;'先声年度假设'!R16&amp;"|"&amp;'先声年度假设'!S16&amp;"|"&amp;'先声年度假设'!T16&amp;"|"&amp;'先声年度假设'!U16&amp;"|"&amp;'先声年度假设'!V16&amp;"|"&amp;'先声年度假设'!W16&amp;"|"&amp;'先声年度假设'!X16&amp;"|"&amp;'先声年度假设'!D20&amp;"|"&amp;'先声年度假设'!E20&amp;"|"&amp;'先声年度假设'!F20&amp;"|"&amp;'先声年度假设'!G20&amp;"|"&amp;'先声年度假设'!H20&amp;"|"&amp;'先声年度假设'!I20&amp;"|"&amp;'先声年度假设'!J20&amp;"|"&amp;'先声年度假设'!K20&amp;"|"&amp;'先声年度假设'!L20&amp;"|"&amp;'先声年度假设'!M20&amp;"|"&amp;'先声年度假设'!N20&amp;"|"&amp;'先声年度假设'!O20&amp;"|"&amp;'先声年度假设'!P20&amp;"|"&amp;'先声年度假设'!Q20&amp;"|"&amp;'先声年度假设'!R20&amp;"|"&amp;'先声年度假设'!S20&amp;"|"&amp;'先声年度假设'!T20&amp;"|"&amp;'先声年度假设'!U20&amp;"|"&amp;'先声年度假设'!V20&amp;"|"&amp;'先声年度假设'!W20&amp;"|"&amp;'先声年度假设'!X20&amp;"|"&amp;'先声年度假设'!D24&amp;"|"&amp;'先声年度假设'!E24&amp;"|"&amp;'先声年度假设'!F24&amp;"|"&amp;'先声年度假设'!G24&amp;"|"&amp;'先声年度假设'!H24&amp;"|"&amp;'先声年度假设'!I24&amp;"|"&amp;'先声年度假设'!J24&amp;"|"&amp;'先声年度假设'!K24&amp;"|"&amp;'先声年度假设'!L24&amp;"|"&amp;'先声年度假设'!M24&amp;"|"&amp;'先声年度假设'!N24&amp;"|"&amp;'先声年度假设'!O24&amp;"|"&amp;'先声年度假设'!P24&amp;"|"&amp;'先声年度假设'!Q24&amp;"|"&amp;'先声年度假设'!R24&amp;"|"&amp;'先声年度假设'!S24&amp;"|"&amp;'先声年度假设'!T24&amp;"|"&amp;'先声年度假设'!U24&amp;"|"&amp;'先声年度假设'!V24&amp;"|"&amp;'先声年度假设'!W24&amp;"|"&amp;'先声年度假设'!X24&amp;"|"&amp;'先声年度假设'!D28&amp;"|"&amp;'先声年度假设'!E28&amp;"|"&amp;'先声年度假设'!F28&amp;"|"&amp;'先声年度假设'!G28&amp;"|"&amp;'先声年度假设'!H28&amp;"|"&amp;'先声年度假设'!I28&amp;"|"&amp;'先声年度假设'!J28&amp;"|"&amp;'先声年度假设'!K28&amp;"|"&amp;'先声年度假设'!L28&amp;"|"&amp;'先声年度假设'!M28&amp;"|"&amp;'先声年度假设'!N28&amp;"|"&amp;'先声年度假设'!O28&amp;"|"&amp;'先声年度假设'!P28&amp;"|"&amp;'先声年度假设'!Q28&amp;"|"&amp;'先声年度假设'!R28&amp;"|"&amp;'先声年度假设'!S28&amp;"|"&amp;'先声年度假设'!T28&amp;"|"&amp;'先声年度假设'!U28&amp;"|"&amp;'先声年度假设'!V28&amp;"|"&amp;'先声年度假设'!W28&amp;"|"&amp;'先声年度假设'!X28&amp;"|"&amp;'先声年度假设'!D32&amp;"|"&amp;'先声年度假设'!E32&amp;"|"&amp;'先声年度假设'!F32&amp;"|"&amp;'先声年度假设'!G32&amp;"|"&amp;'先声年度假设'!H32&amp;"|"&amp;'先声年度假设'!I32&amp;"|"&amp;'先声年度假设'!J32&amp;"|"&amp;'先声年度假设'!K32&amp;"|"&amp;'先声年度假设'!L32&amp;"|"&amp;'先声年度假设'!M32&amp;"|"&amp;'先声年度假设'!N32&amp;"|"&amp;'先声年度假设'!O32&amp;"|"&amp;'先声年度假设'!P32&amp;"|"&amp;'先声年度假设'!Q32&amp;"|"&amp;'先声年度假设'!R32&amp;"|"&amp;'先声年度假设'!S32&amp;"|"&amp;'先声年度假设'!T32&amp;"|"&amp;'先声年度假设'!U32&amp;"|"&amp;'先声年度假设'!V32&amp;"|"&amp;'先声年度假设'!W32&amp;"|"&amp;'先声年度假设'!X32&amp;"|"&amp;'先声新药假设'!G8&amp;"|"&amp;'先声新药假设'!H8&amp;"|"&amp;'先声新药假设'!I8&amp;"|"&amp;'先声新药假设'!J8&amp;"|"&amp;'先声新药假设'!G12&amp;"|"&amp;'先声新药假设'!H12&amp;"|"&amp;'先声新药假设'!I12&amp;"|"&amp;'先声新药假设'!J12&amp;"|"&amp;'先声新药假设'!G16&amp;"|"&amp;'先声新药假设'!H16&amp;"|"&amp;'先声新药假设'!I16&amp;"|"&amp;'先声新药假设'!J16&amp;"|"&amp;'先声新药假设'!G20&amp;"|"&amp;'先声新药假设'!H20&amp;"|"&amp;'先声新药假设'!I20&amp;"|"&amp;'先声新药假设'!J20&amp;"|"&amp;'先声新药假设'!G24&amp;"|"&amp;'先声新药假设'!H24&amp;"|"&amp;'先声新药假设'!I24&amp;"|"&amp;'先声新药假设'!J24&amp;"|"&amp;'先声新药假设'!G28&amp;"|"&amp;'先声新药假设'!H28&amp;"|"&amp;'先声新药假设'!I28&amp;"|"&amp;'先声新药假设'!J28&amp;"|"&amp;'先声新药假设'!G32&amp;"|"&amp;'先声新药假设'!H32&amp;"|"&amp;'先声新药假设'!I32&amp;"|"&amp;'先声新药假设'!K32&amp;"|"&amp;'先声新药假设'!L32&amp;"|"&amp;'先声新药假设'!G36&amp;"|"&amp;'先声新药假设'!H36&amp;"|"&amp;'先声新药假设'!I36&amp;"|"&amp;'先声新药假设'!K36&amp;"|"&amp;'先声新药假设'!L36&amp;"|"&amp;'先声新药假设'!G40&amp;"|"&amp;'先声新药假设'!H40&amp;"|"&amp;'先声新药假设'!I40&amp;"|"&amp;'先声新药假设'!K40&amp;"|"&amp;'先声新药假设'!L40&amp;"|"&amp;'先声新药假设'!G44&amp;"|"&amp;'先声新药假设'!H44&amp;"|"&amp;'先声新药假设'!I44&amp;"|"&amp;'先声新药假设'!K44&amp;"|"&amp;'先声新药假设'!L44&amp;"|"&amp;'先声新药假设'!G48&amp;"|"&amp;'先声新药假设'!H48&amp;"|"&amp;'先声新药假设'!I48&amp;"|"&amp;'先声新药假设'!K48&amp;"|"&amp;'先声新药假设'!L48&amp;"|"&amp;'先声新药假设'!G52&amp;"|"&amp;'先声新药假设'!H52&amp;"|"&amp;'先声新药假设'!I52&amp;"|"&amp;'先声新药假设'!K52&amp;"|"&amp;'先声新药假设'!L52&amp;"|"&amp;'假设'!U864</x:f>
        <x:v>0.77|0.78|0.74|0.55|0.23|5.197607|1.05799|1.223692|1|2027|1.32|0.98|0.26|0.32|0.4|0.35|0.5|0.252953|0.113705|0.45726799999999995|0.04|0.075|0.85|0.85|7|4|2.3|1.8|0.65|3.6|0.7|1.7|0.05|0.04|0.09|0.831|2.57|0.42|0.18|0.65|0.25|0.2|0|0.1|0.075|0|4.1|2.35|1.9|0.6|3.62|0.72|1.72|0.06|0.05|0.04|0.831|2.61|0.45|0.19|0.65|0.22|0.25|0.04|0.1|0|0|4.2|2.4|2|0.55|3.65|0.75|1.75|0.065|0.06|0|0.831|2.66|0.48|0.2|0.62|0.2|0.25|0.06|0.1|0|0|4.3|2.43|2.1|0.5|3.7|0.78|1.8|0.07|0.06|0|0.831|2.72|0.5|0.21|0.6|0.2|0.26|0.08|0.11|0|0|4.4|2.45|2.2|0.46|3.75|0.82|1.85|0.075|0.05|0|0.831|2.78|0.52|0.22|0.58|0.18|0.27|0.1|0.12|0|-0.1|4.45|2.45|2.3|0.43|3.8|0.86|1.9|0.08|0.05|0|0.831|2.85|0.54|0.23|0.56|0.18|0.28|0.12|0.13|0|-0.1|4.5|2.45|2.35|0.4|3.85|0.9|1.95|0.085|0.05|0|0.831|2.92|0.56|0.24|0.54|0.18|0.29|0.15|0.14|0|-0.1|2028|0.9|0.45|0.78|2028|0.25|0.5|0.55|2028|0.4|0.5|0.55|2029|0.3|0.35|0.6|2030|0.4|0.2|0.73|2031|0.3|0.2|0.55|2031|0.5|0.12|0.08|0.08|2032|0.4|0.1|0.07|0.08|2033|0.7|0.1|0.08|0.1|2034|0.6|0.08|0.08|0.08|2035|0.8|0.08|0.07|0.08|2036|0.8|0.06|0.07|0.08|1</x:v>
      </x:c>
    </x:row>
    <x:row r="650" ht="23" customHeight="1">
      <x:c r="A650" s="11" t="str">
        <x:v>02096.HK</x:v>
      </x:c>
      <x:c r="B650" s="11" t="str">
        <x:v>先声药业</x:v>
      </x:c>
      <x:c r="C650" s="11" t="str">
        <x:v>五年</x:v>
      </x:c>
      <x:c r="D650" s="11" t="str">
        <x:v>基准</x:v>
      </x:c>
      <x:c r="E650" s="11" t="n">
        <x:v>10.89</x:v>
      </x:c>
      <x:c r="F650" s="11" t="n">
        <x:v>34.218936277094954</x:v>
      </x:c>
      <x:c r="G650" s="11" t="n">
        <x:v>1.8480000000000003</x:v>
      </x:c>
      <x:c r="H650" s="25" t="n">
        <x:v>2.142234736188701</x:v>
      </x:c>
      <x:c r="I650" s="25" t="n">
        <x:v>2.3119317058856703</x:v>
      </x:c>
      <x:c r="J650" s="25" t="n">
        <x:v>0.27062171902290233</x:v>
      </x:c>
      <x:c r="K650" s="11" t="n">
        <x:v>1.5554061944134074</x:v>
      </x:c>
      <x:c r="L650" s="11" t="n">
        <x:v>20</x:v>
      </x:c>
      <x:c r="M650" s="11" t="n">
        <x:v>1.1</x:v>
      </x:c>
      <x:c r="N650" s="11" t="n">
        <x:v>1.8480000000000003</x:v>
      </x:c>
      <x:c r="O650" s="11" t="n">
        <x:v>20.54402</x:v>
      </x:c>
      <x:c r="P650" s="11" t="n">
        <x:v>0.20328376004306845</x:v>
      </x:c>
      <x:c r="Q650" s="11" t="n">
        <x:v>2.685</x:v>
      </x:c>
      <x:c r="R650" s="11" t="str">
        <x:v>simcere-v2-short-recognition-normal-product-risk-royalty-PE-cash</x:v>
      </x:c>
      <x:c r="S650" s="11" t="str">
        <x:v>2026-10-10</x:v>
      </x:c>
      <x:c r="T650" s="11" t="str">
        <x:f>IF(AND(SUM(IF(K650='假设'!E865,0,1),IF(L650='假设'!F865,0,1),IF(M650='假设'!G865,0,1),IF(N650='假设'!H865,0,1),IF(O650='假设'!I865,0,1),IF(P650='假设'!J865,0,1),IF(Q650='假设'!K865,0,1))=0,U650=V650),"已刷新","待刷新")</x:f>
        <x:v>已刷新</x:v>
      </x:c>
      <x:c r="U650" t="str"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  <x:c r="V650" t="str">
        <x:f>'先声资金假设'!C9&amp;"|"&amp;'先声资金假设'!D9&amp;"|"&amp;'先声资金假设'!E9&amp;"|"&amp;'先声资金假设'!F9&amp;"|"&amp;'先声资金假设'!G9&amp;"|"&amp;'先声资金假设'!H9&amp;"|"&amp;'先声资金假设'!I9&amp;"|"&amp;'先声资金假设'!J9&amp;"|"&amp;'先声资金假设'!K9&amp;"|"&amp;'先声资金假设'!L9&amp;"|"&amp;'先声资金假设'!M9&amp;"|"&amp;'先声资金假设'!N9&amp;"|"&amp;'先声资金假设'!O9&amp;"|"&amp;'先声资金假设'!P9&amp;"|"&amp;'先声资金假设'!Q9&amp;"|"&amp;'先声资金假设'!R9&amp;"|"&amp;'先声资金假设'!S9&amp;"|"&amp;'先声资金假设'!T9&amp;"|"&amp;'先声资金假设'!U9&amp;"|"&amp;'先声资金假设'!V9&amp;"|"&amp;'先声资金假设'!W9&amp;"|"&amp;'先声资金假设'!X9&amp;"|"&amp;'先声资金假设'!Y9&amp;"|"&amp;'先声资金假设'!Z9&amp;"|"&amp;'先声资金假设'!AA9&amp;"|"&amp;'先声年度假设'!D9&amp;"|"&amp;'先声年度假设'!E9&amp;"|"&amp;'先声年度假设'!F9&amp;"|"&amp;'先声年度假设'!G9&amp;"|"&amp;'先声年度假设'!H9&amp;"|"&amp;'先声年度假设'!I9&amp;"|"&amp;'先声年度假设'!J9&amp;"|"&amp;'先声年度假设'!K9&amp;"|"&amp;'先声年度假设'!L9&amp;"|"&amp;'先声年度假设'!M9&amp;"|"&amp;'先声年度假设'!N9&amp;"|"&amp;'先声年度假设'!O9&amp;"|"&amp;'先声年度假设'!P9&amp;"|"&amp;'先声年度假设'!Q9&amp;"|"&amp;'先声年度假设'!R9&amp;"|"&amp;'先声年度假设'!S9&amp;"|"&amp;'先声年度假设'!T9&amp;"|"&amp;'先声年度假设'!U9&amp;"|"&amp;'先声年度假设'!V9&amp;"|"&amp;'先声年度假设'!W9&amp;"|"&amp;'先声年度假设'!X9&amp;"|"&amp;'先声年度假设'!D13&amp;"|"&amp;'先声年度假设'!E13&amp;"|"&amp;'先声年度假设'!F13&amp;"|"&amp;'先声年度假设'!G13&amp;"|"&amp;'先声年度假设'!H13&amp;"|"&amp;'先声年度假设'!I13&amp;"|"&amp;'先声年度假设'!J13&amp;"|"&amp;'先声年度假设'!K13&amp;"|"&amp;'先声年度假设'!L13&amp;"|"&amp;'先声年度假设'!M13&amp;"|"&amp;'先声年度假设'!N13&amp;"|"&amp;'先声年度假设'!O13&amp;"|"&amp;'先声年度假设'!P13&amp;"|"&amp;'先声年度假设'!Q13&amp;"|"&amp;'先声年度假设'!R13&amp;"|"&amp;'先声年度假设'!S13&amp;"|"&amp;'先声年度假设'!T13&amp;"|"&amp;'先声年度假设'!U13&amp;"|"&amp;'先声年度假设'!V13&amp;"|"&amp;'先声年度假设'!W13&amp;"|"&amp;'先声年度假设'!X13&amp;"|"&amp;'先声年度假设'!D17&amp;"|"&amp;'先声年度假设'!E17&amp;"|"&amp;'先声年度假设'!F17&amp;"|"&amp;'先声年度假设'!G17&amp;"|"&amp;'先声年度假设'!H17&amp;"|"&amp;'先声年度假设'!I17&amp;"|"&amp;'先声年度假设'!J17&amp;"|"&amp;'先声年度假设'!K17&amp;"|"&amp;'先声年度假设'!L17&amp;"|"&amp;'先声年度假设'!M17&amp;"|"&amp;'先声年度假设'!N17&amp;"|"&amp;'先声年度假设'!O17&amp;"|"&amp;'先声年度假设'!P17&amp;"|"&amp;'先声年度假设'!Q17&amp;"|"&amp;'先声年度假设'!R17&amp;"|"&amp;'先声年度假设'!S17&amp;"|"&amp;'先声年度假设'!T17&amp;"|"&amp;'先声年度假设'!U17&amp;"|"&amp;'先声年度假设'!V17&amp;"|"&amp;'先声年度假设'!W17&amp;"|"&amp;'先声年度假设'!X17&amp;"|"&amp;'先声年度假设'!D21&amp;"|"&amp;'先声年度假设'!E21&amp;"|"&amp;'先声年度假设'!F21&amp;"|"&amp;'先声年度假设'!G21&amp;"|"&amp;'先声年度假设'!H21&amp;"|"&amp;'先声年度假设'!I21&amp;"|"&amp;'先声年度假设'!J21&amp;"|"&amp;'先声年度假设'!K21&amp;"|"&amp;'先声年度假设'!L21&amp;"|"&amp;'先声年度假设'!M21&amp;"|"&amp;'先声年度假设'!N21&amp;"|"&amp;'先声年度假设'!O21&amp;"|"&amp;'先声年度假设'!P21&amp;"|"&amp;'先声年度假设'!Q21&amp;"|"&amp;'先声年度假设'!R21&amp;"|"&amp;'先声年度假设'!S21&amp;"|"&amp;'先声年度假设'!T21&amp;"|"&amp;'先声年度假设'!U21&amp;"|"&amp;'先声年度假设'!V21&amp;"|"&amp;'先声年度假设'!W21&amp;"|"&amp;'先声年度假设'!X21&amp;"|"&amp;'先声年度假设'!D25&amp;"|"&amp;'先声年度假设'!E25&amp;"|"&amp;'先声年度假设'!F25&amp;"|"&amp;'先声年度假设'!G25&amp;"|"&amp;'先声年度假设'!H25&amp;"|"&amp;'先声年度假设'!I25&amp;"|"&amp;'先声年度假设'!J25&amp;"|"&amp;'先声年度假设'!K25&amp;"|"&amp;'先声年度假设'!L25&amp;"|"&amp;'先声年度假设'!M25&amp;"|"&amp;'先声年度假设'!N25&amp;"|"&amp;'先声年度假设'!O25&amp;"|"&amp;'先声年度假设'!P25&amp;"|"&amp;'先声年度假设'!Q25&amp;"|"&amp;'先声年度假设'!R25&amp;"|"&amp;'先声年度假设'!S25&amp;"|"&amp;'先声年度假设'!T25&amp;"|"&amp;'先声年度假设'!U25&amp;"|"&amp;'先声年度假设'!V25&amp;"|"&amp;'先声年度假设'!W25&amp;"|"&amp;'先声年度假设'!X25&amp;"|"&amp;'先声年度假设'!D29&amp;"|"&amp;'先声年度假设'!E29&amp;"|"&amp;'先声年度假设'!F29&amp;"|"&amp;'先声年度假设'!G29&amp;"|"&amp;'先声年度假设'!H29&amp;"|"&amp;'先声年度假设'!I29&amp;"|"&amp;'先声年度假设'!J29&amp;"|"&amp;'先声年度假设'!K29&amp;"|"&amp;'先声年度假设'!L29&amp;"|"&amp;'先声年度假设'!M29&amp;"|"&amp;'先声年度假设'!N29&amp;"|"&amp;'先声年度假设'!O29&amp;"|"&amp;'先声年度假设'!P29&amp;"|"&amp;'先声年度假设'!Q29&amp;"|"&amp;'先声年度假设'!R29&amp;"|"&amp;'先声年度假设'!S29&amp;"|"&amp;'先声年度假设'!T29&amp;"|"&amp;'先声年度假设'!U29&amp;"|"&amp;'先声年度假设'!V29&amp;"|"&amp;'先声年度假设'!W29&amp;"|"&amp;'先声年度假设'!X29&amp;"|"&amp;'先声年度假设'!D33&amp;"|"&amp;'先声年度假设'!E33&amp;"|"&amp;'先声年度假设'!F33&amp;"|"&amp;'先声年度假设'!G33&amp;"|"&amp;'先声年度假设'!H33&amp;"|"&amp;'先声年度假设'!I33&amp;"|"&amp;'先声年度假设'!J33&amp;"|"&amp;'先声年度假设'!K33&amp;"|"&amp;'先声年度假设'!L33&amp;"|"&amp;'先声年度假设'!M33&amp;"|"&amp;'先声年度假设'!N33&amp;"|"&amp;'先声年度假设'!O33&amp;"|"&amp;'先声年度假设'!P33&amp;"|"&amp;'先声年度假设'!Q33&amp;"|"&amp;'先声年度假设'!R33&amp;"|"&amp;'先声年度假设'!S33&amp;"|"&amp;'先声年度假设'!T33&amp;"|"&amp;'先声年度假设'!U33&amp;"|"&amp;'先声年度假设'!V33&amp;"|"&amp;'先声年度假设'!W33&amp;"|"&amp;'先声年度假设'!X33&amp;"|"&amp;'先声新药假设'!G9&amp;"|"&amp;'先声新药假设'!H9&amp;"|"&amp;'先声新药假设'!I9&amp;"|"&amp;'先声新药假设'!J9&amp;"|"&amp;'先声新药假设'!G13&amp;"|"&amp;'先声新药假设'!H13&amp;"|"&amp;'先声新药假设'!I13&amp;"|"&amp;'先声新药假设'!J13&amp;"|"&amp;'先声新药假设'!G17&amp;"|"&amp;'先声新药假设'!H17&amp;"|"&amp;'先声新药假设'!I17&amp;"|"&amp;'先声新药假设'!J17&amp;"|"&amp;'先声新药假设'!G21&amp;"|"&amp;'先声新药假设'!H21&amp;"|"&amp;'先声新药假设'!I21&amp;"|"&amp;'先声新药假设'!J21&amp;"|"&amp;'先声新药假设'!G25&amp;"|"&amp;'先声新药假设'!H25&amp;"|"&amp;'先声新药假设'!I25&amp;"|"&amp;'先声新药假设'!J25&amp;"|"&amp;'先声新药假设'!G29&amp;"|"&amp;'先声新药假设'!H29&amp;"|"&amp;'先声新药假设'!I29&amp;"|"&amp;'先声新药假设'!J29&amp;"|"&amp;'先声新药假设'!G33&amp;"|"&amp;'先声新药假设'!H33&amp;"|"&amp;'先声新药假设'!I33&amp;"|"&amp;'先声新药假设'!K33&amp;"|"&amp;'先声新药假设'!L33&amp;"|"&amp;'先声新药假设'!G37&amp;"|"&amp;'先声新药假设'!H37&amp;"|"&amp;'先声新药假设'!I37&amp;"|"&amp;'先声新药假设'!K37&amp;"|"&amp;'先声新药假设'!L37&amp;"|"&amp;'先声新药假设'!G41&amp;"|"&amp;'先声新药假设'!H41&amp;"|"&amp;'先声新药假设'!I41&amp;"|"&amp;'先声新药假设'!K41&amp;"|"&amp;'先声新药假设'!L41&amp;"|"&amp;'先声新药假设'!G45&amp;"|"&amp;'先声新药假设'!H45&amp;"|"&amp;'先声新药假设'!I45&amp;"|"&amp;'先声新药假设'!K45&amp;"|"&amp;'先声新药假设'!L45&amp;"|"&amp;'先声新药假设'!G49&amp;"|"&amp;'先声新药假设'!H49&amp;"|"&amp;'先声新药假设'!I49&amp;"|"&amp;'先声新药假设'!K49&amp;"|"&amp;'先声新药假设'!L49&amp;"|"&amp;'先声新药假设'!G53&amp;"|"&amp;'先声新药假设'!H53&amp;"|"&amp;'先声新药假设'!I53&amp;"|"&amp;'先声新药假设'!K53&amp;"|"&amp;'先声新药假设'!L53&amp;"|"&amp;'假设'!U865</x:f>
        <x:v>0.82|0.83|0.81|0.6|0.2|5.197607|1.05799|1.223692|0|2027|1.32|0.98|0.26|0.32|0.4|0.35|0.5|0.252953|0.113705|0.45726799999999995|0.04|0.075|0.85|0.85|7|4.3|2.5|2|0.7|3.68|0.7|1.77|0.03|0.03|0.085|0.831|2.57|0.42|0.18|0.7|0.3|0.2|0|0.22|0.075|0|5.1|2.85|2.6|0.72|4.3|0.82|2|0.04|0.03|0|0.72|2.59|0.47|0.2|0.75|0.35|0.38|0.15|0.26|0.1|0|5.85|3.1|3.3|0.75|5|0.95|2.25|0.05|0.028|0|0.72|2.61|0.52|0.22|0.8|0.4|0.45|0.25|0.32|0.1|0|6.5|3.3|4|0.78|5.6|1.08|2.5|0.06|0.025|0|0.72|2.635|0.57|0.24|0.85|0.45|0.5|0.35|0.4|0.1|0|7|3.45|4.6|0.8|6.1|1.2|2.7|0.07|0.02|0|0.72|2.66|0.62|0.26|0.85|0.45|0.55|0.45|0.48|0.1|-0.2|7.4|3.6|5.1|0.8|6.55|1.32|2.9|0.08|0.02|0|0.72|2.685|0.67|0.28|0.85|0.45|0.6|0.5|0.56|0.1|-0.2|7.7|3.7|5.5|0.78|6.9|1.44|3.1|0.09|0.02|0|0.72|2.71|0.72|0.3|0.85|0.45|0.65|0.6|0.64|0.1|-0.2|2027|2.2|0.75|0.85|2027|0.65|0.8|0.7|2027|1.1|0.8|0.68|2028|0.8|0.65|0.73|2029|1.5|0.5|0.82|2029|0.9|0.5|0.68|2029|1.5|0.3|0.12|0.08|2030|1|0.3|0.1|0.08|2031|2|0.3|0.12|0.1|2032|1.8|0.22|0.12|0.08|2032|2.5|0.2|0.1|0.08|2033|2.5|0.18|0.1|0.08|1</x:v>
      </x:c>
    </x:row>
    <x:row r="651" ht="23" customHeight="1">
      <x:c r="A651" s="11" t="str">
        <x:v>02096.HK</x:v>
      </x:c>
      <x:c r="B651" s="11" t="str">
        <x:v>先声药业</x:v>
      </x:c>
      <x:c r="C651" s="11" t="str">
        <x:v>五年</x:v>
      </x:c>
      <x:c r="D651" s="11" t="str">
        <x:v>乐观</x:v>
      </x:c>
      <x:c r="E651" s="11" t="n">
        <x:v>10.89</x:v>
      </x:c>
      <x:c r="F651" s="11" t="n">
        <x:v>117.66139635808275</x:v>
      </x:c>
      <x:c r="G651" s="11" t="n">
        <x:v>3.168</x:v>
      </x:c>
      <x:c r="H651" s="25" t="n">
        <x:v>9.804535937381337</x:v>
      </x:c>
      <x:c r="I651" s="25" t="n">
        <x:v>10.095445028290428</x:v>
      </x:c>
      <x:c r="J651" s="25" t="n">
        <x:v>0.6181878843647275</x:v>
      </x:c>
      <x:c r="K651" s="11" t="n">
        <x:v>4.278596231203006</x:v>
      </x:c>
      <x:c r="L651" s="11" t="n">
        <x:v>25</x:v>
      </x:c>
      <x:c r="M651" s="11" t="n">
        <x:v>1.1</x:v>
      </x:c>
      <x:c r="N651" s="11" t="n">
        <x:v>3.168</x:v>
      </x:c>
      <x:c r="O651" s="11" t="n">
        <x:v>34.95355</x:v>
      </x:c>
      <x:c r="P651" s="11" t="n">
        <x:v>0.3256054385033852</x:v>
      </x:c>
      <x:c r="Q651" s="11" t="n">
        <x:v>2.66</x:v>
      </x:c>
      <x:c r="R651" s="11" t="str">
        <x:v>simcere-v2-short-recognition-normal-product-risk-royalty-PE-cash</x:v>
      </x:c>
      <x:c r="S651" s="11" t="str">
        <x:v>2026-10-10</x:v>
      </x:c>
      <x:c r="T651" s="11" t="str">
        <x:f>IF(AND(SUM(IF(K651='假设'!E866,0,1),IF(L651='假设'!F866,0,1),IF(M651='假设'!G866,0,1),IF(N651='假设'!H866,0,1),IF(O651='假设'!I866,0,1),IF(P651='假设'!J866,0,1),IF(Q651='假设'!K866,0,1))=0,U651=V651),"已刷新","待刷新")</x:f>
        <x:v>已刷新</x:v>
      </x:c>
      <x:c r="U651" t="str"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  <x:c r="V651" t="str">
        <x:f>'先声资金假设'!C10&amp;"|"&amp;'先声资金假设'!D10&amp;"|"&amp;'先声资金假设'!E10&amp;"|"&amp;'先声资金假设'!F10&amp;"|"&amp;'先声资金假设'!G10&amp;"|"&amp;'先声资金假设'!H10&amp;"|"&amp;'先声资金假设'!I10&amp;"|"&amp;'先声资金假设'!J10&amp;"|"&amp;'先声资金假设'!K10&amp;"|"&amp;'先声资金假设'!L10&amp;"|"&amp;'先声资金假设'!M10&amp;"|"&amp;'先声资金假设'!N10&amp;"|"&amp;'先声资金假设'!O10&amp;"|"&amp;'先声资金假设'!P10&amp;"|"&amp;'先声资金假设'!Q10&amp;"|"&amp;'先声资金假设'!R10&amp;"|"&amp;'先声资金假设'!S10&amp;"|"&amp;'先声资金假设'!T10&amp;"|"&amp;'先声资金假设'!U10&amp;"|"&amp;'先声资金假设'!V10&amp;"|"&amp;'先声资金假设'!W10&amp;"|"&amp;'先声资金假设'!X10&amp;"|"&amp;'先声资金假设'!Y10&amp;"|"&amp;'先声资金假设'!Z10&amp;"|"&amp;'先声资金假设'!AA10&amp;"|"&amp;'先声年度假设'!D10&amp;"|"&amp;'先声年度假设'!E10&amp;"|"&amp;'先声年度假设'!F10&amp;"|"&amp;'先声年度假设'!G10&amp;"|"&amp;'先声年度假设'!H10&amp;"|"&amp;'先声年度假设'!I10&amp;"|"&amp;'先声年度假设'!J10&amp;"|"&amp;'先声年度假设'!K10&amp;"|"&amp;'先声年度假设'!L10&amp;"|"&amp;'先声年度假设'!M10&amp;"|"&amp;'先声年度假设'!N10&amp;"|"&amp;'先声年度假设'!O10&amp;"|"&amp;'先声年度假设'!P10&amp;"|"&amp;'先声年度假设'!Q10&amp;"|"&amp;'先声年度假设'!R10&amp;"|"&amp;'先声年度假设'!S10&amp;"|"&amp;'先声年度假设'!T10&amp;"|"&amp;'先声年度假设'!U10&amp;"|"&amp;'先声年度假设'!V10&amp;"|"&amp;'先声年度假设'!W10&amp;"|"&amp;'先声年度假设'!X10&amp;"|"&amp;'先声年度假设'!D14&amp;"|"&amp;'先声年度假设'!E14&amp;"|"&amp;'先声年度假设'!F14&amp;"|"&amp;'先声年度假设'!G14&amp;"|"&amp;'先声年度假设'!H14&amp;"|"&amp;'先声年度假设'!I14&amp;"|"&amp;'先声年度假设'!J14&amp;"|"&amp;'先声年度假设'!K14&amp;"|"&amp;'先声年度假设'!L14&amp;"|"&amp;'先声年度假设'!M14&amp;"|"&amp;'先声年度假设'!N14&amp;"|"&amp;'先声年度假设'!O14&amp;"|"&amp;'先声年度假设'!P14&amp;"|"&amp;'先声年度假设'!Q14&amp;"|"&amp;'先声年度假设'!R14&amp;"|"&amp;'先声年度假设'!S14&amp;"|"&amp;'先声年度假设'!T14&amp;"|"&amp;'先声年度假设'!U14&amp;"|"&amp;'先声年度假设'!V14&amp;"|"&amp;'先声年度假设'!W14&amp;"|"&amp;'先声年度假设'!X14&amp;"|"&amp;'先声年度假设'!D18&amp;"|"&amp;'先声年度假设'!E18&amp;"|"&amp;'先声年度假设'!F18&amp;"|"&amp;'先声年度假设'!G18&amp;"|"&amp;'先声年度假设'!H18&amp;"|"&amp;'先声年度假设'!I18&amp;"|"&amp;'先声年度假设'!J18&amp;"|"&amp;'先声年度假设'!K18&amp;"|"&amp;'先声年度假设'!L18&amp;"|"&amp;'先声年度假设'!M18&amp;"|"&amp;'先声年度假设'!N18&amp;"|"&amp;'先声年度假设'!O18&amp;"|"&amp;'先声年度假设'!P18&amp;"|"&amp;'先声年度假设'!Q18&amp;"|"&amp;'先声年度假设'!R18&amp;"|"&amp;'先声年度假设'!S18&amp;"|"&amp;'先声年度假设'!T18&amp;"|"&amp;'先声年度假设'!U18&amp;"|"&amp;'先声年度假设'!V18&amp;"|"&amp;'先声年度假设'!W18&amp;"|"&amp;'先声年度假设'!X18&amp;"|"&amp;'先声年度假设'!D22&amp;"|"&amp;'先声年度假设'!E22&amp;"|"&amp;'先声年度假设'!F22&amp;"|"&amp;'先声年度假设'!G22&amp;"|"&amp;'先声年度假设'!H22&amp;"|"&amp;'先声年度假设'!I22&amp;"|"&amp;'先声年度假设'!J22&amp;"|"&amp;'先声年度假设'!K22&amp;"|"&amp;'先声年度假设'!L22&amp;"|"&amp;'先声年度假设'!M22&amp;"|"&amp;'先声年度假设'!N22&amp;"|"&amp;'先声年度假设'!O22&amp;"|"&amp;'先声年度假设'!P22&amp;"|"&amp;'先声年度假设'!Q22&amp;"|"&amp;'先声年度假设'!R22&amp;"|"&amp;'先声年度假设'!S22&amp;"|"&amp;'先声年度假设'!T22&amp;"|"&amp;'先声年度假设'!U22&amp;"|"&amp;'先声年度假设'!V22&amp;"|"&amp;'先声年度假设'!W22&amp;"|"&amp;'先声年度假设'!X22&amp;"|"&amp;'先声年度假设'!D26&amp;"|"&amp;'先声年度假设'!E26&amp;"|"&amp;'先声年度假设'!F26&amp;"|"&amp;'先声年度假设'!G26&amp;"|"&amp;'先声年度假设'!H26&amp;"|"&amp;'先声年度假设'!I26&amp;"|"&amp;'先声年度假设'!J26&amp;"|"&amp;'先声年度假设'!K26&amp;"|"&amp;'先声年度假设'!L26&amp;"|"&amp;'先声年度假设'!M26&amp;"|"&amp;'先声年度假设'!N26&amp;"|"&amp;'先声年度假设'!O26&amp;"|"&amp;'先声年度假设'!P26&amp;"|"&amp;'先声年度假设'!Q26&amp;"|"&amp;'先声年度假设'!R26&amp;"|"&amp;'先声年度假设'!S26&amp;"|"&amp;'先声年度假设'!T26&amp;"|"&amp;'先声年度假设'!U26&amp;"|"&amp;'先声年度假设'!V26&amp;"|"&amp;'先声年度假设'!W26&amp;"|"&amp;'先声年度假设'!X26&amp;"|"&amp;'先声年度假设'!D30&amp;"|"&amp;'先声年度假设'!E30&amp;"|"&amp;'先声年度假设'!F30&amp;"|"&amp;'先声年度假设'!G30&amp;"|"&amp;'先声年度假设'!H30&amp;"|"&amp;'先声年度假设'!I30&amp;"|"&amp;'先声年度假设'!J30&amp;"|"&amp;'先声年度假设'!K30&amp;"|"&amp;'先声年度假设'!L30&amp;"|"&amp;'先声年度假设'!M30&amp;"|"&amp;'先声年度假设'!N30&amp;"|"&amp;'先声年度假设'!O30&amp;"|"&amp;'先声年度假设'!P30&amp;"|"&amp;'先声年度假设'!Q30&amp;"|"&amp;'先声年度假设'!R30&amp;"|"&amp;'先声年度假设'!S30&amp;"|"&amp;'先声年度假设'!T30&amp;"|"&amp;'先声年度假设'!U30&amp;"|"&amp;'先声年度假设'!V30&amp;"|"&amp;'先声年度假设'!W30&amp;"|"&amp;'先声年度假设'!X30&amp;"|"&amp;'先声年度假设'!D34&amp;"|"&amp;'先声年度假设'!E34&amp;"|"&amp;'先声年度假设'!F34&amp;"|"&amp;'先声年度假设'!G34&amp;"|"&amp;'先声年度假设'!H34&amp;"|"&amp;'先声年度假设'!I34&amp;"|"&amp;'先声年度假设'!J34&amp;"|"&amp;'先声年度假设'!K34&amp;"|"&amp;'先声年度假设'!L34&amp;"|"&amp;'先声年度假设'!M34&amp;"|"&amp;'先声年度假设'!N34&amp;"|"&amp;'先声年度假设'!O34&amp;"|"&amp;'先声年度假设'!P34&amp;"|"&amp;'先声年度假设'!Q34&amp;"|"&amp;'先声年度假设'!R34&amp;"|"&amp;'先声年度假设'!S34&amp;"|"&amp;'先声年度假设'!T34&amp;"|"&amp;'先声年度假设'!U34&amp;"|"&amp;'先声年度假设'!V34&amp;"|"&amp;'先声年度假设'!W34&amp;"|"&amp;'先声年度假设'!X34&amp;"|"&amp;'先声新药假设'!G10&amp;"|"&amp;'先声新药假设'!H10&amp;"|"&amp;'先声新药假设'!I10&amp;"|"&amp;'先声新药假设'!J10&amp;"|"&amp;'先声新药假设'!G14&amp;"|"&amp;'先声新药假设'!H14&amp;"|"&amp;'先声新药假设'!I14&amp;"|"&amp;'先声新药假设'!J14&amp;"|"&amp;'先声新药假设'!G18&amp;"|"&amp;'先声新药假设'!H18&amp;"|"&amp;'先声新药假设'!I18&amp;"|"&amp;'先声新药假设'!J18&amp;"|"&amp;'先声新药假设'!G22&amp;"|"&amp;'先声新药假设'!H22&amp;"|"&amp;'先声新药假设'!I22&amp;"|"&amp;'先声新药假设'!J22&amp;"|"&amp;'先声新药假设'!G26&amp;"|"&amp;'先声新药假设'!H26&amp;"|"&amp;'先声新药假设'!I26&amp;"|"&amp;'先声新药假设'!J26&amp;"|"&amp;'先声新药假设'!G30&amp;"|"&amp;'先声新药假设'!H30&amp;"|"&amp;'先声新药假设'!I30&amp;"|"&amp;'先声新药假设'!J30&amp;"|"&amp;'先声新药假设'!G34&amp;"|"&amp;'先声新药假设'!H34&amp;"|"&amp;'先声新药假设'!I34&amp;"|"&amp;'先声新药假设'!K34&amp;"|"&amp;'先声新药假设'!L34&amp;"|"&amp;'先声新药假设'!G38&amp;"|"&amp;'先声新药假设'!H38&amp;"|"&amp;'先声新药假设'!I38&amp;"|"&amp;'先声新药假设'!K38&amp;"|"&amp;'先声新药假设'!L38&amp;"|"&amp;'先声新药假设'!G42&amp;"|"&amp;'先声新药假设'!H42&amp;"|"&amp;'先声新药假设'!I42&amp;"|"&amp;'先声新药假设'!K42&amp;"|"&amp;'先声新药假设'!L42&amp;"|"&amp;'先声新药假设'!G46&amp;"|"&amp;'先声新药假设'!H46&amp;"|"&amp;'先声新药假设'!I46&amp;"|"&amp;'先声新药假设'!K46&amp;"|"&amp;'先声新药假设'!L46&amp;"|"&amp;'先声新药假设'!G50&amp;"|"&amp;'先声新药假设'!H50&amp;"|"&amp;'先声新药假设'!I50&amp;"|"&amp;'先声新药假设'!K50&amp;"|"&amp;'先声新药假设'!L50&amp;"|"&amp;'先声新药假设'!G54&amp;"|"&amp;'先声新药假设'!H54&amp;"|"&amp;'先声新药假设'!I54&amp;"|"&amp;'先声新药假设'!K54&amp;"|"&amp;'先声新药假设'!L54&amp;"|"&amp;'假设'!U866</x:f>
        <x:v>0.85|0.86|0.84|0.65|0.18|5.197607|1.05799|1.223692|0|2027|1.32|0.98|0.26|0.32|0.4|0.35|0.5|0.252953|0.113705|0.45726799999999995|0.04|0.075|0.85|0.85|7|4.5|2.65|2.2|0.8|3.8|0.72|1.85|0.025|0.025|0.085|0.831|2.57|0.42|0.18|0.75|0.35|0.2|0|0.26|0.075|0|5.7|3.1|3.1|0.9|4.65|0.88|2.15|0.03|0.025|0|0.75|2.58|0.5|0.22|0.9|0.45|0.55|0.35|0.38|0.15|0|6.8|3.6|4.4|1|5.55|1.08|2.55|0.04|0.02|0|0.75|2.6|0.6|0.26|1.1|0.6|0.7|0.6|0.54|0.15|-0.1|7.9|4.1|5.8|1.05|6.55|1.3|2.95|0.05|0.02|0|0.75|2.62|0.7|0.3|1.3|0.7|0.9|0.9|0.74|0.15|-0.2|8.8|4.6|7.2|1.1|7.5|1.52|3.3|0.06|0.02|0|0.75|2.64|0.8|0.34|1.4|0.8|1.05|1.2|0.96|0.15|-0.2|9.6|5|8.6|1.1|8.35|1.75|3.7|0.07|0.02|0|0.75|2.66|0.9|0.38|1.5|0.9|1.2|1.4|1.2|0.15|-0.2|10.2|5.3|9.8|1.1|9.1|1.95|4.1|0.08|0.02|0|0.75|2.68|1|0.42|1.6|1|1.35|1.6|1.45|0.15|-0.2|2027|3.8|0.9|0.88|2027|1.1|0.9|0.78|2027|2|0.9|0.75|2028|1.5|0.8|0.8|2028|3|0.75|0.87|2028|1.8|0.75|0.76|2028|3|0.5|0.15|0.08|2029|2|0.5|0.13|0.08|2030|4|0.55|0.15|0.1|2031|3.5|0.45|0.15|0.08|2031|5|0.4|0.13|0.08|2031|5|0.35|0.13|0.08|1</x:v>
      </x:c>
    </x:row>
    <x:row r="652" ht="23" customHeight="1">
      <x:c r="A652" s="11" t="str">
        <x:v>01177.HK</x:v>
      </x:c>
      <x:c r="B652" s="11" t="str">
        <x:v>中国生物制药</x:v>
      </x:c>
      <x:c r="C652" s="11" t="str">
        <x:v>2026年底</x:v>
      </x:c>
      <x:c r="D652" s="11" t="str">
        <x:v>悲观</x:v>
      </x:c>
      <x:c r="E652" s="11" t="n">
        <x:v>5.41</x:v>
      </x:c>
      <x:c r="F652" s="11" t="n">
        <x:v>3.980326086956523</x:v>
      </x:c>
      <x:c r="G652" s="11" t="n">
        <x:v>0</x:v>
      </x:c>
      <x:c r="H652" s="25" t="n">
        <x:v>-0.26426504862171474</x:v>
      </x:c>
      <x:c r="I652" s="25" t="n">
        <x:v>-0.26426504862171474</x:v>
      </x:c>
      <x:c r="J652" s="25" t="str"/>
      <x:c r="K652" s="11" t="n">
        <x:v>0.23</x:v>
      </x:c>
      <x:c r="L652" s="11" t="n">
        <x:v>15</x:v>
      </x:c>
      <x:c r="M652" s="11" t="n">
        <x:v>1.1</x:v>
      </x:c>
      <x:c r="N652" s="11" t="n">
        <x:v>0</x:v>
      </x:c>
      <x:c r="O652" s="11" t="n">
        <x:v>38</x:v>
      </x:c>
      <x:c r="P652" s="11" t="n">
        <x:v>0.11136842105263159</x:v>
      </x:c>
      <x:c r="Q652" s="11" t="n">
        <x:v>18.4</x:v>
      </x:c>
      <x:c r="R652" s="11" t="str">
        <x:v>sinobiopharm-v1-transaction-cash-bridge</x:v>
      </x:c>
      <x:c r="S652" s="11" t="str">
        <x:v>2026-10-10</x:v>
      </x:c>
      <x:c r="T652" s="11" t="str">
        <x:f>IF(AND(SUM(IF(K652='假设'!E868,0,1),IF(L652='假设'!F868,0,1),IF(M652='假设'!G868,0,1),IF(N652='假设'!H868,0,1),IF(O652='假设'!I868,0,1),IF(P652='假设'!J868,0,1),IF(Q652='假设'!K868,0,1))=0,U652=V652),"已刷新","待刷新")</x:f>
        <x:v>已刷新</x:v>
      </x:c>
      <x:c r="U652" t="str">
        <x:v>-0.5|3.6</x:v>
      </x:c>
      <x:c r="V652" t="str">
        <x:f>'假设'!N868&amp;"|"&amp;'假设'!P868</x:f>
        <x:v>-0.5|3.6</x:v>
      </x:c>
    </x:row>
    <x:row r="653" ht="23" customHeight="1">
      <x:c r="A653" s="11" t="str">
        <x:v>01177.HK</x:v>
      </x:c>
      <x:c r="B653" s="11" t="str">
        <x:v>中国生物制药</x:v>
      </x:c>
      <x:c r="C653" s="11" t="str">
        <x:v>2026年底</x:v>
      </x:c>
      <x:c r="D653" s="11" t="str">
        <x:v>基准</x:v>
      </x:c>
      <x:c r="E653" s="11" t="n">
        <x:v>5.41</x:v>
      </x:c>
      <x:c r="F653" s="11" t="n">
        <x:v>7.60825274725275</x:v>
      </x:c>
      <x:c r="G653" s="11" t="n">
        <x:v>0</x:v>
      </x:c>
      <x:c r="H653" s="25" t="n">
        <x:v>0.40633137657167273</x:v>
      </x:c>
      <x:c r="I653" s="25" t="n">
        <x:v>0.40633137657167273</x:v>
      </x:c>
      <x:c r="J653" s="25" t="str"/>
      <x:c r="K653" s="11" t="n">
        <x:v>0.31</x:v>
      </x:c>
      <x:c r="L653" s="11" t="n">
        <x:v>21</x:v>
      </x:c>
      <x:c r="M653" s="11" t="n">
        <x:v>1.1</x:v>
      </x:c>
      <x:c r="N653" s="11" t="n">
        <x:v>0</x:v>
      </x:c>
      <x:c r="O653" s="11" t="n">
        <x:v>42</x:v>
      </x:c>
      <x:c r="P653" s="11" t="n">
        <x:v>0.13433333333333333</x:v>
      </x:c>
      <x:c r="Q653" s="11" t="n">
        <x:v>18.2</x:v>
      </x:c>
      <x:c r="R653" s="11" t="str">
        <x:v>sinobiopharm-v1-transaction-cash-bridge</x:v>
      </x:c>
      <x:c r="S653" s="11" t="str">
        <x:v>2026-10-10</x:v>
      </x:c>
      <x:c r="T653" s="11" t="str">
        <x:f>IF(AND(SUM(IF(K653='假设'!E869,0,1),IF(L653='假设'!F869,0,1),IF(M653='假设'!G869,0,1),IF(N653='假设'!H869,0,1),IF(O653='假设'!I869,0,1),IF(P653='假设'!J869,0,1),IF(Q653='假设'!K869,0,1))=0,U653=V653),"已刷新","待刷新")</x:f>
        <x:v>已刷新</x:v>
      </x:c>
      <x:c r="U653" t="str">
        <x:v>2|5.4</x:v>
      </x:c>
      <x:c r="V653" t="str">
        <x:f>'假设'!N869&amp;"|"&amp;'假设'!P869</x:f>
        <x:v>2|5.4</x:v>
      </x:c>
    </x:row>
    <x:row r="654" ht="23" customHeight="1">
      <x:c r="A654" s="11" t="str">
        <x:v>01177.HK</x:v>
      </x:c>
      <x:c r="B654" s="11" t="str">
        <x:v>中国生物制药</x:v>
      </x:c>
      <x:c r="C654" s="11" t="str">
        <x:v>2026年底</x:v>
      </x:c>
      <x:c r="D654" s="11" t="str">
        <x:v>乐观</x:v>
      </x:c>
      <x:c r="E654" s="11" t="n">
        <x:v>5.41</x:v>
      </x:c>
      <x:c r="F654" s="11" t="n">
        <x:v>12.259923076923078</x:v>
      </x:c>
      <x:c r="G654" s="11" t="n">
        <x:v>0</x:v>
      </x:c>
      <x:c r="H654" s="25" t="n">
        <x:v>1.2661595336271865</x:v>
      </x:c>
      <x:c r="I654" s="25" t="n">
        <x:v>1.2661595336271865</x:v>
      </x:c>
      <x:c r="J654" s="25" t="str"/>
      <x:c r="K654" s="11" t="n">
        <x:v>0.39</x:v>
      </x:c>
      <x:c r="L654" s="11" t="n">
        <x:v>27</x:v>
      </x:c>
      <x:c r="M654" s="11" t="n">
        <x:v>1.1</x:v>
      </x:c>
      <x:c r="N654" s="11" t="n">
        <x:v>0</x:v>
      </x:c>
      <x:c r="O654" s="11" t="n">
        <x:v>47</x:v>
      </x:c>
      <x:c r="P654" s="11" t="n">
        <x:v>0.15102127659574469</x:v>
      </x:c>
      <x:c r="Q654" s="11" t="n">
        <x:v>18.2</x:v>
      </x:c>
      <x:c r="R654" s="11" t="str">
        <x:v>sinobiopharm-v1-transaction-cash-bridge</x:v>
      </x:c>
      <x:c r="S654" s="11" t="str">
        <x:v>2026-10-10</x:v>
      </x:c>
      <x:c r="T654" s="11" t="str">
        <x:f>IF(AND(SUM(IF(K654='假设'!E870,0,1),IF(L654='假设'!F870,0,1),IF(M654='假设'!G870,0,1),IF(N654='假设'!H870,0,1),IF(O654='假设'!I870,0,1),IF(P654='假设'!J870,0,1),IF(Q654='假设'!K870,0,1))=0,U654=V654),"已刷新","待刷新")</x:f>
        <x:v>已刷新</x:v>
      </x:c>
      <x:c r="U654" t="str">
        <x:v>4|7.2</x:v>
      </x:c>
      <x:c r="V654" t="str">
        <x:f>'假设'!N870&amp;"|"&amp;'假设'!P870</x:f>
        <x:v>4|7.2</x:v>
      </x:c>
    </x:row>
    <x:row r="655" ht="23" customHeight="1">
      <x:c r="A655" s="11" t="str">
        <x:v>01177.HK</x:v>
      </x:c>
      <x:c r="B655" s="11" t="str">
        <x:v>中国生物制药</x:v>
      </x:c>
      <x:c r="C655" s="11" t="str">
        <x:v>半年</x:v>
      </x:c>
      <x:c r="D655" s="11" t="str">
        <x:v>悲观</x:v>
      </x:c>
      <x:c r="E655" s="11" t="n">
        <x:v>5.41</x:v>
      </x:c>
      <x:c r="F655" s="11" t="n">
        <x:v>4.233326086956523</x:v>
      </x:c>
      <x:c r="G655" s="11" t="n">
        <x:v>0</x:v>
      </x:c>
      <x:c r="H655" s="25" t="n">
        <x:v>-0.2174997990838221</x:v>
      </x:c>
      <x:c r="I655" s="25" t="n">
        <x:v>-0.2174997990838221</x:v>
      </x:c>
      <x:c r="J655" s="25" t="str"/>
      <x:c r="K655" s="11" t="n">
        <x:v>0.23</x:v>
      </x:c>
      <x:c r="L655" s="11" t="n">
        <x:v>16</x:v>
      </x:c>
      <x:c r="M655" s="11" t="n">
        <x:v>1.1</x:v>
      </x:c>
      <x:c r="N655" s="11" t="n">
        <x:v>0</x:v>
      </x:c>
      <x:c r="O655" s="11" t="n">
        <x:v>38</x:v>
      </x:c>
      <x:c r="P655" s="11" t="n">
        <x:v>0.11136842105263159</x:v>
      </x:c>
      <x:c r="Q655" s="11" t="n">
        <x:v>18.4</x:v>
      </x:c>
      <x:c r="R655" s="11" t="str">
        <x:v>sinobiopharm-v1-transaction-cash-bridge</x:v>
      </x:c>
      <x:c r="S655" s="11" t="str">
        <x:v>2026-10-10</x:v>
      </x:c>
      <x:c r="T655" s="11" t="str">
        <x:f>IF(AND(SUM(IF(K655='假设'!E872,0,1),IF(L655='假设'!F872,0,1),IF(M655='假设'!G872,0,1),IF(N655='假设'!H872,0,1),IF(O655='假设'!I872,0,1),IF(P655='假设'!J872,0,1),IF(Q655='假设'!K872,0,1))=0,U655=V655),"已刷新","待刷新")</x:f>
        <x:v>已刷新</x:v>
      </x:c>
      <x:c r="U655" t="str">
        <x:v>-0.5|3.6</x:v>
      </x:c>
      <x:c r="V655" t="str">
        <x:f>'假设'!N872&amp;"|"&amp;'假设'!P872</x:f>
        <x:v>-0.5|3.6</x:v>
      </x:c>
    </x:row>
    <x:row r="656" ht="23" customHeight="1">
      <x:c r="A656" s="11" t="str">
        <x:v>01177.HK</x:v>
      </x:c>
      <x:c r="B656" s="11" t="str">
        <x:v>中国生物制药</x:v>
      </x:c>
      <x:c r="C656" s="11" t="str">
        <x:v>半年</x:v>
      </x:c>
      <x:c r="D656" s="11" t="str">
        <x:v>基准</x:v>
      </x:c>
      <x:c r="E656" s="11" t="n">
        <x:v>5.41</x:v>
      </x:c>
      <x:c r="F656" s="11" t="n">
        <x:v>8.320472527472528</x:v>
      </x:c>
      <x:c r="G656" s="11" t="n">
        <x:v>0</x:v>
      </x:c>
      <x:c r="H656" s="25" t="n">
        <x:v>0.5379801344681199</x:v>
      </x:c>
      <x:c r="I656" s="25" t="n">
        <x:v>0.5379801344681199</x:v>
      </x:c>
      <x:c r="J656" s="25" t="str"/>
      <x:c r="K656" s="11" t="n">
        <x:v>0.31</x:v>
      </x:c>
      <x:c r="L656" s="11" t="n">
        <x:v>23</x:v>
      </x:c>
      <x:c r="M656" s="11" t="n">
        <x:v>1.1</x:v>
      </x:c>
      <x:c r="N656" s="11" t="n">
        <x:v>0</x:v>
      </x:c>
      <x:c r="O656" s="11" t="n">
        <x:v>42</x:v>
      </x:c>
      <x:c r="P656" s="11" t="n">
        <x:v>0.13433333333333333</x:v>
      </x:c>
      <x:c r="Q656" s="11" t="n">
        <x:v>18.2</x:v>
      </x:c>
      <x:c r="R656" s="11" t="str">
        <x:v>sinobiopharm-v1-transaction-cash-bridge</x:v>
      </x:c>
      <x:c r="S656" s="11" t="str">
        <x:v>2026-10-10</x:v>
      </x:c>
      <x:c r="T656" s="11" t="str">
        <x:f>IF(AND(SUM(IF(K656='假设'!E873,0,1),IF(L656='假设'!F873,0,1),IF(M656='假设'!G873,0,1),IF(N656='假设'!H873,0,1),IF(O656='假设'!I873,0,1),IF(P656='假设'!J873,0,1),IF(Q656='假设'!K873,0,1))=0,U656=V656),"已刷新","待刷新")</x:f>
        <x:v>已刷新</x:v>
      </x:c>
      <x:c r="U656" t="str">
        <x:v>2.5|5.4</x:v>
      </x:c>
      <x:c r="V656" t="str">
        <x:f>'假设'!N873&amp;"|"&amp;'假设'!P873</x:f>
        <x:v>2.5|5.4</x:v>
      </x:c>
    </x:row>
    <x:row r="657" ht="23" customHeight="1">
      <x:c r="A657" s="11" t="str">
        <x:v>01177.HK</x:v>
      </x:c>
      <x:c r="B657" s="11" t="str">
        <x:v>中国生物制药</x:v>
      </x:c>
      <x:c r="C657" s="11" t="str">
        <x:v>半年</x:v>
      </x:c>
      <x:c r="D657" s="11" t="str">
        <x:v>乐观</x:v>
      </x:c>
      <x:c r="E657" s="11" t="n">
        <x:v>5.41</x:v>
      </x:c>
      <x:c r="F657" s="11" t="n">
        <x:v>13.166274725274727</x:v>
      </x:c>
      <x:c r="G657" s="11" t="n">
        <x:v>0</x:v>
      </x:c>
      <x:c r="H657" s="25" t="n">
        <x:v>1.433692185817879</x:v>
      </x:c>
      <x:c r="I657" s="25" t="n">
        <x:v>1.433692185817879</x:v>
      </x:c>
      <x:c r="J657" s="25" t="str"/>
      <x:c r="K657" s="11" t="n">
        <x:v>0.39</x:v>
      </x:c>
      <x:c r="L657" s="11" t="n">
        <x:v>29</x:v>
      </x:c>
      <x:c r="M657" s="11" t="n">
        <x:v>1.1</x:v>
      </x:c>
      <x:c r="N657" s="11" t="n">
        <x:v>0</x:v>
      </x:c>
      <x:c r="O657" s="11" t="n">
        <x:v>47</x:v>
      </x:c>
      <x:c r="P657" s="11" t="n">
        <x:v>0.15102127659574469</x:v>
      </x:c>
      <x:c r="Q657" s="11" t="n">
        <x:v>18.2</x:v>
      </x:c>
      <x:c r="R657" s="11" t="str">
        <x:v>sinobiopharm-v1-transaction-cash-bridge</x:v>
      </x:c>
      <x:c r="S657" s="11" t="str">
        <x:v>2026-10-10</x:v>
      </x:c>
      <x:c r="T657" s="11" t="str">
        <x:f>IF(AND(SUM(IF(K657='假设'!E874,0,1),IF(L657='假设'!F874,0,1),IF(M657='假设'!G874,0,1),IF(N657='假设'!H874,0,1),IF(O657='假设'!I874,0,1),IF(P657='假设'!J874,0,1),IF(Q657='假设'!K874,0,1))=0,U657=V657),"已刷新","待刷新")</x:f>
        <x:v>已刷新</x:v>
      </x:c>
      <x:c r="U657" t="str">
        <x:v>4.8|7.2</x:v>
      </x:c>
      <x:c r="V657" t="str">
        <x:f>'假设'!N874&amp;"|"&amp;'假设'!P874</x:f>
        <x:v>4.8|7.2</x:v>
      </x:c>
    </x:row>
    <x:row r="658" ht="23" customHeight="1">
      <x:c r="A658" s="11" t="str">
        <x:v>01177.HK</x:v>
      </x:c>
      <x:c r="B658" s="11" t="str">
        <x:v>中国生物制药</x:v>
      </x:c>
      <x:c r="C658" s="11" t="str">
        <x:v>一年</x:v>
      </x:c>
      <x:c r="D658" s="11" t="str">
        <x:v>悲观</x:v>
      </x:c>
      <x:c r="E658" s="11" t="n">
        <x:v>5.41</x:v>
      </x:c>
      <x:c r="F658" s="11" t="n">
        <x:v>4.25510752688172</x:v>
      </x:c>
      <x:c r="G658" s="11" t="n">
        <x:v>0.07</x:v>
      </x:c>
      <x:c r="H658" s="25" t="n">
        <x:v>-0.21347365492019965</x:v>
      </x:c>
      <x:c r="I658" s="25" t="n">
        <x:v>-0.20053465307177076</x:v>
      </x:c>
      <x:c r="J658" s="25" t="str"/>
      <x:c r="K658" s="11" t="n">
        <x:v>0.25</x:v>
      </x:c>
      <x:c r="L658" s="11" t="n">
        <x:v>15</x:v>
      </x:c>
      <x:c r="M658" s="11" t="n">
        <x:v>1.1</x:v>
      </x:c>
      <x:c r="N658" s="11" t="n">
        <x:v>0.07</x:v>
      </x:c>
      <x:c r="O658" s="11" t="n">
        <x:v>40</x:v>
      </x:c>
      <x:c r="P658" s="11" t="n">
        <x:v>0.11625</x:v>
      </x:c>
      <x:c r="Q658" s="11" t="n">
        <x:v>18.6</x:v>
      </x:c>
      <x:c r="R658" s="11" t="str">
        <x:v>sinobiopharm-v1-transaction-cash-bridge</x:v>
      </x:c>
      <x:c r="S658" s="11" t="str">
        <x:v>2026-10-10</x:v>
      </x:c>
      <x:c r="T658" s="11" t="str">
        <x:f>IF(AND(SUM(IF(K658='假设'!E876,0,1),IF(L658='假设'!F876,0,1),IF(M658='假设'!G876,0,1),IF(N658='假设'!H876,0,1),IF(O658='假设'!I876,0,1),IF(P658='假设'!J876,0,1),IF(Q658='假设'!K876,0,1))=0,U658=V658),"已刷新","待刷新")</x:f>
        <x:v>已刷新</x:v>
      </x:c>
      <x:c r="U658" t="str">
        <x:v>-1|3.2</x:v>
      </x:c>
      <x:c r="V658" t="str">
        <x:f>'假设'!N876&amp;"|"&amp;'假设'!P876</x:f>
        <x:v>-1|3.2</x:v>
      </x:c>
    </x:row>
    <x:row r="659" ht="23" customHeight="1">
      <x:c r="A659" s="11" t="str">
        <x:v>01177.HK</x:v>
      </x:c>
      <x:c r="B659" s="11" t="str">
        <x:v>中国生物制药</x:v>
      </x:c>
      <x:c r="C659" s="11" t="str">
        <x:v>一年</x:v>
      </x:c>
      <x:c r="D659" s="11" t="str">
        <x:v>基准</x:v>
      </x:c>
      <x:c r="E659" s="11" t="n">
        <x:v>5.41</x:v>
      </x:c>
      <x:c r="F659" s="11" t="n">
        <x:v>10.428956521739131</x:v>
      </x:c>
      <x:c r="G659" s="11" t="n">
        <x:v>0.14</x:v>
      </x:c>
      <x:c r="H659" s="25" t="n">
        <x:v>0.9277183958852369</x:v>
      </x:c>
      <x:c r="I659" s="25" t="n">
        <x:v>0.9535963995820946</x:v>
      </x:c>
      <x:c r="J659" s="25" t="str"/>
      <x:c r="K659" s="11" t="n">
        <x:v>0.39</x:v>
      </x:c>
      <x:c r="L659" s="11" t="n">
        <x:v>23</x:v>
      </x:c>
      <x:c r="M659" s="11" t="n">
        <x:v>1.1</x:v>
      </x:c>
      <x:c r="N659" s="11" t="n">
        <x:v>0.14</x:v>
      </x:c>
      <x:c r="O659" s="11" t="n">
        <x:v>49</x:v>
      </x:c>
      <x:c r="P659" s="11" t="n">
        <x:v>0.14644897959183673</x:v>
      </x:c>
      <x:c r="Q659" s="11" t="n">
        <x:v>18.4</x:v>
      </x:c>
      <x:c r="R659" s="11" t="str">
        <x:v>sinobiopharm-v1-transaction-cash-bridge</x:v>
      </x:c>
      <x:c r="S659" s="11" t="str">
        <x:v>2026-10-10</x:v>
      </x:c>
      <x:c r="T659" s="11" t="str">
        <x:f>IF(AND(SUM(IF(K659='假设'!E877,0,1),IF(L659='假设'!F877,0,1),IF(M659='假设'!G877,0,1),IF(N659='假设'!H877,0,1),IF(O659='假设'!I877,0,1),IF(P659='假设'!J877,0,1),IF(Q659='假设'!K877,0,1))=0,U659=V659),"已刷新","待刷新")</x:f>
        <x:v>已刷新</x:v>
      </x:c>
      <x:c r="U659" t="str">
        <x:v>3.8|5.6</x:v>
      </x:c>
      <x:c r="V659" t="str">
        <x:f>'假设'!N877&amp;"|"&amp;'假设'!P877</x:f>
        <x:v>3.8|5.6</x:v>
      </x:c>
    </x:row>
    <x:row r="660" ht="23" customHeight="1">
      <x:c r="A660" s="11" t="str">
        <x:v>01177.HK</x:v>
      </x:c>
      <x:c r="B660" s="11" t="str">
        <x:v>中国生物制药</x:v>
      </x:c>
      <x:c r="C660" s="11" t="str">
        <x:v>一年</x:v>
      </x:c>
      <x:c r="D660" s="11" t="str">
        <x:v>乐观</x:v>
      </x:c>
      <x:c r="E660" s="11" t="n">
        <x:v>5.41</x:v>
      </x:c>
      <x:c r="F660" s="11" t="n">
        <x:v>18.044782608695655</x:v>
      </x:c>
      <x:c r="G660" s="11" t="n">
        <x:v>0.2</x:v>
      </x:c>
      <x:c r="H660" s="25" t="n">
        <x:v>2.335449650405851</x:v>
      </x:c>
      <x:c r="I660" s="25" t="n">
        <x:v>2.3724182271156478</x:v>
      </x:c>
      <x:c r="J660" s="25" t="str"/>
      <x:c r="K660" s="11" t="n">
        <x:v>0.52</x:v>
      </x:c>
      <x:c r="L660" s="11" t="n">
        <x:v>30</x:v>
      </x:c>
      <x:c r="M660" s="11" t="n">
        <x:v>1.1</x:v>
      </x:c>
      <x:c r="N660" s="11" t="n">
        <x:v>0.2</x:v>
      </x:c>
      <x:c r="O660" s="11" t="n">
        <x:v>57.4</x:v>
      </x:c>
      <x:c r="P660" s="11" t="n">
        <x:v>0.16668989547038326</x:v>
      </x:c>
      <x:c r="Q660" s="11" t="n">
        <x:v>18.4</x:v>
      </x:c>
      <x:c r="R660" s="11" t="str">
        <x:v>sinobiopharm-v1-transaction-cash-bridge</x:v>
      </x:c>
      <x:c r="S660" s="11" t="str">
        <x:v>2026-10-10</x:v>
      </x:c>
      <x:c r="T660" s="11" t="str">
        <x:f>IF(AND(SUM(IF(K660='假设'!E878,0,1),IF(L660='假设'!F878,0,1),IF(M660='假设'!G878,0,1),IF(N660='假设'!H878,0,1),IF(O660='假设'!I878,0,1),IF(P660='假设'!J878,0,1),IF(Q660='假设'!K878,0,1))=0,U660=V660),"已刷新","待刷新")</x:f>
        <x:v>已刷新</x:v>
      </x:c>
      <x:c r="U660" t="str">
        <x:v>7|7.8</x:v>
      </x:c>
      <x:c r="V660" t="str">
        <x:f>'假设'!N878&amp;"|"&amp;'假设'!P878</x:f>
        <x:v>7|7.8</x:v>
      </x:c>
    </x:row>
    <x:row r="661" ht="23" customHeight="1">
      <x:c r="A661" s="11" t="str">
        <x:v>01177.HK</x:v>
      </x:c>
      <x:c r="B661" s="11" t="str">
        <x:v>中国生物制药</x:v>
      </x:c>
      <x:c r="C661" s="11" t="str">
        <x:v>三年</x:v>
      </x:c>
      <x:c r="D661" s="11" t="str">
        <x:v>悲观</x:v>
      </x:c>
      <x:c r="E661" s="11" t="n">
        <x:v>5.41</x:v>
      </x:c>
      <x:c r="F661" s="11" t="n">
        <x:v>4.079263157894737</x:v>
      </x:c>
      <x:c r="G661" s="11" t="n">
        <x:v>0.23</x:v>
      </x:c>
      <x:c r="H661" s="25" t="n">
        <x:v>-0.2459772351396049</x:v>
      </x:c>
      <x:c r="I661" s="25" t="n">
        <x:v>-0.20346337192333874</x:v>
      </x:c>
      <x:c r="J661" s="25" t="n">
        <x:v>-0.07302380015826915</x:v>
      </x:c>
      <x:c r="K661" s="11" t="n">
        <x:v>0.28</x:v>
      </x:c>
      <x:c r="L661" s="11" t="n">
        <x:v>13</x:v>
      </x:c>
      <x:c r="M661" s="11" t="n">
        <x:v>1.1</x:v>
      </x:c>
      <x:c r="N661" s="11" t="n">
        <x:v>0.23</x:v>
      </x:c>
      <x:c r="O661" s="11" t="n">
        <x:v>43</x:v>
      </x:c>
      <x:c r="P661" s="11" t="n">
        <x:v>0.12372093023255815</x:v>
      </x:c>
      <x:c r="Q661" s="11" t="n">
        <x:v>19</x:v>
      </x:c>
      <x:c r="R661" s="11" t="str">
        <x:v>sinobiopharm-v1-transaction-cash-bridge</x:v>
      </x:c>
      <x:c r="S661" s="11" t="str">
        <x:v>2026-10-10</x:v>
      </x:c>
      <x:c r="T661" s="11" t="str">
        <x:f>IF(AND(SUM(IF(K661='假设'!E880,0,1),IF(L661='假设'!F880,0,1),IF(M661='假设'!G880,0,1),IF(N661='假设'!H880,0,1),IF(O661='假设'!I880,0,1),IF(P661='假设'!J880,0,1),IF(Q661='假设'!K880,0,1))=0,U661=V661),"已刷新","待刷新")</x:f>
        <x:v>已刷新</x:v>
      </x:c>
      <x:c r="U661" t="str">
        <x:v>-1.5|2.8</x:v>
      </x:c>
      <x:c r="V661" t="str">
        <x:f>'假设'!N880&amp;"|"&amp;'假设'!P880</x:f>
        <x:v>-1.5|2.8</x:v>
      </x:c>
    </x:row>
    <x:row r="662" ht="23" customHeight="1">
      <x:c r="A662" s="11" t="str">
        <x:v>01177.HK</x:v>
      </x:c>
      <x:c r="B662" s="11" t="str">
        <x:v>中国生物制药</x:v>
      </x:c>
      <x:c r="C662" s="11" t="str">
        <x:v>三年</x:v>
      </x:c>
      <x:c r="D662" s="11" t="str">
        <x:v>基准</x:v>
      </x:c>
      <x:c r="E662" s="11" t="n">
        <x:v>5.41</x:v>
      </x:c>
      <x:c r="F662" s="11" t="n">
        <x:v>13.586638297872343</x:v>
      </x:c>
      <x:c r="G662" s="11" t="n">
        <x:v>0.5</x:v>
      </x:c>
      <x:c r="H662" s="25" t="n">
        <x:v>1.5113934007157748</x:v>
      </x:c>
      <x:c r="I662" s="25" t="n">
        <x:v>1.6038148424902667</x:v>
      </x:c>
      <x:c r="J662" s="25" t="n">
        <x:v>0.3757410603645417</x:v>
      </x:c>
      <x:c r="K662" s="11" t="n">
        <x:v>0.53</x:v>
      </x:c>
      <x:c r="L662" s="11" t="n">
        <x:v>22</x:v>
      </x:c>
      <x:c r="M662" s="11" t="n">
        <x:v>1.1</x:v>
      </x:c>
      <x:c r="N662" s="11" t="n">
        <x:v>0.5</x:v>
      </x:c>
      <x:c r="O662" s="11" t="n">
        <x:v>60.7</x:v>
      </x:c>
      <x:c r="P662" s="11" t="n">
        <x:v>0.1641515650741351</x:v>
      </x:c>
      <x:c r="Q662" s="11" t="n">
        <x:v>18.8</x:v>
      </x:c>
      <x:c r="R662" s="11" t="str">
        <x:v>sinobiopharm-v1-transaction-cash-bridge</x:v>
      </x:c>
      <x:c r="S662" s="11" t="str">
        <x:v>2026-10-10</x:v>
      </x:c>
      <x:c r="T662" s="11" t="str">
        <x:f>IF(AND(SUM(IF(K662='假设'!E881,0,1),IF(L662='假设'!F881,0,1),IF(M662='假设'!G881,0,1),IF(N662='假设'!H881,0,1),IF(O662='假设'!I881,0,1),IF(P662='假设'!J881,0,1),IF(Q662='假设'!K881,0,1))=0,U662=V662),"已刷新","待刷新")</x:f>
        <x:v>已刷新</x:v>
      </x:c>
      <x:c r="U662" t="str">
        <x:v>7|6</x:v>
      </x:c>
      <x:c r="V662" t="str">
        <x:f>'假设'!N881&amp;"|"&amp;'假设'!P881</x:f>
        <x:v>7|6</x:v>
      </x:c>
    </x:row>
    <x:row r="663" ht="23" customHeight="1">
      <x:c r="A663" s="11" t="str">
        <x:v>01177.HK</x:v>
      </x:c>
      <x:c r="B663" s="11" t="str">
        <x:v>中国生物制药</x:v>
      </x:c>
      <x:c r="C663" s="11" t="str">
        <x:v>三年</x:v>
      </x:c>
      <x:c r="D663" s="11" t="str">
        <x:v>乐观</x:v>
      </x:c>
      <x:c r="E663" s="11" t="n">
        <x:v>5.41</x:v>
      </x:c>
      <x:c r="F663" s="11" t="n">
        <x:v>25.76246808510638</x:v>
      </x:c>
      <x:c r="G663" s="11" t="n">
        <x:v>0.75</x:v>
      </x:c>
      <x:c r="H663" s="25" t="n">
        <x:v>3.762008888189719</x:v>
      </x:c>
      <x:c r="I663" s="25" t="n">
        <x:v>3.9006410508514566</x:v>
      </x:c>
      <x:c r="J663" s="25" t="n">
        <x:v>0.698573318698468</x:v>
      </x:c>
      <x:c r="K663" s="11" t="n">
        <x:v>0.77</x:v>
      </x:c>
      <x:c r="L663" s="11" t="n">
        <x:v>29</x:v>
      </x:c>
      <x:c r="M663" s="11" t="n">
        <x:v>1.1</x:v>
      </x:c>
      <x:c r="N663" s="11" t="n">
        <x:v>0.75</x:v>
      </x:c>
      <x:c r="O663" s="11" t="n">
        <x:v>80</x:v>
      </x:c>
      <x:c r="P663" s="11" t="n">
        <x:v>0.18095</x:v>
      </x:c>
      <x:c r="Q663" s="11" t="n">
        <x:v>18.8</x:v>
      </x:c>
      <x:c r="R663" s="11" t="str">
        <x:v>sinobiopharm-v1-transaction-cash-bridge</x:v>
      </x:c>
      <x:c r="S663" s="11" t="str">
        <x:v>2026-10-10</x:v>
      </x:c>
      <x:c r="T663" s="11" t="str">
        <x:f>IF(AND(SUM(IF(K663='假设'!E882,0,1),IF(L663='假设'!F882,0,1),IF(M663='假设'!G882,0,1),IF(N663='假设'!H882,0,1),IF(O663='假设'!I882,0,1),IF(P663='假设'!J882,0,1),IF(Q663='假设'!K882,0,1))=0,U663=V663),"已刷新","待刷新")</x:f>
        <x:v>已刷新</x:v>
      </x:c>
      <x:c r="U663" t="str">
        <x:v>12|8.5</x:v>
      </x:c>
      <x:c r="V663" t="str">
        <x:f>'假设'!N882&amp;"|"&amp;'假设'!P882</x:f>
        <x:v>12|8.5</x:v>
      </x:c>
    </x:row>
    <x:row r="664" ht="23" customHeight="1">
      <x:c r="A664" s="11" t="str">
        <x:v>01177.HK</x:v>
      </x:c>
      <x:c r="B664" s="11" t="str">
        <x:v>中国生物制药</x:v>
      </x:c>
      <x:c r="C664" s="11" t="str">
        <x:v>五年</x:v>
      </x:c>
      <x:c r="D664" s="11" t="str">
        <x:v>悲观</x:v>
      </x:c>
      <x:c r="E664" s="11" t="n">
        <x:v>5.41</x:v>
      </x:c>
      <x:c r="F664" s="11" t="n">
        <x:v>4.246448979591837</x:v>
      </x:c>
      <x:c r="G664" s="11" t="n">
        <x:v>0.43</x:v>
      </x:c>
      <x:c r="H664" s="25" t="n">
        <x:v>-0.21507412576860685</x:v>
      </x:c>
      <x:c r="I664" s="25" t="n">
        <x:v>-0.1355916858425441</x:v>
      </x:c>
      <x:c r="J664" s="25" t="n">
        <x:v>-0.028721473867546865</x:v>
      </x:c>
      <x:c r="K664" s="11" t="n">
        <x:v>0.32</x:v>
      </x:c>
      <x:c r="L664" s="11" t="n">
        <x:v>12</x:v>
      </x:c>
      <x:c r="M664" s="11" t="n">
        <x:v>1.1</x:v>
      </x:c>
      <x:c r="N664" s="11" t="n">
        <x:v>0.43</x:v>
      </x:c>
      <x:c r="O664" s="11" t="n">
        <x:v>49.1</x:v>
      </x:c>
      <x:c r="P664" s="11" t="n">
        <x:v>0.12773930753564156</x:v>
      </x:c>
      <x:c r="Q664" s="11" t="n">
        <x:v>19.6</x:v>
      </x:c>
      <x:c r="R664" s="11" t="str">
        <x:v>sinobiopharm-v1-transaction-cash-bridge</x:v>
      </x:c>
      <x:c r="S664" s="11" t="str">
        <x:v>2026-10-10</x:v>
      </x:c>
      <x:c r="T664" s="11" t="str">
        <x:f>IF(AND(SUM(IF(K664='假设'!E884,0,1),IF(L664='假设'!F884,0,1),IF(M664='假设'!G884,0,1),IF(N664='假设'!H884,0,1),IF(O664='假设'!I884,0,1),IF(P664='假设'!J884,0,1),IF(Q664='假设'!K884,0,1))=0,U664=V664),"已刷新","待刷新")</x:f>
        <x:v>已刷新</x:v>
      </x:c>
      <x:c r="U664" t="str">
        <x:v>-2|2.4</x:v>
      </x:c>
      <x:c r="V664" t="str">
        <x:f>'假设'!N884&amp;"|"&amp;'假设'!P884</x:f>
        <x:v>-2|2.4</x:v>
      </x:c>
    </x:row>
    <x:row r="665" ht="23" customHeight="1">
      <x:c r="A665" s="11" t="str">
        <x:v>01177.HK</x:v>
      </x:c>
      <x:c r="B665" s="11" t="str">
        <x:v>中国生物制药</x:v>
      </x:c>
      <x:c r="C665" s="11" t="str">
        <x:v>五年</x:v>
      </x:c>
      <x:c r="D665" s="11" t="str">
        <x:v>基准</x:v>
      </x:c>
      <x:c r="E665" s="11" t="n">
        <x:v>5.41</x:v>
      </x:c>
      <x:c r="F665" s="11" t="n">
        <x:v>17.988969072164952</x:v>
      </x:c>
      <x:c r="G665" s="11" t="n">
        <x:v>0.95</x:v>
      </x:c>
      <x:c r="H665" s="25" t="n">
        <x:v>2.3251329153724494</x:v>
      </x:c>
      <x:c r="I665" s="25" t="n">
        <x:v>2.5007336547439833</x:v>
      </x:c>
      <x:c r="J665" s="25" t="n">
        <x:v>0.28478901272476875</x:v>
      </x:c>
      <x:c r="K665" s="11" t="n">
        <x:v>0.77</x:v>
      </x:c>
      <x:c r="L665" s="11" t="n">
        <x:v>20</x:v>
      </x:c>
      <x:c r="M665" s="11" t="n">
        <x:v>1.1</x:v>
      </x:c>
      <x:c r="N665" s="11" t="n">
        <x:v>0.95</x:v>
      </x:c>
      <x:c r="O665" s="11" t="n">
        <x:v>84.5</x:v>
      </x:c>
      <x:c r="P665" s="11" t="n">
        <x:v>0.17678106508875738</x:v>
      </x:c>
      <x:c r="Q665" s="11" t="n">
        <x:v>19.4</x:v>
      </x:c>
      <x:c r="R665" s="11" t="str">
        <x:v>sinobiopharm-v1-transaction-cash-bridge</x:v>
      </x:c>
      <x:c r="S665" s="11" t="str">
        <x:v>2026-10-10</x:v>
      </x:c>
      <x:c r="T665" s="11" t="str">
        <x:f>IF(AND(SUM(IF(K665='假设'!E885,0,1),IF(L665='假设'!F885,0,1),IF(M665='假设'!G885,0,1),IF(N665='假设'!H885,0,1),IF(O665='假设'!I885,0,1),IF(P665='假设'!J885,0,1),IF(Q665='假设'!K885,0,1))=0,U665=V665),"已刷新","待刷新")</x:f>
        <x:v>已刷新</x:v>
      </x:c>
      <x:c r="U665" t="str">
        <x:v>12|6.5</x:v>
      </x:c>
      <x:c r="V665" t="str">
        <x:f>'假设'!N885&amp;"|"&amp;'假设'!P885</x:f>
        <x:v>12|6.5</x:v>
      </x:c>
    </x:row>
    <x:row r="666" ht="23" customHeight="1">
      <x:c r="A666" s="11" t="str">
        <x:v>01177.HK</x:v>
      </x:c>
      <x:c r="B666" s="11" t="str">
        <x:v>中国生物制药</x:v>
      </x:c>
      <x:c r="C666" s="11" t="str">
        <x:v>五年</x:v>
      </x:c>
      <x:c r="D666" s="11" t="str">
        <x:v>乐观</x:v>
      </x:c>
      <x:c r="E666" s="11" t="n">
        <x:v>5.41</x:v>
      </x:c>
      <x:c r="F666" s="11" t="n">
        <x:v>36.83208247422681</x:v>
      </x:c>
      <x:c r="G666" s="11" t="n">
        <x:v>1.5</x:v>
      </x:c>
      <x:c r="H666" s="25" t="n">
        <x:v>5.808148331650057</x:v>
      </x:c>
      <x:c r="I666" s="25" t="n">
        <x:v>6.085412656973532</x:v>
      </x:c>
      <x:c r="J666" s="25" t="n">
        <x:v>0.479357131851744</x:v>
      </x:c>
      <x:c r="K666" s="11" t="n">
        <x:v>1.18</x:v>
      </x:c>
      <x:c r="L666" s="11" t="n">
        <x:v>27</x:v>
      </x:c>
      <x:c r="M666" s="11" t="n">
        <x:v>1.1</x:v>
      </x:c>
      <x:c r="N666" s="11" t="n">
        <x:v>1.5</x:v>
      </x:c>
      <x:c r="O666" s="11" t="n">
        <x:v>119</x:v>
      </x:c>
      <x:c r="P666" s="11" t="n">
        <x:v>0.19236974789915964</x:v>
      </x:c>
      <x:c r="Q666" s="11" t="n">
        <x:v>19.4</x:v>
      </x:c>
      <x:c r="R666" s="11" t="str">
        <x:v>sinobiopharm-v1-transaction-cash-bridge</x:v>
      </x:c>
      <x:c r="S666" s="11" t="str">
        <x:v>2026-10-10</x:v>
      </x:c>
      <x:c r="T666" s="11" t="str">
        <x:f>IF(AND(SUM(IF(K666='假设'!E886,0,1),IF(L666='假设'!F886,0,1),IF(M666='假设'!G886,0,1),IF(N666='假设'!H886,0,1),IF(O666='假设'!I886,0,1),IF(P666='假设'!J886,0,1),IF(Q666='假设'!K886,0,1))=0,U666=V666),"已刷新","待刷新")</x:f>
        <x:v>已刷新</x:v>
      </x:c>
      <x:c r="U666" t="str">
        <x:v>22|9.5</x:v>
      </x:c>
      <x:c r="V666" t="str">
        <x:f>'假设'!N886&amp;"|"&amp;'假设'!P886</x:f>
        <x:v>22|9.5</x:v>
      </x:c>
    </x:row>
    <x:row r="667" ht="23" customHeight="1">
      <x:c r="A667" s="11" t="str">
        <x:v>00981.HK</x:v>
      </x:c>
      <x:c r="B667" s="11" t="str">
        <x:v>中芯国际</x:v>
      </x:c>
      <x:c r="C667" s="11" t="str">
        <x:v>2026年底</x:v>
      </x:c>
      <x:c r="D667" s="11" t="str">
        <x:v>悲观</x:v>
      </x:c>
      <x:c r="E667" s="11" t="n">
        <x:v>57.65</x:v>
      </x:c>
      <x:c r="F667" s="11" t="n">
        <x:v>17.99</x:v>
      </x:c>
      <x:c r="G667" s="11" t="n">
        <x:v>0</x:v>
      </x:c>
      <x:c r="H667" s="25" t="n">
        <x:v>-0.6879444926279272</x:v>
      </x:c>
      <x:c r="I667" s="25" t="n">
        <x:v>-0.6879444926279272</x:v>
      </x:c>
      <x:c r="J667" s="25" t="str"/>
      <x:c r="K667" s="11" t="n">
        <x:v>0.0659</x:v>
      </x:c>
      <x:c r="L667" s="11" t="n">
        <x:v>35</x:v>
      </x:c>
      <x:c r="M667" s="11" t="n">
        <x:v>7.8</x:v>
      </x:c>
      <x:c r="N667" s="11" t="n">
        <x:v>0</x:v>
      </x:c>
      <x:c r="O667" s="11" t="str"/>
      <x:c r="P667" s="11" t="str"/>
      <x:c r="Q667" s="11" t="str"/>
      <x:c r="R667" s="11" t="str">
        <x:v>smic-normalized-IFRS-owner-share-v1.0</x:v>
      </x:c>
      <x:c r="S667" s="11" t="str">
        <x:v>2026-10-10</x:v>
      </x:c>
      <x:c r="T667" s="11" t="str">
        <x:f>IF(AND(SUM(IF(K667='假设'!E888,0,1),IF(L667='假设'!F888,0,1),IF(M667='假设'!G888,0,1),IF(N667='假设'!H888,0,1),IF(O667='假设'!I888,0,1),IF(P667='假设'!J888,0,1),IF(Q667='假设'!K888,0,1))=0,U667=V667),"已刷新","待刷新")</x:f>
        <x:v>已刷新</x:v>
      </x:c>
      <x:c r="U667" t="str">
        <x:v>12|0.1|-0.15|0.15|0.65|8.8</x:v>
      </x:c>
      <x:c r="V667" t="str">
        <x:f>'经营假设'!R8&amp;"|"&amp;'经营假设'!S8&amp;"|"&amp;'经营假设'!T8&amp;"|"&amp;'经营假设'!U8&amp;"|"&amp;'经营假设'!V8&amp;"|"&amp;'经营假设'!W8</x:f>
        <x:v>12|0.1|-0.15|0.15|0.65|8.8</x:v>
      </x:c>
    </x:row>
    <x:row r="668" ht="23" customHeight="1">
      <x:c r="A668" s="11" t="str">
        <x:v>00981.HK</x:v>
      </x:c>
      <x:c r="B668" s="11" t="str">
        <x:v>中芯国际</x:v>
      </x:c>
      <x:c r="C668" s="11" t="str">
        <x:v>2026年底</x:v>
      </x:c>
      <x:c r="D668" s="11" t="str">
        <x:v>基准</x:v>
      </x:c>
      <x:c r="E668" s="11" t="n">
        <x:v>57.65</x:v>
      </x:c>
      <x:c r="F668" s="11" t="n">
        <x:v>63.23</x:v>
      </x:c>
      <x:c r="G668" s="11" t="n">
        <x:v>0</x:v>
      </x:c>
      <x:c r="H668" s="25" t="n">
        <x:v>0.09679098005203812</x:v>
      </x:c>
      <x:c r="I668" s="25" t="n">
        <x:v>0.09679098005203812</x:v>
      </x:c>
      <x:c r="J668" s="25" t="str"/>
      <x:c r="K668" s="11" t="n">
        <x:v>0.1474</x:v>
      </x:c>
      <x:c r="L668" s="11" t="n">
        <x:v>55</x:v>
      </x:c>
      <x:c r="M668" s="11" t="n">
        <x:v>7.8</x:v>
      </x:c>
      <x:c r="N668" s="11" t="n">
        <x:v>0</x:v>
      </x:c>
      <x:c r="O668" s="11" t="str"/>
      <x:c r="P668" s="11" t="str"/>
      <x:c r="Q668" s="11" t="str"/>
      <x:c r="R668" s="11" t="str">
        <x:v>smic-normalized-IFRS-owner-share-v1.0</x:v>
      </x:c>
      <x:c r="S668" s="11" t="str">
        <x:v>2026-10-10</x:v>
      </x:c>
      <x:c r="T668" s="11" t="str">
        <x:f>IF(AND(SUM(IF(K668='假设'!E889,0,1),IF(L668='假设'!F889,0,1),IF(M668='假设'!G889,0,1),IF(N668='假设'!H889,0,1),IF(O668='假设'!I889,0,1),IF(P668='假设'!J889,0,1),IF(Q668='假设'!K889,0,1))=0,U668=V668),"已刷新","待刷新")</x:f>
        <x:v>已刷新</x:v>
      </x:c>
      <x:c r="U668" t="str">
        <x:v>12.5|0.16|0|0.15|0.75|8.65</x:v>
      </x:c>
      <x:c r="V668" t="str">
        <x:f>'经营假设'!R9&amp;"|"&amp;'经营假设'!S9&amp;"|"&amp;'经营假设'!T9&amp;"|"&amp;'经营假设'!U9&amp;"|"&amp;'经营假设'!V9&amp;"|"&amp;'经营假设'!W9</x:f>
        <x:v>12.5|0.16|0|0.15|0.75|8.65</x:v>
      </x:c>
    </x:row>
    <x:row r="669" ht="23" customHeight="1">
      <x:c r="A669" s="11" t="str">
        <x:v>00981.HK</x:v>
      </x:c>
      <x:c r="B669" s="11" t="str">
        <x:v>中芯国际</x:v>
      </x:c>
      <x:c r="C669" s="11" t="str">
        <x:v>2026年底</x:v>
      </x:c>
      <x:c r="D669" s="11" t="str">
        <x:v>乐观</x:v>
      </x:c>
      <x:c r="E669" s="11" t="n">
        <x:v>57.65</x:v>
      </x:c>
      <x:c r="F669" s="11" t="n">
        <x:v>120.01</x:v>
      </x:c>
      <x:c r="G669" s="11" t="n">
        <x:v>0</x:v>
      </x:c>
      <x:c r="H669" s="25" t="n">
        <x:v>1.0816999132697314</x:v>
      </x:c>
      <x:c r="I669" s="25" t="n">
        <x:v>1.0816999132697314</x:v>
      </x:c>
      <x:c r="J669" s="25" t="str"/>
      <x:c r="K669" s="11" t="n">
        <x:v>0.2198</x:v>
      </x:c>
      <x:c r="L669" s="11" t="n">
        <x:v>70</x:v>
      </x:c>
      <x:c r="M669" s="11" t="n">
        <x:v>7.8</x:v>
      </x:c>
      <x:c r="N669" s="11" t="n">
        <x:v>0</x:v>
      </x:c>
      <x:c r="O669" s="11" t="str"/>
      <x:c r="P669" s="11" t="str"/>
      <x:c r="Q669" s="11" t="str"/>
      <x:c r="R669" s="11" t="str">
        <x:v>smic-normalized-IFRS-owner-share-v1.0</x:v>
      </x:c>
      <x:c r="S669" s="11" t="str">
        <x:v>2026-10-10</x:v>
      </x:c>
      <x:c r="T669" s="11" t="str">
        <x:f>IF(AND(SUM(IF(K669='假设'!E890,0,1),IF(L669='假设'!F890,0,1),IF(M669='假设'!G890,0,1),IF(N669='假设'!H890,0,1),IF(O669='假设'!I890,0,1),IF(P669='假设'!J890,0,1),IF(Q669='假设'!K890,0,1))=0,U669=V669),"已刷新","待刷新")</x:f>
        <x:v>已刷新</x:v>
      </x:c>
      <x:c r="U669" t="str">
        <x:v>13|0.21|0.05|0.15|0.8|8.6</x:v>
      </x:c>
      <x:c r="V669" t="str">
        <x:f>'经营假设'!R10&amp;"|"&amp;'经营假设'!S10&amp;"|"&amp;'经营假设'!T10&amp;"|"&amp;'经营假设'!U10&amp;"|"&amp;'经营假设'!V10&amp;"|"&amp;'经营假设'!W10</x:f>
        <x:v>13|0.21|0.05|0.15|0.8|8.6</x:v>
      </x:c>
    </x:row>
    <x:row r="670" ht="23" customHeight="1">
      <x:c r="A670" s="11" t="str">
        <x:v>00981.HK</x:v>
      </x:c>
      <x:c r="B670" s="11" t="str">
        <x:v>中芯国际</x:v>
      </x:c>
      <x:c r="C670" s="11" t="str">
        <x:v>半年</x:v>
      </x:c>
      <x:c r="D670" s="11" t="str">
        <x:v>悲观</x:v>
      </x:c>
      <x:c r="E670" s="11" t="n">
        <x:v>57.65</x:v>
      </x:c>
      <x:c r="F670" s="11" t="n">
        <x:v>14.5</x:v>
      </x:c>
      <x:c r="G670" s="11" t="n">
        <x:v>0</x:v>
      </x:c>
      <x:c r="H670" s="25" t="n">
        <x:v>-0.7484822202948829</x:v>
      </x:c>
      <x:c r="I670" s="25" t="n">
        <x:v>-0.7484822202948829</x:v>
      </x:c>
      <x:c r="J670" s="25" t="str"/>
      <x:c r="K670" s="11" t="n">
        <x:v>0.0581</x:v>
      </x:c>
      <x:c r="L670" s="11" t="n">
        <x:v>32</x:v>
      </x:c>
      <x:c r="M670" s="11" t="n">
        <x:v>7.8</x:v>
      </x:c>
      <x:c r="N670" s="11" t="n">
        <x:v>0</x:v>
      </x:c>
      <x:c r="O670" s="11" t="str"/>
      <x:c r="P670" s="11" t="str"/>
      <x:c r="Q670" s="11" t="str"/>
      <x:c r="R670" s="11" t="str">
        <x:v>smic-normalized-IFRS-owner-share-v1.0</x:v>
      </x:c>
      <x:c r="S670" s="11" t="str">
        <x:v>2026-10-10</x:v>
      </x:c>
      <x:c r="T670" s="11" t="str">
        <x:f>IF(AND(SUM(IF(K670='假设'!E892,0,1),IF(L670='假设'!F892,0,1),IF(M670='假设'!G892,0,1),IF(N670='假设'!H892,0,1),IF(O670='假设'!I892,0,1),IF(P670='假设'!J892,0,1),IF(Q670='假设'!K892,0,1))=0,U670=V670),"已刷新","待刷新")</x:f>
        <x:v>已刷新</x:v>
      </x:c>
      <x:c r="U670" t="str">
        <x:v>12|0.09|-0.15|0.15|0.65|8.85</x:v>
      </x:c>
      <x:c r="V670" t="str">
        <x:f>'经营假设'!R12&amp;"|"&amp;'经营假设'!S12&amp;"|"&amp;'经营假设'!T12&amp;"|"&amp;'经营假设'!U12&amp;"|"&amp;'经营假设'!V12&amp;"|"&amp;'经营假设'!W12</x:f>
        <x:v>12|0.09|-0.15|0.15|0.65|8.85</x:v>
      </x:c>
    </x:row>
    <x:row r="671" ht="23" customHeight="1">
      <x:c r="A671" s="11" t="str">
        <x:v>00981.HK</x:v>
      </x:c>
      <x:c r="B671" s="11" t="str">
        <x:v>中芯国际</x:v>
      </x:c>
      <x:c r="C671" s="11" t="str">
        <x:v>半年</x:v>
      </x:c>
      <x:c r="D671" s="11" t="str">
        <x:v>基准</x:v>
      </x:c>
      <x:c r="E671" s="11" t="n">
        <x:v>57.65</x:v>
      </x:c>
      <x:c r="F671" s="11" t="n">
        <x:v>75.25</x:v>
      </x:c>
      <x:c r="G671" s="11" t="n">
        <x:v>0</x:v>
      </x:c>
      <x:c r="H671" s="25" t="n">
        <x:v>0.30529054640069386</x:v>
      </x:c>
      <x:c r="I671" s="25" t="n">
        <x:v>0.30529054640069386</x:v>
      </x:c>
      <x:c r="J671" s="25" t="str"/>
      <x:c r="K671" s="11" t="n">
        <x:v>0.1754</x:v>
      </x:c>
      <x:c r="L671" s="11" t="n">
        <x:v>55</x:v>
      </x:c>
      <x:c r="M671" s="11" t="n">
        <x:v>7.8</x:v>
      </x:c>
      <x:c r="N671" s="11" t="n">
        <x:v>0</x:v>
      </x:c>
      <x:c r="O671" s="11" t="str"/>
      <x:c r="P671" s="11" t="str"/>
      <x:c r="Q671" s="11" t="str"/>
      <x:c r="R671" s="11" t="str">
        <x:v>smic-normalized-IFRS-owner-share-v1.0</x:v>
      </x:c>
      <x:c r="S671" s="11" t="str">
        <x:v>2026-10-10</x:v>
      </x:c>
      <x:c r="T671" s="11" t="str">
        <x:f>IF(AND(SUM(IF(K671='假设'!E893,0,1),IF(L671='假设'!F893,0,1),IF(M671='假设'!G893,0,1),IF(N671='假设'!H893,0,1),IF(O671='假设'!I893,0,1),IF(P671='假设'!J893,0,1),IF(Q671='假设'!K893,0,1))=0,U671=V671),"已刷新","待刷新")</x:f>
        <x:v>已刷新</x:v>
      </x:c>
      <x:c r="U671" t="str">
        <x:v>13.5|0.175|0|0.15|0.76|8.7</x:v>
      </x:c>
      <x:c r="V671" t="str">
        <x:f>'经营假设'!R13&amp;"|"&amp;'经营假设'!S13&amp;"|"&amp;'经营假设'!T13&amp;"|"&amp;'经营假设'!U13&amp;"|"&amp;'经营假设'!V13&amp;"|"&amp;'经营假设'!W13</x:f>
        <x:v>13.5|0.175|0|0.15|0.76|8.7</x:v>
      </x:c>
    </x:row>
    <x:row r="672" ht="23" customHeight="1">
      <x:c r="A672" s="11" t="str">
        <x:v>00981.HK</x:v>
      </x:c>
      <x:c r="B672" s="11" t="str">
        <x:v>中芯国际</x:v>
      </x:c>
      <x:c r="C672" s="11" t="str">
        <x:v>半年</x:v>
      </x:c>
      <x:c r="D672" s="11" t="str">
        <x:v>乐观</x:v>
      </x:c>
      <x:c r="E672" s="11" t="n">
        <x:v>57.65</x:v>
      </x:c>
      <x:c r="F672" s="11" t="n">
        <x:v>152.99</x:v>
      </x:c>
      <x:c r="G672" s="11" t="n">
        <x:v>0</x:v>
      </x:c>
      <x:c r="H672" s="25" t="n">
        <x:v>1.6537727666955768</x:v>
      </x:c>
      <x:c r="I672" s="25" t="n">
        <x:v>1.6537727666955768</x:v>
      </x:c>
      <x:c r="J672" s="25" t="str"/>
      <x:c r="K672" s="11" t="n">
        <x:v>0.2802</x:v>
      </x:c>
      <x:c r="L672" s="11" t="n">
        <x:v>70</x:v>
      </x:c>
      <x:c r="M672" s="11" t="n">
        <x:v>7.8</x:v>
      </x:c>
      <x:c r="N672" s="11" t="n">
        <x:v>0</x:v>
      </x:c>
      <x:c r="O672" s="11" t="str"/>
      <x:c r="P672" s="11" t="str"/>
      <x:c r="Q672" s="11" t="str"/>
      <x:c r="R672" s="11" t="str">
        <x:v>smic-normalized-IFRS-owner-share-v1.0</x:v>
      </x:c>
      <x:c r="S672" s="11" t="str">
        <x:v>2026-10-10</x:v>
      </x:c>
      <x:c r="T672" s="11" t="str">
        <x:f>IF(AND(SUM(IF(K672='假设'!E894,0,1),IF(L672='假设'!F894,0,1),IF(M672='假设'!G894,0,1),IF(N672='假设'!H894,0,1),IF(O672='假设'!I894,0,1),IF(P672='假设'!J894,0,1),IF(Q672='假设'!K894,0,1))=0,U672=V672),"已刷新","待刷新")</x:f>
        <x:v>已刷新</x:v>
      </x:c>
      <x:c r="U672" t="str">
        <x:v>14.5|0.235|0.05|0.15|0.82|8.6</x:v>
      </x:c>
      <x:c r="V672" t="str">
        <x:f>'经营假设'!R14&amp;"|"&amp;'经营假设'!S14&amp;"|"&amp;'经营假设'!T14&amp;"|"&amp;'经营假设'!U14&amp;"|"&amp;'经营假设'!V14&amp;"|"&amp;'经营假设'!W14</x:f>
        <x:v>14.5|0.235|0.05|0.15|0.82|8.6</x:v>
      </x:c>
    </x:row>
    <x:row r="673" ht="23" customHeight="1">
      <x:c r="A673" s="11" t="str">
        <x:v>00981.HK</x:v>
      </x:c>
      <x:c r="B673" s="11" t="str">
        <x:v>中芯国际</x:v>
      </x:c>
      <x:c r="C673" s="11" t="str">
        <x:v>一年</x:v>
      </x:c>
      <x:c r="D673" s="11" t="str">
        <x:v>悲观</x:v>
      </x:c>
      <x:c r="E673" s="11" t="n">
        <x:v>57.65</x:v>
      </x:c>
      <x:c r="F673" s="11" t="n">
        <x:v>13.64</x:v>
      </x:c>
      <x:c r="G673" s="11" t="n">
        <x:v>0</x:v>
      </x:c>
      <x:c r="H673" s="25" t="n">
        <x:v>-0.7633998265394623</x:v>
      </x:c>
      <x:c r="I673" s="25" t="n">
        <x:v>-0.7633998265394623</x:v>
      </x:c>
      <x:c r="J673" s="25" t="str"/>
      <x:c r="K673" s="11" t="n">
        <x:v>0.0583</x:v>
      </x:c>
      <x:c r="L673" s="11" t="n">
        <x:v>30</x:v>
      </x:c>
      <x:c r="M673" s="11" t="n">
        <x:v>7.8</x:v>
      </x:c>
      <x:c r="N673" s="11" t="n">
        <x:v>0</x:v>
      </x:c>
      <x:c r="O673" s="11" t="str"/>
      <x:c r="P673" s="11" t="str"/>
      <x:c r="Q673" s="11" t="str"/>
      <x:c r="R673" s="11" t="str">
        <x:v>smic-normalized-IFRS-owner-share-v1.0</x:v>
      </x:c>
      <x:c r="S673" s="11" t="str">
        <x:v>2026-10-10</x:v>
      </x:c>
      <x:c r="T673" s="11" t="str">
        <x:f>IF(AND(SUM(IF(K673='假设'!E896,0,1),IF(L673='假设'!F896,0,1),IF(M673='假设'!G896,0,1),IF(N673='假设'!H896,0,1),IF(O673='假设'!I896,0,1),IF(P673='假设'!J896,0,1),IF(Q673='假设'!K896,0,1))=0,U673=V673),"已刷新","待刷新")</x:f>
        <x:v>已刷新</x:v>
      </x:c>
      <x:c r="U673" t="str">
        <x:v>12.5|0.09|-0.18|0.15|0.65|8.95</x:v>
      </x:c>
      <x:c r="V673" t="str">
        <x:f>'经营假设'!R16&amp;"|"&amp;'经营假设'!S16&amp;"|"&amp;'经营假设'!T16&amp;"|"&amp;'经营假设'!U16&amp;"|"&amp;'经营假设'!V16&amp;"|"&amp;'经营假设'!W16</x:f>
        <x:v>12.5|0.09|-0.18|0.15|0.65|8.95</x:v>
      </x:c>
    </x:row>
    <x:row r="674" ht="23" customHeight="1">
      <x:c r="A674" s="11" t="str">
        <x:v>00981.HK</x:v>
      </x:c>
      <x:c r="B674" s="11" t="str">
        <x:v>中芯国际</x:v>
      </x:c>
      <x:c r="C674" s="11" t="str">
        <x:v>一年</x:v>
      </x:c>
      <x:c r="D674" s="11" t="str">
        <x:v>基准</x:v>
      </x:c>
      <x:c r="E674" s="11" t="n">
        <x:v>57.65</x:v>
      </x:c>
      <x:c r="F674" s="11" t="n">
        <x:v>83.59</x:v>
      </x:c>
      <x:c r="G674" s="11" t="n">
        <x:v>0</x:v>
      </x:c>
      <x:c r="H674" s="25" t="n">
        <x:v>0.44995663486556814</x:v>
      </x:c>
      <x:c r="I674" s="25" t="n">
        <x:v>0.44995663486556814</x:v>
      </x:c>
      <x:c r="J674" s="25" t="str"/>
      <x:c r="K674" s="11" t="n">
        <x:v>0.2061</x:v>
      </x:c>
      <x:c r="L674" s="11" t="n">
        <x:v>52</x:v>
      </x:c>
      <x:c r="M674" s="11" t="n">
        <x:v>7.8</x:v>
      </x:c>
      <x:c r="N674" s="11" t="n">
        <x:v>0</x:v>
      </x:c>
      <x:c r="O674" s="11" t="str"/>
      <x:c r="P674" s="11" t="str"/>
      <x:c r="Q674" s="11" t="str"/>
      <x:c r="R674" s="11" t="str">
        <x:v>smic-normalized-IFRS-owner-share-v1.0</x:v>
      </x:c>
      <x:c r="S674" s="11" t="str">
        <x:v>2026-10-10</x:v>
      </x:c>
      <x:c r="T674" s="11" t="str">
        <x:f>IF(AND(SUM(IF(K674='假设'!E897,0,1),IF(L674='假设'!F897,0,1),IF(M674='假设'!G897,0,1),IF(N674='假设'!H897,0,1),IF(O674='假设'!I897,0,1),IF(P674='假设'!J897,0,1),IF(Q674='假设'!K897,0,1))=0,U674=V674),"已刷新","待刷新")</x:f>
        <x:v>已刷新</x:v>
      </x:c>
      <x:c r="U674" t="str">
        <x:v>14.5|0.19|0|0.15|0.77|8.75</x:v>
      </x:c>
      <x:c r="V674" t="str">
        <x:f>'经营假设'!R17&amp;"|"&amp;'经营假设'!S17&amp;"|"&amp;'经营假设'!T17&amp;"|"&amp;'经营假设'!U17&amp;"|"&amp;'经营假设'!V17&amp;"|"&amp;'经营假设'!W17</x:f>
        <x:v>14.5|0.19|0|0.15|0.77|8.75</x:v>
      </x:c>
    </x:row>
    <x:row r="675" ht="23" customHeight="1">
      <x:c r="A675" s="11" t="str">
        <x:v>00981.HK</x:v>
      </x:c>
      <x:c r="B675" s="11" t="str">
        <x:v>中芯国际</x:v>
      </x:c>
      <x:c r="C675" s="11" t="str">
        <x:v>一年</x:v>
      </x:c>
      <x:c r="D675" s="11" t="str">
        <x:v>乐观</x:v>
      </x:c>
      <x:c r="E675" s="11" t="n">
        <x:v>57.65</x:v>
      </x:c>
      <x:c r="F675" s="11" t="n">
        <x:v>175.19</x:v>
      </x:c>
      <x:c r="G675" s="11" t="n">
        <x:v>0</x:v>
      </x:c>
      <x:c r="H675" s="25" t="n">
        <x:v>2.0388551604509972</x:v>
      </x:c>
      <x:c r="I675" s="25" t="n">
        <x:v>2.0388551604509972</x:v>
      </x:c>
      <x:c r="J675" s="25" t="str"/>
      <x:c r="K675" s="11" t="n">
        <x:v>0.3303</x:v>
      </x:c>
      <x:c r="L675" s="11" t="n">
        <x:v>68</x:v>
      </x:c>
      <x:c r="M675" s="11" t="n">
        <x:v>7.8</x:v>
      </x:c>
      <x:c r="N675" s="11" t="n">
        <x:v>0</x:v>
      </x:c>
      <x:c r="O675" s="11" t="str"/>
      <x:c r="P675" s="11" t="str"/>
      <x:c r="Q675" s="11" t="str"/>
      <x:c r="R675" s="11" t="str">
        <x:v>smic-normalized-IFRS-owner-share-v1.0</x:v>
      </x:c>
      <x:c r="S675" s="11" t="str">
        <x:v>2026-10-10</x:v>
      </x:c>
      <x:c r="T675" s="11" t="str">
        <x:f>IF(AND(SUM(IF(K675='假设'!E898,0,1),IF(L675='假设'!F898,0,1),IF(M675='假设'!G898,0,1),IF(N675='假设'!H898,0,1),IF(O675='假设'!I898,0,1),IF(P675='假设'!J898,0,1),IF(Q675='假设'!K898,0,1))=0,U675=V675),"已刷新","待刷新")</x:f>
        <x:v>已刷新</x:v>
      </x:c>
      <x:c r="U675" t="str">
        <x:v>16|0.25|0.05|0.15|0.83|8.65</x:v>
      </x:c>
      <x:c r="V675" t="str">
        <x:f>'经营假设'!R18&amp;"|"&amp;'经营假设'!S18&amp;"|"&amp;'经营假设'!T18&amp;"|"&amp;'经营假设'!U18&amp;"|"&amp;'经营假设'!V18&amp;"|"&amp;'经营假设'!W18</x:f>
        <x:v>16|0.25|0.05|0.15|0.83|8.65</x:v>
      </x:c>
    </x:row>
    <x:row r="676" ht="23" customHeight="1">
      <x:c r="A676" s="11" t="str">
        <x:v>00981.HK</x:v>
      </x:c>
      <x:c r="B676" s="11" t="str">
        <x:v>中芯国际</x:v>
      </x:c>
      <x:c r="C676" s="11" t="str">
        <x:v>三年</x:v>
      </x:c>
      <x:c r="D676" s="11" t="str">
        <x:v>悲观</x:v>
      </x:c>
      <x:c r="E676" s="11" t="n">
        <x:v>57.65</x:v>
      </x:c>
      <x:c r="F676" s="11" t="n">
        <x:v>8.4</x:v>
      </x:c>
      <x:c r="G676" s="11" t="n">
        <x:v>0</x:v>
      </x:c>
      <x:c r="H676" s="25" t="n">
        <x:v>-0.8542931483087597</x:v>
      </x:c>
      <x:c r="I676" s="25" t="n">
        <x:v>-0.8542931483087597</x:v>
      </x:c>
      <x:c r="J676" s="25" t="n">
        <x:v>-0.47378891631130937</x:v>
      </x:c>
      <x:c r="K676" s="11" t="n">
        <x:v>0.0431</x:v>
      </x:c>
      <x:c r="L676" s="11" t="n">
        <x:v>25</x:v>
      </x:c>
      <x:c r="M676" s="11" t="n">
        <x:v>7.8</x:v>
      </x:c>
      <x:c r="N676" s="11" t="n">
        <x:v>0</x:v>
      </x:c>
      <x:c r="O676" s="11" t="str"/>
      <x:c r="P676" s="11" t="str"/>
      <x:c r="Q676" s="11" t="str"/>
      <x:c r="R676" s="11" t="str">
        <x:v>smic-normalized-IFRS-owner-share-v1.0</x:v>
      </x:c>
      <x:c r="S676" s="11" t="str">
        <x:v>2026-10-10</x:v>
      </x:c>
      <x:c r="T676" s="11" t="str">
        <x:f>IF(AND(SUM(IF(K676='假设'!E900,0,1),IF(L676='假设'!F900,0,1),IF(M676='假设'!G900,0,1),IF(N676='假设'!H900,0,1),IF(O676='假设'!I900,0,1),IF(P676='假设'!J900,0,1),IF(Q676='假设'!K900,0,1))=0,U676=V676),"已刷新","待刷新")</x:f>
        <x:v>已刷新</x:v>
      </x:c>
      <x:c r="U676" t="str">
        <x:v>13|0.075|-0.25|0.15|0.65|9.3</x:v>
      </x:c>
      <x:c r="V676" t="str">
        <x:f>'经营假设'!R20&amp;"|"&amp;'经营假设'!S20&amp;"|"&amp;'经营假设'!T20&amp;"|"&amp;'经营假设'!U20&amp;"|"&amp;'经营假设'!V20&amp;"|"&amp;'经营假设'!W20</x:f>
        <x:v>13|0.075|-0.25|0.15|0.65|9.3</x:v>
      </x:c>
    </x:row>
    <x:row r="677" ht="23" customHeight="1">
      <x:c r="A677" s="11" t="str">
        <x:v>00981.HK</x:v>
      </x:c>
      <x:c r="B677" s="11" t="str">
        <x:v>中芯国际</x:v>
      </x:c>
      <x:c r="C677" s="11" t="str">
        <x:v>三年</x:v>
      </x:c>
      <x:c r="D677" s="11" t="str">
        <x:v>基准</x:v>
      </x:c>
      <x:c r="E677" s="11" t="n">
        <x:v>57.65</x:v>
      </x:c>
      <x:c r="F677" s="11" t="n">
        <x:v>114.11</x:v>
      </x:c>
      <x:c r="G677" s="11" t="n">
        <x:v>0</x:v>
      </x:c>
      <x:c r="H677" s="25" t="n">
        <x:v>0.9793581960104076</x:v>
      </x:c>
      <x:c r="I677" s="25" t="n">
        <x:v>0.9793581960104076</x:v>
      </x:c>
      <x:c r="J677" s="25" t="n">
        <x:v>0.25557154456528086</x:v>
      </x:c>
      <x:c r="K677" s="11" t="n">
        <x:v>0.3251</x:v>
      </x:c>
      <x:c r="L677" s="11" t="n">
        <x:v>45</x:v>
      </x:c>
      <x:c r="M677" s="11" t="n">
        <x:v>7.8</x:v>
      </x:c>
      <x:c r="N677" s="11" t="n">
        <x:v>0</x:v>
      </x:c>
      <x:c r="O677" s="11" t="str"/>
      <x:c r="P677" s="11" t="str"/>
      <x:c r="Q677" s="11" t="str"/>
      <x:c r="R677" s="11" t="str">
        <x:v>smic-normalized-IFRS-owner-share-v1.0</x:v>
      </x:c>
      <x:c r="S677" s="11" t="str">
        <x:v>2026-10-10</x:v>
      </x:c>
      <x:c r="T677" s="11" t="str">
        <x:f>IF(AND(SUM(IF(K677='假设'!E901,0,1),IF(L677='假设'!F901,0,1),IF(M677='假设'!G901,0,1),IF(N677='假设'!H901,0,1),IF(O677='假设'!I901,0,1),IF(P677='假设'!J901,0,1),IF(Q677='假设'!K901,0,1))=0,U677=V677),"已刷新","待刷新")</x:f>
        <x:v>已刷新</x:v>
      </x:c>
      <x:c r="U677" t="str">
        <x:v>18.5|0.23|0|0.15|0.8|8.9</x:v>
      </x:c>
      <x:c r="V677" t="str">
        <x:f>'经营假设'!R21&amp;"|"&amp;'经营假设'!S21&amp;"|"&amp;'经营假设'!T21&amp;"|"&amp;'经营假设'!U21&amp;"|"&amp;'经营假设'!V21&amp;"|"&amp;'经营假设'!W21</x:f>
        <x:v>18.5|0.23|0|0.15|0.8|8.9</x:v>
      </x:c>
    </x:row>
    <x:row r="678" ht="23" customHeight="1">
      <x:c r="A678" s="11" t="str">
        <x:v>00981.HK</x:v>
      </x:c>
      <x:c r="B678" s="11" t="str">
        <x:v>中芯国际</x:v>
      </x:c>
      <x:c r="C678" s="11" t="str">
        <x:v>三年</x:v>
      </x:c>
      <x:c r="D678" s="11" t="str">
        <x:v>乐观</x:v>
      </x:c>
      <x:c r="E678" s="11" t="n">
        <x:v>57.65</x:v>
      </x:c>
      <x:c r="F678" s="11" t="n">
        <x:v>270.5</x:v>
      </x:c>
      <x:c r="G678" s="11" t="n">
        <x:v>0</x:v>
      </x:c>
      <x:c r="H678" s="25" t="n">
        <x:v>3.692107545533391</x:v>
      </x:c>
      <x:c r="I678" s="25" t="n">
        <x:v>3.692107545533391</x:v>
      </x:c>
      <x:c r="J678" s="25" t="n">
        <x:v>0.6741305410258742</x:v>
      </x:c>
      <x:c r="K678" s="11" t="n">
        <x:v>0.578</x:v>
      </x:c>
      <x:c r="L678" s="11" t="n">
        <x:v>60</x:v>
      </x:c>
      <x:c r="M678" s="11" t="n">
        <x:v>7.8</x:v>
      </x:c>
      <x:c r="N678" s="11" t="n">
        <x:v>0</x:v>
      </x:c>
      <x:c r="O678" s="11" t="str"/>
      <x:c r="P678" s="11" t="str"/>
      <x:c r="Q678" s="11" t="str"/>
      <x:c r="R678" s="11" t="str">
        <x:v>smic-normalized-IFRS-owner-share-v1.0</x:v>
      </x:c>
      <x:c r="S678" s="11" t="str">
        <x:v>2026-10-10</x:v>
      </x:c>
      <x:c r="T678" s="11" t="str">
        <x:f>IF(AND(SUM(IF(K678='假设'!E902,0,1),IF(L678='假设'!F902,0,1),IF(M678='假设'!G902,0,1),IF(N678='假设'!H902,0,1),IF(O678='假设'!I902,0,1),IF(P678='假设'!J902,0,1),IF(Q678='假设'!K902,0,1))=0,U678=V678),"已刷新","待刷新")</x:f>
        <x:v>已刷新</x:v>
      </x:c>
      <x:c r="U678" t="str">
        <x:v>23|0.3|0.1|0.15|0.85|8.75</x:v>
      </x:c>
      <x:c r="V678" t="str">
        <x:f>'经营假设'!R22&amp;"|"&amp;'经营假设'!S22&amp;"|"&amp;'经营假设'!T22&amp;"|"&amp;'经营假设'!U22&amp;"|"&amp;'经营假设'!V22&amp;"|"&amp;'经营假设'!W22</x:f>
        <x:v>23|0.3|0.1|0.15|0.85|8.75</x:v>
      </x:c>
    </x:row>
    <x:row r="679" ht="23" customHeight="1">
      <x:c r="A679" s="11" t="str">
        <x:v>00981.HK</x:v>
      </x:c>
      <x:c r="B679" s="11" t="str">
        <x:v>中芯国际</x:v>
      </x:c>
      <x:c r="C679" s="11" t="str">
        <x:v>五年</x:v>
      </x:c>
      <x:c r="D679" s="11" t="str">
        <x:v>悲观</x:v>
      </x:c>
      <x:c r="E679" s="11" t="n">
        <x:v>57.65</x:v>
      </x:c>
      <x:c r="F679" s="11" t="n">
        <x:v>5.41</x:v>
      </x:c>
      <x:c r="G679" s="11" t="n">
        <x:v>0</x:v>
      </x:c>
      <x:c r="H679" s="25" t="n">
        <x:v>-0.9061578490893322</x:v>
      </x:c>
      <x:c r="I679" s="25" t="n">
        <x:v>-0.9061578490893322</x:v>
      </x:c>
      <x:c r="J679" s="25" t="n">
        <x:v>-0.3770121300511641</x:v>
      </x:c>
      <x:c r="K679" s="11" t="n">
        <x:v>0.0347</x:v>
      </x:c>
      <x:c r="L679" s="11" t="n">
        <x:v>20</x:v>
      </x:c>
      <x:c r="M679" s="11" t="n">
        <x:v>7.8</x:v>
      </x:c>
      <x:c r="N679" s="11" t="n">
        <x:v>0</x:v>
      </x:c>
      <x:c r="O679" s="11" t="str"/>
      <x:c r="P679" s="11" t="str"/>
      <x:c r="Q679" s="11" t="str"/>
      <x:c r="R679" s="11" t="str">
        <x:v>smic-normalized-IFRS-owner-share-v1.0</x:v>
      </x:c>
      <x:c r="S679" s="11" t="str">
        <x:v>2026-10-10</x:v>
      </x:c>
      <x:c r="T679" s="11" t="str">
        <x:f>IF(AND(SUM(IF(K679='假设'!E904,0,1),IF(L679='假设'!F904,0,1),IF(M679='假设'!G904,0,1),IF(N679='假设'!H904,0,1),IF(O679='假设'!I904,0,1),IF(P679='假设'!J904,0,1),IF(Q679='假设'!K904,0,1))=0,U679=V679),"已刷新","待刷新")</x:f>
        <x:v>已刷新</x:v>
      </x:c>
      <x:c r="U679" t="str">
        <x:v>14|0.065|-0.3|0.15|0.65|9.7</x:v>
      </x:c>
      <x:c r="V679" t="str">
        <x:f>'经营假设'!R24&amp;"|"&amp;'经营假设'!S24&amp;"|"&amp;'经营假设'!T24&amp;"|"&amp;'经营假设'!U24&amp;"|"&amp;'经营假设'!V24&amp;"|"&amp;'经营假设'!W24</x:f>
        <x:v>14|0.065|-0.3|0.15|0.65|9.7</x:v>
      </x:c>
    </x:row>
    <x:row r="680" ht="23" customHeight="1">
      <x:c r="A680" s="11" t="str">
        <x:v>00981.HK</x:v>
      </x:c>
      <x:c r="B680" s="11" t="str">
        <x:v>中芯国际</x:v>
      </x:c>
      <x:c r="C680" s="11" t="str">
        <x:v>五年</x:v>
      </x:c>
      <x:c r="D680" s="11" t="str">
        <x:v>基准</x:v>
      </x:c>
      <x:c r="E680" s="11" t="n">
        <x:v>57.65</x:v>
      </x:c>
      <x:c r="F680" s="11" t="n">
        <x:v>131.25</x:v>
      </x:c>
      <x:c r="G680" s="11" t="n">
        <x:v>0</x:v>
      </x:c>
      <x:c r="H680" s="25" t="n">
        <x:v>1.2766695576756288</x:v>
      </x:c>
      <x:c r="I680" s="25" t="n">
        <x:v>1.2766695576756288</x:v>
      </x:c>
      <x:c r="J680" s="25" t="n">
        <x:v>0.17885394202579308</x:v>
      </x:c>
      <x:c r="K680" s="11" t="n">
        <x:v>0.4428</x:v>
      </x:c>
      <x:c r="L680" s="11" t="n">
        <x:v>38</x:v>
      </x:c>
      <x:c r="M680" s="11" t="n">
        <x:v>7.8</x:v>
      </x:c>
      <x:c r="N680" s="11" t="n">
        <x:v>0</x:v>
      </x:c>
      <x:c r="O680" s="11" t="str"/>
      <x:c r="P680" s="11" t="str"/>
      <x:c r="Q680" s="11" t="str"/>
      <x:c r="R680" s="11" t="str">
        <x:v>smic-normalized-IFRS-owner-share-v1.0</x:v>
      </x:c>
      <x:c r="S680" s="11" t="str">
        <x:v>2026-10-10</x:v>
      </x:c>
      <x:c r="T680" s="11" t="str">
        <x:f>IF(AND(SUM(IF(K680='假设'!E905,0,1),IF(L680='假设'!F905,0,1),IF(M680='假设'!G905,0,1),IF(N680='假设'!H905,0,1),IF(O680='假设'!I905,0,1),IF(P680='假设'!J905,0,1),IF(Q680='假设'!K905,0,1))=0,U680=V680),"已刷新","待刷新")</x:f>
        <x:v>已刷新</x:v>
      </x:c>
      <x:c r="U680" t="str">
        <x:v>23|0.25|0|0.15|0.82|9.05</x:v>
      </x:c>
      <x:c r="V680" t="str">
        <x:f>'经营假设'!R25&amp;"|"&amp;'经营假设'!S25&amp;"|"&amp;'经营假设'!T25&amp;"|"&amp;'经营假设'!U25&amp;"|"&amp;'经营假设'!V25&amp;"|"&amp;'经营假设'!W25</x:f>
        <x:v>23|0.25|0|0.15|0.82|9.05</x:v>
      </x:c>
    </x:row>
    <x:row r="681" ht="23" customHeight="1">
      <x:c r="A681" s="11" t="str">
        <x:v>00981.HK</x:v>
      </x:c>
      <x:c r="B681" s="11" t="str">
        <x:v>中芯国际</x:v>
      </x:c>
      <x:c r="C681" s="11" t="str">
        <x:v>五年</x:v>
      </x:c>
      <x:c r="D681" s="11" t="str">
        <x:v>乐观</x:v>
      </x:c>
      <x:c r="E681" s="11" t="n">
        <x:v>57.65</x:v>
      </x:c>
      <x:c r="F681" s="11" t="n">
        <x:v>352.43</x:v>
      </x:c>
      <x:c r="G681" s="11" t="n">
        <x:v>0</x:v>
      </x:c>
      <x:c r="H681" s="25" t="n">
        <x:v>5.113269731136167</x:v>
      </x:c>
      <x:c r="I681" s="25" t="n">
        <x:v>5.113269731136167</x:v>
      </x:c>
      <x:c r="J681" s="25" t="n">
        <x:v>0.4363315880253893</x:v>
      </x:c>
      <x:c r="K681" s="11" t="n">
        <x:v>0.8689</x:v>
      </x:c>
      <x:c r="L681" s="11" t="n">
        <x:v>52</x:v>
      </x:c>
      <x:c r="M681" s="11" t="n">
        <x:v>7.8</x:v>
      </x:c>
      <x:c r="N681" s="11" t="n">
        <x:v>0</x:v>
      </x:c>
      <x:c r="O681" s="11" t="str"/>
      <x:c r="P681" s="11" t="str"/>
      <x:c r="Q681" s="11" t="str"/>
      <x:c r="R681" s="11" t="str">
        <x:v>smic-normalized-IFRS-owner-share-v1.0</x:v>
      </x:c>
      <x:c r="S681" s="11" t="str">
        <x:v>2026-10-10</x:v>
      </x:c>
      <x:c r="T681" s="11" t="str">
        <x:f>IF(AND(SUM(IF(K681='假设'!E906,0,1),IF(L681='假设'!F906,0,1),IF(M681='假设'!G906,0,1),IF(N681='假设'!H906,0,1),IF(O681='假设'!I906,0,1),IF(P681='假设'!J906,0,1),IF(Q681='假设'!K906,0,1))=0,U681=V681),"已刷新","待刷新")</x:f>
        <x:v>已刷新</x:v>
      </x:c>
      <x:c r="U681" t="str">
        <x:v>32|0.32|0.1|0.15|0.87|8.8</x:v>
      </x:c>
      <x:c r="V681" t="str">
        <x:f>'经营假设'!R26&amp;"|"&amp;'经营假设'!S26&amp;"|"&amp;'经营假设'!T26&amp;"|"&amp;'经营假设'!U26&amp;"|"&amp;'经营假设'!V26&amp;"|"&amp;'经营假设'!W26</x:f>
        <x:v>32|0.32|0.1|0.15|0.87|8.8</x:v>
      </x:c>
    </x:row>
    <x:row r="682" ht="23" customHeight="1">
      <x:c r="A682" s="11" t="str">
        <x:v>00700.HK</x:v>
      </x:c>
      <x:c r="B682" s="11" t="str">
        <x:v>腾讯控股</x:v>
      </x:c>
      <x:c r="C682" s="11" t="str">
        <x:v>2026年底</x:v>
      </x:c>
      <x:c r="D682" s="11" t="str">
        <x:v>悲观</x:v>
      </x:c>
      <x:c r="E682" s="11" t="n">
        <x:v>424.8</x:v>
      </x:c>
      <x:c r="F682" s="11" t="n">
        <x:v>316.8</x:v>
      </x:c>
      <x:c r="G682" s="11" t="n">
        <x:v>0</x:v>
      </x:c>
      <x:c r="H682" s="25" t="n">
        <x:v>-0.2542372881355932</x:v>
      </x:c>
      <x:c r="I682" s="25" t="n">
        <x:v>-0.2542372881355932</x:v>
      </x:c>
      <x:c r="J682" s="25" t="str"/>
      <x:c r="K682" s="11" t="n">
        <x:v>24</x:v>
      </x:c>
      <x:c r="L682" s="11" t="n">
        <x:v>12</x:v>
      </x:c>
      <x:c r="M682" s="11" t="n">
        <x:v>1.1</x:v>
      </x:c>
      <x:c r="N682" s="11" t="n">
        <x:v>0</x:v>
      </x:c>
      <x:c r="O682" s="11" t="str"/>
      <x:c r="P682" s="11" t="str"/>
      <x:c r="Q682" s="11" t="str"/>
      <x:c r="R682" s="11" t="str">
        <x:v>tencent-pe-v1.0</x:v>
      </x:c>
      <x:c r="S682" s="11" t="str">
        <x:v>2026-10-10</x:v>
      </x:c>
      <x:c r="T682" s="11" t="str">
        <x:f>IF(AND(SUM(IF(K682='假设'!E908,0,1),IF(L682='假设'!F908,0,1),IF(M682='假设'!G908,0,1),IF(N682='假设'!H908,0,1),IF(O682='假设'!I908,0,1),IF(P682='假设'!J908,0,1),IF(Q682='假设'!K908,0,1))=0,U682=V682),"已刷新","待刷新")</x:f>
        <x:v>已刷新</x:v>
      </x:c>
    </x:row>
    <x:row r="683" ht="23" customHeight="1">
      <x:c r="A683" s="11" t="str">
        <x:v>00700.HK</x:v>
      </x:c>
      <x:c r="B683" s="11" t="str">
        <x:v>腾讯控股</x:v>
      </x:c>
      <x:c r="C683" s="11" t="str">
        <x:v>2026年底</x:v>
      </x:c>
      <x:c r="D683" s="11" t="str">
        <x:v>基准</x:v>
      </x:c>
      <x:c r="E683" s="11" t="n">
        <x:v>424.8</x:v>
      </x:c>
      <x:c r="F683" s="11" t="n">
        <x:v>492.80000000000007</x:v>
      </x:c>
      <x:c r="G683" s="11" t="n">
        <x:v>0</x:v>
      </x:c>
      <x:c r="H683" s="25" t="n">
        <x:v>0.1600753295668551</x:v>
      </x:c>
      <x:c r="I683" s="25" t="n">
        <x:v>0.1600753295668551</x:v>
      </x:c>
      <x:c r="J683" s="25" t="str"/>
      <x:c r="K683" s="11" t="n">
        <x:v>28</x:v>
      </x:c>
      <x:c r="L683" s="11" t="n">
        <x:v>16</x:v>
      </x:c>
      <x:c r="M683" s="11" t="n">
        <x:v>1.1</x:v>
      </x:c>
      <x:c r="N683" s="11" t="n">
        <x:v>0</x:v>
      </x:c>
      <x:c r="O683" s="11" t="str"/>
      <x:c r="P683" s="11" t="str"/>
      <x:c r="Q683" s="11" t="str"/>
      <x:c r="R683" s="11" t="str">
        <x:v>tencent-pe-v1.0</x:v>
      </x:c>
      <x:c r="S683" s="11" t="str">
        <x:v>2026-10-10</x:v>
      </x:c>
      <x:c r="T683" s="11" t="str">
        <x:f>IF(AND(SUM(IF(K683='假设'!E909,0,1),IF(L683='假设'!F909,0,1),IF(M683='假设'!G909,0,1),IF(N683='假设'!H909,0,1),IF(O683='假设'!I909,0,1),IF(P683='假设'!J909,0,1),IF(Q683='假设'!K909,0,1))=0,U683=V683),"已刷新","待刷新")</x:f>
        <x:v>已刷新</x:v>
      </x:c>
    </x:row>
    <x:row r="684" ht="23" customHeight="1">
      <x:c r="A684" s="11" t="str">
        <x:v>00700.HK</x:v>
      </x:c>
      <x:c r="B684" s="11" t="str">
        <x:v>腾讯控股</x:v>
      </x:c>
      <x:c r="C684" s="11" t="str">
        <x:v>2026年底</x:v>
      </x:c>
      <x:c r="D684" s="11" t="str">
        <x:v>乐观</x:v>
      </x:c>
      <x:c r="E684" s="11" t="n">
        <x:v>424.8</x:v>
      </x:c>
      <x:c r="F684" s="11" t="n">
        <x:v>682</x:v>
      </x:c>
      <x:c r="G684" s="11" t="n">
        <x:v>0</x:v>
      </x:c>
      <x:c r="H684" s="25" t="n">
        <x:v>0.6054613935969868</x:v>
      </x:c>
      <x:c r="I684" s="25" t="n">
        <x:v>0.6054613935969868</x:v>
      </x:c>
      <x:c r="J684" s="25" t="str"/>
      <x:c r="K684" s="11" t="n">
        <x:v>31</x:v>
      </x:c>
      <x:c r="L684" s="11" t="n">
        <x:v>20</x:v>
      </x:c>
      <x:c r="M684" s="11" t="n">
        <x:v>1.1</x:v>
      </x:c>
      <x:c r="N684" s="11" t="n">
        <x:v>0</x:v>
      </x:c>
      <x:c r="O684" s="11" t="str"/>
      <x:c r="P684" s="11" t="str"/>
      <x:c r="Q684" s="11" t="str"/>
      <x:c r="R684" s="11" t="str">
        <x:v>tencent-pe-v1.0</x:v>
      </x:c>
      <x:c r="S684" s="11" t="str">
        <x:v>2026-10-10</x:v>
      </x:c>
      <x:c r="T684" s="11" t="str">
        <x:f>IF(AND(SUM(IF(K684='假设'!E910,0,1),IF(L684='假设'!F910,0,1),IF(M684='假设'!G910,0,1),IF(N684='假设'!H910,0,1),IF(O684='假设'!I910,0,1),IF(P684='假设'!J910,0,1),IF(Q684='假设'!K910,0,1))=0,U684=V684),"已刷新","待刷新")</x:f>
        <x:v>已刷新</x:v>
      </x:c>
    </x:row>
    <x:row r="685" ht="23" customHeight="1">
      <x:c r="A685" s="11" t="str">
        <x:v>00700.HK</x:v>
      </x:c>
      <x:c r="B685" s="11" t="str">
        <x:v>腾讯控股</x:v>
      </x:c>
      <x:c r="C685" s="11" t="str">
        <x:v>半年</x:v>
      </x:c>
      <x:c r="D685" s="11" t="str">
        <x:v>悲观</x:v>
      </x:c>
      <x:c r="E685" s="11" t="n">
        <x:v>424.8</x:v>
      </x:c>
      <x:c r="F685" s="11" t="n">
        <x:v>330</x:v>
      </x:c>
      <x:c r="G685" s="11" t="n">
        <x:v>0</x:v>
      </x:c>
      <x:c r="H685" s="25" t="n">
        <x:v>-0.2231638418079096</x:v>
      </x:c>
      <x:c r="I685" s="25" t="n">
        <x:v>-0.2231638418079096</x:v>
      </x:c>
      <x:c r="J685" s="25" t="str"/>
      <x:c r="K685" s="11" t="n">
        <x:v>25</x:v>
      </x:c>
      <x:c r="L685" s="11" t="n">
        <x:v>12</x:v>
      </x:c>
      <x:c r="M685" s="11" t="n">
        <x:v>1.1</x:v>
      </x:c>
      <x:c r="N685" s="11" t="n">
        <x:v>0</x:v>
      </x:c>
      <x:c r="O685" s="11" t="str"/>
      <x:c r="P685" s="11" t="str"/>
      <x:c r="Q685" s="11" t="str"/>
      <x:c r="R685" s="11" t="str">
        <x:v>tencent-pe-v1.0</x:v>
      </x:c>
      <x:c r="S685" s="11" t="str">
        <x:v>2026-10-10</x:v>
      </x:c>
      <x:c r="T685" s="11" t="str">
        <x:f>IF(AND(SUM(IF(K685='假设'!E912,0,1),IF(L685='假设'!F912,0,1),IF(M685='假设'!G912,0,1),IF(N685='假设'!H912,0,1),IF(O685='假设'!I912,0,1),IF(P685='假设'!J912,0,1),IF(Q685='假设'!K912,0,1))=0,U685=V685),"已刷新","待刷新")</x:f>
        <x:v>已刷新</x:v>
      </x:c>
    </x:row>
    <x:row r="686" ht="23" customHeight="1">
      <x:c r="A686" s="11" t="str">
        <x:v>00700.HK</x:v>
      </x:c>
      <x:c r="B686" s="11" t="str">
        <x:v>腾讯控股</x:v>
      </x:c>
      <x:c r="C686" s="11" t="str">
        <x:v>半年</x:v>
      </x:c>
      <x:c r="D686" s="11" t="str">
        <x:v>基准</x:v>
      </x:c>
      <x:c r="E686" s="11" t="n">
        <x:v>424.8</x:v>
      </x:c>
      <x:c r="F686" s="11" t="n">
        <x:v>561</x:v>
      </x:c>
      <x:c r="G686" s="11" t="n">
        <x:v>0</x:v>
      </x:c>
      <x:c r="H686" s="25" t="n">
        <x:v>0.32062146892655363</x:v>
      </x:c>
      <x:c r="I686" s="25" t="n">
        <x:v>0.32062146892655363</x:v>
      </x:c>
      <x:c r="J686" s="25" t="str"/>
      <x:c r="K686" s="11" t="n">
        <x:v>30</x:v>
      </x:c>
      <x:c r="L686" s="11" t="n">
        <x:v>17</x:v>
      </x:c>
      <x:c r="M686" s="11" t="n">
        <x:v>1.1</x:v>
      </x:c>
      <x:c r="N686" s="11" t="n">
        <x:v>0</x:v>
      </x:c>
      <x:c r="O686" s="11" t="str"/>
      <x:c r="P686" s="11" t="str"/>
      <x:c r="Q686" s="11" t="str"/>
      <x:c r="R686" s="11" t="str">
        <x:v>tencent-pe-v1.0</x:v>
      </x:c>
      <x:c r="S686" s="11" t="str">
        <x:v>2026-10-10</x:v>
      </x:c>
      <x:c r="T686" s="11" t="str">
        <x:f>IF(AND(SUM(IF(K686='假设'!E913,0,1),IF(L686='假设'!F913,0,1),IF(M686='假设'!G913,0,1),IF(N686='假设'!H913,0,1),IF(O686='假设'!I913,0,1),IF(P686='假设'!J913,0,1),IF(Q686='假设'!K913,0,1))=0,U686=V686),"已刷新","待刷新")</x:f>
        <x:v>已刷新</x:v>
      </x:c>
    </x:row>
    <x:row r="687" ht="23" customHeight="1">
      <x:c r="A687" s="11" t="str">
        <x:v>00700.HK</x:v>
      </x:c>
      <x:c r="B687" s="11" t="str">
        <x:v>腾讯控股</x:v>
      </x:c>
      <x:c r="C687" s="11" t="str">
        <x:v>半年</x:v>
      </x:c>
      <x:c r="D687" s="11" t="str">
        <x:v>乐观</x:v>
      </x:c>
      <x:c r="E687" s="11" t="n">
        <x:v>424.8</x:v>
      </x:c>
      <x:c r="F687" s="11" t="n">
        <x:v>785.4000000000001</x:v>
      </x:c>
      <x:c r="G687" s="11" t="n">
        <x:v>0</x:v>
      </x:c>
      <x:c r="H687" s="25" t="n">
        <x:v>0.8488700564971754</x:v>
      </x:c>
      <x:c r="I687" s="25" t="n">
        <x:v>0.8488700564971754</x:v>
      </x:c>
      <x:c r="J687" s="25" t="str"/>
      <x:c r="K687" s="11" t="n">
        <x:v>34</x:v>
      </x:c>
      <x:c r="L687" s="11" t="n">
        <x:v>21</x:v>
      </x:c>
      <x:c r="M687" s="11" t="n">
        <x:v>1.1</x:v>
      </x:c>
      <x:c r="N687" s="11" t="n">
        <x:v>0</x:v>
      </x:c>
      <x:c r="O687" s="11" t="str"/>
      <x:c r="P687" s="11" t="str"/>
      <x:c r="Q687" s="11" t="str"/>
      <x:c r="R687" s="11" t="str">
        <x:v>tencent-pe-v1.0</x:v>
      </x:c>
      <x:c r="S687" s="11" t="str">
        <x:v>2026-10-10</x:v>
      </x:c>
      <x:c r="T687" s="11" t="str">
        <x:f>IF(AND(SUM(IF(K687='假设'!E914,0,1),IF(L687='假设'!F914,0,1),IF(M687='假设'!G914,0,1),IF(N687='假设'!H914,0,1),IF(O687='假设'!I914,0,1),IF(P687='假设'!J914,0,1),IF(Q687='假设'!K914,0,1))=0,U687=V687),"已刷新","待刷新")</x:f>
        <x:v>已刷新</x:v>
      </x:c>
    </x:row>
    <x:row r="688" ht="23" customHeight="1">
      <x:c r="A688" s="11" t="str">
        <x:v>00700.HK</x:v>
      </x:c>
      <x:c r="B688" s="11" t="str">
        <x:v>腾讯控股</x:v>
      </x:c>
      <x:c r="C688" s="11" t="str">
        <x:v>一年</x:v>
      </x:c>
      <x:c r="D688" s="11" t="str">
        <x:v>悲观</x:v>
      </x:c>
      <x:c r="E688" s="11" t="n">
        <x:v>424.8</x:v>
      </x:c>
      <x:c r="F688" s="11" t="n">
        <x:v>343.20000000000005</x:v>
      </x:c>
      <x:c r="G688" s="11" t="n">
        <x:v>4</x:v>
      </x:c>
      <x:c r="H688" s="25" t="n">
        <x:v>-0.19209039548022588</x:v>
      </x:c>
      <x:c r="I688" s="25" t="n">
        <x:v>-0.18267419962335207</x:v>
      </x:c>
      <x:c r="J688" s="25" t="str"/>
      <x:c r="K688" s="11" t="n">
        <x:v>26</x:v>
      </x:c>
      <x:c r="L688" s="11" t="n">
        <x:v>12</x:v>
      </x:c>
      <x:c r="M688" s="11" t="n">
        <x:v>1.1</x:v>
      </x:c>
      <x:c r="N688" s="11" t="n">
        <x:v>4</x:v>
      </x:c>
      <x:c r="O688" s="11" t="str"/>
      <x:c r="P688" s="11" t="str"/>
      <x:c r="Q688" s="11" t="str"/>
      <x:c r="R688" s="11" t="str">
        <x:v>tencent-pe-v1.0</x:v>
      </x:c>
      <x:c r="S688" s="11" t="str">
        <x:v>2026-10-10</x:v>
      </x:c>
      <x:c r="T688" s="11" t="str">
        <x:f>IF(AND(SUM(IF(K688='假设'!E916,0,1),IF(L688='假设'!F916,0,1),IF(M688='假设'!G916,0,1),IF(N688='假设'!H916,0,1),IF(O688='假设'!I916,0,1),IF(P688='假设'!J916,0,1),IF(Q688='假设'!K916,0,1))=0,U688=V688),"已刷新","待刷新")</x:f>
        <x:v>已刷新</x:v>
      </x:c>
    </x:row>
    <x:row r="689" ht="23" customHeight="1">
      <x:c r="A689" s="11" t="str">
        <x:v>00700.HK</x:v>
      </x:c>
      <x:c r="B689" s="11" t="str">
        <x:v>腾讯控股</x:v>
      </x:c>
      <x:c r="C689" s="11" t="str">
        <x:v>一年</x:v>
      </x:c>
      <x:c r="D689" s="11" t="str">
        <x:v>基准</x:v>
      </x:c>
      <x:c r="E689" s="11" t="n">
        <x:v>424.8</x:v>
      </x:c>
      <x:c r="F689" s="11" t="n">
        <x:v>633.6</x:v>
      </x:c>
      <x:c r="G689" s="11" t="n">
        <x:v>5.3</x:v>
      </x:c>
      <x:c r="H689" s="25" t="n">
        <x:v>0.4915254237288136</x:v>
      </x:c>
      <x:c r="I689" s="25" t="n">
        <x:v>0.5040018832391713</x:v>
      </x:c>
      <x:c r="J689" s="25" t="str"/>
      <x:c r="K689" s="11" t="n">
        <x:v>32</x:v>
      </x:c>
      <x:c r="L689" s="11" t="n">
        <x:v>18</x:v>
      </x:c>
      <x:c r="M689" s="11" t="n">
        <x:v>1.1</x:v>
      </x:c>
      <x:c r="N689" s="11" t="n">
        <x:v>5.3</x:v>
      </x:c>
      <x:c r="O689" s="11" t="str"/>
      <x:c r="P689" s="11" t="str"/>
      <x:c r="Q689" s="11" t="str"/>
      <x:c r="R689" s="11" t="str">
        <x:v>tencent-pe-v1.0</x:v>
      </x:c>
      <x:c r="S689" s="11" t="str">
        <x:v>2026-10-10</x:v>
      </x:c>
      <x:c r="T689" s="11" t="str">
        <x:f>IF(AND(SUM(IF(K689='假设'!E917,0,1),IF(L689='假设'!F917,0,1),IF(M689='假设'!G917,0,1),IF(N689='假设'!H917,0,1),IF(O689='假设'!I917,0,1),IF(P689='假设'!J917,0,1),IF(Q689='假设'!K917,0,1))=0,U689=V689),"已刷新","待刷新")</x:f>
        <x:v>待刷新</x:v>
      </x:c>
    </x:row>
    <x:row r="690" ht="23" customHeight="1">
      <x:c r="A690" s="11" t="str">
        <x:v>00700.HK</x:v>
      </x:c>
      <x:c r="B690" s="11" t="str">
        <x:v>腾讯控股</x:v>
      </x:c>
      <x:c r="C690" s="11" t="str">
        <x:v>一年</x:v>
      </x:c>
      <x:c r="D690" s="11" t="str">
        <x:v>乐观</x:v>
      </x:c>
      <x:c r="E690" s="11" t="n">
        <x:v>424.8</x:v>
      </x:c>
      <x:c r="F690" s="11" t="n">
        <x:v>919.6</x:v>
      </x:c>
      <x:c r="G690" s="11" t="n">
        <x:v>6</x:v>
      </x:c>
      <x:c r="H690" s="25" t="n">
        <x:v>1.164783427495292</x:v>
      </x:c>
      <x:c r="I690" s="25" t="n">
        <x:v>1.1789077212806025</x:v>
      </x:c>
      <x:c r="J690" s="25" t="str"/>
      <x:c r="K690" s="11" t="n">
        <x:v>38</x:v>
      </x:c>
      <x:c r="L690" s="11" t="n">
        <x:v>22</x:v>
      </x:c>
      <x:c r="M690" s="11" t="n">
        <x:v>1.1</x:v>
      </x:c>
      <x:c r="N690" s="11" t="n">
        <x:v>6</x:v>
      </x:c>
      <x:c r="O690" s="11" t="str"/>
      <x:c r="P690" s="11" t="str"/>
      <x:c r="Q690" s="11" t="str"/>
      <x:c r="R690" s="11" t="str">
        <x:v>tencent-pe-v1.0</x:v>
      </x:c>
      <x:c r="S690" s="11" t="str">
        <x:v>2026-10-10</x:v>
      </x:c>
      <x:c r="T690" s="11" t="str">
        <x:f>IF(AND(SUM(IF(K690='假设'!E918,0,1),IF(L690='假设'!F918,0,1),IF(M690='假设'!G918,0,1),IF(N690='假设'!H918,0,1),IF(O690='假设'!I918,0,1),IF(P690='假设'!J918,0,1),IF(Q690='假设'!K918,0,1))=0,U690=V690),"已刷新","待刷新")</x:f>
        <x:v>已刷新</x:v>
      </x:c>
    </x:row>
    <x:row r="691" ht="23" customHeight="1">
      <x:c r="A691" s="11" t="str">
        <x:v>00700.HK</x:v>
      </x:c>
      <x:c r="B691" s="11" t="str">
        <x:v>腾讯控股</x:v>
      </x:c>
      <x:c r="C691" s="11" t="str">
        <x:v>三年</x:v>
      </x:c>
      <x:c r="D691" s="11" t="str">
        <x:v>悲观</x:v>
      </x:c>
      <x:c r="E691" s="11" t="n">
        <x:v>424.8</x:v>
      </x:c>
      <x:c r="F691" s="11" t="n">
        <x:v>338.8</x:v>
      </x:c>
      <x:c r="G691" s="11" t="n">
        <x:v>12</x:v>
      </x:c>
      <x:c r="H691" s="25" t="n">
        <x:v>-0.2024482109227872</x:v>
      </x:c>
      <x:c r="I691" s="25" t="n">
        <x:v>-0.17419962335216577</x:v>
      </x:c>
      <x:c r="J691" s="25" t="n">
        <x:v>-0.06180807166463864</x:v>
      </x:c>
      <x:c r="K691" s="11" t="n">
        <x:v>28</x:v>
      </x:c>
      <x:c r="L691" s="11" t="n">
        <x:v>11</x:v>
      </x:c>
      <x:c r="M691" s="11" t="n">
        <x:v>1.1</x:v>
      </x:c>
      <x:c r="N691" s="11" t="n">
        <x:v>12</x:v>
      </x:c>
      <x:c r="O691" s="11" t="str"/>
      <x:c r="P691" s="11" t="str"/>
      <x:c r="Q691" s="11" t="str"/>
      <x:c r="R691" s="11" t="str">
        <x:v>tencent-pe-v1.0</x:v>
      </x:c>
      <x:c r="S691" s="11" t="str">
        <x:v>2026-10-10</x:v>
      </x:c>
      <x:c r="T691" s="11" t="str">
        <x:f>IF(AND(SUM(IF(K691='假设'!E920,0,1),IF(L691='假设'!F920,0,1),IF(M691='假设'!G920,0,1),IF(N691='假设'!H920,0,1),IF(O691='假设'!I920,0,1),IF(P691='假设'!J920,0,1),IF(Q691='假设'!K920,0,1))=0,U691=V691),"已刷新","待刷新")</x:f>
        <x:v>已刷新</x:v>
      </x:c>
    </x:row>
    <x:row r="692" ht="23" customHeight="1">
      <x:c r="A692" s="11" t="str">
        <x:v>00700.HK</x:v>
      </x:c>
      <x:c r="B692" s="11" t="str">
        <x:v>腾讯控股</x:v>
      </x:c>
      <x:c r="C692" s="11" t="str">
        <x:v>三年</x:v>
      </x:c>
      <x:c r="D692" s="11" t="str">
        <x:v>基准</x:v>
      </x:c>
      <x:c r="E692" s="11" t="n">
        <x:v>424.8</x:v>
      </x:c>
      <x:c r="F692" s="11" t="n">
        <x:v>748.0000000000001</x:v>
      </x:c>
      <x:c r="G692" s="11" t="n">
        <x:v>18</x:v>
      </x:c>
      <x:c r="H692" s="25" t="n">
        <x:v>0.7608286252354051</x:v>
      </x:c>
      <x:c r="I692" s="25" t="n">
        <x:v>0.8032015065913374</x:v>
      </x:c>
      <x:c r="J692" s="25" t="n">
        <x:v>0.21716116491662585</x:v>
      </x:c>
      <x:c r="K692" s="11" t="n">
        <x:v>40</x:v>
      </x:c>
      <x:c r="L692" s="11" t="n">
        <x:v>17</x:v>
      </x:c>
      <x:c r="M692" s="11" t="n">
        <x:v>1.1</x:v>
      </x:c>
      <x:c r="N692" s="11" t="n">
        <x:v>18</x:v>
      </x:c>
      <x:c r="O692" s="11" t="str"/>
      <x:c r="P692" s="11" t="str"/>
      <x:c r="Q692" s="11" t="str"/>
      <x:c r="R692" s="11" t="str">
        <x:v>tencent-pe-v1.0</x:v>
      </x:c>
      <x:c r="S692" s="11" t="str">
        <x:v>2026-10-10</x:v>
      </x:c>
      <x:c r="T692" s="11" t="str">
        <x:f>IF(AND(SUM(IF(K692='假设'!E921,0,1),IF(L692='假设'!F921,0,1),IF(M692='假设'!G921,0,1),IF(N692='假设'!H921,0,1),IF(O692='假设'!I921,0,1),IF(P692='假设'!J921,0,1),IF(Q692='假设'!K921,0,1))=0,U692=V692),"已刷新","待刷新")</x:f>
        <x:v>已刷新</x:v>
      </x:c>
    </x:row>
    <x:row r="693" ht="23" customHeight="1">
      <x:c r="A693" s="11" t="str">
        <x:v>00700.HK</x:v>
      </x:c>
      <x:c r="B693" s="11" t="str">
        <x:v>腾讯控股</x:v>
      </x:c>
      <x:c r="C693" s="11" t="str">
        <x:v>三年</x:v>
      </x:c>
      <x:c r="D693" s="11" t="str">
        <x:v>乐观</x:v>
      </x:c>
      <x:c r="E693" s="11" t="n">
        <x:v>424.8</x:v>
      </x:c>
      <x:c r="F693" s="11" t="n">
        <x:v>1258.4</x:v>
      </x:c>
      <x:c r="G693" s="11" t="n">
        <x:v>24</x:v>
      </x:c>
      <x:c r="H693" s="25" t="n">
        <x:v>1.9623352165725048</x:v>
      </x:c>
      <x:c r="I693" s="25" t="n">
        <x:v>2.018832391713748</x:v>
      </x:c>
      <x:c r="J693" s="25" t="n">
        <x:v>0.4452611672134985</x:v>
      </x:c>
      <x:c r="K693" s="11" t="n">
        <x:v>52</x:v>
      </x:c>
      <x:c r="L693" s="11" t="n">
        <x:v>22</x:v>
      </x:c>
      <x:c r="M693" s="11" t="n">
        <x:v>1.1</x:v>
      </x:c>
      <x:c r="N693" s="11" t="n">
        <x:v>24</x:v>
      </x:c>
      <x:c r="O693" s="11" t="str"/>
      <x:c r="P693" s="11" t="str"/>
      <x:c r="Q693" s="11" t="str"/>
      <x:c r="R693" s="11" t="str">
        <x:v>tencent-pe-v1.0</x:v>
      </x:c>
      <x:c r="S693" s="11" t="str">
        <x:v>2026-10-10</x:v>
      </x:c>
      <x:c r="T693" s="11" t="str">
        <x:f>IF(AND(SUM(IF(K693='假设'!E922,0,1),IF(L693='假设'!F922,0,1),IF(M693='假设'!G922,0,1),IF(N693='假设'!H922,0,1),IF(O693='假设'!I922,0,1),IF(P693='假设'!J922,0,1),IF(Q693='假设'!K922,0,1))=0,U693=V693),"已刷新","待刷新")</x:f>
        <x:v>已刷新</x:v>
      </x:c>
    </x:row>
    <x:row r="694" ht="23" customHeight="1">
      <x:c r="A694" s="11" t="str">
        <x:v>00700.HK</x:v>
      </x:c>
      <x:c r="B694" s="11" t="str">
        <x:v>腾讯控股</x:v>
      </x:c>
      <x:c r="C694" s="11" t="str">
        <x:v>五年</x:v>
      </x:c>
      <x:c r="D694" s="11" t="str">
        <x:v>悲观</x:v>
      </x:c>
      <x:c r="E694" s="11" t="n">
        <x:v>424.8</x:v>
      </x:c>
      <x:c r="F694" s="11" t="n">
        <x:v>308</x:v>
      </x:c>
      <x:c r="G694" s="11" t="n">
        <x:v>20</x:v>
      </x:c>
      <x:c r="H694" s="25" t="n">
        <x:v>-0.2749529190207156</x:v>
      </x:c>
      <x:c r="I694" s="25" t="n">
        <x:v>-0.22787193973634656</x:v>
      </x:c>
      <x:c r="J694" s="25" t="n">
        <x:v>-0.05040620715600064</x:v>
      </x:c>
      <x:c r="K694" s="11" t="n">
        <x:v>28</x:v>
      </x:c>
      <x:c r="L694" s="11" t="n">
        <x:v>10</x:v>
      </x:c>
      <x:c r="M694" s="11" t="n">
        <x:v>1.1</x:v>
      </x:c>
      <x:c r="N694" s="11" t="n">
        <x:v>20</x:v>
      </x:c>
      <x:c r="O694" s="11" t="str"/>
      <x:c r="P694" s="11" t="str"/>
      <x:c r="Q694" s="11" t="str"/>
      <x:c r="R694" s="11" t="str">
        <x:v>tencent-pe-v1.0</x:v>
      </x:c>
      <x:c r="S694" s="11" t="str">
        <x:v>2026-10-10</x:v>
      </x:c>
      <x:c r="T694" s="11" t="str">
        <x:f>IF(AND(SUM(IF(K694='假设'!E924,0,1),IF(L694='假设'!F924,0,1),IF(M694='假设'!G924,0,1),IF(N694='假设'!H924,0,1),IF(O694='假设'!I924,0,1),IF(P694='假设'!J924,0,1),IF(Q694='假设'!K924,0,1))=0,U694=V694),"已刷新","待刷新")</x:f>
        <x:v>已刷新</x:v>
      </x:c>
    </x:row>
    <x:row r="695" ht="23" customHeight="1">
      <x:c r="A695" s="11" t="str">
        <x:v>00700.HK</x:v>
      </x:c>
      <x:c r="B695" s="11" t="str">
        <x:v>腾讯控股</x:v>
      </x:c>
      <x:c r="C695" s="11" t="str">
        <x:v>五年</x:v>
      </x:c>
      <x:c r="D695" s="11" t="str">
        <x:v>基准</x:v>
      </x:c>
      <x:c r="E695" s="11" t="n">
        <x:v>424.8</x:v>
      </x:c>
      <x:c r="F695" s="11" t="n">
        <x:v>880.0000000000001</x:v>
      </x:c>
      <x:c r="G695" s="11" t="n">
        <x:v>35</x:v>
      </x:c>
      <x:c r="H695" s="25" t="n">
        <x:v>1.0715630885122414</x:v>
      </x:c>
      <x:c r="I695" s="25" t="n">
        <x:v>1.1539548022598871</x:v>
      </x:c>
      <x:c r="J695" s="25" t="n">
        <x:v>0.1658624564237956</x:v>
      </x:c>
      <x:c r="K695" s="11" t="n">
        <x:v>50</x:v>
      </x:c>
      <x:c r="L695" s="11" t="n">
        <x:v>16</x:v>
      </x:c>
      <x:c r="M695" s="11" t="n">
        <x:v>1.1</x:v>
      </x:c>
      <x:c r="N695" s="11" t="n">
        <x:v>35</x:v>
      </x:c>
      <x:c r="O695" s="11" t="str"/>
      <x:c r="P695" s="11" t="str"/>
      <x:c r="Q695" s="11" t="str"/>
      <x:c r="R695" s="11" t="str">
        <x:v>tencent-pe-v1.0</x:v>
      </x:c>
      <x:c r="S695" s="11" t="str">
        <x:v>2026-10-10</x:v>
      </x:c>
      <x:c r="T695" s="11" t="str">
        <x:f>IF(AND(SUM(IF(K695='假设'!E925,0,1),IF(L695='假设'!F925,0,1),IF(M695='假设'!G925,0,1),IF(N695='假设'!H925,0,1),IF(O695='假设'!I925,0,1),IF(P695='假设'!J925,0,1),IF(Q695='假设'!K925,0,1))=0,U695=V695),"已刷新","待刷新")</x:f>
        <x:v>已刷新</x:v>
      </x:c>
    </x:row>
    <x:row r="696" ht="23" customHeight="1">
      <x:c r="A696" s="11" t="str">
        <x:v>00700.HK</x:v>
      </x:c>
      <x:c r="B696" s="11" t="str">
        <x:v>腾讯控股</x:v>
      </x:c>
      <x:c r="C696" s="11" t="str">
        <x:v>五年</x:v>
      </x:c>
      <x:c r="D696" s="11" t="str">
        <x:v>乐观</x:v>
      </x:c>
      <x:c r="E696" s="11" t="n">
        <x:v>424.8</x:v>
      </x:c>
      <x:c r="F696" s="11" t="n">
        <x:v>1815.0000000000002</x:v>
      </x:c>
      <x:c r="G696" s="11" t="n">
        <x:v>50</x:v>
      </x:c>
      <x:c r="H696" s="25" t="n">
        <x:v>3.2725988700564974</x:v>
      </x:c>
      <x:c r="I696" s="25" t="n">
        <x:v>3.3903013182674204</x:v>
      </x:c>
      <x:c r="J696" s="25" t="n">
        <x:v>0.34430825530707754</x:v>
      </x:c>
      <x:c r="K696" s="11" t="n">
        <x:v>75</x:v>
      </x:c>
      <x:c r="L696" s="11" t="n">
        <x:v>22</x:v>
      </x:c>
      <x:c r="M696" s="11" t="n">
        <x:v>1.1</x:v>
      </x:c>
      <x:c r="N696" s="11" t="n">
        <x:v>50</x:v>
      </x:c>
      <x:c r="O696" s="11" t="str"/>
      <x:c r="P696" s="11" t="str"/>
      <x:c r="Q696" s="11" t="str"/>
      <x:c r="R696" s="11" t="str">
        <x:v>tencent-pe-v1.0</x:v>
      </x:c>
      <x:c r="S696" s="11" t="str">
        <x:v>2026-10-10</x:v>
      </x:c>
      <x:c r="T696" s="11" t="str">
        <x:f>IF(AND(SUM(IF(K696='假设'!E926,0,1),IF(L696='假设'!F926,0,1),IF(M696='假设'!G926,0,1),IF(N696='假设'!H926,0,1),IF(O696='假设'!I926,0,1),IF(P696='假设'!J926,0,1),IF(Q696='假设'!K926,0,1))=0,U696=V696),"已刷新","待刷新")</x:f>
        <x:v>已刷新</x:v>
      </x:c>
    </x:row>
    <x:row r="697" ht="23" customHeight="1">
      <x:c r="A697" s="11" t="str">
        <x:v>09961.HK</x:v>
      </x:c>
      <x:c r="B697" s="11" t="str">
        <x:v>携程集团-S</x:v>
      </x:c>
      <x:c r="C697" s="11" t="str">
        <x:v>2026年底</x:v>
      </x:c>
      <x:c r="D697" s="11" t="str">
        <x:v>悲观</x:v>
      </x:c>
      <x:c r="E697" s="11" t="n">
        <x:v>304.4</x:v>
      </x:c>
      <x:c r="F697" s="11" t="n">
        <x:v>212.45</x:v>
      </x:c>
      <x:c r="G697" s="11" t="n">
        <x:v>0</x:v>
      </x:c>
      <x:c r="H697" s="25" t="n">
        <x:v>-0.3020696452036794</x:v>
      </x:c>
      <x:c r="I697" s="25" t="n">
        <x:v>-0.3020696452036794</x:v>
      </x:c>
      <x:c r="J697" s="25" t="str"/>
      <x:c r="K697" s="11" t="n">
        <x:v>16.72</x:v>
      </x:c>
      <x:c r="L697" s="11" t="n">
        <x:v>12</x:v>
      </x:c>
      <x:c r="M697" s="11" t="n">
        <x:v>1.1</x:v>
      </x:c>
      <x:c r="N697" s="11" t="n">
        <x:v>0</x:v>
      </x:c>
      <x:c r="O697" s="11" t="str"/>
      <x:c r="P697" s="11" t="str"/>
      <x:c r="Q697" s="11" t="str"/>
      <x:c r="R697" s="11" t="str">
        <x:v>trip-normalized-ebit-penalty-v1.0</x:v>
      </x:c>
      <x:c r="S697" s="11" t="str">
        <x:v>2026-10-10</x:v>
      </x:c>
      <x:c r="T697" s="11" t="str">
        <x:f>IF(AND(SUM(IF(K697='假设'!E928,0,1),IF(L697='假设'!F928,0,1),IF(M697='假设'!G928,0,1),IF(N697='假设'!H928,0,1),IF(O697='假设'!I928,0,1),IF(P697='假设'!J928,0,1),IF(Q697='假设'!K928,0,1))=0,U697=V697),"已刷新","待刷新")</x:f>
        <x:v>已刷新</x:v>
      </x:c>
      <x:c r="U697" t="str">
        <x:v>||||0.2|0.5|0.69|60|0.23|5.18</x:v>
      </x:c>
      <x:c r="V697" t="str">
        <x:f>'经营假设'!D88&amp;"|"&amp;'经营假设'!E88&amp;"|"&amp;'经营假设'!F88&amp;"|"&amp;'经营假设'!G88&amp;"|"&amp;'经营假设'!H88&amp;"|"&amp;'经营假设'!I88&amp;"|"&amp;'经营假设'!J88&amp;"|"&amp;'经营假设'!K88&amp;"|"&amp;'经营假设'!L88&amp;"|"&amp;'经营假设'!M88</x:f>
        <x:v>||||0.2|0.5|0.69|60|0.23|5.18</x:v>
      </x:c>
    </x:row>
    <x:row r="698" ht="23" customHeight="1">
      <x:c r="A698" s="11" t="str">
        <x:v>09961.HK</x:v>
      </x:c>
      <x:c r="B698" s="11" t="str">
        <x:v>携程集团-S</x:v>
      </x:c>
      <x:c r="C698" s="11" t="str">
        <x:v>2026年底</x:v>
      </x:c>
      <x:c r="D698" s="11" t="str">
        <x:v>基准</x:v>
      </x:c>
      <x:c r="E698" s="11" t="n">
        <x:v>304.4</x:v>
      </x:c>
      <x:c r="F698" s="11" t="n">
        <x:v>431.54</x:v>
      </x:c>
      <x:c r="G698" s="11" t="n">
        <x:v>0</x:v>
      </x:c>
      <x:c r="H698" s="25" t="n">
        <x:v>0.41767411300919854</x:v>
      </x:c>
      <x:c r="I698" s="25" t="n">
        <x:v>0.41767411300919854</x:v>
      </x:c>
      <x:c r="J698" s="25" t="str"/>
      <x:c r="K698" s="11" t="n">
        <x:v>25.01</x:v>
      </x:c>
      <x:c r="L698" s="11" t="n">
        <x:v>16</x:v>
      </x:c>
      <x:c r="M698" s="11" t="n">
        <x:v>1.1</x:v>
      </x:c>
      <x:c r="N698" s="11" t="n">
        <x:v>0</x:v>
      </x:c>
      <x:c r="O698" s="11" t="str"/>
      <x:c r="P698" s="11" t="str"/>
      <x:c r="Q698" s="11" t="str"/>
      <x:c r="R698" s="11" t="str">
        <x:v>trip-normalized-ebit-penalty-v1.0</x:v>
      </x:c>
      <x:c r="S698" s="11" t="str">
        <x:v>2026-10-10</x:v>
      </x:c>
      <x:c r="T698" s="11" t="str">
        <x:f>IF(AND(SUM(IF(K698='假设'!E929,0,1),IF(L698='假设'!F929,0,1),IF(M698='假设'!G929,0,1),IF(N698='假设'!H929,0,1),IF(O698='假设'!I929,0,1),IF(P698='假设'!J929,0,1),IF(Q698='假设'!K929,0,1))=0,U698=V698),"已刷新","待刷新")</x:f>
        <x:v>已刷新</x:v>
      </x:c>
      <x:c r="U698" t="str">
        <x:v>||||0.2|1.5|0.66|67|0.28|5.18</x:v>
      </x:c>
      <x:c r="V698" t="str">
        <x:f>'经营假设'!D89&amp;"|"&amp;'经营假设'!E89&amp;"|"&amp;'经营假设'!F89&amp;"|"&amp;'经营假设'!G89&amp;"|"&amp;'经营假设'!H89&amp;"|"&amp;'经营假设'!I89&amp;"|"&amp;'经营假设'!J89&amp;"|"&amp;'经营假设'!K89&amp;"|"&amp;'经营假设'!L89&amp;"|"&amp;'经营假设'!M89</x:f>
        <x:v>||||0.2|1.5|0.66|67|0.28|5.18</x:v>
      </x:c>
    </x:row>
    <x:row r="699" ht="23" customHeight="1">
      <x:c r="A699" s="11" t="str">
        <x:v>09961.HK</x:v>
      </x:c>
      <x:c r="B699" s="11" t="str">
        <x:v>携程集团-S</x:v>
      </x:c>
      <x:c r="C699" s="11" t="str">
        <x:v>2026年底</x:v>
      </x:c>
      <x:c r="D699" s="11" t="str">
        <x:v>乐观</x:v>
      </x:c>
      <x:c r="E699" s="11" t="n">
        <x:v>304.4</x:v>
      </x:c>
      <x:c r="F699" s="11" t="n">
        <x:v>702.27</x:v>
      </x:c>
      <x:c r="G699" s="11" t="n">
        <x:v>0</x:v>
      </x:c>
      <x:c r="H699" s="25" t="n">
        <x:v>1.3070630749014458</x:v>
      </x:c>
      <x:c r="I699" s="25" t="n">
        <x:v>1.3070630749014458</x:v>
      </x:c>
      <x:c r="J699" s="25" t="str"/>
      <x:c r="K699" s="11" t="n">
        <x:v>32.32</x:v>
      </x:c>
      <x:c r="L699" s="11" t="n">
        <x:v>20</x:v>
      </x:c>
      <x:c r="M699" s="11" t="n">
        <x:v>1.1</x:v>
      </x:c>
      <x:c r="N699" s="11" t="n">
        <x:v>0</x:v>
      </x:c>
      <x:c r="O699" s="11" t="str"/>
      <x:c r="P699" s="11" t="str"/>
      <x:c r="Q699" s="11" t="str"/>
      <x:c r="R699" s="11" t="str">
        <x:v>trip-normalized-ebit-penalty-v1.0</x:v>
      </x:c>
      <x:c r="S699" s="11" t="str">
        <x:v>2026-10-10</x:v>
      </x:c>
      <x:c r="T699" s="11" t="str">
        <x:f>IF(AND(SUM(IF(K699='假设'!E930,0,1),IF(L699='假设'!F930,0,1),IF(M699='假设'!G930,0,1),IF(N699='假设'!H930,0,1),IF(O699='假设'!I930,0,1),IF(P699='假设'!J930,0,1),IF(Q699='假设'!K930,0,1))=0,U699=V699),"已刷新","待刷新")</x:f>
        <x:v>已刷新</x:v>
      </x:c>
      <x:c r="U699" t="str">
        <x:v>||||0.2|2|0.65|72|0.33|5.18</x:v>
      </x:c>
      <x:c r="V699" t="str">
        <x:f>'经营假设'!D90&amp;"|"&amp;'经营假设'!E90&amp;"|"&amp;'经营假设'!F90&amp;"|"&amp;'经营假设'!G90&amp;"|"&amp;'经营假设'!H90&amp;"|"&amp;'经营假设'!I90&amp;"|"&amp;'经营假设'!J90&amp;"|"&amp;'经营假设'!K90&amp;"|"&amp;'经营假设'!L90&amp;"|"&amp;'经营假设'!M90</x:f>
        <x:v>||||0.2|2|0.65|72|0.33|5.18</x:v>
      </x:c>
    </x:row>
    <x:row r="700" ht="23" customHeight="1">
      <x:c r="A700" s="11" t="str">
        <x:v>09961.HK</x:v>
      </x:c>
      <x:c r="B700" s="11" t="str">
        <x:v>携程集团-S</x:v>
      </x:c>
      <x:c r="C700" s="11" t="str">
        <x:v>半年</x:v>
      </x:c>
      <x:c r="D700" s="11" t="str">
        <x:v>悲观</x:v>
      </x:c>
      <x:c r="E700" s="11" t="n">
        <x:v>304.4</x:v>
      </x:c>
      <x:c r="F700" s="11" t="n">
        <x:v>212.45</x:v>
      </x:c>
      <x:c r="G700" s="11" t="n">
        <x:v>0</x:v>
      </x:c>
      <x:c r="H700" s="25" t="n">
        <x:v>-0.3020696452036794</x:v>
      </x:c>
      <x:c r="I700" s="25" t="n">
        <x:v>-0.3020696452036794</x:v>
      </x:c>
      <x:c r="J700" s="25" t="str"/>
      <x:c r="K700" s="11" t="n">
        <x:v>16.72</x:v>
      </x:c>
      <x:c r="L700" s="11" t="n">
        <x:v>12</x:v>
      </x:c>
      <x:c r="M700" s="11" t="n">
        <x:v>1.1</x:v>
      </x:c>
      <x:c r="N700" s="11" t="n">
        <x:v>0</x:v>
      </x:c>
      <x:c r="O700" s="11" t="str"/>
      <x:c r="P700" s="11" t="str"/>
      <x:c r="Q700" s="11" t="str"/>
      <x:c r="R700" s="11" t="str">
        <x:v>trip-normalized-ebit-penalty-v1.0</x:v>
      </x:c>
      <x:c r="S700" s="11" t="str">
        <x:v>2026-10-10</x:v>
      </x:c>
      <x:c r="T700" s="11" t="str">
        <x:f>IF(AND(SUM(IF(K700='假设'!E932,0,1),IF(L700='假设'!F932,0,1),IF(M700='假设'!G932,0,1),IF(N700='假设'!H932,0,1),IF(O700='假设'!I932,0,1),IF(P700='假设'!J932,0,1),IF(Q700='假设'!K932,0,1))=0,U700=V700),"已刷新","待刷新")</x:f>
        <x:v>已刷新</x:v>
      </x:c>
      <x:c r="U700" t="str">
        <x:v>||||0.2|0.5|0.69|60|0.23|5.18</x:v>
      </x:c>
      <x:c r="V700" t="str">
        <x:f>'经营假设'!D92&amp;"|"&amp;'经营假设'!E92&amp;"|"&amp;'经营假设'!F92&amp;"|"&amp;'经营假设'!G92&amp;"|"&amp;'经营假设'!H92&amp;"|"&amp;'经营假设'!I92&amp;"|"&amp;'经营假设'!J92&amp;"|"&amp;'经营假设'!K92&amp;"|"&amp;'经营假设'!L92&amp;"|"&amp;'经营假设'!M92</x:f>
        <x:v>||||0.2|0.5|0.69|60|0.23|5.18</x:v>
      </x:c>
    </x:row>
    <x:row r="701" ht="23" customHeight="1">
      <x:c r="A701" s="11" t="str">
        <x:v>09961.HK</x:v>
      </x:c>
      <x:c r="B701" s="11" t="str">
        <x:v>携程集团-S</x:v>
      </x:c>
      <x:c r="C701" s="11" t="str">
        <x:v>半年</x:v>
      </x:c>
      <x:c r="D701" s="11" t="str">
        <x:v>基准</x:v>
      </x:c>
      <x:c r="E701" s="11" t="n">
        <x:v>304.4</x:v>
      </x:c>
      <x:c r="F701" s="11" t="n">
        <x:v>467.91</x:v>
      </x:c>
      <x:c r="G701" s="11" t="n">
        <x:v>0</x:v>
      </x:c>
      <x:c r="H701" s="25" t="n">
        <x:v>0.5371550591327203</x:v>
      </x:c>
      <x:c r="I701" s="25" t="n">
        <x:v>0.5371550591327203</x:v>
      </x:c>
      <x:c r="J701" s="25" t="str"/>
      <x:c r="K701" s="11" t="n">
        <x:v>27.08</x:v>
      </x:c>
      <x:c r="L701" s="11" t="n">
        <x:v>16</x:v>
      </x:c>
      <x:c r="M701" s="11" t="n">
        <x:v>1.1</x:v>
      </x:c>
      <x:c r="N701" s="11" t="n">
        <x:v>0</x:v>
      </x:c>
      <x:c r="O701" s="11" t="str"/>
      <x:c r="P701" s="11" t="str"/>
      <x:c r="Q701" s="11" t="str"/>
      <x:c r="R701" s="11" t="str">
        <x:v>trip-normalized-ebit-penalty-v1.0</x:v>
      </x:c>
      <x:c r="S701" s="11" t="str">
        <x:v>2026-10-10</x:v>
      </x:c>
      <x:c r="T701" s="11" t="str">
        <x:f>IF(AND(SUM(IF(K701='假设'!E933,0,1),IF(L701='假设'!F933,0,1),IF(M701='假设'!G933,0,1),IF(N701='假设'!H933,0,1),IF(O701='假设'!I933,0,1),IF(P701='假设'!J933,0,1),IF(Q701='假设'!K933,0,1))=0,U701=V701),"已刷新","待刷新")</x:f>
        <x:v>已刷新</x:v>
      </x:c>
      <x:c r="U701" t="str">
        <x:v>||||0.2|1.5|0.655|70|0.29|5.18</x:v>
      </x:c>
      <x:c r="V701" t="str">
        <x:f>'经营假设'!D93&amp;"|"&amp;'经营假设'!E93&amp;"|"&amp;'经营假设'!F93&amp;"|"&amp;'经营假设'!G93&amp;"|"&amp;'经营假设'!H93&amp;"|"&amp;'经营假设'!I93&amp;"|"&amp;'经营假设'!J93&amp;"|"&amp;'经营假设'!K93&amp;"|"&amp;'经营假设'!L93&amp;"|"&amp;'经营假设'!M93</x:f>
        <x:v>||||0.2|1.5|0.655|70|0.29|5.18</x:v>
      </x:c>
    </x:row>
    <x:row r="702" ht="23" customHeight="1">
      <x:c r="A702" s="11" t="str">
        <x:v>09961.HK</x:v>
      </x:c>
      <x:c r="B702" s="11" t="str">
        <x:v>携程集团-S</x:v>
      </x:c>
      <x:c r="C702" s="11" t="str">
        <x:v>半年</x:v>
      </x:c>
      <x:c r="D702" s="11" t="str">
        <x:v>乐观</x:v>
      </x:c>
      <x:c r="E702" s="11" t="n">
        <x:v>304.4</x:v>
      </x:c>
      <x:c r="F702" s="11" t="n">
        <x:v>829.16</x:v>
      </x:c>
      <x:c r="G702" s="11" t="n">
        <x:v>0</x:v>
      </x:c>
      <x:c r="H702" s="25" t="n">
        <x:v>1.7239159001314062</x:v>
      </x:c>
      <x:c r="I702" s="25" t="n">
        <x:v>1.7239159001314062</x:v>
      </x:c>
      <x:c r="J702" s="25" t="str"/>
      <x:c r="K702" s="11" t="n">
        <x:v>36.28</x:v>
      </x:c>
      <x:c r="L702" s="11" t="n">
        <x:v>21</x:v>
      </x:c>
      <x:c r="M702" s="11" t="n">
        <x:v>1.1</x:v>
      </x:c>
      <x:c r="N702" s="11" t="n">
        <x:v>0</x:v>
      </x:c>
      <x:c r="O702" s="11" t="str"/>
      <x:c r="P702" s="11" t="str"/>
      <x:c r="Q702" s="11" t="str"/>
      <x:c r="R702" s="11" t="str">
        <x:v>trip-normalized-ebit-penalty-v1.0</x:v>
      </x:c>
      <x:c r="S702" s="11" t="str">
        <x:v>2026-10-10</x:v>
      </x:c>
      <x:c r="T702" s="11" t="str">
        <x:f>IF(AND(SUM(IF(K702='假设'!E934,0,1),IF(L702='假设'!F934,0,1),IF(M702='假设'!G934,0,1),IF(N702='假设'!H934,0,1),IF(O702='假设'!I934,0,1),IF(P702='假设'!J934,0,1),IF(Q702='假设'!K934,0,1))=0,U702=V702),"已刷新","待刷新")</x:f>
        <x:v>已刷新</x:v>
      </x:c>
      <x:c r="U702" t="str">
        <x:v>||||0.2|2|0.64|78|0.34|5.18</x:v>
      </x:c>
      <x:c r="V702" t="str">
        <x:f>'经营假设'!D94&amp;"|"&amp;'经营假设'!E94&amp;"|"&amp;'经营假设'!F94&amp;"|"&amp;'经营假设'!G94&amp;"|"&amp;'经营假设'!H94&amp;"|"&amp;'经营假设'!I94&amp;"|"&amp;'经营假设'!J94&amp;"|"&amp;'经营假设'!K94&amp;"|"&amp;'经营假设'!L94&amp;"|"&amp;'经营假设'!M94</x:f>
        <x:v>||||0.2|2|0.64|78|0.34|5.18</x:v>
      </x:c>
    </x:row>
    <x:row r="703" ht="23" customHeight="1">
      <x:c r="A703" s="11" t="str">
        <x:v>09961.HK</x:v>
      </x:c>
      <x:c r="B703" s="11" t="str">
        <x:v>携程集团-S</x:v>
      </x:c>
      <x:c r="C703" s="11" t="str">
        <x:v>一年</x:v>
      </x:c>
      <x:c r="D703" s="11" t="str">
        <x:v>悲观</x:v>
      </x:c>
      <x:c r="E703" s="11" t="n">
        <x:v>304.4</x:v>
      </x:c>
      <x:c r="F703" s="11" t="n">
        <x:v>197.68</x:v>
      </x:c>
      <x:c r="G703" s="11" t="n">
        <x:v>0</x:v>
      </x:c>
      <x:c r="H703" s="25" t="n">
        <x:v>-0.35059132720105113</x:v>
      </x:c>
      <x:c r="I703" s="25" t="n">
        <x:v>-0.35059132720105113</x:v>
      </x:c>
      <x:c r="J703" s="25" t="str"/>
      <x:c r="K703" s="11" t="n">
        <x:v>17.01</x:v>
      </x:c>
      <x:c r="L703" s="11" t="n">
        <x:v>11</x:v>
      </x:c>
      <x:c r="M703" s="11" t="n">
        <x:v>1.1</x:v>
      </x:c>
      <x:c r="N703" s="11" t="n">
        <x:v>0</x:v>
      </x:c>
      <x:c r="O703" s="11" t="str"/>
      <x:c r="P703" s="11" t="str"/>
      <x:c r="Q703" s="11" t="str"/>
      <x:c r="R703" s="11" t="str">
        <x:v>trip-normalized-ebit-penalty-v1.0</x:v>
      </x:c>
      <x:c r="S703" s="11" t="str">
        <x:v>2026-10-10</x:v>
      </x:c>
      <x:c r="T703" s="11" t="str">
        <x:f>IF(AND(SUM(IF(K703='假设'!E936,0,1),IF(L703='假设'!F936,0,1),IF(M703='假设'!G936,0,1),IF(N703='假设'!H936,0,1),IF(O703='假设'!I936,0,1),IF(P703='假设'!J936,0,1),IF(Q703='假设'!K936,0,1))=0,U703=V703),"已刷新","待刷新")</x:f>
        <x:v>已刷新</x:v>
      </x:c>
      <x:c r="U703" t="str">
        <x:v>||||0.2|0.5|0.7|62|0.23|5.18</x:v>
      </x:c>
      <x:c r="V703" t="str">
        <x:f>'经营假设'!D96&amp;"|"&amp;'经营假设'!E96&amp;"|"&amp;'经营假设'!F96&amp;"|"&amp;'经营假设'!G96&amp;"|"&amp;'经营假设'!H96&amp;"|"&amp;'经营假设'!I96&amp;"|"&amp;'经营假设'!J96&amp;"|"&amp;'经营假设'!K96&amp;"|"&amp;'经营假设'!L96&amp;"|"&amp;'经营假设'!M96</x:f>
        <x:v>||||0.2|0.5|0.7|62|0.23|5.18</x:v>
      </x:c>
    </x:row>
    <x:row r="704" ht="23" customHeight="1">
      <x:c r="A704" s="11" t="str">
        <x:v>09961.HK</x:v>
      </x:c>
      <x:c r="B704" s="11" t="str">
        <x:v>携程集团-S</x:v>
      </x:c>
      <x:c r="C704" s="11" t="str">
        <x:v>一年</x:v>
      </x:c>
      <x:c r="D704" s="11" t="str">
        <x:v>基准</x:v>
      </x:c>
      <x:c r="E704" s="11" t="n">
        <x:v>304.4</x:v>
      </x:c>
      <x:c r="F704" s="11" t="n">
        <x:v>519.23</x:v>
      </x:c>
      <x:c r="G704" s="11" t="n">
        <x:v>1</x:v>
      </x:c>
      <x:c r="H704" s="25" t="n">
        <x:v>0.7057490144546652</x:v>
      </x:c>
      <x:c r="I704" s="25" t="n">
        <x:v>0.7090341655716166</x:v>
      </x:c>
      <x:c r="J704" s="25" t="str"/>
      <x:c r="K704" s="11" t="n">
        <x:v>30</x:v>
      </x:c>
      <x:c r="L704" s="11" t="n">
        <x:v>16</x:v>
      </x:c>
      <x:c r="M704" s="11" t="n">
        <x:v>1.1</x:v>
      </x:c>
      <x:c r="N704" s="11" t="n">
        <x:v>1</x:v>
      </x:c>
      <x:c r="O704" s="11" t="str"/>
      <x:c r="P704" s="11" t="str"/>
      <x:c r="Q704" s="11" t="str"/>
      <x:c r="R704" s="11" t="str">
        <x:v>trip-normalized-ebit-penalty-v1.0</x:v>
      </x:c>
      <x:c r="S704" s="11" t="str">
        <x:v>2026-10-10</x:v>
      </x:c>
      <x:c r="T704" s="11" t="str">
        <x:f>IF(AND(SUM(IF(K704='假设'!E937,0,1),IF(L704='假设'!F937,0,1),IF(M704='假设'!G937,0,1),IF(N704='假设'!H937,0,1),IF(O704='假设'!I937,0,1),IF(P704='假设'!J937,0,1),IF(Q704='假设'!K937,0,1))=0,U704=V704),"已刷新","待刷新")</x:f>
        <x:v>已刷新</x:v>
      </x:c>
      <x:c r="U704" t="str">
        <x:v>||||0.2|1.5|0.65|75|0.3|5.18</x:v>
      </x:c>
      <x:c r="V704" t="str">
        <x:f>'经营假设'!D97&amp;"|"&amp;'经营假设'!E97&amp;"|"&amp;'经营假设'!F97&amp;"|"&amp;'经营假设'!G97&amp;"|"&amp;'经营假设'!H97&amp;"|"&amp;'经营假设'!I97&amp;"|"&amp;'经营假设'!J97&amp;"|"&amp;'经营假设'!K97&amp;"|"&amp;'经营假设'!L97&amp;"|"&amp;'经营假设'!M97</x:f>
        <x:v>||||0.2|1.5|0.65|75|0.3|5.18</x:v>
      </x:c>
    </x:row>
    <x:row r="705" ht="23" customHeight="1">
      <x:c r="A705" s="11" t="str">
        <x:v>09961.HK</x:v>
      </x:c>
      <x:c r="B705" s="11" t="str">
        <x:v>携程集团-S</x:v>
      </x:c>
      <x:c r="C705" s="11" t="str">
        <x:v>一年</x:v>
      </x:c>
      <x:c r="D705" s="11" t="str">
        <x:v>乐观</x:v>
      </x:c>
      <x:c r="E705" s="11" t="n">
        <x:v>304.4</x:v>
      </x:c>
      <x:c r="F705" s="11" t="n">
        <x:v>936.9</x:v>
      </x:c>
      <x:c r="G705" s="11" t="n">
        <x:v>2</x:v>
      </x:c>
      <x:c r="H705" s="25" t="n">
        <x:v>2.077858081471748</x:v>
      </x:c>
      <x:c r="I705" s="25" t="n">
        <x:v>2.0844283837056508</x:v>
      </x:c>
      <x:c r="J705" s="25" t="str"/>
      <x:c r="K705" s="11" t="n">
        <x:v>40.95</x:v>
      </x:c>
      <x:c r="L705" s="11" t="n">
        <x:v>21</x:v>
      </x:c>
      <x:c r="M705" s="11" t="n">
        <x:v>1.1</x:v>
      </x:c>
      <x:c r="N705" s="11" t="n">
        <x:v>2</x:v>
      </x:c>
      <x:c r="O705" s="11" t="str"/>
      <x:c r="P705" s="11" t="str"/>
      <x:c r="Q705" s="11" t="str"/>
      <x:c r="R705" s="11" t="str">
        <x:v>trip-normalized-ebit-penalty-v1.0</x:v>
      </x:c>
      <x:c r="S705" s="11" t="str">
        <x:v>2026-10-10</x:v>
      </x:c>
      <x:c r="T705" s="11" t="str">
        <x:f>IF(AND(SUM(IF(K705='假设'!E938,0,1),IF(L705='假设'!F938,0,1),IF(M705='假设'!G938,0,1),IF(N705='假设'!H938,0,1),IF(O705='假设'!I938,0,1),IF(P705='假设'!J938,0,1),IF(Q705='假设'!K938,0,1))=0,U705=V705),"已刷新","待刷新")</x:f>
        <x:v>已刷新</x:v>
      </x:c>
      <x:c r="U705" t="str">
        <x:v>||||0.2|2|0.63|85|0.35|5.18</x:v>
      </x:c>
      <x:c r="V705" t="str">
        <x:f>'经营假设'!D98&amp;"|"&amp;'经营假设'!E98&amp;"|"&amp;'经营假设'!F98&amp;"|"&amp;'经营假设'!G98&amp;"|"&amp;'经营假设'!H98&amp;"|"&amp;'经营假设'!I98&amp;"|"&amp;'经营假设'!J98&amp;"|"&amp;'经营假设'!K98&amp;"|"&amp;'经营假设'!L98&amp;"|"&amp;'经营假设'!M98</x:f>
        <x:v>||||0.2|2|0.63|85|0.35|5.18</x:v>
      </x:c>
    </x:row>
    <x:row r="706" ht="23" customHeight="1">
      <x:c r="A706" s="11" t="str">
        <x:v>09961.HK</x:v>
      </x:c>
      <x:c r="B706" s="11" t="str">
        <x:v>携程集团-S</x:v>
      </x:c>
      <x:c r="C706" s="11" t="str">
        <x:v>三年</x:v>
      </x:c>
      <x:c r="D706" s="11" t="str">
        <x:v>悲观</x:v>
      </x:c>
      <x:c r="E706" s="11" t="n">
        <x:v>304.4</x:v>
      </x:c>
      <x:c r="F706" s="11" t="n">
        <x:v>170.29</x:v>
      </x:c>
      <x:c r="G706" s="11" t="n">
        <x:v>0</x:v>
      </x:c>
      <x:c r="H706" s="25" t="n">
        <x:v>-0.4405716162943495</x:v>
      </x:c>
      <x:c r="I706" s="25" t="n">
        <x:v>-0.4405716162943495</x:v>
      </x:c>
      <x:c r="J706" s="25" t="n">
        <x:v>-0.17602348716204375</x:v>
      </x:c>
      <x:c r="K706" s="11" t="n">
        <x:v>16.2</x:v>
      </x:c>
      <x:c r="L706" s="11" t="n">
        <x:v>10</x:v>
      </x:c>
      <x:c r="M706" s="11" t="n">
        <x:v>1.1</x:v>
      </x:c>
      <x:c r="N706" s="11" t="n">
        <x:v>0</x:v>
      </x:c>
      <x:c r="O706" s="11" t="str"/>
      <x:c r="P706" s="11" t="str"/>
      <x:c r="Q706" s="11" t="str"/>
      <x:c r="R706" s="11" t="str">
        <x:v>trip-normalized-ebit-penalty-v1.0</x:v>
      </x:c>
      <x:c r="S706" s="11" t="str">
        <x:v>2026-10-10</x:v>
      </x:c>
      <x:c r="T706" s="11" t="str">
        <x:f>IF(AND(SUM(IF(K706='假设'!E940,0,1),IF(L706='假设'!F940,0,1),IF(M706='假设'!G940,0,1),IF(N706='假设'!H940,0,1),IF(O706='假设'!I940,0,1),IF(P706='假设'!J940,0,1),IF(Q706='假设'!K940,0,1))=0,U706=V706),"已刷新","待刷新")</x:f>
        <x:v>已刷新</x:v>
      </x:c>
      <x:c r="U706" t="str">
        <x:v>||||0.2|0.4|0.72|64|0.22|5.18</x:v>
      </x:c>
      <x:c r="V706" t="str">
        <x:f>'经营假设'!D100&amp;"|"&amp;'经营假设'!E100&amp;"|"&amp;'经营假设'!F100&amp;"|"&amp;'经营假设'!G100&amp;"|"&amp;'经营假设'!H100&amp;"|"&amp;'经营假设'!I100&amp;"|"&amp;'经营假设'!J100&amp;"|"&amp;'经营假设'!K100&amp;"|"&amp;'经营假设'!L100&amp;"|"&amp;'经营假设'!M100</x:f>
        <x:v>||||0.2|0.4|0.72|64|0.22|5.18</x:v>
      </x:c>
    </x:row>
    <x:row r="707" ht="23" customHeight="1">
      <x:c r="A707" s="11" t="str">
        <x:v>09961.HK</x:v>
      </x:c>
      <x:c r="B707" s="11" t="str">
        <x:v>携程集团-S</x:v>
      </x:c>
      <x:c r="C707" s="11" t="str">
        <x:v>三年</x:v>
      </x:c>
      <x:c r="D707" s="11" t="str">
        <x:v>基准</x:v>
      </x:c>
      <x:c r="E707" s="11" t="n">
        <x:v>304.4</x:v>
      </x:c>
      <x:c r="F707" s="11" t="n">
        <x:v>723.39</x:v>
      </x:c>
      <x:c r="G707" s="11" t="n">
        <x:v>5</x:v>
      </x:c>
      <x:c r="H707" s="25" t="n">
        <x:v>1.3764454664914587</x:v>
      </x:c>
      <x:c r="I707" s="25" t="n">
        <x:v>1.3928712220762156</x:v>
      </x:c>
      <x:c r="J707" s="25" t="n">
        <x:v>0.33753896358636926</x:v>
      </x:c>
      <x:c r="K707" s="11" t="n">
        <x:v>39.16</x:v>
      </x:c>
      <x:c r="L707" s="11" t="n">
        <x:v>17</x:v>
      </x:c>
      <x:c r="M707" s="11" t="n">
        <x:v>1.1</x:v>
      </x:c>
      <x:c r="N707" s="11" t="n">
        <x:v>5</x:v>
      </x:c>
      <x:c r="O707" s="11" t="str"/>
      <x:c r="P707" s="11" t="str"/>
      <x:c r="Q707" s="11" t="str"/>
      <x:c r="R707" s="11" t="str">
        <x:v>trip-normalized-ebit-penalty-v1.0</x:v>
      </x:c>
      <x:c r="S707" s="11" t="str">
        <x:v>2026-10-10</x:v>
      </x:c>
      <x:c r="T707" s="11" t="str">
        <x:f>IF(AND(SUM(IF(K707='假设'!E941,0,1),IF(L707='假设'!F941,0,1),IF(M707='假设'!G941,0,1),IF(N707='假设'!H941,0,1),IF(O707='假设'!I941,0,1),IF(P707='假设'!J941,0,1),IF(Q707='假设'!K941,0,1))=0,U707=V707),"已刷新","待刷新")</x:f>
        <x:v>已刷新</x:v>
      </x:c>
      <x:c r="U707" t="str">
        <x:v>||||0.2|1.5|0.64|95|0.31|5.18</x:v>
      </x:c>
      <x:c r="V707" t="str">
        <x:f>'经营假设'!D101&amp;"|"&amp;'经营假设'!E101&amp;"|"&amp;'经营假设'!F101&amp;"|"&amp;'经营假设'!G101&amp;"|"&amp;'经营假设'!H101&amp;"|"&amp;'经营假设'!I101&amp;"|"&amp;'经营假设'!J101&amp;"|"&amp;'经营假设'!K101&amp;"|"&amp;'经营假设'!L101&amp;"|"&amp;'经营假设'!M101</x:f>
        <x:v>||||0.2|1.5|0.64|95|0.31|5.18</x:v>
      </x:c>
    </x:row>
    <x:row r="708" ht="23" customHeight="1">
      <x:c r="A708" s="11" t="str">
        <x:v>09961.HK</x:v>
      </x:c>
      <x:c r="B708" s="11" t="str">
        <x:v>携程集团-S</x:v>
      </x:c>
      <x:c r="C708" s="11" t="str">
        <x:v>三年</x:v>
      </x:c>
      <x:c r="D708" s="11" t="str">
        <x:v>乐观</x:v>
      </x:c>
      <x:c r="E708" s="11" t="n">
        <x:v>304.4</x:v>
      </x:c>
      <x:c r="F708" s="11" t="n">
        <x:v>1532.44</x:v>
      </x:c>
      <x:c r="G708" s="11" t="n">
        <x:v>10</x:v>
      </x:c>
      <x:c r="H708" s="25" t="n">
        <x:v>4.034296977660973</x:v>
      </x:c>
      <x:c r="I708" s="25" t="n">
        <x:v>4.067148488830487</x:v>
      </x:c>
      <x:c r="J708" s="25" t="n">
        <x:v>0.7175967528202314</x:v>
      </x:c>
      <x:c r="K708" s="11" t="n">
        <x:v>63.71</x:v>
      </x:c>
      <x:c r="L708" s="11" t="n">
        <x:v>22</x:v>
      </x:c>
      <x:c r="M708" s="11" t="n">
        <x:v>1.1</x:v>
      </x:c>
      <x:c r="N708" s="11" t="n">
        <x:v>10</x:v>
      </x:c>
      <x:c r="O708" s="11" t="str"/>
      <x:c r="P708" s="11" t="str"/>
      <x:c r="Q708" s="11" t="str"/>
      <x:c r="R708" s="11" t="str">
        <x:v>trip-normalized-ebit-penalty-v1.0</x:v>
      </x:c>
      <x:c r="S708" s="11" t="str">
        <x:v>2026-10-10</x:v>
      </x:c>
      <x:c r="T708" s="11" t="str">
        <x:f>IF(AND(SUM(IF(K708='假设'!E942,0,1),IF(L708='假设'!F942,0,1),IF(M708='假设'!G942,0,1),IF(N708='假设'!H942,0,1),IF(O708='假设'!I942,0,1),IF(P708='假设'!J942,0,1),IF(Q708='假设'!K942,0,1))=0,U708=V708),"已刷新","待刷新")</x:f>
        <x:v>已刷新</x:v>
      </x:c>
      <x:c r="U708" t="str">
        <x:v>||||0.2|2|0.61|128|0.36|5.18</x:v>
      </x:c>
      <x:c r="V708" t="str">
        <x:f>'经营假设'!D102&amp;"|"&amp;'经营假设'!E102&amp;"|"&amp;'经营假设'!F102&amp;"|"&amp;'经营假设'!G102&amp;"|"&amp;'经营假设'!H102&amp;"|"&amp;'经营假设'!I102&amp;"|"&amp;'经营假设'!J102&amp;"|"&amp;'经营假设'!K102&amp;"|"&amp;'经营假设'!L102&amp;"|"&amp;'经营假设'!M102</x:f>
        <x:v>||||0.2|2|0.61|128|0.36|5.18</x:v>
      </x:c>
    </x:row>
    <x:row r="709" ht="23" customHeight="1">
      <x:c r="A709" s="11" t="str">
        <x:v>09961.HK</x:v>
      </x:c>
      <x:c r="B709" s="11" t="str">
        <x:v>携程集团-S</x:v>
      </x:c>
      <x:c r="C709" s="11" t="str">
        <x:v>五年</x:v>
      </x:c>
      <x:c r="D709" s="11" t="str">
        <x:v>悲观</x:v>
      </x:c>
      <x:c r="E709" s="11" t="n">
        <x:v>304.4</x:v>
      </x:c>
      <x:c r="F709" s="11" t="n">
        <x:v>135.75</x:v>
      </x:c>
      <x:c r="G709" s="11" t="n">
        <x:v>0</x:v>
      </x:c>
      <x:c r="H709" s="25" t="n">
        <x:v>-0.5540407358738502</x:v>
      </x:c>
      <x:c r="I709" s="25" t="n">
        <x:v>-0.5540407358738502</x:v>
      </x:c>
      <x:c r="J709" s="25" t="n">
        <x:v>-0.14913817673598817</x:v>
      </x:c>
      <x:c r="K709" s="11" t="n">
        <x:v>14.48</x:v>
      </x:c>
      <x:c r="L709" s="11" t="n">
        <x:v>9</x:v>
      </x:c>
      <x:c r="M709" s="11" t="n">
        <x:v>1.1</x:v>
      </x:c>
      <x:c r="N709" s="11" t="n">
        <x:v>0</x:v>
      </x:c>
      <x:c r="O709" s="11" t="str"/>
      <x:c r="P709" s="11" t="str"/>
      <x:c r="Q709" s="11" t="str"/>
      <x:c r="R709" s="11" t="str">
        <x:v>trip-normalized-ebit-penalty-v1.0</x:v>
      </x:c>
      <x:c r="S709" s="11" t="str">
        <x:v>2026-10-10</x:v>
      </x:c>
      <x:c r="T709" s="11" t="str">
        <x:f>IF(AND(SUM(IF(K709='假设'!E944,0,1),IF(L709='假设'!F944,0,1),IF(M709='假设'!G944,0,1),IF(N709='假设'!H944,0,1),IF(O709='假设'!I944,0,1),IF(P709='假设'!J944,0,1),IF(Q709='假设'!K944,0,1))=0,U709=V709),"已刷新","待刷新")</x:f>
        <x:v>已刷新</x:v>
      </x:c>
      <x:c r="U709" t="str">
        <x:v>||||0.2|0.3|0.75|66|0.2|5.18</x:v>
      </x:c>
      <x:c r="V709" t="str">
        <x:f>'经营假设'!D104&amp;"|"&amp;'经营假设'!E104&amp;"|"&amp;'经营假设'!F104&amp;"|"&amp;'经营假设'!G104&amp;"|"&amp;'经营假设'!H104&amp;"|"&amp;'经营假设'!I104&amp;"|"&amp;'经营假设'!J104&amp;"|"&amp;'经营假设'!K104&amp;"|"&amp;'经营假设'!L104&amp;"|"&amp;'经营假设'!M104</x:f>
        <x:v>||||0.2|0.3|0.75|66|0.2|5.18</x:v>
      </x:c>
    </x:row>
    <x:row r="710" ht="23" customHeight="1">
      <x:c r="A710" s="11" t="str">
        <x:v>09961.HK</x:v>
      </x:c>
      <x:c r="B710" s="11" t="str">
        <x:v>携程集团-S</x:v>
      </x:c>
      <x:c r="C710" s="11" t="str">
        <x:v>五年</x:v>
      </x:c>
      <x:c r="D710" s="11" t="str">
        <x:v>基准</x:v>
      </x:c>
      <x:c r="E710" s="11" t="n">
        <x:v>304.4</x:v>
      </x:c>
      <x:c r="F710" s="11" t="n">
        <x:v>864.27</x:v>
      </x:c>
      <x:c r="G710" s="11" t="n">
        <x:v>10</x:v>
      </x:c>
      <x:c r="H710" s="25" t="n">
        <x:v>1.8392575558475692</x:v>
      </x:c>
      <x:c r="I710" s="25" t="n">
        <x:v>1.872109067017083</x:v>
      </x:c>
      <x:c r="J710" s="25" t="n">
        <x:v>0.2349238710298842</x:v>
      </x:c>
      <x:c r="K710" s="11" t="n">
        <x:v>49.62</x:v>
      </x:c>
      <x:c r="L710" s="11" t="n">
        <x:v>16</x:v>
      </x:c>
      <x:c r="M710" s="11" t="n">
        <x:v>1.1</x:v>
      </x:c>
      <x:c r="N710" s="11" t="n">
        <x:v>10</x:v>
      </x:c>
      <x:c r="O710" s="11" t="str"/>
      <x:c r="P710" s="11" t="str"/>
      <x:c r="Q710" s="11" t="str"/>
      <x:c r="R710" s="11" t="str">
        <x:v>trip-normalized-ebit-penalty-v1.0</x:v>
      </x:c>
      <x:c r="S710" s="11" t="str">
        <x:v>2026-10-10</x:v>
      </x:c>
      <x:c r="T710" s="11" t="str">
        <x:f>IF(AND(SUM(IF(K710='假设'!E945,0,1),IF(L710='假设'!F945,0,1),IF(M710='假设'!G945,0,1),IF(N710='假设'!H945,0,1),IF(O710='假设'!I945,0,1),IF(P710='假设'!J945,0,1),IF(Q710='假设'!K945,0,1))=0,U710=V710),"已刷新","待刷新")</x:f>
        <x:v>已刷新</x:v>
      </x:c>
      <x:c r="U710" t="str">
        <x:v>||||0.2|1.5|0.63|120|0.31|5.18</x:v>
      </x:c>
      <x:c r="V710" t="str">
        <x:f>'经营假设'!D105&amp;"|"&amp;'经营假设'!E105&amp;"|"&amp;'经营假设'!F105&amp;"|"&amp;'经营假设'!G105&amp;"|"&amp;'经营假设'!H105&amp;"|"&amp;'经营假设'!I105&amp;"|"&amp;'经营假设'!J105&amp;"|"&amp;'经营假设'!K105&amp;"|"&amp;'经营假设'!L105&amp;"|"&amp;'经营假设'!M105</x:f>
        <x:v>||||0.2|1.5|0.63|120|0.31|5.18</x:v>
      </x:c>
    </x:row>
    <x:row r="711" ht="23" customHeight="1">
      <x:c r="A711" s="11" t="str">
        <x:v>09961.HK</x:v>
      </x:c>
      <x:c r="B711" s="11" t="str">
        <x:v>携程集团-S</x:v>
      </x:c>
      <x:c r="C711" s="11" t="str">
        <x:v>五年</x:v>
      </x:c>
      <x:c r="D711" s="11" t="str">
        <x:v>乐观</x:v>
      </x:c>
      <x:c r="E711" s="11" t="n">
        <x:v>304.4</x:v>
      </x:c>
      <x:c r="F711" s="11" t="n">
        <x:v>2154.58</x:v>
      </x:c>
      <x:c r="G711" s="11" t="n">
        <x:v>20</x:v>
      </x:c>
      <x:c r="H711" s="25" t="n">
        <x:v>6.078120893561104</x:v>
      </x:c>
      <x:c r="I711" s="25" t="n">
        <x:v>6.143823915900132</x:v>
      </x:c>
      <x:c r="J711" s="25" t="n">
        <x:v>0.4817882554295516</x:v>
      </x:c>
      <x:c r="K711" s="11" t="n">
        <x:v>93.69</x:v>
      </x:c>
      <x:c r="L711" s="11" t="n">
        <x:v>21</x:v>
      </x:c>
      <x:c r="M711" s="11" t="n">
        <x:v>1.1</x:v>
      </x:c>
      <x:c r="N711" s="11" t="n">
        <x:v>20</x:v>
      </x:c>
      <x:c r="O711" s="11" t="str"/>
      <x:c r="P711" s="11" t="str"/>
      <x:c r="Q711" s="11" t="str"/>
      <x:c r="R711" s="11" t="str">
        <x:v>trip-normalized-ebit-penalty-v1.0</x:v>
      </x:c>
      <x:c r="S711" s="11" t="str">
        <x:v>2026-10-10</x:v>
      </x:c>
      <x:c r="T711" s="11" t="str">
        <x:f>IF(AND(SUM(IF(K711='假设'!E946,0,1),IF(L711='假设'!F946,0,1),IF(M711='假设'!G946,0,1),IF(N711='假设'!H946,0,1),IF(O711='假设'!I946,0,1),IF(P711='假设'!J946,0,1),IF(Q711='假设'!K946,0,1))=0,U711=V711),"已刷新","待刷新")</x:f>
        <x:v>已刷新</x:v>
      </x:c>
      <x:c r="U711" t="str">
        <x:v>||||0.2|2|0.59|180|0.37|5.18</x:v>
      </x:c>
      <x:c r="V711" t="str">
        <x:f>'经营假设'!D106&amp;"|"&amp;'经营假设'!E106&amp;"|"&amp;'经营假设'!F106&amp;"|"&amp;'经营假设'!G106&amp;"|"&amp;'经营假设'!H106&amp;"|"&amp;'经营假设'!I106&amp;"|"&amp;'经营假设'!J106&amp;"|"&amp;'经营假设'!K106&amp;"|"&amp;'经营假设'!L106&amp;"|"&amp;'经营假设'!M106</x:f>
        <x:v>||||0.2|2|0.59|180|0.37|5.18</x:v>
      </x:c>
    </x:row>
    <x:row r="712" ht="23" customHeight="1">
      <x:c r="A712" s="11" t="str">
        <x:v>603259.SH</x:v>
      </x:c>
      <x:c r="B712" s="11" t="str">
        <x:v>药明康德</x:v>
      </x:c>
      <x:c r="C712" s="11" t="str">
        <x:v>2026年底</x:v>
      </x:c>
      <x:c r="D712" s="11" t="str">
        <x:v>悲观</x:v>
      </x:c>
      <x:c r="E712" s="11" t="n">
        <x:v>157.8</x:v>
      </x:c>
      <x:c r="F712" s="11" t="n">
        <x:v>107.2</x:v>
      </x:c>
      <x:c r="G712" s="11" t="n">
        <x:v>0</x:v>
      </x:c>
      <x:c r="H712" s="25" t="n">
        <x:v>-0.320659062103929</x:v>
      </x:c>
      <x:c r="I712" s="25" t="n">
        <x:v>-0.320659062103929</x:v>
      </x:c>
      <x:c r="J712" s="25" t="str"/>
      <x:c r="K712" s="11" t="n">
        <x:v>6.7</x:v>
      </x:c>
      <x:c r="L712" s="11" t="n">
        <x:v>16</x:v>
      </x:c>
      <x:c r="M712" s="11" t="n">
        <x:v>1</x:v>
      </x:c>
      <x:c r="N712" s="11" t="n">
        <x:v>0</x:v>
      </x:c>
      <x:c r="O712" s="11" t="str"/>
      <x:c r="P712" s="11" t="str"/>
      <x:c r="Q712" s="11" t="str"/>
      <x:c r="R712" s="11" t="str">
        <x:v>wuxiapptec-normalized-adjusted-pe-v1.0</x:v>
      </x:c>
      <x:c r="S712" s="11" t="str">
        <x:v>2026-10-10</x:v>
      </x:c>
      <x:c r="T712" s="11" t="str">
        <x:f>IF(AND(SUM(IF(K712='假设'!E948,0,1),IF(L712='假设'!F948,0,1),IF(M712='假设'!G948,0,1),IF(N712='假设'!H948,0,1),IF(O712='假设'!I948,0,1),IF(P712='假设'!J948,0,1),IF(Q712='假设'!K948,0,1))=0,U712=V712),"已刷新","待刷新")</x:f>
        <x:v>已刷新</x:v>
      </x:c>
    </x:row>
    <x:row r="713" ht="23" customHeight="1">
      <x:c r="A713" s="11" t="str">
        <x:v>603259.SH</x:v>
      </x:c>
      <x:c r="B713" s="11" t="str">
        <x:v>药明康德</x:v>
      </x:c>
      <x:c r="C713" s="11" t="str">
        <x:v>2026年底</x:v>
      </x:c>
      <x:c r="D713" s="11" t="str">
        <x:v>基准</x:v>
      </x:c>
      <x:c r="E713" s="11" t="n">
        <x:v>157.8</x:v>
      </x:c>
      <x:c r="F713" s="11" t="n">
        <x:v>180.39999999999998</x:v>
      </x:c>
      <x:c r="G713" s="11" t="n">
        <x:v>0</x:v>
      </x:c>
      <x:c r="H713" s="25" t="n">
        <x:v>0.14321926489226855</x:v>
      </x:c>
      <x:c r="I713" s="25" t="n">
        <x:v>0.14321926489226855</x:v>
      </x:c>
      <x:c r="J713" s="25" t="str"/>
      <x:c r="K713" s="11" t="n">
        <x:v>8.2</x:v>
      </x:c>
      <x:c r="L713" s="11" t="n">
        <x:v>22</x:v>
      </x:c>
      <x:c r="M713" s="11" t="n">
        <x:v>1</x:v>
      </x:c>
      <x:c r="N713" s="11" t="n">
        <x:v>0</x:v>
      </x:c>
      <x:c r="O713" s="11" t="str"/>
      <x:c r="P713" s="11" t="str"/>
      <x:c r="Q713" s="11" t="str"/>
      <x:c r="R713" s="11" t="str">
        <x:v>wuxiapptec-normalized-adjusted-pe-v1.0</x:v>
      </x:c>
      <x:c r="S713" s="11" t="str">
        <x:v>2026-10-10</x:v>
      </x:c>
      <x:c r="T713" s="11" t="str">
        <x:f>IF(AND(SUM(IF(K713='假设'!E949,0,1),IF(L713='假设'!F949,0,1),IF(M713='假设'!G949,0,1),IF(N713='假设'!H949,0,1),IF(O713='假设'!I949,0,1),IF(P713='假设'!J949,0,1),IF(Q713='假设'!K949,0,1))=0,U713=V713),"已刷新","待刷新")</x:f>
        <x:v>已刷新</x:v>
      </x:c>
    </x:row>
    <x:row r="714" ht="23" customHeight="1">
      <x:c r="A714" s="11" t="str">
        <x:v>603259.SH</x:v>
      </x:c>
      <x:c r="B714" s="11" t="str">
        <x:v>药明康德</x:v>
      </x:c>
      <x:c r="C714" s="11" t="str">
        <x:v>2026年底</x:v>
      </x:c>
      <x:c r="D714" s="11" t="str">
        <x:v>乐观</x:v>
      </x:c>
      <x:c r="E714" s="11" t="n">
        <x:v>157.8</x:v>
      </x:c>
      <x:c r="F714" s="11" t="n">
        <x:v>269.70000000000005</x:v>
      </x:c>
      <x:c r="G714" s="11" t="n">
        <x:v>0</x:v>
      </x:c>
      <x:c r="H714" s="25" t="n">
        <x:v>0.7091254752851712</x:v>
      </x:c>
      <x:c r="I714" s="25" t="n">
        <x:v>0.7091254752851712</x:v>
      </x:c>
      <x:c r="J714" s="25" t="str"/>
      <x:c r="K714" s="11" t="n">
        <x:v>9.3</x:v>
      </x:c>
      <x:c r="L714" s="11" t="n">
        <x:v>29</x:v>
      </x:c>
      <x:c r="M714" s="11" t="n">
        <x:v>1</x:v>
      </x:c>
      <x:c r="N714" s="11" t="n">
        <x:v>0</x:v>
      </x:c>
      <x:c r="O714" s="11" t="str"/>
      <x:c r="P714" s="11" t="str"/>
      <x:c r="Q714" s="11" t="str"/>
      <x:c r="R714" s="11" t="str">
        <x:v>wuxiapptec-normalized-adjusted-pe-v1.0</x:v>
      </x:c>
      <x:c r="S714" s="11" t="str">
        <x:v>2026-10-10</x:v>
      </x:c>
      <x:c r="T714" s="11" t="str">
        <x:f>IF(AND(SUM(IF(K714='假设'!E950,0,1),IF(L714='假设'!F950,0,1),IF(M714='假设'!G950,0,1),IF(N714='假设'!H950,0,1),IF(O714='假设'!I950,0,1),IF(P714='假设'!J950,0,1),IF(Q714='假设'!K950,0,1))=0,U714=V714),"已刷新","待刷新")</x:f>
        <x:v>已刷新</x:v>
      </x:c>
    </x:row>
    <x:row r="715" ht="23" customHeight="1">
      <x:c r="A715" s="11" t="str">
        <x:v>603259.SH</x:v>
      </x:c>
      <x:c r="B715" s="11" t="str">
        <x:v>药明康德</x:v>
      </x:c>
      <x:c r="C715" s="11" t="str">
        <x:v>半年</x:v>
      </x:c>
      <x:c r="D715" s="11" t="str">
        <x:v>悲观</x:v>
      </x:c>
      <x:c r="E715" s="11" t="n">
        <x:v>157.8</x:v>
      </x:c>
      <x:c r="F715" s="11" t="n">
        <x:v>115.6</x:v>
      </x:c>
      <x:c r="G715" s="11" t="n">
        <x:v>0</x:v>
      </x:c>
      <x:c r="H715" s="25" t="n">
        <x:v>-0.26742712294043103</x:v>
      </x:c>
      <x:c r="I715" s="25" t="n">
        <x:v>-0.26742712294043103</x:v>
      </x:c>
      <x:c r="J715" s="25" t="str"/>
      <x:c r="K715" s="11" t="n">
        <x:v>6.8</x:v>
      </x:c>
      <x:c r="L715" s="11" t="n">
        <x:v>17</x:v>
      </x:c>
      <x:c r="M715" s="11" t="n">
        <x:v>1</x:v>
      </x:c>
      <x:c r="N715" s="11" t="n">
        <x:v>0</x:v>
      </x:c>
      <x:c r="O715" s="11" t="str"/>
      <x:c r="P715" s="11" t="str"/>
      <x:c r="Q715" s="11" t="str"/>
      <x:c r="R715" s="11" t="str">
        <x:v>wuxiapptec-normalized-adjusted-pe-v1.0</x:v>
      </x:c>
      <x:c r="S715" s="11" t="str">
        <x:v>2026-10-10</x:v>
      </x:c>
      <x:c r="T715" s="11" t="str">
        <x:f>IF(AND(SUM(IF(K715='假设'!E952,0,1),IF(L715='假设'!F952,0,1),IF(M715='假设'!G952,0,1),IF(N715='假设'!H952,0,1),IF(O715='假设'!I952,0,1),IF(P715='假设'!J952,0,1),IF(Q715='假设'!K952,0,1))=0,U715=V715),"已刷新","待刷新")</x:f>
        <x:v>已刷新</x:v>
      </x:c>
    </x:row>
    <x:row r="716" ht="23" customHeight="1">
      <x:c r="A716" s="11" t="str">
        <x:v>603259.SH</x:v>
      </x:c>
      <x:c r="B716" s="11" t="str">
        <x:v>药明康德</x:v>
      </x:c>
      <x:c r="C716" s="11" t="str">
        <x:v>半年</x:v>
      </x:c>
      <x:c r="D716" s="11" t="str">
        <x:v>基准</x:v>
      </x:c>
      <x:c r="E716" s="11" t="n">
        <x:v>157.8</x:v>
      </x:c>
      <x:c r="F716" s="11" t="n">
        <x:v>202.4</x:v>
      </x:c>
      <x:c r="G716" s="11" t="n">
        <x:v>0</x:v>
      </x:c>
      <x:c r="H716" s="25" t="n">
        <x:v>0.2826362484157161</x:v>
      </x:c>
      <x:c r="I716" s="25" t="n">
        <x:v>0.2826362484157161</x:v>
      </x:c>
      <x:c r="J716" s="25" t="str"/>
      <x:c r="K716" s="11" t="n">
        <x:v>8.8</x:v>
      </x:c>
      <x:c r="L716" s="11" t="n">
        <x:v>23</x:v>
      </x:c>
      <x:c r="M716" s="11" t="n">
        <x:v>1</x:v>
      </x:c>
      <x:c r="N716" s="11" t="n">
        <x:v>0</x:v>
      </x:c>
      <x:c r="O716" s="11" t="str"/>
      <x:c r="P716" s="11" t="str"/>
      <x:c r="Q716" s="11" t="str"/>
      <x:c r="R716" s="11" t="str">
        <x:v>wuxiapptec-normalized-adjusted-pe-v1.0</x:v>
      </x:c>
      <x:c r="S716" s="11" t="str">
        <x:v>2026-10-10</x:v>
      </x:c>
      <x:c r="T716" s="11" t="str">
        <x:f>IF(AND(SUM(IF(K716='假设'!E953,0,1),IF(L716='假设'!F953,0,1),IF(M716='假设'!G953,0,1),IF(N716='假设'!H953,0,1),IF(O716='假设'!I953,0,1),IF(P716='假设'!J953,0,1),IF(Q716='假设'!K953,0,1))=0,U716=V716),"已刷新","待刷新")</x:f>
        <x:v>已刷新</x:v>
      </x:c>
    </x:row>
    <x:row r="717" ht="23" customHeight="1">
      <x:c r="A717" s="11" t="str">
        <x:v>603259.SH</x:v>
      </x:c>
      <x:c r="B717" s="11" t="str">
        <x:v>药明康德</x:v>
      </x:c>
      <x:c r="C717" s="11" t="str">
        <x:v>半年</x:v>
      </x:c>
      <x:c r="D717" s="11" t="str">
        <x:v>乐观</x:v>
      </x:c>
      <x:c r="E717" s="11" t="n">
        <x:v>157.8</x:v>
      </x:c>
      <x:c r="F717" s="11" t="n">
        <x:v>290</x:v>
      </x:c>
      <x:c r="G717" s="11" t="n">
        <x:v>0</x:v>
      </x:c>
      <x:c r="H717" s="25" t="n">
        <x:v>0.8377693282636247</x:v>
      </x:c>
      <x:c r="I717" s="25" t="n">
        <x:v>0.8377693282636247</x:v>
      </x:c>
      <x:c r="J717" s="25" t="str"/>
      <x:c r="K717" s="11" t="n">
        <x:v>10</x:v>
      </x:c>
      <x:c r="L717" s="11" t="n">
        <x:v>29</x:v>
      </x:c>
      <x:c r="M717" s="11" t="n">
        <x:v>1</x:v>
      </x:c>
      <x:c r="N717" s="11" t="n">
        <x:v>0</x:v>
      </x:c>
      <x:c r="O717" s="11" t="str"/>
      <x:c r="P717" s="11" t="str"/>
      <x:c r="Q717" s="11" t="str"/>
      <x:c r="R717" s="11" t="str">
        <x:v>wuxiapptec-normalized-adjusted-pe-v1.0</x:v>
      </x:c>
      <x:c r="S717" s="11" t="str">
        <x:v>2026-10-10</x:v>
      </x:c>
      <x:c r="T717" s="11" t="str">
        <x:f>IF(AND(SUM(IF(K717='假设'!E954,0,1),IF(L717='假设'!F954,0,1),IF(M717='假设'!G954,0,1),IF(N717='假设'!H954,0,1),IF(O717='假设'!I954,0,1),IF(P717='假设'!J954,0,1),IF(Q717='假设'!K954,0,1))=0,U717=V717),"已刷新","待刷新")</x:f>
        <x:v>已刷新</x:v>
      </x:c>
    </x:row>
    <x:row r="718" ht="23" customHeight="1">
      <x:c r="A718" s="11" t="str">
        <x:v>603259.SH</x:v>
      </x:c>
      <x:c r="B718" s="11" t="str">
        <x:v>药明康德</x:v>
      </x:c>
      <x:c r="C718" s="11" t="str">
        <x:v>一年</x:v>
      </x:c>
      <x:c r="D718" s="11" t="str">
        <x:v>悲观</x:v>
      </x:c>
      <x:c r="E718" s="11" t="n">
        <x:v>157.8</x:v>
      </x:c>
      <x:c r="F718" s="11" t="n">
        <x:v>119</x:v>
      </x:c>
      <x:c r="G718" s="11" t="n">
        <x:v>1.2</x:v>
      </x:c>
      <x:c r="H718" s="25" t="n">
        <x:v>-0.24588086185044367</x:v>
      </x:c>
      <x:c r="I718" s="25" t="n">
        <x:v>-0.23827629911280102</x:v>
      </x:c>
      <x:c r="J718" s="25" t="str"/>
      <x:c r="K718" s="11" t="n">
        <x:v>7</x:v>
      </x:c>
      <x:c r="L718" s="11" t="n">
        <x:v>17</x:v>
      </x:c>
      <x:c r="M718" s="11" t="n">
        <x:v>1</x:v>
      </x:c>
      <x:c r="N718" s="11" t="n">
        <x:v>1.2</x:v>
      </x:c>
      <x:c r="O718" s="11" t="str"/>
      <x:c r="P718" s="11" t="str"/>
      <x:c r="Q718" s="11" t="str"/>
      <x:c r="R718" s="11" t="str">
        <x:v>wuxiapptec-normalized-adjusted-pe-v1.0</x:v>
      </x:c>
      <x:c r="S718" s="11" t="str">
        <x:v>2026-10-10</x:v>
      </x:c>
      <x:c r="T718" s="11" t="str">
        <x:f>IF(AND(SUM(IF(K718='假设'!E956,0,1),IF(L718='假设'!F956,0,1),IF(M718='假设'!G956,0,1),IF(N718='假设'!H956,0,1),IF(O718='假设'!I956,0,1),IF(P718='假设'!J956,0,1),IF(Q718='假设'!K956,0,1))=0,U718=V718),"已刷新","待刷新")</x:f>
        <x:v>已刷新</x:v>
      </x:c>
    </x:row>
    <x:row r="719" ht="23" customHeight="1">
      <x:c r="A719" s="11" t="str">
        <x:v>603259.SH</x:v>
      </x:c>
      <x:c r="B719" s="11" t="str">
        <x:v>药明康德</x:v>
      </x:c>
      <x:c r="C719" s="11" t="str">
        <x:v>一年</x:v>
      </x:c>
      <x:c r="D719" s="11" t="str">
        <x:v>基准</x:v>
      </x:c>
      <x:c r="E719" s="11" t="n">
        <x:v>157.8</x:v>
      </x:c>
      <x:c r="F719" s="11" t="n">
        <x:v>218.5</x:v>
      </x:c>
      <x:c r="G719" s="11" t="n">
        <x:v>1.8</x:v>
      </x:c>
      <x:c r="H719" s="25" t="n">
        <x:v>0.38466413181242065</x:v>
      </x:c>
      <x:c r="I719" s="25" t="n">
        <x:v>0.39607097591888474</x:v>
      </x:c>
      <x:c r="J719" s="25" t="str"/>
      <x:c r="K719" s="11" t="n">
        <x:v>9.5</x:v>
      </x:c>
      <x:c r="L719" s="11" t="n">
        <x:v>23</x:v>
      </x:c>
      <x:c r="M719" s="11" t="n">
        <x:v>1</x:v>
      </x:c>
      <x:c r="N719" s="11" t="n">
        <x:v>1.8</x:v>
      </x:c>
      <x:c r="O719" s="11" t="str"/>
      <x:c r="P719" s="11" t="str"/>
      <x:c r="Q719" s="11" t="str"/>
      <x:c r="R719" s="11" t="str">
        <x:v>wuxiapptec-normalized-adjusted-pe-v1.0</x:v>
      </x:c>
      <x:c r="S719" s="11" t="str">
        <x:v>2026-10-10</x:v>
      </x:c>
      <x:c r="T719" s="11" t="str">
        <x:f>IF(AND(SUM(IF(K719='假设'!E957,0,1),IF(L719='假设'!F957,0,1),IF(M719='假设'!G957,0,1),IF(N719='假设'!H957,0,1),IF(O719='假设'!I957,0,1),IF(P719='假设'!J957,0,1),IF(Q719='假设'!K957,0,1))=0,U719=V719),"已刷新","待刷新")</x:f>
        <x:v>已刷新</x:v>
      </x:c>
    </x:row>
    <x:row r="720" ht="23" customHeight="1">
      <x:c r="A720" s="11" t="str">
        <x:v>603259.SH</x:v>
      </x:c>
      <x:c r="B720" s="11" t="str">
        <x:v>药明康德</x:v>
      </x:c>
      <x:c r="C720" s="11" t="str">
        <x:v>一年</x:v>
      </x:c>
      <x:c r="D720" s="11" t="str">
        <x:v>乐观</x:v>
      </x:c>
      <x:c r="E720" s="11" t="n">
        <x:v>157.8</x:v>
      </x:c>
      <x:c r="F720" s="11" t="n">
        <x:v>354</x:v>
      </x:c>
      <x:c r="G720" s="11" t="n">
        <x:v>2.3</x:v>
      </x:c>
      <x:c r="H720" s="25" t="n">
        <x:v>1.2433460076045626</x:v>
      </x:c>
      <x:c r="I720" s="25" t="n">
        <x:v>1.2579214195183774</x:v>
      </x:c>
      <x:c r="J720" s="25" t="str"/>
      <x:c r="K720" s="11" t="n">
        <x:v>11.8</x:v>
      </x:c>
      <x:c r="L720" s="11" t="n">
        <x:v>30</x:v>
      </x:c>
      <x:c r="M720" s="11" t="n">
        <x:v>1</x:v>
      </x:c>
      <x:c r="N720" s="11" t="n">
        <x:v>2.3</x:v>
      </x:c>
      <x:c r="O720" s="11" t="str"/>
      <x:c r="P720" s="11" t="str"/>
      <x:c r="Q720" s="11" t="str"/>
      <x:c r="R720" s="11" t="str">
        <x:v>wuxiapptec-normalized-adjusted-pe-v1.0</x:v>
      </x:c>
      <x:c r="S720" s="11" t="str">
        <x:v>2026-10-10</x:v>
      </x:c>
      <x:c r="T720" s="11" t="str">
        <x:f>IF(AND(SUM(IF(K720='假设'!E958,0,1),IF(L720='假设'!F958,0,1),IF(M720='假设'!G958,0,1),IF(N720='假设'!H958,0,1),IF(O720='假设'!I958,0,1),IF(P720='假设'!J958,0,1),IF(Q720='假设'!K958,0,1))=0,U720=V720),"已刷新","待刷新")</x:f>
        <x:v>已刷新</x:v>
      </x:c>
    </x:row>
    <x:row r="721" ht="23" customHeight="1">
      <x:c r="A721" s="11" t="str">
        <x:v>603259.SH</x:v>
      </x:c>
      <x:c r="B721" s="11" t="str">
        <x:v>药明康德</x:v>
      </x:c>
      <x:c r="C721" s="11" t="str">
        <x:v>三年</x:v>
      </x:c>
      <x:c r="D721" s="11" t="str">
        <x:v>悲观</x:v>
      </x:c>
      <x:c r="E721" s="11" t="n">
        <x:v>157.8</x:v>
      </x:c>
      <x:c r="F721" s="11" t="n">
        <x:v>108</x:v>
      </x:c>
      <x:c r="G721" s="11" t="n">
        <x:v>4</x:v>
      </x:c>
      <x:c r="H721" s="25" t="n">
        <x:v>-0.31558935361216733</x:v>
      </x:c>
      <x:c r="I721" s="25" t="n">
        <x:v>-0.29024081115335876</x:v>
      </x:c>
      <x:c r="J721" s="25" t="n">
        <x:v>-0.10798873037413792</x:v>
      </x:c>
      <x:c r="K721" s="11" t="n">
        <x:v>7.2</x:v>
      </x:c>
      <x:c r="L721" s="11" t="n">
        <x:v>15</x:v>
      </x:c>
      <x:c r="M721" s="11" t="n">
        <x:v>1</x:v>
      </x:c>
      <x:c r="N721" s="11" t="n">
        <x:v>4</x:v>
      </x:c>
      <x:c r="O721" s="11" t="str"/>
      <x:c r="P721" s="11" t="str"/>
      <x:c r="Q721" s="11" t="str"/>
      <x:c r="R721" s="11" t="str">
        <x:v>wuxiapptec-normalized-adjusted-pe-v1.0</x:v>
      </x:c>
      <x:c r="S721" s="11" t="str">
        <x:v>2026-10-10</x:v>
      </x:c>
      <x:c r="T721" s="11" t="str">
        <x:f>IF(AND(SUM(IF(K721='假设'!E960,0,1),IF(L721='假设'!F960,0,1),IF(M721='假设'!G960,0,1),IF(N721='假设'!H960,0,1),IF(O721='假设'!I960,0,1),IF(P721='假设'!J960,0,1),IF(Q721='假设'!K960,0,1))=0,U721=V721),"已刷新","待刷新")</x:f>
        <x:v>已刷新</x:v>
      </x:c>
    </x:row>
    <x:row r="722" ht="23" customHeight="1">
      <x:c r="A722" s="11" t="str">
        <x:v>603259.SH</x:v>
      </x:c>
      <x:c r="B722" s="11" t="str">
        <x:v>药明康德</x:v>
      </x:c>
      <x:c r="C722" s="11" t="str">
        <x:v>三年</x:v>
      </x:c>
      <x:c r="D722" s="11" t="str">
        <x:v>基准</x:v>
      </x:c>
      <x:c r="E722" s="11" t="n">
        <x:v>157.8</x:v>
      </x:c>
      <x:c r="F722" s="11" t="n">
        <x:v>275</x:v>
      </x:c>
      <x:c r="G722" s="11" t="n">
        <x:v>7</x:v>
      </x:c>
      <x:c r="H722" s="25" t="n">
        <x:v>0.7427122940430924</x:v>
      </x:c>
      <x:c r="I722" s="25" t="n">
        <x:v>0.7870722433460076</x:v>
      </x:c>
      <x:c r="J722" s="25" t="n">
        <x:v>0.21352120568227106</x:v>
      </x:c>
      <x:c r="K722" s="11" t="n">
        <x:v>12.5</x:v>
      </x:c>
      <x:c r="L722" s="11" t="n">
        <x:v>22</x:v>
      </x:c>
      <x:c r="M722" s="11" t="n">
        <x:v>1</x:v>
      </x:c>
      <x:c r="N722" s="11" t="n">
        <x:v>7</x:v>
      </x:c>
      <x:c r="O722" s="11" t="str"/>
      <x:c r="P722" s="11" t="str"/>
      <x:c r="Q722" s="11" t="str"/>
      <x:c r="R722" s="11" t="str">
        <x:v>wuxiapptec-normalized-adjusted-pe-v1.0</x:v>
      </x:c>
      <x:c r="S722" s="11" t="str">
        <x:v>2026-10-10</x:v>
      </x:c>
      <x:c r="T722" s="11" t="str">
        <x:f>IF(AND(SUM(IF(K722='假设'!E961,0,1),IF(L722='假设'!F961,0,1),IF(M722='假设'!G961,0,1),IF(N722='假设'!H961,0,1),IF(O722='假设'!I961,0,1),IF(P722='假设'!J961,0,1),IF(Q722='假设'!K961,0,1))=0,U722=V722),"已刷新","待刷新")</x:f>
        <x:v>已刷新</x:v>
      </x:c>
    </x:row>
    <x:row r="723" ht="23" customHeight="1">
      <x:c r="A723" s="11" t="str">
        <x:v>603259.SH</x:v>
      </x:c>
      <x:c r="B723" s="11" t="str">
        <x:v>药明康德</x:v>
      </x:c>
      <x:c r="C723" s="11" t="str">
        <x:v>三年</x:v>
      </x:c>
      <x:c r="D723" s="11" t="str">
        <x:v>乐观</x:v>
      </x:c>
      <x:c r="E723" s="11" t="n">
        <x:v>157.8</x:v>
      </x:c>
      <x:c r="F723" s="11" t="n">
        <x:v>490</x:v>
      </x:c>
      <x:c r="G723" s="11" t="n">
        <x:v>10</x:v>
      </x:c>
      <x:c r="H723" s="25" t="n">
        <x:v>2.1051964512040557</x:v>
      </x:c>
      <x:c r="I723" s="25" t="n">
        <x:v>2.168567807351077</x:v>
      </x:c>
      <x:c r="J723" s="25" t="n">
        <x:v>0.4687718322886454</x:v>
      </x:c>
      <x:c r="K723" s="11" t="n">
        <x:v>17.5</x:v>
      </x:c>
      <x:c r="L723" s="11" t="n">
        <x:v>28</x:v>
      </x:c>
      <x:c r="M723" s="11" t="n">
        <x:v>1</x:v>
      </x:c>
      <x:c r="N723" s="11" t="n">
        <x:v>10</x:v>
      </x:c>
      <x:c r="O723" s="11" t="str"/>
      <x:c r="P723" s="11" t="str"/>
      <x:c r="Q723" s="11" t="str"/>
      <x:c r="R723" s="11" t="str">
        <x:v>wuxiapptec-normalized-adjusted-pe-v1.0</x:v>
      </x:c>
      <x:c r="S723" s="11" t="str">
        <x:v>2026-10-10</x:v>
      </x:c>
      <x:c r="T723" s="11" t="str">
        <x:f>IF(AND(SUM(IF(K723='假设'!E962,0,1),IF(L723='假设'!F962,0,1),IF(M723='假设'!G962,0,1),IF(N723='假设'!H962,0,1),IF(O723='假设'!I962,0,1),IF(P723='假设'!J962,0,1),IF(Q723='假设'!K962,0,1))=0,U723=V723),"已刷新","待刷新")</x:f>
        <x:v>已刷新</x:v>
      </x:c>
    </x:row>
    <x:row r="724" ht="23" customHeight="1">
      <x:c r="A724" s="11" t="str">
        <x:v>603259.SH</x:v>
      </x:c>
      <x:c r="B724" s="11" t="str">
        <x:v>药明康德</x:v>
      </x:c>
      <x:c r="C724" s="11" t="str">
        <x:v>五年</x:v>
      </x:c>
      <x:c r="D724" s="11" t="str">
        <x:v>悲观</x:v>
      </x:c>
      <x:c r="E724" s="11" t="n">
        <x:v>157.8</x:v>
      </x:c>
      <x:c r="F724" s="11" t="n">
        <x:v>105</x:v>
      </x:c>
      <x:c r="G724" s="11" t="n">
        <x:v>7</x:v>
      </x:c>
      <x:c r="H724" s="25" t="n">
        <x:v>-0.33460076045627385</x:v>
      </x:c>
      <x:c r="I724" s="25" t="n">
        <x:v>-0.29024081115335876</x:v>
      </x:c>
      <x:c r="J724" s="25" t="n">
        <x:v>-0.06626808178930443</x:v>
      </x:c>
      <x:c r="K724" s="11" t="n">
        <x:v>7.5</x:v>
      </x:c>
      <x:c r="L724" s="11" t="n">
        <x:v>14</x:v>
      </x:c>
      <x:c r="M724" s="11" t="n">
        <x:v>1</x:v>
      </x:c>
      <x:c r="N724" s="11" t="n">
        <x:v>7</x:v>
      </x:c>
      <x:c r="O724" s="11" t="str"/>
      <x:c r="P724" s="11" t="str"/>
      <x:c r="Q724" s="11" t="str"/>
      <x:c r="R724" s="11" t="str">
        <x:v>wuxiapptec-normalized-adjusted-pe-v1.0</x:v>
      </x:c>
      <x:c r="S724" s="11" t="str">
        <x:v>2026-10-10</x:v>
      </x:c>
      <x:c r="T724" s="11" t="str">
        <x:f>IF(AND(SUM(IF(K724='假设'!E964,0,1),IF(L724='假设'!F964,0,1),IF(M724='假设'!G964,0,1),IF(N724='假设'!H964,0,1),IF(O724='假设'!I964,0,1),IF(P724='假设'!J964,0,1),IF(Q724='假设'!K964,0,1))=0,U724=V724),"已刷新","待刷新")</x:f>
        <x:v>已刷新</x:v>
      </x:c>
    </x:row>
    <x:row r="725" ht="23" customHeight="1">
      <x:c r="A725" s="11" t="str">
        <x:v>603259.SH</x:v>
      </x:c>
      <x:c r="B725" s="11" t="str">
        <x:v>药明康德</x:v>
      </x:c>
      <x:c r="C725" s="11" t="str">
        <x:v>五年</x:v>
      </x:c>
      <x:c r="D725" s="11" t="str">
        <x:v>基准</x:v>
      </x:c>
      <x:c r="E725" s="11" t="n">
        <x:v>157.8</x:v>
      </x:c>
      <x:c r="F725" s="11" t="n">
        <x:v>310</x:v>
      </x:c>
      <x:c r="G725" s="11" t="n">
        <x:v>14</x:v>
      </x:c>
      <x:c r="H725" s="25" t="n">
        <x:v>0.9645120405576677</x:v>
      </x:c>
      <x:c r="I725" s="25" t="n">
        <x:v>1.0532319391634979</x:v>
      </x:c>
      <x:c r="J725" s="25" t="n">
        <x:v>0.15474901978803013</x:v>
      </x:c>
      <x:c r="K725" s="11" t="n">
        <x:v>15.5</x:v>
      </x:c>
      <x:c r="L725" s="11" t="n">
        <x:v>20</x:v>
      </x:c>
      <x:c r="M725" s="11" t="n">
        <x:v>1</x:v>
      </x:c>
      <x:c r="N725" s="11" t="n">
        <x:v>14</x:v>
      </x:c>
      <x:c r="O725" s="11" t="str"/>
      <x:c r="P725" s="11" t="str"/>
      <x:c r="Q725" s="11" t="str"/>
      <x:c r="R725" s="11" t="str">
        <x:v>wuxiapptec-normalized-adjusted-pe-v1.0</x:v>
      </x:c>
      <x:c r="S725" s="11" t="str">
        <x:v>2026-10-10</x:v>
      </x:c>
      <x:c r="T725" s="11" t="str">
        <x:f>IF(AND(SUM(IF(K725='假设'!E965,0,1),IF(L725='假设'!F965,0,1),IF(M725='假设'!G965,0,1),IF(N725='假设'!H965,0,1),IF(O725='假设'!I965,0,1),IF(P725='假设'!J965,0,1),IF(Q725='假设'!K965,0,1))=0,U725=V725),"已刷新","待刷新")</x:f>
        <x:v>已刷新</x:v>
      </x:c>
    </x:row>
    <x:row r="726" ht="23" customHeight="1">
      <x:c r="A726" s="11" t="str">
        <x:v>603259.SH</x:v>
      </x:c>
      <x:c r="B726" s="11" t="str">
        <x:v>药明康德</x:v>
      </x:c>
      <x:c r="C726" s="11" t="str">
        <x:v>五年</x:v>
      </x:c>
      <x:c r="D726" s="11" t="str">
        <x:v>乐观</x:v>
      </x:c>
      <x:c r="E726" s="11" t="n">
        <x:v>157.8</x:v>
      </x:c>
      <x:c r="F726" s="11" t="n">
        <x:v>648</x:v>
      </x:c>
      <x:c r="G726" s="11" t="n">
        <x:v>21</x:v>
      </x:c>
      <x:c r="H726" s="25" t="n">
        <x:v>3.1064638783269958</x:v>
      </x:c>
      <x:c r="I726" s="25" t="n">
        <x:v>3.239543726235741</x:v>
      </x:c>
      <x:c r="J726" s="25" t="n">
        <x:v>0.3349463854622168</x:v>
      </x:c>
      <x:c r="K726" s="11" t="n">
        <x:v>24</x:v>
      </x:c>
      <x:c r="L726" s="11" t="n">
        <x:v>27</x:v>
      </x:c>
      <x:c r="M726" s="11" t="n">
        <x:v>1</x:v>
      </x:c>
      <x:c r="N726" s="11" t="n">
        <x:v>21</x:v>
      </x:c>
      <x:c r="O726" s="11" t="str"/>
      <x:c r="P726" s="11" t="str"/>
      <x:c r="Q726" s="11" t="str"/>
      <x:c r="R726" s="11" t="str">
        <x:v>wuxiapptec-normalized-adjusted-pe-v1.0</x:v>
      </x:c>
      <x:c r="S726" s="11" t="str">
        <x:v>2026-10-10</x:v>
      </x:c>
      <x:c r="T726" s="11" t="str">
        <x:f>IF(AND(SUM(IF(K726='假设'!E966,0,1),IF(L726='假设'!F966,0,1),IF(M726='假设'!G966,0,1),IF(N726='假设'!H966,0,1),IF(O726='假设'!I966,0,1),IF(P726='假设'!J966,0,1),IF(Q726='假设'!K966,0,1))=0,U726=V726),"已刷新","待刷新")</x:f>
        <x:v>已刷新</x:v>
      </x:c>
    </x:row>
    <x:row r="727" ht="23" customHeight="1">
      <x:c r="A727" s="11" t="str">
        <x:v>02359.HK</x:v>
      </x:c>
      <x:c r="B727" s="11" t="str">
        <x:v>药明康德</x:v>
      </x:c>
      <x:c r="C727" s="11" t="str">
        <x:v>2026年底</x:v>
      </x:c>
      <x:c r="D727" s="11" t="str">
        <x:v>悲观</x:v>
      </x:c>
      <x:c r="E727" s="11" t="n">
        <x:v>208</x:v>
      </x:c>
      <x:c r="F727" s="11" t="n">
        <x:v>125.29000000000002</x:v>
      </x:c>
      <x:c r="G727" s="11" t="n">
        <x:v>0</x:v>
      </x:c>
      <x:c r="H727" s="25" t="n">
        <x:v>-0.3976442307692307</x:v>
      </x:c>
      <x:c r="I727" s="25" t="n">
        <x:v>-0.3976442307692307</x:v>
      </x:c>
      <x:c r="J727" s="25" t="str"/>
      <x:c r="K727" s="11" t="n">
        <x:v>6.7</x:v>
      </x:c>
      <x:c r="L727" s="11" t="n">
        <x:v>17</x:v>
      </x:c>
      <x:c r="M727" s="11" t="n">
        <x:v>1.1</x:v>
      </x:c>
      <x:c r="N727" s="11" t="n">
        <x:v>0</x:v>
      </x:c>
      <x:c r="O727" s="11" t="n">
        <x:v>0</x:v>
      </x:c>
      <x:c r="P727" s="11" t="n">
        <x:v>0</x:v>
      </x:c>
      <x:c r="Q727" s="11" t="n">
        <x:v>0</x:v>
      </x:c>
      <x:c r="R727" s="11" t="str">
        <x:v>wuxiapptec-normalized-adjusted-pe-v1.0</x:v>
      </x:c>
      <x:c r="S727" s="11" t="str">
        <x:v>2026-10-10</x:v>
      </x:c>
      <x:c r="T727" s="11" t="str">
        <x:f>IF(AND(SUM(IF(K727='假设'!E968,0,1),IF(L727='假设'!F968,0,1),IF(M727='假设'!G968,0,1),IF(N727='假设'!H968,0,1),IF(O727='假设'!I968,0,1),IF(P727='假设'!J968,0,1),IF(Q727='假设'!K968,0,1))=0,U727=V727),"已刷新","待刷新")</x:f>
        <x:v>已刷新</x:v>
      </x:c>
    </x:row>
    <x:row r="728" ht="23" customHeight="1">
      <x:c r="A728" s="11" t="str">
        <x:v>02359.HK</x:v>
      </x:c>
      <x:c r="B728" s="11" t="str">
        <x:v>药明康德</x:v>
      </x:c>
      <x:c r="C728" s="11" t="str">
        <x:v>2026年底</x:v>
      </x:c>
      <x:c r="D728" s="11" t="str">
        <x:v>基准</x:v>
      </x:c>
      <x:c r="E728" s="11" t="n">
        <x:v>208</x:v>
      </x:c>
      <x:c r="F728" s="11" t="n">
        <x:v>216.48</x:v>
      </x:c>
      <x:c r="G728" s="11" t="n">
        <x:v>0</x:v>
      </x:c>
      <x:c r="H728" s="25" t="n">
        <x:v>0.04076923076923067</x:v>
      </x:c>
      <x:c r="I728" s="25" t="n">
        <x:v>0.04076923076923067</x:v>
      </x:c>
      <x:c r="J728" s="25" t="str"/>
      <x:c r="K728" s="11" t="n">
        <x:v>8.2</x:v>
      </x:c>
      <x:c r="L728" s="11" t="n">
        <x:v>24</x:v>
      </x:c>
      <x:c r="M728" s="11" t="n">
        <x:v>1.1</x:v>
      </x:c>
      <x:c r="N728" s="11" t="n">
        <x:v>0</x:v>
      </x:c>
      <x:c r="O728" s="11" t="n">
        <x:v>0</x:v>
      </x:c>
      <x:c r="P728" s="11" t="n">
        <x:v>0</x:v>
      </x:c>
      <x:c r="Q728" s="11" t="n">
        <x:v>0</x:v>
      </x:c>
      <x:c r="R728" s="11" t="str">
        <x:v>wuxiapptec-normalized-adjusted-pe-v1.0</x:v>
      </x:c>
      <x:c r="S728" s="11" t="str">
        <x:v>2026-10-10</x:v>
      </x:c>
      <x:c r="T728" s="11" t="str">
        <x:f>IF(AND(SUM(IF(K728='假设'!E969,0,1),IF(L728='假设'!F969,0,1),IF(M728='假设'!G969,0,1),IF(N728='假设'!H969,0,1),IF(O728='假设'!I969,0,1),IF(P728='假设'!J969,0,1),IF(Q728='假设'!K969,0,1))=0,U728=V728),"已刷新","待刷新")</x:f>
        <x:v>已刷新</x:v>
      </x:c>
    </x:row>
    <x:row r="729" ht="23" customHeight="1">
      <x:c r="A729" s="11" t="str">
        <x:v>02359.HK</x:v>
      </x:c>
      <x:c r="B729" s="11" t="str">
        <x:v>药明康德</x:v>
      </x:c>
      <x:c r="C729" s="11" t="str">
        <x:v>2026年底</x:v>
      </x:c>
      <x:c r="D729" s="11" t="str">
        <x:v>乐观</x:v>
      </x:c>
      <x:c r="E729" s="11" t="n">
        <x:v>208</x:v>
      </x:c>
      <x:c r="F729" s="11" t="n">
        <x:v>306.90000000000003</x:v>
      </x:c>
      <x:c r="G729" s="11" t="n">
        <x:v>0</x:v>
      </x:c>
      <x:c r="H729" s="25" t="n">
        <x:v>0.47548076923076943</x:v>
      </x:c>
      <x:c r="I729" s="25" t="n">
        <x:v>0.47548076923076943</x:v>
      </x:c>
      <x:c r="J729" s="25" t="str"/>
      <x:c r="K729" s="11" t="n">
        <x:v>9.3</x:v>
      </x:c>
      <x:c r="L729" s="11" t="n">
        <x:v>30</x:v>
      </x:c>
      <x:c r="M729" s="11" t="n">
        <x:v>1.1</x:v>
      </x:c>
      <x:c r="N729" s="11" t="n">
        <x:v>0</x:v>
      </x:c>
      <x:c r="O729" s="11" t="n">
        <x:v>0</x:v>
      </x:c>
      <x:c r="P729" s="11" t="n">
        <x:v>0</x:v>
      </x:c>
      <x:c r="Q729" s="11" t="n">
        <x:v>0</x:v>
      </x:c>
      <x:c r="R729" s="11" t="str">
        <x:v>wuxiapptec-normalized-adjusted-pe-v1.0</x:v>
      </x:c>
      <x:c r="S729" s="11" t="str">
        <x:v>2026-10-10</x:v>
      </x:c>
      <x:c r="T729" s="11" t="str">
        <x:f>IF(AND(SUM(IF(K729='假设'!E970,0,1),IF(L729='假设'!F970,0,1),IF(M729='假设'!G970,0,1),IF(N729='假设'!H970,0,1),IF(O729='假设'!I970,0,1),IF(P729='假设'!J970,0,1),IF(Q729='假设'!K970,0,1))=0,U729=V729),"已刷新","待刷新")</x:f>
        <x:v>已刷新</x:v>
      </x:c>
    </x:row>
    <x:row r="730" ht="23" customHeight="1">
      <x:c r="A730" s="11" t="str">
        <x:v>02359.HK</x:v>
      </x:c>
      <x:c r="B730" s="11" t="str">
        <x:v>药明康德</x:v>
      </x:c>
      <x:c r="C730" s="11" t="str">
        <x:v>半年</x:v>
      </x:c>
      <x:c r="D730" s="11" t="str">
        <x:v>悲观</x:v>
      </x:c>
      <x:c r="E730" s="11" t="n">
        <x:v>208</x:v>
      </x:c>
      <x:c r="F730" s="11" t="n">
        <x:v>134.64000000000001</x:v>
      </x:c>
      <x:c r="G730" s="11" t="n">
        <x:v>0</x:v>
      </x:c>
      <x:c r="H730" s="25" t="n">
        <x:v>-0.35269230769230764</x:v>
      </x:c>
      <x:c r="I730" s="25" t="n">
        <x:v>-0.35269230769230764</x:v>
      </x:c>
      <x:c r="J730" s="25" t="str"/>
      <x:c r="K730" s="11" t="n">
        <x:v>6.8</x:v>
      </x:c>
      <x:c r="L730" s="11" t="n">
        <x:v>18</x:v>
      </x:c>
      <x:c r="M730" s="11" t="n">
        <x:v>1.1</x:v>
      </x:c>
      <x:c r="N730" s="11" t="n">
        <x:v>0</x:v>
      </x:c>
      <x:c r="O730" s="11" t="n">
        <x:v>0</x:v>
      </x:c>
      <x:c r="P730" s="11" t="n">
        <x:v>0</x:v>
      </x:c>
      <x:c r="Q730" s="11" t="n">
        <x:v>0</x:v>
      </x:c>
      <x:c r="R730" s="11" t="str">
        <x:v>wuxiapptec-normalized-adjusted-pe-v1.0</x:v>
      </x:c>
      <x:c r="S730" s="11" t="str">
        <x:v>2026-10-10</x:v>
      </x:c>
      <x:c r="T730" s="11" t="str">
        <x:f>IF(AND(SUM(IF(K730='假设'!E972,0,1),IF(L730='假设'!F972,0,1),IF(M730='假设'!G972,0,1),IF(N730='假设'!H972,0,1),IF(O730='假设'!I972,0,1),IF(P730='假设'!J972,0,1),IF(Q730='假设'!K972,0,1))=0,U730=V730),"已刷新","待刷新")</x:f>
        <x:v>已刷新</x:v>
      </x:c>
    </x:row>
    <x:row r="731" ht="23" customHeight="1">
      <x:c r="A731" s="11" t="str">
        <x:v>02359.HK</x:v>
      </x:c>
      <x:c r="B731" s="11" t="str">
        <x:v>药明康德</x:v>
      </x:c>
      <x:c r="C731" s="11" t="str">
        <x:v>半年</x:v>
      </x:c>
      <x:c r="D731" s="11" t="str">
        <x:v>基准</x:v>
      </x:c>
      <x:c r="E731" s="11" t="n">
        <x:v>208</x:v>
      </x:c>
      <x:c r="F731" s="11" t="n">
        <x:v>242.00000000000006</x:v>
      </x:c>
      <x:c r="G731" s="11" t="n">
        <x:v>0</x:v>
      </x:c>
      <x:c r="H731" s="25" t="n">
        <x:v>0.16346153846153877</x:v>
      </x:c>
      <x:c r="I731" s="25" t="n">
        <x:v>0.16346153846153877</x:v>
      </x:c>
      <x:c r="J731" s="25" t="str"/>
      <x:c r="K731" s="11" t="n">
        <x:v>8.8</x:v>
      </x:c>
      <x:c r="L731" s="11" t="n">
        <x:v>25</x:v>
      </x:c>
      <x:c r="M731" s="11" t="n">
        <x:v>1.1</x:v>
      </x:c>
      <x:c r="N731" s="11" t="n">
        <x:v>0</x:v>
      </x:c>
      <x:c r="O731" s="11" t="n">
        <x:v>0</x:v>
      </x:c>
      <x:c r="P731" s="11" t="n">
        <x:v>0</x:v>
      </x:c>
      <x:c r="Q731" s="11" t="n">
        <x:v>0</x:v>
      </x:c>
      <x:c r="R731" s="11" t="str">
        <x:v>wuxiapptec-normalized-adjusted-pe-v1.0</x:v>
      </x:c>
      <x:c r="S731" s="11" t="str">
        <x:v>2026-10-10</x:v>
      </x:c>
      <x:c r="T731" s="11" t="str">
        <x:f>IF(AND(SUM(IF(K731='假设'!E973,0,1),IF(L731='假设'!F973,0,1),IF(M731='假设'!G973,0,1),IF(N731='假设'!H973,0,1),IF(O731='假设'!I973,0,1),IF(P731='假设'!J973,0,1),IF(Q731='假设'!K973,0,1))=0,U731=V731),"已刷新","待刷新")</x:f>
        <x:v>已刷新</x:v>
      </x:c>
    </x:row>
    <x:row r="732" ht="23" customHeight="1">
      <x:c r="A732" s="11" t="str">
        <x:v>02359.HK</x:v>
      </x:c>
      <x:c r="B732" s="11" t="str">
        <x:v>药明康德</x:v>
      </x:c>
      <x:c r="C732" s="11" t="str">
        <x:v>半年</x:v>
      </x:c>
      <x:c r="D732" s="11" t="str">
        <x:v>乐观</x:v>
      </x:c>
      <x:c r="E732" s="11" t="n">
        <x:v>208</x:v>
      </x:c>
      <x:c r="F732" s="11" t="n">
        <x:v>341</x:v>
      </x:c>
      <x:c r="G732" s="11" t="n">
        <x:v>0</x:v>
      </x:c>
      <x:c r="H732" s="25" t="n">
        <x:v>0.6394230769230769</x:v>
      </x:c>
      <x:c r="I732" s="25" t="n">
        <x:v>0.6394230769230769</x:v>
      </x:c>
      <x:c r="J732" s="25" t="str"/>
      <x:c r="K732" s="11" t="n">
        <x:v>10</x:v>
      </x:c>
      <x:c r="L732" s="11" t="n">
        <x:v>31</x:v>
      </x:c>
      <x:c r="M732" s="11" t="n">
        <x:v>1.1</x:v>
      </x:c>
      <x:c r="N732" s="11" t="n">
        <x:v>0</x:v>
      </x:c>
      <x:c r="O732" s="11" t="n">
        <x:v>0</x:v>
      </x:c>
      <x:c r="P732" s="11" t="n">
        <x:v>0</x:v>
      </x:c>
      <x:c r="Q732" s="11" t="n">
        <x:v>0</x:v>
      </x:c>
      <x:c r="R732" s="11" t="str">
        <x:v>wuxiapptec-normalized-adjusted-pe-v1.0</x:v>
      </x:c>
      <x:c r="S732" s="11" t="str">
        <x:v>2026-10-10</x:v>
      </x:c>
      <x:c r="T732" s="11" t="str">
        <x:f>IF(AND(SUM(IF(K732='假设'!E974,0,1),IF(L732='假设'!F974,0,1),IF(M732='假设'!G974,0,1),IF(N732='假设'!H974,0,1),IF(O732='假设'!I974,0,1),IF(P732='假设'!J974,0,1),IF(Q732='假设'!K974,0,1))=0,U732=V732),"已刷新","待刷新")</x:f>
        <x:v>已刷新</x:v>
      </x:c>
    </x:row>
    <x:row r="733" ht="23" customHeight="1">
      <x:c r="A733" s="11" t="str">
        <x:v>02359.HK</x:v>
      </x:c>
      <x:c r="B733" s="11" t="str">
        <x:v>药明康德</x:v>
      </x:c>
      <x:c r="C733" s="11" t="str">
        <x:v>一年</x:v>
      </x:c>
      <x:c r="D733" s="11" t="str">
        <x:v>悲观</x:v>
      </x:c>
      <x:c r="E733" s="11" t="n">
        <x:v>208</x:v>
      </x:c>
      <x:c r="F733" s="11" t="n">
        <x:v>138.60000000000002</x:v>
      </x:c>
      <x:c r="G733" s="11" t="n">
        <x:v>1.32</x:v>
      </x:c>
      <x:c r="H733" s="25" t="n">
        <x:v>-0.3336538461538461</x:v>
      </x:c>
      <x:c r="I733" s="25" t="n">
        <x:v>-0.3273076923076922</x:v>
      </x:c>
      <x:c r="J733" s="25" t="str"/>
      <x:c r="K733" s="11" t="n">
        <x:v>7</x:v>
      </x:c>
      <x:c r="L733" s="11" t="n">
        <x:v>18</x:v>
      </x:c>
      <x:c r="M733" s="11" t="n">
        <x:v>1.1</x:v>
      </x:c>
      <x:c r="N733" s="11" t="n">
        <x:v>1.32</x:v>
      </x:c>
      <x:c r="O733" s="11" t="n">
        <x:v>0</x:v>
      </x:c>
      <x:c r="P733" s="11" t="n">
        <x:v>0</x:v>
      </x:c>
      <x:c r="Q733" s="11" t="n">
        <x:v>0</x:v>
      </x:c>
      <x:c r="R733" s="11" t="str">
        <x:v>wuxiapptec-normalized-adjusted-pe-v1.0</x:v>
      </x:c>
      <x:c r="S733" s="11" t="str">
        <x:v>2026-10-10</x:v>
      </x:c>
      <x:c r="T733" s="11" t="str">
        <x:f>IF(AND(SUM(IF(K733='假设'!E976,0,1),IF(L733='假设'!F976,0,1),IF(M733='假设'!G976,0,1),IF(N733='假设'!H976,0,1),IF(O733='假设'!I976,0,1),IF(P733='假设'!J976,0,1),IF(Q733='假设'!K976,0,1))=0,U733=V733),"已刷新","待刷新")</x:f>
        <x:v>已刷新</x:v>
      </x:c>
    </x:row>
    <x:row r="734" ht="23" customHeight="1">
      <x:c r="A734" s="11" t="str">
        <x:v>02359.HK</x:v>
      </x:c>
      <x:c r="B734" s="11" t="str">
        <x:v>药明康德</x:v>
      </x:c>
      <x:c r="C734" s="11" t="str">
        <x:v>一年</x:v>
      </x:c>
      <x:c r="D734" s="11" t="str">
        <x:v>基准</x:v>
      </x:c>
      <x:c r="E734" s="11" t="n">
        <x:v>208</x:v>
      </x:c>
      <x:c r="F734" s="11" t="n">
        <x:v>261.25</x:v>
      </x:c>
      <x:c r="G734" s="11" t="n">
        <x:v>1.9800000000000002</x:v>
      </x:c>
      <x:c r="H734" s="25" t="n">
        <x:v>0.2560096153846154</x:v>
      </x:c>
      <x:c r="I734" s="25" t="n">
        <x:v>0.2655288461538463</x:v>
      </x:c>
      <x:c r="J734" s="25" t="str"/>
      <x:c r="K734" s="11" t="n">
        <x:v>9.5</x:v>
      </x:c>
      <x:c r="L734" s="11" t="n">
        <x:v>25</x:v>
      </x:c>
      <x:c r="M734" s="11" t="n">
        <x:v>1.1</x:v>
      </x:c>
      <x:c r="N734" s="11" t="n">
        <x:v>1.9800000000000002</x:v>
      </x:c>
      <x:c r="O734" s="11" t="n">
        <x:v>0</x:v>
      </x:c>
      <x:c r="P734" s="11" t="n">
        <x:v>0</x:v>
      </x:c>
      <x:c r="Q734" s="11" t="n">
        <x:v>0</x:v>
      </x:c>
      <x:c r="R734" s="11" t="str">
        <x:v>wuxiapptec-normalized-adjusted-pe-v1.0</x:v>
      </x:c>
      <x:c r="S734" s="11" t="str">
        <x:v>2026-10-10</x:v>
      </x:c>
      <x:c r="T734" s="11" t="str">
        <x:f>IF(AND(SUM(IF(K734='假设'!E977,0,1),IF(L734='假设'!F977,0,1),IF(M734='假设'!G977,0,1),IF(N734='假设'!H977,0,1),IF(O734='假设'!I977,0,1),IF(P734='假设'!J977,0,1),IF(Q734='假设'!K977,0,1))=0,U734=V734),"已刷新","待刷新")</x:f>
        <x:v>已刷新</x:v>
      </x:c>
    </x:row>
    <x:row r="735" ht="23" customHeight="1">
      <x:c r="A735" s="11" t="str">
        <x:v>02359.HK</x:v>
      </x:c>
      <x:c r="B735" s="11" t="str">
        <x:v>药明康德</x:v>
      </x:c>
      <x:c r="C735" s="11" t="str">
        <x:v>一年</x:v>
      </x:c>
      <x:c r="D735" s="11" t="str">
        <x:v>乐观</x:v>
      </x:c>
      <x:c r="E735" s="11" t="n">
        <x:v>208</x:v>
      </x:c>
      <x:c r="F735" s="11" t="n">
        <x:v>402.38000000000005</x:v>
      </x:c>
      <x:c r="G735" s="11" t="n">
        <x:v>2.53</x:v>
      </x:c>
      <x:c r="H735" s="25" t="n">
        <x:v>0.9345192307692309</x:v>
      </x:c>
      <x:c r="I735" s="25" t="n">
        <x:v>0.9466826923076925</x:v>
      </x:c>
      <x:c r="J735" s="25" t="str"/>
      <x:c r="K735" s="11" t="n">
        <x:v>11.8</x:v>
      </x:c>
      <x:c r="L735" s="11" t="n">
        <x:v>31</x:v>
      </x:c>
      <x:c r="M735" s="11" t="n">
        <x:v>1.1</x:v>
      </x:c>
      <x:c r="N735" s="11" t="n">
        <x:v>2.53</x:v>
      </x:c>
      <x:c r="O735" s="11" t="n">
        <x:v>0</x:v>
      </x:c>
      <x:c r="P735" s="11" t="n">
        <x:v>0</x:v>
      </x:c>
      <x:c r="Q735" s="11" t="n">
        <x:v>0</x:v>
      </x:c>
      <x:c r="R735" s="11" t="str">
        <x:v>wuxiapptec-normalized-adjusted-pe-v1.0</x:v>
      </x:c>
      <x:c r="S735" s="11" t="str">
        <x:v>2026-10-10</x:v>
      </x:c>
      <x:c r="T735" s="11" t="str">
        <x:f>IF(AND(SUM(IF(K735='假设'!E978,0,1),IF(L735='假设'!F978,0,1),IF(M735='假设'!G978,0,1),IF(N735='假设'!H978,0,1),IF(O735='假设'!I978,0,1),IF(P735='假设'!J978,0,1),IF(Q735='假设'!K978,0,1))=0,U735=V735),"已刷新","待刷新")</x:f>
        <x:v>已刷新</x:v>
      </x:c>
    </x:row>
    <x:row r="736" ht="23" customHeight="1">
      <x:c r="A736" s="11" t="str">
        <x:v>02359.HK</x:v>
      </x:c>
      <x:c r="B736" s="11" t="str">
        <x:v>药明康德</x:v>
      </x:c>
      <x:c r="C736" s="11" t="str">
        <x:v>三年</x:v>
      </x:c>
      <x:c r="D736" s="11" t="str">
        <x:v>悲观</x:v>
      </x:c>
      <x:c r="E736" s="11" t="n">
        <x:v>208</x:v>
      </x:c>
      <x:c r="F736" s="11" t="n">
        <x:v>126.72000000000001</x:v>
      </x:c>
      <x:c r="G736" s="11" t="n">
        <x:v>4.4</x:v>
      </x:c>
      <x:c r="H736" s="25" t="n">
        <x:v>-0.39076923076923076</x:v>
      </x:c>
      <x:c r="I736" s="25" t="n">
        <x:v>-0.36961538461538457</x:v>
      </x:c>
      <x:c r="J736" s="25" t="n">
        <x:v>-0.14256369428913107</x:v>
      </x:c>
      <x:c r="K736" s="11" t="n">
        <x:v>7.2</x:v>
      </x:c>
      <x:c r="L736" s="11" t="n">
        <x:v>16</x:v>
      </x:c>
      <x:c r="M736" s="11" t="n">
        <x:v>1.1</x:v>
      </x:c>
      <x:c r="N736" s="11" t="n">
        <x:v>4.4</x:v>
      </x:c>
      <x:c r="O736" s="11" t="n">
        <x:v>0</x:v>
      </x:c>
      <x:c r="P736" s="11" t="n">
        <x:v>0</x:v>
      </x:c>
      <x:c r="Q736" s="11" t="n">
        <x:v>0</x:v>
      </x:c>
      <x:c r="R736" s="11" t="str">
        <x:v>wuxiapptec-normalized-adjusted-pe-v1.0</x:v>
      </x:c>
      <x:c r="S736" s="11" t="str">
        <x:v>2026-10-10</x:v>
      </x:c>
      <x:c r="T736" s="11" t="str">
        <x:f>IF(AND(SUM(IF(K736='假设'!E980,0,1),IF(L736='假设'!F980,0,1),IF(M736='假设'!G980,0,1),IF(N736='假设'!H980,0,1),IF(O736='假设'!I980,0,1),IF(P736='假设'!J980,0,1),IF(Q736='假设'!K980,0,1))=0,U736=V736),"已刷新","待刷新")</x:f>
        <x:v>已刷新</x:v>
      </x:c>
    </x:row>
    <x:row r="737" ht="23" customHeight="1">
      <x:c r="A737" s="11" t="str">
        <x:v>02359.HK</x:v>
      </x:c>
      <x:c r="B737" s="11" t="str">
        <x:v>药明康德</x:v>
      </x:c>
      <x:c r="C737" s="11" t="str">
        <x:v>三年</x:v>
      </x:c>
      <x:c r="D737" s="11" t="str">
        <x:v>基准</x:v>
      </x:c>
      <x:c r="E737" s="11" t="n">
        <x:v>208</x:v>
      </x:c>
      <x:c r="F737" s="11" t="n">
        <x:v>330</x:v>
      </x:c>
      <x:c r="G737" s="11" t="n">
        <x:v>7.700000000000001</x:v>
      </x:c>
      <x:c r="H737" s="25" t="n">
        <x:v>0.5865384615384615</x:v>
      </x:c>
      <x:c r="I737" s="25" t="n">
        <x:v>0.6235576923076922</x:v>
      </x:c>
      <x:c r="J737" s="25" t="n">
        <x:v>0.17531941032604403</x:v>
      </x:c>
      <x:c r="K737" s="11" t="n">
        <x:v>12.5</x:v>
      </x:c>
      <x:c r="L737" s="11" t="n">
        <x:v>24</x:v>
      </x:c>
      <x:c r="M737" s="11" t="n">
        <x:v>1.1</x:v>
      </x:c>
      <x:c r="N737" s="11" t="n">
        <x:v>7.700000000000001</x:v>
      </x:c>
      <x:c r="O737" s="11" t="n">
        <x:v>0</x:v>
      </x:c>
      <x:c r="P737" s="11" t="n">
        <x:v>0</x:v>
      </x:c>
      <x:c r="Q737" s="11" t="n">
        <x:v>0</x:v>
      </x:c>
      <x:c r="R737" s="11" t="str">
        <x:v>wuxiapptec-normalized-adjusted-pe-v1.0</x:v>
      </x:c>
      <x:c r="S737" s="11" t="str">
        <x:v>2026-10-10</x:v>
      </x:c>
      <x:c r="T737" s="11" t="str">
        <x:f>IF(AND(SUM(IF(K737='假设'!E981,0,1),IF(L737='假设'!F981,0,1),IF(M737='假设'!G981,0,1),IF(N737='假设'!H981,0,1),IF(O737='假设'!I981,0,1),IF(P737='假设'!J981,0,1),IF(Q737='假设'!K981,0,1))=0,U737=V737),"已刷新","待刷新")</x:f>
        <x:v>已刷新</x:v>
      </x:c>
    </x:row>
    <x:row r="738" ht="23" customHeight="1">
      <x:c r="A738" s="11" t="str">
        <x:v>02359.HK</x:v>
      </x:c>
      <x:c r="B738" s="11" t="str">
        <x:v>药明康德</x:v>
      </x:c>
      <x:c r="C738" s="11" t="str">
        <x:v>三年</x:v>
      </x:c>
      <x:c r="D738" s="11" t="str">
        <x:v>乐观</x:v>
      </x:c>
      <x:c r="E738" s="11" t="n">
        <x:v>208</x:v>
      </x:c>
      <x:c r="F738" s="11" t="n">
        <x:v>558.25</x:v>
      </x:c>
      <x:c r="G738" s="11" t="n">
        <x:v>11</x:v>
      </x:c>
      <x:c r="H738" s="25" t="n">
        <x:v>1.6838942307692308</x:v>
      </x:c>
      <x:c r="I738" s="25" t="n">
        <x:v>1.7367788461538463</x:v>
      </x:c>
      <x:c r="J738" s="25" t="n">
        <x:v>0.39877083374869104</x:v>
      </x:c>
      <x:c r="K738" s="11" t="n">
        <x:v>17.5</x:v>
      </x:c>
      <x:c r="L738" s="11" t="n">
        <x:v>29</x:v>
      </x:c>
      <x:c r="M738" s="11" t="n">
        <x:v>1.1</x:v>
      </x:c>
      <x:c r="N738" s="11" t="n">
        <x:v>11</x:v>
      </x:c>
      <x:c r="O738" s="11" t="n">
        <x:v>0</x:v>
      </x:c>
      <x:c r="P738" s="11" t="n">
        <x:v>0</x:v>
      </x:c>
      <x:c r="Q738" s="11" t="n">
        <x:v>0</x:v>
      </x:c>
      <x:c r="R738" s="11" t="str">
        <x:v>wuxiapptec-normalized-adjusted-pe-v1.0</x:v>
      </x:c>
      <x:c r="S738" s="11" t="str">
        <x:v>2026-10-10</x:v>
      </x:c>
      <x:c r="T738" s="11" t="str">
        <x:f>IF(AND(SUM(IF(K738='假设'!E982,0,1),IF(L738='假设'!F982,0,1),IF(M738='假设'!G982,0,1),IF(N738='假设'!H982,0,1),IF(O738='假设'!I982,0,1),IF(P738='假设'!J982,0,1),IF(Q738='假设'!K982,0,1))=0,U738=V738),"已刷新","待刷新")</x:f>
        <x:v>已刷新</x:v>
      </x:c>
    </x:row>
    <x:row r="739" ht="23" customHeight="1">
      <x:c r="A739" s="11" t="str">
        <x:v>02359.HK</x:v>
      </x:c>
      <x:c r="B739" s="11" t="str">
        <x:v>药明康德</x:v>
      </x:c>
      <x:c r="C739" s="11" t="str">
        <x:v>五年</x:v>
      </x:c>
      <x:c r="D739" s="11" t="str">
        <x:v>悲观</x:v>
      </x:c>
      <x:c r="E739" s="11" t="n">
        <x:v>208</x:v>
      </x:c>
      <x:c r="F739" s="11" t="n">
        <x:v>123.75000000000001</x:v>
      </x:c>
      <x:c r="G739" s="11" t="n">
        <x:v>7.700000000000001</x:v>
      </x:c>
      <x:c r="H739" s="25" t="n">
        <x:v>-0.40504807692307687</x:v>
      </x:c>
      <x:c r="I739" s="25" t="n">
        <x:v>-0.3680288461538461</x:v>
      </x:c>
      <x:c r="J739" s="25" t="n">
        <x:v>-0.087696268753224</x:v>
      </x:c>
      <x:c r="K739" s="11" t="n">
        <x:v>7.5</x:v>
      </x:c>
      <x:c r="L739" s="11" t="n">
        <x:v>15</x:v>
      </x:c>
      <x:c r="M739" s="11" t="n">
        <x:v>1.1</x:v>
      </x:c>
      <x:c r="N739" s="11" t="n">
        <x:v>7.700000000000001</x:v>
      </x:c>
      <x:c r="O739" s="11" t="n">
        <x:v>0</x:v>
      </x:c>
      <x:c r="P739" s="11" t="n">
        <x:v>0</x:v>
      </x:c>
      <x:c r="Q739" s="11" t="n">
        <x:v>0</x:v>
      </x:c>
      <x:c r="R739" s="11" t="str">
        <x:v>wuxiapptec-normalized-adjusted-pe-v1.0</x:v>
      </x:c>
      <x:c r="S739" s="11" t="str">
        <x:v>2026-10-10</x:v>
      </x:c>
      <x:c r="T739" s="11" t="str">
        <x:f>IF(AND(SUM(IF(K739='假设'!E984,0,1),IF(L739='假设'!F984,0,1),IF(M739='假设'!G984,0,1),IF(N739='假设'!H984,0,1),IF(O739='假设'!I984,0,1),IF(P739='假设'!J984,0,1),IF(Q739='假设'!K984,0,1))=0,U739=V739),"已刷新","待刷新")</x:f>
        <x:v>已刷新</x:v>
      </x:c>
    </x:row>
    <x:row r="740" ht="23" customHeight="1">
      <x:c r="A740" s="11" t="str">
        <x:v>02359.HK</x:v>
      </x:c>
      <x:c r="B740" s="11" t="str">
        <x:v>药明康德</x:v>
      </x:c>
      <x:c r="C740" s="11" t="str">
        <x:v>五年</x:v>
      </x:c>
      <x:c r="D740" s="11" t="str">
        <x:v>基准</x:v>
      </x:c>
      <x:c r="E740" s="11" t="n">
        <x:v>208</x:v>
      </x:c>
      <x:c r="F740" s="11" t="n">
        <x:v>375.1</x:v>
      </x:c>
      <x:c r="G740" s="11" t="n">
        <x:v>15.400000000000002</x:v>
      </x:c>
      <x:c r="H740" s="25" t="n">
        <x:v>0.8033653846153848</x:v>
      </x:c>
      <x:c r="I740" s="25" t="n">
        <x:v>0.8774038461538463</x:v>
      </x:c>
      <x:c r="J740" s="25" t="n">
        <x:v>0.1342571893005231</x:v>
      </x:c>
      <x:c r="K740" s="11" t="n">
        <x:v>15.5</x:v>
      </x:c>
      <x:c r="L740" s="11" t="n">
        <x:v>22</x:v>
      </x:c>
      <x:c r="M740" s="11" t="n">
        <x:v>1.1</x:v>
      </x:c>
      <x:c r="N740" s="11" t="n">
        <x:v>15.400000000000002</x:v>
      </x:c>
      <x:c r="O740" s="11" t="n">
        <x:v>0</x:v>
      </x:c>
      <x:c r="P740" s="11" t="n">
        <x:v>0</x:v>
      </x:c>
      <x:c r="Q740" s="11" t="n">
        <x:v>0</x:v>
      </x:c>
      <x:c r="R740" s="11" t="str">
        <x:v>wuxiapptec-normalized-adjusted-pe-v1.0</x:v>
      </x:c>
      <x:c r="S740" s="11" t="str">
        <x:v>2026-10-10</x:v>
      </x:c>
      <x:c r="T740" s="11" t="str">
        <x:f>IF(AND(SUM(IF(K740='假设'!E985,0,1),IF(L740='假设'!F985,0,1),IF(M740='假设'!G985,0,1),IF(N740='假设'!H985,0,1),IF(O740='假设'!I985,0,1),IF(P740='假设'!J985,0,1),IF(Q740='假设'!K985,0,1))=0,U740=V740),"已刷新","待刷新")</x:f>
        <x:v>已刷新</x:v>
      </x:c>
    </x:row>
    <x:row r="741" ht="23" customHeight="1">
      <x:c r="A741" s="11" t="str">
        <x:v>02359.HK</x:v>
      </x:c>
      <x:c r="B741" s="11" t="str">
        <x:v>药明康德</x:v>
      </x:c>
      <x:c r="C741" s="11" t="str">
        <x:v>五年</x:v>
      </x:c>
      <x:c r="D741" s="11" t="str">
        <x:v>乐观</x:v>
      </x:c>
      <x:c r="E741" s="11" t="n">
        <x:v>208</x:v>
      </x:c>
      <x:c r="F741" s="11" t="n">
        <x:v>739.2</x:v>
      </x:c>
      <x:c r="G741" s="11" t="n">
        <x:v>23.1</x:v>
      </x:c>
      <x:c r="H741" s="25" t="n">
        <x:v>2.553846153846154</x:v>
      </x:c>
      <x:c r="I741" s="25" t="n">
        <x:v>2.6649038461538463</x:v>
      </x:c>
      <x:c r="J741" s="25" t="n">
        <x:v>0.2966194051902411</x:v>
      </x:c>
      <x:c r="K741" s="11" t="n">
        <x:v>24</x:v>
      </x:c>
      <x:c r="L741" s="11" t="n">
        <x:v>28</x:v>
      </x:c>
      <x:c r="M741" s="11" t="n">
        <x:v>1.1</x:v>
      </x:c>
      <x:c r="N741" s="11" t="n">
        <x:v>23.1</x:v>
      </x:c>
      <x:c r="O741" s="11" t="n">
        <x:v>0</x:v>
      </x:c>
      <x:c r="P741" s="11" t="n">
        <x:v>0</x:v>
      </x:c>
      <x:c r="Q741" s="11" t="n">
        <x:v>0</x:v>
      </x:c>
      <x:c r="R741" s="11" t="str">
        <x:v>wuxiapptec-normalized-adjusted-pe-v1.0</x:v>
      </x:c>
      <x:c r="S741" s="11" t="str">
        <x:v>2026-10-10</x:v>
      </x:c>
      <x:c r="T741" s="11" t="str">
        <x:f>IF(AND(SUM(IF(K741='假设'!E986,0,1),IF(L741='假设'!F986,0,1),IF(M741='假设'!G986,0,1),IF(N741='假设'!H986,0,1),IF(O741='假设'!I986,0,1),IF(P741='假设'!J986,0,1),IF(Q741='假设'!K986,0,1))=0,U741=V741),"已刷新","待刷新")</x:f>
        <x:v>已刷新</x:v>
      </x:c>
    </x:row>
    <x:row r="742" ht="23" customHeight="1">
      <x:c r="A742" s="11" t="str">
        <x:v>02269.HK</x:v>
      </x:c>
      <x:c r="B742" s="11" t="str">
        <x:v>药明生物</x:v>
      </x:c>
      <x:c r="C742" s="11" t="str">
        <x:v>2026年底</x:v>
      </x:c>
      <x:c r="D742" s="11" t="str">
        <x:v>悲观</x:v>
      </x:c>
      <x:c r="E742" s="11" t="n">
        <x:v>53.85</x:v>
      </x:c>
      <x:c r="F742" s="11" t="n">
        <x:v>36.63000000000001</x:v>
      </x:c>
      <x:c r="G742" s="11" t="n">
        <x:v>0</x:v>
      </x:c>
      <x:c r="H742" s="25" t="n">
        <x:v>-0.31977715877437307</x:v>
      </x:c>
      <x:c r="I742" s="25" t="n">
        <x:v>-0.31977715877437307</x:v>
      </x:c>
      <x:c r="J742" s="25" t="str"/>
      <x:c r="K742" s="11" t="n">
        <x:v>1.85</x:v>
      </x:c>
      <x:c r="L742" s="11" t="n">
        <x:v>18</x:v>
      </x:c>
      <x:c r="M742" s="11" t="n">
        <x:v>1.1</x:v>
      </x:c>
      <x:c r="N742" s="11" t="n">
        <x:v>0</x:v>
      </x:c>
      <x:c r="O742" s="11" t="str"/>
      <x:c r="P742" s="11" t="str"/>
      <x:c r="Q742" s="11" t="str"/>
      <x:c r="R742" s="11" t="str">
        <x:v>wuxi-bio-v1</x:v>
      </x:c>
      <x:c r="S742" s="11" t="str">
        <x:v>2026-10-10</x:v>
      </x:c>
      <x:c r="T742" s="11" t="str">
        <x:f>IF(AND(SUM(IF(K742='假设'!E988,0,1),IF(L742='假设'!F988,0,1),IF(M742='假设'!G988,0,1),IF(N742='假设'!H988,0,1),IF(O742='假设'!I988,0,1),IF(P742='假设'!J988,0,1),IF(Q742='假设'!K988,0,1))=0,U742=V742),"已刷新","待刷新")</x:f>
        <x:v>已刷新</x:v>
      </x:c>
    </x:row>
    <x:row r="743" ht="23" customHeight="1">
      <x:c r="A743" s="11" t="str">
        <x:v>02269.HK</x:v>
      </x:c>
      <x:c r="B743" s="11" t="str">
        <x:v>药明生物</x:v>
      </x:c>
      <x:c r="C743" s="11" t="str">
        <x:v>2026年底</x:v>
      </x:c>
      <x:c r="D743" s="11" t="str">
        <x:v>基准</x:v>
      </x:c>
      <x:c r="E743" s="11" t="n">
        <x:v>53.85</x:v>
      </x:c>
      <x:c r="F743" s="11" t="n">
        <x:v>55.66</x:v>
      </x:c>
      <x:c r="G743" s="11" t="n">
        <x:v>0</x:v>
      </x:c>
      <x:c r="H743" s="25" t="n">
        <x:v>0.03361188486536659</x:v>
      </x:c>
      <x:c r="I743" s="25" t="n">
        <x:v>0.03361188486536659</x:v>
      </x:c>
      <x:c r="J743" s="25" t="str"/>
      <x:c r="K743" s="11" t="n">
        <x:v>2.3</x:v>
      </x:c>
      <x:c r="L743" s="11" t="n">
        <x:v>22</x:v>
      </x:c>
      <x:c r="M743" s="11" t="n">
        <x:v>1.1</x:v>
      </x:c>
      <x:c r="N743" s="11" t="n">
        <x:v>0</x:v>
      </x:c>
      <x:c r="O743" s="11" t="str"/>
      <x:c r="P743" s="11" t="str"/>
      <x:c r="Q743" s="11" t="str"/>
      <x:c r="R743" s="11" t="str">
        <x:v>wuxi-bio-v1</x:v>
      </x:c>
      <x:c r="S743" s="11" t="str">
        <x:v>2026-10-10</x:v>
      </x:c>
      <x:c r="T743" s="11" t="str">
        <x:f>IF(AND(SUM(IF(K743='假设'!E989,0,1),IF(L743='假设'!F989,0,1),IF(M743='假设'!G989,0,1),IF(N743='假设'!H989,0,1),IF(O743='假设'!I989,0,1),IF(P743='假设'!J989,0,1),IF(Q743='假设'!K989,0,1))=0,U743=V743),"已刷新","待刷新")</x:f>
        <x:v>已刷新</x:v>
      </x:c>
    </x:row>
    <x:row r="744" ht="23" customHeight="1">
      <x:c r="A744" s="11" t="str">
        <x:v>02269.HK</x:v>
      </x:c>
      <x:c r="B744" s="11" t="str">
        <x:v>药明生物</x:v>
      </x:c>
      <x:c r="C744" s="11" t="str">
        <x:v>2026年底</x:v>
      </x:c>
      <x:c r="D744" s="11" t="str">
        <x:v>乐观</x:v>
      </x:c>
      <x:c r="E744" s="11" t="n">
        <x:v>53.85</x:v>
      </x:c>
      <x:c r="F744" s="11" t="n">
        <x:v>72.875</x:v>
      </x:c>
      <x:c r="G744" s="11" t="n">
        <x:v>0</x:v>
      </x:c>
      <x:c r="H744" s="25" t="n">
        <x:v>0.35329619312906213</x:v>
      </x:c>
      <x:c r="I744" s="25" t="n">
        <x:v>0.35329619312906213</x:v>
      </x:c>
      <x:c r="J744" s="25" t="str"/>
      <x:c r="K744" s="11" t="n">
        <x:v>2.65</x:v>
      </x:c>
      <x:c r="L744" s="11" t="n">
        <x:v>25</x:v>
      </x:c>
      <x:c r="M744" s="11" t="n">
        <x:v>1.1</x:v>
      </x:c>
      <x:c r="N744" s="11" t="n">
        <x:v>0</x:v>
      </x:c>
      <x:c r="O744" s="11" t="str"/>
      <x:c r="P744" s="11" t="str"/>
      <x:c r="Q744" s="11" t="str"/>
      <x:c r="R744" s="11" t="str">
        <x:v>wuxi-bio-v1</x:v>
      </x:c>
      <x:c r="S744" s="11" t="str">
        <x:v>2026-10-10</x:v>
      </x:c>
      <x:c r="T744" s="11" t="str">
        <x:f>IF(AND(SUM(IF(K744='假设'!E990,0,1),IF(L744='假设'!F990,0,1),IF(M744='假设'!G990,0,1),IF(N744='假设'!H990,0,1),IF(O744='假设'!I990,0,1),IF(P744='假设'!J990,0,1),IF(Q744='假设'!K990,0,1))=0,U744=V744),"已刷新","待刷新")</x:f>
        <x:v>已刷新</x:v>
      </x:c>
    </x:row>
    <x:row r="745" ht="23" customHeight="1">
      <x:c r="A745" s="11" t="str">
        <x:v>02269.HK</x:v>
      </x:c>
      <x:c r="B745" s="11" t="str">
        <x:v>药明生物</x:v>
      </x:c>
      <x:c r="C745" s="11" t="str">
        <x:v>半年</x:v>
      </x:c>
      <x:c r="D745" s="11" t="str">
        <x:v>悲观</x:v>
      </x:c>
      <x:c r="E745" s="11" t="n">
        <x:v>53.85</x:v>
      </x:c>
      <x:c r="F745" s="11" t="n">
        <x:v>36.63000000000001</x:v>
      </x:c>
      <x:c r="G745" s="11" t="n">
        <x:v>0</x:v>
      </x:c>
      <x:c r="H745" s="25" t="n">
        <x:v>-0.31977715877437307</x:v>
      </x:c>
      <x:c r="I745" s="25" t="n">
        <x:v>-0.31977715877437307</x:v>
      </x:c>
      <x:c r="J745" s="25" t="str"/>
      <x:c r="K745" s="11" t="n">
        <x:v>1.85</x:v>
      </x:c>
      <x:c r="L745" s="11" t="n">
        <x:v>18</x:v>
      </x:c>
      <x:c r="M745" s="11" t="n">
        <x:v>1.1</x:v>
      </x:c>
      <x:c r="N745" s="11" t="n">
        <x:v>0</x:v>
      </x:c>
      <x:c r="O745" s="11" t="str"/>
      <x:c r="P745" s="11" t="str"/>
      <x:c r="Q745" s="11" t="str"/>
      <x:c r="R745" s="11" t="str">
        <x:v>wuxi-bio-v1</x:v>
      </x:c>
      <x:c r="S745" s="11" t="str">
        <x:v>2026-10-10</x:v>
      </x:c>
      <x:c r="T745" s="11" t="str">
        <x:f>IF(AND(SUM(IF(K745='假设'!E992,0,1),IF(L745='假设'!F992,0,1),IF(M745='假设'!G992,0,1),IF(N745='假设'!H992,0,1),IF(O745='假设'!I992,0,1),IF(P745='假设'!J992,0,1),IF(Q745='假设'!K992,0,1))=0,U745=V745),"已刷新","待刷新")</x:f>
        <x:v>已刷新</x:v>
      </x:c>
    </x:row>
    <x:row r="746" ht="23" customHeight="1">
      <x:c r="A746" s="11" t="str">
        <x:v>02269.HK</x:v>
      </x:c>
      <x:c r="B746" s="11" t="str">
        <x:v>药明生物</x:v>
      </x:c>
      <x:c r="C746" s="11" t="str">
        <x:v>半年</x:v>
      </x:c>
      <x:c r="D746" s="11" t="str">
        <x:v>基准</x:v>
      </x:c>
      <x:c r="E746" s="11" t="n">
        <x:v>53.85</x:v>
      </x:c>
      <x:c r="F746" s="11" t="n">
        <x:v>60.72</x:v>
      </x:c>
      <x:c r="G746" s="11" t="n">
        <x:v>0</x:v>
      </x:c>
      <x:c r="H746" s="25" t="n">
        <x:v>0.12757660167130913</x:v>
      </x:c>
      <x:c r="I746" s="25" t="n">
        <x:v>0.12757660167130913</x:v>
      </x:c>
      <x:c r="J746" s="25" t="str"/>
      <x:c r="K746" s="11" t="n">
        <x:v>2.3</x:v>
      </x:c>
      <x:c r="L746" s="11" t="n">
        <x:v>24</x:v>
      </x:c>
      <x:c r="M746" s="11" t="n">
        <x:v>1.1</x:v>
      </x:c>
      <x:c r="N746" s="11" t="n">
        <x:v>0</x:v>
      </x:c>
      <x:c r="O746" s="11" t="str"/>
      <x:c r="P746" s="11" t="str"/>
      <x:c r="Q746" s="11" t="str"/>
      <x:c r="R746" s="11" t="str">
        <x:v>wuxi-bio-v1</x:v>
      </x:c>
      <x:c r="S746" s="11" t="str">
        <x:v>2026-10-10</x:v>
      </x:c>
      <x:c r="T746" s="11" t="str">
        <x:f>IF(AND(SUM(IF(K746='假设'!E993,0,1),IF(L746='假设'!F993,0,1),IF(M746='假设'!G993,0,1),IF(N746='假设'!H993,0,1),IF(O746='假设'!I993,0,1),IF(P746='假设'!J993,0,1),IF(Q746='假设'!K993,0,1))=0,U746=V746),"已刷新","待刷新")</x:f>
        <x:v>已刷新</x:v>
      </x:c>
    </x:row>
    <x:row r="747" ht="23" customHeight="1">
      <x:c r="A747" s="11" t="str">
        <x:v>02269.HK</x:v>
      </x:c>
      <x:c r="B747" s="11" t="str">
        <x:v>药明生物</x:v>
      </x:c>
      <x:c r="C747" s="11" t="str">
        <x:v>半年</x:v>
      </x:c>
      <x:c r="D747" s="11" t="str">
        <x:v>乐观</x:v>
      </x:c>
      <x:c r="E747" s="11" t="n">
        <x:v>53.85</x:v>
      </x:c>
      <x:c r="F747" s="11" t="n">
        <x:v>81.62</x:v>
      </x:c>
      <x:c r="G747" s="11" t="n">
        <x:v>0</x:v>
      </x:c>
      <x:c r="H747" s="25" t="n">
        <x:v>0.5156917363045497</x:v>
      </x:c>
      <x:c r="I747" s="25" t="n">
        <x:v>0.5156917363045497</x:v>
      </x:c>
      <x:c r="J747" s="25" t="str"/>
      <x:c r="K747" s="11" t="n">
        <x:v>2.65</x:v>
      </x:c>
      <x:c r="L747" s="11" t="n">
        <x:v>28</x:v>
      </x:c>
      <x:c r="M747" s="11" t="n">
        <x:v>1.1</x:v>
      </x:c>
      <x:c r="N747" s="11" t="n">
        <x:v>0</x:v>
      </x:c>
      <x:c r="O747" s="11" t="str"/>
      <x:c r="P747" s="11" t="str"/>
      <x:c r="Q747" s="11" t="str"/>
      <x:c r="R747" s="11" t="str">
        <x:v>wuxi-bio-v1</x:v>
      </x:c>
      <x:c r="S747" s="11" t="str">
        <x:v>2026-10-10</x:v>
      </x:c>
      <x:c r="T747" s="11" t="str">
        <x:f>IF(AND(SUM(IF(K747='假设'!E994,0,1),IF(L747='假设'!F994,0,1),IF(M747='假设'!G994,0,1),IF(N747='假设'!H994,0,1),IF(O747='假设'!I994,0,1),IF(P747='假设'!J994,0,1),IF(Q747='假设'!K994,0,1))=0,U747=V747),"已刷新","待刷新")</x:f>
        <x:v>已刷新</x:v>
      </x:c>
    </x:row>
    <x:row r="748" ht="23" customHeight="1">
      <x:c r="A748" s="11" t="str">
        <x:v>02269.HK</x:v>
      </x:c>
      <x:c r="B748" s="11" t="str">
        <x:v>药明生物</x:v>
      </x:c>
      <x:c r="C748" s="11" t="str">
        <x:v>一年</x:v>
      </x:c>
      <x:c r="D748" s="11" t="str">
        <x:v>悲观</x:v>
      </x:c>
      <x:c r="E748" s="11" t="n">
        <x:v>53.85</x:v>
      </x:c>
      <x:c r="F748" s="11" t="n">
        <x:v>43.56</x:v>
      </x:c>
      <x:c r="G748" s="11" t="n">
        <x:v>0</x:v>
      </x:c>
      <x:c r="H748" s="25" t="n">
        <x:v>-0.19108635097493032</x:v>
      </x:c>
      <x:c r="I748" s="25" t="n">
        <x:v>-0.19108635097493032</x:v>
      </x:c>
      <x:c r="J748" s="25" t="str"/>
      <x:c r="K748" s="11" t="n">
        <x:v>2.2</x:v>
      </x:c>
      <x:c r="L748" s="11" t="n">
        <x:v>18</x:v>
      </x:c>
      <x:c r="M748" s="11" t="n">
        <x:v>1.1</x:v>
      </x:c>
      <x:c r="N748" s="11" t="n">
        <x:v>0</x:v>
      </x:c>
      <x:c r="O748" s="11" t="str"/>
      <x:c r="P748" s="11" t="str"/>
      <x:c r="Q748" s="11" t="str"/>
      <x:c r="R748" s="11" t="str">
        <x:v>wuxi-bio-v1</x:v>
      </x:c>
      <x:c r="S748" s="11" t="str">
        <x:v>2026-10-10</x:v>
      </x:c>
      <x:c r="T748" s="11" t="str">
        <x:f>IF(AND(SUM(IF(K748='假设'!E996,0,1),IF(L748='假设'!F996,0,1),IF(M748='假设'!G996,0,1),IF(N748='假设'!H996,0,1),IF(O748='假设'!I996,0,1),IF(P748='假设'!J996,0,1),IF(Q748='假设'!K996,0,1))=0,U748=V748),"已刷新","待刷新")</x:f>
        <x:v>已刷新</x:v>
      </x:c>
    </x:row>
    <x:row r="749" ht="23" customHeight="1">
      <x:c r="A749" s="11" t="str">
        <x:v>02269.HK</x:v>
      </x:c>
      <x:c r="B749" s="11" t="str">
        <x:v>药明生物</x:v>
      </x:c>
      <x:c r="C749" s="11" t="str">
        <x:v>一年</x:v>
      </x:c>
      <x:c r="D749" s="11" t="str">
        <x:v>基准</x:v>
      </x:c>
      <x:c r="E749" s="11" t="n">
        <x:v>53.85</x:v>
      </x:c>
      <x:c r="F749" s="11" t="n">
        <x:v>72.60000000000001</x:v>
      </x:c>
      <x:c r="G749" s="11" t="n">
        <x:v>0</x:v>
      </x:c>
      <x:c r="H749" s="25" t="n">
        <x:v>0.3481894150417828</x:v>
      </x:c>
      <x:c r="I749" s="25" t="n">
        <x:v>0.3481894150417828</x:v>
      </x:c>
      <x:c r="J749" s="25" t="str"/>
      <x:c r="K749" s="11" t="n">
        <x:v>2.75</x:v>
      </x:c>
      <x:c r="L749" s="11" t="n">
        <x:v>24</x:v>
      </x:c>
      <x:c r="M749" s="11" t="n">
        <x:v>1.1</x:v>
      </x:c>
      <x:c r="N749" s="11" t="n">
        <x:v>0</x:v>
      </x:c>
      <x:c r="O749" s="11" t="str"/>
      <x:c r="P749" s="11" t="str"/>
      <x:c r="Q749" s="11" t="str"/>
      <x:c r="R749" s="11" t="str">
        <x:v>wuxi-bio-v1</x:v>
      </x:c>
      <x:c r="S749" s="11" t="str">
        <x:v>2026-10-10</x:v>
      </x:c>
      <x:c r="T749" s="11" t="str">
        <x:f>IF(AND(SUM(IF(K749='假设'!E997,0,1),IF(L749='假设'!F997,0,1),IF(M749='假设'!G997,0,1),IF(N749='假设'!H997,0,1),IF(O749='假设'!I997,0,1),IF(P749='假设'!J997,0,1),IF(Q749='假设'!K997,0,1))=0,U749=V749),"已刷新","待刷新")</x:f>
        <x:v>已刷新</x:v>
      </x:c>
    </x:row>
    <x:row r="750" ht="23" customHeight="1">
      <x:c r="A750" s="11" t="str">
        <x:v>02269.HK</x:v>
      </x:c>
      <x:c r="B750" s="11" t="str">
        <x:v>药明生物</x:v>
      </x:c>
      <x:c r="C750" s="11" t="str">
        <x:v>一年</x:v>
      </x:c>
      <x:c r="D750" s="11" t="str">
        <x:v>乐观</x:v>
      </x:c>
      <x:c r="E750" s="11" t="n">
        <x:v>53.85</x:v>
      </x:c>
      <x:c r="F750" s="11" t="n">
        <x:v>104.72000000000001</x:v>
      </x:c>
      <x:c r="G750" s="11" t="n">
        <x:v>0</x:v>
      </x:c>
      <x:c r="H750" s="25" t="n">
        <x:v>0.9446610956360262</x:v>
      </x:c>
      <x:c r="I750" s="25" t="n">
        <x:v>0.9446610956360262</x:v>
      </x:c>
      <x:c r="J750" s="25" t="str"/>
      <x:c r="K750" s="11" t="n">
        <x:v>3.4</x:v>
      </x:c>
      <x:c r="L750" s="11" t="n">
        <x:v>28</x:v>
      </x:c>
      <x:c r="M750" s="11" t="n">
        <x:v>1.1</x:v>
      </x:c>
      <x:c r="N750" s="11" t="n">
        <x:v>0</x:v>
      </x:c>
      <x:c r="O750" s="11" t="str"/>
      <x:c r="P750" s="11" t="str"/>
      <x:c r="Q750" s="11" t="str"/>
      <x:c r="R750" s="11" t="str">
        <x:v>wuxi-bio-v1</x:v>
      </x:c>
      <x:c r="S750" s="11" t="str">
        <x:v>2026-10-10</x:v>
      </x:c>
      <x:c r="T750" s="11" t="str">
        <x:f>IF(AND(SUM(IF(K750='假设'!E998,0,1),IF(L750='假设'!F998,0,1),IF(M750='假设'!G998,0,1),IF(N750='假设'!H998,0,1),IF(O750='假设'!I998,0,1),IF(P750='假设'!J998,0,1),IF(Q750='假设'!K998,0,1))=0,U750=V750),"已刷新","待刷新")</x:f>
        <x:v>已刷新</x:v>
      </x:c>
    </x:row>
    <x:row r="751" ht="23" customHeight="1">
      <x:c r="A751" s="11" t="str">
        <x:v>02269.HK</x:v>
      </x:c>
      <x:c r="B751" s="11" t="str">
        <x:v>药明生物</x:v>
      </x:c>
      <x:c r="C751" s="11" t="str">
        <x:v>三年</x:v>
      </x:c>
      <x:c r="D751" s="11" t="str">
        <x:v>悲观</x:v>
      </x:c>
      <x:c r="E751" s="11" t="n">
        <x:v>53.85</x:v>
      </x:c>
      <x:c r="F751" s="11" t="n">
        <x:v>44.88</x:v>
      </x:c>
      <x:c r="G751" s="11" t="n">
        <x:v>0</x:v>
      </x:c>
      <x:c r="H751" s="25" t="n">
        <x:v>-0.16657381615598887</x:v>
      </x:c>
      <x:c r="I751" s="25" t="n">
        <x:v>-0.16657381615598887</x:v>
      </x:c>
      <x:c r="J751" s="25" t="n">
        <x:v>-0.05892902214661222</x:v>
      </x:c>
      <x:c r="K751" s="11" t="n">
        <x:v>2.4</x:v>
      </x:c>
      <x:c r="L751" s="11" t="n">
        <x:v>17</x:v>
      </x:c>
      <x:c r="M751" s="11" t="n">
        <x:v>1.1</x:v>
      </x:c>
      <x:c r="N751" s="11" t="n">
        <x:v>0</x:v>
      </x:c>
      <x:c r="O751" s="11" t="str"/>
      <x:c r="P751" s="11" t="str"/>
      <x:c r="Q751" s="11" t="str"/>
      <x:c r="R751" s="11" t="str">
        <x:v>wuxi-bio-v1</x:v>
      </x:c>
      <x:c r="S751" s="11" t="str">
        <x:v>2026-10-10</x:v>
      </x:c>
      <x:c r="T751" s="11" t="str">
        <x:f>IF(AND(SUM(IF(K751='假设'!E1000,0,1),IF(L751='假设'!F1000,0,1),IF(M751='假设'!G1000,0,1),IF(N751='假设'!H1000,0,1),IF(O751='假设'!I1000,0,1),IF(P751='假设'!J1000,0,1),IF(Q751='假设'!K1000,0,1))=0,U751=V751),"已刷新","待刷新")</x:f>
        <x:v>已刷新</x:v>
      </x:c>
    </x:row>
    <x:row r="752" ht="23" customHeight="1">
      <x:c r="A752" s="11" t="str">
        <x:v>02269.HK</x:v>
      </x:c>
      <x:c r="B752" s="11" t="str">
        <x:v>药明生物</x:v>
      </x:c>
      <x:c r="C752" s="11" t="str">
        <x:v>三年</x:v>
      </x:c>
      <x:c r="D752" s="11" t="str">
        <x:v>基准</x:v>
      </x:c>
      <x:c r="E752" s="11" t="n">
        <x:v>53.85</x:v>
      </x:c>
      <x:c r="F752" s="11" t="n">
        <x:v>84.7</x:v>
      </x:c>
      <x:c r="G752" s="11" t="n">
        <x:v>0</x:v>
      </x:c>
      <x:c r="H752" s="25" t="n">
        <x:v>0.5728876508820799</x:v>
      </x:c>
      <x:c r="I752" s="25" t="n">
        <x:v>0.5728876508820799</x:v>
      </x:c>
      <x:c r="J752" s="25" t="n">
        <x:v>0.1629630084448852</x:v>
      </x:c>
      <x:c r="K752" s="11" t="n">
        <x:v>3.5</x:v>
      </x:c>
      <x:c r="L752" s="11" t="n">
        <x:v>22</x:v>
      </x:c>
      <x:c r="M752" s="11" t="n">
        <x:v>1.1</x:v>
      </x:c>
      <x:c r="N752" s="11" t="n">
        <x:v>0</x:v>
      </x:c>
      <x:c r="O752" s="11" t="str"/>
      <x:c r="P752" s="11" t="str"/>
      <x:c r="Q752" s="11" t="str"/>
      <x:c r="R752" s="11" t="str">
        <x:v>wuxi-bio-v1</x:v>
      </x:c>
      <x:c r="S752" s="11" t="str">
        <x:v>2026-10-10</x:v>
      </x:c>
      <x:c r="T752" s="11" t="str">
        <x:f>IF(AND(SUM(IF(K752='假设'!E1001,0,1),IF(L752='假设'!F1001,0,1),IF(M752='假设'!G1001,0,1),IF(N752='假设'!H1001,0,1),IF(O752='假设'!I1001,0,1),IF(P752='假设'!J1001,0,1),IF(Q752='假设'!K1001,0,1))=0,U752=V752),"已刷新","待刷新")</x:f>
        <x:v>已刷新</x:v>
      </x:c>
    </x:row>
    <x:row r="753" ht="23" customHeight="1">
      <x:c r="A753" s="11" t="str">
        <x:v>02269.HK</x:v>
      </x:c>
      <x:c r="B753" s="11" t="str">
        <x:v>药明生物</x:v>
      </x:c>
      <x:c r="C753" s="11" t="str">
        <x:v>三年</x:v>
      </x:c>
      <x:c r="D753" s="11" t="str">
        <x:v>乐观</x:v>
      </x:c>
      <x:c r="E753" s="11" t="n">
        <x:v>53.85</x:v>
      </x:c>
      <x:c r="F753" s="11" t="n">
        <x:v>148.5</x:v>
      </x:c>
      <x:c r="G753" s="11" t="n">
        <x:v>0</x:v>
      </x:c>
      <x:c r="H753" s="25" t="n">
        <x:v>1.7576601671309193</x:v>
      </x:c>
      <x:c r="I753" s="25" t="n">
        <x:v>1.7576601671309193</x:v>
      </x:c>
      <x:c r="J753" s="25" t="n">
        <x:v>0.402319313257838</x:v>
      </x:c>
      <x:c r="K753" s="11" t="n">
        <x:v>5</x:v>
      </x:c>
      <x:c r="L753" s="11" t="n">
        <x:v>27</x:v>
      </x:c>
      <x:c r="M753" s="11" t="n">
        <x:v>1.1</x:v>
      </x:c>
      <x:c r="N753" s="11" t="n">
        <x:v>0</x:v>
      </x:c>
      <x:c r="O753" s="11" t="str"/>
      <x:c r="P753" s="11" t="str"/>
      <x:c r="Q753" s="11" t="str"/>
      <x:c r="R753" s="11" t="str">
        <x:v>wuxi-bio-v1</x:v>
      </x:c>
      <x:c r="S753" s="11" t="str">
        <x:v>2026-10-10</x:v>
      </x:c>
      <x:c r="T753" s="11" t="str">
        <x:f>IF(AND(SUM(IF(K753='假设'!E1002,0,1),IF(L753='假设'!F1002,0,1),IF(M753='假设'!G1002,0,1),IF(N753='假设'!H1002,0,1),IF(O753='假设'!I1002,0,1),IF(P753='假设'!J1002,0,1),IF(Q753='假设'!K1002,0,1))=0,U753=V753),"已刷新","待刷新")</x:f>
        <x:v>已刷新</x:v>
      </x:c>
    </x:row>
    <x:row r="754" ht="23" customHeight="1">
      <x:c r="A754" s="11" t="str">
        <x:v>02269.HK</x:v>
      </x:c>
      <x:c r="B754" s="11" t="str">
        <x:v>药明生物</x:v>
      </x:c>
      <x:c r="C754" s="11" t="str">
        <x:v>五年</x:v>
      </x:c>
      <x:c r="D754" s="11" t="str">
        <x:v>悲观</x:v>
      </x:c>
      <x:c r="E754" s="11" t="n">
        <x:v>53.85</x:v>
      </x:c>
      <x:c r="F754" s="11" t="n">
        <x:v>42.900000000000006</x:v>
      </x:c>
      <x:c r="G754" s="11" t="n">
        <x:v>0</x:v>
      </x:c>
      <x:c r="H754" s="25" t="n">
        <x:v>-0.20334261838440104</x:v>
      </x:c>
      <x:c r="I754" s="25" t="n">
        <x:v>-0.20334261838440104</x:v>
      </x:c>
      <x:c r="J754" s="25" t="n">
        <x:v>-0.04444801960770961</x:v>
      </x:c>
      <x:c r="K754" s="11" t="n">
        <x:v>2.6</x:v>
      </x:c>
      <x:c r="L754" s="11" t="n">
        <x:v>15</x:v>
      </x:c>
      <x:c r="M754" s="11" t="n">
        <x:v>1.1</x:v>
      </x:c>
      <x:c r="N754" s="11" t="n">
        <x:v>0</x:v>
      </x:c>
      <x:c r="O754" s="11" t="str"/>
      <x:c r="P754" s="11" t="str"/>
      <x:c r="Q754" s="11" t="str"/>
      <x:c r="R754" s="11" t="str">
        <x:v>wuxi-bio-v1</x:v>
      </x:c>
      <x:c r="S754" s="11" t="str">
        <x:v>2026-10-10</x:v>
      </x:c>
      <x:c r="T754" s="11" t="str">
        <x:f>IF(AND(SUM(IF(K754='假设'!E1004,0,1),IF(L754='假设'!F1004,0,1),IF(M754='假设'!G1004,0,1),IF(N754='假设'!H1004,0,1),IF(O754='假设'!I1004,0,1),IF(P754='假设'!J1004,0,1),IF(Q754='假设'!K1004,0,1))=0,U754=V754),"已刷新","待刷新")</x:f>
        <x:v>已刷新</x:v>
      </x:c>
    </x:row>
    <x:row r="755" ht="23" customHeight="1">
      <x:c r="A755" s="11" t="str">
        <x:v>02269.HK</x:v>
      </x:c>
      <x:c r="B755" s="11" t="str">
        <x:v>药明生物</x:v>
      </x:c>
      <x:c r="C755" s="11" t="str">
        <x:v>五年</x:v>
      </x:c>
      <x:c r="D755" s="11" t="str">
        <x:v>基准</x:v>
      </x:c>
      <x:c r="E755" s="11" t="n">
        <x:v>53.85</x:v>
      </x:c>
      <x:c r="F755" s="11" t="n">
        <x:v>101.2</x:v>
      </x:c>
      <x:c r="G755" s="11" t="n">
        <x:v>0</x:v>
      </x:c>
      <x:c r="H755" s="25" t="n">
        <x:v>0.8792943361188486</x:v>
      </x:c>
      <x:c r="I755" s="25" t="n">
        <x:v>0.8792943361188486</x:v>
      </x:c>
      <x:c r="J755" s="25" t="n">
        <x:v>0.13448553001268615</x:v>
      </x:c>
      <x:c r="K755" s="11" t="n">
        <x:v>4.6</x:v>
      </x:c>
      <x:c r="L755" s="11" t="n">
        <x:v>20</x:v>
      </x:c>
      <x:c r="M755" s="11" t="n">
        <x:v>1.1</x:v>
      </x:c>
      <x:c r="N755" s="11" t="n">
        <x:v>0</x:v>
      </x:c>
      <x:c r="O755" s="11" t="str"/>
      <x:c r="P755" s="11" t="str"/>
      <x:c r="Q755" s="11" t="str"/>
      <x:c r="R755" s="11" t="str">
        <x:v>wuxi-bio-v1</x:v>
      </x:c>
      <x:c r="S755" s="11" t="str">
        <x:v>2026-10-10</x:v>
      </x:c>
      <x:c r="T755" s="11" t="str">
        <x:f>IF(AND(SUM(IF(K755='假设'!E1005,0,1),IF(L755='假设'!F1005,0,1),IF(M755='假设'!G1005,0,1),IF(N755='假设'!H1005,0,1),IF(O755='假设'!I1005,0,1),IF(P755='假设'!J1005,0,1),IF(Q755='假设'!K1005,0,1))=0,U755=V755),"已刷新","待刷新")</x:f>
        <x:v>已刷新</x:v>
      </x:c>
    </x:row>
    <x:row r="756" ht="23" customHeight="1">
      <x:c r="A756" s="11" t="str">
        <x:v>02269.HK</x:v>
      </x:c>
      <x:c r="B756" s="11" t="str">
        <x:v>药明生物</x:v>
      </x:c>
      <x:c r="C756" s="11" t="str">
        <x:v>五年</x:v>
      </x:c>
      <x:c r="D756" s="11" t="str">
        <x:v>乐观</x:v>
      </x:c>
      <x:c r="E756" s="11" t="n">
        <x:v>53.85</x:v>
      </x:c>
      <x:c r="F756" s="11" t="n">
        <x:v>200.75000000000003</x:v>
      </x:c>
      <x:c r="G756" s="11" t="n">
        <x:v>0</x:v>
      </x:c>
      <x:c r="H756" s="25" t="n">
        <x:v>2.7279480037140207</x:v>
      </x:c>
      <x:c r="I756" s="25" t="n">
        <x:v>2.7279480037140207</x:v>
      </x:c>
      <x:c r="J756" s="25" t="n">
        <x:v>0.3010499467579286</x:v>
      </x:c>
      <x:c r="K756" s="11" t="n">
        <x:v>7.3</x:v>
      </x:c>
      <x:c r="L756" s="11" t="n">
        <x:v>25</x:v>
      </x:c>
      <x:c r="M756" s="11" t="n">
        <x:v>1.1</x:v>
      </x:c>
      <x:c r="N756" s="11" t="n">
        <x:v>0</x:v>
      </x:c>
      <x:c r="O756" s="11" t="str"/>
      <x:c r="P756" s="11" t="str"/>
      <x:c r="Q756" s="11" t="str"/>
      <x:c r="R756" s="11" t="str">
        <x:v>wuxi-bio-v1</x:v>
      </x:c>
      <x:c r="S756" s="11" t="str">
        <x:v>2026-10-10</x:v>
      </x:c>
      <x:c r="T756" s="11" t="str">
        <x:f>IF(AND(SUM(IF(K756='假设'!E1006,0,1),IF(L756='假设'!F1006,0,1),IF(M756='假设'!G1006,0,1),IF(N756='假设'!H1006,0,1),IF(O756='假设'!I1006,0,1),IF(P756='假设'!J1006,0,1),IF(Q756='假设'!K1006,0,1))=0,U756=V756),"已刷新","待刷新")</x:f>
        <x:v>已刷新</x:v>
      </x:c>
    </x:row>
    <x:row r="757" ht="23" customHeight="1">
      <x:c r="A757" s="11" t="str">
        <x:v>02268.HK</x:v>
      </x:c>
      <x:c r="B757" s="11" t="str">
        <x:v>药明合联</x:v>
      </x:c>
      <x:c r="C757" s="11" t="str">
        <x:v>2026年底</x:v>
      </x:c>
      <x:c r="D757" s="11" t="str">
        <x:v>悲观</x:v>
      </x:c>
      <x:c r="E757" s="11" t="n">
        <x:v>82.1</x:v>
      </x:c>
      <x:c r="F757" s="11" t="n">
        <x:v>45.37500000000001</x:v>
      </x:c>
      <x:c r="G757" s="11" t="n">
        <x:v>0</x:v>
      </x:c>
      <x:c r="H757" s="25" t="n">
        <x:v>-0.44732034104750296</x:v>
      </x:c>
      <x:c r="I757" s="25" t="n">
        <x:v>-0.44732034104750296</x:v>
      </x:c>
      <x:c r="J757" s="25" t="str"/>
      <x:c r="K757" s="11" t="n">
        <x:v>1.65</x:v>
      </x:c>
      <x:c r="L757" s="11" t="n">
        <x:v>25</x:v>
      </x:c>
      <x:c r="M757" s="11" t="n">
        <x:v>1.1</x:v>
      </x:c>
      <x:c r="N757" s="11" t="n">
        <x:v>0</x:v>
      </x:c>
      <x:c r="O757" s="11" t="n">
        <x:v>9.5</x:v>
      </x:c>
      <x:c r="P757" s="11" t="n">
        <x:v>0.24836842105263154</x:v>
      </x:c>
      <x:c r="Q757" s="11" t="n">
        <x:v>1.43</x:v>
      </x:c>
      <x:c r="R757" s="11" t="str">
        <x:v>wuxi-xdc-v1</x:v>
      </x:c>
      <x:c r="S757" s="11" t="str">
        <x:v>2026-10-10</x:v>
      </x:c>
      <x:c r="T757" s="11" t="str">
        <x:f>IF(AND(SUM(IF(K757='假设'!E1008,0,1),IF(L757='假设'!F1008,0,1),IF(M757='假设'!G1008,0,1),IF(N757='假设'!H1008,0,1),IF(O757='假设'!I1008,0,1),IF(P757='假设'!J1008,0,1),IF(Q757='假设'!K1008,0,1))=0,U757=V757),"已刷新","待刷新")</x:f>
        <x:v>已刷新</x:v>
      </x:c>
    </x:row>
    <x:row r="758" ht="23" customHeight="1">
      <x:c r="A758" s="11" t="str">
        <x:v>02268.HK</x:v>
      </x:c>
      <x:c r="B758" s="11" t="str">
        <x:v>药明合联</x:v>
      </x:c>
      <x:c r="C758" s="11" t="str">
        <x:v>2026年底</x:v>
      </x:c>
      <x:c r="D758" s="11" t="str">
        <x:v>基准</x:v>
      </x:c>
      <x:c r="E758" s="11" t="n">
        <x:v>82.1</x:v>
      </x:c>
      <x:c r="F758" s="11" t="n">
        <x:v>82.28000000000002</x:v>
      </x:c>
      <x:c r="G758" s="11" t="n">
        <x:v>0</x:v>
      </x:c>
      <x:c r="H758" s="25" t="n">
        <x:v>0.0021924482338613327</x:v>
      </x:c>
      <x:c r="I758" s="25" t="n">
        <x:v>0.0021924482338613327</x:v>
      </x:c>
      <x:c r="J758" s="25" t="str"/>
      <x:c r="K758" s="11" t="n">
        <x:v>2.2</x:v>
      </x:c>
      <x:c r="L758" s="11" t="n">
        <x:v>34</x:v>
      </x:c>
      <x:c r="M758" s="11" t="n">
        <x:v>1.1</x:v>
      </x:c>
      <x:c r="N758" s="11" t="n">
        <x:v>0</x:v>
      </x:c>
      <x:c r="O758" s="11" t="n">
        <x:v>11.4</x:v>
      </x:c>
      <x:c r="P758" s="11" t="n">
        <x:v>0.27017543859649124</x:v>
      </x:c>
      <x:c r="Q758" s="11" t="n">
        <x:v>1.4</x:v>
      </x:c>
      <x:c r="R758" s="11" t="str">
        <x:v>wuxi-xdc-v1</x:v>
      </x:c>
      <x:c r="S758" s="11" t="str">
        <x:v>2026-10-10</x:v>
      </x:c>
      <x:c r="T758" s="11" t="str">
        <x:f>IF(AND(SUM(IF(K758='假设'!E1009,0,1),IF(L758='假设'!F1009,0,1),IF(M758='假设'!G1009,0,1),IF(N758='假设'!H1009,0,1),IF(O758='假设'!I1009,0,1),IF(P758='假设'!J1009,0,1),IF(Q758='假设'!K1009,0,1))=0,U758=V758),"已刷新","待刷新")</x:f>
        <x:v>已刷新</x:v>
      </x:c>
    </x:row>
    <x:row r="759" ht="23" customHeight="1">
      <x:c r="A759" s="11" t="str">
        <x:v>02268.HK</x:v>
      </x:c>
      <x:c r="B759" s="11" t="str">
        <x:v>药明合联</x:v>
      </x:c>
      <x:c r="C759" s="11" t="str">
        <x:v>2026年底</x:v>
      </x:c>
      <x:c r="D759" s="11" t="str">
        <x:v>乐观</x:v>
      </x:c>
      <x:c r="E759" s="11" t="n">
        <x:v>82.1</x:v>
      </x:c>
      <x:c r="F759" s="11" t="n">
        <x:v>121.00000000000001</x:v>
      </x:c>
      <x:c r="G759" s="11" t="n">
        <x:v>0</x:v>
      </x:c>
      <x:c r="H759" s="25" t="n">
        <x:v>0.47381242387332545</x:v>
      </x:c>
      <x:c r="I759" s="25" t="n">
        <x:v>0.47381242387332545</x:v>
      </x:c>
      <x:c r="J759" s="25" t="str"/>
      <x:c r="K759" s="11" t="n">
        <x:v>2.75</x:v>
      </x:c>
      <x:c r="L759" s="11" t="n">
        <x:v>40</x:v>
      </x:c>
      <x:c r="M759" s="11" t="n">
        <x:v>1.1</x:v>
      </x:c>
      <x:c r="N759" s="11" t="n">
        <x:v>0</x:v>
      </x:c>
      <x:c r="O759" s="11" t="n">
        <x:v>13.5</x:v>
      </x:c>
      <x:c r="P759" s="11" t="n">
        <x:v>0.28518518518518515</x:v>
      </x:c>
      <x:c r="Q759" s="11" t="n">
        <x:v>1.4</x:v>
      </x:c>
      <x:c r="R759" s="11" t="str">
        <x:v>wuxi-xdc-v1</x:v>
      </x:c>
      <x:c r="S759" s="11" t="str">
        <x:v>2026-10-10</x:v>
      </x:c>
      <x:c r="T759" s="11" t="str">
        <x:f>IF(AND(SUM(IF(K759='假设'!E1010,0,1),IF(L759='假设'!F1010,0,1),IF(M759='假设'!G1010,0,1),IF(N759='假设'!H1010,0,1),IF(O759='假设'!I1010,0,1),IF(P759='假设'!J1010,0,1),IF(Q759='假设'!K1010,0,1))=0,U759=V759),"已刷新","待刷新")</x:f>
        <x:v>已刷新</x:v>
      </x:c>
    </x:row>
    <x:row r="760" ht="23" customHeight="1">
      <x:c r="A760" s="11" t="str">
        <x:v>02268.HK</x:v>
      </x:c>
      <x:c r="B760" s="11" t="str">
        <x:v>药明合联</x:v>
      </x:c>
      <x:c r="C760" s="11" t="str">
        <x:v>半年</x:v>
      </x:c>
      <x:c r="D760" s="11" t="str">
        <x:v>悲观</x:v>
      </x:c>
      <x:c r="E760" s="11" t="n">
        <x:v>82.1</x:v>
      </x:c>
      <x:c r="F760" s="11" t="n">
        <x:v>49.005</x:v>
      </x:c>
      <x:c r="G760" s="11" t="n">
        <x:v>0</x:v>
      </x:c>
      <x:c r="H760" s="25" t="n">
        <x:v>-0.4031059683313032</x:v>
      </x:c>
      <x:c r="I760" s="25" t="n">
        <x:v>-0.4031059683313032</x:v>
      </x:c>
      <x:c r="J760" s="25" t="str"/>
      <x:c r="K760" s="11" t="n">
        <x:v>1.65</x:v>
      </x:c>
      <x:c r="L760" s="11" t="n">
        <x:v>27</x:v>
      </x:c>
      <x:c r="M760" s="11" t="n">
        <x:v>1.1</x:v>
      </x:c>
      <x:c r="N760" s="11" t="n">
        <x:v>0</x:v>
      </x:c>
      <x:c r="O760" s="11" t="n">
        <x:v>9.5</x:v>
      </x:c>
      <x:c r="P760" s="11" t="n">
        <x:v>0.24836842105263154</x:v>
      </x:c>
      <x:c r="Q760" s="11" t="n">
        <x:v>1.43</x:v>
      </x:c>
      <x:c r="R760" s="11" t="str">
        <x:v>wuxi-xdc-v1</x:v>
      </x:c>
      <x:c r="S760" s="11" t="str">
        <x:v>2026-10-10</x:v>
      </x:c>
      <x:c r="T760" s="11" t="str">
        <x:f>IF(AND(SUM(IF(K760='假设'!E1012,0,1),IF(L760='假设'!F1012,0,1),IF(M760='假设'!G1012,0,1),IF(N760='假设'!H1012,0,1),IF(O760='假设'!I1012,0,1),IF(P760='假设'!J1012,0,1),IF(Q760='假设'!K1012,0,1))=0,U760=V760),"已刷新","待刷新")</x:f>
        <x:v>已刷新</x:v>
      </x:c>
    </x:row>
    <x:row r="761" ht="23" customHeight="1">
      <x:c r="A761" s="11" t="str">
        <x:v>02268.HK</x:v>
      </x:c>
      <x:c r="B761" s="11" t="str">
        <x:v>药明合联</x:v>
      </x:c>
      <x:c r="C761" s="11" t="str">
        <x:v>半年</x:v>
      </x:c>
      <x:c r="D761" s="11" t="str">
        <x:v>基准</x:v>
      </x:c>
      <x:c r="E761" s="11" t="n">
        <x:v>82.1</x:v>
      </x:c>
      <x:c r="F761" s="11" t="n">
        <x:v>89.54000000000002</x:v>
      </x:c>
      <x:c r="G761" s="11" t="n">
        <x:v>0</x:v>
      </x:c>
      <x:c r="H761" s="25" t="n">
        <x:v>0.09062119366626109</x:v>
      </x:c>
      <x:c r="I761" s="25" t="n">
        <x:v>0.09062119366626109</x:v>
      </x:c>
      <x:c r="J761" s="25" t="str"/>
      <x:c r="K761" s="11" t="n">
        <x:v>2.2</x:v>
      </x:c>
      <x:c r="L761" s="11" t="n">
        <x:v>37</x:v>
      </x:c>
      <x:c r="M761" s="11" t="n">
        <x:v>1.1</x:v>
      </x:c>
      <x:c r="N761" s="11" t="n">
        <x:v>0</x:v>
      </x:c>
      <x:c r="O761" s="11" t="n">
        <x:v>11.4</x:v>
      </x:c>
      <x:c r="P761" s="11" t="n">
        <x:v>0.27017543859649124</x:v>
      </x:c>
      <x:c r="Q761" s="11" t="n">
        <x:v>1.4</x:v>
      </x:c>
      <x:c r="R761" s="11" t="str">
        <x:v>wuxi-xdc-v1</x:v>
      </x:c>
      <x:c r="S761" s="11" t="str">
        <x:v>2026-10-10</x:v>
      </x:c>
      <x:c r="T761" s="11" t="str">
        <x:f>IF(AND(SUM(IF(K761='假设'!E1013,0,1),IF(L761='假设'!F1013,0,1),IF(M761='假设'!G1013,0,1),IF(N761='假设'!H1013,0,1),IF(O761='假设'!I1013,0,1),IF(P761='假设'!J1013,0,1),IF(Q761='假设'!K1013,0,1))=0,U761=V761),"已刷新","待刷新")</x:f>
        <x:v>已刷新</x:v>
      </x:c>
    </x:row>
    <x:row r="762" ht="23" customHeight="1">
      <x:c r="A762" s="11" t="str">
        <x:v>02268.HK</x:v>
      </x:c>
      <x:c r="B762" s="11" t="str">
        <x:v>药明合联</x:v>
      </x:c>
      <x:c r="C762" s="11" t="str">
        <x:v>半年</x:v>
      </x:c>
      <x:c r="D762" s="11" t="str">
        <x:v>乐观</x:v>
      </x:c>
      <x:c r="E762" s="11" t="n">
        <x:v>82.1</x:v>
      </x:c>
      <x:c r="F762" s="11" t="n">
        <x:v>136.125</x:v>
      </x:c>
      <x:c r="G762" s="11" t="n">
        <x:v>0</x:v>
      </x:c>
      <x:c r="H762" s="25" t="n">
        <x:v>0.658038976857491</x:v>
      </x:c>
      <x:c r="I762" s="25" t="n">
        <x:v>0.658038976857491</x:v>
      </x:c>
      <x:c r="J762" s="25" t="str"/>
      <x:c r="K762" s="11" t="n">
        <x:v>2.75</x:v>
      </x:c>
      <x:c r="L762" s="11" t="n">
        <x:v>45</x:v>
      </x:c>
      <x:c r="M762" s="11" t="n">
        <x:v>1.1</x:v>
      </x:c>
      <x:c r="N762" s="11" t="n">
        <x:v>0</x:v>
      </x:c>
      <x:c r="O762" s="11" t="n">
        <x:v>13.5</x:v>
      </x:c>
      <x:c r="P762" s="11" t="n">
        <x:v>0.28518518518518515</x:v>
      </x:c>
      <x:c r="Q762" s="11" t="n">
        <x:v>1.4</x:v>
      </x:c>
      <x:c r="R762" s="11" t="str">
        <x:v>wuxi-xdc-v1</x:v>
      </x:c>
      <x:c r="S762" s="11" t="str">
        <x:v>2026-10-10</x:v>
      </x:c>
      <x:c r="T762" s="11" t="str">
        <x:f>IF(AND(SUM(IF(K762='假设'!E1014,0,1),IF(L762='假设'!F1014,0,1),IF(M762='假设'!G1014,0,1),IF(N762='假设'!H1014,0,1),IF(O762='假设'!I1014,0,1),IF(P762='假设'!J1014,0,1),IF(Q762='假设'!K1014,0,1))=0,U762=V762),"已刷新","待刷新")</x:f>
        <x:v>已刷新</x:v>
      </x:c>
    </x:row>
    <x:row r="763" ht="23" customHeight="1">
      <x:c r="A763" s="11" t="str">
        <x:v>02268.HK</x:v>
      </x:c>
      <x:c r="B763" s="11" t="str">
        <x:v>药明合联</x:v>
      </x:c>
      <x:c r="C763" s="11" t="str">
        <x:v>一年</x:v>
      </x:c>
      <x:c r="D763" s="11" t="str">
        <x:v>悲观</x:v>
      </x:c>
      <x:c r="E763" s="11" t="n">
        <x:v>82.1</x:v>
      </x:c>
      <x:c r="F763" s="11" t="n">
        <x:v>55.44000000000002</x:v>
      </x:c>
      <x:c r="G763" s="11" t="n">
        <x:v>0</x:v>
      </x:c>
      <x:c r="H763" s="25" t="n">
        <x:v>-0.32472594397076704</x:v>
      </x:c>
      <x:c r="I763" s="25" t="n">
        <x:v>-0.32472594397076704</x:v>
      </x:c>
      <x:c r="J763" s="25" t="str"/>
      <x:c r="K763" s="11" t="n">
        <x:v>2.1</x:v>
      </x:c>
      <x:c r="L763" s="11" t="n">
        <x:v>24</x:v>
      </x:c>
      <x:c r="M763" s="11" t="n">
        <x:v>1.1</x:v>
      </x:c>
      <x:c r="N763" s="11" t="n">
        <x:v>0</x:v>
      </x:c>
      <x:c r="O763" s="11" t="n">
        <x:v>11.5</x:v>
      </x:c>
      <x:c r="P763" s="11" t="n">
        <x:v>0.2684347826086957</x:v>
      </x:c>
      <x:c r="Q763" s="11" t="n">
        <x:v>1.47</x:v>
      </x:c>
      <x:c r="R763" s="11" t="str">
        <x:v>wuxi-xdc-v1</x:v>
      </x:c>
      <x:c r="S763" s="11" t="str">
        <x:v>2026-10-10</x:v>
      </x:c>
      <x:c r="T763" s="11" t="str">
        <x:f>IF(AND(SUM(IF(K763='假设'!E1016,0,1),IF(L763='假设'!F1016,0,1),IF(M763='假设'!G1016,0,1),IF(N763='假设'!H1016,0,1),IF(O763='假设'!I1016,0,1),IF(P763='假设'!J1016,0,1),IF(Q763='假设'!K1016,0,1))=0,U763=V763),"已刷新","待刷新")</x:f>
        <x:v>已刷新</x:v>
      </x:c>
    </x:row>
    <x:row r="764" ht="23" customHeight="1">
      <x:c r="A764" s="11" t="str">
        <x:v>02268.HK</x:v>
      </x:c>
      <x:c r="B764" s="11" t="str">
        <x:v>药明合联</x:v>
      </x:c>
      <x:c r="C764" s="11" t="str">
        <x:v>一年</x:v>
      </x:c>
      <x:c r="D764" s="11" t="str">
        <x:v>基准</x:v>
      </x:c>
      <x:c r="E764" s="11" t="n">
        <x:v>82.1</x:v>
      </x:c>
      <x:c r="F764" s="11" t="n">
        <x:v>110.33000000000001</x:v>
      </x:c>
      <x:c r="G764" s="11" t="n">
        <x:v>0</x:v>
      </x:c>
      <x:c r="H764" s="25" t="n">
        <x:v>0.34384896467722315</x:v>
      </x:c>
      <x:c r="I764" s="25" t="n">
        <x:v>0.34384896467722315</x:v>
      </x:c>
      <x:c r="J764" s="25" t="str"/>
      <x:c r="K764" s="11" t="n">
        <x:v>2.95</x:v>
      </x:c>
      <x:c r="L764" s="11" t="n">
        <x:v>34</x:v>
      </x:c>
      <x:c r="M764" s="11" t="n">
        <x:v>1.1</x:v>
      </x:c>
      <x:c r="N764" s="11" t="n">
        <x:v>0</x:v>
      </x:c>
      <x:c r="O764" s="11" t="n">
        <x:v>14.8</x:v>
      </x:c>
      <x:c r="P764" s="11" t="n">
        <x:v>0.28503378378378375</x:v>
      </x:c>
      <x:c r="Q764" s="11" t="n">
        <x:v>1.43</x:v>
      </x:c>
      <x:c r="R764" s="11" t="str">
        <x:v>wuxi-xdc-v1</x:v>
      </x:c>
      <x:c r="S764" s="11" t="str">
        <x:v>2026-10-10</x:v>
      </x:c>
      <x:c r="T764" s="11" t="str">
        <x:f>IF(AND(SUM(IF(K764='假设'!E1017,0,1),IF(L764='假设'!F1017,0,1),IF(M764='假设'!G1017,0,1),IF(N764='假设'!H1017,0,1),IF(O764='假设'!I1017,0,1),IF(P764='假设'!J1017,0,1),IF(Q764='假设'!K1017,0,1))=0,U764=V764),"已刷新","待刷新")</x:f>
        <x:v>已刷新</x:v>
      </x:c>
    </x:row>
    <x:row r="765" ht="23" customHeight="1">
      <x:c r="A765" s="11" t="str">
        <x:v>02268.HK</x:v>
      </x:c>
      <x:c r="B765" s="11" t="str">
        <x:v>药明合联</x:v>
      </x:c>
      <x:c r="C765" s="11" t="str">
        <x:v>一年</x:v>
      </x:c>
      <x:c r="D765" s="11" t="str">
        <x:v>乐观</x:v>
      </x:c>
      <x:c r="E765" s="11" t="n">
        <x:v>82.1</x:v>
      </x:c>
      <x:c r="F765" s="11" t="n">
        <x:v>177.87000000000003</x:v>
      </x:c>
      <x:c r="G765" s="11" t="n">
        <x:v>0</x:v>
      </x:c>
      <x:c r="H765" s="25" t="n">
        <x:v>1.1665042630937887</x:v>
      </x:c>
      <x:c r="I765" s="25" t="n">
        <x:v>1.1665042630937887</x:v>
      </x:c>
      <x:c r="J765" s="25" t="str"/>
      <x:c r="K765" s="11" t="n">
        <x:v>3.85</x:v>
      </x:c>
      <x:c r="L765" s="11" t="n">
        <x:v>42</x:v>
      </x:c>
      <x:c r="M765" s="11" t="n">
        <x:v>1.1</x:v>
      </x:c>
      <x:c r="N765" s="11" t="n">
        <x:v>0</x:v>
      </x:c>
      <x:c r="O765" s="11" t="n">
        <x:v>18</x:v>
      </x:c>
      <x:c r="P765" s="11" t="n">
        <x:v>0.3058611111111111</x:v>
      </x:c>
      <x:c r="Q765" s="11" t="n">
        <x:v>1.43</x:v>
      </x:c>
      <x:c r="R765" s="11" t="str">
        <x:v>wuxi-xdc-v1</x:v>
      </x:c>
      <x:c r="S765" s="11" t="str">
        <x:v>2026-10-10</x:v>
      </x:c>
      <x:c r="T765" s="11" t="str">
        <x:f>IF(AND(SUM(IF(K765='假设'!E1018,0,1),IF(L765='假设'!F1018,0,1),IF(M765='假设'!G1018,0,1),IF(N765='假设'!H1018,0,1),IF(O765='假设'!I1018,0,1),IF(P765='假设'!J1018,0,1),IF(Q765='假设'!K1018,0,1))=0,U765=V765),"已刷新","待刷新")</x:f>
        <x:v>已刷新</x:v>
      </x:c>
    </x:row>
    <x:row r="766" ht="23" customHeight="1">
      <x:c r="A766" s="11" t="str">
        <x:v>02268.HK</x:v>
      </x:c>
      <x:c r="B766" s="11" t="str">
        <x:v>药明合联</x:v>
      </x:c>
      <x:c r="C766" s="11" t="str">
        <x:v>三年</x:v>
      </x:c>
      <x:c r="D766" s="11" t="str">
        <x:v>悲观</x:v>
      </x:c>
      <x:c r="E766" s="11" t="n">
        <x:v>82.1</x:v>
      </x:c>
      <x:c r="F766" s="11" t="n">
        <x:v>65.34000000000002</x:v>
      </x:c>
      <x:c r="G766" s="11" t="n">
        <x:v>0</x:v>
      </x:c>
      <x:c r="H766" s="25" t="n">
        <x:v>-0.20414129110840407</x:v>
      </x:c>
      <x:c r="I766" s="25" t="n">
        <x:v>-0.20414129110840407</x:v>
      </x:c>
      <x:c r="J766" s="25" t="n">
        <x:v>-0.07328685284997749</x:v>
      </x:c>
      <x:c r="K766" s="11" t="n">
        <x:v>2.7</x:v>
      </x:c>
      <x:c r="L766" s="11" t="n">
        <x:v>22</x:v>
      </x:c>
      <x:c r="M766" s="11" t="n">
        <x:v>1.1</x:v>
      </x:c>
      <x:c r="N766" s="11" t="n">
        <x:v>0</x:v>
      </x:c>
      <x:c r="O766" s="11" t="n">
        <x:v>14.5</x:v>
      </x:c>
      <x:c r="P766" s="11" t="n">
        <x:v>0.2811724137931034</x:v>
      </x:c>
      <x:c r="Q766" s="11" t="n">
        <x:v>1.51</x:v>
      </x:c>
      <x:c r="R766" s="11" t="str">
        <x:v>wuxi-xdc-v1</x:v>
      </x:c>
      <x:c r="S766" s="11" t="str">
        <x:v>2026-10-10</x:v>
      </x:c>
      <x:c r="T766" s="11" t="str">
        <x:f>IF(AND(SUM(IF(K766='假设'!E1020,0,1),IF(L766='假设'!F1020,0,1),IF(M766='假设'!G1020,0,1),IF(N766='假设'!H1020,0,1),IF(O766='假设'!I1020,0,1),IF(P766='假设'!J1020,0,1),IF(Q766='假设'!K1020,0,1))=0,U766=V766),"已刷新","待刷新")</x:f>
        <x:v>已刷新</x:v>
      </x:c>
    </x:row>
    <x:row r="767" ht="23" customHeight="1">
      <x:c r="A767" s="11" t="str">
        <x:v>02268.HK</x:v>
      </x:c>
      <x:c r="B767" s="11" t="str">
        <x:v>药明合联</x:v>
      </x:c>
      <x:c r="C767" s="11" t="str">
        <x:v>三年</x:v>
      </x:c>
      <x:c r="D767" s="11" t="str">
        <x:v>基准</x:v>
      </x:c>
      <x:c r="E767" s="11" t="n">
        <x:v>82.1</x:v>
      </x:c>
      <x:c r="F767" s="11" t="n">
        <x:v>135.30000000000004</x:v>
      </x:c>
      <x:c r="G767" s="11" t="n">
        <x:v>0</x:v>
      </x:c>
      <x:c r="H767" s="25" t="n">
        <x:v>0.6479902557856279</x:v>
      </x:c>
      <x:c r="I767" s="25" t="n">
        <x:v>0.6479902557856279</x:v>
      </x:c>
      <x:c r="J767" s="25" t="n">
        <x:v>0.181185788696397</x:v>
      </x:c>
      <x:c r="K767" s="11" t="n">
        <x:v>4.1</x:v>
      </x:c>
      <x:c r="L767" s="11" t="n">
        <x:v>30</x:v>
      </x:c>
      <x:c r="M767" s="11" t="n">
        <x:v>1.1</x:v>
      </x:c>
      <x:c r="N767" s="11" t="n">
        <x:v>0</x:v>
      </x:c>
      <x:c r="O767" s="11" t="n">
        <x:v>19.5</x:v>
      </x:c>
      <x:c r="P767" s="11" t="n">
        <x:v>0.306974358974359</x:v>
      </x:c>
      <x:c r="Q767" s="11" t="n">
        <x:v>1.46</x:v>
      </x:c>
      <x:c r="R767" s="11" t="str">
        <x:v>wuxi-xdc-v1</x:v>
      </x:c>
      <x:c r="S767" s="11" t="str">
        <x:v>2026-10-10</x:v>
      </x:c>
      <x:c r="T767" s="11" t="str">
        <x:f>IF(AND(SUM(IF(K767='假设'!E1021,0,1),IF(L767='假设'!F1021,0,1),IF(M767='假设'!G1021,0,1),IF(N767='假设'!H1021,0,1),IF(O767='假设'!I1021,0,1),IF(P767='假设'!J1021,0,1),IF(Q767='假设'!K1021,0,1))=0,U767=V767),"已刷新","待刷新")</x:f>
        <x:v>已刷新</x:v>
      </x:c>
    </x:row>
    <x:row r="768" ht="23" customHeight="1">
      <x:c r="A768" s="11" t="str">
        <x:v>02268.HK</x:v>
      </x:c>
      <x:c r="B768" s="11" t="str">
        <x:v>药明合联</x:v>
      </x:c>
      <x:c r="C768" s="11" t="str">
        <x:v>三年</x:v>
      </x:c>
      <x:c r="D768" s="11" t="str">
        <x:v>乐观</x:v>
      </x:c>
      <x:c r="E768" s="11" t="n">
        <x:v>82.1</x:v>
      </x:c>
      <x:c r="F768" s="11" t="n">
        <x:v>250.8</x:v>
      </x:c>
      <x:c r="G768" s="11" t="n">
        <x:v>0</x:v>
      </x:c>
      <x:c r="H768" s="25" t="n">
        <x:v>2.054811205846529</x:v>
      </x:c>
      <x:c r="I768" s="25" t="n">
        <x:v>2.054811205846529</x:v>
      </x:c>
      <x:c r="J768" s="25" t="n">
        <x:v>0.45098010721377313</x:v>
      </x:c>
      <x:c r="K768" s="11" t="n">
        <x:v>6</x:v>
      </x:c>
      <x:c r="L768" s="11" t="n">
        <x:v>38</x:v>
      </x:c>
      <x:c r="M768" s="11" t="n">
        <x:v>1.1</x:v>
      </x:c>
      <x:c r="N768" s="11" t="n">
        <x:v>0</x:v>
      </x:c>
      <x:c r="O768" s="11" t="n">
        <x:v>26</x:v>
      </x:c>
      <x:c r="P768" s="11" t="n">
        <x:v>0.33692307692307694</x:v>
      </x:c>
      <x:c r="Q768" s="11" t="n">
        <x:v>1.46</x:v>
      </x:c>
      <x:c r="R768" s="11" t="str">
        <x:v>wuxi-xdc-v1</x:v>
      </x:c>
      <x:c r="S768" s="11" t="str">
        <x:v>2026-10-10</x:v>
      </x:c>
      <x:c r="T768" s="11" t="str">
        <x:f>IF(AND(SUM(IF(K768='假设'!E1022,0,1),IF(L768='假设'!F1022,0,1),IF(M768='假设'!G1022,0,1),IF(N768='假设'!H1022,0,1),IF(O768='假设'!I1022,0,1),IF(P768='假设'!J1022,0,1),IF(Q768='假设'!K1022,0,1))=0,U768=V768),"已刷新","待刷新")</x:f>
        <x:v>已刷新</x:v>
      </x:c>
    </x:row>
    <x:row r="769" ht="23" customHeight="1">
      <x:c r="A769" s="11" t="str">
        <x:v>02268.HK</x:v>
      </x:c>
      <x:c r="B769" s="11" t="str">
        <x:v>药明合联</x:v>
      </x:c>
      <x:c r="C769" s="11" t="str">
        <x:v>五年</x:v>
      </x:c>
      <x:c r="D769" s="11" t="str">
        <x:v>悲观</x:v>
      </x:c>
      <x:c r="E769" s="11" t="n">
        <x:v>82.1</x:v>
      </x:c>
      <x:c r="F769" s="11" t="n">
        <x:v>70.40000000000002</x:v>
      </x:c>
      <x:c r="G769" s="11" t="n">
        <x:v>0</x:v>
      </x:c>
      <x:c r="H769" s="25" t="n">
        <x:v>-0.14250913520097408</x:v>
      </x:c>
      <x:c r="I769" s="25" t="n">
        <x:v>-0.14250913520097408</x:v>
      </x:c>
      <x:c r="J769" s="25" t="n">
        <x:v>-0.030281010166588684</x:v>
      </x:c>
      <x:c r="K769" s="11" t="n">
        <x:v>3.2</x:v>
      </x:c>
      <x:c r="L769" s="11" t="n">
        <x:v>20</x:v>
      </x:c>
      <x:c r="M769" s="11" t="n">
        <x:v>1.1</x:v>
      </x:c>
      <x:c r="N769" s="11" t="n">
        <x:v>0</x:v>
      </x:c>
      <x:c r="O769" s="11" t="n">
        <x:v>18</x:v>
      </x:c>
      <x:c r="P769" s="11" t="n">
        <x:v>0.2844444444444445</x:v>
      </x:c>
      <x:c r="Q769" s="11" t="n">
        <x:v>1.6</x:v>
      </x:c>
      <x:c r="R769" s="11" t="str">
        <x:v>wuxi-xdc-v1</x:v>
      </x:c>
      <x:c r="S769" s="11" t="str">
        <x:v>2026-10-10</x:v>
      </x:c>
      <x:c r="T769" s="11" t="str">
        <x:f>IF(AND(SUM(IF(K769='假设'!E1024,0,1),IF(L769='假设'!F1024,0,1),IF(M769='假设'!G1024,0,1),IF(N769='假设'!H1024,0,1),IF(O769='假设'!I1024,0,1),IF(P769='假设'!J1024,0,1),IF(Q769='假设'!K1024,0,1))=0,U769=V769),"已刷新","待刷新")</x:f>
        <x:v>已刷新</x:v>
      </x:c>
    </x:row>
    <x:row r="770" ht="23" customHeight="1">
      <x:c r="A770" s="11" t="str">
        <x:v>02268.HK</x:v>
      </x:c>
      <x:c r="B770" s="11" t="str">
        <x:v>药明合联</x:v>
      </x:c>
      <x:c r="C770" s="11" t="str">
        <x:v>五年</x:v>
      </x:c>
      <x:c r="D770" s="11" t="str">
        <x:v>基准</x:v>
      </x:c>
      <x:c r="E770" s="11" t="n">
        <x:v>82.1</x:v>
      </x:c>
      <x:c r="F770" s="11" t="n">
        <x:v>184.14000000000001</x:v>
      </x:c>
      <x:c r="G770" s="11" t="n">
        <x:v>0</x:v>
      </x:c>
      <x:c r="H770" s="25" t="n">
        <x:v>1.2428745432399517</x:v>
      </x:c>
      <x:c r="I770" s="25" t="n">
        <x:v>1.2428745432399517</x:v>
      </x:c>
      <x:c r="J770" s="25" t="n">
        <x:v>0.17533317933258386</x:v>
      </x:c>
      <x:c r="K770" s="11" t="n">
        <x:v>6.2</x:v>
      </x:c>
      <x:c r="L770" s="11" t="n">
        <x:v>27</x:v>
      </x:c>
      <x:c r="M770" s="11" t="n">
        <x:v>1.1</x:v>
      </x:c>
      <x:c r="N770" s="11" t="n">
        <x:v>0</x:v>
      </x:c>
      <x:c r="O770" s="11" t="n">
        <x:v>31</x:v>
      </x:c>
      <x:c r="P770" s="11" t="n">
        <x:v>0.306</x:v>
      </x:c>
      <x:c r="Q770" s="11" t="n">
        <x:v>1.53</x:v>
      </x:c>
      <x:c r="R770" s="11" t="str">
        <x:v>wuxi-xdc-v1</x:v>
      </x:c>
      <x:c r="S770" s="11" t="str">
        <x:v>2026-10-10</x:v>
      </x:c>
      <x:c r="T770" s="11" t="str">
        <x:f>IF(AND(SUM(IF(K770='假设'!E1025,0,1),IF(L770='假设'!F1025,0,1),IF(M770='假设'!G1025,0,1),IF(N770='假设'!H1025,0,1),IF(O770='假设'!I1025,0,1),IF(P770='假设'!J1025,0,1),IF(Q770='假设'!K1025,0,1))=0,U770=V770),"已刷新","待刷新")</x:f>
        <x:v>已刷新</x:v>
      </x:c>
    </x:row>
    <x:row r="771" ht="23" customHeight="1">
      <x:c r="A771" s="11" t="str">
        <x:v>02268.HK</x:v>
      </x:c>
      <x:c r="B771" s="11" t="str">
        <x:v>药明合联</x:v>
      </x:c>
      <x:c r="C771" s="11" t="str">
        <x:v>五年</x:v>
      </x:c>
      <x:c r="D771" s="11" t="str">
        <x:v>乐观</x:v>
      </x:c>
      <x:c r="E771" s="11" t="n">
        <x:v>82.1</x:v>
      </x:c>
      <x:c r="F771" s="11" t="n">
        <x:v>373.45000000000005</x:v>
      </x:c>
      <x:c r="G771" s="11" t="n">
        <x:v>0</x:v>
      </x:c>
      <x:c r="H771" s="25" t="n">
        <x:v>3.548721071863582</x:v>
      </x:c>
      <x:c r="I771" s="25" t="n">
        <x:v>3.548721071863582</x:v>
      </x:c>
      <x:c r="J771" s="25" t="n">
        <x:v>0.3538727943975011</x:v>
      </x:c>
      <x:c r="K771" s="11" t="n">
        <x:v>9.7</x:v>
      </x:c>
      <x:c r="L771" s="11" t="n">
        <x:v>35</x:v>
      </x:c>
      <x:c r="M771" s="11" t="n">
        <x:v>1.1</x:v>
      </x:c>
      <x:c r="N771" s="11" t="n">
        <x:v>0</x:v>
      </x:c>
      <x:c r="O771" s="11" t="n">
        <x:v>45</x:v>
      </x:c>
      <x:c r="P771" s="11" t="n">
        <x:v>0.3298</x:v>
      </x:c>
      <x:c r="Q771" s="11" t="n">
        <x:v>1.53</x:v>
      </x:c>
      <x:c r="R771" s="11" t="str">
        <x:v>wuxi-xdc-v1</x:v>
      </x:c>
      <x:c r="S771" s="11" t="str">
        <x:v>2026-10-10</x:v>
      </x:c>
      <x:c r="T771" s="11" t="str">
        <x:f>IF(AND(SUM(IF(K771='假设'!E1026,0,1),IF(L771='假设'!F1026,0,1),IF(M771='假设'!G1026,0,1),IF(N771='假设'!H1026,0,1),IF(O771='假设'!I1026,0,1),IF(P771='假设'!J1026,0,1),IF(Q771='假设'!K1026,0,1))=0,U771=V771),"已刷新","待刷新")</x:f>
        <x:v>已刷新</x:v>
      </x:c>
    </x:row>
    <x:row r="772" ht="23" customHeight="1">
      <x:c r="A772" s="11" t="str">
        <x:v>01810.HK</x:v>
      </x:c>
      <x:c r="B772" s="11" t="str">
        <x:v>小米集团-W</x:v>
      </x:c>
      <x:c r="C772" s="11" t="str">
        <x:v>2026年底</x:v>
      </x:c>
      <x:c r="D772" s="11" t="str">
        <x:v>悲观</x:v>
      </x:c>
      <x:c r="E772" s="11" t="n">
        <x:v>25.96</x:v>
      </x:c>
      <x:c r="F772" s="11" t="n">
        <x:v>7.21</x:v>
      </x:c>
      <x:c r="G772" s="11" t="n">
        <x:v>0</x:v>
      </x:c>
      <x:c r="H772" s="25" t="n">
        <x:v>-0.7222650231124808</x:v>
      </x:c>
      <x:c r="I772" s="25" t="n">
        <x:v>-0.7222650231124808</x:v>
      </x:c>
      <x:c r="J772" s="25" t="str"/>
      <x:c r="K772" s="11" t="n">
        <x:v>0.364</x:v>
      </x:c>
      <x:c r="L772" s="11" t="n">
        <x:v>18</x:v>
      </x:c>
      <x:c r="M772" s="11" t="n">
        <x:v>1.1</x:v>
      </x:c>
      <x:c r="N772" s="11" t="n">
        <x:v>0</x:v>
      </x:c>
      <x:c r="O772" s="11" t="str"/>
      <x:c r="P772" s="11" t="str"/>
      <x:c r="Q772" s="11" t="str"/>
      <x:c r="R772" s="11" t="str">
        <x:v>xiaomi-normalized-two-segment-v1.0</x:v>
      </x:c>
      <x:c r="S772" s="11" t="str">
        <x:v>2026-10-10</x:v>
      </x:c>
      <x:c r="T772" s="11" t="str">
        <x:f>IF(AND(SUM(IF(K772='假设'!E1028,0,1),IF(L772='假设'!F1028,0,1),IF(M772='假设'!G1028,0,1),IF(N772='假设'!H1028,0,1),IF(O772='假设'!I1028,0,1),IF(P772='假设'!J1028,0,1),IF(Q772='假设'!K1028,0,1))=0,U772=V772),"已刷新","待刷新")</x:f>
        <x:v>已刷新</x:v>
      </x:c>
      <x:c r="U772" t="str">
        <x:v>22|-12|0|0|0.2|2|27.5|||0</x:v>
      </x:c>
      <x:c r="V772" t="str">
        <x:f>'经营假设'!D108&amp;"|"&amp;'经营假设'!E108&amp;"|"&amp;'经营假设'!F108&amp;"|"&amp;'经营假设'!G108&amp;"|"&amp;'经营假设'!H108&amp;"|"&amp;'经营假设'!I108&amp;"|"&amp;'经营假设'!J108&amp;"|"&amp;'经营假设'!K108&amp;"|"&amp;'经营假设'!L108&amp;"|"&amp;'经营假设'!M108</x:f>
        <x:v>22|-12|0|0|0.2|2|27.5|||0</x:v>
      </x:c>
    </x:row>
    <x:row r="773" ht="23" customHeight="1">
      <x:c r="A773" s="11" t="str">
        <x:v>01810.HK</x:v>
      </x:c>
      <x:c r="B773" s="11" t="str">
        <x:v>小米集团-W</x:v>
      </x:c>
      <x:c r="C773" s="11" t="str">
        <x:v>2026年底</x:v>
      </x:c>
      <x:c r="D773" s="11" t="str">
        <x:v>基准</x:v>
      </x:c>
      <x:c r="E773" s="11" t="n">
        <x:v>25.96</x:v>
      </x:c>
      <x:c r="F773" s="11" t="n">
        <x:v>27.4</x:v>
      </x:c>
      <x:c r="G773" s="11" t="n">
        <x:v>0</x:v>
      </x:c>
      <x:c r="H773" s="25" t="n">
        <x:v>0.055469953775038494</x:v>
      </x:c>
      <x:c r="I773" s="25" t="n">
        <x:v>0.055469953775038494</x:v>
      </x:c>
      <x:c r="J773" s="25" t="str"/>
      <x:c r="K773" s="11" t="n">
        <x:v>0.958</x:v>
      </x:c>
      <x:c r="L773" s="11" t="n">
        <x:v>26</x:v>
      </x:c>
      <x:c r="M773" s="11" t="n">
        <x:v>1.1</x:v>
      </x:c>
      <x:c r="N773" s="11" t="n">
        <x:v>0</x:v>
      </x:c>
      <x:c r="O773" s="11" t="str"/>
      <x:c r="P773" s="11" t="str"/>
      <x:c r="Q773" s="11" t="str"/>
      <x:c r="R773" s="11" t="str">
        <x:v>xiaomi-normalized-two-segment-v1.0</x:v>
      </x:c>
      <x:c r="S773" s="11" t="str">
        <x:v>2026-10-10</x:v>
      </x:c>
      <x:c r="T773" s="11" t="str">
        <x:f>IF(AND(SUM(IF(K773='假设'!E1029,0,1),IF(L773='假设'!F1029,0,1),IF(M773='假设'!G1029,0,1),IF(N773='假设'!H1029,0,1),IF(O773='假设'!I1029,0,1),IF(P773='假设'!J1029,0,1),IF(Q773='假设'!K1029,0,1))=0,U773=V773),"已刷新","待刷新")</x:f>
        <x:v>已刷新</x:v>
      </x:c>
      <x:c r="U773" t="str">
        <x:v>34|-6|0|0|0.2|3|26.5|||0</x:v>
      </x:c>
      <x:c r="V773" t="str">
        <x:f>'经营假设'!D109&amp;"|"&amp;'经营假设'!E109&amp;"|"&amp;'经营假设'!F109&amp;"|"&amp;'经营假设'!G109&amp;"|"&amp;'经营假设'!H109&amp;"|"&amp;'经营假设'!I109&amp;"|"&amp;'经营假设'!J109&amp;"|"&amp;'经营假设'!K109&amp;"|"&amp;'经营假设'!L109&amp;"|"&amp;'经营假设'!M109</x:f>
        <x:v>34|-6|0|0|0.2|3|26.5|||0</x:v>
      </x:c>
    </x:row>
    <x:row r="774" ht="23" customHeight="1">
      <x:c r="A774" s="11" t="str">
        <x:v>01810.HK</x:v>
      </x:c>
      <x:c r="B774" s="11" t="str">
        <x:v>小米集团-W</x:v>
      </x:c>
      <x:c r="C774" s="11" t="str">
        <x:v>2026年底</x:v>
      </x:c>
      <x:c r="D774" s="11" t="str">
        <x:v>乐观</x:v>
      </x:c>
      <x:c r="E774" s="11" t="n">
        <x:v>25.96</x:v>
      </x:c>
      <x:c r="F774" s="11" t="n">
        <x:v>57.41</x:v>
      </x:c>
      <x:c r="G774" s="11" t="n">
        <x:v>0</x:v>
      </x:c>
      <x:c r="H774" s="25" t="n">
        <x:v>1.2114791987673343</x:v>
      </x:c>
      <x:c r="I774" s="25" t="n">
        <x:v>1.2114791987673343</x:v>
      </x:c>
      <x:c r="J774" s="25" t="str"/>
      <x:c r="K774" s="11" t="n">
        <x:v>1.631</x:v>
      </x:c>
      <x:c r="L774" s="11" t="n">
        <x:v>32</x:v>
      </x:c>
      <x:c r="M774" s="11" t="n">
        <x:v>1.1</x:v>
      </x:c>
      <x:c r="N774" s="11" t="n">
        <x:v>0</x:v>
      </x:c>
      <x:c r="O774" s="11" t="str"/>
      <x:c r="P774" s="11" t="str"/>
      <x:c r="Q774" s="11" t="str"/>
      <x:c r="R774" s="11" t="str">
        <x:v>xiaomi-normalized-two-segment-v1.0</x:v>
      </x:c>
      <x:c r="S774" s="11" t="str">
        <x:v>2026-10-10</x:v>
      </x:c>
      <x:c r="T774" s="11" t="str">
        <x:f>IF(AND(SUM(IF(K774='假设'!E1030,0,1),IF(L774='假设'!F1030,0,1),IF(M774='假设'!G1030,0,1),IF(N774='假设'!H1030,0,1),IF(O774='假设'!I1030,0,1),IF(P774='假设'!J1030,0,1),IF(Q774='假设'!K1030,0,1))=0,U774=V774),"已刷新","待刷新")</x:f>
        <x:v>已刷新</x:v>
      </x:c>
      <x:c r="U774" t="str">
        <x:v>44|4|0|0|0.2|4|26|||0</x:v>
      </x:c>
      <x:c r="V774" t="str">
        <x:f>'经营假设'!D110&amp;"|"&amp;'经营假设'!E110&amp;"|"&amp;'经营假设'!F110&amp;"|"&amp;'经营假设'!G110&amp;"|"&amp;'经营假设'!H110&amp;"|"&amp;'经营假设'!I110&amp;"|"&amp;'经营假设'!J110&amp;"|"&amp;'经营假设'!K110&amp;"|"&amp;'经营假设'!L110&amp;"|"&amp;'经营假设'!M110</x:f>
        <x:v>44|4|0|0|0.2|4|26|||0</x:v>
      </x:c>
    </x:row>
    <x:row r="775" ht="23" customHeight="1">
      <x:c r="A775" s="11" t="str">
        <x:v>01810.HK</x:v>
      </x:c>
      <x:c r="B775" s="11" t="str">
        <x:v>小米集团-W</x:v>
      </x:c>
      <x:c r="C775" s="11" t="str">
        <x:v>半年</x:v>
      </x:c>
      <x:c r="D775" s="11" t="str">
        <x:v>悲观</x:v>
      </x:c>
      <x:c r="E775" s="11" t="n">
        <x:v>25.96</x:v>
      </x:c>
      <x:c r="F775" s="11" t="n">
        <x:v>7.78</x:v>
      </x:c>
      <x:c r="G775" s="11" t="n">
        <x:v>0</x:v>
      </x:c>
      <x:c r="H775" s="25" t="n">
        <x:v>-0.7003081664098614</x:v>
      </x:c>
      <x:c r="I775" s="25" t="n">
        <x:v>-0.7003081664098614</x:v>
      </x:c>
      <x:c r="J775" s="25" t="str"/>
      <x:c r="K775" s="11" t="n">
        <x:v>0.393</x:v>
      </x:c>
      <x:c r="L775" s="11" t="n">
        <x:v>18</x:v>
      </x:c>
      <x:c r="M775" s="11" t="n">
        <x:v>1.1</x:v>
      </x:c>
      <x:c r="N775" s="11" t="n">
        <x:v>0</x:v>
      </x:c>
      <x:c r="O775" s="11" t="str"/>
      <x:c r="P775" s="11" t="str"/>
      <x:c r="Q775" s="11" t="str"/>
      <x:c r="R775" s="11" t="str">
        <x:v>xiaomi-normalized-two-segment-v1.0</x:v>
      </x:c>
      <x:c r="S775" s="11" t="str">
        <x:v>2026-10-10</x:v>
      </x:c>
      <x:c r="T775" s="11" t="str">
        <x:f>IF(AND(SUM(IF(K775='假设'!E1032,0,1),IF(L775='假设'!F1032,0,1),IF(M775='假设'!G1032,0,1),IF(N775='假设'!H1032,0,1),IF(O775='假设'!I1032,0,1),IF(P775='假设'!J1032,0,1),IF(Q775='假设'!K1032,0,1))=0,U775=V775),"已刷新","待刷新")</x:f>
        <x:v>已刷新</x:v>
      </x:c>
      <x:c r="U775" t="str">
        <x:v>23|-12|0|0|0.2|2|27.5|||0</x:v>
      </x:c>
      <x:c r="V775" t="str">
        <x:f>'经营假设'!D112&amp;"|"&amp;'经营假设'!E112&amp;"|"&amp;'经营假设'!F112&amp;"|"&amp;'经营假设'!G112&amp;"|"&amp;'经营假设'!H112&amp;"|"&amp;'经营假设'!I112&amp;"|"&amp;'经营假设'!J112&amp;"|"&amp;'经营假设'!K112&amp;"|"&amp;'经营假设'!L112&amp;"|"&amp;'经营假设'!M112</x:f>
        <x:v>23|-12|0|0|0.2|2|27.5|||0</x:v>
      </x:c>
    </x:row>
    <x:row r="776" ht="23" customHeight="1">
      <x:c r="A776" s="11" t="str">
        <x:v>01810.HK</x:v>
      </x:c>
      <x:c r="B776" s="11" t="str">
        <x:v>小米集团-W</x:v>
      </x:c>
      <x:c r="C776" s="11" t="str">
        <x:v>半年</x:v>
      </x:c>
      <x:c r="D776" s="11" t="str">
        <x:v>基准</x:v>
      </x:c>
      <x:c r="E776" s="11" t="n">
        <x:v>25.96</x:v>
      </x:c>
      <x:c r="F776" s="11" t="n">
        <x:v>32.83</x:v>
      </x:c>
      <x:c r="G776" s="11" t="n">
        <x:v>0</x:v>
      </x:c>
      <x:c r="H776" s="25" t="n">
        <x:v>0.26463790446841284</x:v>
      </x:c>
      <x:c r="I776" s="25" t="n">
        <x:v>0.26463790446841284</x:v>
      </x:c>
      <x:c r="J776" s="25" t="str"/>
      <x:c r="K776" s="11" t="n">
        <x:v>1.148</x:v>
      </x:c>
      <x:c r="L776" s="11" t="n">
        <x:v>26</x:v>
      </x:c>
      <x:c r="M776" s="11" t="n">
        <x:v>1.1</x:v>
      </x:c>
      <x:c r="N776" s="11" t="n">
        <x:v>0</x:v>
      </x:c>
      <x:c r="O776" s="11" t="str"/>
      <x:c r="P776" s="11" t="str"/>
      <x:c r="Q776" s="11" t="str"/>
      <x:c r="R776" s="11" t="str">
        <x:v>xiaomi-normalized-two-segment-v1.0</x:v>
      </x:c>
      <x:c r="S776" s="11" t="str">
        <x:v>2026-10-10</x:v>
      </x:c>
      <x:c r="T776" s="11" t="str">
        <x:f>IF(AND(SUM(IF(K776='假设'!E1033,0,1),IF(L776='假设'!F1033,0,1),IF(M776='假设'!G1033,0,1),IF(N776='假设'!H1033,0,1),IF(O776='假设'!I1033,0,1),IF(P776='假设'!J1033,0,1),IF(Q776='假设'!K1033,0,1))=0,U776=V776),"已刷新","待刷新")</x:f>
        <x:v>已刷新</x:v>
      </x:c>
      <x:c r="U776" t="str">
        <x:v>36|-2|0|0|0.2|3|26.3|||0</x:v>
      </x:c>
      <x:c r="V776" t="str">
        <x:f>'经营假设'!D113&amp;"|"&amp;'经营假设'!E113&amp;"|"&amp;'经营假设'!F113&amp;"|"&amp;'经营假设'!G113&amp;"|"&amp;'经营假设'!H113&amp;"|"&amp;'经营假设'!I113&amp;"|"&amp;'经营假设'!J113&amp;"|"&amp;'经营假设'!K113&amp;"|"&amp;'经营假设'!L113&amp;"|"&amp;'经营假设'!M113</x:f>
        <x:v>36|-2|0|0|0.2|3|26.3|||0</x:v>
      </x:c>
    </x:row>
    <x:row r="777" ht="23" customHeight="1">
      <x:c r="A777" s="11" t="str">
        <x:v>01810.HK</x:v>
      </x:c>
      <x:c r="B777" s="11" t="str">
        <x:v>小米集团-W</x:v>
      </x:c>
      <x:c r="C777" s="11" t="str">
        <x:v>半年</x:v>
      </x:c>
      <x:c r="D777" s="11" t="str">
        <x:v>乐观</x:v>
      </x:c>
      <x:c r="E777" s="11" t="n">
        <x:v>25.96</x:v>
      </x:c>
      <x:c r="F777" s="11" t="n">
        <x:v>64.38</x:v>
      </x:c>
      <x:c r="G777" s="11" t="n">
        <x:v>0</x:v>
      </x:c>
      <x:c r="H777" s="25" t="n">
        <x:v>1.4799691833590134</x:v>
      </x:c>
      <x:c r="I777" s="25" t="n">
        <x:v>1.4799691833590134</x:v>
      </x:c>
      <x:c r="J777" s="25" t="str"/>
      <x:c r="K777" s="11" t="n">
        <x:v>1.829</x:v>
      </x:c>
      <x:c r="L777" s="11" t="n">
        <x:v>32</x:v>
      </x:c>
      <x:c r="M777" s="11" t="n">
        <x:v>1.1</x:v>
      </x:c>
      <x:c r="N777" s="11" t="n">
        <x:v>0</x:v>
      </x:c>
      <x:c r="O777" s="11" t="str"/>
      <x:c r="P777" s="11" t="str"/>
      <x:c r="Q777" s="11" t="str"/>
      <x:c r="R777" s="11" t="str">
        <x:v>xiaomi-normalized-two-segment-v1.0</x:v>
      </x:c>
      <x:c r="S777" s="11" t="str">
        <x:v>2026-10-10</x:v>
      </x:c>
      <x:c r="T777" s="11" t="str">
        <x:f>IF(AND(SUM(IF(K777='假设'!E1034,0,1),IF(L777='假设'!F1034,0,1),IF(M777='假设'!G1034,0,1),IF(N777='假设'!H1034,0,1),IF(O777='假设'!I1034,0,1),IF(P777='假设'!J1034,0,1),IF(Q777='假设'!K1034,0,1))=0,U777=V777),"已刷新","待刷新")</x:f>
        <x:v>已刷新</x:v>
      </x:c>
      <x:c r="U777" t="str">
        <x:v>47|7|0|0|0.2|4|25.8|||0</x:v>
      </x:c>
      <x:c r="V777" t="str">
        <x:f>'经营假设'!D114&amp;"|"&amp;'经营假设'!E114&amp;"|"&amp;'经营假设'!F114&amp;"|"&amp;'经营假设'!G114&amp;"|"&amp;'经营假设'!H114&amp;"|"&amp;'经营假设'!I114&amp;"|"&amp;'经营假设'!J114&amp;"|"&amp;'经营假设'!K114&amp;"|"&amp;'经营假设'!L114&amp;"|"&amp;'经营假设'!M114</x:f>
        <x:v>47|7|0|0|0.2|4|25.8|||0</x:v>
      </x:c>
    </x:row>
    <x:row r="778" ht="23" customHeight="1">
      <x:c r="A778" s="11" t="str">
        <x:v>01810.HK</x:v>
      </x:c>
      <x:c r="B778" s="11" t="str">
        <x:v>小米集团-W</x:v>
      </x:c>
      <x:c r="C778" s="11" t="str">
        <x:v>一年</x:v>
      </x:c>
      <x:c r="D778" s="11" t="str">
        <x:v>悲观</x:v>
      </x:c>
      <x:c r="E778" s="11" t="n">
        <x:v>25.96</x:v>
      </x:c>
      <x:c r="F778" s="11" t="n">
        <x:v>7.29</x:v>
      </x:c>
      <x:c r="G778" s="11" t="n">
        <x:v>0</x:v>
      </x:c>
      <x:c r="H778" s="25" t="n">
        <x:v>-0.7191833590138674</x:v>
      </x:c>
      <x:c r="I778" s="25" t="n">
        <x:v>-0.7191833590138674</x:v>
      </x:c>
      <x:c r="J778" s="25" t="str"/>
      <x:c r="K778" s="11" t="n">
        <x:v>0.414</x:v>
      </x:c>
      <x:c r="L778" s="11" t="n">
        <x:v>16</x:v>
      </x:c>
      <x:c r="M778" s="11" t="n">
        <x:v>1.1</x:v>
      </x:c>
      <x:c r="N778" s="11" t="n">
        <x:v>0</x:v>
      </x:c>
      <x:c r="O778" s="11" t="str"/>
      <x:c r="P778" s="11" t="str"/>
      <x:c r="Q778" s="11" t="str"/>
      <x:c r="R778" s="11" t="str">
        <x:v>xiaomi-normalized-two-segment-v1.0</x:v>
      </x:c>
      <x:c r="S778" s="11" t="str">
        <x:v>2026-10-10</x:v>
      </x:c>
      <x:c r="T778" s="11" t="str">
        <x:f>IF(AND(SUM(IF(K778='假设'!E1036,0,1),IF(L778='假设'!F1036,0,1),IF(M778='假设'!G1036,0,1),IF(N778='假设'!H1036,0,1),IF(O778='假设'!I1036,0,1),IF(P778='假设'!J1036,0,1),IF(Q778='假设'!K1036,0,1))=0,U778=V778),"已刷新","待刷新")</x:f>
        <x:v>已刷新</x:v>
      </x:c>
      <x:c r="U778" t="str">
        <x:v>24|-12|0|0|0.2|2|28|||0</x:v>
      </x:c>
      <x:c r="V778" t="str">
        <x:f>'经营假设'!D116&amp;"|"&amp;'经营假设'!E116&amp;"|"&amp;'经营假设'!F116&amp;"|"&amp;'经营假设'!G116&amp;"|"&amp;'经营假设'!H116&amp;"|"&amp;'经营假设'!I116&amp;"|"&amp;'经营假设'!J116&amp;"|"&amp;'经营假设'!K116&amp;"|"&amp;'经营假设'!L116&amp;"|"&amp;'经营假设'!M116</x:f>
        <x:v>24|-12|0|0|0.2|2|28|||0</x:v>
      </x:c>
    </x:row>
    <x:row r="779" ht="23" customHeight="1">
      <x:c r="A779" s="11" t="str">
        <x:v>01810.HK</x:v>
      </x:c>
      <x:c r="B779" s="11" t="str">
        <x:v>小米集团-W</x:v>
      </x:c>
      <x:c r="C779" s="11" t="str">
        <x:v>一年</x:v>
      </x:c>
      <x:c r="D779" s="11" t="str">
        <x:v>基准</x:v>
      </x:c>
      <x:c r="E779" s="11" t="n">
        <x:v>25.96</x:v>
      </x:c>
      <x:c r="F779" s="11" t="n">
        <x:v>38.72</x:v>
      </x:c>
      <x:c r="G779" s="11" t="n">
        <x:v>0</x:v>
      </x:c>
      <x:c r="H779" s="25" t="n">
        <x:v>0.49152542372881336</x:v>
      </x:c>
      <x:c r="I779" s="25" t="n">
        <x:v>0.49152542372881336</x:v>
      </x:c>
      <x:c r="J779" s="25" t="str"/>
      <x:c r="K779" s="11" t="n">
        <x:v>1.408</x:v>
      </x:c>
      <x:c r="L779" s="11" t="n">
        <x:v>25</x:v>
      </x:c>
      <x:c r="M779" s="11" t="n">
        <x:v>1.1</x:v>
      </x:c>
      <x:c r="N779" s="11" t="n">
        <x:v>0</x:v>
      </x:c>
      <x:c r="O779" s="11" t="str"/>
      <x:c r="P779" s="11" t="str"/>
      <x:c r="Q779" s="11" t="str"/>
      <x:c r="R779" s="11" t="str">
        <x:v>xiaomi-normalized-two-segment-v1.0</x:v>
      </x:c>
      <x:c r="S779" s="11" t="str">
        <x:v>2026-10-10</x:v>
      </x:c>
      <x:c r="T779" s="11" t="str">
        <x:f>IF(AND(SUM(IF(K779='假设'!E1037,0,1),IF(L779='假设'!F1037,0,1),IF(M779='假设'!G1037,0,1),IF(N779='假设'!H1037,0,1),IF(O779='假设'!I1037,0,1),IF(P779='假设'!J1037,0,1),IF(Q779='假设'!K1037,0,1))=0,U779=V779),"已刷新","待刷新")</x:f>
        <x:v>待刷新</x:v>
      </x:c>
      <x:c r="U779" t="str">
        <x:v>38|4|0|0|0.2|3|26|||0</x:v>
      </x:c>
      <x:c r="V779" t="str">
        <x:f>'经营假设'!D117&amp;"|"&amp;'经营假设'!E117&amp;"|"&amp;'经营假设'!F117&amp;"|"&amp;'经营假设'!G117&amp;"|"&amp;'经营假设'!H117&amp;"|"&amp;'经营假设'!I117&amp;"|"&amp;'经营假设'!J117&amp;"|"&amp;'经营假设'!K117&amp;"|"&amp;'经营假设'!L117&amp;"|"&amp;'经营假设'!M117</x:f>
        <x:v>39|4|0|0|0.2|3|26|||0</x:v>
      </x:c>
    </x:row>
    <x:row r="780" ht="23" customHeight="1">
      <x:c r="A780" s="11" t="str">
        <x:v>01810.HK</x:v>
      </x:c>
      <x:c r="B780" s="11" t="str">
        <x:v>小米集团-W</x:v>
      </x:c>
      <x:c r="C780" s="11" t="str">
        <x:v>一年</x:v>
      </x:c>
      <x:c r="D780" s="11" t="str">
        <x:v>乐观</x:v>
      </x:c>
      <x:c r="E780" s="11" t="n">
        <x:v>25.96</x:v>
      </x:c>
      <x:c r="F780" s="11" t="n">
        <x:v>80.61</x:v>
      </x:c>
      <x:c r="G780" s="11" t="n">
        <x:v>0</x:v>
      </x:c>
      <x:c r="H780" s="25" t="n">
        <x:v>2.105161787365177</x:v>
      </x:c>
      <x:c r="I780" s="25" t="n">
        <x:v>2.105161787365177</x:v>
      </x:c>
      <x:c r="J780" s="25" t="str"/>
      <x:c r="K780" s="11" t="n">
        <x:v>2.29</x:v>
      </x:c>
      <x:c r="L780" s="11" t="n">
        <x:v>32</x:v>
      </x:c>
      <x:c r="M780" s="11" t="n">
        <x:v>1.1</x:v>
      </x:c>
      <x:c r="N780" s="11" t="n">
        <x:v>0</x:v>
      </x:c>
      <x:c r="O780" s="11" t="str"/>
      <x:c r="P780" s="11" t="str"/>
      <x:c r="Q780" s="11" t="str"/>
      <x:c r="R780" s="11" t="str">
        <x:v>xiaomi-normalized-two-segment-v1.0</x:v>
      </x:c>
      <x:c r="S780" s="11" t="str">
        <x:v>2026-10-10</x:v>
      </x:c>
      <x:c r="T780" s="11" t="str">
        <x:f>IF(AND(SUM(IF(K780='假设'!E1038,0,1),IF(L780='假设'!F1038,0,1),IF(M780='假设'!G1038,0,1),IF(N780='假设'!H1038,0,1),IF(O780='假设'!I1038,0,1),IF(P780='假设'!J1038,0,1),IF(Q780='假设'!K1038,0,1))=0,U780=V780),"已刷新","待刷新")</x:f>
        <x:v>已刷新</x:v>
      </x:c>
      <x:c r="U780" t="str">
        <x:v>52|16|0|0|0.2|4|25.5|||0</x:v>
      </x:c>
      <x:c r="V780" t="str">
        <x:f>'经营假设'!D118&amp;"|"&amp;'经营假设'!E118&amp;"|"&amp;'经营假设'!F118&amp;"|"&amp;'经营假设'!G118&amp;"|"&amp;'经营假设'!H118&amp;"|"&amp;'经营假设'!I118&amp;"|"&amp;'经营假设'!J118&amp;"|"&amp;'经营假设'!K118&amp;"|"&amp;'经营假设'!L118&amp;"|"&amp;'经营假设'!M118</x:f>
        <x:v>52|16|0|0|0.2|4|25.5|||0</x:v>
      </x:c>
    </x:row>
    <x:row r="781" ht="23" customHeight="1">
      <x:c r="A781" s="11" t="str">
        <x:v>01810.HK</x:v>
      </x:c>
      <x:c r="B781" s="11" t="str">
        <x:v>小米集团-W</x:v>
      </x:c>
      <x:c r="C781" s="11" t="str">
        <x:v>三年</x:v>
      </x:c>
      <x:c r="D781" s="11" t="str">
        <x:v>悲观</x:v>
      </x:c>
      <x:c r="E781" s="11" t="n">
        <x:v>25.96</x:v>
      </x:c>
      <x:c r="F781" s="11" t="n">
        <x:v>6.16</x:v>
      </x:c>
      <x:c r="G781" s="11" t="n">
        <x:v>0</x:v>
      </x:c>
      <x:c r="H781" s="25" t="n">
        <x:v>-0.7627118644067796</x:v>
      </x:c>
      <x:c r="I781" s="25" t="n">
        <x:v>-0.7627118644067796</x:v>
      </x:c>
      <x:c r="J781" s="25" t="n">
        <x:v>-0.38090303542326864</x:v>
      </x:c>
      <x:c r="K781" s="11" t="n">
        <x:v>0.4</x:v>
      </x:c>
      <x:c r="L781" s="11" t="n">
        <x:v>14</x:v>
      </x:c>
      <x:c r="M781" s="11" t="n">
        <x:v>1.1</x:v>
      </x:c>
      <x:c r="N781" s="11" t="n">
        <x:v>0</x:v>
      </x:c>
      <x:c r="O781" s="11" t="str"/>
      <x:c r="P781" s="11" t="str"/>
      <x:c r="Q781" s="11" t="str"/>
      <x:c r="R781" s="11" t="str">
        <x:v>xiaomi-normalized-two-segment-v1.0</x:v>
      </x:c>
      <x:c r="S781" s="11" t="str">
        <x:v>2026-10-10</x:v>
      </x:c>
      <x:c r="T781" s="11" t="str">
        <x:f>IF(AND(SUM(IF(K781='假设'!E1040,0,1),IF(L781='假设'!F1040,0,1),IF(M781='假设'!G1040,0,1),IF(N781='假设'!H1040,0,1),IF(O781='假设'!I1040,0,1),IF(P781='假设'!J1040,0,1),IF(Q781='假设'!K1040,0,1))=0,U781=V781),"已刷新","待刷新")</x:f>
        <x:v>已刷新</x:v>
      </x:c>
      <x:c r="U781" t="str">
        <x:v>25|-13|0|0|0.2|2|29|||0</x:v>
      </x:c>
      <x:c r="V781" t="str">
        <x:f>'经营假设'!D120&amp;"|"&amp;'经营假设'!E120&amp;"|"&amp;'经营假设'!F120&amp;"|"&amp;'经营假设'!G120&amp;"|"&amp;'经营假设'!H120&amp;"|"&amp;'经营假设'!I120&amp;"|"&amp;'经营假设'!J120&amp;"|"&amp;'经营假设'!K120&amp;"|"&amp;'经营假设'!L120&amp;"|"&amp;'经营假设'!M120</x:f>
        <x:v>25|-13|0|0|0.2|2|29|||0</x:v>
      </x:c>
    </x:row>
    <x:row r="782" ht="23" customHeight="1">
      <x:c r="A782" s="11" t="str">
        <x:v>01810.HK</x:v>
      </x:c>
      <x:c r="B782" s="11" t="str">
        <x:v>小米集团-W</x:v>
      </x:c>
      <x:c r="C782" s="11" t="str">
        <x:v>三年</x:v>
      </x:c>
      <x:c r="D782" s="11" t="str">
        <x:v>基准</x:v>
      </x:c>
      <x:c r="E782" s="11" t="n">
        <x:v>25.96</x:v>
      </x:c>
      <x:c r="F782" s="11" t="n">
        <x:v>55.47</x:v>
      </x:c>
      <x:c r="G782" s="11" t="n">
        <x:v>0</x:v>
      </x:c>
      <x:c r="H782" s="25" t="n">
        <x:v>1.1367488443759628</x:v>
      </x:c>
      <x:c r="I782" s="25" t="n">
        <x:v>1.1367488443759628</x:v>
      </x:c>
      <x:c r="J782" s="25" t="n">
        <x:v>0.28800582142314934</x:v>
      </x:c>
      <x:c r="K782" s="11" t="n">
        <x:v>2.101</x:v>
      </x:c>
      <x:c r="L782" s="11" t="n">
        <x:v>24</x:v>
      </x:c>
      <x:c r="M782" s="11" t="n">
        <x:v>1.1</x:v>
      </x:c>
      <x:c r="N782" s="11" t="n">
        <x:v>0</x:v>
      </x:c>
      <x:c r="O782" s="11" t="str"/>
      <x:c r="P782" s="11" t="str"/>
      <x:c r="Q782" s="11" t="str"/>
      <x:c r="R782" s="11" t="str">
        <x:v>xiaomi-normalized-two-segment-v1.0</x:v>
      </x:c>
      <x:c r="S782" s="11" t="str">
        <x:v>2026-10-10</x:v>
      </x:c>
      <x:c r="T782" s="11" t="str">
        <x:f>IF(AND(SUM(IF(K782='假设'!E1041,0,1),IF(L782='假设'!F1041,0,1),IF(M782='假设'!G1041,0,1),IF(N782='假设'!H1041,0,1),IF(O782='假设'!I1041,0,1),IF(P782='假设'!J1041,0,1),IF(Q782='假设'!K1041,0,1))=0,U782=V782),"已刷新","待刷新")</x:f>
        <x:v>已刷新</x:v>
      </x:c>
      <x:c r="U782" t="str">
        <x:v>46|18|0|0|0.2|3|25.8|||0</x:v>
      </x:c>
      <x:c r="V782" t="str">
        <x:f>'经营假设'!D121&amp;"|"&amp;'经营假设'!E121&amp;"|"&amp;'经营假设'!F121&amp;"|"&amp;'经营假设'!G121&amp;"|"&amp;'经营假设'!H121&amp;"|"&amp;'经营假设'!I121&amp;"|"&amp;'经营假设'!J121&amp;"|"&amp;'经营假设'!K121&amp;"|"&amp;'经营假设'!L121&amp;"|"&amp;'经营假设'!M121</x:f>
        <x:v>46|18|0|0|0.2|3|25.8|||0</x:v>
      </x:c>
    </x:row>
    <x:row r="783" ht="23" customHeight="1">
      <x:c r="A783" s="11" t="str">
        <x:v>01810.HK</x:v>
      </x:c>
      <x:c r="B783" s="11" t="str">
        <x:v>小米集团-W</x:v>
      </x:c>
      <x:c r="C783" s="11" t="str">
        <x:v>三年</x:v>
      </x:c>
      <x:c r="D783" s="11" t="str">
        <x:v>乐观</x:v>
      </x:c>
      <x:c r="E783" s="11" t="n">
        <x:v>25.96</x:v>
      </x:c>
      <x:c r="F783" s="11" t="n">
        <x:v>131.79</x:v>
      </x:c>
      <x:c r="G783" s="11" t="n">
        <x:v>0</x:v>
      </x:c>
      <x:c r="H783" s="25" t="n">
        <x:v>4.076656394453004</x:v>
      </x:c>
      <x:c r="I783" s="25" t="n">
        <x:v>4.076656394453004</x:v>
      </x:c>
      <x:c r="J783" s="25" t="n">
        <x:v>0.7186703707372855</x:v>
      </x:c>
      <x:c r="K783" s="11" t="n">
        <x:v>3.744</x:v>
      </x:c>
      <x:c r="L783" s="11" t="n">
        <x:v>32</x:v>
      </x:c>
      <x:c r="M783" s="11" t="n">
        <x:v>1.1</x:v>
      </x:c>
      <x:c r="N783" s="11" t="n">
        <x:v>0</x:v>
      </x:c>
      <x:c r="O783" s="11" t="str"/>
      <x:c r="P783" s="11" t="str"/>
      <x:c r="Q783" s="11" t="str"/>
      <x:c r="R783" s="11" t="str">
        <x:v>xiaomi-normalized-two-segment-v1.0</x:v>
      </x:c>
      <x:c r="S783" s="11" t="str">
        <x:v>2026-10-10</x:v>
      </x:c>
      <x:c r="T783" s="11" t="str">
        <x:f>IF(AND(SUM(IF(K783='假设'!E1042,0,1),IF(L783='假设'!F1042,0,1),IF(M783='假设'!G1042,0,1),IF(N783='假设'!H1042,0,1),IF(O783='假设'!I1042,0,1),IF(P783='假设'!J1042,0,1),IF(Q783='假设'!K1042,0,1))=0,U783=V783),"已刷新","待刷新")</x:f>
        <x:v>已刷新</x:v>
      </x:c>
      <x:c r="U783" t="str">
        <x:v>70|42|0|0|0.2|4|25|||0</x:v>
      </x:c>
      <x:c r="V783" t="str">
        <x:f>'经营假设'!D122&amp;"|"&amp;'经营假设'!E122&amp;"|"&amp;'经营假设'!F122&amp;"|"&amp;'经营假设'!G122&amp;"|"&amp;'经营假设'!H122&amp;"|"&amp;'经营假设'!I122&amp;"|"&amp;'经营假设'!J122&amp;"|"&amp;'经营假设'!K122&amp;"|"&amp;'经营假设'!L122&amp;"|"&amp;'经营假设'!M122</x:f>
        <x:v>70|42|0|0|0.2|4|25|||0</x:v>
      </x:c>
    </x:row>
    <x:row r="784" ht="23" customHeight="1">
      <x:c r="A784" s="11" t="str">
        <x:v>01810.HK</x:v>
      </x:c>
      <x:c r="B784" s="11" t="str">
        <x:v>小米集团-W</x:v>
      </x:c>
      <x:c r="C784" s="11" t="str">
        <x:v>五年</x:v>
      </x:c>
      <x:c r="D784" s="11" t="str">
        <x:v>悲观</x:v>
      </x:c>
      <x:c r="E784" s="11" t="n">
        <x:v>25.96</x:v>
      </x:c>
      <x:c r="F784" s="11" t="n">
        <x:v>4.88</x:v>
      </x:c>
      <x:c r="G784" s="11" t="n">
        <x:v>0</x:v>
      </x:c>
      <x:c r="H784" s="25" t="n">
        <x:v>-0.8120184899845917</x:v>
      </x:c>
      <x:c r="I784" s="25" t="n">
        <x:v>-0.8120184899845917</x:v>
      </x:c>
      <x:c r="J784" s="25" t="n">
        <x:v>-0.2841483558469793</x:v>
      </x:c>
      <x:c r="K784" s="11" t="n">
        <x:v>0.37</x:v>
      </x:c>
      <x:c r="L784" s="11" t="n">
        <x:v>12</x:v>
      </x:c>
      <x:c r="M784" s="11" t="n">
        <x:v>1.1</x:v>
      </x:c>
      <x:c r="N784" s="11" t="n">
        <x:v>0</x:v>
      </x:c>
      <x:c r="O784" s="11" t="str"/>
      <x:c r="P784" s="11" t="str"/>
      <x:c r="Q784" s="11" t="str"/>
      <x:c r="R784" s="11" t="str">
        <x:v>xiaomi-normalized-two-segment-v1.0</x:v>
      </x:c>
      <x:c r="S784" s="11" t="str">
        <x:v>2026-10-10</x:v>
      </x:c>
      <x:c r="T784" s="11" t="str">
        <x:f>IF(AND(SUM(IF(K784='假设'!E1044,0,1),IF(L784='假设'!F1044,0,1),IF(M784='假设'!G1044,0,1),IF(N784='假设'!H1044,0,1),IF(O784='假设'!I1044,0,1),IF(P784='假设'!J1044,0,1),IF(Q784='假设'!K1044,0,1))=0,U784=V784),"已刷新","待刷新")</x:f>
        <x:v>已刷新</x:v>
      </x:c>
      <x:c r="U784" t="str">
        <x:v>27|-15|0|0|0.2|1.5|30|||0</x:v>
      </x:c>
      <x:c r="V784" t="str">
        <x:f>'经营假设'!D124&amp;"|"&amp;'经营假设'!E124&amp;"|"&amp;'经营假设'!F124&amp;"|"&amp;'经营假设'!G124&amp;"|"&amp;'经营假设'!H124&amp;"|"&amp;'经营假设'!I124&amp;"|"&amp;'经营假设'!J124&amp;"|"&amp;'经营假设'!K124&amp;"|"&amp;'经营假设'!L124&amp;"|"&amp;'经营假设'!M124</x:f>
        <x:v>27|-15|0|0|0.2|1.5|30|||0</x:v>
      </x:c>
    </x:row>
    <x:row r="785" ht="23" customHeight="1">
      <x:c r="A785" s="11" t="str">
        <x:v>01810.HK</x:v>
      </x:c>
      <x:c r="B785" s="11" t="str">
        <x:v>小米集团-W</x:v>
      </x:c>
      <x:c r="C785" s="11" t="str">
        <x:v>五年</x:v>
      </x:c>
      <x:c r="D785" s="11" t="str">
        <x:v>基准</x:v>
      </x:c>
      <x:c r="E785" s="11" t="n">
        <x:v>25.96</x:v>
      </x:c>
      <x:c r="F785" s="11" t="n">
        <x:v>69.65</x:v>
      </x:c>
      <x:c r="G785" s="11" t="n">
        <x:v>0</x:v>
      </x:c>
      <x:c r="H785" s="25" t="n">
        <x:v>1.6829738058551618</x:v>
      </x:c>
      <x:c r="I785" s="25" t="n">
        <x:v>1.6829738058551618</x:v>
      </x:c>
      <x:c r="J785" s="25" t="n">
        <x:v>0.2182131593814518</x:v>
      </x:c>
      <x:c r="K785" s="11" t="n">
        <x:v>2.878</x:v>
      </x:c>
      <x:c r="L785" s="11" t="n">
        <x:v>22</x:v>
      </x:c>
      <x:c r="M785" s="11" t="n">
        <x:v>1.1</x:v>
      </x:c>
      <x:c r="N785" s="11" t="n">
        <x:v>0</x:v>
      </x:c>
      <x:c r="O785" s="11" t="str"/>
      <x:c r="P785" s="11" t="str"/>
      <x:c r="Q785" s="11" t="str"/>
      <x:c r="R785" s="11" t="str">
        <x:v>xiaomi-normalized-two-segment-v1.0</x:v>
      </x:c>
      <x:c r="S785" s="11" t="str">
        <x:v>2026-10-10</x:v>
      </x:c>
      <x:c r="T785" s="11" t="str">
        <x:f>IF(AND(SUM(IF(K785='假设'!E1045,0,1),IF(L785='假设'!F1045,0,1),IF(M785='假设'!G1045,0,1),IF(N785='假设'!H1045,0,1),IF(O785='假设'!I1045,0,1),IF(P785='假设'!J1045,0,1),IF(Q785='假设'!K1045,0,1))=0,U785=V785),"已刷新","待刷新")</x:f>
        <x:v>已刷新</x:v>
      </x:c>
      <x:c r="U785" t="str">
        <x:v>56|32|0|0|0.2|3|25.5|||0</x:v>
      </x:c>
      <x:c r="V785" t="str">
        <x:f>'经营假设'!D125&amp;"|"&amp;'经营假设'!E125&amp;"|"&amp;'经营假设'!F125&amp;"|"&amp;'经营假设'!G125&amp;"|"&amp;'经营假设'!H125&amp;"|"&amp;'经营假设'!I125&amp;"|"&amp;'经营假设'!J125&amp;"|"&amp;'经营假设'!K125&amp;"|"&amp;'经营假设'!L125&amp;"|"&amp;'经营假设'!M125</x:f>
        <x:v>56|32|0|0|0.2|3|25.5|||0</x:v>
      </x:c>
    </x:row>
    <x:row r="786" ht="23" customHeight="1">
      <x:c r="A786" s="11" t="str">
        <x:v>01810.HK</x:v>
      </x:c>
      <x:c r="B786" s="11" t="str">
        <x:v>小米集团-W</x:v>
      </x:c>
      <x:c r="C786" s="11" t="str">
        <x:v>五年</x:v>
      </x:c>
      <x:c r="D786" s="11" t="str">
        <x:v>乐观</x:v>
      </x:c>
      <x:c r="E786" s="11" t="n">
        <x:v>25.96</x:v>
      </x:c>
      <x:c r="F786" s="11" t="n">
        <x:v>179.95</x:v>
      </x:c>
      <x:c r="G786" s="11" t="n">
        <x:v>0</x:v>
      </x:c>
      <x:c r="H786" s="25" t="n">
        <x:v>5.931818181818181</x:v>
      </x:c>
      <x:c r="I786" s="25" t="n">
        <x:v>5.931818181818181</x:v>
      </x:c>
      <x:c r="J786" s="25" t="n">
        <x:v>0.4728870120611053</x:v>
      </x:c>
      <x:c r="K786" s="11" t="n">
        <x:v>5.453</x:v>
      </x:c>
      <x:c r="L786" s="11" t="n">
        <x:v>30</x:v>
      </x:c>
      <x:c r="M786" s="11" t="n">
        <x:v>1.1</x:v>
      </x:c>
      <x:c r="N786" s="11" t="n">
        <x:v>0</x:v>
      </x:c>
      <x:c r="O786" s="11" t="str"/>
      <x:c r="P786" s="11" t="str"/>
      <x:c r="Q786" s="11" t="str"/>
      <x:c r="R786" s="11" t="str">
        <x:v>xiaomi-normalized-two-segment-v1.0</x:v>
      </x:c>
      <x:c r="S786" s="11" t="str">
        <x:v>2026-10-10</x:v>
      </x:c>
      <x:c r="T786" s="11" t="str">
        <x:f>IF(AND(SUM(IF(K786='假设'!E1046,0,1),IF(L786='假设'!F1046,0,1),IF(M786='假设'!G1046,0,1),IF(N786='假设'!H1046,0,1),IF(O786='假设'!I1046,0,1),IF(P786='假设'!J1046,0,1),IF(Q786='假设'!K1046,0,1))=0,U786=V786),"已刷新","待刷新")</x:f>
        <x:v>已刷新</x:v>
      </x:c>
      <x:c r="U786" t="str">
        <x:v>92|70|0|0|0.2|4|24.5|||0</x:v>
      </x:c>
      <x:c r="V786" t="str">
        <x:f>'经营假设'!D126&amp;"|"&amp;'经营假设'!E126&amp;"|"&amp;'经营假设'!F126&amp;"|"&amp;'经营假设'!G126&amp;"|"&amp;'经营假设'!H126&amp;"|"&amp;'经营假设'!I126&amp;"|"&amp;'经营假设'!J126&amp;"|"&amp;'经营假设'!K126&amp;"|"&amp;'经营假设'!L126&amp;"|"&amp;'经营假设'!M126</x:f>
        <x:v>92|70|0|0|0.2|4|24.5|||0</x:v>
      </x:c>
    </x:row>
  </x:sheetData>
  <x:conditionalFormatting sqref="T7:T786">
    <x:cfRule type="containsText" dxfId="0" priority="1" operator="containsText" text="待刷新"/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>
      <x:c r="A2" s="4" t="str">
        <x:v>各期限证据维度评分 · 分数不是获利概率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52" customHeight="1">
      <x:c r="A6" s="12" t="str">
        <x:v>代码</x:v>
      </x:c>
      <x:c r="B6" s="12" t="str">
        <x:v>公司</x:v>
      </x:c>
      <x:c r="C6" s="12" t="str">
        <x:v>期限</x:v>
      </x:c>
      <x:c r="D6" s="12" t="str">
        <x:v>估值</x:v>
      </x:c>
      <x:c r="E6" s="12" t="str">
        <x:v>技术</x:v>
      </x:c>
      <x:c r="F6" s="12" t="str">
        <x:v>经营</x:v>
      </x:c>
      <x:c r="G6" s="12" t="str">
        <x:v>行业</x:v>
      </x:c>
      <x:c r="H6" s="12" t="str">
        <x:v>催化</x:v>
      </x:c>
      <x:c r="I6" s="12" t="str">
        <x:v>风险</x:v>
      </x:c>
      <x:c r="J6" s="12" t="str">
        <x:v>总分</x:v>
      </x:c>
      <x:c r="K6" s="12" t="str">
        <x:v>权重估值</x:v>
      </x:c>
      <x:c r="L6" s="12" t="str">
        <x:v>权重技术</x:v>
      </x:c>
      <x:c r="M6" s="12" t="str">
        <x:v>权重经营</x:v>
      </x:c>
      <x:c r="N6" s="12" t="str">
        <x:v>权重行业</x:v>
      </x:c>
      <x:c r="O6" s="12" t="str">
        <x:v>权重催化</x:v>
      </x:c>
      <x:c r="P6" s="12" t="str">
        <x:v>权重风险</x:v>
      </x:c>
      <x:c r="Q6" s="12" t="str">
        <x:v>证据说明</x:v>
      </x:c>
    </x:row>
    <x:row r="7" ht="23" customHeight="1">
      <x:c r="A7" s="11" t="str">
        <x:v>01530.HK</x:v>
      </x:c>
      <x:c r="B7" s="11" t="str">
        <x:v>三生制药</x:v>
      </x:c>
      <x:c r="C7" s="11" t="str">
        <x:v>半年</x:v>
      </x:c>
      <x:c r="D7" s="33" t="n">
        <x:v>4.1</x:v>
      </x:c>
      <x:c r="E7" s="33" t="n">
        <x:v>1.4</x:v>
      </x:c>
      <x:c r="F7" s="33" t="n">
        <x:v>2.8</x:v>
      </x:c>
      <x:c r="G7" s="33" t="n">
        <x:v>3.8</x:v>
      </x:c>
      <x:c r="H7" s="33" t="n">
        <x:v>3.8</x:v>
      </x:c>
      <x:c r="I7" s="33" t="n">
        <x:v>3.6</x:v>
      </x:c>
      <x:c r="J7" s="34" t="n">
        <x:f>SUMPRODUCT(D7:I7,K7:P7)/5</x:f>
        <x:v>59.7</x:v>
      </x:c>
      <x:c r="K7" s="11" t="n">
        <x:v>25</x:v>
      </x:c>
      <x:c r="L7" s="11" t="n">
        <x:v>30</x:v>
      </x:c>
      <x:c r="M7" s="11" t="n">
        <x:v>15</x:v>
      </x:c>
      <x:c r="N7" s="11" t="n">
        <x:v>10</x:v>
      </x:c>
      <x:c r="O7" s="11" t="n">
        <x:v>10</x:v>
      </x:c>
      <x:c r="P7" s="11" t="n">
        <x:v>10</x:v>
      </x:c>
      <x:c r="Q7" s="11" t="str">
        <x:v>价15.07、现金与经风险折扣707分开；第三方4倍PE含首付不可复制，低经营PE需新药恢复；价低于所有日均线且全下降、周线弱、60日跑输恒指11.43个百分点；回购不证明底部；产品销售-19.3%、剔除授权收入-15.6%；成熟商业化与新药批准提供能力，但调整利润仍含里程碑；支持治疗/自免与消费者需求，医保集采/税率和全球肿瘤竞争影响实际市场；608/613/长效EPO和611准入及注册，707全球试验；未取得确证性OS效果不能视作成功；现金银行14.03bn但部分归子公司、金融投资折扣、债务与金融负债保留，资本分派不确定</x:v>
      </x:c>
    </x:row>
    <x:row r="8" ht="23" customHeight="1">
      <x:c r="A8" s="11" t="str">
        <x:v>01530.HK</x:v>
      </x:c>
      <x:c r="B8" s="11" t="str">
        <x:v>三生制药</x:v>
      </x:c>
      <x:c r="C8" s="11" t="str">
        <x:v>一年</x:v>
      </x:c>
      <x:c r="D8" s="33" t="n">
        <x:v>4.2</x:v>
      </x:c>
      <x:c r="E8" s="33" t="n">
        <x:v>1.4</x:v>
      </x:c>
      <x:c r="F8" s="33" t="n">
        <x:v>3.2</x:v>
      </x:c>
      <x:c r="G8" s="33" t="n">
        <x:v>4</x:v>
      </x:c>
      <x:c r="H8" s="33" t="n">
        <x:v>4.2</x:v>
      </x:c>
      <x:c r="I8" s="33" t="n">
        <x:v>3.5</x:v>
      </x:c>
      <x:c r="J8" s="34" t="n">
        <x:f>SUMPRODUCT(D8:I8,K8:P8)/5</x:f>
        <x:v>68.6</x:v>
      </x:c>
      <x:c r="K8" s="11" t="n">
        <x:v>25</x:v>
      </x:c>
      <x:c r="L8" s="11" t="n">
        <x:v>15</x:v>
      </x:c>
      <x:c r="M8" s="11" t="n">
        <x:v>25</x:v>
      </x:c>
      <x:c r="N8" s="11" t="n">
        <x:v>15</x:v>
      </x:c>
      <x:c r="O8" s="11" t="n">
        <x:v>10</x:v>
      </x:c>
      <x:c r="P8" s="11" t="n">
        <x:v>10</x:v>
      </x:c>
      <x:c r="Q8" s="11" t="str">
        <x:v>价15.07、现金与经风险折扣707分开；第三方4倍PE含首付不可复制，低经营PE需新药恢复；价低于所有日均线且全下降、周线弱、60日跑输恒指11.43个百分点；回购不证明底部；产品销售-19.3%、剔除授权收入-15.6%；成熟商业化与新药批准提供能力，但调整利润仍含里程碑；支持治疗/自免与消费者需求，医保集采/税率和全球肿瘤竞争影响实际市场；608/613/长效EPO和611准入及注册，707全球试验；未取得确证性OS效果不能视作成功；现金银行14.03bn但部分归子公司、金融投资折扣、债务与金融负债保留，资本分派不确定</x:v>
      </x:c>
    </x:row>
    <x:row r="9" ht="23" customHeight="1">
      <x:c r="A9" s="11" t="str">
        <x:v>01530.HK</x:v>
      </x:c>
      <x:c r="B9" s="11" t="str">
        <x:v>三生制药</x:v>
      </x:c>
      <x:c r="C9" s="11" t="str">
        <x:v>三年</x:v>
      </x:c>
      <x:c r="D9" s="33" t="n">
        <x:v>4.3</x:v>
      </x:c>
      <x:c r="E9" s="33" t="n">
        <x:v>1.4</x:v>
      </x:c>
      <x:c r="F9" s="33" t="n">
        <x:v>3.7</x:v>
      </x:c>
      <x:c r="G9" s="33" t="n">
        <x:v>4.2</x:v>
      </x:c>
      <x:c r="H9" s="33" t="n">
        <x:v>4</x:v>
      </x:c>
      <x:c r="I9" s="33" t="n">
        <x:v>3.3</x:v>
      </x:c>
      <x:c r="J9" s="34" t="n">
        <x:f>SUMPRODUCT(D9:I9,K9:P9)/5</x:f>
        <x:v>76.2</x:v>
      </x:c>
      <x:c r="K9" s="11" t="n">
        <x:v>25</x:v>
      </x:c>
      <x:c r="L9" s="11" t="n">
        <x:v>5</x:v>
      </x:c>
      <x:c r="M9" s="11" t="n">
        <x:v>35</x:v>
      </x:c>
      <x:c r="N9" s="11" t="n">
        <x:v>20</x:v>
      </x:c>
      <x:c r="O9" s="11" t="n">
        <x:v>5</x:v>
      </x:c>
      <x:c r="P9" s="11" t="n">
        <x:v>10</x:v>
      </x:c>
      <x:c r="Q9" s="11" t="str">
        <x:v>价15.07、现金与经风险折扣707分开；第三方4倍PE含首付不可复制，低经营PE需新药恢复；价低于所有日均线且全下降、周线弱、60日跑输恒指11.43个百分点；回购不证明底部；产品销售-19.3%、剔除授权收入-15.6%；成熟商业化与新药批准提供能力，但调整利润仍含里程碑；支持治疗/自免与消费者需求，医保集采/税率和全球肿瘤竞争影响实际市场；608/613/长效EPO和611准入及注册，707全球试验；未取得确证性OS效果不能视作成功；现金银行14.03bn但部分归子公司、金融投资折扣、债务与金融负债保留，资本分派不确定</x:v>
      </x:c>
    </x:row>
    <x:row r="10" ht="23" customHeight="1">
      <x:c r="A10" s="11" t="str">
        <x:v>01530.HK</x:v>
      </x:c>
      <x:c r="B10" s="11" t="str">
        <x:v>三生制药</x:v>
      </x:c>
      <x:c r="C10" s="11" t="str">
        <x:v>五年</x:v>
      </x:c>
      <x:c r="D10" s="33" t="n">
        <x:v>4.1</x:v>
      </x:c>
      <x:c r="E10" s="33" t="n">
        <x:v>0</x:v>
      </x:c>
      <x:c r="F10" s="33" t="n">
        <x:v>3.8</x:v>
      </x:c>
      <x:c r="G10" s="33" t="n">
        <x:v>4</x:v>
      </x:c>
      <x:c r="H10" s="33" t="n">
        <x:v>3.6</x:v>
      </x:c>
      <x:c r="I10" s="33" t="n">
        <x:v>3</x:v>
      </x:c>
      <x:c r="J10" s="34" t="n">
        <x:f>SUMPRODUCT(D10:I10,K10:P10)/5</x:f>
        <x:v>75.4</x:v>
      </x:c>
      <x:c r="K10" s="11" t="n">
        <x:v>20</x:v>
      </x:c>
      <x:c r="L10" s="11" t="n">
        <x:v>0</x:v>
      </x:c>
      <x:c r="M10" s="11" t="n">
        <x:v>40</x:v>
      </x:c>
      <x:c r="N10" s="11" t="n">
        <x:v>20</x:v>
      </x:c>
      <x:c r="O10" s="11" t="n">
        <x:v>5</x:v>
      </x:c>
      <x:c r="P10" s="11" t="n">
        <x:v>15</x:v>
      </x:c>
      <x:c r="Q10" s="11" t="str">
        <x:v>价15.07、现金与经风险折扣707分开；第三方4倍PE含首付不可复制，低经营PE需新药恢复；价低于所有日均线且全下降、周线弱、60日跑输恒指11.43个百分点；回购不证明底部；产品销售-19.3%、剔除授权收入-15.6%；成熟商业化与新药批准提供能力，但调整利润仍含里程碑；支持治疗/自免与消费者需求，医保集采/税率和全球肿瘤竞争影响实际市场；608/613/长效EPO和611准入及注册，707全球试验；未取得确证性OS效果不能视作成功；现金银行14.03bn但部分归子公司、金融投资折扣、债务与金融负债保留，资本分派不确定</x:v>
      </x:c>
    </x:row>
    <x:row r="11" ht="23" customHeight="1">
      <x:c r="A11" s="11" t="str">
        <x:v>09926.HK</x:v>
      </x:c>
      <x:c r="B11" s="11" t="str">
        <x:v>康方生物</x:v>
      </x:c>
      <x:c r="C11" s="11" t="str">
        <x:v>半年</x:v>
      </x:c>
      <x:c r="D11" s="33" t="n">
        <x:v>1.6</x:v>
      </x:c>
      <x:c r="E11" s="33" t="n">
        <x:v>3.3</x:v>
      </x:c>
      <x:c r="F11" s="33" t="n">
        <x:v>4</x:v>
      </x:c>
      <x:c r="G11" s="33" t="n">
        <x:v>4.5</x:v>
      </x:c>
      <x:c r="H11" s="33" t="n">
        <x:v>4.8</x:v>
      </x:c>
      <x:c r="I11" s="33" t="n">
        <x:v>2.7</x:v>
      </x:c>
      <x:c r="J11" s="34" t="n">
        <x:f>SUMPRODUCT(D11:I11,K11:P11)/5</x:f>
        <x:v>63.8</x:v>
      </x:c>
      <x:c r="K11" s="11" t="n">
        <x:v>25</x:v>
      </x:c>
      <x:c r="L11" s="11" t="n">
        <x:v>30</x:v>
      </x:c>
      <x:c r="M11" s="11" t="n">
        <x:v>15</x:v>
      </x:c>
      <x:c r="N11" s="11" t="n">
        <x:v>10</x:v>
      </x:c>
      <x:c r="O11" s="11" t="n">
        <x:v>10</x:v>
      </x:c>
      <x:c r="P11" s="11" t="n">
        <x:v>10</x:v>
      </x:c>
      <x:c r="Q11" s="11" t="str">
        <x:v>基准年底及半年低于现价、一年接近，较高全球峰值才能支持当前市值；三五年回报仍有限，宽情景下行必须计入；短期反弹向上，但250日和60周尚压制、近期量缩，趋势未全面修复；两款上市双抗及多适应症验证；法定仍亏损，商业利润尚未成熟；免疫肿瘤治疗升级与大药企联合用药需求；医保/全球药价约束；FDA审评、全球及国内三期、商业放量与伙伴融资；临床、单核心资产集中、借款、研发/资本投入、伙伴稀释与治理集中</x:v>
      </x:c>
    </x:row>
    <x:row r="12" ht="23" customHeight="1">
      <x:c r="A12" s="11" t="str">
        <x:v>09926.HK</x:v>
      </x:c>
      <x:c r="B12" s="11" t="str">
        <x:v>康方生物</x:v>
      </x:c>
      <x:c r="C12" s="11" t="str">
        <x:v>一年</x:v>
      </x:c>
      <x:c r="D12" s="33" t="n">
        <x:v>2</x:v>
      </x:c>
      <x:c r="E12" s="33" t="n">
        <x:v>3.3</x:v>
      </x:c>
      <x:c r="F12" s="33" t="n">
        <x:v>4.2</x:v>
      </x:c>
      <x:c r="G12" s="33" t="n">
        <x:v>4.6</x:v>
      </x:c>
      <x:c r="H12" s="33" t="n">
        <x:v>4.8</x:v>
      </x:c>
      <x:c r="I12" s="33" t="n">
        <x:v>2.8</x:v>
      </x:c>
      <x:c r="J12" s="34" t="n">
        <x:f>SUMPRODUCT(D12:I12,K12:P12)/5</x:f>
        <x:v>69.9</x:v>
      </x:c>
      <x:c r="K12" s="11" t="n">
        <x:v>25</x:v>
      </x:c>
      <x:c r="L12" s="11" t="n">
        <x:v>15</x:v>
      </x:c>
      <x:c r="M12" s="11" t="n">
        <x:v>25</x:v>
      </x:c>
      <x:c r="N12" s="11" t="n">
        <x:v>15</x:v>
      </x:c>
      <x:c r="O12" s="11" t="n">
        <x:v>10</x:v>
      </x:c>
      <x:c r="P12" s="11" t="n">
        <x:v>10</x:v>
      </x:c>
      <x:c r="Q12" s="11" t="str">
        <x:v>基准年底及半年低于现价、一年接近，较高全球峰值才能支持当前市值；三五年回报仍有限，宽情景下行必须计入；短期反弹向上，但250日和60周尚压制、近期量缩，趋势未全面修复；两款上市双抗及多适应症验证；法定仍亏损，商业利润尚未成熟；免疫肿瘤治疗升级与大药企联合用药需求；医保/全球药价约束；FDA审评、全球及国内三期、商业放量与伙伴融资；临床、单核心资产集中、借款、研发/资本投入、伙伴稀释与治理集中</x:v>
      </x:c>
    </x:row>
    <x:row r="13" ht="23" customHeight="1">
      <x:c r="A13" s="11" t="str">
        <x:v>09926.HK</x:v>
      </x:c>
      <x:c r="B13" s="11" t="str">
        <x:v>康方生物</x:v>
      </x:c>
      <x:c r="C13" s="11" t="str">
        <x:v>三年</x:v>
      </x:c>
      <x:c r="D13" s="33" t="n">
        <x:v>2.8</x:v>
      </x:c>
      <x:c r="E13" s="33" t="n">
        <x:v>3.3</x:v>
      </x:c>
      <x:c r="F13" s="33" t="n">
        <x:v>4.4</x:v>
      </x:c>
      <x:c r="G13" s="33" t="n">
        <x:v>4.7</x:v>
      </x:c>
      <x:c r="H13" s="33" t="n">
        <x:v>4.5</x:v>
      </x:c>
      <x:c r="I13" s="33" t="n">
        <x:v>2.7</x:v>
      </x:c>
      <x:c r="J13" s="34" t="n">
        <x:f>SUMPRODUCT(D13:I13,K13:P13)/5</x:f>
        <x:v>76.8</x:v>
      </x:c>
      <x:c r="K13" s="11" t="n">
        <x:v>25</x:v>
      </x:c>
      <x:c r="L13" s="11" t="n">
        <x:v>5</x:v>
      </x:c>
      <x:c r="M13" s="11" t="n">
        <x:v>35</x:v>
      </x:c>
      <x:c r="N13" s="11" t="n">
        <x:v>20</x:v>
      </x:c>
      <x:c r="O13" s="11" t="n">
        <x:v>5</x:v>
      </x:c>
      <x:c r="P13" s="11" t="n">
        <x:v>10</x:v>
      </x:c>
      <x:c r="Q13" s="11" t="str">
        <x:v>基准年底及半年低于现价、一年接近，较高全球峰值才能支持当前市值；三五年回报仍有限，宽情景下行必须计入；短期反弹向上，但250日和60周尚压制、近期量缩，趋势未全面修复；两款上市双抗及多适应症验证；法定仍亏损，商业利润尚未成熟；免疫肿瘤治疗升级与大药企联合用药需求；医保/全球药价约束；FDA审评、全球及国内三期、商业放量与伙伴融资；临床、单核心资产集中、借款、研发/资本投入、伙伴稀释与治理集中</x:v>
      </x:c>
    </x:row>
    <x:row r="14" ht="23" customHeight="1">
      <x:c r="A14" s="11" t="str">
        <x:v>09926.HK</x:v>
      </x:c>
      <x:c r="B14" s="11" t="str">
        <x:v>康方生物</x:v>
      </x:c>
      <x:c r="C14" s="11" t="str">
        <x:v>五年</x:v>
      </x:c>
      <x:c r="D14" s="33" t="n">
        <x:v>3</x:v>
      </x:c>
      <x:c r="E14" s="33" t="n">
        <x:v>0</x:v>
      </x:c>
      <x:c r="F14" s="33" t="n">
        <x:v>4.3</x:v>
      </x:c>
      <x:c r="G14" s="33" t="n">
        <x:v>4.6</x:v>
      </x:c>
      <x:c r="H14" s="33" t="n">
        <x:v>4.2</x:v>
      </x:c>
      <x:c r="I14" s="33" t="n">
        <x:v>2.5</x:v>
      </x:c>
      <x:c r="J14" s="34" t="n">
        <x:f>SUMPRODUCT(D14:I14,K14:P14)/5</x:f>
        <x:v>76.5</x:v>
      </x:c>
      <x:c r="K14" s="11" t="n">
        <x:v>20</x:v>
      </x:c>
      <x:c r="L14" s="11" t="n">
        <x:v>0</x:v>
      </x:c>
      <x:c r="M14" s="11" t="n">
        <x:v>40</x:v>
      </x:c>
      <x:c r="N14" s="11" t="n">
        <x:v>20</x:v>
      </x:c>
      <x:c r="O14" s="11" t="n">
        <x:v>5</x:v>
      </x:c>
      <x:c r="P14" s="11" t="n">
        <x:v>15</x:v>
      </x:c>
      <x:c r="Q14" s="11" t="str">
        <x:v>基准年底及半年低于现价、一年接近，较高全球峰值才能支持当前市值；三五年回报仍有限，宽情景下行必须计入；短期反弹向上，但250日和60周尚压制、近期量缩，趋势未全面修复；两款上市双抗及多适应症验证；法定仍亏损，商业利润尚未成熟；免疫肿瘤治疗升级与大药企联合用药需求；医保/全球药价约束；FDA审评、全球及国内三期、商业放量与伙伴融资；临床、单核心资产集中、借款、研发/资本投入、伙伴稀释与治理集中</x:v>
      </x:c>
    </x:row>
    <x:row r="15" ht="23" customHeight="1">
      <x:c r="A15" s="11" t="str">
        <x:v>09988.HK</x:v>
      </x:c>
      <x:c r="B15" s="11" t="str">
        <x:v>阿里巴巴-W</x:v>
      </x:c>
      <x:c r="C15" s="11" t="str">
        <x:v>半年</x:v>
      </x:c>
      <x:c r="D15" s="33" t="n">
        <x:v>3.2</x:v>
      </x:c>
      <x:c r="E15" s="33" t="n">
        <x:v>1.8</x:v>
      </x:c>
      <x:c r="F15" s="33" t="n">
        <x:v>3.5</x:v>
      </x:c>
      <x:c r="G15" s="33" t="n">
        <x:v>4.2</x:v>
      </x:c>
      <x:c r="H15" s="33" t="n">
        <x:v>4</x:v>
      </x:c>
      <x:c r="I15" s="33" t="n">
        <x:v>2.6</x:v>
      </x:c>
      <x:c r="J15" s="34" t="n">
        <x:f>SUMPRODUCT(D15:I15,K15:P15)/5</x:f>
        <x:v>58.9</x:v>
      </x:c>
      <x:c r="K15" s="11" t="n">
        <x:v>25</x:v>
      </x:c>
      <x:c r="L15" s="11" t="n">
        <x:v>30</x:v>
      </x:c>
      <x:c r="M15" s="11" t="n">
        <x:v>15</x:v>
      </x:c>
      <x:c r="N15" s="11" t="n">
        <x:v>10</x:v>
      </x:c>
      <x:c r="O15" s="11" t="n">
        <x:v>10</x:v>
      </x:c>
      <x:c r="P15" s="11" t="n">
        <x:v>10</x:v>
      </x:c>
      <x:c r="Q15" s="11" t="str">
        <x:v>FY2026 nonGAAP PE29.04x/近似TTM37.70x，现价低于历史高点不等于盈利估值低；恢复路径有高空间和大下行；107低于MA20/60/120/250且均下斜，量比1.322；20日胜恒指3.071pp但60日落后5.281pp；周线仍下降；六月云计算收入+45%及EBITA+133%，电商EBITA稳定；CMR净额-7%、Labs亏13.861bn及重资本转型限制合并质量；代理与推理需求、产业上云有空间，消费弱势、算力供给/价格及出口约束具周期风险；截至截止日已披露模型商业化与下一季度业绩观察窗口；投行预期须等待实现；广义资源474.505bn但有息债266.530bn；季度FCF-44.670bn、资本开支67.678bn、稀释和监管约束降低分数</x:v>
      </x:c>
    </x:row>
    <x:row r="16" ht="23" customHeight="1">
      <x:c r="A16" s="11" t="str">
        <x:v>09988.HK</x:v>
      </x:c>
      <x:c r="B16" s="11" t="str">
        <x:v>阿里巴巴-W</x:v>
      </x:c>
      <x:c r="C16" s="11" t="str">
        <x:v>一年</x:v>
      </x:c>
      <x:c r="D16" s="33" t="n">
        <x:v>3.6</x:v>
      </x:c>
      <x:c r="E16" s="33" t="n">
        <x:v>1.8</x:v>
      </x:c>
      <x:c r="F16" s="33" t="n">
        <x:v>3.9</x:v>
      </x:c>
      <x:c r="G16" s="33" t="n">
        <x:v>4.3</x:v>
      </x:c>
      <x:c r="H16" s="33" t="n">
        <x:v>4.1</x:v>
      </x:c>
      <x:c r="I16" s="33" t="n">
        <x:v>2.6</x:v>
      </x:c>
      <x:c r="J16" s="34" t="n">
        <x:f>SUMPRODUCT(D16:I16,K16:P16)/5</x:f>
        <x:v>69.2</x:v>
      </x:c>
      <x:c r="K16" s="11" t="n">
        <x:v>25</x:v>
      </x:c>
      <x:c r="L16" s="11" t="n">
        <x:v>15</x:v>
      </x:c>
      <x:c r="M16" s="11" t="n">
        <x:v>25</x:v>
      </x:c>
      <x:c r="N16" s="11" t="n">
        <x:v>15</x:v>
      </x:c>
      <x:c r="O16" s="11" t="n">
        <x:v>10</x:v>
      </x:c>
      <x:c r="P16" s="11" t="n">
        <x:v>10</x:v>
      </x:c>
      <x:c r="Q16" s="11" t="str">
        <x:v>FY2026 nonGAAP PE29.04x/近似TTM37.70x，现价低于历史高点不等于盈利估值低；恢复路径有高空间和大下行；107低于MA20/60/120/250且均下斜，量比1.322；20日胜恒指3.071pp但60日落后5.281pp；周线仍下降；六月云计算收入+45%及EBITA+133%，电商EBITA稳定；CMR净额-7%、Labs亏13.861bn及重资本转型限制合并质量；代理与推理需求、产业上云有空间，消费弱势、算力供给/价格及出口约束具周期风险；截至截止日已披露模型商业化与下一季度业绩观察窗口；投行预期须等待实现；广义资源474.505bn但有息债266.530bn；季度FCF-44.670bn、资本开支67.678bn、稀释和监管约束降低分数</x:v>
      </x:c>
    </x:row>
    <x:row r="17" ht="23" customHeight="1">
      <x:c r="A17" s="11" t="str">
        <x:v>09988.HK</x:v>
      </x:c>
      <x:c r="B17" s="11" t="str">
        <x:v>阿里巴巴-W</x:v>
      </x:c>
      <x:c r="C17" s="11" t="str">
        <x:v>三年</x:v>
      </x:c>
      <x:c r="D17" s="33" t="n">
        <x:v>4</x:v>
      </x:c>
      <x:c r="E17" s="33" t="n">
        <x:v>1.8</x:v>
      </x:c>
      <x:c r="F17" s="33" t="n">
        <x:v>4.1</x:v>
      </x:c>
      <x:c r="G17" s="33" t="n">
        <x:v>4.5</x:v>
      </x:c>
      <x:c r="H17" s="33" t="n">
        <x:v>4</x:v>
      </x:c>
      <x:c r="I17" s="33" t="n">
        <x:v>2.5</x:v>
      </x:c>
      <x:c r="J17" s="34" t="n">
        <x:f>SUMPRODUCT(D17:I17,K17:P17)/5</x:f>
        <x:v>77.5</x:v>
      </x:c>
      <x:c r="K17" s="11" t="n">
        <x:v>25</x:v>
      </x:c>
      <x:c r="L17" s="11" t="n">
        <x:v>5</x:v>
      </x:c>
      <x:c r="M17" s="11" t="n">
        <x:v>35</x:v>
      </x:c>
      <x:c r="N17" s="11" t="n">
        <x:v>20</x:v>
      </x:c>
      <x:c r="O17" s="11" t="n">
        <x:v>5</x:v>
      </x:c>
      <x:c r="P17" s="11" t="n">
        <x:v>10</x:v>
      </x:c>
      <x:c r="Q17" s="11" t="str">
        <x:v>FY2026 nonGAAP PE29.04x/近似TTM37.70x，现价低于历史高点不等于盈利估值低；恢复路径有高空间和大下行；107低于MA20/60/120/250且均下斜，量比1.322；20日胜恒指3.071pp但60日落后5.281pp；周线仍下降；六月云计算收入+45%及EBITA+133%，电商EBITA稳定；CMR净额-7%、Labs亏13.861bn及重资本转型限制合并质量；代理与推理需求、产业上云有空间，消费弱势、算力供给/价格及出口约束具周期风险；截至截止日已披露模型商业化与下一季度业绩观察窗口；投行预期须等待实现；广义资源474.505bn但有息债266.530bn；季度FCF-44.670bn、资本开支67.678bn、稀释和监管约束降低分数</x:v>
      </x:c>
    </x:row>
    <x:row r="18" ht="23" customHeight="1">
      <x:c r="A18" s="11" t="str">
        <x:v>09988.HK</x:v>
      </x:c>
      <x:c r="B18" s="11" t="str">
        <x:v>阿里巴巴-W</x:v>
      </x:c>
      <x:c r="C18" s="11" t="str">
        <x:v>五年</x:v>
      </x:c>
      <x:c r="D18" s="33" t="n">
        <x:v>4</x:v>
      </x:c>
      <x:c r="E18" s="33" t="n">
        <x:v>1.8</x:v>
      </x:c>
      <x:c r="F18" s="33" t="n">
        <x:v>4.2</x:v>
      </x:c>
      <x:c r="G18" s="33" t="n">
        <x:v>4.5</x:v>
      </x:c>
      <x:c r="H18" s="33" t="n">
        <x:v>3.8</x:v>
      </x:c>
      <x:c r="I18" s="33" t="n">
        <x:v>2.5</x:v>
      </x:c>
      <x:c r="J18" s="34" t="n">
        <x:f>SUMPRODUCT(D18:I18,K18:P18)/5</x:f>
        <x:v>78.9</x:v>
      </x:c>
      <x:c r="K18" s="11" t="n">
        <x:v>20</x:v>
      </x:c>
      <x:c r="L18" s="11" t="n">
        <x:v>0</x:v>
      </x:c>
      <x:c r="M18" s="11" t="n">
        <x:v>40</x:v>
      </x:c>
      <x:c r="N18" s="11" t="n">
        <x:v>20</x:v>
      </x:c>
      <x:c r="O18" s="11" t="n">
        <x:v>5</x:v>
      </x:c>
      <x:c r="P18" s="11" t="n">
        <x:v>15</x:v>
      </x:c>
      <x:c r="Q18" s="11" t="str">
        <x:v>FY2026 nonGAAP PE29.04x/近似TTM37.70x，现价低于历史高点不等于盈利估值低；恢复路径有高空间和大下行；107低于MA20/60/120/250且均下斜，量比1.322；20日胜恒指3.071pp但60日落后5.281pp；周线仍下降；六月云计算收入+45%及EBITA+133%，电商EBITA稳定；CMR净额-7%、Labs亏13.861bn及重资本转型限制合并质量；代理与推理需求、产业上云有空间，消费弱势、算力供给/价格及出口约束具周期风险；截至截止日已披露模型商业化与下一季度业绩观察窗口；投行预期须等待实现；广义资源474.505bn但有息债266.530bn；季度FCF-44.670bn、资本开支67.678bn、稀释和监管约束降低分数</x:v>
      </x:c>
    </x:row>
    <x:row r="19" ht="23" customHeight="1">
      <x:c r="A19" s="11" t="str">
        <x:v>002821.SZ</x:v>
      </x:c>
      <x:c r="B19" s="11" t="str">
        <x:v>凯莱英</x:v>
      </x:c>
      <x:c r="C19" s="11" t="str">
        <x:v>半年</x:v>
      </x:c>
      <x:c r="D19" s="33" t="n">
        <x:v>2.8</x:v>
      </x:c>
      <x:c r="E19" s="33" t="n">
        <x:v>3.5</x:v>
      </x:c>
      <x:c r="F19" s="33" t="n">
        <x:v>4</x:v>
      </x:c>
      <x:c r="G19" s="33" t="n">
        <x:v>4.2</x:v>
      </x:c>
      <x:c r="H19" s="33" t="n">
        <x:v>4.1</x:v>
      </x:c>
      <x:c r="I19" s="33" t="n">
        <x:v>3.9</x:v>
      </x:c>
      <x:c r="J19" s="34" t="n">
        <x:f>SUMPRODUCT(D19:I19,K19:P19)/5</x:f>
        <x:v>71.4</x:v>
      </x:c>
      <x:c r="K19" s="11" t="n">
        <x:v>25</x:v>
      </x:c>
      <x:c r="L19" s="11" t="n">
        <x:v>30</x:v>
      </x:c>
      <x:c r="M19" s="11" t="n">
        <x:v>15</x:v>
      </x:c>
      <x:c r="N19" s="11" t="n">
        <x:v>10</x:v>
      </x:c>
      <x:c r="O19" s="11" t="n">
        <x:v>10</x:v>
      </x:c>
      <x:c r="P19" s="11" t="n">
        <x:v>10</x:v>
      </x:c>
      <x:c r="Q19" s="11" t="str"/>
    </x:row>
    <x:row r="20" ht="23" customHeight="1">
      <x:c r="A20" s="11" t="str">
        <x:v>002821.SZ</x:v>
      </x:c>
      <x:c r="B20" s="11" t="str">
        <x:v>凯莱英</x:v>
      </x:c>
      <x:c r="C20" s="11" t="str">
        <x:v>一年</x:v>
      </x:c>
      <x:c r="D20" s="33" t="n">
        <x:v>3.2</x:v>
      </x:c>
      <x:c r="E20" s="33" t="n">
        <x:v>3.5</x:v>
      </x:c>
      <x:c r="F20" s="33" t="n">
        <x:v>4.1</x:v>
      </x:c>
      <x:c r="G20" s="33" t="n">
        <x:v>4.2</x:v>
      </x:c>
      <x:c r="H20" s="33" t="n">
        <x:v>4</x:v>
      </x:c>
      <x:c r="I20" s="33" t="n">
        <x:v>3.8</x:v>
      </x:c>
      <x:c r="J20" s="34" t="n">
        <x:f>SUMPRODUCT(D20:I20,K20:P20)/5</x:f>
        <x:v>75.2</x:v>
      </x:c>
      <x:c r="K20" s="11" t="n">
        <x:v>25</x:v>
      </x:c>
      <x:c r="L20" s="11" t="n">
        <x:v>15</x:v>
      </x:c>
      <x:c r="M20" s="11" t="n">
        <x:v>25</x:v>
      </x:c>
      <x:c r="N20" s="11" t="n">
        <x:v>15</x:v>
      </x:c>
      <x:c r="O20" s="11" t="n">
        <x:v>10</x:v>
      </x:c>
      <x:c r="P20" s="11" t="n">
        <x:v>10</x:v>
      </x:c>
      <x:c r="Q20" s="11" t="str"/>
    </x:row>
    <x:row r="21" ht="23" customHeight="1">
      <x:c r="A21" s="11" t="str">
        <x:v>002821.SZ</x:v>
      </x:c>
      <x:c r="B21" s="11" t="str">
        <x:v>凯莱英</x:v>
      </x:c>
      <x:c r="C21" s="11" t="str">
        <x:v>三年</x:v>
      </x:c>
      <x:c r="D21" s="33" t="n">
        <x:v>3.7</x:v>
      </x:c>
      <x:c r="E21" s="33" t="n">
        <x:v>3.5</x:v>
      </x:c>
      <x:c r="F21" s="33" t="n">
        <x:v>4.3</x:v>
      </x:c>
      <x:c r="G21" s="33" t="n">
        <x:v>4.4</x:v>
      </x:c>
      <x:c r="H21" s="33" t="n">
        <x:v>4</x:v>
      </x:c>
      <x:c r="I21" s="33" t="n">
        <x:v>3.6</x:v>
      </x:c>
      <x:c r="J21" s="34" t="n">
        <x:f>SUMPRODUCT(D21:I21,K21:P21)/5</x:f>
        <x:v>80.9</x:v>
      </x:c>
      <x:c r="K21" s="11" t="n">
        <x:v>25</x:v>
      </x:c>
      <x:c r="L21" s="11" t="n">
        <x:v>5</x:v>
      </x:c>
      <x:c r="M21" s="11" t="n">
        <x:v>35</x:v>
      </x:c>
      <x:c r="N21" s="11" t="n">
        <x:v>20</x:v>
      </x:c>
      <x:c r="O21" s="11" t="n">
        <x:v>5</x:v>
      </x:c>
      <x:c r="P21" s="11" t="n">
        <x:v>10</x:v>
      </x:c>
      <x:c r="Q21" s="11" t="str"/>
    </x:row>
    <x:row r="22" ht="23" customHeight="1">
      <x:c r="A22" s="11" t="str">
        <x:v>002821.SZ</x:v>
      </x:c>
      <x:c r="B22" s="11" t="str">
        <x:v>凯莱英</x:v>
      </x:c>
      <x:c r="C22" s="11" t="str">
        <x:v>五年</x:v>
      </x:c>
      <x:c r="D22" s="33" t="n">
        <x:v>3.6</x:v>
      </x:c>
      <x:c r="E22" s="33" t="n">
        <x:v>3.5</x:v>
      </x:c>
      <x:c r="F22" s="33" t="n">
        <x:v>4.4</x:v>
      </x:c>
      <x:c r="G22" s="33" t="n">
        <x:v>4.4</x:v>
      </x:c>
      <x:c r="H22" s="33" t="n">
        <x:v>3.8</x:v>
      </x:c>
      <x:c r="I22" s="33" t="n">
        <x:v>3.4</x:v>
      </x:c>
      <x:c r="J22" s="34" t="n">
        <x:f>SUMPRODUCT(D22:I22,K22:P22)/5</x:f>
        <x:v>81.2</x:v>
      </x:c>
      <x:c r="K22" s="11" t="n">
        <x:v>20</x:v>
      </x:c>
      <x:c r="L22" s="11" t="n">
        <x:v>0</x:v>
      </x:c>
      <x:c r="M22" s="11" t="n">
        <x:v>40</x:v>
      </x:c>
      <x:c r="N22" s="11" t="n">
        <x:v>20</x:v>
      </x:c>
      <x:c r="O22" s="11" t="n">
        <x:v>5</x:v>
      </x:c>
      <x:c r="P22" s="11" t="n">
        <x:v>15</x:v>
      </x:c>
      <x:c r="Q22" s="11" t="str"/>
    </x:row>
    <x:row r="23" ht="23" customHeight="1">
      <x:c r="A23" s="11" t="str">
        <x:v>06821.HK</x:v>
      </x:c>
      <x:c r="B23" s="11" t="str">
        <x:v>凯莱英</x:v>
      </x:c>
      <x:c r="C23" s="11" t="str">
        <x:v>半年</x:v>
      </x:c>
      <x:c r="D23" s="33" t="n">
        <x:v>3.2</x:v>
      </x:c>
      <x:c r="E23" s="33" t="n">
        <x:v>3.5</x:v>
      </x:c>
      <x:c r="F23" s="33" t="n">
        <x:v>4</x:v>
      </x:c>
      <x:c r="G23" s="33" t="n">
        <x:v>4.2</x:v>
      </x:c>
      <x:c r="H23" s="33" t="n">
        <x:v>4.1</x:v>
      </x:c>
      <x:c r="I23" s="33" t="n">
        <x:v>3.9</x:v>
      </x:c>
      <x:c r="J23" s="34" t="n">
        <x:f>SUMPRODUCT(D23:I23,K23:P23)/5</x:f>
        <x:v>73.4</x:v>
      </x:c>
      <x:c r="K23" s="11" t="n">
        <x:v>25</x:v>
      </x:c>
      <x:c r="L23" s="11" t="n">
        <x:v>30</x:v>
      </x:c>
      <x:c r="M23" s="11" t="n">
        <x:v>15</x:v>
      </x:c>
      <x:c r="N23" s="11" t="n">
        <x:v>10</x:v>
      </x:c>
      <x:c r="O23" s="11" t="n">
        <x:v>10</x:v>
      </x:c>
      <x:c r="P23" s="11" t="n">
        <x:v>10</x:v>
      </x:c>
      <x:c r="Q23" s="11" t="str"/>
    </x:row>
    <x:row r="24" ht="23" customHeight="1">
      <x:c r="A24" s="11" t="str">
        <x:v>06821.HK</x:v>
      </x:c>
      <x:c r="B24" s="11" t="str">
        <x:v>凯莱英</x:v>
      </x:c>
      <x:c r="C24" s="11" t="str">
        <x:v>一年</x:v>
      </x:c>
      <x:c r="D24" s="33" t="n">
        <x:v>3.6</x:v>
      </x:c>
      <x:c r="E24" s="33" t="n">
        <x:v>3.5</x:v>
      </x:c>
      <x:c r="F24" s="33" t="n">
        <x:v>4.1</x:v>
      </x:c>
      <x:c r="G24" s="33" t="n">
        <x:v>4.2</x:v>
      </x:c>
      <x:c r="H24" s="33" t="n">
        <x:v>4</x:v>
      </x:c>
      <x:c r="I24" s="33" t="n">
        <x:v>3.8</x:v>
      </x:c>
      <x:c r="J24" s="34" t="n">
        <x:f>SUMPRODUCT(D24:I24,K24:P24)/5</x:f>
        <x:v>77.2</x:v>
      </x:c>
      <x:c r="K24" s="11" t="n">
        <x:v>25</x:v>
      </x:c>
      <x:c r="L24" s="11" t="n">
        <x:v>15</x:v>
      </x:c>
      <x:c r="M24" s="11" t="n">
        <x:v>25</x:v>
      </x:c>
      <x:c r="N24" s="11" t="n">
        <x:v>15</x:v>
      </x:c>
      <x:c r="O24" s="11" t="n">
        <x:v>10</x:v>
      </x:c>
      <x:c r="P24" s="11" t="n">
        <x:v>10</x:v>
      </x:c>
      <x:c r="Q24" s="11" t="str"/>
    </x:row>
    <x:row r="25" ht="23" customHeight="1">
      <x:c r="A25" s="11" t="str">
        <x:v>06821.HK</x:v>
      </x:c>
      <x:c r="B25" s="11" t="str">
        <x:v>凯莱英</x:v>
      </x:c>
      <x:c r="C25" s="11" t="str">
        <x:v>三年</x:v>
      </x:c>
      <x:c r="D25" s="33" t="n">
        <x:v>4</x:v>
      </x:c>
      <x:c r="E25" s="33" t="n">
        <x:v>3.5</x:v>
      </x:c>
      <x:c r="F25" s="33" t="n">
        <x:v>4.3</x:v>
      </x:c>
      <x:c r="G25" s="33" t="n">
        <x:v>4.4</x:v>
      </x:c>
      <x:c r="H25" s="33" t="n">
        <x:v>4</x:v>
      </x:c>
      <x:c r="I25" s="33" t="n">
        <x:v>3.6</x:v>
      </x:c>
      <x:c r="J25" s="34" t="n">
        <x:f>SUMPRODUCT(D25:I25,K25:P25)/5</x:f>
        <x:v>82.4</x:v>
      </x:c>
      <x:c r="K25" s="11" t="n">
        <x:v>25</x:v>
      </x:c>
      <x:c r="L25" s="11" t="n">
        <x:v>5</x:v>
      </x:c>
      <x:c r="M25" s="11" t="n">
        <x:v>35</x:v>
      </x:c>
      <x:c r="N25" s="11" t="n">
        <x:v>20</x:v>
      </x:c>
      <x:c r="O25" s="11" t="n">
        <x:v>5</x:v>
      </x:c>
      <x:c r="P25" s="11" t="n">
        <x:v>10</x:v>
      </x:c>
      <x:c r="Q25" s="11" t="str"/>
    </x:row>
    <x:row r="26" ht="23" customHeight="1">
      <x:c r="A26" s="11" t="str">
        <x:v>06821.HK</x:v>
      </x:c>
      <x:c r="B26" s="11" t="str">
        <x:v>凯莱英</x:v>
      </x:c>
      <x:c r="C26" s="11" t="str">
        <x:v>五年</x:v>
      </x:c>
      <x:c r="D26" s="33" t="n">
        <x:v>3.9</x:v>
      </x:c>
      <x:c r="E26" s="33" t="n">
        <x:v>3.5</x:v>
      </x:c>
      <x:c r="F26" s="33" t="n">
        <x:v>4.4</x:v>
      </x:c>
      <x:c r="G26" s="33" t="n">
        <x:v>4.4</x:v>
      </x:c>
      <x:c r="H26" s="33" t="n">
        <x:v>3.8</x:v>
      </x:c>
      <x:c r="I26" s="33" t="n">
        <x:v>3.4</x:v>
      </x:c>
      <x:c r="J26" s="34" t="n">
        <x:f>SUMPRODUCT(D26:I26,K26:P26)/5</x:f>
        <x:v>82.4</x:v>
      </x:c>
      <x:c r="K26" s="11" t="n">
        <x:v>20</x:v>
      </x:c>
      <x:c r="L26" s="11" t="n">
        <x:v>0</x:v>
      </x:c>
      <x:c r="M26" s="11" t="n">
        <x:v>40</x:v>
      </x:c>
      <x:c r="N26" s="11" t="n">
        <x:v>20</x:v>
      </x:c>
      <x:c r="O26" s="11" t="n">
        <x:v>5</x:v>
      </x:c>
      <x:c r="P26" s="11" t="n">
        <x:v>15</x:v>
      </x:c>
      <x:c r="Q26" s="11" t="str"/>
    </x:row>
    <x:row r="27" ht="23" customHeight="1">
      <x:c r="A27" s="11" t="str">
        <x:v>09888.HK</x:v>
      </x:c>
      <x:c r="B27" s="11" t="str">
        <x:v>百度集团-W</x:v>
      </x:c>
      <x:c r="C27" s="11" t="str">
        <x:v>半年</x:v>
      </x:c>
      <x:c r="D27" s="33" t="n">
        <x:v>2.9</x:v>
      </x:c>
      <x:c r="E27" s="33" t="n">
        <x:v>1.3</x:v>
      </x:c>
      <x:c r="F27" s="33" t="n">
        <x:v>2.9</x:v>
      </x:c>
      <x:c r="G27" s="33" t="n">
        <x:v>3.7</x:v>
      </x:c>
      <x:c r="H27" s="33" t="n">
        <x:v>3.1</x:v>
      </x:c>
      <x:c r="I27" s="33" t="n">
        <x:v>2.7</x:v>
      </x:c>
      <x:c r="J27" s="34" t="n">
        <x:f>SUMPRODUCT(D27:I27,K27:P27)/5</x:f>
        <x:v>50</x:v>
      </x:c>
      <x:c r="K27" s="11" t="n">
        <x:v>25</x:v>
      </x:c>
      <x:c r="L27" s="11" t="n">
        <x:v>30</x:v>
      </x:c>
      <x:c r="M27" s="11" t="n">
        <x:v>15</x:v>
      </x:c>
      <x:c r="N27" s="11" t="n">
        <x:v>10</x:v>
      </x:c>
      <x:c r="O27" s="11" t="n">
        <x:v>10</x:v>
      </x:c>
      <x:c r="P27" s="11" t="n">
        <x:v>10</x:v>
      </x:c>
      <x:c r="Q27" s="11" t="str"/>
    </x:row>
    <x:row r="28" ht="23" customHeight="1">
      <x:c r="A28" s="11" t="str">
        <x:v>09888.HK</x:v>
      </x:c>
      <x:c r="B28" s="11" t="str">
        <x:v>百度集团-W</x:v>
      </x:c>
      <x:c r="C28" s="11" t="str">
        <x:v>一年</x:v>
      </x:c>
      <x:c r="D28" s="33" t="n">
        <x:v>3</x:v>
      </x:c>
      <x:c r="E28" s="33" t="n">
        <x:v>1.3</x:v>
      </x:c>
      <x:c r="F28" s="33" t="n">
        <x:v>3.1</x:v>
      </x:c>
      <x:c r="G28" s="33" t="n">
        <x:v>3.8</x:v>
      </x:c>
      <x:c r="H28" s="33" t="n">
        <x:v>3.3</x:v>
      </x:c>
      <x:c r="I28" s="33" t="n">
        <x:v>2.7</x:v>
      </x:c>
      <x:c r="J28" s="34" t="n">
        <x:f>SUMPRODUCT(D28:I28,K28:P28)/5</x:f>
        <x:v>57.8</x:v>
      </x:c>
      <x:c r="K28" s="11" t="n">
        <x:v>25</x:v>
      </x:c>
      <x:c r="L28" s="11" t="n">
        <x:v>15</x:v>
      </x:c>
      <x:c r="M28" s="11" t="n">
        <x:v>25</x:v>
      </x:c>
      <x:c r="N28" s="11" t="n">
        <x:v>15</x:v>
      </x:c>
      <x:c r="O28" s="11" t="n">
        <x:v>10</x:v>
      </x:c>
      <x:c r="P28" s="11" t="n">
        <x:v>10</x:v>
      </x:c>
      <x:c r="Q28" s="11" t="str"/>
    </x:row>
    <x:row r="29" ht="23" customHeight="1">
      <x:c r="A29" s="11" t="str">
        <x:v>09888.HK</x:v>
      </x:c>
      <x:c r="B29" s="11" t="str">
        <x:v>百度集团-W</x:v>
      </x:c>
      <x:c r="C29" s="11" t="str">
        <x:v>三年</x:v>
      </x:c>
      <x:c r="D29" s="33" t="n">
        <x:v>3.3</x:v>
      </x:c>
      <x:c r="E29" s="33" t="n">
        <x:v>1.3</x:v>
      </x:c>
      <x:c r="F29" s="33" t="n">
        <x:v>3.4</x:v>
      </x:c>
      <x:c r="G29" s="33" t="n">
        <x:v>4</x:v>
      </x:c>
      <x:c r="H29" s="33" t="n">
        <x:v>3.2</x:v>
      </x:c>
      <x:c r="I29" s="33" t="n">
        <x:v>2.5</x:v>
      </x:c>
      <x:c r="J29" s="34" t="n">
        <x:f>SUMPRODUCT(D29:I29,K29:P29)/5</x:f>
        <x:v>65.8</x:v>
      </x:c>
      <x:c r="K29" s="11" t="n">
        <x:v>25</x:v>
      </x:c>
      <x:c r="L29" s="11" t="n">
        <x:v>5</x:v>
      </x:c>
      <x:c r="M29" s="11" t="n">
        <x:v>35</x:v>
      </x:c>
      <x:c r="N29" s="11" t="n">
        <x:v>20</x:v>
      </x:c>
      <x:c r="O29" s="11" t="n">
        <x:v>5</x:v>
      </x:c>
      <x:c r="P29" s="11" t="n">
        <x:v>10</x:v>
      </x:c>
      <x:c r="Q29" s="11" t="str"/>
    </x:row>
    <x:row r="30" ht="23" customHeight="1">
      <x:c r="A30" s="11" t="str">
        <x:v>09888.HK</x:v>
      </x:c>
      <x:c r="B30" s="11" t="str">
        <x:v>百度集团-W</x:v>
      </x:c>
      <x:c r="C30" s="11" t="str">
        <x:v>五年</x:v>
      </x:c>
      <x:c r="D30" s="33" t="n">
        <x:v>3.3</x:v>
      </x:c>
      <x:c r="E30" s="33" t="n">
        <x:v>1.3</x:v>
      </x:c>
      <x:c r="F30" s="33" t="n">
        <x:v>3.6</x:v>
      </x:c>
      <x:c r="G30" s="33" t="n">
        <x:v>4.1</x:v>
      </x:c>
      <x:c r="H30" s="33" t="n">
        <x:v>3.2</x:v>
      </x:c>
      <x:c r="I30" s="33" t="n">
        <x:v>2.3</x:v>
      </x:c>
      <x:c r="J30" s="34" t="n">
        <x:f>SUMPRODUCT(D30:I30,K30:P30)/5</x:f>
        <x:v>68.5</x:v>
      </x:c>
      <x:c r="K30" s="11" t="n">
        <x:v>20</x:v>
      </x:c>
      <x:c r="L30" s="11" t="n">
        <x:v>0</x:v>
      </x:c>
      <x:c r="M30" s="11" t="n">
        <x:v>40</x:v>
      </x:c>
      <x:c r="N30" s="11" t="n">
        <x:v>20</x:v>
      </x:c>
      <x:c r="O30" s="11" t="n">
        <x:v>5</x:v>
      </x:c>
      <x:c r="P30" s="11" t="n">
        <x:v>15</x:v>
      </x:c>
      <x:c r="Q30" s="11" t="str"/>
    </x:row>
    <x:row r="31" ht="23" customHeight="1">
      <x:c r="A31" s="11" t="str">
        <x:v>688235.SH</x:v>
      </x:c>
      <x:c r="B31" s="11" t="str">
        <x:v>百济神州</x:v>
      </x:c>
      <x:c r="C31" s="11" t="str">
        <x:v>半年</x:v>
      </x:c>
      <x:c r="D31" s="33" t="n">
        <x:v>3</x:v>
      </x:c>
      <x:c r="E31" s="33" t="n">
        <x:v>2.2</x:v>
      </x:c>
      <x:c r="F31" s="33" t="n">
        <x:v>4.5</x:v>
      </x:c>
      <x:c r="G31" s="33" t="n">
        <x:v>4.5</x:v>
      </x:c>
      <x:c r="H31" s="33" t="n">
        <x:v>4.4</x:v>
      </x:c>
      <x:c r="I31" s="33" t="n">
        <x:v>3.9</x:v>
      </x:c>
      <x:c r="J31" s="34" t="n">
        <x:f>SUMPRODUCT(D31:I31,K31:P31)/5</x:f>
        <x:v>67.3</x:v>
      </x:c>
      <x:c r="K31" s="11" t="n">
        <x:v>25</x:v>
      </x:c>
      <x:c r="L31" s="11" t="n">
        <x:v>30</x:v>
      </x:c>
      <x:c r="M31" s="11" t="n">
        <x:v>15</x:v>
      </x:c>
      <x:c r="N31" s="11" t="n">
        <x:v>10</x:v>
      </x:c>
      <x:c r="O31" s="11" t="n">
        <x:v>10</x:v>
      </x:c>
      <x:c r="P31" s="11" t="n">
        <x:v>10</x:v>
      </x:c>
      <x:c r="Q31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2" ht="23" customHeight="1">
      <x:c r="A32" s="11" t="str">
        <x:v>688235.SH</x:v>
      </x:c>
      <x:c r="B32" s="11" t="str">
        <x:v>百济神州</x:v>
      </x:c>
      <x:c r="C32" s="11" t="str">
        <x:v>一年</x:v>
      </x:c>
      <x:c r="D32" s="33" t="n">
        <x:v>3.6</x:v>
      </x:c>
      <x:c r="E32" s="33" t="n">
        <x:v>2.2</x:v>
      </x:c>
      <x:c r="F32" s="33" t="n">
        <x:v>4.6</x:v>
      </x:c>
      <x:c r="G32" s="33" t="n">
        <x:v>4.6</x:v>
      </x:c>
      <x:c r="H32" s="33" t="n">
        <x:v>4.5</x:v>
      </x:c>
      <x:c r="I32" s="33" t="n">
        <x:v>3.8</x:v>
      </x:c>
      <x:c r="J32" s="34" t="n">
        <x:f>SUMPRODUCT(D32:I32,K32:P32)/5</x:f>
        <x:v>78</x:v>
      </x:c>
      <x:c r="K32" s="11" t="n">
        <x:v>25</x:v>
      </x:c>
      <x:c r="L32" s="11" t="n">
        <x:v>15</x:v>
      </x:c>
      <x:c r="M32" s="11" t="n">
        <x:v>25</x:v>
      </x:c>
      <x:c r="N32" s="11" t="n">
        <x:v>15</x:v>
      </x:c>
      <x:c r="O32" s="11" t="n">
        <x:v>10</x:v>
      </x:c>
      <x:c r="P32" s="11" t="n">
        <x:v>10</x:v>
      </x:c>
      <x:c r="Q32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3" ht="23" customHeight="1">
      <x:c r="A33" s="11" t="str">
        <x:v>688235.SH</x:v>
      </x:c>
      <x:c r="B33" s="11" t="str">
        <x:v>百济神州</x:v>
      </x:c>
      <x:c r="C33" s="11" t="str">
        <x:v>三年</x:v>
      </x:c>
      <x:c r="D33" s="33" t="n">
        <x:v>4.1</x:v>
      </x:c>
      <x:c r="E33" s="33" t="n">
        <x:v>2.2</x:v>
      </x:c>
      <x:c r="F33" s="33" t="n">
        <x:v>4.7</x:v>
      </x:c>
      <x:c r="G33" s="33" t="n">
        <x:v>4.7</x:v>
      </x:c>
      <x:c r="H33" s="33" t="n">
        <x:v>4.2</x:v>
      </x:c>
      <x:c r="I33" s="33" t="n">
        <x:v>3.7</x:v>
      </x:c>
      <x:c r="J33" s="34" t="n">
        <x:f>SUMPRODUCT(D33:I33,K33:P33)/5</x:f>
        <x:v>86</x:v>
      </x:c>
      <x:c r="K33" s="11" t="n">
        <x:v>25</x:v>
      </x:c>
      <x:c r="L33" s="11" t="n">
        <x:v>5</x:v>
      </x:c>
      <x:c r="M33" s="11" t="n">
        <x:v>35</x:v>
      </x:c>
      <x:c r="N33" s="11" t="n">
        <x:v>20</x:v>
      </x:c>
      <x:c r="O33" s="11" t="n">
        <x:v>5</x:v>
      </x:c>
      <x:c r="P33" s="11" t="n">
        <x:v>10</x:v>
      </x:c>
      <x:c r="Q33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4" ht="23" customHeight="1">
      <x:c r="A34" s="11" t="str">
        <x:v>688235.SH</x:v>
      </x:c>
      <x:c r="B34" s="11" t="str">
        <x:v>百济神州</x:v>
      </x:c>
      <x:c r="C34" s="11" t="str">
        <x:v>五年</x:v>
      </x:c>
      <x:c r="D34" s="33" t="n">
        <x:v>4.1</x:v>
      </x:c>
      <x:c r="E34" s="33" t="n">
        <x:v>0</x:v>
      </x:c>
      <x:c r="F34" s="33" t="n">
        <x:v>4.7</x:v>
      </x:c>
      <x:c r="G34" s="33" t="n">
        <x:v>4.7</x:v>
      </x:c>
      <x:c r="H34" s="33" t="n">
        <x:v>4</x:v>
      </x:c>
      <x:c r="I34" s="33" t="n">
        <x:v>3.5</x:v>
      </x:c>
      <x:c r="J34" s="34" t="n">
        <x:f>SUMPRODUCT(D34:I34,K34:P34)/5</x:f>
        <x:v>87.3</x:v>
      </x:c>
      <x:c r="K34" s="11" t="n">
        <x:v>20</x:v>
      </x:c>
      <x:c r="L34" s="11" t="n">
        <x:v>0</x:v>
      </x:c>
      <x:c r="M34" s="11" t="n">
        <x:v>40</x:v>
      </x:c>
      <x:c r="N34" s="11" t="n">
        <x:v>20</x:v>
      </x:c>
      <x:c r="O34" s="11" t="n">
        <x:v>5</x:v>
      </x:c>
      <x:c r="P34" s="11" t="n">
        <x:v>15</x:v>
      </x:c>
      <x:c r="Q34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5" ht="23" customHeight="1">
      <x:c r="A35" s="11" t="str">
        <x:v>06160.HK</x:v>
      </x:c>
      <x:c r="B35" s="11" t="str">
        <x:v>百济神州</x:v>
      </x:c>
      <x:c r="C35" s="11" t="str">
        <x:v>半年</x:v>
      </x:c>
      <x:c r="D35" s="33" t="n">
        <x:v>3.8</x:v>
      </x:c>
      <x:c r="E35" s="33" t="n">
        <x:v>3.3</x:v>
      </x:c>
      <x:c r="F35" s="33" t="n">
        <x:v>4.5</x:v>
      </x:c>
      <x:c r="G35" s="33" t="n">
        <x:v>4.5</x:v>
      </x:c>
      <x:c r="H35" s="33" t="n">
        <x:v>4.4</x:v>
      </x:c>
      <x:c r="I35" s="33" t="n">
        <x:v>3.9</x:v>
      </x:c>
      <x:c r="J35" s="34" t="n">
        <x:f>SUMPRODUCT(D35:I35,K35:P35)/5</x:f>
        <x:v>77.9</x:v>
      </x:c>
      <x:c r="K35" s="11" t="n">
        <x:v>25</x:v>
      </x:c>
      <x:c r="L35" s="11" t="n">
        <x:v>30</x:v>
      </x:c>
      <x:c r="M35" s="11" t="n">
        <x:v>15</x:v>
      </x:c>
      <x:c r="N35" s="11" t="n">
        <x:v>10</x:v>
      </x:c>
      <x:c r="O35" s="11" t="n">
        <x:v>10</x:v>
      </x:c>
      <x:c r="P35" s="11" t="n">
        <x:v>10</x:v>
      </x:c>
      <x:c r="Q35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6" ht="23" customHeight="1">
      <x:c r="A36" s="11" t="str">
        <x:v>06160.HK</x:v>
      </x:c>
      <x:c r="B36" s="11" t="str">
        <x:v>百济神州</x:v>
      </x:c>
      <x:c r="C36" s="11" t="str">
        <x:v>一年</x:v>
      </x:c>
      <x:c r="D36" s="33" t="n">
        <x:v>4.3</x:v>
      </x:c>
      <x:c r="E36" s="33" t="n">
        <x:v>3.3</x:v>
      </x:c>
      <x:c r="F36" s="33" t="n">
        <x:v>4.6</x:v>
      </x:c>
      <x:c r="G36" s="33" t="n">
        <x:v>4.6</x:v>
      </x:c>
      <x:c r="H36" s="33" t="n">
        <x:v>4.5</x:v>
      </x:c>
      <x:c r="I36" s="33" t="n">
        <x:v>3.8</x:v>
      </x:c>
      <x:c r="J36" s="34" t="n">
        <x:f>SUMPRODUCT(D36:I36,K36:P36)/5</x:f>
        <x:v>84.8</x:v>
      </x:c>
      <x:c r="K36" s="11" t="n">
        <x:v>25</x:v>
      </x:c>
      <x:c r="L36" s="11" t="n">
        <x:v>15</x:v>
      </x:c>
      <x:c r="M36" s="11" t="n">
        <x:v>25</x:v>
      </x:c>
      <x:c r="N36" s="11" t="n">
        <x:v>15</x:v>
      </x:c>
      <x:c r="O36" s="11" t="n">
        <x:v>10</x:v>
      </x:c>
      <x:c r="P36" s="11" t="n">
        <x:v>10</x:v>
      </x:c>
      <x:c r="Q36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7" ht="23" customHeight="1">
      <x:c r="A37" s="11" t="str">
        <x:v>06160.HK</x:v>
      </x:c>
      <x:c r="B37" s="11" t="str">
        <x:v>百济神州</x:v>
      </x:c>
      <x:c r="C37" s="11" t="str">
        <x:v>三年</x:v>
      </x:c>
      <x:c r="D37" s="33" t="n">
        <x:v>4.6</x:v>
      </x:c>
      <x:c r="E37" s="33" t="n">
        <x:v>3.3</x:v>
      </x:c>
      <x:c r="F37" s="33" t="n">
        <x:v>4.7</x:v>
      </x:c>
      <x:c r="G37" s="33" t="n">
        <x:v>4.7</x:v>
      </x:c>
      <x:c r="H37" s="33" t="n">
        <x:v>4.2</x:v>
      </x:c>
      <x:c r="I37" s="33" t="n">
        <x:v>3.7</x:v>
      </x:c>
      <x:c r="J37" s="34" t="n">
        <x:f>SUMPRODUCT(D37:I37,K37:P37)/5</x:f>
        <x:v>89.6</x:v>
      </x:c>
      <x:c r="K37" s="11" t="n">
        <x:v>25</x:v>
      </x:c>
      <x:c r="L37" s="11" t="n">
        <x:v>5</x:v>
      </x:c>
      <x:c r="M37" s="11" t="n">
        <x:v>35</x:v>
      </x:c>
      <x:c r="N37" s="11" t="n">
        <x:v>20</x:v>
      </x:c>
      <x:c r="O37" s="11" t="n">
        <x:v>5</x:v>
      </x:c>
      <x:c r="P37" s="11" t="n">
        <x:v>10</x:v>
      </x:c>
      <x:c r="Q37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8" ht="23" customHeight="1">
      <x:c r="A38" s="11" t="str">
        <x:v>06160.HK</x:v>
      </x:c>
      <x:c r="B38" s="11" t="str">
        <x:v>百济神州</x:v>
      </x:c>
      <x:c r="C38" s="11" t="str">
        <x:v>五年</x:v>
      </x:c>
      <x:c r="D38" s="33" t="n">
        <x:v>4.6</x:v>
      </x:c>
      <x:c r="E38" s="33" t="n">
        <x:v>0</x:v>
      </x:c>
      <x:c r="F38" s="33" t="n">
        <x:v>4.7</x:v>
      </x:c>
      <x:c r="G38" s="33" t="n">
        <x:v>4.7</x:v>
      </x:c>
      <x:c r="H38" s="33" t="n">
        <x:v>4</x:v>
      </x:c>
      <x:c r="I38" s="33" t="n">
        <x:v>3.5</x:v>
      </x:c>
      <x:c r="J38" s="34" t="n">
        <x:f>SUMPRODUCT(D38:I38,K38:P38)/5</x:f>
        <x:v>89.3</x:v>
      </x:c>
      <x:c r="K38" s="11" t="n">
        <x:v>20</x:v>
      </x:c>
      <x:c r="L38" s="11" t="n">
        <x:v>0</x:v>
      </x:c>
      <x:c r="M38" s="11" t="n">
        <x:v>40</x:v>
      </x:c>
      <x:c r="N38" s="11" t="n">
        <x:v>20</x:v>
      </x:c>
      <x:c r="O38" s="11" t="n">
        <x:v>5</x:v>
      </x:c>
      <x:c r="P38" s="11" t="n">
        <x:v>15</x:v>
      </x:c>
      <x:c r="Q38" s="11" t="str">
        <x:v>同股经济收益共享，HK估值较低而A股溢价需要敏感性；用正常税后经营利润+超额净现金，不使用报告PE直接外推；HK日线回调周线上升，上涨日量大于下跌日；A价低全部日均线，短期弱于沪深300，行业比较缺失；产品31.4%增长，全球产品GM89.2%，经营杠杆；高R&amp;D和股份薪酬保留成本；癌症需求与慢性血液瘤持续治疗，欧美支付/医保净价及新机制竞争；已批准BCL2商业化、MANGROVE、条件性BTK CDAC申报、实瘤三期规划，具体日期不造；现金充裕但银行债/担保/地区现金限制/股权激励与税务检查；售出royalty不可再算股东经济流</x:v>
      </x:c>
    </x:row>
    <x:row r="39" ht="23" customHeight="1">
      <x:c r="A39" s="11" t="str">
        <x:v>09626.HK</x:v>
      </x:c>
      <x:c r="B39" s="11" t="str">
        <x:v>哔哩哔哩-W</x:v>
      </x:c>
      <x:c r="C39" s="11" t="str">
        <x:v>半年</x:v>
      </x:c>
      <x:c r="D39" s="33" t="n">
        <x:v>3.5</x:v>
      </x:c>
      <x:c r="E39" s="33" t="n">
        <x:v>2.5</x:v>
      </x:c>
      <x:c r="F39" s="33" t="n">
        <x:v>3.6</x:v>
      </x:c>
      <x:c r="G39" s="33" t="n">
        <x:v>3.5</x:v>
      </x:c>
      <x:c r="H39" s="33" t="n">
        <x:v>4</x:v>
      </x:c>
      <x:c r="I39" s="33" t="n">
        <x:v>2.9</x:v>
      </x:c>
      <x:c r="J39" s="34" t="n">
        <x:f>SUMPRODUCT(D39:I39,K39:P39)/5</x:f>
        <x:v>64.1</x:v>
      </x:c>
      <x:c r="K39" s="11" t="n">
        <x:v>25</x:v>
      </x:c>
      <x:c r="L39" s="11" t="n">
        <x:v>30</x:v>
      </x:c>
      <x:c r="M39" s="11" t="n">
        <x:v>15</x:v>
      </x:c>
      <x:c r="N39" s="11" t="n">
        <x:v>10</x:v>
      </x:c>
      <x:c r="O39" s="11" t="n">
        <x:v>10</x:v>
      </x:c>
      <x:c r="P39" s="11" t="n">
        <x:v>10</x:v>
      </x:c>
      <x:c r="Q39" s="11" t="str"/>
    </x:row>
    <x:row r="40" ht="23" customHeight="1">
      <x:c r="A40" s="11" t="str">
        <x:v>09626.HK</x:v>
      </x:c>
      <x:c r="B40" s="11" t="str">
        <x:v>哔哩哔哩-W</x:v>
      </x:c>
      <x:c r="C40" s="11" t="str">
        <x:v>一年</x:v>
      </x:c>
      <x:c r="D40" s="33" t="n">
        <x:v>3.8</x:v>
      </x:c>
      <x:c r="E40" s="33" t="n">
        <x:v>2.7</x:v>
      </x:c>
      <x:c r="F40" s="33" t="n">
        <x:v>3.8</x:v>
      </x:c>
      <x:c r="G40" s="33" t="n">
        <x:v>3.6</x:v>
      </x:c>
      <x:c r="H40" s="33" t="n">
        <x:v>4</x:v>
      </x:c>
      <x:c r="I40" s="33" t="n">
        <x:v>2.9</x:v>
      </x:c>
      <x:c r="J40" s="34" t="n">
        <x:f>SUMPRODUCT(D40:I40,K40:P40)/5</x:f>
        <x:v>70.7</x:v>
      </x:c>
      <x:c r="K40" s="11" t="n">
        <x:v>25</x:v>
      </x:c>
      <x:c r="L40" s="11" t="n">
        <x:v>15</x:v>
      </x:c>
      <x:c r="M40" s="11" t="n">
        <x:v>25</x:v>
      </x:c>
      <x:c r="N40" s="11" t="n">
        <x:v>15</x:v>
      </x:c>
      <x:c r="O40" s="11" t="n">
        <x:v>10</x:v>
      </x:c>
      <x:c r="P40" s="11" t="n">
        <x:v>10</x:v>
      </x:c>
      <x:c r="Q40" s="11" t="str"/>
    </x:row>
    <x:row r="41" ht="23" customHeight="1">
      <x:c r="A41" s="11" t="str">
        <x:v>09626.HK</x:v>
      </x:c>
      <x:c r="B41" s="11" t="str">
        <x:v>哔哩哔哩-W</x:v>
      </x:c>
      <x:c r="C41" s="11" t="str">
        <x:v>三年</x:v>
      </x:c>
      <x:c r="D41" s="33" t="n">
        <x:v>3.9</x:v>
      </x:c>
      <x:c r="E41" s="33" t="n">
        <x:v>2.7</x:v>
      </x:c>
      <x:c r="F41" s="33" t="n">
        <x:v>4</x:v>
      </x:c>
      <x:c r="G41" s="33" t="n">
        <x:v>3.9</x:v>
      </x:c>
      <x:c r="H41" s="33" t="n">
        <x:v>3.8</x:v>
      </x:c>
      <x:c r="I41" s="33" t="n">
        <x:v>2.8</x:v>
      </x:c>
      <x:c r="J41" s="34" t="n">
        <x:f>SUMPRODUCT(D41:I41,K41:P41)/5</x:f>
        <x:v>75.2</x:v>
      </x:c>
      <x:c r="K41" s="11" t="n">
        <x:v>25</x:v>
      </x:c>
      <x:c r="L41" s="11" t="n">
        <x:v>5</x:v>
      </x:c>
      <x:c r="M41" s="11" t="n">
        <x:v>35</x:v>
      </x:c>
      <x:c r="N41" s="11" t="n">
        <x:v>20</x:v>
      </x:c>
      <x:c r="O41" s="11" t="n">
        <x:v>5</x:v>
      </x:c>
      <x:c r="P41" s="11" t="n">
        <x:v>10</x:v>
      </x:c>
      <x:c r="Q41" s="11" t="str"/>
    </x:row>
    <x:row r="42" ht="23" customHeight="1">
      <x:c r="A42" s="11" t="str">
        <x:v>09626.HK</x:v>
      </x:c>
      <x:c r="B42" s="11" t="str">
        <x:v>哔哩哔哩-W</x:v>
      </x:c>
      <x:c r="C42" s="11" t="str">
        <x:v>五年</x:v>
      </x:c>
      <x:c r="D42" s="33" t="n">
        <x:v>3.7</x:v>
      </x:c>
      <x:c r="E42" s="33" t="n">
        <x:v>2.6</x:v>
      </x:c>
      <x:c r="F42" s="33" t="n">
        <x:v>4</x:v>
      </x:c>
      <x:c r="G42" s="33" t="n">
        <x:v>3.8</x:v>
      </x:c>
      <x:c r="H42" s="33" t="n">
        <x:v>3.6</x:v>
      </x:c>
      <x:c r="I42" s="33" t="n">
        <x:v>2.7</x:v>
      </x:c>
      <x:c r="J42" s="34" t="n">
        <x:f>SUMPRODUCT(D42:I42,K42:P42)/5</x:f>
        <x:v>73.7</x:v>
      </x:c>
      <x:c r="K42" s="11" t="n">
        <x:v>20</x:v>
      </x:c>
      <x:c r="L42" s="11" t="n">
        <x:v>0</x:v>
      </x:c>
      <x:c r="M42" s="11" t="n">
        <x:v>40</x:v>
      </x:c>
      <x:c r="N42" s="11" t="n">
        <x:v>20</x:v>
      </x:c>
      <x:c r="O42" s="11" t="n">
        <x:v>5</x:v>
      </x:c>
      <x:c r="P42" s="11" t="n">
        <x:v>15</x:v>
      </x:c>
      <x:c r="Q42" s="11" t="str"/>
    </x:row>
    <x:row r="43" ht="23" customHeight="1">
      <x:c r="A43" s="11" t="str">
        <x:v>01211.HK</x:v>
      </x:c>
      <x:c r="B43" s="11" t="str">
        <x:v>比亚迪股份</x:v>
      </x:c>
      <x:c r="C43" s="11" t="str">
        <x:v>半年</x:v>
      </x:c>
      <x:c r="D43" s="33" t="n">
        <x:v>3.7</x:v>
      </x:c>
      <x:c r="E43" s="33" t="n">
        <x:v>1.9</x:v>
      </x:c>
      <x:c r="F43" s="33" t="n">
        <x:v>3.7</x:v>
      </x:c>
      <x:c r="G43" s="33" t="n">
        <x:v>4</x:v>
      </x:c>
      <x:c r="H43" s="33" t="n">
        <x:v>4</x:v>
      </x:c>
      <x:c r="I43" s="33" t="n">
        <x:v>2.8</x:v>
      </x:c>
      <x:c r="J43" s="34" t="n">
        <x:f>SUMPRODUCT(D43:I43,K43:P43)/5</x:f>
        <x:v>62.6</x:v>
      </x:c>
      <x:c r="K43" s="11" t="n">
        <x:v>25</x:v>
      </x:c>
      <x:c r="L43" s="11" t="n">
        <x:v>30</x:v>
      </x:c>
      <x:c r="M43" s="11" t="n">
        <x:v>15</x:v>
      </x:c>
      <x:c r="N43" s="11" t="n">
        <x:v>10</x:v>
      </x:c>
      <x:c r="O43" s="11" t="n">
        <x:v>10</x:v>
      </x:c>
      <x:c r="P43" s="11" t="n">
        <x:v>10</x:v>
      </x:c>
      <x:c r="Q43" s="11" t="str">
        <x:v>FY2025EPS3.58当前研究PE19.20，H1年化1.35约25.45；修复与海外利润可能有空间，不能称低于历史底，悲观持续价格压力大；全部20/60/120/250日线下且下斜；20/60日跌4.97/16.88%、落后恒指1.99/13.69pp，反弹3.7%量比1.233尚未确认；技术、制造、海外与车型组合有优势，但H1收入-7.13%归母-20.54%，资本化研发5.554bn提高净利需正常化；新能源渗透、储能与海外需求有空间，国内消费疲弱、价格竞争、海外本地化及关税限制利润；9月销量463561较去年396270回升，累计仍-3.94%；海外、产品与季报提供验证，新闻470万销量/2万海外利润非实现；H1OCF37.335bn增但固定无形现金44.703bn，FCF代理负7.368bn；库存189.991bn、应付和合同款及债永续支持投入需现金约束</x:v>
      </x:c>
    </x:row>
    <x:row r="44" ht="23" customHeight="1">
      <x:c r="A44" s="11" t="str">
        <x:v>01211.HK</x:v>
      </x:c>
      <x:c r="B44" s="11" t="str">
        <x:v>比亚迪股份</x:v>
      </x:c>
      <x:c r="C44" s="11" t="str">
        <x:v>一年</x:v>
      </x:c>
      <x:c r="D44" s="33" t="n">
        <x:v>3.9</x:v>
      </x:c>
      <x:c r="E44" s="33" t="n">
        <x:v>1.9</x:v>
      </x:c>
      <x:c r="F44" s="33" t="n">
        <x:v>4</x:v>
      </x:c>
      <x:c r="G44" s="33" t="n">
        <x:v>4.1</x:v>
      </x:c>
      <x:c r="H44" s="33" t="n">
        <x:v>4</x:v>
      </x:c>
      <x:c r="I44" s="33" t="n">
        <x:v>2.8</x:v>
      </x:c>
      <x:c r="J44" s="34" t="n">
        <x:f>SUMPRODUCT(D44:I44,K44:P44)/5</x:f>
        <x:v>71.1</x:v>
      </x:c>
      <x:c r="K44" s="11" t="n">
        <x:v>25</x:v>
      </x:c>
      <x:c r="L44" s="11" t="n">
        <x:v>15</x:v>
      </x:c>
      <x:c r="M44" s="11" t="n">
        <x:v>25</x:v>
      </x:c>
      <x:c r="N44" s="11" t="n">
        <x:v>15</x:v>
      </x:c>
      <x:c r="O44" s="11" t="n">
        <x:v>10</x:v>
      </x:c>
      <x:c r="P44" s="11" t="n">
        <x:v>10</x:v>
      </x:c>
      <x:c r="Q44" s="11" t="str">
        <x:v>FY2025EPS3.58当前研究PE19.20，H1年化1.35约25.45；修复与海外利润可能有空间，不能称低于历史底，悲观持续价格压力大；全部20/60/120/250日线下且下斜；20/60日跌4.97/16.88%、落后恒指1.99/13.69pp，反弹3.7%量比1.233尚未确认；技术、制造、海外与车型组合有优势，但H1收入-7.13%归母-20.54%，资本化研发5.554bn提高净利需正常化；新能源渗透、储能与海外需求有空间，国内消费疲弱、价格竞争、海外本地化及关税限制利润；9月销量463561较去年396270回升，累计仍-3.94%；海外、产品与季报提供验证，新闻470万销量/2万海外利润非实现；H1OCF37.335bn增但固定无形现金44.703bn，FCF代理负7.368bn；库存189.991bn、应付和合同款及债永续支持投入需现金约束</x:v>
      </x:c>
    </x:row>
    <x:row r="45" ht="23" customHeight="1">
      <x:c r="A45" s="11" t="str">
        <x:v>01211.HK</x:v>
      </x:c>
      <x:c r="B45" s="11" t="str">
        <x:v>比亚迪股份</x:v>
      </x:c>
      <x:c r="C45" s="11" t="str">
        <x:v>三年</x:v>
      </x:c>
      <x:c r="D45" s="33" t="n">
        <x:v>4</x:v>
      </x:c>
      <x:c r="E45" s="33" t="n">
        <x:v>1.9</x:v>
      </x:c>
      <x:c r="F45" s="33" t="n">
        <x:v>4.2</x:v>
      </x:c>
      <x:c r="G45" s="33" t="n">
        <x:v>4.3</x:v>
      </x:c>
      <x:c r="H45" s="33" t="n">
        <x:v>4</x:v>
      </x:c>
      <x:c r="I45" s="33" t="n">
        <x:v>2.6</x:v>
      </x:c>
      <x:c r="J45" s="34" t="n">
        <x:f>SUMPRODUCT(D45:I45,K45:P45)/5</x:f>
        <x:v>77.7</x:v>
      </x:c>
      <x:c r="K45" s="11" t="n">
        <x:v>25</x:v>
      </x:c>
      <x:c r="L45" s="11" t="n">
        <x:v>5</x:v>
      </x:c>
      <x:c r="M45" s="11" t="n">
        <x:v>35</x:v>
      </x:c>
      <x:c r="N45" s="11" t="n">
        <x:v>20</x:v>
      </x:c>
      <x:c r="O45" s="11" t="n">
        <x:v>5</x:v>
      </x:c>
      <x:c r="P45" s="11" t="n">
        <x:v>10</x:v>
      </x:c>
      <x:c r="Q45" s="11" t="str">
        <x:v>FY2025EPS3.58当前研究PE19.20，H1年化1.35约25.45；修复与海外利润可能有空间，不能称低于历史底，悲观持续价格压力大；全部20/60/120/250日线下且下斜；20/60日跌4.97/16.88%、落后恒指1.99/13.69pp，反弹3.7%量比1.233尚未确认；技术、制造、海外与车型组合有优势，但H1收入-7.13%归母-20.54%，资本化研发5.554bn提高净利需正常化；新能源渗透、储能与海外需求有空间，国内消费疲弱、价格竞争、海外本地化及关税限制利润；9月销量463561较去年396270回升，累计仍-3.94%；海外、产品与季报提供验证，新闻470万销量/2万海外利润非实现；H1OCF37.335bn增但固定无形现金44.703bn，FCF代理负7.368bn；库存189.991bn、应付和合同款及债永续支持投入需现金约束</x:v>
      </x:c>
    </x:row>
    <x:row r="46" ht="23" customHeight="1">
      <x:c r="A46" s="11" t="str">
        <x:v>01211.HK</x:v>
      </x:c>
      <x:c r="B46" s="11" t="str">
        <x:v>比亚迪股份</x:v>
      </x:c>
      <x:c r="C46" s="11" t="str">
        <x:v>五年</x:v>
      </x:c>
      <x:c r="D46" s="33" t="n">
        <x:v>3.9</x:v>
      </x:c>
      <x:c r="E46" s="33" t="n">
        <x:v>1.9</x:v>
      </x:c>
      <x:c r="F46" s="33" t="n">
        <x:v>4.3</x:v>
      </x:c>
      <x:c r="G46" s="33" t="n">
        <x:v>4.3</x:v>
      </x:c>
      <x:c r="H46" s="33" t="n">
        <x:v>3.8</x:v>
      </x:c>
      <x:c r="I46" s="33" t="n">
        <x:v>2.4</x:v>
      </x:c>
      <x:c r="J46" s="34" t="n">
        <x:f>SUMPRODUCT(D46:I46,K46:P46)/5</x:f>
        <x:v>78.2</x:v>
      </x:c>
      <x:c r="K46" s="11" t="n">
        <x:v>20</x:v>
      </x:c>
      <x:c r="L46" s="11" t="n">
        <x:v>0</x:v>
      </x:c>
      <x:c r="M46" s="11" t="n">
        <x:v>40</x:v>
      </x:c>
      <x:c r="N46" s="11" t="n">
        <x:v>20</x:v>
      </x:c>
      <x:c r="O46" s="11" t="n">
        <x:v>5</x:v>
      </x:c>
      <x:c r="P46" s="11" t="n">
        <x:v>15</x:v>
      </x:c>
      <x:c r="Q46" s="11" t="str">
        <x:v>FY2025EPS3.58当前研究PE19.20，H1年化1.35约25.45；修复与海外利润可能有空间，不能称低于历史底，悲观持续价格压力大；全部20/60/120/250日线下且下斜；20/60日跌4.97/16.88%、落后恒指1.99/13.69pp，反弹3.7%量比1.233尚未确认；技术、制造、海外与车型组合有优势，但H1收入-7.13%归母-20.54%，资本化研发5.554bn提高净利需正常化；新能源渗透、储能与海外需求有空间，国内消费疲弱、价格竞争、海外本地化及关税限制利润；9月销量463561较去年396270回升，累计仍-3.94%；海外、产品与季报提供验证，新闻470万销量/2万海外利润非实现；H1OCF37.335bn增但固定无形现金44.703bn，FCF代理负7.368bn；库存189.991bn、应付和合同款及债永续支持投入需现金约束</x:v>
      </x:c>
    </x:row>
    <x:row r="47" ht="23" customHeight="1">
      <x:c r="A47" s="11" t="str">
        <x:v>03750.HK</x:v>
      </x:c>
      <x:c r="B47" s="11" t="str">
        <x:v>宁德时代</x:v>
      </x:c>
      <x:c r="C47" s="11" t="str">
        <x:v>半年</x:v>
      </x:c>
      <x:c r="D47" s="33" t="n">
        <x:v>3.3</x:v>
      </x:c>
      <x:c r="E47" s="33" t="n">
        <x:v>1.8</x:v>
      </x:c>
      <x:c r="F47" s="33" t="n">
        <x:v>4.3</x:v>
      </x:c>
      <x:c r="G47" s="33" t="n">
        <x:v>4</x:v>
      </x:c>
      <x:c r="H47" s="33" t="n">
        <x:v>2.8</x:v>
      </x:c>
      <x:c r="I47" s="33" t="n">
        <x:v>3.6</x:v>
      </x:c>
      <x:c r="J47" s="34" t="n">
        <x:f>SUMPRODUCT(D47:I47,K47:P47)/5</x:f>
        <x:v>61</x:v>
      </x:c>
      <x:c r="K47" s="11" t="n">
        <x:v>25</x:v>
      </x:c>
      <x:c r="L47" s="11" t="n">
        <x:v>30</x:v>
      </x:c>
      <x:c r="M47" s="11" t="n">
        <x:v>15</x:v>
      </x:c>
      <x:c r="N47" s="11" t="n">
        <x:v>10</x:v>
      </x:c>
      <x:c r="O47" s="11" t="n">
        <x:v>10</x:v>
      </x:c>
      <x:c r="P47" s="11" t="n">
        <x:v>10</x:v>
      </x:c>
      <x:c r="Q47" s="11" t="str">
        <x:v>历史FY2025 EPS16.14在1.10汇率约27.68倍，强增长但现金及毛利受压；基准一年658.27有条件收益，正常利润和PE敏感；现价低20/60/120/250日均线且各斜率负，20日上下量比0.514，60日落后恒指17.487pp；单日3.06%反弹非反转；H1收入+54.8%、扣非+43.44%，动力和储能领先，研发全部费用化；海外制造与保修带持续资本成本；电动化储能与数据中心供电需求支持，车市竞争、海外本土化及储能电价机制影响盈利；三季财报及2027首季需求更清晰；产品发布战略协议不当确定订单；现金覆盖借债但受限与透支须分，库存应收增长、供应商融资57.764bn、保修预计负债与新配售需监控</x:v>
      </x:c>
    </x:row>
    <x:row r="48" ht="23" customHeight="1">
      <x:c r="A48" s="11" t="str">
        <x:v>03750.HK</x:v>
      </x:c>
      <x:c r="B48" s="11" t="str">
        <x:v>宁德时代</x:v>
      </x:c>
      <x:c r="C48" s="11" t="str">
        <x:v>一年</x:v>
      </x:c>
      <x:c r="D48" s="33" t="n">
        <x:v>3.8</x:v>
      </x:c>
      <x:c r="E48" s="33" t="n">
        <x:v>1.8</x:v>
      </x:c>
      <x:c r="F48" s="33" t="n">
        <x:v>4.4</x:v>
      </x:c>
      <x:c r="G48" s="33" t="n">
        <x:v>4.2</x:v>
      </x:c>
      <x:c r="H48" s="33" t="n">
        <x:v>3.5</x:v>
      </x:c>
      <x:c r="I48" s="33" t="n">
        <x:v>3.6</x:v>
      </x:c>
      <x:c r="J48" s="34" t="n">
        <x:f>SUMPRODUCT(D48:I48,K48:P48)/5</x:f>
        <x:v>73.2</x:v>
      </x:c>
      <x:c r="K48" s="11" t="n">
        <x:v>25</x:v>
      </x:c>
      <x:c r="L48" s="11" t="n">
        <x:v>15</x:v>
      </x:c>
      <x:c r="M48" s="11" t="n">
        <x:v>25</x:v>
      </x:c>
      <x:c r="N48" s="11" t="n">
        <x:v>15</x:v>
      </x:c>
      <x:c r="O48" s="11" t="n">
        <x:v>10</x:v>
      </x:c>
      <x:c r="P48" s="11" t="n">
        <x:v>10</x:v>
      </x:c>
      <x:c r="Q48" s="11" t="str">
        <x:v>历史FY2025 EPS16.14在1.10汇率约27.68倍，强增长但现金及毛利受压；基准一年658.27有条件收益，正常利润和PE敏感；现价低20/60/120/250日均线且各斜率负，20日上下量比0.514，60日落后恒指17.487pp；单日3.06%反弹非反转；H1收入+54.8%、扣非+43.44%，动力和储能领先，研发全部费用化；海外制造与保修带持续资本成本；电动化储能与数据中心供电需求支持，车市竞争、海外本土化及储能电价机制影响盈利；三季财报及2027首季需求更清晰；产品发布战略协议不当确定订单；现金覆盖借债但受限与透支须分，库存应收增长、供应商融资57.764bn、保修预计负债与新配售需监控</x:v>
      </x:c>
    </x:row>
    <x:row r="49" ht="23" customHeight="1">
      <x:c r="A49" s="11" t="str">
        <x:v>03750.HK</x:v>
      </x:c>
      <x:c r="B49" s="11" t="str">
        <x:v>宁德时代</x:v>
      </x:c>
      <x:c r="C49" s="11" t="str">
        <x:v>三年</x:v>
      </x:c>
      <x:c r="D49" s="33" t="n">
        <x:v>4</x:v>
      </x:c>
      <x:c r="E49" s="33" t="n">
        <x:v>1.8</x:v>
      </x:c>
      <x:c r="F49" s="33" t="n">
        <x:v>4.5</x:v>
      </x:c>
      <x:c r="G49" s="33" t="n">
        <x:v>4.4</x:v>
      </x:c>
      <x:c r="H49" s="33" t="n">
        <x:v>3.5</x:v>
      </x:c>
      <x:c r="I49" s="33" t="n">
        <x:v>3.6</x:v>
      </x:c>
      <x:c r="J49" s="34" t="n">
        <x:f>SUMPRODUCT(D49:I49,K49:P49)/5</x:f>
        <x:v>81.6</x:v>
      </x:c>
      <x:c r="K49" s="11" t="n">
        <x:v>25</x:v>
      </x:c>
      <x:c r="L49" s="11" t="n">
        <x:v>5</x:v>
      </x:c>
      <x:c r="M49" s="11" t="n">
        <x:v>35</x:v>
      </x:c>
      <x:c r="N49" s="11" t="n">
        <x:v>20</x:v>
      </x:c>
      <x:c r="O49" s="11" t="n">
        <x:v>5</x:v>
      </x:c>
      <x:c r="P49" s="11" t="n">
        <x:v>10</x:v>
      </x:c>
      <x:c r="Q49" s="11" t="str">
        <x:v>历史FY2025 EPS16.14在1.10汇率约27.68倍，强增长但现金及毛利受压；基准一年658.27有条件收益，正常利润和PE敏感；现价低20/60/120/250日均线且各斜率负，20日上下量比0.514，60日落后恒指17.487pp；单日3.06%反弹非反转；H1收入+54.8%、扣非+43.44%，动力和储能领先，研发全部费用化；海外制造与保修带持续资本成本；电动化储能与数据中心供电需求支持，车市竞争、海外本土化及储能电价机制影响盈利；三季财报及2027首季需求更清晰；产品发布战略协议不当确定订单；现金覆盖借债但受限与透支须分，库存应收增长、供应商融资57.764bn、保修预计负债与新配售需监控</x:v>
      </x:c>
    </x:row>
    <x:row r="50" ht="23" customHeight="1">
      <x:c r="A50" s="11" t="str">
        <x:v>03750.HK</x:v>
      </x:c>
      <x:c r="B50" s="11" t="str">
        <x:v>宁德时代</x:v>
      </x:c>
      <x:c r="C50" s="11" t="str">
        <x:v>五年</x:v>
      </x:c>
      <x:c r="D50" s="33" t="n">
        <x:v>3.9</x:v>
      </x:c>
      <x:c r="E50" s="33" t="n">
        <x:v>1.8</x:v>
      </x:c>
      <x:c r="F50" s="33" t="n">
        <x:v>4.5</x:v>
      </x:c>
      <x:c r="G50" s="33" t="n">
        <x:v>4.5</x:v>
      </x:c>
      <x:c r="H50" s="33" t="n">
        <x:v>3.5</x:v>
      </x:c>
      <x:c r="I50" s="33" t="n">
        <x:v>3.5</x:v>
      </x:c>
      <x:c r="J50" s="34" t="n">
        <x:f>SUMPRODUCT(D50:I50,K50:P50)/5</x:f>
        <x:v>83.6</x:v>
      </x:c>
      <x:c r="K50" s="11" t="n">
        <x:v>20</x:v>
      </x:c>
      <x:c r="L50" s="11" t="n">
        <x:v>0</x:v>
      </x:c>
      <x:c r="M50" s="11" t="n">
        <x:v>40</x:v>
      </x:c>
      <x:c r="N50" s="11" t="n">
        <x:v>20</x:v>
      </x:c>
      <x:c r="O50" s="11" t="n">
        <x:v>5</x:v>
      </x:c>
      <x:c r="P50" s="11" t="n">
        <x:v>15</x:v>
      </x:c>
      <x:c r="Q50" s="11" t="str">
        <x:v>历史FY2025 EPS16.14在1.10汇率约27.68倍，强增长但现金及毛利受压；基准一年658.27有条件收益，正常利润和PE敏感；现价低20/60/120/250日均线且各斜率负，20日上下量比0.514，60日落后恒指17.487pp；单日3.06%反弹非反转；H1收入+54.8%、扣非+43.44%，动力和储能领先，研发全部费用化；海外制造与保修带持续资本成本；电动化储能与数据中心供电需求支持，车市竞争、海外本土化及储能电价机制影响盈利；三季财报及2027首季需求更清晰；产品发布战略协议不当确定订单；现金覆盖借债但受限与透支须分，库存应收增长、供应商融资57.764bn、保修预计负债与新配售需监控</x:v>
      </x:c>
    </x:row>
    <x:row r="51" ht="23" customHeight="1">
      <x:c r="A51" s="11" t="str">
        <x:v>01093.HK</x:v>
      </x:c>
      <x:c r="B51" s="11" t="str">
        <x:v>石药集团</x:v>
      </x:c>
      <x:c r="C51" s="11" t="str">
        <x:v>半年</x:v>
      </x:c>
      <x:c r="D51" s="33" t="n">
        <x:v>3.6</x:v>
      </x:c>
      <x:c r="E51" s="33" t="n">
        <x:v>3.1</x:v>
      </x:c>
      <x:c r="F51" s="33" t="n">
        <x:v>3.4</x:v>
      </x:c>
      <x:c r="G51" s="33" t="n">
        <x:v>3.8</x:v>
      </x:c>
      <x:c r="H51" s="33" t="n">
        <x:v>4.5</x:v>
      </x:c>
      <x:c r="I51" s="33" t="n">
        <x:v>3.8</x:v>
      </x:c>
      <x:c r="J51" s="34" t="n">
        <x:f>SUMPRODUCT(D51:I51,K51:P51)/5</x:f>
        <x:v>71</x:v>
      </x:c>
      <x:c r="K51" s="11" t="n">
        <x:v>25</x:v>
      </x:c>
      <x:c r="L51" s="11" t="n">
        <x:v>30</x:v>
      </x:c>
      <x:c r="M51" s="11" t="n">
        <x:v>15</x:v>
      </x:c>
      <x:c r="N51" s="11" t="n">
        <x:v>10</x:v>
      </x:c>
      <x:c r="O51" s="11" t="n">
        <x:v>10</x:v>
      </x:c>
      <x:c r="P51" s="11" t="n">
        <x:v>10</x:v>
      </x:c>
      <x:c r="Q51" s="11" t="str">
        <x:v>基准9.085低于多家公开目标，使用核心EPSPE+可用现金+分组研发权益；失去首付利润时不能用低报告PE；60日附近回调，20日下方且MACD负柱、日下跌放量；周中期改善，恒指60日超额8.83pp；成药+10.8%而所有产品仅+4.1%，授权58.95亿为一次；神经优势及研发平台，旧品价格侵蚀；脑血管/代谢/肿瘤未满足需求，原料VC/抗生素周期与医保价格，海外Lp(a)临床转化风险；EGFR ADC/JMT101 III期顶线、ESMO详报预告、新品医保/上市，海外伙伴推动；低银行债务、现金高但2.460bn可退首付、未完履约和少数归属；股份奖励并非注销</x:v>
      </x:c>
    </x:row>
    <x:row r="52" ht="23" customHeight="1">
      <x:c r="A52" s="11" t="str">
        <x:v>01093.HK</x:v>
      </x:c>
      <x:c r="B52" s="11" t="str">
        <x:v>石药集团</x:v>
      </x:c>
      <x:c r="C52" s="11" t="str">
        <x:v>一年</x:v>
      </x:c>
      <x:c r="D52" s="33" t="n">
        <x:v>3.8</x:v>
      </x:c>
      <x:c r="E52" s="33" t="n">
        <x:v>3.1</x:v>
      </x:c>
      <x:c r="F52" s="33" t="n">
        <x:v>3.7</x:v>
      </x:c>
      <x:c r="G52" s="33" t="n">
        <x:v>4</x:v>
      </x:c>
      <x:c r="H52" s="33" t="n">
        <x:v>4.4</x:v>
      </x:c>
      <x:c r="I52" s="33" t="n">
        <x:v>3.7</x:v>
      </x:c>
      <x:c r="J52" s="34" t="n">
        <x:f>SUMPRODUCT(D52:I52,K52:P52)/5</x:f>
        <x:v>75</x:v>
      </x:c>
      <x:c r="K52" s="11" t="n">
        <x:v>25</x:v>
      </x:c>
      <x:c r="L52" s="11" t="n">
        <x:v>15</x:v>
      </x:c>
      <x:c r="M52" s="11" t="n">
        <x:v>25</x:v>
      </x:c>
      <x:c r="N52" s="11" t="n">
        <x:v>15</x:v>
      </x:c>
      <x:c r="O52" s="11" t="n">
        <x:v>10</x:v>
      </x:c>
      <x:c r="P52" s="11" t="n">
        <x:v>10</x:v>
      </x:c>
      <x:c r="Q52" s="11" t="str">
        <x:v>基准9.085低于多家公开目标，使用核心EPSPE+可用现金+分组研发权益；失去首付利润时不能用低报告PE；60日附近回调，20日下方且MACD负柱、日下跌放量；周中期改善，恒指60日超额8.83pp；成药+10.8%而所有产品仅+4.1%，授权58.95亿为一次；神经优势及研发平台，旧品价格侵蚀；脑血管/代谢/肿瘤未满足需求，原料VC/抗生素周期与医保价格，海外Lp(a)临床转化风险；EGFR ADC/JMT101 III期顶线、ESMO详报预告、新品医保/上市，海外伙伴推动；低银行债务、现金高但2.460bn可退首付、未完履约和少数归属；股份奖励并非注销</x:v>
      </x:c>
    </x:row>
    <x:row r="53" ht="23" customHeight="1">
      <x:c r="A53" s="11" t="str">
        <x:v>01093.HK</x:v>
      </x:c>
      <x:c r="B53" s="11" t="str">
        <x:v>石药集团</x:v>
      </x:c>
      <x:c r="C53" s="11" t="str">
        <x:v>三年</x:v>
      </x:c>
      <x:c r="D53" s="33" t="n">
        <x:v>4</x:v>
      </x:c>
      <x:c r="E53" s="33" t="n">
        <x:v>3.1</x:v>
      </x:c>
      <x:c r="F53" s="33" t="n">
        <x:v>4</x:v>
      </x:c>
      <x:c r="G53" s="33" t="n">
        <x:v>4.2</x:v>
      </x:c>
      <x:c r="H53" s="33" t="n">
        <x:v>4.2</x:v>
      </x:c>
      <x:c r="I53" s="33" t="n">
        <x:v>3.5</x:v>
      </x:c>
      <x:c r="J53" s="34" t="n">
        <x:f>SUMPRODUCT(D53:I53,K53:P53)/5</x:f>
        <x:v>79.1</x:v>
      </x:c>
      <x:c r="K53" s="11" t="n">
        <x:v>25</x:v>
      </x:c>
      <x:c r="L53" s="11" t="n">
        <x:v>5</x:v>
      </x:c>
      <x:c r="M53" s="11" t="n">
        <x:v>35</x:v>
      </x:c>
      <x:c r="N53" s="11" t="n">
        <x:v>20</x:v>
      </x:c>
      <x:c r="O53" s="11" t="n">
        <x:v>5</x:v>
      </x:c>
      <x:c r="P53" s="11" t="n">
        <x:v>10</x:v>
      </x:c>
      <x:c r="Q53" s="11" t="str">
        <x:v>基准9.085低于多家公开目标，使用核心EPSPE+可用现金+分组研发权益；失去首付利润时不能用低报告PE；60日附近回调，20日下方且MACD负柱、日下跌放量；周中期改善，恒指60日超额8.83pp；成药+10.8%而所有产品仅+4.1%，授权58.95亿为一次；神经优势及研发平台，旧品价格侵蚀；脑血管/代谢/肿瘤未满足需求，原料VC/抗生素周期与医保价格，海外Lp(a)临床转化风险；EGFR ADC/JMT101 III期顶线、ESMO详报预告、新品医保/上市，海外伙伴推动；低银行债务、现金高但2.460bn可退首付、未完履约和少数归属；股份奖励并非注销</x:v>
      </x:c>
    </x:row>
    <x:row r="54" ht="23" customHeight="1">
      <x:c r="A54" s="11" t="str">
        <x:v>01093.HK</x:v>
      </x:c>
      <x:c r="B54" s="11" t="str">
        <x:v>石药集团</x:v>
      </x:c>
      <x:c r="C54" s="11" t="str">
        <x:v>五年</x:v>
      </x:c>
      <x:c r="D54" s="33" t="n">
        <x:v>4</x:v>
      </x:c>
      <x:c r="E54" s="33" t="n">
        <x:v>0</x:v>
      </x:c>
      <x:c r="F54" s="33" t="n">
        <x:v>4.1</x:v>
      </x:c>
      <x:c r="G54" s="33" t="n">
        <x:v>4.2</x:v>
      </x:c>
      <x:c r="H54" s="33" t="n">
        <x:v>3.9</x:v>
      </x:c>
      <x:c r="I54" s="33" t="n">
        <x:v>3.4</x:v>
      </x:c>
      <x:c r="J54" s="34" t="n">
        <x:f>SUMPRODUCT(D54:I54,K54:P54)/5</x:f>
        <x:v>79.7</x:v>
      </x:c>
      <x:c r="K54" s="11" t="n">
        <x:v>20</x:v>
      </x:c>
      <x:c r="L54" s="11" t="n">
        <x:v>0</x:v>
      </x:c>
      <x:c r="M54" s="11" t="n">
        <x:v>40</x:v>
      </x:c>
      <x:c r="N54" s="11" t="n">
        <x:v>20</x:v>
      </x:c>
      <x:c r="O54" s="11" t="n">
        <x:v>5</x:v>
      </x:c>
      <x:c r="P54" s="11" t="n">
        <x:v>15</x:v>
      </x:c>
      <x:c r="Q54" s="11" t="str">
        <x:v>基准9.085低于多家公开目标，使用核心EPSPE+可用现金+分组研发权益；失去首付利润时不能用低报告PE；60日附近回调，20日下方且MACD负柱、日下跌放量；周中期改善，恒指60日超额8.83pp；成药+10.8%而所有产品仅+4.1%，授权58.95亿为一次；神经优势及研发平台，旧品价格侵蚀；脑血管/代谢/肿瘤未满足需求，原料VC/抗生素周期与医保价格，海外Lp(a)临床转化风险；EGFR ADC/JMT101 III期顶线、ESMO详报预告、新品医保/上市，海外伙伴推动；低银行债务、现金高但2.460bn可退首付、未完履约和少数归属；股份奖励并非注销</x:v>
      </x:c>
    </x:row>
    <x:row r="55" ht="23" customHeight="1">
      <x:c r="A55" s="11" t="str">
        <x:v>688192.SH</x:v>
      </x:c>
      <x:c r="B55" s="11" t="str">
        <x:v>迪哲医药</x:v>
      </x:c>
      <x:c r="C55" s="11" t="str">
        <x:v>半年</x:v>
      </x:c>
      <x:c r="D55" s="33" t="n">
        <x:v>1.2</x:v>
      </x:c>
      <x:c r="E55" s="33" t="n">
        <x:v>3.5</x:v>
      </x:c>
      <x:c r="F55" s="33" t="n">
        <x:v>4.1</x:v>
      </x:c>
      <x:c r="G55" s="33" t="n">
        <x:v>4.5</x:v>
      </x:c>
      <x:c r="H55" s="33" t="n">
        <x:v>4.5</x:v>
      </x:c>
      <x:c r="I55" s="33" t="n">
        <x:v>3</x:v>
      </x:c>
      <x:c r="J55" s="34" t="n">
        <x:f>SUMPRODUCT(D55:I55,K55:P55)/5</x:f>
        <x:v>63.3</x:v>
      </x:c>
      <x:c r="K55" s="11" t="n">
        <x:v>25</x:v>
      </x:c>
      <x:c r="L55" s="11" t="n">
        <x:v>30</x:v>
      </x:c>
      <x:c r="M55" s="11" t="n">
        <x:v>15</x:v>
      </x:c>
      <x:c r="N55" s="11" t="n">
        <x:v>10</x:v>
      </x:c>
      <x:c r="O55" s="11" t="n">
        <x:v>10</x:v>
      </x:c>
      <x:c r="P55" s="11" t="n">
        <x:v>10</x:v>
      </x:c>
      <x:c r="Q55" s="11" t="str">
        <x:v>已收现金降低资金风险，但现价仍要求全球版税及多管线价值，宽悲观下行；基准短期不足以显著吸引；四日均线上方但20/250日斜率负，近20日横盘、60日强；日上/下量1.38周0.71，尚非一致新趋势；H1销售+47.24%，随机三期及跨国许可证据；仍亏损，全球权益变化必须重估；精准肺癌与血液治疗升级，医保和全球研发支持，融资与药价约束；阿斯利康Q4美国商业化、一线审评及后续临床；具体获批时间未核不造；首付款已到账改善跑道；关联许可、借款、未来研发融资和董高减持需观察</x:v>
      </x:c>
    </x:row>
    <x:row r="56" ht="23" customHeight="1">
      <x:c r="A56" s="11" t="str">
        <x:v>688192.SH</x:v>
      </x:c>
      <x:c r="B56" s="11" t="str">
        <x:v>迪哲医药</x:v>
      </x:c>
      <x:c r="C56" s="11" t="str">
        <x:v>一年</x:v>
      </x:c>
      <x:c r="D56" s="33" t="n">
        <x:v>1.5</x:v>
      </x:c>
      <x:c r="E56" s="33" t="n">
        <x:v>3.5</x:v>
      </x:c>
      <x:c r="F56" s="33" t="n">
        <x:v>4.2</x:v>
      </x:c>
      <x:c r="G56" s="33" t="n">
        <x:v>4.5</x:v>
      </x:c>
      <x:c r="H56" s="33" t="n">
        <x:v>4.4</x:v>
      </x:c>
      <x:c r="I56" s="33" t="n">
        <x:v>3</x:v>
      </x:c>
      <x:c r="J56" s="34" t="n">
        <x:f>SUMPRODUCT(D56:I56,K56:P56)/5</x:f>
        <x:v>67.3</x:v>
      </x:c>
      <x:c r="K56" s="11" t="n">
        <x:v>25</x:v>
      </x:c>
      <x:c r="L56" s="11" t="n">
        <x:v>15</x:v>
      </x:c>
      <x:c r="M56" s="11" t="n">
        <x:v>25</x:v>
      </x:c>
      <x:c r="N56" s="11" t="n">
        <x:v>15</x:v>
      </x:c>
      <x:c r="O56" s="11" t="n">
        <x:v>10</x:v>
      </x:c>
      <x:c r="P56" s="11" t="n">
        <x:v>10</x:v>
      </x:c>
      <x:c r="Q56" s="11" t="str">
        <x:v>已收现金降低资金风险，但现价仍要求全球版税及多管线价值，宽悲观下行；基准短期不足以显著吸引；四日均线上方但20/250日斜率负，近20日横盘、60日强；日上/下量1.38周0.71，尚非一致新趋势；H1销售+47.24%，随机三期及跨国许可证据；仍亏损，全球权益变化必须重估；精准肺癌与血液治疗升级，医保和全球研发支持，融资与药价约束；阿斯利康Q4美国商业化、一线审评及后续临床；具体获批时间未核不造；首付款已到账改善跑道；关联许可、借款、未来研发融资和董高减持需观察</x:v>
      </x:c>
    </x:row>
    <x:row r="57" ht="23" customHeight="1">
      <x:c r="A57" s="11" t="str">
        <x:v>688192.SH</x:v>
      </x:c>
      <x:c r="B57" s="11" t="str">
        <x:v>迪哲医药</x:v>
      </x:c>
      <x:c r="C57" s="11" t="str">
        <x:v>三年</x:v>
      </x:c>
      <x:c r="D57" s="33" t="n">
        <x:v>2.5</x:v>
      </x:c>
      <x:c r="E57" s="33" t="n">
        <x:v>3.5</x:v>
      </x:c>
      <x:c r="F57" s="33" t="n">
        <x:v>4.3</x:v>
      </x:c>
      <x:c r="G57" s="33" t="n">
        <x:v>4.5</x:v>
      </x:c>
      <x:c r="H57" s="33" t="n">
        <x:v>4.1</x:v>
      </x:c>
      <x:c r="I57" s="33" t="n">
        <x:v>2.7</x:v>
      </x:c>
      <x:c r="J57" s="34" t="n">
        <x:f>SUMPRODUCT(D57:I57,K57:P57)/5</x:f>
        <x:v>73.6</x:v>
      </x:c>
      <x:c r="K57" s="11" t="n">
        <x:v>25</x:v>
      </x:c>
      <x:c r="L57" s="11" t="n">
        <x:v>5</x:v>
      </x:c>
      <x:c r="M57" s="11" t="n">
        <x:v>35</x:v>
      </x:c>
      <x:c r="N57" s="11" t="n">
        <x:v>20</x:v>
      </x:c>
      <x:c r="O57" s="11" t="n">
        <x:v>5</x:v>
      </x:c>
      <x:c r="P57" s="11" t="n">
        <x:v>10</x:v>
      </x:c>
      <x:c r="Q57" s="11" t="str">
        <x:v>已收现金降低资金风险，但现价仍要求全球版税及多管线价值，宽悲观下行；基准短期不足以显著吸引；四日均线上方但20/250日斜率负，近20日横盘、60日强；日上/下量1.38周0.71，尚非一致新趋势；H1销售+47.24%，随机三期及跨国许可证据；仍亏损，全球权益变化必须重估；精准肺癌与血液治疗升级，医保和全球研发支持，融资与药价约束；阿斯利康Q4美国商业化、一线审评及后续临床；具体获批时间未核不造；首付款已到账改善跑道；关联许可、借款、未来研发融资和董高减持需观察</x:v>
      </x:c>
    </x:row>
    <x:row r="58" ht="23" customHeight="1">
      <x:c r="A58" s="11" t="str">
        <x:v>688192.SH</x:v>
      </x:c>
      <x:c r="B58" s="11" t="str">
        <x:v>迪哲医药</x:v>
      </x:c>
      <x:c r="C58" s="11" t="str">
        <x:v>五年</x:v>
      </x:c>
      <x:c r="D58" s="33" t="n">
        <x:v>3</x:v>
      </x:c>
      <x:c r="E58" s="33" t="n">
        <x:v>3.5</x:v>
      </x:c>
      <x:c r="F58" s="33" t="n">
        <x:v>4.2</x:v>
      </x:c>
      <x:c r="G58" s="33" t="n">
        <x:v>4.4</x:v>
      </x:c>
      <x:c r="H58" s="33" t="n">
        <x:v>3.9</x:v>
      </x:c>
      <x:c r="I58" s="33" t="n">
        <x:v>2.6</x:v>
      </x:c>
      <x:c r="J58" s="34" t="n">
        <x:f>SUMPRODUCT(D58:I58,K58:P58)/5</x:f>
        <x:v>74.9</x:v>
      </x:c>
      <x:c r="K58" s="11" t="n">
        <x:v>20</x:v>
      </x:c>
      <x:c r="L58" s="11" t="n">
        <x:v>0</x:v>
      </x:c>
      <x:c r="M58" s="11" t="n">
        <x:v>40</x:v>
      </x:c>
      <x:c r="N58" s="11" t="n">
        <x:v>20</x:v>
      </x:c>
      <x:c r="O58" s="11" t="n">
        <x:v>5</x:v>
      </x:c>
      <x:c r="P58" s="11" t="n">
        <x:v>15</x:v>
      </x:c>
      <x:c r="Q58" s="11" t="str">
        <x:v>已收现金降低资金风险，但现价仍要求全球版税及多管线价值，宽悲观下行；基准短期不足以显著吸引；四日均线上方但20/250日斜率负，近20日横盘、60日强；日上/下量1.38周0.71，尚非一致新趋势；H1销售+47.24%，随机三期及跨国许可证据；仍亏损，全球权益变化必须重估；精准肺癌与血液治疗升级，医保和全球研发支持，融资与药价约束；阿斯利康Q4美国商业化、一线审评及后续临床；具体获批时间未核不造；首付款已到账改善跑道；关联许可、借款、未来研发融资和董高减持需观察</x:v>
      </x:c>
    </x:row>
    <x:row r="59" ht="23" customHeight="1">
      <x:c r="A59" s="11" t="str">
        <x:v>02196.HK</x:v>
      </x:c>
      <x:c r="B59" s="11" t="str">
        <x:v>复星医药</x:v>
      </x:c>
      <x:c r="C59" s="11" t="str">
        <x:v>半年</x:v>
      </x:c>
      <x:c r="D59" s="33" t="n">
        <x:v>3.2</x:v>
      </x:c>
      <x:c r="E59" s="33" t="n">
        <x:v>2.9</x:v>
      </x:c>
      <x:c r="F59" s="33" t="n">
        <x:v>3</x:v>
      </x:c>
      <x:c r="G59" s="33" t="n">
        <x:v>3.5</x:v>
      </x:c>
      <x:c r="H59" s="33" t="n">
        <x:v>3.8</x:v>
      </x:c>
      <x:c r="I59" s="33" t="n">
        <x:v>2.2</x:v>
      </x:c>
      <x:c r="J59" s="34" t="n">
        <x:f>SUMPRODUCT(D59:I59,K59:P59)/5</x:f>
        <x:v>61.4</x:v>
      </x:c>
      <x:c r="K59" s="11" t="n">
        <x:v>25</x:v>
      </x:c>
      <x:c r="L59" s="11" t="n">
        <x:v>30</x:v>
      </x:c>
      <x:c r="M59" s="11" t="n">
        <x:v>15</x:v>
      </x:c>
      <x:c r="N59" s="11" t="n">
        <x:v>10</x:v>
      </x:c>
      <x:c r="O59" s="11" t="n">
        <x:v>10</x:v>
      </x:c>
      <x:c r="P59" s="11" t="n">
        <x:v>10</x:v>
      </x:c>
      <x:c r="Q59" s="11" t="str">
        <x:v>按基准FY2026正常化约1CNY EPS现价约16.3倍，报告PE约12.8倍及PB低并不等低风险；一年正常盈利增长及19倍H PE带来弹性；20/60日超恒指但股价仍低250日及60周，量比0.826、RSI54，不把反弹断言长周期突破；创新品收入49.11亿+13.84%，海外增长与汉霖支持；器械/医院亏损、许可及联营收入占比降低可预测性；老龄化与全球创新需求、仿制复杂制造支持，医保价格与北美医美呼吸需求拖累；汉斯状全球适应症、HLX43/HLX22数据、AR1001顶线与许可、Gland新合同；不保证当年收款或临床成功；广义净融资负债31.51bn、简单FCF近零、研发资本化35.73%与商誉10.71bn；多层子公司少数权益及关联资本配置约束</x:v>
      </x:c>
    </x:row>
    <x:row r="60" ht="23" customHeight="1">
      <x:c r="A60" s="11" t="str">
        <x:v>02196.HK</x:v>
      </x:c>
      <x:c r="B60" s="11" t="str">
        <x:v>复星医药</x:v>
      </x:c>
      <x:c r="C60" s="11" t="str">
        <x:v>一年</x:v>
      </x:c>
      <x:c r="D60" s="33" t="n">
        <x:v>3.5</x:v>
      </x:c>
      <x:c r="E60" s="33" t="n">
        <x:v>2.9</x:v>
      </x:c>
      <x:c r="F60" s="33" t="n">
        <x:v>3.3</x:v>
      </x:c>
      <x:c r="G60" s="33" t="n">
        <x:v>3.6</x:v>
      </x:c>
      <x:c r="H60" s="33" t="n">
        <x:v>3.7</x:v>
      </x:c>
      <x:c r="I60" s="33" t="n">
        <x:v>2.3</x:v>
      </x:c>
      <x:c r="J60" s="34" t="n">
        <x:f>SUMPRODUCT(D60:I60,K60:P60)/5</x:f>
        <x:v>65.5</x:v>
      </x:c>
      <x:c r="K60" s="11" t="n">
        <x:v>25</x:v>
      </x:c>
      <x:c r="L60" s="11" t="n">
        <x:v>15</x:v>
      </x:c>
      <x:c r="M60" s="11" t="n">
        <x:v>25</x:v>
      </x:c>
      <x:c r="N60" s="11" t="n">
        <x:v>15</x:v>
      </x:c>
      <x:c r="O60" s="11" t="n">
        <x:v>10</x:v>
      </x:c>
      <x:c r="P60" s="11" t="n">
        <x:v>10</x:v>
      </x:c>
      <x:c r="Q60" s="11" t="str">
        <x:v>按基准FY2026正常化约1CNY EPS现价约16.3倍，报告PE约12.8倍及PB低并不等低风险；一年正常盈利增长及19倍H PE带来弹性；20/60日超恒指但股价仍低250日及60周，量比0.826、RSI54，不把反弹断言长周期突破；创新品收入49.11亿+13.84%，海外增长与汉霖支持；器械/医院亏损、许可及联营收入占比降低可预测性；老龄化与全球创新需求、仿制复杂制造支持，医保价格与北美医美呼吸需求拖累；汉斯状全球适应症、HLX43/HLX22数据、AR1001顶线与许可、Gland新合同；不保证当年收款或临床成功；广义净融资负债31.51bn、简单FCF近零、研发资本化35.73%与商誉10.71bn；多层子公司少数权益及关联资本配置约束</x:v>
      </x:c>
    </x:row>
    <x:row r="61" ht="23" customHeight="1">
      <x:c r="A61" s="11" t="str">
        <x:v>02196.HK</x:v>
      </x:c>
      <x:c r="B61" s="11" t="str">
        <x:v>复星医药</x:v>
      </x:c>
      <x:c r="C61" s="11" t="str">
        <x:v>三年</x:v>
      </x:c>
      <x:c r="D61" s="33" t="n">
        <x:v>3.6</x:v>
      </x:c>
      <x:c r="E61" s="33" t="n">
        <x:v>2.9</x:v>
      </x:c>
      <x:c r="F61" s="33" t="n">
        <x:v>3.6</x:v>
      </x:c>
      <x:c r="G61" s="33" t="n">
        <x:v>3.8</x:v>
      </x:c>
      <x:c r="H61" s="33" t="n">
        <x:v>3.5</x:v>
      </x:c>
      <x:c r="I61" s="33" t="n">
        <x:v>2.3</x:v>
      </x:c>
      <x:c r="J61" s="34" t="n">
        <x:f>SUMPRODUCT(D61:I61,K61:P61)/5</x:f>
        <x:v>69.4</x:v>
      </x:c>
      <x:c r="K61" s="11" t="n">
        <x:v>25</x:v>
      </x:c>
      <x:c r="L61" s="11" t="n">
        <x:v>5</x:v>
      </x:c>
      <x:c r="M61" s="11" t="n">
        <x:v>35</x:v>
      </x:c>
      <x:c r="N61" s="11" t="n">
        <x:v>20</x:v>
      </x:c>
      <x:c r="O61" s="11" t="n">
        <x:v>5</x:v>
      </x:c>
      <x:c r="P61" s="11" t="n">
        <x:v>10</x:v>
      </x:c>
      <x:c r="Q61" s="11" t="str">
        <x:v>按基准FY2026正常化约1CNY EPS现价约16.3倍，报告PE约12.8倍及PB低并不等低风险；一年正常盈利增长及19倍H PE带来弹性；20/60日超恒指但股价仍低250日及60周，量比0.826、RSI54，不把反弹断言长周期突破；创新品收入49.11亿+13.84%，海外增长与汉霖支持；器械/医院亏损、许可及联营收入占比降低可预测性；老龄化与全球创新需求、仿制复杂制造支持，医保价格与北美医美呼吸需求拖累；汉斯状全球适应症、HLX43/HLX22数据、AR1001顶线与许可、Gland新合同；不保证当年收款或临床成功；广义净融资负债31.51bn、简单FCF近零、研发资本化35.73%与商誉10.71bn；多层子公司少数权益及关联资本配置约束</x:v>
      </x:c>
    </x:row>
    <x:row r="62" ht="23" customHeight="1">
      <x:c r="A62" s="11" t="str">
        <x:v>02196.HK</x:v>
      </x:c>
      <x:c r="B62" s="11" t="str">
        <x:v>复星医药</x:v>
      </x:c>
      <x:c r="C62" s="11" t="str">
        <x:v>五年</x:v>
      </x:c>
      <x:c r="D62" s="33" t="n">
        <x:v>3.4</x:v>
      </x:c>
      <x:c r="E62" s="33" t="n">
        <x:v>2.9</x:v>
      </x:c>
      <x:c r="F62" s="33" t="n">
        <x:v>3.8</x:v>
      </x:c>
      <x:c r="G62" s="33" t="n">
        <x:v>3.8</x:v>
      </x:c>
      <x:c r="H62" s="33" t="n">
        <x:v>3.4</x:v>
      </x:c>
      <x:c r="I62" s="33" t="n">
        <x:v>2.3</x:v>
      </x:c>
      <x:c r="J62" s="34" t="n">
        <x:f>SUMPRODUCT(D62:I62,K62:P62)/5</x:f>
        <x:v>69.5</x:v>
      </x:c>
      <x:c r="K62" s="11" t="n">
        <x:v>20</x:v>
      </x:c>
      <x:c r="L62" s="11" t="n">
        <x:v>0</x:v>
      </x:c>
      <x:c r="M62" s="11" t="n">
        <x:v>40</x:v>
      </x:c>
      <x:c r="N62" s="11" t="n">
        <x:v>20</x:v>
      </x:c>
      <x:c r="O62" s="11" t="n">
        <x:v>5</x:v>
      </x:c>
      <x:c r="P62" s="11" t="n">
        <x:v>15</x:v>
      </x:c>
      <x:c r="Q62" s="11" t="str">
        <x:v>按基准FY2026正常化约1CNY EPS现价约16.3倍，报告PE约12.8倍及PB低并不等低风险；一年正常盈利增长及19倍H PE带来弹性；20/60日超恒指但股价仍低250日及60周，量比0.826、RSI54，不把反弹断言长周期突破；创新品收入49.11亿+13.84%，海外增长与汉霖支持；器械/医院亏损、许可及联营收入占比降低可预测性；老龄化与全球创新需求、仿制复杂制造支持，医保价格与北美医美呼吸需求拖累；汉斯状全球适应症、HLX43/HLX22数据、AR1001顶线与许可、Gland新合同；不保证当年收款或临床成功；广义净融资负债31.51bn、简单FCF近零、研发资本化35.73%与商誉10.71bn；多层子公司少数权益及关联资本配置约束</x:v>
      </x:c>
    </x:row>
    <x:row r="63" ht="23" customHeight="1">
      <x:c r="A63" s="11" t="str">
        <x:v>01548.HK</x:v>
      </x:c>
      <x:c r="B63" s="11" t="str">
        <x:v>金斯瑞生物科技</x:v>
      </x:c>
      <x:c r="C63" s="11" t="str">
        <x:v>半年</x:v>
      </x:c>
      <x:c r="D63" s="33" t="n">
        <x:v>2</x:v>
      </x:c>
      <x:c r="E63" s="33" t="n">
        <x:v>3.1</x:v>
      </x:c>
      <x:c r="F63" s="33" t="n">
        <x:v>4.1</x:v>
      </x:c>
      <x:c r="G63" s="33" t="n">
        <x:v>4.2</x:v>
      </x:c>
      <x:c r="H63" s="33" t="n">
        <x:v>4.2</x:v>
      </x:c>
      <x:c r="I63" s="33" t="n">
        <x:v>2.5</x:v>
      </x:c>
      <x:c r="J63" s="34" t="n">
        <x:f>SUMPRODUCT(D63:I63,K63:P63)/5</x:f>
        <x:v>62.7</x:v>
      </x:c>
      <x:c r="K63" s="11" t="n">
        <x:v>25</x:v>
      </x:c>
      <x:c r="L63" s="11" t="n">
        <x:v>30</x:v>
      </x:c>
      <x:c r="M63" s="11" t="n">
        <x:v>15</x:v>
      </x:c>
      <x:c r="N63" s="11" t="n">
        <x:v>10</x:v>
      </x:c>
      <x:c r="O63" s="11" t="n">
        <x:v>10</x:v>
      </x:c>
      <x:c r="P63" s="11" t="n">
        <x:v>10</x:v>
      </x:c>
      <x:c r="Q63" s="11" t="str">
        <x:v>现价42.4港元已高于摩通41/高盛38.54公开目标；SOTP留稀释/优先股/控股折价，短期余量小；60日涨192.6%、周RSI80.7、日MACD减速与ATR8.15%；趋势强但伸展明显，不能高估技术买点；基本收入+27.3%、LSG有经营杠杆；报告收入-22.1%，核心FCF负，传奇贡献与账面PPA分开；AI实验、创新药外包和细胞治疗扩容，资本预算与竞争仍制约真实需求；TuneLab合作、年报和产能爬坡、传奇销售；ProBio分拆条件未落实，早期临床不当确证；优先股共同赎回义务、净现金归属和双层稀释；CARVYKTI集中/安全性、全球政策与估值风险</x:v>
      </x:c>
    </x:row>
    <x:row r="64" ht="23" customHeight="1">
      <x:c r="A64" s="11" t="str">
        <x:v>01548.HK</x:v>
      </x:c>
      <x:c r="B64" s="11" t="str">
        <x:v>金斯瑞生物科技</x:v>
      </x:c>
      <x:c r="C64" s="11" t="str">
        <x:v>一年</x:v>
      </x:c>
      <x:c r="D64" s="33" t="n">
        <x:v>2.6</x:v>
      </x:c>
      <x:c r="E64" s="33" t="n">
        <x:v>3.1</x:v>
      </x:c>
      <x:c r="F64" s="33" t="n">
        <x:v>4.3</x:v>
      </x:c>
      <x:c r="G64" s="33" t="n">
        <x:v>4.4</x:v>
      </x:c>
      <x:c r="H64" s="33" t="n">
        <x:v>4.2</x:v>
      </x:c>
      <x:c r="I64" s="33" t="n">
        <x:v>2.5</x:v>
      </x:c>
      <x:c r="J64" s="34" t="n">
        <x:f>SUMPRODUCT(D64:I64,K64:P64)/5</x:f>
        <x:v>70.4</x:v>
      </x:c>
      <x:c r="K64" s="11" t="n">
        <x:v>25</x:v>
      </x:c>
      <x:c r="L64" s="11" t="n">
        <x:v>15</x:v>
      </x:c>
      <x:c r="M64" s="11" t="n">
        <x:v>25</x:v>
      </x:c>
      <x:c r="N64" s="11" t="n">
        <x:v>15</x:v>
      </x:c>
      <x:c r="O64" s="11" t="n">
        <x:v>10</x:v>
      </x:c>
      <x:c r="P64" s="11" t="n">
        <x:v>10</x:v>
      </x:c>
      <x:c r="Q64" s="11" t="str">
        <x:v>现价42.4港元已高于摩通41/高盛38.54公开目标；SOTP留稀释/优先股/控股折价，短期余量小；60日涨192.6%、周RSI80.7、日MACD减速与ATR8.15%；趋势强但伸展明显，不能高估技术买点；基本收入+27.3%、LSG有经营杠杆；报告收入-22.1%，核心FCF负，传奇贡献与账面PPA分开；AI实验、创新药外包和细胞治疗扩容，资本预算与竞争仍制约真实需求；TuneLab合作、年报和产能爬坡、传奇销售；ProBio分拆条件未落实，早期临床不当确证；优先股共同赎回义务、净现金归属和双层稀释；CARVYKTI集中/安全性、全球政策与估值风险</x:v>
      </x:c>
    </x:row>
    <x:row r="65" ht="23" customHeight="1">
      <x:c r="A65" s="11" t="str">
        <x:v>01548.HK</x:v>
      </x:c>
      <x:c r="B65" s="11" t="str">
        <x:v>金斯瑞生物科技</x:v>
      </x:c>
      <x:c r="C65" s="11" t="str">
        <x:v>三年</x:v>
      </x:c>
      <x:c r="D65" s="33" t="n">
        <x:v>2.7</x:v>
      </x:c>
      <x:c r="E65" s="33" t="n">
        <x:v>3.1</x:v>
      </x:c>
      <x:c r="F65" s="33" t="n">
        <x:v>4.3</x:v>
      </x:c>
      <x:c r="G65" s="33" t="n">
        <x:v>4.5</x:v>
      </x:c>
      <x:c r="H65" s="33" t="n">
        <x:v>4.1</x:v>
      </x:c>
      <x:c r="I65" s="33" t="n">
        <x:v>2.4</x:v>
      </x:c>
      <x:c r="J65" s="34" t="n">
        <x:f>SUMPRODUCT(D65:I65,K65:P65)/5</x:f>
        <x:v>73.6</x:v>
      </x:c>
      <x:c r="K65" s="11" t="n">
        <x:v>25</x:v>
      </x:c>
      <x:c r="L65" s="11" t="n">
        <x:v>5</x:v>
      </x:c>
      <x:c r="M65" s="11" t="n">
        <x:v>35</x:v>
      </x:c>
      <x:c r="N65" s="11" t="n">
        <x:v>20</x:v>
      </x:c>
      <x:c r="O65" s="11" t="n">
        <x:v>5</x:v>
      </x:c>
      <x:c r="P65" s="11" t="n">
        <x:v>10</x:v>
      </x:c>
      <x:c r="Q65" s="11" t="str">
        <x:v>现价42.4港元已高于摩通41/高盛38.54公开目标；SOTP留稀释/优先股/控股折价，短期余量小；60日涨192.6%、周RSI80.7、日MACD减速与ATR8.15%；趋势强但伸展明显，不能高估技术买点；基本收入+27.3%、LSG有经营杠杆；报告收入-22.1%，核心FCF负，传奇贡献与账面PPA分开；AI实验、创新药外包和细胞治疗扩容，资本预算与竞争仍制约真实需求；TuneLab合作、年报和产能爬坡、传奇销售；ProBio分拆条件未落实，早期临床不当确证；优先股共同赎回义务、净现金归属和双层稀释；CARVYKTI集中/安全性、全球政策与估值风险</x:v>
      </x:c>
    </x:row>
    <x:row r="66" ht="23" customHeight="1">
      <x:c r="A66" s="11" t="str">
        <x:v>01548.HK</x:v>
      </x:c>
      <x:c r="B66" s="11" t="str">
        <x:v>金斯瑞生物科技</x:v>
      </x:c>
      <x:c r="C66" s="11" t="str">
        <x:v>五年</x:v>
      </x:c>
      <x:c r="D66" s="33" t="n">
        <x:v>2.9</x:v>
      </x:c>
      <x:c r="E66" s="33" t="n">
        <x:v>0</x:v>
      </x:c>
      <x:c r="F66" s="33" t="n">
        <x:v>4.3</x:v>
      </x:c>
      <x:c r="G66" s="33" t="n">
        <x:v>4.5</x:v>
      </x:c>
      <x:c r="H66" s="33" t="n">
        <x:v>3.8</x:v>
      </x:c>
      <x:c r="I66" s="33" t="n">
        <x:v>2.4</x:v>
      </x:c>
      <x:c r="J66" s="34" t="n">
        <x:f>SUMPRODUCT(D66:I66,K66:P66)/5</x:f>
        <x:v>75</x:v>
      </x:c>
      <x:c r="K66" s="11" t="n">
        <x:v>20</x:v>
      </x:c>
      <x:c r="L66" s="11" t="n">
        <x:v>0</x:v>
      </x:c>
      <x:c r="M66" s="11" t="n">
        <x:v>40</x:v>
      </x:c>
      <x:c r="N66" s="11" t="n">
        <x:v>20</x:v>
      </x:c>
      <x:c r="O66" s="11" t="n">
        <x:v>5</x:v>
      </x:c>
      <x:c r="P66" s="11" t="n">
        <x:v>15</x:v>
      </x:c>
      <x:c r="Q66" s="11" t="str">
        <x:v>现价42.4港元已高于摩通41/高盛38.54公开目标；SOTP留稀释/优先股/控股折价，短期余量小；60日涨192.6%、周RSI80.7、日MACD减速与ATR8.15%；趋势强但伸展明显，不能高估技术买点；基本收入+27.3%、LSG有经营杠杆；报告收入-22.1%，核心FCF负，传奇贡献与账面PPA分开；AI实验、创新药外包和细胞治疗扩容，资本预算与竞争仍制约真实需求；TuneLab合作、年报和产能爬坡、传奇销售；ProBio分拆条件未落实，早期临床不当确证；优先股共同赎回义务、净现金归属和双层稀释；CARVYKTI集中/安全性、全球政策与估值风险</x:v>
      </x:c>
    </x:row>
    <x:row r="67" ht="23" customHeight="1">
      <x:c r="A67" s="11" t="str">
        <x:v>688139.SH</x:v>
      </x:c>
      <x:c r="B67" s="11" t="str">
        <x:v>海尔生物</x:v>
      </x:c>
      <x:c r="C67" s="11" t="str">
        <x:v>半年</x:v>
      </x:c>
      <x:c r="D67" s="33" t="n">
        <x:v>3</x:v>
      </x:c>
      <x:c r="E67" s="33" t="n">
        <x:v>4</x:v>
      </x:c>
      <x:c r="F67" s="33" t="n">
        <x:v>3.6</x:v>
      </x:c>
      <x:c r="G67" s="33" t="n">
        <x:v>3.8</x:v>
      </x:c>
      <x:c r="H67" s="33" t="n">
        <x:v>3.8</x:v>
      </x:c>
      <x:c r="I67" s="33" t="n">
        <x:v>3.8</x:v>
      </x:c>
      <x:c r="J67" s="34" t="n">
        <x:f>SUMPRODUCT(D67:I67,K67:P67)/5</x:f>
        <x:v>72.6</x:v>
      </x:c>
      <x:c r="K67" s="11" t="n">
        <x:v>25</x:v>
      </x:c>
      <x:c r="L67" s="11" t="n">
        <x:v>30</x:v>
      </x:c>
      <x:c r="M67" s="11" t="n">
        <x:v>15</x:v>
      </x:c>
      <x:c r="N67" s="11" t="n">
        <x:v>10</x:v>
      </x:c>
      <x:c r="O67" s="11" t="n">
        <x:v>10</x:v>
      </x:c>
      <x:c r="P67" s="11" t="n">
        <x:v>10</x:v>
      </x:c>
      <x:c r="Q67" s="11" t="str">
        <x:v>FY2025报告EPS对应43.9倍，基准一年45.5元，增长证据支持但价格不便宜；所有日均线上方且斜率正，60日+30.30%与市场超额+41.77pp；接近36.24阻力且RSI66.5；收入8.45%、扣非11.39%、制药23%，利润率和海外真实收入仍需验证；制药/科研工具国产替代与耗材自动化，医院公卫预算和项目波动约束；项目二期首单、订单增速与回购，但临床器械注册及海外放量未保证；低银行债、研发全费用化和现金回款改善；并购商誉、长期存款及关联交易要看资本回报</x:v>
      </x:c>
    </x:row>
    <x:row r="68" ht="23" customHeight="1">
      <x:c r="A68" s="11" t="str">
        <x:v>688139.SH</x:v>
      </x:c>
      <x:c r="B68" s="11" t="str">
        <x:v>海尔生物</x:v>
      </x:c>
      <x:c r="C68" s="11" t="str">
        <x:v>一年</x:v>
      </x:c>
      <x:c r="D68" s="33" t="n">
        <x:v>3.4</x:v>
      </x:c>
      <x:c r="E68" s="33" t="n">
        <x:v>4</x:v>
      </x:c>
      <x:c r="F68" s="33" t="n">
        <x:v>3.7</x:v>
      </x:c>
      <x:c r="G68" s="33" t="n">
        <x:v>3.9</x:v>
      </x:c>
      <x:c r="H68" s="33" t="n">
        <x:v>3.8</x:v>
      </x:c>
      <x:c r="I68" s="33" t="n">
        <x:v>3.7</x:v>
      </x:c>
      <x:c r="J68" s="34" t="n">
        <x:f>SUMPRODUCT(D68:I68,K68:P68)/5</x:f>
        <x:v>74.2</x:v>
      </x:c>
      <x:c r="K68" s="11" t="n">
        <x:v>25</x:v>
      </x:c>
      <x:c r="L68" s="11" t="n">
        <x:v>15</x:v>
      </x:c>
      <x:c r="M68" s="11" t="n">
        <x:v>25</x:v>
      </x:c>
      <x:c r="N68" s="11" t="n">
        <x:v>15</x:v>
      </x:c>
      <x:c r="O68" s="11" t="n">
        <x:v>10</x:v>
      </x:c>
      <x:c r="P68" s="11" t="n">
        <x:v>10</x:v>
      </x:c>
      <x:c r="Q68" s="11" t="str">
        <x:v>FY2025报告EPS对应43.9倍，基准一年45.5元，增长证据支持但价格不便宜；所有日均线上方且斜率正，60日+30.30%与市场超额+41.77pp；接近36.24阻力且RSI66.5；收入8.45%、扣非11.39%、制药23%，利润率和海外真实收入仍需验证；制药/科研工具国产替代与耗材自动化，医院公卫预算和项目波动约束；项目二期首单、订单增速与回购，但临床器械注册及海外放量未保证；低银行债、研发全费用化和现金回款改善；并购商誉、长期存款及关联交易要看资本回报</x:v>
      </x:c>
    </x:row>
    <x:row r="69" ht="23" customHeight="1">
      <x:c r="A69" s="11" t="str">
        <x:v>688139.SH</x:v>
      </x:c>
      <x:c r="B69" s="11" t="str">
        <x:v>海尔生物</x:v>
      </x:c>
      <x:c r="C69" s="11" t="str">
        <x:v>三年</x:v>
      </x:c>
      <x:c r="D69" s="33" t="n">
        <x:v>3.7</x:v>
      </x:c>
      <x:c r="E69" s="33" t="n">
        <x:v>4</x:v>
      </x:c>
      <x:c r="F69" s="33" t="n">
        <x:v>4</x:v>
      </x:c>
      <x:c r="G69" s="33" t="n">
        <x:v>4.2</x:v>
      </x:c>
      <x:c r="H69" s="33" t="n">
        <x:v>3.8</x:v>
      </x:c>
      <x:c r="I69" s="33" t="n">
        <x:v>3.5</x:v>
      </x:c>
      <x:c r="J69" s="34" t="n">
        <x:f>SUMPRODUCT(D69:I69,K69:P69)/5</x:f>
        <x:v>78.1</x:v>
      </x:c>
      <x:c r="K69" s="11" t="n">
        <x:v>25</x:v>
      </x:c>
      <x:c r="L69" s="11" t="n">
        <x:v>5</x:v>
      </x:c>
      <x:c r="M69" s="11" t="n">
        <x:v>35</x:v>
      </x:c>
      <x:c r="N69" s="11" t="n">
        <x:v>20</x:v>
      </x:c>
      <x:c r="O69" s="11" t="n">
        <x:v>5</x:v>
      </x:c>
      <x:c r="P69" s="11" t="n">
        <x:v>10</x:v>
      </x:c>
      <x:c r="Q69" s="11" t="str">
        <x:v>FY2025报告EPS对应43.9倍，基准一年45.5元，增长证据支持但价格不便宜；所有日均线上方且斜率正，60日+30.30%与市场超额+41.77pp；接近36.24阻力且RSI66.5；收入8.45%、扣非11.39%、制药23%，利润率和海外真实收入仍需验证；制药/科研工具国产替代与耗材自动化，医院公卫预算和项目波动约束；项目二期首单、订单增速与回购，但临床器械注册及海外放量未保证；低银行债、研发全费用化和现金回款改善；并购商誉、长期存款及关联交易要看资本回报</x:v>
      </x:c>
    </x:row>
    <x:row r="70" ht="23" customHeight="1">
      <x:c r="A70" s="11" t="str">
        <x:v>688139.SH</x:v>
      </x:c>
      <x:c r="B70" s="11" t="str">
        <x:v>海尔生物</x:v>
      </x:c>
      <x:c r="C70" s="11" t="str">
        <x:v>五年</x:v>
      </x:c>
      <x:c r="D70" s="33" t="n">
        <x:v>3.6</x:v>
      </x:c>
      <x:c r="E70" s="33" t="n">
        <x:v>4</x:v>
      </x:c>
      <x:c r="F70" s="33" t="n">
        <x:v>4.1</x:v>
      </x:c>
      <x:c r="G70" s="33" t="n">
        <x:v>4.2</x:v>
      </x:c>
      <x:c r="H70" s="33" t="n">
        <x:v>3.7</x:v>
      </x:c>
      <x:c r="I70" s="33" t="n">
        <x:v>3.4</x:v>
      </x:c>
      <x:c r="J70" s="34" t="n">
        <x:f>SUMPRODUCT(D70:I70,K70:P70)/5</x:f>
        <x:v>77.9</x:v>
      </x:c>
      <x:c r="K70" s="11" t="n">
        <x:v>20</x:v>
      </x:c>
      <x:c r="L70" s="11" t="n">
        <x:v>0</x:v>
      </x:c>
      <x:c r="M70" s="11" t="n">
        <x:v>40</x:v>
      </x:c>
      <x:c r="N70" s="11" t="n">
        <x:v>20</x:v>
      </x:c>
      <x:c r="O70" s="11" t="n">
        <x:v>5</x:v>
      </x:c>
      <x:c r="P70" s="11" t="n">
        <x:v>15</x:v>
      </x:c>
      <x:c r="Q70" s="11" t="str">
        <x:v>FY2025报告EPS对应43.9倍，基准一年45.5元，增长证据支持但价格不便宜；所有日均线上方且斜率正，60日+30.30%与市场超额+41.77pp；接近36.24阻力且RSI66.5；收入8.45%、扣非11.39%、制药23%，利润率和海外真实收入仍需验证；制药/科研工具国产替代与耗材自动化，医院公卫预算和项目波动约束；项目二期首单、订单增速与回购，但临床器械注册及海外放量未保证；低银行债、研发全费用化和现金回款改善；并购商誉、长期存款及关联交易要看资本回报</x:v>
      </x:c>
    </x:row>
    <x:row r="71" ht="23" customHeight="1">
      <x:c r="A71" s="11" t="str">
        <x:v>03692.HK</x:v>
      </x:c>
      <x:c r="B71" s="11" t="str">
        <x:v>翰森制药</x:v>
      </x:c>
      <x:c r="C71" s="11" t="str">
        <x:v>半年</x:v>
      </x:c>
      <x:c r="D71" s="33" t="n">
        <x:v>3.8</x:v>
      </x:c>
      <x:c r="E71" s="33" t="n">
        <x:v>1.8</x:v>
      </x:c>
      <x:c r="F71" s="33" t="n">
        <x:v>4.2</x:v>
      </x:c>
      <x:c r="G71" s="33" t="n">
        <x:v>4.3</x:v>
      </x:c>
      <x:c r="H71" s="33" t="n">
        <x:v>4.4</x:v>
      </x:c>
      <x:c r="I71" s="33" t="n">
        <x:v>4</x:v>
      </x:c>
      <x:c r="J71" s="34" t="n">
        <x:f>SUMPRODUCT(D71:I71,K71:P71)/5</x:f>
        <x:v>67.8</x:v>
      </x:c>
      <x:c r="K71" s="11" t="n">
        <x:v>25</x:v>
      </x:c>
      <x:c r="L71" s="11" t="n">
        <x:v>30</x:v>
      </x:c>
      <x:c r="M71" s="11" t="n">
        <x:v>15</x:v>
      </x:c>
      <x:c r="N71" s="11" t="n">
        <x:v>10</x:v>
      </x:c>
      <x:c r="O71" s="11" t="n">
        <x:v>10</x:v>
      </x:c>
      <x:c r="P71" s="11" t="n">
        <x:v>10</x:v>
      </x:c>
      <x:c r="Q71" s="11" t="str">
        <x:v>31.54低于近期机构37.24—52.7；核心盈利与超额现金分开，现金有债务/资本责任，不能按法定高利润机械估值；价低于20/60/120/250日线，日RSI38.4与MACD负，市场超额负；近低点不等于底部；创新产品增长21.6%、费用效率和成熟商业化支持；收入含授权、投资收益剔除；肿瘤、代谢和自身免疫需求，创新转型；同靶点与医保约束可支付市场；HS20093两个申报、奥莱泊肽申报、TYK2三期阳性和MET/RET等后期储备；批准并非保证；37.383bn现金银行余额支持研发；CB本金46.8亿港元/股价56.54及股份激励保留，海外和管理治理风险</x:v>
      </x:c>
    </x:row>
    <x:row r="72" ht="23" customHeight="1">
      <x:c r="A72" s="11" t="str">
        <x:v>03692.HK</x:v>
      </x:c>
      <x:c r="B72" s="11" t="str">
        <x:v>翰森制药</x:v>
      </x:c>
      <x:c r="C72" s="11" t="str">
        <x:v>一年</x:v>
      </x:c>
      <x:c r="D72" s="33" t="n">
        <x:v>4</x:v>
      </x:c>
      <x:c r="E72" s="33" t="n">
        <x:v>1.8</x:v>
      </x:c>
      <x:c r="F72" s="33" t="n">
        <x:v>4.3</x:v>
      </x:c>
      <x:c r="G72" s="33" t="n">
        <x:v>4.4</x:v>
      </x:c>
      <x:c r="H72" s="33" t="n">
        <x:v>4.5</x:v>
      </x:c>
      <x:c r="I72" s="33" t="n">
        <x:v>4</x:v>
      </x:c>
      <x:c r="J72" s="34" t="n">
        <x:f>SUMPRODUCT(D72:I72,K72:P72)/5</x:f>
        <x:v>77.1</x:v>
      </x:c>
      <x:c r="K72" s="11" t="n">
        <x:v>25</x:v>
      </x:c>
      <x:c r="L72" s="11" t="n">
        <x:v>15</x:v>
      </x:c>
      <x:c r="M72" s="11" t="n">
        <x:v>25</x:v>
      </x:c>
      <x:c r="N72" s="11" t="n">
        <x:v>15</x:v>
      </x:c>
      <x:c r="O72" s="11" t="n">
        <x:v>10</x:v>
      </x:c>
      <x:c r="P72" s="11" t="n">
        <x:v>10</x:v>
      </x:c>
      <x:c r="Q72" s="11" t="str">
        <x:v>31.54低于近期机构37.24—52.7；核心盈利与超额现金分开，现金有债务/资本责任，不能按法定高利润机械估值；价低于20/60/120/250日线，日RSI38.4与MACD负，市场超额负；近低点不等于底部；创新产品增长21.6%、费用效率和成熟商业化支持；收入含授权、投资收益剔除；肿瘤、代谢和自身免疫需求，创新转型；同靶点与医保约束可支付市场；HS20093两个申报、奥莱泊肽申报、TYK2三期阳性和MET/RET等后期储备；批准并非保证；37.383bn现金银行余额支持研发；CB本金46.8亿港元/股价56.54及股份激励保留，海外和管理治理风险</x:v>
      </x:c>
    </x:row>
    <x:row r="73" ht="23" customHeight="1">
      <x:c r="A73" s="11" t="str">
        <x:v>03692.HK</x:v>
      </x:c>
      <x:c r="B73" s="11" t="str">
        <x:v>翰森制药</x:v>
      </x:c>
      <x:c r="C73" s="11" t="str">
        <x:v>三年</x:v>
      </x:c>
      <x:c r="D73" s="33" t="n">
        <x:v>4.1</x:v>
      </x:c>
      <x:c r="E73" s="33" t="n">
        <x:v>1.8</x:v>
      </x:c>
      <x:c r="F73" s="33" t="n">
        <x:v>4.4</x:v>
      </x:c>
      <x:c r="G73" s="33" t="n">
        <x:v>4.4</x:v>
      </x:c>
      <x:c r="H73" s="33" t="n">
        <x:v>4.2</x:v>
      </x:c>
      <x:c r="I73" s="33" t="n">
        <x:v>3.8</x:v>
      </x:c>
      <x:c r="J73" s="34" t="n">
        <x:f>SUMPRODUCT(D73:I73,K73:P73)/5</x:f>
        <x:v>82.5</x:v>
      </x:c>
      <x:c r="K73" s="11" t="n">
        <x:v>25</x:v>
      </x:c>
      <x:c r="L73" s="11" t="n">
        <x:v>5</x:v>
      </x:c>
      <x:c r="M73" s="11" t="n">
        <x:v>35</x:v>
      </x:c>
      <x:c r="N73" s="11" t="n">
        <x:v>20</x:v>
      </x:c>
      <x:c r="O73" s="11" t="n">
        <x:v>5</x:v>
      </x:c>
      <x:c r="P73" s="11" t="n">
        <x:v>10</x:v>
      </x:c>
      <x:c r="Q73" s="11" t="str">
        <x:v>31.54低于近期机构37.24—52.7；核心盈利与超额现金分开，现金有债务/资本责任，不能按法定高利润机械估值；价低于20/60/120/250日线，日RSI38.4与MACD负，市场超额负；近低点不等于底部；创新产品增长21.6%、费用效率和成熟商业化支持；收入含授权、投资收益剔除；肿瘤、代谢和自身免疫需求，创新转型；同靶点与医保约束可支付市场；HS20093两个申报、奥莱泊肽申报、TYK2三期阳性和MET/RET等后期储备；批准并非保证；37.383bn现金银行余额支持研发；CB本金46.8亿港元/股价56.54及股份激励保留，海外和管理治理风险</x:v>
      </x:c>
    </x:row>
    <x:row r="74" ht="23" customHeight="1">
      <x:c r="A74" s="11" t="str">
        <x:v>03692.HK</x:v>
      </x:c>
      <x:c r="B74" s="11" t="str">
        <x:v>翰森制药</x:v>
      </x:c>
      <x:c r="C74" s="11" t="str">
        <x:v>五年</x:v>
      </x:c>
      <x:c r="D74" s="33" t="n">
        <x:v>3.9</x:v>
      </x:c>
      <x:c r="E74" s="33" t="n">
        <x:v>0</x:v>
      </x:c>
      <x:c r="F74" s="33" t="n">
        <x:v>4.3</x:v>
      </x:c>
      <x:c r="G74" s="33" t="n">
        <x:v>4.3</x:v>
      </x:c>
      <x:c r="H74" s="33" t="n">
        <x:v>4</x:v>
      </x:c>
      <x:c r="I74" s="33" t="n">
        <x:v>3.6</x:v>
      </x:c>
      <x:c r="J74" s="34" t="n">
        <x:f>SUMPRODUCT(D74:I74,K74:P74)/5</x:f>
        <x:v>82</x:v>
      </x:c>
      <x:c r="K74" s="11" t="n">
        <x:v>20</x:v>
      </x:c>
      <x:c r="L74" s="11" t="n">
        <x:v>0</x:v>
      </x:c>
      <x:c r="M74" s="11" t="n">
        <x:v>40</x:v>
      </x:c>
      <x:c r="N74" s="11" t="n">
        <x:v>20</x:v>
      </x:c>
      <x:c r="O74" s="11" t="n">
        <x:v>5</x:v>
      </x:c>
      <x:c r="P74" s="11" t="n">
        <x:v>15</x:v>
      </x:c>
      <x:c r="Q74" s="11" t="str">
        <x:v>31.54低于近期机构37.24—52.7；核心盈利与超额现金分开，现金有债务/资本责任，不能按法定高利润机械估值；价低于20/60/120/250日线，日RSI38.4与MACD负，市场超额负；近低点不等于底部；创新产品增长21.6%、费用效率和成熟商业化支持；收入含授权、投资收益剔除；肿瘤、代谢和自身免疫需求，创新转型；同靶点与医保约束可支付市场；HS20093两个申报、奥莱泊肽申报、TYK2三期阳性和MET/RET等后期储备；批准并非保证；37.383bn现金银行余额支持研发；CB本金46.8亿港元/股价56.54及股份激励保留，海外和管理治理风险</x:v>
      </x:c>
    </x:row>
    <x:row r="75" ht="23" customHeight="1">
      <x:c r="A75" s="11" t="str">
        <x:v>688131.SH</x:v>
      </x:c>
      <x:c r="B75" s="11" t="str">
        <x:v>皓元医药</x:v>
      </x:c>
      <x:c r="C75" s="11" t="str">
        <x:v>半年</x:v>
      </x:c>
      <x:c r="D75" s="33" t="n">
        <x:v>2.3</x:v>
      </x:c>
      <x:c r="E75" s="33" t="n">
        <x:v>3.1</x:v>
      </x:c>
      <x:c r="F75" s="33" t="n">
        <x:v>3.9</x:v>
      </x:c>
      <x:c r="G75" s="33" t="n">
        <x:v>4.1</x:v>
      </x:c>
      <x:c r="H75" s="33" t="n">
        <x:v>3.5</x:v>
      </x:c>
      <x:c r="I75" s="33" t="n">
        <x:v>2.6</x:v>
      </x:c>
      <x:c r="J75" s="34" t="n">
        <x:f>SUMPRODUCT(D75:I75,K75:P75)/5</x:f>
        <x:v>62.2</x:v>
      </x:c>
      <x:c r="K75" s="11" t="n">
        <x:v>25</x:v>
      </x:c>
      <x:c r="L75" s="11" t="n">
        <x:v>30</x:v>
      </x:c>
      <x:c r="M75" s="11" t="n">
        <x:v>15</x:v>
      </x:c>
      <x:c r="N75" s="11" t="n">
        <x:v>10</x:v>
      </x:c>
      <x:c r="O75" s="11" t="n">
        <x:v>10</x:v>
      </x:c>
      <x:c r="P75" s="11" t="n">
        <x:v>10</x:v>
      </x:c>
      <x:c r="Q75" s="11" t="str">
        <x:v>FY2025EPS1.13对应82.44倍；一年基准117元但年底基准89.9元，成长不等于低估；跌破20日但高于60/120/250日，20日上/下量比0.973、MACD回落，市场相对强但未证实新突破；前端34.03%、后端6.45%，合并利润12.81%落后收入25.71%；结构改善但库存和费用拖累；科研试剂及创新药研发需求有扩张潜力，融资和研发项目筛选仍有周期约束；ADC订单、产线爬坡与季度盈利改善；员工减持及转股供给限制短期赔率；受限资金348.6m、债券本金821.8m、库存应收及并购商誉，盈利现金化未完成</x:v>
      </x:c>
    </x:row>
    <x:row r="76" ht="23" customHeight="1">
      <x:c r="A76" s="11" t="str">
        <x:v>688131.SH</x:v>
      </x:c>
      <x:c r="B76" s="11" t="str">
        <x:v>皓元医药</x:v>
      </x:c>
      <x:c r="C76" s="11" t="str">
        <x:v>一年</x:v>
      </x:c>
      <x:c r="D76" s="33" t="n">
        <x:v>2.9</x:v>
      </x:c>
      <x:c r="E76" s="33" t="n">
        <x:v>3.1</x:v>
      </x:c>
      <x:c r="F76" s="33" t="n">
        <x:v>4</x:v>
      </x:c>
      <x:c r="G76" s="33" t="n">
        <x:v>4.2</x:v>
      </x:c>
      <x:c r="H76" s="33" t="n">
        <x:v>3.8</x:v>
      </x:c>
      <x:c r="I76" s="33" t="n">
        <x:v>2.6</x:v>
      </x:c>
      <x:c r="J76" s="34" t="n">
        <x:f>SUMPRODUCT(D76:I76,K76:P76)/5</x:f>
        <x:v>69.2</x:v>
      </x:c>
      <x:c r="K76" s="11" t="n">
        <x:v>25</x:v>
      </x:c>
      <x:c r="L76" s="11" t="n">
        <x:v>15</x:v>
      </x:c>
      <x:c r="M76" s="11" t="n">
        <x:v>25</x:v>
      </x:c>
      <x:c r="N76" s="11" t="n">
        <x:v>15</x:v>
      </x:c>
      <x:c r="O76" s="11" t="n">
        <x:v>10</x:v>
      </x:c>
      <x:c r="P76" s="11" t="n">
        <x:v>10</x:v>
      </x:c>
      <x:c r="Q76" s="11" t="str">
        <x:v>FY2025EPS1.13对应82.44倍；一年基准117元但年底基准89.9元，成长不等于低估；跌破20日但高于60/120/250日，20日上/下量比0.973、MACD回落，市场相对强但未证实新突破；前端34.03%、后端6.45%，合并利润12.81%落后收入25.71%；结构改善但库存和费用拖累；科研试剂及创新药研发需求有扩张潜力，融资和研发项目筛选仍有周期约束；ADC订单、产线爬坡与季度盈利改善；员工减持及转股供给限制短期赔率；受限资金348.6m、债券本金821.8m、库存应收及并购商誉，盈利现金化未完成</x:v>
      </x:c>
    </x:row>
    <x:row r="77" ht="23" customHeight="1">
      <x:c r="A77" s="11" t="str">
        <x:v>688131.SH</x:v>
      </x:c>
      <x:c r="B77" s="11" t="str">
        <x:v>皓元医药</x:v>
      </x:c>
      <x:c r="C77" s="11" t="str">
        <x:v>三年</x:v>
      </x:c>
      <x:c r="D77" s="33" t="n">
        <x:v>3.5</x:v>
      </x:c>
      <x:c r="E77" s="33" t="n">
        <x:v>3.1</x:v>
      </x:c>
      <x:c r="F77" s="33" t="n">
        <x:v>4.2</x:v>
      </x:c>
      <x:c r="G77" s="33" t="n">
        <x:v>4.3</x:v>
      </x:c>
      <x:c r="H77" s="33" t="n">
        <x:v>3.9</x:v>
      </x:c>
      <x:c r="I77" s="33" t="n">
        <x:v>2.6</x:v>
      </x:c>
      <x:c r="J77" s="34" t="n">
        <x:f>SUMPRODUCT(D77:I77,K77:P77)/5</x:f>
        <x:v>76.3</x:v>
      </x:c>
      <x:c r="K77" s="11" t="n">
        <x:v>25</x:v>
      </x:c>
      <x:c r="L77" s="11" t="n">
        <x:v>5</x:v>
      </x:c>
      <x:c r="M77" s="11" t="n">
        <x:v>35</x:v>
      </x:c>
      <x:c r="N77" s="11" t="n">
        <x:v>20</x:v>
      </x:c>
      <x:c r="O77" s="11" t="n">
        <x:v>5</x:v>
      </x:c>
      <x:c r="P77" s="11" t="n">
        <x:v>10</x:v>
      </x:c>
      <x:c r="Q77" s="11" t="str">
        <x:v>FY2025EPS1.13对应82.44倍；一年基准117元但年底基准89.9元，成长不等于低估；跌破20日但高于60/120/250日，20日上/下量比0.973、MACD回落，市场相对强但未证实新突破；前端34.03%、后端6.45%，合并利润12.81%落后收入25.71%；结构改善但库存和费用拖累；科研试剂及创新药研发需求有扩张潜力，融资和研发项目筛选仍有周期约束；ADC订单、产线爬坡与季度盈利改善；员工减持及转股供给限制短期赔率；受限资金348.6m、债券本金821.8m、库存应收及并购商誉，盈利现金化未完成</x:v>
      </x:c>
    </x:row>
    <x:row r="78" ht="23" customHeight="1">
      <x:c r="A78" s="11" t="str">
        <x:v>688131.SH</x:v>
      </x:c>
      <x:c r="B78" s="11" t="str">
        <x:v>皓元医药</x:v>
      </x:c>
      <x:c r="C78" s="11" t="str">
        <x:v>五年</x:v>
      </x:c>
      <x:c r="D78" s="33" t="n">
        <x:v>3.4</x:v>
      </x:c>
      <x:c r="E78" s="33" t="n">
        <x:v>3.1</x:v>
      </x:c>
      <x:c r="F78" s="33" t="n">
        <x:v>4.3</x:v>
      </x:c>
      <x:c r="G78" s="33" t="n">
        <x:v>4.2</x:v>
      </x:c>
      <x:c r="H78" s="33" t="n">
        <x:v>3.8</x:v>
      </x:c>
      <x:c r="I78" s="33" t="n">
        <x:v>2.7</x:v>
      </x:c>
      <x:c r="J78" s="34" t="n">
        <x:f>SUMPRODUCT(D78:I78,K78:P78)/5</x:f>
        <x:v>76.7</x:v>
      </x:c>
      <x:c r="K78" s="11" t="n">
        <x:v>20</x:v>
      </x:c>
      <x:c r="L78" s="11" t="n">
        <x:v>0</x:v>
      </x:c>
      <x:c r="M78" s="11" t="n">
        <x:v>40</x:v>
      </x:c>
      <x:c r="N78" s="11" t="n">
        <x:v>20</x:v>
      </x:c>
      <x:c r="O78" s="11" t="n">
        <x:v>5</x:v>
      </x:c>
      <x:c r="P78" s="11" t="n">
        <x:v>15</x:v>
      </x:c>
      <x:c r="Q78" s="11" t="str">
        <x:v>FY2025EPS1.13对应82.44倍；一年基准117元但年底基准89.9元，成长不等于低估；跌破20日但高于60/120/250日，20日上/下量比0.973、MACD回落，市场相对强但未证实新突破；前端34.03%、后端6.45%，合并利润12.81%落后收入25.71%；结构改善但库存和费用拖累；科研试剂及创新药研发需求有扩张潜力，融资和研发项目筛选仍有周期约束；ADC订单、产线爬坡与季度盈利改善；员工减持及转股供给限制短期赔率；受限资金348.6m、债券本金821.8m、库存应收及并购商誉，盈利现金化未完成</x:v>
      </x:c>
    </x:row>
    <x:row r="79" ht="23" customHeight="1">
      <x:c r="A79" s="11" t="str">
        <x:v>600276.SH</x:v>
      </x:c>
      <x:c r="B79" s="11" t="str">
        <x:v>恒瑞医药</x:v>
      </x:c>
      <x:c r="C79" s="11" t="str">
        <x:v>半年</x:v>
      </x:c>
      <x:c r="D79" s="33" t="n">
        <x:v>3.4</x:v>
      </x:c>
      <x:c r="E79" s="33" t="n">
        <x:v>2.7</x:v>
      </x:c>
      <x:c r="F79" s="33" t="n">
        <x:v>4</x:v>
      </x:c>
      <x:c r="G79" s="33" t="n">
        <x:v>4</x:v>
      </x:c>
      <x:c r="H79" s="33" t="n">
        <x:v>4.1</x:v>
      </x:c>
      <x:c r="I79" s="33" t="n">
        <x:v>4</x:v>
      </x:c>
      <x:c r="J79" s="34" t="n">
        <x:f>SUMPRODUCT(D79:I79,K79:P79)/5</x:f>
        <x:v>69.4</x:v>
      </x:c>
      <x:c r="K79" s="11" t="n">
        <x:v>25</x:v>
      </x:c>
      <x:c r="L79" s="11" t="n">
        <x:v>30</x:v>
      </x:c>
      <x:c r="M79" s="11" t="n">
        <x:v>15</x:v>
      </x:c>
      <x:c r="N79" s="11" t="n">
        <x:v>10</x:v>
      </x:c>
      <x:c r="O79" s="11" t="n">
        <x:v>10</x:v>
      </x:c>
      <x:c r="P79" s="11" t="n">
        <x:v>10</x:v>
      </x:c>
      <x:c r="Q79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0" ht="23" customHeight="1">
      <x:c r="A80" s="11" t="str">
        <x:v>600276.SH</x:v>
      </x:c>
      <x:c r="B80" s="11" t="str">
        <x:v>恒瑞医药</x:v>
      </x:c>
      <x:c r="C80" s="11" t="str">
        <x:v>一年</x:v>
      </x:c>
      <x:c r="D80" s="33" t="n">
        <x:v>3.8</x:v>
      </x:c>
      <x:c r="E80" s="33" t="n">
        <x:v>2.7</x:v>
      </x:c>
      <x:c r="F80" s="33" t="n">
        <x:v>4.1</x:v>
      </x:c>
      <x:c r="G80" s="33" t="n">
        <x:v>4</x:v>
      </x:c>
      <x:c r="H80" s="33" t="n">
        <x:v>4.1</x:v>
      </x:c>
      <x:c r="I80" s="33" t="n">
        <x:v>3.9</x:v>
      </x:c>
      <x:c r="J80" s="34" t="n">
        <x:f>SUMPRODUCT(D80:I80,K80:P80)/5</x:f>
        <x:v>75.6</x:v>
      </x:c>
      <x:c r="K80" s="11" t="n">
        <x:v>25</x:v>
      </x:c>
      <x:c r="L80" s="11" t="n">
        <x:v>15</x:v>
      </x:c>
      <x:c r="M80" s="11" t="n">
        <x:v>25</x:v>
      </x:c>
      <x:c r="N80" s="11" t="n">
        <x:v>15</x:v>
      </x:c>
      <x:c r="O80" s="11" t="n">
        <x:v>10</x:v>
      </x:c>
      <x:c r="P80" s="11" t="n">
        <x:v>10</x:v>
      </x:c>
      <x:c r="Q80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1" ht="23" customHeight="1">
      <x:c r="A81" s="11" t="str">
        <x:v>600276.SH</x:v>
      </x:c>
      <x:c r="B81" s="11" t="str">
        <x:v>恒瑞医药</x:v>
      </x:c>
      <x:c r="C81" s="11" t="str">
        <x:v>三年</x:v>
      </x:c>
      <x:c r="D81" s="33" t="n">
        <x:v>4</x:v>
      </x:c>
      <x:c r="E81" s="33" t="n">
        <x:v>2.7</x:v>
      </x:c>
      <x:c r="F81" s="33" t="n">
        <x:v>4.2</x:v>
      </x:c>
      <x:c r="G81" s="33" t="n">
        <x:v>4.3</x:v>
      </x:c>
      <x:c r="H81" s="33" t="n">
        <x:v>4</x:v>
      </x:c>
      <x:c r="I81" s="33" t="n">
        <x:v>3.8</x:v>
      </x:c>
      <x:c r="J81" s="34" t="n">
        <x:f>SUMPRODUCT(D81:I81,K81:P81)/5</x:f>
        <x:v>80.9</x:v>
      </x:c>
      <x:c r="K81" s="11" t="n">
        <x:v>25</x:v>
      </x:c>
      <x:c r="L81" s="11" t="n">
        <x:v>5</x:v>
      </x:c>
      <x:c r="M81" s="11" t="n">
        <x:v>35</x:v>
      </x:c>
      <x:c r="N81" s="11" t="n">
        <x:v>20</x:v>
      </x:c>
      <x:c r="O81" s="11" t="n">
        <x:v>5</x:v>
      </x:c>
      <x:c r="P81" s="11" t="n">
        <x:v>10</x:v>
      </x:c>
      <x:c r="Q81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2" ht="23" customHeight="1">
      <x:c r="A82" s="11" t="str">
        <x:v>600276.SH</x:v>
      </x:c>
      <x:c r="B82" s="11" t="str">
        <x:v>恒瑞医药</x:v>
      </x:c>
      <x:c r="C82" s="11" t="str">
        <x:v>五年</x:v>
      </x:c>
      <x:c r="D82" s="33" t="n">
        <x:v>4</x:v>
      </x:c>
      <x:c r="E82" s="33" t="n">
        <x:v>2.7</x:v>
      </x:c>
      <x:c r="F82" s="33" t="n">
        <x:v>4.3</x:v>
      </x:c>
      <x:c r="G82" s="33" t="n">
        <x:v>4.3</x:v>
      </x:c>
      <x:c r="H82" s="33" t="n">
        <x:v>3.7</x:v>
      </x:c>
      <x:c r="I82" s="33" t="n">
        <x:v>3.7</x:v>
      </x:c>
      <x:c r="J82" s="34" t="n">
        <x:f>SUMPRODUCT(D82:I82,K82:P82)/5</x:f>
        <x:v>82.4</x:v>
      </x:c>
      <x:c r="K82" s="11" t="n">
        <x:v>20</x:v>
      </x:c>
      <x:c r="L82" s="11" t="n">
        <x:v>0</x:v>
      </x:c>
      <x:c r="M82" s="11" t="n">
        <x:v>40</x:v>
      </x:c>
      <x:c r="N82" s="11" t="n">
        <x:v>20</x:v>
      </x:c>
      <x:c r="O82" s="11" t="n">
        <x:v>5</x:v>
      </x:c>
      <x:c r="P82" s="11" t="n">
        <x:v>15</x:v>
      </x:c>
      <x:c r="Q82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3" ht="23" customHeight="1">
      <x:c r="A83" s="11" t="str">
        <x:v>01276.HK</x:v>
      </x:c>
      <x:c r="B83" s="11" t="str">
        <x:v>恒瑞医药</x:v>
      </x:c>
      <x:c r="C83" s="11" t="str">
        <x:v>半年</x:v>
      </x:c>
      <x:c r="D83" s="33" t="n">
        <x:v>3.7</x:v>
      </x:c>
      <x:c r="E83" s="33" t="n">
        <x:v>3</x:v>
      </x:c>
      <x:c r="F83" s="33" t="n">
        <x:v>4</x:v>
      </x:c>
      <x:c r="G83" s="33" t="n">
        <x:v>4</x:v>
      </x:c>
      <x:c r="H83" s="33" t="n">
        <x:v>4.1</x:v>
      </x:c>
      <x:c r="I83" s="33" t="n">
        <x:v>3.9</x:v>
      </x:c>
      <x:c r="J83" s="34" t="n">
        <x:f>SUMPRODUCT(D83:I83,K83:P83)/5</x:f>
        <x:v>72.5</x:v>
      </x:c>
      <x:c r="K83" s="11" t="n">
        <x:v>25</x:v>
      </x:c>
      <x:c r="L83" s="11" t="n">
        <x:v>30</x:v>
      </x:c>
      <x:c r="M83" s="11" t="n">
        <x:v>15</x:v>
      </x:c>
      <x:c r="N83" s="11" t="n">
        <x:v>10</x:v>
      </x:c>
      <x:c r="O83" s="11" t="n">
        <x:v>10</x:v>
      </x:c>
      <x:c r="P83" s="11" t="n">
        <x:v>10</x:v>
      </x:c>
      <x:c r="Q83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4" ht="23" customHeight="1">
      <x:c r="A84" s="11" t="str">
        <x:v>01276.HK</x:v>
      </x:c>
      <x:c r="B84" s="11" t="str">
        <x:v>恒瑞医药</x:v>
      </x:c>
      <x:c r="C84" s="11" t="str">
        <x:v>一年</x:v>
      </x:c>
      <x:c r="D84" s="33" t="n">
        <x:v>4.1</x:v>
      </x:c>
      <x:c r="E84" s="33" t="n">
        <x:v>3</x:v>
      </x:c>
      <x:c r="F84" s="33" t="n">
        <x:v>4.1</x:v>
      </x:c>
      <x:c r="G84" s="33" t="n">
        <x:v>4</x:v>
      </x:c>
      <x:c r="H84" s="33" t="n">
        <x:v>4.1</x:v>
      </x:c>
      <x:c r="I84" s="33" t="n">
        <x:v>3.8</x:v>
      </x:c>
      <x:c r="J84" s="34" t="n">
        <x:f>SUMPRODUCT(D84:I84,K84:P84)/5</x:f>
        <x:v>77.8</x:v>
      </x:c>
      <x:c r="K84" s="11" t="n">
        <x:v>25</x:v>
      </x:c>
      <x:c r="L84" s="11" t="n">
        <x:v>15</x:v>
      </x:c>
      <x:c r="M84" s="11" t="n">
        <x:v>25</x:v>
      </x:c>
      <x:c r="N84" s="11" t="n">
        <x:v>15</x:v>
      </x:c>
      <x:c r="O84" s="11" t="n">
        <x:v>10</x:v>
      </x:c>
      <x:c r="P84" s="11" t="n">
        <x:v>10</x:v>
      </x:c>
      <x:c r="Q84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5" ht="23" customHeight="1">
      <x:c r="A85" s="11" t="str">
        <x:v>01276.HK</x:v>
      </x:c>
      <x:c r="B85" s="11" t="str">
        <x:v>恒瑞医药</x:v>
      </x:c>
      <x:c r="C85" s="11" t="str">
        <x:v>三年</x:v>
      </x:c>
      <x:c r="D85" s="33" t="n">
        <x:v>4.2</x:v>
      </x:c>
      <x:c r="E85" s="33" t="n">
        <x:v>3</x:v>
      </x:c>
      <x:c r="F85" s="33" t="n">
        <x:v>4.2</x:v>
      </x:c>
      <x:c r="G85" s="33" t="n">
        <x:v>4.3</x:v>
      </x:c>
      <x:c r="H85" s="33" t="n">
        <x:v>4</x:v>
      </x:c>
      <x:c r="I85" s="33" t="n">
        <x:v>3.7</x:v>
      </x:c>
      <x:c r="J85" s="34" t="n">
        <x:f>SUMPRODUCT(D85:I85,K85:P85)/5</x:f>
        <x:v>82</x:v>
      </x:c>
      <x:c r="K85" s="11" t="n">
        <x:v>25</x:v>
      </x:c>
      <x:c r="L85" s="11" t="n">
        <x:v>5</x:v>
      </x:c>
      <x:c r="M85" s="11" t="n">
        <x:v>35</x:v>
      </x:c>
      <x:c r="N85" s="11" t="n">
        <x:v>20</x:v>
      </x:c>
      <x:c r="O85" s="11" t="n">
        <x:v>5</x:v>
      </x:c>
      <x:c r="P85" s="11" t="n">
        <x:v>10</x:v>
      </x:c>
      <x:c r="Q85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6" ht="23" customHeight="1">
      <x:c r="A86" s="11" t="str">
        <x:v>01276.HK</x:v>
      </x:c>
      <x:c r="B86" s="11" t="str">
        <x:v>恒瑞医药</x:v>
      </x:c>
      <x:c r="C86" s="11" t="str">
        <x:v>五年</x:v>
      </x:c>
      <x:c r="D86" s="33" t="n">
        <x:v>4.2</x:v>
      </x:c>
      <x:c r="E86" s="33" t="n">
        <x:v>3</x:v>
      </x:c>
      <x:c r="F86" s="33" t="n">
        <x:v>4.3</x:v>
      </x:c>
      <x:c r="G86" s="33" t="n">
        <x:v>4.3</x:v>
      </x:c>
      <x:c r="H86" s="33" t="n">
        <x:v>3.7</x:v>
      </x:c>
      <x:c r="I86" s="33" t="n">
        <x:v>3.6</x:v>
      </x:c>
      <x:c r="J86" s="34" t="n">
        <x:f>SUMPRODUCT(D86:I86,K86:P86)/5</x:f>
        <x:v>82.9</x:v>
      </x:c>
      <x:c r="K86" s="11" t="n">
        <x:v>20</x:v>
      </x:c>
      <x:c r="L86" s="11" t="n">
        <x:v>0</x:v>
      </x:c>
      <x:c r="M86" s="11" t="n">
        <x:v>40</x:v>
      </x:c>
      <x:c r="N86" s="11" t="n">
        <x:v>20</x:v>
      </x:c>
      <x:c r="O86" s="11" t="n">
        <x:v>5</x:v>
      </x:c>
      <x:c r="P86" s="11" t="n">
        <x:v>15</x:v>
      </x:c>
      <x:c r="Q86" s="11" t="str">
        <x:v>H股研究汇率下折价，一年基准上行44.38%，但正常化盈利与高PE须兑现；A/H站上20日但低于60/120/250，60日回报落后市场；H最新量比1.64仍仅反弹；创新16.4%和非肿瘤74%真实放量；肿瘤2.6%与仿制-16.1%抵消；疾病刚需、慢病与全球授权；医保集采、竞争、利率为约束；BMS首付/履约、免疫代谢、医院准入；获批/政策仍未知；现金与低负债强；OCF落后利润、研发资本化和公平价值需复核</x:v>
      </x:c>
    </x:row>
    <x:row r="87" ht="23" customHeight="1">
      <x:c r="A87" s="11" t="str">
        <x:v>688302.SH</x:v>
      </x:c>
      <x:c r="B87" s="11" t="str">
        <x:v>海创药业</x:v>
      </x:c>
      <x:c r="C87" s="11" t="str">
        <x:v>半年</x:v>
      </x:c>
      <x:c r="D87" s="33" t="n">
        <x:v>2.7</x:v>
      </x:c>
      <x:c r="E87" s="33" t="n">
        <x:v>2.4</x:v>
      </x:c>
      <x:c r="F87" s="33" t="n">
        <x:v>3.3</x:v>
      </x:c>
      <x:c r="G87" s="33" t="n">
        <x:v>4</x:v>
      </x:c>
      <x:c r="H87" s="33" t="n">
        <x:v>2.8</x:v>
      </x:c>
      <x:c r="I87" s="33" t="n">
        <x:v>3.1</x:v>
      </x:c>
      <x:c r="J87" s="34" t="n">
        <x:f>SUMPRODUCT(D87:I87,K87:P87)/5</x:f>
        <x:v>57.6</x:v>
      </x:c>
      <x:c r="K87" s="11" t="n">
        <x:v>25</x:v>
      </x:c>
      <x:c r="L87" s="11" t="n">
        <x:v>30</x:v>
      </x:c>
      <x:c r="M87" s="11" t="n">
        <x:v>15</x:v>
      </x:c>
      <x:c r="N87" s="11" t="n">
        <x:v>10</x:v>
      </x:c>
      <x:c r="O87" s="11" t="n">
        <x:v>10</x:v>
      </x:c>
      <x:c r="P87" s="11" t="n">
        <x:v>10</x:v>
      </x:c>
      <x:c r="Q87" s="11" t="str">
        <x:v>约31.77亿元市值，医保后线+MASH期权可分析，基准远期仍销售/费用/权益依赖；站20日但60/120/250下且斜率负，20日超沪深3004.80pp但60日负3.64pp，日量不足1，周下降；药品销售54.945m/医保增长、销售费42.163m，临床与调整原证据有正有负；MASH/肥胖及前列腺需求，THRβ及AR成熟竞争与支付约束；早平台仅期权；年底医保量价和后续设计，BCR/联合长期；2029计划III不挪半年上市；较多结构存款及轻银行负担，推广现金占用、研发重排和融资稀释需观察</x:v>
      </x:c>
    </x:row>
    <x:row r="88" ht="23" customHeight="1">
      <x:c r="A88" s="11" t="str">
        <x:v>688302.SH</x:v>
      </x:c>
      <x:c r="B88" s="11" t="str">
        <x:v>海创药业</x:v>
      </x:c>
      <x:c r="C88" s="11" t="str">
        <x:v>一年</x:v>
      </x:c>
      <x:c r="D88" s="33" t="n">
        <x:v>2.8</x:v>
      </x:c>
      <x:c r="E88" s="33" t="n">
        <x:v>2.4</x:v>
      </x:c>
      <x:c r="F88" s="33" t="n">
        <x:v>3.5</x:v>
      </x:c>
      <x:c r="G88" s="33" t="n">
        <x:v>4.1</x:v>
      </x:c>
      <x:c r="H88" s="33" t="n">
        <x:v>3.2</x:v>
      </x:c>
      <x:c r="I88" s="33" t="n">
        <x:v>3.1</x:v>
      </x:c>
      <x:c r="J88" s="34" t="n">
        <x:f>SUMPRODUCT(D88:I88,K88:P88)/5</x:f>
        <x:v>63.6</x:v>
      </x:c>
      <x:c r="K88" s="11" t="n">
        <x:v>25</x:v>
      </x:c>
      <x:c r="L88" s="11" t="n">
        <x:v>15</x:v>
      </x:c>
      <x:c r="M88" s="11" t="n">
        <x:v>25</x:v>
      </x:c>
      <x:c r="N88" s="11" t="n">
        <x:v>15</x:v>
      </x:c>
      <x:c r="O88" s="11" t="n">
        <x:v>10</x:v>
      </x:c>
      <x:c r="P88" s="11" t="n">
        <x:v>10</x:v>
      </x:c>
      <x:c r="Q88" s="11" t="str">
        <x:v>约31.77亿元市值，医保后线+MASH期权可分析，基准远期仍销售/费用/权益依赖；站20日但60/120/250下且斜率负，20日超沪深3004.80pp但60日负3.64pp，日量不足1，周下降；药品销售54.945m/医保增长、销售费42.163m，临床与调整原证据有正有负；MASH/肥胖及前列腺需求，THRβ及AR成熟竞争与支付约束；早平台仅期权；年底医保量价和后续设计，BCR/联合长期；2029计划III不挪半年上市；较多结构存款及轻银行负担，推广现金占用、研发重排和融资稀释需观察</x:v>
      </x:c>
    </x:row>
    <x:row r="89" ht="23" customHeight="1">
      <x:c r="A89" s="11" t="str">
        <x:v>688302.SH</x:v>
      </x:c>
      <x:c r="B89" s="11" t="str">
        <x:v>海创药业</x:v>
      </x:c>
      <x:c r="C89" s="11" t="str">
        <x:v>三年</x:v>
      </x:c>
      <x:c r="D89" s="33" t="n">
        <x:v>3</x:v>
      </x:c>
      <x:c r="E89" s="33" t="n">
        <x:v>2.4</x:v>
      </x:c>
      <x:c r="F89" s="33" t="n">
        <x:v>3.7</x:v>
      </x:c>
      <x:c r="G89" s="33" t="n">
        <x:v>4.2</x:v>
      </x:c>
      <x:c r="H89" s="33" t="n">
        <x:v>3.3</x:v>
      </x:c>
      <x:c r="I89" s="33" t="n">
        <x:v>3</x:v>
      </x:c>
      <x:c r="J89" s="34" t="n">
        <x:f>SUMPRODUCT(D89:I89,K89:P89)/5</x:f>
        <x:v>69.4</x:v>
      </x:c>
      <x:c r="K89" s="11" t="n">
        <x:v>25</x:v>
      </x:c>
      <x:c r="L89" s="11" t="n">
        <x:v>5</x:v>
      </x:c>
      <x:c r="M89" s="11" t="n">
        <x:v>35</x:v>
      </x:c>
      <x:c r="N89" s="11" t="n">
        <x:v>20</x:v>
      </x:c>
      <x:c r="O89" s="11" t="n">
        <x:v>5</x:v>
      </x:c>
      <x:c r="P89" s="11" t="n">
        <x:v>10</x:v>
      </x:c>
      <x:c r="Q89" s="11" t="str">
        <x:v>约31.77亿元市值，医保后线+MASH期权可分析，基准远期仍销售/费用/权益依赖；站20日但60/120/250下且斜率负，20日超沪深3004.80pp但60日负3.64pp，日量不足1，周下降；药品销售54.945m/医保增长、销售费42.163m，临床与调整原证据有正有负；MASH/肥胖及前列腺需求，THRβ及AR成熟竞争与支付约束；早平台仅期权；年底医保量价和后续设计，BCR/联合长期；2029计划III不挪半年上市；较多结构存款及轻银行负担，推广现金占用、研发重排和融资稀释需观察</x:v>
      </x:c>
    </x:row>
    <x:row r="90" ht="23" customHeight="1">
      <x:c r="A90" s="11" t="str">
        <x:v>688302.SH</x:v>
      </x:c>
      <x:c r="B90" s="11" t="str">
        <x:v>海创药业</x:v>
      </x:c>
      <x:c r="C90" s="11" t="str">
        <x:v>五年</x:v>
      </x:c>
      <x:c r="D90" s="33" t="n">
        <x:v>3.2</x:v>
      </x:c>
      <x:c r="E90" s="33" t="n">
        <x:v>2.4</x:v>
      </x:c>
      <x:c r="F90" s="33" t="n">
        <x:v>3.8</x:v>
      </x:c>
      <x:c r="G90" s="33" t="n">
        <x:v>4.2</x:v>
      </x:c>
      <x:c r="H90" s="33" t="n">
        <x:v>3.3</x:v>
      </x:c>
      <x:c r="I90" s="33" t="n">
        <x:v>3</x:v>
      </x:c>
      <x:c r="J90" s="34" t="n">
        <x:f>SUMPRODUCT(D90:I90,K90:P90)/5</x:f>
        <x:v>72.3</x:v>
      </x:c>
      <x:c r="K90" s="11" t="n">
        <x:v>20</x:v>
      </x:c>
      <x:c r="L90" s="11" t="n">
        <x:v>0</x:v>
      </x:c>
      <x:c r="M90" s="11" t="n">
        <x:v>40</x:v>
      </x:c>
      <x:c r="N90" s="11" t="n">
        <x:v>20</x:v>
      </x:c>
      <x:c r="O90" s="11" t="n">
        <x:v>5</x:v>
      </x:c>
      <x:c r="P90" s="11" t="n">
        <x:v>15</x:v>
      </x:c>
      <x:c r="Q90" s="11" t="str">
        <x:v>约31.77亿元市值，医保后线+MASH期权可分析，基准远期仍销售/费用/权益依赖；站20日但60/120/250下且斜率负，20日超沪深3004.80pp但60日负3.64pp，日量不足1，周下降；药品销售54.945m/医保增长、销售费42.163m，临床与调整原证据有正有负；MASH/肥胖及前列腺需求，THRβ及AR成熟竞争与支付约束；早平台仅期权；年底医保量价和后续设计，BCR/联合长期；2029计划III不挪半年上市；较多结构存款及轻银行负担，推广现金占用、研发重排和融资稀释需观察</x:v>
      </x:c>
    </x:row>
    <x:row r="91" ht="23" customHeight="1">
      <x:c r="A91" s="11" t="str">
        <x:v>01801.HK</x:v>
      </x:c>
      <x:c r="B91" s="11" t="str">
        <x:v>信达生物</x:v>
      </x:c>
      <x:c r="C91" s="11" t="str">
        <x:v>半年</x:v>
      </x:c>
      <x:c r="D91" s="33" t="n">
        <x:v>3.6</x:v>
      </x:c>
      <x:c r="E91" s="33" t="n">
        <x:v>2.4</x:v>
      </x:c>
      <x:c r="F91" s="33" t="n">
        <x:v>4.6</x:v>
      </x:c>
      <x:c r="G91" s="33" t="n">
        <x:v>4.4</x:v>
      </x:c>
      <x:c r="H91" s="33" t="n">
        <x:v>4.6</x:v>
      </x:c>
      <x:c r="I91" s="33" t="n">
        <x:v>3.3</x:v>
      </x:c>
      <x:c r="J91" s="34" t="n">
        <x:f>SUMPRODUCT(D91:I91,K91:P91)/5</x:f>
        <x:v>70.8</x:v>
      </x:c>
      <x:c r="K91" s="11" t="n">
        <x:v>25</x:v>
      </x:c>
      <x:c r="L91" s="11" t="n">
        <x:v>30</x:v>
      </x:c>
      <x:c r="M91" s="11" t="n">
        <x:v>15</x:v>
      </x:c>
      <x:c r="N91" s="11" t="n">
        <x:v>10</x:v>
      </x:c>
      <x:c r="O91" s="11" t="n">
        <x:v>10</x:v>
      </x:c>
      <x:c r="P91" s="11" t="n">
        <x:v>10</x:v>
      </x:c>
      <x:c r="Q91" s="11" t="str">
        <x:v>近期机构目标120.6—149.6支持空间，盈利路径与管线仍需兑现；悲观损失显著；价低于20/60日线，RSI40.4、MACD负；量缩未形成突破，技术入场评分低；产品收入56.7%增长、费用杠杆及多产品平台；授权/税项等非经常因素须剔除；肥胖、慢病、创新肿瘤需求与海外专利周期，医保定价/竞品限制可支付市场；玛仕度肽9mg、IBI363/343注册及临床数据、全年产品销售等多催化；现金充足但合同责任、全球投入、临床风险及股权激励成本增加</x:v>
      </x:c>
    </x:row>
    <x:row r="92" ht="23" customHeight="1">
      <x:c r="A92" s="11" t="str">
        <x:v>01801.HK</x:v>
      </x:c>
      <x:c r="B92" s="11" t="str">
        <x:v>信达生物</x:v>
      </x:c>
      <x:c r="C92" s="11" t="str">
        <x:v>一年</x:v>
      </x:c>
      <x:c r="D92" s="33" t="n">
        <x:v>4</x:v>
      </x:c>
      <x:c r="E92" s="33" t="n">
        <x:v>2.4</x:v>
      </x:c>
      <x:c r="F92" s="33" t="n">
        <x:v>4.6</x:v>
      </x:c>
      <x:c r="G92" s="33" t="n">
        <x:v>4.4</x:v>
      </x:c>
      <x:c r="H92" s="33" t="n">
        <x:v>4.7</x:v>
      </x:c>
      <x:c r="I92" s="33" t="n">
        <x:v>3.4</x:v>
      </x:c>
      <x:c r="J92" s="34" t="n">
        <x:f>SUMPRODUCT(D92:I92,K92:P92)/5</x:f>
        <x:v>79.6</x:v>
      </x:c>
      <x:c r="K92" s="11" t="n">
        <x:v>25</x:v>
      </x:c>
      <x:c r="L92" s="11" t="n">
        <x:v>15</x:v>
      </x:c>
      <x:c r="M92" s="11" t="n">
        <x:v>25</x:v>
      </x:c>
      <x:c r="N92" s="11" t="n">
        <x:v>15</x:v>
      </x:c>
      <x:c r="O92" s="11" t="n">
        <x:v>10</x:v>
      </x:c>
      <x:c r="P92" s="11" t="n">
        <x:v>10</x:v>
      </x:c>
      <x:c r="Q92" s="11" t="str">
        <x:v>近期机构目标120.6—149.6支持空间，盈利路径与管线仍需兑现；悲观损失显著；价低于20/60日线，RSI40.4、MACD负；量缩未形成突破，技术入场评分低；产品收入56.7%增长、费用杠杆及多产品平台；授权/税项等非经常因素须剔除；肥胖、慢病、创新肿瘤需求与海外专利周期，医保定价/竞品限制可支付市场；玛仕度肽9mg、IBI363/343注册及临床数据、全年产品销售等多催化；现金充足但合同责任、全球投入、临床风险及股权激励成本增加</x:v>
      </x:c>
    </x:row>
    <x:row r="93" ht="23" customHeight="1">
      <x:c r="A93" s="11" t="str">
        <x:v>01801.HK</x:v>
      </x:c>
      <x:c r="B93" s="11" t="str">
        <x:v>信达生物</x:v>
      </x:c>
      <x:c r="C93" s="11" t="str">
        <x:v>三年</x:v>
      </x:c>
      <x:c r="D93" s="33" t="n">
        <x:v>4.1</x:v>
      </x:c>
      <x:c r="E93" s="33" t="n">
        <x:v>2.4</x:v>
      </x:c>
      <x:c r="F93" s="33" t="n">
        <x:v>4.6</x:v>
      </x:c>
      <x:c r="G93" s="33" t="n">
        <x:v>4.6</x:v>
      </x:c>
      <x:c r="H93" s="33" t="n">
        <x:v>4.5</x:v>
      </x:c>
      <x:c r="I93" s="33" t="n">
        <x:v>3.2</x:v>
      </x:c>
      <x:c r="J93" s="34" t="n">
        <x:f>SUMPRODUCT(D93:I93,K93:P93)/5</x:f>
        <x:v>84.4</x:v>
      </x:c>
      <x:c r="K93" s="11" t="n">
        <x:v>25</x:v>
      </x:c>
      <x:c r="L93" s="11" t="n">
        <x:v>5</x:v>
      </x:c>
      <x:c r="M93" s="11" t="n">
        <x:v>35</x:v>
      </x:c>
      <x:c r="N93" s="11" t="n">
        <x:v>20</x:v>
      </x:c>
      <x:c r="O93" s="11" t="n">
        <x:v>5</x:v>
      </x:c>
      <x:c r="P93" s="11" t="n">
        <x:v>10</x:v>
      </x:c>
      <x:c r="Q93" s="11" t="str">
        <x:v>近期机构目标120.6—149.6支持空间，盈利路径与管线仍需兑现；悲观损失显著；价低于20/60日线，RSI40.4、MACD负；量缩未形成突破，技术入场评分低；产品收入56.7%增长、费用杠杆及多产品平台；授权/税项等非经常因素须剔除；肥胖、慢病、创新肿瘤需求与海外专利周期，医保定价/竞品限制可支付市场；玛仕度肽9mg、IBI363/343注册及临床数据、全年产品销售等多催化；现金充足但合同责任、全球投入、临床风险及股权激励成本增加</x:v>
      </x:c>
    </x:row>
    <x:row r="94" ht="23" customHeight="1">
      <x:c r="A94" s="11" t="str">
        <x:v>01801.HK</x:v>
      </x:c>
      <x:c r="B94" s="11" t="str">
        <x:v>信达生物</x:v>
      </x:c>
      <x:c r="C94" s="11" t="str">
        <x:v>五年</x:v>
      </x:c>
      <x:c r="D94" s="33" t="n">
        <x:v>3.8</x:v>
      </x:c>
      <x:c r="E94" s="33" t="n">
        <x:v>0</x:v>
      </x:c>
      <x:c r="F94" s="33" t="n">
        <x:v>4.4</x:v>
      </x:c>
      <x:c r="G94" s="33" t="n">
        <x:v>4.5</x:v>
      </x:c>
      <x:c r="H94" s="33" t="n">
        <x:v>4.2</x:v>
      </x:c>
      <x:c r="I94" s="33" t="n">
        <x:v>3</x:v>
      </x:c>
      <x:c r="J94" s="34" t="n">
        <x:f>SUMPRODUCT(D94:I94,K94:P94)/5</x:f>
        <x:v>81.6</x:v>
      </x:c>
      <x:c r="K94" s="11" t="n">
        <x:v>20</x:v>
      </x:c>
      <x:c r="L94" s="11" t="n">
        <x:v>0</x:v>
      </x:c>
      <x:c r="M94" s="11" t="n">
        <x:v>40</x:v>
      </x:c>
      <x:c r="N94" s="11" t="n">
        <x:v>20</x:v>
      </x:c>
      <x:c r="O94" s="11" t="n">
        <x:v>5</x:v>
      </x:c>
      <x:c r="P94" s="11" t="n">
        <x:v>15</x:v>
      </x:c>
      <x:c r="Q94" s="11" t="str">
        <x:v>近期机构目标120.6—149.6支持空间，盈利路径与管线仍需兑现；悲观损失显著；价低于20/60日线，RSI40.4、MACD负；量缩未形成突破，技术入场评分低；产品收入56.7%增长、费用杠杆及多产品平台；授权/税项等非经常因素须剔除；肥胖、慢病、创新肿瘤需求与海外专利周期，医保定价/竞品限制可支付市场；玛仕度肽9mg、IBI363/343注册及临床数据、全年产品销售等多催化；现金充足但合同责任、全球投入、临床风险及股权激励成本增加</x:v>
      </x:c>
    </x:row>
    <x:row r="95" ht="23" customHeight="1">
      <x:c r="A95" s="11" t="str">
        <x:v>688382.SH</x:v>
      </x:c>
      <x:c r="B95" s="11" t="str">
        <x:v>益方生物</x:v>
      </x:c>
      <x:c r="C95" s="11" t="str">
        <x:v>半年</x:v>
      </x:c>
      <x:c r="D95" s="33" t="n">
        <x:v>1.5</x:v>
      </x:c>
      <x:c r="E95" s="33" t="n">
        <x:v>1.3</x:v>
      </x:c>
      <x:c r="F95" s="33" t="n">
        <x:v>3.8</x:v>
      </x:c>
      <x:c r="G95" s="33" t="n">
        <x:v>4.1</x:v>
      </x:c>
      <x:c r="H95" s="33" t="n">
        <x:v>3.8</x:v>
      </x:c>
      <x:c r="I95" s="33" t="n">
        <x:v>2.7</x:v>
      </x:c>
      <x:c r="J95" s="34" t="n">
        <x:f>SUMPRODUCT(D95:I95,K95:P95)/5</x:f>
        <x:v>47.9</x:v>
      </x:c>
      <x:c r="K95" s="11" t="n">
        <x:v>25</x:v>
      </x:c>
      <x:c r="L95" s="11" t="n">
        <x:v>30</x:v>
      </x:c>
      <x:c r="M95" s="11" t="n">
        <x:v>15</x:v>
      </x:c>
      <x:c r="N95" s="11" t="n">
        <x:v>10</x:v>
      </x:c>
      <x:c r="O95" s="11" t="n">
        <x:v>10</x:v>
      </x:c>
      <x:c r="P95" s="11" t="n">
        <x:v>10</x:v>
      </x:c>
      <x:c r="Q95" s="11" t="str">
        <x:v>约100.04亿元市值远大于当前版税现金；资产管线价值存在但基准安全空间不足，股本和商业假设敏感；日四均线下、20/60日-13.44/-19.87，RS负8.27/8.41pp，量比近1无确认；两款已批许可，版税约30.54%增长但预付款抬总收入；TYK2随机II、SERD关键III仍亏损；自免/痛风/精准肿瘤需求，拥挤靶点、医保和海外数据分享经济权约束；TYK2UC预计2027Q1、银屑/三期和后续海外许可；年底具体申报不得造；轻银行债但研发增60%、应收100m未结、未来销售团队和融资/激励稀释</x:v>
      </x:c>
    </x:row>
    <x:row r="96" ht="23" customHeight="1">
      <x:c r="A96" s="11" t="str">
        <x:v>688382.SH</x:v>
      </x:c>
      <x:c r="B96" s="11" t="str">
        <x:v>益方生物</x:v>
      </x:c>
      <x:c r="C96" s="11" t="str">
        <x:v>一年</x:v>
      </x:c>
      <x:c r="D96" s="33" t="n">
        <x:v>1.8</x:v>
      </x:c>
      <x:c r="E96" s="33" t="n">
        <x:v>1.3</x:v>
      </x:c>
      <x:c r="F96" s="33" t="n">
        <x:v>3.9</x:v>
      </x:c>
      <x:c r="G96" s="33" t="n">
        <x:v>4.1</x:v>
      </x:c>
      <x:c r="H96" s="33" t="n">
        <x:v>4</x:v>
      </x:c>
      <x:c r="I96" s="33" t="n">
        <x:v>2.7</x:v>
      </x:c>
      <x:c r="J96" s="34" t="n">
        <x:f>SUMPRODUCT(D96:I96,K96:P96)/5</x:f>
        <x:v>58.1</x:v>
      </x:c>
      <x:c r="K96" s="11" t="n">
        <x:v>25</x:v>
      </x:c>
      <x:c r="L96" s="11" t="n">
        <x:v>15</x:v>
      </x:c>
      <x:c r="M96" s="11" t="n">
        <x:v>25</x:v>
      </x:c>
      <x:c r="N96" s="11" t="n">
        <x:v>15</x:v>
      </x:c>
      <x:c r="O96" s="11" t="n">
        <x:v>10</x:v>
      </x:c>
      <x:c r="P96" s="11" t="n">
        <x:v>10</x:v>
      </x:c>
      <x:c r="Q96" s="11" t="str">
        <x:v>约100.04亿元市值远大于当前版税现金；资产管线价值存在但基准安全空间不足，股本和商业假设敏感；日四均线下、20/60日-13.44/-19.87，RS负8.27/8.41pp，量比近1无确认；两款已批许可，版税约30.54%增长但预付款抬总收入；TYK2随机II、SERD关键III仍亏损；自免/痛风/精准肿瘤需求，拥挤靶点、医保和海外数据分享经济权约束；TYK2UC预计2027Q1、银屑/三期和后续海外许可；年底具体申报不得造；轻银行债但研发增60%、应收100m未结、未来销售团队和融资/激励稀释</x:v>
      </x:c>
    </x:row>
    <x:row r="97" ht="23" customHeight="1">
      <x:c r="A97" s="11" t="str">
        <x:v>688382.SH</x:v>
      </x:c>
      <x:c r="B97" s="11" t="str">
        <x:v>益方生物</x:v>
      </x:c>
      <x:c r="C97" s="11" t="str">
        <x:v>三年</x:v>
      </x:c>
      <x:c r="D97" s="33" t="n">
        <x:v>2.6</x:v>
      </x:c>
      <x:c r="E97" s="33" t="n">
        <x:v>1.3</x:v>
      </x:c>
      <x:c r="F97" s="33" t="n">
        <x:v>4.1</x:v>
      </x:c>
      <x:c r="G97" s="33" t="n">
        <x:v>4.2</x:v>
      </x:c>
      <x:c r="H97" s="33" t="n">
        <x:v>3.9</x:v>
      </x:c>
      <x:c r="I97" s="33" t="n">
        <x:v>2.8</x:v>
      </x:c>
      <x:c r="J97" s="34" t="n">
        <x:f>SUMPRODUCT(D97:I97,K97:P97)/5</x:f>
        <x:v>69.3</x:v>
      </x:c>
      <x:c r="K97" s="11" t="n">
        <x:v>25</x:v>
      </x:c>
      <x:c r="L97" s="11" t="n">
        <x:v>5</x:v>
      </x:c>
      <x:c r="M97" s="11" t="n">
        <x:v>35</x:v>
      </x:c>
      <x:c r="N97" s="11" t="n">
        <x:v>20</x:v>
      </x:c>
      <x:c r="O97" s="11" t="n">
        <x:v>5</x:v>
      </x:c>
      <x:c r="P97" s="11" t="n">
        <x:v>10</x:v>
      </x:c>
      <x:c r="Q97" s="11" t="str">
        <x:v>约100.04亿元市值远大于当前版税现金；资产管线价值存在但基准安全空间不足，股本和商业假设敏感；日四均线下、20/60日-13.44/-19.87，RS负8.27/8.41pp，量比近1无确认；两款已批许可，版税约30.54%增长但预付款抬总收入；TYK2随机II、SERD关键III仍亏损；自免/痛风/精准肿瘤需求，拥挤靶点、医保和海外数据分享经济权约束；TYK2UC预计2027Q1、银屑/三期和后续海外许可；年底具体申报不得造；轻银行债但研发增60%、应收100m未结、未来销售团队和融资/激励稀释</x:v>
      </x:c>
    </x:row>
    <x:row r="98" ht="23" customHeight="1">
      <x:c r="A98" s="11" t="str">
        <x:v>688382.SH</x:v>
      </x:c>
      <x:c r="B98" s="11" t="str">
        <x:v>益方生物</x:v>
      </x:c>
      <x:c r="C98" s="11" t="str">
        <x:v>五年</x:v>
      </x:c>
      <x:c r="D98" s="33" t="n">
        <x:v>2.9</x:v>
      </x:c>
      <x:c r="E98" s="33" t="n">
        <x:v>1.3</x:v>
      </x:c>
      <x:c r="F98" s="33" t="n">
        <x:v>4.1</x:v>
      </x:c>
      <x:c r="G98" s="33" t="n">
        <x:v>4.2</x:v>
      </x:c>
      <x:c r="H98" s="33" t="n">
        <x:v>3.7</x:v>
      </x:c>
      <x:c r="I98" s="33" t="n">
        <x:v>2.8</x:v>
      </x:c>
      <x:c r="J98" s="34" t="n">
        <x:f>SUMPRODUCT(D98:I98,K98:P98)/5</x:f>
        <x:v>73.3</x:v>
      </x:c>
      <x:c r="K98" s="11" t="n">
        <x:v>20</x:v>
      </x:c>
      <x:c r="L98" s="11" t="n">
        <x:v>0</x:v>
      </x:c>
      <x:c r="M98" s="11" t="n">
        <x:v>40</x:v>
      </x:c>
      <x:c r="N98" s="11" t="n">
        <x:v>20</x:v>
      </x:c>
      <x:c r="O98" s="11" t="n">
        <x:v>5</x:v>
      </x:c>
      <x:c r="P98" s="11" t="n">
        <x:v>15</x:v>
      </x:c>
      <x:c r="Q98" s="11" t="str">
        <x:v>约100.04亿元市值远大于当前版税现金；资产管线价值存在但基准安全空间不足，股本和商业假设敏感；日四均线下、20/60日-13.44/-19.87，RS负8.27/8.41pp，量比近1无确认；两款已批许可，版税约30.54%增长但预付款抬总收入；TYK2随机II、SERD关键III仍亏损；自免/痛风/精准肿瘤需求，拥挤靶点、医保和海外数据分享经济权约束；TYK2UC预计2027Q1、银屑/三期和后续海外许可；年底具体申报不得造；轻银行债但研发增60%、应收100m未结、未来销售团队和融资/激励稀释</x:v>
      </x:c>
    </x:row>
    <x:row r="99" ht="23" customHeight="1">
      <x:c r="A99" s="11" t="str">
        <x:v>06618.HK</x:v>
      </x:c>
      <x:c r="B99" s="11" t="str">
        <x:v>京东健康</x:v>
      </x:c>
      <x:c r="C99" s="11" t="str">
        <x:v>半年</x:v>
      </x:c>
      <x:c r="D99" s="33" t="n">
        <x:v>3.6</x:v>
      </x:c>
      <x:c r="E99" s="33" t="n">
        <x:v>2.5</x:v>
      </x:c>
      <x:c r="F99" s="33" t="n">
        <x:v>4.1</x:v>
      </x:c>
      <x:c r="G99" s="33" t="n">
        <x:v>3.8</x:v>
      </x:c>
      <x:c r="H99" s="33" t="n">
        <x:v>3.7</x:v>
      </x:c>
      <x:c r="I99" s="33" t="n">
        <x:v>3.8</x:v>
      </x:c>
      <x:c r="J99" s="34" t="n">
        <x:f>SUMPRODUCT(D99:I99,K99:P99)/5</x:f>
        <x:v>67.9</x:v>
      </x:c>
      <x:c r="K99" s="11" t="n">
        <x:v>25</x:v>
      </x:c>
      <x:c r="L99" s="11" t="n">
        <x:v>30</x:v>
      </x:c>
      <x:c r="M99" s="11" t="n">
        <x:v>15</x:v>
      </x:c>
      <x:c r="N99" s="11" t="n">
        <x:v>10</x:v>
      </x:c>
      <x:c r="O99" s="11" t="n">
        <x:v>10</x:v>
      </x:c>
      <x:c r="P99" s="11" t="n">
        <x:v>10</x:v>
      </x:c>
      <x:c r="Q99" s="11" t="str"/>
    </x:row>
    <x:row r="100" ht="23" customHeight="1">
      <x:c r="A100" s="11" t="str">
        <x:v>06618.HK</x:v>
      </x:c>
      <x:c r="B100" s="11" t="str">
        <x:v>京东健康</x:v>
      </x:c>
      <x:c r="C100" s="11" t="str">
        <x:v>一年</x:v>
      </x:c>
      <x:c r="D100" s="33" t="n">
        <x:v>4</x:v>
      </x:c>
      <x:c r="E100" s="33" t="n">
        <x:v>2.7</x:v>
      </x:c>
      <x:c r="F100" s="33" t="n">
        <x:v>4.3</x:v>
      </x:c>
      <x:c r="G100" s="33" t="n">
        <x:v>4</x:v>
      </x:c>
      <x:c r="H100" s="33" t="n">
        <x:v>4</x:v>
      </x:c>
      <x:c r="I100" s="33" t="n">
        <x:v>3.8</x:v>
      </x:c>
      <x:c r="J100" s="34" t="n">
        <x:f>SUMPRODUCT(D100:I100,K100:P100)/5</x:f>
        <x:v>77.2</x:v>
      </x:c>
      <x:c r="K100" s="11" t="n">
        <x:v>25</x:v>
      </x:c>
      <x:c r="L100" s="11" t="n">
        <x:v>15</x:v>
      </x:c>
      <x:c r="M100" s="11" t="n">
        <x:v>25</x:v>
      </x:c>
      <x:c r="N100" s="11" t="n">
        <x:v>15</x:v>
      </x:c>
      <x:c r="O100" s="11" t="n">
        <x:v>10</x:v>
      </x:c>
      <x:c r="P100" s="11" t="n">
        <x:v>10</x:v>
      </x:c>
      <x:c r="Q100" s="11" t="str"/>
    </x:row>
    <x:row r="101" ht="23" customHeight="1">
      <x:c r="A101" s="11" t="str">
        <x:v>06618.HK</x:v>
      </x:c>
      <x:c r="B101" s="11" t="str">
        <x:v>京东健康</x:v>
      </x:c>
      <x:c r="C101" s="11" t="str">
        <x:v>三年</x:v>
      </x:c>
      <x:c r="D101" s="33" t="n">
        <x:v>4.2</x:v>
      </x:c>
      <x:c r="E101" s="33" t="n">
        <x:v>2.8</x:v>
      </x:c>
      <x:c r="F101" s="33" t="n">
        <x:v>4.3</x:v>
      </x:c>
      <x:c r="G101" s="33" t="n">
        <x:v>4.2</x:v>
      </x:c>
      <x:c r="H101" s="33" t="n">
        <x:v>4</x:v>
      </x:c>
      <x:c r="I101" s="33" t="n">
        <x:v>3.6</x:v>
      </x:c>
      <x:c r="J101" s="34" t="n">
        <x:f>SUMPRODUCT(D101:I101,K101:P101)/5</x:f>
        <x:v>81.9</x:v>
      </x:c>
      <x:c r="K101" s="11" t="n">
        <x:v>25</x:v>
      </x:c>
      <x:c r="L101" s="11" t="n">
        <x:v>5</x:v>
      </x:c>
      <x:c r="M101" s="11" t="n">
        <x:v>35</x:v>
      </x:c>
      <x:c r="N101" s="11" t="n">
        <x:v>20</x:v>
      </x:c>
      <x:c r="O101" s="11" t="n">
        <x:v>5</x:v>
      </x:c>
      <x:c r="P101" s="11" t="n">
        <x:v>10</x:v>
      </x:c>
      <x:c r="Q101" s="11" t="str"/>
    </x:row>
    <x:row r="102" ht="23" customHeight="1">
      <x:c r="A102" s="11" t="str">
        <x:v>06618.HK</x:v>
      </x:c>
      <x:c r="B102" s="11" t="str">
        <x:v>京东健康</x:v>
      </x:c>
      <x:c r="C102" s="11" t="str">
        <x:v>五年</x:v>
      </x:c>
      <x:c r="D102" s="33" t="n">
        <x:v>4</x:v>
      </x:c>
      <x:c r="E102" s="33" t="n">
        <x:v>2.8</x:v>
      </x:c>
      <x:c r="F102" s="33" t="n">
        <x:v>4.2</x:v>
      </x:c>
      <x:c r="G102" s="33" t="n">
        <x:v>4.2</x:v>
      </x:c>
      <x:c r="H102" s="33" t="n">
        <x:v>3.8</x:v>
      </x:c>
      <x:c r="I102" s="33" t="n">
        <x:v>3.5</x:v>
      </x:c>
      <x:c r="J102" s="34" t="n">
        <x:f>SUMPRODUCT(D102:I102,K102:P102)/5</x:f>
        <x:v>80.7</x:v>
      </x:c>
      <x:c r="K102" s="11" t="n">
        <x:v>20</x:v>
      </x:c>
      <x:c r="L102" s="11" t="n">
        <x:v>0</x:v>
      </x:c>
      <x:c r="M102" s="11" t="n">
        <x:v>40</x:v>
      </x:c>
      <x:c r="N102" s="11" t="n">
        <x:v>20</x:v>
      </x:c>
      <x:c r="O102" s="11" t="n">
        <x:v>5</x:v>
      </x:c>
      <x:c r="P102" s="11" t="n">
        <x:v>15</x:v>
      </x:c>
      <x:c r="Q102" s="11" t="str"/>
    </x:row>
    <x:row r="103" ht="23" customHeight="1">
      <x:c r="A103" s="11" t="str">
        <x:v>09618.HK</x:v>
      </x:c>
      <x:c r="B103" s="11" t="str">
        <x:v>京东集团-SW</x:v>
      </x:c>
      <x:c r="C103" s="11" t="str">
        <x:v>半年</x:v>
      </x:c>
      <x:c r="D103" s="33" t="n">
        <x:v>3.2</x:v>
      </x:c>
      <x:c r="E103" s="33" t="n">
        <x:v>2.7</x:v>
      </x:c>
      <x:c r="F103" s="33" t="n">
        <x:v>3.5</x:v>
      </x:c>
      <x:c r="G103" s="33" t="n">
        <x:v>3.1</x:v>
      </x:c>
      <x:c r="H103" s="33" t="n">
        <x:v>3.3</x:v>
      </x:c>
      <x:c r="I103" s="33" t="n">
        <x:v>3.5</x:v>
      </x:c>
      <x:c r="J103" s="34" t="n">
        <x:f>SUMPRODUCT(D103:I103,K103:P103)/5</x:f>
        <x:v>62.5</x:v>
      </x:c>
      <x:c r="K103" s="11" t="n">
        <x:v>25</x:v>
      </x:c>
      <x:c r="L103" s="11" t="n">
        <x:v>30</x:v>
      </x:c>
      <x:c r="M103" s="11" t="n">
        <x:v>15</x:v>
      </x:c>
      <x:c r="N103" s="11" t="n">
        <x:v>10</x:v>
      </x:c>
      <x:c r="O103" s="11" t="n">
        <x:v>10</x:v>
      </x:c>
      <x:c r="P103" s="11" t="n">
        <x:v>10</x:v>
      </x:c>
      <x:c r="Q103" s="11" t="str"/>
    </x:row>
    <x:row r="104" ht="23" customHeight="1">
      <x:c r="A104" s="11" t="str">
        <x:v>09618.HK</x:v>
      </x:c>
      <x:c r="B104" s="11" t="str">
        <x:v>京东集团-SW</x:v>
      </x:c>
      <x:c r="C104" s="11" t="str">
        <x:v>一年</x:v>
      </x:c>
      <x:c r="D104" s="33" t="n">
        <x:v>3.6</x:v>
      </x:c>
      <x:c r="E104" s="33" t="n">
        <x:v>2.7</x:v>
      </x:c>
      <x:c r="F104" s="33" t="n">
        <x:v>3.7</x:v>
      </x:c>
      <x:c r="G104" s="33" t="n">
        <x:v>3.3</x:v>
      </x:c>
      <x:c r="H104" s="33" t="n">
        <x:v>3.5</x:v>
      </x:c>
      <x:c r="I104" s="33" t="n">
        <x:v>3.5</x:v>
      </x:c>
      <x:c r="J104" s="34" t="n">
        <x:f>SUMPRODUCT(D104:I104,K104:P104)/5</x:f>
        <x:v>68.5</x:v>
      </x:c>
      <x:c r="K104" s="11" t="n">
        <x:v>25</x:v>
      </x:c>
      <x:c r="L104" s="11" t="n">
        <x:v>15</x:v>
      </x:c>
      <x:c r="M104" s="11" t="n">
        <x:v>25</x:v>
      </x:c>
      <x:c r="N104" s="11" t="n">
        <x:v>15</x:v>
      </x:c>
      <x:c r="O104" s="11" t="n">
        <x:v>10</x:v>
      </x:c>
      <x:c r="P104" s="11" t="n">
        <x:v>10</x:v>
      </x:c>
      <x:c r="Q104" s="11" t="str"/>
    </x:row>
    <x:row r="105" ht="23" customHeight="1">
      <x:c r="A105" s="11" t="str">
        <x:v>09618.HK</x:v>
      </x:c>
      <x:c r="B105" s="11" t="str">
        <x:v>京东集团-SW</x:v>
      </x:c>
      <x:c r="C105" s="11" t="str">
        <x:v>三年</x:v>
      </x:c>
      <x:c r="D105" s="33" t="n">
        <x:v>3.9</x:v>
      </x:c>
      <x:c r="E105" s="33" t="n">
        <x:v>2.7</x:v>
      </x:c>
      <x:c r="F105" s="33" t="n">
        <x:v>3.9</x:v>
      </x:c>
      <x:c r="G105" s="33" t="n">
        <x:v>3.5</x:v>
      </x:c>
      <x:c r="H105" s="33" t="n">
        <x:v>3.5</x:v>
      </x:c>
      <x:c r="I105" s="33" t="n">
        <x:v>3.4</x:v>
      </x:c>
      <x:c r="J105" s="34" t="n">
        <x:f>SUMPRODUCT(D105:I105,K105:P105)/5</x:f>
        <x:v>73.8</x:v>
      </x:c>
      <x:c r="K105" s="11" t="n">
        <x:v>25</x:v>
      </x:c>
      <x:c r="L105" s="11" t="n">
        <x:v>5</x:v>
      </x:c>
      <x:c r="M105" s="11" t="n">
        <x:v>35</x:v>
      </x:c>
      <x:c r="N105" s="11" t="n">
        <x:v>20</x:v>
      </x:c>
      <x:c r="O105" s="11" t="n">
        <x:v>5</x:v>
      </x:c>
      <x:c r="P105" s="11" t="n">
        <x:v>10</x:v>
      </x:c>
      <x:c r="Q105" s="11" t="str"/>
    </x:row>
    <x:row r="106" ht="23" customHeight="1">
      <x:c r="A106" s="11" t="str">
        <x:v>09618.HK</x:v>
      </x:c>
      <x:c r="B106" s="11" t="str">
        <x:v>京东集团-SW</x:v>
      </x:c>
      <x:c r="C106" s="11" t="str">
        <x:v>五年</x:v>
      </x:c>
      <x:c r="D106" s="33" t="n">
        <x:v>3.9</x:v>
      </x:c>
      <x:c r="E106" s="33" t="n">
        <x:v>2.7</x:v>
      </x:c>
      <x:c r="F106" s="33" t="n">
        <x:v>4</x:v>
      </x:c>
      <x:c r="G106" s="33" t="n">
        <x:v>3.5</x:v>
      </x:c>
      <x:c r="H106" s="33" t="n">
        <x:v>3.4</x:v>
      </x:c>
      <x:c r="I106" s="33" t="n">
        <x:v>3.2</x:v>
      </x:c>
      <x:c r="J106" s="34" t="n">
        <x:f>SUMPRODUCT(D106:I106,K106:P106)/5</x:f>
        <x:v>74.6</x:v>
      </x:c>
      <x:c r="K106" s="11" t="n">
        <x:v>20</x:v>
      </x:c>
      <x:c r="L106" s="11" t="n">
        <x:v>0</x:v>
      </x:c>
      <x:c r="M106" s="11" t="n">
        <x:v>40</x:v>
      </x:c>
      <x:c r="N106" s="11" t="n">
        <x:v>20</x:v>
      </x:c>
      <x:c r="O106" s="11" t="n">
        <x:v>5</x:v>
      </x:c>
      <x:c r="P106" s="11" t="n">
        <x:v>15</x:v>
      </x:c>
      <x:c r="Q106" s="11" t="str"/>
    </x:row>
    <x:row r="107" ht="23" customHeight="1">
      <x:c r="A107" s="11" t="str">
        <x:v>688356.SH</x:v>
      </x:c>
      <x:c r="B107" s="11" t="str">
        <x:v>键凯科技</x:v>
      </x:c>
      <x:c r="C107" s="11" t="str">
        <x:v>半年</x:v>
      </x:c>
      <x:c r="D107" s="33" t="n">
        <x:v>1.9</x:v>
      </x:c>
      <x:c r="E107" s="33" t="n">
        <x:v>4</x:v>
      </x:c>
      <x:c r="F107" s="33" t="n">
        <x:v>3.6</x:v>
      </x:c>
      <x:c r="G107" s="33" t="n">
        <x:v>3.6</x:v>
      </x:c>
      <x:c r="H107" s="33" t="n">
        <x:v>2.8</x:v>
      </x:c>
      <x:c r="I107" s="33" t="n">
        <x:v>2.8</x:v>
      </x:c>
      <x:c r="J107" s="34" t="n">
        <x:f>SUMPRODUCT(D107:I107,K107:P107)/5</x:f>
        <x:v>62.7</x:v>
      </x:c>
      <x:c r="K107" s="11" t="n">
        <x:v>25</x:v>
      </x:c>
      <x:c r="L107" s="11" t="n">
        <x:v>30</x:v>
      </x:c>
      <x:c r="M107" s="11" t="n">
        <x:v>15</x:v>
      </x:c>
      <x:c r="N107" s="11" t="n">
        <x:v>10</x:v>
      </x:c>
      <x:c r="O107" s="11" t="n">
        <x:v>10</x:v>
      </x:c>
      <x:c r="P107" s="11" t="n">
        <x:v>10</x:v>
      </x:c>
      <x:c r="Q107" s="11" t="str">
        <x:v>历史2025PE约105.78、报告TTM约153.75、正常化更低但仍需证据；一年基准117只约8.43%股价空间；现价高20/60/120/250日线，20/60日强于沪深300但日ATR8.21%、乖离21%以上，技术4分未把同类指标重复加分；收入42.65%、GM72.06%，材料定制与客户认证有壁垒；国内低基数和服务波动、最大客户33.28%约束；创新药/器械材料需求扩张但客户商业化和预算有周期；海外药端-16.77%且客户可自建供应；材料季度兑现与新客户，而非已终止三期；园区预计24个月对半年直接利润贡献有限；无表列银行债但可支付现金仅147.3m、315m新项目、非现金金融投资和研发损失；股东已减持3%</x:v>
      </x:c>
    </x:row>
    <x:row r="108" ht="23" customHeight="1">
      <x:c r="A108" s="11" t="str">
        <x:v>688356.SH</x:v>
      </x:c>
      <x:c r="B108" s="11" t="str">
        <x:v>键凯科技</x:v>
      </x:c>
      <x:c r="C108" s="11" t="str">
        <x:v>一年</x:v>
      </x:c>
      <x:c r="D108" s="33" t="n">
        <x:v>2.6</x:v>
      </x:c>
      <x:c r="E108" s="33" t="n">
        <x:v>4</x:v>
      </x:c>
      <x:c r="F108" s="33" t="n">
        <x:v>3.7</x:v>
      </x:c>
      <x:c r="G108" s="33" t="n">
        <x:v>3.7</x:v>
      </x:c>
      <x:c r="H108" s="33" t="n">
        <x:v>3</x:v>
      </x:c>
      <x:c r="I108" s="33" t="n">
        <x:v>2.8</x:v>
      </x:c>
      <x:c r="J108" s="34" t="n">
        <x:f>SUMPRODUCT(D108:I108,K108:P108)/5</x:f>
        <x:v>66.2</x:v>
      </x:c>
      <x:c r="K108" s="11" t="n">
        <x:v>25</x:v>
      </x:c>
      <x:c r="L108" s="11" t="n">
        <x:v>15</x:v>
      </x:c>
      <x:c r="M108" s="11" t="n">
        <x:v>25</x:v>
      </x:c>
      <x:c r="N108" s="11" t="n">
        <x:v>15</x:v>
      </x:c>
      <x:c r="O108" s="11" t="n">
        <x:v>10</x:v>
      </x:c>
      <x:c r="P108" s="11" t="n">
        <x:v>10</x:v>
      </x:c>
      <x:c r="Q108" s="11" t="str">
        <x:v>历史2025PE约105.78、报告TTM约153.75、正常化更低但仍需证据；一年基准117只约8.43%股价空间；现价高20/60/120/250日线，20/60日强于沪深300但日ATR8.21%、乖离21%以上，技术4分未把同类指标重复加分；收入42.65%、GM72.06%，材料定制与客户认证有壁垒；国内低基数和服务波动、最大客户33.28%约束；创新药/器械材料需求扩张但客户商业化和预算有周期；海外药端-16.77%且客户可自建供应；材料季度兑现与新客户，而非已终止三期；园区预计24个月对半年直接利润贡献有限；无表列银行债但可支付现金仅147.3m、315m新项目、非现金金融投资和研发损失；股东已减持3%</x:v>
      </x:c>
    </x:row>
    <x:row r="109" ht="23" customHeight="1">
      <x:c r="A109" s="11" t="str">
        <x:v>688356.SH</x:v>
      </x:c>
      <x:c r="B109" s="11" t="str">
        <x:v>键凯科技</x:v>
      </x:c>
      <x:c r="C109" s="11" t="str">
        <x:v>三年</x:v>
      </x:c>
      <x:c r="D109" s="33" t="n">
        <x:v>3.1</x:v>
      </x:c>
      <x:c r="E109" s="33" t="n">
        <x:v>4</x:v>
      </x:c>
      <x:c r="F109" s="33" t="n">
        <x:v>3.8</x:v>
      </x:c>
      <x:c r="G109" s="33" t="n">
        <x:v>3.7</x:v>
      </x:c>
      <x:c r="H109" s="33" t="n">
        <x:v>3.2</x:v>
      </x:c>
      <x:c r="I109" s="33" t="n">
        <x:v>2.9</x:v>
      </x:c>
      <x:c r="J109" s="34" t="n">
        <x:f>SUMPRODUCT(D109:I109,K109:P109)/5</x:f>
        <x:v>69.9</x:v>
      </x:c>
      <x:c r="K109" s="11" t="n">
        <x:v>25</x:v>
      </x:c>
      <x:c r="L109" s="11" t="n">
        <x:v>5</x:v>
      </x:c>
      <x:c r="M109" s="11" t="n">
        <x:v>35</x:v>
      </x:c>
      <x:c r="N109" s="11" t="n">
        <x:v>20</x:v>
      </x:c>
      <x:c r="O109" s="11" t="n">
        <x:v>5</x:v>
      </x:c>
      <x:c r="P109" s="11" t="n">
        <x:v>10</x:v>
      </x:c>
      <x:c r="Q109" s="11" t="str">
        <x:v>历史2025PE约105.78、报告TTM约153.75、正常化更低但仍需证据；一年基准117只约8.43%股价空间；现价高20/60/120/250日线，20/60日强于沪深300但日ATR8.21%、乖离21%以上，技术4分未把同类指标重复加分；收入42.65%、GM72.06%，材料定制与客户认证有壁垒；国内低基数和服务波动、最大客户33.28%约束；创新药/器械材料需求扩张但客户商业化和预算有周期；海外药端-16.77%且客户可自建供应；材料季度兑现与新客户，而非已终止三期；园区预计24个月对半年直接利润贡献有限；无表列银行债但可支付现金仅147.3m、315m新项目、非现金金融投资和研发损失；股东已减持3%</x:v>
      </x:c>
    </x:row>
    <x:row r="110" ht="23" customHeight="1">
      <x:c r="A110" s="11" t="str">
        <x:v>688356.SH</x:v>
      </x:c>
      <x:c r="B110" s="11" t="str">
        <x:v>键凯科技</x:v>
      </x:c>
      <x:c r="C110" s="11" t="str">
        <x:v>五年</x:v>
      </x:c>
      <x:c r="D110" s="33" t="n">
        <x:v>3.1</x:v>
      </x:c>
      <x:c r="E110" s="33" t="n">
        <x:v>4</x:v>
      </x:c>
      <x:c r="F110" s="33" t="n">
        <x:v>3.8</x:v>
      </x:c>
      <x:c r="G110" s="33" t="n">
        <x:v>3.6</x:v>
      </x:c>
      <x:c r="H110" s="33" t="n">
        <x:v>3.1</x:v>
      </x:c>
      <x:c r="I110" s="33" t="n">
        <x:v>2.8</x:v>
      </x:c>
      <x:c r="J110" s="34" t="n">
        <x:f>SUMPRODUCT(D110:I110,K110:P110)/5</x:f>
        <x:v>68.7</x:v>
      </x:c>
      <x:c r="K110" s="11" t="n">
        <x:v>20</x:v>
      </x:c>
      <x:c r="L110" s="11" t="n">
        <x:v>0</x:v>
      </x:c>
      <x:c r="M110" s="11" t="n">
        <x:v>40</x:v>
      </x:c>
      <x:c r="N110" s="11" t="n">
        <x:v>20</x:v>
      </x:c>
      <x:c r="O110" s="11" t="n">
        <x:v>5</x:v>
      </x:c>
      <x:c r="P110" s="11" t="n">
        <x:v>15</x:v>
      </x:c>
      <x:c r="Q110" s="11" t="str">
        <x:v>历史2025PE约105.78、报告TTM约153.75、正常化更低但仍需证据；一年基准117只约8.43%股价空间；现价高20/60/120/250日线，20/60日强于沪深300但日ATR8.21%、乖离21%以上，技术4分未把同类指标重复加分；收入42.65%、GM72.06%，材料定制与客户认证有壁垒；国内低基数和服务波动、最大客户33.28%约束；创新药/器械材料需求扩张但客户商业化和预算有周期；海外药端-16.77%且客户可自建供应；材料季度兑现与新客户，而非已终止三期；园区预计24个月对半年直接利润贡献有限；无表列银行债但可支付现金仅147.3m、315m新项目、非现金金融投资和研发损失；股东已减持3%</x:v>
      </x:c>
    </x:row>
    <x:row r="111" ht="23" customHeight="1">
      <x:c r="A111" s="11" t="str">
        <x:v>02162.HK</x:v>
      </x:c>
      <x:c r="B111" s="11" t="str">
        <x:v>康诺亚-B</x:v>
      </x:c>
      <x:c r="C111" s="11" t="str">
        <x:v>半年</x:v>
      </x:c>
      <x:c r="D111" s="33" t="n">
        <x:v>1</x:v>
      </x:c>
      <x:c r="E111" s="33" t="n">
        <x:v>2.8</x:v>
      </x:c>
      <x:c r="F111" s="33" t="n">
        <x:v>3.8</x:v>
      </x:c>
      <x:c r="G111" s="33" t="n">
        <x:v>4.3</x:v>
      </x:c>
      <x:c r="H111" s="33" t="n">
        <x:v>4.5</x:v>
      </x:c>
      <x:c r="I111" s="33" t="n">
        <x:v>2.3</x:v>
      </x:c>
      <x:c r="J111" s="34" t="n">
        <x:f>SUMPRODUCT(D111:I111,K111:P111)/5</x:f>
        <x:v>55.4</x:v>
      </x:c>
      <x:c r="K111" s="11" t="n">
        <x:v>25</x:v>
      </x:c>
      <x:c r="L111" s="11" t="n">
        <x:v>30</x:v>
      </x:c>
      <x:c r="M111" s="11" t="n">
        <x:v>15</x:v>
      </x:c>
      <x:c r="N111" s="11" t="n">
        <x:v>10</x:v>
      </x:c>
      <x:c r="O111" s="11" t="n">
        <x:v>10</x:v>
      </x:c>
      <x:c r="P111" s="11" t="n">
        <x:v>10</x:v>
      </x:c>
      <x:c r="Q111" s="11" t="str">
        <x:v>有限现金流基准半年/一年无正回报，三/五年回报有限；现价依赖多管线及海外权利胜预期，报告PE含Ouro一次收益无参考性，不凭乐观尾部加分；短期修复但60日和周MACD弱，量下降；市场/粗粒度创新药指数相对60日仍负；CM310H1+132%但报告盈利含1.64bn投资收益，销售/RD现金消耗，经营增长需现金验证；自免长期疾病需求与国内医保可及性，IL4R/TSLP及ADC竞争和降价；CM310PN/青少年申报、CM512phase3、CMG901OS后注册；PFS主终点未显著，不能称全成功；现金3.227bn但银行债/递延税/用途储备、临床相关损失宽、A发行稀释、NewCo股权/管线经济分开，缺少低风险估值底</x:v>
      </x:c>
    </x:row>
    <x:row r="112" ht="23" customHeight="1">
      <x:c r="A112" s="11" t="str">
        <x:v>02162.HK</x:v>
      </x:c>
      <x:c r="B112" s="11" t="str">
        <x:v>康诺亚-B</x:v>
      </x:c>
      <x:c r="C112" s="11" t="str">
        <x:v>一年</x:v>
      </x:c>
      <x:c r="D112" s="33" t="n">
        <x:v>1</x:v>
      </x:c>
      <x:c r="E112" s="33" t="n">
        <x:v>2.8</x:v>
      </x:c>
      <x:c r="F112" s="33" t="n">
        <x:v>4</x:v>
      </x:c>
      <x:c r="G112" s="33" t="n">
        <x:v>4.4</x:v>
      </x:c>
      <x:c r="H112" s="33" t="n">
        <x:v>4.5</x:v>
      </x:c>
      <x:c r="I112" s="33" t="n">
        <x:v>2.3</x:v>
      </x:c>
      <x:c r="J112" s="34" t="n">
        <x:f>SUMPRODUCT(D112:I112,K112:P112)/5</x:f>
        <x:v>60.2</x:v>
      </x:c>
      <x:c r="K112" s="11" t="n">
        <x:v>25</x:v>
      </x:c>
      <x:c r="L112" s="11" t="n">
        <x:v>15</x:v>
      </x:c>
      <x:c r="M112" s="11" t="n">
        <x:v>25</x:v>
      </x:c>
      <x:c r="N112" s="11" t="n">
        <x:v>15</x:v>
      </x:c>
      <x:c r="O112" s="11" t="n">
        <x:v>10</x:v>
      </x:c>
      <x:c r="P112" s="11" t="n">
        <x:v>10</x:v>
      </x:c>
      <x:c r="Q112" s="11" t="str">
        <x:v>有限现金流基准半年/一年无正回报，三/五年回报有限；现价依赖多管线及海外权利胜预期，报告PE含Ouro一次收益无参考性，不凭乐观尾部加分；短期修复但60日和周MACD弱，量下降；市场/粗粒度创新药指数相对60日仍负；CM310H1+132%但报告盈利含1.64bn投资收益，销售/RD现金消耗，经营增长需现金验证；自免长期疾病需求与国内医保可及性，IL4R/TSLP及ADC竞争和降价；CM310PN/青少年申报、CM512phase3、CMG901OS后注册；PFS主终点未显著，不能称全成功；现金3.227bn但银行债/递延税/用途储备、临床相关损失宽、A发行稀释、NewCo股权/管线经济分开，缺少低风险估值底</x:v>
      </x:c>
    </x:row>
    <x:row r="113" ht="23" customHeight="1">
      <x:c r="A113" s="11" t="str">
        <x:v>02162.HK</x:v>
      </x:c>
      <x:c r="B113" s="11" t="str">
        <x:v>康诺亚-B</x:v>
      </x:c>
      <x:c r="C113" s="11" t="str">
        <x:v>三年</x:v>
      </x:c>
      <x:c r="D113" s="33" t="n">
        <x:v>1.5</x:v>
      </x:c>
      <x:c r="E113" s="33" t="n">
        <x:v>2.8</x:v>
      </x:c>
      <x:c r="F113" s="33" t="n">
        <x:v>4.2</x:v>
      </x:c>
      <x:c r="G113" s="33" t="n">
        <x:v>4.5</x:v>
      </x:c>
      <x:c r="H113" s="33" t="n">
        <x:v>4.2</x:v>
      </x:c>
      <x:c r="I113" s="33" t="n">
        <x:v>2.2</x:v>
      </x:c>
      <x:c r="J113" s="34" t="n">
        <x:f>SUMPRODUCT(D113:I113,K113:P113)/5</x:f>
        <x:v>66.3</x:v>
      </x:c>
      <x:c r="K113" s="11" t="n">
        <x:v>25</x:v>
      </x:c>
      <x:c r="L113" s="11" t="n">
        <x:v>5</x:v>
      </x:c>
      <x:c r="M113" s="11" t="n">
        <x:v>35</x:v>
      </x:c>
      <x:c r="N113" s="11" t="n">
        <x:v>20</x:v>
      </x:c>
      <x:c r="O113" s="11" t="n">
        <x:v>5</x:v>
      </x:c>
      <x:c r="P113" s="11" t="n">
        <x:v>10</x:v>
      </x:c>
      <x:c r="Q113" s="11" t="str">
        <x:v>有限现金流基准半年/一年无正回报，三/五年回报有限；现价依赖多管线及海外权利胜预期，报告PE含Ouro一次收益无参考性，不凭乐观尾部加分；短期修复但60日和周MACD弱，量下降；市场/粗粒度创新药指数相对60日仍负；CM310H1+132%但报告盈利含1.64bn投资收益，销售/RD现金消耗，经营增长需现金验证；自免长期疾病需求与国内医保可及性，IL4R/TSLP及ADC竞争和降价；CM310PN/青少年申报、CM512phase3、CMG901OS后注册；PFS主终点未显著，不能称全成功；现金3.227bn但银行债/递延税/用途储备、临床相关损失宽、A发行稀释、NewCo股权/管线经济分开，缺少低风险估值底</x:v>
      </x:c>
    </x:row>
    <x:row r="114" ht="23" customHeight="1">
      <x:c r="A114" s="11" t="str">
        <x:v>02162.HK</x:v>
      </x:c>
      <x:c r="B114" s="11" t="str">
        <x:v>康诺亚-B</x:v>
      </x:c>
      <x:c r="C114" s="11" t="str">
        <x:v>五年</x:v>
      </x:c>
      <x:c r="D114" s="33" t="n">
        <x:v>1.8</x:v>
      </x:c>
      <x:c r="E114" s="33" t="n">
        <x:v>0</x:v>
      </x:c>
      <x:c r="F114" s="33" t="n">
        <x:v>4.2</x:v>
      </x:c>
      <x:c r="G114" s="33" t="n">
        <x:v>4.5</x:v>
      </x:c>
      <x:c r="H114" s="33" t="n">
        <x:v>4</x:v>
      </x:c>
      <x:c r="I114" s="33" t="n">
        <x:v>2.2</x:v>
      </x:c>
      <x:c r="J114" s="34" t="n">
        <x:f>SUMPRODUCT(D114:I114,K114:P114)/5</x:f>
        <x:v>69.4</x:v>
      </x:c>
      <x:c r="K114" s="11" t="n">
        <x:v>20</x:v>
      </x:c>
      <x:c r="L114" s="11" t="n">
        <x:v>0</x:v>
      </x:c>
      <x:c r="M114" s="11" t="n">
        <x:v>40</x:v>
      </x:c>
      <x:c r="N114" s="11" t="n">
        <x:v>20</x:v>
      </x:c>
      <x:c r="O114" s="11" t="n">
        <x:v>5</x:v>
      </x:c>
      <x:c r="P114" s="11" t="n">
        <x:v>15</x:v>
      </x:c>
      <x:c r="Q114" s="11" t="str">
        <x:v>有限现金流基准半年/一年无正回报，三/五年回报有限；现价依赖多管线及海外权利胜预期，报告PE含Ouro一次收益无参考性，不凭乐观尾部加分；短期修复但60日和周MACD弱，量下降；市场/粗粒度创新药指数相对60日仍负；CM310H1+132%但报告盈利含1.64bn投资收益，销售/RD现金消耗，经营增长需现金验证；自免长期疾病需求与国内医保可及性，IL4R/TSLP及ADC竞争和降价；CM310PN/青少年申报、CM512phase3、CMG901OS后注册；PFS主终点未显著，不能称全成功；现金3.227bn但银行债/递延税/用途储备、临床相关损失宽、A发行稀释、NewCo股权/管线经济分开，缺少低风险估值底</x:v>
      </x:c>
    </x:row>
    <x:row r="115" ht="23" customHeight="1">
      <x:c r="A115" s="11" t="str">
        <x:v>00268.HK</x:v>
      </x:c>
      <x:c r="B115" s="11" t="str">
        <x:v>金蝶国际</x:v>
      </x:c>
      <x:c r="C115" s="11" t="str">
        <x:v>半年</x:v>
      </x:c>
      <x:c r="D115" s="33" t="n">
        <x:v>3.6</x:v>
      </x:c>
      <x:c r="E115" s="33" t="n">
        <x:v>3.1</x:v>
      </x:c>
      <x:c r="F115" s="33" t="n">
        <x:v>3.6</x:v>
      </x:c>
      <x:c r="G115" s="33" t="n">
        <x:v>3.7</x:v>
      </x:c>
      <x:c r="H115" s="33" t="n">
        <x:v>3.7</x:v>
      </x:c>
      <x:c r="I115" s="33" t="n">
        <x:v>3</x:v>
      </x:c>
      <x:c r="J115" s="34" t="n">
        <x:f>SUMPRODUCT(D115:I115,K115:P115)/5</x:f>
        <x:v>68.2</x:v>
      </x:c>
      <x:c r="K115" s="11" t="n">
        <x:v>25</x:v>
      </x:c>
      <x:c r="L115" s="11" t="n">
        <x:v>30</x:v>
      </x:c>
      <x:c r="M115" s="11" t="n">
        <x:v>15</x:v>
      </x:c>
      <x:c r="N115" s="11" t="n">
        <x:v>10</x:v>
      </x:c>
      <x:c r="O115" s="11" t="n">
        <x:v>10</x:v>
      </x:c>
      <x:c r="P115" s="11" t="n">
        <x:v>10</x:v>
      </x:c>
      <x:c r="Q115" s="11" t="str"/>
    </x:row>
    <x:row r="116" ht="23" customHeight="1">
      <x:c r="A116" s="11" t="str">
        <x:v>00268.HK</x:v>
      </x:c>
      <x:c r="B116" s="11" t="str">
        <x:v>金蝶国际</x:v>
      </x:c>
      <x:c r="C116" s="11" t="str">
        <x:v>一年</x:v>
      </x:c>
      <x:c r="D116" s="33" t="n">
        <x:v>3.8</x:v>
      </x:c>
      <x:c r="E116" s="33" t="n">
        <x:v>3.4</x:v>
      </x:c>
      <x:c r="F116" s="33" t="n">
        <x:v>3.8</x:v>
      </x:c>
      <x:c r="G116" s="33" t="n">
        <x:v>4</x:v>
      </x:c>
      <x:c r="H116" s="33" t="n">
        <x:v>3.9</x:v>
      </x:c>
      <x:c r="I116" s="33" t="n">
        <x:v>3</x:v>
      </x:c>
      <x:c r="J116" s="34" t="n">
        <x:f>SUMPRODUCT(D116:I116,K116:P116)/5</x:f>
        <x:v>74</x:v>
      </x:c>
      <x:c r="K116" s="11" t="n">
        <x:v>25</x:v>
      </x:c>
      <x:c r="L116" s="11" t="n">
        <x:v>15</x:v>
      </x:c>
      <x:c r="M116" s="11" t="n">
        <x:v>25</x:v>
      </x:c>
      <x:c r="N116" s="11" t="n">
        <x:v>15</x:v>
      </x:c>
      <x:c r="O116" s="11" t="n">
        <x:v>10</x:v>
      </x:c>
      <x:c r="P116" s="11" t="n">
        <x:v>10</x:v>
      </x:c>
      <x:c r="Q116" s="11" t="str"/>
    </x:row>
    <x:row r="117" ht="23" customHeight="1">
      <x:c r="A117" s="11" t="str">
        <x:v>00268.HK</x:v>
      </x:c>
      <x:c r="B117" s="11" t="str">
        <x:v>金蝶国际</x:v>
      </x:c>
      <x:c r="C117" s="11" t="str">
        <x:v>三年</x:v>
      </x:c>
      <x:c r="D117" s="33" t="n">
        <x:v>3.9</x:v>
      </x:c>
      <x:c r="E117" s="33" t="n">
        <x:v>3.2</x:v>
      </x:c>
      <x:c r="F117" s="33" t="n">
        <x:v>4</x:v>
      </x:c>
      <x:c r="G117" s="33" t="n">
        <x:v>4.2</x:v>
      </x:c>
      <x:c r="H117" s="33" t="n">
        <x:v>3.8</x:v>
      </x:c>
      <x:c r="I117" s="33" t="n">
        <x:v>2.9</x:v>
      </x:c>
      <x:c r="J117" s="34" t="n">
        <x:f>SUMPRODUCT(D117:I117,K117:P117)/5</x:f>
        <x:v>77.1</x:v>
      </x:c>
      <x:c r="K117" s="11" t="n">
        <x:v>25</x:v>
      </x:c>
      <x:c r="L117" s="11" t="n">
        <x:v>5</x:v>
      </x:c>
      <x:c r="M117" s="11" t="n">
        <x:v>35</x:v>
      </x:c>
      <x:c r="N117" s="11" t="n">
        <x:v>20</x:v>
      </x:c>
      <x:c r="O117" s="11" t="n">
        <x:v>5</x:v>
      </x:c>
      <x:c r="P117" s="11" t="n">
        <x:v>10</x:v>
      </x:c>
      <x:c r="Q117" s="11" t="str"/>
    </x:row>
    <x:row r="118" ht="23" customHeight="1">
      <x:c r="A118" s="11" t="str">
        <x:v>00268.HK</x:v>
      </x:c>
      <x:c r="B118" s="11" t="str">
        <x:v>金蝶国际</x:v>
      </x:c>
      <x:c r="C118" s="11" t="str">
        <x:v>五年</x:v>
      </x:c>
      <x:c r="D118" s="33" t="n">
        <x:v>3.7</x:v>
      </x:c>
      <x:c r="E118" s="33" t="n">
        <x:v>3</x:v>
      </x:c>
      <x:c r="F118" s="33" t="n">
        <x:v>4</x:v>
      </x:c>
      <x:c r="G118" s="33" t="n">
        <x:v>4.1</x:v>
      </x:c>
      <x:c r="H118" s="33" t="n">
        <x:v>3.6</x:v>
      </x:c>
      <x:c r="I118" s="33" t="n">
        <x:v>2.8</x:v>
      </x:c>
      <x:c r="J118" s="34" t="n">
        <x:f>SUMPRODUCT(D118:I118,K118:P118)/5</x:f>
        <x:v>75.2</x:v>
      </x:c>
      <x:c r="K118" s="11" t="n">
        <x:v>20</x:v>
      </x:c>
      <x:c r="L118" s="11" t="n">
        <x:v>0</x:v>
      </x:c>
      <x:c r="M118" s="11" t="n">
        <x:v>40</x:v>
      </x:c>
      <x:c r="N118" s="11" t="n">
        <x:v>20</x:v>
      </x:c>
      <x:c r="O118" s="11" t="n">
        <x:v>5</x:v>
      </x:c>
      <x:c r="P118" s="11" t="n">
        <x:v>15</x:v>
      </x:c>
      <x:c r="Q118" s="11" t="str"/>
    </x:row>
    <x:row r="119" ht="23" customHeight="1">
      <x:c r="A119" s="11" t="str">
        <x:v>01024.HK</x:v>
      </x:c>
      <x:c r="B119" s="11" t="str">
        <x:v>快手-W</x:v>
      </x:c>
      <x:c r="C119" s="11" t="str">
        <x:v>半年</x:v>
      </x:c>
      <x:c r="D119" s="33" t="n">
        <x:v>3.3</x:v>
      </x:c>
      <x:c r="E119" s="33" t="n">
        <x:v>2.1</x:v>
      </x:c>
      <x:c r="F119" s="33" t="n">
        <x:v>2.9</x:v>
      </x:c>
      <x:c r="G119" s="33" t="n">
        <x:v>3.4</x:v>
      </x:c>
      <x:c r="H119" s="33" t="n">
        <x:v>3.8</x:v>
      </x:c>
      <x:c r="I119" s="33" t="n">
        <x:v>2.6</x:v>
      </x:c>
      <x:c r="J119" s="34" t="n">
        <x:f>SUMPRODUCT(D119:I119,K119:P119)/5</x:f>
        <x:v>57.4</x:v>
      </x:c>
      <x:c r="K119" s="11" t="n">
        <x:v>25</x:v>
      </x:c>
      <x:c r="L119" s="11" t="n">
        <x:v>30</x:v>
      </x:c>
      <x:c r="M119" s="11" t="n">
        <x:v>15</x:v>
      </x:c>
      <x:c r="N119" s="11" t="n">
        <x:v>10</x:v>
      </x:c>
      <x:c r="O119" s="11" t="n">
        <x:v>10</x:v>
      </x:c>
      <x:c r="P119" s="11" t="n">
        <x:v>10</x:v>
      </x:c>
      <x:c r="Q119" s="11" t="str"/>
    </x:row>
    <x:row r="120" ht="23" customHeight="1">
      <x:c r="A120" s="11" t="str">
        <x:v>01024.HK</x:v>
      </x:c>
      <x:c r="B120" s="11" t="str">
        <x:v>快手-W</x:v>
      </x:c>
      <x:c r="C120" s="11" t="str">
        <x:v>一年</x:v>
      </x:c>
      <x:c r="D120" s="33" t="n">
        <x:v>3.8</x:v>
      </x:c>
      <x:c r="E120" s="33" t="n">
        <x:v>2.1</x:v>
      </x:c>
      <x:c r="F120" s="33" t="n">
        <x:v>3.1</x:v>
      </x:c>
      <x:c r="G120" s="33" t="n">
        <x:v>3.7</x:v>
      </x:c>
      <x:c r="H120" s="33" t="n">
        <x:v>3.8</x:v>
      </x:c>
      <x:c r="I120" s="33" t="n">
        <x:v>2.6</x:v>
      </x:c>
      <x:c r="J120" s="34" t="n">
        <x:f>SUMPRODUCT(D120:I120,K120:P120)/5</x:f>
        <x:v>64.7</x:v>
      </x:c>
      <x:c r="K120" s="11" t="n">
        <x:v>25</x:v>
      </x:c>
      <x:c r="L120" s="11" t="n">
        <x:v>15</x:v>
      </x:c>
      <x:c r="M120" s="11" t="n">
        <x:v>25</x:v>
      </x:c>
      <x:c r="N120" s="11" t="n">
        <x:v>15</x:v>
      </x:c>
      <x:c r="O120" s="11" t="n">
        <x:v>10</x:v>
      </x:c>
      <x:c r="P120" s="11" t="n">
        <x:v>10</x:v>
      </x:c>
      <x:c r="Q120" s="11" t="str"/>
    </x:row>
    <x:row r="121" ht="23" customHeight="1">
      <x:c r="A121" s="11" t="str">
        <x:v>01024.HK</x:v>
      </x:c>
      <x:c r="B121" s="11" t="str">
        <x:v>快手-W</x:v>
      </x:c>
      <x:c r="C121" s="11" t="str">
        <x:v>三年</x:v>
      </x:c>
      <x:c r="D121" s="33" t="n">
        <x:v>4.1</x:v>
      </x:c>
      <x:c r="E121" s="33" t="n">
        <x:v>2.1</x:v>
      </x:c>
      <x:c r="F121" s="33" t="n">
        <x:v>3.6</x:v>
      </x:c>
      <x:c r="G121" s="33" t="n">
        <x:v>4</x:v>
      </x:c>
      <x:c r="H121" s="33" t="n">
        <x:v>3.7</x:v>
      </x:c>
      <x:c r="I121" s="33" t="n">
        <x:v>2.5</x:v>
      </x:c>
      <x:c r="J121" s="34" t="n">
        <x:f>SUMPRODUCT(D121:I121,K121:P121)/5</x:f>
        <x:v>72.5</x:v>
      </x:c>
      <x:c r="K121" s="11" t="n">
        <x:v>25</x:v>
      </x:c>
      <x:c r="L121" s="11" t="n">
        <x:v>5</x:v>
      </x:c>
      <x:c r="M121" s="11" t="n">
        <x:v>35</x:v>
      </x:c>
      <x:c r="N121" s="11" t="n">
        <x:v>20</x:v>
      </x:c>
      <x:c r="O121" s="11" t="n">
        <x:v>5</x:v>
      </x:c>
      <x:c r="P121" s="11" t="n">
        <x:v>10</x:v>
      </x:c>
      <x:c r="Q121" s="11" t="str"/>
    </x:row>
    <x:row r="122" ht="23" customHeight="1">
      <x:c r="A122" s="11" t="str">
        <x:v>01024.HK</x:v>
      </x:c>
      <x:c r="B122" s="11" t="str">
        <x:v>快手-W</x:v>
      </x:c>
      <x:c r="C122" s="11" t="str">
        <x:v>五年</x:v>
      </x:c>
      <x:c r="D122" s="33" t="n">
        <x:v>4.1</x:v>
      </x:c>
      <x:c r="E122" s="33" t="n">
        <x:v>2.1</x:v>
      </x:c>
      <x:c r="F122" s="33" t="n">
        <x:v>3.8</x:v>
      </x:c>
      <x:c r="G122" s="33" t="n">
        <x:v>4.1</x:v>
      </x:c>
      <x:c r="H122" s="33" t="n">
        <x:v>3.5</x:v>
      </x:c>
      <x:c r="I122" s="33" t="n">
        <x:v>2.3</x:v>
      </x:c>
      <x:c r="J122" s="34" t="n">
        <x:f>SUMPRODUCT(D122:I122,K122:P122)/5</x:f>
        <x:v>73.6</x:v>
      </x:c>
      <x:c r="K122" s="11" t="n">
        <x:v>20</x:v>
      </x:c>
      <x:c r="L122" s="11" t="n">
        <x:v>0</x:v>
      </x:c>
      <x:c r="M122" s="11" t="n">
        <x:v>40</x:v>
      </x:c>
      <x:c r="N122" s="11" t="n">
        <x:v>20</x:v>
      </x:c>
      <x:c r="O122" s="11" t="n">
        <x:v>5</x:v>
      </x:c>
      <x:c r="P122" s="11" t="n">
        <x:v>15</x:v>
      </x:c>
      <x:c r="Q122" s="11" t="str"/>
    </x:row>
    <x:row r="123" ht="23" customHeight="1">
      <x:c r="A123" s="11" t="str">
        <x:v>00992.HK</x:v>
      </x:c>
      <x:c r="B123" s="11" t="str">
        <x:v>联想集团</x:v>
      </x:c>
      <x:c r="C123" s="11" t="str">
        <x:v>半年</x:v>
      </x:c>
      <x:c r="D123" s="33" t="n">
        <x:v>3.3</x:v>
      </x:c>
      <x:c r="E123" s="33" t="n">
        <x:v>3.4</x:v>
      </x:c>
      <x:c r="F123" s="33" t="n">
        <x:v>3.6</x:v>
      </x:c>
      <x:c r="G123" s="33" t="n">
        <x:v>4.2</x:v>
      </x:c>
      <x:c r="H123" s="33" t="n">
        <x:v>4</x:v>
      </x:c>
      <x:c r="I123" s="33" t="n">
        <x:v>2.8</x:v>
      </x:c>
      <x:c r="J123" s="34" t="n">
        <x:f>SUMPRODUCT(D123:I123,K123:P123)/5</x:f>
        <x:v>69.7</x:v>
      </x:c>
      <x:c r="K123" s="11" t="n">
        <x:v>25</x:v>
      </x:c>
      <x:c r="L123" s="11" t="n">
        <x:v>30</x:v>
      </x:c>
      <x:c r="M123" s="11" t="n">
        <x:v>15</x:v>
      </x:c>
      <x:c r="N123" s="11" t="n">
        <x:v>10</x:v>
      </x:c>
      <x:c r="O123" s="11" t="n">
        <x:v>10</x:v>
      </x:c>
      <x:c r="P123" s="11" t="n">
        <x:v>10</x:v>
      </x:c>
      <x:c r="Q123" s="11" t="str"/>
    </x:row>
    <x:row r="124" ht="23" customHeight="1">
      <x:c r="A124" s="11" t="str">
        <x:v>00992.HK</x:v>
      </x:c>
      <x:c r="B124" s="11" t="str">
        <x:v>联想集团</x:v>
      </x:c>
      <x:c r="C124" s="11" t="str">
        <x:v>一年</x:v>
      </x:c>
      <x:c r="D124" s="33" t="n">
        <x:v>3.8</x:v>
      </x:c>
      <x:c r="E124" s="33" t="n">
        <x:v>3.4</x:v>
      </x:c>
      <x:c r="F124" s="33" t="n">
        <x:v>3.9</x:v>
      </x:c>
      <x:c r="G124" s="33" t="n">
        <x:v>4.3</x:v>
      </x:c>
      <x:c r="H124" s="33" t="n">
        <x:v>4</x:v>
      </x:c>
      <x:c r="I124" s="33" t="n">
        <x:v>2.8</x:v>
      </x:c>
      <x:c r="J124" s="34" t="n">
        <x:f>SUMPRODUCT(D124:I124,K124:P124)/5</x:f>
        <x:v>75.2</x:v>
      </x:c>
      <x:c r="K124" s="11" t="n">
        <x:v>25</x:v>
      </x:c>
      <x:c r="L124" s="11" t="n">
        <x:v>15</x:v>
      </x:c>
      <x:c r="M124" s="11" t="n">
        <x:v>25</x:v>
      </x:c>
      <x:c r="N124" s="11" t="n">
        <x:v>15</x:v>
      </x:c>
      <x:c r="O124" s="11" t="n">
        <x:v>10</x:v>
      </x:c>
      <x:c r="P124" s="11" t="n">
        <x:v>10</x:v>
      </x:c>
      <x:c r="Q124" s="11" t="str"/>
    </x:row>
    <x:row r="125" ht="23" customHeight="1">
      <x:c r="A125" s="11" t="str">
        <x:v>00992.HK</x:v>
      </x:c>
      <x:c r="B125" s="11" t="str">
        <x:v>联想集团</x:v>
      </x:c>
      <x:c r="C125" s="11" t="str">
        <x:v>三年</x:v>
      </x:c>
      <x:c r="D125" s="33" t="n">
        <x:v>4</x:v>
      </x:c>
      <x:c r="E125" s="33" t="n">
        <x:v>3.4</x:v>
      </x:c>
      <x:c r="F125" s="33" t="n">
        <x:v>4</x:v>
      </x:c>
      <x:c r="G125" s="33" t="n">
        <x:v>4.4</x:v>
      </x:c>
      <x:c r="H125" s="33" t="n">
        <x:v>3.8</x:v>
      </x:c>
      <x:c r="I125" s="33" t="n">
        <x:v>2.6</x:v>
      </x:c>
      <x:c r="J125" s="34" t="n">
        <x:f>SUMPRODUCT(D125:I125,K125:P125)/5</x:f>
        <x:v>78</x:v>
      </x:c>
      <x:c r="K125" s="11" t="n">
        <x:v>25</x:v>
      </x:c>
      <x:c r="L125" s="11" t="n">
        <x:v>5</x:v>
      </x:c>
      <x:c r="M125" s="11" t="n">
        <x:v>35</x:v>
      </x:c>
      <x:c r="N125" s="11" t="n">
        <x:v>20</x:v>
      </x:c>
      <x:c r="O125" s="11" t="n">
        <x:v>5</x:v>
      </x:c>
      <x:c r="P125" s="11" t="n">
        <x:v>10</x:v>
      </x:c>
      <x:c r="Q125" s="11" t="str"/>
    </x:row>
    <x:row r="126" ht="23" customHeight="1">
      <x:c r="A126" s="11" t="str">
        <x:v>00992.HK</x:v>
      </x:c>
      <x:c r="B126" s="11" t="str">
        <x:v>联想集团</x:v>
      </x:c>
      <x:c r="C126" s="11" t="str">
        <x:v>五年</x:v>
      </x:c>
      <x:c r="D126" s="33" t="n">
        <x:v>4</x:v>
      </x:c>
      <x:c r="E126" s="33" t="n">
        <x:v>3.4</x:v>
      </x:c>
      <x:c r="F126" s="33" t="n">
        <x:v>4.1</x:v>
      </x:c>
      <x:c r="G126" s="33" t="n">
        <x:v>4.4</x:v>
      </x:c>
      <x:c r="H126" s="33" t="n">
        <x:v>3.5</x:v>
      </x:c>
      <x:c r="I126" s="33" t="n">
        <x:v>2.5</x:v>
      </x:c>
      <x:c r="J126" s="34" t="n">
        <x:f>SUMPRODUCT(D126:I126,K126:P126)/5</x:f>
        <x:v>77.4</x:v>
      </x:c>
      <x:c r="K126" s="11" t="n">
        <x:v>20</x:v>
      </x:c>
      <x:c r="L126" s="11" t="n">
        <x:v>0</x:v>
      </x:c>
      <x:c r="M126" s="11" t="n">
        <x:v>40</x:v>
      </x:c>
      <x:c r="N126" s="11" t="n">
        <x:v>20</x:v>
      </x:c>
      <x:c r="O126" s="11" t="n">
        <x:v>5</x:v>
      </x:c>
      <x:c r="P126" s="11" t="n">
        <x:v>15</x:v>
      </x:c>
      <x:c r="Q126" s="11" t="str"/>
    </x:row>
    <x:row r="127" ht="23" customHeight="1">
      <x:c r="A127" s="11" t="str">
        <x:v>01513.HK</x:v>
      </x:c>
      <x:c r="B127" s="11" t="str">
        <x:v>丽珠医药</x:v>
      </x:c>
      <x:c r="C127" s="11" t="str">
        <x:v>半年</x:v>
      </x:c>
      <x:c r="D127" s="33" t="n">
        <x:v>3.4</x:v>
      </x:c>
      <x:c r="E127" s="33" t="n">
        <x:v>2.5</x:v>
      </x:c>
      <x:c r="F127" s="33" t="n">
        <x:v>2.8</x:v>
      </x:c>
      <x:c r="G127" s="33" t="n">
        <x:v>3.2</x:v>
      </x:c>
      <x:c r="H127" s="33" t="n">
        <x:v>3.7</x:v>
      </x:c>
      <x:c r="I127" s="33" t="n">
        <x:v>3.7</x:v>
      </x:c>
      <x:c r="J127" s="34" t="n">
        <x:f>SUMPRODUCT(D127:I127,K127:P127)/5</x:f>
        <x:v>61.6</x:v>
      </x:c>
      <x:c r="K127" s="11" t="n">
        <x:v>25</x:v>
      </x:c>
      <x:c r="L127" s="11" t="n">
        <x:v>30</x:v>
      </x:c>
      <x:c r="M127" s="11" t="n">
        <x:v>15</x:v>
      </x:c>
      <x:c r="N127" s="11" t="n">
        <x:v>10</x:v>
      </x:c>
      <x:c r="O127" s="11" t="n">
        <x:v>10</x:v>
      </x:c>
      <x:c r="P127" s="11" t="n">
        <x:v>10</x:v>
      </x:c>
      <x:c r="Q127" s="11" t="str">
        <x:v>全股归母TTM盈利下调后H约10.7倍；一年基准30.36+37%，但仍需新品抵消既有下降；20线转升及短期超恒指9.41pp，60/120/250和周线下方、量比0.742，反弹未强突破；H1收入-20.28/扣非-29.26；生物和长效新品已获批，商业化尚待实际复购现金；医保价格和生育辅助需求矛盾；东南亚收购扩大渠道但并购贡献不等有机恢复；莱康奇塔8/28已公告获批、3M9/30已公告批准、11/3派1.185HKD；审批变为销量催化；OCF1.76bn、现金7.35bn，净银行/租债约3.89bn；推广应付2.54bn、投资波动和收购商誉不能忽略</x:v>
      </x:c>
    </x:row>
    <x:row r="128" ht="23" customHeight="1">
      <x:c r="A128" s="11" t="str">
        <x:v>01513.HK</x:v>
      </x:c>
      <x:c r="B128" s="11" t="str">
        <x:v>丽珠医药</x:v>
      </x:c>
      <x:c r="C128" s="11" t="str">
        <x:v>一年</x:v>
      </x:c>
      <x:c r="D128" s="33" t="n">
        <x:v>3.8</x:v>
      </x:c>
      <x:c r="E128" s="33" t="n">
        <x:v>2.5</x:v>
      </x:c>
      <x:c r="F128" s="33" t="n">
        <x:v>3.1</x:v>
      </x:c>
      <x:c r="G128" s="33" t="n">
        <x:v>3.3</x:v>
      </x:c>
      <x:c r="H128" s="33" t="n">
        <x:v>3.8</x:v>
      </x:c>
      <x:c r="I128" s="33" t="n">
        <x:v>3.6</x:v>
      </x:c>
      <x:c r="J128" s="34" t="n">
        <x:f>SUMPRODUCT(D128:I128,K128:P128)/5</x:f>
        <x:v>66.7</x:v>
      </x:c>
      <x:c r="K128" s="11" t="n">
        <x:v>25</x:v>
      </x:c>
      <x:c r="L128" s="11" t="n">
        <x:v>15</x:v>
      </x:c>
      <x:c r="M128" s="11" t="n">
        <x:v>25</x:v>
      </x:c>
      <x:c r="N128" s="11" t="n">
        <x:v>15</x:v>
      </x:c>
      <x:c r="O128" s="11" t="n">
        <x:v>10</x:v>
      </x:c>
      <x:c r="P128" s="11" t="n">
        <x:v>10</x:v>
      </x:c>
      <x:c r="Q128" s="11" t="str">
        <x:v>全股归母TTM盈利下调后H约10.7倍；一年基准30.36+37%，但仍需新品抵消既有下降；20线转升及短期超恒指9.41pp，60/120/250和周线下方、量比0.742，反弹未强突破；H1收入-20.28/扣非-29.26；生物和长效新品已获批，商业化尚待实际复购现金；医保价格和生育辅助需求矛盾；东南亚收购扩大渠道但并购贡献不等有机恢复；莱康奇塔8/28已公告获批、3M9/30已公告批准、11/3派1.185HKD；审批变为销量催化；OCF1.76bn、现金7.35bn，净银行/租债约3.89bn；推广应付2.54bn、投资波动和收购商誉不能忽略</x:v>
      </x:c>
    </x:row>
    <x:row r="129" ht="23" customHeight="1">
      <x:c r="A129" s="11" t="str">
        <x:v>01513.HK</x:v>
      </x:c>
      <x:c r="B129" s="11" t="str">
        <x:v>丽珠医药</x:v>
      </x:c>
      <x:c r="C129" s="11" t="str">
        <x:v>三年</x:v>
      </x:c>
      <x:c r="D129" s="33" t="n">
        <x:v>3.7</x:v>
      </x:c>
      <x:c r="E129" s="33" t="n">
        <x:v>2.5</x:v>
      </x:c>
      <x:c r="F129" s="33" t="n">
        <x:v>3.5</x:v>
      </x:c>
      <x:c r="G129" s="33" t="n">
        <x:v>3.5</x:v>
      </x:c>
      <x:c r="H129" s="33" t="n">
        <x:v>3.6</x:v>
      </x:c>
      <x:c r="I129" s="33" t="n">
        <x:v>3.5</x:v>
      </x:c>
      <x:c r="J129" s="34" t="n">
        <x:f>SUMPRODUCT(D129:I129,K129:P129)/5</x:f>
        <x:v>70.1</x:v>
      </x:c>
      <x:c r="K129" s="11" t="n">
        <x:v>25</x:v>
      </x:c>
      <x:c r="L129" s="11" t="n">
        <x:v>5</x:v>
      </x:c>
      <x:c r="M129" s="11" t="n">
        <x:v>35</x:v>
      </x:c>
      <x:c r="N129" s="11" t="n">
        <x:v>20</x:v>
      </x:c>
      <x:c r="O129" s="11" t="n">
        <x:v>5</x:v>
      </x:c>
      <x:c r="P129" s="11" t="n">
        <x:v>10</x:v>
      </x:c>
      <x:c r="Q129" s="11" t="str">
        <x:v>全股归母TTM盈利下调后H约10.7倍；一年基准30.36+37%，但仍需新品抵消既有下降；20线转升及短期超恒指9.41pp，60/120/250和周线下方、量比0.742，反弹未强突破；H1收入-20.28/扣非-29.26；生物和长效新品已获批，商业化尚待实际复购现金；医保价格和生育辅助需求矛盾；东南亚收购扩大渠道但并购贡献不等有机恢复；莱康奇塔8/28已公告获批、3M9/30已公告批准、11/3派1.185HKD；审批变为销量催化；OCF1.76bn、现金7.35bn，净银行/租债约3.89bn；推广应付2.54bn、投资波动和收购商誉不能忽略</x:v>
      </x:c>
    </x:row>
    <x:row r="130" ht="23" customHeight="1">
      <x:c r="A130" s="11" t="str">
        <x:v>01513.HK</x:v>
      </x:c>
      <x:c r="B130" s="11" t="str">
        <x:v>丽珠医药</x:v>
      </x:c>
      <x:c r="C130" s="11" t="str">
        <x:v>五年</x:v>
      </x:c>
      <x:c r="D130" s="33" t="n">
        <x:v>3.5</x:v>
      </x:c>
      <x:c r="E130" s="33" t="n">
        <x:v>2.5</x:v>
      </x:c>
      <x:c r="F130" s="33" t="n">
        <x:v>3.6</x:v>
      </x:c>
      <x:c r="G130" s="33" t="n">
        <x:v>3.5</x:v>
      </x:c>
      <x:c r="H130" s="33" t="n">
        <x:v>3.4</x:v>
      </x:c>
      <x:c r="I130" s="33" t="n">
        <x:v>3.4</x:v>
      </x:c>
      <x:c r="J130" s="34" t="n">
        <x:f>SUMPRODUCT(D130:I130,K130:P130)/5</x:f>
        <x:v>70.4</x:v>
      </x:c>
      <x:c r="K130" s="11" t="n">
        <x:v>20</x:v>
      </x:c>
      <x:c r="L130" s="11" t="n">
        <x:v>0</x:v>
      </x:c>
      <x:c r="M130" s="11" t="n">
        <x:v>40</x:v>
      </x:c>
      <x:c r="N130" s="11" t="n">
        <x:v>20</x:v>
      </x:c>
      <x:c r="O130" s="11" t="n">
        <x:v>5</x:v>
      </x:c>
      <x:c r="P130" s="11" t="n">
        <x:v>15</x:v>
      </x:c>
      <x:c r="Q130" s="11" t="str">
        <x:v>全股归母TTM盈利下调后H约10.7倍；一年基准30.36+37%，但仍需新品抵消既有下降；20线转升及短期超恒指9.41pp，60/120/250和周线下方、量比0.742，反弹未强突破；H1收入-20.28/扣非-29.26；生物和长效新品已获批，商业化尚待实际复购现金；医保价格和生育辅助需求矛盾；东南亚收购扩大渠道但并购贡献不等有机恢复；莱康奇塔8/28已公告获批、3M9/30已公告批准、11/3派1.185HKD；审批变为销量催化；OCF1.76bn、现金7.35bn，净银行/租债约3.89bn；推广应付2.54bn、投资波动和收购商誉不能忽略</x:v>
      </x:c>
    </x:row>
    <x:row r="131" ht="23" customHeight="1">
      <x:c r="A131" s="11" t="str">
        <x:v>688062.SH</x:v>
      </x:c>
      <x:c r="B131" s="11" t="str">
        <x:v>迈威生物</x:v>
      </x:c>
      <x:c r="C131" s="11" t="str">
        <x:v>半年</x:v>
      </x:c>
      <x:c r="D131" s="33" t="n">
        <x:v>1.1</x:v>
      </x:c>
      <x:c r="E131" s="33" t="n">
        <x:v>1.2</x:v>
      </x:c>
      <x:c r="F131" s="33" t="n">
        <x:v>3.6</x:v>
      </x:c>
      <x:c r="G131" s="33" t="n">
        <x:v>4.1</x:v>
      </x:c>
      <x:c r="H131" s="33" t="n">
        <x:v>4.5</x:v>
      </x:c>
      <x:c r="I131" s="33" t="n">
        <x:v>1.5</x:v>
      </x:c>
      <x:c r="J131" s="34" t="n">
        <x:f>SUMPRODUCT(D131:I131,K131:P131)/5</x:f>
        <x:v>43.7</x:v>
      </x:c>
      <x:c r="K131" s="11" t="n">
        <x:v>25</x:v>
      </x:c>
      <x:c r="L131" s="11" t="n">
        <x:v>30</x:v>
      </x:c>
      <x:c r="M131" s="11" t="n">
        <x:v>15</x:v>
      </x:c>
      <x:c r="N131" s="11" t="n">
        <x:v>10</x:v>
      </x:c>
      <x:c r="O131" s="11" t="n">
        <x:v>10</x:v>
      </x:c>
      <x:c r="P131" s="11" t="n">
        <x:v>10</x:v>
      </x:c>
      <x:c r="Q131" s="11" t="str">
        <x:v>A等价全股11.07bn，研发管线可提供上行但净债、研发储备及宽悲观下行要求风险折扣；日周均线下且斜率负、20/60日跌12.00/20.19%，超宽基负6.83/8.73pp，反弹未形成确认；药品销售及许可平台真实但209%总收入有MAH开票/一次性许可影响，仍H1亏522m；ADC精准肿瘤、骨病与慢性炎症需求，医保/拥挤靶点/全球成本约束；2821三期H2期中、10月/12月大会、ST2后续与DISC年底；均未保证结果；H融资改善流动性但广义净债约1.21bn、持续烧钱、子公司回购义务/反稀释及未来稀释</x:v>
      </x:c>
    </x:row>
    <x:row r="132" ht="23" customHeight="1">
      <x:c r="A132" s="11" t="str">
        <x:v>688062.SH</x:v>
      </x:c>
      <x:c r="B132" s="11" t="str">
        <x:v>迈威生物</x:v>
      </x:c>
      <x:c r="C132" s="11" t="str">
        <x:v>一年</x:v>
      </x:c>
      <x:c r="D132" s="33" t="n">
        <x:v>1.3</x:v>
      </x:c>
      <x:c r="E132" s="33" t="n">
        <x:v>1.2</x:v>
      </x:c>
      <x:c r="F132" s="33" t="n">
        <x:v>3.8</x:v>
      </x:c>
      <x:c r="G132" s="33" t="n">
        <x:v>4.1</x:v>
      </x:c>
      <x:c r="H132" s="33" t="n">
        <x:v>4.5</x:v>
      </x:c>
      <x:c r="I132" s="33" t="n">
        <x:v>1.6</x:v>
      </x:c>
      <x:c r="J132" s="34" t="n">
        <x:f>SUMPRODUCT(D132:I132,K132:P132)/5</x:f>
        <x:v>53.6</x:v>
      </x:c>
      <x:c r="K132" s="11" t="n">
        <x:v>25</x:v>
      </x:c>
      <x:c r="L132" s="11" t="n">
        <x:v>15</x:v>
      </x:c>
      <x:c r="M132" s="11" t="n">
        <x:v>25</x:v>
      </x:c>
      <x:c r="N132" s="11" t="n">
        <x:v>15</x:v>
      </x:c>
      <x:c r="O132" s="11" t="n">
        <x:v>10</x:v>
      </x:c>
      <x:c r="P132" s="11" t="n">
        <x:v>10</x:v>
      </x:c>
      <x:c r="Q132" s="11" t="str">
        <x:v>A等价全股11.07bn，研发管线可提供上行但净债、研发储备及宽悲观下行要求风险折扣；日周均线下且斜率负、20/60日跌12.00/20.19%，超宽基负6.83/8.73pp，反弹未形成确认；药品销售及许可平台真实但209%总收入有MAH开票/一次性许可影响，仍H1亏522m；ADC精准肿瘤、骨病与慢性炎症需求，医保/拥挤靶点/全球成本约束；2821三期H2期中、10月/12月大会、ST2后续与DISC年底；均未保证结果；H融资改善流动性但广义净债约1.21bn、持续烧钱、子公司回购义务/反稀释及未来稀释</x:v>
      </x:c>
    </x:row>
    <x:row r="133" ht="23" customHeight="1">
      <x:c r="A133" s="11" t="str">
        <x:v>688062.SH</x:v>
      </x:c>
      <x:c r="B133" s="11" t="str">
        <x:v>迈威生物</x:v>
      </x:c>
      <x:c r="C133" s="11" t="str">
        <x:v>三年</x:v>
      </x:c>
      <x:c r="D133" s="33" t="n">
        <x:v>2</x:v>
      </x:c>
      <x:c r="E133" s="33" t="n">
        <x:v>1.2</x:v>
      </x:c>
      <x:c r="F133" s="33" t="n">
        <x:v>4.1</x:v>
      </x:c>
      <x:c r="G133" s="33" t="n">
        <x:v>4.2</x:v>
      </x:c>
      <x:c r="H133" s="33" t="n">
        <x:v>4</x:v>
      </x:c>
      <x:c r="I133" s="33" t="n">
        <x:v>1.8</x:v>
      </x:c>
      <x:c r="J133" s="34" t="n">
        <x:f>SUMPRODUCT(D133:I133,K133:P133)/5</x:f>
        <x:v>64.3</x:v>
      </x:c>
      <x:c r="K133" s="11" t="n">
        <x:v>25</x:v>
      </x:c>
      <x:c r="L133" s="11" t="n">
        <x:v>5</x:v>
      </x:c>
      <x:c r="M133" s="11" t="n">
        <x:v>35</x:v>
      </x:c>
      <x:c r="N133" s="11" t="n">
        <x:v>20</x:v>
      </x:c>
      <x:c r="O133" s="11" t="n">
        <x:v>5</x:v>
      </x:c>
      <x:c r="P133" s="11" t="n">
        <x:v>10</x:v>
      </x:c>
      <x:c r="Q133" s="11" t="str">
        <x:v>A等价全股11.07bn，研发管线可提供上行但净债、研发储备及宽悲观下行要求风险折扣；日周均线下且斜率负、20/60日跌12.00/20.19%，超宽基负6.83/8.73pp，反弹未形成确认；药品销售及许可平台真实但209%总收入有MAH开票/一次性许可影响，仍H1亏522m；ADC精准肿瘤、骨病与慢性炎症需求，医保/拥挤靶点/全球成本约束；2821三期H2期中、10月/12月大会、ST2后续与DISC年底；均未保证结果；H融资改善流动性但广义净债约1.21bn、持续烧钱、子公司回购义务/反稀释及未来稀释</x:v>
      </x:c>
    </x:row>
    <x:row r="134" ht="23" customHeight="1">
      <x:c r="A134" s="11" t="str">
        <x:v>688062.SH</x:v>
      </x:c>
      <x:c r="B134" s="11" t="str">
        <x:v>迈威生物</x:v>
      </x:c>
      <x:c r="C134" s="11" t="str">
        <x:v>五年</x:v>
      </x:c>
      <x:c r="D134" s="33" t="n">
        <x:v>2.4</x:v>
      </x:c>
      <x:c r="E134" s="33" t="n">
        <x:v>1.2</x:v>
      </x:c>
      <x:c r="F134" s="33" t="n">
        <x:v>4.1</x:v>
      </x:c>
      <x:c r="G134" s="33" t="n">
        <x:v>4.2</x:v>
      </x:c>
      <x:c r="H134" s="33" t="n">
        <x:v>3.7</x:v>
      </x:c>
      <x:c r="I134" s="33" t="n">
        <x:v>1.8</x:v>
      </x:c>
      <x:c r="J134" s="34" t="n">
        <x:f>SUMPRODUCT(D134:I134,K134:P134)/5</x:f>
        <x:v>68.3</x:v>
      </x:c>
      <x:c r="K134" s="11" t="n">
        <x:v>20</x:v>
      </x:c>
      <x:c r="L134" s="11" t="n">
        <x:v>0</x:v>
      </x:c>
      <x:c r="M134" s="11" t="n">
        <x:v>40</x:v>
      </x:c>
      <x:c r="N134" s="11" t="n">
        <x:v>20</x:v>
      </x:c>
      <x:c r="O134" s="11" t="n">
        <x:v>5</x:v>
      </x:c>
      <x:c r="P134" s="11" t="n">
        <x:v>15</x:v>
      </x:c>
      <x:c r="Q134" s="11" t="str">
        <x:v>A等价全股11.07bn，研发管线可提供上行但净债、研发储备及宽悲观下行要求风险折扣；日周均线下且斜率负、20/60日跌12.00/20.19%，超宽基负6.83/8.73pp，反弹未形成确认；药品销售及许可平台真实但209%总收入有MAH开票/一次性许可影响，仍H1亏522m；ADC精准肿瘤、骨病与慢性炎症需求，医保/拥挤靶点/全球成本约束；2821三期H2期中、10月/12月大会、ST2后续与DISC年底；均未保证结果；H融资改善流动性但广义净债约1.21bn、持续烧钱、子公司回购义务/反稀释及未来稀释</x:v>
      </x:c>
    </x:row>
    <x:row r="135" ht="23" customHeight="1">
      <x:c r="A135" s="11" t="str">
        <x:v>688202.SH</x:v>
      </x:c>
      <x:c r="B135" s="11" t="str">
        <x:v>美迪西</x:v>
      </x:c>
      <x:c r="C135" s="11" t="str">
        <x:v>半年</x:v>
      </x:c>
      <x:c r="D135" s="33" t="n">
        <x:v>1.8</x:v>
      </x:c>
      <x:c r="E135" s="33" t="n">
        <x:v>3.6</x:v>
      </x:c>
      <x:c r="F135" s="33" t="n">
        <x:v>3.7</x:v>
      </x:c>
      <x:c r="G135" s="33" t="n">
        <x:v>4</x:v>
      </x:c>
      <x:c r="H135" s="33" t="n">
        <x:v>3.5</x:v>
      </x:c>
      <x:c r="I135" s="33" t="n">
        <x:v>2.7</x:v>
      </x:c>
      <x:c r="J135" s="34" t="n">
        <x:f>SUMPRODUCT(D135:I135,K135:P135)/5</x:f>
        <x:v>62.1</x:v>
      </x:c>
      <x:c r="K135" s="11" t="n">
        <x:v>25</x:v>
      </x:c>
      <x:c r="L135" s="11" t="n">
        <x:v>30</x:v>
      </x:c>
      <x:c r="M135" s="11" t="n">
        <x:v>15</x:v>
      </x:c>
      <x:c r="N135" s="11" t="n">
        <x:v>10</x:v>
      </x:c>
      <x:c r="O135" s="11" t="n">
        <x:v>10</x:v>
      </x:c>
      <x:c r="P135" s="11" t="n">
        <x:v>10</x:v>
      </x:c>
      <x:c r="Q135" s="11" t="str">
        <x:v>104元对应H1法定简单年化135.38倍、扣非约162.38倍；TTM仍亏，短期价格已先行，三年基准128需恢复537m以上归母；价格上日20/60/120/250且斜率正，RS超宽基14.83/46.27pp；MACD柱负，均量低于60日，ATR7.13%波动大；H1收入40.91%及临床前52.26%、GM31.60，订单104.74%；坏账25.56m和人员扩张使盈利不能简单倍增；创新药早期研发和双报支持需求，融资/医保与NAMs替代部分实验服务会改变价格结构；扩建预计2027/1、海外中心2027/8与客户项目转换；一审降低诉请现实压力，尚非终审；冻结现金、应收大额准备、募资误用已纠正、关联猴采购与减持，海外主体亏损和扩建继续用现金</x:v>
      </x:c>
    </x:row>
    <x:row r="136" ht="23" customHeight="1">
      <x:c r="A136" s="11" t="str">
        <x:v>688202.SH</x:v>
      </x:c>
      <x:c r="B136" s="11" t="str">
        <x:v>美迪西</x:v>
      </x:c>
      <x:c r="C136" s="11" t="str">
        <x:v>一年</x:v>
      </x:c>
      <x:c r="D136" s="33" t="n">
        <x:v>2.1</x:v>
      </x:c>
      <x:c r="E136" s="33" t="n">
        <x:v>3.6</x:v>
      </x:c>
      <x:c r="F136" s="33" t="n">
        <x:v>3.9</x:v>
      </x:c>
      <x:c r="G136" s="33" t="n">
        <x:v>4</x:v>
      </x:c>
      <x:c r="H136" s="33" t="n">
        <x:v>3.7</x:v>
      </x:c>
      <x:c r="I136" s="33" t="n">
        <x:v>2.7</x:v>
      </x:c>
      <x:c r="J136" s="34" t="n">
        <x:f>SUMPRODUCT(D136:I136,K136:P136)/5</x:f>
        <x:v>65.6</x:v>
      </x:c>
      <x:c r="K136" s="11" t="n">
        <x:v>25</x:v>
      </x:c>
      <x:c r="L136" s="11" t="n">
        <x:v>15</x:v>
      </x:c>
      <x:c r="M136" s="11" t="n">
        <x:v>25</x:v>
      </x:c>
      <x:c r="N136" s="11" t="n">
        <x:v>15</x:v>
      </x:c>
      <x:c r="O136" s="11" t="n">
        <x:v>10</x:v>
      </x:c>
      <x:c r="P136" s="11" t="n">
        <x:v>10</x:v>
      </x:c>
      <x:c r="Q136" s="11" t="str">
        <x:v>104元对应H1法定简单年化135.38倍、扣非约162.38倍；TTM仍亏，短期价格已先行，三年基准128需恢复537m以上归母；价格上日20/60/120/250且斜率正，RS超宽基14.83/46.27pp；MACD柱负，均量低于60日，ATR7.13%波动大；H1收入40.91%及临床前52.26%、GM31.60，订单104.74%；坏账25.56m和人员扩张使盈利不能简单倍增；创新药早期研发和双报支持需求，融资/医保与NAMs替代部分实验服务会改变价格结构；扩建预计2027/1、海外中心2027/8与客户项目转换；一审降低诉请现实压力，尚非终审；冻结现金、应收大额准备、募资误用已纠正、关联猴采购与减持，海外主体亏损和扩建继续用现金</x:v>
      </x:c>
    </x:row>
    <x:row r="137" ht="23" customHeight="1">
      <x:c r="A137" s="11" t="str">
        <x:v>688202.SH</x:v>
      </x:c>
      <x:c r="B137" s="11" t="str">
        <x:v>美迪西</x:v>
      </x:c>
      <x:c r="C137" s="11" t="str">
        <x:v>三年</x:v>
      </x:c>
      <x:c r="D137" s="33" t="n">
        <x:v>2.8</x:v>
      </x:c>
      <x:c r="E137" s="33" t="n">
        <x:v>3.6</x:v>
      </x:c>
      <x:c r="F137" s="33" t="n">
        <x:v>4.1</x:v>
      </x:c>
      <x:c r="G137" s="33" t="n">
        <x:v>4</x:v>
      </x:c>
      <x:c r="H137" s="33" t="n">
        <x:v>3.8</x:v>
      </x:c>
      <x:c r="I137" s="33" t="n">
        <x:v>3</x:v>
      </x:c>
      <x:c r="J137" s="34" t="n">
        <x:f>SUMPRODUCT(D137:I137,K137:P137)/5</x:f>
        <x:v>72.1</x:v>
      </x:c>
      <x:c r="K137" s="11" t="n">
        <x:v>25</x:v>
      </x:c>
      <x:c r="L137" s="11" t="n">
        <x:v>5</x:v>
      </x:c>
      <x:c r="M137" s="11" t="n">
        <x:v>35</x:v>
      </x:c>
      <x:c r="N137" s="11" t="n">
        <x:v>20</x:v>
      </x:c>
      <x:c r="O137" s="11" t="n">
        <x:v>5</x:v>
      </x:c>
      <x:c r="P137" s="11" t="n">
        <x:v>10</x:v>
      </x:c>
      <x:c r="Q137" s="11" t="str">
        <x:v>104元对应H1法定简单年化135.38倍、扣非约162.38倍；TTM仍亏，短期价格已先行，三年基准128需恢复537m以上归母；价格上日20/60/120/250且斜率正，RS超宽基14.83/46.27pp；MACD柱负，均量低于60日，ATR7.13%波动大；H1收入40.91%及临床前52.26%、GM31.60，订单104.74%；坏账25.56m和人员扩张使盈利不能简单倍增；创新药早期研发和双报支持需求，融资/医保与NAMs替代部分实验服务会改变价格结构；扩建预计2027/1、海外中心2027/8与客户项目转换；一审降低诉请现实压力，尚非终审；冻结现金、应收大额准备、募资误用已纠正、关联猴采购与减持，海外主体亏损和扩建继续用现金</x:v>
      </x:c>
    </x:row>
    <x:row r="138" ht="23" customHeight="1">
      <x:c r="A138" s="11" t="str">
        <x:v>688202.SH</x:v>
      </x:c>
      <x:c r="B138" s="11" t="str">
        <x:v>美迪西</x:v>
      </x:c>
      <x:c r="C138" s="11" t="str">
        <x:v>五年</x:v>
      </x:c>
      <x:c r="D138" s="33" t="n">
        <x:v>3</x:v>
      </x:c>
      <x:c r="E138" s="33" t="n">
        <x:v>3.6</x:v>
      </x:c>
      <x:c r="F138" s="33" t="n">
        <x:v>4.1</x:v>
      </x:c>
      <x:c r="G138" s="33" t="n">
        <x:v>4</x:v>
      </x:c>
      <x:c r="H138" s="33" t="n">
        <x:v>3.6</x:v>
      </x:c>
      <x:c r="I138" s="33" t="n">
        <x:v>3</x:v>
      </x:c>
      <x:c r="J138" s="34" t="n">
        <x:f>SUMPRODUCT(D138:I138,K138:P138)/5</x:f>
        <x:v>73.4</x:v>
      </x:c>
      <x:c r="K138" s="11" t="n">
        <x:v>20</x:v>
      </x:c>
      <x:c r="L138" s="11" t="n">
        <x:v>0</x:v>
      </x:c>
      <x:c r="M138" s="11" t="n">
        <x:v>40</x:v>
      </x:c>
      <x:c r="N138" s="11" t="n">
        <x:v>20</x:v>
      </x:c>
      <x:c r="O138" s="11" t="n">
        <x:v>5</x:v>
      </x:c>
      <x:c r="P138" s="11" t="n">
        <x:v>15</x:v>
      </x:c>
      <x:c r="Q138" s="11" t="str">
        <x:v>104元对应H1法定简单年化135.38倍、扣非约162.38倍；TTM仍亏，短期价格已先行，三年基准128需恢复537m以上归母；价格上日20/60/120/250且斜率正，RS超宽基14.83/46.27pp；MACD柱负，均量低于60日，ATR7.13%波动大；H1收入40.91%及临床前52.26%、GM31.60，订单104.74%；坏账25.56m和人员扩张使盈利不能简单倍增；创新药早期研发和双报支持需求，融资/医保与NAMs替代部分实验服务会改变价格结构；扩建预计2027/1、海外中心2027/8与客户项目转换；一审降低诉请现实压力，尚非终审；冻结现金、应收大额准备、募资误用已纠正、关联猴采购与减持，海外主体亏损和扩建继续用现金</x:v>
      </x:c>
    </x:row>
    <x:row r="139" ht="23" customHeight="1">
      <x:c r="A139" s="11" t="str">
        <x:v>03690.HK</x:v>
      </x:c>
      <x:c r="B139" s="11" t="str">
        <x:v>美团-W</x:v>
      </x:c>
      <x:c r="C139" s="11" t="str">
        <x:v>半年</x:v>
      </x:c>
      <x:c r="D139" s="33" t="n">
        <x:v>3.4</x:v>
      </x:c>
      <x:c r="E139" s="33" t="n">
        <x:v>1.8</x:v>
      </x:c>
      <x:c r="F139" s="33" t="n">
        <x:v>3.5</x:v>
      </x:c>
      <x:c r="G139" s="33" t="n">
        <x:v>3.6</x:v>
      </x:c>
      <x:c r="H139" s="33" t="n">
        <x:v>3.8</x:v>
      </x:c>
      <x:c r="I139" s="33" t="n">
        <x:v>3.2</x:v>
      </x:c>
      <x:c r="J139" s="34" t="n">
        <x:f>SUMPRODUCT(D139:I139,K139:P139)/5</x:f>
        <x:v>59.5</x:v>
      </x:c>
      <x:c r="K139" s="11" t="n">
        <x:v>25</x:v>
      </x:c>
      <x:c r="L139" s="11" t="n">
        <x:v>30</x:v>
      </x:c>
      <x:c r="M139" s="11" t="n">
        <x:v>15</x:v>
      </x:c>
      <x:c r="N139" s="11" t="n">
        <x:v>10</x:v>
      </x:c>
      <x:c r="O139" s="11" t="n">
        <x:v>10</x:v>
      </x:c>
      <x:c r="P139" s="11" t="n">
        <x:v>10</x:v>
      </x:c>
      <x:c r="Q139" s="11" t="str"/>
    </x:row>
    <x:row r="140" ht="23" customHeight="1">
      <x:c r="A140" s="11" t="str">
        <x:v>03690.HK</x:v>
      </x:c>
      <x:c r="B140" s="11" t="str">
        <x:v>美团-W</x:v>
      </x:c>
      <x:c r="C140" s="11" t="str">
        <x:v>一年</x:v>
      </x:c>
      <x:c r="D140" s="33" t="n">
        <x:v>3.8</x:v>
      </x:c>
      <x:c r="E140" s="33" t="n">
        <x:v>1.8</x:v>
      </x:c>
      <x:c r="F140" s="33" t="n">
        <x:v>3.8</x:v>
      </x:c>
      <x:c r="G140" s="33" t="n">
        <x:v>3.8</x:v>
      </x:c>
      <x:c r="H140" s="33" t="n">
        <x:v>3.8</x:v>
      </x:c>
      <x:c r="I140" s="33" t="n">
        <x:v>3.2</x:v>
      </x:c>
      <x:c r="J140" s="34" t="n">
        <x:f>SUMPRODUCT(D140:I140,K140:P140)/5</x:f>
        <x:v>68.8</x:v>
      </x:c>
      <x:c r="K140" s="11" t="n">
        <x:v>25</x:v>
      </x:c>
      <x:c r="L140" s="11" t="n">
        <x:v>15</x:v>
      </x:c>
      <x:c r="M140" s="11" t="n">
        <x:v>25</x:v>
      </x:c>
      <x:c r="N140" s="11" t="n">
        <x:v>15</x:v>
      </x:c>
      <x:c r="O140" s="11" t="n">
        <x:v>10</x:v>
      </x:c>
      <x:c r="P140" s="11" t="n">
        <x:v>10</x:v>
      </x:c>
      <x:c r="Q140" s="11" t="str"/>
    </x:row>
    <x:row r="141" ht="23" customHeight="1">
      <x:c r="A141" s="11" t="str">
        <x:v>03690.HK</x:v>
      </x:c>
      <x:c r="B141" s="11" t="str">
        <x:v>美团-W</x:v>
      </x:c>
      <x:c r="C141" s="11" t="str">
        <x:v>三年</x:v>
      </x:c>
      <x:c r="D141" s="33" t="n">
        <x:v>4</x:v>
      </x:c>
      <x:c r="E141" s="33" t="n">
        <x:v>1.8</x:v>
      </x:c>
      <x:c r="F141" s="33" t="n">
        <x:v>4</x:v>
      </x:c>
      <x:c r="G141" s="33" t="n">
        <x:v>4</x:v>
      </x:c>
      <x:c r="H141" s="33" t="n">
        <x:v>3.7</x:v>
      </x:c>
      <x:c r="I141" s="33" t="n">
        <x:v>3.2</x:v>
      </x:c>
      <x:c r="J141" s="34" t="n">
        <x:f>SUMPRODUCT(D141:I141,K141:P141)/5</x:f>
        <x:v>75.9</x:v>
      </x:c>
      <x:c r="K141" s="11" t="n">
        <x:v>25</x:v>
      </x:c>
      <x:c r="L141" s="11" t="n">
        <x:v>5</x:v>
      </x:c>
      <x:c r="M141" s="11" t="n">
        <x:v>35</x:v>
      </x:c>
      <x:c r="N141" s="11" t="n">
        <x:v>20</x:v>
      </x:c>
      <x:c r="O141" s="11" t="n">
        <x:v>5</x:v>
      </x:c>
      <x:c r="P141" s="11" t="n">
        <x:v>10</x:v>
      </x:c>
      <x:c r="Q141" s="11" t="str"/>
    </x:row>
    <x:row r="142" ht="23" customHeight="1">
      <x:c r="A142" s="11" t="str">
        <x:v>03690.HK</x:v>
      </x:c>
      <x:c r="B142" s="11" t="str">
        <x:v>美团-W</x:v>
      </x:c>
      <x:c r="C142" s="11" t="str">
        <x:v>五年</x:v>
      </x:c>
      <x:c r="D142" s="33" t="n">
        <x:v>4</x:v>
      </x:c>
      <x:c r="E142" s="33" t="n">
        <x:v>1.8</x:v>
      </x:c>
      <x:c r="F142" s="33" t="n">
        <x:v>4.1</x:v>
      </x:c>
      <x:c r="G142" s="33" t="n">
        <x:v>4</x:v>
      </x:c>
      <x:c r="H142" s="33" t="n">
        <x:v>3.7</x:v>
      </x:c>
      <x:c r="I142" s="33" t="n">
        <x:v>3.1</x:v>
      </x:c>
      <x:c r="J142" s="34" t="n">
        <x:f>SUMPRODUCT(D142:I142,K142:P142)/5</x:f>
        <x:v>77.8</x:v>
      </x:c>
      <x:c r="K142" s="11" t="n">
        <x:v>20</x:v>
      </x:c>
      <x:c r="L142" s="11" t="n">
        <x:v>0</x:v>
      </x:c>
      <x:c r="M142" s="11" t="n">
        <x:v>40</x:v>
      </x:c>
      <x:c r="N142" s="11" t="n">
        <x:v>20</x:v>
      </x:c>
      <x:c r="O142" s="11" t="n">
        <x:v>5</x:v>
      </x:c>
      <x:c r="P142" s="11" t="n">
        <x:v>15</x:v>
      </x:c>
      <x:c r="Q142" s="11" t="str"/>
    </x:row>
    <x:row r="143" ht="23" customHeight="1">
      <x:c r="A143" s="11" t="str">
        <x:v>00300.HK</x:v>
      </x:c>
      <x:c r="B143" s="11" t="str">
        <x:v>美的集团</x:v>
      </x:c>
      <x:c r="C143" s="11" t="str">
        <x:v>半年</x:v>
      </x:c>
      <x:c r="D143" s="33" t="n">
        <x:v>3.4</x:v>
      </x:c>
      <x:c r="E143" s="33" t="n">
        <x:v>2.8</x:v>
      </x:c>
      <x:c r="F143" s="33" t="n">
        <x:v>4.3</x:v>
      </x:c>
      <x:c r="G143" s="33" t="n">
        <x:v>3.4</x:v>
      </x:c>
      <x:c r="H143" s="33" t="n">
        <x:v>3.5</x:v>
      </x:c>
      <x:c r="I143" s="33" t="n">
        <x:v>4.1</x:v>
      </x:c>
      <x:c r="J143" s="34" t="n">
        <x:f>SUMPRODUCT(D143:I143,K143:P143)/5</x:f>
        <x:v>68.7</x:v>
      </x:c>
      <x:c r="K143" s="11" t="n">
        <x:v>25</x:v>
      </x:c>
      <x:c r="L143" s="11" t="n">
        <x:v>30</x:v>
      </x:c>
      <x:c r="M143" s="11" t="n">
        <x:v>15</x:v>
      </x:c>
      <x:c r="N143" s="11" t="n">
        <x:v>10</x:v>
      </x:c>
      <x:c r="O143" s="11" t="n">
        <x:v>10</x:v>
      </x:c>
      <x:c r="P143" s="11" t="n">
        <x:v>10</x:v>
      </x:c>
      <x:c r="Q143" s="11" t="str"/>
    </x:row>
    <x:row r="144" ht="23" customHeight="1">
      <x:c r="A144" s="11" t="str">
        <x:v>00300.HK</x:v>
      </x:c>
      <x:c r="B144" s="11" t="str">
        <x:v>美的集团</x:v>
      </x:c>
      <x:c r="C144" s="11" t="str">
        <x:v>一年</x:v>
      </x:c>
      <x:c r="D144" s="33" t="n">
        <x:v>3.8</x:v>
      </x:c>
      <x:c r="E144" s="33" t="n">
        <x:v>2.8</x:v>
      </x:c>
      <x:c r="F144" s="33" t="n">
        <x:v>4.3</x:v>
      </x:c>
      <x:c r="G144" s="33" t="n">
        <x:v>3.8</x:v>
      </x:c>
      <x:c r="H144" s="33" t="n">
        <x:v>3.6</x:v>
      </x:c>
      <x:c r="I144" s="33" t="n">
        <x:v>4.1</x:v>
      </x:c>
      <x:c r="J144" s="34" t="n">
        <x:f>SUMPRODUCT(D144:I144,K144:P144)/5</x:f>
        <x:v>75.7</x:v>
      </x:c>
      <x:c r="K144" s="11" t="n">
        <x:v>25</x:v>
      </x:c>
      <x:c r="L144" s="11" t="n">
        <x:v>15</x:v>
      </x:c>
      <x:c r="M144" s="11" t="n">
        <x:v>25</x:v>
      </x:c>
      <x:c r="N144" s="11" t="n">
        <x:v>15</x:v>
      </x:c>
      <x:c r="O144" s="11" t="n">
        <x:v>10</x:v>
      </x:c>
      <x:c r="P144" s="11" t="n">
        <x:v>10</x:v>
      </x:c>
      <x:c r="Q144" s="11" t="str"/>
    </x:row>
    <x:row r="145" ht="23" customHeight="1">
      <x:c r="A145" s="11" t="str">
        <x:v>00300.HK</x:v>
      </x:c>
      <x:c r="B145" s="11" t="str">
        <x:v>美的集团</x:v>
      </x:c>
      <x:c r="C145" s="11" t="str">
        <x:v>三年</x:v>
      </x:c>
      <x:c r="D145" s="33" t="n">
        <x:v>4</x:v>
      </x:c>
      <x:c r="E145" s="33" t="n">
        <x:v>2.8</x:v>
      </x:c>
      <x:c r="F145" s="33" t="n">
        <x:v>4.4</x:v>
      </x:c>
      <x:c r="G145" s="33" t="n">
        <x:v>4</x:v>
      </x:c>
      <x:c r="H145" s="33" t="n">
        <x:v>3.7</x:v>
      </x:c>
      <x:c r="I145" s="33" t="n">
        <x:v>4</x:v>
      </x:c>
      <x:c r="J145" s="34" t="n">
        <x:f>SUMPRODUCT(D145:I145,K145:P145)/5</x:f>
        <x:v>81.3</x:v>
      </x:c>
      <x:c r="K145" s="11" t="n">
        <x:v>25</x:v>
      </x:c>
      <x:c r="L145" s="11" t="n">
        <x:v>5</x:v>
      </x:c>
      <x:c r="M145" s="11" t="n">
        <x:v>35</x:v>
      </x:c>
      <x:c r="N145" s="11" t="n">
        <x:v>20</x:v>
      </x:c>
      <x:c r="O145" s="11" t="n">
        <x:v>5</x:v>
      </x:c>
      <x:c r="P145" s="11" t="n">
        <x:v>10</x:v>
      </x:c>
      <x:c r="Q145" s="11" t="str"/>
    </x:row>
    <x:row r="146" ht="23" customHeight="1">
      <x:c r="A146" s="11" t="str">
        <x:v>00300.HK</x:v>
      </x:c>
      <x:c r="B146" s="11" t="str">
        <x:v>美的集团</x:v>
      </x:c>
      <x:c r="C146" s="11" t="str">
        <x:v>五年</x:v>
      </x:c>
      <x:c r="D146" s="33" t="n">
        <x:v>4</x:v>
      </x:c>
      <x:c r="E146" s="33" t="n">
        <x:v>2.8</x:v>
      </x:c>
      <x:c r="F146" s="33" t="n">
        <x:v>4.4</x:v>
      </x:c>
      <x:c r="G146" s="33" t="n">
        <x:v>4.1</x:v>
      </x:c>
      <x:c r="H146" s="33" t="n">
        <x:v>3.5</x:v>
      </x:c>
      <x:c r="I146" s="33" t="n">
        <x:v>3.9</x:v>
      </x:c>
      <x:c r="J146" s="34" t="n">
        <x:f>SUMPRODUCT(D146:I146,K146:P146)/5</x:f>
        <x:v>82.8</x:v>
      </x:c>
      <x:c r="K146" s="11" t="n">
        <x:v>20</x:v>
      </x:c>
      <x:c r="L146" s="11" t="n">
        <x:v>0</x:v>
      </x:c>
      <x:c r="M146" s="11" t="n">
        <x:v>40</x:v>
      </x:c>
      <x:c r="N146" s="11" t="n">
        <x:v>20</x:v>
      </x:c>
      <x:c r="O146" s="11" t="n">
        <x:v>5</x:v>
      </x:c>
      <x:c r="P146" s="11" t="n">
        <x:v>15</x:v>
      </x:c>
      <x:c r="Q146" s="11" t="str"/>
    </x:row>
    <x:row r="147" ht="23" customHeight="1">
      <x:c r="A147" s="11" t="str">
        <x:v>300760.SZ</x:v>
      </x:c>
      <x:c r="B147" s="11" t="str">
        <x:v>迈瑞医疗</x:v>
      </x:c>
      <x:c r="C147" s="11" t="str">
        <x:v>半年</x:v>
      </x:c>
      <x:c r="D147" s="33" t="n">
        <x:v>3.7</x:v>
      </x:c>
      <x:c r="E147" s="33" t="n">
        <x:v>3</x:v>
      </x:c>
      <x:c r="F147" s="33" t="n">
        <x:v>3.8</x:v>
      </x:c>
      <x:c r="G147" s="33" t="n">
        <x:v>3.7</x:v>
      </x:c>
      <x:c r="H147" s="33" t="n">
        <x:v>3.5</x:v>
      </x:c>
      <x:c r="I147" s="33" t="n">
        <x:v>4.1</x:v>
      </x:c>
      <x:c r="J147" s="34" t="n">
        <x:f>SUMPRODUCT(D147:I147,K147:P147)/5</x:f>
        <x:v>70.5</x:v>
      </x:c>
      <x:c r="K147" s="11" t="n">
        <x:v>25</x:v>
      </x:c>
      <x:c r="L147" s="11" t="n">
        <x:v>30</x:v>
      </x:c>
      <x:c r="M147" s="11" t="n">
        <x:v>15</x:v>
      </x:c>
      <x:c r="N147" s="11" t="n">
        <x:v>10</x:v>
      </x:c>
      <x:c r="O147" s="11" t="n">
        <x:v>10</x:v>
      </x:c>
      <x:c r="P147" s="11" t="n">
        <x:v>10</x:v>
      </x:c>
      <x:c r="Q147" s="11" t="str">
        <x:v>基准一年228元+41.26%，按FY2025EPS当前约24倍；复苏需经营支持，不因跌幅大判低估；日线在60之上但20斜率负、250下方；周60/120线下，最新涨日量比1.04非强突破；国际13.67%、IVD9.58%、新兴19.59%实证；国内仍-1.61、影像-5.78；设备采购弱复苏，IVD医保控费长期约束，海外高端份额提升提供空间；后续季度现金/海外订单和新产品；2027国内改善是公司前瞻非保证；现金186亿、银行债极小且OCF超过归母；商誉111亿、惠泰少数股权益/资本化研发和政策风险</x:v>
      </x:c>
    </x:row>
    <x:row r="148" ht="23" customHeight="1">
      <x:c r="A148" s="11" t="str">
        <x:v>300760.SZ</x:v>
      </x:c>
      <x:c r="B148" s="11" t="str">
        <x:v>迈瑞医疗</x:v>
      </x:c>
      <x:c r="C148" s="11" t="str">
        <x:v>一年</x:v>
      </x:c>
      <x:c r="D148" s="33" t="n">
        <x:v>3.9</x:v>
      </x:c>
      <x:c r="E148" s="33" t="n">
        <x:v>3</x:v>
      </x:c>
      <x:c r="F148" s="33" t="n">
        <x:v>4</x:v>
      </x:c>
      <x:c r="G148" s="33" t="n">
        <x:v>3.9</x:v>
      </x:c>
      <x:c r="H148" s="33" t="n">
        <x:v>3.7</x:v>
      </x:c>
      <x:c r="I148" s="33" t="n">
        <x:v>4</x:v>
      </x:c>
      <x:c r="J148" s="34" t="n">
        <x:f>SUMPRODUCT(D148:I148,K148:P148)/5</x:f>
        <x:v>75.6</x:v>
      </x:c>
      <x:c r="K148" s="11" t="n">
        <x:v>25</x:v>
      </x:c>
      <x:c r="L148" s="11" t="n">
        <x:v>15</x:v>
      </x:c>
      <x:c r="M148" s="11" t="n">
        <x:v>25</x:v>
      </x:c>
      <x:c r="N148" s="11" t="n">
        <x:v>15</x:v>
      </x:c>
      <x:c r="O148" s="11" t="n">
        <x:v>10</x:v>
      </x:c>
      <x:c r="P148" s="11" t="n">
        <x:v>10</x:v>
      </x:c>
      <x:c r="Q148" s="11" t="str">
        <x:v>基准一年228元+41.26%，按FY2025EPS当前约24倍；复苏需经营支持，不因跌幅大判低估；日线在60之上但20斜率负、250下方；周60/120线下，最新涨日量比1.04非强突破；国际13.67%、IVD9.58%、新兴19.59%实证；国内仍-1.61、影像-5.78；设备采购弱复苏，IVD医保控费长期约束，海外高端份额提升提供空间；后续季度现金/海外订单和新产品；2027国内改善是公司前瞻非保证；现金186亿、银行债极小且OCF超过归母；商誉111亿、惠泰少数股权益/资本化研发和政策风险</x:v>
      </x:c>
    </x:row>
    <x:row r="149" ht="23" customHeight="1">
      <x:c r="A149" s="11" t="str">
        <x:v>300760.SZ</x:v>
      </x:c>
      <x:c r="B149" s="11" t="str">
        <x:v>迈瑞医疗</x:v>
      </x:c>
      <x:c r="C149" s="11" t="str">
        <x:v>三年</x:v>
      </x:c>
      <x:c r="D149" s="33" t="n">
        <x:v>4.1</x:v>
      </x:c>
      <x:c r="E149" s="33" t="n">
        <x:v>3</x:v>
      </x:c>
      <x:c r="F149" s="33" t="n">
        <x:v>4.3</x:v>
      </x:c>
      <x:c r="G149" s="33" t="n">
        <x:v>4.2</x:v>
      </x:c>
      <x:c r="H149" s="33" t="n">
        <x:v>3.8</x:v>
      </x:c>
      <x:c r="I149" s="33" t="n">
        <x:v>3.8</x:v>
      </x:c>
      <x:c r="J149" s="34" t="n">
        <x:f>SUMPRODUCT(D149:I149,K149:P149)/5</x:f>
        <x:v>81.8</x:v>
      </x:c>
      <x:c r="K149" s="11" t="n">
        <x:v>25</x:v>
      </x:c>
      <x:c r="L149" s="11" t="n">
        <x:v>5</x:v>
      </x:c>
      <x:c r="M149" s="11" t="n">
        <x:v>35</x:v>
      </x:c>
      <x:c r="N149" s="11" t="n">
        <x:v>20</x:v>
      </x:c>
      <x:c r="O149" s="11" t="n">
        <x:v>5</x:v>
      </x:c>
      <x:c r="P149" s="11" t="n">
        <x:v>10</x:v>
      </x:c>
      <x:c r="Q149" s="11" t="str">
        <x:v>基准一年228元+41.26%，按FY2025EPS当前约24倍；复苏需经营支持，不因跌幅大判低估；日线在60之上但20斜率负、250下方；周60/120线下，最新涨日量比1.04非强突破；国际13.67%、IVD9.58%、新兴19.59%实证；国内仍-1.61、影像-5.78；设备采购弱复苏，IVD医保控费长期约束，海外高端份额提升提供空间；后续季度现金/海外订单和新产品；2027国内改善是公司前瞻非保证；现金186亿、银行债极小且OCF超过归母；商誉111亿、惠泰少数股权益/资本化研发和政策风险</x:v>
      </x:c>
    </x:row>
    <x:row r="150" ht="23" customHeight="1">
      <x:c r="A150" s="11" t="str">
        <x:v>300760.SZ</x:v>
      </x:c>
      <x:c r="B150" s="11" t="str">
        <x:v>迈瑞医疗</x:v>
      </x:c>
      <x:c r="C150" s="11" t="str">
        <x:v>五年</x:v>
      </x:c>
      <x:c r="D150" s="33" t="n">
        <x:v>4</x:v>
      </x:c>
      <x:c r="E150" s="33" t="n">
        <x:v>3</x:v>
      </x:c>
      <x:c r="F150" s="33" t="n">
        <x:v>4.4</x:v>
      </x:c>
      <x:c r="G150" s="33" t="n">
        <x:v>4.3</x:v>
      </x:c>
      <x:c r="H150" s="33" t="n">
        <x:v>3.7</x:v>
      </x:c>
      <x:c r="I150" s="33" t="n">
        <x:v>3.7</x:v>
      </x:c>
      <x:c r="J150" s="34" t="n">
        <x:f>SUMPRODUCT(D150:I150,K150:P150)/5</x:f>
        <x:v>83.2</x:v>
      </x:c>
      <x:c r="K150" s="11" t="n">
        <x:v>20</x:v>
      </x:c>
      <x:c r="L150" s="11" t="n">
        <x:v>0</x:v>
      </x:c>
      <x:c r="M150" s="11" t="n">
        <x:v>40</x:v>
      </x:c>
      <x:c r="N150" s="11" t="n">
        <x:v>20</x:v>
      </x:c>
      <x:c r="O150" s="11" t="n">
        <x:v>5</x:v>
      </x:c>
      <x:c r="P150" s="11" t="n">
        <x:v>15</x:v>
      </x:c>
      <x:c r="Q150" s="11" t="str">
        <x:v>基准一年228元+41.26%，按FY2025EPS当前约24倍；复苏需经营支持，不因跌幅大判低估；日线在60之上但20斜率负、250下方；周60/120线下，最新涨日量比1.04非强突破；国际13.67%、IVD9.58%、新兴19.59%实证；国内仍-1.61、影像-5.78；设备采购弱复苏，IVD医保控费长期约束，海外高端份额提升提供空间；后续季度现金/海外订单和新产品；2027国内改善是公司前瞻非保证；现金186亿、银行债极小且OCF超过归母；商誉111亿、惠泰少数股权益/资本化研发和政策风险</x:v>
      </x:c>
    </x:row>
    <x:row r="151" ht="23" customHeight="1">
      <x:c r="A151" s="11" t="str">
        <x:v>09999.HK</x:v>
      </x:c>
      <x:c r="B151" s="11" t="str">
        <x:v>网易</x:v>
      </x:c>
      <x:c r="C151" s="11" t="str">
        <x:v>半年</x:v>
      </x:c>
      <x:c r="D151" s="33" t="n">
        <x:v>3.6</x:v>
      </x:c>
      <x:c r="E151" s="33" t="n">
        <x:v>3.1</x:v>
      </x:c>
      <x:c r="F151" s="33" t="n">
        <x:v>4.1</x:v>
      </x:c>
      <x:c r="G151" s="33" t="n">
        <x:v>4</x:v>
      </x:c>
      <x:c r="H151" s="33" t="n">
        <x:v>3.7</x:v>
      </x:c>
      <x:c r="I151" s="33" t="n">
        <x:v>4.2</x:v>
      </x:c>
      <x:c r="J151" s="34" t="n">
        <x:f>SUMPRODUCT(D151:I151,K151:P151)/5</x:f>
        <x:v>72.7</x:v>
      </x:c>
      <x:c r="K151" s="11" t="n">
        <x:v>25</x:v>
      </x:c>
      <x:c r="L151" s="11" t="n">
        <x:v>30</x:v>
      </x:c>
      <x:c r="M151" s="11" t="n">
        <x:v>15</x:v>
      </x:c>
      <x:c r="N151" s="11" t="n">
        <x:v>10</x:v>
      </x:c>
      <x:c r="O151" s="11" t="n">
        <x:v>10</x:v>
      </x:c>
      <x:c r="P151" s="11" t="n">
        <x:v>10</x:v>
      </x:c>
      <x:c r="Q151" s="11" t="str">
        <x:v>historical nonGAAP PE15.16x, cash strong but no double addition; Q2 investment and tax losses limit earnings certainty；price above MA20/60/120 with 1.445 volume ratio, below MA250; weekly mixed; excess HSI20+8.66pp/60-2.19pp；H1 game revenue+8.3%, game gross margin Q2 76.1%; mature franchises support operating income, content concentration matters；global content and AI efficiency opportunities, channel pricing and product supply competition constrain perpetuity；new and mature game update cycles and quarterly operating-to-net-profit bridge; unannounced release dates not invented；H1 OCF23.706bn, net cash167.5bn, light equipment spending; investments, taxes, SBC and cash deployment remain risks</x:v>
      </x:c>
    </x:row>
    <x:row r="152" ht="23" customHeight="1">
      <x:c r="A152" s="11" t="str">
        <x:v>09999.HK</x:v>
      </x:c>
      <x:c r="B152" s="11" t="str">
        <x:v>网易</x:v>
      </x:c>
      <x:c r="C152" s="11" t="str">
        <x:v>一年</x:v>
      </x:c>
      <x:c r="D152" s="33" t="n">
        <x:v>3.8</x:v>
      </x:c>
      <x:c r="E152" s="33" t="n">
        <x:v>3.1</x:v>
      </x:c>
      <x:c r="F152" s="33" t="n">
        <x:v>4.2</x:v>
      </x:c>
      <x:c r="G152" s="33" t="n">
        <x:v>4.1</x:v>
      </x:c>
      <x:c r="H152" s="33" t="n">
        <x:v>4</x:v>
      </x:c>
      <x:c r="I152" s="33" t="n">
        <x:v>4.2</x:v>
      </x:c>
      <x:c r="J152" s="34" t="n">
        <x:f>SUMPRODUCT(D152:I152,K152:P152)/5</x:f>
        <x:v>78</x:v>
      </x:c>
      <x:c r="K152" s="11" t="n">
        <x:v>25</x:v>
      </x:c>
      <x:c r="L152" s="11" t="n">
        <x:v>15</x:v>
      </x:c>
      <x:c r="M152" s="11" t="n">
        <x:v>25</x:v>
      </x:c>
      <x:c r="N152" s="11" t="n">
        <x:v>15</x:v>
      </x:c>
      <x:c r="O152" s="11" t="n">
        <x:v>10</x:v>
      </x:c>
      <x:c r="P152" s="11" t="n">
        <x:v>10</x:v>
      </x:c>
      <x:c r="Q152" s="11" t="str">
        <x:v>historical nonGAAP PE15.16x, cash strong but no double addition; Q2 investment and tax losses limit earnings certainty；price above MA20/60/120 with 1.445 volume ratio, below MA250; weekly mixed; excess HSI20+8.66pp/60-2.19pp；H1 game revenue+8.3%, game gross margin Q2 76.1%; mature franchises support operating income, content concentration matters；global content and AI efficiency opportunities, channel pricing and product supply competition constrain perpetuity；new and mature game update cycles and quarterly operating-to-net-profit bridge; unannounced release dates not invented；H1 OCF23.706bn, net cash167.5bn, light equipment spending; investments, taxes, SBC and cash deployment remain risks</x:v>
      </x:c>
    </x:row>
    <x:row r="153" ht="23" customHeight="1">
      <x:c r="A153" s="11" t="str">
        <x:v>09999.HK</x:v>
      </x:c>
      <x:c r="B153" s="11" t="str">
        <x:v>网易</x:v>
      </x:c>
      <x:c r="C153" s="11" t="str">
        <x:v>三年</x:v>
      </x:c>
      <x:c r="D153" s="33" t="n">
        <x:v>4</x:v>
      </x:c>
      <x:c r="E153" s="33" t="n">
        <x:v>3.1</x:v>
      </x:c>
      <x:c r="F153" s="33" t="n">
        <x:v>4.2</x:v>
      </x:c>
      <x:c r="G153" s="33" t="n">
        <x:v>4.1</x:v>
      </x:c>
      <x:c r="H153" s="33" t="n">
        <x:v>3.8</x:v>
      </x:c>
      <x:c r="I153" s="33" t="n">
        <x:v>4</x:v>
      </x:c>
      <x:c r="J153" s="34" t="n">
        <x:f>SUMPRODUCT(D153:I153,K153:P153)/5</x:f>
        <x:v>80.7</x:v>
      </x:c>
      <x:c r="K153" s="11" t="n">
        <x:v>25</x:v>
      </x:c>
      <x:c r="L153" s="11" t="n">
        <x:v>5</x:v>
      </x:c>
      <x:c r="M153" s="11" t="n">
        <x:v>35</x:v>
      </x:c>
      <x:c r="N153" s="11" t="n">
        <x:v>20</x:v>
      </x:c>
      <x:c r="O153" s="11" t="n">
        <x:v>5</x:v>
      </x:c>
      <x:c r="P153" s="11" t="n">
        <x:v>10</x:v>
      </x:c>
      <x:c r="Q153" s="11" t="str">
        <x:v>historical nonGAAP PE15.16x, cash strong but no double addition; Q2 investment and tax losses limit earnings certainty；price above MA20/60/120 with 1.445 volume ratio, below MA250; weekly mixed; excess HSI20+8.66pp/60-2.19pp；H1 game revenue+8.3%, game gross margin Q2 76.1%; mature franchises support operating income, content concentration matters；global content and AI efficiency opportunities, channel pricing and product supply competition constrain perpetuity；new and mature game update cycles and quarterly operating-to-net-profit bridge; unannounced release dates not invented；H1 OCF23.706bn, net cash167.5bn, light equipment spending; investments, taxes, SBC and cash deployment remain risks</x:v>
      </x:c>
    </x:row>
    <x:row r="154" ht="23" customHeight="1">
      <x:c r="A154" s="11" t="str">
        <x:v>09999.HK</x:v>
      </x:c>
      <x:c r="B154" s="11" t="str">
        <x:v>网易</x:v>
      </x:c>
      <x:c r="C154" s="11" t="str">
        <x:v>五年</x:v>
      </x:c>
      <x:c r="D154" s="33" t="n">
        <x:v>3.8</x:v>
      </x:c>
      <x:c r="E154" s="33" t="n">
        <x:v>3.1</x:v>
      </x:c>
      <x:c r="F154" s="33" t="n">
        <x:v>4.1</x:v>
      </x:c>
      <x:c r="G154" s="33" t="n">
        <x:v>4</x:v>
      </x:c>
      <x:c r="H154" s="33" t="n">
        <x:v>3.7</x:v>
      </x:c>
      <x:c r="I154" s="33" t="n">
        <x:v>3.8</x:v>
      </x:c>
      <x:c r="J154" s="34" t="n">
        <x:f>SUMPRODUCT(D154:I154,K154:P154)/5</x:f>
        <x:v>79.1</x:v>
      </x:c>
      <x:c r="K154" s="11" t="n">
        <x:v>20</x:v>
      </x:c>
      <x:c r="L154" s="11" t="n">
        <x:v>0</x:v>
      </x:c>
      <x:c r="M154" s="11" t="n">
        <x:v>40</x:v>
      </x:c>
      <x:c r="N154" s="11" t="n">
        <x:v>20</x:v>
      </x:c>
      <x:c r="O154" s="11" t="n">
        <x:v>5</x:v>
      </x:c>
      <x:c r="P154" s="11" t="n">
        <x:v>15</x:v>
      </x:c>
      <x:c r="Q154" s="11" t="str">
        <x:v>historical nonGAAP PE15.16x, cash strong but no double addition; Q2 investment and tax losses limit earnings certainty；price above MA20/60/120 with 1.445 volume ratio, below MA250; weekly mixed; excess HSI20+8.66pp/60-2.19pp；H1 game revenue+8.3%, game gross margin Q2 76.1%; mature franchises support operating income, content concentration matters；global content and AI efficiency opportunities, channel pricing and product supply competition constrain perpetuity；new and mature game update cycles and quarterly operating-to-net-profit bridge; unannounced release dates not invented；H1 OCF23.706bn, net cash167.5bn, light equipment spending; investments, taxes, SBC and cash deployment remain risks</x:v>
      </x:c>
    </x:row>
    <x:row r="155" ht="23" customHeight="1">
      <x:c r="A155" s="11" t="str">
        <x:v>03759.HK</x:v>
      </x:c>
      <x:c r="B155" s="11" t="str">
        <x:v>康龙化成</x:v>
      </x:c>
      <x:c r="C155" s="11" t="str">
        <x:v>半年</x:v>
      </x:c>
      <x:c r="D155" s="33" t="n">
        <x:v>3.3</x:v>
      </x:c>
      <x:c r="E155" s="33" t="n">
        <x:v>3.7</x:v>
      </x:c>
      <x:c r="F155" s="33" t="n">
        <x:v>3.9</x:v>
      </x:c>
      <x:c r="G155" s="33" t="n">
        <x:v>4.2</x:v>
      </x:c>
      <x:c r="H155" s="33" t="n">
        <x:v>4.1</x:v>
      </x:c>
      <x:c r="I155" s="33" t="n">
        <x:v>2.7</x:v>
      </x:c>
      <x:c r="J155" s="34" t="n">
        <x:f>SUMPRODUCT(D155:I155,K155:P155)/5</x:f>
        <x:v>72.4</x:v>
      </x:c>
      <x:c r="K155" s="11" t="n">
        <x:v>25</x:v>
      </x:c>
      <x:c r="L155" s="11" t="n">
        <x:v>30</x:v>
      </x:c>
      <x:c r="M155" s="11" t="n">
        <x:v>15</x:v>
      </x:c>
      <x:c r="N155" s="11" t="n">
        <x:v>10</x:v>
      </x:c>
      <x:c r="O155" s="11" t="n">
        <x:v>10</x:v>
      </x:c>
      <x:c r="P155" s="11" t="n">
        <x:v>10</x:v>
      </x:c>
      <x:c r="Q155" s="11" t="str">
        <x:v>净母盈利扣正常成本税息及股酬，PE不再加减现金债；基准回报与高融资/低利用尾部并看；四条日均线价上与向上、20/60市场超额正；当日放量下跌而短均量低，近期高点尚未突破；实验室13.7%、CDMO32.8%、新订单30%以上、85%CDMO由发现客户；现金同比降/海外低效需验证；早期融资回暖、商业GLP1与新分子外包；非所有订单都长年增长，跨境政策保留；年报与订单转收入、生产检查及大项目、2027CB偿付或转股影响；无药品临床权属rNPV；H1银行6.474bn/可转债2.18bn且2027到期、资本开支与基金投入、股权融资/关联交易风险</x:v>
      </x:c>
    </x:row>
    <x:row r="156" ht="23" customHeight="1">
      <x:c r="A156" s="11" t="str">
        <x:v>03759.HK</x:v>
      </x:c>
      <x:c r="B156" s="11" t="str">
        <x:v>康龙化成</x:v>
      </x:c>
      <x:c r="C156" s="11" t="str">
        <x:v>一年</x:v>
      </x:c>
      <x:c r="D156" s="33" t="n">
        <x:v>3.6</x:v>
      </x:c>
      <x:c r="E156" s="33" t="n">
        <x:v>3.7</x:v>
      </x:c>
      <x:c r="F156" s="33" t="n">
        <x:v>4</x:v>
      </x:c>
      <x:c r="G156" s="33" t="n">
        <x:v>4.3</x:v>
      </x:c>
      <x:c r="H156" s="33" t="n">
        <x:v>4.2</x:v>
      </x:c>
      <x:c r="I156" s="33" t="n">
        <x:v>2.7</x:v>
      </x:c>
      <x:c r="J156" s="34" t="n">
        <x:f>SUMPRODUCT(D156:I156,K156:P156)/5</x:f>
        <x:v>75.8</x:v>
      </x:c>
      <x:c r="K156" s="11" t="n">
        <x:v>25</x:v>
      </x:c>
      <x:c r="L156" s="11" t="n">
        <x:v>15</x:v>
      </x:c>
      <x:c r="M156" s="11" t="n">
        <x:v>25</x:v>
      </x:c>
      <x:c r="N156" s="11" t="n">
        <x:v>15</x:v>
      </x:c>
      <x:c r="O156" s="11" t="n">
        <x:v>10</x:v>
      </x:c>
      <x:c r="P156" s="11" t="n">
        <x:v>10</x:v>
      </x:c>
      <x:c r="Q156" s="11" t="str">
        <x:v>净母盈利扣正常成本税息及股酬，PE不再加减现金债；基准回报与高融资/低利用尾部并看；四条日均线价上与向上、20/60市场超额正；当日放量下跌而短均量低，近期高点尚未突破；实验室13.7%、CDMO32.8%、新订单30%以上、85%CDMO由发现客户；现金同比降/海外低效需验证；早期融资回暖、商业GLP1与新分子外包；非所有订单都长年增长，跨境政策保留；年报与订单转收入、生产检查及大项目、2027CB偿付或转股影响；无药品临床权属rNPV；H1银行6.474bn/可转债2.18bn且2027到期、资本开支与基金投入、股权融资/关联交易风险</x:v>
      </x:c>
    </x:row>
    <x:row r="157" ht="23" customHeight="1">
      <x:c r="A157" s="11" t="str">
        <x:v>03759.HK</x:v>
      </x:c>
      <x:c r="B157" s="11" t="str">
        <x:v>康龙化成</x:v>
      </x:c>
      <x:c r="C157" s="11" t="str">
        <x:v>三年</x:v>
      </x:c>
      <x:c r="D157" s="33" t="n">
        <x:v>3.7</x:v>
      </x:c>
      <x:c r="E157" s="33" t="n">
        <x:v>3.7</x:v>
      </x:c>
      <x:c r="F157" s="33" t="n">
        <x:v>4.1</x:v>
      </x:c>
      <x:c r="G157" s="33" t="n">
        <x:v>4.4</x:v>
      </x:c>
      <x:c r="H157" s="33" t="n">
        <x:v>4</x:v>
      </x:c>
      <x:c r="I157" s="33" t="n">
        <x:v>2.8</x:v>
      </x:c>
      <x:c r="J157" s="34" t="n">
        <x:f>SUMPRODUCT(D157:I157,K157:P157)/5</x:f>
        <x:v>78.1</x:v>
      </x:c>
      <x:c r="K157" s="11" t="n">
        <x:v>25</x:v>
      </x:c>
      <x:c r="L157" s="11" t="n">
        <x:v>5</x:v>
      </x:c>
      <x:c r="M157" s="11" t="n">
        <x:v>35</x:v>
      </x:c>
      <x:c r="N157" s="11" t="n">
        <x:v>20</x:v>
      </x:c>
      <x:c r="O157" s="11" t="n">
        <x:v>5</x:v>
      </x:c>
      <x:c r="P157" s="11" t="n">
        <x:v>10</x:v>
      </x:c>
      <x:c r="Q157" s="11" t="str">
        <x:v>净母盈利扣正常成本税息及股酬，PE不再加减现金债；基准回报与高融资/低利用尾部并看；四条日均线价上与向上、20/60市场超额正；当日放量下跌而短均量低，近期高点尚未突破；实验室13.7%、CDMO32.8%、新订单30%以上、85%CDMO由发现客户；现金同比降/海外低效需验证；早期融资回暖、商业GLP1与新分子外包；非所有订单都长年增长，跨境政策保留；年报与订单转收入、生产检查及大项目、2027CB偿付或转股影响；无药品临床权属rNPV；H1银行6.474bn/可转债2.18bn且2027到期、资本开支与基金投入、股权融资/关联交易风险</x:v>
      </x:c>
    </x:row>
    <x:row r="158" ht="23" customHeight="1">
      <x:c r="A158" s="11" t="str">
        <x:v>03759.HK</x:v>
      </x:c>
      <x:c r="B158" s="11" t="str">
        <x:v>康龙化成</x:v>
      </x:c>
      <x:c r="C158" s="11" t="str">
        <x:v>五年</x:v>
      </x:c>
      <x:c r="D158" s="33" t="n">
        <x:v>3.7</x:v>
      </x:c>
      <x:c r="E158" s="33" t="n">
        <x:v>0</x:v>
      </x:c>
      <x:c r="F158" s="33" t="n">
        <x:v>4.2</x:v>
      </x:c>
      <x:c r="G158" s="33" t="n">
        <x:v>4.4</x:v>
      </x:c>
      <x:c r="H158" s="33" t="n">
        <x:v>3.8</x:v>
      </x:c>
      <x:c r="I158" s="33" t="n">
        <x:v>2.9</x:v>
      </x:c>
      <x:c r="J158" s="34" t="n">
        <x:f>SUMPRODUCT(D158:I158,K158:P158)/5</x:f>
        <x:v>78.5</x:v>
      </x:c>
      <x:c r="K158" s="11" t="n">
        <x:v>20</x:v>
      </x:c>
      <x:c r="L158" s="11" t="n">
        <x:v>0</x:v>
      </x:c>
      <x:c r="M158" s="11" t="n">
        <x:v>40</x:v>
      </x:c>
      <x:c r="N158" s="11" t="n">
        <x:v>20</x:v>
      </x:c>
      <x:c r="O158" s="11" t="n">
        <x:v>5</x:v>
      </x:c>
      <x:c r="P158" s="11" t="n">
        <x:v>15</x:v>
      </x:c>
      <x:c r="Q158" s="11" t="str">
        <x:v>净母盈利扣正常成本税息及股酬，PE不再加减现金债；基准回报与高融资/低利用尾部并看；四条日均线价上与向上、20/60市场超额正；当日放量下跌而短均量低，近期高点尚未突破；实验室13.7%、CDMO32.8%、新订单30%以上、85%CDMO由发现客户；现金同比降/海外低效需验证；早期融资回暖、商业GLP1与新分子外包；非所有订单都长年增长，跨境政策保留；年报与订单转收入、生产检查及大项目、2027CB偿付或转股影响；无药品临床权属rNPV；H1银行6.474bn/可转债2.18bn且2027到期、资本开支与基金投入、股权融资/关联交易风险</x:v>
      </x:c>
    </x:row>
    <x:row r="159" ht="23" customHeight="1">
      <x:c r="A159" s="11" t="str">
        <x:v>09992.HK</x:v>
      </x:c>
      <x:c r="B159" s="11" t="str">
        <x:v>泡泡玛特</x:v>
      </x:c>
      <x:c r="C159" s="11" t="str">
        <x:v>半年</x:v>
      </x:c>
      <x:c r="D159" s="33" t="n">
        <x:v>2.9</x:v>
      </x:c>
      <x:c r="E159" s="33" t="n">
        <x:v>2.8</x:v>
      </x:c>
      <x:c r="F159" s="33" t="n">
        <x:v>3.2</x:v>
      </x:c>
      <x:c r="G159" s="33" t="n">
        <x:v>2.8</x:v>
      </x:c>
      <x:c r="H159" s="33" t="n">
        <x:v>3</x:v>
      </x:c>
      <x:c r="I159" s="33" t="n">
        <x:v>3.7</x:v>
      </x:c>
      <x:c r="J159" s="34" t="n">
        <x:f>SUMPRODUCT(D159:I159,K159:P159)/5</x:f>
        <x:v>59.9</x:v>
      </x:c>
      <x:c r="K159" s="11" t="n">
        <x:v>25</x:v>
      </x:c>
      <x:c r="L159" s="11" t="n">
        <x:v>30</x:v>
      </x:c>
      <x:c r="M159" s="11" t="n">
        <x:v>15</x:v>
      </x:c>
      <x:c r="N159" s="11" t="n">
        <x:v>10</x:v>
      </x:c>
      <x:c r="O159" s="11" t="n">
        <x:v>10</x:v>
      </x:c>
      <x:c r="P159" s="11" t="n">
        <x:v>10</x:v>
      </x:c>
      <x:c r="Q159" s="11" t="str">
        <x:v>FY2025 EPS9.58约14.45倍历史，爆发高基数不可直接长期化；一年基准修复有条件，海外下降与库存制约估值；低20/60/120/250日线，近期窄幅震荡，上下量1.424；60日落后恒指6.211pp但领先恒科3.769pp，未量能突破；IP平台与PRC渠道成长，H1收入+23.8%调整集团利润仅+9.5%，海外跌11.1%、THEMONSTERS跌7.47%；情绪消费长空间但潮流和可选消费周期高，海外高基数正常化；非硬必需消费；季末经营、库存、海外线下与新品IP真实销售、回购执行；计划不当已完成；无银行借债，现金定存14.164bn但租赁3.728bn、库存201日、OCF降39.15%，SBC与创始人治理需监控</x:v>
      </x:c>
    </x:row>
    <x:row r="160" ht="23" customHeight="1">
      <x:c r="A160" s="11" t="str">
        <x:v>09992.HK</x:v>
      </x:c>
      <x:c r="B160" s="11" t="str">
        <x:v>泡泡玛特</x:v>
      </x:c>
      <x:c r="C160" s="11" t="str">
        <x:v>一年</x:v>
      </x:c>
      <x:c r="D160" s="33" t="n">
        <x:v>3.3</x:v>
      </x:c>
      <x:c r="E160" s="33" t="n">
        <x:v>2.8</x:v>
      </x:c>
      <x:c r="F160" s="33" t="n">
        <x:v>3.6</x:v>
      </x:c>
      <x:c r="G160" s="33" t="n">
        <x:v>3.3</x:v>
      </x:c>
      <x:c r="H160" s="33" t="n">
        <x:v>3.3</x:v>
      </x:c>
      <x:c r="I160" s="33" t="n">
        <x:v>3.7</x:v>
      </x:c>
      <x:c r="J160" s="34" t="n">
        <x:f>SUMPRODUCT(D160:I160,K160:P160)/5</x:f>
        <x:v>66.8</x:v>
      </x:c>
      <x:c r="K160" s="11" t="n">
        <x:v>25</x:v>
      </x:c>
      <x:c r="L160" s="11" t="n">
        <x:v>15</x:v>
      </x:c>
      <x:c r="M160" s="11" t="n">
        <x:v>25</x:v>
      </x:c>
      <x:c r="N160" s="11" t="n">
        <x:v>15</x:v>
      </x:c>
      <x:c r="O160" s="11" t="n">
        <x:v>10</x:v>
      </x:c>
      <x:c r="P160" s="11" t="n">
        <x:v>10</x:v>
      </x:c>
      <x:c r="Q160" s="11" t="str">
        <x:v>FY2025 EPS9.58约14.45倍历史，爆发高基数不可直接长期化；一年基准修复有条件，海外下降与库存制约估值；低20/60/120/250日线，近期窄幅震荡，上下量1.424；60日落后恒指6.211pp但领先恒科3.769pp，未量能突破；IP平台与PRC渠道成长，H1收入+23.8%调整集团利润仅+9.5%，海外跌11.1%、THEMONSTERS跌7.47%；情绪消费长空间但潮流和可选消费周期高，海外高基数正常化；非硬必需消费；季末经营、库存、海外线下与新品IP真实销售、回购执行；计划不当已完成；无银行借债，现金定存14.164bn但租赁3.728bn、库存201日、OCF降39.15%，SBC与创始人治理需监控</x:v>
      </x:c>
    </x:row>
    <x:row r="161" ht="23" customHeight="1">
      <x:c r="A161" s="11" t="str">
        <x:v>09992.HK</x:v>
      </x:c>
      <x:c r="B161" s="11" t="str">
        <x:v>泡泡玛特</x:v>
      </x:c>
      <x:c r="C161" s="11" t="str">
        <x:v>三年</x:v>
      </x:c>
      <x:c r="D161" s="33" t="n">
        <x:v>3.8</x:v>
      </x:c>
      <x:c r="E161" s="33" t="n">
        <x:v>2.8</x:v>
      </x:c>
      <x:c r="F161" s="33" t="n">
        <x:v>3.9</x:v>
      </x:c>
      <x:c r="G161" s="33" t="n">
        <x:v>3.8</x:v>
      </x:c>
      <x:c r="H161" s="33" t="n">
        <x:v>3.5</x:v>
      </x:c>
      <x:c r="I161" s="33" t="n">
        <x:v>3.5</x:v>
      </x:c>
      <x:c r="J161" s="34" t="n">
        <x:f>SUMPRODUCT(D161:I161,K161:P161)/5</x:f>
        <x:v>74.8</x:v>
      </x:c>
      <x:c r="K161" s="11" t="n">
        <x:v>25</x:v>
      </x:c>
      <x:c r="L161" s="11" t="n">
        <x:v>5</x:v>
      </x:c>
      <x:c r="M161" s="11" t="n">
        <x:v>35</x:v>
      </x:c>
      <x:c r="N161" s="11" t="n">
        <x:v>20</x:v>
      </x:c>
      <x:c r="O161" s="11" t="n">
        <x:v>5</x:v>
      </x:c>
      <x:c r="P161" s="11" t="n">
        <x:v>10</x:v>
      </x:c>
      <x:c r="Q161" s="11" t="str">
        <x:v>FY2025 EPS9.58约14.45倍历史，爆发高基数不可直接长期化；一年基准修复有条件，海外下降与库存制约估值；低20/60/120/250日线，近期窄幅震荡，上下量1.424；60日落后恒指6.211pp但领先恒科3.769pp，未量能突破；IP平台与PRC渠道成长，H1收入+23.8%调整集团利润仅+9.5%，海外跌11.1%、THEMONSTERS跌7.47%；情绪消费长空间但潮流和可选消费周期高，海外高基数正常化；非硬必需消费；季末经营、库存、海外线下与新品IP真实销售、回购执行；计划不当已完成；无银行借债，现金定存14.164bn但租赁3.728bn、库存201日、OCF降39.15%，SBC与创始人治理需监控</x:v>
      </x:c>
    </x:row>
    <x:row r="162" ht="23" customHeight="1">
      <x:c r="A162" s="11" t="str">
        <x:v>09992.HK</x:v>
      </x:c>
      <x:c r="B162" s="11" t="str">
        <x:v>泡泡玛特</x:v>
      </x:c>
      <x:c r="C162" s="11" t="str">
        <x:v>五年</x:v>
      </x:c>
      <x:c r="D162" s="33" t="n">
        <x:v>3.8</x:v>
      </x:c>
      <x:c r="E162" s="33" t="n">
        <x:v>2.8</x:v>
      </x:c>
      <x:c r="F162" s="33" t="n">
        <x:v>4</x:v>
      </x:c>
      <x:c r="G162" s="33" t="n">
        <x:v>3.8</x:v>
      </x:c>
      <x:c r="H162" s="33" t="n">
        <x:v>3.5</x:v>
      </x:c>
      <x:c r="I162" s="33" t="n">
        <x:v>3.3</x:v>
      </x:c>
      <x:c r="J162" s="34" t="n">
        <x:f>SUMPRODUCT(D162:I162,K162:P162)/5</x:f>
        <x:v>75.8</x:v>
      </x:c>
      <x:c r="K162" s="11" t="n">
        <x:v>20</x:v>
      </x:c>
      <x:c r="L162" s="11" t="n">
        <x:v>0</x:v>
      </x:c>
      <x:c r="M162" s="11" t="n">
        <x:v>40</x:v>
      </x:c>
      <x:c r="N162" s="11" t="n">
        <x:v>20</x:v>
      </x:c>
      <x:c r="O162" s="11" t="n">
        <x:v>5</x:v>
      </x:c>
      <x:c r="P162" s="11" t="n">
        <x:v>15</x:v>
      </x:c>
      <x:c r="Q162" s="11" t="str">
        <x:v>FY2025 EPS9.58约14.45倍历史，爆发高基数不可直接长期化；一年基准修复有条件，海外下降与库存制约估值；低20/60/120/250日线，近期窄幅震荡，上下量1.424；60日落后恒指6.211pp但领先恒科3.769pp，未量能突破；IP平台与PRC渠道成长，H1收入+23.8%调整集团利润仅+9.5%，海外跌11.1%、THEMONSTERS跌7.47%；情绪消费长空间但潮流和可选消费周期高，海外高基数正常化；非硬必需消费；季末经营、库存、海外线下与新品IP真实销售、回购执行；计划不当已完成；无银行借债，现金定存14.164bn但租赁3.728bn、库存201日、OCF降39.15%，SBC与创始人治理需监控</x:v>
      </x:c>
    </x:row>
    <x:row r="163" ht="23" customHeight="1">
      <x:c r="A163" s="11" t="str">
        <x:v>300363.SZ</x:v>
      </x:c>
      <x:c r="B163" s="11" t="str">
        <x:v>博腾股份</x:v>
      </x:c>
      <x:c r="C163" s="11" t="str">
        <x:v>半年</x:v>
      </x:c>
      <x:c r="D163" s="33" t="n">
        <x:v>1.9</x:v>
      </x:c>
      <x:c r="E163" s="33" t="n">
        <x:v>3.5</x:v>
      </x:c>
      <x:c r="F163" s="33" t="n">
        <x:v>3.3</x:v>
      </x:c>
      <x:c r="G163" s="33" t="n">
        <x:v>3.9</x:v>
      </x:c>
      <x:c r="H163" s="33" t="n">
        <x:v>3.1</x:v>
      </x:c>
      <x:c r="I163" s="33" t="n">
        <x:v>2.5</x:v>
      </x:c>
      <x:c r="J163" s="34" t="n">
        <x:f>SUMPRODUCT(D163:I163,K163:P163)/5</x:f>
        <x:v>59.4</x:v>
      </x:c>
      <x:c r="K163" s="11" t="n">
        <x:v>25</x:v>
      </x:c>
      <x:c r="L163" s="11" t="n">
        <x:v>30</x:v>
      </x:c>
      <x:c r="M163" s="11" t="n">
        <x:v>15</x:v>
      </x:c>
      <x:c r="N163" s="11" t="n">
        <x:v>10</x:v>
      </x:c>
      <x:c r="O163" s="11" t="n">
        <x:v>10</x:v>
      </x:c>
      <x:c r="P163" s="11" t="n">
        <x:v>10</x:v>
      </x:c>
      <x:c r="Q163" s="11" t="str">
        <x:v>FY2025 .18EPS对应131.56倍，报告TTM亏损不适用PE；一年基准24元约持平，三年42元需要利润兑现；在线上且20/60日超宽基28.31/51.25pp，但5/20/60均量递减、MACD柱很小、250日线下斜，非无条件突破；后期商业化24.29%/45.28GM，但早期-28.57%/13.9GM、新业务合计亏122.81m，控亏仍需兑现；外包、新分子及全球创新药需求有增长，研发融资与供应链区域化风险同时存在；奉贤扩产预计2027Q1、PV项目转化与新业务订单；授权许可/审计并非终端临床成功或确定销售；退出海外资产损失、内部全资提供融资而少数未同比支持、控制人个人质押13.51%总股、激励费和资本占用</x:v>
      </x:c>
    </x:row>
    <x:row r="164" ht="23" customHeight="1">
      <x:c r="A164" s="11" t="str">
        <x:v>300363.SZ</x:v>
      </x:c>
      <x:c r="B164" s="11" t="str">
        <x:v>博腾股份</x:v>
      </x:c>
      <x:c r="C164" s="11" t="str">
        <x:v>一年</x:v>
      </x:c>
      <x:c r="D164" s="33" t="n">
        <x:v>2.4</x:v>
      </x:c>
      <x:c r="E164" s="33" t="n">
        <x:v>3.5</x:v>
      </x:c>
      <x:c r="F164" s="33" t="n">
        <x:v>3.5</x:v>
      </x:c>
      <x:c r="G164" s="33" t="n">
        <x:v>3.9</x:v>
      </x:c>
      <x:c r="H164" s="33" t="n">
        <x:v>3.3</x:v>
      </x:c>
      <x:c r="I164" s="33" t="n">
        <x:v>2.5</x:v>
      </x:c>
      <x:c r="J164" s="34" t="n">
        <x:f>SUMPRODUCT(D164:I164,K164:P164)/5</x:f>
        <x:v>63.3</x:v>
      </x:c>
      <x:c r="K164" s="11" t="n">
        <x:v>25</x:v>
      </x:c>
      <x:c r="L164" s="11" t="n">
        <x:v>15</x:v>
      </x:c>
      <x:c r="M164" s="11" t="n">
        <x:v>25</x:v>
      </x:c>
      <x:c r="N164" s="11" t="n">
        <x:v>15</x:v>
      </x:c>
      <x:c r="O164" s="11" t="n">
        <x:v>10</x:v>
      </x:c>
      <x:c r="P164" s="11" t="n">
        <x:v>10</x:v>
      </x:c>
      <x:c r="Q164" s="11" t="str">
        <x:v>FY2025 .18EPS对应131.56倍，报告TTM亏损不适用PE；一年基准24元约持平，三年42元需要利润兑现；在线上且20/60日超宽基28.31/51.25pp，但5/20/60均量递减、MACD柱很小、250日线下斜，非无条件突破；后期商业化24.29%/45.28GM，但早期-28.57%/13.9GM、新业务合计亏122.81m，控亏仍需兑现；外包、新分子及全球创新药需求有增长，研发融资与供应链区域化风险同时存在；奉贤扩产预计2027Q1、PV项目转化与新业务订单；授权许可/审计并非终端临床成功或确定销售；退出海外资产损失、内部全资提供融资而少数未同比支持、控制人个人质押13.51%总股、激励费和资本占用</x:v>
      </x:c>
    </x:row>
    <x:row r="165" ht="23" customHeight="1">
      <x:c r="A165" s="11" t="str">
        <x:v>300363.SZ</x:v>
      </x:c>
      <x:c r="B165" s="11" t="str">
        <x:v>博腾股份</x:v>
      </x:c>
      <x:c r="C165" s="11" t="str">
        <x:v>三年</x:v>
      </x:c>
      <x:c r="D165" s="33" t="n">
        <x:v>3.7</x:v>
      </x:c>
      <x:c r="E165" s="33" t="n">
        <x:v>3.5</x:v>
      </x:c>
      <x:c r="F165" s="33" t="n">
        <x:v>3.9</x:v>
      </x:c>
      <x:c r="G165" s="33" t="n">
        <x:v>4</x:v>
      </x:c>
      <x:c r="H165" s="33" t="n">
        <x:v>3.5</x:v>
      </x:c>
      <x:c r="I165" s="33" t="n">
        <x:v>2.7</x:v>
      </x:c>
      <x:c r="J165" s="34" t="n">
        <x:f>SUMPRODUCT(D165:I165,K165:P165)/5</x:f>
        <x:v>74.2</x:v>
      </x:c>
      <x:c r="K165" s="11" t="n">
        <x:v>25</x:v>
      </x:c>
      <x:c r="L165" s="11" t="n">
        <x:v>5</x:v>
      </x:c>
      <x:c r="M165" s="11" t="n">
        <x:v>35</x:v>
      </x:c>
      <x:c r="N165" s="11" t="n">
        <x:v>20</x:v>
      </x:c>
      <x:c r="O165" s="11" t="n">
        <x:v>5</x:v>
      </x:c>
      <x:c r="P165" s="11" t="n">
        <x:v>10</x:v>
      </x:c>
      <x:c r="Q165" s="11" t="str">
        <x:v>FY2025 .18EPS对应131.56倍，报告TTM亏损不适用PE；一年基准24元约持平，三年42元需要利润兑现；在线上且20/60日超宽基28.31/51.25pp，但5/20/60均量递减、MACD柱很小、250日线下斜，非无条件突破；后期商业化24.29%/45.28GM，但早期-28.57%/13.9GM、新业务合计亏122.81m，控亏仍需兑现；外包、新分子及全球创新药需求有增长，研发融资与供应链区域化风险同时存在；奉贤扩产预计2027Q1、PV项目转化与新业务订单；授权许可/审计并非终端临床成功或确定销售；退出海外资产损失、内部全资提供融资而少数未同比支持、控制人个人质押13.51%总股、激励费和资本占用</x:v>
      </x:c>
    </x:row>
    <x:row r="166" ht="23" customHeight="1">
      <x:c r="A166" s="11" t="str">
        <x:v>300363.SZ</x:v>
      </x:c>
      <x:c r="B166" s="11" t="str">
        <x:v>博腾股份</x:v>
      </x:c>
      <x:c r="C166" s="11" t="str">
        <x:v>五年</x:v>
      </x:c>
      <x:c r="D166" s="33" t="n">
        <x:v>3.7</x:v>
      </x:c>
      <x:c r="E166" s="33" t="n">
        <x:v>3.5</x:v>
      </x:c>
      <x:c r="F166" s="33" t="n">
        <x:v>4</x:v>
      </x:c>
      <x:c r="G166" s="33" t="n">
        <x:v>4</x:v>
      </x:c>
      <x:c r="H166" s="33" t="n">
        <x:v>3.5</x:v>
      </x:c>
      <x:c r="I166" s="33" t="n">
        <x:v>2.8</x:v>
      </x:c>
      <x:c r="J166" s="34" t="n">
        <x:f>SUMPRODUCT(D166:I166,K166:P166)/5</x:f>
        <x:v>74.7</x:v>
      </x:c>
      <x:c r="K166" s="11" t="n">
        <x:v>20</x:v>
      </x:c>
      <x:c r="L166" s="11" t="n">
        <x:v>0</x:v>
      </x:c>
      <x:c r="M166" s="11" t="n">
        <x:v>40</x:v>
      </x:c>
      <x:c r="N166" s="11" t="n">
        <x:v>20</x:v>
      </x:c>
      <x:c r="O166" s="11" t="n">
        <x:v>5</x:v>
      </x:c>
      <x:c r="P166" s="11" t="n">
        <x:v>15</x:v>
      </x:c>
      <x:c r="Q166" s="11" t="str">
        <x:v>FY2025 .18EPS对应131.56倍，报告TTM亏损不适用PE；一年基准24元约持平，三年42元需要利润兑现；在线上且20/60日超宽基28.31/51.25pp，但5/20/60均量递减、MACD柱很小、250日线下斜，非无条件突破；后期商业化24.29%/45.28GM，但早期-28.57%/13.9GM、新业务合计亏122.81m，控亏仍需兑现；外包、新分子及全球创新药需求有增长，研发融资与供应链区域化风险同时存在；奉贤扩产预计2027Q1、PV项目转化与新业务订单；授权许可/审计并非终端临床成功或确定销售；退出海外资产损失、内部全资提供融资而少数未同比支持、控制人个人质押13.51%总股、激励费和资本占用</x:v>
      </x:c>
    </x:row>
    <x:row r="167" ht="23" customHeight="1">
      <x:c r="A167" s="11" t="str">
        <x:v>09995.HK</x:v>
      </x:c>
      <x:c r="B167" s="11" t="str">
        <x:v>荣昌生物</x:v>
      </x:c>
      <x:c r="C167" s="11" t="str">
        <x:v>半年</x:v>
      </x:c>
      <x:c r="D167" s="33" t="n">
        <x:v>1.1</x:v>
      </x:c>
      <x:c r="E167" s="33" t="n">
        <x:v>1.2</x:v>
      </x:c>
      <x:c r="F167" s="33" t="n">
        <x:v>3.7</x:v>
      </x:c>
      <x:c r="G167" s="33" t="n">
        <x:v>4.3</x:v>
      </x:c>
      <x:c r="H167" s="33" t="n">
        <x:v>4.3</x:v>
      </x:c>
      <x:c r="I167" s="33" t="n">
        <x:v>2.3</x:v>
      </x:c>
      <x:c r="J167" s="34" t="n">
        <x:f>SUMPRODUCT(D167:I167,K167:P167)/5</x:f>
        <x:v>45.6</x:v>
      </x:c>
      <x:c r="K167" s="11" t="n">
        <x:v>25</x:v>
      </x:c>
      <x:c r="L167" s="11" t="n">
        <x:v>30</x:v>
      </x:c>
      <x:c r="M167" s="11" t="n">
        <x:v>15</x:v>
      </x:c>
      <x:c r="N167" s="11" t="n">
        <x:v>10</x:v>
      </x:c>
      <x:c r="O167" s="11" t="n">
        <x:v>10</x:v>
      </x:c>
      <x:c r="P167" s="11" t="n">
        <x:v>10</x:v>
      </x:c>
      <x:c r="Q167" s="11" t="str">
        <x:v>基准半年无正收益，一年仅2.03%，三年年化4.80%/五年3.19%；长期尾部与临床/股数风险宽，现价需超预期，不能用右尾期望替代估值安全边际；价格低于所有日均线，20/60相对市场及行业负；缩量下跌不是底部确认；产品H1+23.34%与海外授权降成本；高利润含650mUSD许可与非现金Vor增值，现金要剔除首款验证；自身免疫需求、IgAN/SD与ADC前线空间；支付和竞争压净价；全球gMG2027H1读出预期、RC148全球phase3、RC48/RC18国内新适应症；RC28DME撤申请；银行债明显减少但仍有用途/研发、双层融资股数和临床风险，Vor不能当无风险现金</x:v>
      </x:c>
    </x:row>
    <x:row r="168" ht="23" customHeight="1">
      <x:c r="A168" s="11" t="str">
        <x:v>09995.HK</x:v>
      </x:c>
      <x:c r="B168" s="11" t="str">
        <x:v>荣昌生物</x:v>
      </x:c>
      <x:c r="C168" s="11" t="str">
        <x:v>一年</x:v>
      </x:c>
      <x:c r="D168" s="33" t="n">
        <x:v>1.5</x:v>
      </x:c>
      <x:c r="E168" s="33" t="n">
        <x:v>1.2</x:v>
      </x:c>
      <x:c r="F168" s="33" t="n">
        <x:v>4</x:v>
      </x:c>
      <x:c r="G168" s="33" t="n">
        <x:v>4.4</x:v>
      </x:c>
      <x:c r="H168" s="33" t="n">
        <x:v>4.5</x:v>
      </x:c>
      <x:c r="I168" s="33" t="n">
        <x:v>2.3</x:v>
      </x:c>
      <x:c r="J168" s="34" t="n">
        <x:f>SUMPRODUCT(D168:I168,K168:P168)/5</x:f>
        <x:v>57.9</x:v>
      </x:c>
      <x:c r="K168" s="11" t="n">
        <x:v>25</x:v>
      </x:c>
      <x:c r="L168" s="11" t="n">
        <x:v>15</x:v>
      </x:c>
      <x:c r="M168" s="11" t="n">
        <x:v>25</x:v>
      </x:c>
      <x:c r="N168" s="11" t="n">
        <x:v>15</x:v>
      </x:c>
      <x:c r="O168" s="11" t="n">
        <x:v>10</x:v>
      </x:c>
      <x:c r="P168" s="11" t="n">
        <x:v>10</x:v>
      </x:c>
      <x:c r="Q168" s="11" t="str">
        <x:v>基准半年无正收益，一年仅2.03%，三年年化4.80%/五年3.19%；长期尾部与临床/股数风险宽，现价需超预期，不能用右尾期望替代估值安全边际；价格低于所有日均线，20/60相对市场及行业负；缩量下跌不是底部确认；产品H1+23.34%与海外授权降成本；高利润含650mUSD许可与非现金Vor增值，现金要剔除首款验证；自身免疫需求、IgAN/SD与ADC前线空间；支付和竞争压净价；全球gMG2027H1读出预期、RC148全球phase3、RC48/RC18国内新适应症；RC28DME撤申请；银行债明显减少但仍有用途/研发、双层融资股数和临床风险，Vor不能当无风险现金</x:v>
      </x:c>
    </x:row>
    <x:row r="169" ht="23" customHeight="1">
      <x:c r="A169" s="11" t="str">
        <x:v>09995.HK</x:v>
      </x:c>
      <x:c r="B169" s="11" t="str">
        <x:v>荣昌生物</x:v>
      </x:c>
      <x:c r="C169" s="11" t="str">
        <x:v>三年</x:v>
      </x:c>
      <x:c r="D169" s="33" t="n">
        <x:v>1.8</x:v>
      </x:c>
      <x:c r="E169" s="33" t="n">
        <x:v>1.2</x:v>
      </x:c>
      <x:c r="F169" s="33" t="n">
        <x:v>4.2</x:v>
      </x:c>
      <x:c r="G169" s="33" t="n">
        <x:v>4.5</x:v>
      </x:c>
      <x:c r="H169" s="33" t="n">
        <x:v>4.3</x:v>
      </x:c>
      <x:c r="I169" s="33" t="n">
        <x:v>2.2</x:v>
      </x:c>
      <x:c r="J169" s="34" t="n">
        <x:f>SUMPRODUCT(D169:I169,K169:P169)/5</x:f>
        <x:v>66.3</x:v>
      </x:c>
      <x:c r="K169" s="11" t="n">
        <x:v>25</x:v>
      </x:c>
      <x:c r="L169" s="11" t="n">
        <x:v>5</x:v>
      </x:c>
      <x:c r="M169" s="11" t="n">
        <x:v>35</x:v>
      </x:c>
      <x:c r="N169" s="11" t="n">
        <x:v>20</x:v>
      </x:c>
      <x:c r="O169" s="11" t="n">
        <x:v>5</x:v>
      </x:c>
      <x:c r="P169" s="11" t="n">
        <x:v>10</x:v>
      </x:c>
      <x:c r="Q169" s="11" t="str">
        <x:v>基准半年无正收益，一年仅2.03%，三年年化4.80%/五年3.19%；长期尾部与临床/股数风险宽，现价需超预期，不能用右尾期望替代估值安全边际；价格低于所有日均线，20/60相对市场及行业负；缩量下跌不是底部确认；产品H1+23.34%与海外授权降成本；高利润含650mUSD许可与非现金Vor增值，现金要剔除首款验证；自身免疫需求、IgAN/SD与ADC前线空间；支付和竞争压净价；全球gMG2027H1读出预期、RC148全球phase3、RC48/RC18国内新适应症；RC28DME撤申请；银行债明显减少但仍有用途/研发、双层融资股数和临床风险，Vor不能当无风险现金</x:v>
      </x:c>
    </x:row>
    <x:row r="170" ht="23" customHeight="1">
      <x:c r="A170" s="11" t="str">
        <x:v>09995.HK</x:v>
      </x:c>
      <x:c r="B170" s="11" t="str">
        <x:v>荣昌生物</x:v>
      </x:c>
      <x:c r="C170" s="11" t="str">
        <x:v>五年</x:v>
      </x:c>
      <x:c r="D170" s="33" t="n">
        <x:v>1.9</x:v>
      </x:c>
      <x:c r="E170" s="33" t="n">
        <x:v>0</x:v>
      </x:c>
      <x:c r="F170" s="33" t="n">
        <x:v>4.2</x:v>
      </x:c>
      <x:c r="G170" s="33" t="n">
        <x:v>4.5</x:v>
      </x:c>
      <x:c r="H170" s="33" t="n">
        <x:v>4.1</x:v>
      </x:c>
      <x:c r="I170" s="33" t="n">
        <x:v>2.2</x:v>
      </x:c>
      <x:c r="J170" s="34" t="n">
        <x:f>SUMPRODUCT(D170:I170,K170:P170)/5</x:f>
        <x:v>69.9</x:v>
      </x:c>
      <x:c r="K170" s="11" t="n">
        <x:v>20</x:v>
      </x:c>
      <x:c r="L170" s="11" t="n">
        <x:v>0</x:v>
      </x:c>
      <x:c r="M170" s="11" t="n">
        <x:v>40</x:v>
      </x:c>
      <x:c r="N170" s="11" t="n">
        <x:v>20</x:v>
      </x:c>
      <x:c r="O170" s="11" t="n">
        <x:v>5</x:v>
      </x:c>
      <x:c r="P170" s="11" t="n">
        <x:v>15</x:v>
      </x:c>
      <x:c r="Q170" s="11" t="str">
        <x:v>基准半年无正收益，一年仅2.03%，三年年化4.80%/五年3.19%；长期尾部与临床/股数风险宽，现价需超预期，不能用右尾期望替代估值安全边际；价格低于所有日均线，20/60相对市场及行业负；缩量下跌不是底部确认；产品H1+23.34%与海外授权降成本；高利润含650mUSD许可与非现金Vor增值，现金要剔除首款验证；自身免疫需求、IgAN/SD与ADC前线空间；支付和竞争压净价；全球gMG2027H1读出预期、RC148全球phase3、RC48/RC18国内新适应症；RC28DME撤申请；银行债明显减少但仍有用途/研发、双层融资股数和临床风险，Vor不能当无风险现金</x:v>
      </x:c>
    </x:row>
    <x:row r="171" ht="23" customHeight="1">
      <x:c r="A171" s="11" t="str">
        <x:v>02607.HK</x:v>
      </x:c>
      <x:c r="B171" s="11" t="str">
        <x:v>上海医药</x:v>
      </x:c>
      <x:c r="C171" s="11" t="str">
        <x:v>半年</x:v>
      </x:c>
      <x:c r="D171" s="33" t="n">
        <x:v>3.4</x:v>
      </x:c>
      <x:c r="E171" s="33" t="n">
        <x:v>2.2</x:v>
      </x:c>
      <x:c r="F171" s="33" t="n">
        <x:v>3</x:v>
      </x:c>
      <x:c r="G171" s="33" t="n">
        <x:v>3.2</x:v>
      </x:c>
      <x:c r="H171" s="33" t="n">
        <x:v>3.2</x:v>
      </x:c>
      <x:c r="I171" s="33" t="n">
        <x:v>2.9</x:v>
      </x:c>
      <x:c r="J171" s="34" t="n">
        <x:f>SUMPRODUCT(D171:I171,K171:P171)/5</x:f>
        <x:v>57.8</x:v>
      </x:c>
      <x:c r="K171" s="11" t="n">
        <x:v>25</x:v>
      </x:c>
      <x:c r="L171" s="11" t="n">
        <x:v>30</x:v>
      </x:c>
      <x:c r="M171" s="11" t="n">
        <x:v>15</x:v>
      </x:c>
      <x:c r="N171" s="11" t="n">
        <x:v>10</x:v>
      </x:c>
      <x:c r="O171" s="11" t="n">
        <x:v>10</x:v>
      </x:c>
      <x:c r="P171" s="11" t="n">
        <x:v>10</x:v>
      </x:c>
      <x:c r="Q171" s="11" t="str">
        <x:v>现价按1.10研究换汇与正常化EPS1.22约8.22倍；一年基准+39.6%，报告低PE部分来自一次性收益，正常化并非无条件极便宜；20日短反弹且超恒指2.96pp，60日落后5.51pp；60/120/250线微降、量比1.043、上涨/下跌量.656，无确认突破；H1扣非+17.98但管理调整+1.65，流通与工业不同盈利口径；渠道护城河需转成净利润和回款；老龄化和创新药渠道扩张支持需求，医保压价、医院支付和融资成本形成双向周期；Q3/年报持续盈利、Vitaco有条件交割、仿制新批及BCD085进度；旧已除净股息不是新买催化收益；现金等价32.28bn但银行/票据/租债58.91bn，净债26.62bn；应收90.77bn和商誉12.65bn，国企支持不等信用担保</x:v>
      </x:c>
    </x:row>
    <x:row r="172" ht="23" customHeight="1">
      <x:c r="A172" s="11" t="str">
        <x:v>02607.HK</x:v>
      </x:c>
      <x:c r="B172" s="11" t="str">
        <x:v>上海医药</x:v>
      </x:c>
      <x:c r="C172" s="11" t="str">
        <x:v>一年</x:v>
      </x:c>
      <x:c r="D172" s="33" t="n">
        <x:v>3.7</x:v>
      </x:c>
      <x:c r="E172" s="33" t="n">
        <x:v>2.2</x:v>
      </x:c>
      <x:c r="F172" s="33" t="n">
        <x:v>3.2</x:v>
      </x:c>
      <x:c r="G172" s="33" t="n">
        <x:v>3.3</x:v>
      </x:c>
      <x:c r="H172" s="33" t="n">
        <x:v>3.1</x:v>
      </x:c>
      <x:c r="I172" s="33" t="n">
        <x:v>3</x:v>
      </x:c>
      <x:c r="J172" s="34" t="n">
        <x:f>SUMPRODUCT(D172:I172,K172:P172)/5</x:f>
        <x:v>63.2</x:v>
      </x:c>
      <x:c r="K172" s="11" t="n">
        <x:v>25</x:v>
      </x:c>
      <x:c r="L172" s="11" t="n">
        <x:v>15</x:v>
      </x:c>
      <x:c r="M172" s="11" t="n">
        <x:v>25</x:v>
      </x:c>
      <x:c r="N172" s="11" t="n">
        <x:v>15</x:v>
      </x:c>
      <x:c r="O172" s="11" t="n">
        <x:v>10</x:v>
      </x:c>
      <x:c r="P172" s="11" t="n">
        <x:v>10</x:v>
      </x:c>
      <x:c r="Q172" s="11" t="str">
        <x:v>现价按1.10研究换汇与正常化EPS1.22约8.22倍；一年基准+39.6%，报告低PE部分来自一次性收益，正常化并非无条件极便宜；20日短反弹且超恒指2.96pp，60日落后5.51pp；60/120/250线微降、量比1.043、上涨/下跌量.656，无确认突破；H1扣非+17.98但管理调整+1.65，流通与工业不同盈利口径；渠道护城河需转成净利润和回款；老龄化和创新药渠道扩张支持需求，医保压价、医院支付和融资成本形成双向周期；Q3/年报持续盈利、Vitaco有条件交割、仿制新批及BCD085进度；旧已除净股息不是新买催化收益；现金等价32.28bn但银行/票据/租债58.91bn，净债26.62bn；应收90.77bn和商誉12.65bn，国企支持不等信用担保</x:v>
      </x:c>
    </x:row>
    <x:row r="173" ht="23" customHeight="1">
      <x:c r="A173" s="11" t="str">
        <x:v>02607.HK</x:v>
      </x:c>
      <x:c r="B173" s="11" t="str">
        <x:v>上海医药</x:v>
      </x:c>
      <x:c r="C173" s="11" t="str">
        <x:v>三年</x:v>
      </x:c>
      <x:c r="D173" s="33" t="n">
        <x:v>3.6</x:v>
      </x:c>
      <x:c r="E173" s="33" t="n">
        <x:v>2.2</x:v>
      </x:c>
      <x:c r="F173" s="33" t="n">
        <x:v>3.4</x:v>
      </x:c>
      <x:c r="G173" s="33" t="n">
        <x:v>3.5</x:v>
      </x:c>
      <x:c r="H173" s="33" t="n">
        <x:v>3.1</x:v>
      </x:c>
      <x:c r="I173" s="33" t="n">
        <x:v>3</x:v>
      </x:c>
      <x:c r="J173" s="34" t="n">
        <x:f>SUMPRODUCT(D173:I173,K173:P173)/5</x:f>
        <x:v>67.1</x:v>
      </x:c>
      <x:c r="K173" s="11" t="n">
        <x:v>25</x:v>
      </x:c>
      <x:c r="L173" s="11" t="n">
        <x:v>5</x:v>
      </x:c>
      <x:c r="M173" s="11" t="n">
        <x:v>35</x:v>
      </x:c>
      <x:c r="N173" s="11" t="n">
        <x:v>20</x:v>
      </x:c>
      <x:c r="O173" s="11" t="n">
        <x:v>5</x:v>
      </x:c>
      <x:c r="P173" s="11" t="n">
        <x:v>10</x:v>
      </x:c>
      <x:c r="Q173" s="11" t="str">
        <x:v>现价按1.10研究换汇与正常化EPS1.22约8.22倍；一年基准+39.6%，报告低PE部分来自一次性收益，正常化并非无条件极便宜；20日短反弹且超恒指2.96pp，60日落后5.51pp；60/120/250线微降、量比1.043、上涨/下跌量.656，无确认突破；H1扣非+17.98但管理调整+1.65，流通与工业不同盈利口径；渠道护城河需转成净利润和回款；老龄化和创新药渠道扩张支持需求，医保压价、医院支付和融资成本形成双向周期；Q3/年报持续盈利、Vitaco有条件交割、仿制新批及BCD085进度；旧已除净股息不是新买催化收益；现金等价32.28bn但银行/票据/租债58.91bn，净债26.62bn；应收90.77bn和商誉12.65bn，国企支持不等信用担保</x:v>
      </x:c>
    </x:row>
    <x:row r="174" ht="23" customHeight="1">
      <x:c r="A174" s="11" t="str">
        <x:v>02607.HK</x:v>
      </x:c>
      <x:c r="B174" s="11" t="str">
        <x:v>上海医药</x:v>
      </x:c>
      <x:c r="C174" s="11" t="str">
        <x:v>五年</x:v>
      </x:c>
      <x:c r="D174" s="33" t="n">
        <x:v>3.3</x:v>
      </x:c>
      <x:c r="E174" s="33" t="n">
        <x:v>2.2</x:v>
      </x:c>
      <x:c r="F174" s="33" t="n">
        <x:v>3.5</x:v>
      </x:c>
      <x:c r="G174" s="33" t="n">
        <x:v>3.5</x:v>
      </x:c>
      <x:c r="H174" s="33" t="n">
        <x:v>3</x:v>
      </x:c>
      <x:c r="I174" s="33" t="n">
        <x:v>3</x:v>
      </x:c>
      <x:c r="J174" s="34" t="n">
        <x:f>SUMPRODUCT(D174:I174,K174:P174)/5</x:f>
        <x:v>67.2</x:v>
      </x:c>
      <x:c r="K174" s="11" t="n">
        <x:v>20</x:v>
      </x:c>
      <x:c r="L174" s="11" t="n">
        <x:v>0</x:v>
      </x:c>
      <x:c r="M174" s="11" t="n">
        <x:v>40</x:v>
      </x:c>
      <x:c r="N174" s="11" t="n">
        <x:v>20</x:v>
      </x:c>
      <x:c r="O174" s="11" t="n">
        <x:v>5</x:v>
      </x:c>
      <x:c r="P174" s="11" t="n">
        <x:v>15</x:v>
      </x:c>
      <x:c r="Q174" s="11" t="str">
        <x:v>现价按1.10研究换汇与正常化EPS1.22约8.22倍；一年基准+39.6%，报告低PE部分来自一次性收益，正常化并非无条件极便宜；20日短反弹且超恒指2.96pp，60日落后5.51pp；60/120/250线微降、量比1.043、上涨/下跌量.656，无确认突破；H1扣非+17.98但管理调整+1.65，流通与工业不同盈利口径；渠道护城河需转成净利润和回款；老龄化和创新药渠道扩张支持需求，医保压价、医院支付和融资成本形成双向周期；Q3/年报持续盈利、Vitaco有条件交割、仿制新批及BCD085进度；旧已除净股息不是新买催化收益；现金等价32.28bn但银行/票据/租债58.91bn，净债26.62bn；应收90.77bn和商誉12.65bn，国企支持不等信用担保</x:v>
      </x:c>
    </x:row>
    <x:row r="175" ht="23" customHeight="1">
      <x:c r="A175" s="11" t="str">
        <x:v>02096.HK</x:v>
      </x:c>
      <x:c r="B175" s="11" t="str">
        <x:v>先声药业</x:v>
      </x:c>
      <x:c r="C175" s="11" t="str">
        <x:v>半年</x:v>
      </x:c>
      <x:c r="D175" s="33" t="n">
        <x:v>3.5</x:v>
      </x:c>
      <x:c r="E175" s="33" t="n">
        <x:v>1.7</x:v>
      </x:c>
      <x:c r="F175" s="33" t="n">
        <x:v>4.1</x:v>
      </x:c>
      <x:c r="G175" s="33" t="n">
        <x:v>4.2</x:v>
      </x:c>
      <x:c r="H175" s="33" t="n">
        <x:v>4</x:v>
      </x:c>
      <x:c r="I175" s="33" t="n">
        <x:v>3.5</x:v>
      </x:c>
      <x:c r="J175" s="34" t="n">
        <x:f>SUMPRODUCT(D175:I175,K175:P175)/5</x:f>
        <x:v>63.4</x:v>
      </x:c>
      <x:c r="K175" s="11" t="n">
        <x:v>25</x:v>
      </x:c>
      <x:c r="L175" s="11" t="n">
        <x:v>30</x:v>
      </x:c>
      <x:c r="M175" s="11" t="n">
        <x:v>15</x:v>
      </x:c>
      <x:c r="N175" s="11" t="n">
        <x:v>10</x:v>
      </x:c>
      <x:c r="O175" s="11" t="n">
        <x:v>10</x:v>
      </x:c>
      <x:c r="P175" s="11" t="n">
        <x:v>10</x:v>
      </x:c>
      <x:c r="Q175" s="11" t="str">
        <x:v>正常利润剔除一次BD与投资，充分扣研发/销售/税和经济少数份额；多情景均保留失败和稀释；四条日均线之下且斜率负，日周MACD负；60日落后市场与创新药参考，日上涨平均量不支持强趋势；神经与自身免疫增长，产品销售净BD增长；抗肿瘤分部仍亏、推广费用高；卒中/失眠/免疫/RSV需求与支付增长；医保降价、竞争与临床证据限制；基药下沉、已批RSV预防、AD/流感NDA、SERD读出及分拆；前临床授权不等于临床成功；现金和定存充分但不能全属母；1.224bn赎回条款、控制集中、关联研发与股份激励</x:v>
      </x:c>
    </x:row>
    <x:row r="176" ht="23" customHeight="1">
      <x:c r="A176" s="11" t="str">
        <x:v>02096.HK</x:v>
      </x:c>
      <x:c r="B176" s="11" t="str">
        <x:v>先声药业</x:v>
      </x:c>
      <x:c r="C176" s="11" t="str">
        <x:v>一年</x:v>
      </x:c>
      <x:c r="D176" s="33" t="n">
        <x:v>3.9</x:v>
      </x:c>
      <x:c r="E176" s="33" t="n">
        <x:v>1.7</x:v>
      </x:c>
      <x:c r="F176" s="33" t="n">
        <x:v>4.2</x:v>
      </x:c>
      <x:c r="G176" s="33" t="n">
        <x:v>4.3</x:v>
      </x:c>
      <x:c r="H176" s="33" t="n">
        <x:v>4.2</x:v>
      </x:c>
      <x:c r="I176" s="33" t="n">
        <x:v>3.5</x:v>
      </x:c>
      <x:c r="J176" s="34" t="n">
        <x:f>SUMPRODUCT(D176:I176,K176:P176)/5</x:f>
        <x:v>73.9</x:v>
      </x:c>
      <x:c r="K176" s="11" t="n">
        <x:v>25</x:v>
      </x:c>
      <x:c r="L176" s="11" t="n">
        <x:v>15</x:v>
      </x:c>
      <x:c r="M176" s="11" t="n">
        <x:v>25</x:v>
      </x:c>
      <x:c r="N176" s="11" t="n">
        <x:v>15</x:v>
      </x:c>
      <x:c r="O176" s="11" t="n">
        <x:v>10</x:v>
      </x:c>
      <x:c r="P176" s="11" t="n">
        <x:v>10</x:v>
      </x:c>
      <x:c r="Q176" s="11" t="str">
        <x:v>正常利润剔除一次BD与投资，充分扣研发/销售/税和经济少数份额；多情景均保留失败和稀释；四条日均线之下且斜率负，日周MACD负；60日落后市场与创新药参考，日上涨平均量不支持强趋势；神经与自身免疫增长，产品销售净BD增长；抗肿瘤分部仍亏、推广费用高；卒中/失眠/免疫/RSV需求与支付增长；医保降价、竞争与临床证据限制；基药下沉、已批RSV预防、AD/流感NDA、SERD读出及分拆；前临床授权不等于临床成功；现金和定存充分但不能全属母；1.224bn赎回条款、控制集中、关联研发与股份激励</x:v>
      </x:c>
    </x:row>
    <x:row r="177" ht="23" customHeight="1">
      <x:c r="A177" s="11" t="str">
        <x:v>02096.HK</x:v>
      </x:c>
      <x:c r="B177" s="11" t="str">
        <x:v>先声药业</x:v>
      </x:c>
      <x:c r="C177" s="11" t="str">
        <x:v>三年</x:v>
      </x:c>
      <x:c r="D177" s="33" t="n">
        <x:v>3.9</x:v>
      </x:c>
      <x:c r="E177" s="33" t="n">
        <x:v>1.7</x:v>
      </x:c>
      <x:c r="F177" s="33" t="n">
        <x:v>4.2</x:v>
      </x:c>
      <x:c r="G177" s="33" t="n">
        <x:v>4.4</x:v>
      </x:c>
      <x:c r="H177" s="33" t="n">
        <x:v>4</x:v>
      </x:c>
      <x:c r="I177" s="33" t="n">
        <x:v>3.6</x:v>
      </x:c>
      <x:c r="J177" s="34" t="n">
        <x:f>SUMPRODUCT(D177:I177,K177:P177)/5</x:f>
        <x:v>79.4</x:v>
      </x:c>
      <x:c r="K177" s="11" t="n">
        <x:v>25</x:v>
      </x:c>
      <x:c r="L177" s="11" t="n">
        <x:v>5</x:v>
      </x:c>
      <x:c r="M177" s="11" t="n">
        <x:v>35</x:v>
      </x:c>
      <x:c r="N177" s="11" t="n">
        <x:v>20</x:v>
      </x:c>
      <x:c r="O177" s="11" t="n">
        <x:v>5</x:v>
      </x:c>
      <x:c r="P177" s="11" t="n">
        <x:v>10</x:v>
      </x:c>
      <x:c r="Q177" s="11" t="str">
        <x:v>正常利润剔除一次BD与投资，充分扣研发/销售/税和经济少数份额；多情景均保留失败和稀释；四条日均线之下且斜率负，日周MACD负；60日落后市场与创新药参考，日上涨平均量不支持强趋势；神经与自身免疫增长，产品销售净BD增长；抗肿瘤分部仍亏、推广费用高；卒中/失眠/免疫/RSV需求与支付增长；医保降价、竞争与临床证据限制；基药下沉、已批RSV预防、AD/流感NDA、SERD读出及分拆；前临床授权不等于临床成功；现金和定存充分但不能全属母；1.224bn赎回条款、控制集中、关联研发与股份激励</x:v>
      </x:c>
    </x:row>
    <x:row r="178" ht="23" customHeight="1">
      <x:c r="A178" s="11" t="str">
        <x:v>02096.HK</x:v>
      </x:c>
      <x:c r="B178" s="11" t="str">
        <x:v>先声药业</x:v>
      </x:c>
      <x:c r="C178" s="11" t="str">
        <x:v>五年</x:v>
      </x:c>
      <x:c r="D178" s="33" t="n">
        <x:v>3.8</x:v>
      </x:c>
      <x:c r="E178" s="33" t="n">
        <x:v>0</x:v>
      </x:c>
      <x:c r="F178" s="33" t="n">
        <x:v>4.2</x:v>
      </x:c>
      <x:c r="G178" s="33" t="n">
        <x:v>4.4</x:v>
      </x:c>
      <x:c r="H178" s="33" t="n">
        <x:v>3.8</x:v>
      </x:c>
      <x:c r="I178" s="33" t="n">
        <x:v>3.7</x:v>
      </x:c>
      <x:c r="J178" s="34" t="n">
        <x:f>SUMPRODUCT(D178:I178,K178:P178)/5</x:f>
        <x:v>81.3</x:v>
      </x:c>
      <x:c r="K178" s="11" t="n">
        <x:v>20</x:v>
      </x:c>
      <x:c r="L178" s="11" t="n">
        <x:v>0</x:v>
      </x:c>
      <x:c r="M178" s="11" t="n">
        <x:v>40</x:v>
      </x:c>
      <x:c r="N178" s="11" t="n">
        <x:v>20</x:v>
      </x:c>
      <x:c r="O178" s="11" t="n">
        <x:v>5</x:v>
      </x:c>
      <x:c r="P178" s="11" t="n">
        <x:v>15</x:v>
      </x:c>
      <x:c r="Q178" s="11" t="str">
        <x:v>正常利润剔除一次BD与投资，充分扣研发/销售/税和经济少数份额；多情景均保留失败和稀释；四条日均线之下且斜率负，日周MACD负；60日落后市场与创新药参考，日上涨平均量不支持强趋势；神经与自身免疫增长，产品销售净BD增长；抗肿瘤分部仍亏、推广费用高；卒中/失眠/免疫/RSV需求与支付增长；医保降价、竞争与临床证据限制；基药下沉、已批RSV预防、AD/流感NDA、SERD读出及分拆；前临床授权不等于临床成功；现金和定存充分但不能全属母；1.224bn赎回条款、控制集中、关联研发与股份激励</x:v>
      </x:c>
    </x:row>
    <x:row r="179" ht="23" customHeight="1">
      <x:c r="A179" s="11" t="str">
        <x:v>01177.HK</x:v>
      </x:c>
      <x:c r="B179" s="11" t="str">
        <x:v>中国生物制药</x:v>
      </x:c>
      <x:c r="C179" s="11" t="str">
        <x:v>半年</x:v>
      </x:c>
      <x:c r="D179" s="33" t="n">
        <x:v>4</x:v>
      </x:c>
      <x:c r="E179" s="33" t="n">
        <x:v>2.7</x:v>
      </x:c>
      <x:c r="F179" s="33" t="n">
        <x:v>4</x:v>
      </x:c>
      <x:c r="G179" s="33" t="n">
        <x:v>4</x:v>
      </x:c>
      <x:c r="H179" s="33" t="n">
        <x:v>4.4</x:v>
      </x:c>
      <x:c r="I179" s="33" t="n">
        <x:v>3.1</x:v>
      </x:c>
      <x:c r="J179" s="34" t="n">
        <x:f>SUMPRODUCT(D179:I179,K179:P179)/5</x:f>
        <x:v>71.2</x:v>
      </x:c>
      <x:c r="K179" s="11" t="n">
        <x:v>25</x:v>
      </x:c>
      <x:c r="L179" s="11" t="n">
        <x:v>30</x:v>
      </x:c>
      <x:c r="M179" s="11" t="n">
        <x:v>15</x:v>
      </x:c>
      <x:c r="N179" s="11" t="n">
        <x:v>10</x:v>
      </x:c>
      <x:c r="O179" s="11" t="n">
        <x:v>10</x:v>
      </x:c>
      <x:c r="P179" s="11" t="n">
        <x:v>10</x:v>
      </x:c>
      <x:c r="Q179" s="11" t="str">
        <x:v>5.41较近期公开外资7.2—10.8有空间；核心盈利去首付/投资，现金扣收购净债务，非直接采集团净现金；高60/120日、低20/250日，60日恒指超额7.38pp但日动量弱，周线反弹未全面反转；创新产品78.1亿增长29.2%、产品+5.6%；费用节省及基本利润仍含授权，未视为全持续；肿瘤/呼吸/肝病需求，仿制药医保和商业化准入，多个机制仍需临床证明；TQC3721十月三期完成入组、引进bepirovirsen审批及新适应症、STADA海外平台；合并少数权益与借款大、5%关联交易包含目标债务、现金/利润归属需穿透，承诺保持研发支出</x:v>
      </x:c>
    </x:row>
    <x:row r="180" ht="23" customHeight="1">
      <x:c r="A180" s="11" t="str">
        <x:v>01177.HK</x:v>
      </x:c>
      <x:c r="B180" s="11" t="str">
        <x:v>中国生物制药</x:v>
      </x:c>
      <x:c r="C180" s="11" t="str">
        <x:v>一年</x:v>
      </x:c>
      <x:c r="D180" s="33" t="n">
        <x:v>4.1</x:v>
      </x:c>
      <x:c r="E180" s="33" t="n">
        <x:v>2.7</x:v>
      </x:c>
      <x:c r="F180" s="33" t="n">
        <x:v>4.1</x:v>
      </x:c>
      <x:c r="G180" s="33" t="n">
        <x:v>4.2</x:v>
      </x:c>
      <x:c r="H180" s="33" t="n">
        <x:v>4.4</x:v>
      </x:c>
      <x:c r="I180" s="33" t="n">
        <x:v>3</x:v>
      </x:c>
      <x:c r="J180" s="34" t="n">
        <x:f>SUMPRODUCT(D180:I180,K180:P180)/5</x:f>
        <x:v>76.5</x:v>
      </x:c>
      <x:c r="K180" s="11" t="n">
        <x:v>25</x:v>
      </x:c>
      <x:c r="L180" s="11" t="n">
        <x:v>15</x:v>
      </x:c>
      <x:c r="M180" s="11" t="n">
        <x:v>25</x:v>
      </x:c>
      <x:c r="N180" s="11" t="n">
        <x:v>15</x:v>
      </x:c>
      <x:c r="O180" s="11" t="n">
        <x:v>10</x:v>
      </x:c>
      <x:c r="P180" s="11" t="n">
        <x:v>10</x:v>
      </x:c>
      <x:c r="Q180" s="11" t="str">
        <x:v>5.41较近期公开外资7.2—10.8有空间；核心盈利去首付/投资，现金扣收购净债务，非直接采集团净现金；高60/120日、低20/250日，60日恒指超额7.38pp但日动量弱，周线反弹未全面反转；创新产品78.1亿增长29.2%、产品+5.6%；费用节省及基本利润仍含授权，未视为全持续；肿瘤/呼吸/肝病需求，仿制药医保和商业化准入，多个机制仍需临床证明；TQC3721十月三期完成入组、引进bepirovirsen审批及新适应症、STADA海外平台；合并少数权益与借款大、5%关联交易包含目标债务、现金/利润归属需穿透，承诺保持研发支出</x:v>
      </x:c>
    </x:row>
    <x:row r="181" ht="23" customHeight="1">
      <x:c r="A181" s="11" t="str">
        <x:v>01177.HK</x:v>
      </x:c>
      <x:c r="B181" s="11" t="str">
        <x:v>中国生物制药</x:v>
      </x:c>
      <x:c r="C181" s="11" t="str">
        <x:v>三年</x:v>
      </x:c>
      <x:c r="D181" s="33" t="n">
        <x:v>4.2</x:v>
      </x:c>
      <x:c r="E181" s="33" t="n">
        <x:v>2.7</x:v>
      </x:c>
      <x:c r="F181" s="33" t="n">
        <x:v>4.3</x:v>
      </x:c>
      <x:c r="G181" s="33" t="n">
        <x:v>4.4</x:v>
      </x:c>
      <x:c r="H181" s="33" t="n">
        <x:v>4.2</x:v>
      </x:c>
      <x:c r="I181" s="33" t="n">
        <x:v>2.9</x:v>
      </x:c>
      <x:c r="J181" s="34" t="n">
        <x:f>SUMPRODUCT(D181:I181,K181:P181)/5</x:f>
        <x:v>81.4</x:v>
      </x:c>
      <x:c r="K181" s="11" t="n">
        <x:v>25</x:v>
      </x:c>
      <x:c r="L181" s="11" t="n">
        <x:v>5</x:v>
      </x:c>
      <x:c r="M181" s="11" t="n">
        <x:v>35</x:v>
      </x:c>
      <x:c r="N181" s="11" t="n">
        <x:v>20</x:v>
      </x:c>
      <x:c r="O181" s="11" t="n">
        <x:v>5</x:v>
      </x:c>
      <x:c r="P181" s="11" t="n">
        <x:v>10</x:v>
      </x:c>
      <x:c r="Q181" s="11" t="str">
        <x:v>5.41较近期公开外资7.2—10.8有空间；核心盈利去首付/投资，现金扣收购净债务，非直接采集团净现金；高60/120日、低20/250日，60日恒指超额7.38pp但日动量弱，周线反弹未全面反转；创新产品78.1亿增长29.2%、产品+5.6%；费用节省及基本利润仍含授权，未视为全持续；肿瘤/呼吸/肝病需求，仿制药医保和商业化准入，多个机制仍需临床证明；TQC3721十月三期完成入组、引进bepirovirsen审批及新适应症、STADA海外平台；合并少数权益与借款大、5%关联交易包含目标债务、现金/利润归属需穿透，承诺保持研发支出</x:v>
      </x:c>
    </x:row>
    <x:row r="182" ht="23" customHeight="1">
      <x:c r="A182" s="11" t="str">
        <x:v>01177.HK</x:v>
      </x:c>
      <x:c r="B182" s="11" t="str">
        <x:v>中国生物制药</x:v>
      </x:c>
      <x:c r="C182" s="11" t="str">
        <x:v>五年</x:v>
      </x:c>
      <x:c r="D182" s="33" t="n">
        <x:v>4</x:v>
      </x:c>
      <x:c r="E182" s="33" t="n">
        <x:v>0</x:v>
      </x:c>
      <x:c r="F182" s="33" t="n">
        <x:v>4.2</x:v>
      </x:c>
      <x:c r="G182" s="33" t="n">
        <x:v>4.3</x:v>
      </x:c>
      <x:c r="H182" s="33" t="n">
        <x:v>3.9</x:v>
      </x:c>
      <x:c r="I182" s="33" t="n">
        <x:v>2.8</x:v>
      </x:c>
      <x:c r="J182" s="34" t="n">
        <x:f>SUMPRODUCT(D182:I182,K182:P182)/5</x:f>
        <x:v>79.1</x:v>
      </x:c>
      <x:c r="K182" s="11" t="n">
        <x:v>20</x:v>
      </x:c>
      <x:c r="L182" s="11" t="n">
        <x:v>0</x:v>
      </x:c>
      <x:c r="M182" s="11" t="n">
        <x:v>40</x:v>
      </x:c>
      <x:c r="N182" s="11" t="n">
        <x:v>20</x:v>
      </x:c>
      <x:c r="O182" s="11" t="n">
        <x:v>5</x:v>
      </x:c>
      <x:c r="P182" s="11" t="n">
        <x:v>15</x:v>
      </x:c>
      <x:c r="Q182" s="11" t="str">
        <x:v>5.41较近期公开外资7.2—10.8有空间；核心盈利去首付/投资，现金扣收购净债务，非直接采集团净现金；高60/120日、低20/250日，60日恒指超额7.38pp但日动量弱，周线反弹未全面反转；创新产品78.1亿增长29.2%、产品+5.6%；费用节省及基本利润仍含授权，未视为全持续；肿瘤/呼吸/肝病需求，仿制药医保和商业化准入，多个机制仍需临床证明；TQC3721十月三期完成入组、引进bepirovirsen审批及新适应症、STADA海外平台；合并少数权益与借款大、5%关联交易包含目标债务、现金/利润归属需穿透，承诺保持研发支出</x:v>
      </x:c>
    </x:row>
    <x:row r="183" ht="23" customHeight="1">
      <x:c r="A183" s="11" t="str">
        <x:v>00981.HK</x:v>
      </x:c>
      <x:c r="B183" s="11" t="str">
        <x:v>中芯国际</x:v>
      </x:c>
      <x:c r="C183" s="11" t="str">
        <x:v>半年</x:v>
      </x:c>
      <x:c r="D183" s="33" t="n">
        <x:v>2.8</x:v>
      </x:c>
      <x:c r="E183" s="33" t="n">
        <x:v>1.6</x:v>
      </x:c>
      <x:c r="F183" s="33" t="n">
        <x:v>3.6</x:v>
      </x:c>
      <x:c r="G183" s="33" t="n">
        <x:v>4.2</x:v>
      </x:c>
      <x:c r="H183" s="33" t="n">
        <x:v>3.8</x:v>
      </x:c>
      <x:c r="I183" s="33" t="n">
        <x:v>2.7</x:v>
      </x:c>
      <x:c r="J183" s="34" t="n">
        <x:f>SUMPRODUCT(D183:I183,K183:P183)/5</x:f>
        <x:v>55.8</x:v>
      </x:c>
      <x:c r="K183" s="11" t="n">
        <x:v>25</x:v>
      </x:c>
      <x:c r="L183" s="11" t="n">
        <x:v>30</x:v>
      </x:c>
      <x:c r="M183" s="11" t="n">
        <x:v>15</x:v>
      </x:c>
      <x:c r="N183" s="11" t="n">
        <x:v>10</x:v>
      </x:c>
      <x:c r="O183" s="11" t="n">
        <x:v>10</x:v>
      </x:c>
      <x:c r="P183" s="11" t="n">
        <x:v>10</x:v>
      </x:c>
      <x:c r="Q183" s="11" t="str">
        <x:v>价格57.65约2.52倍归母净资产、H1扣非年化PE73；主模型一年52倍需成长实现，不能称传统低估值。极端悲观非资产底；低于20/60/120/250日线，60日跌23.34%，落后恒指20.15pp、恒科10.17pp；反弹1.5%量比1.623但20日上下量比0.545，周线压力；Q2收入+36.1%、利用率93.7%、毛利25.3%，技术平台和规模有价值；投资收益及少数股东、折旧限制每股利润兑现；国产替代、AI配套及工业车用成长；消费者组件昂贵、终端疲弱、成熟制程扩产与政策风险并存；Q3指引与随后季度、价格和新产能认证、收购归母贡献是窗口，指引不当实际；总债14.019bn接近广义现金13.857bn，H1资本开支3.399bn、联营注资0.958bn；子公司少数注資、SBC、资产收购稀释与政策需持续观察</x:v>
      </x:c>
    </x:row>
    <x:row r="184" ht="23" customHeight="1">
      <x:c r="A184" s="11" t="str">
        <x:v>00981.HK</x:v>
      </x:c>
      <x:c r="B184" s="11" t="str">
        <x:v>中芯国际</x:v>
      </x:c>
      <x:c r="C184" s="11" t="str">
        <x:v>一年</x:v>
      </x:c>
      <x:c r="D184" s="33" t="n">
        <x:v>3.1</x:v>
      </x:c>
      <x:c r="E184" s="33" t="n">
        <x:v>1.6</x:v>
      </x:c>
      <x:c r="F184" s="33" t="n">
        <x:v>3.8</x:v>
      </x:c>
      <x:c r="G184" s="33" t="n">
        <x:v>4.3</x:v>
      </x:c>
      <x:c r="H184" s="33" t="n">
        <x:v>4</x:v>
      </x:c>
      <x:c r="I184" s="33" t="n">
        <x:v>2.7</x:v>
      </x:c>
      <x:c r="J184" s="34" t="n">
        <x:f>SUMPRODUCT(D184:I184,K184:P184)/5</x:f>
        <x:v>65.6</x:v>
      </x:c>
      <x:c r="K184" s="11" t="n">
        <x:v>25</x:v>
      </x:c>
      <x:c r="L184" s="11" t="n">
        <x:v>15</x:v>
      </x:c>
      <x:c r="M184" s="11" t="n">
        <x:v>25</x:v>
      </x:c>
      <x:c r="N184" s="11" t="n">
        <x:v>15</x:v>
      </x:c>
      <x:c r="O184" s="11" t="n">
        <x:v>10</x:v>
      </x:c>
      <x:c r="P184" s="11" t="n">
        <x:v>10</x:v>
      </x:c>
      <x:c r="Q184" s="11" t="str">
        <x:v>价格57.65约2.52倍归母净资产、H1扣非年化PE73；主模型一年52倍需成长实现，不能称传统低估值。极端悲观非资产底；低于20/60/120/250日线，60日跌23.34%，落后恒指20.15pp、恒科10.17pp；反弹1.5%量比1.623但20日上下量比0.545，周线压力；Q2收入+36.1%、利用率93.7%、毛利25.3%，技术平台和规模有价值；投资收益及少数股东、折旧限制每股利润兑现；国产替代、AI配套及工业车用成长；消费者组件昂贵、终端疲弱、成熟制程扩产与政策风险并存；Q3指引与随后季度、价格和新产能认证、收购归母贡献是窗口，指引不当实际；总债14.019bn接近广义现金13.857bn，H1资本开支3.399bn、联营注资0.958bn；子公司少数注資、SBC、资产收购稀释与政策需持续观察</x:v>
      </x:c>
    </x:row>
    <x:row r="185" ht="23" customHeight="1">
      <x:c r="A185" s="11" t="str">
        <x:v>00981.HK</x:v>
      </x:c>
      <x:c r="B185" s="11" t="str">
        <x:v>中芯国际</x:v>
      </x:c>
      <x:c r="C185" s="11" t="str">
        <x:v>三年</x:v>
      </x:c>
      <x:c r="D185" s="33" t="n">
        <x:v>3.4</x:v>
      </x:c>
      <x:c r="E185" s="33" t="n">
        <x:v>1.6</x:v>
      </x:c>
      <x:c r="F185" s="33" t="n">
        <x:v>4.1</x:v>
      </x:c>
      <x:c r="G185" s="33" t="n">
        <x:v>4.5</x:v>
      </x:c>
      <x:c r="H185" s="33" t="n">
        <x:v>3.9</x:v>
      </x:c>
      <x:c r="I185" s="33" t="n">
        <x:v>2.5</x:v>
      </x:c>
      <x:c r="J185" s="34" t="n">
        <x:f>SUMPRODUCT(D185:I185,K185:P185)/5</x:f>
        <x:v>74.2</x:v>
      </x:c>
      <x:c r="K185" s="11" t="n">
        <x:v>25</x:v>
      </x:c>
      <x:c r="L185" s="11" t="n">
        <x:v>5</x:v>
      </x:c>
      <x:c r="M185" s="11" t="n">
        <x:v>35</x:v>
      </x:c>
      <x:c r="N185" s="11" t="n">
        <x:v>20</x:v>
      </x:c>
      <x:c r="O185" s="11" t="n">
        <x:v>5</x:v>
      </x:c>
      <x:c r="P185" s="11" t="n">
        <x:v>10</x:v>
      </x:c>
      <x:c r="Q185" s="11" t="str">
        <x:v>价格57.65约2.52倍归母净资产、H1扣非年化PE73；主模型一年52倍需成长实现，不能称传统低估值。极端悲观非资产底；低于20/60/120/250日线，60日跌23.34%，落后恒指20.15pp、恒科10.17pp；反弹1.5%量比1.623但20日上下量比0.545，周线压力；Q2收入+36.1%、利用率93.7%、毛利25.3%，技术平台和规模有价值；投资收益及少数股东、折旧限制每股利润兑现；国产替代、AI配套及工业车用成长；消费者组件昂贵、终端疲弱、成熟制程扩产与政策风险并存；Q3指引与随后季度、价格和新产能认证、收购归母贡献是窗口，指引不当实际；总债14.019bn接近广义现金13.857bn，H1资本开支3.399bn、联营注资0.958bn；子公司少数注資、SBC、资产收购稀释与政策需持续观察</x:v>
      </x:c>
    </x:row>
    <x:row r="186" ht="23" customHeight="1">
      <x:c r="A186" s="11" t="str">
        <x:v>00981.HK</x:v>
      </x:c>
      <x:c r="B186" s="11" t="str">
        <x:v>中芯国际</x:v>
      </x:c>
      <x:c r="C186" s="11" t="str">
        <x:v>五年</x:v>
      </x:c>
      <x:c r="D186" s="33" t="n">
        <x:v>3.3</x:v>
      </x:c>
      <x:c r="E186" s="33" t="n">
        <x:v>1.6</x:v>
      </x:c>
      <x:c r="F186" s="33" t="n">
        <x:v>4.2</x:v>
      </x:c>
      <x:c r="G186" s="33" t="n">
        <x:v>4.5</x:v>
      </x:c>
      <x:c r="H186" s="33" t="n">
        <x:v>3.8</x:v>
      </x:c>
      <x:c r="I186" s="33" t="n">
        <x:v>2.3</x:v>
      </x:c>
      <x:c r="J186" s="34" t="n">
        <x:f>SUMPRODUCT(D186:I186,K186:P186)/5</x:f>
        <x:v>75.5</x:v>
      </x:c>
      <x:c r="K186" s="11" t="n">
        <x:v>20</x:v>
      </x:c>
      <x:c r="L186" s="11" t="n">
        <x:v>0</x:v>
      </x:c>
      <x:c r="M186" s="11" t="n">
        <x:v>40</x:v>
      </x:c>
      <x:c r="N186" s="11" t="n">
        <x:v>20</x:v>
      </x:c>
      <x:c r="O186" s="11" t="n">
        <x:v>5</x:v>
      </x:c>
      <x:c r="P186" s="11" t="n">
        <x:v>15</x:v>
      </x:c>
      <x:c r="Q186" s="11" t="str">
        <x:v>价格57.65约2.52倍归母净资产、H1扣非年化PE73；主模型一年52倍需成长实现，不能称传统低估值。极端悲观非资产底；低于20/60/120/250日线，60日跌23.34%，落后恒指20.15pp、恒科10.17pp；反弹1.5%量比1.623但20日上下量比0.545，周线压力；Q2收入+36.1%、利用率93.7%、毛利25.3%，技术平台和规模有价值；投资收益及少数股东、折旧限制每股利润兑现；国产替代、AI配套及工业车用成长；消费者组件昂贵、终端疲弱、成熟制程扩产与政策风险并存；Q3指引与随后季度、价格和新产能认证、收购归母贡献是窗口，指引不当实际；总债14.019bn接近广义现金13.857bn，H1资本开支3.399bn、联营注资0.958bn；子公司少数注資、SBC、资产收购稀释与政策需持续观察</x:v>
      </x:c>
    </x:row>
    <x:row r="187" ht="23" customHeight="1">
      <x:c r="A187" s="11" t="str">
        <x:v>00700.HK</x:v>
      </x:c>
      <x:c r="B187" s="11" t="str">
        <x:v>腾讯控股</x:v>
      </x:c>
      <x:c r="C187" s="11" t="str">
        <x:v>半年</x:v>
      </x:c>
      <x:c r="D187" s="33" t="n">
        <x:v>4</x:v>
      </x:c>
      <x:c r="E187" s="33" t="n">
        <x:v>1.5</x:v>
      </x:c>
      <x:c r="F187" s="33" t="n">
        <x:v>4.5</x:v>
      </x:c>
      <x:c r="G187" s="33" t="n">
        <x:v>4</x:v>
      </x:c>
      <x:c r="H187" s="33" t="n">
        <x:v>3.5</x:v>
      </x:c>
      <x:c r="I187" s="33" t="n">
        <x:v>4</x:v>
      </x:c>
      <x:c r="J187" s="34" t="n">
        <x:f>SUMPRODUCT(D187:I187,K187:P187)/5</x:f>
        <x:v>65.5</x:v>
      </x:c>
      <x:c r="K187" s="11" t="n">
        <x:v>25</x:v>
      </x:c>
      <x:c r="L187" s="11" t="n">
        <x:v>30</x:v>
      </x:c>
      <x:c r="M187" s="11" t="n">
        <x:v>15</x:v>
      </x:c>
      <x:c r="N187" s="11" t="n">
        <x:v>10</x:v>
      </x:c>
      <x:c r="O187" s="11" t="n">
        <x:v>10</x:v>
      </x:c>
      <x:c r="P187" s="11" t="n">
        <x:v>10</x:v>
      </x:c>
      <x:c r="Q187" s="11" t="str">
        <x:v>研究FX下历史non-IFRS diluted PE13.85x有吸引力，但未来AI费用及现金投入可能下降盈利质量；长期高回报需经营兑现；424.8低于4条主要均线，斜率皆负，单日+3.26%且量比1.018不确认反转；60日相对恒指落后9.044个百分点，独立历史行情已核验；微信14.39亿合并MAU、游戏与广告毛利可验证；净利润和新AI变现尚受费用压力；国内内容需求、广告效率、云AI有空间，弱宏观、游戏高基数、算力周期是具体约束；十月底产品策略和十一月Q3业绩为转载提及窗口；新产品使用与付费经济性尚未完全核验；成熟业务和现金强，但H1实际FCF约429亿元，净现金下降且预付算力真实占现金，股权激励与资本配置需跟踪</x:v>
      </x:c>
    </x:row>
    <x:row r="188" ht="23" customHeight="1">
      <x:c r="A188" s="11" t="str">
        <x:v>00700.HK</x:v>
      </x:c>
      <x:c r="B188" s="11" t="str">
        <x:v>腾讯控股</x:v>
      </x:c>
      <x:c r="C188" s="11" t="str">
        <x:v>一年</x:v>
      </x:c>
      <x:c r="D188" s="33" t="n">
        <x:v>4.199999999999999</x:v>
      </x:c>
      <x:c r="E188" s="33" t="n">
        <x:v>1.5</x:v>
      </x:c>
      <x:c r="F188" s="33" t="n">
        <x:v>4.4</x:v>
      </x:c>
      <x:c r="G188" s="33" t="n">
        <x:v>4</x:v>
      </x:c>
      <x:c r="H188" s="33" t="n">
        <x:v>3.5</x:v>
      </x:c>
      <x:c r="I188" s="33" t="n">
        <x:v>3.8</x:v>
      </x:c>
      <x:c r="J188" s="34" t="n">
        <x:f>SUMPRODUCT(D188:I188,K188:P188)/5</x:f>
        <x:v>74.1</x:v>
      </x:c>
      <x:c r="K188" s="11" t="n">
        <x:v>25</x:v>
      </x:c>
      <x:c r="L188" s="11" t="n">
        <x:v>15</x:v>
      </x:c>
      <x:c r="M188" s="11" t="n">
        <x:v>25</x:v>
      </x:c>
      <x:c r="N188" s="11" t="n">
        <x:v>15</x:v>
      </x:c>
      <x:c r="O188" s="11" t="n">
        <x:v>10</x:v>
      </x:c>
      <x:c r="P188" s="11" t="n">
        <x:v>10</x:v>
      </x:c>
      <x:c r="Q188" s="11" t="str">
        <x:v>研究FX下历史non-IFRS diluted PE13.85x有吸引力，但未来AI费用及现金投入可能下降盈利质量；长期高回报需经营兑现；424.8低于4条主要均线，斜率皆负，单日+3.26%且量比1.018不确认反转；60日相对恒指落后9.044个百分点，独立历史行情已核验；微信14.39亿合并MAU、游戏与广告毛利可验证；净利润和新AI变现尚受费用压力；国内内容需求、广告效率、云AI有空间，弱宏观、游戏高基数、算力周期是具体约束；十月底产品策略和十一月Q3业绩为转载提及窗口；新产品使用与付费经济性尚未完全核验；成熟业务和现金强，但H1实际FCF约429亿元，净现金下降且预付算力真实占现金，股权激励与资本配置需跟踪</x:v>
      </x:c>
    </x:row>
    <x:row r="189" ht="23" customHeight="1">
      <x:c r="A189" s="11" t="str">
        <x:v>00700.HK</x:v>
      </x:c>
      <x:c r="B189" s="11" t="str">
        <x:v>腾讯控股</x:v>
      </x:c>
      <x:c r="C189" s="11" t="str">
        <x:v>三年</x:v>
      </x:c>
      <x:c r="D189" s="33" t="n">
        <x:v>4.3</x:v>
      </x:c>
      <x:c r="E189" s="33" t="n">
        <x:v>1.5</x:v>
      </x:c>
      <x:c r="F189" s="33" t="n">
        <x:v>4.5</x:v>
      </x:c>
      <x:c r="G189" s="33" t="n">
        <x:v>4.5</x:v>
      </x:c>
      <x:c r="H189" s="33" t="n">
        <x:v>3.7</x:v>
      </x:c>
      <x:c r="I189" s="33" t="n">
        <x:v>3.6</x:v>
      </x:c>
      <x:c r="J189" s="34" t="n">
        <x:f>SUMPRODUCT(D189:I189,K189:P189)/5</x:f>
        <x:v>83.4</x:v>
      </x:c>
      <x:c r="K189" s="11" t="n">
        <x:v>25</x:v>
      </x:c>
      <x:c r="L189" s="11" t="n">
        <x:v>5</x:v>
      </x:c>
      <x:c r="M189" s="11" t="n">
        <x:v>35</x:v>
      </x:c>
      <x:c r="N189" s="11" t="n">
        <x:v>20</x:v>
      </x:c>
      <x:c r="O189" s="11" t="n">
        <x:v>5</x:v>
      </x:c>
      <x:c r="P189" s="11" t="n">
        <x:v>10</x:v>
      </x:c>
      <x:c r="Q189" s="11" t="str">
        <x:v>研究FX下历史non-IFRS diluted PE13.85x有吸引力，但未来AI费用及现金投入可能下降盈利质量；长期高回报需经营兑现；424.8低于4条主要均线，斜率皆负，单日+3.26%且量比1.018不确认反转；60日相对恒指落后9.044个百分点，独立历史行情已核验；微信14.39亿合并MAU、游戏与广告毛利可验证；净利润和新AI变现尚受费用压力；国内内容需求、广告效率、云AI有空间，弱宏观、游戏高基数、算力周期是具体约束；十月底产品策略和十一月Q3业绩为转载提及窗口；新产品使用与付费经济性尚未完全核验；成熟业务和现金强，但H1实际FCF约429亿元，净现金下降且预付算力真实占现金，股权激励与资本配置需跟踪</x:v>
      </x:c>
    </x:row>
    <x:row r="190" ht="23" customHeight="1">
      <x:c r="A190" s="11" t="str">
        <x:v>00700.HK</x:v>
      </x:c>
      <x:c r="B190" s="11" t="str">
        <x:v>腾讯控股</x:v>
      </x:c>
      <x:c r="C190" s="11" t="str">
        <x:v>五年</x:v>
      </x:c>
      <x:c r="D190" s="33" t="n">
        <x:v>4.1</x:v>
      </x:c>
      <x:c r="E190" s="33" t="n">
        <x:v>1.5</x:v>
      </x:c>
      <x:c r="F190" s="33" t="n">
        <x:v>4.5</x:v>
      </x:c>
      <x:c r="G190" s="33" t="n">
        <x:v>4.4</x:v>
      </x:c>
      <x:c r="H190" s="33" t="n">
        <x:v>3.5</x:v>
      </x:c>
      <x:c r="I190" s="33" t="n">
        <x:v>3.5</x:v>
      </x:c>
      <x:c r="J190" s="34" t="n">
        <x:f>SUMPRODUCT(D190:I190,K190:P190)/5</x:f>
        <x:v>84</x:v>
      </x:c>
      <x:c r="K190" s="11" t="n">
        <x:v>20</x:v>
      </x:c>
      <x:c r="L190" s="11" t="n">
        <x:v>0</x:v>
      </x:c>
      <x:c r="M190" s="11" t="n">
        <x:v>40</x:v>
      </x:c>
      <x:c r="N190" s="11" t="n">
        <x:v>20</x:v>
      </x:c>
      <x:c r="O190" s="11" t="n">
        <x:v>5</x:v>
      </x:c>
      <x:c r="P190" s="11" t="n">
        <x:v>15</x:v>
      </x:c>
      <x:c r="Q190" s="11" t="str">
        <x:v>研究FX下历史non-IFRS diluted PE13.85x有吸引力，但未来AI费用及现金投入可能下降盈利质量；长期高回报需经营兑现；424.8低于4条主要均线，斜率皆负，单日+3.26%且量比1.018不确认反转；60日相对恒指落后9.044个百分点，独立历史行情已核验；微信14.39亿合并MAU、游戏与广告毛利可验证；净利润和新AI变现尚受费用压力；国内内容需求、广告效率、云AI有空间，弱宏观、游戏高基数、算力周期是具体约束；十月底产品策略和十一月Q3业绩为转载提及窗口；新产品使用与付费经济性尚未完全核验；成熟业务和现金强，但H1实际FCF约429亿元，净现金下降且预付算力真实占现金，股权激励与资本配置需跟踪</x:v>
      </x:c>
    </x:row>
    <x:row r="191" ht="23" customHeight="1">
      <x:c r="A191" s="11" t="str">
        <x:v>09961.HK</x:v>
      </x:c>
      <x:c r="B191" s="11" t="str">
        <x:v>携程集团-S</x:v>
      </x:c>
      <x:c r="C191" s="11" t="str">
        <x:v>半年</x:v>
      </x:c>
      <x:c r="D191" s="33" t="n">
        <x:v>3.8</x:v>
      </x:c>
      <x:c r="E191" s="33" t="n">
        <x:v>1.4</x:v>
      </x:c>
      <x:c r="F191" s="33" t="n">
        <x:v>3.8</x:v>
      </x:c>
      <x:c r="G191" s="33" t="n">
        <x:v>3.9</x:v>
      </x:c>
      <x:c r="H191" s="33" t="n">
        <x:v>3.4</x:v>
      </x:c>
      <x:c r="I191" s="33" t="n">
        <x:v>3.1</x:v>
      </x:c>
      <x:c r="J191" s="34" t="n">
        <x:f>SUMPRODUCT(D191:I191,K191:P191)/5</x:f>
        <x:v>59.6</x:v>
      </x:c>
      <x:c r="K191" s="11" t="n">
        <x:v>25</x:v>
      </x:c>
      <x:c r="L191" s="11" t="n">
        <x:v>30</x:v>
      </x:c>
      <x:c r="M191" s="11" t="n">
        <x:v>15</x:v>
      </x:c>
      <x:c r="N191" s="11" t="n">
        <x:v>10</x:v>
      </x:c>
      <x:c r="O191" s="11" t="n">
        <x:v>10</x:v>
      </x:c>
      <x:c r="P191" s="11" t="n">
        <x:v>10</x:v>
      </x:c>
      <x:c r="Q191" s="11" t="str">
        <x:v>除去FY2025大投资收益后正常盈利有价值，监管后佣金/需求与费用影响不确定；罚款一次资本扣减而非抹除；304.4低于全部20/60/120/250日均线且皆下斜；当日+2.84%量比0.637，60日落后恒指7.858pp，仍下降；H1收入31.871bn+11.2%，国际平台Q2+50%，供应和履约有优势；运输收入-1%与营销增15%限制利润；国际/入境结构需求与国内出行有空间，油价、地缘、消费及供给价格形成周期；下一季度、酒店规则适应及国际效率为观察窗口，公开稿Q3指引不冒充实现；六月广义资源100.516bn含受限资金，有息债26.397bn；客户预付款、罚款、SBC、联营及监管经常费用须跟踪</x:v>
      </x:c>
    </x:row>
    <x:row r="192" ht="23" customHeight="1">
      <x:c r="A192" s="11" t="str">
        <x:v>09961.HK</x:v>
      </x:c>
      <x:c r="B192" s="11" t="str">
        <x:v>携程集团-S</x:v>
      </x:c>
      <x:c r="C192" s="11" t="str">
        <x:v>一年</x:v>
      </x:c>
      <x:c r="D192" s="33" t="n">
        <x:v>4</x:v>
      </x:c>
      <x:c r="E192" s="33" t="n">
        <x:v>1.4</x:v>
      </x:c>
      <x:c r="F192" s="33" t="n">
        <x:v>3.9</x:v>
      </x:c>
      <x:c r="G192" s="33" t="n">
        <x:v>4</x:v>
      </x:c>
      <x:c r="H192" s="33" t="n">
        <x:v>3.6</x:v>
      </x:c>
      <x:c r="I192" s="33" t="n">
        <x:v>3.1</x:v>
      </x:c>
      <x:c r="J192" s="34" t="n">
        <x:f>SUMPRODUCT(D192:I192,K192:P192)/5</x:f>
        <x:v>69.1</x:v>
      </x:c>
      <x:c r="K192" s="11" t="n">
        <x:v>25</x:v>
      </x:c>
      <x:c r="L192" s="11" t="n">
        <x:v>15</x:v>
      </x:c>
      <x:c r="M192" s="11" t="n">
        <x:v>25</x:v>
      </x:c>
      <x:c r="N192" s="11" t="n">
        <x:v>15</x:v>
      </x:c>
      <x:c r="O192" s="11" t="n">
        <x:v>10</x:v>
      </x:c>
      <x:c r="P192" s="11" t="n">
        <x:v>10</x:v>
      </x:c>
      <x:c r="Q192" s="11" t="str">
        <x:v>除去FY2025大投资收益后正常盈利有价值，监管后佣金/需求与费用影响不确定；罚款一次资本扣减而非抹除；304.4低于全部20/60/120/250日均线且皆下斜；当日+2.84%量比0.637，60日落后恒指7.858pp，仍下降；H1收入31.871bn+11.2%，国际平台Q2+50%，供应和履约有优势；运输收入-1%与营销增15%限制利润；国际/入境结构需求与国内出行有空间，油价、地缘、消费及供给价格形成周期；下一季度、酒店规则适应及国际效率为观察窗口，公开稿Q3指引不冒充实现；六月广义资源100.516bn含受限资金，有息债26.397bn；客户预付款、罚款、SBC、联营及监管经常费用须跟踪</x:v>
      </x:c>
    </x:row>
    <x:row r="193" ht="23" customHeight="1">
      <x:c r="A193" s="11" t="str">
        <x:v>09961.HK</x:v>
      </x:c>
      <x:c r="B193" s="11" t="str">
        <x:v>携程集团-S</x:v>
      </x:c>
      <x:c r="C193" s="11" t="str">
        <x:v>三年</x:v>
      </x:c>
      <x:c r="D193" s="33" t="n">
        <x:v>4</x:v>
      </x:c>
      <x:c r="E193" s="33" t="n">
        <x:v>1.4</x:v>
      </x:c>
      <x:c r="F193" s="33" t="n">
        <x:v>4.1</x:v>
      </x:c>
      <x:c r="G193" s="33" t="n">
        <x:v>4.2</x:v>
      </x:c>
      <x:c r="H193" s="33" t="n">
        <x:v>3.6</x:v>
      </x:c>
      <x:c r="I193" s="33" t="n">
        <x:v>3</x:v>
      </x:c>
      <x:c r="J193" s="34" t="n">
        <x:f>SUMPRODUCT(D193:I193,K193:P193)/5</x:f>
        <x:v>76.5</x:v>
      </x:c>
      <x:c r="K193" s="11" t="n">
        <x:v>25</x:v>
      </x:c>
      <x:c r="L193" s="11" t="n">
        <x:v>5</x:v>
      </x:c>
      <x:c r="M193" s="11" t="n">
        <x:v>35</x:v>
      </x:c>
      <x:c r="N193" s="11" t="n">
        <x:v>20</x:v>
      </x:c>
      <x:c r="O193" s="11" t="n">
        <x:v>5</x:v>
      </x:c>
      <x:c r="P193" s="11" t="n">
        <x:v>10</x:v>
      </x:c>
      <x:c r="Q193" s="11" t="str">
        <x:v>除去FY2025大投资收益后正常盈利有价值，监管后佣金/需求与费用影响不确定；罚款一次资本扣减而非抹除；304.4低于全部20/60/120/250日均线且皆下斜；当日+2.84%量比0.637，60日落后恒指7.858pp，仍下降；H1收入31.871bn+11.2%，国际平台Q2+50%，供应和履约有优势；运输收入-1%与营销增15%限制利润；国际/入境结构需求与国内出行有空间，油价、地缘、消费及供给价格形成周期；下一季度、酒店规则适应及国际效率为观察窗口，公开稿Q3指引不冒充实现；六月广义资源100.516bn含受限资金，有息债26.397bn；客户预付款、罚款、SBC、联营及监管经常费用须跟踪</x:v>
      </x:c>
    </x:row>
    <x:row r="194" ht="23" customHeight="1">
      <x:c r="A194" s="11" t="str">
        <x:v>09961.HK</x:v>
      </x:c>
      <x:c r="B194" s="11" t="str">
        <x:v>携程集团-S</x:v>
      </x:c>
      <x:c r="C194" s="11" t="str">
        <x:v>五年</x:v>
      </x:c>
      <x:c r="D194" s="33" t="n">
        <x:v>3.9</x:v>
      </x:c>
      <x:c r="E194" s="33" t="n">
        <x:v>1.4</x:v>
      </x:c>
      <x:c r="F194" s="33" t="n">
        <x:v>4.1</x:v>
      </x:c>
      <x:c r="G194" s="33" t="n">
        <x:v>4.1</x:v>
      </x:c>
      <x:c r="H194" s="33" t="n">
        <x:v>3.5</x:v>
      </x:c>
      <x:c r="I194" s="33" t="n">
        <x:v>3</x:v>
      </x:c>
      <x:c r="J194" s="34" t="n">
        <x:f>SUMPRODUCT(D194:I194,K194:P194)/5</x:f>
        <x:v>77.3</x:v>
      </x:c>
      <x:c r="K194" s="11" t="n">
        <x:v>20</x:v>
      </x:c>
      <x:c r="L194" s="11" t="n">
        <x:v>0</x:v>
      </x:c>
      <x:c r="M194" s="11" t="n">
        <x:v>40</x:v>
      </x:c>
      <x:c r="N194" s="11" t="n">
        <x:v>20</x:v>
      </x:c>
      <x:c r="O194" s="11" t="n">
        <x:v>5</x:v>
      </x:c>
      <x:c r="P194" s="11" t="n">
        <x:v>15</x:v>
      </x:c>
      <x:c r="Q194" s="11" t="str">
        <x:v>除去FY2025大投资收益后正常盈利有价值，监管后佣金/需求与费用影响不确定；罚款一次资本扣减而非抹除；304.4低于全部20/60/120/250日均线且皆下斜；当日+2.84%量比0.637，60日落后恒指7.858pp，仍下降；H1收入31.871bn+11.2%，国际平台Q2+50%，供应和履约有优势；运输收入-1%与营销增15%限制利润；国际/入境结构需求与国内出行有空间，油价、地缘、消费及供给价格形成周期；下一季度、酒店规则适应及国际效率为观察窗口，公开稿Q3指引不冒充实现；六月广义资源100.516bn含受限资金，有息债26.397bn；客户预付款、罚款、SBC、联营及监管经常费用须跟踪</x:v>
      </x:c>
    </x:row>
    <x:row r="195" ht="23" customHeight="1">
      <x:c r="A195" s="11" t="str">
        <x:v>603259.SH</x:v>
      </x:c>
      <x:c r="B195" s="11" t="str">
        <x:v>药明康德</x:v>
      </x:c>
      <x:c r="C195" s="11" t="str">
        <x:v>半年</x:v>
      </x:c>
      <x:c r="D195" s="33" t="n">
        <x:v>3.5</x:v>
      </x:c>
      <x:c r="E195" s="33" t="n">
        <x:v>3.8</x:v>
      </x:c>
      <x:c r="F195" s="33" t="n">
        <x:v>4.5</x:v>
      </x:c>
      <x:c r="G195" s="33" t="n">
        <x:v>4.3</x:v>
      </x:c>
      <x:c r="H195" s="33" t="n">
        <x:v>4.2</x:v>
      </x:c>
      <x:c r="I195" s="33" t="n">
        <x:v>3.5</x:v>
      </x:c>
      <x:c r="J195" s="34" t="n">
        <x:f>SUMPRODUCT(D195:I195,K195:P195)/5</x:f>
        <x:v>77.8</x:v>
      </x:c>
      <x:c r="K195" s="11" t="n">
        <x:v>25</x:v>
      </x:c>
      <x:c r="L195" s="11" t="n">
        <x:v>30</x:v>
      </x:c>
      <x:c r="M195" s="11" t="n">
        <x:v>15</x:v>
      </x:c>
      <x:c r="N195" s="11" t="n">
        <x:v>10</x:v>
      </x:c>
      <x:c r="O195" s="11" t="n">
        <x:v>10</x:v>
      </x:c>
      <x:c r="P195" s="11" t="n">
        <x:v>10</x:v>
      </x:c>
      <x:c r="Q195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196" ht="23" customHeight="1">
      <x:c r="A196" s="11" t="str">
        <x:v>603259.SH</x:v>
      </x:c>
      <x:c r="B196" s="11" t="str">
        <x:v>药明康德</x:v>
      </x:c>
      <x:c r="C196" s="11" t="str">
        <x:v>一年</x:v>
      </x:c>
      <x:c r="D196" s="33" t="n">
        <x:v>3.8</x:v>
      </x:c>
      <x:c r="E196" s="33" t="n">
        <x:v>3.8</x:v>
      </x:c>
      <x:c r="F196" s="33" t="n">
        <x:v>4.6</x:v>
      </x:c>
      <x:c r="G196" s="33" t="n">
        <x:v>4.4</x:v>
      </x:c>
      <x:c r="H196" s="33" t="n">
        <x:v>4.1</x:v>
      </x:c>
      <x:c r="I196" s="33" t="n">
        <x:v>3.4</x:v>
      </x:c>
      <x:c r="J196" s="34" t="n">
        <x:f>SUMPRODUCT(D196:I196,K196:P196)/5</x:f>
        <x:v>81.6</x:v>
      </x:c>
      <x:c r="K196" s="11" t="n">
        <x:v>25</x:v>
      </x:c>
      <x:c r="L196" s="11" t="n">
        <x:v>15</x:v>
      </x:c>
      <x:c r="M196" s="11" t="n">
        <x:v>25</x:v>
      </x:c>
      <x:c r="N196" s="11" t="n">
        <x:v>15</x:v>
      </x:c>
      <x:c r="O196" s="11" t="n">
        <x:v>10</x:v>
      </x:c>
      <x:c r="P196" s="11" t="n">
        <x:v>10</x:v>
      </x:c>
      <x:c r="Q196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197" ht="23" customHeight="1">
      <x:c r="A197" s="11" t="str">
        <x:v>603259.SH</x:v>
      </x:c>
      <x:c r="B197" s="11" t="str">
        <x:v>药明康德</x:v>
      </x:c>
      <x:c r="C197" s="11" t="str">
        <x:v>三年</x:v>
      </x:c>
      <x:c r="D197" s="33" t="n">
        <x:v>4.1</x:v>
      </x:c>
      <x:c r="E197" s="33" t="n">
        <x:v>3.8</x:v>
      </x:c>
      <x:c r="F197" s="33" t="n">
        <x:v>4.5</x:v>
      </x:c>
      <x:c r="G197" s="33" t="n">
        <x:v>4.5</x:v>
      </x:c>
      <x:c r="H197" s="33" t="n">
        <x:v>4</x:v>
      </x:c>
      <x:c r="I197" s="33" t="n">
        <x:v>3.3</x:v>
      </x:c>
      <x:c r="J197" s="34" t="n">
        <x:f>SUMPRODUCT(D197:I197,K197:P197)/5</x:f>
        <x:v>84.4</x:v>
      </x:c>
      <x:c r="K197" s="11" t="n">
        <x:v>25</x:v>
      </x:c>
      <x:c r="L197" s="11" t="n">
        <x:v>5</x:v>
      </x:c>
      <x:c r="M197" s="11" t="n">
        <x:v>35</x:v>
      </x:c>
      <x:c r="N197" s="11" t="n">
        <x:v>20</x:v>
      </x:c>
      <x:c r="O197" s="11" t="n">
        <x:v>5</x:v>
      </x:c>
      <x:c r="P197" s="11" t="n">
        <x:v>10</x:v>
      </x:c>
      <x:c r="Q197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198" ht="23" customHeight="1">
      <x:c r="A198" s="11" t="str">
        <x:v>603259.SH</x:v>
      </x:c>
      <x:c r="B198" s="11" t="str">
        <x:v>药明康德</x:v>
      </x:c>
      <x:c r="C198" s="11" t="str">
        <x:v>五年</x:v>
      </x:c>
      <x:c r="D198" s="33" t="n">
        <x:v>4</x:v>
      </x:c>
      <x:c r="E198" s="33" t="n">
        <x:v>3.8</x:v>
      </x:c>
      <x:c r="F198" s="33" t="n">
        <x:v>4.4</x:v>
      </x:c>
      <x:c r="G198" s="33" t="n">
        <x:v>4.5</x:v>
      </x:c>
      <x:c r="H198" s="33" t="n">
        <x:v>3.8</x:v>
      </x:c>
      <x:c r="I198" s="33" t="n">
        <x:v>3.2</x:v>
      </x:c>
      <x:c r="J198" s="34" t="n">
        <x:f>SUMPRODUCT(D198:I198,K198:P198)/5</x:f>
        <x:v>82.6</x:v>
      </x:c>
      <x:c r="K198" s="11" t="n">
        <x:v>20</x:v>
      </x:c>
      <x:c r="L198" s="11" t="n">
        <x:v>0</x:v>
      </x:c>
      <x:c r="M198" s="11" t="n">
        <x:v>40</x:v>
      </x:c>
      <x:c r="N198" s="11" t="n">
        <x:v>20</x:v>
      </x:c>
      <x:c r="O198" s="11" t="n">
        <x:v>5</x:v>
      </x:c>
      <x:c r="P198" s="11" t="n">
        <x:v>15</x:v>
      </x:c>
      <x:c r="Q198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199" ht="23" customHeight="1">
      <x:c r="A199" s="11" t="str">
        <x:v>02359.HK</x:v>
      </x:c>
      <x:c r="B199" s="11" t="str">
        <x:v>药明康德</x:v>
      </x:c>
      <x:c r="C199" s="11" t="str">
        <x:v>半年</x:v>
      </x:c>
      <x:c r="D199" s="33" t="n">
        <x:v>2.8</x:v>
      </x:c>
      <x:c r="E199" s="33" t="n">
        <x:v>4.1</x:v>
      </x:c>
      <x:c r="F199" s="33" t="n">
        <x:v>4.5</x:v>
      </x:c>
      <x:c r="G199" s="33" t="n">
        <x:v>4.3</x:v>
      </x:c>
      <x:c r="H199" s="33" t="n">
        <x:v>4.2</x:v>
      </x:c>
      <x:c r="I199" s="33" t="n">
        <x:v>3.4</x:v>
      </x:c>
      <x:c r="J199" s="34" t="n">
        <x:f>SUMPRODUCT(D199:I199,K199:P199)/5</x:f>
        <x:v>75.9</x:v>
      </x:c>
      <x:c r="K199" s="11" t="n">
        <x:v>25</x:v>
      </x:c>
      <x:c r="L199" s="11" t="n">
        <x:v>30</x:v>
      </x:c>
      <x:c r="M199" s="11" t="n">
        <x:v>15</x:v>
      </x:c>
      <x:c r="N199" s="11" t="n">
        <x:v>10</x:v>
      </x:c>
      <x:c r="O199" s="11" t="n">
        <x:v>10</x:v>
      </x:c>
      <x:c r="P199" s="11" t="n">
        <x:v>10</x:v>
      </x:c>
      <x:c r="Q199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200" ht="23" customHeight="1">
      <x:c r="A200" s="11" t="str">
        <x:v>02359.HK</x:v>
      </x:c>
      <x:c r="B200" s="11" t="str">
        <x:v>药明康德</x:v>
      </x:c>
      <x:c r="C200" s="11" t="str">
        <x:v>一年</x:v>
      </x:c>
      <x:c r="D200" s="33" t="n">
        <x:v>3.2</x:v>
      </x:c>
      <x:c r="E200" s="33" t="n">
        <x:v>4.1</x:v>
      </x:c>
      <x:c r="F200" s="33" t="n">
        <x:v>4.6</x:v>
      </x:c>
      <x:c r="G200" s="33" t="n">
        <x:v>4.4</x:v>
      </x:c>
      <x:c r="H200" s="33" t="n">
        <x:v>4.1</x:v>
      </x:c>
      <x:c r="I200" s="33" t="n">
        <x:v>3.3</x:v>
      </x:c>
      <x:c r="J200" s="34" t="n">
        <x:f>SUMPRODUCT(D200:I200,K200:P200)/5</x:f>
        <x:v>79.3</x:v>
      </x:c>
      <x:c r="K200" s="11" t="n">
        <x:v>25</x:v>
      </x:c>
      <x:c r="L200" s="11" t="n">
        <x:v>15</x:v>
      </x:c>
      <x:c r="M200" s="11" t="n">
        <x:v>25</x:v>
      </x:c>
      <x:c r="N200" s="11" t="n">
        <x:v>15</x:v>
      </x:c>
      <x:c r="O200" s="11" t="n">
        <x:v>10</x:v>
      </x:c>
      <x:c r="P200" s="11" t="n">
        <x:v>10</x:v>
      </x:c>
      <x:c r="Q200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201" ht="23" customHeight="1">
      <x:c r="A201" s="11" t="str">
        <x:v>02359.HK</x:v>
      </x:c>
      <x:c r="B201" s="11" t="str">
        <x:v>药明康德</x:v>
      </x:c>
      <x:c r="C201" s="11" t="str">
        <x:v>三年</x:v>
      </x:c>
      <x:c r="D201" s="33" t="n">
        <x:v>3.7</x:v>
      </x:c>
      <x:c r="E201" s="33" t="n">
        <x:v>4.1</x:v>
      </x:c>
      <x:c r="F201" s="33" t="n">
        <x:v>4.5</x:v>
      </x:c>
      <x:c r="G201" s="33" t="n">
        <x:v>4.5</x:v>
      </x:c>
      <x:c r="H201" s="33" t="n">
        <x:v>4</x:v>
      </x:c>
      <x:c r="I201" s="33" t="n">
        <x:v>3.2</x:v>
      </x:c>
      <x:c r="J201" s="34" t="n">
        <x:f>SUMPRODUCT(D201:I201,K201:P201)/5</x:f>
        <x:v>82.5</x:v>
      </x:c>
      <x:c r="K201" s="11" t="n">
        <x:v>25</x:v>
      </x:c>
      <x:c r="L201" s="11" t="n">
        <x:v>5</x:v>
      </x:c>
      <x:c r="M201" s="11" t="n">
        <x:v>35</x:v>
      </x:c>
      <x:c r="N201" s="11" t="n">
        <x:v>20</x:v>
      </x:c>
      <x:c r="O201" s="11" t="n">
        <x:v>5</x:v>
      </x:c>
      <x:c r="P201" s="11" t="n">
        <x:v>10</x:v>
      </x:c>
      <x:c r="Q201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202" ht="23" customHeight="1">
      <x:c r="A202" s="11" t="str">
        <x:v>02359.HK</x:v>
      </x:c>
      <x:c r="B202" s="11" t="str">
        <x:v>药明康德</x:v>
      </x:c>
      <x:c r="C202" s="11" t="str">
        <x:v>五年</x:v>
      </x:c>
      <x:c r="D202" s="33" t="n">
        <x:v>3.6</x:v>
      </x:c>
      <x:c r="E202" s="33" t="n">
        <x:v>4.1</x:v>
      </x:c>
      <x:c r="F202" s="33" t="n">
        <x:v>4.4</x:v>
      </x:c>
      <x:c r="G202" s="33" t="n">
        <x:v>4.5</x:v>
      </x:c>
      <x:c r="H202" s="33" t="n">
        <x:v>3.8</x:v>
      </x:c>
      <x:c r="I202" s="33" t="n">
        <x:v>3.1</x:v>
      </x:c>
      <x:c r="J202" s="34" t="n">
        <x:f>SUMPRODUCT(D202:I202,K202:P202)/5</x:f>
        <x:v>80.7</x:v>
      </x:c>
      <x:c r="K202" s="11" t="n">
        <x:v>20</x:v>
      </x:c>
      <x:c r="L202" s="11" t="n">
        <x:v>0</x:v>
      </x:c>
      <x:c r="M202" s="11" t="n">
        <x:v>40</x:v>
      </x:c>
      <x:c r="N202" s="11" t="n">
        <x:v>20</x:v>
      </x:c>
      <x:c r="O202" s="11" t="n">
        <x:v>5</x:v>
      </x:c>
      <x:c r="P202" s="11" t="n">
        <x:v>15</x:v>
      </x:c>
      <x:c r="Q202" s="11" t="str">
        <x:v>A股较便宜，基准一年38.47%vsH25.60%；上半年强增长已反映在H价，悲观利润/PE压缩明显；A回调仍上60，H全均线上斜率正；近60市场超额强，但最新跌日放量、上涨下跌量比不占优；持续收入48%、化学53%、DM72.7%、订单25.2%实证；成熟订单转化与工艺平台强；全球研发融资与商业化需求，多肽/核酸长期机会；竞争价格、供给和客户集中限制；业绩指引/订单兑现、产能爬坡和新分子，临近Q3仍可证伪；政策不可简单消除；OCF93亿/FCF63.5亿较强；负债增、可转债与回购/理财影响资本配置，全球政策尾部风险</x:v>
      </x:c>
    </x:row>
    <x:row r="203" ht="23" customHeight="1">
      <x:c r="A203" s="11" t="str">
        <x:v>02269.HK</x:v>
      </x:c>
      <x:c r="B203" s="11" t="str">
        <x:v>药明生物</x:v>
      </x:c>
      <x:c r="C203" s="11" t="str">
        <x:v>半年</x:v>
      </x:c>
      <x:c r="D203" s="33" t="n">
        <x:v>3</x:v>
      </x:c>
      <x:c r="E203" s="33" t="n">
        <x:v>3.2</x:v>
      </x:c>
      <x:c r="F203" s="33" t="n">
        <x:v>4.2</x:v>
      </x:c>
      <x:c r="G203" s="33" t="n">
        <x:v>4</x:v>
      </x:c>
      <x:c r="H203" s="33" t="n">
        <x:v>3.5</x:v>
      </x:c>
      <x:c r="I203" s="33" t="n">
        <x:v>3</x:v>
      </x:c>
      <x:c r="J203" s="34" t="n">
        <x:f>SUMPRODUCT(D203:I203,K203:P203)/5</x:f>
        <x:v>67.8</x:v>
      </x:c>
      <x:c r="K203" s="11" t="n">
        <x:v>25</x:v>
      </x:c>
      <x:c r="L203" s="11" t="n">
        <x:v>30</x:v>
      </x:c>
      <x:c r="M203" s="11" t="n">
        <x:v>15</x:v>
      </x:c>
      <x:c r="N203" s="11" t="n">
        <x:v>10</x:v>
      </x:c>
      <x:c r="O203" s="11" t="n">
        <x:v>10</x:v>
      </x:c>
      <x:c r="P203" s="11" t="n">
        <x:v>10</x:v>
      </x:c>
      <x:c r="Q203" s="11" t="str">
        <x:v>现价已反映部分增长；机构最新目标仅3.6%—22%潜在涨幅，较远盈利增长提供更大空间；四日均线向上与强超额收益，但周RSI71.5、前高近、单日下跌巨量和近期均量偏离削弱入场优势；CRDMO平台、1,064项目与后期/商业化管线，毛利及现金改善；资本回报和客户稳定须持续验证；生物药研发融资和复杂模态需求改善；融资向订单、订单向商业化的转换有时滞；全年业绩及下一年度指引，订单兑现、商业化项目与海外产能爬坡；海外客户、政策、监管质量、外币资产、公允投资、资本开支及股权激励稀释风险</x:v>
      </x:c>
    </x:row>
    <x:row r="204" ht="23" customHeight="1">
      <x:c r="A204" s="11" t="str">
        <x:v>02269.HK</x:v>
      </x:c>
      <x:c r="B204" s="11" t="str">
        <x:v>药明生物</x:v>
      </x:c>
      <x:c r="C204" s="11" t="str">
        <x:v>一年</x:v>
      </x:c>
      <x:c r="D204" s="33" t="n">
        <x:v>3.5</x:v>
      </x:c>
      <x:c r="E204" s="33" t="n">
        <x:v>3.2</x:v>
      </x:c>
      <x:c r="F204" s="33" t="n">
        <x:v>4.3</x:v>
      </x:c>
      <x:c r="G204" s="33" t="n">
        <x:v>4</x:v>
      </x:c>
      <x:c r="H204" s="33" t="n">
        <x:v>3.7</x:v>
      </x:c>
      <x:c r="I204" s="33" t="n">
        <x:v>3.2</x:v>
      </x:c>
      <x:c r="J204" s="34" t="n">
        <x:f>SUMPRODUCT(D204:I204,K204:P204)/5</x:f>
        <x:v>74.4</x:v>
      </x:c>
      <x:c r="K204" s="11" t="n">
        <x:v>25</x:v>
      </x:c>
      <x:c r="L204" s="11" t="n">
        <x:v>15</x:v>
      </x:c>
      <x:c r="M204" s="11" t="n">
        <x:v>25</x:v>
      </x:c>
      <x:c r="N204" s="11" t="n">
        <x:v>15</x:v>
      </x:c>
      <x:c r="O204" s="11" t="n">
        <x:v>10</x:v>
      </x:c>
      <x:c r="P204" s="11" t="n">
        <x:v>10</x:v>
      </x:c>
      <x:c r="Q204" s="11" t="str">
        <x:v>现价已反映部分增长；机构最新目标仅3.6%—22%潜在涨幅，较远盈利增长提供更大空间；四日均线向上与强超额收益，但周RSI71.5、前高近、单日下跌巨量和近期均量偏离削弱入场优势；CRDMO平台、1,064项目与后期/商业化管线，毛利及现金改善；资本回报和客户稳定须持续验证；生物药研发融资和复杂模态需求改善；融资向订单、订单向商业化的转换有时滞；全年业绩及下一年度指引，订单兑现、商业化项目与海外产能爬坡；海外客户、政策、监管质量、外币资产、公允投资、资本开支及股权激励稀释风险</x:v>
      </x:c>
    </x:row>
    <x:row r="205" ht="23" customHeight="1">
      <x:c r="A205" s="11" t="str">
        <x:v>02269.HK</x:v>
      </x:c>
      <x:c r="B205" s="11" t="str">
        <x:v>药明生物</x:v>
      </x:c>
      <x:c r="C205" s="11" t="str">
        <x:v>三年</x:v>
      </x:c>
      <x:c r="D205" s="33" t="n">
        <x:v>3.8</x:v>
      </x:c>
      <x:c r="E205" s="33" t="n">
        <x:v>3.2</x:v>
      </x:c>
      <x:c r="F205" s="33" t="n">
        <x:v>4.3</x:v>
      </x:c>
      <x:c r="G205" s="33" t="n">
        <x:v>4</x:v>
      </x:c>
      <x:c r="H205" s="33" t="n">
        <x:v>3.8</x:v>
      </x:c>
      <x:c r="I205" s="33" t="n">
        <x:v>3.2</x:v>
      </x:c>
      <x:c r="J205" s="34" t="n">
        <x:f>SUMPRODUCT(D205:I205,K205:P205)/5</x:f>
        <x:v>78.5</x:v>
      </x:c>
      <x:c r="K205" s="11" t="n">
        <x:v>25</x:v>
      </x:c>
      <x:c r="L205" s="11" t="n">
        <x:v>5</x:v>
      </x:c>
      <x:c r="M205" s="11" t="n">
        <x:v>35</x:v>
      </x:c>
      <x:c r="N205" s="11" t="n">
        <x:v>20</x:v>
      </x:c>
      <x:c r="O205" s="11" t="n">
        <x:v>5</x:v>
      </x:c>
      <x:c r="P205" s="11" t="n">
        <x:v>10</x:v>
      </x:c>
      <x:c r="Q205" s="11" t="str">
        <x:v>现价已反映部分增长；机构最新目标仅3.6%—22%潜在涨幅，较远盈利增长提供更大空间；四日均线向上与强超额收益，但周RSI71.5、前高近、单日下跌巨量和近期均量偏离削弱入场优势；CRDMO平台、1,064项目与后期/商业化管线，毛利及现金改善；资本回报和客户稳定须持续验证；生物药研发融资和复杂模态需求改善；融资向订单、订单向商业化的转换有时滞；全年业绩及下一年度指引，订单兑现、商业化项目与海外产能爬坡；海外客户、政策、监管质量、外币资产、公允投资、资本开支及股权激励稀释风险</x:v>
      </x:c>
    </x:row>
    <x:row r="206" ht="23" customHeight="1">
      <x:c r="A206" s="11" t="str">
        <x:v>02269.HK</x:v>
      </x:c>
      <x:c r="B206" s="11" t="str">
        <x:v>药明生物</x:v>
      </x:c>
      <x:c r="C206" s="11" t="str">
        <x:v>五年</x:v>
      </x:c>
      <x:c r="D206" s="33" t="n">
        <x:v>3.6</x:v>
      </x:c>
      <x:c r="E206" s="33" t="n">
        <x:v>0</x:v>
      </x:c>
      <x:c r="F206" s="33" t="n">
        <x:v>4</x:v>
      </x:c>
      <x:c r="G206" s="33" t="n">
        <x:v>3.8</x:v>
      </x:c>
      <x:c r="H206" s="33" t="n">
        <x:v>3.5</x:v>
      </x:c>
      <x:c r="I206" s="33" t="n">
        <x:v>3</x:v>
      </x:c>
      <x:c r="J206" s="34" t="n">
        <x:f>SUMPRODUCT(D206:I206,K206:P206)/5</x:f>
        <x:v>74.1</x:v>
      </x:c>
      <x:c r="K206" s="11" t="n">
        <x:v>20</x:v>
      </x:c>
      <x:c r="L206" s="11" t="n">
        <x:v>0</x:v>
      </x:c>
      <x:c r="M206" s="11" t="n">
        <x:v>40</x:v>
      </x:c>
      <x:c r="N206" s="11" t="n">
        <x:v>20</x:v>
      </x:c>
      <x:c r="O206" s="11" t="n">
        <x:v>5</x:v>
      </x:c>
      <x:c r="P206" s="11" t="n">
        <x:v>15</x:v>
      </x:c>
      <x:c r="Q206" s="11" t="str">
        <x:v>现价已反映部分增长；机构最新目标仅3.6%—22%潜在涨幅，较远盈利增长提供更大空间；四日均线向上与强超额收益，但周RSI71.5、前高近、单日下跌巨量和近期均量偏离削弱入场优势；CRDMO平台、1,064项目与后期/商业化管线，毛利及现金改善；资本回报和客户稳定须持续验证；生物药研发融资和复杂模态需求改善；融资向订单、订单向商业化的转换有时滞；全年业绩及下一年度指引，订单兑现、商业化项目与海外产能爬坡；海外客户、政策、监管质量、外币资产、公允投资、资本开支及股权激励稀释风险</x:v>
      </x:c>
    </x:row>
    <x:row r="207" ht="23" customHeight="1">
      <x:c r="A207" s="11" t="str">
        <x:v>02268.HK</x:v>
      </x:c>
      <x:c r="B207" s="11" t="str">
        <x:v>药明合联</x:v>
      </x:c>
      <x:c r="C207" s="11" t="str">
        <x:v>半年</x:v>
      </x:c>
      <x:c r="D207" s="33" t="n">
        <x:v>2.8</x:v>
      </x:c>
      <x:c r="E207" s="33" t="n">
        <x:v>3.7</x:v>
      </x:c>
      <x:c r="F207" s="33" t="n">
        <x:v>4.4</x:v>
      </x:c>
      <x:c r="G207" s="33" t="n">
        <x:v>4.7</x:v>
      </x:c>
      <x:c r="H207" s="33" t="n">
        <x:v>4</x:v>
      </x:c>
      <x:c r="I207" s="33" t="n">
        <x:v>3.2</x:v>
      </x:c>
      <x:c r="J207" s="34" t="n">
        <x:f>SUMPRODUCT(D207:I207,K207:P207)/5</x:f>
        <x:v>73.2</x:v>
      </x:c>
      <x:c r="K207" s="11" t="n">
        <x:v>25</x:v>
      </x:c>
      <x:c r="L207" s="11" t="n">
        <x:v>30</x:v>
      </x:c>
      <x:c r="M207" s="11" t="n">
        <x:v>15</x:v>
      </x:c>
      <x:c r="N207" s="11" t="n">
        <x:v>10</x:v>
      </x:c>
      <x:c r="O207" s="11" t="n">
        <x:v>10</x:v>
      </x:c>
      <x:c r="P207" s="11" t="n">
        <x:v>10</x:v>
      </x:c>
      <x:c r="Q207" s="11" t="str">
        <x:v>现价已反映2027约34倍核心PE，半年基准空间有限；长期收入/利润增长提供回报，融资和倍数下调损失不可忽略；20/60/120/250日均线向上与显著恒指超额支持趋势；日MACD减速、近前高且成交量分歧扣分；有机收入31.7%增长、后期项目57个与订单增长支持质量；股份酬金、收购及利用率仍须验证；ADC临床/商业化扩大，早期与后期服务需求同时增长；支付、研发融资及新增供给构成约束；年报、无锡PLI准备、新加坡爬坡及PPQ转商业化；FDA日期来自新闻转述并非确定承诺；现金和定存5.118bn、债务0.491bn有缓冲；80亿元分期资本计划、外汇、稀释和跨国政策风险保留</x:v>
      </x:c>
    </x:row>
    <x:row r="208" ht="23" customHeight="1">
      <x:c r="A208" s="11" t="str">
        <x:v>02268.HK</x:v>
      </x:c>
      <x:c r="B208" s="11" t="str">
        <x:v>药明合联</x:v>
      </x:c>
      <x:c r="C208" s="11" t="str">
        <x:v>一年</x:v>
      </x:c>
      <x:c r="D208" s="33" t="n">
        <x:v>3.6</x:v>
      </x:c>
      <x:c r="E208" s="33" t="n">
        <x:v>3.7</x:v>
      </x:c>
      <x:c r="F208" s="33" t="n">
        <x:v>4.4</x:v>
      </x:c>
      <x:c r="G208" s="33" t="n">
        <x:v>4.7</x:v>
      </x:c>
      <x:c r="H208" s="33" t="n">
        <x:v>4.3</x:v>
      </x:c>
      <x:c r="I208" s="33" t="n">
        <x:v>3.2</x:v>
      </x:c>
      <x:c r="J208" s="34" t="n">
        <x:f>SUMPRODUCT(D208:I208,K208:P208)/5</x:f>
        <x:v>80.2</x:v>
      </x:c>
      <x:c r="K208" s="11" t="n">
        <x:v>25</x:v>
      </x:c>
      <x:c r="L208" s="11" t="n">
        <x:v>15</x:v>
      </x:c>
      <x:c r="M208" s="11" t="n">
        <x:v>25</x:v>
      </x:c>
      <x:c r="N208" s="11" t="n">
        <x:v>15</x:v>
      </x:c>
      <x:c r="O208" s="11" t="n">
        <x:v>10</x:v>
      </x:c>
      <x:c r="P208" s="11" t="n">
        <x:v>10</x:v>
      </x:c>
      <x:c r="Q208" s="11" t="str">
        <x:v>现价已反映2027约34倍核心PE，半年基准空间有限；长期收入/利润增长提供回报，融资和倍数下调损失不可忽略；20/60/120/250日均线向上与显著恒指超额支持趋势；日MACD减速、近前高且成交量分歧扣分；有机收入31.7%增长、后期项目57个与订单增长支持质量；股份酬金、收购及利用率仍须验证；ADC临床/商业化扩大，早期与后期服务需求同时增长；支付、研发融资及新增供给构成约束；年报、无锡PLI准备、新加坡爬坡及PPQ转商业化；FDA日期来自新闻转述并非确定承诺；现金和定存5.118bn、债务0.491bn有缓冲；80亿元分期资本计划、外汇、稀释和跨国政策风险保留</x:v>
      </x:c>
    </x:row>
    <x:row r="209" ht="23" customHeight="1">
      <x:c r="A209" s="11" t="str">
        <x:v>02268.HK</x:v>
      </x:c>
      <x:c r="B209" s="11" t="str">
        <x:v>药明合联</x:v>
      </x:c>
      <x:c r="C209" s="11" t="str">
        <x:v>三年</x:v>
      </x:c>
      <x:c r="D209" s="33" t="n">
        <x:v>3.7</x:v>
      </x:c>
      <x:c r="E209" s="33" t="n">
        <x:v>3.7</x:v>
      </x:c>
      <x:c r="F209" s="33" t="n">
        <x:v>4.5</x:v>
      </x:c>
      <x:c r="G209" s="33" t="n">
        <x:v>4.7</x:v>
      </x:c>
      <x:c r="H209" s="33" t="n">
        <x:v>4.3</x:v>
      </x:c>
      <x:c r="I209" s="33" t="n">
        <x:v>3.1</x:v>
      </x:c>
      <x:c r="J209" s="34" t="n">
        <x:f>SUMPRODUCT(D209:I209,K209:P209)/5</x:f>
        <x:v>83</x:v>
      </x:c>
      <x:c r="K209" s="11" t="n">
        <x:v>25</x:v>
      </x:c>
      <x:c r="L209" s="11" t="n">
        <x:v>5</x:v>
      </x:c>
      <x:c r="M209" s="11" t="n">
        <x:v>35</x:v>
      </x:c>
      <x:c r="N209" s="11" t="n">
        <x:v>20</x:v>
      </x:c>
      <x:c r="O209" s="11" t="n">
        <x:v>5</x:v>
      </x:c>
      <x:c r="P209" s="11" t="n">
        <x:v>10</x:v>
      </x:c>
      <x:c r="Q209" s="11" t="str">
        <x:v>现价已反映2027约34倍核心PE，半年基准空间有限；长期收入/利润增长提供回报，融资和倍数下调损失不可忽略；20/60/120/250日均线向上与显著恒指超额支持趋势；日MACD减速、近前高且成交量分歧扣分；有机收入31.7%增长、后期项目57个与订单增长支持质量；股份酬金、收购及利用率仍须验证；ADC临床/商业化扩大，早期与后期服务需求同时增长；支付、研发融资及新增供给构成约束；年报、无锡PLI准备、新加坡爬坡及PPQ转商业化；FDA日期来自新闻转述并非确定承诺；现金和定存5.118bn、债务0.491bn有缓冲；80亿元分期资本计划、外汇、稀释和跨国政策风险保留</x:v>
      </x:c>
    </x:row>
    <x:row r="210" ht="23" customHeight="1">
      <x:c r="A210" s="11" t="str">
        <x:v>02268.HK</x:v>
      </x:c>
      <x:c r="B210" s="11" t="str">
        <x:v>药明合联</x:v>
      </x:c>
      <x:c r="C210" s="11" t="str">
        <x:v>五年</x:v>
      </x:c>
      <x:c r="D210" s="33" t="n">
        <x:v>3.7</x:v>
      </x:c>
      <x:c r="E210" s="33" t="n">
        <x:v>0</x:v>
      </x:c>
      <x:c r="F210" s="33" t="n">
        <x:v>4.4</x:v>
      </x:c>
      <x:c r="G210" s="33" t="n">
        <x:v>4.6</x:v>
      </x:c>
      <x:c r="H210" s="33" t="n">
        <x:v>4</x:v>
      </x:c>
      <x:c r="I210" s="33" t="n">
        <x:v>2.9</x:v>
      </x:c>
      <x:c r="J210" s="34" t="n">
        <x:f>SUMPRODUCT(D210:I210,K210:P210)/5</x:f>
        <x:v>81.1</x:v>
      </x:c>
      <x:c r="K210" s="11" t="n">
        <x:v>20</x:v>
      </x:c>
      <x:c r="L210" s="11" t="n">
        <x:v>0</x:v>
      </x:c>
      <x:c r="M210" s="11" t="n">
        <x:v>40</x:v>
      </x:c>
      <x:c r="N210" s="11" t="n">
        <x:v>20</x:v>
      </x:c>
      <x:c r="O210" s="11" t="n">
        <x:v>5</x:v>
      </x:c>
      <x:c r="P210" s="11" t="n">
        <x:v>15</x:v>
      </x:c>
      <x:c r="Q210" s="11" t="str">
        <x:v>现价已反映2027约34倍核心PE，半年基准空间有限；长期收入/利润增长提供回报，融资和倍数下调损失不可忽略；20/60/120/250日均线向上与显著恒指超额支持趋势；日MACD减速、近前高且成交量分歧扣分；有机收入31.7%增长、后期项目57个与订单增长支持质量；股份酬金、收购及利用率仍须验证；ADC临床/商业化扩大，早期与后期服务需求同时增长；支付、研发融资及新增供给构成约束；年报、无锡PLI准备、新加坡爬坡及PPQ转商业化；FDA日期来自新闻转述并非确定承诺；现金和定存5.118bn、债务0.491bn有缓冲；80亿元分期资本计划、外汇、稀释和跨国政策风险保留</x:v>
      </x:c>
    </x:row>
    <x:row r="211" ht="23" customHeight="1">
      <x:c r="A211" s="11" t="str">
        <x:v>01810.HK</x:v>
      </x:c>
      <x:c r="B211" s="11" t="str">
        <x:v>小米集团-W</x:v>
      </x:c>
      <x:c r="C211" s="11" t="str">
        <x:v>半年</x:v>
      </x:c>
      <x:c r="D211" s="33" t="n">
        <x:v>3.1</x:v>
      </x:c>
      <x:c r="E211" s="33" t="n">
        <x:v>2.6</x:v>
      </x:c>
      <x:c r="F211" s="33" t="n">
        <x:v>3.2</x:v>
      </x:c>
      <x:c r="G211" s="33" t="n">
        <x:v>3.8</x:v>
      </x:c>
      <x:c r="H211" s="33" t="n">
        <x:v>3.8</x:v>
      </x:c>
      <x:c r="I211" s="33" t="n">
        <x:v>3</x:v>
      </x:c>
      <x:c r="J211" s="34" t="n">
        <x:f>SUMPRODUCT(D211:I211,K211:P211)/5</x:f>
        <x:v>61.9</x:v>
      </x:c>
      <x:c r="K211" s="11" t="n">
        <x:v>25</x:v>
      </x:c>
      <x:c r="L211" s="11" t="n">
        <x:v>30</x:v>
      </x:c>
      <x:c r="M211" s="11" t="n">
        <x:v>15</x:v>
      </x:c>
      <x:c r="N211" s="11" t="n">
        <x:v>10</x:v>
      </x:c>
      <x:c r="O211" s="11" t="n">
        <x:v>10</x:v>
      </x:c>
      <x:c r="P211" s="11" t="n">
        <x:v>10</x:v>
      </x:c>
      <x:c r="Q211" s="11" t="str">
        <x:v>H1调整利润下降42.8%，当前PE须正常化；基准一年38.72有空间，但利润修复、汽车盈亏和长期倍数假设敏感，极端悲观低价非资产底或损失上限；10/9放量9.72%上涨且量比2.441，但仍在60/120/250日线下方，均线下降，上下量比0.849；60日落后恒指2.412pp、领先恒科7.568pp；用户、设备互联、互联网现金与汽车品牌形成机会，2026H1收入下降8.4%、新业务Q2经营亏损2.6bn制约确认度；端侧AI、智能家居及新能源车需求有空间，元件涨价、补贴退坡、价格竞争及海外政策压利润；季度毛利与现金、交付结构、汽车研发与MiMo商业化是窗口；公司产品计划不冒充订单及盈利兑现；广义资源219.3bn含受限投资，有息借款39.277bn；H1正式OCF2.050bn、库存与预付增长、配售可转债和SBC需监控</x:v>
      </x:c>
    </x:row>
    <x:row r="212" ht="23" customHeight="1">
      <x:c r="A212" s="11" t="str">
        <x:v>01810.HK</x:v>
      </x:c>
      <x:c r="B212" s="11" t="str">
        <x:v>小米集团-W</x:v>
      </x:c>
      <x:c r="C212" s="11" t="str">
        <x:v>一年</x:v>
      </x:c>
      <x:c r="D212" s="33" t="n">
        <x:v>3.5</x:v>
      </x:c>
      <x:c r="E212" s="33" t="n">
        <x:v>2.6</x:v>
      </x:c>
      <x:c r="F212" s="33" t="n">
        <x:v>3.7</x:v>
      </x:c>
      <x:c r="G212" s="33" t="n">
        <x:v>4</x:v>
      </x:c>
      <x:c r="H212" s="33" t="n">
        <x:v>4</x:v>
      </x:c>
      <x:c r="I212" s="33" t="n">
        <x:v>3</x:v>
      </x:c>
      <x:c r="J212" s="34" t="n">
        <x:f>SUMPRODUCT(D212:I212,K212:P212)/5</x:f>
        <x:v>69.8</x:v>
      </x:c>
      <x:c r="K212" s="11" t="n">
        <x:v>25</x:v>
      </x:c>
      <x:c r="L212" s="11" t="n">
        <x:v>15</x:v>
      </x:c>
      <x:c r="M212" s="11" t="n">
        <x:v>25</x:v>
      </x:c>
      <x:c r="N212" s="11" t="n">
        <x:v>15</x:v>
      </x:c>
      <x:c r="O212" s="11" t="n">
        <x:v>10</x:v>
      </x:c>
      <x:c r="P212" s="11" t="n">
        <x:v>10</x:v>
      </x:c>
      <x:c r="Q212" s="11" t="str">
        <x:v>H1调整利润下降42.8%，当前PE须正常化；基准一年38.72有空间，但利润修复、汽车盈亏和长期倍数假设敏感，极端悲观低价非资产底或损失上限；10/9放量9.72%上涨且量比2.441，但仍在60/120/250日线下方，均线下降，上下量比0.849；60日落后恒指2.412pp、领先恒科7.568pp；用户、设备互联、互联网现金与汽车品牌形成机会，2026H1收入下降8.4%、新业务Q2经营亏损2.6bn制约确认度；端侧AI、智能家居及新能源车需求有空间，元件涨价、补贴退坡、价格竞争及海外政策压利润；季度毛利与现金、交付结构、汽车研发与MiMo商业化是窗口；公司产品计划不冒充订单及盈利兑现；广义资源219.3bn含受限投资，有息借款39.277bn；H1正式OCF2.050bn、库存与预付增长、配售可转债和SBC需监控</x:v>
      </x:c>
    </x:row>
    <x:row r="213" ht="23" customHeight="1">
      <x:c r="A213" s="11" t="str">
        <x:v>01810.HK</x:v>
      </x:c>
      <x:c r="B213" s="11" t="str">
        <x:v>小米集团-W</x:v>
      </x:c>
      <x:c r="C213" s="11" t="str">
        <x:v>三年</x:v>
      </x:c>
      <x:c r="D213" s="33" t="n">
        <x:v>4</x:v>
      </x:c>
      <x:c r="E213" s="33" t="n">
        <x:v>2.6</x:v>
      </x:c>
      <x:c r="F213" s="33" t="n">
        <x:v>4</x:v>
      </x:c>
      <x:c r="G213" s="33" t="n">
        <x:v>4.2</x:v>
      </x:c>
      <x:c r="H213" s="33" t="n">
        <x:v>3.8</x:v>
      </x:c>
      <x:c r="I213" s="33" t="n">
        <x:v>2.8</x:v>
      </x:c>
      <x:c r="J213" s="34" t="n">
        <x:f>SUMPRODUCT(D213:I213,K213:P213)/5</x:f>
        <x:v>76.8</x:v>
      </x:c>
      <x:c r="K213" s="11" t="n">
        <x:v>25</x:v>
      </x:c>
      <x:c r="L213" s="11" t="n">
        <x:v>5</x:v>
      </x:c>
      <x:c r="M213" s="11" t="n">
        <x:v>35</x:v>
      </x:c>
      <x:c r="N213" s="11" t="n">
        <x:v>20</x:v>
      </x:c>
      <x:c r="O213" s="11" t="n">
        <x:v>5</x:v>
      </x:c>
      <x:c r="P213" s="11" t="n">
        <x:v>10</x:v>
      </x:c>
      <x:c r="Q213" s="11" t="str">
        <x:v>H1调整利润下降42.8%，当前PE须正常化；基准一年38.72有空间，但利润修复、汽车盈亏和长期倍数假设敏感，极端悲观低价非资产底或损失上限；10/9放量9.72%上涨且量比2.441，但仍在60/120/250日线下方，均线下降，上下量比0.849；60日落后恒指2.412pp、领先恒科7.568pp；用户、设备互联、互联网现金与汽车品牌形成机会，2026H1收入下降8.4%、新业务Q2经营亏损2.6bn制约确认度；端侧AI、智能家居及新能源车需求有空间，元件涨价、补贴退坡、价格竞争及海外政策压利润；季度毛利与现金、交付结构、汽车研发与MiMo商业化是窗口；公司产品计划不冒充订单及盈利兑现；广义资源219.3bn含受限投资，有息借款39.277bn；H1正式OCF2.050bn、库存与预付增长、配售可转债和SBC需监控</x:v>
      </x:c>
    </x:row>
    <x:row r="214" ht="23" customHeight="1">
      <x:c r="A214" s="11" t="str">
        <x:v>01810.HK</x:v>
      </x:c>
      <x:c r="B214" s="11" t="str">
        <x:v>小米集团-W</x:v>
      </x:c>
      <x:c r="C214" s="11" t="str">
        <x:v>五年</x:v>
      </x:c>
      <x:c r="D214" s="33" t="n">
        <x:v>3.9</x:v>
      </x:c>
      <x:c r="E214" s="33" t="n">
        <x:v>2.6</x:v>
      </x:c>
      <x:c r="F214" s="33" t="n">
        <x:v>4.1</x:v>
      </x:c>
      <x:c r="G214" s="33" t="n">
        <x:v>4.2</x:v>
      </x:c>
      <x:c r="H214" s="33" t="n">
        <x:v>3.7</x:v>
      </x:c>
      <x:c r="I214" s="33" t="n">
        <x:v>2.7</x:v>
      </x:c>
      <x:c r="J214" s="34" t="n">
        <x:f>SUMPRODUCT(D214:I214,K214:P214)/5</x:f>
        <x:v>77</x:v>
      </x:c>
      <x:c r="K214" s="11" t="n">
        <x:v>20</x:v>
      </x:c>
      <x:c r="L214" s="11" t="n">
        <x:v>0</x:v>
      </x:c>
      <x:c r="M214" s="11" t="n">
        <x:v>40</x:v>
      </x:c>
      <x:c r="N214" s="11" t="n">
        <x:v>20</x:v>
      </x:c>
      <x:c r="O214" s="11" t="n">
        <x:v>5</x:v>
      </x:c>
      <x:c r="P214" s="11" t="n">
        <x:v>15</x:v>
      </x:c>
      <x:c r="Q214" s="11" t="str">
        <x:v>H1调整利润下降42.8%，当前PE须正常化；基准一年38.72有空间，但利润修复、汽车盈亏和长期倍数假设敏感，极端悲观低价非资产底或损失上限；10/9放量9.72%上涨且量比2.441，但仍在60/120/250日线下方，均线下降，上下量比0.849；60日落后恒指2.412pp、领先恒科7.568pp；用户、设备互联、互联网现金与汽车品牌形成机会，2026H1收入下降8.4%、新业务Q2经营亏损2.6bn制约确认度；端侧AI、智能家居及新能源车需求有空间，元件涨价、补贴退坡、价格竞争及海外政策压利润；季度毛利与现金、交付结构、汽车研发与MiMo商业化是窗口；公司产品计划不冒充订单及盈利兑现；广义资源219.3bn含受限投资，有息借款39.277bn；H1正式OCF2.050bn、库存与预付增长、配售可转债和SBC需监控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Pr>
    <x:tabColor rgb="FF8F9CAB"/>
  </x:sheetPr>
  <x:sheetFormatPr defaultRowHeight="15"/>
  <x:sheetData/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31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0" hidden="0" customWidth="1"/>
    <x:col min="13" max="13" width="30" hidden="0" customWidth="1"/>
    <x:col min="14" max="14" width="30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00" hidden="0" customWidth="1"/>
    <x:col min="39" max="39" width="100" hidden="0" customWidth="1"/>
    <x:col min="40" max="40" width="10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</x:row>
    <x:row r="2">
      <x:c r="A2" s="4" t="str">
        <x:v>行情锁版 market-v1.6 · 原始单位与修复留档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</x:row>
    <x:row r="6" ht="52" customHeight="1">
      <x:c r="A6" s="12" t="str">
        <x:v>证券ID</x:v>
      </x:c>
      <x:c r="B6" s="12" t="str">
        <x:v>发行人ID</x:v>
      </x:c>
      <x:c r="C6" s="12" t="str">
        <x:v>代码</x:v>
      </x:c>
      <x:c r="D6" s="12" t="str">
        <x:v>名称</x:v>
      </x:c>
      <x:c r="E6" s="12" t="str">
        <x:v>币种</x:v>
      </x:c>
      <x:c r="F6" s="12" t="str">
        <x:v>10/9价格</x:v>
      </x:c>
      <x:c r="G6" s="12" t="str">
        <x:v>价格日</x:v>
      </x:c>
      <x:c r="H6" s="12" t="str">
        <x:v>最后参考价</x:v>
      </x:c>
      <x:c r="I6" s="12" t="str">
        <x:v>参考价日</x:v>
      </x:c>
      <x:c r="J6" s="12" t="str">
        <x:v>可交易</x:v>
      </x:c>
      <x:c r="K6" s="12" t="str">
        <x:v>日线数</x:v>
      </x:c>
      <x:c r="L6" s="12" t="str">
        <x:v>历史来源</x:v>
      </x:c>
      <x:c r="M6" s="12" t="str">
        <x:v>可信度</x:v>
      </x:c>
      <x:c r="N6" s="12" t="str">
        <x:v>趋势</x:v>
      </x:c>
      <x:c r="O6" s="12" t="str">
        <x:v>MA20</x:v>
      </x:c>
      <x:c r="P6" s="12" t="str">
        <x:v>MA60</x:v>
      </x:c>
      <x:c r="Q6" s="12" t="str">
        <x:v>MA120</x:v>
      </x:c>
      <x:c r="R6" s="12" t="str">
        <x:v>MA250</x:v>
      </x:c>
      <x:c r="S6" s="12" t="str">
        <x:v>MA20斜率%</x:v>
      </x:c>
      <x:c r="T6" s="12" t="str">
        <x:v>MA60斜率%</x:v>
      </x:c>
      <x:c r="U6" s="12" t="str">
        <x:v>20日回报%</x:v>
      </x:c>
      <x:c r="V6" s="12" t="str">
        <x:v>60日回报%</x:v>
      </x:c>
      <x:c r="W6" s="12" t="str">
        <x:v>当日股数</x:v>
      </x:c>
      <x:c r="X6" s="12" t="str">
        <x:v>5日均股数</x:v>
      </x:c>
      <x:c r="Y6" s="12" t="str">
        <x:v>20日均股数</x:v>
      </x:c>
      <x:c r="Z6" s="12" t="str">
        <x:v>60日均股数</x:v>
      </x:c>
      <x:c r="AA6" s="12" t="str">
        <x:v>量比20</x:v>
      </x:c>
      <x:c r="AB6" s="12" t="str">
        <x:v>涨跌量比</x:v>
      </x:c>
      <x:c r="AC6" s="12" t="str">
        <x:v>RSI14</x:v>
      </x:c>
      <x:c r="AD6" s="12" t="str">
        <x:v>ATR14</x:v>
      </x:c>
      <x:c r="AE6" s="12" t="str">
        <x:v>MACD DIF</x:v>
      </x:c>
      <x:c r="AF6" s="12" t="str">
        <x:v>MACD DEA</x:v>
      </x:c>
      <x:c r="AG6" s="12" t="str">
        <x:v>20日低位</x:v>
      </x:c>
      <x:c r="AH6" s="12" t="str">
        <x:v>20日高位</x:v>
      </x:c>
      <x:c r="AI6" s="12" t="str">
        <x:v>52周高</x:v>
      </x:c>
      <x:c r="AJ6" s="12" t="str">
        <x:v>52周低</x:v>
      </x:c>
      <x:c r="AK6" s="12" t="str">
        <x:v>回撤%</x:v>
      </x:c>
      <x:c r="AL6" s="12" t="str">
        <x:v>相对强弱JSON</x:v>
      </x:c>
      <x:c r="AM6" s="12" t="str">
        <x:v>质量限制</x:v>
      </x:c>
      <x:c r="AN6" s="12" t="str">
        <x:v>来源URL</x:v>
      </x:c>
    </x:row>
    <x:row r="7" ht="23" customHeight="1">
      <x:c r="A7" s="11" t="str">
        <x:v>S001</x:v>
      </x:c>
      <x:c r="B7" s="11" t="str">
        <x:v>I001</x:v>
      </x:c>
      <x:c r="C7" s="11" t="str">
        <x:v>688139.SH</x:v>
      </x:c>
      <x:c r="D7" s="11" t="str">
        <x:v>海尔生物</x:v>
      </x:c>
      <x:c r="E7" s="11" t="str">
        <x:v>CNY</x:v>
      </x:c>
      <x:c r="F7" s="23" t="n">
        <x:v>35.13</x:v>
      </x:c>
      <x:c r="G7" s="23" t="str">
        <x:v>2026-10-09</x:v>
      </x:c>
      <x:c r="H7" s="23" t="n">
        <x:v>35.13</x:v>
      </x:c>
      <x:c r="I7" s="23" t="str">
        <x:v>2026-10-09</x:v>
      </x:c>
      <x:c r="J7" s="37" t="b">
        <x:v>1</x:v>
      </x:c>
      <x:c r="K7" s="23" t="n">
        <x:v>728</x:v>
      </x:c>
      <x:c r="L7" s="23" t="str">
        <x:v>Yahoo Finance chart</x:v>
      </x:c>
      <x:c r="M7" s="23" t="str">
        <x:v>high</x:v>
      </x:c>
      <x:c r="N7" s="23" t="str">
        <x:v>中短期上升</x:v>
      </x:c>
      <x:c r="O7" s="23" t="n">
        <x:v>32.876</x:v>
      </x:c>
      <x:c r="P7" s="23" t="n">
        <x:v>30.154333</x:v>
      </x:c>
      <x:c r="Q7" s="23" t="n">
        <x:v>30.225663</x:v>
      </x:c>
      <x:c r="R7" s="23" t="n">
        <x:v>31.336258</x:v>
      </x:c>
      <x:c r="S7" s="23" t="n">
        <x:v>3.093495</x:v>
      </x:c>
      <x:c r="T7" s="23" t="n">
        <x:v>2.230786</x:v>
      </x:c>
      <x:c r="U7" s="23" t="n">
        <x:v>14.654054</x:v>
      </x:c>
      <x:c r="V7" s="23" t="n">
        <x:v>30.304163</x:v>
      </x:c>
      <x:c r="W7" s="38" t="n">
        <x:v>5679797</x:v>
      </x:c>
      <x:c r="X7" s="38" t="n">
        <x:v>5104410</x:v>
      </x:c>
      <x:c r="Y7" s="38" t="n">
        <x:v>4354597.5</x:v>
      </x:c>
      <x:c r="Z7" s="38" t="n">
        <x:v>4024228.633</x:v>
      </x:c>
      <x:c r="AA7" s="23" t="n">
        <x:v>1.343597</x:v>
      </x:c>
      <x:c r="AB7" s="23" t="n">
        <x:v>2.196035</x:v>
      </x:c>
      <x:c r="AC7" s="23" t="n">
        <x:v>66.496143</x:v>
      </x:c>
      <x:c r="AD7" s="23" t="n">
        <x:v>1.247835</x:v>
      </x:c>
      <x:c r="AE7" s="23" t="n">
        <x:v>1.377322</x:v>
      </x:c>
      <x:c r="AF7" s="23" t="n">
        <x:v>1.189394</x:v>
      </x:c>
      <x:c r="AG7" s="23" t="n">
        <x:v>30.32</x:v>
      </x:c>
      <x:c r="AH7" s="23" t="n">
        <x:v>36.240002</x:v>
      </x:c>
      <x:c r="AI7" s="23" t="n">
        <x:v>38.325778</x:v>
      </x:c>
      <x:c r="AJ7" s="23" t="n">
        <x:v>24.4</x:v>
      </x:c>
      <x:c r="AK7" s="23" t="n">
        <x:v>-33.068455</x:v>
      </x:c>
      <x:c r="AL7" s="11" t="str">
        <x:v>{"market":"沪深300","marketSymbol":"000300.SS","marketReturn20Pct":-5.169157,"marketReturn60Pct":-11.464817,"excess20Pct":19.823211,"excess60Pct":41.76898,"industryBenchmark":null,"industryExcess20Pct":null,"industryExcess60Pct":null,"industryMissingReason":"创新药/医药细分基准三年可核验数据未取得，行业相对强弱留空"}</x:v>
      </x:c>
      <x:c r="AM7" s="11" t="str">
        <x:v>腾讯海尔生物历史中间缺10个市场交易日；2024-12-23至2025-01-06补查询仍未返回。近期250日以上指标不受这段早期缺口影响；三年逐日路径不完整。</x:v>
      </x:c>
      <x:c r="AN7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https://query2.finance.yahoo.com/v8/finance/chart/688139.SS?range=3y&amp;interval=1d&amp;events=div%2Csplits
https://proxy.finance.qq.com/ifzqgtimg/appstock/app/fqkline/get?param=sh688139,day,2023-10-09,2026-10-09,1000,qfq</x:v>
      </x:c>
    </x:row>
    <x:row r="8" ht="23" customHeight="1">
      <x:c r="A8" s="11" t="str">
        <x:v>S002</x:v>
      </x:c>
      <x:c r="B8" s="11" t="str">
        <x:v>I002</x:v>
      </x:c>
      <x:c r="C8" s="11" t="str">
        <x:v>688062.SH</x:v>
      </x:c>
      <x:c r="D8" s="11" t="str">
        <x:v>迈威生物</x:v>
      </x:c>
      <x:c r="E8" s="11" t="str">
        <x:v>CNY</x:v>
      </x:c>
      <x:c r="F8" s="23" t="n">
        <x:v>24.78</x:v>
      </x:c>
      <x:c r="G8" s="23" t="str">
        <x:v>2026-10-09</x:v>
      </x:c>
      <x:c r="H8" s="23" t="n">
        <x:v>24.78</x:v>
      </x:c>
      <x:c r="I8" s="23" t="str">
        <x:v>2026-10-09</x:v>
      </x:c>
      <x:c r="J8" s="37" t="b">
        <x:v>1</x:v>
      </x:c>
      <x:c r="K8" s="23" t="n">
        <x:v>728</x:v>
      </x:c>
      <x:c r="L8" s="23" t="str">
        <x:v>Yahoo Finance chart</x:v>
      </x:c>
      <x:c r="M8" s="23" t="str">
        <x:v>high</x:v>
      </x:c>
      <x:c r="N8" s="23" t="str">
        <x:v>中短期下降</x:v>
      </x:c>
      <x:c r="O8" s="23" t="n">
        <x:v>26.2075</x:v>
      </x:c>
      <x:c r="P8" s="23" t="n">
        <x:v>29.3935</x:v>
      </x:c>
      <x:c r="Q8" s="23" t="n">
        <x:v>30.803583</x:v>
      </x:c>
      <x:c r="R8" s="23" t="n">
        <x:v>35.7638</x:v>
      </x:c>
      <x:c r="S8" s="23" t="n">
        <x:v>-2.46013</x:v>
      </x:c>
      <x:c r="T8" s="23" t="n">
        <x:v>-1.810013</x:v>
      </x:c>
      <x:c r="U8" s="23" t="n">
        <x:v>-12.002837</x:v>
      </x:c>
      <x:c r="V8" s="23" t="n">
        <x:v>-20.193231</x:v>
      </x:c>
      <x:c r="W8" s="38" t="n">
        <x:v>8128712</x:v>
      </x:c>
      <x:c r="X8" s="38" t="n">
        <x:v>8177829.8</x:v>
      </x:c>
      <x:c r="Y8" s="38" t="n">
        <x:v>7173528.35</x:v>
      </x:c>
      <x:c r="Z8" s="38" t="n">
        <x:v>9551508.517</x:v>
      </x:c>
      <x:c r="AA8" s="23" t="n">
        <x:v>1.157452</x:v>
      </x:c>
      <x:c r="AB8" s="23" t="n">
        <x:v>0.923565</x:v>
      </x:c>
      <x:c r="AC8" s="23" t="n">
        <x:v>39.89653</x:v>
      </x:c>
      <x:c r="AD8" s="23" t="n">
        <x:v>1.547378</x:v>
      </x:c>
      <x:c r="AE8" s="23" t="n">
        <x:v>-0.885837</x:v>
      </x:c>
      <x:c r="AF8" s="23" t="n">
        <x:v>-0.871805</x:v>
      </x:c>
      <x:c r="AG8" s="23" t="n">
        <x:v>23.5</x:v>
      </x:c>
      <x:c r="AH8" s="23" t="n">
        <x:v>28.959999</x:v>
      </x:c>
      <x:c r="AI8" s="23" t="n">
        <x:v>58.029999</x:v>
      </x:c>
      <x:c r="AJ8" s="23" t="n">
        <x:v>23.5</x:v>
      </x:c>
      <x:c r="AK8" s="23" t="n">
        <x:v>-56.054796</x:v>
      </x:c>
      <x:c r="AL8" s="11" t="str">
        <x:v>{"market":"沪深300","marketSymbol":"000300.SS","marketReturn20Pct":-5.169157,"marketReturn60Pct":-11.464817,"excess20Pct":-6.83368,"excess60Pct":-8.728414,"industryBenchmark":null,"industryExcess20Pct":null,"industryExcess60Pct":null,"industryMissingReason":"创新药/医药细分基准三年可核验数据未取得，行业相对强弱留空"}</x:v>
      </x:c>
      <x:c r="AM8" s="11" t="str">
        <x:v>1根Yahoo OHLC逻辑不一致，按腾讯同日完整bar修复，原字段及修复记录在历史文件</x:v>
      </x:c>
      <x:c r="AN8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https://query2.finance.yahoo.com/v8/finance/chart/688062.SS?range=3y&amp;interval=1d&amp;events=div%2Csplits
https://proxy.finance.qq.com/ifzqgtimg/appstock/app/fqkline/get?param=sh688062,day,2023-10-09,2026-10-09,1000,qfq</x:v>
      </x:c>
    </x:row>
    <x:row r="9" ht="23" customHeight="1">
      <x:c r="A9" s="11" t="str">
        <x:v>S003</x:v>
      </x:c>
      <x:c r="B9" s="11" t="str">
        <x:v>I003</x:v>
      </x:c>
      <x:c r="C9" s="11" t="str">
        <x:v>688192.SH</x:v>
      </x:c>
      <x:c r="D9" s="11" t="str">
        <x:v>迪哲医药</x:v>
      </x:c>
      <x:c r="E9" s="11" t="str">
        <x:v>CNY</x:v>
      </x:c>
      <x:c r="F9" s="23" t="n">
        <x:v>59.95</x:v>
      </x:c>
      <x:c r="G9" s="23" t="str">
        <x:v>2026-10-09</x:v>
      </x:c>
      <x:c r="H9" s="23" t="n">
        <x:v>59.95</x:v>
      </x:c>
      <x:c r="I9" s="23" t="str">
        <x:v>2026-10-09</x:v>
      </x:c>
      <x:c r="J9" s="37" t="b">
        <x:v>1</x:v>
      </x:c>
      <x:c r="K9" s="23" t="n">
        <x:v>728</x:v>
      </x:c>
      <x:c r="L9" s="23" t="str">
        <x:v>Yahoo Finance chart</x:v>
      </x:c>
      <x:c r="M9" s="23" t="str">
        <x:v>high</x:v>
      </x:c>
      <x:c r="N9" s="23" t="str">
        <x:v>趋势交错/震荡</x:v>
      </x:c>
      <x:c r="O9" s="23" t="n">
        <x:v>56.941</x:v>
      </x:c>
      <x:c r="P9" s="23" t="n">
        <x:v>57.2285</x:v>
      </x:c>
      <x:c r="Q9" s="23" t="n">
        <x:v>53.096083</x:v>
      </x:c>
      <x:c r="R9" s="23" t="n">
        <x:v>56.40376</x:v>
      </x:c>
      <x:c r="S9" s="23" t="n">
        <x:v>-0.407528</x:v>
      </x:c>
      <x:c r="T9" s="23" t="n">
        <x:v>1.534981</x:v>
      </x:c>
      <x:c r="U9" s="23" t="n">
        <x:v>-0.21638</x:v>
      </x:c>
      <x:c r="V9" s="23" t="n">
        <x:v>29.537602</x:v>
      </x:c>
      <x:c r="W9" s="38" t="n">
        <x:v>7897133</x:v>
      </x:c>
      <x:c r="X9" s="38" t="n">
        <x:v>6323900.8</x:v>
      </x:c>
      <x:c r="Y9" s="38" t="n">
        <x:v>5102234.1</x:v>
      </x:c>
      <x:c r="Z9" s="38" t="n">
        <x:v>8954143.967</x:v>
      </x:c>
      <x:c r="AA9" s="23" t="n">
        <x:v>1.569215</x:v>
      </x:c>
      <x:c r="AB9" s="23" t="n">
        <x:v>1.380564</x:v>
      </x:c>
      <x:c r="AC9" s="23" t="n">
        <x:v>57.313449</x:v>
      </x:c>
      <x:c r="AD9" s="23" t="n">
        <x:v>3.110728</x:v>
      </x:c>
      <x:c r="AE9" s="23" t="n">
        <x:v>0.409354</x:v>
      </x:c>
      <x:c r="AF9" s="23" t="n">
        <x:v>0.24693</x:v>
      </x:c>
      <x:c r="AG9" s="23" t="n">
        <x:v>52.080002</x:v>
      </x:c>
      <x:c r="AH9" s="23" t="n">
        <x:v>62</x:v>
      </x:c>
      <x:c r="AI9" s="23" t="n">
        <x:v>73.800003</x:v>
      </x:c>
      <x:c r="AJ9" s="23" t="n">
        <x:v>35.73</x:v>
      </x:c>
      <x:c r="AK9" s="23" t="n">
        <x:v>-49.62032</x:v>
      </x:c>
      <x:c r="AL9" s="11" t="str">
        <x:v>{"market":"沪深300","marketSymbol":"000300.SS","marketReturn20Pct":-5.169157,"marketReturn60Pct":-11.464817,"excess20Pct":4.952777,"excess60Pct":41.002419,"industryBenchmark":null,"industryExcess20Pct":null,"industryExcess60Pct":null,"industryMissingReason":"创新药/医药细分基准三年可核验数据未取得，行业相对强弱留空"}</x:v>
      </x:c>
      <x:c r="AM9" s="11" t="str">
        <x:v>1根Yahoo OHLC逻辑不一致，按腾讯同日完整bar修复，原字段及修复记录在历史文件</x:v>
      </x:c>
      <x:c r="AN9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https://query2.finance.yahoo.com/v8/finance/chart/688192.SS?range=3y&amp;interval=1d&amp;events=div%2Csplits
https://proxy.finance.qq.com/ifzqgtimg/appstock/app/fqkline/get?param=sh688192,day,2023-10-09,2026-10-09,1000,qfq</x:v>
      </x:c>
    </x:row>
    <x:row r="10" ht="23" customHeight="1">
      <x:c r="A10" s="11" t="str">
        <x:v>S004</x:v>
      </x:c>
      <x:c r="B10" s="11" t="str">
        <x:v>I004</x:v>
      </x:c>
      <x:c r="C10" s="11" t="str">
        <x:v>688382.SH</x:v>
      </x:c>
      <x:c r="D10" s="11" t="str">
        <x:v>益方生物</x:v>
      </x:c>
      <x:c r="E10" s="11" t="str">
        <x:v>CNY</x:v>
      </x:c>
      <x:c r="F10" s="23" t="n">
        <x:v>17.26</x:v>
      </x:c>
      <x:c r="G10" s="23" t="str">
        <x:v>2026-10-09</x:v>
      </x:c>
      <x:c r="H10" s="23" t="n">
        <x:v>17.26</x:v>
      </x:c>
      <x:c r="I10" s="23" t="str">
        <x:v>2026-10-09</x:v>
      </x:c>
      <x:c r="J10" s="37" t="b">
        <x:v>1</x:v>
      </x:c>
      <x:c r="K10" s="23" t="n">
        <x:v>728</x:v>
      </x:c>
      <x:c r="L10" s="23" t="str">
        <x:v>Yahoo Finance chart</x:v>
      </x:c>
      <x:c r="M10" s="23" t="str">
        <x:v>high</x:v>
      </x:c>
      <x:c r="N10" s="23" t="str">
        <x:v>中短期下降</x:v>
      </x:c>
      <x:c r="O10" s="23" t="n">
        <x:v>18.6855</x:v>
      </x:c>
      <x:c r="P10" s="23" t="n">
        <x:v>20.633333</x:v>
      </x:c>
      <x:c r="Q10" s="23" t="n">
        <x:v>20.319917</x:v>
      </x:c>
      <x:c r="R10" s="23" t="n">
        <x:v>23.2614</x:v>
      </x:c>
      <x:c r="S10" s="23" t="n">
        <x:v>-2.555344</x:v>
      </x:c>
      <x:c r="T10" s="23" t="n">
        <x:v>-1.603122</x:v>
      </x:c>
      <x:c r="U10" s="23" t="n">
        <x:v>-13.440325</x:v>
      </x:c>
      <x:c r="V10" s="23" t="n">
        <x:v>-19.870013</x:v>
      </x:c>
      <x:c r="W10" s="38" t="n">
        <x:v>10969553</x:v>
      </x:c>
      <x:c r="X10" s="38" t="n">
        <x:v>15864441.8</x:v>
      </x:c>
      <x:c r="Y10" s="38" t="n">
        <x:v>11119860.9</x:v>
      </x:c>
      <x:c r="Z10" s="38" t="n">
        <x:v>18022997.5</x:v>
      </x:c>
      <x:c r="AA10" s="23" t="n">
        <x:v>0.996522</x:v>
      </x:c>
      <x:c r="AB10" s="23" t="n">
        <x:v>1.011985</x:v>
      </x:c>
      <x:c r="AC10" s="23" t="n">
        <x:v>39.759118</x:v>
      </x:c>
      <x:c r="AD10" s="23" t="n">
        <x:v>1.257872</x:v>
      </x:c>
      <x:c r="AE10" s="23" t="n">
        <x:v>-0.536364</x:v>
      </x:c>
      <x:c r="AF10" s="23" t="n">
        <x:v>-0.443539</x:v>
      </x:c>
      <x:c r="AG10" s="23" t="n">
        <x:v>16.639999</x:v>
      </x:c>
      <x:c r="AH10" s="23" t="n">
        <x:v>20.98</x:v>
      </x:c>
      <x:c r="AI10" s="23" t="n">
        <x:v>36.299999</x:v>
      </x:c>
      <x:c r="AJ10" s="23" t="n">
        <x:v>15.58</x:v>
      </x:c>
      <x:c r="AK10" s="23" t="n">
        <x:v>-53.496503</x:v>
      </x:c>
      <x:c r="AL10" s="11" t="str">
        <x:v>{"market":"沪深300","marketSymbol":"000300.SS","marketReturn20Pct":-5.169157,"marketReturn60Pct":-11.464817,"excess20Pct":-8.271168,"excess60Pct":-8.405196,"industryBenchmark":null,"industryExcess20Pct":null,"industryExcess60Pct":null,"industryMissingReason":"创新药/医药细分基准三年可核验数据未取得，行业相对强弱留空"}</x:v>
      </x:c>
      <x:c r="AM10" s="11" t="str"/>
      <x:c r="AN10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https://query2.finance.yahoo.com/v8/finance/chart/688382.SS?range=3y&amp;interval=1d&amp;events=div%2Csplits
https://proxy.finance.qq.com/ifzqgtimg/appstock/app/fqkline/get?param=sh688382,day,2023-10-09,2026-10-09,1000,qfq</x:v>
      </x:c>
    </x:row>
    <x:row r="11" ht="23" customHeight="1">
      <x:c r="A11" s="11" t="str">
        <x:v>S005</x:v>
      </x:c>
      <x:c r="B11" s="11" t="str">
        <x:v>I005</x:v>
      </x:c>
      <x:c r="C11" s="11" t="str">
        <x:v>688302.SH</x:v>
      </x:c>
      <x:c r="D11" s="11" t="str">
        <x:v>海创药业</x:v>
      </x:c>
      <x:c r="E11" s="11" t="str">
        <x:v>CNY</x:v>
      </x:c>
      <x:c r="F11" s="23" t="n">
        <x:v>32.09</x:v>
      </x:c>
      <x:c r="G11" s="23" t="str">
        <x:v>2026-10-09</x:v>
      </x:c>
      <x:c r="H11" s="23" t="n">
        <x:v>32.09</x:v>
      </x:c>
      <x:c r="I11" s="23" t="str">
        <x:v>2026-10-09</x:v>
      </x:c>
      <x:c r="J11" s="37" t="b">
        <x:v>1</x:v>
      </x:c>
      <x:c r="K11" s="23" t="n">
        <x:v>728</x:v>
      </x:c>
      <x:c r="L11" s="23" t="str">
        <x:v>Yahoo Finance chart</x:v>
      </x:c>
      <x:c r="M11" s="23" t="str">
        <x:v>high</x:v>
      </x:c>
      <x:c r="N11" s="23" t="str">
        <x:v>短期反弹，仍低于60日线</x:v>
      </x:c>
      <x:c r="O11" s="23" t="n">
        <x:v>31.4365</x:v>
      </x:c>
      <x:c r="P11" s="23" t="n">
        <x:v>34.346667</x:v>
      </x:c>
      <x:c r="Q11" s="23" t="n">
        <x:v>37.361167</x:v>
      </x:c>
      <x:c r="R11" s="23" t="n">
        <x:v>42.71156</x:v>
      </x:c>
      <x:c r="S11" s="23" t="n">
        <x:v>-0.490638</x:v>
      </x:c>
      <x:c r="T11" s="23" t="n">
        <x:v>-1.502695</x:v>
      </x:c>
      <x:c r="U11" s="23" t="n">
        <x:v>-0.372552</x:v>
      </x:c>
      <x:c r="V11" s="23" t="n">
        <x:v>-15.105818</x:v>
      </x:c>
      <x:c r="W11" s="38" t="n">
        <x:v>1313587</x:v>
      </x:c>
      <x:c r="X11" s="38" t="n">
        <x:v>1374563.8</x:v>
      </x:c>
      <x:c r="Y11" s="38" t="n">
        <x:v>1377667.2</x:v>
      </x:c>
      <x:c r="Z11" s="38" t="n">
        <x:v>1747110.217</x:v>
      </x:c>
      <x:c r="AA11" s="23" t="n">
        <x:v>0.952092</x:v>
      </x:c>
      <x:c r="AB11" s="23" t="n">
        <x:v>1.260886</x:v>
      </x:c>
      <x:c r="AC11" s="23" t="n">
        <x:v>47.82676</x:v>
      </x:c>
      <x:c r="AD11" s="23" t="n">
        <x:v>1.55029</x:v>
      </x:c>
      <x:c r="AE11" s="23" t="n">
        <x:v>-0.332551</x:v>
      </x:c>
      <x:c r="AF11" s="23" t="n">
        <x:v>-0.59426</x:v>
      </x:c>
      <x:c r="AG11" s="23" t="n">
        <x:v>28.68</x:v>
      </x:c>
      <x:c r="AH11" s="23" t="n">
        <x:v>34.169998</x:v>
      </x:c>
      <x:c r="AI11" s="23" t="n">
        <x:v>60</x:v>
      </x:c>
      <x:c r="AJ11" s="23" t="n">
        <x:v>28.68</x:v>
      </x:c>
      <x:c r="AK11" s="23" t="n">
        <x:v>-48.894739</x:v>
      </x:c>
      <x:c r="AL11" s="11" t="str">
        <x:v>{"market":"沪深300","marketSymbol":"000300.SS","marketReturn20Pct":-5.169157,"marketReturn60Pct":-11.464817,"excess20Pct":4.796605,"excess60Pct":-3.641001,"industryBenchmark":null,"industryExcess20Pct":null,"industryExcess60Pct":null,"industryMissingReason":"创新药/医药细分基准三年可核验数据未取得，行业相对强弱留空"}</x:v>
      </x:c>
      <x:c r="AM11" s="11" t="str">
        <x:v>1根Yahoo OHLC逻辑不一致，按腾讯同日完整bar修复，原字段及修复记录在历史文件</x:v>
      </x:c>
      <x:c r="AN11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https://query2.finance.yahoo.com/v8/finance/chart/688302.SS?range=3y&amp;interval=1d&amp;events=div%2Csplits
https://proxy.finance.qq.com/ifzqgtimg/appstock/app/fqkline/get?param=sh688302,day,2023-10-09,2026-10-09,1000,qfq</x:v>
      </x:c>
    </x:row>
    <x:row r="12" ht="23" customHeight="1">
      <x:c r="A12" s="11" t="str">
        <x:v>S006</x:v>
      </x:c>
      <x:c r="B12" s="11" t="str">
        <x:v>I006</x:v>
      </x:c>
      <x:c r="C12" s="11" t="str">
        <x:v>002821.SZ</x:v>
      </x:c>
      <x:c r="D12" s="11" t="str">
        <x:v>凯莱英</x:v>
      </x:c>
      <x:c r="E12" s="11" t="str">
        <x:v>CNY</x:v>
      </x:c>
      <x:c r="F12" s="23" t="n">
        <x:v>177.93</x:v>
      </x:c>
      <x:c r="G12" s="23" t="str">
        <x:v>2026-10-09</x:v>
      </x:c>
      <x:c r="H12" s="23" t="n">
        <x:v>177.93</x:v>
      </x:c>
      <x:c r="I12" s="23" t="str">
        <x:v>2026-10-09</x:v>
      </x:c>
      <x:c r="J12" s="37" t="b">
        <x:v>1</x:v>
      </x:c>
      <x:c r="K12" s="23" t="n">
        <x:v>728</x:v>
      </x:c>
      <x:c r="L12" s="23" t="str">
        <x:v>Yahoo Finance chart</x:v>
      </x:c>
      <x:c r="M12" s="23" t="str">
        <x:v>high</x:v>
      </x:c>
      <x:c r="N12" s="23" t="str">
        <x:v>回调，仍高于60日线</x:v>
      </x:c>
      <x:c r="O12" s="23" t="n">
        <x:v>178.601</x:v>
      </x:c>
      <x:c r="P12" s="23" t="n">
        <x:v>170.831166</x:v>
      </x:c>
      <x:c r="Q12" s="23" t="n">
        <x:v>148.55688</x:v>
      </x:c>
      <x:c r="R12" s="23" t="n">
        <x:v>123.034518</x:v>
      </x:c>
      <x:c r="S12" s="23" t="n">
        <x:v>2.485811</x:v>
      </x:c>
      <x:c r="T12" s="23" t="n">
        <x:v>1.135893</x:v>
      </x:c>
      <x:c r="U12" s="23" t="n">
        <x:v>5.772198</x:v>
      </x:c>
      <x:c r="V12" s="23" t="n">
        <x:v>10.357872</x:v>
      </x:c>
      <x:c r="W12" s="38" t="n">
        <x:v>8317971</x:v>
      </x:c>
      <x:c r="X12" s="38" t="n">
        <x:v>8155425</x:v>
      </x:c>
      <x:c r="Y12" s="38" t="n">
        <x:v>8663251.75</x:v>
      </x:c>
      <x:c r="Z12" s="38" t="n">
        <x:v>11667567.7</x:v>
      </x:c>
      <x:c r="AA12" s="23" t="n">
        <x:v>0.954762</x:v>
      </x:c>
      <x:c r="AB12" s="23" t="n">
        <x:v>1.024898</x:v>
      </x:c>
      <x:c r="AC12" s="23" t="n">
        <x:v>50.604677</x:v>
      </x:c>
      <x:c r="AD12" s="23" t="n">
        <x:v>9.775424</x:v>
      </x:c>
      <x:c r="AE12" s="23" t="n">
        <x:v>3.571274</x:v>
      </x:c>
      <x:c r="AF12" s="23" t="n">
        <x:v>4.18941</x:v>
      </x:c>
      <x:c r="AG12" s="23" t="n">
        <x:v>161.029999</x:v>
      </x:c>
      <x:c r="AH12" s="23" t="n">
        <x:v>194.320007</x:v>
      </x:c>
      <x:c r="AI12" s="23" t="n">
        <x:v>200</x:v>
      </x:c>
      <x:c r="AJ12" s="23" t="n">
        <x:v>87.700737</x:v>
      </x:c>
      <x:c r="AK12" s="23" t="n">
        <x:v>-25.440615</x:v>
      </x:c>
      <x:c r="AL12" s="11" t="str">
        <x:v>{"market":"沪深300","marketSymbol":"000300.SS","marketReturn20Pct":-5.169157,"marketReturn60Pct":-11.464817,"excess20Pct":10.941355,"excess60Pct":21.822689,"industryBenchmark":null,"industryExcess20Pct":null,"industryExcess60Pct":null,"industryMissingReason":"创新药/医药细分基准三年可核验数据未取得，行业相对强弱留空"}</x:v>
      </x:c>
      <x:c r="AM12" s="11" t="str"/>
      <x:c r="AN12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https://query2.finance.yahoo.com/v8/finance/chart/002821.SZ?range=3y&amp;interval=1d&amp;events=div%2Csplits
https://proxy.finance.qq.com/ifzqgtimg/appstock/app/fqkline/get?param=sz002821,day,2023-10-09,2026-10-09,1000,qfq</x:v>
      </x:c>
    </x:row>
    <x:row r="13" ht="23" customHeight="1">
      <x:c r="A13" s="11" t="str">
        <x:v>S007</x:v>
      </x:c>
      <x:c r="B13" s="11" t="str">
        <x:v>I007</x:v>
      </x:c>
      <x:c r="C13" s="11" t="str">
        <x:v>02172.HK</x:v>
      </x:c>
      <x:c r="D13" s="11" t="str">
        <x:v>微创脑科学</x:v>
      </x:c>
      <x:c r="E13" s="11" t="str">
        <x:v>HKD</x:v>
      </x:c>
      <x:c r="F13" s="23" t="n">
        <x:v>8.055</x:v>
      </x:c>
      <x:c r="G13" s="23" t="str">
        <x:v>2026-08-31</x:v>
      </x:c>
      <x:c r="H13" s="23" t="n">
        <x:v>8.055</x:v>
      </x:c>
      <x:c r="I13" s="23" t="str">
        <x:v>2026-08-31</x:v>
      </x:c>
      <x:c r="J13" s="37" t="b">
        <x:v>0</x:v>
      </x:c>
      <x:c r="K13" s="23" t="n">
        <x:v>711</x:v>
      </x:c>
      <x:c r="L13" s="23" t="str">
        <x:v>Yahoo Finance chart</x:v>
      </x:c>
      <x:c r="M13" s="23" t="str">
        <x:v>low</x:v>
      </x:c>
      <x:c r="N13" s="23" t="str">
        <x:v>中短期下降</x:v>
      </x:c>
      <x:c r="O13" s="23" t="n">
        <x:v>8.7285</x:v>
      </x:c>
      <x:c r="P13" s="23" t="n">
        <x:v>9.254111</x:v>
      </x:c>
      <x:c r="Q13" s="23" t="n">
        <x:v>9.765513</x:v>
      </x:c>
      <x:c r="R13" s="23" t="n">
        <x:v>10.830975</x:v>
      </x:c>
      <x:c r="S13" s="23" t="n">
        <x:v>-1.76416</x:v>
      </x:c>
      <x:c r="T13" s="23" t="n">
        <x:v>-0.822321</x:v>
      </x:c>
      <x:c r="U13" s="23" t="n">
        <x:v>-8.725212</x:v>
      </x:c>
      <x:c r="V13" s="23" t="n">
        <x:v>-13.430158</x:v>
      </x:c>
      <x:c r="W13" s="38" t="n">
        <x:v>1619000</x:v>
      </x:c>
      <x:c r="X13" s="38" t="n">
        <x:v>1197819.4</x:v>
      </x:c>
      <x:c r="Y13" s="38" t="n">
        <x:v>1167639.25</x:v>
      </x:c>
      <x:c r="Z13" s="38" t="n">
        <x:v>2256450.183</x:v>
      </x:c>
      <x:c r="AA13" s="23" t="n">
        <x:v>1.410178</x:v>
      </x:c>
      <x:c r="AB13" s="23" t="n">
        <x:v>0.594624</x:v>
      </x:c>
      <x:c r="AC13" s="23" t="n">
        <x:v>31.51264</x:v>
      </x:c>
      <x:c r="AD13" s="23" t="n">
        <x:v>0.27735</x:v>
      </x:c>
      <x:c r="AE13" s="23" t="n">
        <x:v>-0.231878</x:v>
      </x:c>
      <x:c r="AF13" s="23" t="n">
        <x:v>-0.185626</x:v>
      </x:c>
      <x:c r="AG13" s="23" t="n">
        <x:v>8.005</x:v>
      </x:c>
      <x:c r="AH13" s="23" t="n">
        <x:v>9.24</x:v>
      </x:c>
      <x:c r="AI13" s="23" t="n">
        <x:v>14.961836</x:v>
      </x:c>
      <x:c r="AJ13" s="23" t="n">
        <x:v>8.005</x:v>
      </x:c>
      <x:c r="AK13" s="23" t="n">
        <x:v>-45.551651</x:v>
      </x:c>
      <x:c r="AL13" s="11" t="str">
        <x:v>{"market":"恒生指数","marketSymbol":"^HSI","marketReturn20Pct":-2.977908,"marketReturn60Pct":-3.187903,"excess20Pct":-5.747304,"excess60Pct":-10.242255,"industryBenchmark":null,"industryExcess20Pct":null,"industryExcess60Pct":null,"industryMissingReason":"创新药/医药细分基准三年可核验数据未取得，行业相对强弱留空"}</x:v>
      </x:c>
      <x:c r="AM13" s="11" t="str">
        <x:v>自2026-09-01停牌；行情自动刷新时间不代表当日可交易收盘。当前价仅为2026-08-31参考价。；11根Yahoo OHLC逻辑不一致，按腾讯同日完整bar修复，原字段及修复记录在历史文件；历史最后交易日2026-08-31，不具备10月9日完整交易日锚；成交量单位未完成跨源核验，报价股数留空</x:v>
      </x:c>
      <x:c r="AN13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https://query2.finance.yahoo.com/v8/finance/chart/2172.HK?range=3y&amp;interval=1d&amp;events=div%2Csplits
https://proxy.finance.qq.com/ifzqgtimg/appstock/app/fqkline/get?param=hk02172,day,2023-10-09,2026-10-09,1000,qfq</x:v>
      </x:c>
    </x:row>
    <x:row r="14" ht="23" customHeight="1">
      <x:c r="A14" s="11" t="str">
        <x:v>S008</x:v>
      </x:c>
      <x:c r="B14" s="11" t="str">
        <x:v>I008</x:v>
      </x:c>
      <x:c r="C14" s="11" t="str">
        <x:v>03696.HK</x:v>
      </x:c>
      <x:c r="D14" s="11" t="str">
        <x:v>英矽智能</x:v>
      </x:c>
      <x:c r="E14" s="11" t="str">
        <x:v>HKD</x:v>
      </x:c>
      <x:c r="F14" s="23" t="n">
        <x:v>49</x:v>
      </x:c>
      <x:c r="G14" s="23" t="str">
        <x:v>2026-10-09</x:v>
      </x:c>
      <x:c r="H14" s="23" t="n">
        <x:v>49</x:v>
      </x:c>
      <x:c r="I14" s="23" t="str">
        <x:v>2026-10-09</x:v>
      </x:c>
      <x:c r="J14" s="37" t="b">
        <x:v>1</x:v>
      </x:c>
      <x:c r="K14" s="23" t="n">
        <x:v>192</x:v>
      </x:c>
      <x:c r="L14" s="23" t="str">
        <x:v>Yahoo Finance chart</x:v>
      </x:c>
      <x:c r="M14" s="23" t="str">
        <x:v>medium</x:v>
      </x:c>
      <x:c r="N14" s="23" t="str">
        <x:v>回调，仍高于60日线</x:v>
      </x:c>
      <x:c r="O14" s="23" t="n">
        <x:v>55.4745</x:v>
      </x:c>
      <x:c r="P14" s="23" t="n">
        <x:v>48.714333</x:v>
      </x:c>
      <x:c r="Q14" s="23" t="n">
        <x:v>48.6925</x:v>
      </x:c>
      <x:c r="R14" s="23"/>
      <x:c r="S14" s="23" t="n">
        <x:v>1.127498</x:v>
      </x:c>
      <x:c r="T14" s="23" t="n">
        <x:v>1.122328</x:v>
      </x:c>
      <x:c r="U14" s="23" t="n">
        <x:v>-9.090912</x:v>
      </x:c>
      <x:c r="V14" s="23" t="n">
        <x:v>-0.0408</x:v>
      </x:c>
      <x:c r="W14" s="38" t="n">
        <x:v>16254644</x:v>
      </x:c>
      <x:c r="X14" s="38" t="n">
        <x:v>13586194.2</x:v>
      </x:c>
      <x:c r="Y14" s="38" t="n">
        <x:v>15739754.6</x:v>
      </x:c>
      <x:c r="Z14" s="38" t="n">
        <x:v>15422760.55</x:v>
      </x:c>
      <x:c r="AA14" s="23" t="n">
        <x:v>1.030228</x:v>
      </x:c>
      <x:c r="AB14" s="23" t="n">
        <x:v>0.906719</x:v>
      </x:c>
      <x:c r="AC14" s="23" t="n">
        <x:v>43.61431</x:v>
      </x:c>
      <x:c r="AD14" s="23" t="n">
        <x:v>4.186056</x:v>
      </x:c>
      <x:c r="AE14" s="23" t="n">
        <x:v>0.809645</x:v>
      </x:c>
      <x:c r="AF14" s="23" t="n">
        <x:v>2.158581</x:v>
      </x:c>
      <x:c r="AG14" s="23" t="n">
        <x:v>46.599998</x:v>
      </x:c>
      <x:c r="AH14" s="23" t="n">
        <x:v>65.199997</x:v>
      </x:c>
      <x:c r="AI14" s="23" t="n">
        <x:v>80.900002</x:v>
      </x:c>
      <x:c r="AJ14" s="23" t="n">
        <x:v>29.98</x:v>
      </x:c>
      <x:c r="AK14" s="23" t="n">
        <x:v>-57.215352</x:v>
      </x:c>
      <x:c r="AL14" s="11" t="str">
        <x:v>{"market":"恒生指数","marketSymbol":"^HSI","marketReturn20Pct":-2.977908,"marketReturn60Pct":-3.187903,"excess20Pct":-6.113004,"excess60Pct":3.147103,"industryBenchmark":"国证港股通创新药987018（粗粒度参考，非每公司专属行业）","industryExcess20Pct":-9.97165,"industryExcess60Pct":3.182192,"industryMissingReason":null,"industryBenchmarkId":"S021","industryBenchmarkQuality":"官方单来源指数；价回报非含分红，量禁用"}</x:v>
      </x:c>
      <x:c r="AM14" s="11" t="str">
        <x:v>真实历史仅192根日线，250日均线或一年统计不足</x:v>
      </x:c>
      <x:c r="AN14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https://query2.finance.yahoo.com/v8/finance/chart/3696.HK?range=3y&amp;interval=1d&amp;events=div%2Csplits
https://proxy.finance.qq.com/ifzqgtimg/appstock/app/fqkline/get?param=hk03696,day,2023-10-09,2026-10-09,1000,qfq</x:v>
      </x:c>
    </x:row>
    <x:row r="15" ht="23" customHeight="1">
      <x:c r="A15" s="11" t="str">
        <x:v>S009</x:v>
      </x:c>
      <x:c r="B15" s="11"/>
      <x:c r="C15" s="11" t="str">
        <x:v>159502.SZ</x:v>
      </x:c>
      <x:c r="D15" s="11" t="str">
        <x:v>嘉实标普生物科技精选行业ETF(QDII)</x:v>
      </x:c>
      <x:c r="E15" s="11" t="str">
        <x:v>CNY</x:v>
      </x:c>
      <x:c r="F15" s="23" t="n">
        <x:v>1.58</x:v>
      </x:c>
      <x:c r="G15" s="23" t="str">
        <x:v>2026-10-09</x:v>
      </x:c>
      <x:c r="H15" s="23" t="n">
        <x:v>1.58</x:v>
      </x:c>
      <x:c r="I15" s="23" t="str">
        <x:v>2026-10-09</x:v>
      </x:c>
      <x:c r="J15" s="37" t="b">
        <x:v>1</x:v>
      </x:c>
      <x:c r="K15" s="23" t="n">
        <x:v>662</x:v>
      </x:c>
      <x:c r="L15" s="23" t="str">
        <x:v>Yahoo Finance chart + Tencent latest complete OHLC</x:v>
      </x:c>
      <x:c r="M15" s="23" t="str">
        <x:v>high</x:v>
      </x:c>
      <x:c r="N15" s="23" t="str">
        <x:v>中短期下降</x:v>
      </x:c>
      <x:c r="O15" s="23" t="n">
        <x:v>1.5979</x:v>
      </x:c>
      <x:c r="P15" s="23" t="n">
        <x:v>1.5875</x:v>
      </x:c>
      <x:c r="Q15" s="23" t="n">
        <x:v>1.492958</x:v>
      </x:c>
      <x:c r="R15" s="23" t="n">
        <x:v>1.366234</x:v>
      </x:c>
      <x:c r="S15" s="23" t="n">
        <x:v>-0.877764</x:v>
      </x:c>
      <x:c r="T15" s="23" t="n">
        <x:v>-0.50141</x:v>
      </x:c>
      <x:c r="U15" s="23" t="n">
        <x:v>-4.589372</x:v>
      </x:c>
      <x:c r="V15" s="23" t="n">
        <x:v>-6.064209</x:v>
      </x:c>
      <x:c r="W15" s="38" t="n">
        <x:v>82540121</x:v>
      </x:c>
      <x:c r="X15" s="38" t="n">
        <x:v>173871415</x:v>
      </x:c>
      <x:c r="Y15" s="38" t="n">
        <x:v>156630239.5</x:v>
      </x:c>
      <x:c r="Z15" s="38" t="n">
        <x:v>170808511.4</x:v>
      </x:c>
      <x:c r="AA15" s="23" t="n">
        <x:v>0.502149</x:v>
      </x:c>
      <x:c r="AB15" s="23" t="n">
        <x:v>0.757167</x:v>
      </x:c>
      <x:c r="AC15" s="23" t="n">
        <x:v>47.352639</x:v>
      </x:c>
      <x:c r="AD15" s="23" t="n">
        <x:v>0.038043</x:v>
      </x:c>
      <x:c r="AE15" s="23" t="n">
        <x:v>-0.003619</x:v>
      </x:c>
      <x:c r="AF15" s="23" t="n">
        <x:v>-0.001313</x:v>
      </x:c>
      <x:c r="AG15" s="23" t="n">
        <x:v>1.536</x:v>
      </x:c>
      <x:c r="AH15" s="23" t="n">
        <x:v>1.676</x:v>
      </x:c>
      <x:c r="AI15" s="23" t="n">
        <x:v>1.767</x:v>
      </x:c>
      <x:c r="AJ15" s="23" t="n">
        <x:v>0.99</x:v>
      </x:c>
      <x:c r="AK15" s="23" t="n">
        <x:v>-14.92192</x:v>
      </x:c>
      <x:c r="AL15" s="11" t="str">
        <x:v>{"market":"沪深300","marketSymbol":"000300.SS","marketReturn20Pct":-5.169157,"marketReturn60Pct":-11.464817,"excess20Pct":0.579785,"excess60Pct":5.400608,"industryBenchmark":null,"industryExcess20Pct":null,"industryExcess60Pct":null}</x:v>
      </x:c>
      <x:c r="AM15" s="11" t="str">
        <x:v>Yahoo最新完整OHLC缺失，追加腾讯完整最新bar；最新成交量用独立Sina/Yahoo metadata股数核验；排除4根早于可交易上市日2024-01-10的来源记录</x:v>
      </x:c>
      <x:c r="AN15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https://query2.finance.yahoo.com/v8/finance/chart/159502.SZ?range=3y&amp;interval=1d&amp;events=div%2Csplits
https://proxy.finance.qq.com/ifzqgtimg/appstock/app/fqkline/get?param=sz159502,day,2023-10-09,2026-10-09,1000,qfq</x:v>
      </x:c>
    </x:row>
    <x:row r="16" ht="23" customHeight="1">
      <x:c r="A16" s="11" t="str">
        <x:v>S010</x:v>
      </x:c>
      <x:c r="B16" s="11" t="str">
        <x:v>I009</x:v>
      </x:c>
      <x:c r="C16" s="11" t="str">
        <x:v>02252.HK</x:v>
      </x:c>
      <x:c r="D16" s="11" t="str">
        <x:v>微创机器人-B</x:v>
      </x:c>
      <x:c r="E16" s="11" t="str">
        <x:v>HKD</x:v>
      </x:c>
      <x:c r="F16" s="23" t="n">
        <x:v>21.18</x:v>
      </x:c>
      <x:c r="G16" s="23" t="str">
        <x:v>2026-08-31</x:v>
      </x:c>
      <x:c r="H16" s="23" t="n">
        <x:v>21.18</x:v>
      </x:c>
      <x:c r="I16" s="23" t="str">
        <x:v>2026-08-31</x:v>
      </x:c>
      <x:c r="J16" s="37" t="b">
        <x:v>0</x:v>
      </x:c>
      <x:c r="K16" s="23" t="n">
        <x:v>711</x:v>
      </x:c>
      <x:c r="L16" s="23" t="str">
        <x:v>Yahoo Finance chart</x:v>
      </x:c>
      <x:c r="M16" s="23" t="str">
        <x:v>low</x:v>
      </x:c>
      <x:c r="N16" s="23" t="str">
        <x:v>趋势交错/震荡</x:v>
      </x:c>
      <x:c r="O16" s="23" t="n">
        <x:v>23.494</x:v>
      </x:c>
      <x:c r="P16" s="23" t="n">
        <x:v>23.215333</x:v>
      </x:c>
      <x:c r="Q16" s="23" t="n">
        <x:v>25.373833</x:v>
      </x:c>
      <x:c r="R16" s="23" t="n">
        <x:v>25.63164</x:v>
      </x:c>
      <x:c r="S16" s="23" t="n">
        <x:v>1.657219</x:v>
      </x:c>
      <x:c r="T16" s="23" t="n">
        <x:v>-0.965517</x:v>
      </x:c>
      <x:c r="U16" s="23" t="n">
        <x:v>-0.376294</x:v>
      </x:c>
      <x:c r="V16" s="23" t="n">
        <x:v>-13.267813</x:v>
      </x:c>
      <x:c r="W16" s="38" t="n">
        <x:v>4634808</x:v>
      </x:c>
      <x:c r="X16" s="38" t="n">
        <x:v>4458803.8</x:v>
      </x:c>
      <x:c r="Y16" s="38" t="n">
        <x:v>5110254.35</x:v>
      </x:c>
      <x:c r="Z16" s="38" t="n">
        <x:v>5865401.05</x:v>
      </x:c>
      <x:c r="AA16" s="23" t="n">
        <x:v>0.917819</x:v>
      </x:c>
      <x:c r="AB16" s="23" t="n">
        <x:v>1.285205</x:v>
      </x:c>
      <x:c r="AC16" s="23" t="n">
        <x:v>40.016595</x:v>
      </x:c>
      <x:c r="AD16" s="23" t="n">
        <x:v>1.417891</x:v>
      </x:c>
      <x:c r="AE16" s="23" t="n">
        <x:v>-0.238114</x:v>
      </x:c>
      <x:c r="AF16" s="23" t="n">
        <x:v>0.054383</x:v>
      </x:c>
      <x:c r="AG16" s="23" t="n">
        <x:v>20.52</x:v>
      </x:c>
      <x:c r="AH16" s="23" t="n">
        <x:v>26.68</x:v>
      </x:c>
      <x:c r="AI16" s="23" t="n">
        <x:v>35.34</x:v>
      </x:c>
      <x:c r="AJ16" s="23" t="n">
        <x:v>18.76</x:v>
      </x:c>
      <x:c r="AK16" s="23" t="n">
        <x:v>-43.246314</x:v>
      </x:c>
      <x:c r="AL16" s="11" t="str">
        <x:v>{"market":"恒生指数","marketSymbol":"^HSI","marketReturn20Pct":-2.977908,"marketReturn60Pct":-3.187903,"excess20Pct":2.601614,"excess60Pct":-10.07991,"industryBenchmark":null,"industryExcess20Pct":null,"industryExcess60Pct":null,"industryMissingReason":"创新药/医药细分基准三年可核验数据未取得，行业相对强弱留空"}</x:v>
      </x:c>
      <x:c r="AM16" s="11" t="str">
        <x:v>自2026-09-01停牌；行情自动刷新时间不代表当日可交易收盘。当前价仅为2026-08-31参考价。；3根Yahoo OHLC逻辑不一致，按腾讯同日完整bar修复，原字段及修复记录在历史文件；历史最后交易日2026-08-31，不具备10月9日完整交易日锚；成交量单位未完成跨源核验，报价股数留空</x:v>
      </x:c>
      <x:c r="AN16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https://query2.finance.yahoo.com/v8/finance/chart/2252.HK?range=3y&amp;interval=1d&amp;events=div%2Csplits
https://proxy.finance.qq.com/ifzqgtimg/appstock/app/fqkline/get?param=hk02252,day,2023-10-09,2026-10-09,1000,qfq</x:v>
      </x:c>
    </x:row>
    <x:row r="17" ht="23" customHeight="1">
      <x:c r="A17" s="11" t="str">
        <x:v>S011</x:v>
      </x:c>
      <x:c r="B17" s="11" t="str">
        <x:v>I010</x:v>
      </x:c>
      <x:c r="C17" s="11" t="str">
        <x:v>603259.SH</x:v>
      </x:c>
      <x:c r="D17" s="11" t="str">
        <x:v>药明康德</x:v>
      </x:c>
      <x:c r="E17" s="11" t="str">
        <x:v>CNY</x:v>
      </x:c>
      <x:c r="F17" s="23" t="n">
        <x:v>157.8</x:v>
      </x:c>
      <x:c r="G17" s="23" t="str">
        <x:v>2026-10-09</x:v>
      </x:c>
      <x:c r="H17" s="23" t="n">
        <x:v>157.8</x:v>
      </x:c>
      <x:c r="I17" s="23" t="str">
        <x:v>2026-10-09</x:v>
      </x:c>
      <x:c r="J17" s="37" t="b">
        <x:v>1</x:v>
      </x:c>
      <x:c r="K17" s="23" t="n">
        <x:v>728</x:v>
      </x:c>
      <x:c r="L17" s="23" t="str">
        <x:v>Yahoo Finance chart</x:v>
      </x:c>
      <x:c r="M17" s="23" t="str">
        <x:v>high</x:v>
      </x:c>
      <x:c r="N17" s="23" t="str">
        <x:v>回调，仍高于60日线</x:v>
      </x:c>
      <x:c r="O17" s="23" t="n">
        <x:v>159.677002</x:v>
      </x:c>
      <x:c r="P17" s="23" t="n">
        <x:v>149.006777</x:v>
      </x:c>
      <x:c r="Q17" s="23" t="n">
        <x:v>127.062395</x:v>
      </x:c>
      <x:c r="R17" s="23" t="n">
        <x:v>110.39047</x:v>
      </x:c>
      <x:c r="S17" s="23" t="n">
        <x:v>1.042117</x:v>
      </x:c>
      <x:c r="T17" s="23" t="n">
        <x:v>2.401864</x:v>
      </x:c>
      <x:c r="U17" s="23" t="n">
        <x:v>1.076091</x:v>
      </x:c>
      <x:c r="V17" s="23" t="n">
        <x:v>30.763597</x:v>
      </x:c>
      <x:c r="W17" s="38" t="n">
        <x:v>60449666</x:v>
      </x:c>
      <x:c r="X17" s="38" t="n">
        <x:v>43089468.2</x:v>
      </x:c>
      <x:c r="Y17" s="38" t="n">
        <x:v>35609010.05</x:v>
      </x:c>
      <x:c r="Z17" s="38" t="n">
        <x:v>54620653.233</x:v>
      </x:c>
      <x:c r="AA17" s="23" t="n">
        <x:v>1.773148</x:v>
      </x:c>
      <x:c r="AB17" s="23" t="n">
        <x:v>0.618787</x:v>
      </x:c>
      <x:c r="AC17" s="23" t="n">
        <x:v>48.822334</x:v>
      </x:c>
      <x:c r="AD17" s="23" t="n">
        <x:v>6.60394</x:v>
      </x:c>
      <x:c r="AE17" s="23" t="n">
        <x:v>2.609847</x:v>
      </x:c>
      <x:c r="AF17" s="23" t="n">
        <x:v>3.260676</x:v>
      </x:c>
      <x:c r="AG17" s="23" t="n">
        <x:v>149.699997</x:v>
      </x:c>
      <x:c r="AH17" s="23" t="n">
        <x:v>171.199997</x:v>
      </x:c>
      <x:c r="AI17" s="23" t="n">
        <x:v>173.034755</x:v>
      </x:c>
      <x:c r="AJ17" s="23" t="n">
        <x:v>85.446393</x:v>
      </x:c>
      <x:c r="AK17" s="23" t="n">
        <x:v>-22.357103</x:v>
      </x:c>
      <x:c r="AL17" s="11" t="str">
        <x:v>{"market":"沪深300","marketSymbol":"000300.SS","marketReturn20Pct":-5.169157,"marketReturn60Pct":-11.464817,"excess20Pct":6.245248,"excess60Pct":42.228414,"industryBenchmark":null,"industryExcess20Pct":null,"industryExcess60Pct":null,"industryMissingReason":"创新药/医药细分基准三年可核验数据未取得，行业相对强弱留空"}</x:v>
      </x:c>
      <x:c r="AM17" s="11" t="str"/>
      <x:c r="AN17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https://query2.finance.yahoo.com/v8/finance/chart/603259.SS?range=3y&amp;interval=1d&amp;events=div%2Csplits
https://proxy.finance.qq.com/ifzqgtimg/appstock/app/fqkline/get?param=sh603259,day,2023-10-09,2026-10-09,1000,qfq</x:v>
      </x:c>
    </x:row>
    <x:row r="18" ht="23" customHeight="1">
      <x:c r="A18" s="11" t="str">
        <x:v>S012</x:v>
      </x:c>
      <x:c r="B18" s="11" t="str">
        <x:v>I011</x:v>
      </x:c>
      <x:c r="C18" s="11" t="str">
        <x:v>600276.SH</x:v>
      </x:c>
      <x:c r="D18" s="11" t="str">
        <x:v>恒瑞医药</x:v>
      </x:c>
      <x:c r="E18" s="11" t="str">
        <x:v>CNY</x:v>
      </x:c>
      <x:c r="F18" s="23" t="n">
        <x:v>46.85</x:v>
      </x:c>
      <x:c r="G18" s="23" t="str">
        <x:v>2026-10-09</x:v>
      </x:c>
      <x:c r="H18" s="23" t="n">
        <x:v>46.85</x:v>
      </x:c>
      <x:c r="I18" s="23" t="str">
        <x:v>2026-10-09</x:v>
      </x:c>
      <x:c r="J18" s="37" t="b">
        <x:v>1</x:v>
      </x:c>
      <x:c r="K18" s="23" t="n">
        <x:v>728</x:v>
      </x:c>
      <x:c r="L18" s="23" t="str">
        <x:v>Yahoo Finance chart</x:v>
      </x:c>
      <x:c r="M18" s="23" t="str">
        <x:v>high</x:v>
      </x:c>
      <x:c r="N18" s="23" t="str">
        <x:v>短期反弹，仍低于60日线</x:v>
      </x:c>
      <x:c r="O18" s="23" t="n">
        <x:v>44.9295</x:v>
      </x:c>
      <x:c r="P18" s="23" t="n">
        <x:v>49.763667</x:v>
      </x:c>
      <x:c r="Q18" s="23" t="n">
        <x:v>50.825518</x:v>
      </x:c>
      <x:c r="R18" s="23" t="n">
        <x:v>55.844807</x:v>
      </x:c>
      <x:c r="S18" s="23" t="n">
        <x:v>0</x:v>
      </x:c>
      <x:c r="T18" s="23" t="n">
        <x:v>-1.486372</x:v>
      </x:c>
      <x:c r="U18" s="23" t="n">
        <x:v>1.936464</x:v>
      </x:c>
      <x:c r="V18" s="23" t="n">
        <x:v>-15.752568</x:v>
      </x:c>
      <x:c r="W18" s="38" t="n">
        <x:v>62812798</x:v>
      </x:c>
      <x:c r="X18" s="38" t="n">
        <x:v>73875036.2</x:v>
      </x:c>
      <x:c r="Y18" s="38" t="n">
        <x:v>63428489.5</x:v>
      </x:c>
      <x:c r="Z18" s="38" t="n">
        <x:v>81264175.717</x:v>
      </x:c>
      <x:c r="AA18" s="23" t="n">
        <x:v>1.000165</x:v>
      </x:c>
      <x:c r="AB18" s="23" t="n">
        <x:v>0.755147</x:v>
      </x:c>
      <x:c r="AC18" s="23" t="n">
        <x:v>53.330699</x:v>
      </x:c>
      <x:c r="AD18" s="23" t="n">
        <x:v>1.254108</x:v>
      </x:c>
      <x:c r="AE18" s="23" t="n">
        <x:v>-0.43599</x:v>
      </x:c>
      <x:c r="AF18" s="23" t="n">
        <x:v>-1.032607</x:v>
      </x:c>
      <x:c r="AG18" s="23" t="n">
        <x:v>41.889999</x:v>
      </x:c>
      <x:c r="AH18" s="23" t="n">
        <x:v>47.580002</x:v>
      </x:c>
      <x:c r="AI18" s="23" t="n">
        <x:v>72.822764</x:v>
      </x:c>
      <x:c r="AJ18" s="23" t="n">
        <x:v>41.889999</x:v>
      </x:c>
      <x:c r="AK18" s="23" t="n">
        <x:v>-40.716533</x:v>
      </x:c>
      <x:c r="AL18" s="11" t="str">
        <x:v>{"market":"沪深300","marketSymbol":"000300.SS","marketReturn20Pct":-5.169157,"marketReturn60Pct":-11.464817,"excess20Pct":7.105621,"excess60Pct":-4.287751,"industryBenchmark":null,"industryExcess20Pct":null,"industryExcess60Pct":null,"industryMissingReason":"创新药/医药细分基准三年可核验数据未取得，行业相对强弱留空"}</x:v>
      </x:c>
      <x:c r="AM18" s="11" t="str"/>
      <x:c r="AN18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https://query2.finance.yahoo.com/v8/finance/chart/600276.SS?range=3y&amp;interval=1d&amp;events=div%2Csplits
https://proxy.finance.qq.com/ifzqgtimg/appstock/app/fqkline/get?param=sh600276,day,2023-10-09,2026-10-09,1000,qfq</x:v>
      </x:c>
    </x:row>
    <x:row r="19" ht="23" customHeight="1">
      <x:c r="A19" s="11" t="str">
        <x:v>S013</x:v>
      </x:c>
      <x:c r="B19" s="11" t="str">
        <x:v>I012</x:v>
      </x:c>
      <x:c r="C19" s="11" t="str">
        <x:v>688235.SH</x:v>
      </x:c>
      <x:c r="D19" s="11" t="str">
        <x:v>百济神州</x:v>
      </x:c>
      <x:c r="E19" s="11" t="str">
        <x:v>CNY</x:v>
      </x:c>
      <x:c r="F19" s="23" t="n">
        <x:v>249.42</x:v>
      </x:c>
      <x:c r="G19" s="23" t="str">
        <x:v>2026-10-09</x:v>
      </x:c>
      <x:c r="H19" s="23" t="n">
        <x:v>249.42</x:v>
      </x:c>
      <x:c r="I19" s="23" t="str">
        <x:v>2026-10-09</x:v>
      </x:c>
      <x:c r="J19" s="37" t="b">
        <x:v>1</x:v>
      </x:c>
      <x:c r="K19" s="23" t="n">
        <x:v>728</x:v>
      </x:c>
      <x:c r="L19" s="23" t="str">
        <x:v>Yahoo Finance chart</x:v>
      </x:c>
      <x:c r="M19" s="23" t="str">
        <x:v>high</x:v>
      </x:c>
      <x:c r="N19" s="23" t="str">
        <x:v>中短期下降</x:v>
      </x:c>
      <x:c r="O19" s="23" t="n">
        <x:v>258.518499</x:v>
      </x:c>
      <x:c r="P19" s="23" t="n">
        <x:v>269.867332</x:v>
      </x:c>
      <x:c r="Q19" s="23" t="n">
        <x:v>254.992249</x:v>
      </x:c>
      <x:c r="R19" s="23" t="n">
        <x:v>264.949959</x:v>
      </x:c>
      <x:c r="S19" s="23" t="n">
        <x:v>-1.218725</x:v>
      </x:c>
      <x:c r="T19" s="23" t="n">
        <x:v>-0.263446</x:v>
      </x:c>
      <x:c r="U19" s="23" t="n">
        <x:v>-7.306374</x:v>
      </x:c>
      <x:c r="V19" s="23" t="n">
        <x:v>-4.356163</x:v>
      </x:c>
      <x:c r="W19" s="38" t="n">
        <x:v>2694311</x:v>
      </x:c>
      <x:c r="X19" s="38" t="n">
        <x:v>2892009.4</x:v>
      </x:c>
      <x:c r="Y19" s="38" t="n">
        <x:v>2823748.2</x:v>
      </x:c>
      <x:c r="Z19" s="38" t="n">
        <x:v>4839833.217</x:v>
      </x:c>
      <x:c r="AA19" s="23" t="n">
        <x:v>0.944524</x:v>
      </x:c>
      <x:c r="AB19" s="23" t="n">
        <x:v>0.89715</x:v>
      </x:c>
      <x:c r="AC19" s="23" t="n">
        <x:v>39.692972</x:v>
      </x:c>
      <x:c r="AD19" s="23" t="n">
        <x:v>9.4702</x:v>
      </x:c>
      <x:c r="AE19" s="23" t="n">
        <x:v>-3.863147</x:v>
      </x:c>
      <x:c r="AF19" s="23" t="n">
        <x:v>-3.583113</x:v>
      </x:c>
      <x:c r="AG19" s="23" t="n">
        <x:v>241.429993</x:v>
      </x:c>
      <x:c r="AH19" s="23" t="n">
        <x:v>272.709991</x:v>
      </x:c>
      <x:c r="AI19" s="23" t="n">
        <x:v>325</x:v>
      </x:c>
      <x:c r="AJ19" s="23" t="n">
        <x:v>205.509995</x:v>
      </x:c>
      <x:c r="AK19" s="23" t="n">
        <x:v>-34.108407</x:v>
      </x:c>
      <x:c r="AL19" s="11" t="str">
        <x:v>{"market":"沪深300","marketSymbol":"000300.SS","marketReturn20Pct":-5.169157,"marketReturn60Pct":-11.464817,"excess20Pct":-2.137217,"excess60Pct":7.108654,"industryBenchmark":null,"industryExcess20Pct":null,"industryExcess60Pct":null,"industryMissingReason":"创新药/医药细分基准三年可核验数据未取得，行业相对强弱留空"}</x:v>
      </x:c>
      <x:c r="AM19" s="11" t="str"/>
      <x:c r="AN19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https://query2.finance.yahoo.com/v8/finance/chart/688235.SS?range=3y&amp;interval=1d&amp;events=div%2Csplits
https://proxy.finance.qq.com/ifzqgtimg/appstock/app/fqkline/get?param=sh688235,day,2023-10-09,2026-10-09,1000,qfq</x:v>
      </x:c>
    </x:row>
    <x:row r="20" ht="23" customHeight="1">
      <x:c r="A20" s="11" t="str">
        <x:v>S014</x:v>
      </x:c>
      <x:c r="B20" s="11"/>
      <x:c r="C20" s="11" t="str">
        <x:v>513290.SH</x:v>
      </x:c>
      <x:c r="D20" s="11" t="str">
        <x:v>汇添富纳斯达克生物科技ETF</x:v>
      </x:c>
      <x:c r="E20" s="11" t="str">
        <x:v>CNY</x:v>
      </x:c>
      <x:c r="F20" s="23" t="n">
        <x:v>1.785</x:v>
      </x:c>
      <x:c r="G20" s="23" t="str">
        <x:v>2026-10-09</x:v>
      </x:c>
      <x:c r="H20" s="23" t="n">
        <x:v>1.785</x:v>
      </x:c>
      <x:c r="I20" s="23" t="str">
        <x:v>2026-10-09</x:v>
      </x:c>
      <x:c r="J20" s="37" t="b">
        <x:v>1</x:v>
      </x:c>
      <x:c r="K20" s="23" t="n">
        <x:v>728</x:v>
      </x:c>
      <x:c r="L20" s="23" t="str">
        <x:v>Yahoo Finance chart + Tencent latest complete OHLC</x:v>
      </x:c>
      <x:c r="M20" s="23" t="str">
        <x:v>high</x:v>
      </x:c>
      <x:c r="N20" s="23" t="str">
        <x:v>中短期上升</x:v>
      </x:c>
      <x:c r="O20" s="23" t="n">
        <x:v>1.77765</x:v>
      </x:c>
      <x:c r="P20" s="23" t="n">
        <x:v>1.714017</x:v>
      </x:c>
      <x:c r="Q20" s="23" t="n">
        <x:v>1.607242</x:v>
      </x:c>
      <x:c r="R20" s="23" t="n">
        <x:v>1.536512</x:v>
      </x:c>
      <x:c r="S20" s="23" t="n">
        <x:v>0.183161</x:v>
      </x:c>
      <x:c r="T20" s="23" t="n">
        <x:v>0.369893</x:v>
      </x:c>
      <x:c r="U20" s="23" t="n">
        <x:v>-3.252033</x:v>
      </x:c>
      <x:c r="V20" s="23" t="n">
        <x:v>2.645198</x:v>
      </x:c>
      <x:c r="W20" s="38" t="n">
        <x:v>185738302</x:v>
      </x:c>
      <x:c r="X20" s="38" t="n">
        <x:v>295734895.4</x:v>
      </x:c>
      <x:c r="Y20" s="38" t="n">
        <x:v>157722231.9</x:v>
      </x:c>
      <x:c r="Z20" s="38" t="n">
        <x:v>151537974.467</x:v>
      </x:c>
      <x:c r="AA20" s="23" t="n">
        <x:v>1.143606</x:v>
      </x:c>
      <x:c r="AB20" s="23" t="n">
        <x:v>1.322233</x:v>
      </x:c>
      <x:c r="AC20" s="23" t="n">
        <x:v>51.297803</x:v>
      </x:c>
      <x:c r="AD20" s="23" t="n">
        <x:v>0.04919</x:v>
      </x:c>
      <x:c r="AE20" s="23" t="n">
        <x:v>0.018621</x:v>
      </x:c>
      <x:c r="AF20" s="23" t="n">
        <x:v>0.016755</x:v>
      </x:c>
      <x:c r="AG20" s="23" t="n">
        <x:v>1.703</x:v>
      </x:c>
      <x:c r="AH20" s="23" t="n">
        <x:v>1.908</x:v>
      </x:c>
      <x:c r="AI20" s="23" t="n">
        <x:v>1.931</x:v>
      </x:c>
      <x:c r="AJ20" s="23" t="n">
        <x:v>1.228</x:v>
      </x:c>
      <x:c r="AK20" s="23" t="n">
        <x:v>-15.59633</x:v>
      </x:c>
      <x:c r="AL20" s="11" t="str">
        <x:v>{"market":"沪深300","marketSymbol":"000300.SS","marketReturn20Pct":-5.169157,"marketReturn60Pct":-11.464817,"excess20Pct":1.917124,"excess60Pct":14.110015,"industryBenchmark":null,"industryExcess20Pct":null,"industryExcess60Pct":null}</x:v>
      </x:c>
      <x:c r="AM20" s="11" t="str">
        <x:v>Yahoo最新完整OHLC缺失，追加腾讯完整最新bar；最新成交量用独立Sina/Yahoo metadata股数核验</x:v>
      </x:c>
      <x:c r="AN20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https://query2.finance.yahoo.com/v8/finance/chart/513290.SS?range=3y&amp;interval=1d&amp;events=div%2Csplits
https://proxy.finance.qq.com/ifzqgtimg/appstock/app/fqkline/get?param=sh513290,day,2023-10-09,2026-10-09,1000,qfq</x:v>
      </x:c>
    </x:row>
    <x:row r="21" ht="23" customHeight="1">
      <x:c r="A21" s="11" t="str">
        <x:v>S015</x:v>
      </x:c>
      <x:c r="B21" s="11" t="str">
        <x:v>I013</x:v>
      </x:c>
      <x:c r="C21" s="11" t="str">
        <x:v>300363.SZ</x:v>
      </x:c>
      <x:c r="D21" s="11" t="str">
        <x:v>博腾股份</x:v>
      </x:c>
      <x:c r="E21" s="11" t="str">
        <x:v>CNY</x:v>
      </x:c>
      <x:c r="F21" s="23" t="n">
        <x:v>23.68</x:v>
      </x:c>
      <x:c r="G21" s="23" t="str">
        <x:v>2026-10-09</x:v>
      </x:c>
      <x:c r="H21" s="23" t="n">
        <x:v>23.68</x:v>
      </x:c>
      <x:c r="I21" s="23" t="str">
        <x:v>2026-10-09</x:v>
      </x:c>
      <x:c r="J21" s="37" t="b">
        <x:v>1</x:v>
      </x:c>
      <x:c r="K21" s="23" t="n">
        <x:v>728</x:v>
      </x:c>
      <x:c r="L21" s="23" t="str">
        <x:v>Yahoo Finance chart</x:v>
      </x:c>
      <x:c r="M21" s="23" t="str">
        <x:v>high</x:v>
      </x:c>
      <x:c r="N21" s="23" t="str">
        <x:v>中短期上升</x:v>
      </x:c>
      <x:c r="O21" s="23" t="n">
        <x:v>22.4705</x:v>
      </x:c>
      <x:c r="P21" s="23" t="n">
        <x:v>20.0745</x:v>
      </x:c>
      <x:c r="Q21" s="23" t="n">
        <x:v>18.696237</x:v>
      </x:c>
      <x:c r="R21" s="23" t="n">
        <x:v>21.294075</x:v>
      </x:c>
      <x:c r="S21" s="23" t="n">
        <x:v>5.411174</x:v>
      </x:c>
      <x:c r="T21" s="23" t="n">
        <x:v>2.703002</x:v>
      </x:c>
      <x:c r="U21" s="23" t="n">
        <x:v>23.140926</x:v>
      </x:c>
      <x:c r="V21" s="23" t="n">
        <x:v>39.787477</x:v>
      </x:c>
      <x:c r="W21" s="38" t="n">
        <x:v>18854728</x:v>
      </x:c>
      <x:c r="X21" s="38" t="n">
        <x:v>18352937.2</x:v>
      </x:c>
      <x:c r="Y21" s="38" t="n">
        <x:v>22493011.75</x:v>
      </x:c>
      <x:c r="Z21" s="38" t="n">
        <x:v>30781960.45</x:v>
      </x:c>
      <x:c r="AA21" s="23" t="n">
        <x:v>0.841531</x:v>
      </x:c>
      <x:c r="AB21" s="23" t="n">
        <x:v>3.30679</x:v>
      </x:c>
      <x:c r="AC21" s="23" t="n">
        <x:v>57.975962</x:v>
      </x:c>
      <x:c r="AD21" s="23" t="n">
        <x:v>1.25753</x:v>
      </x:c>
      <x:c r="AE21" s="23" t="n">
        <x:v>1.049414</x:v>
      </x:c>
      <x:c r="AF21" s="23" t="n">
        <x:v>1.023654</x:v>
      </x:c>
      <x:c r="AG21" s="23" t="n">
        <x:v>18.950001</x:v>
      </x:c>
      <x:c r="AH21" s="23" t="n">
        <x:v>25.98</x:v>
      </x:c>
      <x:c r="AI21" s="23" t="n">
        <x:v>30.272328</x:v>
      </x:c>
      <x:c r="AJ21" s="23" t="n">
        <x:v>13.24</x:v>
      </x:c>
      <x:c r="AK21" s="23" t="n">
        <x:v>-54.518272</x:v>
      </x:c>
      <x:c r="AL21" s="11" t="str">
        <x:v>{"market":"沪深300","marketSymbol":"000300.SS","marketReturn20Pct":-5.169157,"marketReturn60Pct":-11.464817,"excess20Pct":28.310083,"excess60Pct":51.252294,"industryBenchmark":null,"industryExcess20Pct":null,"industryExcess60Pct":null,"industryMissingReason":"创新药/医药细分基准三年可核验数据未取得，行业相对强弱留空"}</x:v>
      </x:c>
      <x:c r="AM21" s="11" t="str"/>
      <x:c r="AN21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https://query2.finance.yahoo.com/v8/finance/chart/300363.SZ?range=3y&amp;interval=1d&amp;events=div%2Csplits
https://proxy.finance.qq.com/ifzqgtimg/appstock/app/fqkline/get?param=sz300363,day,2023-10-09,2026-10-09,1000,qfq</x:v>
      </x:c>
    </x:row>
    <x:row r="22" ht="23" customHeight="1">
      <x:c r="A22" s="11" t="str">
        <x:v>S016</x:v>
      </x:c>
      <x:c r="B22" s="11" t="str">
        <x:v>I014</x:v>
      </x:c>
      <x:c r="C22" s="11" t="str">
        <x:v>300760.SZ</x:v>
      </x:c>
      <x:c r="D22" s="11" t="str">
        <x:v>迈瑞医疗</x:v>
      </x:c>
      <x:c r="E22" s="11" t="str">
        <x:v>CNY</x:v>
      </x:c>
      <x:c r="F22" s="23" t="n">
        <x:v>161.4</x:v>
      </x:c>
      <x:c r="G22" s="23" t="str">
        <x:v>2026-10-09</x:v>
      </x:c>
      <x:c r="H22" s="23" t="n">
        <x:v>161.4</x:v>
      </x:c>
      <x:c r="I22" s="23" t="str">
        <x:v>2026-10-09</x:v>
      </x:c>
      <x:c r="J22" s="37" t="b">
        <x:v>1</x:v>
      </x:c>
      <x:c r="K22" s="23" t="n">
        <x:v>728</x:v>
      </x:c>
      <x:c r="L22" s="23" t="str">
        <x:v>Yahoo Finance chart</x:v>
      </x:c>
      <x:c r="M22" s="23" t="str">
        <x:v>high</x:v>
      </x:c>
      <x:c r="N22" s="23" t="str">
        <x:v>趋势交错/震荡</x:v>
      </x:c>
      <x:c r="O22" s="23" t="n">
        <x:v>160.68972</x:v>
      </x:c>
      <x:c r="P22" s="23" t="n">
        <x:v>155.627768</x:v>
      </x:c>
      <x:c r="Q22" s="23" t="n">
        <x:v>152.639604</x:v>
      </x:c>
      <x:c r="R22" s="23" t="n">
        <x:v>174.194071</x:v>
      </x:c>
      <x:c r="S22" s="23" t="n">
        <x:v>-0.929174</x:v>
      </x:c>
      <x:c r="T22" s="23" t="n">
        <x:v>1.157023</x:v>
      </x:c>
      <x:c r="U22" s="23" t="n">
        <x:v>-2.976836</x:v>
      </x:c>
      <x:c r="V22" s="23" t="n">
        <x:v>16.615579</x:v>
      </x:c>
      <x:c r="W22" s="38" t="n">
        <x:v>6943867</x:v>
      </x:c>
      <x:c r="X22" s="38" t="n">
        <x:v>7045435.6</x:v>
      </x:c>
      <x:c r="Y22" s="38" t="n">
        <x:v>6652279</x:v>
      </x:c>
      <x:c r="Z22" s="38" t="n">
        <x:v>9463370.267</x:v>
      </x:c>
      <x:c r="AA22" s="23" t="n">
        <x:v>1.042463</x:v>
      </x:c>
      <x:c r="AB22" s="23" t="n">
        <x:v>1.078523</x:v>
      </x:c>
      <x:c r="AC22" s="23" t="n">
        <x:v>54.363079</x:v>
      </x:c>
      <x:c r="AD22" s="23" t="n">
        <x:v>3.910902</x:v>
      </x:c>
      <x:c r="AE22" s="23" t="n">
        <x:v>0.07985</x:v>
      </x:c>
      <x:c r="AF22" s="23" t="n">
        <x:v>0.292372</x:v>
      </x:c>
      <x:c r="AG22" s="23" t="n">
        <x:v>153.720001</x:v>
      </x:c>
      <x:c r="AH22" s="23" t="n">
        <x:v>170.669998</x:v>
      </x:c>
      <x:c r="AI22" s="23" t="n">
        <x:v>242.938878</x:v>
      </x:c>
      <x:c r="AJ22" s="23" t="n">
        <x:v>129.632942</x:v>
      </x:c>
      <x:c r="AK22" s="23" t="n">
        <x:v>-45.120731</x:v>
      </x:c>
      <x:c r="AL22" s="11" t="str">
        <x:v>{"market":"沪深300","marketSymbol":"000300.SS","marketReturn20Pct":-5.169157,"marketReturn60Pct":-11.464817,"excess20Pct":2.192321,"excess60Pct":28.080396,"industryBenchmark":null,"industryExcess20Pct":null,"industryExcess60Pct":null,"industryMissingReason":"创新药/医药细分基准三年可核验数据未取得，行业相对强弱留空"}</x:v>
      </x:c>
      <x:c r="AM22" s="11" t="str">
        <x:v>1根Yahoo OHLC逻辑不一致，按腾讯同日完整bar修复，原字段及修复记录在历史文件</x:v>
      </x:c>
      <x:c r="AN22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https://query2.finance.yahoo.com/v8/finance/chart/300760.SZ?range=3y&amp;interval=1d&amp;events=div%2Csplits
https://proxy.finance.qq.com/ifzqgtimg/appstock/app/fqkline/get?param=sz300760,day,2023-10-09,2026-10-09,1000,qfq</x:v>
      </x:c>
    </x:row>
    <x:row r="23" ht="23" customHeight="1">
      <x:c r="A23" s="11" t="str">
        <x:v>S017</x:v>
      </x:c>
      <x:c r="B23" s="11" t="str">
        <x:v>I015</x:v>
      </x:c>
      <x:c r="C23" s="11" t="str">
        <x:v>688131.SH</x:v>
      </x:c>
      <x:c r="D23" s="11" t="str">
        <x:v>皓元医药</x:v>
      </x:c>
      <x:c r="E23" s="11" t="str">
        <x:v>CNY</x:v>
      </x:c>
      <x:c r="F23" s="23" t="n">
        <x:v>93.16</x:v>
      </x:c>
      <x:c r="G23" s="23" t="str">
        <x:v>2026-10-09</x:v>
      </x:c>
      <x:c r="H23" s="23" t="n">
        <x:v>93.16</x:v>
      </x:c>
      <x:c r="I23" s="23" t="str">
        <x:v>2026-10-09</x:v>
      </x:c>
      <x:c r="J23" s="37" t="b">
        <x:v>1</x:v>
      </x:c>
      <x:c r="K23" s="23" t="n">
        <x:v>728</x:v>
      </x:c>
      <x:c r="L23" s="23" t="str">
        <x:v>Yahoo Finance chart</x:v>
      </x:c>
      <x:c r="M23" s="23" t="str">
        <x:v>high</x:v>
      </x:c>
      <x:c r="N23" s="23" t="str">
        <x:v>回调，仍高于60日线</x:v>
      </x:c>
      <x:c r="O23" s="23" t="n">
        <x:v>95.566957</x:v>
      </x:c>
      <x:c r="P23" s="23" t="n">
        <x:v>89.722388</x:v>
      </x:c>
      <x:c r="Q23" s="23" t="n">
        <x:v>83.973716</x:v>
      </x:c>
      <x:c r="R23" s="23" t="n">
        <x:v>78.920717</x:v>
      </x:c>
      <x:c r="S23" s="23" t="n">
        <x:v>1.193435</x:v>
      </x:c>
      <x:c r="T23" s="23" t="n">
        <x:v>0.881113</x:v>
      </x:c>
      <x:c r="U23" s="23" t="n">
        <x:v>1.408319</x:v>
      </x:c>
      <x:c r="V23" s="23" t="n">
        <x:v>10.146798</x:v>
      </x:c>
      <x:c r="W23" s="38" t="n">
        <x:v>5828186</x:v>
      </x:c>
      <x:c r="X23" s="38" t="n">
        <x:v>5824779.2</x:v>
      </x:c>
      <x:c r="Y23" s="38" t="n">
        <x:v>4875068.55</x:v>
      </x:c>
      <x:c r="Z23" s="38" t="n">
        <x:v>5892847.033</x:v>
      </x:c>
      <x:c r="AA23" s="23" t="n">
        <x:v>1.233597</x:v>
      </x:c>
      <x:c r="AB23" s="23" t="n">
        <x:v>0.973159</x:v>
      </x:c>
      <x:c r="AC23" s="23" t="n">
        <x:v>47.020801</x:v>
      </x:c>
      <x:c r="AD23" s="23" t="n">
        <x:v>5.722262</x:v>
      </x:c>
      <x:c r="AE23" s="23" t="n">
        <x:v>1.58969</x:v>
      </x:c>
      <x:c r="AF23" s="23" t="n">
        <x:v>2.177997</x:v>
      </x:c>
      <x:c r="AG23" s="23" t="n">
        <x:v>85.122378</x:v>
      </x:c>
      <x:c r="AH23" s="23" t="n">
        <x:v>111.300003</x:v>
      </x:c>
      <x:c r="AI23" s="23" t="n">
        <x:v>111.300003</x:v>
      </x:c>
      <x:c r="AJ23" s="23" t="n">
        <x:v>59.523794</x:v>
      </x:c>
      <x:c r="AK23" s="23" t="n">
        <x:v>-31.704002</x:v>
      </x:c>
      <x:c r="AL23" s="11" t="str">
        <x:v>{"market":"沪深300","marketSymbol":"000300.SS","marketReturn20Pct":-5.169157,"marketReturn60Pct":-11.464817,"excess20Pct":6.577476,"excess60Pct":21.611615,"industryBenchmark":null,"industryExcess20Pct":null,"industryExcess60Pct":null,"industryMissingReason":"创新药/医药细分基准三年可核验数据未取得，行业相对强弱留空"}</x:v>
      </x:c>
      <x:c r="AM23" s="11" t="str"/>
      <x:c r="AN23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https://query2.finance.yahoo.com/v8/finance/chart/688131.SS?range=3y&amp;interval=1d&amp;events=div%2Csplits
https://proxy.finance.qq.com/ifzqgtimg/appstock/app/fqkline/get?param=sh688131,day,2023-10-09,2026-10-09,1000,qfq</x:v>
      </x:c>
    </x:row>
    <x:row r="24" ht="23" customHeight="1">
      <x:c r="A24" s="11" t="str">
        <x:v>S018</x:v>
      </x:c>
      <x:c r="B24" s="11" t="str">
        <x:v>I016</x:v>
      </x:c>
      <x:c r="C24" s="11" t="str">
        <x:v>00853.HK</x:v>
      </x:c>
      <x:c r="D24" s="11" t="str">
        <x:v>微创医疗</x:v>
      </x:c>
      <x:c r="E24" s="11" t="str">
        <x:v>HKD</x:v>
      </x:c>
      <x:c r="F24" s="23" t="n">
        <x:v>6.075</x:v>
      </x:c>
      <x:c r="G24" s="23" t="str">
        <x:v>2026-08-31</x:v>
      </x:c>
      <x:c r="H24" s="23" t="n">
        <x:v>6.075</x:v>
      </x:c>
      <x:c r="I24" s="23" t="str">
        <x:v>2026-08-31</x:v>
      </x:c>
      <x:c r="J24" s="37" t="b">
        <x:v>0</x:v>
      </x:c>
      <x:c r="K24" s="23" t="n">
        <x:v>711</x:v>
      </x:c>
      <x:c r="L24" s="23" t="str">
        <x:v>Yahoo Finance chart</x:v>
      </x:c>
      <x:c r="M24" s="23" t="str">
        <x:v>low</x:v>
      </x:c>
      <x:c r="N24" s="23" t="str">
        <x:v>中短期下降</x:v>
      </x:c>
      <x:c r="O24" s="23" t="n">
        <x:v>6.6235</x:v>
      </x:c>
      <x:c r="P24" s="23" t="n">
        <x:v>6.661583</x:v>
      </x:c>
      <x:c r="Q24" s="23" t="n">
        <x:v>7.791458</x:v>
      </x:c>
      <x:c r="R24" s="23" t="n">
        <x:v>9.96158</x:v>
      </x:c>
      <x:c r="S24" s="23" t="n">
        <x:v>-1.914035</x:v>
      </x:c>
      <x:c r="T24" s="23" t="n">
        <x:v>-1.505649</x:v>
      </x:c>
      <x:c r="U24" s="23" t="n">
        <x:v>-10.066617</x:v>
      </x:c>
      <x:c r="V24" s="23" t="n">
        <x:v>-15.153631</x:v>
      </x:c>
      <x:c r="W24" s="38" t="n">
        <x:v>15011000</x:v>
      </x:c>
      <x:c r="X24" s="38" t="n">
        <x:v>9108471.4</x:v>
      </x:c>
      <x:c r="Y24" s="38" t="n">
        <x:v>12103562.05</x:v>
      </x:c>
      <x:c r="Z24" s="38" t="n">
        <x:v>12085105.967</x:v>
      </x:c>
      <x:c r="AA24" s="23" t="n">
        <x:v>1.292644</x:v>
      </x:c>
      <x:c r="AB24" s="23" t="n">
        <x:v>0.536037</x:v>
      </x:c>
      <x:c r="AC24" s="23" t="n">
        <x:v>36.909134</x:v>
      </x:c>
      <x:c r="AD24" s="23" t="n">
        <x:v>0.295859</x:v>
      </x:c>
      <x:c r="AE24" s="23" t="n">
        <x:v>-0.164616</x:v>
      </x:c>
      <x:c r="AF24" s="23" t="n">
        <x:v>-0.103291</x:v>
      </x:c>
      <x:c r="AG24" s="23" t="n">
        <x:v>5.88</x:v>
      </x:c>
      <x:c r="AH24" s="23" t="n">
        <x:v>7.345</x:v>
      </x:c>
      <x:c r="AI24" s="23" t="n">
        <x:v>16.280001</x:v>
      </x:c>
      <x:c r="AJ24" s="23" t="n">
        <x:v>5.83</x:v>
      </x:c>
      <x:c r="AK24" s="23" t="n">
        <x:v>-63.428218</x:v>
      </x:c>
      <x:c r="AL24" s="11" t="str">
        <x:v>{"market":"恒生指数","marketSymbol":"^HSI","marketReturn20Pct":-2.977908,"marketReturn60Pct":-3.187903,"excess20Pct":-7.088709,"excess60Pct":-11.965728,"industryBenchmark":null,"industryExcess20Pct":null,"industryExcess60Pct":null,"industryMissingReason":"创新药/医药细分基准三年可核验数据未取得，行业相对强弱留空"}</x:v>
      </x:c>
      <x:c r="AM24" s="11" t="str">
        <x:v>自2026-09-01停牌；行情自动刷新时间不代表当日可交易收盘。当前价仅为2026-08-31参考价。；历史最后交易日2026-08-31，不具备10月9日完整交易日锚；成交量单位未完成跨源核验，报价股数留空</x:v>
      </x:c>
      <x:c r="AN24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https://query2.finance.yahoo.com/v8/finance/chart/0853.HK?range=3y&amp;interval=1d&amp;events=div%2Csplits
https://proxy.finance.qq.com/ifzqgtimg/appstock/app/fqkline/get?param=hk00853,day,2023-10-09,2026-10-09,1000,qfq</x:v>
      </x:c>
    </x:row>
    <x:row r="25" ht="23" customHeight="1">
      <x:c r="A25" s="11" t="str">
        <x:v>S019</x:v>
      </x:c>
      <x:c r="B25" s="11" t="str">
        <x:v>I017</x:v>
      </x:c>
      <x:c r="C25" s="11" t="str">
        <x:v>688356.SH</x:v>
      </x:c>
      <x:c r="D25" s="11" t="str">
        <x:v>键凯科技</x:v>
      </x:c>
      <x:c r="E25" s="11" t="str">
        <x:v>CNY</x:v>
      </x:c>
      <x:c r="F25" s="23" t="n">
        <x:v>107.9</x:v>
      </x:c>
      <x:c r="G25" s="23" t="str">
        <x:v>2026-10-09</x:v>
      </x:c>
      <x:c r="H25" s="23" t="n">
        <x:v>107.9</x:v>
      </x:c>
      <x:c r="I25" s="23" t="str">
        <x:v>2026-10-09</x:v>
      </x:c>
      <x:c r="J25" s="37" t="b">
        <x:v>1</x:v>
      </x:c>
      <x:c r="K25" s="23" t="n">
        <x:v>728</x:v>
      </x:c>
      <x:c r="L25" s="23" t="str">
        <x:v>Yahoo Finance chart</x:v>
      </x:c>
      <x:c r="M25" s="23" t="str">
        <x:v>high</x:v>
      </x:c>
      <x:c r="N25" s="23" t="str">
        <x:v>中短期上升</x:v>
      </x:c>
      <x:c r="O25" s="23" t="n">
        <x:v>88.9945</x:v>
      </x:c>
      <x:c r="P25" s="23" t="n">
        <x:v>85.2285</x:v>
      </x:c>
      <x:c r="Q25" s="23" t="n">
        <x:v>84.670104</x:v>
      </x:c>
      <x:c r="R25" s="23" t="n">
        <x:v>88.889593</x:v>
      </x:c>
      <x:c r="S25" s="23" t="n">
        <x:v>3.702042</x:v>
      </x:c>
      <x:c r="T25" s="23" t="n">
        <x:v>2.633005</x:v>
      </x:c>
      <x:c r="U25" s="23" t="n">
        <x:v>29.656333</x:v>
      </x:c>
      <x:c r="V25" s="23" t="n">
        <x:v>45.241621</x:v>
      </x:c>
      <x:c r="W25" s="38" t="n">
        <x:v>7947138</x:v>
      </x:c>
      <x:c r="X25" s="38" t="n">
        <x:v>7275830.2</x:v>
      </x:c>
      <x:c r="Y25" s="38" t="n">
        <x:v>5747866.7</x:v>
      </x:c>
      <x:c r="Z25" s="38" t="n">
        <x:v>4380239.767</x:v>
      </x:c>
      <x:c r="AA25" s="23" t="n">
        <x:v>1.424213</x:v>
      </x:c>
      <x:c r="AB25" s="23" t="n">
        <x:v>1.965436</x:v>
      </x:c>
      <x:c r="AC25" s="23" t="n">
        <x:v>62.447947</x:v>
      </x:c>
      <x:c r="AD25" s="23" t="n">
        <x:v>8.859945</x:v>
      </x:c>
      <x:c r="AE25" s="23" t="n">
        <x:v>5.055071</x:v>
      </x:c>
      <x:c r="AF25" s="23" t="n">
        <x:v>2.644339</x:v>
      </x:c>
      <x:c r="AG25" s="23" t="n">
        <x:v>72.739998</x:v>
      </x:c>
      <x:c r="AH25" s="23" t="n">
        <x:v>115</x:v>
      </x:c>
      <x:c r="AI25" s="23" t="n">
        <x:v>138.800003</x:v>
      </x:c>
      <x:c r="AJ25" s="23" t="n">
        <x:v>62.130001</x:v>
      </x:c>
      <x:c r="AK25" s="23" t="n">
        <x:v>-44.542279</x:v>
      </x:c>
      <x:c r="AL25" s="11" t="str">
        <x:v>{"market":"沪深300","marketSymbol":"000300.SS","marketReturn20Pct":-5.169157,"marketReturn60Pct":-11.464817,"excess20Pct":34.82549,"excess60Pct":56.706438,"industryBenchmark":null,"industryExcess20Pct":null,"industryExcess60Pct":null,"industryMissingReason":"创新药/医药细分基准三年可核验数据未取得，行业相对强弱留空"}</x:v>
      </x:c>
      <x:c r="AM25" s="11" t="str"/>
      <x:c r="AN25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https://query2.finance.yahoo.com/v8/finance/chart/688356.SS?range=3y&amp;interval=1d&amp;events=div%2Csplits
https://proxy.finance.qq.com/ifzqgtimg/appstock/app/fqkline/get?param=sh688356,day,2023-10-09,2026-10-09,1000,qfq</x:v>
      </x:c>
    </x:row>
    <x:row r="26" ht="23" customHeight="1">
      <x:c r="A26" s="11" t="str">
        <x:v>S020</x:v>
      </x:c>
      <x:c r="B26" s="11" t="str">
        <x:v>I018</x:v>
      </x:c>
      <x:c r="C26" s="11" t="str">
        <x:v>688202.SH</x:v>
      </x:c>
      <x:c r="D26" s="11" t="str">
        <x:v>美迪西</x:v>
      </x:c>
      <x:c r="E26" s="11" t="str">
        <x:v>CNY</x:v>
      </x:c>
      <x:c r="F26" s="23" t="n">
        <x:v>104</x:v>
      </x:c>
      <x:c r="G26" s="23" t="str">
        <x:v>2026-10-09</x:v>
      </x:c>
      <x:c r="H26" s="23" t="n">
        <x:v>104</x:v>
      </x:c>
      <x:c r="I26" s="23" t="str">
        <x:v>2026-10-09</x:v>
      </x:c>
      <x:c r="J26" s="37" t="b">
        <x:v>1</x:v>
      </x:c>
      <x:c r="K26" s="23" t="n">
        <x:v>728</x:v>
      </x:c>
      <x:c r="L26" s="23" t="str">
        <x:v>Yahoo Finance chart</x:v>
      </x:c>
      <x:c r="M26" s="23" t="str">
        <x:v>high</x:v>
      </x:c>
      <x:c r="N26" s="23" t="str">
        <x:v>中短期上升</x:v>
      </x:c>
      <x:c r="O26" s="23" t="n">
        <x:v>101.966999</x:v>
      </x:c>
      <x:c r="P26" s="23" t="n">
        <x:v>94.3915</x:v>
      </x:c>
      <x:c r="Q26" s="23" t="n">
        <x:v>79.750833</x:v>
      </x:c>
      <x:c r="R26" s="23" t="n">
        <x:v>71.03332</x:v>
      </x:c>
      <x:c r="S26" s="23" t="n">
        <x:v>2.522158</x:v>
      </x:c>
      <x:c r="T26" s="23" t="n">
        <x:v>2.572141</x:v>
      </x:c>
      <x:c r="U26" s="23" t="n">
        <x:v>9.658377</x:v>
      </x:c>
      <x:c r="V26" s="23" t="n">
        <x:v>34.80233</x:v>
      </x:c>
      <x:c r="W26" s="38" t="n">
        <x:v>6125282</x:v>
      </x:c>
      <x:c r="X26" s="38" t="n">
        <x:v>6845130.4</x:v>
      </x:c>
      <x:c r="Y26" s="38" t="n">
        <x:v>6784431.7</x:v>
      </x:c>
      <x:c r="Z26" s="38" t="n">
        <x:v>8565620.1</x:v>
      </x:c>
      <x:c r="AA26" s="23" t="n">
        <x:v>0.907892</x:v>
      </x:c>
      <x:c r="AB26" s="23" t="n">
        <x:v>1.476208</x:v>
      </x:c>
      <x:c r="AC26" s="23" t="n">
        <x:v>52.455007</x:v>
      </x:c>
      <x:c r="AD26" s="23" t="n">
        <x:v>7.419877</x:v>
      </x:c>
      <x:c r="AE26" s="23" t="n">
        <x:v>3.054227</x:v>
      </x:c>
      <x:c r="AF26" s="23" t="n">
        <x:v>3.33554</x:v>
      </x:c>
      <x:c r="AG26" s="23" t="n">
        <x:v>87.400002</x:v>
      </x:c>
      <x:c r="AH26" s="23" t="n">
        <x:v>120</x:v>
      </x:c>
      <x:c r="AI26" s="23" t="n">
        <x:v>120</x:v>
      </x:c>
      <x:c r="AJ26" s="23" t="n">
        <x:v>50.5</x:v>
      </x:c>
      <x:c r="AK26" s="23" t="n">
        <x:v>-32.486841</x:v>
      </x:c>
      <x:c r="AL26" s="11" t="str">
        <x:v>{"market":"沪深300","marketSymbol":"000300.SS","marketReturn20Pct":-5.169157,"marketReturn60Pct":-11.464817,"excess20Pct":14.827534,"excess60Pct":46.267147,"industryBenchmark":null,"industryExcess20Pct":null,"industryExcess60Pct":null,"industryMissingReason":"创新药/医药细分基准三年可核验数据未取得，行业相对强弱留空"}</x:v>
      </x:c>
      <x:c r="AM26" s="11" t="str"/>
      <x:c r="AN26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https://query2.finance.yahoo.com/v8/finance/chart/688202.SS?range=3y&amp;interval=1d&amp;events=div%2Csplits
https://proxy.finance.qq.com/ifzqgtimg/appstock/app/fqkline/get?param=sh688202,day,2023-10-09,2026-10-09,1000,qfq</x:v>
      </x:c>
    </x:row>
    <x:row r="27" ht="23" customHeight="1">
      <x:c r="A27" s="11" t="str">
        <x:v>S021</x:v>
      </x:c>
      <x:c r="B27" s="11"/>
      <x:c r="C27" s="11" t="str">
        <x:v>987018.SZ</x:v>
      </x:c>
      <x:c r="D27" s="11" t="str">
        <x:v>港股通创新药</x:v>
      </x:c>
      <x:c r="E27" s="11" t="str">
        <x:v>CNY</x:v>
      </x:c>
      <x:c r="F27" s="23" t="n">
        <x:v>1791.2169</x:v>
      </x:c>
      <x:c r="G27" s="23" t="str">
        <x:v>2026-10-09</x:v>
      </x:c>
      <x:c r="H27" s="23" t="n">
        <x:v>1791.2169</x:v>
      </x:c>
      <x:c r="I27" s="23" t="str">
        <x:v>2026-10-09</x:v>
      </x:c>
      <x:c r="J27" s="37" t="b">
        <x:v>0</x:v>
      </x:c>
      <x:c r="K27" s="23" t="n">
        <x:v>739</x:v>
      </x:c>
      <x:c r="L27" s="23" t="str">
        <x:v>CNI official index daily</x:v>
      </x:c>
      <x:c r="M27" s="23" t="str">
        <x:v>medium</x:v>
      </x:c>
      <x:c r="N27" s="23" t="str">
        <x:v>趋势交错/震荡</x:v>
      </x:c>
      <x:c r="O27" s="23" t="n">
        <x:v>1832.36964</x:v>
      </x:c>
      <x:c r="P27" s="23" t="n">
        <x:v>1829.512538</x:v>
      </x:c>
      <x:c r="Q27" s="23" t="n">
        <x:v>1793.264623</x:v>
      </x:c>
      <x:c r="R27" s="23" t="n">
        <x:v>1911.265107</x:v>
      </x:c>
      <x:c r="S27" s="23" t="n">
        <x:v>-0.148999</x:v>
      </x:c>
      <x:c r="T27" s="23" t="n">
        <x:v>0.141383</x:v>
      </x:c>
      <x:c r="U27" s="23" t="n">
        <x:v>0.880738</x:v>
      </x:c>
      <x:c r="V27" s="23" t="n">
        <x:v>-3.222992</x:v>
      </x:c>
      <x:c r="W27" s="38"/>
      <x:c r="X27" s="38"/>
      <x:c r="Y27" s="38"/>
      <x:c r="Z27" s="38"/>
      <x:c r="AA27" s="23"/>
      <x:c r="AB27" s="23"/>
      <x:c r="AC27" s="23" t="n">
        <x:v>44.955306</x:v>
      </x:c>
      <x:c r="AD27" s="23" t="n">
        <x:v>62.474697</x:v>
      </x:c>
      <x:c r="AE27" s="23" t="n">
        <x:v>-0.266591</x:v>
      </x:c>
      <x:c r="AF27" s="23" t="n">
        <x:v>4.76003</x:v>
      </x:c>
      <x:c r="AG27" s="23" t="n">
        <x:v>1732.2783</x:v>
      </x:c>
      <x:c r="AH27" s="23" t="n">
        <x:v>1924.2678</x:v>
      </x:c>
      <x:c r="AI27" s="23" t="n">
        <x:v>2421.6348</x:v>
      </x:c>
      <x:c r="AJ27" s="23" t="n">
        <x:v>1484.1447</x:v>
      </x:c>
      <x:c r="AK27" s="23" t="n">
        <x:v>-37.605142</x:v>
      </x:c>
      <x:c r="AL27" s="11" t="str">
        <x:v>{"market":"沪深300","marketSymbol":"000300.SS","marketReturn20Pct":-5.169157,"marketReturn60Pct":-11.464817,"excess20Pct":null,"excess60Pct":null,"industryBenchmark":null,"industryExcess20Pct":null,"industryExcess60Pct":null}</x:v>
      </x:c>
      <x:c r="AM27" s="11" t="str">
        <x:v>官方指数单来源；尚无独立第二行情源验证。指数点位不作为股票可交易价格，量字段禁用。</x:v>
      </x:c>
      <x:c r="AN27" s="11" t="str">
        <x:v>https://www.cnindex.com.cn/module/index-detail.html?act_menu=1&amp;indexCode=987018
https://hq.cnindex.com.cn/market/market/getIndexDailyData?indexCode=987018&amp;startDate=2023-10-09&amp;endDate=2026-10-09</x:v>
      </x:c>
    </x:row>
    <x:row r="28" ht="23" customHeight="1">
      <x:c r="A28" s="11" t="str">
        <x:v>S022</x:v>
      </x:c>
      <x:c r="B28" s="11" t="str">
        <x:v>I011</x:v>
      </x:c>
      <x:c r="C28" s="11" t="str">
        <x:v>01276.HK</x:v>
      </x:c>
      <x:c r="D28" s="11" t="str">
        <x:v>恒瑞医药</x:v>
      </x:c>
      <x:c r="E28" s="11" t="str">
        <x:v>HKD</x:v>
      </x:c>
      <x:c r="F28" s="23" t="n">
        <x:v>48</x:v>
      </x:c>
      <x:c r="G28" s="23" t="str">
        <x:v>2026-10-09</x:v>
      </x:c>
      <x:c r="H28" s="23" t="n">
        <x:v>48</x:v>
      </x:c>
      <x:c r="I28" s="23" t="str">
        <x:v>2026-10-09</x:v>
      </x:c>
      <x:c r="J28" s="37" t="b">
        <x:v>1</x:v>
      </x:c>
      <x:c r="K28" s="23" t="n">
        <x:v>343</x:v>
      </x:c>
      <x:c r="L28" s="23" t="str">
        <x:v>Yahoo Finance chart</x:v>
      </x:c>
      <x:c r="M28" s="23" t="str">
        <x:v>high</x:v>
      </x:c>
      <x:c r="N28" s="23" t="str">
        <x:v>短期反弹，仍低于60日线</x:v>
      </x:c>
      <x:c r="O28" s="23" t="n">
        <x:v>46.803</x:v>
      </x:c>
      <x:c r="P28" s="23" t="n">
        <x:v>50.705833</x:v>
      </x:c>
      <x:c r="Q28" s="23" t="n">
        <x:v>55.533822</x:v>
      </x:c>
      <x:c r="R28" s="23" t="n">
        <x:v>63.728375</x:v>
      </x:c>
      <x:c r="S28" s="23" t="n">
        <x:v>1.375412</x:v>
      </x:c>
      <x:c r="T28" s="23" t="n">
        <x:v>-1.637251</x:v>
      </x:c>
      <x:c r="U28" s="23" t="n">
        <x:v>9.190175</x:v>
      </x:c>
      <x:c r="V28" s="23" t="n">
        <x:v>-17.169976</x:v>
      </x:c>
      <x:c r="W28" s="38" t="n">
        <x:v>7084600</x:v>
      </x:c>
      <x:c r="X28" s="38" t="n">
        <x:v>4411074.6</x:v>
      </x:c>
      <x:c r="Y28" s="38" t="n">
        <x:v>4472766.5</x:v>
      </x:c>
      <x:c r="Z28" s="38" t="n">
        <x:v>4851239.633</x:v>
      </x:c>
      <x:c r="AA28" s="23" t="n">
        <x:v>1.644134</x:v>
      </x:c>
      <x:c r="AB28" s="23" t="n">
        <x:v>1.011264</x:v>
      </x:c>
      <x:c r="AC28" s="23" t="n">
        <x:v>50.532564</x:v>
      </x:c>
      <x:c r="AD28" s="23" t="n">
        <x:v>2.166371</x:v>
      </x:c>
      <x:c r="AE28" s="23" t="n">
        <x:v>0.032945</x:v>
      </x:c>
      <x:c r="AF28" s="23" t="n">
        <x:v>-0.424781</x:v>
      </x:c>
      <x:c r="AG28" s="23" t="n">
        <x:v>43.02</x:v>
      </x:c>
      <x:c r="AH28" s="23" t="n">
        <x:v>51</x:v>
      </x:c>
      <x:c r="AI28" s="23" t="n">
        <x:v>94.869217</x:v>
      </x:c>
      <x:c r="AJ28" s="23" t="n">
        <x:v>43.02</x:v>
      </x:c>
      <x:c r="AK28" s="23" t="n">
        <x:v>-53.334138</x:v>
      </x:c>
      <x:c r="AL28" s="11" t="str">
        <x:v>{"market":"恒生指数","marketSymbol":"^HSI","marketReturn20Pct":-2.977908,"marketReturn60Pct":-3.187903,"excess20Pct":12.168083,"excess60Pct":-13.982073,"industryBenchmark":"国证港股通创新药987018（粗粒度参考，非每公司专属行业）","industryExcess20Pct":8.309437,"industryExcess60Pct":-13.946984,"industryMissingReason":null,"industryBenchmarkId":"S021","industryBenchmarkQuality":"官方单来源指数；价回报非含分红，量禁用"}</x:v>
      </x:c>
      <x:c r="AM28" s="11" t="str"/>
      <x:c r="AN28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https://query2.finance.yahoo.com/v8/finance/chart/1276.HK?range=3y&amp;interval=1d&amp;events=div%2Csplits
https://proxy.finance.qq.com/ifzqgtimg/appstock/app/fqkline/get?param=hk01276,day,2023-10-09,2026-10-09,1000,qfq</x:v>
      </x:c>
    </x:row>
    <x:row r="29" ht="23" customHeight="1">
      <x:c r="A29" s="11" t="str">
        <x:v>S023</x:v>
      </x:c>
      <x:c r="B29" s="11" t="str">
        <x:v>I019</x:v>
      </x:c>
      <x:c r="C29" s="11" t="str">
        <x:v>06699.HK</x:v>
      </x:c>
      <x:c r="D29" s="11" t="str">
        <x:v>时代天使</x:v>
      </x:c>
      <x:c r="E29" s="11" t="str">
        <x:v>HKD</x:v>
      </x:c>
      <x:c r="F29" s="23" t="n">
        <x:v>82.3</x:v>
      </x:c>
      <x:c r="G29" s="23" t="str">
        <x:v>2026-10-09</x:v>
      </x:c>
      <x:c r="H29" s="23" t="n">
        <x:v>82.3</x:v>
      </x:c>
      <x:c r="I29" s="23" t="str">
        <x:v>2026-10-09</x:v>
      </x:c>
      <x:c r="J29" s="37" t="b">
        <x:v>1</x:v>
      </x:c>
      <x:c r="K29" s="23" t="n">
        <x:v>739</x:v>
      </x:c>
      <x:c r="L29" s="23" t="str">
        <x:v>Yahoo Finance chart</x:v>
      </x:c>
      <x:c r="M29" s="23" t="str">
        <x:v>high</x:v>
      </x:c>
      <x:c r="N29" s="23" t="str">
        <x:v>趋势交错/震荡</x:v>
      </x:c>
      <x:c r="O29" s="23" t="n">
        <x:v>85.4225</x:v>
      </x:c>
      <x:c r="P29" s="23" t="n">
        <x:v>85.118692</x:v>
      </x:c>
      <x:c r="Q29" s="23" t="n">
        <x:v>78.235941</x:v>
      </x:c>
      <x:c r="R29" s="23" t="n">
        <x:v>68.948409</x:v>
      </x:c>
      <x:c r="S29" s="23" t="n">
        <x:v>-2.509641</x:v>
      </x:c>
      <x:c r="T29" s="23" t="n">
        <x:v>1.221318</x:v>
      </x:c>
      <x:c r="U29" s="23" t="n">
        <x:v>-10.152833</x:v>
      </x:c>
      <x:c r="V29" s="23" t="n">
        <x:v>13.172122</x:v>
      </x:c>
      <x:c r="W29" s="38" t="n">
        <x:v>332484</x:v>
      </x:c>
      <x:c r="X29" s="38" t="n">
        <x:v>170656.8</x:v>
      </x:c>
      <x:c r="Y29" s="38" t="n">
        <x:v>419504.85</x:v>
      </x:c>
      <x:c r="Z29" s="38" t="n">
        <x:v>647690.4</x:v>
      </x:c>
      <x:c r="AA29" s="23" t="n">
        <x:v>0.7798</x:v>
      </x:c>
      <x:c r="AB29" s="23" t="n">
        <x:v>0.593014</x:v>
      </x:c>
      <x:c r="AC29" s="23" t="n">
        <x:v>38.102948</x:v>
      </x:c>
      <x:c r="AD29" s="23" t="n">
        <x:v>3.086284</x:v>
      </x:c>
      <x:c r="AE29" s="23" t="n">
        <x:v>-1.059616</x:v>
      </x:c>
      <x:c r="AF29" s="23" t="n">
        <x:v>-0.610798</x:v>
      </x:c>
      <x:c r="AG29" s="23" t="n">
        <x:v>81.199997</x:v>
      </x:c>
      <x:c r="AH29" s="23" t="n">
        <x:v>91.599998</x:v>
      </x:c>
      <x:c r="AI29" s="23" t="n">
        <x:v>95.949997</x:v>
      </x:c>
      <x:c r="AJ29" s="23" t="n">
        <x:v>51.776068</x:v>
      </x:c>
      <x:c r="AK29" s="23" t="n">
        <x:v>-24.000287</x:v>
      </x:c>
      <x:c r="AL29" s="11" t="str">
        <x:v>{"market":"恒生指数","marketSymbol":"^HSI","marketReturn20Pct":-2.977908,"marketReturn60Pct":-3.187903,"excess20Pct":-7.174925,"excess60Pct":16.360025,"industryBenchmark":null,"industryExcess20Pct":null,"industryExcess60Pct":null,"industryMissingReason":"创新药/医药细分基准三年可核验数据未取得，行业相对强弱留空"}</x:v>
      </x:c>
      <x:c r="AM29" s="11" t="str">
        <x:v>6根Yahoo OHLC逻辑不一致，按腾讯同日完整bar修复，原字段及修复记录在历史文件；近60日复权口径有超过1%的跨源差异，可能与分红复权算法或数据修订有关</x:v>
      </x:c>
      <x:c r="AN29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https://query2.finance.yahoo.com/v8/finance/chart/6699.HK?range=3y&amp;interval=1d&amp;events=div%2Csplits
https://proxy.finance.qq.com/ifzqgtimg/appstock/app/fqkline/get?param=hk06699,day,2023-10-09,2026-10-09,1000,qfq</x:v>
      </x:c>
    </x:row>
    <x:row r="30" ht="23" customHeight="1">
      <x:c r="A30" s="11" t="str">
        <x:v>S024</x:v>
      </x:c>
      <x:c r="B30" s="11" t="str">
        <x:v>I020</x:v>
      </x:c>
      <x:c r="C30" s="11" t="str">
        <x:v>09606.HK</x:v>
      </x:c>
      <x:c r="D30" s="11" t="str">
        <x:v>映恩生物-B</x:v>
      </x:c>
      <x:c r="E30" s="11" t="str">
        <x:v>HKD</x:v>
      </x:c>
      <x:c r="F30" s="23" t="n">
        <x:v>182.7</x:v>
      </x:c>
      <x:c r="G30" s="23" t="str">
        <x:v>2026-10-09</x:v>
      </x:c>
      <x:c r="H30" s="23" t="n">
        <x:v>182.7</x:v>
      </x:c>
      <x:c r="I30" s="23" t="str">
        <x:v>2026-10-09</x:v>
      </x:c>
      <x:c r="J30" s="37" t="b">
        <x:v>1</x:v>
      </x:c>
      <x:c r="K30" s="23" t="n">
        <x:v>367</x:v>
      </x:c>
      <x:c r="L30" s="23" t="str">
        <x:v>Yahoo Finance chart</x:v>
      </x:c>
      <x:c r="M30" s="23" t="str">
        <x:v>high</x:v>
      </x:c>
      <x:c r="N30" s="23" t="str">
        <x:v>趋势交错/震荡</x:v>
      </x:c>
      <x:c r="O30" s="23" t="n">
        <x:v>194.08</x:v>
      </x:c>
      <x:c r="P30" s="23" t="n">
        <x:v>196.17</x:v>
      </x:c>
      <x:c r="Q30" s="23" t="n">
        <x:v>209.883333</x:v>
      </x:c>
      <x:c r="R30" s="23" t="n">
        <x:v>265.928</x:v>
      </x:c>
      <x:c r="S30" s="23" t="n">
        <x:v>1.593949</x:v>
      </x:c>
      <x:c r="T30" s="23" t="n">
        <x:v>-1.450173</x:v>
      </x:c>
      <x:c r="U30" s="23" t="n">
        <x:v>7.281265</x:v>
      </x:c>
      <x:c r="V30" s="23" t="n">
        <x:v>-22.976392</x:v>
      </x:c>
      <x:c r="W30" s="38" t="n">
        <x:v>660384</x:v>
      </x:c>
      <x:c r="X30" s="38" t="n">
        <x:v>430119</x:v>
      </x:c>
      <x:c r="Y30" s="38" t="n">
        <x:v>720583.05</x:v>
      </x:c>
      <x:c r="Z30" s="38" t="n">
        <x:v>936539.183</x:v>
      </x:c>
      <x:c r="AA30" s="23" t="n">
        <x:v>0.872844</x:v>
      </x:c>
      <x:c r="AB30" s="23" t="n">
        <x:v>1.154294</x:v>
      </x:c>
      <x:c r="AC30" s="23" t="n">
        <x:v>42.675619</x:v>
      </x:c>
      <x:c r="AD30" s="23" t="n">
        <x:v>12.184749</x:v>
      </x:c>
      <x:c r="AE30" s="23" t="n">
        <x:v>0.216512</x:v>
      </x:c>
      <x:c r="AF30" s="23" t="n">
        <x:v>1.638891</x:v>
      </x:c>
      <x:c r="AG30" s="23" t="n">
        <x:v>163.100006</x:v>
      </x:c>
      <x:c r="AH30" s="23" t="n">
        <x:v>220.399994</x:v>
      </x:c>
      <x:c r="AI30" s="23" t="n">
        <x:v>378.600006</x:v>
      </x:c>
      <x:c r="AJ30" s="23" t="n">
        <x:v>158.5</x:v>
      </x:c>
      <x:c r="AK30" s="23" t="n">
        <x:v>-55.225522</x:v>
      </x:c>
      <x:c r="AL30" s="11" t="str">
        <x:v>{"market":"恒生指数","marketSymbol":"^HSI","marketReturn20Pct":-2.977908,"marketReturn60Pct":-3.187903,"excess20Pct":10.259173,"excess60Pct":-19.788489,"industryBenchmark":"国证港股通创新药987018（粗粒度参考，非每公司专属行业）","industryExcess20Pct":6.400527,"industryExcess60Pct":-19.7534,"industryMissingReason":null,"industryBenchmarkId":"S021","industryBenchmarkQuality":"官方单来源指数；价回报非含分红，量禁用"}</x:v>
      </x:c>
      <x:c r="AM30" s="11" t="str">
        <x:v>3根Yahoo OHLC逻辑不一致，按腾讯同日完整bar修复，原字段及修复记录在历史文件</x:v>
      </x:c>
      <x:c r="AN30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https://hq.sinajs.cn/list=sh688139,sh688062,sh688192,sh688382,sh688302,sz002821,rt_hk02172,rt_hk03696,sz159502,rt_hk02252,sh603259,sh600276,sh688235,sh513290,sz300363,sz300760,sh688131,rt_hk00853,sh688356,sh688202,rt_hk01276,rt_hk06699,rt_hk09606
https://query2.finance.yahoo.com/v8/finance/chart/9606.HK?range=3y&amp;interval=1d&amp;events=div%2Csplits
https://proxy.finance.qq.com/ifzqgtimg/appstock/app/fqkline/get?param=hk09606,day,2023-10-09,2026-10-09,1000,qfq</x:v>
      </x:c>
    </x:row>
    <x:row r="31" ht="23" customHeight="1">
      <x:c r="A31" s="11" t="str">
        <x:v>S025</x:v>
      </x:c>
      <x:c r="B31" s="11"/>
      <x:c r="C31" s="11" t="str">
        <x:v>931787.CSI</x:v>
      </x:c>
      <x:c r="D31" s="11" t="str">
        <x:v>港股创新药</x:v>
      </x:c>
      <x:c r="E31" s="11" t="str">
        <x:v>CNY</x:v>
      </x:c>
      <x:c r="F31" s="23" t="n">
        <x:v>1450.66</x:v>
      </x:c>
      <x:c r="G31" s="23" t="str">
        <x:v>2026-10-09</x:v>
      </x:c>
      <x:c r="H31" s="23" t="n">
        <x:v>1450.66</x:v>
      </x:c>
      <x:c r="I31" s="23" t="str">
        <x:v>2026-10-09</x:v>
      </x:c>
      <x:c r="J31" s="37" t="b">
        <x:v>0</x:v>
      </x:c>
      <x:c r="K31" s="23" t="n">
        <x:v>739</x:v>
      </x:c>
      <x:c r="L31" s="23" t="str">
        <x:v>CSI official daily performance</x:v>
      </x:c>
      <x:c r="M31" s="23" t="str">
        <x:v>medium</x:v>
      </x:c>
      <x:c r="N31" s="23" t="str">
        <x:v>回调，仍高于60日线</x:v>
      </x:c>
      <x:c r="O31" s="23" t="n">
        <x:v>1465.43</x:v>
      </x:c>
      <x:c r="P31" s="23" t="n">
        <x:v>1405.056667</x:v>
      </x:c>
      <x:c r="Q31" s="23" t="n">
        <x:v>1316.426167</x:v>
      </x:c>
      <x:c r="R31" s="23" t="n">
        <x:v>1344.01752</x:v>
      </x:c>
      <x:c r="S31" s="23" t="n">
        <x:v>1.117591</x:v>
      </x:c>
      <x:c r="T31" s="23" t="n">
        <x:v>1.193689</x:v>
      </x:c>
      <x:c r="U31" s="23" t="n">
        <x:v>4.883921</x:v>
      </x:c>
      <x:c r="V31" s="23" t="n">
        <x:v>9.662544</x:v>
      </x:c>
      <x:c r="W31" s="38"/>
      <x:c r="X31" s="38"/>
      <x:c r="Y31" s="38"/>
      <x:c r="Z31" s="38"/>
      <x:c r="AA31" s="23"/>
      <x:c r="AB31" s="23"/>
      <x:c r="AC31" s="23" t="n">
        <x:v>48.653991</x:v>
      </x:c>
      <x:c r="AD31" s="23" t="n">
        <x:v>50.002069</x:v>
      </x:c>
      <x:c r="AE31" s="23" t="n">
        <x:v>18.870374</x:v>
      </x:c>
      <x:c r="AF31" s="23" t="n">
        <x:v>23.545205</x:v>
      </x:c>
      <x:c r="AG31" s="23" t="n">
        <x:v>1349.12</x:v>
      </x:c>
      <x:c r="AH31" s="23" t="n">
        <x:v>1552.76</x:v>
      </x:c>
      <x:c r="AI31" s="23" t="n">
        <x:v>1646.47</x:v>
      </x:c>
      <x:c r="AJ31" s="23" t="n">
        <x:v>1044.3</x:v>
      </x:c>
      <x:c r="AK31" s="23" t="n">
        <x:v>-35.240849</x:v>
      </x:c>
      <x:c r="AL31" s="11" t="str">
        <x:v>{"market":"沪深300","marketSymbol":"000300.SS","marketReturn20Pct":-5.169157,"marketReturn60Pct":-11.464817,"excess20Pct":null,"excess60Pct":null,"industryBenchmark":null,"industryExcess20Pct":null,"industryExcess60Pct":null}</x:v>
      </x:c>
      <x:c r="AM31" s="11" t="str">
        <x:v>官方行情单来源；官方盘后16:29:58显示相同收盘点位仍不是独立第二源。；全区间紧凑日期API剔除2024-09-06复制点位：恒指、国证指数及腾讯历史均无该日，原数据保留；未取得独立交易所日历文件。；2026单年API把1月2日复制为1月1日，全区间API无此异常；仅使用核验后的全区间序列。</x:v>
      </x:c>
      <x:c r="AN31" s="11" t="str">
        <x:v>https://www.csindex.com.cn/csindex-home/perf/index-perf-oneday?indexCode=931787
https://www.csindex.com.cn/csindex-home/perf/index-perf?indexCode=931787&amp;startDate=20231009&amp;endDate=20261009</x:v>
      </x:c>
    </x:row>
    <x:row r="32" ht="23" customHeight="1">
      <x:c r="A32" s="11" t="str">
        <x:v>S026</x:v>
      </x:c>
      <x:c r="B32" s="11" t="str">
        <x:v>I021</x:v>
      </x:c>
      <x:c r="C32" s="11" t="str">
        <x:v>06855.HK</x:v>
      </x:c>
      <x:c r="D32" s="11" t="str">
        <x:v>亚盛医药</x:v>
      </x:c>
      <x:c r="E32" s="11" t="str">
        <x:v>HKD</x:v>
      </x:c>
      <x:c r="F32" s="23" t="n">
        <x:v>28.22</x:v>
      </x:c>
      <x:c r="G32" s="23" t="str">
        <x:v>2026-10-09</x:v>
      </x:c>
      <x:c r="H32" s="23" t="n">
        <x:v>28.22</x:v>
      </x:c>
      <x:c r="I32" s="23" t="str">
        <x:v>2026-10-09</x:v>
      </x:c>
      <x:c r="J32" s="37" t="b">
        <x:v>1</x:v>
      </x:c>
      <x:c r="K32" s="23" t="n">
        <x:v>739</x:v>
      </x:c>
      <x:c r="L32" s="23" t="str">
        <x:v>Yahoo Finance chart</x:v>
      </x:c>
      <x:c r="M32" s="23" t="str">
        <x:v>high</x:v>
      </x:c>
      <x:c r="N32" s="23" t="str">
        <x:v>中短期下降</x:v>
      </x:c>
      <x:c r="O32" s="23" t="n">
        <x:v>29.991</x:v>
      </x:c>
      <x:c r="P32" s="23" t="n">
        <x:v>33.161667</x:v>
      </x:c>
      <x:c r="Q32" s="23" t="n">
        <x:v>35.790333</x:v>
      </x:c>
      <x:c r="R32" s="23" t="n">
        <x:v>46.039</x:v>
      </x:c>
      <x:c r="S32" s="23" t="n">
        <x:v>-4.099383</x:v>
      </x:c>
      <x:c r="T32" s="23" t="n">
        <x:v>-2.201054</x:v>
      </x:c>
      <x:c r="U32" s="23" t="n">
        <x:v>-13.488658</x:v>
      </x:c>
      <x:c r="V32" s="23" t="n">
        <x:v>-28.266398</x:v>
      </x:c>
      <x:c r="W32" s="38" t="n">
        <x:v>2165600</x:v>
      </x:c>
      <x:c r="X32" s="38" t="n">
        <x:v>1738404.4</x:v>
      </x:c>
      <x:c r="Y32" s="38" t="n">
        <x:v>2350818.35</x:v>
      </x:c>
      <x:c r="Z32" s="38" t="n">
        <x:v>2653654.083</x:v>
      </x:c>
      <x:c r="AA32" s="23" t="n">
        <x:v>0.909063</x:v>
      </x:c>
      <x:c r="AB32" s="23" t="n">
        <x:v>0.676176</x:v>
      </x:c>
      <x:c r="AC32" s="23" t="n">
        <x:v>40.752423</x:v>
      </x:c>
      <x:c r="AD32" s="23" t="n">
        <x:v>1.786884</x:v>
      </x:c>
      <x:c r="AE32" s="23" t="n">
        <x:v>-1.189415</x:v>
      </x:c>
      <x:c r="AF32" s="23" t="n">
        <x:v>-1.130365</x:v>
      </x:c>
      <x:c r="AG32" s="23" t="n">
        <x:v>27.120001</x:v>
      </x:c>
      <x:c r="AH32" s="23" t="n">
        <x:v>32.48</x:v>
      </x:c>
      <x:c r="AI32" s="23" t="n">
        <x:v>79.300003</x:v>
      </x:c>
      <x:c r="AJ32" s="23" t="n">
        <x:v>27.120001</x:v>
      </x:c>
      <x:c r="AK32" s="23" t="n">
        <x:v>-64.260205</x:v>
      </x:c>
      <x:c r="AL32" s="11" t="str">
        <x:v>{"market":"恒生指数","marketSymbol":"^HSI","marketReturn20Pct":-2.977908,"marketReturn60Pct":-3.187903,"excess20Pct":-10.51075,"excess60Pct":-25.078495,"industryBenchmark":"国证港股通创新药987018（粗粒度参考，非每公司专属行业）","industryExcess20Pct":-14.369396,"industryExcess60Pct":-25.043406,"industryMissingReason":null,"industryBenchmarkId":"S021","industryBenchmarkQuality":"官方单来源指数；价回报非含分红，量禁用"}</x:v>
      </x:c>
      <x:c r="AM32" s="11" t="str">
        <x:v>4根Yahoo OHLC逻辑不一致，按腾讯同日完整bar修复，原字段及修复记录在历史文件</x:v>
      </x:c>
      <x:c r="AN32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https://query2.finance.yahoo.com/v8/finance/chart/6855.HK?range=3y&amp;interval=1d&amp;events=div%2Csplits
https://proxy.finance.qq.com/ifzqgtimg/appstock/app/fqkline/get?param=hk06855,day,2023-10-09,2026-10-09,1000,qfq</x:v>
      </x:c>
    </x:row>
    <x:row r="33" ht="23" customHeight="1">
      <x:c r="A33" s="11" t="str">
        <x:v>S027</x:v>
      </x:c>
      <x:c r="B33" s="11" t="str">
        <x:v>I022</x:v>
      </x:c>
      <x:c r="C33" s="11" t="str">
        <x:v>03759.HK</x:v>
      </x:c>
      <x:c r="D33" s="11" t="str">
        <x:v>康龙化成</x:v>
      </x:c>
      <x:c r="E33" s="11" t="str">
        <x:v>HKD</x:v>
      </x:c>
      <x:c r="F33" s="23" t="n">
        <x:v>30.6</x:v>
      </x:c>
      <x:c r="G33" s="23" t="str">
        <x:v>2026-10-09</x:v>
      </x:c>
      <x:c r="H33" s="23" t="n">
        <x:v>30.6</x:v>
      </x:c>
      <x:c r="I33" s="23" t="str">
        <x:v>2026-10-09</x:v>
      </x:c>
      <x:c r="J33" s="37" t="b">
        <x:v>1</x:v>
      </x:c>
      <x:c r="K33" s="23" t="n">
        <x:v>739</x:v>
      </x:c>
      <x:c r="L33" s="23" t="str">
        <x:v>Yahoo Finance chart</x:v>
      </x:c>
      <x:c r="M33" s="23" t="str">
        <x:v>high</x:v>
      </x:c>
      <x:c r="N33" s="23" t="str">
        <x:v>中短期上升</x:v>
      </x:c>
      <x:c r="O33" s="23" t="n">
        <x:v>30.359</x:v>
      </x:c>
      <x:c r="P33" s="23" t="n">
        <x:v>28.443</x:v>
      </x:c>
      <x:c r="Q33" s="23" t="n">
        <x:v>23.508612</x:v>
      </x:c>
      <x:c r="R33" s="23" t="n">
        <x:v>22.465203</x:v>
      </x:c>
      <x:c r="S33" s="23" t="n">
        <x:v>2.584983</x:v>
      </x:c>
      <x:c r="T33" s="23" t="n">
        <x:v>2.412415</x:v>
      </x:c>
      <x:c r="U33" s="23" t="n">
        <x:v>8.203674</x:v>
      </x:c>
      <x:c r="V33" s="23" t="n">
        <x:v>22.596159</x:v>
      </x:c>
      <x:c r="W33" s="38" t="n">
        <x:v>7482568</x:v>
      </x:c>
      <x:c r="X33" s="38" t="n">
        <x:v>4642332</x:v>
      </x:c>
      <x:c r="Y33" s="38" t="n">
        <x:v>5447338.45</x:v>
      </x:c>
      <x:c r="Z33" s="38" t="n">
        <x:v>7896635.633</x:v>
      </x:c>
      <x:c r="AA33" s="23" t="n">
        <x:v>1.435224</x:v>
      </x:c>
      <x:c r="AB33" s="23" t="n">
        <x:v>1.197449</x:v>
      </x:c>
      <x:c r="AC33" s="23" t="n">
        <x:v>51.972249</x:v>
      </x:c>
      <x:c r="AD33" s="23" t="n">
        <x:v>1.605433</x:v>
      </x:c>
      <x:c r="AE33" s="23" t="n">
        <x:v>0.741096</x:v>
      </x:c>
      <x:c r="AF33" s="23" t="n">
        <x:v>0.736214</x:v>
      </x:c>
      <x:c r="AG33" s="23" t="n">
        <x:v>27.02</x:v>
      </x:c>
      <x:c r="AH33" s="23" t="n">
        <x:v>33.060001</x:v>
      </x:c>
      <x:c r="AI33" s="23" t="n">
        <x:v>34.860001</x:v>
      </x:c>
      <x:c r="AJ33" s="23" t="n">
        <x:v>14.288559</x:v>
      </x:c>
      <x:c r="AK33" s="23" t="n">
        <x:v>-50.066889</x:v>
      </x:c>
      <x:c r="AL33" s="11" t="str">
        <x:v>{"market":"恒生指数","marketSymbol":"^HSI","marketReturn20Pct":-2.977908,"marketReturn60Pct":-3.187903,"excess20Pct":11.181582,"excess60Pct":25.784062,"industryBenchmark":null,"industryExcess20Pct":null,"industryExcess60Pct":null,"industryMissingReason":"创新药/医药细分基准三年可核验数据未取得，行业相对强弱留空"}</x:v>
      </x:c>
      <x:c r="AM33" s="11" t="str">
        <x:v>2根Yahoo OHLC逻辑不一致，按腾讯同日完整bar修复，原字段及修复记录在历史文件</x:v>
      </x:c>
      <x:c r="AN33" s="11" t="str">
        <x:v>https://qt.gtimg.cn/q=sh688139,sh688062,sh688192,sh688382,sh688302,sz002821,hk02172,hk03696,sz159502,hk02252,sh603259,sh600276,sh688235,sh513290,sz300363,sz300760,sh688131,hk00853,sh688356,sh688202,hk01276,hk06699,hk09606,hk06855,hk03759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https://query2.finance.yahoo.com/v8/finance/chart/3759.HK?range=3y&amp;interval=1d&amp;events=div%2Csplits
https://proxy.finance.qq.com/ifzqgtimg/appstock/app/fqkline/get?param=hk03759,day,2023-10-09,2026-10-09,1000,qfq</x:v>
      </x:c>
    </x:row>
    <x:row r="34" ht="23" customHeight="1">
      <x:c r="A34" s="11" t="str">
        <x:v>S028</x:v>
      </x:c>
      <x:c r="B34" s="11" t="str">
        <x:v>I023</x:v>
      </x:c>
      <x:c r="C34" s="11" t="str">
        <x:v>01530.HK</x:v>
      </x:c>
      <x:c r="D34" s="11" t="str">
        <x:v>三生制药</x:v>
      </x:c>
      <x:c r="E34" s="11" t="str">
        <x:v>HKD</x:v>
      </x:c>
      <x:c r="F34" s="23" t="n">
        <x:v>15.07</x:v>
      </x:c>
      <x:c r="G34" s="23" t="str">
        <x:v>2026-10-09</x:v>
      </x:c>
      <x:c r="H34" s="23" t="n">
        <x:v>15.07</x:v>
      </x:c>
      <x:c r="I34" s="23" t="str">
        <x:v>2026-10-09</x:v>
      </x:c>
      <x:c r="J34" s="37" t="b">
        <x:v>1</x:v>
      </x:c>
      <x:c r="K34" s="23" t="n">
        <x:v>739</x:v>
      </x:c>
      <x:c r="L34" s="23" t="str">
        <x:v>Yahoo Finance chart</x:v>
      </x:c>
      <x:c r="M34" s="23" t="str">
        <x:v>high</x:v>
      </x:c>
      <x:c r="N34" s="23" t="str">
        <x:v>中短期下降</x:v>
      </x:c>
      <x:c r="O34" s="23" t="n">
        <x:v>15.9785</x:v>
      </x:c>
      <x:c r="P34" s="23" t="n">
        <x:v>16.65225</x:v>
      </x:c>
      <x:c r="Q34" s="23" t="n">
        <x:v>17.671951</x:v>
      </x:c>
      <x:c r="R34" s="23" t="n">
        <x:v>21.857828</x:v>
      </x:c>
      <x:c r="S34" s="23" t="n">
        <x:v>-0.957665</x:v>
      </x:c>
      <x:c r="T34" s="23" t="n">
        <x:v>-1.065409</x:v>
      </x:c>
      <x:c r="U34" s="23" t="n">
        <x:v>-3.024453</x:v>
      </x:c>
      <x:c r="V34" s="23" t="n">
        <x:v>-14.614545</x:v>
      </x:c>
      <x:c r="W34" s="38" t="n">
        <x:v>22470468</x:v>
      </x:c>
      <x:c r="X34" s="38" t="n">
        <x:v>15898692.6</x:v>
      </x:c>
      <x:c r="Y34" s="38" t="n">
        <x:v>17971588.8</x:v>
      </x:c>
      <x:c r="Z34" s="38" t="n">
        <x:v>22445989.05</x:v>
      </x:c>
      <x:c r="AA34" s="23" t="n">
        <x:v>1.205586</x:v>
      </x:c>
      <x:c r="AB34" s="23" t="n">
        <x:v>1.01366</x:v>
      </x:c>
      <x:c r="AC34" s="23" t="n">
        <x:v>40.965951</x:v>
      </x:c>
      <x:c r="AD34" s="23" t="n">
        <x:v>0.74764</x:v>
      </x:c>
      <x:c r="AE34" s="23" t="n">
        <x:v>-0.314446</x:v>
      </x:c>
      <x:c r="AF34" s="23" t="n">
        <x:v>-0.229192</x:v>
      </x:c>
      <x:c r="AG34" s="23" t="n">
        <x:v>14.91</x:v>
      </x:c>
      <x:c r="AH34" s="23" t="n">
        <x:v>17.35</x:v>
      </x:c>
      <x:c r="AI34" s="23" t="n">
        <x:v>34.904574</x:v>
      </x:c>
      <x:c r="AJ34" s="23" t="n">
        <x:v>14.594488</x:v>
      </x:c>
      <x:c r="AK34" s="23" t="n">
        <x:v>-55.755231</x:v>
      </x:c>
      <x:c r="AL34" s="11" t="str">
        <x:v>{"market":"恒生指数","marketSymbol":"^HSI","marketReturn20Pct":-2.977908,"marketReturn60Pct":-3.187903,"excess20Pct":-0.046545,"excess60Pct":-11.426642,"industryBenchmark":"国证港股通创新药987018（粗粒度参考，非每公司专属行业）","industryExcess20Pct":-3.905191,"industryExcess60Pct":-11.391553,"industryMissingReason":null,"industryBenchmarkId":"S021","industryBenchmarkQuality":"官方单来源指数；价回报非含分红，量禁用"}</x:v>
      </x:c>
      <x:c r="AM34" s="11" t="str">
        <x:v>1根Yahoo OHLC逻辑不一致，按腾讯同日完整bar修复，原字段及修复记录在历史文件；近60日复权口径有超过1%的跨源差异，可能与分红复权算法或数据修订有关</x:v>
      </x:c>
      <x:c r="AN34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https://query2.finance.yahoo.com/v8/finance/chart/1530.HK?range=3y&amp;interval=1d&amp;events=div%2Csplits
https://proxy.finance.qq.com/ifzqgtimg/appstock/app/fqkline/get?param=hk01530,day,2023-10-09,2026-10-09,1000,qfq</x:v>
      </x:c>
    </x:row>
    <x:row r="35" ht="23" customHeight="1">
      <x:c r="A35" s="11" t="str">
        <x:v>S029</x:v>
      </x:c>
      <x:c r="B35" s="11" t="str">
        <x:v>I024</x:v>
      </x:c>
      <x:c r="C35" s="11" t="str">
        <x:v>00013.HK</x:v>
      </x:c>
      <x:c r="D35" s="11" t="str">
        <x:v>和黄医药</x:v>
      </x:c>
      <x:c r="E35" s="11" t="str">
        <x:v>HKD</x:v>
      </x:c>
      <x:c r="F35" s="23" t="n">
        <x:v>21.74</x:v>
      </x:c>
      <x:c r="G35" s="23" t="str">
        <x:v>2026-10-09</x:v>
      </x:c>
      <x:c r="H35" s="23" t="n">
        <x:v>21.74</x:v>
      </x:c>
      <x:c r="I35" s="23" t="str">
        <x:v>2026-10-09</x:v>
      </x:c>
      <x:c r="J35" s="37" t="b">
        <x:v>1</x:v>
      </x:c>
      <x:c r="K35" s="23" t="n">
        <x:v>739</x:v>
      </x:c>
      <x:c r="L35" s="23" t="str">
        <x:v>Yahoo Finance chart</x:v>
      </x:c>
      <x:c r="M35" s="23" t="str">
        <x:v>high</x:v>
      </x:c>
      <x:c r="N35" s="23" t="str">
        <x:v>回调，仍高于60日线</x:v>
      </x:c>
      <x:c r="O35" s="23" t="n">
        <x:v>21.991</x:v>
      </x:c>
      <x:c r="P35" s="23" t="n">
        <x:v>20.201667</x:v>
      </x:c>
      <x:c r="Q35" s="23" t="n">
        <x:v>19.48675</x:v>
      </x:c>
      <x:c r="R35" s="23" t="n">
        <x:v>21.2798</x:v>
      </x:c>
      <x:c r="S35" s="23" t="n">
        <x:v>0.200482</x:v>
      </x:c>
      <x:c r="T35" s="23" t="n">
        <x:v>1.741722</x:v>
      </x:c>
      <x:c r="U35" s="23" t="n">
        <x:v>3.326991</x:v>
      </x:c>
      <x:c r="V35" s="23" t="n">
        <x:v>17.196772</x:v>
      </x:c>
      <x:c r="W35" s="38" t="n">
        <x:v>2199914</x:v>
      </x:c>
      <x:c r="X35" s="38" t="n">
        <x:v>2224182.8</x:v>
      </x:c>
      <x:c r="Y35" s="38" t="n">
        <x:v>4715565.2</x:v>
      </x:c>
      <x:c r="Z35" s="38" t="n">
        <x:v>5218159.8</x:v>
      </x:c>
      <x:c r="AA35" s="23" t="n">
        <x:v>0.450373</x:v>
      </x:c>
      <x:c r="AB35" s="23" t="n">
        <x:v>1.353172</x:v>
      </x:c>
      <x:c r="AC35" s="23" t="n">
        <x:v>50.716927</x:v>
      </x:c>
      <x:c r="AD35" s="23" t="n">
        <x:v>0.901768</x:v>
      </x:c>
      <x:c r="AE35" s="23" t="n">
        <x:v>0.412692</x:v>
      </x:c>
      <x:c r="AF35" s="23" t="n">
        <x:v>0.561525</x:v>
      </x:c>
      <x:c r="AG35" s="23" t="n">
        <x:v>20</x:v>
      </x:c>
      <x:c r="AH35" s="23" t="n">
        <x:v>23.559999</x:v>
      </x:c>
      <x:c r="AI35" s="23" t="n">
        <x:v>26</x:v>
      </x:c>
      <x:c r="AJ35" s="23" t="n">
        <x:v>15.57</x:v>
      </x:c>
      <x:c r="AK35" s="23" t="n">
        <x:v>-38.643408</x:v>
      </x:c>
      <x:c r="AL35" s="11" t="str">
        <x:v>{"market":"恒生指数","marketSymbol":"^HSI","marketReturn20Pct":-2.977908,"marketReturn60Pct":-3.187903,"excess20Pct":6.304899,"excess60Pct":20.384675,"industryBenchmark":"国证港股通创新药987018（粗粒度参考，非每公司专属行业）","industryExcess20Pct":2.446253,"industryExcess60Pct":20.419764,"industryMissingReason":null,"industryBenchmarkId":"S021","industryBenchmarkQuality":"官方单来源指数；价回报非含分红，量禁用"}</x:v>
      </x:c>
      <x:c r="AM35" s="11" t="str">
        <x:v>1根Yahoo OHLC逻辑不一致，按腾讯同日完整bar修复，原字段及修复记录在历史文件</x:v>
      </x:c>
      <x:c r="AN35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https://query2.finance.yahoo.com/v8/finance/chart/0013.HK?range=3y&amp;interval=1d&amp;events=div%2Csplits
https://proxy.finance.qq.com/ifzqgtimg/appstock/app/fqkline/get?param=hk00013,day,2023-10-09,2026-10-09,1000,qfq</x:v>
      </x:c>
    </x:row>
    <x:row r="36" ht="23" customHeight="1">
      <x:c r="A36" s="11" t="str">
        <x:v>S030</x:v>
      </x:c>
      <x:c r="B36" s="11" t="str">
        <x:v>I025</x:v>
      </x:c>
      <x:c r="C36" s="11" t="str">
        <x:v>01093.HK</x:v>
      </x:c>
      <x:c r="D36" s="11" t="str">
        <x:v>石药集团</x:v>
      </x:c>
      <x:c r="E36" s="11" t="str">
        <x:v>HKD</x:v>
      </x:c>
      <x:c r="F36" s="23" t="n">
        <x:v>9.085</x:v>
      </x:c>
      <x:c r="G36" s="23" t="str">
        <x:v>2026-10-09</x:v>
      </x:c>
      <x:c r="H36" s="23" t="n">
        <x:v>9.085</x:v>
      </x:c>
      <x:c r="I36" s="23" t="str">
        <x:v>2026-10-09</x:v>
      </x:c>
      <x:c r="J36" s="37" t="b">
        <x:v>1</x:v>
      </x:c>
      <x:c r="K36" s="23" t="n">
        <x:v>739</x:v>
      </x:c>
      <x:c r="L36" s="23" t="str">
        <x:v>Yahoo Finance chart</x:v>
      </x:c>
      <x:c r="M36" s="23" t="str">
        <x:v>high</x:v>
      </x:c>
      <x:c r="N36" s="23" t="str">
        <x:v>回调，仍高于60日线</x:v>
      </x:c>
      <x:c r="O36" s="23" t="n">
        <x:v>9.37</x:v>
      </x:c>
      <x:c r="P36" s="23" t="n">
        <x:v>9.047667</x:v>
      </x:c>
      <x:c r="Q36" s="23" t="n">
        <x:v>8.330789</x:v>
      </x:c>
      <x:c r="R36" s="23" t="n">
        <x:v>8.48636</x:v>
      </x:c>
      <x:c r="S36" s="23" t="n">
        <x:v>0.744564</x:v>
      </x:c>
      <x:c r="T36" s="23" t="n">
        <x:v>1.23641</x:v>
      </x:c>
      <x:c r="U36" s="23" t="n">
        <x:v>3.59179</x:v>
      </x:c>
      <x:c r="V36" s="23" t="n">
        <x:v>5.639535</x:v>
      </x:c>
      <x:c r="W36" s="38" t="n">
        <x:v>92250934</x:v>
      </x:c>
      <x:c r="X36" s="38" t="n">
        <x:v>55373493</x:v>
      </x:c>
      <x:c r="Y36" s="38" t="n">
        <x:v>72036420.6</x:v>
      </x:c>
      <x:c r="Z36" s="38" t="n">
        <x:v>89569633.767</x:v>
      </x:c>
      <x:c r="AA36" s="23" t="n">
        <x:v>1.230976</x:v>
      </x:c>
      <x:c r="AB36" s="23" t="n">
        <x:v>1.300093</x:v>
      </x:c>
      <x:c r="AC36" s="23" t="n">
        <x:v>44.321962</x:v>
      </x:c>
      <x:c r="AD36" s="23" t="n">
        <x:v>0.391554</x:v>
      </x:c>
      <x:c r="AE36" s="23" t="n">
        <x:v>0.126947</x:v>
      </x:c>
      <x:c r="AF36" s="23" t="n">
        <x:v>0.16903</x:v>
      </x:c>
      <x:c r="AG36" s="23" t="n">
        <x:v>8.52</x:v>
      </x:c>
      <x:c r="AH36" s="23" t="n">
        <x:v>10.16</x:v>
      </x:c>
      <x:c r="AI36" s="23" t="n">
        <x:v>10.719649</x:v>
      </x:c>
      <x:c r="AJ36" s="23" t="n">
        <x:v>6.386799</x:v>
      </x:c>
      <x:c r="AK36" s="23" t="n">
        <x:v>-36.397537</x:v>
      </x:c>
      <x:c r="AL36" s="11" t="str">
        <x:v>{"market":"恒生指数","marketSymbol":"^HSI","marketReturn20Pct":-2.977908,"marketReturn60Pct":-3.187903,"excess20Pct":6.569698,"excess60Pct":8.827438,"industryBenchmark":null,"industryExcess20Pct":null,"industryExcess60Pct":null,"industryBenchmarkId":null,"industryMissingReason":"综合药企不适用恒生科技；专属医药行业指数尚待核验"}</x:v>
      </x:c>
      <x:c r="AM36" s="11" t="str"/>
      <x:c r="AN36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https://query2.finance.yahoo.com/v8/finance/chart/1093.HK?range=3y&amp;interval=1d&amp;events=div%2Csplits
https://proxy.finance.qq.com/ifzqgtimg/appstock/app/fqkline/get?param=hk01093,day,2023-10-09,2026-10-09,1000,qfq</x:v>
      </x:c>
    </x:row>
    <x:row r="37" ht="23" customHeight="1">
      <x:c r="A37" s="11" t="str">
        <x:v>S031</x:v>
      </x:c>
      <x:c r="B37" s="11" t="str">
        <x:v>I026</x:v>
      </x:c>
      <x:c r="C37" s="11" t="str">
        <x:v>02157.HK</x:v>
      </x:c>
      <x:c r="D37" s="11" t="str">
        <x:v>乐普生物</x:v>
      </x:c>
      <x:c r="E37" s="11" t="str">
        <x:v>HKD</x:v>
      </x:c>
      <x:c r="F37" s="23" t="n">
        <x:v>3.82</x:v>
      </x:c>
      <x:c r="G37" s="23" t="str">
        <x:v>2026-10-09</x:v>
      </x:c>
      <x:c r="H37" s="23" t="n">
        <x:v>3.82</x:v>
      </x:c>
      <x:c r="I37" s="23" t="str">
        <x:v>2026-10-09</x:v>
      </x:c>
      <x:c r="J37" s="37" t="b">
        <x:v>1</x:v>
      </x:c>
      <x:c r="K37" s="23" t="n">
        <x:v>739</x:v>
      </x:c>
      <x:c r="L37" s="23" t="str">
        <x:v>Yahoo Finance chart</x:v>
      </x:c>
      <x:c r="M37" s="23" t="str">
        <x:v>high</x:v>
      </x:c>
      <x:c r="N37" s="23" t="str">
        <x:v>中短期下降</x:v>
      </x:c>
      <x:c r="O37" s="23" t="n">
        <x:v>3.96725</x:v>
      </x:c>
      <x:c r="P37" s="23" t="n">
        <x:v>4.2215</x:v>
      </x:c>
      <x:c r="Q37" s="23" t="n">
        <x:v>4.36025</x:v>
      </x:c>
      <x:c r="R37" s="23" t="n">
        <x:v>4.96224</x:v>
      </x:c>
      <x:c r="S37" s="23" t="n">
        <x:v>-1.752105</x:v>
      </x:c>
      <x:c r="T37" s="23" t="n">
        <x:v>-1.433992</x:v>
      </x:c>
      <x:c r="U37" s="23" t="n">
        <x:v>-3.535354</x:v>
      </x:c>
      <x:c r="V37" s="23" t="n">
        <x:v>-20.910973</x:v>
      </x:c>
      <x:c r="W37" s="38" t="n">
        <x:v>10035000</x:v>
      </x:c>
      <x:c r="X37" s="38" t="n">
        <x:v>4869489.6</x:v>
      </x:c>
      <x:c r="Y37" s="38" t="n">
        <x:v>8694749.25</x:v>
      </x:c>
      <x:c r="Z37" s="38" t="n">
        <x:v>9565023.567</x:v>
      </x:c>
      <x:c r="AA37" s="23" t="n">
        <x:v>1.154092</x:v>
      </x:c>
      <x:c r="AB37" s="23" t="n">
        <x:v>1.150977</x:v>
      </x:c>
      <x:c r="AC37" s="23" t="n">
        <x:v>43.086249</x:v>
      </x:c>
      <x:c r="AD37" s="23" t="n">
        <x:v>0.25695</x:v>
      </x:c>
      <x:c r="AE37" s="23" t="n">
        <x:v>-0.071608</x:v>
      </x:c>
      <x:c r="AF37" s="23" t="n">
        <x:v>-0.064773</x:v>
      </x:c>
      <x:c r="AG37" s="23" t="n">
        <x:v>3.68</x:v>
      </x:c>
      <x:c r="AH37" s="23" t="n">
        <x:v>4.43</x:v>
      </x:c>
      <x:c r="AI37" s="23" t="n">
        <x:v>8.11</x:v>
      </x:c>
      <x:c r="AJ37" s="23" t="n">
        <x:v>3.55</x:v>
      </x:c>
      <x:c r="AK37" s="23" t="n">
        <x:v>-54.911839</x:v>
      </x:c>
      <x:c r="AL37" s="11" t="str">
        <x:v>{"market":"恒生指数","marketSymbol":"^HSI","marketReturn20Pct":-2.977908,"marketReturn60Pct":-3.187903,"excess20Pct":-0.557446,"excess60Pct":-17.72307,"industryBenchmark":"国证港股通创新药987018（粗粒度参考，非每公司专属行业）","industryExcess20Pct":-4.416092,"industryExcess60Pct":-17.687981,"industryMissingReason":null,"industryBenchmarkId":"S021","industryBenchmarkQuality":"官方单来源指数；价回报非含分红，量禁用"}</x:v>
      </x:c>
      <x:c r="AM37" s="11" t="str">
        <x:v>12根Yahoo OHLC逻辑不一致，按腾讯同日完整bar修复，原字段及修复记录在历史文件</x:v>
      </x:c>
      <x:c r="AN37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https://query2.finance.yahoo.com/v8/finance/chart/2157.HK?range=3y&amp;interval=1d&amp;events=div%2Csplits
https://proxy.finance.qq.com/ifzqgtimg/appstock/app/fqkline/get?param=hk02157,day,2023-10-09,2026-10-09,1000,qfq</x:v>
      </x:c>
    </x:row>
    <x:row r="38" ht="23" customHeight="1">
      <x:c r="A38" s="11" t="str">
        <x:v>S032</x:v>
      </x:c>
      <x:c r="B38" s="11" t="str">
        <x:v>I027</x:v>
      </x:c>
      <x:c r="C38" s="11" t="str">
        <x:v>02228.HK</x:v>
      </x:c>
      <x:c r="D38" s="11" t="str">
        <x:v>晶泰控股</x:v>
      </x:c>
      <x:c r="E38" s="11" t="str">
        <x:v>HKD</x:v>
      </x:c>
      <x:c r="F38" s="23" t="n">
        <x:v>6.985</x:v>
      </x:c>
      <x:c r="G38" s="23" t="str">
        <x:v>2026-10-09</x:v>
      </x:c>
      <x:c r="H38" s="23" t="n">
        <x:v>6.985</x:v>
      </x:c>
      <x:c r="I38" s="23" t="str">
        <x:v>2026-10-09</x:v>
      </x:c>
      <x:c r="J38" s="37" t="b">
        <x:v>1</x:v>
      </x:c>
      <x:c r="K38" s="23" t="n">
        <x:v>573</x:v>
      </x:c>
      <x:c r="L38" s="23" t="str">
        <x:v>Yahoo Finance chart</x:v>
      </x:c>
      <x:c r="M38" s="23" t="str">
        <x:v>high</x:v>
      </x:c>
      <x:c r="N38" s="23" t="str">
        <x:v>趋势交错/震荡</x:v>
      </x:c>
      <x:c r="O38" s="23" t="n">
        <x:v>7.65425</x:v>
      </x:c>
      <x:c r="P38" s="23" t="n">
        <x:v>7.465333</x:v>
      </x:c>
      <x:c r="Q38" s="23" t="n">
        <x:v>7.746333</x:v>
      </x:c>
      <x:c r="R38" s="23" t="n">
        <x:v>9.31888</x:v>
      </x:c>
      <x:c r="S38" s="23" t="n">
        <x:v>0.986213</x:v>
      </x:c>
      <x:c r="T38" s="23" t="n">
        <x:v>-0.29383</x:v>
      </x:c>
      <x:c r="U38" s="23" t="n">
        <x:v>-3.053435</x:v>
      </x:c>
      <x:c r="V38" s="23" t="n">
        <x:v>-12.248744</x:v>
      </x:c>
      <x:c r="W38" s="38" t="n">
        <x:v>90611730</x:v>
      </x:c>
      <x:c r="X38" s="38" t="n">
        <x:v>54731016.2</x:v>
      </x:c>
      <x:c r="Y38" s="38" t="n">
        <x:v>64414956.5</x:v>
      </x:c>
      <x:c r="Z38" s="38" t="n">
        <x:v>59742629.133</x:v>
      </x:c>
      <x:c r="AA38" s="23" t="n">
        <x:v>1.479666</x:v>
      </x:c>
      <x:c r="AB38" s="23" t="n">
        <x:v>1.142877</x:v>
      </x:c>
      <x:c r="AC38" s="23" t="n">
        <x:v>41.474692</x:v>
      </x:c>
      <x:c r="AD38" s="23" t="n">
        <x:v>0.500604</x:v>
      </x:c>
      <x:c r="AE38" s="23" t="n">
        <x:v>-0.007067</x:v>
      </x:c>
      <x:c r="AF38" s="23" t="n">
        <x:v>0.096376</x:v>
      </x:c>
      <x:c r="AG38" s="23" t="n">
        <x:v>6.75</x:v>
      </x:c>
      <x:c r="AH38" s="23" t="n">
        <x:v>9.015</x:v>
      </x:c>
      <x:c r="AI38" s="23" t="n">
        <x:v>15.12</x:v>
      </x:c>
      <x:c r="AJ38" s="23" t="n">
        <x:v>6.3</x:v>
      </x:c>
      <x:c r="AK38" s="23" t="n">
        <x:v>-56.691325</x:v>
      </x:c>
      <x:c r="AL38" s="11" t="str">
        <x:v>{"market":"恒生指数","marketSymbol":"^HSI","marketReturn20Pct":-2.977908,"marketReturn60Pct":-3.187903,"excess20Pct":-0.075527,"excess60Pct":-9.060841,"industryBenchmark":"国证港股通创新药987018（粗粒度参考，非每公司专属行业）","industryExcess20Pct":-3.934173,"industryExcess60Pct":-9.025752,"industryMissingReason":null,"industryBenchmarkId":"S021","industryBenchmarkQuality":"官方单来源指数；价回报非含分红，量禁用"}</x:v>
      </x:c>
      <x:c r="AM38" s="11" t="str"/>
      <x:c r="AN38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https://query2.finance.yahoo.com/v8/finance/chart/2228.HK?range=3y&amp;interval=1d&amp;events=div%2Csplits
https://proxy.finance.qq.com/ifzqgtimg/appstock/app/fqkline/get?param=hk02228,day,2023-10-09,2026-10-09,1000,qfq</x:v>
      </x:c>
    </x:row>
    <x:row r="39" ht="23" customHeight="1">
      <x:c r="A39" s="11" t="str">
        <x:v>S033</x:v>
      </x:c>
      <x:c r="B39" s="11" t="str">
        <x:v>I028</x:v>
      </x:c>
      <x:c r="C39" s="11" t="str">
        <x:v>02607.HK</x:v>
      </x:c>
      <x:c r="D39" s="11" t="str">
        <x:v>上海医药</x:v>
      </x:c>
      <x:c r="E39" s="11" t="str">
        <x:v>HKD</x:v>
      </x:c>
      <x:c r="F39" s="23" t="n">
        <x:v>11.03</x:v>
      </x:c>
      <x:c r="G39" s="23" t="str">
        <x:v>2026-10-09</x:v>
      </x:c>
      <x:c r="H39" s="23" t="n">
        <x:v>11.03</x:v>
      </x:c>
      <x:c r="I39" s="23" t="str">
        <x:v>2026-10-09</x:v>
      </x:c>
      <x:c r="J39" s="37" t="b">
        <x:v>1</x:v>
      </x:c>
      <x:c r="K39" s="23" t="n">
        <x:v>739</x:v>
      </x:c>
      <x:c r="L39" s="23" t="str">
        <x:v>Yahoo Finance chart</x:v>
      </x:c>
      <x:c r="M39" s="23" t="str">
        <x:v>high</x:v>
      </x:c>
      <x:c r="N39" s="23" t="str">
        <x:v>短期反弹，仍低于60日线</x:v>
      </x:c>
      <x:c r="O39" s="23" t="n">
        <x:v>10.902926</x:v>
      </x:c>
      <x:c r="P39" s="23" t="n">
        <x:v>11.364545</x:v>
      </x:c>
      <x:c r="Q39" s="23" t="n">
        <x:v>11.32542</x:v>
      </x:c>
      <x:c r="R39" s="23" t="n">
        <x:v>11.287234</x:v>
      </x:c>
      <x:c r="S39" s="23" t="n">
        <x:v>-0.991286</x:v>
      </x:c>
      <x:c r="T39" s="23" t="n">
        <x:v>-0.465121</x:v>
      </x:c>
      <x:c r="U39" s="23" t="n">
        <x:v>-0.017096</x:v>
      </x:c>
      <x:c r="V39" s="23" t="n">
        <x:v>-8.697026</x:v>
      </x:c>
      <x:c r="W39" s="38" t="n">
        <x:v>1839500</x:v>
      </x:c>
      <x:c r="X39" s="38" t="n">
        <x:v>934940</x:v>
      </x:c>
      <x:c r="Y39" s="38" t="n">
        <x:v>1679158.9</x:v>
      </x:c>
      <x:c r="Z39" s="38" t="n">
        <x:v>1571567.817</x:v>
      </x:c>
      <x:c r="AA39" s="23" t="n">
        <x:v>1.043002</x:v>
      </x:c>
      <x:c r="AB39" s="23" t="n">
        <x:v>0.656135</x:v>
      </x:c>
      <x:c r="AC39" s="23" t="n">
        <x:v>50.210741</x:v>
      </x:c>
      <x:c r="AD39" s="23" t="n">
        <x:v>0.205466</x:v>
      </x:c>
      <x:c r="AE39" s="23" t="n">
        <x:v>-0.090995</x:v>
      </x:c>
      <x:c r="AF39" s="23" t="n">
        <x:v>-0.121115</x:v>
      </x:c>
      <x:c r="AG39" s="23" t="n">
        <x:v>10.7</x:v>
      </x:c>
      <x:c r="AH39" s="23" t="n">
        <x:v>11.13</x:v>
      </x:c>
      <x:c r="AI39" s="23" t="n">
        <x:v>12.169705</x:v>
      </x:c>
      <x:c r="AJ39" s="23" t="n">
        <x:v>10.47443</x:v>
      </x:c>
      <x:c r="AK39" s="23" t="n">
        <x:v>-10.932004</x:v>
      </x:c>
      <x:c r="AL39" s="11" t="str">
        <x:v>{"market":"恒生指数","marketSymbol":"^HSI","marketReturn20Pct":-2.977908,"marketReturn60Pct":-3.187903,"excess20Pct":2.960812,"excess60Pct":-5.509123,"industryBenchmark":null,"industryExcess20Pct":null,"industryExcess60Pct":null,"industryMissingReason":"创新药/医药细分基准三年可核验数据未取得，行业相对强弱留空"}</x:v>
      </x:c>
      <x:c r="AM39" s="11" t="str">
        <x:v>2根Yahoo OHLC逻辑不一致，按腾讯同日完整bar修复，原字段及修复记录在历史文件；近60日复权口径有超过1%的跨源差异，可能与分红复权算法或数据修订有关</x:v>
      </x:c>
      <x:c r="AN39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https://query2.finance.yahoo.com/v8/finance/chart/2607.HK?range=3y&amp;interval=1d&amp;events=div%2Csplits
https://proxy.finance.qq.com/ifzqgtimg/appstock/app/fqkline/get?param=hk02607,day,2023-10-09,2026-10-09,1000,qfq</x:v>
      </x:c>
    </x:row>
    <x:row r="40" ht="23" customHeight="1">
      <x:c r="A40" s="11" t="str">
        <x:v>S034</x:v>
      </x:c>
      <x:c r="B40" s="11" t="str">
        <x:v>I029</x:v>
      </x:c>
      <x:c r="C40" s="11" t="str">
        <x:v>03692.HK</x:v>
      </x:c>
      <x:c r="D40" s="11" t="str">
        <x:v>翰森制药</x:v>
      </x:c>
      <x:c r="E40" s="11" t="str">
        <x:v>HKD</x:v>
      </x:c>
      <x:c r="F40" s="23" t="n">
        <x:v>31.54</x:v>
      </x:c>
      <x:c r="G40" s="23" t="str">
        <x:v>2026-10-09</x:v>
      </x:c>
      <x:c r="H40" s="23" t="n">
        <x:v>31.54</x:v>
      </x:c>
      <x:c r="I40" s="23" t="str">
        <x:v>2026-10-09</x:v>
      </x:c>
      <x:c r="J40" s="37" t="b">
        <x:v>1</x:v>
      </x:c>
      <x:c r="K40" s="23" t="n">
        <x:v>739</x:v>
      </x:c>
      <x:c r="L40" s="23" t="str">
        <x:v>Yahoo Finance chart</x:v>
      </x:c>
      <x:c r="M40" s="23" t="str">
        <x:v>high</x:v>
      </x:c>
      <x:c r="N40" s="23" t="str">
        <x:v>趋势交错/震荡</x:v>
      </x:c>
      <x:c r="O40" s="23" t="n">
        <x:v>33.880129</x:v>
      </x:c>
      <x:c r="P40" s="23" t="n">
        <x:v>33.409691</x:v>
      </x:c>
      <x:c r="Q40" s="23" t="n">
        <x:v>33.088879</x:v>
      </x:c>
      <x:c r="R40" s="23" t="n">
        <x:v>35.049938</x:v>
      </x:c>
      <x:c r="S40" s="23" t="n">
        <x:v>-1.319928</x:v>
      </x:c>
      <x:c r="T40" s="23" t="n">
        <x:v>0.229311</x:v>
      </x:c>
      <x:c r="U40" s="23" t="n">
        <x:v>-4.634598</x:v>
      </x:c>
      <x:c r="V40" s="23" t="n">
        <x:v>-4.116931</x:v>
      </x:c>
      <x:c r="W40" s="38" t="n">
        <x:v>9955354</x:v>
      </x:c>
      <x:c r="X40" s="38" t="n">
        <x:v>6830663.6</x:v>
      </x:c>
      <x:c r="Y40" s="38" t="n">
        <x:v>8653825.2</x:v>
      </x:c>
      <x:c r="Z40" s="38" t="n">
        <x:v>10548941.067</x:v>
      </x:c>
      <x:c r="AA40" s="23" t="n">
        <x:v>1.137369</x:v>
      </x:c>
      <x:c r="AB40" s="23" t="n">
        <x:v>0.778808</x:v>
      </x:c>
      <x:c r="AC40" s="23" t="n">
        <x:v>38.40749</x:v>
      </x:c>
      <x:c r="AD40" s="23" t="n">
        <x:v>1.435578</x:v>
      </x:c>
      <x:c r="AE40" s="23" t="n">
        <x:v>-0.247155</x:v>
      </x:c>
      <x:c r="AF40" s="23" t="n">
        <x:v>0.04615</x:v>
      </x:c>
      <x:c r="AG40" s="23" t="n">
        <x:v>31.18</x:v>
      </x:c>
      <x:c r="AH40" s="23" t="n">
        <x:v>36</x:v>
      </x:c>
      <x:c r="AI40" s="23" t="n">
        <x:v>43.587261</x:v>
      </x:c>
      <x:c r="AJ40" s="23" t="n">
        <x:v>27.658491</x:v>
      </x:c>
      <x:c r="AK40" s="23" t="n">
        <x:v>-34.132838</x:v>
      </x:c>
      <x:c r="AL40" s="11" t="str">
        <x:v>{"market":"恒生指数","marketSymbol":"^HSI","marketReturn20Pct":-2.977908,"marketReturn60Pct":-3.187903,"excess20Pct":-1.65669,"excess60Pct":-0.929028,"industryBenchmark":"国证港股通创新药987018（粗粒度参考，非每公司专属行业）","industryExcess20Pct":-5.515336,"industryExcess60Pct":-0.893939,"industryMissingReason":null,"industryBenchmarkId":"S021","industryBenchmarkQuality":"官方单来源指数；价回报非含分红，量禁用"}</x:v>
      </x:c>
      <x:c r="AM40" s="11" t="str">
        <x:v>2根Yahoo OHLC逻辑不一致，按腾讯同日完整bar修复，原字段及修复记录在历史文件</x:v>
      </x:c>
      <x:c r="AN40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https://query2.finance.yahoo.com/v8/finance/chart/3692.HK?range=3y&amp;interval=1d&amp;events=div%2Csplits
https://proxy.finance.qq.com/ifzqgtimg/appstock/app/fqkline/get?param=hk03692,day,2023-10-09,2026-10-09,1000,qfq</x:v>
      </x:c>
    </x:row>
    <x:row r="41" ht="23" customHeight="1">
      <x:c r="A41" s="11" t="str">
        <x:v>S035</x:v>
      </x:c>
      <x:c r="B41" s="11" t="str">
        <x:v>I030</x:v>
      </x:c>
      <x:c r="C41" s="11" t="str">
        <x:v>02186.HK</x:v>
      </x:c>
      <x:c r="D41" s="11" t="str">
        <x:v>绿叶制药</x:v>
      </x:c>
      <x:c r="E41" s="11" t="str">
        <x:v>HKD</x:v>
      </x:c>
      <x:c r="F41" s="23" t="n">
        <x:v>1.73</x:v>
      </x:c>
      <x:c r="G41" s="23" t="str">
        <x:v>2026-10-09</x:v>
      </x:c>
      <x:c r="H41" s="23" t="n">
        <x:v>1.73</x:v>
      </x:c>
      <x:c r="I41" s="23" t="str">
        <x:v>2026-10-09</x:v>
      </x:c>
      <x:c r="J41" s="37" t="b">
        <x:v>1</x:v>
      </x:c>
      <x:c r="K41" s="23" t="n">
        <x:v>739</x:v>
      </x:c>
      <x:c r="L41" s="23" t="str">
        <x:v>Yahoo Finance chart</x:v>
      </x:c>
      <x:c r="M41" s="23" t="str">
        <x:v>high</x:v>
      </x:c>
      <x:c r="N41" s="23" t="str">
        <x:v>中短期下降</x:v>
      </x:c>
      <x:c r="O41" s="23" t="n">
        <x:v>1.8105</x:v>
      </x:c>
      <x:c r="P41" s="23" t="n">
        <x:v>1.967917</x:v>
      </x:c>
      <x:c r="Q41" s="23" t="n">
        <x:v>2.085542</x:v>
      </x:c>
      <x:c r="R41" s="23" t="n">
        <x:v>2.50242</x:v>
      </x:c>
      <x:c r="S41" s="23" t="n">
        <x:v>-1.267894</x:v>
      </x:c>
      <x:c r="T41" s="23" t="n">
        <x:v>-1.427558</x:v>
      </x:c>
      <x:c r="U41" s="23" t="n">
        <x:v>-5.464481</x:v>
      </x:c>
      <x:c r="V41" s="23" t="n">
        <x:v>-22.072072</x:v>
      </x:c>
      <x:c r="W41" s="38" t="n">
        <x:v>29590500</x:v>
      </x:c>
      <x:c r="X41" s="38" t="n">
        <x:v>13869500</x:v>
      </x:c>
      <x:c r="Y41" s="38" t="n">
        <x:v>25115162.5</x:v>
      </x:c>
      <x:c r="Z41" s="38" t="n">
        <x:v>30091516.867</x:v>
      </x:c>
      <x:c r="AA41" s="23" t="n">
        <x:v>1.179519</x:v>
      </x:c>
      <x:c r="AB41" s="23" t="n">
        <x:v>0.738489</x:v>
      </x:c>
      <x:c r="AC41" s="23" t="n">
        <x:v>39.443791</x:v>
      </x:c>
      <x:c r="AD41" s="23" t="n">
        <x:v>0.08201</x:v>
      </x:c>
      <x:c r="AE41" s="23" t="n">
        <x:v>-0.041336</x:v>
      </x:c>
      <x:c r="AF41" s="23" t="n">
        <x:v>-0.040429</x:v>
      </x:c>
      <x:c r="AG41" s="23" t="n">
        <x:v>1.69</x:v>
      </x:c>
      <x:c r="AH41" s="23" t="n">
        <x:v>1.945</x:v>
      </x:c>
      <x:c r="AI41" s="23" t="n">
        <x:v>3.69</x:v>
      </x:c>
      <x:c r="AJ41" s="23" t="n">
        <x:v>1.69</x:v>
      </x:c>
      <x:c r="AK41" s="23" t="n">
        <x:v>-52.64624</x:v>
      </x:c>
      <x:c r="AL41" s="11" t="str">
        <x:v>{"market":"恒生指数","marketSymbol":"^HSI","marketReturn20Pct":-2.977908,"marketReturn60Pct":-3.187903,"excess20Pct":-2.486573,"excess60Pct":-18.884169,"industryBenchmark":null,"industryExcess20Pct":null,"industryExcess60Pct":null,"industryBenchmarkId":null,"industryMissingReason":"综合药企不适用恒生科技；专属医药行业指数尚待核验"}</x:v>
      </x:c>
      <x:c r="AM41" s="11" t="str">
        <x:v>1根Yahoo OHLC逻辑不一致，按腾讯同日完整bar修复，原字段及修复记录在历史文件</x:v>
      </x:c>
      <x:c r="AN41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https://query2.finance.yahoo.com/v8/finance/chart/2186.HK?range=3y&amp;interval=1d&amp;events=div%2Csplits
https://proxy.finance.qq.com/ifzqgtimg/appstock/app/fqkline/get?param=hk02186,day,2023-10-09,2026-10-09,1000,qfq</x:v>
      </x:c>
    </x:row>
    <x:row r="42" ht="23" customHeight="1">
      <x:c r="A42" s="11" t="str">
        <x:v>S036</x:v>
      </x:c>
      <x:c r="B42" s="11" t="str">
        <x:v>I031</x:v>
      </x:c>
      <x:c r="C42" s="11" t="str">
        <x:v>01177.HK</x:v>
      </x:c>
      <x:c r="D42" s="11" t="str">
        <x:v>中国生物制药</x:v>
      </x:c>
      <x:c r="E42" s="11" t="str">
        <x:v>HKD</x:v>
      </x:c>
      <x:c r="F42" s="23" t="n">
        <x:v>5.41</x:v>
      </x:c>
      <x:c r="G42" s="23" t="str">
        <x:v>2026-10-09</x:v>
      </x:c>
      <x:c r="H42" s="23" t="n">
        <x:v>5.41</x:v>
      </x:c>
      <x:c r="I42" s="23" t="str">
        <x:v>2026-10-09</x:v>
      </x:c>
      <x:c r="J42" s="37" t="b">
        <x:v>1</x:v>
      </x:c>
      <x:c r="K42" s="23" t="n">
        <x:v>739</x:v>
      </x:c>
      <x:c r="L42" s="23" t="str">
        <x:v>Yahoo Finance chart</x:v>
      </x:c>
      <x:c r="M42" s="23" t="str">
        <x:v>high</x:v>
      </x:c>
      <x:c r="N42" s="23" t="str">
        <x:v>回调，仍高于60日线</x:v>
      </x:c>
      <x:c r="O42" s="23" t="n">
        <x:v>5.5725</x:v>
      </x:c>
      <x:c r="P42" s="23" t="n">
        <x:v>5.304042</x:v>
      </x:c>
      <x:c r="Q42" s="23" t="n">
        <x:v>5.124926</x:v>
      </x:c>
      <x:c r="R42" s="23" t="n">
        <x:v>5.835754</x:v>
      </x:c>
      <x:c r="S42" s="23" t="n">
        <x:v>-0.026911</x:v>
      </x:c>
      <x:c r="T42" s="23" t="n">
        <x:v>0.725845</x:v>
      </x:c>
      <x:c r="U42" s="23" t="n">
        <x:v>-1.277372</x:v>
      </x:c>
      <x:c r="V42" s="23" t="n">
        <x:v>4.189918</x:v>
      </x:c>
      <x:c r="W42" s="38" t="n">
        <x:v>72670987</x:v>
      </x:c>
      <x:c r="X42" s="38" t="n">
        <x:v>49119850.2</x:v>
      </x:c>
      <x:c r="Y42" s="38" t="n">
        <x:v>67087809.75</x:v>
      </x:c>
      <x:c r="Z42" s="38" t="n">
        <x:v>79661436.767</x:v>
      </x:c>
      <x:c r="AA42" s="23" t="n">
        <x:v>1.078056</x:v>
      </x:c>
      <x:c r="AB42" s="23" t="n">
        <x:v>0.749972</x:v>
      </x:c>
      <x:c r="AC42" s="23" t="n">
        <x:v>46.526374</x:v>
      </x:c>
      <x:c r="AD42" s="23" t="n">
        <x:v>0.238148</x:v>
      </x:c>
      <x:c r="AE42" s="23" t="n">
        <x:v>0.046152</x:v>
      </x:c>
      <x:c r="AF42" s="23" t="n">
        <x:v>0.079132</x:v>
      </x:c>
      <x:c r="AG42" s="23" t="n">
        <x:v>5.23</x:v>
      </x:c>
      <x:c r="AH42" s="23" t="n">
        <x:v>5.97</x:v>
      </x:c>
      <x:c r="AI42" s="23" t="n">
        <x:v>8.334947</x:v>
      </x:c>
      <x:c r="AJ42" s="23" t="n">
        <x:v>4.136184</x:v>
      </x:c>
      <x:c r="AK42" s="23" t="n">
        <x:v>-49.54635</x:v>
      </x:c>
      <x:c r="AL42" s="11" t="str">
        <x:v>{"market":"恒生指数","marketSymbol":"^HSI","marketReturn20Pct":-2.977908,"marketReturn60Pct":-3.187903,"excess20Pct":1.700536,"excess60Pct":7.377821,"industryBenchmark":"国证港股通创新药987018（粗粒度参考，非每公司专属行业）","industryExcess20Pct":-2.15811,"industryExcess60Pct":7.41291,"industryMissingReason":null,"industryBenchmarkId":"S021","industryBenchmarkQuality":"官方单来源指数；价回报非含分红，量禁用"}</x:v>
      </x:c>
      <x:c r="AM42" s="11" t="str">
        <x:v>近60日复权口径有超过1%的跨源差异，可能与分红复权算法或数据修订有关</x:v>
      </x:c>
      <x:c r="AN42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https://query2.finance.yahoo.com/v8/finance/chart/1177.HK?range=3y&amp;interval=1d&amp;events=div%2Csplits
https://proxy.finance.qq.com/ifzqgtimg/appstock/app/fqkline/get?param=hk01177,day,2023-10-09,2026-10-09,1000,qfq</x:v>
      </x:c>
    </x:row>
    <x:row r="43" ht="23" customHeight="1">
      <x:c r="A43" s="11" t="str">
        <x:v>S037</x:v>
      </x:c>
      <x:c r="B43" s="11" t="str">
        <x:v>I010</x:v>
      </x:c>
      <x:c r="C43" s="11" t="str">
        <x:v>02359.HK</x:v>
      </x:c>
      <x:c r="D43" s="11" t="str">
        <x:v>药明康德</x:v>
      </x:c>
      <x:c r="E43" s="11" t="str">
        <x:v>HKD</x:v>
      </x:c>
      <x:c r="F43" s="23" t="n">
        <x:v>208</x:v>
      </x:c>
      <x:c r="G43" s="23" t="str">
        <x:v>2026-10-09</x:v>
      </x:c>
      <x:c r="H43" s="23" t="n">
        <x:v>208</x:v>
      </x:c>
      <x:c r="I43" s="23" t="str">
        <x:v>2026-10-09</x:v>
      </x:c>
      <x:c r="J43" s="37" t="b">
        <x:v>1</x:v>
      </x:c>
      <x:c r="K43" s="23" t="n">
        <x:v>739</x:v>
      </x:c>
      <x:c r="L43" s="23" t="str">
        <x:v>Yahoo Finance chart</x:v>
      </x:c>
      <x:c r="M43" s="23" t="str">
        <x:v>high</x:v>
      </x:c>
      <x:c r="N43" s="23" t="str">
        <x:v>中短期上升</x:v>
      </x:c>
      <x:c r="O43" s="23" t="n">
        <x:v>205.87</x:v>
      </x:c>
      <x:c r="P43" s="23" t="n">
        <x:v>191.418423</x:v>
      </x:c>
      <x:c r="Q43" s="23" t="n">
        <x:v>162.907671</x:v>
      </x:c>
      <x:c r="R43" s="23" t="n">
        <x:v>134.943052</x:v>
      </x:c>
      <x:c r="S43" s="23" t="n">
        <x:v>2.591319</x:v>
      </x:c>
      <x:c r="T43" s="23" t="n">
        <x:v>2.469534</x:v>
      </x:c>
      <x:c r="U43" s="23" t="n">
        <x:v>8.900524</x:v>
      </x:c>
      <x:c r="V43" s="23" t="n">
        <x:v>28.767945</x:v>
      </x:c>
      <x:c r="W43" s="38" t="n">
        <x:v>10638621</x:v>
      </x:c>
      <x:c r="X43" s="38" t="n">
        <x:v>5075747.8</x:v>
      </x:c>
      <x:c r="Y43" s="38" t="n">
        <x:v>4134664.45</x:v>
      </x:c>
      <x:c r="Z43" s="38" t="n">
        <x:v>5616421.517</x:v>
      </x:c>
      <x:c r="AA43" s="23" t="n">
        <x:v>2.85374</x:v>
      </x:c>
      <x:c r="AB43" s="23" t="n">
        <x:v>0.912264</x:v>
      </x:c>
      <x:c r="AC43" s="23" t="n">
        <x:v>53.999933</x:v>
      </x:c>
      <x:c r="AD43" s="23" t="n">
        <x:v>7.83125</x:v>
      </x:c>
      <x:c r="AE43" s="23" t="n">
        <x:v>5.214489</x:v>
      </x:c>
      <x:c r="AF43" s="23" t="n">
        <x:v>5.47106</x:v>
      </x:c>
      <x:c r="AG43" s="23" t="n">
        <x:v>186</x:v>
      </x:c>
      <x:c r="AH43" s="23" t="n">
        <x:v>219.199997</x:v>
      </x:c>
      <x:c r="AI43" s="23" t="n">
        <x:v>219.199997</x:v>
      </x:c>
      <x:c r="AJ43" s="23" t="n">
        <x:v>95.165815</x:v>
      </x:c>
      <x:c r="AK43" s="23" t="n">
        <x:v>-19.769359</x:v>
      </x:c>
      <x:c r="AL43" s="11" t="str">
        <x:v>{"market":"恒生指数","marketSymbol":"^HSI","marketReturn20Pct":-2.977908,"marketReturn60Pct":-3.187903,"excess20Pct":11.878432,"excess60Pct":31.955848,"industryBenchmark":null,"industryExcess20Pct":null,"industryExcess60Pct":null,"industryMissingReason":"创新药/医药细分基准三年可核验数据未取得，行业相对强弱留空"}</x:v>
      </x:c>
      <x:c r="AM43" s="11" t="str"/>
      <x:c r="AN43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https://query2.finance.yahoo.com/v8/finance/chart/2359.HK?range=3y&amp;interval=1d&amp;events=div%2Csplits
https://proxy.finance.qq.com/ifzqgtimg/appstock/app/fqkline/get?param=hk02359,day,2023-10-09,2026-10-09,1000,qfq</x:v>
      </x:c>
    </x:row>
    <x:row r="44" ht="23" customHeight="1">
      <x:c r="A44" s="11" t="str">
        <x:v>S038</x:v>
      </x:c>
      <x:c r="B44" s="11" t="str">
        <x:v>I032</x:v>
      </x:c>
      <x:c r="C44" s="11" t="str">
        <x:v>00512.HK</x:v>
      </x:c>
      <x:c r="D44" s="11" t="str">
        <x:v>远大医药</x:v>
      </x:c>
      <x:c r="E44" s="11" t="str">
        <x:v>HKD</x:v>
      </x:c>
      <x:c r="F44" s="23" t="n">
        <x:v>4.74</x:v>
      </x:c>
      <x:c r="G44" s="23" t="str">
        <x:v>2026-10-09</x:v>
      </x:c>
      <x:c r="H44" s="23" t="n">
        <x:v>4.74</x:v>
      </x:c>
      <x:c r="I44" s="23" t="str">
        <x:v>2026-10-09</x:v>
      </x:c>
      <x:c r="J44" s="37" t="b">
        <x:v>1</x:v>
      </x:c>
      <x:c r="K44" s="23" t="n">
        <x:v>739</x:v>
      </x:c>
      <x:c r="L44" s="23" t="str">
        <x:v>Yahoo Finance chart</x:v>
      </x:c>
      <x:c r="M44" s="23" t="str">
        <x:v>high</x:v>
      </x:c>
      <x:c r="N44" s="23" t="str">
        <x:v>中短期下降</x:v>
      </x:c>
      <x:c r="O44" s="23" t="n">
        <x:v>4.85425</x:v>
      </x:c>
      <x:c r="P44" s="23" t="n">
        <x:v>5.067417</x:v>
      </x:c>
      <x:c r="Q44" s="23" t="n">
        <x:v>5.215678</x:v>
      </x:c>
      <x:c r="R44" s="23" t="n">
        <x:v>6.439912</x:v>
      </x:c>
      <x:c r="S44" s="23" t="n">
        <x:v>-0.690466</x:v>
      </x:c>
      <x:c r="T44" s="23" t="n">
        <x:v>-0.674594</x:v>
      </x:c>
      <x:c r="U44" s="23" t="n">
        <x:v>-1.96484</x:v>
      </x:c>
      <x:c r="V44" s="23" t="n">
        <x:v>-10.902256</x:v>
      </x:c>
      <x:c r="W44" s="38" t="n">
        <x:v>4041100</x:v>
      </x:c>
      <x:c r="X44" s="38" t="n">
        <x:v>2252727.6</x:v>
      </x:c>
      <x:c r="Y44" s="38" t="n">
        <x:v>3992811.15</x:v>
      </x:c>
      <x:c r="Z44" s="38" t="n">
        <x:v>4811517.733</x:v>
      </x:c>
      <x:c r="AA44" s="23" t="n">
        <x:v>1.021039</x:v>
      </x:c>
      <x:c r="AB44" s="23" t="n">
        <x:v>0.96543</x:v>
      </x:c>
      <x:c r="AC44" s="23" t="n">
        <x:v>41.920767</x:v>
      </x:c>
      <x:c r="AD44" s="23" t="n">
        <x:v>0.153104</x:v>
      </x:c>
      <x:c r="AE44" s="23" t="n">
        <x:v>-0.069613</x:v>
      </x:c>
      <x:c r="AF44" s="23" t="n">
        <x:v>-0.068116</x:v>
      </x:c>
      <x:c r="AG44" s="23" t="n">
        <x:v>4.65</x:v>
      </x:c>
      <x:c r="AH44" s="23" t="n">
        <x:v>5.055</x:v>
      </x:c>
      <x:c r="AI44" s="23" t="n">
        <x:v>8.669816</x:v>
      </x:c>
      <x:c r="AJ44" s="23" t="n">
        <x:v>4.53</x:v>
      </x:c>
      <x:c r="AK44" s="23" t="n">
        <x:v>-46.208968</x:v>
      </x:c>
      <x:c r="AL44" s="11" t="str">
        <x:v>{"market":"恒生指数","marketSymbol":"^HSI","marketReturn20Pct":-2.977908,"marketReturn60Pct":-3.187903,"excess20Pct":1.013068,"excess60Pct":-7.714353,"industryBenchmark":null,"industryExcess20Pct":null,"industryExcess60Pct":null,"industryBenchmarkId":null,"industryMissingReason":"综合药企不适用恒生科技；专属医药行业指数尚待核验"}</x:v>
      </x:c>
      <x:c r="AM44" s="11" t="str">
        <x:v>7根Yahoo OHLC逻辑不一致，按腾讯同日完整bar修复，原字段及修复记录在历史文件</x:v>
      </x:c>
      <x:c r="AN44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https://query2.finance.yahoo.com/v8/finance/chart/0512.HK?range=3y&amp;interval=1d&amp;events=div%2Csplits
https://proxy.finance.qq.com/ifzqgtimg/appstock/app/fqkline/get?param=hk00512,day,2023-10-09,2026-10-09,1000,qfq</x:v>
      </x:c>
    </x:row>
    <x:row r="45" ht="23" customHeight="1">
      <x:c r="A45" s="11" t="str">
        <x:v>S039</x:v>
      </x:c>
      <x:c r="B45" s="11" t="str">
        <x:v>I033</x:v>
      </x:c>
      <x:c r="C45" s="11" t="str">
        <x:v>02096.HK</x:v>
      </x:c>
      <x:c r="D45" s="11" t="str">
        <x:v>先声药业</x:v>
      </x:c>
      <x:c r="E45" s="11" t="str">
        <x:v>HKD</x:v>
      </x:c>
      <x:c r="F45" s="23" t="n">
        <x:v>10.89</x:v>
      </x:c>
      <x:c r="G45" s="23" t="str">
        <x:v>2026-10-09</x:v>
      </x:c>
      <x:c r="H45" s="23" t="n">
        <x:v>10.89</x:v>
      </x:c>
      <x:c r="I45" s="23" t="str">
        <x:v>2026-10-09</x:v>
      </x:c>
      <x:c r="J45" s="37" t="b">
        <x:v>1</x:v>
      </x:c>
      <x:c r="K45" s="23" t="n">
        <x:v>739</x:v>
      </x:c>
      <x:c r="L45" s="23" t="str">
        <x:v>Yahoo Finance chart</x:v>
      </x:c>
      <x:c r="M45" s="23" t="str">
        <x:v>high</x:v>
      </x:c>
      <x:c r="N45" s="23" t="str">
        <x:v>中短期下降</x:v>
      </x:c>
      <x:c r="O45" s="23" t="n">
        <x:v>11.3445</x:v>
      </x:c>
      <x:c r="P45" s="23" t="n">
        <x:v>11.875</x:v>
      </x:c>
      <x:c r="Q45" s="23" t="n">
        <x:v>11.353736</x:v>
      </x:c>
      <x:c r="R45" s="23" t="n">
        <x:v>11.847436</x:v>
      </x:c>
      <x:c r="S45" s="23" t="n">
        <x:v>-0.621961</x:v>
      </x:c>
      <x:c r="T45" s="23" t="n">
        <x:v>-0.972898</x:v>
      </x:c>
      <x:c r="U45" s="23" t="n">
        <x:v>-2.941176</x:v>
      </x:c>
      <x:c r="V45" s="23" t="n">
        <x:v>-17.060168</x:v>
      </x:c>
      <x:c r="W45" s="38" t="n">
        <x:v>4810000</x:v>
      </x:c>
      <x:c r="X45" s="38" t="n">
        <x:v>2766411.6</x:v>
      </x:c>
      <x:c r="Y45" s="38" t="n">
        <x:v>4142913.05</x:v>
      </x:c>
      <x:c r="Z45" s="38" t="n">
        <x:v>5474254.917</x:v>
      </x:c>
      <x:c r="AA45" s="23" t="n">
        <x:v>1.157025</x:v>
      </x:c>
      <x:c r="AB45" s="23" t="n">
        <x:v>0.683085</x:v>
      </x:c>
      <x:c r="AC45" s="23" t="n">
        <x:v>39.259493</x:v>
      </x:c>
      <x:c r="AD45" s="23" t="n">
        <x:v>0.418127</x:v>
      </x:c>
      <x:c r="AE45" s="23" t="n">
        <x:v>-0.115366</x:v>
      </x:c>
      <x:c r="AF45" s="23" t="n">
        <x:v>-0.086566</x:v>
      </x:c>
      <x:c r="AG45" s="23" t="n">
        <x:v>10.62</x:v>
      </x:c>
      <x:c r="AH45" s="23" t="n">
        <x:v>11.89</x:v>
      </x:c>
      <x:c r="AI45" s="23" t="n">
        <x:v>14.080682</x:v>
      </x:c>
      <x:c r="AJ45" s="23" t="n">
        <x:v>9.07</x:v>
      </x:c>
      <x:c r="AK45" s="23" t="n">
        <x:v>-32.620323</x:v>
      </x:c>
      <x:c r="AL45" s="11" t="str">
        <x:v>{"market":"恒生指数","marketSymbol":"^HSI","marketReturn20Pct":-2.977908,"marketReturn60Pct":-3.187903,"excess20Pct":0.036732,"excess60Pct":-13.872265,"industryBenchmark":"国证港股通创新药987018（粗粒度参考，非每公司专属行业）","industryExcess20Pct":-3.821914,"industryExcess60Pct":-13.837176,"industryMissingReason":null,"industryBenchmarkId":"S021","industryBenchmarkQuality":"官方单来源指数；价回报非含分红，量禁用"}</x:v>
      </x:c>
      <x:c r="AM45" s="11" t="str">
        <x:v>7根Yahoo OHLC逻辑不一致，按腾讯同日完整bar修复，原字段及修复记录在历史文件</x:v>
      </x:c>
      <x:c r="AN45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https://query2.finance.yahoo.com/v8/finance/chart/2096.HK?range=3y&amp;interval=1d&amp;events=div%2Csplits
https://proxy.finance.qq.com/ifzqgtimg/appstock/app/fqkline/get?param=hk02096,day,2023-10-09,2026-10-09,1000,qfq</x:v>
      </x:c>
    </x:row>
    <x:row r="46" ht="23" customHeight="1">
      <x:c r="A46" s="11" t="str">
        <x:v>S040</x:v>
      </x:c>
      <x:c r="B46" s="11" t="str">
        <x:v>I034</x:v>
      </x:c>
      <x:c r="C46" s="11" t="str">
        <x:v>02269.HK</x:v>
      </x:c>
      <x:c r="D46" s="11" t="str">
        <x:v>药明生物</x:v>
      </x:c>
      <x:c r="E46" s="11" t="str">
        <x:v>HKD</x:v>
      </x:c>
      <x:c r="F46" s="23" t="n">
        <x:v>53.85</x:v>
      </x:c>
      <x:c r="G46" s="23" t="str">
        <x:v>2026-10-09</x:v>
      </x:c>
      <x:c r="H46" s="23" t="n">
        <x:v>53.85</x:v>
      </x:c>
      <x:c r="I46" s="23" t="str">
        <x:v>2026-10-09</x:v>
      </x:c>
      <x:c r="J46" s="37" t="b">
        <x:v>1</x:v>
      </x:c>
      <x:c r="K46" s="23" t="n">
        <x:v>739</x:v>
      </x:c>
      <x:c r="L46" s="23" t="str">
        <x:v>Yahoo Finance chart</x:v>
      </x:c>
      <x:c r="M46" s="23" t="str">
        <x:v>high</x:v>
      </x:c>
      <x:c r="N46" s="23" t="str">
        <x:v>中短期上升</x:v>
      </x:c>
      <x:c r="O46" s="23" t="n">
        <x:v>52.7275</x:v>
      </x:c>
      <x:c r="P46" s="23" t="n">
        <x:v>47.537833</x:v>
      </x:c>
      <x:c r="Q46" s="23" t="n">
        <x:v>40.632583</x:v>
      </x:c>
      <x:c r="R46" s="23" t="n">
        <x:v>38.02692</x:v>
      </x:c>
      <x:c r="S46" s="23" t="n">
        <x:v>3.397392</x:v>
      </x:c>
      <x:c r="T46" s="23" t="n">
        <x:v>3.094345</x:v>
      </x:c>
      <x:c r="U46" s="23" t="n">
        <x:v>13.368417</x:v>
      </x:c>
      <x:c r="V46" s="23" t="n">
        <x:v>36.953199</x:v>
      </x:c>
      <x:c r="W46" s="38" t="n">
        <x:v>138206871</x:v>
      </x:c>
      <x:c r="X46" s="38" t="n">
        <x:v>44444895.4</x:v>
      </x:c>
      <x:c r="Y46" s="38" t="n">
        <x:v>31144012.75</x:v>
      </x:c>
      <x:c r="Z46" s="38" t="n">
        <x:v>35092571.6</x:v>
      </x:c>
      <x:c r="AA46" s="23" t="n">
        <x:v>5.431349</x:v>
      </x:c>
      <x:c r="AB46" s="23" t="n">
        <x:v>1.294156</x:v>
      </x:c>
      <x:c r="AC46" s="23" t="n">
        <x:v>55.581221</x:v>
      </x:c>
      <x:c r="AD46" s="23" t="n">
        <x:v>2.337758</x:v>
      </x:c>
      <x:c r="AE46" s="23" t="n">
        <x:v>1.910307</x:v>
      </x:c>
      <x:c r="AF46" s="23" t="n">
        <x:v>1.968072</x:v>
      </x:c>
      <x:c r="AG46" s="23" t="n">
        <x:v>46.16</x:v>
      </x:c>
      <x:c r="AH46" s="23" t="n">
        <x:v>58</x:v>
      </x:c>
      <x:c r="AI46" s="23" t="n">
        <x:v>58</x:v>
      </x:c>
      <x:c r="AJ46" s="23" t="n">
        <x:v>28.48</x:v>
      </x:c>
      <x:c r="AK46" s="23" t="n">
        <x:v>-29.58748</x:v>
      </x:c>
      <x:c r="AL46" s="11" t="str">
        <x:v>{"market":"恒生指数","marketSymbol":"^HSI","marketReturn20Pct":-2.977908,"marketReturn60Pct":-3.187903,"excess20Pct":16.346325,"excess60Pct":40.141102,"industryBenchmark":null,"industryExcess20Pct":null,"industryExcess60Pct":null,"industryMissingReason":"创新药/医药细分基准三年可核验数据未取得，行业相对强弱留空"}</x:v>
      </x:c>
      <x:c r="AM46" s="11" t="str"/>
      <x:c r="AN46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https://query2.finance.yahoo.com/v8/finance/chart/2269.HK?range=3y&amp;interval=1d&amp;events=div%2Csplits
https://proxy.finance.qq.com/ifzqgtimg/appstock/app/fqkline/get?param=hk02269,day,2023-10-09,2026-10-09,1000,qfq</x:v>
      </x:c>
    </x:row>
    <x:row r="47" ht="23" customHeight="1">
      <x:c r="A47" s="11" t="str">
        <x:v>S041</x:v>
      </x:c>
      <x:c r="B47" s="11" t="str">
        <x:v>I035</x:v>
      </x:c>
      <x:c r="C47" s="11" t="str">
        <x:v>01548.HK</x:v>
      </x:c>
      <x:c r="D47" s="11" t="str">
        <x:v>金斯瑞生物科技</x:v>
      </x:c>
      <x:c r="E47" s="11" t="str">
        <x:v>HKD</x:v>
      </x:c>
      <x:c r="F47" s="23" t="n">
        <x:v>42.4</x:v>
      </x:c>
      <x:c r="G47" s="23" t="str">
        <x:v>2026-10-09</x:v>
      </x:c>
      <x:c r="H47" s="23" t="n">
        <x:v>42.4</x:v>
      </x:c>
      <x:c r="I47" s="23" t="str">
        <x:v>2026-10-09</x:v>
      </x:c>
      <x:c r="J47" s="37" t="b">
        <x:v>1</x:v>
      </x:c>
      <x:c r="K47" s="23" t="n">
        <x:v>739</x:v>
      </x:c>
      <x:c r="L47" s="23" t="str">
        <x:v>Yahoo Finance chart</x:v>
      </x:c>
      <x:c r="M47" s="23" t="str">
        <x:v>high</x:v>
      </x:c>
      <x:c r="N47" s="23" t="str">
        <x:v>中短期上升</x:v>
      </x:c>
      <x:c r="O47" s="23" t="n">
        <x:v>40.346001</x:v>
      </x:c>
      <x:c r="P47" s="23" t="n">
        <x:v>30.558834</x:v>
      </x:c>
      <x:c r="Q47" s="23" t="n">
        <x:v>21.91425</x:v>
      </x:c>
      <x:c r="R47" s="23" t="n">
        <x:v>17.66468</x:v>
      </x:c>
      <x:c r="S47" s="23" t="n">
        <x:v>7.738732</x:v>
      </x:c>
      <x:c r="T47" s="23" t="n">
        <x:v>8.847136</x:v>
      </x:c>
      <x:c r="U47" s="23" t="n">
        <x:v>32.500006</x:v>
      </x:c>
      <x:c r="V47" s="23" t="n">
        <x:v>192.615611</x:v>
      </x:c>
      <x:c r="W47" s="38" t="n">
        <x:v>49856027</x:v>
      </x:c>
      <x:c r="X47" s="38" t="n">
        <x:v>36552153.2</x:v>
      </x:c>
      <x:c r="Y47" s="38" t="n">
        <x:v>35342090.2</x:v>
      </x:c>
      <x:c r="Z47" s="38" t="n">
        <x:v>40460521.15</x:v>
      </x:c>
      <x:c r="AA47" s="23" t="n">
        <x:v>1.464819</x:v>
      </x:c>
      <x:c r="AB47" s="23" t="n">
        <x:v>1.60472</x:v>
      </x:c>
      <x:c r="AC47" s="23" t="n">
        <x:v>56.115248</x:v>
      </x:c>
      <x:c r="AD47" s="23" t="n">
        <x:v>3.457119</x:v>
      </x:c>
      <x:c r="AE47" s="23" t="n">
        <x:v>3.113398</x:v>
      </x:c>
      <x:c r="AF47" s="23" t="n">
        <x:v>3.471135</x:v>
      </x:c>
      <x:c r="AG47" s="23" t="n">
        <x:v>30.799999</x:v>
      </x:c>
      <x:c r="AH47" s="23" t="n">
        <x:v>49.459999</x:v>
      </x:c>
      <x:c r="AI47" s="23" t="n">
        <x:v>49.459999</x:v>
      </x:c>
      <x:c r="AJ47" s="23" t="n">
        <x:v>10.36</x:v>
      </x:c>
      <x:c r="AK47" s="23" t="n">
        <x:v>-39.97735</x:v>
      </x:c>
      <x:c r="AL47" s="11" t="str">
        <x:v>{"market":"恒生指数","marketSymbol":"^HSI","marketReturn20Pct":-2.977908,"marketReturn60Pct":-3.187903,"excess20Pct":35.477914,"excess60Pct":195.803514,"industryBenchmark":null,"industryExcess20Pct":null,"industryExcess60Pct":null,"industryMissingReason":"创新药/医药细分基准三年可核验数据未取得，行业相对强弱留空"}</x:v>
      </x:c>
      <x:c r="AM47" s="11" t="str"/>
      <x:c r="AN47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https://query2.finance.yahoo.com/v8/finance/chart/1548.HK?range=3y&amp;interval=1d&amp;events=div%2Csplits
https://proxy.finance.qq.com/ifzqgtimg/appstock/app/fqkline/get?param=hk01548,day,2023-10-09,2026-10-09,1000,qfq</x:v>
      </x:c>
    </x:row>
    <x:row r="48" ht="23" customHeight="1">
      <x:c r="A48" s="11" t="str">
        <x:v>S042</x:v>
      </x:c>
      <x:c r="B48" s="11" t="str">
        <x:v>I036</x:v>
      </x:c>
      <x:c r="C48" s="11" t="str">
        <x:v>01513.HK</x:v>
      </x:c>
      <x:c r="D48" s="11" t="str">
        <x:v>丽珠医药</x:v>
      </x:c>
      <x:c r="E48" s="11" t="str">
        <x:v>HKD</x:v>
      </x:c>
      <x:c r="F48" s="23" t="n">
        <x:v>22.16</x:v>
      </x:c>
      <x:c r="G48" s="23" t="str">
        <x:v>2026-10-09</x:v>
      </x:c>
      <x:c r="H48" s="23" t="n">
        <x:v>22.16</x:v>
      </x:c>
      <x:c r="I48" s="23" t="str">
        <x:v>2026-10-09</x:v>
      </x:c>
      <x:c r="J48" s="37" t="b">
        <x:v>1</x:v>
      </x:c>
      <x:c r="K48" s="23" t="n">
        <x:v>739</x:v>
      </x:c>
      <x:c r="L48" s="23" t="str">
        <x:v>Yahoo Finance chart</x:v>
      </x:c>
      <x:c r="M48" s="23" t="str">
        <x:v>high</x:v>
      </x:c>
      <x:c r="N48" s="23" t="str">
        <x:v>短期反弹，仍低于60日线</x:v>
      </x:c>
      <x:c r="O48" s="23" t="n">
        <x:v>21.404</x:v>
      </x:c>
      <x:c r="P48" s="23" t="n">
        <x:v>23.132667</x:v>
      </x:c>
      <x:c r="Q48" s="23" t="n">
        <x:v>24.280454</x:v>
      </x:c>
      <x:c r="R48" s="23" t="n">
        <x:v>26.322002</x:v>
      </x:c>
      <x:c r="S48" s="23" t="n">
        <x:v>1.024212</x:v>
      </x:c>
      <x:c r="T48" s="23" t="n">
        <x:v>-1.606386</x:v>
      </x:c>
      <x:c r="U48" s="23" t="n">
        <x:v>6.436119</x:v>
      </x:c>
      <x:c r="V48" s="23" t="n">
        <x:v>-17.804151</x:v>
      </x:c>
      <x:c r="W48" s="38" t="n">
        <x:v>1324806</x:v>
      </x:c>
      <x:c r="X48" s="38" t="n">
        <x:v>991052</x:v>
      </x:c>
      <x:c r="Y48" s="38" t="n">
        <x:v>1761739.5</x:v>
      </x:c>
      <x:c r="Z48" s="38" t="n">
        <x:v>1423964.033</x:v>
      </x:c>
      <x:c r="AA48" s="23" t="n">
        <x:v>0.741994</x:v>
      </x:c>
      <x:c r="AB48" s="23" t="n">
        <x:v>0.925834</x:v>
      </x:c>
      <x:c r="AC48" s="23" t="n">
        <x:v>53.42278</x:v>
      </x:c>
      <x:c r="AD48" s="23" t="n">
        <x:v>0.84835</x:v>
      </x:c>
      <x:c r="AE48" s="23" t="n">
        <x:v>-0.040104</x:v>
      </x:c>
      <x:c r="AF48" s="23" t="n">
        <x:v>-0.182432</x:v>
      </x:c>
      <x:c r="AG48" s="23" t="n">
        <x:v>20.360001</x:v>
      </x:c>
      <x:c r="AH48" s="23" t="n">
        <x:v>23.18</x:v>
      </x:c>
      <x:c r="AI48" s="23" t="n">
        <x:v>33.310568</x:v>
      </x:c>
      <x:c r="AJ48" s="23" t="n">
        <x:v>19.799999</x:v>
      </x:c>
      <x:c r="AK48" s="23" t="n">
        <x:v>-40.184444</x:v>
      </x:c>
      <x:c r="AL48" s="11" t="str">
        <x:v>{"market":"恒生指数","marketSymbol":"^HSI","marketReturn20Pct":-2.977908,"marketReturn60Pct":-3.187903,"excess20Pct":9.414027,"excess60Pct":-14.616248,"industryBenchmark":null,"industryExcess20Pct":null,"industryExcess60Pct":null,"industryBenchmarkId":null,"industryMissingReason":"综合药企不适用恒生科技；专属医药行业指数尚待核验"}</x:v>
      </x:c>
      <x:c r="AM48" s="11" t="str">
        <x:v>8根Yahoo OHLC逻辑不一致，按腾讯同日完整bar修复，原字段及修复记录在历史文件</x:v>
      </x:c>
      <x:c r="AN48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https://query2.finance.yahoo.com/v8/finance/chart/1513.HK?range=3y&amp;interval=1d&amp;events=div%2Csplits
https://proxy.finance.qq.com/ifzqgtimg/appstock/app/fqkline/get?param=hk01513,day,2023-10-09,2026-10-09,1000,qfq</x:v>
      </x:c>
    </x:row>
    <x:row r="49" ht="23" customHeight="1">
      <x:c r="A49" s="11" t="str">
        <x:v>S043</x:v>
      </x:c>
      <x:c r="B49" s="11" t="str">
        <x:v>I012</x:v>
      </x:c>
      <x:c r="C49" s="11" t="str">
        <x:v>06160.HK</x:v>
      </x:c>
      <x:c r="D49" s="11" t="str">
        <x:v>百济神州</x:v>
      </x:c>
      <x:c r="E49" s="11" t="str">
        <x:v>HKD</x:v>
      </x:c>
      <x:c r="F49" s="23" t="n">
        <x:v>209.6</x:v>
      </x:c>
      <x:c r="G49" s="23" t="str">
        <x:v>2026-10-09</x:v>
      </x:c>
      <x:c r="H49" s="23" t="n">
        <x:v>209.6</x:v>
      </x:c>
      <x:c r="I49" s="23" t="str">
        <x:v>2026-10-09</x:v>
      </x:c>
      <x:c r="J49" s="37" t="b">
        <x:v>1</x:v>
      </x:c>
      <x:c r="K49" s="23" t="n">
        <x:v>739</x:v>
      </x:c>
      <x:c r="L49" s="23" t="str">
        <x:v>Yahoo Finance chart</x:v>
      </x:c>
      <x:c r="M49" s="23" t="str">
        <x:v>high</x:v>
      </x:c>
      <x:c r="N49" s="23" t="str">
        <x:v>趋势交错/震荡</x:v>
      </x:c>
      <x:c r="O49" s="23" t="n">
        <x:v>214.900001</x:v>
      </x:c>
      <x:c r="P49" s="23" t="n">
        <x:v>211.361667</x:v>
      </x:c>
      <x:c r="Q49" s="23" t="n">
        <x:v>193.869167</x:v>
      </x:c>
      <x:c r="R49" s="23" t="n">
        <x:v>193.7504</x:v>
      </x:c>
      <x:c r="S49" s="23" t="n">
        <x:v>0.336166</x:v>
      </x:c>
      <x:c r="T49" s="23" t="n">
        <x:v>1.15015</x:v>
      </x:c>
      <x:c r="U49" s="23" t="n">
        <x:v>1.256042</x:v>
      </x:c>
      <x:c r="V49" s="23" t="n">
        <x:v>9.853251</x:v>
      </x:c>
      <x:c r="W49" s="38" t="n">
        <x:v>2685065</x:v>
      </x:c>
      <x:c r="X49" s="38" t="n">
        <x:v>1883324.8</x:v>
      </x:c>
      <x:c r="Y49" s="38" t="n">
        <x:v>2937415</x:v>
      </x:c>
      <x:c r="Z49" s="38" t="n">
        <x:v>3868535.717</x:v>
      </x:c>
      <x:c r="AA49" s="23" t="n">
        <x:v>0.897421</x:v>
      </x:c>
      <x:c r="AB49" s="23" t="n">
        <x:v>1.447732</x:v>
      </x:c>
      <x:c r="AC49" s="23" t="n">
        <x:v>44.582633</x:v>
      </x:c>
      <x:c r="AD49" s="23" t="n">
        <x:v>7.220565</x:v>
      </x:c>
      <x:c r="AE49" s="23" t="n">
        <x:v>0.492591</x:v>
      </x:c>
      <x:c r="AF49" s="23" t="n">
        <x:v>1.232585</x:v>
      </x:c>
      <x:c r="AG49" s="23" t="n">
        <x:v>201.600006</x:v>
      </x:c>
      <x:c r="AH49" s="23" t="n">
        <x:v>225.600006</x:v>
      </x:c>
      <x:c r="AI49" s="23" t="n">
        <x:v>235.600006</x:v>
      </x:c>
      <x:c r="AJ49" s="23" t="n">
        <x:v>153</x:v>
      </x:c>
      <x:c r="AK49" s="23" t="n">
        <x:v>-32.139741</x:v>
      </x:c>
      <x:c r="AL49" s="11" t="str">
        <x:v>{"market":"恒生指数","marketSymbol":"^HSI","marketReturn20Pct":-2.977908,"marketReturn60Pct":-3.187903,"excess20Pct":4.23395,"excess60Pct":13.041154,"industryBenchmark":"国证港股通创新药987018（粗粒度参考，非每公司专属行业）","industryExcess20Pct":0.375304,"industryExcess60Pct":13.076243,"industryMissingReason":null,"industryBenchmarkId":"S021","industryBenchmarkQuality":"官方单来源指数；价回报非含分红，量禁用"}</x:v>
      </x:c>
      <x:c r="AM49" s="11" t="str"/>
      <x:c r="AN49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https://query2.finance.yahoo.com/v8/finance/chart/6160.HK?range=3y&amp;interval=1d&amp;events=div%2Csplits
https://proxy.finance.qq.com/ifzqgtimg/appstock/app/fqkline/get?param=hk06160,day,2023-10-09,2026-10-09,1000,qfq</x:v>
      </x:c>
    </x:row>
    <x:row r="50" ht="23" customHeight="1">
      <x:c r="A50" s="11" t="str">
        <x:v>S044</x:v>
      </x:c>
      <x:c r="B50" s="11" t="str">
        <x:v>I037</x:v>
      </x:c>
      <x:c r="C50" s="11" t="str">
        <x:v>02511.HK</x:v>
      </x:c>
      <x:c r="D50" s="11" t="str">
        <x:v>君圣泰医药-B</x:v>
      </x:c>
      <x:c r="E50" s="11" t="str">
        <x:v>HKD</x:v>
      </x:c>
      <x:c r="F50" s="23" t="n">
        <x:v>3.425</x:v>
      </x:c>
      <x:c r="G50" s="23" t="str">
        <x:v>2026-10-09</x:v>
      </x:c>
      <x:c r="H50" s="23" t="n">
        <x:v>3.425</x:v>
      </x:c>
      <x:c r="I50" s="23" t="str">
        <x:v>2026-10-09</x:v>
      </x:c>
      <x:c r="J50" s="37" t="b">
        <x:v>1</x:v>
      </x:c>
      <x:c r="K50" s="23" t="n">
        <x:v>686</x:v>
      </x:c>
      <x:c r="L50" s="23" t="str">
        <x:v>Yahoo Finance chart</x:v>
      </x:c>
      <x:c r="M50" s="23" t="str">
        <x:v>high</x:v>
      </x:c>
      <x:c r="N50" s="23" t="str">
        <x:v>中短期上升</x:v>
      </x:c>
      <x:c r="O50" s="23" t="n">
        <x:v>3.404</x:v>
      </x:c>
      <x:c r="P50" s="23" t="n">
        <x:v>3.205083</x:v>
      </x:c>
      <x:c r="Q50" s="23" t="n">
        <x:v>3.229292</x:v>
      </x:c>
      <x:c r="R50" s="23" t="n">
        <x:v>3.11394</x:v>
      </x:c>
      <x:c r="S50" s="23" t="n">
        <x:v>0.672828</x:v>
      </x:c>
      <x:c r="T50" s="23" t="n">
        <x:v>2.352503</x:v>
      </x:c>
      <x:c r="U50" s="23" t="n">
        <x:v>-2.421652</x:v>
      </x:c>
      <x:c r="V50" s="23" t="n">
        <x:v>24.545455</x:v>
      </x:c>
      <x:c r="W50" s="38" t="n">
        <x:v>2917500</x:v>
      </x:c>
      <x:c r="X50" s="38" t="n">
        <x:v>712100</x:v>
      </x:c>
      <x:c r="Y50" s="38" t="n">
        <x:v>700316.25</x:v>
      </x:c>
      <x:c r="Z50" s="38" t="n">
        <x:v>795535</x:v>
      </x:c>
      <x:c r="AA50" s="23" t="n">
        <x:v>5.045036</x:v>
      </x:c>
      <x:c r="AB50" s="23" t="n">
        <x:v>1.236249</x:v>
      </x:c>
      <x:c r="AC50" s="23" t="n">
        <x:v>51.341871</x:v>
      </x:c>
      <x:c r="AD50" s="23" t="n">
        <x:v>0.218022</x:v>
      </x:c>
      <x:c r="AE50" s="23" t="n">
        <x:v>0.061114</x:v>
      </x:c>
      <x:c r="AF50" s="23" t="n">
        <x:v>0.071822</x:v>
      </x:c>
      <x:c r="AG50" s="23" t="n">
        <x:v>3.1</x:v>
      </x:c>
      <x:c r="AH50" s="23" t="n">
        <x:v>3.665</x:v>
      </x:c>
      <x:c r="AI50" s="23" t="n">
        <x:v>4.72</x:v>
      </x:c>
      <x:c r="AJ50" s="23" t="n">
        <x:v>1.8</x:v>
      </x:c>
      <x:c r="AK50" s="23" t="n">
        <x:v>-54.545455</x:v>
      </x:c>
      <x:c r="AL50" s="11" t="str">
        <x:v>{"market":"恒生指数","marketSymbol":"^HSI","marketReturn20Pct":-2.977908,"marketReturn60Pct":-3.187903,"excess20Pct":0.556256,"excess60Pct":27.733358,"industryBenchmark":"国证港股通创新药987018（粗粒度参考，非每公司专属行业）","industryExcess20Pct":-3.30239,"industryExcess60Pct":27.768447,"industryMissingReason":null,"industryBenchmarkId":"S021","industryBenchmarkQuality":"官方单来源指数；价回报非含分红，量禁用"}</x:v>
      </x:c>
      <x:c r="AM50" s="11" t="str">
        <x:v>6根Yahoo OHLC逻辑不一致，按腾讯同日完整bar修复，原字段及修复记录在历史文件</x:v>
      </x:c>
      <x:c r="AN50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https://query2.finance.yahoo.com/v8/finance/chart/2511.HK?range=3y&amp;interval=1d&amp;events=div%2Csplits
https://proxy.finance.qq.com/ifzqgtimg/appstock/app/fqkline/get?param=hk02511,day,2023-10-09,2026-10-09,1000,qfq</x:v>
      </x:c>
    </x:row>
    <x:row r="51" ht="23" customHeight="1">
      <x:c r="A51" s="11" t="str">
        <x:v>S045</x:v>
      </x:c>
      <x:c r="B51" s="11" t="str">
        <x:v>I038</x:v>
      </x:c>
      <x:c r="C51" s="11" t="str">
        <x:v>09939.HK</x:v>
      </x:c>
      <x:c r="D51" s="11" t="str">
        <x:v>开拓药业-B</x:v>
      </x:c>
      <x:c r="E51" s="11" t="str">
        <x:v>HKD</x:v>
      </x:c>
      <x:c r="F51" s="23" t="n">
        <x:v>1.635</x:v>
      </x:c>
      <x:c r="G51" s="23" t="str">
        <x:v>2026-10-09</x:v>
      </x:c>
      <x:c r="H51" s="23" t="n">
        <x:v>1.635</x:v>
      </x:c>
      <x:c r="I51" s="23" t="str">
        <x:v>2026-10-09</x:v>
      </x:c>
      <x:c r="J51" s="37" t="b">
        <x:v>1</x:v>
      </x:c>
      <x:c r="K51" s="23" t="n">
        <x:v>739</x:v>
      </x:c>
      <x:c r="L51" s="23" t="str">
        <x:v>Yahoo Finance chart</x:v>
      </x:c>
      <x:c r="M51" s="23" t="str">
        <x:v>high</x:v>
      </x:c>
      <x:c r="N51" s="23" t="str">
        <x:v>中短期下降</x:v>
      </x:c>
      <x:c r="O51" s="23" t="n">
        <x:v>1.82775</x:v>
      </x:c>
      <x:c r="P51" s="23" t="n">
        <x:v>1.779417</x:v>
      </x:c>
      <x:c r="Q51" s="23" t="n">
        <x:v>2.110958</x:v>
      </x:c>
      <x:c r="R51" s="23" t="n">
        <x:v>2.28214</x:v>
      </x:c>
      <x:c r="S51" s="23" t="n">
        <x:v>-2.089192</x:v>
      </x:c>
      <x:c r="T51" s="23" t="n">
        <x:v>-0.628258</x:v>
      </x:c>
      <x:c r="U51" s="23" t="n">
        <x:v>-13.031915</x:v>
      </x:c>
      <x:c r="V51" s="23" t="n">
        <x:v>-11.621622</x:v>
      </x:c>
      <x:c r="W51" s="38" t="n">
        <x:v>971500</x:v>
      </x:c>
      <x:c r="X51" s="38" t="n">
        <x:v>666800</x:v>
      </x:c>
      <x:c r="Y51" s="38" t="n">
        <x:v>593700</x:v>
      </x:c>
      <x:c r="Z51" s="38" t="n">
        <x:v>869458.333</x:v>
      </x:c>
      <x:c r="AA51" s="23" t="n">
        <x:v>1.72084</x:v>
      </x:c>
      <x:c r="AB51" s="23" t="n">
        <x:v>0.67757</x:v>
      </x:c>
      <x:c r="AC51" s="23" t="n">
        <x:v>37.164625</x:v>
      </x:c>
      <x:c r="AD51" s="23" t="n">
        <x:v>0.108954</x:v>
      </x:c>
      <x:c r="AE51" s="23" t="n">
        <x:v>-0.037123</x:v>
      </x:c>
      <x:c r="AF51" s="23" t="n">
        <x:v>-0.010587</x:v>
      </x:c>
      <x:c r="AG51" s="23" t="n">
        <x:v>1.58</x:v>
      </x:c>
      <x:c r="AH51" s="23" t="n">
        <x:v>2.09</x:v>
      </x:c>
      <x:c r="AI51" s="23" t="n">
        <x:v>4.7</x:v>
      </x:c>
      <x:c r="AJ51" s="23" t="n">
        <x:v>1.58</x:v>
      </x:c>
      <x:c r="AK51" s="23" t="n">
        <x:v>-64.935065</x:v>
      </x:c>
      <x:c r="AL51" s="11" t="str">
        <x:v>{"market":"恒生指数","marketSymbol":"^HSI","marketReturn20Pct":-2.977908,"marketReturn60Pct":-3.187903,"excess20Pct":-10.054007,"excess60Pct":-8.433719,"industryBenchmark":"国证港股通创新药987018（粗粒度参考，非每公司专属行业）","industryExcess20Pct":-13.912653,"industryExcess60Pct":-8.39863,"industryMissingReason":null,"industryBenchmarkId":"S021","industryBenchmarkQuality":"官方单来源指数；价回报非含分红，量禁用"}</x:v>
      </x:c>
      <x:c r="AM51" s="11" t="str">
        <x:v>2根Yahoo OHLC逻辑不一致，按腾讯同日完整bar修复，原字段及修复记录在历史文件</x:v>
      </x:c>
      <x:c r="AN51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https://query2.finance.yahoo.com/v8/finance/chart/9939.HK?range=3y&amp;interval=1d&amp;events=div%2Csplits
https://proxy.finance.qq.com/ifzqgtimg/appstock/app/fqkline/get?param=hk09939,day,2023-10-09,2026-10-09,1000,qfq</x:v>
      </x:c>
    </x:row>
    <x:row r="52" ht="23" customHeight="1">
      <x:c r="A52" s="11" t="str">
        <x:v>S046</x:v>
      </x:c>
      <x:c r="B52" s="11" t="str">
        <x:v>I039</x:v>
      </x:c>
      <x:c r="C52" s="11" t="str">
        <x:v>09688.HK</x:v>
      </x:c>
      <x:c r="D52" s="11" t="str">
        <x:v>再鼎医药</x:v>
      </x:c>
      <x:c r="E52" s="11" t="str">
        <x:v>HKD</x:v>
      </x:c>
      <x:c r="F52" s="23" t="n">
        <x:v>19.25</x:v>
      </x:c>
      <x:c r="G52" s="23" t="str">
        <x:v>2026-10-09</x:v>
      </x:c>
      <x:c r="H52" s="23" t="n">
        <x:v>19.25</x:v>
      </x:c>
      <x:c r="I52" s="23" t="str">
        <x:v>2026-10-09</x:v>
      </x:c>
      <x:c r="J52" s="37" t="b">
        <x:v>1</x:v>
      </x:c>
      <x:c r="K52" s="23" t="n">
        <x:v>739</x:v>
      </x:c>
      <x:c r="L52" s="23" t="str">
        <x:v>Yahoo Finance chart</x:v>
      </x:c>
      <x:c r="M52" s="23" t="str">
        <x:v>high</x:v>
      </x:c>
      <x:c r="N52" s="23" t="str">
        <x:v>回调，仍高于60日线</x:v>
      </x:c>
      <x:c r="O52" s="23" t="n">
        <x:v>19.918</x:v>
      </x:c>
      <x:c r="P52" s="23" t="n">
        <x:v>18.6765</x:v>
      </x:c>
      <x:c r="Q52" s="23" t="n">
        <x:v>16.862917</x:v>
      </x:c>
      <x:c r="R52" s="23" t="n">
        <x:v>16.54204</x:v>
      </x:c>
      <x:c r="S52" s="23" t="n">
        <x:v>-0.352703</x:v>
      </x:c>
      <x:c r="T52" s="23" t="n">
        <x:v>1.759882</x:v>
      </x:c>
      <x:c r="U52" s="23" t="n">
        <x:v>2.557272</x:v>
      </x:c>
      <x:c r="V52" s="23" t="n">
        <x:v>18.607517</x:v>
      </x:c>
      <x:c r="W52" s="38" t="n">
        <x:v>4911800</x:v>
      </x:c>
      <x:c r="X52" s="38" t="n">
        <x:v>3716357.6</x:v>
      </x:c>
      <x:c r="Y52" s="38" t="n">
        <x:v>5606923.3</x:v>
      </x:c>
      <x:c r="Z52" s="38" t="n">
        <x:v>7661689.567</x:v>
      </x:c>
      <x:c r="AA52" s="23" t="n">
        <x:v>0.837917</x:v>
      </x:c>
      <x:c r="AB52" s="23" t="n">
        <x:v>3.075443</x:v>
      </x:c>
      <x:c r="AC52" s="23" t="n">
        <x:v>46.504937</x:v>
      </x:c>
      <x:c r="AD52" s="23" t="n">
        <x:v>0.954671</x:v>
      </x:c>
      <x:c r="AE52" s="23" t="n">
        <x:v>0.058934</x:v>
      </x:c>
      <x:c r="AF52" s="23" t="n">
        <x:v>0.229737</x:v>
      </x:c>
      <x:c r="AG52" s="23" t="n">
        <x:v>18.59</x:v>
      </x:c>
      <x:c r="AH52" s="23" t="n">
        <x:v>21.219999</x:v>
      </x:c>
      <x:c r="AI52" s="23" t="n">
        <x:v>27.280001</x:v>
      </x:c>
      <x:c r="AJ52" s="23" t="n">
        <x:v>12.31</x:v>
      </x:c>
      <x:c r="AK52" s="23" t="n">
        <x:v>-54.028084</x:v>
      </x:c>
      <x:c r="AL52" s="11" t="str">
        <x:v>{"market":"恒生指数","marketSymbol":"^HSI","marketReturn20Pct":-2.977908,"marketReturn60Pct":-3.187903,"excess20Pct":5.53518,"excess60Pct":21.79542,"industryBenchmark":"国证港股通创新药987018（粗粒度参考，非每公司专属行业）","industryExcess20Pct":1.676534,"industryExcess60Pct":21.830509,"industryMissingReason":null,"industryBenchmarkId":"S021","industryBenchmarkQuality":"官方单来源指数；价回报非含分红，量禁用"}</x:v>
      </x:c>
      <x:c r="AM52" s="11" t="str"/>
      <x:c r="AN52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https://query2.finance.yahoo.com/v8/finance/chart/9688.HK?range=3y&amp;interval=1d&amp;events=div%2Csplits
https://proxy.finance.qq.com/ifzqgtimg/appstock/app/fqkline/get?param=hk09688,day,2023-10-09,2026-10-09,1000,qfq</x:v>
      </x:c>
    </x:row>
    <x:row r="53" ht="23" customHeight="1">
      <x:c r="A53" s="11" t="str">
        <x:v>S047</x:v>
      </x:c>
      <x:c r="B53" s="11" t="str">
        <x:v>I040</x:v>
      </x:c>
      <x:c r="C53" s="11" t="str">
        <x:v>01952.HK</x:v>
      </x:c>
      <x:c r="D53" s="11" t="str">
        <x:v>云顶新耀</x:v>
      </x:c>
      <x:c r="E53" s="11" t="str">
        <x:v>HKD</x:v>
      </x:c>
      <x:c r="F53" s="23" t="n">
        <x:v>29.6</x:v>
      </x:c>
      <x:c r="G53" s="23" t="str">
        <x:v>2026-10-09</x:v>
      </x:c>
      <x:c r="H53" s="23" t="n">
        <x:v>29.6</x:v>
      </x:c>
      <x:c r="I53" s="23" t="str">
        <x:v>2026-10-09</x:v>
      </x:c>
      <x:c r="J53" s="37" t="b">
        <x:v>1</x:v>
      </x:c>
      <x:c r="K53" s="23" t="n">
        <x:v>739</x:v>
      </x:c>
      <x:c r="L53" s="23" t="str">
        <x:v>Yahoo Finance chart</x:v>
      </x:c>
      <x:c r="M53" s="23" t="str">
        <x:v>high</x:v>
      </x:c>
      <x:c r="N53" s="23" t="str">
        <x:v>趋势交错/震荡</x:v>
      </x:c>
      <x:c r="O53" s="23" t="n">
        <x:v>28.119</x:v>
      </x:c>
      <x:c r="P53" s="23" t="n">
        <x:v>28.724</x:v>
      </x:c>
      <x:c r="Q53" s="23" t="n">
        <x:v>29.400833</x:v>
      </x:c>
      <x:c r="R53" s="23" t="n">
        <x:v>36.208</x:v>
      </x:c>
      <x:c r="S53" s="23" t="n">
        <x:v>-1.867104</x:v>
      </x:c>
      <x:c r="T53" s="23" t="n">
        <x:v>0.299133</x:v>
      </x:c>
      <x:c r="U53" s="23" t="n">
        <x:v>3.64146</x:v>
      </x:c>
      <x:c r="V53" s="23" t="n">
        <x:v>1.648348</x:v>
      </x:c>
      <x:c r="W53" s="38" t="n">
        <x:v>4783900</x:v>
      </x:c>
      <x:c r="X53" s="38" t="n">
        <x:v>2715290.4</x:v>
      </x:c>
      <x:c r="Y53" s="38" t="n">
        <x:v>4526865.2</x:v>
      </x:c>
      <x:c r="Z53" s="38" t="n">
        <x:v>8623534.15</x:v>
      </x:c>
      <x:c r="AA53" s="23" t="n">
        <x:v>1.003294</x:v>
      </x:c>
      <x:c r="AB53" s="23" t="n">
        <x:v>1.797169</x:v>
      </x:c>
      <x:c r="AC53" s="23" t="n">
        <x:v>52.210084</x:v>
      </x:c>
      <x:c r="AD53" s="23" t="n">
        <x:v>2.014796</x:v>
      </x:c>
      <x:c r="AE53" s="23" t="n">
        <x:v>-0.120856</x:v>
      </x:c>
      <x:c r="AF53" s="23" t="n">
        <x:v>-0.294796</x:v>
      </x:c>
      <x:c r="AG53" s="23" t="n">
        <x:v>25.700001</x:v>
      </x:c>
      <x:c r="AH53" s="23" t="n">
        <x:v>30.58</x:v>
      </x:c>
      <x:c r="AI53" s="23" t="n">
        <x:v>58.599998</x:v>
      </x:c>
      <x:c r="AJ53" s="23" t="n">
        <x:v>22.700001</x:v>
      </x:c>
      <x:c r="AK53" s="23" t="n">
        <x:v>-59.791303</x:v>
      </x:c>
      <x:c r="AL53" s="11" t="str">
        <x:v>{"market":"恒生指数","marketSymbol":"^HSI","marketReturn20Pct":-2.977908,"marketReturn60Pct":-3.187903,"excess20Pct":6.619368,"excess60Pct":4.836251,"industryBenchmark":"国证港股通创新药987018（粗粒度参考，非每公司专属行业）","industryExcess20Pct":2.760722,"industryExcess60Pct":4.87134,"industryMissingReason":null,"industryBenchmarkId":"S021","industryBenchmarkQuality":"官方单来源指数；价回报非含分红，量禁用"}</x:v>
      </x:c>
      <x:c r="AM53" s="11" t="str">
        <x:v>3根Yahoo OHLC逻辑不一致，按腾讯同日完整bar修复，原字段及修复记录在历史文件</x:v>
      </x:c>
      <x:c r="AN53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https://query2.finance.yahoo.com/v8/finance/chart/1952.HK?range=3y&amp;interval=1d&amp;events=div%2Csplits
https://proxy.finance.qq.com/ifzqgtimg/appstock/app/fqkline/get?param=hk01952,day,2023-10-09,2026-10-09,1000,qfq</x:v>
      </x:c>
    </x:row>
    <x:row r="54" ht="23" customHeight="1">
      <x:c r="A54" s="11" t="str">
        <x:v>S048</x:v>
      </x:c>
      <x:c r="B54" s="11" t="str">
        <x:v>I041</x:v>
      </x:c>
      <x:c r="C54" s="11" t="str">
        <x:v>09969.HK</x:v>
      </x:c>
      <x:c r="D54" s="11" t="str">
        <x:v>诺诚健华</x:v>
      </x:c>
      <x:c r="E54" s="11" t="str">
        <x:v>HKD</x:v>
      </x:c>
      <x:c r="F54" s="23" t="n">
        <x:v>12.73</x:v>
      </x:c>
      <x:c r="G54" s="23" t="str">
        <x:v>2026-10-09</x:v>
      </x:c>
      <x:c r="H54" s="23" t="n">
        <x:v>12.73</x:v>
      </x:c>
      <x:c r="I54" s="23" t="str">
        <x:v>2026-10-09</x:v>
      </x:c>
      <x:c r="J54" s="37" t="b">
        <x:v>1</x:v>
      </x:c>
      <x:c r="K54" s="23" t="n">
        <x:v>739</x:v>
      </x:c>
      <x:c r="L54" s="23" t="str">
        <x:v>Yahoo Finance chart</x:v>
      </x:c>
      <x:c r="M54" s="23" t="str">
        <x:v>high</x:v>
      </x:c>
      <x:c r="N54" s="23" t="str">
        <x:v>中短期下降</x:v>
      </x:c>
      <x:c r="O54" s="23" t="n">
        <x:v>14.388</x:v>
      </x:c>
      <x:c r="P54" s="23" t="n">
        <x:v>14.3505</x:v>
      </x:c>
      <x:c r="Q54" s="23" t="n">
        <x:v>13.413833</x:v>
      </x:c>
      <x:c r="R54" s="23" t="n">
        <x:v>13.45132</x:v>
      </x:c>
      <x:c r="S54" s="23" t="n">
        <x:v>-2.368189</x:v>
      </x:c>
      <x:c r="T54" s="23" t="n">
        <x:v>-0.678271</x:v>
      </x:c>
      <x:c r="U54" s="23" t="n">
        <x:v>-7.012418</x:v>
      </x:c>
      <x:c r="V54" s="23" t="n">
        <x:v>-13.34241</x:v>
      </x:c>
      <x:c r="W54" s="38" t="n">
        <x:v>9509950</x:v>
      </x:c>
      <x:c r="X54" s="38" t="n">
        <x:v>6413645.6</x:v>
      </x:c>
      <x:c r="Y54" s="38" t="n">
        <x:v>9638693.95</x:v>
      </x:c>
      <x:c r="Z54" s="38" t="n">
        <x:v>8288054.25</x:v>
      </x:c>
      <x:c r="AA54" s="23" t="n">
        <x:v>0.988792</x:v>
      </x:c>
      <x:c r="AB54" s="23" t="n">
        <x:v>0.903975</x:v>
      </x:c>
      <x:c r="AC54" s="23" t="n">
        <x:v>38.568841</x:v>
      </x:c>
      <x:c r="AD54" s="23" t="n">
        <x:v>0.902566</x:v>
      </x:c>
      <x:c r="AE54" s="23" t="n">
        <x:v>-0.393393</x:v>
      </x:c>
      <x:c r="AF54" s="23" t="n">
        <x:v>-0.149037</x:v>
      </x:c>
      <x:c r="AG54" s="23" t="n">
        <x:v>11.98</x:v>
      </x:c>
      <x:c r="AH54" s="23" t="n">
        <x:v>16.200001</x:v>
      </x:c>
      <x:c r="AI54" s="23" t="n">
        <x:v>20.18</x:v>
      </x:c>
      <x:c r="AJ54" s="23" t="n">
        <x:v>9.65</x:v>
      </x:c>
      <x:c r="AK54" s="23" t="n">
        <x:v>-47.179755</x:v>
      </x:c>
      <x:c r="AL54" s="11" t="str">
        <x:v>{"market":"恒生指数","marketSymbol":"^HSI","marketReturn20Pct":-2.977908,"marketReturn60Pct":-3.187903,"excess20Pct":-4.03451,"excess60Pct":-10.154507,"industryBenchmark":"国证港股通创新药987018（粗粒度参考，非每公司专属行业）","industryExcess20Pct":-7.893156,"industryExcess60Pct":-10.119418,"industryMissingReason":null,"industryBenchmarkId":"S021","industryBenchmarkQuality":"官方单来源指数；价回报非含分红，量禁用"}</x:v>
      </x:c>
      <x:c r="AM54" s="11" t="str">
        <x:v>5根Yahoo OHLC逻辑不一致，按腾讯同日完整bar修复，原字段及修复记录在历史文件</x:v>
      </x:c>
      <x:c r="AN54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https://query2.finance.yahoo.com/v8/finance/chart/9969.HK?range=3y&amp;interval=1d&amp;events=div%2Csplits
https://proxy.finance.qq.com/ifzqgtimg/appstock/app/fqkline/get?param=hk09969,day,2023-10-09,2026-10-09,1000,qfq</x:v>
      </x:c>
    </x:row>
    <x:row r="55" ht="23" customHeight="1">
      <x:c r="A55" s="11" t="str">
        <x:v>S049</x:v>
      </x:c>
      <x:c r="B55" s="11" t="str">
        <x:v>I042</x:v>
      </x:c>
      <x:c r="C55" s="11" t="str">
        <x:v>06185.HK</x:v>
      </x:c>
      <x:c r="D55" s="11" t="str">
        <x:v>康希诺生物</x:v>
      </x:c>
      <x:c r="E55" s="11" t="str">
        <x:v>HKD</x:v>
      </x:c>
      <x:c r="F55" s="23" t="n">
        <x:v>35.02</x:v>
      </x:c>
      <x:c r="G55" s="23" t="str">
        <x:v>2026-10-09</x:v>
      </x:c>
      <x:c r="H55" s="23" t="n">
        <x:v>35.02</x:v>
      </x:c>
      <x:c r="I55" s="23" t="str">
        <x:v>2026-10-09</x:v>
      </x:c>
      <x:c r="J55" s="37" t="b">
        <x:v>1</x:v>
      </x:c>
      <x:c r="K55" s="23" t="n">
        <x:v>739</x:v>
      </x:c>
      <x:c r="L55" s="23" t="str">
        <x:v>Yahoo Finance chart</x:v>
      </x:c>
      <x:c r="M55" s="23" t="str">
        <x:v>high</x:v>
      </x:c>
      <x:c r="N55" s="23" t="str">
        <x:v>中短期上升</x:v>
      </x:c>
      <x:c r="O55" s="23" t="n">
        <x:v>31.236</x:v>
      </x:c>
      <x:c r="P55" s="23" t="n">
        <x:v>27.974333</x:v>
      </x:c>
      <x:c r="Q55" s="23" t="n">
        <x:v>27.070833</x:v>
      </x:c>
      <x:c r="R55" s="23" t="n">
        <x:v>32.7524</x:v>
      </x:c>
      <x:c r="S55" s="23" t="n">
        <x:v>7.29596</x:v>
      </x:c>
      <x:c r="T55" s="23" t="n">
        <x:v>4.050535</x:v>
      </x:c>
      <x:c r="U55" s="23" t="n">
        <x:v>30.4769</x:v>
      </x:c>
      <x:c r="V55" s="23" t="n">
        <x:v>39.968026</x:v>
      </x:c>
      <x:c r="W55" s="38" t="n">
        <x:v>6280290</x:v>
      </x:c>
      <x:c r="X55" s="38" t="n">
        <x:v>4447871.4</x:v>
      </x:c>
      <x:c r="Y55" s="38" t="n">
        <x:v>5833637.4</x:v>
      </x:c>
      <x:c r="Z55" s="38" t="n">
        <x:v>5746526.033</x:v>
      </x:c>
      <x:c r="AA55" s="23" t="n">
        <x:v>1.098246</x:v>
      </x:c>
      <x:c r="AB55" s="23" t="n">
        <x:v>2.204878</x:v>
      </x:c>
      <x:c r="AC55" s="23" t="n">
        <x:v>56.851291</x:v>
      </x:c>
      <x:c r="AD55" s="23" t="n">
        <x:v>2.907399</x:v>
      </x:c>
      <x:c r="AE55" s="23" t="n">
        <x:v>2.45715</x:v>
      </x:c>
      <x:c r="AF55" s="23" t="n">
        <x:v>1.944999</x:v>
      </x:c>
      <x:c r="AG55" s="23" t="n">
        <x:v>25.08</x:v>
      </x:c>
      <x:c r="AH55" s="23" t="n">
        <x:v>40.84</x:v>
      </x:c>
      <x:c r="AI55" s="23" t="n">
        <x:v>53.450001</x:v>
      </x:c>
      <x:c r="AJ55" s="23" t="n">
        <x:v>19.219999</x:v>
      </x:c>
      <x:c r="AK55" s="23" t="n">
        <x:v>-59.923519</x:v>
      </x:c>
      <x:c r="AL55" s="11" t="str">
        <x:v>{"market":"恒生指数","marketSymbol":"^HSI","marketReturn20Pct":-2.977908,"marketReturn60Pct":-3.187903,"excess20Pct":33.454808,"excess60Pct":43.155929,"industryBenchmark":null,"industryExcess20Pct":null,"industryExcess60Pct":null,"industryMissingReason":"创新药/医药细分基准三年可核验数据未取得，行业相对强弱留空"}</x:v>
      </x:c>
      <x:c r="AM55" s="11" t="str">
        <x:v>13根Yahoo OHLC逻辑不一致，按腾讯同日完整bar修复，原字段及修复记录在历史文件</x:v>
      </x:c>
      <x:c r="AN55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https://query2.finance.yahoo.com/v8/finance/chart/6185.HK?range=3y&amp;interval=1d&amp;events=div%2Csplits
https://proxy.finance.qq.com/ifzqgtimg/appstock/app/fqkline/get?param=hk06185,day,2023-10-09,2026-10-09,1000,qfq</x:v>
      </x:c>
    </x:row>
    <x:row r="56" ht="23" customHeight="1">
      <x:c r="A56" s="11" t="str">
        <x:v>S050</x:v>
      </x:c>
      <x:c r="B56" s="11" t="str">
        <x:v>I043</x:v>
      </x:c>
      <x:c r="C56" s="11" t="str">
        <x:v>02196.HK</x:v>
      </x:c>
      <x:c r="D56" s="11" t="str">
        <x:v>复星医药</x:v>
      </x:c>
      <x:c r="E56" s="11" t="str">
        <x:v>HKD</x:v>
      </x:c>
      <x:c r="F56" s="23" t="n">
        <x:v>17.87</x:v>
      </x:c>
      <x:c r="G56" s="23" t="str">
        <x:v>2026-10-09</x:v>
      </x:c>
      <x:c r="H56" s="23" t="n">
        <x:v>17.87</x:v>
      </x:c>
      <x:c r="I56" s="23" t="str">
        <x:v>2026-10-09</x:v>
      </x:c>
      <x:c r="J56" s="37" t="b">
        <x:v>1</x:v>
      </x:c>
      <x:c r="K56" s="23" t="n">
        <x:v>739</x:v>
      </x:c>
      <x:c r="L56" s="23" t="str">
        <x:v>Yahoo Finance chart</x:v>
      </x:c>
      <x:c r="M56" s="23" t="str">
        <x:v>high</x:v>
      </x:c>
      <x:c r="N56" s="23" t="str">
        <x:v>中短期上升</x:v>
      </x:c>
      <x:c r="O56" s="23" t="n">
        <x:v>17.674</x:v>
      </x:c>
      <x:c r="P56" s="23" t="n">
        <x:v>16.9935</x:v>
      </x:c>
      <x:c r="Q56" s="23" t="n">
        <x:v>16.941251</x:v>
      </x:c>
      <x:c r="R56" s="23" t="n">
        <x:v>18.8637</x:v>
      </x:c>
      <x:c r="S56" s="23" t="n">
        <x:v>1.557203</x:v>
      </x:c>
      <x:c r="T56" s="23" t="n">
        <x:v>0.849242</x:v>
      </x:c>
      <x:c r="U56" s="23" t="n">
        <x:v>8.237438</x:v>
      </x:c>
      <x:c r="V56" s="23" t="n">
        <x:v>5.739651</x:v>
      </x:c>
      <x:c r="W56" s="38" t="n">
        <x:v>2851500</x:v>
      </x:c>
      <x:c r="X56" s="38" t="n">
        <x:v>1900640</x:v>
      </x:c>
      <x:c r="Y56" s="38" t="n">
        <x:v>3169363.35</x:v>
      </x:c>
      <x:c r="Z56" s="38" t="n">
        <x:v>3647286.4</x:v>
      </x:c>
      <x:c r="AA56" s="23" t="n">
        <x:v>0.826034</x:v>
      </x:c>
      <x:c r="AB56" s="23" t="n">
        <x:v>1.551557</x:v>
      </x:c>
      <x:c r="AC56" s="23" t="n">
        <x:v>53.97768</x:v>
      </x:c>
      <x:c r="AD56" s="23" t="n">
        <x:v>0.615454</x:v>
      </x:c>
      <x:c r="AE56" s="23" t="n">
        <x:v>0.306826</x:v>
      </x:c>
      <x:c r="AF56" s="23" t="n">
        <x:v>0.321543</x:v>
      </x:c>
      <x:c r="AG56" s="23" t="n">
        <x:v>16.1</x:v>
      </x:c>
      <x:c r="AH56" s="23" t="n">
        <x:v>18.65</x:v>
      </x:c>
      <x:c r="AI56" s="23" t="n">
        <x:v>26.10964</x:v>
      </x:c>
      <x:c r="AJ56" s="23" t="n">
        <x:v>14.505356</x:v>
      </x:c>
      <x:c r="AK56" s="23" t="n">
        <x:v>-43.510873</x:v>
      </x:c>
      <x:c r="AL56" s="11" t="str">
        <x:v>{"market":"恒生指数","marketSymbol":"^HSI","marketReturn20Pct":-2.977908,"marketReturn60Pct":-3.187903,"excess20Pct":11.215346,"excess60Pct":8.927554,"industryBenchmark":null,"industryExcess20Pct":null,"industryExcess60Pct":null,"industryBenchmarkId":null,"industryMissingReason":"综合药企不适用恒生科技；专属医药行业指数尚待核验"}</x:v>
      </x:c>
      <x:c r="AM56" s="11" t="str">
        <x:v>1根Yahoo OHLC逻辑不一致，按腾讯同日完整bar修复，原字段及修复记录在历史文件</x:v>
      </x:c>
      <x:c r="AN56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06855,rt_hk03759,rt_hk01530,rt_hk00013,rt_hk01093,rt_hk02157,rt_hk02228,rt_hk02607,rt_hk03692,rt_hk02186,rt_hk01177,rt_hk02359,rt_hk00512,rt_hk02096,rt_hk02269,rt_hk01548,rt_hk01513,rt_hk06160,rt_hk02511,rt_hk09939,rt_hk09688,rt_hk01952,rt_hk09969,rt_hk06185,rt_hk02196
https://query2.finance.yahoo.com/v8/finance/chart/2196.HK?range=3y&amp;interval=1d&amp;events=div%2Csplits
https://proxy.finance.qq.com/ifzqgtimg/appstock/app/fqkline/get?param=hk02196,day,2023-10-09,2026-10-09,1000,qfq</x:v>
      </x:c>
    </x:row>
    <x:row r="57" ht="23" customHeight="1">
      <x:c r="A57" s="11" t="str">
        <x:v>S051</x:v>
      </x:c>
      <x:c r="B57" s="11" t="str">
        <x:v>I044</x:v>
      </x:c>
      <x:c r="C57" s="11" t="str">
        <x:v>03347.HK</x:v>
      </x:c>
      <x:c r="D57" s="11" t="str">
        <x:v>泰格医药</x:v>
      </x:c>
      <x:c r="E57" s="11" t="str">
        <x:v>HKD</x:v>
      </x:c>
      <x:c r="F57" s="23" t="n">
        <x:v>44.56</x:v>
      </x:c>
      <x:c r="G57" s="23" t="str">
        <x:v>2026-10-09</x:v>
      </x:c>
      <x:c r="H57" s="23" t="n">
        <x:v>44.56</x:v>
      </x:c>
      <x:c r="I57" s="23" t="str">
        <x:v>2026-10-09</x:v>
      </x:c>
      <x:c r="J57" s="37" t="b">
        <x:v>1</x:v>
      </x:c>
      <x:c r="K57" s="23" t="n">
        <x:v>739</x:v>
      </x:c>
      <x:c r="L57" s="23" t="str">
        <x:v>Yahoo Finance chart</x:v>
      </x:c>
      <x:c r="M57" s="23" t="str">
        <x:v>high</x:v>
      </x:c>
      <x:c r="N57" s="23" t="str">
        <x:v>回调，仍高于60日线</x:v>
      </x:c>
      <x:c r="O57" s="23" t="n">
        <x:v>45.259</x:v>
      </x:c>
      <x:c r="P57" s="23" t="n">
        <x:v>41.372</x:v>
      </x:c>
      <x:c r="Q57" s="23" t="n">
        <x:v>38.336809</x:v>
      </x:c>
      <x:c r="R57" s="23" t="n">
        <x:v>41.419466</x:v>
      </x:c>
      <x:c r="S57" s="23" t="n">
        <x:v>2.428371</x:v>
      </x:c>
      <x:c r="T57" s="23" t="n">
        <x:v>1.549639</x:v>
      </x:c>
      <x:c r="U57" s="23" t="n">
        <x:v>6.297717</x:v>
      </x:c>
      <x:c r="V57" s="23" t="n">
        <x:v>13.557591</x:v>
      </x:c>
      <x:c r="W57" s="38" t="n">
        <x:v>923200</x:v>
      </x:c>
      <x:c r="X57" s="38" t="n">
        <x:v>638000</x:v>
      </x:c>
      <x:c r="Y57" s="38" t="n">
        <x:v>1208972.35</x:v>
      </x:c>
      <x:c r="Z57" s="38" t="n">
        <x:v>1626124.65</x:v>
      </x:c>
      <x:c r="AA57" s="23" t="n">
        <x:v>0.743017</x:v>
      </x:c>
      <x:c r="AB57" s="23" t="n">
        <x:v>1.583469</x:v>
      </x:c>
      <x:c r="AC57" s="23" t="n">
        <x:v>51.50141</x:v>
      </x:c>
      <x:c r="AD57" s="23" t="n">
        <x:v>2.447527</x:v>
      </x:c>
      <x:c r="AE57" s="23" t="n">
        <x:v>0.990046</x:v>
      </x:c>
      <x:c r="AF57" s="23" t="n">
        <x:v>1.330133</x:v>
      </x:c>
      <x:c r="AG57" s="23" t="n">
        <x:v>40.02</x:v>
      </x:c>
      <x:c r="AH57" s="23" t="n">
        <x:v>48.360001</x:v>
      </x:c>
      <x:c r="AI57" s="23" t="n">
        <x:v>56.73517</x:v>
      </x:c>
      <x:c r="AJ57" s="23" t="n">
        <x:v>27.989352</x:v>
      </x:c>
      <x:c r="AK57" s="23" t="n">
        <x:v>-46.594206</x:v>
      </x:c>
      <x:c r="AL57" s="11" t="str">
        <x:v>{"market":"恒生指数","marketSymbol":"^HSI","marketReturn20Pct":-2.977908,"marketReturn60Pct":-3.187903,"excess20Pct":9.275625,"excess60Pct":16.745494,"industryBenchmark":null,"industryExcess20Pct":null,"industryExcess60Pct":null,"industryMissingReason":"创新药/医药细分基准三年可核验数据未取得，行业相对强弱留空"}</x:v>
      </x:c>
      <x:c r="AM57" s="11" t="str">
        <x:v>1根Yahoo OHLC逻辑不一致，按腾讯同日完整bar修复，原字段及修复记录在历史文件</x:v>
      </x:c>
      <x:c r="AN57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https://query2.finance.yahoo.com/v8/finance/chart/3347.HK?range=3y&amp;interval=1d&amp;events=div%2Csplits
https://proxy.finance.qq.com/ifzqgtimg/appstock/app/fqkline/get?param=hk03347,day,2023-10-09,2026-10-09,1000,qfq</x:v>
      </x:c>
    </x:row>
    <x:row r="58" ht="23" customHeight="1">
      <x:c r="A58" s="11" t="str">
        <x:v>S052</x:v>
      </x:c>
      <x:c r="B58" s="11" t="str">
        <x:v>I045</x:v>
      </x:c>
      <x:c r="C58" s="11" t="str">
        <x:v>06127.HK</x:v>
      </x:c>
      <x:c r="D58" s="11" t="str">
        <x:v>昭衍新药</x:v>
      </x:c>
      <x:c r="E58" s="11" t="str">
        <x:v>HKD</x:v>
      </x:c>
      <x:c r="F58" s="23" t="n">
        <x:v>31.32</x:v>
      </x:c>
      <x:c r="G58" s="23" t="str">
        <x:v>2026-10-09</x:v>
      </x:c>
      <x:c r="H58" s="23" t="n">
        <x:v>31.32</x:v>
      </x:c>
      <x:c r="I58" s="23" t="str">
        <x:v>2026-10-09</x:v>
      </x:c>
      <x:c r="J58" s="37" t="b">
        <x:v>1</x:v>
      </x:c>
      <x:c r="K58" s="23" t="n">
        <x:v>739</x:v>
      </x:c>
      <x:c r="L58" s="23" t="str">
        <x:v>Yahoo Finance chart</x:v>
      </x:c>
      <x:c r="M58" s="23" t="str">
        <x:v>high</x:v>
      </x:c>
      <x:c r="N58" s="23" t="str">
        <x:v>中短期上升</x:v>
      </x:c>
      <x:c r="O58" s="23" t="n">
        <x:v>26.982</x:v>
      </x:c>
      <x:c r="P58" s="23" t="n">
        <x:v>25.28</x:v>
      </x:c>
      <x:c r="Q58" s="23" t="n">
        <x:v>22.351209</x:v>
      </x:c>
      <x:c r="R58" s="23" t="n">
        <x:v>21.300942</x:v>
      </x:c>
      <x:c r="S58" s="23" t="n">
        <x:v>8.330991</x:v>
      </x:c>
      <x:c r="T58" s="23" t="n">
        <x:v>2.521122</x:v>
      </x:c>
      <x:c r="U58" s="23" t="n">
        <x:v>43.406593</x:v>
      </x:c>
      <x:c r="V58" s="23" t="n">
        <x:v>21.301317</x:v>
      </x:c>
      <x:c r="W58" s="38" t="n">
        <x:v>9368282</x:v>
      </x:c>
      <x:c r="X58" s="38" t="n">
        <x:v>4724020.2</x:v>
      </x:c>
      <x:c r="Y58" s="38" t="n">
        <x:v>4761678.8</x:v>
      </x:c>
      <x:c r="Z58" s="38" t="n">
        <x:v>6128540.15</x:v>
      </x:c>
      <x:c r="AA58" s="23" t="n">
        <x:v>2.123668</x:v>
      </x:c>
      <x:c r="AB58" s="23" t="n">
        <x:v>3.93706</x:v>
      </x:c>
      <x:c r="AC58" s="23" t="n">
        <x:v>65.748375</x:v>
      </x:c>
      <x:c r="AD58" s="23" t="n">
        <x:v>2.159805</x:v>
      </x:c>
      <x:c r="AE58" s="23" t="n">
        <x:v>1.85241</x:v>
      </x:c>
      <x:c r="AF58" s="23" t="n">
        <x:v>1.449783</x:v>
      </x:c>
      <x:c r="AG58" s="23" t="n">
        <x:v>20.620001</x:v>
      </x:c>
      <x:c r="AH58" s="23" t="n">
        <x:v>32.580002</x:v>
      </x:c>
      <x:c r="AI58" s="23" t="n">
        <x:v>32.580002</x:v>
      </x:c>
      <x:c r="AJ58" s="23" t="n">
        <x:v>15.0104</x:v>
      </x:c>
      <x:c r="AK58" s="23" t="n">
        <x:v>-39.854521</x:v>
      </x:c>
      <x:c r="AL58" s="11" t="str">
        <x:v>{"market":"恒生指数","marketSymbol":"^HSI","marketReturn20Pct":-2.977908,"marketReturn60Pct":-3.187903,"excess20Pct":46.384501,"excess60Pct":24.48922,"industryBenchmark":null,"industryExcess20Pct":null,"industryExcess60Pct":null,"industryMissingReason":"创新药/医药细分基准三年可核验数据未取得，行业相对强弱留空"}</x:v>
      </x:c>
      <x:c r="AM58" s="11" t="str">
        <x:v>7根Yahoo OHLC逻辑不一致，按腾讯同日完整bar修复，原字段及修复记录在历史文件</x:v>
      </x:c>
      <x:c r="AN58" s="11" t="str">
        <x:v>https://qt.gtimg.cn/q=hk01530,hk00013,hk01093,hk02157,hk02228,hk02607,hk03692,hk02186,hk01177,hk02359,hk00512,hk02096,hk02269,hk01548,hk01513,hk06160,hk02511,hk09939,hk09688,hk01952,hk09969,hk06185,hk02196,hk03347,hk06127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https://query2.finance.yahoo.com/v8/finance/chart/6127.HK?range=3y&amp;interval=1d&amp;events=div%2Csplits
https://proxy.finance.qq.com/ifzqgtimg/appstock/app/fqkline/get?param=hk06127,day,2023-10-09,2026-10-09,1000,qfq</x:v>
      </x:c>
    </x:row>
    <x:row r="59" ht="23" customHeight="1">
      <x:c r="A59" s="11" t="str">
        <x:v>S053</x:v>
      </x:c>
      <x:c r="B59" s="11" t="str">
        <x:v>I046</x:v>
      </x:c>
      <x:c r="C59" s="11" t="str">
        <x:v>01877.HK</x:v>
      </x:c>
      <x:c r="D59" s="11" t="str">
        <x:v>君实生物</x:v>
      </x:c>
      <x:c r="E59" s="11" t="str">
        <x:v>HKD</x:v>
      </x:c>
      <x:c r="F59" s="23" t="n">
        <x:v>17.65</x:v>
      </x:c>
      <x:c r="G59" s="23" t="str">
        <x:v>2026-10-09</x:v>
      </x:c>
      <x:c r="H59" s="23" t="n">
        <x:v>17.65</x:v>
      </x:c>
      <x:c r="I59" s="23" t="str">
        <x:v>2026-10-09</x:v>
      </x:c>
      <x:c r="J59" s="37" t="b">
        <x:v>1</x:v>
      </x:c>
      <x:c r="K59" s="23" t="n">
        <x:v>739</x:v>
      </x:c>
      <x:c r="L59" s="23" t="str">
        <x:v>Yahoo Finance chart</x:v>
      </x:c>
      <x:c r="M59" s="23" t="str">
        <x:v>high</x:v>
      </x:c>
      <x:c r="N59" s="23" t="str">
        <x:v>趋势交错/震荡</x:v>
      </x:c>
      <x:c r="O59" s="23" t="n">
        <x:v>17.998</x:v>
      </x:c>
      <x:c r="P59" s="23" t="n">
        <x:v>18.434</x:v>
      </x:c>
      <x:c r="Q59" s="23" t="n">
        <x:v>19.696667</x:v>
      </x:c>
      <x:c r="R59" s="23" t="n">
        <x:v>21.76404</x:v>
      </x:c>
      <x:c r="S59" s="23" t="n">
        <x:v>0.256239</x:v>
      </x:c>
      <x:c r="T59" s="23" t="n">
        <x:v>-0.807146</x:v>
      </x:c>
      <x:c r="U59" s="23" t="n">
        <x:v>2.975502</x:v>
      </x:c>
      <x:c r="V59" s="23" t="n">
        <x:v>-12.710184</x:v>
      </x:c>
      <x:c r="W59" s="38" t="n">
        <x:v>1756600</x:v>
      </x:c>
      <x:c r="X59" s="38" t="n">
        <x:v>1022040</x:v>
      </x:c>
      <x:c r="Y59" s="38" t="n">
        <x:v>1927724.6</x:v>
      </x:c>
      <x:c r="Z59" s="38" t="n">
        <x:v>2576817.967</x:v>
      </x:c>
      <x:c r="AA59" s="23" t="n">
        <x:v>0.91888</x:v>
      </x:c>
      <x:c r="AB59" s="23" t="n">
        <x:v>1.504894</x:v>
      </x:c>
      <x:c r="AC59" s="23" t="n">
        <x:v>46.278405</x:v>
      </x:c>
      <x:c r="AD59" s="23" t="n">
        <x:v>0.995332</x:v>
      </x:c>
      <x:c r="AE59" s="23" t="n">
        <x:v>-0.087218</x:v>
      </x:c>
      <x:c r="AF59" s="23" t="n">
        <x:v>-0.034992</x:v>
      </x:c>
      <x:c r="AG59" s="23" t="n">
        <x:v>16.4</x:v>
      </x:c>
      <x:c r="AH59" s="23" t="n">
        <x:v>19.629999</x:v>
      </x:c>
      <x:c r="AI59" s="23" t="n">
        <x:v>32.619999</x:v>
      </x:c>
      <x:c r="AJ59" s="23" t="n">
        <x:v>15.25</x:v>
      </x:c>
      <x:c r="AK59" s="23" t="n">
        <x:v>-52.881666</x:v>
      </x:c>
      <x:c r="AL59" s="11" t="str">
        <x:v>{"market":"恒生指数","marketSymbol":"^HSI","marketReturn20Pct":-2.977908,"marketReturn60Pct":-3.187903,"excess20Pct":5.95341,"excess60Pct":-9.522281,"industryBenchmark":"国证港股通创新药987018（粗粒度参考，非每公司专属行业）","industryExcess20Pct":2.094764,"industryExcess60Pct":-9.487192,"industryMissingReason":null,"industryBenchmarkId":"S021","industryBenchmarkQuality":"官方单来源指数；价回报非含分红，量禁用"}</x:v>
      </x:c>
      <x:c r="AM59" s="11" t="str">
        <x:v>12根Yahoo OHLC逻辑不一致，按腾讯同日完整bar修复，原字段及修复记录在历史文件</x:v>
      </x:c>
      <x:c r="AN59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https://query2.finance.yahoo.com/v8/finance/chart/1877.HK?range=3y&amp;interval=1d&amp;events=div%2Csplits
https://proxy.finance.qq.com/ifzqgtimg/appstock/app/fqkline/get?param=hk01877,day,2023-10-09,2026-10-09,1000,qfq</x:v>
      </x:c>
    </x:row>
    <x:row r="60" ht="23" customHeight="1">
      <x:c r="A60" s="11" t="str">
        <x:v>S054</x:v>
      </x:c>
      <x:c r="B60" s="11" t="str">
        <x:v>I047</x:v>
      </x:c>
      <x:c r="C60" s="11" t="str">
        <x:v>02162.HK</x:v>
      </x:c>
      <x:c r="D60" s="11" t="str">
        <x:v>康诺亚-B</x:v>
      </x:c>
      <x:c r="E60" s="11" t="str">
        <x:v>HKD</x:v>
      </x:c>
      <x:c r="F60" s="23" t="n">
        <x:v>78.3</x:v>
      </x:c>
      <x:c r="G60" s="23" t="str">
        <x:v>2026-10-09</x:v>
      </x:c>
      <x:c r="H60" s="23" t="n">
        <x:v>78.3</x:v>
      </x:c>
      <x:c r="I60" s="23" t="str">
        <x:v>2026-10-09</x:v>
      </x:c>
      <x:c r="J60" s="37" t="b">
        <x:v>1</x:v>
      </x:c>
      <x:c r="K60" s="23" t="n">
        <x:v>739</x:v>
      </x:c>
      <x:c r="L60" s="23" t="str">
        <x:v>Yahoo Finance chart</x:v>
      </x:c>
      <x:c r="M60" s="23" t="str">
        <x:v>high</x:v>
      </x:c>
      <x:c r="N60" s="23" t="str">
        <x:v>趋势交错/震荡</x:v>
      </x:c>
      <x:c r="O60" s="23" t="n">
        <x:v>76.39</x:v>
      </x:c>
      <x:c r="P60" s="23" t="n">
        <x:v>78.19</x:v>
      </x:c>
      <x:c r="Q60" s="23" t="n">
        <x:v>73.463333</x:v>
      </x:c>
      <x:c r="R60" s="23" t="n">
        <x:v>65.9654</x:v>
      </x:c>
      <x:c r="S60" s="23" t="n">
        <x:v>0.055666</x:v>
      </x:c>
      <x:c r="T60" s="23" t="n">
        <x:v>-0.669066</x:v>
      </x:c>
      <x:c r="U60" s="23" t="n">
        <x:v>6.458191</x:v>
      </x:c>
      <x:c r="V60" s="23" t="n">
        <x:v>-8.900517</x:v>
      </x:c>
      <x:c r="W60" s="38" t="n">
        <x:v>2798951</x:v>
      </x:c>
      <x:c r="X60" s="38" t="n">
        <x:v>1211905.4</x:v>
      </x:c>
      <x:c r="Y60" s="38" t="n">
        <x:v>1648507.75</x:v>
      </x:c>
      <x:c r="Z60" s="38" t="n">
        <x:v>2039075.35</x:v>
      </x:c>
      <x:c r="AA60" s="23" t="n">
        <x:v>1.734503</x:v>
      </x:c>
      <x:c r="AB60" s="23" t="n">
        <x:v>0.901419</x:v>
      </x:c>
      <x:c r="AC60" s="23" t="n">
        <x:v>51.940472</x:v>
      </x:c>
      <x:c r="AD60" s="23" t="n">
        <x:v>4.165815</x:v>
      </x:c>
      <x:c r="AE60" s="23" t="n">
        <x:v>0.223813</x:v>
      </x:c>
      <x:c r="AF60" s="23" t="n">
        <x:v>0.049327</x:v>
      </x:c>
      <x:c r="AG60" s="23" t="n">
        <x:v>71</x:v>
      </x:c>
      <x:c r="AH60" s="23" t="n">
        <x:v>82.400002</x:v>
      </x:c>
      <x:c r="AI60" s="23" t="n">
        <x:v>89.75</x:v>
      </x:c>
      <x:c r="AJ60" s="23" t="n">
        <x:v>44.66</x:v>
      </x:c>
      <x:c r="AK60" s="23" t="n">
        <x:v>-38.784674</x:v>
      </x:c>
      <x:c r="AL60" s="11" t="str">
        <x:v>{"market":"恒生指数","marketSymbol":"^HSI","marketReturn20Pct":-2.977908,"marketReturn60Pct":-3.187903,"excess20Pct":9.436099,"excess60Pct":-5.712614,"industryBenchmark":"国证港股通创新药987018（粗粒度参考，非每公司专属行业）","industryExcess20Pct":5.577453,"industryExcess60Pct":-5.677525,"industryMissingReason":null,"industryBenchmarkId":"S021","industryBenchmarkQuality":"官方单来源指数；价回报非含分红，量禁用"}</x:v>
      </x:c>
      <x:c r="AM60" s="11" t="str">
        <x:v>7根Yahoo OHLC逻辑不一致，按腾讯同日完整bar修复，原字段及修复记录在历史文件</x:v>
      </x:c>
      <x:c r="AN60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https://query2.finance.yahoo.com/v8/finance/chart/2162.HK?range=3y&amp;interval=1d&amp;events=div%2Csplits
https://proxy.finance.qq.com/ifzqgtimg/appstock/app/fqkline/get?param=hk02162,day,2023-10-09,2026-10-09,1000,qfq</x:v>
      </x:c>
    </x:row>
    <x:row r="61" ht="23" customHeight="1">
      <x:c r="A61" s="11" t="str">
        <x:v>S055</x:v>
      </x:c>
      <x:c r="B61" s="11" t="str">
        <x:v>I048</x:v>
      </x:c>
      <x:c r="C61" s="11" t="str">
        <x:v>01801.HK</x:v>
      </x:c>
      <x:c r="D61" s="11" t="str">
        <x:v>信达生物</x:v>
      </x:c>
      <x:c r="E61" s="11" t="str">
        <x:v>HKD</x:v>
      </x:c>
      <x:c r="F61" s="23" t="n">
        <x:v>92.65</x:v>
      </x:c>
      <x:c r="G61" s="23" t="str">
        <x:v>2026-10-09</x:v>
      </x:c>
      <x:c r="H61" s="23" t="n">
        <x:v>92.65</x:v>
      </x:c>
      <x:c r="I61" s="23" t="str">
        <x:v>2026-10-09</x:v>
      </x:c>
      <x:c r="J61" s="37" t="b">
        <x:v>1</x:v>
      </x:c>
      <x:c r="K61" s="23" t="n">
        <x:v>739</x:v>
      </x:c>
      <x:c r="L61" s="23" t="str">
        <x:v>Yahoo Finance chart</x:v>
      </x:c>
      <x:c r="M61" s="23" t="str">
        <x:v>high</x:v>
      </x:c>
      <x:c r="N61" s="23" t="str">
        <x:v>趋势交错/震荡</x:v>
      </x:c>
      <x:c r="O61" s="23" t="n">
        <x:v>97.32</x:v>
      </x:c>
      <x:c r="P61" s="23" t="n">
        <x:v>96.4625</x:v>
      </x:c>
      <x:c r="Q61" s="23" t="n">
        <x:v>89.704583</x:v>
      </x:c>
      <x:c r="R61" s="23" t="n">
        <x:v>87.952</x:v>
      </x:c>
      <x:c r="S61" s="23" t="n">
        <x:v>-0.868369</x:v>
      </x:c>
      <x:c r="T61" s="23" t="n">
        <x:v>0.334579</x:v>
      </x:c>
      <x:c r="U61" s="23" t="n">
        <x:v>-1.801798</x:v>
      </x:c>
      <x:c r="V61" s="23" t="n">
        <x:v>-1.64543</x:v>
      </x:c>
      <x:c r="W61" s="38" t="n">
        <x:v>10489193</x:v>
      </x:c>
      <x:c r="X61" s="38" t="n">
        <x:v>8218852.6</x:v>
      </x:c>
      <x:c r="Y61" s="38" t="n">
        <x:v>10350551.8</x:v>
      </x:c>
      <x:c r="Z61" s="38" t="n">
        <x:v>12077779</x:v>
      </x:c>
      <x:c r="AA61" s="23" t="n">
        <x:v>1.00424</x:v>
      </x:c>
      <x:c r="AB61" s="23" t="n">
        <x:v>1.264113</x:v>
      </x:c>
      <x:c r="AC61" s="23" t="n">
        <x:v>40.38513</x:v>
      </x:c>
      <x:c r="AD61" s="23" t="n">
        <x:v>3.969489</x:v>
      </x:c>
      <x:c r="AE61" s="23" t="n">
        <x:v>-0.833783</x:v>
      </x:c>
      <x:c r="AF61" s="23" t="n">
        <x:v>-0.146881</x:v>
      </x:c>
      <x:c r="AG61" s="23" t="n">
        <x:v>89.800003</x:v>
      </x:c>
      <x:c r="AH61" s="23" t="n">
        <x:v>105.5</x:v>
      </x:c>
      <x:c r="AI61" s="23" t="n">
        <x:v>112.699997</x:v>
      </x:c>
      <x:c r="AJ61" s="23" t="n">
        <x:v>69.550003</x:v>
      </x:c>
      <x:c r="AK61" s="23" t="n">
        <x:v>-30.324738</x:v>
      </x:c>
      <x:c r="AL61" s="11" t="str">
        <x:v>{"market":"恒生指数","marketSymbol":"^HSI","marketReturn20Pct":-2.977908,"marketReturn60Pct":-3.187903,"excess20Pct":1.17611,"excess60Pct":1.542473,"industryBenchmark":"国证港股通创新药987018（粗粒度参考，非每公司专属行业）","industryExcess20Pct":-2.682536,"industryExcess60Pct":1.577562,"industryMissingReason":null,"industryBenchmarkId":"S021","industryBenchmarkQuality":"官方单来源指数；价回报非含分红，量禁用"}</x:v>
      </x:c>
      <x:c r="AM61" s="11" t="str">
        <x:v>1根Yahoo OHLC逻辑不一致，按腾讯同日完整bar修复，原字段及修复记录在历史文件</x:v>
      </x:c>
      <x:c r="AN61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https://query2.finance.yahoo.com/v8/finance/chart/1801.HK?range=3y&amp;interval=1d&amp;events=div%2Csplits
https://proxy.finance.qq.com/ifzqgtimg/appstock/app/fqkline/get?param=hk01801,day,2023-10-09,2026-10-09,1000,qfq</x:v>
      </x:c>
    </x:row>
    <x:row r="62" ht="23" customHeight="1">
      <x:c r="A62" s="11" t="str">
        <x:v>S056</x:v>
      </x:c>
      <x:c r="B62" s="11" t="str">
        <x:v>I049</x:v>
      </x:c>
      <x:c r="C62" s="11" t="str">
        <x:v>02268.HK</x:v>
      </x:c>
      <x:c r="D62" s="11" t="str">
        <x:v>药明合联</x:v>
      </x:c>
      <x:c r="E62" s="11" t="str">
        <x:v>HKD</x:v>
      </x:c>
      <x:c r="F62" s="23" t="n">
        <x:v>82.1</x:v>
      </x:c>
      <x:c r="G62" s="23" t="str">
        <x:v>2026-10-09</x:v>
      </x:c>
      <x:c r="H62" s="23" t="n">
        <x:v>82.1</x:v>
      </x:c>
      <x:c r="I62" s="23" t="str">
        <x:v>2026-10-09</x:v>
      </x:c>
      <x:c r="J62" s="37" t="b">
        <x:v>1</x:v>
      </x:c>
      <x:c r="K62" s="23" t="n">
        <x:v>711</x:v>
      </x:c>
      <x:c r="L62" s="23" t="str">
        <x:v>Yahoo Finance chart</x:v>
      </x:c>
      <x:c r="M62" s="23" t="str">
        <x:v>high</x:v>
      </x:c>
      <x:c r="N62" s="23" t="str">
        <x:v>中短期上升</x:v>
      </x:c>
      <x:c r="O62" s="23" t="n">
        <x:v>79.3575</x:v>
      </x:c>
      <x:c r="P62" s="23" t="n">
        <x:v>69.194167</x:v>
      </x:c>
      <x:c r="Q62" s="23" t="n">
        <x:v>62.211833</x:v>
      </x:c>
      <x:c r="R62" s="23" t="n">
        <x:v>63.96348</x:v>
      </x:c>
      <x:c r="S62" s="23" t="n">
        <x:v>2.99815</x:v>
      </x:c>
      <x:c r="T62" s="23" t="n">
        <x:v>2.861638</x:v>
      </x:c>
      <x:c r="U62" s="23" t="n">
        <x:v>12.388767</x:v>
      </x:c>
      <x:c r="V62" s="23" t="n">
        <x:v>38.448566</x:v>
      </x:c>
      <x:c r="W62" s="38" t="n">
        <x:v>6930097</x:v>
      </x:c>
      <x:c r="X62" s="38" t="n">
        <x:v>3289150</x:v>
      </x:c>
      <x:c r="Y62" s="38" t="n">
        <x:v>4273023.45</x:v>
      </x:c>
      <x:c r="Z62" s="38" t="n">
        <x:v>7608013.667</x:v>
      </x:c>
      <x:c r="AA62" s="23" t="n">
        <x:v>1.660183</x:v>
      </x:c>
      <x:c r="AB62" s="23" t="n">
        <x:v>0.58946</x:v>
      </x:c>
      <x:c r="AC62" s="23" t="n">
        <x:v>61.008934</x:v>
      </x:c>
      <x:c r="AD62" s="23" t="n">
        <x:v>3.476129</x:v>
      </x:c>
      <x:c r="AE62" s="23" t="n">
        <x:v>3.006336</x:v>
      </x:c>
      <x:c r="AF62" s="23" t="n">
        <x:v>3.139148</x:v>
      </x:c>
      <x:c r="AG62" s="23" t="n">
        <x:v>69.900002</x:v>
      </x:c>
      <x:c r="AH62" s="23" t="n">
        <x:v>84.5</x:v>
      </x:c>
      <x:c r="AI62" s="23" t="n">
        <x:v>85.5</x:v>
      </x:c>
      <x:c r="AJ62" s="23" t="n">
        <x:v>43.5</x:v>
      </x:c>
      <x:c r="AK62" s="23" t="n">
        <x:v>-46.133959</x:v>
      </x:c>
      <x:c r="AL62" s="11" t="str">
        <x:v>{"market":"恒生指数","marketSymbol":"^HSI","marketReturn20Pct":-2.977908,"marketReturn60Pct":-3.187903,"excess20Pct":15.366675,"excess60Pct":41.636469,"industryBenchmark":null,"industryExcess20Pct":null,"industryExcess60Pct":null,"industryMissingReason":"创新药/医药细分基准三年可核验数据未取得，行业相对强弱留空"}</x:v>
      </x:c>
      <x:c r="AM62" s="11" t="str">
        <x:v>5根Yahoo OHLC逻辑不一致，按腾讯同日完整bar修复，原字段及修复记录在历史文件</x:v>
      </x:c>
      <x:c r="AN62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https://query2.finance.yahoo.com/v8/finance/chart/2268.HK?range=3y&amp;interval=1d&amp;events=div%2Csplits
https://proxy.finance.qq.com/ifzqgtimg/appstock/app/fqkline/get?param=hk02268,day,2023-10-09,2026-10-09,1000,qfq</x:v>
      </x:c>
    </x:row>
    <x:row r="63" ht="23" customHeight="1">
      <x:c r="A63" s="11" t="str">
        <x:v>S057</x:v>
      </x:c>
      <x:c r="B63" s="11" t="str">
        <x:v>I006</x:v>
      </x:c>
      <x:c r="C63" s="11" t="str">
        <x:v>06821.HK</x:v>
      </x:c>
      <x:c r="D63" s="11" t="str">
        <x:v>凯莱英</x:v>
      </x:c>
      <x:c r="E63" s="11" t="str">
        <x:v>HKD</x:v>
      </x:c>
      <x:c r="F63" s="23" t="n">
        <x:v>155.1</x:v>
      </x:c>
      <x:c r="G63" s="23" t="str">
        <x:v>2026-10-09</x:v>
      </x:c>
      <x:c r="H63" s="23" t="n">
        <x:v>155.1</x:v>
      </x:c>
      <x:c r="I63" s="23" t="str">
        <x:v>2026-10-09</x:v>
      </x:c>
      <x:c r="J63" s="37" t="b">
        <x:v>1</x:v>
      </x:c>
      <x:c r="K63" s="23" t="n">
        <x:v>739</x:v>
      </x:c>
      <x:c r="L63" s="23" t="str">
        <x:v>Yahoo Finance chart</x:v>
      </x:c>
      <x:c r="M63" s="23" t="str">
        <x:v>high</x:v>
      </x:c>
      <x:c r="N63" s="23" t="str">
        <x:v>回调，仍高于60日线</x:v>
      </x:c>
      <x:c r="O63" s="23" t="n">
        <x:v>159.295</x:v>
      </x:c>
      <x:c r="P63" s="23" t="n">
        <x:v>134.871667</x:v>
      </x:c>
      <x:c r="Q63" s="23" t="n">
        <x:v>117.784964</x:v>
      </x:c>
      <x:c r="R63" s="23" t="n">
        <x:v>99.320029</x:v>
      </x:c>
      <x:c r="S63" s="23" t="n">
        <x:v>4.500279</x:v>
      </x:c>
      <x:c r="T63" s="23" t="n">
        <x:v>2.377157</x:v>
      </x:c>
      <x:c r="U63" s="23" t="n">
        <x:v>12.30992</x:v>
      </x:c>
      <x:c r="V63" s="23" t="n">
        <x:v>20.512828</x:v>
      </x:c>
      <x:c r="W63" s="38" t="n">
        <x:v>1206454</x:v>
      </x:c>
      <x:c r="X63" s="38" t="n">
        <x:v>419021.6</x:v>
      </x:c>
      <x:c r="Y63" s="38" t="n">
        <x:v>806379</x:v>
      </x:c>
      <x:c r="Z63" s="38" t="n">
        <x:v>1052329.217</x:v>
      </x:c>
      <x:c r="AA63" s="23" t="n">
        <x:v>1.576299</x:v>
      </x:c>
      <x:c r="AB63" s="23" t="n">
        <x:v>1.527721</x:v>
      </x:c>
      <x:c r="AC63" s="23" t="n">
        <x:v>51.574025</x:v>
      </x:c>
      <x:c r="AD63" s="23" t="n">
        <x:v>11.291475</x:v>
      </x:c>
      <x:c r="AE63" s="23" t="n">
        <x:v>7.248404</x:v>
      </x:c>
      <x:c r="AF63" s="23" t="n">
        <x:v>8.519603</x:v>
      </x:c>
      <x:c r="AG63" s="23" t="n">
        <x:v>130.899994</x:v>
      </x:c>
      <x:c r="AH63" s="23" t="n">
        <x:v>178</x:v>
      </x:c>
      <x:c r="AI63" s="23" t="n">
        <x:v>178</x:v>
      </x:c>
      <x:c r="AJ63" s="23" t="n">
        <x:v>68.254974</x:v>
      </x:c>
      <x:c r="AK63" s="23" t="n">
        <x:v>-29.48207</x:v>
      </x:c>
      <x:c r="AL63" s="11" t="str">
        <x:v>{"market":"恒生指数","marketSymbol":"^HSI","marketReturn20Pct":-2.977908,"marketReturn60Pct":-3.187903,"excess20Pct":15.287828,"excess60Pct":23.700731,"industryBenchmark":null,"industryExcess20Pct":null,"industryExcess60Pct":null,"industryMissingReason":"创新药/医药细分基准三年可核验数据未取得，行业相对强弱留空"}</x:v>
      </x:c>
      <x:c r="AM63" s="11" t="str">
        <x:v>9根Yahoo OHLC逻辑不一致，按腾讯同日完整bar修复，原字段及修复记录在历史文件</x:v>
      </x:c>
      <x:c r="AN63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https://query2.finance.yahoo.com/v8/finance/chart/6821.HK?range=3y&amp;interval=1d&amp;events=div%2Csplits
https://proxy.finance.qq.com/ifzqgtimg/appstock/app/fqkline/get?param=hk06821,day,2023-10-09,2026-10-09,1000,qfq</x:v>
      </x:c>
    </x:row>
    <x:row r="64" ht="23" customHeight="1">
      <x:c r="A64" s="11" t="str">
        <x:v>S058</x:v>
      </x:c>
      <x:c r="B64" s="11" t="str">
        <x:v>I050</x:v>
      </x:c>
      <x:c r="C64" s="11" t="str">
        <x:v>00867.HK</x:v>
      </x:c>
      <x:c r="D64" s="11" t="str">
        <x:v>康哲药业</x:v>
      </x:c>
      <x:c r="E64" s="11" t="str">
        <x:v>HKD</x:v>
      </x:c>
      <x:c r="F64" s="23" t="n">
        <x:v>10.54</x:v>
      </x:c>
      <x:c r="G64" s="23" t="str">
        <x:v>2026-10-09</x:v>
      </x:c>
      <x:c r="H64" s="23" t="n">
        <x:v>10.54</x:v>
      </x:c>
      <x:c r="I64" s="23" t="str">
        <x:v>2026-10-09</x:v>
      </x:c>
      <x:c r="J64" s="37" t="b">
        <x:v>1</x:v>
      </x:c>
      <x:c r="K64" s="23" t="n">
        <x:v>739</x:v>
      </x:c>
      <x:c r="L64" s="23" t="str">
        <x:v>Yahoo Finance chart</x:v>
      </x:c>
      <x:c r="M64" s="23" t="str">
        <x:v>high</x:v>
      </x:c>
      <x:c r="N64" s="23" t="str">
        <x:v>中短期下降</x:v>
      </x:c>
      <x:c r="O64" s="23" t="n">
        <x:v>10.748</x:v>
      </x:c>
      <x:c r="P64" s="23" t="n">
        <x:v>11.306663</x:v>
      </x:c>
      <x:c r="Q64" s="23" t="n">
        <x:v>11.335849</x:v>
      </x:c>
      <x:c r="R64" s="23" t="n">
        <x:v>12.40456</x:v>
      </x:c>
      <x:c r="S64" s="23" t="n">
        <x:v>-0.985721</x:v>
      </x:c>
      <x:c r="T64" s="23" t="n">
        <x:v>-1.145972</x:v>
      </x:c>
      <x:c r="U64" s="23" t="n">
        <x:v>-3.125</x:v>
      </x:c>
      <x:c r="V64" s="23" t="n">
        <x:v>-14.952696</x:v>
      </x:c>
      <x:c r="W64" s="38" t="n">
        <x:v>4185000</x:v>
      </x:c>
      <x:c r="X64" s="38" t="n">
        <x:v>2334473.2</x:v>
      </x:c>
      <x:c r="Y64" s="38" t="n">
        <x:v>4854711.8</x:v>
      </x:c>
      <x:c r="Z64" s="38" t="n">
        <x:v>5760854.867</x:v>
      </x:c>
      <x:c r="AA64" s="23" t="n">
        <x:v>0.808163</x:v>
      </x:c>
      <x:c r="AB64" s="23" t="n">
        <x:v>0.838108</x:v>
      </x:c>
      <x:c r="AC64" s="23" t="n">
        <x:v>42.576584</x:v>
      </x:c>
      <x:c r="AD64" s="23" t="n">
        <x:v>0.452929</x:v>
      </x:c>
      <x:c r="AE64" s="23" t="n">
        <x:v>-0.173998</x:v>
      </x:c>
      <x:c r="AF64" s="23" t="n">
        <x:v>-0.181277</x:v>
      </x:c>
      <x:c r="AG64" s="23" t="n">
        <x:v>10.11</x:v>
      </x:c>
      <x:c r="AH64" s="23" t="n">
        <x:v>11.47</x:v>
      </x:c>
      <x:c r="AI64" s="23" t="n">
        <x:v>15.088184</x:v>
      </x:c>
      <x:c r="AJ64" s="23" t="n">
        <x:v>9.353841</x:v>
      </x:c>
      <x:c r="AK64" s="23" t="n">
        <x:v>-34.932186</x:v>
      </x:c>
      <x:c r="AL64" s="11" t="str">
        <x:v>{"market":"恒生指数","marketSymbol":"^HSI","marketReturn20Pct":-2.977908,"marketReturn60Pct":-3.187903,"excess20Pct":-0.147092,"excess60Pct":-11.764793,"industryBenchmark":null,"industryExcess20Pct":null,"industryExcess60Pct":null,"industryBenchmarkId":null,"industryMissingReason":"综合药企不适用恒生科技；专属医药行业指数尚待核验"}</x:v>
      </x:c>
      <x:c r="AM64" s="11" t="str">
        <x:v>1根Yahoo OHLC逻辑不一致，按腾讯同日完整bar修复，原字段及修复记录在历史文件；近60日复权口径有超过1%的跨源差异，可能与分红复权算法或数据修订有关</x:v>
      </x:c>
      <x:c r="AN64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https://query2.finance.yahoo.com/v8/finance/chart/0867.HK?range=3y&amp;interval=1d&amp;events=div%2Csplits
https://proxy.finance.qq.com/ifzqgtimg/appstock/app/fqkline/get?param=hk00867,day,2023-10-09,2026-10-09,1000,qfq</x:v>
      </x:c>
    </x:row>
    <x:row r="65" ht="23" customHeight="1">
      <x:c r="A65" s="11" t="str">
        <x:v>S059</x:v>
      </x:c>
      <x:c r="B65" s="11" t="str">
        <x:v>I051</x:v>
      </x:c>
      <x:c r="C65" s="11" t="str">
        <x:v>09995.HK</x:v>
      </x:c>
      <x:c r="D65" s="11" t="str">
        <x:v>荣昌生物</x:v>
      </x:c>
      <x:c r="E65" s="11" t="str">
        <x:v>HKD</x:v>
      </x:c>
      <x:c r="F65" s="23" t="n">
        <x:v>70.4</x:v>
      </x:c>
      <x:c r="G65" s="23" t="str">
        <x:v>2026-10-09</x:v>
      </x:c>
      <x:c r="H65" s="23" t="n">
        <x:v>70.4</x:v>
      </x:c>
      <x:c r="I65" s="23" t="str">
        <x:v>2026-10-09</x:v>
      </x:c>
      <x:c r="J65" s="37" t="b">
        <x:v>1</x:v>
      </x:c>
      <x:c r="K65" s="23" t="n">
        <x:v>739</x:v>
      </x:c>
      <x:c r="L65" s="23" t="str">
        <x:v>Yahoo Finance chart</x:v>
      </x:c>
      <x:c r="M65" s="23" t="str">
        <x:v>high</x:v>
      </x:c>
      <x:c r="N65" s="23" t="str">
        <x:v>中短期下降</x:v>
      </x:c>
      <x:c r="O65" s="23" t="n">
        <x:v>74.3625</x:v>
      </x:c>
      <x:c r="P65" s="23" t="n">
        <x:v>78.8575</x:v>
      </x:c>
      <x:c r="Q65" s="23" t="n">
        <x:v>81.91</x:v>
      </x:c>
      <x:c r="R65" s="23" t="n">
        <x:v>85.375</x:v>
      </x:c>
      <x:c r="S65" s="23" t="n">
        <x:v>-1.922316</x:v>
      </x:c>
      <x:c r="T65" s="23" t="n">
        <x:v>-1.255322</x:v>
      </x:c>
      <x:c r="U65" s="23" t="n">
        <x:v>-5.376344</x:v>
      </x:c>
      <x:c r="V65" s="23" t="n">
        <x:v>-17.176468</x:v>
      </x:c>
      <x:c r="W65" s="38" t="n">
        <x:v>1796000</x:v>
      </x:c>
      <x:c r="X65" s="38" t="n">
        <x:v>1139878</x:v>
      </x:c>
      <x:c r="Y65" s="38" t="n">
        <x:v>2090617.3</x:v>
      </x:c>
      <x:c r="Z65" s="38" t="n">
        <x:v>2998709.333</x:v>
      </x:c>
      <x:c r="AA65" s="23" t="n">
        <x:v>0.850418</x:v>
      </x:c>
      <x:c r="AB65" s="23" t="n">
        <x:v>0.986032</x:v>
      </x:c>
      <x:c r="AC65" s="23" t="n">
        <x:v>40.518387</x:v>
      </x:c>
      <x:c r="AD65" s="23" t="n">
        <x:v>3.651656</x:v>
      </x:c>
      <x:c r="AE65" s="23" t="n">
        <x:v>-1.868797</x:v>
      </x:c>
      <x:c r="AF65" s="23" t="n">
        <x:v>-1.551365</x:v>
      </x:c>
      <x:c r="AG65" s="23" t="n">
        <x:v>68</x:v>
      </x:c>
      <x:c r="AH65" s="23" t="n">
        <x:v>81.199997</x:v>
      </x:c>
      <x:c r="AI65" s="23" t="n">
        <x:v>126.599998</x:v>
      </x:c>
      <x:c r="AJ65" s="23" t="n">
        <x:v>63.299999</x:v>
      </x:c>
      <x:c r="AK65" s="23" t="n">
        <x:v>-46.6</x:v>
      </x:c>
      <x:c r="AL65" s="11" t="str">
        <x:v>{"market":"恒生指数","marketSymbol":"^HSI","marketReturn20Pct":-2.977908,"marketReturn60Pct":-3.187903,"excess20Pct":-2.398436,"excess60Pct":-13.988565,"industryBenchmark":"国证港股通创新药987018（粗粒度参考，非每公司专属行业）","industryExcess20Pct":-6.257082,"industryExcess60Pct":-13.953476,"industryMissingReason":null,"industryBenchmarkId":"S021","industryBenchmarkQuality":"官方单来源指数；价回报非含分红，量禁用"}</x:v>
      </x:c>
      <x:c r="AM65" s="11" t="str">
        <x:v>3根Yahoo OHLC逻辑不一致，按腾讯同日完整bar修复，原字段及修复记录在历史文件</x:v>
      </x:c>
      <x:c r="AN65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https://query2.finance.yahoo.com/v8/finance/chart/9995.HK?range=3y&amp;interval=1d&amp;events=div%2Csplits
https://proxy.finance.qq.com/ifzqgtimg/appstock/app/fqkline/get?param=hk09995,day,2023-10-09,2026-10-09,1000,qfq</x:v>
      </x:c>
    </x:row>
    <x:row r="66" ht="23" customHeight="1">
      <x:c r="A66" s="11" t="str">
        <x:v>S060</x:v>
      </x:c>
      <x:c r="B66" s="11" t="str">
        <x:v>I052</x:v>
      </x:c>
      <x:c r="C66" s="11" t="str">
        <x:v>09926.HK</x:v>
      </x:c>
      <x:c r="D66" s="11" t="str">
        <x:v>康方生物</x:v>
      </x:c>
      <x:c r="E66" s="11" t="str">
        <x:v>HKD</x:v>
      </x:c>
      <x:c r="F66" s="23" t="n">
        <x:v>109.1</x:v>
      </x:c>
      <x:c r="G66" s="23" t="str">
        <x:v>2026-10-09</x:v>
      </x:c>
      <x:c r="H66" s="23" t="n">
        <x:v>109.1</x:v>
      </x:c>
      <x:c r="I66" s="23" t="str">
        <x:v>2026-10-09</x:v>
      </x:c>
      <x:c r="J66" s="37" t="b">
        <x:v>1</x:v>
      </x:c>
      <x:c r="K66" s="23" t="n">
        <x:v>739</x:v>
      </x:c>
      <x:c r="L66" s="23" t="str">
        <x:v>Yahoo Finance chart</x:v>
      </x:c>
      <x:c r="M66" s="23" t="str">
        <x:v>high</x:v>
      </x:c>
      <x:c r="N66" s="23" t="str">
        <x:v>中短期上升</x:v>
      </x:c>
      <x:c r="O66" s="23" t="n">
        <x:v>99.3675</x:v>
      </x:c>
      <x:c r="P66" s="23" t="n">
        <x:v>96.395833</x:v>
      </x:c>
      <x:c r="Q66" s="23" t="n">
        <x:v>103.00875</x:v>
      </x:c>
      <x:c r="R66" s="23" t="n">
        <x:v>110.6964</x:v>
      </x:c>
      <x:c r="S66" s="23" t="n">
        <x:v>3.030224</x:v>
      </x:c>
      <x:c r="T66" s="23" t="n">
        <x:v>0.816643</x:v>
      </x:c>
      <x:c r="U66" s="23" t="n">
        <x:v>16.559829</x:v>
      </x:c>
      <x:c r="V66" s="23" t="n">
        <x:v>7.170918</x:v>
      </x:c>
      <x:c r="W66" s="38" t="n">
        <x:v>10619957</x:v>
      </x:c>
      <x:c r="X66" s="38" t="n">
        <x:v>6134223</x:v>
      </x:c>
      <x:c r="Y66" s="38" t="n">
        <x:v>10104513.55</x:v>
      </x:c>
      <x:c r="Z66" s="38" t="n">
        <x:v>10996142.633</x:v>
      </x:c>
      <x:c r="AA66" s="23" t="n">
        <x:v>1.069367</x:v>
      </x:c>
      <x:c r="AB66" s="23" t="n">
        <x:v>1.278857</x:v>
      </x:c>
      <x:c r="AC66" s="23" t="n">
        <x:v>60.271985</x:v>
      </x:c>
      <x:c r="AD66" s="23" t="n">
        <x:v>5.566652</x:v>
      </x:c>
      <x:c r="AE66" s="23" t="n">
        <x:v>3.873514</x:v>
      </x:c>
      <x:c r="AF66" s="23" t="n">
        <x:v>2.706642</x:v>
      </x:c>
      <x:c r="AG66" s="23" t="n">
        <x:v>89.849998</x:v>
      </x:c>
      <x:c r="AH66" s="23" t="n">
        <x:v>111.5</x:v>
      </x:c>
      <x:c r="AI66" s="23" t="n">
        <x:v>156</x:v>
      </x:c>
      <x:c r="AJ66" s="23" t="n">
        <x:v>80.199997</x:v>
      </x:c>
      <x:c r="AK66" s="23" t="n">
        <x:v>-45.066227</x:v>
      </x:c>
      <x:c r="AL66" s="11" t="str">
        <x:v>{"market":"恒生指数","marketSymbol":"^HSI","marketReturn20Pct":-2.977908,"marketReturn60Pct":-3.187903,"excess20Pct":19.537737,"excess60Pct":10.358821,"industryBenchmark":"国证港股通创新药987018（粗粒度参考，非每公司专属行业）","industryExcess20Pct":15.679091,"industryExcess60Pct":10.39391,"industryMissingReason":null,"industryBenchmarkId":"S021","industryBenchmarkQuality":"官方单来源指数；价回报非含分红，量禁用"}</x:v>
      </x:c>
      <x:c r="AM66" s="11" t="str"/>
      <x:c r="AN66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https://query2.finance.yahoo.com/v8/finance/chart/9926.HK?range=3y&amp;interval=1d&amp;events=div%2Csplits
https://proxy.finance.qq.com/ifzqgtimg/appstock/app/fqkline/get?param=hk09926,day,2023-10-09,2026-10-09,1000,qfq</x:v>
      </x:c>
    </x:row>
    <x:row r="67" ht="23" customHeight="1">
      <x:c r="A67" s="11" t="str">
        <x:v>S061</x:v>
      </x:c>
      <x:c r="B67" s="11" t="str">
        <x:v>I053</x:v>
      </x:c>
      <x:c r="C67" s="11" t="str">
        <x:v>01763.HK</x:v>
      </x:c>
      <x:c r="D67" s="11" t="str">
        <x:v>中国同辐</x:v>
      </x:c>
      <x:c r="E67" s="11" t="str">
        <x:v>HKD</x:v>
      </x:c>
      <x:c r="F67" s="23" t="n">
        <x:v>12.53</x:v>
      </x:c>
      <x:c r="G67" s="23" t="str">
        <x:v>2026-10-09</x:v>
      </x:c>
      <x:c r="H67" s="23" t="n">
        <x:v>12.53</x:v>
      </x:c>
      <x:c r="I67" s="23" t="str">
        <x:v>2026-10-09</x:v>
      </x:c>
      <x:c r="J67" s="37" t="b">
        <x:v>1</x:v>
      </x:c>
      <x:c r="K67" s="23" t="n">
        <x:v>739</x:v>
      </x:c>
      <x:c r="L67" s="23" t="str">
        <x:v>Yahoo Finance chart</x:v>
      </x:c>
      <x:c r="M67" s="23" t="str">
        <x:v>high</x:v>
      </x:c>
      <x:c r="N67" s="23" t="str">
        <x:v>中短期下降</x:v>
      </x:c>
      <x:c r="O67" s="23" t="n">
        <x:v>13.552</x:v>
      </x:c>
      <x:c r="P67" s="23" t="n">
        <x:v>15.4845</x:v>
      </x:c>
      <x:c r="Q67" s="23" t="n">
        <x:v>16.764079</x:v>
      </x:c>
      <x:c r="R67" s="23" t="n">
        <x:v>18.601261</x:v>
      </x:c>
      <x:c r="S67" s="23" t="n">
        <x:v>-2.303284</x:v>
      </x:c>
      <x:c r="T67" s="23" t="n">
        <x:v>-2.069147</x:v>
      </x:c>
      <x:c r="U67" s="23" t="n">
        <x:v>-7.116383</x:v>
      </x:c>
      <x:c r="V67" s="23" t="n">
        <x:v>-28.766345</x:v>
      </x:c>
      <x:c r="W67" s="38" t="n">
        <x:v>107600</x:v>
      </x:c>
      <x:c r="X67" s="38" t="n">
        <x:v>71840</x:v>
      </x:c>
      <x:c r="Y67" s="38" t="n">
        <x:v>72470</x:v>
      </x:c>
      <x:c r="Z67" s="38" t="n">
        <x:v>95113.333</x:v>
      </x:c>
      <x:c r="AA67" s="23" t="n">
        <x:v>1.212394</x:v>
      </x:c>
      <x:c r="AB67" s="23" t="n">
        <x:v>0.784536</x:v>
      </x:c>
      <x:c r="AC67" s="23" t="n">
        <x:v>25.593517</x:v>
      </x:c>
      <x:c r="AD67" s="23" t="n">
        <x:v>0.572602</x:v>
      </x:c>
      <x:c r="AE67" s="23" t="n">
        <x:v>-0.650156</x:v>
      </x:c>
      <x:c r="AF67" s="23" t="n">
        <x:v>-0.646066</x:v>
      </x:c>
      <x:c r="AG67" s="23" t="n">
        <x:v>12.48</x:v>
      </x:c>
      <x:c r="AH67" s="23" t="n">
        <x:v>14.43</x:v>
      </x:c>
      <x:c r="AI67" s="23" t="n">
        <x:v>24.653724</x:v>
      </x:c>
      <x:c r="AJ67" s="23" t="n">
        <x:v>12.48</x:v>
      </x:c>
      <x:c r="AK67" s="23" t="n">
        <x:v>-47.926266</x:v>
      </x:c>
      <x:c r="AL67" s="11" t="str">
        <x:v>{"market":"恒生指数","marketSymbol":"^HSI","marketReturn20Pct":-2.977908,"marketReturn60Pct":-3.187903,"excess20Pct":-4.138475,"excess60Pct":-25.578442,"industryBenchmark":null,"industryExcess20Pct":null,"industryExcess60Pct":null,"industryMissingReason":"创新药/医药细分基准三年可核验数据未取得，行业相对强弱留空"}</x:v>
      </x:c>
      <x:c r="AM67" s="11" t="str">
        <x:v>9根Yahoo OHLC逻辑不一致，按腾讯同日完整bar修复，原字段及修复记录在历史文件</x:v>
      </x:c>
      <x:c r="AN67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https://query2.finance.yahoo.com/v8/finance/chart/1763.HK?range=3y&amp;interval=1d&amp;events=div%2Csplits
https://proxy.finance.qq.com/ifzqgtimg/appstock/app/fqkline/get?param=hk01763,day,2023-10-09,2026-10-09,1000,qfq</x:v>
      </x:c>
    </x:row>
    <x:row r="68" ht="23" customHeight="1">
      <x:c r="A68" s="11" t="str">
        <x:v>S062</x:v>
      </x:c>
      <x:c r="B68" s="11"/>
      <x:c r="C68" s="11" t="str">
        <x:v>03442.HK</x:v>
      </x:c>
      <x:c r="D68" s="11" t="str">
        <x:v>南方港美科技</x:v>
      </x:c>
      <x:c r="E68" s="11" t="str">
        <x:v>HKD</x:v>
      </x:c>
      <x:c r="F68" s="23" t="n">
        <x:v>7.785</x:v>
      </x:c>
      <x:c r="G68" s="23" t="str">
        <x:v>2026-10-09</x:v>
      </x:c>
      <x:c r="H68" s="23" t="n">
        <x:v>7.785</x:v>
      </x:c>
      <x:c r="I68" s="23" t="str">
        <x:v>2026-10-09</x:v>
      </x:c>
      <x:c r="J68" s="37" t="b">
        <x:v>1</x:v>
      </x:c>
      <x:c r="K68" s="23" t="n">
        <x:v>376</x:v>
      </x:c>
      <x:c r="L68" s="23" t="str">
        <x:v>Yahoo Finance chart + Tencent latest complete OHLC</x:v>
      </x:c>
      <x:c r="M68" s="23" t="str">
        <x:v>high</x:v>
      </x:c>
      <x:c r="N68" s="23" t="str">
        <x:v>中短期下降</x:v>
      </x:c>
      <x:c r="O68" s="23" t="n">
        <x:v>7.80675</x:v>
      </x:c>
      <x:c r="P68" s="23" t="n">
        <x:v>7.937083</x:v>
      </x:c>
      <x:c r="Q68" s="23" t="n">
        <x:v>8.049958</x:v>
      </x:c>
      <x:c r="R68" s="23" t="n">
        <x:v>8.46462</x:v>
      </x:c>
      <x:c r="S68" s="23" t="n">
        <x:v>-0.363741</x:v>
      </x:c>
      <x:c r="T68" s="23" t="n">
        <x:v>-0.312945</x:v>
      </x:c>
      <x:c r="U68" s="23" t="n">
        <x:v>0.581395</x:v>
      </x:c>
      <x:c r="V68" s="23" t="n">
        <x:v>-5.579139</x:v>
      </x:c>
      <x:c r="W68" s="38" t="n">
        <x:v>268400</x:v>
      </x:c>
      <x:c r="X68" s="38" t="n">
        <x:v>69620</x:v>
      </x:c>
      <x:c r="Y68" s="38" t="n">
        <x:v>531240</x:v>
      </x:c>
      <x:c r="Z68" s="38" t="n">
        <x:v>330596.667</x:v>
      </x:c>
      <x:c r="AA68" s="23" t="n">
        <x:v>0.50968</x:v>
      </x:c>
      <x:c r="AB68" s="23" t="n">
        <x:v>10.701626</x:v>
      </x:c>
      <x:c r="AC68" s="23" t="n">
        <x:v>47.418005</x:v>
      </x:c>
      <x:c r="AD68" s="23" t="n">
        <x:v>0.106407</x:v>
      </x:c>
      <x:c r="AE68" s="23" t="n">
        <x:v>-0.046367</x:v>
      </x:c>
      <x:c r="AF68" s="23" t="n">
        <x:v>-0.043894</x:v>
      </x:c>
      <x:c r="AG68" s="23" t="n">
        <x:v>7.64</x:v>
      </x:c>
      <x:c r="AH68" s="23" t="n">
        <x:v>8.115</x:v>
      </x:c>
      <x:c r="AI68" s="23" t="n">
        <x:v>10.05</x:v>
      </x:c>
      <x:c r="AJ68" s="23" t="n">
        <x:v>7.245</x:v>
      </x:c>
      <x:c r="AK68" s="23" t="n">
        <x:v>-27.512438</x:v>
      </x:c>
      <x:c r="AL68" s="11" t="str">
        <x:v>{"market":"恒生指数","marketSymbol":"^HSI","marketReturn20Pct":-2.977908,"marketReturn60Pct":-3.187903,"excess20Pct":3.559303,"excess60Pct":-2.391236,"industryBenchmark":null,"industryExcess20Pct":null,"industryExcess60Pct":null}</x:v>
      </x:c>
      <x:c r="AM68" s="11" t="str">
        <x:v>Yahoo最新完整OHLC缺失，追加腾讯完整最新bar；最新成交量用独立Sina/Yahoo metadata股数核验；24根Yahoo OHLC逻辑不一致，按腾讯同日完整bar修复，原字段及修复记录在历史文件</x:v>
      </x:c>
      <x:c r="AN68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https://query2.finance.yahoo.com/v8/finance/chart/3442.HK?range=3y&amp;interval=1d&amp;events=div%2Csplits
https://proxy.finance.qq.com/ifzqgtimg/appstock/app/fqkline/get?param=hk03442,day,2023-10-09,2026-10-09,1000,qfq</x:v>
      </x:c>
    </x:row>
    <x:row r="69" ht="23" customHeight="1">
      <x:c r="A69" s="11" t="str">
        <x:v>S063</x:v>
      </x:c>
      <x:c r="B69" s="11"/>
      <x:c r="C69" s="11" t="str">
        <x:v>07709.HK</x:v>
      </x:c>
      <x:c r="D69" s="11" t="str">
        <x:v>XL二南方海力士</x:v>
      </x:c>
      <x:c r="E69" s="11" t="str">
        <x:v>HKD</x:v>
      </x:c>
      <x:c r="F69" s="23" t="n">
        <x:v>35.4</x:v>
      </x:c>
      <x:c r="G69" s="23" t="str">
        <x:v>2026-10-09</x:v>
      </x:c>
      <x:c r="H69" s="23" t="n">
        <x:v>35.4</x:v>
      </x:c>
      <x:c r="I69" s="23" t="str">
        <x:v>2026-10-09</x:v>
      </x:c>
      <x:c r="J69" s="37" t="b">
        <x:v>1</x:v>
      </x:c>
      <x:c r="K69" s="23" t="n">
        <x:v>225</x:v>
      </x:c>
      <x:c r="L69" s="23" t="str">
        <x:v>Yahoo Finance chart + Tencent latest complete OHLC</x:v>
      </x:c>
      <x:c r="M69" s="23" t="str">
        <x:v>medium</x:v>
      </x:c>
      <x:c r="N69" s="23" t="str">
        <x:v>中短期下降</x:v>
      </x:c>
      <x:c r="O69" s="23" t="n">
        <x:v>40.350999</x:v>
      </x:c>
      <x:c r="P69" s="23" t="n">
        <x:v>39.747</x:v>
      </x:c>
      <x:c r="Q69" s="23" t="n">
        <x:v>69.940416</x:v>
      </x:c>
      <x:c r="R69" s="23"/>
      <x:c r="S69" s="23" t="n">
        <x:v>-1.939295</x:v>
      </x:c>
      <x:c r="T69" s="23" t="n">
        <x:v>-5.98953</x:v>
      </x:c>
      <x:c r="U69" s="23" t="n">
        <x:v>-19.727888</x:v>
      </x:c>
      <x:c r="V69" s="23" t="n">
        <x:v>-37.322946</x:v>
      </x:c>
      <x:c r="W69" s="38" t="n">
        <x:v>40267065</x:v>
      </x:c>
      <x:c r="X69" s="38" t="n">
        <x:v>55401047</x:v>
      </x:c>
      <x:c r="Y69" s="38" t="n">
        <x:v>66714057</x:v>
      </x:c>
      <x:c r="Z69" s="38" t="n">
        <x:v>158268204.117</x:v>
      </x:c>
      <x:c r="AA69" s="23" t="n">
        <x:v>0.577927</x:v>
      </x:c>
      <x:c r="AB69" s="23" t="n">
        <x:v>0.891899</x:v>
      </x:c>
      <x:c r="AC69" s="23" t="n">
        <x:v>40.1653</x:v>
      </x:c>
      <x:c r="AD69" s="23" t="n">
        <x:v>3.403001</x:v>
      </x:c>
      <x:c r="AE69" s="23" t="n">
        <x:v>-1.108361</x:v>
      </x:c>
      <x:c r="AF69" s="23" t="n">
        <x:v>-0.566498</x:v>
      </x:c>
      <x:c r="AG69" s="23" t="n">
        <x:v>33.3</x:v>
      </x:c>
      <x:c r="AH69" s="23" t="n">
        <x:v>47</x:v>
      </x:c>
      <x:c r="AI69" s="23" t="n">
        <x:v>193.649994</x:v>
      </x:c>
      <x:c r="AJ69" s="23" t="n">
        <x:v>10.31</x:v>
      </x:c>
      <x:c r="AK69" s="23" t="n">
        <x:v>-86.485477</x:v>
      </x:c>
      <x:c r="AL69" s="11" t="str">
        <x:v>{"market":"恒生指数","marketSymbol":"^HSI","marketReturn20Pct":-2.977908,"marketReturn60Pct":-3.187903,"excess20Pct":-16.74998,"excess60Pct":-34.135043,"industryBenchmark":null,"industryExcess20Pct":null,"industryExcess60Pct":null}</x:v>
      </x:c>
      <x:c r="AM69" s="11" t="str">
        <x:v>Yahoo最新完整OHLC缺失，追加腾讯完整最新bar；最新成交量用独立Sina/Yahoo metadata股数核验；真实历史仅225根日线，250日均线或一年统计不足</x:v>
      </x:c>
      <x:c r="AN69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https://query2.finance.yahoo.com/v8/finance/chart/7709.HK?range=3y&amp;interval=1d&amp;events=div%2Csplits
https://proxy.finance.qq.com/ifzqgtimg/appstock/app/fqkline/get?param=hk07709,day,2023-10-09,2026-10-09,1000,qfq</x:v>
      </x:c>
    </x:row>
    <x:row r="70" ht="23" customHeight="1">
      <x:c r="A70" s="11" t="str">
        <x:v>S064</x:v>
      </x:c>
      <x:c r="B70" s="11" t="str">
        <x:v>I054</x:v>
      </x:c>
      <x:c r="C70" s="11" t="str">
        <x:v>00100.HK</x:v>
      </x:c>
      <x:c r="D70" s="11" t="str">
        <x:v>MINIMAX-W</x:v>
      </x:c>
      <x:c r="E70" s="11" t="str">
        <x:v>HKD</x:v>
      </x:c>
      <x:c r="F70" s="23" t="n">
        <x:v>213</x:v>
      </x:c>
      <x:c r="G70" s="23" t="str">
        <x:v>2026-10-09</x:v>
      </x:c>
      <x:c r="H70" s="23" t="n">
        <x:v>213</x:v>
      </x:c>
      <x:c r="I70" s="23" t="str">
        <x:v>2026-10-09</x:v>
      </x:c>
      <x:c r="J70" s="37" t="b">
        <x:v>1</x:v>
      </x:c>
      <x:c r="K70" s="23" t="n">
        <x:v>185</x:v>
      </x:c>
      <x:c r="L70" s="23" t="str">
        <x:v>Yahoo Finance chart</x:v>
      </x:c>
      <x:c r="M70" s="23" t="str">
        <x:v>medium</x:v>
      </x:c>
      <x:c r="N70" s="23" t="str">
        <x:v>中短期下降</x:v>
      </x:c>
      <x:c r="O70" s="23" t="n">
        <x:v>255.239999</x:v>
      </x:c>
      <x:c r="P70" s="23" t="n">
        <x:v>277.383333</x:v>
      </x:c>
      <x:c r="Q70" s="23" t="n">
        <x:v>438.4275</x:v>
      </x:c>
      <x:c r="R70" s="23"/>
      <x:c r="S70" s="23" t="n">
        <x:v>-8.959909</x:v>
      </x:c>
      <x:c r="T70" s="23" t="n">
        <x:v>-0.502182</x:v>
      </x:c>
      <x:c r="U70" s="23" t="n">
        <x:v>-27.054795</x:v>
      </x:c>
      <x:c r="V70" s="23" t="n">
        <x:v>-16.796875</x:v>
      </x:c>
      <x:c r="W70" s="38" t="n">
        <x:v>10256810</x:v>
      </x:c>
      <x:c r="X70" s="38" t="n">
        <x:v>6115754.2</x:v>
      </x:c>
      <x:c r="Y70" s="38" t="n">
        <x:v>9479710.55</x:v>
      </x:c>
      <x:c r="Z70" s="38" t="n">
        <x:v>12366918.217</x:v>
      </x:c>
      <x:c r="AA70" s="23" t="n">
        <x:v>1.055587</x:v>
      </x:c>
      <x:c r="AB70" s="23" t="n">
        <x:v>0.703696</x:v>
      </x:c>
      <x:c r="AC70" s="23" t="n">
        <x:v>35.433322</x:v>
      </x:c>
      <x:c r="AD70" s="23" t="n">
        <x:v>25.453075</x:v>
      </x:c>
      <x:c r="AE70" s="23" t="n">
        <x:v>-20.747205</x:v>
      </x:c>
      <x:c r="AF70" s="23" t="n">
        <x:v>-16.445558</x:v>
      </x:c>
      <x:c r="AG70" s="23" t="n">
        <x:v>201.399994</x:v>
      </x:c>
      <x:c r="AH70" s="23" t="n">
        <x:v>320.399994</x:v>
      </x:c>
      <x:c r="AI70" s="23" t="n">
        <x:v>1330</x:v>
      </x:c>
      <x:c r="AJ70" s="23" t="n">
        <x:v>186.199997</x:v>
      </x:c>
      <x:c r="AK70" s="23" t="n">
        <x:v>-84.402261</x:v>
      </x:c>
      <x:c r="AL70" s="11" t="str">
        <x:v>{"market":"恒生指数","marketSymbol":"^HSI","marketReturn20Pct":-2.977908,"marketReturn60Pct":-3.187903,"excess20Pct":-24.076887,"excess60Pct":-13.608972,"industryBenchmark":"恒生科技（科技/互联网/硬件相关粗粒度参考，不代表专属行业）","industryExcess20Pct":-23.991631,"industryExcess60Pct":-3.628856}</x:v>
      </x:c>
      <x:c r="AM70" s="11" t="str">
        <x:v>真实历史仅185根日线，250日均线或一年统计不足</x:v>
      </x:c>
      <x:c r="AN70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https://query2.finance.yahoo.com/v8/finance/chart/0100.HK?range=3y&amp;interval=1d&amp;events=div%2Csplits
https://proxy.finance.qq.com/ifzqgtimg/appstock/app/fqkline/get?param=hk00100,day,2023-10-09,2026-10-09,1000,qfq</x:v>
      </x:c>
    </x:row>
    <x:row r="71" ht="23" customHeight="1">
      <x:c r="A71" s="11" t="str">
        <x:v>S065</x:v>
      </x:c>
      <x:c r="B71" s="11" t="str">
        <x:v>I055</x:v>
      </x:c>
      <x:c r="C71" s="11" t="str">
        <x:v>02513.HK</x:v>
      </x:c>
      <x:c r="D71" s="11" t="str">
        <x:v>智谱</x:v>
      </x:c>
      <x:c r="E71" s="11" t="str">
        <x:v>HKD</x:v>
      </x:c>
      <x:c r="F71" s="23" t="n">
        <x:v>641.5</x:v>
      </x:c>
      <x:c r="G71" s="23" t="str">
        <x:v>2026-10-09</x:v>
      </x:c>
      <x:c r="H71" s="23" t="n">
        <x:v>641.5</x:v>
      </x:c>
      <x:c r="I71" s="23" t="str">
        <x:v>2026-10-09</x:v>
      </x:c>
      <x:c r="J71" s="37" t="b">
        <x:v>1</x:v>
      </x:c>
      <x:c r="K71" s="23" t="n">
        <x:v>186</x:v>
      </x:c>
      <x:c r="L71" s="23" t="str">
        <x:v>Yahoo Finance chart</x:v>
      </x:c>
      <x:c r="M71" s="23" t="str">
        <x:v>medium</x:v>
      </x:c>
      <x:c r="N71" s="23" t="str">
        <x:v>中短期下降</x:v>
      </x:c>
      <x:c r="O71" s="23" t="n">
        <x:v>687.85</x:v>
      </x:c>
      <x:c r="P71" s="23" t="n">
        <x:v>957.025</x:v>
      </x:c>
      <x:c r="Q71" s="23" t="n">
        <x:v>1168.495833</x:v>
      </x:c>
      <x:c r="R71" s="23"/>
      <x:c r="S71" s="23" t="n">
        <x:v>-9.119736</x:v>
      </x:c>
      <x:c r="T71" s="23" t="n">
        <x:v>-7.683218</x:v>
      </x:c>
      <x:c r="U71" s="23" t="n">
        <x:v>-21.672772</x:v>
      </x:c>
      <x:c r="V71" s="23" t="n">
        <x:v>-58.559432</x:v>
      </x:c>
      <x:c r="W71" s="38" t="n">
        <x:v>5023731</x:v>
      </x:c>
      <x:c r="X71" s="38" t="n">
        <x:v>3166233.4</x:v>
      </x:c>
      <x:c r="Y71" s="38" t="n">
        <x:v>6482225.3</x:v>
      </x:c>
      <x:c r="Z71" s="38" t="n">
        <x:v>6690597.05</x:v>
      </x:c>
      <x:c r="AA71" s="23" t="n">
        <x:v>0.762173</x:v>
      </x:c>
      <x:c r="AB71" s="23" t="n">
        <x:v>0.779613</x:v>
      </x:c>
      <x:c r="AC71" s="23" t="n">
        <x:v>37.461891</x:v>
      </x:c>
      <x:c r="AD71" s="23" t="n">
        <x:v>72.884505</x:v>
      </x:c>
      <x:c r="AE71" s="23" t="n">
        <x:v>-85.496076</x:v>
      </x:c>
      <x:c r="AF71" s="23" t="n">
        <x:v>-100.42239</x:v>
      </x:c>
      <x:c r="AG71" s="23" t="n">
        <x:v>594</x:v>
      </x:c>
      <x:c r="AH71" s="23" t="n">
        <x:v>847.5</x:v>
      </x:c>
      <x:c r="AI71" s="23" t="n">
        <x:v>2980</x:v>
      </x:c>
      <x:c r="AJ71" s="23" t="n">
        <x:v>116.099998</x:v>
      </x:c>
      <x:c r="AK71" s="23" t="n">
        <x:v>-74.502075</x:v>
      </x:c>
      <x:c r="AL71" s="11" t="str">
        <x:v>{"market":"恒生指数","marketSymbol":"^HSI","marketReturn20Pct":-2.977908,"marketReturn60Pct":-3.187903,"excess20Pct":-18.694864,"excess60Pct":-55.371529,"industryBenchmark":"恒生科技（科技/互联网/硬件相关粗粒度参考，不代表专属行业）","industryExcess20Pct":-18.609608,"industryExcess60Pct":-45.391413}</x:v>
      </x:c>
      <x:c r="AM71" s="11" t="str">
        <x:v>真实历史仅186根日线，250日均线或一年统计不足</x:v>
      </x:c>
      <x:c r="AN71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https://query2.finance.yahoo.com/v8/finance/chart/2513.HK?range=3y&amp;interval=1d&amp;events=div%2Csplits
https://proxy.finance.qq.com/ifzqgtimg/appstock/app/fqkline/get?param=hk02513,day,2023-10-09,2026-10-09,1000,qfq</x:v>
      </x:c>
    </x:row>
    <x:row r="72" ht="23" customHeight="1">
      <x:c r="A72" s="11" t="str">
        <x:v>S066</x:v>
      </x:c>
      <x:c r="B72" s="11" t="str">
        <x:v>I056</x:v>
      </x:c>
      <x:c r="C72" s="11" t="str">
        <x:v>09992.HK</x:v>
      </x:c>
      <x:c r="D72" s="11" t="str">
        <x:v>泡泡玛特</x:v>
      </x:c>
      <x:c r="E72" s="11" t="str">
        <x:v>HKD</x:v>
      </x:c>
      <x:c r="F72" s="23" t="n">
        <x:v>152.3</x:v>
      </x:c>
      <x:c r="G72" s="23" t="str">
        <x:v>2026-10-09</x:v>
      </x:c>
      <x:c r="H72" s="23" t="n">
        <x:v>152.3</x:v>
      </x:c>
      <x:c r="I72" s="23" t="str">
        <x:v>2026-10-09</x:v>
      </x:c>
      <x:c r="J72" s="37" t="b">
        <x:v>1</x:v>
      </x:c>
      <x:c r="K72" s="23" t="n">
        <x:v>739</x:v>
      </x:c>
      <x:c r="L72" s="23" t="str">
        <x:v>Yahoo Finance chart</x:v>
      </x:c>
      <x:c r="M72" s="23" t="str">
        <x:v>high</x:v>
      </x:c>
      <x:c r="N72" s="23" t="str">
        <x:v>中短期下降</x:v>
      </x:c>
      <x:c r="O72" s="23" t="n">
        <x:v>152.570001</x:v>
      </x:c>
      <x:c r="P72" s="23" t="n">
        <x:v>155.586667</x:v>
      </x:c>
      <x:c r="Q72" s="23" t="n">
        <x:v>158.018575</x:v>
      </x:c>
      <x:c r="R72" s="23" t="n">
        <x:v>184.039446</x:v>
      </x:c>
      <x:c r="S72" s="23" t="n">
        <x:v>-0.583195</x:v>
      </x:c>
      <x:c r="T72" s="23" t="n">
        <x:v>-0.296913</x:v>
      </x:c>
      <x:c r="U72" s="23" t="n">
        <x:v>-0.261948</x:v>
      </x:c>
      <x:c r="V72" s="23" t="n">
        <x:v>-9.399169</x:v>
      </x:c>
      <x:c r="W72" s="38" t="n">
        <x:v>4224829</x:v>
      </x:c>
      <x:c r="X72" s="38" t="n">
        <x:v>3846907</x:v>
      </x:c>
      <x:c r="Y72" s="38" t="n">
        <x:v>4173940.05</x:v>
      </x:c>
      <x:c r="Z72" s="38" t="n">
        <x:v>8276086.617</x:v>
      </x:c>
      <x:c r="AA72" s="23" t="n">
        <x:v>0.989141</x:v>
      </x:c>
      <x:c r="AB72" s="23" t="n">
        <x:v>1.423899</x:v>
      </x:c>
      <x:c r="AC72" s="23" t="n">
        <x:v>47.926403</x:v>
      </x:c>
      <x:c r="AD72" s="23" t="n">
        <x:v>3.390223</x:v>
      </x:c>
      <x:c r="AE72" s="23" t="n">
        <x:v>-0.848528</x:v>
      </x:c>
      <x:c r="AF72" s="23" t="n">
        <x:v>-0.886274</x:v>
      </x:c>
      <x:c r="AG72" s="23" t="n">
        <x:v>147.5</x:v>
      </x:c>
      <x:c r="AH72" s="23" t="n">
        <x:v>156.699997</x:v>
      </x:c>
      <x:c r="AI72" s="23" t="n">
        <x:v>286.326457</x:v>
      </x:c>
      <x:c r="AJ72" s="23" t="n">
        <x:v>137.660735</x:v>
      </x:c>
      <x:c r="AK72" s="23" t="n">
        <x:v>-50.798055</x:v>
      </x:c>
      <x:c r="AL72" s="11" t="str">
        <x:v>{"market":"恒生指数","marketSymbol":"^HSI","marketReturn20Pct":-2.977908,"marketReturn60Pct":-3.187903,"excess20Pct":2.71596,"excess60Pct":-6.211266,"industryBenchmark":"恒生科技（科技/互联网/硬件相关粗粒度参考，不代表专属行业）","industryExcess20Pct":2.801216,"industryExcess60Pct":3.76885}</x:v>
      </x:c>
      <x:c r="AM72" s="11" t="str"/>
      <x:c r="AN72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https://query2.finance.yahoo.com/v8/finance/chart/9992.HK?range=3y&amp;interval=1d&amp;events=div%2Csplits
https://proxy.finance.qq.com/ifzqgtimg/appstock/app/fqkline/get?param=hk09992,day,2023-10-09,2026-10-09,1000,qfq</x:v>
      </x:c>
    </x:row>
    <x:row r="73" ht="23" customHeight="1">
      <x:c r="A73" s="11" t="str">
        <x:v>S067</x:v>
      </x:c>
      <x:c r="B73" s="11" t="str">
        <x:v>I057</x:v>
      </x:c>
      <x:c r="C73" s="11" t="str">
        <x:v>01811.HK</x:v>
      </x:c>
      <x:c r="D73" s="11" t="str">
        <x:v>中广核新能源</x:v>
      </x:c>
      <x:c r="E73" s="11" t="str">
        <x:v>HKD</x:v>
      </x:c>
      <x:c r="F73" s="23" t="n">
        <x:v>2.095</x:v>
      </x:c>
      <x:c r="G73" s="23" t="str">
        <x:v>2026-10-09</x:v>
      </x:c>
      <x:c r="H73" s="23" t="n">
        <x:v>2.095</x:v>
      </x:c>
      <x:c r="I73" s="23" t="str">
        <x:v>2026-10-09</x:v>
      </x:c>
      <x:c r="J73" s="37" t="b">
        <x:v>1</x:v>
      </x:c>
      <x:c r="K73" s="23" t="n">
        <x:v>739</x:v>
      </x:c>
      <x:c r="L73" s="23" t="str">
        <x:v>Yahoo Finance chart</x:v>
      </x:c>
      <x:c r="M73" s="23" t="str">
        <x:v>high</x:v>
      </x:c>
      <x:c r="N73" s="23" t="str">
        <x:v>短期反弹，仍低于60日线</x:v>
      </x:c>
      <x:c r="O73" s="23" t="n">
        <x:v>2.039845</x:v>
      </x:c>
      <x:c r="P73" s="23" t="n">
        <x:v>2.110373</x:v>
      </x:c>
      <x:c r="Q73" s="23" t="n">
        <x:v>2.263183</x:v>
      </x:c>
      <x:c r="R73" s="23" t="n">
        <x:v>2.394372</x:v>
      </x:c>
      <x:c r="S73" s="23" t="n">
        <x:v>-0.398373</x:v>
      </x:c>
      <x:c r="T73" s="23" t="n">
        <x:v>-0.42739</x:v>
      </x:c>
      <x:c r="U73" s="23" t="n">
        <x:v>-1.453038</x:v>
      </x:c>
      <x:c r="V73" s="23" t="n">
        <x:v>-4.941456</x:v>
      </x:c>
      <x:c r="W73" s="38" t="n">
        <x:v>4606000</x:v>
      </x:c>
      <x:c r="X73" s="38" t="n">
        <x:v>3704400</x:v>
      </x:c>
      <x:c r="Y73" s="38" t="n">
        <x:v>4452175.15</x:v>
      </x:c>
      <x:c r="Z73" s="38" t="n">
        <x:v>5055516.233</x:v>
      </x:c>
      <x:c r="AA73" s="23" t="n">
        <x:v>1.049161</x:v>
      </x:c>
      <x:c r="AB73" s="23" t="n">
        <x:v>1.235939</x:v>
      </x:c>
      <x:c r="AC73" s="23" t="n">
        <x:v>54.70645</x:v>
      </x:c>
      <x:c r="AD73" s="23" t="n">
        <x:v>0.063806</x:v>
      </x:c>
      <x:c r="AE73" s="23" t="n">
        <x:v>-0.005112</x:v>
      </x:c>
      <x:c r="AF73" s="23" t="n">
        <x:v>-0.019073</x:v>
      </x:c>
      <x:c r="AG73" s="23" t="n">
        <x:v>1.91</x:v>
      </x:c>
      <x:c r="AH73" s="23" t="n">
        <x:v>2.17</x:v>
      </x:c>
      <x:c r="AI73" s="23" t="n">
        <x:v>3.009761</x:v>
      </x:c>
      <x:c r="AJ73" s="23" t="n">
        <x:v>1.91</x:v>
      </x:c>
      <x:c r="AK73" s="23" t="n">
        <x:v>-34.93878</x:v>
      </x:c>
      <x:c r="AL73" s="11" t="str">
        <x:v>{"market":"恒生指数","marketSymbol":"^HSI","marketReturn20Pct":-2.977908,"marketReturn60Pct":-3.187903,"excess20Pct":1.52487,"excess60Pct":-1.753553,"industryBenchmark":"恒生科技（科技/互联网/硬件相关粗粒度参考，不代表专属行业）","industryExcess20Pct":1.610126,"industryExcess60Pct":8.226563}</x:v>
      </x:c>
      <x:c r="AM73" s="11" t="str">
        <x:v>8根Yahoo OHLC逻辑不一致，按腾讯同日完整bar修复，原字段及修复记录在历史文件；近60日复权口径有超过1%的跨源差异，可能与分红复权算法或数据修订有关</x:v>
      </x:c>
      <x:c r="AN73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https://query2.finance.yahoo.com/v8/finance/chart/1811.HK?range=3y&amp;interval=1d&amp;events=div%2Csplits
https://proxy.finance.qq.com/ifzqgtimg/appstock/app/fqkline/get?param=hk01811,day,2023-10-09,2026-10-09,1000,qfq</x:v>
      </x:c>
    </x:row>
    <x:row r="74" ht="23" customHeight="1">
      <x:c r="A74" s="11" t="str">
        <x:v>S068</x:v>
      </x:c>
      <x:c r="B74" s="11" t="str">
        <x:v>I058</x:v>
      </x:c>
      <x:c r="C74" s="11" t="str">
        <x:v>01797.HK</x:v>
      </x:c>
      <x:c r="D74" s="11" t="str">
        <x:v>东方甄选</x:v>
      </x:c>
      <x:c r="E74" s="11" t="str">
        <x:v>HKD</x:v>
      </x:c>
      <x:c r="F74" s="23" t="n">
        <x:v>26.52</x:v>
      </x:c>
      <x:c r="G74" s="23" t="str">
        <x:v>2026-10-09</x:v>
      </x:c>
      <x:c r="H74" s="23" t="n">
        <x:v>26.52</x:v>
      </x:c>
      <x:c r="I74" s="23" t="str">
        <x:v>2026-10-09</x:v>
      </x:c>
      <x:c r="J74" s="37" t="b">
        <x:v>1</x:v>
      </x:c>
      <x:c r="K74" s="23" t="n">
        <x:v>739</x:v>
      </x:c>
      <x:c r="L74" s="23" t="str">
        <x:v>Yahoo Finance chart</x:v>
      </x:c>
      <x:c r="M74" s="23" t="str">
        <x:v>high</x:v>
      </x:c>
      <x:c r="N74" s="23" t="str">
        <x:v>趋势交错/震荡</x:v>
      </x:c>
      <x:c r="O74" s="23" t="n">
        <x:v>25.745</x:v>
      </x:c>
      <x:c r="P74" s="23" t="n">
        <x:v>23.871167</x:v>
      </x:c>
      <x:c r="Q74" s="23" t="n">
        <x:v>23.756417</x:v>
      </x:c>
      <x:c r="R74" s="23" t="n">
        <x:v>23.57788</x:v>
      </x:c>
      <x:c r="S74" s="23" t="n">
        <x:v>-0.205443</x:v>
      </x:c>
      <x:c r="T74" s="23" t="n">
        <x:v>1.363047</x:v>
      </x:c>
      <x:c r="U74" s="23" t="n">
        <x:v>8.244898</x:v>
      </x:c>
      <x:c r="V74" s="23" t="n">
        <x:v>9.046053</x:v>
      </x:c>
      <x:c r="W74" s="38" t="n">
        <x:v>4746881</x:v>
      </x:c>
      <x:c r="X74" s="38" t="n">
        <x:v>2900616.2</x:v>
      </x:c>
      <x:c r="Y74" s="38" t="n">
        <x:v>5801207.65</x:v>
      </x:c>
      <x:c r="Z74" s="38" t="n">
        <x:v>9238083.233</x:v>
      </x:c>
      <x:c r="AA74" s="23" t="n">
        <x:v>0.809252</x:v>
      </x:c>
      <x:c r="AB74" s="23" t="n">
        <x:v>1.191518</x:v>
      </x:c>
      <x:c r="AC74" s="23" t="n">
        <x:v>56.932218</x:v>
      </x:c>
      <x:c r="AD74" s="23" t="n">
        <x:v>1.334782</x:v>
      </x:c>
      <x:c r="AE74" s="23" t="n">
        <x:v>0.364572</x:v>
      </x:c>
      <x:c r="AF74" s="23" t="n">
        <x:v>0.463437</x:v>
      </x:c>
      <x:c r="AG74" s="23" t="n">
        <x:v>23.4</x:v>
      </x:c>
      <x:c r="AH74" s="23" t="n">
        <x:v>27.74</x:v>
      </x:c>
      <x:c r="AI74" s="23" t="n">
        <x:v>33</x:v>
      </x:c>
      <x:c r="AJ74" s="23" t="n">
        <x:v>17.59</x:v>
      </x:c>
      <x:c r="AK74" s="23" t="n">
        <x:v>-39.336636</x:v>
      </x:c>
      <x:c r="AL74" s="11" t="str">
        <x:v>{"market":"恒生指数","marketSymbol":"^HSI","marketReturn20Pct":-2.977908,"marketReturn60Pct":-3.187903,"excess20Pct":11.222806,"excess60Pct":12.233956,"industryBenchmark":"恒生科技（科技/互联网/硬件相关粗粒度参考，不代表专属行业）","industryExcess20Pct":11.308062,"industryExcess60Pct":22.214072}</x:v>
      </x:c>
      <x:c r="AM74" s="11" t="str">
        <x:v>1根Yahoo OHLC逻辑不一致，按腾讯同日完整bar修复，原字段及修复记录在历史文件</x:v>
      </x:c>
      <x:c r="AN74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https://query2.finance.yahoo.com/v8/finance/chart/1797.HK?range=3y&amp;interval=1d&amp;events=div%2Csplits
https://proxy.finance.qq.com/ifzqgtimg/appstock/app/fqkline/get?param=hk01797,day,2023-10-09,2026-10-09,1000,qfq</x:v>
      </x:c>
    </x:row>
    <x:row r="75" ht="23" customHeight="1">
      <x:c r="A75" s="11" t="str">
        <x:v>S069</x:v>
      </x:c>
      <x:c r="B75" s="11" t="str">
        <x:v>I059</x:v>
      </x:c>
      <x:c r="C75" s="11" t="str">
        <x:v>09880.HK</x:v>
      </x:c>
      <x:c r="D75" s="11" t="str">
        <x:v>优必选</x:v>
      </x:c>
      <x:c r="E75" s="11" t="str">
        <x:v>HKD</x:v>
      </x:c>
      <x:c r="F75" s="23" t="n">
        <x:v>71.75</x:v>
      </x:c>
      <x:c r="G75" s="23" t="str">
        <x:v>2026-10-09</x:v>
      </x:c>
      <x:c r="H75" s="23" t="n">
        <x:v>71.75</x:v>
      </x:c>
      <x:c r="I75" s="23" t="str">
        <x:v>2026-10-09</x:v>
      </x:c>
      <x:c r="J75" s="37" t="b">
        <x:v>1</x:v>
      </x:c>
      <x:c r="K75" s="23" t="n">
        <x:v>683</x:v>
      </x:c>
      <x:c r="L75" s="23" t="str">
        <x:v>Yahoo Finance chart</x:v>
      </x:c>
      <x:c r="M75" s="23" t="str">
        <x:v>high</x:v>
      </x:c>
      <x:c r="N75" s="23" t="str">
        <x:v>中短期下降</x:v>
      </x:c>
      <x:c r="O75" s="23" t="n">
        <x:v>76.255</x:v>
      </x:c>
      <x:c r="P75" s="23" t="n">
        <x:v>81.713333</x:v>
      </x:c>
      <x:c r="Q75" s="23" t="n">
        <x:v>93.372917</x:v>
      </x:c>
      <x:c r="R75" s="23" t="n">
        <x:v>108.3868</x:v>
      </x:c>
      <x:c r="S75" s="23" t="n">
        <x:v>-3.57538</x:v>
      </x:c>
      <x:c r="T75" s="23" t="n">
        <x:v>-1.218947</x:v>
      </x:c>
      <x:c r="U75" s="23" t="n">
        <x:v>-10.980147</x:v>
      </x:c>
      <x:c r="V75" s="23" t="n">
        <x:v>-19.109355</x:v>
      </x:c>
      <x:c r="W75" s="38" t="n">
        <x:v>3997949</x:v>
      </x:c>
      <x:c r="X75" s="38" t="n">
        <x:v>2708321.2</x:v>
      </x:c>
      <x:c r="Y75" s="38" t="n">
        <x:v>3269006.9</x:v>
      </x:c>
      <x:c r="Z75" s="38" t="n">
        <x:v>4839355.067</x:v>
      </x:c>
      <x:c r="AA75" s="23" t="n">
        <x:v>1.206484</x:v>
      </x:c>
      <x:c r="AB75" s="23" t="n">
        <x:v>0.594162</x:v>
      </x:c>
      <x:c r="AC75" s="23" t="n">
        <x:v>38.093083</x:v>
      </x:c>
      <x:c r="AD75" s="23" t="n">
        <x:v>3.329988</x:v>
      </x:c>
      <x:c r="AE75" s="23" t="n">
        <x:v>-2.811311</x:v>
      </x:c>
      <x:c r="AF75" s="23" t="n">
        <x:v>-2.486979</x:v>
      </x:c>
      <x:c r="AG75" s="23" t="n">
        <x:v>69</x:v>
      </x:c>
      <x:c r="AH75" s="23" t="n">
        <x:v>82.349998</x:v>
      </x:c>
      <x:c r="AI75" s="23" t="n">
        <x:v>161</x:v>
      </x:c>
      <x:c r="AJ75" s="23" t="n">
        <x:v>69</x:v>
      </x:c>
      <x:c r="AK75" s="23" t="n">
        <x:v>-56.119215</x:v>
      </x:c>
      <x:c r="AL75" s="11" t="str">
        <x:v>{"market":"恒生指数","marketSymbol":"^HSI","marketReturn20Pct":-2.977908,"marketReturn60Pct":-3.187903,"excess20Pct":-8.002239,"excess60Pct":-15.921452,"industryBenchmark":"恒生科技（科技/互联网/硬件相关粗粒度参考，不代表专属行业）","industryExcess20Pct":-7.916983,"industryExcess60Pct":-5.941336}</x:v>
      </x:c>
      <x:c r="AM75" s="11" t="str">
        <x:v>2根Yahoo OHLC逻辑不一致，按腾讯同日完整bar修复，原字段及修复记录在历史文件</x:v>
      </x:c>
      <x:c r="AN75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https://query2.finance.yahoo.com/v8/finance/chart/9880.HK?range=3y&amp;interval=1d&amp;events=div%2Csplits
https://proxy.finance.qq.com/ifzqgtimg/appstock/app/fqkline/get?param=hk09880,day,2023-10-09,2026-10-09,1000,qfq</x:v>
      </x:c>
    </x:row>
    <x:row r="76" ht="23" customHeight="1">
      <x:c r="A76" s="11" t="str">
        <x:v>S070</x:v>
      </x:c>
      <x:c r="B76" s="11" t="str">
        <x:v>I060</x:v>
      </x:c>
      <x:c r="C76" s="11" t="str">
        <x:v>02400.HK</x:v>
      </x:c>
      <x:c r="D76" s="11" t="str">
        <x:v>心动公司</x:v>
      </x:c>
      <x:c r="E76" s="11" t="str">
        <x:v>HKD</x:v>
      </x:c>
      <x:c r="F76" s="23" t="n">
        <x:v>39.4</x:v>
      </x:c>
      <x:c r="G76" s="23" t="str">
        <x:v>2026-10-09</x:v>
      </x:c>
      <x:c r="H76" s="23" t="n">
        <x:v>39.4</x:v>
      </x:c>
      <x:c r="I76" s="23" t="str">
        <x:v>2026-10-09</x:v>
      </x:c>
      <x:c r="J76" s="37" t="b">
        <x:v>1</x:v>
      </x:c>
      <x:c r="K76" s="23" t="n">
        <x:v>739</x:v>
      </x:c>
      <x:c r="L76" s="23" t="str">
        <x:v>Yahoo Finance chart</x:v>
      </x:c>
      <x:c r="M76" s="23" t="str">
        <x:v>high</x:v>
      </x:c>
      <x:c r="N76" s="23" t="str">
        <x:v>短期反弹，仍低于60日线</x:v>
      </x:c>
      <x:c r="O76" s="23" t="n">
        <x:v>38.864</x:v>
      </x:c>
      <x:c r="P76" s="23" t="n">
        <x:v>41.825334</x:v>
      </x:c>
      <x:c r="Q76" s="23" t="n">
        <x:v>47.377667</x:v>
      </x:c>
      <x:c r="R76" s="23" t="n">
        <x:v>59.96348</x:v>
      </x:c>
      <x:c r="S76" s="23" t="n">
        <x:v>-2.283013</x:v>
      </x:c>
      <x:c r="T76" s="23" t="n">
        <x:v>-1.07771</x:v>
      </x:c>
      <x:c r="U76" s="23" t="n">
        <x:v>-1.892425</x:v>
      </x:c>
      <x:c r="V76" s="23" t="n">
        <x:v>-12.870409</x:v>
      </x:c>
      <x:c r="W76" s="38" t="n">
        <x:v>1477820</x:v>
      </x:c>
      <x:c r="X76" s="38" t="n">
        <x:v>906556.6</x:v>
      </x:c>
      <x:c r="Y76" s="38" t="n">
        <x:v>1840565.85</x:v>
      </x:c>
      <x:c r="Z76" s="38" t="n">
        <x:v>2772525.55</x:v>
      </x:c>
      <x:c r="AA76" s="23" t="n">
        <x:v>0.772759</x:v>
      </x:c>
      <x:c r="AB76" s="23" t="n">
        <x:v>1.177659</x:v>
      </x:c>
      <x:c r="AC76" s="23" t="n">
        <x:v>48.873791</x:v>
      </x:c>
      <x:c r="AD76" s="23" t="n">
        <x:v>1.833414</x:v>
      </x:c>
      <x:c r="AE76" s="23" t="n">
        <x:v>-0.759626</x:v>
      </x:c>
      <x:c r="AF76" s="23" t="n">
        <x:v>-0.848022</x:v>
      </x:c>
      <x:c r="AG76" s="23" t="n">
        <x:v>36.82</x:v>
      </x:c>
      <x:c r="AH76" s="23" t="n">
        <x:v>42.68</x:v>
      </x:c>
      <x:c r="AI76" s="23" t="n">
        <x:v>92.449997</x:v>
      </x:c>
      <x:c r="AJ76" s="23" t="n">
        <x:v>36.82</x:v>
      </x:c>
      <x:c r="AK76" s="23" t="n">
        <x:v>-59.389981</x:v>
      </x:c>
      <x:c r="AL76" s="11" t="str">
        <x:v>{"market":"恒生指数","marketSymbol":"^HSI","marketReturn20Pct":-2.977908,"marketReturn60Pct":-3.187903,"excess20Pct":1.085483,"excess60Pct":-9.682506,"industryBenchmark":"恒生科技（科技/互联网/硬件相关粗粒度参考，不代表专属行业）","industryExcess20Pct":1.170739,"industryExcess60Pct":0.29761}</x:v>
      </x:c>
      <x:c r="AM76" s="11" t="str">
        <x:v>2根Yahoo OHLC逻辑不一致，按腾讯同日完整bar修复，原字段及修复记录在历史文件</x:v>
      </x:c>
      <x:c r="AN76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https://query2.finance.yahoo.com/v8/finance/chart/2400.HK?range=3y&amp;interval=1d&amp;events=div%2Csplits
https://proxy.finance.qq.com/ifzqgtimg/appstock/app/fqkline/get?param=hk02400,day,2023-10-09,2026-10-09,1000,qfq</x:v>
      </x:c>
    </x:row>
    <x:row r="77" ht="23" customHeight="1">
      <x:c r="A77" s="11" t="str">
        <x:v>S071</x:v>
      </x:c>
      <x:c r="B77" s="11" t="str">
        <x:v>I061</x:v>
      </x:c>
      <x:c r="C77" s="11" t="str">
        <x:v>01211.HK</x:v>
      </x:c>
      <x:c r="D77" s="11" t="str">
        <x:v>比亚迪股份</x:v>
      </x:c>
      <x:c r="E77" s="11" t="str">
        <x:v>HKD</x:v>
      </x:c>
      <x:c r="F77" s="23" t="n">
        <x:v>75.6</x:v>
      </x:c>
      <x:c r="G77" s="23" t="str">
        <x:v>2026-10-09</x:v>
      </x:c>
      <x:c r="H77" s="23" t="n">
        <x:v>75.6</x:v>
      </x:c>
      <x:c r="I77" s="23" t="str">
        <x:v>2026-10-09</x:v>
      </x:c>
      <x:c r="J77" s="37" t="b">
        <x:v>1</x:v>
      </x:c>
      <x:c r="K77" s="23" t="n">
        <x:v>739</x:v>
      </x:c>
      <x:c r="L77" s="23" t="str">
        <x:v>Yahoo Finance chart</x:v>
      </x:c>
      <x:c r="M77" s="23" t="str">
        <x:v>high</x:v>
      </x:c>
      <x:c r="N77" s="23" t="str">
        <x:v>中短期下降</x:v>
      </x:c>
      <x:c r="O77" s="23" t="n">
        <x:v>77.827499</x:v>
      </x:c>
      <x:c r="P77" s="23" t="n">
        <x:v>85.675</x:v>
      </x:c>
      <x:c r="Q77" s="23" t="n">
        <x:v>88.193929</x:v>
      </x:c>
      <x:c r="R77" s="23" t="n">
        <x:v>93.992099</x:v>
      </x:c>
      <x:c r="S77" s="23" t="n">
        <x:v>-2.730824</x:v>
      </x:c>
      <x:c r="T77" s="23" t="n">
        <x:v>-1.167988</x:v>
      </x:c>
      <x:c r="U77" s="23" t="n">
        <x:v>-4.965437</x:v>
      </x:c>
      <x:c r="V77" s="23" t="n">
        <x:v>-16.877405</x:v>
      </x:c>
      <x:c r="W77" s="38" t="n">
        <x:v>20054046</x:v>
      </x:c>
      <x:c r="X77" s="38" t="n">
        <x:v>12986289</x:v>
      </x:c>
      <x:c r="Y77" s="38" t="n">
        <x:v>15960381.4</x:v>
      </x:c>
      <x:c r="Z77" s="38" t="n">
        <x:v>17644353.483</x:v>
      </x:c>
      <x:c r="AA77" s="23" t="n">
        <x:v>1.232541</x:v>
      </x:c>
      <x:c r="AB77" s="23" t="n">
        <x:v>0.846338</x:v>
      </x:c>
      <x:c r="AC77" s="23" t="n">
        <x:v>37.621194</x:v>
      </x:c>
      <x:c r="AD77" s="23" t="n">
        <x:v>2.299952</x:v>
      </x:c>
      <x:c r="AE77" s="23" t="n">
        <x:v>-2.960466</x:v>
      </x:c>
      <x:c r="AF77" s="23" t="n">
        <x:v>-2.902124</x:v>
      </x:c>
      <x:c r="AG77" s="23" t="n">
        <x:v>72.75</x:v>
      </x:c>
      <x:c r="AH77" s="23" t="n">
        <x:v>82</x:v>
      </x:c>
      <x:c r="AI77" s="23" t="n">
        <x:v>114.155097</x:v>
      </x:c>
      <x:c r="AJ77" s="23" t="n">
        <x:v>71.400002</x:v>
      </x:c>
      <x:c r="AK77" s="23" t="n">
        <x:v>-36.087951</x:v>
      </x:c>
      <x:c r="AL77" s="11" t="str">
        <x:v>{"market":"恒生指数","marketSymbol":"^HSI","marketReturn20Pct":-2.977908,"marketReturn60Pct":-3.187903,"excess20Pct":-1.987529,"excess60Pct":-13.689502,"industryBenchmark":"恒生科技（科技/互联网/硬件相关粗粒度参考，不代表专属行业）","industryExcess20Pct":-1.902273,"industryExcess60Pct":-3.709386}</x:v>
      </x:c>
      <x:c r="AM77" s="11" t="str"/>
      <x:c r="AN77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https://query2.finance.yahoo.com/v8/finance/chart/1211.HK?range=3y&amp;interval=1d&amp;events=div%2Csplits
https://proxy.finance.qq.com/ifzqgtimg/appstock/app/fqkline/get?param=hk01211,day,2023-10-09,2026-10-09,1000,qfq</x:v>
      </x:c>
    </x:row>
    <x:row r="78" ht="23" customHeight="1">
      <x:c r="A78" s="11" t="str">
        <x:v>S072</x:v>
      </x:c>
      <x:c r="B78" s="11" t="str">
        <x:v>I062</x:v>
      </x:c>
      <x:c r="C78" s="11" t="str">
        <x:v>09660.HK</x:v>
      </x:c>
      <x:c r="D78" s="11" t="str">
        <x:v>地平线机器人-W</x:v>
      </x:c>
      <x:c r="E78" s="11" t="str">
        <x:v>HKD</x:v>
      </x:c>
      <x:c r="F78" s="23" t="n">
        <x:v>4.115</x:v>
      </x:c>
      <x:c r="G78" s="23" t="str">
        <x:v>2026-10-09</x:v>
      </x:c>
      <x:c r="H78" s="23" t="n">
        <x:v>4.115</x:v>
      </x:c>
      <x:c r="I78" s="23" t="str">
        <x:v>2026-10-09</x:v>
      </x:c>
      <x:c r="J78" s="37" t="b">
        <x:v>1</x:v>
      </x:c>
      <x:c r="K78" s="23" t="n">
        <x:v>483</x:v>
      </x:c>
      <x:c r="L78" s="23" t="str">
        <x:v>Yahoo Finance chart</x:v>
      </x:c>
      <x:c r="M78" s="23" t="str">
        <x:v>high</x:v>
      </x:c>
      <x:c r="N78" s="23" t="str">
        <x:v>短期反弹，仍低于60日线</x:v>
      </x:c>
      <x:c r="O78" s="23" t="n">
        <x:v>4.10325</x:v>
      </x:c>
      <x:c r="P78" s="23" t="n">
        <x:v>4.552583</x:v>
      </x:c>
      <x:c r="Q78" s="23" t="n">
        <x:v>5.060208</x:v>
      </x:c>
      <x:c r="R78" s="23" t="n">
        <x:v>6.73838</x:v>
      </x:c>
      <x:c r="S78" s="23" t="n">
        <x:v>-2.01194</x:v>
      </x:c>
      <x:c r="T78" s="23" t="n">
        <x:v>-0.791763</x:v>
      </x:c>
      <x:c r="U78" s="23" t="n">
        <x:v>-3.176471</x:v>
      </x:c>
      <x:c r="V78" s="23" t="n">
        <x:v>-10.737527</x:v>
      </x:c>
      <x:c r="W78" s="38" t="n">
        <x:v>96261273</x:v>
      </x:c>
      <x:c r="X78" s="38" t="n">
        <x:v>58224857.8</x:v>
      </x:c>
      <x:c r="Y78" s="38" t="n">
        <x:v>75155188.3</x:v>
      </x:c>
      <x:c r="Z78" s="38" t="n">
        <x:v>130052705.4</x:v>
      </x:c>
      <x:c r="AA78" s="23" t="n">
        <x:v>1.282106</x:v>
      </x:c>
      <x:c r="AB78" s="23" t="n">
        <x:v>0.854597</x:v>
      </x:c>
      <x:c r="AC78" s="23" t="n">
        <x:v>45.253248</x:v>
      </x:c>
      <x:c r="AD78" s="23" t="n">
        <x:v>0.162093</x:v>
      </x:c>
      <x:c r="AE78" s="23" t="n">
        <x:v>-0.121089</x:v>
      </x:c>
      <x:c r="AF78" s="23" t="n">
        <x:v>-0.137358</x:v>
      </x:c>
      <x:c r="AG78" s="23" t="n">
        <x:v>3.885</x:v>
      </x:c>
      <x:c r="AH78" s="23" t="n">
        <x:v>4.325</x:v>
      </x:c>
      <x:c r="AI78" s="23" t="n">
        <x:v>9.88</x:v>
      </x:c>
      <x:c r="AJ78" s="23" t="n">
        <x:v>3.6</x:v>
      </x:c>
      <x:c r="AK78" s="23" t="n">
        <x:v>-63.050154</x:v>
      </x:c>
      <x:c r="AL78" s="11" t="str">
        <x:v>{"market":"恒生指数","marketSymbol":"^HSI","marketReturn20Pct":-2.977908,"marketReturn60Pct":-3.187903,"excess20Pct":-0.198563,"excess60Pct":-7.549624,"industryBenchmark":"恒生科技（科技/互联网/硬件相关粗粒度参考，不代表专属行业）","industryExcess20Pct":-0.113307,"industryExcess60Pct":2.430492}</x:v>
      </x:c>
      <x:c r="AM78" s="11" t="str"/>
      <x:c r="AN78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https://query2.finance.yahoo.com/v8/finance/chart/9660.HK?range=3y&amp;interval=1d&amp;events=div%2Csplits
https://proxy.finance.qq.com/ifzqgtimg/appstock/app/fqkline/get?param=hk09660,day,2023-10-09,2026-10-09,1000,qfq</x:v>
      </x:c>
    </x:row>
    <x:row r="79" ht="23" customHeight="1">
      <x:c r="A79" s="11" t="str">
        <x:v>S073</x:v>
      </x:c>
      <x:c r="B79" s="11" t="str">
        <x:v>I063</x:v>
      </x:c>
      <x:c r="C79" s="11" t="str">
        <x:v>03750.HK</x:v>
      </x:c>
      <x:c r="D79" s="11" t="str">
        <x:v>宁德时代</x:v>
      </x:c>
      <x:c r="E79" s="11" t="str">
        <x:v>HKD</x:v>
      </x:c>
      <x:c r="F79" s="23" t="n">
        <x:v>491.4</x:v>
      </x:c>
      <x:c r="G79" s="23" t="str">
        <x:v>2026-10-09</x:v>
      </x:c>
      <x:c r="H79" s="23" t="n">
        <x:v>491.4</x:v>
      </x:c>
      <x:c r="I79" s="23" t="str">
        <x:v>2026-10-09</x:v>
      </x:c>
      <x:c r="J79" s="37" t="b">
        <x:v>1</x:v>
      </x:c>
      <x:c r="K79" s="23" t="n">
        <x:v>346</x:v>
      </x:c>
      <x:c r="L79" s="23" t="str">
        <x:v>Yahoo Finance chart</x:v>
      </x:c>
      <x:c r="M79" s="23" t="str">
        <x:v>high</x:v>
      </x:c>
      <x:c r="N79" s="23" t="str">
        <x:v>中短期下降</x:v>
      </x:c>
      <x:c r="O79" s="23" t="n">
        <x:v>499.329999</x:v>
      </x:c>
      <x:c r="P79" s="23" t="n">
        <x:v>578.168434</x:v>
      </x:c>
      <x:c r="Q79" s="23" t="n">
        <x:v>627.92047</x:v>
      </x:c>
      <x:c r="R79" s="23" t="n">
        <x:v>577.681645</x:v>
      </x:c>
      <x:c r="S79" s="23" t="n">
        <x:v>-3.905701</x:v>
      </x:c>
      <x:c r="T79" s="23" t="n">
        <x:v>-1.712544</x:v>
      </x:c>
      <x:c r="U79" s="23" t="n">
        <x:v>-12.484418</x:v>
      </x:c>
      <x:c r="V79" s="23" t="n">
        <x:v>-20.674661</x:v>
      </x:c>
      <x:c r="W79" s="38" t="n">
        <x:v>3437173</x:v>
      </x:c>
      <x:c r="X79" s="38" t="n">
        <x:v>2217615.2</x:v>
      </x:c>
      <x:c r="Y79" s="38" t="n">
        <x:v>3056499.05</x:v>
      </x:c>
      <x:c r="Z79" s="38" t="n">
        <x:v>2440556.65</x:v>
      </x:c>
      <x:c r="AA79" s="23" t="n">
        <x:v>1.162449</x:v>
      </x:c>
      <x:c r="AB79" s="23" t="n">
        <x:v>0.514014</x:v>
      </x:c>
      <x:c r="AC79" s="23" t="n">
        <x:v>36.678127</x:v>
      </x:c>
      <x:c r="AD79" s="23" t="n">
        <x:v>18.442086</x:v>
      </x:c>
      <x:c r="AE79" s="23" t="n">
        <x:v>-24.769802</x:v>
      </x:c>
      <x:c r="AF79" s="23" t="n">
        <x:v>-28.133975</x:v>
      </x:c>
      <x:c r="AG79" s="23" t="n">
        <x:v>458</x:v>
      </x:c>
      <x:c r="AH79" s="23" t="n">
        <x:v>557</x:v>
      </x:c>
      <x:c r="AI79" s="23" t="n">
        <x:v>792.547899</x:v>
      </x:c>
      <x:c r="AJ79" s="23" t="n">
        <x:v>450.199915</x:v>
      </x:c>
      <x:c r="AK79" s="23" t="n">
        <x:v>-38.681929</x:v>
      </x:c>
      <x:c r="AL79" s="11" t="str">
        <x:v>{"market":"恒生指数","marketSymbol":"^HSI","marketReturn20Pct":-2.977908,"marketReturn60Pct":-3.187903,"excess20Pct":-9.50651,"excess60Pct":-17.486758,"industryBenchmark":"恒生科技（科技/互联网/硬件相关粗粒度参考，不代表专属行业）","industryExcess20Pct":-9.421254,"industryExcess60Pct":-7.506642}</x:v>
      </x:c>
      <x:c r="AM79" s="11" t="str"/>
      <x:c r="AN79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https://query2.finance.yahoo.com/v8/finance/chart/3750.HK?range=3y&amp;interval=1d&amp;events=div%2Csplits
https://proxy.finance.qq.com/ifzqgtimg/appstock/app/fqkline/get?param=hk03750,day,2023-10-09,2026-10-09,1000,qfq</x:v>
      </x:c>
    </x:row>
    <x:row r="80" ht="23" customHeight="1">
      <x:c r="A80" s="11" t="str">
        <x:v>S074</x:v>
      </x:c>
      <x:c r="B80" s="11" t="str">
        <x:v>I064</x:v>
      </x:c>
      <x:c r="C80" s="11" t="str">
        <x:v>09999.HK</x:v>
      </x:c>
      <x:c r="D80" s="11" t="str">
        <x:v>网易</x:v>
      </x:c>
      <x:c r="E80" s="11" t="str">
        <x:v>HKD</x:v>
      </x:c>
      <x:c r="F80" s="23" t="n">
        <x:v>193.5</x:v>
      </x:c>
      <x:c r="G80" s="23" t="str">
        <x:v>2026-10-09</x:v>
      </x:c>
      <x:c r="H80" s="23" t="n">
        <x:v>193.5</x:v>
      </x:c>
      <x:c r="I80" s="23" t="str">
        <x:v>2026-10-09</x:v>
      </x:c>
      <x:c r="J80" s="37" t="b">
        <x:v>1</x:v>
      </x:c>
      <x:c r="K80" s="23" t="n">
        <x:v>739</x:v>
      </x:c>
      <x:c r="L80" s="23" t="str">
        <x:v>Yahoo Finance chart</x:v>
      </x:c>
      <x:c r="M80" s="23" t="str">
        <x:v>high</x:v>
      </x:c>
      <x:c r="N80" s="23" t="str">
        <x:v>趋势交错/震荡</x:v>
      </x:c>
      <x:c r="O80" s="23" t="n">
        <x:v>186.505003</x:v>
      </x:c>
      <x:c r="P80" s="23" t="n">
        <x:v>192.906187</x:v>
      </x:c>
      <x:c r="Q80" s="23" t="n">
        <x:v>191.336629</x:v>
      </x:c>
      <x:c r="R80" s="23" t="n">
        <x:v>198.491096</x:v>
      </x:c>
      <x:c r="S80" s="23" t="n">
        <x:v>0.225704</x:v>
      </x:c>
      <x:c r="T80" s="23" t="n">
        <x:v>-0.708418</x:v>
      </x:c>
      <x:c r="U80" s="23" t="n">
        <x:v>5.679953</x:v>
      </x:c>
      <x:c r="V80" s="23" t="n">
        <x:v>-5.377109</x:v>
      </x:c>
      <x:c r="W80" s="38" t="n">
        <x:v>7777832</x:v>
      </x:c>
      <x:c r="X80" s="38" t="n">
        <x:v>4061230</x:v>
      </x:c>
      <x:c r="Y80" s="38" t="n">
        <x:v>5390202.4</x:v>
      </x:c>
      <x:c r="Z80" s="38" t="n">
        <x:v>6631485.817</x:v>
      </x:c>
      <x:c r="AA80" s="23" t="n">
        <x:v>1.445357</x:v>
      </x:c>
      <x:c r="AB80" s="23" t="n">
        <x:v>0.7485</x:v>
      </x:c>
      <x:c r="AC80" s="23" t="n">
        <x:v>56.912797</x:v>
      </x:c>
      <x:c r="AD80" s="23" t="n">
        <x:v>5.44953</x:v>
      </x:c>
      <x:c r="AE80" s="23" t="n">
        <x:v>-0.232571</x:v>
      </x:c>
      <x:c r="AF80" s="23" t="n">
        <x:v>-1.084731</x:v>
      </x:c>
      <x:c r="AG80" s="23" t="n">
        <x:v>179</x:v>
      </x:c>
      <x:c r="AH80" s="23" t="n">
        <x:v>194.5</x:v>
      </x:c>
      <x:c r="AI80" s="23" t="n">
        <x:v>244.057574</x:v>
      </x:c>
      <x:c r="AJ80" s="23" t="n">
        <x:v>168.589593</x:v>
      </x:c>
      <x:c r="AK80" s="23" t="n">
        <x:v>-28.949472</x:v>
      </x:c>
      <x:c r="AL80" s="11" t="str">
        <x:v>{"market":"恒生指数","marketSymbol":"^HSI","marketReturn20Pct":-2.977908,"marketReturn60Pct":-3.187903,"excess20Pct":8.657861,"excess60Pct":-2.189206,"industryBenchmark":"恒生科技（科技/互联网/硬件相关粗粒度参考，不代表专属行业）","industryExcess20Pct":8.743117,"industryExcess60Pct":7.79091}</x:v>
      </x:c>
      <x:c r="AM80" s="11" t="str"/>
      <x:c r="AN80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https://query2.finance.yahoo.com/v8/finance/chart/9999.HK?range=3y&amp;interval=1d&amp;events=div%2Csplits
https://proxy.finance.qq.com/ifzqgtimg/appstock/app/fqkline/get?param=hk09999,day,2023-10-09,2026-10-09,1000,qfq</x:v>
      </x:c>
    </x:row>
    <x:row r="81" ht="23" customHeight="1">
      <x:c r="A81" s="11" t="str">
        <x:v>S075</x:v>
      </x:c>
      <x:c r="B81" s="11" t="str">
        <x:v>I065</x:v>
      </x:c>
      <x:c r="C81" s="11" t="str">
        <x:v>00992.HK</x:v>
      </x:c>
      <x:c r="D81" s="11" t="str">
        <x:v>联想集团</x:v>
      </x:c>
      <x:c r="E81" s="11" t="str">
        <x:v>HKD</x:v>
      </x:c>
      <x:c r="F81" s="23" t="n">
        <x:v>32.84</x:v>
      </x:c>
      <x:c r="G81" s="23" t="str">
        <x:v>2026-10-09</x:v>
      </x:c>
      <x:c r="H81" s="23" t="n">
        <x:v>32.84</x:v>
      </x:c>
      <x:c r="I81" s="23" t="str">
        <x:v>2026-10-09</x:v>
      </x:c>
      <x:c r="J81" s="37" t="b">
        <x:v>1</x:v>
      </x:c>
      <x:c r="K81" s="23" t="n">
        <x:v>739</x:v>
      </x:c>
      <x:c r="L81" s="23" t="str">
        <x:v>Yahoo Finance chart</x:v>
      </x:c>
      <x:c r="M81" s="23" t="str">
        <x:v>high</x:v>
      </x:c>
      <x:c r="N81" s="23" t="str">
        <x:v>回调，仍高于60日线</x:v>
      </x:c>
      <x:c r="O81" s="23" t="n">
        <x:v>34.72</x:v>
      </x:c>
      <x:c r="P81" s="23" t="n">
        <x:v>30.304832</x:v>
      </x:c>
      <x:c r="Q81" s="23" t="n">
        <x:v>24.454628</x:v>
      </x:c>
      <x:c r="R81" s="23" t="n">
        <x:v>16.793023</x:v>
      </x:c>
      <x:c r="S81" s="23" t="n">
        <x:v>1.734646</x:v>
      </x:c>
      <x:c r="T81" s="23" t="n">
        <x:v>3.186346</x:v>
      </x:c>
      <x:c r="U81" s="23" t="n">
        <x:v>1.797898</x:v>
      </x:c>
      <x:c r="V81" s="23" t="n">
        <x:v>49.532077</x:v>
      </x:c>
      <x:c r="W81" s="38" t="n">
        <x:v>90566232</x:v>
      </x:c>
      <x:c r="X81" s="38" t="n">
        <x:v>60159845.8</x:v>
      </x:c>
      <x:c r="Y81" s="38" t="n">
        <x:v>69427870</x:v>
      </x:c>
      <x:c r="Z81" s="38" t="n">
        <x:v>97527624.3</x:v>
      </x:c>
      <x:c r="AA81" s="23" t="n">
        <x:v>1.338151</x:v>
      </x:c>
      <x:c r="AB81" s="23" t="n">
        <x:v>1.063771</x:v>
      </x:c>
      <x:c r="AC81" s="23" t="n">
        <x:v>47.043057</x:v>
      </x:c>
      <x:c r="AD81" s="23" t="n">
        <x:v>1.807308</x:v>
      </x:c>
      <x:c r="AE81" s="23" t="n">
        <x:v>0.705654</x:v>
      </x:c>
      <x:c r="AF81" s="23" t="n">
        <x:v>1.257013</x:v>
      </x:c>
      <x:c r="AG81" s="23" t="n">
        <x:v>30.6</x:v>
      </x:c>
      <x:c r="AH81" s="23" t="n">
        <x:v>37.880001</x:v>
      </x:c>
      <x:c r="AI81" s="23" t="n">
        <x:v>37.880001</x:v>
      </x:c>
      <x:c r="AJ81" s="23" t="n">
        <x:v>8.405881</x:v>
      </x:c>
      <x:c r="AK81" s="23" t="n">
        <x:v>-30.608319</x:v>
      </x:c>
      <x:c r="AL81" s="11" t="str">
        <x:v>{"market":"恒生指数","marketSymbol":"^HSI","marketReturn20Pct":-2.977908,"marketReturn60Pct":-3.187903,"excess20Pct":4.775806,"excess60Pct":52.71998,"industryBenchmark":"恒生科技（科技/互联网/硬件相关粗粒度参考，不代表专属行业）","industryExcess20Pct":4.861062,"industryExcess60Pct":62.700096}</x:v>
      </x:c>
      <x:c r="AM81" s="11" t="str">
        <x:v>近60日复权口径有超过1%的跨源差异，可能与分红复权算法或数据修订有关</x:v>
      </x:c>
      <x:c r="AN81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03347,rt_hk06127,rt_hk01877,rt_hk02162,rt_hk01801,rt_hk02268,rt_hk06821,rt_hk00867,rt_hk09995,rt_hk09926,rt_hk01763,rt_hk03442,rt_hk07709,rt_hk00100,rt_hk02513,rt_hk09992,rt_hk01811,rt_hk01797,rt_hk09880,rt_hk02400,rt_hk01211,rt_hk09660,rt_hk03750,rt_hk09999,rt_hk00992
https://query2.finance.yahoo.com/v8/finance/chart/0992.HK?range=3y&amp;interval=1d&amp;events=div%2Csplits
https://proxy.finance.qq.com/ifzqgtimg/appstock/app/fqkline/get?param=hk00992,day,2023-10-09,2026-10-09,1000,qfq</x:v>
      </x:c>
    </x:row>
    <x:row r="82" ht="23" customHeight="1">
      <x:c r="A82" s="11" t="str">
        <x:v>S076</x:v>
      </x:c>
      <x:c r="B82" s="11" t="str">
        <x:v>I066</x:v>
      </x:c>
      <x:c r="C82" s="11" t="str">
        <x:v>09888.HK</x:v>
      </x:c>
      <x:c r="D82" s="11" t="str">
        <x:v>百度集团-W</x:v>
      </x:c>
      <x:c r="E82" s="11" t="str">
        <x:v>HKD</x:v>
      </x:c>
      <x:c r="F82" s="23" t="n">
        <x:v>83</x:v>
      </x:c>
      <x:c r="G82" s="23" t="str">
        <x:v>2026-10-09</x:v>
      </x:c>
      <x:c r="H82" s="23" t="n">
        <x:v>83</x:v>
      </x:c>
      <x:c r="I82" s="23" t="str">
        <x:v>2026-10-09</x:v>
      </x:c>
      <x:c r="J82" s="37" t="b">
        <x:v>1</x:v>
      </x:c>
      <x:c r="K82" s="23" t="n">
        <x:v>739</x:v>
      </x:c>
      <x:c r="L82" s="23" t="str">
        <x:v>Yahoo Finance chart</x:v>
      </x:c>
      <x:c r="M82" s="23" t="str">
        <x:v>high</x:v>
      </x:c>
      <x:c r="N82" s="23" t="str">
        <x:v>中短期下降</x:v>
      </x:c>
      <x:c r="O82" s="23" t="n">
        <x:v>86.372501</x:v>
      </x:c>
      <x:c r="P82" s="23" t="n">
        <x:v>95.2825</x:v>
      </x:c>
      <x:c r="Q82" s="23" t="n">
        <x:v>108.2325</x:v>
      </x:c>
      <x:c r="R82" s="23" t="n">
        <x:v>117.3328</x:v>
      </x:c>
      <x:c r="S82" s="23" t="n">
        <x:v>-2.193976</x:v>
      </x:c>
      <x:c r="T82" s="23" t="n">
        <x:v>-2.291061</x:v>
      </x:c>
      <x:c r="U82" s="23" t="n">
        <x:v>-6.898488</x:v>
      </x:c>
      <x:c r="V82" s="23" t="n">
        <x:v>-24.750682</x:v>
      </x:c>
      <x:c r="W82" s="38" t="n">
        <x:v>8874992</x:v>
      </x:c>
      <x:c r="X82" s="38" t="n">
        <x:v>7666066.8</x:v>
      </x:c>
      <x:c r="Y82" s="38" t="n">
        <x:v>13533667.9</x:v>
      </x:c>
      <x:c r="Z82" s="38" t="n">
        <x:v>13102262.517</x:v>
      </x:c>
      <x:c r="AA82" s="23" t="n">
        <x:v>0.645059</x:v>
      </x:c>
      <x:c r="AB82" s="23" t="n">
        <x:v>0.403866</x:v>
      </x:c>
      <x:c r="AC82" s="23" t="n">
        <x:v>37.331706</x:v>
      </x:c>
      <x:c r="AD82" s="23" t="n">
        <x:v>2.718569</x:v>
      </x:c>
      <x:c r="AE82" s="23" t="n">
        <x:v>-2.768696</x:v>
      </x:c>
      <x:c r="AF82" s="23" t="n">
        <x:v>-2.850942</x:v>
      </x:c>
      <x:c r="AG82" s="23" t="n">
        <x:v>81.75</x:v>
      </x:c>
      <x:c r="AH82" s="23" t="n">
        <x:v>92.400002</x:v>
      </x:c>
      <x:c r="AI82" s="23" t="n">
        <x:v>161.199997</x:v>
      </x:c>
      <x:c r="AJ82" s="23" t="n">
        <x:v>81.75</x:v>
      </x:c>
      <x:c r="AK82" s="23" t="n">
        <x:v>-48.816198</x:v>
      </x:c>
      <x:c r="AL82" s="11" t="str">
        <x:v>{"market":"恒生指数","marketSymbol":"^HSI","marketReturn20Pct":-2.977908,"marketReturn60Pct":-3.187903,"excess20Pct":-3.92058,"excess60Pct":-21.562779,"industryBenchmark":"恒生科技（科技/互联网/硬件相关粗粒度参考，不代表专属行业）","industryExcess20Pct":-3.835324,"industryExcess60Pct":-11.582663}</x:v>
      </x:c>
      <x:c r="AM82" s="11" t="str"/>
      <x:c r="AN82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https://query2.finance.yahoo.com/v8/finance/chart/9888.HK?range=3y&amp;interval=1d&amp;events=div%2Csplits
https://proxy.finance.qq.com/ifzqgtimg/appstock/app/fqkline/get?param=hk09888,day,2023-10-09,2026-10-09,1000,qfq</x:v>
      </x:c>
    </x:row>
    <x:row r="83" ht="23" customHeight="1">
      <x:c r="A83" s="11" t="str">
        <x:v>S077</x:v>
      </x:c>
      <x:c r="B83" s="11" t="str">
        <x:v>I067</x:v>
      </x:c>
      <x:c r="C83" s="11" t="str">
        <x:v>00241.HK</x:v>
      </x:c>
      <x:c r="D83" s="11" t="str">
        <x:v>阿里健康</x:v>
      </x:c>
      <x:c r="E83" s="11" t="str">
        <x:v>HKD</x:v>
      </x:c>
      <x:c r="F83" s="23" t="n">
        <x:v>2.86</x:v>
      </x:c>
      <x:c r="G83" s="23" t="str">
        <x:v>2026-10-09</x:v>
      </x:c>
      <x:c r="H83" s="23" t="n">
        <x:v>2.86</x:v>
      </x:c>
      <x:c r="I83" s="23" t="str">
        <x:v>2026-10-09</x:v>
      </x:c>
      <x:c r="J83" s="37" t="b">
        <x:v>1</x:v>
      </x:c>
      <x:c r="K83" s="23" t="n">
        <x:v>739</x:v>
      </x:c>
      <x:c r="L83" s="23" t="str">
        <x:v>Yahoo Finance chart</x:v>
      </x:c>
      <x:c r="M83" s="23" t="str">
        <x:v>high</x:v>
      </x:c>
      <x:c r="N83" s="23" t="str">
        <x:v>中短期下降</x:v>
      </x:c>
      <x:c r="O83" s="23" t="n">
        <x:v>2.88025</x:v>
      </x:c>
      <x:c r="P83" s="23" t="n">
        <x:v>3.111061</x:v>
      </x:c>
      <x:c r="Q83" s="23" t="n">
        <x:v>3.345234</x:v>
      </x:c>
      <x:c r="R83" s="23" t="n">
        <x:v>4.371377</x:v>
      </x:c>
      <x:c r="S83" s="23" t="n">
        <x:v>-2.323018</x:v>
      </x:c>
      <x:c r="T83" s="23" t="n">
        <x:v>-0.93848</x:v>
      </x:c>
      <x:c r="U83" s="23" t="n">
        <x:v>-4.825291</x:v>
      </x:c>
      <x:c r="V83" s="23" t="n">
        <x:v>-12.12751</x:v>
      </x:c>
      <x:c r="W83" s="38" t="n">
        <x:v>57046482</x:v>
      </x:c>
      <x:c r="X83" s="38" t="n">
        <x:v>42116903</x:v>
      </x:c>
      <x:c r="Y83" s="38" t="n">
        <x:v>64474339.95</x:v>
      </x:c>
      <x:c r="Z83" s="38" t="n">
        <x:v>74880555.017</x:v>
      </x:c>
      <x:c r="AA83" s="23" t="n">
        <x:v>0.889069</x:v>
      </x:c>
      <x:c r="AB83" s="23" t="n">
        <x:v>0.540165</x:v>
      </x:c>
      <x:c r="AC83" s="23" t="n">
        <x:v>42.460611</x:v>
      </x:c>
      <x:c r="AD83" s="23" t="n">
        <x:v>0.080137</x:v>
      </x:c>
      <x:c r="AE83" s="23" t="n">
        <x:v>-0.072123</x:v>
      </x:c>
      <x:c r="AF83" s="23" t="n">
        <x:v>-0.080876</x:v>
      </x:c>
      <x:c r="AG83" s="23" t="n">
        <x:v>2.745</x:v>
      </x:c>
      <x:c r="AH83" s="23" t="n">
        <x:v>3.065</x:v>
      </x:c>
      <x:c r="AI83" s="23" t="n">
        <x:v>7.419252</x:v>
      </x:c>
      <x:c r="AJ83" s="23" t="n">
        <x:v>2.745</x:v>
      </x:c>
      <x:c r="AK83" s="23" t="n">
        <x:v>-61.492702</x:v>
      </x:c>
      <x:c r="AL83" s="11" t="str">
        <x:v>{"market":"恒生指数","marketSymbol":"^HSI","marketReturn20Pct":-2.977908,"marketReturn60Pct":-3.187903,"excess20Pct":-1.847383,"excess60Pct":-8.939607,"industryBenchmark":"恒生科技（科技/互联网/硬件相关粗粒度参考，不代表专属行业）","industryExcess20Pct":-1.762127,"industryExcess60Pct":1.040509}</x:v>
      </x:c>
      <x:c r="AM83" s="11" t="str">
        <x:v>近60日复权口径有超过1%的跨源差异，可能与分红复权算法或数据修订有关</x:v>
      </x:c>
      <x:c r="AN83" s="11" t="str">
        <x:v>https://qt.gtimg.cn/q=hk01877,hk02162,hk01801,hk02268,hk06821,hk00867,hk09995,hk09926,hk01763,hk03442,hk07709,hk00100,hk02513,hk09992,hk01811,hk01797,hk09880,hk02400,hk01211,hk09660,hk03750,hk09999,hk00992,hk09888,hk00241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https://query2.finance.yahoo.com/v8/finance/chart/0241.HK?range=3y&amp;interval=1d&amp;events=div%2Csplits
https://proxy.finance.qq.com/ifzqgtimg/appstock/app/fqkline/get?param=hk00241,day,2023-10-09,2026-10-09,1000,qfq</x:v>
      </x:c>
    </x:row>
    <x:row r="84" ht="23" customHeight="1">
      <x:c r="A84" s="11" t="str">
        <x:v>S078</x:v>
      </x:c>
      <x:c r="B84" s="11" t="str">
        <x:v>I068</x:v>
      </x:c>
      <x:c r="C84" s="11" t="str">
        <x:v>06690.HK</x:v>
      </x:c>
      <x:c r="D84" s="11" t="str">
        <x:v>海尔智家</x:v>
      </x:c>
      <x:c r="E84" s="11" t="str">
        <x:v>HKD</x:v>
      </x:c>
      <x:c r="F84" s="23" t="n">
        <x:v>20.42</x:v>
      </x:c>
      <x:c r="G84" s="23" t="str">
        <x:v>2026-10-09</x:v>
      </x:c>
      <x:c r="H84" s="23" t="n">
        <x:v>20.42</x:v>
      </x:c>
      <x:c r="I84" s="23" t="str">
        <x:v>2026-10-09</x:v>
      </x:c>
      <x:c r="J84" s="37" t="b">
        <x:v>1</x:v>
      </x:c>
      <x:c r="K84" s="23" t="n">
        <x:v>739</x:v>
      </x:c>
      <x:c r="L84" s="23" t="str">
        <x:v>Yahoo Finance chart</x:v>
      </x:c>
      <x:c r="M84" s="23" t="str">
        <x:v>high</x:v>
      </x:c>
      <x:c r="N84" s="23" t="str">
        <x:v>短期反弹，仍低于60日线</x:v>
      </x:c>
      <x:c r="O84" s="23" t="n">
        <x:v>20.231</x:v>
      </x:c>
      <x:c r="P84" s="23" t="n">
        <x:v>20.79574</x:v>
      </x:c>
      <x:c r="Q84" s="23" t="n">
        <x:v>20.286747</x:v>
      </x:c>
      <x:c r="R84" s="23" t="n">
        <x:v>22.28453</x:v>
      </x:c>
      <x:c r="S84" s="23" t="n">
        <x:v>-1.391563</x:v>
      </x:c>
      <x:c r="T84" s="23" t="n">
        <x:v>0.176937</x:v>
      </x:c>
      <x:c r="U84" s="23" t="n">
        <x:v>-1.92123</x:v>
      </x:c>
      <x:c r="V84" s="23" t="n">
        <x:v>0.898276</x:v>
      </x:c>
      <x:c r="W84" s="38" t="n">
        <x:v>9579737</x:v>
      </x:c>
      <x:c r="X84" s="38" t="n">
        <x:v>5431734.4</x:v>
      </x:c>
      <x:c r="Y84" s="38" t="n">
        <x:v>8937724.95</x:v>
      </x:c>
      <x:c r="Z84" s="38" t="n">
        <x:v>11177678.083</x:v>
      </x:c>
      <x:c r="AA84" s="23" t="n">
        <x:v>1.078407</x:v>
      </x:c>
      <x:c r="AB84" s="23" t="n">
        <x:v>0.982902</x:v>
      </x:c>
      <x:c r="AC84" s="23" t="n">
        <x:v>50.913752</x:v>
      </x:c>
      <x:c r="AD84" s="23" t="n">
        <x:v>0.434623</x:v>
      </x:c>
      <x:c r="AE84" s="23" t="n">
        <x:v>-0.208267</x:v>
      </x:c>
      <x:c r="AF84" s="23" t="n">
        <x:v>-0.243717</x:v>
      </x:c>
      <x:c r="AG84" s="23" t="n">
        <x:v>19.540001</x:v>
      </x:c>
      <x:c r="AH84" s="23" t="n">
        <x:v>21.299999</x:v>
      </x:c>
      <x:c r="AI84" s="23" t="n">
        <x:v>26.920631</x:v>
      </x:c>
      <x:c r="AJ84" s="23" t="n">
        <x:v>18.185745</x:v>
      </x:c>
      <x:c r="AK84" s="23" t="n">
        <x:v>-30.697331</x:v>
      </x:c>
      <x:c r="AL84" s="11" t="str">
        <x:v>{"market":"恒生指数","marketSymbol":"^HSI","marketReturn20Pct":-2.977908,"marketReturn60Pct":-3.187903,"excess20Pct":1.056678,"excess60Pct":4.086179,"industryBenchmark":"恒生科技（科技/互联网/硬件相关粗粒度参考，不代表专属行业）","industryExcess20Pct":1.141934,"industryExcess60Pct":14.066295}</x:v>
      </x:c>
      <x:c r="AM84" s="11" t="str">
        <x:v>近60日复权口径有超过1%的跨源差异，可能与分红复权算法或数据修订有关</x:v>
      </x:c>
      <x:c r="AN84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https://query2.finance.yahoo.com/v8/finance/chart/6690.HK?range=3y&amp;interval=1d&amp;events=div%2Csplits
https://proxy.finance.qq.com/ifzqgtimg/appstock/app/fqkline/get?param=hk06690,day,2023-10-09,2026-10-09,1000,qfq</x:v>
      </x:c>
    </x:row>
    <x:row r="85" ht="23" customHeight="1">
      <x:c r="A85" s="11" t="str">
        <x:v>S079</x:v>
      </x:c>
      <x:c r="B85" s="11" t="str">
        <x:v>I069</x:v>
      </x:c>
      <x:c r="C85" s="11" t="str">
        <x:v>00522.HK</x:v>
      </x:c>
      <x:c r="D85" s="11" t="str">
        <x:v>ASMPT</x:v>
      </x:c>
      <x:c r="E85" s="11" t="str">
        <x:v>HKD</x:v>
      </x:c>
      <x:c r="F85" s="23" t="n">
        <x:v>161.3</x:v>
      </x:c>
      <x:c r="G85" s="23" t="str">
        <x:v>2026-10-09</x:v>
      </x:c>
      <x:c r="H85" s="23" t="n">
        <x:v>161.3</x:v>
      </x:c>
      <x:c r="I85" s="23" t="str">
        <x:v>2026-10-09</x:v>
      </x:c>
      <x:c r="J85" s="37" t="b">
        <x:v>1</x:v>
      </x:c>
      <x:c r="K85" s="23" t="n">
        <x:v>739</x:v>
      </x:c>
      <x:c r="L85" s="23" t="str">
        <x:v>Yahoo Finance chart</x:v>
      </x:c>
      <x:c r="M85" s="23" t="str">
        <x:v>high</x:v>
      </x:c>
      <x:c r="N85" s="23" t="str">
        <x:v>趋势交错/震荡</x:v>
      </x:c>
      <x:c r="O85" s="23" t="n">
        <x:v>165.625001</x:v>
      </x:c>
      <x:c r="P85" s="23" t="n">
        <x:v>162.974483</x:v>
      </x:c>
      <x:c r="Q85" s="23" t="n">
        <x:v>172.627847</x:v>
      </x:c>
      <x:c r="R85" s="23" t="n">
        <x:v>130.967372</x:v>
      </x:c>
      <x:c r="S85" s="23" t="n">
        <x:v>1.175932</x:v>
      </x:c>
      <x:c r="T85" s="23" t="n">
        <x:v>-0.649407</x:v>
      </x:c>
      <x:c r="U85" s="23" t="n">
        <x:v>-2.242422</x:v>
      </x:c>
      <x:c r="V85" s="23" t="n">
        <x:v>-8.597444</x:v>
      </x:c>
      <x:c r="W85" s="38" t="n">
        <x:v>2861945</x:v>
      </x:c>
      <x:c r="X85" s="38" t="n">
        <x:v>2215645</x:v>
      </x:c>
      <x:c r="Y85" s="38" t="n">
        <x:v>2261301.45</x:v>
      </x:c>
      <x:c r="Z85" s="38" t="n">
        <x:v>2850511.95</x:v>
      </x:c>
      <x:c r="AA85" s="23" t="n">
        <x:v>1.318328</x:v>
      </x:c>
      <x:c r="AB85" s="23" t="n">
        <x:v>0.894463</x:v>
      </x:c>
      <x:c r="AC85" s="23" t="n">
        <x:v>46.157863</x:v>
      </x:c>
      <x:c r="AD85" s="23" t="n">
        <x:v>8.87524</x:v>
      </x:c>
      <x:c r="AE85" s="23" t="n">
        <x:v>1.360873</x:v>
      </x:c>
      <x:c r="AF85" s="23" t="n">
        <x:v>1.345939</x:v>
      </x:c>
      <x:c r="AG85" s="23" t="n">
        <x:v>153.199997</x:v>
      </x:c>
      <x:c r="AH85" s="23" t="n">
        <x:v>182</x:v>
      </x:c>
      <x:c r="AI85" s="23" t="n">
        <x:v>242.98466</x:v>
      </x:c>
      <x:c r="AJ85" s="23" t="n">
        <x:v>68.054597</x:v>
      </x:c>
      <x:c r="AK85" s="23" t="n">
        <x:v>-43.425462</x:v>
      </x:c>
      <x:c r="AL85" s="11" t="str">
        <x:v>{"market":"恒生指数","marketSymbol":"^HSI","marketReturn20Pct":-2.977908,"marketReturn60Pct":-3.187903,"excess20Pct":0.735486,"excess60Pct":-5.409541,"industryBenchmark":"恒生科技（科技/互联网/硬件相关粗粒度参考，不代表专属行业）","industryExcess20Pct":0.820742,"industryExcess60Pct":4.570575}</x:v>
      </x:c>
      <x:c r="AM85" s="11" t="str"/>
      <x:c r="AN85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https://query2.finance.yahoo.com/v8/finance/chart/0522.HK?range=3y&amp;interval=1d&amp;events=div%2Csplits
https://proxy.finance.qq.com/ifzqgtimg/appstock/app/fqkline/get?param=hk00522,day,2023-10-09,2026-10-09,1000,qfq</x:v>
      </x:c>
    </x:row>
    <x:row r="86" ht="23" customHeight="1">
      <x:c r="A86" s="11" t="str">
        <x:v>S080</x:v>
      </x:c>
      <x:c r="B86" s="11" t="str">
        <x:v>I070</x:v>
      </x:c>
      <x:c r="C86" s="11" t="str">
        <x:v>09618.HK</x:v>
      </x:c>
      <x:c r="D86" s="11" t="str">
        <x:v>京东集团-SW</x:v>
      </x:c>
      <x:c r="E86" s="11" t="str">
        <x:v>HKD</x:v>
      </x:c>
      <x:c r="F86" s="23" t="n">
        <x:v>105.6</x:v>
      </x:c>
      <x:c r="G86" s="23" t="str">
        <x:v>2026-10-09</x:v>
      </x:c>
      <x:c r="H86" s="23" t="n">
        <x:v>105.6</x:v>
      </x:c>
      <x:c r="I86" s="23" t="str">
        <x:v>2026-10-09</x:v>
      </x:c>
      <x:c r="J86" s="37" t="b">
        <x:v>1</x:v>
      </x:c>
      <x:c r="K86" s="23" t="n">
        <x:v>739</x:v>
      </x:c>
      <x:c r="L86" s="23" t="str">
        <x:v>Yahoo Finance chart</x:v>
      </x:c>
      <x:c r="M86" s="23" t="str">
        <x:v>high</x:v>
      </x:c>
      <x:c r="N86" s="23" t="str">
        <x:v>短期反弹，仍低于60日线</x:v>
      </x:c>
      <x:c r="O86" s="23" t="n">
        <x:v>104.91</x:v>
      </x:c>
      <x:c r="P86" s="23" t="n">
        <x:v>113.295</x:v>
      </x:c>
      <x:c r="Q86" s="23" t="n">
        <x:v>113.795</x:v>
      </x:c>
      <x:c r="R86" s="23" t="n">
        <x:v>114.400188</x:v>
      </x:c>
      <x:c r="S86" s="23" t="n">
        <x:v>-0.845896</x:v>
      </x:c>
      <x:c r="T86" s="23" t="n">
        <x:v>-0.70117</x:v>
      </x:c>
      <x:c r="U86" s="23" t="n">
        <x:v>0.094785</x:v>
      </x:c>
      <x:c r="V86" s="23" t="n">
        <x:v>-9.589045</x:v>
      </x:c>
      <x:c r="W86" s="38" t="n">
        <x:v>9247639</x:v>
      </x:c>
      <x:c r="X86" s="38" t="n">
        <x:v>5864385.6</x:v>
      </x:c>
      <x:c r="Y86" s="38" t="n">
        <x:v>5571659.8</x:v>
      </x:c>
      <x:c r="Z86" s="38" t="n">
        <x:v>8110590.633</x:v>
      </x:c>
      <x:c r="AA86" s="23" t="n">
        <x:v>1.655787</x:v>
      </x:c>
      <x:c r="AB86" s="23" t="n">
        <x:v>1.180357</x:v>
      </x:c>
      <x:c r="AC86" s="23" t="n">
        <x:v>46.863503</x:v>
      </x:c>
      <x:c r="AD86" s="23" t="n">
        <x:v>2.320135</x:v>
      </x:c>
      <x:c r="AE86" s="23" t="n">
        <x:v>-1.610934</x:v>
      </x:c>
      <x:c r="AF86" s="23" t="n">
        <x:v>-2.11113</x:v>
      </x:c>
      <x:c r="AG86" s="23" t="n">
        <x:v>100.400002</x:v>
      </x:c>
      <x:c r="AH86" s="23" t="n">
        <x:v>107.5</x:v>
      </x:c>
      <x:c r="AI86" s="23" t="n">
        <x:v>143.157473</x:v>
      </x:c>
      <x:c r="AJ86" s="23" t="n">
        <x:v>95.471496</x:v>
      </x:c>
      <x:c r="AK86" s="23" t="n">
        <x:v>-32.471378</x:v>
      </x:c>
      <x:c r="AL86" s="11" t="str">
        <x:v>{"market":"恒生指数","marketSymbol":"^HSI","marketReturn20Pct":-2.977908,"marketReturn60Pct":-3.187903,"excess20Pct":3.072693,"excess60Pct":-6.401142,"industryBenchmark":"恒生科技（科技/互联网/硬件相关粗粒度参考，不代表专属行业）","industryExcess20Pct":3.157949,"industryExcess60Pct":3.578974}</x:v>
      </x:c>
      <x:c r="AM86" s="11" t="str"/>
      <x:c r="AN86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https://query2.finance.yahoo.com/v8/finance/chart/9618.HK?range=3y&amp;interval=1d&amp;events=div%2Csplits
https://proxy.finance.qq.com/ifzqgtimg/appstock/app/fqkline/get?param=hk09618,day,2023-10-09,2026-10-09,1000,qfq</x:v>
      </x:c>
    </x:row>
    <x:row r="87" ht="23" customHeight="1">
      <x:c r="A87" s="11" t="str">
        <x:v>S081</x:v>
      </x:c>
      <x:c r="B87" s="11" t="str">
        <x:v>I071</x:v>
      </x:c>
      <x:c r="C87" s="11" t="str">
        <x:v>01347.HK</x:v>
      </x:c>
      <x:c r="D87" s="11" t="str">
        <x:v>华虹宏力</x:v>
      </x:c>
      <x:c r="E87" s="11" t="str">
        <x:v>HKD</x:v>
      </x:c>
      <x:c r="F87" s="23" t="n">
        <x:v>94.55</x:v>
      </x:c>
      <x:c r="G87" s="23" t="str">
        <x:v>2026-10-09</x:v>
      </x:c>
      <x:c r="H87" s="23" t="n">
        <x:v>94.55</x:v>
      </x:c>
      <x:c r="I87" s="23" t="str">
        <x:v>2026-10-09</x:v>
      </x:c>
      <x:c r="J87" s="37" t="b">
        <x:v>1</x:v>
      </x:c>
      <x:c r="K87" s="23" t="n">
        <x:v>739</x:v>
      </x:c>
      <x:c r="L87" s="23" t="str">
        <x:v>Yahoo Finance chart</x:v>
      </x:c>
      <x:c r="M87" s="23" t="str">
        <x:v>high</x:v>
      </x:c>
      <x:c r="N87" s="23" t="str">
        <x:v>中短期下降</x:v>
      </x:c>
      <x:c r="O87" s="23" t="n">
        <x:v>108.1175</x:v>
      </x:c>
      <x:c r="P87" s="23" t="n">
        <x:v>122.564167</x:v>
      </x:c>
      <x:c r="Q87" s="23" t="n">
        <x:v>134.909584</x:v>
      </x:c>
      <x:c r="R87" s="23" t="n">
        <x:v>109.7542</x:v>
      </x:c>
      <x:c r="S87" s="23" t="n">
        <x:v>-2.116246</x:v>
      </x:c>
      <x:c r="T87" s="23" t="n">
        <x:v>-4.448299</x:v>
      </x:c>
      <x:c r="U87" s="23" t="n">
        <x:v>-16.327431</x:v>
      </x:c>
      <x:c r="V87" s="23" t="n">
        <x:v>-39.93011</x:v>
      </x:c>
      <x:c r="W87" s="38" t="n">
        <x:v>24989690</x:v>
      </x:c>
      <x:c r="X87" s="38" t="n">
        <x:v>14871981.4</x:v>
      </x:c>
      <x:c r="Y87" s="38" t="n">
        <x:v>16272399.05</x:v>
      </x:c>
      <x:c r="Z87" s="38" t="n">
        <x:v>29816520.783</x:v>
      </x:c>
      <x:c r="AA87" s="23" t="n">
        <x:v>1.595092</x:v>
      </x:c>
      <x:c r="AB87" s="23" t="n">
        <x:v>0.466179</x:v>
      </x:c>
      <x:c r="AC87" s="23" t="n">
        <x:v>31.90975</x:v>
      </x:c>
      <x:c r="AD87" s="23" t="n">
        <x:v>6.278938</x:v>
      </x:c>
      <x:c r="AE87" s="23" t="n">
        <x:v>-5.236752</x:v>
      </x:c>
      <x:c r="AF87" s="23" t="n">
        <x:v>-4.536179</x:v>
      </x:c>
      <x:c r="AG87" s="23" t="n">
        <x:v>90.25</x:v>
      </x:c>
      <x:c r="AH87" s="23" t="n">
        <x:v>119.800003</x:v>
      </x:c>
      <x:c r="AI87" s="23" t="n">
        <x:v>219.600006</x:v>
      </x:c>
      <x:c r="AJ87" s="23" t="n">
        <x:v>64.550003</x:v>
      </x:c>
      <x:c r="AK87" s="23" t="n">
        <x:v>-56.064124</x:v>
      </x:c>
      <x:c r="AL87" s="11" t="str">
        <x:v>{"market":"恒生指数","marketSymbol":"^HSI","marketReturn20Pct":-2.977908,"marketReturn60Pct":-3.187903,"excess20Pct":-13.349523,"excess60Pct":-36.742207,"industryBenchmark":"恒生科技（科技/互联网/硬件相关粗粒度参考，不代表专属行业）","industryExcess20Pct":-13.264267,"industryExcess60Pct":-26.762091}</x:v>
      </x:c>
      <x:c r="AM87" s="11" t="str"/>
      <x:c r="AN87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https://query2.finance.yahoo.com/v8/finance/chart/1347.HK?range=3y&amp;interval=1d&amp;events=div%2Csplits
https://proxy.finance.qq.com/ifzqgtimg/appstock/app/fqkline/get?param=hk01347,day,2023-10-09,2026-10-09,1000,qfq</x:v>
      </x:c>
    </x:row>
    <x:row r="88" ht="23" customHeight="1">
      <x:c r="A88" s="11" t="str">
        <x:v>S082</x:v>
      </x:c>
      <x:c r="B88" s="11"/>
      <x:c r="C88" s="11" t="str">
        <x:v>HSTECH.HK</x:v>
      </x:c>
      <x:c r="D88" s="11" t="str">
        <x:v>恒生科技</x:v>
      </x:c>
      <x:c r="E88" s="11" t="str">
        <x:v>HKD</x:v>
      </x:c>
      <x:c r="F88" s="23" t="n">
        <x:v>4197.84</x:v>
      </x:c>
      <x:c r="G88" s="23" t="str">
        <x:v>2026-10-09</x:v>
      </x:c>
      <x:c r="H88" s="23" t="n">
        <x:v>4197.84</x:v>
      </x:c>
      <x:c r="I88" s="23" t="str">
        <x:v>2026-10-09</x:v>
      </x:c>
      <x:c r="J88" s="37" t="b">
        <x:v>0</x:v>
      </x:c>
      <x:c r="K88" s="23" t="n">
        <x:v>739</x:v>
      </x:c>
      <x:c r="L88" s="23" t="str">
        <x:v>Tencent day</x:v>
      </x:c>
      <x:c r="M88" s="23" t="str">
        <x:v>medium</x:v>
      </x:c>
      <x:c r="N88" s="23" t="str">
        <x:v>中短期下降</x:v>
      </x:c>
      <x:c r="O88" s="23" t="n">
        <x:v>4285.747</x:v>
      </x:c>
      <x:c r="P88" s="23" t="n">
        <x:v>4556.492167</x:v>
      </x:c>
      <x:c r="Q88" s="23" t="n">
        <x:v>4679.092833</x:v>
      </x:c>
      <x:c r="R88" s="23" t="n">
        <x:v>5113.3022</x:v>
      </x:c>
      <x:c r="S88" s="23" t="n">
        <x:v>-1.642265</x:v>
      </x:c>
      <x:c r="T88" s="23" t="n">
        <x:v>-1.006632</x:v>
      </x:c>
      <x:c r="U88" s="23" t="n">
        <x:v>-3.063164</x:v>
      </x:c>
      <x:c r="V88" s="23" t="n">
        <x:v>-13.168019</x:v>
      </x:c>
      <x:c r="W88" s="38"/>
      <x:c r="X88" s="38"/>
      <x:c r="Y88" s="38"/>
      <x:c r="Z88" s="38"/>
      <x:c r="AA88" s="23"/>
      <x:c r="AB88" s="23"/>
      <x:c r="AC88" s="23" t="n">
        <x:v>39.973</x:v>
      </x:c>
      <x:c r="AD88" s="23" t="n">
        <x:v>89.49712</x:v>
      </x:c>
      <x:c r="AE88" s="23" t="n">
        <x:v>-96.87275</x:v>
      </x:c>
      <x:c r="AF88" s="23" t="n">
        <x:v>-92.03316</x:v>
      </x:c>
      <x:c r="AG88" s="23" t="n">
        <x:v>4065.18</x:v>
      </x:c>
      <x:c r="AH88" s="23" t="n">
        <x:v>4510.06</x:v>
      </x:c>
      <x:c r="AI88" s="23" t="n">
        <x:v>6715.46</x:v>
      </x:c>
      <x:c r="AJ88" s="23" t="n">
        <x:v>4065.18</x:v>
      </x:c>
      <x:c r="AK88" s="23" t="n">
        <x:v>-39.047354</x:v>
      </x:c>
      <x:c r="AL88" s="11" t="str">
        <x:v>{"market":"恒生指数","marketSymbol":"^HSI","marketReturn20Pct":-2.977908,"marketReturn60Pct":-3.187903,"excess20Pct":-0.085256,"excess60Pct":-9.980116,"industryBenchmark":null,"industryExcess20Pct":null,"industryExcess60Pct":null}</x:v>
      </x:c>
      <x:c r="AM88" s="11" t="str">
        <x:v>739日收盘与恒生指数公司价格指数逐日相同；开高低仅腾讯，官方最新日高低另核一致。；官方top10接口当前返回10月8日，不能当成10月9日权重；当日文件另取。；当前方法v1.5注明2026年11月检讨起50成分，10月9日30成分口径保留；该方法准确发布日期未取得，未来规则不视为截止日已知事实。</x:v>
      </x:c>
      <x:c r="AN88" s="11" t="str">
        <x:v>https://qt.gtimg.cn/q=hk06690,hk00522,hk09618,hk01347,hkHSTECH,hk00700,hk09626,hk06618,hk09988,hk02382,hk09961,hk03690,hk00772,hk01024,hk00285,hk00300,hk06060,hk02015,hk09868,hk00780,hk01810,hk09866,hk00020,hk00268,hk03888
https://query2.finance.yahoo.com/v8/finance/chart/%5EHSTECH?range=3y&amp;interval=1d&amp;events=div%2Csplits
https://proxy.finance.qq.com/ifzqgtimg/appstock/app/fqkline/get?param=hkHSTECH,day,2023-10-09,2026-10-09,1000,qfq
https://www.hsi.com.hk/api/wsit-hsi-ddoc-ea-public-website-proxy/v1/product-data/pub/series/metadata/v2?data=values&amp;language=en-hk&amp;seriesCode=hstech
https://www.hsi.com.hk/api/wsit-hsi-ddoc-ea-public-website-proxy/v1/product-data/pub/indexes/metadata/v2?data=valueHistoryPub&amp;indexCodes=02083.00&amp;language=en-hk</x:v>
      </x:c>
    </x:row>
    <x:row r="89" ht="23" customHeight="1">
      <x:c r="A89" s="11" t="str">
        <x:v>S083</x:v>
      </x:c>
      <x:c r="B89" s="11" t="str">
        <x:v>I072</x:v>
      </x:c>
      <x:c r="C89" s="11" t="str">
        <x:v>00700.HK</x:v>
      </x:c>
      <x:c r="D89" s="11" t="str">
        <x:v>腾讯控股</x:v>
      </x:c>
      <x:c r="E89" s="11" t="str">
        <x:v>HKD</x:v>
      </x:c>
      <x:c r="F89" s="23" t="n">
        <x:v>424.8</x:v>
      </x:c>
      <x:c r="G89" s="23" t="str">
        <x:v>2026-10-09</x:v>
      </x:c>
      <x:c r="H89" s="23" t="n">
        <x:v>424.8</x:v>
      </x:c>
      <x:c r="I89" s="23" t="str">
        <x:v>2026-10-09</x:v>
      </x:c>
      <x:c r="J89" s="37" t="b">
        <x:v>1</x:v>
      </x:c>
      <x:c r="K89" s="23" t="n">
        <x:v>739</x:v>
      </x:c>
      <x:c r="L89" s="23" t="str">
        <x:v>Yahoo Finance chart</x:v>
      </x:c>
      <x:c r="M89" s="23" t="str">
        <x:v>high</x:v>
      </x:c>
      <x:c r="N89" s="23" t="str">
        <x:v>中短期下降</x:v>
      </x:c>
      <x:c r="O89" s="23" t="n">
        <x:v>430.289999</x:v>
      </x:c>
      <x:c r="P89" s="23" t="n">
        <x:v>446.38</x:v>
      </x:c>
      <x:c r="Q89" s="23" t="n">
        <x:v>451.122118</x:v>
      </x:c>
      <x:c r="R89" s="23" t="n">
        <x:v>517.624684</x:v>
      </x:c>
      <x:c r="S89" s="23" t="n">
        <x:v>-0.786258</x:v>
      </x:c>
      <x:c r="T89" s="23" t="n">
        <x:v>-0.829421</x:v>
      </x:c>
      <x:c r="U89" s="23" t="n">
        <x:v>-0.187974</x:v>
      </x:c>
      <x:c r="V89" s="23" t="n">
        <x:v>-12.231407</x:v>
      </x:c>
      <x:c r="W89" s="38" t="n">
        <x:v>20422500</x:v>
      </x:c>
      <x:c r="X89" s="38" t="n">
        <x:v>16360306.8</x:v>
      </x:c>
      <x:c r="Y89" s="38" t="n">
        <x:v>19972030.15</x:v>
      </x:c>
      <x:c r="Z89" s="38" t="n">
        <x:v>23061031.3</x:v>
      </x:c>
      <x:c r="AA89" s="23" t="n">
        <x:v>1.017687</x:v>
      </x:c>
      <x:c r="AB89" s="23" t="n">
        <x:v>0.94123</x:v>
      </x:c>
      <x:c r="AC89" s="23" t="n">
        <x:v>45.798345</x:v>
      </x:c>
      <x:c r="AD89" s="23" t="n">
        <x:v>11.201733</x:v>
      </x:c>
      <x:c r="AE89" s="23" t="n">
        <x:v>-5.723957</x:v>
      </x:c>
      <x:c r="AF89" s="23" t="n">
        <x:v>-4.859089</x:v>
      </x:c>
      <x:c r="AG89" s="23" t="n">
        <x:v>411.200012</x:v>
      </x:c>
      <x:c r="AH89" s="23" t="n">
        <x:v>463.399994</x:v>
      </x:c>
      <x:c r="AI89" s="23" t="n">
        <x:v>675.134065</x:v>
      </x:c>
      <x:c r="AJ89" s="23" t="n">
        <x:v>411</x:v>
      </x:c>
      <x:c r="AK89" s="23" t="n">
        <x:v>-38.56927</x:v>
      </x:c>
      <x:c r="AL89" s="11" t="str">
        <x:v>{"market":"恒生指数","marketSymbol":"^HSI","marketReturn20Pct":-2.977908,"marketReturn60Pct":-3.187903,"excess20Pct":2.789934,"excess60Pct":-9.043504,"industryBenchmark":"恒生科技（科技/互联网/硬件相关粗粒度参考，不代表专属行业）","industryExcess20Pct":2.87519,"industryExcess60Pct":0.936612}</x:v>
      </x:c>
      <x:c r="AM89" s="11" t="str"/>
      <x:c r="AN89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https://query2.finance.yahoo.com/v8/finance/chart/0700.HK?range=3y&amp;interval=1d&amp;events=div%2Csplits
https://proxy.finance.qq.com/ifzqgtimg/appstock/app/fqkline/get?param=hk00700,day,2023-10-09,2026-10-09,1000,qfq</x:v>
      </x:c>
    </x:row>
    <x:row r="90" ht="23" customHeight="1">
      <x:c r="A90" s="11" t="str">
        <x:v>S084</x:v>
      </x:c>
      <x:c r="B90" s="11" t="str">
        <x:v>I073</x:v>
      </x:c>
      <x:c r="C90" s="11" t="str">
        <x:v>09626.HK</x:v>
      </x:c>
      <x:c r="D90" s="11" t="str">
        <x:v>哔哩哔哩-W</x:v>
      </x:c>
      <x:c r="E90" s="11" t="str">
        <x:v>HKD</x:v>
      </x:c>
      <x:c r="F90" s="23" t="n">
        <x:v>120.4</x:v>
      </x:c>
      <x:c r="G90" s="23" t="str">
        <x:v>2026-10-09</x:v>
      </x:c>
      <x:c r="H90" s="23" t="n">
        <x:v>120.4</x:v>
      </x:c>
      <x:c r="I90" s="23" t="str">
        <x:v>2026-10-09</x:v>
      </x:c>
      <x:c r="J90" s="37" t="b">
        <x:v>1</x:v>
      </x:c>
      <x:c r="K90" s="23" t="n">
        <x:v>739</x:v>
      </x:c>
      <x:c r="L90" s="23" t="str">
        <x:v>Yahoo Finance chart</x:v>
      </x:c>
      <x:c r="M90" s="23" t="str">
        <x:v>high</x:v>
      </x:c>
      <x:c r="N90" s="23" t="str">
        <x:v>短期反弹，仍低于60日线</x:v>
      </x:c>
      <x:c r="O90" s="23" t="n">
        <x:v>117.875001</x:v>
      </x:c>
      <x:c r="P90" s="23" t="n">
        <x:v>129.846666</x:v>
      </x:c>
      <x:c r="Q90" s="23" t="n">
        <x:v>139.735833</x:v>
      </x:c>
      <x:c r="R90" s="23" t="n">
        <x:v>178.9844</x:v>
      </x:c>
      <x:c r="S90" s="23" t="n">
        <x:v>-1.355706</x:v>
      </x:c>
      <x:c r="T90" s="23" t="n">
        <x:v>-1.492009</x:v>
      </x:c>
      <x:c r="U90" s="23" t="n">
        <x:v>-1.149426</x:v>
      </x:c>
      <x:c r="V90" s="23" t="n">
        <x:v>-18.59364</x:v>
      </x:c>
      <x:c r="W90" s="38" t="n">
        <x:v>3021380</x:v>
      </x:c>
      <x:c r="X90" s="38" t="n">
        <x:v>1681658</x:v>
      </x:c>
      <x:c r="Y90" s="38" t="n">
        <x:v>3350648.4</x:v>
      </x:c>
      <x:c r="Z90" s="38" t="n">
        <x:v>4069444.6</x:v>
      </x:c>
      <x:c r="AA90" s="23" t="n">
        <x:v>0.880982</x:v>
      </x:c>
      <x:c r="AB90" s="23" t="n">
        <x:v>1.102203</x:v>
      </x:c>
      <x:c r="AC90" s="23" t="n">
        <x:v>50.054478</x:v>
      </x:c>
      <x:c r="AD90" s="23" t="n">
        <x:v>4.128849</x:v>
      </x:c>
      <x:c r="AE90" s="23" t="n">
        <x:v>-2.538153</x:v>
      </x:c>
      <x:c r="AF90" s="23" t="n">
        <x:v>-3.281391</x:v>
      </x:c>
      <x:c r="AG90" s="23" t="n">
        <x:v>112.199997</x:v>
      </x:c>
      <x:c r="AH90" s="23" t="n">
        <x:v>125.300003</x:v>
      </x:c>
      <x:c r="AI90" s="23" t="n">
        <x:v>285.600006</x:v>
      </x:c>
      <x:c r="AJ90" s="23" t="n">
        <x:v>112.199997</x:v>
      </x:c>
      <x:c r="AK90" s="23" t="n">
        <x:v>-59.430605</x:v>
      </x:c>
      <x:c r="AL90" s="11" t="str">
        <x:v>{"market":"恒生指数","marketSymbol":"^HSI","marketReturn20Pct":-2.977908,"marketReturn60Pct":-3.187903,"excess20Pct":1.828482,"excess60Pct":-15.405737,"industryBenchmark":"恒生科技（科技/互联网/硬件相关粗粒度参考，不代表专属行业）","industryExcess20Pct":1.913738,"industryExcess60Pct":-5.425621}</x:v>
      </x:c>
      <x:c r="AM90" s="11" t="str"/>
      <x:c r="AN90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https://query2.finance.yahoo.com/v8/finance/chart/9626.HK?range=3y&amp;interval=1d&amp;events=div%2Csplits
https://proxy.finance.qq.com/ifzqgtimg/appstock/app/fqkline/get?param=hk09626,day,2023-10-09,2026-10-09,1000,qfq</x:v>
      </x:c>
    </x:row>
    <x:row r="91" ht="23" customHeight="1">
      <x:c r="A91" s="11" t="str">
        <x:v>S085</x:v>
      </x:c>
      <x:c r="B91" s="11" t="str">
        <x:v>I074</x:v>
      </x:c>
      <x:c r="C91" s="11" t="str">
        <x:v>06618.HK</x:v>
      </x:c>
      <x:c r="D91" s="11" t="str">
        <x:v>京东健康</x:v>
      </x:c>
      <x:c r="E91" s="11" t="str">
        <x:v>HKD</x:v>
      </x:c>
      <x:c r="F91" s="23" t="n">
        <x:v>36.08</x:v>
      </x:c>
      <x:c r="G91" s="23" t="str">
        <x:v>2026-10-09</x:v>
      </x:c>
      <x:c r="H91" s="23" t="n">
        <x:v>36.08</x:v>
      </x:c>
      <x:c r="I91" s="23" t="str">
        <x:v>2026-10-09</x:v>
      </x:c>
      <x:c r="J91" s="37" t="b">
        <x:v>1</x:v>
      </x:c>
      <x:c r="K91" s="23" t="n">
        <x:v>739</x:v>
      </x:c>
      <x:c r="L91" s="23" t="str">
        <x:v>Yahoo Finance chart</x:v>
      </x:c>
      <x:c r="M91" s="23" t="str">
        <x:v>high</x:v>
      </x:c>
      <x:c r="N91" s="23" t="str">
        <x:v>短期反弹，仍低于60日线</x:v>
      </x:c>
      <x:c r="O91" s="23" t="n">
        <x:v>35.395</x:v>
      </x:c>
      <x:c r="P91" s="23" t="n">
        <x:v>37.134333</x:v>
      </x:c>
      <x:c r="Q91" s="23" t="n">
        <x:v>38.627833</x:v>
      </x:c>
      <x:c r="R91" s="23" t="n">
        <x:v>49.09264</x:v>
      </x:c>
      <x:c r="S91" s="23" t="n">
        <x:v>-0.500379</x:v>
      </x:c>
      <x:c r="T91" s="23" t="n">
        <x:v>-0.488611</x:v>
      </x:c>
      <x:c r="U91" s="23" t="n">
        <x:v>4.157053</x:v>
      </x:c>
      <x:c r="V91" s="23" t="n">
        <x:v>-7.959181</x:v>
      </x:c>
      <x:c r="W91" s="38" t="n">
        <x:v>4971420</x:v>
      </x:c>
      <x:c r="X91" s="38" t="n">
        <x:v>3245047</x:v>
      </x:c>
      <x:c r="Y91" s="38" t="n">
        <x:v>6564164.9</x:v>
      </x:c>
      <x:c r="Z91" s="38" t="n">
        <x:v>8067565.817</x:v>
      </x:c>
      <x:c r="AA91" s="23" t="n">
        <x:v>0.731674</x:v>
      </x:c>
      <x:c r="AB91" s="23" t="n">
        <x:v>1.631758</x:v>
      </x:c>
      <x:c r="AC91" s="23" t="n">
        <x:v>52.055739</x:v>
      </x:c>
      <x:c r="AD91" s="23" t="n">
        <x:v>1.252388</x:v>
      </x:c>
      <x:c r="AE91" s="23" t="n">
        <x:v>-0.308366</x:v>
      </x:c>
      <x:c r="AF91" s="23" t="n">
        <x:v>-0.424011</x:v>
      </x:c>
      <x:c r="AG91" s="23" t="n">
        <x:v>33.380001</x:v>
      </x:c>
      <x:c r="AH91" s="23" t="n">
        <x:v>37.580002</x:v>
      </x:c>
      <x:c r="AI91" s="23" t="n">
        <x:v>71.699997</x:v>
      </x:c>
      <x:c r="AJ91" s="23" t="n">
        <x:v>31.84</x:v>
      </x:c>
      <x:c r="AK91" s="23" t="n">
        <x:v>-54.084711</x:v>
      </x:c>
      <x:c r="AL91" s="11" t="str">
        <x:v>{"market":"恒生指数","marketSymbol":"^HSI","marketReturn20Pct":-2.977908,"marketReturn60Pct":-3.187903,"excess20Pct":7.134961,"excess60Pct":-4.771278,"industryBenchmark":"恒生科技（科技/互联网/硬件相关粗粒度参考，不代表专属行业）","industryExcess20Pct":7.220217,"industryExcess60Pct":5.208838}</x:v>
      </x:c>
      <x:c r="AM91" s="11" t="str"/>
      <x:c r="AN91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https://query2.finance.yahoo.com/v8/finance/chart/6618.HK?range=3y&amp;interval=1d&amp;events=div%2Csplits
https://proxy.finance.qq.com/ifzqgtimg/appstock/app/fqkline/get?param=hk06618,day,2023-10-09,2026-10-09,1000,qfq</x:v>
      </x:c>
    </x:row>
    <x:row r="92" ht="23" customHeight="1">
      <x:c r="A92" s="11" t="str">
        <x:v>S086</x:v>
      </x:c>
      <x:c r="B92" s="11" t="str">
        <x:v>I075</x:v>
      </x:c>
      <x:c r="C92" s="11" t="str">
        <x:v>09988.HK</x:v>
      </x:c>
      <x:c r="D92" s="11" t="str">
        <x:v>阿里巴巴-W</x:v>
      </x:c>
      <x:c r="E92" s="11" t="str">
        <x:v>HKD</x:v>
      </x:c>
      <x:c r="F92" s="23" t="n">
        <x:v>107</x:v>
      </x:c>
      <x:c r="G92" s="23" t="str">
        <x:v>2026-10-09</x:v>
      </x:c>
      <x:c r="H92" s="23" t="n">
        <x:v>107</x:v>
      </x:c>
      <x:c r="I92" s="23" t="str">
        <x:v>2026-10-09</x:v>
      </x:c>
      <x:c r="J92" s="37" t="b">
        <x:v>1</x:v>
      </x:c>
      <x:c r="K92" s="23" t="n">
        <x:v>739</x:v>
      </x:c>
      <x:c r="L92" s="23" t="str">
        <x:v>Yahoo Finance chart</x:v>
      </x:c>
      <x:c r="M92" s="23" t="str">
        <x:v>high</x:v>
      </x:c>
      <x:c r="N92" s="23" t="str">
        <x:v>中短期下降</x:v>
      </x:c>
      <x:c r="O92" s="23" t="n">
        <x:v>107.6</x:v>
      </x:c>
      <x:c r="P92" s="23" t="n">
        <x:v>113.833333</x:v>
      </x:c>
      <x:c r="Q92" s="23" t="n">
        <x:v>116.230565</x:v>
      </x:c>
      <x:c r="R92" s="23" t="n">
        <x:v>133.922198</x:v>
      </x:c>
      <x:c r="S92" s="23" t="n">
        <x:v>-0.71969</x:v>
      </x:c>
      <x:c r="T92" s="23" t="n">
        <x:v>-0.461985</x:v>
      </x:c>
      <x:c r="U92" s="23" t="n">
        <x:v>0.093543</x:v>
      </x:c>
      <x:c r="V92" s="23" t="n">
        <x:v>-8.468778</x:v>
      </x:c>
      <x:c r="W92" s="38" t="n">
        <x:v>72349748</x:v>
      </x:c>
      <x:c r="X92" s="38" t="n">
        <x:v>50841653.6</x:v>
      </x:c>
      <x:c r="Y92" s="38" t="n">
        <x:v>55050849.45</x:v>
      </x:c>
      <x:c r="Z92" s="38" t="n">
        <x:v>81787596.25</x:v>
      </x:c>
      <x:c r="AA92" s="23" t="n">
        <x:v>1.321976</x:v>
      </x:c>
      <x:c r="AB92" s="23" t="n">
        <x:v>1.135153</x:v>
      </x:c>
      <x:c r="AC92" s="23" t="n">
        <x:v>46.530018</x:v>
      </x:c>
      <x:c r="AD92" s="23" t="n">
        <x:v>3.658986</x:v>
      </x:c>
      <x:c r="AE92" s="23" t="n">
        <x:v>-1.780081</x:v>
      </x:c>
      <x:c r="AF92" s="23" t="n">
        <x:v>-1.839373</x:v>
      </x:c>
      <x:c r="AG92" s="23" t="n">
        <x:v>102.599998</x:v>
      </x:c>
      <x:c r="AH92" s="23" t="n">
        <x:v>118.300003</x:v>
      </x:c>
      <x:c r="AI92" s="23" t="n">
        <x:v>185.99129</x:v>
      </x:c>
      <x:c r="AJ92" s="23" t="n">
        <x:v>88.650002</x:v>
      </x:c>
      <x:c r="AK92" s="23" t="n">
        <x:v>-51.593502</x:v>
      </x:c>
      <x:c r="AL92" s="11" t="str">
        <x:v>{"market":"恒生指数","marketSymbol":"^HSI","marketReturn20Pct":-2.977908,"marketReturn60Pct":-3.187903,"excess20Pct":3.071451,"excess60Pct":-5.280875,"industryBenchmark":"恒生科技（科技/互联网/硬件相关粗粒度参考，不代表专属行业）","industryExcess20Pct":3.156707,"industryExcess60Pct":4.699241}</x:v>
      </x:c>
      <x:c r="AM92" s="11" t="str"/>
      <x:c r="AN92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https://query2.finance.yahoo.com/v8/finance/chart/9988.HK?range=3y&amp;interval=1d&amp;events=div%2Csplits
https://proxy.finance.qq.com/ifzqgtimg/appstock/app/fqkline/get?param=hk09988,day,2023-10-09,2026-10-09,1000,qfq</x:v>
      </x:c>
    </x:row>
    <x:row r="93" ht="23" customHeight="1">
      <x:c r="A93" s="11" t="str">
        <x:v>S087</x:v>
      </x:c>
      <x:c r="B93" s="11" t="str">
        <x:v>I076</x:v>
      </x:c>
      <x:c r="C93" s="11" t="str">
        <x:v>02382.HK</x:v>
      </x:c>
      <x:c r="D93" s="11" t="str">
        <x:v>舜宇光学科技</x:v>
      </x:c>
      <x:c r="E93" s="11" t="str">
        <x:v>HKD</x:v>
      </x:c>
      <x:c r="F93" s="23" t="n">
        <x:v>60.5</x:v>
      </x:c>
      <x:c r="G93" s="23" t="str">
        <x:v>2026-10-09</x:v>
      </x:c>
      <x:c r="H93" s="23" t="n">
        <x:v>60.5</x:v>
      </x:c>
      <x:c r="I93" s="23" t="str">
        <x:v>2026-10-09</x:v>
      </x:c>
      <x:c r="J93" s="37" t="b">
        <x:v>1</x:v>
      </x:c>
      <x:c r="K93" s="23" t="n">
        <x:v>739</x:v>
      </x:c>
      <x:c r="L93" s="23" t="str">
        <x:v>Yahoo Finance chart</x:v>
      </x:c>
      <x:c r="M93" s="23" t="str">
        <x:v>high</x:v>
      </x:c>
      <x:c r="N93" s="23" t="str">
        <x:v>趋势交错/震荡</x:v>
      </x:c>
      <x:c r="O93" s="23" t="n">
        <x:v>64.8925</x:v>
      </x:c>
      <x:c r="P93" s="23" t="n">
        <x:v>62.66</x:v>
      </x:c>
      <x:c r="Q93" s="23" t="n">
        <x:v>65.003089</x:v>
      </x:c>
      <x:c r="R93" s="23" t="n">
        <x:v>64.586186</x:v>
      </x:c>
      <x:c r="S93" s="23" t="n">
        <x:v>-2.560157</x:v>
      </x:c>
      <x:c r="T93" s="23" t="n">
        <x:v>0.884172</x:v>
      </x:c>
      <x:c r="U93" s="23" t="n">
        <x:v>-12.063957</x:v>
      </x:c>
      <x:c r="V93" s="23" t="n">
        <x:v>7.2695</x:v>
      </x:c>
      <x:c r="W93" s="38" t="n">
        <x:v>5156095</x:v>
      </x:c>
      <x:c r="X93" s="38" t="n">
        <x:v>5711232.8</x:v>
      </x:c>
      <x:c r="Y93" s="38" t="n">
        <x:v>6667829.7</x:v>
      </x:c>
      <x:c r="Z93" s="38" t="n">
        <x:v>10860507.9</x:v>
      </x:c>
      <x:c r="AA93" s="23" t="n">
        <x:v>0.757523</x:v>
      </x:c>
      <x:c r="AB93" s="23" t="n">
        <x:v>0.87365</x:v>
      </x:c>
      <x:c r="AC93" s="23" t="n">
        <x:v>39.00008</x:v>
      </x:c>
      <x:c r="AD93" s="23" t="n">
        <x:v>2.486097</x:v>
      </x:c>
      <x:c r="AE93" s="23" t="n">
        <x:v>-1.006659</x:v>
      </x:c>
      <x:c r="AF93" s="23" t="n">
        <x:v>-0.389425</x:v>
      </x:c>
      <x:c r="AG93" s="23" t="n">
        <x:v>59.099998</x:v>
      </x:c>
      <x:c r="AH93" s="23" t="n">
        <x:v>70.949997</x:v>
      </x:c>
      <x:c r="AI93" s="23" t="n">
        <x:v>90.059025</x:v>
      </x:c>
      <x:c r="AJ93" s="23" t="n">
        <x:v>50.744417</x:v>
      </x:c>
      <x:c r="AK93" s="23" t="n">
        <x:v>-42.024203</x:v>
      </x:c>
      <x:c r="AL93" s="11" t="str">
        <x:v>{"market":"恒生指数","marketSymbol":"^HSI","marketReturn20Pct":-2.977908,"marketReturn60Pct":-3.187903,"excess20Pct":-9.086049,"excess60Pct":10.457403,"industryBenchmark":"恒生科技（科技/互联网/硬件相关粗粒度参考，不代表专属行业）","industryExcess20Pct":-9.000793,"industryExcess60Pct":20.437519}</x:v>
      </x:c>
      <x:c r="AM93" s="11" t="str"/>
      <x:c r="AN93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https://query2.finance.yahoo.com/v8/finance/chart/2382.HK?range=3y&amp;interval=1d&amp;events=div%2Csplits
https://proxy.finance.qq.com/ifzqgtimg/appstock/app/fqkline/get?param=hk02382,day,2023-10-09,2026-10-09,1000,qfq</x:v>
      </x:c>
    </x:row>
    <x:row r="94" ht="23" customHeight="1">
      <x:c r="A94" s="11" t="str">
        <x:v>S088</x:v>
      </x:c>
      <x:c r="B94" s="11" t="str">
        <x:v>I077</x:v>
      </x:c>
      <x:c r="C94" s="11" t="str">
        <x:v>09961.HK</x:v>
      </x:c>
      <x:c r="D94" s="11" t="str">
        <x:v>携程集团-S</x:v>
      </x:c>
      <x:c r="E94" s="11" t="str">
        <x:v>HKD</x:v>
      </x:c>
      <x:c r="F94" s="23" t="n">
        <x:v>304.4</x:v>
      </x:c>
      <x:c r="G94" s="23" t="str">
        <x:v>2026-10-09</x:v>
      </x:c>
      <x:c r="H94" s="23" t="n">
        <x:v>304.4</x:v>
      </x:c>
      <x:c r="I94" s="23" t="str">
        <x:v>2026-10-09</x:v>
      </x:c>
      <x:c r="J94" s="37" t="b">
        <x:v>1</x:v>
      </x:c>
      <x:c r="K94" s="23" t="n">
        <x:v>739</x:v>
      </x:c>
      <x:c r="L94" s="23" t="str">
        <x:v>Yahoo Finance chart</x:v>
      </x:c>
      <x:c r="M94" s="23" t="str">
        <x:v>high</x:v>
      </x:c>
      <x:c r="N94" s="23" t="str">
        <x:v>中短期下降</x:v>
      </x:c>
      <x:c r="O94" s="23" t="n">
        <x:v>310.82</x:v>
      </x:c>
      <x:c r="P94" s="23" t="n">
        <x:v>337.140001</x:v>
      </x:c>
      <x:c r="Q94" s="23" t="n">
        <x:v>354.595001</x:v>
      </x:c>
      <x:c r="R94" s="23" t="n">
        <x:v>428.9152</x:v>
      </x:c>
      <x:c r="S94" s="23" t="n">
        <x:v>-1.520817</x:v>
      </x:c>
      <x:c r="T94" s="23" t="n">
        <x:v>-0.840204</x:v>
      </x:c>
      <x:c r="U94" s="23" t="n">
        <x:v>-1.424869</x:v>
      </x:c>
      <x:c r="V94" s="23" t="n">
        <x:v>-11.046177</x:v>
      </x:c>
      <x:c r="W94" s="38" t="n">
        <x:v>1922874</x:v>
      </x:c>
      <x:c r="X94" s="38" t="n">
        <x:v>1351293</x:v>
      </x:c>
      <x:c r="Y94" s="38" t="n">
        <x:v>2902870.75</x:v>
      </x:c>
      <x:c r="Z94" s="38" t="n">
        <x:v>2851414.367</x:v>
      </x:c>
      <x:c r="AA94" s="23" t="n">
        <x:v>0.637137</x:v>
      </x:c>
      <x:c r="AB94" s="23" t="n">
        <x:v>1.269561</x:v>
      </x:c>
      <x:c r="AC94" s="23" t="n">
        <x:v>40.269872</x:v>
      </x:c>
      <x:c r="AD94" s="23" t="n">
        <x:v>8.836999</x:v>
      </x:c>
      <x:c r="AE94" s="23" t="n">
        <x:v>-8.978358</x:v>
      </x:c>
      <x:c r="AF94" s="23" t="n">
        <x:v>-8.972977</x:v>
      </x:c>
      <x:c r="AG94" s="23" t="n">
        <x:v>294.600006</x:v>
      </x:c>
      <x:c r="AH94" s="23" t="n">
        <x:v>325.600006</x:v>
      </x:c>
      <x:c r="AI94" s="23" t="n">
        <x:v>613</x:v>
      </x:c>
      <x:c r="AJ94" s="23" t="n">
        <x:v>294.600006</x:v>
      </x:c>
      <x:c r="AK94" s="23" t="n">
        <x:v>-51.395731</x:v>
      </x:c>
      <x:c r="AL94" s="11" t="str">
        <x:v>{"market":"恒生指数","marketSymbol":"^HSI","marketReturn20Pct":-2.977908,"marketReturn60Pct":-3.187903,"excess20Pct":1.553039,"excess60Pct":-7.858274,"industryBenchmark":"恒生科技（科技/互联网/硬件相关粗粒度参考，不代表专属行业）","industryExcess20Pct":1.638295,"industryExcess60Pct":2.121842}</x:v>
      </x:c>
      <x:c r="AM94" s="11" t="str"/>
      <x:c r="AN94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https://query2.finance.yahoo.com/v8/finance/chart/9961.HK?range=3y&amp;interval=1d&amp;events=div%2Csplits
https://proxy.finance.qq.com/ifzqgtimg/appstock/app/fqkline/get?param=hk09961,day,2023-10-09,2026-10-09,1000,qfq</x:v>
      </x:c>
    </x:row>
    <x:row r="95" ht="23" customHeight="1">
      <x:c r="A95" s="11" t="str">
        <x:v>S089</x:v>
      </x:c>
      <x:c r="B95" s="11" t="str">
        <x:v>I078</x:v>
      </x:c>
      <x:c r="C95" s="11" t="str">
        <x:v>03690.HK</x:v>
      </x:c>
      <x:c r="D95" s="11" t="str">
        <x:v>美团-W</x:v>
      </x:c>
      <x:c r="E95" s="11" t="str">
        <x:v>HKD</x:v>
      </x:c>
      <x:c r="F95" s="23" t="n">
        <x:v>71.5</x:v>
      </x:c>
      <x:c r="G95" s="23" t="str">
        <x:v>2026-10-09</x:v>
      </x:c>
      <x:c r="H95" s="23" t="n">
        <x:v>71.5</x:v>
      </x:c>
      <x:c r="I95" s="23" t="str">
        <x:v>2026-10-09</x:v>
      </x:c>
      <x:c r="J95" s="37" t="b">
        <x:v>1</x:v>
      </x:c>
      <x:c r="K95" s="23" t="n">
        <x:v>739</x:v>
      </x:c>
      <x:c r="L95" s="23" t="str">
        <x:v>Yahoo Finance chart</x:v>
      </x:c>
      <x:c r="M95" s="23" t="str">
        <x:v>high</x:v>
      </x:c>
      <x:c r="N95" s="23" t="str">
        <x:v>中短期下降</x:v>
      </x:c>
      <x:c r="O95" s="23" t="n">
        <x:v>72.3075</x:v>
      </x:c>
      <x:c r="P95" s="23" t="n">
        <x:v>81.126667</x:v>
      </x:c>
      <x:c r="Q95" s="23" t="n">
        <x:v>80.032917</x:v>
      </x:c>
      <x:c r="R95" s="23" t="n">
        <x:v>87.3478</x:v>
      </x:c>
      <x:c r="S95" s="23" t="n">
        <x:v>-2.851672</x:v>
      </x:c>
      <x:c r="T95" s="23" t="n">
        <x:v>-1.096199</x:v>
      </x:c>
      <x:c r="U95" s="23" t="n">
        <x:v>-4.347826</x:v>
      </x:c>
      <x:c r="V95" s="23" t="n">
        <x:v>-18.004584</x:v>
      </x:c>
      <x:c r="W95" s="38" t="n">
        <x:v>23926883</x:v>
      </x:c>
      <x:c r="X95" s="38" t="n">
        <x:v>16822167</x:v>
      </x:c>
      <x:c r="Y95" s="38" t="n">
        <x:v>20888698.15</x:v>
      </x:c>
      <x:c r="Z95" s="38" t="n">
        <x:v>37203794.633</x:v>
      </x:c>
      <x:c r="AA95" s="23" t="n">
        <x:v>1.084333</x:v>
      </x:c>
      <x:c r="AB95" s="23" t="n">
        <x:v>0.74017</x:v>
      </x:c>
      <x:c r="AC95" s="23" t="n">
        <x:v>41.110259</x:v>
      </x:c>
      <x:c r="AD95" s="23" t="n">
        <x:v>2.231376</x:v>
      </x:c>
      <x:c r="AE95" s="23" t="n">
        <x:v>-2.369773</x:v>
      </x:c>
      <x:c r="AF95" s="23" t="n">
        <x:v>-2.599596</x:v>
      </x:c>
      <x:c r="AG95" s="23" t="n">
        <x:v>68.800003</x:v>
      </x:c>
      <x:c r="AH95" s="23" t="n">
        <x:v>76.300003</x:v>
      </x:c>
      <x:c r="AI95" s="23" t="n">
        <x:v>108</x:v>
      </x:c>
      <x:c r="AJ95" s="23" t="n">
        <x:v>63.650002</x:v>
      </x:c>
      <x:c r="AK95" s="23" t="n">
        <x:v>-39.44392</x:v>
      </x:c>
      <x:c r="AL95" s="11" t="str">
        <x:v>{"market":"恒生指数","marketSymbol":"^HSI","marketReturn20Pct":-2.977908,"marketReturn60Pct":-3.187903,"excess20Pct":-1.369918,"excess60Pct":-14.816681,"industryBenchmark":"恒生科技（科技/互联网/硬件相关粗粒度参考，不代表专属行业）","industryExcess20Pct":-1.284662,"industryExcess60Pct":-4.836565}</x:v>
      </x:c>
      <x:c r="AM95" s="11" t="str"/>
      <x:c r="AN95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https://query2.finance.yahoo.com/v8/finance/chart/3690.HK?range=3y&amp;interval=1d&amp;events=div%2Csplits
https://proxy.finance.qq.com/ifzqgtimg/appstock/app/fqkline/get?param=hk03690,day,2023-10-09,2026-10-09,1000,qfq</x:v>
      </x:c>
    </x:row>
    <x:row r="96" ht="23" customHeight="1">
      <x:c r="A96" s="11" t="str">
        <x:v>S090</x:v>
      </x:c>
      <x:c r="B96" s="11" t="str">
        <x:v>I079</x:v>
      </x:c>
      <x:c r="C96" s="11" t="str">
        <x:v>00772.HK</x:v>
      </x:c>
      <x:c r="D96" s="11" t="str">
        <x:v>阅文集团</x:v>
      </x:c>
      <x:c r="E96" s="11" t="str">
        <x:v>HKD</x:v>
      </x:c>
      <x:c r="F96" s="23" t="n">
        <x:v>20.84</x:v>
      </x:c>
      <x:c r="G96" s="23" t="str">
        <x:v>2026-10-09</x:v>
      </x:c>
      <x:c r="H96" s="23" t="n">
        <x:v>20.84</x:v>
      </x:c>
      <x:c r="I96" s="23" t="str">
        <x:v>2026-10-09</x:v>
      </x:c>
      <x:c r="J96" s="37" t="b">
        <x:v>1</x:v>
      </x:c>
      <x:c r="K96" s="23" t="n">
        <x:v>739</x:v>
      </x:c>
      <x:c r="L96" s="23" t="str">
        <x:v>Yahoo Finance chart</x:v>
      </x:c>
      <x:c r="M96" s="23" t="str">
        <x:v>high</x:v>
      </x:c>
      <x:c r="N96" s="23" t="str">
        <x:v>趋势交错/震荡</x:v>
      </x:c>
      <x:c r="O96" s="23" t="n">
        <x:v>19.6715</x:v>
      </x:c>
      <x:c r="P96" s="23" t="n">
        <x:v>20.142833</x:v>
      </x:c>
      <x:c r="Q96" s="23" t="n">
        <x:v>21.621917</x:v>
      </x:c>
      <x:c r="R96" s="23" t="n">
        <x:v>28.3526</x:v>
      </x:c>
      <x:c r="S96" s="23" t="n">
        <x:v>-1.304469</x:v>
      </x:c>
      <x:c r="T96" s="23" t="n">
        <x:v>-0.07937</x:v>
      </x:c>
      <x:c r="U96" s="23" t="n">
        <x:v>5.62595</x:v>
      </x:c>
      <x:c r="V96" s="23" t="n">
        <x:v>0.385356</x:v>
      </x:c>
      <x:c r="W96" s="38" t="n">
        <x:v>10180180</x:v>
      </x:c>
      <x:c r="X96" s="38" t="n">
        <x:v>3963471.4</x:v>
      </x:c>
      <x:c r="Y96" s="38" t="n">
        <x:v>4076657.25</x:v>
      </x:c>
      <x:c r="Z96" s="38" t="n">
        <x:v>5814154.167</x:v>
      </x:c>
      <x:c r="AA96" s="23" t="n">
        <x:v>2.703454</x:v>
      </x:c>
      <x:c r="AB96" s="23" t="n">
        <x:v>2.167305</x:v>
      </x:c>
      <x:c r="AC96" s="23" t="n">
        <x:v>57.511956</x:v>
      </x:c>
      <x:c r="AD96" s="23" t="n">
        <x:v>0.949123</x:v>
      </x:c>
      <x:c r="AE96" s="23" t="n">
        <x:v>-0.051513</x:v>
      </x:c>
      <x:c r="AF96" s="23" t="n">
        <x:v>-0.147819</x:v>
      </x:c>
      <x:c r="AG96" s="23" t="n">
        <x:v>18.719999</x:v>
      </x:c>
      <x:c r="AH96" s="23" t="n">
        <x:v>21.219999</x:v>
      </x:c>
      <x:c r="AI96" s="23" t="n">
        <x:v>45.5</x:v>
      </x:c>
      <x:c r="AJ96" s="23" t="n">
        <x:v>18</x:v>
      </x:c>
      <x:c r="AK96" s="23" t="n">
        <x:v>-58.685766</x:v>
      </x:c>
      <x:c r="AL96" s="11" t="str">
        <x:v>{"market":"恒生指数","marketSymbol":"^HSI","marketReturn20Pct":-2.977908,"marketReturn60Pct":-3.187903,"excess20Pct":8.603858,"excess60Pct":3.573259,"industryBenchmark":"恒生科技（科技/互联网/硬件相关粗粒度参考，不代表专属行业）","industryExcess20Pct":8.689114,"industryExcess60Pct":13.553375}</x:v>
      </x:c>
      <x:c r="AM96" s="11" t="str">
        <x:v>1根Yahoo OHLC逻辑不一致，按腾讯同日完整bar修复，原字段及修复记录在历史文件</x:v>
      </x:c>
      <x:c r="AN96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https://query2.finance.yahoo.com/v8/finance/chart/0772.HK?range=3y&amp;interval=1d&amp;events=div%2Csplits
https://proxy.finance.qq.com/ifzqgtimg/appstock/app/fqkline/get?param=hk00772,day,2023-10-09,2026-10-09,1000,qfq</x:v>
      </x:c>
    </x:row>
    <x:row r="97" ht="23" customHeight="1">
      <x:c r="A97" s="11" t="str">
        <x:v>S091</x:v>
      </x:c>
      <x:c r="B97" s="11" t="str">
        <x:v>I080</x:v>
      </x:c>
      <x:c r="C97" s="11" t="str">
        <x:v>01024.HK</x:v>
      </x:c>
      <x:c r="D97" s="11" t="str">
        <x:v>快手-W</x:v>
      </x:c>
      <x:c r="E97" s="11" t="str">
        <x:v>HKD</x:v>
      </x:c>
      <x:c r="F97" s="23" t="n">
        <x:v>30.1</x:v>
      </x:c>
      <x:c r="G97" s="23" t="str">
        <x:v>2026-10-09</x:v>
      </x:c>
      <x:c r="H97" s="23" t="n">
        <x:v>30.1</x:v>
      </x:c>
      <x:c r="I97" s="23" t="str">
        <x:v>2026-10-09</x:v>
      </x:c>
      <x:c r="J97" s="37" t="b">
        <x:v>1</x:v>
      </x:c>
      <x:c r="K97" s="23" t="n">
        <x:v>739</x:v>
      </x:c>
      <x:c r="L97" s="23" t="str">
        <x:v>Yahoo Finance chart</x:v>
      </x:c>
      <x:c r="M97" s="23" t="str">
        <x:v>high</x:v>
      </x:c>
      <x:c r="N97" s="23" t="str">
        <x:v>中短期下降</x:v>
      </x:c>
      <x:c r="O97" s="23" t="n">
        <x:v>30.24</x:v>
      </x:c>
      <x:c r="P97" s="23" t="n">
        <x:v>36.103333</x:v>
      </x:c>
      <x:c r="Q97" s="23" t="n">
        <x:v>40.513664</x:v>
      </x:c>
      <x:c r="R97" s="23" t="n">
        <x:v>53.828828</x:v>
      </x:c>
      <x:c r="S97" s="23" t="n">
        <x:v>-2.677652</x:v>
      </x:c>
      <x:c r="T97" s="23" t="n">
        <x:v>-3.305003</x:v>
      </x:c>
      <x:c r="U97" s="23" t="n">
        <x:v>-4.927353</x:v>
      </x:c>
      <x:c r="V97" s="23" t="n">
        <x:v>-35.84825</x:v>
      </x:c>
      <x:c r="W97" s="38" t="n">
        <x:v>58192115</x:v>
      </x:c>
      <x:c r="X97" s="38" t="n">
        <x:v>30174454.8</x:v>
      </x:c>
      <x:c r="Y97" s="38" t="n">
        <x:v>31511359.15</x:v>
      </x:c>
      <x:c r="Z97" s="38" t="n">
        <x:v>43949876.6</x:v>
      </x:c>
      <x:c r="AA97" s="23" t="n">
        <x:v>1.905443</x:v>
      </x:c>
      <x:c r="AB97" s="23" t="n">
        <x:v>1.026184</x:v>
      </x:c>
      <x:c r="AC97" s="23" t="n">
        <x:v>42.722058</x:v>
      </x:c>
      <x:c r="AD97" s="23" t="n">
        <x:v>1.157861</x:v>
      </x:c>
      <x:c r="AE97" s="23" t="n">
        <x:v>-1.286546</x:v>
      </x:c>
      <x:c r="AF97" s="23" t="n">
        <x:v>-1.502481</x:v>
      </x:c>
      <x:c r="AG97" s="23" t="n">
        <x:v>28.52</x:v>
      </x:c>
      <x:c r="AH97" s="23" t="n">
        <x:v>32.040001</x:v>
      </x:c>
      <x:c r="AI97" s="23" t="n">
        <x:v>91.037031</x:v>
      </x:c>
      <x:c r="AJ97" s="23" t="n">
        <x:v>28.52</x:v>
      </x:c>
      <x:c r="AK97" s="23" t="n">
        <x:v>-68.394132</x:v>
      </x:c>
      <x:c r="AL97" s="11" t="str">
        <x:v>{"market":"恒生指数","marketSymbol":"^HSI","marketReturn20Pct":-2.977908,"marketReturn60Pct":-3.187903,"excess20Pct":-1.949445,"excess60Pct":-32.660347,"industryBenchmark":"恒生科技（科技/互联网/硬件相关粗粒度参考，不代表专属行业）","industryExcess20Pct":-1.864189,"industryExcess60Pct":-22.680231}</x:v>
      </x:c>
      <x:c r="AM97" s="11" t="str"/>
      <x:c r="AN97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https://query2.finance.yahoo.com/v8/finance/chart/1024.HK?range=3y&amp;interval=1d&amp;events=div%2Csplits
https://proxy.finance.qq.com/ifzqgtimg/appstock/app/fqkline/get?param=hk01024,day,2023-10-09,2026-10-09,1000,qfq</x:v>
      </x:c>
    </x:row>
    <x:row r="98" ht="23" customHeight="1">
      <x:c r="A98" s="11" t="str">
        <x:v>S092</x:v>
      </x:c>
      <x:c r="B98" s="11" t="str">
        <x:v>I081</x:v>
      </x:c>
      <x:c r="C98" s="11" t="str">
        <x:v>00285.HK</x:v>
      </x:c>
      <x:c r="D98" s="11" t="str">
        <x:v>比亚迪电子</x:v>
      </x:c>
      <x:c r="E98" s="11" t="str">
        <x:v>HKD</x:v>
      </x:c>
      <x:c r="F98" s="23" t="n">
        <x:v>23.16</x:v>
      </x:c>
      <x:c r="G98" s="23" t="str">
        <x:v>2026-10-09</x:v>
      </x:c>
      <x:c r="H98" s="23" t="n">
        <x:v>23.16</x:v>
      </x:c>
      <x:c r="I98" s="23" t="str">
        <x:v>2026-10-09</x:v>
      </x:c>
      <x:c r="J98" s="37" t="b">
        <x:v>1</x:v>
      </x:c>
      <x:c r="K98" s="23" t="n">
        <x:v>739</x:v>
      </x:c>
      <x:c r="L98" s="23" t="str">
        <x:v>Yahoo Finance chart</x:v>
      </x:c>
      <x:c r="M98" s="23" t="str">
        <x:v>high</x:v>
      </x:c>
      <x:c r="N98" s="23" t="str">
        <x:v>趋势交错/震荡</x:v>
      </x:c>
      <x:c r="O98" s="23" t="n">
        <x:v>23.183</x:v>
      </x:c>
      <x:c r="P98" s="23" t="n">
        <x:v>23.885333</x:v>
      </x:c>
      <x:c r="Q98" s="23" t="n">
        <x:v>24.725086</x:v>
      </x:c>
      <x:c r="R98" s="23" t="n">
        <x:v>29.297299</x:v>
      </x:c>
      <x:c r="S98" s="23" t="n">
        <x:v>-2.288628</x:v>
      </x:c>
      <x:c r="T98" s="23" t="n">
        <x:v>0.180351</x:v>
      </x:c>
      <x:c r="U98" s="23" t="n">
        <x:v>-3.900415</x:v>
      </x:c>
      <x:c r="V98" s="23" t="n">
        <x:v>-1.278768</x:v>
      </x:c>
      <x:c r="W98" s="38" t="n">
        <x:v>10389158</x:v>
      </x:c>
      <x:c r="X98" s="38" t="n">
        <x:v>6363068.4</x:v>
      </x:c>
      <x:c r="Y98" s="38" t="n">
        <x:v>6788424.7</x:v>
      </x:c>
      <x:c r="Z98" s="38" t="n">
        <x:v>10460973.667</x:v>
      </x:c>
      <x:c r="AA98" s="23" t="n">
        <x:v>1.542403</x:v>
      </x:c>
      <x:c r="AB98" s="23" t="n">
        <x:v>0.85374</x:v>
      </x:c>
      <x:c r="AC98" s="23" t="n">
        <x:v>48.021703</x:v>
      </x:c>
      <x:c r="AD98" s="23" t="n">
        <x:v>0.964448</x:v>
      </x:c>
      <x:c r="AE98" s="23" t="n">
        <x:v>-0.299563</x:v>
      </x:c>
      <x:c r="AF98" s="23" t="n">
        <x:v>-0.304832</x:v>
      </x:c>
      <x:c r="AG98" s="23" t="n">
        <x:v>22.1</x:v>
      </x:c>
      <x:c r="AH98" s="23" t="n">
        <x:v>24.200001</x:v>
      </x:c>
      <x:c r="AI98" s="23" t="n">
        <x:v>44.289115</x:v>
      </x:c>
      <x:c r="AJ98" s="23" t="n">
        <x:v>20.1</x:v>
      </x:c>
      <x:c r="AK98" s="23" t="n">
        <x:v>-53.62411</x:v>
      </x:c>
      <x:c r="AL98" s="11" t="str">
        <x:v>{"market":"恒生指数","marketSymbol":"^HSI","marketReturn20Pct":-2.977908,"marketReturn60Pct":-3.187903,"excess20Pct":-0.922507,"excess60Pct":1.909135,"industryBenchmark":"恒生科技（科技/互联网/硬件相关粗粒度参考，不代表专属行业）","industryExcess20Pct":-0.837251,"industryExcess60Pct":11.889251}</x:v>
      </x:c>
      <x:c r="AM98" s="11" t="str"/>
      <x:c r="AN98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https://query2.finance.yahoo.com/v8/finance/chart/0285.HK?range=3y&amp;interval=1d&amp;events=div%2Csplits
https://proxy.finance.qq.com/ifzqgtimg/appstock/app/fqkline/get?param=hk00285,day,2023-10-09,2026-10-09,1000,qfq</x:v>
      </x:c>
    </x:row>
    <x:row r="99" ht="23" customHeight="1">
      <x:c r="A99" s="11" t="str">
        <x:v>S093</x:v>
      </x:c>
      <x:c r="B99" s="11" t="str">
        <x:v>I082</x:v>
      </x:c>
      <x:c r="C99" s="11" t="str">
        <x:v>00300.HK</x:v>
      </x:c>
      <x:c r="D99" s="11" t="str">
        <x:v>美的集团</x:v>
      </x:c>
      <x:c r="E99" s="11" t="str">
        <x:v>HKD</x:v>
      </x:c>
      <x:c r="F99" s="23" t="n">
        <x:v>93.65</x:v>
      </x:c>
      <x:c r="G99" s="23" t="str">
        <x:v>2026-10-09</x:v>
      </x:c>
      <x:c r="H99" s="23" t="n">
        <x:v>93.65</x:v>
      </x:c>
      <x:c r="I99" s="23" t="str">
        <x:v>2026-10-09</x:v>
      </x:c>
      <x:c r="J99" s="37" t="b">
        <x:v>1</x:v>
      </x:c>
      <x:c r="K99" s="23" t="n">
        <x:v>498</x:v>
      </x:c>
      <x:c r="L99" s="23" t="str">
        <x:v>Yahoo Finance chart</x:v>
      </x:c>
      <x:c r="M99" s="23" t="str">
        <x:v>high</x:v>
      </x:c>
      <x:c r="N99" s="23" t="str">
        <x:v>趋势交错/震荡</x:v>
      </x:c>
      <x:c r="O99" s="23" t="n">
        <x:v>95.397501</x:v>
      </x:c>
      <x:c r="P99" s="23" t="n">
        <x:v>96.788334</x:v>
      </x:c>
      <x:c r="Q99" s="23" t="n">
        <x:v>90.882627</x:v>
      </x:c>
      <x:c r="R99" s="23" t="n">
        <x:v>86.263094</x:v>
      </x:c>
      <x:c r="S99" s="23" t="n">
        <x:v>-1.972924</x:v>
      </x:c>
      <x:c r="T99" s="23" t="n">
        <x:v>0.131041</x:v>
      </x:c>
      <x:c r="U99" s="23" t="n">
        <x:v>-5.68983</x:v>
      </x:c>
      <x:c r="V99" s="23" t="n">
        <x:v>2.070847</x:v>
      </x:c>
      <x:c r="W99" s="38" t="n">
        <x:v>8489374</x:v>
      </x:c>
      <x:c r="X99" s="38" t="n">
        <x:v>5539370.4</x:v>
      </x:c>
      <x:c r="Y99" s="38" t="n">
        <x:v>5524990.05</x:v>
      </x:c>
      <x:c r="Z99" s="38" t="n">
        <x:v>5101303.5</x:v>
      </x:c>
      <x:c r="AA99" s="23" t="n">
        <x:v>1.588713</x:v>
      </x:c>
      <x:c r="AB99" s="23" t="n">
        <x:v>0.767994</x:v>
      </x:c>
      <x:c r="AC99" s="23" t="n">
        <x:v>43.768321</x:v>
      </x:c>
      <x:c r="AD99" s="23" t="n">
        <x:v>1.786897</x:v>
      </x:c>
      <x:c r="AE99" s="23" t="n">
        <x:v>-1.629933</x:v>
      </x:c>
      <x:c r="AF99" s="23" t="n">
        <x:v>-1.28627</x:v>
      </x:c>
      <x:c r="AG99" s="23" t="n">
        <x:v>90</x:v>
      </x:c>
      <x:c r="AH99" s="23" t="n">
        <x:v>101.300003</x:v>
      </x:c>
      <x:c r="AI99" s="23" t="n">
        <x:v>101.699997</x:v>
      </x:c>
      <x:c r="AJ99" s="23" t="n">
        <x:v>73.827334</x:v>
      </x:c>
      <x:c r="AK99" s="23" t="n">
        <x:v>-16.719742</x:v>
      </x:c>
      <x:c r="AL99" s="11" t="str">
        <x:v>{"market":"恒生指数","marketSymbol":"^HSI","marketReturn20Pct":-2.977908,"marketReturn60Pct":-3.187903,"excess20Pct":-2.711922,"excess60Pct":5.25875,"industryBenchmark":"恒生科技（科技/互联网/硬件相关粗粒度参考，不代表专属行业）","industryExcess20Pct":-2.626666,"industryExcess60Pct":15.238866}</x:v>
      </x:c>
      <x:c r="AM99" s="11" t="str">
        <x:v>排除1根早于可交易上市日2024-09-17的来源记录</x:v>
      </x:c>
      <x:c r="AN99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https://query2.finance.yahoo.com/v8/finance/chart/0300.HK?range=3y&amp;interval=1d&amp;events=div%2Csplits
https://proxy.finance.qq.com/ifzqgtimg/appstock/app/fqkline/get?param=hk00300,day,2023-10-09,2026-10-09,1000,qfq</x:v>
      </x:c>
    </x:row>
    <x:row r="100" ht="23" customHeight="1">
      <x:c r="A100" s="11" t="str">
        <x:v>S094</x:v>
      </x:c>
      <x:c r="B100" s="11" t="str">
        <x:v>I083</x:v>
      </x:c>
      <x:c r="C100" s="11" t="str">
        <x:v>06060.HK</x:v>
      </x:c>
      <x:c r="D100" s="11" t="str">
        <x:v>众安在线</x:v>
      </x:c>
      <x:c r="E100" s="11" t="str">
        <x:v>HKD</x:v>
      </x:c>
      <x:c r="F100" s="23" t="n">
        <x:v>9.52</x:v>
      </x:c>
      <x:c r="G100" s="23" t="str">
        <x:v>2026-10-09</x:v>
      </x:c>
      <x:c r="H100" s="23" t="n">
        <x:v>9.52</x:v>
      </x:c>
      <x:c r="I100" s="23" t="str">
        <x:v>2026-10-09</x:v>
      </x:c>
      <x:c r="J100" s="37" t="b">
        <x:v>1</x:v>
      </x:c>
      <x:c r="K100" s="23" t="n">
        <x:v>739</x:v>
      </x:c>
      <x:c r="L100" s="23" t="str">
        <x:v>Yahoo Finance chart</x:v>
      </x:c>
      <x:c r="M100" s="23" t="str">
        <x:v>high</x:v>
      </x:c>
      <x:c r="N100" s="23" t="str">
        <x:v>中短期下降</x:v>
      </x:c>
      <x:c r="O100" s="23" t="n">
        <x:v>9.8135</x:v>
      </x:c>
      <x:c r="P100" s="23" t="n">
        <x:v>10.594</x:v>
      </x:c>
      <x:c r="Q100" s="23" t="n">
        <x:v>10.707417</x:v>
      </x:c>
      <x:c r="R100" s="23" t="n">
        <x:v>13.24832</x:v>
      </x:c>
      <x:c r="S100" s="23" t="n">
        <x:v>-3.749111</x:v>
      </x:c>
      <x:c r="T100" s="23" t="n">
        <x:v>-0.478319</x:v>
      </x:c>
      <x:c r="U100" s="23" t="n">
        <x:v>-8.196721</x:v>
      </x:c>
      <x:c r="V100" s="23" t="n">
        <x:v>-9.763033</x:v>
      </x:c>
      <x:c r="W100" s="38" t="n">
        <x:v>4144711</x:v>
      </x:c>
      <x:c r="X100" s="38" t="n">
        <x:v>3561284.2</x:v>
      </x:c>
      <x:c r="Y100" s="38" t="n">
        <x:v>7055333.25</x:v>
      </x:c>
      <x:c r="Z100" s="38" t="n">
        <x:v>8463250.45</x:v>
      </x:c>
      <x:c r="AA100" s="23" t="n">
        <x:v>0.575621</x:v>
      </x:c>
      <x:c r="AB100" s="23" t="n">
        <x:v>0.817622</x:v>
      </x:c>
      <x:c r="AC100" s="23" t="n">
        <x:v>38.51261</x:v>
      </x:c>
      <x:c r="AD100" s="23" t="n">
        <x:v>0.33049</x:v>
      </x:c>
      <x:c r="AE100" s="23" t="n">
        <x:v>-0.326959</x:v>
      </x:c>
      <x:c r="AF100" s="23" t="n">
        <x:v>-0.317638</x:v>
      </x:c>
      <x:c r="AG100" s="23" t="n">
        <x:v>9.26</x:v>
      </x:c>
      <x:c r="AH100" s="23" t="n">
        <x:v>10.42</x:v>
      </x:c>
      <x:c r="AI100" s="23" t="n">
        <x:v>18.559999</x:v>
      </x:c>
      <x:c r="AJ100" s="23" t="n">
        <x:v>8.83</x:v>
      </x:c>
      <x:c r="AK100" s="23" t="n">
        <x:v>-50.819669</x:v>
      </x:c>
      <x:c r="AL100" s="11" t="str">
        <x:v>{"market":"恒生指数","marketSymbol":"^HSI","marketReturn20Pct":-2.977908,"marketReturn60Pct":-3.187903,"excess20Pct":-5.218813,"excess60Pct":-6.57513,"industryBenchmark":"恒生科技（科技/互联网/硬件相关粗粒度参考，不代表专属行业）","industryExcess20Pct":-5.133557,"industryExcess60Pct":3.404986}</x:v>
      </x:c>
      <x:c r="AM100" s="11" t="str"/>
      <x:c r="AN100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https://query2.finance.yahoo.com/v8/finance/chart/6060.HK?range=3y&amp;interval=1d&amp;events=div%2Csplits
https://proxy.finance.qq.com/ifzqgtimg/appstock/app/fqkline/get?param=hk06060,day,2023-10-09,2026-10-09,1000,qfq</x:v>
      </x:c>
    </x:row>
    <x:row r="101" ht="23" customHeight="1">
      <x:c r="A101" s="11" t="str">
        <x:v>S095</x:v>
      </x:c>
      <x:c r="B101" s="11" t="str">
        <x:v>I084</x:v>
      </x:c>
      <x:c r="C101" s="11" t="str">
        <x:v>02015.HK</x:v>
      </x:c>
      <x:c r="D101" s="11" t="str">
        <x:v>理想汽车-W</x:v>
      </x:c>
      <x:c r="E101" s="11" t="str">
        <x:v>HKD</x:v>
      </x:c>
      <x:c r="F101" s="23" t="n">
        <x:v>44.66</x:v>
      </x:c>
      <x:c r="G101" s="23" t="str">
        <x:v>2026-10-09</x:v>
      </x:c>
      <x:c r="H101" s="23" t="n">
        <x:v>44.66</x:v>
      </x:c>
      <x:c r="I101" s="23" t="str">
        <x:v>2026-10-09</x:v>
      </x:c>
      <x:c r="J101" s="37" t="b">
        <x:v>1</x:v>
      </x:c>
      <x:c r="K101" s="23" t="n">
        <x:v>739</x:v>
      </x:c>
      <x:c r="L101" s="23" t="str">
        <x:v>Yahoo Finance chart</x:v>
      </x:c>
      <x:c r="M101" s="23" t="str">
        <x:v>high</x:v>
      </x:c>
      <x:c r="N101" s="23" t="str">
        <x:v>中短期下降</x:v>
      </x:c>
      <x:c r="O101" s="23" t="n">
        <x:v>45.191</x:v>
      </x:c>
      <x:c r="P101" s="23" t="n">
        <x:v>47.798833</x:v>
      </x:c>
      <x:c r="Q101" s="23" t="n">
        <x:v>53.563333</x:v>
      </x:c>
      <x:c r="R101" s="23" t="n">
        <x:v>63.214</x:v>
      </x:c>
      <x:c r="S101" s="23" t="n">
        <x:v>-2.739756</x:v>
      </x:c>
      <x:c r="T101" s="23" t="n">
        <x:v>-0.904596</x:v>
      </x:c>
      <x:c r="U101" s="23" t="n">
        <x:v>-3.915663</x:v>
      </x:c>
      <x:c r="V101" s="23" t="n">
        <x:v>-11.388892</x:v>
      </x:c>
      <x:c r="W101" s="38" t="n">
        <x:v>8412994</x:v>
      </x:c>
      <x:c r="X101" s="38" t="n">
        <x:v>4712910.2</x:v>
      </x:c>
      <x:c r="Y101" s="38" t="n">
        <x:v>8077414.7</x:v>
      </x:c>
      <x:c r="Z101" s="38" t="n">
        <x:v>9488219.333</x:v>
      </x:c>
      <x:c r="AA101" s="23" t="n">
        <x:v>1.044305</x:v>
      </x:c>
      <x:c r="AB101" s="23" t="n">
        <x:v>1.139313</x:v>
      </x:c>
      <x:c r="AC101" s="23" t="n">
        <x:v>46.501678</x:v>
      </x:c>
      <x:c r="AD101" s="23" t="n">
        <x:v>1.678674</x:v>
      </x:c>
      <x:c r="AE101" s="23" t="n">
        <x:v>-1.193486</x:v>
      </x:c>
      <x:c r="AF101" s="23" t="n">
        <x:v>-1.131096</x:v>
      </x:c>
      <x:c r="AG101" s="23" t="n">
        <x:v>41.700001</x:v>
      </x:c>
      <x:c r="AH101" s="23" t="n">
        <x:v>48.459999</x:v>
      </x:c>
      <x:c r="AI101" s="23" t="n">
        <x:v>103.300003</x:v>
      </x:c>
      <x:c r="AJ101" s="23" t="n">
        <x:v>41.700001</x:v>
      </x:c>
      <x:c r="AK101" s="23" t="n">
        <x:v>-58.431371</x:v>
      </x:c>
      <x:c r="AL101" s="11" t="str">
        <x:v>{"market":"恒生指数","marketSymbol":"^HSI","marketReturn20Pct":-2.977908,"marketReturn60Pct":-3.187903,"excess20Pct":-0.937755,"excess60Pct":-8.200989,"industryBenchmark":"恒生科技（科技/互联网/硬件相关粗粒度参考，不代表专属行业）","industryExcess20Pct":-0.852499,"industryExcess60Pct":1.779127}</x:v>
      </x:c>
      <x:c r="AM101" s="11" t="str"/>
      <x:c r="AN101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https://query2.finance.yahoo.com/v8/finance/chart/2015.HK?range=3y&amp;interval=1d&amp;events=div%2Csplits
https://proxy.finance.qq.com/ifzqgtimg/appstock/app/fqkline/get?param=hk02015,day,2023-10-09,2026-10-09,1000,qfq</x:v>
      </x:c>
    </x:row>
    <x:row r="102" ht="23" customHeight="1">
      <x:c r="A102" s="11" t="str">
        <x:v>S096</x:v>
      </x:c>
      <x:c r="B102" s="11" t="str">
        <x:v>I085</x:v>
      </x:c>
      <x:c r="C102" s="11" t="str">
        <x:v>09868.HK</x:v>
      </x:c>
      <x:c r="D102" s="11" t="str">
        <x:v>小鹏集团-W</x:v>
      </x:c>
      <x:c r="E102" s="11" t="str">
        <x:v>HKD</x:v>
      </x:c>
      <x:c r="F102" s="23" t="n">
        <x:v>38.34</x:v>
      </x:c>
      <x:c r="G102" s="23" t="str">
        <x:v>2026-10-09</x:v>
      </x:c>
      <x:c r="H102" s="23" t="n">
        <x:v>38.34</x:v>
      </x:c>
      <x:c r="I102" s="23" t="str">
        <x:v>2026-10-09</x:v>
      </x:c>
      <x:c r="J102" s="37" t="b">
        <x:v>1</x:v>
      </x:c>
      <x:c r="K102" s="23" t="n">
        <x:v>739</x:v>
      </x:c>
      <x:c r="L102" s="23" t="str">
        <x:v>Yahoo Finance chart</x:v>
      </x:c>
      <x:c r="M102" s="23" t="str">
        <x:v>high</x:v>
      </x:c>
      <x:c r="N102" s="23" t="str">
        <x:v>中短期下降</x:v>
      </x:c>
      <x:c r="O102" s="23" t="n">
        <x:v>39.342</x:v>
      </x:c>
      <x:c r="P102" s="23" t="n">
        <x:v>44.365167</x:v>
      </x:c>
      <x:c r="Q102" s="23" t="n">
        <x:v>51.571583</x:v>
      </x:c>
      <x:c r="R102" s="23" t="n">
        <x:v>65.10416</x:v>
      </x:c>
      <x:c r="S102" s="23" t="n">
        <x:v>-3.002959</x:v>
      </x:c>
      <x:c r="T102" s="23" t="n">
        <x:v>-2.782231</x:v>
      </x:c>
      <x:c r="U102" s="23" t="n">
        <x:v>-7.836534</x:v>
      </x:c>
      <x:c r="V102" s="23" t="n">
        <x:v>-32.20159</x:v>
      </x:c>
      <x:c r="W102" s="38" t="n">
        <x:v>10734640</x:v>
      </x:c>
      <x:c r="X102" s="38" t="n">
        <x:v>6211675.2</x:v>
      </x:c>
      <x:c r="Y102" s="38" t="n">
        <x:v>7998321.95</x:v>
      </x:c>
      <x:c r="Z102" s="38" t="n">
        <x:v>11480083.15</x:v>
      </x:c>
      <x:c r="AA102" s="23" t="n">
        <x:v>1.323215</x:v>
      </x:c>
      <x:c r="AB102" s="23" t="n">
        <x:v>0.869204</x:v>
      </x:c>
      <x:c r="AC102" s="23" t="n">
        <x:v>40.760877</x:v>
      </x:c>
      <x:c r="AD102" s="23" t="n">
        <x:v>1.37401</x:v>
      </x:c>
      <x:c r="AE102" s="23" t="n">
        <x:v>-1.737023</x:v>
      </x:c>
      <x:c r="AF102" s="23" t="n">
        <x:v>-1.848361</x:v>
      </x:c>
      <x:c r="AG102" s="23" t="n">
        <x:v>35.639999</x:v>
      </x:c>
      <x:c r="AH102" s="23" t="n">
        <x:v>42.16</x:v>
      </x:c>
      <x:c r="AI102" s="23" t="n">
        <x:v>110.800003</x:v>
      </x:c>
      <x:c r="AJ102" s="23" t="n">
        <x:v>35.639999</x:v>
      </x:c>
      <x:c r="AK102" s="23" t="n">
        <x:v>-66.562213</x:v>
      </x:c>
      <x:c r="AL102" s="11" t="str">
        <x:v>{"market":"恒生指数","marketSymbol":"^HSI","marketReturn20Pct":-2.977908,"marketReturn60Pct":-3.187903,"excess20Pct":-4.858626,"excess60Pct":-29.013687,"industryBenchmark":"恒生科技（科技/互联网/硬件相关粗粒度参考，不代表专属行业）","industryExcess20Pct":-4.77337,"industryExcess60Pct":-19.033571}</x:v>
      </x:c>
      <x:c r="AM102" s="11" t="str"/>
      <x:c r="AN102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https://query2.finance.yahoo.com/v8/finance/chart/9868.HK?range=3y&amp;interval=1d&amp;events=div%2Csplits
https://proxy.finance.qq.com/ifzqgtimg/appstock/app/fqkline/get?param=hk09868,day,2023-10-09,2026-10-09,1000,qfq</x:v>
      </x:c>
    </x:row>
    <x:row r="103" ht="23" customHeight="1">
      <x:c r="A103" s="11" t="str">
        <x:v>S097</x:v>
      </x:c>
      <x:c r="B103" s="11" t="str">
        <x:v>I086</x:v>
      </x:c>
      <x:c r="C103" s="11" t="str">
        <x:v>00780.HK</x:v>
      </x:c>
      <x:c r="D103" s="11" t="str">
        <x:v>同程旅行</x:v>
      </x:c>
      <x:c r="E103" s="11" t="str">
        <x:v>HKD</x:v>
      </x:c>
      <x:c r="F103" s="23" t="n">
        <x:v>10.04</x:v>
      </x:c>
      <x:c r="G103" s="23" t="str">
        <x:v>2026-10-09</x:v>
      </x:c>
      <x:c r="H103" s="23" t="n">
        <x:v>10.04</x:v>
      </x:c>
      <x:c r="I103" s="23" t="str">
        <x:v>2026-10-09</x:v>
      </x:c>
      <x:c r="J103" s="37" t="b">
        <x:v>1</x:v>
      </x:c>
      <x:c r="K103" s="23" t="n">
        <x:v>739</x:v>
      </x:c>
      <x:c r="L103" s="23" t="str">
        <x:v>Yahoo Finance chart</x:v>
      </x:c>
      <x:c r="M103" s="23" t="str">
        <x:v>high</x:v>
      </x:c>
      <x:c r="N103" s="23" t="str">
        <x:v>中短期下降</x:v>
      </x:c>
      <x:c r="O103" s="23" t="n">
        <x:v>10.27825</x:v>
      </x:c>
      <x:c r="P103" s="23" t="n">
        <x:v>12.079417</x:v>
      </x:c>
      <x:c r="Q103" s="23" t="n">
        <x:v>13.42434</x:v>
      </x:c>
      <x:c r="R103" s="23" t="n">
        <x:v>17.418409</x:v>
      </x:c>
      <x:c r="S103" s="23" t="n">
        <x:v>-3.499671</x:v>
      </x:c>
      <x:c r="T103" s="23" t="n">
        <x:v>-1.748095</x:v>
      </x:c>
      <x:c r="U103" s="23" t="n">
        <x:v>-7.123034</x:v>
      </x:c>
      <x:c r="V103" s="23" t="n">
        <x:v>-22.650231</x:v>
      </x:c>
      <x:c r="W103" s="38" t="n">
        <x:v>8665344</x:v>
      </x:c>
      <x:c r="X103" s="38" t="n">
        <x:v>6035266.2</x:v>
      </x:c>
      <x:c r="Y103" s="38" t="n">
        <x:v>7995552.65</x:v>
      </x:c>
      <x:c r="Z103" s="38" t="n">
        <x:v>12974667.9</x:v>
      </x:c>
      <x:c r="AA103" s="23" t="n">
        <x:v>1.017098</x:v>
      </x:c>
      <x:c r="AB103" s="23" t="n">
        <x:v>0.697863</x:v>
      </x:c>
      <x:c r="AC103" s="23" t="n">
        <x:v>35.305609</x:v>
      </x:c>
      <x:c r="AD103" s="23" t="n">
        <x:v>0.340353</x:v>
      </x:c>
      <x:c r="AE103" s="23" t="n">
        <x:v>-0.511588</x:v>
      </x:c>
      <x:c r="AF103" s="23" t="n">
        <x:v>-0.563295</x:v>
      </x:c>
      <x:c r="AG103" s="23" t="n">
        <x:v>9.645</x:v>
      </x:c>
      <x:c r="AH103" s="23" t="n">
        <x:v>10.83</x:v>
      </x:c>
      <x:c r="AI103" s="23" t="n">
        <x:v>24.923129</x:v>
      </x:c>
      <x:c r="AJ103" s="23" t="n">
        <x:v>9.645</x:v>
      </x:c>
      <x:c r="AK103" s="23" t="n">
        <x:v>-60.644643</x:v>
      </x:c>
      <x:c r="AL103" s="11" t="str">
        <x:v>{"market":"恒生指数","marketSymbol":"^HSI","marketReturn20Pct":-2.977908,"marketReturn60Pct":-3.187903,"excess20Pct":-4.145126,"excess60Pct":-19.462328,"industryBenchmark":"恒生科技（科技/互联网/硬件相关粗粒度参考，不代表专属行业）","industryExcess20Pct":-4.05987,"industryExcess60Pct":-9.482212}</x:v>
      </x:c>
      <x:c r="AM103" s="11" t="str"/>
      <x:c r="AN103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https://query2.finance.yahoo.com/v8/finance/chart/0780.HK?range=3y&amp;interval=1d&amp;events=div%2Csplits
https://proxy.finance.qq.com/ifzqgtimg/appstock/app/fqkline/get?param=hk00780,day,2023-10-09,2026-10-09,1000,qfq</x:v>
      </x:c>
    </x:row>
    <x:row r="104" ht="23" customHeight="1">
      <x:c r="A104" s="11" t="str">
        <x:v>S098</x:v>
      </x:c>
      <x:c r="B104" s="11" t="str">
        <x:v>I087</x:v>
      </x:c>
      <x:c r="C104" s="11" t="str">
        <x:v>01810.HK</x:v>
      </x:c>
      <x:c r="D104" s="11" t="str">
        <x:v>小米集团-W</x:v>
      </x:c>
      <x:c r="E104" s="11" t="str">
        <x:v>HKD</x:v>
      </x:c>
      <x:c r="F104" s="23" t="n">
        <x:v>25.96</x:v>
      </x:c>
      <x:c r="G104" s="23" t="str">
        <x:v>2026-10-09</x:v>
      </x:c>
      <x:c r="H104" s="23" t="n">
        <x:v>25.96</x:v>
      </x:c>
      <x:c r="I104" s="23" t="str">
        <x:v>2026-10-09</x:v>
      </x:c>
      <x:c r="J104" s="37" t="b">
        <x:v>1</x:v>
      </x:c>
      <x:c r="K104" s="23" t="n">
        <x:v>739</x:v>
      </x:c>
      <x:c r="L104" s="23" t="str">
        <x:v>Yahoo Finance chart</x:v>
      </x:c>
      <x:c r="M104" s="23" t="str">
        <x:v>high</x:v>
      </x:c>
      <x:c r="N104" s="23" t="str">
        <x:v>短期反弹，仍低于60日线</x:v>
      </x:c>
      <x:c r="O104" s="23" t="n">
        <x:v>25.721</x:v>
      </x:c>
      <x:c r="P104" s="23" t="n">
        <x:v>26.962</x:v>
      </x:c>
      <x:c r="Q104" s="23" t="n">
        <x:v>27.3575</x:v>
      </x:c>
      <x:c r="R104" s="23" t="n">
        <x:v>33.2828</x:v>
      </x:c>
      <x:c r="S104" s="23" t="n">
        <x:v>-2.549822</x:v>
      </x:c>
      <x:c r="T104" s="23" t="n">
        <x:v>-0.576486</x:v>
      </x:c>
      <x:c r="U104" s="23" t="n">
        <x:v>0.154317</x:v>
      </x:c>
      <x:c r="V104" s="23" t="n">
        <x:v>-5.600004</x:v>
      </x:c>
      <x:c r="W104" s="38" t="n">
        <x:v>255608451</x:v>
      </x:c>
      <x:c r="X104" s="38" t="n">
        <x:v>113755458.8</x:v>
      </x:c>
      <x:c r="Y104" s="38" t="n">
        <x:v>110081435.05</x:v>
      </x:c>
      <x:c r="Z104" s="38" t="n">
        <x:v>151563317.867</x:v>
      </x:c>
      <x:c r="AA104" s="23" t="n">
        <x:v>2.440545</x:v>
      </x:c>
      <x:c r="AB104" s="23" t="n">
        <x:v>0.848644</x:v>
      </x:c>
      <x:c r="AC104" s="23" t="n">
        <x:v>51.04891</x:v>
      </x:c>
      <x:c r="AD104" s="23" t="n">
        <x:v>1.027431</x:v>
      </x:c>
      <x:c r="AE104" s="23" t="n">
        <x:v>-0.687736</x:v>
      </x:c>
      <x:c r="AF104" s="23" t="n">
        <x:v>-0.604116</x:v>
      </x:c>
      <x:c r="AG104" s="23" t="n">
        <x:v>23.58</x:v>
      </x:c>
      <x:c r="AH104" s="23" t="n">
        <x:v>28.219999</x:v>
      </x:c>
      <x:c r="AI104" s="23" t="n">
        <x:v>56.549999</x:v>
      </x:c>
      <x:c r="AJ104" s="23" t="n">
        <x:v>21.299999</x:v>
      </x:c>
      <x:c r="AK104" s="23" t="n">
        <x:v>-61.612903</x:v>
      </x:c>
      <x:c r="AL104" s="11" t="str">
        <x:v>{"market":"恒生指数","marketSymbol":"^HSI","marketReturn20Pct":-2.977908,"marketReturn60Pct":-3.187903,"excess20Pct":3.132225,"excess60Pct":-2.412101,"industryBenchmark":"恒生科技（科技/互联网/硬件相关粗粒度参考，不代表专属行业）","industryExcess20Pct":3.217481,"industryExcess60Pct":7.568015}</x:v>
      </x:c>
      <x:c r="AM104" s="11" t="str"/>
      <x:c r="AN104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https://query2.finance.yahoo.com/v8/finance/chart/1810.HK?range=3y&amp;interval=1d&amp;events=div%2Csplits
https://proxy.finance.qq.com/ifzqgtimg/appstock/app/fqkline/get?param=hk01810,day,2023-10-09,2026-10-09,1000,qfq</x:v>
      </x:c>
    </x:row>
    <x:row r="105" ht="23" customHeight="1">
      <x:c r="A105" s="11" t="str">
        <x:v>S099</x:v>
      </x:c>
      <x:c r="B105" s="11" t="str">
        <x:v>I088</x:v>
      </x:c>
      <x:c r="C105" s="11" t="str">
        <x:v>09866.HK</x:v>
      </x:c>
      <x:c r="D105" s="11" t="str">
        <x:v>蔚来-SW</x:v>
      </x:c>
      <x:c r="E105" s="11" t="str">
        <x:v>HKD</x:v>
      </x:c>
      <x:c r="F105" s="23" t="n">
        <x:v>27.1</x:v>
      </x:c>
      <x:c r="G105" s="23" t="str">
        <x:v>2026-10-09</x:v>
      </x:c>
      <x:c r="H105" s="23" t="n">
        <x:v>27.1</x:v>
      </x:c>
      <x:c r="I105" s="23" t="str">
        <x:v>2026-10-09</x:v>
      </x:c>
      <x:c r="J105" s="37" t="b">
        <x:v>1</x:v>
      </x:c>
      <x:c r="K105" s="23" t="n">
        <x:v>739</x:v>
      </x:c>
      <x:c r="L105" s="23" t="str">
        <x:v>Yahoo Finance chart</x:v>
      </x:c>
      <x:c r="M105" s="23" t="str">
        <x:v>high</x:v>
      </x:c>
      <x:c r="N105" s="23" t="str">
        <x:v>中短期下降</x:v>
      </x:c>
      <x:c r="O105" s="23" t="n">
        <x:v>27.883</x:v>
      </x:c>
      <x:c r="P105" s="23" t="n">
        <x:v>32.709666</x:v>
      </x:c>
      <x:c r="Q105" s="23" t="n">
        <x:v>38.291667</x:v>
      </x:c>
      <x:c r="R105" s="23" t="n">
        <x:v>41.53736</x:v>
      </x:c>
      <x:c r="S105" s="23" t="n">
        <x:v>-1.941269</x:v>
      </x:c>
      <x:c r="T105" s="23" t="n">
        <x:v>-3.065236</x:v>
      </x:c>
      <x:c r="U105" s="23" t="n">
        <x:v>-4.510215</x:v>
      </x:c>
      <x:c r="V105" s="23" t="n">
        <x:v>-32.98714</x:v>
      </x:c>
      <x:c r="W105" s="38" t="n">
        <x:v>3688231</x:v>
      </x:c>
      <x:c r="X105" s="38" t="n">
        <x:v>2774767.2</x:v>
      </x:c>
      <x:c r="Y105" s="38" t="n">
        <x:v>4396622</x:v>
      </x:c>
      <x:c r="Z105" s="38" t="n">
        <x:v>5053832.117</x:v>
      </x:c>
      <x:c r="AA105" s="23" t="n">
        <x:v>0.811594</x:v>
      </x:c>
      <x:c r="AB105" s="23" t="n">
        <x:v>0.815508</x:v>
      </x:c>
      <x:c r="AC105" s="23" t="n">
        <x:v>37.038897</x:v>
      </x:c>
      <x:c r="AD105" s="23" t="n">
        <x:v>1.022136</x:v>
      </x:c>
      <x:c r="AE105" s="23" t="n">
        <x:v>-1.31409</x:v>
      </x:c>
      <x:c r="AF105" s="23" t="n">
        <x:v>-1.493425</x:v>
      </x:c>
      <x:c r="AG105" s="23" t="n">
        <x:v>26.08</x:v>
      </x:c>
      <x:c r="AH105" s="23" t="n">
        <x:v>29.639999</x:v>
      </x:c>
      <x:c r="AI105" s="23" t="n">
        <x:v>61.75</x:v>
      </x:c>
      <x:c r="AJ105" s="23" t="n">
        <x:v>26.08</x:v>
      </x:c>
      <x:c r="AK105" s="23" t="n">
        <x:v>-56.732027</x:v>
      </x:c>
      <x:c r="AL105" s="11" t="str">
        <x:v>{"market":"恒生指数","marketSymbol":"^HSI","marketReturn20Pct":-2.977908,"marketReturn60Pct":-3.187903,"excess20Pct":-1.532307,"excess60Pct":-29.799237,"industryBenchmark":"恒生科技（科技/互联网/硬件相关粗粒度参考，不代表专属行业）","industryExcess20Pct":-1.447051,"industryExcess60Pct":-19.819121}</x:v>
      </x:c>
      <x:c r="AM105" s="11" t="str"/>
      <x:c r="AN105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https://query2.finance.yahoo.com/v8/finance/chart/9866.HK?range=3y&amp;interval=1d&amp;events=div%2Csplits
https://proxy.finance.qq.com/ifzqgtimg/appstock/app/fqkline/get?param=hk09866,day,2023-10-09,2026-10-09,1000,qfq</x:v>
      </x:c>
    </x:row>
    <x:row r="106" ht="23" customHeight="1">
      <x:c r="A106" s="11" t="str">
        <x:v>S100</x:v>
      </x:c>
      <x:c r="B106" s="11" t="str">
        <x:v>I089</x:v>
      </x:c>
      <x:c r="C106" s="11" t="str">
        <x:v>00020.HK</x:v>
      </x:c>
      <x:c r="D106" s="11" t="str">
        <x:v>商汤-W</x:v>
      </x:c>
      <x:c r="E106" s="11" t="str">
        <x:v>HKD</x:v>
      </x:c>
      <x:c r="F106" s="23" t="n">
        <x:v>1.2</x:v>
      </x:c>
      <x:c r="G106" s="23" t="str">
        <x:v>2026-10-09</x:v>
      </x:c>
      <x:c r="H106" s="23" t="n">
        <x:v>1.2</x:v>
      </x:c>
      <x:c r="I106" s="23" t="str">
        <x:v>2026-10-09</x:v>
      </x:c>
      <x:c r="J106" s="37" t="b">
        <x:v>1</x:v>
      </x:c>
      <x:c r="K106" s="23" t="n">
        <x:v>739</x:v>
      </x:c>
      <x:c r="L106" s="23" t="str">
        <x:v>Yahoo Finance chart</x:v>
      </x:c>
      <x:c r="M106" s="23" t="str">
        <x:v>high</x:v>
      </x:c>
      <x:c r="N106" s="23" t="str">
        <x:v>中短期下降</x:v>
      </x:c>
      <x:c r="O106" s="23" t="n">
        <x:v>1.233</x:v>
      </x:c>
      <x:c r="P106" s="23" t="n">
        <x:v>1.364833</x:v>
      </x:c>
      <x:c r="Q106" s="23" t="n">
        <x:v>1.518833</x:v>
      </x:c>
      <x:c r="R106" s="23" t="n">
        <x:v>1.90968</x:v>
      </x:c>
      <x:c r="S106" s="23" t="n">
        <x:v>-3.426669</x:v>
      </x:c>
      <x:c r="T106" s="23" t="n">
        <x:v>-1.003385</x:v>
      </x:c>
      <x:c r="U106" s="23" t="n">
        <x:v>-8.045977</x:v>
      </x:c>
      <x:c r="V106" s="23" t="n">
        <x:v>-13.669065</x:v>
      </x:c>
      <x:c r="W106" s="38" t="n">
        <x:v>376669200</x:v>
      </x:c>
      <x:c r="X106" s="38" t="n">
        <x:v>210990910.8</x:v>
      </x:c>
      <x:c r="Y106" s="38" t="n">
        <x:v>291134081.7</x:v>
      </x:c>
      <x:c r="Z106" s="38" t="n">
        <x:v>450758544.65</x:v>
      </x:c>
      <x:c r="AA106" s="23" t="n">
        <x:v>1.306748</x:v>
      </x:c>
      <x:c r="AB106" s="23" t="n">
        <x:v>0.645641</x:v>
      </x:c>
      <x:c r="AC106" s="23" t="n">
        <x:v>42.129339</x:v>
      </x:c>
      <x:c r="AD106" s="23" t="n">
        <x:v>0.056643</x:v>
      </x:c>
      <x:c r="AE106" s="23" t="n">
        <x:v>-0.047795</x:v>
      </x:c>
      <x:c r="AF106" s="23" t="n">
        <x:v>-0.047886</x:v>
      </x:c>
      <x:c r="AG106" s="23" t="n">
        <x:v>1.13</x:v>
      </x:c>
      <x:c r="AH106" s="23" t="n">
        <x:v>1.315</x:v>
      </x:c>
      <x:c r="AI106" s="23" t="n">
        <x:v>2.94</x:v>
      </x:c>
      <x:c r="AJ106" s="23" t="n">
        <x:v>1.13</x:v>
      </x:c>
      <x:c r="AK106" s="23" t="n">
        <x:v>-60.553633</x:v>
      </x:c>
      <x:c r="AL106" s="11" t="str">
        <x:v>{"market":"恒生指数","marketSymbol":"^HSI","marketReturn20Pct":-2.977908,"marketReturn60Pct":-3.187903,"excess20Pct":-5.068069,"excess60Pct":-10.481162,"industryBenchmark":"恒生科技（科技/互联网/硬件相关粗粒度参考，不代表专属行业）","industryExcess20Pct":-4.982813,"industryExcess60Pct":-0.501046}</x:v>
      </x:c>
      <x:c r="AM106" s="11" t="str"/>
      <x:c r="AN106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09888,rt_hk00241,rt_hk06690,rt_hk00522,rt_hk09618,rt_hk01347,rt_hk00700,rt_hk09626,rt_hk06618,rt_hk09988,rt_hk02382,rt_hk09961,rt_hk03690,rt_hk00772,rt_hk01024,rt_hk00285,rt_hk00300,rt_hk06060,rt_hk02015,rt_hk09868,rt_hk00780,rt_hk01810,rt_hk09866,rt_hk00020
https://query2.finance.yahoo.com/v8/finance/chart/0020.HK?range=3y&amp;interval=1d&amp;events=div%2Csplits
https://proxy.finance.qq.com/ifzqgtimg/appstock/app/fqkline/get?param=hk00020,day,2023-10-09,2026-10-09,1000,qfq</x:v>
      </x:c>
    </x:row>
    <x:row r="107" ht="23" customHeight="1">
      <x:c r="A107" s="11" t="str">
        <x:v>S101</x:v>
      </x:c>
      <x:c r="B107" s="11" t="str">
        <x:v>I090</x:v>
      </x:c>
      <x:c r="C107" s="11" t="str">
        <x:v>00268.HK</x:v>
      </x:c>
      <x:c r="D107" s="11" t="str">
        <x:v>金蝶国际</x:v>
      </x:c>
      <x:c r="E107" s="11" t="str">
        <x:v>HKD</x:v>
      </x:c>
      <x:c r="F107" s="23" t="n">
        <x:v>7.835</x:v>
      </x:c>
      <x:c r="G107" s="23" t="str">
        <x:v>2026-10-09</x:v>
      </x:c>
      <x:c r="H107" s="23" t="n">
        <x:v>7.835</x:v>
      </x:c>
      <x:c r="I107" s="23" t="str">
        <x:v>2026-10-09</x:v>
      </x:c>
      <x:c r="J107" s="37" t="b">
        <x:v>1</x:v>
      </x:c>
      <x:c r="K107" s="23" t="n">
        <x:v>739</x:v>
      </x:c>
      <x:c r="L107" s="23" t="str">
        <x:v>Yahoo Finance chart</x:v>
      </x:c>
      <x:c r="M107" s="23" t="str">
        <x:v>high</x:v>
      </x:c>
      <x:c r="N107" s="23" t="str">
        <x:v>短期反弹，仍低于60日线</x:v>
      </x:c>
      <x:c r="O107" s="23" t="n">
        <x:v>7.4665</x:v>
      </x:c>
      <x:c r="P107" s="23" t="n">
        <x:v>7.876583</x:v>
      </x:c>
      <x:c r="Q107" s="23" t="n">
        <x:v>7.736625</x:v>
      </x:c>
      <x:c r="R107" s="23" t="n">
        <x:v>10.33794</x:v>
      </x:c>
      <x:c r="S107" s="23" t="n">
        <x:v>-2.494287</x:v>
      </x:c>
      <x:c r="T107" s="23" t="n">
        <x:v>0.599217</x:v>
      </x:c>
      <x:c r="U107" s="23" t="n">
        <x:v>4.18883</x:v>
      </x:c>
      <x:c r="V107" s="23" t="n">
        <x:v>11.450925</x:v>
      </x:c>
      <x:c r="W107" s="38" t="n">
        <x:v>47665416</x:v>
      </x:c>
      <x:c r="X107" s="38" t="n">
        <x:v>18416619</x:v>
      </x:c>
      <x:c r="Y107" s="38" t="n">
        <x:v>27782966.15</x:v>
      </x:c>
      <x:c r="Z107" s="38" t="n">
        <x:v>47057523.633</x:v>
      </x:c>
      <x:c r="AA107" s="23" t="n">
        <x:v>1.789023</x:v>
      </x:c>
      <x:c r="AB107" s="23" t="n">
        <x:v>1.215296</x:v>
      </x:c>
      <x:c r="AC107" s="23" t="n">
        <x:v>54.320904</x:v>
      </x:c>
      <x:c r="AD107" s="23" t="n">
        <x:v>0.387665</x:v>
      </x:c>
      <x:c r="AE107" s="23" t="n">
        <x:v>-0.136757</x:v>
      </x:c>
      <x:c r="AF107" s="23" t="n">
        <x:v>-0.162607</x:v>
      </x:c>
      <x:c r="AG107" s="23" t="n">
        <x:v>7.06</x:v>
      </x:c>
      <x:c r="AH107" s="23" t="n">
        <x:v>8.12</x:v>
      </x:c>
      <x:c r="AI107" s="23" t="n">
        <x:v>17.73</x:v>
      </x:c>
      <x:c r="AJ107" s="23" t="n">
        <x:v>5.63</x:v>
      </x:c>
      <x:c r="AK107" s="23" t="n">
        <x:v>-67.579909</x:v>
      </x:c>
      <x:c r="AL107" s="11" t="str">
        <x:v>{"market":"恒生指数","marketSymbol":"^HSI","marketReturn20Pct":-2.977908,"marketReturn60Pct":-3.187903,"excess20Pct":7.166738,"excess60Pct":14.638828,"industryBenchmark":"恒生科技（科技/互联网/硬件相关粗粒度参考，不代表专属行业）","industryExcess20Pct":7.251994,"industryExcess60Pct":24.618944}</x:v>
      </x:c>
      <x:c r="AM107" s="11" t="str"/>
      <x:c r="AN107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https://hq.sinajs.cn/list=rt_hk00268,rt_hk03888,rt_hk00981
https://query2.finance.yahoo.com/v8/finance/chart/0268.HK?range=3y&amp;interval=1d&amp;events=div%2Csplits
https://proxy.finance.qq.com/ifzqgtimg/appstock/app/fqkline/get?param=hk00268,day,2023-10-09,2026-10-09,1000,qfq</x:v>
      </x:c>
    </x:row>
    <x:row r="108" ht="23" customHeight="1">
      <x:c r="A108" s="11" t="str">
        <x:v>S102</x:v>
      </x:c>
      <x:c r="B108" s="11" t="str">
        <x:v>I091</x:v>
      </x:c>
      <x:c r="C108" s="11" t="str">
        <x:v>03888.HK</x:v>
      </x:c>
      <x:c r="D108" s="11" t="str">
        <x:v>金山软件</x:v>
      </x:c>
      <x:c r="E108" s="11" t="str">
        <x:v>HKD</x:v>
      </x:c>
      <x:c r="F108" s="23" t="n">
        <x:v>25.62</x:v>
      </x:c>
      <x:c r="G108" s="23" t="str">
        <x:v>2026-10-09</x:v>
      </x:c>
      <x:c r="H108" s="23" t="n">
        <x:v>25.62</x:v>
      </x:c>
      <x:c r="I108" s="23" t="str">
        <x:v>2026-10-09</x:v>
      </x:c>
      <x:c r="J108" s="37" t="b">
        <x:v>1</x:v>
      </x:c>
      <x:c r="K108" s="23" t="n">
        <x:v>739</x:v>
      </x:c>
      <x:c r="L108" s="23" t="str">
        <x:v>Yahoo Finance chart</x:v>
      </x:c>
      <x:c r="M108" s="23" t="str">
        <x:v>high</x:v>
      </x:c>
      <x:c r="N108" s="23" t="str">
        <x:v>中短期上升</x:v>
      </x:c>
      <x:c r="O108" s="23" t="n">
        <x:v>24.771</x:v>
      </x:c>
      <x:c r="P108" s="23" t="n">
        <x:v>25.280333</x:v>
      </x:c>
      <x:c r="Q108" s="23" t="n">
        <x:v>24.160817</x:v>
      </x:c>
      <x:c r="R108" s="23" t="n">
        <x:v>26.419096</x:v>
      </x:c>
      <x:c r="S108" s="23" t="n">
        <x:v>0.299631</x:v>
      </x:c>
      <x:c r="T108" s="23" t="n">
        <x:v>0.334709</x:v>
      </x:c>
      <x:c r="U108" s="23" t="n">
        <x:v>5.867768</x:v>
      </x:c>
      <x:c r="V108" s="23" t="n">
        <x:v>3.808756</x:v>
      </x:c>
      <x:c r="W108" s="38" t="n">
        <x:v>6976091</x:v>
      </x:c>
      <x:c r="X108" s="38" t="n">
        <x:v>3462760</x:v>
      </x:c>
      <x:c r="Y108" s="38" t="n">
        <x:v>5765010.85</x:v>
      </x:c>
      <x:c r="Z108" s="38" t="n">
        <x:v>9123459.667</x:v>
      </x:c>
      <x:c r="AA108" s="23" t="n">
        <x:v>1.208453</x:v>
      </x:c>
      <x:c r="AB108" s="23" t="n">
        <x:v>1.273492</x:v>
      </x:c>
      <x:c r="AC108" s="23" t="n">
        <x:v>58.197652</x:v>
      </x:c>
      <x:c r="AD108" s="23" t="n">
        <x:v>0.77639</x:v>
      </x:c>
      <x:c r="AE108" s="23" t="n">
        <x:v>0.042352</x:v>
      </x:c>
      <x:c r="AF108" s="23" t="n">
        <x:v>-0.034814</x:v>
      </x:c>
      <x:c r="AG108" s="23" t="n">
        <x:v>23.82</x:v>
      </x:c>
      <x:c r="AH108" s="23" t="n">
        <x:v>25.68</x:v>
      </x:c>
      <x:c r="AI108" s="23" t="n">
        <x:v>37.965535</x:v>
      </x:c>
      <x:c r="AJ108" s="23" t="n">
        <x:v>20.374174</x:v>
      </x:c>
      <x:c r="AK108" s="23" t="n">
        <x:v>-42.122541</x:v>
      </x:c>
      <x:c r="AL108" s="11" t="str">
        <x:v>{"market":"恒生指数","marketSymbol":"^HSI","marketReturn20Pct":-2.977908,"marketReturn60Pct":-3.187903,"excess20Pct":8.845676,"excess60Pct":6.996659,"industryBenchmark":"恒生科技（科技/互联网/硬件相关粗粒度参考，不代表专属行业）","industryExcess20Pct":8.930932,"industryExcess60Pct":16.976775}</x:v>
      </x:c>
      <x:c r="AM108" s="11" t="str"/>
      <x:c r="AN108" s="11" t="str">
        <x:v>https://qt.gtimg.cn/q=hk06690,hk00522,hk09618,hk01347,hkHSTECH,hk00700,hk09626,hk06618,hk09988,hk02382,hk09961,hk03690,hk00772,hk01024,hk00285,hk00300,hk06060,hk02015,hk09868,hk00780,hk01810,hk09866,hk00020,hk00268,hk03888
https://hq.sinajs.cn/list=rt_hk00268,rt_hk03888,rt_hk00981
https://query2.finance.yahoo.com/v8/finance/chart/3888.HK?range=3y&amp;interval=1d&amp;events=div%2Csplits
https://proxy.finance.qq.com/ifzqgtimg/appstock/app/fqkline/get?param=hk03888,day,2023-10-09,2026-10-09,1000,qfq</x:v>
      </x:c>
    </x:row>
    <x:row r="109" ht="23" customHeight="1">
      <x:c r="A109" s="11" t="str">
        <x:v>S103</x:v>
      </x:c>
      <x:c r="B109" s="11" t="str">
        <x:v>I092</x:v>
      </x:c>
      <x:c r="C109" s="11" t="str">
        <x:v>00981.HK</x:v>
      </x:c>
      <x:c r="D109" s="11" t="str">
        <x:v>中芯国际</x:v>
      </x:c>
      <x:c r="E109" s="11" t="str">
        <x:v>HKD</x:v>
      </x:c>
      <x:c r="F109" s="23" t="n">
        <x:v>57.65</x:v>
      </x:c>
      <x:c r="G109" s="23" t="str">
        <x:v>2026-10-09</x:v>
      </x:c>
      <x:c r="H109" s="23" t="n">
        <x:v>57.65</x:v>
      </x:c>
      <x:c r="I109" s="23" t="str">
        <x:v>2026-10-09</x:v>
      </x:c>
      <x:c r="J109" s="37" t="b">
        <x:v>1</x:v>
      </x:c>
      <x:c r="K109" s="23" t="n">
        <x:v>739</x:v>
      </x:c>
      <x:c r="L109" s="23" t="str">
        <x:v>Yahoo Finance chart</x:v>
      </x:c>
      <x:c r="M109" s="23" t="str">
        <x:v>high</x:v>
      </x:c>
      <x:c r="N109" s="23" t="str">
        <x:v>中短期下降</x:v>
      </x:c>
      <x:c r="O109" s="23" t="n">
        <x:v>61.9225</x:v>
      </x:c>
      <x:c r="P109" s="23" t="n">
        <x:v>66.385833</x:v>
      </x:c>
      <x:c r="Q109" s="23" t="n">
        <x:v>70.877083</x:v>
      </x:c>
      <x:c r="R109" s="23" t="n">
        <x:v>70.1332</x:v>
      </x:c>
      <x:c r="S109" s="23" t="n">
        <x:v>-2.449687</x:v>
      </x:c>
      <x:c r="T109" s="23" t="n">
        <x:v>-2.201188</x:v>
      </x:c>
      <x:c r="U109" s="23" t="n">
        <x:v>-9.141054</x:v>
      </x:c>
      <x:c r="V109" s="23" t="n">
        <x:v>-23.33776</x:v>
      </x:c>
      <x:c r="W109" s="38" t="n">
        <x:v>63468569</x:v>
      </x:c>
      <x:c r="X109" s="38" t="n">
        <x:v>34361972.6</x:v>
      </x:c>
      <x:c r="Y109" s="38" t="n">
        <x:v>39560443.3</x:v>
      </x:c>
      <x:c r="Z109" s="38" t="n">
        <x:v>73643793.067</x:v>
      </x:c>
      <x:c r="AA109" s="23" t="n">
        <x:v>1.622952</x:v>
      </x:c>
      <x:c r="AB109" s="23" t="n">
        <x:v>0.544739</x:v>
      </x:c>
      <x:c r="AC109" s="23" t="n">
        <x:v>33.625494</x:v>
      </x:c>
      <x:c r="AD109" s="23" t="n">
        <x:v>2.497896</x:v>
      </x:c>
      <x:c r="AE109" s="23" t="n">
        <x:v>-2.15343</x:v>
      </x:c>
      <x:c r="AF109" s="23" t="n">
        <x:v>-1.86172</x:v>
      </x:c>
      <x:c r="AG109" s="23" t="n">
        <x:v>55.200001</x:v>
      </x:c>
      <x:c r="AH109" s="23" t="n">
        <x:v>67.300003</x:v>
      </x:c>
      <x:c r="AI109" s="23" t="n">
        <x:v>93.5</x:v>
      </x:c>
      <x:c r="AJ109" s="23" t="n">
        <x:v>49.32</x:v>
      </x:c>
      <x:c r="AK109" s="23" t="n">
        <x:v>-44.31631</x:v>
      </x:c>
      <x:c r="AL109" s="11" t="str">
        <x:v>{"market":"恒生指数","marketSymbol":"^HSI","marketReturn20Pct":-2.977908,"marketReturn60Pct":-3.187903,"excess20Pct":-6.163146,"excess60Pct":-20.149857,"industryBenchmark":"恒生科技（科技/互联网/硬件相关粗粒度参考，不代表专属行业）","industryExcess20Pct":-6.07789,"industryExcess60Pct":-10.169741}</x:v>
      </x:c>
      <x:c r="AM109" s="11" t="str"/>
      <x:c r="AN109" s="11" t="str">
        <x:v>https://qt.gtimg.cn/q=hk00981
https://hq.sinajs.cn/list=rt_hk00268,rt_hk03888,rt_hk00981
https://query2.finance.yahoo.com/v8/finance/chart/0981.HK?range=3y&amp;interval=1d&amp;events=div%2Csplits
https://proxy.finance.qq.com/ifzqgtimg/appstock/app/fqkline/get?param=hk00981,day,2023-10-09,2026-10-09,1000,qfq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6" width="16" hidden="0" customWidth="1"/>
    <x:col min="7" max="7" width="36" hidden="0" customWidth="1"/>
    <x:col min="8" max="8" width="36" hidden="0" customWidth="1"/>
    <x:col min="9" max="9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4" t="str">
        <x:v>92家公司 · A/H证券共享公司ID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52" customHeight="1">
      <x:c r="A6" s="12" t="str">
        <x:v>发行人ID</x:v>
      </x:c>
      <x:c r="B6" s="12" t="str">
        <x:v>名称</x:v>
      </x:c>
      <x:c r="C6" s="12" t="str">
        <x:v>行业</x:v>
      </x:c>
      <x:c r="D6" s="12" t="str">
        <x:v>上市代码</x:v>
      </x:c>
      <x:c r="E6" s="12" t="str">
        <x:v>正文状态</x:v>
      </x:c>
      <x:c r="F6" s="12" t="str">
        <x:v>有效汉字</x:v>
      </x:c>
      <x:c r="G6" s="12" t="str">
        <x:v>估值状态</x:v>
      </x:c>
      <x:c r="H6" s="12" t="str">
        <x:v>版本</x:v>
      </x:c>
      <x:c r="I6" s="12" t="str">
        <x:v>更新时间</x:v>
      </x:c>
    </x:row>
    <x:row r="7" ht="23" customHeight="1">
      <x:c r="A7" s="11" t="str">
        <x:v>I001</x:v>
      </x:c>
      <x:c r="B7" s="11" t="str">
        <x:v>海尔生物</x:v>
      </x:c>
      <x:c r="C7" s="11" t="str">
        <x:v>医药设备</x:v>
      </x:c>
      <x:c r="D7" s="11" t="str">
        <x:v>688139.SH</x:v>
      </x:c>
      <x:c r="E7" s="11" t="str">
        <x:v>正文完成，待文档验收</x:v>
      </x:c>
      <x:c r="F7" s="11" t="n">
        <x:v>16852</x:v>
      </x:c>
      <x:c r="G7" s="11" t="str">
        <x:v>情景模型初版已复算</x:v>
      </x:c>
      <x:c r="H7" s="11" t="str">
        <x:v>haier-bio-pe-v1.0</x:v>
      </x:c>
      <x:c r="I7" s="11" t="d">
        <x:v>2026-10-10T12:37:34.532Z</x:v>
      </x:c>
    </x:row>
    <x:row r="8" ht="23" customHeight="1">
      <x:c r="A8" s="11" t="str">
        <x:v>I002</x:v>
      </x:c>
      <x:c r="B8" s="11" t="str">
        <x:v>迈威生物</x:v>
      </x:c>
      <x:c r="C8" s="11" t="str">
        <x:v>创新药</x:v>
      </x:c>
      <x:c r="D8" s="11" t="str">
        <x:v>688062.SH</x:v>
      </x:c>
      <x:c r="E8" s="11" t="str">
        <x:v>正文完成，待文档验收</x:v>
      </x:c>
      <x:c r="F8" s="11" t="n">
        <x:v>14148</x:v>
      </x:c>
      <x:c r="G8" s="11" t="str">
        <x:v>情景模型初版已复算</x:v>
      </x:c>
      <x:c r="H8" s="11" t="str">
        <x:v>mabwell-rnpv-v1.1</x:v>
      </x:c>
      <x:c r="I8" s="11" t="d">
        <x:v>2026-10-10T12:37:34.533Z</x:v>
      </x:c>
    </x:row>
    <x:row r="9" ht="23" customHeight="1">
      <x:c r="A9" s="11" t="str">
        <x:v>I003</x:v>
      </x:c>
      <x:c r="B9" s="11" t="str">
        <x:v>迪哲医药</x:v>
      </x:c>
      <x:c r="C9" s="11" t="str">
        <x:v>创新药</x:v>
      </x:c>
      <x:c r="D9" s="11" t="str">
        <x:v>688192.SH</x:v>
      </x:c>
      <x:c r="E9" s="11" t="str">
        <x:v>正文完成，待文档验收</x:v>
      </x:c>
      <x:c r="F9" s="11" t="n">
        <x:v>13138</x:v>
      </x:c>
      <x:c r="G9" s="11" t="str">
        <x:v>情景模型初版已复算</x:v>
      </x:c>
      <x:c r="H9" s="11" t="str">
        <x:v>dizal-rnpv-v1.0</x:v>
      </x:c>
      <x:c r="I9" s="11" t="d">
        <x:v>2026-10-10T12:37:34.533Z</x:v>
      </x:c>
    </x:row>
    <x:row r="10" ht="23" customHeight="1">
      <x:c r="A10" s="11" t="str">
        <x:v>I004</x:v>
      </x:c>
      <x:c r="B10" s="11" t="str">
        <x:v>益方生物</x:v>
      </x:c>
      <x:c r="C10" s="11" t="str">
        <x:v>创新药</x:v>
      </x:c>
      <x:c r="D10" s="11" t="str">
        <x:v>688382.SH</x:v>
      </x:c>
      <x:c r="E10" s="11" t="str">
        <x:v>正文完成，待文档验收</x:v>
      </x:c>
      <x:c r="F10" s="11" t="n">
        <x:v>11872</x:v>
      </x:c>
      <x:c r="G10" s="11" t="str">
        <x:v>情景模型初版已复算</x:v>
      </x:c>
      <x:c r="H10" s="11" t="str">
        <x:v>inventis-rnpv-v1.0</x:v>
      </x:c>
      <x:c r="I10" s="11" t="d">
        <x:v>2026-10-10T12:37:34.534Z</x:v>
      </x:c>
    </x:row>
    <x:row r="11" ht="23" customHeight="1">
      <x:c r="A11" s="11" t="str">
        <x:v>I005</x:v>
      </x:c>
      <x:c r="B11" s="11" t="str">
        <x:v>海创药业</x:v>
      </x:c>
      <x:c r="C11" s="11" t="str">
        <x:v>创新药</x:v>
      </x:c>
      <x:c r="D11" s="11" t="str">
        <x:v>688302.SH</x:v>
      </x:c>
      <x:c r="E11" s="11" t="str">
        <x:v>正文完成，待文档验收</x:v>
      </x:c>
      <x:c r="F11" s="11" t="n">
        <x:v>14430</x:v>
      </x:c>
      <x:c r="G11" s="11" t="str">
        <x:v>情景模型初版已复算</x:v>
      </x:c>
      <x:c r="H11" s="11" t="str">
        <x:v>hinova-rnpv-v1.0</x:v>
      </x:c>
      <x:c r="I11" s="11" t="d">
        <x:v>2026-10-10T12:37:34.540Z</x:v>
      </x:c>
    </x:row>
    <x:row r="12" ht="23" customHeight="1">
      <x:c r="A12" s="11" t="str">
        <x:v>I006</x:v>
      </x:c>
      <x:c r="B12" s="11" t="str">
        <x:v>凯莱英</x:v>
      </x:c>
      <x:c r="C12" s="11" t="str">
        <x:v>CXO</x:v>
      </x:c>
      <x:c r="D12" s="11" t="str">
        <x:v>002821.SZ / 06821.HK</x:v>
      </x:c>
      <x:c r="E12" s="11" t="str">
        <x:v>正文完成，待文档验收</x:v>
      </x:c>
      <x:c r="F12" s="11" t="n">
        <x:v>16741</x:v>
      </x:c>
      <x:c r="G12" s="11" t="str">
        <x:v>情景模型初版已复算</x:v>
      </x:c>
      <x:c r="H12" s="11" t="str">
        <x:v>asymchem-AH-pe-v1.0</x:v>
      </x:c>
      <x:c r="I12" s="11" t="d">
        <x:v>2026-10-10T12:37:34.545Z</x:v>
      </x:c>
    </x:row>
    <x:row r="13" ht="23" customHeight="1">
      <x:c r="A13" s="11" t="str">
        <x:v>I007</x:v>
      </x:c>
      <x:c r="B13" s="11" t="str">
        <x:v>微创脑科学</x:v>
      </x:c>
      <x:c r="C13" s="11" t="str">
        <x:v>医药设备</x:v>
      </x:c>
      <x:c r="D13" s="11" t="str">
        <x:v>02172.HK</x:v>
      </x:c>
      <x:c r="E13" s="11" t="str">
        <x:v>pending</x:v>
      </x:c>
      <x:c r="F13" s="11" t="n">
        <x:v>0</x:v>
      </x:c>
      <x:c r="G13" s="11" t="str">
        <x:v>pending</x:v>
      </x:c>
      <x:c r="H13" s="11" t="str"/>
      <x:c r="I13" s="11" t="str"/>
    </x:row>
    <x:row r="14" ht="23" customHeight="1">
      <x:c r="A14" s="11" t="str">
        <x:v>I008</x:v>
      </x:c>
      <x:c r="B14" s="11" t="str">
        <x:v>英矽智能</x:v>
      </x:c>
      <x:c r="C14" s="11" t="str">
        <x:v>创新药AI</x:v>
      </x:c>
      <x:c r="D14" s="11" t="str">
        <x:v>03696.HK</x:v>
      </x:c>
      <x:c r="E14" s="11" t="str">
        <x:v>pending</x:v>
      </x:c>
      <x:c r="F14" s="11" t="n">
        <x:v>0</x:v>
      </x:c>
      <x:c r="G14" s="11" t="str">
        <x:v>pending</x:v>
      </x:c>
      <x:c r="H14" s="11" t="str"/>
      <x:c r="I14" s="11" t="str"/>
    </x:row>
    <x:row r="15" ht="23" customHeight="1">
      <x:c r="A15" s="11" t="str">
        <x:v>I009</x:v>
      </x:c>
      <x:c r="B15" s="11" t="str">
        <x:v>微创机器人-B</x:v>
      </x:c>
      <x:c r="C15" s="11" t="str">
        <x:v>医药设备</x:v>
      </x:c>
      <x:c r="D15" s="11" t="str">
        <x:v>02252.HK</x:v>
      </x:c>
      <x:c r="E15" s="11" t="str">
        <x:v>pending</x:v>
      </x:c>
      <x:c r="F15" s="11" t="n">
        <x:v>0</x:v>
      </x:c>
      <x:c r="G15" s="11" t="str">
        <x:v>pending</x:v>
      </x:c>
      <x:c r="H15" s="11" t="str"/>
      <x:c r="I15" s="11" t="str"/>
    </x:row>
    <x:row r="16" ht="23" customHeight="1">
      <x:c r="A16" s="11" t="str">
        <x:v>I010</x:v>
      </x:c>
      <x:c r="B16" s="11" t="str">
        <x:v>药明康德</x:v>
      </x:c>
      <x:c r="C16" s="11" t="str">
        <x:v>CXO</x:v>
      </x:c>
      <x:c r="D16" s="11" t="str">
        <x:v>603259.SH / 02359.HK</x:v>
      </x:c>
      <x:c r="E16" s="11" t="str">
        <x:v>正文完成，待文档验收</x:v>
      </x:c>
      <x:c r="F16" s="11" t="n">
        <x:v>14716</x:v>
      </x:c>
      <x:c r="G16" s="11" t="str">
        <x:v>情景模型初版已复算</x:v>
      </x:c>
      <x:c r="H16" s="11" t="str">
        <x:v>wuxiapptec-normalized-adjusted-pe-v1.0</x:v>
      </x:c>
      <x:c r="I16" s="11" t="d">
        <x:v>2026-10-10T12:37:34.547Z</x:v>
      </x:c>
    </x:row>
    <x:row r="17" ht="23" customHeight="1">
      <x:c r="A17" s="11" t="str">
        <x:v>I011</x:v>
      </x:c>
      <x:c r="B17" s="11" t="str">
        <x:v>恒瑞医药</x:v>
      </x:c>
      <x:c r="C17" s="11" t="str">
        <x:v>创新药</x:v>
      </x:c>
      <x:c r="D17" s="11" t="str">
        <x:v>600276.SH / 01276.HK</x:v>
      </x:c>
      <x:c r="E17" s="11" t="str">
        <x:v>正文完成，待文档验收</x:v>
      </x:c>
      <x:c r="F17" s="11" t="n">
        <x:v>12137</x:v>
      </x:c>
      <x:c r="G17" s="11" t="str">
        <x:v>情景模型初版已复算</x:v>
      </x:c>
      <x:c r="H17" s="11" t="str">
        <x:v>hengrui-normalized-ntm-pe-v1.0</x:v>
      </x:c>
      <x:c r="I17" s="11" t="d">
        <x:v>2026-10-10T12:37:34.549Z</x:v>
      </x:c>
    </x:row>
    <x:row r="18" ht="23" customHeight="1">
      <x:c r="A18" s="11" t="str">
        <x:v>I012</x:v>
      </x:c>
      <x:c r="B18" s="11" t="str">
        <x:v>百济神州</x:v>
      </x:c>
      <x:c r="C18" s="11" t="str">
        <x:v>创新药</x:v>
      </x:c>
      <x:c r="D18" s="11" t="str">
        <x:v>688235.SH / 06160.HK</x:v>
      </x:c>
      <x:c r="E18" s="11" t="str">
        <x:v>正文完成，待文档验收</x:v>
      </x:c>
      <x:c r="F18" s="11" t="n">
        <x:v>16946</x:v>
      </x:c>
      <x:c r="G18" s="11" t="str">
        <x:v>情景模型初版已复算</x:v>
      </x:c>
      <x:c r="H18" s="11" t="str">
        <x:v>beone-v1-operating-profit-AH-royalty-excluded</x:v>
      </x:c>
      <x:c r="I18" s="11" t="d">
        <x:v>2026-10-10T12:37:34.550Z</x:v>
      </x:c>
    </x:row>
    <x:row r="19" ht="23" customHeight="1">
      <x:c r="A19" s="11" t="str">
        <x:v>I013</x:v>
      </x:c>
      <x:c r="B19" s="11" t="str">
        <x:v>博腾股份</x:v>
      </x:c>
      <x:c r="C19" s="11" t="str">
        <x:v>CXO</x:v>
      </x:c>
      <x:c r="D19" s="11" t="str">
        <x:v>300363.SZ</x:v>
      </x:c>
      <x:c r="E19" s="11" t="str">
        <x:v>正文完成，待文档验收</x:v>
      </x:c>
      <x:c r="F19" s="11" t="n">
        <x:v>13687</x:v>
      </x:c>
      <x:c r="G19" s="11" t="str">
        <x:v>情景模型初版已复算</x:v>
      </x:c>
      <x:c r="H19" s="11" t="str">
        <x:v>porton-normalized-pe-v1.0</x:v>
      </x:c>
      <x:c r="I19" s="11" t="d">
        <x:v>2026-10-10T12:37:34.551Z</x:v>
      </x:c>
    </x:row>
    <x:row r="20" ht="23" customHeight="1">
      <x:c r="A20" s="11" t="str">
        <x:v>I014</x:v>
      </x:c>
      <x:c r="B20" s="11" t="str">
        <x:v>迈瑞医疗</x:v>
      </x:c>
      <x:c r="C20" s="11" t="str">
        <x:v>医药设备</x:v>
      </x:c>
      <x:c r="D20" s="11" t="str">
        <x:v>300760.SZ</x:v>
      </x:c>
      <x:c r="E20" s="11" t="str">
        <x:v>正文完成，待文档验收</x:v>
      </x:c>
      <x:c r="F20" s="11" t="n">
        <x:v>13866</x:v>
      </x:c>
      <x:c r="G20" s="11" t="str">
        <x:v>情景模型初版已复算</x:v>
      </x:c>
      <x:c r="H20" s="11" t="str">
        <x:v>mindray-normalized-pe-v1.0</x:v>
      </x:c>
      <x:c r="I20" s="11" t="d">
        <x:v>2026-10-10T12:37:34.552Z</x:v>
      </x:c>
    </x:row>
    <x:row r="21" ht="23" customHeight="1">
      <x:c r="A21" s="11" t="str">
        <x:v>I015</x:v>
      </x:c>
      <x:c r="B21" s="11" t="str">
        <x:v>皓元医药</x:v>
      </x:c>
      <x:c r="C21" s="11" t="str">
        <x:v>CXO</x:v>
      </x:c>
      <x:c r="D21" s="11" t="str">
        <x:v>688131.SH</x:v>
      </x:c>
      <x:c r="E21" s="11" t="str">
        <x:v>正文完成，待文档验收</x:v>
      </x:c>
      <x:c r="F21" s="11" t="n">
        <x:v>14985</x:v>
      </x:c>
      <x:c r="G21" s="11" t="str">
        <x:v>情景模型初版已复算</x:v>
      </x:c>
      <x:c r="H21" s="11" t="str">
        <x:v>haoyuan-diluted-pe-v1.0</x:v>
      </x:c>
      <x:c r="I21" s="11" t="d">
        <x:v>2026-10-10T12:37:34.552Z</x:v>
      </x:c>
    </x:row>
    <x:row r="22" ht="23" customHeight="1">
      <x:c r="A22" s="11" t="str">
        <x:v>I016</x:v>
      </x:c>
      <x:c r="B22" s="11" t="str">
        <x:v>微创医疗</x:v>
      </x:c>
      <x:c r="C22" s="11" t="str">
        <x:v>医药设备</x:v>
      </x:c>
      <x:c r="D22" s="11" t="str">
        <x:v>00853.HK</x:v>
      </x:c>
      <x:c r="E22" s="11" t="str">
        <x:v>pending</x:v>
      </x:c>
      <x:c r="F22" s="11" t="n">
        <x:v>0</x:v>
      </x:c>
      <x:c r="G22" s="11" t="str">
        <x:v>pending</x:v>
      </x:c>
      <x:c r="H22" s="11" t="str"/>
      <x:c r="I22" s="11" t="str"/>
    </x:row>
    <x:row r="23" ht="23" customHeight="1">
      <x:c r="A23" s="11" t="str">
        <x:v>I017</x:v>
      </x:c>
      <x:c r="B23" s="11" t="str">
        <x:v>键凯科技</x:v>
      </x:c>
      <x:c r="C23" s="11" t="str">
        <x:v>生物材料</x:v>
      </x:c>
      <x:c r="D23" s="11" t="str">
        <x:v>688356.SH</x:v>
      </x:c>
      <x:c r="E23" s="11" t="str">
        <x:v>正文完成，待文档验收</x:v>
      </x:c>
      <x:c r="F23" s="11" t="n">
        <x:v>13877</x:v>
      </x:c>
      <x:c r="G23" s="11" t="str">
        <x:v>情景模型初版已复算</x:v>
      </x:c>
      <x:c r="H23" s="11" t="str">
        <x:v>jenkem-normalized-pe-v1.0</x:v>
      </x:c>
      <x:c r="I23" s="11" t="d">
        <x:v>2026-10-10T12:37:34.553Z</x:v>
      </x:c>
    </x:row>
    <x:row r="24" ht="23" customHeight="1">
      <x:c r="A24" s="11" t="str">
        <x:v>I018</x:v>
      </x:c>
      <x:c r="B24" s="11" t="str">
        <x:v>美迪西</x:v>
      </x:c>
      <x:c r="C24" s="11" t="str">
        <x:v>CXO</x:v>
      </x:c>
      <x:c r="D24" s="11" t="str">
        <x:v>688202.SH</x:v>
      </x:c>
      <x:c r="E24" s="11" t="str">
        <x:v>正文完成，待文档验收</x:v>
      </x:c>
      <x:c r="F24" s="11" t="n">
        <x:v>13294</x:v>
      </x:c>
      <x:c r="G24" s="11" t="str">
        <x:v>情景模型初版已复算</x:v>
      </x:c>
      <x:c r="H24" s="11" t="str">
        <x:v>medicilon-normalized-pe-v1.0</x:v>
      </x:c>
      <x:c r="I24" s="11" t="d">
        <x:v>2026-10-10T12:37:34.554Z</x:v>
      </x:c>
    </x:row>
    <x:row r="25" ht="23" customHeight="1">
      <x:c r="A25" s="11" t="str">
        <x:v>I019</x:v>
      </x:c>
      <x:c r="B25" s="11" t="str">
        <x:v>时代天使</x:v>
      </x:c>
      <x:c r="C25" s="11" t="str">
        <x:v>医药设备</x:v>
      </x:c>
      <x:c r="D25" s="11" t="str">
        <x:v>06699.HK</x:v>
      </x:c>
      <x:c r="E25" s="11" t="str">
        <x:v>pending</x:v>
      </x:c>
      <x:c r="F25" s="11" t="n">
        <x:v>0</x:v>
      </x:c>
      <x:c r="G25" s="11" t="str">
        <x:v>pending</x:v>
      </x:c>
      <x:c r="H25" s="11" t="str"/>
      <x:c r="I25" s="11" t="str"/>
    </x:row>
    <x:row r="26" ht="23" customHeight="1">
      <x:c r="A26" s="11" t="str">
        <x:v>I020</x:v>
      </x:c>
      <x:c r="B26" s="11" t="str">
        <x:v>映恩生物-B</x:v>
      </x:c>
      <x:c r="C26" s="11" t="str">
        <x:v>创新药</x:v>
      </x:c>
      <x:c r="D26" s="11" t="str">
        <x:v>09606.HK</x:v>
      </x:c>
      <x:c r="E26" s="11" t="str">
        <x:v>pending</x:v>
      </x:c>
      <x:c r="F26" s="11" t="n">
        <x:v>0</x:v>
      </x:c>
      <x:c r="G26" s="11" t="str">
        <x:v>pending</x:v>
      </x:c>
      <x:c r="H26" s="11" t="str"/>
      <x:c r="I26" s="11" t="str"/>
    </x:row>
    <x:row r="27" ht="23" customHeight="1">
      <x:c r="A27" s="11" t="str">
        <x:v>I021</x:v>
      </x:c>
      <x:c r="B27" s="11" t="str">
        <x:v>亚盛医药</x:v>
      </x:c>
      <x:c r="C27" s="11" t="str">
        <x:v>创新药</x:v>
      </x:c>
      <x:c r="D27" s="11" t="str">
        <x:v>06855.HK</x:v>
      </x:c>
      <x:c r="E27" s="11" t="str">
        <x:v>pending</x:v>
      </x:c>
      <x:c r="F27" s="11" t="n">
        <x:v>0</x:v>
      </x:c>
      <x:c r="G27" s="11" t="str">
        <x:v>pending</x:v>
      </x:c>
      <x:c r="H27" s="11" t="str"/>
      <x:c r="I27" s="11" t="str"/>
    </x:row>
    <x:row r="28" ht="23" customHeight="1">
      <x:c r="A28" s="11" t="str">
        <x:v>I022</x:v>
      </x:c>
      <x:c r="B28" s="11" t="str">
        <x:v>康龙化成</x:v>
      </x:c>
      <x:c r="C28" s="11" t="str">
        <x:v>CXO</x:v>
      </x:c>
      <x:c r="D28" s="11" t="str">
        <x:v>03759.HK</x:v>
      </x:c>
      <x:c r="E28" s="11" t="str">
        <x:v>正文完成，待文档验收</x:v>
      </x:c>
      <x:c r="F28" s="11" t="n">
        <x:v>12848</x:v>
      </x:c>
      <x:c r="G28" s="11" t="str">
        <x:v>情景模型初版已复算</x:v>
      </x:c>
      <x:c r="H28" s="11" t="str">
        <x:v>pharmaron-v1-segment-normal-profit-cashroll-CBchoice</x:v>
      </x:c>
      <x:c r="I28" s="11" t="d">
        <x:v>2026-10-10T12:37:34.560Z</x:v>
      </x:c>
    </x:row>
    <x:row r="29" ht="23" customHeight="1">
      <x:c r="A29" s="11" t="str">
        <x:v>I023</x:v>
      </x:c>
      <x:c r="B29" s="11" t="str">
        <x:v>三生制药</x:v>
      </x:c>
      <x:c r="C29" s="11" t="str">
        <x:v>创新药</x:v>
      </x:c>
      <x:c r="D29" s="11" t="str">
        <x:v>01530.HK</x:v>
      </x:c>
      <x:c r="E29" s="11" t="str">
        <x:v>正文完成，待文档验收</x:v>
      </x:c>
      <x:c r="F29" s="11" t="n">
        <x:v>13271</x:v>
      </x:c>
      <x:c r="G29" s="11" t="str">
        <x:v>情景模型初版已复算</x:v>
      </x:c>
      <x:c r="H29" s="11" t="str">
        <x:v>3sbio-v1-core-plus-707-rnPV</x:v>
      </x:c>
      <x:c r="I29" s="11" t="d">
        <x:v>2026-10-10T12:37:34.560Z</x:v>
      </x:c>
    </x:row>
    <x:row r="30" ht="23" customHeight="1">
      <x:c r="A30" s="11" t="str">
        <x:v>I024</x:v>
      </x:c>
      <x:c r="B30" s="11" t="str">
        <x:v>和黄医药</x:v>
      </x:c>
      <x:c r="C30" s="11" t="str">
        <x:v>创新药</x:v>
      </x:c>
      <x:c r="D30" s="11" t="str">
        <x:v>00013.HK</x:v>
      </x:c>
      <x:c r="E30" s="11" t="str">
        <x:v>pending</x:v>
      </x:c>
      <x:c r="F30" s="11" t="n">
        <x:v>0</x:v>
      </x:c>
      <x:c r="G30" s="11" t="str">
        <x:v>pending</x:v>
      </x:c>
      <x:c r="H30" s="11" t="str"/>
      <x:c r="I30" s="11" t="str"/>
    </x:row>
    <x:row r="31" ht="23" customHeight="1">
      <x:c r="A31" s="11" t="str">
        <x:v>I025</x:v>
      </x:c>
      <x:c r="B31" s="11" t="str">
        <x:v>石药集团</x:v>
      </x:c>
      <x:c r="C31" s="11" t="str">
        <x:v>综合药企</x:v>
      </x:c>
      <x:c r="D31" s="11" t="str">
        <x:v>01093.HK</x:v>
      </x:c>
      <x:c r="E31" s="11" t="str">
        <x:v>正文完成，待文档验收</x:v>
      </x:c>
      <x:c r="F31" s="11" t="n">
        <x:v>14492</x:v>
      </x:c>
      <x:c r="G31" s="11" t="str">
        <x:v>情景模型初版已复算</x:v>
      </x:c>
      <x:c r="H31" s="11" t="str">
        <x:v>cspc-v1-core-cash-assetgroups</x:v>
      </x:c>
      <x:c r="I31" s="11" t="d">
        <x:v>2026-10-10T12:37:34.561Z</x:v>
      </x:c>
    </x:row>
    <x:row r="32" ht="23" customHeight="1">
      <x:c r="A32" s="11" t="str">
        <x:v>I026</x:v>
      </x:c>
      <x:c r="B32" s="11" t="str">
        <x:v>乐普生物</x:v>
      </x:c>
      <x:c r="C32" s="11" t="str">
        <x:v>创新药</x:v>
      </x:c>
      <x:c r="D32" s="11" t="str">
        <x:v>02157.HK</x:v>
      </x:c>
      <x:c r="E32" s="11" t="str">
        <x:v>pending</x:v>
      </x:c>
      <x:c r="F32" s="11" t="n">
        <x:v>0</x:v>
      </x:c>
      <x:c r="G32" s="11" t="str">
        <x:v>pending</x:v>
      </x:c>
      <x:c r="H32" s="11" t="str"/>
      <x:c r="I32" s="11" t="str"/>
    </x:row>
    <x:row r="33" ht="23" customHeight="1">
      <x:c r="A33" s="11" t="str">
        <x:v>I027</x:v>
      </x:c>
      <x:c r="B33" s="11" t="str">
        <x:v>晶泰控股</x:v>
      </x:c>
      <x:c r="C33" s="11" t="str">
        <x:v>创新药AI</x:v>
      </x:c>
      <x:c r="D33" s="11" t="str">
        <x:v>02228.HK</x:v>
      </x:c>
      <x:c r="E33" s="11" t="str">
        <x:v>pending</x:v>
      </x:c>
      <x:c r="F33" s="11" t="n">
        <x:v>0</x:v>
      </x:c>
      <x:c r="G33" s="11" t="str">
        <x:v>pending</x:v>
      </x:c>
      <x:c r="H33" s="11" t="str"/>
      <x:c r="I33" s="11" t="str"/>
    </x:row>
    <x:row r="34" ht="23" customHeight="1">
      <x:c r="A34" s="11" t="str">
        <x:v>I028</x:v>
      </x:c>
      <x:c r="B34" s="11" t="str">
        <x:v>上海医药</x:v>
      </x:c>
      <x:c r="C34" s="11" t="str">
        <x:v>医药流通</x:v>
      </x:c>
      <x:c r="D34" s="11" t="str">
        <x:v>02607.HK</x:v>
      </x:c>
      <x:c r="E34" s="11" t="str">
        <x:v>正文完成，待文档验收</x:v>
      </x:c>
      <x:c r="F34" s="11" t="n">
        <x:v>14518</x:v>
      </x:c>
      <x:c r="G34" s="11" t="str">
        <x:v>情景模型初版已复算</x:v>
      </x:c>
      <x:c r="H34" s="11" t="str">
        <x:v>shpharma-H-normalized-pe-v1.0</x:v>
      </x:c>
      <x:c r="I34" s="11" t="d">
        <x:v>2026-10-10T12:37:34.562Z</x:v>
      </x:c>
    </x:row>
    <x:row r="35" ht="23" customHeight="1">
      <x:c r="A35" s="11" t="str">
        <x:v>I029</x:v>
      </x:c>
      <x:c r="B35" s="11" t="str">
        <x:v>翰森制药</x:v>
      </x:c>
      <x:c r="C35" s="11" t="str">
        <x:v>创新药</x:v>
      </x:c>
      <x:c r="D35" s="11" t="str">
        <x:v>03692.HK</x:v>
      </x:c>
      <x:c r="E35" s="11" t="str">
        <x:v>正文完成，待文档验收</x:v>
      </x:c>
      <x:c r="F35" s="11" t="n">
        <x:v>11699</x:v>
      </x:c>
      <x:c r="G35" s="11" t="str">
        <x:v>情景模型初版已复算</x:v>
      </x:c>
      <x:c r="H35" s="11" t="str">
        <x:v>hansoh-v1</x:v>
      </x:c>
      <x:c r="I35" s="11" t="d">
        <x:v>2026-10-10T12:37:34.562Z</x:v>
      </x:c>
    </x:row>
    <x:row r="36" ht="23" customHeight="1">
      <x:c r="A36" s="11" t="str">
        <x:v>I030</x:v>
      </x:c>
      <x:c r="B36" s="11" t="str">
        <x:v>绿叶制药</x:v>
      </x:c>
      <x:c r="C36" s="11" t="str">
        <x:v>综合药企</x:v>
      </x:c>
      <x:c r="D36" s="11" t="str">
        <x:v>02186.HK</x:v>
      </x:c>
      <x:c r="E36" s="11" t="str">
        <x:v>pending</x:v>
      </x:c>
      <x:c r="F36" s="11" t="n">
        <x:v>0</x:v>
      </x:c>
      <x:c r="G36" s="11" t="str">
        <x:v>pending</x:v>
      </x:c>
      <x:c r="H36" s="11" t="str"/>
      <x:c r="I36" s="11" t="str"/>
    </x:row>
    <x:row r="37" ht="23" customHeight="1">
      <x:c r="A37" s="11" t="str">
        <x:v>I031</x:v>
      </x:c>
      <x:c r="B37" s="11" t="str">
        <x:v>中国生物制药</x:v>
      </x:c>
      <x:c r="C37" s="11" t="str">
        <x:v>创新药</x:v>
      </x:c>
      <x:c r="D37" s="11" t="str">
        <x:v>01177.HK</x:v>
      </x:c>
      <x:c r="E37" s="11" t="str">
        <x:v>正文完成，待文档验收</x:v>
      </x:c>
      <x:c r="F37" s="11" t="n">
        <x:v>12405</x:v>
      </x:c>
      <x:c r="G37" s="11" t="str">
        <x:v>情景模型初版已复算</x:v>
      </x:c>
      <x:c r="H37" s="11" t="str">
        <x:v>sinobiopharm-v1-transaction-cash-bridge</x:v>
      </x:c>
      <x:c r="I37" s="11" t="d">
        <x:v>2026-10-10T12:37:34.564Z</x:v>
      </x:c>
    </x:row>
    <x:row r="38" ht="23" customHeight="1">
      <x:c r="A38" s="11" t="str">
        <x:v>I032</x:v>
      </x:c>
      <x:c r="B38" s="11" t="str">
        <x:v>远大医药</x:v>
      </x:c>
      <x:c r="C38" s="11" t="str">
        <x:v>综合药企</x:v>
      </x:c>
      <x:c r="D38" s="11" t="str">
        <x:v>00512.HK</x:v>
      </x:c>
      <x:c r="E38" s="11" t="str">
        <x:v>pending</x:v>
      </x:c>
      <x:c r="F38" s="11" t="n">
        <x:v>0</x:v>
      </x:c>
      <x:c r="G38" s="11" t="str">
        <x:v>pending</x:v>
      </x:c>
      <x:c r="H38" s="11" t="str"/>
      <x:c r="I38" s="11" t="str"/>
    </x:row>
    <x:row r="39" ht="23" customHeight="1">
      <x:c r="A39" s="11" t="str">
        <x:v>I033</x:v>
      </x:c>
      <x:c r="B39" s="11" t="str">
        <x:v>先声药业</x:v>
      </x:c>
      <x:c r="C39" s="11" t="str">
        <x:v>创新药</x:v>
      </x:c>
      <x:c r="D39" s="11" t="str">
        <x:v>02096.HK</x:v>
      </x:c>
      <x:c r="E39" s="11" t="str">
        <x:v>正文完成，待文档验收</x:v>
      </x:c>
      <x:c r="F39" s="11" t="n">
        <x:v>16268</x:v>
      </x:c>
      <x:c r="G39" s="11" t="str">
        <x:v>情景模型初版已复算</x:v>
      </x:c>
      <x:c r="H39" s="11" t="str">
        <x:v>simcere-v2-short-recognition-normal-product-risk-royalty-PE-cash</x:v>
      </x:c>
      <x:c r="I39" s="11" t="d">
        <x:v>2026-10-10T12:37:34.565Z</x:v>
      </x:c>
    </x:row>
    <x:row r="40" ht="23" customHeight="1">
      <x:c r="A40" s="11" t="str">
        <x:v>I034</x:v>
      </x:c>
      <x:c r="B40" s="11" t="str">
        <x:v>药明生物</x:v>
      </x:c>
      <x:c r="C40" s="11" t="str">
        <x:v>CXO</x:v>
      </x:c>
      <x:c r="D40" s="11" t="str">
        <x:v>02269.HK</x:v>
      </x:c>
      <x:c r="E40" s="11" t="str">
        <x:v>正文完成，待文档验收</x:v>
      </x:c>
      <x:c r="F40" s="11" t="n">
        <x:v>11610</x:v>
      </x:c>
      <x:c r="G40" s="11" t="str">
        <x:v>情景模型初版已复算</x:v>
      </x:c>
      <x:c r="H40" s="11" t="str">
        <x:v>wuxi-bio-v1</x:v>
      </x:c>
      <x:c r="I40" s="11" t="d">
        <x:v>2026-10-10T12:37:34.567Z</x:v>
      </x:c>
    </x:row>
    <x:row r="41" ht="23" customHeight="1">
      <x:c r="A41" s="11" t="str">
        <x:v>I035</x:v>
      </x:c>
      <x:c r="B41" s="11" t="str">
        <x:v>金斯瑞生物科技</x:v>
      </x:c>
      <x:c r="C41" s="11" t="str">
        <x:v>生物科技</x:v>
      </x:c>
      <x:c r="D41" s="11" t="str">
        <x:v>01548.HK</x:v>
      </x:c>
      <x:c r="E41" s="11" t="str">
        <x:v>正文完成，待文档验收</x:v>
      </x:c>
      <x:c r="F41" s="11" t="n">
        <x:v>12558</x:v>
      </x:c>
      <x:c r="G41" s="11" t="str">
        <x:v>情景模型初版已复算</x:v>
      </x:c>
      <x:c r="H41" s="11" t="str">
        <x:v>genscript-v1-transparent-SOTP-preferred-residual</x:v>
      </x:c>
      <x:c r="I41" s="11" t="d">
        <x:v>2026-10-10T12:37:34.569Z</x:v>
      </x:c>
    </x:row>
    <x:row r="42" ht="23" customHeight="1">
      <x:c r="A42" s="11" t="str">
        <x:v>I036</x:v>
      </x:c>
      <x:c r="B42" s="11" t="str">
        <x:v>丽珠医药</x:v>
      </x:c>
      <x:c r="C42" s="11" t="str">
        <x:v>综合药企</x:v>
      </x:c>
      <x:c r="D42" s="11" t="str">
        <x:v>01513.HK</x:v>
      </x:c>
      <x:c r="E42" s="11" t="str">
        <x:v>正文完成，待文档验收</x:v>
      </x:c>
      <x:c r="F42" s="11" t="n">
        <x:v>15922</x:v>
      </x:c>
      <x:c r="G42" s="11" t="str">
        <x:v>情景模型初版已复算</x:v>
      </x:c>
      <x:c r="H42" s="11" t="str">
        <x:v>livzon-H-normalized-pe-v1.0</x:v>
      </x:c>
      <x:c r="I42" s="11" t="d">
        <x:v>2026-10-10T12:37:34.570Z</x:v>
      </x:c>
    </x:row>
    <x:row r="43" ht="23" customHeight="1">
      <x:c r="A43" s="11" t="str">
        <x:v>I037</x:v>
      </x:c>
      <x:c r="B43" s="11" t="str">
        <x:v>君圣泰医药-B</x:v>
      </x:c>
      <x:c r="C43" s="11" t="str">
        <x:v>创新药</x:v>
      </x:c>
      <x:c r="D43" s="11" t="str">
        <x:v>02511.HK</x:v>
      </x:c>
      <x:c r="E43" s="11" t="str">
        <x:v>pending</x:v>
      </x:c>
      <x:c r="F43" s="11" t="n">
        <x:v>0</x:v>
      </x:c>
      <x:c r="G43" s="11" t="str">
        <x:v>pending</x:v>
      </x:c>
      <x:c r="H43" s="11" t="str"/>
      <x:c r="I43" s="11" t="str"/>
    </x:row>
    <x:row r="44" ht="23" customHeight="1">
      <x:c r="A44" s="11" t="str">
        <x:v>I038</x:v>
      </x:c>
      <x:c r="B44" s="11" t="str">
        <x:v>开拓药业-B</x:v>
      </x:c>
      <x:c r="C44" s="11" t="str">
        <x:v>创新药</x:v>
      </x:c>
      <x:c r="D44" s="11" t="str">
        <x:v>09939.HK</x:v>
      </x:c>
      <x:c r="E44" s="11" t="str">
        <x:v>pending</x:v>
      </x:c>
      <x:c r="F44" s="11" t="n">
        <x:v>0</x:v>
      </x:c>
      <x:c r="G44" s="11" t="str">
        <x:v>pending</x:v>
      </x:c>
      <x:c r="H44" s="11" t="str"/>
      <x:c r="I44" s="11" t="str"/>
    </x:row>
    <x:row r="45" ht="23" customHeight="1">
      <x:c r="A45" s="11" t="str">
        <x:v>I039</x:v>
      </x:c>
      <x:c r="B45" s="11" t="str">
        <x:v>再鼎医药</x:v>
      </x:c>
      <x:c r="C45" s="11" t="str">
        <x:v>创新药</x:v>
      </x:c>
      <x:c r="D45" s="11" t="str">
        <x:v>09688.HK</x:v>
      </x:c>
      <x:c r="E45" s="11" t="str">
        <x:v>pending</x:v>
      </x:c>
      <x:c r="F45" s="11" t="n">
        <x:v>0</x:v>
      </x:c>
      <x:c r="G45" s="11" t="str">
        <x:v>pending</x:v>
      </x:c>
      <x:c r="H45" s="11" t="str"/>
      <x:c r="I45" s="11" t="str"/>
    </x:row>
    <x:row r="46" ht="23" customHeight="1">
      <x:c r="A46" s="11" t="str">
        <x:v>I040</x:v>
      </x:c>
      <x:c r="B46" s="11" t="str">
        <x:v>云顶新耀</x:v>
      </x:c>
      <x:c r="C46" s="11" t="str">
        <x:v>创新药</x:v>
      </x:c>
      <x:c r="D46" s="11" t="str">
        <x:v>01952.HK</x:v>
      </x:c>
      <x:c r="E46" s="11" t="str">
        <x:v>pending</x:v>
      </x:c>
      <x:c r="F46" s="11" t="n">
        <x:v>0</x:v>
      </x:c>
      <x:c r="G46" s="11" t="str">
        <x:v>pending</x:v>
      </x:c>
      <x:c r="H46" s="11" t="str"/>
      <x:c r="I46" s="11" t="str"/>
    </x:row>
    <x:row r="47" ht="23" customHeight="1">
      <x:c r="A47" s="11" t="str">
        <x:v>I041</x:v>
      </x:c>
      <x:c r="B47" s="11" t="str">
        <x:v>诺诚健华</x:v>
      </x:c>
      <x:c r="C47" s="11" t="str">
        <x:v>创新药</x:v>
      </x:c>
      <x:c r="D47" s="11" t="str">
        <x:v>09969.HK</x:v>
      </x:c>
      <x:c r="E47" s="11" t="str">
        <x:v>pending</x:v>
      </x:c>
      <x:c r="F47" s="11" t="n">
        <x:v>0</x:v>
      </x:c>
      <x:c r="G47" s="11" t="str">
        <x:v>pending</x:v>
      </x:c>
      <x:c r="H47" s="11" t="str"/>
      <x:c r="I47" s="11" t="str"/>
    </x:row>
    <x:row r="48" ht="23" customHeight="1">
      <x:c r="A48" s="11" t="str">
        <x:v>I042</x:v>
      </x:c>
      <x:c r="B48" s="11" t="str">
        <x:v>康希诺生物</x:v>
      </x:c>
      <x:c r="C48" s="11" t="str">
        <x:v>疫苗</x:v>
      </x:c>
      <x:c r="D48" s="11" t="str">
        <x:v>06185.HK</x:v>
      </x:c>
      <x:c r="E48" s="11" t="str">
        <x:v>pending</x:v>
      </x:c>
      <x:c r="F48" s="11" t="n">
        <x:v>0</x:v>
      </x:c>
      <x:c r="G48" s="11" t="str">
        <x:v>pending</x:v>
      </x:c>
      <x:c r="H48" s="11" t="str"/>
      <x:c r="I48" s="11" t="str"/>
    </x:row>
    <x:row r="49" ht="23" customHeight="1">
      <x:c r="A49" s="11" t="str">
        <x:v>I043</x:v>
      </x:c>
      <x:c r="B49" s="11" t="str">
        <x:v>复星医药</x:v>
      </x:c>
      <x:c r="C49" s="11" t="str">
        <x:v>综合药企</x:v>
      </x:c>
      <x:c r="D49" s="11" t="str">
        <x:v>02196.HK</x:v>
      </x:c>
      <x:c r="E49" s="11" t="str">
        <x:v>正文完成，待文档验收</x:v>
      </x:c>
      <x:c r="F49" s="11" t="n">
        <x:v>15821</x:v>
      </x:c>
      <x:c r="G49" s="11" t="str">
        <x:v>情景模型初版已复算</x:v>
      </x:c>
      <x:c r="H49" s="11" t="str">
        <x:v>fosun-H-native-normal-profit-v1.0</x:v>
      </x:c>
      <x:c r="I49" s="11" t="d">
        <x:v>2026-10-10T12:37:34.570Z</x:v>
      </x:c>
    </x:row>
    <x:row r="50" ht="23" customHeight="1">
      <x:c r="A50" s="11" t="str">
        <x:v>I044</x:v>
      </x:c>
      <x:c r="B50" s="11" t="str">
        <x:v>泰格医药</x:v>
      </x:c>
      <x:c r="C50" s="11" t="str">
        <x:v>CXO</x:v>
      </x:c>
      <x:c r="D50" s="11" t="str">
        <x:v>03347.HK</x:v>
      </x:c>
      <x:c r="E50" s="11" t="str">
        <x:v>pending</x:v>
      </x:c>
      <x:c r="F50" s="11" t="n">
        <x:v>0</x:v>
      </x:c>
      <x:c r="G50" s="11" t="str">
        <x:v>pending</x:v>
      </x:c>
      <x:c r="H50" s="11" t="str"/>
      <x:c r="I50" s="11" t="str"/>
    </x:row>
    <x:row r="51" ht="23" customHeight="1">
      <x:c r="A51" s="11" t="str">
        <x:v>I045</x:v>
      </x:c>
      <x:c r="B51" s="11" t="str">
        <x:v>昭衍新药</x:v>
      </x:c>
      <x:c r="C51" s="11" t="str">
        <x:v>CXO</x:v>
      </x:c>
      <x:c r="D51" s="11" t="str">
        <x:v>06127.HK</x:v>
      </x:c>
      <x:c r="E51" s="11" t="str">
        <x:v>pending</x:v>
      </x:c>
      <x:c r="F51" s="11" t="n">
        <x:v>0</x:v>
      </x:c>
      <x:c r="G51" s="11" t="str">
        <x:v>pending</x:v>
      </x:c>
      <x:c r="H51" s="11" t="str"/>
      <x:c r="I51" s="11" t="str"/>
    </x:row>
    <x:row r="52" ht="23" customHeight="1">
      <x:c r="A52" s="11" t="str">
        <x:v>I046</x:v>
      </x:c>
      <x:c r="B52" s="11" t="str">
        <x:v>君实生物</x:v>
      </x:c>
      <x:c r="C52" s="11" t="str">
        <x:v>创新药</x:v>
      </x:c>
      <x:c r="D52" s="11" t="str">
        <x:v>01877.HK</x:v>
      </x:c>
      <x:c r="E52" s="11" t="str">
        <x:v>pending</x:v>
      </x:c>
      <x:c r="F52" s="11" t="n">
        <x:v>0</x:v>
      </x:c>
      <x:c r="G52" s="11" t="str">
        <x:v>pending</x:v>
      </x:c>
      <x:c r="H52" s="11" t="str"/>
      <x:c r="I52" s="11" t="str"/>
    </x:row>
    <x:row r="53" ht="23" customHeight="1">
      <x:c r="A53" s="11" t="str">
        <x:v>I047</x:v>
      </x:c>
      <x:c r="B53" s="11" t="str">
        <x:v>康诺亚-B</x:v>
      </x:c>
      <x:c r="C53" s="11" t="str">
        <x:v>创新药</x:v>
      </x:c>
      <x:c r="D53" s="11" t="str">
        <x:v>02162.HK</x:v>
      </x:c>
      <x:c r="E53" s="11" t="str">
        <x:v>正文完成，待文档验收</x:v>
      </x:c>
      <x:c r="F53" s="11" t="n">
        <x:v>13243</x:v>
      </x:c>
      <x:c r="G53" s="11" t="str">
        <x:v>情景模型初版已复算</x:v>
      </x:c>
      <x:c r="H53" s="11" t="str">
        <x:v>keymed-v2-finite-assets-prorated-short-recognition</x:v>
      </x:c>
      <x:c r="I53" s="11" t="d">
        <x:v>2026-10-10T12:37:34.572Z</x:v>
      </x:c>
    </x:row>
    <x:row r="54" ht="23" customHeight="1">
      <x:c r="A54" s="11" t="str">
        <x:v>I048</x:v>
      </x:c>
      <x:c r="B54" s="11" t="str">
        <x:v>信达生物</x:v>
      </x:c>
      <x:c r="C54" s="11" t="str">
        <x:v>创新药</x:v>
      </x:c>
      <x:c r="D54" s="11" t="str">
        <x:v>01801.HK</x:v>
      </x:c>
      <x:c r="E54" s="11" t="str">
        <x:v>正文完成，待文档验收</x:v>
      </x:c>
      <x:c r="F54" s="11" t="n">
        <x:v>13341</x:v>
      </x:c>
      <x:c r="G54" s="11" t="str">
        <x:v>情景模型初版已复算</x:v>
      </x:c>
      <x:c r="H54" s="11" t="str">
        <x:v>innovent-v1</x:v>
      </x:c>
      <x:c r="I54" s="11" t="d">
        <x:v>2026-10-10T12:37:34.572Z</x:v>
      </x:c>
    </x:row>
    <x:row r="55" ht="23" customHeight="1">
      <x:c r="A55" s="11" t="str">
        <x:v>I049</x:v>
      </x:c>
      <x:c r="B55" s="11" t="str">
        <x:v>药明合联</x:v>
      </x:c>
      <x:c r="C55" s="11" t="str">
        <x:v>CXO</x:v>
      </x:c>
      <x:c r="D55" s="11" t="str">
        <x:v>02268.HK</x:v>
      </x:c>
      <x:c r="E55" s="11" t="str">
        <x:v>正文完成，待文档验收</x:v>
      </x:c>
      <x:c r="F55" s="11" t="n">
        <x:v>14282</x:v>
      </x:c>
      <x:c r="G55" s="11" t="str">
        <x:v>情景模型初版已复算</x:v>
      </x:c>
      <x:c r="H55" s="11" t="str">
        <x:v>wuxi-xdc-v1</x:v>
      </x:c>
      <x:c r="I55" s="11" t="d">
        <x:v>2026-10-10T12:37:34.574Z</x:v>
      </x:c>
    </x:row>
    <x:row r="56" ht="23" customHeight="1">
      <x:c r="A56" s="11" t="str">
        <x:v>I050</x:v>
      </x:c>
      <x:c r="B56" s="11" t="str">
        <x:v>康哲药业</x:v>
      </x:c>
      <x:c r="C56" s="11" t="str">
        <x:v>综合药企</x:v>
      </x:c>
      <x:c r="D56" s="11" t="str">
        <x:v>00867.HK</x:v>
      </x:c>
      <x:c r="E56" s="11" t="str">
        <x:v>pending</x:v>
      </x:c>
      <x:c r="F56" s="11" t="n">
        <x:v>0</x:v>
      </x:c>
      <x:c r="G56" s="11" t="str">
        <x:v>pending</x:v>
      </x:c>
      <x:c r="H56" s="11" t="str"/>
      <x:c r="I56" s="11" t="str"/>
    </x:row>
    <x:row r="57" ht="23" customHeight="1">
      <x:c r="A57" s="11" t="str">
        <x:v>I051</x:v>
      </x:c>
      <x:c r="B57" s="11" t="str">
        <x:v>荣昌生物</x:v>
      </x:c>
      <x:c r="C57" s="11" t="str">
        <x:v>创新药</x:v>
      </x:c>
      <x:c r="D57" s="11" t="str">
        <x:v>09995.HK</x:v>
      </x:c>
      <x:c r="E57" s="11" t="str">
        <x:v>正文完成，待文档验收</x:v>
      </x:c>
      <x:c r="F57" s="11" t="n">
        <x:v>13392</x:v>
      </x:c>
      <x:c r="G57" s="11" t="str">
        <x:v>情景模型初版已复算</x:v>
      </x:c>
      <x:c r="H57" s="11" t="str">
        <x:v>remegen-v2-finite-assets-Vor-residual-return-aligned-score</x:v>
      </x:c>
      <x:c r="I57" s="11" t="d">
        <x:v>2026-10-10T12:37:34.575Z</x:v>
      </x:c>
    </x:row>
    <x:row r="58" ht="23" customHeight="1">
      <x:c r="A58" s="11" t="str">
        <x:v>I052</x:v>
      </x:c>
      <x:c r="B58" s="11" t="str">
        <x:v>康方生物</x:v>
      </x:c>
      <x:c r="C58" s="11" t="str">
        <x:v>创新药</x:v>
      </x:c>
      <x:c r="D58" s="11" t="str">
        <x:v>09926.HK</x:v>
      </x:c>
      <x:c r="E58" s="11" t="str">
        <x:v>正文完成，待文档验收</x:v>
      </x:c>
      <x:c r="F58" s="11" t="n">
        <x:v>11189</x:v>
      </x:c>
      <x:c r="G58" s="11" t="str">
        <x:v>情景模型初版已复算</x:v>
      </x:c>
      <x:c r="H58" s="11" t="str">
        <x:v>akeso-v2-year-end-cashflows</x:v>
      </x:c>
      <x:c r="I58" s="11" t="d">
        <x:v>2026-10-10T12:37:34.577Z</x:v>
      </x:c>
    </x:row>
    <x:row r="59" ht="23" customHeight="1">
      <x:c r="A59" s="11" t="str">
        <x:v>I053</x:v>
      </x:c>
      <x:c r="B59" s="11" t="str">
        <x:v>中国同辐</x:v>
      </x:c>
      <x:c r="C59" s="11" t="str">
        <x:v>核医药</x:v>
      </x:c>
      <x:c r="D59" s="11" t="str">
        <x:v>01763.HK</x:v>
      </x:c>
      <x:c r="E59" s="11" t="str">
        <x:v>pending</x:v>
      </x:c>
      <x:c r="F59" s="11" t="n">
        <x:v>0</x:v>
      </x:c>
      <x:c r="G59" s="11" t="str">
        <x:v>pending</x:v>
      </x:c>
      <x:c r="H59" s="11" t="str"/>
      <x:c r="I59" s="11" t="str"/>
    </x:row>
    <x:row r="60" ht="23" customHeight="1">
      <x:c r="A60" s="11" t="str">
        <x:v>I054</x:v>
      </x:c>
      <x:c r="B60" s="11" t="str">
        <x:v>MINIMAX-W</x:v>
      </x:c>
      <x:c r="C60" s="11" t="str">
        <x:v>AI模型</x:v>
      </x:c>
      <x:c r="D60" s="11" t="str">
        <x:v>00100.HK</x:v>
      </x:c>
      <x:c r="E60" s="11" t="str">
        <x:v>pending</x:v>
      </x:c>
      <x:c r="F60" s="11" t="n">
        <x:v>0</x:v>
      </x:c>
      <x:c r="G60" s="11" t="str">
        <x:v>pending</x:v>
      </x:c>
      <x:c r="H60" s="11" t="str"/>
      <x:c r="I60" s="11" t="str"/>
    </x:row>
    <x:row r="61" ht="23" customHeight="1">
      <x:c r="A61" s="11" t="str">
        <x:v>I055</x:v>
      </x:c>
      <x:c r="B61" s="11" t="str">
        <x:v>智谱</x:v>
      </x:c>
      <x:c r="C61" s="11" t="str">
        <x:v>AI模型</x:v>
      </x:c>
      <x:c r="D61" s="11" t="str">
        <x:v>02513.HK</x:v>
      </x:c>
      <x:c r="E61" s="11" t="str">
        <x:v>pending</x:v>
      </x:c>
      <x:c r="F61" s="11" t="n">
        <x:v>0</x:v>
      </x:c>
      <x:c r="G61" s="11" t="str">
        <x:v>pending</x:v>
      </x:c>
      <x:c r="H61" s="11" t="str"/>
      <x:c r="I61" s="11" t="str"/>
    </x:row>
    <x:row r="62" ht="23" customHeight="1">
      <x:c r="A62" s="11" t="str">
        <x:v>I056</x:v>
      </x:c>
      <x:c r="B62" s="11" t="str">
        <x:v>泡泡玛特</x:v>
      </x:c>
      <x:c r="C62" s="11" t="str">
        <x:v>消费</x:v>
      </x:c>
      <x:c r="D62" s="11" t="str">
        <x:v>09992.HK</x:v>
      </x:c>
      <x:c r="E62" s="11" t="str">
        <x:v>正文完成，待文档验收</x:v>
      </x:c>
      <x:c r="F62" s="11" t="n">
        <x:v>14222</x:v>
      </x:c>
      <x:c r="G62" s="11" t="str">
        <x:v>情景模型初版已复算</x:v>
      </x:c>
      <x:c r="H62" s="11" t="str">
        <x:v>popmart-normalized-geography-v1.0</x:v>
      </x:c>
      <x:c r="I62" s="11" t="d">
        <x:v>2026-10-10T12:37:34.578Z</x:v>
      </x:c>
    </x:row>
    <x:row r="63" ht="23" customHeight="1">
      <x:c r="A63" s="11" t="str">
        <x:v>I057</x:v>
      </x:c>
      <x:c r="B63" s="11" t="str">
        <x:v>中广核新能源</x:v>
      </x:c>
      <x:c r="C63" s="11" t="str">
        <x:v>新能源运营</x:v>
      </x:c>
      <x:c r="D63" s="11" t="str">
        <x:v>01811.HK</x:v>
      </x:c>
      <x:c r="E63" s="11" t="str">
        <x:v>pending</x:v>
      </x:c>
      <x:c r="F63" s="11" t="n">
        <x:v>0</x:v>
      </x:c>
      <x:c r="G63" s="11" t="str">
        <x:v>pending</x:v>
      </x:c>
      <x:c r="H63" s="11" t="str"/>
      <x:c r="I63" s="11" t="str"/>
    </x:row>
    <x:row r="64" ht="23" customHeight="1">
      <x:c r="A64" s="11" t="str">
        <x:v>I058</x:v>
      </x:c>
      <x:c r="B64" s="11" t="str">
        <x:v>东方甄选</x:v>
      </x:c>
      <x:c r="C64" s="11" t="str">
        <x:v>消费</x:v>
      </x:c>
      <x:c r="D64" s="11" t="str">
        <x:v>01797.HK</x:v>
      </x:c>
      <x:c r="E64" s="11" t="str">
        <x:v>pending</x:v>
      </x:c>
      <x:c r="F64" s="11" t="n">
        <x:v>0</x:v>
      </x:c>
      <x:c r="G64" s="11" t="str">
        <x:v>pending</x:v>
      </x:c>
      <x:c r="H64" s="11" t="str"/>
      <x:c r="I64" s="11" t="str"/>
    </x:row>
    <x:row r="65" ht="23" customHeight="1">
      <x:c r="A65" s="11" t="str">
        <x:v>I059</x:v>
      </x:c>
      <x:c r="B65" s="11" t="str">
        <x:v>优必选</x:v>
      </x:c>
      <x:c r="C65" s="11" t="str">
        <x:v>机器人</x:v>
      </x:c>
      <x:c r="D65" s="11" t="str">
        <x:v>09880.HK</x:v>
      </x:c>
      <x:c r="E65" s="11" t="str">
        <x:v>pending</x:v>
      </x:c>
      <x:c r="F65" s="11" t="n">
        <x:v>0</x:v>
      </x:c>
      <x:c r="G65" s="11" t="str">
        <x:v>pending</x:v>
      </x:c>
      <x:c r="H65" s="11" t="str"/>
      <x:c r="I65" s="11" t="str"/>
    </x:row>
    <x:row r="66" ht="23" customHeight="1">
      <x:c r="A66" s="11" t="str">
        <x:v>I060</x:v>
      </x:c>
      <x:c r="B66" s="11" t="str">
        <x:v>心动公司</x:v>
      </x:c>
      <x:c r="C66" s="11" t="str">
        <x:v>游戏</x:v>
      </x:c>
      <x:c r="D66" s="11" t="str">
        <x:v>02400.HK</x:v>
      </x:c>
      <x:c r="E66" s="11" t="str">
        <x:v>pending</x:v>
      </x:c>
      <x:c r="F66" s="11" t="n">
        <x:v>0</x:v>
      </x:c>
      <x:c r="G66" s="11" t="str">
        <x:v>pending</x:v>
      </x:c>
      <x:c r="H66" s="11" t="str"/>
      <x:c r="I66" s="11" t="str"/>
    </x:row>
    <x:row r="67" ht="23" customHeight="1">
      <x:c r="A67" s="11" t="str">
        <x:v>I061</x:v>
      </x:c>
      <x:c r="B67" s="11" t="str">
        <x:v>比亚迪股份</x:v>
      </x:c>
      <x:c r="C67" s="11" t="str">
        <x:v>汽车</x:v>
      </x:c>
      <x:c r="D67" s="11" t="str">
        <x:v>01211.HK</x:v>
      </x:c>
      <x:c r="E67" s="11" t="str">
        <x:v>正文完成，待文档验收</x:v>
      </x:c>
      <x:c r="F67" s="11" t="n">
        <x:v>10908</x:v>
      </x:c>
      <x:c r="G67" s="11" t="str">
        <x:v>情景模型初版已复算</x:v>
      </x:c>
      <x:c r="H67" s="11" t="str">
        <x:v>byd-unit-owner-profit-v1.0</x:v>
      </x:c>
      <x:c r="I67" s="11" t="d">
        <x:v>2026-10-10T12:37:34.579Z</x:v>
      </x:c>
    </x:row>
    <x:row r="68" ht="23" customHeight="1">
      <x:c r="A68" s="11" t="str">
        <x:v>I062</x:v>
      </x:c>
      <x:c r="B68" s="11" t="str">
        <x:v>地平线机器人-W</x:v>
      </x:c>
      <x:c r="C68" s="11" t="str">
        <x:v>智能驾驶</x:v>
      </x:c>
      <x:c r="D68" s="11" t="str">
        <x:v>09660.HK</x:v>
      </x:c>
      <x:c r="E68" s="11" t="str">
        <x:v>pending</x:v>
      </x:c>
      <x:c r="F68" s="11" t="n">
        <x:v>0</x:v>
      </x:c>
      <x:c r="G68" s="11" t="str">
        <x:v>pending</x:v>
      </x:c>
      <x:c r="H68" s="11" t="str"/>
      <x:c r="I68" s="11" t="str"/>
    </x:row>
    <x:row r="69" ht="23" customHeight="1">
      <x:c r="A69" s="11" t="str">
        <x:v>I063</x:v>
      </x:c>
      <x:c r="B69" s="11" t="str">
        <x:v>宁德时代</x:v>
      </x:c>
      <x:c r="C69" s="11" t="str">
        <x:v>电池</x:v>
      </x:c>
      <x:c r="D69" s="11" t="str">
        <x:v>03750.HK</x:v>
      </x:c>
      <x:c r="E69" s="11" t="str">
        <x:v>正文完成，待文档验收</x:v>
      </x:c>
      <x:c r="F69" s="11" t="n">
        <x:v>14335</x:v>
      </x:c>
      <x:c r="G69" s="11" t="str">
        <x:v>情景模型初版已复算</x:v>
      </x:c>
      <x:c r="H69" s="11" t="str">
        <x:v>catl-normalized-four-segment-v1.0</x:v>
      </x:c>
      <x:c r="I69" s="11" t="d">
        <x:v>2026-10-10T12:37:34.580Z</x:v>
      </x:c>
    </x:row>
    <x:row r="70" ht="23" customHeight="1">
      <x:c r="A70" s="11" t="str">
        <x:v>I064</x:v>
      </x:c>
      <x:c r="B70" s="11" t="str">
        <x:v>网易</x:v>
      </x:c>
      <x:c r="C70" s="11" t="str">
        <x:v>游戏</x:v>
      </x:c>
      <x:c r="D70" s="11" t="str">
        <x:v>09999.HK</x:v>
      </x:c>
      <x:c r="E70" s="11" t="str">
        <x:v>正文完成，待文档验收</x:v>
      </x:c>
      <x:c r="F70" s="11" t="n">
        <x:v>12935</x:v>
      </x:c>
      <x:c r="G70" s="11" t="str">
        <x:v>情景模型初版已复算</x:v>
      </x:c>
      <x:c r="H70" s="11" t="str">
        <x:v>netease-pe-v1.0</x:v>
      </x:c>
      <x:c r="I70" s="11" t="d">
        <x:v>2026-10-10T12:37:34.580Z</x:v>
      </x:c>
    </x:row>
    <x:row r="71" ht="23" customHeight="1">
      <x:c r="A71" s="11" t="str">
        <x:v>I065</x:v>
      </x:c>
      <x:c r="B71" s="11" t="str">
        <x:v>联想集团</x:v>
      </x:c>
      <x:c r="C71" s="11" t="str">
        <x:v>硬件</x:v>
      </x:c>
      <x:c r="D71" s="11" t="str">
        <x:v>00992.HK</x:v>
      </x:c>
      <x:c r="E71" s="11" t="str">
        <x:v>正文完成，待文档验收</x:v>
      </x:c>
      <x:c r="F71" s="11" t="n">
        <x:v>13854</x:v>
      </x:c>
      <x:c r="G71" s="11" t="str">
        <x:v>情景模型初版已复算</x:v>
      </x:c>
      <x:c r="H71" s="11" t="str">
        <x:v>lenovo-normalized-operating-dilution-v1.0</x:v>
      </x:c>
      <x:c r="I71" s="11" t="d">
        <x:v>2026-10-10T12:37:34.580Z</x:v>
      </x:c>
    </x:row>
    <x:row r="72" ht="23" customHeight="1">
      <x:c r="A72" s="11" t="str">
        <x:v>I066</x:v>
      </x:c>
      <x:c r="B72" s="11" t="str">
        <x:v>百度集团-W</x:v>
      </x:c>
      <x:c r="C72" s="11" t="str">
        <x:v>互联网AI</x:v>
      </x:c>
      <x:c r="D72" s="11" t="str">
        <x:v>09888.HK</x:v>
      </x:c>
      <x:c r="E72" s="11" t="str">
        <x:v>正文完成，待文档验收</x:v>
      </x:c>
      <x:c r="F72" s="11" t="n">
        <x:v>14736</x:v>
      </x:c>
      <x:c r="G72" s="11" t="str">
        <x:v>情景模型初版已复算</x:v>
      </x:c>
      <x:c r="H72" s="11" t="str">
        <x:v>baidu-mutually-exclusive-normalized-v1.0</x:v>
      </x:c>
      <x:c r="I72" s="11" t="d">
        <x:v>2026-10-10T12:37:34.582Z</x:v>
      </x:c>
    </x:row>
    <x:row r="73" ht="23" customHeight="1">
      <x:c r="A73" s="11" t="str">
        <x:v>I067</x:v>
      </x:c>
      <x:c r="B73" s="11" t="str">
        <x:v>阿里健康</x:v>
      </x:c>
      <x:c r="C73" s="11" t="str">
        <x:v>互联网医疗</x:v>
      </x:c>
      <x:c r="D73" s="11" t="str">
        <x:v>00241.HK</x:v>
      </x:c>
      <x:c r="E73" s="11" t="str">
        <x:v>pending</x:v>
      </x:c>
      <x:c r="F73" s="11" t="n">
        <x:v>0</x:v>
      </x:c>
      <x:c r="G73" s="11" t="str">
        <x:v>pending</x:v>
      </x:c>
      <x:c r="H73" s="11" t="str"/>
      <x:c r="I73" s="11" t="str"/>
    </x:row>
    <x:row r="74" ht="23" customHeight="1">
      <x:c r="A74" s="11" t="str">
        <x:v>I068</x:v>
      </x:c>
      <x:c r="B74" s="11" t="str">
        <x:v>海尔智家</x:v>
      </x:c>
      <x:c r="C74" s="11" t="str">
        <x:v>家电</x:v>
      </x:c>
      <x:c r="D74" s="11" t="str">
        <x:v>06690.HK</x:v>
      </x:c>
      <x:c r="E74" s="11" t="str">
        <x:v>pending</x:v>
      </x:c>
      <x:c r="F74" s="11" t="n">
        <x:v>0</x:v>
      </x:c>
      <x:c r="G74" s="11" t="str">
        <x:v>pending</x:v>
      </x:c>
      <x:c r="H74" s="11" t="str"/>
      <x:c r="I74" s="11" t="str"/>
    </x:row>
    <x:row r="75" ht="23" customHeight="1">
      <x:c r="A75" s="11" t="str">
        <x:v>I069</x:v>
      </x:c>
      <x:c r="B75" s="11" t="str">
        <x:v>ASMPT</x:v>
      </x:c>
      <x:c r="C75" s="11" t="str">
        <x:v>半导体设备</x:v>
      </x:c>
      <x:c r="D75" s="11" t="str">
        <x:v>00522.HK</x:v>
      </x:c>
      <x:c r="E75" s="11" t="str">
        <x:v>pending</x:v>
      </x:c>
      <x:c r="F75" s="11" t="n">
        <x:v>0</x:v>
      </x:c>
      <x:c r="G75" s="11" t="str">
        <x:v>pending</x:v>
      </x:c>
      <x:c r="H75" s="11" t="str"/>
      <x:c r="I75" s="11" t="str"/>
    </x:row>
    <x:row r="76" ht="23" customHeight="1">
      <x:c r="A76" s="11" t="str">
        <x:v>I070</x:v>
      </x:c>
      <x:c r="B76" s="11" t="str">
        <x:v>京东集团-SW</x:v>
      </x:c>
      <x:c r="C76" s="11" t="str">
        <x:v>互联网消费</x:v>
      </x:c>
      <x:c r="D76" s="11" t="str">
        <x:v>09618.HK</x:v>
      </x:c>
      <x:c r="E76" s="11" t="str">
        <x:v>正文完成，待文档验收</x:v>
      </x:c>
      <x:c r="F76" s="11" t="n">
        <x:v>13029</x:v>
      </x:c>
      <x:c r="G76" s="11" t="str">
        <x:v>情景模型初版已复算</x:v>
      </x:c>
      <x:c r="H76" s="11" t="str">
        <x:v>jd-three-segment-normalized-v1.0</x:v>
      </x:c>
      <x:c r="I76" s="11" t="d">
        <x:v>2026-10-10T12:37:34.582Z</x:v>
      </x:c>
    </x:row>
    <x:row r="77" ht="23" customHeight="1">
      <x:c r="A77" s="11" t="str">
        <x:v>I071</x:v>
      </x:c>
      <x:c r="B77" s="11" t="str">
        <x:v>华虹宏力</x:v>
      </x:c>
      <x:c r="C77" s="11" t="str">
        <x:v>半导体</x:v>
      </x:c>
      <x:c r="D77" s="11" t="str">
        <x:v>01347.HK</x:v>
      </x:c>
      <x:c r="E77" s="11" t="str">
        <x:v>pending</x:v>
      </x:c>
      <x:c r="F77" s="11" t="n">
        <x:v>0</x:v>
      </x:c>
      <x:c r="G77" s="11" t="str">
        <x:v>pending</x:v>
      </x:c>
      <x:c r="H77" s="11" t="str"/>
      <x:c r="I77" s="11" t="str"/>
    </x:row>
    <x:row r="78" ht="23" customHeight="1">
      <x:c r="A78" s="11" t="str">
        <x:v>I072</x:v>
      </x:c>
      <x:c r="B78" s="11" t="str">
        <x:v>腾讯控股</x:v>
      </x:c>
      <x:c r="C78" s="11" t="str">
        <x:v>互联网游戏</x:v>
      </x:c>
      <x:c r="D78" s="11" t="str">
        <x:v>00700.HK</x:v>
      </x:c>
      <x:c r="E78" s="11" t="str">
        <x:v>正文完成，待文档验收</x:v>
      </x:c>
      <x:c r="F78" s="11" t="n">
        <x:v>15700</x:v>
      </x:c>
      <x:c r="G78" s="11" t="str">
        <x:v>情景模型初版已复算</x:v>
      </x:c>
      <x:c r="H78" s="11" t="str">
        <x:v>tencent-pe-v1.0</x:v>
      </x:c>
      <x:c r="I78" s="11" t="d">
        <x:v>2026-10-10T12:37:34.584Z</x:v>
      </x:c>
    </x:row>
    <x:row r="79" ht="23" customHeight="1">
      <x:c r="A79" s="11" t="str">
        <x:v>I073</x:v>
      </x:c>
      <x:c r="B79" s="11" t="str">
        <x:v>哔哩哔哩-W</x:v>
      </x:c>
      <x:c r="C79" s="11" t="str">
        <x:v>互联网内容</x:v>
      </x:c>
      <x:c r="D79" s="11" t="str">
        <x:v>09626.HK</x:v>
      </x:c>
      <x:c r="E79" s="11" t="str">
        <x:v>正文完成，待文档验收</x:v>
      </x:c>
      <x:c r="F79" s="11" t="n">
        <x:v>14741</x:v>
      </x:c>
      <x:c r="G79" s="11" t="str">
        <x:v>情景模型初版已复算</x:v>
      </x:c>
      <x:c r="H79" s="11" t="str">
        <x:v>bilibili-normalized-content-games-dilution-v1.0</x:v>
      </x:c>
      <x:c r="I79" s="11" t="d">
        <x:v>2026-10-10T12:37:34.584Z</x:v>
      </x:c>
    </x:row>
    <x:row r="80" ht="23" customHeight="1">
      <x:c r="A80" s="11" t="str">
        <x:v>I074</x:v>
      </x:c>
      <x:c r="B80" s="11" t="str">
        <x:v>京东健康</x:v>
      </x:c>
      <x:c r="C80" s="11" t="str">
        <x:v>互联网医疗</x:v>
      </x:c>
      <x:c r="D80" s="11" t="str">
        <x:v>06618.HK</x:v>
      </x:c>
      <x:c r="E80" s="11" t="str">
        <x:v>正文完成，待文档验收</x:v>
      </x:c>
      <x:c r="F80" s="11" t="n">
        <x:v>15459</x:v>
      </x:c>
      <x:c r="G80" s="11" t="str">
        <x:v>情景模型初版已复算</x:v>
      </x:c>
      <x:c r="H80" s="11" t="str">
        <x:v>jdhealth-products-services-normalized-profit-v1.0</x:v>
      </x:c>
      <x:c r="I80" s="11" t="d">
        <x:v>2026-10-10T12:37:34.585Z</x:v>
      </x:c>
    </x:row>
    <x:row r="81" ht="23" customHeight="1">
      <x:c r="A81" s="11" t="str">
        <x:v>I075</x:v>
      </x:c>
      <x:c r="B81" s="11" t="str">
        <x:v>阿里巴巴-W</x:v>
      </x:c>
      <x:c r="C81" s="11" t="str">
        <x:v>互联网AI</x:v>
      </x:c>
      <x:c r="D81" s="11" t="str">
        <x:v>09988.HK</x:v>
      </x:c>
      <x:c r="E81" s="11" t="str">
        <x:v>正文完成，待文档验收</x:v>
      </x:c>
      <x:c r="F81" s="11" t="n">
        <x:v>14892</x:v>
      </x:c>
      <x:c r="G81" s="11" t="str">
        <x:v>情景模型初版已复算</x:v>
      </x:c>
      <x:c r="H81" s="11" t="str">
        <x:v>alibaba-operating-bridge-pe-v1.0</x:v>
      </x:c>
      <x:c r="I81" s="11" t="d">
        <x:v>2026-10-10T12:37:34.586Z</x:v>
      </x:c>
    </x:row>
    <x:row r="82" ht="23" customHeight="1">
      <x:c r="A82" s="11" t="str">
        <x:v>I076</x:v>
      </x:c>
      <x:c r="B82" s="11" t="str">
        <x:v>舜宇光学科技</x:v>
      </x:c>
      <x:c r="C82" s="11" t="str">
        <x:v>光学</x:v>
      </x:c>
      <x:c r="D82" s="11" t="str">
        <x:v>02382.HK</x:v>
      </x:c>
      <x:c r="E82" s="11" t="str">
        <x:v>pending</x:v>
      </x:c>
      <x:c r="F82" s="11" t="n">
        <x:v>0</x:v>
      </x:c>
      <x:c r="G82" s="11" t="str">
        <x:v>pending</x:v>
      </x:c>
      <x:c r="H82" s="11" t="str"/>
      <x:c r="I82" s="11" t="str"/>
    </x:row>
    <x:row r="83" ht="23" customHeight="1">
      <x:c r="A83" s="11" t="str">
        <x:v>I077</x:v>
      </x:c>
      <x:c r="B83" s="11" t="str">
        <x:v>携程集团-S</x:v>
      </x:c>
      <x:c r="C83" s="11" t="str">
        <x:v>旅游</x:v>
      </x:c>
      <x:c r="D83" s="11" t="str">
        <x:v>09961.HK</x:v>
      </x:c>
      <x:c r="E83" s="11" t="str">
        <x:v>正文完成，待文档验收</x:v>
      </x:c>
      <x:c r="F83" s="11" t="n">
        <x:v>12365</x:v>
      </x:c>
      <x:c r="G83" s="11" t="str">
        <x:v>情景模型初版已复算</x:v>
      </x:c>
      <x:c r="H83" s="11" t="str">
        <x:v>trip-normalized-ebit-penalty-v1.0</x:v>
      </x:c>
      <x:c r="I83" s="11" t="d">
        <x:v>2026-10-10T12:37:34.588Z</x:v>
      </x:c>
    </x:row>
    <x:row r="84" ht="23" customHeight="1">
      <x:c r="A84" s="11" t="str">
        <x:v>I078</x:v>
      </x:c>
      <x:c r="B84" s="11" t="str">
        <x:v>美团-W</x:v>
      </x:c>
      <x:c r="C84" s="11" t="str">
        <x:v>互联网消费</x:v>
      </x:c>
      <x:c r="D84" s="11" t="str">
        <x:v>03690.HK</x:v>
      </x:c>
      <x:c r="E84" s="11" t="str">
        <x:v>正文完成，待文档验收</x:v>
      </x:c>
      <x:c r="F84" s="11" t="n">
        <x:v>16455</x:v>
      </x:c>
      <x:c r="G84" s="11" t="str">
        <x:v>情景模型初版已复算</x:v>
      </x:c>
      <x:c r="H84" s="11" t="str">
        <x:v>meituan-core-new-SOTP-v1.0</x:v>
      </x:c>
      <x:c r="I84" s="11" t="d">
        <x:v>2026-10-10T12:37:34.590Z</x:v>
      </x:c>
    </x:row>
    <x:row r="85" ht="23" customHeight="1">
      <x:c r="A85" s="11" t="str">
        <x:v>I079</x:v>
      </x:c>
      <x:c r="B85" s="11" t="str">
        <x:v>阅文集团</x:v>
      </x:c>
      <x:c r="C85" s="11" t="str">
        <x:v>互联网内容</x:v>
      </x:c>
      <x:c r="D85" s="11" t="str">
        <x:v>00772.HK</x:v>
      </x:c>
      <x:c r="E85" s="11" t="str">
        <x:v>pending</x:v>
      </x:c>
      <x:c r="F85" s="11" t="n">
        <x:v>0</x:v>
      </x:c>
      <x:c r="G85" s="11" t="str">
        <x:v>pending</x:v>
      </x:c>
      <x:c r="H85" s="11" t="str"/>
      <x:c r="I85" s="11" t="str"/>
    </x:row>
    <x:row r="86" ht="23" customHeight="1">
      <x:c r="A86" s="11" t="str">
        <x:v>I080</x:v>
      </x:c>
      <x:c r="B86" s="11" t="str">
        <x:v>快手-W</x:v>
      </x:c>
      <x:c r="C86" s="11" t="str">
        <x:v>互联网内容</x:v>
      </x:c>
      <x:c r="D86" s="11" t="str">
        <x:v>01024.HK</x:v>
      </x:c>
      <x:c r="E86" s="11" t="str">
        <x:v>正文完成，待文档验收</x:v>
      </x:c>
      <x:c r="F86" s="11" t="n">
        <x:v>14319</x:v>
      </x:c>
      <x:c r="G86" s="11" t="str">
        <x:v>情景模型初版已复算</x:v>
      </x:c>
      <x:c r="H86" s="11" t="str">
        <x:v>kuaishou-core-kling-normalized-v1.0</x:v>
      </x:c>
      <x:c r="I86" s="11" t="d">
        <x:v>2026-10-10T12:37:34.590Z</x:v>
      </x:c>
    </x:row>
    <x:row r="87" ht="23" customHeight="1">
      <x:c r="A87" s="11" t="str">
        <x:v>I081</x:v>
      </x:c>
      <x:c r="B87" s="11" t="str">
        <x:v>比亚迪电子</x:v>
      </x:c>
      <x:c r="C87" s="11" t="str">
        <x:v>硬件</x:v>
      </x:c>
      <x:c r="D87" s="11" t="str">
        <x:v>00285.HK</x:v>
      </x:c>
      <x:c r="E87" s="11" t="str">
        <x:v>pending</x:v>
      </x:c>
      <x:c r="F87" s="11" t="n">
        <x:v>0</x:v>
      </x:c>
      <x:c r="G87" s="11" t="str">
        <x:v>pending</x:v>
      </x:c>
      <x:c r="H87" s="11" t="str"/>
      <x:c r="I87" s="11" t="str"/>
    </x:row>
    <x:row r="88" ht="23" customHeight="1">
      <x:c r="A88" s="11" t="str">
        <x:v>I082</x:v>
      </x:c>
      <x:c r="B88" s="11" t="str">
        <x:v>美的集团</x:v>
      </x:c>
      <x:c r="C88" s="11" t="str">
        <x:v>家电</x:v>
      </x:c>
      <x:c r="D88" s="11" t="str">
        <x:v>00300.HK</x:v>
      </x:c>
      <x:c r="E88" s="11" t="str">
        <x:v>正文完成，待文档验收</x:v>
      </x:c>
      <x:c r="F88" s="11" t="n">
        <x:v>14543</x:v>
      </x:c>
      <x:c r="G88" s="11" t="str">
        <x:v>情景模型初版已复算</x:v>
      </x:c>
      <x:c r="H88" s="11" t="str">
        <x:v>midea-normalized-owner-margin-v1.0</x:v>
      </x:c>
      <x:c r="I88" s="11" t="d">
        <x:v>2026-10-10T12:37:34.591Z</x:v>
      </x:c>
    </x:row>
    <x:row r="89" ht="23" customHeight="1">
      <x:c r="A89" s="11" t="str">
        <x:v>I083</x:v>
      </x:c>
      <x:c r="B89" s="11" t="str">
        <x:v>众安在线</x:v>
      </x:c>
      <x:c r="C89" s="11" t="str">
        <x:v>保险科技</x:v>
      </x:c>
      <x:c r="D89" s="11" t="str">
        <x:v>06060.HK</x:v>
      </x:c>
      <x:c r="E89" s="11" t="str">
        <x:v>pending</x:v>
      </x:c>
      <x:c r="F89" s="11" t="n">
        <x:v>0</x:v>
      </x:c>
      <x:c r="G89" s="11" t="str">
        <x:v>pending</x:v>
      </x:c>
      <x:c r="H89" s="11" t="str"/>
      <x:c r="I89" s="11" t="str"/>
    </x:row>
    <x:row r="90" ht="23" customHeight="1">
      <x:c r="A90" s="11" t="str">
        <x:v>I084</x:v>
      </x:c>
      <x:c r="B90" s="11" t="str">
        <x:v>理想汽车-W</x:v>
      </x:c>
      <x:c r="C90" s="11" t="str">
        <x:v>汽车</x:v>
      </x:c>
      <x:c r="D90" s="11" t="str">
        <x:v>02015.HK</x:v>
      </x:c>
      <x:c r="E90" s="11" t="str">
        <x:v>pending</x:v>
      </x:c>
      <x:c r="F90" s="11" t="n">
        <x:v>0</x:v>
      </x:c>
      <x:c r="G90" s="11" t="str">
        <x:v>pending</x:v>
      </x:c>
      <x:c r="H90" s="11" t="str"/>
      <x:c r="I90" s="11" t="str"/>
    </x:row>
    <x:row r="91" ht="23" customHeight="1">
      <x:c r="A91" s="11" t="str">
        <x:v>I085</x:v>
      </x:c>
      <x:c r="B91" s="11" t="str">
        <x:v>小鹏集团-W</x:v>
      </x:c>
      <x:c r="C91" s="11" t="str">
        <x:v>汽车</x:v>
      </x:c>
      <x:c r="D91" s="11" t="str">
        <x:v>09868.HK</x:v>
      </x:c>
      <x:c r="E91" s="11" t="str">
        <x:v>pending</x:v>
      </x:c>
      <x:c r="F91" s="11" t="n">
        <x:v>0</x:v>
      </x:c>
      <x:c r="G91" s="11" t="str">
        <x:v>pending</x:v>
      </x:c>
      <x:c r="H91" s="11" t="str"/>
      <x:c r="I91" s="11" t="str"/>
    </x:row>
    <x:row r="92" ht="23" customHeight="1">
      <x:c r="A92" s="11" t="str">
        <x:v>I086</x:v>
      </x:c>
      <x:c r="B92" s="11" t="str">
        <x:v>同程旅行</x:v>
      </x:c>
      <x:c r="C92" s="11" t="str">
        <x:v>旅游</x:v>
      </x:c>
      <x:c r="D92" s="11" t="str">
        <x:v>00780.HK</x:v>
      </x:c>
      <x:c r="E92" s="11" t="str">
        <x:v>pending</x:v>
      </x:c>
      <x:c r="F92" s="11" t="n">
        <x:v>0</x:v>
      </x:c>
      <x:c r="G92" s="11" t="str">
        <x:v>pending</x:v>
      </x:c>
      <x:c r="H92" s="11" t="str"/>
      <x:c r="I92" s="11" t="str"/>
    </x:row>
    <x:row r="93" ht="23" customHeight="1">
      <x:c r="A93" s="11" t="str">
        <x:v>I087</x:v>
      </x:c>
      <x:c r="B93" s="11" t="str">
        <x:v>小米集团-W</x:v>
      </x:c>
      <x:c r="C93" s="11" t="str">
        <x:v>硬件汽车</x:v>
      </x:c>
      <x:c r="D93" s="11" t="str">
        <x:v>01810.HK</x:v>
      </x:c>
      <x:c r="E93" s="11" t="str">
        <x:v>正文完成，待文档验收</x:v>
      </x:c>
      <x:c r="F93" s="11" t="n">
        <x:v>11779</x:v>
      </x:c>
      <x:c r="G93" s="11" t="str">
        <x:v>情景模型初版已复算</x:v>
      </x:c>
      <x:c r="H93" s="11" t="str">
        <x:v>xiaomi-normalized-two-segment-v1.0</x:v>
      </x:c>
      <x:c r="I93" s="11" t="d">
        <x:v>2026-10-10T12:37:34.591Z</x:v>
      </x:c>
    </x:row>
    <x:row r="94" ht="23" customHeight="1">
      <x:c r="A94" s="11" t="str">
        <x:v>I088</x:v>
      </x:c>
      <x:c r="B94" s="11" t="str">
        <x:v>蔚来-SW</x:v>
      </x:c>
      <x:c r="C94" s="11" t="str">
        <x:v>汽车</x:v>
      </x:c>
      <x:c r="D94" s="11" t="str">
        <x:v>09866.HK</x:v>
      </x:c>
      <x:c r="E94" s="11" t="str">
        <x:v>pending</x:v>
      </x:c>
      <x:c r="F94" s="11" t="n">
        <x:v>0</x:v>
      </x:c>
      <x:c r="G94" s="11" t="str">
        <x:v>pending</x:v>
      </x:c>
      <x:c r="H94" s="11" t="str"/>
      <x:c r="I94" s="11" t="str"/>
    </x:row>
    <x:row r="95" ht="23" customHeight="1">
      <x:c r="A95" s="11" t="str">
        <x:v>I089</x:v>
      </x:c>
      <x:c r="B95" s="11" t="str">
        <x:v>商汤-W</x:v>
      </x:c>
      <x:c r="C95" s="11" t="str">
        <x:v>AI软件</x:v>
      </x:c>
      <x:c r="D95" s="11" t="str">
        <x:v>00020.HK</x:v>
      </x:c>
      <x:c r="E95" s="11" t="str">
        <x:v>pending</x:v>
      </x:c>
      <x:c r="F95" s="11" t="n">
        <x:v>0</x:v>
      </x:c>
      <x:c r="G95" s="11" t="str">
        <x:v>pending</x:v>
      </x:c>
      <x:c r="H95" s="11" t="str"/>
      <x:c r="I95" s="11" t="str"/>
    </x:row>
    <x:row r="96" ht="23" customHeight="1">
      <x:c r="A96" s="11" t="str">
        <x:v>I090</x:v>
      </x:c>
      <x:c r="B96" s="11" t="str">
        <x:v>金蝶国际</x:v>
      </x:c>
      <x:c r="C96" s="11" t="str">
        <x:v>企业软件</x:v>
      </x:c>
      <x:c r="D96" s="11" t="str">
        <x:v>00268.HK</x:v>
      </x:c>
      <x:c r="E96" s="11" t="str">
        <x:v>正文完成，待文档验收</x:v>
      </x:c>
      <x:c r="F96" s="11" t="n">
        <x:v>13809</x:v>
      </x:c>
      <x:c r="G96" s="11" t="str">
        <x:v>情景模型初版已复算</x:v>
      </x:c>
      <x:c r="H96" s="11" t="str">
        <x:v>kingdee-cloud-evsales-cash-reserve-v1.0</x:v>
      </x:c>
      <x:c r="I96" s="11" t="d">
        <x:v>2026-10-10T12:37:34.592Z</x:v>
      </x:c>
    </x:row>
    <x:row r="97" ht="23" customHeight="1">
      <x:c r="A97" s="11" t="str">
        <x:v>I091</x:v>
      </x:c>
      <x:c r="B97" s="11" t="str">
        <x:v>金山软件</x:v>
      </x:c>
      <x:c r="C97" s="11" t="str">
        <x:v>企业软件游戏</x:v>
      </x:c>
      <x:c r="D97" s="11" t="str">
        <x:v>03888.HK</x:v>
      </x:c>
      <x:c r="E97" s="11" t="str">
        <x:v>pending</x:v>
      </x:c>
      <x:c r="F97" s="11" t="n">
        <x:v>0</x:v>
      </x:c>
      <x:c r="G97" s="11" t="str">
        <x:v>pending</x:v>
      </x:c>
      <x:c r="H97" s="11" t="str"/>
      <x:c r="I97" s="11" t="str"/>
    </x:row>
    <x:row r="98" ht="23" customHeight="1">
      <x:c r="A98" s="11" t="str">
        <x:v>I092</x:v>
      </x:c>
      <x:c r="B98" s="11" t="str">
        <x:v>中芯国际</x:v>
      </x:c>
      <x:c r="C98" s="11" t="str">
        <x:v>半导体</x:v>
      </x:c>
      <x:c r="D98" s="11" t="str">
        <x:v>00981.HK</x:v>
      </x:c>
      <x:c r="E98" s="11" t="str">
        <x:v>正文完成，待文档验收</x:v>
      </x:c>
      <x:c r="F98" s="11" t="n">
        <x:v>10973</x:v>
      </x:c>
      <x:c r="G98" s="11" t="str">
        <x:v>情景模型初版已复算</x:v>
      </x:c>
      <x:c r="H98" s="11" t="str">
        <x:v>smic-normalized-IFRS-owner-share-v1.0</x:v>
      </x:c>
      <x:c r="I98" s="11" t="d">
        <x:v>2026-10-10T12:37:34.592Z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10" hidden="0" customWidth="1"/>
    <x:col min="10" max="10" width="110" hidden="0" customWidth="1"/>
    <x:col min="11" max="11" width="20" hidden="0" customWidth="1"/>
    <x:col min="12" max="12" width="46" hidden="0" customWidth="1"/>
    <x:col min="13" max="13" width="4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4" t="str">
        <x:v>已核验原始财务 · 单位/期间/公开时点逐项标注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发行人ID</x:v>
      </x:c>
      <x:c r="B6" s="12" t="str">
        <x:v>代码</x:v>
      </x:c>
      <x:c r="C6" s="12" t="str">
        <x:v>指标</x:v>
      </x:c>
      <x:c r="D6" s="12" t="str">
        <x:v>数值</x:v>
      </x:c>
      <x:c r="E6" s="12" t="str">
        <x:v>币种</x:v>
      </x:c>
      <x:c r="F6" s="12" t="str">
        <x:v>单位</x:v>
      </x:c>
      <x:c r="G6" s="12" t="str">
        <x:v>期间</x:v>
      </x:c>
      <x:c r="H6" s="12" t="str">
        <x:v>文件公开日期</x:v>
      </x:c>
      <x:c r="I6" s="12" t="str">
        <x:v>来源</x:v>
      </x:c>
      <x:c r="J6" s="12" t="str">
        <x:v>口径备注</x:v>
      </x:c>
      <x:c r="K6" s="12" t="str">
        <x:v>首次公开日期</x:v>
      </x:c>
      <x:c r="L6" s="12" t="str">
        <x:v>发布时间状态</x:v>
      </x:c>
      <x:c r="M6" s="12" t="str">
        <x:v>截止日可用性</x:v>
      </x:c>
    </x:row>
    <x:row r="7" ht="23" customHeight="1">
      <x:c r="A7" s="11" t="str">
        <x:v>I048</x:v>
      </x:c>
      <x:c r="B7" s="11" t="str">
        <x:v>01801.HK</x:v>
      </x:c>
      <x:c r="C7" s="11" t="str">
        <x:v>revenue</x:v>
      </x:c>
      <x:c r="D7" s="39" t="n">
        <x:v>8617.801</x:v>
      </x:c>
      <x:c r="E7" s="11" t="str">
        <x:v>CNY</x:v>
      </x:c>
      <x:c r="F7" s="11" t="str">
        <x:v>million</x:v>
      </x:c>
      <x:c r="G7" s="11" t="str">
        <x:v>2026H1</x:v>
      </x:c>
      <x:c r="H7" s="11" t="str">
        <x:v>2026-09-29</x:v>
      </x:c>
      <x:c r="I7" s="11" t="str">
        <x:v>https://iis.aastocks.com/20260929/12350268-0.PDF</x:v>
      </x:c>
      <x:c r="J7" s="11" t="str">
        <x:v>收入、产品收入、期内利润及银行余额现金按2026中报；扩展流动资产含存款、结构产品与投资票据，不能当现金等价物。</x:v>
      </x:c>
      <x:c r="K7" s="11" t="str">
        <x:v>待核</x:v>
      </x:c>
      <x:c r="L7" s="11" t="str">
        <x:v>精确发布时间未核验</x:v>
      </x:c>
      <x:c r="M7" s="11" t="str">
        <x:v>截止日前日期，盘中时分未核</x:v>
      </x:c>
    </x:row>
    <x:row r="8" ht="23" customHeight="1">
      <x:c r="A8" s="11" t="str">
        <x:v>I048</x:v>
      </x:c>
      <x:c r="B8" s="11" t="str">
        <x:v>01801.HK</x:v>
      </x:c>
      <x:c r="C8" s="11" t="str">
        <x:v>productRevenue</x:v>
      </x:c>
      <x:c r="D8" s="39" t="n">
        <x:v>8201.469</x:v>
      </x:c>
      <x:c r="E8" s="11" t="str">
        <x:v>CNY</x:v>
      </x:c>
      <x:c r="F8" s="11" t="str">
        <x:v>million</x:v>
      </x:c>
      <x:c r="G8" s="11" t="str">
        <x:v>2026H1</x:v>
      </x:c>
      <x:c r="H8" s="11" t="str">
        <x:v>2026-09-29</x:v>
      </x:c>
      <x:c r="I8" s="11" t="str">
        <x:v>https://iis.aastocks.com/20260929/12350268-0.PDF</x:v>
      </x:c>
      <x:c r="J8" s="11" t="str">
        <x:v>收入、产品收入、期内利润及银行余额现金按2026中报；扩展流动资产含存款、结构产品与投资票据，不能当现金等价物。</x:v>
      </x:c>
      <x:c r="K8" s="11" t="str">
        <x:v>待核</x:v>
      </x:c>
      <x:c r="L8" s="11" t="str">
        <x:v>精确发布时间未核验</x:v>
      </x:c>
      <x:c r="M8" s="11" t="str">
        <x:v>截止日前日期，盘中时分未核</x:v>
      </x:c>
    </x:row>
    <x:row r="9" ht="23" customHeight="1">
      <x:c r="A9" s="11" t="str">
        <x:v>I048</x:v>
      </x:c>
      <x:c r="B9" s="11" t="str">
        <x:v>01801.HK</x:v>
      </x:c>
      <x:c r="C9" s="11" t="str">
        <x:v>profit</x:v>
      </x:c>
      <x:c r="D9" s="39" t="n">
        <x:v>1253.142</x:v>
      </x:c>
      <x:c r="E9" s="11" t="str">
        <x:v>CNY</x:v>
      </x:c>
      <x:c r="F9" s="11" t="str">
        <x:v>million</x:v>
      </x:c>
      <x:c r="G9" s="11" t="str">
        <x:v>2026H1</x:v>
      </x:c>
      <x:c r="H9" s="11" t="str">
        <x:v>2026-09-29</x:v>
      </x:c>
      <x:c r="I9" s="11" t="str">
        <x:v>https://iis.aastocks.com/20260929/12350268-0.PDF</x:v>
      </x:c>
      <x:c r="J9" s="11" t="str">
        <x:v>收入、产品收入、期内利润及银行余额现金按2026中报；扩展流动资产含存款、结构产品与投资票据，不能当现金等价物。</x:v>
      </x:c>
      <x:c r="K9" s="11" t="str">
        <x:v>待核</x:v>
      </x:c>
      <x:c r="L9" s="11" t="str">
        <x:v>精确发布时间未核验</x:v>
      </x:c>
      <x:c r="M9" s="11" t="str">
        <x:v>截止日前日期，盘中时分未核</x:v>
      </x:c>
    </x:row>
    <x:row r="10" ht="23" customHeight="1">
      <x:c r="A10" s="11" t="str">
        <x:v>I048</x:v>
      </x:c>
      <x:c r="B10" s="11" t="str">
        <x:v>01801.HK</x:v>
      </x:c>
      <x:c r="C10" s="11" t="str">
        <x:v>adjustedProfit</x:v>
      </x:c>
      <x:c r="D10" s="39" t="n">
        <x:v>1703.91</x:v>
      </x:c>
      <x:c r="E10" s="11" t="str">
        <x:v>CNY</x:v>
      </x:c>
      <x:c r="F10" s="11" t="str">
        <x:v>million</x:v>
      </x:c>
      <x:c r="G10" s="11" t="str">
        <x:v>2026H1</x:v>
      </x:c>
      <x:c r="H10" s="11" t="str">
        <x:v>2026-09-29</x:v>
      </x:c>
      <x:c r="I10" s="11" t="str">
        <x:v>https://iis.aastocks.com/20260929/12350268-0.PDF</x:v>
      </x:c>
      <x:c r="J10" s="11" t="str">
        <x:v>收入、产品收入、期内利润及银行余额现金按2026中报；扩展流动资产含存款、结构产品与投资票据，不能当现金等价物。</x:v>
      </x:c>
      <x:c r="K10" s="11" t="str">
        <x:v>待核</x:v>
      </x:c>
      <x:c r="L10" s="11" t="str">
        <x:v>精确发布时间未核验</x:v>
      </x:c>
      <x:c r="M10" s="11" t="str">
        <x:v>截止日前日期，盘中时分未核</x:v>
      </x:c>
    </x:row>
    <x:row r="11" ht="23" customHeight="1">
      <x:c r="A11" s="11" t="str">
        <x:v>I048</x:v>
      </x:c>
      <x:c r="B11" s="11" t="str">
        <x:v>01801.HK</x:v>
      </x:c>
      <x:c r="C11" s="11" t="str">
        <x:v>cashBank</x:v>
      </x:c>
      <x:c r="D11" s="39" t="n">
        <x:v>17380.396</x:v>
      </x:c>
      <x:c r="E11" s="11" t="str">
        <x:v>CNY</x:v>
      </x:c>
      <x:c r="F11" s="11" t="str">
        <x:v>million</x:v>
      </x:c>
      <x:c r="G11" s="11" t="str">
        <x:v>2026H1</x:v>
      </x:c>
      <x:c r="H11" s="11" t="str">
        <x:v>2026-09-29</x:v>
      </x:c>
      <x:c r="I11" s="11" t="str">
        <x:v>https://iis.aastocks.com/20260929/12350268-0.PDF</x:v>
      </x:c>
      <x:c r="J11" s="11" t="str">
        <x:v>收入、产品收入、期内利润及银行余额现金按2026中报；扩展流动资产含存款、结构产品与投资票据，不能当现金等价物。</x:v>
      </x:c>
      <x:c r="K11" s="11" t="str">
        <x:v>待核</x:v>
      </x:c>
      <x:c r="L11" s="11" t="str">
        <x:v>精确发布时间未核验</x:v>
      </x:c>
      <x:c r="M11" s="11" t="str">
        <x:v>截止日前日期，盘中时分未核</x:v>
      </x:c>
    </x:row>
    <x:row r="12" ht="23" customHeight="1">
      <x:c r="A12" s="11" t="str">
        <x:v>I048</x:v>
      </x:c>
      <x:c r="B12" s="11" t="str">
        <x:v>01801.HK</x:v>
      </x:c>
      <x:c r="C12" s="11" t="str">
        <x:v>liquidAssetsExpanded</x:v>
      </x:c>
      <x:c r="D12" s="39" t="n">
        <x:v>26871.1</x:v>
      </x:c>
      <x:c r="E12" s="11" t="str">
        <x:v>CNY</x:v>
      </x:c>
      <x:c r="F12" s="11" t="str">
        <x:v>million</x:v>
      </x:c>
      <x:c r="G12" s="11" t="str">
        <x:v>2026H1</x:v>
      </x:c>
      <x:c r="H12" s="11" t="str">
        <x:v>2026-09-29</x:v>
      </x:c>
      <x:c r="I12" s="11" t="str">
        <x:v>https://iis.aastocks.com/20260929/12350268-0.PDF</x:v>
      </x:c>
      <x:c r="J12" s="11" t="str">
        <x:v>收入、产品收入、期内利润及银行余额现金按2026中报；扩展流动资产含存款、结构产品与投资票据，不能当现金等价物。</x:v>
      </x:c>
      <x:c r="K12" s="11" t="str">
        <x:v>待核</x:v>
      </x:c>
      <x:c r="L12" s="11" t="str">
        <x:v>精确发布时间未核验</x:v>
      </x:c>
      <x:c r="M12" s="11" t="str">
        <x:v>截止日前日期，盘中时分未核</x:v>
      </x:c>
    </x:row>
    <x:row r="13" ht="23" customHeight="1">
      <x:c r="A13" s="11" t="str">
        <x:v>I034</x:v>
      </x:c>
      <x:c r="B13" s="11" t="str">
        <x:v>02269.HK</x:v>
      </x:c>
      <x:c r="C13" s="11" t="str">
        <x:v>revenue</x:v>
      </x:c>
      <x:c r="D13" s="39" t="n">
        <x:v>11787.238</x:v>
      </x:c>
      <x:c r="E13" s="11" t="str">
        <x:v>CNY</x:v>
      </x:c>
      <x:c r="F13" s="11" t="str">
        <x:v>million</x:v>
      </x:c>
      <x:c r="G13" s="11" t="str">
        <x:v>2026H1</x:v>
      </x:c>
      <x:c r="H13" s="11" t="str">
        <x:v>2026-09-22</x:v>
      </x:c>
      <x:c r="I13" s="11" t="str">
        <x:v>https://iis.aastocks.com/20260922/12341103-0.PDF</x:v>
      </x:c>
      <x:c r="J13" s="11" t="str">
        <x:v>集团期内利润2916.209与归母2439.813区分；归母调整3305.697；扩展流动资金含定存理财。</x:v>
      </x:c>
      <x:c r="K13" s="11" t="str">
        <x:v>待核</x:v>
      </x:c>
      <x:c r="L13" s="11" t="str">
        <x:v>精确发布时间未核验</x:v>
      </x:c>
      <x:c r="M13" s="11" t="str">
        <x:v>截止日前日期，盘中时分未核</x:v>
      </x:c>
    </x:row>
    <x:row r="14" ht="23" customHeight="1">
      <x:c r="A14" s="11" t="str">
        <x:v>I034</x:v>
      </x:c>
      <x:c r="B14" s="11" t="str">
        <x:v>02269.HK</x:v>
      </x:c>
      <x:c r="C14" s="11" t="str">
        <x:v>grossProfit</x:v>
      </x:c>
      <x:c r="D14" s="39" t="n">
        <x:v>5448.319</x:v>
      </x:c>
      <x:c r="E14" s="11" t="str">
        <x:v>CNY</x:v>
      </x:c>
      <x:c r="F14" s="11" t="str">
        <x:v>million</x:v>
      </x:c>
      <x:c r="G14" s="11" t="str">
        <x:v>2026H1</x:v>
      </x:c>
      <x:c r="H14" s="11" t="str">
        <x:v>2026-09-22</x:v>
      </x:c>
      <x:c r="I14" s="11" t="str">
        <x:v>https://iis.aastocks.com/20260922/12341103-0.PDF</x:v>
      </x:c>
      <x:c r="J14" s="11" t="str">
        <x:v>集团期内利润2916.209与归母2439.813区分；归母调整3305.697；扩展流动资金含定存理财。</x:v>
      </x:c>
      <x:c r="K14" s="11" t="str">
        <x:v>待核</x:v>
      </x:c>
      <x:c r="L14" s="11" t="str">
        <x:v>精确发布时间未核验</x:v>
      </x:c>
      <x:c r="M14" s="11" t="str">
        <x:v>截止日前日期，盘中时分未核</x:v>
      </x:c>
    </x:row>
    <x:row r="15" ht="23" customHeight="1">
      <x:c r="A15" s="11" t="str">
        <x:v>I034</x:v>
      </x:c>
      <x:c r="B15" s="11" t="str">
        <x:v>02269.HK</x:v>
      </x:c>
      <x:c r="C15" s="11" t="str">
        <x:v>profit</x:v>
      </x:c>
      <x:c r="D15" s="39" t="n">
        <x:v>2916.209</x:v>
      </x:c>
      <x:c r="E15" s="11" t="str">
        <x:v>CNY</x:v>
      </x:c>
      <x:c r="F15" s="11" t="str">
        <x:v>million</x:v>
      </x:c>
      <x:c r="G15" s="11" t="str">
        <x:v>2026H1</x:v>
      </x:c>
      <x:c r="H15" s="11" t="str">
        <x:v>2026-09-22</x:v>
      </x:c>
      <x:c r="I15" s="11" t="str">
        <x:v>https://iis.aastocks.com/20260922/12341103-0.PDF</x:v>
      </x:c>
      <x:c r="J15" s="11" t="str">
        <x:v>集团期内利润2916.209与归母2439.813区分；归母调整3305.697；扩展流动资金含定存理财。</x:v>
      </x:c>
      <x:c r="K15" s="11" t="str">
        <x:v>待核</x:v>
      </x:c>
      <x:c r="L15" s="11" t="str">
        <x:v>精确发布时间未核验</x:v>
      </x:c>
      <x:c r="M15" s="11" t="str">
        <x:v>截止日前日期，盘中时分未核</x:v>
      </x:c>
    </x:row>
    <x:row r="16" ht="23" customHeight="1">
      <x:c r="A16" s="11" t="str">
        <x:v>I034</x:v>
      </x:c>
      <x:c r="B16" s="11" t="str">
        <x:v>02269.HK</x:v>
      </x:c>
      <x:c r="C16" s="11" t="str">
        <x:v>attributableProfit</x:v>
      </x:c>
      <x:c r="D16" s="39" t="n">
        <x:v>2439.813</x:v>
      </x:c>
      <x:c r="E16" s="11" t="str">
        <x:v>CNY</x:v>
      </x:c>
      <x:c r="F16" s="11" t="str">
        <x:v>million</x:v>
      </x:c>
      <x:c r="G16" s="11" t="str">
        <x:v>2026H1</x:v>
      </x:c>
      <x:c r="H16" s="11" t="str">
        <x:v>2026-09-22</x:v>
      </x:c>
      <x:c r="I16" s="11" t="str">
        <x:v>https://iis.aastocks.com/20260922/12341103-0.PDF</x:v>
      </x:c>
      <x:c r="J16" s="11" t="str">
        <x:v>集团期内利润2916.209与归母2439.813区分；归母调整3305.697；扩展流动资金含定存理财。</x:v>
      </x:c>
      <x:c r="K16" s="11" t="str">
        <x:v>待核</x:v>
      </x:c>
      <x:c r="L16" s="11" t="str">
        <x:v>精确发布时间未核验</x:v>
      </x:c>
      <x:c r="M16" s="11" t="str">
        <x:v>截止日前日期，盘中时分未核</x:v>
      </x:c>
    </x:row>
    <x:row r="17" ht="23" customHeight="1">
      <x:c r="A17" s="11" t="str">
        <x:v>I034</x:v>
      </x:c>
      <x:c r="B17" s="11" t="str">
        <x:v>02269.HK</x:v>
      </x:c>
      <x:c r="C17" s="11" t="str">
        <x:v>adjustedAttributableProfit</x:v>
      </x:c>
      <x:c r="D17" s="39" t="n">
        <x:v>3305.697</x:v>
      </x:c>
      <x:c r="E17" s="11" t="str">
        <x:v>CNY</x:v>
      </x:c>
      <x:c r="F17" s="11" t="str">
        <x:v>million</x:v>
      </x:c>
      <x:c r="G17" s="11" t="str">
        <x:v>2026H1</x:v>
      </x:c>
      <x:c r="H17" s="11" t="str">
        <x:v>2026-09-22</x:v>
      </x:c>
      <x:c r="I17" s="11" t="str">
        <x:v>https://iis.aastocks.com/20260922/12341103-0.PDF</x:v>
      </x:c>
      <x:c r="J17" s="11" t="str">
        <x:v>集团期内利润2916.209与归母2439.813区分；归母调整3305.697；扩展流动资金含定存理财。</x:v>
      </x:c>
      <x:c r="K17" s="11" t="str">
        <x:v>待核</x:v>
      </x:c>
      <x:c r="L17" s="11" t="str">
        <x:v>精确发布时间未核验</x:v>
      </x:c>
      <x:c r="M17" s="11" t="str">
        <x:v>截止日前日期，盘中时分未核</x:v>
      </x:c>
    </x:row>
    <x:row r="18" ht="23" customHeight="1">
      <x:c r="A18" s="11" t="str">
        <x:v>I034</x:v>
      </x:c>
      <x:c r="B18" s="11" t="str">
        <x:v>02269.HK</x:v>
      </x:c>
      <x:c r="C18" s="11" t="str">
        <x:v>cashBank</x:v>
      </x:c>
      <x:c r="D18" s="39" t="n">
        <x:v>8904.44</x:v>
      </x:c>
      <x:c r="E18" s="11" t="str">
        <x:v>CNY</x:v>
      </x:c>
      <x:c r="F18" s="11" t="str">
        <x:v>million</x:v>
      </x:c>
      <x:c r="G18" s="11" t="str">
        <x:v>2026H1</x:v>
      </x:c>
      <x:c r="H18" s="11" t="str">
        <x:v>2026-09-22</x:v>
      </x:c>
      <x:c r="I18" s="11" t="str">
        <x:v>https://iis.aastocks.com/20260922/12341103-0.PDF</x:v>
      </x:c>
      <x:c r="J18" s="11" t="str">
        <x:v>集团期内利润2916.209与归母2439.813区分；归母调整3305.697；扩展流动资金含定存理财。</x:v>
      </x:c>
      <x:c r="K18" s="11" t="str">
        <x:v>待核</x:v>
      </x:c>
      <x:c r="L18" s="11" t="str">
        <x:v>精确发布时间未核验</x:v>
      </x:c>
      <x:c r="M18" s="11" t="str">
        <x:v>截止日前日期，盘中时分未核</x:v>
      </x:c>
    </x:row>
    <x:row r="19" ht="23" customHeight="1">
      <x:c r="A19" s="11" t="str">
        <x:v>I034</x:v>
      </x:c>
      <x:c r="B19" s="11" t="str">
        <x:v>02269.HK</x:v>
      </x:c>
      <x:c r="C19" s="11" t="str">
        <x:v>liquidAssetsExpanded</x:v>
      </x:c>
      <x:c r="D19" s="39" t="n">
        <x:v>13708.5</x:v>
      </x:c>
      <x:c r="E19" s="11" t="str">
        <x:v>CNY</x:v>
      </x:c>
      <x:c r="F19" s="11" t="str">
        <x:v>million</x:v>
      </x:c>
      <x:c r="G19" s="11" t="str">
        <x:v>2026H1</x:v>
      </x:c>
      <x:c r="H19" s="11" t="str">
        <x:v>2026-09-22</x:v>
      </x:c>
      <x:c r="I19" s="11" t="str">
        <x:v>https://iis.aastocks.com/20260922/12341103-0.PDF</x:v>
      </x:c>
      <x:c r="J19" s="11" t="str">
        <x:v>集团期内利润2916.209与归母2439.813区分；归母调整3305.697；扩展流动资金含定存理财。</x:v>
      </x:c>
      <x:c r="K19" s="11" t="str">
        <x:v>待核</x:v>
      </x:c>
      <x:c r="L19" s="11" t="str">
        <x:v>精确发布时间未核验</x:v>
      </x:c>
      <x:c r="M19" s="11" t="str">
        <x:v>截止日前日期，盘中时分未核</x:v>
      </x:c>
    </x:row>
    <x:row r="20" ht="23" customHeight="1">
      <x:c r="A20" s="11" t="str">
        <x:v>I049</x:v>
      </x:c>
      <x:c r="B20" s="11" t="str">
        <x:v>02268.HK</x:v>
      </x:c>
      <x:c r="C20" s="11" t="str">
        <x:v>revenue</x:v>
      </x:c>
      <x:c r="D20" s="39" t="n">
        <x:v>3701.378</x:v>
      </x:c>
      <x:c r="E20" s="11" t="str">
        <x:v>CNY</x:v>
      </x:c>
      <x:c r="F20" s="11" t="str">
        <x:v>million</x:v>
      </x:c>
      <x:c r="G20" s="11" t="str">
        <x:v>2026H1</x:v>
      </x:c>
      <x:c r="H20" s="11" t="str">
        <x:v>2026-09-18</x:v>
      </x:c>
      <x:c r="I20" s="11" t="str">
        <x:v>https://iis.aastocks.com/20260918/12337729-0.PDF</x:v>
      </x:c>
      <x:c r="J20" s="11" t="str">
        <x:v>收入含东曜；独立收入3556.0百万元；调整利润剔除股权薪酬、汇兑及非经营项目，原文优先。</x:v>
      </x:c>
      <x:c r="K20" s="11" t="str">
        <x:v>待核</x:v>
      </x:c>
      <x:c r="L20" s="11" t="str">
        <x:v>精确发布时间未核验</x:v>
      </x:c>
      <x:c r="M20" s="11" t="str">
        <x:v>截止日前日期，盘中时分未核</x:v>
      </x:c>
    </x:row>
    <x:row r="21" ht="23" customHeight="1">
      <x:c r="A21" s="11" t="str">
        <x:v>I049</x:v>
      </x:c>
      <x:c r="B21" s="11" t="str">
        <x:v>02268.HK</x:v>
      </x:c>
      <x:c r="C21" s="11" t="str">
        <x:v>grossProfit</x:v>
      </x:c>
      <x:c r="D21" s="39" t="n">
        <x:v>1371.313</x:v>
      </x:c>
      <x:c r="E21" s="11" t="str">
        <x:v>CNY</x:v>
      </x:c>
      <x:c r="F21" s="11" t="str">
        <x:v>million</x:v>
      </x:c>
      <x:c r="G21" s="11" t="str">
        <x:v>2026H1</x:v>
      </x:c>
      <x:c r="H21" s="11" t="str">
        <x:v>2026-09-18</x:v>
      </x:c>
      <x:c r="I21" s="11" t="str">
        <x:v>https://iis.aastocks.com/20260918/12337729-0.PDF</x:v>
      </x:c>
      <x:c r="J21" s="11" t="str">
        <x:v>收入含东曜；独立收入3556.0百万元；调整利润剔除股权薪酬、汇兑及非经营项目，原文优先。</x:v>
      </x:c>
      <x:c r="K21" s="11" t="str">
        <x:v>待核</x:v>
      </x:c>
      <x:c r="L21" s="11" t="str">
        <x:v>精确发布时间未核验</x:v>
      </x:c>
      <x:c r="M21" s="11" t="str">
        <x:v>截止日前日期，盘中时分未核</x:v>
      </x:c>
    </x:row>
    <x:row r="22" ht="23" customHeight="1">
      <x:c r="A22" s="11" t="str">
        <x:v>I049</x:v>
      </x:c>
      <x:c r="B22" s="11" t="str">
        <x:v>02268.HK</x:v>
      </x:c>
      <x:c r="C22" s="11" t="str">
        <x:v>adjustedAttributableProfit</x:v>
      </x:c>
      <x:c r="D22" s="39" t="n">
        <x:v>1027.328</x:v>
      </x:c>
      <x:c r="E22" s="11" t="str">
        <x:v>CNY</x:v>
      </x:c>
      <x:c r="F22" s="11" t="str">
        <x:v>million</x:v>
      </x:c>
      <x:c r="G22" s="11" t="str">
        <x:v>2026H1</x:v>
      </x:c>
      <x:c r="H22" s="11" t="str">
        <x:v>2026-09-18</x:v>
      </x:c>
      <x:c r="I22" s="11" t="str">
        <x:v>https://iis.aastocks.com/20260918/12337729-0.PDF</x:v>
      </x:c>
      <x:c r="J22" s="11" t="str">
        <x:v>收入含东曜；独立收入3556.0百万元；调整利润剔除股权薪酬、汇兑及非经营项目，原文优先。</x:v>
      </x:c>
      <x:c r="K22" s="11" t="str">
        <x:v>待核</x:v>
      </x:c>
      <x:c r="L22" s="11" t="str">
        <x:v>精确发布时间未核验</x:v>
      </x:c>
      <x:c r="M22" s="11" t="str">
        <x:v>截止日前日期，盘中时分未核</x:v>
      </x:c>
    </x:row>
    <x:row r="23" ht="23" customHeight="1">
      <x:c r="A23" s="11" t="str">
        <x:v>I049</x:v>
      </x:c>
      <x:c r="B23" s="11" t="str">
        <x:v>02268.HK</x:v>
      </x:c>
      <x:c r="C23" s="11" t="str">
        <x:v>cashBank</x:v>
      </x:c>
      <x:c r="D23" s="39" t="n">
        <x:v>1597.343</x:v>
      </x:c>
      <x:c r="E23" s="11" t="str">
        <x:v>CNY</x:v>
      </x:c>
      <x:c r="F23" s="11" t="str">
        <x:v>million</x:v>
      </x:c>
      <x:c r="G23" s="11" t="str">
        <x:v>2026H1</x:v>
      </x:c>
      <x:c r="H23" s="11" t="str">
        <x:v>2026-09-18</x:v>
      </x:c>
      <x:c r="I23" s="11" t="str">
        <x:v>https://iis.aastocks.com/20260918/12337729-0.PDF</x:v>
      </x:c>
      <x:c r="J23" s="11" t="str">
        <x:v>收入含东曜；独立收入3556.0百万元；调整利润剔除股权薪酬、汇兑及非经营项目，原文优先。</x:v>
      </x:c>
      <x:c r="K23" s="11" t="str">
        <x:v>待核</x:v>
      </x:c>
      <x:c r="L23" s="11" t="str">
        <x:v>精确发布时间未核验</x:v>
      </x:c>
      <x:c r="M23" s="11" t="str">
        <x:v>截止日前日期，盘中时分未核</x:v>
      </x:c>
    </x:row>
    <x:row r="24" ht="23" customHeight="1">
      <x:c r="A24" s="11" t="str">
        <x:v>I049</x:v>
      </x:c>
      <x:c r="B24" s="11" t="str">
        <x:v>02268.HK</x:v>
      </x:c>
      <x:c r="C24" s="11" t="str">
        <x:v>timeDeposits</x:v>
      </x:c>
      <x:c r="D24" s="39" t="n">
        <x:v>3520.846</x:v>
      </x:c>
      <x:c r="E24" s="11" t="str">
        <x:v>CNY</x:v>
      </x:c>
      <x:c r="F24" s="11" t="str">
        <x:v>million</x:v>
      </x:c>
      <x:c r="G24" s="11" t="str">
        <x:v>2026H1</x:v>
      </x:c>
      <x:c r="H24" s="11" t="str">
        <x:v>2026-09-18</x:v>
      </x:c>
      <x:c r="I24" s="11" t="str">
        <x:v>https://iis.aastocks.com/20260918/12337729-0.PDF</x:v>
      </x:c>
      <x:c r="J24" s="11" t="str">
        <x:v>收入含东曜；独立收入3556.0百万元；调整利润剔除股权薪酬、汇兑及非经营项目，原文优先。</x:v>
      </x:c>
      <x:c r="K24" s="11" t="str">
        <x:v>待核</x:v>
      </x:c>
      <x:c r="L24" s="11" t="str">
        <x:v>精确发布时间未核验</x:v>
      </x:c>
      <x:c r="M24" s="11" t="str">
        <x:v>截止日前日期，盘中时分未核</x:v>
      </x:c>
    </x:row>
    <x:row r="25" ht="23" customHeight="1">
      <x:c r="A25" s="11" t="str">
        <x:v>I052</x:v>
      </x:c>
      <x:c r="B25" s="11" t="str">
        <x:v>09926.HK</x:v>
      </x:c>
      <x:c r="C25" s="11" t="str">
        <x:v>revenue</x:v>
      </x:c>
      <x:c r="D25" s="39" t="n">
        <x:v>1805.681</x:v>
      </x:c>
      <x:c r="E25" s="11" t="str">
        <x:v>CNY</x:v>
      </x:c>
      <x:c r="F25" s="11" t="str">
        <x:v>million</x:v>
      </x:c>
      <x:c r="G25" s="11" t="str">
        <x:v>2026H1</x:v>
      </x:c>
      <x:c r="H25" s="11" t="str">
        <x:v>2026-09-30</x:v>
      </x:c>
      <x:c r="I25" s="11" t="str">
        <x:v>https://iis.aastocks.com/20260930/12353049-0.PDF</x:v>
      </x:c>
      <x:c r="J25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25" s="11" t="str">
        <x:v>待核</x:v>
      </x:c>
      <x:c r="L25" s="11" t="str">
        <x:v>精确发布时间未核验</x:v>
      </x:c>
      <x:c r="M25" s="11" t="str">
        <x:v>截止日前日期，盘中时分未核</x:v>
      </x:c>
    </x:row>
    <x:row r="26" ht="23" customHeight="1">
      <x:c r="A26" s="11" t="str">
        <x:v>I052</x:v>
      </x:c>
      <x:c r="B26" s="11" t="str">
        <x:v>09926.HK</x:v>
      </x:c>
      <x:c r="C26" s="11" t="str">
        <x:v>productRevenue</x:v>
      </x:c>
      <x:c r="D26" s="39" t="n">
        <x:v>1803.223</x:v>
      </x:c>
      <x:c r="E26" s="11" t="str">
        <x:v>CNY</x:v>
      </x:c>
      <x:c r="F26" s="11" t="str">
        <x:v>million</x:v>
      </x:c>
      <x:c r="G26" s="11" t="str">
        <x:v>2026H1</x:v>
      </x:c>
      <x:c r="H26" s="11" t="str">
        <x:v>2026-09-30</x:v>
      </x:c>
      <x:c r="I26" s="11" t="str">
        <x:v>https://iis.aastocks.com/20260930/12353049-0.PDF</x:v>
      </x:c>
      <x:c r="J26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26" s="11" t="str">
        <x:v>待核</x:v>
      </x:c>
      <x:c r="L26" s="11" t="str">
        <x:v>精确发布时间未核验</x:v>
      </x:c>
      <x:c r="M26" s="11" t="str">
        <x:v>截止日前日期，盘中时分未核</x:v>
      </x:c>
    </x:row>
    <x:row r="27" ht="23" customHeight="1">
      <x:c r="A27" s="11" t="str">
        <x:v>I052</x:v>
      </x:c>
      <x:c r="B27" s="11" t="str">
        <x:v>09926.HK</x:v>
      </x:c>
      <x:c r="C27" s="11" t="str">
        <x:v>grossCommercialSales</x:v>
      </x:c>
      <x:c r="D27" s="39" t="n">
        <x:v>1865.881</x:v>
      </x:c>
      <x:c r="E27" s="11" t="str">
        <x:v>CNY</x:v>
      </x:c>
      <x:c r="F27" s="11" t="str">
        <x:v>million</x:v>
      </x:c>
      <x:c r="G27" s="11" t="str">
        <x:v>2026H1</x:v>
      </x:c>
      <x:c r="H27" s="11" t="str">
        <x:v>2026-09-30</x:v>
      </x:c>
      <x:c r="I27" s="11" t="str">
        <x:v>https://iis.aastocks.com/20260930/12353049-0.PDF</x:v>
      </x:c>
      <x:c r="J27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27" s="11" t="str">
        <x:v>待核</x:v>
      </x:c>
      <x:c r="L27" s="11" t="str">
        <x:v>精确发布时间未核验</x:v>
      </x:c>
      <x:c r="M27" s="11" t="str">
        <x:v>截止日前日期，盘中时分未核</x:v>
      </x:c>
    </x:row>
    <x:row r="28" ht="23" customHeight="1">
      <x:c r="A28" s="11" t="str">
        <x:v>I052</x:v>
      </x:c>
      <x:c r="B28" s="11" t="str">
        <x:v>09926.HK</x:v>
      </x:c>
      <x:c r="C28" s="11" t="str">
        <x:v>licenseRevenue</x:v>
      </x:c>
      <x:c r="D28" s="39" t="n">
        <x:v>2.458</x:v>
      </x:c>
      <x:c r="E28" s="11" t="str">
        <x:v>CNY</x:v>
      </x:c>
      <x:c r="F28" s="11" t="str">
        <x:v>million</x:v>
      </x:c>
      <x:c r="G28" s="11" t="str">
        <x:v>2026H1</x:v>
      </x:c>
      <x:c r="H28" s="11" t="str">
        <x:v>2026-09-30</x:v>
      </x:c>
      <x:c r="I28" s="11" t="str">
        <x:v>https://iis.aastocks.com/20260930/12353049-0.PDF</x:v>
      </x:c>
      <x:c r="J28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28" s="11" t="str">
        <x:v>待核</x:v>
      </x:c>
      <x:c r="L28" s="11" t="str">
        <x:v>精确发布时间未核验</x:v>
      </x:c>
      <x:c r="M28" s="11" t="str">
        <x:v>截止日前日期，盘中时分未核</x:v>
      </x:c>
    </x:row>
    <x:row r="29" ht="23" customHeight="1">
      <x:c r="A29" s="11" t="str">
        <x:v>I052</x:v>
      </x:c>
      <x:c r="B29" s="11" t="str">
        <x:v>09926.HK</x:v>
      </x:c>
      <x:c r="C29" s="11" t="str">
        <x:v>distributionCosts</x:v>
      </x:c>
      <x:c r="D29" s="39" t="n">
        <x:v>62.658</x:v>
      </x:c>
      <x:c r="E29" s="11" t="str">
        <x:v>CNY</x:v>
      </x:c>
      <x:c r="F29" s="11" t="str">
        <x:v>million</x:v>
      </x:c>
      <x:c r="G29" s="11" t="str">
        <x:v>2026H1</x:v>
      </x:c>
      <x:c r="H29" s="11" t="str">
        <x:v>2026-09-30</x:v>
      </x:c>
      <x:c r="I29" s="11" t="str">
        <x:v>https://iis.aastocks.com/20260930/12353049-0.PDF</x:v>
      </x:c>
      <x:c r="J29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29" s="11" t="str">
        <x:v>待核</x:v>
      </x:c>
      <x:c r="L29" s="11" t="str">
        <x:v>精确发布时间未核验</x:v>
      </x:c>
      <x:c r="M29" s="11" t="str">
        <x:v>截止日前日期，盘中时分未核</x:v>
      </x:c>
    </x:row>
    <x:row r="30" ht="23" customHeight="1">
      <x:c r="A30" s="11" t="str">
        <x:v>I052</x:v>
      </x:c>
      <x:c r="B30" s="11" t="str">
        <x:v>09926.HK</x:v>
      </x:c>
      <x:c r="C30" s="11" t="str">
        <x:v>grossProfit</x:v>
      </x:c>
      <x:c r="D30" s="39" t="n">
        <x:v>1340.499</x:v>
      </x:c>
      <x:c r="E30" s="11" t="str">
        <x:v>CNY</x:v>
      </x:c>
      <x:c r="F30" s="11" t="str">
        <x:v>million</x:v>
      </x:c>
      <x:c r="G30" s="11" t="str">
        <x:v>2026H1</x:v>
      </x:c>
      <x:c r="H30" s="11" t="str">
        <x:v>2026-09-30</x:v>
      </x:c>
      <x:c r="I30" s="11" t="str">
        <x:v>https://iis.aastocks.com/20260930/12353049-0.PDF</x:v>
      </x:c>
      <x:c r="J30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0" s="11" t="str">
        <x:v>待核</x:v>
      </x:c>
      <x:c r="L30" s="11" t="str">
        <x:v>精确发布时间未核验</x:v>
      </x:c>
      <x:c r="M30" s="11" t="str">
        <x:v>截止日前日期，盘中时分未核</x:v>
      </x:c>
    </x:row>
    <x:row r="31" ht="23" customHeight="1">
      <x:c r="A31" s="11" t="str">
        <x:v>I052</x:v>
      </x:c>
      <x:c r="B31" s="11" t="str">
        <x:v>09926.HK</x:v>
      </x:c>
      <x:c r="C31" s="11" t="str">
        <x:v>profit</x:v>
      </x:c>
      <x:c r="D31" s="39" t="n">
        <x:v>-447.246</x:v>
      </x:c>
      <x:c r="E31" s="11" t="str">
        <x:v>CNY</x:v>
      </x:c>
      <x:c r="F31" s="11" t="str">
        <x:v>million</x:v>
      </x:c>
      <x:c r="G31" s="11" t="str">
        <x:v>2026H1</x:v>
      </x:c>
      <x:c r="H31" s="11" t="str">
        <x:v>2026-09-30</x:v>
      </x:c>
      <x:c r="I31" s="11" t="str">
        <x:v>https://iis.aastocks.com/20260930/12353049-0.PDF</x:v>
      </x:c>
      <x:c r="J31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1" s="11" t="str">
        <x:v>待核</x:v>
      </x:c>
      <x:c r="L31" s="11" t="str">
        <x:v>精确发布时间未核验</x:v>
      </x:c>
      <x:c r="M31" s="11" t="str">
        <x:v>截止日前日期，盘中时分未核</x:v>
      </x:c>
    </x:row>
    <x:row r="32" ht="23" customHeight="1">
      <x:c r="A32" s="11" t="str">
        <x:v>I052</x:v>
      </x:c>
      <x:c r="B32" s="11" t="str">
        <x:v>09926.HK</x:v>
      </x:c>
      <x:c r="C32" s="11" t="str">
        <x:v>attributableProfit</x:v>
      </x:c>
      <x:c r="D32" s="39" t="n">
        <x:v>-424.22</x:v>
      </x:c>
      <x:c r="E32" s="11" t="str">
        <x:v>CNY</x:v>
      </x:c>
      <x:c r="F32" s="11" t="str">
        <x:v>million</x:v>
      </x:c>
      <x:c r="G32" s="11" t="str">
        <x:v>2026H1</x:v>
      </x:c>
      <x:c r="H32" s="11" t="str">
        <x:v>2026-09-30</x:v>
      </x:c>
      <x:c r="I32" s="11" t="str">
        <x:v>https://iis.aastocks.com/20260930/12353049-0.PDF</x:v>
      </x:c>
      <x:c r="J32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2" s="11" t="str">
        <x:v>待核</x:v>
      </x:c>
      <x:c r="L32" s="11" t="str">
        <x:v>精确发布时间未核验</x:v>
      </x:c>
      <x:c r="M32" s="11" t="str">
        <x:v>截止日前日期，盘中时分未核</x:v>
      </x:c>
    </x:row>
    <x:row r="33" ht="23" customHeight="1">
      <x:c r="A33" s="11" t="str">
        <x:v>I052</x:v>
      </x:c>
      <x:c r="B33" s="11" t="str">
        <x:v>09926.HK</x:v>
      </x:c>
      <x:c r="C33" s="11" t="str">
        <x:v>researchDevelopment</x:v>
      </x:c>
      <x:c r="D33" s="39" t="n">
        <x:v>783.326</x:v>
      </x:c>
      <x:c r="E33" s="11" t="str">
        <x:v>CNY</x:v>
      </x:c>
      <x:c r="F33" s="11" t="str">
        <x:v>million</x:v>
      </x:c>
      <x:c r="G33" s="11" t="str">
        <x:v>2026H1</x:v>
      </x:c>
      <x:c r="H33" s="11" t="str">
        <x:v>2026-09-30</x:v>
      </x:c>
      <x:c r="I33" s="11" t="str">
        <x:v>https://iis.aastocks.com/20260930/12353049-0.PDF</x:v>
      </x:c>
      <x:c r="J33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3" s="11" t="str">
        <x:v>待核</x:v>
      </x:c>
      <x:c r="L33" s="11" t="str">
        <x:v>精确发布时间未核验</x:v>
      </x:c>
      <x:c r="M33" s="11" t="str">
        <x:v>截止日前日期，盘中时分未核</x:v>
      </x:c>
    </x:row>
    <x:row r="34" ht="23" customHeight="1">
      <x:c r="A34" s="11" t="str">
        <x:v>I052</x:v>
      </x:c>
      <x:c r="B34" s="11" t="str">
        <x:v>09926.HK</x:v>
      </x:c>
      <x:c r="C34" s="11" t="str">
        <x:v>cashBank</x:v>
      </x:c>
      <x:c r="D34" s="39" t="n">
        <x:v>8689.205</x:v>
      </x:c>
      <x:c r="E34" s="11" t="str">
        <x:v>CNY</x:v>
      </x:c>
      <x:c r="F34" s="11" t="str">
        <x:v>million</x:v>
      </x:c>
      <x:c r="G34" s="11" t="str">
        <x:v>2026H1</x:v>
      </x:c>
      <x:c r="H34" s="11" t="str">
        <x:v>2026-09-30</x:v>
      </x:c>
      <x:c r="I34" s="11" t="str">
        <x:v>https://iis.aastocks.com/20260930/12353049-0.PDF</x:v>
      </x:c>
      <x:c r="J34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4" s="11" t="str">
        <x:v>待核</x:v>
      </x:c>
      <x:c r="L34" s="11" t="str">
        <x:v>精确发布时间未核验</x:v>
      </x:c>
      <x:c r="M34" s="11" t="str">
        <x:v>截止日前日期，盘中时分未核</x:v>
      </x:c>
    </x:row>
    <x:row r="35" ht="23" customHeight="1">
      <x:c r="A35" s="11" t="str">
        <x:v>I052</x:v>
      </x:c>
      <x:c r="B35" s="11" t="str">
        <x:v>09926.HK</x:v>
      </x:c>
      <x:c r="C35" s="11" t="str">
        <x:v>cashEquivalents</x:v>
      </x:c>
      <x:c r="D35" s="39" t="n">
        <x:v>1053.907</x:v>
      </x:c>
      <x:c r="E35" s="11" t="str">
        <x:v>CNY</x:v>
      </x:c>
      <x:c r="F35" s="11" t="str">
        <x:v>million</x:v>
      </x:c>
      <x:c r="G35" s="11" t="str">
        <x:v>2026H1</x:v>
      </x:c>
      <x:c r="H35" s="11" t="str">
        <x:v>2026-09-30</x:v>
      </x:c>
      <x:c r="I35" s="11" t="str">
        <x:v>https://iis.aastocks.com/20260930/12353049-0.PDF</x:v>
      </x:c>
      <x:c r="J35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5" s="11" t="str">
        <x:v>待核</x:v>
      </x:c>
      <x:c r="L35" s="11" t="str">
        <x:v>精确发布时间未核验</x:v>
      </x:c>
      <x:c r="M35" s="11" t="str">
        <x:v>截止日前日期，盘中时分未核</x:v>
      </x:c>
    </x:row>
    <x:row r="36" ht="23" customHeight="1">
      <x:c r="A36" s="11" t="str">
        <x:v>I052</x:v>
      </x:c>
      <x:c r="B36" s="11" t="str">
        <x:v>09926.HK</x:v>
      </x:c>
      <x:c r="C36" s="11" t="str">
        <x:v>debtInterestBearing</x:v>
      </x:c>
      <x:c r="D36" s="39" t="n">
        <x:v>4964.908</x:v>
      </x:c>
      <x:c r="E36" s="11" t="str">
        <x:v>CNY</x:v>
      </x:c>
      <x:c r="F36" s="11" t="str">
        <x:v>million</x:v>
      </x:c>
      <x:c r="G36" s="11" t="str">
        <x:v>2026H1</x:v>
      </x:c>
      <x:c r="H36" s="11" t="str">
        <x:v>2026-09-30</x:v>
      </x:c>
      <x:c r="I36" s="11" t="str">
        <x:v>https://iis.aastocks.com/20260930/12353049-0.PDF</x:v>
      </x:c>
      <x:c r="J36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6" s="11" t="str">
        <x:v>待核</x:v>
      </x:c>
      <x:c r="L36" s="11" t="str">
        <x:v>精确发布时间未核验</x:v>
      </x:c>
      <x:c r="M36" s="11" t="str">
        <x:v>截止日前日期，盘中时分未核</x:v>
      </x:c>
    </x:row>
    <x:row r="37" ht="23" customHeight="1">
      <x:c r="A37" s="11" t="str">
        <x:v>I052</x:v>
      </x:c>
      <x:c r="B37" s="11" t="str">
        <x:v>09926.HK</x:v>
      </x:c>
      <x:c r="C37" s="11" t="str">
        <x:v>leaseLiabilities</x:v>
      </x:c>
      <x:c r="D37" s="39" t="n">
        <x:v>19.79</x:v>
      </x:c>
      <x:c r="E37" s="11" t="str">
        <x:v>CNY</x:v>
      </x:c>
      <x:c r="F37" s="11" t="str">
        <x:v>million</x:v>
      </x:c>
      <x:c r="G37" s="11" t="str">
        <x:v>2026H1</x:v>
      </x:c>
      <x:c r="H37" s="11" t="str">
        <x:v>2026-09-30</x:v>
      </x:c>
      <x:c r="I37" s="11" t="str">
        <x:v>https://iis.aastocks.com/20260930/12353049-0.PDF</x:v>
      </x:c>
      <x:c r="J37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7" s="11" t="str">
        <x:v>待核</x:v>
      </x:c>
      <x:c r="L37" s="11" t="str">
        <x:v>精确发布时间未核验</x:v>
      </x:c>
      <x:c r="M37" s="11" t="str">
        <x:v>截止日前日期，盘中时分未核</x:v>
      </x:c>
    </x:row>
    <x:row r="38" ht="23" customHeight="1">
      <x:c r="A38" s="11" t="str">
        <x:v>I052</x:v>
      </x:c>
      <x:c r="B38" s="11" t="str">
        <x:v>09926.HK</x:v>
      </x:c>
      <x:c r="C38" s="11" t="str">
        <x:v>liquidAssetsExpanded</x:v>
      </x:c>
      <x:c r="D38" s="39" t="n">
        <x:v>9160</x:v>
      </x:c>
      <x:c r="E38" s="11" t="str">
        <x:v>CNY</x:v>
      </x:c>
      <x:c r="F38" s="11" t="str">
        <x:v>million</x:v>
      </x:c>
      <x:c r="G38" s="11" t="str">
        <x:v>2026H1</x:v>
      </x:c>
      <x:c r="H38" s="11" t="str">
        <x:v>2026-09-30</x:v>
      </x:c>
      <x:c r="I38" s="11" t="str">
        <x:v>https://iis.aastocks.com/20260930/12353049-0.PDF</x:v>
      </x:c>
      <x:c r="J38" s="11" t="str">
        <x:v>收入差异已由原报告附注3解释：商业销售1865.881+授权2.458-分销成本62.658=IFRS1805.681；集团亏损447.246=归母424.220+少数23.026。现金余额8689.205含长期定存，现金等价物1053.907须区分；净现金不能用9160不扣借款。</x:v>
      </x:c>
      <x:c r="K38" s="11" t="str">
        <x:v>待核</x:v>
      </x:c>
      <x:c r="L38" s="11" t="str">
        <x:v>精确发布时间未核验</x:v>
      </x:c>
      <x:c r="M38" s="11" t="str">
        <x:v>截止日前日期，盘中时分未核</x:v>
      </x:c>
    </x:row>
    <x:row r="39" ht="23" customHeight="1">
      <x:c r="A39" s="11" t="str">
        <x:v>I011</x:v>
      </x:c>
      <x:c r="B39" s="11" t="str">
        <x:v>01276.HK</x:v>
      </x:c>
      <x:c r="C39" s="11" t="str">
        <x:v>revenue</x:v>
      </x:c>
      <x:c r="D39" s="39" t="n">
        <x:v>15455.584</x:v>
      </x:c>
      <x:c r="E39" s="11" t="str">
        <x:v>CNY</x:v>
      </x:c>
      <x:c r="F39" s="11" t="str">
        <x:v>million</x:v>
      </x:c>
      <x:c r="G39" s="11" t="str">
        <x:v>2026H1</x:v>
      </x:c>
      <x:c r="H39" s="11" t="str">
        <x:v>2026-08-19</x:v>
      </x:c>
      <x:c r="I39" s="11" t="str">
        <x:v>https://iis.aastocks.com/20260819/12291039-0.PDF</x:v>
      </x:c>
      <x:c r="J39" s="11" t="str">
        <x:v>总收入同比-1.9%，创新药+16.4%，授权收入-28.6%；归母仅+0.3%；不能以创新药增速代替总体盈利增速。</x:v>
      </x:c>
      <x:c r="K39" s="11" t="str">
        <x:v>待核</x:v>
      </x:c>
      <x:c r="L39" s="11" t="str">
        <x:v>精确发布时间未核验</x:v>
      </x:c>
      <x:c r="M39" s="11" t="str">
        <x:v>截止日前日期，盘中时分未核</x:v>
      </x:c>
    </x:row>
    <x:row r="40" ht="23" customHeight="1">
      <x:c r="A40" s="11" t="str">
        <x:v>I011</x:v>
      </x:c>
      <x:c r="B40" s="11" t="str">
        <x:v>01276.HK</x:v>
      </x:c>
      <x:c r="C40" s="11" t="str">
        <x:v>innovativeDrugRevenue</x:v>
      </x:c>
      <x:c r="D40" s="39" t="n">
        <x:v>8809.344</x:v>
      </x:c>
      <x:c r="E40" s="11" t="str">
        <x:v>CNY</x:v>
      </x:c>
      <x:c r="F40" s="11" t="str">
        <x:v>million</x:v>
      </x:c>
      <x:c r="G40" s="11" t="str">
        <x:v>2026H1</x:v>
      </x:c>
      <x:c r="H40" s="11" t="str">
        <x:v>2026-08-19</x:v>
      </x:c>
      <x:c r="I40" s="11" t="str">
        <x:v>https://iis.aastocks.com/20260819/12291039-0.PDF</x:v>
      </x:c>
      <x:c r="J40" s="11" t="str">
        <x:v>总收入同比-1.9%，创新药+16.4%，授权收入-28.6%；归母仅+0.3%；不能以创新药增速代替总体盈利增速。</x:v>
      </x:c>
      <x:c r="K40" s="11" t="str">
        <x:v>待核</x:v>
      </x:c>
      <x:c r="L40" s="11" t="str">
        <x:v>精确发布时间未核验</x:v>
      </x:c>
      <x:c r="M40" s="11" t="str">
        <x:v>截止日前日期，盘中时分未核</x:v>
      </x:c>
    </x:row>
    <x:row r="41" ht="23" customHeight="1">
      <x:c r="A41" s="11" t="str">
        <x:v>I011</x:v>
      </x:c>
      <x:c r="B41" s="11" t="str">
        <x:v>01276.HK</x:v>
      </x:c>
      <x:c r="C41" s="11" t="str">
        <x:v>licenseRevenue</x:v>
      </x:c>
      <x:c r="D41" s="39" t="n">
        <x:v>1422.302</x:v>
      </x:c>
      <x:c r="E41" s="11" t="str">
        <x:v>CNY</x:v>
      </x:c>
      <x:c r="F41" s="11" t="str">
        <x:v>million</x:v>
      </x:c>
      <x:c r="G41" s="11" t="str">
        <x:v>2026H1</x:v>
      </x:c>
      <x:c r="H41" s="11" t="str">
        <x:v>2026-08-19</x:v>
      </x:c>
      <x:c r="I41" s="11" t="str">
        <x:v>https://iis.aastocks.com/20260819/12291039-0.PDF</x:v>
      </x:c>
      <x:c r="J41" s="11" t="str">
        <x:v>总收入同比-1.9%，创新药+16.4%，授权收入-28.6%；归母仅+0.3%；不能以创新药增速代替总体盈利增速。</x:v>
      </x:c>
      <x:c r="K41" s="11" t="str">
        <x:v>待核</x:v>
      </x:c>
      <x:c r="L41" s="11" t="str">
        <x:v>精确发布时间未核验</x:v>
      </x:c>
      <x:c r="M41" s="11" t="str">
        <x:v>截止日前日期，盘中时分未核</x:v>
      </x:c>
    </x:row>
    <x:row r="42" ht="23" customHeight="1">
      <x:c r="A42" s="11" t="str">
        <x:v>I011</x:v>
      </x:c>
      <x:c r="B42" s="11" t="str">
        <x:v>01276.HK</x:v>
      </x:c>
      <x:c r="C42" s="11" t="str">
        <x:v>grossProfit</x:v>
      </x:c>
      <x:c r="D42" s="39" t="n">
        <x:v>13342.241</x:v>
      </x:c>
      <x:c r="E42" s="11" t="str">
        <x:v>CNY</x:v>
      </x:c>
      <x:c r="F42" s="11" t="str">
        <x:v>million</x:v>
      </x:c>
      <x:c r="G42" s="11" t="str">
        <x:v>2026H1</x:v>
      </x:c>
      <x:c r="H42" s="11" t="str">
        <x:v>2026-08-19</x:v>
      </x:c>
      <x:c r="I42" s="11" t="str">
        <x:v>https://iis.aastocks.com/20260819/12291039-0.PDF</x:v>
      </x:c>
      <x:c r="J42" s="11" t="str">
        <x:v>总收入同比-1.9%，创新药+16.4%，授权收入-28.6%；归母仅+0.3%；不能以创新药增速代替总体盈利增速。</x:v>
      </x:c>
      <x:c r="K42" s="11" t="str">
        <x:v>待核</x:v>
      </x:c>
      <x:c r="L42" s="11" t="str">
        <x:v>精确发布时间未核验</x:v>
      </x:c>
      <x:c r="M42" s="11" t="str">
        <x:v>截止日前日期，盘中时分未核</x:v>
      </x:c>
    </x:row>
    <x:row r="43" ht="23" customHeight="1">
      <x:c r="A43" s="11" t="str">
        <x:v>I011</x:v>
      </x:c>
      <x:c r="B43" s="11" t="str">
        <x:v>01276.HK</x:v>
      </x:c>
      <x:c r="C43" s="11" t="str">
        <x:v>attributableProfit</x:v>
      </x:c>
      <x:c r="D43" s="39" t="n">
        <x:v>4465.439</x:v>
      </x:c>
      <x:c r="E43" s="11" t="str">
        <x:v>CNY</x:v>
      </x:c>
      <x:c r="F43" s="11" t="str">
        <x:v>million</x:v>
      </x:c>
      <x:c r="G43" s="11" t="str">
        <x:v>2026H1</x:v>
      </x:c>
      <x:c r="H43" s="11" t="str">
        <x:v>2026-08-19</x:v>
      </x:c>
      <x:c r="I43" s="11" t="str">
        <x:v>https://iis.aastocks.com/20260819/12291039-0.PDF</x:v>
      </x:c>
      <x:c r="J43" s="11" t="str">
        <x:v>总收入同比-1.9%，创新药+16.4%，授权收入-28.6%；归母仅+0.3%；不能以创新药增速代替总体盈利增速。</x:v>
      </x:c>
      <x:c r="K43" s="11" t="str">
        <x:v>待核</x:v>
      </x:c>
      <x:c r="L43" s="11" t="str">
        <x:v>精确发布时间未核验</x:v>
      </x:c>
      <x:c r="M43" s="11" t="str">
        <x:v>截止日前日期，盘中时分未核</x:v>
      </x:c>
    </x:row>
    <x:row r="44" ht="23" customHeight="1">
      <x:c r="A44" s="11" t="str">
        <x:v>I011</x:v>
      </x:c>
      <x:c r="B44" s="11" t="str">
        <x:v>01276.HK</x:v>
      </x:c>
      <x:c r="C44" s="11" t="str">
        <x:v>cashBank</x:v>
      </x:c>
      <x:c r="D44" s="39" t="n">
        <x:v>38721.633</x:v>
      </x:c>
      <x:c r="E44" s="11" t="str">
        <x:v>CNY</x:v>
      </x:c>
      <x:c r="F44" s="11" t="str">
        <x:v>million</x:v>
      </x:c>
      <x:c r="G44" s="11" t="str">
        <x:v>2026H1</x:v>
      </x:c>
      <x:c r="H44" s="11" t="str">
        <x:v>2026-08-19</x:v>
      </x:c>
      <x:c r="I44" s="11" t="str">
        <x:v>https://iis.aastocks.com/20260819/12291039-0.PDF</x:v>
      </x:c>
      <x:c r="J44" s="11" t="str">
        <x:v>总收入同比-1.9%，创新药+16.4%，授权收入-28.6%；归母仅+0.3%；不能以创新药增速代替总体盈利增速。</x:v>
      </x:c>
      <x:c r="K44" s="11" t="str">
        <x:v>待核</x:v>
      </x:c>
      <x:c r="L44" s="11" t="str">
        <x:v>精确发布时间未核验</x:v>
      </x:c>
      <x:c r="M44" s="11" t="str">
        <x:v>截止日前日期，盘中时分未核</x:v>
      </x:c>
    </x:row>
    <x:row r="45" ht="23" customHeight="1">
      <x:c r="A45" s="11" t="str">
        <x:v>I011</x:v>
      </x:c>
      <x:c r="B45" s="11" t="str">
        <x:v>01276.HK</x:v>
      </x:c>
      <x:c r="C45" s="11" t="str">
        <x:v>cashEquivalents</x:v>
      </x:c>
      <x:c r="D45" s="39" t="n">
        <x:v>38031.524</x:v>
      </x:c>
      <x:c r="E45" s="11" t="str">
        <x:v>CNY</x:v>
      </x:c>
      <x:c r="F45" s="11" t="str">
        <x:v>million</x:v>
      </x:c>
      <x:c r="G45" s="11" t="str">
        <x:v>2026H1</x:v>
      </x:c>
      <x:c r="H45" s="11" t="str">
        <x:v>2026-08-19</x:v>
      </x:c>
      <x:c r="I45" s="11" t="str">
        <x:v>https://iis.aastocks.com/20260819/12291039-0.PDF</x:v>
      </x:c>
      <x:c r="J45" s="11" t="str">
        <x:v>总收入同比-1.9%，创新药+16.4%，授权收入-28.6%；归母仅+0.3%；不能以创新药增速代替总体盈利增速。</x:v>
      </x:c>
      <x:c r="K45" s="11" t="str">
        <x:v>待核</x:v>
      </x:c>
      <x:c r="L45" s="11" t="str">
        <x:v>精确发布时间未核验</x:v>
      </x:c>
      <x:c r="M45" s="11" t="str">
        <x:v>截止日前日期，盘中时分未核</x:v>
      </x:c>
    </x:row>
    <x:row r="46" ht="23" customHeight="1">
      <x:c r="A46" s="11" t="str">
        <x:v>I012</x:v>
      </x:c>
      <x:c r="B46" s="11" t="str">
        <x:v>06160.HK</x:v>
      </x:c>
      <x:c r="C46" s="11" t="str">
        <x:v>revenue</x:v>
      </x:c>
      <x:c r="D46" s="39" t="n">
        <x:v>3218.509</x:v>
      </x:c>
      <x:c r="E46" s="11" t="str">
        <x:v>USD</x:v>
      </x:c>
      <x:c r="F46" s="11" t="str">
        <x:v>million</x:v>
      </x:c>
      <x:c r="G46" s="11" t="str">
        <x:v>2026H1</x:v>
      </x:c>
      <x:c r="H46" s="11" t="str">
        <x:v>2026-09-10</x:v>
      </x:c>
      <x:c r="I46" s="11" t="str">
        <x:v>https://iis.aastocks.com/20260910/12327256-0.PDF</x:v>
      </x:c>
      <x:c r="J46" s="11" t="str">
        <x:v>原中报以千美元列报，现金51亿美元为管理层约数；ADR目标不能未经核验ADR普通股比率直接移植至港股。</x:v>
      </x:c>
      <x:c r="K46" s="11" t="str">
        <x:v>待核</x:v>
      </x:c>
      <x:c r="L46" s="11" t="str">
        <x:v>精确发布时间未核验</x:v>
      </x:c>
      <x:c r="M46" s="11" t="str">
        <x:v>截止日前日期，盘中时分未核</x:v>
      </x:c>
    </x:row>
    <x:row r="47" ht="23" customHeight="1">
      <x:c r="A47" s="11" t="str">
        <x:v>I012</x:v>
      </x:c>
      <x:c r="B47" s="11" t="str">
        <x:v>06160.HK</x:v>
      </x:c>
      <x:c r="C47" s="11" t="str">
        <x:v>netProfit</x:v>
      </x:c>
      <x:c r="D47" s="39" t="n">
        <x:v>464.364</x:v>
      </x:c>
      <x:c r="E47" s="11" t="str">
        <x:v>USD</x:v>
      </x:c>
      <x:c r="F47" s="11" t="str">
        <x:v>million</x:v>
      </x:c>
      <x:c r="G47" s="11" t="str">
        <x:v>2026H1</x:v>
      </x:c>
      <x:c r="H47" s="11" t="str">
        <x:v>2026-09-10</x:v>
      </x:c>
      <x:c r="I47" s="11" t="str">
        <x:v>https://iis.aastocks.com/20260910/12327256-0.PDF</x:v>
      </x:c>
      <x:c r="J47" s="11" t="str">
        <x:v>原中报以千美元列报，现金51亿美元为管理层约数；ADR目标不能未经核验ADR普通股比率直接移植至港股。</x:v>
      </x:c>
      <x:c r="K47" s="11" t="str">
        <x:v>待核</x:v>
      </x:c>
      <x:c r="L47" s="11" t="str">
        <x:v>精确发布时间未核验</x:v>
      </x:c>
      <x:c r="M47" s="11" t="str">
        <x:v>截止日前日期，盘中时分未核</x:v>
      </x:c>
    </x:row>
    <x:row r="48" ht="23" customHeight="1">
      <x:c r="A48" s="11" t="str">
        <x:v>I012</x:v>
      </x:c>
      <x:c r="B48" s="11" t="str">
        <x:v>06160.HK</x:v>
      </x:c>
      <x:c r="C48" s="11" t="str">
        <x:v>operatingProfit</x:v>
      </x:c>
      <x:c r="D48" s="39" t="n">
        <x:v>574.949</x:v>
      </x:c>
      <x:c r="E48" s="11" t="str">
        <x:v>USD</x:v>
      </x:c>
      <x:c r="F48" s="11" t="str">
        <x:v>million</x:v>
      </x:c>
      <x:c r="G48" s="11" t="str">
        <x:v>2026H1</x:v>
      </x:c>
      <x:c r="H48" s="11" t="str">
        <x:v>2026-09-10</x:v>
      </x:c>
      <x:c r="I48" s="11" t="str">
        <x:v>https://iis.aastocks.com/20260910/12327256-0.PDF</x:v>
      </x:c>
      <x:c r="J48" s="11" t="str">
        <x:v>原中报以千美元列报，现金51亿美元为管理层约数；ADR目标不能未经核验ADR普通股比率直接移植至港股。</x:v>
      </x:c>
      <x:c r="K48" s="11" t="str">
        <x:v>待核</x:v>
      </x:c>
      <x:c r="L48" s="11" t="str">
        <x:v>精确发布时间未核验</x:v>
      </x:c>
      <x:c r="M48" s="11" t="str">
        <x:v>截止日前日期，盘中时分未核</x:v>
      </x:c>
    </x:row>
    <x:row r="49" ht="23" customHeight="1">
      <x:c r="A49" s="11" t="str">
        <x:v>I012</x:v>
      </x:c>
      <x:c r="B49" s="11" t="str">
        <x:v>06160.HK</x:v>
      </x:c>
      <x:c r="C49" s="11" t="str">
        <x:v>cashEquivalents</x:v>
      </x:c>
      <x:c r="D49" s="39" t="n">
        <x:v>5100</x:v>
      </x:c>
      <x:c r="E49" s="11" t="str">
        <x:v>USD</x:v>
      </x:c>
      <x:c r="F49" s="11" t="str">
        <x:v>million</x:v>
      </x:c>
      <x:c r="G49" s="11" t="str">
        <x:v>2026H1</x:v>
      </x:c>
      <x:c r="H49" s="11" t="str">
        <x:v>2026-09-10</x:v>
      </x:c>
      <x:c r="I49" s="11" t="str">
        <x:v>https://iis.aastocks.com/20260910/12327256-0.PDF</x:v>
      </x:c>
      <x:c r="J49" s="11" t="str">
        <x:v>原中报以千美元列报，现金51亿美元为管理层约数；ADR目标不能未经核验ADR普通股比率直接移植至港股。</x:v>
      </x:c>
      <x:c r="K49" s="11" t="str">
        <x:v>待核</x:v>
      </x:c>
      <x:c r="L49" s="11" t="str">
        <x:v>精确发布时间未核验</x:v>
      </x:c>
      <x:c r="M49" s="11" t="str">
        <x:v>截止日前日期，盘中时分未核</x:v>
      </x:c>
    </x:row>
    <x:row r="50" ht="23" customHeight="1">
      <x:c r="A50" s="11" t="str">
        <x:v>I023</x:v>
      </x:c>
      <x:c r="B50" s="11" t="str">
        <x:v>01530.HK</x:v>
      </x:c>
      <x:c r="C50" s="11" t="str">
        <x:v>revenue</x:v>
      </x:c>
      <x:c r="D50" s="39" t="n">
        <x:v>4526</x:v>
      </x:c>
      <x:c r="E50" s="11" t="str">
        <x:v>CNY</x:v>
      </x:c>
      <x:c r="F50" s="11" t="str">
        <x:v>million</x:v>
      </x:c>
      <x:c r="G50" s="11" t="str">
        <x:v>2026H1</x:v>
      </x:c>
      <x:c r="H50" s="11" t="str">
        <x:v>2026-09-30</x:v>
      </x:c>
      <x:c r="I50" s="11" t="str">
        <x:v>https://iis.aastocks.com/20260930/12352467-0.PDF</x:v>
      </x:c>
      <x:c r="J50" s="11" t="str">
        <x:v>归母-15.6%与调整经营利润+26.5%并存；当前现金/现金等价物/流动定存/流动抵押存款合计12469.2，券商186亿现金是更宽口径，不能混用。</x:v>
      </x:c>
      <x:c r="K50" s="11" t="str">
        <x:v>待核</x:v>
      </x:c>
      <x:c r="L50" s="11" t="str">
        <x:v>精确发布时间未核验</x:v>
      </x:c>
      <x:c r="M50" s="11" t="str">
        <x:v>截止日前日期，盘中时分未核</x:v>
      </x:c>
    </x:row>
    <x:row r="51" ht="23" customHeight="1">
      <x:c r="A51" s="11" t="str">
        <x:v>I023</x:v>
      </x:c>
      <x:c r="B51" s="11" t="str">
        <x:v>01530.HK</x:v>
      </x:c>
      <x:c r="C51" s="11" t="str">
        <x:v>grossProfit</x:v>
      </x:c>
      <x:c r="D51" s="39" t="n">
        <x:v>3794.6</x:v>
      </x:c>
      <x:c r="E51" s="11" t="str">
        <x:v>CNY</x:v>
      </x:c>
      <x:c r="F51" s="11" t="str">
        <x:v>million</x:v>
      </x:c>
      <x:c r="G51" s="11" t="str">
        <x:v>2026H1</x:v>
      </x:c>
      <x:c r="H51" s="11" t="str">
        <x:v>2026-09-30</x:v>
      </x:c>
      <x:c r="I51" s="11" t="str">
        <x:v>https://iis.aastocks.com/20260930/12352467-0.PDF</x:v>
      </x:c>
      <x:c r="J51" s="11" t="str">
        <x:v>归母-15.6%与调整经营利润+26.5%并存；当前现金/现金等价物/流动定存/流动抵押存款合计12469.2，券商186亿现金是更宽口径，不能混用。</x:v>
      </x:c>
      <x:c r="K51" s="11" t="str">
        <x:v>待核</x:v>
      </x:c>
      <x:c r="L51" s="11" t="str">
        <x:v>精确发布时间未核验</x:v>
      </x:c>
      <x:c r="M51" s="11" t="str">
        <x:v>截止日前日期，盘中时分未核</x:v>
      </x:c>
    </x:row>
    <x:row r="52" ht="23" customHeight="1">
      <x:c r="A52" s="11" t="str">
        <x:v>I023</x:v>
      </x:c>
      <x:c r="B52" s="11" t="str">
        <x:v>01530.HK</x:v>
      </x:c>
      <x:c r="C52" s="11" t="str">
        <x:v>attributableProfit</x:v>
      </x:c>
      <x:c r="D52" s="39" t="n">
        <x:v>1146.6</x:v>
      </x:c>
      <x:c r="E52" s="11" t="str">
        <x:v>CNY</x:v>
      </x:c>
      <x:c r="F52" s="11" t="str">
        <x:v>million</x:v>
      </x:c>
      <x:c r="G52" s="11" t="str">
        <x:v>2026H1</x:v>
      </x:c>
      <x:c r="H52" s="11" t="str">
        <x:v>2026-09-30</x:v>
      </x:c>
      <x:c r="I52" s="11" t="str">
        <x:v>https://iis.aastocks.com/20260930/12352467-0.PDF</x:v>
      </x:c>
      <x:c r="J52" s="11" t="str">
        <x:v>归母-15.6%与调整经营利润+26.5%并存；当前现金/现金等价物/流动定存/流动抵押存款合计12469.2，券商186亿现金是更宽口径，不能混用。</x:v>
      </x:c>
      <x:c r="K52" s="11" t="str">
        <x:v>待核</x:v>
      </x:c>
      <x:c r="L52" s="11" t="str">
        <x:v>精确发布时间未核验</x:v>
      </x:c>
      <x:c r="M52" s="11" t="str">
        <x:v>截止日前日期，盘中时分未核</x:v>
      </x:c>
    </x:row>
    <x:row r="53" ht="23" customHeight="1">
      <x:c r="A53" s="11" t="str">
        <x:v>I023</x:v>
      </x:c>
      <x:c r="B53" s="11" t="str">
        <x:v>01530.HK</x:v>
      </x:c>
      <x:c r="C53" s="11" t="str">
        <x:v>adjustedOperatingAttributableProfit</x:v>
      </x:c>
      <x:c r="D53" s="39" t="n">
        <x:v>1436.3</x:v>
      </x:c>
      <x:c r="E53" s="11" t="str">
        <x:v>CNY</x:v>
      </x:c>
      <x:c r="F53" s="11" t="str">
        <x:v>million</x:v>
      </x:c>
      <x:c r="G53" s="11" t="str">
        <x:v>2026H1</x:v>
      </x:c>
      <x:c r="H53" s="11" t="str">
        <x:v>2026-09-30</x:v>
      </x:c>
      <x:c r="I53" s="11" t="str">
        <x:v>https://iis.aastocks.com/20260930/12352467-0.PDF</x:v>
      </x:c>
      <x:c r="J53" s="11" t="str">
        <x:v>归母-15.6%与调整经营利润+26.5%并存；当前现金/现金等价物/流动定存/流动抵押存款合计12469.2，券商186亿现金是更宽口径，不能混用。</x:v>
      </x:c>
      <x:c r="K53" s="11" t="str">
        <x:v>待核</x:v>
      </x:c>
      <x:c r="L53" s="11" t="str">
        <x:v>精确发布时间未核验</x:v>
      </x:c>
      <x:c r="M53" s="11" t="str">
        <x:v>截止日前日期，盘中时分未核</x:v>
      </x:c>
    </x:row>
    <x:row r="54" ht="23" customHeight="1">
      <x:c r="A54" s="11" t="str">
        <x:v>I023</x:v>
      </x:c>
      <x:c r="B54" s="11" t="str">
        <x:v>01530.HK</x:v>
      </x:c>
      <x:c r="C54" s="11" t="str">
        <x:v>operatingCashFlow</x:v>
      </x:c>
      <x:c r="D54" s="39" t="n">
        <x:v>899.4</x:v>
      </x:c>
      <x:c r="E54" s="11" t="str">
        <x:v>CNY</x:v>
      </x:c>
      <x:c r="F54" s="11" t="str">
        <x:v>million</x:v>
      </x:c>
      <x:c r="G54" s="11" t="str">
        <x:v>2026H1</x:v>
      </x:c>
      <x:c r="H54" s="11" t="str">
        <x:v>2026-09-30</x:v>
      </x:c>
      <x:c r="I54" s="11" t="str">
        <x:v>https://iis.aastocks.com/20260930/12352467-0.PDF</x:v>
      </x:c>
      <x:c r="J54" s="11" t="str">
        <x:v>归母-15.6%与调整经营利润+26.5%并存；当前现金/现金等价物/流动定存/流动抵押存款合计12469.2，券商186亿现金是更宽口径，不能混用。</x:v>
      </x:c>
      <x:c r="K54" s="11" t="str">
        <x:v>待核</x:v>
      </x:c>
      <x:c r="L54" s="11" t="str">
        <x:v>精确发布时间未核验</x:v>
      </x:c>
      <x:c r="M54" s="11" t="str">
        <x:v>截止日前日期，盘中时分未核</x:v>
      </x:c>
    </x:row>
    <x:row r="55" ht="23" customHeight="1">
      <x:c r="A55" s="11" t="str">
        <x:v>I023</x:v>
      </x:c>
      <x:c r="B55" s="11" t="str">
        <x:v>01530.HK</x:v>
      </x:c>
      <x:c r="C55" s="11" t="str">
        <x:v>liquidAssetsCurrent</x:v>
      </x:c>
      <x:c r="D55" s="39" t="n">
        <x:v>12469.2</x:v>
      </x:c>
      <x:c r="E55" s="11" t="str">
        <x:v>CNY</x:v>
      </x:c>
      <x:c r="F55" s="11" t="str">
        <x:v>million</x:v>
      </x:c>
      <x:c r="G55" s="11" t="str">
        <x:v>2026H1</x:v>
      </x:c>
      <x:c r="H55" s="11" t="str">
        <x:v>2026-09-30</x:v>
      </x:c>
      <x:c r="I55" s="11" t="str">
        <x:v>https://iis.aastocks.com/20260930/12352467-0.PDF</x:v>
      </x:c>
      <x:c r="J55" s="11" t="str">
        <x:v>归母-15.6%与调整经营利润+26.5%并存；当前现金/现金等价物/流动定存/流动抵押存款合计12469.2，券商186亿现金是更宽口径，不能混用。</x:v>
      </x:c>
      <x:c r="K55" s="11" t="str">
        <x:v>待核</x:v>
      </x:c>
      <x:c r="L55" s="11" t="str">
        <x:v>精确发布时间未核验</x:v>
      </x:c>
      <x:c r="M55" s="11" t="str">
        <x:v>截止日前日期，盘中时分未核</x:v>
      </x:c>
    </x:row>
    <x:row r="56" ht="23" customHeight="1">
      <x:c r="A56" s="11" t="str">
        <x:v>I029</x:v>
      </x:c>
      <x:c r="B56" s="11" t="str">
        <x:v>03692.HK</x:v>
      </x:c>
      <x:c r="C56" s="11" t="str">
        <x:v>revenue</x:v>
      </x:c>
      <x:c r="D56" s="39" t="n">
        <x:v>8304</x:v>
      </x:c>
      <x:c r="E56" s="11" t="str">
        <x:v>CNY</x:v>
      </x:c>
      <x:c r="F56" s="11" t="str">
        <x:v>million</x:v>
      </x:c>
      <x:c r="G56" s="11" t="str">
        <x:v>2026H1</x:v>
      </x:c>
      <x:c r="H56" s="11" t="str">
        <x:v>2026-09-23</x:v>
      </x:c>
      <x:c r="I56" s="11" t="str">
        <x:v>https://iis.aastocks.com/20260923/12342815-0.PDF</x:v>
      </x:c>
      <x:c r="J56" s="11" t="str">
        <x:v>原中报摘要；利润增35.8%由创新收入与其他收入共同推动；需剥离投资和授权等项目；2026中期股息0.285港元。</x:v>
      </x:c>
      <x:c r="K56" s="11" t="str">
        <x:v>待核</x:v>
      </x:c>
      <x:c r="L56" s="11" t="str">
        <x:v>精确发布时间未核验</x:v>
      </x:c>
      <x:c r="M56" s="11" t="str">
        <x:v>截止日前日期，盘中时分未核</x:v>
      </x:c>
    </x:row>
    <x:row r="57" ht="23" customHeight="1">
      <x:c r="A57" s="11" t="str">
        <x:v>I029</x:v>
      </x:c>
      <x:c r="B57" s="11" t="str">
        <x:v>03692.HK</x:v>
      </x:c>
      <x:c r="C57" s="11" t="str">
        <x:v>innovativeDrugRevenue</x:v>
      </x:c>
      <x:c r="D57" s="39" t="n">
        <x:v>7092</x:v>
      </x:c>
      <x:c r="E57" s="11" t="str">
        <x:v>CNY</x:v>
      </x:c>
      <x:c r="F57" s="11" t="str">
        <x:v>million</x:v>
      </x:c>
      <x:c r="G57" s="11" t="str">
        <x:v>2026H1</x:v>
      </x:c>
      <x:c r="H57" s="11" t="str">
        <x:v>2026-09-23</x:v>
      </x:c>
      <x:c r="I57" s="11" t="str">
        <x:v>https://iis.aastocks.com/20260923/12342815-0.PDF</x:v>
      </x:c>
      <x:c r="J57" s="11" t="str">
        <x:v>原中报摘要；利润增35.8%由创新收入与其他收入共同推动；需剥离投资和授权等项目；2026中期股息0.285港元。</x:v>
      </x:c>
      <x:c r="K57" s="11" t="str">
        <x:v>待核</x:v>
      </x:c>
      <x:c r="L57" s="11" t="str">
        <x:v>精确发布时间未核验</x:v>
      </x:c>
      <x:c r="M57" s="11" t="str">
        <x:v>截止日前日期，盘中时分未核</x:v>
      </x:c>
    </x:row>
    <x:row r="58" ht="23" customHeight="1">
      <x:c r="A58" s="11" t="str">
        <x:v>I029</x:v>
      </x:c>
      <x:c r="B58" s="11" t="str">
        <x:v>03692.HK</x:v>
      </x:c>
      <x:c r="C58" s="11" t="str">
        <x:v>profit</x:v>
      </x:c>
      <x:c r="D58" s="39" t="n">
        <x:v>4258</x:v>
      </x:c>
      <x:c r="E58" s="11" t="str">
        <x:v>CNY</x:v>
      </x:c>
      <x:c r="F58" s="11" t="str">
        <x:v>million</x:v>
      </x:c>
      <x:c r="G58" s="11" t="str">
        <x:v>2026H1</x:v>
      </x:c>
      <x:c r="H58" s="11" t="str">
        <x:v>2026-09-23</x:v>
      </x:c>
      <x:c r="I58" s="11" t="str">
        <x:v>https://iis.aastocks.com/20260923/12342815-0.PDF</x:v>
      </x:c>
      <x:c r="J58" s="11" t="str">
        <x:v>原中报摘要；利润增35.8%由创新收入与其他收入共同推动；需剥离投资和授权等项目；2026中期股息0.285港元。</x:v>
      </x:c>
      <x:c r="K58" s="11" t="str">
        <x:v>待核</x:v>
      </x:c>
      <x:c r="L58" s="11" t="str">
        <x:v>精确发布时间未核验</x:v>
      </x:c>
      <x:c r="M58" s="11" t="str">
        <x:v>截止日前日期，盘中时分未核</x:v>
      </x:c>
    </x:row>
    <x:row r="59" ht="23" customHeight="1">
      <x:c r="A59" s="11" t="str">
        <x:v>I029</x:v>
      </x:c>
      <x:c r="B59" s="11" t="str">
        <x:v>03692.HK</x:v>
      </x:c>
      <x:c r="C59" s="11" t="str">
        <x:v>researchDevelopment</x:v>
      </x:c>
      <x:c r="D59" s="39" t="n">
        <x:v>1739</x:v>
      </x:c>
      <x:c r="E59" s="11" t="str">
        <x:v>CNY</x:v>
      </x:c>
      <x:c r="F59" s="11" t="str">
        <x:v>million</x:v>
      </x:c>
      <x:c r="G59" s="11" t="str">
        <x:v>2026H1</x:v>
      </x:c>
      <x:c r="H59" s="11" t="str">
        <x:v>2026-09-23</x:v>
      </x:c>
      <x:c r="I59" s="11" t="str">
        <x:v>https://iis.aastocks.com/20260923/12342815-0.PDF</x:v>
      </x:c>
      <x:c r="J59" s="11" t="str">
        <x:v>原中报摘要；利润增35.8%由创新收入与其他收入共同推动；需剥离投资和授权等项目；2026中期股息0.285港元。</x:v>
      </x:c>
      <x:c r="K59" s="11" t="str">
        <x:v>待核</x:v>
      </x:c>
      <x:c r="L59" s="11" t="str">
        <x:v>精确发布时间未核验</x:v>
      </x:c>
      <x:c r="M59" s="11" t="str">
        <x:v>截止日前日期，盘中时分未核</x:v>
      </x:c>
    </x:row>
    <x:row r="60" ht="23" customHeight="1">
      <x:c r="A60" s="11" t="str">
        <x:v>I029</x:v>
      </x:c>
      <x:c r="B60" s="11" t="str">
        <x:v>03692.HK</x:v>
      </x:c>
      <x:c r="C60" s="11" t="str">
        <x:v>operatingCashFlow</x:v>
      </x:c>
      <x:c r="D60" s="39" t="n">
        <x:v>2337</x:v>
      </x:c>
      <x:c r="E60" s="11" t="str">
        <x:v>CNY</x:v>
      </x:c>
      <x:c r="F60" s="11" t="str">
        <x:v>million</x:v>
      </x:c>
      <x:c r="G60" s="11" t="str">
        <x:v>2026H1</x:v>
      </x:c>
      <x:c r="H60" s="11" t="str">
        <x:v>2026-09-23</x:v>
      </x:c>
      <x:c r="I60" s="11" t="str">
        <x:v>https://iis.aastocks.com/20260923/12342815-0.PDF</x:v>
      </x:c>
      <x:c r="J60" s="11" t="str">
        <x:v>原中报摘要；利润增35.8%由创新收入与其他收入共同推动；需剥离投资和授权等项目；2026中期股息0.285港元。</x:v>
      </x:c>
      <x:c r="K60" s="11" t="str">
        <x:v>待核</x:v>
      </x:c>
      <x:c r="L60" s="11" t="str">
        <x:v>精确发布时间未核验</x:v>
      </x:c>
      <x:c r="M60" s="11" t="str">
        <x:v>截止日前日期，盘中时分未核</x:v>
      </x:c>
    </x:row>
    <x:row r="61" ht="23" customHeight="1">
      <x:c r="A61" s="11" t="str">
        <x:v>I027</x:v>
      </x:c>
      <x:c r="B61" s="11" t="str">
        <x:v>02228.HK</x:v>
      </x:c>
      <x:c r="C61" s="11" t="str">
        <x:v>revenue</x:v>
      </x:c>
      <x:c r="D61" s="39" t="n">
        <x:v>393.627</x:v>
      </x:c>
      <x:c r="E61" s="11" t="str">
        <x:v>CNY</x:v>
      </x:c>
      <x:c r="F61" s="11" t="str">
        <x:v>million</x:v>
      </x:c>
      <x:c r="G61" s="11" t="str">
        <x:v>2026H1</x:v>
      </x:c>
      <x:c r="H61" s="11" t="str">
        <x:v>2026-09-09</x:v>
      </x:c>
      <x:c r="I61" s="11" t="str">
        <x:v>https://iis.aastocks.com/20260909/12326647-0.PDF</x:v>
      </x:c>
      <x:c r="J61" s="11" t="str">
        <x:v>原中报期内亏损224.944，与新闻归母251的口径需区分；2025比较利润75.609非新闻归母82.795。</x:v>
      </x:c>
      <x:c r="K61" s="11" t="str">
        <x:v>待核</x:v>
      </x:c>
      <x:c r="L61" s="11" t="str">
        <x:v>精确发布时间未核验</x:v>
      </x:c>
      <x:c r="M61" s="11" t="str">
        <x:v>截止日前日期，盘中时分未核</x:v>
      </x:c>
    </x:row>
    <x:row r="62" ht="23" customHeight="1">
      <x:c r="A62" s="11" t="str">
        <x:v>I027</x:v>
      </x:c>
      <x:c r="B62" s="11" t="str">
        <x:v>02228.HK</x:v>
      </x:c>
      <x:c r="C62" s="11" t="str">
        <x:v>profit</x:v>
      </x:c>
      <x:c r="D62" s="39" t="n">
        <x:v>-224.944</x:v>
      </x:c>
      <x:c r="E62" s="11" t="str">
        <x:v>CNY</x:v>
      </x:c>
      <x:c r="F62" s="11" t="str">
        <x:v>million</x:v>
      </x:c>
      <x:c r="G62" s="11" t="str">
        <x:v>2026H1</x:v>
      </x:c>
      <x:c r="H62" s="11" t="str">
        <x:v>2026-09-09</x:v>
      </x:c>
      <x:c r="I62" s="11" t="str">
        <x:v>https://iis.aastocks.com/20260909/12326647-0.PDF</x:v>
      </x:c>
      <x:c r="J62" s="11" t="str">
        <x:v>原中报期内亏损224.944，与新闻归母251的口径需区分；2025比较利润75.609非新闻归母82.795。</x:v>
      </x:c>
      <x:c r="K62" s="11" t="str">
        <x:v>待核</x:v>
      </x:c>
      <x:c r="L62" s="11" t="str">
        <x:v>精确发布时间未核验</x:v>
      </x:c>
      <x:c r="M62" s="11" t="str">
        <x:v>截止日前日期，盘中时分未核</x:v>
      </x:c>
    </x:row>
    <x:row r="63" ht="23" customHeight="1">
      <x:c r="A63" s="11" t="str">
        <x:v>I027</x:v>
      </x:c>
      <x:c r="B63" s="11" t="str">
        <x:v>02228.HK</x:v>
      </x:c>
      <x:c r="C63" s="11" t="str">
        <x:v>adjustedProfit</x:v>
      </x:c>
      <x:c r="D63" s="39" t="n">
        <x:v>-105.511</x:v>
      </x:c>
      <x:c r="E63" s="11" t="str">
        <x:v>CNY</x:v>
      </x:c>
      <x:c r="F63" s="11" t="str">
        <x:v>million</x:v>
      </x:c>
      <x:c r="G63" s="11" t="str">
        <x:v>2026H1</x:v>
      </x:c>
      <x:c r="H63" s="11" t="str">
        <x:v>2026-09-09</x:v>
      </x:c>
      <x:c r="I63" s="11" t="str">
        <x:v>https://iis.aastocks.com/20260909/12326647-0.PDF</x:v>
      </x:c>
      <x:c r="J63" s="11" t="str">
        <x:v>原中报期内亏损224.944，与新闻归母251的口径需区分；2025比较利润75.609非新闻归母82.795。</x:v>
      </x:c>
      <x:c r="K63" s="11" t="str">
        <x:v>待核</x:v>
      </x:c>
      <x:c r="L63" s="11" t="str">
        <x:v>精确发布时间未核验</x:v>
      </x:c>
      <x:c r="M63" s="11" t="str">
        <x:v>截止日前日期，盘中时分未核</x:v>
      </x:c>
    </x:row>
    <x:row r="64" ht="23" customHeight="1">
      <x:c r="A64" s="11" t="str">
        <x:v>I027</x:v>
      </x:c>
      <x:c r="B64" s="11" t="str">
        <x:v>02228.HK</x:v>
      </x:c>
      <x:c r="C64" s="11" t="str">
        <x:v>researchDevelopment</x:v>
      </x:c>
      <x:c r="D64" s="39" t="n">
        <x:v>367.838</x:v>
      </x:c>
      <x:c r="E64" s="11" t="str">
        <x:v>CNY</x:v>
      </x:c>
      <x:c r="F64" s="11" t="str">
        <x:v>million</x:v>
      </x:c>
      <x:c r="G64" s="11" t="str">
        <x:v>2026H1</x:v>
      </x:c>
      <x:c r="H64" s="11" t="str">
        <x:v>2026-09-09</x:v>
      </x:c>
      <x:c r="I64" s="11" t="str">
        <x:v>https://iis.aastocks.com/20260909/12326647-0.PDF</x:v>
      </x:c>
      <x:c r="J64" s="11" t="str">
        <x:v>原中报期内亏损224.944，与新闻归母251的口径需区分；2025比较利润75.609非新闻归母82.795。</x:v>
      </x:c>
      <x:c r="K64" s="11" t="str">
        <x:v>待核</x:v>
      </x:c>
      <x:c r="L64" s="11" t="str">
        <x:v>精确发布时间未核验</x:v>
      </x:c>
      <x:c r="M64" s="11" t="str">
        <x:v>截止日前日期，盘中时分未核</x:v>
      </x:c>
    </x:row>
    <x:row r="65" ht="23" customHeight="1">
      <x:c r="A65" s="11" t="str">
        <x:v>I027</x:v>
      </x:c>
      <x:c r="B65" s="11" t="str">
        <x:v>02228.HK</x:v>
      </x:c>
      <x:c r="C65" s="11" t="str">
        <x:v>liquidAssetsExpanded</x:v>
      </x:c>
      <x:c r="D65" s="39" t="n">
        <x:v>8671.2</x:v>
      </x:c>
      <x:c r="E65" s="11" t="str">
        <x:v>CNY</x:v>
      </x:c>
      <x:c r="F65" s="11" t="str">
        <x:v>million</x:v>
      </x:c>
      <x:c r="G65" s="11" t="str">
        <x:v>2026H1</x:v>
      </x:c>
      <x:c r="H65" s="11" t="str">
        <x:v>2026-09-09</x:v>
      </x:c>
      <x:c r="I65" s="11" t="str">
        <x:v>https://iis.aastocks.com/20260909/12326647-0.PDF</x:v>
      </x:c>
      <x:c r="J65" s="11" t="str">
        <x:v>原中报期内亏损224.944，与新闻归母251的口径需区分；2025比较利润75.609非新闻归母82.795。</x:v>
      </x:c>
      <x:c r="K65" s="11" t="str">
        <x:v>待核</x:v>
      </x:c>
      <x:c r="L65" s="11" t="str">
        <x:v>精确发布时间未核验</x:v>
      </x:c>
      <x:c r="M65" s="11" t="str">
        <x:v>截止日前日期，盘中时分未核</x:v>
      </x:c>
    </x:row>
    <x:row r="66" ht="23" customHeight="1">
      <x:c r="A66" s="11" t="str">
        <x:v>I008</x:v>
      </x:c>
      <x:c r="B66" s="11" t="str">
        <x:v>03696.HK</x:v>
      </x:c>
      <x:c r="C66" s="11" t="str">
        <x:v>revenue</x:v>
      </x:c>
      <x:c r="D66" s="39" t="n">
        <x:v>106.303</x:v>
      </x:c>
      <x:c r="E66" s="11" t="str">
        <x:v>USD</x:v>
      </x:c>
      <x:c r="F66" s="11" t="str">
        <x:v>million</x:v>
      </x:c>
      <x:c r="G66" s="11" t="str">
        <x:v>2026H1</x:v>
      </x:c>
      <x:c r="H66" s="11" t="str">
        <x:v>2026-08-26</x:v>
      </x:c>
      <x:c r="I66" s="11" t="str">
        <x:v>https://iis.aastocks.com/20260826/12299957-0.PDF</x:v>
      </x:c>
      <x:c r="J66" s="11" t="str">
        <x:v>现金扩展含存款理财；9月3日3.05亿美元零息可转债完成，为报告期后事件单列。</x:v>
      </x:c>
      <x:c r="K66" s="11" t="str">
        <x:v>待核</x:v>
      </x:c>
      <x:c r="L66" s="11" t="str">
        <x:v>精确发布时间未核验</x:v>
      </x:c>
      <x:c r="M66" s="11" t="str">
        <x:v>截止日前日期，盘中时分未核</x:v>
      </x:c>
    </x:row>
    <x:row r="67" ht="23" customHeight="1">
      <x:c r="A67" s="11" t="str">
        <x:v>I008</x:v>
      </x:c>
      <x:c r="B67" s="11" t="str">
        <x:v>03696.HK</x:v>
      </x:c>
      <x:c r="C67" s="11" t="str">
        <x:v>grossProfit</x:v>
      </x:c>
      <x:c r="D67" s="39" t="n">
        <x:v>95.965</x:v>
      </x:c>
      <x:c r="E67" s="11" t="str">
        <x:v>USD</x:v>
      </x:c>
      <x:c r="F67" s="11" t="str">
        <x:v>million</x:v>
      </x:c>
      <x:c r="G67" s="11" t="str">
        <x:v>2026H1</x:v>
      </x:c>
      <x:c r="H67" s="11" t="str">
        <x:v>2026-08-26</x:v>
      </x:c>
      <x:c r="I67" s="11" t="str">
        <x:v>https://iis.aastocks.com/20260826/12299957-0.PDF</x:v>
      </x:c>
      <x:c r="J67" s="11" t="str">
        <x:v>现金扩展含存款理财；9月3日3.05亿美元零息可转债完成，为报告期后事件单列。</x:v>
      </x:c>
      <x:c r="K67" s="11" t="str">
        <x:v>待核</x:v>
      </x:c>
      <x:c r="L67" s="11" t="str">
        <x:v>精确发布时间未核验</x:v>
      </x:c>
      <x:c r="M67" s="11" t="str">
        <x:v>截止日前日期，盘中时分未核</x:v>
      </x:c>
    </x:row>
    <x:row r="68" ht="23" customHeight="1">
      <x:c r="A68" s="11" t="str">
        <x:v>I008</x:v>
      </x:c>
      <x:c r="B68" s="11" t="str">
        <x:v>03696.HK</x:v>
      </x:c>
      <x:c r="C68" s="11" t="str">
        <x:v>profit</x:v>
      </x:c>
      <x:c r="D68" s="39" t="n">
        <x:v>35.537</x:v>
      </x:c>
      <x:c r="E68" s="11" t="str">
        <x:v>USD</x:v>
      </x:c>
      <x:c r="F68" s="11" t="str">
        <x:v>million</x:v>
      </x:c>
      <x:c r="G68" s="11" t="str">
        <x:v>2026H1</x:v>
      </x:c>
      <x:c r="H68" s="11" t="str">
        <x:v>2026-08-26</x:v>
      </x:c>
      <x:c r="I68" s="11" t="str">
        <x:v>https://iis.aastocks.com/20260826/12299957-0.PDF</x:v>
      </x:c>
      <x:c r="J68" s="11" t="str">
        <x:v>现金扩展含存款理财；9月3日3.05亿美元零息可转债完成，为报告期后事件单列。</x:v>
      </x:c>
      <x:c r="K68" s="11" t="str">
        <x:v>待核</x:v>
      </x:c>
      <x:c r="L68" s="11" t="str">
        <x:v>精确发布时间未核验</x:v>
      </x:c>
      <x:c r="M68" s="11" t="str">
        <x:v>截止日前日期，盘中时分未核</x:v>
      </x:c>
    </x:row>
    <x:row r="69" ht="23" customHeight="1">
      <x:c r="A69" s="11" t="str">
        <x:v>I008</x:v>
      </x:c>
      <x:c r="B69" s="11" t="str">
        <x:v>03696.HK</x:v>
      </x:c>
      <x:c r="C69" s="11" t="str">
        <x:v>adjustedProfit</x:v>
      </x:c>
      <x:c r="D69" s="39" t="n">
        <x:v>51.227</x:v>
      </x:c>
      <x:c r="E69" s="11" t="str">
        <x:v>USD</x:v>
      </x:c>
      <x:c r="F69" s="11" t="str">
        <x:v>million</x:v>
      </x:c>
      <x:c r="G69" s="11" t="str">
        <x:v>2026H1</x:v>
      </x:c>
      <x:c r="H69" s="11" t="str">
        <x:v>2026-08-26</x:v>
      </x:c>
      <x:c r="I69" s="11" t="str">
        <x:v>https://iis.aastocks.com/20260826/12299957-0.PDF</x:v>
      </x:c>
      <x:c r="J69" s="11" t="str">
        <x:v>现金扩展含存款理财；9月3日3.05亿美元零息可转债完成，为报告期后事件单列。</x:v>
      </x:c>
      <x:c r="K69" s="11" t="str">
        <x:v>待核</x:v>
      </x:c>
      <x:c r="L69" s="11" t="str">
        <x:v>精确发布时间未核验</x:v>
      </x:c>
      <x:c r="M69" s="11" t="str">
        <x:v>截止日前日期，盘中时分未核</x:v>
      </x:c>
    </x:row>
    <x:row r="70" ht="23" customHeight="1">
      <x:c r="A70" s="11" t="str">
        <x:v>I008</x:v>
      </x:c>
      <x:c r="B70" s="11" t="str">
        <x:v>03696.HK</x:v>
      </x:c>
      <x:c r="C70" s="11" t="str">
        <x:v>operatingCashFlow</x:v>
      </x:c>
      <x:c r="D70" s="39" t="n">
        <x:v>79</x:v>
      </x:c>
      <x:c r="E70" s="11" t="str">
        <x:v>USD</x:v>
      </x:c>
      <x:c r="F70" s="11" t="str">
        <x:v>million</x:v>
      </x:c>
      <x:c r="G70" s="11" t="str">
        <x:v>2026H1</x:v>
      </x:c>
      <x:c r="H70" s="11" t="str">
        <x:v>2026-08-26</x:v>
      </x:c>
      <x:c r="I70" s="11" t="str">
        <x:v>https://iis.aastocks.com/20260826/12299957-0.PDF</x:v>
      </x:c>
      <x:c r="J70" s="11" t="str">
        <x:v>现金扩展含存款理财；9月3日3.05亿美元零息可转债完成，为报告期后事件单列。</x:v>
      </x:c>
      <x:c r="K70" s="11" t="str">
        <x:v>待核</x:v>
      </x:c>
      <x:c r="L70" s="11" t="str">
        <x:v>精确发布时间未核验</x:v>
      </x:c>
      <x:c r="M70" s="11" t="str">
        <x:v>截止日前日期，盘中时分未核</x:v>
      </x:c>
    </x:row>
    <x:row r="71" ht="23" customHeight="1">
      <x:c r="A71" s="11" t="str">
        <x:v>I008</x:v>
      </x:c>
      <x:c r="B71" s="11" t="str">
        <x:v>03696.HK</x:v>
      </x:c>
      <x:c r="C71" s="11" t="str">
        <x:v>liquidAssetsExpanded</x:v>
      </x:c>
      <x:c r="D71" s="39" t="n">
        <x:v>452</x:v>
      </x:c>
      <x:c r="E71" s="11" t="str">
        <x:v>USD</x:v>
      </x:c>
      <x:c r="F71" s="11" t="str">
        <x:v>million</x:v>
      </x:c>
      <x:c r="G71" s="11" t="str">
        <x:v>2026H1</x:v>
      </x:c>
      <x:c r="H71" s="11" t="str">
        <x:v>2026-08-26</x:v>
      </x:c>
      <x:c r="I71" s="11" t="str">
        <x:v>https://iis.aastocks.com/20260826/12299957-0.PDF</x:v>
      </x:c>
      <x:c r="J71" s="11" t="str">
        <x:v>现金扩展含存款理财；9月3日3.05亿美元零息可转债完成，为报告期后事件单列。</x:v>
      </x:c>
      <x:c r="K71" s="11" t="str">
        <x:v>待核</x:v>
      </x:c>
      <x:c r="L71" s="11" t="str">
        <x:v>精确发布时间未核验</x:v>
      </x:c>
      <x:c r="M71" s="11" t="str">
        <x:v>截止日前日期，盘中时分未核</x:v>
      </x:c>
    </x:row>
    <x:row r="72" ht="23" customHeight="1">
      <x:c r="A72" s="11" t="str">
        <x:v>I008</x:v>
      </x:c>
      <x:c r="B72" s="11" t="str">
        <x:v>03696.HK</x:v>
      </x:c>
      <x:c r="C72" s="11" t="str">
        <x:v>bankBorrowings</x:v>
      </x:c>
      <x:c r="D72" s="39" t="n">
        <x:v>14.7</x:v>
      </x:c>
      <x:c r="E72" s="11" t="str">
        <x:v>USD</x:v>
      </x:c>
      <x:c r="F72" s="11" t="str">
        <x:v>million</x:v>
      </x:c>
      <x:c r="G72" s="11" t="str">
        <x:v>2026H1</x:v>
      </x:c>
      <x:c r="H72" s="11" t="str">
        <x:v>2026-08-26</x:v>
      </x:c>
      <x:c r="I72" s="11" t="str">
        <x:v>https://iis.aastocks.com/20260826/12299957-0.PDF</x:v>
      </x:c>
      <x:c r="J72" s="11" t="str">
        <x:v>现金扩展含存款理财；9月3日3.05亿美元零息可转债完成，为报告期后事件单列。</x:v>
      </x:c>
      <x:c r="K72" s="11" t="str">
        <x:v>待核</x:v>
      </x:c>
      <x:c r="L72" s="11" t="str">
        <x:v>精确发布时间未核验</x:v>
      </x:c>
      <x:c r="M72" s="11" t="str">
        <x:v>截止日前日期，盘中时分未核</x:v>
      </x:c>
    </x:row>
    <x:row r="73" ht="23" customHeight="1">
      <x:c r="A73" s="11" t="str">
        <x:v>I010</x:v>
      </x:c>
      <x:c r="B73" s="11" t="str">
        <x:v>02359.HK</x:v>
      </x:c>
      <x:c r="C73" s="11" t="str">
        <x:v>revenue</x:v>
      </x:c>
      <x:c r="D73" s="39" t="n">
        <x:v>28897.5</x:v>
      </x:c>
      <x:c r="E73" s="11" t="str">
        <x:v>CNY</x:v>
      </x:c>
      <x:c r="F73" s="11" t="str">
        <x:v>million</x:v>
      </x:c>
      <x:c r="G73" s="11" t="str">
        <x:v>2026H1</x:v>
      </x:c>
      <x:c r="H73" s="11" t="str">
        <x:v>2026-09-04</x:v>
      </x:c>
      <x:c r="I73" s="11" t="str">
        <x:v>https://iis.aastocks.com/20260904/12320378-0.PDF</x:v>
      </x:c>
      <x:c r="J73" s="11" t="str">
        <x:v>2026中期收入+38.9%；持续经营业务比较增48%；期内资产出售与业务剥离影响需从利润中区分。</x:v>
      </x:c>
      <x:c r="K73" s="11" t="str">
        <x:v>待核</x:v>
      </x:c>
      <x:c r="L73" s="11" t="str">
        <x:v>精确发布时间未核验</x:v>
      </x:c>
      <x:c r="M73" s="11" t="str">
        <x:v>截止日前日期，盘中时分未核</x:v>
      </x:c>
    </x:row>
    <x:row r="74" ht="23" customHeight="1">
      <x:c r="A74" s="11" t="str">
        <x:v>I010</x:v>
      </x:c>
      <x:c r="B74" s="11" t="str">
        <x:v>02359.HK</x:v>
      </x:c>
      <x:c r="C74" s="11" t="str">
        <x:v>grossProfit</x:v>
      </x:c>
      <x:c r="D74" s="39" t="n">
        <x:v>15382.1</x:v>
      </x:c>
      <x:c r="E74" s="11" t="str">
        <x:v>CNY</x:v>
      </x:c>
      <x:c r="F74" s="11" t="str">
        <x:v>million</x:v>
      </x:c>
      <x:c r="G74" s="11" t="str">
        <x:v>2026H1</x:v>
      </x:c>
      <x:c r="H74" s="11" t="str">
        <x:v>2026-09-04</x:v>
      </x:c>
      <x:c r="I74" s="11" t="str">
        <x:v>https://iis.aastocks.com/20260904/12320378-0.PDF</x:v>
      </x:c>
      <x:c r="J74" s="11" t="str">
        <x:v>2026中期收入+38.9%；持续经营业务比较增48%；期内资产出售与业务剥离影响需从利润中区分。</x:v>
      </x:c>
      <x:c r="K74" s="11" t="str">
        <x:v>待核</x:v>
      </x:c>
      <x:c r="L74" s="11" t="str">
        <x:v>精确发布时间未核验</x:v>
      </x:c>
      <x:c r="M74" s="11" t="str">
        <x:v>截止日前日期，盘中时分未核</x:v>
      </x:c>
    </x:row>
    <x:row r="75" ht="23" customHeight="1">
      <x:c r="A75" s="11" t="str">
        <x:v>I010</x:v>
      </x:c>
      <x:c r="B75" s="11" t="str">
        <x:v>02359.HK</x:v>
      </x:c>
      <x:c r="C75" s="11" t="str">
        <x:v>attributableProfit</x:v>
      </x:c>
      <x:c r="D75" s="39" t="n">
        <x:v>11080.2</x:v>
      </x:c>
      <x:c r="E75" s="11" t="str">
        <x:v>CNY</x:v>
      </x:c>
      <x:c r="F75" s="11" t="str">
        <x:v>million</x:v>
      </x:c>
      <x:c r="G75" s="11" t="str">
        <x:v>2026H1</x:v>
      </x:c>
      <x:c r="H75" s="11" t="str">
        <x:v>2026-09-04</x:v>
      </x:c>
      <x:c r="I75" s="11" t="str">
        <x:v>https://iis.aastocks.com/20260904/12320378-0.PDF</x:v>
      </x:c>
      <x:c r="J75" s="11" t="str">
        <x:v>2026中期收入+38.9%；持续经营业务比较增48%；期内资产出售与业务剥离影响需从利润中区分。</x:v>
      </x:c>
      <x:c r="K75" s="11" t="str">
        <x:v>待核</x:v>
      </x:c>
      <x:c r="L75" s="11" t="str">
        <x:v>精确发布时间未核验</x:v>
      </x:c>
      <x:c r="M75" s="11" t="str">
        <x:v>截止日前日期，盘中时分未核</x:v>
      </x:c>
    </x:row>
    <x:row r="76" ht="23" customHeight="1">
      <x:c r="A76" s="11" t="str">
        <x:v>I010</x:v>
      </x:c>
      <x:c r="B76" s="11" t="str">
        <x:v>02359.HK</x:v>
      </x:c>
      <x:c r="C76" s="11" t="str">
        <x:v>adjustedAttributableProfit</x:v>
      </x:c>
      <x:c r="D76" s="39" t="n">
        <x:v>11570.5</x:v>
      </x:c>
      <x:c r="E76" s="11" t="str">
        <x:v>CNY</x:v>
      </x:c>
      <x:c r="F76" s="11" t="str">
        <x:v>million</x:v>
      </x:c>
      <x:c r="G76" s="11" t="str">
        <x:v>2026H1</x:v>
      </x:c>
      <x:c r="H76" s="11" t="str">
        <x:v>2026-09-04</x:v>
      </x:c>
      <x:c r="I76" s="11" t="str">
        <x:v>https://iis.aastocks.com/20260904/12320378-0.PDF</x:v>
      </x:c>
      <x:c r="J76" s="11" t="str">
        <x:v>2026中期收入+38.9%；持续经营业务比较增48%；期内资产出售与业务剥离影响需从利润中区分。</x:v>
      </x:c>
      <x:c r="K76" s="11" t="str">
        <x:v>待核</x:v>
      </x:c>
      <x:c r="L76" s="11" t="str">
        <x:v>精确发布时间未核验</x:v>
      </x:c>
      <x:c r="M76" s="11" t="str">
        <x:v>截止日前日期，盘中时分未核</x:v>
      </x:c>
    </x:row>
    <x:row r="77" ht="23" customHeight="1">
      <x:c r="A77" s="11" t="str">
        <x:v>I010</x:v>
      </x:c>
      <x:c r="B77" s="11" t="str">
        <x:v>02359.HK</x:v>
      </x:c>
      <x:c r="C77" s="11" t="str">
        <x:v>cashBank</x:v>
      </x:c>
      <x:c r="D77" s="39" t="n">
        <x:v>26953.6</x:v>
      </x:c>
      <x:c r="E77" s="11" t="str">
        <x:v>CNY</x:v>
      </x:c>
      <x:c r="F77" s="11" t="str">
        <x:v>million</x:v>
      </x:c>
      <x:c r="G77" s="11" t="str">
        <x:v>2026H1</x:v>
      </x:c>
      <x:c r="H77" s="11" t="str">
        <x:v>2026-09-04</x:v>
      </x:c>
      <x:c r="I77" s="11" t="str">
        <x:v>https://iis.aastocks.com/20260904/12320378-0.PDF</x:v>
      </x:c>
      <x:c r="J77" s="11" t="str">
        <x:v>2026中期收入+38.9%；持续经营业务比较增48%；期内资产出售与业务剥离影响需从利润中区分。</x:v>
      </x:c>
      <x:c r="K77" s="11" t="str">
        <x:v>待核</x:v>
      </x:c>
      <x:c r="L77" s="11" t="str">
        <x:v>精确发布时间未核验</x:v>
      </x:c>
      <x:c r="M77" s="11" t="str">
        <x:v>截止日前日期，盘中时分未核</x:v>
      </x:c>
    </x:row>
    <x:row r="78" ht="23" customHeight="1">
      <x:c r="A78" s="11" t="str">
        <x:v>I072</x:v>
      </x:c>
      <x:c r="B78" s="11" t="str">
        <x:v>00700.HK</x:v>
      </x:c>
      <x:c r="C78" s="11" t="str">
        <x:v>revenue</x:v>
      </x:c>
      <x:c r="D78" s="39" t="n">
        <x:v>401243</x:v>
      </x:c>
      <x:c r="E78" s="11" t="str">
        <x:v>CNY</x:v>
      </x:c>
      <x:c r="F78" s="11" t="str">
        <x:v>million</x:v>
      </x:c>
      <x:c r="G78" s="11" t="str">
        <x:v>2026H1</x:v>
      </x:c>
      <x:c r="H78" s="11" t="str">
        <x:v>2026-08-12</x:v>
      </x:c>
      <x:c r="I78" s="11" t="str">
        <x:v>https://www.tencent.com/wp-content/uploads/2026/08/E700_IR.pdf</x:v>
      </x:c>
      <x:c r="J78" s="11" t="str">
        <x:v>2026Q1 56.7bn + 2026Q2 -13.8bn, rounded quarterly disclosures; no addback of compute prepayment</x:v>
      </x:c>
      <x:c r="K78" s="11" t="str">
        <x:v>待核</x:v>
      </x:c>
      <x:c r="L78" s="11" t="str">
        <x:v>精确发布时间未核验</x:v>
      </x:c>
      <x:c r="M78" s="11" t="str">
        <x:v>截止日前日期，盘中时分未核</x:v>
      </x:c>
    </x:row>
    <x:row r="79" ht="23" customHeight="1">
      <x:c r="A79" s="11" t="str">
        <x:v>I072</x:v>
      </x:c>
      <x:c r="B79" s="11" t="str">
        <x:v>00700.HK</x:v>
      </x:c>
      <x:c r="C79" s="11" t="str">
        <x:v>profitAttributable</x:v>
      </x:c>
      <x:c r="D79" s="39" t="n">
        <x:v>114115</x:v>
      </x:c>
      <x:c r="E79" s="11" t="str">
        <x:v>CNY</x:v>
      </x:c>
      <x:c r="F79" s="11" t="str">
        <x:v>million</x:v>
      </x:c>
      <x:c r="G79" s="11" t="str">
        <x:v>2026H1</x:v>
      </x:c>
      <x:c r="H79" s="11" t="str">
        <x:v>2026-08-12</x:v>
      </x:c>
      <x:c r="I79" s="11" t="str">
        <x:v>https://www.tencent.com/wp-content/uploads/2026/08/E700_IR.pdf</x:v>
      </x:c>
      <x:c r="J79" s="11" t="str">
        <x:v>2026Q1 56.7bn + 2026Q2 -13.8bn, rounded quarterly disclosures; no addback of compute prepayment</x:v>
      </x:c>
      <x:c r="K79" s="11" t="str">
        <x:v>待核</x:v>
      </x:c>
      <x:c r="L79" s="11" t="str">
        <x:v>精确发布时间未核验</x:v>
      </x:c>
      <x:c r="M79" s="11" t="str">
        <x:v>截止日前日期，盘中时分未核</x:v>
      </x:c>
    </x:row>
    <x:row r="80" ht="23" customHeight="1">
      <x:c r="A80" s="11" t="str">
        <x:v>I072</x:v>
      </x:c>
      <x:c r="B80" s="11" t="str">
        <x:v>00700.HK</x:v>
      </x:c>
      <x:c r="C80" s="11" t="str">
        <x:v>nonIFRSProfitAttributable</x:v>
      </x:c>
      <x:c r="D80" s="39" t="n">
        <x:v>136320</x:v>
      </x:c>
      <x:c r="E80" s="11" t="str">
        <x:v>CNY</x:v>
      </x:c>
      <x:c r="F80" s="11" t="str">
        <x:v>million</x:v>
      </x:c>
      <x:c r="G80" s="11" t="str">
        <x:v>2026H1</x:v>
      </x:c>
      <x:c r="H80" s="11" t="str">
        <x:v>2026-08-12</x:v>
      </x:c>
      <x:c r="I80" s="11" t="str">
        <x:v>https://www.tencent.com/wp-content/uploads/2026/08/E700_IR.pdf</x:v>
      </x:c>
      <x:c r="J80" s="11" t="str">
        <x:v>2026Q1 56.7bn + 2026Q2 -13.8bn, rounded quarterly disclosures; no addback of compute prepayment</x:v>
      </x:c>
      <x:c r="K80" s="11" t="str">
        <x:v>待核</x:v>
      </x:c>
      <x:c r="L80" s="11" t="str">
        <x:v>精确发布时间未核验</x:v>
      </x:c>
      <x:c r="M80" s="11" t="str">
        <x:v>截止日前日期，盘中时分未核</x:v>
      </x:c>
    </x:row>
    <x:row r="81" ht="23" customHeight="1">
      <x:c r="A81" s="11" t="str">
        <x:v>I072</x:v>
      </x:c>
      <x:c r="B81" s="11" t="str">
        <x:v>00700.HK</x:v>
      </x:c>
      <x:c r="C81" s="11" t="str">
        <x:v>nonIFRSDilutedEPS</x:v>
      </x:c>
      <x:c r="D81" s="39" t="n">
        <x:v>14.799</x:v>
      </x:c>
      <x:c r="E81" s="11" t="str">
        <x:v>CNY</x:v>
      </x:c>
      <x:c r="F81" s="11" t="str">
        <x:v>per ordinary share</x:v>
      </x:c>
      <x:c r="G81" s="11" t="str">
        <x:v>2026H1</x:v>
      </x:c>
      <x:c r="H81" s="11" t="str">
        <x:v>2026-08-12</x:v>
      </x:c>
      <x:c r="I81" s="11" t="str">
        <x:v>https://www.tencent.com/wp-content/uploads/2026/08/E700_IR.pdf</x:v>
      </x:c>
      <x:c r="J81" s="11" t="str">
        <x:v>2026Q1 56.7bn + 2026Q2 -13.8bn, rounded quarterly disclosures; no addback of compute prepayment</x:v>
      </x:c>
      <x:c r="K81" s="11" t="str">
        <x:v>待核</x:v>
      </x:c>
      <x:c r="L81" s="11" t="str">
        <x:v>精确发布时间未核验</x:v>
      </x:c>
      <x:c r="M81" s="11" t="str">
        <x:v>截止日前日期，盘中时分未核</x:v>
      </x:c>
    </x:row>
    <x:row r="82" ht="23" customHeight="1">
      <x:c r="A82" s="11" t="str">
        <x:v>I072</x:v>
      </x:c>
      <x:c r="B82" s="11" t="str">
        <x:v>00700.HK</x:v>
      </x:c>
      <x:c r="C82" s="11" t="str">
        <x:v>freeCashFlowRounded</x:v>
      </x:c>
      <x:c r="D82" s="39" t="n">
        <x:v>42900</x:v>
      </x:c>
      <x:c r="E82" s="11" t="str">
        <x:v>CNY</x:v>
      </x:c>
      <x:c r="F82" s="11" t="str">
        <x:v>million</x:v>
      </x:c>
      <x:c r="G82" s="11" t="str">
        <x:v>2026H1</x:v>
      </x:c>
      <x:c r="H82" s="11" t="str">
        <x:v>2026-08-12</x:v>
      </x:c>
      <x:c r="I82" s="11" t="str">
        <x:v>https://www.tencent.com/wp-content/uploads/2026/08/E700_IR.pdf</x:v>
      </x:c>
      <x:c r="J82" s="11" t="str">
        <x:v>2026Q1 56.7bn + 2026Q2 -13.8bn, rounded quarterly disclosures; no addback of compute prepayment</x:v>
      </x:c>
      <x:c r="K82" s="11" t="str">
        <x:v>待核</x:v>
      </x:c>
      <x:c r="L82" s="11" t="str">
        <x:v>精确发布时间未核验</x:v>
      </x:c>
      <x:c r="M82" s="11" t="str">
        <x:v>截止日前日期，盘中时分未核</x:v>
      </x:c>
    </x:row>
    <x:row r="83" ht="23" customHeight="1">
      <x:c r="A83" s="11" t="str">
        <x:v>I072</x:v>
      </x:c>
      <x:c r="B83" s="11" t="str">
        <x:v>00700.HK</x:v>
      </x:c>
      <x:c r="C83" s="11" t="str">
        <x:v>netCash</x:v>
      </x:c>
      <x:c r="D83" s="39" t="n">
        <x:v>58200</x:v>
      </x:c>
      <x:c r="E83" s="11" t="str">
        <x:v>CNY</x:v>
      </x:c>
      <x:c r="F83" s="11" t="str">
        <x:v>million</x:v>
      </x:c>
      <x:c r="G83" s="11" t="str">
        <x:v>2026H1</x:v>
      </x:c>
      <x:c r="H83" s="11" t="str">
        <x:v>2026-08-12</x:v>
      </x:c>
      <x:c r="I83" s="11" t="str">
        <x:v>https://www.tencent.com/wp-content/uploads/2026/08/E700_IR.pdf</x:v>
      </x:c>
      <x:c r="J83" s="11" t="str">
        <x:v>2026Q1 56.7bn + 2026Q2 -13.8bn, rounded quarterly disclosures; no addback of compute prepayment</x:v>
      </x:c>
      <x:c r="K83" s="11" t="str">
        <x:v>待核</x:v>
      </x:c>
      <x:c r="L83" s="11" t="str">
        <x:v>精确发布时间未核验</x:v>
      </x:c>
      <x:c r="M83" s="11" t="str">
        <x:v>截止日前日期，盘中时分未核</x:v>
      </x:c>
    </x:row>
    <x:row r="84" ht="23" customHeight="1">
      <x:c r="A84" s="11" t="str">
        <x:v>I072</x:v>
      </x:c>
      <x:c r="B84" s="11" t="str">
        <x:v>00700.HK</x:v>
      </x:c>
      <x:c r="C84" s="11" t="str">
        <x:v>revenue</x:v>
      </x:c>
      <x:c r="D84" s="39" t="n">
        <x:v>751766</x:v>
      </x:c>
      <x:c r="E84" s="11" t="str">
        <x:v>CNY</x:v>
      </x:c>
      <x:c r="F84" s="11" t="str">
        <x:v>million</x:v>
      </x:c>
      <x:c r="G84" s="11" t="str">
        <x:v>FY2025</x:v>
      </x:c>
      <x:c r="H84" s="11" t="str">
        <x:v>2026-03-18</x:v>
      </x:c>
      <x:c r="I84" s="11" t="str">
        <x:v>https://static.www.tencent.com/uploads/2026/03/18/e6a646796d0d869acc76271c9ee1a6a5.pdf</x:v>
      </x:c>
      <x:c r="J84" s="11" t="str"/>
      <x:c r="K84" s="11" t="str">
        <x:v>待核</x:v>
      </x:c>
      <x:c r="L84" s="11" t="str">
        <x:v>精确发布时间未核验</x:v>
      </x:c>
      <x:c r="M84" s="11" t="str">
        <x:v>截止日前日期，盘中时分未核</x:v>
      </x:c>
    </x:row>
    <x:row r="85" ht="23" customHeight="1">
      <x:c r="A85" s="11" t="str">
        <x:v>I072</x:v>
      </x:c>
      <x:c r="B85" s="11" t="str">
        <x:v>00700.HK</x:v>
      </x:c>
      <x:c r="C85" s="11" t="str">
        <x:v>profitAttributable</x:v>
      </x:c>
      <x:c r="D85" s="39" t="n">
        <x:v>224842</x:v>
      </x:c>
      <x:c r="E85" s="11" t="str">
        <x:v>CNY</x:v>
      </x:c>
      <x:c r="F85" s="11" t="str">
        <x:v>million</x:v>
      </x:c>
      <x:c r="G85" s="11" t="str">
        <x:v>FY2025</x:v>
      </x:c>
      <x:c r="H85" s="11" t="str">
        <x:v>2026-03-18</x:v>
      </x:c>
      <x:c r="I85" s="11" t="str">
        <x:v>https://static.www.tencent.com/uploads/2026/03/18/e6a646796d0d869acc76271c9ee1a6a5.pdf</x:v>
      </x:c>
      <x:c r="J85" s="11" t="str"/>
      <x:c r="K85" s="11" t="str">
        <x:v>待核</x:v>
      </x:c>
      <x:c r="L85" s="11" t="str">
        <x:v>精确发布时间未核验</x:v>
      </x:c>
      <x:c r="M85" s="11" t="str">
        <x:v>截止日前日期，盘中时分未核</x:v>
      </x:c>
    </x:row>
    <x:row r="86" ht="23" customHeight="1">
      <x:c r="A86" s="11" t="str">
        <x:v>I072</x:v>
      </x:c>
      <x:c r="B86" s="11" t="str">
        <x:v>00700.HK</x:v>
      </x:c>
      <x:c r="C86" s="11" t="str">
        <x:v>nonIFRSProfitAttributable</x:v>
      </x:c>
      <x:c r="D86" s="39" t="n">
        <x:v>259626</x:v>
      </x:c>
      <x:c r="E86" s="11" t="str">
        <x:v>CNY</x:v>
      </x:c>
      <x:c r="F86" s="11" t="str">
        <x:v>million</x:v>
      </x:c>
      <x:c r="G86" s="11" t="str">
        <x:v>FY2025</x:v>
      </x:c>
      <x:c r="H86" s="11" t="str">
        <x:v>2026-03-18</x:v>
      </x:c>
      <x:c r="I86" s="11" t="str">
        <x:v>https://static.www.tencent.com/uploads/2026/03/18/e6a646796d0d869acc76271c9ee1a6a5.pdf</x:v>
      </x:c>
      <x:c r="J86" s="11" t="str"/>
      <x:c r="K86" s="11" t="str">
        <x:v>待核</x:v>
      </x:c>
      <x:c r="L86" s="11" t="str">
        <x:v>精确发布时间未核验</x:v>
      </x:c>
      <x:c r="M86" s="11" t="str">
        <x:v>截止日前日期，盘中时分未核</x:v>
      </x:c>
    </x:row>
    <x:row r="87" ht="23" customHeight="1">
      <x:c r="A87" s="11" t="str">
        <x:v>I072</x:v>
      </x:c>
      <x:c r="B87" s="11" t="str">
        <x:v>00700.HK</x:v>
      </x:c>
      <x:c r="C87" s="11" t="str">
        <x:v>nonIFRSDilutedEPS</x:v>
      </x:c>
      <x:c r="D87" s="39" t="n">
        <x:v>27.877</x:v>
      </x:c>
      <x:c r="E87" s="11" t="str">
        <x:v>CNY</x:v>
      </x:c>
      <x:c r="F87" s="11" t="str">
        <x:v>per ordinary share</x:v>
      </x:c>
      <x:c r="G87" s="11" t="str">
        <x:v>FY2025</x:v>
      </x:c>
      <x:c r="H87" s="11" t="str">
        <x:v>2026-03-18</x:v>
      </x:c>
      <x:c r="I87" s="11" t="str">
        <x:v>https://static.www.tencent.com/uploads/2026/03/18/e6a646796d0d869acc76271c9ee1a6a5.pdf</x:v>
      </x:c>
      <x:c r="J87" s="11" t="str"/>
      <x:c r="K87" s="11" t="str">
        <x:v>待核</x:v>
      </x:c>
      <x:c r="L87" s="11" t="str">
        <x:v>精确发布时间未核验</x:v>
      </x:c>
      <x:c r="M87" s="11" t="str">
        <x:v>截止日前日期，盘中时分未核</x:v>
      </x:c>
    </x:row>
    <x:row r="88" ht="23" customHeight="1">
      <x:c r="A88" s="11" t="str">
        <x:v>I072</x:v>
      </x:c>
      <x:c r="B88" s="11" t="str">
        <x:v>00700.HK</x:v>
      </x:c>
      <x:c r="C88" s="11" t="str">
        <x:v>IFRSDilutedEPS</x:v>
      </x:c>
      <x:c r="D88" s="39" t="n">
        <x:v>24.153</x:v>
      </x:c>
      <x:c r="E88" s="11" t="str">
        <x:v>CNY</x:v>
      </x:c>
      <x:c r="F88" s="11" t="str">
        <x:v>per ordinary share</x:v>
      </x:c>
      <x:c r="G88" s="11" t="str">
        <x:v>FY2025</x:v>
      </x:c>
      <x:c r="H88" s="11" t="str">
        <x:v>2026-03-18</x:v>
      </x:c>
      <x:c r="I88" s="11" t="str">
        <x:v>https://static.www.tencent.com/uploads/2026/03/18/e6a646796d0d869acc76271c9ee1a6a5.pdf</x:v>
      </x:c>
      <x:c r="J88" s="11" t="str"/>
      <x:c r="K88" s="11" t="str">
        <x:v>待核</x:v>
      </x:c>
      <x:c r="L88" s="11" t="str">
        <x:v>精确发布时间未核验</x:v>
      </x:c>
      <x:c r="M88" s="11" t="str">
        <x:v>截止日前日期，盘中时分未核</x:v>
      </x:c>
    </x:row>
    <x:row r="89" ht="23" customHeight="1">
      <x:c r="A89" s="11" t="str">
        <x:v>I072</x:v>
      </x:c>
      <x:c r="B89" s="11" t="str">
        <x:v>00700.HK</x:v>
      </x:c>
      <x:c r="C89" s="11" t="str">
        <x:v>freeCashFlowRounded</x:v>
      </x:c>
      <x:c r="D89" s="39" t="n">
        <x:v>182600</x:v>
      </x:c>
      <x:c r="E89" s="11" t="str">
        <x:v>CNY</x:v>
      </x:c>
      <x:c r="F89" s="11" t="str">
        <x:v>million</x:v>
      </x:c>
      <x:c r="G89" s="11" t="str">
        <x:v>FY2025</x:v>
      </x:c>
      <x:c r="H89" s="11" t="str">
        <x:v>2026-03-18</x:v>
      </x:c>
      <x:c r="I89" s="11" t="str">
        <x:v>https://static.www.tencent.com/uploads/2026/03/18/e6a646796d0d869acc76271c9ee1a6a5.pdf</x:v>
      </x:c>
      <x:c r="J89" s="11" t="str"/>
      <x:c r="K89" s="11" t="str">
        <x:v>待核</x:v>
      </x:c>
      <x:c r="L89" s="11" t="str">
        <x:v>精确发布时间未核验</x:v>
      </x:c>
      <x:c r="M89" s="11" t="str">
        <x:v>截止日前日期，盘中时分未核</x:v>
      </x:c>
    </x:row>
    <x:row r="90" ht="23" customHeight="1">
      <x:c r="A90" s="11" t="str">
        <x:v>I072</x:v>
      </x:c>
      <x:c r="B90" s="11" t="str">
        <x:v>00700.HK</x:v>
      </x:c>
      <x:c r="C90" s="11" t="str">
        <x:v>netCash</x:v>
      </x:c>
      <x:c r="D90" s="39" t="n">
        <x:v>107100</x:v>
      </x:c>
      <x:c r="E90" s="11" t="str">
        <x:v>CNY</x:v>
      </x:c>
      <x:c r="F90" s="11" t="str">
        <x:v>million</x:v>
      </x:c>
      <x:c r="G90" s="11" t="str">
        <x:v>FY2025</x:v>
      </x:c>
      <x:c r="H90" s="11" t="str">
        <x:v>2026-03-18</x:v>
      </x:c>
      <x:c r="I90" s="11" t="str">
        <x:v>https://static.www.tencent.com/uploads/2026/03/18/e6a646796d0d869acc76271c9ee1a6a5.pdf</x:v>
      </x:c>
      <x:c r="J90" s="11" t="str"/>
      <x:c r="K90" s="11" t="str">
        <x:v>待核</x:v>
      </x:c>
      <x:c r="L90" s="11" t="str">
        <x:v>精确发布时间未核验</x:v>
      </x:c>
      <x:c r="M90" s="11" t="str">
        <x:v>截止日前日期，盘中时分未核</x:v>
      </x:c>
    </x:row>
    <x:row r="91" ht="23" customHeight="1">
      <x:c r="A91" s="11" t="str">
        <x:v>I064</x:v>
      </x:c>
      <x:c r="B91" s="11" t="str">
        <x:v>09999.HK</x:v>
      </x:c>
      <x:c r="C91" s="11" t="str">
        <x:v>revenueRounded</x:v>
      </x:c>
      <x:c r="D91" s="39" t="n">
        <x:v>60700</x:v>
      </x:c>
      <x:c r="E91" s="11" t="str">
        <x:v>CNY</x:v>
      </x:c>
      <x:c r="F91" s="11" t="str">
        <x:v>million</x:v>
      </x:c>
      <x:c r="G91" s="11" t="str">
        <x:v>2026H1</x:v>
      </x:c>
      <x:c r="H91" s="11" t="str">
        <x:v>精确公开日期待核</x:v>
      </x:c>
      <x:c r="I91" s="11" t="str">
        <x:v>https://ir.netease.com/static-files/6848caa4-627a-474c-9fce-934334ba3976</x:v>
      </x:c>
      <x:c r="J91" s="11" t="str"/>
      <x:c r="K91" s="11" t="str">
        <x:v>待核</x:v>
      </x:c>
      <x:c r="L91" s="11" t="str">
        <x:v>精确发布时间未核验</x:v>
      </x:c>
      <x:c r="M91" s="11" t="str">
        <x:v>公开日期缺失待核</x:v>
      </x:c>
    </x:row>
    <x:row r="92" ht="23" customHeight="1">
      <x:c r="A92" s="11" t="str">
        <x:v>I064</x:v>
      </x:c>
      <x:c r="B92" s="11" t="str">
        <x:v>09999.HK</x:v>
      </x:c>
      <x:c r="C92" s="11" t="str">
        <x:v>profitAttributableRounded</x:v>
      </x:c>
      <x:c r="D92" s="39" t="n">
        <x:v>17700</x:v>
      </x:c>
      <x:c r="E92" s="11" t="str">
        <x:v>CNY</x:v>
      </x:c>
      <x:c r="F92" s="11" t="str">
        <x:v>million</x:v>
      </x:c>
      <x:c r="G92" s="11" t="str">
        <x:v>2026H1</x:v>
      </x:c>
      <x:c r="H92" s="11" t="str">
        <x:v>精确公开日期待核</x:v>
      </x:c>
      <x:c r="I92" s="11" t="str">
        <x:v>https://ir.netease.com/static-files/6848caa4-627a-474c-9fce-934334ba3976</x:v>
      </x:c>
      <x:c r="J92" s="11" t="str"/>
      <x:c r="K92" s="11" t="str">
        <x:v>待核</x:v>
      </x:c>
      <x:c r="L92" s="11" t="str">
        <x:v>精确发布时间未核验</x:v>
      </x:c>
      <x:c r="M92" s="11" t="str">
        <x:v>公开日期缺失待核</x:v>
      </x:c>
    </x:row>
    <x:row r="93" ht="23" customHeight="1">
      <x:c r="A93" s="11" t="str">
        <x:v>I064</x:v>
      </x:c>
      <x:c r="B93" s="11" t="str">
        <x:v>09999.HK</x:v>
      </x:c>
      <x:c r="C93" s="11" t="str">
        <x:v>nonGAAPProfitAttributableRounded</x:v>
      </x:c>
      <x:c r="D93" s="39" t="n">
        <x:v>19000</x:v>
      </x:c>
      <x:c r="E93" s="11" t="str">
        <x:v>CNY</x:v>
      </x:c>
      <x:c r="F93" s="11" t="str">
        <x:v>million</x:v>
      </x:c>
      <x:c r="G93" s="11" t="str">
        <x:v>2026H1</x:v>
      </x:c>
      <x:c r="H93" s="11" t="str">
        <x:v>精确公开日期待核</x:v>
      </x:c>
      <x:c r="I93" s="11" t="str">
        <x:v>https://ir.netease.com/static-files/6848caa4-627a-474c-9fce-934334ba3976</x:v>
      </x:c>
      <x:c r="J93" s="11" t="str"/>
      <x:c r="K93" s="11" t="str">
        <x:v>待核</x:v>
      </x:c>
      <x:c r="L93" s="11" t="str">
        <x:v>精确发布时间未核验</x:v>
      </x:c>
      <x:c r="M93" s="11" t="str">
        <x:v>公开日期缺失待核</x:v>
      </x:c>
    </x:row>
    <x:row r="94" ht="23" customHeight="1">
      <x:c r="A94" s="11" t="str">
        <x:v>I064</x:v>
      </x:c>
      <x:c r="B94" s="11" t="str">
        <x:v>09999.HK</x:v>
      </x:c>
      <x:c r="C94" s="11" t="str">
        <x:v>netCashRounded</x:v>
      </x:c>
      <x:c r="D94" s="39" t="n">
        <x:v>167500</x:v>
      </x:c>
      <x:c r="E94" s="11" t="str">
        <x:v>CNY</x:v>
      </x:c>
      <x:c r="F94" s="11" t="str">
        <x:v>million</x:v>
      </x:c>
      <x:c r="G94" s="11" t="str">
        <x:v>2026H1</x:v>
      </x:c>
      <x:c r="H94" s="11" t="str">
        <x:v>精确公开日期待核</x:v>
      </x:c>
      <x:c r="I94" s="11" t="str">
        <x:v>https://ir.netease.com/static-files/6848caa4-627a-474c-9fce-934334ba3976</x:v>
      </x:c>
      <x:c r="J94" s="11" t="str"/>
      <x:c r="K94" s="11" t="str">
        <x:v>待核</x:v>
      </x:c>
      <x:c r="L94" s="11" t="str">
        <x:v>精确发布时间未核验</x:v>
      </x:c>
      <x:c r="M94" s="11" t="str">
        <x:v>公开日期缺失待核</x:v>
      </x:c>
    </x:row>
    <x:row r="95" ht="23" customHeight="1">
      <x:c r="A95" s="11" t="str">
        <x:v>I075</x:v>
      </x:c>
      <x:c r="B95" s="11" t="str">
        <x:v>09988.HK</x:v>
      </x:c>
      <x:c r="C95" s="11" t="str">
        <x:v>revenue</x:v>
      </x:c>
      <x:c r="D95" s="39" t="n">
        <x:v>268953</x:v>
      </x:c>
      <x:c r="E95" s="11" t="str">
        <x:v>CNY</x:v>
      </x:c>
      <x:c r="F95" s="11" t="str">
        <x:v>million</x:v>
      </x:c>
      <x:c r="G95" s="11" t="str">
        <x:v>2026 June quarter (FY2027 Q1)</x:v>
      </x:c>
      <x:c r="H95" s="11" t="str">
        <x:v>2026-08-20</x:v>
      </x:c>
      <x:c r="I95" s="11" t="str">
        <x:v>https://data.alibabagroup.com/ecms-files/1532295521/fa5d65fc-9b3e-4e82-a8fc-4ce1c3e2c407/Alibaba%20Group%20Announces%20June%20Quarter%202026%20Results.pdf</x:v>
      </x:c>
      <x:c r="J95" s="11" t="str"/>
      <x:c r="K95" s="11" t="str">
        <x:v>待核</x:v>
      </x:c>
      <x:c r="L95" s="11" t="str">
        <x:v>精确发布时间未核验</x:v>
      </x:c>
      <x:c r="M95" s="11" t="str">
        <x:v>截止日前日期，盘中时分未核</x:v>
      </x:c>
    </x:row>
    <x:row r="96" ht="23" customHeight="1">
      <x:c r="A96" s="11" t="str">
        <x:v>I075</x:v>
      </x:c>
      <x:c r="B96" s="11" t="str">
        <x:v>09988.HK</x:v>
      </x:c>
      <x:c r="C96" s="11" t="str">
        <x:v>profitAttributable</x:v>
      </x:c>
      <x:c r="D96" s="39" t="n">
        <x:v>10537</x:v>
      </x:c>
      <x:c r="E96" s="11" t="str">
        <x:v>CNY</x:v>
      </x:c>
      <x:c r="F96" s="11" t="str">
        <x:v>million</x:v>
      </x:c>
      <x:c r="G96" s="11" t="str">
        <x:v>2026 June quarter (FY2027 Q1)</x:v>
      </x:c>
      <x:c r="H96" s="11" t="str">
        <x:v>2026-08-20</x:v>
      </x:c>
      <x:c r="I96" s="11" t="str">
        <x:v>https://data.alibabagroup.com/ecms-files/1532295521/fa5d65fc-9b3e-4e82-a8fc-4ce1c3e2c407/Alibaba%20Group%20Announces%20June%20Quarter%202026%20Results.pdf</x:v>
      </x:c>
      <x:c r="J96" s="11" t="str"/>
      <x:c r="K96" s="11" t="str">
        <x:v>待核</x:v>
      </x:c>
      <x:c r="L96" s="11" t="str">
        <x:v>精确发布时间未核验</x:v>
      </x:c>
      <x:c r="M96" s="11" t="str">
        <x:v>截止日前日期，盘中时分未核</x:v>
      </x:c>
    </x:row>
    <x:row r="97" ht="23" customHeight="1">
      <x:c r="A97" s="11" t="str">
        <x:v>I075</x:v>
      </x:c>
      <x:c r="B97" s="11" t="str">
        <x:v>09988.HK</x:v>
      </x:c>
      <x:c r="C97" s="11" t="str">
        <x:v>nonGAAPNetIncome</x:v>
      </x:c>
      <x:c r="D97" s="39" t="n">
        <x:v>20715</x:v>
      </x:c>
      <x:c r="E97" s="11" t="str">
        <x:v>CNY</x:v>
      </x:c>
      <x:c r="F97" s="11" t="str">
        <x:v>million</x:v>
      </x:c>
      <x:c r="G97" s="11" t="str">
        <x:v>2026 June quarter (FY2027 Q1)</x:v>
      </x:c>
      <x:c r="H97" s="11" t="str">
        <x:v>2026-08-20</x:v>
      </x:c>
      <x:c r="I97" s="11" t="str">
        <x:v>https://data.alibabagroup.com/ecms-files/1532295521/fa5d65fc-9b3e-4e82-a8fc-4ce1c3e2c407/Alibaba%20Group%20Announces%20June%20Quarter%202026%20Results.pdf</x:v>
      </x:c>
      <x:c r="J97" s="11" t="str"/>
      <x:c r="K97" s="11" t="str">
        <x:v>待核</x:v>
      </x:c>
      <x:c r="L97" s="11" t="str">
        <x:v>精确发布时间未核验</x:v>
      </x:c>
      <x:c r="M97" s="11" t="str">
        <x:v>截止日前日期，盘中时分未核</x:v>
      </x:c>
    </x:row>
    <x:row r="98" ht="23" customHeight="1">
      <x:c r="A98" s="11" t="str">
        <x:v>I075</x:v>
      </x:c>
      <x:c r="B98" s="11" t="str">
        <x:v>09988.HK</x:v>
      </x:c>
      <x:c r="C98" s="11" t="str">
        <x:v>nonGAAPDilutedEPS</x:v>
      </x:c>
      <x:c r="D98" s="39" t="n">
        <x:v>1.07</x:v>
      </x:c>
      <x:c r="E98" s="11" t="str">
        <x:v>CNY</x:v>
      </x:c>
      <x:c r="F98" s="11" t="str">
        <x:v>per ordinary share</x:v>
      </x:c>
      <x:c r="G98" s="11" t="str">
        <x:v>2026 June quarter (FY2027 Q1)</x:v>
      </x:c>
      <x:c r="H98" s="11" t="str">
        <x:v>2026-08-20</x:v>
      </x:c>
      <x:c r="I98" s="11" t="str">
        <x:v>https://data.alibabagroup.com/ecms-files/1532295521/fa5d65fc-9b3e-4e82-a8fc-4ce1c3e2c407/Alibaba%20Group%20Announces%20June%20Quarter%202026%20Results.pdf</x:v>
      </x:c>
      <x:c r="J98" s="11" t="str"/>
      <x:c r="K98" s="11" t="str">
        <x:v>待核</x:v>
      </x:c>
      <x:c r="L98" s="11" t="str">
        <x:v>精确发布时间未核验</x:v>
      </x:c>
      <x:c r="M98" s="11" t="str">
        <x:v>截止日前日期，盘中时分未核</x:v>
      </x:c>
    </x:row>
    <x:row r="99" ht="23" customHeight="1">
      <x:c r="A99" s="11" t="str">
        <x:v>I075</x:v>
      </x:c>
      <x:c r="B99" s="11" t="str">
        <x:v>09988.HK</x:v>
      </x:c>
      <x:c r="C99" s="11" t="str">
        <x:v>freeCashFlow</x:v>
      </x:c>
      <x:c r="D99" s="39" t="n">
        <x:v>-44670</x:v>
      </x:c>
      <x:c r="E99" s="11" t="str">
        <x:v>CNY</x:v>
      </x:c>
      <x:c r="F99" s="11" t="str">
        <x:v>million</x:v>
      </x:c>
      <x:c r="G99" s="11" t="str">
        <x:v>2026 June quarter (FY2027 Q1)</x:v>
      </x:c>
      <x:c r="H99" s="11" t="str">
        <x:v>2026-08-20</x:v>
      </x:c>
      <x:c r="I99" s="11" t="str">
        <x:v>https://data.alibabagroup.com/ecms-files/1532295521/fa5d65fc-9b3e-4e82-a8fc-4ce1c3e2c407/Alibaba%20Group%20Announces%20June%20Quarter%202026%20Results.pdf</x:v>
      </x:c>
      <x:c r="J99" s="11" t="str"/>
      <x:c r="K99" s="11" t="str">
        <x:v>待核</x:v>
      </x:c>
      <x:c r="L99" s="11" t="str">
        <x:v>精确发布时间未核验</x:v>
      </x:c>
      <x:c r="M99" s="11" t="str">
        <x:v>截止日前日期，盘中时分未核</x:v>
      </x:c>
    </x:row>
    <x:row r="100" ht="23" customHeight="1">
      <x:c r="A100" s="11" t="str">
        <x:v>I075</x:v>
      </x:c>
      <x:c r="B100" s="11" t="str">
        <x:v>09988.HK</x:v>
      </x:c>
      <x:c r="C100" s="11" t="str">
        <x:v>cashAndOtherLiquidInvestments</x:v>
      </x:c>
      <x:c r="D100" s="39" t="n">
        <x:v>474505</x:v>
      </x:c>
      <x:c r="E100" s="11" t="str">
        <x:v>CNY</x:v>
      </x:c>
      <x:c r="F100" s="11" t="str">
        <x:v>million</x:v>
      </x:c>
      <x:c r="G100" s="11" t="str">
        <x:v>2026 June quarter (FY2027 Q1)</x:v>
      </x:c>
      <x:c r="H100" s="11" t="str">
        <x:v>2026-08-20</x:v>
      </x:c>
      <x:c r="I100" s="11" t="str">
        <x:v>https://data.alibabagroup.com/ecms-files/1532295521/fa5d65fc-9b3e-4e82-a8fc-4ce1c3e2c407/Alibaba%20Group%20Announces%20June%20Quarter%202026%20Results.pdf</x:v>
      </x:c>
      <x:c r="J100" s="11" t="str"/>
      <x:c r="K100" s="11" t="str">
        <x:v>待核</x:v>
      </x:c>
      <x:c r="L100" s="11" t="str">
        <x:v>精确发布时间未核验</x:v>
      </x:c>
      <x:c r="M100" s="11" t="str">
        <x:v>截止日前日期，盘中时分未核</x:v>
      </x:c>
    </x:row>
    <x:row r="101" ht="23" customHeight="1">
      <x:c r="A101" s="11" t="str">
        <x:v>I087</x:v>
      </x:c>
      <x:c r="B101" s="11" t="str">
        <x:v>01810.HK</x:v>
      </x:c>
      <x:c r="C101" s="11" t="str">
        <x:v>revenue</x:v>
      </x:c>
      <x:c r="D101" s="39" t="n">
        <x:v>208063.2</x:v>
      </x:c>
      <x:c r="E101" s="11" t="str">
        <x:v>CNY</x:v>
      </x:c>
      <x:c r="F101" s="11" t="str">
        <x:v>million</x:v>
      </x:c>
      <x:c r="G101" s="11" t="str">
        <x:v>2026H1</x:v>
      </x:c>
      <x:c r="H101" s="11" t="str">
        <x:v>精确公开日期待核</x:v>
      </x:c>
      <x:c r="I101" s="11" t="str">
        <x:v>https://ir.mi.com/static-files/4a85fc36-8a6d-4c24-b45b-b18d5d162e6c</x:v>
      </x:c>
      <x:c r="J101" s="11" t="str"/>
      <x:c r="K101" s="11" t="str">
        <x:v>待核</x:v>
      </x:c>
      <x:c r="L101" s="11" t="str">
        <x:v>精确发布时间未核验</x:v>
      </x:c>
      <x:c r="M101" s="11" t="str">
        <x:v>公开日期缺失待核</x:v>
      </x:c>
    </x:row>
    <x:row r="102" ht="23" customHeight="1">
      <x:c r="A102" s="11" t="str">
        <x:v>I087</x:v>
      </x:c>
      <x:c r="B102" s="11" t="str">
        <x:v>01810.HK</x:v>
      </x:c>
      <x:c r="C102" s="11" t="str">
        <x:v>profitForPeriod</x:v>
      </x:c>
      <x:c r="D102" s="39" t="n">
        <x:v>14198</x:v>
      </x:c>
      <x:c r="E102" s="11" t="str">
        <x:v>CNY</x:v>
      </x:c>
      <x:c r="F102" s="11" t="str">
        <x:v>million</x:v>
      </x:c>
      <x:c r="G102" s="11" t="str">
        <x:v>2026H1</x:v>
      </x:c>
      <x:c r="H102" s="11" t="str">
        <x:v>精确公开日期待核</x:v>
      </x:c>
      <x:c r="I102" s="11" t="str">
        <x:v>https://ir.mi.com/static-files/4a85fc36-8a6d-4c24-b45b-b18d5d162e6c</x:v>
      </x:c>
      <x:c r="J102" s="11" t="str"/>
      <x:c r="K102" s="11" t="str">
        <x:v>待核</x:v>
      </x:c>
      <x:c r="L102" s="11" t="str">
        <x:v>精确发布时间未核验</x:v>
      </x:c>
      <x:c r="M102" s="11" t="str">
        <x:v>公开日期缺失待核</x:v>
      </x:c>
    </x:row>
    <x:row r="103" ht="23" customHeight="1">
      <x:c r="A103" s="11" t="str">
        <x:v>I087</x:v>
      </x:c>
      <x:c r="B103" s="11" t="str">
        <x:v>01810.HK</x:v>
      </x:c>
      <x:c r="C103" s="11" t="str">
        <x:v>adjustedNetProfit</x:v>
      </x:c>
      <x:c r="D103" s="39" t="n">
        <x:v>12291.2</x:v>
      </x:c>
      <x:c r="E103" s="11" t="str">
        <x:v>CNY</x:v>
      </x:c>
      <x:c r="F103" s="11" t="str">
        <x:v>million</x:v>
      </x:c>
      <x:c r="G103" s="11" t="str">
        <x:v>2026H1</x:v>
      </x:c>
      <x:c r="H103" s="11" t="str">
        <x:v>精确公开日期待核</x:v>
      </x:c>
      <x:c r="I103" s="11" t="str">
        <x:v>https://ir.mi.com/static-files/4a85fc36-8a6d-4c24-b45b-b18d5d162e6c</x:v>
      </x:c>
      <x:c r="J103" s="11" t="str"/>
      <x:c r="K103" s="11" t="str">
        <x:v>待核</x:v>
      </x:c>
      <x:c r="L103" s="11" t="str">
        <x:v>精确发布时间未核验</x:v>
      </x:c>
      <x:c r="M103" s="11" t="str">
        <x:v>公开日期缺失待核</x:v>
      </x:c>
    </x:row>
    <x:row r="104" ht="23" customHeight="1">
      <x:c r="A104" s="11" t="str">
        <x:v>I087</x:v>
      </x:c>
      <x:c r="B104" s="11" t="str">
        <x:v>01810.HK</x:v>
      </x:c>
      <x:c r="C104" s="11" t="str">
        <x:v>cashAndEquivalentsRounded</x:v>
      </x:c>
      <x:c r="D104" s="39" t="n">
        <x:v>37300</x:v>
      </x:c>
      <x:c r="E104" s="11" t="str">
        <x:v>CNY</x:v>
      </x:c>
      <x:c r="F104" s="11" t="str">
        <x:v>million</x:v>
      </x:c>
      <x:c r="G104" s="11" t="str">
        <x:v>2026H1</x:v>
      </x:c>
      <x:c r="H104" s="11" t="str">
        <x:v>精确公开日期待核</x:v>
      </x:c>
      <x:c r="I104" s="11" t="str">
        <x:v>https://ir.mi.com/static-files/4a85fc36-8a6d-4c24-b45b-b18d5d162e6c</x:v>
      </x:c>
      <x:c r="J104" s="11" t="str"/>
      <x:c r="K104" s="11" t="str">
        <x:v>待核</x:v>
      </x:c>
      <x:c r="L104" s="11" t="str">
        <x:v>精确发布时间未核验</x:v>
      </x:c>
      <x:c r="M104" s="11" t="str">
        <x:v>公开日期缺失待核</x:v>
      </x:c>
    </x:row>
    <x:row r="105" ht="23" customHeight="1">
      <x:c r="A105" s="11" t="str">
        <x:v>I087</x:v>
      </x:c>
      <x:c r="B105" s="11" t="str">
        <x:v>01810.HK</x:v>
      </x:c>
      <x:c r="C105" s="11" t="str">
        <x:v>cashResourcesRounded</x:v>
      </x:c>
      <x:c r="D105" s="39" t="n">
        <x:v>219300</x:v>
      </x:c>
      <x:c r="E105" s="11" t="str">
        <x:v>CNY</x:v>
      </x:c>
      <x:c r="F105" s="11" t="str">
        <x:v>million</x:v>
      </x:c>
      <x:c r="G105" s="11" t="str">
        <x:v>2026H1</x:v>
      </x:c>
      <x:c r="H105" s="11" t="str">
        <x:v>精确公开日期待核</x:v>
      </x:c>
      <x:c r="I105" s="11" t="str">
        <x:v>https://ir.mi.com/static-files/4a85fc36-8a6d-4c24-b45b-b18d5d162e6c</x:v>
      </x:c>
      <x:c r="J105" s="11" t="str"/>
      <x:c r="K105" s="11" t="str">
        <x:v>待核</x:v>
      </x:c>
      <x:c r="L105" s="11" t="str">
        <x:v>精确发布时间未核验</x:v>
      </x:c>
      <x:c r="M105" s="11" t="str">
        <x:v>公开日期缺失待核</x:v>
      </x:c>
    </x:row>
    <x:row r="106" ht="23" customHeight="1">
      <x:c r="A106" s="11" t="str">
        <x:v>I077</x:v>
      </x:c>
      <x:c r="B106" s="11" t="str">
        <x:v>09961.HK</x:v>
      </x:c>
      <x:c r="C106" s="11" t="str">
        <x:v>revenueRounded</x:v>
      </x:c>
      <x:c r="D106" s="39" t="n">
        <x:v>15700</x:v>
      </x:c>
      <x:c r="E106" s="11" t="str">
        <x:v>CNY</x:v>
      </x:c>
      <x:c r="F106" s="11" t="str">
        <x:v>million</x:v>
      </x:c>
      <x:c r="G106" s="11" t="str">
        <x:v>2026Q2</x:v>
      </x:c>
      <x:c r="H106" s="11" t="str">
        <x:v>2026-09-15 U.S.</x:v>
      </x:c>
      <x:c r="I106" s="11" t="str">
        <x:v>https://investors.trip.com/static-files/2f337a9d-0a49-4c46-8764-bce15cc9e3f0</x:v>
      </x:c>
      <x:c r="J106" s="11" t="str"/>
      <x:c r="K106" s="11" t="str">
        <x:v>待核</x:v>
      </x:c>
      <x:c r="L106" s="11" t="str">
        <x:v>精确发布时间未核验</x:v>
      </x:c>
      <x:c r="M106" s="11" t="str">
        <x:v>截止日前日期，盘中时分未核</x:v>
      </x:c>
    </x:row>
    <x:row r="107" ht="23" customHeight="1">
      <x:c r="A107" s="11" t="str">
        <x:v>I077</x:v>
      </x:c>
      <x:c r="B107" s="11" t="str">
        <x:v>09961.HK</x:v>
      </x:c>
      <x:c r="C107" s="11" t="str">
        <x:v>profitAttributableRounded</x:v>
      </x:c>
      <x:c r="D107" s="39" t="n">
        <x:v>-2500</x:v>
      </x:c>
      <x:c r="E107" s="11" t="str">
        <x:v>CNY</x:v>
      </x:c>
      <x:c r="F107" s="11" t="str">
        <x:v>million</x:v>
      </x:c>
      <x:c r="G107" s="11" t="str">
        <x:v>2026Q2</x:v>
      </x:c>
      <x:c r="H107" s="11" t="str">
        <x:v>2026-09-15 U.S.</x:v>
      </x:c>
      <x:c r="I107" s="11" t="str">
        <x:v>https://investors.trip.com/static-files/2f337a9d-0a49-4c46-8764-bce15cc9e3f0</x:v>
      </x:c>
      <x:c r="J107" s="11" t="str"/>
      <x:c r="K107" s="11" t="str">
        <x:v>待核</x:v>
      </x:c>
      <x:c r="L107" s="11" t="str">
        <x:v>精确发布时间未核验</x:v>
      </x:c>
      <x:c r="M107" s="11" t="str">
        <x:v>截止日前日期，盘中时分未核</x:v>
      </x:c>
    </x:row>
    <x:row r="108" ht="23" customHeight="1">
      <x:c r="A108" s="11" t="str">
        <x:v>I077</x:v>
      </x:c>
      <x:c r="B108" s="11" t="str">
        <x:v>09961.HK</x:v>
      </x:c>
      <x:c r="C108" s="11" t="str">
        <x:v>nonGAAPProfitAttributableRounded</x:v>
      </x:c>
      <x:c r="D108" s="39" t="n">
        <x:v>4800</x:v>
      </x:c>
      <x:c r="E108" s="11" t="str">
        <x:v>CNY</x:v>
      </x:c>
      <x:c r="F108" s="11" t="str">
        <x:v>million</x:v>
      </x:c>
      <x:c r="G108" s="11" t="str">
        <x:v>2026Q2</x:v>
      </x:c>
      <x:c r="H108" s="11" t="str">
        <x:v>2026-09-15 U.S.</x:v>
      </x:c>
      <x:c r="I108" s="11" t="str">
        <x:v>https://investors.trip.com/static-files/2f337a9d-0a49-4c46-8764-bce15cc9e3f0</x:v>
      </x:c>
      <x:c r="J108" s="11" t="str"/>
      <x:c r="K108" s="11" t="str">
        <x:v>待核</x:v>
      </x:c>
      <x:c r="L108" s="11" t="str">
        <x:v>精确发布时间未核验</x:v>
      </x:c>
      <x:c r="M108" s="11" t="str">
        <x:v>截止日前日期，盘中时分未核</x:v>
      </x:c>
    </x:row>
    <x:row r="109" ht="23" customHeight="1">
      <x:c r="A109" s="11" t="str">
        <x:v>I077</x:v>
      </x:c>
      <x:c r="B109" s="11" t="str">
        <x:v>09961.HK</x:v>
      </x:c>
      <x:c r="C109" s="11" t="str">
        <x:v>antitrustPenaltyRounded</x:v>
      </x:c>
      <x:c r="D109" s="39" t="n">
        <x:v>5200</x:v>
      </x:c>
      <x:c r="E109" s="11" t="str">
        <x:v>CNY</x:v>
      </x:c>
      <x:c r="F109" s="11" t="str">
        <x:v>million</x:v>
      </x:c>
      <x:c r="G109" s="11" t="str">
        <x:v>2026Q2</x:v>
      </x:c>
      <x:c r="H109" s="11" t="str">
        <x:v>2026-09-15 U.S.</x:v>
      </x:c>
      <x:c r="I109" s="11" t="str">
        <x:v>https://investors.trip.com/static-files/2f337a9d-0a49-4c46-8764-bce15cc9e3f0</x:v>
      </x:c>
      <x:c r="J109" s="11" t="str"/>
      <x:c r="K109" s="11" t="str">
        <x:v>待核</x:v>
      </x:c>
      <x:c r="L109" s="11" t="str">
        <x:v>精确发布时间未核验</x:v>
      </x:c>
      <x:c r="M109" s="11" t="str">
        <x:v>截止日前日期，盘中时分未核</x:v>
      </x:c>
    </x:row>
    <x:row r="110" ht="23" customHeight="1">
      <x:c r="A110" s="11" t="str">
        <x:v>I077</x:v>
      </x:c>
      <x:c r="B110" s="11" t="str">
        <x:v>09961.HK</x:v>
      </x:c>
      <x:c r="C110" s="11" t="str">
        <x:v>nonGAAPDilutedEPS</x:v>
      </x:c>
      <x:c r="D110" s="39" t="n">
        <x:v>7.27</x:v>
      </x:c>
      <x:c r="E110" s="11" t="str">
        <x:v>CNY</x:v>
      </x:c>
      <x:c r="F110" s="11" t="str">
        <x:v>per ordinary share</x:v>
      </x:c>
      <x:c r="G110" s="11" t="str">
        <x:v>2026Q2</x:v>
      </x:c>
      <x:c r="H110" s="11" t="str">
        <x:v>2026-09-15 U.S.</x:v>
      </x:c>
      <x:c r="I110" s="11" t="str">
        <x:v>https://investors.trip.com/static-files/2f337a9d-0a49-4c46-8764-bce15cc9e3f0</x:v>
      </x:c>
      <x:c r="J110" s="11" t="str"/>
      <x:c r="K110" s="11" t="str">
        <x:v>待核</x:v>
      </x:c>
      <x:c r="L110" s="11" t="str">
        <x:v>精确发布时间未核验</x:v>
      </x:c>
      <x:c r="M110" s="11" t="str">
        <x:v>截止日前日期，盘中时分未核</x:v>
      </x:c>
    </x:row>
    <x:row r="111" ht="23" customHeight="1">
      <x:c r="A111" s="11" t="str">
        <x:v>I077</x:v>
      </x:c>
      <x:c r="B111" s="11" t="str">
        <x:v>09961.HK</x:v>
      </x:c>
      <x:c r="C111" s="11" t="str">
        <x:v>cashRestrictedCashDepositsAndProductsRounded</x:v>
      </x:c>
      <x:c r="D111" s="39" t="n">
        <x:v>100500</x:v>
      </x:c>
      <x:c r="E111" s="11" t="str">
        <x:v>CNY</x:v>
      </x:c>
      <x:c r="F111" s="11" t="str">
        <x:v>million</x:v>
      </x:c>
      <x:c r="G111" s="11" t="str">
        <x:v>2026Q2</x:v>
      </x:c>
      <x:c r="H111" s="11" t="str">
        <x:v>2026-09-15 U.S.</x:v>
      </x:c>
      <x:c r="I111" s="11" t="str">
        <x:v>https://investors.trip.com/static-files/2f337a9d-0a49-4c46-8764-bce15cc9e3f0</x:v>
      </x:c>
      <x:c r="J111" s="11" t="str"/>
      <x:c r="K111" s="11" t="str">
        <x:v>待核</x:v>
      </x:c>
      <x:c r="L111" s="11" t="str">
        <x:v>精确发布时间未核验</x:v>
      </x:c>
      <x:c r="M111" s="11" t="str">
        <x:v>截止日前日期，盘中时分未核</x:v>
      </x:c>
    </x:row>
    <x:row r="112" ht="23" customHeight="1">
      <x:c r="A112" s="11" t="str">
        <x:v>I092</x:v>
      </x:c>
      <x:c r="B112" s="11" t="str">
        <x:v>00981.HK</x:v>
      </x:c>
      <x:c r="C112" s="11" t="str">
        <x:v>revenue</x:v>
      </x:c>
      <x:c r="D112" s="39" t="n">
        <x:v>3005.6</x:v>
      </x:c>
      <x:c r="E112" s="11" t="str">
        <x:v>USD</x:v>
      </x:c>
      <x:c r="F112" s="11" t="str">
        <x:v>USD million</x:v>
      </x:c>
      <x:c r="G112" s="11" t="str">
        <x:v>2026Q2</x:v>
      </x:c>
      <x:c r="H112" s="11" t="str">
        <x:v>2026-08-13</x:v>
      </x:c>
      <x:c r="I112" s="11" t="str">
        <x:v>https://smic.cdn.shwebspace.com/uploads/6a7d7c4f/ER_EN.pdf</x:v>
      </x:c>
      <x:c r="J112" s="11" t="str">
        <x:v>Daiwa media article states 512mn profit and 22%-24% Q3 gross margin; issuer source used instead</x:v>
      </x:c>
      <x:c r="K112" s="11" t="str">
        <x:v>待核</x:v>
      </x:c>
      <x:c r="L112" s="11" t="str">
        <x:v>精确发布时间未核验</x:v>
      </x:c>
      <x:c r="M112" s="11" t="str">
        <x:v>截止日前日期，盘中时分未核</x:v>
      </x:c>
    </x:row>
    <x:row r="113" ht="23" customHeight="1">
      <x:c r="A113" s="11" t="str">
        <x:v>I092</x:v>
      </x:c>
      <x:c r="B113" s="11" t="str">
        <x:v>00981.HK</x:v>
      </x:c>
      <x:c r="C113" s="11" t="str">
        <x:v>profitAttributable</x:v>
      </x:c>
      <x:c r="D113" s="39" t="n">
        <x:v>479.197</x:v>
      </x:c>
      <x:c r="E113" s="11" t="str">
        <x:v>USD</x:v>
      </x:c>
      <x:c r="F113" s="11" t="str">
        <x:v>USD million</x:v>
      </x:c>
      <x:c r="G113" s="11" t="str">
        <x:v>2026Q2</x:v>
      </x:c>
      <x:c r="H113" s="11" t="str">
        <x:v>2026-08-13</x:v>
      </x:c>
      <x:c r="I113" s="11" t="str">
        <x:v>https://smic.cdn.shwebspace.com/uploads/6a7d7c4f/ER_EN.pdf</x:v>
      </x:c>
      <x:c r="J113" s="11" t="str">
        <x:v>Daiwa media article states 512mn profit and 22%-24% Q3 gross margin; issuer source used instead</x:v>
      </x:c>
      <x:c r="K113" s="11" t="str">
        <x:v>待核</x:v>
      </x:c>
      <x:c r="L113" s="11" t="str">
        <x:v>精确发布时间未核验</x:v>
      </x:c>
      <x:c r="M113" s="11" t="str">
        <x:v>截止日前日期，盘中时分未核</x:v>
      </x:c>
    </x:row>
    <x:row r="114" ht="23" customHeight="1">
      <x:c r="A114" s="11" t="str">
        <x:v>I092</x:v>
      </x:c>
      <x:c r="B114" s="11" t="str">
        <x:v>00981.HK</x:v>
      </x:c>
      <x:c r="C114" s="11" t="str">
        <x:v>grossMarginPct</x:v>
      </x:c>
      <x:c r="D114" s="39" t="n">
        <x:v>25.3</x:v>
      </x:c>
      <x:c r="E114" s="11" t="str">
        <x:v>not monetary</x:v>
      </x:c>
      <x:c r="F114" s="11" t="str">
        <x:v>percent</x:v>
      </x:c>
      <x:c r="G114" s="11" t="str">
        <x:v>2026Q2</x:v>
      </x:c>
      <x:c r="H114" s="11" t="str">
        <x:v>2026-08-13</x:v>
      </x:c>
      <x:c r="I114" s="11" t="str">
        <x:v>https://smic.cdn.shwebspace.com/uploads/6a7d7c4f/ER_EN.pdf</x:v>
      </x:c>
      <x:c r="J114" s="11" t="str">
        <x:v>Daiwa media article states 512mn profit and 22%-24% Q3 gross margin; issuer source used instead</x:v>
      </x:c>
      <x:c r="K114" s="11" t="str">
        <x:v>待核</x:v>
      </x:c>
      <x:c r="L114" s="11" t="str">
        <x:v>精确发布时间未核验</x:v>
      </x:c>
      <x:c r="M114" s="11" t="str">
        <x:v>截止日前日期，盘中时分未核</x:v>
      </x:c>
    </x:row>
    <x:row r="115" ht="23" customHeight="1">
      <x:c r="A115" s="11" t="str">
        <x:v>I092</x:v>
      </x:c>
      <x:c r="B115" s="11" t="str">
        <x:v>00981.HK</x:v>
      </x:c>
      <x:c r="C115" s="11" t="str">
        <x:v>cashOnHand</x:v>
      </x:c>
      <x:c r="D115" s="39" t="n">
        <x:v>13856.615</x:v>
      </x:c>
      <x:c r="E115" s="11" t="str">
        <x:v>USD</x:v>
      </x:c>
      <x:c r="F115" s="11" t="str">
        <x:v>USD million</x:v>
      </x:c>
      <x:c r="G115" s="11" t="str">
        <x:v>2026Q2</x:v>
      </x:c>
      <x:c r="H115" s="11" t="str">
        <x:v>2026-08-13</x:v>
      </x:c>
      <x:c r="I115" s="11" t="str">
        <x:v>https://smic.cdn.shwebspace.com/uploads/6a7d7c4f/ER_EN.pdf</x:v>
      </x:c>
      <x:c r="J115" s="11" t="str">
        <x:v>Daiwa media article states 512mn profit and 22%-24% Q3 gross margin; issuer source used instead</x:v>
      </x:c>
      <x:c r="K115" s="11" t="str">
        <x:v>待核</x:v>
      </x:c>
      <x:c r="L115" s="11" t="str">
        <x:v>精确发布时间未核验</x:v>
      </x:c>
      <x:c r="M115" s="11" t="str">
        <x:v>截止日前日期，盘中时分未核</x:v>
      </x:c>
    </x:row>
    <x:row r="116" ht="23" customHeight="1">
      <x:c r="A116" s="11" t="str">
        <x:v>I061</x:v>
      </x:c>
      <x:c r="B116" s="11" t="str">
        <x:v>01211.HK</x:v>
      </x:c>
      <x:c r="C116" s="11" t="str">
        <x:v>revenue</x:v>
      </x:c>
      <x:c r="D116" s="39" t="n">
        <x:v>803964.958</x:v>
      </x:c>
      <x:c r="E116" s="11" t="str">
        <x:v>CNY</x:v>
      </x:c>
      <x:c r="F116" s="11" t="str">
        <x:v>million</x:v>
      </x:c>
      <x:c r="G116" s="11" t="str">
        <x:v>FY2025</x:v>
      </x:c>
      <x:c r="H116" s="11" t="str">
        <x:v>精确公开日期待核</x:v>
      </x:c>
      <x:c r="I116" s="11" t="str">
        <x:v>https://www.bydglobal.com/cn/investor-relations</x:v>
      </x:c>
      <x:c r="J116" s="11" t="str">
        <x:v>IR summary accessible and downloaded; full annual report publication timestamp not yet verified</x:v>
      </x:c>
      <x:c r="K116" s="11" t="str">
        <x:v>待核</x:v>
      </x:c>
      <x:c r="L116" s="11" t="str">
        <x:v>精确发布时间未核验</x:v>
      </x:c>
      <x:c r="M116" s="11" t="str">
        <x:v>公开日期缺失待核</x:v>
      </x:c>
    </x:row>
    <x:row r="117" ht="23" customHeight="1">
      <x:c r="A117" s="11" t="str">
        <x:v>I061</x:v>
      </x:c>
      <x:c r="B117" s="11" t="str">
        <x:v>01211.HK</x:v>
      </x:c>
      <x:c r="C117" s="11" t="str">
        <x:v>profitAttributable</x:v>
      </x:c>
      <x:c r="D117" s="39" t="n">
        <x:v>32619.022</x:v>
      </x:c>
      <x:c r="E117" s="11" t="str">
        <x:v>CNY</x:v>
      </x:c>
      <x:c r="F117" s="11" t="str">
        <x:v>million</x:v>
      </x:c>
      <x:c r="G117" s="11" t="str">
        <x:v>FY2025</x:v>
      </x:c>
      <x:c r="H117" s="11" t="str">
        <x:v>精确公开日期待核</x:v>
      </x:c>
      <x:c r="I117" s="11" t="str">
        <x:v>https://www.bydglobal.com/cn/investor-relations</x:v>
      </x:c>
      <x:c r="J117" s="11" t="str">
        <x:v>IR summary accessible and downloaded; full annual report publication timestamp not yet verified</x:v>
      </x:c>
      <x:c r="K117" s="11" t="str">
        <x:v>待核</x:v>
      </x:c>
      <x:c r="L117" s="11" t="str">
        <x:v>精确发布时间未核验</x:v>
      </x:c>
      <x:c r="M117" s="11" t="str">
        <x:v>公开日期缺失待核</x:v>
      </x:c>
    </x:row>
    <x:row r="118" ht="23" customHeight="1">
      <x:c r="A118" s="11" t="str">
        <x:v>I061</x:v>
      </x:c>
      <x:c r="B118" s="11" t="str">
        <x:v>01211.HK</x:v>
      </x:c>
      <x:c r="C118" s="11" t="str">
        <x:v>basicEPS</x:v>
      </x:c>
      <x:c r="D118" s="39" t="n">
        <x:v>3.58</x:v>
      </x:c>
      <x:c r="E118" s="11" t="str">
        <x:v>CNY</x:v>
      </x:c>
      <x:c r="F118" s="11" t="str">
        <x:v>per ordinary share</x:v>
      </x:c>
      <x:c r="G118" s="11" t="str">
        <x:v>FY2025</x:v>
      </x:c>
      <x:c r="H118" s="11" t="str">
        <x:v>精确公开日期待核</x:v>
      </x:c>
      <x:c r="I118" s="11" t="str">
        <x:v>https://www.bydglobal.com/cn/investor-relations</x:v>
      </x:c>
      <x:c r="J118" s="11" t="str">
        <x:v>IR summary accessible and downloaded; full annual report publication timestamp not yet verified</x:v>
      </x:c>
      <x:c r="K118" s="11" t="str">
        <x:v>待核</x:v>
      </x:c>
      <x:c r="L118" s="11" t="str">
        <x:v>精确发布时间未核验</x:v>
      </x:c>
      <x:c r="M118" s="11" t="str">
        <x:v>公开日期缺失待核</x:v>
      </x:c>
    </x:row>
    <x:row r="119" ht="23" customHeight="1">
      <x:c r="A119" s="11" t="str">
        <x:v>I061</x:v>
      </x:c>
      <x:c r="B119" s="11" t="str">
        <x:v>01211.HK</x:v>
      </x:c>
      <x:c r="C119" s="11" t="str">
        <x:v>yearEndShares</x:v>
      </x:c>
      <x:c r="D119" s="39" t="n">
        <x:v>9117197565</x:v>
      </x:c>
      <x:c r="E119" s="11" t="str">
        <x:v>not monetary</x:v>
      </x:c>
      <x:c r="F119" s="11" t="str">
        <x:v>shares</x:v>
      </x:c>
      <x:c r="G119" s="11" t="str">
        <x:v>FY2025</x:v>
      </x:c>
      <x:c r="H119" s="11" t="str">
        <x:v>精确公开日期待核</x:v>
      </x:c>
      <x:c r="I119" s="11" t="str">
        <x:v>https://www.bydglobal.com/cn/investor-relations</x:v>
      </x:c>
      <x:c r="J119" s="11" t="str">
        <x:v>IR summary accessible and downloaded; full annual report publication timestamp not yet verified</x:v>
      </x:c>
      <x:c r="K119" s="11" t="str">
        <x:v>待核</x:v>
      </x:c>
      <x:c r="L119" s="11" t="str">
        <x:v>精确发布时间未核验</x:v>
      </x:c>
      <x:c r="M119" s="11" t="str">
        <x:v>公开日期缺失待核</x:v>
      </x:c>
    </x:row>
    <x:row r="120" ht="23" customHeight="1">
      <x:c r="A120" s="11" t="str">
        <x:v>I023</x:v>
      </x:c>
      <x:c r="B120" s="11" t="str">
        <x:v>01530.HK</x:v>
      </x:c>
      <x:c r="C120" s="11" t="str">
        <x:v>productSales</x:v>
      </x:c>
      <x:c r="D120" s="39" t="n">
        <x:v>3443.021</x:v>
      </x:c>
      <x:c r="E120" s="11" t="str">
        <x:v>CNY</x:v>
      </x:c>
      <x:c r="F120" s="11" t="str">
        <x:v>million</x:v>
      </x:c>
      <x:c r="G120" s="11" t="str">
        <x:v>2026H1</x:v>
      </x:c>
      <x:c r="H120" s="11" t="str">
        <x:v>2026-09-30</x:v>
      </x:c>
      <x:c r="I120" s="11" t="str">
        <x:v>https://iis.aastocks.com/20260930/12352467-0.PDF</x:v>
      </x:c>
      <x:c r="J120" s="11" t="str"/>
      <x:c r="K120" s="11" t="str">
        <x:v>待核</x:v>
      </x:c>
      <x:c r="L120" s="11" t="str">
        <x:v>精确发布时间未核验</x:v>
      </x:c>
      <x:c r="M120" s="11" t="str">
        <x:v>截止日前日期，盘中时分未核</x:v>
      </x:c>
    </x:row>
    <x:row r="121" ht="23" customHeight="1">
      <x:c r="A121" s="11" t="str">
        <x:v>I023</x:v>
      </x:c>
      <x:c r="B121" s="11" t="str">
        <x:v>01530.HK</x:v>
      </x:c>
      <x:c r="C121" s="11" t="str">
        <x:v>licenseMilestones</x:v>
      </x:c>
      <x:c r="D121" s="39" t="n">
        <x:v>851.584</x:v>
      </x:c>
      <x:c r="E121" s="11" t="str">
        <x:v>CNY</x:v>
      </x:c>
      <x:c r="F121" s="11" t="str">
        <x:v>million</x:v>
      </x:c>
      <x:c r="G121" s="11" t="str">
        <x:v>2026H1</x:v>
      </x:c>
      <x:c r="H121" s="11" t="str">
        <x:v>2026-09-30</x:v>
      </x:c>
      <x:c r="I121" s="11" t="str">
        <x:v>https://iis.aastocks.com/20260930/12352467-0.PDF</x:v>
      </x:c>
      <x:c r="J121" s="11" t="str"/>
      <x:c r="K121" s="11" t="str">
        <x:v>待核</x:v>
      </x:c>
      <x:c r="L121" s="11" t="str">
        <x:v>精确发布时间未核验</x:v>
      </x:c>
      <x:c r="M121" s="11" t="str">
        <x:v>截止日前日期，盘中时分未核</x:v>
      </x:c>
    </x:row>
    <x:row r="122" ht="23" customHeight="1">
      <x:c r="A122" s="11" t="str">
        <x:v>I023</x:v>
      </x:c>
      <x:c r="B122" s="11" t="str">
        <x:v>01530.HK</x:v>
      </x:c>
      <x:c r="C122" s="11" t="str">
        <x:v>CDMO</x:v>
      </x:c>
      <x:c r="D122" s="39" t="n">
        <x:v>231.38</x:v>
      </x:c>
      <x:c r="E122" s="11" t="str">
        <x:v>CNY</x:v>
      </x:c>
      <x:c r="F122" s="11" t="str">
        <x:v>million</x:v>
      </x:c>
      <x:c r="G122" s="11" t="str">
        <x:v>2026H1</x:v>
      </x:c>
      <x:c r="H122" s="11" t="str">
        <x:v>2026-09-30</x:v>
      </x:c>
      <x:c r="I122" s="11" t="str">
        <x:v>https://iis.aastocks.com/20260930/12352467-0.PDF</x:v>
      </x:c>
      <x:c r="J122" s="11" t="str"/>
      <x:c r="K122" s="11" t="str">
        <x:v>待核</x:v>
      </x:c>
      <x:c r="L122" s="11" t="str">
        <x:v>精确发布时间未核验</x:v>
      </x:c>
      <x:c r="M122" s="11" t="str">
        <x:v>截止日前日期，盘中时分未核</x:v>
      </x:c>
    </x:row>
    <x:row r="123" ht="23" customHeight="1">
      <x:c r="A123" s="11" t="str">
        <x:v>I023</x:v>
      </x:c>
      <x:c r="B123" s="11" t="str">
        <x:v>01530.HK</x:v>
      </x:c>
      <x:c r="C123" s="11" t="str">
        <x:v>groupProfit</x:v>
      </x:c>
      <x:c r="D123" s="39" t="n">
        <x:v>1210.066</x:v>
      </x:c>
      <x:c r="E123" s="11" t="str">
        <x:v>CNY</x:v>
      </x:c>
      <x:c r="F123" s="11" t="str">
        <x:v>million</x:v>
      </x:c>
      <x:c r="G123" s="11" t="str">
        <x:v>2026H1</x:v>
      </x:c>
      <x:c r="H123" s="11" t="str">
        <x:v>2026-09-30</x:v>
      </x:c>
      <x:c r="I123" s="11" t="str">
        <x:v>https://iis.aastocks.com/20260930/12352467-0.PDF</x:v>
      </x:c>
      <x:c r="J123" s="11" t="str"/>
      <x:c r="K123" s="11" t="str">
        <x:v>待核</x:v>
      </x:c>
      <x:c r="L123" s="11" t="str">
        <x:v>精确发布时间未核验</x:v>
      </x:c>
      <x:c r="M123" s="11" t="str">
        <x:v>截止日前日期，盘中时分未核</x:v>
      </x:c>
    </x:row>
    <x:row r="124" ht="23" customHeight="1">
      <x:c r="A124" s="11" t="str">
        <x:v>I023</x:v>
      </x:c>
      <x:c r="B124" s="11" t="str">
        <x:v>01530.HK</x:v>
      </x:c>
      <x:c r="C124" s="11" t="str">
        <x:v>minorityProfit</x:v>
      </x:c>
      <x:c r="D124" s="39" t="n">
        <x:v>63.471</x:v>
      </x:c>
      <x:c r="E124" s="11" t="str">
        <x:v>CNY</x:v>
      </x:c>
      <x:c r="F124" s="11" t="str">
        <x:v>million</x:v>
      </x:c>
      <x:c r="G124" s="11" t="str">
        <x:v>2026H1</x:v>
      </x:c>
      <x:c r="H124" s="11" t="str">
        <x:v>2026-09-30</x:v>
      </x:c>
      <x:c r="I124" s="11" t="str">
        <x:v>https://iis.aastocks.com/20260930/12352467-0.PDF</x:v>
      </x:c>
      <x:c r="J124" s="11" t="str"/>
      <x:c r="K124" s="11" t="str">
        <x:v>待核</x:v>
      </x:c>
      <x:c r="L124" s="11" t="str">
        <x:v>精确发布时间未核验</x:v>
      </x:c>
      <x:c r="M124" s="11" t="str">
        <x:v>截止日前日期，盘中时分未核</x:v>
      </x:c>
    </x:row>
    <x:row r="125" ht="23" customHeight="1">
      <x:c r="A125" s="11" t="str">
        <x:v>I023</x:v>
      </x:c>
      <x:c r="B125" s="11" t="str">
        <x:v>01530.HK</x:v>
      </x:c>
      <x:c r="C125" s="11" t="str">
        <x:v>adjustedOperatingAttributable</x:v>
      </x:c>
      <x:c r="D125" s="39" t="n">
        <x:v>1436.3</x:v>
      </x:c>
      <x:c r="E125" s="11" t="str">
        <x:v>CNY</x:v>
      </x:c>
      <x:c r="F125" s="11" t="str">
        <x:v>million</x:v>
      </x:c>
      <x:c r="G125" s="11" t="str">
        <x:v>2026H1</x:v>
      </x:c>
      <x:c r="H125" s="11" t="str">
        <x:v>2026-09-30</x:v>
      </x:c>
      <x:c r="I125" s="11" t="str">
        <x:v>https://iis.aastocks.com/20260930/12352467-0.PDF</x:v>
      </x:c>
      <x:c r="J125" s="11" t="str"/>
      <x:c r="K125" s="11" t="str">
        <x:v>待核</x:v>
      </x:c>
      <x:c r="L125" s="11" t="str">
        <x:v>精确发布时间未核验</x:v>
      </x:c>
      <x:c r="M125" s="11" t="str">
        <x:v>截止日前日期，盘中时分未核</x:v>
      </x:c>
    </x:row>
    <x:row r="126" ht="23" customHeight="1">
      <x:c r="A126" s="11" t="str">
        <x:v>I023</x:v>
      </x:c>
      <x:c r="B126" s="11" t="str">
        <x:v>01530.HK</x:v>
      </x:c>
      <x:c r="C126" s="11" t="str">
        <x:v>interestIncome</x:v>
      </x:c>
      <x:c r="D126" s="39" t="n">
        <x:v>223.363</x:v>
      </x:c>
      <x:c r="E126" s="11" t="str">
        <x:v>CNY</x:v>
      </x:c>
      <x:c r="F126" s="11" t="str">
        <x:v>million</x:v>
      </x:c>
      <x:c r="G126" s="11" t="str">
        <x:v>2026H1</x:v>
      </x:c>
      <x:c r="H126" s="11" t="str">
        <x:v>2026-09-30</x:v>
      </x:c>
      <x:c r="I126" s="11" t="str">
        <x:v>https://iis.aastocks.com/20260930/12352467-0.PDF</x:v>
      </x:c>
      <x:c r="J126" s="11" t="str"/>
      <x:c r="K126" s="11" t="str">
        <x:v>待核</x:v>
      </x:c>
      <x:c r="L126" s="11" t="str">
        <x:v>精确发布时间未核验</x:v>
      </x:c>
      <x:c r="M126" s="11" t="str">
        <x:v>截止日前日期，盘中时分未核</x:v>
      </x:c>
    </x:row>
    <x:row r="127" ht="23" customHeight="1">
      <x:c r="A127" s="11" t="str">
        <x:v>I023</x:v>
      </x:c>
      <x:c r="B127" s="11" t="str">
        <x:v>01530.HK</x:v>
      </x:c>
      <x:c r="C127" s="11" t="str">
        <x:v>FXloss</x:v>
      </x:c>
      <x:c r="D127" s="39" t="n">
        <x:v>503.308</x:v>
      </x:c>
      <x:c r="E127" s="11" t="str">
        <x:v>CNY</x:v>
      </x:c>
      <x:c r="F127" s="11" t="str">
        <x:v>million</x:v>
      </x:c>
      <x:c r="G127" s="11" t="str">
        <x:v>2026H1</x:v>
      </x:c>
      <x:c r="H127" s="11" t="str">
        <x:v>2026-09-30</x:v>
      </x:c>
      <x:c r="I127" s="11" t="str">
        <x:v>https://iis.aastocks.com/20260930/12352467-0.PDF</x:v>
      </x:c>
      <x:c r="J127" s="11" t="str"/>
      <x:c r="K127" s="11" t="str">
        <x:v>待核</x:v>
      </x:c>
      <x:c r="L127" s="11" t="str">
        <x:v>精确发布时间未核验</x:v>
      </x:c>
      <x:c r="M127" s="11" t="str">
        <x:v>截止日前日期，盘中时分未核</x:v>
      </x:c>
    </x:row>
    <x:row r="128" ht="23" customHeight="1">
      <x:c r="A128" s="11" t="str">
        <x:v>I023</x:v>
      </x:c>
      <x:c r="B128" s="11" t="str">
        <x:v>01530.HK</x:v>
      </x:c>
      <x:c r="C128" s="11" t="str">
        <x:v>financialFairValueGain</x:v>
      </x:c>
      <x:c r="D128" s="39" t="n">
        <x:v>78.881</x:v>
      </x:c>
      <x:c r="E128" s="11" t="str">
        <x:v>CNY</x:v>
      </x:c>
      <x:c r="F128" s="11" t="str">
        <x:v>million</x:v>
      </x:c>
      <x:c r="G128" s="11" t="str">
        <x:v>2026H1</x:v>
      </x:c>
      <x:c r="H128" s="11" t="str">
        <x:v>2026-09-30</x:v>
      </x:c>
      <x:c r="I128" s="11" t="str">
        <x:v>https://iis.aastocks.com/20260930/12352467-0.PDF</x:v>
      </x:c>
      <x:c r="J128" s="11" t="str"/>
      <x:c r="K128" s="11" t="str">
        <x:v>待核</x:v>
      </x:c>
      <x:c r="L128" s="11" t="str">
        <x:v>精确发布时间未核验</x:v>
      </x:c>
      <x:c r="M128" s="11" t="str">
        <x:v>截止日前日期，盘中时分未核</x:v>
      </x:c>
    </x:row>
    <x:row r="129" ht="23" customHeight="1">
      <x:c r="A129" s="11" t="str">
        <x:v>I023</x:v>
      </x:c>
      <x:c r="B129" s="11" t="str">
        <x:v>01530.HK</x:v>
      </x:c>
      <x:c r="C129" s="11" t="str">
        <x:v>derivativeGain</x:v>
      </x:c>
      <x:c r="D129" s="39" t="n">
        <x:v>64.035</x:v>
      </x:c>
      <x:c r="E129" s="11" t="str">
        <x:v>CNY</x:v>
      </x:c>
      <x:c r="F129" s="11" t="str">
        <x:v>million</x:v>
      </x:c>
      <x:c r="G129" s="11" t="str">
        <x:v>2026H1</x:v>
      </x:c>
      <x:c r="H129" s="11" t="str">
        <x:v>2026-09-30</x:v>
      </x:c>
      <x:c r="I129" s="11" t="str">
        <x:v>https://iis.aastocks.com/20260930/12352467-0.PDF</x:v>
      </x:c>
      <x:c r="J129" s="11" t="str"/>
      <x:c r="K129" s="11" t="str">
        <x:v>待核</x:v>
      </x:c>
      <x:c r="L129" s="11" t="str">
        <x:v>精确发布时间未核验</x:v>
      </x:c>
      <x:c r="M129" s="11" t="str">
        <x:v>截止日前日期，盘中时分未核</x:v>
      </x:c>
    </x:row>
    <x:row r="130" ht="23" customHeight="1">
      <x:c r="A130" s="11" t="str">
        <x:v>I023</x:v>
      </x:c>
      <x:c r="B130" s="11" t="str">
        <x:v>01530.HK</x:v>
      </x:c>
      <x:c r="C130" s="11" t="str">
        <x:v>financialLiabilityFairValueLoss</x:v>
      </x:c>
      <x:c r="D130" s="39" t="n">
        <x:v>22.015</x:v>
      </x:c>
      <x:c r="E130" s="11" t="str">
        <x:v>CNY</x:v>
      </x:c>
      <x:c r="F130" s="11" t="str">
        <x:v>million</x:v>
      </x:c>
      <x:c r="G130" s="11" t="str">
        <x:v>2026H1</x:v>
      </x:c>
      <x:c r="H130" s="11" t="str">
        <x:v>2026-09-30</x:v>
      </x:c>
      <x:c r="I130" s="11" t="str">
        <x:v>https://iis.aastocks.com/20260930/12352467-0.PDF</x:v>
      </x:c>
      <x:c r="J130" s="11" t="str"/>
      <x:c r="K130" s="11" t="str">
        <x:v>待核</x:v>
      </x:c>
      <x:c r="L130" s="11" t="str">
        <x:v>精确发布时间未核验</x:v>
      </x:c>
      <x:c r="M130" s="11" t="str">
        <x:v>截止日前日期，盘中时分未核</x:v>
      </x:c>
    </x:row>
    <x:row r="131" ht="23" customHeight="1">
      <x:c r="A131" s="11" t="str">
        <x:v>I023</x:v>
      </x:c>
      <x:c r="B131" s="11" t="str">
        <x:v>01530.HK</x:v>
      </x:c>
      <x:c r="C131" s="11" t="str">
        <x:v>shareComp</x:v>
      </x:c>
      <x:c r="D131" s="39" t="n">
        <x:v>47.204</x:v>
      </x:c>
      <x:c r="E131" s="11" t="str">
        <x:v>CNY</x:v>
      </x:c>
      <x:c r="F131" s="11" t="str">
        <x:v>million</x:v>
      </x:c>
      <x:c r="G131" s="11" t="str">
        <x:v>2026H1</x:v>
      </x:c>
      <x:c r="H131" s="11" t="str">
        <x:v>2026-09-30</x:v>
      </x:c>
      <x:c r="I131" s="11" t="str">
        <x:v>https://iis.aastocks.com/20260930/12352467-0.PDF</x:v>
      </x:c>
      <x:c r="J131" s="11" t="str"/>
      <x:c r="K131" s="11" t="str">
        <x:v>待核</x:v>
      </x:c>
      <x:c r="L131" s="11" t="str">
        <x:v>精确发布时间未核验</x:v>
      </x:c>
      <x:c r="M131" s="11" t="str">
        <x:v>截止日前日期，盘中时分未核</x:v>
      </x:c>
    </x:row>
    <x:row r="132" ht="23" customHeight="1">
      <x:c r="A132" s="11" t="str">
        <x:v>I023</x:v>
      </x:c>
      <x:c r="B132" s="11" t="str">
        <x:v>01530.HK</x:v>
      </x:c>
      <x:c r="C132" s="11" t="str">
        <x:v>research</x:v>
      </x:c>
      <x:c r="D132" s="39" t="n">
        <x:v>683.849</x:v>
      </x:c>
      <x:c r="E132" s="11" t="str">
        <x:v>CNY</x:v>
      </x:c>
      <x:c r="F132" s="11" t="str">
        <x:v>million</x:v>
      </x:c>
      <x:c r="G132" s="11" t="str">
        <x:v>2026H1</x:v>
      </x:c>
      <x:c r="H132" s="11" t="str">
        <x:v>2026-09-30</x:v>
      </x:c>
      <x:c r="I132" s="11" t="str">
        <x:v>https://iis.aastocks.com/20260930/12352467-0.PDF</x:v>
      </x:c>
      <x:c r="J132" s="11" t="str"/>
      <x:c r="K132" s="11" t="str">
        <x:v>待核</x:v>
      </x:c>
      <x:c r="L132" s="11" t="str">
        <x:v>精确发布时间未核验</x:v>
      </x:c>
      <x:c r="M132" s="11" t="str">
        <x:v>截止日前日期，盘中时分未核</x:v>
      </x:c>
    </x:row>
    <x:row r="133" ht="23" customHeight="1">
      <x:c r="A133" s="11" t="str">
        <x:v>I023</x:v>
      </x:c>
      <x:c r="B133" s="11" t="str">
        <x:v>01530.HK</x:v>
      </x:c>
      <x:c r="C133" s="11" t="str">
        <x:v>salesExpense</x:v>
      </x:c>
      <x:c r="D133" s="39" t="n">
        <x:v>1206.725</x:v>
      </x:c>
      <x:c r="E133" s="11" t="str">
        <x:v>CNY</x:v>
      </x:c>
      <x:c r="F133" s="11" t="str">
        <x:v>million</x:v>
      </x:c>
      <x:c r="G133" s="11" t="str">
        <x:v>2026H1</x:v>
      </x:c>
      <x:c r="H133" s="11" t="str">
        <x:v>2026-09-30</x:v>
      </x:c>
      <x:c r="I133" s="11" t="str">
        <x:v>https://iis.aastocks.com/20260930/12352467-0.PDF</x:v>
      </x:c>
      <x:c r="J133" s="11" t="str"/>
      <x:c r="K133" s="11" t="str">
        <x:v>待核</x:v>
      </x:c>
      <x:c r="L133" s="11" t="str">
        <x:v>精确发布时间未核验</x:v>
      </x:c>
      <x:c r="M133" s="11" t="str">
        <x:v>截止日前日期，盘中时分未核</x:v>
      </x:c>
    </x:row>
    <x:row r="134" ht="23" customHeight="1">
      <x:c r="A134" s="11" t="str">
        <x:v>I023</x:v>
      </x:c>
      <x:c r="B134" s="11" t="str">
        <x:v>01530.HK</x:v>
      </x:c>
      <x:c r="C134" s="11" t="str">
        <x:v>admin</x:v>
      </x:c>
      <x:c r="D134" s="39" t="n">
        <x:v>267.813</x:v>
      </x:c>
      <x:c r="E134" s="11" t="str">
        <x:v>CNY</x:v>
      </x:c>
      <x:c r="F134" s="11" t="str">
        <x:v>million</x:v>
      </x:c>
      <x:c r="G134" s="11" t="str">
        <x:v>2026H1</x:v>
      </x:c>
      <x:c r="H134" s="11" t="str">
        <x:v>2026-09-30</x:v>
      </x:c>
      <x:c r="I134" s="11" t="str">
        <x:v>https://iis.aastocks.com/20260930/12352467-0.PDF</x:v>
      </x:c>
      <x:c r="J134" s="11" t="str"/>
      <x:c r="K134" s="11" t="str">
        <x:v>待核</x:v>
      </x:c>
      <x:c r="L134" s="11" t="str">
        <x:v>精确发布时间未核验</x:v>
      </x:c>
      <x:c r="M134" s="11" t="str">
        <x:v>截止日前日期，盘中时分未核</x:v>
      </x:c>
    </x:row>
    <x:row r="135" ht="23" customHeight="1">
      <x:c r="A135" s="11" t="str">
        <x:v>I023</x:v>
      </x:c>
      <x:c r="B135" s="11" t="str">
        <x:v>01530.HK</x:v>
      </x:c>
      <x:c r="C135" s="11" t="str">
        <x:v>tax</x:v>
      </x:c>
      <x:c r="D135" s="39" t="n">
        <x:v>223.806</x:v>
      </x:c>
      <x:c r="E135" s="11" t="str">
        <x:v>CNY</x:v>
      </x:c>
      <x:c r="F135" s="11" t="str">
        <x:v>million</x:v>
      </x:c>
      <x:c r="G135" s="11" t="str">
        <x:v>2026H1</x:v>
      </x:c>
      <x:c r="H135" s="11" t="str">
        <x:v>2026-09-30</x:v>
      </x:c>
      <x:c r="I135" s="11" t="str">
        <x:v>https://iis.aastocks.com/20260930/12352467-0.PDF</x:v>
      </x:c>
      <x:c r="J135" s="11" t="str"/>
      <x:c r="K135" s="11" t="str">
        <x:v>待核</x:v>
      </x:c>
      <x:c r="L135" s="11" t="str">
        <x:v>精确发布时间未核验</x:v>
      </x:c>
      <x:c r="M135" s="11" t="str">
        <x:v>截止日前日期，盘中时分未核</x:v>
      </x:c>
    </x:row>
    <x:row r="136" ht="23" customHeight="1">
      <x:c r="A136" s="11" t="str">
        <x:v>I023</x:v>
      </x:c>
      <x:c r="B136" s="11" t="str">
        <x:v>01530.HK</x:v>
      </x:c>
      <x:c r="C136" s="11" t="str">
        <x:v>OCF</x:v>
      </x:c>
      <x:c r="D136" s="39" t="n">
        <x:v>899.385</x:v>
      </x:c>
      <x:c r="E136" s="11" t="str">
        <x:v>CNY</x:v>
      </x:c>
      <x:c r="F136" s="11" t="str">
        <x:v>million</x:v>
      </x:c>
      <x:c r="G136" s="11" t="str">
        <x:v>2026H1</x:v>
      </x:c>
      <x:c r="H136" s="11" t="str">
        <x:v>2026-09-30</x:v>
      </x:c>
      <x:c r="I136" s="11" t="str">
        <x:v>https://iis.aastocks.com/20260930/12352467-0.PDF</x:v>
      </x:c>
      <x:c r="J136" s="11" t="str"/>
      <x:c r="K136" s="11" t="str">
        <x:v>待核</x:v>
      </x:c>
      <x:c r="L136" s="11" t="str">
        <x:v>精确发布时间未核验</x:v>
      </x:c>
      <x:c r="M136" s="11" t="str">
        <x:v>截止日前日期，盘中时分未核</x:v>
      </x:c>
    </x:row>
    <x:row r="137" ht="23" customHeight="1">
      <x:c r="A137" s="11" t="str">
        <x:v>I023</x:v>
      </x:c>
      <x:c r="B137" s="11" t="str">
        <x:v>01530.HK</x:v>
      </x:c>
      <x:c r="C137" s="11" t="str">
        <x:v>operatingCashBeforeTax</x:v>
      </x:c>
      <x:c r="D137" s="39" t="n">
        <x:v>1483.189</x:v>
      </x:c>
      <x:c r="E137" s="11" t="str">
        <x:v>CNY</x:v>
      </x:c>
      <x:c r="F137" s="11" t="str">
        <x:v>million</x:v>
      </x:c>
      <x:c r="G137" s="11" t="str">
        <x:v>2026H1</x:v>
      </x:c>
      <x:c r="H137" s="11" t="str">
        <x:v>2026-09-30</x:v>
      </x:c>
      <x:c r="I137" s="11" t="str">
        <x:v>https://iis.aastocks.com/20260930/12352467-0.PDF</x:v>
      </x:c>
      <x:c r="J137" s="11" t="str"/>
      <x:c r="K137" s="11" t="str">
        <x:v>待核</x:v>
      </x:c>
      <x:c r="L137" s="11" t="str">
        <x:v>精确发布时间未核验</x:v>
      </x:c>
      <x:c r="M137" s="11" t="str">
        <x:v>截止日前日期，盘中时分未核</x:v>
      </x:c>
    </x:row>
    <x:row r="138" ht="23" customHeight="1">
      <x:c r="A138" s="11" t="str">
        <x:v>I023</x:v>
      </x:c>
      <x:c r="B138" s="11" t="str">
        <x:v>01530.HK</x:v>
      </x:c>
      <x:c r="C138" s="11" t="str">
        <x:v>cashTaxes</x:v>
      </x:c>
      <x:c r="D138" s="39" t="n">
        <x:v>583.804</x:v>
      </x:c>
      <x:c r="E138" s="11" t="str">
        <x:v>CNY</x:v>
      </x:c>
      <x:c r="F138" s="11" t="str">
        <x:v>million</x:v>
      </x:c>
      <x:c r="G138" s="11" t="str">
        <x:v>2026H1</x:v>
      </x:c>
      <x:c r="H138" s="11" t="str">
        <x:v>2026-09-30</x:v>
      </x:c>
      <x:c r="I138" s="11" t="str">
        <x:v>https://iis.aastocks.com/20260930/12352467-0.PDF</x:v>
      </x:c>
      <x:c r="J138" s="11" t="str"/>
      <x:c r="K138" s="11" t="str">
        <x:v>待核</x:v>
      </x:c>
      <x:c r="L138" s="11" t="str">
        <x:v>精确发布时间未核验</x:v>
      </x:c>
      <x:c r="M138" s="11" t="str">
        <x:v>截止日前日期，盘中时分未核</x:v>
      </x:c>
    </x:row>
    <x:row r="139" ht="23" customHeight="1">
      <x:c r="A139" s="11" t="str">
        <x:v>I023</x:v>
      </x:c>
      <x:c r="B139" s="11" t="str">
        <x:v>01530.HK</x:v>
      </x:c>
      <x:c r="C139" s="11" t="str">
        <x:v>PPECash</x:v>
      </x:c>
      <x:c r="D139" s="39" t="n">
        <x:v>245.221</x:v>
      </x:c>
      <x:c r="E139" s="11" t="str">
        <x:v>CNY</x:v>
      </x:c>
      <x:c r="F139" s="11" t="str">
        <x:v>million</x:v>
      </x:c>
      <x:c r="G139" s="11" t="str">
        <x:v>2026H1</x:v>
      </x:c>
      <x:c r="H139" s="11" t="str">
        <x:v>2026-09-30</x:v>
      </x:c>
      <x:c r="I139" s="11" t="str">
        <x:v>https://iis.aastocks.com/20260930/12352467-0.PDF</x:v>
      </x:c>
      <x:c r="J139" s="11" t="str"/>
      <x:c r="K139" s="11" t="str">
        <x:v>待核</x:v>
      </x:c>
      <x:c r="L139" s="11" t="str">
        <x:v>精确发布时间未核验</x:v>
      </x:c>
      <x:c r="M139" s="11" t="str">
        <x:v>截止日前日期，盘中时分未核</x:v>
      </x:c>
    </x:row>
    <x:row r="140" ht="23" customHeight="1">
      <x:c r="A140" s="11" t="str">
        <x:v>I023</x:v>
      </x:c>
      <x:c r="B140" s="11" t="str">
        <x:v>01530.HK</x:v>
      </x:c>
      <x:c r="C140" s="11" t="str">
        <x:v>intangibleCash</x:v>
      </x:c>
      <x:c r="D140" s="39" t="n">
        <x:v>34.8</x:v>
      </x:c>
      <x:c r="E140" s="11" t="str">
        <x:v>CNY</x:v>
      </x:c>
      <x:c r="F140" s="11" t="str">
        <x:v>million</x:v>
      </x:c>
      <x:c r="G140" s="11" t="str">
        <x:v>2026H1</x:v>
      </x:c>
      <x:c r="H140" s="11" t="str">
        <x:v>2026-09-30</x:v>
      </x:c>
      <x:c r="I140" s="11" t="str">
        <x:v>https://iis.aastocks.com/20260930/12352467-0.PDF</x:v>
      </x:c>
      <x:c r="J140" s="11" t="str"/>
      <x:c r="K140" s="11" t="str">
        <x:v>待核</x:v>
      </x:c>
      <x:c r="L140" s="11" t="str">
        <x:v>精确发布时间未核验</x:v>
      </x:c>
      <x:c r="M140" s="11" t="str">
        <x:v>截止日前日期，盘中时分未核</x:v>
      </x:c>
    </x:row>
    <x:row r="141" ht="23" customHeight="1">
      <x:c r="A141" s="11" t="str">
        <x:v>I023</x:v>
      </x:c>
      <x:c r="B141" s="11" t="str">
        <x:v>01530.HK</x:v>
      </x:c>
      <x:c r="C141" s="11" t="str">
        <x:v>currentCashAndDepositsInclPledged</x:v>
      </x:c>
      <x:c r="D141" s="39" t="n">
        <x:v>12469.231</x:v>
      </x:c>
      <x:c r="E141" s="11" t="str">
        <x:v>CNY</x:v>
      </x:c>
      <x:c r="F141" s="11" t="str">
        <x:v>million</x:v>
      </x:c>
      <x:c r="G141" s="11" t="str">
        <x:v>2026H1</x:v>
      </x:c>
      <x:c r="H141" s="11" t="str">
        <x:v>2026-09-30</x:v>
      </x:c>
      <x:c r="I141" s="11" t="str">
        <x:v>https://iis.aastocks.com/20260930/12352467-0.PDF</x:v>
      </x:c>
      <x:c r="J141" s="11" t="str"/>
      <x:c r="K141" s="11" t="str">
        <x:v>待核</x:v>
      </x:c>
      <x:c r="L141" s="11" t="str">
        <x:v>精确发布时间未核验</x:v>
      </x:c>
      <x:c r="M141" s="11" t="str">
        <x:v>截止日前日期，盘中时分未核</x:v>
      </x:c>
    </x:row>
    <x:row r="142" ht="23" customHeight="1">
      <x:c r="A142" s="11" t="str">
        <x:v>I023</x:v>
      </x:c>
      <x:c r="B142" s="11" t="str">
        <x:v>01530.HK</x:v>
      </x:c>
      <x:c r="C142" s="11" t="str">
        <x:v>cashEquivalent</x:v>
      </x:c>
      <x:c r="D142" s="39" t="n">
        <x:v>6785.032</x:v>
      </x:c>
      <x:c r="E142" s="11" t="str">
        <x:v>CNY</x:v>
      </x:c>
      <x:c r="F142" s="11" t="str">
        <x:v>million</x:v>
      </x:c>
      <x:c r="G142" s="11" t="str">
        <x:v>2026H1</x:v>
      </x:c>
      <x:c r="H142" s="11" t="str">
        <x:v>2026-09-30</x:v>
      </x:c>
      <x:c r="I142" s="11" t="str">
        <x:v>https://iis.aastocks.com/20260930/12352467-0.PDF</x:v>
      </x:c>
      <x:c r="J142" s="11" t="str"/>
      <x:c r="K142" s="11" t="str">
        <x:v>待核</x:v>
      </x:c>
      <x:c r="L142" s="11" t="str">
        <x:v>精确发布时间未核验</x:v>
      </x:c>
      <x:c r="M142" s="11" t="str">
        <x:v>截止日前日期，盘中时分未核</x:v>
      </x:c>
    </x:row>
    <x:row r="143" ht="23" customHeight="1">
      <x:c r="A143" s="11" t="str">
        <x:v>I023</x:v>
      </x:c>
      <x:c r="B143" s="11" t="str">
        <x:v>01530.HK</x:v>
      </x:c>
      <x:c r="C143" s="11" t="str">
        <x:v>allUnpledgedDeposits</x:v>
      </x:c>
      <x:c r="D143" s="39" t="n">
        <x:v>7244.643</x:v>
      </x:c>
      <x:c r="E143" s="11" t="str">
        <x:v>CNY</x:v>
      </x:c>
      <x:c r="F143" s="11" t="str">
        <x:v>million</x:v>
      </x:c>
      <x:c r="G143" s="11" t="str">
        <x:v>2026H1</x:v>
      </x:c>
      <x:c r="H143" s="11" t="str">
        <x:v>2026-09-30</x:v>
      </x:c>
      <x:c r="I143" s="11" t="str">
        <x:v>https://iis.aastocks.com/20260930/12352467-0.PDF</x:v>
      </x:c>
      <x:c r="J143" s="11" t="str"/>
      <x:c r="K143" s="11" t="str">
        <x:v>待核</x:v>
      </x:c>
      <x:c r="L143" s="11" t="str">
        <x:v>精确发布时间未核验</x:v>
      </x:c>
      <x:c r="M143" s="11" t="str">
        <x:v>截止日前日期，盘中时分未核</x:v>
      </x:c>
    </x:row>
    <x:row r="144" ht="23" customHeight="1">
      <x:c r="A144" s="11" t="str">
        <x:v>I023</x:v>
      </x:c>
      <x:c r="B144" s="11" t="str">
        <x:v>01530.HK</x:v>
      </x:c>
      <x:c r="C144" s="11" t="str">
        <x:v>cashBankTotalUnpledged</x:v>
      </x:c>
      <x:c r="D144" s="39" t="n">
        <x:v>14029.675</x:v>
      </x:c>
      <x:c r="E144" s="11" t="str">
        <x:v>CNY</x:v>
      </x:c>
      <x:c r="F144" s="11" t="str">
        <x:v>million</x:v>
      </x:c>
      <x:c r="G144" s="11" t="str">
        <x:v>2026H1</x:v>
      </x:c>
      <x:c r="H144" s="11" t="str">
        <x:v>2026-09-30</x:v>
      </x:c>
      <x:c r="I144" s="11" t="str">
        <x:v>https://iis.aastocks.com/20260930/12352467-0.PDF</x:v>
      </x:c>
      <x:c r="J144" s="11" t="str"/>
      <x:c r="K144" s="11" t="str">
        <x:v>待核</x:v>
      </x:c>
      <x:c r="L144" s="11" t="str">
        <x:v>精确发布时间未核验</x:v>
      </x:c>
      <x:c r="M144" s="11" t="str">
        <x:v>截止日前日期，盘中时分未核</x:v>
      </x:c>
    </x:row>
    <x:row r="145" ht="23" customHeight="1">
      <x:c r="A145" s="11" t="str">
        <x:v>I023</x:v>
      </x:c>
      <x:c r="B145" s="11" t="str">
        <x:v>01530.HK</x:v>
      </x:c>
      <x:c r="C145" s="11" t="str">
        <x:v>financialAssetsCurrent</x:v>
      </x:c>
      <x:c r="D145" s="39" t="n">
        <x:v>5126.837</x:v>
      </x:c>
      <x:c r="E145" s="11" t="str">
        <x:v>CNY</x:v>
      </x:c>
      <x:c r="F145" s="11" t="str">
        <x:v>million</x:v>
      </x:c>
      <x:c r="G145" s="11" t="str">
        <x:v>2026H1</x:v>
      </x:c>
      <x:c r="H145" s="11" t="str">
        <x:v>2026-09-30</x:v>
      </x:c>
      <x:c r="I145" s="11" t="str">
        <x:v>https://iis.aastocks.com/20260930/12352467-0.PDF</x:v>
      </x:c>
      <x:c r="J145" s="11" t="str"/>
      <x:c r="K145" s="11" t="str">
        <x:v>待核</x:v>
      </x:c>
      <x:c r="L145" s="11" t="str">
        <x:v>精确发布时间未核验</x:v>
      </x:c>
      <x:c r="M145" s="11" t="str">
        <x:v>截止日前日期，盘中时分未核</x:v>
      </x:c>
    </x:row>
    <x:row r="146" ht="23" customHeight="1">
      <x:c r="A146" s="11" t="str">
        <x:v>I023</x:v>
      </x:c>
      <x:c r="B146" s="11" t="str">
        <x:v>01530.HK</x:v>
      </x:c>
      <x:c r="C146" s="11" t="str">
        <x:v>financialAssetsNonCurrent</x:v>
      </x:c>
      <x:c r="D146" s="39" t="n">
        <x:v>889.088</x:v>
      </x:c>
      <x:c r="E146" s="11" t="str">
        <x:v>CNY</x:v>
      </x:c>
      <x:c r="F146" s="11" t="str">
        <x:v>million</x:v>
      </x:c>
      <x:c r="G146" s="11" t="str">
        <x:v>2026H1</x:v>
      </x:c>
      <x:c r="H146" s="11" t="str">
        <x:v>2026-09-30</x:v>
      </x:c>
      <x:c r="I146" s="11" t="str">
        <x:v>https://iis.aastocks.com/20260930/12352467-0.PDF</x:v>
      </x:c>
      <x:c r="J146" s="11" t="str"/>
      <x:c r="K146" s="11" t="str">
        <x:v>待核</x:v>
      </x:c>
      <x:c r="L146" s="11" t="str">
        <x:v>精确发布时间未核验</x:v>
      </x:c>
      <x:c r="M146" s="11" t="str">
        <x:v>截止日前日期，盘中时分未核</x:v>
      </x:c>
    </x:row>
    <x:row r="147" ht="23" customHeight="1">
      <x:c r="A147" s="11" t="str">
        <x:v>I023</x:v>
      </x:c>
      <x:c r="B147" s="11" t="str">
        <x:v>01530.HK</x:v>
      </x:c>
      <x:c r="C147" s="11" t="str">
        <x:v>debt</x:v>
      </x:c>
      <x:c r="D147" s="39" t="n">
        <x:v>1320.592</x:v>
      </x:c>
      <x:c r="E147" s="11" t="str">
        <x:v>CNY</x:v>
      </x:c>
      <x:c r="F147" s="11" t="str">
        <x:v>million</x:v>
      </x:c>
      <x:c r="G147" s="11" t="str">
        <x:v>2026H1</x:v>
      </x:c>
      <x:c r="H147" s="11" t="str">
        <x:v>2026-09-30</x:v>
      </x:c>
      <x:c r="I147" s="11" t="str">
        <x:v>https://iis.aastocks.com/20260930/12352467-0.PDF</x:v>
      </x:c>
      <x:c r="J147" s="11" t="str"/>
      <x:c r="K147" s="11" t="str">
        <x:v>待核</x:v>
      </x:c>
      <x:c r="L147" s="11" t="str">
        <x:v>精确发布时间未核验</x:v>
      </x:c>
      <x:c r="M147" s="11" t="str">
        <x:v>截止日前日期，盘中时分未核</x:v>
      </x:c>
    </x:row>
    <x:row r="148" ht="23" customHeight="1">
      <x:c r="A148" s="11" t="str">
        <x:v>I023</x:v>
      </x:c>
      <x:c r="B148" s="11" t="str">
        <x:v>01530.HK</x:v>
      </x:c>
      <x:c r="C148" s="11" t="str">
        <x:v>leases</x:v>
      </x:c>
      <x:c r="D148" s="39" t="n">
        <x:v>66.566</x:v>
      </x:c>
      <x:c r="E148" s="11" t="str">
        <x:v>CNY</x:v>
      </x:c>
      <x:c r="F148" s="11" t="str">
        <x:v>million</x:v>
      </x:c>
      <x:c r="G148" s="11" t="str">
        <x:v>2026H1</x:v>
      </x:c>
      <x:c r="H148" s="11" t="str">
        <x:v>2026-09-30</x:v>
      </x:c>
      <x:c r="I148" s="11" t="str">
        <x:v>https://iis.aastocks.com/20260930/12352467-0.PDF</x:v>
      </x:c>
      <x:c r="J148" s="11" t="str"/>
      <x:c r="K148" s="11" t="str">
        <x:v>待核</x:v>
      </x:c>
      <x:c r="L148" s="11" t="str">
        <x:v>精确发布时间未核验</x:v>
      </x:c>
      <x:c r="M148" s="11" t="str">
        <x:v>截止日前日期，盘中时分未核</x:v>
      </x:c>
    </x:row>
    <x:row r="149" ht="23" customHeight="1">
      <x:c r="A149" s="11" t="str">
        <x:v>I023</x:v>
      </x:c>
      <x:c r="B149" s="11" t="str">
        <x:v>01530.HK</x:v>
      </x:c>
      <x:c r="C149" s="11" t="str">
        <x:v>financialLiability</x:v>
      </x:c>
      <x:c r="D149" s="39" t="n">
        <x:v>361.557</x:v>
      </x:c>
      <x:c r="E149" s="11" t="str">
        <x:v>CNY</x:v>
      </x:c>
      <x:c r="F149" s="11" t="str">
        <x:v>million</x:v>
      </x:c>
      <x:c r="G149" s="11" t="str">
        <x:v>2026H1</x:v>
      </x:c>
      <x:c r="H149" s="11" t="str">
        <x:v>2026-09-30</x:v>
      </x:c>
      <x:c r="I149" s="11" t="str">
        <x:v>https://iis.aastocks.com/20260930/12352467-0.PDF</x:v>
      </x:c>
      <x:c r="J149" s="11" t="str"/>
      <x:c r="K149" s="11" t="str">
        <x:v>待核</x:v>
      </x:c>
      <x:c r="L149" s="11" t="str">
        <x:v>精确发布时间未核验</x:v>
      </x:c>
      <x:c r="M149" s="11" t="str">
        <x:v>截止日前日期，盘中时分未核</x:v>
      </x:c>
    </x:row>
    <x:row r="150" ht="23" customHeight="1">
      <x:c r="A150" s="11" t="str">
        <x:v>I023</x:v>
      </x:c>
      <x:c r="B150" s="11" t="str">
        <x:v>01530.HK</x:v>
      </x:c>
      <x:c r="C150" s="11" t="str">
        <x:v>ownerEquity</x:v>
      </x:c>
      <x:c r="D150" s="39" t="n">
        <x:v>27519.1</x:v>
      </x:c>
      <x:c r="E150" s="11" t="str">
        <x:v>CNY</x:v>
      </x:c>
      <x:c r="F150" s="11" t="str">
        <x:v>million</x:v>
      </x:c>
      <x:c r="G150" s="11" t="str">
        <x:v>2026H1</x:v>
      </x:c>
      <x:c r="H150" s="11" t="str">
        <x:v>2026-09-30</x:v>
      </x:c>
      <x:c r="I150" s="11" t="str">
        <x:v>https://iis.aastocks.com/20260930/12352467-0.PDF</x:v>
      </x:c>
      <x:c r="J150" s="11" t="str"/>
      <x:c r="K150" s="11" t="str">
        <x:v>待核</x:v>
      </x:c>
      <x:c r="L150" s="11" t="str">
        <x:v>精确发布时间未核验</x:v>
      </x:c>
      <x:c r="M150" s="11" t="str">
        <x:v>截止日前日期，盘中时分未核</x:v>
      </x:c>
    </x:row>
    <x:row r="151" ht="23" customHeight="1">
      <x:c r="A151" s="11" t="str">
        <x:v>I023</x:v>
      </x:c>
      <x:c r="B151" s="11" t="str">
        <x:v>01530.HK</x:v>
      </x:c>
      <x:c r="C151" s="11" t="str">
        <x:v>minorityEquity</x:v>
      </x:c>
      <x:c r="D151" s="39" t="n">
        <x:v>3245.413</x:v>
      </x:c>
      <x:c r="E151" s="11" t="str">
        <x:v>CNY</x:v>
      </x:c>
      <x:c r="F151" s="11" t="str">
        <x:v>million</x:v>
      </x:c>
      <x:c r="G151" s="11" t="str">
        <x:v>2026H1</x:v>
      </x:c>
      <x:c r="H151" s="11" t="str">
        <x:v>2026-09-30</x:v>
      </x:c>
      <x:c r="I151" s="11" t="str">
        <x:v>https://iis.aastocks.com/20260930/12352467-0.PDF</x:v>
      </x:c>
      <x:c r="J151" s="11" t="str"/>
      <x:c r="K151" s="11" t="str">
        <x:v>待核</x:v>
      </x:c>
      <x:c r="L151" s="11" t="str">
        <x:v>精确发布时间未核验</x:v>
      </x:c>
      <x:c r="M151" s="11" t="str">
        <x:v>截止日前日期，盘中时分未核</x:v>
      </x:c>
    </x:row>
    <x:row r="152" ht="23" customHeight="1">
      <x:c r="A152" s="11" t="str">
        <x:v>I023</x:v>
      </x:c>
      <x:c r="B152" s="11" t="str">
        <x:v>01530.HK</x:v>
      </x:c>
      <x:c r="C152" s="11" t="str">
        <x:v>declaredPreBaselineDividend</x:v>
      </x:c>
      <x:c r="D152" s="39" t="n">
        <x:v>549.319</x:v>
      </x:c>
      <x:c r="E152" s="11" t="str">
        <x:v>CNY</x:v>
      </x:c>
      <x:c r="F152" s="11" t="str">
        <x:v>million</x:v>
      </x:c>
      <x:c r="G152" s="11" t="str">
        <x:v>2026H1</x:v>
      </x:c>
      <x:c r="H152" s="11" t="str">
        <x:v>2026-09-30</x:v>
      </x:c>
      <x:c r="I152" s="11" t="str">
        <x:v>https://iis.aastocks.com/20260930/12352467-0.PDF</x:v>
      </x:c>
      <x:c r="J152" s="11" t="str"/>
      <x:c r="K152" s="11" t="str">
        <x:v>待核</x:v>
      </x:c>
      <x:c r="L152" s="11" t="str">
        <x:v>精确发布时间未核验</x:v>
      </x:c>
      <x:c r="M152" s="11" t="str">
        <x:v>截止日前日期，盘中时分未核</x:v>
      </x:c>
    </x:row>
    <x:row r="153" ht="23" customHeight="1">
      <x:c r="A153" s="11" t="str">
        <x:v>I023</x:v>
      </x:c>
      <x:c r="B153" s="11" t="str">
        <x:v>01530.HK</x:v>
      </x:c>
      <x:c r="C153" s="11" t="str">
        <x:v>basicSharesM</x:v>
      </x:c>
      <x:c r="D153" s="39" t="n">
        <x:v>2537.746</x:v>
      </x:c>
      <x:c r="E153" s="11" t="str">
        <x:v>not monetary</x:v>
      </x:c>
      <x:c r="F153" s="11" t="str">
        <x:v>million shares</x:v>
      </x:c>
      <x:c r="G153" s="11" t="str">
        <x:v>2026H1</x:v>
      </x:c>
      <x:c r="H153" s="11" t="str">
        <x:v>2026-09-30</x:v>
      </x:c>
      <x:c r="I153" s="11" t="str">
        <x:v>https://iis.aastocks.com/20260930/12352467-0.PDF</x:v>
      </x:c>
      <x:c r="J153" s="11" t="str"/>
      <x:c r="K153" s="11" t="str">
        <x:v>待核</x:v>
      </x:c>
      <x:c r="L153" s="11" t="str">
        <x:v>精确发布时间未核验</x:v>
      </x:c>
      <x:c r="M153" s="11" t="str">
        <x:v>截止日前日期，盘中时分未核</x:v>
      </x:c>
    </x:row>
    <x:row r="154" ht="23" customHeight="1">
      <x:c r="A154" s="11" t="str">
        <x:v>I023</x:v>
      </x:c>
      <x:c r="B154" s="11" t="str">
        <x:v>01530.HK</x:v>
      </x:c>
      <x:c r="C154" s="11" t="str">
        <x:v>dilutedSharesM</x:v>
      </x:c>
      <x:c r="D154" s="39" t="n">
        <x:v>2582.811</x:v>
      </x:c>
      <x:c r="E154" s="11" t="str">
        <x:v>not monetary</x:v>
      </x:c>
      <x:c r="F154" s="11" t="str">
        <x:v>million shares</x:v>
      </x:c>
      <x:c r="G154" s="11" t="str">
        <x:v>2026H1</x:v>
      </x:c>
      <x:c r="H154" s="11" t="str">
        <x:v>2026-09-30</x:v>
      </x:c>
      <x:c r="I154" s="11" t="str">
        <x:v>https://iis.aastocks.com/20260930/12352467-0.PDF</x:v>
      </x:c>
      <x:c r="J154" s="11" t="str"/>
      <x:c r="K154" s="11" t="str">
        <x:v>待核</x:v>
      </x:c>
      <x:c r="L154" s="11" t="str">
        <x:v>精确发布时间未核验</x:v>
      </x:c>
      <x:c r="M154" s="11" t="str">
        <x:v>截止日前日期，盘中时分未核</x:v>
      </x:c>
    </x:row>
    <x:row r="155" ht="23" customHeight="1">
      <x:c r="A155" s="11" t="str">
        <x:v>I023</x:v>
      </x:c>
      <x:c r="B155" s="11" t="str">
        <x:v>01530.HK</x:v>
      </x:c>
      <x:c r="C155" s="11" t="str">
        <x:v>currentSharesExTreasury</x:v>
      </x:c>
      <x:c r="D155" s="39" t="n">
        <x:v>2515.345078</x:v>
      </x:c>
      <x:c r="E155" s="11" t="str">
        <x:v>not monetary</x:v>
      </x:c>
      <x:c r="F155" s="11" t="str">
        <x:v>million shares</x:v>
      </x:c>
      <x:c r="G155" s="11" t="str">
        <x:v>2026H1</x:v>
      </x:c>
      <x:c r="H155" s="11" t="str">
        <x:v>2026-09-30</x:v>
      </x:c>
      <x:c r="I155" s="11" t="str">
        <x:v>https://iis.aastocks.com/20260930/12352467-0.PDF</x:v>
      </x:c>
      <x:c r="J155" s="11" t="str">
        <x:v>股数公告于基准日收盘后公开，不能冒充收盘前已知股本</x:v>
      </x:c>
      <x:c r="K155" s="11" t="str">
        <x:v>待核</x:v>
      </x:c>
      <x:c r="L155" s="11" t="str">
        <x:v>精确发布时间未核验</x:v>
      </x:c>
      <x:c r="M155" s="11" t="str">
        <x:v>截止日前日期，盘中时分未核</x:v>
      </x:c>
    </x:row>
    <x:row r="156" ht="23" customHeight="1">
      <x:c r="A156" s="11" t="str">
        <x:v>I023</x:v>
      </x:c>
      <x:c r="B156" s="11" t="str">
        <x:v>01530.HK</x:v>
      </x:c>
      <x:c r="C156" s="11" t="str">
        <x:v>currentTotalSharesM</x:v>
      </x:c>
      <x:c r="D156" s="39" t="n">
        <x:v>2538.321078</x:v>
      </x:c>
      <x:c r="E156" s="11" t="str">
        <x:v>not monetary</x:v>
      </x:c>
      <x:c r="F156" s="11" t="str">
        <x:v>million shares</x:v>
      </x:c>
      <x:c r="G156" s="11" t="str">
        <x:v>2026H1</x:v>
      </x:c>
      <x:c r="H156" s="11" t="str">
        <x:v>2026-09-30</x:v>
      </x:c>
      <x:c r="I156" s="11" t="str">
        <x:v>https://iis.aastocks.com/20260930/12352467-0.PDF</x:v>
      </x:c>
      <x:c r="J156" s="11" t="str">
        <x:v>股数公告于基准日收盘后公开，不能冒充收盘前已知股本</x:v>
      </x:c>
      <x:c r="K156" s="11" t="str">
        <x:v>待核</x:v>
      </x:c>
      <x:c r="L156" s="11" t="str">
        <x:v>精确发布时间未核验</x:v>
      </x:c>
      <x:c r="M156" s="11" t="str">
        <x:v>截止日前日期，盘中时分未核</x:v>
      </x:c>
    </x:row>
    <x:row r="157" ht="23" customHeight="1">
      <x:c r="A157" s="11" t="str">
        <x:v>I023</x:v>
      </x:c>
      <x:c r="B157" s="11" t="str">
        <x:v>01530.HK</x:v>
      </x:c>
      <x:c r="C157" s="11" t="str">
        <x:v>treasurySharesM</x:v>
      </x:c>
      <x:c r="D157" s="39" t="n">
        <x:v>22.976</x:v>
      </x:c>
      <x:c r="E157" s="11" t="str">
        <x:v>not monetary</x:v>
      </x:c>
      <x:c r="F157" s="11" t="str">
        <x:v>million shares</x:v>
      </x:c>
      <x:c r="G157" s="11" t="str">
        <x:v>2026H1</x:v>
      </x:c>
      <x:c r="H157" s="11" t="str">
        <x:v>2026-09-30</x:v>
      </x:c>
      <x:c r="I157" s="11" t="str">
        <x:v>https://iis.aastocks.com/20260930/12352467-0.PDF</x:v>
      </x:c>
      <x:c r="J157" s="11" t="str">
        <x:v>股数公告于基准日收盘后公开，不能冒充收盘前已知股本</x:v>
      </x:c>
      <x:c r="K157" s="11" t="str">
        <x:v>待核</x:v>
      </x:c>
      <x:c r="L157" s="11" t="str">
        <x:v>精确发布时间未核验</x:v>
      </x:c>
      <x:c r="M157" s="11" t="str">
        <x:v>截止日前日期，盘中时分未核</x:v>
      </x:c>
    </x:row>
    <x:row r="158" ht="23" customHeight="1">
      <x:c r="A158" s="11" t="str">
        <x:v>I023</x:v>
      </x:c>
      <x:c r="B158" s="11" t="str">
        <x:v>01530.HK</x:v>
      </x:c>
      <x:c r="C158" s="11" t="str">
        <x:v>interimDividendHKD</x:v>
      </x:c>
      <x:c r="D158" s="39" t="n">
        <x:v>0</x:v>
      </x:c>
      <x:c r="E158" s="11" t="str">
        <x:v>HKD</x:v>
      </x:c>
      <x:c r="F158" s="11" t="str">
        <x:v>per ordinary share</x:v>
      </x:c>
      <x:c r="G158" s="11" t="str">
        <x:v>2026H1</x:v>
      </x:c>
      <x:c r="H158" s="11" t="str">
        <x:v>2026-09-30</x:v>
      </x:c>
      <x:c r="I158" s="11" t="str">
        <x:v>https://iis.aastocks.com/20260930/12352467-0.PDF</x:v>
      </x:c>
      <x:c r="J158" s="11" t="str"/>
      <x:c r="K158" s="11" t="str">
        <x:v>待核</x:v>
      </x:c>
      <x:c r="L158" s="11" t="str">
        <x:v>精确发布时间未核验</x:v>
      </x:c>
      <x:c r="M158" s="11" t="str">
        <x:v>截止日前日期，盘中时分未核</x:v>
      </x:c>
    </x:row>
    <x:row r="159" ht="23" customHeight="1">
      <x:c r="A159" s="11" t="str">
        <x:v>I023</x:v>
      </x:c>
      <x:c r="B159" s="11" t="str">
        <x:v>01530.HK</x:v>
      </x:c>
      <x:c r="C159" s="11" t="str">
        <x:v>priorDividendHKD</x:v>
      </x:c>
      <x:c r="D159" s="39" t="n">
        <x:v>0.25</x:v>
      </x:c>
      <x:c r="E159" s="11" t="str">
        <x:v>HKD</x:v>
      </x:c>
      <x:c r="F159" s="11" t="str">
        <x:v>per ordinary share</x:v>
      </x:c>
      <x:c r="G159" s="11" t="str">
        <x:v>2026H1</x:v>
      </x:c>
      <x:c r="H159" s="11" t="str">
        <x:v>2026-09-30</x:v>
      </x:c>
      <x:c r="I159" s="11" t="str">
        <x:v>https://iis.aastocks.com/20260930/12352467-0.PDF</x:v>
      </x:c>
      <x:c r="J159" s="11" t="str"/>
      <x:c r="K159" s="11" t="str">
        <x:v>待核</x:v>
      </x:c>
      <x:c r="L159" s="11" t="str">
        <x:v>精确发布时间未核验</x:v>
      </x:c>
      <x:c r="M159" s="11" t="str">
        <x:v>截止日前日期，盘中时分未核</x:v>
      </x:c>
    </x:row>
    <x:row r="160" ht="23" customHeight="1">
      <x:c r="A160" s="11" t="str">
        <x:v>I075</x:v>
      </x:c>
      <x:c r="B160" s="11" t="str">
        <x:v>09988.HK</x:v>
      </x:c>
      <x:c r="C160" s="11" t="str">
        <x:v>revenueCNYmillion</x:v>
      </x:c>
      <x:c r="D160" s="39" t="n">
        <x:v>1023670</x:v>
      </x:c>
      <x:c r="E160" s="11" t="str">
        <x:v>CNY</x:v>
      </x:c>
      <x:c r="F160" s="11" t="str">
        <x:v>million</x:v>
      </x:c>
      <x:c r="G160" s="11" t="str">
        <x:v>FY2026 ended 2026-03-31</x:v>
      </x:c>
      <x:c r="H160" s="11" t="str">
        <x:v>2026-05-13</x:v>
      </x:c>
      <x:c r="I160" s="11" t="str">
        <x:v>https://data.alibabagroup.com/ecms-files/1532295521/5b1cb883-8d00-4237-a148-6631cc12a5d2/Alibaba%20Group%20Announces%20March%20Quarter%202026%20and%20Fiscal%20Year%202026%20Results.pdf</x:v>
      </x:c>
      <x:c r="J160" s="11" t="str">
        <x:v>reported input; field suffix retains original scale</x:v>
      </x:c>
      <x:c r="K160" s="11" t="str">
        <x:v>待核</x:v>
      </x:c>
      <x:c r="L160" s="11" t="str">
        <x:v>精确发布时间未核验</x:v>
      </x:c>
      <x:c r="M160" s="11" t="str">
        <x:v>截止日前日期，盘中时分未核</x:v>
      </x:c>
    </x:row>
    <x:row r="161" ht="23" customHeight="1">
      <x:c r="A161" s="11" t="str">
        <x:v>I075</x:v>
      </x:c>
      <x:c r="B161" s="11" t="str">
        <x:v>09988.HK</x:v>
      </x:c>
      <x:c r="C161" s="11" t="str">
        <x:v>adjustedEBITACNYmillion</x:v>
      </x:c>
      <x:c r="D161" s="39" t="n">
        <x:v>76416</x:v>
      </x:c>
      <x:c r="E161" s="11" t="str">
        <x:v>CNY</x:v>
      </x:c>
      <x:c r="F161" s="11" t="str">
        <x:v>million</x:v>
      </x:c>
      <x:c r="G161" s="11" t="str">
        <x:v>FY2026 ended 2026-03-31</x:v>
      </x:c>
      <x:c r="H161" s="11" t="str">
        <x:v>2026-05-13</x:v>
      </x:c>
      <x:c r="I161" s="11" t="str">
        <x:v>https://data.alibabagroup.com/ecms-files/1532295521/5b1cb883-8d00-4237-a148-6631cc12a5d2/Alibaba%20Group%20Announces%20March%20Quarter%202026%20and%20Fiscal%20Year%202026%20Results.pdf</x:v>
      </x:c>
      <x:c r="J161" s="11" t="str">
        <x:v>reported input; field suffix retains original scale</x:v>
      </x:c>
      <x:c r="K161" s="11" t="str">
        <x:v>待核</x:v>
      </x:c>
      <x:c r="L161" s="11" t="str">
        <x:v>精确发布时间未核验</x:v>
      </x:c>
      <x:c r="M161" s="11" t="str">
        <x:v>截止日前日期，盘中时分未核</x:v>
      </x:c>
    </x:row>
    <x:row r="162" ht="23" customHeight="1">
      <x:c r="A162" s="11" t="str">
        <x:v>I075</x:v>
      </x:c>
      <x:c r="B162" s="11" t="str">
        <x:v>09988.HK</x:v>
      </x:c>
      <x:c r="C162" s="11" t="str">
        <x:v>nonGAAPNetIncomeCNYmillion</x:v>
      </x:c>
      <x:c r="D162" s="39" t="n">
        <x:v>60658</x:v>
      </x:c>
      <x:c r="E162" s="11" t="str">
        <x:v>CNY</x:v>
      </x:c>
      <x:c r="F162" s="11" t="str">
        <x:v>million</x:v>
      </x:c>
      <x:c r="G162" s="11" t="str">
        <x:v>FY2026 ended 2026-03-31</x:v>
      </x:c>
      <x:c r="H162" s="11" t="str">
        <x:v>2026-05-13</x:v>
      </x:c>
      <x:c r="I162" s="11" t="str">
        <x:v>https://data.alibabagroup.com/ecms-files/1532295521/5b1cb883-8d00-4237-a148-6631cc12a5d2/Alibaba%20Group%20Announces%20March%20Quarter%202026%20and%20Fiscal%20Year%202026%20Results.pdf</x:v>
      </x:c>
      <x:c r="J162" s="11" t="str">
        <x:v>reported input; field suffix retains original scale</x:v>
      </x:c>
      <x:c r="K162" s="11" t="str">
        <x:v>待核</x:v>
      </x:c>
      <x:c r="L162" s="11" t="str">
        <x:v>精确发布时间未核验</x:v>
      </x:c>
      <x:c r="M162" s="11" t="str">
        <x:v>截止日前日期，盘中时分未核</x:v>
      </x:c>
    </x:row>
    <x:row r="163" ht="23" customHeight="1">
      <x:c r="A163" s="11" t="str">
        <x:v>I075</x:v>
      </x:c>
      <x:c r="B163" s="11" t="str">
        <x:v>09988.HK</x:v>
      </x:c>
      <x:c r="C163" s="11" t="str">
        <x:v>nonGAAPDilutedEPSCNY</x:v>
      </x:c>
      <x:c r="D163" s="39" t="n">
        <x:v>3.35</x:v>
      </x:c>
      <x:c r="E163" s="11" t="str">
        <x:v>CNY</x:v>
      </x:c>
      <x:c r="F163" s="11" t="str">
        <x:v>per ordinary share</x:v>
      </x:c>
      <x:c r="G163" s="11" t="str">
        <x:v>FY2026 ended 2026-03-31</x:v>
      </x:c>
      <x:c r="H163" s="11" t="str">
        <x:v>2026-05-13</x:v>
      </x:c>
      <x:c r="I163" s="11" t="str">
        <x:v>https://data.alibabagroup.com/ecms-files/1532295521/5b1cb883-8d00-4237-a148-6631cc12a5d2/Alibaba%20Group%20Announces%20March%20Quarter%202026%20and%20Fiscal%20Year%202026%20Results.pdf</x:v>
      </x:c>
      <x:c r="J163" s="11" t="str">
        <x:v>reported input; field suffix retains original scale</x:v>
      </x:c>
      <x:c r="K163" s="11" t="str">
        <x:v>待核</x:v>
      </x:c>
      <x:c r="L163" s="11" t="str">
        <x:v>精确发布时间未核验</x:v>
      </x:c>
      <x:c r="M163" s="11" t="str">
        <x:v>截止日前日期，盘中时分未核</x:v>
      </x:c>
    </x:row>
    <x:row r="164" ht="23" customHeight="1">
      <x:c r="A164" s="11" t="str">
        <x:v>I075</x:v>
      </x:c>
      <x:c r="B164" s="11" t="str">
        <x:v>09988.HK</x:v>
      </x:c>
      <x:c r="C164" s="11" t="str">
        <x:v>operatingCashFlowCNYmillion</x:v>
      </x:c>
      <x:c r="D164" s="39" t="n">
        <x:v>76213</x:v>
      </x:c>
      <x:c r="E164" s="11" t="str">
        <x:v>CNY</x:v>
      </x:c>
      <x:c r="F164" s="11" t="str">
        <x:v>million</x:v>
      </x:c>
      <x:c r="G164" s="11" t="str">
        <x:v>FY2026 ended 2026-03-31</x:v>
      </x:c>
      <x:c r="H164" s="11" t="str">
        <x:v>2026-05-13</x:v>
      </x:c>
      <x:c r="I164" s="11" t="str">
        <x:v>https://data.alibabagroup.com/ecms-files/1532295521/5b1cb883-8d00-4237-a148-6631cc12a5d2/Alibaba%20Group%20Announces%20March%20Quarter%202026%20and%20Fiscal%20Year%202026%20Results.pdf</x:v>
      </x:c>
      <x:c r="J164" s="11" t="str">
        <x:v>reported input; field suffix retains original scale</x:v>
      </x:c>
      <x:c r="K164" s="11" t="str">
        <x:v>待核</x:v>
      </x:c>
      <x:c r="L164" s="11" t="str">
        <x:v>精确发布时间未核验</x:v>
      </x:c>
      <x:c r="M164" s="11" t="str">
        <x:v>截止日前日期，盘中时分未核</x:v>
      </x:c>
    </x:row>
    <x:row r="165" ht="23" customHeight="1">
      <x:c r="A165" s="11" t="str">
        <x:v>I075</x:v>
      </x:c>
      <x:c r="B165" s="11" t="str">
        <x:v>09988.HK</x:v>
      </x:c>
      <x:c r="C165" s="11" t="str">
        <x:v>FCFCNYmillion</x:v>
      </x:c>
      <x:c r="D165" s="39" t="n">
        <x:v>-46609</x:v>
      </x:c>
      <x:c r="E165" s="11" t="str">
        <x:v>CNY</x:v>
      </x:c>
      <x:c r="F165" s="11" t="str">
        <x:v>million</x:v>
      </x:c>
      <x:c r="G165" s="11" t="str">
        <x:v>FY2026 ended 2026-03-31</x:v>
      </x:c>
      <x:c r="H165" s="11" t="str">
        <x:v>2026-05-13</x:v>
      </x:c>
      <x:c r="I165" s="11" t="str">
        <x:v>https://data.alibabagroup.com/ecms-files/1532295521/5b1cb883-8d00-4237-a148-6631cc12a5d2/Alibaba%20Group%20Announces%20March%20Quarter%202026%20and%20Fiscal%20Year%202026%20Results.pdf</x:v>
      </x:c>
      <x:c r="J165" s="11" t="str">
        <x:v>research calculation from cited inputs</x:v>
      </x:c>
      <x:c r="K165" s="11" t="str">
        <x:v>待核</x:v>
      </x:c>
      <x:c r="L165" s="11" t="str">
        <x:v>精确发布时间未核验</x:v>
      </x:c>
      <x:c r="M165" s="11" t="str">
        <x:v>截止日前日期，盘中时分未核</x:v>
      </x:c>
    </x:row>
    <x:row r="166" ht="23" customHeight="1">
      <x:c r="A166" s="11" t="str">
        <x:v>I075</x:v>
      </x:c>
      <x:c r="B166" s="11" t="str">
        <x:v>09988.HK</x:v>
      </x:c>
      <x:c r="C166" s="11" t="str">
        <x:v>capexCNYmillion</x:v>
      </x:c>
      <x:c r="D166" s="39" t="n">
        <x:v>126063</x:v>
      </x:c>
      <x:c r="E166" s="11" t="str">
        <x:v>CNY</x:v>
      </x:c>
      <x:c r="F166" s="11" t="str">
        <x:v>million</x:v>
      </x:c>
      <x:c r="G166" s="11" t="str">
        <x:v>FY2026 ended 2026-03-31</x:v>
      </x:c>
      <x:c r="H166" s="11" t="str">
        <x:v>2026-05-13</x:v>
      </x:c>
      <x:c r="I166" s="11" t="str">
        <x:v>https://data.alibabagroup.com/ecms-files/1532295521/5b1cb883-8d00-4237-a148-6631cc12a5d2/Alibaba%20Group%20Announces%20March%20Quarter%202026%20and%20Fiscal%20Year%202026%20Results.pdf</x:v>
      </x:c>
      <x:c r="J166" s="11" t="str">
        <x:v>reported input; field suffix retains original scale</x:v>
      </x:c>
      <x:c r="K166" s="11" t="str">
        <x:v>待核</x:v>
      </x:c>
      <x:c r="L166" s="11" t="str">
        <x:v>精确发布时间未核验</x:v>
      </x:c>
      <x:c r="M166" s="11" t="str">
        <x:v>截止日前日期，盘中时分未核</x:v>
      </x:c>
    </x:row>
    <x:row r="167" ht="23" customHeight="1">
      <x:c r="A167" s="11" t="str">
        <x:v>I075</x:v>
      </x:c>
      <x:c r="B167" s="11" t="str">
        <x:v>09988.HK</x:v>
      </x:c>
      <x:c r="C167" s="11" t="str">
        <x:v>priorYearNonGAAPDilutedEPSCNY</x:v>
      </x:c>
      <x:c r="D167" s="39" t="n">
        <x:v>8.18</x:v>
      </x:c>
      <x:c r="E167" s="11" t="str">
        <x:v>CNY</x:v>
      </x:c>
      <x:c r="F167" s="11" t="str">
        <x:v>per ordinary share</x:v>
      </x:c>
      <x:c r="G167" s="11" t="str">
        <x:v>FY2026 ended 2026-03-31</x:v>
      </x:c>
      <x:c r="H167" s="11" t="str">
        <x:v>2026-05-13</x:v>
      </x:c>
      <x:c r="I167" s="11" t="str">
        <x:v>https://data.alibabagroup.com/ecms-files/1532295521/5b1cb883-8d00-4237-a148-6631cc12a5d2/Alibaba%20Group%20Announces%20March%20Quarter%202026%20and%20Fiscal%20Year%202026%20Results.pdf</x:v>
      </x:c>
      <x:c r="J167" s="11" t="str">
        <x:v>reported input; field suffix retains original scale</x:v>
      </x:c>
      <x:c r="K167" s="11" t="str">
        <x:v>待核</x:v>
      </x:c>
      <x:c r="L167" s="11" t="str">
        <x:v>精确发布时间未核验</x:v>
      </x:c>
      <x:c r="M167" s="11" t="str">
        <x:v>截止日前日期，盘中时分未核</x:v>
      </x:c>
    </x:row>
    <x:row r="168" ht="23" customHeight="1">
      <x:c r="A168" s="11" t="str">
        <x:v>I075</x:v>
      </x:c>
      <x:c r="B168" s="11" t="str">
        <x:v>09988.HK</x:v>
      </x:c>
      <x:c r="C168" s="11" t="str">
        <x:v>historicalPEResearchFX</x:v>
      </x:c>
      <x:c r="D168" s="39" t="n">
        <x:v>29.0366350068</x:v>
      </x:c>
      <x:c r="E168" s="11" t="str">
        <x:v>CNY</x:v>
      </x:c>
      <x:c r="F168" s="11" t="str">
        <x:v>multiple</x:v>
      </x:c>
      <x:c r="G168" s="11" t="str">
        <x:v>FY2026 ended 2026-03-31</x:v>
      </x:c>
      <x:c r="H168" s="11" t="str">
        <x:v>2026-05-13</x:v>
      </x:c>
      <x:c r="I168" s="11" t="str">
        <x:v>https://data.alibabagroup.com/ecms-files/1532295521/5b1cb883-8d00-4237-a148-6631cc12a5d2/Alibaba%20Group%20Announces%20March%20Quarter%202026%20and%20Fiscal%20Year%202026%20Results.pdf</x:v>
      </x:c>
      <x:c r="J168" s="11" t="str">
        <x:v>research calculation from cited inputs</x:v>
      </x:c>
      <x:c r="K168" s="11" t="str">
        <x:v>待核</x:v>
      </x:c>
      <x:c r="L168" s="11" t="str">
        <x:v>精确发布时间未核验</x:v>
      </x:c>
      <x:c r="M168" s="11" t="str">
        <x:v>截止日前日期，盘中时分未核</x:v>
      </x:c>
    </x:row>
    <x:row r="169" ht="23" customHeight="1">
      <x:c r="A169" s="11" t="str">
        <x:v>I075</x:v>
      </x:c>
      <x:c r="B169" s="11" t="str">
        <x:v>09988.HK</x:v>
      </x:c>
      <x:c r="C169" s="11" t="str">
        <x:v>approxTTMEPSCNY</x:v>
      </x:c>
      <x:c r="D169" s="39" t="n">
        <x:v>2.58</x:v>
      </x:c>
      <x:c r="E169" s="11" t="str">
        <x:v>CNY</x:v>
      </x:c>
      <x:c r="F169" s="11" t="str">
        <x:v>per ordinary share</x:v>
      </x:c>
      <x:c r="G169" s="11" t="str">
        <x:v>FY2026 ended 2026-03-31</x:v>
      </x:c>
      <x:c r="H169" s="11" t="str">
        <x:v>2026-05-13</x:v>
      </x:c>
      <x:c r="I169" s="11" t="str">
        <x:v>https://data.alibabagroup.com/ecms-files/1532295521/5b1cb883-8d00-4237-a148-6631cc12a5d2/Alibaba%20Group%20Announces%20March%20Quarter%202026%20and%20Fiscal%20Year%202026%20Results.pdf</x:v>
      </x:c>
      <x:c r="J169" s="11" t="str">
        <x:v>research calculation from cited inputs</x:v>
      </x:c>
      <x:c r="K169" s="11" t="str">
        <x:v>待核</x:v>
      </x:c>
      <x:c r="L169" s="11" t="str">
        <x:v>精确发布时间未核验</x:v>
      </x:c>
      <x:c r="M169" s="11" t="str">
        <x:v>截止日前日期，盘中时分未核</x:v>
      </x:c>
    </x:row>
    <x:row r="170" ht="23" customHeight="1">
      <x:c r="A170" s="11" t="str">
        <x:v>I075</x:v>
      </x:c>
      <x:c r="B170" s="11" t="str">
        <x:v>09988.HK</x:v>
      </x:c>
      <x:c r="C170" s="11" t="str">
        <x:v>approxTTMPEResearchFX</x:v>
      </x:c>
      <x:c r="D170" s="39" t="n">
        <x:v>37.70260747</x:v>
      </x:c>
      <x:c r="E170" s="11" t="str">
        <x:v>CNY</x:v>
      </x:c>
      <x:c r="F170" s="11" t="str">
        <x:v>multiple</x:v>
      </x:c>
      <x:c r="G170" s="11" t="str">
        <x:v>FY2026 ended 2026-03-31</x:v>
      </x:c>
      <x:c r="H170" s="11" t="str">
        <x:v>2026-05-13</x:v>
      </x:c>
      <x:c r="I170" s="11" t="str">
        <x:v>https://data.alibabagroup.com/ecms-files/1532295521/5b1cb883-8d00-4237-a148-6631cc12a5d2/Alibaba%20Group%20Announces%20March%20Quarter%202026%20and%20Fiscal%20Year%202026%20Results.pdf</x:v>
      </x:c>
      <x:c r="J170" s="11" t="str">
        <x:v>research calculation from cited inputs</x:v>
      </x:c>
      <x:c r="K170" s="11" t="str">
        <x:v>待核</x:v>
      </x:c>
      <x:c r="L170" s="11" t="str">
        <x:v>精确发布时间未核验</x:v>
      </x:c>
      <x:c r="M170" s="11" t="str">
        <x:v>截止日前日期，盘中时分未核</x:v>
      </x:c>
    </x:row>
    <x:row r="171" ht="23" customHeight="1">
      <x:c r="A171" s="11" t="str">
        <x:v>I075</x:v>
      </x:c>
      <x:c r="B171" s="11" t="str">
        <x:v>09988.HK</x:v>
      </x:c>
      <x:c r="C171" s="11" t="str">
        <x:v>revenueCNYmillion</x:v>
      </x:c>
      <x:c r="D171" s="39" t="n">
        <x:v>268953</x:v>
      </x:c>
      <x:c r="E171" s="11" t="str">
        <x:v>CNY</x:v>
      </x:c>
      <x:c r="F171" s="11" t="str">
        <x:v>million</x:v>
      </x:c>
      <x:c r="G171" s="11" t="str">
        <x:v>FY2027 Q1, 2026-04-01 to 2026-06-30</x:v>
      </x:c>
      <x:c r="H171" s="11" t="str">
        <x:v>2026-08-20</x:v>
      </x:c>
      <x:c r="I171" s="11" t="str">
        <x:v>https://data.alibabagroup.com/ecms-files/1532295521/fa5d65fc-9b3e-4e82-a8fc-4ce1c3e2c407/Alibaba%20Group%20Announces%20June%20Quarter%202026%20Results.pdf</x:v>
      </x:c>
      <x:c r="J171" s="11" t="str">
        <x:v>reported input; original field suffix retains scale</x:v>
      </x:c>
      <x:c r="K171" s="11" t="str">
        <x:v>待核</x:v>
      </x:c>
      <x:c r="L171" s="11" t="str">
        <x:v>精确发布时间未核验</x:v>
      </x:c>
      <x:c r="M171" s="11" t="str">
        <x:v>截止日前日期，盘中时分未核</x:v>
      </x:c>
    </x:row>
    <x:row r="172" ht="23" customHeight="1">
      <x:c r="A172" s="11" t="str">
        <x:v>I075</x:v>
      </x:c>
      <x:c r="B172" s="11" t="str">
        <x:v>09988.HK</x:v>
      </x:c>
      <x:c r="C172" s="11" t="str">
        <x:v>adjustedEBITACNYmillion</x:v>
      </x:c>
      <x:c r="D172" s="39" t="n">
        <x:v>27329</x:v>
      </x:c>
      <x:c r="E172" s="11" t="str">
        <x:v>CNY</x:v>
      </x:c>
      <x:c r="F172" s="11" t="str">
        <x:v>million</x:v>
      </x:c>
      <x:c r="G172" s="11" t="str">
        <x:v>FY2027 Q1, 2026-04-01 to 2026-06-30</x:v>
      </x:c>
      <x:c r="H172" s="11" t="str">
        <x:v>2026-08-20</x:v>
      </x:c>
      <x:c r="I172" s="11" t="str">
        <x:v>https://data.alibabagroup.com/ecms-files/1532295521/fa5d65fc-9b3e-4e82-a8fc-4ce1c3e2c407/Alibaba%20Group%20Announces%20June%20Quarter%202026%20Results.pdf</x:v>
      </x:c>
      <x:c r="J172" s="11" t="str">
        <x:v>reported input; original field suffix retains scale</x:v>
      </x:c>
      <x:c r="K172" s="11" t="str">
        <x:v>待核</x:v>
      </x:c>
      <x:c r="L172" s="11" t="str">
        <x:v>精确发布时间未核验</x:v>
      </x:c>
      <x:c r="M172" s="11" t="str">
        <x:v>截止日前日期，盘中时分未核</x:v>
      </x:c>
    </x:row>
    <x:row r="173" ht="23" customHeight="1">
      <x:c r="A173" s="11" t="str">
        <x:v>I075</x:v>
      </x:c>
      <x:c r="B173" s="11" t="str">
        <x:v>09988.HK</x:v>
      </x:c>
      <x:c r="C173" s="11" t="str">
        <x:v>nonGAAPNetIncomeCNYmillion</x:v>
      </x:c>
      <x:c r="D173" s="39" t="n">
        <x:v>20715</x:v>
      </x:c>
      <x:c r="E173" s="11" t="str">
        <x:v>CNY</x:v>
      </x:c>
      <x:c r="F173" s="11" t="str">
        <x:v>million</x:v>
      </x:c>
      <x:c r="G173" s="11" t="str">
        <x:v>FY2027 Q1, 2026-04-01 to 2026-06-30</x:v>
      </x:c>
      <x:c r="H173" s="11" t="str">
        <x:v>2026-08-20</x:v>
      </x:c>
      <x:c r="I173" s="11" t="str">
        <x:v>https://data.alibabagroup.com/ecms-files/1532295521/fa5d65fc-9b3e-4e82-a8fc-4ce1c3e2c407/Alibaba%20Group%20Announces%20June%20Quarter%202026%20Results.pdf</x:v>
      </x:c>
      <x:c r="J173" s="11" t="str">
        <x:v>reported input; original field suffix retains scale</x:v>
      </x:c>
      <x:c r="K173" s="11" t="str">
        <x:v>待核</x:v>
      </x:c>
      <x:c r="L173" s="11" t="str">
        <x:v>精确发布时间未核验</x:v>
      </x:c>
      <x:c r="M173" s="11" t="str">
        <x:v>截止日前日期，盘中时分未核</x:v>
      </x:c>
    </x:row>
    <x:row r="174" ht="23" customHeight="1">
      <x:c r="A174" s="11" t="str">
        <x:v>I075</x:v>
      </x:c>
      <x:c r="B174" s="11" t="str">
        <x:v>09988.HK</x:v>
      </x:c>
      <x:c r="C174" s="11" t="str">
        <x:v>nonGAAPDilutedEPSCNY</x:v>
      </x:c>
      <x:c r="D174" s="39" t="n">
        <x:v>1.07</x:v>
      </x:c>
      <x:c r="E174" s="11" t="str">
        <x:v>CNY</x:v>
      </x:c>
      <x:c r="F174" s="11" t="str">
        <x:v>per ordinary share</x:v>
      </x:c>
      <x:c r="G174" s="11" t="str">
        <x:v>FY2027 Q1, 2026-04-01 to 2026-06-30</x:v>
      </x:c>
      <x:c r="H174" s="11" t="str">
        <x:v>2026-08-20</x:v>
      </x:c>
      <x:c r="I174" s="11" t="str">
        <x:v>https://data.alibabagroup.com/ecms-files/1532295521/fa5d65fc-9b3e-4e82-a8fc-4ce1c3e2c407/Alibaba%20Group%20Announces%20June%20Quarter%202026%20Results.pdf</x:v>
      </x:c>
      <x:c r="J174" s="11" t="str">
        <x:v>reported input; original field suffix retains scale</x:v>
      </x:c>
      <x:c r="K174" s="11" t="str">
        <x:v>待核</x:v>
      </x:c>
      <x:c r="L174" s="11" t="str">
        <x:v>精确发布时间未核验</x:v>
      </x:c>
      <x:c r="M174" s="11" t="str">
        <x:v>截止日前日期，盘中时分未核</x:v>
      </x:c>
    </x:row>
    <x:row r="175" ht="23" customHeight="1">
      <x:c r="A175" s="11" t="str">
        <x:v>I075</x:v>
      </x:c>
      <x:c r="B175" s="11" t="str">
        <x:v>09988.HK</x:v>
      </x:c>
      <x:c r="C175" s="11" t="str">
        <x:v>operatingCashFlowCNYmillion</x:v>
      </x:c>
      <x:c r="D175" s="39" t="n">
        <x:v>22945</x:v>
      </x:c>
      <x:c r="E175" s="11" t="str">
        <x:v>CNY</x:v>
      </x:c>
      <x:c r="F175" s="11" t="str">
        <x:v>million</x:v>
      </x:c>
      <x:c r="G175" s="11" t="str">
        <x:v>FY2027 Q1, 2026-04-01 to 2026-06-30</x:v>
      </x:c>
      <x:c r="H175" s="11" t="str">
        <x:v>2026-08-20</x:v>
      </x:c>
      <x:c r="I175" s="11" t="str">
        <x:v>https://data.alibabagroup.com/ecms-files/1532295521/fa5d65fc-9b3e-4e82-a8fc-4ce1c3e2c407/Alibaba%20Group%20Announces%20June%20Quarter%202026%20Results.pdf</x:v>
      </x:c>
      <x:c r="J175" s="11" t="str">
        <x:v>reported input; original field suffix retains scale</x:v>
      </x:c>
      <x:c r="K175" s="11" t="str">
        <x:v>待核</x:v>
      </x:c>
      <x:c r="L175" s="11" t="str">
        <x:v>精确发布时间未核验</x:v>
      </x:c>
      <x:c r="M175" s="11" t="str">
        <x:v>截止日前日期，盘中时分未核</x:v>
      </x:c>
    </x:row>
    <x:row r="176" ht="23" customHeight="1">
      <x:c r="A176" s="11" t="str">
        <x:v>I075</x:v>
      </x:c>
      <x:c r="B176" s="11" t="str">
        <x:v>09988.HK</x:v>
      </x:c>
      <x:c r="C176" s="11" t="str">
        <x:v>FCFCNYmillion</x:v>
      </x:c>
      <x:c r="D176" s="39" t="n">
        <x:v>-44670</x:v>
      </x:c>
      <x:c r="E176" s="11" t="str">
        <x:v>CNY</x:v>
      </x:c>
      <x:c r="F176" s="11" t="str">
        <x:v>million</x:v>
      </x:c>
      <x:c r="G176" s="11" t="str">
        <x:v>FY2027 Q1, 2026-04-01 to 2026-06-30</x:v>
      </x:c>
      <x:c r="H176" s="11" t="str">
        <x:v>2026-08-20</x:v>
      </x:c>
      <x:c r="I176" s="11" t="str">
        <x:v>https://data.alibabagroup.com/ecms-files/1532295521/fa5d65fc-9b3e-4e82-a8fc-4ce1c3e2c407/Alibaba%20Group%20Announces%20June%20Quarter%202026%20Results.pdf</x:v>
      </x:c>
      <x:c r="J176" s="11" t="str">
        <x:v>reported input; original field suffix retains scale</x:v>
      </x:c>
      <x:c r="K176" s="11" t="str">
        <x:v>待核</x:v>
      </x:c>
      <x:c r="L176" s="11" t="str">
        <x:v>精确发布时间未核验</x:v>
      </x:c>
      <x:c r="M176" s="11" t="str">
        <x:v>截止日前日期，盘中时分未核</x:v>
      </x:c>
    </x:row>
    <x:row r="177" ht="23" customHeight="1">
      <x:c r="A177" s="11" t="str">
        <x:v>I075</x:v>
      </x:c>
      <x:c r="B177" s="11" t="str">
        <x:v>09988.HK</x:v>
      </x:c>
      <x:c r="C177" s="11" t="str">
        <x:v>capexCNYmillion</x:v>
      </x:c>
      <x:c r="D177" s="39" t="n">
        <x:v>67678</x:v>
      </x:c>
      <x:c r="E177" s="11" t="str">
        <x:v>CNY</x:v>
      </x:c>
      <x:c r="F177" s="11" t="str">
        <x:v>million</x:v>
      </x:c>
      <x:c r="G177" s="11" t="str">
        <x:v>FY2027 Q1, 2026-04-01 to 2026-06-30</x:v>
      </x:c>
      <x:c r="H177" s="11" t="str">
        <x:v>2026-08-20</x:v>
      </x:c>
      <x:c r="I177" s="11" t="str">
        <x:v>https://data.alibabagroup.com/ecms-files/1532295521/fa5d65fc-9b3e-4e82-a8fc-4ce1c3e2c407/Alibaba%20Group%20Announces%20June%20Quarter%202026%20Results.pdf</x:v>
      </x:c>
      <x:c r="J177" s="11" t="str">
        <x:v>reported input; original field suffix retains scale</x:v>
      </x:c>
      <x:c r="K177" s="11" t="str">
        <x:v>待核</x:v>
      </x:c>
      <x:c r="L177" s="11" t="str">
        <x:v>精确发布时间未核验</x:v>
      </x:c>
      <x:c r="M177" s="11" t="str">
        <x:v>截止日前日期，盘中时分未核</x:v>
      </x:c>
    </x:row>
    <x:row r="178" ht="23" customHeight="1">
      <x:c r="A178" s="11" t="str">
        <x:v>I075</x:v>
      </x:c>
      <x:c r="B178" s="11" t="str">
        <x:v>09988.HK</x:v>
      </x:c>
      <x:c r="C178" s="11" t="str">
        <x:v>cashAndOtherLiquidInvestmentsCNYmillion</x:v>
      </x:c>
      <x:c r="D178" s="39" t="n">
        <x:v>474505</x:v>
      </x:c>
      <x:c r="E178" s="11" t="str">
        <x:v>CNY</x:v>
      </x:c>
      <x:c r="F178" s="11" t="str">
        <x:v>million</x:v>
      </x:c>
      <x:c r="G178" s="11" t="str">
        <x:v>FY2027 Q1, 2026-04-01 to 2026-06-30</x:v>
      </x:c>
      <x:c r="H178" s="11" t="str">
        <x:v>2026-08-20</x:v>
      </x:c>
      <x:c r="I178" s="11" t="str">
        <x:v>https://data.alibabagroup.com/ecms-files/1532295521/fa5d65fc-9b3e-4e82-a8fc-4ce1c3e2c407/Alibaba%20Group%20Announces%20June%20Quarter%202026%20Results.pdf</x:v>
      </x:c>
      <x:c r="J178" s="11" t="str">
        <x:v>reported input; original field suffix retains scale</x:v>
      </x:c>
      <x:c r="K178" s="11" t="str">
        <x:v>待核</x:v>
      </x:c>
      <x:c r="L178" s="11" t="str">
        <x:v>精确发布时间未核验</x:v>
      </x:c>
      <x:c r="M178" s="11" t="str">
        <x:v>截止日前日期，盘中时分未核</x:v>
      </x:c>
    </x:row>
    <x:row r="179" ht="23" customHeight="1">
      <x:c r="A179" s="11" t="str">
        <x:v>I075</x:v>
      </x:c>
      <x:c r="B179" s="11" t="str">
        <x:v>09988.HK</x:v>
      </x:c>
      <x:c r="C179" s="11" t="str">
        <x:v>interestBearingDebtResearchCNYmillion</x:v>
      </x:c>
      <x:c r="D179" s="39" t="n">
        <x:v>266530</x:v>
      </x:c>
      <x:c r="E179" s="11" t="str">
        <x:v>CNY</x:v>
      </x:c>
      <x:c r="F179" s="11" t="str">
        <x:v>million</x:v>
      </x:c>
      <x:c r="G179" s="11" t="str">
        <x:v>FY2027 Q1, 2026-04-01 to 2026-06-30</x:v>
      </x:c>
      <x:c r="H179" s="11" t="str">
        <x:v>2026-08-20</x:v>
      </x:c>
      <x:c r="I179" s="11" t="str">
        <x:v>https://data.alibabagroup.com/ecms-files/1532295521/fa5d65fc-9b3e-4e82-a8fc-4ce1c3e2c407/Alibaba%20Group%20Announces%20June%20Quarter%202026%20Results.pdf</x:v>
      </x:c>
      <x:c r="J179" s="11" t="str">
        <x:v>research calculation from primary inputs</x:v>
      </x:c>
      <x:c r="K179" s="11" t="str">
        <x:v>待核</x:v>
      </x:c>
      <x:c r="L179" s="11" t="str">
        <x:v>精确发布时间未核验</x:v>
      </x:c>
      <x:c r="M179" s="11" t="str">
        <x:v>截止日前日期，盘中时分未核</x:v>
      </x:c>
    </x:row>
    <x:row r="180" ht="23" customHeight="1">
      <x:c r="A180" s="11" t="str">
        <x:v>I075</x:v>
      </x:c>
      <x:c r="B180" s="11" t="str">
        <x:v>09988.HK</x:v>
      </x:c>
      <x:c r="C180" s="11" t="str">
        <x:v>netLiquidityResearchCNYmillion</x:v>
      </x:c>
      <x:c r="D180" s="39" t="n">
        <x:v>207975</x:v>
      </x:c>
      <x:c r="E180" s="11" t="str">
        <x:v>CNY</x:v>
      </x:c>
      <x:c r="F180" s="11" t="str">
        <x:v>million</x:v>
      </x:c>
      <x:c r="G180" s="11" t="str">
        <x:v>FY2027 Q1, 2026-04-01 to 2026-06-30</x:v>
      </x:c>
      <x:c r="H180" s="11" t="str">
        <x:v>2026-08-20</x:v>
      </x:c>
      <x:c r="I180" s="11" t="str">
        <x:v>https://data.alibabagroup.com/ecms-files/1532295521/fa5d65fc-9b3e-4e82-a8fc-4ce1c3e2c407/Alibaba%20Group%20Announces%20June%20Quarter%202026%20Results.pdf</x:v>
      </x:c>
      <x:c r="J180" s="11" t="str">
        <x:v>research calculation from primary inputs</x:v>
      </x:c>
      <x:c r="K180" s="11" t="str">
        <x:v>待核</x:v>
      </x:c>
      <x:c r="L180" s="11" t="str">
        <x:v>精确发布时间未核验</x:v>
      </x:c>
      <x:c r="M180" s="11" t="str">
        <x:v>截止日前日期，盘中时分未核</x:v>
      </x:c>
    </x:row>
    <x:row r="181" ht="23" customHeight="1">
      <x:c r="A181" s="11" t="str">
        <x:v>I075</x:v>
      </x:c>
      <x:c r="B181" s="11" t="str">
        <x:v>09988.HK</x:v>
      </x:c>
      <x:c r="C181" s="11" t="str">
        <x:v>dilutedSharesMillion</x:v>
      </x:c>
      <x:c r="D181" s="39" t="n">
        <x:v>19324</x:v>
      </x:c>
      <x:c r="E181" s="11" t="str">
        <x:v>CNY</x:v>
      </x:c>
      <x:c r="F181" s="11" t="str">
        <x:v>million shares</x:v>
      </x:c>
      <x:c r="G181" s="11" t="str">
        <x:v>FY2027 Q1, 2026-04-01 to 2026-06-30</x:v>
      </x:c>
      <x:c r="H181" s="11" t="str">
        <x:v>2026-08-20</x:v>
      </x:c>
      <x:c r="I181" s="11" t="str">
        <x:v>https://data.alibabagroup.com/ecms-files/1532295521/fa5d65fc-9b3e-4e82-a8fc-4ce1c3e2c407/Alibaba%20Group%20Announces%20June%20Quarter%202026%20Results.pdf</x:v>
      </x:c>
      <x:c r="J181" s="11" t="str">
        <x:v>reported input; original field suffix retains scale</x:v>
      </x:c>
      <x:c r="K181" s="11" t="str">
        <x:v>待核</x:v>
      </x:c>
      <x:c r="L181" s="11" t="str">
        <x:v>精确发布时间未核验</x:v>
      </x:c>
      <x:c r="M181" s="11" t="str">
        <x:v>截止日前日期，盘中时分未核</x:v>
      </x:c>
    </x:row>
    <x:row r="182" ht="23" customHeight="1">
      <x:c r="A182" s="11" t="str">
        <x:v>I006</x:v>
      </x:c>
      <x:c r="B182" s="11" t="str">
        <x:v>002821.SZ</x:v>
      </x:c>
      <x:c r="C182" s="11" t="str">
        <x:v>revenue</x:v>
      </x:c>
      <x:c r="D182" s="39" t="n">
        <x:v>3606.83930251</x:v>
      </x:c>
      <x:c r="E182" s="11" t="str">
        <x:v>CNY</x:v>
      </x:c>
      <x:c r="F182" s="11" t="str">
        <x:v>million</x:v>
      </x:c>
      <x:c r="G182" s="11" t="str">
        <x:v>2026H1</x:v>
      </x:c>
      <x:c r="H182" s="11" t="str">
        <x:v>2026-08-25</x:v>
      </x:c>
      <x:c r="I182" s="11" t="str">
        <x:v>https://static.cninfo.com.cn/finalpage/2026-08-25/1225496302.PDF</x:v>
      </x:c>
      <x:c r="J182" s="11" t="str"/>
      <x:c r="K182" s="11" t="str">
        <x:v>待核</x:v>
      </x:c>
      <x:c r="L182" s="11" t="str">
        <x:v>精确发布时间未核验</x:v>
      </x:c>
      <x:c r="M182" s="11" t="str">
        <x:v>截止日前日期，盘中时分未核</x:v>
      </x:c>
    </x:row>
    <x:row r="183" ht="23" customHeight="1">
      <x:c r="A183" s="11" t="str">
        <x:v>I006</x:v>
      </x:c>
      <x:c r="B183" s="11" t="str">
        <x:v>002821.SZ</x:v>
      </x:c>
      <x:c r="C183" s="11" t="str">
        <x:v>revenueGrowthPct</x:v>
      </x:c>
      <x:c r="D183" s="39" t="n">
        <x:v>13.13</x:v>
      </x:c>
      <x:c r="E183" s="11" t="str">
        <x:v>not monetary</x:v>
      </x:c>
      <x:c r="F183" s="11" t="str">
        <x:v>percent</x:v>
      </x:c>
      <x:c r="G183" s="11" t="str">
        <x:v>2026H1</x:v>
      </x:c>
      <x:c r="H183" s="11" t="str">
        <x:v>2026-08-25</x:v>
      </x:c>
      <x:c r="I183" s="11" t="str">
        <x:v>https://static.cninfo.com.cn/finalpage/2026-08-25/1225496302.PDF</x:v>
      </x:c>
      <x:c r="J183" s="11" t="str"/>
      <x:c r="K183" s="11" t="str">
        <x:v>待核</x:v>
      </x:c>
      <x:c r="L183" s="11" t="str">
        <x:v>精确发布时间未核验</x:v>
      </x:c>
      <x:c r="M183" s="11" t="str">
        <x:v>截止日前日期，盘中时分未核</x:v>
      </x:c>
    </x:row>
    <x:row r="184" ht="23" customHeight="1">
      <x:c r="A184" s="11" t="str">
        <x:v>I006</x:v>
      </x:c>
      <x:c r="B184" s="11" t="str">
        <x:v>002821.SZ</x:v>
      </x:c>
      <x:c r="C184" s="11" t="str">
        <x:v>constantCurrencyRevenueGrowthPct</x:v>
      </x:c>
      <x:c r="D184" s="39" t="n">
        <x:v>16.2</x:v>
      </x:c>
      <x:c r="E184" s="11" t="str">
        <x:v>not monetary</x:v>
      </x:c>
      <x:c r="F184" s="11" t="str">
        <x:v>percent</x:v>
      </x:c>
      <x:c r="G184" s="11" t="str">
        <x:v>2026H1</x:v>
      </x:c>
      <x:c r="H184" s="11" t="str">
        <x:v>2026-08-25</x:v>
      </x:c>
      <x:c r="I184" s="11" t="str">
        <x:v>https://static.cninfo.com.cn/finalpage/2026-08-25/1225496302.PDF</x:v>
      </x:c>
      <x:c r="J184" s="11" t="str"/>
      <x:c r="K184" s="11" t="str">
        <x:v>待核</x:v>
      </x:c>
      <x:c r="L184" s="11" t="str">
        <x:v>精确发布时间未核验</x:v>
      </x:c>
      <x:c r="M184" s="11" t="str">
        <x:v>截止日前日期，盘中时分未核</x:v>
      </x:c>
    </x:row>
    <x:row r="185" ht="23" customHeight="1">
      <x:c r="A185" s="11" t="str">
        <x:v>I006</x:v>
      </x:c>
      <x:c r="B185" s="11" t="str">
        <x:v>002821.SZ</x:v>
      </x:c>
      <x:c r="C185" s="11" t="str">
        <x:v>attributableProfit</x:v>
      </x:c>
      <x:c r="D185" s="39" t="n">
        <x:v>520.462195</x:v>
      </x:c>
      <x:c r="E185" s="11" t="str">
        <x:v>CNY</x:v>
      </x:c>
      <x:c r="F185" s="11" t="str">
        <x:v>million</x:v>
      </x:c>
      <x:c r="G185" s="11" t="str">
        <x:v>2026H1</x:v>
      </x:c>
      <x:c r="H185" s="11" t="str">
        <x:v>2026-08-25</x:v>
      </x:c>
      <x:c r="I185" s="11" t="str">
        <x:v>https://static.cninfo.com.cn/finalpage/2026-08-25/1225496302.PDF</x:v>
      </x:c>
      <x:c r="J185" s="11" t="str"/>
      <x:c r="K185" s="11" t="str">
        <x:v>待核</x:v>
      </x:c>
      <x:c r="L185" s="11" t="str">
        <x:v>精确发布时间未核验</x:v>
      </x:c>
      <x:c r="M185" s="11" t="str">
        <x:v>截止日前日期，盘中时分未核</x:v>
      </x:c>
    </x:row>
    <x:row r="186" ht="23" customHeight="1">
      <x:c r="A186" s="11" t="str">
        <x:v>I006</x:v>
      </x:c>
      <x:c r="B186" s="11" t="str">
        <x:v>002821.SZ</x:v>
      </x:c>
      <x:c r="C186" s="11" t="str">
        <x:v>deductedProfit</x:v>
      </x:c>
      <x:c r="D186" s="39" t="n">
        <x:v>524.80256861</x:v>
      </x:c>
      <x:c r="E186" s="11" t="str">
        <x:v>CNY</x:v>
      </x:c>
      <x:c r="F186" s="11" t="str">
        <x:v>million</x:v>
      </x:c>
      <x:c r="G186" s="11" t="str">
        <x:v>2026H1</x:v>
      </x:c>
      <x:c r="H186" s="11" t="str">
        <x:v>2026-08-25</x:v>
      </x:c>
      <x:c r="I186" s="11" t="str">
        <x:v>https://static.cninfo.com.cn/finalpage/2026-08-25/1225496302.PDF</x:v>
      </x:c>
      <x:c r="J186" s="11" t="str"/>
      <x:c r="K186" s="11" t="str">
        <x:v>待核</x:v>
      </x:c>
      <x:c r="L186" s="11" t="str">
        <x:v>精确发布时间未核验</x:v>
      </x:c>
      <x:c r="M186" s="11" t="str">
        <x:v>截止日前日期，盘中时分未核</x:v>
      </x:c>
    </x:row>
    <x:row r="187" ht="23" customHeight="1">
      <x:c r="A187" s="11" t="str">
        <x:v>I006</x:v>
      </x:c>
      <x:c r="B187" s="11" t="str">
        <x:v>002821.SZ</x:v>
      </x:c>
      <x:c r="C187" s="11" t="str">
        <x:v>totalNetProfit</x:v>
      </x:c>
      <x:c r="D187" s="39" t="n">
        <x:v>514.10917787</x:v>
      </x:c>
      <x:c r="E187" s="11" t="str">
        <x:v>CNY</x:v>
      </x:c>
      <x:c r="F187" s="11" t="str">
        <x:v>million</x:v>
      </x:c>
      <x:c r="G187" s="11" t="str">
        <x:v>2026H1</x:v>
      </x:c>
      <x:c r="H187" s="11" t="str">
        <x:v>2026-08-25</x:v>
      </x:c>
      <x:c r="I187" s="11" t="str">
        <x:v>https://static.cninfo.com.cn/finalpage/2026-08-25/1225496302.PDF</x:v>
      </x:c>
      <x:c r="J187" s="11" t="str"/>
      <x:c r="K187" s="11" t="str">
        <x:v>待核</x:v>
      </x:c>
      <x:c r="L187" s="11" t="str">
        <x:v>精确发布时间未核验</x:v>
      </x:c>
      <x:c r="M187" s="11" t="str">
        <x:v>截止日前日期，盘中时分未核</x:v>
      </x:c>
    </x:row>
    <x:row r="188" ht="23" customHeight="1">
      <x:c r="A188" s="11" t="str">
        <x:v>I006</x:v>
      </x:c>
      <x:c r="B188" s="11" t="str">
        <x:v>002821.SZ</x:v>
      </x:c>
      <x:c r="C188" s="11" t="str">
        <x:v>minorityLoss</x:v>
      </x:c>
      <x:c r="D188" s="39" t="n">
        <x:v>-6.35301713</x:v>
      </x:c>
      <x:c r="E188" s="11" t="str">
        <x:v>CNY</x:v>
      </x:c>
      <x:c r="F188" s="11" t="str">
        <x:v>million</x:v>
      </x:c>
      <x:c r="G188" s="11" t="str">
        <x:v>2026H1</x:v>
      </x:c>
      <x:c r="H188" s="11" t="str">
        <x:v>2026-08-25</x:v>
      </x:c>
      <x:c r="I188" s="11" t="str">
        <x:v>https://static.cninfo.com.cn/finalpage/2026-08-25/1225496302.PDF</x:v>
      </x:c>
      <x:c r="J188" s="11" t="str"/>
      <x:c r="K188" s="11" t="str">
        <x:v>待核</x:v>
      </x:c>
      <x:c r="L188" s="11" t="str">
        <x:v>精确发布时间未核验</x:v>
      </x:c>
      <x:c r="M188" s="11" t="str">
        <x:v>截止日前日期，盘中时分未核</x:v>
      </x:c>
    </x:row>
    <x:row r="189" ht="23" customHeight="1">
      <x:c r="A189" s="11" t="str">
        <x:v>I006</x:v>
      </x:c>
      <x:c r="B189" s="11" t="str">
        <x:v>002821.SZ</x:v>
      </x:c>
      <x:c r="C189" s="11" t="str">
        <x:v>profitGrowthPct</x:v>
      </x:c>
      <x:c r="D189" s="39" t="n">
        <x:v>-15.71</x:v>
      </x:c>
      <x:c r="E189" s="11" t="str">
        <x:v>not monetary</x:v>
      </x:c>
      <x:c r="F189" s="11" t="str">
        <x:v>percent</x:v>
      </x:c>
      <x:c r="G189" s="11" t="str">
        <x:v>2026H1</x:v>
      </x:c>
      <x:c r="H189" s="11" t="str">
        <x:v>2026-08-25</x:v>
      </x:c>
      <x:c r="I189" s="11" t="str">
        <x:v>https://static.cninfo.com.cn/finalpage/2026-08-25/1225496302.PDF</x:v>
      </x:c>
      <x:c r="J189" s="11" t="str"/>
      <x:c r="K189" s="11" t="str">
        <x:v>待核</x:v>
      </x:c>
      <x:c r="L189" s="11" t="str">
        <x:v>精确发布时间未核验</x:v>
      </x:c>
      <x:c r="M189" s="11" t="str">
        <x:v>截止日前日期，盘中时分未核</x:v>
      </x:c>
    </x:row>
    <x:row r="190" ht="23" customHeight="1">
      <x:c r="A190" s="11" t="str">
        <x:v>I006</x:v>
      </x:c>
      <x:c r="B190" s="11" t="str">
        <x:v>002821.SZ</x:v>
      </x:c>
      <x:c r="C190" s="11" t="str">
        <x:v>deductedGrowthPct</x:v>
      </x:c>
      <x:c r="D190" s="39" t="n">
        <x:v>-7.3</x:v>
      </x:c>
      <x:c r="E190" s="11" t="str">
        <x:v>not monetary</x:v>
      </x:c>
      <x:c r="F190" s="11" t="str">
        <x:v>percent</x:v>
      </x:c>
      <x:c r="G190" s="11" t="str">
        <x:v>2026H1</x:v>
      </x:c>
      <x:c r="H190" s="11" t="str">
        <x:v>2026-08-25</x:v>
      </x:c>
      <x:c r="I190" s="11" t="str">
        <x:v>https://static.cninfo.com.cn/finalpage/2026-08-25/1225496302.PDF</x:v>
      </x:c>
      <x:c r="J190" s="11" t="str"/>
      <x:c r="K190" s="11" t="str">
        <x:v>待核</x:v>
      </x:c>
      <x:c r="L190" s="11" t="str">
        <x:v>精确发布时间未核验</x:v>
      </x:c>
      <x:c r="M190" s="11" t="str">
        <x:v>截止日前日期，盘中时分未核</x:v>
      </x:c>
    </x:row>
    <x:row r="191" ht="23" customHeight="1">
      <x:c r="A191" s="11" t="str">
        <x:v>I006</x:v>
      </x:c>
      <x:c r="B191" s="11" t="str">
        <x:v>002821.SZ</x:v>
      </x:c>
      <x:c r="C191" s="11" t="str">
        <x:v>dilutedEPS</x:v>
      </x:c>
      <x:c r="D191" s="39" t="n">
        <x:v>1.45</x:v>
      </x:c>
      <x:c r="E191" s="11" t="str">
        <x:v>CNY</x:v>
      </x:c>
      <x:c r="F191" s="11" t="str">
        <x:v>per ordinary share</x:v>
      </x:c>
      <x:c r="G191" s="11" t="str">
        <x:v>2026H1</x:v>
      </x:c>
      <x:c r="H191" s="11" t="str">
        <x:v>2026-08-25</x:v>
      </x:c>
      <x:c r="I191" s="11" t="str">
        <x:v>https://static.cninfo.com.cn/finalpage/2026-08-25/1225496302.PDF</x:v>
      </x:c>
      <x:c r="J191" s="11" t="str"/>
      <x:c r="K191" s="11" t="str">
        <x:v>待核</x:v>
      </x:c>
      <x:c r="L191" s="11" t="str">
        <x:v>精确发布时间未核验</x:v>
      </x:c>
      <x:c r="M191" s="11" t="str">
        <x:v>截止日前日期，盘中时分未核</x:v>
      </x:c>
    </x:row>
    <x:row r="192" ht="23" customHeight="1">
      <x:c r="A192" s="11" t="str">
        <x:v>I006</x:v>
      </x:c>
      <x:c r="B192" s="11" t="str">
        <x:v>002821.SZ</x:v>
      </x:c>
      <x:c r="C192" s="11" t="str">
        <x:v>adjustedNetProfitCompanyApprox</x:v>
      </x:c>
      <x:c r="D192" s="39" t="n">
        <x:v>753</x:v>
      </x:c>
      <x:c r="E192" s="11" t="str">
        <x:v>CNY</x:v>
      </x:c>
      <x:c r="F192" s="11" t="str">
        <x:v>million</x:v>
      </x:c>
      <x:c r="G192" s="11" t="str">
        <x:v>2026H1</x:v>
      </x:c>
      <x:c r="H192" s="11" t="str">
        <x:v>2026-08-25</x:v>
      </x:c>
      <x:c r="I192" s="11" t="str">
        <x:v>https://static.cninfo.com.cn/finalpage/2026-08-25/1225496302.PDF</x:v>
      </x:c>
      <x:c r="J192" s="11" t="str"/>
      <x:c r="K192" s="11" t="str">
        <x:v>待核</x:v>
      </x:c>
      <x:c r="L192" s="11" t="str">
        <x:v>精确发布时间未核验</x:v>
      </x:c>
      <x:c r="M192" s="11" t="str">
        <x:v>截止日前日期，盘中时分未核</x:v>
      </x:c>
    </x:row>
    <x:row r="193" ht="23" customHeight="1">
      <x:c r="A193" s="11" t="str">
        <x:v>I006</x:v>
      </x:c>
      <x:c r="B193" s="11" t="str">
        <x:v>002821.SZ</x:v>
      </x:c>
      <x:c r="C193" s="11" t="str">
        <x:v>adjustedGrowthPct</x:v>
      </x:c>
      <x:c r="D193" s="39" t="n">
        <x:v>12.9</x:v>
      </x:c>
      <x:c r="E193" s="11" t="str">
        <x:v>not monetary</x:v>
      </x:c>
      <x:c r="F193" s="11" t="str">
        <x:v>percent</x:v>
      </x:c>
      <x:c r="G193" s="11" t="str">
        <x:v>2026H1</x:v>
      </x:c>
      <x:c r="H193" s="11" t="str">
        <x:v>2026-08-25</x:v>
      </x:c>
      <x:c r="I193" s="11" t="str">
        <x:v>https://static.cninfo.com.cn/finalpage/2026-08-25/1225496302.PDF</x:v>
      </x:c>
      <x:c r="J193" s="11" t="str"/>
      <x:c r="K193" s="11" t="str">
        <x:v>待核</x:v>
      </x:c>
      <x:c r="L193" s="11" t="str">
        <x:v>精确发布时间未核验</x:v>
      </x:c>
      <x:c r="M193" s="11" t="str">
        <x:v>截止日前日期，盘中时分未核</x:v>
      </x:c>
    </x:row>
    <x:row r="194" ht="23" customHeight="1">
      <x:c r="A194" s="11" t="str">
        <x:v>I006</x:v>
      </x:c>
      <x:c r="B194" s="11" t="str">
        <x:v>002821.SZ</x:v>
      </x:c>
      <x:c r="C194" s="11" t="str">
        <x:v>OCF</x:v>
      </x:c>
      <x:c r="D194" s="39" t="n">
        <x:v>822.28975659</x:v>
      </x:c>
      <x:c r="E194" s="11" t="str">
        <x:v>CNY</x:v>
      </x:c>
      <x:c r="F194" s="11" t="str">
        <x:v>million</x:v>
      </x:c>
      <x:c r="G194" s="11" t="str">
        <x:v>2026H1</x:v>
      </x:c>
      <x:c r="H194" s="11" t="str">
        <x:v>2026-08-25</x:v>
      </x:c>
      <x:c r="I194" s="11" t="str">
        <x:v>https://static.cninfo.com.cn/finalpage/2026-08-25/1225496302.PDF</x:v>
      </x:c>
      <x:c r="J194" s="11" t="str"/>
      <x:c r="K194" s="11" t="str">
        <x:v>待核</x:v>
      </x:c>
      <x:c r="L194" s="11" t="str">
        <x:v>精确发布时间未核验</x:v>
      </x:c>
      <x:c r="M194" s="11" t="str">
        <x:v>截止日前日期，盘中时分未核</x:v>
      </x:c>
    </x:row>
    <x:row r="195" ht="23" customHeight="1">
      <x:c r="A195" s="11" t="str">
        <x:v>I006</x:v>
      </x:c>
      <x:c r="B195" s="11" t="str">
        <x:v>002821.SZ</x:v>
      </x:c>
      <x:c r="C195" s="11" t="str">
        <x:v>capex</x:v>
      </x:c>
      <x:c r="D195" s="39" t="n">
        <x:v>854.93371822</x:v>
      </x:c>
      <x:c r="E195" s="11" t="str">
        <x:v>CNY</x:v>
      </x:c>
      <x:c r="F195" s="11" t="str">
        <x:v>million</x:v>
      </x:c>
      <x:c r="G195" s="11" t="str">
        <x:v>2026H1</x:v>
      </x:c>
      <x:c r="H195" s="11" t="str">
        <x:v>2026-08-25</x:v>
      </x:c>
      <x:c r="I195" s="11" t="str">
        <x:v>https://static.cninfo.com.cn/finalpage/2026-08-25/1225496302.PDF</x:v>
      </x:c>
      <x:c r="J195" s="11" t="str"/>
      <x:c r="K195" s="11" t="str">
        <x:v>待核</x:v>
      </x:c>
      <x:c r="L195" s="11" t="str">
        <x:v>精确发布时间未核验</x:v>
      </x:c>
      <x:c r="M195" s="11" t="str">
        <x:v>截止日前日期，盘中时分未核</x:v>
      </x:c>
    </x:row>
    <x:row r="196" ht="23" customHeight="1">
      <x:c r="A196" s="11" t="str">
        <x:v>I006</x:v>
      </x:c>
      <x:c r="B196" s="11" t="str">
        <x:v>002821.SZ</x:v>
      </x:c>
      <x:c r="C196" s="11" t="str">
        <x:v>FCF</x:v>
      </x:c>
      <x:c r="D196" s="39" t="n">
        <x:v>-32.64396163</x:v>
      </x:c>
      <x:c r="E196" s="11" t="str">
        <x:v>CNY</x:v>
      </x:c>
      <x:c r="F196" s="11" t="str">
        <x:v>million</x:v>
      </x:c>
      <x:c r="G196" s="11" t="str">
        <x:v>2026H1</x:v>
      </x:c>
      <x:c r="H196" s="11" t="str">
        <x:v>2026-08-25</x:v>
      </x:c>
      <x:c r="I196" s="11" t="str">
        <x:v>https://static.cninfo.com.cn/finalpage/2026-08-25/1225496302.PDF</x:v>
      </x:c>
      <x:c r="J196" s="11" t="str"/>
      <x:c r="K196" s="11" t="str">
        <x:v>待核</x:v>
      </x:c>
      <x:c r="L196" s="11" t="str">
        <x:v>精确发布时间未核验</x:v>
      </x:c>
      <x:c r="M196" s="11" t="str">
        <x:v>截止日前日期，盘中时分未核</x:v>
      </x:c>
    </x:row>
    <x:row r="197" ht="23" customHeight="1">
      <x:c r="A197" s="11" t="str">
        <x:v>I006</x:v>
      </x:c>
      <x:c r="B197" s="11" t="str">
        <x:v>002821.SZ</x:v>
      </x:c>
      <x:c r="C197" s="11" t="str">
        <x:v>cashBank</x:v>
      </x:c>
      <x:c r="D197" s="39" t="n">
        <x:v>5522.66874368</x:v>
      </x:c>
      <x:c r="E197" s="11" t="str">
        <x:v>CNY</x:v>
      </x:c>
      <x:c r="F197" s="11" t="str">
        <x:v>million</x:v>
      </x:c>
      <x:c r="G197" s="11" t="str">
        <x:v>2026H1</x:v>
      </x:c>
      <x:c r="H197" s="11" t="str">
        <x:v>2026-08-25</x:v>
      </x:c>
      <x:c r="I197" s="11" t="str">
        <x:v>https://static.cninfo.com.cn/finalpage/2026-08-25/1225496302.PDF</x:v>
      </x:c>
      <x:c r="J197" s="11" t="str"/>
      <x:c r="K197" s="11" t="str">
        <x:v>待核</x:v>
      </x:c>
      <x:c r="L197" s="11" t="str">
        <x:v>精确发布时间未核验</x:v>
      </x:c>
      <x:c r="M197" s="11" t="str">
        <x:v>截止日前日期，盘中时分未核</x:v>
      </x:c>
    </x:row>
    <x:row r="198" ht="23" customHeight="1">
      <x:c r="A198" s="11" t="str">
        <x:v>I006</x:v>
      </x:c>
      <x:c r="B198" s="11" t="str">
        <x:v>002821.SZ</x:v>
      </x:c>
      <x:c r="C198" s="11" t="str">
        <x:v>cashCashEquivalents</x:v>
      </x:c>
      <x:c r="D198" s="39" t="n">
        <x:v>3699.63960839</x:v>
      </x:c>
      <x:c r="E198" s="11" t="str">
        <x:v>CNY</x:v>
      </x:c>
      <x:c r="F198" s="11" t="str">
        <x:v>million</x:v>
      </x:c>
      <x:c r="G198" s="11" t="str">
        <x:v>2026H1</x:v>
      </x:c>
      <x:c r="H198" s="11" t="str">
        <x:v>2026-08-25</x:v>
      </x:c>
      <x:c r="I198" s="11" t="str">
        <x:v>https://static.cninfo.com.cn/finalpage/2026-08-25/1225496302.PDF</x:v>
      </x:c>
      <x:c r="J198" s="11" t="str"/>
      <x:c r="K198" s="11" t="str">
        <x:v>待核</x:v>
      </x:c>
      <x:c r="L198" s="11" t="str">
        <x:v>精确发布时间未核验</x:v>
      </x:c>
      <x:c r="M198" s="11" t="str">
        <x:v>截止日前日期，盘中时分未核</x:v>
      </x:c>
    </x:row>
    <x:row r="199" ht="23" customHeight="1">
      <x:c r="A199" s="11" t="str">
        <x:v>I006</x:v>
      </x:c>
      <x:c r="B199" s="11" t="str">
        <x:v>002821.SZ</x:v>
      </x:c>
      <x:c r="C199" s="11" t="str">
        <x:v>restrictedCash</x:v>
      </x:c>
      <x:c r="D199" s="39" t="n">
        <x:v>153.51745303</x:v>
      </x:c>
      <x:c r="E199" s="11" t="str">
        <x:v>CNY</x:v>
      </x:c>
      <x:c r="F199" s="11" t="str">
        <x:v>million</x:v>
      </x:c>
      <x:c r="G199" s="11" t="str">
        <x:v>2026H1</x:v>
      </x:c>
      <x:c r="H199" s="11" t="str">
        <x:v>2026-08-25</x:v>
      </x:c>
      <x:c r="I199" s="11" t="str">
        <x:v>https://static.cninfo.com.cn/finalpage/2026-08-25/1225496302.PDF</x:v>
      </x:c>
      <x:c r="J199" s="11" t="str"/>
      <x:c r="K199" s="11" t="str">
        <x:v>待核</x:v>
      </x:c>
      <x:c r="L199" s="11" t="str">
        <x:v>精确发布时间未核验</x:v>
      </x:c>
      <x:c r="M199" s="11" t="str">
        <x:v>截止日前日期，盘中时分未核</x:v>
      </x:c>
    </x:row>
    <x:row r="200" ht="23" customHeight="1">
      <x:c r="A200" s="11" t="str">
        <x:v>I006</x:v>
      </x:c>
      <x:c r="B200" s="11" t="str">
        <x:v>002821.SZ</x:v>
      </x:c>
      <x:c r="C200" s="11" t="str">
        <x:v>bankDebt</x:v>
      </x:c>
      <x:c r="D200" s="39" t="n">
        <x:v>39.88590268</x:v>
      </x:c>
      <x:c r="E200" s="11" t="str">
        <x:v>CNY</x:v>
      </x:c>
      <x:c r="F200" s="11" t="str">
        <x:v>million</x:v>
      </x:c>
      <x:c r="G200" s="11" t="str">
        <x:v>2026H1</x:v>
      </x:c>
      <x:c r="H200" s="11" t="str">
        <x:v>2026-08-25</x:v>
      </x:c>
      <x:c r="I200" s="11" t="str">
        <x:v>https://static.cninfo.com.cn/finalpage/2026-08-25/1225496302.PDF</x:v>
      </x:c>
      <x:c r="J200" s="11" t="str"/>
      <x:c r="K200" s="11" t="str">
        <x:v>待核</x:v>
      </x:c>
      <x:c r="L200" s="11" t="str">
        <x:v>精确发布时间未核验</x:v>
      </x:c>
      <x:c r="M200" s="11" t="str">
        <x:v>截止日前日期，盘中时分未核</x:v>
      </x:c>
    </x:row>
    <x:row r="201" ht="23" customHeight="1">
      <x:c r="A201" s="11" t="str">
        <x:v>I006</x:v>
      </x:c>
      <x:c r="B201" s="11" t="str">
        <x:v>002821.SZ</x:v>
      </x:c>
      <x:c r="C201" s="11" t="str">
        <x:v>leaseDebtIncludingCurrent</x:v>
      </x:c>
      <x:c r="D201" s="39" t="n">
        <x:v>306.72158275</x:v>
      </x:c>
      <x:c r="E201" s="11" t="str">
        <x:v>CNY</x:v>
      </x:c>
      <x:c r="F201" s="11" t="str">
        <x:v>million</x:v>
      </x:c>
      <x:c r="G201" s="11" t="str">
        <x:v>2026H1</x:v>
      </x:c>
      <x:c r="H201" s="11" t="str">
        <x:v>2026-08-25</x:v>
      </x:c>
      <x:c r="I201" s="11" t="str">
        <x:v>https://static.cninfo.com.cn/finalpage/2026-08-25/1225496302.PDF</x:v>
      </x:c>
      <x:c r="J201" s="11" t="str"/>
      <x:c r="K201" s="11" t="str">
        <x:v>待核</x:v>
      </x:c>
      <x:c r="L201" s="11" t="str">
        <x:v>精确发布时间未核验</x:v>
      </x:c>
      <x:c r="M201" s="11" t="str">
        <x:v>截止日前日期，盘中时分未核</x:v>
      </x:c>
    </x:row>
    <x:row r="202" ht="23" customHeight="1">
      <x:c r="A202" s="11" t="str">
        <x:v>I006</x:v>
      </x:c>
      <x:c r="B202" s="11" t="str">
        <x:v>002821.SZ</x:v>
      </x:c>
      <x:c r="C202" s="11" t="str">
        <x:v>totalLiabilities</x:v>
      </x:c>
      <x:c r="D202" s="39" t="n">
        <x:v>3085.95488345</x:v>
      </x:c>
      <x:c r="E202" s="11" t="str">
        <x:v>CNY</x:v>
      </x:c>
      <x:c r="F202" s="11" t="str">
        <x:v>million</x:v>
      </x:c>
      <x:c r="G202" s="11" t="str">
        <x:v>2026H1</x:v>
      </x:c>
      <x:c r="H202" s="11" t="str">
        <x:v>2026-08-25</x:v>
      </x:c>
      <x:c r="I202" s="11" t="str">
        <x:v>https://static.cninfo.com.cn/finalpage/2026-08-25/1225496302.PDF</x:v>
      </x:c>
      <x:c r="J202" s="11" t="str"/>
      <x:c r="K202" s="11" t="str">
        <x:v>待核</x:v>
      </x:c>
      <x:c r="L202" s="11" t="str">
        <x:v>精确发布时间未核验</x:v>
      </x:c>
      <x:c r="M202" s="11" t="str">
        <x:v>截止日前日期，盘中时分未核</x:v>
      </x:c>
    </x:row>
    <x:row r="203" ht="23" customHeight="1">
      <x:c r="A203" s="11" t="str">
        <x:v>I006</x:v>
      </x:c>
      <x:c r="B203" s="11" t="str">
        <x:v>002821.SZ</x:v>
      </x:c>
      <x:c r="C203" s="11" t="str">
        <x:v>parentEquity</x:v>
      </x:c>
      <x:c r="D203" s="39" t="n">
        <x:v>17739.86616283</x:v>
      </x:c>
      <x:c r="E203" s="11" t="str">
        <x:v>CNY</x:v>
      </x:c>
      <x:c r="F203" s="11" t="str">
        <x:v>million</x:v>
      </x:c>
      <x:c r="G203" s="11" t="str">
        <x:v>2026H1</x:v>
      </x:c>
      <x:c r="H203" s="11" t="str">
        <x:v>2026-08-25</x:v>
      </x:c>
      <x:c r="I203" s="11" t="str">
        <x:v>https://static.cninfo.com.cn/finalpage/2026-08-25/1225496302.PDF</x:v>
      </x:c>
      <x:c r="J203" s="11" t="str"/>
      <x:c r="K203" s="11" t="str">
        <x:v>待核</x:v>
      </x:c>
      <x:c r="L203" s="11" t="str">
        <x:v>精确发布时间未核验</x:v>
      </x:c>
      <x:c r="M203" s="11" t="str">
        <x:v>截止日前日期，盘中时分未核</x:v>
      </x:c>
    </x:row>
    <x:row r="204" ht="23" customHeight="1">
      <x:c r="A204" s="11" t="str">
        <x:v>I006</x:v>
      </x:c>
      <x:c r="B204" s="11" t="str">
        <x:v>002821.SZ</x:v>
      </x:c>
      <x:c r="C204" s="11" t="str">
        <x:v>goodwill</x:v>
      </x:c>
      <x:c r="D204" s="39" t="n">
        <x:v>146.18344705</x:v>
      </x:c>
      <x:c r="E204" s="11" t="str">
        <x:v>CNY</x:v>
      </x:c>
      <x:c r="F204" s="11" t="str">
        <x:v>million</x:v>
      </x:c>
      <x:c r="G204" s="11" t="str">
        <x:v>2026H1</x:v>
      </x:c>
      <x:c r="H204" s="11" t="str">
        <x:v>2026-08-25</x:v>
      </x:c>
      <x:c r="I204" s="11" t="str">
        <x:v>https://static.cninfo.com.cn/finalpage/2026-08-25/1225496302.PDF</x:v>
      </x:c>
      <x:c r="J204" s="11" t="str"/>
      <x:c r="K204" s="11" t="str">
        <x:v>待核</x:v>
      </x:c>
      <x:c r="L204" s="11" t="str">
        <x:v>精确发布时间未核验</x:v>
      </x:c>
      <x:c r="M204" s="11" t="str">
        <x:v>截止日前日期，盘中时分未核</x:v>
      </x:c>
    </x:row>
    <x:row r="205" ht="23" customHeight="1">
      <x:c r="A205" s="11" t="str">
        <x:v>I006</x:v>
      </x:c>
      <x:c r="B205" s="11" t="str">
        <x:v>002821.SZ</x:v>
      </x:c>
      <x:c r="C205" s="11" t="str">
        <x:v>inventory</x:v>
      </x:c>
      <x:c r="D205" s="39" t="n">
        <x:v>1909.75961004</x:v>
      </x:c>
      <x:c r="E205" s="11" t="str">
        <x:v>CNY</x:v>
      </x:c>
      <x:c r="F205" s="11" t="str">
        <x:v>million</x:v>
      </x:c>
      <x:c r="G205" s="11" t="str">
        <x:v>2026H1</x:v>
      </x:c>
      <x:c r="H205" s="11" t="str">
        <x:v>2026-08-25</x:v>
      </x:c>
      <x:c r="I205" s="11" t="str">
        <x:v>https://static.cninfo.com.cn/finalpage/2026-08-25/1225496302.PDF</x:v>
      </x:c>
      <x:c r="J205" s="11" t="str"/>
      <x:c r="K205" s="11" t="str">
        <x:v>待核</x:v>
      </x:c>
      <x:c r="L205" s="11" t="str">
        <x:v>精确发布时间未核验</x:v>
      </x:c>
      <x:c r="M205" s="11" t="str">
        <x:v>截止日前日期，盘中时分未核</x:v>
      </x:c>
    </x:row>
    <x:row r="206" ht="23" customHeight="1">
      <x:c r="A206" s="11" t="str">
        <x:v>I006</x:v>
      </x:c>
      <x:c r="B206" s="11" t="str">
        <x:v>002821.SZ</x:v>
      </x:c>
      <x:c r="C206" s="11" t="str">
        <x:v>receivable</x:v>
      </x:c>
      <x:c r="D206" s="39" t="n">
        <x:v>1821.77679333</x:v>
      </x:c>
      <x:c r="E206" s="11" t="str">
        <x:v>CNY</x:v>
      </x:c>
      <x:c r="F206" s="11" t="str">
        <x:v>million</x:v>
      </x:c>
      <x:c r="G206" s="11" t="str">
        <x:v>2026H1</x:v>
      </x:c>
      <x:c r="H206" s="11" t="str">
        <x:v>2026-08-25</x:v>
      </x:c>
      <x:c r="I206" s="11" t="str">
        <x:v>https://static.cninfo.com.cn/finalpage/2026-08-25/1225496302.PDF</x:v>
      </x:c>
      <x:c r="J206" s="11" t="str"/>
      <x:c r="K206" s="11" t="str">
        <x:v>待核</x:v>
      </x:c>
      <x:c r="L206" s="11" t="str">
        <x:v>精确发布时间未核验</x:v>
      </x:c>
      <x:c r="M206" s="11" t="str">
        <x:v>截止日前日期，盘中时分未核</x:v>
      </x:c>
    </x:row>
    <x:row r="207" ht="23" customHeight="1">
      <x:c r="A207" s="11" t="str">
        <x:v>I006</x:v>
      </x:c>
      <x:c r="B207" s="11" t="str">
        <x:v>002821.SZ</x:v>
      </x:c>
      <x:c r="C207" s="11" t="str">
        <x:v>contractLiability</x:v>
      </x:c>
      <x:c r="D207" s="39" t="n">
        <x:v>388.09665345</x:v>
      </x:c>
      <x:c r="E207" s="11" t="str">
        <x:v>CNY</x:v>
      </x:c>
      <x:c r="F207" s="11" t="str">
        <x:v>million</x:v>
      </x:c>
      <x:c r="G207" s="11" t="str">
        <x:v>2026H1</x:v>
      </x:c>
      <x:c r="H207" s="11" t="str">
        <x:v>2026-08-25</x:v>
      </x:c>
      <x:c r="I207" s="11" t="str">
        <x:v>https://static.cninfo.com.cn/finalpage/2026-08-25/1225496302.PDF</x:v>
      </x:c>
      <x:c r="J207" s="11" t="str"/>
      <x:c r="K207" s="11" t="str">
        <x:v>待核</x:v>
      </x:c>
      <x:c r="L207" s="11" t="str">
        <x:v>精确发布时间未核验</x:v>
      </x:c>
      <x:c r="M207" s="11" t="str">
        <x:v>截止日前日期，盘中时分未核</x:v>
      </x:c>
    </x:row>
    <x:row r="208" ht="23" customHeight="1">
      <x:c r="A208" s="11" t="str">
        <x:v>I006</x:v>
      </x:c>
      <x:c r="B208" s="11" t="str">
        <x:v>002821.SZ</x:v>
      </x:c>
      <x:c r="C208" s="11" t="str">
        <x:v>RD</x:v>
      </x:c>
      <x:c r="D208" s="39" t="n">
        <x:v>251.88184374</x:v>
      </x:c>
      <x:c r="E208" s="11" t="str">
        <x:v>CNY</x:v>
      </x:c>
      <x:c r="F208" s="11" t="str">
        <x:v>million</x:v>
      </x:c>
      <x:c r="G208" s="11" t="str">
        <x:v>2026H1</x:v>
      </x:c>
      <x:c r="H208" s="11" t="str">
        <x:v>2026-08-25</x:v>
      </x:c>
      <x:c r="I208" s="11" t="str">
        <x:v>https://static.cninfo.com.cn/finalpage/2026-08-25/1225496302.PDF</x:v>
      </x:c>
      <x:c r="J208" s="11" t="str"/>
      <x:c r="K208" s="11" t="str">
        <x:v>待核</x:v>
      </x:c>
      <x:c r="L208" s="11" t="str">
        <x:v>精确发布时间未核验</x:v>
      </x:c>
      <x:c r="M208" s="11" t="str">
        <x:v>截止日前日期，盘中时分未核</x:v>
      </x:c>
    </x:row>
    <x:row r="209" ht="23" customHeight="1">
      <x:c r="A209" s="11" t="str">
        <x:v>I006</x:v>
      </x:c>
      <x:c r="B209" s="11" t="str">
        <x:v>002821.SZ</x:v>
      </x:c>
      <x:c r="C209" s="11" t="str">
        <x:v>FXLoss</x:v>
      </x:c>
      <x:c r="D209" s="39" t="n">
        <x:v>200.46081607</x:v>
      </x:c>
      <x:c r="E209" s="11" t="str">
        <x:v>CNY</x:v>
      </x:c>
      <x:c r="F209" s="11" t="str">
        <x:v>million</x:v>
      </x:c>
      <x:c r="G209" s="11" t="str">
        <x:v>2026H1</x:v>
      </x:c>
      <x:c r="H209" s="11" t="str">
        <x:v>2026-08-25</x:v>
      </x:c>
      <x:c r="I209" s="11" t="str">
        <x:v>https://static.cninfo.com.cn/finalpage/2026-08-25/1225496302.PDF</x:v>
      </x:c>
      <x:c r="J209" s="11" t="str"/>
      <x:c r="K209" s="11" t="str">
        <x:v>待核</x:v>
      </x:c>
      <x:c r="L209" s="11" t="str">
        <x:v>精确发布时间未核验</x:v>
      </x:c>
      <x:c r="M209" s="11" t="str">
        <x:v>截止日前日期，盘中时分未核</x:v>
      </x:c>
    </x:row>
    <x:row r="210" ht="23" customHeight="1">
      <x:c r="A210" s="11" t="str">
        <x:v>I006</x:v>
      </x:c>
      <x:c r="B210" s="11" t="str">
        <x:v>002821.SZ</x:v>
      </x:c>
      <x:c r="C210" s="11" t="str">
        <x:v>FXLoss2025H1</x:v>
      </x:c>
      <x:c r="D210" s="39" t="n">
        <x:v>30.73521846</x:v>
      </x:c>
      <x:c r="E210" s="11" t="str">
        <x:v>CNY</x:v>
      </x:c>
      <x:c r="F210" s="11" t="str">
        <x:v>million</x:v>
      </x:c>
      <x:c r="G210" s="11" t="str">
        <x:v>2025H1</x:v>
      </x:c>
      <x:c r="H210" s="11" t="str">
        <x:v>2026-08-25</x:v>
      </x:c>
      <x:c r="I210" s="11" t="str">
        <x:v>https://static.cninfo.com.cn/finalpage/2026-08-25/1225496302.PDF</x:v>
      </x:c>
      <x:c r="J210" s="11" t="str"/>
      <x:c r="K210" s="11" t="str">
        <x:v>待核</x:v>
      </x:c>
      <x:c r="L210" s="11" t="str">
        <x:v>精确发布时间未核验</x:v>
      </x:c>
      <x:c r="M210" s="11" t="str">
        <x:v>截止日前日期，盘中时分未核</x:v>
      </x:c>
    </x:row>
    <x:row r="211" ht="23" customHeight="1">
      <x:c r="A211" s="11" t="str">
        <x:v>I066</x:v>
      </x:c>
      <x:c r="B211" s="11" t="str">
        <x:v>09888.HK</x:v>
      </x:c>
      <x:c r="C211" s="11" t="str">
        <x:v>revenueCNYmillion</x:v>
      </x:c>
      <x:c r="D211" s="39" t="n">
        <x:v>129079</x:v>
      </x:c>
      <x:c r="E211" s="11" t="str">
        <x:v>CNY</x:v>
      </x:c>
      <x:c r="F211" s="11" t="str">
        <x:v>CNY million</x:v>
      </x:c>
      <x:c r="G211" s="11" t="str">
        <x:v>FY2025</x:v>
      </x:c>
      <x:c r="H211" s="11" t="str">
        <x:v>2026-03-17年报签署及审计报告日，官网披露文件；精确上线时分未取</x:v>
      </x:c>
      <x:c r="I211" s="11" t="str">
        <x:v>https://ir.baidu.com/static-files/cd96c440-1fbc-4346-9d47-4248b2ef77c0</x:v>
      </x:c>
      <x:c r="J211" s="11" t="str">
        <x:v>reported input</x:v>
      </x:c>
      <x:c r="K211" s="11" t="str">
        <x:v>待核</x:v>
      </x:c>
      <x:c r="L211" s="11" t="str">
        <x:v>精确发布时间未核验</x:v>
      </x:c>
      <x:c r="M211" s="11" t="str">
        <x:v>截止日前日期，盘中时分未核</x:v>
      </x:c>
    </x:row>
    <x:row r="212" ht="23" customHeight="1">
      <x:c r="A212" s="11" t="str">
        <x:v>I066</x:v>
      </x:c>
      <x:c r="B212" s="11" t="str">
        <x:v>09888.HK</x:v>
      </x:c>
      <x:c r="C212" s="11" t="str">
        <x:v>revenue2024CNYmillion</x:v>
      </x:c>
      <x:c r="D212" s="39" t="n">
        <x:v>133125</x:v>
      </x:c>
      <x:c r="E212" s="11" t="str">
        <x:v>CNY</x:v>
      </x:c>
      <x:c r="F212" s="11" t="str">
        <x:v>CNY million</x:v>
      </x:c>
      <x:c r="G212" s="11" t="str">
        <x:v>FY2024</x:v>
      </x:c>
      <x:c r="H212" s="11" t="str">
        <x:v>2026-03-17年报签署及审计报告日，官网披露文件；精确上线时分未取</x:v>
      </x:c>
      <x:c r="I212" s="11" t="str">
        <x:v>https://ir.baidu.com/static-files/cd96c440-1fbc-4346-9d47-4248b2ef77c0</x:v>
      </x:c>
      <x:c r="J212" s="11" t="str">
        <x:v>reported input</x:v>
      </x:c>
      <x:c r="K212" s="11" t="str">
        <x:v>待核</x:v>
      </x:c>
      <x:c r="L212" s="11" t="str">
        <x:v>精确发布时间未核验</x:v>
      </x:c>
      <x:c r="M212" s="11" t="str">
        <x:v>截止日前日期，盘中时分未核</x:v>
      </x:c>
    </x:row>
    <x:row r="213" ht="23" customHeight="1">
      <x:c r="A213" s="11" t="str">
        <x:v>I066</x:v>
      </x:c>
      <x:c r="B213" s="11" t="str">
        <x:v>09888.HK</x:v>
      </x:c>
      <x:c r="C213" s="11" t="str">
        <x:v>revenue2023CNYmillion</x:v>
      </x:c>
      <x:c r="D213" s="39" t="n">
        <x:v>134598</x:v>
      </x:c>
      <x:c r="E213" s="11" t="str">
        <x:v>CNY</x:v>
      </x:c>
      <x:c r="F213" s="11" t="str">
        <x:v>CNY million</x:v>
      </x:c>
      <x:c r="G213" s="11" t="str">
        <x:v>FY2023</x:v>
      </x:c>
      <x:c r="H213" s="11" t="str">
        <x:v>2026-03-17年报签署及审计报告日，官网披露文件；精确上线时分未取</x:v>
      </x:c>
      <x:c r="I213" s="11" t="str">
        <x:v>https://ir.baidu.com/static-files/cd96c440-1fbc-4346-9d47-4248b2ef77c0</x:v>
      </x:c>
      <x:c r="J213" s="11" t="str">
        <x:v>reported input</x:v>
      </x:c>
      <x:c r="K213" s="11" t="str">
        <x:v>待核</x:v>
      </x:c>
      <x:c r="L213" s="11" t="str">
        <x:v>精确发布时间未核验</x:v>
      </x:c>
      <x:c r="M213" s="11" t="str">
        <x:v>截止日前日期，盘中时分未核</x:v>
      </x:c>
    </x:row>
    <x:row r="214" ht="23" customHeight="1">
      <x:c r="A214" s="11" t="str">
        <x:v>I066</x:v>
      </x:c>
      <x:c r="B214" s="11" t="str">
        <x:v>09888.HK</x:v>
      </x:c>
      <x:c r="C214" s="11" t="str">
        <x:v>profitAttributableCNYmillion</x:v>
      </x:c>
      <x:c r="D214" s="39" t="n">
        <x:v>5589</x:v>
      </x:c>
      <x:c r="E214" s="11" t="str">
        <x:v>CNY</x:v>
      </x:c>
      <x:c r="F214" s="11" t="str">
        <x:v>CNY million</x:v>
      </x:c>
      <x:c r="G214" s="11" t="str">
        <x:v>FY2025</x:v>
      </x:c>
      <x:c r="H214" s="11" t="str">
        <x:v>2026-03-17年报签署及审计报告日，官网披露文件；精确上线时分未取</x:v>
      </x:c>
      <x:c r="I214" s="11" t="str">
        <x:v>https://ir.baidu.com/static-files/cd96c440-1fbc-4346-9d47-4248b2ef77c0</x:v>
      </x:c>
      <x:c r="J214" s="11" t="str">
        <x:v>reported input</x:v>
      </x:c>
      <x:c r="K214" s="11" t="str">
        <x:v>待核</x:v>
      </x:c>
      <x:c r="L214" s="11" t="str">
        <x:v>精确发布时间未核验</x:v>
      </x:c>
      <x:c r="M214" s="11" t="str">
        <x:v>截止日前日期，盘中时分未核</x:v>
      </x:c>
    </x:row>
    <x:row r="215" ht="23" customHeight="1">
      <x:c r="A215" s="11" t="str">
        <x:v>I066</x:v>
      </x:c>
      <x:c r="B215" s="11" t="str">
        <x:v>09888.HK</x:v>
      </x:c>
      <x:c r="C215" s="11" t="str">
        <x:v>profitAttributable2024CNYmillion</x:v>
      </x:c>
      <x:c r="D215" s="39" t="n">
        <x:v>23760</x:v>
      </x:c>
      <x:c r="E215" s="11" t="str">
        <x:v>CNY</x:v>
      </x:c>
      <x:c r="F215" s="11" t="str">
        <x:v>CNY million</x:v>
      </x:c>
      <x:c r="G215" s="11" t="str">
        <x:v>FY2024</x:v>
      </x:c>
      <x:c r="H215" s="11" t="str">
        <x:v>2026-03-17年报签署及审计报告日，官网披露文件；精确上线时分未取</x:v>
      </x:c>
      <x:c r="I215" s="11" t="str">
        <x:v>https://ir.baidu.com/static-files/cd96c440-1fbc-4346-9d47-4248b2ef77c0</x:v>
      </x:c>
      <x:c r="J215" s="11" t="str">
        <x:v>reported input</x:v>
      </x:c>
      <x:c r="K215" s="11" t="str">
        <x:v>待核</x:v>
      </x:c>
      <x:c r="L215" s="11" t="str">
        <x:v>精确发布时间未核验</x:v>
      </x:c>
      <x:c r="M215" s="11" t="str">
        <x:v>截止日前日期，盘中时分未核</x:v>
      </x:c>
    </x:row>
    <x:row r="216" ht="23" customHeight="1">
      <x:c r="A216" s="11" t="str">
        <x:v>I066</x:v>
      </x:c>
      <x:c r="B216" s="11" t="str">
        <x:v>09888.HK</x:v>
      </x:c>
      <x:c r="C216" s="11" t="str">
        <x:v>profitAttributable2023CNYmillion</x:v>
      </x:c>
      <x:c r="D216" s="39" t="n">
        <x:v>20315</x:v>
      </x:c>
      <x:c r="E216" s="11" t="str">
        <x:v>CNY</x:v>
      </x:c>
      <x:c r="F216" s="11" t="str">
        <x:v>CNY million</x:v>
      </x:c>
      <x:c r="G216" s="11" t="str">
        <x:v>FY2023</x:v>
      </x:c>
      <x:c r="H216" s="11" t="str">
        <x:v>2026-03-17年报签署及审计报告日，官网披露文件；精确上线时分未取</x:v>
      </x:c>
      <x:c r="I216" s="11" t="str">
        <x:v>https://ir.baidu.com/static-files/cd96c440-1fbc-4346-9d47-4248b2ef77c0</x:v>
      </x:c>
      <x:c r="J216" s="11" t="str">
        <x:v>reported input</x:v>
      </x:c>
      <x:c r="K216" s="11" t="str">
        <x:v>待核</x:v>
      </x:c>
      <x:c r="L216" s="11" t="str">
        <x:v>精确发布时间未核验</x:v>
      </x:c>
      <x:c r="M216" s="11" t="str">
        <x:v>截止日前日期，盘中时分未核</x:v>
      </x:c>
    </x:row>
    <x:row r="217" ht="23" customHeight="1">
      <x:c r="A217" s="11" t="str">
        <x:v>I066</x:v>
      </x:c>
      <x:c r="B217" s="11" t="str">
        <x:v>09888.HK</x:v>
      </x:c>
      <x:c r="C217" s="11" t="str">
        <x:v>dilutedEPSCNY</x:v>
      </x:c>
      <x:c r="D217" s="39" t="n">
        <x:v>1.47</x:v>
      </x:c>
      <x:c r="E217" s="11" t="str">
        <x:v>CNY</x:v>
      </x:c>
      <x:c r="F217" s="11" t="str">
        <x:v>CNY per ordinary share or ADS as explicitly named</x:v>
      </x:c>
      <x:c r="G217" s="11" t="str">
        <x:v>FY2025</x:v>
      </x:c>
      <x:c r="H217" s="11" t="str">
        <x:v>2026-03-17年报签署及审计报告日，官网披露文件；精确上线时分未取</x:v>
      </x:c>
      <x:c r="I217" s="11" t="str">
        <x:v>https://ir.baidu.com/static-files/cd96c440-1fbc-4346-9d47-4248b2ef77c0</x:v>
      </x:c>
      <x:c r="J217" s="11" t="str">
        <x:v>reported input</x:v>
      </x:c>
      <x:c r="K217" s="11" t="str">
        <x:v>待核</x:v>
      </x:c>
      <x:c r="L217" s="11" t="str">
        <x:v>精确发布时间未核验</x:v>
      </x:c>
      <x:c r="M217" s="11" t="str">
        <x:v>截止日前日期，盘中时分未核</x:v>
      </x:c>
    </x:row>
    <x:row r="218" ht="23" customHeight="1">
      <x:c r="A218" s="11" t="str">
        <x:v>I066</x:v>
      </x:c>
      <x:c r="B218" s="11" t="str">
        <x:v>09888.HK</x:v>
      </x:c>
      <x:c r="C218" s="11" t="str">
        <x:v>dilutedEPS2024CNY</x:v>
      </x:c>
      <x:c r="D218" s="39" t="n">
        <x:v>8.24</x:v>
      </x:c>
      <x:c r="E218" s="11" t="str">
        <x:v>CNY</x:v>
      </x:c>
      <x:c r="F218" s="11" t="str">
        <x:v>CNY per ordinary share or ADS as explicitly named</x:v>
      </x:c>
      <x:c r="G218" s="11" t="str">
        <x:v>FY2024</x:v>
      </x:c>
      <x:c r="H218" s="11" t="str">
        <x:v>2026-03-17年报签署及审计报告日，官网披露文件；精确上线时分未取</x:v>
      </x:c>
      <x:c r="I218" s="11" t="str">
        <x:v>https://ir.baidu.com/static-files/cd96c440-1fbc-4346-9d47-4248b2ef77c0</x:v>
      </x:c>
      <x:c r="J218" s="11" t="str">
        <x:v>reported input</x:v>
      </x:c>
      <x:c r="K218" s="11" t="str">
        <x:v>待核</x:v>
      </x:c>
      <x:c r="L218" s="11" t="str">
        <x:v>精确发布时间未核验</x:v>
      </x:c>
      <x:c r="M218" s="11" t="str">
        <x:v>截止日前日期，盘中时分未核</x:v>
      </x:c>
    </x:row>
    <x:row r="219" ht="23" customHeight="1">
      <x:c r="A219" s="11" t="str">
        <x:v>I066</x:v>
      </x:c>
      <x:c r="B219" s="11" t="str">
        <x:v>09888.HK</x:v>
      </x:c>
      <x:c r="C219" s="11" t="str">
        <x:v>dilutedEPS2023CNY</x:v>
      </x:c>
      <x:c r="D219" s="39" t="n">
        <x:v>6.89</x:v>
      </x:c>
      <x:c r="E219" s="11" t="str">
        <x:v>CNY</x:v>
      </x:c>
      <x:c r="F219" s="11" t="str">
        <x:v>CNY per ordinary share or ADS as explicitly named</x:v>
      </x:c>
      <x:c r="G219" s="11" t="str">
        <x:v>FY2023</x:v>
      </x:c>
      <x:c r="H219" s="11" t="str">
        <x:v>2026-03-17年报签署及审计报告日，官网披露文件；精确上线时分未取</x:v>
      </x:c>
      <x:c r="I219" s="11" t="str">
        <x:v>https://ir.baidu.com/static-files/cd96c440-1fbc-4346-9d47-4248b2ef77c0</x:v>
      </x:c>
      <x:c r="J219" s="11" t="str">
        <x:v>reported input</x:v>
      </x:c>
      <x:c r="K219" s="11" t="str">
        <x:v>待核</x:v>
      </x:c>
      <x:c r="L219" s="11" t="str">
        <x:v>精确发布时间未核验</x:v>
      </x:c>
      <x:c r="M219" s="11" t="str">
        <x:v>截止日前日期，盘中时分未核</x:v>
      </x:c>
    </x:row>
    <x:row r="220" ht="23" customHeight="1">
      <x:c r="A220" s="11" t="str">
        <x:v>I066</x:v>
      </x:c>
      <x:c r="B220" s="11" t="str">
        <x:v>09888.HK</x:v>
      </x:c>
      <x:c r="C220" s="11" t="str">
        <x:v>weightedDilutedSharesMillion</x:v>
      </x:c>
      <x:c r="D220" s="39" t="n">
        <x:v>2744</x:v>
      </x:c>
      <x:c r="E220" s="11" t="str">
        <x:v>not monetary</x:v>
      </x:c>
      <x:c r="F220" s="11" t="str">
        <x:v>million ordinary shares</x:v>
      </x:c>
      <x:c r="G220" s="11" t="str">
        <x:v>FY2025</x:v>
      </x:c>
      <x:c r="H220" s="11" t="str">
        <x:v>2026-03-17年报签署及审计报告日，官网披露文件；精确上线时分未取</x:v>
      </x:c>
      <x:c r="I220" s="11" t="str">
        <x:v>https://ir.baidu.com/static-files/cd96c440-1fbc-4346-9d47-4248b2ef77c0</x:v>
      </x:c>
      <x:c r="J220" s="11" t="str">
        <x:v>reported input</x:v>
      </x:c>
      <x:c r="K220" s="11" t="str">
        <x:v>待核</x:v>
      </x:c>
      <x:c r="L220" s="11" t="str">
        <x:v>精确发布时间未核验</x:v>
      </x:c>
      <x:c r="M220" s="11" t="str">
        <x:v>截止日前日期，盘中时分未核</x:v>
      </x:c>
    </x:row>
    <x:row r="221" ht="23" customHeight="1">
      <x:c r="A221" s="11" t="str">
        <x:v>I066</x:v>
      </x:c>
      <x:c r="B221" s="11" t="str">
        <x:v>09888.HK</x:v>
      </x:c>
      <x:c r="C221" s="11" t="str">
        <x:v>EPSNumeratorCNYmillion</x:v>
      </x:c>
      <x:c r="D221" s="39" t="n">
        <x:v>4043</x:v>
      </x:c>
      <x:c r="E221" s="11" t="str">
        <x:v>CNY</x:v>
      </x:c>
      <x:c r="F221" s="11" t="str">
        <x:v>CNY per ordinary share or ADS as explicitly named</x:v>
      </x:c>
      <x:c r="G221" s="11" t="str">
        <x:v>FY2025</x:v>
      </x:c>
      <x:c r="H221" s="11" t="str">
        <x:v>2026-03-17年报签署及审计报告日，官网披露文件；精确上线时分未取</x:v>
      </x:c>
      <x:c r="I221" s="11" t="str">
        <x:v>https://ir.baidu.com/static-files/cd96c440-1fbc-4346-9d47-4248b2ef77c0</x:v>
      </x:c>
      <x:c r="J221" s="11" t="str">
        <x:v>reported input</x:v>
      </x:c>
      <x:c r="K221" s="11" t="str">
        <x:v>待核</x:v>
      </x:c>
      <x:c r="L221" s="11" t="str">
        <x:v>精确发布时间未核验</x:v>
      </x:c>
      <x:c r="M221" s="11" t="str">
        <x:v>截止日前日期，盘中时分未核</x:v>
      </x:c>
    </x:row>
    <x:row r="222" ht="23" customHeight="1">
      <x:c r="A222" s="11" t="str">
        <x:v>I066</x:v>
      </x:c>
      <x:c r="B222" s="11" t="str">
        <x:v>09888.HK</x:v>
      </x:c>
      <x:c r="C222" s="11" t="str">
        <x:v>redeemableNCIAccretionCNYmillion</x:v>
      </x:c>
      <x:c r="D222" s="39" t="n">
        <x:v>926</x:v>
      </x:c>
      <x:c r="E222" s="11" t="str">
        <x:v>CNY</x:v>
      </x:c>
      <x:c r="F222" s="11" t="str">
        <x:v>CNY million</x:v>
      </x:c>
      <x:c r="G222" s="11" t="str">
        <x:v>FY2025</x:v>
      </x:c>
      <x:c r="H222" s="11" t="str">
        <x:v>2026-03-17年报签署及审计报告日，官网披露文件；精确上线时分未取</x:v>
      </x:c>
      <x:c r="I222" s="11" t="str">
        <x:v>https://ir.baidu.com/static-files/cd96c440-1fbc-4346-9d47-4248b2ef77c0</x:v>
      </x:c>
      <x:c r="J222" s="11" t="str">
        <x:v>reported input</x:v>
      </x:c>
      <x:c r="K222" s="11" t="str">
        <x:v>待核</x:v>
      </x:c>
      <x:c r="L222" s="11" t="str">
        <x:v>精确发布时间未核验</x:v>
      </x:c>
      <x:c r="M222" s="11" t="str">
        <x:v>截止日前日期，盘中时分未核</x:v>
      </x:c>
    </x:row>
    <x:row r="223" ht="23" customHeight="1">
      <x:c r="A223" s="11" t="str">
        <x:v>I066</x:v>
      </x:c>
      <x:c r="B223" s="11" t="str">
        <x:v>09888.HK</x:v>
      </x:c>
      <x:c r="C223" s="11" t="str">
        <x:v>dilutedSubsidiaryInvesteeImpactCNYmillion</x:v>
      </x:c>
      <x:c r="D223" s="39" t="n">
        <x:v>620</x:v>
      </x:c>
      <x:c r="E223" s="11" t="str">
        <x:v>CNY</x:v>
      </x:c>
      <x:c r="F223" s="11" t="str">
        <x:v>CNY million</x:v>
      </x:c>
      <x:c r="G223" s="11" t="str">
        <x:v>FY2025</x:v>
      </x:c>
      <x:c r="H223" s="11" t="str">
        <x:v>2026-03-17年报签署及审计报告日，官网披露文件；精确上线时分未取</x:v>
      </x:c>
      <x:c r="I223" s="11" t="str">
        <x:v>https://ir.baidu.com/static-files/cd96c440-1fbc-4346-9d47-4248b2ef77c0</x:v>
      </x:c>
      <x:c r="J223" s="11" t="str">
        <x:v>reported input</x:v>
      </x:c>
      <x:c r="K223" s="11" t="str">
        <x:v>待核</x:v>
      </x:c>
      <x:c r="L223" s="11" t="str">
        <x:v>精确发布时间未核验</x:v>
      </x:c>
      <x:c r="M223" s="11" t="str">
        <x:v>截止日前日期，盘中时分未核</x:v>
      </x:c>
    </x:row>
    <x:row r="224" ht="23" customHeight="1">
      <x:c r="A224" s="11" t="str">
        <x:v>I066</x:v>
      </x:c>
      <x:c r="B224" s="11" t="str">
        <x:v>09888.HK</x:v>
      </x:c>
      <x:c r="C224" s="11" t="str">
        <x:v>OCFCNYmillion</x:v>
      </x:c>
      <x:c r="D224" s="39" t="n">
        <x:v>-3013</x:v>
      </x:c>
      <x:c r="E224" s="11" t="str">
        <x:v>CNY</x:v>
      </x:c>
      <x:c r="F224" s="11" t="str">
        <x:v>CNY million</x:v>
      </x:c>
      <x:c r="G224" s="11" t="str">
        <x:v>FY2025</x:v>
      </x:c>
      <x:c r="H224" s="11" t="str">
        <x:v>2026-03-17年报签署及审计报告日，官网披露文件；精确上线时分未取</x:v>
      </x:c>
      <x:c r="I224" s="11" t="str">
        <x:v>https://ir.baidu.com/static-files/cd96c440-1fbc-4346-9d47-4248b2ef77c0</x:v>
      </x:c>
      <x:c r="J224" s="11" t="str">
        <x:v>reported input</x:v>
      </x:c>
      <x:c r="K224" s="11" t="str">
        <x:v>待核</x:v>
      </x:c>
      <x:c r="L224" s="11" t="str">
        <x:v>精确发布时间未核验</x:v>
      </x:c>
      <x:c r="M224" s="11" t="str">
        <x:v>截止日前日期，盘中时分未核</x:v>
      </x:c>
    </x:row>
    <x:row r="225" ht="23" customHeight="1">
      <x:c r="A225" s="11" t="str">
        <x:v>I066</x:v>
      </x:c>
      <x:c r="B225" s="11" t="str">
        <x:v>09888.HK</x:v>
      </x:c>
      <x:c r="C225" s="11" t="str">
        <x:v>OCF2024CNYmillion</x:v>
      </x:c>
      <x:c r="D225" s="39" t="n">
        <x:v>21234</x:v>
      </x:c>
      <x:c r="E225" s="11" t="str">
        <x:v>CNY</x:v>
      </x:c>
      <x:c r="F225" s="11" t="str">
        <x:v>CNY million</x:v>
      </x:c>
      <x:c r="G225" s="11" t="str">
        <x:v>FY2024</x:v>
      </x:c>
      <x:c r="H225" s="11" t="str">
        <x:v>2026-03-17年报签署及审计报告日，官网披露文件；精确上线时分未取</x:v>
      </x:c>
      <x:c r="I225" s="11" t="str">
        <x:v>https://ir.baidu.com/static-files/cd96c440-1fbc-4346-9d47-4248b2ef77c0</x:v>
      </x:c>
      <x:c r="J225" s="11" t="str">
        <x:v>reported input</x:v>
      </x:c>
      <x:c r="K225" s="11" t="str">
        <x:v>待核</x:v>
      </x:c>
      <x:c r="L225" s="11" t="str">
        <x:v>精确发布时间未核验</x:v>
      </x:c>
      <x:c r="M225" s="11" t="str">
        <x:v>截止日前日期，盘中时分未核</x:v>
      </x:c>
    </x:row>
    <x:row r="226" ht="23" customHeight="1">
      <x:c r="A226" s="11" t="str">
        <x:v>I066</x:v>
      </x:c>
      <x:c r="B226" s="11" t="str">
        <x:v>09888.HK</x:v>
      </x:c>
      <x:c r="C226" s="11" t="str">
        <x:v>OCF2023CNYmillion</x:v>
      </x:c>
      <x:c r="D226" s="39" t="n">
        <x:v>36615</x:v>
      </x:c>
      <x:c r="E226" s="11" t="str">
        <x:v>CNY</x:v>
      </x:c>
      <x:c r="F226" s="11" t="str">
        <x:v>CNY million</x:v>
      </x:c>
      <x:c r="G226" s="11" t="str">
        <x:v>FY2023</x:v>
      </x:c>
      <x:c r="H226" s="11" t="str">
        <x:v>2026-03-17年报签署及审计报告日，官网披露文件；精确上线时分未取</x:v>
      </x:c>
      <x:c r="I226" s="11" t="str">
        <x:v>https://ir.baidu.com/static-files/cd96c440-1fbc-4346-9d47-4248b2ef77c0</x:v>
      </x:c>
      <x:c r="J226" s="11" t="str">
        <x:v>reported input</x:v>
      </x:c>
      <x:c r="K226" s="11" t="str">
        <x:v>待核</x:v>
      </x:c>
      <x:c r="L226" s="11" t="str">
        <x:v>精确发布时间未核验</x:v>
      </x:c>
      <x:c r="M226" s="11" t="str">
        <x:v>截止日前日期，盘中时分未核</x:v>
      </x:c>
    </x:row>
    <x:row r="227" ht="23" customHeight="1">
      <x:c r="A227" s="11" t="str">
        <x:v>I066</x:v>
      </x:c>
      <x:c r="B227" s="11" t="str">
        <x:v>09888.HK</x:v>
      </x:c>
      <x:c r="C227" s="11" t="str">
        <x:v>fixedAssetCashCNYmillion</x:v>
      </x:c>
      <x:c r="D227" s="39" t="n">
        <x:v>12073</x:v>
      </x:c>
      <x:c r="E227" s="11" t="str">
        <x:v>CNY</x:v>
      </x:c>
      <x:c r="F227" s="11" t="str">
        <x:v>CNY million</x:v>
      </x:c>
      <x:c r="G227" s="11" t="str">
        <x:v>FY2025</x:v>
      </x:c>
      <x:c r="H227" s="11" t="str">
        <x:v>2026-03-17年报签署及审计报告日，官网披露文件；精确上线时分未取</x:v>
      </x:c>
      <x:c r="I227" s="11" t="str">
        <x:v>https://ir.baidu.com/static-files/cd96c440-1fbc-4346-9d47-4248b2ef77c0</x:v>
      </x:c>
      <x:c r="J227" s="11" t="str">
        <x:v>reported input</x:v>
      </x:c>
      <x:c r="K227" s="11" t="str">
        <x:v>待核</x:v>
      </x:c>
      <x:c r="L227" s="11" t="str">
        <x:v>精确发布时间未核验</x:v>
      </x:c>
      <x:c r="M227" s="11" t="str">
        <x:v>截止日前日期，盘中时分未核</x:v>
      </x:c>
    </x:row>
    <x:row r="228" ht="23" customHeight="1">
      <x:c r="A228" s="11" t="str">
        <x:v>I066</x:v>
      </x:c>
      <x:c r="B228" s="11" t="str">
        <x:v>09888.HK</x:v>
      </x:c>
      <x:c r="C228" s="11" t="str">
        <x:v>intangibleCashCNYmillion</x:v>
      </x:c>
      <x:c r="D228" s="39" t="n">
        <x:v>1344</x:v>
      </x:c>
      <x:c r="E228" s="11" t="str">
        <x:v>CNY</x:v>
      </x:c>
      <x:c r="F228" s="11" t="str">
        <x:v>CNY million</x:v>
      </x:c>
      <x:c r="G228" s="11" t="str">
        <x:v>FY2025</x:v>
      </x:c>
      <x:c r="H228" s="11" t="str">
        <x:v>2026-03-17年报签署及审计报告日，官网披露文件；精确上线时分未取</x:v>
      </x:c>
      <x:c r="I228" s="11" t="str">
        <x:v>https://ir.baidu.com/static-files/cd96c440-1fbc-4346-9d47-4248b2ef77c0</x:v>
      </x:c>
      <x:c r="J228" s="11" t="str">
        <x:v>reported input</x:v>
      </x:c>
      <x:c r="K228" s="11" t="str">
        <x:v>待核</x:v>
      </x:c>
      <x:c r="L228" s="11" t="str">
        <x:v>精确发布时间未核验</x:v>
      </x:c>
      <x:c r="M228" s="11" t="str">
        <x:v>截止日前日期，盘中时分未核</x:v>
      </x:c>
    </x:row>
    <x:row r="229" ht="23" customHeight="1">
      <x:c r="A229" s="11" t="str">
        <x:v>I066</x:v>
      </x:c>
      <x:c r="B229" s="11" t="str">
        <x:v>09888.HK</x:v>
      </x:c>
      <x:c r="C229" s="11" t="str">
        <x:v>SBCCNYmillion</x:v>
      </x:c>
      <x:c r="D229" s="39" t="n">
        <x:v>3605</x:v>
      </x:c>
      <x:c r="E229" s="11" t="str">
        <x:v>CNY</x:v>
      </x:c>
      <x:c r="F229" s="11" t="str">
        <x:v>CNY million</x:v>
      </x:c>
      <x:c r="G229" s="11" t="str">
        <x:v>FY2025</x:v>
      </x:c>
      <x:c r="H229" s="11" t="str">
        <x:v>2026-03-17年报签署及审计报告日，官网披露文件；精确上线时分未取</x:v>
      </x:c>
      <x:c r="I229" s="11" t="str">
        <x:v>https://ir.baidu.com/static-files/cd96c440-1fbc-4346-9d47-4248b2ef77c0</x:v>
      </x:c>
      <x:c r="J229" s="11" t="str">
        <x:v>reported input</x:v>
      </x:c>
      <x:c r="K229" s="11" t="str">
        <x:v>待核</x:v>
      </x:c>
      <x:c r="L229" s="11" t="str">
        <x:v>精确发布时间未核验</x:v>
      </x:c>
      <x:c r="M229" s="11" t="str">
        <x:v>截止日前日期，盘中时分未核</x:v>
      </x:c>
    </x:row>
    <x:row r="230" ht="23" customHeight="1">
      <x:c r="A230" s="11" t="str">
        <x:v>I066</x:v>
      </x:c>
      <x:c r="B230" s="11" t="str">
        <x:v>09888.HK</x:v>
      </x:c>
      <x:c r="C230" s="11" t="str">
        <x:v>longLivedImpairmentCNYmillion</x:v>
      </x:c>
      <x:c r="D230" s="39" t="n">
        <x:v>16190</x:v>
      </x:c>
      <x:c r="E230" s="11" t="str">
        <x:v>CNY</x:v>
      </x:c>
      <x:c r="F230" s="11" t="str">
        <x:v>CNY million</x:v>
      </x:c>
      <x:c r="G230" s="11" t="str">
        <x:v>FY2025</x:v>
      </x:c>
      <x:c r="H230" s="11" t="str">
        <x:v>2026-03-17年报签署及审计报告日，官网披露文件；精确上线时分未取</x:v>
      </x:c>
      <x:c r="I230" s="11" t="str">
        <x:v>https://ir.baidu.com/static-files/cd96c440-1fbc-4346-9d47-4248b2ef77c0</x:v>
      </x:c>
      <x:c r="J230" s="11" t="str">
        <x:v>reported input</x:v>
      </x:c>
      <x:c r="K230" s="11" t="str">
        <x:v>待核</x:v>
      </x:c>
      <x:c r="L230" s="11" t="str">
        <x:v>精确发布时间未核验</x:v>
      </x:c>
      <x:c r="M230" s="11" t="str">
        <x:v>截止日前日期，盘中时分未核</x:v>
      </x:c>
    </x:row>
    <x:row r="231" ht="23" customHeight="1">
      <x:c r="A231" s="11" t="str">
        <x:v>I066</x:v>
      </x:c>
      <x:c r="B231" s="11" t="str">
        <x:v>09888.HK</x:v>
      </x:c>
      <x:c r="C231" s="11" t="str">
        <x:v>BGBRevenueCNYmillion</x:v>
      </x:c>
      <x:c r="D231" s="39" t="n">
        <x:v>102485</x:v>
      </x:c>
      <x:c r="E231" s="11" t="str">
        <x:v>CNY</x:v>
      </x:c>
      <x:c r="F231" s="11" t="str">
        <x:v>CNY million</x:v>
      </x:c>
      <x:c r="G231" s="11" t="str">
        <x:v>FY2025</x:v>
      </x:c>
      <x:c r="H231" s="11" t="str">
        <x:v>2026-03-17年报签署及审计报告日，官网披露文件；精确上线时分未取</x:v>
      </x:c>
      <x:c r="I231" s="11" t="str">
        <x:v>https://ir.baidu.com/static-files/cd96c440-1fbc-4346-9d47-4248b2ef77c0</x:v>
      </x:c>
      <x:c r="J231" s="11" t="str">
        <x:v>reported input</x:v>
      </x:c>
      <x:c r="K231" s="11" t="str">
        <x:v>待核</x:v>
      </x:c>
      <x:c r="L231" s="11" t="str">
        <x:v>精确发布时间未核验</x:v>
      </x:c>
      <x:c r="M231" s="11" t="str">
        <x:v>截止日前日期，盘中时分未核</x:v>
      </x:c>
    </x:row>
    <x:row r="232" ht="23" customHeight="1">
      <x:c r="A232" s="11" t="str">
        <x:v>I066</x:v>
      </x:c>
      <x:c r="B232" s="11" t="str">
        <x:v>09888.HK</x:v>
      </x:c>
      <x:c r="C232" s="11" t="str">
        <x:v>iqiyiRevenueCNYmillion</x:v>
      </x:c>
      <x:c r="D232" s="39" t="n">
        <x:v>27290</x:v>
      </x:c>
      <x:c r="E232" s="11" t="str">
        <x:v>CNY</x:v>
      </x:c>
      <x:c r="F232" s="11" t="str">
        <x:v>CNY million</x:v>
      </x:c>
      <x:c r="G232" s="11" t="str">
        <x:v>FY2025</x:v>
      </x:c>
      <x:c r="H232" s="11" t="str">
        <x:v>2026-03-17年报签署及审计报告日，官网披露文件；精确上线时分未取</x:v>
      </x:c>
      <x:c r="I232" s="11" t="str">
        <x:v>https://ir.baidu.com/static-files/cd96c440-1fbc-4346-9d47-4248b2ef77c0</x:v>
      </x:c>
      <x:c r="J232" s="11" t="str">
        <x:v>reported input</x:v>
      </x:c>
      <x:c r="K232" s="11" t="str">
        <x:v>待核</x:v>
      </x:c>
      <x:c r="L232" s="11" t="str">
        <x:v>精确发布时间未核验</x:v>
      </x:c>
      <x:c r="M232" s="11" t="str">
        <x:v>截止日前日期，盘中时分未核</x:v>
      </x:c>
    </x:row>
    <x:row r="233" ht="23" customHeight="1">
      <x:c r="A233" s="11" t="str">
        <x:v>I066</x:v>
      </x:c>
      <x:c r="B233" s="11" t="str">
        <x:v>09888.HK</x:v>
      </x:c>
      <x:c r="C233" s="11" t="str">
        <x:v>ClassAShares</x:v>
      </x:c>
      <x:c r="D233" s="39" t="n">
        <x:v>2197993760</x:v>
      </x:c>
      <x:c r="E233" s="11" t="str">
        <x:v>not monetary</x:v>
      </x:c>
      <x:c r="F233" s="11" t="str">
        <x:v>ordinary shares</x:v>
      </x:c>
      <x:c r="G233" s="11" t="str">
        <x:v>FY2025</x:v>
      </x:c>
      <x:c r="H233" s="11" t="str">
        <x:v>2026-03-17年报签署及审计报告日，官网披露文件；精确上线时分未取</x:v>
      </x:c>
      <x:c r="I233" s="11" t="str">
        <x:v>https://ir.baidu.com/static-files/cd96c440-1fbc-4346-9d47-4248b2ef77c0</x:v>
      </x:c>
      <x:c r="J233" s="11" t="str">
        <x:v>reported input</x:v>
      </x:c>
      <x:c r="K233" s="11" t="str">
        <x:v>待核</x:v>
      </x:c>
      <x:c r="L233" s="11" t="str">
        <x:v>精确发布时间未核验</x:v>
      </x:c>
      <x:c r="M233" s="11" t="str">
        <x:v>截止日前日期，盘中时分未核</x:v>
      </x:c>
    </x:row>
    <x:row r="234" ht="23" customHeight="1">
      <x:c r="A234" s="11" t="str">
        <x:v>I066</x:v>
      </x:c>
      <x:c r="B234" s="11" t="str">
        <x:v>09888.HK</x:v>
      </x:c>
      <x:c r="C234" s="11" t="str">
        <x:v>ClassBShares</x:v>
      </x:c>
      <x:c r="D234" s="39" t="n">
        <x:v>524020320</x:v>
      </x:c>
      <x:c r="E234" s="11" t="str">
        <x:v>not monetary</x:v>
      </x:c>
      <x:c r="F234" s="11" t="str">
        <x:v>ordinary shares</x:v>
      </x:c>
      <x:c r="G234" s="11" t="str">
        <x:v>FY2025</x:v>
      </x:c>
      <x:c r="H234" s="11" t="str">
        <x:v>2026-03-17年报签署及审计报告日，官网披露文件；精确上线时分未取</x:v>
      </x:c>
      <x:c r="I234" s="11" t="str">
        <x:v>https://ir.baidu.com/static-files/cd96c440-1fbc-4346-9d47-4248b2ef77c0</x:v>
      </x:c>
      <x:c r="J234" s="11" t="str">
        <x:v>reported input</x:v>
      </x:c>
      <x:c r="K234" s="11" t="str">
        <x:v>待核</x:v>
      </x:c>
      <x:c r="L234" s="11" t="str">
        <x:v>精确发布时间未核验</x:v>
      </x:c>
      <x:c r="M234" s="11" t="str">
        <x:v>截止日前日期，盘中时分未核</x:v>
      </x:c>
    </x:row>
    <x:row r="235" ht="23" customHeight="1">
      <x:c r="A235" s="11" t="str">
        <x:v>I066</x:v>
      </x:c>
      <x:c r="B235" s="11" t="str">
        <x:v>09888.HK</x:v>
      </x:c>
      <x:c r="C235" s="11" t="str">
        <x:v>ADSOrdinarySharesRatio</x:v>
      </x:c>
      <x:c r="D235" s="39" t="n">
        <x:v>8</x:v>
      </x:c>
      <x:c r="E235" s="11" t="str">
        <x:v>not monetary</x:v>
      </x:c>
      <x:c r="F235" s="11" t="str">
        <x:v>ordinary shares per ADS</x:v>
      </x:c>
      <x:c r="G235" s="11" t="str">
        <x:v>FY2025</x:v>
      </x:c>
      <x:c r="H235" s="11" t="str">
        <x:v>2026-03-17年报签署及审计报告日，官网披露文件；精确上线时分未取</x:v>
      </x:c>
      <x:c r="I235" s="11" t="str">
        <x:v>https://ir.baidu.com/static-files/cd96c440-1fbc-4346-9d47-4248b2ef77c0</x:v>
      </x:c>
      <x:c r="J235" s="11" t="str">
        <x:v>reported input</x:v>
      </x:c>
      <x:c r="K235" s="11" t="str">
        <x:v>待核</x:v>
      </x:c>
      <x:c r="L235" s="11" t="str">
        <x:v>精确发布时间未核验</x:v>
      </x:c>
      <x:c r="M235" s="11" t="str">
        <x:v>截止日前日期，盘中时分未核</x:v>
      </x:c>
    </x:row>
    <x:row r="236" ht="23" customHeight="1">
      <x:c r="A236" s="11" t="str">
        <x:v>I066</x:v>
      </x:c>
      <x:c r="B236" s="11" t="str">
        <x:v>09888.HK</x:v>
      </x:c>
      <x:c r="C236" s="11" t="str">
        <x:v>revenueCNYmillion</x:v>
      </x:c>
      <x:c r="D236" s="39" t="n">
        <x:v>63400</x:v>
      </x:c>
      <x:c r="E236" s="11" t="str">
        <x:v>CNY</x:v>
      </x:c>
      <x:c r="F236" s="11" t="str">
        <x:v>CNY million</x:v>
      </x:c>
      <x:c r="G236" s="11" t="str">
        <x:v>H1/Q2 2026</x:v>
      </x:c>
      <x:c r="H236" s="11" t="str">
        <x:v>2026-08-18；财报会议20:00北京，港股收盘后</x:v>
      </x:c>
      <x:c r="I236" s="11" t="str">
        <x:v>https://ir.baidu.com/static-files/e57ce78e-e47a-4c0c-8797-3cb11c8c9b0a</x:v>
      </x:c>
      <x:c r="J236" s="11" t="str">
        <x:v>reported input</x:v>
      </x:c>
      <x:c r="K236" s="11" t="str">
        <x:v>待核</x:v>
      </x:c>
      <x:c r="L236" s="11" t="str">
        <x:v>精确发布时间未核验</x:v>
      </x:c>
      <x:c r="M236" s="11" t="str">
        <x:v>截止日前日期，盘中时分未核</x:v>
      </x:c>
    </x:row>
    <x:row r="237" ht="23" customHeight="1">
      <x:c r="A237" s="11" t="str">
        <x:v>I066</x:v>
      </x:c>
      <x:c r="B237" s="11" t="str">
        <x:v>09888.HK</x:v>
      </x:c>
      <x:c r="C237" s="11" t="str">
        <x:v>profitAttributableCNYmillion</x:v>
      </x:c>
      <x:c r="D237" s="39" t="n">
        <x:v>5764</x:v>
      </x:c>
      <x:c r="E237" s="11" t="str">
        <x:v>CNY</x:v>
      </x:c>
      <x:c r="F237" s="11" t="str">
        <x:v>CNY million</x:v>
      </x:c>
      <x:c r="G237" s="11" t="str">
        <x:v>H1/Q2 2026</x:v>
      </x:c>
      <x:c r="H237" s="11" t="str">
        <x:v>2026-08-18；财报会议20:00北京，港股收盘后</x:v>
      </x:c>
      <x:c r="I237" s="11" t="str">
        <x:v>https://ir.baidu.com/static-files/e57ce78e-e47a-4c0c-8797-3cb11c8c9b0a</x:v>
      </x:c>
      <x:c r="J237" s="11" t="str">
        <x:v>reported input</x:v>
      </x:c>
      <x:c r="K237" s="11" t="str">
        <x:v>待核</x:v>
      </x:c>
      <x:c r="L237" s="11" t="str">
        <x:v>精确发布时间未核验</x:v>
      </x:c>
      <x:c r="M237" s="11" t="str">
        <x:v>截止日前日期，盘中时分未核</x:v>
      </x:c>
    </x:row>
    <x:row r="238" ht="23" customHeight="1">
      <x:c r="A238" s="11" t="str">
        <x:v>I066</x:v>
      </x:c>
      <x:c r="B238" s="11" t="str">
        <x:v>09888.HK</x:v>
      </x:c>
      <x:c r="C238" s="11" t="str">
        <x:v>operatingIncomeCNYmillion</x:v>
      </x:c>
      <x:c r="D238" s="39" t="n">
        <x:v>6217</x:v>
      </x:c>
      <x:c r="E238" s="11" t="str">
        <x:v>CNY</x:v>
      </x:c>
      <x:c r="F238" s="11" t="str">
        <x:v>CNY million</x:v>
      </x:c>
      <x:c r="G238" s="11" t="str">
        <x:v>H1/Q2 2026</x:v>
      </x:c>
      <x:c r="H238" s="11" t="str">
        <x:v>2026-08-18；财报会议20:00北京，港股收盘后</x:v>
      </x:c>
      <x:c r="I238" s="11" t="str">
        <x:v>https://ir.baidu.com/static-files/e57ce78e-e47a-4c0c-8797-3cb11c8c9b0a</x:v>
      </x:c>
      <x:c r="J238" s="11" t="str">
        <x:v>reported input</x:v>
      </x:c>
      <x:c r="K238" s="11" t="str">
        <x:v>待核</x:v>
      </x:c>
      <x:c r="L238" s="11" t="str">
        <x:v>精确发布时间未核验</x:v>
      </x:c>
      <x:c r="M238" s="11" t="str">
        <x:v>截止日前日期，盘中时分未核</x:v>
      </x:c>
    </x:row>
    <x:row r="239" ht="23" customHeight="1">
      <x:c r="A239" s="11" t="str">
        <x:v>I066</x:v>
      </x:c>
      <x:c r="B239" s="11" t="str">
        <x:v>09888.HK</x:v>
      </x:c>
      <x:c r="C239" s="11" t="str">
        <x:v>dilutedEPSCNY</x:v>
      </x:c>
      <x:c r="D239" s="39" t="n">
        <x:v>1.81</x:v>
      </x:c>
      <x:c r="E239" s="11" t="str">
        <x:v>CNY</x:v>
      </x:c>
      <x:c r="F239" s="11" t="str">
        <x:v>CNY per ordinary share or ADS as explicitly named</x:v>
      </x:c>
      <x:c r="G239" s="11" t="str">
        <x:v>H1/Q2 2026</x:v>
      </x:c>
      <x:c r="H239" s="11" t="str">
        <x:v>2026-08-18；财报会议20:00北京，港股收盘后</x:v>
      </x:c>
      <x:c r="I239" s="11" t="str">
        <x:v>https://ir.baidu.com/static-files/e57ce78e-e47a-4c0c-8797-3cb11c8c9b0a</x:v>
      </x:c>
      <x:c r="J239" s="11" t="str">
        <x:v>reported input</x:v>
      </x:c>
      <x:c r="K239" s="11" t="str">
        <x:v>待核</x:v>
      </x:c>
      <x:c r="L239" s="11" t="str">
        <x:v>精确发布时间未核验</x:v>
      </x:c>
      <x:c r="M239" s="11" t="str">
        <x:v>截止日前日期，盘中时分未核</x:v>
      </x:c>
    </x:row>
    <x:row r="240" ht="23" customHeight="1">
      <x:c r="A240" s="11" t="str">
        <x:v>I066</x:v>
      </x:c>
      <x:c r="B240" s="11" t="str">
        <x:v>09888.HK</x:v>
      </x:c>
      <x:c r="C240" s="11" t="str">
        <x:v>weightedDilutedSharesMillion</x:v>
      </x:c>
      <x:c r="D240" s="39" t="n">
        <x:v>2760</x:v>
      </x:c>
      <x:c r="E240" s="11" t="str">
        <x:v>not monetary</x:v>
      </x:c>
      <x:c r="F240" s="11" t="str">
        <x:v>million ordinary shares</x:v>
      </x:c>
      <x:c r="G240" s="11" t="str">
        <x:v>H1/Q2 2026</x:v>
      </x:c>
      <x:c r="H240" s="11" t="str">
        <x:v>2026-08-18；财报会议20:00北京，港股收盘后</x:v>
      </x:c>
      <x:c r="I240" s="11" t="str">
        <x:v>https://ir.baidu.com/static-files/e57ce78e-e47a-4c0c-8797-3cb11c8c9b0a</x:v>
      </x:c>
      <x:c r="J240" s="11" t="str">
        <x:v>reported input</x:v>
      </x:c>
      <x:c r="K240" s="11" t="str">
        <x:v>待核</x:v>
      </x:c>
      <x:c r="L240" s="11" t="str">
        <x:v>精确发布时间未核验</x:v>
      </x:c>
      <x:c r="M240" s="11" t="str">
        <x:v>截止日前日期，盘中时分未核</x:v>
      </x:c>
    </x:row>
    <x:row r="241" ht="23" customHeight="1">
      <x:c r="A241" s="11" t="str">
        <x:v>I066</x:v>
      </x:c>
      <x:c r="B241" s="11" t="str">
        <x:v>09888.HK</x:v>
      </x:c>
      <x:c r="C241" s="11" t="str">
        <x:v>SBCCNYmillion</x:v>
      </x:c>
      <x:c r="D241" s="39" t="n">
        <x:v>1272</x:v>
      </x:c>
      <x:c r="E241" s="11" t="str">
        <x:v>CNY</x:v>
      </x:c>
      <x:c r="F241" s="11" t="str">
        <x:v>CNY million</x:v>
      </x:c>
      <x:c r="G241" s="11" t="str">
        <x:v>H1/Q2 2026</x:v>
      </x:c>
      <x:c r="H241" s="11" t="str">
        <x:v>2026-08-18；财报会议20:00北京，港股收盘后</x:v>
      </x:c>
      <x:c r="I241" s="11" t="str">
        <x:v>https://ir.baidu.com/static-files/e57ce78e-e47a-4c0c-8797-3cb11c8c9b0a</x:v>
      </x:c>
      <x:c r="J241" s="11" t="str">
        <x:v>reported input</x:v>
      </x:c>
      <x:c r="K241" s="11" t="str">
        <x:v>待核</x:v>
      </x:c>
      <x:c r="L241" s="11" t="str">
        <x:v>精确发布时间未核验</x:v>
      </x:c>
      <x:c r="M241" s="11" t="str">
        <x:v>截止日前日期，盘中时分未核</x:v>
      </x:c>
    </x:row>
    <x:row r="242" ht="23" customHeight="1">
      <x:c r="A242" s="11" t="str">
        <x:v>I066</x:v>
      </x:c>
      <x:c r="B242" s="11" t="str">
        <x:v>09888.HK</x:v>
      </x:c>
      <x:c r="C242" s="11" t="str">
        <x:v>Q2RevenueCNYmillion</x:v>
      </x:c>
      <x:c r="D242" s="39" t="n">
        <x:v>31325</x:v>
      </x:c>
      <x:c r="E242" s="11" t="str">
        <x:v>CNY</x:v>
      </x:c>
      <x:c r="F242" s="11" t="str">
        <x:v>CNY million</x:v>
      </x:c>
      <x:c r="G242" s="11" t="str">
        <x:v>Q2 2026</x:v>
      </x:c>
      <x:c r="H242" s="11" t="str">
        <x:v>2026-08-18；财报会议20:00北京，港股收盘后</x:v>
      </x:c>
      <x:c r="I242" s="11" t="str">
        <x:v>https://ir.baidu.com/static-files/e57ce78e-e47a-4c0c-8797-3cb11c8c9b0a</x:v>
      </x:c>
      <x:c r="J242" s="11" t="str">
        <x:v>reported input</x:v>
      </x:c>
      <x:c r="K242" s="11" t="str">
        <x:v>待核</x:v>
      </x:c>
      <x:c r="L242" s="11" t="str">
        <x:v>精确发布时间未核验</x:v>
      </x:c>
      <x:c r="M242" s="11" t="str">
        <x:v>截止日前日期，盘中时分未核</x:v>
      </x:c>
    </x:row>
    <x:row r="243" ht="23" customHeight="1">
      <x:c r="A243" s="11" t="str">
        <x:v>I066</x:v>
      </x:c>
      <x:c r="B243" s="11" t="str">
        <x:v>09888.HK</x:v>
      </x:c>
      <x:c r="C243" s="11" t="str">
        <x:v>Q2BGBRevenueCNYmillion</x:v>
      </x:c>
      <x:c r="D243" s="39" t="n">
        <x:v>25183</x:v>
      </x:c>
      <x:c r="E243" s="11" t="str">
        <x:v>CNY</x:v>
      </x:c>
      <x:c r="F243" s="11" t="str">
        <x:v>CNY million</x:v>
      </x:c>
      <x:c r="G243" s="11" t="str">
        <x:v>Q2 2026</x:v>
      </x:c>
      <x:c r="H243" s="11" t="str">
        <x:v>2026-08-18；财报会议20:00北京，港股收盘后</x:v>
      </x:c>
      <x:c r="I243" s="11" t="str">
        <x:v>https://ir.baidu.com/static-files/e57ce78e-e47a-4c0c-8797-3cb11c8c9b0a</x:v>
      </x:c>
      <x:c r="J243" s="11" t="str">
        <x:v>reported input</x:v>
      </x:c>
      <x:c r="K243" s="11" t="str">
        <x:v>待核</x:v>
      </x:c>
      <x:c r="L243" s="11" t="str">
        <x:v>精确发布时间未核验</x:v>
      </x:c>
      <x:c r="M243" s="11" t="str">
        <x:v>截止日前日期，盘中时分未核</x:v>
      </x:c>
    </x:row>
    <x:row r="244" ht="23" customHeight="1">
      <x:c r="A244" s="11" t="str">
        <x:v>I066</x:v>
      </x:c>
      <x:c r="B244" s="11" t="str">
        <x:v>09888.HK</x:v>
      </x:c>
      <x:c r="C244" s="11" t="str">
        <x:v>Q2IqiyiRevenueCNYmillion</x:v>
      </x:c>
      <x:c r="D244" s="39" t="n">
        <x:v>6287</x:v>
      </x:c>
      <x:c r="E244" s="11" t="str">
        <x:v>CNY</x:v>
      </x:c>
      <x:c r="F244" s="11" t="str">
        <x:v>CNY million</x:v>
      </x:c>
      <x:c r="G244" s="11" t="str">
        <x:v>Q2 2026</x:v>
      </x:c>
      <x:c r="H244" s="11" t="str">
        <x:v>2026-08-18；财报会议20:00北京，港股收盘后</x:v>
      </x:c>
      <x:c r="I244" s="11" t="str">
        <x:v>https://ir.baidu.com/static-files/e57ce78e-e47a-4c0c-8797-3cb11c8c9b0a</x:v>
      </x:c>
      <x:c r="J244" s="11" t="str">
        <x:v>reported input</x:v>
      </x:c>
      <x:c r="K244" s="11" t="str">
        <x:v>待核</x:v>
      </x:c>
      <x:c r="L244" s="11" t="str">
        <x:v>精确发布时间未核验</x:v>
      </x:c>
      <x:c r="M244" s="11" t="str">
        <x:v>截止日前日期，盘中时分未核</x:v>
      </x:c>
    </x:row>
    <x:row r="245" ht="23" customHeight="1">
      <x:c r="A245" s="11" t="str">
        <x:v>I066</x:v>
      </x:c>
      <x:c r="B245" s="11" t="str">
        <x:v>09888.HK</x:v>
      </x:c>
      <x:c r="C245" s="11" t="str">
        <x:v>Q2EliminatedRevenueCNYmillion</x:v>
      </x:c>
      <x:c r="D245" s="39" t="n">
        <x:v>-145</x:v>
      </x:c>
      <x:c r="E245" s="11" t="str">
        <x:v>CNY</x:v>
      </x:c>
      <x:c r="F245" s="11" t="str">
        <x:v>CNY million</x:v>
      </x:c>
      <x:c r="G245" s="11" t="str">
        <x:v>Q2 2026</x:v>
      </x:c>
      <x:c r="H245" s="11" t="str">
        <x:v>2026-08-18；财报会议20:00北京，港股收盘后</x:v>
      </x:c>
      <x:c r="I245" s="11" t="str">
        <x:v>https://ir.baidu.com/static-files/e57ce78e-e47a-4c0c-8797-3cb11c8c9b0a</x:v>
      </x:c>
      <x:c r="J245" s="11" t="str">
        <x:v>reported input</x:v>
      </x:c>
      <x:c r="K245" s="11" t="str">
        <x:v>待核</x:v>
      </x:c>
      <x:c r="L245" s="11" t="str">
        <x:v>精确发布时间未核验</x:v>
      </x:c>
      <x:c r="M245" s="11" t="str">
        <x:v>截止日前日期，盘中时分未核</x:v>
      </x:c>
    </x:row>
    <x:row r="246" ht="23" customHeight="1">
      <x:c r="A246" s="11" t="str">
        <x:v>I066</x:v>
      </x:c>
      <x:c r="B246" s="11" t="str">
        <x:v>09888.HK</x:v>
      </x:c>
      <x:c r="C246" s="11" t="str">
        <x:v>Q2OperatingIncomeCNYmillion</x:v>
      </x:c>
      <x:c r="D246" s="39" t="n">
        <x:v>3024</x:v>
      </x:c>
      <x:c r="E246" s="11" t="str">
        <x:v>CNY</x:v>
      </x:c>
      <x:c r="F246" s="11" t="str">
        <x:v>CNY million</x:v>
      </x:c>
      <x:c r="G246" s="11" t="str">
        <x:v>Q2 2026</x:v>
      </x:c>
      <x:c r="H246" s="11" t="str">
        <x:v>2026-08-18；财报会议20:00北京，港股收盘后</x:v>
      </x:c>
      <x:c r="I246" s="11" t="str">
        <x:v>https://ir.baidu.com/static-files/e57ce78e-e47a-4c0c-8797-3cb11c8c9b0a</x:v>
      </x:c>
      <x:c r="J246" s="11" t="str">
        <x:v>reported input</x:v>
      </x:c>
      <x:c r="K246" s="11" t="str">
        <x:v>待核</x:v>
      </x:c>
      <x:c r="L246" s="11" t="str">
        <x:v>精确发布时间未核验</x:v>
      </x:c>
      <x:c r="M246" s="11" t="str">
        <x:v>截止日前日期，盘中时分未核</x:v>
      </x:c>
    </x:row>
    <x:row r="247" ht="23" customHeight="1">
      <x:c r="A247" s="11" t="str">
        <x:v>I066</x:v>
      </x:c>
      <x:c r="B247" s="11" t="str">
        <x:v>09888.HK</x:v>
      </x:c>
      <x:c r="C247" s="11" t="str">
        <x:v>Q2BGBOperatingIncomeCNYmillion</x:v>
      </x:c>
      <x:c r="D247" s="39" t="n">
        <x:v>3131</x:v>
      </x:c>
      <x:c r="E247" s="11" t="str">
        <x:v>CNY</x:v>
      </x:c>
      <x:c r="F247" s="11" t="str">
        <x:v>CNY million</x:v>
      </x:c>
      <x:c r="G247" s="11" t="str">
        <x:v>Q2 2026</x:v>
      </x:c>
      <x:c r="H247" s="11" t="str">
        <x:v>2026-08-18；财报会议20:00北京，港股收盘后</x:v>
      </x:c>
      <x:c r="I247" s="11" t="str">
        <x:v>https://ir.baidu.com/static-files/e57ce78e-e47a-4c0c-8797-3cb11c8c9b0a</x:v>
      </x:c>
      <x:c r="J247" s="11" t="str">
        <x:v>reported input</x:v>
      </x:c>
      <x:c r="K247" s="11" t="str">
        <x:v>待核</x:v>
      </x:c>
      <x:c r="L247" s="11" t="str">
        <x:v>精确发布时间未核验</x:v>
      </x:c>
      <x:c r="M247" s="11" t="str">
        <x:v>截止日前日期，盘中时分未核</x:v>
      </x:c>
    </x:row>
    <x:row r="248" ht="23" customHeight="1">
      <x:c r="A248" s="11" t="str">
        <x:v>I066</x:v>
      </x:c>
      <x:c r="B248" s="11" t="str">
        <x:v>09888.HK</x:v>
      </x:c>
      <x:c r="C248" s="11" t="str">
        <x:v>Q2NonGAAPOperatingIncomeCNYmillion</x:v>
      </x:c>
      <x:c r="D248" s="39" t="n">
        <x:v>3785</x:v>
      </x:c>
      <x:c r="E248" s="11" t="str">
        <x:v>CNY</x:v>
      </x:c>
      <x:c r="F248" s="11" t="str">
        <x:v>CNY million</x:v>
      </x:c>
      <x:c r="G248" s="11" t="str">
        <x:v>Q2 2026</x:v>
      </x:c>
      <x:c r="H248" s="11" t="str">
        <x:v>2026-08-18；财报会议20:00北京，港股收盘后</x:v>
      </x:c>
      <x:c r="I248" s="11" t="str">
        <x:v>https://ir.baidu.com/static-files/e57ce78e-e47a-4c0c-8797-3cb11c8c9b0a</x:v>
      </x:c>
      <x:c r="J248" s="11" t="str">
        <x:v>reported input</x:v>
      </x:c>
      <x:c r="K248" s="11" t="str">
        <x:v>待核</x:v>
      </x:c>
      <x:c r="L248" s="11" t="str">
        <x:v>精确发布时间未核验</x:v>
      </x:c>
      <x:c r="M248" s="11" t="str">
        <x:v>截止日前日期，盘中时分未核</x:v>
      </x:c>
    </x:row>
    <x:row r="249" ht="23" customHeight="1">
      <x:c r="A249" s="11" t="str">
        <x:v>I066</x:v>
      </x:c>
      <x:c r="B249" s="11" t="str">
        <x:v>09888.HK</x:v>
      </x:c>
      <x:c r="C249" s="11" t="str">
        <x:v>Q2BGBNonGAAPOperatingIncomeCNYmillion</x:v>
      </x:c>
      <x:c r="D249" s="39" t="n">
        <x:v>3818</x:v>
      </x:c>
      <x:c r="E249" s="11" t="str">
        <x:v>CNY</x:v>
      </x:c>
      <x:c r="F249" s="11" t="str">
        <x:v>CNY million</x:v>
      </x:c>
      <x:c r="G249" s="11" t="str">
        <x:v>Q2 2026</x:v>
      </x:c>
      <x:c r="H249" s="11" t="str">
        <x:v>2026-08-18；财报会议20:00北京，港股收盘后</x:v>
      </x:c>
      <x:c r="I249" s="11" t="str">
        <x:v>https://ir.baidu.com/static-files/e57ce78e-e47a-4c0c-8797-3cb11c8c9b0a</x:v>
      </x:c>
      <x:c r="J249" s="11" t="str">
        <x:v>reported input</x:v>
      </x:c>
      <x:c r="K249" s="11" t="str">
        <x:v>待核</x:v>
      </x:c>
      <x:c r="L249" s="11" t="str">
        <x:v>精确发布时间未核验</x:v>
      </x:c>
      <x:c r="M249" s="11" t="str">
        <x:v>截止日前日期，盘中时分未核</x:v>
      </x:c>
    </x:row>
    <x:row r="250" ht="23" customHeight="1">
      <x:c r="A250" s="11" t="str">
        <x:v>I066</x:v>
      </x:c>
      <x:c r="B250" s="11" t="str">
        <x:v>09888.HK</x:v>
      </x:c>
      <x:c r="C250" s="11" t="str">
        <x:v>Q2ProfitAttributableCNYmillion</x:v>
      </x:c>
      <x:c r="D250" s="39" t="n">
        <x:v>2319</x:v>
      </x:c>
      <x:c r="E250" s="11" t="str">
        <x:v>CNY</x:v>
      </x:c>
      <x:c r="F250" s="11" t="str">
        <x:v>CNY million</x:v>
      </x:c>
      <x:c r="G250" s="11" t="str">
        <x:v>Q2 2026</x:v>
      </x:c>
      <x:c r="H250" s="11" t="str">
        <x:v>2026-08-18；财报会议20:00北京，港股收盘后</x:v>
      </x:c>
      <x:c r="I250" s="11" t="str">
        <x:v>https://ir.baidu.com/static-files/e57ce78e-e47a-4c0c-8797-3cb11c8c9b0a</x:v>
      </x:c>
      <x:c r="J250" s="11" t="str">
        <x:v>reported input</x:v>
      </x:c>
      <x:c r="K250" s="11" t="str">
        <x:v>待核</x:v>
      </x:c>
      <x:c r="L250" s="11" t="str">
        <x:v>精确发布时间未核验</x:v>
      </x:c>
      <x:c r="M250" s="11" t="str">
        <x:v>截止日前日期，盘中时分未核</x:v>
      </x:c>
    </x:row>
    <x:row r="251" ht="23" customHeight="1">
      <x:c r="A251" s="11" t="str">
        <x:v>I066</x:v>
      </x:c>
      <x:c r="B251" s="11" t="str">
        <x:v>09888.HK</x:v>
      </x:c>
      <x:c r="C251" s="11" t="str">
        <x:v>Q2NonGAAPProfitAttributableCNYmillion</x:v>
      </x:c>
      <x:c r="D251" s="39" t="n">
        <x:v>2573</x:v>
      </x:c>
      <x:c r="E251" s="11" t="str">
        <x:v>CNY</x:v>
      </x:c>
      <x:c r="F251" s="11" t="str">
        <x:v>CNY million</x:v>
      </x:c>
      <x:c r="G251" s="11" t="str">
        <x:v>Q2 2026</x:v>
      </x:c>
      <x:c r="H251" s="11" t="str">
        <x:v>2026-08-18；财报会议20:00北京，港股收盘后</x:v>
      </x:c>
      <x:c r="I251" s="11" t="str">
        <x:v>https://ir.baidu.com/static-files/e57ce78e-e47a-4c0c-8797-3cb11c8c9b0a</x:v>
      </x:c>
      <x:c r="J251" s="11" t="str">
        <x:v>reported input</x:v>
      </x:c>
      <x:c r="K251" s="11" t="str">
        <x:v>待核</x:v>
      </x:c>
      <x:c r="L251" s="11" t="str">
        <x:v>精确发布时间未核验</x:v>
      </x:c>
      <x:c r="M251" s="11" t="str">
        <x:v>截止日前日期，盘中时分未核</x:v>
      </x:c>
    </x:row>
    <x:row r="252" ht="23" customHeight="1">
      <x:c r="A252" s="11" t="str">
        <x:v>I066</x:v>
      </x:c>
      <x:c r="B252" s="11" t="str">
        <x:v>09888.HK</x:v>
      </x:c>
      <x:c r="C252" s="11" t="str">
        <x:v>Q2DilutedEPSCNY</x:v>
      </x:c>
      <x:c r="D252" s="39" t="n">
        <x:v>0.72</x:v>
      </x:c>
      <x:c r="E252" s="11" t="str">
        <x:v>CNY</x:v>
      </x:c>
      <x:c r="F252" s="11" t="str">
        <x:v>CNY per ordinary share or ADS as explicitly named</x:v>
      </x:c>
      <x:c r="G252" s="11" t="str">
        <x:v>Q2 2026</x:v>
      </x:c>
      <x:c r="H252" s="11" t="str">
        <x:v>2026-08-18；财报会议20:00北京，港股收盘后</x:v>
      </x:c>
      <x:c r="I252" s="11" t="str">
        <x:v>https://ir.baidu.com/static-files/e57ce78e-e47a-4c0c-8797-3cb11c8c9b0a</x:v>
      </x:c>
      <x:c r="J252" s="11" t="str">
        <x:v>reported input</x:v>
      </x:c>
      <x:c r="K252" s="11" t="str">
        <x:v>待核</x:v>
      </x:c>
      <x:c r="L252" s="11" t="str">
        <x:v>精确发布时间未核验</x:v>
      </x:c>
      <x:c r="M252" s="11" t="str">
        <x:v>截止日前日期，盘中时分未核</x:v>
      </x:c>
    </x:row>
    <x:row r="253" ht="23" customHeight="1">
      <x:c r="A253" s="11" t="str">
        <x:v>I066</x:v>
      </x:c>
      <x:c r="B253" s="11" t="str">
        <x:v>09888.HK</x:v>
      </x:c>
      <x:c r="C253" s="11" t="str">
        <x:v>Q2DilutedADS_EPSCNY</x:v>
      </x:c>
      <x:c r="D253" s="39" t="n">
        <x:v>5.74</x:v>
      </x:c>
      <x:c r="E253" s="11" t="str">
        <x:v>CNY</x:v>
      </x:c>
      <x:c r="F253" s="11" t="str">
        <x:v>CNY per ordinary share or ADS as explicitly named</x:v>
      </x:c>
      <x:c r="G253" s="11" t="str">
        <x:v>Q2 2026</x:v>
      </x:c>
      <x:c r="H253" s="11" t="str">
        <x:v>2026-08-18；财报会议20:00北京，港股收盘后</x:v>
      </x:c>
      <x:c r="I253" s="11" t="str">
        <x:v>https://ir.baidu.com/static-files/e57ce78e-e47a-4c0c-8797-3cb11c8c9b0a</x:v>
      </x:c>
      <x:c r="J253" s="11" t="str">
        <x:v>reported input</x:v>
      </x:c>
      <x:c r="K253" s="11" t="str">
        <x:v>待核</x:v>
      </x:c>
      <x:c r="L253" s="11" t="str">
        <x:v>精确发布时间未核验</x:v>
      </x:c>
      <x:c r="M253" s="11" t="str">
        <x:v>截止日前日期，盘中时分未核</x:v>
      </x:c>
    </x:row>
    <x:row r="254" ht="23" customHeight="1">
      <x:c r="A254" s="11" t="str">
        <x:v>I066</x:v>
      </x:c>
      <x:c r="B254" s="11" t="str">
        <x:v>09888.HK</x:v>
      </x:c>
      <x:c r="C254" s="11" t="str">
        <x:v>Q2NonGAAPDilutedADS_EPSCNY</x:v>
      </x:c>
      <x:c r="D254" s="39" t="n">
        <x:v>7.22</x:v>
      </x:c>
      <x:c r="E254" s="11" t="str">
        <x:v>CNY</x:v>
      </x:c>
      <x:c r="F254" s="11" t="str">
        <x:v>CNY per ordinary share or ADS as explicitly named</x:v>
      </x:c>
      <x:c r="G254" s="11" t="str">
        <x:v>Q2 2026</x:v>
      </x:c>
      <x:c r="H254" s="11" t="str">
        <x:v>2026-08-18；财报会议20:00北京，港股收盘后</x:v>
      </x:c>
      <x:c r="I254" s="11" t="str">
        <x:v>https://ir.baidu.com/static-files/e57ce78e-e47a-4c0c-8797-3cb11c8c9b0a</x:v>
      </x:c>
      <x:c r="J254" s="11" t="str">
        <x:v>reported input</x:v>
      </x:c>
      <x:c r="K254" s="11" t="str">
        <x:v>待核</x:v>
      </x:c>
      <x:c r="L254" s="11" t="str">
        <x:v>精确发布时间未核验</x:v>
      </x:c>
      <x:c r="M254" s="11" t="str">
        <x:v>截止日前日期，盘中时分未核</x:v>
      </x:c>
    </x:row>
    <x:row r="255" ht="23" customHeight="1">
      <x:c r="A255" s="11" t="str">
        <x:v>I066</x:v>
      </x:c>
      <x:c r="B255" s="11" t="str">
        <x:v>09888.HK</x:v>
      </x:c>
      <x:c r="C255" s="11" t="str">
        <x:v>Q2OCFCNYmillion</x:v>
      </x:c>
      <x:c r="D255" s="39" t="n">
        <x:v>3436</x:v>
      </x:c>
      <x:c r="E255" s="11" t="str">
        <x:v>CNY</x:v>
      </x:c>
      <x:c r="F255" s="11" t="str">
        <x:v>CNY million</x:v>
      </x:c>
      <x:c r="G255" s="11" t="str">
        <x:v>Q2 2026</x:v>
      </x:c>
      <x:c r="H255" s="11" t="str">
        <x:v>2026-08-18；财报会议20:00北京，港股收盘后</x:v>
      </x:c>
      <x:c r="I255" s="11" t="str">
        <x:v>https://ir.baidu.com/static-files/e57ce78e-e47a-4c0c-8797-3cb11c8c9b0a</x:v>
      </x:c>
      <x:c r="J255" s="11" t="str">
        <x:v>reported input</x:v>
      </x:c>
      <x:c r="K255" s="11" t="str">
        <x:v>待核</x:v>
      </x:c>
      <x:c r="L255" s="11" t="str">
        <x:v>精确发布时间未核验</x:v>
      </x:c>
      <x:c r="M255" s="11" t="str">
        <x:v>截止日前日期，盘中时分未核</x:v>
      </x:c>
    </x:row>
    <x:row r="256" ht="23" customHeight="1">
      <x:c r="A256" s="11" t="str">
        <x:v>I066</x:v>
      </x:c>
      <x:c r="B256" s="11" t="str">
        <x:v>09888.HK</x:v>
      </x:c>
      <x:c r="C256" s="11" t="str">
        <x:v>Q1OCFCNYmillion</x:v>
      </x:c>
      <x:c r="D256" s="39" t="n">
        <x:v>2670</x:v>
      </x:c>
      <x:c r="E256" s="11" t="str">
        <x:v>CNY</x:v>
      </x:c>
      <x:c r="F256" s="11" t="str">
        <x:v>CNY million</x:v>
      </x:c>
      <x:c r="G256" s="11" t="str">
        <x:v>Q1 2026</x:v>
      </x:c>
      <x:c r="H256" s="11" t="str">
        <x:v>2026-08-18；财报会议20:00北京，港股收盘后</x:v>
      </x:c>
      <x:c r="I256" s="11" t="str">
        <x:v>https://ir.baidu.com/static-files/e57ce78e-e47a-4c0c-8797-3cb11c8c9b0a</x:v>
      </x:c>
      <x:c r="J256" s="11" t="str">
        <x:v>reported input</x:v>
      </x:c>
      <x:c r="K256" s="11" t="str">
        <x:v>待核</x:v>
      </x:c>
      <x:c r="L256" s="11" t="str">
        <x:v>精确发布时间未核验</x:v>
      </x:c>
      <x:c r="M256" s="11" t="str">
        <x:v>截止日前日期，盘中时分未核</x:v>
      </x:c>
    </x:row>
    <x:row r="257" ht="23" customHeight="1">
      <x:c r="A257" s="11" t="str">
        <x:v>I066</x:v>
      </x:c>
      <x:c r="B257" s="11" t="str">
        <x:v>09888.HK</x:v>
      </x:c>
      <x:c r="C257" s="11" t="str">
        <x:v>H1OCFResearchSumCNYmillion</x:v>
      </x:c>
      <x:c r="D257" s="39" t="n">
        <x:v>6106</x:v>
      </x:c>
      <x:c r="E257" s="11" t="str">
        <x:v>CNY</x:v>
      </x:c>
      <x:c r="F257" s="11" t="str">
        <x:v>CNY million</x:v>
      </x:c>
      <x:c r="G257" s="11" t="str">
        <x:v>H1/Q2 2026</x:v>
      </x:c>
      <x:c r="H257" s="11" t="str">
        <x:v>2026-08-18；财报会议20:00北京，港股收盘后</x:v>
      </x:c>
      <x:c r="I257" s="11" t="str">
        <x:v>https://ir.baidu.com/static-files/e57ce78e-e47a-4c0c-8797-3cb11c8c9b0a</x:v>
      </x:c>
      <x:c r="J257" s="11" t="str">
        <x:v>research calculation from reported lines</x:v>
      </x:c>
      <x:c r="K257" s="11" t="str">
        <x:v>待核</x:v>
      </x:c>
      <x:c r="L257" s="11" t="str">
        <x:v>精确发布时间未核验</x:v>
      </x:c>
      <x:c r="M257" s="11" t="str">
        <x:v>截止日前日期，盘中时分未核</x:v>
      </x:c>
    </x:row>
    <x:row r="258" ht="23" customHeight="1">
      <x:c r="A258" s="11" t="str">
        <x:v>I066</x:v>
      </x:c>
      <x:c r="B258" s="11" t="str">
        <x:v>09888.HK</x:v>
      </x:c>
      <x:c r="C258" s="11" t="str">
        <x:v>Q2CapexCNYmillion</x:v>
      </x:c>
      <x:c r="D258" s="39" t="n">
        <x:v>11390</x:v>
      </x:c>
      <x:c r="E258" s="11" t="str">
        <x:v>CNY</x:v>
      </x:c>
      <x:c r="F258" s="11" t="str">
        <x:v>CNY million</x:v>
      </x:c>
      <x:c r="G258" s="11" t="str">
        <x:v>Q2 2026</x:v>
      </x:c>
      <x:c r="H258" s="11" t="str">
        <x:v>2026-08-18；财报会议20:00北京，港股收盘后</x:v>
      </x:c>
      <x:c r="I258" s="11" t="str">
        <x:v>https://ir.baidu.com/static-files/e57ce78e-e47a-4c0c-8797-3cb11c8c9b0a</x:v>
      </x:c>
      <x:c r="J258" s="11" t="str">
        <x:v>reported input</x:v>
      </x:c>
      <x:c r="K258" s="11" t="str">
        <x:v>待核</x:v>
      </x:c>
      <x:c r="L258" s="11" t="str">
        <x:v>精确发布时间未核验</x:v>
      </x:c>
      <x:c r="M258" s="11" t="str">
        <x:v>截止日前日期，盘中时分未核</x:v>
      </x:c>
    </x:row>
    <x:row r="259" ht="23" customHeight="1">
      <x:c r="A259" s="11" t="str">
        <x:v>I066</x:v>
      </x:c>
      <x:c r="B259" s="11" t="str">
        <x:v>09888.HK</x:v>
      </x:c>
      <x:c r="C259" s="11" t="str">
        <x:v>Q1CapexCNYmillion</x:v>
      </x:c>
      <x:c r="D259" s="39" t="n">
        <x:v>5916</x:v>
      </x:c>
      <x:c r="E259" s="11" t="str">
        <x:v>CNY</x:v>
      </x:c>
      <x:c r="F259" s="11" t="str">
        <x:v>CNY million</x:v>
      </x:c>
      <x:c r="G259" s="11" t="str">
        <x:v>Q1 2026</x:v>
      </x:c>
      <x:c r="H259" s="11" t="str">
        <x:v>2026-08-18；财报会议20:00北京，港股收盘后</x:v>
      </x:c>
      <x:c r="I259" s="11" t="str">
        <x:v>https://ir.baidu.com/static-files/e57ce78e-e47a-4c0c-8797-3cb11c8c9b0a</x:v>
      </x:c>
      <x:c r="J259" s="11" t="str">
        <x:v>reported input</x:v>
      </x:c>
      <x:c r="K259" s="11" t="str">
        <x:v>待核</x:v>
      </x:c>
      <x:c r="L259" s="11" t="str">
        <x:v>精确发布时间未核验</x:v>
      </x:c>
      <x:c r="M259" s="11" t="str">
        <x:v>截止日前日期，盘中时分未核</x:v>
      </x:c>
    </x:row>
    <x:row r="260" ht="23" customHeight="1">
      <x:c r="A260" s="11" t="str">
        <x:v>I066</x:v>
      </x:c>
      <x:c r="B260" s="11" t="str">
        <x:v>09888.HK</x:v>
      </x:c>
      <x:c r="C260" s="11" t="str">
        <x:v>H1CapexResearchSumCNYmillion</x:v>
      </x:c>
      <x:c r="D260" s="39" t="n">
        <x:v>17306</x:v>
      </x:c>
      <x:c r="E260" s="11" t="str">
        <x:v>CNY</x:v>
      </x:c>
      <x:c r="F260" s="11" t="str">
        <x:v>CNY million</x:v>
      </x:c>
      <x:c r="G260" s="11" t="str">
        <x:v>H1/Q2 2026</x:v>
      </x:c>
      <x:c r="H260" s="11" t="str">
        <x:v>2026-08-18；财报会议20:00北京，港股收盘后</x:v>
      </x:c>
      <x:c r="I260" s="11" t="str">
        <x:v>https://ir.baidu.com/static-files/e57ce78e-e47a-4c0c-8797-3cb11c8c9b0a</x:v>
      </x:c>
      <x:c r="J260" s="11" t="str">
        <x:v>research calculation from reported lines</x:v>
      </x:c>
      <x:c r="K260" s="11" t="str">
        <x:v>待核</x:v>
      </x:c>
      <x:c r="L260" s="11" t="str">
        <x:v>精确发布时间未核验</x:v>
      </x:c>
      <x:c r="M260" s="11" t="str">
        <x:v>截止日前日期，盘中时分未核</x:v>
      </x:c>
    </x:row>
    <x:row r="261" ht="23" customHeight="1">
      <x:c r="A261" s="11" t="str">
        <x:v>I066</x:v>
      </x:c>
      <x:c r="B261" s="11" t="str">
        <x:v>09888.HK</x:v>
      </x:c>
      <x:c r="C261" s="11" t="str">
        <x:v>H1FCFResearchSumCNYmillion</x:v>
      </x:c>
      <x:c r="D261" s="39" t="n">
        <x:v>-11200</x:v>
      </x:c>
      <x:c r="E261" s="11" t="str">
        <x:v>CNY</x:v>
      </x:c>
      <x:c r="F261" s="11" t="str">
        <x:v>CNY million</x:v>
      </x:c>
      <x:c r="G261" s="11" t="str">
        <x:v>H1/Q2 2026</x:v>
      </x:c>
      <x:c r="H261" s="11" t="str">
        <x:v>2026-08-18；财报会议20:00北京，港股收盘后</x:v>
      </x:c>
      <x:c r="I261" s="11" t="str">
        <x:v>https://ir.baidu.com/static-files/e57ce78e-e47a-4c0c-8797-3cb11c8c9b0a</x:v>
      </x:c>
      <x:c r="J261" s="11" t="str">
        <x:v>research calculation from reported lines</x:v>
      </x:c>
      <x:c r="K261" s="11" t="str">
        <x:v>待核</x:v>
      </x:c>
      <x:c r="L261" s="11" t="str">
        <x:v>精确发布时间未核验</x:v>
      </x:c>
      <x:c r="M261" s="11" t="str">
        <x:v>截止日前日期，盘中时分未核</x:v>
      </x:c>
    </x:row>
    <x:row r="262" ht="23" customHeight="1">
      <x:c r="A262" s="11" t="str">
        <x:v>I066</x:v>
      </x:c>
      <x:c r="B262" s="11" t="str">
        <x:v>09888.HK</x:v>
      </x:c>
      <x:c r="C262" s="11" t="str">
        <x:v>Q2FCFCNYmillion</x:v>
      </x:c>
      <x:c r="D262" s="39" t="n">
        <x:v>-7954</x:v>
      </x:c>
      <x:c r="E262" s="11" t="str">
        <x:v>CNY</x:v>
      </x:c>
      <x:c r="F262" s="11" t="str">
        <x:v>CNY million</x:v>
      </x:c>
      <x:c r="G262" s="11" t="str">
        <x:v>Q2 2026</x:v>
      </x:c>
      <x:c r="H262" s="11" t="str">
        <x:v>2026-08-18；财报会议20:00北京，港股收盘后</x:v>
      </x:c>
      <x:c r="I262" s="11" t="str">
        <x:v>https://ir.baidu.com/static-files/e57ce78e-e47a-4c0c-8797-3cb11c8c9b0a</x:v>
      </x:c>
      <x:c r="J262" s="11" t="str">
        <x:v>reported input</x:v>
      </x:c>
      <x:c r="K262" s="11" t="str">
        <x:v>待核</x:v>
      </x:c>
      <x:c r="L262" s="11" t="str">
        <x:v>精确发布时间未核验</x:v>
      </x:c>
      <x:c r="M262" s="11" t="str">
        <x:v>截止日前日期，盘中时分未核</x:v>
      </x:c>
    </x:row>
    <x:row r="263" ht="23" customHeight="1">
      <x:c r="A263" s="11" t="str">
        <x:v>I066</x:v>
      </x:c>
      <x:c r="B263" s="11" t="str">
        <x:v>09888.HK</x:v>
      </x:c>
      <x:c r="C263" s="11" t="str">
        <x:v>cashCNYmillion</x:v>
      </x:c>
      <x:c r="D263" s="39" t="n">
        <x:v>24524</x:v>
      </x:c>
      <x:c r="E263" s="11" t="str">
        <x:v>CNY</x:v>
      </x:c>
      <x:c r="F263" s="11" t="str">
        <x:v>CNY million</x:v>
      </x:c>
      <x:c r="G263" s="11" t="str">
        <x:v>H1/Q2 2026</x:v>
      </x:c>
      <x:c r="H263" s="11" t="str">
        <x:v>2026-08-18；财报会议20:00北京，港股收盘后</x:v>
      </x:c>
      <x:c r="I263" s="11" t="str">
        <x:v>https://ir.baidu.com/static-files/e57ce78e-e47a-4c0c-8797-3cb11c8c9b0a</x:v>
      </x:c>
      <x:c r="J263" s="11" t="str">
        <x:v>reported input</x:v>
      </x:c>
      <x:c r="K263" s="11" t="str">
        <x:v>待核</x:v>
      </x:c>
      <x:c r="L263" s="11" t="str">
        <x:v>精确发布时间未核验</x:v>
      </x:c>
      <x:c r="M263" s="11" t="str">
        <x:v>截止日前日期，盘中时分未核</x:v>
      </x:c>
    </x:row>
    <x:row r="264" ht="23" customHeight="1">
      <x:c r="A264" s="11" t="str">
        <x:v>I066</x:v>
      </x:c>
      <x:c r="B264" s="11" t="str">
        <x:v>09888.HK</x:v>
      </x:c>
      <x:c r="C264" s="11" t="str">
        <x:v>restrictedCashCNYmillion</x:v>
      </x:c>
      <x:c r="D264" s="39" t="n">
        <x:v>170</x:v>
      </x:c>
      <x:c r="E264" s="11" t="str">
        <x:v>CNY</x:v>
      </x:c>
      <x:c r="F264" s="11" t="str">
        <x:v>CNY million</x:v>
      </x:c>
      <x:c r="G264" s="11" t="str">
        <x:v>H1/Q2 2026</x:v>
      </x:c>
      <x:c r="H264" s="11" t="str">
        <x:v>2026-08-18；财报会议20:00北京，港股收盘后</x:v>
      </x:c>
      <x:c r="I264" s="11" t="str">
        <x:v>https://ir.baidu.com/static-files/e57ce78e-e47a-4c0c-8797-3cb11c8c9b0a</x:v>
      </x:c>
      <x:c r="J264" s="11" t="str">
        <x:v>reported input</x:v>
      </x:c>
      <x:c r="K264" s="11" t="str">
        <x:v>待核</x:v>
      </x:c>
      <x:c r="L264" s="11" t="str">
        <x:v>精确发布时间未核验</x:v>
      </x:c>
      <x:c r="M264" s="11" t="str">
        <x:v>截止日前日期，盘中时分未核</x:v>
      </x:c>
    </x:row>
    <x:row r="265" ht="23" customHeight="1">
      <x:c r="A265" s="11" t="str">
        <x:v>I066</x:v>
      </x:c>
      <x:c r="B265" s="11" t="str">
        <x:v>09888.HK</x:v>
      </x:c>
      <x:c r="C265" s="11" t="str">
        <x:v>shortInvestCNYmillion</x:v>
      </x:c>
      <x:c r="D265" s="39" t="n">
        <x:v>141727</x:v>
      </x:c>
      <x:c r="E265" s="11" t="str">
        <x:v>CNY</x:v>
      </x:c>
      <x:c r="F265" s="11" t="str">
        <x:v>CNY million</x:v>
      </x:c>
      <x:c r="G265" s="11" t="str">
        <x:v>H1/Q2 2026</x:v>
      </x:c>
      <x:c r="H265" s="11" t="str">
        <x:v>2026-08-18；财报会议20:00北京，港股收盘后</x:v>
      </x:c>
      <x:c r="I265" s="11" t="str">
        <x:v>https://ir.baidu.com/static-files/e57ce78e-e47a-4c0c-8797-3cb11c8c9b0a</x:v>
      </x:c>
      <x:c r="J265" s="11" t="str">
        <x:v>reported input</x:v>
      </x:c>
      <x:c r="K265" s="11" t="str">
        <x:v>待核</x:v>
      </x:c>
      <x:c r="L265" s="11" t="str">
        <x:v>精确发布时间未核验</x:v>
      </x:c>
      <x:c r="M265" s="11" t="str">
        <x:v>截止日前日期，盘中时分未核</x:v>
      </x:c>
    </x:row>
    <x:row r="266" ht="23" customHeight="1">
      <x:c r="A266" s="11" t="str">
        <x:v>I066</x:v>
      </x:c>
      <x:c r="B266" s="11" t="str">
        <x:v>09888.HK</x:v>
      </x:c>
      <x:c r="C266" s="11" t="str">
        <x:v>longDepositsHTMCNYmillion</x:v>
      </x:c>
      <x:c r="D266" s="39" t="n">
        <x:v>74311</x:v>
      </x:c>
      <x:c r="E266" s="11" t="str">
        <x:v>CNY</x:v>
      </x:c>
      <x:c r="F266" s="11" t="str">
        <x:v>CNY million</x:v>
      </x:c>
      <x:c r="G266" s="11" t="str">
        <x:v>H1/Q2 2026</x:v>
      </x:c>
      <x:c r="H266" s="11" t="str">
        <x:v>2026-08-18；财报会议20:00北京，港股收盘后</x:v>
      </x:c>
      <x:c r="I266" s="11" t="str">
        <x:v>https://ir.baidu.com/static-files/e57ce78e-e47a-4c0c-8797-3cb11c8c9b0a</x:v>
      </x:c>
      <x:c r="J266" s="11" t="str">
        <x:v>reported input</x:v>
      </x:c>
      <x:c r="K266" s="11" t="str">
        <x:v>待核</x:v>
      </x:c>
      <x:c r="L266" s="11" t="str">
        <x:v>精确发布时间未核验</x:v>
      </x:c>
      <x:c r="M266" s="11" t="str">
        <x:v>截止日前日期，盘中时分未核</x:v>
      </x:c>
    </x:row>
    <x:row r="267" ht="23" customHeight="1">
      <x:c r="A267" s="11" t="str">
        <x:v>I066</x:v>
      </x:c>
      <x:c r="B267" s="11" t="str">
        <x:v>09888.HK</x:v>
      </x:c>
      <x:c r="C267" s="11" t="str">
        <x:v>longInvestCNYmillion</x:v>
      </x:c>
      <x:c r="D267" s="39" t="n">
        <x:v>42855</x:v>
      </x:c>
      <x:c r="E267" s="11" t="str">
        <x:v>CNY</x:v>
      </x:c>
      <x:c r="F267" s="11" t="str">
        <x:v>CNY million</x:v>
      </x:c>
      <x:c r="G267" s="11" t="str">
        <x:v>H1/Q2 2026</x:v>
      </x:c>
      <x:c r="H267" s="11" t="str">
        <x:v>2026-08-18；财报会议20:00北京，港股收盘后</x:v>
      </x:c>
      <x:c r="I267" s="11" t="str">
        <x:v>https://ir.baidu.com/static-files/e57ce78e-e47a-4c0c-8797-3cb11c8c9b0a</x:v>
      </x:c>
      <x:c r="J267" s="11" t="str">
        <x:v>reported input</x:v>
      </x:c>
      <x:c r="K267" s="11" t="str">
        <x:v>待核</x:v>
      </x:c>
      <x:c r="L267" s="11" t="str">
        <x:v>精确发布时间未核验</x:v>
      </x:c>
      <x:c r="M267" s="11" t="str">
        <x:v>截止日前日期，盘中时分未核</x:v>
      </x:c>
    </x:row>
    <x:row r="268" ht="23" customHeight="1">
      <x:c r="A268" s="11" t="str">
        <x:v>I066</x:v>
      </x:c>
      <x:c r="B268" s="11" t="str">
        <x:v>09888.HK</x:v>
      </x:c>
      <x:c r="C268" s="11" t="str">
        <x:v>shortLoansCNYmillion</x:v>
      </x:c>
      <x:c r="D268" s="39" t="n">
        <x:v>26311</x:v>
      </x:c>
      <x:c r="E268" s="11" t="str">
        <x:v>CNY</x:v>
      </x:c>
      <x:c r="F268" s="11" t="str">
        <x:v>CNY million</x:v>
      </x:c>
      <x:c r="G268" s="11" t="str">
        <x:v>H1/Q2 2026</x:v>
      </x:c>
      <x:c r="H268" s="11" t="str">
        <x:v>2026-08-18；财报会议20:00北京，港股收盘后</x:v>
      </x:c>
      <x:c r="I268" s="11" t="str">
        <x:v>https://ir.baidu.com/static-files/e57ce78e-e47a-4c0c-8797-3cb11c8c9b0a</x:v>
      </x:c>
      <x:c r="J268" s="11" t="str">
        <x:v>reported input</x:v>
      </x:c>
      <x:c r="K268" s="11" t="str">
        <x:v>待核</x:v>
      </x:c>
      <x:c r="L268" s="11" t="str">
        <x:v>精确发布时间未核验</x:v>
      </x:c>
      <x:c r="M268" s="11" t="str">
        <x:v>截止日前日期，盘中时分未核</x:v>
      </x:c>
    </x:row>
    <x:row r="269" ht="23" customHeight="1">
      <x:c r="A269" s="11" t="str">
        <x:v>I066</x:v>
      </x:c>
      <x:c r="B269" s="11" t="str">
        <x:v>09888.HK</x:v>
      </x:c>
      <x:c r="C269" s="11" t="str">
        <x:v>currentLongLoansCNYmillion</x:v>
      </x:c>
      <x:c r="D269" s="39" t="n">
        <x:v>2027</x:v>
      </x:c>
      <x:c r="E269" s="11" t="str">
        <x:v>CNY</x:v>
      </x:c>
      <x:c r="F269" s="11" t="str">
        <x:v>CNY million</x:v>
      </x:c>
      <x:c r="G269" s="11" t="str">
        <x:v>H1/Q2 2026</x:v>
      </x:c>
      <x:c r="H269" s="11" t="str">
        <x:v>2026-08-18；财报会议20:00北京，港股收盘后</x:v>
      </x:c>
      <x:c r="I269" s="11" t="str">
        <x:v>https://ir.baidu.com/static-files/e57ce78e-e47a-4c0c-8797-3cb11c8c9b0a</x:v>
      </x:c>
      <x:c r="J269" s="11" t="str">
        <x:v>reported input</x:v>
      </x:c>
      <x:c r="K269" s="11" t="str">
        <x:v>待核</x:v>
      </x:c>
      <x:c r="L269" s="11" t="str">
        <x:v>精确发布时间未核验</x:v>
      </x:c>
      <x:c r="M269" s="11" t="str">
        <x:v>截止日前日期，盘中时分未核</x:v>
      </x:c>
    </x:row>
    <x:row r="270" ht="23" customHeight="1">
      <x:c r="A270" s="11" t="str">
        <x:v>I066</x:v>
      </x:c>
      <x:c r="B270" s="11" t="str">
        <x:v>09888.HK</x:v>
      </x:c>
      <x:c r="C270" s="11" t="str">
        <x:v>currentConvertibleCNYmillion</x:v>
      </x:c>
      <x:c r="D270" s="39" t="n">
        <x:v>1</x:v>
      </x:c>
      <x:c r="E270" s="11" t="str">
        <x:v>CNY</x:v>
      </x:c>
      <x:c r="F270" s="11" t="str">
        <x:v>CNY million</x:v>
      </x:c>
      <x:c r="G270" s="11" t="str">
        <x:v>H1/Q2 2026</x:v>
      </x:c>
      <x:c r="H270" s="11" t="str">
        <x:v>2026-08-18；财报会议20:00北京，港股收盘后</x:v>
      </x:c>
      <x:c r="I270" s="11" t="str">
        <x:v>https://ir.baidu.com/static-files/e57ce78e-e47a-4c0c-8797-3cb11c8c9b0a</x:v>
      </x:c>
      <x:c r="J270" s="11" t="str">
        <x:v>reported input</x:v>
      </x:c>
      <x:c r="K270" s="11" t="str">
        <x:v>待核</x:v>
      </x:c>
      <x:c r="L270" s="11" t="str">
        <x:v>精确发布时间未核验</x:v>
      </x:c>
      <x:c r="M270" s="11" t="str">
        <x:v>截止日前日期，盘中时分未核</x:v>
      </x:c>
    </x:row>
    <x:row r="271" ht="23" customHeight="1">
      <x:c r="A271" s="11" t="str">
        <x:v>I066</x:v>
      </x:c>
      <x:c r="B271" s="11" t="str">
        <x:v>09888.HK</x:v>
      </x:c>
      <x:c r="C271" s="11" t="str">
        <x:v>currentNotesCNYmillion</x:v>
      </x:c>
      <x:c r="D271" s="39" t="n">
        <x:v>2038</x:v>
      </x:c>
      <x:c r="E271" s="11" t="str">
        <x:v>CNY</x:v>
      </x:c>
      <x:c r="F271" s="11" t="str">
        <x:v>CNY million</x:v>
      </x:c>
      <x:c r="G271" s="11" t="str">
        <x:v>H1/Q2 2026</x:v>
      </x:c>
      <x:c r="H271" s="11" t="str">
        <x:v>2026-08-18；财报会议20:00北京，港股收盘后</x:v>
      </x:c>
      <x:c r="I271" s="11" t="str">
        <x:v>https://ir.baidu.com/static-files/e57ce78e-e47a-4c0c-8797-3cb11c8c9b0a</x:v>
      </x:c>
      <x:c r="J271" s="11" t="str">
        <x:v>reported input</x:v>
      </x:c>
      <x:c r="K271" s="11" t="str">
        <x:v>待核</x:v>
      </x:c>
      <x:c r="L271" s="11" t="str">
        <x:v>精确发布时间未核验</x:v>
      </x:c>
      <x:c r="M271" s="11" t="str">
        <x:v>截止日前日期，盘中时分未核</x:v>
      </x:c>
    </x:row>
    <x:row r="272" ht="23" customHeight="1">
      <x:c r="A272" s="11" t="str">
        <x:v>I066</x:v>
      </x:c>
      <x:c r="B272" s="11" t="str">
        <x:v>09888.HK</x:v>
      </x:c>
      <x:c r="C272" s="11" t="str">
        <x:v>longLoansCNYmillion</x:v>
      </x:c>
      <x:c r="D272" s="39" t="n">
        <x:v>20779</x:v>
      </x:c>
      <x:c r="E272" s="11" t="str">
        <x:v>CNY</x:v>
      </x:c>
      <x:c r="F272" s="11" t="str">
        <x:v>CNY million</x:v>
      </x:c>
      <x:c r="G272" s="11" t="str">
        <x:v>H1/Q2 2026</x:v>
      </x:c>
      <x:c r="H272" s="11" t="str">
        <x:v>2026-08-18；财报会议20:00北京，港股收盘后</x:v>
      </x:c>
      <x:c r="I272" s="11" t="str">
        <x:v>https://ir.baidu.com/static-files/e57ce78e-e47a-4c0c-8797-3cb11c8c9b0a</x:v>
      </x:c>
      <x:c r="J272" s="11" t="str">
        <x:v>reported input</x:v>
      </x:c>
      <x:c r="K272" s="11" t="str">
        <x:v>待核</x:v>
      </x:c>
      <x:c r="L272" s="11" t="str">
        <x:v>精确发布时间未核验</x:v>
      </x:c>
      <x:c r="M272" s="11" t="str">
        <x:v>截止日前日期，盘中时分未核</x:v>
      </x:c>
    </x:row>
    <x:row r="273" ht="23" customHeight="1">
      <x:c r="A273" s="11" t="str">
        <x:v>I066</x:v>
      </x:c>
      <x:c r="B273" s="11" t="str">
        <x:v>09888.HK</x:v>
      </x:c>
      <x:c r="C273" s="11" t="str">
        <x:v>longConvertibleCNYmillion</x:v>
      </x:c>
      <x:c r="D273" s="39" t="n">
        <x:v>6615</x:v>
      </x:c>
      <x:c r="E273" s="11" t="str">
        <x:v>CNY</x:v>
      </x:c>
      <x:c r="F273" s="11" t="str">
        <x:v>CNY million</x:v>
      </x:c>
      <x:c r="G273" s="11" t="str">
        <x:v>H1/Q2 2026</x:v>
      </x:c>
      <x:c r="H273" s="11" t="str">
        <x:v>2026-08-18；财报会议20:00北京，港股收盘后</x:v>
      </x:c>
      <x:c r="I273" s="11" t="str">
        <x:v>https://ir.baidu.com/static-files/e57ce78e-e47a-4c0c-8797-3cb11c8c9b0a</x:v>
      </x:c>
      <x:c r="J273" s="11" t="str">
        <x:v>reported input</x:v>
      </x:c>
      <x:c r="K273" s="11" t="str">
        <x:v>待核</x:v>
      </x:c>
      <x:c r="L273" s="11" t="str">
        <x:v>精确发布时间未核验</x:v>
      </x:c>
      <x:c r="M273" s="11" t="str">
        <x:v>截止日前日期，盘中时分未核</x:v>
      </x:c>
    </x:row>
    <x:row r="274" ht="23" customHeight="1">
      <x:c r="A274" s="11" t="str">
        <x:v>I066</x:v>
      </x:c>
      <x:c r="B274" s="11" t="str">
        <x:v>09888.HK</x:v>
      </x:c>
      <x:c r="C274" s="11" t="str">
        <x:v>longNotesCNYmillion</x:v>
      </x:c>
      <x:c r="D274" s="39" t="n">
        <x:v>46089</x:v>
      </x:c>
      <x:c r="E274" s="11" t="str">
        <x:v>CNY</x:v>
      </x:c>
      <x:c r="F274" s="11" t="str">
        <x:v>CNY million</x:v>
      </x:c>
      <x:c r="G274" s="11" t="str">
        <x:v>H1/Q2 2026</x:v>
      </x:c>
      <x:c r="H274" s="11" t="str">
        <x:v>2026-08-18；财报会议20:00北京，港股收盘后</x:v>
      </x:c>
      <x:c r="I274" s="11" t="str">
        <x:v>https://ir.baidu.com/static-files/e57ce78e-e47a-4c0c-8797-3cb11c8c9b0a</x:v>
      </x:c>
      <x:c r="J274" s="11" t="str">
        <x:v>reported input</x:v>
      </x:c>
      <x:c r="K274" s="11" t="str">
        <x:v>待核</x:v>
      </x:c>
      <x:c r="L274" s="11" t="str">
        <x:v>精确发布时间未核验</x:v>
      </x:c>
      <x:c r="M274" s="11" t="str">
        <x:v>截止日前日期，盘中时分未核</x:v>
      </x:c>
    </x:row>
    <x:row r="275" ht="23" customHeight="1">
      <x:c r="A275" s="11" t="str">
        <x:v>I066</x:v>
      </x:c>
      <x:c r="B275" s="11" t="str">
        <x:v>09888.HK</x:v>
      </x:c>
      <x:c r="C275" s="11" t="str">
        <x:v>netFinancialAssetsProxyCNYmillion</x:v>
      </x:c>
      <x:c r="D275" s="39" t="n">
        <x:v>136702</x:v>
      </x:c>
      <x:c r="E275" s="11" t="str">
        <x:v>CNY</x:v>
      </x:c>
      <x:c r="F275" s="11" t="str">
        <x:v>CNY million</x:v>
      </x:c>
      <x:c r="G275" s="11" t="str">
        <x:v>H1/Q2 2026</x:v>
      </x:c>
      <x:c r="H275" s="11" t="str">
        <x:v>2026-08-18；财报会议20:00北京，港股收盘后</x:v>
      </x:c>
      <x:c r="I275" s="11" t="str">
        <x:v>https://ir.baidu.com/static-files/e57ce78e-e47a-4c0c-8797-3cb11c8c9b0a</x:v>
      </x:c>
      <x:c r="J275" s="11" t="str">
        <x:v>research calculation from reported lines</x:v>
      </x:c>
      <x:c r="K275" s="11" t="str">
        <x:v>待核</x:v>
      </x:c>
      <x:c r="L275" s="11" t="str">
        <x:v>精确发布时间未核验</x:v>
      </x:c>
      <x:c r="M275" s="11" t="str">
        <x:v>截止日前日期，盘中时分未核</x:v>
      </x:c>
    </x:row>
    <x:row r="276" ht="23" customHeight="1">
      <x:c r="A276" s="11" t="str">
        <x:v>I066</x:v>
      </x:c>
      <x:c r="B276" s="11" t="str">
        <x:v>09888.HK</x:v>
      </x:c>
      <x:c r="C276" s="11" t="str">
        <x:v>totalCashAndInvestmentsManagementCNYbillion</x:v>
      </x:c>
      <x:c r="D276" s="39" t="n">
        <x:v>283.1</x:v>
      </x:c>
      <x:c r="E276" s="11" t="str">
        <x:v>CNY</x:v>
      </x:c>
      <x:c r="F276" s="11" t="str">
        <x:v>CNY billion</x:v>
      </x:c>
      <x:c r="G276" s="11" t="str">
        <x:v>H1/Q2 2026</x:v>
      </x:c>
      <x:c r="H276" s="11" t="str">
        <x:v>2026-08-18；财报会议20:00北京，港股收盘后</x:v>
      </x:c>
      <x:c r="I276" s="11" t="str">
        <x:v>https://ir.baidu.com/static-files/e57ce78e-e47a-4c0c-8797-3cb11c8c9b0a</x:v>
      </x:c>
      <x:c r="J276" s="11" t="str">
        <x:v>reported input</x:v>
      </x:c>
      <x:c r="K276" s="11" t="str">
        <x:v>待核</x:v>
      </x:c>
      <x:c r="L276" s="11" t="str">
        <x:v>精确发布时间未核验</x:v>
      </x:c>
      <x:c r="M276" s="11" t="str">
        <x:v>截止日前日期，盘中时分未核</x:v>
      </x:c>
    </x:row>
    <x:row r="277" ht="23" customHeight="1">
      <x:c r="A277" s="11" t="str">
        <x:v>I066</x:v>
      </x:c>
      <x:c r="B277" s="11" t="str">
        <x:v>09888.HK</x:v>
      </x:c>
      <x:c r="C277" s="11" t="str">
        <x:v>shareholderEquityCNYmillion</x:v>
      </x:c>
      <x:c r="D277" s="39" t="n">
        <x:v>271752</x:v>
      </x:c>
      <x:c r="E277" s="11" t="str">
        <x:v>CNY</x:v>
      </x:c>
      <x:c r="F277" s="11" t="str">
        <x:v>CNY million</x:v>
      </x:c>
      <x:c r="G277" s="11" t="str">
        <x:v>H1/Q2 2026</x:v>
      </x:c>
      <x:c r="H277" s="11" t="str">
        <x:v>2026-08-18；财报会议20:00北京，港股收盘后</x:v>
      </x:c>
      <x:c r="I277" s="11" t="str">
        <x:v>https://ir.baidu.com/static-files/e57ce78e-e47a-4c0c-8797-3cb11c8c9b0a</x:v>
      </x:c>
      <x:c r="J277" s="11" t="str">
        <x:v>reported input</x:v>
      </x:c>
      <x:c r="K277" s="11" t="str">
        <x:v>待核</x:v>
      </x:c>
      <x:c r="L277" s="11" t="str">
        <x:v>精确发布时间未核验</x:v>
      </x:c>
      <x:c r="M277" s="11" t="str">
        <x:v>截止日前日期，盘中时分未核</x:v>
      </x:c>
    </x:row>
    <x:row r="278" ht="23" customHeight="1">
      <x:c r="A278" s="11" t="str">
        <x:v>I066</x:v>
      </x:c>
      <x:c r="B278" s="11" t="str">
        <x:v>09888.HK</x:v>
      </x:c>
      <x:c r="C278" s="11" t="str">
        <x:v>leaseLiabilitiesCNYmillion</x:v>
      </x:c>
      <x:c r="D278" s="39" t="n">
        <x:v>9037</x:v>
      </x:c>
      <x:c r="E278" s="11" t="str">
        <x:v>CNY</x:v>
      </x:c>
      <x:c r="F278" s="11" t="str">
        <x:v>CNY million</x:v>
      </x:c>
      <x:c r="G278" s="11" t="str">
        <x:v>H1/Q2 2026</x:v>
      </x:c>
      <x:c r="H278" s="11" t="str">
        <x:v>2026-08-18；财报会议20:00北京，港股收盘后</x:v>
      </x:c>
      <x:c r="I278" s="11" t="str">
        <x:v>https://ir.baidu.com/static-files/e57ce78e-e47a-4c0c-8797-3cb11c8c9b0a</x:v>
      </x:c>
      <x:c r="J278" s="11" t="str">
        <x:v>reported input</x:v>
      </x:c>
      <x:c r="K278" s="11" t="str">
        <x:v>待核</x:v>
      </x:c>
      <x:c r="L278" s="11" t="str">
        <x:v>精确发布时间未核验</x:v>
      </x:c>
      <x:c r="M278" s="11" t="str">
        <x:v>截止日前日期，盘中时分未核</x:v>
      </x:c>
    </x:row>
    <x:row r="279" ht="23" customHeight="1">
      <x:c r="A279" s="11" t="str">
        <x:v>I066</x:v>
      </x:c>
      <x:c r="B279" s="11" t="str">
        <x:v>09888.HK</x:v>
      </x:c>
      <x:c r="C279" s="11" t="str">
        <x:v>leaseROUCNYmillion</x:v>
      </x:c>
      <x:c r="D279" s="39" t="n">
        <x:v>18574</x:v>
      </x:c>
      <x:c r="E279" s="11" t="str">
        <x:v>CNY</x:v>
      </x:c>
      <x:c r="F279" s="11" t="str">
        <x:v>CNY million</x:v>
      </x:c>
      <x:c r="G279" s="11" t="str">
        <x:v>H1/Q2 2026</x:v>
      </x:c>
      <x:c r="H279" s="11" t="str">
        <x:v>2026-08-18；财报会议20:00北京，港股收盘后</x:v>
      </x:c>
      <x:c r="I279" s="11" t="str">
        <x:v>https://ir.baidu.com/static-files/e57ce78e-e47a-4c0c-8797-3cb11c8c9b0a</x:v>
      </x:c>
      <x:c r="J279" s="11" t="str">
        <x:v>reported input</x:v>
      </x:c>
      <x:c r="K279" s="11" t="str">
        <x:v>待核</x:v>
      </x:c>
      <x:c r="L279" s="11" t="str">
        <x:v>精确发布时间未核验</x:v>
      </x:c>
      <x:c r="M279" s="11" t="str">
        <x:v>截止日前日期，盘中时分未核</x:v>
      </x:c>
    </x:row>
    <x:row r="280" ht="23" customHeight="1">
      <x:c r="A280" s="11" t="str">
        <x:v>I066</x:v>
      </x:c>
      <x:c r="B280" s="11" t="str">
        <x:v>09888.HK</x:v>
      </x:c>
      <x:c r="C280" s="11" t="str">
        <x:v>Q2AIInfraRevenueCNYbillion</x:v>
      </x:c>
      <x:c r="D280" s="39" t="n">
        <x:v>7.3</x:v>
      </x:c>
      <x:c r="E280" s="11" t="str">
        <x:v>CNY</x:v>
      </x:c>
      <x:c r="F280" s="11" t="str">
        <x:v>CNY billion</x:v>
      </x:c>
      <x:c r="G280" s="11" t="str">
        <x:v>Q2 2026</x:v>
      </x:c>
      <x:c r="H280" s="11" t="str">
        <x:v>2026-08-18；财报会议20:00北京，港股收盘后</x:v>
      </x:c>
      <x:c r="I280" s="11" t="str">
        <x:v>https://ir.baidu.com/static-files/e57ce78e-e47a-4c0c-8797-3cb11c8c9b0a</x:v>
      </x:c>
      <x:c r="J280" s="11" t="str">
        <x:v>reported input</x:v>
      </x:c>
      <x:c r="K280" s="11" t="str">
        <x:v>待核</x:v>
      </x:c>
      <x:c r="L280" s="11" t="str">
        <x:v>精确发布时间未核验</x:v>
      </x:c>
      <x:c r="M280" s="11" t="str">
        <x:v>截止日前日期，盘中时分未核</x:v>
      </x:c>
    </x:row>
    <x:row r="281" ht="23" customHeight="1">
      <x:c r="A281" s="11" t="str">
        <x:v>I066</x:v>
      </x:c>
      <x:c r="B281" s="11" t="str">
        <x:v>09888.HK</x:v>
      </x:c>
      <x:c r="C281" s="11" t="str">
        <x:v>Q2AIApplicationsRevenueCNYbillion</x:v>
      </x:c>
      <x:c r="D281" s="39" t="n">
        <x:v>2.5</x:v>
      </x:c>
      <x:c r="E281" s="11" t="str">
        <x:v>CNY</x:v>
      </x:c>
      <x:c r="F281" s="11" t="str">
        <x:v>CNY billion</x:v>
      </x:c>
      <x:c r="G281" s="11" t="str">
        <x:v>Q2 2026</x:v>
      </x:c>
      <x:c r="H281" s="11" t="str">
        <x:v>2026-08-18；财报会议20:00北京，港股收盘后</x:v>
      </x:c>
      <x:c r="I281" s="11" t="str">
        <x:v>https://ir.baidu.com/static-files/e57ce78e-e47a-4c0c-8797-3cb11c8c9b0a</x:v>
      </x:c>
      <x:c r="J281" s="11" t="str">
        <x:v>reported input</x:v>
      </x:c>
      <x:c r="K281" s="11" t="str">
        <x:v>待核</x:v>
      </x:c>
      <x:c r="L281" s="11" t="str">
        <x:v>精确发布时间未核验</x:v>
      </x:c>
      <x:c r="M281" s="11" t="str">
        <x:v>截止日前日期，盘中时分未核</x:v>
      </x:c>
    </x:row>
    <x:row r="282" ht="23" customHeight="1">
      <x:c r="A282" s="11" t="str">
        <x:v>I066</x:v>
      </x:c>
      <x:c r="B282" s="11" t="str">
        <x:v>09888.HK</x:v>
      </x:c>
      <x:c r="C282" s="11" t="str">
        <x:v>Q2AINativeMarketingRevenueCNYbillion</x:v>
      </x:c>
      <x:c r="D282" s="39" t="n">
        <x:v>2.6</x:v>
      </x:c>
      <x:c r="E282" s="11" t="str">
        <x:v>CNY</x:v>
      </x:c>
      <x:c r="F282" s="11" t="str">
        <x:v>CNY billion</x:v>
      </x:c>
      <x:c r="G282" s="11" t="str">
        <x:v>Q2 2026</x:v>
      </x:c>
      <x:c r="H282" s="11" t="str">
        <x:v>2026-08-18；财报会议20:00北京，港股收盘后</x:v>
      </x:c>
      <x:c r="I282" s="11" t="str">
        <x:v>https://ir.baidu.com/static-files/e57ce78e-e47a-4c0c-8797-3cb11c8c9b0a</x:v>
      </x:c>
      <x:c r="J282" s="11" t="str">
        <x:v>reported input</x:v>
      </x:c>
      <x:c r="K282" s="11" t="str">
        <x:v>待核</x:v>
      </x:c>
      <x:c r="L282" s="11" t="str">
        <x:v>精确发布时间未核验</x:v>
      </x:c>
      <x:c r="M282" s="11" t="str">
        <x:v>截止日前日期，盘中时分未核</x:v>
      </x:c>
    </x:row>
    <x:row r="283" ht="23" customHeight="1">
      <x:c r="A283" s="11" t="str">
        <x:v>I066</x:v>
      </x:c>
      <x:c r="B283" s="11" t="str">
        <x:v>09888.HK</x:v>
      </x:c>
      <x:c r="C283" s="11" t="str">
        <x:v>Q2LegacyRevenueCNYbillion</x:v>
      </x:c>
      <x:c r="D283" s="39" t="n">
        <x:v>10.4</x:v>
      </x:c>
      <x:c r="E283" s="11" t="str">
        <x:v>CNY</x:v>
      </x:c>
      <x:c r="F283" s="11" t="str">
        <x:v>CNY billion</x:v>
      </x:c>
      <x:c r="G283" s="11" t="str">
        <x:v>Q2 2026</x:v>
      </x:c>
      <x:c r="H283" s="11" t="str">
        <x:v>2026-08-18；财报会议20:00北京，港股收盘后</x:v>
      </x:c>
      <x:c r="I283" s="11" t="str">
        <x:v>https://ir.baidu.com/static-files/e57ce78e-e47a-4c0c-8797-3cb11c8c9b0a</x:v>
      </x:c>
      <x:c r="J283" s="11" t="str">
        <x:v>reported input</x:v>
      </x:c>
      <x:c r="K283" s="11" t="str">
        <x:v>待核</x:v>
      </x:c>
      <x:c r="L283" s="11" t="str">
        <x:v>精确发布时间未核验</x:v>
      </x:c>
      <x:c r="M283" s="11" t="str">
        <x:v>截止日前日期，盘中时分未核</x:v>
      </x:c>
    </x:row>
    <x:row r="284" ht="23" customHeight="1">
      <x:c r="A284" s="11" t="str">
        <x:v>I066</x:v>
      </x:c>
      <x:c r="B284" s="11" t="str">
        <x:v>09888.HK</x:v>
      </x:c>
      <x:c r="C284" s="11" t="str">
        <x:v>Q2OtherRevenueCNYbillion</x:v>
      </x:c>
      <x:c r="D284" s="39" t="n">
        <x:v>2.3</x:v>
      </x:c>
      <x:c r="E284" s="11" t="str">
        <x:v>CNY</x:v>
      </x:c>
      <x:c r="F284" s="11" t="str">
        <x:v>CNY billion</x:v>
      </x:c>
      <x:c r="G284" s="11" t="str">
        <x:v>Q2 2026</x:v>
      </x:c>
      <x:c r="H284" s="11" t="str">
        <x:v>2026-08-18；财报会议20:00北京，港股收盘后</x:v>
      </x:c>
      <x:c r="I284" s="11" t="str">
        <x:v>https://ir.baidu.com/static-files/e57ce78e-e47a-4c0c-8797-3cb11c8c9b0a</x:v>
      </x:c>
      <x:c r="J284" s="11" t="str">
        <x:v>reported input</x:v>
      </x:c>
      <x:c r="K284" s="11" t="str">
        <x:v>待核</x:v>
      </x:c>
      <x:c r="L284" s="11" t="str">
        <x:v>精确发布时间未核验</x:v>
      </x:c>
      <x:c r="M284" s="11" t="str">
        <x:v>截止日前日期，盘中时分未核</x:v>
      </x:c>
    </x:row>
    <x:row r="285" ht="23" customHeight="1">
      <x:c r="A285" s="11" t="str">
        <x:v>I012</x:v>
      </x:c>
      <x:c r="B285" s="11" t="str">
        <x:v>688235.SH</x:v>
      </x:c>
      <x:c r="C285" s="11" t="str">
        <x:v>productRevenue</x:v>
      </x:c>
      <x:c r="D285" s="39" t="n">
        <x:v>3167.123</x:v>
      </x:c>
      <x:c r="E285" s="11" t="str">
        <x:v>USD</x:v>
      </x:c>
      <x:c r="F285" s="11" t="str">
        <x:v>million</x:v>
      </x:c>
      <x:c r="G285" s="11" t="str">
        <x:v>2026H1</x:v>
      </x:c>
      <x:c r="H285" s="11" t="str">
        <x:v>2026-09-10</x:v>
      </x:c>
      <x:c r="I285" s="11" t="str">
        <x:v>https://iis.aastocks.com/20260910/12327256-0.PDF</x:v>
      </x:c>
      <x:c r="J285" s="11" t="str">
        <x:v>首度公开日期 2026-08-05</x:v>
      </x:c>
      <x:c r="K285" s="11" t="str">
        <x:v>2026-08-05</x:v>
      </x:c>
      <x:c r="L285" s="11" t="str">
        <x:v>精确发布时间未核验</x:v>
      </x:c>
      <x:c r="M285" s="11" t="str">
        <x:v>截止日前日期，盘中时分未核</x:v>
      </x:c>
    </x:row>
    <x:row r="286" ht="23" customHeight="1">
      <x:c r="A286" s="11" t="str">
        <x:v>I012</x:v>
      </x:c>
      <x:c r="B286" s="11" t="str">
        <x:v>688235.SH</x:v>
      </x:c>
      <x:c r="C286" s="11" t="str">
        <x:v>otherRevenue</x:v>
      </x:c>
      <x:c r="D286" s="39" t="n">
        <x:v>51.386</x:v>
      </x:c>
      <x:c r="E286" s="11" t="str">
        <x:v>USD</x:v>
      </x:c>
      <x:c r="F286" s="11" t="str">
        <x:v>million</x:v>
      </x:c>
      <x:c r="G286" s="11" t="str">
        <x:v>2026H1</x:v>
      </x:c>
      <x:c r="H286" s="11" t="str">
        <x:v>2026-09-10</x:v>
      </x:c>
      <x:c r="I286" s="11" t="str">
        <x:v>https://iis.aastocks.com/20260910/12327256-0.PDF</x:v>
      </x:c>
      <x:c r="J286" s="11" t="str">
        <x:v>首度公开日期 2026-08-05</x:v>
      </x:c>
      <x:c r="K286" s="11" t="str">
        <x:v>2026-08-05</x:v>
      </x:c>
      <x:c r="L286" s="11" t="str">
        <x:v>精确发布时间未核验</x:v>
      </x:c>
      <x:c r="M286" s="11" t="str">
        <x:v>截止日前日期，盘中时分未核</x:v>
      </x:c>
    </x:row>
    <x:row r="287" ht="23" customHeight="1">
      <x:c r="A287" s="11" t="str">
        <x:v>I012</x:v>
      </x:c>
      <x:c r="B287" s="11" t="str">
        <x:v>688235.SH</x:v>
      </x:c>
      <x:c r="C287" s="11" t="str">
        <x:v>brukinsa</x:v>
      </x:c>
      <x:c r="D287" s="39" t="n">
        <x:v>2342.483</x:v>
      </x:c>
      <x:c r="E287" s="11" t="str">
        <x:v>USD</x:v>
      </x:c>
      <x:c r="F287" s="11" t="str">
        <x:v>million</x:v>
      </x:c>
      <x:c r="G287" s="11" t="str">
        <x:v>2026H1</x:v>
      </x:c>
      <x:c r="H287" s="11" t="str">
        <x:v>2026-09-10</x:v>
      </x:c>
      <x:c r="I287" s="11" t="str">
        <x:v>https://iis.aastocks.com/20260910/12327256-0.PDF</x:v>
      </x:c>
      <x:c r="J287" s="11" t="str">
        <x:v>首度公开日期 2026-08-05</x:v>
      </x:c>
      <x:c r="K287" s="11" t="str">
        <x:v>2026-08-05</x:v>
      </x:c>
      <x:c r="L287" s="11" t="str">
        <x:v>精确发布时间未核验</x:v>
      </x:c>
      <x:c r="M287" s="11" t="str">
        <x:v>截止日前日期，盘中时分未核</x:v>
      </x:c>
    </x:row>
    <x:row r="288" ht="23" customHeight="1">
      <x:c r="A288" s="11" t="str">
        <x:v>I012</x:v>
      </x:c>
      <x:c r="B288" s="11" t="str">
        <x:v>688235.SH</x:v>
      </x:c>
      <x:c r="C288" s="11" t="str">
        <x:v>brukinsaUS</x:v>
      </x:c>
      <x:c r="D288" s="39" t="n">
        <x:v>1653.6</x:v>
      </x:c>
      <x:c r="E288" s="11" t="str">
        <x:v>USD</x:v>
      </x:c>
      <x:c r="F288" s="11" t="str">
        <x:v>million</x:v>
      </x:c>
      <x:c r="G288" s="11" t="str">
        <x:v>2026H1</x:v>
      </x:c>
      <x:c r="H288" s="11" t="str">
        <x:v>2026-09-10</x:v>
      </x:c>
      <x:c r="I288" s="11" t="str">
        <x:v>https://iis.aastocks.com/20260910/12327256-0.PDF</x:v>
      </x:c>
      <x:c r="J288" s="11" t="str">
        <x:v>首度公开日期 2026-08-05</x:v>
      </x:c>
      <x:c r="K288" s="11" t="str">
        <x:v>2026-08-05</x:v>
      </x:c>
      <x:c r="L288" s="11" t="str">
        <x:v>精确发布时间未核验</x:v>
      </x:c>
      <x:c r="M288" s="11" t="str">
        <x:v>截止日前日期，盘中时分未核</x:v>
      </x:c>
    </x:row>
    <x:row r="289" ht="23" customHeight="1">
      <x:c r="A289" s="11" t="str">
        <x:v>I012</x:v>
      </x:c>
      <x:c r="B289" s="11" t="str">
        <x:v>688235.SH</x:v>
      </x:c>
      <x:c r="C289" s="11" t="str">
        <x:v>brukinsaUSNonrecurringGTN</x:v>
      </x:c>
      <x:c r="D289" s="39" t="n">
        <x:v>20</x:v>
      </x:c>
      <x:c r="E289" s="11" t="str">
        <x:v>USD</x:v>
      </x:c>
      <x:c r="F289" s="11" t="str">
        <x:v>million</x:v>
      </x:c>
      <x:c r="G289" s="11" t="str">
        <x:v>2026H1</x:v>
      </x:c>
      <x:c r="H289" s="11" t="str">
        <x:v>2026-09-10</x:v>
      </x:c>
      <x:c r="I289" s="11" t="str">
        <x:v>https://iis.aastocks.com/20260910/12327256-0.PDF</x:v>
      </x:c>
      <x:c r="J289" s="11" t="str">
        <x:v>首度公开日期 2026-08-05</x:v>
      </x:c>
      <x:c r="K289" s="11" t="str">
        <x:v>2026-08-05</x:v>
      </x:c>
      <x:c r="L289" s="11" t="str">
        <x:v>精确发布时间未核验</x:v>
      </x:c>
      <x:c r="M289" s="11" t="str">
        <x:v>截止日前日期，盘中时分未核</x:v>
      </x:c>
    </x:row>
    <x:row r="290" ht="23" customHeight="1">
      <x:c r="A290" s="11" t="str">
        <x:v>I012</x:v>
      </x:c>
      <x:c r="B290" s="11" t="str">
        <x:v>688235.SH</x:v>
      </x:c>
      <x:c r="C290" s="11" t="str">
        <x:v>tislelizumab</x:v>
      </x:c>
      <x:c r="D290" s="39" t="n">
        <x:v>434.756</x:v>
      </x:c>
      <x:c r="E290" s="11" t="str">
        <x:v>USD</x:v>
      </x:c>
      <x:c r="F290" s="11" t="str">
        <x:v>million</x:v>
      </x:c>
      <x:c r="G290" s="11" t="str">
        <x:v>2026H1</x:v>
      </x:c>
      <x:c r="H290" s="11" t="str">
        <x:v>2026-09-10</x:v>
      </x:c>
      <x:c r="I290" s="11" t="str">
        <x:v>https://iis.aastocks.com/20260910/12327256-0.PDF</x:v>
      </x:c>
      <x:c r="J290" s="11" t="str">
        <x:v>首度公开日期 2026-08-05</x:v>
      </x:c>
      <x:c r="K290" s="11" t="str">
        <x:v>2026-08-05</x:v>
      </x:c>
      <x:c r="L290" s="11" t="str">
        <x:v>精确发布时间未核验</x:v>
      </x:c>
      <x:c r="M290" s="11" t="str">
        <x:v>截止日前日期，盘中时分未核</x:v>
      </x:c>
    </x:row>
    <x:row r="291" ht="23" customHeight="1">
      <x:c r="A291" s="11" t="str">
        <x:v>I012</x:v>
      </x:c>
      <x:c r="B291" s="11" t="str">
        <x:v>688235.SH</x:v>
      </x:c>
      <x:c r="C291" s="11" t="str">
        <x:v>amgenLicensedSales</x:v>
      </x:c>
      <x:c r="D291" s="39" t="n">
        <x:v>299.5</x:v>
      </x:c>
      <x:c r="E291" s="11" t="str">
        <x:v>USD</x:v>
      </x:c>
      <x:c r="F291" s="11" t="str">
        <x:v>million</x:v>
      </x:c>
      <x:c r="G291" s="11" t="str">
        <x:v>2026H1</x:v>
      </x:c>
      <x:c r="H291" s="11" t="str">
        <x:v>2026-09-10</x:v>
      </x:c>
      <x:c r="I291" s="11" t="str">
        <x:v>https://iis.aastocks.com/20260910/12327256-0.PDF</x:v>
      </x:c>
      <x:c r="J291" s="11" t="str">
        <x:v>首度公开日期 2026-08-05</x:v>
      </x:c>
      <x:c r="K291" s="11" t="str">
        <x:v>2026-08-05</x:v>
      </x:c>
      <x:c r="L291" s="11" t="str">
        <x:v>精确发布时间未核验</x:v>
      </x:c>
      <x:c r="M291" s="11" t="str">
        <x:v>截止日前日期，盘中时分未核</x:v>
      </x:c>
    </x:row>
    <x:row r="292" ht="23" customHeight="1">
      <x:c r="A292" s="11" t="str">
        <x:v>I012</x:v>
      </x:c>
      <x:c r="B292" s="11" t="str">
        <x:v>688235.SH</x:v>
      </x:c>
      <x:c r="C292" s="11" t="str">
        <x:v>productGrossProfit</x:v>
      </x:c>
      <x:c r="D292" s="39" t="n">
        <x:v>2825.378</x:v>
      </x:c>
      <x:c r="E292" s="11" t="str">
        <x:v>USD</x:v>
      </x:c>
      <x:c r="F292" s="11" t="str">
        <x:v>million</x:v>
      </x:c>
      <x:c r="G292" s="11" t="str">
        <x:v>2026H1</x:v>
      </x:c>
      <x:c r="H292" s="11" t="str">
        <x:v>2026-09-10</x:v>
      </x:c>
      <x:c r="I292" s="11" t="str">
        <x:v>https://iis.aastocks.com/20260910/12327256-0.PDF</x:v>
      </x:c>
      <x:c r="J292" s="11" t="str">
        <x:v>首度公开日期 2026-08-05</x:v>
      </x:c>
      <x:c r="K292" s="11" t="str">
        <x:v>2026-08-05</x:v>
      </x:c>
      <x:c r="L292" s="11" t="str">
        <x:v>精确发布时间未核验</x:v>
      </x:c>
      <x:c r="M292" s="11" t="str">
        <x:v>截止日前日期，盘中时分未核</x:v>
      </x:c>
    </x:row>
    <x:row r="293" ht="23" customHeight="1">
      <x:c r="A293" s="11" t="str">
        <x:v>I012</x:v>
      </x:c>
      <x:c r="B293" s="11" t="str">
        <x:v>688235.SH</x:v>
      </x:c>
      <x:c r="C293" s="11" t="str">
        <x:v>totalGrossProfit</x:v>
      </x:c>
      <x:c r="D293" s="39" t="n">
        <x:v>2876.764</x:v>
      </x:c>
      <x:c r="E293" s="11" t="str">
        <x:v>USD</x:v>
      </x:c>
      <x:c r="F293" s="11" t="str">
        <x:v>million</x:v>
      </x:c>
      <x:c r="G293" s="11" t="str">
        <x:v>2026H1</x:v>
      </x:c>
      <x:c r="H293" s="11" t="str">
        <x:v>2026-09-10</x:v>
      </x:c>
      <x:c r="I293" s="11" t="str">
        <x:v>https://iis.aastocks.com/20260910/12327256-0.PDF</x:v>
      </x:c>
      <x:c r="J293" s="11" t="str">
        <x:v>首度公开日期 2026-08-05</x:v>
      </x:c>
      <x:c r="K293" s="11" t="str">
        <x:v>2026-08-05</x:v>
      </x:c>
      <x:c r="L293" s="11" t="str">
        <x:v>精确发布时间未核验</x:v>
      </x:c>
      <x:c r="M293" s="11" t="str">
        <x:v>截止日前日期，盘中时分未核</x:v>
      </x:c>
    </x:row>
    <x:row r="294" ht="23" customHeight="1">
      <x:c r="A294" s="11" t="str">
        <x:v>I012</x:v>
      </x:c>
      <x:c r="B294" s="11" t="str">
        <x:v>688235.SH</x:v>
      </x:c>
      <x:c r="C294" s="11" t="str">
        <x:v>RAndD</x:v>
      </x:c>
      <x:c r="D294" s="39" t="n">
        <x:v>1153.504</x:v>
      </x:c>
      <x:c r="E294" s="11" t="str">
        <x:v>USD</x:v>
      </x:c>
      <x:c r="F294" s="11" t="str">
        <x:v>million</x:v>
      </x:c>
      <x:c r="G294" s="11" t="str">
        <x:v>2026H1</x:v>
      </x:c>
      <x:c r="H294" s="11" t="str">
        <x:v>2026-09-10</x:v>
      </x:c>
      <x:c r="I294" s="11" t="str">
        <x:v>https://iis.aastocks.com/20260910/12327256-0.PDF</x:v>
      </x:c>
      <x:c r="J294" s="11" t="str">
        <x:v>首度公开日期 2026-08-05</x:v>
      </x:c>
      <x:c r="K294" s="11" t="str">
        <x:v>2026-08-05</x:v>
      </x:c>
      <x:c r="L294" s="11" t="str">
        <x:v>精确发布时间未核验</x:v>
      </x:c>
      <x:c r="M294" s="11" t="str">
        <x:v>截止日前日期，盘中时分未核</x:v>
      </x:c>
    </x:row>
    <x:row r="295" ht="23" customHeight="1">
      <x:c r="A295" s="11" t="str">
        <x:v>I012</x:v>
      </x:c>
      <x:c r="B295" s="11" t="str">
        <x:v>688235.SH</x:v>
      </x:c>
      <x:c r="C295" s="11" t="str">
        <x:v>SGA</x:v>
      </x:c>
      <x:c r="D295" s="39" t="n">
        <x:v>1148.311</x:v>
      </x:c>
      <x:c r="E295" s="11" t="str">
        <x:v>USD</x:v>
      </x:c>
      <x:c r="F295" s="11" t="str">
        <x:v>million</x:v>
      </x:c>
      <x:c r="G295" s="11" t="str">
        <x:v>2026H1</x:v>
      </x:c>
      <x:c r="H295" s="11" t="str">
        <x:v>2026-09-10</x:v>
      </x:c>
      <x:c r="I295" s="11" t="str">
        <x:v>https://iis.aastocks.com/20260910/12327256-0.PDF</x:v>
      </x:c>
      <x:c r="J295" s="11" t="str">
        <x:v>首度公开日期 2026-08-05</x:v>
      </x:c>
      <x:c r="K295" s="11" t="str">
        <x:v>2026-08-05</x:v>
      </x:c>
      <x:c r="L295" s="11" t="str">
        <x:v>精确发布时间未核验</x:v>
      </x:c>
      <x:c r="M295" s="11" t="str">
        <x:v>截止日前日期，盘中时分未核</x:v>
      </x:c>
    </x:row>
    <x:row r="296" ht="23" customHeight="1">
      <x:c r="A296" s="11" t="str">
        <x:v>I012</x:v>
      </x:c>
      <x:c r="B296" s="11" t="str">
        <x:v>688235.SH</x:v>
      </x:c>
      <x:c r="C296" s="11" t="str">
        <x:v>GAAPOperatingProfit</x:v>
      </x:c>
      <x:c r="D296" s="39" t="n">
        <x:v>574.949</x:v>
      </x:c>
      <x:c r="E296" s="11" t="str">
        <x:v>USD</x:v>
      </x:c>
      <x:c r="F296" s="11" t="str">
        <x:v>million</x:v>
      </x:c>
      <x:c r="G296" s="11" t="str">
        <x:v>2026H1</x:v>
      </x:c>
      <x:c r="H296" s="11" t="str">
        <x:v>2026-09-10</x:v>
      </x:c>
      <x:c r="I296" s="11" t="str">
        <x:v>https://iis.aastocks.com/20260910/12327256-0.PDF</x:v>
      </x:c>
      <x:c r="J296" s="11" t="str">
        <x:v>首度公开日期 2026-08-05</x:v>
      </x:c>
      <x:c r="K296" s="11" t="str">
        <x:v>2026-08-05</x:v>
      </x:c>
      <x:c r="L296" s="11" t="str">
        <x:v>精确发布时间未核验</x:v>
      </x:c>
      <x:c r="M296" s="11" t="str">
        <x:v>截止日前日期，盘中时分未核</x:v>
      </x:c>
    </x:row>
    <x:row r="297" ht="23" customHeight="1">
      <x:c r="A297" s="11" t="str">
        <x:v>I012</x:v>
      </x:c>
      <x:c r="B297" s="11" t="str">
        <x:v>688235.SH</x:v>
      </x:c>
      <x:c r="C297" s="11" t="str">
        <x:v>GAAPNetProfit</x:v>
      </x:c>
      <x:c r="D297" s="39" t="n">
        <x:v>464.364</x:v>
      </x:c>
      <x:c r="E297" s="11" t="str">
        <x:v>USD</x:v>
      </x:c>
      <x:c r="F297" s="11" t="str">
        <x:v>million</x:v>
      </x:c>
      <x:c r="G297" s="11" t="str">
        <x:v>2026H1</x:v>
      </x:c>
      <x:c r="H297" s="11" t="str">
        <x:v>2026-09-10</x:v>
      </x:c>
      <x:c r="I297" s="11" t="str">
        <x:v>https://iis.aastocks.com/20260910/12327256-0.PDF</x:v>
      </x:c>
      <x:c r="J297" s="11" t="str">
        <x:v>首度公开日期 2026-08-05</x:v>
      </x:c>
      <x:c r="K297" s="11" t="str">
        <x:v>2026-08-05</x:v>
      </x:c>
      <x:c r="L297" s="11" t="str">
        <x:v>精确发布时间未核验</x:v>
      </x:c>
      <x:c r="M297" s="11" t="str">
        <x:v>截止日前日期，盘中时分未核</x:v>
      </x:c>
    </x:row>
    <x:row r="298" ht="23" customHeight="1">
      <x:c r="A298" s="11" t="str">
        <x:v>I012</x:v>
      </x:c>
      <x:c r="B298" s="11" t="str">
        <x:v>688235.SH</x:v>
      </x:c>
      <x:c r="C298" s="11" t="str">
        <x:v>adjustedOperatingProfit</x:v>
      </x:c>
      <x:c r="D298" s="39" t="n">
        <x:v>917.423</x:v>
      </x:c>
      <x:c r="E298" s="11" t="str">
        <x:v>USD</x:v>
      </x:c>
      <x:c r="F298" s="11" t="str">
        <x:v>million</x:v>
      </x:c>
      <x:c r="G298" s="11" t="str">
        <x:v>2026H1</x:v>
      </x:c>
      <x:c r="H298" s="11" t="str">
        <x:v>2026-09-10</x:v>
      </x:c>
      <x:c r="I298" s="11" t="str">
        <x:v>https://iis.aastocks.com/20260910/12327256-0.PDF</x:v>
      </x:c>
      <x:c r="J298" s="11" t="str">
        <x:v>首度公开日期 2026-08-05</x:v>
      </x:c>
      <x:c r="K298" s="11" t="str">
        <x:v>2026-08-05</x:v>
      </x:c>
      <x:c r="L298" s="11" t="str">
        <x:v>精确发布时间未核验</x:v>
      </x:c>
      <x:c r="M298" s="11" t="str">
        <x:v>截止日前日期，盘中时分未核</x:v>
      </x:c>
    </x:row>
    <x:row r="299" ht="23" customHeight="1">
      <x:c r="A299" s="11" t="str">
        <x:v>I012</x:v>
      </x:c>
      <x:c r="B299" s="11" t="str">
        <x:v>688235.SH</x:v>
      </x:c>
      <x:c r="C299" s="11" t="str">
        <x:v>adjustedNetProfit</x:v>
      </x:c>
      <x:c r="D299" s="39" t="n">
        <x:v>819.539</x:v>
      </x:c>
      <x:c r="E299" s="11" t="str">
        <x:v>USD</x:v>
      </x:c>
      <x:c r="F299" s="11" t="str">
        <x:v>million</x:v>
      </x:c>
      <x:c r="G299" s="11" t="str">
        <x:v>2026H1</x:v>
      </x:c>
      <x:c r="H299" s="11" t="str">
        <x:v>2026-09-10</x:v>
      </x:c>
      <x:c r="I299" s="11" t="str">
        <x:v>https://iis.aastocks.com/20260910/12327256-0.PDF</x:v>
      </x:c>
      <x:c r="J299" s="11" t="str">
        <x:v>首度公开日期 2026-08-05</x:v>
      </x:c>
      <x:c r="K299" s="11" t="str">
        <x:v>2026-08-05</x:v>
      </x:c>
      <x:c r="L299" s="11" t="str">
        <x:v>精确发布时间未核验</x:v>
      </x:c>
      <x:c r="M299" s="11" t="str">
        <x:v>截止日前日期，盘中时分未核</x:v>
      </x:c>
    </x:row>
    <x:row r="300" ht="23" customHeight="1">
      <x:c r="A300" s="11" t="str">
        <x:v>I012</x:v>
      </x:c>
      <x:c r="B300" s="11" t="str">
        <x:v>688235.SH</x:v>
      </x:c>
      <x:c r="C300" s="11" t="str">
        <x:v>shareComp</x:v>
      </x:c>
      <x:c r="D300" s="39" t="n">
        <x:v>260.815</x:v>
      </x:c>
      <x:c r="E300" s="11" t="str">
        <x:v>USD</x:v>
      </x:c>
      <x:c r="F300" s="11" t="str">
        <x:v>million</x:v>
      </x:c>
      <x:c r="G300" s="11" t="str">
        <x:v>2026H1</x:v>
      </x:c>
      <x:c r="H300" s="11" t="str">
        <x:v>2026-09-10</x:v>
      </x:c>
      <x:c r="I300" s="11" t="str">
        <x:v>https://iis.aastocks.com/20260910/12327256-0.PDF</x:v>
      </x:c>
      <x:c r="J300" s="11" t="str">
        <x:v>首度公开日期 2026-08-05</x:v>
      </x:c>
      <x:c r="K300" s="11" t="str">
        <x:v>2026-08-05</x:v>
      </x:c>
      <x:c r="L300" s="11" t="str">
        <x:v>精确发布时间未核验</x:v>
      </x:c>
      <x:c r="M300" s="11" t="str">
        <x:v>截止日前日期，盘中时分未核</x:v>
      </x:c>
    </x:row>
    <x:row r="301" ht="23" customHeight="1">
      <x:c r="A301" s="11" t="str">
        <x:v>I012</x:v>
      </x:c>
      <x:c r="B301" s="11" t="str">
        <x:v>688235.SH</x:v>
      </x:c>
      <x:c r="C301" s="11" t="str">
        <x:v>adjustedDAndA</x:v>
      </x:c>
      <x:c r="D301" s="39" t="n">
        <x:v>81.659</x:v>
      </x:c>
      <x:c r="E301" s="11" t="str">
        <x:v>USD</x:v>
      </x:c>
      <x:c r="F301" s="11" t="str">
        <x:v>million</x:v>
      </x:c>
      <x:c r="G301" s="11" t="str">
        <x:v>2026H1</x:v>
      </x:c>
      <x:c r="H301" s="11" t="str">
        <x:v>2026-09-10</x:v>
      </x:c>
      <x:c r="I301" s="11" t="str">
        <x:v>https://iis.aastocks.com/20260910/12327256-0.PDF</x:v>
      </x:c>
      <x:c r="J301" s="11" t="str">
        <x:v>首度公开日期 2026-08-05</x:v>
      </x:c>
      <x:c r="K301" s="11" t="str">
        <x:v>2026-08-05</x:v>
      </x:c>
      <x:c r="L301" s="11" t="str">
        <x:v>精确发布时间未核验</x:v>
      </x:c>
      <x:c r="M301" s="11" t="str">
        <x:v>截止日前日期，盘中时分未核</x:v>
      </x:c>
    </x:row>
    <x:row r="302" ht="23" customHeight="1">
      <x:c r="A302" s="11" t="str">
        <x:v>I012</x:v>
      </x:c>
      <x:c r="B302" s="11" t="str">
        <x:v>688235.SH</x:v>
      </x:c>
      <x:c r="C302" s="11" t="str">
        <x:v>interestIncome</x:v>
      </x:c>
      <x:c r="D302" s="39" t="n">
        <x:v>55.564</x:v>
      </x:c>
      <x:c r="E302" s="11" t="str">
        <x:v>USD</x:v>
      </x:c>
      <x:c r="F302" s="11" t="str">
        <x:v>million</x:v>
      </x:c>
      <x:c r="G302" s="11" t="str">
        <x:v>2026H1</x:v>
      </x:c>
      <x:c r="H302" s="11" t="str">
        <x:v>2026-09-10</x:v>
      </x:c>
      <x:c r="I302" s="11" t="str">
        <x:v>https://iis.aastocks.com/20260910/12327256-0.PDF</x:v>
      </x:c>
      <x:c r="J302" s="11" t="str">
        <x:v>首度公开日期 2026-08-05</x:v>
      </x:c>
      <x:c r="K302" s="11" t="str">
        <x:v>2026-08-05</x:v>
      </x:c>
      <x:c r="L302" s="11" t="str">
        <x:v>精确发布时间未核验</x:v>
      </x:c>
      <x:c r="M302" s="11" t="str">
        <x:v>截止日前日期，盘中时分未核</x:v>
      </x:c>
    </x:row>
    <x:row r="303" ht="23" customHeight="1">
      <x:c r="A303" s="11" t="str">
        <x:v>I012</x:v>
      </x:c>
      <x:c r="B303" s="11" t="str">
        <x:v>688235.SH</x:v>
      </x:c>
      <x:c r="C303" s="11" t="str">
        <x:v>interestExpense</x:v>
      </x:c>
      <x:c r="D303" s="39" t="n">
        <x:v>72.626</x:v>
      </x:c>
      <x:c r="E303" s="11" t="str">
        <x:v>USD</x:v>
      </x:c>
      <x:c r="F303" s="11" t="str">
        <x:v>million</x:v>
      </x:c>
      <x:c r="G303" s="11" t="str">
        <x:v>2026H1</x:v>
      </x:c>
      <x:c r="H303" s="11" t="str">
        <x:v>2026-09-10</x:v>
      </x:c>
      <x:c r="I303" s="11" t="str">
        <x:v>https://iis.aastocks.com/20260910/12327256-0.PDF</x:v>
      </x:c>
      <x:c r="J303" s="11" t="str">
        <x:v>首度公开日期 2026-08-05</x:v>
      </x:c>
      <x:c r="K303" s="11" t="str">
        <x:v>2026-08-05</x:v>
      </x:c>
      <x:c r="L303" s="11" t="str">
        <x:v>精确发布时间未核验</x:v>
      </x:c>
      <x:c r="M303" s="11" t="str">
        <x:v>截止日前日期，盘中时分未核</x:v>
      </x:c>
    </x:row>
    <x:row r="304" ht="23" customHeight="1">
      <x:c r="A304" s="11" t="str">
        <x:v>I012</x:v>
      </x:c>
      <x:c r="B304" s="11" t="str">
        <x:v>688235.SH</x:v>
      </x:c>
      <x:c r="C304" s="11" t="str">
        <x:v>royaltyFinancingInterestExpense</x:v>
      </x:c>
      <x:c r="D304" s="39" t="n">
        <x:v>43.379</x:v>
      </x:c>
      <x:c r="E304" s="11" t="str">
        <x:v>USD</x:v>
      </x:c>
      <x:c r="F304" s="11" t="str">
        <x:v>million</x:v>
      </x:c>
      <x:c r="G304" s="11" t="str">
        <x:v>2026H1</x:v>
      </x:c>
      <x:c r="H304" s="11" t="str">
        <x:v>2026-09-10</x:v>
      </x:c>
      <x:c r="I304" s="11" t="str">
        <x:v>https://iis.aastocks.com/20260910/12327256-0.PDF</x:v>
      </x:c>
      <x:c r="J304" s="11" t="str">
        <x:v>首度公开日期 2026-08-05</x:v>
      </x:c>
      <x:c r="K304" s="11" t="str">
        <x:v>2026-08-05</x:v>
      </x:c>
      <x:c r="L304" s="11" t="str">
        <x:v>精确发布时间未核验</x:v>
      </x:c>
      <x:c r="M304" s="11" t="str">
        <x:v>截止日前日期，盘中时分未核</x:v>
      </x:c>
    </x:row>
    <x:row r="305" ht="23" customHeight="1">
      <x:c r="A305" s="11" t="str">
        <x:v>I012</x:v>
      </x:c>
      <x:c r="B305" s="11" t="str">
        <x:v>688235.SH</x:v>
      </x:c>
      <x:c r="C305" s="11" t="str">
        <x:v>tax</x:v>
      </x:c>
      <x:c r="D305" s="39" t="n">
        <x:v>107.31</x:v>
      </x:c>
      <x:c r="E305" s="11" t="str">
        <x:v>USD</x:v>
      </x:c>
      <x:c r="F305" s="11" t="str">
        <x:v>million</x:v>
      </x:c>
      <x:c r="G305" s="11" t="str">
        <x:v>2026H1</x:v>
      </x:c>
      <x:c r="H305" s="11" t="str">
        <x:v>2026-09-10</x:v>
      </x:c>
      <x:c r="I305" s="11" t="str">
        <x:v>https://iis.aastocks.com/20260910/12327256-0.PDF</x:v>
      </x:c>
      <x:c r="J305" s="11" t="str">
        <x:v>首度公开日期 2026-08-05</x:v>
      </x:c>
      <x:c r="K305" s="11" t="str">
        <x:v>2026-08-05</x:v>
      </x:c>
      <x:c r="L305" s="11" t="str">
        <x:v>精确发布时间未核验</x:v>
      </x:c>
      <x:c r="M305" s="11" t="str">
        <x:v>截止日前日期，盘中时分未核</x:v>
      </x:c>
    </x:row>
    <x:row r="306" ht="23" customHeight="1">
      <x:c r="A306" s="11" t="str">
        <x:v>I012</x:v>
      </x:c>
      <x:c r="B306" s="11" t="str">
        <x:v>688235.SH</x:v>
      </x:c>
      <x:c r="C306" s="11" t="str">
        <x:v>nonrecurringNetTax</x:v>
      </x:c>
      <x:c r="D306" s="39" t="n">
        <x:v>52.8</x:v>
      </x:c>
      <x:c r="E306" s="11" t="str">
        <x:v>USD</x:v>
      </x:c>
      <x:c r="F306" s="11" t="str">
        <x:v>million</x:v>
      </x:c>
      <x:c r="G306" s="11" t="str">
        <x:v>2026H1</x:v>
      </x:c>
      <x:c r="H306" s="11" t="str">
        <x:v>2026-09-10</x:v>
      </x:c>
      <x:c r="I306" s="11" t="str">
        <x:v>https://iis.aastocks.com/20260910/12327256-0.PDF</x:v>
      </x:c>
      <x:c r="J306" s="11" t="str">
        <x:v>首度公开日期 2026-08-05</x:v>
      </x:c>
      <x:c r="K306" s="11" t="str">
        <x:v>2026-08-05</x:v>
      </x:c>
      <x:c r="L306" s="11" t="str">
        <x:v>精确发布时间未核验</x:v>
      </x:c>
      <x:c r="M306" s="11" t="str">
        <x:v>截止日前日期，盘中时分未核</x:v>
      </x:c>
    </x:row>
    <x:row r="307" ht="23" customHeight="1">
      <x:c r="A307" s="11" t="str">
        <x:v>I012</x:v>
      </x:c>
      <x:c r="B307" s="11" t="str">
        <x:v>688235.SH</x:v>
      </x:c>
      <x:c r="C307" s="11" t="str">
        <x:v>OCF</x:v>
      </x:c>
      <x:c r="D307" s="39" t="n">
        <x:v>664.156</x:v>
      </x:c>
      <x:c r="E307" s="11" t="str">
        <x:v>USD</x:v>
      </x:c>
      <x:c r="F307" s="11" t="str">
        <x:v>million</x:v>
      </x:c>
      <x:c r="G307" s="11" t="str">
        <x:v>2026H1</x:v>
      </x:c>
      <x:c r="H307" s="11" t="str">
        <x:v>2026-09-10</x:v>
      </x:c>
      <x:c r="I307" s="11" t="str">
        <x:v>https://iis.aastocks.com/20260910/12327256-0.PDF</x:v>
      </x:c>
      <x:c r="J307" s="11" t="str">
        <x:v>首度公开日期 2026-08-05</x:v>
      </x:c>
      <x:c r="K307" s="11" t="str">
        <x:v>2026-08-05</x:v>
      </x:c>
      <x:c r="L307" s="11" t="str">
        <x:v>精确发布时间未核验</x:v>
      </x:c>
      <x:c r="M307" s="11" t="str">
        <x:v>截止日前日期，盘中时分未核</x:v>
      </x:c>
    </x:row>
    <x:row r="308" ht="23" customHeight="1">
      <x:c r="A308" s="11" t="str">
        <x:v>I012</x:v>
      </x:c>
      <x:c r="B308" s="11" t="str">
        <x:v>688235.SH</x:v>
      </x:c>
      <x:c r="C308" s="11" t="str">
        <x:v>PPECash</x:v>
      </x:c>
      <x:c r="D308" s="39" t="n">
        <x:v>68.265</x:v>
      </x:c>
      <x:c r="E308" s="11" t="str">
        <x:v>USD</x:v>
      </x:c>
      <x:c r="F308" s="11" t="str">
        <x:v>million</x:v>
      </x:c>
      <x:c r="G308" s="11" t="str">
        <x:v>2026H1</x:v>
      </x:c>
      <x:c r="H308" s="11" t="str">
        <x:v>2026-09-10</x:v>
      </x:c>
      <x:c r="I308" s="11" t="str">
        <x:v>https://iis.aastocks.com/20260910/12327256-0.PDF</x:v>
      </x:c>
      <x:c r="J308" s="11" t="str">
        <x:v>首度公开日期 2026-08-05</x:v>
      </x:c>
      <x:c r="K308" s="11" t="str">
        <x:v>2026-08-05</x:v>
      </x:c>
      <x:c r="L308" s="11" t="str">
        <x:v>精确发布时间未核验</x:v>
      </x:c>
      <x:c r="M308" s="11" t="str">
        <x:v>截止日前日期，盘中时分未核</x:v>
      </x:c>
    </x:row>
    <x:row r="309" ht="23" customHeight="1">
      <x:c r="A309" s="11" t="str">
        <x:v>I012</x:v>
      </x:c>
      <x:c r="B309" s="11" t="str">
        <x:v>688235.SH</x:v>
      </x:c>
      <x:c r="C309" s="11" t="str">
        <x:v>companyFCF</x:v>
      </x:c>
      <x:c r="D309" s="39" t="n">
        <x:v>595.891</x:v>
      </x:c>
      <x:c r="E309" s="11" t="str">
        <x:v>USD</x:v>
      </x:c>
      <x:c r="F309" s="11" t="str">
        <x:v>million</x:v>
      </x:c>
      <x:c r="G309" s="11" t="str">
        <x:v>2026H1</x:v>
      </x:c>
      <x:c r="H309" s="11" t="str">
        <x:v>2026-09-10</x:v>
      </x:c>
      <x:c r="I309" s="11" t="str">
        <x:v>https://iis.aastocks.com/20260910/12327256-0.PDF</x:v>
      </x:c>
      <x:c r="J309" s="11" t="str">
        <x:v>首度公开日期 2026-08-05</x:v>
      </x:c>
      <x:c r="K309" s="11" t="str">
        <x:v>2026-08-05</x:v>
      </x:c>
      <x:c r="L309" s="11" t="str">
        <x:v>精确发布时间未核验</x:v>
      </x:c>
      <x:c r="M309" s="11" t="str">
        <x:v>截止日前日期，盘中时分未核</x:v>
      </x:c>
    </x:row>
    <x:row r="310" ht="23" customHeight="1">
      <x:c r="A310" s="11" t="str">
        <x:v>I012</x:v>
      </x:c>
      <x:c r="B310" s="11" t="str">
        <x:v>688235.SH</x:v>
      </x:c>
      <x:c r="C310" s="11" t="str">
        <x:v>IPRAndDpurchase</x:v>
      </x:c>
      <x:c r="D310" s="39" t="n">
        <x:v>20.518</x:v>
      </x:c>
      <x:c r="E310" s="11" t="str">
        <x:v>USD</x:v>
      </x:c>
      <x:c r="F310" s="11" t="str">
        <x:v>million</x:v>
      </x:c>
      <x:c r="G310" s="11" t="str">
        <x:v>2026H1</x:v>
      </x:c>
      <x:c r="H310" s="11" t="str">
        <x:v>2026-09-10</x:v>
      </x:c>
      <x:c r="I310" s="11" t="str">
        <x:v>https://iis.aastocks.com/20260910/12327256-0.PDF</x:v>
      </x:c>
      <x:c r="J310" s="11" t="str">
        <x:v>首度公开日期 2026-08-05</x:v>
      </x:c>
      <x:c r="K310" s="11" t="str">
        <x:v>2026-08-05</x:v>
      </x:c>
      <x:c r="L310" s="11" t="str">
        <x:v>精确发布时间未核验</x:v>
      </x:c>
      <x:c r="M310" s="11" t="str">
        <x:v>截止日前日期，盘中时分未核</x:v>
      </x:c>
    </x:row>
    <x:row r="311" ht="23" customHeight="1">
      <x:c r="A311" s="11" t="str">
        <x:v>I012</x:v>
      </x:c>
      <x:c r="B311" s="11" t="str">
        <x:v>688235.SH</x:v>
      </x:c>
      <x:c r="C311" s="11" t="str">
        <x:v>cashEquivalent</x:v>
      </x:c>
      <x:c r="D311" s="39" t="n">
        <x:v>5098.041</x:v>
      </x:c>
      <x:c r="E311" s="11" t="str">
        <x:v>USD</x:v>
      </x:c>
      <x:c r="F311" s="11" t="str">
        <x:v>million</x:v>
      </x:c>
      <x:c r="G311" s="11" t="str">
        <x:v>2026H1</x:v>
      </x:c>
      <x:c r="H311" s="11" t="str">
        <x:v>2026-09-10</x:v>
      </x:c>
      <x:c r="I311" s="11" t="str">
        <x:v>https://iis.aastocks.com/20260910/12327256-0.PDF</x:v>
      </x:c>
      <x:c r="J311" s="11" t="str">
        <x:v>首度公开日期 2026-08-05</x:v>
      </x:c>
      <x:c r="K311" s="11" t="str">
        <x:v>2026-08-05</x:v>
      </x:c>
      <x:c r="L311" s="11" t="str">
        <x:v>精确发布时间未核验</x:v>
      </x:c>
      <x:c r="M311" s="11" t="str">
        <x:v>截止日前日期，盘中时分未核</x:v>
      </x:c>
    </x:row>
    <x:row r="312" ht="23" customHeight="1">
      <x:c r="A312" s="11" t="str">
        <x:v>I012</x:v>
      </x:c>
      <x:c r="B312" s="11" t="str">
        <x:v>688235.SH</x:v>
      </x:c>
      <x:c r="C312" s="11" t="str">
        <x:v>restrictedCash</x:v>
      </x:c>
      <x:c r="D312" s="39" t="n">
        <x:v>182.633</x:v>
      </x:c>
      <x:c r="E312" s="11" t="str">
        <x:v>USD</x:v>
      </x:c>
      <x:c r="F312" s="11" t="str">
        <x:v>million</x:v>
      </x:c>
      <x:c r="G312" s="11" t="str">
        <x:v>2026H1</x:v>
      </x:c>
      <x:c r="H312" s="11" t="str">
        <x:v>2026-09-10</x:v>
      </x:c>
      <x:c r="I312" s="11" t="str">
        <x:v>https://iis.aastocks.com/20260910/12327256-0.PDF</x:v>
      </x:c>
      <x:c r="J312" s="11" t="str">
        <x:v>首度公开日期 2026-08-05</x:v>
      </x:c>
      <x:c r="K312" s="11" t="str">
        <x:v>2026-08-05</x:v>
      </x:c>
      <x:c r="L312" s="11" t="str">
        <x:v>精确发布时间未核验</x:v>
      </x:c>
      <x:c r="M312" s="11" t="str">
        <x:v>截止日前日期，盘中时分未核</x:v>
      </x:c>
    </x:row>
    <x:row r="313" ht="23" customHeight="1">
      <x:c r="A313" s="11" t="str">
        <x:v>I012</x:v>
      </x:c>
      <x:c r="B313" s="11" t="str">
        <x:v>688235.SH</x:v>
      </x:c>
      <x:c r="C313" s="11" t="str">
        <x:v>bankDebt</x:v>
      </x:c>
      <x:c r="D313" s="39" t="n">
        <x:v>1073.059</x:v>
      </x:c>
      <x:c r="E313" s="11" t="str">
        <x:v>USD</x:v>
      </x:c>
      <x:c r="F313" s="11" t="str">
        <x:v>million</x:v>
      </x:c>
      <x:c r="G313" s="11" t="str">
        <x:v>2026H1</x:v>
      </x:c>
      <x:c r="H313" s="11" t="str">
        <x:v>2026-09-10</x:v>
      </x:c>
      <x:c r="I313" s="11" t="str">
        <x:v>https://iis.aastocks.com/20260910/12327256-0.PDF</x:v>
      </x:c>
      <x:c r="J313" s="11" t="str">
        <x:v>首度公开日期 2026-08-05</x:v>
      </x:c>
      <x:c r="K313" s="11" t="str">
        <x:v>2026-08-05</x:v>
      </x:c>
      <x:c r="L313" s="11" t="str">
        <x:v>精确发布时间未核验</x:v>
      </x:c>
      <x:c r="M313" s="11" t="str">
        <x:v>截止日前日期，盘中时分未核</x:v>
      </x:c>
    </x:row>
    <x:row r="314" ht="23" customHeight="1">
      <x:c r="A314" s="11" t="str">
        <x:v>I012</x:v>
      </x:c>
      <x:c r="B314" s="11" t="str">
        <x:v>688235.SH</x:v>
      </x:c>
      <x:c r="C314" s="11" t="str">
        <x:v>bankDebtPrincipal</x:v>
      </x:c>
      <x:c r="D314" s="39" t="n">
        <x:v>1090.063</x:v>
      </x:c>
      <x:c r="E314" s="11" t="str">
        <x:v>USD</x:v>
      </x:c>
      <x:c r="F314" s="11" t="str">
        <x:v>million</x:v>
      </x:c>
      <x:c r="G314" s="11" t="str">
        <x:v>2026H1</x:v>
      </x:c>
      <x:c r="H314" s="11" t="str">
        <x:v>2026-09-10</x:v>
      </x:c>
      <x:c r="I314" s="11" t="str">
        <x:v>https://iis.aastocks.com/20260910/12327256-0.PDF</x:v>
      </x:c>
      <x:c r="J314" s="11" t="str">
        <x:v>首度公开日期 2026-08-05</x:v>
      </x:c>
      <x:c r="K314" s="11" t="str">
        <x:v>2026-08-05</x:v>
      </x:c>
      <x:c r="L314" s="11" t="str">
        <x:v>精确发布时间未核验</x:v>
      </x:c>
      <x:c r="M314" s="11" t="str">
        <x:v>截止日前日期，盘中时分未核</x:v>
      </x:c>
    </x:row>
    <x:row r="315" ht="23" customHeight="1">
      <x:c r="A315" s="11" t="str">
        <x:v>I012</x:v>
      </x:c>
      <x:c r="B315" s="11" t="str">
        <x:v>688235.SH</x:v>
      </x:c>
      <x:c r="C315" s="11" t="str">
        <x:v>leases</x:v>
      </x:c>
      <x:c r="D315" s="39" t="n">
        <x:v>70.153</x:v>
      </x:c>
      <x:c r="E315" s="11" t="str">
        <x:v>USD</x:v>
      </x:c>
      <x:c r="F315" s="11" t="str">
        <x:v>million</x:v>
      </x:c>
      <x:c r="G315" s="11" t="str">
        <x:v>2026H1</x:v>
      </x:c>
      <x:c r="H315" s="11" t="str">
        <x:v>2026-09-10</x:v>
      </x:c>
      <x:c r="I315" s="11" t="str">
        <x:v>https://iis.aastocks.com/20260910/12327256-0.PDF</x:v>
      </x:c>
      <x:c r="J315" s="11" t="str">
        <x:v>首度公开日期 2026-08-05</x:v>
      </x:c>
      <x:c r="K315" s="11" t="str">
        <x:v>2026-08-05</x:v>
      </x:c>
      <x:c r="L315" s="11" t="str">
        <x:v>精确发布时间未核验</x:v>
      </x:c>
      <x:c r="M315" s="11" t="str">
        <x:v>截止日前日期，盘中时分未核</x:v>
      </x:c>
    </x:row>
    <x:row r="316" ht="23" customHeight="1">
      <x:c r="A316" s="11" t="str">
        <x:v>I012</x:v>
      </x:c>
      <x:c r="B316" s="11" t="str">
        <x:v>688235.SH</x:v>
      </x:c>
      <x:c r="C316" s="11" t="str">
        <x:v>royaltyFinancingLiability</x:v>
      </x:c>
      <x:c r="D316" s="39" t="n">
        <x:v>906.313</x:v>
      </x:c>
      <x:c r="E316" s="11" t="str">
        <x:v>USD</x:v>
      </x:c>
      <x:c r="F316" s="11" t="str">
        <x:v>million</x:v>
      </x:c>
      <x:c r="G316" s="11" t="str">
        <x:v>2026H1</x:v>
      </x:c>
      <x:c r="H316" s="11" t="str">
        <x:v>2026-09-10</x:v>
      </x:c>
      <x:c r="I316" s="11" t="str">
        <x:v>https://iis.aastocks.com/20260910/12327256-0.PDF</x:v>
      </x:c>
      <x:c r="J316" s="11" t="str">
        <x:v>首度公开日期 2026-08-05</x:v>
      </x:c>
      <x:c r="K316" s="11" t="str">
        <x:v>2026-08-05</x:v>
      </x:c>
      <x:c r="L316" s="11" t="str">
        <x:v>精确发布时间未核验</x:v>
      </x:c>
      <x:c r="M316" s="11" t="str">
        <x:v>截止日前日期，盘中时分未核</x:v>
      </x:c>
    </x:row>
    <x:row r="317" ht="23" customHeight="1">
      <x:c r="A317" s="11" t="str">
        <x:v>I012</x:v>
      </x:c>
      <x:c r="B317" s="11" t="str">
        <x:v>688235.SH</x:v>
      </x:c>
      <x:c r="C317" s="11" t="str">
        <x:v>royaltyRevenueIMDELLTRA</x:v>
      </x:c>
      <x:c r="D317" s="39" t="n">
        <x:v>37.12</x:v>
      </x:c>
      <x:c r="E317" s="11" t="str">
        <x:v>USD</x:v>
      </x:c>
      <x:c r="F317" s="11" t="str">
        <x:v>million</x:v>
      </x:c>
      <x:c r="G317" s="11" t="str">
        <x:v>2026H1</x:v>
      </x:c>
      <x:c r="H317" s="11" t="str">
        <x:v>2026-09-10</x:v>
      </x:c>
      <x:c r="I317" s="11" t="str">
        <x:v>https://iis.aastocks.com/20260910/12327256-0.PDF</x:v>
      </x:c>
      <x:c r="J317" s="11" t="str">
        <x:v>首度公开日期 2026-08-05</x:v>
      </x:c>
      <x:c r="K317" s="11" t="str">
        <x:v>2026-08-05</x:v>
      </x:c>
      <x:c r="L317" s="11" t="str">
        <x:v>精确发布时间未核验</x:v>
      </x:c>
      <x:c r="M317" s="11" t="str">
        <x:v>截止日前日期，盘中时分未核</x:v>
      </x:c>
    </x:row>
    <x:row r="318" ht="23" customHeight="1">
      <x:c r="A318" s="11" t="str">
        <x:v>I012</x:v>
      </x:c>
      <x:c r="B318" s="11" t="str">
        <x:v>688235.SH</x:v>
      </x:c>
      <x:c r="C318" s="11" t="str">
        <x:v>royaltyPayments</x:v>
      </x:c>
      <x:c r="D318" s="39" t="n">
        <x:v>33</x:v>
      </x:c>
      <x:c r="E318" s="11" t="str">
        <x:v>USD</x:v>
      </x:c>
      <x:c r="F318" s="11" t="str">
        <x:v>million</x:v>
      </x:c>
      <x:c r="G318" s="11" t="str">
        <x:v>2026H1</x:v>
      </x:c>
      <x:c r="H318" s="11" t="str">
        <x:v>2026-09-10</x:v>
      </x:c>
      <x:c r="I318" s="11" t="str">
        <x:v>https://iis.aastocks.com/20260910/12327256-0.PDF</x:v>
      </x:c>
      <x:c r="J318" s="11" t="str">
        <x:v>首度公开日期 2026-08-05</x:v>
      </x:c>
      <x:c r="K318" s="11" t="str">
        <x:v>2026-08-05</x:v>
      </x:c>
      <x:c r="L318" s="11" t="str">
        <x:v>精确发布时间未核验</x:v>
      </x:c>
      <x:c r="M318" s="11" t="str">
        <x:v>截止日前日期，盘中时分未核</x:v>
      </x:c>
    </x:row>
    <x:row r="319" ht="23" customHeight="1">
      <x:c r="A319" s="11" t="str">
        <x:v>I012</x:v>
      </x:c>
      <x:c r="B319" s="11" t="str">
        <x:v>688235.SH</x:v>
      </x:c>
      <x:c r="C319" s="11" t="str">
        <x:v>amgenRemainingCommitment</x:v>
      </x:c>
      <x:c r="D319" s="39" t="n">
        <x:v>12.527</x:v>
      </x:c>
      <x:c r="E319" s="11" t="str">
        <x:v>USD</x:v>
      </x:c>
      <x:c r="F319" s="11" t="str">
        <x:v>million</x:v>
      </x:c>
      <x:c r="G319" s="11" t="str">
        <x:v>2026H1</x:v>
      </x:c>
      <x:c r="H319" s="11" t="str">
        <x:v>2026-09-10</x:v>
      </x:c>
      <x:c r="I319" s="11" t="str">
        <x:v>https://iis.aastocks.com/20260910/12327256-0.PDF</x:v>
      </x:c>
      <x:c r="J319" s="11" t="str">
        <x:v>首度公开日期 2026-08-05</x:v>
      </x:c>
      <x:c r="K319" s="11" t="str">
        <x:v>2026-08-05</x:v>
      </x:c>
      <x:c r="L319" s="11" t="str">
        <x:v>精确发布时间未核验</x:v>
      </x:c>
      <x:c r="M319" s="11" t="str">
        <x:v>截止日前日期，盘中时分未核</x:v>
      </x:c>
    </x:row>
    <x:row r="320" ht="23" customHeight="1">
      <x:c r="A320" s="11" t="str">
        <x:v>I012</x:v>
      </x:c>
      <x:c r="B320" s="11" t="str">
        <x:v>688235.SH</x:v>
      </x:c>
      <x:c r="C320" s="11" t="str">
        <x:v>receivable</x:v>
      </x:c>
      <x:c r="D320" s="39" t="n">
        <x:v>1056.177</x:v>
      </x:c>
      <x:c r="E320" s="11" t="str">
        <x:v>USD</x:v>
      </x:c>
      <x:c r="F320" s="11" t="str">
        <x:v>million</x:v>
      </x:c>
      <x:c r="G320" s="11" t="str">
        <x:v>2026H1</x:v>
      </x:c>
      <x:c r="H320" s="11" t="str">
        <x:v>2026-09-10</x:v>
      </x:c>
      <x:c r="I320" s="11" t="str">
        <x:v>https://iis.aastocks.com/20260910/12327256-0.PDF</x:v>
      </x:c>
      <x:c r="J320" s="11" t="str">
        <x:v>首度公开日期 2026-08-05</x:v>
      </x:c>
      <x:c r="K320" s="11" t="str">
        <x:v>2026-08-05</x:v>
      </x:c>
      <x:c r="L320" s="11" t="str">
        <x:v>精确发布时间未核验</x:v>
      </x:c>
      <x:c r="M320" s="11" t="str">
        <x:v>截止日前日期，盘中时分未核</x:v>
      </x:c>
    </x:row>
    <x:row r="321" ht="23" customHeight="1">
      <x:c r="A321" s="11" t="str">
        <x:v>I012</x:v>
      </x:c>
      <x:c r="B321" s="11" t="str">
        <x:v>688235.SH</x:v>
      </x:c>
      <x:c r="C321" s="11" t="str">
        <x:v>inventory</x:v>
      </x:c>
      <x:c r="D321" s="39" t="n">
        <x:v>732.603</x:v>
      </x:c>
      <x:c r="E321" s="11" t="str">
        <x:v>USD</x:v>
      </x:c>
      <x:c r="F321" s="11" t="str">
        <x:v>million</x:v>
      </x:c>
      <x:c r="G321" s="11" t="str">
        <x:v>2026H1</x:v>
      </x:c>
      <x:c r="H321" s="11" t="str">
        <x:v>2026-09-10</x:v>
      </x:c>
      <x:c r="I321" s="11" t="str">
        <x:v>https://iis.aastocks.com/20260910/12327256-0.PDF</x:v>
      </x:c>
      <x:c r="J321" s="11" t="str">
        <x:v>首度公开日期 2026-08-05</x:v>
      </x:c>
      <x:c r="K321" s="11" t="str">
        <x:v>2026-08-05</x:v>
      </x:c>
      <x:c r="L321" s="11" t="str">
        <x:v>精确发布时间未核验</x:v>
      </x:c>
      <x:c r="M321" s="11" t="str">
        <x:v>截止日前日期，盘中时分未核</x:v>
      </x:c>
    </x:row>
    <x:row r="322" ht="23" customHeight="1">
      <x:c r="A322" s="11" t="str">
        <x:v>I012</x:v>
      </x:c>
      <x:c r="B322" s="11" t="str">
        <x:v>688235.SH</x:v>
      </x:c>
      <x:c r="C322" s="11" t="str">
        <x:v>equity</x:v>
      </x:c>
      <x:c r="D322" s="39" t="n">
        <x:v>5173.998</x:v>
      </x:c>
      <x:c r="E322" s="11" t="str">
        <x:v>USD</x:v>
      </x:c>
      <x:c r="F322" s="11" t="str">
        <x:v>million</x:v>
      </x:c>
      <x:c r="G322" s="11" t="str">
        <x:v>2026H1</x:v>
      </x:c>
      <x:c r="H322" s="11" t="str">
        <x:v>2026-09-10</x:v>
      </x:c>
      <x:c r="I322" s="11" t="str">
        <x:v>https://iis.aastocks.com/20260910/12327256-0.PDF</x:v>
      </x:c>
      <x:c r="J322" s="11" t="str">
        <x:v>首度公开日期 2026-08-05</x:v>
      </x:c>
      <x:c r="K322" s="11" t="str">
        <x:v>2026-08-05</x:v>
      </x:c>
      <x:c r="L322" s="11" t="str">
        <x:v>精确发布时间未核验</x:v>
      </x:c>
      <x:c r="M322" s="11" t="str">
        <x:v>截止日前日期，盘中时分未核</x:v>
      </x:c>
    </x:row>
    <x:row r="323" ht="23" customHeight="1">
      <x:c r="A323" s="11" t="str">
        <x:v>I012</x:v>
      </x:c>
      <x:c r="B323" s="11" t="str">
        <x:v>688235.SH</x:v>
      </x:c>
      <x:c r="C323" s="11" t="str">
        <x:v>totalAssets</x:v>
      </x:c>
      <x:c r="D323" s="39" t="n">
        <x:v>9175.615</x:v>
      </x:c>
      <x:c r="E323" s="11" t="str">
        <x:v>USD</x:v>
      </x:c>
      <x:c r="F323" s="11" t="str">
        <x:v>million</x:v>
      </x:c>
      <x:c r="G323" s="11" t="str">
        <x:v>2026H1</x:v>
      </x:c>
      <x:c r="H323" s="11" t="str">
        <x:v>2026-09-10</x:v>
      </x:c>
      <x:c r="I323" s="11" t="str">
        <x:v>https://iis.aastocks.com/20260910/12327256-0.PDF</x:v>
      </x:c>
      <x:c r="J323" s="11" t="str">
        <x:v>首度公开日期 2026-08-05</x:v>
      </x:c>
      <x:c r="K323" s="11" t="str">
        <x:v>2026-08-05</x:v>
      </x:c>
      <x:c r="L323" s="11" t="str">
        <x:v>精确发布时间未核验</x:v>
      </x:c>
      <x:c r="M323" s="11" t="str">
        <x:v>截止日前日期，盘中时分未核</x:v>
      </x:c>
    </x:row>
    <x:row r="324" ht="23" customHeight="1">
      <x:c r="A324" s="11" t="str">
        <x:v>I012</x:v>
      </x:c>
      <x:c r="B324" s="11" t="str">
        <x:v>688235.SH</x:v>
      </x:c>
      <x:c r="C324" s="11" t="str">
        <x:v>JuneIssuedOrdinary</x:v>
      </x:c>
      <x:c r="D324" s="39" t="n">
        <x:v>1540975898</x:v>
      </x:c>
      <x:c r="E324" s="11" t="str">
        <x:v>not monetary</x:v>
      </x:c>
      <x:c r="F324" s="11" t="str">
        <x:v>shares</x:v>
      </x:c>
      <x:c r="G324" s="11" t="str">
        <x:v>2026H1</x:v>
      </x:c>
      <x:c r="H324" s="11" t="str">
        <x:v>2026-09-10</x:v>
      </x:c>
      <x:c r="I324" s="11" t="str">
        <x:v>https://iis.aastocks.com/20260910/12327256-0.PDF</x:v>
      </x:c>
      <x:c r="J324" s="11" t="str">
        <x:v>首度公开日期 2026-08-05</x:v>
      </x:c>
      <x:c r="K324" s="11" t="str">
        <x:v>2026-08-05</x:v>
      </x:c>
      <x:c r="L324" s="11" t="str">
        <x:v>精确发布时间未核验</x:v>
      </x:c>
      <x:c r="M324" s="11" t="str">
        <x:v>截止日前日期，盘中时分未核</x:v>
      </x:c>
    </x:row>
    <x:row r="325" ht="23" customHeight="1">
      <x:c r="A325" s="11" t="str">
        <x:v>I012</x:v>
      </x:c>
      <x:c r="B325" s="11" t="str">
        <x:v>688235.SH</x:v>
      </x:c>
      <x:c r="C325" s="11" t="str">
        <x:v>JuneOutstandingOrdinary</x:v>
      </x:c>
      <x:c r="D325" s="39" t="n">
        <x:v>1469278815</x:v>
      </x:c>
      <x:c r="E325" s="11" t="str">
        <x:v>not monetary</x:v>
      </x:c>
      <x:c r="F325" s="11" t="str">
        <x:v>shares</x:v>
      </x:c>
      <x:c r="G325" s="11" t="str">
        <x:v>2026H1</x:v>
      </x:c>
      <x:c r="H325" s="11" t="str">
        <x:v>2026-09-10</x:v>
      </x:c>
      <x:c r="I325" s="11" t="str">
        <x:v>https://iis.aastocks.com/20260910/12327256-0.PDF</x:v>
      </x:c>
      <x:c r="J325" s="11" t="str">
        <x:v>首度公开日期 2026-08-05</x:v>
      </x:c>
      <x:c r="K325" s="11" t="str">
        <x:v>2026-08-05</x:v>
      </x:c>
      <x:c r="L325" s="11" t="str">
        <x:v>精确发布时间未核验</x:v>
      </x:c>
      <x:c r="M325" s="11" t="str">
        <x:v>截止日前日期，盘中时分未核</x:v>
      </x:c>
    </x:row>
    <x:row r="326" ht="23" customHeight="1">
      <x:c r="A326" s="11" t="str">
        <x:v>I012</x:v>
      </x:c>
      <x:c r="B326" s="11" t="str">
        <x:v>688235.SH</x:v>
      </x:c>
      <x:c r="C326" s="11" t="str">
        <x:v>SeptHKReportedIssued</x:v>
      </x:c>
      <x:c r="D326" s="39" t="n">
        <x:v>1427229921</x:v>
      </x:c>
      <x:c r="E326" s="11" t="str">
        <x:v>not monetary</x:v>
      </x:c>
      <x:c r="F326" s="11" t="str">
        <x:v>shares</x:v>
      </x:c>
      <x:c r="G326" s="11" t="str">
        <x:v>2026-09-30</x:v>
      </x:c>
      <x:c r="H326" s="11" t="str">
        <x:v>2026-10-06</x:v>
      </x:c>
      <x:c r="I326" s="11" t="str">
        <x:v>https://iis.aastocks.com/20261006/12363699-0.PDF</x:v>
      </x:c>
      <x:c r="J326" s="11" t="str">
        <x:v>首度公开日期 2026-10-06</x:v>
      </x:c>
      <x:c r="K326" s="11" t="str">
        <x:v>2026-10-06</x:v>
      </x:c>
      <x:c r="L326" s="11" t="str">
        <x:v>精确发布时间未核验</x:v>
      </x:c>
      <x:c r="M326" s="11" t="str">
        <x:v>截止日前日期，盘中时分未核</x:v>
      </x:c>
    </x:row>
    <x:row r="327" ht="23" customHeight="1">
      <x:c r="A327" s="11" t="str">
        <x:v>I012</x:v>
      </x:c>
      <x:c r="B327" s="11" t="str">
        <x:v>688235.SH</x:v>
      </x:c>
      <x:c r="C327" s="11" t="str">
        <x:v>SeptAissued</x:v>
      </x:c>
      <x:c r="D327" s="39" t="n">
        <x:v>115055260</x:v>
      </x:c>
      <x:c r="E327" s="11" t="str">
        <x:v>not monetary</x:v>
      </x:c>
      <x:c r="F327" s="11" t="str">
        <x:v>shares</x:v>
      </x:c>
      <x:c r="G327" s="11" t="str">
        <x:v>2026-09-30</x:v>
      </x:c>
      <x:c r="H327" s="11" t="str">
        <x:v>2026-10-06</x:v>
      </x:c>
      <x:c r="I327" s="11" t="str">
        <x:v>https://iis.aastocks.com/20261006/12363699-0.PDF</x:v>
      </x:c>
      <x:c r="J327" s="11" t="str">
        <x:v>首度公开日期 2026-10-06</x:v>
      </x:c>
      <x:c r="K327" s="11" t="str">
        <x:v>2026-10-06</x:v>
      </x:c>
      <x:c r="L327" s="11" t="str">
        <x:v>精确发布时间未核验</x:v>
      </x:c>
      <x:c r="M327" s="11" t="str">
        <x:v>截止日前日期，盘中时分未核</x:v>
      </x:c>
    </x:row>
    <x:row r="328" ht="23" customHeight="1">
      <x:c r="A328" s="11" t="str">
        <x:v>I012</x:v>
      </x:c>
      <x:c r="B328" s="11" t="str">
        <x:v>688235.SH</x:v>
      </x:c>
      <x:c r="C328" s="11" t="str">
        <x:v>SeptDepositaryBuffer</x:v>
      </x:c>
      <x:c r="D328" s="39" t="n">
        <x:v>164697</x:v>
      </x:c>
      <x:c r="E328" s="11" t="str">
        <x:v>not monetary</x:v>
      </x:c>
      <x:c r="F328" s="11" t="str">
        <x:v>shares</x:v>
      </x:c>
      <x:c r="G328" s="11" t="str">
        <x:v>2026-09-30</x:v>
      </x:c>
      <x:c r="H328" s="11" t="str">
        <x:v>2026-10-06</x:v>
      </x:c>
      <x:c r="I328" s="11" t="str">
        <x:v>https://iis.aastocks.com/20261006/12363699-0.PDF</x:v>
      </x:c>
      <x:c r="J328" s="11" t="str">
        <x:v>首度公开日期 2026-10-06</x:v>
      </x:c>
      <x:c r="K328" s="11" t="str">
        <x:v>2026-10-06</x:v>
      </x:c>
      <x:c r="L328" s="11" t="str">
        <x:v>精确发布时间未核验</x:v>
      </x:c>
      <x:c r="M328" s="11" t="str">
        <x:v>截止日前日期，盘中时分未核</x:v>
      </x:c>
    </x:row>
    <x:row r="329" ht="23" customHeight="1">
      <x:c r="A329" s="11" t="str">
        <x:v>I012</x:v>
      </x:c>
      <x:c r="B329" s="11" t="str">
        <x:v>688235.SH</x:v>
      </x:c>
      <x:c r="C329" s="11" t="str">
        <x:v>SeptTotalLegalIssuedIncludingDepositary</x:v>
      </x:c>
      <x:c r="D329" s="39" t="n">
        <x:v>1542449878</x:v>
      </x:c>
      <x:c r="E329" s="11" t="str">
        <x:v>not monetary</x:v>
      </x:c>
      <x:c r="F329" s="11" t="str">
        <x:v>shares</x:v>
      </x:c>
      <x:c r="G329" s="11" t="str">
        <x:v>2026-09-30</x:v>
      </x:c>
      <x:c r="H329" s="11" t="str">
        <x:v>2026-10-06</x:v>
      </x:c>
      <x:c r="I329" s="11" t="str">
        <x:v>https://iis.aastocks.com/20261006/12363699-0.PDF</x:v>
      </x:c>
      <x:c r="J329" s="11" t="str">
        <x:v>首度公开日期 2026-10-06</x:v>
      </x:c>
      <x:c r="K329" s="11" t="str">
        <x:v>2026-10-06</x:v>
      </x:c>
      <x:c r="L329" s="11" t="str">
        <x:v>精确发布时间未核验</x:v>
      </x:c>
      <x:c r="M329" s="11" t="str">
        <x:v>截止日前日期，盘中时分未核</x:v>
      </x:c>
    </x:row>
    <x:row r="330" ht="23" customHeight="1">
      <x:c r="A330" s="11" t="str">
        <x:v>I012</x:v>
      </x:c>
      <x:c r="B330" s="11" t="str">
        <x:v>688235.SH</x:v>
      </x:c>
      <x:c r="C330" s="11" t="str">
        <x:v>SeptNonOutstandingBGNC2</x:v>
      </x:c>
      <x:c r="D330" s="39" t="n">
        <x:v>58305315</x:v>
      </x:c>
      <x:c r="E330" s="11" t="str">
        <x:v>not monetary</x:v>
      </x:c>
      <x:c r="F330" s="11" t="str">
        <x:v>shares</x:v>
      </x:c>
      <x:c r="G330" s="11" t="str">
        <x:v>2026-09-30</x:v>
      </x:c>
      <x:c r="H330" s="11" t="str">
        <x:v>2026-10-06</x:v>
      </x:c>
      <x:c r="I330" s="11" t="str">
        <x:v>https://iis.aastocks.com/20261006/12363699-0.PDF</x:v>
      </x:c>
      <x:c r="J330" s="11" t="str">
        <x:v>首度公开日期 2026-10-06</x:v>
      </x:c>
      <x:c r="K330" s="11" t="str">
        <x:v>2026-10-06</x:v>
      </x:c>
      <x:c r="L330" s="11" t="str">
        <x:v>精确发布时间未核验</x:v>
      </x:c>
      <x:c r="M330" s="11" t="str">
        <x:v>截止日前日期，盘中时分未核</x:v>
      </x:c>
    </x:row>
    <x:row r="331" ht="23" customHeight="1">
      <x:c r="A331" s="11" t="str">
        <x:v>I012</x:v>
      </x:c>
      <x:c r="B331" s="11" t="str">
        <x:v>688235.SH</x:v>
      </x:c>
      <x:c r="C331" s="11" t="str">
        <x:v>SeptNonOutstandingESPP</x:v>
      </x:c>
      <x:c r="D331" s="39" t="n">
        <x:v>53924</x:v>
      </x:c>
      <x:c r="E331" s="11" t="str">
        <x:v>not monetary</x:v>
      </x:c>
      <x:c r="F331" s="11" t="str">
        <x:v>shares</x:v>
      </x:c>
      <x:c r="G331" s="11" t="str">
        <x:v>2026-09-30</x:v>
      </x:c>
      <x:c r="H331" s="11" t="str">
        <x:v>2026-10-06</x:v>
      </x:c>
      <x:c r="I331" s="11" t="str">
        <x:v>https://iis.aastocks.com/20261006/12363699-0.PDF</x:v>
      </x:c>
      <x:c r="J331" s="11" t="str">
        <x:v>首度公开日期 2026-10-06</x:v>
      </x:c>
      <x:c r="K331" s="11" t="str">
        <x:v>2026-10-06</x:v>
      </x:c>
      <x:c r="L331" s="11" t="str">
        <x:v>精确发布时间未核验</x:v>
      </x:c>
      <x:c r="M331" s="11" t="str">
        <x:v>截止日前日期，盘中时分未核</x:v>
      </x:c>
    </x:row>
    <x:row r="332" ht="23" customHeight="1">
      <x:c r="A332" s="11" t="str">
        <x:v>I012</x:v>
      </x:c>
      <x:c r="B332" s="11" t="str">
        <x:v>688235.SH</x:v>
      </x:c>
      <x:c r="C332" s="11" t="str">
        <x:v>SeptEstimatedOutstandingExDepositary</x:v>
      </x:c>
      <x:c r="D332" s="39" t="n">
        <x:v>1483925942</x:v>
      </x:c>
      <x:c r="E332" s="11" t="str">
        <x:v>not monetary</x:v>
      </x:c>
      <x:c r="F332" s="11" t="str">
        <x:v>shares</x:v>
      </x:c>
      <x:c r="G332" s="11" t="str">
        <x:v>2026-09-30</x:v>
      </x:c>
      <x:c r="H332" s="11" t="str">
        <x:v>2026-10-06</x:v>
      </x:c>
      <x:c r="I332" s="11" t="str">
        <x:v>https://iis.aastocks.com/20261006/12363699-0.PDF</x:v>
      </x:c>
      <x:c r="J332" s="11" t="str">
        <x:v>首度公开日期 2026-10-06</x:v>
      </x:c>
      <x:c r="K332" s="11" t="str">
        <x:v>2026-10-06</x:v>
      </x:c>
      <x:c r="L332" s="11" t="str">
        <x:v>精确发布时间未核验</x:v>
      </x:c>
      <x:c r="M332" s="11" t="str">
        <x:v>截止日前日期，盘中时分未核</x:v>
      </x:c>
    </x:row>
    <x:row r="333" ht="23" customHeight="1">
      <x:c r="A333" s="11" t="str">
        <x:v>I012</x:v>
      </x:c>
      <x:c r="B333" s="11" t="str">
        <x:v>688235.SH</x:v>
      </x:c>
      <x:c r="C333" s="11" t="str">
        <x:v>SeptAwardOptionAndPSU</x:v>
      </x:c>
      <x:c r="D333" s="39" t="n">
        <x:v>51323431</x:v>
      </x:c>
      <x:c r="E333" s="11" t="str">
        <x:v>not monetary</x:v>
      </x:c>
      <x:c r="F333" s="11" t="str">
        <x:v>shares</x:v>
      </x:c>
      <x:c r="G333" s="11" t="str">
        <x:v>2026-09-30</x:v>
      </x:c>
      <x:c r="H333" s="11" t="str">
        <x:v>2026-10-06</x:v>
      </x:c>
      <x:c r="I333" s="11" t="str">
        <x:v>https://iis.aastocks.com/20261006/12363699-0.PDF</x:v>
      </x:c>
      <x:c r="J333" s="11" t="str">
        <x:v>首度公开日期 2026-10-06</x:v>
      </x:c>
      <x:c r="K333" s="11" t="str">
        <x:v>2026-10-06</x:v>
      </x:c>
      <x:c r="L333" s="11" t="str">
        <x:v>精确发布时间未核验</x:v>
      </x:c>
      <x:c r="M333" s="11" t="str">
        <x:v>截止日前日期，盘中时分未核</x:v>
      </x:c>
    </x:row>
    <x:row r="334" ht="23" customHeight="1">
      <x:c r="A334" s="11" t="str">
        <x:v>I012</x:v>
      </x:c>
      <x:c r="B334" s="11" t="str">
        <x:v>688235.SH</x:v>
      </x:c>
      <x:c r="C334" s="11" t="str">
        <x:v>SeptUnawardedMandate</x:v>
      </x:c>
      <x:c r="D334" s="39" t="n">
        <x:v>113721802</x:v>
      </x:c>
      <x:c r="E334" s="11" t="str">
        <x:v>not monetary</x:v>
      </x:c>
      <x:c r="F334" s="11" t="str">
        <x:v>shares</x:v>
      </x:c>
      <x:c r="G334" s="11" t="str">
        <x:v>2026-09-30</x:v>
      </x:c>
      <x:c r="H334" s="11" t="str">
        <x:v>2026-10-06</x:v>
      </x:c>
      <x:c r="I334" s="11" t="str">
        <x:v>https://iis.aastocks.com/20261006/12363699-0.PDF</x:v>
      </x:c>
      <x:c r="J334" s="11" t="str">
        <x:v>首度公开日期 2026-10-06</x:v>
      </x:c>
      <x:c r="K334" s="11" t="str">
        <x:v>2026-10-06</x:v>
      </x:c>
      <x:c r="L334" s="11" t="str">
        <x:v>精确发布时间未核验</x:v>
      </x:c>
      <x:c r="M334" s="11" t="str">
        <x:v>截止日前日期，盘中时分未核</x:v>
      </x:c>
    </x:row>
    <x:row r="335" ht="23" customHeight="1">
      <x:c r="A335" s="11" t="str">
        <x:v>I012</x:v>
      </x:c>
      <x:c r="B335" s="11" t="str">
        <x:v>688235.SH</x:v>
      </x:c>
      <x:c r="C335" s="11" t="str">
        <x:v>ADSordinaryRatio</x:v>
      </x:c>
      <x:c r="D335" s="39" t="n">
        <x:v>13</x:v>
      </x:c>
      <x:c r="E335" s="11" t="str">
        <x:v>not monetary</x:v>
      </x:c>
      <x:c r="F335" s="11" t="str">
        <x:v>ordinary shares per ADS</x:v>
      </x:c>
      <x:c r="G335" s="11" t="str">
        <x:v>conversion term as of 2026-10-06</x:v>
      </x:c>
      <x:c r="H335" s="11" t="str">
        <x:v>2026-10-06</x:v>
      </x:c>
      <x:c r="I335" s="11" t="str">
        <x:v>https://iis.aastocks.com/20261006/12363754-0.PDF</x:v>
      </x:c>
      <x:c r="J335" s="11" t="str"/>
      <x:c r="K335" s="11" t="str">
        <x:v>待核</x:v>
      </x:c>
      <x:c r="L335" s="11" t="str">
        <x:v>精确发布时间未核验</x:v>
      </x:c>
      <x:c r="M335" s="11" t="str">
        <x:v>截止日前日期，盘中时分未核</x:v>
      </x:c>
    </x:row>
    <x:row r="336" ht="23" customHeight="1">
      <x:c r="A336" s="11" t="str">
        <x:v>I012</x:v>
      </x:c>
      <x:c r="B336" s="11" t="str">
        <x:v>688235.SH</x:v>
      </x:c>
      <x:c r="C336" s="11" t="str">
        <x:v>forecastDilutedADSCompanyGuidance</x:v>
      </x:c>
      <x:c r="D336" s="39" t="n">
        <x:v>118000000</x:v>
      </x:c>
      <x:c r="E336" s="11" t="str">
        <x:v>not monetary</x:v>
      </x:c>
      <x:c r="F336" s="11" t="str">
        <x:v>shares</x:v>
      </x:c>
      <x:c r="G336" s="11" t="str">
        <x:v>FY2026 company guidance</x:v>
      </x:c>
      <x:c r="H336" s="11" t="str">
        <x:v>2026-08-05</x:v>
      </x:c>
      <x:c r="I336" s="11" t="str">
        <x:v>https://iis.aastocks.com/20260805/12273650-0.PDF</x:v>
      </x:c>
      <x:c r="J336" s="11" t="str">
        <x:v>首度公开日期 2026-08-05</x:v>
      </x:c>
      <x:c r="K336" s="11" t="str">
        <x:v>2026-08-05</x:v>
      </x:c>
      <x:c r="L336" s="11" t="str">
        <x:v>精确发布时间未核验</x:v>
      </x:c>
      <x:c r="M336" s="11" t="str">
        <x:v>截止日前日期，盘中时分未核</x:v>
      </x:c>
    </x:row>
    <x:row r="337" ht="23" customHeight="1">
      <x:c r="A337" s="11" t="str">
        <x:v>I012</x:v>
      </x:c>
      <x:c r="B337" s="11" t="str">
        <x:v>688235.SH</x:v>
      </x:c>
      <x:c r="C337" s="11" t="str">
        <x:v>forecastDilutedOrdinaryCompanyEquivalent</x:v>
      </x:c>
      <x:c r="D337" s="39" t="n">
        <x:v>1534000000</x:v>
      </x:c>
      <x:c r="E337" s="11" t="str">
        <x:v>not monetary</x:v>
      </x:c>
      <x:c r="F337" s="11" t="str">
        <x:v>shares</x:v>
      </x:c>
      <x:c r="G337" s="11" t="str">
        <x:v>FY2026 company guidance</x:v>
      </x:c>
      <x:c r="H337" s="11" t="str">
        <x:v>2026-08-05</x:v>
      </x:c>
      <x:c r="I337" s="11" t="str">
        <x:v>https://iis.aastocks.com/20260805/12273650-0.PDF</x:v>
      </x:c>
      <x:c r="J337" s="11" t="str">
        <x:v>首度公开日期 2026-08-05</x:v>
      </x:c>
      <x:c r="K337" s="11" t="str">
        <x:v>2026-08-05</x:v>
      </x:c>
      <x:c r="L337" s="11" t="str">
        <x:v>精确发布时间未核验</x:v>
      </x:c>
      <x:c r="M337" s="11" t="str">
        <x:v>截止日前日期，盘中时分未核</x:v>
      </x:c>
    </x:row>
    <x:row r="338" ht="23" customHeight="1">
      <x:c r="A338" s="11" t="str">
        <x:v>I012</x:v>
      </x:c>
      <x:c r="B338" s="11" t="str">
        <x:v>688235.SH</x:v>
      </x:c>
      <x:c r="C338" s="11" t="str">
        <x:v>interimDividend</x:v>
      </x:c>
      <x:c r="D338" s="39" t="n">
        <x:v>0</x:v>
      </x:c>
      <x:c r="E338" s="11" t="str">
        <x:v>USD</x:v>
      </x:c>
      <x:c r="F338" s="11" t="str">
        <x:v>per ordinary share</x:v>
      </x:c>
      <x:c r="G338" s="11" t="str">
        <x:v>2026 interim dividend declared: none</x:v>
      </x:c>
      <x:c r="H338" s="11" t="str">
        <x:v>2026-09-10</x:v>
      </x:c>
      <x:c r="I338" s="11" t="str">
        <x:v>https://iis.aastocks.com/20260910/12327256-0.PDF</x:v>
      </x:c>
      <x:c r="J338" s="11" t="str">
        <x:v>首度公开日期 2026-08-05</x:v>
      </x:c>
      <x:c r="K338" s="11" t="str">
        <x:v>2026-08-05</x:v>
      </x:c>
      <x:c r="L338" s="11" t="str">
        <x:v>精确发布时间未核验</x:v>
      </x:c>
      <x:c r="M338" s="11" t="str">
        <x:v>截止日前日期，盘中时分未核</x:v>
      </x:c>
    </x:row>
    <x:row r="339" ht="23" customHeight="1">
      <x:c r="A339" s="11" t="str">
        <x:v>I073</x:v>
      </x:c>
      <x:c r="B339" s="11" t="str">
        <x:v>09626.HK</x:v>
      </x:c>
      <x:c r="C339" s="11" t="str">
        <x:v>revenue</x:v>
      </x:c>
      <x:c r="D339" s="39" t="n">
        <x:v>30347.766</x:v>
      </x:c>
      <x:c r="E339" s="11" t="str">
        <x:v>CNY</x:v>
      </x:c>
      <x:c r="F339" s="11" t="str">
        <x:v>CNY million</x:v>
      </x:c>
      <x:c r="G339" s="11" t="str">
        <x:v>FY2025</x:v>
      </x:c>
      <x:c r="H339" s="11" t="str">
        <x:v>全年结果2026-03-05；20-F官网2026-04-16</x:v>
      </x:c>
      <x:c r="I339" s="11" t="str">
        <x:v>https://ir.bilibili.com/media/uclpt3pv/2025-annual-report-on-form-20-f-1.pdf</x:v>
      </x:c>
      <x:c r="J339" s="11" t="str">
        <x:v>ASC842 operating lease cash and paid interest already OCF，不再次扣融资租赁本金；非现金采购为未来支付压力非本期再次现金扣；reported input</x:v>
      </x:c>
      <x:c r="K339" s="11" t="str">
        <x:v>待核</x:v>
      </x:c>
      <x:c r="L339" s="11" t="str">
        <x:v>精确发布时间未核验</x:v>
      </x:c>
      <x:c r="M339" s="11" t="str">
        <x:v>公开日期缺失待核</x:v>
      </x:c>
    </x:row>
    <x:row r="340" ht="23" customHeight="1">
      <x:c r="A340" s="11" t="str">
        <x:v>I073</x:v>
      </x:c>
      <x:c r="B340" s="11" t="str">
        <x:v>09626.HK</x:v>
      </x:c>
      <x:c r="C340" s="11" t="str">
        <x:v>revenue2024</x:v>
      </x:c>
      <x:c r="D340" s="39" t="n">
        <x:v>26831.525</x:v>
      </x:c>
      <x:c r="E340" s="11" t="str">
        <x:v>CNY</x:v>
      </x:c>
      <x:c r="F340" s="11" t="str">
        <x:v>CNY million</x:v>
      </x:c>
      <x:c r="G340" s="11" t="str">
        <x:v>FY2025</x:v>
      </x:c>
      <x:c r="H340" s="11" t="str">
        <x:v>全年结果2026-03-05；20-F官网2026-04-16</x:v>
      </x:c>
      <x:c r="I340" s="11" t="str">
        <x:v>https://ir.bilibili.com/media/uclpt3pv/2025-annual-report-on-form-20-f-1.pdf</x:v>
      </x:c>
      <x:c r="J340" s="11" t="str">
        <x:v>ASC842 operating lease cash and paid interest already OCF，不再次扣融资租赁本金；非现金采购为未来支付压力非本期再次现金扣；reported input</x:v>
      </x:c>
      <x:c r="K340" s="11" t="str">
        <x:v>待核</x:v>
      </x:c>
      <x:c r="L340" s="11" t="str">
        <x:v>精确发布时间未核验</x:v>
      </x:c>
      <x:c r="M340" s="11" t="str">
        <x:v>公开日期缺失待核</x:v>
      </x:c>
    </x:row>
    <x:row r="341" ht="23" customHeight="1">
      <x:c r="A341" s="11" t="str">
        <x:v>I073</x:v>
      </x:c>
      <x:c r="B341" s="11" t="str">
        <x:v>09626.HK</x:v>
      </x:c>
      <x:c r="C341" s="11" t="str">
        <x:v>revenue2023</x:v>
      </x:c>
      <x:c r="D341" s="39" t="n">
        <x:v>22527.987</x:v>
      </x:c>
      <x:c r="E341" s="11" t="str">
        <x:v>CNY</x:v>
      </x:c>
      <x:c r="F341" s="11" t="str">
        <x:v>CNY million</x:v>
      </x:c>
      <x:c r="G341" s="11" t="str">
        <x:v>FY2025</x:v>
      </x:c>
      <x:c r="H341" s="11" t="str">
        <x:v>全年结果2026-03-05；20-F官网2026-04-16</x:v>
      </x:c>
      <x:c r="I341" s="11" t="str">
        <x:v>https://ir.bilibili.com/media/uclpt3pv/2025-annual-report-on-form-20-f-1.pdf</x:v>
      </x:c>
      <x:c r="J341" s="11" t="str">
        <x:v>ASC842 operating lease cash and paid interest already OCF，不再次扣融资租赁本金；非现金采购为未来支付压力非本期再次现金扣；reported input</x:v>
      </x:c>
      <x:c r="K341" s="11" t="str">
        <x:v>待核</x:v>
      </x:c>
      <x:c r="L341" s="11" t="str">
        <x:v>精确发布时间未核验</x:v>
      </x:c>
      <x:c r="M341" s="11" t="str">
        <x:v>公开日期缺失待核</x:v>
      </x:c>
    </x:row>
    <x:row r="342" ht="23" customHeight="1">
      <x:c r="A342" s="11" t="str">
        <x:v>I073</x:v>
      </x:c>
      <x:c r="B342" s="11" t="str">
        <x:v>09626.HK</x:v>
      </x:c>
      <x:c r="C342" s="11" t="str">
        <x:v>grossProfit</x:v>
      </x:c>
      <x:c r="D342" s="39" t="n">
        <x:v>11114.112</x:v>
      </x:c>
      <x:c r="E342" s="11" t="str">
        <x:v>CNY</x:v>
      </x:c>
      <x:c r="F342" s="11" t="str">
        <x:v>CNY million</x:v>
      </x:c>
      <x:c r="G342" s="11" t="str">
        <x:v>FY2025</x:v>
      </x:c>
      <x:c r="H342" s="11" t="str">
        <x:v>全年结果2026-03-05；20-F官网2026-04-16</x:v>
      </x:c>
      <x:c r="I342" s="11" t="str">
        <x:v>https://ir.bilibili.com/media/uclpt3pv/2025-annual-report-on-form-20-f-1.pdf</x:v>
      </x:c>
      <x:c r="J342" s="11" t="str">
        <x:v>ASC842 operating lease cash and paid interest already OCF，不再次扣融资租赁本金；非现金采购为未来支付压力非本期再次现金扣；reported input</x:v>
      </x:c>
      <x:c r="K342" s="11" t="str">
        <x:v>待核</x:v>
      </x:c>
      <x:c r="L342" s="11" t="str">
        <x:v>精确发布时间未核验</x:v>
      </x:c>
      <x:c r="M342" s="11" t="str">
        <x:v>公开日期缺失待核</x:v>
      </x:c>
    </x:row>
    <x:row r="343" ht="23" customHeight="1">
      <x:c r="A343" s="11" t="str">
        <x:v>I073</x:v>
      </x:c>
      <x:c r="B343" s="11" t="str">
        <x:v>09626.HK</x:v>
      </x:c>
      <x:c r="C343" s="11" t="str">
        <x:v>EBIT</x:v>
      </x:c>
      <x:c r="D343" s="39" t="n">
        <x:v>1124.451</x:v>
      </x:c>
      <x:c r="E343" s="11" t="str">
        <x:v>CNY</x:v>
      </x:c>
      <x:c r="F343" s="11" t="str">
        <x:v>CNY million</x:v>
      </x:c>
      <x:c r="G343" s="11" t="str">
        <x:v>FY2025</x:v>
      </x:c>
      <x:c r="H343" s="11" t="str">
        <x:v>全年结果2026-03-05；20-F官网2026-04-16</x:v>
      </x:c>
      <x:c r="I343" s="11" t="str">
        <x:v>https://ir.bilibili.com/media/uclpt3pv/2025-annual-report-on-form-20-f-1.pdf</x:v>
      </x:c>
      <x:c r="J343" s="11" t="str">
        <x:v>ASC842 operating lease cash and paid interest already OCF，不再次扣融资租赁本金；非现金采购为未来支付压力非本期再次现金扣；reported input</x:v>
      </x:c>
      <x:c r="K343" s="11" t="str">
        <x:v>待核</x:v>
      </x:c>
      <x:c r="L343" s="11" t="str">
        <x:v>精确发布时间未核验</x:v>
      </x:c>
      <x:c r="M343" s="11" t="str">
        <x:v>公开日期缺失待核</x:v>
      </x:c>
    </x:row>
    <x:row r="344" ht="23" customHeight="1">
      <x:c r="A344" s="11" t="str">
        <x:v>I073</x:v>
      </x:c>
      <x:c r="B344" s="11" t="str">
        <x:v>09626.HK</x:v>
      </x:c>
      <x:c r="C344" s="11" t="str">
        <x:v>groupProfit</x:v>
      </x:c>
      <x:c r="D344" s="39" t="n">
        <x:v>1190.941</x:v>
      </x:c>
      <x:c r="E344" s="11" t="str">
        <x:v>CNY</x:v>
      </x:c>
      <x:c r="F344" s="11" t="str">
        <x:v>CNY million</x:v>
      </x:c>
      <x:c r="G344" s="11" t="str">
        <x:v>FY2025</x:v>
      </x:c>
      <x:c r="H344" s="11" t="str">
        <x:v>全年结果2026-03-05；20-F官网2026-04-16</x:v>
      </x:c>
      <x:c r="I344" s="11" t="str">
        <x:v>https://ir.bilibili.com/media/uclpt3pv/2025-annual-report-on-form-20-f-1.pdf</x:v>
      </x:c>
      <x:c r="J344" s="11" t="str">
        <x:v>ASC842 operating lease cash and paid interest already OCF，不再次扣融资租赁本金；非现金采购为未来支付压力非本期再次现金扣；reported input</x:v>
      </x:c>
      <x:c r="K344" s="11" t="str">
        <x:v>待核</x:v>
      </x:c>
      <x:c r="L344" s="11" t="str">
        <x:v>精确发布时间未核验</x:v>
      </x:c>
      <x:c r="M344" s="11" t="str">
        <x:v>公开日期缺失待核</x:v>
      </x:c>
    </x:row>
    <x:row r="345" ht="23" customHeight="1">
      <x:c r="A345" s="11" t="str">
        <x:v>I073</x:v>
      </x:c>
      <x:c r="B345" s="11" t="str">
        <x:v>09626.HK</x:v>
      </x:c>
      <x:c r="C345" s="11" t="str">
        <x:v>ownerProfit</x:v>
      </x:c>
      <x:c r="D345" s="39" t="n">
        <x:v>1193.531</x:v>
      </x:c>
      <x:c r="E345" s="11" t="str">
        <x:v>CNY</x:v>
      </x:c>
      <x:c r="F345" s="11" t="str">
        <x:v>CNY million</x:v>
      </x:c>
      <x:c r="G345" s="11" t="str">
        <x:v>FY2025</x:v>
      </x:c>
      <x:c r="H345" s="11" t="str">
        <x:v>全年结果2026-03-05；20-F官网2026-04-16</x:v>
      </x:c>
      <x:c r="I345" s="11" t="str">
        <x:v>https://ir.bilibili.com/media/uclpt3pv/2025-annual-report-on-form-20-f-1.pdf</x:v>
      </x:c>
      <x:c r="J345" s="11" t="str">
        <x:v>ASC842 operating lease cash and paid interest already OCF，不再次扣融资租赁本金；非现金采购为未来支付压力非本期再次现金扣；reported input</x:v>
      </x:c>
      <x:c r="K345" s="11" t="str">
        <x:v>待核</x:v>
      </x:c>
      <x:c r="L345" s="11" t="str">
        <x:v>精确发布时间未核验</x:v>
      </x:c>
      <x:c r="M345" s="11" t="str">
        <x:v>公开日期缺失待核</x:v>
      </x:c>
    </x:row>
    <x:row r="346" ht="23" customHeight="1">
      <x:c r="A346" s="11" t="str">
        <x:v>I073</x:v>
      </x:c>
      <x:c r="B346" s="11" t="str">
        <x:v>09626.HK</x:v>
      </x:c>
      <x:c r="C346" s="11" t="str">
        <x:v>ownerProfit2024</x:v>
      </x:c>
      <x:c r="D346" s="39" t="n">
        <x:v>-1346.8</x:v>
      </x:c>
      <x:c r="E346" s="11" t="str">
        <x:v>CNY</x:v>
      </x:c>
      <x:c r="F346" s="11" t="str">
        <x:v>CNY million</x:v>
      </x:c>
      <x:c r="G346" s="11" t="str">
        <x:v>FY2025</x:v>
      </x:c>
      <x:c r="H346" s="11" t="str">
        <x:v>全年结果2026-03-05；20-F官网2026-04-16</x:v>
      </x:c>
      <x:c r="I346" s="11" t="str">
        <x:v>https://ir.bilibili.com/media/uclpt3pv/2025-annual-report-on-form-20-f-1.pdf</x:v>
      </x:c>
      <x:c r="J346" s="11" t="str">
        <x:v>ASC842 operating lease cash and paid interest already OCF，不再次扣融资租赁本金；非现金采购为未来支付压力非本期再次现金扣；reported input</x:v>
      </x:c>
      <x:c r="K346" s="11" t="str">
        <x:v>待核</x:v>
      </x:c>
      <x:c r="L346" s="11" t="str">
        <x:v>精确发布时间未核验</x:v>
      </x:c>
      <x:c r="M346" s="11" t="str">
        <x:v>公开日期缺失待核</x:v>
      </x:c>
    </x:row>
    <x:row r="347" ht="23" customHeight="1">
      <x:c r="A347" s="11" t="str">
        <x:v>I073</x:v>
      </x:c>
      <x:c r="B347" s="11" t="str">
        <x:v>09626.HK</x:v>
      </x:c>
      <x:c r="C347" s="11" t="str">
        <x:v>ownerProfit2023</x:v>
      </x:c>
      <x:c r="D347" s="39" t="n">
        <x:v>-4822.321</x:v>
      </x:c>
      <x:c r="E347" s="11" t="str">
        <x:v>CNY</x:v>
      </x:c>
      <x:c r="F347" s="11" t="str">
        <x:v>CNY million</x:v>
      </x:c>
      <x:c r="G347" s="11" t="str">
        <x:v>FY2025</x:v>
      </x:c>
      <x:c r="H347" s="11" t="str">
        <x:v>全年结果2026-03-05；20-F官网2026-04-16</x:v>
      </x:c>
      <x:c r="I347" s="11" t="str">
        <x:v>https://ir.bilibili.com/media/uclpt3pv/2025-annual-report-on-form-20-f-1.pdf</x:v>
      </x:c>
      <x:c r="J347" s="11" t="str">
        <x:v>ASC842 operating lease cash and paid interest already OCF，不再次扣融资租赁本金；非现金采购为未来支付压力非本期再次现金扣；reported input</x:v>
      </x:c>
      <x:c r="K347" s="11" t="str">
        <x:v>待核</x:v>
      </x:c>
      <x:c r="L347" s="11" t="str">
        <x:v>精确发布时间未核验</x:v>
      </x:c>
      <x:c r="M347" s="11" t="str">
        <x:v>公开日期缺失待核</x:v>
      </x:c>
    </x:row>
    <x:row r="348" ht="23" customHeight="1">
      <x:c r="A348" s="11" t="str">
        <x:v>I073</x:v>
      </x:c>
      <x:c r="B348" s="11" t="str">
        <x:v>09626.HK</x:v>
      </x:c>
      <x:c r="C348" s="11" t="str">
        <x:v>EPSCNY</x:v>
      </x:c>
      <x:c r="D348" s="39" t="n">
        <x:v>2.74</x:v>
      </x:c>
      <x:c r="E348" s="11" t="str">
        <x:v>CNY</x:v>
      </x:c>
      <x:c r="F348" s="11" t="str">
        <x:v>CNY per ordinary share</x:v>
      </x:c>
      <x:c r="G348" s="11" t="str">
        <x:v>FY2025</x:v>
      </x:c>
      <x:c r="H348" s="11" t="str">
        <x:v>全年结果2026-03-05；20-F官网2026-04-16</x:v>
      </x:c>
      <x:c r="I348" s="11" t="str">
        <x:v>https://ir.bilibili.com/media/uclpt3pv/2025-annual-report-on-form-20-f-1.pdf</x:v>
      </x:c>
      <x:c r="J348" s="11" t="str">
        <x:v>ASC842 operating lease cash and paid interest already OCF，不再次扣融资租赁本金；非现金采购为未来支付压力非本期再次现金扣；reported input</x:v>
      </x:c>
      <x:c r="K348" s="11" t="str">
        <x:v>待核</x:v>
      </x:c>
      <x:c r="L348" s="11" t="str">
        <x:v>精确发布时间未核验</x:v>
      </x:c>
      <x:c r="M348" s="11" t="str">
        <x:v>公开日期缺失待核</x:v>
      </x:c>
    </x:row>
    <x:row r="349" ht="23" customHeight="1">
      <x:c r="A349" s="11" t="str">
        <x:v>I073</x:v>
      </x:c>
      <x:c r="B349" s="11" t="str">
        <x:v>09626.HK</x:v>
      </x:c>
      <x:c r="C349" s="11" t="str">
        <x:v>SBC</x:v>
      </x:c>
      <x:c r="D349" s="39" t="n">
        <x:v>1170.535</x:v>
      </x:c>
      <x:c r="E349" s="11" t="str">
        <x:v>CNY</x:v>
      </x:c>
      <x:c r="F349" s="11" t="str">
        <x:v>CNY million</x:v>
      </x:c>
      <x:c r="G349" s="11" t="str">
        <x:v>FY2025</x:v>
      </x:c>
      <x:c r="H349" s="11" t="str">
        <x:v>全年结果2026-03-05；20-F官网2026-04-16</x:v>
      </x:c>
      <x:c r="I349" s="11" t="str">
        <x:v>https://ir.bilibili.com/media/uclpt3pv/2025-annual-report-on-form-20-f-1.pdf</x:v>
      </x:c>
      <x:c r="J349" s="11" t="str">
        <x:v>ASC842 operating lease cash and paid interest already OCF，不再次扣融资租赁本金；非现金采购为未来支付压力非本期再次现金扣；reported input</x:v>
      </x:c>
      <x:c r="K349" s="11" t="str">
        <x:v>待核</x:v>
      </x:c>
      <x:c r="L349" s="11" t="str">
        <x:v>精确发布时间未核验</x:v>
      </x:c>
      <x:c r="M349" s="11" t="str">
        <x:v>公开日期缺失待核</x:v>
      </x:c>
    </x:row>
    <x:row r="350" ht="23" customHeight="1">
      <x:c r="A350" s="11" t="str">
        <x:v>I073</x:v>
      </x:c>
      <x:c r="B350" s="11" t="str">
        <x:v>09626.HK</x:v>
      </x:c>
      <x:c r="C350" s="11" t="str">
        <x:v>advertising</x:v>
      </x:c>
      <x:c r="D350" s="39" t="n">
        <x:v>10058.43</x:v>
      </x:c>
      <x:c r="E350" s="11" t="str">
        <x:v>CNY</x:v>
      </x:c>
      <x:c r="F350" s="11" t="str">
        <x:v>CNY million</x:v>
      </x:c>
      <x:c r="G350" s="11" t="str">
        <x:v>FY2025</x:v>
      </x:c>
      <x:c r="H350" s="11" t="str">
        <x:v>全年结果2026-03-05；20-F官网2026-04-16</x:v>
      </x:c>
      <x:c r="I350" s="11" t="str">
        <x:v>https://ir.bilibili.com/media/uclpt3pv/2025-annual-report-on-form-20-f-1.pdf</x:v>
      </x:c>
      <x:c r="J350" s="11" t="str">
        <x:v>ASC842 operating lease cash and paid interest already OCF，不再次扣融资租赁本金；非现金采购为未来支付压力非本期再次现金扣；reported input</x:v>
      </x:c>
      <x:c r="K350" s="11" t="str">
        <x:v>待核</x:v>
      </x:c>
      <x:c r="L350" s="11" t="str">
        <x:v>精确发布时间未核验</x:v>
      </x:c>
      <x:c r="M350" s="11" t="str">
        <x:v>公开日期缺失待核</x:v>
      </x:c>
    </x:row>
    <x:row r="351" ht="23" customHeight="1">
      <x:c r="A351" s="11" t="str">
        <x:v>I073</x:v>
      </x:c>
      <x:c r="B351" s="11" t="str">
        <x:v>09626.HK</x:v>
      </x:c>
      <x:c r="C351" s="11" t="str">
        <x:v>VAS</x:v>
      </x:c>
      <x:c r="D351" s="39" t="n">
        <x:v>11928.286</x:v>
      </x:c>
      <x:c r="E351" s="11" t="str">
        <x:v>CNY</x:v>
      </x:c>
      <x:c r="F351" s="11" t="str">
        <x:v>CNY million</x:v>
      </x:c>
      <x:c r="G351" s="11" t="str">
        <x:v>FY2025</x:v>
      </x:c>
      <x:c r="H351" s="11" t="str">
        <x:v>全年结果2026-03-05；20-F官网2026-04-16</x:v>
      </x:c>
      <x:c r="I351" s="11" t="str">
        <x:v>https://ir.bilibili.com/media/uclpt3pv/2025-annual-report-on-form-20-f-1.pdf</x:v>
      </x:c>
      <x:c r="J351" s="11" t="str">
        <x:v>ASC842 operating lease cash and paid interest already OCF，不再次扣融资租赁本金；非现金采购为未来支付压力非本期再次现金扣；reported input</x:v>
      </x:c>
      <x:c r="K351" s="11" t="str">
        <x:v>待核</x:v>
      </x:c>
      <x:c r="L351" s="11" t="str">
        <x:v>精确发布时间未核验</x:v>
      </x:c>
      <x:c r="M351" s="11" t="str">
        <x:v>公开日期缺失待核</x:v>
      </x:c>
    </x:row>
    <x:row r="352" ht="23" customHeight="1">
      <x:c r="A352" s="11" t="str">
        <x:v>I073</x:v>
      </x:c>
      <x:c r="B352" s="11" t="str">
        <x:v>09626.HK</x:v>
      </x:c>
      <x:c r="C352" s="11" t="str">
        <x:v>games</x:v>
      </x:c>
      <x:c r="D352" s="39" t="n">
        <x:v>6394.638</x:v>
      </x:c>
      <x:c r="E352" s="11" t="str">
        <x:v>CNY</x:v>
      </x:c>
      <x:c r="F352" s="11" t="str">
        <x:v>CNY million</x:v>
      </x:c>
      <x:c r="G352" s="11" t="str">
        <x:v>FY2025</x:v>
      </x:c>
      <x:c r="H352" s="11" t="str">
        <x:v>全年结果2026-03-05；20-F官网2026-04-16</x:v>
      </x:c>
      <x:c r="I352" s="11" t="str">
        <x:v>https://ir.bilibili.com/media/uclpt3pv/2025-annual-report-on-form-20-f-1.pdf</x:v>
      </x:c>
      <x:c r="J352" s="11" t="str">
        <x:v>ASC842 operating lease cash and paid interest already OCF，不再次扣融资租赁本金；非现金采购为未来支付压力非本期再次现金扣；reported input</x:v>
      </x:c>
      <x:c r="K352" s="11" t="str">
        <x:v>待核</x:v>
      </x:c>
      <x:c r="L352" s="11" t="str">
        <x:v>精确发布时间未核验</x:v>
      </x:c>
      <x:c r="M352" s="11" t="str">
        <x:v>公开日期缺失待核</x:v>
      </x:c>
    </x:row>
    <x:row r="353" ht="23" customHeight="1">
      <x:c r="A353" s="11" t="str">
        <x:v>I073</x:v>
      </x:c>
      <x:c r="B353" s="11" t="str">
        <x:v>09626.HK</x:v>
      </x:c>
      <x:c r="C353" s="11" t="str">
        <x:v>IPOther</x:v>
      </x:c>
      <x:c r="D353" s="39" t="n">
        <x:v>1966.412</x:v>
      </x:c>
      <x:c r="E353" s="11" t="str">
        <x:v>CNY</x:v>
      </x:c>
      <x:c r="F353" s="11" t="str">
        <x:v>CNY million</x:v>
      </x:c>
      <x:c r="G353" s="11" t="str">
        <x:v>FY2025</x:v>
      </x:c>
      <x:c r="H353" s="11" t="str">
        <x:v>全年结果2026-03-05；20-F官网2026-04-16</x:v>
      </x:c>
      <x:c r="I353" s="11" t="str">
        <x:v>https://ir.bilibili.com/media/uclpt3pv/2025-annual-report-on-form-20-f-1.pdf</x:v>
      </x:c>
      <x:c r="J353" s="11" t="str">
        <x:v>ASC842 operating lease cash and paid interest already OCF，不再次扣融资租赁本金；非现金采购为未来支付压力非本期再次现金扣；reported input</x:v>
      </x:c>
      <x:c r="K353" s="11" t="str">
        <x:v>待核</x:v>
      </x:c>
      <x:c r="L353" s="11" t="str">
        <x:v>精确发布时间未核验</x:v>
      </x:c>
      <x:c r="M353" s="11" t="str">
        <x:v>公开日期缺失待核</x:v>
      </x:c>
    </x:row>
    <x:row r="354" ht="23" customHeight="1">
      <x:c r="A354" s="11" t="str">
        <x:v>I073</x:v>
      </x:c>
      <x:c r="B354" s="11" t="str">
        <x:v>09626.HK</x:v>
      </x:c>
      <x:c r="C354" s="11" t="str">
        <x:v>adjustedGroupProfit</x:v>
      </x:c>
      <x:c r="D354" s="39" t="n">
        <x:v>2587.538</x:v>
      </x:c>
      <x:c r="E354" s="11" t="str">
        <x:v>CNY</x:v>
      </x:c>
      <x:c r="F354" s="11" t="str">
        <x:v>CNY million</x:v>
      </x:c>
      <x:c r="G354" s="11" t="str">
        <x:v>FY2025</x:v>
      </x:c>
      <x:c r="H354" s="11" t="str">
        <x:v>全年结果2026-03-05；20-F官网2026-04-16</x:v>
      </x:c>
      <x:c r="I354" s="11" t="str">
        <x:v>https://ir.bilibili.com/media/uclpt3pv/2025-annual-report-on-form-20-f-1.pdf</x:v>
      </x:c>
      <x:c r="J354" s="11" t="str">
        <x:v>ASC842 operating lease cash and paid interest already OCF，不再次扣融资租赁本金；非现金采购为未来支付压力非本期再次现金扣；reported input</x:v>
      </x:c>
      <x:c r="K354" s="11" t="str">
        <x:v>待核</x:v>
      </x:c>
      <x:c r="L354" s="11" t="str">
        <x:v>精确发布时间未核验</x:v>
      </x:c>
      <x:c r="M354" s="11" t="str">
        <x:v>公开日期缺失待核</x:v>
      </x:c>
    </x:row>
    <x:row r="355" ht="23" customHeight="1">
      <x:c r="A355" s="11" t="str">
        <x:v>I073</x:v>
      </x:c>
      <x:c r="B355" s="11" t="str">
        <x:v>09626.HK</x:v>
      </x:c>
      <x:c r="C355" s="11" t="str">
        <x:v>OCF</x:v>
      </x:c>
      <x:c r="D355" s="39" t="n">
        <x:v>7147.108</x:v>
      </x:c>
      <x:c r="E355" s="11" t="str">
        <x:v>CNY</x:v>
      </x:c>
      <x:c r="F355" s="11" t="str">
        <x:v>CNY million</x:v>
      </x:c>
      <x:c r="G355" s="11" t="str">
        <x:v>FY2025</x:v>
      </x:c>
      <x:c r="H355" s="11" t="str">
        <x:v>全年结果2026-03-05；20-F官网2026-04-16</x:v>
      </x:c>
      <x:c r="I355" s="11" t="str">
        <x:v>https://ir.bilibili.com/media/uclpt3pv/2025-annual-report-on-form-20-f-1.pdf</x:v>
      </x:c>
      <x:c r="J355" s="11" t="str">
        <x:v>ASC842 operating lease cash and paid interest already OCF，不再次扣融资租赁本金；非现金采购为未来支付压力非本期再次现金扣；reported input</x:v>
      </x:c>
      <x:c r="K355" s="11" t="str">
        <x:v>待核</x:v>
      </x:c>
      <x:c r="L355" s="11" t="str">
        <x:v>精确发布时间未核验</x:v>
      </x:c>
      <x:c r="M355" s="11" t="str">
        <x:v>公开日期缺失待核</x:v>
      </x:c>
    </x:row>
    <x:row r="356" ht="23" customHeight="1">
      <x:c r="A356" s="11" t="str">
        <x:v>I073</x:v>
      </x:c>
      <x:c r="B356" s="11" t="str">
        <x:v>09626.HK</x:v>
      </x:c>
      <x:c r="C356" s="11" t="str">
        <x:v>OCF2024</x:v>
      </x:c>
      <x:c r="D356" s="39" t="n">
        <x:v>6014.854</x:v>
      </x:c>
      <x:c r="E356" s="11" t="str">
        <x:v>CNY</x:v>
      </x:c>
      <x:c r="F356" s="11" t="str">
        <x:v>CNY million</x:v>
      </x:c>
      <x:c r="G356" s="11" t="str">
        <x:v>FY2025</x:v>
      </x:c>
      <x:c r="H356" s="11" t="str">
        <x:v>全年结果2026-03-05；20-F官网2026-04-16</x:v>
      </x:c>
      <x:c r="I356" s="11" t="str">
        <x:v>https://ir.bilibili.com/media/uclpt3pv/2025-annual-report-on-form-20-f-1.pdf</x:v>
      </x:c>
      <x:c r="J356" s="11" t="str">
        <x:v>ASC842 operating lease cash and paid interest already OCF，不再次扣融资租赁本金；非现金采购为未来支付压力非本期再次现金扣；reported input</x:v>
      </x:c>
      <x:c r="K356" s="11" t="str">
        <x:v>待核</x:v>
      </x:c>
      <x:c r="L356" s="11" t="str">
        <x:v>精确发布时间未核验</x:v>
      </x:c>
      <x:c r="M356" s="11" t="str">
        <x:v>公开日期缺失待核</x:v>
      </x:c>
    </x:row>
    <x:row r="357" ht="23" customHeight="1">
      <x:c r="A357" s="11" t="str">
        <x:v>I073</x:v>
      </x:c>
      <x:c r="B357" s="11" t="str">
        <x:v>09626.HK</x:v>
      </x:c>
      <x:c r="C357" s="11" t="str">
        <x:v>OCF2023</x:v>
      </x:c>
      <x:c r="D357" s="39" t="n">
        <x:v>266.622</x:v>
      </x:c>
      <x:c r="E357" s="11" t="str">
        <x:v>CNY</x:v>
      </x:c>
      <x:c r="F357" s="11" t="str">
        <x:v>CNY million</x:v>
      </x:c>
      <x:c r="G357" s="11" t="str">
        <x:v>FY2025</x:v>
      </x:c>
      <x:c r="H357" s="11" t="str">
        <x:v>全年结果2026-03-05；20-F官网2026-04-16</x:v>
      </x:c>
      <x:c r="I357" s="11" t="str">
        <x:v>https://ir.bilibili.com/media/uclpt3pv/2025-annual-report-on-form-20-f-1.pdf</x:v>
      </x:c>
      <x:c r="J357" s="11" t="str">
        <x:v>ASC842 operating lease cash and paid interest already OCF，不再次扣融资租赁本金；非现金采购为未来支付压力非本期再次现金扣；reported input</x:v>
      </x:c>
      <x:c r="K357" s="11" t="str">
        <x:v>待核</x:v>
      </x:c>
      <x:c r="L357" s="11" t="str">
        <x:v>精确发布时间未核验</x:v>
      </x:c>
      <x:c r="M357" s="11" t="str">
        <x:v>公开日期缺失待核</x:v>
      </x:c>
    </x:row>
    <x:row r="358" ht="23" customHeight="1">
      <x:c r="A358" s="11" t="str">
        <x:v>I073</x:v>
      </x:c>
      <x:c r="B358" s="11" t="str">
        <x:v>09626.HK</x:v>
      </x:c>
      <x:c r="C358" s="11" t="str">
        <x:v>PPECapex</x:v>
      </x:c>
      <x:c r="D358" s="39" t="n">
        <x:v>512.858</x:v>
      </x:c>
      <x:c r="E358" s="11" t="str">
        <x:v>CNY</x:v>
      </x:c>
      <x:c r="F358" s="11" t="str">
        <x:v>CNY million</x:v>
      </x:c>
      <x:c r="G358" s="11" t="str">
        <x:v>FY2025</x:v>
      </x:c>
      <x:c r="H358" s="11" t="str">
        <x:v>全年结果2026-03-05；20-F官网2026-04-16</x:v>
      </x:c>
      <x:c r="I358" s="11" t="str">
        <x:v>https://ir.bilibili.com/media/uclpt3pv/2025-annual-report-on-form-20-f-1.pdf</x:v>
      </x:c>
      <x:c r="J358" s="11" t="str">
        <x:v>ASC842 operating lease cash and paid interest already OCF，不再次扣融资租赁本金；非现金采购为未来支付压力非本期再次现金扣；reported input</x:v>
      </x:c>
      <x:c r="K358" s="11" t="str">
        <x:v>待核</x:v>
      </x:c>
      <x:c r="L358" s="11" t="str">
        <x:v>精确发布时间未核验</x:v>
      </x:c>
      <x:c r="M358" s="11" t="str">
        <x:v>公开日期缺失待核</x:v>
      </x:c>
    </x:row>
    <x:row r="359" ht="23" customHeight="1">
      <x:c r="A359" s="11" t="str">
        <x:v>I073</x:v>
      </x:c>
      <x:c r="B359" s="11" t="str">
        <x:v>09626.HK</x:v>
      </x:c>
      <x:c r="C359" s="11" t="str">
        <x:v>intangibleCapex</x:v>
      </x:c>
      <x:c r="D359" s="39" t="n">
        <x:v>1314.441</x:v>
      </x:c>
      <x:c r="E359" s="11" t="str">
        <x:v>CNY</x:v>
      </x:c>
      <x:c r="F359" s="11" t="str">
        <x:v>CNY million</x:v>
      </x:c>
      <x:c r="G359" s="11" t="str">
        <x:v>FY2025</x:v>
      </x:c>
      <x:c r="H359" s="11" t="str">
        <x:v>全年结果2026-03-05；20-F官网2026-04-16</x:v>
      </x:c>
      <x:c r="I359" s="11" t="str">
        <x:v>https://ir.bilibili.com/media/uclpt3pv/2025-annual-report-on-form-20-f-1.pdf</x:v>
      </x:c>
      <x:c r="J359" s="11" t="str">
        <x:v>ASC842 operating lease cash and paid interest already OCF，不再次扣融资租赁本金；非现金采购为未来支付压力非本期再次现金扣；reported input</x:v>
      </x:c>
      <x:c r="K359" s="11" t="str">
        <x:v>待核</x:v>
      </x:c>
      <x:c r="L359" s="11" t="str">
        <x:v>精确发布时间未核验</x:v>
      </x:c>
      <x:c r="M359" s="11" t="str">
        <x:v>公开日期缺失待核</x:v>
      </x:c>
    </x:row>
    <x:row r="360" ht="23" customHeight="1">
      <x:c r="A360" s="11" t="str">
        <x:v>I073</x:v>
      </x:c>
      <x:c r="B360" s="11" t="str">
        <x:v>09626.HK</x:v>
      </x:c>
      <x:c r="C360" s="11" t="str">
        <x:v>afterCashCapexProxy</x:v>
      </x:c>
      <x:c r="D360" s="39" t="n">
        <x:v>5319.809</x:v>
      </x:c>
      <x:c r="E360" s="11" t="str">
        <x:v>CNY</x:v>
      </x:c>
      <x:c r="F360" s="11" t="str">
        <x:v>CNY million</x:v>
      </x:c>
      <x:c r="G360" s="11" t="str">
        <x:v>FY2025</x:v>
      </x:c>
      <x:c r="H360" s="11" t="str">
        <x:v>全年结果2026-03-05；20-F官网2026-04-16</x:v>
      </x:c>
      <x:c r="I360" s="11" t="str">
        <x:v>https://ir.bilibili.com/media/uclpt3pv/2025-annual-report-on-form-20-f-1.pdf</x:v>
      </x:c>
      <x:c r="J360" s="11" t="str">
        <x:v>ASC842 operating lease cash and paid interest already OCF，不再次扣融资租赁本金；非现金采购为未来支付压力非本期再次现金扣；reported input calculation</x:v>
      </x:c>
      <x:c r="K360" s="11" t="str">
        <x:v>待核</x:v>
      </x:c>
      <x:c r="L360" s="11" t="str">
        <x:v>精确发布时间未核验</x:v>
      </x:c>
      <x:c r="M360" s="11" t="str">
        <x:v>公开日期缺失待核</x:v>
      </x:c>
    </x:row>
    <x:row r="361" ht="23" customHeight="1">
      <x:c r="A361" s="11" t="str">
        <x:v>I073</x:v>
      </x:c>
      <x:c r="B361" s="11" t="str">
        <x:v>09626.HK</x:v>
      </x:c>
      <x:c r="C361" s="11" t="str">
        <x:v>nonCashPPEAddition</x:v>
      </x:c>
      <x:c r="D361" s="39" t="n">
        <x:v>183.095</x:v>
      </x:c>
      <x:c r="E361" s="11" t="str">
        <x:v>CNY</x:v>
      </x:c>
      <x:c r="F361" s="11" t="str">
        <x:v>CNY million</x:v>
      </x:c>
      <x:c r="G361" s="11" t="str">
        <x:v>FY2025</x:v>
      </x:c>
      <x:c r="H361" s="11" t="str">
        <x:v>全年结果2026-03-05；20-F官网2026-04-16</x:v>
      </x:c>
      <x:c r="I361" s="11" t="str">
        <x:v>https://ir.bilibili.com/media/uclpt3pv/2025-annual-report-on-form-20-f-1.pdf</x:v>
      </x:c>
      <x:c r="J361" s="11" t="str">
        <x:v>ASC842 operating lease cash and paid interest already OCF，不再次扣融资租赁本金；非现金采购为未来支付压力非本期再次现金扣；reported input</x:v>
      </x:c>
      <x:c r="K361" s="11" t="str">
        <x:v>待核</x:v>
      </x:c>
      <x:c r="L361" s="11" t="str">
        <x:v>精确发布时间未核验</x:v>
      </x:c>
      <x:c r="M361" s="11" t="str">
        <x:v>公开日期缺失待核</x:v>
      </x:c>
    </x:row>
    <x:row r="362" ht="23" customHeight="1">
      <x:c r="A362" s="11" t="str">
        <x:v>I073</x:v>
      </x:c>
      <x:c r="B362" s="11" t="str">
        <x:v>09626.HK</x:v>
      </x:c>
      <x:c r="C362" s="11" t="str">
        <x:v>nonCashIntangibleAddition</x:v>
      </x:c>
      <x:c r="D362" s="39" t="n">
        <x:v>686.486</x:v>
      </x:c>
      <x:c r="E362" s="11" t="str">
        <x:v>CNY</x:v>
      </x:c>
      <x:c r="F362" s="11" t="str">
        <x:v>CNY million</x:v>
      </x:c>
      <x:c r="G362" s="11" t="str">
        <x:v>FY2025</x:v>
      </x:c>
      <x:c r="H362" s="11" t="str">
        <x:v>全年结果2026-03-05；20-F官网2026-04-16</x:v>
      </x:c>
      <x:c r="I362" s="11" t="str">
        <x:v>https://ir.bilibili.com/media/uclpt3pv/2025-annual-report-on-form-20-f-1.pdf</x:v>
      </x:c>
      <x:c r="J362" s="11" t="str">
        <x:v>ASC842 operating lease cash and paid interest already OCF，不再次扣融资租赁本金；非现金采购为未来支付压力非本期再次现金扣；reported input</x:v>
      </x:c>
      <x:c r="K362" s="11" t="str">
        <x:v>待核</x:v>
      </x:c>
      <x:c r="L362" s="11" t="str">
        <x:v>精确发布时间未核验</x:v>
      </x:c>
      <x:c r="M362" s="11" t="str">
        <x:v>公开日期缺失待核</x:v>
      </x:c>
    </x:row>
    <x:row r="363" ht="23" customHeight="1">
      <x:c r="A363" s="11" t="str">
        <x:v>I073</x:v>
      </x:c>
      <x:c r="B363" s="11" t="str">
        <x:v>09626.HK</x:v>
      </x:c>
      <x:c r="C363" s="11" t="str">
        <x:v>leaseLiability</x:v>
      </x:c>
      <x:c r="D363" s="39" t="n">
        <x:v>183.153</x:v>
      </x:c>
      <x:c r="E363" s="11" t="str">
        <x:v>CNY</x:v>
      </x:c>
      <x:c r="F363" s="11" t="str">
        <x:v>CNY million</x:v>
      </x:c>
      <x:c r="G363" s="11" t="str">
        <x:v>FY2025</x:v>
      </x:c>
      <x:c r="H363" s="11" t="str">
        <x:v>全年结果2026-03-05；20-F官网2026-04-16</x:v>
      </x:c>
      <x:c r="I363" s="11" t="str">
        <x:v>https://ir.bilibili.com/media/uclpt3pv/2025-annual-report-on-form-20-f-1.pdf</x:v>
      </x:c>
      <x:c r="J363" s="11" t="str">
        <x:v>ASC842 operating lease cash and paid interest already OCF，不再次扣融资租赁本金；非现金采购为未来支付压力非本期再次现金扣；reported input</x:v>
      </x:c>
      <x:c r="K363" s="11" t="str">
        <x:v>待核</x:v>
      </x:c>
      <x:c r="L363" s="11" t="str">
        <x:v>精确发布时间未核验</x:v>
      </x:c>
      <x:c r="M363" s="11" t="str">
        <x:v>公开日期缺失待核</x:v>
      </x:c>
    </x:row>
    <x:row r="364" ht="23" customHeight="1">
      <x:c r="A364" s="11" t="str">
        <x:v>I073</x:v>
      </x:c>
      <x:c r="B364" s="11" t="str">
        <x:v>09626.HK</x:v>
      </x:c>
      <x:c r="C364" s="11" t="str">
        <x:v>interestCash</x:v>
      </x:c>
      <x:c r="D364" s="39" t="n">
        <x:v>125.109</x:v>
      </x:c>
      <x:c r="E364" s="11" t="str">
        <x:v>CNY</x:v>
      </x:c>
      <x:c r="F364" s="11" t="str">
        <x:v>CNY million</x:v>
      </x:c>
      <x:c r="G364" s="11" t="str">
        <x:v>FY2025</x:v>
      </x:c>
      <x:c r="H364" s="11" t="str">
        <x:v>全年结果2026-03-05；20-F官网2026-04-16</x:v>
      </x:c>
      <x:c r="I364" s="11" t="str">
        <x:v>https://ir.bilibili.com/media/uclpt3pv/2025-annual-report-on-form-20-f-1.pdf</x:v>
      </x:c>
      <x:c r="J364" s="11" t="str">
        <x:v>ASC842 operating lease cash and paid interest already OCF，不再次扣融资租赁本金；非现金采购为未来支付压力非本期再次现金扣；reported input</x:v>
      </x:c>
      <x:c r="K364" s="11" t="str">
        <x:v>待核</x:v>
      </x:c>
      <x:c r="L364" s="11" t="str">
        <x:v>精确发布时间未核验</x:v>
      </x:c>
      <x:c r="M364" s="11" t="str">
        <x:v>公开日期缺失待核</x:v>
      </x:c>
    </x:row>
    <x:row r="365" ht="23" customHeight="1">
      <x:c r="A365" s="11" t="str">
        <x:v>I061</x:v>
      </x:c>
      <x:c r="B365" s="11" t="str">
        <x:v>01211.HK</x:v>
      </x:c>
      <x:c r="C365" s="11" t="str">
        <x:v>revenueCNYmillion</x:v>
      </x:c>
      <x:c r="D365" s="39" t="n">
        <x:v>803964.958</x:v>
      </x:c>
      <x:c r="E365" s="11" t="str">
        <x:v>CNY</x:v>
      </x:c>
      <x:c r="F365" s="11" t="str">
        <x:v>million</x:v>
      </x:c>
      <x:c r="G365" s="11" t="str">
        <x:v>FY2025</x:v>
      </x:c>
      <x:c r="H365" s="11" t="str">
        <x:v>2026-03-28</x:v>
      </x:c>
      <x:c r="I365" s="11" t="str">
        <x:v>https://static.cninfo.com.cn/finalpage/2026-03-28/1225045351.PDF</x:v>
      </x:c>
      <x:c r="J365" s="11" t="str">
        <x:v>reported input; field suffix retains original scale</x:v>
      </x:c>
      <x:c r="K365" s="11" t="str">
        <x:v>待核</x:v>
      </x:c>
      <x:c r="L365" s="11" t="str">
        <x:v>精确发布时间未核验</x:v>
      </x:c>
      <x:c r="M365" s="11" t="str">
        <x:v>截止日前日期，盘中时分未核</x:v>
      </x:c>
    </x:row>
    <x:row r="366" ht="23" customHeight="1">
      <x:c r="A366" s="11" t="str">
        <x:v>I061</x:v>
      </x:c>
      <x:c r="B366" s="11" t="str">
        <x:v>01211.HK</x:v>
      </x:c>
      <x:c r="C366" s="11" t="str">
        <x:v>revenue2024CNYmillion</x:v>
      </x:c>
      <x:c r="D366" s="39" t="n">
        <x:v>777102.455</x:v>
      </x:c>
      <x:c r="E366" s="11" t="str">
        <x:v>CNY</x:v>
      </x:c>
      <x:c r="F366" s="11" t="str">
        <x:v>million</x:v>
      </x:c>
      <x:c r="G366" s="11" t="str">
        <x:v>FY2025</x:v>
      </x:c>
      <x:c r="H366" s="11" t="str">
        <x:v>2026-03-28</x:v>
      </x:c>
      <x:c r="I366" s="11" t="str">
        <x:v>https://static.cninfo.com.cn/finalpage/2026-03-28/1225045351.PDF</x:v>
      </x:c>
      <x:c r="J366" s="11" t="str">
        <x:v>reported input; field suffix retains original scale</x:v>
      </x:c>
      <x:c r="K366" s="11" t="str">
        <x:v>待核</x:v>
      </x:c>
      <x:c r="L366" s="11" t="str">
        <x:v>精确发布时间未核验</x:v>
      </x:c>
      <x:c r="M366" s="11" t="str">
        <x:v>截止日前日期，盘中时分未核</x:v>
      </x:c>
    </x:row>
    <x:row r="367" ht="23" customHeight="1">
      <x:c r="A367" s="11" t="str">
        <x:v>I061</x:v>
      </x:c>
      <x:c r="B367" s="11" t="str">
        <x:v>01211.HK</x:v>
      </x:c>
      <x:c r="C367" s="11" t="str">
        <x:v>revenue2023CNYmillion</x:v>
      </x:c>
      <x:c r="D367" s="39" t="n">
        <x:v>602315.354</x:v>
      </x:c>
      <x:c r="E367" s="11" t="str">
        <x:v>CNY</x:v>
      </x:c>
      <x:c r="F367" s="11" t="str">
        <x:v>million</x:v>
      </x:c>
      <x:c r="G367" s="11" t="str">
        <x:v>FY2025</x:v>
      </x:c>
      <x:c r="H367" s="11" t="str">
        <x:v>2026-03-28</x:v>
      </x:c>
      <x:c r="I367" s="11" t="str">
        <x:v>https://static.cninfo.com.cn/finalpage/2026-03-28/1225045351.PDF</x:v>
      </x:c>
      <x:c r="J367" s="11" t="str">
        <x:v>reported input; field suffix retains original scale</x:v>
      </x:c>
      <x:c r="K367" s="11" t="str">
        <x:v>待核</x:v>
      </x:c>
      <x:c r="L367" s="11" t="str">
        <x:v>精确发布时间未核验</x:v>
      </x:c>
      <x:c r="M367" s="11" t="str">
        <x:v>截止日前日期，盘中时分未核</x:v>
      </x:c>
    </x:row>
    <x:row r="368" ht="23" customHeight="1">
      <x:c r="A368" s="11" t="str">
        <x:v>I061</x:v>
      </x:c>
      <x:c r="B368" s="11" t="str">
        <x:v>01211.HK</x:v>
      </x:c>
      <x:c r="C368" s="11" t="str">
        <x:v>profitAttributableCNYmillion</x:v>
      </x:c>
      <x:c r="D368" s="39" t="n">
        <x:v>32619.022</x:v>
      </x:c>
      <x:c r="E368" s="11" t="str">
        <x:v>CNY</x:v>
      </x:c>
      <x:c r="F368" s="11" t="str">
        <x:v>million</x:v>
      </x:c>
      <x:c r="G368" s="11" t="str">
        <x:v>FY2025</x:v>
      </x:c>
      <x:c r="H368" s="11" t="str">
        <x:v>2026-03-28</x:v>
      </x:c>
      <x:c r="I368" s="11" t="str">
        <x:v>https://static.cninfo.com.cn/finalpage/2026-03-28/1225045351.PDF</x:v>
      </x:c>
      <x:c r="J368" s="11" t="str">
        <x:v>reported input; field suffix retains original scale</x:v>
      </x:c>
      <x:c r="K368" s="11" t="str">
        <x:v>待核</x:v>
      </x:c>
      <x:c r="L368" s="11" t="str">
        <x:v>精确发布时间未核验</x:v>
      </x:c>
      <x:c r="M368" s="11" t="str">
        <x:v>截止日前日期，盘中时分未核</x:v>
      </x:c>
    </x:row>
    <x:row r="369" ht="23" customHeight="1">
      <x:c r="A369" s="11" t="str">
        <x:v>I061</x:v>
      </x:c>
      <x:c r="B369" s="11" t="str">
        <x:v>01211.HK</x:v>
      </x:c>
      <x:c r="C369" s="11" t="str">
        <x:v>profitAttributable2024CNYmillion</x:v>
      </x:c>
      <x:c r="D369" s="39" t="n">
        <x:v>40254.346</x:v>
      </x:c>
      <x:c r="E369" s="11" t="str">
        <x:v>CNY</x:v>
      </x:c>
      <x:c r="F369" s="11" t="str">
        <x:v>million</x:v>
      </x:c>
      <x:c r="G369" s="11" t="str">
        <x:v>FY2025</x:v>
      </x:c>
      <x:c r="H369" s="11" t="str">
        <x:v>2026-03-28</x:v>
      </x:c>
      <x:c r="I369" s="11" t="str">
        <x:v>https://static.cninfo.com.cn/finalpage/2026-03-28/1225045351.PDF</x:v>
      </x:c>
      <x:c r="J369" s="11" t="str">
        <x:v>reported input; field suffix retains original scale</x:v>
      </x:c>
      <x:c r="K369" s="11" t="str">
        <x:v>待核</x:v>
      </x:c>
      <x:c r="L369" s="11" t="str">
        <x:v>精确发布时间未核验</x:v>
      </x:c>
      <x:c r="M369" s="11" t="str">
        <x:v>截止日前日期，盘中时分未核</x:v>
      </x:c>
    </x:row>
    <x:row r="370" ht="23" customHeight="1">
      <x:c r="A370" s="11" t="str">
        <x:v>I061</x:v>
      </x:c>
      <x:c r="B370" s="11" t="str">
        <x:v>01211.HK</x:v>
      </x:c>
      <x:c r="C370" s="11" t="str">
        <x:v>profitAttributable2023CNYmillion</x:v>
      </x:c>
      <x:c r="D370" s="39" t="n">
        <x:v>30040.811</x:v>
      </x:c>
      <x:c r="E370" s="11" t="str">
        <x:v>CNY</x:v>
      </x:c>
      <x:c r="F370" s="11" t="str">
        <x:v>million</x:v>
      </x:c>
      <x:c r="G370" s="11" t="str">
        <x:v>FY2025</x:v>
      </x:c>
      <x:c r="H370" s="11" t="str">
        <x:v>2026-03-28</x:v>
      </x:c>
      <x:c r="I370" s="11" t="str">
        <x:v>https://static.cninfo.com.cn/finalpage/2026-03-28/1225045351.PDF</x:v>
      </x:c>
      <x:c r="J370" s="11" t="str">
        <x:v>reported input; field suffix retains original scale</x:v>
      </x:c>
      <x:c r="K370" s="11" t="str">
        <x:v>待核</x:v>
      </x:c>
      <x:c r="L370" s="11" t="str">
        <x:v>精确发布时间未核验</x:v>
      </x:c>
      <x:c r="M370" s="11" t="str">
        <x:v>截止日前日期，盘中时分未核</x:v>
      </x:c>
    </x:row>
    <x:row r="371" ht="23" customHeight="1">
      <x:c r="A371" s="11" t="str">
        <x:v>I061</x:v>
      </x:c>
      <x:c r="B371" s="11" t="str">
        <x:v>01211.HK</x:v>
      </x:c>
      <x:c r="C371" s="11" t="str">
        <x:v>EPSCNY</x:v>
      </x:c>
      <x:c r="D371" s="39" t="n">
        <x:v>3.58</x:v>
      </x:c>
      <x:c r="E371" s="11" t="str">
        <x:v>CNY</x:v>
      </x:c>
      <x:c r="F371" s="11" t="str">
        <x:v>per ordinary share</x:v>
      </x:c>
      <x:c r="G371" s="11" t="str">
        <x:v>FY2025</x:v>
      </x:c>
      <x:c r="H371" s="11" t="str">
        <x:v>2026-03-28</x:v>
      </x:c>
      <x:c r="I371" s="11" t="str">
        <x:v>https://static.cninfo.com.cn/finalpage/2026-03-28/1225045351.PDF</x:v>
      </x:c>
      <x:c r="J371" s="11" t="str">
        <x:v>reported input; field suffix retains original scale</x:v>
      </x:c>
      <x:c r="K371" s="11" t="str">
        <x:v>待核</x:v>
      </x:c>
      <x:c r="L371" s="11" t="str">
        <x:v>精确发布时间未核验</x:v>
      </x:c>
      <x:c r="M371" s="11" t="str">
        <x:v>截止日前日期，盘中时分未核</x:v>
      </x:c>
    </x:row>
    <x:row r="372" ht="23" customHeight="1">
      <x:c r="A372" s="11" t="str">
        <x:v>I061</x:v>
      </x:c>
      <x:c r="B372" s="11" t="str">
        <x:v>01211.HK</x:v>
      </x:c>
      <x:c r="C372" s="11" t="str">
        <x:v>OCFCNYmillion</x:v>
      </x:c>
      <x:c r="D372" s="39" t="n">
        <x:v>59135.544</x:v>
      </x:c>
      <x:c r="E372" s="11" t="str">
        <x:v>CNY</x:v>
      </x:c>
      <x:c r="F372" s="11" t="str">
        <x:v>million</x:v>
      </x:c>
      <x:c r="G372" s="11" t="str">
        <x:v>FY2025</x:v>
      </x:c>
      <x:c r="H372" s="11" t="str">
        <x:v>2026-03-28</x:v>
      </x:c>
      <x:c r="I372" s="11" t="str">
        <x:v>https://static.cninfo.com.cn/finalpage/2026-03-28/1225045351.PDF</x:v>
      </x:c>
      <x:c r="J372" s="11" t="str">
        <x:v>reported input; field suffix retains original scale</x:v>
      </x:c>
      <x:c r="K372" s="11" t="str">
        <x:v>待核</x:v>
      </x:c>
      <x:c r="L372" s="11" t="str">
        <x:v>精确发布时间未核验</x:v>
      </x:c>
      <x:c r="M372" s="11" t="str">
        <x:v>截止日前日期，盘中时分未核</x:v>
      </x:c>
    </x:row>
    <x:row r="373" ht="23" customHeight="1">
      <x:c r="A373" s="11" t="str">
        <x:v>I061</x:v>
      </x:c>
      <x:c r="B373" s="11" t="str">
        <x:v>01211.HK</x:v>
      </x:c>
      <x:c r="C373" s="11" t="str">
        <x:v>OCF2024CNYmillion</x:v>
      </x:c>
      <x:c r="D373" s="39" t="n">
        <x:v>133453.873</x:v>
      </x:c>
      <x:c r="E373" s="11" t="str">
        <x:v>CNY</x:v>
      </x:c>
      <x:c r="F373" s="11" t="str">
        <x:v>million</x:v>
      </x:c>
      <x:c r="G373" s="11" t="str">
        <x:v>FY2025</x:v>
      </x:c>
      <x:c r="H373" s="11" t="str">
        <x:v>2026-03-28</x:v>
      </x:c>
      <x:c r="I373" s="11" t="str">
        <x:v>https://static.cninfo.com.cn/finalpage/2026-03-28/1225045351.PDF</x:v>
      </x:c>
      <x:c r="J373" s="11" t="str">
        <x:v>reported input; field suffix retains original scale</x:v>
      </x:c>
      <x:c r="K373" s="11" t="str">
        <x:v>待核</x:v>
      </x:c>
      <x:c r="L373" s="11" t="str">
        <x:v>精确发布时间未核验</x:v>
      </x:c>
      <x:c r="M373" s="11" t="str">
        <x:v>截止日前日期，盘中时分未核</x:v>
      </x:c>
    </x:row>
    <x:row r="374" ht="23" customHeight="1">
      <x:c r="A374" s="11" t="str">
        <x:v>I061</x:v>
      </x:c>
      <x:c r="B374" s="11" t="str">
        <x:v>01211.HK</x:v>
      </x:c>
      <x:c r="C374" s="11" t="str">
        <x:v>cashLongAssetAcquisitionCNYmillion</x:v>
      </x:c>
      <x:c r="D374" s="39" t="n">
        <x:v>156807.853</x:v>
      </x:c>
      <x:c r="E374" s="11" t="str">
        <x:v>CNY</x:v>
      </x:c>
      <x:c r="F374" s="11" t="str">
        <x:v>million</x:v>
      </x:c>
      <x:c r="G374" s="11" t="str">
        <x:v>FY2025</x:v>
      </x:c>
      <x:c r="H374" s="11" t="str">
        <x:v>2026-03-28</x:v>
      </x:c>
      <x:c r="I374" s="11" t="str">
        <x:v>https://static.cninfo.com.cn/finalpage/2026-03-28/1225045351.PDF</x:v>
      </x:c>
      <x:c r="J374" s="11" t="str">
        <x:v>reported input; field suffix retains original scale</x:v>
      </x:c>
      <x:c r="K374" s="11" t="str">
        <x:v>待核</x:v>
      </x:c>
      <x:c r="L374" s="11" t="str">
        <x:v>精确发布时间未核验</x:v>
      </x:c>
      <x:c r="M374" s="11" t="str">
        <x:v>截止日前日期，盘中时分未核</x:v>
      </x:c>
    </x:row>
    <x:row r="375" ht="23" customHeight="1">
      <x:c r="A375" s="11" t="str">
        <x:v>I061</x:v>
      </x:c>
      <x:c r="B375" s="11" t="str">
        <x:v>01211.HK</x:v>
      </x:c>
      <x:c r="C375" s="11" t="str">
        <x:v>FCFResearchProxyCNYmillion</x:v>
      </x:c>
      <x:c r="D375" s="39" t="n">
        <x:v>-97672.309</x:v>
      </x:c>
      <x:c r="E375" s="11" t="str">
        <x:v>CNY</x:v>
      </x:c>
      <x:c r="F375" s="11" t="str">
        <x:v>million</x:v>
      </x:c>
      <x:c r="G375" s="11" t="str">
        <x:v>FY2025</x:v>
      </x:c>
      <x:c r="H375" s="11" t="str">
        <x:v>2026-03-28</x:v>
      </x:c>
      <x:c r="I375" s="11" t="str">
        <x:v>https://static.cninfo.com.cn/finalpage/2026-03-28/1225045351.PDF</x:v>
      </x:c>
      <x:c r="J375" s="11" t="str">
        <x:v>research calculation from cited inputs</x:v>
      </x:c>
      <x:c r="K375" s="11" t="str">
        <x:v>待核</x:v>
      </x:c>
      <x:c r="L375" s="11" t="str">
        <x:v>精确发布时间未核验</x:v>
      </x:c>
      <x:c r="M375" s="11" t="str">
        <x:v>截止日前日期，盘中时分未核</x:v>
      </x:c>
    </x:row>
    <x:row r="376" ht="23" customHeight="1">
      <x:c r="A376" s="11" t="str">
        <x:v>I061</x:v>
      </x:c>
      <x:c r="B376" s="11" t="str">
        <x:v>01211.HK</x:v>
      </x:c>
      <x:c r="C376" s="11" t="str">
        <x:v>RDCNYmillion</x:v>
      </x:c>
      <x:c r="D376" s="39" t="n">
        <x:v>63441.379</x:v>
      </x:c>
      <x:c r="E376" s="11" t="str">
        <x:v>CNY</x:v>
      </x:c>
      <x:c r="F376" s="11" t="str">
        <x:v>million</x:v>
      </x:c>
      <x:c r="G376" s="11" t="str">
        <x:v>FY2025</x:v>
      </x:c>
      <x:c r="H376" s="11" t="str">
        <x:v>2026-03-28</x:v>
      </x:c>
      <x:c r="I376" s="11" t="str">
        <x:v>https://static.cninfo.com.cn/finalpage/2026-03-28/1225045351.PDF</x:v>
      </x:c>
      <x:c r="J376" s="11" t="str">
        <x:v>reported input; field suffix retains original scale</x:v>
      </x:c>
      <x:c r="K376" s="11" t="str">
        <x:v>待核</x:v>
      </x:c>
      <x:c r="L376" s="11" t="str">
        <x:v>精确发布时间未核验</x:v>
      </x:c>
      <x:c r="M376" s="11" t="str">
        <x:v>截止日前日期，盘中时分未核</x:v>
      </x:c>
    </x:row>
    <x:row r="377" ht="23" customHeight="1">
      <x:c r="A377" s="11" t="str">
        <x:v>I061</x:v>
      </x:c>
      <x:c r="B377" s="11" t="str">
        <x:v>01211.HK</x:v>
      </x:c>
      <x:c r="C377" s="11" t="str">
        <x:v>capitalizedRDCNYmillion</x:v>
      </x:c>
      <x:c r="D377" s="39" t="n">
        <x:v>5463.274</x:v>
      </x:c>
      <x:c r="E377" s="11" t="str">
        <x:v>CNY</x:v>
      </x:c>
      <x:c r="F377" s="11" t="str">
        <x:v>million</x:v>
      </x:c>
      <x:c r="G377" s="11" t="str">
        <x:v>FY2025</x:v>
      </x:c>
      <x:c r="H377" s="11" t="str">
        <x:v>2026-03-28</x:v>
      </x:c>
      <x:c r="I377" s="11" t="str">
        <x:v>https://static.cninfo.com.cn/finalpage/2026-03-28/1225045351.PDF</x:v>
      </x:c>
      <x:c r="J377" s="11" t="str">
        <x:v>reported input; field suffix retains original scale</x:v>
      </x:c>
      <x:c r="K377" s="11" t="str">
        <x:v>待核</x:v>
      </x:c>
      <x:c r="L377" s="11" t="str">
        <x:v>精确发布时间未核验</x:v>
      </x:c>
      <x:c r="M377" s="11" t="str">
        <x:v>截止日前日期，盘中时分未核</x:v>
      </x:c>
    </x:row>
    <x:row r="378" ht="23" customHeight="1">
      <x:c r="A378" s="11" t="str">
        <x:v>I061</x:v>
      </x:c>
      <x:c r="B378" s="11" t="str">
        <x:v>01211.HK</x:v>
      </x:c>
      <x:c r="C378" s="11" t="str">
        <x:v>capitalizedRDRatio</x:v>
      </x:c>
      <x:c r="D378" s="39" t="n">
        <x:v>0.0861</x:v>
      </x:c>
      <x:c r="E378" s="11" t="str">
        <x:v>CNY</x:v>
      </x:c>
      <x:c r="F378" s="11" t="str">
        <x:v>fraction</x:v>
      </x:c>
      <x:c r="G378" s="11" t="str">
        <x:v>FY2025</x:v>
      </x:c>
      <x:c r="H378" s="11" t="str">
        <x:v>2026-03-28</x:v>
      </x:c>
      <x:c r="I378" s="11" t="str">
        <x:v>https://static.cninfo.com.cn/finalpage/2026-03-28/1225045351.PDF</x:v>
      </x:c>
      <x:c r="J378" s="11" t="str">
        <x:v>reported input; field suffix retains original scale</x:v>
      </x:c>
      <x:c r="K378" s="11" t="str">
        <x:v>待核</x:v>
      </x:c>
      <x:c r="L378" s="11" t="str">
        <x:v>精确发布时间未核验</x:v>
      </x:c>
      <x:c r="M378" s="11" t="str">
        <x:v>截止日前日期，盘中时分未核</x:v>
      </x:c>
    </x:row>
    <x:row r="379" ht="23" customHeight="1">
      <x:c r="A379" s="11" t="str">
        <x:v>I061</x:v>
      </x:c>
      <x:c r="B379" s="11" t="str">
        <x:v>01211.HK</x:v>
      </x:c>
      <x:c r="C379" s="11" t="str">
        <x:v>autoRelatedRevenueCNYmillionRounded</x:v>
      </x:c>
      <x:c r="D379" s="39" t="n">
        <x:v>648646</x:v>
      </x:c>
      <x:c r="E379" s="11" t="str">
        <x:v>CNY</x:v>
      </x:c>
      <x:c r="F379" s="11" t="str">
        <x:v>million</x:v>
      </x:c>
      <x:c r="G379" s="11" t="str">
        <x:v>FY2025</x:v>
      </x:c>
      <x:c r="H379" s="11" t="str">
        <x:v>2026-03-28</x:v>
      </x:c>
      <x:c r="I379" s="11" t="str">
        <x:v>https://static.cninfo.com.cn/finalpage/2026-03-28/1225045351.PDF</x:v>
      </x:c>
      <x:c r="J379" s="11" t="str">
        <x:v>reported input; field suffix retains original scale</x:v>
      </x:c>
      <x:c r="K379" s="11" t="str">
        <x:v>待核</x:v>
      </x:c>
      <x:c r="L379" s="11" t="str">
        <x:v>精确发布时间未核验</x:v>
      </x:c>
      <x:c r="M379" s="11" t="str">
        <x:v>截止日前日期，盘中时分未核</x:v>
      </x:c>
    </x:row>
    <x:row r="380" ht="23" customHeight="1">
      <x:c r="A380" s="11" t="str">
        <x:v>I061</x:v>
      </x:c>
      <x:c r="B380" s="11" t="str">
        <x:v>01211.HK</x:v>
      </x:c>
      <x:c r="C380" s="11" t="str">
        <x:v>electronicsRevenueCNYmillionRounded</x:v>
      </x:c>
      <x:c r="D380" s="39" t="n">
        <x:v>155237</x:v>
      </x:c>
      <x:c r="E380" s="11" t="str">
        <x:v>CNY</x:v>
      </x:c>
      <x:c r="F380" s="11" t="str">
        <x:v>million</x:v>
      </x:c>
      <x:c r="G380" s="11" t="str">
        <x:v>FY2025</x:v>
      </x:c>
      <x:c r="H380" s="11" t="str">
        <x:v>2026-03-28</x:v>
      </x:c>
      <x:c r="I380" s="11" t="str">
        <x:v>https://static.cninfo.com.cn/finalpage/2026-03-28/1225045351.PDF</x:v>
      </x:c>
      <x:c r="J380" s="11" t="str">
        <x:v>reported input; field suffix retains original scale</x:v>
      </x:c>
      <x:c r="K380" s="11" t="str">
        <x:v>待核</x:v>
      </x:c>
      <x:c r="L380" s="11" t="str">
        <x:v>精确发布时间未核验</x:v>
      </x:c>
      <x:c r="M380" s="11" t="str">
        <x:v>截止日前日期，盘中时分未核</x:v>
      </x:c>
    </x:row>
    <x:row r="381" ht="23" customHeight="1">
      <x:c r="A381" s="11" t="str">
        <x:v>I061</x:v>
      </x:c>
      <x:c r="B381" s="11" t="str">
        <x:v>01211.HK</x:v>
      </x:c>
      <x:c r="C381" s="11" t="str">
        <x:v>issuedSharesAtYearEnd</x:v>
      </x:c>
      <x:c r="D381" s="39" t="n">
        <x:v>9117197565</x:v>
      </x:c>
      <x:c r="E381" s="11" t="str">
        <x:v>CNY</x:v>
      </x:c>
      <x:c r="F381" s="11" t="str">
        <x:v>shares</x:v>
      </x:c>
      <x:c r="G381" s="11" t="str">
        <x:v>FY2025</x:v>
      </x:c>
      <x:c r="H381" s="11" t="str">
        <x:v>2026-03-28</x:v>
      </x:c>
      <x:c r="I381" s="11" t="str">
        <x:v>https://static.cninfo.com.cn/finalpage/2026-03-28/1225045351.PDF</x:v>
      </x:c>
      <x:c r="J381" s="11" t="str">
        <x:v>reported input; field suffix retains original scale</x:v>
      </x:c>
      <x:c r="K381" s="11" t="str">
        <x:v>待核</x:v>
      </x:c>
      <x:c r="L381" s="11" t="str">
        <x:v>精确发布时间未核验</x:v>
      </x:c>
      <x:c r="M381" s="11" t="str">
        <x:v>截止日前日期，盘中时分未核</x:v>
      </x:c>
    </x:row>
    <x:row r="382" ht="23" customHeight="1">
      <x:c r="A382" s="11" t="str">
        <x:v>I061</x:v>
      </x:c>
      <x:c r="B382" s="11" t="str">
        <x:v>01211.HK</x:v>
      </x:c>
      <x:c r="C382" s="11" t="str">
        <x:v>revenueCNYmillion</x:v>
      </x:c>
      <x:c r="D382" s="39" t="n">
        <x:v>344815.421</x:v>
      </x:c>
      <x:c r="E382" s="11" t="str">
        <x:v>CNY</x:v>
      </x:c>
      <x:c r="F382" s="11" t="str">
        <x:v>million</x:v>
      </x:c>
      <x:c r="G382" s="11" t="str">
        <x:v>2026H1</x:v>
      </x:c>
      <x:c r="H382" s="11" t="str">
        <x:v>2026-08-29巨潮披露；封面2026年8月</x:v>
      </x:c>
      <x:c r="I382" s="11" t="str">
        <x:v>https://static.cninfo.com.cn/finalpage/2026-08-29/1225531835.PDF</x:v>
      </x:c>
      <x:c r="J382" s="11" t="str">
        <x:v>reported input; field suffix retains original scale</x:v>
      </x:c>
      <x:c r="K382" s="11" t="str">
        <x:v>待核</x:v>
      </x:c>
      <x:c r="L382" s="11" t="str">
        <x:v>精确发布时间未核验</x:v>
      </x:c>
      <x:c r="M382" s="11" t="str">
        <x:v>截止日前日期，盘中时分未核</x:v>
      </x:c>
    </x:row>
    <x:row r="383" ht="23" customHeight="1">
      <x:c r="A383" s="11" t="str">
        <x:v>I061</x:v>
      </x:c>
      <x:c r="B383" s="11" t="str">
        <x:v>01211.HK</x:v>
      </x:c>
      <x:c r="C383" s="11" t="str">
        <x:v>revenueGrowthPct</x:v>
      </x:c>
      <x:c r="D383" s="39" t="n">
        <x:v>-7.13</x:v>
      </x:c>
      <x:c r="E383" s="11" t="str">
        <x:v>CNY</x:v>
      </x:c>
      <x:c r="F383" s="11" t="str">
        <x:v>percentage points (percent value)</x:v>
      </x:c>
      <x:c r="G383" s="11" t="str">
        <x:v>2026H1</x:v>
      </x:c>
      <x:c r="H383" s="11" t="str">
        <x:v>2026-08-29巨潮披露；封面2026年8月</x:v>
      </x:c>
      <x:c r="I383" s="11" t="str">
        <x:v>https://static.cninfo.com.cn/finalpage/2026-08-29/1225531835.PDF</x:v>
      </x:c>
      <x:c r="J383" s="11" t="str">
        <x:v>reported input; field suffix retains original scale</x:v>
      </x:c>
      <x:c r="K383" s="11" t="str">
        <x:v>待核</x:v>
      </x:c>
      <x:c r="L383" s="11" t="str">
        <x:v>精确发布时间未核验</x:v>
      </x:c>
      <x:c r="M383" s="11" t="str">
        <x:v>截止日前日期，盘中时分未核</x:v>
      </x:c>
    </x:row>
    <x:row r="384" ht="23" customHeight="1">
      <x:c r="A384" s="11" t="str">
        <x:v>I061</x:v>
      </x:c>
      <x:c r="B384" s="11" t="str">
        <x:v>01211.HK</x:v>
      </x:c>
      <x:c r="C384" s="11" t="str">
        <x:v>profitAttributableCNYmillion</x:v>
      </x:c>
      <x:c r="D384" s="39" t="n">
        <x:v>12325.408</x:v>
      </x:c>
      <x:c r="E384" s="11" t="str">
        <x:v>CNY</x:v>
      </x:c>
      <x:c r="F384" s="11" t="str">
        <x:v>million</x:v>
      </x:c>
      <x:c r="G384" s="11" t="str">
        <x:v>2026H1</x:v>
      </x:c>
      <x:c r="H384" s="11" t="str">
        <x:v>2026-08-29巨潮披露；封面2026年8月</x:v>
      </x:c>
      <x:c r="I384" s="11" t="str">
        <x:v>https://static.cninfo.com.cn/finalpage/2026-08-29/1225531835.PDF</x:v>
      </x:c>
      <x:c r="J384" s="11" t="str">
        <x:v>reported input; field suffix retains original scale</x:v>
      </x:c>
      <x:c r="K384" s="11" t="str">
        <x:v>待核</x:v>
      </x:c>
      <x:c r="L384" s="11" t="str">
        <x:v>精确发布时间未核验</x:v>
      </x:c>
      <x:c r="M384" s="11" t="str">
        <x:v>截止日前日期，盘中时分未核</x:v>
      </x:c>
    </x:row>
    <x:row r="385" ht="23" customHeight="1">
      <x:c r="A385" s="11" t="str">
        <x:v>I061</x:v>
      </x:c>
      <x:c r="B385" s="11" t="str">
        <x:v>01211.HK</x:v>
      </x:c>
      <x:c r="C385" s="11" t="str">
        <x:v>profitGrowthPct</x:v>
      </x:c>
      <x:c r="D385" s="39" t="n">
        <x:v>-20.54</x:v>
      </x:c>
      <x:c r="E385" s="11" t="str">
        <x:v>CNY</x:v>
      </x:c>
      <x:c r="F385" s="11" t="str">
        <x:v>percentage points (percent value)</x:v>
      </x:c>
      <x:c r="G385" s="11" t="str">
        <x:v>2026H1</x:v>
      </x:c>
      <x:c r="H385" s="11" t="str">
        <x:v>2026-08-29巨潮披露；封面2026年8月</x:v>
      </x:c>
      <x:c r="I385" s="11" t="str">
        <x:v>https://static.cninfo.com.cn/finalpage/2026-08-29/1225531835.PDF</x:v>
      </x:c>
      <x:c r="J385" s="11" t="str">
        <x:v>reported input; field suffix retains original scale</x:v>
      </x:c>
      <x:c r="K385" s="11" t="str">
        <x:v>待核</x:v>
      </x:c>
      <x:c r="L385" s="11" t="str">
        <x:v>精确发布时间未核验</x:v>
      </x:c>
      <x:c r="M385" s="11" t="str">
        <x:v>截止日前日期，盘中时分未核</x:v>
      </x:c>
    </x:row>
    <x:row r="386" ht="23" customHeight="1">
      <x:c r="A386" s="11" t="str">
        <x:v>I061</x:v>
      </x:c>
      <x:c r="B386" s="11" t="str">
        <x:v>01211.HK</x:v>
      </x:c>
      <x:c r="C386" s="11" t="str">
        <x:v>profitExNonRecurringCNYmillion</x:v>
      </x:c>
      <x:c r="D386" s="39" t="n">
        <x:v>12373.343</x:v>
      </x:c>
      <x:c r="E386" s="11" t="str">
        <x:v>CNY</x:v>
      </x:c>
      <x:c r="F386" s="11" t="str">
        <x:v>million</x:v>
      </x:c>
      <x:c r="G386" s="11" t="str">
        <x:v>2026H1</x:v>
      </x:c>
      <x:c r="H386" s="11" t="str">
        <x:v>2026-08-29巨潮披露；封面2026年8月</x:v>
      </x:c>
      <x:c r="I386" s="11" t="str">
        <x:v>https://static.cninfo.com.cn/finalpage/2026-08-29/1225531835.PDF</x:v>
      </x:c>
      <x:c r="J386" s="11" t="str">
        <x:v>reported input; field suffix retains original scale</x:v>
      </x:c>
      <x:c r="K386" s="11" t="str">
        <x:v>待核</x:v>
      </x:c>
      <x:c r="L386" s="11" t="str">
        <x:v>精确发布时间未核验</x:v>
      </x:c>
      <x:c r="M386" s="11" t="str">
        <x:v>截止日前日期，盘中时分未核</x:v>
      </x:c>
    </x:row>
    <x:row r="387" ht="23" customHeight="1">
      <x:c r="A387" s="11" t="str">
        <x:v>I061</x:v>
      </x:c>
      <x:c r="B387" s="11" t="str">
        <x:v>01211.HK</x:v>
      </x:c>
      <x:c r="C387" s="11" t="str">
        <x:v>profitExNonRecurringGrowthPct</x:v>
      </x:c>
      <x:c r="D387" s="39" t="n">
        <x:v>-9.02</x:v>
      </x:c>
      <x:c r="E387" s="11" t="str">
        <x:v>CNY</x:v>
      </x:c>
      <x:c r="F387" s="11" t="str">
        <x:v>percentage points (percent value)</x:v>
      </x:c>
      <x:c r="G387" s="11" t="str">
        <x:v>2026H1</x:v>
      </x:c>
      <x:c r="H387" s="11" t="str">
        <x:v>2026-08-29巨潮披露；封面2026年8月</x:v>
      </x:c>
      <x:c r="I387" s="11" t="str">
        <x:v>https://static.cninfo.com.cn/finalpage/2026-08-29/1225531835.PDF</x:v>
      </x:c>
      <x:c r="J387" s="11" t="str">
        <x:v>reported input; field suffix retains original scale</x:v>
      </x:c>
      <x:c r="K387" s="11" t="str">
        <x:v>待核</x:v>
      </x:c>
      <x:c r="L387" s="11" t="str">
        <x:v>精确发布时间未核验</x:v>
      </x:c>
      <x:c r="M387" s="11" t="str">
        <x:v>截止日前日期，盘中时分未核</x:v>
      </x:c>
    </x:row>
    <x:row r="388" ht="23" customHeight="1">
      <x:c r="A388" s="11" t="str">
        <x:v>I061</x:v>
      </x:c>
      <x:c r="B388" s="11" t="str">
        <x:v>01211.HK</x:v>
      </x:c>
      <x:c r="C388" s="11" t="str">
        <x:v>EPSCNY</x:v>
      </x:c>
      <x:c r="D388" s="39" t="n">
        <x:v>1.35</x:v>
      </x:c>
      <x:c r="E388" s="11" t="str">
        <x:v>CNY</x:v>
      </x:c>
      <x:c r="F388" s="11" t="str">
        <x:v>per ordinary share</x:v>
      </x:c>
      <x:c r="G388" s="11" t="str">
        <x:v>2026H1</x:v>
      </x:c>
      <x:c r="H388" s="11" t="str">
        <x:v>2026-08-29巨潮披露；封面2026年8月</x:v>
      </x:c>
      <x:c r="I388" s="11" t="str">
        <x:v>https://static.cninfo.com.cn/finalpage/2026-08-29/1225531835.PDF</x:v>
      </x:c>
      <x:c r="J388" s="11" t="str">
        <x:v>reported input; field suffix retains original scale</x:v>
      </x:c>
      <x:c r="K388" s="11" t="str">
        <x:v>待核</x:v>
      </x:c>
      <x:c r="L388" s="11" t="str">
        <x:v>精确发布时间未核验</x:v>
      </x:c>
      <x:c r="M388" s="11" t="str">
        <x:v>截止日前日期，盘中时分未核</x:v>
      </x:c>
    </x:row>
    <x:row r="389" ht="23" customHeight="1">
      <x:c r="A389" s="11" t="str">
        <x:v>I061</x:v>
      </x:c>
      <x:c r="B389" s="11" t="str">
        <x:v>01211.HK</x:v>
      </x:c>
      <x:c r="C389" s="11" t="str">
        <x:v>OCFCNYmillion</x:v>
      </x:c>
      <x:c r="D389" s="39" t="n">
        <x:v>37334.744</x:v>
      </x:c>
      <x:c r="E389" s="11" t="str">
        <x:v>CNY</x:v>
      </x:c>
      <x:c r="F389" s="11" t="str">
        <x:v>million</x:v>
      </x:c>
      <x:c r="G389" s="11" t="str">
        <x:v>2026H1</x:v>
      </x:c>
      <x:c r="H389" s="11" t="str">
        <x:v>2026-08-29巨潮披露；封面2026年8月</x:v>
      </x:c>
      <x:c r="I389" s="11" t="str">
        <x:v>https://static.cninfo.com.cn/finalpage/2026-08-29/1225531835.PDF</x:v>
      </x:c>
      <x:c r="J389" s="11" t="str">
        <x:v>reported input; field suffix retains original scale</x:v>
      </x:c>
      <x:c r="K389" s="11" t="str">
        <x:v>待核</x:v>
      </x:c>
      <x:c r="L389" s="11" t="str">
        <x:v>精确发布时间未核验</x:v>
      </x:c>
      <x:c r="M389" s="11" t="str">
        <x:v>截止日前日期，盘中时分未核</x:v>
      </x:c>
    </x:row>
    <x:row r="390" ht="23" customHeight="1">
      <x:c r="A390" s="11" t="str">
        <x:v>I061</x:v>
      </x:c>
      <x:c r="B390" s="11" t="str">
        <x:v>01211.HK</x:v>
      </x:c>
      <x:c r="C390" s="11" t="str">
        <x:v>OCFGrowthPct</x:v>
      </x:c>
      <x:c r="D390" s="39" t="n">
        <x:v>17.28</x:v>
      </x:c>
      <x:c r="E390" s="11" t="str">
        <x:v>CNY</x:v>
      </x:c>
      <x:c r="F390" s="11" t="str">
        <x:v>percentage points (percent value)</x:v>
      </x:c>
      <x:c r="G390" s="11" t="str">
        <x:v>2026H1</x:v>
      </x:c>
      <x:c r="H390" s="11" t="str">
        <x:v>2026-08-29巨潮披露；封面2026年8月</x:v>
      </x:c>
      <x:c r="I390" s="11" t="str">
        <x:v>https://static.cninfo.com.cn/finalpage/2026-08-29/1225531835.PDF</x:v>
      </x:c>
      <x:c r="J390" s="11" t="str">
        <x:v>reported input; field suffix retains original scale</x:v>
      </x:c>
      <x:c r="K390" s="11" t="str">
        <x:v>待核</x:v>
      </x:c>
      <x:c r="L390" s="11" t="str">
        <x:v>精确发布时间未核验</x:v>
      </x:c>
      <x:c r="M390" s="11" t="str">
        <x:v>截止日前日期，盘中时分未核</x:v>
      </x:c>
    </x:row>
    <x:row r="391" ht="23" customHeight="1">
      <x:c r="A391" s="11" t="str">
        <x:v>I061</x:v>
      </x:c>
      <x:c r="B391" s="11" t="str">
        <x:v>01211.HK</x:v>
      </x:c>
      <x:c r="C391" s="11" t="str">
        <x:v>cashLongAssetAcquisitionCNYmillion</x:v>
      </x:c>
      <x:c r="D391" s="39" t="n">
        <x:v>44703.066</x:v>
      </x:c>
      <x:c r="E391" s="11" t="str">
        <x:v>CNY</x:v>
      </x:c>
      <x:c r="F391" s="11" t="str">
        <x:v>million</x:v>
      </x:c>
      <x:c r="G391" s="11" t="str">
        <x:v>2026H1</x:v>
      </x:c>
      <x:c r="H391" s="11" t="str">
        <x:v>2026-08-29巨潮披露；封面2026年8月</x:v>
      </x:c>
      <x:c r="I391" s="11" t="str">
        <x:v>https://static.cninfo.com.cn/finalpage/2026-08-29/1225531835.PDF</x:v>
      </x:c>
      <x:c r="J391" s="11" t="str">
        <x:v>reported input; field suffix retains original scale</x:v>
      </x:c>
      <x:c r="K391" s="11" t="str">
        <x:v>待核</x:v>
      </x:c>
      <x:c r="L391" s="11" t="str">
        <x:v>精确发布时间未核验</x:v>
      </x:c>
      <x:c r="M391" s="11" t="str">
        <x:v>截止日前日期，盘中时分未核</x:v>
      </x:c>
    </x:row>
    <x:row r="392" ht="23" customHeight="1">
      <x:c r="A392" s="11" t="str">
        <x:v>I061</x:v>
      </x:c>
      <x:c r="B392" s="11" t="str">
        <x:v>01211.HK</x:v>
      </x:c>
      <x:c r="C392" s="11" t="str">
        <x:v>FCFResearchProxyCNYmillion</x:v>
      </x:c>
      <x:c r="D392" s="39" t="n">
        <x:v>-7368.322</x:v>
      </x:c>
      <x:c r="E392" s="11" t="str">
        <x:v>CNY</x:v>
      </x:c>
      <x:c r="F392" s="11" t="str">
        <x:v>million</x:v>
      </x:c>
      <x:c r="G392" s="11" t="str">
        <x:v>2026H1</x:v>
      </x:c>
      <x:c r="H392" s="11" t="str">
        <x:v>2026-08-29巨潮披露；封面2026年8月</x:v>
      </x:c>
      <x:c r="I392" s="11" t="str">
        <x:v>https://static.cninfo.com.cn/finalpage/2026-08-29/1225531835.PDF</x:v>
      </x:c>
      <x:c r="J392" s="11" t="str">
        <x:v>research calculation from cited inputs</x:v>
      </x:c>
      <x:c r="K392" s="11" t="str">
        <x:v>待核</x:v>
      </x:c>
      <x:c r="L392" s="11" t="str">
        <x:v>精确发布时间未核验</x:v>
      </x:c>
      <x:c r="M392" s="11" t="str">
        <x:v>截止日前日期，盘中时分未核</x:v>
      </x:c>
    </x:row>
    <x:row r="393" ht="23" customHeight="1">
      <x:c r="A393" s="11" t="str">
        <x:v>I061</x:v>
      </x:c>
      <x:c r="B393" s="11" t="str">
        <x:v>01211.HK</x:v>
      </x:c>
      <x:c r="C393" s="11" t="str">
        <x:v>cashEquivalentsCNYmillion</x:v>
      </x:c>
      <x:c r="D393" s="39" t="n">
        <x:v>55619.085</x:v>
      </x:c>
      <x:c r="E393" s="11" t="str">
        <x:v>CNY</x:v>
      </x:c>
      <x:c r="F393" s="11" t="str">
        <x:v>million</x:v>
      </x:c>
      <x:c r="G393" s="11" t="str">
        <x:v>2026H1</x:v>
      </x:c>
      <x:c r="H393" s="11" t="str">
        <x:v>2026-08-29巨潮披露；封面2026年8月</x:v>
      </x:c>
      <x:c r="I393" s="11" t="str">
        <x:v>https://static.cninfo.com.cn/finalpage/2026-08-29/1225531835.PDF</x:v>
      </x:c>
      <x:c r="J393" s="11" t="str">
        <x:v>reported input; field suffix retains original scale</x:v>
      </x:c>
      <x:c r="K393" s="11" t="str">
        <x:v>待核</x:v>
      </x:c>
      <x:c r="L393" s="11" t="str">
        <x:v>精确发布时间未核验</x:v>
      </x:c>
      <x:c r="M393" s="11" t="str">
        <x:v>截止日前日期，盘中时分未核</x:v>
      </x:c>
    </x:row>
    <x:row r="394" ht="23" customHeight="1">
      <x:c r="A394" s="11" t="str">
        <x:v>I061</x:v>
      </x:c>
      <x:c r="B394" s="11" t="str">
        <x:v>01211.HK</x:v>
      </x:c>
      <x:c r="C394" s="11" t="str">
        <x:v>cashBankCNYmillion</x:v>
      </x:c>
      <x:c r="D394" s="39" t="n">
        <x:v>58737.867</x:v>
      </x:c>
      <x:c r="E394" s="11" t="str">
        <x:v>CNY</x:v>
      </x:c>
      <x:c r="F394" s="11" t="str">
        <x:v>million</x:v>
      </x:c>
      <x:c r="G394" s="11" t="str">
        <x:v>2026H1</x:v>
      </x:c>
      <x:c r="H394" s="11" t="str">
        <x:v>2026-08-29巨潮披露；封面2026年8月</x:v>
      </x:c>
      <x:c r="I394" s="11" t="str">
        <x:v>https://static.cninfo.com.cn/finalpage/2026-08-29/1225531835.PDF</x:v>
      </x:c>
      <x:c r="J394" s="11" t="str">
        <x:v>reported input; field suffix retains original scale</x:v>
      </x:c>
      <x:c r="K394" s="11" t="str">
        <x:v>待核</x:v>
      </x:c>
      <x:c r="L394" s="11" t="str">
        <x:v>精确发布时间未核验</x:v>
      </x:c>
      <x:c r="M394" s="11" t="str">
        <x:v>截止日前日期，盘中时分未核</x:v>
      </x:c>
    </x:row>
    <x:row r="395" ht="23" customHeight="1">
      <x:c r="A395" s="11" t="str">
        <x:v>I061</x:v>
      </x:c>
      <x:c r="B395" s="11" t="str">
        <x:v>01211.HK</x:v>
      </x:c>
      <x:c r="C395" s="11" t="str">
        <x:v>restrictedGuaranteesCNYmillion</x:v>
      </x:c>
      <x:c r="D395" s="39" t="n">
        <x:v>2881.818</x:v>
      </x:c>
      <x:c r="E395" s="11" t="str">
        <x:v>CNY</x:v>
      </x:c>
      <x:c r="F395" s="11" t="str">
        <x:v>million</x:v>
      </x:c>
      <x:c r="G395" s="11" t="str">
        <x:v>2026H1</x:v>
      </x:c>
      <x:c r="H395" s="11" t="str">
        <x:v>2026-08-29巨潮披露；封面2026年8月</x:v>
      </x:c>
      <x:c r="I395" s="11" t="str">
        <x:v>https://static.cninfo.com.cn/finalpage/2026-08-29/1225531835.PDF</x:v>
      </x:c>
      <x:c r="J395" s="11" t="str">
        <x:v>reported input; field suffix retains original scale</x:v>
      </x:c>
      <x:c r="K395" s="11" t="str">
        <x:v>待核</x:v>
      </x:c>
      <x:c r="L395" s="11" t="str">
        <x:v>精确发布时间未核验</x:v>
      </x:c>
      <x:c r="M395" s="11" t="str">
        <x:v>截止日前日期，盘中时分未核</x:v>
      </x:c>
    </x:row>
    <x:row r="396" ht="23" customHeight="1">
      <x:c r="A396" s="11" t="str">
        <x:v>I061</x:v>
      </x:c>
      <x:c r="B396" s="11" t="str">
        <x:v>01211.HK</x:v>
      </x:c>
      <x:c r="C396" s="11" t="str">
        <x:v>accruedInterestNotImmediatelyAvailableCNYmillion</x:v>
      </x:c>
      <x:c r="D396" s="39" t="n">
        <x:v>236.964</x:v>
      </x:c>
      <x:c r="E396" s="11" t="str">
        <x:v>CNY</x:v>
      </x:c>
      <x:c r="F396" s="11" t="str">
        <x:v>million</x:v>
      </x:c>
      <x:c r="G396" s="11" t="str">
        <x:v>2026H1</x:v>
      </x:c>
      <x:c r="H396" s="11" t="str">
        <x:v>2026-08-29巨潮披露；封面2026年8月</x:v>
      </x:c>
      <x:c r="I396" s="11" t="str">
        <x:v>https://static.cninfo.com.cn/finalpage/2026-08-29/1225531835.PDF</x:v>
      </x:c>
      <x:c r="J396" s="11" t="str">
        <x:v>reported input; field suffix retains original scale</x:v>
      </x:c>
      <x:c r="K396" s="11" t="str">
        <x:v>待核</x:v>
      </x:c>
      <x:c r="L396" s="11" t="str">
        <x:v>精确发布时间未核验</x:v>
      </x:c>
      <x:c r="M396" s="11" t="str">
        <x:v>截止日前日期，盘中时分未核</x:v>
      </x:c>
    </x:row>
    <x:row r="397" ht="23" customHeight="1">
      <x:c r="A397" s="11" t="str">
        <x:v>I061</x:v>
      </x:c>
      <x:c r="B397" s="11" t="str">
        <x:v>01211.HK</x:v>
      </x:c>
      <x:c r="C397" s="11" t="str">
        <x:v>tradingFinancialAssetsCNYmillion</x:v>
      </x:c>
      <x:c r="D397" s="39" t="n">
        <x:v>69940.449</x:v>
      </x:c>
      <x:c r="E397" s="11" t="str">
        <x:v>CNY</x:v>
      </x:c>
      <x:c r="F397" s="11" t="str">
        <x:v>million</x:v>
      </x:c>
      <x:c r="G397" s="11" t="str">
        <x:v>2026H1</x:v>
      </x:c>
      <x:c r="H397" s="11" t="str">
        <x:v>2026-08-29巨潮披露；封面2026年8月</x:v>
      </x:c>
      <x:c r="I397" s="11" t="str">
        <x:v>https://static.cninfo.com.cn/finalpage/2026-08-29/1225531835.PDF</x:v>
      </x:c>
      <x:c r="J397" s="11" t="str">
        <x:v>reported input; field suffix retains original scale</x:v>
      </x:c>
      <x:c r="K397" s="11" t="str">
        <x:v>待核</x:v>
      </x:c>
      <x:c r="L397" s="11" t="str">
        <x:v>精确发布时间未核验</x:v>
      </x:c>
      <x:c r="M397" s="11" t="str">
        <x:v>截止日前日期，盘中时分未核</x:v>
      </x:c>
    </x:row>
    <x:row r="398" ht="23" customHeight="1">
      <x:c r="A398" s="11" t="str">
        <x:v>I061</x:v>
      </x:c>
      <x:c r="B398" s="11" t="str">
        <x:v>01211.HK</x:v>
      </x:c>
      <x:c r="C398" s="11" t="str">
        <x:v>interestBearingLoansBondsCNYmillionResearch</x:v>
      </x:c>
      <x:c r="D398" s="39" t="n">
        <x:v>120054.759</x:v>
      </x:c>
      <x:c r="E398" s="11" t="str">
        <x:v>CNY</x:v>
      </x:c>
      <x:c r="F398" s="11" t="str">
        <x:v>million</x:v>
      </x:c>
      <x:c r="G398" s="11" t="str">
        <x:v>2026H1</x:v>
      </x:c>
      <x:c r="H398" s="11" t="str">
        <x:v>2026-08-29巨潮披露；封面2026年8月</x:v>
      </x:c>
      <x:c r="I398" s="11" t="str">
        <x:v>https://static.cninfo.com.cn/finalpage/2026-08-29/1225531835.PDF</x:v>
      </x:c>
      <x:c r="J398" s="11" t="str">
        <x:v>research calculation from cited inputs</x:v>
      </x:c>
      <x:c r="K398" s="11" t="str">
        <x:v>待核</x:v>
      </x:c>
      <x:c r="L398" s="11" t="str">
        <x:v>精确发布时间未核验</x:v>
      </x:c>
      <x:c r="M398" s="11" t="str">
        <x:v>截止日前日期，盘中时分未核</x:v>
      </x:c>
    </x:row>
    <x:row r="399" ht="23" customHeight="1">
      <x:c r="A399" s="11" t="str">
        <x:v>I061</x:v>
      </x:c>
      <x:c r="B399" s="11" t="str">
        <x:v>01211.HK</x:v>
      </x:c>
      <x:c r="C399" s="11" t="str">
        <x:v>leaseDebtCNYmillion</x:v>
      </x:c>
      <x:c r="D399" s="39" t="n">
        <x:v>10871.873</x:v>
      </x:c>
      <x:c r="E399" s="11" t="str">
        <x:v>CNY</x:v>
      </x:c>
      <x:c r="F399" s="11" t="str">
        <x:v>million</x:v>
      </x:c>
      <x:c r="G399" s="11" t="str">
        <x:v>2026H1</x:v>
      </x:c>
      <x:c r="H399" s="11" t="str">
        <x:v>2026-08-29巨潮披露；封面2026年8月</x:v>
      </x:c>
      <x:c r="I399" s="11" t="str">
        <x:v>https://static.cninfo.com.cn/finalpage/2026-08-29/1225531835.PDF</x:v>
      </x:c>
      <x:c r="J399" s="11" t="str">
        <x:v>reported input; field suffix retains original scale</x:v>
      </x:c>
      <x:c r="K399" s="11" t="str">
        <x:v>待核</x:v>
      </x:c>
      <x:c r="L399" s="11" t="str">
        <x:v>精确发布时间未核验</x:v>
      </x:c>
      <x:c r="M399" s="11" t="str">
        <x:v>截止日前日期，盘中时分未核</x:v>
      </x:c>
    </x:row>
    <x:row r="400" ht="23" customHeight="1">
      <x:c r="A400" s="11" t="str">
        <x:v>I061</x:v>
      </x:c>
      <x:c r="B400" s="11" t="str">
        <x:v>01211.HK</x:v>
      </x:c>
      <x:c r="C400" s="11" t="str">
        <x:v>perpetualEquityInstrumentCNYmillion</x:v>
      </x:c>
      <x:c r="D400" s="39" t="n">
        <x:v>20846.86</x:v>
      </x:c>
      <x:c r="E400" s="11" t="str">
        <x:v>CNY</x:v>
      </x:c>
      <x:c r="F400" s="11" t="str">
        <x:v>million</x:v>
      </x:c>
      <x:c r="G400" s="11" t="str">
        <x:v>2026H1</x:v>
      </x:c>
      <x:c r="H400" s="11" t="str">
        <x:v>2026-08-29巨潮披露；封面2026年8月</x:v>
      </x:c>
      <x:c r="I400" s="11" t="str">
        <x:v>https://static.cninfo.com.cn/finalpage/2026-08-29/1225531835.PDF</x:v>
      </x:c>
      <x:c r="J400" s="11" t="str">
        <x:v>reported input; field suffix retains original scale</x:v>
      </x:c>
      <x:c r="K400" s="11" t="str">
        <x:v>待核</x:v>
      </x:c>
      <x:c r="L400" s="11" t="str">
        <x:v>精确发布时间未核验</x:v>
      </x:c>
      <x:c r="M400" s="11" t="str">
        <x:v>截止日前日期，盘中时分未核</x:v>
      </x:c>
    </x:row>
    <x:row r="401" ht="23" customHeight="1">
      <x:c r="A401" s="11" t="str">
        <x:v>I061</x:v>
      </x:c>
      <x:c r="B401" s="11" t="str">
        <x:v>01211.HK</x:v>
      </x:c>
      <x:c r="C401" s="11" t="str">
        <x:v>inventoriesCNYmillion</x:v>
      </x:c>
      <x:c r="D401" s="39" t="n">
        <x:v>189990.772</x:v>
      </x:c>
      <x:c r="E401" s="11" t="str">
        <x:v>CNY</x:v>
      </x:c>
      <x:c r="F401" s="11" t="str">
        <x:v>million</x:v>
      </x:c>
      <x:c r="G401" s="11" t="str">
        <x:v>2026H1</x:v>
      </x:c>
      <x:c r="H401" s="11" t="str">
        <x:v>2026-08-29巨潮披露；封面2026年8月</x:v>
      </x:c>
      <x:c r="I401" s="11" t="str">
        <x:v>https://static.cninfo.com.cn/finalpage/2026-08-29/1225531835.PDF</x:v>
      </x:c>
      <x:c r="J401" s="11" t="str">
        <x:v>reported input; field suffix retains original scale</x:v>
      </x:c>
      <x:c r="K401" s="11" t="str">
        <x:v>待核</x:v>
      </x:c>
      <x:c r="L401" s="11" t="str">
        <x:v>精确发布时间未核验</x:v>
      </x:c>
      <x:c r="M401" s="11" t="str">
        <x:v>截止日前日期，盘中时分未核</x:v>
      </x:c>
    </x:row>
    <x:row r="402" ht="23" customHeight="1">
      <x:c r="A402" s="11" t="str">
        <x:v>I061</x:v>
      </x:c>
      <x:c r="B402" s="11" t="str">
        <x:v>01211.HK</x:v>
      </x:c>
      <x:c r="C402" s="11" t="str">
        <x:v>inventories2025EndCNYmillion</x:v>
      </x:c>
      <x:c r="D402" s="39" t="n">
        <x:v>138420.58</x:v>
      </x:c>
      <x:c r="E402" s="11" t="str">
        <x:v>CNY</x:v>
      </x:c>
      <x:c r="F402" s="11" t="str">
        <x:v>million</x:v>
      </x:c>
      <x:c r="G402" s="11" t="str">
        <x:v>2026H1</x:v>
      </x:c>
      <x:c r="H402" s="11" t="str">
        <x:v>2026-08-29巨潮披露；封面2026年8月</x:v>
      </x:c>
      <x:c r="I402" s="11" t="str">
        <x:v>https://static.cninfo.com.cn/finalpage/2026-08-29/1225531835.PDF</x:v>
      </x:c>
      <x:c r="J402" s="11" t="str">
        <x:v>reported input; field suffix retains original scale</x:v>
      </x:c>
      <x:c r="K402" s="11" t="str">
        <x:v>待核</x:v>
      </x:c>
      <x:c r="L402" s="11" t="str">
        <x:v>精确发布时间未核验</x:v>
      </x:c>
      <x:c r="M402" s="11" t="str">
        <x:v>截止日前日期，盘中时分未核</x:v>
      </x:c>
    </x:row>
    <x:row r="403" ht="23" customHeight="1">
      <x:c r="A403" s="11" t="str">
        <x:v>I061</x:v>
      </x:c>
      <x:c r="B403" s="11" t="str">
        <x:v>01211.HK</x:v>
      </x:c>
      <x:c r="C403" s="11" t="str">
        <x:v>tradeReceivablesCNYmillion</x:v>
      </x:c>
      <x:c r="D403" s="39" t="n">
        <x:v>50126.342</x:v>
      </x:c>
      <x:c r="E403" s="11" t="str">
        <x:v>CNY</x:v>
      </x:c>
      <x:c r="F403" s="11" t="str">
        <x:v>million</x:v>
      </x:c>
      <x:c r="G403" s="11" t="str">
        <x:v>2026H1</x:v>
      </x:c>
      <x:c r="H403" s="11" t="str">
        <x:v>2026-08-29巨潮披露；封面2026年8月</x:v>
      </x:c>
      <x:c r="I403" s="11" t="str">
        <x:v>https://static.cninfo.com.cn/finalpage/2026-08-29/1225531835.PDF</x:v>
      </x:c>
      <x:c r="J403" s="11" t="str">
        <x:v>reported input; field suffix retains original scale</x:v>
      </x:c>
      <x:c r="K403" s="11" t="str">
        <x:v>待核</x:v>
      </x:c>
      <x:c r="L403" s="11" t="str">
        <x:v>精确发布时间未核验</x:v>
      </x:c>
      <x:c r="M403" s="11" t="str">
        <x:v>截止日前日期，盘中时分未核</x:v>
      </x:c>
    </x:row>
    <x:row r="404" ht="23" customHeight="1">
      <x:c r="A404" s="11" t="str">
        <x:v>I061</x:v>
      </x:c>
      <x:c r="B404" s="11" t="str">
        <x:v>01211.HK</x:v>
      </x:c>
      <x:c r="C404" s="11" t="str">
        <x:v>tradePayablesCNYmillion</x:v>
      </x:c>
      <x:c r="D404" s="39" t="n">
        <x:v>176356.021</x:v>
      </x:c>
      <x:c r="E404" s="11" t="str">
        <x:v>CNY</x:v>
      </x:c>
      <x:c r="F404" s="11" t="str">
        <x:v>million</x:v>
      </x:c>
      <x:c r="G404" s="11" t="str">
        <x:v>2026H1</x:v>
      </x:c>
      <x:c r="H404" s="11" t="str">
        <x:v>2026-08-29巨潮披露；封面2026年8月</x:v>
      </x:c>
      <x:c r="I404" s="11" t="str">
        <x:v>https://static.cninfo.com.cn/finalpage/2026-08-29/1225531835.PDF</x:v>
      </x:c>
      <x:c r="J404" s="11" t="str">
        <x:v>reported input; field suffix retains original scale</x:v>
      </x:c>
      <x:c r="K404" s="11" t="str">
        <x:v>待核</x:v>
      </x:c>
      <x:c r="L404" s="11" t="str">
        <x:v>精确发布时间未核验</x:v>
      </x:c>
      <x:c r="M404" s="11" t="str">
        <x:v>截止日前日期，盘中时分未核</x:v>
      </x:c>
    </x:row>
    <x:row r="405" ht="23" customHeight="1">
      <x:c r="A405" s="11" t="str">
        <x:v>I061</x:v>
      </x:c>
      <x:c r="B405" s="11" t="str">
        <x:v>01211.HK</x:v>
      </x:c>
      <x:c r="C405" s="11" t="str">
        <x:v>notesPayableCNYmillion</x:v>
      </x:c>
      <x:c r="D405" s="39" t="n">
        <x:v>53413.166</x:v>
      </x:c>
      <x:c r="E405" s="11" t="str">
        <x:v>CNY</x:v>
      </x:c>
      <x:c r="F405" s="11" t="str">
        <x:v>million</x:v>
      </x:c>
      <x:c r="G405" s="11" t="str">
        <x:v>2026H1</x:v>
      </x:c>
      <x:c r="H405" s="11" t="str">
        <x:v>2026-08-29巨潮披露；封面2026年8月</x:v>
      </x:c>
      <x:c r="I405" s="11" t="str">
        <x:v>https://static.cninfo.com.cn/finalpage/2026-08-29/1225531835.PDF</x:v>
      </x:c>
      <x:c r="J405" s="11" t="str">
        <x:v>reported input; field suffix retains original scale</x:v>
      </x:c>
      <x:c r="K405" s="11" t="str">
        <x:v>待核</x:v>
      </x:c>
      <x:c r="L405" s="11" t="str">
        <x:v>精确发布时间未核验</x:v>
      </x:c>
      <x:c r="M405" s="11" t="str">
        <x:v>截止日前日期，盘中时分未核</x:v>
      </x:c>
    </x:row>
    <x:row r="406" ht="23" customHeight="1">
      <x:c r="A406" s="11" t="str">
        <x:v>I061</x:v>
      </x:c>
      <x:c r="B406" s="11" t="str">
        <x:v>01211.HK</x:v>
      </x:c>
      <x:c r="C406" s="11" t="str">
        <x:v>contractLiabilityCNYmillion</x:v>
      </x:c>
      <x:c r="D406" s="39" t="n">
        <x:v>79796.755</x:v>
      </x:c>
      <x:c r="E406" s="11" t="str">
        <x:v>CNY</x:v>
      </x:c>
      <x:c r="F406" s="11" t="str">
        <x:v>million</x:v>
      </x:c>
      <x:c r="G406" s="11" t="str">
        <x:v>2026H1</x:v>
      </x:c>
      <x:c r="H406" s="11" t="str">
        <x:v>2026-08-29巨潮披露；封面2026年8月</x:v>
      </x:c>
      <x:c r="I406" s="11" t="str">
        <x:v>https://static.cninfo.com.cn/finalpage/2026-08-29/1225531835.PDF</x:v>
      </x:c>
      <x:c r="J406" s="11" t="str">
        <x:v>reported input; field suffix retains original scale</x:v>
      </x:c>
      <x:c r="K406" s="11" t="str">
        <x:v>待核</x:v>
      </x:c>
      <x:c r="L406" s="11" t="str">
        <x:v>精确发布时间未核验</x:v>
      </x:c>
      <x:c r="M406" s="11" t="str">
        <x:v>截止日前日期，盘中时分未核</x:v>
      </x:c>
    </x:row>
    <x:row r="407" ht="23" customHeight="1">
      <x:c r="A407" s="11" t="str">
        <x:v>I061</x:v>
      </x:c>
      <x:c r="B407" s="11" t="str">
        <x:v>01211.HK</x:v>
      </x:c>
      <x:c r="C407" s="11" t="str">
        <x:v>externalOtherPayablesCNYmillion</x:v>
      </x:c>
      <x:c r="D407" s="39" t="n">
        <x:v>100922.324</x:v>
      </x:c>
      <x:c r="E407" s="11" t="str">
        <x:v>CNY</x:v>
      </x:c>
      <x:c r="F407" s="11" t="str">
        <x:v>million</x:v>
      </x:c>
      <x:c r="G407" s="11" t="str">
        <x:v>2026H1</x:v>
      </x:c>
      <x:c r="H407" s="11" t="str">
        <x:v>2026-08-29巨潮披露；封面2026年8月</x:v>
      </x:c>
      <x:c r="I407" s="11" t="str">
        <x:v>https://static.cninfo.com.cn/finalpage/2026-08-29/1225531835.PDF</x:v>
      </x:c>
      <x:c r="J407" s="11" t="str">
        <x:v>reported input; field suffix retains original scale</x:v>
      </x:c>
      <x:c r="K407" s="11" t="str">
        <x:v>待核</x:v>
      </x:c>
      <x:c r="L407" s="11" t="str">
        <x:v>精确发布时间未核验</x:v>
      </x:c>
      <x:c r="M407" s="11" t="str">
        <x:v>截止日前日期，盘中时分未核</x:v>
      </x:c>
    </x:row>
    <x:row r="408" ht="23" customHeight="1">
      <x:c r="A408" s="11" t="str">
        <x:v>I061</x:v>
      </x:c>
      <x:c r="B408" s="11" t="str">
        <x:v>01211.HK</x:v>
      </x:c>
      <x:c r="C408" s="11" t="str">
        <x:v>guaranteeProvisionCNYmillion</x:v>
      </x:c>
      <x:c r="D408" s="39" t="n">
        <x:v>34043.625</x:v>
      </x:c>
      <x:c r="E408" s="11" t="str">
        <x:v>CNY</x:v>
      </x:c>
      <x:c r="F408" s="11" t="str">
        <x:v>million</x:v>
      </x:c>
      <x:c r="G408" s="11" t="str">
        <x:v>2026H1</x:v>
      </x:c>
      <x:c r="H408" s="11" t="str">
        <x:v>2026-08-29巨潮披露；封面2026年8月</x:v>
      </x:c>
      <x:c r="I408" s="11" t="str">
        <x:v>https://static.cninfo.com.cn/finalpage/2026-08-29/1225531835.PDF</x:v>
      </x:c>
      <x:c r="J408" s="11" t="str">
        <x:v>reported input; field suffix retains original scale</x:v>
      </x:c>
      <x:c r="K408" s="11" t="str">
        <x:v>待核</x:v>
      </x:c>
      <x:c r="L408" s="11" t="str">
        <x:v>精确发布时间未核验</x:v>
      </x:c>
      <x:c r="M408" s="11" t="str">
        <x:v>截止日前日期，盘中时分未核</x:v>
      </x:c>
    </x:row>
    <x:row r="409" ht="23" customHeight="1">
      <x:c r="A409" s="11" t="str">
        <x:v>I061</x:v>
      </x:c>
      <x:c r="B409" s="11" t="str">
        <x:v>01211.HK</x:v>
      </x:c>
      <x:c r="C409" s="11" t="str">
        <x:v>financialExpenseCNYmillion</x:v>
      </x:c>
      <x:c r="D409" s="39" t="n">
        <x:v>5096.026</x:v>
      </x:c>
      <x:c r="E409" s="11" t="str">
        <x:v>CNY</x:v>
      </x:c>
      <x:c r="F409" s="11" t="str">
        <x:v>million</x:v>
      </x:c>
      <x:c r="G409" s="11" t="str">
        <x:v>2026H1</x:v>
      </x:c>
      <x:c r="H409" s="11" t="str">
        <x:v>2026-08-29巨潮披露；封面2026年8月</x:v>
      </x:c>
      <x:c r="I409" s="11" t="str">
        <x:v>https://static.cninfo.com.cn/finalpage/2026-08-29/1225531835.PDF</x:v>
      </x:c>
      <x:c r="J409" s="11" t="str">
        <x:v>reported input; field suffix retains original scale</x:v>
      </x:c>
      <x:c r="K409" s="11" t="str">
        <x:v>待核</x:v>
      </x:c>
      <x:c r="L409" s="11" t="str">
        <x:v>精确发布时间未核验</x:v>
      </x:c>
      <x:c r="M409" s="11" t="str">
        <x:v>截止日前日期，盘中时分未核</x:v>
      </x:c>
    </x:row>
    <x:row r="410" ht="23" customHeight="1">
      <x:c r="A410" s="11" t="str">
        <x:v>I061</x:v>
      </x:c>
      <x:c r="B410" s="11" t="str">
        <x:v>01211.HK</x:v>
      </x:c>
      <x:c r="C410" s="11" t="str">
        <x:v>financialExpense2025H1CNYmillion</x:v>
      </x:c>
      <x:c r="D410" s="39" t="n">
        <x:v>-3247.033</x:v>
      </x:c>
      <x:c r="E410" s="11" t="str">
        <x:v>CNY</x:v>
      </x:c>
      <x:c r="F410" s="11" t="str">
        <x:v>million</x:v>
      </x:c>
      <x:c r="G410" s="11" t="str">
        <x:v>2026H1</x:v>
      </x:c>
      <x:c r="H410" s="11" t="str">
        <x:v>2026-08-29巨潮披露；封面2026年8月</x:v>
      </x:c>
      <x:c r="I410" s="11" t="str">
        <x:v>https://static.cninfo.com.cn/finalpage/2026-08-29/1225531835.PDF</x:v>
      </x:c>
      <x:c r="J410" s="11" t="str">
        <x:v>reported input; field suffix retains original scale</x:v>
      </x:c>
      <x:c r="K410" s="11" t="str">
        <x:v>待核</x:v>
      </x:c>
      <x:c r="L410" s="11" t="str">
        <x:v>精确发布时间未核验</x:v>
      </x:c>
      <x:c r="M410" s="11" t="str">
        <x:v>截止日前日期，盘中时分未核</x:v>
      </x:c>
    </x:row>
    <x:row r="411" ht="23" customHeight="1">
      <x:c r="A411" s="11" t="str">
        <x:v>I061</x:v>
      </x:c>
      <x:c r="B411" s="11" t="str">
        <x:v>01211.HK</x:v>
      </x:c>
      <x:c r="C411" s="11" t="str">
        <x:v>RDCNYmillion</x:v>
      </x:c>
      <x:c r="D411" s="39" t="n">
        <x:v>28860.958</x:v>
      </x:c>
      <x:c r="E411" s="11" t="str">
        <x:v>CNY</x:v>
      </x:c>
      <x:c r="F411" s="11" t="str">
        <x:v>million</x:v>
      </x:c>
      <x:c r="G411" s="11" t="str">
        <x:v>2026H1</x:v>
      </x:c>
      <x:c r="H411" s="11" t="str">
        <x:v>2026-08-29巨潮披露；封面2026年8月</x:v>
      </x:c>
      <x:c r="I411" s="11" t="str">
        <x:v>https://static.cninfo.com.cn/finalpage/2026-08-29/1225531835.PDF</x:v>
      </x:c>
      <x:c r="J411" s="11" t="str">
        <x:v>reported input; field suffix retains original scale</x:v>
      </x:c>
      <x:c r="K411" s="11" t="str">
        <x:v>待核</x:v>
      </x:c>
      <x:c r="L411" s="11" t="str">
        <x:v>精确发布时间未核验</x:v>
      </x:c>
      <x:c r="M411" s="11" t="str">
        <x:v>截止日前日期，盘中时分未核</x:v>
      </x:c>
    </x:row>
    <x:row r="412" ht="23" customHeight="1">
      <x:c r="A412" s="11" t="str">
        <x:v>I061</x:v>
      </x:c>
      <x:c r="B412" s="11" t="str">
        <x:v>01211.HK</x:v>
      </x:c>
      <x:c r="C412" s="11" t="str">
        <x:v>expensedRDCNYmillion</x:v>
      </x:c>
      <x:c r="D412" s="39" t="n">
        <x:v>23307.152</x:v>
      </x:c>
      <x:c r="E412" s="11" t="str">
        <x:v>CNY</x:v>
      </x:c>
      <x:c r="F412" s="11" t="str">
        <x:v>million</x:v>
      </x:c>
      <x:c r="G412" s="11" t="str">
        <x:v>2026H1</x:v>
      </x:c>
      <x:c r="H412" s="11" t="str">
        <x:v>2026-08-29巨潮披露；封面2026年8月</x:v>
      </x:c>
      <x:c r="I412" s="11" t="str">
        <x:v>https://static.cninfo.com.cn/finalpage/2026-08-29/1225531835.PDF</x:v>
      </x:c>
      <x:c r="J412" s="11" t="str">
        <x:v>reported input; field suffix retains original scale</x:v>
      </x:c>
      <x:c r="K412" s="11" t="str">
        <x:v>待核</x:v>
      </x:c>
      <x:c r="L412" s="11" t="str">
        <x:v>精确发布时间未核验</x:v>
      </x:c>
      <x:c r="M412" s="11" t="str">
        <x:v>截止日前日期，盘中时分未核</x:v>
      </x:c>
    </x:row>
    <x:row r="413" ht="23" customHeight="1">
      <x:c r="A413" s="11" t="str">
        <x:v>I061</x:v>
      </x:c>
      <x:c r="B413" s="11" t="str">
        <x:v>01211.HK</x:v>
      </x:c>
      <x:c r="C413" s="11" t="str">
        <x:v>capitalizedRDCNYmillion</x:v>
      </x:c>
      <x:c r="D413" s="39" t="n">
        <x:v>5553.806</x:v>
      </x:c>
      <x:c r="E413" s="11" t="str">
        <x:v>CNY</x:v>
      </x:c>
      <x:c r="F413" s="11" t="str">
        <x:v>million</x:v>
      </x:c>
      <x:c r="G413" s="11" t="str">
        <x:v>2026H1</x:v>
      </x:c>
      <x:c r="H413" s="11" t="str">
        <x:v>2026-08-29巨潮披露；封面2026年8月</x:v>
      </x:c>
      <x:c r="I413" s="11" t="str">
        <x:v>https://static.cninfo.com.cn/finalpage/2026-08-29/1225531835.PDF</x:v>
      </x:c>
      <x:c r="J413" s="11" t="str">
        <x:v>reported input; field suffix retains original scale</x:v>
      </x:c>
      <x:c r="K413" s="11" t="str">
        <x:v>待核</x:v>
      </x:c>
      <x:c r="L413" s="11" t="str">
        <x:v>精确发布时间未核验</x:v>
      </x:c>
      <x:c r="M413" s="11" t="str">
        <x:v>截止日前日期，盘中时分未核</x:v>
      </x:c>
    </x:row>
    <x:row r="414" ht="23" customHeight="1">
      <x:c r="A414" s="11" t="str">
        <x:v>I061</x:v>
      </x:c>
      <x:c r="B414" s="11" t="str">
        <x:v>01211.HK</x:v>
      </x:c>
      <x:c r="C414" s="11" t="str">
        <x:v>capitalizedRD2025H1CNYmillion</x:v>
      </x:c>
      <x:c r="D414" s="39" t="n">
        <x:v>1283.973</x:v>
      </x:c>
      <x:c r="E414" s="11" t="str">
        <x:v>CNY</x:v>
      </x:c>
      <x:c r="F414" s="11" t="str">
        <x:v>million</x:v>
      </x:c>
      <x:c r="G414" s="11" t="str">
        <x:v>2026H1</x:v>
      </x:c>
      <x:c r="H414" s="11" t="str">
        <x:v>2026-08-29巨潮披露；封面2026年8月</x:v>
      </x:c>
      <x:c r="I414" s="11" t="str">
        <x:v>https://static.cninfo.com.cn/finalpage/2026-08-29/1225531835.PDF</x:v>
      </x:c>
      <x:c r="J414" s="11" t="str">
        <x:v>reported input; field suffix retains original scale</x:v>
      </x:c>
      <x:c r="K414" s="11" t="str">
        <x:v>待核</x:v>
      </x:c>
      <x:c r="L414" s="11" t="str">
        <x:v>精确发布时间未核验</x:v>
      </x:c>
      <x:c r="M414" s="11" t="str">
        <x:v>截止日前日期，盘中时分未核</x:v>
      </x:c>
    </x:row>
    <x:row r="415" ht="23" customHeight="1">
      <x:c r="A415" s="11" t="str">
        <x:v>I061</x:v>
      </x:c>
      <x:c r="B415" s="11" t="str">
        <x:v>01211.HK</x:v>
      </x:c>
      <x:c r="C415" s="11" t="str">
        <x:v>autoRelatedRevenueCNYmillion</x:v>
      </x:c>
      <x:c r="D415" s="39" t="n">
        <x:v>275341.358</x:v>
      </x:c>
      <x:c r="E415" s="11" t="str">
        <x:v>CNY</x:v>
      </x:c>
      <x:c r="F415" s="11" t="str">
        <x:v>million</x:v>
      </x:c>
      <x:c r="G415" s="11" t="str">
        <x:v>2026H1</x:v>
      </x:c>
      <x:c r="H415" s="11" t="str">
        <x:v>2026-08-29巨潮披露；封面2026年8月</x:v>
      </x:c>
      <x:c r="I415" s="11" t="str">
        <x:v>https://static.cninfo.com.cn/finalpage/2026-08-29/1225531835.PDF</x:v>
      </x:c>
      <x:c r="J415" s="11" t="str">
        <x:v>reported input; field suffix retains original scale</x:v>
      </x:c>
      <x:c r="K415" s="11" t="str">
        <x:v>待核</x:v>
      </x:c>
      <x:c r="L415" s="11" t="str">
        <x:v>精确发布时间未核验</x:v>
      </x:c>
      <x:c r="M415" s="11" t="str">
        <x:v>截止日前日期，盘中时分未核</x:v>
      </x:c>
    </x:row>
    <x:row r="416" ht="23" customHeight="1">
      <x:c r="A416" s="11" t="str">
        <x:v>I061</x:v>
      </x:c>
      <x:c r="B416" s="11" t="str">
        <x:v>01211.HK</x:v>
      </x:c>
      <x:c r="C416" s="11" t="str">
        <x:v>autoRelatedGrossMargin</x:v>
      </x:c>
      <x:c r="D416" s="39" t="n">
        <x:v>0.2233</x:v>
      </x:c>
      <x:c r="E416" s="11" t="str">
        <x:v>CNY</x:v>
      </x:c>
      <x:c r="F416" s="11" t="str">
        <x:v>fraction</x:v>
      </x:c>
      <x:c r="G416" s="11" t="str">
        <x:v>2026H1</x:v>
      </x:c>
      <x:c r="H416" s="11" t="str">
        <x:v>2026-08-29巨潮披露；封面2026年8月</x:v>
      </x:c>
      <x:c r="I416" s="11" t="str">
        <x:v>https://static.cninfo.com.cn/finalpage/2026-08-29/1225531835.PDF</x:v>
      </x:c>
      <x:c r="J416" s="11" t="str">
        <x:v>reported input; field suffix retains original scale</x:v>
      </x:c>
      <x:c r="K416" s="11" t="str">
        <x:v>待核</x:v>
      </x:c>
      <x:c r="L416" s="11" t="str">
        <x:v>精确发布时间未核验</x:v>
      </x:c>
      <x:c r="M416" s="11" t="str">
        <x:v>截止日前日期，盘中时分未核</x:v>
      </x:c>
    </x:row>
    <x:row r="417" ht="23" customHeight="1">
      <x:c r="A417" s="11" t="str">
        <x:v>I061</x:v>
      </x:c>
      <x:c r="B417" s="11" t="str">
        <x:v>01211.HK</x:v>
      </x:c>
      <x:c r="C417" s="11" t="str">
        <x:v>electronicsRevenueCNYmillion</x:v>
      </x:c>
      <x:c r="D417" s="39" t="n">
        <x:v>69404.994</x:v>
      </x:c>
      <x:c r="E417" s="11" t="str">
        <x:v>CNY</x:v>
      </x:c>
      <x:c r="F417" s="11" t="str">
        <x:v>million</x:v>
      </x:c>
      <x:c r="G417" s="11" t="str">
        <x:v>2026H1</x:v>
      </x:c>
      <x:c r="H417" s="11" t="str">
        <x:v>2026-08-29巨潮披露；封面2026年8月</x:v>
      </x:c>
      <x:c r="I417" s="11" t="str">
        <x:v>https://static.cninfo.com.cn/finalpage/2026-08-29/1225531835.PDF</x:v>
      </x:c>
      <x:c r="J417" s="11" t="str">
        <x:v>reported input; field suffix retains original scale</x:v>
      </x:c>
      <x:c r="K417" s="11" t="str">
        <x:v>待核</x:v>
      </x:c>
      <x:c r="L417" s="11" t="str">
        <x:v>精确发布时间未核验</x:v>
      </x:c>
      <x:c r="M417" s="11" t="str">
        <x:v>截止日前日期，盘中时分未核</x:v>
      </x:c>
    </x:row>
    <x:row r="418" ht="23" customHeight="1">
      <x:c r="A418" s="11" t="str">
        <x:v>I061</x:v>
      </x:c>
      <x:c r="B418" s="11" t="str">
        <x:v>01211.HK</x:v>
      </x:c>
      <x:c r="C418" s="11" t="str">
        <x:v>electronicsGrossMargin</x:v>
      </x:c>
      <x:c r="D418" s="39" t="n">
        <x:v>0.0504</x:v>
      </x:c>
      <x:c r="E418" s="11" t="str">
        <x:v>CNY</x:v>
      </x:c>
      <x:c r="F418" s="11" t="str">
        <x:v>fraction</x:v>
      </x:c>
      <x:c r="G418" s="11" t="str">
        <x:v>2026H1</x:v>
      </x:c>
      <x:c r="H418" s="11" t="str">
        <x:v>2026-08-29巨潮披露；封面2026年8月</x:v>
      </x:c>
      <x:c r="I418" s="11" t="str">
        <x:v>https://static.cninfo.com.cn/finalpage/2026-08-29/1225531835.PDF</x:v>
      </x:c>
      <x:c r="J418" s="11" t="str">
        <x:v>reported input; field suffix retains original scale</x:v>
      </x:c>
      <x:c r="K418" s="11" t="str">
        <x:v>待核</x:v>
      </x:c>
      <x:c r="L418" s="11" t="str">
        <x:v>精确发布时间未核验</x:v>
      </x:c>
      <x:c r="M418" s="11" t="str">
        <x:v>截止日前日期，盘中时分未核</x:v>
      </x:c>
    </x:row>
    <x:row r="419" ht="23" customHeight="1">
      <x:c r="A419" s="11" t="str">
        <x:v>I061</x:v>
      </x:c>
      <x:c r="B419" s="11" t="str">
        <x:v>01211.HK</x:v>
      </x:c>
      <x:c r="C419" s="11" t="str">
        <x:v>ChinaRevenueCNYmillion</x:v>
      </x:c>
      <x:c r="D419" s="39" t="n">
        <x:v>163547.247</x:v>
      </x:c>
      <x:c r="E419" s="11" t="str">
        <x:v>CNY</x:v>
      </x:c>
      <x:c r="F419" s="11" t="str">
        <x:v>million</x:v>
      </x:c>
      <x:c r="G419" s="11" t="str">
        <x:v>2026H1</x:v>
      </x:c>
      <x:c r="H419" s="11" t="str">
        <x:v>2026-08-29巨潮披露；封面2026年8月</x:v>
      </x:c>
      <x:c r="I419" s="11" t="str">
        <x:v>https://static.cninfo.com.cn/finalpage/2026-08-29/1225531835.PDF</x:v>
      </x:c>
      <x:c r="J419" s="11" t="str">
        <x:v>reported input; field suffix retains original scale</x:v>
      </x:c>
      <x:c r="K419" s="11" t="str">
        <x:v>待核</x:v>
      </x:c>
      <x:c r="L419" s="11" t="str">
        <x:v>精确发布时间未核验</x:v>
      </x:c>
      <x:c r="M419" s="11" t="str">
        <x:v>截止日前日期，盘中时分未核</x:v>
      </x:c>
    </x:row>
    <x:row r="420" ht="23" customHeight="1">
      <x:c r="A420" s="11" t="str">
        <x:v>I061</x:v>
      </x:c>
      <x:c r="B420" s="11" t="str">
        <x:v>01211.HK</x:v>
      </x:c>
      <x:c r="C420" s="11" t="str">
        <x:v>ChinaRevenueGrowthPct</x:v>
      </x:c>
      <x:c r="D420" s="39" t="n">
        <x:v>-30.68</x:v>
      </x:c>
      <x:c r="E420" s="11" t="str">
        <x:v>CNY</x:v>
      </x:c>
      <x:c r="F420" s="11" t="str">
        <x:v>percentage points (percent value)</x:v>
      </x:c>
      <x:c r="G420" s="11" t="str">
        <x:v>2026H1</x:v>
      </x:c>
      <x:c r="H420" s="11" t="str">
        <x:v>2026-08-29巨潮披露；封面2026年8月</x:v>
      </x:c>
      <x:c r="I420" s="11" t="str">
        <x:v>https://static.cninfo.com.cn/finalpage/2026-08-29/1225531835.PDF</x:v>
      </x:c>
      <x:c r="J420" s="11" t="str">
        <x:v>reported input; field suffix retains original scale</x:v>
      </x:c>
      <x:c r="K420" s="11" t="str">
        <x:v>待核</x:v>
      </x:c>
      <x:c r="L420" s="11" t="str">
        <x:v>精确发布时间未核验</x:v>
      </x:c>
      <x:c r="M420" s="11" t="str">
        <x:v>截止日前日期，盘中时分未核</x:v>
      </x:c>
    </x:row>
    <x:row r="421" ht="23" customHeight="1">
      <x:c r="A421" s="11" t="str">
        <x:v>I061</x:v>
      </x:c>
      <x:c r="B421" s="11" t="str">
        <x:v>01211.HK</x:v>
      </x:c>
      <x:c r="C421" s="11" t="str">
        <x:v>outsideChinaRevenueCNYmillion</x:v>
      </x:c>
      <x:c r="D421" s="39" t="n">
        <x:v>181268.174</x:v>
      </x:c>
      <x:c r="E421" s="11" t="str">
        <x:v>CNY</x:v>
      </x:c>
      <x:c r="F421" s="11" t="str">
        <x:v>million</x:v>
      </x:c>
      <x:c r="G421" s="11" t="str">
        <x:v>2026H1</x:v>
      </x:c>
      <x:c r="H421" s="11" t="str">
        <x:v>2026-08-29巨潮披露；封面2026年8月</x:v>
      </x:c>
      <x:c r="I421" s="11" t="str">
        <x:v>https://static.cninfo.com.cn/finalpage/2026-08-29/1225531835.PDF</x:v>
      </x:c>
      <x:c r="J421" s="11" t="str">
        <x:v>reported input; field suffix retains original scale</x:v>
      </x:c>
      <x:c r="K421" s="11" t="str">
        <x:v>待核</x:v>
      </x:c>
      <x:c r="L421" s="11" t="str">
        <x:v>精确发布时间未核验</x:v>
      </x:c>
      <x:c r="M421" s="11" t="str">
        <x:v>截止日前日期，盘中时分未核</x:v>
      </x:c>
    </x:row>
    <x:row r="422" ht="23" customHeight="1">
      <x:c r="A422" s="11" t="str">
        <x:v>I061</x:v>
      </x:c>
      <x:c r="B422" s="11" t="str">
        <x:v>01211.HK</x:v>
      </x:c>
      <x:c r="C422" s="11" t="str">
        <x:v>outsideChinaRevenueGrowthPct</x:v>
      </x:c>
      <x:c r="D422" s="39" t="n">
        <x:v>33.92</x:v>
      </x:c>
      <x:c r="E422" s="11" t="str">
        <x:v>CNY</x:v>
      </x:c>
      <x:c r="F422" s="11" t="str">
        <x:v>percentage points (percent value)</x:v>
      </x:c>
      <x:c r="G422" s="11" t="str">
        <x:v>2026H1</x:v>
      </x:c>
      <x:c r="H422" s="11" t="str">
        <x:v>2026-08-29巨潮披露；封面2026年8月</x:v>
      </x:c>
      <x:c r="I422" s="11" t="str">
        <x:v>https://static.cninfo.com.cn/finalpage/2026-08-29/1225531835.PDF</x:v>
      </x:c>
      <x:c r="J422" s="11" t="str">
        <x:v>reported input; field suffix retains original scale</x:v>
      </x:c>
      <x:c r="K422" s="11" t="str">
        <x:v>待核</x:v>
      </x:c>
      <x:c r="L422" s="11" t="str">
        <x:v>精确发布时间未核验</x:v>
      </x:c>
      <x:c r="M422" s="11" t="str">
        <x:v>截止日前日期，盘中时分未核</x:v>
      </x:c>
    </x:row>
    <x:row r="423" ht="23" customHeight="1">
      <x:c r="A423" s="11" t="str">
        <x:v>I061</x:v>
      </x:c>
      <x:c r="B423" s="11" t="str">
        <x:v>01211.HK</x:v>
      </x:c>
      <x:c r="C423" s="11" t="str">
        <x:v>exportsH1VehiclesRounded</x:v>
      </x:c>
      <x:c r="D423" s="39" t="n">
        <x:v>792000</x:v>
      </x:c>
      <x:c r="E423" s="11" t="str">
        <x:v>CNY</x:v>
      </x:c>
      <x:c r="F423" s="11" t="str">
        <x:v>mixed; see fieldMetadata and original field suffix</x:v>
      </x:c>
      <x:c r="G423" s="11" t="str">
        <x:v>2026H1</x:v>
      </x:c>
      <x:c r="H423" s="11" t="str">
        <x:v>2026-08-29巨潮披露；封面2026年8月</x:v>
      </x:c>
      <x:c r="I423" s="11" t="str">
        <x:v>https://static.cninfo.com.cn/finalpage/2026-08-29/1225531835.PDF</x:v>
      </x:c>
      <x:c r="J423" s="11" t="str">
        <x:v>reported input; field suffix retains original scale</x:v>
      </x:c>
      <x:c r="K423" s="11" t="str">
        <x:v>待核</x:v>
      </x:c>
      <x:c r="L423" s="11" t="str">
        <x:v>精确发布时间未核验</x:v>
      </x:c>
      <x:c r="M423" s="11" t="str">
        <x:v>截止日前日期，盘中时分未核</x:v>
      </x:c>
    </x:row>
    <x:row r="424" ht="23" customHeight="1">
      <x:c r="A424" s="11" t="str">
        <x:v>I061</x:v>
      </x:c>
      <x:c r="B424" s="11" t="str">
        <x:v>01211.HK</x:v>
      </x:c>
      <x:c r="C424" s="11" t="str">
        <x:v>exportsH1GrowthPct</x:v>
      </x:c>
      <x:c r="D424" s="39" t="n">
        <x:v>67.8</x:v>
      </x:c>
      <x:c r="E424" s="11" t="str">
        <x:v>CNY</x:v>
      </x:c>
      <x:c r="F424" s="11" t="str">
        <x:v>percentage points (percent value)</x:v>
      </x:c>
      <x:c r="G424" s="11" t="str">
        <x:v>2026H1</x:v>
      </x:c>
      <x:c r="H424" s="11" t="str">
        <x:v>2026-08-29巨潮披露；封面2026年8月</x:v>
      </x:c>
      <x:c r="I424" s="11" t="str">
        <x:v>https://static.cninfo.com.cn/finalpage/2026-08-29/1225531835.PDF</x:v>
      </x:c>
      <x:c r="J424" s="11" t="str">
        <x:v>reported input; field suffix retains original scale</x:v>
      </x:c>
      <x:c r="K424" s="11" t="str">
        <x:v>待核</x:v>
      </x:c>
      <x:c r="L424" s="11" t="str">
        <x:v>精确发布时间未核验</x:v>
      </x:c>
      <x:c r="M424" s="11" t="str">
        <x:v>截止日前日期，盘中时分未核</x:v>
      </x:c>
    </x:row>
    <x:row r="425" ht="23" customHeight="1">
      <x:c r="A425" s="11" t="str">
        <x:v>I061</x:v>
      </x:c>
      <x:c r="B425" s="11" t="str">
        <x:v>01211.HK</x:v>
      </x:c>
      <x:c r="C425" s="11" t="str">
        <x:v>highEndCombinedVehicleGrowthPct</x:v>
      </x:c>
      <x:c r="D425" s="39" t="n">
        <x:v>61</x:v>
      </x:c>
      <x:c r="E425" s="11" t="str">
        <x:v>CNY</x:v>
      </x:c>
      <x:c r="F425" s="11" t="str">
        <x:v>percentage points (percent value)</x:v>
      </x:c>
      <x:c r="G425" s="11" t="str">
        <x:v>2026H1</x:v>
      </x:c>
      <x:c r="H425" s="11" t="str">
        <x:v>2026-08-29巨潮披露；封面2026年8月</x:v>
      </x:c>
      <x:c r="I425" s="11" t="str">
        <x:v>https://static.cninfo.com.cn/finalpage/2026-08-29/1225531835.PDF</x:v>
      </x:c>
      <x:c r="J425" s="11" t="str">
        <x:v>reported input; field suffix retains original scale</x:v>
      </x:c>
      <x:c r="K425" s="11" t="str">
        <x:v>待核</x:v>
      </x:c>
      <x:c r="L425" s="11" t="str">
        <x:v>精确发布时间未核验</x:v>
      </x:c>
      <x:c r="M425" s="11" t="str">
        <x:v>截止日前日期，盘中时分未核</x:v>
      </x:c>
    </x:row>
    <x:row r="426" ht="23" customHeight="1">
      <x:c r="A426" s="11" t="str">
        <x:v>I061</x:v>
      </x:c>
      <x:c r="B426" s="11" t="str">
        <x:v>01211.HK</x:v>
      </x:c>
      <x:c r="C426" s="11" t="str">
        <x:v>highEndCombinedPassengerShare</x:v>
      </x:c>
      <x:c r="D426" s="39" t="n">
        <x:v>0.128</x:v>
      </x:c>
      <x:c r="E426" s="11" t="str">
        <x:v>CNY</x:v>
      </x:c>
      <x:c r="F426" s="11" t="str">
        <x:v>fraction</x:v>
      </x:c>
      <x:c r="G426" s="11" t="str">
        <x:v>2026H1</x:v>
      </x:c>
      <x:c r="H426" s="11" t="str">
        <x:v>2026-08-29巨潮披露；封面2026年8月</x:v>
      </x:c>
      <x:c r="I426" s="11" t="str">
        <x:v>https://static.cninfo.com.cn/finalpage/2026-08-29/1225531835.PDF</x:v>
      </x:c>
      <x:c r="J426" s="11" t="str">
        <x:v>reported input; field suffix retains original scale</x:v>
      </x:c>
      <x:c r="K426" s="11" t="str">
        <x:v>待核</x:v>
      </x:c>
      <x:c r="L426" s="11" t="str">
        <x:v>精确发布时间未核验</x:v>
      </x:c>
      <x:c r="M426" s="11" t="str">
        <x:v>截止日前日期，盘中时分未核</x:v>
      </x:c>
    </x:row>
    <x:row r="427" ht="23" customHeight="1">
      <x:c r="A427" s="11" t="str">
        <x:v>I061</x:v>
      </x:c>
      <x:c r="B427" s="11" t="str">
        <x:v>01211.HK</x:v>
      </x:c>
      <x:c r="C427" s="11" t="str">
        <x:v>weightedDilutedSharesBillion</x:v>
      </x:c>
      <x:c r="D427" s="39" t="n">
        <x:v>9.085053</x:v>
      </x:c>
      <x:c r="E427" s="11" t="str">
        <x:v>CNY</x:v>
      </x:c>
      <x:c r="F427" s="11" t="str">
        <x:v>billion shares</x:v>
      </x:c>
      <x:c r="G427" s="11" t="str">
        <x:v>2026H1</x:v>
      </x:c>
      <x:c r="H427" s="11" t="str">
        <x:v>2026-08-29巨潮披露；封面2026年8月</x:v>
      </x:c>
      <x:c r="I427" s="11" t="str">
        <x:v>https://static.cninfo.com.cn/finalpage/2026-08-29/1225531835.PDF</x:v>
      </x:c>
      <x:c r="J427" s="11" t="str">
        <x:v>reported input; field suffix retains original scale</x:v>
      </x:c>
      <x:c r="K427" s="11" t="str">
        <x:v>待核</x:v>
      </x:c>
      <x:c r="L427" s="11" t="str">
        <x:v>精确发布时间未核验</x:v>
      </x:c>
      <x:c r="M427" s="11" t="str">
        <x:v>截止日前日期，盘中时分未核</x:v>
      </x:c>
    </x:row>
    <x:row r="428" ht="23" customHeight="1">
      <x:c r="A428" s="11" t="str">
        <x:v>I061</x:v>
      </x:c>
      <x:c r="B428" s="11" t="str">
        <x:v>01211.HK</x:v>
      </x:c>
      <x:c r="C428" s="11" t="str">
        <x:v>issuedShares</x:v>
      </x:c>
      <x:c r="D428" s="39" t="n">
        <x:v>9117197565</x:v>
      </x:c>
      <x:c r="E428" s="11" t="str">
        <x:v>CNY</x:v>
      </x:c>
      <x:c r="F428" s="11" t="str">
        <x:v>shares</x:v>
      </x:c>
      <x:c r="G428" s="11" t="str">
        <x:v>2026H1</x:v>
      </x:c>
      <x:c r="H428" s="11" t="str">
        <x:v>2026-08-29巨潮披露；封面2026年8月</x:v>
      </x:c>
      <x:c r="I428" s="11" t="str">
        <x:v>https://static.cninfo.com.cn/finalpage/2026-08-29/1225531835.PDF</x:v>
      </x:c>
      <x:c r="J428" s="11" t="str">
        <x:v>reported input; field suffix retains original scale</x:v>
      </x:c>
      <x:c r="K428" s="11" t="str">
        <x:v>待核</x:v>
      </x:c>
      <x:c r="L428" s="11" t="str">
        <x:v>精确发布时间未核验</x:v>
      </x:c>
      <x:c r="M428" s="11" t="str">
        <x:v>截止日前日期，盘中时分未核</x:v>
      </x:c>
    </x:row>
    <x:row r="429" ht="23" customHeight="1">
      <x:c r="A429" s="11" t="str">
        <x:v>I063</x:v>
      </x:c>
      <x:c r="B429" s="11" t="str">
        <x:v>03750.HK</x:v>
      </x:c>
      <x:c r="C429" s="11" t="str">
        <x:v>revenueCNYmillion</x:v>
      </x:c>
      <x:c r="D429" s="39" t="n">
        <x:v>423701.834</x:v>
      </x:c>
      <x:c r="E429" s="11" t="str">
        <x:v>CNY</x:v>
      </x:c>
      <x:c r="F429" s="11" t="str">
        <x:v>million</x:v>
      </x:c>
      <x:c r="G429" s="11" t="str">
        <x:v>FY2025</x:v>
      </x:c>
      <x:c r="H429" s="11" t="str">
        <x:v>2026-03-10巨潮年报披露</x:v>
      </x:c>
      <x:c r="I429" s="11" t="str">
        <x:v>https://static.cninfo.com.cn/finalpage/2026-03-10/1225002214.PDF</x:v>
      </x:c>
      <x:c r="J429" s="11" t="str">
        <x:v>reported input or research-defined grouping; see original suffix and notes</x:v>
      </x:c>
      <x:c r="K429" s="11" t="str">
        <x:v>待核</x:v>
      </x:c>
      <x:c r="L429" s="11" t="str">
        <x:v>精确发布时间未核验</x:v>
      </x:c>
      <x:c r="M429" s="11" t="str">
        <x:v>截止日前日期，盘中时分未核</x:v>
      </x:c>
    </x:row>
    <x:row r="430" ht="23" customHeight="1">
      <x:c r="A430" s="11" t="str">
        <x:v>I063</x:v>
      </x:c>
      <x:c r="B430" s="11" t="str">
        <x:v>03750.HK</x:v>
      </x:c>
      <x:c r="C430" s="11" t="str">
        <x:v>revenue2024CNYmillion</x:v>
      </x:c>
      <x:c r="D430" s="39" t="n">
        <x:v>362012.554</x:v>
      </x:c>
      <x:c r="E430" s="11" t="str">
        <x:v>CNY</x:v>
      </x:c>
      <x:c r="F430" s="11" t="str">
        <x:v>million</x:v>
      </x:c>
      <x:c r="G430" s="11" t="str">
        <x:v>FY2025</x:v>
      </x:c>
      <x:c r="H430" s="11" t="str">
        <x:v>2026-03-10巨潮年报披露</x:v>
      </x:c>
      <x:c r="I430" s="11" t="str">
        <x:v>https://static.cninfo.com.cn/finalpage/2026-03-10/1225002214.PDF</x:v>
      </x:c>
      <x:c r="J430" s="11" t="str">
        <x:v>reported input or research-defined grouping; see original suffix and notes</x:v>
      </x:c>
      <x:c r="K430" s="11" t="str">
        <x:v>待核</x:v>
      </x:c>
      <x:c r="L430" s="11" t="str">
        <x:v>精确发布时间未核验</x:v>
      </x:c>
      <x:c r="M430" s="11" t="str">
        <x:v>截止日前日期，盘中时分未核</x:v>
      </x:c>
    </x:row>
    <x:row r="431" ht="23" customHeight="1">
      <x:c r="A431" s="11" t="str">
        <x:v>I063</x:v>
      </x:c>
      <x:c r="B431" s="11" t="str">
        <x:v>03750.HK</x:v>
      </x:c>
      <x:c r="C431" s="11" t="str">
        <x:v>revenue2023CNYmillion</x:v>
      </x:c>
      <x:c r="D431" s="39" t="n">
        <x:v>400917.045</x:v>
      </x:c>
      <x:c r="E431" s="11" t="str">
        <x:v>CNY</x:v>
      </x:c>
      <x:c r="F431" s="11" t="str">
        <x:v>million</x:v>
      </x:c>
      <x:c r="G431" s="11" t="str">
        <x:v>FY2025</x:v>
      </x:c>
      <x:c r="H431" s="11" t="str">
        <x:v>2026-03-10巨潮年报披露</x:v>
      </x:c>
      <x:c r="I431" s="11" t="str">
        <x:v>https://static.cninfo.com.cn/finalpage/2026-03-10/1225002214.PDF</x:v>
      </x:c>
      <x:c r="J431" s="11" t="str">
        <x:v>reported input or research-defined grouping; see original suffix and notes</x:v>
      </x:c>
      <x:c r="K431" s="11" t="str">
        <x:v>待核</x:v>
      </x:c>
      <x:c r="L431" s="11" t="str">
        <x:v>精确发布时间未核验</x:v>
      </x:c>
      <x:c r="M431" s="11" t="str">
        <x:v>截止日前日期，盘中时分未核</x:v>
      </x:c>
    </x:row>
    <x:row r="432" ht="23" customHeight="1">
      <x:c r="A432" s="11" t="str">
        <x:v>I063</x:v>
      </x:c>
      <x:c r="B432" s="11" t="str">
        <x:v>03750.HK</x:v>
      </x:c>
      <x:c r="C432" s="11" t="str">
        <x:v>profitAttributableCNYmillion</x:v>
      </x:c>
      <x:c r="D432" s="39" t="n">
        <x:v>72201.282</x:v>
      </x:c>
      <x:c r="E432" s="11" t="str">
        <x:v>CNY</x:v>
      </x:c>
      <x:c r="F432" s="11" t="str">
        <x:v>million</x:v>
      </x:c>
      <x:c r="G432" s="11" t="str">
        <x:v>FY2025</x:v>
      </x:c>
      <x:c r="H432" s="11" t="str">
        <x:v>2026-03-10巨潮年报披露</x:v>
      </x:c>
      <x:c r="I432" s="11" t="str">
        <x:v>https://static.cninfo.com.cn/finalpage/2026-03-10/1225002214.PDF</x:v>
      </x:c>
      <x:c r="J432" s="11" t="str">
        <x:v>reported input or research-defined grouping; see original suffix and notes</x:v>
      </x:c>
      <x:c r="K432" s="11" t="str">
        <x:v>待核</x:v>
      </x:c>
      <x:c r="L432" s="11" t="str">
        <x:v>精确发布时间未核验</x:v>
      </x:c>
      <x:c r="M432" s="11" t="str">
        <x:v>截止日前日期，盘中时分未核</x:v>
      </x:c>
    </x:row>
    <x:row r="433" ht="23" customHeight="1">
      <x:c r="A433" s="11" t="str">
        <x:v>I063</x:v>
      </x:c>
      <x:c r="B433" s="11" t="str">
        <x:v>03750.HK</x:v>
      </x:c>
      <x:c r="C433" s="11" t="str">
        <x:v>profitAttributable2024CNYmillion</x:v>
      </x:c>
      <x:c r="D433" s="39" t="n">
        <x:v>50744.682</x:v>
      </x:c>
      <x:c r="E433" s="11" t="str">
        <x:v>CNY</x:v>
      </x:c>
      <x:c r="F433" s="11" t="str">
        <x:v>million</x:v>
      </x:c>
      <x:c r="G433" s="11" t="str">
        <x:v>FY2025</x:v>
      </x:c>
      <x:c r="H433" s="11" t="str">
        <x:v>2026-03-10巨潮年报披露</x:v>
      </x:c>
      <x:c r="I433" s="11" t="str">
        <x:v>https://static.cninfo.com.cn/finalpage/2026-03-10/1225002214.PDF</x:v>
      </x:c>
      <x:c r="J433" s="11" t="str">
        <x:v>reported input or research-defined grouping; see original suffix and notes</x:v>
      </x:c>
      <x:c r="K433" s="11" t="str">
        <x:v>待核</x:v>
      </x:c>
      <x:c r="L433" s="11" t="str">
        <x:v>精确发布时间未核验</x:v>
      </x:c>
      <x:c r="M433" s="11" t="str">
        <x:v>截止日前日期，盘中时分未核</x:v>
      </x:c>
    </x:row>
    <x:row r="434" ht="23" customHeight="1">
      <x:c r="A434" s="11" t="str">
        <x:v>I063</x:v>
      </x:c>
      <x:c r="B434" s="11" t="str">
        <x:v>03750.HK</x:v>
      </x:c>
      <x:c r="C434" s="11" t="str">
        <x:v>profitAttributable2023CNYmillion</x:v>
      </x:c>
      <x:c r="D434" s="39" t="n">
        <x:v>44121.248</x:v>
      </x:c>
      <x:c r="E434" s="11" t="str">
        <x:v>CNY</x:v>
      </x:c>
      <x:c r="F434" s="11" t="str">
        <x:v>million</x:v>
      </x:c>
      <x:c r="G434" s="11" t="str">
        <x:v>FY2025</x:v>
      </x:c>
      <x:c r="H434" s="11" t="str">
        <x:v>2026-03-10巨潮年报披露</x:v>
      </x:c>
      <x:c r="I434" s="11" t="str">
        <x:v>https://static.cninfo.com.cn/finalpage/2026-03-10/1225002214.PDF</x:v>
      </x:c>
      <x:c r="J434" s="11" t="str">
        <x:v>reported input or research-defined grouping; see original suffix and notes</x:v>
      </x:c>
      <x:c r="K434" s="11" t="str">
        <x:v>待核</x:v>
      </x:c>
      <x:c r="L434" s="11" t="str">
        <x:v>精确发布时间未核验</x:v>
      </x:c>
      <x:c r="M434" s="11" t="str">
        <x:v>截止日前日期，盘中时分未核</x:v>
      </x:c>
    </x:row>
    <x:row r="435" ht="23" customHeight="1">
      <x:c r="A435" s="11" t="str">
        <x:v>I063</x:v>
      </x:c>
      <x:c r="B435" s="11" t="str">
        <x:v>03750.HK</x:v>
      </x:c>
      <x:c r="C435" s="11" t="str">
        <x:v>profitExNonRecurringCNYmillion</x:v>
      </x:c>
      <x:c r="D435" s="39" t="n">
        <x:v>64507.864</x:v>
      </x:c>
      <x:c r="E435" s="11" t="str">
        <x:v>CNY</x:v>
      </x:c>
      <x:c r="F435" s="11" t="str">
        <x:v>million</x:v>
      </x:c>
      <x:c r="G435" s="11" t="str">
        <x:v>FY2025</x:v>
      </x:c>
      <x:c r="H435" s="11" t="str">
        <x:v>2026-03-10巨潮年报披露</x:v>
      </x:c>
      <x:c r="I435" s="11" t="str">
        <x:v>https://static.cninfo.com.cn/finalpage/2026-03-10/1225002214.PDF</x:v>
      </x:c>
      <x:c r="J435" s="11" t="str">
        <x:v>reported input or research-defined grouping; see original suffix and notes</x:v>
      </x:c>
      <x:c r="K435" s="11" t="str">
        <x:v>待核</x:v>
      </x:c>
      <x:c r="L435" s="11" t="str">
        <x:v>精确发布时间未核验</x:v>
      </x:c>
      <x:c r="M435" s="11" t="str">
        <x:v>截止日前日期，盘中时分未核</x:v>
      </x:c>
    </x:row>
    <x:row r="436" ht="23" customHeight="1">
      <x:c r="A436" s="11" t="str">
        <x:v>I063</x:v>
      </x:c>
      <x:c r="B436" s="11" t="str">
        <x:v>03750.HK</x:v>
      </x:c>
      <x:c r="C436" s="11" t="str">
        <x:v>EPSCNY</x:v>
      </x:c>
      <x:c r="D436" s="39" t="n">
        <x:v>16.14</x:v>
      </x:c>
      <x:c r="E436" s="11" t="str">
        <x:v>CNY</x:v>
      </x:c>
      <x:c r="F436" s="11" t="str">
        <x:v>per ordinary share</x:v>
      </x:c>
      <x:c r="G436" s="11" t="str">
        <x:v>FY2025</x:v>
      </x:c>
      <x:c r="H436" s="11" t="str">
        <x:v>2026-03-10巨潮年报披露</x:v>
      </x:c>
      <x:c r="I436" s="11" t="str">
        <x:v>https://static.cninfo.com.cn/finalpage/2026-03-10/1225002214.PDF</x:v>
      </x:c>
      <x:c r="J436" s="11" t="str">
        <x:v>reported input or research-defined grouping; see original suffix and notes</x:v>
      </x:c>
      <x:c r="K436" s="11" t="str">
        <x:v>待核</x:v>
      </x:c>
      <x:c r="L436" s="11" t="str">
        <x:v>精确发布时间未核验</x:v>
      </x:c>
      <x:c r="M436" s="11" t="str">
        <x:v>截止日前日期，盘中时分未核</x:v>
      </x:c>
    </x:row>
    <x:row r="437" ht="23" customHeight="1">
      <x:c r="A437" s="11" t="str">
        <x:v>I063</x:v>
      </x:c>
      <x:c r="B437" s="11" t="str">
        <x:v>03750.HK</x:v>
      </x:c>
      <x:c r="C437" s="11" t="str">
        <x:v>OCFCNYmillion</x:v>
      </x:c>
      <x:c r="D437" s="39" t="n">
        <x:v>133219.982</x:v>
      </x:c>
      <x:c r="E437" s="11" t="str">
        <x:v>CNY</x:v>
      </x:c>
      <x:c r="F437" s="11" t="str">
        <x:v>million</x:v>
      </x:c>
      <x:c r="G437" s="11" t="str">
        <x:v>FY2025</x:v>
      </x:c>
      <x:c r="H437" s="11" t="str">
        <x:v>2026-03-10巨潮年报披露</x:v>
      </x:c>
      <x:c r="I437" s="11" t="str">
        <x:v>https://static.cninfo.com.cn/finalpage/2026-03-10/1225002214.PDF</x:v>
      </x:c>
      <x:c r="J437" s="11" t="str">
        <x:v>reported input or research-defined grouping; see original suffix and notes</x:v>
      </x:c>
      <x:c r="K437" s="11" t="str">
        <x:v>待核</x:v>
      </x:c>
      <x:c r="L437" s="11" t="str">
        <x:v>精确发布时间未核验</x:v>
      </x:c>
      <x:c r="M437" s="11" t="str">
        <x:v>截止日前日期，盘中时分未核</x:v>
      </x:c>
    </x:row>
    <x:row r="438" ht="23" customHeight="1">
      <x:c r="A438" s="11" t="str">
        <x:v>I063</x:v>
      </x:c>
      <x:c r="B438" s="11" t="str">
        <x:v>03750.HK</x:v>
      </x:c>
      <x:c r="C438" s="11" t="str">
        <x:v>cashLongAssetAcquisitionCNYmillion</x:v>
      </x:c>
      <x:c r="D438" s="39" t="n">
        <x:v>42344.558</x:v>
      </x:c>
      <x:c r="E438" s="11" t="str">
        <x:v>CNY</x:v>
      </x:c>
      <x:c r="F438" s="11" t="str">
        <x:v>million</x:v>
      </x:c>
      <x:c r="G438" s="11" t="str">
        <x:v>FY2025</x:v>
      </x:c>
      <x:c r="H438" s="11" t="str">
        <x:v>2026-03-10巨潮年报披露</x:v>
      </x:c>
      <x:c r="I438" s="11" t="str">
        <x:v>https://static.cninfo.com.cn/finalpage/2026-03-10/1225002214.PDF</x:v>
      </x:c>
      <x:c r="J438" s="11" t="str">
        <x:v>reported input or research-defined grouping; see original suffix and notes</x:v>
      </x:c>
      <x:c r="K438" s="11" t="str">
        <x:v>待核</x:v>
      </x:c>
      <x:c r="L438" s="11" t="str">
        <x:v>精确发布时间未核验</x:v>
      </x:c>
      <x:c r="M438" s="11" t="str">
        <x:v>截止日前日期，盘中时分未核</x:v>
      </x:c>
    </x:row>
    <x:row r="439" ht="23" customHeight="1">
      <x:c r="A439" s="11" t="str">
        <x:v>I063</x:v>
      </x:c>
      <x:c r="B439" s="11" t="str">
        <x:v>03750.HK</x:v>
      </x:c>
      <x:c r="C439" s="11" t="str">
        <x:v>FCFResearchProxyCNYmillion</x:v>
      </x:c>
      <x:c r="D439" s="39" t="n">
        <x:v>90875.424</x:v>
      </x:c>
      <x:c r="E439" s="11" t="str">
        <x:v>CNY</x:v>
      </x:c>
      <x:c r="F439" s="11" t="str">
        <x:v>million</x:v>
      </x:c>
      <x:c r="G439" s="11" t="str">
        <x:v>FY2025</x:v>
      </x:c>
      <x:c r="H439" s="11" t="str">
        <x:v>2026-03-10巨潮年报披露</x:v>
      </x:c>
      <x:c r="I439" s="11" t="str">
        <x:v>https://static.cninfo.com.cn/finalpage/2026-03-10/1225002214.PDF</x:v>
      </x:c>
      <x:c r="J439" s="11" t="str">
        <x:v>research calculation from primary inputs</x:v>
      </x:c>
      <x:c r="K439" s="11" t="str">
        <x:v>待核</x:v>
      </x:c>
      <x:c r="L439" s="11" t="str">
        <x:v>精确发布时间未核验</x:v>
      </x:c>
      <x:c r="M439" s="11" t="str">
        <x:v>截止日前日期，盘中时分未核</x:v>
      </x:c>
    </x:row>
    <x:row r="440" ht="23" customHeight="1">
      <x:c r="A440" s="11" t="str">
        <x:v>I063</x:v>
      </x:c>
      <x:c r="B440" s="11" t="str">
        <x:v>03750.HK</x:v>
      </x:c>
      <x:c r="C440" s="11" t="str">
        <x:v>RDCNYmillion</x:v>
      </x:c>
      <x:c r="D440" s="39" t="n">
        <x:v>22146.581</x:v>
      </x:c>
      <x:c r="E440" s="11" t="str">
        <x:v>CNY</x:v>
      </x:c>
      <x:c r="F440" s="11" t="str">
        <x:v>million</x:v>
      </x:c>
      <x:c r="G440" s="11" t="str">
        <x:v>FY2025</x:v>
      </x:c>
      <x:c r="H440" s="11" t="str">
        <x:v>2026-03-10巨潮年报披露</x:v>
      </x:c>
      <x:c r="I440" s="11" t="str">
        <x:v>https://static.cninfo.com.cn/finalpage/2026-03-10/1225002214.PDF</x:v>
      </x:c>
      <x:c r="J440" s="11" t="str">
        <x:v>reported input or research-defined grouping; see original suffix and notes</x:v>
      </x:c>
      <x:c r="K440" s="11" t="str">
        <x:v>待核</x:v>
      </x:c>
      <x:c r="L440" s="11" t="str">
        <x:v>精确发布时间未核验</x:v>
      </x:c>
      <x:c r="M440" s="11" t="str">
        <x:v>截止日前日期，盘中时分未核</x:v>
      </x:c>
    </x:row>
    <x:row r="441" ht="23" customHeight="1">
      <x:c r="A441" s="11" t="str">
        <x:v>I063</x:v>
      </x:c>
      <x:c r="B441" s="11" t="str">
        <x:v>03750.HK</x:v>
      </x:c>
      <x:c r="C441" s="11" t="str">
        <x:v>batterySalesGWh</x:v>
      </x:c>
      <x:c r="D441" s="39" t="n">
        <x:v>661</x:v>
      </x:c>
      <x:c r="E441" s="11" t="str">
        <x:v>not monetary</x:v>
      </x:c>
      <x:c r="F441" s="11" t="str">
        <x:v>GWh</x:v>
      </x:c>
      <x:c r="G441" s="11" t="str">
        <x:v>FY2025</x:v>
      </x:c>
      <x:c r="H441" s="11" t="str">
        <x:v>2026-03-10巨潮年报披露</x:v>
      </x:c>
      <x:c r="I441" s="11" t="str">
        <x:v>https://static.cninfo.com.cn/finalpage/2026-03-10/1225002214.PDF</x:v>
      </x:c>
      <x:c r="J441" s="11" t="str">
        <x:v>reported input or research-defined grouping; see original suffix and notes</x:v>
      </x:c>
      <x:c r="K441" s="11" t="str">
        <x:v>待核</x:v>
      </x:c>
      <x:c r="L441" s="11" t="str">
        <x:v>精确发布时间未核验</x:v>
      </x:c>
      <x:c r="M441" s="11" t="str">
        <x:v>截止日前日期，盘中时分未核</x:v>
      </x:c>
    </x:row>
    <x:row r="442" ht="23" customHeight="1">
      <x:c r="A442" s="11" t="str">
        <x:v>I063</x:v>
      </x:c>
      <x:c r="B442" s="11" t="str">
        <x:v>03750.HK</x:v>
      </x:c>
      <x:c r="C442" s="11" t="str">
        <x:v>batteryProductionGWh</x:v>
      </x:c>
      <x:c r="D442" s="39" t="n">
        <x:v>748</x:v>
      </x:c>
      <x:c r="E442" s="11" t="str">
        <x:v>not monetary</x:v>
      </x:c>
      <x:c r="F442" s="11" t="str">
        <x:v>GWh</x:v>
      </x:c>
      <x:c r="G442" s="11" t="str">
        <x:v>FY2025</x:v>
      </x:c>
      <x:c r="H442" s="11" t="str">
        <x:v>2026-03-10巨潮年报披露</x:v>
      </x:c>
      <x:c r="I442" s="11" t="str">
        <x:v>https://static.cninfo.com.cn/finalpage/2026-03-10/1225002214.PDF</x:v>
      </x:c>
      <x:c r="J442" s="11" t="str">
        <x:v>reported input or research-defined grouping; see original suffix and notes</x:v>
      </x:c>
      <x:c r="K442" s="11" t="str">
        <x:v>待核</x:v>
      </x:c>
      <x:c r="L442" s="11" t="str">
        <x:v>精确发布时间未核验</x:v>
      </x:c>
      <x:c r="M442" s="11" t="str">
        <x:v>截止日前日期，盘中时分未核</x:v>
      </x:c>
    </x:row>
    <x:row r="443" ht="23" customHeight="1">
      <x:c r="A443" s="11" t="str">
        <x:v>I063</x:v>
      </x:c>
      <x:c r="B443" s="11" t="str">
        <x:v>03750.HK</x:v>
      </x:c>
      <x:c r="C443" s="11" t="str">
        <x:v>batteryCapacityGWh</x:v>
      </x:c>
      <x:c r="D443" s="39" t="n">
        <x:v>772</x:v>
      </x:c>
      <x:c r="E443" s="11" t="str">
        <x:v>not monetary</x:v>
      </x:c>
      <x:c r="F443" s="11" t="str">
        <x:v>GWh</x:v>
      </x:c>
      <x:c r="G443" s="11" t="str">
        <x:v>FY2025</x:v>
      </x:c>
      <x:c r="H443" s="11" t="str">
        <x:v>2026-03-10巨潮年报披露</x:v>
      </x:c>
      <x:c r="I443" s="11" t="str">
        <x:v>https://static.cninfo.com.cn/finalpage/2026-03-10/1225002214.PDF</x:v>
      </x:c>
      <x:c r="J443" s="11" t="str">
        <x:v>reported input or research-defined grouping; see original suffix and notes</x:v>
      </x:c>
      <x:c r="K443" s="11" t="str">
        <x:v>待核</x:v>
      </x:c>
      <x:c r="L443" s="11" t="str">
        <x:v>精确发布时间未核验</x:v>
      </x:c>
      <x:c r="M443" s="11" t="str">
        <x:v>截止日前日期，盘中时分未核</x:v>
      </x:c>
    </x:row>
    <x:row r="444" ht="23" customHeight="1">
      <x:c r="A444" s="11" t="str">
        <x:v>I063</x:v>
      </x:c>
      <x:c r="B444" s="11" t="str">
        <x:v>03750.HK</x:v>
      </x:c>
      <x:c r="C444" s="11" t="str">
        <x:v>capacityUtilization</x:v>
      </x:c>
      <x:c r="D444" s="39" t="n">
        <x:v>0.969</x:v>
      </x:c>
      <x:c r="E444" s="11" t="str">
        <x:v>CNY</x:v>
      </x:c>
      <x:c r="F444" s="11" t="str">
        <x:v>mixed; original field suffix retains scale</x:v>
      </x:c>
      <x:c r="G444" s="11" t="str">
        <x:v>FY2025</x:v>
      </x:c>
      <x:c r="H444" s="11" t="str">
        <x:v>2026-03-10巨潮年报披露</x:v>
      </x:c>
      <x:c r="I444" s="11" t="str">
        <x:v>https://static.cninfo.com.cn/finalpage/2026-03-10/1225002214.PDF</x:v>
      </x:c>
      <x:c r="J444" s="11" t="str">
        <x:v>reported input or research-defined grouping; see original suffix and notes</x:v>
      </x:c>
      <x:c r="K444" s="11" t="str">
        <x:v>待核</x:v>
      </x:c>
      <x:c r="L444" s="11" t="str">
        <x:v>精确发布时间未核验</x:v>
      </x:c>
      <x:c r="M444" s="11" t="str">
        <x:v>截止日前日期，盘中时分未核</x:v>
      </x:c>
    </x:row>
    <x:row r="445" ht="23" customHeight="1">
      <x:c r="A445" s="11" t="str">
        <x:v>I063</x:v>
      </x:c>
      <x:c r="B445" s="11" t="str">
        <x:v>03750.HK</x:v>
      </x:c>
      <x:c r="C445" s="11" t="str">
        <x:v>powerRevenueCNYmillion</x:v>
      </x:c>
      <x:c r="D445" s="39" t="n">
        <x:v>316506.369</x:v>
      </x:c>
      <x:c r="E445" s="11" t="str">
        <x:v>CNY</x:v>
      </x:c>
      <x:c r="F445" s="11" t="str">
        <x:v>million</x:v>
      </x:c>
      <x:c r="G445" s="11" t="str">
        <x:v>FY2025</x:v>
      </x:c>
      <x:c r="H445" s="11" t="str">
        <x:v>2026-03-10巨潮年报披露</x:v>
      </x:c>
      <x:c r="I445" s="11" t="str">
        <x:v>https://static.cninfo.com.cn/finalpage/2026-03-10/1225002214.PDF</x:v>
      </x:c>
      <x:c r="J445" s="11" t="str">
        <x:v>reported input or research-defined grouping; see original suffix and notes</x:v>
      </x:c>
      <x:c r="K445" s="11" t="str">
        <x:v>待核</x:v>
      </x:c>
      <x:c r="L445" s="11" t="str">
        <x:v>精确发布时间未核验</x:v>
      </x:c>
      <x:c r="M445" s="11" t="str">
        <x:v>截止日前日期，盘中时分未核</x:v>
      </x:c>
    </x:row>
    <x:row r="446" ht="23" customHeight="1">
      <x:c r="A446" s="11" t="str">
        <x:v>I063</x:v>
      </x:c>
      <x:c r="B446" s="11" t="str">
        <x:v>03750.HK</x:v>
      </x:c>
      <x:c r="C446" s="11" t="str">
        <x:v>storageRevenueCNYmillion</x:v>
      </x:c>
      <x:c r="D446" s="39" t="n">
        <x:v>62439.82</x:v>
      </x:c>
      <x:c r="E446" s="11" t="str">
        <x:v>CNY</x:v>
      </x:c>
      <x:c r="F446" s="11" t="str">
        <x:v>million</x:v>
      </x:c>
      <x:c r="G446" s="11" t="str">
        <x:v>FY2025</x:v>
      </x:c>
      <x:c r="H446" s="11" t="str">
        <x:v>2026-03-10巨潮年报披露</x:v>
      </x:c>
      <x:c r="I446" s="11" t="str">
        <x:v>https://static.cninfo.com.cn/finalpage/2026-03-10/1225002214.PDF</x:v>
      </x:c>
      <x:c r="J446" s="11" t="str">
        <x:v>reported input or research-defined grouping; see original suffix and notes</x:v>
      </x:c>
      <x:c r="K446" s="11" t="str">
        <x:v>待核</x:v>
      </x:c>
      <x:c r="L446" s="11" t="str">
        <x:v>精确发布时间未核验</x:v>
      </x:c>
      <x:c r="M446" s="11" t="str">
        <x:v>截止日前日期，盘中时分未核</x:v>
      </x:c>
    </x:row>
    <x:row r="447" ht="23" customHeight="1">
      <x:c r="A447" s="11" t="str">
        <x:v>I063</x:v>
      </x:c>
      <x:c r="B447" s="11" t="str">
        <x:v>03750.HK</x:v>
      </x:c>
      <x:c r="C447" s="11" t="str">
        <x:v>materialsRevenueCNYmillion</x:v>
      </x:c>
      <x:c r="D447" s="39" t="n">
        <x:v>21860.936</x:v>
      </x:c>
      <x:c r="E447" s="11" t="str">
        <x:v>CNY</x:v>
      </x:c>
      <x:c r="F447" s="11" t="str">
        <x:v>million</x:v>
      </x:c>
      <x:c r="G447" s="11" t="str">
        <x:v>FY2025</x:v>
      </x:c>
      <x:c r="H447" s="11" t="str">
        <x:v>2026-03-10巨潮年报披露</x:v>
      </x:c>
      <x:c r="I447" s="11" t="str">
        <x:v>https://static.cninfo.com.cn/finalpage/2026-03-10/1225002214.PDF</x:v>
      </x:c>
      <x:c r="J447" s="11" t="str">
        <x:v>reported input or research-defined grouping; see original suffix and notes</x:v>
      </x:c>
      <x:c r="K447" s="11" t="str">
        <x:v>待核</x:v>
      </x:c>
      <x:c r="L447" s="11" t="str">
        <x:v>精确发布时间未核验</x:v>
      </x:c>
      <x:c r="M447" s="11" t="str">
        <x:v>截止日前日期，盘中时分未核</x:v>
      </x:c>
    </x:row>
    <x:row r="448" ht="23" customHeight="1">
      <x:c r="A448" s="11" t="str">
        <x:v>I063</x:v>
      </x:c>
      <x:c r="B448" s="11" t="str">
        <x:v>03750.HK</x:v>
      </x:c>
      <x:c r="C448" s="11" t="str">
        <x:v>miningRevenueCNYmillion</x:v>
      </x:c>
      <x:c r="D448" s="39" t="n">
        <x:v>5978.096</x:v>
      </x:c>
      <x:c r="E448" s="11" t="str">
        <x:v>CNY</x:v>
      </x:c>
      <x:c r="F448" s="11" t="str">
        <x:v>million</x:v>
      </x:c>
      <x:c r="G448" s="11" t="str">
        <x:v>FY2025</x:v>
      </x:c>
      <x:c r="H448" s="11" t="str">
        <x:v>2026-03-10巨潮年报披露</x:v>
      </x:c>
      <x:c r="I448" s="11" t="str">
        <x:v>https://static.cninfo.com.cn/finalpage/2026-03-10/1225002214.PDF</x:v>
      </x:c>
      <x:c r="J448" s="11" t="str">
        <x:v>reported input or research-defined grouping; see original suffix and notes</x:v>
      </x:c>
      <x:c r="K448" s="11" t="str">
        <x:v>待核</x:v>
      </x:c>
      <x:c r="L448" s="11" t="str">
        <x:v>精确发布时间未核验</x:v>
      </x:c>
      <x:c r="M448" s="11" t="str">
        <x:v>截止日前日期，盘中时分未核</x:v>
      </x:c>
    </x:row>
    <x:row r="449" ht="23" customHeight="1">
      <x:c r="A449" s="11" t="str">
        <x:v>I063</x:v>
      </x:c>
      <x:c r="B449" s="11" t="str">
        <x:v>03750.HK</x:v>
      </x:c>
      <x:c r="C449" s="11" t="str">
        <x:v>otherRevenueCNYmillion</x:v>
      </x:c>
      <x:c r="D449" s="39" t="n">
        <x:v>16916.612</x:v>
      </x:c>
      <x:c r="E449" s="11" t="str">
        <x:v>CNY</x:v>
      </x:c>
      <x:c r="F449" s="11" t="str">
        <x:v>million</x:v>
      </x:c>
      <x:c r="G449" s="11" t="str">
        <x:v>FY2025</x:v>
      </x:c>
      <x:c r="H449" s="11" t="str">
        <x:v>2026-03-10巨潮年报披露</x:v>
      </x:c>
      <x:c r="I449" s="11" t="str">
        <x:v>https://static.cninfo.com.cn/finalpage/2026-03-10/1225002214.PDF</x:v>
      </x:c>
      <x:c r="J449" s="11" t="str">
        <x:v>reported input or research-defined grouping; see original suffix and notes</x:v>
      </x:c>
      <x:c r="K449" s="11" t="str">
        <x:v>待核</x:v>
      </x:c>
      <x:c r="L449" s="11" t="str">
        <x:v>精确发布时间未核验</x:v>
      </x:c>
      <x:c r="M449" s="11" t="str">
        <x:v>截止日前日期，盘中时分未核</x:v>
      </x:c>
    </x:row>
    <x:row r="450" ht="23" customHeight="1">
      <x:c r="A450" s="11" t="str">
        <x:v>I063</x:v>
      </x:c>
      <x:c r="B450" s="11" t="str">
        <x:v>03750.HK</x:v>
      </x:c>
      <x:c r="C450" s="11" t="str">
        <x:v>revenueCNYmillion</x:v>
      </x:c>
      <x:c r="D450" s="39" t="n">
        <x:v>276916.58</x:v>
      </x:c>
      <x:c r="E450" s="11" t="str">
        <x:v>CNY</x:v>
      </x:c>
      <x:c r="F450" s="11" t="str">
        <x:v>million</x:v>
      </x:c>
      <x:c r="G450" s="11" t="str">
        <x:v>2026H1</x:v>
      </x:c>
      <x:c r="H450" s="11" t="str">
        <x:v>2026-07-25巨潮披露</x:v>
      </x:c>
      <x:c r="I450" s="11" t="str">
        <x:v>https://static.cninfo.com.cn/finalpage/2026-07-25/1225441586.PDF</x:v>
      </x:c>
      <x:c r="J450" s="11" t="str">
        <x:v>reported input or research-defined grouping; see original suffix and notes</x:v>
      </x:c>
      <x:c r="K450" s="11" t="str">
        <x:v>待核</x:v>
      </x:c>
      <x:c r="L450" s="11" t="str">
        <x:v>精确发布时间未核验</x:v>
      </x:c>
      <x:c r="M450" s="11" t="str">
        <x:v>截止日前日期，盘中时分未核</x:v>
      </x:c>
    </x:row>
    <x:row r="451" ht="23" customHeight="1">
      <x:c r="A451" s="11" t="str">
        <x:v>I063</x:v>
      </x:c>
      <x:c r="B451" s="11" t="str">
        <x:v>03750.HK</x:v>
      </x:c>
      <x:c r="C451" s="11" t="str">
        <x:v>revenueGrowthPct</x:v>
      </x:c>
      <x:c r="D451" s="39" t="n">
        <x:v>54.8</x:v>
      </x:c>
      <x:c r="E451" s="11" t="str">
        <x:v>CNY</x:v>
      </x:c>
      <x:c r="F451" s="11" t="str">
        <x:v>percentage points (percent value)</x:v>
      </x:c>
      <x:c r="G451" s="11" t="str">
        <x:v>2026H1</x:v>
      </x:c>
      <x:c r="H451" s="11" t="str">
        <x:v>2026-07-25巨潮披露</x:v>
      </x:c>
      <x:c r="I451" s="11" t="str">
        <x:v>https://static.cninfo.com.cn/finalpage/2026-07-25/1225441586.PDF</x:v>
      </x:c>
      <x:c r="J451" s="11" t="str">
        <x:v>reported input or research-defined grouping; see original suffix and notes</x:v>
      </x:c>
      <x:c r="K451" s="11" t="str">
        <x:v>待核</x:v>
      </x:c>
      <x:c r="L451" s="11" t="str">
        <x:v>精确发布时间未核验</x:v>
      </x:c>
      <x:c r="M451" s="11" t="str">
        <x:v>截止日前日期，盘中时分未核</x:v>
      </x:c>
    </x:row>
    <x:row r="452" ht="23" customHeight="1">
      <x:c r="A452" s="11" t="str">
        <x:v>I063</x:v>
      </x:c>
      <x:c r="B452" s="11" t="str">
        <x:v>03750.HK</x:v>
      </x:c>
      <x:c r="C452" s="11" t="str">
        <x:v>profitAttributableCNYmillion</x:v>
      </x:c>
      <x:c r="D452" s="39" t="n">
        <x:v>43284.002</x:v>
      </x:c>
      <x:c r="E452" s="11" t="str">
        <x:v>CNY</x:v>
      </x:c>
      <x:c r="F452" s="11" t="str">
        <x:v>million</x:v>
      </x:c>
      <x:c r="G452" s="11" t="str">
        <x:v>2026H1</x:v>
      </x:c>
      <x:c r="H452" s="11" t="str">
        <x:v>2026-07-25巨潮披露</x:v>
      </x:c>
      <x:c r="I452" s="11" t="str">
        <x:v>https://static.cninfo.com.cn/finalpage/2026-07-25/1225441586.PDF</x:v>
      </x:c>
      <x:c r="J452" s="11" t="str">
        <x:v>reported input or research-defined grouping; see original suffix and notes</x:v>
      </x:c>
      <x:c r="K452" s="11" t="str">
        <x:v>待核</x:v>
      </x:c>
      <x:c r="L452" s="11" t="str">
        <x:v>精确发布时间未核验</x:v>
      </x:c>
      <x:c r="M452" s="11" t="str">
        <x:v>截止日前日期，盘中时分未核</x:v>
      </x:c>
    </x:row>
    <x:row r="453" ht="23" customHeight="1">
      <x:c r="A453" s="11" t="str">
        <x:v>I063</x:v>
      </x:c>
      <x:c r="B453" s="11" t="str">
        <x:v>03750.HK</x:v>
      </x:c>
      <x:c r="C453" s="11" t="str">
        <x:v>profitGrowthPct</x:v>
      </x:c>
      <x:c r="D453" s="39" t="n">
        <x:v>41.98</x:v>
      </x:c>
      <x:c r="E453" s="11" t="str">
        <x:v>CNY</x:v>
      </x:c>
      <x:c r="F453" s="11" t="str">
        <x:v>percentage points (percent value)</x:v>
      </x:c>
      <x:c r="G453" s="11" t="str">
        <x:v>2026H1</x:v>
      </x:c>
      <x:c r="H453" s="11" t="str">
        <x:v>2026-07-25巨潮披露</x:v>
      </x:c>
      <x:c r="I453" s="11" t="str">
        <x:v>https://static.cninfo.com.cn/finalpage/2026-07-25/1225441586.PDF</x:v>
      </x:c>
      <x:c r="J453" s="11" t="str">
        <x:v>reported input or research-defined grouping; see original suffix and notes</x:v>
      </x:c>
      <x:c r="K453" s="11" t="str">
        <x:v>待核</x:v>
      </x:c>
      <x:c r="L453" s="11" t="str">
        <x:v>精确发布时间未核验</x:v>
      </x:c>
      <x:c r="M453" s="11" t="str">
        <x:v>截止日前日期，盘中时分未核</x:v>
      </x:c>
    </x:row>
    <x:row r="454" ht="23" customHeight="1">
      <x:c r="A454" s="11" t="str">
        <x:v>I063</x:v>
      </x:c>
      <x:c r="B454" s="11" t="str">
        <x:v>03750.HK</x:v>
      </x:c>
      <x:c r="C454" s="11" t="str">
        <x:v>profitExNonRecurringCNYmillion</x:v>
      </x:c>
      <x:c r="D454" s="39" t="n">
        <x:v>39013.3</x:v>
      </x:c>
      <x:c r="E454" s="11" t="str">
        <x:v>CNY</x:v>
      </x:c>
      <x:c r="F454" s="11" t="str">
        <x:v>million</x:v>
      </x:c>
      <x:c r="G454" s="11" t="str">
        <x:v>2026H1</x:v>
      </x:c>
      <x:c r="H454" s="11" t="str">
        <x:v>2026-07-25巨潮披露</x:v>
      </x:c>
      <x:c r="I454" s="11" t="str">
        <x:v>https://static.cninfo.com.cn/finalpage/2026-07-25/1225441586.PDF</x:v>
      </x:c>
      <x:c r="J454" s="11" t="str">
        <x:v>reported input or research-defined grouping; see original suffix and notes</x:v>
      </x:c>
      <x:c r="K454" s="11" t="str">
        <x:v>待核</x:v>
      </x:c>
      <x:c r="L454" s="11" t="str">
        <x:v>精确发布时间未核验</x:v>
      </x:c>
      <x:c r="M454" s="11" t="str">
        <x:v>截止日前日期，盘中时分未核</x:v>
      </x:c>
    </x:row>
    <x:row r="455" ht="23" customHeight="1">
      <x:c r="A455" s="11" t="str">
        <x:v>I063</x:v>
      </x:c>
      <x:c r="B455" s="11" t="str">
        <x:v>03750.HK</x:v>
      </x:c>
      <x:c r="C455" s="11" t="str">
        <x:v>EPSCNY</x:v>
      </x:c>
      <x:c r="D455" s="39" t="n">
        <x:v>9.51</x:v>
      </x:c>
      <x:c r="E455" s="11" t="str">
        <x:v>CNY</x:v>
      </x:c>
      <x:c r="F455" s="11" t="str">
        <x:v>per ordinary share</x:v>
      </x:c>
      <x:c r="G455" s="11" t="str">
        <x:v>2026H1</x:v>
      </x:c>
      <x:c r="H455" s="11" t="str">
        <x:v>2026-07-25巨潮披露</x:v>
      </x:c>
      <x:c r="I455" s="11" t="str">
        <x:v>https://static.cninfo.com.cn/finalpage/2026-07-25/1225441586.PDF</x:v>
      </x:c>
      <x:c r="J455" s="11" t="str">
        <x:v>reported input or research-defined grouping; see original suffix and notes</x:v>
      </x:c>
      <x:c r="K455" s="11" t="str">
        <x:v>待核</x:v>
      </x:c>
      <x:c r="L455" s="11" t="str">
        <x:v>精确发布时间未核验</x:v>
      </x:c>
      <x:c r="M455" s="11" t="str">
        <x:v>截止日前日期，盘中时分未核</x:v>
      </x:c>
    </x:row>
    <x:row r="456" ht="23" customHeight="1">
      <x:c r="A456" s="11" t="str">
        <x:v>I063</x:v>
      </x:c>
      <x:c r="B456" s="11" t="str">
        <x:v>03750.HK</x:v>
      </x:c>
      <x:c r="C456" s="11" t="str">
        <x:v>groupProfitCNYmillion</x:v>
      </x:c>
      <x:c r="D456" s="39" t="n">
        <x:v>47030.638</x:v>
      </x:c>
      <x:c r="E456" s="11" t="str">
        <x:v>CNY</x:v>
      </x:c>
      <x:c r="F456" s="11" t="str">
        <x:v>million</x:v>
      </x:c>
      <x:c r="G456" s="11" t="str">
        <x:v>2026H1</x:v>
      </x:c>
      <x:c r="H456" s="11" t="str">
        <x:v>2026-07-25巨潮披露</x:v>
      </x:c>
      <x:c r="I456" s="11" t="str">
        <x:v>https://static.cninfo.com.cn/finalpage/2026-07-25/1225441586.PDF</x:v>
      </x:c>
      <x:c r="J456" s="11" t="str">
        <x:v>reported input or research-defined grouping; see original suffix and notes</x:v>
      </x:c>
      <x:c r="K456" s="11" t="str">
        <x:v>待核</x:v>
      </x:c>
      <x:c r="L456" s="11" t="str">
        <x:v>精确发布时间未核验</x:v>
      </x:c>
      <x:c r="M456" s="11" t="str">
        <x:v>截止日前日期，盘中时分未核</x:v>
      </x:c>
    </x:row>
    <x:row r="457" ht="23" customHeight="1">
      <x:c r="A457" s="11" t="str">
        <x:v>I063</x:v>
      </x:c>
      <x:c r="B457" s="11" t="str">
        <x:v>03750.HK</x:v>
      </x:c>
      <x:c r="C457" s="11" t="str">
        <x:v>minorityProfitCNYmillion</x:v>
      </x:c>
      <x:c r="D457" s="39" t="n">
        <x:v>3746.636</x:v>
      </x:c>
      <x:c r="E457" s="11" t="str">
        <x:v>CNY</x:v>
      </x:c>
      <x:c r="F457" s="11" t="str">
        <x:v>million</x:v>
      </x:c>
      <x:c r="G457" s="11" t="str">
        <x:v>2026H1</x:v>
      </x:c>
      <x:c r="H457" s="11" t="str">
        <x:v>2026-07-25巨潮披露</x:v>
      </x:c>
      <x:c r="I457" s="11" t="str">
        <x:v>https://static.cninfo.com.cn/finalpage/2026-07-25/1225441586.PDF</x:v>
      </x:c>
      <x:c r="J457" s="11" t="str">
        <x:v>reported input or research-defined grouping; see original suffix and notes</x:v>
      </x:c>
      <x:c r="K457" s="11" t="str">
        <x:v>待核</x:v>
      </x:c>
      <x:c r="L457" s="11" t="str">
        <x:v>精确发布时间未核验</x:v>
      </x:c>
      <x:c r="M457" s="11" t="str">
        <x:v>截止日前日期，盘中时分未核</x:v>
      </x:c>
    </x:row>
    <x:row r="458" ht="23" customHeight="1">
      <x:c r="A458" s="11" t="str">
        <x:v>I063</x:v>
      </x:c>
      <x:c r="B458" s="11" t="str">
        <x:v>03750.HK</x:v>
      </x:c>
      <x:c r="C458" s="11" t="str">
        <x:v>OCFCNYmillion</x:v>
      </x:c>
      <x:c r="D458" s="39" t="n">
        <x:v>60216.851</x:v>
      </x:c>
      <x:c r="E458" s="11" t="str">
        <x:v>CNY</x:v>
      </x:c>
      <x:c r="F458" s="11" t="str">
        <x:v>million</x:v>
      </x:c>
      <x:c r="G458" s="11" t="str">
        <x:v>2026H1</x:v>
      </x:c>
      <x:c r="H458" s="11" t="str">
        <x:v>2026-07-25巨潮披露</x:v>
      </x:c>
      <x:c r="I458" s="11" t="str">
        <x:v>https://static.cninfo.com.cn/finalpage/2026-07-25/1225441586.PDF</x:v>
      </x:c>
      <x:c r="J458" s="11" t="str">
        <x:v>reported input or research-defined grouping; see original suffix and notes</x:v>
      </x:c>
      <x:c r="K458" s="11" t="str">
        <x:v>待核</x:v>
      </x:c>
      <x:c r="L458" s="11" t="str">
        <x:v>精确发布时间未核验</x:v>
      </x:c>
      <x:c r="M458" s="11" t="str">
        <x:v>截止日前日期，盘中时分未核</x:v>
      </x:c>
    </x:row>
    <x:row r="459" ht="23" customHeight="1">
      <x:c r="A459" s="11" t="str">
        <x:v>I063</x:v>
      </x:c>
      <x:c r="B459" s="11" t="str">
        <x:v>03750.HK</x:v>
      </x:c>
      <x:c r="C459" s="11" t="str">
        <x:v>OCFGrowthPct</x:v>
      </x:c>
      <x:c r="D459" s="39" t="n">
        <x:v>2.61</x:v>
      </x:c>
      <x:c r="E459" s="11" t="str">
        <x:v>CNY</x:v>
      </x:c>
      <x:c r="F459" s="11" t="str">
        <x:v>percentage points (percent value)</x:v>
      </x:c>
      <x:c r="G459" s="11" t="str">
        <x:v>2026H1</x:v>
      </x:c>
      <x:c r="H459" s="11" t="str">
        <x:v>2026-07-25巨潮披露</x:v>
      </x:c>
      <x:c r="I459" s="11" t="str">
        <x:v>https://static.cninfo.com.cn/finalpage/2026-07-25/1225441586.PDF</x:v>
      </x:c>
      <x:c r="J459" s="11" t="str">
        <x:v>reported input or research-defined grouping; see original suffix and notes</x:v>
      </x:c>
      <x:c r="K459" s="11" t="str">
        <x:v>待核</x:v>
      </x:c>
      <x:c r="L459" s="11" t="str">
        <x:v>精确发布时间未核验</x:v>
      </x:c>
      <x:c r="M459" s="11" t="str">
        <x:v>截止日前日期，盘中时分未核</x:v>
      </x:c>
    </x:row>
    <x:row r="460" ht="23" customHeight="1">
      <x:c r="A460" s="11" t="str">
        <x:v>I063</x:v>
      </x:c>
      <x:c r="B460" s="11" t="str">
        <x:v>03750.HK</x:v>
      </x:c>
      <x:c r="C460" s="11" t="str">
        <x:v>cashLongAssetAcquisitionCNYmillion</x:v>
      </x:c>
      <x:c r="D460" s="39" t="n">
        <x:v>25072.772</x:v>
      </x:c>
      <x:c r="E460" s="11" t="str">
        <x:v>CNY</x:v>
      </x:c>
      <x:c r="F460" s="11" t="str">
        <x:v>million</x:v>
      </x:c>
      <x:c r="G460" s="11" t="str">
        <x:v>2026H1</x:v>
      </x:c>
      <x:c r="H460" s="11" t="str">
        <x:v>2026-07-25巨潮披露</x:v>
      </x:c>
      <x:c r="I460" s="11" t="str">
        <x:v>https://static.cninfo.com.cn/finalpage/2026-07-25/1225441586.PDF</x:v>
      </x:c>
      <x:c r="J460" s="11" t="str">
        <x:v>reported input or research-defined grouping; see original suffix and notes</x:v>
      </x:c>
      <x:c r="K460" s="11" t="str">
        <x:v>待核</x:v>
      </x:c>
      <x:c r="L460" s="11" t="str">
        <x:v>精确发布时间未核验</x:v>
      </x:c>
      <x:c r="M460" s="11" t="str">
        <x:v>截止日前日期，盘中时分未核</x:v>
      </x:c>
    </x:row>
    <x:row r="461" ht="23" customHeight="1">
      <x:c r="A461" s="11" t="str">
        <x:v>I063</x:v>
      </x:c>
      <x:c r="B461" s="11" t="str">
        <x:v>03750.HK</x:v>
      </x:c>
      <x:c r="C461" s="11" t="str">
        <x:v>FCFResearchProxyCNYmillion</x:v>
      </x:c>
      <x:c r="D461" s="39" t="n">
        <x:v>35144.079</x:v>
      </x:c>
      <x:c r="E461" s="11" t="str">
        <x:v>CNY</x:v>
      </x:c>
      <x:c r="F461" s="11" t="str">
        <x:v>million</x:v>
      </x:c>
      <x:c r="G461" s="11" t="str">
        <x:v>2026H1</x:v>
      </x:c>
      <x:c r="H461" s="11" t="str">
        <x:v>2026-07-25巨潮披露</x:v>
      </x:c>
      <x:c r="I461" s="11" t="str">
        <x:v>https://static.cninfo.com.cn/finalpage/2026-07-25/1225441586.PDF</x:v>
      </x:c>
      <x:c r="J461" s="11" t="str">
        <x:v>research calculation from primary inputs</x:v>
      </x:c>
      <x:c r="K461" s="11" t="str">
        <x:v>待核</x:v>
      </x:c>
      <x:c r="L461" s="11" t="str">
        <x:v>精确发布时间未核验</x:v>
      </x:c>
      <x:c r="M461" s="11" t="str">
        <x:v>截止日前日期，盘中时分未核</x:v>
      </x:c>
    </x:row>
    <x:row r="462" ht="23" customHeight="1">
      <x:c r="A462" s="11" t="str">
        <x:v>I063</x:v>
      </x:c>
      <x:c r="B462" s="11" t="str">
        <x:v>03750.HK</x:v>
      </x:c>
      <x:c r="C462" s="11" t="str">
        <x:v>financialExpenseCNYmillion</x:v>
      </x:c>
      <x:c r="D462" s="39" t="n">
        <x:v>-630.793</x:v>
      </x:c>
      <x:c r="E462" s="11" t="str">
        <x:v>CNY</x:v>
      </x:c>
      <x:c r="F462" s="11" t="str">
        <x:v>million</x:v>
      </x:c>
      <x:c r="G462" s="11" t="str">
        <x:v>2026H1</x:v>
      </x:c>
      <x:c r="H462" s="11" t="str">
        <x:v>2026-07-25巨潮披露</x:v>
      </x:c>
      <x:c r="I462" s="11" t="str">
        <x:v>https://static.cninfo.com.cn/finalpage/2026-07-25/1225441586.PDF</x:v>
      </x:c>
      <x:c r="J462" s="11" t="str">
        <x:v>reported input or research-defined grouping; see original suffix and notes</x:v>
      </x:c>
      <x:c r="K462" s="11" t="str">
        <x:v>待核</x:v>
      </x:c>
      <x:c r="L462" s="11" t="str">
        <x:v>精确发布时间未核验</x:v>
      </x:c>
      <x:c r="M462" s="11" t="str">
        <x:v>截止日前日期，盘中时分未核</x:v>
      </x:c>
    </x:row>
    <x:row r="463" ht="23" customHeight="1">
      <x:c r="A463" s="11" t="str">
        <x:v>I063</x:v>
      </x:c>
      <x:c r="B463" s="11" t="str">
        <x:v>03750.HK</x:v>
      </x:c>
      <x:c r="C463" s="11" t="str">
        <x:v>interestCostCNYmillion</x:v>
      </x:c>
      <x:c r="D463" s="39" t="n">
        <x:v>1392.225</x:v>
      </x:c>
      <x:c r="E463" s="11" t="str">
        <x:v>CNY</x:v>
      </x:c>
      <x:c r="F463" s="11" t="str">
        <x:v>million</x:v>
      </x:c>
      <x:c r="G463" s="11" t="str">
        <x:v>2026H1</x:v>
      </x:c>
      <x:c r="H463" s="11" t="str">
        <x:v>2026-07-25巨潮披露</x:v>
      </x:c>
      <x:c r="I463" s="11" t="str">
        <x:v>https://static.cninfo.com.cn/finalpage/2026-07-25/1225441586.PDF</x:v>
      </x:c>
      <x:c r="J463" s="11" t="str">
        <x:v>reported input or research-defined grouping; see original suffix and notes</x:v>
      </x:c>
      <x:c r="K463" s="11" t="str">
        <x:v>待核</x:v>
      </x:c>
      <x:c r="L463" s="11" t="str">
        <x:v>精确发布时间未核验</x:v>
      </x:c>
      <x:c r="M463" s="11" t="str">
        <x:v>截止日前日期，盘中时分未核</x:v>
      </x:c>
    </x:row>
    <x:row r="464" ht="23" customHeight="1">
      <x:c r="A464" s="11" t="str">
        <x:v>I063</x:v>
      </x:c>
      <x:c r="B464" s="11" t="str">
        <x:v>03750.HK</x:v>
      </x:c>
      <x:c r="C464" s="11" t="str">
        <x:v>interestIncomeCNYmillion</x:v>
      </x:c>
      <x:c r="D464" s="39" t="n">
        <x:v>4887.257</x:v>
      </x:c>
      <x:c r="E464" s="11" t="str">
        <x:v>CNY</x:v>
      </x:c>
      <x:c r="F464" s="11" t="str">
        <x:v>million</x:v>
      </x:c>
      <x:c r="G464" s="11" t="str">
        <x:v>2026H1</x:v>
      </x:c>
      <x:c r="H464" s="11" t="str">
        <x:v>2026-07-25巨潮披露</x:v>
      </x:c>
      <x:c r="I464" s="11" t="str">
        <x:v>https://static.cninfo.com.cn/finalpage/2026-07-25/1225441586.PDF</x:v>
      </x:c>
      <x:c r="J464" s="11" t="str">
        <x:v>reported input or research-defined grouping; see original suffix and notes</x:v>
      </x:c>
      <x:c r="K464" s="11" t="str">
        <x:v>待核</x:v>
      </x:c>
      <x:c r="L464" s="11" t="str">
        <x:v>精确发布时间未核验</x:v>
      </x:c>
      <x:c r="M464" s="11" t="str">
        <x:v>截止日前日期，盘中时分未核</x:v>
      </x:c>
    </x:row>
    <x:row r="465" ht="23" customHeight="1">
      <x:c r="A465" s="11" t="str">
        <x:v>I063</x:v>
      </x:c>
      <x:c r="B465" s="11" t="str">
        <x:v>03750.HK</x:v>
      </x:c>
      <x:c r="C465" s="11" t="str">
        <x:v>otherIncomeCNYmillion</x:v>
      </x:c>
      <x:c r="D465" s="39" t="n">
        <x:v>4589.631</x:v>
      </x:c>
      <x:c r="E465" s="11" t="str">
        <x:v>CNY</x:v>
      </x:c>
      <x:c r="F465" s="11" t="str">
        <x:v>million</x:v>
      </x:c>
      <x:c r="G465" s="11" t="str">
        <x:v>2026H1</x:v>
      </x:c>
      <x:c r="H465" s="11" t="str">
        <x:v>2026-07-25巨潮披露</x:v>
      </x:c>
      <x:c r="I465" s="11" t="str">
        <x:v>https://static.cninfo.com.cn/finalpage/2026-07-25/1225441586.PDF</x:v>
      </x:c>
      <x:c r="J465" s="11" t="str">
        <x:v>reported input or research-defined grouping; see original suffix and notes</x:v>
      </x:c>
      <x:c r="K465" s="11" t="str">
        <x:v>待核</x:v>
      </x:c>
      <x:c r="L465" s="11" t="str">
        <x:v>精确发布时间未核验</x:v>
      </x:c>
      <x:c r="M465" s="11" t="str">
        <x:v>截止日前日期，盘中时分未核</x:v>
      </x:c>
    </x:row>
    <x:row r="466" ht="23" customHeight="1">
      <x:c r="A466" s="11" t="str">
        <x:v>I063</x:v>
      </x:c>
      <x:c r="B466" s="11" t="str">
        <x:v>03750.HK</x:v>
      </x:c>
      <x:c r="C466" s="11" t="str">
        <x:v>investmentIncomeCNYmillion</x:v>
      </x:c>
      <x:c r="D466" s="39" t="n">
        <x:v>6152.679</x:v>
      </x:c>
      <x:c r="E466" s="11" t="str">
        <x:v>CNY</x:v>
      </x:c>
      <x:c r="F466" s="11" t="str">
        <x:v>million</x:v>
      </x:c>
      <x:c r="G466" s="11" t="str">
        <x:v>2026H1</x:v>
      </x:c>
      <x:c r="H466" s="11" t="str">
        <x:v>2026-07-25巨潮披露</x:v>
      </x:c>
      <x:c r="I466" s="11" t="str">
        <x:v>https://static.cninfo.com.cn/finalpage/2026-07-25/1225441586.PDF</x:v>
      </x:c>
      <x:c r="J466" s="11" t="str">
        <x:v>reported input or research-defined grouping; see original suffix and notes</x:v>
      </x:c>
      <x:c r="K466" s="11" t="str">
        <x:v>待核</x:v>
      </x:c>
      <x:c r="L466" s="11" t="str">
        <x:v>精确发布时间未核验</x:v>
      </x:c>
      <x:c r="M466" s="11" t="str">
        <x:v>截止日前日期，盘中时分未核</x:v>
      </x:c>
    </x:row>
    <x:row r="467" ht="23" customHeight="1">
      <x:c r="A467" s="11" t="str">
        <x:v>I063</x:v>
      </x:c>
      <x:c r="B467" s="11" t="str">
        <x:v>03750.HK</x:v>
      </x:c>
      <x:c r="C467" s="11" t="str">
        <x:v>associatesInvestmentIncomeCNYmillion</x:v>
      </x:c>
      <x:c r="D467" s="39" t="n">
        <x:v>5722.218</x:v>
      </x:c>
      <x:c r="E467" s="11" t="str">
        <x:v>CNY</x:v>
      </x:c>
      <x:c r="F467" s="11" t="str">
        <x:v>million</x:v>
      </x:c>
      <x:c r="G467" s="11" t="str">
        <x:v>2026H1</x:v>
      </x:c>
      <x:c r="H467" s="11" t="str">
        <x:v>2026-07-25巨潮披露</x:v>
      </x:c>
      <x:c r="I467" s="11" t="str">
        <x:v>https://static.cninfo.com.cn/finalpage/2026-07-25/1225441586.PDF</x:v>
      </x:c>
      <x:c r="J467" s="11" t="str">
        <x:v>reported input or research-defined grouping; see original suffix and notes</x:v>
      </x:c>
      <x:c r="K467" s="11" t="str">
        <x:v>待核</x:v>
      </x:c>
      <x:c r="L467" s="11" t="str">
        <x:v>精确发布时间未核验</x:v>
      </x:c>
      <x:c r="M467" s="11" t="str">
        <x:v>截止日前日期，盘中时分未核</x:v>
      </x:c>
    </x:row>
    <x:row r="468" ht="23" customHeight="1">
      <x:c r="A468" s="11" t="str">
        <x:v>I063</x:v>
      </x:c>
      <x:c r="B468" s="11" t="str">
        <x:v>03750.HK</x:v>
      </x:c>
      <x:c r="C468" s="11" t="str">
        <x:v>FVGainCNYmillion</x:v>
      </x:c>
      <x:c r="D468" s="39" t="n">
        <x:v>1240.685</x:v>
      </x:c>
      <x:c r="E468" s="11" t="str">
        <x:v>CNY</x:v>
      </x:c>
      <x:c r="F468" s="11" t="str">
        <x:v>million</x:v>
      </x:c>
      <x:c r="G468" s="11" t="str">
        <x:v>2026H1</x:v>
      </x:c>
      <x:c r="H468" s="11" t="str">
        <x:v>2026-07-25巨潮披露</x:v>
      </x:c>
      <x:c r="I468" s="11" t="str">
        <x:v>https://static.cninfo.com.cn/finalpage/2026-07-25/1225441586.PDF</x:v>
      </x:c>
      <x:c r="J468" s="11" t="str">
        <x:v>reported input or research-defined grouping; see original suffix and notes</x:v>
      </x:c>
      <x:c r="K468" s="11" t="str">
        <x:v>待核</x:v>
      </x:c>
      <x:c r="L468" s="11" t="str">
        <x:v>精确发布时间未核验</x:v>
      </x:c>
      <x:c r="M468" s="11" t="str">
        <x:v>截止日前日期，盘中时分未核</x:v>
      </x:c>
    </x:row>
    <x:row r="469" ht="23" customHeight="1">
      <x:c r="A469" s="11" t="str">
        <x:v>I063</x:v>
      </x:c>
      <x:c r="B469" s="11" t="str">
        <x:v>03750.HK</x:v>
      </x:c>
      <x:c r="C469" s="11" t="str">
        <x:v>expensedRDCNYmillion</x:v>
      </x:c>
      <x:c r="D469" s="39" t="n">
        <x:v>11376.545</x:v>
      </x:c>
      <x:c r="E469" s="11" t="str">
        <x:v>CNY</x:v>
      </x:c>
      <x:c r="F469" s="11" t="str">
        <x:v>million</x:v>
      </x:c>
      <x:c r="G469" s="11" t="str">
        <x:v>2026H1</x:v>
      </x:c>
      <x:c r="H469" s="11" t="str">
        <x:v>2026-07-25巨潮披露</x:v>
      </x:c>
      <x:c r="I469" s="11" t="str">
        <x:v>https://static.cninfo.com.cn/finalpage/2026-07-25/1225441586.PDF</x:v>
      </x:c>
      <x:c r="J469" s="11" t="str">
        <x:v>reported input or research-defined grouping; see original suffix and notes</x:v>
      </x:c>
      <x:c r="K469" s="11" t="str">
        <x:v>待核</x:v>
      </x:c>
      <x:c r="L469" s="11" t="str">
        <x:v>精确发布时间未核验</x:v>
      </x:c>
      <x:c r="M469" s="11" t="str">
        <x:v>截止日前日期，盘中时分未核</x:v>
      </x:c>
    </x:row>
    <x:row r="470" ht="23" customHeight="1">
      <x:c r="A470" s="11" t="str">
        <x:v>I063</x:v>
      </x:c>
      <x:c r="B470" s="11" t="str">
        <x:v>03750.HK</x:v>
      </x:c>
      <x:c r="C470" s="11" t="str">
        <x:v>capitalizedRDCNYmillion</x:v>
      </x:c>
      <x:c r="D470" s="39" t="n">
        <x:v>0</x:v>
      </x:c>
      <x:c r="E470" s="11" t="str">
        <x:v>CNY</x:v>
      </x:c>
      <x:c r="F470" s="11" t="str">
        <x:v>million</x:v>
      </x:c>
      <x:c r="G470" s="11" t="str">
        <x:v>2026H1</x:v>
      </x:c>
      <x:c r="H470" s="11" t="str">
        <x:v>2026-07-25巨潮披露</x:v>
      </x:c>
      <x:c r="I470" s="11" t="str">
        <x:v>https://static.cninfo.com.cn/finalpage/2026-07-25/1225441586.PDF</x:v>
      </x:c>
      <x:c r="J470" s="11" t="str">
        <x:v>reported input or research-defined grouping; see original suffix and notes</x:v>
      </x:c>
      <x:c r="K470" s="11" t="str">
        <x:v>待核</x:v>
      </x:c>
      <x:c r="L470" s="11" t="str">
        <x:v>精确发布时间未核验</x:v>
      </x:c>
      <x:c r="M470" s="11" t="str">
        <x:v>截止日前日期，盘中时分未核</x:v>
      </x:c>
    </x:row>
    <x:row r="471" ht="23" customHeight="1">
      <x:c r="A471" s="11" t="str">
        <x:v>I063</x:v>
      </x:c>
      <x:c r="B471" s="11" t="str">
        <x:v>03750.HK</x:v>
      </x:c>
      <x:c r="C471" s="11" t="str">
        <x:v>normalEBITResearchCNYmillion</x:v>
      </x:c>
      <x:c r="D471" s="39" t="n">
        <x:v>45377.03</x:v>
      </x:c>
      <x:c r="E471" s="11" t="str">
        <x:v>CNY</x:v>
      </x:c>
      <x:c r="F471" s="11" t="str">
        <x:v>million</x:v>
      </x:c>
      <x:c r="G471" s="11" t="str">
        <x:v>2026H1</x:v>
      </x:c>
      <x:c r="H471" s="11" t="str">
        <x:v>2026-07-25巨潮披露</x:v>
      </x:c>
      <x:c r="I471" s="11" t="str">
        <x:v>https://static.cninfo.com.cn/finalpage/2026-07-25/1225441586.PDF</x:v>
      </x:c>
      <x:c r="J471" s="11" t="str">
        <x:v>research calculation from primary inputs</x:v>
      </x:c>
      <x:c r="K471" s="11" t="str">
        <x:v>待核</x:v>
      </x:c>
      <x:c r="L471" s="11" t="str">
        <x:v>精确发布时间未核验</x:v>
      </x:c>
      <x:c r="M471" s="11" t="str">
        <x:v>截止日前日期，盘中时分未核</x:v>
      </x:c>
    </x:row>
    <x:row r="472" ht="23" customHeight="1">
      <x:c r="A472" s="11" t="str">
        <x:v>I063</x:v>
      </x:c>
      <x:c r="B472" s="11" t="str">
        <x:v>03750.HK</x:v>
      </x:c>
      <x:c r="C472" s="11" t="str">
        <x:v>normalEBITMarginResearch</x:v>
      </x:c>
      <x:c r="D472" s="39" t="n">
        <x:v>0.1638653416852108</x:v>
      </x:c>
      <x:c r="E472" s="11" t="str">
        <x:v>CNY</x:v>
      </x:c>
      <x:c r="F472" s="11" t="str">
        <x:v>fraction</x:v>
      </x:c>
      <x:c r="G472" s="11" t="str">
        <x:v>2026H1</x:v>
      </x:c>
      <x:c r="H472" s="11" t="str">
        <x:v>2026-07-25巨潮披露</x:v>
      </x:c>
      <x:c r="I472" s="11" t="str">
        <x:v>https://static.cninfo.com.cn/finalpage/2026-07-25/1225441586.PDF</x:v>
      </x:c>
      <x:c r="J472" s="11" t="str">
        <x:v>research calculation from primary inputs</x:v>
      </x:c>
      <x:c r="K472" s="11" t="str">
        <x:v>待核</x:v>
      </x:c>
      <x:c r="L472" s="11" t="str">
        <x:v>精确发布时间未核验</x:v>
      </x:c>
      <x:c r="M472" s="11" t="str">
        <x:v>截止日前日期，盘中时分未核</x:v>
      </x:c>
    </x:row>
    <x:row r="473" ht="23" customHeight="1">
      <x:c r="A473" s="11" t="str">
        <x:v>I063</x:v>
      </x:c>
      <x:c r="B473" s="11" t="str">
        <x:v>03750.HK</x:v>
      </x:c>
      <x:c r="C473" s="11" t="str">
        <x:v>powerRevenueCNYmillion</x:v>
      </x:c>
      <x:c r="D473" s="39" t="n">
        <x:v>192124.89</x:v>
      </x:c>
      <x:c r="E473" s="11" t="str">
        <x:v>CNY</x:v>
      </x:c>
      <x:c r="F473" s="11" t="str">
        <x:v>million</x:v>
      </x:c>
      <x:c r="G473" s="11" t="str">
        <x:v>2026H1</x:v>
      </x:c>
      <x:c r="H473" s="11" t="str">
        <x:v>2026-07-25巨潮披露</x:v>
      </x:c>
      <x:c r="I473" s="11" t="str">
        <x:v>https://static.cninfo.com.cn/finalpage/2026-07-25/1225441586.PDF</x:v>
      </x:c>
      <x:c r="J473" s="11" t="str">
        <x:v>reported input or research-defined grouping; see original suffix and notes</x:v>
      </x:c>
      <x:c r="K473" s="11" t="str">
        <x:v>待核</x:v>
      </x:c>
      <x:c r="L473" s="11" t="str">
        <x:v>精确发布时间未核验</x:v>
      </x:c>
      <x:c r="M473" s="11" t="str">
        <x:v>截止日前日期，盘中时分未核</x:v>
      </x:c>
    </x:row>
    <x:row r="474" ht="23" customHeight="1">
      <x:c r="A474" s="11" t="str">
        <x:v>I063</x:v>
      </x:c>
      <x:c r="B474" s="11" t="str">
        <x:v>03750.HK</x:v>
      </x:c>
      <x:c r="C474" s="11" t="str">
        <x:v>powerGrossMargin</x:v>
      </x:c>
      <x:c r="D474" s="39" t="n">
        <x:v>0.2063</x:v>
      </x:c>
      <x:c r="E474" s="11" t="str">
        <x:v>not monetary</x:v>
      </x:c>
      <x:c r="F474" s="11" t="str">
        <x:v>fraction</x:v>
      </x:c>
      <x:c r="G474" s="11" t="str">
        <x:v>2026H1</x:v>
      </x:c>
      <x:c r="H474" s="11" t="str">
        <x:v>2026-07-25巨潮披露</x:v>
      </x:c>
      <x:c r="I474" s="11" t="str">
        <x:v>https://static.cninfo.com.cn/finalpage/2026-07-25/1225441586.PDF</x:v>
      </x:c>
      <x:c r="J474" s="11" t="str">
        <x:v>reported input or research-defined grouping; see original suffix and notes</x:v>
      </x:c>
      <x:c r="K474" s="11" t="str">
        <x:v>待核</x:v>
      </x:c>
      <x:c r="L474" s="11" t="str">
        <x:v>精确发布时间未核验</x:v>
      </x:c>
      <x:c r="M474" s="11" t="str">
        <x:v>截止日前日期，盘中时分未核</x:v>
      </x:c>
    </x:row>
    <x:row r="475" ht="23" customHeight="1">
      <x:c r="A475" s="11" t="str">
        <x:v>I063</x:v>
      </x:c>
      <x:c r="B475" s="11" t="str">
        <x:v>03750.HK</x:v>
      </x:c>
      <x:c r="C475" s="11" t="str">
        <x:v>storageRevenueCNYmillion</x:v>
      </x:c>
      <x:c r="D475" s="39" t="n">
        <x:v>53260.967</x:v>
      </x:c>
      <x:c r="E475" s="11" t="str">
        <x:v>CNY</x:v>
      </x:c>
      <x:c r="F475" s="11" t="str">
        <x:v>million</x:v>
      </x:c>
      <x:c r="G475" s="11" t="str">
        <x:v>2026H1</x:v>
      </x:c>
      <x:c r="H475" s="11" t="str">
        <x:v>2026-07-25巨潮披露</x:v>
      </x:c>
      <x:c r="I475" s="11" t="str">
        <x:v>https://static.cninfo.com.cn/finalpage/2026-07-25/1225441586.PDF</x:v>
      </x:c>
      <x:c r="J475" s="11" t="str">
        <x:v>reported input or research-defined grouping; see original suffix and notes</x:v>
      </x:c>
      <x:c r="K475" s="11" t="str">
        <x:v>待核</x:v>
      </x:c>
      <x:c r="L475" s="11" t="str">
        <x:v>精确发布时间未核验</x:v>
      </x:c>
      <x:c r="M475" s="11" t="str">
        <x:v>截止日前日期，盘中时分未核</x:v>
      </x:c>
    </x:row>
    <x:row r="476" ht="23" customHeight="1">
      <x:c r="A476" s="11" t="str">
        <x:v>I063</x:v>
      </x:c>
      <x:c r="B476" s="11" t="str">
        <x:v>03750.HK</x:v>
      </x:c>
      <x:c r="C476" s="11" t="str">
        <x:v>storageGrossMargin</x:v>
      </x:c>
      <x:c r="D476" s="39" t="n">
        <x:v>0.2396</x:v>
      </x:c>
      <x:c r="E476" s="11" t="str">
        <x:v>not monetary</x:v>
      </x:c>
      <x:c r="F476" s="11" t="str">
        <x:v>fraction</x:v>
      </x:c>
      <x:c r="G476" s="11" t="str">
        <x:v>2026H1</x:v>
      </x:c>
      <x:c r="H476" s="11" t="str">
        <x:v>2026-07-25巨潮披露</x:v>
      </x:c>
      <x:c r="I476" s="11" t="str">
        <x:v>https://static.cninfo.com.cn/finalpage/2026-07-25/1225441586.PDF</x:v>
      </x:c>
      <x:c r="J476" s="11" t="str">
        <x:v>reported input or research-defined grouping; see original suffix and notes</x:v>
      </x:c>
      <x:c r="K476" s="11" t="str">
        <x:v>待核</x:v>
      </x:c>
      <x:c r="L476" s="11" t="str">
        <x:v>精确发布时间未核验</x:v>
      </x:c>
      <x:c r="M476" s="11" t="str">
        <x:v>截止日前日期，盘中时分未核</x:v>
      </x:c>
    </x:row>
    <x:row r="477" ht="23" customHeight="1">
      <x:c r="A477" s="11" t="str">
        <x:v>I063</x:v>
      </x:c>
      <x:c r="B477" s="11" t="str">
        <x:v>03750.HK</x:v>
      </x:c>
      <x:c r="C477" s="11" t="str">
        <x:v>materialsRecyclingMiningRevenueCNYmillion</x:v>
      </x:c>
      <x:c r="D477" s="39" t="n">
        <x:v>18811.078</x:v>
      </x:c>
      <x:c r="E477" s="11" t="str">
        <x:v>CNY</x:v>
      </x:c>
      <x:c r="F477" s="11" t="str">
        <x:v>million</x:v>
      </x:c>
      <x:c r="G477" s="11" t="str">
        <x:v>2026H1</x:v>
      </x:c>
      <x:c r="H477" s="11" t="str">
        <x:v>2026-07-25巨潮披露</x:v>
      </x:c>
      <x:c r="I477" s="11" t="str">
        <x:v>https://static.cninfo.com.cn/finalpage/2026-07-25/1225441586.PDF</x:v>
      </x:c>
      <x:c r="J477" s="11" t="str">
        <x:v>reported input or research-defined grouping; see original suffix and notes</x:v>
      </x:c>
      <x:c r="K477" s="11" t="str">
        <x:v>待核</x:v>
      </x:c>
      <x:c r="L477" s="11" t="str">
        <x:v>精确发布时间未核验</x:v>
      </x:c>
      <x:c r="M477" s="11" t="str">
        <x:v>截止日前日期，盘中时分未核</x:v>
      </x:c>
    </x:row>
    <x:row r="478" ht="23" customHeight="1">
      <x:c r="A478" s="11" t="str">
        <x:v>I063</x:v>
      </x:c>
      <x:c r="B478" s="11" t="str">
        <x:v>03750.HK</x:v>
      </x:c>
      <x:c r="C478" s="11" t="str">
        <x:v>materialsGrossMargin</x:v>
      </x:c>
      <x:c r="D478" s="39" t="n">
        <x:v>0.2704</x:v>
      </x:c>
      <x:c r="E478" s="11" t="str">
        <x:v>not monetary</x:v>
      </x:c>
      <x:c r="F478" s="11" t="str">
        <x:v>fraction</x:v>
      </x:c>
      <x:c r="G478" s="11" t="str">
        <x:v>2026H1</x:v>
      </x:c>
      <x:c r="H478" s="11" t="str">
        <x:v>2026-07-25巨潮披露</x:v>
      </x:c>
      <x:c r="I478" s="11" t="str">
        <x:v>https://static.cninfo.com.cn/finalpage/2026-07-25/1225441586.PDF</x:v>
      </x:c>
      <x:c r="J478" s="11" t="str">
        <x:v>reported input or research-defined grouping; see original suffix and notes</x:v>
      </x:c>
      <x:c r="K478" s="11" t="str">
        <x:v>待核</x:v>
      </x:c>
      <x:c r="L478" s="11" t="str">
        <x:v>精确发布时间未核验</x:v>
      </x:c>
      <x:c r="M478" s="11" t="str">
        <x:v>截止日前日期，盘中时分未核</x:v>
      </x:c>
    </x:row>
    <x:row r="479" ht="23" customHeight="1">
      <x:c r="A479" s="11" t="str">
        <x:v>I063</x:v>
      </x:c>
      <x:c r="B479" s="11" t="str">
        <x:v>03750.HK</x:v>
      </x:c>
      <x:c r="C479" s="11" t="str">
        <x:v>otherRevenueResearchCNYmillion</x:v>
      </x:c>
      <x:c r="D479" s="39" t="n">
        <x:v>12719.645</x:v>
      </x:c>
      <x:c r="E479" s="11" t="str">
        <x:v>CNY</x:v>
      </x:c>
      <x:c r="F479" s="11" t="str">
        <x:v>million</x:v>
      </x:c>
      <x:c r="G479" s="11" t="str">
        <x:v>2026H1</x:v>
      </x:c>
      <x:c r="H479" s="11" t="str">
        <x:v>2026-07-25巨潮披露</x:v>
      </x:c>
      <x:c r="I479" s="11" t="str">
        <x:v>https://static.cninfo.com.cn/finalpage/2026-07-25/1225441586.PDF</x:v>
      </x:c>
      <x:c r="J479" s="11" t="str">
        <x:v>research calculation from primary inputs</x:v>
      </x:c>
      <x:c r="K479" s="11" t="str">
        <x:v>待核</x:v>
      </x:c>
      <x:c r="L479" s="11" t="str">
        <x:v>精确发布时间未核验</x:v>
      </x:c>
      <x:c r="M479" s="11" t="str">
        <x:v>截止日前日期，盘中时分未核</x:v>
      </x:c>
    </x:row>
    <x:row r="480" ht="23" customHeight="1">
      <x:c r="A480" s="11" t="str">
        <x:v>I063</x:v>
      </x:c>
      <x:c r="B480" s="11" t="str">
        <x:v>03750.HK</x:v>
      </x:c>
      <x:c r="C480" s="11" t="str">
        <x:v>overseasRevenueCNYmillion</x:v>
      </x:c>
      <x:c r="D480" s="39" t="n">
        <x:v>87129.188</x:v>
      </x:c>
      <x:c r="E480" s="11" t="str">
        <x:v>CNY</x:v>
      </x:c>
      <x:c r="F480" s="11" t="str">
        <x:v>million</x:v>
      </x:c>
      <x:c r="G480" s="11" t="str">
        <x:v>2026H1</x:v>
      </x:c>
      <x:c r="H480" s="11" t="str">
        <x:v>2026-07-25巨潮披露</x:v>
      </x:c>
      <x:c r="I480" s="11" t="str">
        <x:v>https://static.cninfo.com.cn/finalpage/2026-07-25/1225441586.PDF</x:v>
      </x:c>
      <x:c r="J480" s="11" t="str">
        <x:v>reported input or research-defined grouping; see original suffix and notes</x:v>
      </x:c>
      <x:c r="K480" s="11" t="str">
        <x:v>待核</x:v>
      </x:c>
      <x:c r="L480" s="11" t="str">
        <x:v>精确发布时间未核验</x:v>
      </x:c>
      <x:c r="M480" s="11" t="str">
        <x:v>截止日前日期，盘中时分未核</x:v>
      </x:c>
    </x:row>
    <x:row r="481" ht="23" customHeight="1">
      <x:c r="A481" s="11" t="str">
        <x:v>I063</x:v>
      </x:c>
      <x:c r="B481" s="11" t="str">
        <x:v>03750.HK</x:v>
      </x:c>
      <x:c r="C481" s="11" t="str">
        <x:v>overseasGrossMargin</x:v>
      </x:c>
      <x:c r="D481" s="39" t="n">
        <x:v>0.2997</x:v>
      </x:c>
      <x:c r="E481" s="11" t="str">
        <x:v>not monetary</x:v>
      </x:c>
      <x:c r="F481" s="11" t="str">
        <x:v>fraction</x:v>
      </x:c>
      <x:c r="G481" s="11" t="str">
        <x:v>2026H1</x:v>
      </x:c>
      <x:c r="H481" s="11" t="str">
        <x:v>2026-07-25巨潮披露</x:v>
      </x:c>
      <x:c r="I481" s="11" t="str">
        <x:v>https://static.cninfo.com.cn/finalpage/2026-07-25/1225441586.PDF</x:v>
      </x:c>
      <x:c r="J481" s="11" t="str">
        <x:v>reported input or research-defined grouping; see original suffix and notes</x:v>
      </x:c>
      <x:c r="K481" s="11" t="str">
        <x:v>待核</x:v>
      </x:c>
      <x:c r="L481" s="11" t="str">
        <x:v>精确发布时间未核验</x:v>
      </x:c>
      <x:c r="M481" s="11" t="str">
        <x:v>截止日前日期，盘中时分未核</x:v>
      </x:c>
    </x:row>
    <x:row r="482" ht="23" customHeight="1">
      <x:c r="A482" s="11" t="str">
        <x:v>I063</x:v>
      </x:c>
      <x:c r="B482" s="11" t="str">
        <x:v>03750.HK</x:v>
      </x:c>
      <x:c r="C482" s="11" t="str">
        <x:v>ChinaRevenueCNYmillion</x:v>
      </x:c>
      <x:c r="D482" s="39" t="n">
        <x:v>189787.392</x:v>
      </x:c>
      <x:c r="E482" s="11" t="str">
        <x:v>CNY</x:v>
      </x:c>
      <x:c r="F482" s="11" t="str">
        <x:v>million</x:v>
      </x:c>
      <x:c r="G482" s="11" t="str">
        <x:v>2026H1</x:v>
      </x:c>
      <x:c r="H482" s="11" t="str">
        <x:v>2026-07-25巨潮披露</x:v>
      </x:c>
      <x:c r="I482" s="11" t="str">
        <x:v>https://static.cninfo.com.cn/finalpage/2026-07-25/1225441586.PDF</x:v>
      </x:c>
      <x:c r="J482" s="11" t="str">
        <x:v>reported input or research-defined grouping; see original suffix and notes</x:v>
      </x:c>
      <x:c r="K482" s="11" t="str">
        <x:v>待核</x:v>
      </x:c>
      <x:c r="L482" s="11" t="str">
        <x:v>精确发布时间未核验</x:v>
      </x:c>
      <x:c r="M482" s="11" t="str">
        <x:v>截止日前日期，盘中时分未核</x:v>
      </x:c>
    </x:row>
    <x:row r="483" ht="23" customHeight="1">
      <x:c r="A483" s="11" t="str">
        <x:v>I063</x:v>
      </x:c>
      <x:c r="B483" s="11" t="str">
        <x:v>03750.HK</x:v>
      </x:c>
      <x:c r="C483" s="11" t="str">
        <x:v>ChinaGrossMargin</x:v>
      </x:c>
      <x:c r="D483" s="39" t="n">
        <x:v>0.2116</x:v>
      </x:c>
      <x:c r="E483" s="11" t="str">
        <x:v>not monetary</x:v>
      </x:c>
      <x:c r="F483" s="11" t="str">
        <x:v>fraction</x:v>
      </x:c>
      <x:c r="G483" s="11" t="str">
        <x:v>2026H1</x:v>
      </x:c>
      <x:c r="H483" s="11" t="str">
        <x:v>2026-07-25巨潮披露</x:v>
      </x:c>
      <x:c r="I483" s="11" t="str">
        <x:v>https://static.cninfo.com.cn/finalpage/2026-07-25/1225441586.PDF</x:v>
      </x:c>
      <x:c r="J483" s="11" t="str">
        <x:v>reported input or research-defined grouping; see original suffix and notes</x:v>
      </x:c>
      <x:c r="K483" s="11" t="str">
        <x:v>待核</x:v>
      </x:c>
      <x:c r="L483" s="11" t="str">
        <x:v>精确发布时间未核验</x:v>
      </x:c>
      <x:c r="M483" s="11" t="str">
        <x:v>截止日前日期，盘中时分未核</x:v>
      </x:c>
    </x:row>
    <x:row r="484" ht="23" customHeight="1">
      <x:c r="A484" s="11" t="str">
        <x:v>I063</x:v>
      </x:c>
      <x:c r="B484" s="11" t="str">
        <x:v>03750.HK</x:v>
      </x:c>
      <x:c r="C484" s="11" t="str">
        <x:v>groupGrossMargin</x:v>
      </x:c>
      <x:c r="D484" s="39" t="n">
        <x:v>0.2393</x:v>
      </x:c>
      <x:c r="E484" s="11" t="str">
        <x:v>not monetary</x:v>
      </x:c>
      <x:c r="F484" s="11" t="str">
        <x:v>fraction</x:v>
      </x:c>
      <x:c r="G484" s="11" t="str">
        <x:v>2026H1</x:v>
      </x:c>
      <x:c r="H484" s="11" t="str">
        <x:v>2026-07-25巨潮披露</x:v>
      </x:c>
      <x:c r="I484" s="11" t="str">
        <x:v>https://static.cninfo.com.cn/finalpage/2026-07-25/1225441586.PDF</x:v>
      </x:c>
      <x:c r="J484" s="11" t="str">
        <x:v>reported input or research-defined grouping; see original suffix and notes</x:v>
      </x:c>
      <x:c r="K484" s="11" t="str">
        <x:v>待核</x:v>
      </x:c>
      <x:c r="L484" s="11" t="str">
        <x:v>精确发布时间未核验</x:v>
      </x:c>
      <x:c r="M484" s="11" t="str">
        <x:v>截止日前日期，盘中时分未核</x:v>
      </x:c>
    </x:row>
    <x:row r="485" ht="23" customHeight="1">
      <x:c r="A485" s="11" t="str">
        <x:v>I063</x:v>
      </x:c>
      <x:c r="B485" s="11" t="str">
        <x:v>03750.HK</x:v>
      </x:c>
      <x:c r="C485" s="11" t="str">
        <x:v>batteryCapacityGWh</x:v>
      </x:c>
      <x:c r="D485" s="39" t="n">
        <x:v>525</x:v>
      </x:c>
      <x:c r="E485" s="11" t="str">
        <x:v>not monetary</x:v>
      </x:c>
      <x:c r="F485" s="11" t="str">
        <x:v>GWh</x:v>
      </x:c>
      <x:c r="G485" s="11" t="str">
        <x:v>2026H1</x:v>
      </x:c>
      <x:c r="H485" s="11" t="str">
        <x:v>2026-07-25巨潮披露</x:v>
      </x:c>
      <x:c r="I485" s="11" t="str">
        <x:v>https://static.cninfo.com.cn/finalpage/2026-07-25/1225441586.PDF</x:v>
      </x:c>
      <x:c r="J485" s="11" t="str">
        <x:v>reported input or research-defined grouping; see original suffix and notes</x:v>
      </x:c>
      <x:c r="K485" s="11" t="str">
        <x:v>待核</x:v>
      </x:c>
      <x:c r="L485" s="11" t="str">
        <x:v>精确发布时间未核验</x:v>
      </x:c>
      <x:c r="M485" s="11" t="str">
        <x:v>截止日前日期，盘中时分未核</x:v>
      </x:c>
    </x:row>
    <x:row r="486" ht="23" customHeight="1">
      <x:c r="A486" s="11" t="str">
        <x:v>I063</x:v>
      </x:c>
      <x:c r="B486" s="11" t="str">
        <x:v>03750.HK</x:v>
      </x:c>
      <x:c r="C486" s="11" t="str">
        <x:v>batteryCapacityUnderConstructionGWh</x:v>
      </x:c>
      <x:c r="D486" s="39" t="n">
        <x:v>764</x:v>
      </x:c>
      <x:c r="E486" s="11" t="str">
        <x:v>not monetary</x:v>
      </x:c>
      <x:c r="F486" s="11" t="str">
        <x:v>GWh</x:v>
      </x:c>
      <x:c r="G486" s="11" t="str">
        <x:v>2026H1</x:v>
      </x:c>
      <x:c r="H486" s="11" t="str">
        <x:v>2026-07-25巨潮披露</x:v>
      </x:c>
      <x:c r="I486" s="11" t="str">
        <x:v>https://static.cninfo.com.cn/finalpage/2026-07-25/1225441586.PDF</x:v>
      </x:c>
      <x:c r="J486" s="11" t="str">
        <x:v>reported input or research-defined grouping; see original suffix and notes</x:v>
      </x:c>
      <x:c r="K486" s="11" t="str">
        <x:v>待核</x:v>
      </x:c>
      <x:c r="L486" s="11" t="str">
        <x:v>精确发布时间未核验</x:v>
      </x:c>
      <x:c r="M486" s="11" t="str">
        <x:v>截止日前日期，盘中时分未核</x:v>
      </x:c>
    </x:row>
    <x:row r="487" ht="23" customHeight="1">
      <x:c r="A487" s="11" t="str">
        <x:v>I063</x:v>
      </x:c>
      <x:c r="B487" s="11" t="str">
        <x:v>03750.HK</x:v>
      </x:c>
      <x:c r="C487" s="11" t="str">
        <x:v>batteryProductionGWh</x:v>
      </x:c>
      <x:c r="D487" s="39" t="n">
        <x:v>498</x:v>
      </x:c>
      <x:c r="E487" s="11" t="str">
        <x:v>not monetary</x:v>
      </x:c>
      <x:c r="F487" s="11" t="str">
        <x:v>GWh</x:v>
      </x:c>
      <x:c r="G487" s="11" t="str">
        <x:v>2026H1</x:v>
      </x:c>
      <x:c r="H487" s="11" t="str">
        <x:v>2026-07-25巨潮披露</x:v>
      </x:c>
      <x:c r="I487" s="11" t="str">
        <x:v>https://static.cninfo.com.cn/finalpage/2026-07-25/1225441586.PDF</x:v>
      </x:c>
      <x:c r="J487" s="11" t="str">
        <x:v>reported input or research-defined grouping; see original suffix and notes</x:v>
      </x:c>
      <x:c r="K487" s="11" t="str">
        <x:v>待核</x:v>
      </x:c>
      <x:c r="L487" s="11" t="str">
        <x:v>精确发布时间未核验</x:v>
      </x:c>
      <x:c r="M487" s="11" t="str">
        <x:v>截止日前日期，盘中时分未核</x:v>
      </x:c>
    </x:row>
    <x:row r="488" ht="23" customHeight="1">
      <x:c r="A488" s="11" t="str">
        <x:v>I063</x:v>
      </x:c>
      <x:c r="B488" s="11" t="str">
        <x:v>03750.HK</x:v>
      </x:c>
      <x:c r="C488" s="11" t="str">
        <x:v>capacityUtilization</x:v>
      </x:c>
      <x:c r="D488" s="39" t="n">
        <x:v>0.9486</x:v>
      </x:c>
      <x:c r="E488" s="11" t="str">
        <x:v>CNY</x:v>
      </x:c>
      <x:c r="F488" s="11" t="str">
        <x:v>mixed; original field suffix retains scale</x:v>
      </x:c>
      <x:c r="G488" s="11" t="str">
        <x:v>2026H1</x:v>
      </x:c>
      <x:c r="H488" s="11" t="str">
        <x:v>2026-07-25巨潮披露</x:v>
      </x:c>
      <x:c r="I488" s="11" t="str">
        <x:v>https://static.cninfo.com.cn/finalpage/2026-07-25/1225441586.PDF</x:v>
      </x:c>
      <x:c r="J488" s="11" t="str">
        <x:v>reported input or research-defined grouping; see original suffix and notes</x:v>
      </x:c>
      <x:c r="K488" s="11" t="str">
        <x:v>待核</x:v>
      </x:c>
      <x:c r="L488" s="11" t="str">
        <x:v>精确发布时间未核验</x:v>
      </x:c>
      <x:c r="M488" s="11" t="str">
        <x:v>截止日前日期，盘中时分未核</x:v>
      </x:c>
    </x:row>
    <x:row r="489" ht="23" customHeight="1">
      <x:c r="A489" s="11" t="str">
        <x:v>I063</x:v>
      </x:c>
      <x:c r="B489" s="11" t="str">
        <x:v>03750.HK</x:v>
      </x:c>
      <x:c r="C489" s="11" t="str">
        <x:v>cashBankCNYmillion</x:v>
      </x:c>
      <x:c r="D489" s="39" t="n">
        <x:v>372053.275</x:v>
      </x:c>
      <x:c r="E489" s="11" t="str">
        <x:v>CNY</x:v>
      </x:c>
      <x:c r="F489" s="11" t="str">
        <x:v>million</x:v>
      </x:c>
      <x:c r="G489" s="11" t="str">
        <x:v>2026H1</x:v>
      </x:c>
      <x:c r="H489" s="11" t="str">
        <x:v>2026-07-25巨潮披露</x:v>
      </x:c>
      <x:c r="I489" s="11" t="str">
        <x:v>https://static.cninfo.com.cn/finalpage/2026-07-25/1225441586.PDF</x:v>
      </x:c>
      <x:c r="J489" s="11" t="str">
        <x:v>reported input or research-defined grouping; see original suffix and notes</x:v>
      </x:c>
      <x:c r="K489" s="11" t="str">
        <x:v>待核</x:v>
      </x:c>
      <x:c r="L489" s="11" t="str">
        <x:v>精确发布时间未核验</x:v>
      </x:c>
      <x:c r="M489" s="11" t="str">
        <x:v>截止日前日期，盘中时分未核</x:v>
      </x:c>
    </x:row>
    <x:row r="490" ht="23" customHeight="1">
      <x:c r="A490" s="11" t="str">
        <x:v>I063</x:v>
      </x:c>
      <x:c r="B490" s="11" t="str">
        <x:v>03750.HK</x:v>
      </x:c>
      <x:c r="C490" s="11" t="str">
        <x:v>cashEquivalentsNetOverdraftCNYmillion</x:v>
      </x:c>
      <x:c r="D490" s="39" t="n">
        <x:v>340586.216</x:v>
      </x:c>
      <x:c r="E490" s="11" t="str">
        <x:v>CNY</x:v>
      </x:c>
      <x:c r="F490" s="11" t="str">
        <x:v>million</x:v>
      </x:c>
      <x:c r="G490" s="11" t="str">
        <x:v>2026H1</x:v>
      </x:c>
      <x:c r="H490" s="11" t="str">
        <x:v>2026-07-25巨潮披露</x:v>
      </x:c>
      <x:c r="I490" s="11" t="str">
        <x:v>https://static.cninfo.com.cn/finalpage/2026-07-25/1225441586.PDF</x:v>
      </x:c>
      <x:c r="J490" s="11" t="str">
        <x:v>reported input or research-defined grouping; see original suffix and notes</x:v>
      </x:c>
      <x:c r="K490" s="11" t="str">
        <x:v>待核</x:v>
      </x:c>
      <x:c r="L490" s="11" t="str">
        <x:v>精确发布时间未核验</x:v>
      </x:c>
      <x:c r="M490" s="11" t="str">
        <x:v>截止日前日期，盘中时分未核</x:v>
      </x:c>
    </x:row>
    <x:row r="491" ht="23" customHeight="1">
      <x:c r="A491" s="11" t="str">
        <x:v>I063</x:v>
      </x:c>
      <x:c r="B491" s="11" t="str">
        <x:v>03750.HK</x:v>
      </x:c>
      <x:c r="C491" s="11" t="str">
        <x:v>bankOverdraftCNYmillion</x:v>
      </x:c>
      <x:c r="D491" s="39" t="n">
        <x:v>6210.332</x:v>
      </x:c>
      <x:c r="E491" s="11" t="str">
        <x:v>CNY</x:v>
      </x:c>
      <x:c r="F491" s="11" t="str">
        <x:v>million</x:v>
      </x:c>
      <x:c r="G491" s="11" t="str">
        <x:v>2026H1</x:v>
      </x:c>
      <x:c r="H491" s="11" t="str">
        <x:v>2026-07-25巨潮披露</x:v>
      </x:c>
      <x:c r="I491" s="11" t="str">
        <x:v>https://static.cninfo.com.cn/finalpage/2026-07-25/1225441586.PDF</x:v>
      </x:c>
      <x:c r="J491" s="11" t="str">
        <x:v>reported input or research-defined grouping; see original suffix and notes</x:v>
      </x:c>
      <x:c r="K491" s="11" t="str">
        <x:v>待核</x:v>
      </x:c>
      <x:c r="L491" s="11" t="str">
        <x:v>精确发布时间未核验</x:v>
      </x:c>
      <x:c r="M491" s="11" t="str">
        <x:v>截止日前日期，盘中时分未核</x:v>
      </x:c>
    </x:row>
    <x:row r="492" ht="23" customHeight="1">
      <x:c r="A492" s="11" t="str">
        <x:v>I063</x:v>
      </x:c>
      <x:c r="B492" s="11" t="str">
        <x:v>03750.HK</x:v>
      </x:c>
      <x:c r="C492" s="11" t="str">
        <x:v>shortDebtCNYmillion</x:v>
      </x:c>
      <x:c r="D492" s="39" t="n">
        <x:v>20885.906</x:v>
      </x:c>
      <x:c r="E492" s="11" t="str">
        <x:v>CNY</x:v>
      </x:c>
      <x:c r="F492" s="11" t="str">
        <x:v>million</x:v>
      </x:c>
      <x:c r="G492" s="11" t="str">
        <x:v>2026H1</x:v>
      </x:c>
      <x:c r="H492" s="11" t="str">
        <x:v>2026-07-25巨潮披露</x:v>
      </x:c>
      <x:c r="I492" s="11" t="str">
        <x:v>https://static.cninfo.com.cn/finalpage/2026-07-25/1225441586.PDF</x:v>
      </x:c>
      <x:c r="J492" s="11" t="str">
        <x:v>reported input or research-defined grouping; see original suffix and notes</x:v>
      </x:c>
      <x:c r="K492" s="11" t="str">
        <x:v>待核</x:v>
      </x:c>
      <x:c r="L492" s="11" t="str">
        <x:v>精确发布时间未核验</x:v>
      </x:c>
      <x:c r="M492" s="11" t="str">
        <x:v>截止日前日期，盘中时分未核</x:v>
      </x:c>
    </x:row>
    <x:row r="493" ht="23" customHeight="1">
      <x:c r="A493" s="11" t="str">
        <x:v>I063</x:v>
      </x:c>
      <x:c r="B493" s="11" t="str">
        <x:v>03750.HK</x:v>
      </x:c>
      <x:c r="C493" s="11" t="str">
        <x:v>longDebtCNYmillion</x:v>
      </x:c>
      <x:c r="D493" s="39" t="n">
        <x:v>74262.746</x:v>
      </x:c>
      <x:c r="E493" s="11" t="str">
        <x:v>CNY</x:v>
      </x:c>
      <x:c r="F493" s="11" t="str">
        <x:v>million</x:v>
      </x:c>
      <x:c r="G493" s="11" t="str">
        <x:v>2026H1</x:v>
      </x:c>
      <x:c r="H493" s="11" t="str">
        <x:v>2026-07-25巨潮披露</x:v>
      </x:c>
      <x:c r="I493" s="11" t="str">
        <x:v>https://static.cninfo.com.cn/finalpage/2026-07-25/1225441586.PDF</x:v>
      </x:c>
      <x:c r="J493" s="11" t="str">
        <x:v>reported input or research-defined grouping; see original suffix and notes</x:v>
      </x:c>
      <x:c r="K493" s="11" t="str">
        <x:v>待核</x:v>
      </x:c>
      <x:c r="L493" s="11" t="str">
        <x:v>精确发布时间未核验</x:v>
      </x:c>
      <x:c r="M493" s="11" t="str">
        <x:v>截止日前日期，盘中时分未核</x:v>
      </x:c>
    </x:row>
    <x:row r="494" ht="23" customHeight="1">
      <x:c r="A494" s="11" t="str">
        <x:v>I063</x:v>
      </x:c>
      <x:c r="B494" s="11" t="str">
        <x:v>03750.HK</x:v>
      </x:c>
      <x:c r="C494" s="11" t="str">
        <x:v>bondsCNYmillion</x:v>
      </x:c>
      <x:c r="D494" s="39" t="n">
        <x:v>28512.039</x:v>
      </x:c>
      <x:c r="E494" s="11" t="str">
        <x:v>CNY</x:v>
      </x:c>
      <x:c r="F494" s="11" t="str">
        <x:v>million</x:v>
      </x:c>
      <x:c r="G494" s="11" t="str">
        <x:v>2026H1</x:v>
      </x:c>
      <x:c r="H494" s="11" t="str">
        <x:v>2026-07-25巨潮披露</x:v>
      </x:c>
      <x:c r="I494" s="11" t="str">
        <x:v>https://static.cninfo.com.cn/finalpage/2026-07-25/1225441586.PDF</x:v>
      </x:c>
      <x:c r="J494" s="11" t="str">
        <x:v>reported input or research-defined grouping; see original suffix and notes</x:v>
      </x:c>
      <x:c r="K494" s="11" t="str">
        <x:v>待核</x:v>
      </x:c>
      <x:c r="L494" s="11" t="str">
        <x:v>精确发布时间未核验</x:v>
      </x:c>
      <x:c r="M494" s="11" t="str">
        <x:v>截止日前日期，盘中时分未核</x:v>
      </x:c>
    </x:row>
    <x:row r="495" ht="23" customHeight="1">
      <x:c r="A495" s="11" t="str">
        <x:v>I063</x:v>
      </x:c>
      <x:c r="B495" s="11" t="str">
        <x:v>03750.HK</x:v>
      </x:c>
      <x:c r="C495" s="11" t="str">
        <x:v>currentLongDebtCNYmillion</x:v>
      </x:c>
      <x:c r="D495" s="39" t="n">
        <x:v>17447.694</x:v>
      </x:c>
      <x:c r="E495" s="11" t="str">
        <x:v>CNY</x:v>
      </x:c>
      <x:c r="F495" s="11" t="str">
        <x:v>million</x:v>
      </x:c>
      <x:c r="G495" s="11" t="str">
        <x:v>2026H1</x:v>
      </x:c>
      <x:c r="H495" s="11" t="str">
        <x:v>2026-07-25巨潮披露</x:v>
      </x:c>
      <x:c r="I495" s="11" t="str">
        <x:v>https://static.cninfo.com.cn/finalpage/2026-07-25/1225441586.PDF</x:v>
      </x:c>
      <x:c r="J495" s="11" t="str">
        <x:v>reported input or research-defined grouping; see original suffix and notes</x:v>
      </x:c>
      <x:c r="K495" s="11" t="str">
        <x:v>待核</x:v>
      </x:c>
      <x:c r="L495" s="11" t="str">
        <x:v>精确发布时间未核验</x:v>
      </x:c>
      <x:c r="M495" s="11" t="str">
        <x:v>截止日前日期，盘中时分未核</x:v>
      </x:c>
    </x:row>
    <x:row r="496" ht="23" customHeight="1">
      <x:c r="A496" s="11" t="str">
        <x:v>I063</x:v>
      </x:c>
      <x:c r="B496" s="11" t="str">
        <x:v>03750.HK</x:v>
      </x:c>
      <x:c r="C496" s="11" t="str">
        <x:v>currentBondsCNYmillion</x:v>
      </x:c>
      <x:c r="D496" s="39" t="n">
        <x:v>3912.781</x:v>
      </x:c>
      <x:c r="E496" s="11" t="str">
        <x:v>CNY</x:v>
      </x:c>
      <x:c r="F496" s="11" t="str">
        <x:v>million</x:v>
      </x:c>
      <x:c r="G496" s="11" t="str">
        <x:v>2026H1</x:v>
      </x:c>
      <x:c r="H496" s="11" t="str">
        <x:v>2026-07-25巨潮披露</x:v>
      </x:c>
      <x:c r="I496" s="11" t="str">
        <x:v>https://static.cninfo.com.cn/finalpage/2026-07-25/1225441586.PDF</x:v>
      </x:c>
      <x:c r="J496" s="11" t="str">
        <x:v>reported input or research-defined grouping; see original suffix and notes</x:v>
      </x:c>
      <x:c r="K496" s="11" t="str">
        <x:v>待核</x:v>
      </x:c>
      <x:c r="L496" s="11" t="str">
        <x:v>精确发布时间未核验</x:v>
      </x:c>
      <x:c r="M496" s="11" t="str">
        <x:v>截止日前日期，盘中时分未核</x:v>
      </x:c>
    </x:row>
    <x:row r="497" ht="23" customHeight="1">
      <x:c r="A497" s="11" t="str">
        <x:v>I063</x:v>
      </x:c>
      <x:c r="B497" s="11" t="str">
        <x:v>03750.HK</x:v>
      </x:c>
      <x:c r="C497" s="11" t="str">
        <x:v>interestDebtResearchCNYmillion</x:v>
      </x:c>
      <x:c r="D497" s="39" t="n">
        <x:v>145021.166</x:v>
      </x:c>
      <x:c r="E497" s="11" t="str">
        <x:v>CNY</x:v>
      </x:c>
      <x:c r="F497" s="11" t="str">
        <x:v>million</x:v>
      </x:c>
      <x:c r="G497" s="11" t="str">
        <x:v>2026H1</x:v>
      </x:c>
      <x:c r="H497" s="11" t="str">
        <x:v>2026-07-25巨潮披露</x:v>
      </x:c>
      <x:c r="I497" s="11" t="str">
        <x:v>https://static.cninfo.com.cn/finalpage/2026-07-25/1225441586.PDF</x:v>
      </x:c>
      <x:c r="J497" s="11" t="str">
        <x:v>research calculation from primary inputs</x:v>
      </x:c>
      <x:c r="K497" s="11" t="str">
        <x:v>待核</x:v>
      </x:c>
      <x:c r="L497" s="11" t="str">
        <x:v>精确发布时间未核验</x:v>
      </x:c>
      <x:c r="M497" s="11" t="str">
        <x:v>截止日前日期，盘中时分未核</x:v>
      </x:c>
    </x:row>
    <x:row r="498" ht="23" customHeight="1">
      <x:c r="A498" s="11" t="str">
        <x:v>I063</x:v>
      </x:c>
      <x:c r="B498" s="11" t="str">
        <x:v>03750.HK</x:v>
      </x:c>
      <x:c r="C498" s="11" t="str">
        <x:v>leaseDebtIncludingCurrentCNYmillion</x:v>
      </x:c>
      <x:c r="D498" s="39" t="n">
        <x:v>3980.727</x:v>
      </x:c>
      <x:c r="E498" s="11" t="str">
        <x:v>CNY</x:v>
      </x:c>
      <x:c r="F498" s="11" t="str">
        <x:v>million</x:v>
      </x:c>
      <x:c r="G498" s="11" t="str">
        <x:v>2026H1</x:v>
      </x:c>
      <x:c r="H498" s="11" t="str">
        <x:v>2026-07-25巨潮披露</x:v>
      </x:c>
      <x:c r="I498" s="11" t="str">
        <x:v>https://static.cninfo.com.cn/finalpage/2026-07-25/1225441586.PDF</x:v>
      </x:c>
      <x:c r="J498" s="11" t="str">
        <x:v>reported input or research-defined grouping; see original suffix and notes</x:v>
      </x:c>
      <x:c r="K498" s="11" t="str">
        <x:v>待核</x:v>
      </x:c>
      <x:c r="L498" s="11" t="str">
        <x:v>精确发布时间未核验</x:v>
      </x:c>
      <x:c r="M498" s="11" t="str">
        <x:v>截止日前日期，盘中时分未核</x:v>
      </x:c>
    </x:row>
    <x:row r="499" ht="23" customHeight="1">
      <x:c r="A499" s="11" t="str">
        <x:v>I063</x:v>
      </x:c>
      <x:c r="B499" s="11" t="str">
        <x:v>03750.HK</x:v>
      </x:c>
      <x:c r="C499" s="11" t="str">
        <x:v>netCashResearchCNYmillion</x:v>
      </x:c>
      <x:c r="D499" s="39" t="n">
        <x:v>195565.05</x:v>
      </x:c>
      <x:c r="E499" s="11" t="str">
        <x:v>CNY</x:v>
      </x:c>
      <x:c r="F499" s="11" t="str">
        <x:v>million</x:v>
      </x:c>
      <x:c r="G499" s="11" t="str">
        <x:v>2026H1</x:v>
      </x:c>
      <x:c r="H499" s="11" t="str">
        <x:v>2026-07-25巨潮披露</x:v>
      </x:c>
      <x:c r="I499" s="11" t="str">
        <x:v>https://static.cninfo.com.cn/finalpage/2026-07-25/1225441586.PDF</x:v>
      </x:c>
      <x:c r="J499" s="11" t="str">
        <x:v>research calculation from primary inputs</x:v>
      </x:c>
      <x:c r="K499" s="11" t="str">
        <x:v>待核</x:v>
      </x:c>
      <x:c r="L499" s="11" t="str">
        <x:v>精确发布时间未核验</x:v>
      </x:c>
      <x:c r="M499" s="11" t="str">
        <x:v>截止日前日期，盘中时分未核</x:v>
      </x:c>
    </x:row>
    <x:row r="500" ht="23" customHeight="1">
      <x:c r="A500" s="11" t="str">
        <x:v>I063</x:v>
      </x:c>
      <x:c r="B500" s="11" t="str">
        <x:v>03750.HK</x:v>
      </x:c>
      <x:c r="C500" s="11" t="str">
        <x:v>inventoriesCNYmillion</x:v>
      </x:c>
      <x:c r="D500" s="39" t="n">
        <x:v>130819.205</x:v>
      </x:c>
      <x:c r="E500" s="11" t="str">
        <x:v>CNY</x:v>
      </x:c>
      <x:c r="F500" s="11" t="str">
        <x:v>million</x:v>
      </x:c>
      <x:c r="G500" s="11" t="str">
        <x:v>2026H1</x:v>
      </x:c>
      <x:c r="H500" s="11" t="str">
        <x:v>2026-07-25巨潮披露</x:v>
      </x:c>
      <x:c r="I500" s="11" t="str">
        <x:v>https://static.cninfo.com.cn/finalpage/2026-07-25/1225441586.PDF</x:v>
      </x:c>
      <x:c r="J500" s="11" t="str">
        <x:v>reported input or research-defined grouping; see original suffix and notes</x:v>
      </x:c>
      <x:c r="K500" s="11" t="str">
        <x:v>待核</x:v>
      </x:c>
      <x:c r="L500" s="11" t="str">
        <x:v>精确发布时间未核验</x:v>
      </x:c>
      <x:c r="M500" s="11" t="str">
        <x:v>截止日前日期，盘中时分未核</x:v>
      </x:c>
    </x:row>
    <x:row r="501" ht="23" customHeight="1">
      <x:c r="A501" s="11" t="str">
        <x:v>I063</x:v>
      </x:c>
      <x:c r="B501" s="11" t="str">
        <x:v>03750.HK</x:v>
      </x:c>
      <x:c r="C501" s="11" t="str">
        <x:v>tradeReceivablesCNYmillion</x:v>
      </x:c>
      <x:c r="D501" s="39" t="n">
        <x:v>88417.984</x:v>
      </x:c>
      <x:c r="E501" s="11" t="str">
        <x:v>CNY</x:v>
      </x:c>
      <x:c r="F501" s="11" t="str">
        <x:v>million</x:v>
      </x:c>
      <x:c r="G501" s="11" t="str">
        <x:v>2026H1</x:v>
      </x:c>
      <x:c r="H501" s="11" t="str">
        <x:v>2026-07-25巨潮披露</x:v>
      </x:c>
      <x:c r="I501" s="11" t="str">
        <x:v>https://static.cninfo.com.cn/finalpage/2026-07-25/1225441586.PDF</x:v>
      </x:c>
      <x:c r="J501" s="11" t="str">
        <x:v>reported input or research-defined grouping; see original suffix and notes</x:v>
      </x:c>
      <x:c r="K501" s="11" t="str">
        <x:v>待核</x:v>
      </x:c>
      <x:c r="L501" s="11" t="str">
        <x:v>精确发布时间未核验</x:v>
      </x:c>
      <x:c r="M501" s="11" t="str">
        <x:v>截止日前日期，盘中时分未核</x:v>
      </x:c>
    </x:row>
    <x:row r="502" ht="23" customHeight="1">
      <x:c r="A502" s="11" t="str">
        <x:v>I063</x:v>
      </x:c>
      <x:c r="B502" s="11" t="str">
        <x:v>03750.HK</x:v>
      </x:c>
      <x:c r="C502" s="11" t="str">
        <x:v>receivableFinancingCNYmillion</x:v>
      </x:c>
      <x:c r="D502" s="39" t="n">
        <x:v>51923.468</x:v>
      </x:c>
      <x:c r="E502" s="11" t="str">
        <x:v>CNY</x:v>
      </x:c>
      <x:c r="F502" s="11" t="str">
        <x:v>million</x:v>
      </x:c>
      <x:c r="G502" s="11" t="str">
        <x:v>2026H1</x:v>
      </x:c>
      <x:c r="H502" s="11" t="str">
        <x:v>2026-07-25巨潮披露</x:v>
      </x:c>
      <x:c r="I502" s="11" t="str">
        <x:v>https://static.cninfo.com.cn/finalpage/2026-07-25/1225441586.PDF</x:v>
      </x:c>
      <x:c r="J502" s="11" t="str">
        <x:v>reported input or research-defined grouping; see original suffix and notes</x:v>
      </x:c>
      <x:c r="K502" s="11" t="str">
        <x:v>待核</x:v>
      </x:c>
      <x:c r="L502" s="11" t="str">
        <x:v>精确发布时间未核验</x:v>
      </x:c>
      <x:c r="M502" s="11" t="str">
        <x:v>截止日前日期，盘中时分未核</x:v>
      </x:c>
    </x:row>
    <x:row r="503" ht="23" customHeight="1">
      <x:c r="A503" s="11" t="str">
        <x:v>I063</x:v>
      </x:c>
      <x:c r="B503" s="11" t="str">
        <x:v>03750.HK</x:v>
      </x:c>
      <x:c r="C503" s="11" t="str">
        <x:v>tradePayablesCNYmillion</x:v>
      </x:c>
      <x:c r="D503" s="39" t="n">
        <x:v>202508.781</x:v>
      </x:c>
      <x:c r="E503" s="11" t="str">
        <x:v>CNY</x:v>
      </x:c>
      <x:c r="F503" s="11" t="str">
        <x:v>million</x:v>
      </x:c>
      <x:c r="G503" s="11" t="str">
        <x:v>2026H1</x:v>
      </x:c>
      <x:c r="H503" s="11" t="str">
        <x:v>2026-07-25巨潮披露</x:v>
      </x:c>
      <x:c r="I503" s="11" t="str">
        <x:v>https://static.cninfo.com.cn/finalpage/2026-07-25/1225441586.PDF</x:v>
      </x:c>
      <x:c r="J503" s="11" t="str">
        <x:v>reported input or research-defined grouping; see original suffix and notes</x:v>
      </x:c>
      <x:c r="K503" s="11" t="str">
        <x:v>待核</x:v>
      </x:c>
      <x:c r="L503" s="11" t="str">
        <x:v>精确发布时间未核验</x:v>
      </x:c>
      <x:c r="M503" s="11" t="str">
        <x:v>截止日前日期，盘中时分未核</x:v>
      </x:c>
    </x:row>
    <x:row r="504" ht="23" customHeight="1">
      <x:c r="A504" s="11" t="str">
        <x:v>I063</x:v>
      </x:c>
      <x:c r="B504" s="11" t="str">
        <x:v>03750.HK</x:v>
      </x:c>
      <x:c r="C504" s="11" t="str">
        <x:v>notesPayableCNYmillion</x:v>
      </x:c>
      <x:c r="D504" s="39" t="n">
        <x:v>152977.931</x:v>
      </x:c>
      <x:c r="E504" s="11" t="str">
        <x:v>CNY</x:v>
      </x:c>
      <x:c r="F504" s="11" t="str">
        <x:v>million</x:v>
      </x:c>
      <x:c r="G504" s="11" t="str">
        <x:v>2026H1</x:v>
      </x:c>
      <x:c r="H504" s="11" t="str">
        <x:v>2026-07-25巨潮披露</x:v>
      </x:c>
      <x:c r="I504" s="11" t="str">
        <x:v>https://static.cninfo.com.cn/finalpage/2026-07-25/1225441586.PDF</x:v>
      </x:c>
      <x:c r="J504" s="11" t="str">
        <x:v>reported input or research-defined grouping; see original suffix and notes</x:v>
      </x:c>
      <x:c r="K504" s="11" t="str">
        <x:v>待核</x:v>
      </x:c>
      <x:c r="L504" s="11" t="str">
        <x:v>精确发布时间未核验</x:v>
      </x:c>
      <x:c r="M504" s="11" t="str">
        <x:v>截止日前日期，盘中时分未核</x:v>
      </x:c>
    </x:row>
    <x:row r="505" ht="23" customHeight="1">
      <x:c r="A505" s="11" t="str">
        <x:v>I063</x:v>
      </x:c>
      <x:c r="B505" s="11" t="str">
        <x:v>03750.HK</x:v>
      </x:c>
      <x:c r="C505" s="11" t="str">
        <x:v>contractLiabilityCNYmillion</x:v>
      </x:c>
      <x:c r="D505" s="39" t="n">
        <x:v>36482.664</x:v>
      </x:c>
      <x:c r="E505" s="11" t="str">
        <x:v>CNY</x:v>
      </x:c>
      <x:c r="F505" s="11" t="str">
        <x:v>million</x:v>
      </x:c>
      <x:c r="G505" s="11" t="str">
        <x:v>2026H1</x:v>
      </x:c>
      <x:c r="H505" s="11" t="str">
        <x:v>2026-07-25巨潮披露</x:v>
      </x:c>
      <x:c r="I505" s="11" t="str">
        <x:v>https://static.cninfo.com.cn/finalpage/2026-07-25/1225441586.PDF</x:v>
      </x:c>
      <x:c r="J505" s="11" t="str">
        <x:v>reported input or research-defined grouping; see original suffix and notes</x:v>
      </x:c>
      <x:c r="K505" s="11" t="str">
        <x:v>待核</x:v>
      </x:c>
      <x:c r="L505" s="11" t="str">
        <x:v>精确发布时间未核验</x:v>
      </x:c>
      <x:c r="M505" s="11" t="str">
        <x:v>截止日前日期，盘中时分未核</x:v>
      </x:c>
    </x:row>
    <x:row r="506" ht="23" customHeight="1">
      <x:c r="A506" s="11" t="str">
        <x:v>I063</x:v>
      </x:c>
      <x:c r="B506" s="11" t="str">
        <x:v>03750.HK</x:v>
      </x:c>
      <x:c r="C506" s="11" t="str">
        <x:v>supplierFinancePayablesCNYmillion</x:v>
      </x:c>
      <x:c r="D506" s="39" t="n">
        <x:v>57764.224</x:v>
      </x:c>
      <x:c r="E506" s="11" t="str">
        <x:v>CNY</x:v>
      </x:c>
      <x:c r="F506" s="11" t="str">
        <x:v>million</x:v>
      </x:c>
      <x:c r="G506" s="11" t="str">
        <x:v>2026H1</x:v>
      </x:c>
      <x:c r="H506" s="11" t="str">
        <x:v>2026-07-25巨潮披露</x:v>
      </x:c>
      <x:c r="I506" s="11" t="str">
        <x:v>https://static.cninfo.com.cn/finalpage/2026-07-25/1225441586.PDF</x:v>
      </x:c>
      <x:c r="J506" s="11" t="str">
        <x:v>reported input or research-defined grouping; see original suffix and notes</x:v>
      </x:c>
      <x:c r="K506" s="11" t="str">
        <x:v>待核</x:v>
      </x:c>
      <x:c r="L506" s="11" t="str">
        <x:v>精确发布时间未核验</x:v>
      </x:c>
      <x:c r="M506" s="11" t="str">
        <x:v>截止日前日期，盘中时分未核</x:v>
      </x:c>
    </x:row>
    <x:row r="507" ht="23" customHeight="1">
      <x:c r="A507" s="11" t="str">
        <x:v>I063</x:v>
      </x:c>
      <x:c r="B507" s="11" t="str">
        <x:v>03750.HK</x:v>
      </x:c>
      <x:c r="C507" s="11" t="str">
        <x:v>supplierCashAlreadyAdvancedCNYmillion</x:v>
      </x:c>
      <x:c r="D507" s="39" t="n">
        <x:v>50406.338</x:v>
      </x:c>
      <x:c r="E507" s="11" t="str">
        <x:v>CNY</x:v>
      </x:c>
      <x:c r="F507" s="11" t="str">
        <x:v>million</x:v>
      </x:c>
      <x:c r="G507" s="11" t="str">
        <x:v>2026H1</x:v>
      </x:c>
      <x:c r="H507" s="11" t="str">
        <x:v>2026-07-25巨潮披露</x:v>
      </x:c>
      <x:c r="I507" s="11" t="str">
        <x:v>https://static.cninfo.com.cn/finalpage/2026-07-25/1225441586.PDF</x:v>
      </x:c>
      <x:c r="J507" s="11" t="str">
        <x:v>reported input or research-defined grouping; see original suffix and notes</x:v>
      </x:c>
      <x:c r="K507" s="11" t="str">
        <x:v>待核</x:v>
      </x:c>
      <x:c r="L507" s="11" t="str">
        <x:v>精确发布时间未核验</x:v>
      </x:c>
      <x:c r="M507" s="11" t="str">
        <x:v>截止日前日期，盘中时分未核</x:v>
      </x:c>
    </x:row>
    <x:row r="508" ht="23" customHeight="1">
      <x:c r="A508" s="11" t="str">
        <x:v>I063</x:v>
      </x:c>
      <x:c r="B508" s="11" t="str">
        <x:v>03750.HK</x:v>
      </x:c>
      <x:c r="C508" s="11" t="str">
        <x:v>operatingInventoryCashUseCNYmillion</x:v>
      </x:c>
      <x:c r="D508" s="39" t="n">
        <x:v>37859.085</x:v>
      </x:c>
      <x:c r="E508" s="11" t="str">
        <x:v>CNY</x:v>
      </x:c>
      <x:c r="F508" s="11" t="str">
        <x:v>million</x:v>
      </x:c>
      <x:c r="G508" s="11" t="str">
        <x:v>2026H1</x:v>
      </x:c>
      <x:c r="H508" s="11" t="str">
        <x:v>2026-07-25巨潮披露</x:v>
      </x:c>
      <x:c r="I508" s="11" t="str">
        <x:v>https://static.cninfo.com.cn/finalpage/2026-07-25/1225441586.PDF</x:v>
      </x:c>
      <x:c r="J508" s="11" t="str">
        <x:v>reported input or research-defined grouping; see original suffix and notes</x:v>
      </x:c>
      <x:c r="K508" s="11" t="str">
        <x:v>待核</x:v>
      </x:c>
      <x:c r="L508" s="11" t="str">
        <x:v>精确发布时间未核验</x:v>
      </x:c>
      <x:c r="M508" s="11" t="str">
        <x:v>截止日前日期，盘中时分未核</x:v>
      </x:c>
    </x:row>
    <x:row r="509" ht="23" customHeight="1">
      <x:c r="A509" s="11" t="str">
        <x:v>I063</x:v>
      </x:c>
      <x:c r="B509" s="11" t="str">
        <x:v>03750.HK</x:v>
      </x:c>
      <x:c r="C509" s="11" t="str">
        <x:v>operatingReceivableCashUseCNYmillion</x:v>
      </x:c>
      <x:c r="D509" s="39" t="n">
        <x:v>33026.925</x:v>
      </x:c>
      <x:c r="E509" s="11" t="str">
        <x:v>CNY</x:v>
      </x:c>
      <x:c r="F509" s="11" t="str">
        <x:v>million</x:v>
      </x:c>
      <x:c r="G509" s="11" t="str">
        <x:v>2026H1</x:v>
      </x:c>
      <x:c r="H509" s="11" t="str">
        <x:v>2026-07-25巨潮披露</x:v>
      </x:c>
      <x:c r="I509" s="11" t="str">
        <x:v>https://static.cninfo.com.cn/finalpage/2026-07-25/1225441586.PDF</x:v>
      </x:c>
      <x:c r="J509" s="11" t="str">
        <x:v>reported input or research-defined grouping; see original suffix and notes</x:v>
      </x:c>
      <x:c r="K509" s="11" t="str">
        <x:v>待核</x:v>
      </x:c>
      <x:c r="L509" s="11" t="str">
        <x:v>精确发布时间未核验</x:v>
      </x:c>
      <x:c r="M509" s="11" t="str">
        <x:v>截止日前日期，盘中时分未核</x:v>
      </x:c>
    </x:row>
    <x:row r="510" ht="23" customHeight="1">
      <x:c r="A510" s="11" t="str">
        <x:v>I063</x:v>
      </x:c>
      <x:c r="B510" s="11" t="str">
        <x:v>03750.HK</x:v>
      </x:c>
      <x:c r="C510" s="11" t="str">
        <x:v>operatingPayableCashContributionCNYmillion</x:v>
      </x:c>
      <x:c r="D510" s="39" t="n">
        <x:v>71690.439</x:v>
      </x:c>
      <x:c r="E510" s="11" t="str">
        <x:v>CNY</x:v>
      </x:c>
      <x:c r="F510" s="11" t="str">
        <x:v>million</x:v>
      </x:c>
      <x:c r="G510" s="11" t="str">
        <x:v>2026H1</x:v>
      </x:c>
      <x:c r="H510" s="11" t="str">
        <x:v>2026-07-25巨潮披露</x:v>
      </x:c>
      <x:c r="I510" s="11" t="str">
        <x:v>https://static.cninfo.com.cn/finalpage/2026-07-25/1225441586.PDF</x:v>
      </x:c>
      <x:c r="J510" s="11" t="str">
        <x:v>reported input or research-defined grouping; see original suffix and notes</x:v>
      </x:c>
      <x:c r="K510" s="11" t="str">
        <x:v>待核</x:v>
      </x:c>
      <x:c r="L510" s="11" t="str">
        <x:v>精确发布时间未核验</x:v>
      </x:c>
      <x:c r="M510" s="11" t="str">
        <x:v>截止日前日期，盘中时分未核</x:v>
      </x:c>
    </x:row>
    <x:row r="511" ht="23" customHeight="1">
      <x:c r="A511" s="11" t="str">
        <x:v>I063</x:v>
      </x:c>
      <x:c r="B511" s="11" t="str">
        <x:v>03750.HK</x:v>
      </x:c>
      <x:c r="C511" s="11" t="str">
        <x:v>ownerEquityCNYmillion</x:v>
      </x:c>
      <x:c r="D511" s="39" t="n">
        <x:v>379353.71</x:v>
      </x:c>
      <x:c r="E511" s="11" t="str">
        <x:v>CNY</x:v>
      </x:c>
      <x:c r="F511" s="11" t="str">
        <x:v>million</x:v>
      </x:c>
      <x:c r="G511" s="11" t="str">
        <x:v>2026H1</x:v>
      </x:c>
      <x:c r="H511" s="11" t="str">
        <x:v>2026-07-25巨潮披露</x:v>
      </x:c>
      <x:c r="I511" s="11" t="str">
        <x:v>https://static.cninfo.com.cn/finalpage/2026-07-25/1225441586.PDF</x:v>
      </x:c>
      <x:c r="J511" s="11" t="str">
        <x:v>reported input or research-defined grouping; see original suffix and notes</x:v>
      </x:c>
      <x:c r="K511" s="11" t="str">
        <x:v>待核</x:v>
      </x:c>
      <x:c r="L511" s="11" t="str">
        <x:v>精确发布时间未核验</x:v>
      </x:c>
      <x:c r="M511" s="11" t="str">
        <x:v>截止日前日期，盘中时分未核</x:v>
      </x:c>
    </x:row>
    <x:row r="512" ht="23" customHeight="1">
      <x:c r="A512" s="11" t="str">
        <x:v>I063</x:v>
      </x:c>
      <x:c r="B512" s="11" t="str">
        <x:v>03750.HK</x:v>
      </x:c>
      <x:c r="C512" s="11" t="str">
        <x:v>sharesAtJune30</x:v>
      </x:c>
      <x:c r="D512" s="39" t="n">
        <x:v>4626650861</x:v>
      </x:c>
      <x:c r="E512" s="11" t="str">
        <x:v>not monetary</x:v>
      </x:c>
      <x:c r="F512" s="11" t="str">
        <x:v>shares</x:v>
      </x:c>
      <x:c r="G512" s="11" t="str">
        <x:v>2026H1</x:v>
      </x:c>
      <x:c r="H512" s="11" t="str">
        <x:v>2026-07-25巨潮披露</x:v>
      </x:c>
      <x:c r="I512" s="11" t="str">
        <x:v>https://static.cninfo.com.cn/finalpage/2026-07-25/1225441586.PDF</x:v>
      </x:c>
      <x:c r="J512" s="11" t="str">
        <x:v>reported input or research-defined grouping; see original suffix and notes</x:v>
      </x:c>
      <x:c r="K512" s="11" t="str">
        <x:v>待核</x:v>
      </x:c>
      <x:c r="L512" s="11" t="str">
        <x:v>精确发布时间未核验</x:v>
      </x:c>
      <x:c r="M512" s="11" t="str">
        <x:v>截止日前日期，盘中时分未核</x:v>
      </x:c>
    </x:row>
    <x:row r="513" ht="23" customHeight="1">
      <x:c r="A513" s="11" t="str">
        <x:v>I063</x:v>
      </x:c>
      <x:c r="B513" s="11" t="str">
        <x:v>03750.HK</x:v>
      </x:c>
      <x:c r="C513" s="11" t="str">
        <x:v>treasurySharesAtJune30</x:v>
      </x:c>
      <x:c r="D513" s="39" t="n">
        <x:v>28319044</x:v>
      </x:c>
      <x:c r="E513" s="11" t="str">
        <x:v>not monetary</x:v>
      </x:c>
      <x:c r="F513" s="11" t="str">
        <x:v>shares</x:v>
      </x:c>
      <x:c r="G513" s="11" t="str">
        <x:v>2026H1</x:v>
      </x:c>
      <x:c r="H513" s="11" t="str">
        <x:v>2026-07-25巨潮披露</x:v>
      </x:c>
      <x:c r="I513" s="11" t="str">
        <x:v>https://static.cninfo.com.cn/finalpage/2026-07-25/1225441586.PDF</x:v>
      </x:c>
      <x:c r="J513" s="11" t="str">
        <x:v>reported input or research-defined grouping; see original suffix and notes</x:v>
      </x:c>
      <x:c r="K513" s="11" t="str">
        <x:v>待核</x:v>
      </x:c>
      <x:c r="L513" s="11" t="str">
        <x:v>精确发布时间未核验</x:v>
      </x:c>
      <x:c r="M513" s="11" t="str">
        <x:v>截止日前日期，盘中时分未核</x:v>
      </x:c>
    </x:row>
    <x:row r="514" ht="23" customHeight="1">
      <x:c r="A514" s="11" t="str">
        <x:v>I063</x:v>
      </x:c>
      <x:c r="B514" s="11" t="str">
        <x:v>03750.HK</x:v>
      </x:c>
      <x:c r="C514" s="11" t="str">
        <x:v>HPlacementShares</x:v>
      </x:c>
      <x:c r="D514" s="39" t="n">
        <x:v>62385000</x:v>
      </x:c>
      <x:c r="E514" s="11" t="str">
        <x:v>not monetary</x:v>
      </x:c>
      <x:c r="F514" s="11" t="str">
        <x:v>shares</x:v>
      </x:c>
      <x:c r="G514" s="11" t="str">
        <x:v>2026H1</x:v>
      </x:c>
      <x:c r="H514" s="11" t="str">
        <x:v>2026-07-25巨潮披露</x:v>
      </x:c>
      <x:c r="I514" s="11" t="str">
        <x:v>https://static.cninfo.com.cn/finalpage/2026-07-25/1225441586.PDF</x:v>
      </x:c>
      <x:c r="J514" s="11" t="str">
        <x:v>reported input or research-defined grouping; see original suffix and notes</x:v>
      </x:c>
      <x:c r="K514" s="11" t="str">
        <x:v>待核</x:v>
      </x:c>
      <x:c r="L514" s="11" t="str">
        <x:v>精确发布时间未核验</x:v>
      </x:c>
      <x:c r="M514" s="11" t="str">
        <x:v>截止日前日期，盘中时分未核</x:v>
      </x:c>
    </x:row>
    <x:row r="515" ht="23" customHeight="1">
      <x:c r="A515" s="11" t="str">
        <x:v>I063</x:v>
      </x:c>
      <x:c r="B515" s="11" t="str">
        <x:v>03750.HK</x:v>
      </x:c>
      <x:c r="C515" s="11" t="str">
        <x:v>HPlacementPriceHKD</x:v>
      </x:c>
      <x:c r="D515" s="39" t="n">
        <x:v>628.2</x:v>
      </x:c>
      <x:c r="E515" s="11" t="str">
        <x:v>HKD</x:v>
      </x:c>
      <x:c r="F515" s="11" t="str">
        <x:v>HKD/share</x:v>
      </x:c>
      <x:c r="G515" s="11" t="str">
        <x:v>2026H1</x:v>
      </x:c>
      <x:c r="H515" s="11" t="str">
        <x:v>2026-07-25巨潮披露</x:v>
      </x:c>
      <x:c r="I515" s="11" t="str">
        <x:v>https://static.cninfo.com.cn/finalpage/2026-07-25/1225441586.PDF</x:v>
      </x:c>
      <x:c r="J515" s="11" t="str">
        <x:v>reported input or research-defined grouping; see original suffix and notes</x:v>
      </x:c>
      <x:c r="K515" s="11" t="str">
        <x:v>待核</x:v>
      </x:c>
      <x:c r="L515" s="11" t="str">
        <x:v>精确发布时间未核验</x:v>
      </x:c>
      <x:c r="M515" s="11" t="str">
        <x:v>截止日前日期，盘中时分未核</x:v>
      </x:c>
    </x:row>
    <x:row r="516" ht="23" customHeight="1">
      <x:c r="A516" s="11" t="str">
        <x:v>I063</x:v>
      </x:c>
      <x:c r="B516" s="11" t="str">
        <x:v>03750.HK</x:v>
      </x:c>
      <x:c r="C516" s="11" t="str">
        <x:v>paidInterimDividendCNYperShare</x:v>
      </x:c>
      <x:c r="D516" s="39" t="n">
        <x:v>1.411</x:v>
      </x:c>
      <x:c r="E516" s="11" t="str">
        <x:v>CNY</x:v>
      </x:c>
      <x:c r="F516" s="11" t="str">
        <x:v>fraction</x:v>
      </x:c>
      <x:c r="G516" s="11" t="str">
        <x:v>2026H1</x:v>
      </x:c>
      <x:c r="H516" s="11" t="str">
        <x:v>2026-07-25巨潮披露</x:v>
      </x:c>
      <x:c r="I516" s="11" t="str">
        <x:v>https://static.cninfo.com.cn/finalpage/2026-07-25/1225441586.PDF</x:v>
      </x:c>
      <x:c r="J516" s="11" t="str">
        <x:v>reported input or research-defined grouping; see original suffix and notes</x:v>
      </x:c>
      <x:c r="K516" s="11" t="str">
        <x:v>待核</x:v>
      </x:c>
      <x:c r="L516" s="11" t="str">
        <x:v>精确发布时间未核验</x:v>
      </x:c>
      <x:c r="M516" s="11" t="str">
        <x:v>截止日前日期，盘中时分未核</x:v>
      </x:c>
    </x:row>
    <x:row r="517" ht="23" customHeight="1">
      <x:c r="A517" s="11" t="str">
        <x:v>I063</x:v>
      </x:c>
      <x:c r="B517" s="11" t="str">
        <x:v>03750.HK</x:v>
      </x:c>
      <x:c r="C517" s="11" t="str">
        <x:v>paidInterimDividendHKDperShare</x:v>
      </x:c>
      <x:c r="D517" s="39" t="n">
        <x:v>1.629</x:v>
      </x:c>
      <x:c r="E517" s="11" t="str">
        <x:v>HKD</x:v>
      </x:c>
      <x:c r="F517" s="11" t="str">
        <x:v>HKD/share</x:v>
      </x:c>
      <x:c r="G517" s="11" t="str">
        <x:v>2026H1</x:v>
      </x:c>
      <x:c r="H517" s="11" t="str">
        <x:v>2026-07-25巨潮披露</x:v>
      </x:c>
      <x:c r="I517" s="11" t="str">
        <x:v>https://static.cninfo.com.cn/finalpage/2026-07-25/1225441586.PDF</x:v>
      </x:c>
      <x:c r="J517" s="11" t="str">
        <x:v>reported input or research-defined grouping; see original suffix and notes</x:v>
      </x:c>
      <x:c r="K517" s="11" t="str">
        <x:v>待核</x:v>
      </x:c>
      <x:c r="L517" s="11" t="str">
        <x:v>精确发布时间未核验</x:v>
      </x:c>
      <x:c r="M517" s="11" t="str">
        <x:v>截止日前日期，盘中时分未核</x:v>
      </x:c>
    </x:row>
    <x:row r="518" ht="23" customHeight="1">
      <x:c r="A518" s="11" t="str">
        <x:v>I063</x:v>
      </x:c>
      <x:c r="B518" s="11" t="str">
        <x:v>03750.HK</x:v>
      </x:c>
      <x:c r="C518" s="11" t="str">
        <x:v>totalProvisionCNYmillion</x:v>
      </x:c>
      <x:c r="D518" s="39" t="n">
        <x:v>98607.243</x:v>
      </x:c>
      <x:c r="E518" s="11" t="str">
        <x:v>CNY</x:v>
      </x:c>
      <x:c r="F518" s="11" t="str">
        <x:v>million</x:v>
      </x:c>
      <x:c r="G518" s="11" t="str">
        <x:v>2026H1</x:v>
      </x:c>
      <x:c r="H518" s="11" t="str">
        <x:v>2026-07-25巨潮披露</x:v>
      </x:c>
      <x:c r="I518" s="11" t="str">
        <x:v>https://static.cninfo.com.cn/finalpage/2026-07-25/1225441586.PDF</x:v>
      </x:c>
      <x:c r="J518" s="11" t="str">
        <x:v>reported input</x:v>
      </x:c>
      <x:c r="K518" s="11" t="str">
        <x:v>待核</x:v>
      </x:c>
      <x:c r="L518" s="11" t="str">
        <x:v>精确发布时间未核验</x:v>
      </x:c>
      <x:c r="M518" s="11" t="str">
        <x:v>截止日前日期，盘中时分未核</x:v>
      </x:c>
    </x:row>
    <x:row r="519" ht="23" customHeight="1">
      <x:c r="A519" s="11" t="str">
        <x:v>I063</x:v>
      </x:c>
      <x:c r="B519" s="11" t="str">
        <x:v>03750.HK</x:v>
      </x:c>
      <x:c r="C519" s="11" t="str">
        <x:v>afterSalesProvisionCNYmillion</x:v>
      </x:c>
      <x:c r="D519" s="39" t="n">
        <x:v>59131.359</x:v>
      </x:c>
      <x:c r="E519" s="11" t="str">
        <x:v>CNY</x:v>
      </x:c>
      <x:c r="F519" s="11" t="str">
        <x:v>million</x:v>
      </x:c>
      <x:c r="G519" s="11" t="str">
        <x:v>2026H1</x:v>
      </x:c>
      <x:c r="H519" s="11" t="str">
        <x:v>2026-07-25巨潮披露</x:v>
      </x:c>
      <x:c r="I519" s="11" t="str">
        <x:v>https://static.cninfo.com.cn/finalpage/2026-07-25/1225441586.PDF</x:v>
      </x:c>
      <x:c r="J519" s="11" t="str">
        <x:v>reported input</x:v>
      </x:c>
      <x:c r="K519" s="11" t="str">
        <x:v>待核</x:v>
      </x:c>
      <x:c r="L519" s="11" t="str">
        <x:v>精确发布时间未核验</x:v>
      </x:c>
      <x:c r="M519" s="11" t="str">
        <x:v>截止日前日期，盘中时分未核</x:v>
      </x:c>
    </x:row>
    <x:row r="520" ht="23" customHeight="1">
      <x:c r="A520" s="11" t="str">
        <x:v>I063</x:v>
      </x:c>
      <x:c r="B520" s="11" t="str">
        <x:v>03750.HK</x:v>
      </x:c>
      <x:c r="C520" s="11" t="str">
        <x:v>salesRebateProvisionCNYmillion</x:v>
      </x:c>
      <x:c r="D520" s="39" t="n">
        <x:v>39327.759</x:v>
      </x:c>
      <x:c r="E520" s="11" t="str">
        <x:v>CNY</x:v>
      </x:c>
      <x:c r="F520" s="11" t="str">
        <x:v>million</x:v>
      </x:c>
      <x:c r="G520" s="11" t="str">
        <x:v>2026H1</x:v>
      </x:c>
      <x:c r="H520" s="11" t="str">
        <x:v>2026-07-25巨潮披露</x:v>
      </x:c>
      <x:c r="I520" s="11" t="str">
        <x:v>https://static.cninfo.com.cn/finalpage/2026-07-25/1225441586.PDF</x:v>
      </x:c>
      <x:c r="J520" s="11" t="str">
        <x:v>reported input</x:v>
      </x:c>
      <x:c r="K520" s="11" t="str">
        <x:v>待核</x:v>
      </x:c>
      <x:c r="L520" s="11" t="str">
        <x:v>精确发布时间未核验</x:v>
      </x:c>
      <x:c r="M520" s="11" t="str">
        <x:v>截止日前日期，盘中时分未核</x:v>
      </x:c>
    </x:row>
    <x:row r="521" ht="23" customHeight="1">
      <x:c r="A521" s="11" t="str">
        <x:v>I063</x:v>
      </x:c>
      <x:c r="B521" s="11" t="str">
        <x:v>03750.HK</x:v>
      </x:c>
      <x:c r="C521" s="11" t="str">
        <x:v>abandonmentOtherProvisionCNYmillion</x:v>
      </x:c>
      <x:c r="D521" s="39" t="n">
        <x:v>148.125</x:v>
      </x:c>
      <x:c r="E521" s="11" t="str">
        <x:v>CNY</x:v>
      </x:c>
      <x:c r="F521" s="11" t="str">
        <x:v>million</x:v>
      </x:c>
      <x:c r="G521" s="11" t="str">
        <x:v>2026H1</x:v>
      </x:c>
      <x:c r="H521" s="11" t="str">
        <x:v>2026-07-25巨潮披露</x:v>
      </x:c>
      <x:c r="I521" s="11" t="str">
        <x:v>https://static.cninfo.com.cn/finalpage/2026-07-25/1225441586.PDF</x:v>
      </x:c>
      <x:c r="J521" s="11" t="str">
        <x:v>reported input</x:v>
      </x:c>
      <x:c r="K521" s="11" t="str">
        <x:v>待核</x:v>
      </x:c>
      <x:c r="L521" s="11" t="str">
        <x:v>精确发布时间未核验</x:v>
      </x:c>
      <x:c r="M521" s="11" t="str">
        <x:v>截止日前日期，盘中时分未核</x:v>
      </x:c>
    </x:row>
    <x:row r="522" ht="23" customHeight="1">
      <x:c r="A522" s="11" t="str">
        <x:v>I025</x:v>
      </x:c>
      <x:c r="B522" s="11" t="str">
        <x:v>01093.HK</x:v>
      </x:c>
      <x:c r="C522" s="11" t="str">
        <x:v>rawMaterials</x:v>
      </x:c>
      <x:c r="D522" s="39" t="n">
        <x:v>1660.385</x:v>
      </x:c>
      <x:c r="E522" s="11" t="str">
        <x:v>CNY</x:v>
      </x:c>
      <x:c r="F522" s="11" t="str">
        <x:v>million</x:v>
      </x:c>
      <x:c r="G522" s="11" t="str">
        <x:v>2026H1</x:v>
      </x:c>
      <x:c r="H522" s="11" t="str">
        <x:v>2026-09-17</x:v>
      </x:c>
      <x:c r="I522" s="11" t="str">
        <x:v>https://iis.aastocks.com/20260917/12336088-0.PDF</x:v>
      </x:c>
      <x:c r="J522" s="11" t="str"/>
      <x:c r="K522" s="11" t="str">
        <x:v>待核</x:v>
      </x:c>
      <x:c r="L522" s="11" t="str">
        <x:v>精确发布时间未核验</x:v>
      </x:c>
      <x:c r="M522" s="11" t="str">
        <x:v>截止日前日期，盘中时分未核</x:v>
      </x:c>
    </x:row>
    <x:row r="523" ht="23" customHeight="1">
      <x:c r="A523" s="11" t="str">
        <x:v>I025</x:v>
      </x:c>
      <x:c r="B523" s="11" t="str">
        <x:v>01093.HK</x:v>
      </x:c>
      <x:c r="C523" s="11" t="str">
        <x:v>functionalFoodOther</x:v>
      </x:c>
      <x:c r="D523" s="39" t="n">
        <x:v>873.398</x:v>
      </x:c>
      <x:c r="E523" s="11" t="str">
        <x:v>CNY</x:v>
      </x:c>
      <x:c r="F523" s="11" t="str">
        <x:v>million</x:v>
      </x:c>
      <x:c r="G523" s="11" t="str">
        <x:v>2026H1</x:v>
      </x:c>
      <x:c r="H523" s="11" t="str">
        <x:v>2026-09-17</x:v>
      </x:c>
      <x:c r="I523" s="11" t="str">
        <x:v>https://iis.aastocks.com/20260917/12336088-0.PDF</x:v>
      </x:c>
      <x:c r="J523" s="11" t="str"/>
      <x:c r="K523" s="11" t="str">
        <x:v>待核</x:v>
      </x:c>
      <x:c r="L523" s="11" t="str">
        <x:v>精确发布时间未核验</x:v>
      </x:c>
      <x:c r="M523" s="11" t="str">
        <x:v>截止日前日期，盘中时分未核</x:v>
      </x:c>
    </x:row>
    <x:row r="524" ht="23" customHeight="1">
      <x:c r="A524" s="11" t="str">
        <x:v>I025</x:v>
      </x:c>
      <x:c r="B524" s="11" t="str">
        <x:v>01093.HK</x:v>
      </x:c>
      <x:c r="C524" s="11" t="str">
        <x:v>neurology</x:v>
      </x:c>
      <x:c r="D524" s="39" t="n">
        <x:v>4789.726</x:v>
      </x:c>
      <x:c r="E524" s="11" t="str">
        <x:v>CNY</x:v>
      </x:c>
      <x:c r="F524" s="11" t="str">
        <x:v>million</x:v>
      </x:c>
      <x:c r="G524" s="11" t="str">
        <x:v>2026H1</x:v>
      </x:c>
      <x:c r="H524" s="11" t="str">
        <x:v>2026-09-17</x:v>
      </x:c>
      <x:c r="I524" s="11" t="str">
        <x:v>https://iis.aastocks.com/20260917/12336088-0.PDF</x:v>
      </x:c>
      <x:c r="J524" s="11" t="str"/>
      <x:c r="K524" s="11" t="str">
        <x:v>待核</x:v>
      </x:c>
      <x:c r="L524" s="11" t="str">
        <x:v>精确发布时间未核验</x:v>
      </x:c>
      <x:c r="M524" s="11" t="str">
        <x:v>截止日前日期，盘中时分未核</x:v>
      </x:c>
    </x:row>
    <x:row r="525" ht="23" customHeight="1">
      <x:c r="A525" s="11" t="str">
        <x:v>I025</x:v>
      </x:c>
      <x:c r="B525" s="11" t="str">
        <x:v>01093.HK</x:v>
      </x:c>
      <x:c r="C525" s="11" t="str">
        <x:v>oncology</x:v>
      </x:c>
      <x:c r="D525" s="39" t="n">
        <x:v>1005.654</x:v>
      </x:c>
      <x:c r="E525" s="11" t="str">
        <x:v>CNY</x:v>
      </x:c>
      <x:c r="F525" s="11" t="str">
        <x:v>million</x:v>
      </x:c>
      <x:c r="G525" s="11" t="str">
        <x:v>2026H1</x:v>
      </x:c>
      <x:c r="H525" s="11" t="str">
        <x:v>2026-09-17</x:v>
      </x:c>
      <x:c r="I525" s="11" t="str">
        <x:v>https://iis.aastocks.com/20260917/12336088-0.PDF</x:v>
      </x:c>
      <x:c r="J525" s="11" t="str"/>
      <x:c r="K525" s="11" t="str">
        <x:v>待核</x:v>
      </x:c>
      <x:c r="L525" s="11" t="str">
        <x:v>精确发布时间未核验</x:v>
      </x:c>
      <x:c r="M525" s="11" t="str">
        <x:v>截止日前日期，盘中时分未核</x:v>
      </x:c>
    </x:row>
    <x:row r="526" ht="23" customHeight="1">
      <x:c r="A526" s="11" t="str">
        <x:v>I025</x:v>
      </x:c>
      <x:c r="B526" s="11" t="str">
        <x:v>01093.HK</x:v>
      </x:c>
      <x:c r="C526" s="11" t="str">
        <x:v>antiInfection</x:v>
      </x:c>
      <x:c r="D526" s="39" t="n">
        <x:v>1681.396</x:v>
      </x:c>
      <x:c r="E526" s="11" t="str">
        <x:v>CNY</x:v>
      </x:c>
      <x:c r="F526" s="11" t="str">
        <x:v>million</x:v>
      </x:c>
      <x:c r="G526" s="11" t="str">
        <x:v>2026H1</x:v>
      </x:c>
      <x:c r="H526" s="11" t="str">
        <x:v>2026-09-17</x:v>
      </x:c>
      <x:c r="I526" s="11" t="str">
        <x:v>https://iis.aastocks.com/20260917/12336088-0.PDF</x:v>
      </x:c>
      <x:c r="J526" s="11" t="str"/>
      <x:c r="K526" s="11" t="str">
        <x:v>待核</x:v>
      </x:c>
      <x:c r="L526" s="11" t="str">
        <x:v>精确发布时间未核验</x:v>
      </x:c>
      <x:c r="M526" s="11" t="str">
        <x:v>截止日前日期，盘中时分未核</x:v>
      </x:c>
    </x:row>
    <x:row r="527" ht="23" customHeight="1">
      <x:c r="A527" s="11" t="str">
        <x:v>I025</x:v>
      </x:c>
      <x:c r="B527" s="11" t="str">
        <x:v>01093.HK</x:v>
      </x:c>
      <x:c r="C527" s="11" t="str">
        <x:v>cardiovascular</x:v>
      </x:c>
      <x:c r="D527" s="39" t="n">
        <x:v>1033.051</x:v>
      </x:c>
      <x:c r="E527" s="11" t="str">
        <x:v>CNY</x:v>
      </x:c>
      <x:c r="F527" s="11" t="str">
        <x:v>million</x:v>
      </x:c>
      <x:c r="G527" s="11" t="str">
        <x:v>2026H1</x:v>
      </x:c>
      <x:c r="H527" s="11" t="str">
        <x:v>2026-09-17</x:v>
      </x:c>
      <x:c r="I527" s="11" t="str">
        <x:v>https://iis.aastocks.com/20260917/12336088-0.PDF</x:v>
      </x:c>
      <x:c r="J527" s="11" t="str"/>
      <x:c r="K527" s="11" t="str">
        <x:v>待核</x:v>
      </x:c>
      <x:c r="L527" s="11" t="str">
        <x:v>精确发布时间未核验</x:v>
      </x:c>
      <x:c r="M527" s="11" t="str">
        <x:v>截止日前日期，盘中时分未核</x:v>
      </x:c>
    </x:row>
    <x:row r="528" ht="23" customHeight="1">
      <x:c r="A528" s="11" t="str">
        <x:v>I025</x:v>
      </x:c>
      <x:c r="B528" s="11" t="str">
        <x:v>01093.HK</x:v>
      </x:c>
      <x:c r="C528" s="11" t="str">
        <x:v>respiratory</x:v>
      </x:c>
      <x:c r="D528" s="39" t="n">
        <x:v>520.935</x:v>
      </x:c>
      <x:c r="E528" s="11" t="str">
        <x:v>CNY</x:v>
      </x:c>
      <x:c r="F528" s="11" t="str">
        <x:v>million</x:v>
      </x:c>
      <x:c r="G528" s="11" t="str">
        <x:v>2026H1</x:v>
      </x:c>
      <x:c r="H528" s="11" t="str">
        <x:v>2026-09-17</x:v>
      </x:c>
      <x:c r="I528" s="11" t="str">
        <x:v>https://iis.aastocks.com/20260917/12336088-0.PDF</x:v>
      </x:c>
      <x:c r="J528" s="11" t="str"/>
      <x:c r="K528" s="11" t="str">
        <x:v>待核</x:v>
      </x:c>
      <x:c r="L528" s="11" t="str">
        <x:v>精确发布时间未核验</x:v>
      </x:c>
      <x:c r="M528" s="11" t="str">
        <x:v>截止日前日期，盘中时分未核</x:v>
      </x:c>
    </x:row>
    <x:row r="529" ht="23" customHeight="1">
      <x:c r="A529" s="11" t="str">
        <x:v>I025</x:v>
      </x:c>
      <x:c r="B529" s="11" t="str">
        <x:v>01093.HK</x:v>
      </x:c>
      <x:c r="C529" s="11" t="str">
        <x:v>digestiveMetabolic</x:v>
      </x:c>
      <x:c r="D529" s="39" t="n">
        <x:v>535.622</x:v>
      </x:c>
      <x:c r="E529" s="11" t="str">
        <x:v>CNY</x:v>
      </x:c>
      <x:c r="F529" s="11" t="str">
        <x:v>million</x:v>
      </x:c>
      <x:c r="G529" s="11" t="str">
        <x:v>2026H1</x:v>
      </x:c>
      <x:c r="H529" s="11" t="str">
        <x:v>2026-09-17</x:v>
      </x:c>
      <x:c r="I529" s="11" t="str">
        <x:v>https://iis.aastocks.com/20260917/12336088-0.PDF</x:v>
      </x:c>
      <x:c r="J529" s="11" t="str"/>
      <x:c r="K529" s="11" t="str">
        <x:v>待核</x:v>
      </x:c>
      <x:c r="L529" s="11" t="str">
        <x:v>精确发布时间未核验</x:v>
      </x:c>
      <x:c r="M529" s="11" t="str">
        <x:v>截止日前日期，盘中时分未核</x:v>
      </x:c>
    </x:row>
    <x:row r="530" ht="23" customHeight="1">
      <x:c r="A530" s="11" t="str">
        <x:v>I025</x:v>
      </x:c>
      <x:c r="B530" s="11" t="str">
        <x:v>01093.HK</x:v>
      </x:c>
      <x:c r="C530" s="11" t="str">
        <x:v>basicAdjustedProfit</x:v>
      </x:c>
      <x:c r="D530" s="39" t="n">
        <x:v>6164.279</x:v>
      </x:c>
      <x:c r="E530" s="11" t="str">
        <x:v>CNY</x:v>
      </x:c>
      <x:c r="F530" s="11" t="str">
        <x:v>million</x:v>
      </x:c>
      <x:c r="G530" s="11" t="str">
        <x:v>2026H1</x:v>
      </x:c>
      <x:c r="H530" s="11" t="str">
        <x:v>2026-09-17</x:v>
      </x:c>
      <x:c r="I530" s="11" t="str">
        <x:v>https://iis.aastocks.com/20260917/12336088-0.PDF</x:v>
      </x:c>
      <x:c r="J530" s="11" t="str"/>
      <x:c r="K530" s="11" t="str">
        <x:v>待核</x:v>
      </x:c>
      <x:c r="L530" s="11" t="str">
        <x:v>精确发布时间未核验</x:v>
      </x:c>
      <x:c r="M530" s="11" t="str">
        <x:v>截止日前日期，盘中时分未核</x:v>
      </x:c>
    </x:row>
    <x:row r="531" ht="23" customHeight="1">
      <x:c r="A531" s="11" t="str">
        <x:v>I025</x:v>
      </x:c>
      <x:c r="B531" s="11" t="str">
        <x:v>01093.HK</x:v>
      </x:c>
      <x:c r="C531" s="11" t="str">
        <x:v>financialCost</x:v>
      </x:c>
      <x:c r="D531" s="39" t="n">
        <x:v>13.318</x:v>
      </x:c>
      <x:c r="E531" s="11" t="str">
        <x:v>CNY</x:v>
      </x:c>
      <x:c r="F531" s="11" t="str">
        <x:v>million</x:v>
      </x:c>
      <x:c r="G531" s="11" t="str">
        <x:v>2026H1</x:v>
      </x:c>
      <x:c r="H531" s="11" t="str">
        <x:v>2026-09-17</x:v>
      </x:c>
      <x:c r="I531" s="11" t="str">
        <x:v>https://iis.aastocks.com/20260917/12336088-0.PDF</x:v>
      </x:c>
      <x:c r="J531" s="11" t="str"/>
      <x:c r="K531" s="11" t="str">
        <x:v>待核</x:v>
      </x:c>
      <x:c r="L531" s="11" t="str">
        <x:v>精确发布时间未核验</x:v>
      </x:c>
      <x:c r="M531" s="11" t="str">
        <x:v>截止日前日期，盘中时分未核</x:v>
      </x:c>
    </x:row>
    <x:row r="532" ht="23" customHeight="1">
      <x:c r="A532" s="11" t="str">
        <x:v>I025</x:v>
      </x:c>
      <x:c r="B532" s="11" t="str">
        <x:v>01093.HK</x:v>
      </x:c>
      <x:c r="C532" s="11" t="str">
        <x:v>shareComp</x:v>
      </x:c>
      <x:c r="D532" s="39" t="n">
        <x:v>115.323</x:v>
      </x:c>
      <x:c r="E532" s="11" t="str">
        <x:v>CNY</x:v>
      </x:c>
      <x:c r="F532" s="11" t="str">
        <x:v>million</x:v>
      </x:c>
      <x:c r="G532" s="11" t="str">
        <x:v>2026H1</x:v>
      </x:c>
      <x:c r="H532" s="11" t="str">
        <x:v>2026-09-17</x:v>
      </x:c>
      <x:c r="I532" s="11" t="str">
        <x:v>https://iis.aastocks.com/20260917/12336088-0.PDF</x:v>
      </x:c>
      <x:c r="J532" s="11" t="str"/>
      <x:c r="K532" s="11" t="str">
        <x:v>待核</x:v>
      </x:c>
      <x:c r="L532" s="11" t="str">
        <x:v>精确发布时间未核验</x:v>
      </x:c>
      <x:c r="M532" s="11" t="str">
        <x:v>截止日前日期，盘中时分未核</x:v>
      </x:c>
    </x:row>
    <x:row r="533" ht="23" customHeight="1">
      <x:c r="A533" s="11" t="str">
        <x:v>I025</x:v>
      </x:c>
      <x:c r="B533" s="11" t="str">
        <x:v>01093.HK</x:v>
      </x:c>
      <x:c r="C533" s="11" t="str">
        <x:v>bankInterest</x:v>
      </x:c>
      <x:c r="D533" s="39" t="n">
        <x:v>91.678</x:v>
      </x:c>
      <x:c r="E533" s="11" t="str">
        <x:v>CNY</x:v>
      </x:c>
      <x:c r="F533" s="11" t="str">
        <x:v>million</x:v>
      </x:c>
      <x:c r="G533" s="11" t="str">
        <x:v>2026H1</x:v>
      </x:c>
      <x:c r="H533" s="11" t="str">
        <x:v>2026-09-17</x:v>
      </x:c>
      <x:c r="I533" s="11" t="str">
        <x:v>https://iis.aastocks.com/20260917/12336088-0.PDF</x:v>
      </x:c>
      <x:c r="J533" s="11" t="str"/>
      <x:c r="K533" s="11" t="str">
        <x:v>待核</x:v>
      </x:c>
      <x:c r="L533" s="11" t="str">
        <x:v>精确发布时间未核验</x:v>
      </x:c>
      <x:c r="M533" s="11" t="str">
        <x:v>截止日前日期，盘中时分未核</x:v>
      </x:c>
    </x:row>
    <x:row r="534" ht="23" customHeight="1">
      <x:c r="A534" s="11" t="str">
        <x:v>I025</x:v>
      </x:c>
      <x:c r="B534" s="11" t="str">
        <x:v>01093.HK</x:v>
      </x:c>
      <x:c r="C534" s="11" t="str">
        <x:v>FXLoss</x:v>
      </x:c>
      <x:c r="D534" s="39" t="n">
        <x:v>137.42</x:v>
      </x:c>
      <x:c r="E534" s="11" t="str">
        <x:v>CNY</x:v>
      </x:c>
      <x:c r="F534" s="11" t="str">
        <x:v>million</x:v>
      </x:c>
      <x:c r="G534" s="11" t="str">
        <x:v>2026H1</x:v>
      </x:c>
      <x:c r="H534" s="11" t="str">
        <x:v>2026-09-17</x:v>
      </x:c>
      <x:c r="I534" s="11" t="str">
        <x:v>https://iis.aastocks.com/20260917/12336088-0.PDF</x:v>
      </x:c>
      <x:c r="J534" s="11" t="str"/>
      <x:c r="K534" s="11" t="str">
        <x:v>待核</x:v>
      </x:c>
      <x:c r="L534" s="11" t="str">
        <x:v>精确发布时间未核验</x:v>
      </x:c>
      <x:c r="M534" s="11" t="str">
        <x:v>截止日前日期，盘中时分未核</x:v>
      </x:c>
    </x:row>
    <x:row r="535" ht="23" customHeight="1">
      <x:c r="A535" s="11" t="str">
        <x:v>I025</x:v>
      </x:c>
      <x:c r="B535" s="11" t="str">
        <x:v>01093.HK</x:v>
      </x:c>
      <x:c r="C535" s="11" t="str">
        <x:v>intangibleCash</x:v>
      </x:c>
      <x:c r="D535" s="39" t="n">
        <x:v>289.924</x:v>
      </x:c>
      <x:c r="E535" s="11" t="str">
        <x:v>CNY</x:v>
      </x:c>
      <x:c r="F535" s="11" t="str">
        <x:v>million</x:v>
      </x:c>
      <x:c r="G535" s="11" t="str">
        <x:v>2026H1</x:v>
      </x:c>
      <x:c r="H535" s="11" t="str">
        <x:v>2026-09-17</x:v>
      </x:c>
      <x:c r="I535" s="11" t="str">
        <x:v>https://iis.aastocks.com/20260917/12336088-0.PDF</x:v>
      </x:c>
      <x:c r="J535" s="11" t="str"/>
      <x:c r="K535" s="11" t="str">
        <x:v>待核</x:v>
      </x:c>
      <x:c r="L535" s="11" t="str">
        <x:v>精确发布时间未核验</x:v>
      </x:c>
      <x:c r="M535" s="11" t="str">
        <x:v>截止日前日期，盘中时分未核</x:v>
      </x:c>
    </x:row>
    <x:row r="536" ht="23" customHeight="1">
      <x:c r="A536" s="11" t="str">
        <x:v>I025</x:v>
      </x:c>
      <x:c r="B536" s="11" t="str">
        <x:v>01093.HK</x:v>
      </x:c>
      <x:c r="C536" s="11" t="str">
        <x:v>cashEquivalent</x:v>
      </x:c>
      <x:c r="D536" s="39" t="n">
        <x:v>9666.241</x:v>
      </x:c>
      <x:c r="E536" s="11" t="str">
        <x:v>CNY</x:v>
      </x:c>
      <x:c r="F536" s="11" t="str">
        <x:v>million</x:v>
      </x:c>
      <x:c r="G536" s="11" t="str">
        <x:v>2026H1</x:v>
      </x:c>
      <x:c r="H536" s="11" t="str">
        <x:v>2026-09-17</x:v>
      </x:c>
      <x:c r="I536" s="11" t="str">
        <x:v>https://iis.aastocks.com/20260917/12336088-0.PDF</x:v>
      </x:c>
      <x:c r="J536" s="11" t="str"/>
      <x:c r="K536" s="11" t="str">
        <x:v>待核</x:v>
      </x:c>
      <x:c r="L536" s="11" t="str">
        <x:v>精确发布时间未核验</x:v>
      </x:c>
      <x:c r="M536" s="11" t="str">
        <x:v>截止日前日期，盘中时分未核</x:v>
      </x:c>
    </x:row>
    <x:row r="537" ht="23" customHeight="1">
      <x:c r="A537" s="11" t="str">
        <x:v>I025</x:v>
      </x:c>
      <x:c r="B537" s="11" t="str">
        <x:v>01093.HK</x:v>
      </x:c>
      <x:c r="C537" s="11" t="str">
        <x:v>cashBankCurrent</x:v>
      </x:c>
      <x:c r="D537" s="39" t="n">
        <x:v>10001.506</x:v>
      </x:c>
      <x:c r="E537" s="11" t="str">
        <x:v>CNY</x:v>
      </x:c>
      <x:c r="F537" s="11" t="str">
        <x:v>million</x:v>
      </x:c>
      <x:c r="G537" s="11" t="str">
        <x:v>2026H1</x:v>
      </x:c>
      <x:c r="H537" s="11" t="str">
        <x:v>2026-09-17</x:v>
      </x:c>
      <x:c r="I537" s="11" t="str">
        <x:v>https://iis.aastocks.com/20260917/12336088-0.PDF</x:v>
      </x:c>
      <x:c r="J537" s="11" t="str"/>
      <x:c r="K537" s="11" t="str">
        <x:v>待核</x:v>
      </x:c>
      <x:c r="L537" s="11" t="str">
        <x:v>精确发布时间未核验</x:v>
      </x:c>
      <x:c r="M537" s="11" t="str">
        <x:v>截止日前日期，盘中时分未核</x:v>
      </x:c>
    </x:row>
    <x:row r="538" ht="23" customHeight="1">
      <x:c r="A538" s="11" t="str">
        <x:v>I025</x:v>
      </x:c>
      <x:c r="B538" s="11" t="str">
        <x:v>01093.HK</x:v>
      </x:c>
      <x:c r="C538" s="11" t="str">
        <x:v>cashBankNoncurrent</x:v>
      </x:c>
      <x:c r="D538" s="39" t="n">
        <x:v>4175.625</x:v>
      </x:c>
      <x:c r="E538" s="11" t="str">
        <x:v>CNY</x:v>
      </x:c>
      <x:c r="F538" s="11" t="str">
        <x:v>million</x:v>
      </x:c>
      <x:c r="G538" s="11" t="str">
        <x:v>2026H1</x:v>
      </x:c>
      <x:c r="H538" s="11" t="str">
        <x:v>2026-09-17</x:v>
      </x:c>
      <x:c r="I538" s="11" t="str">
        <x:v>https://iis.aastocks.com/20260917/12336088-0.PDF</x:v>
      </x:c>
      <x:c r="J538" s="11" t="str"/>
      <x:c r="K538" s="11" t="str">
        <x:v>待核</x:v>
      </x:c>
      <x:c r="L538" s="11" t="str">
        <x:v>精确发布时间未核验</x:v>
      </x:c>
      <x:c r="M538" s="11" t="str">
        <x:v>截止日前日期，盘中时分未核</x:v>
      </x:c>
    </x:row>
    <x:row r="539" ht="23" customHeight="1">
      <x:c r="A539" s="11" t="str">
        <x:v>I025</x:v>
      </x:c>
      <x:c r="B539" s="11" t="str">
        <x:v>01093.HK</x:v>
      </x:c>
      <x:c r="C539" s="11" t="str">
        <x:v>restrictedCash</x:v>
      </x:c>
      <x:c r="D539" s="39" t="n">
        <x:v>124.748</x:v>
      </x:c>
      <x:c r="E539" s="11" t="str">
        <x:v>CNY</x:v>
      </x:c>
      <x:c r="F539" s="11" t="str">
        <x:v>million</x:v>
      </x:c>
      <x:c r="G539" s="11" t="str">
        <x:v>2026H1</x:v>
      </x:c>
      <x:c r="H539" s="11" t="str">
        <x:v>2026-09-17</x:v>
      </x:c>
      <x:c r="I539" s="11" t="str">
        <x:v>https://iis.aastocks.com/20260917/12336088-0.PDF</x:v>
      </x:c>
      <x:c r="J539" s="11" t="str"/>
      <x:c r="K539" s="11" t="str">
        <x:v>待核</x:v>
      </x:c>
      <x:c r="L539" s="11" t="str">
        <x:v>精确发布时间未核验</x:v>
      </x:c>
      <x:c r="M539" s="11" t="str">
        <x:v>截止日前日期，盘中时分未核</x:v>
      </x:c>
    </x:row>
    <x:row r="540" ht="23" customHeight="1">
      <x:c r="A540" s="11" t="str">
        <x:v>I025</x:v>
      </x:c>
      <x:c r="B540" s="11" t="str">
        <x:v>01093.HK</x:v>
      </x:c>
      <x:c r="C540" s="11" t="str">
        <x:v>prepaidLicenseContractLiability</x:v>
      </x:c>
      <x:c r="D540" s="39" t="n">
        <x:v>1279.64</x:v>
      </x:c>
      <x:c r="E540" s="11" t="str">
        <x:v>CNY</x:v>
      </x:c>
      <x:c r="F540" s="11" t="str">
        <x:v>million</x:v>
      </x:c>
      <x:c r="G540" s="11" t="str">
        <x:v>2026H1</x:v>
      </x:c>
      <x:c r="H540" s="11" t="str">
        <x:v>2026-09-17</x:v>
      </x:c>
      <x:c r="I540" s="11" t="str">
        <x:v>https://iis.aastocks.com/20260917/12336088-0.PDF</x:v>
      </x:c>
      <x:c r="J540" s="11" t="str"/>
      <x:c r="K540" s="11" t="str">
        <x:v>待核</x:v>
      </x:c>
      <x:c r="L540" s="11" t="str">
        <x:v>精确发布时间未核验</x:v>
      </x:c>
      <x:c r="M540" s="11" t="str">
        <x:v>截止日前日期，盘中时分未核</x:v>
      </x:c>
    </x:row>
    <x:row r="541" ht="23" customHeight="1">
      <x:c r="A541" s="11" t="str">
        <x:v>I025</x:v>
      </x:c>
      <x:c r="B541" s="11" t="str">
        <x:v>01093.HK</x:v>
      </x:c>
      <x:c r="C541" s="11" t="str">
        <x:v>totalContractLiability</x:v>
      </x:c>
      <x:c r="D541" s="39" t="n">
        <x:v>1491.704</x:v>
      </x:c>
      <x:c r="E541" s="11" t="str">
        <x:v>CNY</x:v>
      </x:c>
      <x:c r="F541" s="11" t="str">
        <x:v>million</x:v>
      </x:c>
      <x:c r="G541" s="11" t="str">
        <x:v>2026H1</x:v>
      </x:c>
      <x:c r="H541" s="11" t="str">
        <x:v>2026-09-17</x:v>
      </x:c>
      <x:c r="I541" s="11" t="str">
        <x:v>https://iis.aastocks.com/20260917/12336088-0.PDF</x:v>
      </x:c>
      <x:c r="J541" s="11" t="str"/>
      <x:c r="K541" s="11" t="str">
        <x:v>待核</x:v>
      </x:c>
      <x:c r="L541" s="11" t="str">
        <x:v>精确发布时间未核验</x:v>
      </x:c>
      <x:c r="M541" s="11" t="str">
        <x:v>截止日前日期，盘中时分未核</x:v>
      </x:c>
    </x:row>
    <x:row r="542" ht="23" customHeight="1">
      <x:c r="A542" s="11" t="str">
        <x:v>I025</x:v>
      </x:c>
      <x:c r="B542" s="11" t="str">
        <x:v>01093.HK</x:v>
      </x:c>
      <x:c r="C542" s="11" t="str">
        <x:v>ownerEquity</x:v>
      </x:c>
      <x:c r="D542" s="39" t="n">
        <x:v>37624.106</x:v>
      </x:c>
      <x:c r="E542" s="11" t="str">
        <x:v>CNY</x:v>
      </x:c>
      <x:c r="F542" s="11" t="str">
        <x:v>million</x:v>
      </x:c>
      <x:c r="G542" s="11" t="str">
        <x:v>2026H1</x:v>
      </x:c>
      <x:c r="H542" s="11" t="str">
        <x:v>2026-09-17</x:v>
      </x:c>
      <x:c r="I542" s="11" t="str">
        <x:v>https://iis.aastocks.com/20260917/12336088-0.PDF</x:v>
      </x:c>
      <x:c r="J542" s="11" t="str"/>
      <x:c r="K542" s="11" t="str">
        <x:v>待核</x:v>
      </x:c>
      <x:c r="L542" s="11" t="str">
        <x:v>精确发布时间未核验</x:v>
      </x:c>
      <x:c r="M542" s="11" t="str">
        <x:v>截止日前日期，盘中时分未核</x:v>
      </x:c>
    </x:row>
    <x:row r="543" ht="23" customHeight="1">
      <x:c r="A543" s="11" t="str">
        <x:v>I025</x:v>
      </x:c>
      <x:c r="B543" s="11" t="str">
        <x:v>01093.HK</x:v>
      </x:c>
      <x:c r="C543" s="11" t="str">
        <x:v>minorityEquity</x:v>
      </x:c>
      <x:c r="D543" s="39" t="n">
        <x:v>1807.173</x:v>
      </x:c>
      <x:c r="E543" s="11" t="str">
        <x:v>CNY</x:v>
      </x:c>
      <x:c r="F543" s="11" t="str">
        <x:v>million</x:v>
      </x:c>
      <x:c r="G543" s="11" t="str">
        <x:v>2026H1</x:v>
      </x:c>
      <x:c r="H543" s="11" t="str">
        <x:v>2026-09-17</x:v>
      </x:c>
      <x:c r="I543" s="11" t="str">
        <x:v>https://iis.aastocks.com/20260917/12336088-0.PDF</x:v>
      </x:c>
      <x:c r="J543" s="11" t="str"/>
      <x:c r="K543" s="11" t="str">
        <x:v>待核</x:v>
      </x:c>
      <x:c r="L543" s="11" t="str">
        <x:v>精确发布时间未核验</x:v>
      </x:c>
      <x:c r="M543" s="11" t="str">
        <x:v>截止日前日期，盘中时分未核</x:v>
      </x:c>
    </x:row>
    <x:row r="544" ht="23" customHeight="1">
      <x:c r="A544" s="11" t="str">
        <x:v>I025</x:v>
      </x:c>
      <x:c r="B544" s="11" t="str">
        <x:v>01093.HK</x:v>
      </x:c>
      <x:c r="C544" s="11" t="str">
        <x:v>notesReceivable</x:v>
      </x:c>
      <x:c r="D544" s="39" t="n">
        <x:v>1985.069</x:v>
      </x:c>
      <x:c r="E544" s="11" t="str">
        <x:v>CNY</x:v>
      </x:c>
      <x:c r="F544" s="11" t="str">
        <x:v>million</x:v>
      </x:c>
      <x:c r="G544" s="11" t="str">
        <x:v>2026H1</x:v>
      </x:c>
      <x:c r="H544" s="11" t="str">
        <x:v>2026-09-17</x:v>
      </x:c>
      <x:c r="I544" s="11" t="str">
        <x:v>https://iis.aastocks.com/20260917/12336088-0.PDF</x:v>
      </x:c>
      <x:c r="J544" s="11" t="str"/>
      <x:c r="K544" s="11" t="str">
        <x:v>待核</x:v>
      </x:c>
      <x:c r="L544" s="11" t="str">
        <x:v>精确发布时间未核验</x:v>
      </x:c>
      <x:c r="M544" s="11" t="str">
        <x:v>截止日前日期，盘中时分未核</x:v>
      </x:c>
    </x:row>
    <x:row r="545" ht="23" customHeight="1">
      <x:c r="A545" s="11" t="str">
        <x:v>I025</x:v>
      </x:c>
      <x:c r="B545" s="11" t="str">
        <x:v>01093.HK</x:v>
      </x:c>
      <x:c r="C545" s="11" t="str">
        <x:v>inventory</x:v>
      </x:c>
      <x:c r="D545" s="39" t="n">
        <x:v>2962.172</x:v>
      </x:c>
      <x:c r="E545" s="11" t="str">
        <x:v>CNY</x:v>
      </x:c>
      <x:c r="F545" s="11" t="str">
        <x:v>million</x:v>
      </x:c>
      <x:c r="G545" s="11" t="str">
        <x:v>2026H1</x:v>
      </x:c>
      <x:c r="H545" s="11" t="str">
        <x:v>2026-09-17</x:v>
      </x:c>
      <x:c r="I545" s="11" t="str">
        <x:v>https://iis.aastocks.com/20260917/12336088-0.PDF</x:v>
      </x:c>
      <x:c r="J545" s="11" t="str"/>
      <x:c r="K545" s="11" t="str">
        <x:v>待核</x:v>
      </x:c>
      <x:c r="L545" s="11" t="str">
        <x:v>精确发布时间未核验</x:v>
      </x:c>
      <x:c r="M545" s="11" t="str">
        <x:v>截止日前日期，盘中时分未核</x:v>
      </x:c>
    </x:row>
    <x:row r="546" ht="23" customHeight="1">
      <x:c r="A546" s="11" t="str">
        <x:v>I025</x:v>
      </x:c>
      <x:c r="B546" s="11" t="str">
        <x:v>01093.HK</x:v>
      </x:c>
      <x:c r="C546" s="11" t="str">
        <x:v>oldDeclaredFinalDividend</x:v>
      </x:c>
      <x:c r="D546" s="39" t="n">
        <x:v>1480</x:v>
      </x:c>
      <x:c r="E546" s="11" t="str">
        <x:v>CNY</x:v>
      </x:c>
      <x:c r="F546" s="11" t="str">
        <x:v>million</x:v>
      </x:c>
      <x:c r="G546" s="11" t="str">
        <x:v>2026H1</x:v>
      </x:c>
      <x:c r="H546" s="11" t="str">
        <x:v>2026-09-17</x:v>
      </x:c>
      <x:c r="I546" s="11" t="str">
        <x:v>https://iis.aastocks.com/20260917/12336088-0.PDF</x:v>
      </x:c>
      <x:c r="J546" s="11" t="str"/>
      <x:c r="K546" s="11" t="str">
        <x:v>待核</x:v>
      </x:c>
      <x:c r="L546" s="11" t="str">
        <x:v>精确发布时间未核验</x:v>
      </x:c>
      <x:c r="M546" s="11" t="str">
        <x:v>截止日前日期，盘中时分未核</x:v>
      </x:c>
    </x:row>
    <x:row r="547" ht="23" customHeight="1">
      <x:c r="A547" s="11" t="str">
        <x:v>I025</x:v>
      </x:c>
      <x:c r="B547" s="11" t="str">
        <x:v>01093.HK</x:v>
      </x:c>
      <x:c r="C547" s="11" t="str">
        <x:v>basicSharesM</x:v>
      </x:c>
      <x:c r="D547" s="39" t="n">
        <x:v>11401.166</x:v>
      </x:c>
      <x:c r="E547" s="11" t="str">
        <x:v>not monetary</x:v>
      </x:c>
      <x:c r="F547" s="11" t="str">
        <x:v>million shares</x:v>
      </x:c>
      <x:c r="G547" s="11" t="str">
        <x:v>2026H1</x:v>
      </x:c>
      <x:c r="H547" s="11" t="str">
        <x:v>2026-09-17</x:v>
      </x:c>
      <x:c r="I547" s="11" t="str">
        <x:v>https://iis.aastocks.com/20260917/12336088-0.PDF</x:v>
      </x:c>
      <x:c r="J547" s="11" t="str"/>
      <x:c r="K547" s="11" t="str">
        <x:v>待核</x:v>
      </x:c>
      <x:c r="L547" s="11" t="str">
        <x:v>精确发布时间未核验</x:v>
      </x:c>
      <x:c r="M547" s="11" t="str">
        <x:v>截止日前日期，盘中时分未核</x:v>
      </x:c>
    </x:row>
    <x:row r="548" ht="23" customHeight="1">
      <x:c r="A548" s="11" t="str">
        <x:v>I025</x:v>
      </x:c>
      <x:c r="B548" s="11" t="str">
        <x:v>01093.HK</x:v>
      </x:c>
      <x:c r="C548" s="11" t="str">
        <x:v>dilutedSharesM</x:v>
      </x:c>
      <x:c r="D548" s="39" t="n">
        <x:v>11419.903</x:v>
      </x:c>
      <x:c r="E548" s="11" t="str">
        <x:v>not monetary</x:v>
      </x:c>
      <x:c r="F548" s="11" t="str">
        <x:v>million shares</x:v>
      </x:c>
      <x:c r="G548" s="11" t="str">
        <x:v>2026H1</x:v>
      </x:c>
      <x:c r="H548" s="11" t="str">
        <x:v>2026-09-17</x:v>
      </x:c>
      <x:c r="I548" s="11" t="str">
        <x:v>https://iis.aastocks.com/20260917/12336088-0.PDF</x:v>
      </x:c>
      <x:c r="J548" s="11" t="str"/>
      <x:c r="K548" s="11" t="str">
        <x:v>待核</x:v>
      </x:c>
      <x:c r="L548" s="11" t="str">
        <x:v>精确发布时间未核验</x:v>
      </x:c>
      <x:c r="M548" s="11" t="str">
        <x:v>截止日前日期，盘中时分未核</x:v>
      </x:c>
    </x:row>
    <x:row r="549" ht="23" customHeight="1">
      <x:c r="A549" s="11" t="str">
        <x:v>I025</x:v>
      </x:c>
      <x:c r="B549" s="11" t="str">
        <x:v>01093.HK</x:v>
      </x:c>
      <x:c r="C549" s="11" t="str">
        <x:v>currentSharesM</x:v>
      </x:c>
      <x:c r="D549" s="39" t="n">
        <x:v>11522.451732</x:v>
      </x:c>
      <x:c r="E549" s="11" t="str">
        <x:v>not monetary</x:v>
      </x:c>
      <x:c r="F549" s="11" t="str">
        <x:v>million shares</x:v>
      </x:c>
      <x:c r="G549" s="11" t="str">
        <x:v>2026H1</x:v>
      </x:c>
      <x:c r="H549" s="11" t="str">
        <x:v>2026-09-17</x:v>
      </x:c>
      <x:c r="I549" s="11" t="str">
        <x:v>https://iis.aastocks.com/20260917/12336088-0.PDF</x:v>
      </x:c>
      <x:c r="J549" s="11" t="str"/>
      <x:c r="K549" s="11" t="str">
        <x:v>待核</x:v>
      </x:c>
      <x:c r="L549" s="11" t="str">
        <x:v>精确发布时间未核验</x:v>
      </x:c>
      <x:c r="M549" s="11" t="str">
        <x:v>截止日前日期，盘中时分未核</x:v>
      </x:c>
    </x:row>
    <x:row r="550" ht="23" customHeight="1">
      <x:c r="A550" s="11" t="str">
        <x:v>I025</x:v>
      </x:c>
      <x:c r="B550" s="11" t="str">
        <x:v>01093.HK</x:v>
      </x:c>
      <x:c r="C550" s="11" t="str">
        <x:v>interimDividendHKD</x:v>
      </x:c>
      <x:c r="D550" s="39" t="n">
        <x:v>0.18</x:v>
      </x:c>
      <x:c r="E550" s="11" t="str">
        <x:v>HKD</x:v>
      </x:c>
      <x:c r="F550" s="11" t="str">
        <x:v>per ordinary share</x:v>
      </x:c>
      <x:c r="G550" s="11" t="str">
        <x:v>2026H1</x:v>
      </x:c>
      <x:c r="H550" s="11" t="str">
        <x:v>2026-09-17</x:v>
      </x:c>
      <x:c r="I550" s="11" t="str">
        <x:v>https://iis.aastocks.com/20260917/12336088-0.PDF</x:v>
      </x:c>
      <x:c r="J550" s="11" t="str"/>
      <x:c r="K550" s="11" t="str">
        <x:v>待核</x:v>
      </x:c>
      <x:c r="L550" s="11" t="str">
        <x:v>精确发布时间未核验</x:v>
      </x:c>
      <x:c r="M550" s="11" t="str">
        <x:v>截止日前日期，盘中时分未核</x:v>
      </x:c>
    </x:row>
    <x:row r="551" ht="23" customHeight="1">
      <x:c r="A551" s="11" t="str">
        <x:v>I025</x:v>
      </x:c>
      <x:c r="B551" s="11" t="str">
        <x:v>01093.HK</x:v>
      </x:c>
      <x:c r="C551" s="11" t="str">
        <x:v>shareAwardMarketPurchaseM</x:v>
      </x:c>
      <x:c r="D551" s="39" t="n">
        <x:v>46.178</x:v>
      </x:c>
      <x:c r="E551" s="11" t="str">
        <x:v>CNY</x:v>
      </x:c>
      <x:c r="F551" s="11" t="str">
        <x:v>million</x:v>
      </x:c>
      <x:c r="G551" s="11" t="str">
        <x:v>2026H1</x:v>
      </x:c>
      <x:c r="H551" s="11" t="str">
        <x:v>2026-09-17</x:v>
      </x:c>
      <x:c r="I551" s="11" t="str">
        <x:v>https://iis.aastocks.com/20260917/12336088-0.PDF</x:v>
      </x:c>
      <x:c r="J551" s="11" t="str"/>
      <x:c r="K551" s="11" t="str">
        <x:v>待核</x:v>
      </x:c>
      <x:c r="L551" s="11" t="str">
        <x:v>精确发布时间未核验</x:v>
      </x:c>
      <x:c r="M551" s="11" t="str">
        <x:v>截止日前日期，盘中时分未核</x:v>
      </x:c>
    </x:row>
    <x:row r="552" ht="23" customHeight="1">
      <x:c r="A552" s="11" t="str">
        <x:v>I025</x:v>
      </x:c>
      <x:c r="B552" s="11" t="str">
        <x:v>01093.HK</x:v>
      </x:c>
      <x:c r="C552" s="11" t="str">
        <x:v>shareAwardPurchaseHKDm</x:v>
      </x:c>
      <x:c r="D552" s="39" t="n">
        <x:v>321.086</x:v>
      </x:c>
      <x:c r="E552" s="11" t="str">
        <x:v>HKD</x:v>
      </x:c>
      <x:c r="F552" s="11" t="str">
        <x:v>million</x:v>
      </x:c>
      <x:c r="G552" s="11" t="str">
        <x:v>2026H1</x:v>
      </x:c>
      <x:c r="H552" s="11" t="str">
        <x:v>2026-09-17</x:v>
      </x:c>
      <x:c r="I552" s="11" t="str">
        <x:v>https://iis.aastocks.com/20260917/12336088-0.PDF</x:v>
      </x:c>
      <x:c r="J552" s="11" t="str"/>
      <x:c r="K552" s="11" t="str">
        <x:v>待核</x:v>
      </x:c>
      <x:c r="L552" s="11" t="str">
        <x:v>精确发布时间未核验</x:v>
      </x:c>
      <x:c r="M552" s="11" t="str">
        <x:v>截止日前日期，盘中时分未核</x:v>
      </x:c>
    </x:row>
    <x:row r="553" ht="23" customHeight="1">
      <x:c r="A553" s="11" t="str">
        <x:v>I025</x:v>
      </x:c>
      <x:c r="B553" s="11" t="str">
        <x:v>01093.HK</x:v>
      </x:c>
      <x:c r="C553" s="11" t="str">
        <x:v>upfrontReceivedMayUSDbn</x:v>
      </x:c>
      <x:c r="D553" s="39" t="n">
        <x:v>1.2</x:v>
      </x:c>
      <x:c r="E553" s="11" t="str">
        <x:v>USD</x:v>
      </x:c>
      <x:c r="F553" s="11" t="str">
        <x:v>billion</x:v>
      </x:c>
      <x:c r="G553" s="11" t="str">
        <x:v>2026H1</x:v>
      </x:c>
      <x:c r="H553" s="11" t="str">
        <x:v>2026-09-17</x:v>
      </x:c>
      <x:c r="I553" s="11" t="str">
        <x:v>https://iis.aastocks.com/20260917/12336088-0.PDF</x:v>
      </x:c>
      <x:c r="J553" s="11" t="str"/>
      <x:c r="K553" s="11" t="str">
        <x:v>待核</x:v>
      </x:c>
      <x:c r="L553" s="11" t="str">
        <x:v>精确发布时间未核验</x:v>
      </x:c>
      <x:c r="M553" s="11" t="str">
        <x:v>截止日前日期，盘中时分未核</x:v>
      </x:c>
    </x:row>
    <x:row r="554" ht="23" customHeight="1">
      <x:c r="A554" s="11" t="str">
        <x:v>I025</x:v>
      </x:c>
      <x:c r="B554" s="11" t="str">
        <x:v>01093.HK</x:v>
      </x:c>
      <x:c r="C554" s="11" t="str">
        <x:v>upfrontReceivedMayCNYm</x:v>
      </x:c>
      <x:c r="D554" s="39" t="n">
        <x:v>8200.104</x:v>
      </x:c>
      <x:c r="E554" s="11" t="str">
        <x:v>CNY</x:v>
      </x:c>
      <x:c r="F554" s="11" t="str">
        <x:v>million</x:v>
      </x:c>
      <x:c r="G554" s="11" t="str">
        <x:v>2026H1</x:v>
      </x:c>
      <x:c r="H554" s="11" t="str">
        <x:v>2026-09-17</x:v>
      </x:c>
      <x:c r="I554" s="11" t="str">
        <x:v>https://iis.aastocks.com/20260917/12336088-0.PDF</x:v>
      </x:c>
      <x:c r="J554" s="11" t="str"/>
      <x:c r="K554" s="11" t="str">
        <x:v>待核</x:v>
      </x:c>
      <x:c r="L554" s="11" t="str">
        <x:v>精确发布时间未核验</x:v>
      </x:c>
      <x:c r="M554" s="11" t="str">
        <x:v>截止日前日期，盘中时分未核</x:v>
      </x:c>
    </x:row>
    <x:row r="555" ht="23" customHeight="1">
      <x:c r="A555" s="11" t="str">
        <x:v>I025</x:v>
      </x:c>
      <x:c r="B555" s="11" t="str">
        <x:v>01093.HK</x:v>
      </x:c>
      <x:c r="C555" s="11" t="str">
        <x:v>recognizedUpfrontMayCNYm</x:v>
      </x:c>
      <x:c r="D555" s="39" t="n">
        <x:v>5740.073</x:v>
      </x:c>
      <x:c r="E555" s="11" t="str">
        <x:v>CNY</x:v>
      </x:c>
      <x:c r="F555" s="11" t="str">
        <x:v>million</x:v>
      </x:c>
      <x:c r="G555" s="11" t="str">
        <x:v>2026H1</x:v>
      </x:c>
      <x:c r="H555" s="11" t="str">
        <x:v>2026-09-17</x:v>
      </x:c>
      <x:c r="I555" s="11" t="str">
        <x:v>https://iis.aastocks.com/20260917/12336088-0.PDF</x:v>
      </x:c>
      <x:c r="J555" s="11" t="str"/>
      <x:c r="K555" s="11" t="str">
        <x:v>待核</x:v>
      </x:c>
      <x:c r="L555" s="11" t="str">
        <x:v>精确发布时间未核验</x:v>
      </x:c>
      <x:c r="M555" s="11" t="str">
        <x:v>截止日前日期，盘中时分未核</x:v>
      </x:c>
    </x:row>
    <x:row r="556" ht="23" customHeight="1">
      <x:c r="A556" s="11" t="str">
        <x:v>I025</x:v>
      </x:c>
      <x:c r="B556" s="11" t="str">
        <x:v>01093.HK</x:v>
      </x:c>
      <x:c r="C556" s="11" t="str">
        <x:v>revenue</x:v>
      </x:c>
      <x:c r="D556" s="39" t="n">
        <x:v>18594.494</x:v>
      </x:c>
      <x:c r="E556" s="11" t="str">
        <x:v>CNY</x:v>
      </x:c>
      <x:c r="F556" s="11" t="str">
        <x:v>million</x:v>
      </x:c>
      <x:c r="G556" s="11" t="str">
        <x:v>2026H1</x:v>
      </x:c>
      <x:c r="H556" s="11" t="str">
        <x:v>2026-09-17</x:v>
      </x:c>
      <x:c r="I556" s="11" t="str">
        <x:v>https://iis.aastocks.com/20260917/12336088-0.PDF</x:v>
      </x:c>
      <x:c r="J556" s="11" t="str">
        <x:v>首度公开日期 2026-08-20</x:v>
      </x:c>
      <x:c r="K556" s="11" t="str">
        <x:v>2026-08-20</x:v>
      </x:c>
      <x:c r="L556" s="11" t="str">
        <x:v>精确发布时间未核验</x:v>
      </x:c>
      <x:c r="M556" s="11" t="str">
        <x:v>截止日前日期，盘中时分未核</x:v>
      </x:c>
    </x:row>
    <x:row r="557" ht="23" customHeight="1">
      <x:c r="A557" s="11" t="str">
        <x:v>I025</x:v>
      </x:c>
      <x:c r="B557" s="11" t="str">
        <x:v>01093.HK</x:v>
      </x:c>
      <x:c r="C557" s="11" t="str">
        <x:v>productSales</x:v>
      </x:c>
      <x:c r="D557" s="39" t="n">
        <x:v>12699.525</x:v>
      </x:c>
      <x:c r="E557" s="11" t="str">
        <x:v>CNY</x:v>
      </x:c>
      <x:c r="F557" s="11" t="str">
        <x:v>million</x:v>
      </x:c>
      <x:c r="G557" s="11" t="str">
        <x:v>2026H1</x:v>
      </x:c>
      <x:c r="H557" s="11" t="str">
        <x:v>2026-09-17</x:v>
      </x:c>
      <x:c r="I557" s="11" t="str">
        <x:v>https://iis.aastocks.com/20260917/12336088-0.PDF</x:v>
      </x:c>
      <x:c r="J557" s="11" t="str">
        <x:v>首度公开日期 2026-08-20</x:v>
      </x:c>
      <x:c r="K557" s="11" t="str">
        <x:v>2026-08-20</x:v>
      </x:c>
      <x:c r="L557" s="11" t="str">
        <x:v>精确发布时间未核验</x:v>
      </x:c>
      <x:c r="M557" s="11" t="str">
        <x:v>截止日前日期，盘中时分未核</x:v>
      </x:c>
    </x:row>
    <x:row r="558" ht="23" customHeight="1">
      <x:c r="A558" s="11" t="str">
        <x:v>I025</x:v>
      </x:c>
      <x:c r="B558" s="11" t="str">
        <x:v>01093.HK</x:v>
      </x:c>
      <x:c r="C558" s="11" t="str">
        <x:v>finishedDrugProductSales</x:v>
      </x:c>
      <x:c r="D558" s="39" t="n">
        <x:v>10165.742</x:v>
      </x:c>
      <x:c r="E558" s="11" t="str">
        <x:v>CNY</x:v>
      </x:c>
      <x:c r="F558" s="11" t="str">
        <x:v>million</x:v>
      </x:c>
      <x:c r="G558" s="11" t="str">
        <x:v>2026H1</x:v>
      </x:c>
      <x:c r="H558" s="11" t="str">
        <x:v>2026-09-17</x:v>
      </x:c>
      <x:c r="I558" s="11" t="str">
        <x:v>https://iis.aastocks.com/20260917/12336088-0.PDF</x:v>
      </x:c>
      <x:c r="J558" s="11" t="str">
        <x:v>首度公开日期 2026-08-20</x:v>
      </x:c>
      <x:c r="K558" s="11" t="str">
        <x:v>2026-08-20</x:v>
      </x:c>
      <x:c r="L558" s="11" t="str">
        <x:v>精确发布时间未核验</x:v>
      </x:c>
      <x:c r="M558" s="11" t="str">
        <x:v>截止日前日期，盘中时分未核</x:v>
      </x:c>
    </x:row>
    <x:row r="559" ht="23" customHeight="1">
      <x:c r="A559" s="11" t="str">
        <x:v>I025</x:v>
      </x:c>
      <x:c r="B559" s="11" t="str">
        <x:v>01093.HK</x:v>
      </x:c>
      <x:c r="C559" s="11" t="str">
        <x:v>licenseRevenue</x:v>
      </x:c>
      <x:c r="D559" s="39" t="n">
        <x:v>5894.969</x:v>
      </x:c>
      <x:c r="E559" s="11" t="str">
        <x:v>CNY</x:v>
      </x:c>
      <x:c r="F559" s="11" t="str">
        <x:v>million</x:v>
      </x:c>
      <x:c r="G559" s="11" t="str">
        <x:v>2026H1</x:v>
      </x:c>
      <x:c r="H559" s="11" t="str">
        <x:v>2026-09-17</x:v>
      </x:c>
      <x:c r="I559" s="11" t="str">
        <x:v>https://iis.aastocks.com/20260917/12336088-0.PDF</x:v>
      </x:c>
      <x:c r="J559" s="11" t="str">
        <x:v>首度公开日期 2026-08-20</x:v>
      </x:c>
      <x:c r="K559" s="11" t="str">
        <x:v>2026-08-20</x:v>
      </x:c>
      <x:c r="L559" s="11" t="str">
        <x:v>精确发布时间未核验</x:v>
      </x:c>
      <x:c r="M559" s="11" t="str">
        <x:v>截止日前日期，盘中时分未核</x:v>
      </x:c>
    </x:row>
    <x:row r="560" ht="23" customHeight="1">
      <x:c r="A560" s="11" t="str">
        <x:v>I025</x:v>
      </x:c>
      <x:c r="B560" s="11" t="str">
        <x:v>01093.HK</x:v>
      </x:c>
      <x:c r="C560" s="11" t="str">
        <x:v>grossProfit</x:v>
      </x:c>
      <x:c r="D560" s="39" t="n">
        <x:v>14160.616</x:v>
      </x:c>
      <x:c r="E560" s="11" t="str">
        <x:v>CNY</x:v>
      </x:c>
      <x:c r="F560" s="11" t="str">
        <x:v>million</x:v>
      </x:c>
      <x:c r="G560" s="11" t="str">
        <x:v>2026H1</x:v>
      </x:c>
      <x:c r="H560" s="11" t="str">
        <x:v>2026-09-17</x:v>
      </x:c>
      <x:c r="I560" s="11" t="str">
        <x:v>https://iis.aastocks.com/20260917/12336088-0.PDF</x:v>
      </x:c>
      <x:c r="J560" s="11" t="str">
        <x:v>首度公开日期 2026-08-20</x:v>
      </x:c>
      <x:c r="K560" s="11" t="str">
        <x:v>2026-08-20</x:v>
      </x:c>
      <x:c r="L560" s="11" t="str">
        <x:v>精确发布时间未核验</x:v>
      </x:c>
      <x:c r="M560" s="11" t="str">
        <x:v>截止日前日期，盘中时分未核</x:v>
      </x:c>
    </x:row>
    <x:row r="561" ht="23" customHeight="1">
      <x:c r="A561" s="11" t="str">
        <x:v>I025</x:v>
      </x:c>
      <x:c r="B561" s="11" t="str">
        <x:v>01093.HK</x:v>
      </x:c>
      <x:c r="C561" s="11" t="str">
        <x:v>groupProfit</x:v>
      </x:c>
      <x:c r="D561" s="39" t="n">
        <x:v>6460.176</x:v>
      </x:c>
      <x:c r="E561" s="11" t="str">
        <x:v>CNY</x:v>
      </x:c>
      <x:c r="F561" s="11" t="str">
        <x:v>million</x:v>
      </x:c>
      <x:c r="G561" s="11" t="str">
        <x:v>2026H1</x:v>
      </x:c>
      <x:c r="H561" s="11" t="str">
        <x:v>2026-09-17</x:v>
      </x:c>
      <x:c r="I561" s="11" t="str">
        <x:v>https://iis.aastocks.com/20260917/12336088-0.PDF</x:v>
      </x:c>
      <x:c r="J561" s="11" t="str">
        <x:v>首度公开日期 2026-08-20</x:v>
      </x:c>
      <x:c r="K561" s="11" t="str">
        <x:v>2026-08-20</x:v>
      </x:c>
      <x:c r="L561" s="11" t="str">
        <x:v>精确发布时间未核验</x:v>
      </x:c>
      <x:c r="M561" s="11" t="str">
        <x:v>截止日前日期，盘中时分未核</x:v>
      </x:c>
    </x:row>
    <x:row r="562" ht="23" customHeight="1">
      <x:c r="A562" s="11" t="str">
        <x:v>I025</x:v>
      </x:c>
      <x:c r="B562" s="11" t="str">
        <x:v>01093.HK</x:v>
      </x:c>
      <x:c r="C562" s="11" t="str">
        <x:v>attributableProfit</x:v>
      </x:c>
      <x:c r="D562" s="39" t="n">
        <x:v>6094.212</x:v>
      </x:c>
      <x:c r="E562" s="11" t="str">
        <x:v>CNY</x:v>
      </x:c>
      <x:c r="F562" s="11" t="str">
        <x:v>million</x:v>
      </x:c>
      <x:c r="G562" s="11" t="str">
        <x:v>2026H1</x:v>
      </x:c>
      <x:c r="H562" s="11" t="str">
        <x:v>2026-09-17</x:v>
      </x:c>
      <x:c r="I562" s="11" t="str">
        <x:v>https://iis.aastocks.com/20260917/12336088-0.PDF</x:v>
      </x:c>
      <x:c r="J562" s="11" t="str">
        <x:v>首度公开日期 2026-08-20</x:v>
      </x:c>
      <x:c r="K562" s="11" t="str">
        <x:v>2026-08-20</x:v>
      </x:c>
      <x:c r="L562" s="11" t="str">
        <x:v>精确发布时间未核验</x:v>
      </x:c>
      <x:c r="M562" s="11" t="str">
        <x:v>截止日前日期，盘中时分未核</x:v>
      </x:c>
    </x:row>
    <x:row r="563" ht="23" customHeight="1">
      <x:c r="A563" s="11" t="str">
        <x:v>I025</x:v>
      </x:c>
      <x:c r="B563" s="11" t="str">
        <x:v>01093.HK</x:v>
      </x:c>
      <x:c r="C563" s="11" t="str">
        <x:v>minorityProfit</x:v>
      </x:c>
      <x:c r="D563" s="39" t="n">
        <x:v>365.964</x:v>
      </x:c>
      <x:c r="E563" s="11" t="str">
        <x:v>CNY</x:v>
      </x:c>
      <x:c r="F563" s="11" t="str">
        <x:v>million</x:v>
      </x:c>
      <x:c r="G563" s="11" t="str">
        <x:v>2026H1</x:v>
      </x:c>
      <x:c r="H563" s="11" t="str">
        <x:v>2026-09-17</x:v>
      </x:c>
      <x:c r="I563" s="11" t="str">
        <x:v>https://iis.aastocks.com/20260917/12336088-0.PDF</x:v>
      </x:c>
      <x:c r="J563" s="11" t="str">
        <x:v>首度公开日期 2026-08-20</x:v>
      </x:c>
      <x:c r="K563" s="11" t="str">
        <x:v>2026-08-20</x:v>
      </x:c>
      <x:c r="L563" s="11" t="str">
        <x:v>精确发布时间未核验</x:v>
      </x:c>
      <x:c r="M563" s="11" t="str">
        <x:v>截止日前日期，盘中时分未核</x:v>
      </x:c>
    </x:row>
    <x:row r="564" ht="23" customHeight="1">
      <x:c r="A564" s="11" t="str">
        <x:v>I025</x:v>
      </x:c>
      <x:c r="B564" s="11" t="str">
        <x:v>01093.HK</x:v>
      </x:c>
      <x:c r="C564" s="11" t="str">
        <x:v>research</x:v>
      </x:c>
      <x:c r="D564" s="39" t="n">
        <x:v>3029.461</x:v>
      </x:c>
      <x:c r="E564" s="11" t="str">
        <x:v>CNY</x:v>
      </x:c>
      <x:c r="F564" s="11" t="str">
        <x:v>million</x:v>
      </x:c>
      <x:c r="G564" s="11" t="str">
        <x:v>2026H1</x:v>
      </x:c>
      <x:c r="H564" s="11" t="str">
        <x:v>2026-09-17</x:v>
      </x:c>
      <x:c r="I564" s="11" t="str">
        <x:v>https://iis.aastocks.com/20260917/12336088-0.PDF</x:v>
      </x:c>
      <x:c r="J564" s="11" t="str">
        <x:v>首度公开日期 2026-08-20</x:v>
      </x:c>
      <x:c r="K564" s="11" t="str">
        <x:v>2026-08-20</x:v>
      </x:c>
      <x:c r="L564" s="11" t="str">
        <x:v>精确发布时间未核验</x:v>
      </x:c>
      <x:c r="M564" s="11" t="str">
        <x:v>截止日前日期，盘中时分未核</x:v>
      </x:c>
    </x:row>
    <x:row r="565" ht="23" customHeight="1">
      <x:c r="A565" s="11" t="str">
        <x:v>I025</x:v>
      </x:c>
      <x:c r="B565" s="11" t="str">
        <x:v>01093.HK</x:v>
      </x:c>
      <x:c r="C565" s="11" t="str">
        <x:v>salesExpense</x:v>
      </x:c>
      <x:c r="D565" s="39" t="n">
        <x:v>3290.854</x:v>
      </x:c>
      <x:c r="E565" s="11" t="str">
        <x:v>CNY</x:v>
      </x:c>
      <x:c r="F565" s="11" t="str">
        <x:v>million</x:v>
      </x:c>
      <x:c r="G565" s="11" t="str">
        <x:v>2026H1</x:v>
      </x:c>
      <x:c r="H565" s="11" t="str">
        <x:v>2026-09-17</x:v>
      </x:c>
      <x:c r="I565" s="11" t="str">
        <x:v>https://iis.aastocks.com/20260917/12336088-0.PDF</x:v>
      </x:c>
      <x:c r="J565" s="11" t="str">
        <x:v>首度公开日期 2026-08-20</x:v>
      </x:c>
      <x:c r="K565" s="11" t="str">
        <x:v>2026-08-20</x:v>
      </x:c>
      <x:c r="L565" s="11" t="str">
        <x:v>精确发布时间未核验</x:v>
      </x:c>
      <x:c r="M565" s="11" t="str">
        <x:v>截止日前日期，盘中时分未核</x:v>
      </x:c>
    </x:row>
    <x:row r="566" ht="23" customHeight="1">
      <x:c r="A566" s="11" t="str">
        <x:v>I025</x:v>
      </x:c>
      <x:c r="B566" s="11" t="str">
        <x:v>01093.HK</x:v>
      </x:c>
      <x:c r="C566" s="11" t="str">
        <x:v>admin</x:v>
      </x:c>
      <x:c r="D566" s="39" t="n">
        <x:v>487.728</x:v>
      </x:c>
      <x:c r="E566" s="11" t="str">
        <x:v>CNY</x:v>
      </x:c>
      <x:c r="F566" s="11" t="str">
        <x:v>million</x:v>
      </x:c>
      <x:c r="G566" s="11" t="str">
        <x:v>2026H1</x:v>
      </x:c>
      <x:c r="H566" s="11" t="str">
        <x:v>2026-09-17</x:v>
      </x:c>
      <x:c r="I566" s="11" t="str">
        <x:v>https://iis.aastocks.com/20260917/12336088-0.PDF</x:v>
      </x:c>
      <x:c r="J566" s="11" t="str">
        <x:v>首度公开日期 2026-08-20</x:v>
      </x:c>
      <x:c r="K566" s="11" t="str">
        <x:v>2026-08-20</x:v>
      </x:c>
      <x:c r="L566" s="11" t="str">
        <x:v>精确发布时间未核验</x:v>
      </x:c>
      <x:c r="M566" s="11" t="str">
        <x:v>截止日前日期，盘中时分未核</x:v>
      </x:c>
    </x:row>
    <x:row r="567" ht="23" customHeight="1">
      <x:c r="A567" s="11" t="str">
        <x:v>I025</x:v>
      </x:c>
      <x:c r="B567" s="11" t="str">
        <x:v>01093.HK</x:v>
      </x:c>
      <x:c r="C567" s="11" t="str">
        <x:v>tax</x:v>
      </x:c>
      <x:c r="D567" s="39" t="n">
        <x:v>1068.947</x:v>
      </x:c>
      <x:c r="E567" s="11" t="str">
        <x:v>CNY</x:v>
      </x:c>
      <x:c r="F567" s="11" t="str">
        <x:v>million</x:v>
      </x:c>
      <x:c r="G567" s="11" t="str">
        <x:v>2026H1</x:v>
      </x:c>
      <x:c r="H567" s="11" t="str">
        <x:v>2026-09-17</x:v>
      </x:c>
      <x:c r="I567" s="11" t="str">
        <x:v>https://iis.aastocks.com/20260917/12336088-0.PDF</x:v>
      </x:c>
      <x:c r="J567" s="11" t="str">
        <x:v>首度公开日期 2026-08-20</x:v>
      </x:c>
      <x:c r="K567" s="11" t="str">
        <x:v>2026-08-20</x:v>
      </x:c>
      <x:c r="L567" s="11" t="str">
        <x:v>精确发布时间未核验</x:v>
      </x:c>
      <x:c r="M567" s="11" t="str">
        <x:v>截止日前日期，盘中时分未核</x:v>
      </x:c>
    </x:row>
    <x:row r="568" ht="23" customHeight="1">
      <x:c r="A568" s="11" t="str">
        <x:v>I025</x:v>
      </x:c>
      <x:c r="B568" s="11" t="str">
        <x:v>01093.HK</x:v>
      </x:c>
      <x:c r="C568" s="11" t="str">
        <x:v>OCF</x:v>
      </x:c>
      <x:c r="D568" s="39" t="n">
        <x:v>10889.512</x:v>
      </x:c>
      <x:c r="E568" s="11" t="str">
        <x:v>CNY</x:v>
      </x:c>
      <x:c r="F568" s="11" t="str">
        <x:v>million</x:v>
      </x:c>
      <x:c r="G568" s="11" t="str">
        <x:v>2026H1</x:v>
      </x:c>
      <x:c r="H568" s="11" t="str">
        <x:v>2026-09-17</x:v>
      </x:c>
      <x:c r="I568" s="11" t="str">
        <x:v>https://iis.aastocks.com/20260917/12336088-0.PDF</x:v>
      </x:c>
      <x:c r="J568" s="11" t="str">
        <x:v>首度公开日期 2026-08-20</x:v>
      </x:c>
      <x:c r="K568" s="11" t="str">
        <x:v>2026-08-20</x:v>
      </x:c>
      <x:c r="L568" s="11" t="str">
        <x:v>精确发布时间未核验</x:v>
      </x:c>
      <x:c r="M568" s="11" t="str">
        <x:v>截止日前日期，盘中时分未核</x:v>
      </x:c>
    </x:row>
    <x:row r="569" ht="23" customHeight="1">
      <x:c r="A569" s="11" t="str">
        <x:v>I025</x:v>
      </x:c>
      <x:c r="B569" s="11" t="str">
        <x:v>01093.HK</x:v>
      </x:c>
      <x:c r="C569" s="11" t="str">
        <x:v>PPECash</x:v>
      </x:c>
      <x:c r="D569" s="39" t="n">
        <x:v>765.346</x:v>
      </x:c>
      <x:c r="E569" s="11" t="str">
        <x:v>CNY</x:v>
      </x:c>
      <x:c r="F569" s="11" t="str">
        <x:v>million</x:v>
      </x:c>
      <x:c r="G569" s="11" t="str">
        <x:v>2026H1</x:v>
      </x:c>
      <x:c r="H569" s="11" t="str">
        <x:v>2026-09-17</x:v>
      </x:c>
      <x:c r="I569" s="11" t="str">
        <x:v>https://iis.aastocks.com/20260917/12336088-0.PDF</x:v>
      </x:c>
      <x:c r="J569" s="11" t="str">
        <x:v>首度公开日期 2026-08-20</x:v>
      </x:c>
      <x:c r="K569" s="11" t="str">
        <x:v>2026-08-20</x:v>
      </x:c>
      <x:c r="L569" s="11" t="str">
        <x:v>精确发布时间未核验</x:v>
      </x:c>
      <x:c r="M569" s="11" t="str">
        <x:v>截止日前日期，盘中时分未核</x:v>
      </x:c>
    </x:row>
    <x:row r="570" ht="23" customHeight="1">
      <x:c r="A570" s="11" t="str">
        <x:v>I025</x:v>
      </x:c>
      <x:c r="B570" s="11" t="str">
        <x:v>01093.HK</x:v>
      </x:c>
      <x:c r="C570" s="11" t="str">
        <x:v>cashBankAll</x:v>
      </x:c>
      <x:c r="D570" s="39" t="n">
        <x:v>14177.131</x:v>
      </x:c>
      <x:c r="E570" s="11" t="str">
        <x:v>CNY</x:v>
      </x:c>
      <x:c r="F570" s="11" t="str">
        <x:v>million</x:v>
      </x:c>
      <x:c r="G570" s="11" t="str">
        <x:v>2026H1</x:v>
      </x:c>
      <x:c r="H570" s="11" t="str">
        <x:v>2026-09-17</x:v>
      </x:c>
      <x:c r="I570" s="11" t="str">
        <x:v>https://iis.aastocks.com/20260917/12336088-0.PDF</x:v>
      </x:c>
      <x:c r="J570" s="11" t="str">
        <x:v>首度公开日期 2026-08-20</x:v>
      </x:c>
      <x:c r="K570" s="11" t="str">
        <x:v>2026-08-20</x:v>
      </x:c>
      <x:c r="L570" s="11" t="str">
        <x:v>精确发布时间未核验</x:v>
      </x:c>
      <x:c r="M570" s="11" t="str">
        <x:v>截止日前日期，盘中时分未核</x:v>
      </x:c>
    </x:row>
    <x:row r="571" ht="23" customHeight="1">
      <x:c r="A571" s="11" t="str">
        <x:v>I025</x:v>
      </x:c>
      <x:c r="B571" s="11" t="str">
        <x:v>01093.HK</x:v>
      </x:c>
      <x:c r="C571" s="11" t="str">
        <x:v>structuredDeposits</x:v>
      </x:c>
      <x:c r="D571" s="39" t="n">
        <x:v>8485.866</x:v>
      </x:c>
      <x:c r="E571" s="11" t="str">
        <x:v>CNY</x:v>
      </x:c>
      <x:c r="F571" s="11" t="str">
        <x:v>million</x:v>
      </x:c>
      <x:c r="G571" s="11" t="str">
        <x:v>2026H1</x:v>
      </x:c>
      <x:c r="H571" s="11" t="str">
        <x:v>2026-09-17</x:v>
      </x:c>
      <x:c r="I571" s="11" t="str">
        <x:v>https://iis.aastocks.com/20260917/12336088-0.PDF</x:v>
      </x:c>
      <x:c r="J571" s="11" t="str">
        <x:v>首度公开日期 2026-08-20</x:v>
      </x:c>
      <x:c r="K571" s="11" t="str">
        <x:v>2026-08-20</x:v>
      </x:c>
      <x:c r="L571" s="11" t="str">
        <x:v>精确发布时间未核验</x:v>
      </x:c>
      <x:c r="M571" s="11" t="str">
        <x:v>截止日前日期，盘中时分未核</x:v>
      </x:c>
    </x:row>
    <x:row r="572" ht="23" customHeight="1">
      <x:c r="A572" s="11" t="str">
        <x:v>I025</x:v>
      </x:c>
      <x:c r="B572" s="11" t="str">
        <x:v>01093.HK</x:v>
      </x:c>
      <x:c r="C572" s="11" t="str">
        <x:v>bankDebt</x:v>
      </x:c>
      <x:c r="D572" s="39" t="n">
        <x:v>403.281</x:v>
      </x:c>
      <x:c r="E572" s="11" t="str">
        <x:v>CNY</x:v>
      </x:c>
      <x:c r="F572" s="11" t="str">
        <x:v>million</x:v>
      </x:c>
      <x:c r="G572" s="11" t="str">
        <x:v>2026H1</x:v>
      </x:c>
      <x:c r="H572" s="11" t="str">
        <x:v>2026-09-17</x:v>
      </x:c>
      <x:c r="I572" s="11" t="str">
        <x:v>https://iis.aastocks.com/20260917/12336088-0.PDF</x:v>
      </x:c>
      <x:c r="J572" s="11" t="str">
        <x:v>首度公开日期 2026-08-20</x:v>
      </x:c>
      <x:c r="K572" s="11" t="str">
        <x:v>2026-08-20</x:v>
      </x:c>
      <x:c r="L572" s="11" t="str">
        <x:v>精确发布时间未核验</x:v>
      </x:c>
      <x:c r="M572" s="11" t="str">
        <x:v>截止日前日期，盘中时分未核</x:v>
      </x:c>
    </x:row>
    <x:row r="573" ht="23" customHeight="1">
      <x:c r="A573" s="11" t="str">
        <x:v>I025</x:v>
      </x:c>
      <x:c r="B573" s="11" t="str">
        <x:v>01093.HK</x:v>
      </x:c>
      <x:c r="C573" s="11" t="str">
        <x:v>leases</x:v>
      </x:c>
      <x:c r="D573" s="39" t="n">
        <x:v>249.21</x:v>
      </x:c>
      <x:c r="E573" s="11" t="str">
        <x:v>CNY</x:v>
      </x:c>
      <x:c r="F573" s="11" t="str">
        <x:v>million</x:v>
      </x:c>
      <x:c r="G573" s="11" t="str">
        <x:v>2026H1</x:v>
      </x:c>
      <x:c r="H573" s="11" t="str">
        <x:v>2026-09-17</x:v>
      </x:c>
      <x:c r="I573" s="11" t="str">
        <x:v>https://iis.aastocks.com/20260917/12336088-0.PDF</x:v>
      </x:c>
      <x:c r="J573" s="11" t="str">
        <x:v>首度公开日期 2026-08-20</x:v>
      </x:c>
      <x:c r="K573" s="11" t="str">
        <x:v>2026-08-20</x:v>
      </x:c>
      <x:c r="L573" s="11" t="str">
        <x:v>精确发布时间未核验</x:v>
      </x:c>
      <x:c r="M573" s="11" t="str">
        <x:v>截止日前日期，盘中时分未核</x:v>
      </x:c>
    </x:row>
    <x:row r="574" ht="23" customHeight="1">
      <x:c r="A574" s="11" t="str">
        <x:v>I025</x:v>
      </x:c>
      <x:c r="B574" s="11" t="str">
        <x:v>01093.HK</x:v>
      </x:c>
      <x:c r="C574" s="11" t="str">
        <x:v>refundableUpfront</x:v>
      </x:c>
      <x:c r="D574" s="39" t="n">
        <x:v>2460.031</x:v>
      </x:c>
      <x:c r="E574" s="11" t="str">
        <x:v>CNY</x:v>
      </x:c>
      <x:c r="F574" s="11" t="str">
        <x:v>million</x:v>
      </x:c>
      <x:c r="G574" s="11" t="str">
        <x:v>2026H1</x:v>
      </x:c>
      <x:c r="H574" s="11" t="str">
        <x:v>2026-09-17</x:v>
      </x:c>
      <x:c r="I574" s="11" t="str">
        <x:v>https://iis.aastocks.com/20260917/12336088-0.PDF</x:v>
      </x:c>
      <x:c r="J574" s="11" t="str">
        <x:v>首度公开日期 2026-08-20</x:v>
      </x:c>
      <x:c r="K574" s="11" t="str">
        <x:v>2026-08-20</x:v>
      </x:c>
      <x:c r="L574" s="11" t="str">
        <x:v>精确发布时间未核验</x:v>
      </x:c>
      <x:c r="M574" s="11" t="str">
        <x:v>截止日前日期，盘中时分未核</x:v>
      </x:c>
    </x:row>
    <x:row r="575" ht="23" customHeight="1">
      <x:c r="A575" s="11" t="str">
        <x:v>I025</x:v>
      </x:c>
      <x:c r="B575" s="11" t="str">
        <x:v>01093.HK</x:v>
      </x:c>
      <x:c r="C575" s="11" t="str">
        <x:v>receivable</x:v>
      </x:c>
      <x:c r="D575" s="39" t="n">
        <x:v>5389.371</x:v>
      </x:c>
      <x:c r="E575" s="11" t="str">
        <x:v>CNY</x:v>
      </x:c>
      <x:c r="F575" s="11" t="str">
        <x:v>million</x:v>
      </x:c>
      <x:c r="G575" s="11" t="str">
        <x:v>2026H1</x:v>
      </x:c>
      <x:c r="H575" s="11" t="str">
        <x:v>2026-09-17</x:v>
      </x:c>
      <x:c r="I575" s="11" t="str">
        <x:v>https://iis.aastocks.com/20260917/12336088-0.PDF</x:v>
      </x:c>
      <x:c r="J575" s="11" t="str">
        <x:v>首度公开日期 2026-08-20</x:v>
      </x:c>
      <x:c r="K575" s="11" t="str">
        <x:v>2026-08-20</x:v>
      </x:c>
      <x:c r="L575" s="11" t="str">
        <x:v>精确发布时间未核验</x:v>
      </x:c>
      <x:c r="M575" s="11" t="str">
        <x:v>截止日前日期，盘中时分未核</x:v>
      </x:c>
    </x:row>
    <x:row r="576" ht="23" customHeight="1">
      <x:c r="A576" s="11" t="str">
        <x:v>I003</x:v>
      </x:c>
      <x:c r="B576" s="11" t="str">
        <x:v>688192.SH</x:v>
      </x:c>
      <x:c r="C576" s="11" t="str">
        <x:v>revenue</x:v>
      </x:c>
      <x:c r="D576" s="39" t="n">
        <x:v>522.69272371</x:v>
      </x:c>
      <x:c r="E576" s="11" t="str">
        <x:v>CNY</x:v>
      </x:c>
      <x:c r="F576" s="11" t="str">
        <x:v>million</x:v>
      </x:c>
      <x:c r="G576" s="11" t="str">
        <x:v>2026H1</x:v>
      </x:c>
      <x:c r="H576" s="11" t="str">
        <x:v>2026-08-21</x:v>
      </x:c>
      <x:c r="I576" s="11" t="str">
        <x:v>https://static.cninfo.com.cn/finalpage/2026-08-21/1225486626.PDF</x:v>
      </x:c>
      <x:c r="J576" s="11" t="str"/>
      <x:c r="K576" s="11" t="str">
        <x:v>待核</x:v>
      </x:c>
      <x:c r="L576" s="11" t="str">
        <x:v>精确发布时间未核验</x:v>
      </x:c>
      <x:c r="M576" s="11" t="str">
        <x:v>截止日前日期，盘中时分未核</x:v>
      </x:c>
    </x:row>
    <x:row r="577" ht="23" customHeight="1">
      <x:c r="A577" s="11" t="str">
        <x:v>I003</x:v>
      </x:c>
      <x:c r="B577" s="11" t="str">
        <x:v>688192.SH</x:v>
      </x:c>
      <x:c r="C577" s="11" t="str">
        <x:v>revenueGrowthPct</x:v>
      </x:c>
      <x:c r="D577" s="39" t="n">
        <x:v>47.24</x:v>
      </x:c>
      <x:c r="E577" s="11" t="str">
        <x:v>not monetary</x:v>
      </x:c>
      <x:c r="F577" s="11" t="str">
        <x:v>percent</x:v>
      </x:c>
      <x:c r="G577" s="11" t="str">
        <x:v>2026H1</x:v>
      </x:c>
      <x:c r="H577" s="11" t="str">
        <x:v>2026-08-21</x:v>
      </x:c>
      <x:c r="I577" s="11" t="str">
        <x:v>https://static.cninfo.com.cn/finalpage/2026-08-21/1225486626.PDF</x:v>
      </x:c>
      <x:c r="J577" s="11" t="str"/>
      <x:c r="K577" s="11" t="str">
        <x:v>待核</x:v>
      </x:c>
      <x:c r="L577" s="11" t="str">
        <x:v>精确发布时间未核验</x:v>
      </x:c>
      <x:c r="M577" s="11" t="str">
        <x:v>截止日前日期，盘中时分未核</x:v>
      </x:c>
    </x:row>
    <x:row r="578" ht="23" customHeight="1">
      <x:c r="A578" s="11" t="str">
        <x:v>I003</x:v>
      </x:c>
      <x:c r="B578" s="11" t="str">
        <x:v>688192.SH</x:v>
      </x:c>
      <x:c r="C578" s="11" t="str">
        <x:v>attributableProfit</x:v>
      </x:c>
      <x:c r="D578" s="39" t="n">
        <x:v>-210.37337009</x:v>
      </x:c>
      <x:c r="E578" s="11" t="str">
        <x:v>CNY</x:v>
      </x:c>
      <x:c r="F578" s="11" t="str">
        <x:v>million</x:v>
      </x:c>
      <x:c r="G578" s="11" t="str">
        <x:v>2026H1</x:v>
      </x:c>
      <x:c r="H578" s="11" t="str">
        <x:v>2026-08-21</x:v>
      </x:c>
      <x:c r="I578" s="11" t="str">
        <x:v>https://static.cninfo.com.cn/finalpage/2026-08-21/1225486626.PDF</x:v>
      </x:c>
      <x:c r="J578" s="11" t="str"/>
      <x:c r="K578" s="11" t="str">
        <x:v>待核</x:v>
      </x:c>
      <x:c r="L578" s="11" t="str">
        <x:v>精确发布时间未核验</x:v>
      </x:c>
      <x:c r="M578" s="11" t="str">
        <x:v>截止日前日期，盘中时分未核</x:v>
      </x:c>
    </x:row>
    <x:row r="579" ht="23" customHeight="1">
      <x:c r="A579" s="11" t="str">
        <x:v>I003</x:v>
      </x:c>
      <x:c r="B579" s="11" t="str">
        <x:v>688192.SH</x:v>
      </x:c>
      <x:c r="C579" s="11" t="str">
        <x:v>deductedProfit</x:v>
      </x:c>
      <x:c r="D579" s="39" t="n">
        <x:v>-231.23662735</x:v>
      </x:c>
      <x:c r="E579" s="11" t="str">
        <x:v>CNY</x:v>
      </x:c>
      <x:c r="F579" s="11" t="str">
        <x:v>million</x:v>
      </x:c>
      <x:c r="G579" s="11" t="str">
        <x:v>2026H1</x:v>
      </x:c>
      <x:c r="H579" s="11" t="str">
        <x:v>2026-08-21</x:v>
      </x:c>
      <x:c r="I579" s="11" t="str">
        <x:v>https://static.cninfo.com.cn/finalpage/2026-08-21/1225486626.PDF</x:v>
      </x:c>
      <x:c r="J579" s="11" t="str"/>
      <x:c r="K579" s="11" t="str">
        <x:v>待核</x:v>
      </x:c>
      <x:c r="L579" s="11" t="str">
        <x:v>精确发布时间未核验</x:v>
      </x:c>
      <x:c r="M579" s="11" t="str">
        <x:v>截止日前日期，盘中时分未核</x:v>
      </x:c>
    </x:row>
    <x:row r="580" ht="23" customHeight="1">
      <x:c r="A580" s="11" t="str">
        <x:v>I003</x:v>
      </x:c>
      <x:c r="B580" s="11" t="str">
        <x:v>688192.SH</x:v>
      </x:c>
      <x:c r="C580" s="11" t="str">
        <x:v>totalNetProfit</x:v>
      </x:c>
      <x:c r="D580" s="39" t="n">
        <x:v>-213.09553685</x:v>
      </x:c>
      <x:c r="E580" s="11" t="str">
        <x:v>CNY</x:v>
      </x:c>
      <x:c r="F580" s="11" t="str">
        <x:v>million</x:v>
      </x:c>
      <x:c r="G580" s="11" t="str">
        <x:v>2026H1</x:v>
      </x:c>
      <x:c r="H580" s="11" t="str">
        <x:v>2026-08-21</x:v>
      </x:c>
      <x:c r="I580" s="11" t="str">
        <x:v>https://static.cninfo.com.cn/finalpage/2026-08-21/1225486626.PDF</x:v>
      </x:c>
      <x:c r="J580" s="11" t="str"/>
      <x:c r="K580" s="11" t="str">
        <x:v>待核</x:v>
      </x:c>
      <x:c r="L580" s="11" t="str">
        <x:v>精确发布时间未核验</x:v>
      </x:c>
      <x:c r="M580" s="11" t="str">
        <x:v>截止日前日期，盘中时分未核</x:v>
      </x:c>
    </x:row>
    <x:row r="581" ht="23" customHeight="1">
      <x:c r="A581" s="11" t="str">
        <x:v>I003</x:v>
      </x:c>
      <x:c r="B581" s="11" t="str">
        <x:v>688192.SH</x:v>
      </x:c>
      <x:c r="C581" s="11" t="str">
        <x:v>minorityProfit</x:v>
      </x:c>
      <x:c r="D581" s="39" t="n">
        <x:v>-2.72216676</x:v>
      </x:c>
      <x:c r="E581" s="11" t="str">
        <x:v>CNY</x:v>
      </x:c>
      <x:c r="F581" s="11" t="str">
        <x:v>million</x:v>
      </x:c>
      <x:c r="G581" s="11" t="str">
        <x:v>2026H1</x:v>
      </x:c>
      <x:c r="H581" s="11" t="str">
        <x:v>2026-08-21</x:v>
      </x:c>
      <x:c r="I581" s="11" t="str">
        <x:v>https://static.cninfo.com.cn/finalpage/2026-08-21/1225486626.PDF</x:v>
      </x:c>
      <x:c r="J581" s="11" t="str"/>
      <x:c r="K581" s="11" t="str">
        <x:v>待核</x:v>
      </x:c>
      <x:c r="L581" s="11" t="str">
        <x:v>精确发布时间未核验</x:v>
      </x:c>
      <x:c r="M581" s="11" t="str">
        <x:v>截止日前日期，盘中时分未核</x:v>
      </x:c>
    </x:row>
    <x:row r="582" ht="23" customHeight="1">
      <x:c r="A582" s="11" t="str">
        <x:v>I003</x:v>
      </x:c>
      <x:c r="B582" s="11" t="str">
        <x:v>688192.SH</x:v>
      </x:c>
      <x:c r="C582" s="11" t="str">
        <x:v>OCF</x:v>
      </x:c>
      <x:c r="D582" s="39" t="n">
        <x:v>-274.30778228</x:v>
      </x:c>
      <x:c r="E582" s="11" t="str">
        <x:v>CNY</x:v>
      </x:c>
      <x:c r="F582" s="11" t="str">
        <x:v>million</x:v>
      </x:c>
      <x:c r="G582" s="11" t="str">
        <x:v>2026H1</x:v>
      </x:c>
      <x:c r="H582" s="11" t="str">
        <x:v>2026-08-21</x:v>
      </x:c>
      <x:c r="I582" s="11" t="str">
        <x:v>https://static.cninfo.com.cn/finalpage/2026-08-21/1225486626.PDF</x:v>
      </x:c>
      <x:c r="J582" s="11" t="str"/>
      <x:c r="K582" s="11" t="str">
        <x:v>待核</x:v>
      </x:c>
      <x:c r="L582" s="11" t="str">
        <x:v>精确发布时间未核验</x:v>
      </x:c>
      <x:c r="M582" s="11" t="str">
        <x:v>截止日前日期，盘中时分未核</x:v>
      </x:c>
    </x:row>
    <x:row r="583" ht="23" customHeight="1">
      <x:c r="A583" s="11" t="str">
        <x:v>I003</x:v>
      </x:c>
      <x:c r="B583" s="11" t="str">
        <x:v>688192.SH</x:v>
      </x:c>
      <x:c r="C583" s="11" t="str">
        <x:v>capex</x:v>
      </x:c>
      <x:c r="D583" s="39" t="n">
        <x:v>47.29710589</x:v>
      </x:c>
      <x:c r="E583" s="11" t="str">
        <x:v>CNY</x:v>
      </x:c>
      <x:c r="F583" s="11" t="str">
        <x:v>million</x:v>
      </x:c>
      <x:c r="G583" s="11" t="str">
        <x:v>2026H1</x:v>
      </x:c>
      <x:c r="H583" s="11" t="str">
        <x:v>2026-08-21</x:v>
      </x:c>
      <x:c r="I583" s="11" t="str">
        <x:v>https://static.cninfo.com.cn/finalpage/2026-08-21/1225486626.PDF</x:v>
      </x:c>
      <x:c r="J583" s="11" t="str"/>
      <x:c r="K583" s="11" t="str">
        <x:v>待核</x:v>
      </x:c>
      <x:c r="L583" s="11" t="str">
        <x:v>精确发布时间未核验</x:v>
      </x:c>
      <x:c r="M583" s="11" t="str">
        <x:v>截止日前日期，盘中时分未核</x:v>
      </x:c>
    </x:row>
    <x:row r="584" ht="23" customHeight="1">
      <x:c r="A584" s="11" t="str">
        <x:v>I003</x:v>
      </x:c>
      <x:c r="B584" s="11" t="str">
        <x:v>688192.SH</x:v>
      </x:c>
      <x:c r="C584" s="11" t="str">
        <x:v>FCF</x:v>
      </x:c>
      <x:c r="D584" s="39" t="n">
        <x:v>-321.60488817</x:v>
      </x:c>
      <x:c r="E584" s="11" t="str">
        <x:v>CNY</x:v>
      </x:c>
      <x:c r="F584" s="11" t="str">
        <x:v>million</x:v>
      </x:c>
      <x:c r="G584" s="11" t="str">
        <x:v>2026H1</x:v>
      </x:c>
      <x:c r="H584" s="11" t="str">
        <x:v>2026-08-21</x:v>
      </x:c>
      <x:c r="I584" s="11" t="str">
        <x:v>https://static.cninfo.com.cn/finalpage/2026-08-21/1225486626.PDF</x:v>
      </x:c>
      <x:c r="J584" s="11" t="str"/>
      <x:c r="K584" s="11" t="str">
        <x:v>待核</x:v>
      </x:c>
      <x:c r="L584" s="11" t="str">
        <x:v>精确发布时间未核验</x:v>
      </x:c>
      <x:c r="M584" s="11" t="str">
        <x:v>截止日前日期，盘中时分未核</x:v>
      </x:c>
    </x:row>
    <x:row r="585" ht="23" customHeight="1">
      <x:c r="A585" s="11" t="str">
        <x:v>I003</x:v>
      </x:c>
      <x:c r="B585" s="11" t="str">
        <x:v>688192.SH</x:v>
      </x:c>
      <x:c r="C585" s="11" t="str">
        <x:v>cashBank</x:v>
      </x:c>
      <x:c r="D585" s="39" t="n">
        <x:v>179.13907566</x:v>
      </x:c>
      <x:c r="E585" s="11" t="str">
        <x:v>CNY</x:v>
      </x:c>
      <x:c r="F585" s="11" t="str">
        <x:v>million</x:v>
      </x:c>
      <x:c r="G585" s="11" t="str">
        <x:v>2026H1</x:v>
      </x:c>
      <x:c r="H585" s="11" t="str">
        <x:v>2026-08-21</x:v>
      </x:c>
      <x:c r="I585" s="11" t="str">
        <x:v>https://static.cninfo.com.cn/finalpage/2026-08-21/1225486626.PDF</x:v>
      </x:c>
      <x:c r="J585" s="11" t="str"/>
      <x:c r="K585" s="11" t="str">
        <x:v>待核</x:v>
      </x:c>
      <x:c r="L585" s="11" t="str">
        <x:v>精确发布时间未核验</x:v>
      </x:c>
      <x:c r="M585" s="11" t="str">
        <x:v>截止日前日期，盘中时分未核</x:v>
      </x:c>
    </x:row>
    <x:row r="586" ht="23" customHeight="1">
      <x:c r="A586" s="11" t="str">
        <x:v>I003</x:v>
      </x:c>
      <x:c r="B586" s="11" t="str">
        <x:v>688192.SH</x:v>
      </x:c>
      <x:c r="C586" s="11" t="str">
        <x:v>cashCashEquivalents</x:v>
      </x:c>
      <x:c r="D586" s="39" t="n">
        <x:v>178.86407566</x:v>
      </x:c>
      <x:c r="E586" s="11" t="str">
        <x:v>CNY</x:v>
      </x:c>
      <x:c r="F586" s="11" t="str">
        <x:v>million</x:v>
      </x:c>
      <x:c r="G586" s="11" t="str">
        <x:v>2026H1</x:v>
      </x:c>
      <x:c r="H586" s="11" t="str">
        <x:v>2026-08-21</x:v>
      </x:c>
      <x:c r="I586" s="11" t="str">
        <x:v>https://static.cninfo.com.cn/finalpage/2026-08-21/1225486626.PDF</x:v>
      </x:c>
      <x:c r="J586" s="11" t="str"/>
      <x:c r="K586" s="11" t="str">
        <x:v>待核</x:v>
      </x:c>
      <x:c r="L586" s="11" t="str">
        <x:v>精确发布时间未核验</x:v>
      </x:c>
      <x:c r="M586" s="11" t="str">
        <x:v>截止日前日期，盘中时分未核</x:v>
      </x:c>
    </x:row>
    <x:row r="587" ht="23" customHeight="1">
      <x:c r="A587" s="11" t="str">
        <x:v>I003</x:v>
      </x:c>
      <x:c r="B587" s="11" t="str">
        <x:v>688192.SH</x:v>
      </x:c>
      <x:c r="C587" s="11" t="str">
        <x:v>restrictedCash</x:v>
      </x:c>
      <x:c r="D587" s="39" t="n">
        <x:v>0.275</x:v>
      </x:c>
      <x:c r="E587" s="11" t="str">
        <x:v>CNY</x:v>
      </x:c>
      <x:c r="F587" s="11" t="str">
        <x:v>million</x:v>
      </x:c>
      <x:c r="G587" s="11" t="str">
        <x:v>2026H1</x:v>
      </x:c>
      <x:c r="H587" s="11" t="str">
        <x:v>2026-08-21</x:v>
      </x:c>
      <x:c r="I587" s="11" t="str">
        <x:v>https://static.cninfo.com.cn/finalpage/2026-08-21/1225486626.PDF</x:v>
      </x:c>
      <x:c r="J587" s="11" t="str"/>
      <x:c r="K587" s="11" t="str">
        <x:v>待核</x:v>
      </x:c>
      <x:c r="L587" s="11" t="str">
        <x:v>精确发布时间未核验</x:v>
      </x:c>
      <x:c r="M587" s="11" t="str">
        <x:v>截止日前日期，盘中时分未核</x:v>
      </x:c>
    </x:row>
    <x:row r="588" ht="23" customHeight="1">
      <x:c r="A588" s="11" t="str">
        <x:v>I003</x:v>
      </x:c>
      <x:c r="B588" s="11" t="str">
        <x:v>688192.SH</x:v>
      </x:c>
      <x:c r="C588" s="11" t="str">
        <x:v>liquidFinancialAssets</x:v>
      </x:c>
      <x:c r="D588" s="39" t="n">
        <x:v>1556.88917753</x:v>
      </x:c>
      <x:c r="E588" s="11" t="str">
        <x:v>CNY</x:v>
      </x:c>
      <x:c r="F588" s="11" t="str">
        <x:v>million</x:v>
      </x:c>
      <x:c r="G588" s="11" t="str">
        <x:v>2026H1</x:v>
      </x:c>
      <x:c r="H588" s="11" t="str">
        <x:v>2026-08-21</x:v>
      </x:c>
      <x:c r="I588" s="11" t="str">
        <x:v>https://static.cninfo.com.cn/finalpage/2026-08-21/1225486626.PDF</x:v>
      </x:c>
      <x:c r="J588" s="11" t="str"/>
      <x:c r="K588" s="11" t="str">
        <x:v>待核</x:v>
      </x:c>
      <x:c r="L588" s="11" t="str">
        <x:v>精确发布时间未核验</x:v>
      </x:c>
      <x:c r="M588" s="11" t="str">
        <x:v>截止日前日期，盘中时分未核</x:v>
      </x:c>
    </x:row>
    <x:row r="589" ht="23" customHeight="1">
      <x:c r="A589" s="11" t="str">
        <x:v>I003</x:v>
      </x:c>
      <x:c r="B589" s="11" t="str">
        <x:v>688192.SH</x:v>
      </x:c>
      <x:c r="C589" s="11" t="str">
        <x:v>bankDebtIncludingCurrent</x:v>
      </x:c>
      <x:c r="D589" s="39" t="n">
        <x:v>1320.921366</x:v>
      </x:c>
      <x:c r="E589" s="11" t="str">
        <x:v>CNY</x:v>
      </x:c>
      <x:c r="F589" s="11" t="str">
        <x:v>million</x:v>
      </x:c>
      <x:c r="G589" s="11" t="str">
        <x:v>2026H1</x:v>
      </x:c>
      <x:c r="H589" s="11" t="str">
        <x:v>2026-08-21</x:v>
      </x:c>
      <x:c r="I589" s="11" t="str">
        <x:v>https://static.cninfo.com.cn/finalpage/2026-08-21/1225486626.PDF</x:v>
      </x:c>
      <x:c r="J589" s="11" t="str"/>
      <x:c r="K589" s="11" t="str">
        <x:v>待核</x:v>
      </x:c>
      <x:c r="L589" s="11" t="str">
        <x:v>精确发布时间未核验</x:v>
      </x:c>
      <x:c r="M589" s="11" t="str">
        <x:v>截止日前日期，盘中时分未核</x:v>
      </x:c>
    </x:row>
    <x:row r="590" ht="23" customHeight="1">
      <x:c r="A590" s="11" t="str">
        <x:v>I003</x:v>
      </x:c>
      <x:c r="B590" s="11" t="str">
        <x:v>688192.SH</x:v>
      </x:c>
      <x:c r="C590" s="11" t="str">
        <x:v>leaseDebtIncludingCurrent</x:v>
      </x:c>
      <x:c r="D590" s="39" t="n">
        <x:v>34.18790522</x:v>
      </x:c>
      <x:c r="E590" s="11" t="str">
        <x:v>CNY</x:v>
      </x:c>
      <x:c r="F590" s="11" t="str">
        <x:v>million</x:v>
      </x:c>
      <x:c r="G590" s="11" t="str">
        <x:v>2026H1</x:v>
      </x:c>
      <x:c r="H590" s="11" t="str">
        <x:v>2026-08-21</x:v>
      </x:c>
      <x:c r="I590" s="11" t="str">
        <x:v>https://static.cninfo.com.cn/finalpage/2026-08-21/1225486626.PDF</x:v>
      </x:c>
      <x:c r="J590" s="11" t="str"/>
      <x:c r="K590" s="11" t="str">
        <x:v>待核</x:v>
      </x:c>
      <x:c r="L590" s="11" t="str">
        <x:v>精确发布时间未核验</x:v>
      </x:c>
      <x:c r="M590" s="11" t="str">
        <x:v>截止日前日期，盘中时分未核</x:v>
      </x:c>
    </x:row>
    <x:row r="591" ht="23" customHeight="1">
      <x:c r="A591" s="11" t="str">
        <x:v>I003</x:v>
      </x:c>
      <x:c r="B591" s="11" t="str">
        <x:v>688192.SH</x:v>
      </x:c>
      <x:c r="C591" s="11" t="str">
        <x:v>parentEquity</x:v>
      </x:c>
      <x:c r="D591" s="39" t="n">
        <x:v>1130.00931598</x:v>
      </x:c>
      <x:c r="E591" s="11" t="str">
        <x:v>CNY</x:v>
      </x:c>
      <x:c r="F591" s="11" t="str">
        <x:v>million</x:v>
      </x:c>
      <x:c r="G591" s="11" t="str">
        <x:v>2026H1</x:v>
      </x:c>
      <x:c r="H591" s="11" t="str">
        <x:v>2026-08-21</x:v>
      </x:c>
      <x:c r="I591" s="11" t="str">
        <x:v>https://static.cninfo.com.cn/finalpage/2026-08-21/1225486626.PDF</x:v>
      </x:c>
      <x:c r="J591" s="11" t="str"/>
      <x:c r="K591" s="11" t="str">
        <x:v>待核</x:v>
      </x:c>
      <x:c r="L591" s="11" t="str">
        <x:v>精确发布时间未核验</x:v>
      </x:c>
      <x:c r="M591" s="11" t="str">
        <x:v>截止日前日期，盘中时分未核</x:v>
      </x:c>
    </x:row>
    <x:row r="592" ht="23" customHeight="1">
      <x:c r="A592" s="11" t="str">
        <x:v>I003</x:v>
      </x:c>
      <x:c r="B592" s="11" t="str">
        <x:v>688192.SH</x:v>
      </x:c>
      <x:c r="C592" s="11" t="str">
        <x:v>totalLiabilities</x:v>
      </x:c>
      <x:c r="D592" s="39" t="n">
        <x:v>1718.7427006</x:v>
      </x:c>
      <x:c r="E592" s="11" t="str">
        <x:v>CNY</x:v>
      </x:c>
      <x:c r="F592" s="11" t="str">
        <x:v>million</x:v>
      </x:c>
      <x:c r="G592" s="11" t="str">
        <x:v>2026H1</x:v>
      </x:c>
      <x:c r="H592" s="11" t="str">
        <x:v>2026-08-21</x:v>
      </x:c>
      <x:c r="I592" s="11" t="str">
        <x:v>https://static.cninfo.com.cn/finalpage/2026-08-21/1225486626.PDF</x:v>
      </x:c>
      <x:c r="J592" s="11" t="str"/>
      <x:c r="K592" s="11" t="str">
        <x:v>待核</x:v>
      </x:c>
      <x:c r="L592" s="11" t="str">
        <x:v>精确发布时间未核验</x:v>
      </x:c>
      <x:c r="M592" s="11" t="str">
        <x:v>截止日前日期，盘中时分未核</x:v>
      </x:c>
    </x:row>
    <x:row r="593" ht="23" customHeight="1">
      <x:c r="A593" s="11" t="str">
        <x:v>I003</x:v>
      </x:c>
      <x:c r="B593" s="11" t="str">
        <x:v>688192.SH</x:v>
      </x:c>
      <x:c r="C593" s="11" t="str">
        <x:v>RDExpensed</x:v>
      </x:c>
      <x:c r="D593" s="39" t="n">
        <x:v>402.0319356</x:v>
      </x:c>
      <x:c r="E593" s="11" t="str">
        <x:v>CNY</x:v>
      </x:c>
      <x:c r="F593" s="11" t="str">
        <x:v>million</x:v>
      </x:c>
      <x:c r="G593" s="11" t="str">
        <x:v>2026H1</x:v>
      </x:c>
      <x:c r="H593" s="11" t="str">
        <x:v>2026-08-21</x:v>
      </x:c>
      <x:c r="I593" s="11" t="str">
        <x:v>https://static.cninfo.com.cn/finalpage/2026-08-21/1225486626.PDF</x:v>
      </x:c>
      <x:c r="J593" s="11" t="str"/>
      <x:c r="K593" s="11" t="str">
        <x:v>待核</x:v>
      </x:c>
      <x:c r="L593" s="11" t="str">
        <x:v>精确发布时间未核验</x:v>
      </x:c>
      <x:c r="M593" s="11" t="str">
        <x:v>截止日前日期，盘中时分未核</x:v>
      </x:c>
    </x:row>
    <x:row r="594" ht="23" customHeight="1">
      <x:c r="A594" s="11" t="str">
        <x:v>I003</x:v>
      </x:c>
      <x:c r="B594" s="11" t="str">
        <x:v>688192.SH</x:v>
      </x:c>
      <x:c r="C594" s="11" t="str">
        <x:v>RDCapitalized</x:v>
      </x:c>
      <x:c r="D594" s="39" t="n">
        <x:v>0</x:v>
      </x:c>
      <x:c r="E594" s="11" t="str">
        <x:v>CNY</x:v>
      </x:c>
      <x:c r="F594" s="11" t="str">
        <x:v>million</x:v>
      </x:c>
      <x:c r="G594" s="11" t="str">
        <x:v>2026H1</x:v>
      </x:c>
      <x:c r="H594" s="11" t="str">
        <x:v>2026-08-21</x:v>
      </x:c>
      <x:c r="I594" s="11" t="str">
        <x:v>https://static.cninfo.com.cn/finalpage/2026-08-21/1225486626.PDF</x:v>
      </x:c>
      <x:c r="J594" s="11" t="str"/>
      <x:c r="K594" s="11" t="str">
        <x:v>待核</x:v>
      </x:c>
      <x:c r="L594" s="11" t="str">
        <x:v>精确发布时间未核验</x:v>
      </x:c>
      <x:c r="M594" s="11" t="str">
        <x:v>截止日前日期，盘中时分未核</x:v>
      </x:c>
    </x:row>
    <x:row r="595" ht="23" customHeight="1">
      <x:c r="A595" s="11" t="str">
        <x:v>I003</x:v>
      </x:c>
      <x:c r="B595" s="11" t="str">
        <x:v>688192.SH</x:v>
      </x:c>
      <x:c r="C595" s="11" t="str">
        <x:v>RDIntensityPct</x:v>
      </x:c>
      <x:c r="D595" s="39" t="n">
        <x:v>76.92</x:v>
      </x:c>
      <x:c r="E595" s="11" t="str">
        <x:v>not monetary</x:v>
      </x:c>
      <x:c r="F595" s="11" t="str">
        <x:v>percent</x:v>
      </x:c>
      <x:c r="G595" s="11" t="str">
        <x:v>2026H1</x:v>
      </x:c>
      <x:c r="H595" s="11" t="str">
        <x:v>2026-08-21</x:v>
      </x:c>
      <x:c r="I595" s="11" t="str">
        <x:v>https://static.cninfo.com.cn/finalpage/2026-08-21/1225486626.PDF</x:v>
      </x:c>
      <x:c r="J595" s="11" t="str"/>
      <x:c r="K595" s="11" t="str">
        <x:v>待核</x:v>
      </x:c>
      <x:c r="L595" s="11" t="str">
        <x:v>精确发布时间未核验</x:v>
      </x:c>
      <x:c r="M595" s="11" t="str">
        <x:v>截止日前日期，盘中时分未核</x:v>
      </x:c>
    </x:row>
    <x:row r="596" ht="23" customHeight="1">
      <x:c r="A596" s="11" t="str">
        <x:v>I003</x:v>
      </x:c>
      <x:c r="B596" s="11" t="str">
        <x:v>688192.SH</x:v>
      </x:c>
      <x:c r="C596" s="11" t="str">
        <x:v>sellingExpense</x:v>
      </x:c>
      <x:c r="D596" s="39" t="n">
        <x:v>241.16516344</x:v>
      </x:c>
      <x:c r="E596" s="11" t="str">
        <x:v>CNY</x:v>
      </x:c>
      <x:c r="F596" s="11" t="str">
        <x:v>million</x:v>
      </x:c>
      <x:c r="G596" s="11" t="str">
        <x:v>2026H1</x:v>
      </x:c>
      <x:c r="H596" s="11" t="str">
        <x:v>2026-08-21</x:v>
      </x:c>
      <x:c r="I596" s="11" t="str">
        <x:v>https://static.cninfo.com.cn/finalpage/2026-08-21/1225486626.PDF</x:v>
      </x:c>
      <x:c r="J596" s="11" t="str"/>
      <x:c r="K596" s="11" t="str">
        <x:v>待核</x:v>
      </x:c>
      <x:c r="L596" s="11" t="str">
        <x:v>精确发布时间未核验</x:v>
      </x:c>
      <x:c r="M596" s="11" t="str">
        <x:v>截止日前日期，盘中时分未核</x:v>
      </x:c>
    </x:row>
    <x:row r="597" ht="23" customHeight="1">
      <x:c r="A597" s="11" t="str">
        <x:v>I003</x:v>
      </x:c>
      <x:c r="B597" s="11" t="str">
        <x:v>688192.SH</x:v>
      </x:c>
      <x:c r="C597" s="11" t="str">
        <x:v>managementExpense</x:v>
      </x:c>
      <x:c r="D597" s="39" t="n">
        <x:v>77.72328144</x:v>
      </x:c>
      <x:c r="E597" s="11" t="str">
        <x:v>CNY</x:v>
      </x:c>
      <x:c r="F597" s="11" t="str">
        <x:v>million</x:v>
      </x:c>
      <x:c r="G597" s="11" t="str">
        <x:v>2026H1</x:v>
      </x:c>
      <x:c r="H597" s="11" t="str">
        <x:v>2026-08-21</x:v>
      </x:c>
      <x:c r="I597" s="11" t="str">
        <x:v>https://static.cninfo.com.cn/finalpage/2026-08-21/1225486626.PDF</x:v>
      </x:c>
      <x:c r="J597" s="11" t="str"/>
      <x:c r="K597" s="11" t="str">
        <x:v>待核</x:v>
      </x:c>
      <x:c r="L597" s="11" t="str">
        <x:v>精确发布时间未核验</x:v>
      </x:c>
      <x:c r="M597" s="11" t="str">
        <x:v>截止日前日期，盘中时分未核</x:v>
      </x:c>
    </x:row>
    <x:row r="598" ht="23" customHeight="1">
      <x:c r="A598" s="11" t="str">
        <x:v>I003</x:v>
      </x:c>
      <x:c r="B598" s="11" t="str">
        <x:v>688192.SH</x:v>
      </x:c>
      <x:c r="C598" s="11" t="str">
        <x:v>receivableNet</x:v>
      </x:c>
      <x:c r="D598" s="39" t="n">
        <x:v>210.66625063</x:v>
      </x:c>
      <x:c r="E598" s="11" t="str">
        <x:v>CNY</x:v>
      </x:c>
      <x:c r="F598" s="11" t="str">
        <x:v>million</x:v>
      </x:c>
      <x:c r="G598" s="11" t="str">
        <x:v>2026H1</x:v>
      </x:c>
      <x:c r="H598" s="11" t="str">
        <x:v>2026-08-21</x:v>
      </x:c>
      <x:c r="I598" s="11" t="str">
        <x:v>https://static.cninfo.com.cn/finalpage/2026-08-21/1225486626.PDF</x:v>
      </x:c>
      <x:c r="J598" s="11" t="str"/>
      <x:c r="K598" s="11" t="str">
        <x:v>待核</x:v>
      </x:c>
      <x:c r="L598" s="11" t="str">
        <x:v>精确发布时间未核验</x:v>
      </x:c>
      <x:c r="M598" s="11" t="str">
        <x:v>截止日前日期，盘中时分未核</x:v>
      </x:c>
    </x:row>
    <x:row r="599" ht="23" customHeight="1">
      <x:c r="A599" s="11" t="str">
        <x:v>I003</x:v>
      </x:c>
      <x:c r="B599" s="11" t="str">
        <x:v>688192.SH</x:v>
      </x:c>
      <x:c r="C599" s="11" t="str">
        <x:v>inventoryNet</x:v>
      </x:c>
      <x:c r="D599" s="39" t="n">
        <x:v>42.89850586</x:v>
      </x:c>
      <x:c r="E599" s="11" t="str">
        <x:v>CNY</x:v>
      </x:c>
      <x:c r="F599" s="11" t="str">
        <x:v>million</x:v>
      </x:c>
      <x:c r="G599" s="11" t="str">
        <x:v>2026H1</x:v>
      </x:c>
      <x:c r="H599" s="11" t="str">
        <x:v>2026-08-21</x:v>
      </x:c>
      <x:c r="I599" s="11" t="str">
        <x:v>https://static.cninfo.com.cn/finalpage/2026-08-21/1225486626.PDF</x:v>
      </x:c>
      <x:c r="J599" s="11" t="str"/>
      <x:c r="K599" s="11" t="str">
        <x:v>待核</x:v>
      </x:c>
      <x:c r="L599" s="11" t="str">
        <x:v>精确发布时间未核验</x:v>
      </x:c>
      <x:c r="M599" s="11" t="str">
        <x:v>截止日前日期，盘中时分未核</x:v>
      </x:c>
    </x:row>
    <x:row r="600" ht="23" customHeight="1">
      <x:c r="A600" s="11" t="str">
        <x:v>I043</x:v>
      </x:c>
      <x:c r="B600" s="11" t="str">
        <x:v>02196.HK</x:v>
      </x:c>
      <x:c r="C600" s="11" t="str">
        <x:v>revenue</x:v>
      </x:c>
      <x:c r="D600" s="39" t="n">
        <x:v>20441.970386</x:v>
      </x:c>
      <x:c r="E600" s="11" t="str">
        <x:v>CNY</x:v>
      </x:c>
      <x:c r="F600" s="11" t="str">
        <x:v>million</x:v>
      </x:c>
      <x:c r="G600" s="11" t="str">
        <x:v>2026H1</x:v>
      </x:c>
      <x:c r="H600" s="11" t="str">
        <x:v>2026-08-26</x:v>
      </x:c>
      <x:c r="I600" s="11" t="str">
        <x:v>https://static.cninfo.com.cn/finalpage/2026-08-26/1225505529.PDF</x:v>
      </x:c>
      <x:c r="J600" s="11" t="str"/>
      <x:c r="K600" s="11" t="str">
        <x:v>待核</x:v>
      </x:c>
      <x:c r="L600" s="11" t="str">
        <x:v>精确发布时间未核验</x:v>
      </x:c>
      <x:c r="M600" s="11" t="str">
        <x:v>截止日前日期，盘中时分未核</x:v>
      </x:c>
    </x:row>
    <x:row r="601" ht="23" customHeight="1">
      <x:c r="A601" s="11" t="str">
        <x:v>I043</x:v>
      </x:c>
      <x:c r="B601" s="11" t="str">
        <x:v>02196.HK</x:v>
      </x:c>
      <x:c r="C601" s="11" t="str">
        <x:v>HKRevenue</x:v>
      </x:c>
      <x:c r="D601" s="39" t="n">
        <x:v>20376.519</x:v>
      </x:c>
      <x:c r="E601" s="11" t="str">
        <x:v>CNY</x:v>
      </x:c>
      <x:c r="F601" s="11" t="str">
        <x:v>million</x:v>
      </x:c>
      <x:c r="G601" s="11" t="str">
        <x:v>2026H1</x:v>
      </x:c>
      <x:c r="H601" s="11" t="str">
        <x:v>2026-08-26</x:v>
      </x:c>
      <x:c r="I601" s="11" t="str">
        <x:v>https://static.cninfo.com.cn/finalpage/2026-08-26/1225505529.PDF</x:v>
      </x:c>
      <x:c r="J601" s="11" t="str"/>
      <x:c r="K601" s="11" t="str">
        <x:v>待核</x:v>
      </x:c>
      <x:c r="L601" s="11" t="str">
        <x:v>精确发布时间未核验</x:v>
      </x:c>
      <x:c r="M601" s="11" t="str">
        <x:v>截止日前日期，盘中时分未核</x:v>
      </x:c>
    </x:row>
    <x:row r="602" ht="23" customHeight="1">
      <x:c r="A602" s="11" t="str">
        <x:v>I043</x:v>
      </x:c>
      <x:c r="B602" s="11" t="str">
        <x:v>02196.HK</x:v>
      </x:c>
      <x:c r="C602" s="11" t="str">
        <x:v>revenueGrowthPct</x:v>
      </x:c>
      <x:c r="D602" s="39" t="n">
        <x:v>4.75</x:v>
      </x:c>
      <x:c r="E602" s="11" t="str">
        <x:v>not monetary</x:v>
      </x:c>
      <x:c r="F602" s="11" t="str">
        <x:v>percent</x:v>
      </x:c>
      <x:c r="G602" s="11" t="str">
        <x:v>2026H1</x:v>
      </x:c>
      <x:c r="H602" s="11" t="str">
        <x:v>2026-08-26</x:v>
      </x:c>
      <x:c r="I602" s="11" t="str">
        <x:v>https://static.cninfo.com.cn/finalpage/2026-08-26/1225505529.PDF</x:v>
      </x:c>
      <x:c r="J602" s="11" t="str"/>
      <x:c r="K602" s="11" t="str">
        <x:v>待核</x:v>
      </x:c>
      <x:c r="L602" s="11" t="str">
        <x:v>精确发布时间未核验</x:v>
      </x:c>
      <x:c r="M602" s="11" t="str">
        <x:v>截止日前日期，盘中时分未核</x:v>
      </x:c>
    </x:row>
    <x:row r="603" ht="23" customHeight="1">
      <x:c r="A603" s="11" t="str">
        <x:v>I043</x:v>
      </x:c>
      <x:c r="B603" s="11" t="str">
        <x:v>02196.HK</x:v>
      </x:c>
      <x:c r="C603" s="11" t="str">
        <x:v>HKRevenueGrowthPct</x:v>
      </x:c>
      <x:c r="D603" s="39" t="n">
        <x:v>4.9</x:v>
      </x:c>
      <x:c r="E603" s="11" t="str">
        <x:v>not monetary</x:v>
      </x:c>
      <x:c r="F603" s="11" t="str">
        <x:v>percent</x:v>
      </x:c>
      <x:c r="G603" s="11" t="str">
        <x:v>2026H1</x:v>
      </x:c>
      <x:c r="H603" s="11" t="str">
        <x:v>2026-08-26</x:v>
      </x:c>
      <x:c r="I603" s="11" t="str">
        <x:v>https://static.cninfo.com.cn/finalpage/2026-08-26/1225505529.PDF</x:v>
      </x:c>
      <x:c r="J603" s="11" t="str"/>
      <x:c r="K603" s="11" t="str">
        <x:v>待核</x:v>
      </x:c>
      <x:c r="L603" s="11" t="str">
        <x:v>精确发布时间未核验</x:v>
      </x:c>
      <x:c r="M603" s="11" t="str">
        <x:v>截止日前日期，盘中时分未核</x:v>
      </x:c>
    </x:row>
    <x:row r="604" ht="23" customHeight="1">
      <x:c r="A604" s="11" t="str">
        <x:v>I043</x:v>
      </x:c>
      <x:c r="B604" s="11" t="str">
        <x:v>02196.HK</x:v>
      </x:c>
      <x:c r="C604" s="11" t="str">
        <x:v>attributableProfit</x:v>
      </x:c>
      <x:c r="D604" s="39" t="n">
        <x:v>1721.46771958</x:v>
      </x:c>
      <x:c r="E604" s="11" t="str">
        <x:v>CNY</x:v>
      </x:c>
      <x:c r="F604" s="11" t="str">
        <x:v>million</x:v>
      </x:c>
      <x:c r="G604" s="11" t="str">
        <x:v>2026H1</x:v>
      </x:c>
      <x:c r="H604" s="11" t="str">
        <x:v>2026-08-26</x:v>
      </x:c>
      <x:c r="I604" s="11" t="str">
        <x:v>https://static.cninfo.com.cn/finalpage/2026-08-26/1225505529.PDF</x:v>
      </x:c>
      <x:c r="J604" s="11" t="str"/>
      <x:c r="K604" s="11" t="str">
        <x:v>待核</x:v>
      </x:c>
      <x:c r="L604" s="11" t="str">
        <x:v>精确发布时间未核验</x:v>
      </x:c>
      <x:c r="M604" s="11" t="str">
        <x:v>截止日前日期，盘中时分未核</x:v>
      </x:c>
    </x:row>
    <x:row r="605" ht="23" customHeight="1">
      <x:c r="A605" s="11" t="str">
        <x:v>I043</x:v>
      </x:c>
      <x:c r="B605" s="11" t="str">
        <x:v>02196.HK</x:v>
      </x:c>
      <x:c r="C605" s="11" t="str">
        <x:v>deductedProfit</x:v>
      </x:c>
      <x:c r="D605" s="39" t="n">
        <x:v>1144.16573505</x:v>
      </x:c>
      <x:c r="E605" s="11" t="str">
        <x:v>CNY</x:v>
      </x:c>
      <x:c r="F605" s="11" t="str">
        <x:v>million</x:v>
      </x:c>
      <x:c r="G605" s="11" t="str">
        <x:v>2026H1</x:v>
      </x:c>
      <x:c r="H605" s="11" t="str">
        <x:v>2026-08-26</x:v>
      </x:c>
      <x:c r="I605" s="11" t="str">
        <x:v>https://static.cninfo.com.cn/finalpage/2026-08-26/1225505529.PDF</x:v>
      </x:c>
      <x:c r="J605" s="11" t="str"/>
      <x:c r="K605" s="11" t="str">
        <x:v>待核</x:v>
      </x:c>
      <x:c r="L605" s="11" t="str">
        <x:v>精确发布时间未核验</x:v>
      </x:c>
      <x:c r="M605" s="11" t="str">
        <x:v>截止日前日期，盘中时分未核</x:v>
      </x:c>
    </x:row>
    <x:row r="606" ht="23" customHeight="1">
      <x:c r="A606" s="11" t="str">
        <x:v>I043</x:v>
      </x:c>
      <x:c r="B606" s="11" t="str">
        <x:v>02196.HK</x:v>
      </x:c>
      <x:c r="C606" s="11" t="str">
        <x:v>nonrecurring</x:v>
      </x:c>
      <x:c r="D606" s="39" t="n">
        <x:v>577.30198453</x:v>
      </x:c>
      <x:c r="E606" s="11" t="str">
        <x:v>CNY</x:v>
      </x:c>
      <x:c r="F606" s="11" t="str">
        <x:v>million</x:v>
      </x:c>
      <x:c r="G606" s="11" t="str">
        <x:v>2026H1</x:v>
      </x:c>
      <x:c r="H606" s="11" t="str">
        <x:v>2026-08-26</x:v>
      </x:c>
      <x:c r="I606" s="11" t="str">
        <x:v>https://static.cninfo.com.cn/finalpage/2026-08-26/1225505529.PDF</x:v>
      </x:c>
      <x:c r="J606" s="11" t="str"/>
      <x:c r="K606" s="11" t="str">
        <x:v>待核</x:v>
      </x:c>
      <x:c r="L606" s="11" t="str">
        <x:v>精确发布时间未核验</x:v>
      </x:c>
      <x:c r="M606" s="11" t="str">
        <x:v>截止日前日期，盘中时分未核</x:v>
      </x:c>
    </x:row>
    <x:row r="607" ht="23" customHeight="1">
      <x:c r="A607" s="11" t="str">
        <x:v>I043</x:v>
      </x:c>
      <x:c r="B607" s="11" t="str">
        <x:v>02196.HK</x:v>
      </x:c>
      <x:c r="C607" s="11" t="str">
        <x:v>totalNetProfit</x:v>
      </x:c>
      <x:c r="D607" s="39" t="n">
        <x:v>2148.92843032</x:v>
      </x:c>
      <x:c r="E607" s="11" t="str">
        <x:v>CNY</x:v>
      </x:c>
      <x:c r="F607" s="11" t="str">
        <x:v>million</x:v>
      </x:c>
      <x:c r="G607" s="11" t="str">
        <x:v>2026H1</x:v>
      </x:c>
      <x:c r="H607" s="11" t="str">
        <x:v>2026-08-26</x:v>
      </x:c>
      <x:c r="I607" s="11" t="str">
        <x:v>https://static.cninfo.com.cn/finalpage/2026-08-26/1225505529.PDF</x:v>
      </x:c>
      <x:c r="J607" s="11" t="str"/>
      <x:c r="K607" s="11" t="str">
        <x:v>待核</x:v>
      </x:c>
      <x:c r="L607" s="11" t="str">
        <x:v>精确发布时间未核验</x:v>
      </x:c>
      <x:c r="M607" s="11" t="str">
        <x:v>截止日前日期，盘中时分未核</x:v>
      </x:c>
    </x:row>
    <x:row r="608" ht="23" customHeight="1">
      <x:c r="A608" s="11" t="str">
        <x:v>I043</x:v>
      </x:c>
      <x:c r="B608" s="11" t="str">
        <x:v>02196.HK</x:v>
      </x:c>
      <x:c r="C608" s="11" t="str">
        <x:v>minorityProfit</x:v>
      </x:c>
      <x:c r="D608" s="39" t="n">
        <x:v>427.46071074</x:v>
      </x:c>
      <x:c r="E608" s="11" t="str">
        <x:v>CNY</x:v>
      </x:c>
      <x:c r="F608" s="11" t="str">
        <x:v>million</x:v>
      </x:c>
      <x:c r="G608" s="11" t="str">
        <x:v>2026H1</x:v>
      </x:c>
      <x:c r="H608" s="11" t="str">
        <x:v>2026-08-26</x:v>
      </x:c>
      <x:c r="I608" s="11" t="str">
        <x:v>https://static.cninfo.com.cn/finalpage/2026-08-26/1225505529.PDF</x:v>
      </x:c>
      <x:c r="J608" s="11" t="str"/>
      <x:c r="K608" s="11" t="str">
        <x:v>待核</x:v>
      </x:c>
      <x:c r="L608" s="11" t="str">
        <x:v>精确发布时间未核验</x:v>
      </x:c>
      <x:c r="M608" s="11" t="str">
        <x:v>截止日前日期，盘中时分未核</x:v>
      </x:c>
    </x:row>
    <x:row r="609" ht="23" customHeight="1">
      <x:c r="A609" s="11" t="str">
        <x:v>I043</x:v>
      </x:c>
      <x:c r="B609" s="11" t="str">
        <x:v>02196.HK</x:v>
      </x:c>
      <x:c r="C609" s="11" t="str">
        <x:v>EPSReported</x:v>
      </x:c>
      <x:c r="D609" s="39" t="n">
        <x:v>0.65</x:v>
      </x:c>
      <x:c r="E609" s="11" t="str">
        <x:v>CNY</x:v>
      </x:c>
      <x:c r="F609" s="11" t="str">
        <x:v>per ordinary share</x:v>
      </x:c>
      <x:c r="G609" s="11" t="str">
        <x:v>2026H1</x:v>
      </x:c>
      <x:c r="H609" s="11" t="str">
        <x:v>2026-08-26</x:v>
      </x:c>
      <x:c r="I609" s="11" t="str">
        <x:v>https://static.cninfo.com.cn/finalpage/2026-08-26/1225505529.PDF</x:v>
      </x:c>
      <x:c r="J609" s="11" t="str"/>
      <x:c r="K609" s="11" t="str">
        <x:v>待核</x:v>
      </x:c>
      <x:c r="L609" s="11" t="str">
        <x:v>精确发布时间未核验</x:v>
      </x:c>
      <x:c r="M609" s="11" t="str">
        <x:v>截止日前日期，盘中时分未核</x:v>
      </x:c>
    </x:row>
    <x:row r="610" ht="23" customHeight="1">
      <x:c r="A610" s="11" t="str">
        <x:v>I043</x:v>
      </x:c>
      <x:c r="B610" s="11" t="str">
        <x:v>02196.HK</x:v>
      </x:c>
      <x:c r="C610" s="11" t="str">
        <x:v>EPSDeducted</x:v>
      </x:c>
      <x:c r="D610" s="39" t="n">
        <x:v>0.43</x:v>
      </x:c>
      <x:c r="E610" s="11" t="str">
        <x:v>CNY</x:v>
      </x:c>
      <x:c r="F610" s="11" t="str">
        <x:v>per ordinary share</x:v>
      </x:c>
      <x:c r="G610" s="11" t="str">
        <x:v>2026H1</x:v>
      </x:c>
      <x:c r="H610" s="11" t="str">
        <x:v>2026-08-26</x:v>
      </x:c>
      <x:c r="I610" s="11" t="str">
        <x:v>https://static.cninfo.com.cn/finalpage/2026-08-26/1225505529.PDF</x:v>
      </x:c>
      <x:c r="J610" s="11" t="str"/>
      <x:c r="K610" s="11" t="str">
        <x:v>待核</x:v>
      </x:c>
      <x:c r="L610" s="11" t="str">
        <x:v>精确发布时间未核验</x:v>
      </x:c>
      <x:c r="M610" s="11" t="str">
        <x:v>截止日前日期，盘中时分未核</x:v>
      </x:c>
    </x:row>
    <x:row r="611" ht="23" customHeight="1">
      <x:c r="A611" s="11" t="str">
        <x:v>I043</x:v>
      </x:c>
      <x:c r="B611" s="11" t="str">
        <x:v>02196.HK</x:v>
      </x:c>
      <x:c r="C611" s="11" t="str">
        <x:v>cost</x:v>
      </x:c>
      <x:c r="D611" s="39" t="n">
        <x:v>10288.1885599</x:v>
      </x:c>
      <x:c r="E611" s="11" t="str">
        <x:v>CNY</x:v>
      </x:c>
      <x:c r="F611" s="11" t="str">
        <x:v>million</x:v>
      </x:c>
      <x:c r="G611" s="11" t="str">
        <x:v>2026H1</x:v>
      </x:c>
      <x:c r="H611" s="11" t="str">
        <x:v>2026-08-26</x:v>
      </x:c>
      <x:c r="I611" s="11" t="str">
        <x:v>https://static.cninfo.com.cn/finalpage/2026-08-26/1225505529.PDF</x:v>
      </x:c>
      <x:c r="J611" s="11" t="str"/>
      <x:c r="K611" s="11" t="str">
        <x:v>待核</x:v>
      </x:c>
      <x:c r="L611" s="11" t="str">
        <x:v>精确发布时间未核验</x:v>
      </x:c>
      <x:c r="M611" s="11" t="str">
        <x:v>截止日前日期，盘中时分未核</x:v>
      </x:c>
    </x:row>
    <x:row r="612" ht="23" customHeight="1">
      <x:c r="A612" s="11" t="str">
        <x:v>I043</x:v>
      </x:c>
      <x:c r="B612" s="11" t="str">
        <x:v>02196.HK</x:v>
      </x:c>
      <x:c r="C612" s="11" t="str">
        <x:v>taxesAndSurcharges</x:v>
      </x:c>
      <x:c r="D612" s="39" t="n">
        <x:v>158.50740506</x:v>
      </x:c>
      <x:c r="E612" s="11" t="str">
        <x:v>CNY</x:v>
      </x:c>
      <x:c r="F612" s="11" t="str">
        <x:v>million</x:v>
      </x:c>
      <x:c r="G612" s="11" t="str">
        <x:v>2026H1</x:v>
      </x:c>
      <x:c r="H612" s="11" t="str">
        <x:v>2026-08-26</x:v>
      </x:c>
      <x:c r="I612" s="11" t="str">
        <x:v>https://static.cninfo.com.cn/finalpage/2026-08-26/1225505529.PDF</x:v>
      </x:c>
      <x:c r="J612" s="11" t="str"/>
      <x:c r="K612" s="11" t="str">
        <x:v>待核</x:v>
      </x:c>
      <x:c r="L612" s="11" t="str">
        <x:v>精确发布时间未核验</x:v>
      </x:c>
      <x:c r="M612" s="11" t="str">
        <x:v>截止日前日期，盘中时分未核</x:v>
      </x:c>
    </x:row>
    <x:row r="613" ht="23" customHeight="1">
      <x:c r="A613" s="11" t="str">
        <x:v>I043</x:v>
      </x:c>
      <x:c r="B613" s="11" t="str">
        <x:v>02196.HK</x:v>
      </x:c>
      <x:c r="C613" s="11" t="str">
        <x:v>selling</x:v>
      </x:c>
      <x:c r="D613" s="39" t="n">
        <x:v>4418.12466963</x:v>
      </x:c>
      <x:c r="E613" s="11" t="str">
        <x:v>CNY</x:v>
      </x:c>
      <x:c r="F613" s="11" t="str">
        <x:v>million</x:v>
      </x:c>
      <x:c r="G613" s="11" t="str">
        <x:v>2026H1</x:v>
      </x:c>
      <x:c r="H613" s="11" t="str">
        <x:v>2026-08-26</x:v>
      </x:c>
      <x:c r="I613" s="11" t="str">
        <x:v>https://static.cninfo.com.cn/finalpage/2026-08-26/1225505529.PDF</x:v>
      </x:c>
      <x:c r="J613" s="11" t="str"/>
      <x:c r="K613" s="11" t="str">
        <x:v>待核</x:v>
      </x:c>
      <x:c r="L613" s="11" t="str">
        <x:v>精确发布时间未核验</x:v>
      </x:c>
      <x:c r="M613" s="11" t="str">
        <x:v>截止日前日期，盘中时分未核</x:v>
      </x:c>
    </x:row>
    <x:row r="614" ht="23" customHeight="1">
      <x:c r="A614" s="11" t="str">
        <x:v>I043</x:v>
      </x:c>
      <x:c r="B614" s="11" t="str">
        <x:v>02196.HK</x:v>
      </x:c>
      <x:c r="C614" s="11" t="str">
        <x:v>admin</x:v>
      </x:c>
      <x:c r="D614" s="39" t="n">
        <x:v>2199.81889979</x:v>
      </x:c>
      <x:c r="E614" s="11" t="str">
        <x:v>CNY</x:v>
      </x:c>
      <x:c r="F614" s="11" t="str">
        <x:v>million</x:v>
      </x:c>
      <x:c r="G614" s="11" t="str">
        <x:v>2026H1</x:v>
      </x:c>
      <x:c r="H614" s="11" t="str">
        <x:v>2026-08-26</x:v>
      </x:c>
      <x:c r="I614" s="11" t="str">
        <x:v>https://static.cninfo.com.cn/finalpage/2026-08-26/1225505529.PDF</x:v>
      </x:c>
      <x:c r="J614" s="11" t="str"/>
      <x:c r="K614" s="11" t="str">
        <x:v>待核</x:v>
      </x:c>
      <x:c r="L614" s="11" t="str">
        <x:v>精确发布时间未核验</x:v>
      </x:c>
      <x:c r="M614" s="11" t="str">
        <x:v>截止日前日期，盘中时分未核</x:v>
      </x:c>
    </x:row>
    <x:row r="615" ht="23" customHeight="1">
      <x:c r="A615" s="11" t="str">
        <x:v>I043</x:v>
      </x:c>
      <x:c r="B615" s="11" t="str">
        <x:v>02196.HK</x:v>
      </x:c>
      <x:c r="C615" s="11" t="str">
        <x:v>RDExpensed</x:v>
      </x:c>
      <x:c r="D615" s="39" t="n">
        <x:v>2086.92531622</x:v>
      </x:c>
      <x:c r="E615" s="11" t="str">
        <x:v>CNY</x:v>
      </x:c>
      <x:c r="F615" s="11" t="str">
        <x:v>million</x:v>
      </x:c>
      <x:c r="G615" s="11" t="str">
        <x:v>2026H1</x:v>
      </x:c>
      <x:c r="H615" s="11" t="str">
        <x:v>2026-08-26</x:v>
      </x:c>
      <x:c r="I615" s="11" t="str">
        <x:v>https://static.cninfo.com.cn/finalpage/2026-08-26/1225505529.PDF</x:v>
      </x:c>
      <x:c r="J615" s="11" t="str"/>
      <x:c r="K615" s="11" t="str">
        <x:v>待核</x:v>
      </x:c>
      <x:c r="L615" s="11" t="str">
        <x:v>精确发布时间未核验</x:v>
      </x:c>
      <x:c r="M615" s="11" t="str">
        <x:v>截止日前日期，盘中时分未核</x:v>
      </x:c>
    </x:row>
    <x:row r="616" ht="23" customHeight="1">
      <x:c r="A616" s="11" t="str">
        <x:v>I043</x:v>
      </x:c>
      <x:c r="B616" s="11" t="str">
        <x:v>02196.HK</x:v>
      </x:c>
      <x:c r="C616" s="11" t="str">
        <x:v>financeExpense</x:v>
      </x:c>
      <x:c r="D616" s="39" t="n">
        <x:v>531.0631377</x:v>
      </x:c>
      <x:c r="E616" s="11" t="str">
        <x:v>CNY</x:v>
      </x:c>
      <x:c r="F616" s="11" t="str">
        <x:v>million</x:v>
      </x:c>
      <x:c r="G616" s="11" t="str">
        <x:v>2026H1</x:v>
      </x:c>
      <x:c r="H616" s="11" t="str">
        <x:v>2026-08-26</x:v>
      </x:c>
      <x:c r="I616" s="11" t="str">
        <x:v>https://static.cninfo.com.cn/finalpage/2026-08-26/1225505529.PDF</x:v>
      </x:c>
      <x:c r="J616" s="11" t="str"/>
      <x:c r="K616" s="11" t="str">
        <x:v>待核</x:v>
      </x:c>
      <x:c r="L616" s="11" t="str">
        <x:v>精确发布时间未核验</x:v>
      </x:c>
      <x:c r="M616" s="11" t="str">
        <x:v>截止日前日期，盘中时分未核</x:v>
      </x:c>
    </x:row>
    <x:row r="617" ht="23" customHeight="1">
      <x:c r="A617" s="11" t="str">
        <x:v>I043</x:v>
      </x:c>
      <x:c r="B617" s="11" t="str">
        <x:v>02196.HK</x:v>
      </x:c>
      <x:c r="C617" s="11" t="str">
        <x:v>interestExpense</x:v>
      </x:c>
      <x:c r="D617" s="39" t="n">
        <x:v>607.38638077</x:v>
      </x:c>
      <x:c r="E617" s="11" t="str">
        <x:v>CNY</x:v>
      </x:c>
      <x:c r="F617" s="11" t="str">
        <x:v>million</x:v>
      </x:c>
      <x:c r="G617" s="11" t="str">
        <x:v>2026H1</x:v>
      </x:c>
      <x:c r="H617" s="11" t="str">
        <x:v>2026-08-26</x:v>
      </x:c>
      <x:c r="I617" s="11" t="str">
        <x:v>https://static.cninfo.com.cn/finalpage/2026-08-26/1225505529.PDF</x:v>
      </x:c>
      <x:c r="J617" s="11" t="str"/>
      <x:c r="K617" s="11" t="str">
        <x:v>待核</x:v>
      </x:c>
      <x:c r="L617" s="11" t="str">
        <x:v>精确发布时间未核验</x:v>
      </x:c>
      <x:c r="M617" s="11" t="str">
        <x:v>截止日前日期，盘中时分未核</x:v>
      </x:c>
    </x:row>
    <x:row r="618" ht="23" customHeight="1">
      <x:c r="A618" s="11" t="str">
        <x:v>I043</x:v>
      </x:c>
      <x:c r="B618" s="11" t="str">
        <x:v>02196.HK</x:v>
      </x:c>
      <x:c r="C618" s="11" t="str">
        <x:v>interestIncome</x:v>
      </x:c>
      <x:c r="D618" s="39" t="n">
        <x:v>135.22396844</x:v>
      </x:c>
      <x:c r="E618" s="11" t="str">
        <x:v>CNY</x:v>
      </x:c>
      <x:c r="F618" s="11" t="str">
        <x:v>million</x:v>
      </x:c>
      <x:c r="G618" s="11" t="str">
        <x:v>2026H1</x:v>
      </x:c>
      <x:c r="H618" s="11" t="str">
        <x:v>2026-08-26</x:v>
      </x:c>
      <x:c r="I618" s="11" t="str">
        <x:v>https://static.cninfo.com.cn/finalpage/2026-08-26/1225505529.PDF</x:v>
      </x:c>
      <x:c r="J618" s="11" t="str"/>
      <x:c r="K618" s="11" t="str">
        <x:v>待核</x:v>
      </x:c>
      <x:c r="L618" s="11" t="str">
        <x:v>精确发布时间未核验</x:v>
      </x:c>
      <x:c r="M618" s="11" t="str">
        <x:v>截止日前日期，盘中时分未核</x:v>
      </x:c>
    </x:row>
    <x:row r="619" ht="23" customHeight="1">
      <x:c r="A619" s="11" t="str">
        <x:v>I043</x:v>
      </x:c>
      <x:c r="B619" s="11" t="str">
        <x:v>02196.HK</x:v>
      </x:c>
      <x:c r="C619" s="11" t="str">
        <x:v>otherIncome</x:v>
      </x:c>
      <x:c r="D619" s="39" t="n">
        <x:v>132.51256288</x:v>
      </x:c>
      <x:c r="E619" s="11" t="str">
        <x:v>CNY</x:v>
      </x:c>
      <x:c r="F619" s="11" t="str">
        <x:v>million</x:v>
      </x:c>
      <x:c r="G619" s="11" t="str">
        <x:v>2026H1</x:v>
      </x:c>
      <x:c r="H619" s="11" t="str">
        <x:v>2026-08-26</x:v>
      </x:c>
      <x:c r="I619" s="11" t="str">
        <x:v>https://static.cninfo.com.cn/finalpage/2026-08-26/1225505529.PDF</x:v>
      </x:c>
      <x:c r="J619" s="11" t="str"/>
      <x:c r="K619" s="11" t="str">
        <x:v>待核</x:v>
      </x:c>
      <x:c r="L619" s="11" t="str">
        <x:v>精确发布时间未核验</x:v>
      </x:c>
      <x:c r="M619" s="11" t="str">
        <x:v>截止日前日期，盘中时分未核</x:v>
      </x:c>
    </x:row>
    <x:row r="620" ht="23" customHeight="1">
      <x:c r="A620" s="11" t="str">
        <x:v>I043</x:v>
      </x:c>
      <x:c r="B620" s="11" t="str">
        <x:v>02196.HK</x:v>
      </x:c>
      <x:c r="C620" s="11" t="str">
        <x:v>investmentIncome</x:v>
      </x:c>
      <x:c r="D620" s="39" t="n">
        <x:v>1493.3053734</x:v>
      </x:c>
      <x:c r="E620" s="11" t="str">
        <x:v>CNY</x:v>
      </x:c>
      <x:c r="F620" s="11" t="str">
        <x:v>million</x:v>
      </x:c>
      <x:c r="G620" s="11" t="str">
        <x:v>2026H1</x:v>
      </x:c>
      <x:c r="H620" s="11" t="str">
        <x:v>2026-08-26</x:v>
      </x:c>
      <x:c r="I620" s="11" t="str">
        <x:v>https://static.cninfo.com.cn/finalpage/2026-08-26/1225505529.PDF</x:v>
      </x:c>
      <x:c r="J620" s="11" t="str"/>
      <x:c r="K620" s="11" t="str">
        <x:v>待核</x:v>
      </x:c>
      <x:c r="L620" s="11" t="str">
        <x:v>精确发布时间未核验</x:v>
      </x:c>
      <x:c r="M620" s="11" t="str">
        <x:v>截止日前日期，盘中时分未核</x:v>
      </x:c>
    </x:row>
    <x:row r="621" ht="23" customHeight="1">
      <x:c r="A621" s="11" t="str">
        <x:v>I043</x:v>
      </x:c>
      <x:c r="B621" s="11" t="str">
        <x:v>02196.HK</x:v>
      </x:c>
      <x:c r="C621" s="11" t="str">
        <x:v>associateJVIncome</x:v>
      </x:c>
      <x:c r="D621" s="39" t="n">
        <x:v>1135.35459482</x:v>
      </x:c>
      <x:c r="E621" s="11" t="str">
        <x:v>CNY</x:v>
      </x:c>
      <x:c r="F621" s="11" t="str">
        <x:v>million</x:v>
      </x:c>
      <x:c r="G621" s="11" t="str">
        <x:v>2026H1</x:v>
      </x:c>
      <x:c r="H621" s="11" t="str">
        <x:v>2026-08-26</x:v>
      </x:c>
      <x:c r="I621" s="11" t="str">
        <x:v>https://static.cninfo.com.cn/finalpage/2026-08-26/1225505529.PDF</x:v>
      </x:c>
      <x:c r="J621" s="11" t="str"/>
      <x:c r="K621" s="11" t="str">
        <x:v>待核</x:v>
      </x:c>
      <x:c r="L621" s="11" t="str">
        <x:v>精确发布时间未核验</x:v>
      </x:c>
      <x:c r="M621" s="11" t="str">
        <x:v>截止日前日期，盘中时分未核</x:v>
      </x:c>
    </x:row>
    <x:row r="622" ht="23" customHeight="1">
      <x:c r="A622" s="11" t="str">
        <x:v>I043</x:v>
      </x:c>
      <x:c r="B622" s="11" t="str">
        <x:v>02196.HK</x:v>
      </x:c>
      <x:c r="C622" s="11" t="str">
        <x:v>fairValueGain</x:v>
      </x:c>
      <x:c r="D622" s="39" t="n">
        <x:v>273.65184451</x:v>
      </x:c>
      <x:c r="E622" s="11" t="str">
        <x:v>CNY</x:v>
      </x:c>
      <x:c r="F622" s="11" t="str">
        <x:v>million</x:v>
      </x:c>
      <x:c r="G622" s="11" t="str">
        <x:v>2026H1</x:v>
      </x:c>
      <x:c r="H622" s="11" t="str">
        <x:v>2026-08-26</x:v>
      </x:c>
      <x:c r="I622" s="11" t="str">
        <x:v>https://static.cninfo.com.cn/finalpage/2026-08-26/1225505529.PDF</x:v>
      </x:c>
      <x:c r="J622" s="11" t="str"/>
      <x:c r="K622" s="11" t="str">
        <x:v>待核</x:v>
      </x:c>
      <x:c r="L622" s="11" t="str">
        <x:v>精确发布时间未核验</x:v>
      </x:c>
      <x:c r="M622" s="11" t="str">
        <x:v>截止日前日期，盘中时分未核</x:v>
      </x:c>
    </x:row>
    <x:row r="623" ht="23" customHeight="1">
      <x:c r="A623" s="11" t="str">
        <x:v>I043</x:v>
      </x:c>
      <x:c r="B623" s="11" t="str">
        <x:v>02196.HK</x:v>
      </x:c>
      <x:c r="C623" s="11" t="str">
        <x:v>creditLoss</x:v>
      </x:c>
      <x:c r="D623" s="39" t="n">
        <x:v>28.12347213</x:v>
      </x:c>
      <x:c r="E623" s="11" t="str">
        <x:v>CNY</x:v>
      </x:c>
      <x:c r="F623" s="11" t="str">
        <x:v>million</x:v>
      </x:c>
      <x:c r="G623" s="11" t="str">
        <x:v>2026H1</x:v>
      </x:c>
      <x:c r="H623" s="11" t="str">
        <x:v>2026-08-26</x:v>
      </x:c>
      <x:c r="I623" s="11" t="str">
        <x:v>https://static.cninfo.com.cn/finalpage/2026-08-26/1225505529.PDF</x:v>
      </x:c>
      <x:c r="J623" s="11" t="str"/>
      <x:c r="K623" s="11" t="str">
        <x:v>待核</x:v>
      </x:c>
      <x:c r="L623" s="11" t="str">
        <x:v>精确发布时间未核验</x:v>
      </x:c>
      <x:c r="M623" s="11" t="str">
        <x:v>截止日前日期，盘中时分未核</x:v>
      </x:c>
    </x:row>
    <x:row r="624" ht="23" customHeight="1">
      <x:c r="A624" s="11" t="str">
        <x:v>I043</x:v>
      </x:c>
      <x:c r="B624" s="11" t="str">
        <x:v>02196.HK</x:v>
      </x:c>
      <x:c r="C624" s="11" t="str">
        <x:v>assetLoss</x:v>
      </x:c>
      <x:c r="D624" s="39" t="n">
        <x:v>14.94286294</x:v>
      </x:c>
      <x:c r="E624" s="11" t="str">
        <x:v>CNY</x:v>
      </x:c>
      <x:c r="F624" s="11" t="str">
        <x:v>million</x:v>
      </x:c>
      <x:c r="G624" s="11" t="str">
        <x:v>2026H1</x:v>
      </x:c>
      <x:c r="H624" s="11" t="str">
        <x:v>2026-08-26</x:v>
      </x:c>
      <x:c r="I624" s="11" t="str">
        <x:v>https://static.cninfo.com.cn/finalpage/2026-08-26/1225505529.PDF</x:v>
      </x:c>
      <x:c r="J624" s="11" t="str"/>
      <x:c r="K624" s="11" t="str">
        <x:v>待核</x:v>
      </x:c>
      <x:c r="L624" s="11" t="str">
        <x:v>精确发布时间未核验</x:v>
      </x:c>
      <x:c r="M624" s="11" t="str">
        <x:v>截止日前日期，盘中时分未核</x:v>
      </x:c>
    </x:row>
    <x:row r="625" ht="23" customHeight="1">
      <x:c r="A625" s="11" t="str">
        <x:v>I043</x:v>
      </x:c>
      <x:c r="B625" s="11" t="str">
        <x:v>02196.HK</x:v>
      </x:c>
      <x:c r="C625" s="11" t="str">
        <x:v>assetDisposal</x:v>
      </x:c>
      <x:c r="D625" s="39" t="n">
        <x:v>0.19523196</x:v>
      </x:c>
      <x:c r="E625" s="11" t="str">
        <x:v>CNY</x:v>
      </x:c>
      <x:c r="F625" s="11" t="str">
        <x:v>million</x:v>
      </x:c>
      <x:c r="G625" s="11" t="str">
        <x:v>2026H1</x:v>
      </x:c>
      <x:c r="H625" s="11" t="str">
        <x:v>2026-08-26</x:v>
      </x:c>
      <x:c r="I625" s="11" t="str">
        <x:v>https://static.cninfo.com.cn/finalpage/2026-08-26/1225505529.PDF</x:v>
      </x:c>
      <x:c r="J625" s="11" t="str"/>
      <x:c r="K625" s="11" t="str">
        <x:v>待核</x:v>
      </x:c>
      <x:c r="L625" s="11" t="str">
        <x:v>精确发布时间未核验</x:v>
      </x:c>
      <x:c r="M625" s="11" t="str">
        <x:v>截止日前日期，盘中时分未核</x:v>
      </x:c>
    </x:row>
    <x:row r="626" ht="23" customHeight="1">
      <x:c r="A626" s="11" t="str">
        <x:v>I043</x:v>
      </x:c>
      <x:c r="B626" s="11" t="str">
        <x:v>02196.HK</x:v>
      </x:c>
      <x:c r="C626" s="11" t="str">
        <x:v>operating</x:v>
      </x:c>
      <x:c r="D626" s="39" t="n">
        <x:v>2615.94107538</x:v>
      </x:c>
      <x:c r="E626" s="11" t="str">
        <x:v>CNY</x:v>
      </x:c>
      <x:c r="F626" s="11" t="str">
        <x:v>million</x:v>
      </x:c>
      <x:c r="G626" s="11" t="str">
        <x:v>2026H1</x:v>
      </x:c>
      <x:c r="H626" s="11" t="str">
        <x:v>2026-08-26</x:v>
      </x:c>
      <x:c r="I626" s="11" t="str">
        <x:v>https://static.cninfo.com.cn/finalpage/2026-08-26/1225505529.PDF</x:v>
      </x:c>
      <x:c r="J626" s="11" t="str"/>
      <x:c r="K626" s="11" t="str">
        <x:v>待核</x:v>
      </x:c>
      <x:c r="L626" s="11" t="str">
        <x:v>精确发布时间未核验</x:v>
      </x:c>
      <x:c r="M626" s="11" t="str">
        <x:v>截止日前日期，盘中时分未核</x:v>
      </x:c>
    </x:row>
    <x:row r="627" ht="23" customHeight="1">
      <x:c r="A627" s="11" t="str">
        <x:v>I043</x:v>
      </x:c>
      <x:c r="B627" s="11" t="str">
        <x:v>02196.HK</x:v>
      </x:c>
      <x:c r="C627" s="11" t="str">
        <x:v>nonOperatingIncome</x:v>
      </x:c>
      <x:c r="D627" s="39" t="n">
        <x:v>23.95198793</x:v>
      </x:c>
      <x:c r="E627" s="11" t="str">
        <x:v>CNY</x:v>
      </x:c>
      <x:c r="F627" s="11" t="str">
        <x:v>million</x:v>
      </x:c>
      <x:c r="G627" s="11" t="str">
        <x:v>2026H1</x:v>
      </x:c>
      <x:c r="H627" s="11" t="str">
        <x:v>2026-08-26</x:v>
      </x:c>
      <x:c r="I627" s="11" t="str">
        <x:v>https://static.cninfo.com.cn/finalpage/2026-08-26/1225505529.PDF</x:v>
      </x:c>
      <x:c r="J627" s="11" t="str"/>
      <x:c r="K627" s="11" t="str">
        <x:v>待核</x:v>
      </x:c>
      <x:c r="L627" s="11" t="str">
        <x:v>精确发布时间未核验</x:v>
      </x:c>
      <x:c r="M627" s="11" t="str">
        <x:v>截止日前日期，盘中时分未核</x:v>
      </x:c>
    </x:row>
    <x:row r="628" ht="23" customHeight="1">
      <x:c r="A628" s="11" t="str">
        <x:v>I043</x:v>
      </x:c>
      <x:c r="B628" s="11" t="str">
        <x:v>02196.HK</x:v>
      </x:c>
      <x:c r="C628" s="11" t="str">
        <x:v>nonOperatingExpense</x:v>
      </x:c>
      <x:c r="D628" s="39" t="n">
        <x:v>53.32115638</x:v>
      </x:c>
      <x:c r="E628" s="11" t="str">
        <x:v>CNY</x:v>
      </x:c>
      <x:c r="F628" s="11" t="str">
        <x:v>million</x:v>
      </x:c>
      <x:c r="G628" s="11" t="str">
        <x:v>2026H1</x:v>
      </x:c>
      <x:c r="H628" s="11" t="str">
        <x:v>2026-08-26</x:v>
      </x:c>
      <x:c r="I628" s="11" t="str">
        <x:v>https://static.cninfo.com.cn/finalpage/2026-08-26/1225505529.PDF</x:v>
      </x:c>
      <x:c r="J628" s="11" t="str"/>
      <x:c r="K628" s="11" t="str">
        <x:v>待核</x:v>
      </x:c>
      <x:c r="L628" s="11" t="str">
        <x:v>精确发布时间未核验</x:v>
      </x:c>
      <x:c r="M628" s="11" t="str">
        <x:v>截止日前日期，盘中时分未核</x:v>
      </x:c>
    </x:row>
    <x:row r="629" ht="23" customHeight="1">
      <x:c r="A629" s="11" t="str">
        <x:v>I043</x:v>
      </x:c>
      <x:c r="B629" s="11" t="str">
        <x:v>02196.HK</x:v>
      </x:c>
      <x:c r="C629" s="11" t="str">
        <x:v>pretax</x:v>
      </x:c>
      <x:c r="D629" s="39" t="n">
        <x:v>2586.57190693</x:v>
      </x:c>
      <x:c r="E629" s="11" t="str">
        <x:v>CNY</x:v>
      </x:c>
      <x:c r="F629" s="11" t="str">
        <x:v>million</x:v>
      </x:c>
      <x:c r="G629" s="11" t="str">
        <x:v>2026H1</x:v>
      </x:c>
      <x:c r="H629" s="11" t="str">
        <x:v>2026-08-26</x:v>
      </x:c>
      <x:c r="I629" s="11" t="str">
        <x:v>https://static.cninfo.com.cn/finalpage/2026-08-26/1225505529.PDF</x:v>
      </x:c>
      <x:c r="J629" s="11" t="str"/>
      <x:c r="K629" s="11" t="str">
        <x:v>待核</x:v>
      </x:c>
      <x:c r="L629" s="11" t="str">
        <x:v>精确发布时间未核验</x:v>
      </x:c>
      <x:c r="M629" s="11" t="str">
        <x:v>截止日前日期，盘中时分未核</x:v>
      </x:c>
    </x:row>
    <x:row r="630" ht="23" customHeight="1">
      <x:c r="A630" s="11" t="str">
        <x:v>I043</x:v>
      </x:c>
      <x:c r="B630" s="11" t="str">
        <x:v>02196.HK</x:v>
      </x:c>
      <x:c r="C630" s="11" t="str">
        <x:v>tax</x:v>
      </x:c>
      <x:c r="D630" s="39" t="n">
        <x:v>437.64347661</x:v>
      </x:c>
      <x:c r="E630" s="11" t="str">
        <x:v>CNY</x:v>
      </x:c>
      <x:c r="F630" s="11" t="str">
        <x:v>million</x:v>
      </x:c>
      <x:c r="G630" s="11" t="str">
        <x:v>2026H1</x:v>
      </x:c>
      <x:c r="H630" s="11" t="str">
        <x:v>2026-08-26</x:v>
      </x:c>
      <x:c r="I630" s="11" t="str">
        <x:v>https://static.cninfo.com.cn/finalpage/2026-08-26/1225505529.PDF</x:v>
      </x:c>
      <x:c r="J630" s="11" t="str"/>
      <x:c r="K630" s="11" t="str">
        <x:v>待核</x:v>
      </x:c>
      <x:c r="L630" s="11" t="str">
        <x:v>精确发布时间未核验</x:v>
      </x:c>
      <x:c r="M630" s="11" t="str">
        <x:v>截止日前日期，盘中时分未核</x:v>
      </x:c>
    </x:row>
    <x:row r="631" ht="23" customHeight="1">
      <x:c r="A631" s="11" t="str">
        <x:v>I043</x:v>
      </x:c>
      <x:c r="B631" s="11" t="str">
        <x:v>02196.HK</x:v>
      </x:c>
      <x:c r="C631" s="11" t="str">
        <x:v>OCF</x:v>
      </x:c>
      <x:c r="D631" s="39" t="n">
        <x:v>2423.95241468</x:v>
      </x:c>
      <x:c r="E631" s="11" t="str">
        <x:v>CNY</x:v>
      </x:c>
      <x:c r="F631" s="11" t="str">
        <x:v>million</x:v>
      </x:c>
      <x:c r="G631" s="11" t="str">
        <x:v>2026H1</x:v>
      </x:c>
      <x:c r="H631" s="11" t="str">
        <x:v>2026-08-26</x:v>
      </x:c>
      <x:c r="I631" s="11" t="str">
        <x:v>https://static.cninfo.com.cn/finalpage/2026-08-26/1225505529.PDF</x:v>
      </x:c>
      <x:c r="J631" s="11" t="str"/>
      <x:c r="K631" s="11" t="str">
        <x:v>待核</x:v>
      </x:c>
      <x:c r="L631" s="11" t="str">
        <x:v>精确发布时间未核验</x:v>
      </x:c>
      <x:c r="M631" s="11" t="str">
        <x:v>截止日前日期，盘中时分未核</x:v>
      </x:c>
    </x:row>
    <x:row r="632" ht="23" customHeight="1">
      <x:c r="A632" s="11" t="str">
        <x:v>I043</x:v>
      </x:c>
      <x:c r="B632" s="11" t="str">
        <x:v>02196.HK</x:v>
      </x:c>
      <x:c r="C632" s="11" t="str">
        <x:v>capex</x:v>
      </x:c>
      <x:c r="D632" s="39" t="n">
        <x:v>2428.86034566</x:v>
      </x:c>
      <x:c r="E632" s="11" t="str">
        <x:v>CNY</x:v>
      </x:c>
      <x:c r="F632" s="11" t="str">
        <x:v>million</x:v>
      </x:c>
      <x:c r="G632" s="11" t="str">
        <x:v>2026H1</x:v>
      </x:c>
      <x:c r="H632" s="11" t="str">
        <x:v>2026-08-26</x:v>
      </x:c>
      <x:c r="I632" s="11" t="str">
        <x:v>https://static.cninfo.com.cn/finalpage/2026-08-26/1225505529.PDF</x:v>
      </x:c>
      <x:c r="J632" s="11" t="str"/>
      <x:c r="K632" s="11" t="str">
        <x:v>待核</x:v>
      </x:c>
      <x:c r="L632" s="11" t="str">
        <x:v>精确发布时间未核验</x:v>
      </x:c>
      <x:c r="M632" s="11" t="str">
        <x:v>截止日前日期，盘中时分未核</x:v>
      </x:c>
    </x:row>
    <x:row r="633" ht="23" customHeight="1">
      <x:c r="A633" s="11" t="str">
        <x:v>I043</x:v>
      </x:c>
      <x:c r="B633" s="11" t="str">
        <x:v>02196.HK</x:v>
      </x:c>
      <x:c r="C633" s="11" t="str">
        <x:v>FCF</x:v>
      </x:c>
      <x:c r="D633" s="39" t="n">
        <x:v>-4.90793098</x:v>
      </x:c>
      <x:c r="E633" s="11" t="str">
        <x:v>CNY</x:v>
      </x:c>
      <x:c r="F633" s="11" t="str">
        <x:v>million</x:v>
      </x:c>
      <x:c r="G633" s="11" t="str">
        <x:v>2026H1</x:v>
      </x:c>
      <x:c r="H633" s="11" t="str">
        <x:v>2026-08-26</x:v>
      </x:c>
      <x:c r="I633" s="11" t="str">
        <x:v>https://static.cninfo.com.cn/finalpage/2026-08-26/1225505529.PDF</x:v>
      </x:c>
      <x:c r="J633" s="11" t="str"/>
      <x:c r="K633" s="11" t="str">
        <x:v>待核</x:v>
      </x:c>
      <x:c r="L633" s="11" t="str">
        <x:v>精确发布时间未核验</x:v>
      </x:c>
      <x:c r="M633" s="11" t="str">
        <x:v>截止日前日期，盘中时分未核</x:v>
      </x:c>
    </x:row>
    <x:row r="634" ht="23" customHeight="1">
      <x:c r="A634" s="11" t="str">
        <x:v>I043</x:v>
      </x:c>
      <x:c r="B634" s="11" t="str">
        <x:v>02196.HK</x:v>
      </x:c>
      <x:c r="C634" s="11" t="str">
        <x:v>RDTotal</x:v>
      </x:c>
      <x:c r="D634" s="39" t="n">
        <x:v>3246.82151071</x:v>
      </x:c>
      <x:c r="E634" s="11" t="str">
        <x:v>CNY</x:v>
      </x:c>
      <x:c r="F634" s="11" t="str">
        <x:v>million</x:v>
      </x:c>
      <x:c r="G634" s="11" t="str">
        <x:v>2026H1</x:v>
      </x:c>
      <x:c r="H634" s="11" t="str">
        <x:v>2026-08-26</x:v>
      </x:c>
      <x:c r="I634" s="11" t="str">
        <x:v>https://static.cninfo.com.cn/finalpage/2026-08-26/1225505529.PDF</x:v>
      </x:c>
      <x:c r="J634" s="11" t="str"/>
      <x:c r="K634" s="11" t="str">
        <x:v>待核</x:v>
      </x:c>
      <x:c r="L634" s="11" t="str">
        <x:v>精确发布时间未核验</x:v>
      </x:c>
      <x:c r="M634" s="11" t="str">
        <x:v>截止日前日期，盘中时分未核</x:v>
      </x:c>
    </x:row>
    <x:row r="635" ht="23" customHeight="1">
      <x:c r="A635" s="11" t="str">
        <x:v>I043</x:v>
      </x:c>
      <x:c r="B635" s="11" t="str">
        <x:v>02196.HK</x:v>
      </x:c>
      <x:c r="C635" s="11" t="str">
        <x:v>RDCapitalized</x:v>
      </x:c>
      <x:c r="D635" s="39" t="n">
        <x:v>1159.89619449</x:v>
      </x:c>
      <x:c r="E635" s="11" t="str">
        <x:v>CNY</x:v>
      </x:c>
      <x:c r="F635" s="11" t="str">
        <x:v>million</x:v>
      </x:c>
      <x:c r="G635" s="11" t="str">
        <x:v>2026H1</x:v>
      </x:c>
      <x:c r="H635" s="11" t="str">
        <x:v>2026-08-26</x:v>
      </x:c>
      <x:c r="I635" s="11" t="str">
        <x:v>https://static.cninfo.com.cn/finalpage/2026-08-26/1225505529.PDF</x:v>
      </x:c>
      <x:c r="J635" s="11" t="str"/>
      <x:c r="K635" s="11" t="str">
        <x:v>待核</x:v>
      </x:c>
      <x:c r="L635" s="11" t="str">
        <x:v>精确发布时间未核验</x:v>
      </x:c>
      <x:c r="M635" s="11" t="str">
        <x:v>截止日前日期，盘中时分未核</x:v>
      </x:c>
    </x:row>
    <x:row r="636" ht="23" customHeight="1">
      <x:c r="A636" s="11" t="str">
        <x:v>I043</x:v>
      </x:c>
      <x:c r="B636" s="11" t="str">
        <x:v>02196.HK</x:v>
      </x:c>
      <x:c r="C636" s="11" t="str">
        <x:v>developmentAssets</x:v>
      </x:c>
      <x:c r="D636" s="39" t="n">
        <x:v>7619.9586298</x:v>
      </x:c>
      <x:c r="E636" s="11" t="str">
        <x:v>CNY</x:v>
      </x:c>
      <x:c r="F636" s="11" t="str">
        <x:v>million</x:v>
      </x:c>
      <x:c r="G636" s="11" t="str">
        <x:v>2026H1</x:v>
      </x:c>
      <x:c r="H636" s="11" t="str">
        <x:v>2026-08-26</x:v>
      </x:c>
      <x:c r="I636" s="11" t="str">
        <x:v>https://static.cninfo.com.cn/finalpage/2026-08-26/1225505529.PDF</x:v>
      </x:c>
      <x:c r="J636" s="11" t="str"/>
      <x:c r="K636" s="11" t="str">
        <x:v>待核</x:v>
      </x:c>
      <x:c r="L636" s="11" t="str">
        <x:v>精确发布时间未核验</x:v>
      </x:c>
      <x:c r="M636" s="11" t="str">
        <x:v>截止日前日期，盘中时分未核</x:v>
      </x:c>
    </x:row>
    <x:row r="637" ht="23" customHeight="1">
      <x:c r="A637" s="11" t="str">
        <x:v>I043</x:v>
      </x:c>
      <x:c r="B637" s="11" t="str">
        <x:v>02196.HK</x:v>
      </x:c>
      <x:c r="C637" s="11" t="str">
        <x:v>developmentStart</x:v>
      </x:c>
      <x:c r="D637" s="39" t="n">
        <x:v>5944.27224319</x:v>
      </x:c>
      <x:c r="E637" s="11" t="str">
        <x:v>CNY</x:v>
      </x:c>
      <x:c r="F637" s="11" t="str">
        <x:v>million</x:v>
      </x:c>
      <x:c r="G637" s="11" t="str">
        <x:v>2026H1</x:v>
      </x:c>
      <x:c r="H637" s="11" t="str">
        <x:v>2026-08-26</x:v>
      </x:c>
      <x:c r="I637" s="11" t="str">
        <x:v>https://static.cninfo.com.cn/finalpage/2026-08-26/1225505529.PDF</x:v>
      </x:c>
      <x:c r="J637" s="11" t="str"/>
      <x:c r="K637" s="11" t="str">
        <x:v>待核</x:v>
      </x:c>
      <x:c r="L637" s="11" t="str">
        <x:v>精确发布时间未核验</x:v>
      </x:c>
      <x:c r="M637" s="11" t="str">
        <x:v>截止日前日期，盘中时分未核</x:v>
      </x:c>
    </x:row>
    <x:row r="638" ht="23" customHeight="1">
      <x:c r="A638" s="11" t="str">
        <x:v>I043</x:v>
      </x:c>
      <x:c r="B638" s="11" t="str">
        <x:v>02196.HK</x:v>
      </x:c>
      <x:c r="C638" s="11" t="str">
        <x:v>developmentAcquisition</x:v>
      </x:c>
      <x:c r="D638" s="39" t="n">
        <x:v>1589.16647426</x:v>
      </x:c>
      <x:c r="E638" s="11" t="str">
        <x:v>CNY</x:v>
      </x:c>
      <x:c r="F638" s="11" t="str">
        <x:v>million</x:v>
      </x:c>
      <x:c r="G638" s="11" t="str">
        <x:v>2026H1</x:v>
      </x:c>
      <x:c r="H638" s="11" t="str">
        <x:v>2026-08-26</x:v>
      </x:c>
      <x:c r="I638" s="11" t="str">
        <x:v>https://static.cninfo.com.cn/finalpage/2026-08-26/1225505529.PDF</x:v>
      </x:c>
      <x:c r="J638" s="11" t="str"/>
      <x:c r="K638" s="11" t="str">
        <x:v>待核</x:v>
      </x:c>
      <x:c r="L638" s="11" t="str">
        <x:v>精确发布时间未核验</x:v>
      </x:c>
      <x:c r="M638" s="11" t="str">
        <x:v>截止日前日期，盘中时分未核</x:v>
      </x:c>
    </x:row>
    <x:row r="639" ht="23" customHeight="1">
      <x:c r="A639" s="11" t="str">
        <x:v>I043</x:v>
      </x:c>
      <x:c r="B639" s="11" t="str">
        <x:v>02196.HK</x:v>
      </x:c>
      <x:c r="C639" s="11" t="str">
        <x:v>developmentTransfer</x:v>
      </x:c>
      <x:c r="D639" s="39" t="n">
        <x:v>1066.4246425</x:v>
      </x:c>
      <x:c r="E639" s="11" t="str">
        <x:v>CNY</x:v>
      </x:c>
      <x:c r="F639" s="11" t="str">
        <x:v>million</x:v>
      </x:c>
      <x:c r="G639" s="11" t="str">
        <x:v>2026H1</x:v>
      </x:c>
      <x:c r="H639" s="11" t="str">
        <x:v>2026-08-26</x:v>
      </x:c>
      <x:c r="I639" s="11" t="str">
        <x:v>https://static.cninfo.com.cn/finalpage/2026-08-26/1225505529.PDF</x:v>
      </x:c>
      <x:c r="J639" s="11" t="str"/>
      <x:c r="K639" s="11" t="str">
        <x:v>待核</x:v>
      </x:c>
      <x:c r="L639" s="11" t="str">
        <x:v>精确发布时间未核验</x:v>
      </x:c>
      <x:c r="M639" s="11" t="str">
        <x:v>截止日前日期，盘中时分未核</x:v>
      </x:c>
    </x:row>
    <x:row r="640" ht="23" customHeight="1">
      <x:c r="A640" s="11" t="str">
        <x:v>I043</x:v>
      </x:c>
      <x:c r="B640" s="11" t="str">
        <x:v>02196.HK</x:v>
      </x:c>
      <x:c r="C640" s="11" t="str">
        <x:v>developmentLoss</x:v>
      </x:c>
      <x:c r="D640" s="39" t="n">
        <x:v>6.95163964</x:v>
      </x:c>
      <x:c r="E640" s="11" t="str">
        <x:v>CNY</x:v>
      </x:c>
      <x:c r="F640" s="11" t="str">
        <x:v>million</x:v>
      </x:c>
      <x:c r="G640" s="11" t="str">
        <x:v>2026H1</x:v>
      </x:c>
      <x:c r="H640" s="11" t="str">
        <x:v>2026-08-26</x:v>
      </x:c>
      <x:c r="I640" s="11" t="str">
        <x:v>https://static.cninfo.com.cn/finalpage/2026-08-26/1225505529.PDF</x:v>
      </x:c>
      <x:c r="J640" s="11" t="str"/>
      <x:c r="K640" s="11" t="str">
        <x:v>待核</x:v>
      </x:c>
      <x:c r="L640" s="11" t="str">
        <x:v>精确发布时间未核验</x:v>
      </x:c>
      <x:c r="M640" s="11" t="str">
        <x:v>截止日前日期，盘中时分未核</x:v>
      </x:c>
    </x:row>
    <x:row r="641" ht="23" customHeight="1">
      <x:c r="A641" s="11" t="str">
        <x:v>I043</x:v>
      </x:c>
      <x:c r="B641" s="11" t="str">
        <x:v>02196.HK</x:v>
      </x:c>
      <x:c r="C641" s="11" t="str">
        <x:v>sharePayment</x:v>
      </x:c>
      <x:c r="D641" s="39" t="n">
        <x:v>295.36139789</x:v>
      </x:c>
      <x:c r="E641" s="11" t="str">
        <x:v>CNY</x:v>
      </x:c>
      <x:c r="F641" s="11" t="str">
        <x:v>million</x:v>
      </x:c>
      <x:c r="G641" s="11" t="str">
        <x:v>2026H1</x:v>
      </x:c>
      <x:c r="H641" s="11" t="str">
        <x:v>2026-08-26</x:v>
      </x:c>
      <x:c r="I641" s="11" t="str">
        <x:v>https://static.cninfo.com.cn/finalpage/2026-08-26/1225505529.PDF</x:v>
      </x:c>
      <x:c r="J641" s="11" t="str"/>
      <x:c r="K641" s="11" t="str">
        <x:v>待核</x:v>
      </x:c>
      <x:c r="L641" s="11" t="str">
        <x:v>精确发布时间未核验</x:v>
      </x:c>
      <x:c r="M641" s="11" t="str">
        <x:v>截止日前日期，盘中时分未核</x:v>
      </x:c>
    </x:row>
    <x:row r="642" ht="23" customHeight="1">
      <x:c r="A642" s="11" t="str">
        <x:v>I043</x:v>
      </x:c>
      <x:c r="B642" s="11" t="str">
        <x:v>02196.HK</x:v>
      </x:c>
      <x:c r="C642" s="11" t="str">
        <x:v>cashBank</x:v>
      </x:c>
      <x:c r="D642" s="39" t="n">
        <x:v>13618.64821314</x:v>
      </x:c>
      <x:c r="E642" s="11" t="str">
        <x:v>CNY</x:v>
      </x:c>
      <x:c r="F642" s="11" t="str">
        <x:v>million</x:v>
      </x:c>
      <x:c r="G642" s="11" t="str">
        <x:v>2026H1</x:v>
      </x:c>
      <x:c r="H642" s="11" t="str">
        <x:v>2026-08-26</x:v>
      </x:c>
      <x:c r="I642" s="11" t="str">
        <x:v>https://static.cninfo.com.cn/finalpage/2026-08-26/1225505529.PDF</x:v>
      </x:c>
      <x:c r="J642" s="11" t="str"/>
      <x:c r="K642" s="11" t="str">
        <x:v>待核</x:v>
      </x:c>
      <x:c r="L642" s="11" t="str">
        <x:v>精确发布时间未核验</x:v>
      </x:c>
      <x:c r="M642" s="11" t="str">
        <x:v>截止日前日期，盘中时分未核</x:v>
      </x:c>
    </x:row>
    <x:row r="643" ht="23" customHeight="1">
      <x:c r="A643" s="11" t="str">
        <x:v>I043</x:v>
      </x:c>
      <x:c r="B643" s="11" t="str">
        <x:v>02196.HK</x:v>
      </x:c>
      <x:c r="C643" s="11" t="str">
        <x:v>cashCashEquivalents</x:v>
      </x:c>
      <x:c r="D643" s="39" t="n">
        <x:v>9487.26724445</x:v>
      </x:c>
      <x:c r="E643" s="11" t="str">
        <x:v>CNY</x:v>
      </x:c>
      <x:c r="F643" s="11" t="str">
        <x:v>million</x:v>
      </x:c>
      <x:c r="G643" s="11" t="str">
        <x:v>2026H1</x:v>
      </x:c>
      <x:c r="H643" s="11" t="str">
        <x:v>2026-08-26</x:v>
      </x:c>
      <x:c r="I643" s="11" t="str">
        <x:v>https://static.cninfo.com.cn/finalpage/2026-08-26/1225505529.PDF</x:v>
      </x:c>
      <x:c r="J643" s="11" t="str"/>
      <x:c r="K643" s="11" t="str">
        <x:v>待核</x:v>
      </x:c>
      <x:c r="L643" s="11" t="str">
        <x:v>精确发布时间未核验</x:v>
      </x:c>
      <x:c r="M643" s="11" t="str">
        <x:v>截止日前日期，盘中时分未核</x:v>
      </x:c>
    </x:row>
    <x:row r="644" ht="23" customHeight="1">
      <x:c r="A644" s="11" t="str">
        <x:v>I043</x:v>
      </x:c>
      <x:c r="B644" s="11" t="str">
        <x:v>02196.HK</x:v>
      </x:c>
      <x:c r="C644" s="11" t="str">
        <x:v>termDepositsOver3Months</x:v>
      </x:c>
      <x:c r="D644" s="39" t="n">
        <x:v>3888.59844204</x:v>
      </x:c>
      <x:c r="E644" s="11" t="str">
        <x:v>CNY</x:v>
      </x:c>
      <x:c r="F644" s="11" t="str">
        <x:v>million</x:v>
      </x:c>
      <x:c r="G644" s="11" t="str">
        <x:v>2026H1</x:v>
      </x:c>
      <x:c r="H644" s="11" t="str">
        <x:v>2026-08-26</x:v>
      </x:c>
      <x:c r="I644" s="11" t="str">
        <x:v>https://static.cninfo.com.cn/finalpage/2026-08-26/1225505529.PDF</x:v>
      </x:c>
      <x:c r="J644" s="11" t="str"/>
      <x:c r="K644" s="11" t="str">
        <x:v>待核</x:v>
      </x:c>
      <x:c r="L644" s="11" t="str">
        <x:v>精确发布时间未核验</x:v>
      </x:c>
      <x:c r="M644" s="11" t="str">
        <x:v>截止日前日期，盘中时分未核</x:v>
      </x:c>
    </x:row>
    <x:row r="645" ht="23" customHeight="1">
      <x:c r="A645" s="11" t="str">
        <x:v>I043</x:v>
      </x:c>
      <x:c r="B645" s="11" t="str">
        <x:v>02196.HK</x:v>
      </x:c>
      <x:c r="C645" s="11" t="str">
        <x:v>restrictedCash</x:v>
      </x:c>
      <x:c r="D645" s="39" t="n">
        <x:v>242.78252665</x:v>
      </x:c>
      <x:c r="E645" s="11" t="str">
        <x:v>CNY</x:v>
      </x:c>
      <x:c r="F645" s="11" t="str">
        <x:v>million</x:v>
      </x:c>
      <x:c r="G645" s="11" t="str">
        <x:v>2026H1</x:v>
      </x:c>
      <x:c r="H645" s="11" t="str">
        <x:v>2026-08-26</x:v>
      </x:c>
      <x:c r="I645" s="11" t="str">
        <x:v>https://static.cninfo.com.cn/finalpage/2026-08-26/1225505529.PDF</x:v>
      </x:c>
      <x:c r="J645" s="11" t="str"/>
      <x:c r="K645" s="11" t="str">
        <x:v>待核</x:v>
      </x:c>
      <x:c r="L645" s="11" t="str">
        <x:v>精确发布时间未核验</x:v>
      </x:c>
      <x:c r="M645" s="11" t="str">
        <x:v>截止日前日期，盘中时分未核</x:v>
      </x:c>
    </x:row>
    <x:row r="646" ht="23" customHeight="1">
      <x:c r="A646" s="11" t="str">
        <x:v>I043</x:v>
      </x:c>
      <x:c r="B646" s="11" t="str">
        <x:v>02196.HK</x:v>
      </x:c>
      <x:c r="C646" s="11" t="str">
        <x:v>totalAssets</x:v>
      </x:c>
      <x:c r="D646" s="39" t="n">
        <x:v>125427.90309485</x:v>
      </x:c>
      <x:c r="E646" s="11" t="str">
        <x:v>CNY</x:v>
      </x:c>
      <x:c r="F646" s="11" t="str">
        <x:v>million</x:v>
      </x:c>
      <x:c r="G646" s="11" t="str">
        <x:v>2026H1</x:v>
      </x:c>
      <x:c r="H646" s="11" t="str">
        <x:v>2026-08-26</x:v>
      </x:c>
      <x:c r="I646" s="11" t="str">
        <x:v>https://static.cninfo.com.cn/finalpage/2026-08-26/1225505529.PDF</x:v>
      </x:c>
      <x:c r="J646" s="11" t="str"/>
      <x:c r="K646" s="11" t="str">
        <x:v>待核</x:v>
      </x:c>
      <x:c r="L646" s="11" t="str">
        <x:v>精确发布时间未核验</x:v>
      </x:c>
      <x:c r="M646" s="11" t="str">
        <x:v>截止日前日期，盘中时分未核</x:v>
      </x:c>
    </x:row>
    <x:row r="647" ht="23" customHeight="1">
      <x:c r="A647" s="11" t="str">
        <x:v>I043</x:v>
      </x:c>
      <x:c r="B647" s="11" t="str">
        <x:v>02196.HK</x:v>
      </x:c>
      <x:c r="C647" s="11" t="str">
        <x:v>totalLiabilities</x:v>
      </x:c>
      <x:c r="D647" s="39" t="n">
        <x:v>62025.98013132</x:v>
      </x:c>
      <x:c r="E647" s="11" t="str">
        <x:v>CNY</x:v>
      </x:c>
      <x:c r="F647" s="11" t="str">
        <x:v>million</x:v>
      </x:c>
      <x:c r="G647" s="11" t="str">
        <x:v>2026H1</x:v>
      </x:c>
      <x:c r="H647" s="11" t="str">
        <x:v>2026-08-26</x:v>
      </x:c>
      <x:c r="I647" s="11" t="str">
        <x:v>https://static.cninfo.com.cn/finalpage/2026-08-26/1225505529.PDF</x:v>
      </x:c>
      <x:c r="J647" s="11" t="str"/>
      <x:c r="K647" s="11" t="str">
        <x:v>待核</x:v>
      </x:c>
      <x:c r="L647" s="11" t="str">
        <x:v>精确发布时间未核验</x:v>
      </x:c>
      <x:c r="M647" s="11" t="str">
        <x:v>截止日前日期，盘中时分未核</x:v>
      </x:c>
    </x:row>
    <x:row r="648" ht="23" customHeight="1">
      <x:c r="A648" s="11" t="str">
        <x:v>I043</x:v>
      </x:c>
      <x:c r="B648" s="11" t="str">
        <x:v>02196.HK</x:v>
      </x:c>
      <x:c r="C648" s="11" t="str">
        <x:v>parentEquity</x:v>
      </x:c>
      <x:c r="D648" s="39" t="n">
        <x:v>48731.19349303</x:v>
      </x:c>
      <x:c r="E648" s="11" t="str">
        <x:v>CNY</x:v>
      </x:c>
      <x:c r="F648" s="11" t="str">
        <x:v>million</x:v>
      </x:c>
      <x:c r="G648" s="11" t="str">
        <x:v>2026H1</x:v>
      </x:c>
      <x:c r="H648" s="11" t="str">
        <x:v>2026-08-26</x:v>
      </x:c>
      <x:c r="I648" s="11" t="str">
        <x:v>https://static.cninfo.com.cn/finalpage/2026-08-26/1225505529.PDF</x:v>
      </x:c>
      <x:c r="J648" s="11" t="str"/>
      <x:c r="K648" s="11" t="str">
        <x:v>待核</x:v>
      </x:c>
      <x:c r="L648" s="11" t="str">
        <x:v>精确发布时间未核验</x:v>
      </x:c>
      <x:c r="M648" s="11" t="str">
        <x:v>截止日前日期，盘中时分未核</x:v>
      </x:c>
    </x:row>
    <x:row r="649" ht="23" customHeight="1">
      <x:c r="A649" s="11" t="str">
        <x:v>I043</x:v>
      </x:c>
      <x:c r="B649" s="11" t="str">
        <x:v>02196.HK</x:v>
      </x:c>
      <x:c r="C649" s="11" t="str">
        <x:v>minorityEquity</x:v>
      </x:c>
      <x:c r="D649" s="39" t="n">
        <x:v>14670.7294705</x:v>
      </x:c>
      <x:c r="E649" s="11" t="str">
        <x:v>CNY</x:v>
      </x:c>
      <x:c r="F649" s="11" t="str">
        <x:v>million</x:v>
      </x:c>
      <x:c r="G649" s="11" t="str">
        <x:v>2026H1</x:v>
      </x:c>
      <x:c r="H649" s="11" t="str">
        <x:v>2026-08-26</x:v>
      </x:c>
      <x:c r="I649" s="11" t="str">
        <x:v>https://static.cninfo.com.cn/finalpage/2026-08-26/1225505529.PDF</x:v>
      </x:c>
      <x:c r="J649" s="11" t="str"/>
      <x:c r="K649" s="11" t="str">
        <x:v>待核</x:v>
      </x:c>
      <x:c r="L649" s="11" t="str">
        <x:v>精确发布时间未核验</x:v>
      </x:c>
      <x:c r="M649" s="11" t="str">
        <x:v>截止日前日期，盘中时分未核</x:v>
      </x:c>
    </x:row>
    <x:row r="650" ht="23" customHeight="1">
      <x:c r="A650" s="11" t="str">
        <x:v>I043</x:v>
      </x:c>
      <x:c r="B650" s="11" t="str">
        <x:v>02196.HK</x:v>
      </x:c>
      <x:c r="C650" s="11" t="str">
        <x:v>goodwill</x:v>
      </x:c>
      <x:c r="D650" s="39" t="n">
        <x:v>10709.06993028</x:v>
      </x:c>
      <x:c r="E650" s="11" t="str">
        <x:v>CNY</x:v>
      </x:c>
      <x:c r="F650" s="11" t="str">
        <x:v>million</x:v>
      </x:c>
      <x:c r="G650" s="11" t="str">
        <x:v>2026H1</x:v>
      </x:c>
      <x:c r="H650" s="11" t="str">
        <x:v>2026-08-26</x:v>
      </x:c>
      <x:c r="I650" s="11" t="str">
        <x:v>https://static.cninfo.com.cn/finalpage/2026-08-26/1225505529.PDF</x:v>
      </x:c>
      <x:c r="J650" s="11" t="str"/>
      <x:c r="K650" s="11" t="str">
        <x:v>待核</x:v>
      </x:c>
      <x:c r="L650" s="11" t="str">
        <x:v>精确发布时间未核验</x:v>
      </x:c>
      <x:c r="M650" s="11" t="str">
        <x:v>截止日前日期，盘中时分未核</x:v>
      </x:c>
    </x:row>
    <x:row r="651" ht="23" customHeight="1">
      <x:c r="A651" s="11" t="str">
        <x:v>I043</x:v>
      </x:c>
      <x:c r="B651" s="11" t="str">
        <x:v>02196.HK</x:v>
      </x:c>
      <x:c r="C651" s="11" t="str">
        <x:v>GlandGoodwill</x:v>
      </x:c>
      <x:c r="D651" s="39" t="n">
        <x:v>4091.11774795</x:v>
      </x:c>
      <x:c r="E651" s="11" t="str">
        <x:v>CNY</x:v>
      </x:c>
      <x:c r="F651" s="11" t="str">
        <x:v>million</x:v>
      </x:c>
      <x:c r="G651" s="11" t="str">
        <x:v>2026H1</x:v>
      </x:c>
      <x:c r="H651" s="11" t="str">
        <x:v>2026-08-26</x:v>
      </x:c>
      <x:c r="I651" s="11" t="str">
        <x:v>https://static.cninfo.com.cn/finalpage/2026-08-26/1225505529.PDF</x:v>
      </x:c>
      <x:c r="J651" s="11" t="str"/>
      <x:c r="K651" s="11" t="str">
        <x:v>待核</x:v>
      </x:c>
      <x:c r="L651" s="11" t="str">
        <x:v>精确发布时间未核验</x:v>
      </x:c>
      <x:c r="M651" s="11" t="str">
        <x:v>截止日前日期，盘中时分未核</x:v>
      </x:c>
    </x:row>
    <x:row r="652" ht="23" customHeight="1">
      <x:c r="A652" s="11" t="str">
        <x:v>I043</x:v>
      </x:c>
      <x:c r="B652" s="11" t="str">
        <x:v>02196.HK</x:v>
      </x:c>
      <x:c r="C652" s="11" t="str">
        <x:v>receivables</x:v>
      </x:c>
      <x:c r="D652" s="39" t="n">
        <x:v>9639.86240278</x:v>
      </x:c>
      <x:c r="E652" s="11" t="str">
        <x:v>CNY</x:v>
      </x:c>
      <x:c r="F652" s="11" t="str">
        <x:v>million</x:v>
      </x:c>
      <x:c r="G652" s="11" t="str">
        <x:v>2026H1</x:v>
      </x:c>
      <x:c r="H652" s="11" t="str">
        <x:v>2026-08-26</x:v>
      </x:c>
      <x:c r="I652" s="11" t="str">
        <x:v>https://static.cninfo.com.cn/finalpage/2026-08-26/1225505529.PDF</x:v>
      </x:c>
      <x:c r="J652" s="11" t="str"/>
      <x:c r="K652" s="11" t="str">
        <x:v>待核</x:v>
      </x:c>
      <x:c r="L652" s="11" t="str">
        <x:v>精确发布时间未核验</x:v>
      </x:c>
      <x:c r="M652" s="11" t="str">
        <x:v>截止日前日期，盘中时分未核</x:v>
      </x:c>
    </x:row>
    <x:row r="653" ht="23" customHeight="1">
      <x:c r="A653" s="11" t="str">
        <x:v>I043</x:v>
      </x:c>
      <x:c r="B653" s="11" t="str">
        <x:v>02196.HK</x:v>
      </x:c>
      <x:c r="C653" s="11" t="str">
        <x:v>inventory</x:v>
      </x:c>
      <x:c r="D653" s="39" t="n">
        <x:v>5969.03294808</x:v>
      </x:c>
      <x:c r="E653" s="11" t="str">
        <x:v>CNY</x:v>
      </x:c>
      <x:c r="F653" s="11" t="str">
        <x:v>million</x:v>
      </x:c>
      <x:c r="G653" s="11" t="str">
        <x:v>2026H1</x:v>
      </x:c>
      <x:c r="H653" s="11" t="str">
        <x:v>2026-08-26</x:v>
      </x:c>
      <x:c r="I653" s="11" t="str">
        <x:v>https://static.cninfo.com.cn/finalpage/2026-08-26/1225505529.PDF</x:v>
      </x:c>
      <x:c r="J653" s="11" t="str"/>
      <x:c r="K653" s="11" t="str">
        <x:v>待核</x:v>
      </x:c>
      <x:c r="L653" s="11" t="str">
        <x:v>精确发布时间未核验</x:v>
      </x:c>
      <x:c r="M653" s="11" t="str">
        <x:v>截止日前日期，盘中时分未核</x:v>
      </x:c>
    </x:row>
    <x:row r="654" ht="23" customHeight="1">
      <x:c r="A654" s="11" t="str">
        <x:v>I043</x:v>
      </x:c>
      <x:c r="B654" s="11" t="str">
        <x:v>02196.HK</x:v>
      </x:c>
      <x:c r="C654" s="11" t="str">
        <x:v>parentCashBank</x:v>
      </x:c>
      <x:c r="D654" s="39" t="n">
        <x:v>1241.25779768</x:v>
      </x:c>
      <x:c r="E654" s="11" t="str">
        <x:v>CNY</x:v>
      </x:c>
      <x:c r="F654" s="11" t="str">
        <x:v>million</x:v>
      </x:c>
      <x:c r="G654" s="11" t="str">
        <x:v>2026H1</x:v>
      </x:c>
      <x:c r="H654" s="11" t="str">
        <x:v>2026-08-26</x:v>
      </x:c>
      <x:c r="I654" s="11" t="str">
        <x:v>https://static.cninfo.com.cn/finalpage/2026-08-26/1225505529.PDF</x:v>
      </x:c>
      <x:c r="J654" s="11" t="str"/>
      <x:c r="K654" s="11" t="str">
        <x:v>待核</x:v>
      </x:c>
      <x:c r="L654" s="11" t="str">
        <x:v>精确发布时间未核验</x:v>
      </x:c>
      <x:c r="M654" s="11" t="str">
        <x:v>截止日前日期，盘中时分未核</x:v>
      </x:c>
    </x:row>
    <x:row r="655" ht="23" customHeight="1">
      <x:c r="A655" s="11" t="str">
        <x:v>I043</x:v>
      </x:c>
      <x:c r="B655" s="11" t="str">
        <x:v>02196.HK</x:v>
      </x:c>
      <x:c r="C655" s="11" t="str">
        <x:v>parentProfit</x:v>
      </x:c>
      <x:c r="D655" s="39" t="n">
        <x:v>782.16311628</x:v>
      </x:c>
      <x:c r="E655" s="11" t="str">
        <x:v>CNY</x:v>
      </x:c>
      <x:c r="F655" s="11" t="str">
        <x:v>million</x:v>
      </x:c>
      <x:c r="G655" s="11" t="str">
        <x:v>2026H1</x:v>
      </x:c>
      <x:c r="H655" s="11" t="str">
        <x:v>2026-08-26</x:v>
      </x:c>
      <x:c r="I655" s="11" t="str">
        <x:v>https://static.cninfo.com.cn/finalpage/2026-08-26/1225505529.PDF</x:v>
      </x:c>
      <x:c r="J655" s="11" t="str"/>
      <x:c r="K655" s="11" t="str">
        <x:v>待核</x:v>
      </x:c>
      <x:c r="L655" s="11" t="str">
        <x:v>精确发布时间未核验</x:v>
      </x:c>
      <x:c r="M655" s="11" t="str">
        <x:v>截止日前日期，盘中时分未核</x:v>
      </x:c>
    </x:row>
    <x:row r="656" ht="23" customHeight="1">
      <x:c r="A656" s="11" t="str">
        <x:v>I043</x:v>
      </x:c>
      <x:c r="B656" s="11" t="str">
        <x:v>02196.HK</x:v>
      </x:c>
      <x:c r="C656" s="11" t="str">
        <x:v>capitalCommitment</x:v>
      </x:c>
      <x:c r="D656" s="39" t="n">
        <x:v>1823.48543229</x:v>
      </x:c>
      <x:c r="E656" s="11" t="str">
        <x:v>CNY</x:v>
      </x:c>
      <x:c r="F656" s="11" t="str">
        <x:v>million</x:v>
      </x:c>
      <x:c r="G656" s="11" t="str">
        <x:v>2026H1</x:v>
      </x:c>
      <x:c r="H656" s="11" t="str">
        <x:v>2026-08-26</x:v>
      </x:c>
      <x:c r="I656" s="11" t="str">
        <x:v>https://static.cninfo.com.cn/finalpage/2026-08-26/1225505529.PDF</x:v>
      </x:c>
      <x:c r="J656" s="11" t="str"/>
      <x:c r="K656" s="11" t="str">
        <x:v>待核</x:v>
      </x:c>
      <x:c r="L656" s="11" t="str">
        <x:v>精确发布时间未核验</x:v>
      </x:c>
      <x:c r="M656" s="11" t="str">
        <x:v>截止日前日期，盘中时分未核</x:v>
      </x:c>
    </x:row>
    <x:row r="657" ht="23" customHeight="1">
      <x:c r="A657" s="11" t="str">
        <x:v>I043</x:v>
      </x:c>
      <x:c r="B657" s="11" t="str">
        <x:v>02196.HK</x:v>
      </x:c>
      <x:c r="C657" s="11" t="str">
        <x:v>investmentCommitment</x:v>
      </x:c>
      <x:c r="D657" s="39" t="n">
        <x:v>1529.03331054</x:v>
      </x:c>
      <x:c r="E657" s="11" t="str">
        <x:v>CNY</x:v>
      </x:c>
      <x:c r="F657" s="11" t="str">
        <x:v>million</x:v>
      </x:c>
      <x:c r="G657" s="11" t="str">
        <x:v>2026H1</x:v>
      </x:c>
      <x:c r="H657" s="11" t="str">
        <x:v>2026-08-26</x:v>
      </x:c>
      <x:c r="I657" s="11" t="str">
        <x:v>https://static.cninfo.com.cn/finalpage/2026-08-26/1225505529.PDF</x:v>
      </x:c>
      <x:c r="J657" s="11" t="str"/>
      <x:c r="K657" s="11" t="str">
        <x:v>待核</x:v>
      </x:c>
      <x:c r="L657" s="11" t="str">
        <x:v>精确发布时间未核验</x:v>
      </x:c>
      <x:c r="M657" s="11" t="str">
        <x:v>截止日前日期，盘中时分未核</x:v>
      </x:c>
    </x:row>
    <x:row r="658" ht="23" customHeight="1">
      <x:c r="A658" s="11" t="str">
        <x:v>I043</x:v>
      </x:c>
      <x:c r="B658" s="11" t="str">
        <x:v>02196.HK</x:v>
      </x:c>
      <x:c r="C658" s="11" t="str">
        <x:v>HKLicenseRevenue</x:v>
      </x:c>
      <x:c r="D658" s="39" t="n">
        <x:v>621.233</x:v>
      </x:c>
      <x:c r="E658" s="11" t="str">
        <x:v>CNY</x:v>
      </x:c>
      <x:c r="F658" s="11" t="str">
        <x:v>million</x:v>
      </x:c>
      <x:c r="G658" s="11" t="str">
        <x:v>2026H1</x:v>
      </x:c>
      <x:c r="H658" s="11" t="str">
        <x:v>2026-08-26</x:v>
      </x:c>
      <x:c r="I658" s="11" t="str">
        <x:v>https://static.cninfo.com.cn/finalpage/2026-08-26/1225505529.PDF</x:v>
      </x:c>
      <x:c r="J658" s="11" t="str"/>
      <x:c r="K658" s="11" t="str">
        <x:v>待核</x:v>
      </x:c>
      <x:c r="L658" s="11" t="str">
        <x:v>精确发布时间未核验</x:v>
      </x:c>
      <x:c r="M658" s="11" t="str">
        <x:v>截止日前日期，盘中时分未核</x:v>
      </x:c>
    </x:row>
    <x:row r="659" ht="23" customHeight="1">
      <x:c r="A659" s="11" t="str">
        <x:v>I043</x:v>
      </x:c>
      <x:c r="B659" s="11" t="str">
        <x:v>02196.HK</x:v>
      </x:c>
      <x:c r="C659" s="11" t="str">
        <x:v>HKLicenseRevenuePrior</x:v>
      </x:c>
      <x:c r="D659" s="39" t="n">
        <x:v>62.825</x:v>
      </x:c>
      <x:c r="E659" s="11" t="str">
        <x:v>CNY</x:v>
      </x:c>
      <x:c r="F659" s="11" t="str">
        <x:v>million</x:v>
      </x:c>
      <x:c r="G659" s="11" t="str">
        <x:v>2026H1</x:v>
      </x:c>
      <x:c r="H659" s="11" t="str">
        <x:v>2026-08-26</x:v>
      </x:c>
      <x:c r="I659" s="11" t="str">
        <x:v>https://static.cninfo.com.cn/finalpage/2026-08-26/1225505529.PDF</x:v>
      </x:c>
      <x:c r="J659" s="11" t="str"/>
      <x:c r="K659" s="11" t="str">
        <x:v>待核</x:v>
      </x:c>
      <x:c r="L659" s="11" t="str">
        <x:v>精确发布时间未核验</x:v>
      </x:c>
      <x:c r="M659" s="11" t="str">
        <x:v>截止日前日期，盘中时分未核</x:v>
      </x:c>
    </x:row>
    <x:row r="660" ht="23" customHeight="1">
      <x:c r="A660" s="11" t="str">
        <x:v>I043</x:v>
      </x:c>
      <x:c r="B660" s="11" t="str">
        <x:v>02196.HK</x:v>
      </x:c>
      <x:c r="C660" s="11" t="str">
        <x:v>HKRevenueDifference</x:v>
      </x:c>
      <x:c r="D660" s="39" t="n">
        <x:v>65.451386</x:v>
      </x:c>
      <x:c r="E660" s="11" t="str">
        <x:v>CNY</x:v>
      </x:c>
      <x:c r="F660" s="11" t="str">
        <x:v>million</x:v>
      </x:c>
      <x:c r="G660" s="11" t="str">
        <x:v>2026H1</x:v>
      </x:c>
      <x:c r="H660" s="11" t="str">
        <x:v>2026-08-26</x:v>
      </x:c>
      <x:c r="I660" s="11" t="str">
        <x:v>https://static.cninfo.com.cn/finalpage/2026-08-26/1225505529.PDF</x:v>
      </x:c>
      <x:c r="J660" s="11" t="str"/>
      <x:c r="K660" s="11" t="str">
        <x:v>待核</x:v>
      </x:c>
      <x:c r="L660" s="11" t="str">
        <x:v>精确发布时间未核验</x:v>
      </x:c>
      <x:c r="M660" s="11" t="str">
        <x:v>截止日前日期，盘中时分未核</x:v>
      </x:c>
    </x:row>
    <x:row r="661" ht="23" customHeight="1">
      <x:c r="A661" s="11" t="str">
        <x:v>I035</x:v>
      </x:c>
      <x:c r="B661" s="11" t="str">
        <x:v>01548.HK</x:v>
      </x:c>
      <x:c r="C661" s="11" t="str">
        <x:v>revenue</x:v>
      </x:c>
      <x:c r="D661" s="39" t="n">
        <x:v>404.216</x:v>
      </x:c>
      <x:c r="E661" s="11" t="str">
        <x:v>USD</x:v>
      </x:c>
      <x:c r="F661" s="11" t="str">
        <x:v>million</x:v>
      </x:c>
      <x:c r="G661" s="11" t="str">
        <x:v>2026H1</x:v>
      </x:c>
      <x:c r="H661" s="11" t="str">
        <x:v>2026-09-16</x:v>
      </x:c>
      <x:c r="I661" s="11" t="str">
        <x:v>https://iis.aastocks.com/20260916/12333650-0.PDF</x:v>
      </x:c>
      <x:c r="J661" s="11" t="str">
        <x:v>首度公开日期 2026-08-16</x:v>
      </x:c>
      <x:c r="K661" s="11" t="str">
        <x:v>2026-08-16</x:v>
      </x:c>
      <x:c r="L661" s="11" t="str">
        <x:v>精确发布时间未核验</x:v>
      </x:c>
      <x:c r="M661" s="11" t="str">
        <x:v>截止日前日期，盘中时分未核</x:v>
      </x:c>
    </x:row>
    <x:row r="662" ht="23" customHeight="1">
      <x:c r="A662" s="11" t="str">
        <x:v>I035</x:v>
      </x:c>
      <x:c r="B662" s="11" t="str">
        <x:v>01548.HK</x:v>
      </x:c>
      <x:c r="C662" s="11" t="str">
        <x:v>previousReportedRevenue</x:v>
      </x:c>
      <x:c r="D662" s="39" t="n">
        <x:v>518.773</x:v>
      </x:c>
      <x:c r="E662" s="11" t="str">
        <x:v>USD</x:v>
      </x:c>
      <x:c r="F662" s="11" t="str">
        <x:v>million</x:v>
      </x:c>
      <x:c r="G662" s="11" t="str">
        <x:v>2026H1</x:v>
      </x:c>
      <x:c r="H662" s="11" t="str">
        <x:v>2026-09-16</x:v>
      </x:c>
      <x:c r="I662" s="11" t="str">
        <x:v>https://iis.aastocks.com/20260916/12333650-0.PDF</x:v>
      </x:c>
      <x:c r="J662" s="11" t="str">
        <x:v>首度公开日期 2026-08-16</x:v>
      </x:c>
      <x:c r="K662" s="11" t="str">
        <x:v>2026-08-16</x:v>
      </x:c>
      <x:c r="L662" s="11" t="str">
        <x:v>精确发布时间未核验</x:v>
      </x:c>
      <x:c r="M662" s="11" t="str">
        <x:v>截止日前日期，盘中时分未核</x:v>
      </x:c>
    </x:row>
    <x:row r="663" ht="23" customHeight="1">
      <x:c r="A663" s="11" t="str">
        <x:v>I035</x:v>
      </x:c>
      <x:c r="B663" s="11" t="str">
        <x:v>01548.HK</x:v>
      </x:c>
      <x:c r="C663" s="11" t="str">
        <x:v>previousUnderlyingRevenue</x:v>
      </x:c>
      <x:c r="D663" s="39" t="n">
        <x:v>317.413</x:v>
      </x:c>
      <x:c r="E663" s="11" t="str">
        <x:v>USD</x:v>
      </x:c>
      <x:c r="F663" s="11" t="str">
        <x:v>million</x:v>
      </x:c>
      <x:c r="G663" s="11" t="str">
        <x:v>2026H1</x:v>
      </x:c>
      <x:c r="H663" s="11" t="str">
        <x:v>2026-09-16</x:v>
      </x:c>
      <x:c r="I663" s="11" t="str">
        <x:v>https://iis.aastocks.com/20260916/12333650-0.PDF</x:v>
      </x:c>
      <x:c r="J663" s="11" t="str">
        <x:v>首度公开日期 2026-08-16</x:v>
      </x:c>
      <x:c r="K663" s="11" t="str">
        <x:v>2026-08-16</x:v>
      </x:c>
      <x:c r="L663" s="11" t="str">
        <x:v>精确发布时间未核验</x:v>
      </x:c>
      <x:c r="M663" s="11" t="str">
        <x:v>截止日前日期，盘中时分未核</x:v>
      </x:c>
    </x:row>
    <x:row r="664" ht="23" customHeight="1">
      <x:c r="A664" s="11" t="str">
        <x:v>I035</x:v>
      </x:c>
      <x:c r="B664" s="11" t="str">
        <x:v>01548.HK</x:v>
      </x:c>
      <x:c r="C664" s="11" t="str">
        <x:v>grossProfit</x:v>
      </x:c>
      <x:c r="D664" s="39" t="n">
        <x:v>206.711</x:v>
      </x:c>
      <x:c r="E664" s="11" t="str">
        <x:v>USD</x:v>
      </x:c>
      <x:c r="F664" s="11" t="str">
        <x:v>million</x:v>
      </x:c>
      <x:c r="G664" s="11" t="str">
        <x:v>2026H1</x:v>
      </x:c>
      <x:c r="H664" s="11" t="str">
        <x:v>2026-09-16</x:v>
      </x:c>
      <x:c r="I664" s="11" t="str">
        <x:v>https://iis.aastocks.com/20260916/12333650-0.PDF</x:v>
      </x:c>
      <x:c r="J664" s="11" t="str">
        <x:v>首度公开日期 2026-08-16</x:v>
      </x:c>
      <x:c r="K664" s="11" t="str">
        <x:v>2026-08-16</x:v>
      </x:c>
      <x:c r="L664" s="11" t="str">
        <x:v>精确发布时间未核验</x:v>
      </x:c>
      <x:c r="M664" s="11" t="str">
        <x:v>截止日前日期，盘中时分未核</x:v>
      </x:c>
    </x:row>
    <x:row r="665" ht="23" customHeight="1">
      <x:c r="A665" s="11" t="str">
        <x:v>I035</x:v>
      </x:c>
      <x:c r="B665" s="11" t="str">
        <x:v>01548.HK</x:v>
      </x:c>
      <x:c r="C665" s="11" t="str">
        <x:v>selling</x:v>
      </x:c>
      <x:c r="D665" s="39" t="n">
        <x:v>54.013</x:v>
      </x:c>
      <x:c r="E665" s="11" t="str">
        <x:v>USD</x:v>
      </x:c>
      <x:c r="F665" s="11" t="str">
        <x:v>million</x:v>
      </x:c>
      <x:c r="G665" s="11" t="str">
        <x:v>2026H1</x:v>
      </x:c>
      <x:c r="H665" s="11" t="str">
        <x:v>2026-09-16</x:v>
      </x:c>
      <x:c r="I665" s="11" t="str">
        <x:v>https://iis.aastocks.com/20260916/12333650-0.PDF</x:v>
      </x:c>
      <x:c r="J665" s="11" t="str">
        <x:v>首度公开日期 2026-08-16</x:v>
      </x:c>
      <x:c r="K665" s="11" t="str">
        <x:v>2026-08-16</x:v>
      </x:c>
      <x:c r="L665" s="11" t="str">
        <x:v>精确发布时间未核验</x:v>
      </x:c>
      <x:c r="M665" s="11" t="str">
        <x:v>截止日前日期，盘中时分未核</x:v>
      </x:c>
    </x:row>
    <x:row r="666" ht="23" customHeight="1">
      <x:c r="A666" s="11" t="str">
        <x:v>I035</x:v>
      </x:c>
      <x:c r="B666" s="11" t="str">
        <x:v>01548.HK</x:v>
      </x:c>
      <x:c r="C666" s="11" t="str">
        <x:v>administrative</x:v>
      </x:c>
      <x:c r="D666" s="39" t="n">
        <x:v>63.089</x:v>
      </x:c>
      <x:c r="E666" s="11" t="str">
        <x:v>USD</x:v>
      </x:c>
      <x:c r="F666" s="11" t="str">
        <x:v>million</x:v>
      </x:c>
      <x:c r="G666" s="11" t="str">
        <x:v>2026H1</x:v>
      </x:c>
      <x:c r="H666" s="11" t="str">
        <x:v>2026-09-16</x:v>
      </x:c>
      <x:c r="I666" s="11" t="str">
        <x:v>https://iis.aastocks.com/20260916/12333650-0.PDF</x:v>
      </x:c>
      <x:c r="J666" s="11" t="str">
        <x:v>首度公开日期 2026-08-16</x:v>
      </x:c>
      <x:c r="K666" s="11" t="str">
        <x:v>2026-08-16</x:v>
      </x:c>
      <x:c r="L666" s="11" t="str">
        <x:v>精确发布时间未核验</x:v>
      </x:c>
      <x:c r="M666" s="11" t="str">
        <x:v>截止日前日期，盘中时分未核</x:v>
      </x:c>
    </x:row>
    <x:row r="667" ht="23" customHeight="1">
      <x:c r="A667" s="11" t="str">
        <x:v>I035</x:v>
      </x:c>
      <x:c r="B667" s="11" t="str">
        <x:v>01548.HK</x:v>
      </x:c>
      <x:c r="C667" s="11" t="str">
        <x:v>RAndD</x:v>
      </x:c>
      <x:c r="D667" s="39" t="n">
        <x:v>39.442</x:v>
      </x:c>
      <x:c r="E667" s="11" t="str">
        <x:v>USD</x:v>
      </x:c>
      <x:c r="F667" s="11" t="str">
        <x:v>million</x:v>
      </x:c>
      <x:c r="G667" s="11" t="str">
        <x:v>2026H1</x:v>
      </x:c>
      <x:c r="H667" s="11" t="str">
        <x:v>2026-09-16</x:v>
      </x:c>
      <x:c r="I667" s="11" t="str">
        <x:v>https://iis.aastocks.com/20260916/12333650-0.PDF</x:v>
      </x:c>
      <x:c r="J667" s="11" t="str">
        <x:v>首度公开日期 2026-08-16</x:v>
      </x:c>
      <x:c r="K667" s="11" t="str">
        <x:v>2026-08-16</x:v>
      </x:c>
      <x:c r="L667" s="11" t="str">
        <x:v>精确发布时间未核验</x:v>
      </x:c>
      <x:c r="M667" s="11" t="str">
        <x:v>截止日前日期，盘中时分未核</x:v>
      </x:c>
    </x:row>
    <x:row r="668" ht="23" customHeight="1">
      <x:c r="A668" s="11" t="str">
        <x:v>I035</x:v>
      </x:c>
      <x:c r="B668" s="11" t="str">
        <x:v>01548.HK</x:v>
      </x:c>
      <x:c r="C668" s="11" t="str">
        <x:v>normalOperatingBeforeOther</x:v>
      </x:c>
      <x:c r="D668" s="39" t="n">
        <x:v>50.167</x:v>
      </x:c>
      <x:c r="E668" s="11" t="str">
        <x:v>USD</x:v>
      </x:c>
      <x:c r="F668" s="11" t="str">
        <x:v>million</x:v>
      </x:c>
      <x:c r="G668" s="11" t="str">
        <x:v>2026H1</x:v>
      </x:c>
      <x:c r="H668" s="11" t="str">
        <x:v>2026-09-16</x:v>
      </x:c>
      <x:c r="I668" s="11" t="str">
        <x:v>https://iis.aastocks.com/20260916/12333650-0.PDF</x:v>
      </x:c>
      <x:c r="J668" s="11" t="str">
        <x:v>首度公开日期 2026-08-16</x:v>
      </x:c>
      <x:c r="K668" s="11" t="str">
        <x:v>2026-08-16</x:v>
      </x:c>
      <x:c r="L668" s="11" t="str">
        <x:v>精确发布时间未核验</x:v>
      </x:c>
      <x:c r="M668" s="11" t="str">
        <x:v>截止日前日期，盘中时分未核</x:v>
      </x:c>
    </x:row>
    <x:row r="669" ht="23" customHeight="1">
      <x:c r="A669" s="11" t="str">
        <x:v>I035</x:v>
      </x:c>
      <x:c r="B669" s="11" t="str">
        <x:v>01548.HK</x:v>
      </x:c>
      <x:c r="C669" s="11" t="str">
        <x:v>groupNetLoss</x:v>
      </x:c>
      <x:c r="D669" s="39" t="n">
        <x:v>-129.344</x:v>
      </x:c>
      <x:c r="E669" s="11" t="str">
        <x:v>USD</x:v>
      </x:c>
      <x:c r="F669" s="11" t="str">
        <x:v>million</x:v>
      </x:c>
      <x:c r="G669" s="11" t="str">
        <x:v>2026H1</x:v>
      </x:c>
      <x:c r="H669" s="11" t="str">
        <x:v>2026-09-16</x:v>
      </x:c>
      <x:c r="I669" s="11" t="str">
        <x:v>https://iis.aastocks.com/20260916/12333650-0.PDF</x:v>
      </x:c>
      <x:c r="J669" s="11" t="str">
        <x:v>首度公开日期 2026-08-16</x:v>
      </x:c>
      <x:c r="K669" s="11" t="str">
        <x:v>2026-08-16</x:v>
      </x:c>
      <x:c r="L669" s="11" t="str">
        <x:v>精确发布时间未核验</x:v>
      </x:c>
      <x:c r="M669" s="11" t="str">
        <x:v>截止日前日期，盘中时分未核</x:v>
      </x:c>
    </x:row>
    <x:row r="670" ht="23" customHeight="1">
      <x:c r="A670" s="11" t="str">
        <x:v>I035</x:v>
      </x:c>
      <x:c r="B670" s="11" t="str">
        <x:v>01548.HK</x:v>
      </x:c>
      <x:c r="C670" s="11" t="str">
        <x:v>parentNetLoss</x:v>
      </x:c>
      <x:c r="D670" s="39" t="n">
        <x:v>-129.343</x:v>
      </x:c>
      <x:c r="E670" s="11" t="str">
        <x:v>USD</x:v>
      </x:c>
      <x:c r="F670" s="11" t="str">
        <x:v>million</x:v>
      </x:c>
      <x:c r="G670" s="11" t="str">
        <x:v>2026H1</x:v>
      </x:c>
      <x:c r="H670" s="11" t="str">
        <x:v>2026-09-16</x:v>
      </x:c>
      <x:c r="I670" s="11" t="str">
        <x:v>https://iis.aastocks.com/20260916/12333650-0.PDF</x:v>
      </x:c>
      <x:c r="J670" s="11" t="str">
        <x:v>首度公开日期 2026-08-16</x:v>
      </x:c>
      <x:c r="K670" s="11" t="str">
        <x:v>2026-08-16</x:v>
      </x:c>
      <x:c r="L670" s="11" t="str">
        <x:v>精确发布时间未核验</x:v>
      </x:c>
      <x:c r="M670" s="11" t="str">
        <x:v>截止日前日期，盘中时分未核</x:v>
      </x:c>
    </x:row>
    <x:row r="671" ht="23" customHeight="1">
      <x:c r="A671" s="11" t="str">
        <x:v>I035</x:v>
      </x:c>
      <x:c r="B671" s="11" t="str">
        <x:v>01548.HK</x:v>
      </x:c>
      <x:c r="C671" s="11" t="str">
        <x:v>coreNetProfit</x:v>
      </x:c>
      <x:c r="D671" s="39" t="n">
        <x:v>25.557</x:v>
      </x:c>
      <x:c r="E671" s="11" t="str">
        <x:v>USD</x:v>
      </x:c>
      <x:c r="F671" s="11" t="str">
        <x:v>million</x:v>
      </x:c>
      <x:c r="G671" s="11" t="str">
        <x:v>2026H1</x:v>
      </x:c>
      <x:c r="H671" s="11" t="str">
        <x:v>2026-09-16</x:v>
      </x:c>
      <x:c r="I671" s="11" t="str">
        <x:v>https://iis.aastocks.com/20260916/12333650-0.PDF</x:v>
      </x:c>
      <x:c r="J671" s="11" t="str">
        <x:v>首度公开日期 2026-08-16</x:v>
      </x:c>
      <x:c r="K671" s="11" t="str">
        <x:v>2026-08-16</x:v>
      </x:c>
      <x:c r="L671" s="11" t="str">
        <x:v>精确发布时间未核验</x:v>
      </x:c>
      <x:c r="M671" s="11" t="str">
        <x:v>截止日前日期，盘中时分未核</x:v>
      </x:c>
    </x:row>
    <x:row r="672" ht="23" customHeight="1">
      <x:c r="A672" s="11" t="str">
        <x:v>I035</x:v>
      </x:c>
      <x:c r="B672" s="11" t="str">
        <x:v>01548.HK</x:v>
      </x:c>
      <x:c r="C672" s="11" t="str">
        <x:v>adjustedNetProfit</x:v>
      </x:c>
      <x:c r="D672" s="39" t="n">
        <x:v>62.523</x:v>
      </x:c>
      <x:c r="E672" s="11" t="str">
        <x:v>USD</x:v>
      </x:c>
      <x:c r="F672" s="11" t="str">
        <x:v>million</x:v>
      </x:c>
      <x:c r="G672" s="11" t="str">
        <x:v>2026H1</x:v>
      </x:c>
      <x:c r="H672" s="11" t="str">
        <x:v>2026-09-16</x:v>
      </x:c>
      <x:c r="I672" s="11" t="str">
        <x:v>https://iis.aastocks.com/20260916/12333650-0.PDF</x:v>
      </x:c>
      <x:c r="J672" s="11" t="str">
        <x:v>首度公开日期 2026-08-16</x:v>
      </x:c>
      <x:c r="K672" s="11" t="str">
        <x:v>2026-08-16</x:v>
      </x:c>
      <x:c r="L672" s="11" t="str">
        <x:v>精确发布时间未核验</x:v>
      </x:c>
      <x:c r="M672" s="11" t="str">
        <x:v>截止日前日期，盘中时分未核</x:v>
      </x:c>
    </x:row>
    <x:row r="673" ht="23" customHeight="1">
      <x:c r="A673" s="11" t="str">
        <x:v>I035</x:v>
      </x:c>
      <x:c r="B673" s="11" t="str">
        <x:v>01548.HK</x:v>
      </x:c>
      <x:c r="C673" s="11" t="str">
        <x:v>legendOwnBookContribution</x:v>
      </x:c>
      <x:c r="D673" s="39" t="n">
        <x:v>-9.945</x:v>
      </x:c>
      <x:c r="E673" s="11" t="str">
        <x:v>USD</x:v>
      </x:c>
      <x:c r="F673" s="11" t="str">
        <x:v>million</x:v>
      </x:c>
      <x:c r="G673" s="11" t="str">
        <x:v>2026H1</x:v>
      </x:c>
      <x:c r="H673" s="11" t="str">
        <x:v>2026-09-16</x:v>
      </x:c>
      <x:c r="I673" s="11" t="str">
        <x:v>https://iis.aastocks.com/20260916/12333650-0.PDF</x:v>
      </x:c>
      <x:c r="J673" s="11" t="str">
        <x:v>首度公开日期 2026-08-16</x:v>
      </x:c>
      <x:c r="K673" s="11" t="str">
        <x:v>2026-08-16</x:v>
      </x:c>
      <x:c r="L673" s="11" t="str">
        <x:v>精确发布时间未核验</x:v>
      </x:c>
      <x:c r="M673" s="11" t="str">
        <x:v>截止日前日期，盘中时分未核</x:v>
      </x:c>
    </x:row>
    <x:row r="674" ht="23" customHeight="1">
      <x:c r="A674" s="11" t="str">
        <x:v>I035</x:v>
      </x:c>
      <x:c r="B674" s="11" t="str">
        <x:v>01548.HK</x:v>
      </x:c>
      <x:c r="C674" s="11" t="str">
        <x:v>legendNoncashEffect</x:v>
      </x:c>
      <x:c r="D674" s="39" t="n">
        <x:v>-144.956</x:v>
      </x:c>
      <x:c r="E674" s="11" t="str">
        <x:v>USD</x:v>
      </x:c>
      <x:c r="F674" s="11" t="str">
        <x:v>million</x:v>
      </x:c>
      <x:c r="G674" s="11" t="str">
        <x:v>2026H1</x:v>
      </x:c>
      <x:c r="H674" s="11" t="str">
        <x:v>2026-09-16</x:v>
      </x:c>
      <x:c r="I674" s="11" t="str">
        <x:v>https://iis.aastocks.com/20260916/12333650-0.PDF</x:v>
      </x:c>
      <x:c r="J674" s="11" t="str">
        <x:v>首度公开日期 2026-08-16</x:v>
      </x:c>
      <x:c r="K674" s="11" t="str">
        <x:v>2026-08-16</x:v>
      </x:c>
      <x:c r="L674" s="11" t="str">
        <x:v>精确发布时间未核验</x:v>
      </x:c>
      <x:c r="M674" s="11" t="str">
        <x:v>截止日前日期，盘中时分未核</x:v>
      </x:c>
    </x:row>
    <x:row r="675" ht="23" customHeight="1">
      <x:c r="A675" s="11" t="str">
        <x:v>I035</x:v>
      </x:c>
      <x:c r="B675" s="11" t="str">
        <x:v>01548.HK</x:v>
      </x:c>
      <x:c r="C675" s="11" t="str">
        <x:v>legendPPAContribution</x:v>
      </x:c>
      <x:c r="D675" s="39" t="n">
        <x:v>-88.254</x:v>
      </x:c>
      <x:c r="E675" s="11" t="str">
        <x:v>USD</x:v>
      </x:c>
      <x:c r="F675" s="11" t="str">
        <x:v>million</x:v>
      </x:c>
      <x:c r="G675" s="11" t="str">
        <x:v>2026H1</x:v>
      </x:c>
      <x:c r="H675" s="11" t="str">
        <x:v>2026-09-16</x:v>
      </x:c>
      <x:c r="I675" s="11" t="str">
        <x:v>https://iis.aastocks.com/20260916/12333650-0.PDF</x:v>
      </x:c>
      <x:c r="J675" s="11" t="str">
        <x:v>首度公开日期 2026-08-16</x:v>
      </x:c>
      <x:c r="K675" s="11" t="str">
        <x:v>2026-08-16</x:v>
      </x:c>
      <x:c r="L675" s="11" t="str">
        <x:v>精确发布时间未核验</x:v>
      </x:c>
      <x:c r="M675" s="11" t="str">
        <x:v>截止日前日期，盘中时分未核</x:v>
      </x:c>
    </x:row>
    <x:row r="676" ht="23" customHeight="1">
      <x:c r="A676" s="11" t="str">
        <x:v>I035</x:v>
      </x:c>
      <x:c r="B676" s="11" t="str">
        <x:v>01548.HK</x:v>
      </x:c>
      <x:c r="C676" s="11" t="str">
        <x:v>legendDeemedDisposal</x:v>
      </x:c>
      <x:c r="D676" s="39" t="n">
        <x:v>-56.702</x:v>
      </x:c>
      <x:c r="E676" s="11" t="str">
        <x:v>USD</x:v>
      </x:c>
      <x:c r="F676" s="11" t="str">
        <x:v>million</x:v>
      </x:c>
      <x:c r="G676" s="11" t="str">
        <x:v>2026H1</x:v>
      </x:c>
      <x:c r="H676" s="11" t="str">
        <x:v>2026-09-16</x:v>
      </x:c>
      <x:c r="I676" s="11" t="str">
        <x:v>https://iis.aastocks.com/20260916/12333650-0.PDF</x:v>
      </x:c>
      <x:c r="J676" s="11" t="str">
        <x:v>首度公开日期 2026-08-16</x:v>
      </x:c>
      <x:c r="K676" s="11" t="str">
        <x:v>2026-08-16</x:v>
      </x:c>
      <x:c r="L676" s="11" t="str">
        <x:v>精确发布时间未核验</x:v>
      </x:c>
      <x:c r="M676" s="11" t="str">
        <x:v>截止日前日期，盘中时分未核</x:v>
      </x:c>
    </x:row>
    <x:row r="677" ht="23" customHeight="1">
      <x:c r="A677" s="11" t="str">
        <x:v>I035</x:v>
      </x:c>
      <x:c r="B677" s="11" t="str">
        <x:v>01548.HK</x:v>
      </x:c>
      <x:c r="C677" s="11" t="str">
        <x:v>OCF</x:v>
      </x:c>
      <x:c r="D677" s="39" t="n">
        <x:v>46.669</x:v>
      </x:c>
      <x:c r="E677" s="11" t="str">
        <x:v>USD</x:v>
      </x:c>
      <x:c r="F677" s="11" t="str">
        <x:v>million</x:v>
      </x:c>
      <x:c r="G677" s="11" t="str">
        <x:v>2026H1</x:v>
      </x:c>
      <x:c r="H677" s="11" t="str">
        <x:v>2026-09-16</x:v>
      </x:c>
      <x:c r="I677" s="11" t="str">
        <x:v>https://iis.aastocks.com/20260916/12333650-0.PDF</x:v>
      </x:c>
      <x:c r="J677" s="11" t="str">
        <x:v>首度公开日期 2026-08-16</x:v>
      </x:c>
      <x:c r="K677" s="11" t="str">
        <x:v>2026-08-16</x:v>
      </x:c>
      <x:c r="L677" s="11" t="str">
        <x:v>精确发布时间未核验</x:v>
      </x:c>
      <x:c r="M677" s="11" t="str">
        <x:v>截止日前日期，盘中时分未核</x:v>
      </x:c>
    </x:row>
    <x:row r="678" ht="23" customHeight="1">
      <x:c r="A678" s="11" t="str">
        <x:v>I035</x:v>
      </x:c>
      <x:c r="B678" s="11" t="str">
        <x:v>01548.HK</x:v>
      </x:c>
      <x:c r="C678" s="11" t="str">
        <x:v>PPECash</x:v>
      </x:c>
      <x:c r="D678" s="39" t="n">
        <x:v>47.655</x:v>
      </x:c>
      <x:c r="E678" s="11" t="str">
        <x:v>USD</x:v>
      </x:c>
      <x:c r="F678" s="11" t="str">
        <x:v>million</x:v>
      </x:c>
      <x:c r="G678" s="11" t="str">
        <x:v>2026H1</x:v>
      </x:c>
      <x:c r="H678" s="11" t="str">
        <x:v>2026-09-16</x:v>
      </x:c>
      <x:c r="I678" s="11" t="str">
        <x:v>https://iis.aastocks.com/20260916/12333650-0.PDF</x:v>
      </x:c>
      <x:c r="J678" s="11" t="str">
        <x:v>首度公开日期 2026-08-16</x:v>
      </x:c>
      <x:c r="K678" s="11" t="str">
        <x:v>2026-08-16</x:v>
      </x:c>
      <x:c r="L678" s="11" t="str">
        <x:v>精确发布时间未核验</x:v>
      </x:c>
      <x:c r="M678" s="11" t="str">
        <x:v>截止日前日期，盘中时分未核</x:v>
      </x:c>
    </x:row>
    <x:row r="679" ht="23" customHeight="1">
      <x:c r="A679" s="11" t="str">
        <x:v>I035</x:v>
      </x:c>
      <x:c r="B679" s="11" t="str">
        <x:v>01548.HK</x:v>
      </x:c>
      <x:c r="C679" s="11" t="str">
        <x:v>intangibleCash</x:v>
      </x:c>
      <x:c r="D679" s="39" t="n">
        <x:v>0.765</x:v>
      </x:c>
      <x:c r="E679" s="11" t="str">
        <x:v>USD</x:v>
      </x:c>
      <x:c r="F679" s="11" t="str">
        <x:v>million</x:v>
      </x:c>
      <x:c r="G679" s="11" t="str">
        <x:v>2026H1</x:v>
      </x:c>
      <x:c r="H679" s="11" t="str">
        <x:v>2026-09-16</x:v>
      </x:c>
      <x:c r="I679" s="11" t="str">
        <x:v>https://iis.aastocks.com/20260916/12333650-0.PDF</x:v>
      </x:c>
      <x:c r="J679" s="11" t="str">
        <x:v>首度公开日期 2026-08-16</x:v>
      </x:c>
      <x:c r="K679" s="11" t="str">
        <x:v>2026-08-16</x:v>
      </x:c>
      <x:c r="L679" s="11" t="str">
        <x:v>精确发布时间未核验</x:v>
      </x:c>
      <x:c r="M679" s="11" t="str">
        <x:v>截止日前日期，盘中时分未核</x:v>
      </x:c>
    </x:row>
    <x:row r="680" ht="23" customHeight="1">
      <x:c r="A680" s="11" t="str">
        <x:v>I035</x:v>
      </x:c>
      <x:c r="B680" s="11" t="str">
        <x:v>01548.HK</x:v>
      </x:c>
      <x:c r="C680" s="11" t="str">
        <x:v>FCF_PPEandIntangible</x:v>
      </x:c>
      <x:c r="D680" s="39" t="n">
        <x:v>-1.751</x:v>
      </x:c>
      <x:c r="E680" s="11" t="str">
        <x:v>USD</x:v>
      </x:c>
      <x:c r="F680" s="11" t="str">
        <x:v>million</x:v>
      </x:c>
      <x:c r="G680" s="11" t="str">
        <x:v>2026H1</x:v>
      </x:c>
      <x:c r="H680" s="11" t="str">
        <x:v>2026-09-16</x:v>
      </x:c>
      <x:c r="I680" s="11" t="str">
        <x:v>https://iis.aastocks.com/20260916/12333650-0.PDF</x:v>
      </x:c>
      <x:c r="J680" s="11" t="str">
        <x:v>首度公开日期 2026-08-16</x:v>
      </x:c>
      <x:c r="K680" s="11" t="str">
        <x:v>2026-08-16</x:v>
      </x:c>
      <x:c r="L680" s="11" t="str">
        <x:v>精确发布时间未核验</x:v>
      </x:c>
      <x:c r="M680" s="11" t="str">
        <x:v>截止日前日期，盘中时分未核</x:v>
      </x:c>
    </x:row>
    <x:row r="681" ht="23" customHeight="1">
      <x:c r="A681" s="11" t="str">
        <x:v>I035</x:v>
      </x:c>
      <x:c r="B681" s="11" t="str">
        <x:v>01548.HK</x:v>
      </x:c>
      <x:c r="C681" s="11" t="str">
        <x:v>financialCost</x:v>
      </x:c>
      <x:c r="D681" s="39" t="n">
        <x:v>6.391</x:v>
      </x:c>
      <x:c r="E681" s="11" t="str">
        <x:v>USD</x:v>
      </x:c>
      <x:c r="F681" s="11" t="str">
        <x:v>million</x:v>
      </x:c>
      <x:c r="G681" s="11" t="str">
        <x:v>2026H1</x:v>
      </x:c>
      <x:c r="H681" s="11" t="str">
        <x:v>2026-09-16</x:v>
      </x:c>
      <x:c r="I681" s="11" t="str">
        <x:v>https://iis.aastocks.com/20260916/12333650-0.PDF</x:v>
      </x:c>
      <x:c r="J681" s="11" t="str">
        <x:v>首度公开日期 2026-08-16</x:v>
      </x:c>
      <x:c r="K681" s="11" t="str">
        <x:v>2026-08-16</x:v>
      </x:c>
      <x:c r="L681" s="11" t="str">
        <x:v>精确发布时间未核验</x:v>
      </x:c>
      <x:c r="M681" s="11" t="str">
        <x:v>截止日前日期，盘中时分未核</x:v>
      </x:c>
    </x:row>
    <x:row r="682" ht="23" customHeight="1">
      <x:c r="A682" s="11" t="str">
        <x:v>I035</x:v>
      </x:c>
      <x:c r="B682" s="11" t="str">
        <x:v>01548.HK</x:v>
      </x:c>
      <x:c r="C682" s="11" t="str">
        <x:v>preferredFvLoss</x:v>
      </x:c>
      <x:c r="D682" s="39" t="n">
        <x:v>7.205</x:v>
      </x:c>
      <x:c r="E682" s="11" t="str">
        <x:v>USD</x:v>
      </x:c>
      <x:c r="F682" s="11" t="str">
        <x:v>million</x:v>
      </x:c>
      <x:c r="G682" s="11" t="str">
        <x:v>2026H1</x:v>
      </x:c>
      <x:c r="H682" s="11" t="str">
        <x:v>2026-09-16</x:v>
      </x:c>
      <x:c r="I682" s="11" t="str">
        <x:v>https://iis.aastocks.com/20260916/12333650-0.PDF</x:v>
      </x:c>
      <x:c r="J682" s="11" t="str">
        <x:v>首度公开日期 2026-08-16</x:v>
      </x:c>
      <x:c r="K682" s="11" t="str">
        <x:v>2026-08-16</x:v>
      </x:c>
      <x:c r="L682" s="11" t="str">
        <x:v>精确发布时间未核验</x:v>
      </x:c>
      <x:c r="M682" s="11" t="str">
        <x:v>截止日前日期，盘中时分未核</x:v>
      </x:c>
    </x:row>
    <x:row r="683" ht="23" customHeight="1">
      <x:c r="A683" s="11" t="str">
        <x:v>I035</x:v>
      </x:c>
      <x:c r="B683" s="11" t="str">
        <x:v>01548.HK</x:v>
      </x:c>
      <x:c r="C683" s="11" t="str">
        <x:v>shareComp</x:v>
      </x:c>
      <x:c r="D683" s="39" t="n">
        <x:v>10.414</x:v>
      </x:c>
      <x:c r="E683" s="11" t="str">
        <x:v>USD</x:v>
      </x:c>
      <x:c r="F683" s="11" t="str">
        <x:v>million</x:v>
      </x:c>
      <x:c r="G683" s="11" t="str">
        <x:v>2026H1</x:v>
      </x:c>
      <x:c r="H683" s="11" t="str">
        <x:v>2026-09-16</x:v>
      </x:c>
      <x:c r="I683" s="11" t="str">
        <x:v>https://iis.aastocks.com/20260916/12333650-0.PDF</x:v>
      </x:c>
      <x:c r="J683" s="11" t="str">
        <x:v>首度公开日期 2026-08-16</x:v>
      </x:c>
      <x:c r="K683" s="11" t="str">
        <x:v>2026-08-16</x:v>
      </x:c>
      <x:c r="L683" s="11" t="str">
        <x:v>精确发布时间未核验</x:v>
      </x:c>
      <x:c r="M683" s="11" t="str">
        <x:v>截止日前日期，盘中时分未核</x:v>
      </x:c>
    </x:row>
    <x:row r="684" ht="23" customHeight="1">
      <x:c r="A684" s="11" t="str">
        <x:v>I035</x:v>
      </x:c>
      <x:c r="B684" s="11" t="str">
        <x:v>01548.HK</x:v>
      </x:c>
      <x:c r="C684" s="11" t="str">
        <x:v>tax</x:v>
      </x:c>
      <x:c r="D684" s="39" t="n">
        <x:v>9.927</x:v>
      </x:c>
      <x:c r="E684" s="11" t="str">
        <x:v>USD</x:v>
      </x:c>
      <x:c r="F684" s="11" t="str">
        <x:v>million</x:v>
      </x:c>
      <x:c r="G684" s="11" t="str">
        <x:v>2026H1</x:v>
      </x:c>
      <x:c r="H684" s="11" t="str">
        <x:v>2026-09-16</x:v>
      </x:c>
      <x:c r="I684" s="11" t="str">
        <x:v>https://iis.aastocks.com/20260916/12333650-0.PDF</x:v>
      </x:c>
      <x:c r="J684" s="11" t="str">
        <x:v>首度公开日期 2026-08-16</x:v>
      </x:c>
      <x:c r="K684" s="11" t="str">
        <x:v>2026-08-16</x:v>
      </x:c>
      <x:c r="L684" s="11" t="str">
        <x:v>精确发布时间未核验</x:v>
      </x:c>
      <x:c r="M684" s="11" t="str">
        <x:v>截止日前日期，盘中时分未核</x:v>
      </x:c>
    </x:row>
    <x:row r="685" ht="23" customHeight="1">
      <x:c r="A685" s="11" t="str">
        <x:v>I035</x:v>
      </x:c>
      <x:c r="B685" s="11" t="str">
        <x:v>01548.HK</x:v>
      </x:c>
      <x:c r="C685" s="11" t="str">
        <x:v>cashEquivalents</x:v>
      </x:c>
      <x:c r="D685" s="39" t="n">
        <x:v>196.358</x:v>
      </x:c>
      <x:c r="E685" s="11" t="str">
        <x:v>USD</x:v>
      </x:c>
      <x:c r="F685" s="11" t="str">
        <x:v>million</x:v>
      </x:c>
      <x:c r="G685" s="11" t="str">
        <x:v>2026H1</x:v>
      </x:c>
      <x:c r="H685" s="11" t="str">
        <x:v>2026-09-16</x:v>
      </x:c>
      <x:c r="I685" s="11" t="str">
        <x:v>https://iis.aastocks.com/20260916/12333650-0.PDF</x:v>
      </x:c>
      <x:c r="J685" s="11" t="str">
        <x:v>首度公开日期 2026-08-16</x:v>
      </x:c>
      <x:c r="K685" s="11" t="str">
        <x:v>2026-08-16</x:v>
      </x:c>
      <x:c r="L685" s="11" t="str">
        <x:v>精确发布时间未核验</x:v>
      </x:c>
      <x:c r="M685" s="11" t="str">
        <x:v>截止日前日期，盘中时分未核</x:v>
      </x:c>
    </x:row>
    <x:row r="686" ht="23" customHeight="1">
      <x:c r="A686" s="11" t="str">
        <x:v>I035</x:v>
      </x:c>
      <x:c r="B686" s="11" t="str">
        <x:v>01548.HK</x:v>
      </x:c>
      <x:c r="C686" s="11" t="str">
        <x:v>termDeposits</x:v>
      </x:c>
      <x:c r="D686" s="39" t="n">
        <x:v>235.194</x:v>
      </x:c>
      <x:c r="E686" s="11" t="str">
        <x:v>USD</x:v>
      </x:c>
      <x:c r="F686" s="11" t="str">
        <x:v>million</x:v>
      </x:c>
      <x:c r="G686" s="11" t="str">
        <x:v>2026H1</x:v>
      </x:c>
      <x:c r="H686" s="11" t="str">
        <x:v>2026-09-16</x:v>
      </x:c>
      <x:c r="I686" s="11" t="str">
        <x:v>https://iis.aastocks.com/20260916/12333650-0.PDF</x:v>
      </x:c>
      <x:c r="J686" s="11" t="str">
        <x:v>首度公开日期 2026-08-16</x:v>
      </x:c>
      <x:c r="K686" s="11" t="str">
        <x:v>2026-08-16</x:v>
      </x:c>
      <x:c r="L686" s="11" t="str">
        <x:v>精确发布时间未核验</x:v>
      </x:c>
      <x:c r="M686" s="11" t="str">
        <x:v>截止日前日期，盘中时分未核</x:v>
      </x:c>
    </x:row>
    <x:row r="687" ht="23" customHeight="1">
      <x:c r="A687" s="11" t="str">
        <x:v>I035</x:v>
      </x:c>
      <x:c r="B687" s="11" t="str">
        <x:v>01548.HK</x:v>
      </x:c>
      <x:c r="C687" s="11" t="str">
        <x:v>structuredProducts</x:v>
      </x:c>
      <x:c r="D687" s="39" t="n">
        <x:v>378.691</x:v>
      </x:c>
      <x:c r="E687" s="11" t="str">
        <x:v>USD</x:v>
      </x:c>
      <x:c r="F687" s="11" t="str">
        <x:v>million</x:v>
      </x:c>
      <x:c r="G687" s="11" t="str">
        <x:v>2026H1</x:v>
      </x:c>
      <x:c r="H687" s="11" t="str">
        <x:v>2026-09-16</x:v>
      </x:c>
      <x:c r="I687" s="11" t="str">
        <x:v>https://iis.aastocks.com/20260916/12333650-0.PDF</x:v>
      </x:c>
      <x:c r="J687" s="11" t="str">
        <x:v>首度公开日期 2026-08-16</x:v>
      </x:c>
      <x:c r="K687" s="11" t="str">
        <x:v>2026-08-16</x:v>
      </x:c>
      <x:c r="L687" s="11" t="str">
        <x:v>精确发布时间未核验</x:v>
      </x:c>
      <x:c r="M687" s="11" t="str">
        <x:v>截止日前日期，盘中时分未核</x:v>
      </x:c>
    </x:row>
    <x:row r="688" ht="23" customHeight="1">
      <x:c r="A688" s="11" t="str">
        <x:v>I035</x:v>
      </x:c>
      <x:c r="B688" s="11" t="str">
        <x:v>01548.HK</x:v>
      </x:c>
      <x:c r="C688" s="11" t="str">
        <x:v>restrictedCashSeparate</x:v>
      </x:c>
      <x:c r="D688" s="39" t="n">
        <x:v>21.031</x:v>
      </x:c>
      <x:c r="E688" s="11" t="str">
        <x:v>USD</x:v>
      </x:c>
      <x:c r="F688" s="11" t="str">
        <x:v>million</x:v>
      </x:c>
      <x:c r="G688" s="11" t="str">
        <x:v>2026H1</x:v>
      </x:c>
      <x:c r="H688" s="11" t="str">
        <x:v>2026-09-16</x:v>
      </x:c>
      <x:c r="I688" s="11" t="str">
        <x:v>https://iis.aastocks.com/20260916/12333650-0.PDF</x:v>
      </x:c>
      <x:c r="J688" s="11" t="str">
        <x:v>首度公开日期 2026-08-16</x:v>
      </x:c>
      <x:c r="K688" s="11" t="str">
        <x:v>2026-08-16</x:v>
      </x:c>
      <x:c r="L688" s="11" t="str">
        <x:v>精确发布时间未核验</x:v>
      </x:c>
      <x:c r="M688" s="11" t="str">
        <x:v>截止日前日期，盘中时分未核</x:v>
      </x:c>
    </x:row>
    <x:row r="689" ht="23" customHeight="1">
      <x:c r="A689" s="11" t="str">
        <x:v>I035</x:v>
      </x:c>
      <x:c r="B689" s="11" t="str">
        <x:v>01548.HK</x:v>
      </x:c>
      <x:c r="C689" s="11" t="str">
        <x:v>bankDebt</x:v>
      </x:c>
      <x:c r="D689" s="39" t="n">
        <x:v>193.185</x:v>
      </x:c>
      <x:c r="E689" s="11" t="str">
        <x:v>USD</x:v>
      </x:c>
      <x:c r="F689" s="11" t="str">
        <x:v>million</x:v>
      </x:c>
      <x:c r="G689" s="11" t="str">
        <x:v>2026H1</x:v>
      </x:c>
      <x:c r="H689" s="11" t="str">
        <x:v>2026-09-16</x:v>
      </x:c>
      <x:c r="I689" s="11" t="str">
        <x:v>https://iis.aastocks.com/20260916/12333650-0.PDF</x:v>
      </x:c>
      <x:c r="J689" s="11" t="str">
        <x:v>首度公开日期 2026-08-16</x:v>
      </x:c>
      <x:c r="K689" s="11" t="str">
        <x:v>2026-08-16</x:v>
      </x:c>
      <x:c r="L689" s="11" t="str">
        <x:v>精确发布时间未核验</x:v>
      </x:c>
      <x:c r="M689" s="11" t="str">
        <x:v>截止日前日期，盘中时分未核</x:v>
      </x:c>
    </x:row>
    <x:row r="690" ht="23" customHeight="1">
      <x:c r="A690" s="11" t="str">
        <x:v>I035</x:v>
      </x:c>
      <x:c r="B690" s="11" t="str">
        <x:v>01548.HK</x:v>
      </x:c>
      <x:c r="C690" s="11" t="str">
        <x:v>Cpreferred</x:v>
      </x:c>
      <x:c r="D690" s="39" t="n">
        <x:v>271.586</x:v>
      </x:c>
      <x:c r="E690" s="11" t="str">
        <x:v>USD</x:v>
      </x:c>
      <x:c r="F690" s="11" t="str">
        <x:v>million</x:v>
      </x:c>
      <x:c r="G690" s="11" t="str">
        <x:v>2026H1</x:v>
      </x:c>
      <x:c r="H690" s="11" t="str">
        <x:v>2026-09-16</x:v>
      </x:c>
      <x:c r="I690" s="11" t="str">
        <x:v>https://iis.aastocks.com/20260916/12333650-0.PDF</x:v>
      </x:c>
      <x:c r="J690" s="11" t="str">
        <x:v>首度公开日期 2026-08-16</x:v>
      </x:c>
      <x:c r="K690" s="11" t="str">
        <x:v>2026-08-16</x:v>
      </x:c>
      <x:c r="L690" s="11" t="str">
        <x:v>精确发布时间未核验</x:v>
      </x:c>
      <x:c r="M690" s="11" t="str">
        <x:v>截止日前日期，盘中时分未核</x:v>
      </x:c>
    </x:row>
    <x:row r="691" ht="23" customHeight="1">
      <x:c r="A691" s="11" t="str">
        <x:v>I035</x:v>
      </x:c>
      <x:c r="B691" s="11" t="str">
        <x:v>01548.HK</x:v>
      </x:c>
      <x:c r="C691" s="11" t="str">
        <x:v>BpreferredApprox</x:v>
      </x:c>
      <x:c r="D691" s="39" t="n">
        <x:v>45.5</x:v>
      </x:c>
      <x:c r="E691" s="11" t="str">
        <x:v>USD</x:v>
      </x:c>
      <x:c r="F691" s="11" t="str">
        <x:v>million</x:v>
      </x:c>
      <x:c r="G691" s="11" t="str">
        <x:v>2026H1</x:v>
      </x:c>
      <x:c r="H691" s="11" t="str">
        <x:v>2026-09-16</x:v>
      </x:c>
      <x:c r="I691" s="11" t="str">
        <x:v>https://iis.aastocks.com/20260916/12333650-0.PDF</x:v>
      </x:c>
      <x:c r="J691" s="11" t="str">
        <x:v>首度公开日期 2026-08-16</x:v>
      </x:c>
      <x:c r="K691" s="11" t="str">
        <x:v>2026-08-16</x:v>
      </x:c>
      <x:c r="L691" s="11" t="str">
        <x:v>精确发布时间未核验</x:v>
      </x:c>
      <x:c r="M691" s="11" t="str">
        <x:v>截止日前日期，盘中时分未核</x:v>
      </x:c>
    </x:row>
    <x:row r="692" ht="23" customHeight="1">
      <x:c r="A692" s="11" t="str">
        <x:v>I035</x:v>
      </x:c>
      <x:c r="B692" s="11" t="str">
        <x:v>01548.HK</x:v>
      </x:c>
      <x:c r="C692" s="11" t="str">
        <x:v>bestzymePreferredApprox</x:v>
      </x:c>
      <x:c r="D692" s="39" t="n">
        <x:v>44.6</x:v>
      </x:c>
      <x:c r="E692" s="11" t="str">
        <x:v>USD</x:v>
      </x:c>
      <x:c r="F692" s="11" t="str">
        <x:v>million</x:v>
      </x:c>
      <x:c r="G692" s="11" t="str">
        <x:v>2026H1</x:v>
      </x:c>
      <x:c r="H692" s="11" t="str">
        <x:v>2026-09-16</x:v>
      </x:c>
      <x:c r="I692" s="11" t="str">
        <x:v>https://iis.aastocks.com/20260916/12333650-0.PDF</x:v>
      </x:c>
      <x:c r="J692" s="11" t="str">
        <x:v>首度公开日期 2026-08-16</x:v>
      </x:c>
      <x:c r="K692" s="11" t="str">
        <x:v>2026-08-16</x:v>
      </x:c>
      <x:c r="L692" s="11" t="str">
        <x:v>精确发布时间未核验</x:v>
      </x:c>
      <x:c r="M692" s="11" t="str">
        <x:v>截止日前日期，盘中时分未核</x:v>
      </x:c>
    </x:row>
    <x:row r="693" ht="23" customHeight="1">
      <x:c r="A693" s="11" t="str">
        <x:v>I035</x:v>
      </x:c>
      <x:c r="B693" s="11" t="str">
        <x:v>01548.HK</x:v>
      </x:c>
      <x:c r="C693" s="11" t="str">
        <x:v>otherPreferredExact</x:v>
      </x:c>
      <x:c r="D693" s="39" t="n">
        <x:v>90.069</x:v>
      </x:c>
      <x:c r="E693" s="11" t="str">
        <x:v>USD</x:v>
      </x:c>
      <x:c r="F693" s="11" t="str">
        <x:v>million</x:v>
      </x:c>
      <x:c r="G693" s="11" t="str">
        <x:v>2026H1</x:v>
      </x:c>
      <x:c r="H693" s="11" t="str">
        <x:v>2026-09-16</x:v>
      </x:c>
      <x:c r="I693" s="11" t="str">
        <x:v>https://iis.aastocks.com/20260916/12333650-0.PDF</x:v>
      </x:c>
      <x:c r="J693" s="11" t="str">
        <x:v>首度公开日期 2026-08-16</x:v>
      </x:c>
      <x:c r="K693" s="11" t="str">
        <x:v>2026-08-16</x:v>
      </x:c>
      <x:c r="L693" s="11" t="str">
        <x:v>精确发布时间未核验</x:v>
      </x:c>
      <x:c r="M693" s="11" t="str">
        <x:v>截止日前日期，盘中时分未核</x:v>
      </x:c>
    </x:row>
    <x:row r="694" ht="23" customHeight="1">
      <x:c r="A694" s="11" t="str">
        <x:v>I035</x:v>
      </x:c>
      <x:c r="B694" s="11" t="str">
        <x:v>01548.HK</x:v>
      </x:c>
      <x:c r="C694" s="11" t="str">
        <x:v>leases</x:v>
      </x:c>
      <x:c r="D694" s="39" t="n">
        <x:v>60.276</x:v>
      </x:c>
      <x:c r="E694" s="11" t="str">
        <x:v>USD</x:v>
      </x:c>
      <x:c r="F694" s="11" t="str">
        <x:v>million</x:v>
      </x:c>
      <x:c r="G694" s="11" t="str">
        <x:v>2026H1</x:v>
      </x:c>
      <x:c r="H694" s="11" t="str">
        <x:v>2026-09-16</x:v>
      </x:c>
      <x:c r="I694" s="11" t="str">
        <x:v>https://iis.aastocks.com/20260916/12333650-0.PDF</x:v>
      </x:c>
      <x:c r="J694" s="11" t="str">
        <x:v>首度公开日期 2026-08-16</x:v>
      </x:c>
      <x:c r="K694" s="11" t="str">
        <x:v>2026-08-16</x:v>
      </x:c>
      <x:c r="L694" s="11" t="str">
        <x:v>精确发布时间未核验</x:v>
      </x:c>
      <x:c r="M694" s="11" t="str">
        <x:v>截止日前日期，盘中时分未核</x:v>
      </x:c>
    </x:row>
    <x:row r="695" ht="23" customHeight="1">
      <x:c r="A695" s="11" t="str">
        <x:v>I035</x:v>
      </x:c>
      <x:c r="B695" s="11" t="str">
        <x:v>01548.HK</x:v>
      </x:c>
      <x:c r="C695" s="11" t="str">
        <x:v>receivables</x:v>
      </x:c>
      <x:c r="D695" s="39" t="n">
        <x:v>156.803</x:v>
      </x:c>
      <x:c r="E695" s="11" t="str">
        <x:v>USD</x:v>
      </x:c>
      <x:c r="F695" s="11" t="str">
        <x:v>million</x:v>
      </x:c>
      <x:c r="G695" s="11" t="str">
        <x:v>2026H1</x:v>
      </x:c>
      <x:c r="H695" s="11" t="str">
        <x:v>2026-09-16</x:v>
      </x:c>
      <x:c r="I695" s="11" t="str">
        <x:v>https://iis.aastocks.com/20260916/12333650-0.PDF</x:v>
      </x:c>
      <x:c r="J695" s="11" t="str">
        <x:v>首度公开日期 2026-08-16</x:v>
      </x:c>
      <x:c r="K695" s="11" t="str">
        <x:v>2026-08-16</x:v>
      </x:c>
      <x:c r="L695" s="11" t="str">
        <x:v>精确发布时间未核验</x:v>
      </x:c>
      <x:c r="M695" s="11" t="str">
        <x:v>截止日前日期，盘中时分未核</x:v>
      </x:c>
    </x:row>
    <x:row r="696" ht="23" customHeight="1">
      <x:c r="A696" s="11" t="str">
        <x:v>I035</x:v>
      </x:c>
      <x:c r="B696" s="11" t="str">
        <x:v>01548.HK</x:v>
      </x:c>
      <x:c r="C696" s="11" t="str">
        <x:v>inventories</x:v>
      </x:c>
      <x:c r="D696" s="39" t="n">
        <x:v>45.25</x:v>
      </x:c>
      <x:c r="E696" s="11" t="str">
        <x:v>USD</x:v>
      </x:c>
      <x:c r="F696" s="11" t="str">
        <x:v>million</x:v>
      </x:c>
      <x:c r="G696" s="11" t="str">
        <x:v>2026H1</x:v>
      </x:c>
      <x:c r="H696" s="11" t="str">
        <x:v>2026-09-16</x:v>
      </x:c>
      <x:c r="I696" s="11" t="str">
        <x:v>https://iis.aastocks.com/20260916/12333650-0.PDF</x:v>
      </x:c>
      <x:c r="J696" s="11" t="str">
        <x:v>首度公开日期 2026-08-16</x:v>
      </x:c>
      <x:c r="K696" s="11" t="str">
        <x:v>2026-08-16</x:v>
      </x:c>
      <x:c r="L696" s="11" t="str">
        <x:v>精确发布时间未核验</x:v>
      </x:c>
      <x:c r="M696" s="11" t="str">
        <x:v>截止日前日期，盘中时分未核</x:v>
      </x:c>
    </x:row>
    <x:row r="697" ht="23" customHeight="1">
      <x:c r="A697" s="11" t="str">
        <x:v>I035</x:v>
      </x:c>
      <x:c r="B697" s="11" t="str">
        <x:v>01548.HK</x:v>
      </x:c>
      <x:c r="C697" s="11" t="str">
        <x:v>contractCosts</x:v>
      </x:c>
      <x:c r="D697" s="39" t="n">
        <x:v>34.661</x:v>
      </x:c>
      <x:c r="E697" s="11" t="str">
        <x:v>USD</x:v>
      </x:c>
      <x:c r="F697" s="11" t="str">
        <x:v>million</x:v>
      </x:c>
      <x:c r="G697" s="11" t="str">
        <x:v>2026H1</x:v>
      </x:c>
      <x:c r="H697" s="11" t="str">
        <x:v>2026-09-16</x:v>
      </x:c>
      <x:c r="I697" s="11" t="str">
        <x:v>https://iis.aastocks.com/20260916/12333650-0.PDF</x:v>
      </x:c>
      <x:c r="J697" s="11" t="str">
        <x:v>首度公开日期 2026-08-16</x:v>
      </x:c>
      <x:c r="K697" s="11" t="str">
        <x:v>2026-08-16</x:v>
      </x:c>
      <x:c r="L697" s="11" t="str">
        <x:v>精确发布时间未核验</x:v>
      </x:c>
      <x:c r="M697" s="11" t="str">
        <x:v>截止日前日期，盘中时分未核</x:v>
      </x:c>
    </x:row>
    <x:row r="698" ht="23" customHeight="1">
      <x:c r="A698" s="11" t="str">
        <x:v>I035</x:v>
      </x:c>
      <x:c r="B698" s="11" t="str">
        <x:v>01548.HK</x:v>
      </x:c>
      <x:c r="C698" s="11" t="str">
        <x:v>PPE</x:v>
      </x:c>
      <x:c r="D698" s="39" t="n">
        <x:v>567.438</x:v>
      </x:c>
      <x:c r="E698" s="11" t="str">
        <x:v>USD</x:v>
      </x:c>
      <x:c r="F698" s="11" t="str">
        <x:v>million</x:v>
      </x:c>
      <x:c r="G698" s="11" t="str">
        <x:v>2026H1</x:v>
      </x:c>
      <x:c r="H698" s="11" t="str">
        <x:v>2026-09-16</x:v>
      </x:c>
      <x:c r="I698" s="11" t="str">
        <x:v>https://iis.aastocks.com/20260916/12333650-0.PDF</x:v>
      </x:c>
      <x:c r="J698" s="11" t="str">
        <x:v>首度公开日期 2026-08-16</x:v>
      </x:c>
      <x:c r="K698" s="11" t="str">
        <x:v>2026-08-16</x:v>
      </x:c>
      <x:c r="L698" s="11" t="str">
        <x:v>精确发布时间未核验</x:v>
      </x:c>
      <x:c r="M698" s="11" t="str">
        <x:v>截止日前日期，盘中时分未核</x:v>
      </x:c>
    </x:row>
    <x:row r="699" ht="23" customHeight="1">
      <x:c r="A699" s="11" t="str">
        <x:v>I035</x:v>
      </x:c>
      <x:c r="B699" s="11" t="str">
        <x:v>01548.HK</x:v>
      </x:c>
      <x:c r="C699" s="11" t="str">
        <x:v>ownerEquity</x:v>
      </x:c>
      <x:c r="D699" s="39" t="n">
        <x:v>3887.617</x:v>
      </x:c>
      <x:c r="E699" s="11" t="str">
        <x:v>USD</x:v>
      </x:c>
      <x:c r="F699" s="11" t="str">
        <x:v>million</x:v>
      </x:c>
      <x:c r="G699" s="11" t="str">
        <x:v>2026H1</x:v>
      </x:c>
      <x:c r="H699" s="11" t="str">
        <x:v>2026-09-16</x:v>
      </x:c>
      <x:c r="I699" s="11" t="str">
        <x:v>https://iis.aastocks.com/20260916/12333650-0.PDF</x:v>
      </x:c>
      <x:c r="J699" s="11" t="str">
        <x:v>首度公开日期 2026-08-16</x:v>
      </x:c>
      <x:c r="K699" s="11" t="str">
        <x:v>2026-08-16</x:v>
      </x:c>
      <x:c r="L699" s="11" t="str">
        <x:v>精确发布时间未核验</x:v>
      </x:c>
      <x:c r="M699" s="11" t="str">
        <x:v>截止日前日期，盘中时分未核</x:v>
      </x:c>
    </x:row>
    <x:row r="700" ht="23" customHeight="1">
      <x:c r="A700" s="11" t="str">
        <x:v>I035</x:v>
      </x:c>
      <x:c r="B700" s="11" t="str">
        <x:v>01548.HK</x:v>
      </x:c>
      <x:c r="C700" s="11" t="str">
        <x:v>totalEquity</x:v>
      </x:c>
      <x:c r="D700" s="39" t="n">
        <x:v>3893.098</x:v>
      </x:c>
      <x:c r="E700" s="11" t="str">
        <x:v>USD</x:v>
      </x:c>
      <x:c r="F700" s="11" t="str">
        <x:v>million</x:v>
      </x:c>
      <x:c r="G700" s="11" t="str">
        <x:v>2026H1</x:v>
      </x:c>
      <x:c r="H700" s="11" t="str">
        <x:v>2026-09-16</x:v>
      </x:c>
      <x:c r="I700" s="11" t="str">
        <x:v>https://iis.aastocks.com/20260916/12333650-0.PDF</x:v>
      </x:c>
      <x:c r="J700" s="11" t="str">
        <x:v>首度公开日期 2026-08-16</x:v>
      </x:c>
      <x:c r="K700" s="11" t="str">
        <x:v>2026-08-16</x:v>
      </x:c>
      <x:c r="L700" s="11" t="str">
        <x:v>精确发布时间未核验</x:v>
      </x:c>
      <x:c r="M700" s="11" t="str">
        <x:v>截止日前日期，盘中时分未核</x:v>
      </x:c>
    </x:row>
    <x:row r="701" ht="23" customHeight="1">
      <x:c r="A701" s="11" t="str">
        <x:v>I035</x:v>
      </x:c>
      <x:c r="B701" s="11" t="str">
        <x:v>01548.HK</x:v>
      </x:c>
      <x:c r="C701" s="11" t="str">
        <x:v>totalAssets</x:v>
      </x:c>
      <x:c r="D701" s="39" t="n">
        <x:v>4787.455</x:v>
      </x:c>
      <x:c r="E701" s="11" t="str">
        <x:v>USD</x:v>
      </x:c>
      <x:c r="F701" s="11" t="str">
        <x:v>million</x:v>
      </x:c>
      <x:c r="G701" s="11" t="str">
        <x:v>2026H1</x:v>
      </x:c>
      <x:c r="H701" s="11" t="str">
        <x:v>2026-09-16</x:v>
      </x:c>
      <x:c r="I701" s="11" t="str">
        <x:v>https://iis.aastocks.com/20260916/12333650-0.PDF</x:v>
      </x:c>
      <x:c r="J701" s="11" t="str">
        <x:v>首度公开日期 2026-08-16</x:v>
      </x:c>
      <x:c r="K701" s="11" t="str">
        <x:v>2026-08-16</x:v>
      </x:c>
      <x:c r="L701" s="11" t="str">
        <x:v>精确发布时间未核验</x:v>
      </x:c>
      <x:c r="M701" s="11" t="str">
        <x:v>截止日前日期，盘中时分未核</x:v>
      </x:c>
    </x:row>
    <x:row r="702" ht="23" customHeight="1">
      <x:c r="A702" s="11" t="str">
        <x:v>I035</x:v>
      </x:c>
      <x:c r="B702" s="11" t="str">
        <x:v>01548.HK</x:v>
      </x:c>
      <x:c r="C702" s="11" t="str">
        <x:v>legendJuneStakeFraction</x:v>
      </x:c>
      <x:c r="D702" s="39" t="n">
        <x:v>0.4503</x:v>
      </x:c>
      <x:c r="E702" s="11" t="str">
        <x:v>not monetary</x:v>
      </x:c>
      <x:c r="F702" s="11" t="str">
        <x:v>fraction</x:v>
      </x:c>
      <x:c r="G702" s="11" t="str">
        <x:v>2026H1</x:v>
      </x:c>
      <x:c r="H702" s="11" t="str">
        <x:v>2026-09-16</x:v>
      </x:c>
      <x:c r="I702" s="11" t="str">
        <x:v>https://iis.aastocks.com/20260916/12333650-0.PDF</x:v>
      </x:c>
      <x:c r="J702" s="11" t="str">
        <x:v>首度公开日期 2026-08-16</x:v>
      </x:c>
      <x:c r="K702" s="11" t="str">
        <x:v>2026-08-16</x:v>
      </x:c>
      <x:c r="L702" s="11" t="str">
        <x:v>精确发布时间未核验</x:v>
      </x:c>
      <x:c r="M702" s="11" t="str">
        <x:v>截止日前日期，盘中时分未核</x:v>
      </x:c>
    </x:row>
    <x:row r="703" ht="23" customHeight="1">
      <x:c r="A703" s="11" t="str">
        <x:v>I035</x:v>
      </x:c>
      <x:c r="B703" s="11" t="str">
        <x:v>01548.HK</x:v>
      </x:c>
      <x:c r="C703" s="11" t="str">
        <x:v>legendBook</x:v>
      </x:c>
      <x:c r="D703" s="39" t="n">
        <x:v>2916.691</x:v>
      </x:c>
      <x:c r="E703" s="11" t="str">
        <x:v>USD</x:v>
      </x:c>
      <x:c r="F703" s="11" t="str">
        <x:v>million</x:v>
      </x:c>
      <x:c r="G703" s="11" t="str">
        <x:v>2026H1</x:v>
      </x:c>
      <x:c r="H703" s="11" t="str">
        <x:v>2026-09-16</x:v>
      </x:c>
      <x:c r="I703" s="11" t="str">
        <x:v>https://iis.aastocks.com/20260916/12333650-0.PDF</x:v>
      </x:c>
      <x:c r="J703" s="11" t="str">
        <x:v>首度公开日期 2026-08-16</x:v>
      </x:c>
      <x:c r="K703" s="11" t="str">
        <x:v>2026-08-16</x:v>
      </x:c>
      <x:c r="L703" s="11" t="str">
        <x:v>精确发布时间未核验</x:v>
      </x:c>
      <x:c r="M703" s="11" t="str">
        <x:v>截止日前日期，盘中时分未核</x:v>
      </x:c>
    </x:row>
    <x:row r="704" ht="23" customHeight="1">
      <x:c r="A704" s="11" t="str">
        <x:v>I035</x:v>
      </x:c>
      <x:c r="B704" s="11" t="str">
        <x:v>01548.HK</x:v>
      </x:c>
      <x:c r="C704" s="11" t="str">
        <x:v>legendJuneMarketValue</x:v>
      </x:c>
      <x:c r="D704" s="39" t="n">
        <x:v>2519.745</x:v>
      </x:c>
      <x:c r="E704" s="11" t="str">
        <x:v>USD</x:v>
      </x:c>
      <x:c r="F704" s="11" t="str">
        <x:v>million</x:v>
      </x:c>
      <x:c r="G704" s="11" t="str">
        <x:v>2026H1</x:v>
      </x:c>
      <x:c r="H704" s="11" t="str">
        <x:v>2026-09-16</x:v>
      </x:c>
      <x:c r="I704" s="11" t="str">
        <x:v>https://iis.aastocks.com/20260916/12333650-0.PDF</x:v>
      </x:c>
      <x:c r="J704" s="11" t="str">
        <x:v>首度公开日期 2026-08-16</x:v>
      </x:c>
      <x:c r="K704" s="11" t="str">
        <x:v>2026-08-16</x:v>
      </x:c>
      <x:c r="L704" s="11" t="str">
        <x:v>精确发布时间未核验</x:v>
      </x:c>
      <x:c r="M704" s="11" t="str">
        <x:v>截止日前日期，盘中时分未核</x:v>
      </x:c>
    </x:row>
    <x:row r="705" ht="23" customHeight="1">
      <x:c r="A705" s="11" t="str">
        <x:v>I035</x:v>
      </x:c>
      <x:c r="B705" s="11" t="str">
        <x:v>01548.HK</x:v>
      </x:c>
      <x:c r="C705" s="11" t="str">
        <x:v>LSGsegmentRevenue</x:v>
      </x:c>
      <x:c r="D705" s="39" t="n">
        <x:v>318.979</x:v>
      </x:c>
      <x:c r="E705" s="11" t="str">
        <x:v>USD</x:v>
      </x:c>
      <x:c r="F705" s="11" t="str">
        <x:v>million</x:v>
      </x:c>
      <x:c r="G705" s="11" t="str">
        <x:v>2026H1</x:v>
      </x:c>
      <x:c r="H705" s="11" t="str">
        <x:v>2026-09-16</x:v>
      </x:c>
      <x:c r="I705" s="11" t="str">
        <x:v>https://iis.aastocks.com/20260916/12333650-0.PDF</x:v>
      </x:c>
      <x:c r="J705" s="11" t="str">
        <x:v>首度公开日期 2026-08-16</x:v>
      </x:c>
      <x:c r="K705" s="11" t="str">
        <x:v>2026-08-16</x:v>
      </x:c>
      <x:c r="L705" s="11" t="str">
        <x:v>精确发布时间未核验</x:v>
      </x:c>
      <x:c r="M705" s="11" t="str">
        <x:v>截止日前日期，盘中时分未核</x:v>
      </x:c>
    </x:row>
    <x:row r="706" ht="23" customHeight="1">
      <x:c r="A706" s="11" t="str">
        <x:v>I035</x:v>
      </x:c>
      <x:c r="B706" s="11" t="str">
        <x:v>01548.HK</x:v>
      </x:c>
      <x:c r="C706" s="11" t="str">
        <x:v>LSGexternalRevenue</x:v>
      </x:c>
      <x:c r="D706" s="39" t="n">
        <x:v>315.218</x:v>
      </x:c>
      <x:c r="E706" s="11" t="str">
        <x:v>USD</x:v>
      </x:c>
      <x:c r="F706" s="11" t="str">
        <x:v>million</x:v>
      </x:c>
      <x:c r="G706" s="11" t="str">
        <x:v>2026H1</x:v>
      </x:c>
      <x:c r="H706" s="11" t="str">
        <x:v>2026-09-16</x:v>
      </x:c>
      <x:c r="I706" s="11" t="str">
        <x:v>https://iis.aastocks.com/20260916/12333650-0.PDF</x:v>
      </x:c>
      <x:c r="J706" s="11" t="str">
        <x:v>首度公开日期 2026-08-16</x:v>
      </x:c>
      <x:c r="K706" s="11" t="str">
        <x:v>2026-08-16</x:v>
      </x:c>
      <x:c r="L706" s="11" t="str">
        <x:v>精确发布时间未核验</x:v>
      </x:c>
      <x:c r="M706" s="11" t="str">
        <x:v>截止日前日期，盘中时分未核</x:v>
      </x:c>
    </x:row>
    <x:row r="707" ht="23" customHeight="1">
      <x:c r="A707" s="11" t="str">
        <x:v>I035</x:v>
      </x:c>
      <x:c r="B707" s="11" t="str">
        <x:v>01548.HK</x:v>
      </x:c>
      <x:c r="C707" s="11" t="str">
        <x:v>LSGadjustedGrossProfit</x:v>
      </x:c>
      <x:c r="D707" s="39" t="n">
        <x:v>184.514</x:v>
      </x:c>
      <x:c r="E707" s="11" t="str">
        <x:v>USD</x:v>
      </x:c>
      <x:c r="F707" s="11" t="str">
        <x:v>million</x:v>
      </x:c>
      <x:c r="G707" s="11" t="str">
        <x:v>2026H1</x:v>
      </x:c>
      <x:c r="H707" s="11" t="str">
        <x:v>2026-09-16</x:v>
      </x:c>
      <x:c r="I707" s="11" t="str">
        <x:v>https://iis.aastocks.com/20260916/12333650-0.PDF</x:v>
      </x:c>
      <x:c r="J707" s="11" t="str">
        <x:v>首度公开日期 2026-08-16</x:v>
      </x:c>
      <x:c r="K707" s="11" t="str">
        <x:v>2026-08-16</x:v>
      </x:c>
      <x:c r="L707" s="11" t="str">
        <x:v>精确发布时间未核验</x:v>
      </x:c>
      <x:c r="M707" s="11" t="str">
        <x:v>截止日前日期，盘中时分未核</x:v>
      </x:c>
    </x:row>
    <x:row r="708" ht="23" customHeight="1">
      <x:c r="A708" s="11" t="str">
        <x:v>I035</x:v>
      </x:c>
      <x:c r="B708" s="11" t="str">
        <x:v>01548.HK</x:v>
      </x:c>
      <x:c r="C708" s="11" t="str">
        <x:v>LSGadjustedOperating</x:v>
      </x:c>
      <x:c r="D708" s="39" t="n">
        <x:v>94.018</x:v>
      </x:c>
      <x:c r="E708" s="11" t="str">
        <x:v>USD</x:v>
      </x:c>
      <x:c r="F708" s="11" t="str">
        <x:v>million</x:v>
      </x:c>
      <x:c r="G708" s="11" t="str">
        <x:v>2026H1</x:v>
      </x:c>
      <x:c r="H708" s="11" t="str">
        <x:v>2026-09-16</x:v>
      </x:c>
      <x:c r="I708" s="11" t="str">
        <x:v>https://iis.aastocks.com/20260916/12333650-0.PDF</x:v>
      </x:c>
      <x:c r="J708" s="11" t="str">
        <x:v>首度公开日期 2026-08-16</x:v>
      </x:c>
      <x:c r="K708" s="11" t="str">
        <x:v>2026-08-16</x:v>
      </x:c>
      <x:c r="L708" s="11" t="str">
        <x:v>精确发布时间未核验</x:v>
      </x:c>
      <x:c r="M708" s="11" t="str">
        <x:v>截止日前日期，盘中时分未核</x:v>
      </x:c>
    </x:row>
    <x:row r="709" ht="23" customHeight="1">
      <x:c r="A709" s="11" t="str">
        <x:v>I035</x:v>
      </x:c>
      <x:c r="B709" s="11" t="str">
        <x:v>01548.HK</x:v>
      </x:c>
      <x:c r="C709" s="11" t="str">
        <x:v>ProBioSegmentRevenue</x:v>
      </x:c>
      <x:c r="D709" s="39" t="n">
        <x:v>61.11</x:v>
      </x:c>
      <x:c r="E709" s="11" t="str">
        <x:v>USD</x:v>
      </x:c>
      <x:c r="F709" s="11" t="str">
        <x:v>million</x:v>
      </x:c>
      <x:c r="G709" s="11" t="str">
        <x:v>2026H1</x:v>
      </x:c>
      <x:c r="H709" s="11" t="str">
        <x:v>2026-09-16</x:v>
      </x:c>
      <x:c r="I709" s="11" t="str">
        <x:v>https://iis.aastocks.com/20260916/12333650-0.PDF</x:v>
      </x:c>
      <x:c r="J709" s="11" t="str">
        <x:v>首度公开日期 2026-08-16</x:v>
      </x:c>
      <x:c r="K709" s="11" t="str">
        <x:v>2026-08-16</x:v>
      </x:c>
      <x:c r="L709" s="11" t="str">
        <x:v>精确发布时间未核验</x:v>
      </x:c>
      <x:c r="M709" s="11" t="str">
        <x:v>截止日前日期，盘中时分未核</x:v>
      </x:c>
    </x:row>
    <x:row r="710" ht="23" customHeight="1">
      <x:c r="A710" s="11" t="str">
        <x:v>I035</x:v>
      </x:c>
      <x:c r="B710" s="11" t="str">
        <x:v>01548.HK</x:v>
      </x:c>
      <x:c r="C710" s="11" t="str">
        <x:v>ProBioExternalRevenue</x:v>
      </x:c>
      <x:c r="D710" s="39" t="n">
        <x:v>58.028</x:v>
      </x:c>
      <x:c r="E710" s="11" t="str">
        <x:v>USD</x:v>
      </x:c>
      <x:c r="F710" s="11" t="str">
        <x:v>million</x:v>
      </x:c>
      <x:c r="G710" s="11" t="str">
        <x:v>2026H1</x:v>
      </x:c>
      <x:c r="H710" s="11" t="str">
        <x:v>2026-09-16</x:v>
      </x:c>
      <x:c r="I710" s="11" t="str">
        <x:v>https://iis.aastocks.com/20260916/12333650-0.PDF</x:v>
      </x:c>
      <x:c r="J710" s="11" t="str">
        <x:v>首度公开日期 2026-08-16</x:v>
      </x:c>
      <x:c r="K710" s="11" t="str">
        <x:v>2026-08-16</x:v>
      </x:c>
      <x:c r="L710" s="11" t="str">
        <x:v>精确发布时间未核验</x:v>
      </x:c>
      <x:c r="M710" s="11" t="str">
        <x:v>截止日前日期，盘中时分未核</x:v>
      </x:c>
    </x:row>
    <x:row r="711" ht="23" customHeight="1">
      <x:c r="A711" s="11" t="str">
        <x:v>I035</x:v>
      </x:c>
      <x:c r="B711" s="11" t="str">
        <x:v>01548.HK</x:v>
      </x:c>
      <x:c r="C711" s="11" t="str">
        <x:v>ProBioAdjustedGrossProfit</x:v>
      </x:c>
      <x:c r="D711" s="39" t="n">
        <x:v>8.315</x:v>
      </x:c>
      <x:c r="E711" s="11" t="str">
        <x:v>USD</x:v>
      </x:c>
      <x:c r="F711" s="11" t="str">
        <x:v>million</x:v>
      </x:c>
      <x:c r="G711" s="11" t="str">
        <x:v>2026H1</x:v>
      </x:c>
      <x:c r="H711" s="11" t="str">
        <x:v>2026-09-16</x:v>
      </x:c>
      <x:c r="I711" s="11" t="str">
        <x:v>https://iis.aastocks.com/20260916/12333650-0.PDF</x:v>
      </x:c>
      <x:c r="J711" s="11" t="str">
        <x:v>首度公开日期 2026-08-16</x:v>
      </x:c>
      <x:c r="K711" s="11" t="str">
        <x:v>2026-08-16</x:v>
      </x:c>
      <x:c r="L711" s="11" t="str">
        <x:v>精确发布时间未核验</x:v>
      </x:c>
      <x:c r="M711" s="11" t="str">
        <x:v>截止日前日期，盘中时分未核</x:v>
      </x:c>
    </x:row>
    <x:row r="712" ht="23" customHeight="1">
      <x:c r="A712" s="11" t="str">
        <x:v>I035</x:v>
      </x:c>
      <x:c r="B712" s="11" t="str">
        <x:v>01548.HK</x:v>
      </x:c>
      <x:c r="C712" s="11" t="str">
        <x:v>ProBioAdjustedOperating</x:v>
      </x:c>
      <x:c r="D712" s="39" t="n">
        <x:v>-24.262</x:v>
      </x:c>
      <x:c r="E712" s="11" t="str">
        <x:v>USD</x:v>
      </x:c>
      <x:c r="F712" s="11" t="str">
        <x:v>million</x:v>
      </x:c>
      <x:c r="G712" s="11" t="str">
        <x:v>2026H1</x:v>
      </x:c>
      <x:c r="H712" s="11" t="str">
        <x:v>2026-09-16</x:v>
      </x:c>
      <x:c r="I712" s="11" t="str">
        <x:v>https://iis.aastocks.com/20260916/12333650-0.PDF</x:v>
      </x:c>
      <x:c r="J712" s="11" t="str">
        <x:v>首度公开日期 2026-08-16</x:v>
      </x:c>
      <x:c r="K712" s="11" t="str">
        <x:v>2026-08-16</x:v>
      </x:c>
      <x:c r="L712" s="11" t="str">
        <x:v>精确发布时间未核验</x:v>
      </x:c>
      <x:c r="M712" s="11" t="str">
        <x:v>截止日前日期，盘中时分未核</x:v>
      </x:c>
    </x:row>
    <x:row r="713" ht="23" customHeight="1">
      <x:c r="A713" s="11" t="str">
        <x:v>I035</x:v>
      </x:c>
      <x:c r="B713" s="11" t="str">
        <x:v>01548.HK</x:v>
      </x:c>
      <x:c r="C713" s="11" t="str">
        <x:v>BestzymeSegmentRevenue</x:v>
      </x:c>
      <x:c r="D713" s="39" t="n">
        <x:v>30.387</x:v>
      </x:c>
      <x:c r="E713" s="11" t="str">
        <x:v>USD</x:v>
      </x:c>
      <x:c r="F713" s="11" t="str">
        <x:v>million</x:v>
      </x:c>
      <x:c r="G713" s="11" t="str">
        <x:v>2026H1</x:v>
      </x:c>
      <x:c r="H713" s="11" t="str">
        <x:v>2026-09-16</x:v>
      </x:c>
      <x:c r="I713" s="11" t="str">
        <x:v>https://iis.aastocks.com/20260916/12333650-0.PDF</x:v>
      </x:c>
      <x:c r="J713" s="11" t="str">
        <x:v>首度公开日期 2026-08-16</x:v>
      </x:c>
      <x:c r="K713" s="11" t="str">
        <x:v>2026-08-16</x:v>
      </x:c>
      <x:c r="L713" s="11" t="str">
        <x:v>精确发布时间未核验</x:v>
      </x:c>
      <x:c r="M713" s="11" t="str">
        <x:v>截止日前日期，盘中时分未核</x:v>
      </x:c>
    </x:row>
    <x:row r="714" ht="23" customHeight="1">
      <x:c r="A714" s="11" t="str">
        <x:v>I035</x:v>
      </x:c>
      <x:c r="B714" s="11" t="str">
        <x:v>01548.HK</x:v>
      </x:c>
      <x:c r="C714" s="11" t="str">
        <x:v>BestzymeExternalRevenue</x:v>
      </x:c>
      <x:c r="D714" s="39" t="n">
        <x:v>30.387</x:v>
      </x:c>
      <x:c r="E714" s="11" t="str">
        <x:v>USD</x:v>
      </x:c>
      <x:c r="F714" s="11" t="str">
        <x:v>million</x:v>
      </x:c>
      <x:c r="G714" s="11" t="str">
        <x:v>2026H1</x:v>
      </x:c>
      <x:c r="H714" s="11" t="str">
        <x:v>2026-09-16</x:v>
      </x:c>
      <x:c r="I714" s="11" t="str">
        <x:v>https://iis.aastocks.com/20260916/12333650-0.PDF</x:v>
      </x:c>
      <x:c r="J714" s="11" t="str">
        <x:v>首度公开日期 2026-08-16</x:v>
      </x:c>
      <x:c r="K714" s="11" t="str">
        <x:v>2026-08-16</x:v>
      </x:c>
      <x:c r="L714" s="11" t="str">
        <x:v>精确发布时间未核验</x:v>
      </x:c>
      <x:c r="M714" s="11" t="str">
        <x:v>截止日前日期，盘中时分未核</x:v>
      </x:c>
    </x:row>
    <x:row r="715" ht="23" customHeight="1">
      <x:c r="A715" s="11" t="str">
        <x:v>I035</x:v>
      </x:c>
      <x:c r="B715" s="11" t="str">
        <x:v>01548.HK</x:v>
      </x:c>
      <x:c r="C715" s="11" t="str">
        <x:v>BestzymeAdjustedGrossProfit</x:v>
      </x:c>
      <x:c r="D715" s="39" t="n">
        <x:v>13.027</x:v>
      </x:c>
      <x:c r="E715" s="11" t="str">
        <x:v>USD</x:v>
      </x:c>
      <x:c r="F715" s="11" t="str">
        <x:v>million</x:v>
      </x:c>
      <x:c r="G715" s="11" t="str">
        <x:v>2026H1</x:v>
      </x:c>
      <x:c r="H715" s="11" t="str">
        <x:v>2026-09-16</x:v>
      </x:c>
      <x:c r="I715" s="11" t="str">
        <x:v>https://iis.aastocks.com/20260916/12333650-0.PDF</x:v>
      </x:c>
      <x:c r="J715" s="11" t="str">
        <x:v>首度公开日期 2026-08-16</x:v>
      </x:c>
      <x:c r="K715" s="11" t="str">
        <x:v>2026-08-16</x:v>
      </x:c>
      <x:c r="L715" s="11" t="str">
        <x:v>精确发布时间未核验</x:v>
      </x:c>
      <x:c r="M715" s="11" t="str">
        <x:v>截止日前日期，盘中时分未核</x:v>
      </x:c>
    </x:row>
    <x:row r="716" ht="23" customHeight="1">
      <x:c r="A716" s="11" t="str">
        <x:v>I035</x:v>
      </x:c>
      <x:c r="B716" s="11" t="str">
        <x:v>01548.HK</x:v>
      </x:c>
      <x:c r="C716" s="11" t="str">
        <x:v>BestzymeAdjustedOperating</x:v>
      </x:c>
      <x:c r="D716" s="39" t="n">
        <x:v>-1.29</x:v>
      </x:c>
      <x:c r="E716" s="11" t="str">
        <x:v>USD</x:v>
      </x:c>
      <x:c r="F716" s="11" t="str">
        <x:v>million</x:v>
      </x:c>
      <x:c r="G716" s="11" t="str">
        <x:v>2026H1</x:v>
      </x:c>
      <x:c r="H716" s="11" t="str">
        <x:v>2026-09-16</x:v>
      </x:c>
      <x:c r="I716" s="11" t="str">
        <x:v>https://iis.aastocks.com/20260916/12333650-0.PDF</x:v>
      </x:c>
      <x:c r="J716" s="11" t="str">
        <x:v>首度公开日期 2026-08-16</x:v>
      </x:c>
      <x:c r="K716" s="11" t="str">
        <x:v>2026-08-16</x:v>
      </x:c>
      <x:c r="L716" s="11" t="str">
        <x:v>精确发布时间未核验</x:v>
      </x:c>
      <x:c r="M716" s="11" t="str">
        <x:v>截止日前日期，盘中时分未核</x:v>
      </x:c>
    </x:row>
    <x:row r="717" ht="23" customHeight="1">
      <x:c r="A717" s="11" t="str">
        <x:v>I035</x:v>
      </x:c>
      <x:c r="B717" s="11" t="str">
        <x:v>01548.HK</x:v>
      </x:c>
      <x:c r="C717" s="11" t="str">
        <x:v>managementExternalRevenue</x:v>
      </x:c>
      <x:c r="D717" s="39" t="n">
        <x:v>0.583</x:v>
      </x:c>
      <x:c r="E717" s="11" t="str">
        <x:v>USD</x:v>
      </x:c>
      <x:c r="F717" s="11" t="str">
        <x:v>million</x:v>
      </x:c>
      <x:c r="G717" s="11" t="str">
        <x:v>2026H1</x:v>
      </x:c>
      <x:c r="H717" s="11" t="str">
        <x:v>2026-09-16</x:v>
      </x:c>
      <x:c r="I717" s="11" t="str">
        <x:v>https://iis.aastocks.com/20260916/12333650-0.PDF</x:v>
      </x:c>
      <x:c r="J717" s="11" t="str">
        <x:v>首度公开日期 2026-08-16</x:v>
      </x:c>
      <x:c r="K717" s="11" t="str">
        <x:v>2026-08-16</x:v>
      </x:c>
      <x:c r="L717" s="11" t="str">
        <x:v>精确发布时间未核验</x:v>
      </x:c>
      <x:c r="M717" s="11" t="str">
        <x:v>截止日前日期，盘中时分未核</x:v>
      </x:c>
    </x:row>
    <x:row r="718" ht="23" customHeight="1">
      <x:c r="A718" s="11" t="str">
        <x:v>I035</x:v>
      </x:c>
      <x:c r="B718" s="11" t="str">
        <x:v>01548.HK</x:v>
      </x:c>
      <x:c r="C718" s="11" t="str">
        <x:v>SeptIssuedShares</x:v>
      </x:c>
      <x:c r="D718" s="39" t="n">
        <x:v>2283670726</x:v>
      </x:c>
      <x:c r="E718" s="11" t="str">
        <x:v>not monetary</x:v>
      </x:c>
      <x:c r="F718" s="11" t="str">
        <x:v>shares</x:v>
      </x:c>
      <x:c r="G718" s="11" t="str">
        <x:v>2026-09-30</x:v>
      </x:c>
      <x:c r="H718" s="11" t="str">
        <x:v>2026-10-06</x:v>
      </x:c>
      <x:c r="I718" s="11" t="str">
        <x:v>https://iis.aastocks.com/20261006/12363992-0.PDF</x:v>
      </x:c>
      <x:c r="J718" s="11" t="str">
        <x:v>首度公开日期 2026-10-06</x:v>
      </x:c>
      <x:c r="K718" s="11" t="str">
        <x:v>2026-10-06</x:v>
      </x:c>
      <x:c r="L718" s="11" t="str">
        <x:v>精确发布时间未核验</x:v>
      </x:c>
      <x:c r="M718" s="11" t="str">
        <x:v>截止日前日期，盘中时分未核</x:v>
      </x:c>
    </x:row>
    <x:row r="719" ht="23" customHeight="1">
      <x:c r="A719" s="11" t="str">
        <x:v>I035</x:v>
      </x:c>
      <x:c r="B719" s="11" t="str">
        <x:v>01548.HK</x:v>
      </x:c>
      <x:c r="C719" s="11" t="str">
        <x:v>placingNewShares</x:v>
      </x:c>
      <x:c r="D719" s="39" t="n">
        <x:v>77126000</x:v>
      </x:c>
      <x:c r="E719" s="11" t="str">
        <x:v>not monetary</x:v>
      </x:c>
      <x:c r="F719" s="11" t="str">
        <x:v>shares</x:v>
      </x:c>
      <x:c r="G719" s="11" t="str">
        <x:v>2026-09-15</x:v>
      </x:c>
      <x:c r="H719" s="11" t="str">
        <x:v>2026-09-15</x:v>
      </x:c>
      <x:c r="I719" s="11" t="str">
        <x:v>https://iis.aastocks.com/20260915/12333062-0.PDF</x:v>
      </x:c>
      <x:c r="J719" s="11" t="str">
        <x:v>首度公开日期 2026-09-15</x:v>
      </x:c>
      <x:c r="K719" s="11" t="str">
        <x:v>2026-09-15</x:v>
      </x:c>
      <x:c r="L719" s="11" t="str">
        <x:v>精确发布时间未核验</x:v>
      </x:c>
      <x:c r="M719" s="11" t="str">
        <x:v>截止日前日期，盘中时分未核</x:v>
      </x:c>
    </x:row>
    <x:row r="720" ht="23" customHeight="1">
      <x:c r="A720" s="11" t="str">
        <x:v>I035</x:v>
      </x:c>
      <x:c r="B720" s="11" t="str">
        <x:v>01548.HK</x:v>
      </x:c>
      <x:c r="C720" s="11" t="str">
        <x:v>placingNetHKDm</x:v>
      </x:c>
      <x:c r="D720" s="39" t="n">
        <x:v>2327.1</x:v>
      </x:c>
      <x:c r="E720" s="11" t="str">
        <x:v>HKD</x:v>
      </x:c>
      <x:c r="F720" s="11" t="str">
        <x:v>million</x:v>
      </x:c>
      <x:c r="G720" s="11" t="str">
        <x:v>2026-09-15</x:v>
      </x:c>
      <x:c r="H720" s="11" t="str">
        <x:v>2026-09-15</x:v>
      </x:c>
      <x:c r="I720" s="11" t="str">
        <x:v>https://iis.aastocks.com/20260915/12333062-0.PDF</x:v>
      </x:c>
      <x:c r="J720" s="11" t="str">
        <x:v>首度公开日期 2026-09-15</x:v>
      </x:c>
      <x:c r="K720" s="11" t="str">
        <x:v>2026-09-15</x:v>
      </x:c>
      <x:c r="L720" s="11" t="str">
        <x:v>精确发布时间未核验</x:v>
      </x:c>
      <x:c r="M720" s="11" t="str">
        <x:v>截止日前日期，盘中时分未核</x:v>
      </x:c>
    </x:row>
    <x:row r="721" ht="23" customHeight="1">
      <x:c r="A721" s="11" t="str">
        <x:v>I035</x:v>
      </x:c>
      <x:c r="B721" s="11" t="str">
        <x:v>01548.HK</x:v>
      </x:c>
      <x:c r="C721" s="11" t="str">
        <x:v>SeptOptionShares</x:v>
      </x:c>
      <x:c r="D721" s="39" t="n">
        <x:v>5953029</x:v>
      </x:c>
      <x:c r="E721" s="11" t="str">
        <x:v>not monetary</x:v>
      </x:c>
      <x:c r="F721" s="11" t="str">
        <x:v>shares</x:v>
      </x:c>
      <x:c r="G721" s="11" t="str">
        <x:v>2026-09-30</x:v>
      </x:c>
      <x:c r="H721" s="11" t="str">
        <x:v>2026-10-06</x:v>
      </x:c>
      <x:c r="I721" s="11" t="str">
        <x:v>https://iis.aastocks.com/20261006/12363992-0.PDF</x:v>
      </x:c>
      <x:c r="J721" s="11" t="str">
        <x:v>首度公开日期 2026-10-06</x:v>
      </x:c>
      <x:c r="K721" s="11" t="str">
        <x:v>2026-10-06</x:v>
      </x:c>
      <x:c r="L721" s="11" t="str">
        <x:v>精确发布时间未核验</x:v>
      </x:c>
      <x:c r="M721" s="11" t="str">
        <x:v>截止日前日期，盘中时分未核</x:v>
      </x:c>
    </x:row>
    <x:row r="722" ht="23" customHeight="1">
      <x:c r="A722" s="11" t="str">
        <x:v>I035</x:v>
      </x:c>
      <x:c r="B722" s="11" t="str">
        <x:v>01548.HK</x:v>
      </x:c>
      <x:c r="C722" s="11" t="str">
        <x:v>SeptOptionCashHKDm</x:v>
      </x:c>
      <x:c r="D722" s="39" t="n">
        <x:v>85.328526</x:v>
      </x:c>
      <x:c r="E722" s="11" t="str">
        <x:v>HKD</x:v>
      </x:c>
      <x:c r="F722" s="11" t="str">
        <x:v>million</x:v>
      </x:c>
      <x:c r="G722" s="11" t="str">
        <x:v>2026-09-30</x:v>
      </x:c>
      <x:c r="H722" s="11" t="str">
        <x:v>2026-10-06</x:v>
      </x:c>
      <x:c r="I722" s="11" t="str">
        <x:v>https://iis.aastocks.com/20261006/12363992-0.PDF</x:v>
      </x:c>
      <x:c r="J722" s="11" t="str">
        <x:v>首度公开日期 2026-10-06</x:v>
      </x:c>
      <x:c r="K722" s="11" t="str">
        <x:v>2026-10-06</x:v>
      </x:c>
      <x:c r="L722" s="11" t="str">
        <x:v>精确发布时间未核验</x:v>
      </x:c>
      <x:c r="M722" s="11" t="str">
        <x:v>截止日前日期，盘中时分未核</x:v>
      </x:c>
    </x:row>
    <x:row r="723" ht="23" customHeight="1">
      <x:c r="A723" s="11" t="str">
        <x:v>I001</x:v>
      </x:c>
      <x:c r="B723" s="11" t="str">
        <x:v>688139.SH</x:v>
      </x:c>
      <x:c r="C723" s="11" t="str">
        <x:v>revenue</x:v>
      </x:c>
      <x:c r="D723" s="39" t="n">
        <x:v>1296.47246072</x:v>
      </x:c>
      <x:c r="E723" s="11" t="str">
        <x:v>CNY</x:v>
      </x:c>
      <x:c r="F723" s="11" t="str">
        <x:v>million</x:v>
      </x:c>
      <x:c r="G723" s="11" t="str">
        <x:v>2026H1</x:v>
      </x:c>
      <x:c r="H723" s="11" t="str">
        <x:v>2026-08-20</x:v>
      </x:c>
      <x:c r="I723" s="11" t="str">
        <x:v>https://static.cninfo.com.cn/finalpage/2026-08-20/1225482454.PDF</x:v>
      </x:c>
      <x:c r="J723" s="11" t="str"/>
      <x:c r="K723" s="11" t="str">
        <x:v>待核</x:v>
      </x:c>
      <x:c r="L723" s="11" t="str">
        <x:v>精确发布时间未核验</x:v>
      </x:c>
      <x:c r="M723" s="11" t="str">
        <x:v>截止日前日期，盘中时分未核</x:v>
      </x:c>
    </x:row>
    <x:row r="724" ht="23" customHeight="1">
      <x:c r="A724" s="11" t="str">
        <x:v>I001</x:v>
      </x:c>
      <x:c r="B724" s="11" t="str">
        <x:v>688139.SH</x:v>
      </x:c>
      <x:c r="C724" s="11" t="str">
        <x:v>revenueGrowthPct</x:v>
      </x:c>
      <x:c r="D724" s="39" t="n">
        <x:v>8.45</x:v>
      </x:c>
      <x:c r="E724" s="11" t="str">
        <x:v>not monetary</x:v>
      </x:c>
      <x:c r="F724" s="11" t="str">
        <x:v>percent</x:v>
      </x:c>
      <x:c r="G724" s="11" t="str">
        <x:v>2026H1</x:v>
      </x:c>
      <x:c r="H724" s="11" t="str">
        <x:v>2026-08-20</x:v>
      </x:c>
      <x:c r="I724" s="11" t="str">
        <x:v>https://static.cninfo.com.cn/finalpage/2026-08-20/1225482454.PDF</x:v>
      </x:c>
      <x:c r="J724" s="11" t="str"/>
      <x:c r="K724" s="11" t="str">
        <x:v>待核</x:v>
      </x:c>
      <x:c r="L724" s="11" t="str">
        <x:v>精确发布时间未核验</x:v>
      </x:c>
      <x:c r="M724" s="11" t="str">
        <x:v>截止日前日期，盘中时分未核</x:v>
      </x:c>
    </x:row>
    <x:row r="725" ht="23" customHeight="1">
      <x:c r="A725" s="11" t="str">
        <x:v>I001</x:v>
      </x:c>
      <x:c r="B725" s="11" t="str">
        <x:v>688139.SH</x:v>
      </x:c>
      <x:c r="C725" s="11" t="str">
        <x:v>attributableProfit</x:v>
      </x:c>
      <x:c r="D725" s="39" t="n">
        <x:v>147.41455688</x:v>
      </x:c>
      <x:c r="E725" s="11" t="str">
        <x:v>CNY</x:v>
      </x:c>
      <x:c r="F725" s="11" t="str">
        <x:v>million</x:v>
      </x:c>
      <x:c r="G725" s="11" t="str">
        <x:v>2026H1</x:v>
      </x:c>
      <x:c r="H725" s="11" t="str">
        <x:v>2026-08-20</x:v>
      </x:c>
      <x:c r="I725" s="11" t="str">
        <x:v>https://static.cninfo.com.cn/finalpage/2026-08-20/1225482454.PDF</x:v>
      </x:c>
      <x:c r="J725" s="11" t="str"/>
      <x:c r="K725" s="11" t="str">
        <x:v>待核</x:v>
      </x:c>
      <x:c r="L725" s="11" t="str">
        <x:v>精确发布时间未核验</x:v>
      </x:c>
      <x:c r="M725" s="11" t="str">
        <x:v>截止日前日期，盘中时分未核</x:v>
      </x:c>
    </x:row>
    <x:row r="726" ht="23" customHeight="1">
      <x:c r="A726" s="11" t="str">
        <x:v>I001</x:v>
      </x:c>
      <x:c r="B726" s="11" t="str">
        <x:v>688139.SH</x:v>
      </x:c>
      <x:c r="C726" s="11" t="str">
        <x:v>profitGrowthPct</x:v>
      </x:c>
      <x:c r="D726" s="39" t="n">
        <x:v>3.28</x:v>
      </x:c>
      <x:c r="E726" s="11" t="str">
        <x:v>not monetary</x:v>
      </x:c>
      <x:c r="F726" s="11" t="str">
        <x:v>percent</x:v>
      </x:c>
      <x:c r="G726" s="11" t="str">
        <x:v>2026H1</x:v>
      </x:c>
      <x:c r="H726" s="11" t="str">
        <x:v>2026-08-20</x:v>
      </x:c>
      <x:c r="I726" s="11" t="str">
        <x:v>https://static.cninfo.com.cn/finalpage/2026-08-20/1225482454.PDF</x:v>
      </x:c>
      <x:c r="J726" s="11" t="str"/>
      <x:c r="K726" s="11" t="str">
        <x:v>待核</x:v>
      </x:c>
      <x:c r="L726" s="11" t="str">
        <x:v>精确发布时间未核验</x:v>
      </x:c>
      <x:c r="M726" s="11" t="str">
        <x:v>截止日前日期，盘中时分未核</x:v>
      </x:c>
    </x:row>
    <x:row r="727" ht="23" customHeight="1">
      <x:c r="A727" s="11" t="str">
        <x:v>I001</x:v>
      </x:c>
      <x:c r="B727" s="11" t="str">
        <x:v>688139.SH</x:v>
      </x:c>
      <x:c r="C727" s="11" t="str">
        <x:v>deductedProfit</x:v>
      </x:c>
      <x:c r="D727" s="39" t="n">
        <x:v>137.54765729</x:v>
      </x:c>
      <x:c r="E727" s="11" t="str">
        <x:v>CNY</x:v>
      </x:c>
      <x:c r="F727" s="11" t="str">
        <x:v>million</x:v>
      </x:c>
      <x:c r="G727" s="11" t="str">
        <x:v>2026H1</x:v>
      </x:c>
      <x:c r="H727" s="11" t="str">
        <x:v>2026-08-20</x:v>
      </x:c>
      <x:c r="I727" s="11" t="str">
        <x:v>https://static.cninfo.com.cn/finalpage/2026-08-20/1225482454.PDF</x:v>
      </x:c>
      <x:c r="J727" s="11" t="str"/>
      <x:c r="K727" s="11" t="str">
        <x:v>待核</x:v>
      </x:c>
      <x:c r="L727" s="11" t="str">
        <x:v>精确发布时间未核验</x:v>
      </x:c>
      <x:c r="M727" s="11" t="str">
        <x:v>截止日前日期，盘中时分未核</x:v>
      </x:c>
    </x:row>
    <x:row r="728" ht="23" customHeight="1">
      <x:c r="A728" s="11" t="str">
        <x:v>I001</x:v>
      </x:c>
      <x:c r="B728" s="11" t="str">
        <x:v>688139.SH</x:v>
      </x:c>
      <x:c r="C728" s="11" t="str">
        <x:v>deductedGrowthPct</x:v>
      </x:c>
      <x:c r="D728" s="39" t="n">
        <x:v>11.39</x:v>
      </x:c>
      <x:c r="E728" s="11" t="str">
        <x:v>not monetary</x:v>
      </x:c>
      <x:c r="F728" s="11" t="str">
        <x:v>percent</x:v>
      </x:c>
      <x:c r="G728" s="11" t="str">
        <x:v>2026H1</x:v>
      </x:c>
      <x:c r="H728" s="11" t="str">
        <x:v>2026-08-20</x:v>
      </x:c>
      <x:c r="I728" s="11" t="str">
        <x:v>https://static.cninfo.com.cn/finalpage/2026-08-20/1225482454.PDF</x:v>
      </x:c>
      <x:c r="J728" s="11" t="str"/>
      <x:c r="K728" s="11" t="str">
        <x:v>待核</x:v>
      </x:c>
      <x:c r="L728" s="11" t="str">
        <x:v>精确发布时间未核验</x:v>
      </x:c>
      <x:c r="M728" s="11" t="str">
        <x:v>截止日前日期，盘中时分未核</x:v>
      </x:c>
    </x:row>
    <x:row r="729" ht="23" customHeight="1">
      <x:c r="A729" s="11" t="str">
        <x:v>I001</x:v>
      </x:c>
      <x:c r="B729" s="11" t="str">
        <x:v>688139.SH</x:v>
      </x:c>
      <x:c r="C729" s="11" t="str">
        <x:v>totalNetProfit</x:v>
      </x:c>
      <x:c r="D729" s="39" t="n">
        <x:v>148.9155368</x:v>
      </x:c>
      <x:c r="E729" s="11" t="str">
        <x:v>CNY</x:v>
      </x:c>
      <x:c r="F729" s="11" t="str">
        <x:v>million</x:v>
      </x:c>
      <x:c r="G729" s="11" t="str">
        <x:v>2026H1</x:v>
      </x:c>
      <x:c r="H729" s="11" t="str">
        <x:v>2026-08-20</x:v>
      </x:c>
      <x:c r="I729" s="11" t="str">
        <x:v>https://static.cninfo.com.cn/finalpage/2026-08-20/1225482454.PDF</x:v>
      </x:c>
      <x:c r="J729" s="11" t="str"/>
      <x:c r="K729" s="11" t="str">
        <x:v>待核</x:v>
      </x:c>
      <x:c r="L729" s="11" t="str">
        <x:v>精确发布时间未核验</x:v>
      </x:c>
      <x:c r="M729" s="11" t="str">
        <x:v>截止日前日期，盘中时分未核</x:v>
      </x:c>
    </x:row>
    <x:row r="730" ht="23" customHeight="1">
      <x:c r="A730" s="11" t="str">
        <x:v>I001</x:v>
      </x:c>
      <x:c r="B730" s="11" t="str">
        <x:v>688139.SH</x:v>
      </x:c>
      <x:c r="C730" s="11" t="str">
        <x:v>minorityProfit</x:v>
      </x:c>
      <x:c r="D730" s="39" t="n">
        <x:v>1.50097992</x:v>
      </x:c>
      <x:c r="E730" s="11" t="str">
        <x:v>CNY</x:v>
      </x:c>
      <x:c r="F730" s="11" t="str">
        <x:v>million</x:v>
      </x:c>
      <x:c r="G730" s="11" t="str">
        <x:v>2026H1</x:v>
      </x:c>
      <x:c r="H730" s="11" t="str">
        <x:v>2026-08-20</x:v>
      </x:c>
      <x:c r="I730" s="11" t="str">
        <x:v>https://static.cninfo.com.cn/finalpage/2026-08-20/1225482454.PDF</x:v>
      </x:c>
      <x:c r="J730" s="11" t="str"/>
      <x:c r="K730" s="11" t="str">
        <x:v>待核</x:v>
      </x:c>
      <x:c r="L730" s="11" t="str">
        <x:v>精确发布时间未核验</x:v>
      </x:c>
      <x:c r="M730" s="11" t="str">
        <x:v>截止日前日期，盘中时分未核</x:v>
      </x:c>
    </x:row>
    <x:row r="731" ht="23" customHeight="1">
      <x:c r="A731" s="11" t="str">
        <x:v>I001</x:v>
      </x:c>
      <x:c r="B731" s="11" t="str">
        <x:v>688139.SH</x:v>
      </x:c>
      <x:c r="C731" s="11" t="str">
        <x:v>dilutedEPS</x:v>
      </x:c>
      <x:c r="D731" s="39" t="n">
        <x:v>0.47</x:v>
      </x:c>
      <x:c r="E731" s="11" t="str">
        <x:v>CNY</x:v>
      </x:c>
      <x:c r="F731" s="11" t="str">
        <x:v>per ordinary share</x:v>
      </x:c>
      <x:c r="G731" s="11" t="str">
        <x:v>2026H1</x:v>
      </x:c>
      <x:c r="H731" s="11" t="str">
        <x:v>2026-08-20</x:v>
      </x:c>
      <x:c r="I731" s="11" t="str">
        <x:v>https://static.cninfo.com.cn/finalpage/2026-08-20/1225482454.PDF</x:v>
      </x:c>
      <x:c r="J731" s="11" t="str"/>
      <x:c r="K731" s="11" t="str">
        <x:v>待核</x:v>
      </x:c>
      <x:c r="L731" s="11" t="str">
        <x:v>精确发布时间未核验</x:v>
      </x:c>
      <x:c r="M731" s="11" t="str">
        <x:v>截止日前日期，盘中时分未核</x:v>
      </x:c>
    </x:row>
    <x:row r="732" ht="23" customHeight="1">
      <x:c r="A732" s="11" t="str">
        <x:v>I001</x:v>
      </x:c>
      <x:c r="B732" s="11" t="str">
        <x:v>688139.SH</x:v>
      </x:c>
      <x:c r="C732" s="11" t="str">
        <x:v>OCF</x:v>
      </x:c>
      <x:c r="D732" s="39" t="n">
        <x:v>144.27557073</x:v>
      </x:c>
      <x:c r="E732" s="11" t="str">
        <x:v>CNY</x:v>
      </x:c>
      <x:c r="F732" s="11" t="str">
        <x:v>million</x:v>
      </x:c>
      <x:c r="G732" s="11" t="str">
        <x:v>2026H1</x:v>
      </x:c>
      <x:c r="H732" s="11" t="str">
        <x:v>2026-08-20</x:v>
      </x:c>
      <x:c r="I732" s="11" t="str">
        <x:v>https://static.cninfo.com.cn/finalpage/2026-08-20/1225482454.PDF</x:v>
      </x:c>
      <x:c r="J732" s="11" t="str"/>
      <x:c r="K732" s="11" t="str">
        <x:v>待核</x:v>
      </x:c>
      <x:c r="L732" s="11" t="str">
        <x:v>精确发布时间未核验</x:v>
      </x:c>
      <x:c r="M732" s="11" t="str">
        <x:v>截止日前日期，盘中时分未核</x:v>
      </x:c>
    </x:row>
    <x:row r="733" ht="23" customHeight="1">
      <x:c r="A733" s="11" t="str">
        <x:v>I001</x:v>
      </x:c>
      <x:c r="B733" s="11" t="str">
        <x:v>688139.SH</x:v>
      </x:c>
      <x:c r="C733" s="11" t="str">
        <x:v>capex</x:v>
      </x:c>
      <x:c r="D733" s="39" t="n">
        <x:v>35.79089912</x:v>
      </x:c>
      <x:c r="E733" s="11" t="str">
        <x:v>CNY</x:v>
      </x:c>
      <x:c r="F733" s="11" t="str">
        <x:v>million</x:v>
      </x:c>
      <x:c r="G733" s="11" t="str">
        <x:v>2026H1</x:v>
      </x:c>
      <x:c r="H733" s="11" t="str">
        <x:v>2026-08-20</x:v>
      </x:c>
      <x:c r="I733" s="11" t="str">
        <x:v>https://static.cninfo.com.cn/finalpage/2026-08-20/1225482454.PDF</x:v>
      </x:c>
      <x:c r="J733" s="11" t="str"/>
      <x:c r="K733" s="11" t="str">
        <x:v>待核</x:v>
      </x:c>
      <x:c r="L733" s="11" t="str">
        <x:v>精确发布时间未核验</x:v>
      </x:c>
      <x:c r="M733" s="11" t="str">
        <x:v>截止日前日期，盘中时分未核</x:v>
      </x:c>
    </x:row>
    <x:row r="734" ht="23" customHeight="1">
      <x:c r="A734" s="11" t="str">
        <x:v>I001</x:v>
      </x:c>
      <x:c r="B734" s="11" t="str">
        <x:v>688139.SH</x:v>
      </x:c>
      <x:c r="C734" s="11" t="str">
        <x:v>FCF</x:v>
      </x:c>
      <x:c r="D734" s="39" t="n">
        <x:v>108.48467161</x:v>
      </x:c>
      <x:c r="E734" s="11" t="str">
        <x:v>CNY</x:v>
      </x:c>
      <x:c r="F734" s="11" t="str">
        <x:v>million</x:v>
      </x:c>
      <x:c r="G734" s="11" t="str">
        <x:v>2026H1</x:v>
      </x:c>
      <x:c r="H734" s="11" t="str">
        <x:v>2026-08-20</x:v>
      </x:c>
      <x:c r="I734" s="11" t="str">
        <x:v>https://static.cninfo.com.cn/finalpage/2026-08-20/1225482454.PDF</x:v>
      </x:c>
      <x:c r="J734" s="11" t="str"/>
      <x:c r="K734" s="11" t="str">
        <x:v>待核</x:v>
      </x:c>
      <x:c r="L734" s="11" t="str">
        <x:v>精确发布时间未核验</x:v>
      </x:c>
      <x:c r="M734" s="11" t="str">
        <x:v>截止日前日期，盘中时分未核</x:v>
      </x:c>
    </x:row>
    <x:row r="735" ht="23" customHeight="1">
      <x:c r="A735" s="11" t="str">
        <x:v>I001</x:v>
      </x:c>
      <x:c r="B735" s="11" t="str">
        <x:v>688139.SH</x:v>
      </x:c>
      <x:c r="C735" s="11" t="str">
        <x:v>cashBank</x:v>
      </x:c>
      <x:c r="D735" s="39" t="n">
        <x:v>997.82329634</x:v>
      </x:c>
      <x:c r="E735" s="11" t="str">
        <x:v>CNY</x:v>
      </x:c>
      <x:c r="F735" s="11" t="str">
        <x:v>million</x:v>
      </x:c>
      <x:c r="G735" s="11" t="str">
        <x:v>2026H1</x:v>
      </x:c>
      <x:c r="H735" s="11" t="str">
        <x:v>2026-08-20</x:v>
      </x:c>
      <x:c r="I735" s="11" t="str">
        <x:v>https://static.cninfo.com.cn/finalpage/2026-08-20/1225482454.PDF</x:v>
      </x:c>
      <x:c r="J735" s="11" t="str"/>
      <x:c r="K735" s="11" t="str">
        <x:v>待核</x:v>
      </x:c>
      <x:c r="L735" s="11" t="str">
        <x:v>精确发布时间未核验</x:v>
      </x:c>
      <x:c r="M735" s="11" t="str">
        <x:v>截止日前日期，盘中时分未核</x:v>
      </x:c>
    </x:row>
    <x:row r="736" ht="23" customHeight="1">
      <x:c r="A736" s="11" t="str">
        <x:v>I001</x:v>
      </x:c>
      <x:c r="B736" s="11" t="str">
        <x:v>688139.SH</x:v>
      </x:c>
      <x:c r="C736" s="11" t="str">
        <x:v>cashCashEquivalents</x:v>
      </x:c>
      <x:c r="D736" s="39" t="n">
        <x:v>724.21926225</x:v>
      </x:c>
      <x:c r="E736" s="11" t="str">
        <x:v>CNY</x:v>
      </x:c>
      <x:c r="F736" s="11" t="str">
        <x:v>million</x:v>
      </x:c>
      <x:c r="G736" s="11" t="str">
        <x:v>2026H1</x:v>
      </x:c>
      <x:c r="H736" s="11" t="str">
        <x:v>2026-08-20</x:v>
      </x:c>
      <x:c r="I736" s="11" t="str">
        <x:v>https://static.cninfo.com.cn/finalpage/2026-08-20/1225482454.PDF</x:v>
      </x:c>
      <x:c r="J736" s="11" t="str"/>
      <x:c r="K736" s="11" t="str">
        <x:v>待核</x:v>
      </x:c>
      <x:c r="L736" s="11" t="str">
        <x:v>精确发布时间未核验</x:v>
      </x:c>
      <x:c r="M736" s="11" t="str">
        <x:v>截止日前日期，盘中时分未核</x:v>
      </x:c>
    </x:row>
    <x:row r="737" ht="23" customHeight="1">
      <x:c r="A737" s="11" t="str">
        <x:v>I001</x:v>
      </x:c>
      <x:c r="B737" s="11" t="str">
        <x:v>688139.SH</x:v>
      </x:c>
      <x:c r="C737" s="11" t="str">
        <x:v>restrictedCash</x:v>
      </x:c>
      <x:c r="D737" s="39" t="n">
        <x:v>4.0735223</x:v>
      </x:c>
      <x:c r="E737" s="11" t="str">
        <x:v>CNY</x:v>
      </x:c>
      <x:c r="F737" s="11" t="str">
        <x:v>million</x:v>
      </x:c>
      <x:c r="G737" s="11" t="str">
        <x:v>2026H1</x:v>
      </x:c>
      <x:c r="H737" s="11" t="str">
        <x:v>2026-08-20</x:v>
      </x:c>
      <x:c r="I737" s="11" t="str">
        <x:v>https://static.cninfo.com.cn/finalpage/2026-08-20/1225482454.PDF</x:v>
      </x:c>
      <x:c r="J737" s="11" t="str"/>
      <x:c r="K737" s="11" t="str">
        <x:v>待核</x:v>
      </x:c>
      <x:c r="L737" s="11" t="str">
        <x:v>精确发布时间未核验</x:v>
      </x:c>
      <x:c r="M737" s="11" t="str">
        <x:v>截止日前日期，盘中时分未核</x:v>
      </x:c>
    </x:row>
    <x:row r="738" ht="23" customHeight="1">
      <x:c r="A738" s="11" t="str">
        <x:v>I001</x:v>
      </x:c>
      <x:c r="B738" s="11" t="str">
        <x:v>688139.SH</x:v>
      </x:c>
      <x:c r="C738" s="11" t="str">
        <x:v>bankDebtIncludingCurrent</x:v>
      </x:c>
      <x:c r="D738" s="39" t="n">
        <x:v>19.99161929</x:v>
      </x:c>
      <x:c r="E738" s="11" t="str">
        <x:v>CNY</x:v>
      </x:c>
      <x:c r="F738" s="11" t="str">
        <x:v>million</x:v>
      </x:c>
      <x:c r="G738" s="11" t="str">
        <x:v>2026H1</x:v>
      </x:c>
      <x:c r="H738" s="11" t="str">
        <x:v>2026-08-20</x:v>
      </x:c>
      <x:c r="I738" s="11" t="str">
        <x:v>https://static.cninfo.com.cn/finalpage/2026-08-20/1225482454.PDF</x:v>
      </x:c>
      <x:c r="J738" s="11" t="str"/>
      <x:c r="K738" s="11" t="str">
        <x:v>待核</x:v>
      </x:c>
      <x:c r="L738" s="11" t="str">
        <x:v>精确发布时间未核验</x:v>
      </x:c>
      <x:c r="M738" s="11" t="str">
        <x:v>截止日前日期，盘中时分未核</x:v>
      </x:c>
    </x:row>
    <x:row r="739" ht="23" customHeight="1">
      <x:c r="A739" s="11" t="str">
        <x:v>I001</x:v>
      </x:c>
      <x:c r="B739" s="11" t="str">
        <x:v>688139.SH</x:v>
      </x:c>
      <x:c r="C739" s="11" t="str">
        <x:v>leaseDebtIncludingCurrent</x:v>
      </x:c>
      <x:c r="D739" s="39" t="n">
        <x:v>6.93414169</x:v>
      </x:c>
      <x:c r="E739" s="11" t="str">
        <x:v>CNY</x:v>
      </x:c>
      <x:c r="F739" s="11" t="str">
        <x:v>million</x:v>
      </x:c>
      <x:c r="G739" s="11" t="str">
        <x:v>2026H1</x:v>
      </x:c>
      <x:c r="H739" s="11" t="str">
        <x:v>2026-08-20</x:v>
      </x:c>
      <x:c r="I739" s="11" t="str">
        <x:v>https://static.cninfo.com.cn/finalpage/2026-08-20/1225482454.PDF</x:v>
      </x:c>
      <x:c r="J739" s="11" t="str"/>
      <x:c r="K739" s="11" t="str">
        <x:v>待核</x:v>
      </x:c>
      <x:c r="L739" s="11" t="str">
        <x:v>精确发布时间未核验</x:v>
      </x:c>
      <x:c r="M739" s="11" t="str">
        <x:v>截止日前日期，盘中时分未核</x:v>
      </x:c>
    </x:row>
    <x:row r="740" ht="23" customHeight="1">
      <x:c r="A740" s="11" t="str">
        <x:v>I001</x:v>
      </x:c>
      <x:c r="B740" s="11" t="str">
        <x:v>688139.SH</x:v>
      </x:c>
      <x:c r="C740" s="11" t="str">
        <x:v>acquisitionPayablesCurrent</x:v>
      </x:c>
      <x:c r="D740" s="39" t="n">
        <x:v>59.37998084</x:v>
      </x:c>
      <x:c r="E740" s="11" t="str">
        <x:v>CNY</x:v>
      </x:c>
      <x:c r="F740" s="11" t="str">
        <x:v>million</x:v>
      </x:c>
      <x:c r="G740" s="11" t="str">
        <x:v>2026H1</x:v>
      </x:c>
      <x:c r="H740" s="11" t="str">
        <x:v>2026-08-20</x:v>
      </x:c>
      <x:c r="I740" s="11" t="str">
        <x:v>https://static.cninfo.com.cn/finalpage/2026-08-20/1225482454.PDF</x:v>
      </x:c>
      <x:c r="J740" s="11" t="str"/>
      <x:c r="K740" s="11" t="str">
        <x:v>待核</x:v>
      </x:c>
      <x:c r="L740" s="11" t="str">
        <x:v>精确发布时间未核验</x:v>
      </x:c>
      <x:c r="M740" s="11" t="str">
        <x:v>截止日前日期，盘中时分未核</x:v>
      </x:c>
    </x:row>
    <x:row r="741" ht="23" customHeight="1">
      <x:c r="A741" s="11" t="str">
        <x:v>I001</x:v>
      </x:c>
      <x:c r="B741" s="11" t="str">
        <x:v>688139.SH</x:v>
      </x:c>
      <x:c r="C741" s="11" t="str">
        <x:v>totalLiabilities</x:v>
      </x:c>
      <x:c r="D741" s="39" t="n">
        <x:v>1157.33095085</x:v>
      </x:c>
      <x:c r="E741" s="11" t="str">
        <x:v>CNY</x:v>
      </x:c>
      <x:c r="F741" s="11" t="str">
        <x:v>million</x:v>
      </x:c>
      <x:c r="G741" s="11" t="str">
        <x:v>2026H1</x:v>
      </x:c>
      <x:c r="H741" s="11" t="str">
        <x:v>2026-08-20</x:v>
      </x:c>
      <x:c r="I741" s="11" t="str">
        <x:v>https://static.cninfo.com.cn/finalpage/2026-08-20/1225482454.PDF</x:v>
      </x:c>
      <x:c r="J741" s="11" t="str"/>
      <x:c r="K741" s="11" t="str">
        <x:v>待核</x:v>
      </x:c>
      <x:c r="L741" s="11" t="str">
        <x:v>精确发布时间未核验</x:v>
      </x:c>
      <x:c r="M741" s="11" t="str">
        <x:v>截止日前日期，盘中时分未核</x:v>
      </x:c>
    </x:row>
    <x:row r="742" ht="23" customHeight="1">
      <x:c r="A742" s="11" t="str">
        <x:v>I001</x:v>
      </x:c>
      <x:c r="B742" s="11" t="str">
        <x:v>688139.SH</x:v>
      </x:c>
      <x:c r="C742" s="11" t="str">
        <x:v>parentEquity</x:v>
      </x:c>
      <x:c r="D742" s="39" t="n">
        <x:v>4421.42154927</x:v>
      </x:c>
      <x:c r="E742" s="11" t="str">
        <x:v>CNY</x:v>
      </x:c>
      <x:c r="F742" s="11" t="str">
        <x:v>million</x:v>
      </x:c>
      <x:c r="G742" s="11" t="str">
        <x:v>2026H1</x:v>
      </x:c>
      <x:c r="H742" s="11" t="str">
        <x:v>2026-08-20</x:v>
      </x:c>
      <x:c r="I742" s="11" t="str">
        <x:v>https://static.cninfo.com.cn/finalpage/2026-08-20/1225482454.PDF</x:v>
      </x:c>
      <x:c r="J742" s="11" t="str"/>
      <x:c r="K742" s="11" t="str">
        <x:v>待核</x:v>
      </x:c>
      <x:c r="L742" s="11" t="str">
        <x:v>精确发布时间未核验</x:v>
      </x:c>
      <x:c r="M742" s="11" t="str">
        <x:v>截止日前日期，盘中时分未核</x:v>
      </x:c>
    </x:row>
    <x:row r="743" ht="23" customHeight="1">
      <x:c r="A743" s="11" t="str">
        <x:v>I001</x:v>
      </x:c>
      <x:c r="B743" s="11" t="str">
        <x:v>688139.SH</x:v>
      </x:c>
      <x:c r="C743" s="11" t="str">
        <x:v>goodwill</x:v>
      </x:c>
      <x:c r="D743" s="39" t="n">
        <x:v>757.71954674</x:v>
      </x:c>
      <x:c r="E743" s="11" t="str">
        <x:v>CNY</x:v>
      </x:c>
      <x:c r="F743" s="11" t="str">
        <x:v>million</x:v>
      </x:c>
      <x:c r="G743" s="11" t="str">
        <x:v>2026H1</x:v>
      </x:c>
      <x:c r="H743" s="11" t="str">
        <x:v>2026-08-20</x:v>
      </x:c>
      <x:c r="I743" s="11" t="str">
        <x:v>https://static.cninfo.com.cn/finalpage/2026-08-20/1225482454.PDF</x:v>
      </x:c>
      <x:c r="J743" s="11" t="str"/>
      <x:c r="K743" s="11" t="str">
        <x:v>待核</x:v>
      </x:c>
      <x:c r="L743" s="11" t="str">
        <x:v>精确发布时间未核验</x:v>
      </x:c>
      <x:c r="M743" s="11" t="str">
        <x:v>截止日前日期，盘中时分未核</x:v>
      </x:c>
    </x:row>
    <x:row r="744" ht="23" customHeight="1">
      <x:c r="A744" s="11" t="str">
        <x:v>I001</x:v>
      </x:c>
      <x:c r="B744" s="11" t="str">
        <x:v>688139.SH</x:v>
      </x:c>
      <x:c r="C744" s="11" t="str">
        <x:v>intangibles</x:v>
      </x:c>
      <x:c r="D744" s="39" t="n">
        <x:v>338.59631633</x:v>
      </x:c>
      <x:c r="E744" s="11" t="str">
        <x:v>CNY</x:v>
      </x:c>
      <x:c r="F744" s="11" t="str">
        <x:v>million</x:v>
      </x:c>
      <x:c r="G744" s="11" t="str">
        <x:v>2026H1</x:v>
      </x:c>
      <x:c r="H744" s="11" t="str">
        <x:v>2026-08-20</x:v>
      </x:c>
      <x:c r="I744" s="11" t="str">
        <x:v>https://static.cninfo.com.cn/finalpage/2026-08-20/1225482454.PDF</x:v>
      </x:c>
      <x:c r="J744" s="11" t="str"/>
      <x:c r="K744" s="11" t="str">
        <x:v>待核</x:v>
      </x:c>
      <x:c r="L744" s="11" t="str">
        <x:v>精确发布时间未核验</x:v>
      </x:c>
      <x:c r="M744" s="11" t="str">
        <x:v>截止日前日期，盘中时分未核</x:v>
      </x:c>
    </x:row>
    <x:row r="745" ht="23" customHeight="1">
      <x:c r="A745" s="11" t="str">
        <x:v>I001</x:v>
      </x:c>
      <x:c r="B745" s="11" t="str">
        <x:v>688139.SH</x:v>
      </x:c>
      <x:c r="C745" s="11" t="str">
        <x:v>RDExpensed</x:v>
      </x:c>
      <x:c r="D745" s="39" t="n">
        <x:v>172.49742242</x:v>
      </x:c>
      <x:c r="E745" s="11" t="str">
        <x:v>CNY</x:v>
      </x:c>
      <x:c r="F745" s="11" t="str">
        <x:v>million</x:v>
      </x:c>
      <x:c r="G745" s="11" t="str">
        <x:v>2026H1</x:v>
      </x:c>
      <x:c r="H745" s="11" t="str">
        <x:v>2026-08-20</x:v>
      </x:c>
      <x:c r="I745" s="11" t="str">
        <x:v>https://static.cninfo.com.cn/finalpage/2026-08-20/1225482454.PDF</x:v>
      </x:c>
      <x:c r="J745" s="11" t="str"/>
      <x:c r="K745" s="11" t="str">
        <x:v>待核</x:v>
      </x:c>
      <x:c r="L745" s="11" t="str">
        <x:v>精确发布时间未核验</x:v>
      </x:c>
      <x:c r="M745" s="11" t="str">
        <x:v>截止日前日期，盘中时分未核</x:v>
      </x:c>
    </x:row>
    <x:row r="746" ht="23" customHeight="1">
      <x:c r="A746" s="11" t="str">
        <x:v>I001</x:v>
      </x:c>
      <x:c r="B746" s="11" t="str">
        <x:v>688139.SH</x:v>
      </x:c>
      <x:c r="C746" s="11" t="str">
        <x:v>RDCapitalized</x:v>
      </x:c>
      <x:c r="D746" s="39" t="n">
        <x:v>0</x:v>
      </x:c>
      <x:c r="E746" s="11" t="str">
        <x:v>CNY</x:v>
      </x:c>
      <x:c r="F746" s="11" t="str">
        <x:v>million</x:v>
      </x:c>
      <x:c r="G746" s="11" t="str">
        <x:v>2026H1</x:v>
      </x:c>
      <x:c r="H746" s="11" t="str">
        <x:v>2026-08-20</x:v>
      </x:c>
      <x:c r="I746" s="11" t="str">
        <x:v>https://static.cninfo.com.cn/finalpage/2026-08-20/1225482454.PDF</x:v>
      </x:c>
      <x:c r="J746" s="11" t="str"/>
      <x:c r="K746" s="11" t="str">
        <x:v>待核</x:v>
      </x:c>
      <x:c r="L746" s="11" t="str">
        <x:v>精确发布时间未核验</x:v>
      </x:c>
      <x:c r="M746" s="11" t="str">
        <x:v>截止日前日期，盘中时分未核</x:v>
      </x:c>
    </x:row>
    <x:row r="747" ht="23" customHeight="1">
      <x:c r="A747" s="11" t="str">
        <x:v>I001</x:v>
      </x:c>
      <x:c r="B747" s="11" t="str">
        <x:v>688139.SH</x:v>
      </x:c>
      <x:c r="C747" s="11" t="str">
        <x:v>RDIntensityPct</x:v>
      </x:c>
      <x:c r="D747" s="39" t="n">
        <x:v>13.31</x:v>
      </x:c>
      <x:c r="E747" s="11" t="str">
        <x:v>not monetary</x:v>
      </x:c>
      <x:c r="F747" s="11" t="str">
        <x:v>percent</x:v>
      </x:c>
      <x:c r="G747" s="11" t="str">
        <x:v>2026H1</x:v>
      </x:c>
      <x:c r="H747" s="11" t="str">
        <x:v>2026-08-20</x:v>
      </x:c>
      <x:c r="I747" s="11" t="str">
        <x:v>https://static.cninfo.com.cn/finalpage/2026-08-20/1225482454.PDF</x:v>
      </x:c>
      <x:c r="J747" s="11" t="str"/>
      <x:c r="K747" s="11" t="str">
        <x:v>待核</x:v>
      </x:c>
      <x:c r="L747" s="11" t="str">
        <x:v>精确发布时间未核验</x:v>
      </x:c>
      <x:c r="M747" s="11" t="str">
        <x:v>截止日前日期，盘中时分未核</x:v>
      </x:c>
    </x:row>
    <x:row r="748" ht="23" customHeight="1">
      <x:c r="A748" s="11" t="str">
        <x:v>I001</x:v>
      </x:c>
      <x:c r="B748" s="11" t="str">
        <x:v>688139.SH</x:v>
      </x:c>
      <x:c r="C748" s="11" t="str">
        <x:v>FXLoss</x:v>
      </x:c>
      <x:c r="D748" s="39" t="n">
        <x:v>11.82404346</x:v>
      </x:c>
      <x:c r="E748" s="11" t="str">
        <x:v>CNY</x:v>
      </x:c>
      <x:c r="F748" s="11" t="str">
        <x:v>million</x:v>
      </x:c>
      <x:c r="G748" s="11" t="str">
        <x:v>2026H1</x:v>
      </x:c>
      <x:c r="H748" s="11" t="str">
        <x:v>2026-08-20</x:v>
      </x:c>
      <x:c r="I748" s="11" t="str">
        <x:v>https://static.cninfo.com.cn/finalpage/2026-08-20/1225482454.PDF</x:v>
      </x:c>
      <x:c r="J748" s="11" t="str"/>
      <x:c r="K748" s="11" t="str">
        <x:v>待核</x:v>
      </x:c>
      <x:c r="L748" s="11" t="str">
        <x:v>精确发布时间未核验</x:v>
      </x:c>
      <x:c r="M748" s="11" t="str">
        <x:v>截止日前日期，盘中时分未核</x:v>
      </x:c>
    </x:row>
    <x:row r="749" ht="23" customHeight="1">
      <x:c r="A749" s="11" t="str">
        <x:v>I001</x:v>
      </x:c>
      <x:c r="B749" s="11" t="str">
        <x:v>688139.SH</x:v>
      </x:c>
      <x:c r="C749" s="11" t="str">
        <x:v>FXGain2025H1</x:v>
      </x:c>
      <x:c r="D749" s="39" t="n">
        <x:v>4.77656323</x:v>
      </x:c>
      <x:c r="E749" s="11" t="str">
        <x:v>CNY</x:v>
      </x:c>
      <x:c r="F749" s="11" t="str">
        <x:v>million</x:v>
      </x:c>
      <x:c r="G749" s="11" t="str">
        <x:v>2025H1</x:v>
      </x:c>
      <x:c r="H749" s="11" t="str">
        <x:v>2026-08-20</x:v>
      </x:c>
      <x:c r="I749" s="11" t="str">
        <x:v>https://static.cninfo.com.cn/finalpage/2026-08-20/1225482454.PDF</x:v>
      </x:c>
      <x:c r="J749" s="11" t="str"/>
      <x:c r="K749" s="11" t="str">
        <x:v>待核</x:v>
      </x:c>
      <x:c r="L749" s="11" t="str">
        <x:v>精确发布时间未核验</x:v>
      </x:c>
      <x:c r="M749" s="11" t="str">
        <x:v>截止日前日期，盘中时分未核</x:v>
      </x:c>
    </x:row>
    <x:row r="750" ht="23" customHeight="1">
      <x:c r="A750" s="11" t="str">
        <x:v>I001</x:v>
      </x:c>
      <x:c r="B750" s="11" t="str">
        <x:v>688139.SH</x:v>
      </x:c>
      <x:c r="C750" s="11" t="str">
        <x:v>internationalRevenueApprox</x:v>
      </x:c>
      <x:c r="D750" s="39" t="n">
        <x:v>428</x:v>
      </x:c>
      <x:c r="E750" s="11" t="str">
        <x:v>CNY</x:v>
      </x:c>
      <x:c r="F750" s="11" t="str">
        <x:v>million</x:v>
      </x:c>
      <x:c r="G750" s="11" t="str">
        <x:v>2026H1</x:v>
      </x:c>
      <x:c r="H750" s="11" t="str">
        <x:v>2026-08-20</x:v>
      </x:c>
      <x:c r="I750" s="11" t="str">
        <x:v>https://static.cninfo.com.cn/finalpage/2026-08-20/1225482454.PDF</x:v>
      </x:c>
      <x:c r="J750" s="11" t="str"/>
      <x:c r="K750" s="11" t="str">
        <x:v>待核</x:v>
      </x:c>
      <x:c r="L750" s="11" t="str">
        <x:v>精确发布时间未核验</x:v>
      </x:c>
      <x:c r="M750" s="11" t="str">
        <x:v>截止日前日期，盘中时分未核</x:v>
      </x:c>
    </x:row>
    <x:row r="751" ht="23" customHeight="1">
      <x:c r="A751" s="11" t="str">
        <x:v>I001</x:v>
      </x:c>
      <x:c r="B751" s="11" t="str">
        <x:v>688139.SH</x:v>
      </x:c>
      <x:c r="C751" s="11" t="str">
        <x:v>internationalReportedGrowthPct</x:v>
      </x:c>
      <x:c r="D751" s="39" t="n">
        <x:v>0.17</x:v>
      </x:c>
      <x:c r="E751" s="11" t="str">
        <x:v>not monetary</x:v>
      </x:c>
      <x:c r="F751" s="11" t="str">
        <x:v>percent</x:v>
      </x:c>
      <x:c r="G751" s="11" t="str">
        <x:v>2026H1</x:v>
      </x:c>
      <x:c r="H751" s="11" t="str">
        <x:v>2026-08-20</x:v>
      </x:c>
      <x:c r="I751" s="11" t="str">
        <x:v>https://static.cninfo.com.cn/finalpage/2026-08-20/1225482454.PDF</x:v>
      </x:c>
      <x:c r="J751" s="11" t="str"/>
      <x:c r="K751" s="11" t="str">
        <x:v>待核</x:v>
      </x:c>
      <x:c r="L751" s="11" t="str">
        <x:v>精确发布时间未核验</x:v>
      </x:c>
      <x:c r="M751" s="11" t="str">
        <x:v>截止日前日期，盘中时分未核</x:v>
      </x:c>
    </x:row>
    <x:row r="752" ht="23" customHeight="1">
      <x:c r="A752" s="11" t="str">
        <x:v>I001</x:v>
      </x:c>
      <x:c r="B752" s="11" t="str">
        <x:v>688139.SH</x:v>
      </x:c>
      <x:c r="C752" s="11" t="str">
        <x:v>internationalAdjustedGrowthPct</x:v>
      </x:c>
      <x:c r="D752" s="39" t="n">
        <x:v>18</x:v>
      </x:c>
      <x:c r="E752" s="11" t="str">
        <x:v>not monetary</x:v>
      </x:c>
      <x:c r="F752" s="11" t="str">
        <x:v>percent</x:v>
      </x:c>
      <x:c r="G752" s="11" t="str">
        <x:v>2026H1</x:v>
      </x:c>
      <x:c r="H752" s="11" t="str">
        <x:v>2026-08-20</x:v>
      </x:c>
      <x:c r="I752" s="11" t="str">
        <x:v>https://static.cninfo.com.cn/finalpage/2026-08-20/1225482454.PDF</x:v>
      </x:c>
      <x:c r="J752" s="11" t="str"/>
      <x:c r="K752" s="11" t="str">
        <x:v>待核</x:v>
      </x:c>
      <x:c r="L752" s="11" t="str">
        <x:v>精确发布时间未核验</x:v>
      </x:c>
      <x:c r="M752" s="11" t="str">
        <x:v>截止日前日期，盘中时分未核</x:v>
      </x:c>
    </x:row>
    <x:row r="753" ht="23" customHeight="1">
      <x:c r="A753" s="11" t="str">
        <x:v>I001</x:v>
      </x:c>
      <x:c r="B753" s="11" t="str">
        <x:v>688139.SH</x:v>
      </x:c>
      <x:c r="C753" s="11" t="str">
        <x:v>domesticRevenueApprox</x:v>
      </x:c>
      <x:c r="D753" s="39" t="n">
        <x:v>865</x:v>
      </x:c>
      <x:c r="E753" s="11" t="str">
        <x:v>CNY</x:v>
      </x:c>
      <x:c r="F753" s="11" t="str">
        <x:v>million</x:v>
      </x:c>
      <x:c r="G753" s="11" t="str">
        <x:v>2026H1</x:v>
      </x:c>
      <x:c r="H753" s="11" t="str">
        <x:v>2026-08-20</x:v>
      </x:c>
      <x:c r="I753" s="11" t="str">
        <x:v>https://static.cninfo.com.cn/finalpage/2026-08-20/1225482454.PDF</x:v>
      </x:c>
      <x:c r="J753" s="11" t="str"/>
      <x:c r="K753" s="11" t="str">
        <x:v>待核</x:v>
      </x:c>
      <x:c r="L753" s="11" t="str">
        <x:v>精确发布时间未核验</x:v>
      </x:c>
      <x:c r="M753" s="11" t="str">
        <x:v>截止日前日期，盘中时分未核</x:v>
      </x:c>
    </x:row>
    <x:row r="754" ht="23" customHeight="1">
      <x:c r="A754" s="11" t="str">
        <x:v>I001</x:v>
      </x:c>
      <x:c r="B754" s="11" t="str">
        <x:v>688139.SH</x:v>
      </x:c>
      <x:c r="C754" s="11" t="str">
        <x:v>domesticGrowthPct</x:v>
      </x:c>
      <x:c r="D754" s="39" t="n">
        <x:v>13.69</x:v>
      </x:c>
      <x:c r="E754" s="11" t="str">
        <x:v>not monetary</x:v>
      </x:c>
      <x:c r="F754" s="11" t="str">
        <x:v>percent</x:v>
      </x:c>
      <x:c r="G754" s="11" t="str">
        <x:v>2026H1</x:v>
      </x:c>
      <x:c r="H754" s="11" t="str">
        <x:v>2026-08-20</x:v>
      </x:c>
      <x:c r="I754" s="11" t="str">
        <x:v>https://static.cninfo.com.cn/finalpage/2026-08-20/1225482454.PDF</x:v>
      </x:c>
      <x:c r="J754" s="11" t="str"/>
      <x:c r="K754" s="11" t="str">
        <x:v>待核</x:v>
      </x:c>
      <x:c r="L754" s="11" t="str">
        <x:v>精确发布时间未核验</x:v>
      </x:c>
      <x:c r="M754" s="11" t="str">
        <x:v>截止日前日期，盘中时分未核</x:v>
      </x:c>
    </x:row>
    <x:row r="755" ht="23" customHeight="1">
      <x:c r="A755" s="11" t="str">
        <x:v>I029</x:v>
      </x:c>
      <x:c r="B755" s="11" t="str">
        <x:v>03692.HK</x:v>
      </x:c>
      <x:c r="C755" s="11" t="str">
        <x:v>productSales</x:v>
      </x:c>
      <x:c r="D755" s="39" t="n">
        <x:v>6843.069</x:v>
      </x:c>
      <x:c r="E755" s="11" t="str">
        <x:v>CNY</x:v>
      </x:c>
      <x:c r="F755" s="11" t="str">
        <x:v>million</x:v>
      </x:c>
      <x:c r="G755" s="11" t="str">
        <x:v>2026H1</x:v>
      </x:c>
      <x:c r="H755" s="11" t="str">
        <x:v>2026-09-23</x:v>
      </x:c>
      <x:c r="I755" s="11" t="str">
        <x:v>https://iis.aastocks.com/20260923/12342815-0.PDF</x:v>
      </x:c>
      <x:c r="J755" s="11" t="str"/>
      <x:c r="K755" s="11" t="str">
        <x:v>待核</x:v>
      </x:c>
      <x:c r="L755" s="11" t="str">
        <x:v>精确发布时间未核验</x:v>
      </x:c>
      <x:c r="M755" s="11" t="str">
        <x:v>截止日前日期，盘中时分未核</x:v>
      </x:c>
    </x:row>
    <x:row r="756" ht="23" customHeight="1">
      <x:c r="A756" s="11" t="str">
        <x:v>I029</x:v>
      </x:c>
      <x:c r="B756" s="11" t="str">
        <x:v>03692.HK</x:v>
      </x:c>
      <x:c r="C756" s="11" t="str">
        <x:v>otherContractRevenue</x:v>
      </x:c>
      <x:c r="D756" s="39" t="n">
        <x:v>1460.938</x:v>
      </x:c>
      <x:c r="E756" s="11" t="str">
        <x:v>CNY</x:v>
      </x:c>
      <x:c r="F756" s="11" t="str">
        <x:v>million</x:v>
      </x:c>
      <x:c r="G756" s="11" t="str">
        <x:v>2026H1</x:v>
      </x:c>
      <x:c r="H756" s="11" t="str">
        <x:v>2026-09-23</x:v>
      </x:c>
      <x:c r="I756" s="11" t="str">
        <x:v>https://iis.aastocks.com/20260923/12342815-0.PDF</x:v>
      </x:c>
      <x:c r="J756" s="11" t="str"/>
      <x:c r="K756" s="11" t="str">
        <x:v>待核</x:v>
      </x:c>
      <x:c r="L756" s="11" t="str">
        <x:v>精确发布时间未核验</x:v>
      </x:c>
      <x:c r="M756" s="11" t="str">
        <x:v>截止日前日期，盘中时分未核</x:v>
      </x:c>
    </x:row>
    <x:row r="757" ht="23" customHeight="1">
      <x:c r="A757" s="11" t="str">
        <x:v>I029</x:v>
      </x:c>
      <x:c r="B757" s="11" t="str">
        <x:v>03692.HK</x:v>
      </x:c>
      <x:c r="C757" s="11" t="str">
        <x:v>innovativeRevenueIncludingCooperationApprox</x:v>
      </x:c>
      <x:c r="D757" s="39" t="n">
        <x:v>7092</x:v>
      </x:c>
      <x:c r="E757" s="11" t="str">
        <x:v>CNY</x:v>
      </x:c>
      <x:c r="F757" s="11" t="str">
        <x:v>million</x:v>
      </x:c>
      <x:c r="G757" s="11" t="str">
        <x:v>2026H1</x:v>
      </x:c>
      <x:c r="H757" s="11" t="str">
        <x:v>2026-09-23</x:v>
      </x:c>
      <x:c r="I757" s="11" t="str">
        <x:v>https://iis.aastocks.com/20260923/12342815-0.PDF</x:v>
      </x:c>
      <x:c r="J757" s="11" t="str"/>
      <x:c r="K757" s="11" t="str">
        <x:v>待核</x:v>
      </x:c>
      <x:c r="L757" s="11" t="str">
        <x:v>精确发布时间未核验</x:v>
      </x:c>
      <x:c r="M757" s="11" t="str">
        <x:v>截止日前日期，盘中时分未核</x:v>
      </x:c>
    </x:row>
    <x:row r="758" ht="23" customHeight="1">
      <x:c r="A758" s="11" t="str">
        <x:v>I029</x:v>
      </x:c>
      <x:c r="B758" s="11" t="str">
        <x:v>03692.HK</x:v>
      </x:c>
      <x:c r="C758" s="11" t="str">
        <x:v>grossProfit</x:v>
      </x:c>
      <x:c r="D758" s="39" t="n">
        <x:v>7632.924</x:v>
      </x:c>
      <x:c r="E758" s="11" t="str">
        <x:v>CNY</x:v>
      </x:c>
      <x:c r="F758" s="11" t="str">
        <x:v>million</x:v>
      </x:c>
      <x:c r="G758" s="11" t="str">
        <x:v>2026H1</x:v>
      </x:c>
      <x:c r="H758" s="11" t="str">
        <x:v>2026-09-23</x:v>
      </x:c>
      <x:c r="I758" s="11" t="str">
        <x:v>https://iis.aastocks.com/20260923/12342815-0.PDF</x:v>
      </x:c>
      <x:c r="J758" s="11" t="str"/>
      <x:c r="K758" s="11" t="str">
        <x:v>待核</x:v>
      </x:c>
      <x:c r="L758" s="11" t="str">
        <x:v>精确发布时间未核验</x:v>
      </x:c>
      <x:c r="M758" s="11" t="str">
        <x:v>截止日前日期，盘中时分未核</x:v>
      </x:c>
    </x:row>
    <x:row r="759" ht="23" customHeight="1">
      <x:c r="A759" s="11" t="str">
        <x:v>I029</x:v>
      </x:c>
      <x:c r="B759" s="11" t="str">
        <x:v>03692.HK</x:v>
      </x:c>
      <x:c r="C759" s="11" t="str">
        <x:v>investmentIncome</x:v>
      </x:c>
      <x:c r="D759" s="39" t="n">
        <x:v>631.083</x:v>
      </x:c>
      <x:c r="E759" s="11" t="str">
        <x:v>CNY</x:v>
      </x:c>
      <x:c r="F759" s="11" t="str">
        <x:v>million</x:v>
      </x:c>
      <x:c r="G759" s="11" t="str">
        <x:v>2026H1</x:v>
      </x:c>
      <x:c r="H759" s="11" t="str">
        <x:v>2026-09-23</x:v>
      </x:c>
      <x:c r="I759" s="11" t="str">
        <x:v>https://iis.aastocks.com/20260923/12342815-0.PDF</x:v>
      </x:c>
      <x:c r="J759" s="11" t="str"/>
      <x:c r="K759" s="11" t="str">
        <x:v>待核</x:v>
      </x:c>
      <x:c r="L759" s="11" t="str">
        <x:v>精确发布时间未核验</x:v>
      </x:c>
      <x:c r="M759" s="11" t="str">
        <x:v>截止日前日期，盘中时分未核</x:v>
      </x:c>
    </x:row>
    <x:row r="760" ht="23" customHeight="1">
      <x:c r="A760" s="11" t="str">
        <x:v>I029</x:v>
      </x:c>
      <x:c r="B760" s="11" t="str">
        <x:v>03692.HK</x:v>
      </x:c>
      <x:c r="C760" s="11" t="str">
        <x:v>bankInterest</x:v>
      </x:c>
      <x:c r="D760" s="39" t="n">
        <x:v>630.498</x:v>
      </x:c>
      <x:c r="E760" s="11" t="str">
        <x:v>CNY</x:v>
      </x:c>
      <x:c r="F760" s="11" t="str">
        <x:v>million</x:v>
      </x:c>
      <x:c r="G760" s="11" t="str">
        <x:v>2026H1</x:v>
      </x:c>
      <x:c r="H760" s="11" t="str">
        <x:v>2026-09-23</x:v>
      </x:c>
      <x:c r="I760" s="11" t="str">
        <x:v>https://iis.aastocks.com/20260923/12342815-0.PDF</x:v>
      </x:c>
      <x:c r="J760" s="11" t="str"/>
      <x:c r="K760" s="11" t="str">
        <x:v>待核</x:v>
      </x:c>
      <x:c r="L760" s="11" t="str">
        <x:v>精确发布时间未核验</x:v>
      </x:c>
      <x:c r="M760" s="11" t="str">
        <x:v>截止日前日期，盘中时分未核</x:v>
      </x:c>
    </x:row>
    <x:row r="761" ht="23" customHeight="1">
      <x:c r="A761" s="11" t="str">
        <x:v>I029</x:v>
      </x:c>
      <x:c r="B761" s="11" t="str">
        <x:v>03692.HK</x:v>
      </x:c>
      <x:c r="C761" s="11" t="str">
        <x:v>investmentFairValueGain</x:v>
      </x:c>
      <x:c r="D761" s="39" t="n">
        <x:v>74.818</x:v>
      </x:c>
      <x:c r="E761" s="11" t="str">
        <x:v>CNY</x:v>
      </x:c>
      <x:c r="F761" s="11" t="str">
        <x:v>million</x:v>
      </x:c>
      <x:c r="G761" s="11" t="str">
        <x:v>2026H1</x:v>
      </x:c>
      <x:c r="H761" s="11" t="str">
        <x:v>2026-09-23</x:v>
      </x:c>
      <x:c r="I761" s="11" t="str">
        <x:v>https://iis.aastocks.com/20260923/12342815-0.PDF</x:v>
      </x:c>
      <x:c r="J761" s="11" t="str"/>
      <x:c r="K761" s="11" t="str">
        <x:v>待核</x:v>
      </x:c>
      <x:c r="L761" s="11" t="str">
        <x:v>精确发布时间未核验</x:v>
      </x:c>
      <x:c r="M761" s="11" t="str">
        <x:v>截止日前日期，盘中时分未核</x:v>
      </x:c>
    </x:row>
    <x:row r="762" ht="23" customHeight="1">
      <x:c r="A762" s="11" t="str">
        <x:v>I029</x:v>
      </x:c>
      <x:c r="B762" s="11" t="str">
        <x:v>03692.HK</x:v>
      </x:c>
      <x:c r="C762" s="11" t="str">
        <x:v>governmentGrant</x:v>
      </x:c>
      <x:c r="D762" s="39" t="n">
        <x:v>56.397</x:v>
      </x:c>
      <x:c r="E762" s="11" t="str">
        <x:v>CNY</x:v>
      </x:c>
      <x:c r="F762" s="11" t="str">
        <x:v>million</x:v>
      </x:c>
      <x:c r="G762" s="11" t="str">
        <x:v>2026H1</x:v>
      </x:c>
      <x:c r="H762" s="11" t="str">
        <x:v>2026-09-23</x:v>
      </x:c>
      <x:c r="I762" s="11" t="str">
        <x:v>https://iis.aastocks.com/20260923/12342815-0.PDF</x:v>
      </x:c>
      <x:c r="J762" s="11" t="str"/>
      <x:c r="K762" s="11" t="str">
        <x:v>待核</x:v>
      </x:c>
      <x:c r="L762" s="11" t="str">
        <x:v>精确发布时间未核验</x:v>
      </x:c>
      <x:c r="M762" s="11" t="str">
        <x:v>截止日前日期，盘中时分未核</x:v>
      </x:c>
    </x:row>
    <x:row r="763" ht="23" customHeight="1">
      <x:c r="A763" s="11" t="str">
        <x:v>I029</x:v>
      </x:c>
      <x:c r="B763" s="11" t="str">
        <x:v>03692.HK</x:v>
      </x:c>
      <x:c r="C763" s="11" t="str">
        <x:v>research</x:v>
      </x:c>
      <x:c r="D763" s="39" t="n">
        <x:v>1739.38</x:v>
      </x:c>
      <x:c r="E763" s="11" t="str">
        <x:v>CNY</x:v>
      </x:c>
      <x:c r="F763" s="11" t="str">
        <x:v>million</x:v>
      </x:c>
      <x:c r="G763" s="11" t="str">
        <x:v>2026H1</x:v>
      </x:c>
      <x:c r="H763" s="11" t="str">
        <x:v>2026-09-23</x:v>
      </x:c>
      <x:c r="I763" s="11" t="str">
        <x:v>https://iis.aastocks.com/20260923/12342815-0.PDF</x:v>
      </x:c>
      <x:c r="J763" s="11" t="str"/>
      <x:c r="K763" s="11" t="str">
        <x:v>待核</x:v>
      </x:c>
      <x:c r="L763" s="11" t="str">
        <x:v>精确发布时间未核验</x:v>
      </x:c>
      <x:c r="M763" s="11" t="str">
        <x:v>截止日前日期，盘中时分未核</x:v>
      </x:c>
    </x:row>
    <x:row r="764" ht="23" customHeight="1">
      <x:c r="A764" s="11" t="str">
        <x:v>I029</x:v>
      </x:c>
      <x:c r="B764" s="11" t="str">
        <x:v>03692.HK</x:v>
      </x:c>
      <x:c r="C764" s="11" t="str">
        <x:v>salesExpense</x:v>
      </x:c>
      <x:c r="D764" s="39" t="n">
        <x:v>1860.652</x:v>
      </x:c>
      <x:c r="E764" s="11" t="str">
        <x:v>CNY</x:v>
      </x:c>
      <x:c r="F764" s="11" t="str">
        <x:v>million</x:v>
      </x:c>
      <x:c r="G764" s="11" t="str">
        <x:v>2026H1</x:v>
      </x:c>
      <x:c r="H764" s="11" t="str">
        <x:v>2026-09-23</x:v>
      </x:c>
      <x:c r="I764" s="11" t="str">
        <x:v>https://iis.aastocks.com/20260923/12342815-0.PDF</x:v>
      </x:c>
      <x:c r="J764" s="11" t="str"/>
      <x:c r="K764" s="11" t="str">
        <x:v>待核</x:v>
      </x:c>
      <x:c r="L764" s="11" t="str">
        <x:v>精确发布时间未核验</x:v>
      </x:c>
      <x:c r="M764" s="11" t="str">
        <x:v>截止日前日期，盘中时分未核</x:v>
      </x:c>
    </x:row>
    <x:row r="765" ht="23" customHeight="1">
      <x:c r="A765" s="11" t="str">
        <x:v>I029</x:v>
      </x:c>
      <x:c r="B765" s="11" t="str">
        <x:v>03692.HK</x:v>
      </x:c>
      <x:c r="C765" s="11" t="str">
        <x:v>admin</x:v>
      </x:c>
      <x:c r="D765" s="39" t="n">
        <x:v>326.441</x:v>
      </x:c>
      <x:c r="E765" s="11" t="str">
        <x:v>CNY</x:v>
      </x:c>
      <x:c r="F765" s="11" t="str">
        <x:v>million</x:v>
      </x:c>
      <x:c r="G765" s="11" t="str">
        <x:v>2026H1</x:v>
      </x:c>
      <x:c r="H765" s="11" t="str">
        <x:v>2026-09-23</x:v>
      </x:c>
      <x:c r="I765" s="11" t="str">
        <x:v>https://iis.aastocks.com/20260923/12342815-0.PDF</x:v>
      </x:c>
      <x:c r="J765" s="11" t="str"/>
      <x:c r="K765" s="11" t="str">
        <x:v>待核</x:v>
      </x:c>
      <x:c r="L765" s="11" t="str">
        <x:v>精确发布时间未核验</x:v>
      </x:c>
      <x:c r="M765" s="11" t="str">
        <x:v>截止日前日期，盘中时分未核</x:v>
      </x:c>
    </x:row>
    <x:row r="766" ht="23" customHeight="1">
      <x:c r="A766" s="11" t="str">
        <x:v>I029</x:v>
      </x:c>
      <x:c r="B766" s="11" t="str">
        <x:v>03692.HK</x:v>
      </x:c>
      <x:c r="C766" s="11" t="str">
        <x:v>tax</x:v>
      </x:c>
      <x:c r="D766" s="39" t="n">
        <x:v>751.401</x:v>
      </x:c>
      <x:c r="E766" s="11" t="str">
        <x:v>CNY</x:v>
      </x:c>
      <x:c r="F766" s="11" t="str">
        <x:v>million</x:v>
      </x:c>
      <x:c r="G766" s="11" t="str">
        <x:v>2026H1</x:v>
      </x:c>
      <x:c r="H766" s="11" t="str">
        <x:v>2026-09-23</x:v>
      </x:c>
      <x:c r="I766" s="11" t="str">
        <x:v>https://iis.aastocks.com/20260923/12342815-0.PDF</x:v>
      </x:c>
      <x:c r="J766" s="11" t="str"/>
      <x:c r="K766" s="11" t="str">
        <x:v>待核</x:v>
      </x:c>
      <x:c r="L766" s="11" t="str">
        <x:v>精确发布时间未核验</x:v>
      </x:c>
      <x:c r="M766" s="11" t="str">
        <x:v>截止日前日期，盘中时分未核</x:v>
      </x:c>
    </x:row>
    <x:row r="767" ht="23" customHeight="1">
      <x:c r="A767" s="11" t="str">
        <x:v>I029</x:v>
      </x:c>
      <x:c r="B767" s="11" t="str">
        <x:v>03692.HK</x:v>
      </x:c>
      <x:c r="C767" s="11" t="str">
        <x:v>OCF</x:v>
      </x:c>
      <x:c r="D767" s="39" t="n">
        <x:v>2337.103</x:v>
      </x:c>
      <x:c r="E767" s="11" t="str">
        <x:v>CNY</x:v>
      </x:c>
      <x:c r="F767" s="11" t="str">
        <x:v>million</x:v>
      </x:c>
      <x:c r="G767" s="11" t="str">
        <x:v>2026H1</x:v>
      </x:c>
      <x:c r="H767" s="11" t="str">
        <x:v>2026-09-23</x:v>
      </x:c>
      <x:c r="I767" s="11" t="str">
        <x:v>https://iis.aastocks.com/20260923/12342815-0.PDF</x:v>
      </x:c>
      <x:c r="J767" s="11" t="str"/>
      <x:c r="K767" s="11" t="str">
        <x:v>待核</x:v>
      </x:c>
      <x:c r="L767" s="11" t="str">
        <x:v>精确发布时间未核验</x:v>
      </x:c>
      <x:c r="M767" s="11" t="str">
        <x:v>截止日前日期，盘中时分未核</x:v>
      </x:c>
    </x:row>
    <x:row r="768" ht="23" customHeight="1">
      <x:c r="A768" s="11" t="str">
        <x:v>I029</x:v>
      </x:c>
      <x:c r="B768" s="11" t="str">
        <x:v>03692.HK</x:v>
      </x:c>
      <x:c r="C768" s="11" t="str">
        <x:v>contractLiabilityDecreaseInOCF</x:v>
      </x:c>
      <x:c r="D768" s="39" t="n">
        <x:v>1087.63</x:v>
      </x:c>
      <x:c r="E768" s="11" t="str">
        <x:v>CNY</x:v>
      </x:c>
      <x:c r="F768" s="11" t="str">
        <x:v>million</x:v>
      </x:c>
      <x:c r="G768" s="11" t="str">
        <x:v>2026H1</x:v>
      </x:c>
      <x:c r="H768" s="11" t="str">
        <x:v>2026-09-23</x:v>
      </x:c>
      <x:c r="I768" s="11" t="str">
        <x:v>https://iis.aastocks.com/20260923/12342815-0.PDF</x:v>
      </x:c>
      <x:c r="J768" s="11" t="str"/>
      <x:c r="K768" s="11" t="str">
        <x:v>待核</x:v>
      </x:c>
      <x:c r="L768" s="11" t="str">
        <x:v>精确发布时间未核验</x:v>
      </x:c>
      <x:c r="M768" s="11" t="str">
        <x:v>截止日前日期，盘中时分未核</x:v>
      </x:c>
    </x:row>
    <x:row r="769" ht="23" customHeight="1">
      <x:c r="A769" s="11" t="str">
        <x:v>I029</x:v>
      </x:c>
      <x:c r="B769" s="11" t="str">
        <x:v>03692.HK</x:v>
      </x:c>
      <x:c r="C769" s="11" t="str">
        <x:v>PPECash</x:v>
      </x:c>
      <x:c r="D769" s="39" t="n">
        <x:v>250.514</x:v>
      </x:c>
      <x:c r="E769" s="11" t="str">
        <x:v>CNY</x:v>
      </x:c>
      <x:c r="F769" s="11" t="str">
        <x:v>million</x:v>
      </x:c>
      <x:c r="G769" s="11" t="str">
        <x:v>2026H1</x:v>
      </x:c>
      <x:c r="H769" s="11" t="str">
        <x:v>2026-09-23</x:v>
      </x:c>
      <x:c r="I769" s="11" t="str">
        <x:v>https://iis.aastocks.com/20260923/12342815-0.PDF</x:v>
      </x:c>
      <x:c r="J769" s="11" t="str"/>
      <x:c r="K769" s="11" t="str">
        <x:v>待核</x:v>
      </x:c>
      <x:c r="L769" s="11" t="str">
        <x:v>精确发布时间未核验</x:v>
      </x:c>
      <x:c r="M769" s="11" t="str">
        <x:v>截止日前日期，盘中时分未核</x:v>
      </x:c>
    </x:row>
    <x:row r="770" ht="23" customHeight="1">
      <x:c r="A770" s="11" t="str">
        <x:v>I029</x:v>
      </x:c>
      <x:c r="B770" s="11" t="str">
        <x:v>03692.HK</x:v>
      </x:c>
      <x:c r="C770" s="11" t="str">
        <x:v>intangibleCash</x:v>
      </x:c>
      <x:c r="D770" s="39" t="n">
        <x:v>136.906</x:v>
      </x:c>
      <x:c r="E770" s="11" t="str">
        <x:v>CNY</x:v>
      </x:c>
      <x:c r="F770" s="11" t="str">
        <x:v>million</x:v>
      </x:c>
      <x:c r="G770" s="11" t="str">
        <x:v>2026H1</x:v>
      </x:c>
      <x:c r="H770" s="11" t="str">
        <x:v>2026-09-23</x:v>
      </x:c>
      <x:c r="I770" s="11" t="str">
        <x:v>https://iis.aastocks.com/20260923/12342815-0.PDF</x:v>
      </x:c>
      <x:c r="J770" s="11" t="str"/>
      <x:c r="K770" s="11" t="str">
        <x:v>待核</x:v>
      </x:c>
      <x:c r="L770" s="11" t="str">
        <x:v>精确发布时间未核验</x:v>
      </x:c>
      <x:c r="M770" s="11" t="str">
        <x:v>截止日前日期，盘中时分未核</x:v>
      </x:c>
    </x:row>
    <x:row r="771" ht="23" customHeight="1">
      <x:c r="A771" s="11" t="str">
        <x:v>I029</x:v>
      </x:c>
      <x:c r="B771" s="11" t="str">
        <x:v>03692.HK</x:v>
      </x:c>
      <x:c r="C771" s="11" t="str">
        <x:v>capexManagementReviewApprox</x:v>
      </x:c>
      <x:c r="D771" s="39" t="n">
        <x:v>303</x:v>
      </x:c>
      <x:c r="E771" s="11" t="str">
        <x:v>CNY</x:v>
      </x:c>
      <x:c r="F771" s="11" t="str">
        <x:v>million</x:v>
      </x:c>
      <x:c r="G771" s="11" t="str">
        <x:v>2026H1</x:v>
      </x:c>
      <x:c r="H771" s="11" t="str">
        <x:v>2026-09-23</x:v>
      </x:c>
      <x:c r="I771" s="11" t="str">
        <x:v>https://iis.aastocks.com/20260923/12342815-0.PDF</x:v>
      </x:c>
      <x:c r="J771" s="11" t="str"/>
      <x:c r="K771" s="11" t="str">
        <x:v>待核</x:v>
      </x:c>
      <x:c r="L771" s="11" t="str">
        <x:v>精确发布时间未核验</x:v>
      </x:c>
      <x:c r="M771" s="11" t="str">
        <x:v>截止日前日期，盘中时分未核</x:v>
      </x:c>
    </x:row>
    <x:row r="772" ht="23" customHeight="1">
      <x:c r="A772" s="11" t="str">
        <x:v>I029</x:v>
      </x:c>
      <x:c r="B772" s="11" t="str">
        <x:v>03692.HK</x:v>
      </x:c>
      <x:c r="C772" s="11" t="str">
        <x:v>cashBankTotal</x:v>
      </x:c>
      <x:c r="D772" s="39" t="n">
        <x:v>37382.899</x:v>
      </x:c>
      <x:c r="E772" s="11" t="str">
        <x:v>CNY</x:v>
      </x:c>
      <x:c r="F772" s="11" t="str">
        <x:v>million</x:v>
      </x:c>
      <x:c r="G772" s="11" t="str">
        <x:v>2026H1</x:v>
      </x:c>
      <x:c r="H772" s="11" t="str">
        <x:v>2026-09-23</x:v>
      </x:c>
      <x:c r="I772" s="11" t="str">
        <x:v>https://iis.aastocks.com/20260923/12342815-0.PDF</x:v>
      </x:c>
      <x:c r="J772" s="11" t="str"/>
      <x:c r="K772" s="11" t="str">
        <x:v>待核</x:v>
      </x:c>
      <x:c r="L772" s="11" t="str">
        <x:v>精确发布时间未核验</x:v>
      </x:c>
      <x:c r="M772" s="11" t="str">
        <x:v>截止日前日期，盘中时分未核</x:v>
      </x:c>
    </x:row>
    <x:row r="773" ht="23" customHeight="1">
      <x:c r="A773" s="11" t="str">
        <x:v>I029</x:v>
      </x:c>
      <x:c r="B773" s="11" t="str">
        <x:v>03692.HK</x:v>
      </x:c>
      <x:c r="C773" s="11" t="str">
        <x:v>cashEquivalent</x:v>
      </x:c>
      <x:c r="D773" s="39" t="n">
        <x:v>4657.145</x:v>
      </x:c>
      <x:c r="E773" s="11" t="str">
        <x:v>CNY</x:v>
      </x:c>
      <x:c r="F773" s="11" t="str">
        <x:v>million</x:v>
      </x:c>
      <x:c r="G773" s="11" t="str">
        <x:v>2026H1</x:v>
      </x:c>
      <x:c r="H773" s="11" t="str">
        <x:v>2026-09-23</x:v>
      </x:c>
      <x:c r="I773" s="11" t="str">
        <x:v>https://iis.aastocks.com/20260923/12342815-0.PDF</x:v>
      </x:c>
      <x:c r="J773" s="11" t="str"/>
      <x:c r="K773" s="11" t="str">
        <x:v>待核</x:v>
      </x:c>
      <x:c r="L773" s="11" t="str">
        <x:v>精确发布时间未核验</x:v>
      </x:c>
      <x:c r="M773" s="11" t="str">
        <x:v>截止日前日期，盘中时分未核</x:v>
      </x:c>
    </x:row>
    <x:row r="774" ht="23" customHeight="1">
      <x:c r="A774" s="11" t="str">
        <x:v>I029</x:v>
      </x:c>
      <x:c r="B774" s="11" t="str">
        <x:v>03692.HK</x:v>
      </x:c>
      <x:c r="C774" s="11" t="str">
        <x:v>largeDepositsOver3Months</x:v>
      </x:c>
      <x:c r="D774" s="39" t="n">
        <x:v>32725.754</x:v>
      </x:c>
      <x:c r="E774" s="11" t="str">
        <x:v>CNY</x:v>
      </x:c>
      <x:c r="F774" s="11" t="str">
        <x:v>million</x:v>
      </x:c>
      <x:c r="G774" s="11" t="str">
        <x:v>2026H1</x:v>
      </x:c>
      <x:c r="H774" s="11" t="str">
        <x:v>2026-09-23</x:v>
      </x:c>
      <x:c r="I774" s="11" t="str">
        <x:v>https://iis.aastocks.com/20260923/12342815-0.PDF</x:v>
      </x:c>
      <x:c r="J774" s="11" t="str"/>
      <x:c r="K774" s="11" t="str">
        <x:v>待核</x:v>
      </x:c>
      <x:c r="L774" s="11" t="str">
        <x:v>精确发布时间未核验</x:v>
      </x:c>
      <x:c r="M774" s="11" t="str">
        <x:v>截止日前日期，盘中时分未核</x:v>
      </x:c>
    </x:row>
    <x:row r="775" ht="23" customHeight="1">
      <x:c r="A775" s="11" t="str">
        <x:v>I029</x:v>
      </x:c>
      <x:c r="B775" s="11" t="str">
        <x:v>03692.HK</x:v>
      </x:c>
      <x:c r="C775" s="11" t="str">
        <x:v>convertibleBookTotal</x:v>
      </x:c>
      <x:c r="D775" s="39" t="n">
        <x:v>4084.806</x:v>
      </x:c>
      <x:c r="E775" s="11" t="str">
        <x:v>CNY</x:v>
      </x:c>
      <x:c r="F775" s="11" t="str">
        <x:v>million</x:v>
      </x:c>
      <x:c r="G775" s="11" t="str">
        <x:v>2026H1</x:v>
      </x:c>
      <x:c r="H775" s="11" t="str">
        <x:v>2026-09-23</x:v>
      </x:c>
      <x:c r="I775" s="11" t="str">
        <x:v>https://iis.aastocks.com/20260923/12342815-0.PDF</x:v>
      </x:c>
      <x:c r="J775" s="11" t="str"/>
      <x:c r="K775" s="11" t="str">
        <x:v>待核</x:v>
      </x:c>
      <x:c r="L775" s="11" t="str">
        <x:v>精确发布时间未核验</x:v>
      </x:c>
      <x:c r="M775" s="11" t="str">
        <x:v>截止日前日期，盘中时分未核</x:v>
      </x:c>
    </x:row>
    <x:row r="776" ht="23" customHeight="1">
      <x:c r="A776" s="11" t="str">
        <x:v>I029</x:v>
      </x:c>
      <x:c r="B776" s="11" t="str">
        <x:v>03692.HK</x:v>
      </x:c>
      <x:c r="C776" s="11" t="str">
        <x:v>convertibleDebtComponent</x:v>
      </x:c>
      <x:c r="D776" s="39" t="n">
        <x:v>3247.438</x:v>
      </x:c>
      <x:c r="E776" s="11" t="str">
        <x:v>CNY</x:v>
      </x:c>
      <x:c r="F776" s="11" t="str">
        <x:v>million</x:v>
      </x:c>
      <x:c r="G776" s="11" t="str">
        <x:v>2026H1</x:v>
      </x:c>
      <x:c r="H776" s="11" t="str">
        <x:v>2026-09-23</x:v>
      </x:c>
      <x:c r="I776" s="11" t="str">
        <x:v>https://iis.aastocks.com/20260923/12342815-0.PDF</x:v>
      </x:c>
      <x:c r="J776" s="11" t="str"/>
      <x:c r="K776" s="11" t="str">
        <x:v>待核</x:v>
      </x:c>
      <x:c r="L776" s="11" t="str">
        <x:v>精确发布时间未核验</x:v>
      </x:c>
      <x:c r="M776" s="11" t="str">
        <x:v>截止日前日期，盘中时分未核</x:v>
      </x:c>
    </x:row>
    <x:row r="777" ht="23" customHeight="1">
      <x:c r="A777" s="11" t="str">
        <x:v>I029</x:v>
      </x:c>
      <x:c r="B777" s="11" t="str">
        <x:v>03692.HK</x:v>
      </x:c>
      <x:c r="C777" s="11" t="str">
        <x:v>convertibleDerivative</x:v>
      </x:c>
      <x:c r="D777" s="39" t="n">
        <x:v>837.368</x:v>
      </x:c>
      <x:c r="E777" s="11" t="str">
        <x:v>CNY</x:v>
      </x:c>
      <x:c r="F777" s="11" t="str">
        <x:v>million</x:v>
      </x:c>
      <x:c r="G777" s="11" t="str">
        <x:v>2026H1</x:v>
      </x:c>
      <x:c r="H777" s="11" t="str">
        <x:v>2026-09-23</x:v>
      </x:c>
      <x:c r="I777" s="11" t="str">
        <x:v>https://iis.aastocks.com/20260923/12342815-0.PDF</x:v>
      </x:c>
      <x:c r="J777" s="11" t="str"/>
      <x:c r="K777" s="11" t="str">
        <x:v>待核</x:v>
      </x:c>
      <x:c r="L777" s="11" t="str">
        <x:v>精确发布时间未核验</x:v>
      </x:c>
      <x:c r="M777" s="11" t="str">
        <x:v>截止日前日期，盘中时分未核</x:v>
      </x:c>
    </x:row>
    <x:row r="778" ht="23" customHeight="1">
      <x:c r="A778" s="11" t="str">
        <x:v>I029</x:v>
      </x:c>
      <x:c r="B778" s="11" t="str">
        <x:v>03692.HK</x:v>
      </x:c>
      <x:c r="C778" s="11" t="str">
        <x:v>convertibleFaceHKDm</x:v>
      </x:c>
      <x:c r="D778" s="39" t="n">
        <x:v>4680</x:v>
      </x:c>
      <x:c r="E778" s="11" t="str">
        <x:v>HKD</x:v>
      </x:c>
      <x:c r="F778" s="11" t="str">
        <x:v>million</x:v>
      </x:c>
      <x:c r="G778" s="11" t="str">
        <x:v>2026H1</x:v>
      </x:c>
      <x:c r="H778" s="11" t="str">
        <x:v>2026-09-23</x:v>
      </x:c>
      <x:c r="I778" s="11" t="str">
        <x:v>https://iis.aastocks.com/20260923/12342815-0.PDF</x:v>
      </x:c>
      <x:c r="J778" s="11" t="str"/>
      <x:c r="K778" s="11" t="str">
        <x:v>待核</x:v>
      </x:c>
      <x:c r="L778" s="11" t="str">
        <x:v>精确发布时间未核验</x:v>
      </x:c>
      <x:c r="M778" s="11" t="str">
        <x:v>截止日前日期，盘中时分未核</x:v>
      </x:c>
    </x:row>
    <x:row r="779" ht="23" customHeight="1">
      <x:c r="A779" s="11" t="str">
        <x:v>I029</x:v>
      </x:c>
      <x:c r="B779" s="11" t="str">
        <x:v>03692.HK</x:v>
      </x:c>
      <x:c r="C779" s="11" t="str">
        <x:v>convertibleConversionPriceHKD</x:v>
      </x:c>
      <x:c r="D779" s="39" t="n">
        <x:v>56.54</x:v>
      </x:c>
      <x:c r="E779" s="11" t="str">
        <x:v>HKD</x:v>
      </x:c>
      <x:c r="F779" s="11" t="str">
        <x:v>per ordinary share</x:v>
      </x:c>
      <x:c r="G779" s="11" t="str">
        <x:v>2026H1</x:v>
      </x:c>
      <x:c r="H779" s="11" t="str">
        <x:v>2026-09-23</x:v>
      </x:c>
      <x:c r="I779" s="11" t="str">
        <x:v>https://iis.aastocks.com/20260923/12342815-0.PDF</x:v>
      </x:c>
      <x:c r="J779" s="11" t="str"/>
      <x:c r="K779" s="11" t="str">
        <x:v>待核</x:v>
      </x:c>
      <x:c r="L779" s="11" t="str">
        <x:v>精确发布时间未核验</x:v>
      </x:c>
      <x:c r="M779" s="11" t="str">
        <x:v>截止日前日期，盘中时分未核</x:v>
      </x:c>
    </x:row>
    <x:row r="780" ht="23" customHeight="1">
      <x:c r="A780" s="11" t="str">
        <x:v>I029</x:v>
      </x:c>
      <x:c r="B780" s="11" t="str">
        <x:v>03692.HK</x:v>
      </x:c>
      <x:c r="C780" s="11" t="str">
        <x:v>convertibleFullConversionSharesM</x:v>
      </x:c>
      <x:c r="D780" s="39" t="n">
        <x:v>82.773258</x:v>
      </x:c>
      <x:c r="E780" s="11" t="str">
        <x:v>not monetary</x:v>
      </x:c>
      <x:c r="F780" s="11" t="str">
        <x:v>million shares</x:v>
      </x:c>
      <x:c r="G780" s="11" t="str">
        <x:v>2026H1</x:v>
      </x:c>
      <x:c r="H780" s="11" t="str">
        <x:v>2026-09-23</x:v>
      </x:c>
      <x:c r="I780" s="11" t="str">
        <x:v>https://iis.aastocks.com/20260923/12342815-0.PDF</x:v>
      </x:c>
      <x:c r="J780" s="11" t="str"/>
      <x:c r="K780" s="11" t="str">
        <x:v>待核</x:v>
      </x:c>
      <x:c r="L780" s="11" t="str">
        <x:v>精确发布时间未核验</x:v>
      </x:c>
      <x:c r="M780" s="11" t="str">
        <x:v>截止日前日期，盘中时分未核</x:v>
      </x:c>
    </x:row>
    <x:row r="781" ht="23" customHeight="1">
      <x:c r="A781" s="11" t="str">
        <x:v>I029</x:v>
      </x:c>
      <x:c r="B781" s="11" t="str">
        <x:v>03692.HK</x:v>
      </x:c>
      <x:c r="C781" s="11" t="str">
        <x:v>shareCompNoteProfit</x:v>
      </x:c>
      <x:c r="D781" s="39" t="n">
        <x:v>79.058</x:v>
      </x:c>
      <x:c r="E781" s="11" t="str">
        <x:v>CNY</x:v>
      </x:c>
      <x:c r="F781" s="11" t="str">
        <x:v>million</x:v>
      </x:c>
      <x:c r="G781" s="11" t="str">
        <x:v>2026H1</x:v>
      </x:c>
      <x:c r="H781" s="11" t="str">
        <x:v>2026-09-23</x:v>
      </x:c>
      <x:c r="I781" s="11" t="str">
        <x:v>https://iis.aastocks.com/20260923/12342815-0.PDF</x:v>
      </x:c>
      <x:c r="J781" s="11" t="str"/>
      <x:c r="K781" s="11" t="str">
        <x:v>待核</x:v>
      </x:c>
      <x:c r="L781" s="11" t="str">
        <x:v>精确发布时间未核验</x:v>
      </x:c>
      <x:c r="M781" s="11" t="str">
        <x:v>截止日前日期，盘中时分未核</x:v>
      </x:c>
    </x:row>
    <x:row r="782" ht="23" customHeight="1">
      <x:c r="A782" s="11" t="str">
        <x:v>I029</x:v>
      </x:c>
      <x:c r="B782" s="11" t="str">
        <x:v>03692.HK</x:v>
      </x:c>
      <x:c r="C782" s="11" t="str">
        <x:v>shareCompEquity</x:v>
      </x:c>
      <x:c r="D782" s="39" t="n">
        <x:v>56.85</x:v>
      </x:c>
      <x:c r="E782" s="11" t="str">
        <x:v>CNY</x:v>
      </x:c>
      <x:c r="F782" s="11" t="str">
        <x:v>million</x:v>
      </x:c>
      <x:c r="G782" s="11" t="str">
        <x:v>2026H1</x:v>
      </x:c>
      <x:c r="H782" s="11" t="str">
        <x:v>2026-09-23</x:v>
      </x:c>
      <x:c r="I782" s="11" t="str">
        <x:v>https://iis.aastocks.com/20260923/12342815-0.PDF</x:v>
      </x:c>
      <x:c r="J782" s="11" t="str"/>
      <x:c r="K782" s="11" t="str">
        <x:v>待核</x:v>
      </x:c>
      <x:c r="L782" s="11" t="str">
        <x:v>精确发布时间未核验</x:v>
      </x:c>
      <x:c r="M782" s="11" t="str">
        <x:v>截止日前日期，盘中时分未核</x:v>
      </x:c>
    </x:row>
    <x:row r="783" ht="23" customHeight="1">
      <x:c r="A783" s="11" t="str">
        <x:v>I029</x:v>
      </x:c>
      <x:c r="B783" s="11" t="str">
        <x:v>03692.HK</x:v>
      </x:c>
      <x:c r="C783" s="11" t="str">
        <x:v>basicWeightedSharesM</x:v>
      </x:c>
      <x:c r="D783" s="39" t="n">
        <x:v>6056.67863</x:v>
      </x:c>
      <x:c r="E783" s="11" t="str">
        <x:v>not monetary</x:v>
      </x:c>
      <x:c r="F783" s="11" t="str">
        <x:v>million shares</x:v>
      </x:c>
      <x:c r="G783" s="11" t="str">
        <x:v>2026H1</x:v>
      </x:c>
      <x:c r="H783" s="11" t="str">
        <x:v>2026-09-23</x:v>
      </x:c>
      <x:c r="I783" s="11" t="str">
        <x:v>https://iis.aastocks.com/20260923/12342815-0.PDF</x:v>
      </x:c>
      <x:c r="J783" s="11" t="str"/>
      <x:c r="K783" s="11" t="str">
        <x:v>待核</x:v>
      </x:c>
      <x:c r="L783" s="11" t="str">
        <x:v>精确发布时间未核验</x:v>
      </x:c>
      <x:c r="M783" s="11" t="str">
        <x:v>截止日前日期，盘中时分未核</x:v>
      </x:c>
    </x:row>
    <x:row r="784" ht="23" customHeight="1">
      <x:c r="A784" s="11" t="str">
        <x:v>I029</x:v>
      </x:c>
      <x:c r="B784" s="11" t="str">
        <x:v>03692.HK</x:v>
      </x:c>
      <x:c r="C784" s="11" t="str">
        <x:v>dilutedWeightedSharesM</x:v>
      </x:c>
      <x:c r="D784" s="39" t="n">
        <x:v>6138.226777</x:v>
      </x:c>
      <x:c r="E784" s="11" t="str">
        <x:v>not monetary</x:v>
      </x:c>
      <x:c r="F784" s="11" t="str">
        <x:v>million shares</x:v>
      </x:c>
      <x:c r="G784" s="11" t="str">
        <x:v>2026H1</x:v>
      </x:c>
      <x:c r="H784" s="11" t="str">
        <x:v>2026-09-23</x:v>
      </x:c>
      <x:c r="I784" s="11" t="str">
        <x:v>https://iis.aastocks.com/20260923/12342815-0.PDF</x:v>
      </x:c>
      <x:c r="J784" s="11" t="str"/>
      <x:c r="K784" s="11" t="str">
        <x:v>待核</x:v>
      </x:c>
      <x:c r="L784" s="11" t="str">
        <x:v>精确发布时间未核验</x:v>
      </x:c>
      <x:c r="M784" s="11" t="str">
        <x:v>截止日前日期，盘中时分未核</x:v>
      </x:c>
    </x:row>
    <x:row r="785" ht="23" customHeight="1">
      <x:c r="A785" s="11" t="str">
        <x:v>I029</x:v>
      </x:c>
      <x:c r="B785" s="11" t="str">
        <x:v>03692.HK</x:v>
      </x:c>
      <x:c r="C785" s="11" t="str">
        <x:v>tradeReceivableAndBills</x:v>
      </x:c>
      <x:c r="D785" s="39" t="n">
        <x:v>3156.378</x:v>
      </x:c>
      <x:c r="E785" s="11" t="str">
        <x:v>CNY</x:v>
      </x:c>
      <x:c r="F785" s="11" t="str">
        <x:v>million</x:v>
      </x:c>
      <x:c r="G785" s="11" t="str">
        <x:v>2026H1</x:v>
      </x:c>
      <x:c r="H785" s="11" t="str">
        <x:v>2026-09-23</x:v>
      </x:c>
      <x:c r="I785" s="11" t="str">
        <x:v>https://iis.aastocks.com/20260923/12342815-0.PDF</x:v>
      </x:c>
      <x:c r="J785" s="11" t="str"/>
      <x:c r="K785" s="11" t="str">
        <x:v>待核</x:v>
      </x:c>
      <x:c r="L785" s="11" t="str">
        <x:v>精确发布时间未核验</x:v>
      </x:c>
      <x:c r="M785" s="11" t="str">
        <x:v>截止日前日期，盘中时分未核</x:v>
      </x:c>
    </x:row>
    <x:row r="786" ht="23" customHeight="1">
      <x:c r="A786" s="11" t="str">
        <x:v>I029</x:v>
      </x:c>
      <x:c r="B786" s="11" t="str">
        <x:v>03692.HK</x:v>
      </x:c>
      <x:c r="C786" s="11" t="str">
        <x:v>contractLiability</x:v>
      </x:c>
      <x:c r="D786" s="39" t="n">
        <x:v>93.848</x:v>
      </x:c>
      <x:c r="E786" s="11" t="str">
        <x:v>CNY</x:v>
      </x:c>
      <x:c r="F786" s="11" t="str">
        <x:v>million</x:v>
      </x:c>
      <x:c r="G786" s="11" t="str">
        <x:v>2026H1</x:v>
      </x:c>
      <x:c r="H786" s="11" t="str">
        <x:v>2026-09-23</x:v>
      </x:c>
      <x:c r="I786" s="11" t="str">
        <x:v>https://iis.aastocks.com/20260923/12342815-0.PDF</x:v>
      </x:c>
      <x:c r="J786" s="11" t="str"/>
      <x:c r="K786" s="11" t="str">
        <x:v>待核</x:v>
      </x:c>
      <x:c r="L786" s="11" t="str">
        <x:v>精确发布时间未核验</x:v>
      </x:c>
      <x:c r="M786" s="11" t="str">
        <x:v>截止日前日期，盘中时分未核</x:v>
      </x:c>
    </x:row>
    <x:row r="787" ht="23" customHeight="1">
      <x:c r="A787" s="11" t="str">
        <x:v>I029</x:v>
      </x:c>
      <x:c r="B787" s="11" t="str">
        <x:v>03692.HK</x:v>
      </x:c>
      <x:c r="C787" s="11" t="str">
        <x:v>interimDividendHKD</x:v>
      </x:c>
      <x:c r="D787" s="39" t="n">
        <x:v>0.285</x:v>
      </x:c>
      <x:c r="E787" s="11" t="str">
        <x:v>HKD</x:v>
      </x:c>
      <x:c r="F787" s="11" t="str">
        <x:v>per ordinary share</x:v>
      </x:c>
      <x:c r="G787" s="11" t="str">
        <x:v>2026H1</x:v>
      </x:c>
      <x:c r="H787" s="11" t="str">
        <x:v>2026-09-23</x:v>
      </x:c>
      <x:c r="I787" s="11" t="str">
        <x:v>https://iis.aastocks.com/20260923/12342815-0.PDF</x:v>
      </x:c>
      <x:c r="J787" s="11" t="str"/>
      <x:c r="K787" s="11" t="str">
        <x:v>待核</x:v>
      </x:c>
      <x:c r="L787" s="11" t="str">
        <x:v>精确发布时间未核验</x:v>
      </x:c>
      <x:c r="M787" s="11" t="str">
        <x:v>截止日前日期，盘中时分未核</x:v>
      </x:c>
    </x:row>
    <x:row r="788" ht="23" customHeight="1">
      <x:c r="A788" s="11" t="str">
        <x:v>I015</x:v>
      </x:c>
      <x:c r="B788" s="11" t="str">
        <x:v>688131.SH</x:v>
      </x:c>
      <x:c r="C788" s="11" t="str">
        <x:v>revenue</x:v>
      </x:c>
      <x:c r="D788" s="39" t="n">
        <x:v>1647.97432392</x:v>
      </x:c>
      <x:c r="E788" s="11" t="str">
        <x:v>CNY</x:v>
      </x:c>
      <x:c r="F788" s="11" t="str">
        <x:v>million</x:v>
      </x:c>
      <x:c r="G788" s="11" t="str">
        <x:v>2026H1</x:v>
      </x:c>
      <x:c r="H788" s="11" t="str">
        <x:v>2026-08-27</x:v>
      </x:c>
      <x:c r="I788" s="11" t="str">
        <x:v>https://static.cninfo.com.cn/finalpage/2026-08-27/1225513068.PDF</x:v>
      </x:c>
      <x:c r="J788" s="11" t="str"/>
      <x:c r="K788" s="11" t="str">
        <x:v>待核</x:v>
      </x:c>
      <x:c r="L788" s="11" t="str">
        <x:v>精确发布时间未核验</x:v>
      </x:c>
      <x:c r="M788" s="11" t="str">
        <x:v>截止日前日期，盘中时分未核</x:v>
      </x:c>
    </x:row>
    <x:row r="789" ht="23" customHeight="1">
      <x:c r="A789" s="11" t="str">
        <x:v>I015</x:v>
      </x:c>
      <x:c r="B789" s="11" t="str">
        <x:v>688131.SH</x:v>
      </x:c>
      <x:c r="C789" s="11" t="str">
        <x:v>revenueGrowthPct</x:v>
      </x:c>
      <x:c r="D789" s="39" t="n">
        <x:v>25.71</x:v>
      </x:c>
      <x:c r="E789" s="11" t="str">
        <x:v>not monetary</x:v>
      </x:c>
      <x:c r="F789" s="11" t="str">
        <x:v>percent</x:v>
      </x:c>
      <x:c r="G789" s="11" t="str">
        <x:v>2026H1</x:v>
      </x:c>
      <x:c r="H789" s="11" t="str">
        <x:v>2026-08-27</x:v>
      </x:c>
      <x:c r="I789" s="11" t="str">
        <x:v>https://static.cninfo.com.cn/finalpage/2026-08-27/1225513068.PDF</x:v>
      </x:c>
      <x:c r="J789" s="11" t="str"/>
      <x:c r="K789" s="11" t="str">
        <x:v>待核</x:v>
      </x:c>
      <x:c r="L789" s="11" t="str">
        <x:v>精确发布时间未核验</x:v>
      </x:c>
      <x:c r="M789" s="11" t="str">
        <x:v>截止日前日期，盘中时分未核</x:v>
      </x:c>
    </x:row>
    <x:row r="790" ht="23" customHeight="1">
      <x:c r="A790" s="11" t="str">
        <x:v>I015</x:v>
      </x:c>
      <x:c r="B790" s="11" t="str">
        <x:v>688131.SH</x:v>
      </x:c>
      <x:c r="C790" s="11" t="str">
        <x:v>attributableProfit</x:v>
      </x:c>
      <x:c r="D790" s="39" t="n">
        <x:v>171.20036668</x:v>
      </x:c>
      <x:c r="E790" s="11" t="str">
        <x:v>CNY</x:v>
      </x:c>
      <x:c r="F790" s="11" t="str">
        <x:v>million</x:v>
      </x:c>
      <x:c r="G790" s="11" t="str">
        <x:v>2026H1</x:v>
      </x:c>
      <x:c r="H790" s="11" t="str">
        <x:v>2026-08-27</x:v>
      </x:c>
      <x:c r="I790" s="11" t="str">
        <x:v>https://static.cninfo.com.cn/finalpage/2026-08-27/1225513068.PDF</x:v>
      </x:c>
      <x:c r="J790" s="11" t="str"/>
      <x:c r="K790" s="11" t="str">
        <x:v>待核</x:v>
      </x:c>
      <x:c r="L790" s="11" t="str">
        <x:v>精确发布时间未核验</x:v>
      </x:c>
      <x:c r="M790" s="11" t="str">
        <x:v>截止日前日期，盘中时分未核</x:v>
      </x:c>
    </x:row>
    <x:row r="791" ht="23" customHeight="1">
      <x:c r="A791" s="11" t="str">
        <x:v>I015</x:v>
      </x:c>
      <x:c r="B791" s="11" t="str">
        <x:v>688131.SH</x:v>
      </x:c>
      <x:c r="C791" s="11" t="str">
        <x:v>profitGrowthPct</x:v>
      </x:c>
      <x:c r="D791" s="39" t="n">
        <x:v>12.81</x:v>
      </x:c>
      <x:c r="E791" s="11" t="str">
        <x:v>not monetary</x:v>
      </x:c>
      <x:c r="F791" s="11" t="str">
        <x:v>percent</x:v>
      </x:c>
      <x:c r="G791" s="11" t="str">
        <x:v>2026H1</x:v>
      </x:c>
      <x:c r="H791" s="11" t="str">
        <x:v>2026-08-27</x:v>
      </x:c>
      <x:c r="I791" s="11" t="str">
        <x:v>https://static.cninfo.com.cn/finalpage/2026-08-27/1225513068.PDF</x:v>
      </x:c>
      <x:c r="J791" s="11" t="str"/>
      <x:c r="K791" s="11" t="str">
        <x:v>待核</x:v>
      </x:c>
      <x:c r="L791" s="11" t="str">
        <x:v>精确发布时间未核验</x:v>
      </x:c>
      <x:c r="M791" s="11" t="str">
        <x:v>截止日前日期，盘中时分未核</x:v>
      </x:c>
    </x:row>
    <x:row r="792" ht="23" customHeight="1">
      <x:c r="A792" s="11" t="str">
        <x:v>I015</x:v>
      </x:c>
      <x:c r="B792" s="11" t="str">
        <x:v>688131.SH</x:v>
      </x:c>
      <x:c r="C792" s="11" t="str">
        <x:v>deductedProfit</x:v>
      </x:c>
      <x:c r="D792" s="39" t="n">
        <x:v>154.92995341</x:v>
      </x:c>
      <x:c r="E792" s="11" t="str">
        <x:v>CNY</x:v>
      </x:c>
      <x:c r="F792" s="11" t="str">
        <x:v>million</x:v>
      </x:c>
      <x:c r="G792" s="11" t="str">
        <x:v>2026H1</x:v>
      </x:c>
      <x:c r="H792" s="11" t="str">
        <x:v>2026-08-27</x:v>
      </x:c>
      <x:c r="I792" s="11" t="str">
        <x:v>https://static.cninfo.com.cn/finalpage/2026-08-27/1225513068.PDF</x:v>
      </x:c>
      <x:c r="J792" s="11" t="str"/>
      <x:c r="K792" s="11" t="str">
        <x:v>待核</x:v>
      </x:c>
      <x:c r="L792" s="11" t="str">
        <x:v>精确发布时间未核验</x:v>
      </x:c>
      <x:c r="M792" s="11" t="str">
        <x:v>截止日前日期，盘中时分未核</x:v>
      </x:c>
    </x:row>
    <x:row r="793" ht="23" customHeight="1">
      <x:c r="A793" s="11" t="str">
        <x:v>I015</x:v>
      </x:c>
      <x:c r="B793" s="11" t="str">
        <x:v>688131.SH</x:v>
      </x:c>
      <x:c r="C793" s="11" t="str">
        <x:v>deductedGrowthPct</x:v>
      </x:c>
      <x:c r="D793" s="39" t="n">
        <x:v>10.21</x:v>
      </x:c>
      <x:c r="E793" s="11" t="str">
        <x:v>not monetary</x:v>
      </x:c>
      <x:c r="F793" s="11" t="str">
        <x:v>percent</x:v>
      </x:c>
      <x:c r="G793" s="11" t="str">
        <x:v>2026H1</x:v>
      </x:c>
      <x:c r="H793" s="11" t="str">
        <x:v>2026-08-27</x:v>
      </x:c>
      <x:c r="I793" s="11" t="str">
        <x:v>https://static.cninfo.com.cn/finalpage/2026-08-27/1225513068.PDF</x:v>
      </x:c>
      <x:c r="J793" s="11" t="str"/>
      <x:c r="K793" s="11" t="str">
        <x:v>待核</x:v>
      </x:c>
      <x:c r="L793" s="11" t="str">
        <x:v>精确发布时间未核验</x:v>
      </x:c>
      <x:c r="M793" s="11" t="str">
        <x:v>截止日前日期，盘中时分未核</x:v>
      </x:c>
    </x:row>
    <x:row r="794" ht="23" customHeight="1">
      <x:c r="A794" s="11" t="str">
        <x:v>I015</x:v>
      </x:c>
      <x:c r="B794" s="11" t="str">
        <x:v>688131.SH</x:v>
      </x:c>
      <x:c r="C794" s="11" t="str">
        <x:v>totalNetProfit</x:v>
      </x:c>
      <x:c r="D794" s="39" t="n">
        <x:v>162.09591823</x:v>
      </x:c>
      <x:c r="E794" s="11" t="str">
        <x:v>CNY</x:v>
      </x:c>
      <x:c r="F794" s="11" t="str">
        <x:v>million</x:v>
      </x:c>
      <x:c r="G794" s="11" t="str">
        <x:v>2026H1</x:v>
      </x:c>
      <x:c r="H794" s="11" t="str">
        <x:v>2026-08-27</x:v>
      </x:c>
      <x:c r="I794" s="11" t="str">
        <x:v>https://static.cninfo.com.cn/finalpage/2026-08-27/1225513068.PDF</x:v>
      </x:c>
      <x:c r="J794" s="11" t="str"/>
      <x:c r="K794" s="11" t="str">
        <x:v>待核</x:v>
      </x:c>
      <x:c r="L794" s="11" t="str">
        <x:v>精确发布时间未核验</x:v>
      </x:c>
      <x:c r="M794" s="11" t="str">
        <x:v>截止日前日期，盘中时分未核</x:v>
      </x:c>
    </x:row>
    <x:row r="795" ht="23" customHeight="1">
      <x:c r="A795" s="11" t="str">
        <x:v>I015</x:v>
      </x:c>
      <x:c r="B795" s="11" t="str">
        <x:v>688131.SH</x:v>
      </x:c>
      <x:c r="C795" s="11" t="str">
        <x:v>minorityProfit</x:v>
      </x:c>
      <x:c r="D795" s="39" t="n">
        <x:v>-9.10444845</x:v>
      </x:c>
      <x:c r="E795" s="11" t="str">
        <x:v>CNY</x:v>
      </x:c>
      <x:c r="F795" s="11" t="str">
        <x:v>million</x:v>
      </x:c>
      <x:c r="G795" s="11" t="str">
        <x:v>2026H1</x:v>
      </x:c>
      <x:c r="H795" s="11" t="str">
        <x:v>2026-08-27</x:v>
      </x:c>
      <x:c r="I795" s="11" t="str">
        <x:v>https://static.cninfo.com.cn/finalpage/2026-08-27/1225513068.PDF</x:v>
      </x:c>
      <x:c r="J795" s="11" t="str"/>
      <x:c r="K795" s="11" t="str">
        <x:v>待核</x:v>
      </x:c>
      <x:c r="L795" s="11" t="str">
        <x:v>精确发布时间未核验</x:v>
      </x:c>
      <x:c r="M795" s="11" t="str">
        <x:v>截止日前日期，盘中时分未核</x:v>
      </x:c>
    </x:row>
    <x:row r="796" ht="23" customHeight="1">
      <x:c r="A796" s="11" t="str">
        <x:v>I015</x:v>
      </x:c>
      <x:c r="B796" s="11" t="str">
        <x:v>688131.SH</x:v>
      </x:c>
      <x:c r="C796" s="11" t="str">
        <x:v>dilutedEPS</x:v>
      </x:c>
      <x:c r="D796" s="39" t="n">
        <x:v>0.81</x:v>
      </x:c>
      <x:c r="E796" s="11" t="str">
        <x:v>CNY</x:v>
      </x:c>
      <x:c r="F796" s="11" t="str">
        <x:v>per ordinary share</x:v>
      </x:c>
      <x:c r="G796" s="11" t="str">
        <x:v>2026H1</x:v>
      </x:c>
      <x:c r="H796" s="11" t="str">
        <x:v>2026-08-27</x:v>
      </x:c>
      <x:c r="I796" s="11" t="str">
        <x:v>https://static.cninfo.com.cn/finalpage/2026-08-27/1225513068.PDF</x:v>
      </x:c>
      <x:c r="J796" s="11" t="str"/>
      <x:c r="K796" s="11" t="str">
        <x:v>待核</x:v>
      </x:c>
      <x:c r="L796" s="11" t="str">
        <x:v>精确发布时间未核验</x:v>
      </x:c>
      <x:c r="M796" s="11" t="str">
        <x:v>截止日前日期，盘中时分未核</x:v>
      </x:c>
    </x:row>
    <x:row r="797" ht="23" customHeight="1">
      <x:c r="A797" s="11" t="str">
        <x:v>I015</x:v>
      </x:c>
      <x:c r="B797" s="11" t="str">
        <x:v>688131.SH</x:v>
      </x:c>
      <x:c r="C797" s="11" t="str">
        <x:v>OCF</x:v>
      </x:c>
      <x:c r="D797" s="39" t="n">
        <x:v>77.06460146</x:v>
      </x:c>
      <x:c r="E797" s="11" t="str">
        <x:v>CNY</x:v>
      </x:c>
      <x:c r="F797" s="11" t="str">
        <x:v>million</x:v>
      </x:c>
      <x:c r="G797" s="11" t="str">
        <x:v>2026H1</x:v>
      </x:c>
      <x:c r="H797" s="11" t="str">
        <x:v>2026-08-27</x:v>
      </x:c>
      <x:c r="I797" s="11" t="str">
        <x:v>https://static.cninfo.com.cn/finalpage/2026-08-27/1225513068.PDF</x:v>
      </x:c>
      <x:c r="J797" s="11" t="str"/>
      <x:c r="K797" s="11" t="str">
        <x:v>待核</x:v>
      </x:c>
      <x:c r="L797" s="11" t="str">
        <x:v>精确发布时间未核验</x:v>
      </x:c>
      <x:c r="M797" s="11" t="str">
        <x:v>截止日前日期，盘中时分未核</x:v>
      </x:c>
    </x:row>
    <x:row r="798" ht="23" customHeight="1">
      <x:c r="A798" s="11" t="str">
        <x:v>I015</x:v>
      </x:c>
      <x:c r="B798" s="11" t="str">
        <x:v>688131.SH</x:v>
      </x:c>
      <x:c r="C798" s="11" t="str">
        <x:v>capex</x:v>
      </x:c>
      <x:c r="D798" s="39" t="n">
        <x:v>84.14276666</x:v>
      </x:c>
      <x:c r="E798" s="11" t="str">
        <x:v>CNY</x:v>
      </x:c>
      <x:c r="F798" s="11" t="str">
        <x:v>million</x:v>
      </x:c>
      <x:c r="G798" s="11" t="str">
        <x:v>2026H1</x:v>
      </x:c>
      <x:c r="H798" s="11" t="str">
        <x:v>2026-08-27</x:v>
      </x:c>
      <x:c r="I798" s="11" t="str">
        <x:v>https://static.cninfo.com.cn/finalpage/2026-08-27/1225513068.PDF</x:v>
      </x:c>
      <x:c r="J798" s="11" t="str"/>
      <x:c r="K798" s="11" t="str">
        <x:v>待核</x:v>
      </x:c>
      <x:c r="L798" s="11" t="str">
        <x:v>精确发布时间未核验</x:v>
      </x:c>
      <x:c r="M798" s="11" t="str">
        <x:v>截止日前日期，盘中时分未核</x:v>
      </x:c>
    </x:row>
    <x:row r="799" ht="23" customHeight="1">
      <x:c r="A799" s="11" t="str">
        <x:v>I015</x:v>
      </x:c>
      <x:c r="B799" s="11" t="str">
        <x:v>688131.SH</x:v>
      </x:c>
      <x:c r="C799" s="11" t="str">
        <x:v>FCF</x:v>
      </x:c>
      <x:c r="D799" s="39" t="n">
        <x:v>-7.0781652</x:v>
      </x:c>
      <x:c r="E799" s="11" t="str">
        <x:v>CNY</x:v>
      </x:c>
      <x:c r="F799" s="11" t="str">
        <x:v>million</x:v>
      </x:c>
      <x:c r="G799" s="11" t="str">
        <x:v>2026H1</x:v>
      </x:c>
      <x:c r="H799" s="11" t="str">
        <x:v>2026-08-27</x:v>
      </x:c>
      <x:c r="I799" s="11" t="str">
        <x:v>https://static.cninfo.com.cn/finalpage/2026-08-27/1225513068.PDF</x:v>
      </x:c>
      <x:c r="J799" s="11" t="str"/>
      <x:c r="K799" s="11" t="str">
        <x:v>待核</x:v>
      </x:c>
      <x:c r="L799" s="11" t="str">
        <x:v>精确发布时间未核验</x:v>
      </x:c>
      <x:c r="M799" s="11" t="str">
        <x:v>截止日前日期，盘中时分未核</x:v>
      </x:c>
    </x:row>
    <x:row r="800" ht="23" customHeight="1">
      <x:c r="A800" s="11" t="str">
        <x:v>I015</x:v>
      </x:c>
      <x:c r="B800" s="11" t="str">
        <x:v>688131.SH</x:v>
      </x:c>
      <x:c r="C800" s="11" t="str">
        <x:v>cashBank</x:v>
      </x:c>
      <x:c r="D800" s="39" t="n">
        <x:v>1569.77020536</x:v>
      </x:c>
      <x:c r="E800" s="11" t="str">
        <x:v>CNY</x:v>
      </x:c>
      <x:c r="F800" s="11" t="str">
        <x:v>million</x:v>
      </x:c>
      <x:c r="G800" s="11" t="str">
        <x:v>2026H1</x:v>
      </x:c>
      <x:c r="H800" s="11" t="str">
        <x:v>2026-08-27</x:v>
      </x:c>
      <x:c r="I800" s="11" t="str">
        <x:v>https://static.cninfo.com.cn/finalpage/2026-08-27/1225513068.PDF</x:v>
      </x:c>
      <x:c r="J800" s="11" t="str"/>
      <x:c r="K800" s="11" t="str">
        <x:v>待核</x:v>
      </x:c>
      <x:c r="L800" s="11" t="str">
        <x:v>精确发布时间未核验</x:v>
      </x:c>
      <x:c r="M800" s="11" t="str">
        <x:v>截止日前日期，盘中时分未核</x:v>
      </x:c>
    </x:row>
    <x:row r="801" ht="23" customHeight="1">
      <x:c r="A801" s="11" t="str">
        <x:v>I015</x:v>
      </x:c>
      <x:c r="B801" s="11" t="str">
        <x:v>688131.SH</x:v>
      </x:c>
      <x:c r="C801" s="11" t="str">
        <x:v>cashCashEquivalents</x:v>
      </x:c>
      <x:c r="D801" s="39" t="n">
        <x:v>1221.16501892</x:v>
      </x:c>
      <x:c r="E801" s="11" t="str">
        <x:v>CNY</x:v>
      </x:c>
      <x:c r="F801" s="11" t="str">
        <x:v>million</x:v>
      </x:c>
      <x:c r="G801" s="11" t="str">
        <x:v>2026H1</x:v>
      </x:c>
      <x:c r="H801" s="11" t="str">
        <x:v>2026-08-27</x:v>
      </x:c>
      <x:c r="I801" s="11" t="str">
        <x:v>https://static.cninfo.com.cn/finalpage/2026-08-27/1225513068.PDF</x:v>
      </x:c>
      <x:c r="J801" s="11" t="str"/>
      <x:c r="K801" s="11" t="str">
        <x:v>待核</x:v>
      </x:c>
      <x:c r="L801" s="11" t="str">
        <x:v>精确发布时间未核验</x:v>
      </x:c>
      <x:c r="M801" s="11" t="str">
        <x:v>截止日前日期，盘中时分未核</x:v>
      </x:c>
    </x:row>
    <x:row r="802" ht="23" customHeight="1">
      <x:c r="A802" s="11" t="str">
        <x:v>I015</x:v>
      </x:c>
      <x:c r="B802" s="11" t="str">
        <x:v>688131.SH</x:v>
      </x:c>
      <x:c r="C802" s="11" t="str">
        <x:v>restrictedCash</x:v>
      </x:c>
      <x:c r="D802" s="39" t="n">
        <x:v>348.60518644</x:v>
      </x:c>
      <x:c r="E802" s="11" t="str">
        <x:v>CNY</x:v>
      </x:c>
      <x:c r="F802" s="11" t="str">
        <x:v>million</x:v>
      </x:c>
      <x:c r="G802" s="11" t="str">
        <x:v>2026H1</x:v>
      </x:c>
      <x:c r="H802" s="11" t="str">
        <x:v>2026-08-27</x:v>
      </x:c>
      <x:c r="I802" s="11" t="str">
        <x:v>https://static.cninfo.com.cn/finalpage/2026-08-27/1225513068.PDF</x:v>
      </x:c>
      <x:c r="J802" s="11" t="str"/>
      <x:c r="K802" s="11" t="str">
        <x:v>待核</x:v>
      </x:c>
      <x:c r="L802" s="11" t="str">
        <x:v>精确发布时间未核验</x:v>
      </x:c>
      <x:c r="M802" s="11" t="str">
        <x:v>截止日前日期，盘中时分未核</x:v>
      </x:c>
    </x:row>
    <x:row r="803" ht="23" customHeight="1">
      <x:c r="A803" s="11" t="str">
        <x:v>I015</x:v>
      </x:c>
      <x:c r="B803" s="11" t="str">
        <x:v>688131.SH</x:v>
      </x:c>
      <x:c r="C803" s="11" t="str">
        <x:v>bankDebtIncludingCurrent</x:v>
      </x:c>
      <x:c r="D803" s="39" t="n">
        <x:v>1306.78939908</x:v>
      </x:c>
      <x:c r="E803" s="11" t="str">
        <x:v>CNY</x:v>
      </x:c>
      <x:c r="F803" s="11" t="str">
        <x:v>million</x:v>
      </x:c>
      <x:c r="G803" s="11" t="str">
        <x:v>2026H1</x:v>
      </x:c>
      <x:c r="H803" s="11" t="str">
        <x:v>2026-08-27</x:v>
      </x:c>
      <x:c r="I803" s="11" t="str">
        <x:v>https://static.cninfo.com.cn/finalpage/2026-08-27/1225513068.PDF</x:v>
      </x:c>
      <x:c r="J803" s="11" t="str"/>
      <x:c r="K803" s="11" t="str">
        <x:v>待核</x:v>
      </x:c>
      <x:c r="L803" s="11" t="str">
        <x:v>精确发布时间未核验</x:v>
      </x:c>
      <x:c r="M803" s="11" t="str">
        <x:v>截止日前日期，盘中时分未核</x:v>
      </x:c>
    </x:row>
    <x:row r="804" ht="23" customHeight="1">
      <x:c r="A804" s="11" t="str">
        <x:v>I015</x:v>
      </x:c>
      <x:c r="B804" s="11" t="str">
        <x:v>688131.SH</x:v>
      </x:c>
      <x:c r="C804" s="11" t="str">
        <x:v>leaseDebtIncludingCurrent</x:v>
      </x:c>
      <x:c r="D804" s="39" t="n">
        <x:v>331.99216094</x:v>
      </x:c>
      <x:c r="E804" s="11" t="str">
        <x:v>CNY</x:v>
      </x:c>
      <x:c r="F804" s="11" t="str">
        <x:v>million</x:v>
      </x:c>
      <x:c r="G804" s="11" t="str">
        <x:v>2026H1</x:v>
      </x:c>
      <x:c r="H804" s="11" t="str">
        <x:v>2026-08-27</x:v>
      </x:c>
      <x:c r="I804" s="11" t="str">
        <x:v>https://static.cninfo.com.cn/finalpage/2026-08-27/1225513068.PDF</x:v>
      </x:c>
      <x:c r="J804" s="11" t="str"/>
      <x:c r="K804" s="11" t="str">
        <x:v>待核</x:v>
      </x:c>
      <x:c r="L804" s="11" t="str">
        <x:v>精确发布时间未核验</x:v>
      </x:c>
      <x:c r="M804" s="11" t="str">
        <x:v>截止日前日期，盘中时分未核</x:v>
      </x:c>
    </x:row>
    <x:row r="805" ht="23" customHeight="1">
      <x:c r="A805" s="11" t="str">
        <x:v>I015</x:v>
      </x:c>
      <x:c r="B805" s="11" t="str">
        <x:v>688131.SH</x:v>
      </x:c>
      <x:c r="C805" s="11" t="str">
        <x:v>bondCarrying</x:v>
      </x:c>
      <x:c r="D805" s="39" t="n">
        <x:v>740.4418383</x:v>
      </x:c>
      <x:c r="E805" s="11" t="str">
        <x:v>CNY</x:v>
      </x:c>
      <x:c r="F805" s="11" t="str">
        <x:v>million</x:v>
      </x:c>
      <x:c r="G805" s="11" t="str">
        <x:v>2026H1</x:v>
      </x:c>
      <x:c r="H805" s="11" t="str">
        <x:v>2026-08-27</x:v>
      </x:c>
      <x:c r="I805" s="11" t="str">
        <x:v>https://static.cninfo.com.cn/finalpage/2026-08-27/1225513068.PDF</x:v>
      </x:c>
      <x:c r="J805" s="11" t="str"/>
      <x:c r="K805" s="11" t="str">
        <x:v>待核</x:v>
      </x:c>
      <x:c r="L805" s="11" t="str">
        <x:v>精确发布时间未核验</x:v>
      </x:c>
      <x:c r="M805" s="11" t="str">
        <x:v>截止日前日期，盘中时分未核</x:v>
      </x:c>
    </x:row>
    <x:row r="806" ht="23" customHeight="1">
      <x:c r="A806" s="11" t="str">
        <x:v>I015</x:v>
      </x:c>
      <x:c r="B806" s="11" t="str">
        <x:v>688131.SH</x:v>
      </x:c>
      <x:c r="C806" s="11" t="str">
        <x:v>bondFace</x:v>
      </x:c>
      <x:c r="D806" s="39" t="n">
        <x:v>821.837</x:v>
      </x:c>
      <x:c r="E806" s="11" t="str">
        <x:v>CNY</x:v>
      </x:c>
      <x:c r="F806" s="11" t="str">
        <x:v>million</x:v>
      </x:c>
      <x:c r="G806" s="11" t="str">
        <x:v>2026H1</x:v>
      </x:c>
      <x:c r="H806" s="11" t="str">
        <x:v>2026-08-27</x:v>
      </x:c>
      <x:c r="I806" s="11" t="str">
        <x:v>https://static.cninfo.com.cn/finalpage/2026-08-27/1225513068.PDF</x:v>
      </x:c>
      <x:c r="J806" s="11" t="str"/>
      <x:c r="K806" s="11" t="str">
        <x:v>待核</x:v>
      </x:c>
      <x:c r="L806" s="11" t="str">
        <x:v>精确发布时间未核验</x:v>
      </x:c>
      <x:c r="M806" s="11" t="str">
        <x:v>截止日前日期，盘中时分未核</x:v>
      </x:c>
    </x:row>
    <x:row r="807" ht="23" customHeight="1">
      <x:c r="A807" s="11" t="str">
        <x:v>I015</x:v>
      </x:c>
      <x:c r="B807" s="11" t="str">
        <x:v>688131.SH</x:v>
      </x:c>
      <x:c r="C807" s="11" t="str">
        <x:v>totalLiabilities</x:v>
      </x:c>
      <x:c r="D807" s="39" t="n">
        <x:v>3350.50778882</x:v>
      </x:c>
      <x:c r="E807" s="11" t="str">
        <x:v>CNY</x:v>
      </x:c>
      <x:c r="F807" s="11" t="str">
        <x:v>million</x:v>
      </x:c>
      <x:c r="G807" s="11" t="str">
        <x:v>2026H1</x:v>
      </x:c>
      <x:c r="H807" s="11" t="str">
        <x:v>2026-08-27</x:v>
      </x:c>
      <x:c r="I807" s="11" t="str">
        <x:v>https://static.cninfo.com.cn/finalpage/2026-08-27/1225513068.PDF</x:v>
      </x:c>
      <x:c r="J807" s="11" t="str"/>
      <x:c r="K807" s="11" t="str">
        <x:v>待核</x:v>
      </x:c>
      <x:c r="L807" s="11" t="str">
        <x:v>精确发布时间未核验</x:v>
      </x:c>
      <x:c r="M807" s="11" t="str">
        <x:v>截止日前日期，盘中时分未核</x:v>
      </x:c>
    </x:row>
    <x:row r="808" ht="23" customHeight="1">
      <x:c r="A808" s="11" t="str">
        <x:v>I015</x:v>
      </x:c>
      <x:c r="B808" s="11" t="str">
        <x:v>688131.SH</x:v>
      </x:c>
      <x:c r="C808" s="11" t="str">
        <x:v>parentEquity</x:v>
      </x:c>
      <x:c r="D808" s="39" t="n">
        <x:v>3314.09763243</x:v>
      </x:c>
      <x:c r="E808" s="11" t="str">
        <x:v>CNY</x:v>
      </x:c>
      <x:c r="F808" s="11" t="str">
        <x:v>million</x:v>
      </x:c>
      <x:c r="G808" s="11" t="str">
        <x:v>2026H1</x:v>
      </x:c>
      <x:c r="H808" s="11" t="str">
        <x:v>2026-08-27</x:v>
      </x:c>
      <x:c r="I808" s="11" t="str">
        <x:v>https://static.cninfo.com.cn/finalpage/2026-08-27/1225513068.PDF</x:v>
      </x:c>
      <x:c r="J808" s="11" t="str"/>
      <x:c r="K808" s="11" t="str">
        <x:v>待核</x:v>
      </x:c>
      <x:c r="L808" s="11" t="str">
        <x:v>精确发布时间未核验</x:v>
      </x:c>
      <x:c r="M808" s="11" t="str">
        <x:v>截止日前日期，盘中时分未核</x:v>
      </x:c>
    </x:row>
    <x:row r="809" ht="23" customHeight="1">
      <x:c r="A809" s="11" t="str">
        <x:v>I015</x:v>
      </x:c>
      <x:c r="B809" s="11" t="str">
        <x:v>688131.SH</x:v>
      </x:c>
      <x:c r="C809" s="11" t="str">
        <x:v>inventoryNet</x:v>
      </x:c>
      <x:c r="D809" s="39" t="n">
        <x:v>1585.20526789</x:v>
      </x:c>
      <x:c r="E809" s="11" t="str">
        <x:v>CNY</x:v>
      </x:c>
      <x:c r="F809" s="11" t="str">
        <x:v>million</x:v>
      </x:c>
      <x:c r="G809" s="11" t="str">
        <x:v>2026H1</x:v>
      </x:c>
      <x:c r="H809" s="11" t="str">
        <x:v>2026-08-27</x:v>
      </x:c>
      <x:c r="I809" s="11" t="str">
        <x:v>https://static.cninfo.com.cn/finalpage/2026-08-27/1225513068.PDF</x:v>
      </x:c>
      <x:c r="J809" s="11" t="str"/>
      <x:c r="K809" s="11" t="str">
        <x:v>待核</x:v>
      </x:c>
      <x:c r="L809" s="11" t="str">
        <x:v>精确发布时间未核验</x:v>
      </x:c>
      <x:c r="M809" s="11" t="str">
        <x:v>截止日前日期，盘中时分未核</x:v>
      </x:c>
    </x:row>
    <x:row r="810" ht="23" customHeight="1">
      <x:c r="A810" s="11" t="str">
        <x:v>I015</x:v>
      </x:c>
      <x:c r="B810" s="11" t="str">
        <x:v>688131.SH</x:v>
      </x:c>
      <x:c r="C810" s="11" t="str">
        <x:v>inventoryProvision</x:v>
      </x:c>
      <x:c r="D810" s="39" t="n">
        <x:v>423.9635</x:v>
      </x:c>
      <x:c r="E810" s="11" t="str">
        <x:v>CNY</x:v>
      </x:c>
      <x:c r="F810" s="11" t="str">
        <x:v>million</x:v>
      </x:c>
      <x:c r="G810" s="11" t="str">
        <x:v>2026H1</x:v>
      </x:c>
      <x:c r="H810" s="11" t="str">
        <x:v>2026-08-27</x:v>
      </x:c>
      <x:c r="I810" s="11" t="str">
        <x:v>https://static.cninfo.com.cn/finalpage/2026-08-27/1225513068.PDF</x:v>
      </x:c>
      <x:c r="J810" s="11" t="str"/>
      <x:c r="K810" s="11" t="str">
        <x:v>待核</x:v>
      </x:c>
      <x:c r="L810" s="11" t="str">
        <x:v>精确发布时间未核验</x:v>
      </x:c>
      <x:c r="M810" s="11" t="str">
        <x:v>截止日前日期，盘中时分未核</x:v>
      </x:c>
    </x:row>
    <x:row r="811" ht="23" customHeight="1">
      <x:c r="A811" s="11" t="str">
        <x:v>I015</x:v>
      </x:c>
      <x:c r="B811" s="11" t="str">
        <x:v>688131.SH</x:v>
      </x:c>
      <x:c r="C811" s="11" t="str">
        <x:v>receivableNet</x:v>
      </x:c>
      <x:c r="D811" s="39" t="n">
        <x:v>799.59075023</x:v>
      </x:c>
      <x:c r="E811" s="11" t="str">
        <x:v>CNY</x:v>
      </x:c>
      <x:c r="F811" s="11" t="str">
        <x:v>million</x:v>
      </x:c>
      <x:c r="G811" s="11" t="str">
        <x:v>2026H1</x:v>
      </x:c>
      <x:c r="H811" s="11" t="str">
        <x:v>2026-08-27</x:v>
      </x:c>
      <x:c r="I811" s="11" t="str">
        <x:v>https://static.cninfo.com.cn/finalpage/2026-08-27/1225513068.PDF</x:v>
      </x:c>
      <x:c r="J811" s="11" t="str"/>
      <x:c r="K811" s="11" t="str">
        <x:v>待核</x:v>
      </x:c>
      <x:c r="L811" s="11" t="str">
        <x:v>精确发布时间未核验</x:v>
      </x:c>
      <x:c r="M811" s="11" t="str">
        <x:v>截止日前日期，盘中时分未核</x:v>
      </x:c>
    </x:row>
    <x:row r="812" ht="23" customHeight="1">
      <x:c r="A812" s="11" t="str">
        <x:v>I015</x:v>
      </x:c>
      <x:c r="B812" s="11" t="str">
        <x:v>688131.SH</x:v>
      </x:c>
      <x:c r="C812" s="11" t="str">
        <x:v>goodwill</x:v>
      </x:c>
      <x:c r="D812" s="39" t="n">
        <x:v>377.51828633</x:v>
      </x:c>
      <x:c r="E812" s="11" t="str">
        <x:v>CNY</x:v>
      </x:c>
      <x:c r="F812" s="11" t="str">
        <x:v>million</x:v>
      </x:c>
      <x:c r="G812" s="11" t="str">
        <x:v>2026H1</x:v>
      </x:c>
      <x:c r="H812" s="11" t="str">
        <x:v>2026-08-27</x:v>
      </x:c>
      <x:c r="I812" s="11" t="str">
        <x:v>https://static.cninfo.com.cn/finalpage/2026-08-27/1225513068.PDF</x:v>
      </x:c>
      <x:c r="J812" s="11" t="str"/>
      <x:c r="K812" s="11" t="str">
        <x:v>待核</x:v>
      </x:c>
      <x:c r="L812" s="11" t="str">
        <x:v>精确发布时间未核验</x:v>
      </x:c>
      <x:c r="M812" s="11" t="str">
        <x:v>截止日前日期，盘中时分未核</x:v>
      </x:c>
    </x:row>
    <x:row r="813" ht="23" customHeight="1">
      <x:c r="A813" s="11" t="str">
        <x:v>I015</x:v>
      </x:c>
      <x:c r="B813" s="11" t="str">
        <x:v>688131.SH</x:v>
      </x:c>
      <x:c r="C813" s="11" t="str">
        <x:v>RDExpensed</x:v>
      </x:c>
      <x:c r="D813" s="39" t="n">
        <x:v>133.7306174</x:v>
      </x:c>
      <x:c r="E813" s="11" t="str">
        <x:v>CNY</x:v>
      </x:c>
      <x:c r="F813" s="11" t="str">
        <x:v>million</x:v>
      </x:c>
      <x:c r="G813" s="11" t="str">
        <x:v>2026H1</x:v>
      </x:c>
      <x:c r="H813" s="11" t="str">
        <x:v>2026-08-27</x:v>
      </x:c>
      <x:c r="I813" s="11" t="str">
        <x:v>https://static.cninfo.com.cn/finalpage/2026-08-27/1225513068.PDF</x:v>
      </x:c>
      <x:c r="J813" s="11" t="str"/>
      <x:c r="K813" s="11" t="str">
        <x:v>待核</x:v>
      </x:c>
      <x:c r="L813" s="11" t="str">
        <x:v>精确发布时间未核验</x:v>
      </x:c>
      <x:c r="M813" s="11" t="str">
        <x:v>截止日前日期，盘中时分未核</x:v>
      </x:c>
    </x:row>
    <x:row r="814" ht="23" customHeight="1">
      <x:c r="A814" s="11" t="str">
        <x:v>I015</x:v>
      </x:c>
      <x:c r="B814" s="11" t="str">
        <x:v>688131.SH</x:v>
      </x:c>
      <x:c r="C814" s="11" t="str">
        <x:v>RDCapitalized</x:v>
      </x:c>
      <x:c r="D814" s="39" t="n">
        <x:v>0</x:v>
      </x:c>
      <x:c r="E814" s="11" t="str">
        <x:v>CNY</x:v>
      </x:c>
      <x:c r="F814" s="11" t="str">
        <x:v>million</x:v>
      </x:c>
      <x:c r="G814" s="11" t="str">
        <x:v>2026H1</x:v>
      </x:c>
      <x:c r="H814" s="11" t="str">
        <x:v>2026-08-27</x:v>
      </x:c>
      <x:c r="I814" s="11" t="str">
        <x:v>https://static.cninfo.com.cn/finalpage/2026-08-27/1225513068.PDF</x:v>
      </x:c>
      <x:c r="J814" s="11" t="str"/>
      <x:c r="K814" s="11" t="str">
        <x:v>待核</x:v>
      </x:c>
      <x:c r="L814" s="11" t="str">
        <x:v>精确发布时间未核验</x:v>
      </x:c>
      <x:c r="M814" s="11" t="str">
        <x:v>截止日前日期，盘中时分未核</x:v>
      </x:c>
    </x:row>
    <x:row r="815" ht="23" customHeight="1">
      <x:c r="A815" s="11" t="str">
        <x:v>I015</x:v>
      </x:c>
      <x:c r="B815" s="11" t="str">
        <x:v>688131.SH</x:v>
      </x:c>
      <x:c r="C815" s="11" t="str">
        <x:v>RDIntensityPct</x:v>
      </x:c>
      <x:c r="D815" s="39" t="n">
        <x:v>8.11</x:v>
      </x:c>
      <x:c r="E815" s="11" t="str">
        <x:v>not monetary</x:v>
      </x:c>
      <x:c r="F815" s="11" t="str">
        <x:v>percent</x:v>
      </x:c>
      <x:c r="G815" s="11" t="str">
        <x:v>2026H1</x:v>
      </x:c>
      <x:c r="H815" s="11" t="str">
        <x:v>2026-08-27</x:v>
      </x:c>
      <x:c r="I815" s="11" t="str">
        <x:v>https://static.cninfo.com.cn/finalpage/2026-08-27/1225513068.PDF</x:v>
      </x:c>
      <x:c r="J815" s="11" t="str"/>
      <x:c r="K815" s="11" t="str">
        <x:v>待核</x:v>
      </x:c>
      <x:c r="L815" s="11" t="str">
        <x:v>精确发布时间未核验</x:v>
      </x:c>
      <x:c r="M815" s="11" t="str">
        <x:v>截止日前日期，盘中时分未核</x:v>
      </x:c>
    </x:row>
    <x:row r="816" ht="23" customHeight="1">
      <x:c r="A816" s="11" t="str">
        <x:v>I015</x:v>
      </x:c>
      <x:c r="B816" s="11" t="str">
        <x:v>688131.SH</x:v>
      </x:c>
      <x:c r="C816" s="11" t="str">
        <x:v>netFXLoss</x:v>
      </x:c>
      <x:c r="D816" s="39" t="n">
        <x:v>42.34336328</x:v>
      </x:c>
      <x:c r="E816" s="11" t="str">
        <x:v>CNY</x:v>
      </x:c>
      <x:c r="F816" s="11" t="str">
        <x:v>million</x:v>
      </x:c>
      <x:c r="G816" s="11" t="str">
        <x:v>2026H1</x:v>
      </x:c>
      <x:c r="H816" s="11" t="str">
        <x:v>2026-08-27</x:v>
      </x:c>
      <x:c r="I816" s="11" t="str">
        <x:v>https://static.cninfo.com.cn/finalpage/2026-08-27/1225513068.PDF</x:v>
      </x:c>
      <x:c r="J816" s="11" t="str"/>
      <x:c r="K816" s="11" t="str">
        <x:v>待核</x:v>
      </x:c>
      <x:c r="L816" s="11" t="str">
        <x:v>精确发布时间未核验</x:v>
      </x:c>
      <x:c r="M816" s="11" t="str">
        <x:v>截止日前日期，盘中时分未核</x:v>
      </x:c>
    </x:row>
    <x:row r="817" ht="23" customHeight="1">
      <x:c r="A817" s="11" t="str">
        <x:v>I015</x:v>
      </x:c>
      <x:c r="B817" s="11" t="str">
        <x:v>688131.SH</x:v>
      </x:c>
      <x:c r="C817" s="11" t="str">
        <x:v>interestExpense</x:v>
      </x:c>
      <x:c r="D817" s="39" t="n">
        <x:v>25.58227333</x:v>
      </x:c>
      <x:c r="E817" s="11" t="str">
        <x:v>CNY</x:v>
      </x:c>
      <x:c r="F817" s="11" t="str">
        <x:v>million</x:v>
      </x:c>
      <x:c r="G817" s="11" t="str">
        <x:v>2026H1</x:v>
      </x:c>
      <x:c r="H817" s="11" t="str">
        <x:v>2026-08-27</x:v>
      </x:c>
      <x:c r="I817" s="11" t="str">
        <x:v>https://static.cninfo.com.cn/finalpage/2026-08-27/1225513068.PDF</x:v>
      </x:c>
      <x:c r="J817" s="11" t="str"/>
      <x:c r="K817" s="11" t="str">
        <x:v>待核</x:v>
      </x:c>
      <x:c r="L817" s="11" t="str">
        <x:v>精确发布时间未核验</x:v>
      </x:c>
      <x:c r="M817" s="11" t="str">
        <x:v>截止日前日期，盘中时分未核</x:v>
      </x:c>
    </x:row>
    <x:row r="818" ht="23" customHeight="1">
      <x:c r="A818" s="11" t="str">
        <x:v>I015</x:v>
      </x:c>
      <x:c r="B818" s="11" t="str">
        <x:v>688131.SH</x:v>
      </x:c>
      <x:c r="C818" s="11" t="str">
        <x:v>financeExpense</x:v>
      </x:c>
      <x:c r="D818" s="39" t="n">
        <x:v>69.96785584</x:v>
      </x:c>
      <x:c r="E818" s="11" t="str">
        <x:v>CNY</x:v>
      </x:c>
      <x:c r="F818" s="11" t="str">
        <x:v>million</x:v>
      </x:c>
      <x:c r="G818" s="11" t="str">
        <x:v>2026H1</x:v>
      </x:c>
      <x:c r="H818" s="11" t="str">
        <x:v>2026-08-27</x:v>
      </x:c>
      <x:c r="I818" s="11" t="str">
        <x:v>https://static.cninfo.com.cn/finalpage/2026-08-27/1225513068.PDF</x:v>
      </x:c>
      <x:c r="J818" s="11" t="str"/>
      <x:c r="K818" s="11" t="str">
        <x:v>待核</x:v>
      </x:c>
      <x:c r="L818" s="11" t="str">
        <x:v>精确发布时间未核验</x:v>
      </x:c>
      <x:c r="M818" s="11" t="str">
        <x:v>截止日前日期，盘中时分未核</x:v>
      </x:c>
    </x:row>
    <x:row r="819" ht="23" customHeight="1">
      <x:c r="A819" s="11" t="str">
        <x:v>I015</x:v>
      </x:c>
      <x:c r="B819" s="11" t="str">
        <x:v>688131.SH</x:v>
      </x:c>
      <x:c r="C819" s="11" t="str">
        <x:v>inventoryImpairmentExpense</x:v>
      </x:c>
      <x:c r="D819" s="39" t="n">
        <x:v>80.53450696</x:v>
      </x:c>
      <x:c r="E819" s="11" t="str">
        <x:v>CNY</x:v>
      </x:c>
      <x:c r="F819" s="11" t="str">
        <x:v>million</x:v>
      </x:c>
      <x:c r="G819" s="11" t="str">
        <x:v>2026H1</x:v>
      </x:c>
      <x:c r="H819" s="11" t="str">
        <x:v>2026-08-27</x:v>
      </x:c>
      <x:c r="I819" s="11" t="str">
        <x:v>https://static.cninfo.com.cn/finalpage/2026-08-27/1225513068.PDF</x:v>
      </x:c>
      <x:c r="J819" s="11" t="str"/>
      <x:c r="K819" s="11" t="str">
        <x:v>待核</x:v>
      </x:c>
      <x:c r="L819" s="11" t="str">
        <x:v>精确发布时间未核验</x:v>
      </x:c>
      <x:c r="M819" s="11" t="str">
        <x:v>截止日前日期，盘中时分未核</x:v>
      </x:c>
    </x:row>
    <x:row r="820" ht="23" customHeight="1">
      <x:c r="A820" s="11" t="str">
        <x:v>I015</x:v>
      </x:c>
      <x:c r="B820" s="11" t="str">
        <x:v>688131.SH</x:v>
      </x:c>
      <x:c r="C820" s="11" t="str">
        <x:v>assetImpairmentNet</x:v>
      </x:c>
      <x:c r="D820" s="39" t="n">
        <x:v>79.88689393</x:v>
      </x:c>
      <x:c r="E820" s="11" t="str">
        <x:v>CNY</x:v>
      </x:c>
      <x:c r="F820" s="11" t="str">
        <x:v>million</x:v>
      </x:c>
      <x:c r="G820" s="11" t="str">
        <x:v>2026H1</x:v>
      </x:c>
      <x:c r="H820" s="11" t="str">
        <x:v>2026-08-27</x:v>
      </x:c>
      <x:c r="I820" s="11" t="str">
        <x:v>https://static.cninfo.com.cn/finalpage/2026-08-27/1225513068.PDF</x:v>
      </x:c>
      <x:c r="J820" s="11" t="str"/>
      <x:c r="K820" s="11" t="str">
        <x:v>待核</x:v>
      </x:c>
      <x:c r="L820" s="11" t="str">
        <x:v>精确发布时间未核验</x:v>
      </x:c>
      <x:c r="M820" s="11" t="str">
        <x:v>截止日前日期，盘中时分未核</x:v>
      </x:c>
    </x:row>
    <x:row r="821" ht="23" customHeight="1">
      <x:c r="A821" s="11" t="str">
        <x:v>I015</x:v>
      </x:c>
      <x:c r="B821" s="11" t="str">
        <x:v>688131.SH</x:v>
      </x:c>
      <x:c r="C821" s="11" t="str">
        <x:v>creditImpairment</x:v>
      </x:c>
      <x:c r="D821" s="39" t="n">
        <x:v>12.99660791</x:v>
      </x:c>
      <x:c r="E821" s="11" t="str">
        <x:v>CNY</x:v>
      </x:c>
      <x:c r="F821" s="11" t="str">
        <x:v>million</x:v>
      </x:c>
      <x:c r="G821" s="11" t="str">
        <x:v>2026H1</x:v>
      </x:c>
      <x:c r="H821" s="11" t="str">
        <x:v>2026-08-27</x:v>
      </x:c>
      <x:c r="I821" s="11" t="str">
        <x:v>https://static.cninfo.com.cn/finalpage/2026-08-27/1225513068.PDF</x:v>
      </x:c>
      <x:c r="J821" s="11" t="str"/>
      <x:c r="K821" s="11" t="str">
        <x:v>待核</x:v>
      </x:c>
      <x:c r="L821" s="11" t="str">
        <x:v>精确发布时间未核验</x:v>
      </x:c>
      <x:c r="M821" s="11" t="str">
        <x:v>截止日前日期，盘中时分未核</x:v>
      </x:c>
    </x:row>
    <x:row r="822" ht="23" customHeight="1">
      <x:c r="A822" s="11" t="str">
        <x:v>I015</x:v>
      </x:c>
      <x:c r="B822" s="11" t="str">
        <x:v>688131.SH</x:v>
      </x:c>
      <x:c r="C822" s="11" t="str">
        <x:v>shareBasedExpense</x:v>
      </x:c>
      <x:c r="D822" s="39" t="n">
        <x:v>15.85498325</x:v>
      </x:c>
      <x:c r="E822" s="11" t="str">
        <x:v>CNY</x:v>
      </x:c>
      <x:c r="F822" s="11" t="str">
        <x:v>million</x:v>
      </x:c>
      <x:c r="G822" s="11" t="str">
        <x:v>2026H1</x:v>
      </x:c>
      <x:c r="H822" s="11" t="str">
        <x:v>2026-08-27</x:v>
      </x:c>
      <x:c r="I822" s="11" t="str">
        <x:v>https://static.cninfo.com.cn/finalpage/2026-08-27/1225513068.PDF</x:v>
      </x:c>
      <x:c r="J822" s="11" t="str"/>
      <x:c r="K822" s="11" t="str">
        <x:v>待核</x:v>
      </x:c>
      <x:c r="L822" s="11" t="str">
        <x:v>精确发布时间未核验</x:v>
      </x:c>
      <x:c r="M822" s="11" t="str">
        <x:v>截止日前日期，盘中时分未核</x:v>
      </x:c>
    </x:row>
    <x:row r="823" ht="23" customHeight="1">
      <x:c r="A823" s="11" t="str">
        <x:v>I011</x:v>
      </x:c>
      <x:c r="B823" s="11" t="str">
        <x:v>600276.SH</x:v>
      </x:c>
      <x:c r="C823" s="11" t="str">
        <x:v>oncologyInnovativeRevenue</x:v>
      </x:c>
      <x:c r="D823" s="39" t="n">
        <x:v>6264.6</x:v>
      </x:c>
      <x:c r="E823" s="11" t="str">
        <x:v>CNY</x:v>
      </x:c>
      <x:c r="F823" s="11" t="str">
        <x:v>million</x:v>
      </x:c>
      <x:c r="G823" s="11" t="str">
        <x:v>2026H1</x:v>
      </x:c>
      <x:c r="H823" s="11" t="str">
        <x:v>2026-08-19 21:35</x:v>
      </x:c>
      <x:c r="I823" s="11" t="str">
        <x:v>https://iis.aastocks.com/20260819/12291039-0.PDF</x:v>
      </x:c>
      <x:c r="J823" s="11" t="str">
        <x:v>H1利润含公平价值、利息和汇兑，不能机械×2；FCF=OCF−购置PPE−土地−新增无形资产</x:v>
      </x:c>
      <x:c r="K823" s="11" t="str">
        <x:v>待核</x:v>
      </x:c>
      <x:c r="L823" s="11" t="str">
        <x:v>精确发布时间未核验</x:v>
      </x:c>
      <x:c r="M823" s="11" t="str">
        <x:v>截止日前日期，盘中时分未核</x:v>
      </x:c>
    </x:row>
    <x:row r="824" ht="23" customHeight="1">
      <x:c r="A824" s="11" t="str">
        <x:v>I011</x:v>
      </x:c>
      <x:c r="B824" s="11" t="str">
        <x:v>600276.SH</x:v>
      </x:c>
      <x:c r="C824" s="11" t="str">
        <x:v>nonOncologyInnovativeRevenue</x:v>
      </x:c>
      <x:c r="D824" s="39" t="n">
        <x:v>2544.8</x:v>
      </x:c>
      <x:c r="E824" s="11" t="str">
        <x:v>CNY</x:v>
      </x:c>
      <x:c r="F824" s="11" t="str">
        <x:v>million</x:v>
      </x:c>
      <x:c r="G824" s="11" t="str">
        <x:v>2026H1</x:v>
      </x:c>
      <x:c r="H824" s="11" t="str">
        <x:v>2026-08-19 21:35</x:v>
      </x:c>
      <x:c r="I824" s="11" t="str">
        <x:v>https://iis.aastocks.com/20260819/12291039-0.PDF</x:v>
      </x:c>
      <x:c r="J824" s="11" t="str">
        <x:v>H1利润含公平价值、利息和汇兑，不能机械×2；FCF=OCF−购置PPE−土地−新增无形资产</x:v>
      </x:c>
      <x:c r="K824" s="11" t="str">
        <x:v>待核</x:v>
      </x:c>
      <x:c r="L824" s="11" t="str">
        <x:v>精确发布时间未核验</x:v>
      </x:c>
      <x:c r="M824" s="11" t="str">
        <x:v>截止日前日期，盘中时分未核</x:v>
      </x:c>
    </x:row>
    <x:row r="825" ht="23" customHeight="1">
      <x:c r="A825" s="11" t="str">
        <x:v>I011</x:v>
      </x:c>
      <x:c r="B825" s="11" t="str">
        <x:v>600276.SH</x:v>
      </x:c>
      <x:c r="C825" s="11" t="str">
        <x:v>genericRevenue</x:v>
      </x:c>
      <x:c r="D825" s="39" t="n">
        <x:v>5138.8</x:v>
      </x:c>
      <x:c r="E825" s="11" t="str">
        <x:v>CNY</x:v>
      </x:c>
      <x:c r="F825" s="11" t="str">
        <x:v>million</x:v>
      </x:c>
      <x:c r="G825" s="11" t="str">
        <x:v>2026H1</x:v>
      </x:c>
      <x:c r="H825" s="11" t="str">
        <x:v>2026-08-19 21:35</x:v>
      </x:c>
      <x:c r="I825" s="11" t="str">
        <x:v>https://iis.aastocks.com/20260819/12291039-0.PDF</x:v>
      </x:c>
      <x:c r="J825" s="11" t="str">
        <x:v>H1利润含公平价值、利息和汇兑，不能机械×2；FCF=OCF−购置PPE−土地−新增无形资产</x:v>
      </x:c>
      <x:c r="K825" s="11" t="str">
        <x:v>待核</x:v>
      </x:c>
      <x:c r="L825" s="11" t="str">
        <x:v>精确发布时间未核验</x:v>
      </x:c>
      <x:c r="M825" s="11" t="str">
        <x:v>截止日前日期，盘中时分未核</x:v>
      </x:c>
    </x:row>
    <x:row r="826" ht="23" customHeight="1">
      <x:c r="A826" s="11" t="str">
        <x:v>I011</x:v>
      </x:c>
      <x:c r="B826" s="11" t="str">
        <x:v>600276.SH</x:v>
      </x:c>
      <x:c r="C826" s="11" t="str">
        <x:v>OCF</x:v>
      </x:c>
      <x:c r="D826" s="39" t="n">
        <x:v>1987.004</x:v>
      </x:c>
      <x:c r="E826" s="11" t="str">
        <x:v>CNY</x:v>
      </x:c>
      <x:c r="F826" s="11" t="str">
        <x:v>million</x:v>
      </x:c>
      <x:c r="G826" s="11" t="str">
        <x:v>2026H1</x:v>
      </x:c>
      <x:c r="H826" s="11" t="str">
        <x:v>2026-08-19 21:35</x:v>
      </x:c>
      <x:c r="I826" s="11" t="str">
        <x:v>https://iis.aastocks.com/20260819/12291039-0.PDF</x:v>
      </x:c>
      <x:c r="J826" s="11" t="str">
        <x:v>H1利润含公平价值、利息和汇兑，不能机械×2；FCF=OCF−购置PPE−土地−新增无形资产</x:v>
      </x:c>
      <x:c r="K826" s="11" t="str">
        <x:v>待核</x:v>
      </x:c>
      <x:c r="L826" s="11" t="str">
        <x:v>精确发布时间未核验</x:v>
      </x:c>
      <x:c r="M826" s="11" t="str">
        <x:v>截止日前日期，盘中时分未核</x:v>
      </x:c>
    </x:row>
    <x:row r="827" ht="23" customHeight="1">
      <x:c r="A827" s="11" t="str">
        <x:v>I011</x:v>
      </x:c>
      <x:c r="B827" s="11" t="str">
        <x:v>600276.SH</x:v>
      </x:c>
      <x:c r="C827" s="11" t="str">
        <x:v>PPEmoneyOut</x:v>
      </x:c>
      <x:c r="D827" s="39" t="n">
        <x:v>394.443</x:v>
      </x:c>
      <x:c r="E827" s="11" t="str">
        <x:v>CNY</x:v>
      </x:c>
      <x:c r="F827" s="11" t="str">
        <x:v>million</x:v>
      </x:c>
      <x:c r="G827" s="11" t="str">
        <x:v>2026H1</x:v>
      </x:c>
      <x:c r="H827" s="11" t="str">
        <x:v>2026-08-19 21:35</x:v>
      </x:c>
      <x:c r="I827" s="11" t="str">
        <x:v>https://iis.aastocks.com/20260819/12291039-0.PDF</x:v>
      </x:c>
      <x:c r="J827" s="11" t="str">
        <x:v>H1利润含公平价值、利息和汇兑，不能机械×2；FCF=OCF−购置PPE−土地−新增无形资产</x:v>
      </x:c>
      <x:c r="K827" s="11" t="str">
        <x:v>待核</x:v>
      </x:c>
      <x:c r="L827" s="11" t="str">
        <x:v>精确发布时间未核验</x:v>
      </x:c>
      <x:c r="M827" s="11" t="str">
        <x:v>截止日前日期，盘中时分未核</x:v>
      </x:c>
    </x:row>
    <x:row r="828" ht="23" customHeight="1">
      <x:c r="A828" s="11" t="str">
        <x:v>I011</x:v>
      </x:c>
      <x:c r="B828" s="11" t="str">
        <x:v>600276.SH</x:v>
      </x:c>
      <x:c r="C828" s="11" t="str">
        <x:v>landMoneyOut</x:v>
      </x:c>
      <x:c r="D828" s="39" t="n">
        <x:v>10.001</x:v>
      </x:c>
      <x:c r="E828" s="11" t="str">
        <x:v>CNY</x:v>
      </x:c>
      <x:c r="F828" s="11" t="str">
        <x:v>million</x:v>
      </x:c>
      <x:c r="G828" s="11" t="str">
        <x:v>2026H1</x:v>
      </x:c>
      <x:c r="H828" s="11" t="str">
        <x:v>2026-08-19 21:35</x:v>
      </x:c>
      <x:c r="I828" s="11" t="str">
        <x:v>https://iis.aastocks.com/20260819/12291039-0.PDF</x:v>
      </x:c>
      <x:c r="J828" s="11" t="str">
        <x:v>H1利润含公平价值、利息和汇兑，不能机械×2；FCF=OCF−购置PPE−土地−新增无形资产</x:v>
      </x:c>
      <x:c r="K828" s="11" t="str">
        <x:v>待核</x:v>
      </x:c>
      <x:c r="L828" s="11" t="str">
        <x:v>精确发布时间未核验</x:v>
      </x:c>
      <x:c r="M828" s="11" t="str">
        <x:v>截止日前日期，盘中时分未核</x:v>
      </x:c>
    </x:row>
    <x:row r="829" ht="23" customHeight="1">
      <x:c r="A829" s="11" t="str">
        <x:v>I011</x:v>
      </x:c>
      <x:c r="B829" s="11" t="str">
        <x:v>600276.SH</x:v>
      </x:c>
      <x:c r="C829" s="11" t="str">
        <x:v>developmentMoneyOut</x:v>
      </x:c>
      <x:c r="D829" s="39" t="n">
        <x:v>1173.062</x:v>
      </x:c>
      <x:c r="E829" s="11" t="str">
        <x:v>CNY</x:v>
      </x:c>
      <x:c r="F829" s="11" t="str">
        <x:v>million</x:v>
      </x:c>
      <x:c r="G829" s="11" t="str">
        <x:v>2026H1</x:v>
      </x:c>
      <x:c r="H829" s="11" t="str">
        <x:v>2026-08-19 21:35</x:v>
      </x:c>
      <x:c r="I829" s="11" t="str">
        <x:v>https://iis.aastocks.com/20260819/12291039-0.PDF</x:v>
      </x:c>
      <x:c r="J829" s="11" t="str">
        <x:v>H1利润含公平价值、利息和汇兑，不能机械×2；FCF=OCF−购置PPE−土地−新增无形资产</x:v>
      </x:c>
      <x:c r="K829" s="11" t="str">
        <x:v>待核</x:v>
      </x:c>
      <x:c r="L829" s="11" t="str">
        <x:v>精确发布时间未核验</x:v>
      </x:c>
      <x:c r="M829" s="11" t="str">
        <x:v>截止日前日期，盘中时分未核</x:v>
      </x:c>
    </x:row>
    <x:row r="830" ht="23" customHeight="1">
      <x:c r="A830" s="11" t="str">
        <x:v>I011</x:v>
      </x:c>
      <x:c r="B830" s="11" t="str">
        <x:v>600276.SH</x:v>
      </x:c>
      <x:c r="C830" s="11" t="str">
        <x:v>conservativeFreeCashFlow</x:v>
      </x:c>
      <x:c r="D830" s="39" t="n">
        <x:v>409.498</x:v>
      </x:c>
      <x:c r="E830" s="11" t="str">
        <x:v>CNY</x:v>
      </x:c>
      <x:c r="F830" s="11" t="str">
        <x:v>million</x:v>
      </x:c>
      <x:c r="G830" s="11" t="str">
        <x:v>2026H1</x:v>
      </x:c>
      <x:c r="H830" s="11" t="str">
        <x:v>2026-08-19 21:35</x:v>
      </x:c>
      <x:c r="I830" s="11" t="str">
        <x:v>https://iis.aastocks.com/20260819/12291039-0.PDF</x:v>
      </x:c>
      <x:c r="J830" s="11" t="str">
        <x:v>H1利润含公平价值、利息和汇兑，不能机械×2；FCF=OCF−购置PPE−土地−新增无形资产</x:v>
      </x:c>
      <x:c r="K830" s="11" t="str">
        <x:v>待核</x:v>
      </x:c>
      <x:c r="L830" s="11" t="str">
        <x:v>精确发布时间未核验</x:v>
      </x:c>
      <x:c r="M830" s="11" t="str">
        <x:v>截止日前日期，盘中时分未核</x:v>
      </x:c>
    </x:row>
    <x:row r="831" ht="23" customHeight="1">
      <x:c r="A831" s="11" t="str">
        <x:v>I011</x:v>
      </x:c>
      <x:c r="B831" s="11" t="str">
        <x:v>600276.SH</x:v>
      </x:c>
      <x:c r="C831" s="11" t="str">
        <x:v>rdTotal</x:v>
      </x:c>
      <x:c r="D831" s="39" t="n">
        <x:v>4605.1</x:v>
      </x:c>
      <x:c r="E831" s="11" t="str">
        <x:v>CNY</x:v>
      </x:c>
      <x:c r="F831" s="11" t="str">
        <x:v>million</x:v>
      </x:c>
      <x:c r="G831" s="11" t="str">
        <x:v>2026H1</x:v>
      </x:c>
      <x:c r="H831" s="11" t="str">
        <x:v>2026-08-19 21:35</x:v>
      </x:c>
      <x:c r="I831" s="11" t="str">
        <x:v>https://iis.aastocks.com/20260819/12291039-0.PDF</x:v>
      </x:c>
      <x:c r="J831" s="11" t="str">
        <x:v>H1利润含公平价值、利息和汇兑，不能机械×2；FCF=OCF−购置PPE−土地−新增无形资产</x:v>
      </x:c>
      <x:c r="K831" s="11" t="str">
        <x:v>待核</x:v>
      </x:c>
      <x:c r="L831" s="11" t="str">
        <x:v>精确发布时间未核验</x:v>
      </x:c>
      <x:c r="M831" s="11" t="str">
        <x:v>截止日前日期，盘中时分未核</x:v>
      </x:c>
    </x:row>
    <x:row r="832" ht="23" customHeight="1">
      <x:c r="A832" s="11" t="str">
        <x:v>I011</x:v>
      </x:c>
      <x:c r="B832" s="11" t="str">
        <x:v>600276.SH</x:v>
      </x:c>
      <x:c r="C832" s="11" t="str">
        <x:v>rdExpensed</x:v>
      </x:c>
      <x:c r="D832" s="39" t="n">
        <x:v>3492.9</x:v>
      </x:c>
      <x:c r="E832" s="11" t="str">
        <x:v>CNY</x:v>
      </x:c>
      <x:c r="F832" s="11" t="str">
        <x:v>million</x:v>
      </x:c>
      <x:c r="G832" s="11" t="str">
        <x:v>2026H1</x:v>
      </x:c>
      <x:c r="H832" s="11" t="str">
        <x:v>2026-08-19 21:35</x:v>
      </x:c>
      <x:c r="I832" s="11" t="str">
        <x:v>https://iis.aastocks.com/20260819/12291039-0.PDF</x:v>
      </x:c>
      <x:c r="J832" s="11" t="str">
        <x:v>H1利润含公平价值、利息和汇兑，不能机械×2；FCF=OCF−购置PPE−土地−新增无形资产</x:v>
      </x:c>
      <x:c r="K832" s="11" t="str">
        <x:v>待核</x:v>
      </x:c>
      <x:c r="L832" s="11" t="str">
        <x:v>精确发布时间未核验</x:v>
      </x:c>
      <x:c r="M832" s="11" t="str">
        <x:v>截止日前日期，盘中时分未核</x:v>
      </x:c>
    </x:row>
    <x:row r="833" ht="23" customHeight="1">
      <x:c r="A833" s="11" t="str">
        <x:v>I011</x:v>
      </x:c>
      <x:c r="B833" s="11" t="str">
        <x:v>600276.SH</x:v>
      </x:c>
      <x:c r="C833" s="11" t="str">
        <x:v>KaileraFairValueGain</x:v>
      </x:c>
      <x:c r="D833" s="39" t="n">
        <x:v>820.7</x:v>
      </x:c>
      <x:c r="E833" s="11" t="str">
        <x:v>CNY</x:v>
      </x:c>
      <x:c r="F833" s="11" t="str">
        <x:v>million</x:v>
      </x:c>
      <x:c r="G833" s="11" t="str">
        <x:v>2026H1</x:v>
      </x:c>
      <x:c r="H833" s="11" t="str">
        <x:v>2026-08-19 21:35</x:v>
      </x:c>
      <x:c r="I833" s="11" t="str">
        <x:v>https://iis.aastocks.com/20260819/12291039-0.PDF</x:v>
      </x:c>
      <x:c r="J833" s="11" t="str">
        <x:v>H1利润含公平价值、利息和汇兑，不能机械×2；FCF=OCF−购置PPE−土地−新增无形资产</x:v>
      </x:c>
      <x:c r="K833" s="11" t="str">
        <x:v>待核</x:v>
      </x:c>
      <x:c r="L833" s="11" t="str">
        <x:v>精确发布时间未核验</x:v>
      </x:c>
      <x:c r="M833" s="11" t="str">
        <x:v>截止日前日期，盘中时分未核</x:v>
      </x:c>
    </x:row>
    <x:row r="834" ht="23" customHeight="1">
      <x:c r="A834" s="11" t="str">
        <x:v>I011</x:v>
      </x:c>
      <x:c r="B834" s="11" t="str">
        <x:v>600276.SH</x:v>
      </x:c>
      <x:c r="C834" s="11" t="str">
        <x:v>totalAssets</x:v>
      </x:c>
      <x:c r="D834" s="39" t="n">
        <x:v>70773.122</x:v>
      </x:c>
      <x:c r="E834" s="11" t="str">
        <x:v>CNY</x:v>
      </x:c>
      <x:c r="F834" s="11" t="str">
        <x:v>million</x:v>
      </x:c>
      <x:c r="G834" s="11" t="str">
        <x:v>2026H1</x:v>
      </x:c>
      <x:c r="H834" s="11" t="str">
        <x:v>2026-08-19 21:35</x:v>
      </x:c>
      <x:c r="I834" s="11" t="str">
        <x:v>https://iis.aastocks.com/20260819/12291039-0.PDF</x:v>
      </x:c>
      <x:c r="J834" s="11" t="str">
        <x:v>H1利润含公平价值、利息和汇兑，不能机械×2；FCF=OCF−购置PPE−土地−新增无形资产</x:v>
      </x:c>
      <x:c r="K834" s="11" t="str">
        <x:v>待核</x:v>
      </x:c>
      <x:c r="L834" s="11" t="str">
        <x:v>精确发布时间未核验</x:v>
      </x:c>
      <x:c r="M834" s="11" t="str">
        <x:v>截止日前日期，盘中时分未核</x:v>
      </x:c>
    </x:row>
    <x:row r="835" ht="23" customHeight="1">
      <x:c r="A835" s="11" t="str">
        <x:v>I011</x:v>
      </x:c>
      <x:c r="B835" s="11" t="str">
        <x:v>600276.SH</x:v>
      </x:c>
      <x:c r="C835" s="11" t="str">
        <x:v>parentEquity</x:v>
      </x:c>
      <x:c r="D835" s="39" t="n">
        <x:v>64466.431</x:v>
      </x:c>
      <x:c r="E835" s="11" t="str">
        <x:v>CNY</x:v>
      </x:c>
      <x:c r="F835" s="11" t="str">
        <x:v>million</x:v>
      </x:c>
      <x:c r="G835" s="11" t="str">
        <x:v>2026H1</x:v>
      </x:c>
      <x:c r="H835" s="11" t="str">
        <x:v>2026-08-19 21:35</x:v>
      </x:c>
      <x:c r="I835" s="11" t="str">
        <x:v>https://iis.aastocks.com/20260819/12291039-0.PDF</x:v>
      </x:c>
      <x:c r="J835" s="11" t="str">
        <x:v>H1利润含公平价值、利息和汇兑，不能机械×2；FCF=OCF−购置PPE−土地−新增无形资产</x:v>
      </x:c>
      <x:c r="K835" s="11" t="str">
        <x:v>待核</x:v>
      </x:c>
      <x:c r="L835" s="11" t="str">
        <x:v>精确发布时间未核验</x:v>
      </x:c>
      <x:c r="M835" s="11" t="str">
        <x:v>截止日前日期，盘中时分未核</x:v>
      </x:c>
    </x:row>
    <x:row r="836" ht="23" customHeight="1">
      <x:c r="A836" s="11" t="str">
        <x:v>I005</x:v>
      </x:c>
      <x:c r="B836" s="11" t="str">
        <x:v>688302.SH</x:v>
      </x:c>
      <x:c r="C836" s="11" t="str">
        <x:v>revenue</x:v>
      </x:c>
      <x:c r="D836" s="39" t="n">
        <x:v>54.97055002</x:v>
      </x:c>
      <x:c r="E836" s="11" t="str">
        <x:v>CNY</x:v>
      </x:c>
      <x:c r="F836" s="11" t="str">
        <x:v>million</x:v>
      </x:c>
      <x:c r="G836" s="11" t="str">
        <x:v>2026H1</x:v>
      </x:c>
      <x:c r="H836" s="11" t="str">
        <x:v>2026-08-27</x:v>
      </x:c>
      <x:c r="I836" s="11" t="str">
        <x:v>https://static.cninfo.com.cn/finalpage/2026-08-27/1225514360.PDF</x:v>
      </x:c>
      <x:c r="J836" s="11" t="str"/>
      <x:c r="K836" s="11" t="str">
        <x:v>待核</x:v>
      </x:c>
      <x:c r="L836" s="11" t="str">
        <x:v>精确发布时间未核验</x:v>
      </x:c>
      <x:c r="M836" s="11" t="str">
        <x:v>截止日前日期，盘中时分未核</x:v>
      </x:c>
    </x:row>
    <x:row r="837" ht="23" customHeight="1">
      <x:c r="A837" s="11" t="str">
        <x:v>I005</x:v>
      </x:c>
      <x:c r="B837" s="11" t="str">
        <x:v>688302.SH</x:v>
      </x:c>
      <x:c r="C837" s="11" t="str">
        <x:v>revenueGrowthPct</x:v>
      </x:c>
      <x:c r="D837" s="39" t="n">
        <x:v>317.48</x:v>
      </x:c>
      <x:c r="E837" s="11" t="str">
        <x:v>not monetary</x:v>
      </x:c>
      <x:c r="F837" s="11" t="str">
        <x:v>percent</x:v>
      </x:c>
      <x:c r="G837" s="11" t="str">
        <x:v>2026H1</x:v>
      </x:c>
      <x:c r="H837" s="11" t="str">
        <x:v>2026-08-27</x:v>
      </x:c>
      <x:c r="I837" s="11" t="str">
        <x:v>https://static.cninfo.com.cn/finalpage/2026-08-27/1225514360.PDF</x:v>
      </x:c>
      <x:c r="J837" s="11" t="str"/>
      <x:c r="K837" s="11" t="str">
        <x:v>待核</x:v>
      </x:c>
      <x:c r="L837" s="11" t="str">
        <x:v>精确发布时间未核验</x:v>
      </x:c>
      <x:c r="M837" s="11" t="str">
        <x:v>截止日前日期，盘中时分未核</x:v>
      </x:c>
    </x:row>
    <x:row r="838" ht="23" customHeight="1">
      <x:c r="A838" s="11" t="str">
        <x:v>I005</x:v>
      </x:c>
      <x:c r="B838" s="11" t="str">
        <x:v>688302.SH</x:v>
      </x:c>
      <x:c r="C838" s="11" t="str">
        <x:v>drugRevenue</x:v>
      </x:c>
      <x:c r="D838" s="39" t="n">
        <x:v>54.94541653</x:v>
      </x:c>
      <x:c r="E838" s="11" t="str">
        <x:v>CNY</x:v>
      </x:c>
      <x:c r="F838" s="11" t="str">
        <x:v>million</x:v>
      </x:c>
      <x:c r="G838" s="11" t="str">
        <x:v>2026H1</x:v>
      </x:c>
      <x:c r="H838" s="11" t="str">
        <x:v>2026-08-27</x:v>
      </x:c>
      <x:c r="I838" s="11" t="str">
        <x:v>https://static.cninfo.com.cn/finalpage/2026-08-27/1225514360.PDF</x:v>
      </x:c>
      <x:c r="J838" s="11" t="str"/>
      <x:c r="K838" s="11" t="str">
        <x:v>待核</x:v>
      </x:c>
      <x:c r="L838" s="11" t="str">
        <x:v>精确发布时间未核验</x:v>
      </x:c>
      <x:c r="M838" s="11" t="str">
        <x:v>截止日前日期，盘中时分未核</x:v>
      </x:c>
    </x:row>
    <x:row r="839" ht="23" customHeight="1">
      <x:c r="A839" s="11" t="str">
        <x:v>I005</x:v>
      </x:c>
      <x:c r="B839" s="11" t="str">
        <x:v>688302.SH</x:v>
      </x:c>
      <x:c r="C839" s="11" t="str">
        <x:v>otherRevenue</x:v>
      </x:c>
      <x:c r="D839" s="39" t="n">
        <x:v>0.02513349</x:v>
      </x:c>
      <x:c r="E839" s="11" t="str">
        <x:v>CNY</x:v>
      </x:c>
      <x:c r="F839" s="11" t="str">
        <x:v>million</x:v>
      </x:c>
      <x:c r="G839" s="11" t="str">
        <x:v>2026H1</x:v>
      </x:c>
      <x:c r="H839" s="11" t="str">
        <x:v>2026-08-27</x:v>
      </x:c>
      <x:c r="I839" s="11" t="str">
        <x:v>https://static.cninfo.com.cn/finalpage/2026-08-27/1225514360.PDF</x:v>
      </x:c>
      <x:c r="J839" s="11" t="str"/>
      <x:c r="K839" s="11" t="str">
        <x:v>待核</x:v>
      </x:c>
      <x:c r="L839" s="11" t="str">
        <x:v>精确发布时间未核验</x:v>
      </x:c>
      <x:c r="M839" s="11" t="str">
        <x:v>截止日前日期，盘中时分未核</x:v>
      </x:c>
    </x:row>
    <x:row r="840" ht="23" customHeight="1">
      <x:c r="A840" s="11" t="str">
        <x:v>I005</x:v>
      </x:c>
      <x:c r="B840" s="11" t="str">
        <x:v>688302.SH</x:v>
      </x:c>
      <x:c r="C840" s="11" t="str">
        <x:v>cost</x:v>
      </x:c>
      <x:c r="D840" s="39" t="n">
        <x:v>1.46414792</x:v>
      </x:c>
      <x:c r="E840" s="11" t="str">
        <x:v>CNY</x:v>
      </x:c>
      <x:c r="F840" s="11" t="str">
        <x:v>million</x:v>
      </x:c>
      <x:c r="G840" s="11" t="str">
        <x:v>2026H1</x:v>
      </x:c>
      <x:c r="H840" s="11" t="str">
        <x:v>2026-08-27</x:v>
      </x:c>
      <x:c r="I840" s="11" t="str">
        <x:v>https://static.cninfo.com.cn/finalpage/2026-08-27/1225514360.PDF</x:v>
      </x:c>
      <x:c r="J840" s="11" t="str"/>
      <x:c r="K840" s="11" t="str">
        <x:v>待核</x:v>
      </x:c>
      <x:c r="L840" s="11" t="str">
        <x:v>精确发布时间未核验</x:v>
      </x:c>
      <x:c r="M840" s="11" t="str">
        <x:v>截止日前日期，盘中时分未核</x:v>
      </x:c>
    </x:row>
    <x:row r="841" ht="23" customHeight="1">
      <x:c r="A841" s="11" t="str">
        <x:v>I005</x:v>
      </x:c>
      <x:c r="B841" s="11" t="str">
        <x:v>688302.SH</x:v>
      </x:c>
      <x:c r="C841" s="11" t="str">
        <x:v>drugCost</x:v>
      </x:c>
      <x:c r="D841" s="39" t="n">
        <x:v>1.40152098</x:v>
      </x:c>
      <x:c r="E841" s="11" t="str">
        <x:v>CNY</x:v>
      </x:c>
      <x:c r="F841" s="11" t="str">
        <x:v>million</x:v>
      </x:c>
      <x:c r="G841" s="11" t="str">
        <x:v>2026H1</x:v>
      </x:c>
      <x:c r="H841" s="11" t="str">
        <x:v>2026-08-27</x:v>
      </x:c>
      <x:c r="I841" s="11" t="str">
        <x:v>https://static.cninfo.com.cn/finalpage/2026-08-27/1225514360.PDF</x:v>
      </x:c>
      <x:c r="J841" s="11" t="str"/>
      <x:c r="K841" s="11" t="str">
        <x:v>待核</x:v>
      </x:c>
      <x:c r="L841" s="11" t="str">
        <x:v>精确发布时间未核验</x:v>
      </x:c>
      <x:c r="M841" s="11" t="str">
        <x:v>截止日前日期，盘中时分未核</x:v>
      </x:c>
    </x:row>
    <x:row r="842" ht="23" customHeight="1">
      <x:c r="A842" s="11" t="str">
        <x:v>I005</x:v>
      </x:c>
      <x:c r="B842" s="11" t="str">
        <x:v>688302.SH</x:v>
      </x:c>
      <x:c r="C842" s="11" t="str">
        <x:v>attributableProfit</x:v>
      </x:c>
      <x:c r="D842" s="39" t="n">
        <x:v>-56.21812978</x:v>
      </x:c>
      <x:c r="E842" s="11" t="str">
        <x:v>CNY</x:v>
      </x:c>
      <x:c r="F842" s="11" t="str">
        <x:v>million</x:v>
      </x:c>
      <x:c r="G842" s="11" t="str">
        <x:v>2026H1</x:v>
      </x:c>
      <x:c r="H842" s="11" t="str">
        <x:v>2026-08-27</x:v>
      </x:c>
      <x:c r="I842" s="11" t="str">
        <x:v>https://static.cninfo.com.cn/finalpage/2026-08-27/1225514360.PDF</x:v>
      </x:c>
      <x:c r="J842" s="11" t="str"/>
      <x:c r="K842" s="11" t="str">
        <x:v>待核</x:v>
      </x:c>
      <x:c r="L842" s="11" t="str">
        <x:v>精确发布时间未核验</x:v>
      </x:c>
      <x:c r="M842" s="11" t="str">
        <x:v>截止日前日期，盘中时分未核</x:v>
      </x:c>
    </x:row>
    <x:row r="843" ht="23" customHeight="1">
      <x:c r="A843" s="11" t="str">
        <x:v>I005</x:v>
      </x:c>
      <x:c r="B843" s="11" t="str">
        <x:v>688302.SH</x:v>
      </x:c>
      <x:c r="C843" s="11" t="str">
        <x:v>deductedProfit</x:v>
      </x:c>
      <x:c r="D843" s="39" t="n">
        <x:v>-67.5744408</x:v>
      </x:c>
      <x:c r="E843" s="11" t="str">
        <x:v>CNY</x:v>
      </x:c>
      <x:c r="F843" s="11" t="str">
        <x:v>million</x:v>
      </x:c>
      <x:c r="G843" s="11" t="str">
        <x:v>2026H1</x:v>
      </x:c>
      <x:c r="H843" s="11" t="str">
        <x:v>2026-08-27</x:v>
      </x:c>
      <x:c r="I843" s="11" t="str">
        <x:v>https://static.cninfo.com.cn/finalpage/2026-08-27/1225514360.PDF</x:v>
      </x:c>
      <x:c r="J843" s="11" t="str"/>
      <x:c r="K843" s="11" t="str">
        <x:v>待核</x:v>
      </x:c>
      <x:c r="L843" s="11" t="str">
        <x:v>精确发布时间未核验</x:v>
      </x:c>
      <x:c r="M843" s="11" t="str">
        <x:v>截止日前日期，盘中时分未核</x:v>
      </x:c>
    </x:row>
    <x:row r="844" ht="23" customHeight="1">
      <x:c r="A844" s="11" t="str">
        <x:v>I005</x:v>
      </x:c>
      <x:c r="B844" s="11" t="str">
        <x:v>688302.SH</x:v>
      </x:c>
      <x:c r="C844" s="11" t="str">
        <x:v>OCF</x:v>
      </x:c>
      <x:c r="D844" s="39" t="n">
        <x:v>-46.39407776</x:v>
      </x:c>
      <x:c r="E844" s="11" t="str">
        <x:v>CNY</x:v>
      </x:c>
      <x:c r="F844" s="11" t="str">
        <x:v>million</x:v>
      </x:c>
      <x:c r="G844" s="11" t="str">
        <x:v>2026H1</x:v>
      </x:c>
      <x:c r="H844" s="11" t="str">
        <x:v>2026-08-27</x:v>
      </x:c>
      <x:c r="I844" s="11" t="str">
        <x:v>https://static.cninfo.com.cn/finalpage/2026-08-27/1225514360.PDF</x:v>
      </x:c>
      <x:c r="J844" s="11" t="str"/>
      <x:c r="K844" s="11" t="str">
        <x:v>待核</x:v>
      </x:c>
      <x:c r="L844" s="11" t="str">
        <x:v>精确发布时间未核验</x:v>
      </x:c>
      <x:c r="M844" s="11" t="str">
        <x:v>截止日前日期，盘中时分未核</x:v>
      </x:c>
    </x:row>
    <x:row r="845" ht="23" customHeight="1">
      <x:c r="A845" s="11" t="str">
        <x:v>I005</x:v>
      </x:c>
      <x:c r="B845" s="11" t="str">
        <x:v>688302.SH</x:v>
      </x:c>
      <x:c r="C845" s="11" t="str">
        <x:v>capex</x:v>
      </x:c>
      <x:c r="D845" s="39" t="n">
        <x:v>14.62655581</x:v>
      </x:c>
      <x:c r="E845" s="11" t="str">
        <x:v>CNY</x:v>
      </x:c>
      <x:c r="F845" s="11" t="str">
        <x:v>million</x:v>
      </x:c>
      <x:c r="G845" s="11" t="str">
        <x:v>2026H1</x:v>
      </x:c>
      <x:c r="H845" s="11" t="str">
        <x:v>2026-08-27</x:v>
      </x:c>
      <x:c r="I845" s="11" t="str">
        <x:v>https://static.cninfo.com.cn/finalpage/2026-08-27/1225514360.PDF</x:v>
      </x:c>
      <x:c r="J845" s="11" t="str"/>
      <x:c r="K845" s="11" t="str">
        <x:v>待核</x:v>
      </x:c>
      <x:c r="L845" s="11" t="str">
        <x:v>精确发布时间未核验</x:v>
      </x:c>
      <x:c r="M845" s="11" t="str">
        <x:v>截止日前日期，盘中时分未核</x:v>
      </x:c>
    </x:row>
    <x:row r="846" ht="23" customHeight="1">
      <x:c r="A846" s="11" t="str">
        <x:v>I005</x:v>
      </x:c>
      <x:c r="B846" s="11" t="str">
        <x:v>688302.SH</x:v>
      </x:c>
      <x:c r="C846" s="11" t="str">
        <x:v>FCF</x:v>
      </x:c>
      <x:c r="D846" s="39" t="n">
        <x:v>-61.02063357</x:v>
      </x:c>
      <x:c r="E846" s="11" t="str">
        <x:v>CNY</x:v>
      </x:c>
      <x:c r="F846" s="11" t="str">
        <x:v>million</x:v>
      </x:c>
      <x:c r="G846" s="11" t="str">
        <x:v>2026H1</x:v>
      </x:c>
      <x:c r="H846" s="11" t="str">
        <x:v>2026-08-27</x:v>
      </x:c>
      <x:c r="I846" s="11" t="str">
        <x:v>https://static.cninfo.com.cn/finalpage/2026-08-27/1225514360.PDF</x:v>
      </x:c>
      <x:c r="J846" s="11" t="str"/>
      <x:c r="K846" s="11" t="str">
        <x:v>待核</x:v>
      </x:c>
      <x:c r="L846" s="11" t="str">
        <x:v>精确发布时间未核验</x:v>
      </x:c>
      <x:c r="M846" s="11" t="str">
        <x:v>截止日前日期，盘中时分未核</x:v>
      </x:c>
    </x:row>
    <x:row r="847" ht="23" customHeight="1">
      <x:c r="A847" s="11" t="str">
        <x:v>I005</x:v>
      </x:c>
      <x:c r="B847" s="11" t="str">
        <x:v>688302.SH</x:v>
      </x:c>
      <x:c r="C847" s="11" t="str">
        <x:v>cashBank</x:v>
      </x:c>
      <x:c r="D847" s="39" t="n">
        <x:v>313.70406551</x:v>
      </x:c>
      <x:c r="E847" s="11" t="str">
        <x:v>CNY</x:v>
      </x:c>
      <x:c r="F847" s="11" t="str">
        <x:v>million</x:v>
      </x:c>
      <x:c r="G847" s="11" t="str">
        <x:v>2026H1</x:v>
      </x:c>
      <x:c r="H847" s="11" t="str">
        <x:v>2026-08-27</x:v>
      </x:c>
      <x:c r="I847" s="11" t="str">
        <x:v>https://static.cninfo.com.cn/finalpage/2026-08-27/1225514360.PDF</x:v>
      </x:c>
      <x:c r="J847" s="11" t="str"/>
      <x:c r="K847" s="11" t="str">
        <x:v>待核</x:v>
      </x:c>
      <x:c r="L847" s="11" t="str">
        <x:v>精确发布时间未核验</x:v>
      </x:c>
      <x:c r="M847" s="11" t="str">
        <x:v>截止日前日期，盘中时分未核</x:v>
      </x:c>
    </x:row>
    <x:row r="848" ht="23" customHeight="1">
      <x:c r="A848" s="11" t="str">
        <x:v>I005</x:v>
      </x:c>
      <x:c r="B848" s="11" t="str">
        <x:v>688302.SH</x:v>
      </x:c>
      <x:c r="C848" s="11" t="str">
        <x:v>cashCashEquivalents</x:v>
      </x:c>
      <x:c r="D848" s="39" t="n">
        <x:v>313.21383179</x:v>
      </x:c>
      <x:c r="E848" s="11" t="str">
        <x:v>CNY</x:v>
      </x:c>
      <x:c r="F848" s="11" t="str">
        <x:v>million</x:v>
      </x:c>
      <x:c r="G848" s="11" t="str">
        <x:v>2026H1</x:v>
      </x:c>
      <x:c r="H848" s="11" t="str">
        <x:v>2026-08-27</x:v>
      </x:c>
      <x:c r="I848" s="11" t="str">
        <x:v>https://static.cninfo.com.cn/finalpage/2026-08-27/1225514360.PDF</x:v>
      </x:c>
      <x:c r="J848" s="11" t="str"/>
      <x:c r="K848" s="11" t="str">
        <x:v>待核</x:v>
      </x:c>
      <x:c r="L848" s="11" t="str">
        <x:v>精确发布时间未核验</x:v>
      </x:c>
      <x:c r="M848" s="11" t="str">
        <x:v>截止日前日期，盘中时分未核</x:v>
      </x:c>
    </x:row>
    <x:row r="849" ht="23" customHeight="1">
      <x:c r="A849" s="11" t="str">
        <x:v>I005</x:v>
      </x:c>
      <x:c r="B849" s="11" t="str">
        <x:v>688302.SH</x:v>
      </x:c>
      <x:c r="C849" s="11" t="str">
        <x:v>transactionFinancialAssets</x:v>
      </x:c>
      <x:c r="D849" s="39" t="n">
        <x:v>471.0215284</x:v>
      </x:c>
      <x:c r="E849" s="11" t="str">
        <x:v>CNY</x:v>
      </x:c>
      <x:c r="F849" s="11" t="str">
        <x:v>million</x:v>
      </x:c>
      <x:c r="G849" s="11" t="str">
        <x:v>2026H1</x:v>
      </x:c>
      <x:c r="H849" s="11" t="str">
        <x:v>2026-08-27</x:v>
      </x:c>
      <x:c r="I849" s="11" t="str">
        <x:v>https://static.cninfo.com.cn/finalpage/2026-08-27/1225514360.PDF</x:v>
      </x:c>
      <x:c r="J849" s="11" t="str"/>
      <x:c r="K849" s="11" t="str">
        <x:v>待核</x:v>
      </x:c>
      <x:c r="L849" s="11" t="str">
        <x:v>精确发布时间未核验</x:v>
      </x:c>
      <x:c r="M849" s="11" t="str">
        <x:v>截止日前日期，盘中时分未核</x:v>
      </x:c>
    </x:row>
    <x:row r="850" ht="23" customHeight="1">
      <x:c r="A850" s="11" t="str">
        <x:v>I005</x:v>
      </x:c>
      <x:c r="B850" s="11" t="str">
        <x:v>688302.SH</x:v>
      </x:c>
      <x:c r="C850" s="11" t="str">
        <x:v>otherNoncurrentFinancialAssets</x:v>
      </x:c>
      <x:c r="D850" s="39" t="n">
        <x:v>17.40601837</x:v>
      </x:c>
      <x:c r="E850" s="11" t="str">
        <x:v>CNY</x:v>
      </x:c>
      <x:c r="F850" s="11" t="str">
        <x:v>million</x:v>
      </x:c>
      <x:c r="G850" s="11" t="str">
        <x:v>2026H1</x:v>
      </x:c>
      <x:c r="H850" s="11" t="str">
        <x:v>2026-08-27</x:v>
      </x:c>
      <x:c r="I850" s="11" t="str">
        <x:v>https://static.cninfo.com.cn/finalpage/2026-08-27/1225514360.PDF</x:v>
      </x:c>
      <x:c r="J850" s="11" t="str"/>
      <x:c r="K850" s="11" t="str">
        <x:v>待核</x:v>
      </x:c>
      <x:c r="L850" s="11" t="str">
        <x:v>精确发布时间未核验</x:v>
      </x:c>
      <x:c r="M850" s="11" t="str">
        <x:v>截止日前日期，盘中时分未核</x:v>
      </x:c>
    </x:row>
    <x:row r="851" ht="23" customHeight="1">
      <x:c r="A851" s="11" t="str">
        <x:v>I005</x:v>
      </x:c>
      <x:c r="B851" s="11" t="str">
        <x:v>688302.SH</x:v>
      </x:c>
      <x:c r="C851" s="11" t="str">
        <x:v>bankDebt</x:v>
      </x:c>
      <x:c r="D851" s="39" t="n">
        <x:v>100</x:v>
      </x:c>
      <x:c r="E851" s="11" t="str">
        <x:v>CNY</x:v>
      </x:c>
      <x:c r="F851" s="11" t="str">
        <x:v>million</x:v>
      </x:c>
      <x:c r="G851" s="11" t="str">
        <x:v>2026H1</x:v>
      </x:c>
      <x:c r="H851" s="11" t="str">
        <x:v>2026-08-27</x:v>
      </x:c>
      <x:c r="I851" s="11" t="str">
        <x:v>https://static.cninfo.com.cn/finalpage/2026-08-27/1225514360.PDF</x:v>
      </x:c>
      <x:c r="J851" s="11" t="str"/>
      <x:c r="K851" s="11" t="str">
        <x:v>待核</x:v>
      </x:c>
      <x:c r="L851" s="11" t="str">
        <x:v>精确发布时间未核验</x:v>
      </x:c>
      <x:c r="M851" s="11" t="str">
        <x:v>截止日前日期，盘中时分未核</x:v>
      </x:c>
    </x:row>
    <x:row r="852" ht="23" customHeight="1">
      <x:c r="A852" s="11" t="str">
        <x:v>I005</x:v>
      </x:c>
      <x:c r="B852" s="11" t="str">
        <x:v>688302.SH</x:v>
      </x:c>
      <x:c r="C852" s="11" t="str">
        <x:v>bankInterestPayable</x:v>
      </x:c>
      <x:c r="D852" s="39" t="n">
        <x:v>0.06424999</x:v>
      </x:c>
      <x:c r="E852" s="11" t="str">
        <x:v>CNY</x:v>
      </x:c>
      <x:c r="F852" s="11" t="str">
        <x:v>million</x:v>
      </x:c>
      <x:c r="G852" s="11" t="str">
        <x:v>2026H1</x:v>
      </x:c>
      <x:c r="H852" s="11" t="str">
        <x:v>2026-08-27</x:v>
      </x:c>
      <x:c r="I852" s="11" t="str">
        <x:v>https://static.cninfo.com.cn/finalpage/2026-08-27/1225514360.PDF</x:v>
      </x:c>
      <x:c r="J852" s="11" t="str"/>
      <x:c r="K852" s="11" t="str">
        <x:v>待核</x:v>
      </x:c>
      <x:c r="L852" s="11" t="str">
        <x:v>精确发布时间未核验</x:v>
      </x:c>
      <x:c r="M852" s="11" t="str">
        <x:v>截止日前日期，盘中时分未核</x:v>
      </x:c>
    </x:row>
    <x:row r="853" ht="23" customHeight="1">
      <x:c r="A853" s="11" t="str">
        <x:v>I005</x:v>
      </x:c>
      <x:c r="B853" s="11" t="str">
        <x:v>688302.SH</x:v>
      </x:c>
      <x:c r="C853" s="11" t="str">
        <x:v>leaseDebtIncludingCurrent</x:v>
      </x:c>
      <x:c r="D853" s="39" t="n">
        <x:v>4.76413508</x:v>
      </x:c>
      <x:c r="E853" s="11" t="str">
        <x:v>CNY</x:v>
      </x:c>
      <x:c r="F853" s="11" t="str">
        <x:v>million</x:v>
      </x:c>
      <x:c r="G853" s="11" t="str">
        <x:v>2026H1</x:v>
      </x:c>
      <x:c r="H853" s="11" t="str">
        <x:v>2026-08-27</x:v>
      </x:c>
      <x:c r="I853" s="11" t="str">
        <x:v>https://static.cninfo.com.cn/finalpage/2026-08-27/1225514360.PDF</x:v>
      </x:c>
      <x:c r="J853" s="11" t="str"/>
      <x:c r="K853" s="11" t="str">
        <x:v>待核</x:v>
      </x:c>
      <x:c r="L853" s="11" t="str">
        <x:v>精确发布时间未核验</x:v>
      </x:c>
      <x:c r="M853" s="11" t="str">
        <x:v>截止日前日期，盘中时分未核</x:v>
      </x:c>
    </x:row>
    <x:row r="854" ht="23" customHeight="1">
      <x:c r="A854" s="11" t="str">
        <x:v>I005</x:v>
      </x:c>
      <x:c r="B854" s="11" t="str">
        <x:v>688302.SH</x:v>
      </x:c>
      <x:c r="C854" s="11" t="str">
        <x:v>parentEquity</x:v>
      </x:c>
      <x:c r="D854" s="39" t="n">
        <x:v>1007.47077773</x:v>
      </x:c>
      <x:c r="E854" s="11" t="str">
        <x:v>CNY</x:v>
      </x:c>
      <x:c r="F854" s="11" t="str">
        <x:v>million</x:v>
      </x:c>
      <x:c r="G854" s="11" t="str">
        <x:v>2026H1</x:v>
      </x:c>
      <x:c r="H854" s="11" t="str">
        <x:v>2026-08-27</x:v>
      </x:c>
      <x:c r="I854" s="11" t="str">
        <x:v>https://static.cninfo.com.cn/finalpage/2026-08-27/1225514360.PDF</x:v>
      </x:c>
      <x:c r="J854" s="11" t="str"/>
      <x:c r="K854" s="11" t="str">
        <x:v>待核</x:v>
      </x:c>
      <x:c r="L854" s="11" t="str">
        <x:v>精确发布时间未核验</x:v>
      </x:c>
      <x:c r="M854" s="11" t="str">
        <x:v>截止日前日期，盘中时分未核</x:v>
      </x:c>
    </x:row>
    <x:row r="855" ht="23" customHeight="1">
      <x:c r="A855" s="11" t="str">
        <x:v>I005</x:v>
      </x:c>
      <x:c r="B855" s="11" t="str">
        <x:v>688302.SH</x:v>
      </x:c>
      <x:c r="C855" s="11" t="str">
        <x:v>totalLiabilities</x:v>
      </x:c>
      <x:c r="D855" s="39" t="n">
        <x:v>265.59332954</x:v>
      </x:c>
      <x:c r="E855" s="11" t="str">
        <x:v>CNY</x:v>
      </x:c>
      <x:c r="F855" s="11" t="str">
        <x:v>million</x:v>
      </x:c>
      <x:c r="G855" s="11" t="str">
        <x:v>2026H1</x:v>
      </x:c>
      <x:c r="H855" s="11" t="str">
        <x:v>2026-08-27</x:v>
      </x:c>
      <x:c r="I855" s="11" t="str">
        <x:v>https://static.cninfo.com.cn/finalpage/2026-08-27/1225514360.PDF</x:v>
      </x:c>
      <x:c r="J855" s="11" t="str"/>
      <x:c r="K855" s="11" t="str">
        <x:v>待核</x:v>
      </x:c>
      <x:c r="L855" s="11" t="str">
        <x:v>精确发布时间未核验</x:v>
      </x:c>
      <x:c r="M855" s="11" t="str">
        <x:v>截止日前日期，盘中时分未核</x:v>
      </x:c>
    </x:row>
    <x:row r="856" ht="23" customHeight="1">
      <x:c r="A856" s="11" t="str">
        <x:v>I005</x:v>
      </x:c>
      <x:c r="B856" s="11" t="str">
        <x:v>688302.SH</x:v>
      </x:c>
      <x:c r="C856" s="11" t="str">
        <x:v>totalAssets</x:v>
      </x:c>
      <x:c r="D856" s="39" t="n">
        <x:v>1273.06410727</x:v>
      </x:c>
      <x:c r="E856" s="11" t="str">
        <x:v>CNY</x:v>
      </x:c>
      <x:c r="F856" s="11" t="str">
        <x:v>million</x:v>
      </x:c>
      <x:c r="G856" s="11" t="str">
        <x:v>2026H1</x:v>
      </x:c>
      <x:c r="H856" s="11" t="str">
        <x:v>2026-08-27</x:v>
      </x:c>
      <x:c r="I856" s="11" t="str">
        <x:v>https://static.cninfo.com.cn/finalpage/2026-08-27/1225514360.PDF</x:v>
      </x:c>
      <x:c r="J856" s="11" t="str"/>
      <x:c r="K856" s="11" t="str">
        <x:v>待核</x:v>
      </x:c>
      <x:c r="L856" s="11" t="str">
        <x:v>精确发布时间未核验</x:v>
      </x:c>
      <x:c r="M856" s="11" t="str">
        <x:v>截止日前日期，盘中时分未核</x:v>
      </x:c>
    </x:row>
    <x:row r="857" ht="23" customHeight="1">
      <x:c r="A857" s="11" t="str">
        <x:v>I005</x:v>
      </x:c>
      <x:c r="B857" s="11" t="str">
        <x:v>688302.SH</x:v>
      </x:c>
      <x:c r="C857" s="11" t="str">
        <x:v>RDExpensed</x:v>
      </x:c>
      <x:c r="D857" s="39" t="n">
        <x:v>57.67426598</x:v>
      </x:c>
      <x:c r="E857" s="11" t="str">
        <x:v>CNY</x:v>
      </x:c>
      <x:c r="F857" s="11" t="str">
        <x:v>million</x:v>
      </x:c>
      <x:c r="G857" s="11" t="str">
        <x:v>2026H1</x:v>
      </x:c>
      <x:c r="H857" s="11" t="str">
        <x:v>2026-08-27</x:v>
      </x:c>
      <x:c r="I857" s="11" t="str">
        <x:v>https://static.cninfo.com.cn/finalpage/2026-08-27/1225514360.PDF</x:v>
      </x:c>
      <x:c r="J857" s="11" t="str"/>
      <x:c r="K857" s="11" t="str">
        <x:v>待核</x:v>
      </x:c>
      <x:c r="L857" s="11" t="str">
        <x:v>精确发布时间未核验</x:v>
      </x:c>
      <x:c r="M857" s="11" t="str">
        <x:v>截止日前日期，盘中时分未核</x:v>
      </x:c>
    </x:row>
    <x:row r="858" ht="23" customHeight="1">
      <x:c r="A858" s="11" t="str">
        <x:v>I005</x:v>
      </x:c>
      <x:c r="B858" s="11" t="str">
        <x:v>688302.SH</x:v>
      </x:c>
      <x:c r="C858" s="11" t="str">
        <x:v>RDCapitalized</x:v>
      </x:c>
      <x:c r="D858" s="39" t="n">
        <x:v>0</x:v>
      </x:c>
      <x:c r="E858" s="11" t="str">
        <x:v>CNY</x:v>
      </x:c>
      <x:c r="F858" s="11" t="str">
        <x:v>million</x:v>
      </x:c>
      <x:c r="G858" s="11" t="str">
        <x:v>2026H1</x:v>
      </x:c>
      <x:c r="H858" s="11" t="str">
        <x:v>2026-08-27</x:v>
      </x:c>
      <x:c r="I858" s="11" t="str">
        <x:v>https://static.cninfo.com.cn/finalpage/2026-08-27/1225514360.PDF</x:v>
      </x:c>
      <x:c r="J858" s="11" t="str"/>
      <x:c r="K858" s="11" t="str">
        <x:v>待核</x:v>
      </x:c>
      <x:c r="L858" s="11" t="str">
        <x:v>精确发布时间未核验</x:v>
      </x:c>
      <x:c r="M858" s="11" t="str">
        <x:v>截止日前日期，盘中时分未核</x:v>
      </x:c>
    </x:row>
    <x:row r="859" ht="23" customHeight="1">
      <x:c r="A859" s="11" t="str">
        <x:v>I005</x:v>
      </x:c>
      <x:c r="B859" s="11" t="str">
        <x:v>688302.SH</x:v>
      </x:c>
      <x:c r="C859" s="11" t="str">
        <x:v>RDGrowthPct</x:v>
      </x:c>
      <x:c r="D859" s="39" t="n">
        <x:v>1.24</x:v>
      </x:c>
      <x:c r="E859" s="11" t="str">
        <x:v>not monetary</x:v>
      </x:c>
      <x:c r="F859" s="11" t="str">
        <x:v>percent</x:v>
      </x:c>
      <x:c r="G859" s="11" t="str">
        <x:v>2026H1</x:v>
      </x:c>
      <x:c r="H859" s="11" t="str">
        <x:v>2026-08-27</x:v>
      </x:c>
      <x:c r="I859" s="11" t="str">
        <x:v>https://static.cninfo.com.cn/finalpage/2026-08-27/1225514360.PDF</x:v>
      </x:c>
      <x:c r="J859" s="11" t="str"/>
      <x:c r="K859" s="11" t="str">
        <x:v>待核</x:v>
      </x:c>
      <x:c r="L859" s="11" t="str">
        <x:v>精确发布时间未核验</x:v>
      </x:c>
      <x:c r="M859" s="11" t="str">
        <x:v>截止日前日期，盘中时分未核</x:v>
      </x:c>
    </x:row>
    <x:row r="860" ht="23" customHeight="1">
      <x:c r="A860" s="11" t="str">
        <x:v>I005</x:v>
      </x:c>
      <x:c r="B860" s="11" t="str">
        <x:v>688302.SH</x:v>
      </x:c>
      <x:c r="C860" s="11" t="str">
        <x:v>selling</x:v>
      </x:c>
      <x:c r="D860" s="39" t="n">
        <x:v>42.16278878</x:v>
      </x:c>
      <x:c r="E860" s="11" t="str">
        <x:v>CNY</x:v>
      </x:c>
      <x:c r="F860" s="11" t="str">
        <x:v>million</x:v>
      </x:c>
      <x:c r="G860" s="11" t="str">
        <x:v>2026H1</x:v>
      </x:c>
      <x:c r="H860" s="11" t="str">
        <x:v>2026-08-27</x:v>
      </x:c>
      <x:c r="I860" s="11" t="str">
        <x:v>https://static.cninfo.com.cn/finalpage/2026-08-27/1225514360.PDF</x:v>
      </x:c>
      <x:c r="J860" s="11" t="str"/>
      <x:c r="K860" s="11" t="str">
        <x:v>待核</x:v>
      </x:c>
      <x:c r="L860" s="11" t="str">
        <x:v>精确发布时间未核验</x:v>
      </x:c>
      <x:c r="M860" s="11" t="str">
        <x:v>截止日前日期，盘中时分未核</x:v>
      </x:c>
    </x:row>
    <x:row r="861" ht="23" customHeight="1">
      <x:c r="A861" s="11" t="str">
        <x:v>I005</x:v>
      </x:c>
      <x:c r="B861" s="11" t="str">
        <x:v>688302.SH</x:v>
      </x:c>
      <x:c r="C861" s="11" t="str">
        <x:v>sellingPrior</x:v>
      </x:c>
      <x:c r="D861" s="39" t="n">
        <x:v>10.50052453</x:v>
      </x:c>
      <x:c r="E861" s="11" t="str">
        <x:v>CNY</x:v>
      </x:c>
      <x:c r="F861" s="11" t="str">
        <x:v>million</x:v>
      </x:c>
      <x:c r="G861" s="11" t="str">
        <x:v>2026H1</x:v>
      </x:c>
      <x:c r="H861" s="11" t="str">
        <x:v>2026-08-27</x:v>
      </x:c>
      <x:c r="I861" s="11" t="str">
        <x:v>https://static.cninfo.com.cn/finalpage/2026-08-27/1225514360.PDF</x:v>
      </x:c>
      <x:c r="J861" s="11" t="str"/>
      <x:c r="K861" s="11" t="str">
        <x:v>待核</x:v>
      </x:c>
      <x:c r="L861" s="11" t="str">
        <x:v>精确发布时间未核验</x:v>
      </x:c>
      <x:c r="M861" s="11" t="str">
        <x:v>截止日前日期，盘中时分未核</x:v>
      </x:c>
    </x:row>
    <x:row r="862" ht="23" customHeight="1">
      <x:c r="A862" s="11" t="str">
        <x:v>I005</x:v>
      </x:c>
      <x:c r="B862" s="11" t="str">
        <x:v>688302.SH</x:v>
      </x:c>
      <x:c r="C862" s="11" t="str">
        <x:v>marketAcademic</x:v>
      </x:c>
      <x:c r="D862" s="39" t="n">
        <x:v>27.83855243</x:v>
      </x:c>
      <x:c r="E862" s="11" t="str">
        <x:v>CNY</x:v>
      </x:c>
      <x:c r="F862" s="11" t="str">
        <x:v>million</x:v>
      </x:c>
      <x:c r="G862" s="11" t="str">
        <x:v>2026H1</x:v>
      </x:c>
      <x:c r="H862" s="11" t="str">
        <x:v>2026-08-27</x:v>
      </x:c>
      <x:c r="I862" s="11" t="str">
        <x:v>https://static.cninfo.com.cn/finalpage/2026-08-27/1225514360.PDF</x:v>
      </x:c>
      <x:c r="J862" s="11" t="str"/>
      <x:c r="K862" s="11" t="str">
        <x:v>待核</x:v>
      </x:c>
      <x:c r="L862" s="11" t="str">
        <x:v>精确发布时间未核验</x:v>
      </x:c>
      <x:c r="M862" s="11" t="str">
        <x:v>截止日前日期，盘中时分未核</x:v>
      </x:c>
    </x:row>
    <x:row r="863" ht="23" customHeight="1">
      <x:c r="A863" s="11" t="str">
        <x:v>I005</x:v>
      </x:c>
      <x:c r="B863" s="11" t="str">
        <x:v>688302.SH</x:v>
      </x:c>
      <x:c r="C863" s="11" t="str">
        <x:v>marketAcademicPrior</x:v>
      </x:c>
      <x:c r="D863" s="39" t="n">
        <x:v>0.79260376</x:v>
      </x:c>
      <x:c r="E863" s="11" t="str">
        <x:v>CNY</x:v>
      </x:c>
      <x:c r="F863" s="11" t="str">
        <x:v>million</x:v>
      </x:c>
      <x:c r="G863" s="11" t="str">
        <x:v>2026H1</x:v>
      </x:c>
      <x:c r="H863" s="11" t="str">
        <x:v>2026-08-27</x:v>
      </x:c>
      <x:c r="I863" s="11" t="str">
        <x:v>https://static.cninfo.com.cn/finalpage/2026-08-27/1225514360.PDF</x:v>
      </x:c>
      <x:c r="J863" s="11" t="str"/>
      <x:c r="K863" s="11" t="str">
        <x:v>待核</x:v>
      </x:c>
      <x:c r="L863" s="11" t="str">
        <x:v>精确发布时间未核验</x:v>
      </x:c>
      <x:c r="M863" s="11" t="str">
        <x:v>截止日前日期，盘中时分未核</x:v>
      </x:c>
    </x:row>
    <x:row r="864" ht="23" customHeight="1">
      <x:c r="A864" s="11" t="str">
        <x:v>I005</x:v>
      </x:c>
      <x:c r="B864" s="11" t="str">
        <x:v>688302.SH</x:v>
      </x:c>
      <x:c r="C864" s="11" t="str">
        <x:v>admin</x:v>
      </x:c>
      <x:c r="D864" s="39" t="n">
        <x:v>18.88536509</x:v>
      </x:c>
      <x:c r="E864" s="11" t="str">
        <x:v>CNY</x:v>
      </x:c>
      <x:c r="F864" s="11" t="str">
        <x:v>million</x:v>
      </x:c>
      <x:c r="G864" s="11" t="str">
        <x:v>2026H1</x:v>
      </x:c>
      <x:c r="H864" s="11" t="str">
        <x:v>2026-08-27</x:v>
      </x:c>
      <x:c r="I864" s="11" t="str">
        <x:v>https://static.cninfo.com.cn/finalpage/2026-08-27/1225514360.PDF</x:v>
      </x:c>
      <x:c r="J864" s="11" t="str"/>
      <x:c r="K864" s="11" t="str">
        <x:v>待核</x:v>
      </x:c>
      <x:c r="L864" s="11" t="str">
        <x:v>精确发布时间未核验</x:v>
      </x:c>
      <x:c r="M864" s="11" t="str">
        <x:v>截止日前日期，盘中时分未核</x:v>
      </x:c>
    </x:row>
    <x:row r="865" ht="23" customHeight="1">
      <x:c r="A865" s="11" t="str">
        <x:v>I005</x:v>
      </x:c>
      <x:c r="B865" s="11" t="str">
        <x:v>688302.SH</x:v>
      </x:c>
      <x:c r="C865" s="11" t="str">
        <x:v>adminPrior</x:v>
      </x:c>
      <x:c r="D865" s="39" t="n">
        <x:v>21.42196573</x:v>
      </x:c>
      <x:c r="E865" s="11" t="str">
        <x:v>CNY</x:v>
      </x:c>
      <x:c r="F865" s="11" t="str">
        <x:v>million</x:v>
      </x:c>
      <x:c r="G865" s="11" t="str">
        <x:v>2026H1</x:v>
      </x:c>
      <x:c r="H865" s="11" t="str">
        <x:v>2026-08-27</x:v>
      </x:c>
      <x:c r="I865" s="11" t="str">
        <x:v>https://static.cninfo.com.cn/finalpage/2026-08-27/1225514360.PDF</x:v>
      </x:c>
      <x:c r="J865" s="11" t="str"/>
      <x:c r="K865" s="11" t="str">
        <x:v>待核</x:v>
      </x:c>
      <x:c r="L865" s="11" t="str">
        <x:v>精确发布时间未核验</x:v>
      </x:c>
      <x:c r="M865" s="11" t="str">
        <x:v>截止日前日期，盘中时分未核</x:v>
      </x:c>
    </x:row>
    <x:row r="866" ht="23" customHeight="1">
      <x:c r="A866" s="11" t="str">
        <x:v>I005</x:v>
      </x:c>
      <x:c r="B866" s="11" t="str">
        <x:v>688302.SH</x:v>
      </x:c>
      <x:c r="C866" s="11" t="str">
        <x:v>sharePayment</x:v>
      </x:c>
      <x:c r="D866" s="39" t="n">
        <x:v>0.2697106</x:v>
      </x:c>
      <x:c r="E866" s="11" t="str">
        <x:v>CNY</x:v>
      </x:c>
      <x:c r="F866" s="11" t="str">
        <x:v>million</x:v>
      </x:c>
      <x:c r="G866" s="11" t="str">
        <x:v>2026H1</x:v>
      </x:c>
      <x:c r="H866" s="11" t="str">
        <x:v>2026-08-27</x:v>
      </x:c>
      <x:c r="I866" s="11" t="str">
        <x:v>https://static.cninfo.com.cn/finalpage/2026-08-27/1225514360.PDF</x:v>
      </x:c>
      <x:c r="J866" s="11" t="str"/>
      <x:c r="K866" s="11" t="str">
        <x:v>待核</x:v>
      </x:c>
      <x:c r="L866" s="11" t="str">
        <x:v>精确发布时间未核验</x:v>
      </x:c>
      <x:c r="M866" s="11" t="str">
        <x:v>截止日前日期，盘中时分未核</x:v>
      </x:c>
    </x:row>
    <x:row r="867" ht="23" customHeight="1">
      <x:c r="A867" s="11" t="str">
        <x:v>I005</x:v>
      </x:c>
      <x:c r="B867" s="11" t="str">
        <x:v>688302.SH</x:v>
      </x:c>
      <x:c r="C867" s="11" t="str">
        <x:v>sharePaymentPrior</x:v>
      </x:c>
      <x:c r="D867" s="39" t="n">
        <x:v>7.02959925</x:v>
      </x:c>
      <x:c r="E867" s="11" t="str">
        <x:v>CNY</x:v>
      </x:c>
      <x:c r="F867" s="11" t="str">
        <x:v>million</x:v>
      </x:c>
      <x:c r="G867" s="11" t="str">
        <x:v>2026H1</x:v>
      </x:c>
      <x:c r="H867" s="11" t="str">
        <x:v>2026-08-27</x:v>
      </x:c>
      <x:c r="I867" s="11" t="str">
        <x:v>https://static.cninfo.com.cn/finalpage/2026-08-27/1225514360.PDF</x:v>
      </x:c>
      <x:c r="J867" s="11" t="str"/>
      <x:c r="K867" s="11" t="str">
        <x:v>待核</x:v>
      </x:c>
      <x:c r="L867" s="11" t="str">
        <x:v>精确发布时间未核验</x:v>
      </x:c>
      <x:c r="M867" s="11" t="str">
        <x:v>截止日前日期，盘中时分未核</x:v>
      </x:c>
    </x:row>
    <x:row r="868" ht="23" customHeight="1">
      <x:c r="A868" s="11" t="str">
        <x:v>I005</x:v>
      </x:c>
      <x:c r="B868" s="11" t="str">
        <x:v>688302.SH</x:v>
      </x:c>
      <x:c r="C868" s="11" t="str">
        <x:v>nonrecurring</x:v>
      </x:c>
      <x:c r="D868" s="39" t="n">
        <x:v>11.35631102</x:v>
      </x:c>
      <x:c r="E868" s="11" t="str">
        <x:v>CNY</x:v>
      </x:c>
      <x:c r="F868" s="11" t="str">
        <x:v>million</x:v>
      </x:c>
      <x:c r="G868" s="11" t="str">
        <x:v>2026H1</x:v>
      </x:c>
      <x:c r="H868" s="11" t="str">
        <x:v>2026-08-27</x:v>
      </x:c>
      <x:c r="I868" s="11" t="str">
        <x:v>https://static.cninfo.com.cn/finalpage/2026-08-27/1225514360.PDF</x:v>
      </x:c>
      <x:c r="J868" s="11" t="str"/>
      <x:c r="K868" s="11" t="str">
        <x:v>待核</x:v>
      </x:c>
      <x:c r="L868" s="11" t="str">
        <x:v>精确发布时间未核验</x:v>
      </x:c>
      <x:c r="M868" s="11" t="str">
        <x:v>截止日前日期，盘中时分未核</x:v>
      </x:c>
    </x:row>
    <x:row r="869" ht="23" customHeight="1">
      <x:c r="A869" s="11" t="str">
        <x:v>I005</x:v>
      </x:c>
      <x:c r="B869" s="11" t="str">
        <x:v>688302.SH</x:v>
      </x:c>
      <x:c r="C869" s="11" t="str">
        <x:v>cashSalesReceived</x:v>
      </x:c>
      <x:c r="D869" s="39" t="n">
        <x:v>46.23923948</x:v>
      </x:c>
      <x:c r="E869" s="11" t="str">
        <x:v>CNY</x:v>
      </x:c>
      <x:c r="F869" s="11" t="str">
        <x:v>million</x:v>
      </x:c>
      <x:c r="G869" s="11" t="str">
        <x:v>2026H1</x:v>
      </x:c>
      <x:c r="H869" s="11" t="str">
        <x:v>2026-08-27</x:v>
      </x:c>
      <x:c r="I869" s="11" t="str">
        <x:v>https://static.cninfo.com.cn/finalpage/2026-08-27/1225514360.PDF</x:v>
      </x:c>
      <x:c r="J869" s="11" t="str"/>
      <x:c r="K869" s="11" t="str">
        <x:v>待核</x:v>
      </x:c>
      <x:c r="L869" s="11" t="str">
        <x:v>精确发布时间未核验</x:v>
      </x:c>
      <x:c r="M869" s="11" t="str">
        <x:v>截止日前日期，盘中时分未核</x:v>
      </x:c>
    </x:row>
    <x:row r="870" ht="23" customHeight="1">
      <x:c r="A870" s="11" t="str">
        <x:v>I005</x:v>
      </x:c>
      <x:c r="B870" s="11" t="str">
        <x:v>688302.SH</x:v>
      </x:c>
      <x:c r="C870" s="11" t="str">
        <x:v>inventory</x:v>
      </x:c>
      <x:c r="D870" s="39" t="n">
        <x:v>15.29475274</x:v>
      </x:c>
      <x:c r="E870" s="11" t="str">
        <x:v>CNY</x:v>
      </x:c>
      <x:c r="F870" s="11" t="str">
        <x:v>million</x:v>
      </x:c>
      <x:c r="G870" s="11" t="str">
        <x:v>2026H1</x:v>
      </x:c>
      <x:c r="H870" s="11" t="str">
        <x:v>2026-08-27</x:v>
      </x:c>
      <x:c r="I870" s="11" t="str">
        <x:v>https://static.cninfo.com.cn/finalpage/2026-08-27/1225514360.PDF</x:v>
      </x:c>
      <x:c r="J870" s="11" t="str"/>
      <x:c r="K870" s="11" t="str">
        <x:v>待核</x:v>
      </x:c>
      <x:c r="L870" s="11" t="str">
        <x:v>精确发布时间未核验</x:v>
      </x:c>
      <x:c r="M870" s="11" t="str">
        <x:v>截止日前日期，盘中时分未核</x:v>
      </x:c>
    </x:row>
    <x:row r="871" ht="23" customHeight="1">
      <x:c r="A871" s="11" t="str">
        <x:v>I005</x:v>
      </x:c>
      <x:c r="B871" s="11" t="str">
        <x:v>688302.SH</x:v>
      </x:c>
      <x:c r="C871" s="11" t="str">
        <x:v>inventoryPrior</x:v>
      </x:c>
      <x:c r="D871" s="39" t="n">
        <x:v>2.84554693</x:v>
      </x:c>
      <x:c r="E871" s="11" t="str">
        <x:v>CNY</x:v>
      </x:c>
      <x:c r="F871" s="11" t="str">
        <x:v>million</x:v>
      </x:c>
      <x:c r="G871" s="11" t="str">
        <x:v>2026H1</x:v>
      </x:c>
      <x:c r="H871" s="11" t="str">
        <x:v>2026-08-27</x:v>
      </x:c>
      <x:c r="I871" s="11" t="str">
        <x:v>https://static.cninfo.com.cn/finalpage/2026-08-27/1225514360.PDF</x:v>
      </x:c>
      <x:c r="J871" s="11" t="str"/>
      <x:c r="K871" s="11" t="str">
        <x:v>待核</x:v>
      </x:c>
      <x:c r="L871" s="11" t="str">
        <x:v>精确发布时间未核验</x:v>
      </x:c>
      <x:c r="M871" s="11" t="str">
        <x:v>截止日前日期，盘中时分未核</x:v>
      </x:c>
    </x:row>
    <x:row r="872" ht="23" customHeight="1">
      <x:c r="A872" s="11" t="str">
        <x:v>I005</x:v>
      </x:c>
      <x:c r="B872" s="11" t="str">
        <x:v>688302.SH</x:v>
      </x:c>
      <x:c r="C872" s="11" t="str">
        <x:v>receivableGross</x:v>
      </x:c>
      <x:c r="D872" s="39" t="n">
        <x:v>12.04366915</x:v>
      </x:c>
      <x:c r="E872" s="11" t="str">
        <x:v>CNY</x:v>
      </x:c>
      <x:c r="F872" s="11" t="str">
        <x:v>million</x:v>
      </x:c>
      <x:c r="G872" s="11" t="str">
        <x:v>2026H1</x:v>
      </x:c>
      <x:c r="H872" s="11" t="str">
        <x:v>2026-08-27</x:v>
      </x:c>
      <x:c r="I872" s="11" t="str">
        <x:v>https://static.cninfo.com.cn/finalpage/2026-08-27/1225514360.PDF</x:v>
      </x:c>
      <x:c r="J872" s="11" t="str"/>
      <x:c r="K872" s="11" t="str">
        <x:v>待核</x:v>
      </x:c>
      <x:c r="L872" s="11" t="str">
        <x:v>精确发布时间未核验</x:v>
      </x:c>
      <x:c r="M872" s="11" t="str">
        <x:v>截止日前日期，盘中时分未核</x:v>
      </x:c>
    </x:row>
    <x:row r="873" ht="23" customHeight="1">
      <x:c r="A873" s="11" t="str">
        <x:v>I005</x:v>
      </x:c>
      <x:c r="B873" s="11" t="str">
        <x:v>688302.SH</x:v>
      </x:c>
      <x:c r="C873" s="11" t="str">
        <x:v>receivableAllowance</x:v>
      </x:c>
      <x:c r="D873" s="39" t="n">
        <x:v>0.32125985</x:v>
      </x:c>
      <x:c r="E873" s="11" t="str">
        <x:v>CNY</x:v>
      </x:c>
      <x:c r="F873" s="11" t="str">
        <x:v>million</x:v>
      </x:c>
      <x:c r="G873" s="11" t="str">
        <x:v>2026H1</x:v>
      </x:c>
      <x:c r="H873" s="11" t="str">
        <x:v>2026-08-27</x:v>
      </x:c>
      <x:c r="I873" s="11" t="str">
        <x:v>https://static.cninfo.com.cn/finalpage/2026-08-27/1225514360.PDF</x:v>
      </x:c>
      <x:c r="J873" s="11" t="str"/>
      <x:c r="K873" s="11" t="str">
        <x:v>待核</x:v>
      </x:c>
      <x:c r="L873" s="11" t="str">
        <x:v>精确发布时间未核验</x:v>
      </x:c>
      <x:c r="M873" s="11" t="str">
        <x:v>截止日前日期，盘中时分未核</x:v>
      </x:c>
    </x:row>
    <x:row r="874" ht="23" customHeight="1">
      <x:c r="A874" s="11" t="str">
        <x:v>I005</x:v>
      </x:c>
      <x:c r="B874" s="11" t="str">
        <x:v>688302.SH</x:v>
      </x:c>
      <x:c r="C874" s="11" t="str">
        <x:v>receivableNet</x:v>
      </x:c>
      <x:c r="D874" s="39" t="n">
        <x:v>11.7224093</x:v>
      </x:c>
      <x:c r="E874" s="11" t="str">
        <x:v>CNY</x:v>
      </x:c>
      <x:c r="F874" s="11" t="str">
        <x:v>million</x:v>
      </x:c>
      <x:c r="G874" s="11" t="str">
        <x:v>2026H1</x:v>
      </x:c>
      <x:c r="H874" s="11" t="str">
        <x:v>2026-08-27</x:v>
      </x:c>
      <x:c r="I874" s="11" t="str">
        <x:v>https://static.cninfo.com.cn/finalpage/2026-08-27/1225514360.PDF</x:v>
      </x:c>
      <x:c r="J874" s="11" t="str"/>
      <x:c r="K874" s="11" t="str">
        <x:v>待核</x:v>
      </x:c>
      <x:c r="L874" s="11" t="str">
        <x:v>精确发布时间未核验</x:v>
      </x:c>
      <x:c r="M874" s="11" t="str">
        <x:v>截止日前日期，盘中时分未核</x:v>
      </x:c>
    </x:row>
    <x:row r="875" ht="23" customHeight="1">
      <x:c r="A875" s="11" t="str">
        <x:v>I005</x:v>
      </x:c>
      <x:c r="B875" s="11" t="str">
        <x:v>688302.SH</x:v>
      </x:c>
      <x:c r="C875" s="11" t="str">
        <x:v>payableIncreaseCash</x:v>
      </x:c>
      <x:c r="D875" s="39" t="n">
        <x:v>29.32861164</x:v>
      </x:c>
      <x:c r="E875" s="11" t="str">
        <x:v>CNY</x:v>
      </x:c>
      <x:c r="F875" s="11" t="str">
        <x:v>million</x:v>
      </x:c>
      <x:c r="G875" s="11" t="str">
        <x:v>2026H1</x:v>
      </x:c>
      <x:c r="H875" s="11" t="str">
        <x:v>2026-08-27</x:v>
      </x:c>
      <x:c r="I875" s="11" t="str">
        <x:v>https://static.cninfo.com.cn/finalpage/2026-08-27/1225514360.PDF</x:v>
      </x:c>
      <x:c r="J875" s="11" t="str"/>
      <x:c r="K875" s="11" t="str">
        <x:v>待核</x:v>
      </x:c>
      <x:c r="L875" s="11" t="str">
        <x:v>精确发布时间未核验</x:v>
      </x:c>
      <x:c r="M875" s="11" t="str">
        <x:v>截止日前日期，盘中时分未核</x:v>
      </x:c>
    </x:row>
    <x:row r="876" ht="23" customHeight="1">
      <x:c r="A876" s="11" t="str">
        <x:v>I005</x:v>
      </x:c>
      <x:c r="B876" s="11" t="str">
        <x:v>688302.SH</x:v>
      </x:c>
      <x:c r="C876" s="11" t="str">
        <x:v>receivableIncreaseCash</x:v>
      </x:c>
      <x:c r="D876" s="39" t="n">
        <x:v>-10.70005331</x:v>
      </x:c>
      <x:c r="E876" s="11" t="str">
        <x:v>CNY</x:v>
      </x:c>
      <x:c r="F876" s="11" t="str">
        <x:v>million</x:v>
      </x:c>
      <x:c r="G876" s="11" t="str">
        <x:v>2026H1</x:v>
      </x:c>
      <x:c r="H876" s="11" t="str">
        <x:v>2026-08-27</x:v>
      </x:c>
      <x:c r="I876" s="11" t="str">
        <x:v>https://static.cninfo.com.cn/finalpage/2026-08-27/1225514360.PDF</x:v>
      </x:c>
      <x:c r="J876" s="11" t="str"/>
      <x:c r="K876" s="11" t="str">
        <x:v>待核</x:v>
      </x:c>
      <x:c r="L876" s="11" t="str">
        <x:v>精确发布时间未核验</x:v>
      </x:c>
      <x:c r="M876" s="11" t="str">
        <x:v>截止日前日期，盘中时分未核</x:v>
      </x:c>
    </x:row>
    <x:row r="877" ht="23" customHeight="1">
      <x:c r="A877" s="11" t="str">
        <x:v>I005</x:v>
      </x:c>
      <x:c r="B877" s="11" t="str">
        <x:v>688302.SH</x:v>
      </x:c>
      <x:c r="C877" s="11" t="str">
        <x:v>inventoryIncreaseCash</x:v>
      </x:c>
      <x:c r="D877" s="39" t="n">
        <x:v>-12.44920581</x:v>
      </x:c>
      <x:c r="E877" s="11" t="str">
        <x:v>CNY</x:v>
      </x:c>
      <x:c r="F877" s="11" t="str">
        <x:v>million</x:v>
      </x:c>
      <x:c r="G877" s="11" t="str">
        <x:v>2026H1</x:v>
      </x:c>
      <x:c r="H877" s="11" t="str">
        <x:v>2026-08-27</x:v>
      </x:c>
      <x:c r="I877" s="11" t="str">
        <x:v>https://static.cninfo.com.cn/finalpage/2026-08-27/1225514360.PDF</x:v>
      </x:c>
      <x:c r="J877" s="11" t="str"/>
      <x:c r="K877" s="11" t="str">
        <x:v>待核</x:v>
      </x:c>
      <x:c r="L877" s="11" t="str">
        <x:v>精确发布时间未核验</x:v>
      </x:c>
      <x:c r="M877" s="11" t="str">
        <x:v>截止日前日期，盘中时分未核</x:v>
      </x:c>
    </x:row>
    <x:row r="878" ht="23" customHeight="1">
      <x:c r="A878" s="11" t="str">
        <x:v>I005</x:v>
      </x:c>
      <x:c r="B878" s="11" t="str">
        <x:v>688302.SH</x:v>
      </x:c>
      <x:c r="C878" s="11" t="str">
        <x:v>agentDepositPayable</x:v>
      </x:c>
      <x:c r="D878" s="39" t="n">
        <x:v>15.450528</x:v>
      </x:c>
      <x:c r="E878" s="11" t="str">
        <x:v>CNY</x:v>
      </x:c>
      <x:c r="F878" s="11" t="str">
        <x:v>million</x:v>
      </x:c>
      <x:c r="G878" s="11" t="str">
        <x:v>2026H1</x:v>
      </x:c>
      <x:c r="H878" s="11" t="str">
        <x:v>2026-08-27</x:v>
      </x:c>
      <x:c r="I878" s="11" t="str">
        <x:v>https://static.cninfo.com.cn/finalpage/2026-08-27/1225514360.PDF</x:v>
      </x:c>
      <x:c r="J878" s="11" t="str"/>
      <x:c r="K878" s="11" t="str">
        <x:v>待核</x:v>
      </x:c>
      <x:c r="L878" s="11" t="str">
        <x:v>精确发布时间未核验</x:v>
      </x:c>
      <x:c r="M878" s="11" t="str">
        <x:v>截止日前日期，盘中时分未核</x:v>
      </x:c>
    </x:row>
    <x:row r="879" ht="23" customHeight="1">
      <x:c r="A879" s="11" t="str">
        <x:v>I005</x:v>
      </x:c>
      <x:c r="B879" s="11" t="str">
        <x:v>688302.SH</x:v>
      </x:c>
      <x:c r="C879" s="11" t="str">
        <x:v>governmentPassThroughPayable</x:v>
      </x:c>
      <x:c r="D879" s="39" t="n">
        <x:v>4.072</x:v>
      </x:c>
      <x:c r="E879" s="11" t="str">
        <x:v>CNY</x:v>
      </x:c>
      <x:c r="F879" s="11" t="str">
        <x:v>million</x:v>
      </x:c>
      <x:c r="G879" s="11" t="str">
        <x:v>2026H1</x:v>
      </x:c>
      <x:c r="H879" s="11" t="str">
        <x:v>2026-08-27</x:v>
      </x:c>
      <x:c r="I879" s="11" t="str">
        <x:v>https://static.cninfo.com.cn/finalpage/2026-08-27/1225514360.PDF</x:v>
      </x:c>
      <x:c r="J879" s="11" t="str"/>
      <x:c r="K879" s="11" t="str">
        <x:v>待核</x:v>
      </x:c>
      <x:c r="L879" s="11" t="str">
        <x:v>精确发布时间未核验</x:v>
      </x:c>
      <x:c r="M879" s="11" t="str">
        <x:v>截止日前日期，盘中时分未核</x:v>
      </x:c>
    </x:row>
    <x:row r="880" ht="23" customHeight="1">
      <x:c r="A880" s="11" t="str">
        <x:v>I005</x:v>
      </x:c>
      <x:c r="B880" s="11" t="str">
        <x:v>688302.SH</x:v>
      </x:c>
      <x:c r="C880" s="11" t="str">
        <x:v>fixedAssets</x:v>
      </x:c>
      <x:c r="D880" s="39" t="n">
        <x:v>130.41473848</x:v>
      </x:c>
      <x:c r="E880" s="11" t="str">
        <x:v>CNY</x:v>
      </x:c>
      <x:c r="F880" s="11" t="str">
        <x:v>million</x:v>
      </x:c>
      <x:c r="G880" s="11" t="str">
        <x:v>2026H1</x:v>
      </x:c>
      <x:c r="H880" s="11" t="str">
        <x:v>2026-08-27</x:v>
      </x:c>
      <x:c r="I880" s="11" t="str">
        <x:v>https://static.cninfo.com.cn/finalpage/2026-08-27/1225514360.PDF</x:v>
      </x:c>
      <x:c r="J880" s="11" t="str"/>
      <x:c r="K880" s="11" t="str">
        <x:v>待核</x:v>
      </x:c>
      <x:c r="L880" s="11" t="str">
        <x:v>精确发布时间未核验</x:v>
      </x:c>
      <x:c r="M880" s="11" t="str">
        <x:v>截止日前日期，盘中时分未核</x:v>
      </x:c>
    </x:row>
    <x:row r="881" ht="23" customHeight="1">
      <x:c r="A881" s="11" t="str">
        <x:v>I005</x:v>
      </x:c>
      <x:c r="B881" s="11" t="str">
        <x:v>688302.SH</x:v>
      </x:c>
      <x:c r="C881" s="11" t="str">
        <x:v>CIP</x:v>
      </x:c>
      <x:c r="D881" s="39" t="n">
        <x:v>232.07502875</x:v>
      </x:c>
      <x:c r="E881" s="11" t="str">
        <x:v>CNY</x:v>
      </x:c>
      <x:c r="F881" s="11" t="str">
        <x:v>million</x:v>
      </x:c>
      <x:c r="G881" s="11" t="str">
        <x:v>2026H1</x:v>
      </x:c>
      <x:c r="H881" s="11" t="str">
        <x:v>2026-08-27</x:v>
      </x:c>
      <x:c r="I881" s="11" t="str">
        <x:v>https://static.cninfo.com.cn/finalpage/2026-08-27/1225514360.PDF</x:v>
      </x:c>
      <x:c r="J881" s="11" t="str"/>
      <x:c r="K881" s="11" t="str">
        <x:v>待核</x:v>
      </x:c>
      <x:c r="L881" s="11" t="str">
        <x:v>精确发布时间未核验</x:v>
      </x:c>
      <x:c r="M881" s="11" t="str">
        <x:v>截止日前日期，盘中时分未核</x:v>
      </x:c>
    </x:row>
    <x:row r="882" ht="23" customHeight="1">
      <x:c r="A882" s="11" t="str">
        <x:v>I005</x:v>
      </x:c>
      <x:c r="B882" s="11" t="str">
        <x:v>688302.SH</x:v>
      </x:c>
      <x:c r="C882" s="11" t="str">
        <x:v>fixedAssetsPledged</x:v>
      </x:c>
      <x:c r="D882" s="39" t="n">
        <x:v>71.38181146</x:v>
      </x:c>
      <x:c r="E882" s="11" t="str">
        <x:v>CNY</x:v>
      </x:c>
      <x:c r="F882" s="11" t="str">
        <x:v>million</x:v>
      </x:c>
      <x:c r="G882" s="11" t="str">
        <x:v>2026H1</x:v>
      </x:c>
      <x:c r="H882" s="11" t="str">
        <x:v>2026-08-27</x:v>
      </x:c>
      <x:c r="I882" s="11" t="str">
        <x:v>https://static.cninfo.com.cn/finalpage/2026-08-27/1225514360.PDF</x:v>
      </x:c>
      <x:c r="J882" s="11" t="str"/>
      <x:c r="K882" s="11" t="str">
        <x:v>待核</x:v>
      </x:c>
      <x:c r="L882" s="11" t="str">
        <x:v>精确发布时间未核验</x:v>
      </x:c>
      <x:c r="M882" s="11" t="str">
        <x:v>截止日前日期，盘中时分未核</x:v>
      </x:c>
    </x:row>
    <x:row r="883" ht="23" customHeight="1">
      <x:c r="A883" s="11" t="str">
        <x:v>I005</x:v>
      </x:c>
      <x:c r="B883" s="11" t="str">
        <x:v>688302.SH</x:v>
      </x:c>
      <x:c r="C883" s="11" t="str">
        <x:v>CIPPledged</x:v>
      </x:c>
      <x:c r="D883" s="39" t="n">
        <x:v>232.07502875</x:v>
      </x:c>
      <x:c r="E883" s="11" t="str">
        <x:v>CNY</x:v>
      </x:c>
      <x:c r="F883" s="11" t="str">
        <x:v>million</x:v>
      </x:c>
      <x:c r="G883" s="11" t="str">
        <x:v>2026H1</x:v>
      </x:c>
      <x:c r="H883" s="11" t="str">
        <x:v>2026-08-27</x:v>
      </x:c>
      <x:c r="I883" s="11" t="str">
        <x:v>https://static.cninfo.com.cn/finalpage/2026-08-27/1225514360.PDF</x:v>
      </x:c>
      <x:c r="J883" s="11" t="str"/>
      <x:c r="K883" s="11" t="str">
        <x:v>待核</x:v>
      </x:c>
      <x:c r="L883" s="11" t="str">
        <x:v>精确发布时间未核验</x:v>
      </x:c>
      <x:c r="M883" s="11" t="str">
        <x:v>截止日前日期，盘中时分未核</x:v>
      </x:c>
    </x:row>
    <x:row r="884" ht="23" customHeight="1">
      <x:c r="A884" s="11" t="str">
        <x:v>I005</x:v>
      </x:c>
      <x:c r="B884" s="11" t="str">
        <x:v>688302.SH</x:v>
      </x:c>
      <x:c r="C884" s="11" t="str">
        <x:v>landPledged</x:v>
      </x:c>
      <x:c r="D884" s="39" t="n">
        <x:v>29.5890147</x:v>
      </x:c>
      <x:c r="E884" s="11" t="str">
        <x:v>CNY</x:v>
      </x:c>
      <x:c r="F884" s="11" t="str">
        <x:v>million</x:v>
      </x:c>
      <x:c r="G884" s="11" t="str">
        <x:v>2026H1</x:v>
      </x:c>
      <x:c r="H884" s="11" t="str">
        <x:v>2026-08-27</x:v>
      </x:c>
      <x:c r="I884" s="11" t="str">
        <x:v>https://static.cninfo.com.cn/finalpage/2026-08-27/1225514360.PDF</x:v>
      </x:c>
      <x:c r="J884" s="11" t="str"/>
      <x:c r="K884" s="11" t="str">
        <x:v>待核</x:v>
      </x:c>
      <x:c r="L884" s="11" t="str">
        <x:v>精确发布时间未核验</x:v>
      </x:c>
      <x:c r="M884" s="11" t="str">
        <x:v>截止日前日期，盘中时分未核</x:v>
      </x:c>
    </x:row>
    <x:row r="885" ht="23" customHeight="1">
      <x:c r="A885" s="11" t="str">
        <x:v>I005</x:v>
      </x:c>
      <x:c r="B885" s="11" t="str">
        <x:v>688302.SH</x:v>
      </x:c>
      <x:c r="C885" s="11" t="str">
        <x:v>RDPeople</x:v>
      </x:c>
      <x:c r="D885" s="39" t="n">
        <x:v>110</x:v>
      </x:c>
      <x:c r="E885" s="11" t="str">
        <x:v>CNY</x:v>
      </x:c>
      <x:c r="F885" s="11" t="str">
        <x:v>million</x:v>
      </x:c>
      <x:c r="G885" s="11" t="str">
        <x:v>2026H1</x:v>
      </x:c>
      <x:c r="H885" s="11" t="str">
        <x:v>2026-08-27</x:v>
      </x:c>
      <x:c r="I885" s="11" t="str">
        <x:v>https://static.cninfo.com.cn/finalpage/2026-08-27/1225514360.PDF</x:v>
      </x:c>
      <x:c r="J885" s="11" t="str"/>
      <x:c r="K885" s="11" t="str">
        <x:v>待核</x:v>
      </x:c>
      <x:c r="L885" s="11" t="str">
        <x:v>精确发布时间未核验</x:v>
      </x:c>
      <x:c r="M885" s="11" t="str">
        <x:v>截止日前日期，盘中时分未核</x:v>
      </x:c>
    </x:row>
    <x:row r="886" ht="23" customHeight="1">
      <x:c r="A886" s="11" t="str">
        <x:v>I005</x:v>
      </x:c>
      <x:c r="B886" s="11" t="str">
        <x:v>688302.SH</x:v>
      </x:c>
      <x:c r="C886" s="11" t="str">
        <x:v>RDPeoplePrior</x:v>
      </x:c>
      <x:c r="D886" s="39" t="n">
        <x:v>119</x:v>
      </x:c>
      <x:c r="E886" s="11" t="str">
        <x:v>CNY</x:v>
      </x:c>
      <x:c r="F886" s="11" t="str">
        <x:v>million</x:v>
      </x:c>
      <x:c r="G886" s="11" t="str">
        <x:v>2026H1</x:v>
      </x:c>
      <x:c r="H886" s="11" t="str">
        <x:v>2026-08-27</x:v>
      </x:c>
      <x:c r="I886" s="11" t="str">
        <x:v>https://static.cninfo.com.cn/finalpage/2026-08-27/1225514360.PDF</x:v>
      </x:c>
      <x:c r="J886" s="11" t="str"/>
      <x:c r="K886" s="11" t="str">
        <x:v>待核</x:v>
      </x:c>
      <x:c r="L886" s="11" t="str">
        <x:v>精确发布时间未核验</x:v>
      </x:c>
      <x:c r="M886" s="11" t="str">
        <x:v>截止日前日期，盘中时分未核</x:v>
      </x:c>
    </x:row>
    <x:row r="887" ht="23" customHeight="1">
      <x:c r="A887" s="11" t="str">
        <x:v>I004</x:v>
      </x:c>
      <x:c r="B887" s="11" t="str">
        <x:v>688382.SH</x:v>
      </x:c>
      <x:c r="C887" s="11" t="str">
        <x:v>revenue</x:v>
      </x:c>
      <x:c r="D887" s="39" t="n">
        <x:v>53.31915726</x:v>
      </x:c>
      <x:c r="E887" s="11" t="str">
        <x:v>CNY</x:v>
      </x:c>
      <x:c r="F887" s="11" t="str">
        <x:v>million</x:v>
      </x:c>
      <x:c r="G887" s="11" t="str">
        <x:v>2026H1</x:v>
      </x:c>
      <x:c r="H887" s="11" t="str">
        <x:v>2026-08-21</x:v>
      </x:c>
      <x:c r="I887" s="11" t="str">
        <x:v>https://static.cninfo.com.cn/finalpage/2026-08-21/1225486647.PDF</x:v>
      </x:c>
      <x:c r="J887" s="11" t="str"/>
      <x:c r="K887" s="11" t="str">
        <x:v>待核</x:v>
      </x:c>
      <x:c r="L887" s="11" t="str">
        <x:v>精确发布时间未核验</x:v>
      </x:c>
      <x:c r="M887" s="11" t="str">
        <x:v>截止日前日期，盘中时分未核</x:v>
      </x:c>
    </x:row>
    <x:row r="888" ht="23" customHeight="1">
      <x:c r="A888" s="11" t="str">
        <x:v>I004</x:v>
      </x:c>
      <x:c r="B888" s="11" t="str">
        <x:v>688382.SH</x:v>
      </x:c>
      <x:c r="C888" s="11" t="str">
        <x:v>revenueGrowthPct</x:v>
      </x:c>
      <x:c r="D888" s="39" t="n">
        <x:v>178.23</x:v>
      </x:c>
      <x:c r="E888" s="11" t="str">
        <x:v>not monetary</x:v>
      </x:c>
      <x:c r="F888" s="11" t="str">
        <x:v>percent</x:v>
      </x:c>
      <x:c r="G888" s="11" t="str">
        <x:v>2026H1</x:v>
      </x:c>
      <x:c r="H888" s="11" t="str">
        <x:v>2026-08-21</x:v>
      </x:c>
      <x:c r="I888" s="11" t="str">
        <x:v>https://static.cninfo.com.cn/finalpage/2026-08-21/1225486647.PDF</x:v>
      </x:c>
      <x:c r="J888" s="11" t="str"/>
      <x:c r="K888" s="11" t="str">
        <x:v>待核</x:v>
      </x:c>
      <x:c r="L888" s="11" t="str">
        <x:v>精确发布时间未核验</x:v>
      </x:c>
      <x:c r="M888" s="11" t="str">
        <x:v>截止日前日期，盘中时分未核</x:v>
      </x:c>
    </x:row>
    <x:row r="889" ht="23" customHeight="1">
      <x:c r="A889" s="11" t="str">
        <x:v>I004</x:v>
      </x:c>
      <x:c r="B889" s="11" t="str">
        <x:v>688382.SH</x:v>
      </x:c>
      <x:c r="C889" s="11" t="str">
        <x:v>attributableProfit</x:v>
      </x:c>
      <x:c r="D889" s="39" t="n">
        <x:v>-137.0815036</x:v>
      </x:c>
      <x:c r="E889" s="11" t="str">
        <x:v>CNY</x:v>
      </x:c>
      <x:c r="F889" s="11" t="str">
        <x:v>million</x:v>
      </x:c>
      <x:c r="G889" s="11" t="str">
        <x:v>2026H1</x:v>
      </x:c>
      <x:c r="H889" s="11" t="str">
        <x:v>2026-08-21</x:v>
      </x:c>
      <x:c r="I889" s="11" t="str">
        <x:v>https://static.cninfo.com.cn/finalpage/2026-08-21/1225486647.PDF</x:v>
      </x:c>
      <x:c r="J889" s="11" t="str"/>
      <x:c r="K889" s="11" t="str">
        <x:v>待核</x:v>
      </x:c>
      <x:c r="L889" s="11" t="str">
        <x:v>精确发布时间未核验</x:v>
      </x:c>
      <x:c r="M889" s="11" t="str">
        <x:v>截止日前日期，盘中时分未核</x:v>
      </x:c>
    </x:row>
    <x:row r="890" ht="23" customHeight="1">
      <x:c r="A890" s="11" t="str">
        <x:v>I004</x:v>
      </x:c>
      <x:c r="B890" s="11" t="str">
        <x:v>688382.SH</x:v>
      </x:c>
      <x:c r="C890" s="11" t="str">
        <x:v>deductedProfit</x:v>
      </x:c>
      <x:c r="D890" s="39" t="n">
        <x:v>-143.93088666</x:v>
      </x:c>
      <x:c r="E890" s="11" t="str">
        <x:v>CNY</x:v>
      </x:c>
      <x:c r="F890" s="11" t="str">
        <x:v>million</x:v>
      </x:c>
      <x:c r="G890" s="11" t="str">
        <x:v>2026H1</x:v>
      </x:c>
      <x:c r="H890" s="11" t="str">
        <x:v>2026-08-21</x:v>
      </x:c>
      <x:c r="I890" s="11" t="str">
        <x:v>https://static.cninfo.com.cn/finalpage/2026-08-21/1225486647.PDF</x:v>
      </x:c>
      <x:c r="J890" s="11" t="str"/>
      <x:c r="K890" s="11" t="str">
        <x:v>待核</x:v>
      </x:c>
      <x:c r="L890" s="11" t="str">
        <x:v>精确发布时间未核验</x:v>
      </x:c>
      <x:c r="M890" s="11" t="str">
        <x:v>截止日前日期，盘中时分未核</x:v>
      </x:c>
    </x:row>
    <x:row r="891" ht="23" customHeight="1">
      <x:c r="A891" s="11" t="str">
        <x:v>I004</x:v>
      </x:c>
      <x:c r="B891" s="11" t="str">
        <x:v>688382.SH</x:v>
      </x:c>
      <x:c r="C891" s="11" t="str">
        <x:v>OCF</x:v>
      </x:c>
      <x:c r="D891" s="39" t="n">
        <x:v>-187.94300201</x:v>
      </x:c>
      <x:c r="E891" s="11" t="str">
        <x:v>CNY</x:v>
      </x:c>
      <x:c r="F891" s="11" t="str">
        <x:v>million</x:v>
      </x:c>
      <x:c r="G891" s="11" t="str">
        <x:v>2026H1</x:v>
      </x:c>
      <x:c r="H891" s="11" t="str">
        <x:v>2026-08-21</x:v>
      </x:c>
      <x:c r="I891" s="11" t="str">
        <x:v>https://static.cninfo.com.cn/finalpage/2026-08-21/1225486647.PDF</x:v>
      </x:c>
      <x:c r="J891" s="11" t="str"/>
      <x:c r="K891" s="11" t="str">
        <x:v>待核</x:v>
      </x:c>
      <x:c r="L891" s="11" t="str">
        <x:v>精确发布时间未核验</x:v>
      </x:c>
      <x:c r="M891" s="11" t="str">
        <x:v>截止日前日期，盘中时分未核</x:v>
      </x:c>
    </x:row>
    <x:row r="892" ht="23" customHeight="1">
      <x:c r="A892" s="11" t="str">
        <x:v>I004</x:v>
      </x:c>
      <x:c r="B892" s="11" t="str">
        <x:v>688382.SH</x:v>
      </x:c>
      <x:c r="C892" s="11" t="str">
        <x:v>capex</x:v>
      </x:c>
      <x:c r="D892" s="39" t="n">
        <x:v>5.49879097</x:v>
      </x:c>
      <x:c r="E892" s="11" t="str">
        <x:v>CNY</x:v>
      </x:c>
      <x:c r="F892" s="11" t="str">
        <x:v>million</x:v>
      </x:c>
      <x:c r="G892" s="11" t="str">
        <x:v>2026H1</x:v>
      </x:c>
      <x:c r="H892" s="11" t="str">
        <x:v>2026-08-21</x:v>
      </x:c>
      <x:c r="I892" s="11" t="str">
        <x:v>https://static.cninfo.com.cn/finalpage/2026-08-21/1225486647.PDF</x:v>
      </x:c>
      <x:c r="J892" s="11" t="str"/>
      <x:c r="K892" s="11" t="str">
        <x:v>待核</x:v>
      </x:c>
      <x:c r="L892" s="11" t="str">
        <x:v>精确发布时间未核验</x:v>
      </x:c>
      <x:c r="M892" s="11" t="str">
        <x:v>截止日前日期，盘中时分未核</x:v>
      </x:c>
    </x:row>
    <x:row r="893" ht="23" customHeight="1">
      <x:c r="A893" s="11" t="str">
        <x:v>I004</x:v>
      </x:c>
      <x:c r="B893" s="11" t="str">
        <x:v>688382.SH</x:v>
      </x:c>
      <x:c r="C893" s="11" t="str">
        <x:v>FCF</x:v>
      </x:c>
      <x:c r="D893" s="39" t="n">
        <x:v>-193.44179298</x:v>
      </x:c>
      <x:c r="E893" s="11" t="str">
        <x:v>CNY</x:v>
      </x:c>
      <x:c r="F893" s="11" t="str">
        <x:v>million</x:v>
      </x:c>
      <x:c r="G893" s="11" t="str">
        <x:v>2026H1</x:v>
      </x:c>
      <x:c r="H893" s="11" t="str">
        <x:v>2026-08-21</x:v>
      </x:c>
      <x:c r="I893" s="11" t="str">
        <x:v>https://static.cninfo.com.cn/finalpage/2026-08-21/1225486647.PDF</x:v>
      </x:c>
      <x:c r="J893" s="11" t="str"/>
      <x:c r="K893" s="11" t="str">
        <x:v>待核</x:v>
      </x:c>
      <x:c r="L893" s="11" t="str">
        <x:v>精确发布时间未核验</x:v>
      </x:c>
      <x:c r="M893" s="11" t="str">
        <x:v>截止日前日期，盘中时分未核</x:v>
      </x:c>
    </x:row>
    <x:row r="894" ht="23" customHeight="1">
      <x:c r="A894" s="11" t="str">
        <x:v>I004</x:v>
      </x:c>
      <x:c r="B894" s="11" t="str">
        <x:v>688382.SH</x:v>
      </x:c>
      <x:c r="C894" s="11" t="str">
        <x:v>cashBank</x:v>
      </x:c>
      <x:c r="D894" s="39" t="n">
        <x:v>1174.366792</x:v>
      </x:c>
      <x:c r="E894" s="11" t="str">
        <x:v>CNY</x:v>
      </x:c>
      <x:c r="F894" s="11" t="str">
        <x:v>million</x:v>
      </x:c>
      <x:c r="G894" s="11" t="str">
        <x:v>2026H1</x:v>
      </x:c>
      <x:c r="H894" s="11" t="str">
        <x:v>2026-08-21</x:v>
      </x:c>
      <x:c r="I894" s="11" t="str">
        <x:v>https://static.cninfo.com.cn/finalpage/2026-08-21/1225486647.PDF</x:v>
      </x:c>
      <x:c r="J894" s="11" t="str"/>
      <x:c r="K894" s="11" t="str">
        <x:v>待核</x:v>
      </x:c>
      <x:c r="L894" s="11" t="str">
        <x:v>精确发布时间未核验</x:v>
      </x:c>
      <x:c r="M894" s="11" t="str">
        <x:v>截止日前日期，盘中时分未核</x:v>
      </x:c>
    </x:row>
    <x:row r="895" ht="23" customHeight="1">
      <x:c r="A895" s="11" t="str">
        <x:v>I004</x:v>
      </x:c>
      <x:c r="B895" s="11" t="str">
        <x:v>688382.SH</x:v>
      </x:c>
      <x:c r="C895" s="11" t="str">
        <x:v>cashCashEquivalents</x:v>
      </x:c>
      <x:c r="D895" s="39" t="n">
        <x:v>641.24930339</x:v>
      </x:c>
      <x:c r="E895" s="11" t="str">
        <x:v>CNY</x:v>
      </x:c>
      <x:c r="F895" s="11" t="str">
        <x:v>million</x:v>
      </x:c>
      <x:c r="G895" s="11" t="str">
        <x:v>2026H1</x:v>
      </x:c>
      <x:c r="H895" s="11" t="str">
        <x:v>2026-08-21</x:v>
      </x:c>
      <x:c r="I895" s="11" t="str">
        <x:v>https://static.cninfo.com.cn/finalpage/2026-08-21/1225486647.PDF</x:v>
      </x:c>
      <x:c r="J895" s="11" t="str"/>
      <x:c r="K895" s="11" t="str">
        <x:v>待核</x:v>
      </x:c>
      <x:c r="L895" s="11" t="str">
        <x:v>精确发布时间未核验</x:v>
      </x:c>
      <x:c r="M895" s="11" t="str">
        <x:v>截止日前日期，盘中时分未核</x:v>
      </x:c>
    </x:row>
    <x:row r="896" ht="23" customHeight="1">
      <x:c r="A896" s="11" t="str">
        <x:v>I004</x:v>
      </x:c>
      <x:c r="B896" s="11" t="str">
        <x:v>688382.SH</x:v>
      </x:c>
      <x:c r="C896" s="11" t="str">
        <x:v>termDepositExcludedCashEq</x:v>
      </x:c>
      <x:c r="D896" s="39" t="n">
        <x:v>531.21000737</x:v>
      </x:c>
      <x:c r="E896" s="11" t="str">
        <x:v>CNY</x:v>
      </x:c>
      <x:c r="F896" s="11" t="str">
        <x:v>million</x:v>
      </x:c>
      <x:c r="G896" s="11" t="str">
        <x:v>2026H1</x:v>
      </x:c>
      <x:c r="H896" s="11" t="str">
        <x:v>2026-08-21</x:v>
      </x:c>
      <x:c r="I896" s="11" t="str">
        <x:v>https://static.cninfo.com.cn/finalpage/2026-08-21/1225486647.PDF</x:v>
      </x:c>
      <x:c r="J896" s="11" t="str"/>
      <x:c r="K896" s="11" t="str">
        <x:v>待核</x:v>
      </x:c>
      <x:c r="L896" s="11" t="str">
        <x:v>精确发布时间未核验</x:v>
      </x:c>
      <x:c r="M896" s="11" t="str">
        <x:v>截止日前日期，盘中时分未核</x:v>
      </x:c>
    </x:row>
    <x:row r="897" ht="23" customHeight="1">
      <x:c r="A897" s="11" t="str">
        <x:v>I004</x:v>
      </x:c>
      <x:c r="B897" s="11" t="str">
        <x:v>688382.SH</x:v>
      </x:c>
      <x:c r="C897" s="11" t="str">
        <x:v>accruedDepositInterest</x:v>
      </x:c>
      <x:c r="D897" s="39" t="n">
        <x:v>1.90748124</x:v>
      </x:c>
      <x:c r="E897" s="11" t="str">
        <x:v>CNY</x:v>
      </x:c>
      <x:c r="F897" s="11" t="str">
        <x:v>million</x:v>
      </x:c>
      <x:c r="G897" s="11" t="str">
        <x:v>2026H1</x:v>
      </x:c>
      <x:c r="H897" s="11" t="str">
        <x:v>2026-08-21</x:v>
      </x:c>
      <x:c r="I897" s="11" t="str">
        <x:v>https://static.cninfo.com.cn/finalpage/2026-08-21/1225486647.PDF</x:v>
      </x:c>
      <x:c r="J897" s="11" t="str"/>
      <x:c r="K897" s="11" t="str">
        <x:v>待核</x:v>
      </x:c>
      <x:c r="L897" s="11" t="str">
        <x:v>精确发布时间未核验</x:v>
      </x:c>
      <x:c r="M897" s="11" t="str">
        <x:v>截止日前日期，盘中时分未核</x:v>
      </x:c>
    </x:row>
    <x:row r="898" ht="23" customHeight="1">
      <x:c r="A898" s="11" t="str">
        <x:v>I004</x:v>
      </x:c>
      <x:c r="B898" s="11" t="str">
        <x:v>688382.SH</x:v>
      </x:c>
      <x:c r="C898" s="11" t="str">
        <x:v>transactionFinancialAssets</x:v>
      </x:c>
      <x:c r="D898" s="39" t="n">
        <x:v>152.95959</x:v>
      </x:c>
      <x:c r="E898" s="11" t="str">
        <x:v>CNY</x:v>
      </x:c>
      <x:c r="F898" s="11" t="str">
        <x:v>million</x:v>
      </x:c>
      <x:c r="G898" s="11" t="str">
        <x:v>2026H1</x:v>
      </x:c>
      <x:c r="H898" s="11" t="str">
        <x:v>2026-08-21</x:v>
      </x:c>
      <x:c r="I898" s="11" t="str">
        <x:v>https://static.cninfo.com.cn/finalpage/2026-08-21/1225486647.PDF</x:v>
      </x:c>
      <x:c r="J898" s="11" t="str"/>
      <x:c r="K898" s="11" t="str">
        <x:v>待核</x:v>
      </x:c>
      <x:c r="L898" s="11" t="str">
        <x:v>精确发布时间未核验</x:v>
      </x:c>
      <x:c r="M898" s="11" t="str">
        <x:v>截止日前日期，盘中时分未核</x:v>
      </x:c>
    </x:row>
    <x:row r="899" ht="23" customHeight="1">
      <x:c r="A899" s="11" t="str">
        <x:v>I004</x:v>
      </x:c>
      <x:c r="B899" s="11" t="str">
        <x:v>688382.SH</x:v>
      </x:c>
      <x:c r="C899" s="11" t="str">
        <x:v>leaseDebtIncludingCurrent</x:v>
      </x:c>
      <x:c r="D899" s="39" t="n">
        <x:v>18.80319248</x:v>
      </x:c>
      <x:c r="E899" s="11" t="str">
        <x:v>CNY</x:v>
      </x:c>
      <x:c r="F899" s="11" t="str">
        <x:v>million</x:v>
      </x:c>
      <x:c r="G899" s="11" t="str">
        <x:v>2026H1</x:v>
      </x:c>
      <x:c r="H899" s="11" t="str">
        <x:v>2026-08-21</x:v>
      </x:c>
      <x:c r="I899" s="11" t="str">
        <x:v>https://static.cninfo.com.cn/finalpage/2026-08-21/1225486647.PDF</x:v>
      </x:c>
      <x:c r="J899" s="11" t="str"/>
      <x:c r="K899" s="11" t="str">
        <x:v>待核</x:v>
      </x:c>
      <x:c r="L899" s="11" t="str">
        <x:v>精确发布时间未核验</x:v>
      </x:c>
      <x:c r="M899" s="11" t="str">
        <x:v>截止日前日期，盘中时分未核</x:v>
      </x:c>
    </x:row>
    <x:row r="900" ht="23" customHeight="1">
      <x:c r="A900" s="11" t="str">
        <x:v>I004</x:v>
      </x:c>
      <x:c r="B900" s="11" t="str">
        <x:v>688382.SH</x:v>
      </x:c>
      <x:c r="C900" s="11" t="str">
        <x:v>bankDebt</x:v>
      </x:c>
      <x:c r="D900" s="39" t="n">
        <x:v>0</x:v>
      </x:c>
      <x:c r="E900" s="11" t="str">
        <x:v>CNY</x:v>
      </x:c>
      <x:c r="F900" s="11" t="str">
        <x:v>million</x:v>
      </x:c>
      <x:c r="G900" s="11" t="str">
        <x:v>2026H1</x:v>
      </x:c>
      <x:c r="H900" s="11" t="str">
        <x:v>2026-08-21</x:v>
      </x:c>
      <x:c r="I900" s="11" t="str">
        <x:v>https://static.cninfo.com.cn/finalpage/2026-08-21/1225486647.PDF</x:v>
      </x:c>
      <x:c r="J900" s="11" t="str"/>
      <x:c r="K900" s="11" t="str">
        <x:v>待核</x:v>
      </x:c>
      <x:c r="L900" s="11" t="str">
        <x:v>精确发布时间未核验</x:v>
      </x:c>
      <x:c r="M900" s="11" t="str">
        <x:v>截止日前日期，盘中时分未核</x:v>
      </x:c>
    </x:row>
    <x:row r="901" ht="23" customHeight="1">
      <x:c r="A901" s="11" t="str">
        <x:v>I004</x:v>
      </x:c>
      <x:c r="B901" s="11" t="str">
        <x:v>688382.SH</x:v>
      </x:c>
      <x:c r="C901" s="11" t="str">
        <x:v>totalLiabilities</x:v>
      </x:c>
      <x:c r="D901" s="39" t="n">
        <x:v>111.06670253</x:v>
      </x:c>
      <x:c r="E901" s="11" t="str">
        <x:v>CNY</x:v>
      </x:c>
      <x:c r="F901" s="11" t="str">
        <x:v>million</x:v>
      </x:c>
      <x:c r="G901" s="11" t="str">
        <x:v>2026H1</x:v>
      </x:c>
      <x:c r="H901" s="11" t="str">
        <x:v>2026-08-21</x:v>
      </x:c>
      <x:c r="I901" s="11" t="str">
        <x:v>https://static.cninfo.com.cn/finalpage/2026-08-21/1225486647.PDF</x:v>
      </x:c>
      <x:c r="J901" s="11" t="str"/>
      <x:c r="K901" s="11" t="str">
        <x:v>待核</x:v>
      </x:c>
      <x:c r="L901" s="11" t="str">
        <x:v>精确发布时间未核验</x:v>
      </x:c>
      <x:c r="M901" s="11" t="str">
        <x:v>截止日前日期，盘中时分未核</x:v>
      </x:c>
    </x:row>
    <x:row r="902" ht="23" customHeight="1">
      <x:c r="A902" s="11" t="str">
        <x:v>I004</x:v>
      </x:c>
      <x:c r="B902" s="11" t="str">
        <x:v>688382.SH</x:v>
      </x:c>
      <x:c r="C902" s="11" t="str">
        <x:v>parentEquity</x:v>
      </x:c>
      <x:c r="D902" s="39" t="n">
        <x:v>1411.12511531</x:v>
      </x:c>
      <x:c r="E902" s="11" t="str">
        <x:v>CNY</x:v>
      </x:c>
      <x:c r="F902" s="11" t="str">
        <x:v>million</x:v>
      </x:c>
      <x:c r="G902" s="11" t="str">
        <x:v>2026H1</x:v>
      </x:c>
      <x:c r="H902" s="11" t="str">
        <x:v>2026-08-21</x:v>
      </x:c>
      <x:c r="I902" s="11" t="str">
        <x:v>https://static.cninfo.com.cn/finalpage/2026-08-21/1225486647.PDF</x:v>
      </x:c>
      <x:c r="J902" s="11" t="str"/>
      <x:c r="K902" s="11" t="str">
        <x:v>待核</x:v>
      </x:c>
      <x:c r="L902" s="11" t="str">
        <x:v>精确发布时间未核验</x:v>
      </x:c>
      <x:c r="M902" s="11" t="str">
        <x:v>截止日前日期，盘中时分未核</x:v>
      </x:c>
    </x:row>
    <x:row r="903" ht="23" customHeight="1">
      <x:c r="A903" s="11" t="str">
        <x:v>I004</x:v>
      </x:c>
      <x:c r="B903" s="11" t="str">
        <x:v>688382.SH</x:v>
      </x:c>
      <x:c r="C903" s="11" t="str">
        <x:v>RDExpensed</x:v>
      </x:c>
      <x:c r="D903" s="39" t="n">
        <x:v>184.71619671</x:v>
      </x:c>
      <x:c r="E903" s="11" t="str">
        <x:v>CNY</x:v>
      </x:c>
      <x:c r="F903" s="11" t="str">
        <x:v>million</x:v>
      </x:c>
      <x:c r="G903" s="11" t="str">
        <x:v>2026H1</x:v>
      </x:c>
      <x:c r="H903" s="11" t="str">
        <x:v>2026-08-21</x:v>
      </x:c>
      <x:c r="I903" s="11" t="str">
        <x:v>https://static.cninfo.com.cn/finalpage/2026-08-21/1225486647.PDF</x:v>
      </x:c>
      <x:c r="J903" s="11" t="str"/>
      <x:c r="K903" s="11" t="str">
        <x:v>待核</x:v>
      </x:c>
      <x:c r="L903" s="11" t="str">
        <x:v>精确发布时间未核验</x:v>
      </x:c>
      <x:c r="M903" s="11" t="str">
        <x:v>截止日前日期，盘中时分未核</x:v>
      </x:c>
    </x:row>
    <x:row r="904" ht="23" customHeight="1">
      <x:c r="A904" s="11" t="str">
        <x:v>I004</x:v>
      </x:c>
      <x:c r="B904" s="11" t="str">
        <x:v>688382.SH</x:v>
      </x:c>
      <x:c r="C904" s="11" t="str">
        <x:v>RDCapitalized</x:v>
      </x:c>
      <x:c r="D904" s="39" t="n">
        <x:v>0</x:v>
      </x:c>
      <x:c r="E904" s="11" t="str">
        <x:v>CNY</x:v>
      </x:c>
      <x:c r="F904" s="11" t="str">
        <x:v>million</x:v>
      </x:c>
      <x:c r="G904" s="11" t="str">
        <x:v>2026H1</x:v>
      </x:c>
      <x:c r="H904" s="11" t="str">
        <x:v>2026-08-21</x:v>
      </x:c>
      <x:c r="I904" s="11" t="str">
        <x:v>https://static.cninfo.com.cn/finalpage/2026-08-21/1225486647.PDF</x:v>
      </x:c>
      <x:c r="J904" s="11" t="str"/>
      <x:c r="K904" s="11" t="str">
        <x:v>待核</x:v>
      </x:c>
      <x:c r="L904" s="11" t="str">
        <x:v>精确发布时间未核验</x:v>
      </x:c>
      <x:c r="M904" s="11" t="str">
        <x:v>截止日前日期，盘中时分未核</x:v>
      </x:c>
    </x:row>
    <x:row r="905" ht="23" customHeight="1">
      <x:c r="A905" s="11" t="str">
        <x:v>I004</x:v>
      </x:c>
      <x:c r="B905" s="11" t="str">
        <x:v>688382.SH</x:v>
      </x:c>
      <x:c r="C905" s="11" t="str">
        <x:v>RDIntensityPct</x:v>
      </x:c>
      <x:c r="D905" s="39" t="n">
        <x:v>346.43</x:v>
      </x:c>
      <x:c r="E905" s="11" t="str">
        <x:v>not monetary</x:v>
      </x:c>
      <x:c r="F905" s="11" t="str">
        <x:v>percent</x:v>
      </x:c>
      <x:c r="G905" s="11" t="str">
        <x:v>2026H1</x:v>
      </x:c>
      <x:c r="H905" s="11" t="str">
        <x:v>2026-08-21</x:v>
      </x:c>
      <x:c r="I905" s="11" t="str">
        <x:v>https://static.cninfo.com.cn/finalpage/2026-08-21/1225486647.PDF</x:v>
      </x:c>
      <x:c r="J905" s="11" t="str"/>
      <x:c r="K905" s="11" t="str">
        <x:v>待核</x:v>
      </x:c>
      <x:c r="L905" s="11" t="str">
        <x:v>精确发布时间未核验</x:v>
      </x:c>
      <x:c r="M905" s="11" t="str">
        <x:v>截止日前日期，盘中时分未核</x:v>
      </x:c>
    </x:row>
    <x:row r="906" ht="23" customHeight="1">
      <x:c r="A906" s="11" t="str">
        <x:v>I004</x:v>
      </x:c>
      <x:c r="B906" s="11" t="str">
        <x:v>688382.SH</x:v>
      </x:c>
      <x:c r="C906" s="11" t="str">
        <x:v>admin</x:v>
      </x:c>
      <x:c r="D906" s="39" t="n">
        <x:v>16.54116541</x:v>
      </x:c>
      <x:c r="E906" s="11" t="str">
        <x:v>CNY</x:v>
      </x:c>
      <x:c r="F906" s="11" t="str">
        <x:v>million</x:v>
      </x:c>
      <x:c r="G906" s="11" t="str">
        <x:v>2026H1</x:v>
      </x:c>
      <x:c r="H906" s="11" t="str">
        <x:v>2026-08-21</x:v>
      </x:c>
      <x:c r="I906" s="11" t="str">
        <x:v>https://static.cninfo.com.cn/finalpage/2026-08-21/1225486647.PDF</x:v>
      </x:c>
      <x:c r="J906" s="11" t="str"/>
      <x:c r="K906" s="11" t="str">
        <x:v>待核</x:v>
      </x:c>
      <x:c r="L906" s="11" t="str">
        <x:v>精确发布时间未核验</x:v>
      </x:c>
      <x:c r="M906" s="11" t="str">
        <x:v>截止日前日期，盘中时分未核</x:v>
      </x:c>
    </x:row>
    <x:row r="907" ht="23" customHeight="1">
      <x:c r="A907" s="11" t="str">
        <x:v>I004</x:v>
      </x:c>
      <x:c r="B907" s="11" t="str">
        <x:v>688382.SH</x:v>
      </x:c>
      <x:c r="C907" s="11" t="str">
        <x:v>finance</x:v>
      </x:c>
      <x:c r="D907" s="39" t="n">
        <x:v>-6.88731488</x:v>
      </x:c>
      <x:c r="E907" s="11" t="str">
        <x:v>CNY</x:v>
      </x:c>
      <x:c r="F907" s="11" t="str">
        <x:v>million</x:v>
      </x:c>
      <x:c r="G907" s="11" t="str">
        <x:v>2026H1</x:v>
      </x:c>
      <x:c r="H907" s="11" t="str">
        <x:v>2026-08-21</x:v>
      </x:c>
      <x:c r="I907" s="11" t="str">
        <x:v>https://static.cninfo.com.cn/finalpage/2026-08-21/1225486647.PDF</x:v>
      </x:c>
      <x:c r="J907" s="11" t="str"/>
      <x:c r="K907" s="11" t="str">
        <x:v>待核</x:v>
      </x:c>
      <x:c r="L907" s="11" t="str">
        <x:v>精确发布时间未核验</x:v>
      </x:c>
      <x:c r="M907" s="11" t="str">
        <x:v>截止日前日期，盘中时分未核</x:v>
      </x:c>
    </x:row>
    <x:row r="908" ht="23" customHeight="1">
      <x:c r="A908" s="11" t="str">
        <x:v>I004</x:v>
      </x:c>
      <x:c r="B908" s="11" t="str">
        <x:v>688382.SH</x:v>
      </x:c>
      <x:c r="C908" s="11" t="str">
        <x:v>interestExpense</x:v>
      </x:c>
      <x:c r="D908" s="39" t="n">
        <x:v>0.35974253</x:v>
      </x:c>
      <x:c r="E908" s="11" t="str">
        <x:v>CNY</x:v>
      </x:c>
      <x:c r="F908" s="11" t="str">
        <x:v>million</x:v>
      </x:c>
      <x:c r="G908" s="11" t="str">
        <x:v>2026H1</x:v>
      </x:c>
      <x:c r="H908" s="11" t="str">
        <x:v>2026-08-21</x:v>
      </x:c>
      <x:c r="I908" s="11" t="str">
        <x:v>https://static.cninfo.com.cn/finalpage/2026-08-21/1225486647.PDF</x:v>
      </x:c>
      <x:c r="J908" s="11" t="str"/>
      <x:c r="K908" s="11" t="str">
        <x:v>待核</x:v>
      </x:c>
      <x:c r="L908" s="11" t="str">
        <x:v>精确发布时间未核验</x:v>
      </x:c>
      <x:c r="M908" s="11" t="str">
        <x:v>截止日前日期，盘中时分未核</x:v>
      </x:c>
    </x:row>
    <x:row r="909" ht="23" customHeight="1">
      <x:c r="A909" s="11" t="str">
        <x:v>I004</x:v>
      </x:c>
      <x:c r="B909" s="11" t="str">
        <x:v>688382.SH</x:v>
      </x:c>
      <x:c r="C909" s="11" t="str">
        <x:v>cost</x:v>
      </x:c>
      <x:c r="D909" s="39" t="n">
        <x:v>2.96567228</x:v>
      </x:c>
      <x:c r="E909" s="11" t="str">
        <x:v>CNY</x:v>
      </x:c>
      <x:c r="F909" s="11" t="str">
        <x:v>million</x:v>
      </x:c>
      <x:c r="G909" s="11" t="str">
        <x:v>2026H1</x:v>
      </x:c>
      <x:c r="H909" s="11" t="str">
        <x:v>2026-08-21</x:v>
      </x:c>
      <x:c r="I909" s="11" t="str">
        <x:v>https://static.cninfo.com.cn/finalpage/2026-08-21/1225486647.PDF</x:v>
      </x:c>
      <x:c r="J909" s="11" t="str"/>
      <x:c r="K909" s="11" t="str">
        <x:v>待核</x:v>
      </x:c>
      <x:c r="L909" s="11" t="str">
        <x:v>精确发布时间未核验</x:v>
      </x:c>
      <x:c r="M909" s="11" t="str">
        <x:v>截止日前日期，盘中时分未核</x:v>
      </x:c>
    </x:row>
    <x:row r="910" ht="23" customHeight="1">
      <x:c r="A910" s="11" t="str">
        <x:v>I004</x:v>
      </x:c>
      <x:c r="B910" s="11" t="str">
        <x:v>688382.SH</x:v>
      </x:c>
      <x:c r="C910" s="11" t="str">
        <x:v>receivableGross</x:v>
      </x:c>
      <x:c r="D910" s="39" t="n">
        <x:v>116.88138709</x:v>
      </x:c>
      <x:c r="E910" s="11" t="str">
        <x:v>CNY</x:v>
      </x:c>
      <x:c r="F910" s="11" t="str">
        <x:v>million</x:v>
      </x:c>
      <x:c r="G910" s="11" t="str">
        <x:v>2026H1</x:v>
      </x:c>
      <x:c r="H910" s="11" t="str">
        <x:v>2026-08-21</x:v>
      </x:c>
      <x:c r="I910" s="11" t="str">
        <x:v>https://static.cninfo.com.cn/finalpage/2026-08-21/1225486647.PDF</x:v>
      </x:c>
      <x:c r="J910" s="11" t="str"/>
      <x:c r="K910" s="11" t="str">
        <x:v>待核</x:v>
      </x:c>
      <x:c r="L910" s="11" t="str">
        <x:v>精确发布时间未核验</x:v>
      </x:c>
      <x:c r="M910" s="11" t="str">
        <x:v>截止日前日期，盘中时分未核</x:v>
      </x:c>
    </x:row>
    <x:row r="911" ht="23" customHeight="1">
      <x:c r="A911" s="11" t="str">
        <x:v>I004</x:v>
      </x:c>
      <x:c r="B911" s="11" t="str">
        <x:v>688382.SH</x:v>
      </x:c>
      <x:c r="C911" s="11" t="str">
        <x:v>receivableAllowance</x:v>
      </x:c>
      <x:c r="D911" s="39" t="n">
        <x:v>30.84406935</x:v>
      </x:c>
      <x:c r="E911" s="11" t="str">
        <x:v>CNY</x:v>
      </x:c>
      <x:c r="F911" s="11" t="str">
        <x:v>million</x:v>
      </x:c>
      <x:c r="G911" s="11" t="str">
        <x:v>2026H1</x:v>
      </x:c>
      <x:c r="H911" s="11" t="str">
        <x:v>2026-08-21</x:v>
      </x:c>
      <x:c r="I911" s="11" t="str">
        <x:v>https://static.cninfo.com.cn/finalpage/2026-08-21/1225486647.PDF</x:v>
      </x:c>
      <x:c r="J911" s="11" t="str"/>
      <x:c r="K911" s="11" t="str">
        <x:v>待核</x:v>
      </x:c>
      <x:c r="L911" s="11" t="str">
        <x:v>精确发布时间未核验</x:v>
      </x:c>
      <x:c r="M911" s="11" t="str">
        <x:v>截止日前日期，盘中时分未核</x:v>
      </x:c>
    </x:row>
    <x:row r="912" ht="23" customHeight="1">
      <x:c r="A912" s="11" t="str">
        <x:v>I004</x:v>
      </x:c>
      <x:c r="B912" s="11" t="str">
        <x:v>688382.SH</x:v>
      </x:c>
      <x:c r="C912" s="11" t="str">
        <x:v>receivableNet</x:v>
      </x:c>
      <x:c r="D912" s="39" t="n">
        <x:v>86.03731774</x:v>
      </x:c>
      <x:c r="E912" s="11" t="str">
        <x:v>CNY</x:v>
      </x:c>
      <x:c r="F912" s="11" t="str">
        <x:v>million</x:v>
      </x:c>
      <x:c r="G912" s="11" t="str">
        <x:v>2026H1</x:v>
      </x:c>
      <x:c r="H912" s="11" t="str">
        <x:v>2026-08-21</x:v>
      </x:c>
      <x:c r="I912" s="11" t="str">
        <x:v>https://static.cninfo.com.cn/finalpage/2026-08-21/1225486647.PDF</x:v>
      </x:c>
      <x:c r="J912" s="11" t="str"/>
      <x:c r="K912" s="11" t="str">
        <x:v>待核</x:v>
      </x:c>
      <x:c r="L912" s="11" t="str">
        <x:v>精确发布时间未核验</x:v>
      </x:c>
      <x:c r="M912" s="11" t="str">
        <x:v>截止日前日期，盘中时分未核</x:v>
      </x:c>
    </x:row>
    <x:row r="913" ht="23" customHeight="1">
      <x:c r="A913" s="11" t="str">
        <x:v>I004</x:v>
      </x:c>
      <x:c r="B913" s="11" t="str">
        <x:v>688382.SH</x:v>
      </x:c>
      <x:c r="C913" s="11" t="str">
        <x:v>receivable2to3Years</x:v>
      </x:c>
      <x:c r="D913" s="39" t="n">
        <x:v>100</x:v>
      </x:c>
      <x:c r="E913" s="11" t="str">
        <x:v>CNY</x:v>
      </x:c>
      <x:c r="F913" s="11" t="str">
        <x:v>million</x:v>
      </x:c>
      <x:c r="G913" s="11" t="str">
        <x:v>2026H1</x:v>
      </x:c>
      <x:c r="H913" s="11" t="str">
        <x:v>2026-08-21</x:v>
      </x:c>
      <x:c r="I913" s="11" t="str">
        <x:v>https://static.cninfo.com.cn/finalpage/2026-08-21/1225486647.PDF</x:v>
      </x:c>
      <x:c r="J913" s="11" t="str"/>
      <x:c r="K913" s="11" t="str">
        <x:v>待核</x:v>
      </x:c>
      <x:c r="L913" s="11" t="str">
        <x:v>精确发布时间未核验</x:v>
      </x:c>
      <x:c r="M913" s="11" t="str">
        <x:v>截止日前日期，盘中时分未核</x:v>
      </x:c>
    </x:row>
    <x:row r="914" ht="23" customHeight="1">
      <x:c r="A914" s="11" t="str">
        <x:v>I004</x:v>
      </x:c>
      <x:c r="B914" s="11" t="str">
        <x:v>688382.SH</x:v>
      </x:c>
      <x:c r="C914" s="11" t="str">
        <x:v>allowance2to3Years</x:v>
      </x:c>
      <x:c r="D914" s="39" t="n">
        <x:v>30</x:v>
      </x:c>
      <x:c r="E914" s="11" t="str">
        <x:v>CNY</x:v>
      </x:c>
      <x:c r="F914" s="11" t="str">
        <x:v>million</x:v>
      </x:c>
      <x:c r="G914" s="11" t="str">
        <x:v>2026H1</x:v>
      </x:c>
      <x:c r="H914" s="11" t="str">
        <x:v>2026-08-21</x:v>
      </x:c>
      <x:c r="I914" s="11" t="str">
        <x:v>https://static.cninfo.com.cn/finalpage/2026-08-21/1225486647.PDF</x:v>
      </x:c>
      <x:c r="J914" s="11" t="str"/>
      <x:c r="K914" s="11" t="str">
        <x:v>待核</x:v>
      </x:c>
      <x:c r="L914" s="11" t="str">
        <x:v>精确发布时间未核验</x:v>
      </x:c>
      <x:c r="M914" s="11" t="str">
        <x:v>截止日前日期，盘中时分未核</x:v>
      </x:c>
    </x:row>
    <x:row r="915" ht="23" customHeight="1">
      <x:c r="A915" s="11" t="str">
        <x:v>I004</x:v>
      </x:c>
      <x:c r="B915" s="11" t="str">
        <x:v>688382.SH</x:v>
      </x:c>
      <x:c r="C915" s="11" t="str">
        <x:v>sharePayment</x:v>
      </x:c>
      <x:c r="D915" s="39" t="n">
        <x:v>6.17953421</x:v>
      </x:c>
      <x:c r="E915" s="11" t="str">
        <x:v>CNY</x:v>
      </x:c>
      <x:c r="F915" s="11" t="str">
        <x:v>million</x:v>
      </x:c>
      <x:c r="G915" s="11" t="str">
        <x:v>2026H1</x:v>
      </x:c>
      <x:c r="H915" s="11" t="str">
        <x:v>2026-08-21</x:v>
      </x:c>
      <x:c r="I915" s="11" t="str">
        <x:v>https://static.cninfo.com.cn/finalpage/2026-08-21/1225486647.PDF</x:v>
      </x:c>
      <x:c r="J915" s="11" t="str"/>
      <x:c r="K915" s="11" t="str">
        <x:v>待核</x:v>
      </x:c>
      <x:c r="L915" s="11" t="str">
        <x:v>精确发布时间未核验</x:v>
      </x:c>
      <x:c r="M915" s="11" t="str">
        <x:v>截止日前日期，盘中时分未核</x:v>
      </x:c>
    </x:row>
    <x:row r="916" ht="23" customHeight="1">
      <x:c r="A916" s="11" t="str">
        <x:v>I004</x:v>
      </x:c>
      <x:c r="B916" s="11" t="str">
        <x:v>688382.SH</x:v>
      </x:c>
      <x:c r="C916" s="11" t="str">
        <x:v>payableDecreaseCash</x:v>
      </x:c>
      <x:c r="D916" s="39" t="n">
        <x:v>-48.35184169</x:v>
      </x:c>
      <x:c r="E916" s="11" t="str">
        <x:v>CNY</x:v>
      </x:c>
      <x:c r="F916" s="11" t="str">
        <x:v>million</x:v>
      </x:c>
      <x:c r="G916" s="11" t="str">
        <x:v>2026H1</x:v>
      </x:c>
      <x:c r="H916" s="11" t="str">
        <x:v>2026-08-21</x:v>
      </x:c>
      <x:c r="I916" s="11" t="str">
        <x:v>https://static.cninfo.com.cn/finalpage/2026-08-21/1225486647.PDF</x:v>
      </x:c>
      <x:c r="J916" s="11" t="str"/>
      <x:c r="K916" s="11" t="str">
        <x:v>待核</x:v>
      </x:c>
      <x:c r="L916" s="11" t="str">
        <x:v>精确发布时间未核验</x:v>
      </x:c>
      <x:c r="M916" s="11" t="str">
        <x:v>截止日前日期，盘中时分未核</x:v>
      </x:c>
    </x:row>
    <x:row r="917" ht="23" customHeight="1">
      <x:c r="A917" s="11" t="str">
        <x:v>I004</x:v>
      </x:c>
      <x:c r="B917" s="11" t="str">
        <x:v>688382.SH</x:v>
      </x:c>
      <x:c r="C917" s="11" t="str">
        <x:v>IPOListingCostCash</x:v>
      </x:c>
      <x:c r="D917" s="39" t="n">
        <x:v>18.0483525</x:v>
      </x:c>
      <x:c r="E917" s="11" t="str">
        <x:v>CNY</x:v>
      </x:c>
      <x:c r="F917" s="11" t="str">
        <x:v>million</x:v>
      </x:c>
      <x:c r="G917" s="11" t="str">
        <x:v>2026H1</x:v>
      </x:c>
      <x:c r="H917" s="11" t="str">
        <x:v>2026-08-21</x:v>
      </x:c>
      <x:c r="I917" s="11" t="str">
        <x:v>https://static.cninfo.com.cn/finalpage/2026-08-21/1225486647.PDF</x:v>
      </x:c>
      <x:c r="J917" s="11" t="str"/>
      <x:c r="K917" s="11" t="str">
        <x:v>待核</x:v>
      </x:c>
      <x:c r="L917" s="11" t="str">
        <x:v>精确发布时间未核验</x:v>
      </x:c>
      <x:c r="M917" s="11" t="str">
        <x:v>截止日前日期，盘中时分未核</x:v>
      </x:c>
    </x:row>
    <x:row r="918" ht="23" customHeight="1">
      <x:c r="A918" s="11" t="str">
        <x:v>I074</x:v>
      </x:c>
      <x:c r="B918" s="11" t="str">
        <x:v>06618.HK</x:v>
      </x:c>
      <x:c r="C918" s="11" t="str">
        <x:v>revenue</x:v>
      </x:c>
      <x:c r="D918" s="39" t="n">
        <x:v>73441.487</x:v>
      </x:c>
      <x:c r="E918" s="11" t="str">
        <x:v>CNY</x:v>
      </x:c>
      <x:c r="F918" s="11" t="str">
        <x:v>CNY million</x:v>
      </x:c>
      <x:c r="G918" s="11" t="str">
        <x:v>FY2025</x:v>
      </x:c>
      <x:c r="H918" s="11" t="str">
        <x:v>年报文件2026-04-24；全年业绩批准/CEO信2026-03-05</x:v>
      </x:c>
      <x:c r="I918" s="11" t="str">
        <x:v>https://manager.wisdomir.com/files/586/2026/0424/20260424171501_75649801_en.pdf</x:v>
      </x:c>
      <x:c r="J918" s="11" t="str">
        <x:v>现金利息收到在OCF，支付利息及租赁本金在融资活动另扣；现金代理非可无条件分配自由现金；reported input</x:v>
      </x:c>
      <x:c r="K918" s="11" t="str">
        <x:v>待核</x:v>
      </x:c>
      <x:c r="L918" s="11" t="str">
        <x:v>精确发布时间未核验</x:v>
      </x:c>
      <x:c r="M918" s="11" t="str">
        <x:v>公开日期缺失待核</x:v>
      </x:c>
    </x:row>
    <x:row r="919" ht="23" customHeight="1">
      <x:c r="A919" s="11" t="str">
        <x:v>I074</x:v>
      </x:c>
      <x:c r="B919" s="11" t="str">
        <x:v>06618.HK</x:v>
      </x:c>
      <x:c r="C919" s="11" t="str">
        <x:v>revenue2024</x:v>
      </x:c>
      <x:c r="D919" s="39" t="n">
        <x:v>58159.881</x:v>
      </x:c>
      <x:c r="E919" s="11" t="str">
        <x:v>CNY</x:v>
      </x:c>
      <x:c r="F919" s="11" t="str">
        <x:v>CNY million</x:v>
      </x:c>
      <x:c r="G919" s="11" t="str">
        <x:v>FY2025</x:v>
      </x:c>
      <x:c r="H919" s="11" t="str">
        <x:v>年报文件2026-04-24；全年业绩批准/CEO信2026-03-05</x:v>
      </x:c>
      <x:c r="I919" s="11" t="str">
        <x:v>https://manager.wisdomir.com/files/586/2026/0424/20260424171501_75649801_en.pdf</x:v>
      </x:c>
      <x:c r="J919" s="11" t="str">
        <x:v>现金利息收到在OCF，支付利息及租赁本金在融资活动另扣；现金代理非可无条件分配自由现金；reported input</x:v>
      </x:c>
      <x:c r="K919" s="11" t="str">
        <x:v>待核</x:v>
      </x:c>
      <x:c r="L919" s="11" t="str">
        <x:v>精确发布时间未核验</x:v>
      </x:c>
      <x:c r="M919" s="11" t="str">
        <x:v>公开日期缺失待核</x:v>
      </x:c>
    </x:row>
    <x:row r="920" ht="23" customHeight="1">
      <x:c r="A920" s="11" t="str">
        <x:v>I074</x:v>
      </x:c>
      <x:c r="B920" s="11" t="str">
        <x:v>06618.HK</x:v>
      </x:c>
      <x:c r="C920" s="11" t="str">
        <x:v>revenue2023</x:v>
      </x:c>
      <x:c r="D920" s="39" t="n">
        <x:v>53529.941</x:v>
      </x:c>
      <x:c r="E920" s="11" t="str">
        <x:v>CNY</x:v>
      </x:c>
      <x:c r="F920" s="11" t="str">
        <x:v>CNY million</x:v>
      </x:c>
      <x:c r="G920" s="11" t="str">
        <x:v>FY2025</x:v>
      </x:c>
      <x:c r="H920" s="11" t="str">
        <x:v>年报文件2026-04-24；全年业绩批准/CEO信2026-03-05</x:v>
      </x:c>
      <x:c r="I920" s="11" t="str">
        <x:v>https://manager.wisdomir.com/files/586/2026/0424/20260424171501_75649801_en.pdf</x:v>
      </x:c>
      <x:c r="J920" s="11" t="str">
        <x:v>现金利息收到在OCF，支付利息及租赁本金在融资活动另扣；现金代理非可无条件分配自由现金；reported input</x:v>
      </x:c>
      <x:c r="K920" s="11" t="str">
        <x:v>待核</x:v>
      </x:c>
      <x:c r="L920" s="11" t="str">
        <x:v>精确发布时间未核验</x:v>
      </x:c>
      <x:c r="M920" s="11" t="str">
        <x:v>公开日期缺失待核</x:v>
      </x:c>
    </x:row>
    <x:row r="921" ht="23" customHeight="1">
      <x:c r="A921" s="11" t="str">
        <x:v>I074</x:v>
      </x:c>
      <x:c r="B921" s="11" t="str">
        <x:v>06618.HK</x:v>
      </x:c>
      <x:c r="C921" s="11" t="str">
        <x:v>products</x:v>
      </x:c>
      <x:c r="D921" s="39" t="n">
        <x:v>60884.805</x:v>
      </x:c>
      <x:c r="E921" s="11" t="str">
        <x:v>CNY</x:v>
      </x:c>
      <x:c r="F921" s="11" t="str">
        <x:v>CNY million</x:v>
      </x:c>
      <x:c r="G921" s="11" t="str">
        <x:v>FY2025</x:v>
      </x:c>
      <x:c r="H921" s="11" t="str">
        <x:v>年报文件2026-04-24；全年业绩批准/CEO信2026-03-05</x:v>
      </x:c>
      <x:c r="I921" s="11" t="str">
        <x:v>https://manager.wisdomir.com/files/586/2026/0424/20260424171501_75649801_en.pdf</x:v>
      </x:c>
      <x:c r="J921" s="11" t="str">
        <x:v>现金利息收到在OCF，支付利息及租赁本金在融资活动另扣；现金代理非可无条件分配自由现金；reported input</x:v>
      </x:c>
      <x:c r="K921" s="11" t="str">
        <x:v>待核</x:v>
      </x:c>
      <x:c r="L921" s="11" t="str">
        <x:v>精确发布时间未核验</x:v>
      </x:c>
      <x:c r="M921" s="11" t="str">
        <x:v>公开日期缺失待核</x:v>
      </x:c>
    </x:row>
    <x:row r="922" ht="23" customHeight="1">
      <x:c r="A922" s="11" t="str">
        <x:v>I074</x:v>
      </x:c>
      <x:c r="B922" s="11" t="str">
        <x:v>06618.HK</x:v>
      </x:c>
      <x:c r="C922" s="11" t="str">
        <x:v>services</x:v>
      </x:c>
      <x:c r="D922" s="39" t="n">
        <x:v>12556.682</x:v>
      </x:c>
      <x:c r="E922" s="11" t="str">
        <x:v>CNY</x:v>
      </x:c>
      <x:c r="F922" s="11" t="str">
        <x:v>CNY million</x:v>
      </x:c>
      <x:c r="G922" s="11" t="str">
        <x:v>FY2025</x:v>
      </x:c>
      <x:c r="H922" s="11" t="str">
        <x:v>年报文件2026-04-24；全年业绩批准/CEO信2026-03-05</x:v>
      </x:c>
      <x:c r="I922" s="11" t="str">
        <x:v>https://manager.wisdomir.com/files/586/2026/0424/20260424171501_75649801_en.pdf</x:v>
      </x:c>
      <x:c r="J922" s="11" t="str">
        <x:v>现金利息收到在OCF，支付利息及租赁本金在融资活动另扣；现金代理非可无条件分配自由现金；reported input</x:v>
      </x:c>
      <x:c r="K922" s="11" t="str">
        <x:v>待核</x:v>
      </x:c>
      <x:c r="L922" s="11" t="str">
        <x:v>精确发布时间未核验</x:v>
      </x:c>
      <x:c r="M922" s="11" t="str">
        <x:v>公开日期缺失待核</x:v>
      </x:c>
    </x:row>
    <x:row r="923" ht="23" customHeight="1">
      <x:c r="A923" s="11" t="str">
        <x:v>I074</x:v>
      </x:c>
      <x:c r="B923" s="11" t="str">
        <x:v>06618.HK</x:v>
      </x:c>
      <x:c r="C923" s="11" t="str">
        <x:v>grossProfit</x:v>
      </x:c>
      <x:c r="D923" s="39" t="n">
        <x:v>18199.162</x:v>
      </x:c>
      <x:c r="E923" s="11" t="str">
        <x:v>CNY</x:v>
      </x:c>
      <x:c r="F923" s="11" t="str">
        <x:v>CNY million</x:v>
      </x:c>
      <x:c r="G923" s="11" t="str">
        <x:v>FY2025</x:v>
      </x:c>
      <x:c r="H923" s="11" t="str">
        <x:v>年报文件2026-04-24；全年业绩批准/CEO信2026-03-05</x:v>
      </x:c>
      <x:c r="I923" s="11" t="str">
        <x:v>https://manager.wisdomir.com/files/586/2026/0424/20260424171501_75649801_en.pdf</x:v>
      </x:c>
      <x:c r="J923" s="11" t="str">
        <x:v>现金利息收到在OCF，支付利息及租赁本金在融资活动另扣；现金代理非可无条件分配自由现金；reported input</x:v>
      </x:c>
      <x:c r="K923" s="11" t="str">
        <x:v>待核</x:v>
      </x:c>
      <x:c r="L923" s="11" t="str">
        <x:v>精确发布时间未核验</x:v>
      </x:c>
      <x:c r="M923" s="11" t="str">
        <x:v>公开日期缺失待核</x:v>
      </x:c>
    </x:row>
    <x:row r="924" ht="23" customHeight="1">
      <x:c r="A924" s="11" t="str">
        <x:v>I074</x:v>
      </x:c>
      <x:c r="B924" s="11" t="str">
        <x:v>06618.HK</x:v>
      </x:c>
      <x:c r="C924" s="11" t="str">
        <x:v>fulfillment</x:v>
      </x:c>
      <x:c r="D924" s="39" t="n">
        <x:v>7619.103</x:v>
      </x:c>
      <x:c r="E924" s="11" t="str">
        <x:v>CNY</x:v>
      </x:c>
      <x:c r="F924" s="11" t="str">
        <x:v>CNY million</x:v>
      </x:c>
      <x:c r="G924" s="11" t="str">
        <x:v>FY2025</x:v>
      </x:c>
      <x:c r="H924" s="11" t="str">
        <x:v>年报文件2026-04-24；全年业绩批准/CEO信2026-03-05</x:v>
      </x:c>
      <x:c r="I924" s="11" t="str">
        <x:v>https://manager.wisdomir.com/files/586/2026/0424/20260424171501_75649801_en.pdf</x:v>
      </x:c>
      <x:c r="J924" s="11" t="str">
        <x:v>现金利息收到在OCF，支付利息及租赁本金在融资活动另扣；现金代理非可无条件分配自由现金；reported input</x:v>
      </x:c>
      <x:c r="K924" s="11" t="str">
        <x:v>待核</x:v>
      </x:c>
      <x:c r="L924" s="11" t="str">
        <x:v>精确发布时间未核验</x:v>
      </x:c>
      <x:c r="M924" s="11" t="str">
        <x:v>公开日期缺失待核</x:v>
      </x:c>
    </x:row>
    <x:row r="925" ht="23" customHeight="1">
      <x:c r="A925" s="11" t="str">
        <x:v>I074</x:v>
      </x:c>
      <x:c r="B925" s="11" t="str">
        <x:v>06618.HK</x:v>
      </x:c>
      <x:c r="C925" s="11" t="str">
        <x:v>sellingMarketing</x:v>
      </x:c>
      <x:c r="D925" s="39" t="n">
        <x:v>3842.618</x:v>
      </x:c>
      <x:c r="E925" s="11" t="str">
        <x:v>CNY</x:v>
      </x:c>
      <x:c r="F925" s="11" t="str">
        <x:v>CNY million</x:v>
      </x:c>
      <x:c r="G925" s="11" t="str">
        <x:v>FY2025</x:v>
      </x:c>
      <x:c r="H925" s="11" t="str">
        <x:v>年报文件2026-04-24；全年业绩批准/CEO信2026-03-05</x:v>
      </x:c>
      <x:c r="I925" s="11" t="str">
        <x:v>https://manager.wisdomir.com/files/586/2026/0424/20260424171501_75649801_en.pdf</x:v>
      </x:c>
      <x:c r="J925" s="11" t="str">
        <x:v>现金利息收到在OCF，支付利息及租赁本金在融资活动另扣；现金代理非可无条件分配自由现金；reported input</x:v>
      </x:c>
      <x:c r="K925" s="11" t="str">
        <x:v>待核</x:v>
      </x:c>
      <x:c r="L925" s="11" t="str">
        <x:v>精确发布时间未核验</x:v>
      </x:c>
      <x:c r="M925" s="11" t="str">
        <x:v>公开日期缺失待核</x:v>
      </x:c>
    </x:row>
    <x:row r="926" ht="23" customHeight="1">
      <x:c r="A926" s="11" t="str">
        <x:v>I074</x:v>
      </x:c>
      <x:c r="B926" s="11" t="str">
        <x:v>06618.HK</x:v>
      </x:c>
      <x:c r="C926" s="11" t="str">
        <x:v>RD</x:v>
      </x:c>
      <x:c r="D926" s="39" t="n">
        <x:v>1634</x:v>
      </x:c>
      <x:c r="E926" s="11" t="str">
        <x:v>CNY</x:v>
      </x:c>
      <x:c r="F926" s="11" t="str">
        <x:v>CNY million</x:v>
      </x:c>
      <x:c r="G926" s="11" t="str">
        <x:v>FY2025</x:v>
      </x:c>
      <x:c r="H926" s="11" t="str">
        <x:v>年报文件2026-04-24；全年业绩批准/CEO信2026-03-05</x:v>
      </x:c>
      <x:c r="I926" s="11" t="str">
        <x:v>https://manager.wisdomir.com/files/586/2026/0424/20260424171501_75649801_en.pdf</x:v>
      </x:c>
      <x:c r="J926" s="11" t="str">
        <x:v>现金利息收到在OCF，支付利息及租赁本金在融资活动另扣；现金代理非可无条件分配自由现金；reported input</x:v>
      </x:c>
      <x:c r="K926" s="11" t="str">
        <x:v>待核</x:v>
      </x:c>
      <x:c r="L926" s="11" t="str">
        <x:v>精确发布时间未核验</x:v>
      </x:c>
      <x:c r="M926" s="11" t="str">
        <x:v>公开日期缺失待核</x:v>
      </x:c>
    </x:row>
    <x:row r="927" ht="23" customHeight="1">
      <x:c r="A927" s="11" t="str">
        <x:v>I074</x:v>
      </x:c>
      <x:c r="B927" s="11" t="str">
        <x:v>06618.HK</x:v>
      </x:c>
      <x:c r="C927" s="11" t="str">
        <x:v>generalAdmin</x:v>
      </x:c>
      <x:c r="D927" s="39" t="n">
        <x:v>1162.659</x:v>
      </x:c>
      <x:c r="E927" s="11" t="str">
        <x:v>CNY</x:v>
      </x:c>
      <x:c r="F927" s="11" t="str">
        <x:v>CNY million</x:v>
      </x:c>
      <x:c r="G927" s="11" t="str">
        <x:v>FY2025</x:v>
      </x:c>
      <x:c r="H927" s="11" t="str">
        <x:v>年报文件2026-04-24；全年业绩批准/CEO信2026-03-05</x:v>
      </x:c>
      <x:c r="I927" s="11" t="str">
        <x:v>https://manager.wisdomir.com/files/586/2026/0424/20260424171501_75649801_en.pdf</x:v>
      </x:c>
      <x:c r="J927" s="11" t="str">
        <x:v>现金利息收到在OCF，支付利息及租赁本金在融资活动另扣；现金代理非可无条件分配自由现金；reported input</x:v>
      </x:c>
      <x:c r="K927" s="11" t="str">
        <x:v>待核</x:v>
      </x:c>
      <x:c r="L927" s="11" t="str">
        <x:v>精确发布时间未核验</x:v>
      </x:c>
      <x:c r="M927" s="11" t="str">
        <x:v>公开日期缺失待核</x:v>
      </x:c>
    </x:row>
    <x:row r="928" ht="23" customHeight="1">
      <x:c r="A928" s="11" t="str">
        <x:v>I074</x:v>
      </x:c>
      <x:c r="B928" s="11" t="str">
        <x:v>06618.HK</x:v>
      </x:c>
      <x:c r="C928" s="11" t="str">
        <x:v>coreEBITCalculated</x:v>
      </x:c>
      <x:c r="D928" s="39" t="n">
        <x:v>3940.782</x:v>
      </x:c>
      <x:c r="E928" s="11" t="str">
        <x:v>CNY</x:v>
      </x:c>
      <x:c r="F928" s="11" t="str">
        <x:v>CNY million</x:v>
      </x:c>
      <x:c r="G928" s="11" t="str">
        <x:v>FY2025</x:v>
      </x:c>
      <x:c r="H928" s="11" t="str">
        <x:v>年报文件2026-04-24；全年业绩批准/CEO信2026-03-05</x:v>
      </x:c>
      <x:c r="I928" s="11" t="str">
        <x:v>https://manager.wisdomir.com/files/586/2026/0424/20260424171501_75649801_en.pdf</x:v>
      </x:c>
      <x:c r="J928" s="11" t="str">
        <x:v>现金利息收到在OCF，支付利息及租赁本金在融资活动另扣；现金代理非可无条件分配自由现金；reported input calculation</x:v>
      </x:c>
      <x:c r="K928" s="11" t="str">
        <x:v>待核</x:v>
      </x:c>
      <x:c r="L928" s="11" t="str">
        <x:v>精确发布时间未核验</x:v>
      </x:c>
      <x:c r="M928" s="11" t="str">
        <x:v>公开日期缺失待核</x:v>
      </x:c>
    </x:row>
    <x:row r="929" ht="23" customHeight="1">
      <x:c r="A929" s="11" t="str">
        <x:v>I074</x:v>
      </x:c>
      <x:c r="B929" s="11" t="str">
        <x:v>06618.HK</x:v>
      </x:c>
      <x:c r="C929" s="11" t="str">
        <x:v>otherIncomeNet</x:v>
      </x:c>
      <x:c r="D929" s="39" t="n">
        <x:v>769.613</x:v>
      </x:c>
      <x:c r="E929" s="11" t="str">
        <x:v>CNY</x:v>
      </x:c>
      <x:c r="F929" s="11" t="str">
        <x:v>CNY million</x:v>
      </x:c>
      <x:c r="G929" s="11" t="str">
        <x:v>FY2025</x:v>
      </x:c>
      <x:c r="H929" s="11" t="str">
        <x:v>年报文件2026-04-24；全年业绩批准/CEO信2026-03-05</x:v>
      </x:c>
      <x:c r="I929" s="11" t="str">
        <x:v>https://manager.wisdomir.com/files/586/2026/0424/20260424171501_75649801_en.pdf</x:v>
      </x:c>
      <x:c r="J929" s="11" t="str">
        <x:v>现金利息收到在OCF，支付利息及租赁本金在融资活动另扣；现金代理非可无条件分配自由现金；reported input</x:v>
      </x:c>
      <x:c r="K929" s="11" t="str">
        <x:v>待核</x:v>
      </x:c>
      <x:c r="L929" s="11" t="str">
        <x:v>精确发布时间未核验</x:v>
      </x:c>
      <x:c r="M929" s="11" t="str">
        <x:v>公开日期缺失待核</x:v>
      </x:c>
    </x:row>
    <x:row r="930" ht="23" customHeight="1">
      <x:c r="A930" s="11" t="str">
        <x:v>I074</x:v>
      </x:c>
      <x:c r="B930" s="11" t="str">
        <x:v>06618.HK</x:v>
      </x:c>
      <x:c r="C930" s="11" t="str">
        <x:v>financeIncome</x:v>
      </x:c>
      <x:c r="D930" s="39" t="n">
        <x:v>1537.534</x:v>
      </x:c>
      <x:c r="E930" s="11" t="str">
        <x:v>CNY</x:v>
      </x:c>
      <x:c r="F930" s="11" t="str">
        <x:v>CNY million</x:v>
      </x:c>
      <x:c r="G930" s="11" t="str">
        <x:v>FY2025</x:v>
      </x:c>
      <x:c r="H930" s="11" t="str">
        <x:v>年报文件2026-04-24；全年业绩批准/CEO信2026-03-05</x:v>
      </x:c>
      <x:c r="I930" s="11" t="str">
        <x:v>https://manager.wisdomir.com/files/586/2026/0424/20260424171501_75649801_en.pdf</x:v>
      </x:c>
      <x:c r="J930" s="11" t="str">
        <x:v>现金利息收到在OCF，支付利息及租赁本金在融资活动另扣；现金代理非可无条件分配自由现金；reported input</x:v>
      </x:c>
      <x:c r="K930" s="11" t="str">
        <x:v>待核</x:v>
      </x:c>
      <x:c r="L930" s="11" t="str">
        <x:v>精确发布时间未核验</x:v>
      </x:c>
      <x:c r="M930" s="11" t="str">
        <x:v>公开日期缺失待核</x:v>
      </x:c>
    </x:row>
    <x:row r="931" ht="23" customHeight="1">
      <x:c r="A931" s="11" t="str">
        <x:v>I074</x:v>
      </x:c>
      <x:c r="B931" s="11" t="str">
        <x:v>06618.HK</x:v>
      </x:c>
      <x:c r="C931" s="11" t="str">
        <x:v>financeCosts</x:v>
      </x:c>
      <x:c r="D931" s="39" t="n">
        <x:v>11.098</x:v>
      </x:c>
      <x:c r="E931" s="11" t="str">
        <x:v>CNY</x:v>
      </x:c>
      <x:c r="F931" s="11" t="str">
        <x:v>CNY million</x:v>
      </x:c>
      <x:c r="G931" s="11" t="str">
        <x:v>FY2025</x:v>
      </x:c>
      <x:c r="H931" s="11" t="str">
        <x:v>年报文件2026-04-24；全年业绩批准/CEO信2026-03-05</x:v>
      </x:c>
      <x:c r="I931" s="11" t="str">
        <x:v>https://manager.wisdomir.com/files/586/2026/0424/20260424171501_75649801_en.pdf</x:v>
      </x:c>
      <x:c r="J931" s="11" t="str">
        <x:v>现金利息收到在OCF，支付利息及租赁本金在融资活动另扣；现金代理非可无条件分配自由现金；reported input</x:v>
      </x:c>
      <x:c r="K931" s="11" t="str">
        <x:v>待核</x:v>
      </x:c>
      <x:c r="L931" s="11" t="str">
        <x:v>精确发布时间未核验</x:v>
      </x:c>
      <x:c r="M931" s="11" t="str">
        <x:v>公开日期缺失待核</x:v>
      </x:c>
    </x:row>
    <x:row r="932" ht="23" customHeight="1">
      <x:c r="A932" s="11" t="str">
        <x:v>I074</x:v>
      </x:c>
      <x:c r="B932" s="11" t="str">
        <x:v>06618.HK</x:v>
      </x:c>
      <x:c r="C932" s="11" t="str">
        <x:v>financialImpairment</x:v>
      </x:c>
      <x:c r="D932" s="39" t="n">
        <x:v>142.786</x:v>
      </x:c>
      <x:c r="E932" s="11" t="str">
        <x:v>CNY</x:v>
      </x:c>
      <x:c r="F932" s="11" t="str">
        <x:v>CNY million</x:v>
      </x:c>
      <x:c r="G932" s="11" t="str">
        <x:v>FY2025</x:v>
      </x:c>
      <x:c r="H932" s="11" t="str">
        <x:v>年报文件2026-04-24；全年业绩批准/CEO信2026-03-05</x:v>
      </x:c>
      <x:c r="I932" s="11" t="str">
        <x:v>https://manager.wisdomir.com/files/586/2026/0424/20260424171501_75649801_en.pdf</x:v>
      </x:c>
      <x:c r="J932" s="11" t="str">
        <x:v>现金利息收到在OCF，支付利息及租赁本金在融资活动另扣；现金代理非可无条件分配自由现金；reported input</x:v>
      </x:c>
      <x:c r="K932" s="11" t="str">
        <x:v>待核</x:v>
      </x:c>
      <x:c r="L932" s="11" t="str">
        <x:v>精确发布时间未核验</x:v>
      </x:c>
      <x:c r="M932" s="11" t="str">
        <x:v>公开日期缺失待核</x:v>
      </x:c>
    </x:row>
    <x:row r="933" ht="23" customHeight="1">
      <x:c r="A933" s="11" t="str">
        <x:v>I074</x:v>
      </x:c>
      <x:c r="B933" s="11" t="str">
        <x:v>06618.HK</x:v>
      </x:c>
      <x:c r="C933" s="11" t="str">
        <x:v>associatesJVLoss</x:v>
      </x:c>
      <x:c r="D933" s="39" t="n">
        <x:v>64.05</x:v>
      </x:c>
      <x:c r="E933" s="11" t="str">
        <x:v>CNY</x:v>
      </x:c>
      <x:c r="F933" s="11" t="str">
        <x:v>CNY million</x:v>
      </x:c>
      <x:c r="G933" s="11" t="str">
        <x:v>FY2025</x:v>
      </x:c>
      <x:c r="H933" s="11" t="str">
        <x:v>年报文件2026-04-24；全年业绩批准/CEO信2026-03-05</x:v>
      </x:c>
      <x:c r="I933" s="11" t="str">
        <x:v>https://manager.wisdomir.com/files/586/2026/0424/20260424171501_75649801_en.pdf</x:v>
      </x:c>
      <x:c r="J933" s="11" t="str">
        <x:v>现金利息收到在OCF，支付利息及租赁本金在融资活动另扣；现金代理非可无条件分配自由现金；reported input</x:v>
      </x:c>
      <x:c r="K933" s="11" t="str">
        <x:v>待核</x:v>
      </x:c>
      <x:c r="L933" s="11" t="str">
        <x:v>精确发布时间未核验</x:v>
      </x:c>
      <x:c r="M933" s="11" t="str">
        <x:v>公开日期缺失待核</x:v>
      </x:c>
    </x:row>
    <x:row r="934" ht="23" customHeight="1">
      <x:c r="A934" s="11" t="str">
        <x:v>I074</x:v>
      </x:c>
      <x:c r="B934" s="11" t="str">
        <x:v>06618.HK</x:v>
      </x:c>
      <x:c r="C934" s="11" t="str">
        <x:v>tax</x:v>
      </x:c>
      <x:c r="D934" s="39" t="n">
        <x:v>662.886</x:v>
      </x:c>
      <x:c r="E934" s="11" t="str">
        <x:v>CNY</x:v>
      </x:c>
      <x:c r="F934" s="11" t="str">
        <x:v>CNY million</x:v>
      </x:c>
      <x:c r="G934" s="11" t="str">
        <x:v>FY2025</x:v>
      </x:c>
      <x:c r="H934" s="11" t="str">
        <x:v>年报文件2026-04-24；全年业绩批准/CEO信2026-03-05</x:v>
      </x:c>
      <x:c r="I934" s="11" t="str">
        <x:v>https://manager.wisdomir.com/files/586/2026/0424/20260424171501_75649801_en.pdf</x:v>
      </x:c>
      <x:c r="J934" s="11" t="str">
        <x:v>现金利息收到在OCF，支付利息及租赁本金在融资活动另扣；现金代理非可无条件分配自由现金；reported input</x:v>
      </x:c>
      <x:c r="K934" s="11" t="str">
        <x:v>待核</x:v>
      </x:c>
      <x:c r="L934" s="11" t="str">
        <x:v>精确发布时间未核验</x:v>
      </x:c>
      <x:c r="M934" s="11" t="str">
        <x:v>公开日期缺失待核</x:v>
      </x:c>
    </x:row>
    <x:row r="935" ht="23" customHeight="1">
      <x:c r="A935" s="11" t="str">
        <x:v>I074</x:v>
      </x:c>
      <x:c r="B935" s="11" t="str">
        <x:v>06618.HK</x:v>
      </x:c>
      <x:c r="C935" s="11" t="str">
        <x:v>groupProfit</x:v>
      </x:c>
      <x:c r="D935" s="39" t="n">
        <x:v>5367.109</x:v>
      </x:c>
      <x:c r="E935" s="11" t="str">
        <x:v>CNY</x:v>
      </x:c>
      <x:c r="F935" s="11" t="str">
        <x:v>CNY million</x:v>
      </x:c>
      <x:c r="G935" s="11" t="str">
        <x:v>FY2025</x:v>
      </x:c>
      <x:c r="H935" s="11" t="str">
        <x:v>年报文件2026-04-24；全年业绩批准/CEO信2026-03-05</x:v>
      </x:c>
      <x:c r="I935" s="11" t="str">
        <x:v>https://manager.wisdomir.com/files/586/2026/0424/20260424171501_75649801_en.pdf</x:v>
      </x:c>
      <x:c r="J935" s="11" t="str">
        <x:v>现金利息收到在OCF，支付利息及租赁本金在融资活动另扣；现金代理非可无条件分配自由现金；reported input</x:v>
      </x:c>
      <x:c r="K935" s="11" t="str">
        <x:v>待核</x:v>
      </x:c>
      <x:c r="L935" s="11" t="str">
        <x:v>精确发布时间未核验</x:v>
      </x:c>
      <x:c r="M935" s="11" t="str">
        <x:v>公开日期缺失待核</x:v>
      </x:c>
    </x:row>
    <x:row r="936" ht="23" customHeight="1">
      <x:c r="A936" s="11" t="str">
        <x:v>I074</x:v>
      </x:c>
      <x:c r="B936" s="11" t="str">
        <x:v>06618.HK</x:v>
      </x:c>
      <x:c r="C936" s="11" t="str">
        <x:v>ownerProfit</x:v>
      </x:c>
      <x:c r="D936" s="39" t="n">
        <x:v>5375.405</x:v>
      </x:c>
      <x:c r="E936" s="11" t="str">
        <x:v>CNY</x:v>
      </x:c>
      <x:c r="F936" s="11" t="str">
        <x:v>CNY million</x:v>
      </x:c>
      <x:c r="G936" s="11" t="str">
        <x:v>FY2025</x:v>
      </x:c>
      <x:c r="H936" s="11" t="str">
        <x:v>年报文件2026-04-24；全年业绩批准/CEO信2026-03-05</x:v>
      </x:c>
      <x:c r="I936" s="11" t="str">
        <x:v>https://manager.wisdomir.com/files/586/2026/0424/20260424171501_75649801_en.pdf</x:v>
      </x:c>
      <x:c r="J936" s="11" t="str">
        <x:v>现金利息收到在OCF，支付利息及租赁本金在融资活动另扣；现金代理非可无条件分配自由现金；reported input</x:v>
      </x:c>
      <x:c r="K936" s="11" t="str">
        <x:v>待核</x:v>
      </x:c>
      <x:c r="L936" s="11" t="str">
        <x:v>精确发布时间未核验</x:v>
      </x:c>
      <x:c r="M936" s="11" t="str">
        <x:v>公开日期缺失待核</x:v>
      </x:c>
    </x:row>
    <x:row r="937" ht="23" customHeight="1">
      <x:c r="A937" s="11" t="str">
        <x:v>I074</x:v>
      </x:c>
      <x:c r="B937" s="11" t="str">
        <x:v>06618.HK</x:v>
      </x:c>
      <x:c r="C937" s="11" t="str">
        <x:v>ownerProfit2024</x:v>
      </x:c>
      <x:c r="D937" s="39" t="n">
        <x:v>4161.844</x:v>
      </x:c>
      <x:c r="E937" s="11" t="str">
        <x:v>CNY</x:v>
      </x:c>
      <x:c r="F937" s="11" t="str">
        <x:v>CNY million</x:v>
      </x:c>
      <x:c r="G937" s="11" t="str">
        <x:v>FY2025</x:v>
      </x:c>
      <x:c r="H937" s="11" t="str">
        <x:v>年报文件2026-04-24；全年业绩批准/CEO信2026-03-05</x:v>
      </x:c>
      <x:c r="I937" s="11" t="str">
        <x:v>https://manager.wisdomir.com/files/586/2026/0424/20260424171501_75649801_en.pdf</x:v>
      </x:c>
      <x:c r="J937" s="11" t="str">
        <x:v>现金利息收到在OCF，支付利息及租赁本金在融资活动另扣；现金代理非可无条件分配自由现金；reported input</x:v>
      </x:c>
      <x:c r="K937" s="11" t="str">
        <x:v>待核</x:v>
      </x:c>
      <x:c r="L937" s="11" t="str">
        <x:v>精确发布时间未核验</x:v>
      </x:c>
      <x:c r="M937" s="11" t="str">
        <x:v>公开日期缺失待核</x:v>
      </x:c>
    </x:row>
    <x:row r="938" ht="23" customHeight="1">
      <x:c r="A938" s="11" t="str">
        <x:v>I074</x:v>
      </x:c>
      <x:c r="B938" s="11" t="str">
        <x:v>06618.HK</x:v>
      </x:c>
      <x:c r="C938" s="11" t="str">
        <x:v>ownerProfit2023</x:v>
      </x:c>
      <x:c r="D938" s="39" t="n">
        <x:v>2141.841</x:v>
      </x:c>
      <x:c r="E938" s="11" t="str">
        <x:v>CNY</x:v>
      </x:c>
      <x:c r="F938" s="11" t="str">
        <x:v>CNY million</x:v>
      </x:c>
      <x:c r="G938" s="11" t="str">
        <x:v>FY2025</x:v>
      </x:c>
      <x:c r="H938" s="11" t="str">
        <x:v>年报文件2026-04-24；全年业绩批准/CEO信2026-03-05</x:v>
      </x:c>
      <x:c r="I938" s="11" t="str">
        <x:v>https://manager.wisdomir.com/files/586/2026/0424/20260424171501_75649801_en.pdf</x:v>
      </x:c>
      <x:c r="J938" s="11" t="str">
        <x:v>现金利息收到在OCF，支付利息及租赁本金在融资活动另扣；现金代理非可无条件分配自由现金；reported input</x:v>
      </x:c>
      <x:c r="K938" s="11" t="str">
        <x:v>待核</x:v>
      </x:c>
      <x:c r="L938" s="11" t="str">
        <x:v>精确发布时间未核验</x:v>
      </x:c>
      <x:c r="M938" s="11" t="str">
        <x:v>公开日期缺失待核</x:v>
      </x:c>
    </x:row>
    <x:row r="939" ht="23" customHeight="1">
      <x:c r="A939" s="11" t="str">
        <x:v>I074</x:v>
      </x:c>
      <x:c r="B939" s="11" t="str">
        <x:v>06618.HK</x:v>
      </x:c>
      <x:c r="C939" s="11" t="str">
        <x:v>adjustedGroupProfit</x:v>
      </x:c>
      <x:c r="D939" s="39" t="n">
        <x:v>6533.004</x:v>
      </x:c>
      <x:c r="E939" s="11" t="str">
        <x:v>CNY</x:v>
      </x:c>
      <x:c r="F939" s="11" t="str">
        <x:v>CNY million</x:v>
      </x:c>
      <x:c r="G939" s="11" t="str">
        <x:v>FY2025</x:v>
      </x:c>
      <x:c r="H939" s="11" t="str">
        <x:v>年报文件2026-04-24；全年业绩批准/CEO信2026-03-05</x:v>
      </x:c>
      <x:c r="I939" s="11" t="str">
        <x:v>https://manager.wisdomir.com/files/586/2026/0424/20260424171501_75649801_en.pdf</x:v>
      </x:c>
      <x:c r="J939" s="11" t="str">
        <x:v>现金利息收到在OCF，支付利息及租赁本金在融资活动另扣；现金代理非可无条件分配自由现金；reported input</x:v>
      </x:c>
      <x:c r="K939" s="11" t="str">
        <x:v>待核</x:v>
      </x:c>
      <x:c r="L939" s="11" t="str">
        <x:v>精确发布时间未核验</x:v>
      </x:c>
      <x:c r="M939" s="11" t="str">
        <x:v>公开日期缺失待核</x:v>
      </x:c>
    </x:row>
    <x:row r="940" ht="23" customHeight="1">
      <x:c r="A940" s="11" t="str">
        <x:v>I074</x:v>
      </x:c>
      <x:c r="B940" s="11" t="str">
        <x:v>06618.HK</x:v>
      </x:c>
      <x:c r="C940" s="11" t="str">
        <x:v>SBC</x:v>
      </x:c>
      <x:c r="D940" s="39" t="n">
        <x:v>590.724</x:v>
      </x:c>
      <x:c r="E940" s="11" t="str">
        <x:v>CNY</x:v>
      </x:c>
      <x:c r="F940" s="11" t="str">
        <x:v>CNY million</x:v>
      </x:c>
      <x:c r="G940" s="11" t="str">
        <x:v>FY2025</x:v>
      </x:c>
      <x:c r="H940" s="11" t="str">
        <x:v>年报文件2026-04-24；全年业绩批准/CEO信2026-03-05</x:v>
      </x:c>
      <x:c r="I940" s="11" t="str">
        <x:v>https://manager.wisdomir.com/files/586/2026/0424/20260424171501_75649801_en.pdf</x:v>
      </x:c>
      <x:c r="J940" s="11" t="str">
        <x:v>现金利息收到在OCF，支付利息及租赁本金在融资活动另扣；现金代理非可无条件分配自由现金；reported input</x:v>
      </x:c>
      <x:c r="K940" s="11" t="str">
        <x:v>待核</x:v>
      </x:c>
      <x:c r="L940" s="11" t="str">
        <x:v>精确发布时间未核验</x:v>
      </x:c>
      <x:c r="M940" s="11" t="str">
        <x:v>公开日期缺失待核</x:v>
      </x:c>
    </x:row>
    <x:row r="941" ht="23" customHeight="1">
      <x:c r="A941" s="11" t="str">
        <x:v>I074</x:v>
      </x:c>
      <x:c r="B941" s="11" t="str">
        <x:v>06618.HK</x:v>
      </x:c>
      <x:c r="C941" s="11" t="str">
        <x:v>investmentLossAdjustment</x:v>
      </x:c>
      <x:c r="D941" s="39" t="n">
        <x:v>842.702</x:v>
      </x:c>
      <x:c r="E941" s="11" t="str">
        <x:v>CNY</x:v>
      </x:c>
      <x:c r="F941" s="11" t="str">
        <x:v>CNY million</x:v>
      </x:c>
      <x:c r="G941" s="11" t="str">
        <x:v>FY2025</x:v>
      </x:c>
      <x:c r="H941" s="11" t="str">
        <x:v>年报文件2026-04-24；全年业绩批准/CEO信2026-03-05</x:v>
      </x:c>
      <x:c r="I941" s="11" t="str">
        <x:v>https://manager.wisdomir.com/files/586/2026/0424/20260424171501_75649801_en.pdf</x:v>
      </x:c>
      <x:c r="J941" s="11" t="str">
        <x:v>现金利息收到在OCF，支付利息及租赁本金在融资活动另扣；现金代理非可无条件分配自由现金；reported input</x:v>
      </x:c>
      <x:c r="K941" s="11" t="str">
        <x:v>待核</x:v>
      </x:c>
      <x:c r="L941" s="11" t="str">
        <x:v>精确发布时间未核验</x:v>
      </x:c>
      <x:c r="M941" s="11" t="str">
        <x:v>公开日期缺失待核</x:v>
      </x:c>
    </x:row>
    <x:row r="942" ht="23" customHeight="1">
      <x:c r="A942" s="11" t="str">
        <x:v>I074</x:v>
      </x:c>
      <x:c r="B942" s="11" t="str">
        <x:v>06618.HK</x:v>
      </x:c>
      <x:c r="C942" s="11" t="str">
        <x:v>adjustedTaxEffect</x:v>
      </x:c>
      <x:c r="D942" s="39" t="n">
        <x:v>-267.531</x:v>
      </x:c>
      <x:c r="E942" s="11" t="str">
        <x:v>CNY</x:v>
      </x:c>
      <x:c r="F942" s="11" t="str">
        <x:v>CNY million</x:v>
      </x:c>
      <x:c r="G942" s="11" t="str">
        <x:v>FY2025</x:v>
      </x:c>
      <x:c r="H942" s="11" t="str">
        <x:v>年报文件2026-04-24；全年业绩批准/CEO信2026-03-05</x:v>
      </x:c>
      <x:c r="I942" s="11" t="str">
        <x:v>https://manager.wisdomir.com/files/586/2026/0424/20260424171501_75649801_en.pdf</x:v>
      </x:c>
      <x:c r="J942" s="11" t="str">
        <x:v>现金利息收到在OCF，支付利息及租赁本金在融资活动另扣；现金代理非可无条件分配自由现金；reported input</x:v>
      </x:c>
      <x:c r="K942" s="11" t="str">
        <x:v>待核</x:v>
      </x:c>
      <x:c r="L942" s="11" t="str">
        <x:v>精确发布时间未核验</x:v>
      </x:c>
      <x:c r="M942" s="11" t="str">
        <x:v>公开日期缺失待核</x:v>
      </x:c>
    </x:row>
    <x:row r="943" ht="23" customHeight="1">
      <x:c r="A943" s="11" t="str">
        <x:v>I074</x:v>
      </x:c>
      <x:c r="B943" s="11" t="str">
        <x:v>06618.HK</x:v>
      </x:c>
      <x:c r="C943" s="11" t="str">
        <x:v>EPSCNY</x:v>
      </x:c>
      <x:c r="D943" s="39" t="n">
        <x:v>1.7</x:v>
      </x:c>
      <x:c r="E943" s="11" t="str">
        <x:v>CNY</x:v>
      </x:c>
      <x:c r="F943" s="11" t="str">
        <x:v>CNY per ordinary share</x:v>
      </x:c>
      <x:c r="G943" s="11" t="str">
        <x:v>FY2025</x:v>
      </x:c>
      <x:c r="H943" s="11" t="str">
        <x:v>年报文件2026-04-24；全年业绩批准/CEO信2026-03-05</x:v>
      </x:c>
      <x:c r="I943" s="11" t="str">
        <x:v>https://manager.wisdomir.com/files/586/2026/0424/20260424171501_75649801_en.pdf</x:v>
      </x:c>
      <x:c r="J943" s="11" t="str">
        <x:v>现金利息收到在OCF，支付利息及租赁本金在融资活动另扣；现金代理非可无条件分配自由现金；reported input</x:v>
      </x:c>
      <x:c r="K943" s="11" t="str">
        <x:v>待核</x:v>
      </x:c>
      <x:c r="L943" s="11" t="str">
        <x:v>精确发布时间未核验</x:v>
      </x:c>
      <x:c r="M943" s="11" t="str">
        <x:v>公开日期缺失待核</x:v>
      </x:c>
    </x:row>
    <x:row r="944" ht="23" customHeight="1">
      <x:c r="A944" s="11" t="str">
        <x:v>I074</x:v>
      </x:c>
      <x:c r="B944" s="11" t="str">
        <x:v>06618.HK</x:v>
      </x:c>
      <x:c r="C944" s="11" t="str">
        <x:v>dilutedEPSCNY</x:v>
      </x:c>
      <x:c r="D944" s="39" t="n">
        <x:v>1.68</x:v>
      </x:c>
      <x:c r="E944" s="11" t="str">
        <x:v>CNY</x:v>
      </x:c>
      <x:c r="F944" s="11" t="str">
        <x:v>CNY per ordinary share</x:v>
      </x:c>
      <x:c r="G944" s="11" t="str">
        <x:v>FY2025</x:v>
      </x:c>
      <x:c r="H944" s="11" t="str">
        <x:v>年报文件2026-04-24；全年业绩批准/CEO信2026-03-05</x:v>
      </x:c>
      <x:c r="I944" s="11" t="str">
        <x:v>https://manager.wisdomir.com/files/586/2026/0424/20260424171501_75649801_en.pdf</x:v>
      </x:c>
      <x:c r="J944" s="11" t="str">
        <x:v>现金利息收到在OCF，支付利息及租赁本金在融资活动另扣；现金代理非可无条件分配自由现金；reported input</x:v>
      </x:c>
      <x:c r="K944" s="11" t="str">
        <x:v>待核</x:v>
      </x:c>
      <x:c r="L944" s="11" t="str">
        <x:v>精确发布时间未核验</x:v>
      </x:c>
      <x:c r="M944" s="11" t="str">
        <x:v>公开日期缺失待核</x:v>
      </x:c>
    </x:row>
    <x:row r="945" ht="23" customHeight="1">
      <x:c r="A945" s="11" t="str">
        <x:v>I074</x:v>
      </x:c>
      <x:c r="B945" s="11" t="str">
        <x:v>06618.HK</x:v>
      </x:c>
      <x:c r="C945" s="11" t="str">
        <x:v>basicSharesBn</x:v>
      </x:c>
      <x:c r="D945" s="39" t="n">
        <x:v>3.163483</x:v>
      </x:c>
      <x:c r="E945" s="11" t="str">
        <x:v>CNY</x:v>
      </x:c>
      <x:c r="F945" s="11" t="str">
        <x:v>ordinary shares billion</x:v>
      </x:c>
      <x:c r="G945" s="11" t="str">
        <x:v>FY2025</x:v>
      </x:c>
      <x:c r="H945" s="11" t="str">
        <x:v>年报文件2026-04-24；全年业绩批准/CEO信2026-03-05</x:v>
      </x:c>
      <x:c r="I945" s="11" t="str">
        <x:v>https://manager.wisdomir.com/files/586/2026/0424/20260424171501_75649801_en.pdf</x:v>
      </x:c>
      <x:c r="J945" s="11" t="str">
        <x:v>现金利息收到在OCF，支付利息及租赁本金在融资活动另扣；现金代理非可无条件分配自由现金；reported input</x:v>
      </x:c>
      <x:c r="K945" s="11" t="str">
        <x:v>待核</x:v>
      </x:c>
      <x:c r="L945" s="11" t="str">
        <x:v>精确发布时间未核验</x:v>
      </x:c>
      <x:c r="M945" s="11" t="str">
        <x:v>公开日期缺失待核</x:v>
      </x:c>
    </x:row>
    <x:row r="946" ht="23" customHeight="1">
      <x:c r="A946" s="11" t="str">
        <x:v>I074</x:v>
      </x:c>
      <x:c r="B946" s="11" t="str">
        <x:v>06618.HK</x:v>
      </x:c>
      <x:c r="C946" s="11" t="str">
        <x:v>dilutedSharesBn</x:v>
      </x:c>
      <x:c r="D946" s="39" t="n">
        <x:v>3.196251</x:v>
      </x:c>
      <x:c r="E946" s="11" t="str">
        <x:v>CNY</x:v>
      </x:c>
      <x:c r="F946" s="11" t="str">
        <x:v>ordinary shares billion</x:v>
      </x:c>
      <x:c r="G946" s="11" t="str">
        <x:v>FY2025</x:v>
      </x:c>
      <x:c r="H946" s="11" t="str">
        <x:v>年报文件2026-04-24；全年业绩批准/CEO信2026-03-05</x:v>
      </x:c>
      <x:c r="I946" s="11" t="str">
        <x:v>https://manager.wisdomir.com/files/586/2026/0424/20260424171501_75649801_en.pdf</x:v>
      </x:c>
      <x:c r="J946" s="11" t="str">
        <x:v>现金利息收到在OCF，支付利息及租赁本金在融资活动另扣；现金代理非可无条件分配自由现金；reported input</x:v>
      </x:c>
      <x:c r="K946" s="11" t="str">
        <x:v>待核</x:v>
      </x:c>
      <x:c r="L946" s="11" t="str">
        <x:v>精确发布时间未核验</x:v>
      </x:c>
      <x:c r="M946" s="11" t="str">
        <x:v>公开日期缺失待核</x:v>
      </x:c>
    </x:row>
    <x:row r="947" ht="23" customHeight="1">
      <x:c r="A947" s="11" t="str">
        <x:v>I074</x:v>
      </x:c>
      <x:c r="B947" s="11" t="str">
        <x:v>06618.HK</x:v>
      </x:c>
      <x:c r="C947" s="11" t="str">
        <x:v>OCF</x:v>
      </x:c>
      <x:c r="D947" s="39" t="n">
        <x:v>10173.949</x:v>
      </x:c>
      <x:c r="E947" s="11" t="str">
        <x:v>CNY</x:v>
      </x:c>
      <x:c r="F947" s="11" t="str">
        <x:v>CNY million</x:v>
      </x:c>
      <x:c r="G947" s="11" t="str">
        <x:v>FY2025</x:v>
      </x:c>
      <x:c r="H947" s="11" t="str">
        <x:v>年报文件2026-04-24；全年业绩批准/CEO信2026-03-05</x:v>
      </x:c>
      <x:c r="I947" s="11" t="str">
        <x:v>https://manager.wisdomir.com/files/586/2026/0424/20260424171501_75649801_en.pdf</x:v>
      </x:c>
      <x:c r="J947" s="11" t="str">
        <x:v>现金利息收到在OCF，支付利息及租赁本金在融资活动另扣；现金代理非可无条件分配自由现金；reported input</x:v>
      </x:c>
      <x:c r="K947" s="11" t="str">
        <x:v>待核</x:v>
      </x:c>
      <x:c r="L947" s="11" t="str">
        <x:v>精确发布时间未核验</x:v>
      </x:c>
      <x:c r="M947" s="11" t="str">
        <x:v>公开日期缺失待核</x:v>
      </x:c>
    </x:row>
    <x:row r="948" ht="23" customHeight="1">
      <x:c r="A948" s="11" t="str">
        <x:v>I074</x:v>
      </x:c>
      <x:c r="B948" s="11" t="str">
        <x:v>06618.HK</x:v>
      </x:c>
      <x:c r="C948" s="11" t="str">
        <x:v>OCF2024</x:v>
      </x:c>
      <x:c r="D948" s="39" t="n">
        <x:v>4332.367</x:v>
      </x:c>
      <x:c r="E948" s="11" t="str">
        <x:v>CNY</x:v>
      </x:c>
      <x:c r="F948" s="11" t="str">
        <x:v>CNY million</x:v>
      </x:c>
      <x:c r="G948" s="11" t="str">
        <x:v>FY2025</x:v>
      </x:c>
      <x:c r="H948" s="11" t="str">
        <x:v>年报文件2026-04-24；全年业绩批准/CEO信2026-03-05</x:v>
      </x:c>
      <x:c r="I948" s="11" t="str">
        <x:v>https://manager.wisdomir.com/files/586/2026/0424/20260424171501_75649801_en.pdf</x:v>
      </x:c>
      <x:c r="J948" s="11" t="str">
        <x:v>现金利息收到在OCF，支付利息及租赁本金在融资活动另扣；现金代理非可无条件分配自由现金；reported input</x:v>
      </x:c>
      <x:c r="K948" s="11" t="str">
        <x:v>待核</x:v>
      </x:c>
      <x:c r="L948" s="11" t="str">
        <x:v>精确发布时间未核验</x:v>
      </x:c>
      <x:c r="M948" s="11" t="str">
        <x:v>公开日期缺失待核</x:v>
      </x:c>
    </x:row>
    <x:row r="949" ht="23" customHeight="1">
      <x:c r="A949" s="11" t="str">
        <x:v>I074</x:v>
      </x:c>
      <x:c r="B949" s="11" t="str">
        <x:v>06618.HK</x:v>
      </x:c>
      <x:c r="C949" s="11" t="str">
        <x:v>interestReceivedOCF</x:v>
      </x:c>
      <x:c r="D949" s="39" t="n">
        <x:v>1682.135</x:v>
      </x:c>
      <x:c r="E949" s="11" t="str">
        <x:v>CNY</x:v>
      </x:c>
      <x:c r="F949" s="11" t="str">
        <x:v>CNY million</x:v>
      </x:c>
      <x:c r="G949" s="11" t="str">
        <x:v>FY2025</x:v>
      </x:c>
      <x:c r="H949" s="11" t="str">
        <x:v>年报文件2026-04-24；全年业绩批准/CEO信2026-03-05</x:v>
      </x:c>
      <x:c r="I949" s="11" t="str">
        <x:v>https://manager.wisdomir.com/files/586/2026/0424/20260424171501_75649801_en.pdf</x:v>
      </x:c>
      <x:c r="J949" s="11" t="str">
        <x:v>现金利息收到在OCF，支付利息及租赁本金在融资活动另扣；现金代理非可无条件分配自由现金；reported input</x:v>
      </x:c>
      <x:c r="K949" s="11" t="str">
        <x:v>待核</x:v>
      </x:c>
      <x:c r="L949" s="11" t="str">
        <x:v>精确发布时间未核验</x:v>
      </x:c>
      <x:c r="M949" s="11" t="str">
        <x:v>公开日期缺失待核</x:v>
      </x:c>
    </x:row>
    <x:row r="950" ht="23" customHeight="1">
      <x:c r="A950" s="11" t="str">
        <x:v>I074</x:v>
      </x:c>
      <x:c r="B950" s="11" t="str">
        <x:v>06618.HK</x:v>
      </x:c>
      <x:c r="C950" s="11" t="str">
        <x:v>taxPaid</x:v>
      </x:c>
      <x:c r="D950" s="39" t="n">
        <x:v>349.747</x:v>
      </x:c>
      <x:c r="E950" s="11" t="str">
        <x:v>CNY</x:v>
      </x:c>
      <x:c r="F950" s="11" t="str">
        <x:v>CNY million</x:v>
      </x:c>
      <x:c r="G950" s="11" t="str">
        <x:v>FY2025</x:v>
      </x:c>
      <x:c r="H950" s="11" t="str">
        <x:v>年报文件2026-04-24；全年业绩批准/CEO信2026-03-05</x:v>
      </x:c>
      <x:c r="I950" s="11" t="str">
        <x:v>https://manager.wisdomir.com/files/586/2026/0424/20260424171501_75649801_en.pdf</x:v>
      </x:c>
      <x:c r="J950" s="11" t="str">
        <x:v>现金利息收到在OCF，支付利息及租赁本金在融资活动另扣；现金代理非可无条件分配自由现金；reported input</x:v>
      </x:c>
      <x:c r="K950" s="11" t="str">
        <x:v>待核</x:v>
      </x:c>
      <x:c r="L950" s="11" t="str">
        <x:v>精确发布时间未核验</x:v>
      </x:c>
      <x:c r="M950" s="11" t="str">
        <x:v>公开日期缺失待核</x:v>
      </x:c>
    </x:row>
    <x:row r="951" ht="23" customHeight="1">
      <x:c r="A951" s="11" t="str">
        <x:v>I074</x:v>
      </x:c>
      <x:c r="B951" s="11" t="str">
        <x:v>06618.HK</x:v>
      </x:c>
      <x:c r="C951" s="11" t="str">
        <x:v>capexAndROU</x:v>
      </x:c>
      <x:c r="D951" s="39" t="n">
        <x:v>151.009</x:v>
      </x:c>
      <x:c r="E951" s="11" t="str">
        <x:v>CNY</x:v>
      </x:c>
      <x:c r="F951" s="11" t="str">
        <x:v>CNY million</x:v>
      </x:c>
      <x:c r="G951" s="11" t="str">
        <x:v>FY2025</x:v>
      </x:c>
      <x:c r="H951" s="11" t="str">
        <x:v>年报文件2026-04-24；全年业绩批准/CEO信2026-03-05</x:v>
      </x:c>
      <x:c r="I951" s="11" t="str">
        <x:v>https://manager.wisdomir.com/files/586/2026/0424/20260424171501_75649801_en.pdf</x:v>
      </x:c>
      <x:c r="J951" s="11" t="str">
        <x:v>现金利息收到在OCF，支付利息及租赁本金在融资活动另扣；现金代理非可无条件分配自由现金；reported input</x:v>
      </x:c>
      <x:c r="K951" s="11" t="str">
        <x:v>待核</x:v>
      </x:c>
      <x:c r="L951" s="11" t="str">
        <x:v>精确发布时间未核验</x:v>
      </x:c>
      <x:c r="M951" s="11" t="str">
        <x:v>公开日期缺失待核</x:v>
      </x:c>
    </x:row>
    <x:row r="952" ht="23" customHeight="1">
      <x:c r="A952" s="11" t="str">
        <x:v>I074</x:v>
      </x:c>
      <x:c r="B952" s="11" t="str">
        <x:v>06618.HK</x:v>
      </x:c>
      <x:c r="C952" s="11" t="str">
        <x:v>leasePrincipal</x:v>
      </x:c>
      <x:c r="D952" s="39" t="n">
        <x:v>68.053</x:v>
      </x:c>
      <x:c r="E952" s="11" t="str">
        <x:v>CNY</x:v>
      </x:c>
      <x:c r="F952" s="11" t="str">
        <x:v>CNY million</x:v>
      </x:c>
      <x:c r="G952" s="11" t="str">
        <x:v>FY2025</x:v>
      </x:c>
      <x:c r="H952" s="11" t="str">
        <x:v>年报文件2026-04-24；全年业绩批准/CEO信2026-03-05</x:v>
      </x:c>
      <x:c r="I952" s="11" t="str">
        <x:v>https://manager.wisdomir.com/files/586/2026/0424/20260424171501_75649801_en.pdf</x:v>
      </x:c>
      <x:c r="J952" s="11" t="str">
        <x:v>现金利息收到在OCF，支付利息及租赁本金在融资活动另扣；现金代理非可无条件分配自由现金；reported input</x:v>
      </x:c>
      <x:c r="K952" s="11" t="str">
        <x:v>待核</x:v>
      </x:c>
      <x:c r="L952" s="11" t="str">
        <x:v>精确发布时间未核验</x:v>
      </x:c>
      <x:c r="M952" s="11" t="str">
        <x:v>公开日期缺失待核</x:v>
      </x:c>
    </x:row>
    <x:row r="953" ht="23" customHeight="1">
      <x:c r="A953" s="11" t="str">
        <x:v>I074</x:v>
      </x:c>
      <x:c r="B953" s="11" t="str">
        <x:v>06618.HK</x:v>
      </x:c>
      <x:c r="C953" s="11" t="str">
        <x:v>interestPaidFinancing</x:v>
      </x:c>
      <x:c r="D953" s="39" t="n">
        <x:v>11.098</x:v>
      </x:c>
      <x:c r="E953" s="11" t="str">
        <x:v>CNY</x:v>
      </x:c>
      <x:c r="F953" s="11" t="str">
        <x:v>CNY million</x:v>
      </x:c>
      <x:c r="G953" s="11" t="str">
        <x:v>FY2025</x:v>
      </x:c>
      <x:c r="H953" s="11" t="str">
        <x:v>年报文件2026-04-24；全年业绩批准/CEO信2026-03-05</x:v>
      </x:c>
      <x:c r="I953" s="11" t="str">
        <x:v>https://manager.wisdomir.com/files/586/2026/0424/20260424171501_75649801_en.pdf</x:v>
      </x:c>
      <x:c r="J953" s="11" t="str">
        <x:v>现金利息收到在OCF，支付利息及租赁本金在融资活动另扣；现金代理非可无条件分配自由现金；reported input</x:v>
      </x:c>
      <x:c r="K953" s="11" t="str">
        <x:v>待核</x:v>
      </x:c>
      <x:c r="L953" s="11" t="str">
        <x:v>精确发布时间未核验</x:v>
      </x:c>
      <x:c r="M953" s="11" t="str">
        <x:v>公开日期缺失待核</x:v>
      </x:c>
    </x:row>
    <x:row r="954" ht="23" customHeight="1">
      <x:c r="A954" s="11" t="str">
        <x:v>I074</x:v>
      </x:c>
      <x:c r="B954" s="11" t="str">
        <x:v>06618.HK</x:v>
      </x:c>
      <x:c r="C954" s="11" t="str">
        <x:v>afterCashCapexLeaseInterestProxy</x:v>
      </x:c>
      <x:c r="D954" s="39" t="n">
        <x:v>9943.789</x:v>
      </x:c>
      <x:c r="E954" s="11" t="str">
        <x:v>CNY</x:v>
      </x:c>
      <x:c r="F954" s="11" t="str">
        <x:v>CNY million</x:v>
      </x:c>
      <x:c r="G954" s="11" t="str">
        <x:v>FY2025</x:v>
      </x:c>
      <x:c r="H954" s="11" t="str">
        <x:v>年报文件2026-04-24；全年业绩批准/CEO信2026-03-05</x:v>
      </x:c>
      <x:c r="I954" s="11" t="str">
        <x:v>https://manager.wisdomir.com/files/586/2026/0424/20260424171501_75649801_en.pdf</x:v>
      </x:c>
      <x:c r="J954" s="11" t="str">
        <x:v>现金利息收到在OCF，支付利息及租赁本金在融资活动另扣；现金代理非可无条件分配自由现金；reported input calculation</x:v>
      </x:c>
      <x:c r="K954" s="11" t="str">
        <x:v>待核</x:v>
      </x:c>
      <x:c r="L954" s="11" t="str">
        <x:v>精确发布时间未核验</x:v>
      </x:c>
      <x:c r="M954" s="11" t="str">
        <x:v>公开日期缺失待核</x:v>
      </x:c>
    </x:row>
    <x:row r="955" ht="23" customHeight="1">
      <x:c r="A955" s="11" t="str">
        <x:v>I074</x:v>
      </x:c>
      <x:c r="B955" s="11" t="str">
        <x:v>06618.HK</x:v>
      </x:c>
      <x:c r="C955" s="11" t="str">
        <x:v>supplierFinancingIncludedTradePayable</x:v>
      </x:c>
      <x:c r="D955" s="39" t="n">
        <x:v>2024.038</x:v>
      </x:c>
      <x:c r="E955" s="11" t="str">
        <x:v>CNY</x:v>
      </x:c>
      <x:c r="F955" s="11" t="str">
        <x:v>CNY million</x:v>
      </x:c>
      <x:c r="G955" s="11" t="str">
        <x:v>FY2025</x:v>
      </x:c>
      <x:c r="H955" s="11" t="str">
        <x:v>年报文件2026-04-24；全年业绩批准/CEO信2026-03-05</x:v>
      </x:c>
      <x:c r="I955" s="11" t="str">
        <x:v>https://manager.wisdomir.com/files/586/2026/0424/20260424171501_75649801_en.pdf</x:v>
      </x:c>
      <x:c r="J955" s="11" t="str">
        <x:v>现金利息收到在OCF，支付利息及租赁本金在融资活动另扣；现金代理非可无条件分配自由现金；reported input</x:v>
      </x:c>
      <x:c r="K955" s="11" t="str">
        <x:v>待核</x:v>
      </x:c>
      <x:c r="L955" s="11" t="str">
        <x:v>精确发布时间未核验</x:v>
      </x:c>
      <x:c r="M955" s="11" t="str">
        <x:v>公开日期缺失待核</x:v>
      </x:c>
    </x:row>
    <x:row r="956" ht="23" customHeight="1">
      <x:c r="A956" s="11" t="str">
        <x:v>I070</x:v>
      </x:c>
      <x:c r="B956" s="11" t="str">
        <x:v>09618.HK</x:v>
      </x:c>
      <x:c r="C956" s="11" t="str">
        <x:v>revenueCNYmillion</x:v>
      </x:c>
      <x:c r="D956" s="39" t="n">
        <x:v>1309085</x:v>
      </x:c>
      <x:c r="E956" s="11" t="str">
        <x:v>CNY</x:v>
      </x:c>
      <x:c r="F956" s="11" t="str">
        <x:v>CNY million</x:v>
      </x:c>
      <x:c r="G956" s="11" t="str">
        <x:v>FY2025</x:v>
      </x:c>
      <x:c r="H956" s="11" t="str">
        <x:v>2026-04-16 20-F提交，官网4月17日文件；全年结果3月5日</x:v>
      </x:c>
      <x:c r="I956" s="11" t="str">
        <x:v>https://ir.jd.com/system/files-encrypted/nasdaq_kms/assets/2026/04/17/11-33-24/Form%2020-F%20for%20JD%20filed%2004162026.pdf</x:v>
      </x:c>
      <x:c r="J956" s="11" t="str">
        <x:v>reported input</x:v>
      </x:c>
      <x:c r="K956" s="11" t="str">
        <x:v>待核</x:v>
      </x:c>
      <x:c r="L956" s="11" t="str">
        <x:v>精确发布时间未核验</x:v>
      </x:c>
      <x:c r="M956" s="11" t="str">
        <x:v>截止日前日期，盘中时分未核</x:v>
      </x:c>
    </x:row>
    <x:row r="957" ht="23" customHeight="1">
      <x:c r="A957" s="11" t="str">
        <x:v>I070</x:v>
      </x:c>
      <x:c r="B957" s="11" t="str">
        <x:v>09618.HK</x:v>
      </x:c>
      <x:c r="C957" s="11" t="str">
        <x:v>revenue2024CNYmillion</x:v>
      </x:c>
      <x:c r="D957" s="39" t="n">
        <x:v>1158819</x:v>
      </x:c>
      <x:c r="E957" s="11" t="str">
        <x:v>CNY</x:v>
      </x:c>
      <x:c r="F957" s="11" t="str">
        <x:v>CNY million</x:v>
      </x:c>
      <x:c r="G957" s="11" t="str">
        <x:v>FY2024</x:v>
      </x:c>
      <x:c r="H957" s="11" t="str">
        <x:v>2026-04-16 20-F提交，官网4月17日文件；全年结果3月5日</x:v>
      </x:c>
      <x:c r="I957" s="11" t="str">
        <x:v>https://ir.jd.com/system/files-encrypted/nasdaq_kms/assets/2026/04/17/11-33-24/Form%2020-F%20for%20JD%20filed%2004162026.pdf</x:v>
      </x:c>
      <x:c r="J957" s="11" t="str">
        <x:v>reported input</x:v>
      </x:c>
      <x:c r="K957" s="11" t="str">
        <x:v>待核</x:v>
      </x:c>
      <x:c r="L957" s="11" t="str">
        <x:v>精确发布时间未核验</x:v>
      </x:c>
      <x:c r="M957" s="11" t="str">
        <x:v>截止日前日期，盘中时分未核</x:v>
      </x:c>
    </x:row>
    <x:row r="958" ht="23" customHeight="1">
      <x:c r="A958" s="11" t="str">
        <x:v>I070</x:v>
      </x:c>
      <x:c r="B958" s="11" t="str">
        <x:v>09618.HK</x:v>
      </x:c>
      <x:c r="C958" s="11" t="str">
        <x:v>revenue2023CNYmillion</x:v>
      </x:c>
      <x:c r="D958" s="39" t="n">
        <x:v>1084662</x:v>
      </x:c>
      <x:c r="E958" s="11" t="str">
        <x:v>CNY</x:v>
      </x:c>
      <x:c r="F958" s="11" t="str">
        <x:v>CNY million</x:v>
      </x:c>
      <x:c r="G958" s="11" t="str">
        <x:v>FY2023</x:v>
      </x:c>
      <x:c r="H958" s="11" t="str">
        <x:v>2026-04-16 20-F提交，官网4月17日文件；全年结果3月5日</x:v>
      </x:c>
      <x:c r="I958" s="11" t="str">
        <x:v>https://ir.jd.com/system/files-encrypted/nasdaq_kms/assets/2026/04/17/11-33-24/Form%2020-F%20for%20JD%20filed%2004162026.pdf</x:v>
      </x:c>
      <x:c r="J958" s="11" t="str">
        <x:v>reported input</x:v>
      </x:c>
      <x:c r="K958" s="11" t="str">
        <x:v>待核</x:v>
      </x:c>
      <x:c r="L958" s="11" t="str">
        <x:v>精确发布时间未核验</x:v>
      </x:c>
      <x:c r="M958" s="11" t="str">
        <x:v>截止日前日期，盘中时分未核</x:v>
      </x:c>
    </x:row>
    <x:row r="959" ht="23" customHeight="1">
      <x:c r="A959" s="11" t="str">
        <x:v>I070</x:v>
      </x:c>
      <x:c r="B959" s="11" t="str">
        <x:v>09618.HK</x:v>
      </x:c>
      <x:c r="C959" s="11" t="str">
        <x:v>profitAttributableCNYmillion</x:v>
      </x:c>
      <x:c r="D959" s="39" t="n">
        <x:v>19631</x:v>
      </x:c>
      <x:c r="E959" s="11" t="str">
        <x:v>CNY</x:v>
      </x:c>
      <x:c r="F959" s="11" t="str">
        <x:v>CNY million</x:v>
      </x:c>
      <x:c r="G959" s="11" t="str">
        <x:v>FY2025</x:v>
      </x:c>
      <x:c r="H959" s="11" t="str">
        <x:v>2026-04-16 20-F提交，官网4月17日文件；全年结果3月5日</x:v>
      </x:c>
      <x:c r="I959" s="11" t="str">
        <x:v>https://ir.jd.com/system/files-encrypted/nasdaq_kms/assets/2026/04/17/11-33-24/Form%2020-F%20for%20JD%20filed%2004162026.pdf</x:v>
      </x:c>
      <x:c r="J959" s="11" t="str">
        <x:v>reported input</x:v>
      </x:c>
      <x:c r="K959" s="11" t="str">
        <x:v>待核</x:v>
      </x:c>
      <x:c r="L959" s="11" t="str">
        <x:v>精确发布时间未核验</x:v>
      </x:c>
      <x:c r="M959" s="11" t="str">
        <x:v>截止日前日期，盘中时分未核</x:v>
      </x:c>
    </x:row>
    <x:row r="960" ht="23" customHeight="1">
      <x:c r="A960" s="11" t="str">
        <x:v>I070</x:v>
      </x:c>
      <x:c r="B960" s="11" t="str">
        <x:v>09618.HK</x:v>
      </x:c>
      <x:c r="C960" s="11" t="str">
        <x:v>profitAttributable2024CNYmillion</x:v>
      </x:c>
      <x:c r="D960" s="39" t="n">
        <x:v>41359</x:v>
      </x:c>
      <x:c r="E960" s="11" t="str">
        <x:v>CNY</x:v>
      </x:c>
      <x:c r="F960" s="11" t="str">
        <x:v>CNY million</x:v>
      </x:c>
      <x:c r="G960" s="11" t="str">
        <x:v>FY2024</x:v>
      </x:c>
      <x:c r="H960" s="11" t="str">
        <x:v>2026-04-16 20-F提交，官网4月17日文件；全年结果3月5日</x:v>
      </x:c>
      <x:c r="I960" s="11" t="str">
        <x:v>https://ir.jd.com/system/files-encrypted/nasdaq_kms/assets/2026/04/17/11-33-24/Form%2020-F%20for%20JD%20filed%2004162026.pdf</x:v>
      </x:c>
      <x:c r="J960" s="11" t="str">
        <x:v>reported input</x:v>
      </x:c>
      <x:c r="K960" s="11" t="str">
        <x:v>待核</x:v>
      </x:c>
      <x:c r="L960" s="11" t="str">
        <x:v>精确发布时间未核验</x:v>
      </x:c>
      <x:c r="M960" s="11" t="str">
        <x:v>截止日前日期，盘中时分未核</x:v>
      </x:c>
    </x:row>
    <x:row r="961" ht="23" customHeight="1">
      <x:c r="A961" s="11" t="str">
        <x:v>I070</x:v>
      </x:c>
      <x:c r="B961" s="11" t="str">
        <x:v>09618.HK</x:v>
      </x:c>
      <x:c r="C961" s="11" t="str">
        <x:v>profitAttributable2023CNYmillion</x:v>
      </x:c>
      <x:c r="D961" s="39" t="n">
        <x:v>24167</x:v>
      </x:c>
      <x:c r="E961" s="11" t="str">
        <x:v>CNY</x:v>
      </x:c>
      <x:c r="F961" s="11" t="str">
        <x:v>CNY million</x:v>
      </x:c>
      <x:c r="G961" s="11" t="str">
        <x:v>FY2023</x:v>
      </x:c>
      <x:c r="H961" s="11" t="str">
        <x:v>2026-04-16 20-F提交，官网4月17日文件；全年结果3月5日</x:v>
      </x:c>
      <x:c r="I961" s="11" t="str">
        <x:v>https://ir.jd.com/system/files-encrypted/nasdaq_kms/assets/2026/04/17/11-33-24/Form%2020-F%20for%20JD%20filed%2004162026.pdf</x:v>
      </x:c>
      <x:c r="J961" s="11" t="str">
        <x:v>reported input</x:v>
      </x:c>
      <x:c r="K961" s="11" t="str">
        <x:v>待核</x:v>
      </x:c>
      <x:c r="L961" s="11" t="str">
        <x:v>精确发布时间未核验</x:v>
      </x:c>
      <x:c r="M961" s="11" t="str">
        <x:v>截止日前日期，盘中时分未核</x:v>
      </x:c>
    </x:row>
    <x:row r="962" ht="23" customHeight="1">
      <x:c r="A962" s="11" t="str">
        <x:v>I070</x:v>
      </x:c>
      <x:c r="B962" s="11" t="str">
        <x:v>09618.HK</x:v>
      </x:c>
      <x:c r="C962" s="11" t="str">
        <x:v>groupNetIncomeCNYmillion</x:v>
      </x:c>
      <x:c r="D962" s="39" t="n">
        <x:v>23142</x:v>
      </x:c>
      <x:c r="E962" s="11" t="str">
        <x:v>CNY</x:v>
      </x:c>
      <x:c r="F962" s="11" t="str">
        <x:v>CNY million</x:v>
      </x:c>
      <x:c r="G962" s="11" t="str">
        <x:v>FY2025</x:v>
      </x:c>
      <x:c r="H962" s="11" t="str">
        <x:v>2026-04-16 20-F提交，官网4月17日文件；全年结果3月5日</x:v>
      </x:c>
      <x:c r="I962" s="11" t="str">
        <x:v>https://ir.jd.com/system/files-encrypted/nasdaq_kms/assets/2026/04/17/11-33-24/Form%2020-F%20for%20JD%20filed%2004162026.pdf</x:v>
      </x:c>
      <x:c r="J962" s="11" t="str">
        <x:v>reported input</x:v>
      </x:c>
      <x:c r="K962" s="11" t="str">
        <x:v>待核</x:v>
      </x:c>
      <x:c r="L962" s="11" t="str">
        <x:v>精确发布时间未核验</x:v>
      </x:c>
      <x:c r="M962" s="11" t="str">
        <x:v>截止日前日期，盘中时分未核</x:v>
      </x:c>
    </x:row>
    <x:row r="963" ht="23" customHeight="1">
      <x:c r="A963" s="11" t="str">
        <x:v>I070</x:v>
      </x:c>
      <x:c r="B963" s="11" t="str">
        <x:v>09618.HK</x:v>
      </x:c>
      <x:c r="C963" s="11" t="str">
        <x:v>operatingIncomeCNYmillion</x:v>
      </x:c>
      <x:c r="D963" s="39" t="n">
        <x:v>2774</x:v>
      </x:c>
      <x:c r="E963" s="11" t="str">
        <x:v>CNY</x:v>
      </x:c>
      <x:c r="F963" s="11" t="str">
        <x:v>CNY million</x:v>
      </x:c>
      <x:c r="G963" s="11" t="str">
        <x:v>FY2025</x:v>
      </x:c>
      <x:c r="H963" s="11" t="str">
        <x:v>2026-04-16 20-F提交，官网4月17日文件；全年结果3月5日</x:v>
      </x:c>
      <x:c r="I963" s="11" t="str">
        <x:v>https://ir.jd.com/system/files-encrypted/nasdaq_kms/assets/2026/04/17/11-33-24/Form%2020-F%20for%20JD%20filed%2004162026.pdf</x:v>
      </x:c>
      <x:c r="J963" s="11" t="str">
        <x:v>reported input</x:v>
      </x:c>
      <x:c r="K963" s="11" t="str">
        <x:v>待核</x:v>
      </x:c>
      <x:c r="L963" s="11" t="str">
        <x:v>精确发布时间未核验</x:v>
      </x:c>
      <x:c r="M963" s="11" t="str">
        <x:v>截止日前日期，盘中时分未核</x:v>
      </x:c>
    </x:row>
    <x:row r="964" ht="23" customHeight="1">
      <x:c r="A964" s="11" t="str">
        <x:v>I070</x:v>
      </x:c>
      <x:c r="B964" s="11" t="str">
        <x:v>09618.HK</x:v>
      </x:c>
      <x:c r="C964" s="11" t="str">
        <x:v>dilutedEPSCNY</x:v>
      </x:c>
      <x:c r="D964" s="39" t="n">
        <x:v>6.45</x:v>
      </x:c>
      <x:c r="E964" s="11" t="str">
        <x:v>CNY</x:v>
      </x:c>
      <x:c r="F964" s="11" t="str">
        <x:v>CNY/ordinary share</x:v>
      </x:c>
      <x:c r="G964" s="11" t="str">
        <x:v>FY2025</x:v>
      </x:c>
      <x:c r="H964" s="11" t="str">
        <x:v>2026-04-16 20-F提交，官网4月17日文件；全年结果3月5日</x:v>
      </x:c>
      <x:c r="I964" s="11" t="str">
        <x:v>https://ir.jd.com/system/files-encrypted/nasdaq_kms/assets/2026/04/17/11-33-24/Form%2020-F%20for%20JD%20filed%2004162026.pdf</x:v>
      </x:c>
      <x:c r="J964" s="11" t="str">
        <x:v>reported input</x:v>
      </x:c>
      <x:c r="K964" s="11" t="str">
        <x:v>待核</x:v>
      </x:c>
      <x:c r="L964" s="11" t="str">
        <x:v>精确发布时间未核验</x:v>
      </x:c>
      <x:c r="M964" s="11" t="str">
        <x:v>截止日前日期，盘中时分未核</x:v>
      </x:c>
    </x:row>
    <x:row r="965" ht="23" customHeight="1">
      <x:c r="A965" s="11" t="str">
        <x:v>I070</x:v>
      </x:c>
      <x:c r="B965" s="11" t="str">
        <x:v>09618.HK</x:v>
      </x:c>
      <x:c r="C965" s="11" t="str">
        <x:v>dilutedEPS2024CNY</x:v>
      </x:c>
      <x:c r="D965" s="39" t="n">
        <x:v>13.43</x:v>
      </x:c>
      <x:c r="E965" s="11" t="str">
        <x:v>CNY</x:v>
      </x:c>
      <x:c r="F965" s="11" t="str">
        <x:v>CNY/ordinary share</x:v>
      </x:c>
      <x:c r="G965" s="11" t="str">
        <x:v>FY2024</x:v>
      </x:c>
      <x:c r="H965" s="11" t="str">
        <x:v>2026-04-16 20-F提交，官网4月17日文件；全年结果3月5日</x:v>
      </x:c>
      <x:c r="I965" s="11" t="str">
        <x:v>https://ir.jd.com/system/files-encrypted/nasdaq_kms/assets/2026/04/17/11-33-24/Form%2020-F%20for%20JD%20filed%2004162026.pdf</x:v>
      </x:c>
      <x:c r="J965" s="11" t="str">
        <x:v>reported input</x:v>
      </x:c>
      <x:c r="K965" s="11" t="str">
        <x:v>待核</x:v>
      </x:c>
      <x:c r="L965" s="11" t="str">
        <x:v>精确发布时间未核验</x:v>
      </x:c>
      <x:c r="M965" s="11" t="str">
        <x:v>截止日前日期，盘中时分未核</x:v>
      </x:c>
    </x:row>
    <x:row r="966" ht="23" customHeight="1">
      <x:c r="A966" s="11" t="str">
        <x:v>I070</x:v>
      </x:c>
      <x:c r="B966" s="11" t="str">
        <x:v>09618.HK</x:v>
      </x:c>
      <x:c r="C966" s="11" t="str">
        <x:v>dilutedEPS2023CNY</x:v>
      </x:c>
      <x:c r="D966" s="39" t="n">
        <x:v>7.61</x:v>
      </x:c>
      <x:c r="E966" s="11" t="str">
        <x:v>CNY</x:v>
      </x:c>
      <x:c r="F966" s="11" t="str">
        <x:v>CNY/ordinary share</x:v>
      </x:c>
      <x:c r="G966" s="11" t="str">
        <x:v>FY2023</x:v>
      </x:c>
      <x:c r="H966" s="11" t="str">
        <x:v>2026-04-16 20-F提交，官网4月17日文件；全年结果3月5日</x:v>
      </x:c>
      <x:c r="I966" s="11" t="str">
        <x:v>https://ir.jd.com/system/files-encrypted/nasdaq_kms/assets/2026/04/17/11-33-24/Form%2020-F%20for%20JD%20filed%2004162026.pdf</x:v>
      </x:c>
      <x:c r="J966" s="11" t="str">
        <x:v>reported input</x:v>
      </x:c>
      <x:c r="K966" s="11" t="str">
        <x:v>待核</x:v>
      </x:c>
      <x:c r="L966" s="11" t="str">
        <x:v>精确发布时间未核验</x:v>
      </x:c>
      <x:c r="M966" s="11" t="str">
        <x:v>截止日前日期，盘中时分未核</x:v>
      </x:c>
    </x:row>
    <x:row r="967" ht="23" customHeight="1">
      <x:c r="A967" s="11" t="str">
        <x:v>I070</x:v>
      </x:c>
      <x:c r="B967" s="11" t="str">
        <x:v>09618.HK</x:v>
      </x:c>
      <x:c r="C967" s="11" t="str">
        <x:v>weightedDilutedShares</x:v>
      </x:c>
      <x:c r="D967" s="39" t="n">
        <x:v>2978037127</x:v>
      </x:c>
      <x:c r="E967" s="11" t="str">
        <x:v>not monetary</x:v>
      </x:c>
      <x:c r="F967" s="11" t="str">
        <x:v>ordinary shares</x:v>
      </x:c>
      <x:c r="G967" s="11" t="str">
        <x:v>FY2025</x:v>
      </x:c>
      <x:c r="H967" s="11" t="str">
        <x:v>2026-04-16 20-F提交，官网4月17日文件；全年结果3月5日</x:v>
      </x:c>
      <x:c r="I967" s="11" t="str">
        <x:v>https://ir.jd.com/system/files-encrypted/nasdaq_kms/assets/2026/04/17/11-33-24/Form%2020-F%20for%20JD%20filed%2004162026.pdf</x:v>
      </x:c>
      <x:c r="J967" s="11" t="str">
        <x:v>reported input</x:v>
      </x:c>
      <x:c r="K967" s="11" t="str">
        <x:v>待核</x:v>
      </x:c>
      <x:c r="L967" s="11" t="str">
        <x:v>精确发布时间未核验</x:v>
      </x:c>
      <x:c r="M967" s="11" t="str">
        <x:v>截止日前日期，盘中时分未核</x:v>
      </x:c>
    </x:row>
    <x:row r="968" ht="23" customHeight="1">
      <x:c r="A968" s="11" t="str">
        <x:v>I070</x:v>
      </x:c>
      <x:c r="B968" s="11" t="str">
        <x:v>09618.HK</x:v>
      </x:c>
      <x:c r="C968" s="11" t="str">
        <x:v>OCFCNYmillion</x:v>
      </x:c>
      <x:c r="D968" s="39" t="n">
        <x:v>18991</x:v>
      </x:c>
      <x:c r="E968" s="11" t="str">
        <x:v>CNY</x:v>
      </x:c>
      <x:c r="F968" s="11" t="str">
        <x:v>CNY million</x:v>
      </x:c>
      <x:c r="G968" s="11" t="str">
        <x:v>FY2025</x:v>
      </x:c>
      <x:c r="H968" s="11" t="str">
        <x:v>2026-04-16 20-F提交，官网4月17日文件；全年结果3月5日</x:v>
      </x:c>
      <x:c r="I968" s="11" t="str">
        <x:v>https://ir.jd.com/system/files-encrypted/nasdaq_kms/assets/2026/04/17/11-33-24/Form%2020-F%20for%20JD%20filed%2004162026.pdf</x:v>
      </x:c>
      <x:c r="J968" s="11" t="str">
        <x:v>reported input</x:v>
      </x:c>
      <x:c r="K968" s="11" t="str">
        <x:v>待核</x:v>
      </x:c>
      <x:c r="L968" s="11" t="str">
        <x:v>精确发布时间未核验</x:v>
      </x:c>
      <x:c r="M968" s="11" t="str">
        <x:v>截止日前日期，盘中时分未核</x:v>
      </x:c>
    </x:row>
    <x:row r="969" ht="23" customHeight="1">
      <x:c r="A969" s="11" t="str">
        <x:v>I070</x:v>
      </x:c>
      <x:c r="B969" s="11" t="str">
        <x:v>09618.HK</x:v>
      </x:c>
      <x:c r="C969" s="11" t="str">
        <x:v>OCF2024CNYmillion</x:v>
      </x:c>
      <x:c r="D969" s="39" t="n">
        <x:v>58095</x:v>
      </x:c>
      <x:c r="E969" s="11" t="str">
        <x:v>CNY</x:v>
      </x:c>
      <x:c r="F969" s="11" t="str">
        <x:v>CNY million</x:v>
      </x:c>
      <x:c r="G969" s="11" t="str">
        <x:v>FY2024</x:v>
      </x:c>
      <x:c r="H969" s="11" t="str">
        <x:v>2026-04-16 20-F提交，官网4月17日文件；全年结果3月5日</x:v>
      </x:c>
      <x:c r="I969" s="11" t="str">
        <x:v>https://ir.jd.com/system/files-encrypted/nasdaq_kms/assets/2026/04/17/11-33-24/Form%2020-F%20for%20JD%20filed%2004162026.pdf</x:v>
      </x:c>
      <x:c r="J969" s="11" t="str">
        <x:v>reported input</x:v>
      </x:c>
      <x:c r="K969" s="11" t="str">
        <x:v>待核</x:v>
      </x:c>
      <x:c r="L969" s="11" t="str">
        <x:v>精确发布时间未核验</x:v>
      </x:c>
      <x:c r="M969" s="11" t="str">
        <x:v>截止日前日期，盘中时分未核</x:v>
      </x:c>
    </x:row>
    <x:row r="970" ht="23" customHeight="1">
      <x:c r="A970" s="11" t="str">
        <x:v>I070</x:v>
      </x:c>
      <x:c r="B970" s="11" t="str">
        <x:v>09618.HK</x:v>
      </x:c>
      <x:c r="C970" s="11" t="str">
        <x:v>OCF2023CNYmillion</x:v>
      </x:c>
      <x:c r="D970" s="39" t="n">
        <x:v>59521</x:v>
      </x:c>
      <x:c r="E970" s="11" t="str">
        <x:v>CNY</x:v>
      </x:c>
      <x:c r="F970" s="11" t="str">
        <x:v>CNY million</x:v>
      </x:c>
      <x:c r="G970" s="11" t="str">
        <x:v>FY2023</x:v>
      </x:c>
      <x:c r="H970" s="11" t="str">
        <x:v>2026-04-16 20-F提交，官网4月17日文件；全年结果3月5日</x:v>
      </x:c>
      <x:c r="I970" s="11" t="str">
        <x:v>https://ir.jd.com/system/files-encrypted/nasdaq_kms/assets/2026/04/17/11-33-24/Form%2020-F%20for%20JD%20filed%2004162026.pdf</x:v>
      </x:c>
      <x:c r="J970" s="11" t="str">
        <x:v>reported input</x:v>
      </x:c>
      <x:c r="K970" s="11" t="str">
        <x:v>待核</x:v>
      </x:c>
      <x:c r="L970" s="11" t="str">
        <x:v>精确发布时间未核验</x:v>
      </x:c>
      <x:c r="M970" s="11" t="str">
        <x:v>截止日前日期，盘中时分未核</x:v>
      </x:c>
    </x:row>
    <x:row r="971" ht="23" customHeight="1">
      <x:c r="A971" s="11" t="str">
        <x:v>I070</x:v>
      </x:c>
      <x:c r="B971" s="11" t="str">
        <x:v>09618.HK</x:v>
      </x:c>
      <x:c r="C971" s="11" t="str">
        <x:v>SBCCNYmillion</x:v>
      </x:c>
      <x:c r="D971" s="39" t="n">
        <x:v>4726</x:v>
      </x:c>
      <x:c r="E971" s="11" t="str">
        <x:v>CNY</x:v>
      </x:c>
      <x:c r="F971" s="11" t="str">
        <x:v>CNY million</x:v>
      </x:c>
      <x:c r="G971" s="11" t="str">
        <x:v>FY2025</x:v>
      </x:c>
      <x:c r="H971" s="11" t="str">
        <x:v>2026-04-16 20-F提交，官网4月17日文件；全年结果3月5日</x:v>
      </x:c>
      <x:c r="I971" s="11" t="str">
        <x:v>https://ir.jd.com/system/files-encrypted/nasdaq_kms/assets/2026/04/17/11-33-24/Form%2020-F%20for%20JD%20filed%2004162026.pdf</x:v>
      </x:c>
      <x:c r="J971" s="11" t="str">
        <x:v>reported input</x:v>
      </x:c>
      <x:c r="K971" s="11" t="str">
        <x:v>待核</x:v>
      </x:c>
      <x:c r="L971" s="11" t="str">
        <x:v>精确发布时间未核验</x:v>
      </x:c>
      <x:c r="M971" s="11" t="str">
        <x:v>截止日前日期，盘中时分未核</x:v>
      </x:c>
    </x:row>
    <x:row r="972" ht="23" customHeight="1">
      <x:c r="A972" s="11" t="str">
        <x:v>I070</x:v>
      </x:c>
      <x:c r="B972" s="11" t="str">
        <x:v>09618.HK</x:v>
      </x:c>
      <x:c r="C972" s="11" t="str">
        <x:v>leaseCashCNYmillion</x:v>
      </x:c>
      <x:c r="D972" s="39" t="n">
        <x:v>10012</x:v>
      </x:c>
      <x:c r="E972" s="11" t="str">
        <x:v>CNY</x:v>
      </x:c>
      <x:c r="F972" s="11" t="str">
        <x:v>CNY million</x:v>
      </x:c>
      <x:c r="G972" s="11" t="str">
        <x:v>FY2025</x:v>
      </x:c>
      <x:c r="H972" s="11" t="str">
        <x:v>2026-04-16 20-F提交，官网4月17日文件；全年结果3月5日</x:v>
      </x:c>
      <x:c r="I972" s="11" t="str">
        <x:v>https://ir.jd.com/system/files-encrypted/nasdaq_kms/assets/2026/04/17/11-33-24/Form%2020-F%20for%20JD%20filed%2004162026.pdf</x:v>
      </x:c>
      <x:c r="J972" s="11" t="str">
        <x:v>reported input</x:v>
      </x:c>
      <x:c r="K972" s="11" t="str">
        <x:v>待核</x:v>
      </x:c>
      <x:c r="L972" s="11" t="str">
        <x:v>精确发布时间未核验</x:v>
      </x:c>
      <x:c r="M972" s="11" t="str">
        <x:v>截止日前日期，盘中时分未核</x:v>
      </x:c>
    </x:row>
    <x:row r="973" ht="23" customHeight="1">
      <x:c r="A973" s="11" t="str">
        <x:v>I070</x:v>
      </x:c>
      <x:c r="B973" s="11" t="str">
        <x:v>09618.HK</x:v>
      </x:c>
      <x:c r="C973" s="11" t="str">
        <x:v>retailRevenueResultsCNYmillion</x:v>
      </x:c>
      <x:c r="D973" s="39" t="n">
        <x:v>1126399</x:v>
      </x:c>
      <x:c r="E973" s="11" t="str">
        <x:v>CNY</x:v>
      </x:c>
      <x:c r="F973" s="11" t="str">
        <x:v>CNY million</x:v>
      </x:c>
      <x:c r="G973" s="11" t="str">
        <x:v>FY2025</x:v>
      </x:c>
      <x:c r="H973" s="11" t="str">
        <x:v>2026-04-16 20-F提交，官网4月17日文件；全年结果3月5日</x:v>
      </x:c>
      <x:c r="I973" s="11" t="str">
        <x:v>https://ir.jd.com/system/files-encrypted/nasdaq_kms/assets/2026/03/05/18-02-03/JD.com%20Announces%20Fourth%20Quarter%20and%20Full%20Year%202025%20Results%2C%20and%20Annual%20Dividend.pdf</x:v>
      </x:c>
      <x:c r="J973" s="11" t="str">
        <x:v>reported input</x:v>
      </x:c>
      <x:c r="K973" s="11" t="str">
        <x:v>待核</x:v>
      </x:c>
      <x:c r="L973" s="11" t="str">
        <x:v>精确发布时间未核验</x:v>
      </x:c>
      <x:c r="M973" s="11" t="str">
        <x:v>截止日前日期，盘中时分未核</x:v>
      </x:c>
    </x:row>
    <x:row r="974" ht="23" customHeight="1">
      <x:c r="A974" s="11" t="str">
        <x:v>I070</x:v>
      </x:c>
      <x:c r="B974" s="11" t="str">
        <x:v>09618.HK</x:v>
      </x:c>
      <x:c r="C974" s="11" t="str">
        <x:v>retailEBITResultsCNYmillion</x:v>
      </x:c>
      <x:c r="D974" s="39" t="n">
        <x:v>51402</x:v>
      </x:c>
      <x:c r="E974" s="11" t="str">
        <x:v>CNY</x:v>
      </x:c>
      <x:c r="F974" s="11" t="str">
        <x:v>CNY million</x:v>
      </x:c>
      <x:c r="G974" s="11" t="str">
        <x:v>FY2025</x:v>
      </x:c>
      <x:c r="H974" s="11" t="str">
        <x:v>2026-04-16 20-F提交，官网4月17日文件；全年结果3月5日</x:v>
      </x:c>
      <x:c r="I974" s="11" t="str">
        <x:v>https://ir.jd.com/system/files-encrypted/nasdaq_kms/assets/2026/03/05/18-02-03/JD.com%20Announces%20Fourth%20Quarter%20and%20Full%20Year%202025%20Results%2C%20and%20Annual%20Dividend.pdf</x:v>
      </x:c>
      <x:c r="J974" s="11" t="str">
        <x:v>reported input</x:v>
      </x:c>
      <x:c r="K974" s="11" t="str">
        <x:v>待核</x:v>
      </x:c>
      <x:c r="L974" s="11" t="str">
        <x:v>精确发布时间未核验</x:v>
      </x:c>
      <x:c r="M974" s="11" t="str">
        <x:v>截止日前日期，盘中时分未核</x:v>
      </x:c>
    </x:row>
    <x:row r="975" ht="23" customHeight="1">
      <x:c r="A975" s="11" t="str">
        <x:v>I070</x:v>
      </x:c>
      <x:c r="B975" s="11" t="str">
        <x:v>09618.HK</x:v>
      </x:c>
      <x:c r="C975" s="11" t="str">
        <x:v>revenueCNYmillion</x:v>
      </x:c>
      <x:c r="D975" s="39" t="n">
        <x:v>662095</x:v>
      </x:c>
      <x:c r="E975" s="11" t="str">
        <x:v>CNY</x:v>
      </x:c>
      <x:c r="F975" s="11" t="str">
        <x:v>CNY million</x:v>
      </x:c>
      <x:c r="G975" s="11" t="str">
        <x:v>2026H1</x:v>
      </x:c>
      <x:c r="H975" s="11" t="str">
        <x:v>2026-08-13；文件目录18:03，会议20:00北京香港时间，收盘后</x:v>
      </x:c>
      <x:c r="I975" s="11" t="str">
        <x:v>https://ir.jd.com/system/files-encrypted/nasdaq_kms/assets/2026/08/13/18-03-06/JD.com%20Announces%20Second%20Quarter%20and%20Interim%202026%20Results.pdf</x:v>
      </x:c>
      <x:c r="J975" s="11" t="str">
        <x:v>reported input</x:v>
      </x:c>
      <x:c r="K975" s="11" t="str">
        <x:v>待核</x:v>
      </x:c>
      <x:c r="L975" s="11" t="str">
        <x:v>精确发布时间未核验</x:v>
      </x:c>
      <x:c r="M975" s="11" t="str">
        <x:v>截止日前日期，盘中时分未核</x:v>
      </x:c>
    </x:row>
    <x:row r="976" ht="23" customHeight="1">
      <x:c r="A976" s="11" t="str">
        <x:v>I070</x:v>
      </x:c>
      <x:c r="B976" s="11" t="str">
        <x:v>09618.HK</x:v>
      </x:c>
      <x:c r="C976" s="11" t="str">
        <x:v>revenue2025H1CNYmillion</x:v>
      </x:c>
      <x:c r="D976" s="39" t="n">
        <x:v>657742</x:v>
      </x:c>
      <x:c r="E976" s="11" t="str">
        <x:v>CNY</x:v>
      </x:c>
      <x:c r="F976" s="11" t="str">
        <x:v>CNY million</x:v>
      </x:c>
      <x:c r="G976" s="11" t="str">
        <x:v>2026H1</x:v>
      </x:c>
      <x:c r="H976" s="11" t="str">
        <x:v>2026-08-13；文件目录18:03，会议20:00北京香港时间，收盘后</x:v>
      </x:c>
      <x:c r="I976" s="11" t="str">
        <x:v>https://ir.jd.com/system/files-encrypted/nasdaq_kms/assets/2026/08/13/18-03-06/JD.com%20Announces%20Second%20Quarter%20and%20Interim%202026%20Results.pdf</x:v>
      </x:c>
      <x:c r="J976" s="11" t="str">
        <x:v>reported input</x:v>
      </x:c>
      <x:c r="K976" s="11" t="str">
        <x:v>待核</x:v>
      </x:c>
      <x:c r="L976" s="11" t="str">
        <x:v>精确发布时间未核验</x:v>
      </x:c>
      <x:c r="M976" s="11" t="str">
        <x:v>截止日前日期，盘中时分未核</x:v>
      </x:c>
    </x:row>
    <x:row r="977" ht="23" customHeight="1">
      <x:c r="A977" s="11" t="str">
        <x:v>I070</x:v>
      </x:c>
      <x:c r="B977" s="11" t="str">
        <x:v>09618.HK</x:v>
      </x:c>
      <x:c r="C977" s="11" t="str">
        <x:v>groupNetIncomeCNYmillion</x:v>
      </x:c>
      <x:c r="D977" s="39" t="n">
        <x:v>14517</x:v>
      </x:c>
      <x:c r="E977" s="11" t="str">
        <x:v>CNY</x:v>
      </x:c>
      <x:c r="F977" s="11" t="str">
        <x:v>CNY million</x:v>
      </x:c>
      <x:c r="G977" s="11" t="str">
        <x:v>2026H1</x:v>
      </x:c>
      <x:c r="H977" s="11" t="str">
        <x:v>2026-08-13；文件目录18:03，会议20:00北京香港时间，收盘后</x:v>
      </x:c>
      <x:c r="I977" s="11" t="str">
        <x:v>https://ir.jd.com/system/files-encrypted/nasdaq_kms/assets/2026/08/13/18-03-06/JD.com%20Announces%20Second%20Quarter%20and%20Interim%202026%20Results.pdf</x:v>
      </x:c>
      <x:c r="J977" s="11" t="str">
        <x:v>reported input</x:v>
      </x:c>
      <x:c r="K977" s="11" t="str">
        <x:v>待核</x:v>
      </x:c>
      <x:c r="L977" s="11" t="str">
        <x:v>精确发布时间未核验</x:v>
      </x:c>
      <x:c r="M977" s="11" t="str">
        <x:v>截止日前日期，盘中时分未核</x:v>
      </x:c>
    </x:row>
    <x:row r="978" ht="23" customHeight="1">
      <x:c r="A978" s="11" t="str">
        <x:v>I070</x:v>
      </x:c>
      <x:c r="B978" s="11" t="str">
        <x:v>09618.HK</x:v>
      </x:c>
      <x:c r="C978" s="11" t="str">
        <x:v>profitAttributableCNYmillion</x:v>
      </x:c>
      <x:c r="D978" s="39" t="n">
        <x:v>12231</x:v>
      </x:c>
      <x:c r="E978" s="11" t="str">
        <x:v>CNY</x:v>
      </x:c>
      <x:c r="F978" s="11" t="str">
        <x:v>CNY million</x:v>
      </x:c>
      <x:c r="G978" s="11" t="str">
        <x:v>2026H1</x:v>
      </x:c>
      <x:c r="H978" s="11" t="str">
        <x:v>2026-08-13；文件目录18:03，会议20:00北京香港时间，收盘后</x:v>
      </x:c>
      <x:c r="I978" s="11" t="str">
        <x:v>https://ir.jd.com/system/files-encrypted/nasdaq_kms/assets/2026/08/13/18-03-06/JD.com%20Announces%20Second%20Quarter%20and%20Interim%202026%20Results.pdf</x:v>
      </x:c>
      <x:c r="J978" s="11" t="str">
        <x:v>reported input</x:v>
      </x:c>
      <x:c r="K978" s="11" t="str">
        <x:v>待核</x:v>
      </x:c>
      <x:c r="L978" s="11" t="str">
        <x:v>精确发布时间未核验</x:v>
      </x:c>
      <x:c r="M978" s="11" t="str">
        <x:v>截止日前日期，盘中时分未核</x:v>
      </x:c>
    </x:row>
    <x:row r="979" ht="23" customHeight="1">
      <x:c r="A979" s="11" t="str">
        <x:v>I070</x:v>
      </x:c>
      <x:c r="B979" s="11" t="str">
        <x:v>09618.HK</x:v>
      </x:c>
      <x:c r="C979" s="11" t="str">
        <x:v>adjustedProfitAttributableCNYmillion</x:v>
      </x:c>
      <x:c r="D979" s="39" t="n">
        <x:v>16309</x:v>
      </x:c>
      <x:c r="E979" s="11" t="str">
        <x:v>CNY</x:v>
      </x:c>
      <x:c r="F979" s="11" t="str">
        <x:v>CNY million</x:v>
      </x:c>
      <x:c r="G979" s="11" t="str">
        <x:v>2026H1</x:v>
      </x:c>
      <x:c r="H979" s="11" t="str">
        <x:v>2026-08-13；文件目录18:03，会议20:00北京香港时间，收盘后</x:v>
      </x:c>
      <x:c r="I979" s="11" t="str">
        <x:v>https://ir.jd.com/system/files-encrypted/nasdaq_kms/assets/2026/08/13/18-03-06/JD.com%20Announces%20Second%20Quarter%20and%20Interim%202026%20Results.pdf</x:v>
      </x:c>
      <x:c r="J979" s="11" t="str">
        <x:v>reported input</x:v>
      </x:c>
      <x:c r="K979" s="11" t="str">
        <x:v>待核</x:v>
      </x:c>
      <x:c r="L979" s="11" t="str">
        <x:v>精确发布时间未核验</x:v>
      </x:c>
      <x:c r="M979" s="11" t="str">
        <x:v>截止日前日期，盘中时分未核</x:v>
      </x:c>
    </x:row>
    <x:row r="980" ht="23" customHeight="1">
      <x:c r="A980" s="11" t="str">
        <x:v>I070</x:v>
      </x:c>
      <x:c r="B980" s="11" t="str">
        <x:v>09618.HK</x:v>
      </x:c>
      <x:c r="C980" s="11" t="str">
        <x:v>dilutedEPSCNY</x:v>
      </x:c>
      <x:c r="D980" s="39" t="n">
        <x:v>4.27</x:v>
      </x:c>
      <x:c r="E980" s="11" t="str">
        <x:v>CNY</x:v>
      </x:c>
      <x:c r="F980" s="11" t="str">
        <x:v>CNY/ordinary share</x:v>
      </x:c>
      <x:c r="G980" s="11" t="str">
        <x:v>2026H1</x:v>
      </x:c>
      <x:c r="H980" s="11" t="str">
        <x:v>2026-08-13；文件目录18:03，会议20:00北京香港时间，收盘后</x:v>
      </x:c>
      <x:c r="I980" s="11" t="str">
        <x:v>https://ir.jd.com/system/files-encrypted/nasdaq_kms/assets/2026/08/13/18-03-06/JD.com%20Announces%20Second%20Quarter%20and%20Interim%202026%20Results.pdf</x:v>
      </x:c>
      <x:c r="J980" s="11" t="str">
        <x:v>reported input</x:v>
      </x:c>
      <x:c r="K980" s="11" t="str">
        <x:v>待核</x:v>
      </x:c>
      <x:c r="L980" s="11" t="str">
        <x:v>精确发布时间未核验</x:v>
      </x:c>
      <x:c r="M980" s="11" t="str">
        <x:v>截止日前日期，盘中时分未核</x:v>
      </x:c>
    </x:row>
    <x:row r="981" ht="23" customHeight="1">
      <x:c r="A981" s="11" t="str">
        <x:v>I070</x:v>
      </x:c>
      <x:c r="B981" s="11" t="str">
        <x:v>09618.HK</x:v>
      </x:c>
      <x:c r="C981" s="11" t="str">
        <x:v>adjustedDilutedEPSCNY</x:v>
      </x:c>
      <x:c r="D981" s="39" t="n">
        <x:v>5.7</x:v>
      </x:c>
      <x:c r="E981" s="11" t="str">
        <x:v>CNY</x:v>
      </x:c>
      <x:c r="F981" s="11" t="str">
        <x:v>CNY/ordinary share</x:v>
      </x:c>
      <x:c r="G981" s="11" t="str">
        <x:v>2026H1</x:v>
      </x:c>
      <x:c r="H981" s="11" t="str">
        <x:v>2026-08-13；文件目录18:03，会议20:00北京香港时间，收盘后</x:v>
      </x:c>
      <x:c r="I981" s="11" t="str">
        <x:v>https://ir.jd.com/system/files-encrypted/nasdaq_kms/assets/2026/08/13/18-03-06/JD.com%20Announces%20Second%20Quarter%20and%20Interim%202026%20Results.pdf</x:v>
      </x:c>
      <x:c r="J981" s="11" t="str">
        <x:v>reported input</x:v>
      </x:c>
      <x:c r="K981" s="11" t="str">
        <x:v>待核</x:v>
      </x:c>
      <x:c r="L981" s="11" t="str">
        <x:v>精确发布时间未核验</x:v>
      </x:c>
      <x:c r="M981" s="11" t="str">
        <x:v>截止日前日期，盘中时分未核</x:v>
      </x:c>
    </x:row>
    <x:row r="982" ht="23" customHeight="1">
      <x:c r="A982" s="11" t="str">
        <x:v>I070</x:v>
      </x:c>
      <x:c r="B982" s="11" t="str">
        <x:v>09618.HK</x:v>
      </x:c>
      <x:c r="C982" s="11" t="str">
        <x:v>weightedBasicSharesMillion</x:v>
      </x:c>
      <x:c r="D982" s="39" t="n">
        <x:v>2716</x:v>
      </x:c>
      <x:c r="E982" s="11" t="str">
        <x:v>not monetary</x:v>
      </x:c>
      <x:c r="F982" s="11" t="str">
        <x:v>million ordinary shares</x:v>
      </x:c>
      <x:c r="G982" s="11" t="str">
        <x:v>2026H1</x:v>
      </x:c>
      <x:c r="H982" s="11" t="str">
        <x:v>2026-08-13；文件目录18:03，会议20:00北京香港时间，收盘后</x:v>
      </x:c>
      <x:c r="I982" s="11" t="str">
        <x:v>https://ir.jd.com/system/files-encrypted/nasdaq_kms/assets/2026/08/13/18-03-06/JD.com%20Announces%20Second%20Quarter%20and%20Interim%202026%20Results.pdf</x:v>
      </x:c>
      <x:c r="J982" s="11" t="str">
        <x:v>reported input</x:v>
      </x:c>
      <x:c r="K982" s="11" t="str">
        <x:v>待核</x:v>
      </x:c>
      <x:c r="L982" s="11" t="str">
        <x:v>精确发布时间未核验</x:v>
      </x:c>
      <x:c r="M982" s="11" t="str">
        <x:v>截止日前日期，盘中时分未核</x:v>
      </x:c>
    </x:row>
    <x:row r="983" ht="23" customHeight="1">
      <x:c r="A983" s="11" t="str">
        <x:v>I070</x:v>
      </x:c>
      <x:c r="B983" s="11" t="str">
        <x:v>09618.HK</x:v>
      </x:c>
      <x:c r="C983" s="11" t="str">
        <x:v>weightedDilutedSharesMillion</x:v>
      </x:c>
      <x:c r="D983" s="39" t="n">
        <x:v>2841</x:v>
      </x:c>
      <x:c r="E983" s="11" t="str">
        <x:v>not monetary</x:v>
      </x:c>
      <x:c r="F983" s="11" t="str">
        <x:v>million ordinary shares</x:v>
      </x:c>
      <x:c r="G983" s="11" t="str">
        <x:v>2026H1</x:v>
      </x:c>
      <x:c r="H983" s="11" t="str">
        <x:v>2026-08-13；文件目录18:03，会议20:00北京香港时间，收盘后</x:v>
      </x:c>
      <x:c r="I983" s="11" t="str">
        <x:v>https://ir.jd.com/system/files-encrypted/nasdaq_kms/assets/2026/08/13/18-03-06/JD.com%20Announces%20Second%20Quarter%20and%20Interim%202026%20Results.pdf</x:v>
      </x:c>
      <x:c r="J983" s="11" t="str">
        <x:v>reported input</x:v>
      </x:c>
      <x:c r="K983" s="11" t="str">
        <x:v>待核</x:v>
      </x:c>
      <x:c r="L983" s="11" t="str">
        <x:v>精确发布时间未核验</x:v>
      </x:c>
      <x:c r="M983" s="11" t="str">
        <x:v>截止日前日期，盘中时分未核</x:v>
      </x:c>
    </x:row>
    <x:row r="984" ht="23" customHeight="1">
      <x:c r="A984" s="11" t="str">
        <x:v>I070</x:v>
      </x:c>
      <x:c r="B984" s="11" t="str">
        <x:v>09618.HK</x:v>
      </x:c>
      <x:c r="C984" s="11" t="str">
        <x:v>Q2RevenueCNYmillion</x:v>
      </x:c>
      <x:c r="D984" s="39" t="n">
        <x:v>346401</x:v>
      </x:c>
      <x:c r="E984" s="11" t="str">
        <x:v>CNY</x:v>
      </x:c>
      <x:c r="F984" s="11" t="str">
        <x:v>CNY million</x:v>
      </x:c>
      <x:c r="G984" s="11" t="str">
        <x:v>2026Q2</x:v>
      </x:c>
      <x:c r="H984" s="11" t="str">
        <x:v>2026-08-13；文件目录18:03，会议20:00北京香港时间，收盘后</x:v>
      </x:c>
      <x:c r="I984" s="11" t="str">
        <x:v>https://ir.jd.com/system/files-encrypted/nasdaq_kms/assets/2026/08/13/18-03-06/JD.com%20Announces%20Second%20Quarter%20and%20Interim%202026%20Results.pdf</x:v>
      </x:c>
      <x:c r="J984" s="11" t="str">
        <x:v>reported input</x:v>
      </x:c>
      <x:c r="K984" s="11" t="str">
        <x:v>待核</x:v>
      </x:c>
      <x:c r="L984" s="11" t="str">
        <x:v>精确发布时间未核验</x:v>
      </x:c>
      <x:c r="M984" s="11" t="str">
        <x:v>截止日前日期，盘中时分未核</x:v>
      </x:c>
    </x:row>
    <x:row r="985" ht="23" customHeight="1">
      <x:c r="A985" s="11" t="str">
        <x:v>I070</x:v>
      </x:c>
      <x:c r="B985" s="11" t="str">
        <x:v>09618.HK</x:v>
      </x:c>
      <x:c r="C985" s="11" t="str">
        <x:v>Q2GroupNetIncomeCNYmillion</x:v>
      </x:c>
      <x:c r="D985" s="39" t="n">
        <x:v>8687</x:v>
      </x:c>
      <x:c r="E985" s="11" t="str">
        <x:v>CNY</x:v>
      </x:c>
      <x:c r="F985" s="11" t="str">
        <x:v>CNY million</x:v>
      </x:c>
      <x:c r="G985" s="11" t="str">
        <x:v>2026Q2</x:v>
      </x:c>
      <x:c r="H985" s="11" t="str">
        <x:v>2026-08-13；文件目录18:03，会议20:00北京香港时间，收盘后</x:v>
      </x:c>
      <x:c r="I985" s="11" t="str">
        <x:v>https://ir.jd.com/system/files-encrypted/nasdaq_kms/assets/2026/08/13/18-03-06/JD.com%20Announces%20Second%20Quarter%20and%20Interim%202026%20Results.pdf</x:v>
      </x:c>
      <x:c r="J985" s="11" t="str">
        <x:v>reported input</x:v>
      </x:c>
      <x:c r="K985" s="11" t="str">
        <x:v>待核</x:v>
      </x:c>
      <x:c r="L985" s="11" t="str">
        <x:v>精确发布时间未核验</x:v>
      </x:c>
      <x:c r="M985" s="11" t="str">
        <x:v>截止日前日期，盘中时分未核</x:v>
      </x:c>
    </x:row>
    <x:row r="986" ht="23" customHeight="1">
      <x:c r="A986" s="11" t="str">
        <x:v>I070</x:v>
      </x:c>
      <x:c r="B986" s="11" t="str">
        <x:v>09618.HK</x:v>
      </x:c>
      <x:c r="C986" s="11" t="str">
        <x:v>Q2ProfitAttributableCNYmillion</x:v>
      </x:c>
      <x:c r="D986" s="39" t="n">
        <x:v>7129</x:v>
      </x:c>
      <x:c r="E986" s="11" t="str">
        <x:v>CNY</x:v>
      </x:c>
      <x:c r="F986" s="11" t="str">
        <x:v>CNY million</x:v>
      </x:c>
      <x:c r="G986" s="11" t="str">
        <x:v>2026Q2</x:v>
      </x:c>
      <x:c r="H986" s="11" t="str">
        <x:v>2026-08-13；文件目录18:03，会议20:00北京香港时间，收盘后</x:v>
      </x:c>
      <x:c r="I986" s="11" t="str">
        <x:v>https://ir.jd.com/system/files-encrypted/nasdaq_kms/assets/2026/08/13/18-03-06/JD.com%20Announces%20Second%20Quarter%20and%20Interim%202026%20Results.pdf</x:v>
      </x:c>
      <x:c r="J986" s="11" t="str">
        <x:v>reported input</x:v>
      </x:c>
      <x:c r="K986" s="11" t="str">
        <x:v>待核</x:v>
      </x:c>
      <x:c r="L986" s="11" t="str">
        <x:v>精确发布时间未核验</x:v>
      </x:c>
      <x:c r="M986" s="11" t="str">
        <x:v>截止日前日期，盘中时分未核</x:v>
      </x:c>
    </x:row>
    <x:row r="987" ht="23" customHeight="1">
      <x:c r="A987" s="11" t="str">
        <x:v>I070</x:v>
      </x:c>
      <x:c r="B987" s="11" t="str">
        <x:v>09618.HK</x:v>
      </x:c>
      <x:c r="C987" s="11" t="str">
        <x:v>Q2AdjustedProfitAttributableCNYmillion</x:v>
      </x:c>
      <x:c r="D987" s="39" t="n">
        <x:v>8930</x:v>
      </x:c>
      <x:c r="E987" s="11" t="str">
        <x:v>CNY</x:v>
      </x:c>
      <x:c r="F987" s="11" t="str">
        <x:v>CNY million</x:v>
      </x:c>
      <x:c r="G987" s="11" t="str">
        <x:v>2026Q2</x:v>
      </x:c>
      <x:c r="H987" s="11" t="str">
        <x:v>2026-08-13；文件目录18:03，会议20:00北京香港时间，收盘后</x:v>
      </x:c>
      <x:c r="I987" s="11" t="str">
        <x:v>https://ir.jd.com/system/files-encrypted/nasdaq_kms/assets/2026/08/13/18-03-06/JD.com%20Announces%20Second%20Quarter%20and%20Interim%202026%20Results.pdf</x:v>
      </x:c>
      <x:c r="J987" s="11" t="str">
        <x:v>reported input</x:v>
      </x:c>
      <x:c r="K987" s="11" t="str">
        <x:v>待核</x:v>
      </x:c>
      <x:c r="L987" s="11" t="str">
        <x:v>精确发布时间未核验</x:v>
      </x:c>
      <x:c r="M987" s="11" t="str">
        <x:v>截止日前日期，盘中时分未核</x:v>
      </x:c>
    </x:row>
    <x:row r="988" ht="23" customHeight="1">
      <x:c r="A988" s="11" t="str">
        <x:v>I070</x:v>
      </x:c>
      <x:c r="B988" s="11" t="str">
        <x:v>09618.HK</x:v>
      </x:c>
      <x:c r="C988" s="11" t="str">
        <x:v>Q2DilutedEPSCNY</x:v>
      </x:c>
      <x:c r="D988" s="39" t="n">
        <x:v>2.51</x:v>
      </x:c>
      <x:c r="E988" s="11" t="str">
        <x:v>CNY</x:v>
      </x:c>
      <x:c r="F988" s="11" t="str">
        <x:v>CNY/ordinary share</x:v>
      </x:c>
      <x:c r="G988" s="11" t="str">
        <x:v>2026Q2</x:v>
      </x:c>
      <x:c r="H988" s="11" t="str">
        <x:v>2026-08-13；文件目录18:03，会议20:00北京香港时间，收盘后</x:v>
      </x:c>
      <x:c r="I988" s="11" t="str">
        <x:v>https://ir.jd.com/system/files-encrypted/nasdaq_kms/assets/2026/08/13/18-03-06/JD.com%20Announces%20Second%20Quarter%20and%20Interim%202026%20Results.pdf</x:v>
      </x:c>
      <x:c r="J988" s="11" t="str">
        <x:v>reported input</x:v>
      </x:c>
      <x:c r="K988" s="11" t="str">
        <x:v>待核</x:v>
      </x:c>
      <x:c r="L988" s="11" t="str">
        <x:v>精确发布时间未核验</x:v>
      </x:c>
      <x:c r="M988" s="11" t="str">
        <x:v>截止日前日期，盘中时分未核</x:v>
      </x:c>
    </x:row>
    <x:row r="989" ht="23" customHeight="1">
      <x:c r="A989" s="11" t="str">
        <x:v>I070</x:v>
      </x:c>
      <x:c r="B989" s="11" t="str">
        <x:v>09618.HK</x:v>
      </x:c>
      <x:c r="C989" s="11" t="str">
        <x:v>Q2AdjustedDilutedEPSCNY</x:v>
      </x:c>
      <x:c r="D989" s="39" t="n">
        <x:v>3.14</x:v>
      </x:c>
      <x:c r="E989" s="11" t="str">
        <x:v>CNY</x:v>
      </x:c>
      <x:c r="F989" s="11" t="str">
        <x:v>CNY/ordinary share</x:v>
      </x:c>
      <x:c r="G989" s="11" t="str">
        <x:v>2026Q2</x:v>
      </x:c>
      <x:c r="H989" s="11" t="str">
        <x:v>2026-08-13；文件目录18:03，会议20:00北京香港时间，收盘后</x:v>
      </x:c>
      <x:c r="I989" s="11" t="str">
        <x:v>https://ir.jd.com/system/files-encrypted/nasdaq_kms/assets/2026/08/13/18-03-06/JD.com%20Announces%20Second%20Quarter%20and%20Interim%202026%20Results.pdf</x:v>
      </x:c>
      <x:c r="J989" s="11" t="str">
        <x:v>reported input</x:v>
      </x:c>
      <x:c r="K989" s="11" t="str">
        <x:v>待核</x:v>
      </x:c>
      <x:c r="L989" s="11" t="str">
        <x:v>精确发布时间未核验</x:v>
      </x:c>
      <x:c r="M989" s="11" t="str">
        <x:v>截止日前日期，盘中时分未核</x:v>
      </x:c>
    </x:row>
    <x:row r="990" ht="23" customHeight="1">
      <x:c r="A990" s="11" t="str">
        <x:v>I070</x:v>
      </x:c>
      <x:c r="B990" s="11" t="str">
        <x:v>09618.HK</x:v>
      </x:c>
      <x:c r="C990" s="11" t="str">
        <x:v>ADSOrdinarySharesRatio</x:v>
      </x:c>
      <x:c r="D990" s="39" t="n">
        <x:v>2</x:v>
      </x:c>
      <x:c r="E990" s="11" t="str">
        <x:v>not monetary</x:v>
      </x:c>
      <x:c r="F990" s="11" t="str">
        <x:v>ordinary shares per ADS</x:v>
      </x:c>
      <x:c r="G990" s="11" t="str">
        <x:v>2026H1</x:v>
      </x:c>
      <x:c r="H990" s="11" t="str">
        <x:v>2026-08-13；文件目录18:03，会议20:00北京香港时间，收盘后</x:v>
      </x:c>
      <x:c r="I990" s="11" t="str">
        <x:v>https://ir.jd.com/system/files-encrypted/nasdaq_kms/assets/2026/08/13/18-03-06/JD.com%20Announces%20Second%20Quarter%20and%20Interim%202026%20Results.pdf</x:v>
      </x:c>
      <x:c r="J990" s="11" t="str">
        <x:v>reported input</x:v>
      </x:c>
      <x:c r="K990" s="11" t="str">
        <x:v>待核</x:v>
      </x:c>
      <x:c r="L990" s="11" t="str">
        <x:v>精确发布时间未核验</x:v>
      </x:c>
      <x:c r="M990" s="11" t="str">
        <x:v>截止日前日期，盘中时分未核</x:v>
      </x:c>
    </x:row>
    <x:row r="991" ht="23" customHeight="1">
      <x:c r="A991" s="11" t="str">
        <x:v>I070</x:v>
      </x:c>
      <x:c r="B991" s="11" t="str">
        <x:v>09618.HK</x:v>
      </x:c>
      <x:c r="C991" s="11" t="str">
        <x:v>retailRevenueCNYmillion</x:v>
      </x:c>
      <x:c r="D991" s="39" t="n">
        <x:v>563971</x:v>
      </x:c>
      <x:c r="E991" s="11" t="str">
        <x:v>CNY</x:v>
      </x:c>
      <x:c r="F991" s="11" t="str">
        <x:v>CNY million</x:v>
      </x:c>
      <x:c r="G991" s="11" t="str">
        <x:v>2026H1</x:v>
      </x:c>
      <x:c r="H991" s="11" t="str">
        <x:v>2026-08-13；文件目录18:03，会议20:00北京香港时间，收盘后</x:v>
      </x:c>
      <x:c r="I991" s="11" t="str">
        <x:v>https://ir.jd.com/system/files-encrypted/nasdaq_kms/assets/2026/08/13/18-03-06/JD.com%20Announces%20Second%20Quarter%20and%20Interim%202026%20Results.pdf</x:v>
      </x:c>
      <x:c r="J991" s="11" t="str">
        <x:v>reported input</x:v>
      </x:c>
      <x:c r="K991" s="11" t="str">
        <x:v>待核</x:v>
      </x:c>
      <x:c r="L991" s="11" t="str">
        <x:v>精确发布时间未核验</x:v>
      </x:c>
      <x:c r="M991" s="11" t="str">
        <x:v>截止日前日期，盘中时分未核</x:v>
      </x:c>
    </x:row>
    <x:row r="992" ht="23" customHeight="1">
      <x:c r="A992" s="11" t="str">
        <x:v>I070</x:v>
      </x:c>
      <x:c r="B992" s="11" t="str">
        <x:v>09618.HK</x:v>
      </x:c>
      <x:c r="C992" s="11" t="str">
        <x:v>retailEBITCNYmillion</x:v>
      </x:c>
      <x:c r="D992" s="39" t="n">
        <x:v>28438</x:v>
      </x:c>
      <x:c r="E992" s="11" t="str">
        <x:v>CNY</x:v>
      </x:c>
      <x:c r="F992" s="11" t="str">
        <x:v>CNY million</x:v>
      </x:c>
      <x:c r="G992" s="11" t="str">
        <x:v>2026H1</x:v>
      </x:c>
      <x:c r="H992" s="11" t="str">
        <x:v>2026-08-13；文件目录18:03，会议20:00北京香港时间，收盘后</x:v>
      </x:c>
      <x:c r="I992" s="11" t="str">
        <x:v>https://ir.jd.com/system/files-encrypted/nasdaq_kms/assets/2026/08/13/18-03-06/JD.com%20Announces%20Second%20Quarter%20and%20Interim%202026%20Results.pdf</x:v>
      </x:c>
      <x:c r="J992" s="11" t="str">
        <x:v>reported input</x:v>
      </x:c>
      <x:c r="K992" s="11" t="str">
        <x:v>待核</x:v>
      </x:c>
      <x:c r="L992" s="11" t="str">
        <x:v>精确发布时间未核验</x:v>
      </x:c>
      <x:c r="M992" s="11" t="str">
        <x:v>截止日前日期，盘中时分未核</x:v>
      </x:c>
    </x:row>
    <x:row r="993" ht="23" customHeight="1">
      <x:c r="A993" s="11" t="str">
        <x:v>I070</x:v>
      </x:c>
      <x:c r="B993" s="11" t="str">
        <x:v>09618.HK</x:v>
      </x:c>
      <x:c r="C993" s="11" t="str">
        <x:v>logisticsRevenueCNYmillion</x:v>
      </x:c>
      <x:c r="D993" s="39" t="n">
        <x:v>124683</x:v>
      </x:c>
      <x:c r="E993" s="11" t="str">
        <x:v>CNY</x:v>
      </x:c>
      <x:c r="F993" s="11" t="str">
        <x:v>CNY million</x:v>
      </x:c>
      <x:c r="G993" s="11" t="str">
        <x:v>2026H1</x:v>
      </x:c>
      <x:c r="H993" s="11" t="str">
        <x:v>2026-08-13；文件目录18:03，会议20:00北京香港时间，收盘后</x:v>
      </x:c>
      <x:c r="I993" s="11" t="str">
        <x:v>https://ir.jd.com/system/files-encrypted/nasdaq_kms/assets/2026/08/13/18-03-06/JD.com%20Announces%20Second%20Quarter%20and%20Interim%202026%20Results.pdf</x:v>
      </x:c>
      <x:c r="J993" s="11" t="str">
        <x:v>reported input</x:v>
      </x:c>
      <x:c r="K993" s="11" t="str">
        <x:v>待核</x:v>
      </x:c>
      <x:c r="L993" s="11" t="str">
        <x:v>精确发布时间未核验</x:v>
      </x:c>
      <x:c r="M993" s="11" t="str">
        <x:v>截止日前日期，盘中时分未核</x:v>
      </x:c>
    </x:row>
    <x:row r="994" ht="23" customHeight="1">
      <x:c r="A994" s="11" t="str">
        <x:v>I070</x:v>
      </x:c>
      <x:c r="B994" s="11" t="str">
        <x:v>09618.HK</x:v>
      </x:c>
      <x:c r="C994" s="11" t="str">
        <x:v>logisticsEBITCNYmillion</x:v>
      </x:c>
      <x:c r="D994" s="39" t="n">
        <x:v>3283</x:v>
      </x:c>
      <x:c r="E994" s="11" t="str">
        <x:v>CNY</x:v>
      </x:c>
      <x:c r="F994" s="11" t="str">
        <x:v>CNY million</x:v>
      </x:c>
      <x:c r="G994" s="11" t="str">
        <x:v>2026H1</x:v>
      </x:c>
      <x:c r="H994" s="11" t="str">
        <x:v>2026-08-13；文件目录18:03，会议20:00北京香港时间，收盘后</x:v>
      </x:c>
      <x:c r="I994" s="11" t="str">
        <x:v>https://ir.jd.com/system/files-encrypted/nasdaq_kms/assets/2026/08/13/18-03-06/JD.com%20Announces%20Second%20Quarter%20and%20Interim%202026%20Results.pdf</x:v>
      </x:c>
      <x:c r="J994" s="11" t="str">
        <x:v>reported input</x:v>
      </x:c>
      <x:c r="K994" s="11" t="str">
        <x:v>待核</x:v>
      </x:c>
      <x:c r="L994" s="11" t="str">
        <x:v>精确发布时间未核验</x:v>
      </x:c>
      <x:c r="M994" s="11" t="str">
        <x:v>截止日前日期，盘中时分未核</x:v>
      </x:c>
    </x:row>
    <x:row r="995" ht="23" customHeight="1">
      <x:c r="A995" s="11" t="str">
        <x:v>I070</x:v>
      </x:c>
      <x:c r="B995" s="11" t="str">
        <x:v>09618.HK</x:v>
      </x:c>
      <x:c r="C995" s="11" t="str">
        <x:v>newRevenueCNYmillion</x:v>
      </x:c>
      <x:c r="D995" s="39" t="n">
        <x:v>13539</x:v>
      </x:c>
      <x:c r="E995" s="11" t="str">
        <x:v>CNY</x:v>
      </x:c>
      <x:c r="F995" s="11" t="str">
        <x:v>CNY million</x:v>
      </x:c>
      <x:c r="G995" s="11" t="str">
        <x:v>2026H1</x:v>
      </x:c>
      <x:c r="H995" s="11" t="str">
        <x:v>2026-08-13；文件目录18:03，会议20:00北京香港时间，收盘后</x:v>
      </x:c>
      <x:c r="I995" s="11" t="str">
        <x:v>https://ir.jd.com/system/files-encrypted/nasdaq_kms/assets/2026/08/13/18-03-06/JD.com%20Announces%20Second%20Quarter%20and%20Interim%202026%20Results.pdf</x:v>
      </x:c>
      <x:c r="J995" s="11" t="str">
        <x:v>reported input</x:v>
      </x:c>
      <x:c r="K995" s="11" t="str">
        <x:v>待核</x:v>
      </x:c>
      <x:c r="L995" s="11" t="str">
        <x:v>精确发布时间未核验</x:v>
      </x:c>
      <x:c r="M995" s="11" t="str">
        <x:v>截止日前日期，盘中时分未核</x:v>
      </x:c>
    </x:row>
    <x:row r="996" ht="23" customHeight="1">
      <x:c r="A996" s="11" t="str">
        <x:v>I070</x:v>
      </x:c>
      <x:c r="B996" s="11" t="str">
        <x:v>09618.HK</x:v>
      </x:c>
      <x:c r="C996" s="11" t="str">
        <x:v>newEBITCNYmillion</x:v>
      </x:c>
      <x:c r="D996" s="39" t="n">
        <x:v>-20206</x:v>
      </x:c>
      <x:c r="E996" s="11" t="str">
        <x:v>CNY</x:v>
      </x:c>
      <x:c r="F996" s="11" t="str">
        <x:v>CNY million</x:v>
      </x:c>
      <x:c r="G996" s="11" t="str">
        <x:v>2026H1</x:v>
      </x:c>
      <x:c r="H996" s="11" t="str">
        <x:v>2026-08-13；文件目录18:03，会议20:00北京香港时间，收盘后</x:v>
      </x:c>
      <x:c r="I996" s="11" t="str">
        <x:v>https://ir.jd.com/system/files-encrypted/nasdaq_kms/assets/2026/08/13/18-03-06/JD.com%20Announces%20Second%20Quarter%20and%20Interim%202026%20Results.pdf</x:v>
      </x:c>
      <x:c r="J996" s="11" t="str">
        <x:v>reported input</x:v>
      </x:c>
      <x:c r="K996" s="11" t="str">
        <x:v>待核</x:v>
      </x:c>
      <x:c r="L996" s="11" t="str">
        <x:v>精确发布时间未核验</x:v>
      </x:c>
      <x:c r="M996" s="11" t="str">
        <x:v>截止日前日期，盘中时分未核</x:v>
      </x:c>
    </x:row>
    <x:row r="997" ht="23" customHeight="1">
      <x:c r="A997" s="11" t="str">
        <x:v>I070</x:v>
      </x:c>
      <x:c r="B997" s="11" t="str">
        <x:v>09618.HK</x:v>
      </x:c>
      <x:c r="C997" s="11" t="str">
        <x:v>intersegmentEliminatedRevenueCNYmillion</x:v>
      </x:c>
      <x:c r="D997" s="39" t="n">
        <x:v>-40098</x:v>
      </x:c>
      <x:c r="E997" s="11" t="str">
        <x:v>CNY</x:v>
      </x:c>
      <x:c r="F997" s="11" t="str">
        <x:v>CNY million</x:v>
      </x:c>
      <x:c r="G997" s="11" t="str">
        <x:v>2026H1</x:v>
      </x:c>
      <x:c r="H997" s="11" t="str">
        <x:v>2026-08-13；文件目录18:03，会议20:00北京香港时间，收盘后</x:v>
      </x:c>
      <x:c r="I997" s="11" t="str">
        <x:v>https://ir.jd.com/system/files-encrypted/nasdaq_kms/assets/2026/08/13/18-03-06/JD.com%20Announces%20Second%20Quarter%20and%20Interim%202026%20Results.pdf</x:v>
      </x:c>
      <x:c r="J997" s="11" t="str">
        <x:v>reported input</x:v>
      </x:c>
      <x:c r="K997" s="11" t="str">
        <x:v>待核</x:v>
      </x:c>
      <x:c r="L997" s="11" t="str">
        <x:v>精确发布时间未核验</x:v>
      </x:c>
      <x:c r="M997" s="11" t="str">
        <x:v>截止日前日期，盘中时分未核</x:v>
      </x:c>
    </x:row>
    <x:row r="998" ht="23" customHeight="1">
      <x:c r="A998" s="11" t="str">
        <x:v>I070</x:v>
      </x:c>
      <x:c r="B998" s="11" t="str">
        <x:v>09618.HK</x:v>
      </x:c>
      <x:c r="C998" s="11" t="str">
        <x:v>unallocatedEBITCNYmillion</x:v>
      </x:c>
      <x:c r="D998" s="39" t="n">
        <x:v>-3161</x:v>
      </x:c>
      <x:c r="E998" s="11" t="str">
        <x:v>CNY</x:v>
      </x:c>
      <x:c r="F998" s="11" t="str">
        <x:v>CNY million</x:v>
      </x:c>
      <x:c r="G998" s="11" t="str">
        <x:v>2026H1</x:v>
      </x:c>
      <x:c r="H998" s="11" t="str">
        <x:v>2026-08-13；文件目录18:03，会议20:00北京香港时间，收盘后</x:v>
      </x:c>
      <x:c r="I998" s="11" t="str">
        <x:v>https://ir.jd.com/system/files-encrypted/nasdaq_kms/assets/2026/08/13/18-03-06/JD.com%20Announces%20Second%20Quarter%20and%20Interim%202026%20Results.pdf</x:v>
      </x:c>
      <x:c r="J998" s="11" t="str">
        <x:v>reported input</x:v>
      </x:c>
      <x:c r="K998" s="11" t="str">
        <x:v>待核</x:v>
      </x:c>
      <x:c r="L998" s="11" t="str">
        <x:v>精确发布时间未核验</x:v>
      </x:c>
      <x:c r="M998" s="11" t="str">
        <x:v>截止日前日期，盘中时分未核</x:v>
      </x:c>
    </x:row>
    <x:row r="999" ht="23" customHeight="1">
      <x:c r="A999" s="11" t="str">
        <x:v>I070</x:v>
      </x:c>
      <x:c r="B999" s="11" t="str">
        <x:v>09618.HK</x:v>
      </x:c>
      <x:c r="C999" s="11" t="str">
        <x:v>Q2RetailRevenueCNYmillion</x:v>
      </x:c>
      <x:c r="D999" s="39" t="n">
        <x:v>295383</x:v>
      </x:c>
      <x:c r="E999" s="11" t="str">
        <x:v>CNY</x:v>
      </x:c>
      <x:c r="F999" s="11" t="str">
        <x:v>CNY million</x:v>
      </x:c>
      <x:c r="G999" s="11" t="str">
        <x:v>2026Q2</x:v>
      </x:c>
      <x:c r="H999" s="11" t="str">
        <x:v>2026-08-13；文件目录18:03，会议20:00北京香港时间，收盘后</x:v>
      </x:c>
      <x:c r="I999" s="11" t="str">
        <x:v>https://ir.jd.com/system/files-encrypted/nasdaq_kms/assets/2026/08/13/18-03-06/JD.com%20Announces%20Second%20Quarter%20and%20Interim%202026%20Results.pdf</x:v>
      </x:c>
      <x:c r="J999" s="11" t="str">
        <x:v>reported input</x:v>
      </x:c>
      <x:c r="K999" s="11" t="str">
        <x:v>待核</x:v>
      </x:c>
      <x:c r="L999" s="11" t="str">
        <x:v>精确发布时间未核验</x:v>
      </x:c>
      <x:c r="M999" s="11" t="str">
        <x:v>截止日前日期，盘中时分未核</x:v>
      </x:c>
    </x:row>
    <x:row r="1000" ht="23" customHeight="1">
      <x:c r="A1000" s="11" t="str">
        <x:v>I070</x:v>
      </x:c>
      <x:c r="B1000" s="11" t="str">
        <x:v>09618.HK</x:v>
      </x:c>
      <x:c r="C1000" s="11" t="str">
        <x:v>Q2RetailEBITCNYmillion</x:v>
      </x:c>
      <x:c r="D1000" s="39" t="n">
        <x:v>13478</x:v>
      </x:c>
      <x:c r="E1000" s="11" t="str">
        <x:v>CNY</x:v>
      </x:c>
      <x:c r="F1000" s="11" t="str">
        <x:v>CNY million</x:v>
      </x:c>
      <x:c r="G1000" s="11" t="str">
        <x:v>2026Q2</x:v>
      </x:c>
      <x:c r="H1000" s="11" t="str">
        <x:v>2026-08-13；文件目录18:03，会议20:00北京香港时间，收盘后</x:v>
      </x:c>
      <x:c r="I1000" s="11" t="str">
        <x:v>https://ir.jd.com/system/files-encrypted/nasdaq_kms/assets/2026/08/13/18-03-06/JD.com%20Announces%20Second%20Quarter%20and%20Interim%202026%20Results.pdf</x:v>
      </x:c>
      <x:c r="J1000" s="11" t="str">
        <x:v>reported input</x:v>
      </x:c>
      <x:c r="K1000" s="11" t="str">
        <x:v>待核</x:v>
      </x:c>
      <x:c r="L1000" s="11" t="str">
        <x:v>精确发布时间未核验</x:v>
      </x:c>
      <x:c r="M1000" s="11" t="str">
        <x:v>截止日前日期，盘中时分未核</x:v>
      </x:c>
    </x:row>
    <x:row r="1001" ht="23" customHeight="1">
      <x:c r="A1001" s="11" t="str">
        <x:v>I070</x:v>
      </x:c>
      <x:c r="B1001" s="11" t="str">
        <x:v>09618.HK</x:v>
      </x:c>
      <x:c r="C1001" s="11" t="str">
        <x:v>Q2LogisticsRevenueCNYmillion</x:v>
      </x:c>
      <x:c r="D1001" s="39" t="n">
        <x:v>64102</x:v>
      </x:c>
      <x:c r="E1001" s="11" t="str">
        <x:v>CNY</x:v>
      </x:c>
      <x:c r="F1001" s="11" t="str">
        <x:v>CNY million</x:v>
      </x:c>
      <x:c r="G1001" s="11" t="str">
        <x:v>2026Q2</x:v>
      </x:c>
      <x:c r="H1001" s="11" t="str">
        <x:v>2026-08-13；文件目录18:03，会议20:00北京香港时间，收盘后</x:v>
      </x:c>
      <x:c r="I1001" s="11" t="str">
        <x:v>https://ir.jd.com/system/files-encrypted/nasdaq_kms/assets/2026/08/13/18-03-06/JD.com%20Announces%20Second%20Quarter%20and%20Interim%202026%20Results.pdf</x:v>
      </x:c>
      <x:c r="J1001" s="11" t="str">
        <x:v>reported input</x:v>
      </x:c>
      <x:c r="K1001" s="11" t="str">
        <x:v>待核</x:v>
      </x:c>
      <x:c r="L1001" s="11" t="str">
        <x:v>精确发布时间未核验</x:v>
      </x:c>
      <x:c r="M1001" s="11" t="str">
        <x:v>截止日前日期，盘中时分未核</x:v>
      </x:c>
    </x:row>
    <x:row r="1002" ht="23" customHeight="1">
      <x:c r="A1002" s="11" t="str">
        <x:v>I070</x:v>
      </x:c>
      <x:c r="B1002" s="11" t="str">
        <x:v>09618.HK</x:v>
      </x:c>
      <x:c r="C1002" s="11" t="str">
        <x:v>Q2LogisticsEBITCNYmillion</x:v>
      </x:c>
      <x:c r="D1002" s="39" t="n">
        <x:v>2263</x:v>
      </x:c>
      <x:c r="E1002" s="11" t="str">
        <x:v>CNY</x:v>
      </x:c>
      <x:c r="F1002" s="11" t="str">
        <x:v>CNY million</x:v>
      </x:c>
      <x:c r="G1002" s="11" t="str">
        <x:v>2026Q2</x:v>
      </x:c>
      <x:c r="H1002" s="11" t="str">
        <x:v>2026-08-13；文件目录18:03，会议20:00北京香港时间，收盘后</x:v>
      </x:c>
      <x:c r="I1002" s="11" t="str">
        <x:v>https://ir.jd.com/system/files-encrypted/nasdaq_kms/assets/2026/08/13/18-03-06/JD.com%20Announces%20Second%20Quarter%20and%20Interim%202026%20Results.pdf</x:v>
      </x:c>
      <x:c r="J1002" s="11" t="str">
        <x:v>reported input</x:v>
      </x:c>
      <x:c r="K1002" s="11" t="str">
        <x:v>待核</x:v>
      </x:c>
      <x:c r="L1002" s="11" t="str">
        <x:v>精确发布时间未核验</x:v>
      </x:c>
      <x:c r="M1002" s="11" t="str">
        <x:v>截止日前日期，盘中时分未核</x:v>
      </x:c>
    </x:row>
    <x:row r="1003" ht="23" customHeight="1">
      <x:c r="A1003" s="11" t="str">
        <x:v>I070</x:v>
      </x:c>
      <x:c r="B1003" s="11" t="str">
        <x:v>09618.HK</x:v>
      </x:c>
      <x:c r="C1003" s="11" t="str">
        <x:v>Q2NewRevenueCNYmillion</x:v>
      </x:c>
      <x:c r="D1003" s="39" t="n">
        <x:v>7260</x:v>
      </x:c>
      <x:c r="E1003" s="11" t="str">
        <x:v>CNY</x:v>
      </x:c>
      <x:c r="F1003" s="11" t="str">
        <x:v>CNY million</x:v>
      </x:c>
      <x:c r="G1003" s="11" t="str">
        <x:v>2026Q2</x:v>
      </x:c>
      <x:c r="H1003" s="11" t="str">
        <x:v>2026-08-13；文件目录18:03，会议20:00北京香港时间，收盘后</x:v>
      </x:c>
      <x:c r="I1003" s="11" t="str">
        <x:v>https://ir.jd.com/system/files-encrypted/nasdaq_kms/assets/2026/08/13/18-03-06/JD.com%20Announces%20Second%20Quarter%20and%20Interim%202026%20Results.pdf</x:v>
      </x:c>
      <x:c r="J1003" s="11" t="str">
        <x:v>reported input</x:v>
      </x:c>
      <x:c r="K1003" s="11" t="str">
        <x:v>待核</x:v>
      </x:c>
      <x:c r="L1003" s="11" t="str">
        <x:v>精确发布时间未核验</x:v>
      </x:c>
      <x:c r="M1003" s="11" t="str">
        <x:v>截止日前日期，盘中时分未核</x:v>
      </x:c>
    </x:row>
    <x:row r="1004" ht="23" customHeight="1">
      <x:c r="A1004" s="11" t="str">
        <x:v>I070</x:v>
      </x:c>
      <x:c r="B1004" s="11" t="str">
        <x:v>09618.HK</x:v>
      </x:c>
      <x:c r="C1004" s="11" t="str">
        <x:v>Q2NewEBITCNYmillion</x:v>
      </x:c>
      <x:c r="D1004" s="39" t="n">
        <x:v>-9854</x:v>
      </x:c>
      <x:c r="E1004" s="11" t="str">
        <x:v>CNY</x:v>
      </x:c>
      <x:c r="F1004" s="11" t="str">
        <x:v>CNY million</x:v>
      </x:c>
      <x:c r="G1004" s="11" t="str">
        <x:v>2026Q2</x:v>
      </x:c>
      <x:c r="H1004" s="11" t="str">
        <x:v>2026-08-13；文件目录18:03，会议20:00北京香港时间，收盘后</x:v>
      </x:c>
      <x:c r="I1004" s="11" t="str">
        <x:v>https://ir.jd.com/system/files-encrypted/nasdaq_kms/assets/2026/08/13/18-03-06/JD.com%20Announces%20Second%20Quarter%20and%20Interim%202026%20Results.pdf</x:v>
      </x:c>
      <x:c r="J1004" s="11" t="str">
        <x:v>reported input</x:v>
      </x:c>
      <x:c r="K1004" s="11" t="str">
        <x:v>待核</x:v>
      </x:c>
      <x:c r="L1004" s="11" t="str">
        <x:v>精确发布时间未核验</x:v>
      </x:c>
      <x:c r="M1004" s="11" t="str">
        <x:v>截止日前日期，盘中时分未核</x:v>
      </x:c>
    </x:row>
    <x:row r="1005" ht="23" customHeight="1">
      <x:c r="A1005" s="11" t="str">
        <x:v>I070</x:v>
      </x:c>
      <x:c r="B1005" s="11" t="str">
        <x:v>09618.HK</x:v>
      </x:c>
      <x:c r="C1005" s="11" t="str">
        <x:v>newPropertyGainCNYmillion</x:v>
      </x:c>
      <x:c r="D1005" s="39" t="n">
        <x:v>404</x:v>
      </x:c>
      <x:c r="E1005" s="11" t="str">
        <x:v>CNY</x:v>
      </x:c>
      <x:c r="F1005" s="11" t="str">
        <x:v>CNY million</x:v>
      </x:c>
      <x:c r="G1005" s="11" t="str">
        <x:v>2026H1</x:v>
      </x:c>
      <x:c r="H1005" s="11" t="str">
        <x:v>2026-08-13；文件目录18:03，会议20:00北京香港时间，收盘后</x:v>
      </x:c>
      <x:c r="I1005" s="11" t="str">
        <x:v>https://ir.jd.com/system/files-encrypted/nasdaq_kms/assets/2026/08/13/18-03-06/JD.com%20Announces%20Second%20Quarter%20and%20Interim%202026%20Results.pdf</x:v>
      </x:c>
      <x:c r="J1005" s="11" t="str">
        <x:v>reported input</x:v>
      </x:c>
      <x:c r="K1005" s="11" t="str">
        <x:v>待核</x:v>
      </x:c>
      <x:c r="L1005" s="11" t="str">
        <x:v>精确发布时间未核验</x:v>
      </x:c>
      <x:c r="M1005" s="11" t="str">
        <x:v>截止日前日期，盘中时分未核</x:v>
      </x:c>
    </x:row>
    <x:row r="1006" ht="23" customHeight="1">
      <x:c r="A1006" s="11" t="str">
        <x:v>I070</x:v>
      </x:c>
      <x:c r="B1006" s="11" t="str">
        <x:v>09618.HK</x:v>
      </x:c>
      <x:c r="C1006" s="11" t="str">
        <x:v>electronicsHomeRevenueCNYmillion</x:v>
      </x:c>
      <x:c r="D1006" s="39" t="n">
        <x:v>290057</x:v>
      </x:c>
      <x:c r="E1006" s="11" t="str">
        <x:v>CNY</x:v>
      </x:c>
      <x:c r="F1006" s="11" t="str">
        <x:v>CNY million</x:v>
      </x:c>
      <x:c r="G1006" s="11" t="str">
        <x:v>2026H1</x:v>
      </x:c>
      <x:c r="H1006" s="11" t="str">
        <x:v>2026-08-13；文件目录18:03，会议20:00北京香港时间，收盘后</x:v>
      </x:c>
      <x:c r="I1006" s="11" t="str">
        <x:v>https://ir.jd.com/system/files-encrypted/nasdaq_kms/assets/2026/08/13/18-03-06/JD.com%20Announces%20Second%20Quarter%20and%20Interim%202026%20Results.pdf</x:v>
      </x:c>
      <x:c r="J1006" s="11" t="str">
        <x:v>reported input</x:v>
      </x:c>
      <x:c r="K1006" s="11" t="str">
        <x:v>待核</x:v>
      </x:c>
      <x:c r="L1006" s="11" t="str">
        <x:v>精确发布时间未核验</x:v>
      </x:c>
      <x:c r="M1006" s="11" t="str">
        <x:v>截止日前日期，盘中时分未核</x:v>
      </x:c>
    </x:row>
    <x:row r="1007" ht="23" customHeight="1">
      <x:c r="A1007" s="11" t="str">
        <x:v>I070</x:v>
      </x:c>
      <x:c r="B1007" s="11" t="str">
        <x:v>09618.HK</x:v>
      </x:c>
      <x:c r="C1007" s="11" t="str">
        <x:v>generalMerchandiseCNYmillion</x:v>
      </x:c>
      <x:c r="D1007" s="39" t="n">
        <x:v>221877</x:v>
      </x:c>
      <x:c r="E1007" s="11" t="str">
        <x:v>CNY</x:v>
      </x:c>
      <x:c r="F1007" s="11" t="str">
        <x:v>CNY million</x:v>
      </x:c>
      <x:c r="G1007" s="11" t="str">
        <x:v>2026H1</x:v>
      </x:c>
      <x:c r="H1007" s="11" t="str">
        <x:v>2026-08-13；文件目录18:03，会议20:00北京香港时间，收盘后</x:v>
      </x:c>
      <x:c r="I1007" s="11" t="str">
        <x:v>https://ir.jd.com/system/files-encrypted/nasdaq_kms/assets/2026/08/13/18-03-06/JD.com%20Announces%20Second%20Quarter%20and%20Interim%202026%20Results.pdf</x:v>
      </x:c>
      <x:c r="J1007" s="11" t="str">
        <x:v>reported input</x:v>
      </x:c>
      <x:c r="K1007" s="11" t="str">
        <x:v>待核</x:v>
      </x:c>
      <x:c r="L1007" s="11" t="str">
        <x:v>精确发布时间未核验</x:v>
      </x:c>
      <x:c r="M1007" s="11" t="str">
        <x:v>截止日前日期，盘中时分未核</x:v>
      </x:c>
    </x:row>
    <x:row r="1008" ht="23" customHeight="1">
      <x:c r="A1008" s="11" t="str">
        <x:v>I070</x:v>
      </x:c>
      <x:c r="B1008" s="11" t="str">
        <x:v>09618.HK</x:v>
      </x:c>
      <x:c r="C1008" s="11" t="str">
        <x:v>marketplaceMarketingCNYmillion</x:v>
      </x:c>
      <x:c r="D1008" s="39" t="n">
        <x:v>57377</x:v>
      </x:c>
      <x:c r="E1008" s="11" t="str">
        <x:v>CNY</x:v>
      </x:c>
      <x:c r="F1008" s="11" t="str">
        <x:v>CNY million</x:v>
      </x:c>
      <x:c r="G1008" s="11" t="str">
        <x:v>2026H1</x:v>
      </x:c>
      <x:c r="H1008" s="11" t="str">
        <x:v>2026-08-13；文件目录18:03，会议20:00北京香港时间，收盘后</x:v>
      </x:c>
      <x:c r="I1008" s="11" t="str">
        <x:v>https://ir.jd.com/system/files-encrypted/nasdaq_kms/assets/2026/08/13/18-03-06/JD.com%20Announces%20Second%20Quarter%20and%20Interim%202026%20Results.pdf</x:v>
      </x:c>
      <x:c r="J1008" s="11" t="str">
        <x:v>reported input</x:v>
      </x:c>
      <x:c r="K1008" s="11" t="str">
        <x:v>待核</x:v>
      </x:c>
      <x:c r="L1008" s="11" t="str">
        <x:v>精确发布时间未核验</x:v>
      </x:c>
      <x:c r="M1008" s="11" t="str">
        <x:v>截止日前日期，盘中时分未核</x:v>
      </x:c>
    </x:row>
    <x:row r="1009" ht="23" customHeight="1">
      <x:c r="A1009" s="11" t="str">
        <x:v>I070</x:v>
      </x:c>
      <x:c r="B1009" s="11" t="str">
        <x:v>09618.HK</x:v>
      </x:c>
      <x:c r="C1009" s="11" t="str">
        <x:v>logisticsOtherServicesCNYmillion</x:v>
      </x:c>
      <x:c r="D1009" s="39" t="n">
        <x:v>92784</x:v>
      </x:c>
      <x:c r="E1009" s="11" t="str">
        <x:v>CNY</x:v>
      </x:c>
      <x:c r="F1009" s="11" t="str">
        <x:v>CNY million</x:v>
      </x:c>
      <x:c r="G1009" s="11" t="str">
        <x:v>2026H1</x:v>
      </x:c>
      <x:c r="H1009" s="11" t="str">
        <x:v>2026-08-13；文件目录18:03，会议20:00北京香港时间，收盘后</x:v>
      </x:c>
      <x:c r="I1009" s="11" t="str">
        <x:v>https://ir.jd.com/system/files-encrypted/nasdaq_kms/assets/2026/08/13/18-03-06/JD.com%20Announces%20Second%20Quarter%20and%20Interim%202026%20Results.pdf</x:v>
      </x:c>
      <x:c r="J1009" s="11" t="str">
        <x:v>reported input</x:v>
      </x:c>
      <x:c r="K1009" s="11" t="str">
        <x:v>待核</x:v>
      </x:c>
      <x:c r="L1009" s="11" t="str">
        <x:v>精确发布时间未核验</x:v>
      </x:c>
      <x:c r="M1009" s="11" t="str">
        <x:v>截止日前日期，盘中时分未核</x:v>
      </x:c>
    </x:row>
    <x:row r="1010" ht="23" customHeight="1">
      <x:c r="A1010" s="11" t="str">
        <x:v>I070</x:v>
      </x:c>
      <x:c r="B1010" s="11" t="str">
        <x:v>09618.HK</x:v>
      </x:c>
      <x:c r="C1010" s="11" t="str">
        <x:v>fulfillmentExpenseCNYmillion</x:v>
      </x:c>
      <x:c r="D1010" s="39" t="n">
        <x:v>47844</x:v>
      </x:c>
      <x:c r="E1010" s="11" t="str">
        <x:v>CNY</x:v>
      </x:c>
      <x:c r="F1010" s="11" t="str">
        <x:v>CNY million</x:v>
      </x:c>
      <x:c r="G1010" s="11" t="str">
        <x:v>2026H1</x:v>
      </x:c>
      <x:c r="H1010" s="11" t="str">
        <x:v>2026-08-13；文件目录18:03，会议20:00北京香港时间，收盘后</x:v>
      </x:c>
      <x:c r="I1010" s="11" t="str">
        <x:v>https://ir.jd.com/system/files-encrypted/nasdaq_kms/assets/2026/08/13/18-03-06/JD.com%20Announces%20Second%20Quarter%20and%20Interim%202026%20Results.pdf</x:v>
      </x:c>
      <x:c r="J1010" s="11" t="str">
        <x:v>reported input</x:v>
      </x:c>
      <x:c r="K1010" s="11" t="str">
        <x:v>待核</x:v>
      </x:c>
      <x:c r="L1010" s="11" t="str">
        <x:v>精确发布时间未核验</x:v>
      </x:c>
      <x:c r="M1010" s="11" t="str">
        <x:v>截止日前日期，盘中时分未核</x:v>
      </x:c>
    </x:row>
    <x:row r="1011" ht="23" customHeight="1">
      <x:c r="A1011" s="11" t="str">
        <x:v>I070</x:v>
      </x:c>
      <x:c r="B1011" s="11" t="str">
        <x:v>09618.HK</x:v>
      </x:c>
      <x:c r="C1011" s="11" t="str">
        <x:v>marketingExpenseCNYmillion</x:v>
      </x:c>
      <x:c r="D1011" s="39" t="n">
        <x:v>35674</x:v>
      </x:c>
      <x:c r="E1011" s="11" t="str">
        <x:v>CNY</x:v>
      </x:c>
      <x:c r="F1011" s="11" t="str">
        <x:v>CNY million</x:v>
      </x:c>
      <x:c r="G1011" s="11" t="str">
        <x:v>2026H1</x:v>
      </x:c>
      <x:c r="H1011" s="11" t="str">
        <x:v>2026-08-13；文件目录18:03，会议20:00北京香港时间，收盘后</x:v>
      </x:c>
      <x:c r="I1011" s="11" t="str">
        <x:v>https://ir.jd.com/system/files-encrypted/nasdaq_kms/assets/2026/08/13/18-03-06/JD.com%20Announces%20Second%20Quarter%20and%20Interim%202026%20Results.pdf</x:v>
      </x:c>
      <x:c r="J1011" s="11" t="str">
        <x:v>reported input</x:v>
      </x:c>
      <x:c r="K1011" s="11" t="str">
        <x:v>待核</x:v>
      </x:c>
      <x:c r="L1011" s="11" t="str">
        <x:v>精确发布时间未核验</x:v>
      </x:c>
      <x:c r="M1011" s="11" t="str">
        <x:v>截止日前日期，盘中时分未核</x:v>
      </x:c>
    </x:row>
    <x:row r="1012" ht="23" customHeight="1">
      <x:c r="A1012" s="11" t="str">
        <x:v>I070</x:v>
      </x:c>
      <x:c r="B1012" s="11" t="str">
        <x:v>09618.HK</x:v>
      </x:c>
      <x:c r="C1012" s="11" t="str">
        <x:v>RDCNYmillion</x:v>
      </x:c>
      <x:c r="D1012" s="39" t="n">
        <x:v>14165</x:v>
      </x:c>
      <x:c r="E1012" s="11" t="str">
        <x:v>CNY</x:v>
      </x:c>
      <x:c r="F1012" s="11" t="str">
        <x:v>CNY million</x:v>
      </x:c>
      <x:c r="G1012" s="11" t="str">
        <x:v>2026H1</x:v>
      </x:c>
      <x:c r="H1012" s="11" t="str">
        <x:v>2026-08-13；文件目录18:03，会议20:00北京香港时间，收盘后</x:v>
      </x:c>
      <x:c r="I1012" s="11" t="str">
        <x:v>https://ir.jd.com/system/files-encrypted/nasdaq_kms/assets/2026/08/13/18-03-06/JD.com%20Announces%20Second%20Quarter%20and%20Interim%202026%20Results.pdf</x:v>
      </x:c>
      <x:c r="J1012" s="11" t="str">
        <x:v>reported input</x:v>
      </x:c>
      <x:c r="K1012" s="11" t="str">
        <x:v>待核</x:v>
      </x:c>
      <x:c r="L1012" s="11" t="str">
        <x:v>精确发布时间未核验</x:v>
      </x:c>
      <x:c r="M1012" s="11" t="str">
        <x:v>截止日前日期，盘中时分未核</x:v>
      </x:c>
    </x:row>
    <x:row r="1013" ht="23" customHeight="1">
      <x:c r="A1013" s="11" t="str">
        <x:v>I070</x:v>
      </x:c>
      <x:c r="B1013" s="11" t="str">
        <x:v>09618.HK</x:v>
      </x:c>
      <x:c r="C1013" s="11" t="str">
        <x:v>GACNYmillion</x:v>
      </x:c>
      <x:c r="D1013" s="39" t="n">
        <x:v>6701</x:v>
      </x:c>
      <x:c r="E1013" s="11" t="str">
        <x:v>CNY</x:v>
      </x:c>
      <x:c r="F1013" s="11" t="str">
        <x:v>CNY million</x:v>
      </x:c>
      <x:c r="G1013" s="11" t="str">
        <x:v>2026H1</x:v>
      </x:c>
      <x:c r="H1013" s="11" t="str">
        <x:v>2026-08-13；文件目录18:03，会议20:00北京香港时间，收盘后</x:v>
      </x:c>
      <x:c r="I1013" s="11" t="str">
        <x:v>https://ir.jd.com/system/files-encrypted/nasdaq_kms/assets/2026/08/13/18-03-06/JD.com%20Announces%20Second%20Quarter%20and%20Interim%202026%20Results.pdf</x:v>
      </x:c>
      <x:c r="J1013" s="11" t="str">
        <x:v>reported input</x:v>
      </x:c>
      <x:c r="K1013" s="11" t="str">
        <x:v>待核</x:v>
      </x:c>
      <x:c r="L1013" s="11" t="str">
        <x:v>精确发布时间未核验</x:v>
      </x:c>
      <x:c r="M1013" s="11" t="str">
        <x:v>截止日前日期，盘中时分未核</x:v>
      </x:c>
    </x:row>
    <x:row r="1014" ht="23" customHeight="1">
      <x:c r="A1014" s="11" t="str">
        <x:v>I070</x:v>
      </x:c>
      <x:c r="B1014" s="11" t="str">
        <x:v>09618.HK</x:v>
      </x:c>
      <x:c r="C1014" s="11" t="str">
        <x:v>SBCCNYmillion</x:v>
      </x:c>
      <x:c r="D1014" s="39" t="n">
        <x:v>1979</x:v>
      </x:c>
      <x:c r="E1014" s="11" t="str">
        <x:v>CNY</x:v>
      </x:c>
      <x:c r="F1014" s="11" t="str">
        <x:v>CNY million</x:v>
      </x:c>
      <x:c r="G1014" s="11" t="str">
        <x:v>2026H1</x:v>
      </x:c>
      <x:c r="H1014" s="11" t="str">
        <x:v>2026-08-13；文件目录18:03，会议20:00北京香港时间，收盘后</x:v>
      </x:c>
      <x:c r="I1014" s="11" t="str">
        <x:v>https://ir.jd.com/system/files-encrypted/nasdaq_kms/assets/2026/08/13/18-03-06/JD.com%20Announces%20Second%20Quarter%20and%20Interim%202026%20Results.pdf</x:v>
      </x:c>
      <x:c r="J1014" s="11" t="str">
        <x:v>reported input</x:v>
      </x:c>
      <x:c r="K1014" s="11" t="str">
        <x:v>待核</x:v>
      </x:c>
      <x:c r="L1014" s="11" t="str">
        <x:v>精确发布时间未核验</x:v>
      </x:c>
      <x:c r="M1014" s="11" t="str">
        <x:v>截止日前日期，盘中时分未核</x:v>
      </x:c>
    </x:row>
    <x:row r="1015" ht="23" customHeight="1">
      <x:c r="A1015" s="11" t="str">
        <x:v>I070</x:v>
      </x:c>
      <x:c r="B1015" s="11" t="str">
        <x:v>09618.HK</x:v>
      </x:c>
      <x:c r="C1015" s="11" t="str">
        <x:v>associateIncomeCNYmillion</x:v>
      </x:c>
      <x:c r="D1015" s="39" t="n">
        <x:v>4187</x:v>
      </x:c>
      <x:c r="E1015" s="11" t="str">
        <x:v>CNY</x:v>
      </x:c>
      <x:c r="F1015" s="11" t="str">
        <x:v>CNY million</x:v>
      </x:c>
      <x:c r="G1015" s="11" t="str">
        <x:v>2026H1</x:v>
      </x:c>
      <x:c r="H1015" s="11" t="str">
        <x:v>2026-08-13；文件目录18:03，会议20:00北京香港时间，收盘后</x:v>
      </x:c>
      <x:c r="I1015" s="11" t="str">
        <x:v>https://ir.jd.com/system/files-encrypted/nasdaq_kms/assets/2026/08/13/18-03-06/JD.com%20Announces%20Second%20Quarter%20and%20Interim%202026%20Results.pdf</x:v>
      </x:c>
      <x:c r="J1015" s="11" t="str">
        <x:v>reported input</x:v>
      </x:c>
      <x:c r="K1015" s="11" t="str">
        <x:v>待核</x:v>
      </x:c>
      <x:c r="L1015" s="11" t="str">
        <x:v>精确发布时间未核验</x:v>
      </x:c>
      <x:c r="M1015" s="11" t="str">
        <x:v>截止日前日期，盘中时分未核</x:v>
      </x:c>
    </x:row>
    <x:row r="1016" ht="23" customHeight="1">
      <x:c r="A1016" s="11" t="str">
        <x:v>I070</x:v>
      </x:c>
      <x:c r="B1016" s="11" t="str">
        <x:v>09618.HK</x:v>
      </x:c>
      <x:c r="C1016" s="11" t="str">
        <x:v>otherIncomeCNYmillion</x:v>
      </x:c>
      <x:c r="D1016" s="39" t="n">
        <x:v>6602</x:v>
      </x:c>
      <x:c r="E1016" s="11" t="str">
        <x:v>CNY</x:v>
      </x:c>
      <x:c r="F1016" s="11" t="str">
        <x:v>CNY million</x:v>
      </x:c>
      <x:c r="G1016" s="11" t="str">
        <x:v>2026H1</x:v>
      </x:c>
      <x:c r="H1016" s="11" t="str">
        <x:v>2026-08-13；文件目录18:03，会议20:00北京香港时间，收盘后</x:v>
      </x:c>
      <x:c r="I1016" s="11" t="str">
        <x:v>https://ir.jd.com/system/files-encrypted/nasdaq_kms/assets/2026/08/13/18-03-06/JD.com%20Announces%20Second%20Quarter%20and%20Interim%202026%20Results.pdf</x:v>
      </x:c>
      <x:c r="J1016" s="11" t="str">
        <x:v>reported input</x:v>
      </x:c>
      <x:c r="K1016" s="11" t="str">
        <x:v>待核</x:v>
      </x:c>
      <x:c r="L1016" s="11" t="str">
        <x:v>精确发布时间未核验</x:v>
      </x:c>
      <x:c r="M1016" s="11" t="str">
        <x:v>截止日前日期，盘中时分未核</x:v>
      </x:c>
    </x:row>
    <x:row r="1017" ht="23" customHeight="1">
      <x:c r="A1017" s="11" t="str">
        <x:v>I070</x:v>
      </x:c>
      <x:c r="B1017" s="11" t="str">
        <x:v>09618.HK</x:v>
      </x:c>
      <x:c r="C1017" s="11" t="str">
        <x:v>interestExpenseCNYmillion</x:v>
      </x:c>
      <x:c r="D1017" s="39" t="n">
        <x:v>1394</x:v>
      </x:c>
      <x:c r="E1017" s="11" t="str">
        <x:v>CNY</x:v>
      </x:c>
      <x:c r="F1017" s="11" t="str">
        <x:v>CNY million</x:v>
      </x:c>
      <x:c r="G1017" s="11" t="str">
        <x:v>2026H1</x:v>
      </x:c>
      <x:c r="H1017" s="11" t="str">
        <x:v>2026-08-13；文件目录18:03，会议20:00北京香港时间，收盘后</x:v>
      </x:c>
      <x:c r="I1017" s="11" t="str">
        <x:v>https://ir.jd.com/system/files-encrypted/nasdaq_kms/assets/2026/08/13/18-03-06/JD.com%20Announces%20Second%20Quarter%20and%20Interim%202026%20Results.pdf</x:v>
      </x:c>
      <x:c r="J1017" s="11" t="str">
        <x:v>reported input</x:v>
      </x:c>
      <x:c r="K1017" s="11" t="str">
        <x:v>待核</x:v>
      </x:c>
      <x:c r="L1017" s="11" t="str">
        <x:v>精确发布时间未核验</x:v>
      </x:c>
      <x:c r="M1017" s="11" t="str">
        <x:v>截止日前日期，盘中时分未核</x:v>
      </x:c>
    </x:row>
    <x:row r="1018" ht="23" customHeight="1">
      <x:c r="A1018" s="11" t="str">
        <x:v>I070</x:v>
      </x:c>
      <x:c r="B1018" s="11" t="str">
        <x:v>09618.HK</x:v>
      </x:c>
      <x:c r="C1018" s="11" t="str">
        <x:v>OCFCNYmillion</x:v>
      </x:c>
      <x:c r="D1018" s="39" t="n">
        <x:v>38273</x:v>
      </x:c>
      <x:c r="E1018" s="11" t="str">
        <x:v>CNY</x:v>
      </x:c>
      <x:c r="F1018" s="11" t="str">
        <x:v>CNY million</x:v>
      </x:c>
      <x:c r="G1018" s="11" t="str">
        <x:v>2026H1</x:v>
      </x:c>
      <x:c r="H1018" s="11" t="str">
        <x:v>2026-08-13；文件目录18:03，会议20:00北京香港时间，收盘后</x:v>
      </x:c>
      <x:c r="I1018" s="11" t="str">
        <x:v>https://ir.jd.com/system/files-encrypted/nasdaq_kms/assets/2026/08/13/18-03-06/JD.com%20Announces%20Second%20Quarter%20and%20Interim%202026%20Results.pdf</x:v>
      </x:c>
      <x:c r="J1018" s="11" t="str">
        <x:v>reported input</x:v>
      </x:c>
      <x:c r="K1018" s="11" t="str">
        <x:v>待核</x:v>
      </x:c>
      <x:c r="L1018" s="11" t="str">
        <x:v>精确发布时间未核验</x:v>
      </x:c>
      <x:c r="M1018" s="11" t="str">
        <x:v>截止日前日期，盘中时分未核</x:v>
      </x:c>
    </x:row>
    <x:row r="1019" ht="23" customHeight="1">
      <x:c r="A1019" s="11" t="str">
        <x:v>I070</x:v>
      </x:c>
      <x:c r="B1019" s="11" t="str">
        <x:v>09618.HK</x:v>
      </x:c>
      <x:c r="C1019" s="11" t="str">
        <x:v>Q2OCFCNYmillion</x:v>
      </x:c>
      <x:c r="D1019" s="39" t="n">
        <x:v>37718</x:v>
      </x:c>
      <x:c r="E1019" s="11" t="str">
        <x:v>CNY</x:v>
      </x:c>
      <x:c r="F1019" s="11" t="str">
        <x:v>CNY million</x:v>
      </x:c>
      <x:c r="G1019" s="11" t="str">
        <x:v>2026Q2</x:v>
      </x:c>
      <x:c r="H1019" s="11" t="str">
        <x:v>2026-08-13；文件目录18:03，会议20:00北京香港时间，收盘后</x:v>
      </x:c>
      <x:c r="I1019" s="11" t="str">
        <x:v>https://ir.jd.com/system/files-encrypted/nasdaq_kms/assets/2026/08/13/18-03-06/JD.com%20Announces%20Second%20Quarter%20and%20Interim%202026%20Results.pdf</x:v>
      </x:c>
      <x:c r="J1019" s="11" t="str">
        <x:v>reported input</x:v>
      </x:c>
      <x:c r="K1019" s="11" t="str">
        <x:v>待核</x:v>
      </x:c>
      <x:c r="L1019" s="11" t="str">
        <x:v>精确发布时间未核验</x:v>
      </x:c>
      <x:c r="M1019" s="11" t="str">
        <x:v>截止日前日期，盘中时分未核</x:v>
      </x:c>
    </x:row>
    <x:row r="1020" ht="23" customHeight="1">
      <x:c r="A1020" s="11" t="str">
        <x:v>I070</x:v>
      </x:c>
      <x:c r="B1020" s="11" t="str">
        <x:v>09618.HK</x:v>
      </x:c>
      <x:c r="C1020" s="11" t="str">
        <x:v>TTMOCFCNYmillion</x:v>
      </x:c>
      <x:c r="D1020" s="39" t="n">
        <x:v>51117</x:v>
      </x:c>
      <x:c r="E1020" s="11" t="str">
        <x:v>CNY</x:v>
      </x:c>
      <x:c r="F1020" s="11" t="str">
        <x:v>CNY million</x:v>
      </x:c>
      <x:c r="G1020" s="11" t="str">
        <x:v>12 months ended 2026-06-30</x:v>
      </x:c>
      <x:c r="H1020" s="11" t="str">
        <x:v>2026-08-13；文件目录18:03，会议20:00北京香港时间，收盘后</x:v>
      </x:c>
      <x:c r="I1020" s="11" t="str">
        <x:v>https://ir.jd.com/system/files-encrypted/nasdaq_kms/assets/2026/08/13/18-03-06/JD.com%20Announces%20Second%20Quarter%20and%20Interim%202026%20Results.pdf</x:v>
      </x:c>
      <x:c r="J1020" s="11" t="str">
        <x:v>reported input</x:v>
      </x:c>
      <x:c r="K1020" s="11" t="str">
        <x:v>待核</x:v>
      </x:c>
      <x:c r="L1020" s="11" t="str">
        <x:v>精确发布时间未核验</x:v>
      </x:c>
      <x:c r="M1020" s="11" t="str">
        <x:v>截止日前日期，盘中时分未核</x:v>
      </x:c>
    </x:row>
    <x:row r="1021" ht="23" customHeight="1">
      <x:c r="A1021" s="11" t="str">
        <x:v>I070</x:v>
      </x:c>
      <x:c r="B1021" s="11" t="str">
        <x:v>09618.HK</x:v>
      </x:c>
      <x:c r="C1021" s="11" t="str">
        <x:v>consumerFinancingOCFAdjustmentCNYmillion</x:v>
      </x:c>
      <x:c r="D1021" s="39" t="n">
        <x:v>-2336</x:v>
      </x:c>
      <x:c r="E1021" s="11" t="str">
        <x:v>CNY</x:v>
      </x:c>
      <x:c r="F1021" s="11" t="str">
        <x:v>CNY million</x:v>
      </x:c>
      <x:c r="G1021" s="11" t="str">
        <x:v>2026H1</x:v>
      </x:c>
      <x:c r="H1021" s="11" t="str">
        <x:v>2026-08-13；文件目录18:03，会议20:00北京香港时间，收盘后</x:v>
      </x:c>
      <x:c r="I1021" s="11" t="str">
        <x:v>https://ir.jd.com/system/files-encrypted/nasdaq_kms/assets/2026/08/13/18-03-06/JD.com%20Announces%20Second%20Quarter%20and%20Interim%202026%20Results.pdf</x:v>
      </x:c>
      <x:c r="J1021" s="11" t="str">
        <x:v>reported input</x:v>
      </x:c>
      <x:c r="K1021" s="11" t="str">
        <x:v>待核</x:v>
      </x:c>
      <x:c r="L1021" s="11" t="str">
        <x:v>精确发布时间未核验</x:v>
      </x:c>
      <x:c r="M1021" s="11" t="str">
        <x:v>截止日前日期，盘中时分未核</x:v>
      </x:c>
    </x:row>
    <x:row r="1022" ht="23" customHeight="1">
      <x:c r="A1022" s="11" t="str">
        <x:v>I070</x:v>
      </x:c>
      <x:c r="B1022" s="11" t="str">
        <x:v>09618.HK</x:v>
      </x:c>
      <x:c r="C1022" s="11" t="str">
        <x:v>capitalCashNetOfProceedsCNYmillion</x:v>
      </x:c>
      <x:c r="D1022" s="39" t="n">
        <x:v>10583</x:v>
      </x:c>
      <x:c r="E1022" s="11" t="str">
        <x:v>CNY</x:v>
      </x:c>
      <x:c r="F1022" s="11" t="str">
        <x:v>CNY million</x:v>
      </x:c>
      <x:c r="G1022" s="11" t="str">
        <x:v>2026H1</x:v>
      </x:c>
      <x:c r="H1022" s="11" t="str">
        <x:v>2026-08-13；文件目录18:03，会议20:00北京香港时间，收盘后</x:v>
      </x:c>
      <x:c r="I1022" s="11" t="str">
        <x:v>https://ir.jd.com/system/files-encrypted/nasdaq_kms/assets/2026/08/13/18-03-06/JD.com%20Announces%20Second%20Quarter%20and%20Interim%202026%20Results.pdf</x:v>
      </x:c>
      <x:c r="J1022" s="11" t="str">
        <x:v>reported input</x:v>
      </x:c>
      <x:c r="K1022" s="11" t="str">
        <x:v>待核</x:v>
      </x:c>
      <x:c r="L1022" s="11" t="str">
        <x:v>精确发布时间未核验</x:v>
      </x:c>
      <x:c r="M1022" s="11" t="str">
        <x:v>截止日前日期，盘中时分未核</x:v>
      </x:c>
    </x:row>
    <x:row r="1023" ht="23" customHeight="1">
      <x:c r="A1023" s="11" t="str">
        <x:v>I070</x:v>
      </x:c>
      <x:c r="B1023" s="11" t="str">
        <x:v>09618.HK</x:v>
      </x:c>
      <x:c r="C1023" s="11" t="str">
        <x:v>capitalCashDevelopmentPropertiesCNYmillion</x:v>
      </x:c>
      <x:c r="D1023" s="39" t="n">
        <x:v>6015</x:v>
      </x:c>
      <x:c r="E1023" s="11" t="str">
        <x:v>CNY</x:v>
      </x:c>
      <x:c r="F1023" s="11" t="str">
        <x:v>CNY million</x:v>
      </x:c>
      <x:c r="G1023" s="11" t="str">
        <x:v>2026H1</x:v>
      </x:c>
      <x:c r="H1023" s="11" t="str">
        <x:v>2026-08-13；文件目录18:03，会议20:00北京香港时间，收盘后</x:v>
      </x:c>
      <x:c r="I1023" s="11" t="str">
        <x:v>https://ir.jd.com/system/files-encrypted/nasdaq_kms/assets/2026/08/13/18-03-06/JD.com%20Announces%20Second%20Quarter%20and%20Interim%202026%20Results.pdf</x:v>
      </x:c>
      <x:c r="J1023" s="11" t="str">
        <x:v>reported input</x:v>
      </x:c>
      <x:c r="K1023" s="11" t="str">
        <x:v>待核</x:v>
      </x:c>
      <x:c r="L1023" s="11" t="str">
        <x:v>精确发布时间未核验</x:v>
      </x:c>
      <x:c r="M1023" s="11" t="str">
        <x:v>截止日前日期，盘中时分未核</x:v>
      </x:c>
    </x:row>
    <x:row r="1024" ht="23" customHeight="1">
      <x:c r="A1024" s="11" t="str">
        <x:v>I070</x:v>
      </x:c>
      <x:c r="B1024" s="11" t="str">
        <x:v>09618.HK</x:v>
      </x:c>
      <x:c r="C1024" s="11" t="str">
        <x:v>capitalCashOtherCNYmillion</x:v>
      </x:c>
      <x:c r="D1024" s="39" t="n">
        <x:v>4568</x:v>
      </x:c>
      <x:c r="E1024" s="11" t="str">
        <x:v>CNY</x:v>
      </x:c>
      <x:c r="F1024" s="11" t="str">
        <x:v>CNY million</x:v>
      </x:c>
      <x:c r="G1024" s="11" t="str">
        <x:v>2026H1</x:v>
      </x:c>
      <x:c r="H1024" s="11" t="str">
        <x:v>2026-08-13；文件目录18:03，会议20:00北京香港时间，收盘后</x:v>
      </x:c>
      <x:c r="I1024" s="11" t="str">
        <x:v>https://ir.jd.com/system/files-encrypted/nasdaq_kms/assets/2026/08/13/18-03-06/JD.com%20Announces%20Second%20Quarter%20and%20Interim%202026%20Results.pdf</x:v>
      </x:c>
      <x:c r="J1024" s="11" t="str">
        <x:v>reported input</x:v>
      </x:c>
      <x:c r="K1024" s="11" t="str">
        <x:v>待核</x:v>
      </x:c>
      <x:c r="L1024" s="11" t="str">
        <x:v>精确发布时间未核验</x:v>
      </x:c>
      <x:c r="M1024" s="11" t="str">
        <x:v>截止日前日期，盘中时分未核</x:v>
      </x:c>
    </x:row>
    <x:row r="1025" ht="23" customHeight="1">
      <x:c r="A1025" s="11" t="str">
        <x:v>I070</x:v>
      </x:c>
      <x:c r="B1025" s="11" t="str">
        <x:v>09618.HK</x:v>
      </x:c>
      <x:c r="C1025" s="11" t="str">
        <x:v>officialFCFCNYmillion</x:v>
      </x:c>
      <x:c r="D1025" s="39" t="n">
        <x:v>25354</x:v>
      </x:c>
      <x:c r="E1025" s="11" t="str">
        <x:v>CNY</x:v>
      </x:c>
      <x:c r="F1025" s="11" t="str">
        <x:v>CNY million</x:v>
      </x:c>
      <x:c r="G1025" s="11" t="str">
        <x:v>2026H1</x:v>
      </x:c>
      <x:c r="H1025" s="11" t="str">
        <x:v>2026-08-13；文件目录18:03，会议20:00北京香港时间，收盘后</x:v>
      </x:c>
      <x:c r="I1025" s="11" t="str">
        <x:v>https://ir.jd.com/system/files-encrypted/nasdaq_kms/assets/2026/08/13/18-03-06/JD.com%20Announces%20Second%20Quarter%20and%20Interim%202026%20Results.pdf</x:v>
      </x:c>
      <x:c r="J1025" s="11" t="str">
        <x:v>reported input</x:v>
      </x:c>
      <x:c r="K1025" s="11" t="str">
        <x:v>待核</x:v>
      </x:c>
      <x:c r="L1025" s="11" t="str">
        <x:v>精确发布时间未核验</x:v>
      </x:c>
      <x:c r="M1025" s="11" t="str">
        <x:v>截止日前日期，盘中时分未核</x:v>
      </x:c>
    </x:row>
    <x:row r="1026" ht="23" customHeight="1">
      <x:c r="A1026" s="11" t="str">
        <x:v>I070</x:v>
      </x:c>
      <x:c r="B1026" s="11" t="str">
        <x:v>09618.HK</x:v>
      </x:c>
      <x:c r="C1026" s="11" t="str">
        <x:v>Q2OfficialFCFCNYmillion</x:v>
      </x:c>
      <x:c r="D1026" s="39" t="n">
        <x:v>31835</x:v>
      </x:c>
      <x:c r="E1026" s="11" t="str">
        <x:v>CNY</x:v>
      </x:c>
      <x:c r="F1026" s="11" t="str">
        <x:v>CNY million</x:v>
      </x:c>
      <x:c r="G1026" s="11" t="str">
        <x:v>2026Q2</x:v>
      </x:c>
      <x:c r="H1026" s="11" t="str">
        <x:v>2026-08-13；文件目录18:03，会议20:00北京香港时间，收盘后</x:v>
      </x:c>
      <x:c r="I1026" s="11" t="str">
        <x:v>https://ir.jd.com/system/files-encrypted/nasdaq_kms/assets/2026/08/13/18-03-06/JD.com%20Announces%20Second%20Quarter%20and%20Interim%202026%20Results.pdf</x:v>
      </x:c>
      <x:c r="J1026" s="11" t="str">
        <x:v>reported input</x:v>
      </x:c>
      <x:c r="K1026" s="11" t="str">
        <x:v>待核</x:v>
      </x:c>
      <x:c r="L1026" s="11" t="str">
        <x:v>精确发布时间未核验</x:v>
      </x:c>
      <x:c r="M1026" s="11" t="str">
        <x:v>截止日前日期，盘中时分未核</x:v>
      </x:c>
    </x:row>
    <x:row r="1027" ht="23" customHeight="1">
      <x:c r="A1027" s="11" t="str">
        <x:v>I070</x:v>
      </x:c>
      <x:c r="B1027" s="11" t="str">
        <x:v>09618.HK</x:v>
      </x:c>
      <x:c r="C1027" s="11" t="str">
        <x:v>TTMOfficialFCFCNYmillion</x:v>
      </x:c>
      <x:c r="D1027" s="39" t="n">
        <x:v>31415</x:v>
      </x:c>
      <x:c r="E1027" s="11" t="str">
        <x:v>CNY</x:v>
      </x:c>
      <x:c r="F1027" s="11" t="str">
        <x:v>CNY million</x:v>
      </x:c>
      <x:c r="G1027" s="11" t="str">
        <x:v>12 months ended 2026-06-30</x:v>
      </x:c>
      <x:c r="H1027" s="11" t="str">
        <x:v>2026-08-13；文件目录18:03，会议20:00北京香港时间，收盘后</x:v>
      </x:c>
      <x:c r="I1027" s="11" t="str">
        <x:v>https://ir.jd.com/system/files-encrypted/nasdaq_kms/assets/2026/08/13/18-03-06/JD.com%20Announces%20Second%20Quarter%20and%20Interim%202026%20Results.pdf</x:v>
      </x:c>
      <x:c r="J1027" s="11" t="str">
        <x:v>reported input</x:v>
      </x:c>
      <x:c r="K1027" s="11" t="str">
        <x:v>待核</x:v>
      </x:c>
      <x:c r="L1027" s="11" t="str">
        <x:v>精确发布时间未核验</x:v>
      </x:c>
      <x:c r="M1027" s="11" t="str">
        <x:v>截止日前日期，盘中时分未核</x:v>
      </x:c>
    </x:row>
    <x:row r="1028" ht="23" customHeight="1">
      <x:c r="A1028" s="11" t="str">
        <x:v>I070</x:v>
      </x:c>
      <x:c r="B1028" s="11" t="str">
        <x:v>09618.HK</x:v>
      </x:c>
      <x:c r="C1028" s="11" t="str">
        <x:v>cashEquivalentsCNYmillion</x:v>
      </x:c>
      <x:c r="D1028" s="39" t="n">
        <x:v>89068</x:v>
      </x:c>
      <x:c r="E1028" s="11" t="str">
        <x:v>CNY</x:v>
      </x:c>
      <x:c r="F1028" s="11" t="str">
        <x:v>CNY million</x:v>
      </x:c>
      <x:c r="G1028" s="11" t="str">
        <x:v>2026H1</x:v>
      </x:c>
      <x:c r="H1028" s="11" t="str">
        <x:v>2026-08-13；文件目录18:03，会议20:00北京香港时间，收盘后</x:v>
      </x:c>
      <x:c r="I1028" s="11" t="str">
        <x:v>https://ir.jd.com/system/files-encrypted/nasdaq_kms/assets/2026/08/13/18-03-06/JD.com%20Announces%20Second%20Quarter%20and%20Interim%202026%20Results.pdf</x:v>
      </x:c>
      <x:c r="J1028" s="11" t="str">
        <x:v>reported input</x:v>
      </x:c>
      <x:c r="K1028" s="11" t="str">
        <x:v>待核</x:v>
      </x:c>
      <x:c r="L1028" s="11" t="str">
        <x:v>精确发布时间未核验</x:v>
      </x:c>
      <x:c r="M1028" s="11" t="str">
        <x:v>截止日前日期，盘中时分未核</x:v>
      </x:c>
    </x:row>
    <x:row r="1029" ht="23" customHeight="1">
      <x:c r="A1029" s="11" t="str">
        <x:v>I070</x:v>
      </x:c>
      <x:c r="B1029" s="11" t="str">
        <x:v>09618.HK</x:v>
      </x:c>
      <x:c r="C1029" s="11" t="str">
        <x:v>restrictedCashCNYmillion</x:v>
      </x:c>
      <x:c r="D1029" s="39" t="n">
        <x:v>13396</x:v>
      </x:c>
      <x:c r="E1029" s="11" t="str">
        <x:v>CNY</x:v>
      </x:c>
      <x:c r="F1029" s="11" t="str">
        <x:v>CNY million</x:v>
      </x:c>
      <x:c r="G1029" s="11" t="str">
        <x:v>2026H1</x:v>
      </x:c>
      <x:c r="H1029" s="11" t="str">
        <x:v>2026-08-13；文件目录18:03，会议20:00北京香港时间，收盘后</x:v>
      </x:c>
      <x:c r="I1029" s="11" t="str">
        <x:v>https://ir.jd.com/system/files-encrypted/nasdaq_kms/assets/2026/08/13/18-03-06/JD.com%20Announces%20Second%20Quarter%20and%20Interim%202026%20Results.pdf</x:v>
      </x:c>
      <x:c r="J1029" s="11" t="str">
        <x:v>reported input</x:v>
      </x:c>
      <x:c r="K1029" s="11" t="str">
        <x:v>待核</x:v>
      </x:c>
      <x:c r="L1029" s="11" t="str">
        <x:v>精确发布时间未核验</x:v>
      </x:c>
      <x:c r="M1029" s="11" t="str">
        <x:v>截止日前日期，盘中时分未核</x:v>
      </x:c>
    </x:row>
    <x:row r="1030" ht="23" customHeight="1">
      <x:c r="A1030" s="11" t="str">
        <x:v>I070</x:v>
      </x:c>
      <x:c r="B1030" s="11" t="str">
        <x:v>09618.HK</x:v>
      </x:c>
      <x:c r="C1030" s="11" t="str">
        <x:v>shortInvestmentCNYmillion</x:v>
      </x:c>
      <x:c r="D1030" s="39" t="n">
        <x:v>132594</x:v>
      </x:c>
      <x:c r="E1030" s="11" t="str">
        <x:v>CNY</x:v>
      </x:c>
      <x:c r="F1030" s="11" t="str">
        <x:v>CNY million</x:v>
      </x:c>
      <x:c r="G1030" s="11" t="str">
        <x:v>2026H1</x:v>
      </x:c>
      <x:c r="H1030" s="11" t="str">
        <x:v>2026-08-13；文件目录18:03，会议20:00北京香港时间，收盘后</x:v>
      </x:c>
      <x:c r="I1030" s="11" t="str">
        <x:v>https://ir.jd.com/system/files-encrypted/nasdaq_kms/assets/2026/08/13/18-03-06/JD.com%20Announces%20Second%20Quarter%20and%20Interim%202026%20Results.pdf</x:v>
      </x:c>
      <x:c r="J1030" s="11" t="str">
        <x:v>reported input</x:v>
      </x:c>
      <x:c r="K1030" s="11" t="str">
        <x:v>待核</x:v>
      </x:c>
      <x:c r="L1030" s="11" t="str">
        <x:v>精确发布时间未核验</x:v>
      </x:c>
      <x:c r="M1030" s="11" t="str">
        <x:v>截止日前日期，盘中时分未核</x:v>
      </x:c>
    </x:row>
    <x:row r="1031" ht="23" customHeight="1">
      <x:c r="A1031" s="11" t="str">
        <x:v>I070</x:v>
      </x:c>
      <x:c r="B1031" s="11" t="str">
        <x:v>09618.HK</x:v>
      </x:c>
      <x:c r="C1031" s="11" t="str">
        <x:v>totalCashRestrictedShortCNYmillion</x:v>
      </x:c>
      <x:c r="D1031" s="39" t="n">
        <x:v>235058</x:v>
      </x:c>
      <x:c r="E1031" s="11" t="str">
        <x:v>CNY</x:v>
      </x:c>
      <x:c r="F1031" s="11" t="str">
        <x:v>CNY million</x:v>
      </x:c>
      <x:c r="G1031" s="11" t="str">
        <x:v>2026H1</x:v>
      </x:c>
      <x:c r="H1031" s="11" t="str">
        <x:v>2026-08-13；文件目录18:03，会议20:00北京香港时间，收盘后</x:v>
      </x:c>
      <x:c r="I1031" s="11" t="str">
        <x:v>https://ir.jd.com/system/files-encrypted/nasdaq_kms/assets/2026/08/13/18-03-06/JD.com%20Announces%20Second%20Quarter%20and%20Interim%202026%20Results.pdf</x:v>
      </x:c>
      <x:c r="J1031" s="11" t="str">
        <x:v>reported input</x:v>
      </x:c>
      <x:c r="K1031" s="11" t="str">
        <x:v>待核</x:v>
      </x:c>
      <x:c r="L1031" s="11" t="str">
        <x:v>精确发布时间未核验</x:v>
      </x:c>
      <x:c r="M1031" s="11" t="str">
        <x:v>截止日前日期，盘中时分未核</x:v>
      </x:c>
    </x:row>
    <x:row r="1032" ht="23" customHeight="1">
      <x:c r="A1032" s="11" t="str">
        <x:v>I070</x:v>
      </x:c>
      <x:c r="B1032" s="11" t="str">
        <x:v>09618.HK</x:v>
      </x:c>
      <x:c r="C1032" s="11" t="str">
        <x:v>shortDebtCNYmillion</x:v>
      </x:c>
      <x:c r="D1032" s="39" t="n">
        <x:v>3534</x:v>
      </x:c>
      <x:c r="E1032" s="11" t="str">
        <x:v>CNY</x:v>
      </x:c>
      <x:c r="F1032" s="11" t="str">
        <x:v>CNY million</x:v>
      </x:c>
      <x:c r="G1032" s="11" t="str">
        <x:v>2026H1</x:v>
      </x:c>
      <x:c r="H1032" s="11" t="str">
        <x:v>2026-08-13；文件目录18:03，会议20:00北京香港时间，收盘后</x:v>
      </x:c>
      <x:c r="I1032" s="11" t="str">
        <x:v>https://ir.jd.com/system/files-encrypted/nasdaq_kms/assets/2026/08/13/18-03-06/JD.com%20Announces%20Second%20Quarter%20and%20Interim%202026%20Results.pdf</x:v>
      </x:c>
      <x:c r="J1032" s="11" t="str">
        <x:v>reported input</x:v>
      </x:c>
      <x:c r="K1032" s="11" t="str">
        <x:v>待核</x:v>
      </x:c>
      <x:c r="L1032" s="11" t="str">
        <x:v>精确发布时间未核验</x:v>
      </x:c>
      <x:c r="M1032" s="11" t="str">
        <x:v>截止日前日期，盘中时分未核</x:v>
      </x:c>
    </x:row>
    <x:row r="1033" ht="23" customHeight="1">
      <x:c r="A1033" s="11" t="str">
        <x:v>I070</x:v>
      </x:c>
      <x:c r="B1033" s="11" t="str">
        <x:v>09618.HK</x:v>
      </x:c>
      <x:c r="C1033" s="11" t="str">
        <x:v>longDebtCNYmillion</x:v>
      </x:c>
      <x:c r="D1033" s="39" t="n">
        <x:v>36196</x:v>
      </x:c>
      <x:c r="E1033" s="11" t="str">
        <x:v>CNY</x:v>
      </x:c>
      <x:c r="F1033" s="11" t="str">
        <x:v>CNY million</x:v>
      </x:c>
      <x:c r="G1033" s="11" t="str">
        <x:v>2026H1</x:v>
      </x:c>
      <x:c r="H1033" s="11" t="str">
        <x:v>2026-08-13；文件目录18:03，会议20:00北京香港时间，收盘后</x:v>
      </x:c>
      <x:c r="I1033" s="11" t="str">
        <x:v>https://ir.jd.com/system/files-encrypted/nasdaq_kms/assets/2026/08/13/18-03-06/JD.com%20Announces%20Second%20Quarter%20and%20Interim%202026%20Results.pdf</x:v>
      </x:c>
      <x:c r="J1033" s="11" t="str">
        <x:v>reported input</x:v>
      </x:c>
      <x:c r="K1033" s="11" t="str">
        <x:v>待核</x:v>
      </x:c>
      <x:c r="L1033" s="11" t="str">
        <x:v>精确发布时间未核验</x:v>
      </x:c>
      <x:c r="M1033" s="11" t="str">
        <x:v>截止日前日期，盘中时分未核</x:v>
      </x:c>
    </x:row>
    <x:row r="1034" ht="23" customHeight="1">
      <x:c r="A1034" s="11" t="str">
        <x:v>I070</x:v>
      </x:c>
      <x:c r="B1034" s="11" t="str">
        <x:v>09618.HK</x:v>
      </x:c>
      <x:c r="C1034" s="11" t="str">
        <x:v>currentSeniorNotesCNYmillion</x:v>
      </x:c>
      <x:c r="D1034" s="39" t="n">
        <x:v>13555</x:v>
      </x:c>
      <x:c r="E1034" s="11" t="str">
        <x:v>CNY</x:v>
      </x:c>
      <x:c r="F1034" s="11" t="str">
        <x:v>CNY million</x:v>
      </x:c>
      <x:c r="G1034" s="11" t="str">
        <x:v>2026H1</x:v>
      </x:c>
      <x:c r="H1034" s="11" t="str">
        <x:v>2026-08-13；文件目录18:03，会议20:00北京香港时间，收盘后</x:v>
      </x:c>
      <x:c r="I1034" s="11" t="str">
        <x:v>https://ir.jd.com/system/files-encrypted/nasdaq_kms/assets/2026/08/13/18-03-06/JD.com%20Announces%20Second%20Quarter%20and%20Interim%202026%20Results.pdf</x:v>
      </x:c>
      <x:c r="J1034" s="11" t="str">
        <x:v>reported input</x:v>
      </x:c>
      <x:c r="K1034" s="11" t="str">
        <x:v>待核</x:v>
      </x:c>
      <x:c r="L1034" s="11" t="str">
        <x:v>精确发布时间未核验</x:v>
      </x:c>
      <x:c r="M1034" s="11" t="str">
        <x:v>截止日前日期，盘中时分未核</x:v>
      </x:c>
    </x:row>
    <x:row r="1035" ht="23" customHeight="1">
      <x:c r="A1035" s="11" t="str">
        <x:v>I070</x:v>
      </x:c>
      <x:c r="B1035" s="11" t="str">
        <x:v>09618.HK</x:v>
      </x:c>
      <x:c r="C1035" s="11" t="str">
        <x:v>noncurrentSeniorNotesCNYmillion</x:v>
      </x:c>
      <x:c r="D1035" s="39" t="n">
        <x:v>16607</x:v>
      </x:c>
      <x:c r="E1035" s="11" t="str">
        <x:v>CNY</x:v>
      </x:c>
      <x:c r="F1035" s="11" t="str">
        <x:v>CNY million</x:v>
      </x:c>
      <x:c r="G1035" s="11" t="str">
        <x:v>2026H1</x:v>
      </x:c>
      <x:c r="H1035" s="11" t="str">
        <x:v>2026-08-13；文件目录18:03，会议20:00北京香港时间，收盘后</x:v>
      </x:c>
      <x:c r="I1035" s="11" t="str">
        <x:v>https://ir.jd.com/system/files-encrypted/nasdaq_kms/assets/2026/08/13/18-03-06/JD.com%20Announces%20Second%20Quarter%20and%20Interim%202026%20Results.pdf</x:v>
      </x:c>
      <x:c r="J1035" s="11" t="str">
        <x:v>reported input</x:v>
      </x:c>
      <x:c r="K1035" s="11" t="str">
        <x:v>待核</x:v>
      </x:c>
      <x:c r="L1035" s="11" t="str">
        <x:v>精确发布时间未核验</x:v>
      </x:c>
      <x:c r="M1035" s="11" t="str">
        <x:v>截止日前日期，盘中时分未核</x:v>
      </x:c>
    </x:row>
    <x:row r="1036" ht="23" customHeight="1">
      <x:c r="A1036" s="11" t="str">
        <x:v>I070</x:v>
      </x:c>
      <x:c r="B1036" s="11" t="str">
        <x:v>09618.HK</x:v>
      </x:c>
      <x:c r="C1036" s="11" t="str">
        <x:v>totalDebtResearchCNYmillion</x:v>
      </x:c>
      <x:c r="D1036" s="39" t="n">
        <x:v>69892</x:v>
      </x:c>
      <x:c r="E1036" s="11" t="str">
        <x:v>CNY</x:v>
      </x:c>
      <x:c r="F1036" s="11" t="str">
        <x:v>CNY million</x:v>
      </x:c>
      <x:c r="G1036" s="11" t="str">
        <x:v>2026H1</x:v>
      </x:c>
      <x:c r="H1036" s="11" t="str">
        <x:v>2026-08-13；文件目录18:03，会议20:00北京香港时间，收盘后</x:v>
      </x:c>
      <x:c r="I1036" s="11" t="str">
        <x:v>https://ir.jd.com/system/files-encrypted/nasdaq_kms/assets/2026/08/13/18-03-06/JD.com%20Announces%20Second%20Quarter%20and%20Interim%202026%20Results.pdf</x:v>
      </x:c>
      <x:c r="J1036" s="11" t="str">
        <x:v>research calculation from primary inputs</x:v>
      </x:c>
      <x:c r="K1036" s="11" t="str">
        <x:v>待核</x:v>
      </x:c>
      <x:c r="L1036" s="11" t="str">
        <x:v>精确发布时间未核验</x:v>
      </x:c>
      <x:c r="M1036" s="11" t="str">
        <x:v>截止日前日期，盘中时分未核</x:v>
      </x:c>
    </x:row>
    <x:row r="1037" ht="23" customHeight="1">
      <x:c r="A1037" s="11" t="str">
        <x:v>I070</x:v>
      </x:c>
      <x:c r="B1037" s="11" t="str">
        <x:v>09618.HK</x:v>
      </x:c>
      <x:c r="C1037" s="11" t="str">
        <x:v>netCashShortResearchCNYmillion</x:v>
      </x:c>
      <x:c r="D1037" s="39" t="n">
        <x:v>151770</x:v>
      </x:c>
      <x:c r="E1037" s="11" t="str">
        <x:v>CNY</x:v>
      </x:c>
      <x:c r="F1037" s="11" t="str">
        <x:v>CNY million</x:v>
      </x:c>
      <x:c r="G1037" s="11" t="str">
        <x:v>2026H1</x:v>
      </x:c>
      <x:c r="H1037" s="11" t="str">
        <x:v>2026-08-13；文件目录18:03，会议20:00北京香港时间，收盘后</x:v>
      </x:c>
      <x:c r="I1037" s="11" t="str">
        <x:v>https://ir.jd.com/system/files-encrypted/nasdaq_kms/assets/2026/08/13/18-03-06/JD.com%20Announces%20Second%20Quarter%20and%20Interim%202026%20Results.pdf</x:v>
      </x:c>
      <x:c r="J1037" s="11" t="str">
        <x:v>research calculation from primary inputs</x:v>
      </x:c>
      <x:c r="K1037" s="11" t="str">
        <x:v>待核</x:v>
      </x:c>
      <x:c r="L1037" s="11" t="str">
        <x:v>精确发布时间未核验</x:v>
      </x:c>
      <x:c r="M1037" s="11" t="str">
        <x:v>截止日前日期，盘中时分未核</x:v>
      </x:c>
    </x:row>
    <x:row r="1038" ht="23" customHeight="1">
      <x:c r="A1038" s="11" t="str">
        <x:v>I070</x:v>
      </x:c>
      <x:c r="B1038" s="11" t="str">
        <x:v>09618.HK</x:v>
      </x:c>
      <x:c r="C1038" s="11" t="str">
        <x:v>leaseLiabilitiesCNYmillion</x:v>
      </x:c>
      <x:c r="D1038" s="39" t="n">
        <x:v>35416</x:v>
      </x:c>
      <x:c r="E1038" s="11" t="str">
        <x:v>CNY</x:v>
      </x:c>
      <x:c r="F1038" s="11" t="str">
        <x:v>CNY million</x:v>
      </x:c>
      <x:c r="G1038" s="11" t="str">
        <x:v>2026H1</x:v>
      </x:c>
      <x:c r="H1038" s="11" t="str">
        <x:v>2026-08-13；文件目录18:03，会议20:00北京香港时间，收盘后</x:v>
      </x:c>
      <x:c r="I1038" s="11" t="str">
        <x:v>https://ir.jd.com/system/files-encrypted/nasdaq_kms/assets/2026/08/13/18-03-06/JD.com%20Announces%20Second%20Quarter%20and%20Interim%202026%20Results.pdf</x:v>
      </x:c>
      <x:c r="J1038" s="11" t="str">
        <x:v>reported input</x:v>
      </x:c>
      <x:c r="K1038" s="11" t="str">
        <x:v>待核</x:v>
      </x:c>
      <x:c r="L1038" s="11" t="str">
        <x:v>精确发布时间未核验</x:v>
      </x:c>
      <x:c r="M1038" s="11" t="str">
        <x:v>截止日前日期，盘中时分未核</x:v>
      </x:c>
    </x:row>
    <x:row r="1039" ht="23" customHeight="1">
      <x:c r="A1039" s="11" t="str">
        <x:v>I070</x:v>
      </x:c>
      <x:c r="B1039" s="11" t="str">
        <x:v>09618.HK</x:v>
      </x:c>
      <x:c r="C1039" s="11" t="str">
        <x:v>accountsPayableCNYmillion</x:v>
      </x:c>
      <x:c r="D1039" s="39" t="n">
        <x:v>228961</x:v>
      </x:c>
      <x:c r="E1039" s="11" t="str">
        <x:v>CNY</x:v>
      </x:c>
      <x:c r="F1039" s="11" t="str">
        <x:v>CNY million</x:v>
      </x:c>
      <x:c r="G1039" s="11" t="str">
        <x:v>2026H1</x:v>
      </x:c>
      <x:c r="H1039" s="11" t="str">
        <x:v>2026-08-13；文件目录18:03，会议20:00北京香港时间，收盘后</x:v>
      </x:c>
      <x:c r="I1039" s="11" t="str">
        <x:v>https://ir.jd.com/system/files-encrypted/nasdaq_kms/assets/2026/08/13/18-03-06/JD.com%20Announces%20Second%20Quarter%20and%20Interim%202026%20Results.pdf</x:v>
      </x:c>
      <x:c r="J1039" s="11" t="str">
        <x:v>reported input</x:v>
      </x:c>
      <x:c r="K1039" s="11" t="str">
        <x:v>待核</x:v>
      </x:c>
      <x:c r="L1039" s="11" t="str">
        <x:v>精确发布时间未核验</x:v>
      </x:c>
      <x:c r="M1039" s="11" t="str">
        <x:v>截止日前日期，盘中时分未核</x:v>
      </x:c>
    </x:row>
    <x:row r="1040" ht="23" customHeight="1">
      <x:c r="A1040" s="11" t="str">
        <x:v>I070</x:v>
      </x:c>
      <x:c r="B1040" s="11" t="str">
        <x:v>09618.HK</x:v>
      </x:c>
      <x:c r="C1040" s="11" t="str">
        <x:v>customerAdvanceCNYmillion</x:v>
      </x:c>
      <x:c r="D1040" s="39" t="n">
        <x:v>40982</x:v>
      </x:c>
      <x:c r="E1040" s="11" t="str">
        <x:v>CNY</x:v>
      </x:c>
      <x:c r="F1040" s="11" t="str">
        <x:v>CNY million</x:v>
      </x:c>
      <x:c r="G1040" s="11" t="str">
        <x:v>2026H1</x:v>
      </x:c>
      <x:c r="H1040" s="11" t="str">
        <x:v>2026-08-13；文件目录18:03，会议20:00北京香港时间，收盘后</x:v>
      </x:c>
      <x:c r="I1040" s="11" t="str">
        <x:v>https://ir.jd.com/system/files-encrypted/nasdaq_kms/assets/2026/08/13/18-03-06/JD.com%20Announces%20Second%20Quarter%20and%20Interim%202026%20Results.pdf</x:v>
      </x:c>
      <x:c r="J1040" s="11" t="str">
        <x:v>reported input</x:v>
      </x:c>
      <x:c r="K1040" s="11" t="str">
        <x:v>待核</x:v>
      </x:c>
      <x:c r="L1040" s="11" t="str">
        <x:v>精确发布时间未核验</x:v>
      </x:c>
      <x:c r="M1040" s="11" t="str">
        <x:v>截止日前日期，盘中时分未核</x:v>
      </x:c>
    </x:row>
    <x:row r="1041" ht="23" customHeight="1">
      <x:c r="A1041" s="11" t="str">
        <x:v>I070</x:v>
      </x:c>
      <x:c r="B1041" s="11" t="str">
        <x:v>09618.HK</x:v>
      </x:c>
      <x:c r="C1041" s="11" t="str">
        <x:v>inventoryCNYmillion</x:v>
      </x:c>
      <x:c r="D1041" s="39" t="n">
        <x:v>114577</x:v>
      </x:c>
      <x:c r="E1041" s="11" t="str">
        <x:v>CNY</x:v>
      </x:c>
      <x:c r="F1041" s="11" t="str">
        <x:v>CNY million</x:v>
      </x:c>
      <x:c r="G1041" s="11" t="str">
        <x:v>2026H1</x:v>
      </x:c>
      <x:c r="H1041" s="11" t="str">
        <x:v>2026-08-13；文件目录18:03，会议20:00北京香港时间，收盘后</x:v>
      </x:c>
      <x:c r="I1041" s="11" t="str">
        <x:v>https://ir.jd.com/system/files-encrypted/nasdaq_kms/assets/2026/08/13/18-03-06/JD.com%20Announces%20Second%20Quarter%20and%20Interim%202026%20Results.pdf</x:v>
      </x:c>
      <x:c r="J1041" s="11" t="str">
        <x:v>reported input</x:v>
      </x:c>
      <x:c r="K1041" s="11" t="str">
        <x:v>待核</x:v>
      </x:c>
      <x:c r="L1041" s="11" t="str">
        <x:v>精确发布时间未核验</x:v>
      </x:c>
      <x:c r="M1041" s="11" t="str">
        <x:v>截止日前日期，盘中时分未核</x:v>
      </x:c>
    </x:row>
    <x:row r="1042" ht="23" customHeight="1">
      <x:c r="A1042" s="11" t="str">
        <x:v>I070</x:v>
      </x:c>
      <x:c r="B1042" s="11" t="str">
        <x:v>09618.HK</x:v>
      </x:c>
      <x:c r="C1042" s="11" t="str">
        <x:v>receivableCNYmillion</x:v>
      </x:c>
      <x:c r="D1042" s="39" t="n">
        <x:v>28710</x:v>
      </x:c>
      <x:c r="E1042" s="11" t="str">
        <x:v>CNY</x:v>
      </x:c>
      <x:c r="F1042" s="11" t="str">
        <x:v>CNY million</x:v>
      </x:c>
      <x:c r="G1042" s="11" t="str">
        <x:v>2026H1</x:v>
      </x:c>
      <x:c r="H1042" s="11" t="str">
        <x:v>2026-08-13；文件目录18:03，会议20:00北京香港时间，收盘后</x:v>
      </x:c>
      <x:c r="I1042" s="11" t="str">
        <x:v>https://ir.jd.com/system/files-encrypted/nasdaq_kms/assets/2026/08/13/18-03-06/JD.com%20Announces%20Second%20Quarter%20and%20Interim%202026%20Results.pdf</x:v>
      </x:c>
      <x:c r="J1042" s="11" t="str">
        <x:v>reported input</x:v>
      </x:c>
      <x:c r="K1042" s="11" t="str">
        <x:v>待核</x:v>
      </x:c>
      <x:c r="L1042" s="11" t="str">
        <x:v>精确发布时间未核验</x:v>
      </x:c>
      <x:c r="M1042" s="11" t="str">
        <x:v>截止日前日期，盘中时分未核</x:v>
      </x:c>
    </x:row>
    <x:row r="1043" ht="23" customHeight="1">
      <x:c r="A1043" s="11" t="str">
        <x:v>I070</x:v>
      </x:c>
      <x:c r="B1043" s="11" t="str">
        <x:v>09618.HK</x:v>
      </x:c>
      <x:c r="C1043" s="11" t="str">
        <x:v>TTMInventoryDays</x:v>
      </x:c>
      <x:c r="D1043" s="39" t="n">
        <x:v>40.5</x:v>
      </x:c>
      <x:c r="E1043" s="11" t="str">
        <x:v>not monetary</x:v>
      </x:c>
      <x:c r="F1043" s="11" t="str">
        <x:v>days</x:v>
      </x:c>
      <x:c r="G1043" s="11" t="str">
        <x:v>12 months ended 2026-06-30</x:v>
      </x:c>
      <x:c r="H1043" s="11" t="str">
        <x:v>2026-08-13；文件目录18:03，会议20:00北京香港时间，收盘后</x:v>
      </x:c>
      <x:c r="I1043" s="11" t="str">
        <x:v>https://ir.jd.com/system/files-encrypted/nasdaq_kms/assets/2026/08/13/18-03-06/JD.com%20Announces%20Second%20Quarter%20and%20Interim%202026%20Results.pdf</x:v>
      </x:c>
      <x:c r="J1043" s="11" t="str">
        <x:v>reported input</x:v>
      </x:c>
      <x:c r="K1043" s="11" t="str">
        <x:v>待核</x:v>
      </x:c>
      <x:c r="L1043" s="11" t="str">
        <x:v>精确发布时间未核验</x:v>
      </x:c>
      <x:c r="M1043" s="11" t="str">
        <x:v>截止日前日期，盘中时分未核</x:v>
      </x:c>
    </x:row>
    <x:row r="1044" ht="23" customHeight="1">
      <x:c r="A1044" s="11" t="str">
        <x:v>I070</x:v>
      </x:c>
      <x:c r="B1044" s="11" t="str">
        <x:v>09618.HK</x:v>
      </x:c>
      <x:c r="C1044" s="11" t="str">
        <x:v>TTM2025Q2InventoryDays</x:v>
      </x:c>
      <x:c r="D1044" s="39" t="n">
        <x:v>34.1</x:v>
      </x:c>
      <x:c r="E1044" s="11" t="str">
        <x:v>not monetary</x:v>
      </x:c>
      <x:c r="F1044" s="11" t="str">
        <x:v>days</x:v>
      </x:c>
      <x:c r="G1044" s="11" t="str">
        <x:v>12 months ended 2025-06-30</x:v>
      </x:c>
      <x:c r="H1044" s="11" t="str">
        <x:v>2026-08-13；文件目录18:03，会议20:00北京香港时间，收盘后</x:v>
      </x:c>
      <x:c r="I1044" s="11" t="str">
        <x:v>https://ir.jd.com/system/files-encrypted/nasdaq_kms/assets/2026/08/13/18-03-06/JD.com%20Announces%20Second%20Quarter%20and%20Interim%202026%20Results.pdf</x:v>
      </x:c>
      <x:c r="J1044" s="11" t="str">
        <x:v>reported input</x:v>
      </x:c>
      <x:c r="K1044" s="11" t="str">
        <x:v>待核</x:v>
      </x:c>
      <x:c r="L1044" s="11" t="str">
        <x:v>精确发布时间未核验</x:v>
      </x:c>
      <x:c r="M1044" s="11" t="str">
        <x:v>截止日前日期，盘中时分未核</x:v>
      </x:c>
    </x:row>
    <x:row r="1045" ht="23" customHeight="1">
      <x:c r="A1045" s="11" t="str">
        <x:v>I070</x:v>
      </x:c>
      <x:c r="B1045" s="11" t="str">
        <x:v>09618.HK</x:v>
      </x:c>
      <x:c r="C1045" s="11" t="str">
        <x:v>TTMPayableDays</x:v>
      </x:c>
      <x:c r="D1045" s="39" t="n">
        <x:v>64.2</x:v>
      </x:c>
      <x:c r="E1045" s="11" t="str">
        <x:v>not monetary</x:v>
      </x:c>
      <x:c r="F1045" s="11" t="str">
        <x:v>days</x:v>
      </x:c>
      <x:c r="G1045" s="11" t="str">
        <x:v>12 months ended 2026-06-30</x:v>
      </x:c>
      <x:c r="H1045" s="11" t="str">
        <x:v>2026-08-13；文件目录18:03，会议20:00北京香港时间，收盘后</x:v>
      </x:c>
      <x:c r="I1045" s="11" t="str">
        <x:v>https://ir.jd.com/system/files-encrypted/nasdaq_kms/assets/2026/08/13/18-03-06/JD.com%20Announces%20Second%20Quarter%20and%20Interim%202026%20Results.pdf</x:v>
      </x:c>
      <x:c r="J1045" s="11" t="str">
        <x:v>reported input</x:v>
      </x:c>
      <x:c r="K1045" s="11" t="str">
        <x:v>待核</x:v>
      </x:c>
      <x:c r="L1045" s="11" t="str">
        <x:v>精确发布时间未核验</x:v>
      </x:c>
      <x:c r="M1045" s="11" t="str">
        <x:v>截止日前日期，盘中时分未核</x:v>
      </x:c>
    </x:row>
    <x:row r="1046" ht="23" customHeight="1">
      <x:c r="A1046" s="11" t="str">
        <x:v>I070</x:v>
      </x:c>
      <x:c r="B1046" s="11" t="str">
        <x:v>09618.HK</x:v>
      </x:c>
      <x:c r="C1046" s="11" t="str">
        <x:v>TTMReceivableDays</x:v>
      </x:c>
      <x:c r="D1046" s="39" t="n">
        <x:v>8.6</x:v>
      </x:c>
      <x:c r="E1046" s="11" t="str">
        <x:v>not monetary</x:v>
      </x:c>
      <x:c r="F1046" s="11" t="str">
        <x:v>days</x:v>
      </x:c>
      <x:c r="G1046" s="11" t="str">
        <x:v>12 months ended 2026-06-30</x:v>
      </x:c>
      <x:c r="H1046" s="11" t="str">
        <x:v>2026-08-13；文件目录18:03，会议20:00北京香港时间，收盘后</x:v>
      </x:c>
      <x:c r="I1046" s="11" t="str">
        <x:v>https://ir.jd.com/system/files-encrypted/nasdaq_kms/assets/2026/08/13/18-03-06/JD.com%20Announces%20Second%20Quarter%20and%20Interim%202026%20Results.pdf</x:v>
      </x:c>
      <x:c r="J1046" s="11" t="str">
        <x:v>reported input</x:v>
      </x:c>
      <x:c r="K1046" s="11" t="str">
        <x:v>待核</x:v>
      </x:c>
      <x:c r="L1046" s="11" t="str">
        <x:v>精确发布时间未核验</x:v>
      </x:c>
      <x:c r="M1046" s="11" t="str">
        <x:v>截止日前日期，盘中时分未核</x:v>
      </x:c>
    </x:row>
    <x:row r="1047" ht="23" customHeight="1">
      <x:c r="A1047" s="11" t="str">
        <x:v>I070</x:v>
      </x:c>
      <x:c r="B1047" s="11" t="str">
        <x:v>09618.HK</x:v>
      </x:c>
      <x:c r="C1047" s="11" t="str">
        <x:v>issuedSharesRoundedMillion</x:v>
      </x:c>
      <x:c r="D1047" s="39" t="n">
        <x:v>2756</x:v>
      </x:c>
      <x:c r="E1047" s="11" t="str">
        <x:v>not monetary</x:v>
      </x:c>
      <x:c r="F1047" s="11" t="str">
        <x:v>million ordinary shares</x:v>
      </x:c>
      <x:c r="G1047" s="11" t="str">
        <x:v>2026H1</x:v>
      </x:c>
      <x:c r="H1047" s="11" t="str">
        <x:v>2026-08-13；文件目录18:03，会议20:00北京香港时间，收盘后</x:v>
      </x:c>
      <x:c r="I1047" s="11" t="str">
        <x:v>https://ir.jd.com/system/files-encrypted/nasdaq_kms/assets/2026/08/13/18-03-06/JD.com%20Announces%20Second%20Quarter%20and%20Interim%202026%20Results.pdf</x:v>
      </x:c>
      <x:c r="J1047" s="11" t="str">
        <x:v>reported input</x:v>
      </x:c>
      <x:c r="K1047" s="11" t="str">
        <x:v>待核</x:v>
      </x:c>
      <x:c r="L1047" s="11" t="str">
        <x:v>精确发布时间未核验</x:v>
      </x:c>
      <x:c r="M1047" s="11" t="str">
        <x:v>截止日前日期，盘中时分未核</x:v>
      </x:c>
    </x:row>
    <x:row r="1048" ht="23" customHeight="1">
      <x:c r="A1048" s="11" t="str">
        <x:v>I070</x:v>
      </x:c>
      <x:c r="B1048" s="11" t="str">
        <x:v>09618.HK</x:v>
      </x:c>
      <x:c r="C1048" s="11" t="str">
        <x:v>outstandingSharesRoundedMillion</x:v>
      </x:c>
      <x:c r="D1048" s="39" t="n">
        <x:v>2688</x:v>
      </x:c>
      <x:c r="E1048" s="11" t="str">
        <x:v>not monetary</x:v>
      </x:c>
      <x:c r="F1048" s="11" t="str">
        <x:v>million ordinary shares</x:v>
      </x:c>
      <x:c r="G1048" s="11" t="str">
        <x:v>2026H1</x:v>
      </x:c>
      <x:c r="H1048" s="11" t="str">
        <x:v>2026-08-13；文件目录18:03，会议20:00北京香港时间，收盘后</x:v>
      </x:c>
      <x:c r="I1048" s="11" t="str">
        <x:v>https://ir.jd.com/system/files-encrypted/nasdaq_kms/assets/2026/08/13/18-03-06/JD.com%20Announces%20Second%20Quarter%20and%20Interim%202026%20Results.pdf</x:v>
      </x:c>
      <x:c r="J1048" s="11" t="str">
        <x:v>reported input</x:v>
      </x:c>
      <x:c r="K1048" s="11" t="str">
        <x:v>待核</x:v>
      </x:c>
      <x:c r="L1048" s="11" t="str">
        <x:v>精确发布时间未核验</x:v>
      </x:c>
      <x:c r="M1048" s="11" t="str">
        <x:v>截止日前日期，盘中时分未核</x:v>
      </x:c>
    </x:row>
    <x:row r="1049" ht="23" customHeight="1">
      <x:c r="A1049" s="11" t="str">
        <x:v>I070</x:v>
      </x:c>
      <x:c r="B1049" s="11" t="str">
        <x:v>09618.HK</x:v>
      </x:c>
      <x:c r="C1049" s="11" t="str">
        <x:v>repurchasedSharesH1Million</x:v>
      </x:c>
      <x:c r="D1049" s="39" t="n">
        <x:v>69.9</x:v>
      </x:c>
      <x:c r="E1049" s="11" t="str">
        <x:v>not monetary</x:v>
      </x:c>
      <x:c r="F1049" s="11" t="str">
        <x:v>million ordinary shares</x:v>
      </x:c>
      <x:c r="G1049" s="11" t="str">
        <x:v>2026H1</x:v>
      </x:c>
      <x:c r="H1049" s="11" t="str">
        <x:v>2026-08-13；文件目录18:03，会议20:00北京香港时间，收盘后</x:v>
      </x:c>
      <x:c r="I1049" s="11" t="str">
        <x:v>https://ir.jd.com/system/files-encrypted/nasdaq_kms/assets/2026/08/13/18-03-06/JD.com%20Announces%20Second%20Quarter%20and%20Interim%202026%20Results.pdf</x:v>
      </x:c>
      <x:c r="J1049" s="11" t="str">
        <x:v>reported input</x:v>
      </x:c>
      <x:c r="K1049" s="11" t="str">
        <x:v>待核</x:v>
      </x:c>
      <x:c r="L1049" s="11" t="str">
        <x:v>精确发布时间未核验</x:v>
      </x:c>
      <x:c r="M1049" s="11" t="str">
        <x:v>截止日前日期，盘中时分未核</x:v>
      </x:c>
    </x:row>
    <x:row r="1050" ht="23" customHeight="1">
      <x:c r="A1050" s="11" t="str">
        <x:v>I070</x:v>
      </x:c>
      <x:c r="B1050" s="11" t="str">
        <x:v>09618.HK</x:v>
      </x:c>
      <x:c r="C1050" s="11" t="str">
        <x:v>repurchaseCashH1USDmillion</x:v>
      </x:c>
      <x:c r="D1050" s="39" t="n">
        <x:v>1000</x:v>
      </x:c>
      <x:c r="E1050" s="11" t="str">
        <x:v>USD</x:v>
      </x:c>
      <x:c r="F1050" s="11" t="str">
        <x:v>USD million</x:v>
      </x:c>
      <x:c r="G1050" s="11" t="str">
        <x:v>2026H1</x:v>
      </x:c>
      <x:c r="H1050" s="11" t="str">
        <x:v>2026-08-13；文件目录18:03，会议20:00北京香港时间，收盘后</x:v>
      </x:c>
      <x:c r="I1050" s="11" t="str">
        <x:v>https://ir.jd.com/system/files-encrypted/nasdaq_kms/assets/2026/08/13/18-03-06/JD.com%20Announces%20Second%20Quarter%20and%20Interim%202026%20Results.pdf</x:v>
      </x:c>
      <x:c r="J1050" s="11" t="str">
        <x:v>reported input</x:v>
      </x:c>
      <x:c r="K1050" s="11" t="str">
        <x:v>待核</x:v>
      </x:c>
      <x:c r="L1050" s="11" t="str">
        <x:v>精确发布时间未核验</x:v>
      </x:c>
      <x:c r="M1050" s="11" t="str">
        <x:v>截止日前日期，盘中时分未核</x:v>
      </x:c>
    </x:row>
    <x:row r="1051" ht="23" customHeight="1">
      <x:c r="A1051" s="11" t="str">
        <x:v>I070</x:v>
      </x:c>
      <x:c r="B1051" s="11" t="str">
        <x:v>09618.HK</x:v>
      </x:c>
      <x:c r="C1051" s="11" t="str">
        <x:v>repurchaseRemainingUSDmillion</x:v>
      </x:c>
      <x:c r="D1051" s="39" t="n">
        <x:v>1000</x:v>
      </x:c>
      <x:c r="E1051" s="11" t="str">
        <x:v>USD</x:v>
      </x:c>
      <x:c r="F1051" s="11" t="str">
        <x:v>USD million</x:v>
      </x:c>
      <x:c r="G1051" s="11" t="str">
        <x:v>2026H1</x:v>
      </x:c>
      <x:c r="H1051" s="11" t="str">
        <x:v>2026-08-13；文件目录18:03，会议20:00北京香港时间，收盘后</x:v>
      </x:c>
      <x:c r="I1051" s="11" t="str">
        <x:v>https://ir.jd.com/system/files-encrypted/nasdaq_kms/assets/2026/08/13/18-03-06/JD.com%20Announces%20Second%20Quarter%20and%20Interim%202026%20Results.pdf</x:v>
      </x:c>
      <x:c r="J1051" s="11" t="str">
        <x:v>reported input</x:v>
      </x:c>
      <x:c r="K1051" s="11" t="str">
        <x:v>待核</x:v>
      </x:c>
      <x:c r="L1051" s="11" t="str">
        <x:v>精确发布时间未核验</x:v>
      </x:c>
      <x:c r="M1051" s="11" t="str">
        <x:v>截止日前日期，盘中时分未核</x:v>
      </x:c>
    </x:row>
    <x:row r="1052" ht="23" customHeight="1">
      <x:c r="A1052" s="11" t="str">
        <x:v>I070</x:v>
      </x:c>
      <x:c r="B1052" s="11" t="str">
        <x:v>09618.HK</x:v>
      </x:c>
      <x:c r="C1052" s="11" t="str">
        <x:v>dividend2025PaidUSDperOrdinaryShare</x:v>
      </x:c>
      <x:c r="D1052" s="39" t="n">
        <x:v>0.5</x:v>
      </x:c>
      <x:c r="E1052" s="11" t="str">
        <x:v>USD</x:v>
      </x:c>
      <x:c r="F1052" s="11" t="str">
        <x:v>USD/ordinary share</x:v>
      </x:c>
      <x:c r="G1052" s="11" t="str">
        <x:v>2026H1</x:v>
      </x:c>
      <x:c r="H1052" s="11" t="str">
        <x:v>2026-08-13；文件目录18:03，会议20:00北京香港时间，收盘后</x:v>
      </x:c>
      <x:c r="I1052" s="11" t="str">
        <x:v>https://ir.jd.com/system/files-encrypted/nasdaq_kms/assets/2026/08/13/18-03-06/JD.com%20Announces%20Second%20Quarter%20and%20Interim%202026%20Results.pdf</x:v>
      </x:c>
      <x:c r="J1052" s="11" t="str">
        <x:v>reported input</x:v>
      </x:c>
      <x:c r="K1052" s="11" t="str">
        <x:v>待核</x:v>
      </x:c>
      <x:c r="L1052" s="11" t="str">
        <x:v>精确发布时间未核验</x:v>
      </x:c>
      <x:c r="M1052" s="11" t="str">
        <x:v>截止日前日期，盘中时分未核</x:v>
      </x:c>
    </x:row>
    <x:row r="1053" ht="23" customHeight="1">
      <x:c r="A1053" s="11" t="str">
        <x:v>I017</x:v>
      </x:c>
      <x:c r="B1053" s="11" t="str">
        <x:v>688356.SH</x:v>
      </x:c>
      <x:c r="C1053" s="11" t="str">
        <x:v>revenue</x:v>
      </x:c>
      <x:c r="D1053" s="39" t="n">
        <x:v>185.0616835</x:v>
      </x:c>
      <x:c r="E1053" s="11" t="str">
        <x:v>CNY</x:v>
      </x:c>
      <x:c r="F1053" s="11" t="str">
        <x:v>million</x:v>
      </x:c>
      <x:c r="G1053" s="11" t="str">
        <x:v>2026H1</x:v>
      </x:c>
      <x:c r="H1053" s="11" t="str">
        <x:v>2026-08-26</x:v>
      </x:c>
      <x:c r="I1053" s="11" t="str">
        <x:v>https://static.cninfo.com.cn/finalpage/2026-08-26/1225501475.PDF</x:v>
      </x:c>
      <x:c r="J1053" s="11" t="str"/>
      <x:c r="K1053" s="11" t="str">
        <x:v>待核</x:v>
      </x:c>
      <x:c r="L1053" s="11" t="str">
        <x:v>精确发布时间未核验</x:v>
      </x:c>
      <x:c r="M1053" s="11" t="str">
        <x:v>截止日前日期，盘中时分未核</x:v>
      </x:c>
    </x:row>
    <x:row r="1054" ht="23" customHeight="1">
      <x:c r="A1054" s="11" t="str">
        <x:v>I017</x:v>
      </x:c>
      <x:c r="B1054" s="11" t="str">
        <x:v>688356.SH</x:v>
      </x:c>
      <x:c r="C1054" s="11" t="str">
        <x:v>revenueGrowthPct</x:v>
      </x:c>
      <x:c r="D1054" s="39" t="n">
        <x:v>42.65</x:v>
      </x:c>
      <x:c r="E1054" s="11" t="str">
        <x:v>not monetary</x:v>
      </x:c>
      <x:c r="F1054" s="11" t="str">
        <x:v>percent</x:v>
      </x:c>
      <x:c r="G1054" s="11" t="str">
        <x:v>2026H1</x:v>
      </x:c>
      <x:c r="H1054" s="11" t="str">
        <x:v>2026-08-26</x:v>
      </x:c>
      <x:c r="I1054" s="11" t="str">
        <x:v>https://static.cninfo.com.cn/finalpage/2026-08-26/1225501475.PDF</x:v>
      </x:c>
      <x:c r="J1054" s="11" t="str"/>
      <x:c r="K1054" s="11" t="str">
        <x:v>待核</x:v>
      </x:c>
      <x:c r="L1054" s="11" t="str">
        <x:v>精确发布时间未核验</x:v>
      </x:c>
      <x:c r="M1054" s="11" t="str">
        <x:v>截止日前日期，盘中时分未核</x:v>
      </x:c>
    </x:row>
    <x:row r="1055" ht="23" customHeight="1">
      <x:c r="A1055" s="11" t="str">
        <x:v>I017</x:v>
      </x:c>
      <x:c r="B1055" s="11" t="str">
        <x:v>688356.SH</x:v>
      </x:c>
      <x:c r="C1055" s="11" t="str">
        <x:v>cost</x:v>
      </x:c>
      <x:c r="D1055" s="39" t="n">
        <x:v>51.70922934</x:v>
      </x:c>
      <x:c r="E1055" s="11" t="str">
        <x:v>CNY</x:v>
      </x:c>
      <x:c r="F1055" s="11" t="str">
        <x:v>million</x:v>
      </x:c>
      <x:c r="G1055" s="11" t="str">
        <x:v>2026H1</x:v>
      </x:c>
      <x:c r="H1055" s="11" t="str">
        <x:v>2026-08-26</x:v>
      </x:c>
      <x:c r="I1055" s="11" t="str">
        <x:v>https://static.cninfo.com.cn/finalpage/2026-08-26/1225501475.PDF</x:v>
      </x:c>
      <x:c r="J1055" s="11" t="str"/>
      <x:c r="K1055" s="11" t="str">
        <x:v>待核</x:v>
      </x:c>
      <x:c r="L1055" s="11" t="str">
        <x:v>精确发布时间未核验</x:v>
      </x:c>
      <x:c r="M1055" s="11" t="str">
        <x:v>截止日前日期，盘中时分未核</x:v>
      </x:c>
    </x:row>
    <x:row r="1056" ht="23" customHeight="1">
      <x:c r="A1056" s="11" t="str">
        <x:v>I017</x:v>
      </x:c>
      <x:c r="B1056" s="11" t="str">
        <x:v>688356.SH</x:v>
      </x:c>
      <x:c r="C1056" s="11" t="str">
        <x:v>grossMarginPct</x:v>
      </x:c>
      <x:c r="D1056" s="39" t="n">
        <x:v>72.05838163684489</x:v>
      </x:c>
      <x:c r="E1056" s="11" t="str">
        <x:v>not monetary</x:v>
      </x:c>
      <x:c r="F1056" s="11" t="str">
        <x:v>percent</x:v>
      </x:c>
      <x:c r="G1056" s="11" t="str">
        <x:v>2026H1</x:v>
      </x:c>
      <x:c r="H1056" s="11" t="str">
        <x:v>2026-08-26</x:v>
      </x:c>
      <x:c r="I1056" s="11" t="str">
        <x:v>https://static.cninfo.com.cn/finalpage/2026-08-26/1225501475.PDF</x:v>
      </x:c>
      <x:c r="J1056" s="11" t="str"/>
      <x:c r="K1056" s="11" t="str">
        <x:v>待核</x:v>
      </x:c>
      <x:c r="L1056" s="11" t="str">
        <x:v>精确发布时间未核验</x:v>
      </x:c>
      <x:c r="M1056" s="11" t="str">
        <x:v>截止日前日期，盘中时分未核</x:v>
      </x:c>
    </x:row>
    <x:row r="1057" ht="23" customHeight="1">
      <x:c r="A1057" s="11" t="str">
        <x:v>I017</x:v>
      </x:c>
      <x:c r="B1057" s="11" t="str">
        <x:v>688356.SH</x:v>
      </x:c>
      <x:c r="C1057" s="11" t="str">
        <x:v>attributableProfit</x:v>
      </x:c>
      <x:c r="D1057" s="39" t="n">
        <x:v>2.91981369</x:v>
      </x:c>
      <x:c r="E1057" s="11" t="str">
        <x:v>CNY</x:v>
      </x:c>
      <x:c r="F1057" s="11" t="str">
        <x:v>million</x:v>
      </x:c>
      <x:c r="G1057" s="11" t="str">
        <x:v>2026H1</x:v>
      </x:c>
      <x:c r="H1057" s="11" t="str">
        <x:v>2026-08-26</x:v>
      </x:c>
      <x:c r="I1057" s="11" t="str">
        <x:v>https://static.cninfo.com.cn/finalpage/2026-08-26/1225501475.PDF</x:v>
      </x:c>
      <x:c r="J1057" s="11" t="str"/>
      <x:c r="K1057" s="11" t="str">
        <x:v>待核</x:v>
      </x:c>
      <x:c r="L1057" s="11" t="str">
        <x:v>精确发布时间未核验</x:v>
      </x:c>
      <x:c r="M1057" s="11" t="str">
        <x:v>截止日前日期，盘中时分未核</x:v>
      </x:c>
    </x:row>
    <x:row r="1058" ht="23" customHeight="1">
      <x:c r="A1058" s="11" t="str">
        <x:v>I017</x:v>
      </x:c>
      <x:c r="B1058" s="11" t="str">
        <x:v>688356.SH</x:v>
      </x:c>
      <x:c r="C1058" s="11" t="str">
        <x:v>deductedProfit</x:v>
      </x:c>
      <x:c r="D1058" s="39" t="n">
        <x:v>-2.10519617</x:v>
      </x:c>
      <x:c r="E1058" s="11" t="str">
        <x:v>CNY</x:v>
      </x:c>
      <x:c r="F1058" s="11" t="str">
        <x:v>million</x:v>
      </x:c>
      <x:c r="G1058" s="11" t="str">
        <x:v>2026H1</x:v>
      </x:c>
      <x:c r="H1058" s="11" t="str">
        <x:v>2026-08-26</x:v>
      </x:c>
      <x:c r="I1058" s="11" t="str">
        <x:v>https://static.cninfo.com.cn/finalpage/2026-08-26/1225501475.PDF</x:v>
      </x:c>
      <x:c r="J1058" s="11" t="str"/>
      <x:c r="K1058" s="11" t="str">
        <x:v>待核</x:v>
      </x:c>
      <x:c r="L1058" s="11" t="str">
        <x:v>精确发布时间未核验</x:v>
      </x:c>
      <x:c r="M1058" s="11" t="str">
        <x:v>截止日前日期，盘中时分未核</x:v>
      </x:c>
    </x:row>
    <x:row r="1059" ht="23" customHeight="1">
      <x:c r="A1059" s="11" t="str">
        <x:v>I017</x:v>
      </x:c>
      <x:c r="B1059" s="11" t="str">
        <x:v>688356.SH</x:v>
      </x:c>
      <x:c r="C1059" s="11" t="str">
        <x:v>pretaxProfit</x:v>
      </x:c>
      <x:c r="D1059" s="39" t="n">
        <x:v>2.35982467</x:v>
      </x:c>
      <x:c r="E1059" s="11" t="str">
        <x:v>CNY</x:v>
      </x:c>
      <x:c r="F1059" s="11" t="str">
        <x:v>million</x:v>
      </x:c>
      <x:c r="G1059" s="11" t="str">
        <x:v>2026H1</x:v>
      </x:c>
      <x:c r="H1059" s="11" t="str">
        <x:v>2026-08-26</x:v>
      </x:c>
      <x:c r="I1059" s="11" t="str">
        <x:v>https://static.cninfo.com.cn/finalpage/2026-08-26/1225501475.PDF</x:v>
      </x:c>
      <x:c r="J1059" s="11" t="str"/>
      <x:c r="K1059" s="11" t="str">
        <x:v>待核</x:v>
      </x:c>
      <x:c r="L1059" s="11" t="str">
        <x:v>精确发布时间未核验</x:v>
      </x:c>
      <x:c r="M1059" s="11" t="str">
        <x:v>截止日前日期，盘中时分未核</x:v>
      </x:c>
    </x:row>
    <x:row r="1060" ht="23" customHeight="1">
      <x:c r="A1060" s="11" t="str">
        <x:v>I017</x:v>
      </x:c>
      <x:c r="B1060" s="11" t="str">
        <x:v>688356.SH</x:v>
      </x:c>
      <x:c r="C1060" s="11" t="str">
        <x:v>developmentImpairment</x:v>
      </x:c>
      <x:c r="D1060" s="39" t="n">
        <x:v>70.64105624</x:v>
      </x:c>
      <x:c r="E1060" s="11" t="str">
        <x:v>CNY</x:v>
      </x:c>
      <x:c r="F1060" s="11" t="str">
        <x:v>million</x:v>
      </x:c>
      <x:c r="G1060" s="11" t="str">
        <x:v>2026H1</x:v>
      </x:c>
      <x:c r="H1060" s="11" t="str">
        <x:v>2026-08-26</x:v>
      </x:c>
      <x:c r="I1060" s="11" t="str">
        <x:v>https://static.cninfo.com.cn/finalpage/2026-08-26/1225501475.PDF</x:v>
      </x:c>
      <x:c r="J1060" s="11" t="str"/>
      <x:c r="K1060" s="11" t="str">
        <x:v>待核</x:v>
      </x:c>
      <x:c r="L1060" s="11" t="str">
        <x:v>精确发布时间未核验</x:v>
      </x:c>
      <x:c r="M1060" s="11" t="str">
        <x:v>截止日前日期，盘中时分未核</x:v>
      </x:c>
    </x:row>
    <x:row r="1061" ht="23" customHeight="1">
      <x:c r="A1061" s="11" t="str">
        <x:v>I017</x:v>
      </x:c>
      <x:c r="B1061" s="11" t="str">
        <x:v>688356.SH</x:v>
      </x:c>
      <x:c r="C1061" s="11" t="str">
        <x:v>totalAssetImpairment</x:v>
      </x:c>
      <x:c r="D1061" s="39" t="n">
        <x:v>74.04366393</x:v>
      </x:c>
      <x:c r="E1061" s="11" t="str">
        <x:v>CNY</x:v>
      </x:c>
      <x:c r="F1061" s="11" t="str">
        <x:v>million</x:v>
      </x:c>
      <x:c r="G1061" s="11" t="str">
        <x:v>2026H1</x:v>
      </x:c>
      <x:c r="H1061" s="11" t="str">
        <x:v>2026-08-26</x:v>
      </x:c>
      <x:c r="I1061" s="11" t="str">
        <x:v>https://static.cninfo.com.cn/finalpage/2026-08-26/1225501475.PDF</x:v>
      </x:c>
      <x:c r="J1061" s="11" t="str"/>
      <x:c r="K1061" s="11" t="str">
        <x:v>待核</x:v>
      </x:c>
      <x:c r="L1061" s="11" t="str">
        <x:v>精确发布时间未核验</x:v>
      </x:c>
      <x:c r="M1061" s="11" t="str">
        <x:v>截止日前日期，盘中时分未核</x:v>
      </x:c>
    </x:row>
    <x:row r="1062" ht="23" customHeight="1">
      <x:c r="A1062" s="11" t="str">
        <x:v>I017</x:v>
      </x:c>
      <x:c r="B1062" s="11" t="str">
        <x:v>688356.SH</x:v>
      </x:c>
      <x:c r="C1062" s="11" t="str">
        <x:v>companyAdjustedAttributable</x:v>
      </x:c>
      <x:c r="D1062" s="39" t="n">
        <x:v>62.9647</x:v>
      </x:c>
      <x:c r="E1062" s="11" t="str">
        <x:v>CNY</x:v>
      </x:c>
      <x:c r="F1062" s="11" t="str">
        <x:v>million</x:v>
      </x:c>
      <x:c r="G1062" s="11" t="str">
        <x:v>2026H1</x:v>
      </x:c>
      <x:c r="H1062" s="11" t="str">
        <x:v>2026-08-26</x:v>
      </x:c>
      <x:c r="I1062" s="11" t="str">
        <x:v>https://static.cninfo.com.cn/finalpage/2026-08-26/1225501475.PDF</x:v>
      </x:c>
      <x:c r="J1062" s="11" t="str"/>
      <x:c r="K1062" s="11" t="str">
        <x:v>待核</x:v>
      </x:c>
      <x:c r="L1062" s="11" t="str">
        <x:v>精确发布时间未核验</x:v>
      </x:c>
      <x:c r="M1062" s="11" t="str">
        <x:v>截止日前日期，盘中时分未核</x:v>
      </x:c>
    </x:row>
    <x:row r="1063" ht="23" customHeight="1">
      <x:c r="A1063" s="11" t="str">
        <x:v>I017</x:v>
      </x:c>
      <x:c r="B1063" s="11" t="str">
        <x:v>688356.SH</x:v>
      </x:c>
      <x:c r="C1063" s="11" t="str">
        <x:v>companyAdjustedDeducted</x:v>
      </x:c>
      <x:c r="D1063" s="39" t="n">
        <x:v>57.9397</x:v>
      </x:c>
      <x:c r="E1063" s="11" t="str">
        <x:v>CNY</x:v>
      </x:c>
      <x:c r="F1063" s="11" t="str">
        <x:v>million</x:v>
      </x:c>
      <x:c r="G1063" s="11" t="str">
        <x:v>2026H1</x:v>
      </x:c>
      <x:c r="H1063" s="11" t="str">
        <x:v>2026-08-26</x:v>
      </x:c>
      <x:c r="I1063" s="11" t="str">
        <x:v>https://static.cninfo.com.cn/finalpage/2026-08-26/1225501475.PDF</x:v>
      </x:c>
      <x:c r="J1063" s="11" t="str"/>
      <x:c r="K1063" s="11" t="str">
        <x:v>待核</x:v>
      </x:c>
      <x:c r="L1063" s="11" t="str">
        <x:v>精确发布时间未核验</x:v>
      </x:c>
      <x:c r="M1063" s="11" t="str">
        <x:v>截止日前日期，盘中时分未核</x:v>
      </x:c>
    </x:row>
    <x:row r="1064" ht="23" customHeight="1">
      <x:c r="A1064" s="11" t="str">
        <x:v>I017</x:v>
      </x:c>
      <x:c r="B1064" s="11" t="str">
        <x:v>688356.SH</x:v>
      </x:c>
      <x:c r="C1064" s="11" t="str">
        <x:v>companyAdjustedPretax</x:v>
      </x:c>
      <x:c r="D1064" s="39" t="n">
        <x:v>73.0009</x:v>
      </x:c>
      <x:c r="E1064" s="11" t="str">
        <x:v>CNY</x:v>
      </x:c>
      <x:c r="F1064" s="11" t="str">
        <x:v>million</x:v>
      </x:c>
      <x:c r="G1064" s="11" t="str">
        <x:v>2026H1</x:v>
      </x:c>
      <x:c r="H1064" s="11" t="str">
        <x:v>2026-08-26</x:v>
      </x:c>
      <x:c r="I1064" s="11" t="str">
        <x:v>https://static.cninfo.com.cn/finalpage/2026-08-26/1225501475.PDF</x:v>
      </x:c>
      <x:c r="J1064" s="11" t="str"/>
      <x:c r="K1064" s="11" t="str">
        <x:v>待核</x:v>
      </x:c>
      <x:c r="L1064" s="11" t="str">
        <x:v>精确发布时间未核验</x:v>
      </x:c>
      <x:c r="M1064" s="11" t="str">
        <x:v>截止日前日期，盘中时分未核</x:v>
      </x:c>
    </x:row>
    <x:row r="1065" ht="23" customHeight="1">
      <x:c r="A1065" s="11" t="str">
        <x:v>I017</x:v>
      </x:c>
      <x:c r="B1065" s="11" t="str">
        <x:v>688356.SH</x:v>
      </x:c>
      <x:c r="C1065" s="11" t="str">
        <x:v>OCF</x:v>
      </x:c>
      <x:c r="D1065" s="39" t="n">
        <x:v>58.74275666</x:v>
      </x:c>
      <x:c r="E1065" s="11" t="str">
        <x:v>CNY</x:v>
      </x:c>
      <x:c r="F1065" s="11" t="str">
        <x:v>million</x:v>
      </x:c>
      <x:c r="G1065" s="11" t="str">
        <x:v>2026H1</x:v>
      </x:c>
      <x:c r="H1065" s="11" t="str">
        <x:v>2026-08-26</x:v>
      </x:c>
      <x:c r="I1065" s="11" t="str">
        <x:v>https://static.cninfo.com.cn/finalpage/2026-08-26/1225501475.PDF</x:v>
      </x:c>
      <x:c r="J1065" s="11" t="str"/>
      <x:c r="K1065" s="11" t="str">
        <x:v>待核</x:v>
      </x:c>
      <x:c r="L1065" s="11" t="str">
        <x:v>精确发布时间未核验</x:v>
      </x:c>
      <x:c r="M1065" s="11" t="str">
        <x:v>截止日前日期，盘中时分未核</x:v>
      </x:c>
    </x:row>
    <x:row r="1066" ht="23" customHeight="1">
      <x:c r="A1066" s="11" t="str">
        <x:v>I017</x:v>
      </x:c>
      <x:c r="B1066" s="11" t="str">
        <x:v>688356.SH</x:v>
      </x:c>
      <x:c r="C1066" s="11" t="str">
        <x:v>capex</x:v>
      </x:c>
      <x:c r="D1066" s="39" t="n">
        <x:v>66.92849859</x:v>
      </x:c>
      <x:c r="E1066" s="11" t="str">
        <x:v>CNY</x:v>
      </x:c>
      <x:c r="F1066" s="11" t="str">
        <x:v>million</x:v>
      </x:c>
      <x:c r="G1066" s="11" t="str">
        <x:v>2026H1</x:v>
      </x:c>
      <x:c r="H1066" s="11" t="str">
        <x:v>2026-08-26</x:v>
      </x:c>
      <x:c r="I1066" s="11" t="str">
        <x:v>https://static.cninfo.com.cn/finalpage/2026-08-26/1225501475.PDF</x:v>
      </x:c>
      <x:c r="J1066" s="11" t="str"/>
      <x:c r="K1066" s="11" t="str">
        <x:v>待核</x:v>
      </x:c>
      <x:c r="L1066" s="11" t="str">
        <x:v>精确发布时间未核验</x:v>
      </x:c>
      <x:c r="M1066" s="11" t="str">
        <x:v>截止日前日期，盘中时分未核</x:v>
      </x:c>
    </x:row>
    <x:row r="1067" ht="23" customHeight="1">
      <x:c r="A1067" s="11" t="str">
        <x:v>I017</x:v>
      </x:c>
      <x:c r="B1067" s="11" t="str">
        <x:v>688356.SH</x:v>
      </x:c>
      <x:c r="C1067" s="11" t="str">
        <x:v>FCF</x:v>
      </x:c>
      <x:c r="D1067" s="39" t="n">
        <x:v>-8.18574193</x:v>
      </x:c>
      <x:c r="E1067" s="11" t="str">
        <x:v>CNY</x:v>
      </x:c>
      <x:c r="F1067" s="11" t="str">
        <x:v>million</x:v>
      </x:c>
      <x:c r="G1067" s="11" t="str">
        <x:v>2026H1</x:v>
      </x:c>
      <x:c r="H1067" s="11" t="str">
        <x:v>2026-08-26</x:v>
      </x:c>
      <x:c r="I1067" s="11" t="str">
        <x:v>https://static.cninfo.com.cn/finalpage/2026-08-26/1225501475.PDF</x:v>
      </x:c>
      <x:c r="J1067" s="11" t="str"/>
      <x:c r="K1067" s="11" t="str">
        <x:v>待核</x:v>
      </x:c>
      <x:c r="L1067" s="11" t="str">
        <x:v>精确发布时间未核验</x:v>
      </x:c>
      <x:c r="M1067" s="11" t="str">
        <x:v>截止日前日期，盘中时分未核</x:v>
      </x:c>
    </x:row>
    <x:row r="1068" ht="23" customHeight="1">
      <x:c r="A1068" s="11" t="str">
        <x:v>I017</x:v>
      </x:c>
      <x:c r="B1068" s="11" t="str">
        <x:v>688356.SH</x:v>
      </x:c>
      <x:c r="C1068" s="11" t="str">
        <x:v>cashCashEquivalents</x:v>
      </x:c>
      <x:c r="D1068" s="39" t="n">
        <x:v>147.28809289</x:v>
      </x:c>
      <x:c r="E1068" s="11" t="str">
        <x:v>CNY</x:v>
      </x:c>
      <x:c r="F1068" s="11" t="str">
        <x:v>million</x:v>
      </x:c>
      <x:c r="G1068" s="11" t="str">
        <x:v>2026H1</x:v>
      </x:c>
      <x:c r="H1068" s="11" t="str">
        <x:v>2026-08-26</x:v>
      </x:c>
      <x:c r="I1068" s="11" t="str">
        <x:v>https://static.cninfo.com.cn/finalpage/2026-08-26/1225501475.PDF</x:v>
      </x:c>
      <x:c r="J1068" s="11" t="str"/>
      <x:c r="K1068" s="11" t="str">
        <x:v>待核</x:v>
      </x:c>
      <x:c r="L1068" s="11" t="str">
        <x:v>精确发布时间未核验</x:v>
      </x:c>
      <x:c r="M1068" s="11" t="str">
        <x:v>截止日前日期，盘中时分未核</x:v>
      </x:c>
    </x:row>
    <x:row r="1069" ht="23" customHeight="1">
      <x:c r="A1069" s="11" t="str">
        <x:v>I017</x:v>
      </x:c>
      <x:c r="B1069" s="11" t="str">
        <x:v>688356.SH</x:v>
      </x:c>
      <x:c r="C1069" s="11" t="str">
        <x:v>restrictedCash</x:v>
      </x:c>
      <x:c r="D1069" s="39" t="n">
        <x:v>0</x:v>
      </x:c>
      <x:c r="E1069" s="11" t="str">
        <x:v>CNY</x:v>
      </x:c>
      <x:c r="F1069" s="11" t="str">
        <x:v>million</x:v>
      </x:c>
      <x:c r="G1069" s="11" t="str">
        <x:v>2026H1</x:v>
      </x:c>
      <x:c r="H1069" s="11" t="str">
        <x:v>2026-08-26</x:v>
      </x:c>
      <x:c r="I1069" s="11" t="str">
        <x:v>https://static.cninfo.com.cn/finalpage/2026-08-26/1225501475.PDF</x:v>
      </x:c>
      <x:c r="J1069" s="11" t="str"/>
      <x:c r="K1069" s="11" t="str">
        <x:v>待核</x:v>
      </x:c>
      <x:c r="L1069" s="11" t="str">
        <x:v>精确发布时间未核验</x:v>
      </x:c>
      <x:c r="M1069" s="11" t="str">
        <x:v>截止日前日期，盘中时分未核</x:v>
      </x:c>
    </x:row>
    <x:row r="1070" ht="23" customHeight="1">
      <x:c r="A1070" s="11" t="str">
        <x:v>I017</x:v>
      </x:c>
      <x:c r="B1070" s="11" t="str">
        <x:v>688356.SH</x:v>
      </x:c>
      <x:c r="C1070" s="11" t="str">
        <x:v>financialCurrent</x:v>
      </x:c>
      <x:c r="D1070" s="39" t="n">
        <x:v>329.80535203</x:v>
      </x:c>
      <x:c r="E1070" s="11" t="str">
        <x:v>CNY</x:v>
      </x:c>
      <x:c r="F1070" s="11" t="str">
        <x:v>million</x:v>
      </x:c>
      <x:c r="G1070" s="11" t="str">
        <x:v>2026H1</x:v>
      </x:c>
      <x:c r="H1070" s="11" t="str">
        <x:v>2026-08-26</x:v>
      </x:c>
      <x:c r="I1070" s="11" t="str">
        <x:v>https://static.cninfo.com.cn/finalpage/2026-08-26/1225501475.PDF</x:v>
      </x:c>
      <x:c r="J1070" s="11" t="str"/>
      <x:c r="K1070" s="11" t="str">
        <x:v>待核</x:v>
      </x:c>
      <x:c r="L1070" s="11" t="str">
        <x:v>精确发布时间未核验</x:v>
      </x:c>
      <x:c r="M1070" s="11" t="str">
        <x:v>截止日前日期，盘中时分未核</x:v>
      </x:c>
    </x:row>
    <x:row r="1071" ht="23" customHeight="1">
      <x:c r="A1071" s="11" t="str">
        <x:v>I017</x:v>
      </x:c>
      <x:c r="B1071" s="11" t="str">
        <x:v>688356.SH</x:v>
      </x:c>
      <x:c r="C1071" s="11" t="str">
        <x:v>financialNoncurrent</x:v>
      </x:c>
      <x:c r="D1071" s="39" t="n">
        <x:v>169.86869829</x:v>
      </x:c>
      <x:c r="E1071" s="11" t="str">
        <x:v>CNY</x:v>
      </x:c>
      <x:c r="F1071" s="11" t="str">
        <x:v>million</x:v>
      </x:c>
      <x:c r="G1071" s="11" t="str">
        <x:v>2026H1</x:v>
      </x:c>
      <x:c r="H1071" s="11" t="str">
        <x:v>2026-08-26</x:v>
      </x:c>
      <x:c r="I1071" s="11" t="str">
        <x:v>https://static.cninfo.com.cn/finalpage/2026-08-26/1225501475.PDF</x:v>
      </x:c>
      <x:c r="J1071" s="11" t="str"/>
      <x:c r="K1071" s="11" t="str">
        <x:v>待核</x:v>
      </x:c>
      <x:c r="L1071" s="11" t="str">
        <x:v>精确发布时间未核验</x:v>
      </x:c>
      <x:c r="M1071" s="11" t="str">
        <x:v>截止日前日期，盘中时分未核</x:v>
      </x:c>
    </x:row>
    <x:row r="1072" ht="23" customHeight="1">
      <x:c r="A1072" s="11" t="str">
        <x:v>I017</x:v>
      </x:c>
      <x:c r="B1072" s="11" t="str">
        <x:v>688356.SH</x:v>
      </x:c>
      <x:c r="C1072" s="11" t="str">
        <x:v>bankDebt</x:v>
      </x:c>
      <x:c r="D1072" s="39" t="n">
        <x:v>0</x:v>
      </x:c>
      <x:c r="E1072" s="11" t="str">
        <x:v>CNY</x:v>
      </x:c>
      <x:c r="F1072" s="11" t="str">
        <x:v>million</x:v>
      </x:c>
      <x:c r="G1072" s="11" t="str">
        <x:v>2026H1</x:v>
      </x:c>
      <x:c r="H1072" s="11" t="str">
        <x:v>2026-08-26</x:v>
      </x:c>
      <x:c r="I1072" s="11" t="str">
        <x:v>https://static.cninfo.com.cn/finalpage/2026-08-26/1225501475.PDF</x:v>
      </x:c>
      <x:c r="J1072" s="11" t="str"/>
      <x:c r="K1072" s="11" t="str">
        <x:v>待核</x:v>
      </x:c>
      <x:c r="L1072" s="11" t="str">
        <x:v>精确发布时间未核验</x:v>
      </x:c>
      <x:c r="M1072" s="11" t="str">
        <x:v>截止日前日期，盘中时分未核</x:v>
      </x:c>
    </x:row>
    <x:row r="1073" ht="23" customHeight="1">
      <x:c r="A1073" s="11" t="str">
        <x:v>I017</x:v>
      </x:c>
      <x:c r="B1073" s="11" t="str">
        <x:v>688356.SH</x:v>
      </x:c>
      <x:c r="C1073" s="11" t="str">
        <x:v>leaseDebtIncludingCurrent</x:v>
      </x:c>
      <x:c r="D1073" s="39" t="n">
        <x:v>6.73175375</x:v>
      </x:c>
      <x:c r="E1073" s="11" t="str">
        <x:v>CNY</x:v>
      </x:c>
      <x:c r="F1073" s="11" t="str">
        <x:v>million</x:v>
      </x:c>
      <x:c r="G1073" s="11" t="str">
        <x:v>2026H1</x:v>
      </x:c>
      <x:c r="H1073" s="11" t="str">
        <x:v>2026-08-26</x:v>
      </x:c>
      <x:c r="I1073" s="11" t="str">
        <x:v>https://static.cninfo.com.cn/finalpage/2026-08-26/1225501475.PDF</x:v>
      </x:c>
      <x:c r="J1073" s="11" t="str"/>
      <x:c r="K1073" s="11" t="str">
        <x:v>待核</x:v>
      </x:c>
      <x:c r="L1073" s="11" t="str">
        <x:v>精确发布时间未核验</x:v>
      </x:c>
      <x:c r="M1073" s="11" t="str">
        <x:v>截止日前日期，盘中时分未核</x:v>
      </x:c>
    </x:row>
    <x:row r="1074" ht="23" customHeight="1">
      <x:c r="A1074" s="11" t="str">
        <x:v>I017</x:v>
      </x:c>
      <x:c r="B1074" s="11" t="str">
        <x:v>688356.SH</x:v>
      </x:c>
      <x:c r="C1074" s="11" t="str">
        <x:v>totalLiabilities</x:v>
      </x:c>
      <x:c r="D1074" s="39" t="n">
        <x:v>73.62713561</x:v>
      </x:c>
      <x:c r="E1074" s="11" t="str">
        <x:v>CNY</x:v>
      </x:c>
      <x:c r="F1074" s="11" t="str">
        <x:v>million</x:v>
      </x:c>
      <x:c r="G1074" s="11" t="str">
        <x:v>2026H1</x:v>
      </x:c>
      <x:c r="H1074" s="11" t="str">
        <x:v>2026-08-26</x:v>
      </x:c>
      <x:c r="I1074" s="11" t="str">
        <x:v>https://static.cninfo.com.cn/finalpage/2026-08-26/1225501475.PDF</x:v>
      </x:c>
      <x:c r="J1074" s="11" t="str"/>
      <x:c r="K1074" s="11" t="str">
        <x:v>待核</x:v>
      </x:c>
      <x:c r="L1074" s="11" t="str">
        <x:v>精确发布时间未核验</x:v>
      </x:c>
      <x:c r="M1074" s="11" t="str">
        <x:v>截止日前日期，盘中时分未核</x:v>
      </x:c>
    </x:row>
    <x:row r="1075" ht="23" customHeight="1">
      <x:c r="A1075" s="11" t="str">
        <x:v>I017</x:v>
      </x:c>
      <x:c r="B1075" s="11" t="str">
        <x:v>688356.SH</x:v>
      </x:c>
      <x:c r="C1075" s="11" t="str">
        <x:v>equity</x:v>
      </x:c>
      <x:c r="D1075" s="39" t="n">
        <x:v>1299.255884</x:v>
      </x:c>
      <x:c r="E1075" s="11" t="str">
        <x:v>CNY</x:v>
      </x:c>
      <x:c r="F1075" s="11" t="str">
        <x:v>million</x:v>
      </x:c>
      <x:c r="G1075" s="11" t="str">
        <x:v>2026H1</x:v>
      </x:c>
      <x:c r="H1075" s="11" t="str">
        <x:v>2026-08-26</x:v>
      </x:c>
      <x:c r="I1075" s="11" t="str">
        <x:v>https://static.cninfo.com.cn/finalpage/2026-08-26/1225501475.PDF</x:v>
      </x:c>
      <x:c r="J1075" s="11" t="str"/>
      <x:c r="K1075" s="11" t="str">
        <x:v>待核</x:v>
      </x:c>
      <x:c r="L1075" s="11" t="str">
        <x:v>精确发布时间未核验</x:v>
      </x:c>
      <x:c r="M1075" s="11" t="str">
        <x:v>截止日前日期，盘中时分未核</x:v>
      </x:c>
    </x:row>
    <x:row r="1076" ht="23" customHeight="1">
      <x:c r="A1076" s="11" t="str">
        <x:v>I017</x:v>
      </x:c>
      <x:c r="B1076" s="11" t="str">
        <x:v>688356.SH</x:v>
      </x:c>
      <x:c r="C1076" s="11" t="str">
        <x:v>assets</x:v>
      </x:c>
      <x:c r="D1076" s="39" t="n">
        <x:v>1372.88301961</x:v>
      </x:c>
      <x:c r="E1076" s="11" t="str">
        <x:v>CNY</x:v>
      </x:c>
      <x:c r="F1076" s="11" t="str">
        <x:v>million</x:v>
      </x:c>
      <x:c r="G1076" s="11" t="str">
        <x:v>2026H1</x:v>
      </x:c>
      <x:c r="H1076" s="11" t="str">
        <x:v>2026-08-26</x:v>
      </x:c>
      <x:c r="I1076" s="11" t="str">
        <x:v>https://static.cninfo.com.cn/finalpage/2026-08-26/1225501475.PDF</x:v>
      </x:c>
      <x:c r="J1076" s="11" t="str"/>
      <x:c r="K1076" s="11" t="str">
        <x:v>待核</x:v>
      </x:c>
      <x:c r="L1076" s="11" t="str">
        <x:v>精确发布时间未核验</x:v>
      </x:c>
      <x:c r="M1076" s="11" t="str">
        <x:v>截止日前日期，盘中时分未核</x:v>
      </x:c>
    </x:row>
    <x:row r="1077" ht="23" customHeight="1">
      <x:c r="A1077" s="11" t="str">
        <x:v>I017</x:v>
      </x:c>
      <x:c r="B1077" s="11" t="str">
        <x:v>688356.SH</x:v>
      </x:c>
      <x:c r="C1077" s="11" t="str">
        <x:v>receivables</x:v>
      </x:c>
      <x:c r="D1077" s="39" t="n">
        <x:v>123.20235479</x:v>
      </x:c>
      <x:c r="E1077" s="11" t="str">
        <x:v>CNY</x:v>
      </x:c>
      <x:c r="F1077" s="11" t="str">
        <x:v>million</x:v>
      </x:c>
      <x:c r="G1077" s="11" t="str">
        <x:v>2026H1</x:v>
      </x:c>
      <x:c r="H1077" s="11" t="str">
        <x:v>2026-08-26</x:v>
      </x:c>
      <x:c r="I1077" s="11" t="str">
        <x:v>https://static.cninfo.com.cn/finalpage/2026-08-26/1225501475.PDF</x:v>
      </x:c>
      <x:c r="J1077" s="11" t="str"/>
      <x:c r="K1077" s="11" t="str">
        <x:v>待核</x:v>
      </x:c>
      <x:c r="L1077" s="11" t="str">
        <x:v>精确发布时间未核验</x:v>
      </x:c>
      <x:c r="M1077" s="11" t="str">
        <x:v>截止日前日期，盘中时分未核</x:v>
      </x:c>
    </x:row>
    <x:row r="1078" ht="23" customHeight="1">
      <x:c r="A1078" s="11" t="str">
        <x:v>I017</x:v>
      </x:c>
      <x:c r="B1078" s="11" t="str">
        <x:v>688356.SH</x:v>
      </x:c>
      <x:c r="C1078" s="11" t="str">
        <x:v>inventory</x:v>
      </x:c>
      <x:c r="D1078" s="39" t="n">
        <x:v>80.79989906</x:v>
      </x:c>
      <x:c r="E1078" s="11" t="str">
        <x:v>CNY</x:v>
      </x:c>
      <x:c r="F1078" s="11" t="str">
        <x:v>million</x:v>
      </x:c>
      <x:c r="G1078" s="11" t="str">
        <x:v>2026H1</x:v>
      </x:c>
      <x:c r="H1078" s="11" t="str">
        <x:v>2026-08-26</x:v>
      </x:c>
      <x:c r="I1078" s="11" t="str">
        <x:v>https://static.cninfo.com.cn/finalpage/2026-08-26/1225501475.PDF</x:v>
      </x:c>
      <x:c r="J1078" s="11" t="str"/>
      <x:c r="K1078" s="11" t="str">
        <x:v>待核</x:v>
      </x:c>
      <x:c r="L1078" s="11" t="str">
        <x:v>精确发布时间未核验</x:v>
      </x:c>
      <x:c r="M1078" s="11" t="str">
        <x:v>截止日前日期，盘中时分未核</x:v>
      </x:c>
    </x:row>
    <x:row r="1079" ht="23" customHeight="1">
      <x:c r="A1079" s="11" t="str">
        <x:v>I017</x:v>
      </x:c>
      <x:c r="B1079" s="11" t="str">
        <x:v>688356.SH</x:v>
      </x:c>
      <x:c r="C1079" s="11" t="str">
        <x:v>fixedAssets</x:v>
      </x:c>
      <x:c r="D1079" s="39" t="n">
        <x:v>426.09686375</x:v>
      </x:c>
      <x:c r="E1079" s="11" t="str">
        <x:v>CNY</x:v>
      </x:c>
      <x:c r="F1079" s="11" t="str">
        <x:v>million</x:v>
      </x:c>
      <x:c r="G1079" s="11" t="str">
        <x:v>2026H1</x:v>
      </x:c>
      <x:c r="H1079" s="11" t="str">
        <x:v>2026-08-26</x:v>
      </x:c>
      <x:c r="I1079" s="11" t="str">
        <x:v>https://static.cninfo.com.cn/finalpage/2026-08-26/1225501475.PDF</x:v>
      </x:c>
      <x:c r="J1079" s="11" t="str"/>
      <x:c r="K1079" s="11" t="str">
        <x:v>待核</x:v>
      </x:c>
      <x:c r="L1079" s="11" t="str">
        <x:v>精确发布时间未核验</x:v>
      </x:c>
      <x:c r="M1079" s="11" t="str">
        <x:v>截止日前日期，盘中时分未核</x:v>
      </x:c>
    </x:row>
    <x:row r="1080" ht="23" customHeight="1">
      <x:c r="A1080" s="11" t="str">
        <x:v>I017</x:v>
      </x:c>
      <x:c r="B1080" s="11" t="str">
        <x:v>688356.SH</x:v>
      </x:c>
      <x:c r="C1080" s="11" t="str">
        <x:v>CIP</x:v>
      </x:c>
      <x:c r="D1080" s="39" t="n">
        <x:v>10.41320755</x:v>
      </x:c>
      <x:c r="E1080" s="11" t="str">
        <x:v>CNY</x:v>
      </x:c>
      <x:c r="F1080" s="11" t="str">
        <x:v>million</x:v>
      </x:c>
      <x:c r="G1080" s="11" t="str">
        <x:v>2026H1</x:v>
      </x:c>
      <x:c r="H1080" s="11" t="str">
        <x:v>2026-08-26</x:v>
      </x:c>
      <x:c r="I1080" s="11" t="str">
        <x:v>https://static.cninfo.com.cn/finalpage/2026-08-26/1225501475.PDF</x:v>
      </x:c>
      <x:c r="J1080" s="11" t="str"/>
      <x:c r="K1080" s="11" t="str">
        <x:v>待核</x:v>
      </x:c>
      <x:c r="L1080" s="11" t="str">
        <x:v>精确发布时间未核验</x:v>
      </x:c>
      <x:c r="M1080" s="11" t="str">
        <x:v>截止日前日期，盘中时分未核</x:v>
      </x:c>
    </x:row>
    <x:row r="1081" ht="23" customHeight="1">
      <x:c r="A1081" s="11" t="str">
        <x:v>I017</x:v>
      </x:c>
      <x:c r="B1081" s="11" t="str">
        <x:v>688356.SH</x:v>
      </x:c>
      <x:c r="C1081" s="11" t="str">
        <x:v>intangible</x:v>
      </x:c>
      <x:c r="D1081" s="39" t="n">
        <x:v>36.74667665</x:v>
      </x:c>
      <x:c r="E1081" s="11" t="str">
        <x:v>CNY</x:v>
      </x:c>
      <x:c r="F1081" s="11" t="str">
        <x:v>million</x:v>
      </x:c>
      <x:c r="G1081" s="11" t="str">
        <x:v>2026H1</x:v>
      </x:c>
      <x:c r="H1081" s="11" t="str">
        <x:v>2026-08-26</x:v>
      </x:c>
      <x:c r="I1081" s="11" t="str">
        <x:v>https://static.cninfo.com.cn/finalpage/2026-08-26/1225501475.PDF</x:v>
      </x:c>
      <x:c r="J1081" s="11" t="str"/>
      <x:c r="K1081" s="11" t="str">
        <x:v>待核</x:v>
      </x:c>
      <x:c r="L1081" s="11" t="str">
        <x:v>精确发布时间未核验</x:v>
      </x:c>
      <x:c r="M1081" s="11" t="str">
        <x:v>截止日前日期，盘中时分未核</x:v>
      </x:c>
    </x:row>
    <x:row r="1082" ht="23" customHeight="1">
      <x:c r="A1082" s="11" t="str">
        <x:v>I017</x:v>
      </x:c>
      <x:c r="B1082" s="11" t="str">
        <x:v>688356.SH</x:v>
      </x:c>
      <x:c r="C1082" s="11" t="str">
        <x:v>developmentAsset</x:v>
      </x:c>
      <x:c r="D1082" s="39" t="n">
        <x:v>0</x:v>
      </x:c>
      <x:c r="E1082" s="11" t="str">
        <x:v>CNY</x:v>
      </x:c>
      <x:c r="F1082" s="11" t="str">
        <x:v>million</x:v>
      </x:c>
      <x:c r="G1082" s="11" t="str">
        <x:v>2026H1</x:v>
      </x:c>
      <x:c r="H1082" s="11" t="str">
        <x:v>2026-08-26</x:v>
      </x:c>
      <x:c r="I1082" s="11" t="str">
        <x:v>https://static.cninfo.com.cn/finalpage/2026-08-26/1225501475.PDF</x:v>
      </x:c>
      <x:c r="J1082" s="11" t="str"/>
      <x:c r="K1082" s="11" t="str">
        <x:v>待核</x:v>
      </x:c>
      <x:c r="L1082" s="11" t="str">
        <x:v>精确发布时间未核验</x:v>
      </x:c>
      <x:c r="M1082" s="11" t="str">
        <x:v>截止日前日期，盘中时分未核</x:v>
      </x:c>
    </x:row>
    <x:row r="1083" ht="23" customHeight="1">
      <x:c r="A1083" s="11" t="str">
        <x:v>I017</x:v>
      </x:c>
      <x:c r="B1083" s="11" t="str">
        <x:v>688356.SH</x:v>
      </x:c>
      <x:c r="C1083" s="11" t="str">
        <x:v>RDTotal</x:v>
      </x:c>
      <x:c r="D1083" s="39" t="n">
        <x:v>29.41577549</x:v>
      </x:c>
      <x:c r="E1083" s="11" t="str">
        <x:v>CNY</x:v>
      </x:c>
      <x:c r="F1083" s="11" t="str">
        <x:v>million</x:v>
      </x:c>
      <x:c r="G1083" s="11" t="str">
        <x:v>2026H1</x:v>
      </x:c>
      <x:c r="H1083" s="11" t="str">
        <x:v>2026-08-26</x:v>
      </x:c>
      <x:c r="I1083" s="11" t="str">
        <x:v>https://static.cninfo.com.cn/finalpage/2026-08-26/1225501475.PDF</x:v>
      </x:c>
      <x:c r="J1083" s="11" t="str"/>
      <x:c r="K1083" s="11" t="str">
        <x:v>待核</x:v>
      </x:c>
      <x:c r="L1083" s="11" t="str">
        <x:v>精确发布时间未核验</x:v>
      </x:c>
      <x:c r="M1083" s="11" t="str">
        <x:v>截止日前日期，盘中时分未核</x:v>
      </x:c>
    </x:row>
    <x:row r="1084" ht="23" customHeight="1">
      <x:c r="A1084" s="11" t="str">
        <x:v>I017</x:v>
      </x:c>
      <x:c r="B1084" s="11" t="str">
        <x:v>688356.SH</x:v>
      </x:c>
      <x:c r="C1084" s="11" t="str">
        <x:v>RDExpensed</x:v>
      </x:c>
      <x:c r="D1084" s="39" t="n">
        <x:v>23.11444994</x:v>
      </x:c>
      <x:c r="E1084" s="11" t="str">
        <x:v>CNY</x:v>
      </x:c>
      <x:c r="F1084" s="11" t="str">
        <x:v>million</x:v>
      </x:c>
      <x:c r="G1084" s="11" t="str">
        <x:v>2026H1</x:v>
      </x:c>
      <x:c r="H1084" s="11" t="str">
        <x:v>2026-08-26</x:v>
      </x:c>
      <x:c r="I1084" s="11" t="str">
        <x:v>https://static.cninfo.com.cn/finalpage/2026-08-26/1225501475.PDF</x:v>
      </x:c>
      <x:c r="J1084" s="11" t="str"/>
      <x:c r="K1084" s="11" t="str">
        <x:v>待核</x:v>
      </x:c>
      <x:c r="L1084" s="11" t="str">
        <x:v>精确发布时间未核验</x:v>
      </x:c>
      <x:c r="M1084" s="11" t="str">
        <x:v>截止日前日期，盘中时分未核</x:v>
      </x:c>
    </x:row>
    <x:row r="1085" ht="23" customHeight="1">
      <x:c r="A1085" s="11" t="str">
        <x:v>I017</x:v>
      </x:c>
      <x:c r="B1085" s="11" t="str">
        <x:v>688356.SH</x:v>
      </x:c>
      <x:c r="C1085" s="11" t="str">
        <x:v>RDCapitalized</x:v>
      </x:c>
      <x:c r="D1085" s="39" t="n">
        <x:v>6.30132555</x:v>
      </x:c>
      <x:c r="E1085" s="11" t="str">
        <x:v>CNY</x:v>
      </x:c>
      <x:c r="F1085" s="11" t="str">
        <x:v>million</x:v>
      </x:c>
      <x:c r="G1085" s="11" t="str">
        <x:v>2026H1</x:v>
      </x:c>
      <x:c r="H1085" s="11" t="str">
        <x:v>2026-08-26</x:v>
      </x:c>
      <x:c r="I1085" s="11" t="str">
        <x:v>https://static.cninfo.com.cn/finalpage/2026-08-26/1225501475.PDF</x:v>
      </x:c>
      <x:c r="J1085" s="11" t="str"/>
      <x:c r="K1085" s="11" t="str">
        <x:v>待核</x:v>
      </x:c>
      <x:c r="L1085" s="11" t="str">
        <x:v>精确发布时间未核验</x:v>
      </x:c>
      <x:c r="M1085" s="11" t="str">
        <x:v>截止日前日期，盘中时分未核</x:v>
      </x:c>
    </x:row>
    <x:row r="1086" ht="23" customHeight="1">
      <x:c r="A1086" s="11" t="str">
        <x:v>I017</x:v>
      </x:c>
      <x:c r="B1086" s="11" t="str">
        <x:v>688356.SH</x:v>
      </x:c>
      <x:c r="C1086" s="11" t="str">
        <x:v>selling</x:v>
      </x:c>
      <x:c r="D1086" s="39" t="n">
        <x:v>8.33130283</x:v>
      </x:c>
      <x:c r="E1086" s="11" t="str">
        <x:v>CNY</x:v>
      </x:c>
      <x:c r="F1086" s="11" t="str">
        <x:v>million</x:v>
      </x:c>
      <x:c r="G1086" s="11" t="str">
        <x:v>2026H1</x:v>
      </x:c>
      <x:c r="H1086" s="11" t="str">
        <x:v>2026-08-26</x:v>
      </x:c>
      <x:c r="I1086" s="11" t="str">
        <x:v>https://static.cninfo.com.cn/finalpage/2026-08-26/1225501475.PDF</x:v>
      </x:c>
      <x:c r="J1086" s="11" t="str"/>
      <x:c r="K1086" s="11" t="str">
        <x:v>待核</x:v>
      </x:c>
      <x:c r="L1086" s="11" t="str">
        <x:v>精确发布时间未核验</x:v>
      </x:c>
      <x:c r="M1086" s="11" t="str">
        <x:v>截止日前日期，盘中时分未核</x:v>
      </x:c>
    </x:row>
    <x:row r="1087" ht="23" customHeight="1">
      <x:c r="A1087" s="11" t="str">
        <x:v>I017</x:v>
      </x:c>
      <x:c r="B1087" s="11" t="str">
        <x:v>688356.SH</x:v>
      </x:c>
      <x:c r="C1087" s="11" t="str">
        <x:v>admin</x:v>
      </x:c>
      <x:c r="D1087" s="39" t="n">
        <x:v>26.57195506</x:v>
      </x:c>
      <x:c r="E1087" s="11" t="str">
        <x:v>CNY</x:v>
      </x:c>
      <x:c r="F1087" s="11" t="str">
        <x:v>million</x:v>
      </x:c>
      <x:c r="G1087" s="11" t="str">
        <x:v>2026H1</x:v>
      </x:c>
      <x:c r="H1087" s="11" t="str">
        <x:v>2026-08-26</x:v>
      </x:c>
      <x:c r="I1087" s="11" t="str">
        <x:v>https://static.cninfo.com.cn/finalpage/2026-08-26/1225501475.PDF</x:v>
      </x:c>
      <x:c r="J1087" s="11" t="str"/>
      <x:c r="K1087" s="11" t="str">
        <x:v>待核</x:v>
      </x:c>
      <x:c r="L1087" s="11" t="str">
        <x:v>精确发布时间未核验</x:v>
      </x:c>
      <x:c r="M1087" s="11" t="str">
        <x:v>截止日前日期，盘中时分未核</x:v>
      </x:c>
    </x:row>
    <x:row r="1088" ht="23" customHeight="1">
      <x:c r="A1088" s="11" t="str">
        <x:v>I017</x:v>
      </x:c>
      <x:c r="B1088" s="11" t="str">
        <x:v>688356.SH</x:v>
      </x:c>
      <x:c r="C1088" s="11" t="str">
        <x:v>investmentGain</x:v>
      </x:c>
      <x:c r="D1088" s="39" t="n">
        <x:v>12.17362073</x:v>
      </x:c>
      <x:c r="E1088" s="11" t="str">
        <x:v>CNY</x:v>
      </x:c>
      <x:c r="F1088" s="11" t="str">
        <x:v>million</x:v>
      </x:c>
      <x:c r="G1088" s="11" t="str">
        <x:v>2026H1</x:v>
      </x:c>
      <x:c r="H1088" s="11" t="str">
        <x:v>2026-08-26</x:v>
      </x:c>
      <x:c r="I1088" s="11" t="str">
        <x:v>https://static.cninfo.com.cn/finalpage/2026-08-26/1225501475.PDF</x:v>
      </x:c>
      <x:c r="J1088" s="11" t="str"/>
      <x:c r="K1088" s="11" t="str">
        <x:v>待核</x:v>
      </x:c>
      <x:c r="L1088" s="11" t="str">
        <x:v>精确发布时间未核验</x:v>
      </x:c>
      <x:c r="M1088" s="11" t="str">
        <x:v>截止日前日期，盘中时分未核</x:v>
      </x:c>
    </x:row>
    <x:row r="1089" ht="23" customHeight="1">
      <x:c r="A1089" s="11" t="str">
        <x:v>I017</x:v>
      </x:c>
      <x:c r="B1089" s="11" t="str">
        <x:v>688356.SH</x:v>
      </x:c>
      <x:c r="C1089" s="11" t="str">
        <x:v>fairValueLoss</x:v>
      </x:c>
      <x:c r="D1089" s="39" t="n">
        <x:v>7.66833282</x:v>
      </x:c>
      <x:c r="E1089" s="11" t="str">
        <x:v>CNY</x:v>
      </x:c>
      <x:c r="F1089" s="11" t="str">
        <x:v>million</x:v>
      </x:c>
      <x:c r="G1089" s="11" t="str">
        <x:v>2026H1</x:v>
      </x:c>
      <x:c r="H1089" s="11" t="str">
        <x:v>2026-08-26</x:v>
      </x:c>
      <x:c r="I1089" s="11" t="str">
        <x:v>https://static.cninfo.com.cn/finalpage/2026-08-26/1225501475.PDF</x:v>
      </x:c>
      <x:c r="J1089" s="11" t="str"/>
      <x:c r="K1089" s="11" t="str">
        <x:v>待核</x:v>
      </x:c>
      <x:c r="L1089" s="11" t="str">
        <x:v>精确发布时间未核验</x:v>
      </x:c>
      <x:c r="M1089" s="11" t="str">
        <x:v>截止日前日期，盘中时分未核</x:v>
      </x:c>
    </x:row>
    <x:row r="1090" ht="23" customHeight="1">
      <x:c r="A1090" s="11" t="str">
        <x:v>I017</x:v>
      </x:c>
      <x:c r="B1090" s="11" t="str">
        <x:v>688356.SH</x:v>
      </x:c>
      <x:c r="C1090" s="11" t="str">
        <x:v>netFXLoss</x:v>
      </x:c>
      <x:c r="D1090" s="39" t="n">
        <x:v>2.10929963</x:v>
      </x:c>
      <x:c r="E1090" s="11" t="str">
        <x:v>CNY</x:v>
      </x:c>
      <x:c r="F1090" s="11" t="str">
        <x:v>million</x:v>
      </x:c>
      <x:c r="G1090" s="11" t="str">
        <x:v>2026H1</x:v>
      </x:c>
      <x:c r="H1090" s="11" t="str">
        <x:v>2026-08-26</x:v>
      </x:c>
      <x:c r="I1090" s="11" t="str">
        <x:v>https://static.cninfo.com.cn/finalpage/2026-08-26/1225501475.PDF</x:v>
      </x:c>
      <x:c r="J1090" s="11" t="str"/>
      <x:c r="K1090" s="11" t="str">
        <x:v>待核</x:v>
      </x:c>
      <x:c r="L1090" s="11" t="str">
        <x:v>精确发布时间未核验</x:v>
      </x:c>
      <x:c r="M1090" s="11" t="str">
        <x:v>截止日前日期，盘中时分未核</x:v>
      </x:c>
    </x:row>
    <x:row r="1091" ht="23" customHeight="1">
      <x:c r="A1091" s="11" t="str">
        <x:v>I017</x:v>
      </x:c>
      <x:c r="B1091" s="11" t="str">
        <x:v>688356.SH</x:v>
      </x:c>
      <x:c r="C1091" s="11" t="str">
        <x:v>taxExpense</x:v>
      </x:c>
      <x:c r="D1091" s="39" t="n">
        <x:v>-0.55998902</x:v>
      </x:c>
      <x:c r="E1091" s="11" t="str">
        <x:v>CNY</x:v>
      </x:c>
      <x:c r="F1091" s="11" t="str">
        <x:v>million</x:v>
      </x:c>
      <x:c r="G1091" s="11" t="str">
        <x:v>2026H1</x:v>
      </x:c>
      <x:c r="H1091" s="11" t="str">
        <x:v>2026-08-26</x:v>
      </x:c>
      <x:c r="I1091" s="11" t="str">
        <x:v>https://static.cninfo.com.cn/finalpage/2026-08-26/1225501475.PDF</x:v>
      </x:c>
      <x:c r="J1091" s="11" t="str"/>
      <x:c r="K1091" s="11" t="str">
        <x:v>待核</x:v>
      </x:c>
      <x:c r="L1091" s="11" t="str">
        <x:v>精确发布时间未核验</x:v>
      </x:c>
      <x:c r="M1091" s="11" t="str">
        <x:v>截止日前日期，盘中时分未核</x:v>
      </x:c>
    </x:row>
    <x:row r="1092" ht="23" customHeight="1">
      <x:c r="A1092" s="11" t="str">
        <x:v>I047</x:v>
      </x:c>
      <x:c r="B1092" s="11" t="str">
        <x:v>02162.HK</x:v>
      </x:c>
      <x:c r="C1092" s="11" t="str">
        <x:v>revenue</x:v>
      </x:c>
      <x:c r="D1092" s="39" t="n">
        <x:v>617.068</x:v>
      </x:c>
      <x:c r="E1092" s="11" t="str">
        <x:v>CNY</x:v>
      </x:c>
      <x:c r="F1092" s="11" t="str">
        <x:v>million</x:v>
      </x:c>
      <x:c r="G1092" s="11" t="str">
        <x:v>2026H1</x:v>
      </x:c>
      <x:c r="H1092" s="11" t="str">
        <x:v>2026-09-22</x:v>
      </x:c>
      <x:c r="I1092" s="11" t="str">
        <x:v>https://iis.aastocks.com/20260922/12341187-0.PDF</x:v>
      </x:c>
      <x:c r="J1092" s="11" t="str">
        <x:v>首度公开日期 2026-08-19</x:v>
      </x:c>
      <x:c r="K1092" s="11" t="str">
        <x:v>2026-08-19</x:v>
      </x:c>
      <x:c r="L1092" s="11" t="str">
        <x:v>精确发布时间未核验</x:v>
      </x:c>
      <x:c r="M1092" s="11" t="str">
        <x:v>截止日前日期，盘中时分未核</x:v>
      </x:c>
    </x:row>
    <x:row r="1093" ht="23" customHeight="1">
      <x:c r="A1093" s="11" t="str">
        <x:v>I047</x:v>
      </x:c>
      <x:c r="B1093" s="11" t="str">
        <x:v>02162.HK</x:v>
      </x:c>
      <x:c r="C1093" s="11" t="str">
        <x:v>productSales</x:v>
      </x:c>
      <x:c r="D1093" s="39" t="n">
        <x:v>392.694</x:v>
      </x:c>
      <x:c r="E1093" s="11" t="str">
        <x:v>CNY</x:v>
      </x:c>
      <x:c r="F1093" s="11" t="str">
        <x:v>million</x:v>
      </x:c>
      <x:c r="G1093" s="11" t="str">
        <x:v>2026H1</x:v>
      </x:c>
      <x:c r="H1093" s="11" t="str">
        <x:v>2026-09-22</x:v>
      </x:c>
      <x:c r="I1093" s="11" t="str">
        <x:v>https://iis.aastocks.com/20260922/12341187-0.PDF</x:v>
      </x:c>
      <x:c r="J1093" s="11" t="str">
        <x:v>首度公开日期 2026-08-19</x:v>
      </x:c>
      <x:c r="K1093" s="11" t="str">
        <x:v>2026-08-19</x:v>
      </x:c>
      <x:c r="L1093" s="11" t="str">
        <x:v>精确发布时间未核验</x:v>
      </x:c>
      <x:c r="M1093" s="11" t="str">
        <x:v>截止日前日期，盘中时分未核</x:v>
      </x:c>
    </x:row>
    <x:row r="1094" ht="23" customHeight="1">
      <x:c r="A1094" s="11" t="str">
        <x:v>I047</x:v>
      </x:c>
      <x:c r="B1094" s="11" t="str">
        <x:v>02162.HK</x:v>
      </x:c>
      <x:c r="C1094" s="11" t="str">
        <x:v>collaboration</x:v>
      </x:c>
      <x:c r="D1094" s="39" t="n">
        <x:v>224.374</x:v>
      </x:c>
      <x:c r="E1094" s="11" t="str">
        <x:v>CNY</x:v>
      </x:c>
      <x:c r="F1094" s="11" t="str">
        <x:v>million</x:v>
      </x:c>
      <x:c r="G1094" s="11" t="str">
        <x:v>2026H1</x:v>
      </x:c>
      <x:c r="H1094" s="11" t="str">
        <x:v>2026-09-22</x:v>
      </x:c>
      <x:c r="I1094" s="11" t="str">
        <x:v>https://iis.aastocks.com/20260922/12341187-0.PDF</x:v>
      </x:c>
      <x:c r="J1094" s="11" t="str">
        <x:v>首度公开日期 2026-08-19</x:v>
      </x:c>
      <x:c r="K1094" s="11" t="str">
        <x:v>2026-08-19</x:v>
      </x:c>
      <x:c r="L1094" s="11" t="str">
        <x:v>精确发布时间未核验</x:v>
      </x:c>
      <x:c r="M1094" s="11" t="str">
        <x:v>截止日前日期，盘中时分未核</x:v>
      </x:c>
    </x:row>
    <x:row r="1095" ht="23" customHeight="1">
      <x:c r="A1095" s="11" t="str">
        <x:v>I047</x:v>
      </x:c>
      <x:c r="B1095" s="11" t="str">
        <x:v>02162.HK</x:v>
      </x:c>
      <x:c r="C1095" s="11" t="str">
        <x:v>previousProduct</x:v>
      </x:c>
      <x:c r="D1095" s="39" t="n">
        <x:v>169.259</x:v>
      </x:c>
      <x:c r="E1095" s="11" t="str">
        <x:v>CNY</x:v>
      </x:c>
      <x:c r="F1095" s="11" t="str">
        <x:v>million</x:v>
      </x:c>
      <x:c r="G1095" s="11" t="str">
        <x:v>2025H1</x:v>
      </x:c>
      <x:c r="H1095" s="11" t="str">
        <x:v>2026-09-22</x:v>
      </x:c>
      <x:c r="I1095" s="11" t="str">
        <x:v>https://iis.aastocks.com/20260922/12341187-0.PDF</x:v>
      </x:c>
      <x:c r="J1095" s="11" t="str">
        <x:v>首度公开日期 2026-08-19</x:v>
      </x:c>
      <x:c r="K1095" s="11" t="str">
        <x:v>2026-08-19</x:v>
      </x:c>
      <x:c r="L1095" s="11" t="str">
        <x:v>精确发布时间未核验</x:v>
      </x:c>
      <x:c r="M1095" s="11" t="str">
        <x:v>截止日前日期，盘中时分未核</x:v>
      </x:c>
    </x:row>
    <x:row r="1096" ht="23" customHeight="1">
      <x:c r="A1096" s="11" t="str">
        <x:v>I047</x:v>
      </x:c>
      <x:c r="B1096" s="11" t="str">
        <x:v>02162.HK</x:v>
      </x:c>
      <x:c r="C1096" s="11" t="str">
        <x:v>grossProfit</x:v>
      </x:c>
      <x:c r="D1096" s="39" t="n">
        <x:v>498.325</x:v>
      </x:c>
      <x:c r="E1096" s="11" t="str">
        <x:v>CNY</x:v>
      </x:c>
      <x:c r="F1096" s="11" t="str">
        <x:v>million</x:v>
      </x:c>
      <x:c r="G1096" s="11" t="str">
        <x:v>2026H1</x:v>
      </x:c>
      <x:c r="H1096" s="11" t="str">
        <x:v>2026-09-22</x:v>
      </x:c>
      <x:c r="I1096" s="11" t="str">
        <x:v>https://iis.aastocks.com/20260922/12341187-0.PDF</x:v>
      </x:c>
      <x:c r="J1096" s="11" t="str">
        <x:v>首度公开日期 2026-08-19</x:v>
      </x:c>
      <x:c r="K1096" s="11" t="str">
        <x:v>2026-08-19</x:v>
      </x:c>
      <x:c r="L1096" s="11" t="str">
        <x:v>精确发布时间未核验</x:v>
      </x:c>
      <x:c r="M1096" s="11" t="str">
        <x:v>截止日前日期，盘中时分未核</x:v>
      </x:c>
    </x:row>
    <x:row r="1097" ht="23" customHeight="1">
      <x:c r="A1097" s="11" t="str">
        <x:v>I047</x:v>
      </x:c>
      <x:c r="B1097" s="11" t="str">
        <x:v>02162.HK</x:v>
      </x:c>
      <x:c r="C1097" s="11" t="str">
        <x:v>COGS</x:v>
      </x:c>
      <x:c r="D1097" s="39" t="n">
        <x:v>118.743</x:v>
      </x:c>
      <x:c r="E1097" s="11" t="str">
        <x:v>CNY</x:v>
      </x:c>
      <x:c r="F1097" s="11" t="str">
        <x:v>million</x:v>
      </x:c>
      <x:c r="G1097" s="11" t="str">
        <x:v>2026H1</x:v>
      </x:c>
      <x:c r="H1097" s="11" t="str">
        <x:v>2026-09-22</x:v>
      </x:c>
      <x:c r="I1097" s="11" t="str">
        <x:v>https://iis.aastocks.com/20260922/12341187-0.PDF</x:v>
      </x:c>
      <x:c r="J1097" s="11" t="str">
        <x:v>首度公开日期 2026-08-19</x:v>
      </x:c>
      <x:c r="K1097" s="11" t="str">
        <x:v>2026-08-19</x:v>
      </x:c>
      <x:c r="L1097" s="11" t="str">
        <x:v>精确发布时间未核验</x:v>
      </x:c>
      <x:c r="M1097" s="11" t="str">
        <x:v>截止日前日期，盘中时分未核</x:v>
      </x:c>
    </x:row>
    <x:row r="1098" ht="23" customHeight="1">
      <x:c r="A1098" s="11" t="str">
        <x:v>I047</x:v>
      </x:c>
      <x:c r="B1098" s="11" t="str">
        <x:v>02162.HK</x:v>
      </x:c>
      <x:c r="C1098" s="11" t="str">
        <x:v>soldInventoryCost</x:v>
      </x:c>
      <x:c r="D1098" s="39" t="n">
        <x:v>116.359</x:v>
      </x:c>
      <x:c r="E1098" s="11" t="str">
        <x:v>CNY</x:v>
      </x:c>
      <x:c r="F1098" s="11" t="str">
        <x:v>million</x:v>
      </x:c>
      <x:c r="G1098" s="11" t="str">
        <x:v>2026H1</x:v>
      </x:c>
      <x:c r="H1098" s="11" t="str">
        <x:v>2026-09-22</x:v>
      </x:c>
      <x:c r="I1098" s="11" t="str">
        <x:v>https://iis.aastocks.com/20260922/12341187-0.PDF</x:v>
      </x:c>
      <x:c r="J1098" s="11" t="str">
        <x:v>首度公开日期 2026-08-19</x:v>
      </x:c>
      <x:c r="K1098" s="11" t="str">
        <x:v>2026-08-19</x:v>
      </x:c>
      <x:c r="L1098" s="11" t="str">
        <x:v>精确发布时间未核验</x:v>
      </x:c>
      <x:c r="M1098" s="11" t="str">
        <x:v>截止日前日期，盘中时分未核</x:v>
      </x:c>
    </x:row>
    <x:row r="1099" ht="23" customHeight="1">
      <x:c r="A1099" s="11" t="str">
        <x:v>I047</x:v>
      </x:c>
      <x:c r="B1099" s="11" t="str">
        <x:v>02162.HK</x:v>
      </x:c>
      <x:c r="C1099" s="11" t="str">
        <x:v>RAndD</x:v>
      </x:c>
      <x:c r="D1099" s="39" t="n">
        <x:v>338.749</x:v>
      </x:c>
      <x:c r="E1099" s="11" t="str">
        <x:v>CNY</x:v>
      </x:c>
      <x:c r="F1099" s="11" t="str">
        <x:v>million</x:v>
      </x:c>
      <x:c r="G1099" s="11" t="str">
        <x:v>2026H1</x:v>
      </x:c>
      <x:c r="H1099" s="11" t="str">
        <x:v>2026-09-22</x:v>
      </x:c>
      <x:c r="I1099" s="11" t="str">
        <x:v>https://iis.aastocks.com/20260922/12341187-0.PDF</x:v>
      </x:c>
      <x:c r="J1099" s="11" t="str">
        <x:v>首度公开日期 2026-08-19</x:v>
      </x:c>
      <x:c r="K1099" s="11" t="str">
        <x:v>2026-08-19</x:v>
      </x:c>
      <x:c r="L1099" s="11" t="str">
        <x:v>精确发布时间未核验</x:v>
      </x:c>
      <x:c r="M1099" s="11" t="str">
        <x:v>截止日前日期，盘中时分未核</x:v>
      </x:c>
    </x:row>
    <x:row r="1100" ht="23" customHeight="1">
      <x:c r="A1100" s="11" t="str">
        <x:v>I047</x:v>
      </x:c>
      <x:c r="B1100" s="11" t="str">
        <x:v>02162.HK</x:v>
      </x:c>
      <x:c r="C1100" s="11" t="str">
        <x:v>SGA</x:v>
      </x:c>
      <x:c r="D1100" s="39" t="n">
        <x:v>303.938</x:v>
      </x:c>
      <x:c r="E1100" s="11" t="str">
        <x:v>CNY</x:v>
      </x:c>
      <x:c r="F1100" s="11" t="str">
        <x:v>million</x:v>
      </x:c>
      <x:c r="G1100" s="11" t="str">
        <x:v>2026H1</x:v>
      </x:c>
      <x:c r="H1100" s="11" t="str">
        <x:v>2026-09-22</x:v>
      </x:c>
      <x:c r="I1100" s="11" t="str">
        <x:v>https://iis.aastocks.com/20260922/12341187-0.PDF</x:v>
      </x:c>
      <x:c r="J1100" s="11" t="str">
        <x:v>首度公开日期 2026-08-19</x:v>
      </x:c>
      <x:c r="K1100" s="11" t="str">
        <x:v>2026-08-19</x:v>
      </x:c>
      <x:c r="L1100" s="11" t="str">
        <x:v>精确发布时间未核验</x:v>
      </x:c>
      <x:c r="M1100" s="11" t="str">
        <x:v>截止日前日期，盘中时分未核</x:v>
      </x:c>
    </x:row>
    <x:row r="1101" ht="23" customHeight="1">
      <x:c r="A1101" s="11" t="str">
        <x:v>I047</x:v>
      </x:c>
      <x:c r="B1101" s="11" t="str">
        <x:v>02162.HK</x:v>
      </x:c>
      <x:c r="C1101" s="11" t="str">
        <x:v>selling</x:v>
      </x:c>
      <x:c r="D1101" s="39" t="n">
        <x:v>218.387</x:v>
      </x:c>
      <x:c r="E1101" s="11" t="str">
        <x:v>CNY</x:v>
      </x:c>
      <x:c r="F1101" s="11" t="str">
        <x:v>million</x:v>
      </x:c>
      <x:c r="G1101" s="11" t="str">
        <x:v>2026H1</x:v>
      </x:c>
      <x:c r="H1101" s="11" t="str">
        <x:v>2026-09-22</x:v>
      </x:c>
      <x:c r="I1101" s="11" t="str">
        <x:v>https://iis.aastocks.com/20260922/12341187-0.PDF</x:v>
      </x:c>
      <x:c r="J1101" s="11" t="str">
        <x:v>首度公开日期 2026-08-19</x:v>
      </x:c>
      <x:c r="K1101" s="11" t="str">
        <x:v>2026-08-19</x:v>
      </x:c>
      <x:c r="L1101" s="11" t="str">
        <x:v>精确发布时间未核验</x:v>
      </x:c>
      <x:c r="M1101" s="11" t="str">
        <x:v>截止日前日期，盘中时分未核</x:v>
      </x:c>
    </x:row>
    <x:row r="1102" ht="23" customHeight="1">
      <x:c r="A1102" s="11" t="str">
        <x:v>I047</x:v>
      </x:c>
      <x:c r="B1102" s="11" t="str">
        <x:v>02162.HK</x:v>
      </x:c>
      <x:c r="C1102" s="11" t="str">
        <x:v>admin</x:v>
      </x:c>
      <x:c r="D1102" s="39" t="n">
        <x:v>85.551</x:v>
      </x:c>
      <x:c r="E1102" s="11" t="str">
        <x:v>CNY</x:v>
      </x:c>
      <x:c r="F1102" s="11" t="str">
        <x:v>million</x:v>
      </x:c>
      <x:c r="G1102" s="11" t="str">
        <x:v>2026H1</x:v>
      </x:c>
      <x:c r="H1102" s="11" t="str">
        <x:v>2026-09-22</x:v>
      </x:c>
      <x:c r="I1102" s="11" t="str">
        <x:v>https://iis.aastocks.com/20260922/12341187-0.PDF</x:v>
      </x:c>
      <x:c r="J1102" s="11" t="str">
        <x:v>首度公开日期 2026-08-19</x:v>
      </x:c>
      <x:c r="K1102" s="11" t="str">
        <x:v>2026-08-19</x:v>
      </x:c>
      <x:c r="L1102" s="11" t="str">
        <x:v>精确发布时间未核验</x:v>
      </x:c>
      <x:c r="M1102" s="11" t="str">
        <x:v>截止日前日期，盘中时分未核</x:v>
      </x:c>
    </x:row>
    <x:row r="1103" ht="23" customHeight="1">
      <x:c r="A1103" s="11" t="str">
        <x:v>I047</x:v>
      </x:c>
      <x:c r="B1103" s="11" t="str">
        <x:v>02162.HK</x:v>
      </x:c>
      <x:c r="C1103" s="11" t="str">
        <x:v>otherIncomeGains</x:v>
      </x:c>
      <x:c r="D1103" s="39" t="n">
        <x:v>1705.973</x:v>
      </x:c>
      <x:c r="E1103" s="11" t="str">
        <x:v>CNY</x:v>
      </x:c>
      <x:c r="F1103" s="11" t="str">
        <x:v>million</x:v>
      </x:c>
      <x:c r="G1103" s="11" t="str">
        <x:v>2026H1</x:v>
      </x:c>
      <x:c r="H1103" s="11" t="str">
        <x:v>2026-09-22</x:v>
      </x:c>
      <x:c r="I1103" s="11" t="str">
        <x:v>https://iis.aastocks.com/20260922/12341187-0.PDF</x:v>
      </x:c>
      <x:c r="J1103" s="11" t="str">
        <x:v>首度公开日期 2026-08-19</x:v>
      </x:c>
      <x:c r="K1103" s="11" t="str">
        <x:v>2026-08-19</x:v>
      </x:c>
      <x:c r="L1103" s="11" t="str">
        <x:v>精确发布时间未核验</x:v>
      </x:c>
      <x:c r="M1103" s="11" t="str">
        <x:v>截止日前日期，盘中时分未核</x:v>
      </x:c>
    </x:row>
    <x:row r="1104" ht="23" customHeight="1">
      <x:c r="A1104" s="11" t="str">
        <x:v>I047</x:v>
      </x:c>
      <x:c r="B1104" s="11" t="str">
        <x:v>02162.HK</x:v>
      </x:c>
      <x:c r="C1104" s="11" t="str">
        <x:v>investmentFVgain</x:v>
      </x:c>
      <x:c r="D1104" s="39" t="n">
        <x:v>1639.506</x:v>
      </x:c>
      <x:c r="E1104" s="11" t="str">
        <x:v>CNY</x:v>
      </x:c>
      <x:c r="F1104" s="11" t="str">
        <x:v>million</x:v>
      </x:c>
      <x:c r="G1104" s="11" t="str">
        <x:v>2026H1</x:v>
      </x:c>
      <x:c r="H1104" s="11" t="str">
        <x:v>2026-09-22</x:v>
      </x:c>
      <x:c r="I1104" s="11" t="str">
        <x:v>https://iis.aastocks.com/20260922/12341187-0.PDF</x:v>
      </x:c>
      <x:c r="J1104" s="11" t="str">
        <x:v>首度公开日期 2026-08-19</x:v>
      </x:c>
      <x:c r="K1104" s="11" t="str">
        <x:v>2026-08-19</x:v>
      </x:c>
      <x:c r="L1104" s="11" t="str">
        <x:v>精确发布时间未核验</x:v>
      </x:c>
      <x:c r="M1104" s="11" t="str">
        <x:v>截止日前日期，盘中时分未核</x:v>
      </x:c>
    </x:row>
    <x:row r="1105" ht="23" customHeight="1">
      <x:c r="A1105" s="11" t="str">
        <x:v>I047</x:v>
      </x:c>
      <x:c r="B1105" s="11" t="str">
        <x:v>02162.HK</x:v>
      </x:c>
      <x:c r="C1105" s="11" t="str">
        <x:v>governmentGrant</x:v>
      </x:c>
      <x:c r="D1105" s="39" t="n">
        <x:v>37.644</x:v>
      </x:c>
      <x:c r="E1105" s="11" t="str">
        <x:v>CNY</x:v>
      </x:c>
      <x:c r="F1105" s="11" t="str">
        <x:v>million</x:v>
      </x:c>
      <x:c r="G1105" s="11" t="str">
        <x:v>2026H1</x:v>
      </x:c>
      <x:c r="H1105" s="11" t="str">
        <x:v>2026-09-22</x:v>
      </x:c>
      <x:c r="I1105" s="11" t="str">
        <x:v>https://iis.aastocks.com/20260922/12341187-0.PDF</x:v>
      </x:c>
      <x:c r="J1105" s="11" t="str">
        <x:v>首度公开日期 2026-08-19</x:v>
      </x:c>
      <x:c r="K1105" s="11" t="str">
        <x:v>2026-08-19</x:v>
      </x:c>
      <x:c r="L1105" s="11" t="str">
        <x:v>精确发布时间未核验</x:v>
      </x:c>
      <x:c r="M1105" s="11" t="str">
        <x:v>截止日前日期，盘中时分未核</x:v>
      </x:c>
    </x:row>
    <x:row r="1106" ht="23" customHeight="1">
      <x:c r="A1106" s="11" t="str">
        <x:v>I047</x:v>
      </x:c>
      <x:c r="B1106" s="11" t="str">
        <x:v>02162.HK</x:v>
      </x:c>
      <x:c r="C1106" s="11" t="str">
        <x:v>interest</x:v>
      </x:c>
      <x:c r="D1106" s="39" t="n">
        <x:v>21.503</x:v>
      </x:c>
      <x:c r="E1106" s="11" t="str">
        <x:v>CNY</x:v>
      </x:c>
      <x:c r="F1106" s="11" t="str">
        <x:v>million</x:v>
      </x:c>
      <x:c r="G1106" s="11" t="str">
        <x:v>2026H1</x:v>
      </x:c>
      <x:c r="H1106" s="11" t="str">
        <x:v>2026-09-22</x:v>
      </x:c>
      <x:c r="I1106" s="11" t="str">
        <x:v>https://iis.aastocks.com/20260922/12341187-0.PDF</x:v>
      </x:c>
      <x:c r="J1106" s="11" t="str">
        <x:v>首度公开日期 2026-08-19</x:v>
      </x:c>
      <x:c r="K1106" s="11" t="str">
        <x:v>2026-08-19</x:v>
      </x:c>
      <x:c r="L1106" s="11" t="str">
        <x:v>精确发布时间未核验</x:v>
      </x:c>
      <x:c r="M1106" s="11" t="str">
        <x:v>截止日前日期，盘中时分未核</x:v>
      </x:c>
    </x:row>
    <x:row r="1107" ht="23" customHeight="1">
      <x:c r="A1107" s="11" t="str">
        <x:v>I047</x:v>
      </x:c>
      <x:c r="B1107" s="11" t="str">
        <x:v>02162.HK</x:v>
      </x:c>
      <x:c r="C1107" s="11" t="str">
        <x:v>financialCost</x:v>
      </x:c>
      <x:c r="D1107" s="39" t="n">
        <x:v>6.377</x:v>
      </x:c>
      <x:c r="E1107" s="11" t="str">
        <x:v>CNY</x:v>
      </x:c>
      <x:c r="F1107" s="11" t="str">
        <x:v>million</x:v>
      </x:c>
      <x:c r="G1107" s="11" t="str">
        <x:v>2026H1</x:v>
      </x:c>
      <x:c r="H1107" s="11" t="str">
        <x:v>2026-09-22</x:v>
      </x:c>
      <x:c r="I1107" s="11" t="str">
        <x:v>https://iis.aastocks.com/20260922/12341187-0.PDF</x:v>
      </x:c>
      <x:c r="J1107" s="11" t="str">
        <x:v>首度公开日期 2026-08-19</x:v>
      </x:c>
      <x:c r="K1107" s="11" t="str">
        <x:v>2026-08-19</x:v>
      </x:c>
      <x:c r="L1107" s="11" t="str">
        <x:v>精确发布时间未核验</x:v>
      </x:c>
      <x:c r="M1107" s="11" t="str">
        <x:v>截止日前日期，盘中时分未核</x:v>
      </x:c>
    </x:row>
    <x:row r="1108" ht="23" customHeight="1">
      <x:c r="A1108" s="11" t="str">
        <x:v>I047</x:v>
      </x:c>
      <x:c r="B1108" s="11" t="str">
        <x:v>02162.HK</x:v>
      </x:c>
      <x:c r="C1108" s="11" t="str">
        <x:v>tax</x:v>
      </x:c>
      <x:c r="D1108" s="39" t="n">
        <x:v>290.154</x:v>
      </x:c>
      <x:c r="E1108" s="11" t="str">
        <x:v>CNY</x:v>
      </x:c>
      <x:c r="F1108" s="11" t="str">
        <x:v>million</x:v>
      </x:c>
      <x:c r="G1108" s="11" t="str">
        <x:v>2026H1</x:v>
      </x:c>
      <x:c r="H1108" s="11" t="str">
        <x:v>2026-09-22</x:v>
      </x:c>
      <x:c r="I1108" s="11" t="str">
        <x:v>https://iis.aastocks.com/20260922/12341187-0.PDF</x:v>
      </x:c>
      <x:c r="J1108" s="11" t="str">
        <x:v>首度公开日期 2026-08-19</x:v>
      </x:c>
      <x:c r="K1108" s="11" t="str">
        <x:v>2026-08-19</x:v>
      </x:c>
      <x:c r="L1108" s="11" t="str">
        <x:v>精确发布时间未核验</x:v>
      </x:c>
      <x:c r="M1108" s="11" t="str">
        <x:v>截止日前日期，盘中时分未核</x:v>
      </x:c>
    </x:row>
    <x:row r="1109" ht="23" customHeight="1">
      <x:c r="A1109" s="11" t="str">
        <x:v>I047</x:v>
      </x:c>
      <x:c r="B1109" s="11" t="str">
        <x:v>02162.HK</x:v>
      </x:c>
      <x:c r="C1109" s="11" t="str">
        <x:v>deferredTaxExpense</x:v>
      </x:c>
      <x:c r="D1109" s="39" t="n">
        <x:v>266.839</x:v>
      </x:c>
      <x:c r="E1109" s="11" t="str">
        <x:v>CNY</x:v>
      </x:c>
      <x:c r="F1109" s="11" t="str">
        <x:v>million</x:v>
      </x:c>
      <x:c r="G1109" s="11" t="str">
        <x:v>2026H1</x:v>
      </x:c>
      <x:c r="H1109" s="11" t="str">
        <x:v>2026-09-22</x:v>
      </x:c>
      <x:c r="I1109" s="11" t="str">
        <x:v>https://iis.aastocks.com/20260922/12341187-0.PDF</x:v>
      </x:c>
      <x:c r="J1109" s="11" t="str">
        <x:v>首度公开日期 2026-08-19</x:v>
      </x:c>
      <x:c r="K1109" s="11" t="str">
        <x:v>2026-08-19</x:v>
      </x:c>
      <x:c r="L1109" s="11" t="str">
        <x:v>精确发布时间未核验</x:v>
      </x:c>
      <x:c r="M1109" s="11" t="str">
        <x:v>截止日前日期，盘中时分未核</x:v>
      </x:c>
    </x:row>
    <x:row r="1110" ht="23" customHeight="1">
      <x:c r="A1110" s="11" t="str">
        <x:v>I047</x:v>
      </x:c>
      <x:c r="B1110" s="11" t="str">
        <x:v>02162.HK</x:v>
      </x:c>
      <x:c r="C1110" s="11" t="str">
        <x:v>withholdingTax</x:v>
      </x:c>
      <x:c r="D1110" s="39" t="n">
        <x:v>21.927</x:v>
      </x:c>
      <x:c r="E1110" s="11" t="str">
        <x:v>CNY</x:v>
      </x:c>
      <x:c r="F1110" s="11" t="str">
        <x:v>million</x:v>
      </x:c>
      <x:c r="G1110" s="11" t="str">
        <x:v>2026H1</x:v>
      </x:c>
      <x:c r="H1110" s="11" t="str">
        <x:v>2026-09-22</x:v>
      </x:c>
      <x:c r="I1110" s="11" t="str">
        <x:v>https://iis.aastocks.com/20260922/12341187-0.PDF</x:v>
      </x:c>
      <x:c r="J1110" s="11" t="str">
        <x:v>首度公开日期 2026-08-19</x:v>
      </x:c>
      <x:c r="K1110" s="11" t="str">
        <x:v>2026-08-19</x:v>
      </x:c>
      <x:c r="L1110" s="11" t="str">
        <x:v>精确发布时间未核验</x:v>
      </x:c>
      <x:c r="M1110" s="11" t="str">
        <x:v>截止日前日期，盘中时分未核</x:v>
      </x:c>
    </x:row>
    <x:row r="1111" ht="23" customHeight="1">
      <x:c r="A1111" s="11" t="str">
        <x:v>I047</x:v>
      </x:c>
      <x:c r="B1111" s="11" t="str">
        <x:v>02162.HK</x:v>
      </x:c>
      <x:c r="C1111" s="11" t="str">
        <x:v>netProfit</x:v>
      </x:c>
      <x:c r="D1111" s="39" t="n">
        <x:v>1217.613</x:v>
      </x:c>
      <x:c r="E1111" s="11" t="str">
        <x:v>CNY</x:v>
      </x:c>
      <x:c r="F1111" s="11" t="str">
        <x:v>million</x:v>
      </x:c>
      <x:c r="G1111" s="11" t="str">
        <x:v>2026H1</x:v>
      </x:c>
      <x:c r="H1111" s="11" t="str">
        <x:v>2026-09-22</x:v>
      </x:c>
      <x:c r="I1111" s="11" t="str">
        <x:v>https://iis.aastocks.com/20260922/12341187-0.PDF</x:v>
      </x:c>
      <x:c r="J1111" s="11" t="str">
        <x:v>首度公开日期 2026-08-19</x:v>
      </x:c>
      <x:c r="K1111" s="11" t="str">
        <x:v>2026-08-19</x:v>
      </x:c>
      <x:c r="L1111" s="11" t="str">
        <x:v>精确发布时间未核验</x:v>
      </x:c>
      <x:c r="M1111" s="11" t="str">
        <x:v>截止日前日期，盘中时分未核</x:v>
      </x:c>
    </x:row>
    <x:row r="1112" ht="23" customHeight="1">
      <x:c r="A1112" s="11" t="str">
        <x:v>I047</x:v>
      </x:c>
      <x:c r="B1112" s="11" t="str">
        <x:v>02162.HK</x:v>
      </x:c>
      <x:c r="C1112" s="11" t="str">
        <x:v>parentProfit</x:v>
      </x:c>
      <x:c r="D1112" s="39" t="n">
        <x:v>1217.447</x:v>
      </x:c>
      <x:c r="E1112" s="11" t="str">
        <x:v>CNY</x:v>
      </x:c>
      <x:c r="F1112" s="11" t="str">
        <x:v>million</x:v>
      </x:c>
      <x:c r="G1112" s="11" t="str">
        <x:v>2026H1</x:v>
      </x:c>
      <x:c r="H1112" s="11" t="str">
        <x:v>2026-09-22</x:v>
      </x:c>
      <x:c r="I1112" s="11" t="str">
        <x:v>https://iis.aastocks.com/20260922/12341187-0.PDF</x:v>
      </x:c>
      <x:c r="J1112" s="11" t="str">
        <x:v>首度公开日期 2026-08-19</x:v>
      </x:c>
      <x:c r="K1112" s="11" t="str">
        <x:v>2026-08-19</x:v>
      </x:c>
      <x:c r="L1112" s="11" t="str">
        <x:v>精确发布时间未核验</x:v>
      </x:c>
      <x:c r="M1112" s="11" t="str">
        <x:v>截止日前日期，盘中时分未核</x:v>
      </x:c>
    </x:row>
    <x:row r="1113" ht="23" customHeight="1">
      <x:c r="A1113" s="11" t="str">
        <x:v>I047</x:v>
      </x:c>
      <x:c r="B1113" s="11" t="str">
        <x:v>02162.HK</x:v>
      </x:c>
      <x:c r="C1113" s="11" t="str">
        <x:v>OCF</x:v>
      </x:c>
      <x:c r="D1113" s="39" t="n">
        <x:v>-253.794</x:v>
      </x:c>
      <x:c r="E1113" s="11" t="str">
        <x:v>CNY</x:v>
      </x:c>
      <x:c r="F1113" s="11" t="str">
        <x:v>million</x:v>
      </x:c>
      <x:c r="G1113" s="11" t="str">
        <x:v>2026H1</x:v>
      </x:c>
      <x:c r="H1113" s="11" t="str">
        <x:v>2026-09-22</x:v>
      </x:c>
      <x:c r="I1113" s="11" t="str">
        <x:v>https://iis.aastocks.com/20260922/12341187-0.PDF</x:v>
      </x:c>
      <x:c r="J1113" s="11" t="str">
        <x:v>首度公开日期 2026-08-19</x:v>
      </x:c>
      <x:c r="K1113" s="11" t="str">
        <x:v>2026-08-19</x:v>
      </x:c>
      <x:c r="L1113" s="11" t="str">
        <x:v>精确发布时间未核验</x:v>
      </x:c>
      <x:c r="M1113" s="11" t="str">
        <x:v>截止日前日期，盘中时分未核</x:v>
      </x:c>
    </x:row>
    <x:row r="1114" ht="23" customHeight="1">
      <x:c r="A1114" s="11" t="str">
        <x:v>I047</x:v>
      </x:c>
      <x:c r="B1114" s="11" t="str">
        <x:v>02162.HK</x:v>
      </x:c>
      <x:c r="C1114" s="11" t="str">
        <x:v>PPECash</x:v>
      </x:c>
      <x:c r="D1114" s="39" t="n">
        <x:v>76.828</x:v>
      </x:c>
      <x:c r="E1114" s="11" t="str">
        <x:v>CNY</x:v>
      </x:c>
      <x:c r="F1114" s="11" t="str">
        <x:v>million</x:v>
      </x:c>
      <x:c r="G1114" s="11" t="str">
        <x:v>2026H1</x:v>
      </x:c>
      <x:c r="H1114" s="11" t="str">
        <x:v>2026-09-22</x:v>
      </x:c>
      <x:c r="I1114" s="11" t="str">
        <x:v>https://iis.aastocks.com/20260922/12341187-0.PDF</x:v>
      </x:c>
      <x:c r="J1114" s="11" t="str">
        <x:v>首度公开日期 2026-08-19</x:v>
      </x:c>
      <x:c r="K1114" s="11" t="str">
        <x:v>2026-08-19</x:v>
      </x:c>
      <x:c r="L1114" s="11" t="str">
        <x:v>精确发布时间未核验</x:v>
      </x:c>
      <x:c r="M1114" s="11" t="str">
        <x:v>截止日前日期，盘中时分未核</x:v>
      </x:c>
    </x:row>
    <x:row r="1115" ht="23" customHeight="1">
      <x:c r="A1115" s="11" t="str">
        <x:v>I047</x:v>
      </x:c>
      <x:c r="B1115" s="11" t="str">
        <x:v>02162.HK</x:v>
      </x:c>
      <x:c r="C1115" s="11" t="str">
        <x:v>intangibleCash</x:v>
      </x:c>
      <x:c r="D1115" s="39" t="n">
        <x:v>1.701</x:v>
      </x:c>
      <x:c r="E1115" s="11" t="str">
        <x:v>CNY</x:v>
      </x:c>
      <x:c r="F1115" s="11" t="str">
        <x:v>million</x:v>
      </x:c>
      <x:c r="G1115" s="11" t="str">
        <x:v>2026H1</x:v>
      </x:c>
      <x:c r="H1115" s="11" t="str">
        <x:v>2026-09-22</x:v>
      </x:c>
      <x:c r="I1115" s="11" t="str">
        <x:v>https://iis.aastocks.com/20260922/12341187-0.PDF</x:v>
      </x:c>
      <x:c r="J1115" s="11" t="str">
        <x:v>首度公开日期 2026-08-19</x:v>
      </x:c>
      <x:c r="K1115" s="11" t="str">
        <x:v>2026-08-19</x:v>
      </x:c>
      <x:c r="L1115" s="11" t="str">
        <x:v>精确发布时间未核验</x:v>
      </x:c>
      <x:c r="M1115" s="11" t="str">
        <x:v>截止日前日期，盘中时分未核</x:v>
      </x:c>
    </x:row>
    <x:row r="1116" ht="23" customHeight="1">
      <x:c r="A1116" s="11" t="str">
        <x:v>I047</x:v>
      </x:c>
      <x:c r="B1116" s="11" t="str">
        <x:v>02162.HK</x:v>
      </x:c>
      <x:c r="C1116" s="11" t="str">
        <x:v>FCF</x:v>
      </x:c>
      <x:c r="D1116" s="39" t="n">
        <x:v>-332.323</x:v>
      </x:c>
      <x:c r="E1116" s="11" t="str">
        <x:v>CNY</x:v>
      </x:c>
      <x:c r="F1116" s="11" t="str">
        <x:v>million</x:v>
      </x:c>
      <x:c r="G1116" s="11" t="str">
        <x:v>2026H1</x:v>
      </x:c>
      <x:c r="H1116" s="11" t="str">
        <x:v>2026-09-22</x:v>
      </x:c>
      <x:c r="I1116" s="11" t="str">
        <x:v>https://iis.aastocks.com/20260922/12341187-0.PDF</x:v>
      </x:c>
      <x:c r="J1116" s="11" t="str">
        <x:v>首度公开日期 2026-08-19</x:v>
      </x:c>
      <x:c r="K1116" s="11" t="str">
        <x:v>2026-08-19</x:v>
      </x:c>
      <x:c r="L1116" s="11" t="str">
        <x:v>精确发布时间未核验</x:v>
      </x:c>
      <x:c r="M1116" s="11" t="str">
        <x:v>截止日前日期，盘中时分未核</x:v>
      </x:c>
    </x:row>
    <x:row r="1117" ht="23" customHeight="1">
      <x:c r="A1117" s="11" t="str">
        <x:v>I047</x:v>
      </x:c>
      <x:c r="B1117" s="11" t="str">
        <x:v>02162.HK</x:v>
      </x:c>
      <x:c r="C1117" s="11" t="str">
        <x:v>shareComp</x:v>
      </x:c>
      <x:c r="D1117" s="39" t="n">
        <x:v>25.2</x:v>
      </x:c>
      <x:c r="E1117" s="11" t="str">
        <x:v>CNY</x:v>
      </x:c>
      <x:c r="F1117" s="11" t="str">
        <x:v>million</x:v>
      </x:c>
      <x:c r="G1117" s="11" t="str">
        <x:v>2026H1</x:v>
      </x:c>
      <x:c r="H1117" s="11" t="str">
        <x:v>2026-09-22</x:v>
      </x:c>
      <x:c r="I1117" s="11" t="str">
        <x:v>https://iis.aastocks.com/20260922/12341187-0.PDF</x:v>
      </x:c>
      <x:c r="J1117" s="11" t="str">
        <x:v>首度公开日期 2026-08-19</x:v>
      </x:c>
      <x:c r="K1117" s="11" t="str">
        <x:v>2026-08-19</x:v>
      </x:c>
      <x:c r="L1117" s="11" t="str">
        <x:v>精确发布时间未核验</x:v>
      </x:c>
      <x:c r="M1117" s="11" t="str">
        <x:v>截止日前日期，盘中时分未核</x:v>
      </x:c>
    </x:row>
    <x:row r="1118" ht="23" customHeight="1">
      <x:c r="A1118" s="11" t="str">
        <x:v>I047</x:v>
      </x:c>
      <x:c r="B1118" s="11" t="str">
        <x:v>02162.HK</x:v>
      </x:c>
      <x:c r="C1118" s="11" t="str">
        <x:v>cashEquivalent</x:v>
      </x:c>
      <x:c r="D1118" s="39" t="n">
        <x:v>2339.429</x:v>
      </x:c>
      <x:c r="E1118" s="11" t="str">
        <x:v>CNY</x:v>
      </x:c>
      <x:c r="F1118" s="11" t="str">
        <x:v>million</x:v>
      </x:c>
      <x:c r="G1118" s="11" t="str">
        <x:v>2026H1</x:v>
      </x:c>
      <x:c r="H1118" s="11" t="str">
        <x:v>2026-09-22</x:v>
      </x:c>
      <x:c r="I1118" s="11" t="str">
        <x:v>https://iis.aastocks.com/20260922/12341187-0.PDF</x:v>
      </x:c>
      <x:c r="J1118" s="11" t="str">
        <x:v>首度公开日期 2026-08-19</x:v>
      </x:c>
      <x:c r="K1118" s="11" t="str">
        <x:v>2026-08-19</x:v>
      </x:c>
      <x:c r="L1118" s="11" t="str">
        <x:v>精确发布时间未核验</x:v>
      </x:c>
      <x:c r="M1118" s="11" t="str">
        <x:v>截止日前日期，盘中时分未核</x:v>
      </x:c>
    </x:row>
    <x:row r="1119" ht="23" customHeight="1">
      <x:c r="A1119" s="11" t="str">
        <x:v>I047</x:v>
      </x:c>
      <x:c r="B1119" s="11" t="str">
        <x:v>02162.HK</x:v>
      </x:c>
      <x:c r="C1119" s="11" t="str">
        <x:v>terms</x:v>
      </x:c>
      <x:c r="D1119" s="39" t="n">
        <x:v>556.141</x:v>
      </x:c>
      <x:c r="E1119" s="11" t="str">
        <x:v>CNY</x:v>
      </x:c>
      <x:c r="F1119" s="11" t="str">
        <x:v>million</x:v>
      </x:c>
      <x:c r="G1119" s="11" t="str">
        <x:v>2026H1</x:v>
      </x:c>
      <x:c r="H1119" s="11" t="str">
        <x:v>2026-09-22</x:v>
      </x:c>
      <x:c r="I1119" s="11" t="str">
        <x:v>https://iis.aastocks.com/20260922/12341187-0.PDF</x:v>
      </x:c>
      <x:c r="J1119" s="11" t="str">
        <x:v>首度公开日期 2026-08-19</x:v>
      </x:c>
      <x:c r="K1119" s="11" t="str">
        <x:v>2026-08-19</x:v>
      </x:c>
      <x:c r="L1119" s="11" t="str">
        <x:v>精确发布时间未核验</x:v>
      </x:c>
      <x:c r="M1119" s="11" t="str">
        <x:v>截止日前日期，盘中时分未核</x:v>
      </x:c>
    </x:row>
    <x:row r="1120" ht="23" customHeight="1">
      <x:c r="A1120" s="11" t="str">
        <x:v>I047</x:v>
      </x:c>
      <x:c r="B1120" s="11" t="str">
        <x:v>02162.HK</x:v>
      </x:c>
      <x:c r="C1120" s="11" t="str">
        <x:v>structuredProducts</x:v>
      </x:c>
      <x:c r="D1120" s="39" t="n">
        <x:v>331.637</x:v>
      </x:c>
      <x:c r="E1120" s="11" t="str">
        <x:v>CNY</x:v>
      </x:c>
      <x:c r="F1120" s="11" t="str">
        <x:v>million</x:v>
      </x:c>
      <x:c r="G1120" s="11" t="str">
        <x:v>2026H1</x:v>
      </x:c>
      <x:c r="H1120" s="11" t="str">
        <x:v>2026-09-22</x:v>
      </x:c>
      <x:c r="I1120" s="11" t="str">
        <x:v>https://iis.aastocks.com/20260922/12341187-0.PDF</x:v>
      </x:c>
      <x:c r="J1120" s="11" t="str">
        <x:v>首度公开日期 2026-08-19</x:v>
      </x:c>
      <x:c r="K1120" s="11" t="str">
        <x:v>2026-08-19</x:v>
      </x:c>
      <x:c r="L1120" s="11" t="str">
        <x:v>精确发布时间未核验</x:v>
      </x:c>
      <x:c r="M1120" s="11" t="str">
        <x:v>截止日前日期，盘中时分未核</x:v>
      </x:c>
    </x:row>
    <x:row r="1121" ht="23" customHeight="1">
      <x:c r="A1121" s="11" t="str">
        <x:v>I047</x:v>
      </x:c>
      <x:c r="B1121" s="11" t="str">
        <x:v>02162.HK</x:v>
      </x:c>
      <x:c r="C1121" s="11" t="str">
        <x:v>restrictedSeparate</x:v>
      </x:c>
      <x:c r="D1121" s="39" t="n">
        <x:v>14.39</x:v>
      </x:c>
      <x:c r="E1121" s="11" t="str">
        <x:v>CNY</x:v>
      </x:c>
      <x:c r="F1121" s="11" t="str">
        <x:v>million</x:v>
      </x:c>
      <x:c r="G1121" s="11" t="str">
        <x:v>2026H1</x:v>
      </x:c>
      <x:c r="H1121" s="11" t="str">
        <x:v>2026-09-22</x:v>
      </x:c>
      <x:c r="I1121" s="11" t="str">
        <x:v>https://iis.aastocks.com/20260922/12341187-0.PDF</x:v>
      </x:c>
      <x:c r="J1121" s="11" t="str">
        <x:v>首度公开日期 2026-08-19</x:v>
      </x:c>
      <x:c r="K1121" s="11" t="str">
        <x:v>2026-08-19</x:v>
      </x:c>
      <x:c r="L1121" s="11" t="str">
        <x:v>精确发布时间未核验</x:v>
      </x:c>
      <x:c r="M1121" s="11" t="str">
        <x:v>截止日前日期，盘中时分未核</x:v>
      </x:c>
    </x:row>
    <x:row r="1122" ht="23" customHeight="1">
      <x:c r="A1122" s="11" t="str">
        <x:v>I047</x:v>
      </x:c>
      <x:c r="B1122" s="11" t="str">
        <x:v>02162.HK</x:v>
      </x:c>
      <x:c r="C1122" s="11" t="str">
        <x:v>bankDebt</x:v>
      </x:c>
      <x:c r="D1122" s="39" t="n">
        <x:v>677.377</x:v>
      </x:c>
      <x:c r="E1122" s="11" t="str">
        <x:v>CNY</x:v>
      </x:c>
      <x:c r="F1122" s="11" t="str">
        <x:v>million</x:v>
      </x:c>
      <x:c r="G1122" s="11" t="str">
        <x:v>2026H1</x:v>
      </x:c>
      <x:c r="H1122" s="11" t="str">
        <x:v>2026-09-22</x:v>
      </x:c>
      <x:c r="I1122" s="11" t="str">
        <x:v>https://iis.aastocks.com/20260922/12341187-0.PDF</x:v>
      </x:c>
      <x:c r="J1122" s="11" t="str">
        <x:v>首度公开日期 2026-08-19</x:v>
      </x:c>
      <x:c r="K1122" s="11" t="str">
        <x:v>2026-08-19</x:v>
      </x:c>
      <x:c r="L1122" s="11" t="str">
        <x:v>精确发布时间未核验</x:v>
      </x:c>
      <x:c r="M1122" s="11" t="str">
        <x:v>截止日前日期，盘中时分未核</x:v>
      </x:c>
    </x:row>
    <x:row r="1123" ht="23" customHeight="1">
      <x:c r="A1123" s="11" t="str">
        <x:v>I047</x:v>
      </x:c>
      <x:c r="B1123" s="11" t="str">
        <x:v>02162.HK</x:v>
      </x:c>
      <x:c r="C1123" s="11" t="str">
        <x:v>currentBankDebt</x:v>
      </x:c>
      <x:c r="D1123" s="39" t="n">
        <x:v>425.56</x:v>
      </x:c>
      <x:c r="E1123" s="11" t="str">
        <x:v>CNY</x:v>
      </x:c>
      <x:c r="F1123" s="11" t="str">
        <x:v>million</x:v>
      </x:c>
      <x:c r="G1123" s="11" t="str">
        <x:v>2026H1</x:v>
      </x:c>
      <x:c r="H1123" s="11" t="str">
        <x:v>2026-09-22</x:v>
      </x:c>
      <x:c r="I1123" s="11" t="str">
        <x:v>https://iis.aastocks.com/20260922/12341187-0.PDF</x:v>
      </x:c>
      <x:c r="J1123" s="11" t="str">
        <x:v>首度公开日期 2026-08-19</x:v>
      </x:c>
      <x:c r="K1123" s="11" t="str">
        <x:v>2026-08-19</x:v>
      </x:c>
      <x:c r="L1123" s="11" t="str">
        <x:v>精确发布时间未核验</x:v>
      </x:c>
      <x:c r="M1123" s="11" t="str">
        <x:v>截止日前日期，盘中时分未核</x:v>
      </x:c>
    </x:row>
    <x:row r="1124" ht="23" customHeight="1">
      <x:c r="A1124" s="11" t="str">
        <x:v>I047</x:v>
      </x:c>
      <x:c r="B1124" s="11" t="str">
        <x:v>02162.HK</x:v>
      </x:c>
      <x:c r="C1124" s="11" t="str">
        <x:v>deferredTaxLiability</x:v>
      </x:c>
      <x:c r="D1124" s="39" t="n">
        <x:v>265.274</x:v>
      </x:c>
      <x:c r="E1124" s="11" t="str">
        <x:v>CNY</x:v>
      </x:c>
      <x:c r="F1124" s="11" t="str">
        <x:v>million</x:v>
      </x:c>
      <x:c r="G1124" s="11" t="str">
        <x:v>2026H1</x:v>
      </x:c>
      <x:c r="H1124" s="11" t="str">
        <x:v>2026-09-22</x:v>
      </x:c>
      <x:c r="I1124" s="11" t="str">
        <x:v>https://iis.aastocks.com/20260922/12341187-0.PDF</x:v>
      </x:c>
      <x:c r="J1124" s="11" t="str">
        <x:v>首度公开日期 2026-08-19</x:v>
      </x:c>
      <x:c r="K1124" s="11" t="str">
        <x:v>2026-08-19</x:v>
      </x:c>
      <x:c r="L1124" s="11" t="str">
        <x:v>精确发布时间未核验</x:v>
      </x:c>
      <x:c r="M1124" s="11" t="str">
        <x:v>截止日前日期，盘中时分未核</x:v>
      </x:c>
    </x:row>
    <x:row r="1125" ht="23" customHeight="1">
      <x:c r="A1125" s="11" t="str">
        <x:v>I047</x:v>
      </x:c>
      <x:c r="B1125" s="11" t="str">
        <x:v>02162.HK</x:v>
      </x:c>
      <x:c r="C1125" s="11" t="str">
        <x:v>leases</x:v>
      </x:c>
      <x:c r="D1125" s="39" t="n">
        <x:v>19.317</x:v>
      </x:c>
      <x:c r="E1125" s="11" t="str">
        <x:v>CNY</x:v>
      </x:c>
      <x:c r="F1125" s="11" t="str">
        <x:v>million</x:v>
      </x:c>
      <x:c r="G1125" s="11" t="str">
        <x:v>2026H1</x:v>
      </x:c>
      <x:c r="H1125" s="11" t="str">
        <x:v>2026-09-22</x:v>
      </x:c>
      <x:c r="I1125" s="11" t="str">
        <x:v>https://iis.aastocks.com/20260922/12341187-0.PDF</x:v>
      </x:c>
      <x:c r="J1125" s="11" t="str">
        <x:v>首度公开日期 2026-08-19</x:v>
      </x:c>
      <x:c r="K1125" s="11" t="str">
        <x:v>2026-08-19</x:v>
      </x:c>
      <x:c r="L1125" s="11" t="str">
        <x:v>精确发布时间未核验</x:v>
      </x:c>
      <x:c r="M1125" s="11" t="str">
        <x:v>截止日前日期，盘中时分未核</x:v>
      </x:c>
    </x:row>
    <x:row r="1126" ht="23" customHeight="1">
      <x:c r="A1126" s="11" t="str">
        <x:v>I047</x:v>
      </x:c>
      <x:c r="B1126" s="11" t="str">
        <x:v>02162.HK</x:v>
      </x:c>
      <x:c r="C1126" s="11" t="str">
        <x:v>receivable</x:v>
      </x:c>
      <x:c r="D1126" s="39" t="n">
        <x:v>210.272</x:v>
      </x:c>
      <x:c r="E1126" s="11" t="str">
        <x:v>CNY</x:v>
      </x:c>
      <x:c r="F1126" s="11" t="str">
        <x:v>million</x:v>
      </x:c>
      <x:c r="G1126" s="11" t="str">
        <x:v>2026H1</x:v>
      </x:c>
      <x:c r="H1126" s="11" t="str">
        <x:v>2026-09-22</x:v>
      </x:c>
      <x:c r="I1126" s="11" t="str">
        <x:v>https://iis.aastocks.com/20260922/12341187-0.PDF</x:v>
      </x:c>
      <x:c r="J1126" s="11" t="str">
        <x:v>首度公开日期 2026-08-19</x:v>
      </x:c>
      <x:c r="K1126" s="11" t="str">
        <x:v>2026-08-19</x:v>
      </x:c>
      <x:c r="L1126" s="11" t="str">
        <x:v>精确发布时间未核验</x:v>
      </x:c>
      <x:c r="M1126" s="11" t="str">
        <x:v>截止日前日期，盘中时分未核</x:v>
      </x:c>
    </x:row>
    <x:row r="1127" ht="23" customHeight="1">
      <x:c r="A1127" s="11" t="str">
        <x:v>I047</x:v>
      </x:c>
      <x:c r="B1127" s="11" t="str">
        <x:v>02162.HK</x:v>
      </x:c>
      <x:c r="C1127" s="11" t="str">
        <x:v>inventory</x:v>
      </x:c>
      <x:c r="D1127" s="39" t="n">
        <x:v>230.285</x:v>
      </x:c>
      <x:c r="E1127" s="11" t="str">
        <x:v>CNY</x:v>
      </x:c>
      <x:c r="F1127" s="11" t="str">
        <x:v>million</x:v>
      </x:c>
      <x:c r="G1127" s="11" t="str">
        <x:v>2026H1</x:v>
      </x:c>
      <x:c r="H1127" s="11" t="str">
        <x:v>2026-09-22</x:v>
      </x:c>
      <x:c r="I1127" s="11" t="str">
        <x:v>https://iis.aastocks.com/20260922/12341187-0.PDF</x:v>
      </x:c>
      <x:c r="J1127" s="11" t="str">
        <x:v>首度公开日期 2026-08-19</x:v>
      </x:c>
      <x:c r="K1127" s="11" t="str">
        <x:v>2026-08-19</x:v>
      </x:c>
      <x:c r="L1127" s="11" t="str">
        <x:v>精确发布时间未核验</x:v>
      </x:c>
      <x:c r="M1127" s="11" t="str">
        <x:v>截止日前日期，盘中时分未核</x:v>
      </x:c>
    </x:row>
    <x:row r="1128" ht="23" customHeight="1">
      <x:c r="A1128" s="11" t="str">
        <x:v>I047</x:v>
      </x:c>
      <x:c r="B1128" s="11" t="str">
        <x:v>02162.HK</x:v>
      </x:c>
      <x:c r="C1128" s="11" t="str">
        <x:v>capexCommitment</x:v>
      </x:c>
      <x:c r="D1128" s="39" t="n">
        <x:v>192.012</x:v>
      </x:c>
      <x:c r="E1128" s="11" t="str">
        <x:v>CNY</x:v>
      </x:c>
      <x:c r="F1128" s="11" t="str">
        <x:v>million</x:v>
      </x:c>
      <x:c r="G1128" s="11" t="str">
        <x:v>2026H1</x:v>
      </x:c>
      <x:c r="H1128" s="11" t="str">
        <x:v>2026-09-22</x:v>
      </x:c>
      <x:c r="I1128" s="11" t="str">
        <x:v>https://iis.aastocks.com/20260922/12341187-0.PDF</x:v>
      </x:c>
      <x:c r="J1128" s="11" t="str">
        <x:v>首度公开日期 2026-08-19</x:v>
      </x:c>
      <x:c r="K1128" s="11" t="str">
        <x:v>2026-08-19</x:v>
      </x:c>
      <x:c r="L1128" s="11" t="str">
        <x:v>精确发布时间未核验</x:v>
      </x:c>
      <x:c r="M1128" s="11" t="str">
        <x:v>截止日前日期，盘中时分未核</x:v>
      </x:c>
    </x:row>
    <x:row r="1129" ht="23" customHeight="1">
      <x:c r="A1129" s="11" t="str">
        <x:v>I047</x:v>
      </x:c>
      <x:c r="B1129" s="11" t="str">
        <x:v>02162.HK</x:v>
      </x:c>
      <x:c r="C1129" s="11" t="str">
        <x:v>PPE</x:v>
      </x:c>
      <x:c r="D1129" s="39" t="n">
        <x:v>1295.52</x:v>
      </x:c>
      <x:c r="E1129" s="11" t="str">
        <x:v>CNY</x:v>
      </x:c>
      <x:c r="F1129" s="11" t="str">
        <x:v>million</x:v>
      </x:c>
      <x:c r="G1129" s="11" t="str">
        <x:v>2026H1</x:v>
      </x:c>
      <x:c r="H1129" s="11" t="str">
        <x:v>2026-09-22</x:v>
      </x:c>
      <x:c r="I1129" s="11" t="str">
        <x:v>https://iis.aastocks.com/20260922/12341187-0.PDF</x:v>
      </x:c>
      <x:c r="J1129" s="11" t="str">
        <x:v>首度公开日期 2026-08-19</x:v>
      </x:c>
      <x:c r="K1129" s="11" t="str">
        <x:v>2026-08-19</x:v>
      </x:c>
      <x:c r="L1129" s="11" t="str">
        <x:v>精确发布时间未核验</x:v>
      </x:c>
      <x:c r="M1129" s="11" t="str">
        <x:v>截止日前日期，盘中时分未核</x:v>
      </x:c>
    </x:row>
    <x:row r="1130" ht="23" customHeight="1">
      <x:c r="A1130" s="11" t="str">
        <x:v>I047</x:v>
      </x:c>
      <x:c r="B1130" s="11" t="str">
        <x:v>02162.HK</x:v>
      </x:c>
      <x:c r="C1130" s="11" t="str">
        <x:v>ownerEquity</x:v>
      </x:c>
      <x:c r="D1130" s="39" t="n">
        <x:v>4005.732</x:v>
      </x:c>
      <x:c r="E1130" s="11" t="str">
        <x:v>CNY</x:v>
      </x:c>
      <x:c r="F1130" s="11" t="str">
        <x:v>million</x:v>
      </x:c>
      <x:c r="G1130" s="11" t="str">
        <x:v>2026H1</x:v>
      </x:c>
      <x:c r="H1130" s="11" t="str">
        <x:v>2026-09-22</x:v>
      </x:c>
      <x:c r="I1130" s="11" t="str">
        <x:v>https://iis.aastocks.com/20260922/12341187-0.PDF</x:v>
      </x:c>
      <x:c r="J1130" s="11" t="str">
        <x:v>首度公开日期 2026-08-19</x:v>
      </x:c>
      <x:c r="K1130" s="11" t="str">
        <x:v>2026-08-19</x:v>
      </x:c>
      <x:c r="L1130" s="11" t="str">
        <x:v>精确发布时间未核验</x:v>
      </x:c>
      <x:c r="M1130" s="11" t="str">
        <x:v>截止日前日期，盘中时分未核</x:v>
      </x:c>
    </x:row>
    <x:row r="1131" ht="23" customHeight="1">
      <x:c r="A1131" s="11" t="str">
        <x:v>I047</x:v>
      </x:c>
      <x:c r="B1131" s="11" t="str">
        <x:v>02162.HK</x:v>
      </x:c>
      <x:c r="C1131" s="11" t="str">
        <x:v>totalEquity</x:v>
      </x:c>
      <x:c r="D1131" s="39" t="n">
        <x:v>4006.544</x:v>
      </x:c>
      <x:c r="E1131" s="11" t="str">
        <x:v>CNY</x:v>
      </x:c>
      <x:c r="F1131" s="11" t="str">
        <x:v>million</x:v>
      </x:c>
      <x:c r="G1131" s="11" t="str">
        <x:v>2026H1</x:v>
      </x:c>
      <x:c r="H1131" s="11" t="str">
        <x:v>2026-09-22</x:v>
      </x:c>
      <x:c r="I1131" s="11" t="str">
        <x:v>https://iis.aastocks.com/20260922/12341187-0.PDF</x:v>
      </x:c>
      <x:c r="J1131" s="11" t="str">
        <x:v>首度公开日期 2026-08-19</x:v>
      </x:c>
      <x:c r="K1131" s="11" t="str">
        <x:v>2026-08-19</x:v>
      </x:c>
      <x:c r="L1131" s="11" t="str">
        <x:v>精确发布时间未核验</x:v>
      </x:c>
      <x:c r="M1131" s="11" t="str">
        <x:v>截止日前日期，盘中时分未核</x:v>
      </x:c>
    </x:row>
    <x:row r="1132" ht="23" customHeight="1">
      <x:c r="A1132" s="11" t="str">
        <x:v>I047</x:v>
      </x:c>
      <x:c r="B1132" s="11" t="str">
        <x:v>02162.HK</x:v>
      </x:c>
      <x:c r="C1132" s="11" t="str">
        <x:v>totalAssets</x:v>
      </x:c>
      <x:c r="D1132" s="39" t="n">
        <x:v>5669.54</x:v>
      </x:c>
      <x:c r="E1132" s="11" t="str">
        <x:v>CNY</x:v>
      </x:c>
      <x:c r="F1132" s="11" t="str">
        <x:v>million</x:v>
      </x:c>
      <x:c r="G1132" s="11" t="str">
        <x:v>2026H1</x:v>
      </x:c>
      <x:c r="H1132" s="11" t="str">
        <x:v>2026-09-22</x:v>
      </x:c>
      <x:c r="I1132" s="11" t="str">
        <x:v>https://iis.aastocks.com/20260922/12341187-0.PDF</x:v>
      </x:c>
      <x:c r="J1132" s="11" t="str">
        <x:v>首度公开日期 2026-08-19</x:v>
      </x:c>
      <x:c r="K1132" s="11" t="str">
        <x:v>2026-08-19</x:v>
      </x:c>
      <x:c r="L1132" s="11" t="str">
        <x:v>精确发布时间未核验</x:v>
      </x:c>
      <x:c r="M1132" s="11" t="str">
        <x:v>截止日前日期，盘中时分未核</x:v>
      </x:c>
    </x:row>
    <x:row r="1133" ht="23" customHeight="1">
      <x:c r="A1133" s="11" t="str">
        <x:v>I047</x:v>
      </x:c>
      <x:c r="B1133" s="11" t="str">
        <x:v>02162.HK</x:v>
      </x:c>
      <x:c r="C1133" s="11" t="str">
        <x:v>longtermEquityInvestments</x:v>
      </x:c>
      <x:c r="D1133" s="39" t="n">
        <x:v>293.432</x:v>
      </x:c>
      <x:c r="E1133" s="11" t="str">
        <x:v>CNY</x:v>
      </x:c>
      <x:c r="F1133" s="11" t="str">
        <x:v>million</x:v>
      </x:c>
      <x:c r="G1133" s="11" t="str">
        <x:v>2026H1</x:v>
      </x:c>
      <x:c r="H1133" s="11" t="str">
        <x:v>2026-09-22</x:v>
      </x:c>
      <x:c r="I1133" s="11" t="str">
        <x:v>https://iis.aastocks.com/20260922/12341187-0.PDF</x:v>
      </x:c>
      <x:c r="J1133" s="11" t="str">
        <x:v>首度公开日期 2026-08-19</x:v>
      </x:c>
      <x:c r="K1133" s="11" t="str">
        <x:v>2026-08-19</x:v>
      </x:c>
      <x:c r="L1133" s="11" t="str">
        <x:v>精确发布时间未核验</x:v>
      </x:c>
      <x:c r="M1133" s="11" t="str">
        <x:v>截止日前日期，盘中时分未核</x:v>
      </x:c>
    </x:row>
    <x:row r="1134" ht="23" customHeight="1">
      <x:c r="A1134" s="11" t="str">
        <x:v>I047</x:v>
      </x:c>
      <x:c r="B1134" s="11" t="str">
        <x:v>02162.HK</x:v>
      </x:c>
      <x:c r="C1134" s="11" t="str">
        <x:v>legalIssuedShares</x:v>
      </x:c>
      <x:c r="D1134" s="39" t="n">
        <x:v>298735566</x:v>
      </x:c>
      <x:c r="E1134" s="11" t="str">
        <x:v>not monetary</x:v>
      </x:c>
      <x:c r="F1134" s="11" t="str">
        <x:v>shares</x:v>
      </x:c>
      <x:c r="G1134" s="11" t="str">
        <x:v>2026H1</x:v>
      </x:c>
      <x:c r="H1134" s="11" t="str">
        <x:v>2026-09-22</x:v>
      </x:c>
      <x:c r="I1134" s="11" t="str">
        <x:v>https://iis.aastocks.com/20260922/12341187-0.PDF</x:v>
      </x:c>
      <x:c r="J1134" s="11" t="str">
        <x:v>首度公开日期 2026-08-19</x:v>
      </x:c>
      <x:c r="K1134" s="11" t="str">
        <x:v>2026-08-19</x:v>
      </x:c>
      <x:c r="L1134" s="11" t="str">
        <x:v>精确发布时间未核验</x:v>
      </x:c>
      <x:c r="M1134" s="11" t="str">
        <x:v>截止日前日期，盘中时分未核</x:v>
      </x:c>
    </x:row>
    <x:row r="1135" ht="23" customHeight="1">
      <x:c r="A1135" s="11" t="str">
        <x:v>I047</x:v>
      </x:c>
      <x:c r="B1135" s="11" t="str">
        <x:v>02162.HK</x:v>
      </x:c>
      <x:c r="C1135" s="11" t="str">
        <x:v>IFRSreservedShares</x:v>
      </x:c>
      <x:c r="D1135" s="39" t="n">
        <x:v>4136000</x:v>
      </x:c>
      <x:c r="E1135" s="11" t="str">
        <x:v>not monetary</x:v>
      </x:c>
      <x:c r="F1135" s="11" t="str">
        <x:v>shares</x:v>
      </x:c>
      <x:c r="G1135" s="11" t="str">
        <x:v>2026H1</x:v>
      </x:c>
      <x:c r="H1135" s="11" t="str">
        <x:v>2026-09-22</x:v>
      </x:c>
      <x:c r="I1135" s="11" t="str">
        <x:v>https://iis.aastocks.com/20260922/12341187-0.PDF</x:v>
      </x:c>
      <x:c r="J1135" s="11" t="str">
        <x:v>首度公开日期 2026-08-19</x:v>
      </x:c>
      <x:c r="K1135" s="11" t="str">
        <x:v>2026-08-19</x:v>
      </x:c>
      <x:c r="L1135" s="11" t="str">
        <x:v>精确发布时间未核验</x:v>
      </x:c>
      <x:c r="M1135" s="11" t="str">
        <x:v>截止日前日期，盘中时分未核</x:v>
      </x:c>
    </x:row>
    <x:row r="1136" ht="23" customHeight="1">
      <x:c r="A1136" s="11" t="str">
        <x:v>I047</x:v>
      </x:c>
      <x:c r="B1136" s="11" t="str">
        <x:v>02162.HK</x:v>
      </x:c>
      <x:c r="C1136" s="11" t="str">
        <x:v>weightedBasicShares</x:v>
      </x:c>
      <x:c r="D1136" s="39" t="n">
        <x:v>283506861</x:v>
      </x:c>
      <x:c r="E1136" s="11" t="str">
        <x:v>not monetary</x:v>
      </x:c>
      <x:c r="F1136" s="11" t="str">
        <x:v>shares</x:v>
      </x:c>
      <x:c r="G1136" s="11" t="str">
        <x:v>2026H1</x:v>
      </x:c>
      <x:c r="H1136" s="11" t="str">
        <x:v>2026-09-22</x:v>
      </x:c>
      <x:c r="I1136" s="11" t="str">
        <x:v>https://iis.aastocks.com/20260922/12341187-0.PDF</x:v>
      </x:c>
      <x:c r="J1136" s="11" t="str">
        <x:v>首度公开日期 2026-08-19</x:v>
      </x:c>
      <x:c r="K1136" s="11" t="str">
        <x:v>2026-08-19</x:v>
      </x:c>
      <x:c r="L1136" s="11" t="str">
        <x:v>精确发布时间未核验</x:v>
      </x:c>
      <x:c r="M1136" s="11" t="str">
        <x:v>截止日前日期，盘中时分未核</x:v>
      </x:c>
    </x:row>
    <x:row r="1137" ht="23" customHeight="1">
      <x:c r="A1137" s="11" t="str">
        <x:v>I047</x:v>
      </x:c>
      <x:c r="B1137" s="11" t="str">
        <x:v>02162.HK</x:v>
      </x:c>
      <x:c r="C1137" s="11" t="str">
        <x:v>weightedDilutedShares</x:v>
      </x:c>
      <x:c r="D1137" s="39" t="n">
        <x:v>286272946</x:v>
      </x:c>
      <x:c r="E1137" s="11" t="str">
        <x:v>not monetary</x:v>
      </x:c>
      <x:c r="F1137" s="11" t="str">
        <x:v>shares</x:v>
      </x:c>
      <x:c r="G1137" s="11" t="str">
        <x:v>2026H1</x:v>
      </x:c>
      <x:c r="H1137" s="11" t="str">
        <x:v>2026-09-22</x:v>
      </x:c>
      <x:c r="I1137" s="11" t="str">
        <x:v>https://iis.aastocks.com/20260922/12341187-0.PDF</x:v>
      </x:c>
      <x:c r="J1137" s="11" t="str">
        <x:v>首度公开日期 2026-08-19</x:v>
      </x:c>
      <x:c r="K1137" s="11" t="str">
        <x:v>2026-08-19</x:v>
      </x:c>
      <x:c r="L1137" s="11" t="str">
        <x:v>精确发布时间未核验</x:v>
      </x:c>
      <x:c r="M1137" s="11" t="str">
        <x:v>截止日前日期，盘中时分未核</x:v>
      </x:c>
    </x:row>
    <x:row r="1138" ht="23" customHeight="1">
      <x:c r="A1138" s="11" t="str">
        <x:v>I047</x:v>
      </x:c>
      <x:c r="B1138" s="11" t="str">
        <x:v>02162.HK</x:v>
      </x:c>
      <x:c r="C1138" s="11" t="str">
        <x:v>SeptIssuedShares</x:v>
      </x:c>
      <x:c r="D1138" s="39" t="n">
        <x:v>298735566</x:v>
      </x:c>
      <x:c r="E1138" s="11" t="str">
        <x:v>not monetary</x:v>
      </x:c>
      <x:c r="F1138" s="11" t="str">
        <x:v>shares</x:v>
      </x:c>
      <x:c r="G1138" s="11" t="str">
        <x:v>2026-09-30</x:v>
      </x:c>
      <x:c r="H1138" s="11" t="str">
        <x:v>2026-10-05</x:v>
      </x:c>
      <x:c r="I1138" s="11" t="str">
        <x:v>https://iis.aastocks.com/20261005/12361148-0.PDF</x:v>
      </x:c>
      <x:c r="J1138" s="11" t="str">
        <x:v>首度公开日期 2026-10-05</x:v>
      </x:c>
      <x:c r="K1138" s="11" t="str">
        <x:v>2026-10-05</x:v>
      </x:c>
      <x:c r="L1138" s="11" t="str">
        <x:v>精确发布时间未核验</x:v>
      </x:c>
      <x:c r="M1138" s="11" t="str">
        <x:v>截止日前日期，盘中时分未核</x:v>
      </x:c>
    </x:row>
    <x:row r="1139" ht="23" customHeight="1">
      <x:c r="A1139" s="11" t="str">
        <x:v>I047</x:v>
      </x:c>
      <x:c r="B1139" s="11" t="str">
        <x:v>02162.HK</x:v>
      </x:c>
      <x:c r="C1139" s="11" t="str">
        <x:v>OuroCashUSDM</x:v>
      </x:c>
      <x:c r="D1139" s="39" t="n">
        <x:v>257</x:v>
      </x:c>
      <x:c r="E1139" s="11" t="str">
        <x:v>USD</x:v>
      </x:c>
      <x:c r="F1139" s="11" t="str">
        <x:v>million</x:v>
      </x:c>
      <x:c r="G1139" s="11" t="str">
        <x:v>2026H1</x:v>
      </x:c>
      <x:c r="H1139" s="11" t="str">
        <x:v>2026-09-22</x:v>
      </x:c>
      <x:c r="I1139" s="11" t="str">
        <x:v>https://iis.aastocks.com/20260922/12341187-0.PDF</x:v>
      </x:c>
      <x:c r="J1139" s="11" t="str">
        <x:v>首度公开日期 2026-08-19</x:v>
      </x:c>
      <x:c r="K1139" s="11" t="str">
        <x:v>2026-08-19</x:v>
      </x:c>
      <x:c r="L1139" s="11" t="str">
        <x:v>精确发布时间未核验</x:v>
      </x:c>
      <x:c r="M1139" s="11" t="str">
        <x:v>截止日前日期，盘中时分未核</x:v>
      </x:c>
    </x:row>
    <x:row r="1140" ht="23" customHeight="1">
      <x:c r="A1140" s="11" t="str">
        <x:v>I047</x:v>
      </x:c>
      <x:c r="B1140" s="11" t="str">
        <x:v>02162.HK</x:v>
      </x:c>
      <x:c r="C1140" s="11" t="str">
        <x:v>CMG901GrossMilestoneUSDM</x:v>
      </x:c>
      <x:c r="D1140" s="39" t="n">
        <x:v>45</x:v>
      </x:c>
      <x:c r="E1140" s="11" t="str">
        <x:v>USD</x:v>
      </x:c>
      <x:c r="F1140" s="11" t="str">
        <x:v>million</x:v>
      </x:c>
      <x:c r="G1140" s="11" t="str">
        <x:v>2026H1</x:v>
      </x:c>
      <x:c r="H1140" s="11" t="str">
        <x:v>2026-09-22</x:v>
      </x:c>
      <x:c r="I1140" s="11" t="str">
        <x:v>https://iis.aastocks.com/20260922/12341187-0.PDF</x:v>
      </x:c>
      <x:c r="J1140" s="11" t="str">
        <x:v>首度公开日期 2026-08-19</x:v>
      </x:c>
      <x:c r="K1140" s="11" t="str">
        <x:v>2026-08-19</x:v>
      </x:c>
      <x:c r="L1140" s="11" t="str">
        <x:v>精确发布时间未核验</x:v>
      </x:c>
      <x:c r="M1140" s="11" t="str">
        <x:v>截止日前日期，盘中时分未核</x:v>
      </x:c>
    </x:row>
    <x:row r="1141" ht="23" customHeight="1">
      <x:c r="A1141" s="11" t="str">
        <x:v>I047</x:v>
      </x:c>
      <x:c r="B1141" s="11" t="str">
        <x:v>02162.HK</x:v>
      </x:c>
      <x:c r="C1141" s="11" t="str">
        <x:v>CMG901ParentReceivedUSDM</x:v>
      </x:c>
      <x:c r="D1141" s="39" t="n">
        <x:v>31.5</x:v>
      </x:c>
      <x:c r="E1141" s="11" t="str">
        <x:v>USD</x:v>
      </x:c>
      <x:c r="F1141" s="11" t="str">
        <x:v>million</x:v>
      </x:c>
      <x:c r="G1141" s="11" t="str">
        <x:v>2026H1</x:v>
      </x:c>
      <x:c r="H1141" s="11" t="str">
        <x:v>2026-09-22</x:v>
      </x:c>
      <x:c r="I1141" s="11" t="str">
        <x:v>https://iis.aastocks.com/20260922/12341187-0.PDF</x:v>
      </x:c>
      <x:c r="J1141" s="11" t="str">
        <x:v>首度公开日期 2026-08-19</x:v>
      </x:c>
      <x:c r="K1141" s="11" t="str">
        <x:v>2026-08-19</x:v>
      </x:c>
      <x:c r="L1141" s="11" t="str">
        <x:v>精确发布时间未核验</x:v>
      </x:c>
      <x:c r="M1141" s="11" t="str">
        <x:v>截止日前日期，盘中时分未核</x:v>
      </x:c>
    </x:row>
    <x:row r="1142" ht="23" customHeight="1">
      <x:c r="A1142" s="11" t="str">
        <x:v>I047</x:v>
      </x:c>
      <x:c r="B1142" s="11" t="str">
        <x:v>02162.HK</x:v>
      </x:c>
      <x:c r="C1142" s="11" t="str">
        <x:v>KYMeconomicFraction</x:v>
      </x:c>
      <x:c r="D1142" s="39" t="n">
        <x:v>0.7</x:v>
      </x:c>
      <x:c r="E1142" s="11" t="str">
        <x:v>not monetary</x:v>
      </x:c>
      <x:c r="F1142" s="11" t="str">
        <x:v>fraction</x:v>
      </x:c>
      <x:c r="G1142" s="11" t="str">
        <x:v>2026H1</x:v>
      </x:c>
      <x:c r="H1142" s="11" t="str">
        <x:v>2026-09-22</x:v>
      </x:c>
      <x:c r="I1142" s="11" t="str">
        <x:v>https://iis.aastocks.com/20260922/12341187-0.PDF</x:v>
      </x:c>
      <x:c r="J1142" s="11" t="str">
        <x:v>首度公开日期 2026-08-19</x:v>
      </x:c>
      <x:c r="K1142" s="11" t="str">
        <x:v>2026-08-19</x:v>
      </x:c>
      <x:c r="L1142" s="11" t="str">
        <x:v>精确发布时间未核验</x:v>
      </x:c>
      <x:c r="M1142" s="11" t="str">
        <x:v>截止日前日期，盘中时分未核</x:v>
      </x:c>
    </x:row>
    <x:row r="1143" ht="23" customHeight="1">
      <x:c r="A1143" s="11" t="str">
        <x:v>I047</x:v>
      </x:c>
      <x:c r="B1143" s="11" t="str">
        <x:v>02162.HK</x:v>
      </x:c>
      <x:c r="C1143" s="11" t="str">
        <x:v>interimDividendHKD</x:v>
      </x:c>
      <x:c r="D1143" s="39" t="n">
        <x:v>0</x:v>
      </x:c>
      <x:c r="E1143" s="11" t="str">
        <x:v>HKD</x:v>
      </x:c>
      <x:c r="F1143" s="11" t="str">
        <x:v>HKD per ordinary share</x:v>
      </x:c>
      <x:c r="G1143" s="11" t="str">
        <x:v>2026 interim dividend declared: none</x:v>
      </x:c>
      <x:c r="H1143" s="11" t="str">
        <x:v>2026-09-22</x:v>
      </x:c>
      <x:c r="I1143" s="11" t="str">
        <x:v>https://iis.aastocks.com/20260922/12341187-0.PDF</x:v>
      </x:c>
      <x:c r="J1143" s="11" t="str">
        <x:v>首度公开日期 2026-08-19</x:v>
      </x:c>
      <x:c r="K1143" s="11" t="str">
        <x:v>2026-08-19</x:v>
      </x:c>
      <x:c r="L1143" s="11" t="str">
        <x:v>精确发布时间未核验</x:v>
      </x:c>
      <x:c r="M1143" s="11" t="str">
        <x:v>截止日前日期，盘中时分未核</x:v>
      </x:c>
    </x:row>
    <x:row r="1144" ht="23" customHeight="1">
      <x:c r="A1144" s="11" t="str">
        <x:v>I090</x:v>
      </x:c>
      <x:c r="B1144" s="11" t="str">
        <x:v>00268.HK</x:v>
      </x:c>
      <x:c r="C1144" s="11" t="str">
        <x:v>revenueCNYmillion</x:v>
      </x:c>
      <x:c r="D1144" s="39" t="n">
        <x:v>7006.036</x:v>
      </x:c>
      <x:c r="E1144" s="11" t="str">
        <x:v>CNY</x:v>
      </x:c>
      <x:c r="F1144" s="11" t="str">
        <x:v>CNY million</x:v>
      </x:c>
      <x:c r="G1144" s="11" t="str">
        <x:v>FY2025</x:v>
      </x:c>
      <x:c r="H1144" s="11" t="str">
        <x:v>2026-03-17财务批准；年报官网文件原始1779930082377，正式上传精确时区待核</x:v>
      </x:c>
      <x:c r="I1144" s="11" t="str">
        <x:v>https://investor.kingdee.com/static/temp/C_00268_03_FS_AR012_HKEx-2025AR年报_1779930082377.pdf</x:v>
      </x:c>
      <x:c r="J1144" s="11" t="str">
        <x:v>reported input</x:v>
      </x:c>
      <x:c r="K1144" s="11" t="str">
        <x:v>待核</x:v>
      </x:c>
      <x:c r="L1144" s="11" t="str">
        <x:v>精确发布时间未核验</x:v>
      </x:c>
      <x:c r="M1144" s="11" t="str">
        <x:v>截止日前日期，盘中时分未核</x:v>
      </x:c>
    </x:row>
    <x:row r="1145" ht="23" customHeight="1">
      <x:c r="A1145" s="11" t="str">
        <x:v>I090</x:v>
      </x:c>
      <x:c r="B1145" s="11" t="str">
        <x:v>00268.HK</x:v>
      </x:c>
      <x:c r="C1145" s="11" t="str">
        <x:v>revenue2024CNYmillion</x:v>
      </x:c>
      <x:c r="D1145" s="39" t="n">
        <x:v>6255.684</x:v>
      </x:c>
      <x:c r="E1145" s="11" t="str">
        <x:v>CNY</x:v>
      </x:c>
      <x:c r="F1145" s="11" t="str">
        <x:v>CNY million</x:v>
      </x:c>
      <x:c r="G1145" s="11" t="str">
        <x:v>FY2025</x:v>
      </x:c>
      <x:c r="H1145" s="11" t="str">
        <x:v>2026-03-17财务批准；年报官网文件原始1779930082377，正式上传精确时区待核</x:v>
      </x:c>
      <x:c r="I1145" s="11" t="str">
        <x:v>https://investor.kingdee.com/static/temp/C_00268_03_FS_AR012_HKEx-2025AR年报_1779930082377.pdf</x:v>
      </x:c>
      <x:c r="J1145" s="11" t="str">
        <x:v>reported input</x:v>
      </x:c>
      <x:c r="K1145" s="11" t="str">
        <x:v>待核</x:v>
      </x:c>
      <x:c r="L1145" s="11" t="str">
        <x:v>精确发布时间未核验</x:v>
      </x:c>
      <x:c r="M1145" s="11" t="str">
        <x:v>截止日前日期，盘中时分未核</x:v>
      </x:c>
    </x:row>
    <x:row r="1146" ht="23" customHeight="1">
      <x:c r="A1146" s="11" t="str">
        <x:v>I090</x:v>
      </x:c>
      <x:c r="B1146" s="11" t="str">
        <x:v>00268.HK</x:v>
      </x:c>
      <x:c r="C1146" s="11" t="str">
        <x:v>revenue2023CNYmillion</x:v>
      </x:c>
      <x:c r="D1146" s="39" t="n">
        <x:v>5679.073</x:v>
      </x:c>
      <x:c r="E1146" s="11" t="str">
        <x:v>CNY</x:v>
      </x:c>
      <x:c r="F1146" s="11" t="str">
        <x:v>CNY million</x:v>
      </x:c>
      <x:c r="G1146" s="11" t="str">
        <x:v>FY2025</x:v>
      </x:c>
      <x:c r="H1146" s="11" t="str">
        <x:v>2026-03-17财务批准；年报官网文件原始1779930082377，正式上传精确时区待核</x:v>
      </x:c>
      <x:c r="I1146" s="11" t="str">
        <x:v>https://investor.kingdee.com/static/temp/C_00268_03_FS_AR012_HKEx-2025AR年报_1779930082377.pdf</x:v>
      </x:c>
      <x:c r="J1146" s="11" t="str">
        <x:v>reported input</x:v>
      </x:c>
      <x:c r="K1146" s="11" t="str">
        <x:v>待核</x:v>
      </x:c>
      <x:c r="L1146" s="11" t="str">
        <x:v>精确发布时间未核验</x:v>
      </x:c>
      <x:c r="M1146" s="11" t="str">
        <x:v>截止日前日期，盘中时分未核</x:v>
      </x:c>
    </x:row>
    <x:row r="1147" ht="23" customHeight="1">
      <x:c r="A1147" s="11" t="str">
        <x:v>I090</x:v>
      </x:c>
      <x:c r="B1147" s="11" t="str">
        <x:v>00268.HK</x:v>
      </x:c>
      <x:c r="C1147" s="11" t="str">
        <x:v>revenue2022CNYmillion</x:v>
      </x:c>
      <x:c r="D1147" s="39" t="n">
        <x:v>4865.769</x:v>
      </x:c>
      <x:c r="E1147" s="11" t="str">
        <x:v>CNY</x:v>
      </x:c>
      <x:c r="F1147" s="11" t="str">
        <x:v>CNY million</x:v>
      </x:c>
      <x:c r="G1147" s="11" t="str">
        <x:v>FY2025</x:v>
      </x:c>
      <x:c r="H1147" s="11" t="str">
        <x:v>2026-03-17财务批准；年报官网文件原始1779930082377，正式上传精确时区待核</x:v>
      </x:c>
      <x:c r="I1147" s="11" t="str">
        <x:v>https://investor.kingdee.com/static/temp/C_00268_03_FS_AR012_HKEx-2025AR年报_1779930082377.pdf</x:v>
      </x:c>
      <x:c r="J1147" s="11" t="str">
        <x:v>reported input</x:v>
      </x:c>
      <x:c r="K1147" s="11" t="str">
        <x:v>待核</x:v>
      </x:c>
      <x:c r="L1147" s="11" t="str">
        <x:v>精确发布时间未核验</x:v>
      </x:c>
      <x:c r="M1147" s="11" t="str">
        <x:v>截止日前日期，盘中时分未核</x:v>
      </x:c>
    </x:row>
    <x:row r="1148" ht="23" customHeight="1">
      <x:c r="A1148" s="11" t="str">
        <x:v>I090</x:v>
      </x:c>
      <x:c r="B1148" s="11" t="str">
        <x:v>00268.HK</x:v>
      </x:c>
      <x:c r="C1148" s="11" t="str">
        <x:v>revenue2021CNYmillion</x:v>
      </x:c>
      <x:c r="D1148" s="39" t="n">
        <x:v>4174.147</x:v>
      </x:c>
      <x:c r="E1148" s="11" t="str">
        <x:v>CNY</x:v>
      </x:c>
      <x:c r="F1148" s="11" t="str">
        <x:v>CNY million</x:v>
      </x:c>
      <x:c r="G1148" s="11" t="str">
        <x:v>FY2025</x:v>
      </x:c>
      <x:c r="H1148" s="11" t="str">
        <x:v>2026-03-17财务批准；年报官网文件原始1779930082377，正式上传精确时区待核</x:v>
      </x:c>
      <x:c r="I1148" s="11" t="str">
        <x:v>https://investor.kingdee.com/static/temp/C_00268_03_FS_AR012_HKEx-2025AR年报_1779930082377.pdf</x:v>
      </x:c>
      <x:c r="J1148" s="11" t="str">
        <x:v>reported input</x:v>
      </x:c>
      <x:c r="K1148" s="11" t="str">
        <x:v>待核</x:v>
      </x:c>
      <x:c r="L1148" s="11" t="str">
        <x:v>精确发布时间未核验</x:v>
      </x:c>
      <x:c r="M1148" s="11" t="str">
        <x:v>截止日前日期，盘中时分未核</x:v>
      </x:c>
    </x:row>
    <x:row r="1149" ht="23" customHeight="1">
      <x:c r="A1149" s="11" t="str">
        <x:v>I090</x:v>
      </x:c>
      <x:c r="B1149" s="11" t="str">
        <x:v>00268.HK</x:v>
      </x:c>
      <x:c r="C1149" s="11" t="str">
        <x:v>profitAttributableCNYmillion</x:v>
      </x:c>
      <x:c r="D1149" s="39" t="n">
        <x:v>92.914</x:v>
      </x:c>
      <x:c r="E1149" s="11" t="str">
        <x:v>CNY</x:v>
      </x:c>
      <x:c r="F1149" s="11" t="str">
        <x:v>CNY million</x:v>
      </x:c>
      <x:c r="G1149" s="11" t="str">
        <x:v>FY2025</x:v>
      </x:c>
      <x:c r="H1149" s="11" t="str">
        <x:v>2026-03-17财务批准；年报官网文件原始1779930082377，正式上传精确时区待核</x:v>
      </x:c>
      <x:c r="I1149" s="11" t="str">
        <x:v>https://investor.kingdee.com/static/temp/C_00268_03_FS_AR012_HKEx-2025AR年报_1779930082377.pdf</x:v>
      </x:c>
      <x:c r="J1149" s="11" t="str">
        <x:v>reported input</x:v>
      </x:c>
      <x:c r="K1149" s="11" t="str">
        <x:v>待核</x:v>
      </x:c>
      <x:c r="L1149" s="11" t="str">
        <x:v>精确发布时间未核验</x:v>
      </x:c>
      <x:c r="M1149" s="11" t="str">
        <x:v>截止日前日期，盘中时分未核</x:v>
      </x:c>
    </x:row>
    <x:row r="1150" ht="23" customHeight="1">
      <x:c r="A1150" s="11" t="str">
        <x:v>I090</x:v>
      </x:c>
      <x:c r="B1150" s="11" t="str">
        <x:v>00268.HK</x:v>
      </x:c>
      <x:c r="C1150" s="11" t="str">
        <x:v>profitAttributable2024CNYmillion</x:v>
      </x:c>
      <x:c r="D1150" s="39" t="n">
        <x:v>-142.068</x:v>
      </x:c>
      <x:c r="E1150" s="11" t="str">
        <x:v>CNY</x:v>
      </x:c>
      <x:c r="F1150" s="11" t="str">
        <x:v>CNY million</x:v>
      </x:c>
      <x:c r="G1150" s="11" t="str">
        <x:v>FY2025</x:v>
      </x:c>
      <x:c r="H1150" s="11" t="str">
        <x:v>2026-03-17财务批准；年报官网文件原始1779930082377，正式上传精确时区待核</x:v>
      </x:c>
      <x:c r="I1150" s="11" t="str">
        <x:v>https://investor.kingdee.com/static/temp/C_00268_03_FS_AR012_HKEx-2025AR年报_1779930082377.pdf</x:v>
      </x:c>
      <x:c r="J1150" s="11" t="str">
        <x:v>reported input</x:v>
      </x:c>
      <x:c r="K1150" s="11" t="str">
        <x:v>待核</x:v>
      </x:c>
      <x:c r="L1150" s="11" t="str">
        <x:v>精确发布时间未核验</x:v>
      </x:c>
      <x:c r="M1150" s="11" t="str">
        <x:v>截止日前日期，盘中时分未核</x:v>
      </x:c>
    </x:row>
    <x:row r="1151" ht="23" customHeight="1">
      <x:c r="A1151" s="11" t="str">
        <x:v>I090</x:v>
      </x:c>
      <x:c r="B1151" s="11" t="str">
        <x:v>00268.HK</x:v>
      </x:c>
      <x:c r="C1151" s="11" t="str">
        <x:v>profitAttributable2023CNYmillion</x:v>
      </x:c>
      <x:c r="D1151" s="39" t="n">
        <x:v>-209.89</x:v>
      </x:c>
      <x:c r="E1151" s="11" t="str">
        <x:v>CNY</x:v>
      </x:c>
      <x:c r="F1151" s="11" t="str">
        <x:v>CNY million</x:v>
      </x:c>
      <x:c r="G1151" s="11" t="str">
        <x:v>FY2025</x:v>
      </x:c>
      <x:c r="H1151" s="11" t="str">
        <x:v>2026-03-17财务批准；年报官网文件原始1779930082377，正式上传精确时区待核</x:v>
      </x:c>
      <x:c r="I1151" s="11" t="str">
        <x:v>https://investor.kingdee.com/static/temp/C_00268_03_FS_AR012_HKEx-2025AR年报_1779930082377.pdf</x:v>
      </x:c>
      <x:c r="J1151" s="11" t="str">
        <x:v>reported input</x:v>
      </x:c>
      <x:c r="K1151" s="11" t="str">
        <x:v>待核</x:v>
      </x:c>
      <x:c r="L1151" s="11" t="str">
        <x:v>精确发布时间未核验</x:v>
      </x:c>
      <x:c r="M1151" s="11" t="str">
        <x:v>截止日前日期，盘中时分未核</x:v>
      </x:c>
    </x:row>
    <x:row r="1152" ht="23" customHeight="1">
      <x:c r="A1152" s="11" t="str">
        <x:v>I090</x:v>
      </x:c>
      <x:c r="B1152" s="11" t="str">
        <x:v>00268.HK</x:v>
      </x:c>
      <x:c r="C1152" s="11" t="str">
        <x:v>profitAttributable2022CNYmillion</x:v>
      </x:c>
      <x:c r="D1152" s="39" t="n">
        <x:v>-389.158</x:v>
      </x:c>
      <x:c r="E1152" s="11" t="str">
        <x:v>CNY</x:v>
      </x:c>
      <x:c r="F1152" s="11" t="str">
        <x:v>CNY million</x:v>
      </x:c>
      <x:c r="G1152" s="11" t="str">
        <x:v>FY2025</x:v>
      </x:c>
      <x:c r="H1152" s="11" t="str">
        <x:v>2026-03-17财务批准；年报官网文件原始1779930082377，正式上传精确时区待核</x:v>
      </x:c>
      <x:c r="I1152" s="11" t="str">
        <x:v>https://investor.kingdee.com/static/temp/C_00268_03_FS_AR012_HKEx-2025AR年报_1779930082377.pdf</x:v>
      </x:c>
      <x:c r="J1152" s="11" t="str">
        <x:v>reported input</x:v>
      </x:c>
      <x:c r="K1152" s="11" t="str">
        <x:v>待核</x:v>
      </x:c>
      <x:c r="L1152" s="11" t="str">
        <x:v>精确发布时间未核验</x:v>
      </x:c>
      <x:c r="M1152" s="11" t="str">
        <x:v>截止日前日期，盘中时分未核</x:v>
      </x:c>
    </x:row>
    <x:row r="1153" ht="23" customHeight="1">
      <x:c r="A1153" s="11" t="str">
        <x:v>I090</x:v>
      </x:c>
      <x:c r="B1153" s="11" t="str">
        <x:v>00268.HK</x:v>
      </x:c>
      <x:c r="C1153" s="11" t="str">
        <x:v>profitAttributable2021CNYmillion</x:v>
      </x:c>
      <x:c r="D1153" s="39" t="n">
        <x:v>-302.33</x:v>
      </x:c>
      <x:c r="E1153" s="11" t="str">
        <x:v>CNY</x:v>
      </x:c>
      <x:c r="F1153" s="11" t="str">
        <x:v>CNY million</x:v>
      </x:c>
      <x:c r="G1153" s="11" t="str">
        <x:v>FY2025</x:v>
      </x:c>
      <x:c r="H1153" s="11" t="str">
        <x:v>2026-03-17财务批准；年报官网文件原始1779930082377，正式上传精确时区待核</x:v>
      </x:c>
      <x:c r="I1153" s="11" t="str">
        <x:v>https://investor.kingdee.com/static/temp/C_00268_03_FS_AR012_HKEx-2025AR年报_1779930082377.pdf</x:v>
      </x:c>
      <x:c r="J1153" s="11" t="str">
        <x:v>reported input</x:v>
      </x:c>
      <x:c r="K1153" s="11" t="str">
        <x:v>待核</x:v>
      </x:c>
      <x:c r="L1153" s="11" t="str">
        <x:v>精确发布时间未核验</x:v>
      </x:c>
      <x:c r="M1153" s="11" t="str">
        <x:v>截止日前日期，盘中时分未核</x:v>
      </x:c>
    </x:row>
    <x:row r="1154" ht="23" customHeight="1">
      <x:c r="A1154" s="11" t="str">
        <x:v>I090</x:v>
      </x:c>
      <x:c r="B1154" s="11" t="str">
        <x:v>00268.HK</x:v>
      </x:c>
      <x:c r="C1154" s="11" t="str">
        <x:v>groupProfitCNYmillion</x:v>
      </x:c>
      <x:c r="D1154" s="39" t="n">
        <x:v>73.782</x:v>
      </x:c>
      <x:c r="E1154" s="11" t="str">
        <x:v>CNY</x:v>
      </x:c>
      <x:c r="F1154" s="11" t="str">
        <x:v>CNY million</x:v>
      </x:c>
      <x:c r="G1154" s="11" t="str">
        <x:v>FY2025</x:v>
      </x:c>
      <x:c r="H1154" s="11" t="str">
        <x:v>2026-03-17财务批准；年报官网文件原始1779930082377，正式上传精确时区待核</x:v>
      </x:c>
      <x:c r="I1154" s="11" t="str">
        <x:v>https://investor.kingdee.com/static/temp/C_00268_03_FS_AR012_HKEx-2025AR年报_1779930082377.pdf</x:v>
      </x:c>
      <x:c r="J1154" s="11" t="str">
        <x:v>reported input</x:v>
      </x:c>
      <x:c r="K1154" s="11" t="str">
        <x:v>待核</x:v>
      </x:c>
      <x:c r="L1154" s="11" t="str">
        <x:v>精确发布时间未核验</x:v>
      </x:c>
      <x:c r="M1154" s="11" t="str">
        <x:v>截止日前日期，盘中时分未核</x:v>
      </x:c>
    </x:row>
    <x:row r="1155" ht="23" customHeight="1">
      <x:c r="A1155" s="11" t="str">
        <x:v>I090</x:v>
      </x:c>
      <x:c r="B1155" s="11" t="str">
        <x:v>00268.HK</x:v>
      </x:c>
      <x:c r="C1155" s="11" t="str">
        <x:v>adjustedProfitAttributableCNYmillion</x:v>
      </x:c>
      <x:c r="D1155" s="39" t="n">
        <x:v>231.975</x:v>
      </x:c>
      <x:c r="E1155" s="11" t="str">
        <x:v>CNY</x:v>
      </x:c>
      <x:c r="F1155" s="11" t="str">
        <x:v>CNY million</x:v>
      </x:c>
      <x:c r="G1155" s="11" t="str">
        <x:v>FY2025</x:v>
      </x:c>
      <x:c r="H1155" s="11" t="str">
        <x:v>2026-03-17财务批准；年报官网文件原始1779930082377，正式上传精确时区待核</x:v>
      </x:c>
      <x:c r="I1155" s="11" t="str">
        <x:v>https://investor.kingdee.com/static/temp/C_00268_03_FS_AR012_HKEx-2025AR年报_1779930082377.pdf</x:v>
      </x:c>
      <x:c r="J1155" s="11" t="str">
        <x:v>reported input</x:v>
      </x:c>
      <x:c r="K1155" s="11" t="str">
        <x:v>待核</x:v>
      </x:c>
      <x:c r="L1155" s="11" t="str">
        <x:v>精确发布时间未核验</x:v>
      </x:c>
      <x:c r="M1155" s="11" t="str">
        <x:v>截止日前日期，盘中时分未核</x:v>
      </x:c>
    </x:row>
    <x:row r="1156" ht="23" customHeight="1">
      <x:c r="A1156" s="11" t="str">
        <x:v>I090</x:v>
      </x:c>
      <x:c r="B1156" s="11" t="str">
        <x:v>00268.HK</x:v>
      </x:c>
      <x:c r="C1156" s="11" t="str">
        <x:v>EPSCNY</x:v>
      </x:c>
      <x:c r="D1156" s="39" t="n">
        <x:v>0.0264</x:v>
      </x:c>
      <x:c r="E1156" s="11" t="str">
        <x:v>CNY</x:v>
      </x:c>
      <x:c r="F1156" s="11" t="str">
        <x:v>CNY per ordinary share</x:v>
      </x:c>
      <x:c r="G1156" s="11" t="str">
        <x:v>FY2025</x:v>
      </x:c>
      <x:c r="H1156" s="11" t="str">
        <x:v>2026-03-17财务批准；年报官网文件原始1779930082377，正式上传精确时区待核</x:v>
      </x:c>
      <x:c r="I1156" s="11" t="str">
        <x:v>https://investor.kingdee.com/static/temp/C_00268_03_FS_AR012_HKEx-2025AR年报_1779930082377.pdf</x:v>
      </x:c>
      <x:c r="J1156" s="11" t="str">
        <x:v>reported input</x:v>
      </x:c>
      <x:c r="K1156" s="11" t="str">
        <x:v>待核</x:v>
      </x:c>
      <x:c r="L1156" s="11" t="str">
        <x:v>精确发布时间未核验</x:v>
      </x:c>
      <x:c r="M1156" s="11" t="str">
        <x:v>截止日前日期，盘中时分未核</x:v>
      </x:c>
    </x:row>
    <x:row r="1157" ht="23" customHeight="1">
      <x:c r="A1157" s="11" t="str">
        <x:v>I090</x:v>
      </x:c>
      <x:c r="B1157" s="11" t="str">
        <x:v>00268.HK</x:v>
      </x:c>
      <x:c r="C1157" s="11" t="str">
        <x:v>OCFCNYmillion</x:v>
      </x:c>
      <x:c r="D1157" s="39" t="n">
        <x:v>1097.477</x:v>
      </x:c>
      <x:c r="E1157" s="11" t="str">
        <x:v>CNY</x:v>
      </x:c>
      <x:c r="F1157" s="11" t="str">
        <x:v>CNY million</x:v>
      </x:c>
      <x:c r="G1157" s="11" t="str">
        <x:v>FY2025</x:v>
      </x:c>
      <x:c r="H1157" s="11" t="str">
        <x:v>2026-03-17财务批准；年报官网文件原始1779930082377，正式上传精确时区待核</x:v>
      </x:c>
      <x:c r="I1157" s="11" t="str">
        <x:v>https://investor.kingdee.com/static/temp/C_00268_03_FS_AR012_HKEx-2025AR年报_1779930082377.pdf</x:v>
      </x:c>
      <x:c r="J1157" s="11" t="str">
        <x:v>reported input</x:v>
      </x:c>
      <x:c r="K1157" s="11" t="str">
        <x:v>待核</x:v>
      </x:c>
      <x:c r="L1157" s="11" t="str">
        <x:v>精确发布时间未核验</x:v>
      </x:c>
      <x:c r="M1157" s="11" t="str">
        <x:v>截止日前日期，盘中时分未核</x:v>
      </x:c>
    </x:row>
    <x:row r="1158" ht="23" customHeight="1">
      <x:c r="A1158" s="11" t="str">
        <x:v>I090</x:v>
      </x:c>
      <x:c r="B1158" s="11" t="str">
        <x:v>00268.HK</x:v>
      </x:c>
      <x:c r="C1158" s="11" t="str">
        <x:v>PPECapexCNYmillion</x:v>
      </x:c>
      <x:c r="D1158" s="39" t="n">
        <x:v>136.91</x:v>
      </x:c>
      <x:c r="E1158" s="11" t="str">
        <x:v>CNY</x:v>
      </x:c>
      <x:c r="F1158" s="11" t="str">
        <x:v>CNY million</x:v>
      </x:c>
      <x:c r="G1158" s="11" t="str">
        <x:v>FY2025</x:v>
      </x:c>
      <x:c r="H1158" s="11" t="str">
        <x:v>2026-03-17财务批准；年报官网文件原始1779930082377，正式上传精确时区待核</x:v>
      </x:c>
      <x:c r="I1158" s="11" t="str">
        <x:v>https://investor.kingdee.com/static/temp/C_00268_03_FS_AR012_HKEx-2025AR年报_1779930082377.pdf</x:v>
      </x:c>
      <x:c r="J1158" s="11" t="str">
        <x:v>reported input</x:v>
      </x:c>
      <x:c r="K1158" s="11" t="str">
        <x:v>待核</x:v>
      </x:c>
      <x:c r="L1158" s="11" t="str">
        <x:v>精确发布时间未核验</x:v>
      </x:c>
      <x:c r="M1158" s="11" t="str">
        <x:v>截止日前日期，盘中时分未核</x:v>
      </x:c>
    </x:row>
    <x:row r="1159" ht="23" customHeight="1">
      <x:c r="A1159" s="11" t="str">
        <x:v>I090</x:v>
      </x:c>
      <x:c r="B1159" s="11" t="str">
        <x:v>00268.HK</x:v>
      </x:c>
      <x:c r="C1159" s="11" t="str">
        <x:v>intangibleCapexCNYmillion</x:v>
      </x:c>
      <x:c r="D1159" s="39" t="n">
        <x:v>449.669</x:v>
      </x:c>
      <x:c r="E1159" s="11" t="str">
        <x:v>CNY</x:v>
      </x:c>
      <x:c r="F1159" s="11" t="str">
        <x:v>CNY million</x:v>
      </x:c>
      <x:c r="G1159" s="11" t="str">
        <x:v>FY2025</x:v>
      </x:c>
      <x:c r="H1159" s="11" t="str">
        <x:v>2026-03-17财务批准；年报官网文件原始1779930082377，正式上传精确时区待核</x:v>
      </x:c>
      <x:c r="I1159" s="11" t="str">
        <x:v>https://investor.kingdee.com/static/temp/C_00268_03_FS_AR012_HKEx-2025AR年报_1779930082377.pdf</x:v>
      </x:c>
      <x:c r="J1159" s="11" t="str">
        <x:v>reported input</x:v>
      </x:c>
      <x:c r="K1159" s="11" t="str">
        <x:v>待核</x:v>
      </x:c>
      <x:c r="L1159" s="11" t="str">
        <x:v>精确发布时间未核验</x:v>
      </x:c>
      <x:c r="M1159" s="11" t="str">
        <x:v>截止日前日期，盘中时分未核</x:v>
      </x:c>
    </x:row>
    <x:row r="1160" ht="23" customHeight="1">
      <x:c r="A1160" s="11" t="str">
        <x:v>I090</x:v>
      </x:c>
      <x:c r="B1160" s="11" t="str">
        <x:v>00268.HK</x:v>
      </x:c>
      <x:c r="C1160" s="11" t="str">
        <x:v>leasePrincipalCNYmillion</x:v>
      </x:c>
      <x:c r="D1160" s="39" t="n">
        <x:v>70.154</x:v>
      </x:c>
      <x:c r="E1160" s="11" t="str">
        <x:v>CNY</x:v>
      </x:c>
      <x:c r="F1160" s="11" t="str">
        <x:v>CNY million</x:v>
      </x:c>
      <x:c r="G1160" s="11" t="str">
        <x:v>FY2025</x:v>
      </x:c>
      <x:c r="H1160" s="11" t="str">
        <x:v>2026-03-17财务批准；年报官网文件原始1779930082377，正式上传精确时区待核</x:v>
      </x:c>
      <x:c r="I1160" s="11" t="str">
        <x:v>https://investor.kingdee.com/static/temp/C_00268_03_FS_AR012_HKEx-2025AR年报_1779930082377.pdf</x:v>
      </x:c>
      <x:c r="J1160" s="11" t="str">
        <x:v>reported input</x:v>
      </x:c>
      <x:c r="K1160" s="11" t="str">
        <x:v>待核</x:v>
      </x:c>
      <x:c r="L1160" s="11" t="str">
        <x:v>精确发布时间未核验</x:v>
      </x:c>
      <x:c r="M1160" s="11" t="str">
        <x:v>截止日前日期，盘中时分未核</x:v>
      </x:c>
    </x:row>
    <x:row r="1161" ht="23" customHeight="1">
      <x:c r="A1161" s="11" t="str">
        <x:v>I090</x:v>
      </x:c>
      <x:c r="B1161" s="11" t="str">
        <x:v>00268.HK</x:v>
      </x:c>
      <x:c r="C1161" s="11" t="str">
        <x:v>afterCapexLeaseCashProxyCNYmillion</x:v>
      </x:c>
      <x:c r="D1161" s="39" t="n">
        <x:v>440.744</x:v>
      </x:c>
      <x:c r="E1161" s="11" t="str">
        <x:v>CNY</x:v>
      </x:c>
      <x:c r="F1161" s="11" t="str">
        <x:v>CNY million</x:v>
      </x:c>
      <x:c r="G1161" s="11" t="str">
        <x:v>FY2025</x:v>
      </x:c>
      <x:c r="H1161" s="11" t="str">
        <x:v>2026-03-17财务批准；年报官网文件原始1779930082377，正式上传精确时区待核</x:v>
      </x:c>
      <x:c r="I1161" s="11" t="str">
        <x:v>https://investor.kingdee.com/static/temp/C_00268_03_FS_AR012_HKEx-2025AR年报_1779930082377.pdf</x:v>
      </x:c>
      <x:c r="J1161" s="11" t="str">
        <x:v>reported-input calculation</x:v>
      </x:c>
      <x:c r="K1161" s="11" t="str">
        <x:v>待核</x:v>
      </x:c>
      <x:c r="L1161" s="11" t="str">
        <x:v>精确发布时间未核验</x:v>
      </x:c>
      <x:c r="M1161" s="11" t="str">
        <x:v>截止日前日期，盘中时分未核</x:v>
      </x:c>
    </x:row>
    <x:row r="1162" ht="23" customHeight="1">
      <x:c r="A1162" s="11" t="str">
        <x:v>I090</x:v>
      </x:c>
      <x:c r="B1162" s="11" t="str">
        <x:v>00268.HK</x:v>
      </x:c>
      <x:c r="C1162" s="11" t="str">
        <x:v>RDIncurredCNYmillion</x:v>
      </x:c>
      <x:c r="D1162" s="39" t="n">
        <x:v>1424.768</x:v>
      </x:c>
      <x:c r="E1162" s="11" t="str">
        <x:v>CNY</x:v>
      </x:c>
      <x:c r="F1162" s="11" t="str">
        <x:v>CNY million</x:v>
      </x:c>
      <x:c r="G1162" s="11" t="str">
        <x:v>FY2025</x:v>
      </x:c>
      <x:c r="H1162" s="11" t="str">
        <x:v>2026-03-17财务批准；年报官网文件原始1779930082377，正式上传精确时区待核</x:v>
      </x:c>
      <x:c r="I1162" s="11" t="str">
        <x:v>https://investor.kingdee.com/static/temp/C_00268_03_FS_AR012_HKEx-2025AR年报_1779930082377.pdf</x:v>
      </x:c>
      <x:c r="J1162" s="11" t="str">
        <x:v>reported input</x:v>
      </x:c>
      <x:c r="K1162" s="11" t="str">
        <x:v>待核</x:v>
      </x:c>
      <x:c r="L1162" s="11" t="str">
        <x:v>精确发布时间未核验</x:v>
      </x:c>
      <x:c r="M1162" s="11" t="str">
        <x:v>截止日前日期，盘中时分未核</x:v>
      </x:c>
    </x:row>
    <x:row r="1163" ht="23" customHeight="1">
      <x:c r="A1163" s="11" t="str">
        <x:v>I090</x:v>
      </x:c>
      <x:c r="B1163" s="11" t="str">
        <x:v>00268.HK</x:v>
      </x:c>
      <x:c r="C1163" s="11" t="str">
        <x:v>RDCapitalizedCNYmillion</x:v>
      </x:c>
      <x:c r="D1163" s="39" t="n">
        <x:v>445.816</x:v>
      </x:c>
      <x:c r="E1163" s="11" t="str">
        <x:v>CNY</x:v>
      </x:c>
      <x:c r="F1163" s="11" t="str">
        <x:v>CNY million</x:v>
      </x:c>
      <x:c r="G1163" s="11" t="str">
        <x:v>FY2025</x:v>
      </x:c>
      <x:c r="H1163" s="11" t="str">
        <x:v>2026-03-17财务批准；年报官网文件原始1779930082377，正式上传精确时区待核</x:v>
      </x:c>
      <x:c r="I1163" s="11" t="str">
        <x:v>https://investor.kingdee.com/static/temp/C_00268_03_FS_AR012_HKEx-2025AR年报_1779930082377.pdf</x:v>
      </x:c>
      <x:c r="J1163" s="11" t="str">
        <x:v>reported input</x:v>
      </x:c>
      <x:c r="K1163" s="11" t="str">
        <x:v>待核</x:v>
      </x:c>
      <x:c r="L1163" s="11" t="str">
        <x:v>精确发布时间未核验</x:v>
      </x:c>
      <x:c r="M1163" s="11" t="str">
        <x:v>截止日前日期，盘中时分未核</x:v>
      </x:c>
    </x:row>
    <x:row r="1164" ht="23" customHeight="1">
      <x:c r="A1164" s="11" t="str">
        <x:v>I090</x:v>
      </x:c>
      <x:c r="B1164" s="11" t="str">
        <x:v>00268.HK</x:v>
      </x:c>
      <x:c r="C1164" s="11" t="str">
        <x:v>RDAmortizationCNYmillion</x:v>
      </x:c>
      <x:c r="D1164" s="39" t="n">
        <x:v>515.422</x:v>
      </x:c>
      <x:c r="E1164" s="11" t="str">
        <x:v>CNY</x:v>
      </x:c>
      <x:c r="F1164" s="11" t="str">
        <x:v>CNY million</x:v>
      </x:c>
      <x:c r="G1164" s="11" t="str">
        <x:v>FY2025</x:v>
      </x:c>
      <x:c r="H1164" s="11" t="str">
        <x:v>2026-03-17财务批准；年报官网文件原始1779930082377，正式上传精确时区待核</x:v>
      </x:c>
      <x:c r="I1164" s="11" t="str">
        <x:v>https://investor.kingdee.com/static/temp/C_00268_03_FS_AR012_HKEx-2025AR年报_1779930082377.pdf</x:v>
      </x:c>
      <x:c r="J1164" s="11" t="str">
        <x:v>reported input</x:v>
      </x:c>
      <x:c r="K1164" s="11" t="str">
        <x:v>待核</x:v>
      </x:c>
      <x:c r="L1164" s="11" t="str">
        <x:v>精确发布时间未核验</x:v>
      </x:c>
      <x:c r="M1164" s="11" t="str">
        <x:v>截止日前日期，盘中时分未核</x:v>
      </x:c>
    </x:row>
    <x:row r="1165" ht="23" customHeight="1">
      <x:c r="A1165" s="11" t="str">
        <x:v>I090</x:v>
      </x:c>
      <x:c r="B1165" s="11" t="str">
        <x:v>00268.HK</x:v>
      </x:c>
      <x:c r="C1165" s="11" t="str">
        <x:v>RDExpenseCNYmillion</x:v>
      </x:c>
      <x:c r="D1165" s="39" t="n">
        <x:v>1494.374</x:v>
      </x:c>
      <x:c r="E1165" s="11" t="str">
        <x:v>CNY</x:v>
      </x:c>
      <x:c r="F1165" s="11" t="str">
        <x:v>CNY million</x:v>
      </x:c>
      <x:c r="G1165" s="11" t="str">
        <x:v>FY2025</x:v>
      </x:c>
      <x:c r="H1165" s="11" t="str">
        <x:v>2026-03-17财务批准；年报官网文件原始1779930082377，正式上传精确时区待核</x:v>
      </x:c>
      <x:c r="I1165" s="11" t="str">
        <x:v>https://investor.kingdee.com/static/temp/C_00268_03_FS_AR012_HKEx-2025AR年报_1779930082377.pdf</x:v>
      </x:c>
      <x:c r="J1165" s="11" t="str">
        <x:v>reported input</x:v>
      </x:c>
      <x:c r="K1165" s="11" t="str">
        <x:v>待核</x:v>
      </x:c>
      <x:c r="L1165" s="11" t="str">
        <x:v>精确发布时间未核验</x:v>
      </x:c>
      <x:c r="M1165" s="11" t="str">
        <x:v>截止日前日期，盘中时分未核</x:v>
      </x:c>
    </x:row>
    <x:row r="1166" ht="23" customHeight="1">
      <x:c r="A1166" s="11" t="str">
        <x:v>I090</x:v>
      </x:c>
      <x:c r="B1166" s="11" t="str">
        <x:v>00268.HK</x:v>
      </x:c>
      <x:c r="C1166" s="11" t="str">
        <x:v>cloudRevenueCNYmillion</x:v>
      </x:c>
      <x:c r="D1166" s="39" t="n">
        <x:v>5782.167</x:v>
      </x:c>
      <x:c r="E1166" s="11" t="str">
        <x:v>CNY</x:v>
      </x:c>
      <x:c r="F1166" s="11" t="str">
        <x:v>CNY million</x:v>
      </x:c>
      <x:c r="G1166" s="11" t="str">
        <x:v>FY2025</x:v>
      </x:c>
      <x:c r="H1166" s="11" t="str">
        <x:v>2026-03-17财务批准；年报官网文件原始1779930082377，正式上传精确时区待核</x:v>
      </x:c>
      <x:c r="I1166" s="11" t="str">
        <x:v>https://investor.kingdee.com/static/temp/C_00268_03_FS_AR012_HKEx-2025AR年报_1779930082377.pdf</x:v>
      </x:c>
      <x:c r="J1166" s="11" t="str">
        <x:v>reported input</x:v>
      </x:c>
      <x:c r="K1166" s="11" t="str">
        <x:v>待核</x:v>
      </x:c>
      <x:c r="L1166" s="11" t="str">
        <x:v>精确发布时间未核验</x:v>
      </x:c>
      <x:c r="M1166" s="11" t="str">
        <x:v>截止日前日期，盘中时分未核</x:v>
      </x:c>
    </x:row>
    <x:row r="1167" ht="23" customHeight="1">
      <x:c r="A1167" s="11" t="str">
        <x:v>I090</x:v>
      </x:c>
      <x:c r="B1167" s="11" t="str">
        <x:v>00268.HK</x:v>
      </x:c>
      <x:c r="C1167" s="11" t="str">
        <x:v>subscriptionRevenueRoundedCNYmillion</x:v>
      </x:c>
      <x:c r="D1167" s="39" t="n">
        <x:v>3556</x:v>
      </x:c>
      <x:c r="E1167" s="11" t="str">
        <x:v>CNY</x:v>
      </x:c>
      <x:c r="F1167" s="11" t="str">
        <x:v>CNY million</x:v>
      </x:c>
      <x:c r="G1167" s="11" t="str">
        <x:v>FY2025</x:v>
      </x:c>
      <x:c r="H1167" s="11" t="str">
        <x:v>2026-03-17财务批准；年报官网文件原始1779930082377，正式上传精确时区待核</x:v>
      </x:c>
      <x:c r="I1167" s="11" t="str">
        <x:v>https://investor.kingdee.com/static/temp/C_00268_03_FS_AR012_HKEx-2025AR年报_1779930082377.pdf</x:v>
      </x:c>
      <x:c r="J1167" s="11" t="str">
        <x:v>reported input</x:v>
      </x:c>
      <x:c r="K1167" s="11" t="str">
        <x:v>待核</x:v>
      </x:c>
      <x:c r="L1167" s="11" t="str">
        <x:v>精确发布时间未核验</x:v>
      </x:c>
      <x:c r="M1167" s="11" t="str">
        <x:v>截止日前日期，盘中时分未核</x:v>
      </x:c>
    </x:row>
    <x:row r="1168" ht="23" customHeight="1">
      <x:c r="A1168" s="11" t="str">
        <x:v>I090</x:v>
      </x:c>
      <x:c r="B1168" s="11" t="str">
        <x:v>00268.HK</x:v>
      </x:c>
      <x:c r="C1168" s="11" t="str">
        <x:v>ARRRoundedCNYmillion</x:v>
      </x:c>
      <x:c r="D1168" s="39" t="n">
        <x:v>4090</x:v>
      </x:c>
      <x:c r="E1168" s="11" t="str">
        <x:v>CNY</x:v>
      </x:c>
      <x:c r="F1168" s="11" t="str">
        <x:v>CNY million</x:v>
      </x:c>
      <x:c r="G1168" s="11" t="str">
        <x:v>FY2025</x:v>
      </x:c>
      <x:c r="H1168" s="11" t="str">
        <x:v>2026-03-17财务批准；年报官网文件原始1779930082377，正式上传精确时区待核</x:v>
      </x:c>
      <x:c r="I1168" s="11" t="str">
        <x:v>https://investor.kingdee.com/static/temp/C_00268_03_FS_AR012_HKEx-2025AR年报_1779930082377.pdf</x:v>
      </x:c>
      <x:c r="J1168" s="11" t="str">
        <x:v>reported input</x:v>
      </x:c>
      <x:c r="K1168" s="11" t="str">
        <x:v>待核</x:v>
      </x:c>
      <x:c r="L1168" s="11" t="str">
        <x:v>精确发布时间未核验</x:v>
      </x:c>
      <x:c r="M1168" s="11" t="str">
        <x:v>截止日前日期，盘中时分未核</x:v>
      </x:c>
    </x:row>
    <x:row r="1169" ht="23" customHeight="1">
      <x:c r="A1169" s="11" t="str">
        <x:v>I090</x:v>
      </x:c>
      <x:c r="B1169" s="11" t="str">
        <x:v>00268.HK</x:v>
      </x:c>
      <x:c r="C1169" s="11" t="str">
        <x:v>contractLiabilitiesCNYmillion</x:v>
      </x:c>
      <x:c r="D1169" s="39" t="n">
        <x:v>4386.462</x:v>
      </x:c>
      <x:c r="E1169" s="11" t="str">
        <x:v>CNY</x:v>
      </x:c>
      <x:c r="F1169" s="11" t="str">
        <x:v>CNY million</x:v>
      </x:c>
      <x:c r="G1169" s="11" t="str">
        <x:v>FY2025</x:v>
      </x:c>
      <x:c r="H1169" s="11" t="str">
        <x:v>2026-03-17财务批准；年报官网文件原始1779930082377，正式上传精确时区待核</x:v>
      </x:c>
      <x:c r="I1169" s="11" t="str">
        <x:v>https://investor.kingdee.com/static/temp/C_00268_03_FS_AR012_HKEx-2025AR年报_1779930082377.pdf</x:v>
      </x:c>
      <x:c r="J1169" s="11" t="str">
        <x:v>reported input</x:v>
      </x:c>
      <x:c r="K1169" s="11" t="str">
        <x:v>待核</x:v>
      </x:c>
      <x:c r="L1169" s="11" t="str">
        <x:v>精确发布时间未核验</x:v>
      </x:c>
      <x:c r="M1169" s="11" t="str">
        <x:v>截止日前日期，盘中时分未核</x:v>
      </x:c>
    </x:row>
    <x:row r="1170" ht="23" customHeight="1">
      <x:c r="A1170" s="11" t="str">
        <x:v>I080</x:v>
      </x:c>
      <x:c r="B1170" s="11" t="str">
        <x:v>01024.HK</x:v>
      </x:c>
      <x:c r="C1170" s="11" t="str">
        <x:v>revenueCNYmillion</x:v>
      </x:c>
      <x:c r="D1170" s="39" t="n">
        <x:v>142776</x:v>
      </x:c>
      <x:c r="E1170" s="11" t="str">
        <x:v>CNY</x:v>
      </x:c>
      <x:c r="F1170" s="11" t="str">
        <x:v>CNY million</x:v>
      </x:c>
      <x:c r="G1170" s="11" t="str">
        <x:v>FY2025</x:v>
      </x:c>
      <x:c r="H1170" s="11" t="str">
        <x:v>2026-03-25业绩和董事会审计报告；年报港交所4月24日，官网文件18:14</x:v>
      </x:c>
      <x:c r="I1170" s="11" t="str">
        <x:v>https://ir.kuaishou.com/system/files-encrypted/nasdaq_kms/assets/2026/04/24/18-14-04/Eng%20Annual%20report%202025.pdf</x:v>
      </x:c>
      <x:c r="J1170" s="11" t="str">
        <x:v>reported input</x:v>
      </x:c>
      <x:c r="K1170" s="11" t="str">
        <x:v>待核</x:v>
      </x:c>
      <x:c r="L1170" s="11" t="str">
        <x:v>精确发布时间未核验</x:v>
      </x:c>
      <x:c r="M1170" s="11" t="str">
        <x:v>截止日前日期，盘中时分未核</x:v>
      </x:c>
    </x:row>
    <x:row r="1171" ht="23" customHeight="1">
      <x:c r="A1171" s="11" t="str">
        <x:v>I080</x:v>
      </x:c>
      <x:c r="B1171" s="11" t="str">
        <x:v>01024.HK</x:v>
      </x:c>
      <x:c r="C1171" s="11" t="str">
        <x:v>revenue2024CNYmillion</x:v>
      </x:c>
      <x:c r="D1171" s="39" t="n">
        <x:v>126898</x:v>
      </x:c>
      <x:c r="E1171" s="11" t="str">
        <x:v>CNY</x:v>
      </x:c>
      <x:c r="F1171" s="11" t="str">
        <x:v>CNY million</x:v>
      </x:c>
      <x:c r="G1171" s="11" t="str">
        <x:v>FY2024</x:v>
      </x:c>
      <x:c r="H1171" s="11" t="str">
        <x:v>2026-03-25业绩和董事会审计报告；年报港交所4月24日，官网文件18:14</x:v>
      </x:c>
      <x:c r="I1171" s="11" t="str">
        <x:v>https://ir.kuaishou.com/system/files-encrypted/nasdaq_kms/assets/2026/04/24/18-14-04/Eng%20Annual%20report%202025.pdf</x:v>
      </x:c>
      <x:c r="J1171" s="11" t="str">
        <x:v>reported input</x:v>
      </x:c>
      <x:c r="K1171" s="11" t="str">
        <x:v>待核</x:v>
      </x:c>
      <x:c r="L1171" s="11" t="str">
        <x:v>精确发布时间未核验</x:v>
      </x:c>
      <x:c r="M1171" s="11" t="str">
        <x:v>截止日前日期，盘中时分未核</x:v>
      </x:c>
    </x:row>
    <x:row r="1172" ht="23" customHeight="1">
      <x:c r="A1172" s="11" t="str">
        <x:v>I080</x:v>
      </x:c>
      <x:c r="B1172" s="11" t="str">
        <x:v>01024.HK</x:v>
      </x:c>
      <x:c r="C1172" s="11" t="str">
        <x:v>revenue2023CNYmillion</x:v>
      </x:c>
      <x:c r="D1172" s="39" t="n">
        <x:v>113470</x:v>
      </x:c>
      <x:c r="E1172" s="11" t="str">
        <x:v>CNY</x:v>
      </x:c>
      <x:c r="F1172" s="11" t="str">
        <x:v>CNY million</x:v>
      </x:c>
      <x:c r="G1172" s="11" t="str">
        <x:v>FY2023</x:v>
      </x:c>
      <x:c r="H1172" s="11" t="str">
        <x:v>2026-03-25业绩和董事会审计报告；年报港交所4月24日，官网文件18:14</x:v>
      </x:c>
      <x:c r="I1172" s="11" t="str">
        <x:v>https://ir.kuaishou.com/system/files-encrypted/nasdaq_kms/assets/2026/04/24/18-14-04/Eng%20Annual%20report%202025.pdf</x:v>
      </x:c>
      <x:c r="J1172" s="11" t="str">
        <x:v>reported input</x:v>
      </x:c>
      <x:c r="K1172" s="11" t="str">
        <x:v>待核</x:v>
      </x:c>
      <x:c r="L1172" s="11" t="str">
        <x:v>精确发布时间未核验</x:v>
      </x:c>
      <x:c r="M1172" s="11" t="str">
        <x:v>截止日前日期，盘中时分未核</x:v>
      </x:c>
    </x:row>
    <x:row r="1173" ht="23" customHeight="1">
      <x:c r="A1173" s="11" t="str">
        <x:v>I080</x:v>
      </x:c>
      <x:c r="B1173" s="11" t="str">
        <x:v>01024.HK</x:v>
      </x:c>
      <x:c r="C1173" s="11" t="str">
        <x:v>profitAttributableCNYmillion</x:v>
      </x:c>
      <x:c r="D1173" s="39" t="n">
        <x:v>18617</x:v>
      </x:c>
      <x:c r="E1173" s="11" t="str">
        <x:v>CNY</x:v>
      </x:c>
      <x:c r="F1173" s="11" t="str">
        <x:v>CNY million</x:v>
      </x:c>
      <x:c r="G1173" s="11" t="str">
        <x:v>FY2025</x:v>
      </x:c>
      <x:c r="H1173" s="11" t="str">
        <x:v>2026-03-25业绩和董事会审计报告；年报港交所4月24日，官网文件18:14</x:v>
      </x:c>
      <x:c r="I1173" s="11" t="str">
        <x:v>https://ir.kuaishou.com/system/files-encrypted/nasdaq_kms/assets/2026/04/24/18-14-04/Eng%20Annual%20report%202025.pdf</x:v>
      </x:c>
      <x:c r="J1173" s="11" t="str">
        <x:v>reported input</x:v>
      </x:c>
      <x:c r="K1173" s="11" t="str">
        <x:v>待核</x:v>
      </x:c>
      <x:c r="L1173" s="11" t="str">
        <x:v>精确发布时间未核验</x:v>
      </x:c>
      <x:c r="M1173" s="11" t="str">
        <x:v>截止日前日期，盘中时分未核</x:v>
      </x:c>
    </x:row>
    <x:row r="1174" ht="23" customHeight="1">
      <x:c r="A1174" s="11" t="str">
        <x:v>I080</x:v>
      </x:c>
      <x:c r="B1174" s="11" t="str">
        <x:v>01024.HK</x:v>
      </x:c>
      <x:c r="C1174" s="11" t="str">
        <x:v>profitAttributable2024CNYmillion</x:v>
      </x:c>
      <x:c r="D1174" s="39" t="n">
        <x:v>15335</x:v>
      </x:c>
      <x:c r="E1174" s="11" t="str">
        <x:v>CNY</x:v>
      </x:c>
      <x:c r="F1174" s="11" t="str">
        <x:v>CNY million</x:v>
      </x:c>
      <x:c r="G1174" s="11" t="str">
        <x:v>FY2024</x:v>
      </x:c>
      <x:c r="H1174" s="11" t="str">
        <x:v>2026-03-25业绩和董事会审计报告；年报港交所4月24日，官网文件18:14</x:v>
      </x:c>
      <x:c r="I1174" s="11" t="str">
        <x:v>https://ir.kuaishou.com/system/files-encrypted/nasdaq_kms/assets/2026/04/24/18-14-04/Eng%20Annual%20report%202025.pdf</x:v>
      </x:c>
      <x:c r="J1174" s="11" t="str">
        <x:v>reported input</x:v>
      </x:c>
      <x:c r="K1174" s="11" t="str">
        <x:v>待核</x:v>
      </x:c>
      <x:c r="L1174" s="11" t="str">
        <x:v>精确发布时间未核验</x:v>
      </x:c>
      <x:c r="M1174" s="11" t="str">
        <x:v>截止日前日期，盘中时分未核</x:v>
      </x:c>
    </x:row>
    <x:row r="1175" ht="23" customHeight="1">
      <x:c r="A1175" s="11" t="str">
        <x:v>I080</x:v>
      </x:c>
      <x:c r="B1175" s="11" t="str">
        <x:v>01024.HK</x:v>
      </x:c>
      <x:c r="C1175" s="11" t="str">
        <x:v>profitAttributable2023CNYmillion</x:v>
      </x:c>
      <x:c r="D1175" s="39" t="n">
        <x:v>6396</x:v>
      </x:c>
      <x:c r="E1175" s="11" t="str">
        <x:v>CNY</x:v>
      </x:c>
      <x:c r="F1175" s="11" t="str">
        <x:v>CNY million</x:v>
      </x:c>
      <x:c r="G1175" s="11" t="str">
        <x:v>FY2023</x:v>
      </x:c>
      <x:c r="H1175" s="11" t="str">
        <x:v>2026-03-25业绩和董事会审计报告；年报港交所4月24日，官网文件18:14</x:v>
      </x:c>
      <x:c r="I1175" s="11" t="str">
        <x:v>https://ir.kuaishou.com/system/files-encrypted/nasdaq_kms/assets/2026/04/24/18-14-04/Eng%20Annual%20report%202025.pdf</x:v>
      </x:c>
      <x:c r="J1175" s="11" t="str">
        <x:v>reported input</x:v>
      </x:c>
      <x:c r="K1175" s="11" t="str">
        <x:v>待核</x:v>
      </x:c>
      <x:c r="L1175" s="11" t="str">
        <x:v>精确发布时间未核验</x:v>
      </x:c>
      <x:c r="M1175" s="11" t="str">
        <x:v>截止日前日期，盘中时分未核</x:v>
      </x:c>
    </x:row>
    <x:row r="1176" ht="23" customHeight="1">
      <x:c r="A1176" s="11" t="str">
        <x:v>I080</x:v>
      </x:c>
      <x:c r="B1176" s="11" t="str">
        <x:v>01024.HK</x:v>
      </x:c>
      <x:c r="C1176" s="11" t="str">
        <x:v>dilutedEPSCNY</x:v>
      </x:c>
      <x:c r="D1176" s="39" t="n">
        <x:v>4.23</x:v>
      </x:c>
      <x:c r="E1176" s="11" t="str">
        <x:v>CNY</x:v>
      </x:c>
      <x:c r="F1176" s="11" t="str">
        <x:v>CNY per ordinary share</x:v>
      </x:c>
      <x:c r="G1176" s="11" t="str">
        <x:v>FY2025</x:v>
      </x:c>
      <x:c r="H1176" s="11" t="str">
        <x:v>2026-03-25业绩和董事会审计报告；年报港交所4月24日，官网文件18:14</x:v>
      </x:c>
      <x:c r="I1176" s="11" t="str">
        <x:v>https://ir.kuaishou.com/system/files-encrypted/nasdaq_kms/assets/2026/04/24/18-14-04/Eng%20Annual%20report%202025.pdf</x:v>
      </x:c>
      <x:c r="J1176" s="11" t="str">
        <x:v>reported input</x:v>
      </x:c>
      <x:c r="K1176" s="11" t="str">
        <x:v>待核</x:v>
      </x:c>
      <x:c r="L1176" s="11" t="str">
        <x:v>精确发布时间未核验</x:v>
      </x:c>
      <x:c r="M1176" s="11" t="str">
        <x:v>截止日前日期，盘中时分未核</x:v>
      </x:c>
    </x:row>
    <x:row r="1177" ht="23" customHeight="1">
      <x:c r="A1177" s="11" t="str">
        <x:v>I080</x:v>
      </x:c>
      <x:c r="B1177" s="11" t="str">
        <x:v>01024.HK</x:v>
      </x:c>
      <x:c r="C1177" s="11" t="str">
        <x:v>dilutedEPS2024CNY</x:v>
      </x:c>
      <x:c r="D1177" s="39" t="n">
        <x:v>3.48</x:v>
      </x:c>
      <x:c r="E1177" s="11" t="str">
        <x:v>CNY</x:v>
      </x:c>
      <x:c r="F1177" s="11" t="str">
        <x:v>CNY per ordinary share</x:v>
      </x:c>
      <x:c r="G1177" s="11" t="str">
        <x:v>FY2024</x:v>
      </x:c>
      <x:c r="H1177" s="11" t="str">
        <x:v>2026-03-25业绩和董事会审计报告；年报港交所4月24日，官网文件18:14</x:v>
      </x:c>
      <x:c r="I1177" s="11" t="str">
        <x:v>https://ir.kuaishou.com/system/files-encrypted/nasdaq_kms/assets/2026/04/24/18-14-04/Eng%20Annual%20report%202025.pdf</x:v>
      </x:c>
      <x:c r="J1177" s="11" t="str">
        <x:v>reported input</x:v>
      </x:c>
      <x:c r="K1177" s="11" t="str">
        <x:v>待核</x:v>
      </x:c>
      <x:c r="L1177" s="11" t="str">
        <x:v>精确发布时间未核验</x:v>
      </x:c>
      <x:c r="M1177" s="11" t="str">
        <x:v>截止日前日期，盘中时分未核</x:v>
      </x:c>
    </x:row>
    <x:row r="1178" ht="23" customHeight="1">
      <x:c r="A1178" s="11" t="str">
        <x:v>I080</x:v>
      </x:c>
      <x:c r="B1178" s="11" t="str">
        <x:v>01024.HK</x:v>
      </x:c>
      <x:c r="C1178" s="11" t="str">
        <x:v>weightedDilutedSharesMillion</x:v>
      </x:c>
      <x:c r="D1178" s="39" t="n">
        <x:v>4402</x:v>
      </x:c>
      <x:c r="E1178" s="11" t="str">
        <x:v>not monetary</x:v>
      </x:c>
      <x:c r="F1178" s="11" t="str">
        <x:v>million ordinary shares</x:v>
      </x:c>
      <x:c r="G1178" s="11" t="str">
        <x:v>FY2025</x:v>
      </x:c>
      <x:c r="H1178" s="11" t="str">
        <x:v>2026-03-25业绩和董事会审计报告；年报港交所4月24日，官网文件18:14</x:v>
      </x:c>
      <x:c r="I1178" s="11" t="str">
        <x:v>https://ir.kuaishou.com/system/files-encrypted/nasdaq_kms/assets/2026/04/24/18-14-04/Eng%20Annual%20report%202025.pdf</x:v>
      </x:c>
      <x:c r="J1178" s="11" t="str">
        <x:v>reported input</x:v>
      </x:c>
      <x:c r="K1178" s="11" t="str">
        <x:v>待核</x:v>
      </x:c>
      <x:c r="L1178" s="11" t="str">
        <x:v>精确发布时间未核验</x:v>
      </x:c>
      <x:c r="M1178" s="11" t="str">
        <x:v>截止日前日期，盘中时分未核</x:v>
      </x:c>
    </x:row>
    <x:row r="1179" ht="23" customHeight="1">
      <x:c r="A1179" s="11" t="str">
        <x:v>I080</x:v>
      </x:c>
      <x:c r="B1179" s="11" t="str">
        <x:v>01024.HK</x:v>
      </x:c>
      <x:c r="C1179" s="11" t="str">
        <x:v>OCFCNYmillion</x:v>
      </x:c>
      <x:c r="D1179" s="39" t="n">
        <x:v>26716</x:v>
      </x:c>
      <x:c r="E1179" s="11" t="str">
        <x:v>CNY</x:v>
      </x:c>
      <x:c r="F1179" s="11" t="str">
        <x:v>CNY million</x:v>
      </x:c>
      <x:c r="G1179" s="11" t="str">
        <x:v>FY2025</x:v>
      </x:c>
      <x:c r="H1179" s="11" t="str">
        <x:v>2026-03-25业绩和董事会审计报告；年报港交所4月24日，官网文件18:14</x:v>
      </x:c>
      <x:c r="I1179" s="11" t="str">
        <x:v>https://ir.kuaishou.com/system/files-encrypted/nasdaq_kms/assets/2026/04/24/18-14-04/Eng%20Annual%20report%202025.pdf</x:v>
      </x:c>
      <x:c r="J1179" s="11" t="str">
        <x:v>reported input</x:v>
      </x:c>
      <x:c r="K1179" s="11" t="str">
        <x:v>待核</x:v>
      </x:c>
      <x:c r="L1179" s="11" t="str">
        <x:v>精确发布时间未核验</x:v>
      </x:c>
      <x:c r="M1179" s="11" t="str">
        <x:v>截止日前日期，盘中时分未核</x:v>
      </x:c>
    </x:row>
    <x:row r="1180" ht="23" customHeight="1">
      <x:c r="A1180" s="11" t="str">
        <x:v>I080</x:v>
      </x:c>
      <x:c r="B1180" s="11" t="str">
        <x:v>01024.HK</x:v>
      </x:c>
      <x:c r="C1180" s="11" t="str">
        <x:v>OCF2024CNYmillion</x:v>
      </x:c>
      <x:c r="D1180" s="39" t="n">
        <x:v>29787</x:v>
      </x:c>
      <x:c r="E1180" s="11" t="str">
        <x:v>CNY</x:v>
      </x:c>
      <x:c r="F1180" s="11" t="str">
        <x:v>CNY million</x:v>
      </x:c>
      <x:c r="G1180" s="11" t="str">
        <x:v>FY2024</x:v>
      </x:c>
      <x:c r="H1180" s="11" t="str">
        <x:v>2026-03-25业绩和董事会审计报告；年报港交所4月24日，官网文件18:14</x:v>
      </x:c>
      <x:c r="I1180" s="11" t="str">
        <x:v>https://ir.kuaishou.com/system/files-encrypted/nasdaq_kms/assets/2026/04/24/18-14-04/Eng%20Annual%20report%202025.pdf</x:v>
      </x:c>
      <x:c r="J1180" s="11" t="str">
        <x:v>reported input</x:v>
      </x:c>
      <x:c r="K1180" s="11" t="str">
        <x:v>待核</x:v>
      </x:c>
      <x:c r="L1180" s="11" t="str">
        <x:v>精确发布时间未核验</x:v>
      </x:c>
      <x:c r="M1180" s="11" t="str">
        <x:v>截止日前日期，盘中时分未核</x:v>
      </x:c>
    </x:row>
    <x:row r="1181" ht="23" customHeight="1">
      <x:c r="A1181" s="11" t="str">
        <x:v>I080</x:v>
      </x:c>
      <x:c r="B1181" s="11" t="str">
        <x:v>01024.HK</x:v>
      </x:c>
      <x:c r="C1181" s="11" t="str">
        <x:v>capitalPurchasePrepaymentCNYmillion</x:v>
      </x:c>
      <x:c r="D1181" s="39" t="n">
        <x:v>14942</x:v>
      </x:c>
      <x:c r="E1181" s="11" t="str">
        <x:v>CNY</x:v>
      </x:c>
      <x:c r="F1181" s="11" t="str">
        <x:v>CNY million</x:v>
      </x:c>
      <x:c r="G1181" s="11" t="str">
        <x:v>FY2025</x:v>
      </x:c>
      <x:c r="H1181" s="11" t="str">
        <x:v>2026-03-25业绩和董事会审计报告；年报港交所4月24日，官网文件18:14</x:v>
      </x:c>
      <x:c r="I1181" s="11" t="str">
        <x:v>https://ir.kuaishou.com/system/files-encrypted/nasdaq_kms/assets/2026/04/24/18-14-04/Eng%20Annual%20report%202025.pdf</x:v>
      </x:c>
      <x:c r="J1181" s="11" t="str">
        <x:v>reported input</x:v>
      </x:c>
      <x:c r="K1181" s="11" t="str">
        <x:v>待核</x:v>
      </x:c>
      <x:c r="L1181" s="11" t="str">
        <x:v>精确发布时间未核验</x:v>
      </x:c>
      <x:c r="M1181" s="11" t="str">
        <x:v>截止日前日期，盘中时分未核</x:v>
      </x:c>
    </x:row>
    <x:row r="1182" ht="23" customHeight="1">
      <x:c r="A1182" s="11" t="str">
        <x:v>I080</x:v>
      </x:c>
      <x:c r="B1182" s="11" t="str">
        <x:v>01024.HK</x:v>
      </x:c>
      <x:c r="C1182" s="11" t="str">
        <x:v>adRevenueCNYmillion</x:v>
      </x:c>
      <x:c r="D1182" s="39" t="n">
        <x:v>81462</x:v>
      </x:c>
      <x:c r="E1182" s="11" t="str">
        <x:v>CNY</x:v>
      </x:c>
      <x:c r="F1182" s="11" t="str">
        <x:v>CNY million</x:v>
      </x:c>
      <x:c r="G1182" s="11" t="str">
        <x:v>FY2025</x:v>
      </x:c>
      <x:c r="H1182" s="11" t="str">
        <x:v>2026-03-25业绩和董事会审计报告；年报港交所4月24日，官网文件18:14</x:v>
      </x:c>
      <x:c r="I1182" s="11" t="str">
        <x:v>https://ir.kuaishou.com/system/files-encrypted/nasdaq_kms/assets/2026/04/24/18-14-04/Eng%20Annual%20report%202025.pdf</x:v>
      </x:c>
      <x:c r="J1182" s="11" t="str">
        <x:v>reported input</x:v>
      </x:c>
      <x:c r="K1182" s="11" t="str">
        <x:v>待核</x:v>
      </x:c>
      <x:c r="L1182" s="11" t="str">
        <x:v>精确发布时间未核验</x:v>
      </x:c>
      <x:c r="M1182" s="11" t="str">
        <x:v>截止日前日期，盘中时分未核</x:v>
      </x:c>
    </x:row>
    <x:row r="1183" ht="23" customHeight="1">
      <x:c r="A1183" s="11" t="str">
        <x:v>I080</x:v>
      </x:c>
      <x:c r="B1183" s="11" t="str">
        <x:v>01024.HK</x:v>
      </x:c>
      <x:c r="C1183" s="11" t="str">
        <x:v>liveRevenueCNYmillion</x:v>
      </x:c>
      <x:c r="D1183" s="39" t="n">
        <x:v>39087</x:v>
      </x:c>
      <x:c r="E1183" s="11" t="str">
        <x:v>CNY</x:v>
      </x:c>
      <x:c r="F1183" s="11" t="str">
        <x:v>CNY million</x:v>
      </x:c>
      <x:c r="G1183" s="11" t="str">
        <x:v>FY2025</x:v>
      </x:c>
      <x:c r="H1183" s="11" t="str">
        <x:v>2026-03-25业绩和董事会审计报告；年报港交所4月24日，官网文件18:14</x:v>
      </x:c>
      <x:c r="I1183" s="11" t="str">
        <x:v>https://ir.kuaishou.com/system/files-encrypted/nasdaq_kms/assets/2026/04/24/18-14-04/Eng%20Annual%20report%202025.pdf</x:v>
      </x:c>
      <x:c r="J1183" s="11" t="str">
        <x:v>reported input</x:v>
      </x:c>
      <x:c r="K1183" s="11" t="str">
        <x:v>待核</x:v>
      </x:c>
      <x:c r="L1183" s="11" t="str">
        <x:v>精确发布时间未核验</x:v>
      </x:c>
      <x:c r="M1183" s="11" t="str">
        <x:v>截止日前日期，盘中时分未核</x:v>
      </x:c>
    </x:row>
    <x:row r="1184" ht="23" customHeight="1">
      <x:c r="A1184" s="11" t="str">
        <x:v>I080</x:v>
      </x:c>
      <x:c r="B1184" s="11" t="str">
        <x:v>01024.HK</x:v>
      </x:c>
      <x:c r="C1184" s="11" t="str">
        <x:v>otherRevenueCNYmillion</x:v>
      </x:c>
      <x:c r="D1184" s="39" t="n">
        <x:v>22227</x:v>
      </x:c>
      <x:c r="E1184" s="11" t="str">
        <x:v>CNY</x:v>
      </x:c>
      <x:c r="F1184" s="11" t="str">
        <x:v>CNY million</x:v>
      </x:c>
      <x:c r="G1184" s="11" t="str">
        <x:v>FY2025</x:v>
      </x:c>
      <x:c r="H1184" s="11" t="str">
        <x:v>2026-03-25业绩和董事会审计报告；年报港交所4月24日，官网文件18:14</x:v>
      </x:c>
      <x:c r="I1184" s="11" t="str">
        <x:v>https://ir.kuaishou.com/system/files-encrypted/nasdaq_kms/assets/2026/04/24/18-14-04/Eng%20Annual%20report%202025.pdf</x:v>
      </x:c>
      <x:c r="J1184" s="11" t="str">
        <x:v>reported input</x:v>
      </x:c>
      <x:c r="K1184" s="11" t="str">
        <x:v>待核</x:v>
      </x:c>
      <x:c r="L1184" s="11" t="str">
        <x:v>精确发布时间未核验</x:v>
      </x:c>
      <x:c r="M1184" s="11" t="str">
        <x:v>截止日前日期，盘中时分未核</x:v>
      </x:c>
    </x:row>
    <x:row r="1185" ht="23" customHeight="1">
      <x:c r="A1185" s="11" t="str">
        <x:v>I080</x:v>
      </x:c>
      <x:c r="B1185" s="11" t="str">
        <x:v>01024.HK</x:v>
      </x:c>
      <x:c r="C1185" s="11" t="str">
        <x:v>ecommerceGMVCNYmillion</x:v>
      </x:c>
      <x:c r="D1185" s="39" t="n">
        <x:v>1598070.7</x:v>
      </x:c>
      <x:c r="E1185" s="11" t="str">
        <x:v>CNY</x:v>
      </x:c>
      <x:c r="F1185" s="11" t="str">
        <x:v>CNY million</x:v>
      </x:c>
      <x:c r="G1185" s="11" t="str">
        <x:v>FY2025</x:v>
      </x:c>
      <x:c r="H1185" s="11" t="str">
        <x:v>2026-03-25业绩和董事会审计报告；年报港交所4月24日，官网文件18:14</x:v>
      </x:c>
      <x:c r="I1185" s="11" t="str">
        <x:v>https://ir.kuaishou.com/system/files-encrypted/nasdaq_kms/assets/2026/04/24/18-14-04/Eng%20Annual%20report%202025.pdf</x:v>
      </x:c>
      <x:c r="J1185" s="11" t="str">
        <x:v>reported input</x:v>
      </x:c>
      <x:c r="K1185" s="11" t="str">
        <x:v>待核</x:v>
      </x:c>
      <x:c r="L1185" s="11" t="str">
        <x:v>精确发布时间未核验</x:v>
      </x:c>
      <x:c r="M1185" s="11" t="str">
        <x:v>截止日前日期，盘中时分未核</x:v>
      </x:c>
    </x:row>
    <x:row r="1186" ht="23" customHeight="1">
      <x:c r="A1186" s="11" t="str">
        <x:v>I080</x:v>
      </x:c>
      <x:c r="B1186" s="11" t="str">
        <x:v>01024.HK</x:v>
      </x:c>
      <x:c r="C1186" s="11" t="str">
        <x:v>KlingStandaloneRevenueProFormaCNYbillion</x:v>
      </x:c>
      <x:c r="D1186" s="39" t="n">
        <x:v>1.1</x:v>
      </x:c>
      <x:c r="E1186" s="11" t="str">
        <x:v>CNY</x:v>
      </x:c>
      <x:c r="F1186" s="11" t="str">
        <x:v>CNY billion</x:v>
      </x:c>
      <x:c r="G1186" s="11" t="str">
        <x:v>FY2025 pro forma</x:v>
      </x:c>
      <x:c r="H1186" s="11" t="str">
        <x:v>2026-07-02收盘后</x:v>
      </x:c>
      <x:c r="I1186" s="11" t="str">
        <x:v>https://ea-cdn.eurolandir.com/press-releases-attachments/4150664/HKEX-EPS_20260702_12230299_0.PDF</x:v>
      </x:c>
      <x:c r="J1186" s="11" t="str">
        <x:v>reported unaudited pro forma</x:v>
      </x:c>
      <x:c r="K1186" s="11" t="str">
        <x:v>待核</x:v>
      </x:c>
      <x:c r="L1186" s="11" t="str">
        <x:v>精确发布时间未核验</x:v>
      </x:c>
      <x:c r="M1186" s="11" t="str">
        <x:v>截止日前日期，盘中时分未核</x:v>
      </x:c>
    </x:row>
    <x:row r="1187" ht="23" customHeight="1">
      <x:c r="A1187" s="11" t="str">
        <x:v>I080</x:v>
      </x:c>
      <x:c r="B1187" s="11" t="str">
        <x:v>01024.HK</x:v>
      </x:c>
      <x:c r="C1187" s="11" t="str">
        <x:v>revenueCNYmillion</x:v>
      </x:c>
      <x:c r="D1187" s="39" t="n">
        <x:v>69251</x:v>
      </x:c>
      <x:c r="E1187" s="11" t="str">
        <x:v>CNY</x:v>
      </x:c>
      <x:c r="F1187" s="11" t="str">
        <x:v>CNY million</x:v>
      </x:c>
      <x:c r="G1187" s="11" t="str">
        <x:v>H1/Q2 2026</x:v>
      </x:c>
      <x:c r="H1187" s="11" t="str">
        <x:v>2026-08-19 结果公告；中报9月3日港交所，官网9月8日文件</x:v>
      </x:c>
      <x:c r="I1187" s="11" t="str">
        <x:v>https://ir.kuaishou.com/system/files-encrypted/nasdaq_kms/assets/2026/09/08/10-47-47/Interim%202026.pdf</x:v>
      </x:c>
      <x:c r="J1187" s="11" t="str">
        <x:v>reported input</x:v>
      </x:c>
      <x:c r="K1187" s="11" t="str">
        <x:v>待核</x:v>
      </x:c>
      <x:c r="L1187" s="11" t="str">
        <x:v>精确发布时间未核验</x:v>
      </x:c>
      <x:c r="M1187" s="11" t="str">
        <x:v>截止日前日期，盘中时分未核</x:v>
      </x:c>
    </x:row>
    <x:row r="1188" ht="23" customHeight="1">
      <x:c r="A1188" s="11" t="str">
        <x:v>I080</x:v>
      </x:c>
      <x:c r="B1188" s="11" t="str">
        <x:v>01024.HK</x:v>
      </x:c>
      <x:c r="C1188" s="11" t="str">
        <x:v>profitAttributableCNYmillion</x:v>
      </x:c>
      <x:c r="D1188" s="39" t="n">
        <x:v>6049</x:v>
      </x:c>
      <x:c r="E1188" s="11" t="str">
        <x:v>CNY</x:v>
      </x:c>
      <x:c r="F1188" s="11" t="str">
        <x:v>CNY million</x:v>
      </x:c>
      <x:c r="G1188" s="11" t="str">
        <x:v>H1/Q2 2026</x:v>
      </x:c>
      <x:c r="H1188" s="11" t="str">
        <x:v>2026-08-19 结果公告；中报9月3日港交所，官网9月8日文件</x:v>
      </x:c>
      <x:c r="I1188" s="11" t="str">
        <x:v>https://ir.kuaishou.com/system/files-encrypted/nasdaq_kms/assets/2026/09/08/10-47-47/Interim%202026.pdf</x:v>
      </x:c>
      <x:c r="J1188" s="11" t="str">
        <x:v>reported input</x:v>
      </x:c>
      <x:c r="K1188" s="11" t="str">
        <x:v>待核</x:v>
      </x:c>
      <x:c r="L1188" s="11" t="str">
        <x:v>精确发布时间未核验</x:v>
      </x:c>
      <x:c r="M1188" s="11" t="str">
        <x:v>截止日前日期，盘中时分未核</x:v>
      </x:c>
    </x:row>
    <x:row r="1189" ht="23" customHeight="1">
      <x:c r="A1189" s="11" t="str">
        <x:v>I080</x:v>
      </x:c>
      <x:c r="B1189" s="11" t="str">
        <x:v>01024.HK</x:v>
      </x:c>
      <x:c r="C1189" s="11" t="str">
        <x:v>profitGroupCNYmillion</x:v>
      </x:c>
      <x:c r="D1189" s="39" t="n">
        <x:v>6057</x:v>
      </x:c>
      <x:c r="E1189" s="11" t="str">
        <x:v>CNY</x:v>
      </x:c>
      <x:c r="F1189" s="11" t="str">
        <x:v>CNY million</x:v>
      </x:c>
      <x:c r="G1189" s="11" t="str">
        <x:v>H1/Q2 2026</x:v>
      </x:c>
      <x:c r="H1189" s="11" t="str">
        <x:v>2026-08-19 结果公告；中报9月3日港交所，官网9月8日文件</x:v>
      </x:c>
      <x:c r="I1189" s="11" t="str">
        <x:v>https://ir.kuaishou.com/system/files-encrypted/nasdaq_kms/assets/2026/09/08/10-47-47/Interim%202026.pdf</x:v>
      </x:c>
      <x:c r="J1189" s="11" t="str">
        <x:v>reported input</x:v>
      </x:c>
      <x:c r="K1189" s="11" t="str">
        <x:v>待核</x:v>
      </x:c>
      <x:c r="L1189" s="11" t="str">
        <x:v>精确发布时间未核验</x:v>
      </x:c>
      <x:c r="M1189" s="11" t="str">
        <x:v>截止日前日期，盘中时分未核</x:v>
      </x:c>
    </x:row>
    <x:row r="1190" ht="23" customHeight="1">
      <x:c r="A1190" s="11" t="str">
        <x:v>I080</x:v>
      </x:c>
      <x:c r="B1190" s="11" t="str">
        <x:v>01024.HK</x:v>
      </x:c>
      <x:c r="C1190" s="11" t="str">
        <x:v>adjustedNetProfitGroupCNYmillion</x:v>
      </x:c>
      <x:c r="D1190" s="39" t="n">
        <x:v>7287</x:v>
      </x:c>
      <x:c r="E1190" s="11" t="str">
        <x:v>CNY</x:v>
      </x:c>
      <x:c r="F1190" s="11" t="str">
        <x:v>CNY million</x:v>
      </x:c>
      <x:c r="G1190" s="11" t="str">
        <x:v>H1/Q2 2026</x:v>
      </x:c>
      <x:c r="H1190" s="11" t="str">
        <x:v>2026-08-19 结果公告；中报9月3日港交所，官网9月8日文件</x:v>
      </x:c>
      <x:c r="I1190" s="11" t="str">
        <x:v>https://ir.kuaishou.com/system/files-encrypted/nasdaq_kms/assets/2026/09/08/10-47-47/Interim%202026.pdf</x:v>
      </x:c>
      <x:c r="J1190" s="11" t="str">
        <x:v>reported input</x:v>
      </x:c>
      <x:c r="K1190" s="11" t="str">
        <x:v>待核</x:v>
      </x:c>
      <x:c r="L1190" s="11" t="str">
        <x:v>精确发布时间未核验</x:v>
      </x:c>
      <x:c r="M1190" s="11" t="str">
        <x:v>截止日前日期，盘中时分未核</x:v>
      </x:c>
    </x:row>
    <x:row r="1191" ht="23" customHeight="1">
      <x:c r="A1191" s="11" t="str">
        <x:v>I080</x:v>
      </x:c>
      <x:c r="B1191" s="11" t="str">
        <x:v>01024.HK</x:v>
      </x:c>
      <x:c r="C1191" s="11" t="str">
        <x:v>grossProfitCNYmillion</x:v>
      </x:c>
      <x:c r="D1191" s="39" t="n">
        <x:v>35577</x:v>
      </x:c>
      <x:c r="E1191" s="11" t="str">
        <x:v>CNY</x:v>
      </x:c>
      <x:c r="F1191" s="11" t="str">
        <x:v>CNY million</x:v>
      </x:c>
      <x:c r="G1191" s="11" t="str">
        <x:v>H1/Q2 2026</x:v>
      </x:c>
      <x:c r="H1191" s="11" t="str">
        <x:v>2026-08-19 结果公告；中报9月3日港交所，官网9月8日文件</x:v>
      </x:c>
      <x:c r="I1191" s="11" t="str">
        <x:v>https://ir.kuaishou.com/system/files-encrypted/nasdaq_kms/assets/2026/09/08/10-47-47/Interim%202026.pdf</x:v>
      </x:c>
      <x:c r="J1191" s="11" t="str">
        <x:v>reported input</x:v>
      </x:c>
      <x:c r="K1191" s="11" t="str">
        <x:v>待核</x:v>
      </x:c>
      <x:c r="L1191" s="11" t="str">
        <x:v>精确发布时间未核验</x:v>
      </x:c>
      <x:c r="M1191" s="11" t="str">
        <x:v>截止日前日期，盘中时分未核</x:v>
      </x:c>
    </x:row>
    <x:row r="1192" ht="23" customHeight="1">
      <x:c r="A1192" s="11" t="str">
        <x:v>I080</x:v>
      </x:c>
      <x:c r="B1192" s="11" t="str">
        <x:v>01024.HK</x:v>
      </x:c>
      <x:c r="C1192" s="11" t="str">
        <x:v>operatingProfitCNYmillion</x:v>
      </x:c>
      <x:c r="D1192" s="39" t="n">
        <x:v>7352</x:v>
      </x:c>
      <x:c r="E1192" s="11" t="str">
        <x:v>CNY</x:v>
      </x:c>
      <x:c r="F1192" s="11" t="str">
        <x:v>CNY million</x:v>
      </x:c>
      <x:c r="G1192" s="11" t="str">
        <x:v>H1/Q2 2026</x:v>
      </x:c>
      <x:c r="H1192" s="11" t="str">
        <x:v>2026-08-19 结果公告；中报9月3日港交所，官网9月8日文件</x:v>
      </x:c>
      <x:c r="I1192" s="11" t="str">
        <x:v>https://ir.kuaishou.com/system/files-encrypted/nasdaq_kms/assets/2026/09/08/10-47-47/Interim%202026.pdf</x:v>
      </x:c>
      <x:c r="J1192" s="11" t="str">
        <x:v>reported input</x:v>
      </x:c>
      <x:c r="K1192" s="11" t="str">
        <x:v>待核</x:v>
      </x:c>
      <x:c r="L1192" s="11" t="str">
        <x:v>精确发布时间未核验</x:v>
      </x:c>
      <x:c r="M1192" s="11" t="str">
        <x:v>截止日前日期，盘中时分未核</x:v>
      </x:c>
    </x:row>
    <x:row r="1193" ht="23" customHeight="1">
      <x:c r="A1193" s="11" t="str">
        <x:v>I080</x:v>
      </x:c>
      <x:c r="B1193" s="11" t="str">
        <x:v>01024.HK</x:v>
      </x:c>
      <x:c r="C1193" s="11" t="str">
        <x:v>dilutedEPSCNY</x:v>
      </x:c>
      <x:c r="D1193" s="39" t="n">
        <x:v>1.38</x:v>
      </x:c>
      <x:c r="E1193" s="11" t="str">
        <x:v>CNY</x:v>
      </x:c>
      <x:c r="F1193" s="11" t="str">
        <x:v>CNY per ordinary share</x:v>
      </x:c>
      <x:c r="G1193" s="11" t="str">
        <x:v>H1/Q2 2026</x:v>
      </x:c>
      <x:c r="H1193" s="11" t="str">
        <x:v>2026-08-19 结果公告；中报9月3日港交所，官网9月8日文件</x:v>
      </x:c>
      <x:c r="I1193" s="11" t="str">
        <x:v>https://ir.kuaishou.com/system/files-encrypted/nasdaq_kms/assets/2026/09/08/10-47-47/Interim%202026.pdf</x:v>
      </x:c>
      <x:c r="J1193" s="11" t="str">
        <x:v>reported input</x:v>
      </x:c>
      <x:c r="K1193" s="11" t="str">
        <x:v>待核</x:v>
      </x:c>
      <x:c r="L1193" s="11" t="str">
        <x:v>精确发布时间未核验</x:v>
      </x:c>
      <x:c r="M1193" s="11" t="str">
        <x:v>截止日前日期，盘中时分未核</x:v>
      </x:c>
    </x:row>
    <x:row r="1194" ht="23" customHeight="1">
      <x:c r="A1194" s="11" t="str">
        <x:v>I080</x:v>
      </x:c>
      <x:c r="B1194" s="11" t="str">
        <x:v>01024.HK</x:v>
      </x:c>
      <x:c r="C1194" s="11" t="str">
        <x:v>weightedDilutedSharesMillion</x:v>
      </x:c>
      <x:c r="D1194" s="39" t="n">
        <x:v>4397</x:v>
      </x:c>
      <x:c r="E1194" s="11" t="str">
        <x:v>not monetary</x:v>
      </x:c>
      <x:c r="F1194" s="11" t="str">
        <x:v>million ordinary shares</x:v>
      </x:c>
      <x:c r="G1194" s="11" t="str">
        <x:v>H1/Q2 2026</x:v>
      </x:c>
      <x:c r="H1194" s="11" t="str">
        <x:v>2026-08-19 结果公告；中报9月3日港交所，官网9月8日文件</x:v>
      </x:c>
      <x:c r="I1194" s="11" t="str">
        <x:v>https://ir.kuaishou.com/system/files-encrypted/nasdaq_kms/assets/2026/09/08/10-47-47/Interim%202026.pdf</x:v>
      </x:c>
      <x:c r="J1194" s="11" t="str">
        <x:v>reported input</x:v>
      </x:c>
      <x:c r="K1194" s="11" t="str">
        <x:v>待核</x:v>
      </x:c>
      <x:c r="L1194" s="11" t="str">
        <x:v>精确发布时间未核验</x:v>
      </x:c>
      <x:c r="M1194" s="11" t="str">
        <x:v>截止日前日期，盘中时分未核</x:v>
      </x:c>
    </x:row>
    <x:row r="1195" ht="23" customHeight="1">
      <x:c r="A1195" s="11" t="str">
        <x:v>I080</x:v>
      </x:c>
      <x:c r="B1195" s="11" t="str">
        <x:v>01024.HK</x:v>
      </x:c>
      <x:c r="C1195" s="11" t="str">
        <x:v>Q2RevenueCNYmillion</x:v>
      </x:c>
      <x:c r="D1195" s="39" t="n">
        <x:v>35535</x:v>
      </x:c>
      <x:c r="E1195" s="11" t="str">
        <x:v>CNY</x:v>
      </x:c>
      <x:c r="F1195" s="11" t="str">
        <x:v>CNY million</x:v>
      </x:c>
      <x:c r="G1195" s="11" t="str">
        <x:v>Q2 2026</x:v>
      </x:c>
      <x:c r="H1195" s="11" t="str">
        <x:v>2026-08-19 结果公告；中报9月3日港交所，官网9月8日文件</x:v>
      </x:c>
      <x:c r="I1195" s="11" t="str">
        <x:v>https://ir.kuaishou.com/system/files-encrypted/nasdaq_kms/assets/2026/09/08/10-47-47/Interim%202026.pdf</x:v>
      </x:c>
      <x:c r="J1195" s="11" t="str">
        <x:v>reported input</x:v>
      </x:c>
      <x:c r="K1195" s="11" t="str">
        <x:v>待核</x:v>
      </x:c>
      <x:c r="L1195" s="11" t="str">
        <x:v>精确发布时间未核验</x:v>
      </x:c>
      <x:c r="M1195" s="11" t="str">
        <x:v>截止日前日期，盘中时分未核</x:v>
      </x:c>
    </x:row>
    <x:row r="1196" ht="23" customHeight="1">
      <x:c r="A1196" s="11" t="str">
        <x:v>I080</x:v>
      </x:c>
      <x:c r="B1196" s="11" t="str">
        <x:v>01024.HK</x:v>
      </x:c>
      <x:c r="C1196" s="11" t="str">
        <x:v>Q2adRevenueCNYmillion</x:v>
      </x:c>
      <x:c r="D1196" s="39" t="n">
        <x:v>20639</x:v>
      </x:c>
      <x:c r="E1196" s="11" t="str">
        <x:v>CNY</x:v>
      </x:c>
      <x:c r="F1196" s="11" t="str">
        <x:v>CNY million</x:v>
      </x:c>
      <x:c r="G1196" s="11" t="str">
        <x:v>Q2 2026</x:v>
      </x:c>
      <x:c r="H1196" s="11" t="str">
        <x:v>2026-08-19 结果公告；中报9月3日港交所，官网9月8日文件</x:v>
      </x:c>
      <x:c r="I1196" s="11" t="str">
        <x:v>https://ir.kuaishou.com/system/files-encrypted/nasdaq_kms/assets/2026/09/08/10-47-47/Interim%202026.pdf</x:v>
      </x:c>
      <x:c r="J1196" s="11" t="str">
        <x:v>reported input</x:v>
      </x:c>
      <x:c r="K1196" s="11" t="str">
        <x:v>待核</x:v>
      </x:c>
      <x:c r="L1196" s="11" t="str">
        <x:v>精确发布时间未核验</x:v>
      </x:c>
      <x:c r="M1196" s="11" t="str">
        <x:v>截止日前日期，盘中时分未核</x:v>
      </x:c>
    </x:row>
    <x:row r="1197" ht="23" customHeight="1">
      <x:c r="A1197" s="11" t="str">
        <x:v>I080</x:v>
      </x:c>
      <x:c r="B1197" s="11" t="str">
        <x:v>01024.HK</x:v>
      </x:c>
      <x:c r="C1197" s="11" t="str">
        <x:v>Q2liveRevenueCNYmillion</x:v>
      </x:c>
      <x:c r="D1197" s="39" t="n">
        <x:v>8690</x:v>
      </x:c>
      <x:c r="E1197" s="11" t="str">
        <x:v>CNY</x:v>
      </x:c>
      <x:c r="F1197" s="11" t="str">
        <x:v>CNY million</x:v>
      </x:c>
      <x:c r="G1197" s="11" t="str">
        <x:v>Q2 2026</x:v>
      </x:c>
      <x:c r="H1197" s="11" t="str">
        <x:v>2026-08-19 结果公告；中报9月3日港交所，官网9月8日文件</x:v>
      </x:c>
      <x:c r="I1197" s="11" t="str">
        <x:v>https://ir.kuaishou.com/system/files-encrypted/nasdaq_kms/assets/2026/09/08/10-47-47/Interim%202026.pdf</x:v>
      </x:c>
      <x:c r="J1197" s="11" t="str">
        <x:v>reported input</x:v>
      </x:c>
      <x:c r="K1197" s="11" t="str">
        <x:v>待核</x:v>
      </x:c>
      <x:c r="L1197" s="11" t="str">
        <x:v>精确发布时间未核验</x:v>
      </x:c>
      <x:c r="M1197" s="11" t="str">
        <x:v>截止日前日期，盘中时分未核</x:v>
      </x:c>
    </x:row>
    <x:row r="1198" ht="23" customHeight="1">
      <x:c r="A1198" s="11" t="str">
        <x:v>I080</x:v>
      </x:c>
      <x:c r="B1198" s="11" t="str">
        <x:v>01024.HK</x:v>
      </x:c>
      <x:c r="C1198" s="11" t="str">
        <x:v>Q2otherRevenueCNYmillion</x:v>
      </x:c>
      <x:c r="D1198" s="39" t="n">
        <x:v>6206</x:v>
      </x:c>
      <x:c r="E1198" s="11" t="str">
        <x:v>CNY</x:v>
      </x:c>
      <x:c r="F1198" s="11" t="str">
        <x:v>CNY million</x:v>
      </x:c>
      <x:c r="G1198" s="11" t="str">
        <x:v>Q2 2026</x:v>
      </x:c>
      <x:c r="H1198" s="11" t="str">
        <x:v>2026-08-19 结果公告；中报9月3日港交所，官网9月8日文件</x:v>
      </x:c>
      <x:c r="I1198" s="11" t="str">
        <x:v>https://ir.kuaishou.com/system/files-encrypted/nasdaq_kms/assets/2026/09/08/10-47-47/Interim%202026.pdf</x:v>
      </x:c>
      <x:c r="J1198" s="11" t="str">
        <x:v>reported input</x:v>
      </x:c>
      <x:c r="K1198" s="11" t="str">
        <x:v>待核</x:v>
      </x:c>
      <x:c r="L1198" s="11" t="str">
        <x:v>精确发布时间未核验</x:v>
      </x:c>
      <x:c r="M1198" s="11" t="str">
        <x:v>截止日前日期，盘中时分未核</x:v>
      </x:c>
    </x:row>
    <x:row r="1199" ht="23" customHeight="1">
      <x:c r="A1199" s="11" t="str">
        <x:v>I080</x:v>
      </x:c>
      <x:c r="B1199" s="11" t="str">
        <x:v>01024.HK</x:v>
      </x:c>
      <x:c r="C1199" s="11" t="str">
        <x:v>Q2ProfitAttributableCNYmillion</x:v>
      </x:c>
      <x:c r="D1199" s="39" t="n">
        <x:v>3146</x:v>
      </x:c>
      <x:c r="E1199" s="11" t="str">
        <x:v>CNY</x:v>
      </x:c>
      <x:c r="F1199" s="11" t="str">
        <x:v>CNY million</x:v>
      </x:c>
      <x:c r="G1199" s="11" t="str">
        <x:v>Q2 2026</x:v>
      </x:c>
      <x:c r="H1199" s="11" t="str">
        <x:v>2026-08-19 结果公告；中报9月3日港交所，官网9月8日文件</x:v>
      </x:c>
      <x:c r="I1199" s="11" t="str">
        <x:v>https://ir.kuaishou.com/system/files-encrypted/nasdaq_kms/assets/2026/09/08/10-47-47/Interim%202026.pdf</x:v>
      </x:c>
      <x:c r="J1199" s="11" t="str">
        <x:v>reported input</x:v>
      </x:c>
      <x:c r="K1199" s="11" t="str">
        <x:v>待核</x:v>
      </x:c>
      <x:c r="L1199" s="11" t="str">
        <x:v>精确发布时间未核验</x:v>
      </x:c>
      <x:c r="M1199" s="11" t="str">
        <x:v>截止日前日期，盘中时分未核</x:v>
      </x:c>
    </x:row>
    <x:row r="1200" ht="23" customHeight="1">
      <x:c r="A1200" s="11" t="str">
        <x:v>I080</x:v>
      </x:c>
      <x:c r="B1200" s="11" t="str">
        <x:v>01024.HK</x:v>
      </x:c>
      <x:c r="C1200" s="11" t="str">
        <x:v>Q2ProfitGroupCNYmillion</x:v>
      </x:c>
      <x:c r="D1200" s="39" t="n">
        <x:v>3152</x:v>
      </x:c>
      <x:c r="E1200" s="11" t="str">
        <x:v>CNY</x:v>
      </x:c>
      <x:c r="F1200" s="11" t="str">
        <x:v>CNY million</x:v>
      </x:c>
      <x:c r="G1200" s="11" t="str">
        <x:v>Q2 2026</x:v>
      </x:c>
      <x:c r="H1200" s="11" t="str">
        <x:v>2026-08-19 结果公告；中报9月3日港交所，官网9月8日文件</x:v>
      </x:c>
      <x:c r="I1200" s="11" t="str">
        <x:v>https://ir.kuaishou.com/system/files-encrypted/nasdaq_kms/assets/2026/09/08/10-47-47/Interim%202026.pdf</x:v>
      </x:c>
      <x:c r="J1200" s="11" t="str">
        <x:v>reported input</x:v>
      </x:c>
      <x:c r="K1200" s="11" t="str">
        <x:v>待核</x:v>
      </x:c>
      <x:c r="L1200" s="11" t="str">
        <x:v>精确发布时间未核验</x:v>
      </x:c>
      <x:c r="M1200" s="11" t="str">
        <x:v>截止日前日期，盘中时分未核</x:v>
      </x:c>
    </x:row>
    <x:row r="1201" ht="23" customHeight="1">
      <x:c r="A1201" s="11" t="str">
        <x:v>I080</x:v>
      </x:c>
      <x:c r="B1201" s="11" t="str">
        <x:v>01024.HK</x:v>
      </x:c>
      <x:c r="C1201" s="11" t="str">
        <x:v>Q2AdjustedNetProfitGroupCNYmillion</x:v>
      </x:c>
      <x:c r="D1201" s="39" t="n">
        <x:v>3913</x:v>
      </x:c>
      <x:c r="E1201" s="11" t="str">
        <x:v>CNY</x:v>
      </x:c>
      <x:c r="F1201" s="11" t="str">
        <x:v>CNY million</x:v>
      </x:c>
      <x:c r="G1201" s="11" t="str">
        <x:v>Q2 2026</x:v>
      </x:c>
      <x:c r="H1201" s="11" t="str">
        <x:v>2026-08-19 结果公告；中报9月3日港交所，官网9月8日文件</x:v>
      </x:c>
      <x:c r="I1201" s="11" t="str">
        <x:v>https://ir.kuaishou.com/system/files-encrypted/nasdaq_kms/assets/2026/09/08/10-47-47/Interim%202026.pdf</x:v>
      </x:c>
      <x:c r="J1201" s="11" t="str">
        <x:v>reported input</x:v>
      </x:c>
      <x:c r="K1201" s="11" t="str">
        <x:v>待核</x:v>
      </x:c>
      <x:c r="L1201" s="11" t="str">
        <x:v>精确发布时间未核验</x:v>
      </x:c>
      <x:c r="M1201" s="11" t="str">
        <x:v>截止日前日期，盘中时分未核</x:v>
      </x:c>
    </x:row>
    <x:row r="1202" ht="23" customHeight="1">
      <x:c r="A1202" s="11" t="str">
        <x:v>I080</x:v>
      </x:c>
      <x:c r="B1202" s="11" t="str">
        <x:v>01024.HK</x:v>
      </x:c>
      <x:c r="C1202" s="11" t="str">
        <x:v>Q2OperatingProfitCNYmillion</x:v>
      </x:c>
      <x:c r="D1202" s="39" t="n">
        <x:v>3757</x:v>
      </x:c>
      <x:c r="E1202" s="11" t="str">
        <x:v>CNY</x:v>
      </x:c>
      <x:c r="F1202" s="11" t="str">
        <x:v>CNY million</x:v>
      </x:c>
      <x:c r="G1202" s="11" t="str">
        <x:v>Q2 2026</x:v>
      </x:c>
      <x:c r="H1202" s="11" t="str">
        <x:v>2026-08-19 结果公告；中报9月3日港交所，官网9月8日文件</x:v>
      </x:c>
      <x:c r="I1202" s="11" t="str">
        <x:v>https://ir.kuaishou.com/system/files-encrypted/nasdaq_kms/assets/2026/09/08/10-47-47/Interim%202026.pdf</x:v>
      </x:c>
      <x:c r="J1202" s="11" t="str">
        <x:v>reported input</x:v>
      </x:c>
      <x:c r="K1202" s="11" t="str">
        <x:v>待核</x:v>
      </x:c>
      <x:c r="L1202" s="11" t="str">
        <x:v>精确发布时间未核验</x:v>
      </x:c>
      <x:c r="M1202" s="11" t="str">
        <x:v>截止日前日期，盘中时分未核</x:v>
      </x:c>
    </x:row>
    <x:row r="1203" ht="23" customHeight="1">
      <x:c r="A1203" s="11" t="str">
        <x:v>I080</x:v>
      </x:c>
      <x:c r="B1203" s="11" t="str">
        <x:v>01024.HK</x:v>
      </x:c>
      <x:c r="C1203" s="11" t="str">
        <x:v>Q2GrossProfitCNYmillion</x:v>
      </x:c>
      <x:c r="D1203" s="39" t="n">
        <x:v>18328</x:v>
      </x:c>
      <x:c r="E1203" s="11" t="str">
        <x:v>CNY</x:v>
      </x:c>
      <x:c r="F1203" s="11" t="str">
        <x:v>CNY million</x:v>
      </x:c>
      <x:c r="G1203" s="11" t="str">
        <x:v>Q2 2026</x:v>
      </x:c>
      <x:c r="H1203" s="11" t="str">
        <x:v>2026-08-19 结果公告；中报9月3日港交所，官网9月8日文件</x:v>
      </x:c>
      <x:c r="I1203" s="11" t="str">
        <x:v>https://ir.kuaishou.com/system/files-encrypted/nasdaq_kms/assets/2026/09/08/10-47-47/Interim%202026.pdf</x:v>
      </x:c>
      <x:c r="J1203" s="11" t="str">
        <x:v>reported input</x:v>
      </x:c>
      <x:c r="K1203" s="11" t="str">
        <x:v>待核</x:v>
      </x:c>
      <x:c r="L1203" s="11" t="str">
        <x:v>精确发布时间未核验</x:v>
      </x:c>
      <x:c r="M1203" s="11" t="str">
        <x:v>截止日前日期，盘中时分未核</x:v>
      </x:c>
    </x:row>
    <x:row r="1204" ht="23" customHeight="1">
      <x:c r="A1204" s="11" t="str">
        <x:v>I080</x:v>
      </x:c>
      <x:c r="B1204" s="11" t="str">
        <x:v>01024.HK</x:v>
      </x:c>
      <x:c r="C1204" s="11" t="str">
        <x:v>Q2DilutedEPSCNY</x:v>
      </x:c>
      <x:c r="D1204" s="39" t="n">
        <x:v>0.72</x:v>
      </x:c>
      <x:c r="E1204" s="11" t="str">
        <x:v>CNY</x:v>
      </x:c>
      <x:c r="F1204" s="11" t="str">
        <x:v>CNY per ordinary share</x:v>
      </x:c>
      <x:c r="G1204" s="11" t="str">
        <x:v>Q2 2026</x:v>
      </x:c>
      <x:c r="H1204" s="11" t="str">
        <x:v>2026-08-19 结果公告；中报9月3日港交所，官网9月8日文件</x:v>
      </x:c>
      <x:c r="I1204" s="11" t="str">
        <x:v>https://ir.kuaishou.com/system/files-encrypted/nasdaq_kms/assets/2026/09/08/10-47-47/Interim%202026.pdf</x:v>
      </x:c>
      <x:c r="J1204" s="11" t="str">
        <x:v>reported input</x:v>
      </x:c>
      <x:c r="K1204" s="11" t="str">
        <x:v>待核</x:v>
      </x:c>
      <x:c r="L1204" s="11" t="str">
        <x:v>精确发布时间未核验</x:v>
      </x:c>
      <x:c r="M1204" s="11" t="str">
        <x:v>截止日前日期，盘中时分未核</x:v>
      </x:c>
    </x:row>
    <x:row r="1205" ht="23" customHeight="1">
      <x:c r="A1205" s="11" t="str">
        <x:v>I080</x:v>
      </x:c>
      <x:c r="B1205" s="11" t="str">
        <x:v>01024.HK</x:v>
      </x:c>
      <x:c r="C1205" s="11" t="str">
        <x:v>Q2WeightedDilutedSharesMillion</x:v>
      </x:c>
      <x:c r="D1205" s="39" t="n">
        <x:v>4374</x:v>
      </x:c>
      <x:c r="E1205" s="11" t="str">
        <x:v>not monetary</x:v>
      </x:c>
      <x:c r="F1205" s="11" t="str">
        <x:v>million ordinary shares</x:v>
      </x:c>
      <x:c r="G1205" s="11" t="str">
        <x:v>Q2 2026</x:v>
      </x:c>
      <x:c r="H1205" s="11" t="str">
        <x:v>2026-08-19 结果公告；中报9月3日港交所，官网9月8日文件</x:v>
      </x:c>
      <x:c r="I1205" s="11" t="str">
        <x:v>https://ir.kuaishou.com/system/files-encrypted/nasdaq_kms/assets/2026/09/08/10-47-47/Interim%202026.pdf</x:v>
      </x:c>
      <x:c r="J1205" s="11" t="str">
        <x:v>reported input</x:v>
      </x:c>
      <x:c r="K1205" s="11" t="str">
        <x:v>待核</x:v>
      </x:c>
      <x:c r="L1205" s="11" t="str">
        <x:v>精确发布时间未核验</x:v>
      </x:c>
      <x:c r="M1205" s="11" t="str">
        <x:v>截止日前日期，盘中时分未核</x:v>
      </x:c>
    </x:row>
    <x:row r="1206" ht="23" customHeight="1">
      <x:c r="A1206" s="11" t="str">
        <x:v>I080</x:v>
      </x:c>
      <x:c r="B1206" s="11" t="str">
        <x:v>01024.HK</x:v>
      </x:c>
      <x:c r="C1206" s="11" t="str">
        <x:v>Q2KlingRevenueCNYmillionLowerBound</x:v>
      </x:c>
      <x:c r="D1206" s="39" t="n">
        <x:v>850</x:v>
      </x:c>
      <x:c r="E1206" s="11" t="str">
        <x:v>CNY</x:v>
      </x:c>
      <x:c r="F1206" s="11" t="str">
        <x:v>CNY million</x:v>
      </x:c>
      <x:c r="G1206" s="11" t="str">
        <x:v>Q2 2026</x:v>
      </x:c>
      <x:c r="H1206" s="11" t="str">
        <x:v>2026-08-19 结果公告；中报9月3日港交所，官网9月8日文件</x:v>
      </x:c>
      <x:c r="I1206" s="11" t="str">
        <x:v>https://ir.kuaishou.com/system/files-encrypted/nasdaq_kms/assets/2026/09/08/10-47-47/Interim%202026.pdf</x:v>
      </x:c>
      <x:c r="J1206" s="11" t="str">
        <x:v>reported lower bound</x:v>
      </x:c>
      <x:c r="K1206" s="11" t="str">
        <x:v>待核</x:v>
      </x:c>
      <x:c r="L1206" s="11" t="str">
        <x:v>精确发布时间未核验</x:v>
      </x:c>
      <x:c r="M1206" s="11" t="str">
        <x:v>截止日前日期，盘中时分未核</x:v>
      </x:c>
    </x:row>
    <x:row r="1207" ht="23" customHeight="1">
      <x:c r="A1207" s="11" t="str">
        <x:v>I080</x:v>
      </x:c>
      <x:c r="B1207" s="11" t="str">
        <x:v>01024.HK</x:v>
      </x:c>
      <x:c r="C1207" s="11" t="str">
        <x:v>Q2DAUMillion</x:v>
      </x:c>
      <x:c r="D1207" s="39" t="n">
        <x:v>412.3</x:v>
      </x:c>
      <x:c r="E1207" s="11" t="str">
        <x:v>CNY</x:v>
      </x:c>
      <x:c r="F1207" s="11" t="str">
        <x:v>million accounts</x:v>
      </x:c>
      <x:c r="G1207" s="11" t="str">
        <x:v>Q2 2026</x:v>
      </x:c>
      <x:c r="H1207" s="11" t="str">
        <x:v>2026-08-19 结果公告；中报9月3日港交所，官网9月8日文件</x:v>
      </x:c>
      <x:c r="I1207" s="11" t="str">
        <x:v>https://ir.kuaishou.com/system/files-encrypted/nasdaq_kms/assets/2026/09/08/10-47-47/Interim%202026.pdf</x:v>
      </x:c>
      <x:c r="J1207" s="11" t="str">
        <x:v>reported input</x:v>
      </x:c>
      <x:c r="K1207" s="11" t="str">
        <x:v>待核</x:v>
      </x:c>
      <x:c r="L1207" s="11" t="str">
        <x:v>精确发布时间未核验</x:v>
      </x:c>
      <x:c r="M1207" s="11" t="str">
        <x:v>截止日前日期，盘中时分未核</x:v>
      </x:c>
    </x:row>
    <x:row r="1208" ht="23" customHeight="1">
      <x:c r="A1208" s="11" t="str">
        <x:v>I080</x:v>
      </x:c>
      <x:c r="B1208" s="11" t="str">
        <x:v>01024.HK</x:v>
      </x:c>
      <x:c r="C1208" s="11" t="str">
        <x:v>Q2MAUMillion</x:v>
      </x:c>
      <x:c r="D1208" s="39" t="n">
        <x:v>797.3</x:v>
      </x:c>
      <x:c r="E1208" s="11" t="str">
        <x:v>CNY</x:v>
      </x:c>
      <x:c r="F1208" s="11" t="str">
        <x:v>million accounts</x:v>
      </x:c>
      <x:c r="G1208" s="11" t="str">
        <x:v>Q2 2026</x:v>
      </x:c>
      <x:c r="H1208" s="11" t="str">
        <x:v>2026-08-19 结果公告；中报9月3日港交所，官网9月8日文件</x:v>
      </x:c>
      <x:c r="I1208" s="11" t="str">
        <x:v>https://ir.kuaishou.com/system/files-encrypted/nasdaq_kms/assets/2026/09/08/10-47-47/Interim%202026.pdf</x:v>
      </x:c>
      <x:c r="J1208" s="11" t="str">
        <x:v>reported input</x:v>
      </x:c>
      <x:c r="K1208" s="11" t="str">
        <x:v>待核</x:v>
      </x:c>
      <x:c r="L1208" s="11" t="str">
        <x:v>精确发布时间未核验</x:v>
      </x:c>
      <x:c r="M1208" s="11" t="str">
        <x:v>截止日前日期，盘中时分未核</x:v>
      </x:c>
    </x:row>
    <x:row r="1209" ht="23" customHeight="1">
      <x:c r="A1209" s="11" t="str">
        <x:v>I080</x:v>
      </x:c>
      <x:c r="B1209" s="11" t="str">
        <x:v>01024.HK</x:v>
      </x:c>
      <x:c r="C1209" s="11" t="str">
        <x:v>Q2AdRevenueCNYperDAU</x:v>
      </x:c>
      <x:c r="D1209" s="39" t="n">
        <x:v>50.1</x:v>
      </x:c>
      <x:c r="E1209" s="11" t="str">
        <x:v>CNY</x:v>
      </x:c>
      <x:c r="F1209" s="11" t="str">
        <x:v>CNY per DAU</x:v>
      </x:c>
      <x:c r="G1209" s="11" t="str">
        <x:v>Q2 2026</x:v>
      </x:c>
      <x:c r="H1209" s="11" t="str">
        <x:v>2026-08-19 结果公告；中报9月3日港交所，官网9月8日文件</x:v>
      </x:c>
      <x:c r="I1209" s="11" t="str">
        <x:v>https://ir.kuaishou.com/system/files-encrypted/nasdaq_kms/assets/2026/09/08/10-47-47/Interim%202026.pdf</x:v>
      </x:c>
      <x:c r="J1209" s="11" t="str">
        <x:v>reported input</x:v>
      </x:c>
      <x:c r="K1209" s="11" t="str">
        <x:v>待核</x:v>
      </x:c>
      <x:c r="L1209" s="11" t="str">
        <x:v>精确发布时间未核验</x:v>
      </x:c>
      <x:c r="M1209" s="11" t="str">
        <x:v>截止日前日期，盘中时分未核</x:v>
      </x:c>
    </x:row>
    <x:row r="1210" ht="23" customHeight="1">
      <x:c r="A1210" s="11" t="str">
        <x:v>I080</x:v>
      </x:c>
      <x:c r="B1210" s="11" t="str">
        <x:v>01024.HK</x:v>
      </x:c>
      <x:c r="C1210" s="11" t="str">
        <x:v>Q2OCFCNYmillion</x:v>
      </x:c>
      <x:c r="D1210" s="39" t="n">
        <x:v>5919</x:v>
      </x:c>
      <x:c r="E1210" s="11" t="str">
        <x:v>CNY</x:v>
      </x:c>
      <x:c r="F1210" s="11" t="str">
        <x:v>CNY million</x:v>
      </x:c>
      <x:c r="G1210" s="11" t="str">
        <x:v>Q2 2026</x:v>
      </x:c>
      <x:c r="H1210" s="11" t="str">
        <x:v>2026-08-19 结果公告；中报9月3日港交所，官网9月8日文件</x:v>
      </x:c>
      <x:c r="I1210" s="11" t="str">
        <x:v>https://ir.kuaishou.com/system/files-encrypted/nasdaq_kms/assets/2026/09/08/10-47-47/Interim%202026.pdf</x:v>
      </x:c>
      <x:c r="J1210" s="11" t="str">
        <x:v>reported input</x:v>
      </x:c>
      <x:c r="K1210" s="11" t="str">
        <x:v>待核</x:v>
      </x:c>
      <x:c r="L1210" s="11" t="str">
        <x:v>精确发布时间未核验</x:v>
      </x:c>
      <x:c r="M1210" s="11" t="str">
        <x:v>截止日前日期，盘中时分未核</x:v>
      </x:c>
    </x:row>
    <x:row r="1211" ht="23" customHeight="1">
      <x:c r="A1211" s="11" t="str">
        <x:v>I080</x:v>
      </x:c>
      <x:c r="B1211" s="11" t="str">
        <x:v>01024.HK</x:v>
      </x:c>
      <x:c r="C1211" s="11" t="str">
        <x:v>OCFCNYmillion</x:v>
      </x:c>
      <x:c r="D1211" s="39" t="n">
        <x:v>9044</x:v>
      </x:c>
      <x:c r="E1211" s="11" t="str">
        <x:v>CNY</x:v>
      </x:c>
      <x:c r="F1211" s="11" t="str">
        <x:v>CNY million</x:v>
      </x:c>
      <x:c r="G1211" s="11" t="str">
        <x:v>H1/Q2 2026</x:v>
      </x:c>
      <x:c r="H1211" s="11" t="str">
        <x:v>2026-08-19 结果公告；中报9月3日港交所，官网9月8日文件</x:v>
      </x:c>
      <x:c r="I1211" s="11" t="str">
        <x:v>https://ir.kuaishou.com/system/files-encrypted/nasdaq_kms/assets/2026/09/08/10-47-47/Interim%202026.pdf</x:v>
      </x:c>
      <x:c r="J1211" s="11" t="str">
        <x:v>reported input</x:v>
      </x:c>
      <x:c r="K1211" s="11" t="str">
        <x:v>待核</x:v>
      </x:c>
      <x:c r="L1211" s="11" t="str">
        <x:v>精确发布时间未核验</x:v>
      </x:c>
      <x:c r="M1211" s="11" t="str">
        <x:v>截止日前日期，盘中时分未核</x:v>
      </x:c>
    </x:row>
    <x:row r="1212" ht="23" customHeight="1">
      <x:c r="A1212" s="11" t="str">
        <x:v>I080</x:v>
      </x:c>
      <x:c r="B1212" s="11" t="str">
        <x:v>01024.HK</x:v>
      </x:c>
      <x:c r="C1212" s="11" t="str">
        <x:v>capitalPurchasePrepaymentCNYmillion</x:v>
      </x:c>
      <x:c r="D1212" s="39" t="n">
        <x:v>17941</x:v>
      </x:c>
      <x:c r="E1212" s="11" t="str">
        <x:v>CNY</x:v>
      </x:c>
      <x:c r="F1212" s="11" t="str">
        <x:v>CNY million</x:v>
      </x:c>
      <x:c r="G1212" s="11" t="str">
        <x:v>H1/Q2 2026</x:v>
      </x:c>
      <x:c r="H1212" s="11" t="str">
        <x:v>2026-08-19 结果公告；中报9月3日港交所，官网9月8日文件</x:v>
      </x:c>
      <x:c r="I1212" s="11" t="str">
        <x:v>https://ir.kuaishou.com/system/files-encrypted/nasdaq_kms/assets/2026/09/08/10-47-47/Interim%202026.pdf</x:v>
      </x:c>
      <x:c r="J1212" s="11" t="str">
        <x:v>reported input</x:v>
      </x:c>
      <x:c r="K1212" s="11" t="str">
        <x:v>待核</x:v>
      </x:c>
      <x:c r="L1212" s="11" t="str">
        <x:v>精确发布时间未核验</x:v>
      </x:c>
      <x:c r="M1212" s="11" t="str">
        <x:v>截止日前日期，盘中时分未核</x:v>
      </x:c>
    </x:row>
    <x:row r="1213" ht="23" customHeight="1">
      <x:c r="A1213" s="11" t="str">
        <x:v>I080</x:v>
      </x:c>
      <x:c r="B1213" s="11" t="str">
        <x:v>01024.HK</x:v>
      </x:c>
      <x:c r="C1213" s="11" t="str">
        <x:v>leasePrincipalInterestCashCNYmillion</x:v>
      </x:c>
      <x:c r="D1213" s="39" t="n">
        <x:v>1919</x:v>
      </x:c>
      <x:c r="E1213" s="11" t="str">
        <x:v>CNY</x:v>
      </x:c>
      <x:c r="F1213" s="11" t="str">
        <x:v>CNY million</x:v>
      </x:c>
      <x:c r="G1213" s="11" t="str">
        <x:v>H1/Q2 2026</x:v>
      </x:c>
      <x:c r="H1213" s="11" t="str">
        <x:v>2026-08-19 结果公告；中报9月3日港交所，官网9月8日文件</x:v>
      </x:c>
      <x:c r="I1213" s="11" t="str">
        <x:v>https://ir.kuaishou.com/system/files-encrypted/nasdaq_kms/assets/2026/09/08/10-47-47/Interim%202026.pdf</x:v>
      </x:c>
      <x:c r="J1213" s="11" t="str">
        <x:v>reported input</x:v>
      </x:c>
      <x:c r="K1213" s="11" t="str">
        <x:v>待核</x:v>
      </x:c>
      <x:c r="L1213" s="11" t="str">
        <x:v>精确发布时间未核验</x:v>
      </x:c>
      <x:c r="M1213" s="11" t="str">
        <x:v>截止日前日期，盘中时分未核</x:v>
      </x:c>
    </x:row>
    <x:row r="1214" ht="23" customHeight="1">
      <x:c r="A1214" s="11" t="str">
        <x:v>I080</x:v>
      </x:c>
      <x:c r="B1214" s="11" t="str">
        <x:v>01024.HK</x:v>
      </x:c>
      <x:c r="C1214" s="11" t="str">
        <x:v>FCFProxyAfterLeaseCNYmillion</x:v>
      </x:c>
      <x:c r="D1214" s="39" t="n">
        <x:v>-10816</x:v>
      </x:c>
      <x:c r="E1214" s="11" t="str">
        <x:v>CNY</x:v>
      </x:c>
      <x:c r="F1214" s="11" t="str">
        <x:v>CNY million</x:v>
      </x:c>
      <x:c r="G1214" s="11" t="str">
        <x:v>H1/Q2 2026</x:v>
      </x:c>
      <x:c r="H1214" s="11" t="str">
        <x:v>2026-08-19 结果公告；中报9月3日港交所，官网9月8日文件</x:v>
      </x:c>
      <x:c r="I1214" s="11" t="str">
        <x:v>https://ir.kuaishou.com/system/files-encrypted/nasdaq_kms/assets/2026/09/08/10-47-47/Interim%202026.pdf</x:v>
      </x:c>
      <x:c r="J1214" s="11" t="str">
        <x:v>research calculation</x:v>
      </x:c>
      <x:c r="K1214" s="11" t="str">
        <x:v>待核</x:v>
      </x:c>
      <x:c r="L1214" s="11" t="str">
        <x:v>精确发布时间未核验</x:v>
      </x:c>
      <x:c r="M1214" s="11" t="str">
        <x:v>截止日前日期，盘中时分未核</x:v>
      </x:c>
    </x:row>
    <x:row r="1215" ht="23" customHeight="1">
      <x:c r="A1215" s="11" t="str">
        <x:v>I080</x:v>
      </x:c>
      <x:c r="B1215" s="11" t="str">
        <x:v>01024.HK</x:v>
      </x:c>
      <x:c r="C1215" s="11" t="str">
        <x:v>SBCCNYmillion</x:v>
      </x:c>
      <x:c r="D1215" s="39" t="n">
        <x:v>1311</x:v>
      </x:c>
      <x:c r="E1215" s="11" t="str">
        <x:v>CNY</x:v>
      </x:c>
      <x:c r="F1215" s="11" t="str">
        <x:v>CNY million</x:v>
      </x:c>
      <x:c r="G1215" s="11" t="str">
        <x:v>H1/Q2 2026</x:v>
      </x:c>
      <x:c r="H1215" s="11" t="str">
        <x:v>2026-08-19 结果公告；中报9月3日港交所，官网9月8日文件</x:v>
      </x:c>
      <x:c r="I1215" s="11" t="str">
        <x:v>https://ir.kuaishou.com/system/files-encrypted/nasdaq_kms/assets/2026/09/08/10-47-47/Interim%202026.pdf</x:v>
      </x:c>
      <x:c r="J1215" s="11" t="str">
        <x:v>reported input</x:v>
      </x:c>
      <x:c r="K1215" s="11" t="str">
        <x:v>待核</x:v>
      </x:c>
      <x:c r="L1215" s="11" t="str">
        <x:v>精确发布时间未核验</x:v>
      </x:c>
      <x:c r="M1215" s="11" t="str">
        <x:v>截止日前日期，盘中时分未核</x:v>
      </x:c>
    </x:row>
    <x:row r="1216" ht="23" customHeight="1">
      <x:c r="A1216" s="11" t="str">
        <x:v>I080</x:v>
      </x:c>
      <x:c r="B1216" s="11" t="str">
        <x:v>01024.HK</x:v>
      </x:c>
      <x:c r="C1216" s="11" t="str">
        <x:v>cashCNYmillion</x:v>
      </x:c>
      <x:c r="D1216" s="39" t="n">
        <x:v>11696</x:v>
      </x:c>
      <x:c r="E1216" s="11" t="str">
        <x:v>CNY</x:v>
      </x:c>
      <x:c r="F1216" s="11" t="str">
        <x:v>CNY million</x:v>
      </x:c>
      <x:c r="G1216" s="11" t="str">
        <x:v>H1/Q2 2026</x:v>
      </x:c>
      <x:c r="H1216" s="11" t="str">
        <x:v>2026-08-19 结果公告；中报9月3日港交所，官网9月8日文件</x:v>
      </x:c>
      <x:c r="I1216" s="11" t="str">
        <x:v>https://ir.kuaishou.com/system/files-encrypted/nasdaq_kms/assets/2026/09/08/10-47-47/Interim%202026.pdf</x:v>
      </x:c>
      <x:c r="J1216" s="11" t="str">
        <x:v>reported input</x:v>
      </x:c>
      <x:c r="K1216" s="11" t="str">
        <x:v>待核</x:v>
      </x:c>
      <x:c r="L1216" s="11" t="str">
        <x:v>精确发布时间未核验</x:v>
      </x:c>
      <x:c r="M1216" s="11" t="str">
        <x:v>截止日前日期，盘中时分未核</x:v>
      </x:c>
    </x:row>
    <x:row r="1217" ht="23" customHeight="1">
      <x:c r="A1217" s="11" t="str">
        <x:v>I080</x:v>
      </x:c>
      <x:c r="B1217" s="11" t="str">
        <x:v>01024.HK</x:v>
      </x:c>
      <x:c r="C1217" s="11" t="str">
        <x:v>restrictedCashCNYmillion</x:v>
      </x:c>
      <x:c r="D1217" s="39" t="n">
        <x:v>220</x:v>
      </x:c>
      <x:c r="E1217" s="11" t="str">
        <x:v>CNY</x:v>
      </x:c>
      <x:c r="F1217" s="11" t="str">
        <x:v>CNY million</x:v>
      </x:c>
      <x:c r="G1217" s="11" t="str">
        <x:v>H1/Q2 2026</x:v>
      </x:c>
      <x:c r="H1217" s="11" t="str">
        <x:v>2026-08-19 结果公告；中报9月3日港交所，官网9月8日文件</x:v>
      </x:c>
      <x:c r="I1217" s="11" t="str">
        <x:v>https://ir.kuaishou.com/system/files-encrypted/nasdaq_kms/assets/2026/09/08/10-47-47/Interim%202026.pdf</x:v>
      </x:c>
      <x:c r="J1217" s="11" t="str">
        <x:v>reported input</x:v>
      </x:c>
      <x:c r="K1217" s="11" t="str">
        <x:v>待核</x:v>
      </x:c>
      <x:c r="L1217" s="11" t="str">
        <x:v>精确发布时间未核验</x:v>
      </x:c>
      <x:c r="M1217" s="11" t="str">
        <x:v>截止日前日期，盘中时分未核</x:v>
      </x:c>
    </x:row>
    <x:row r="1218" ht="23" customHeight="1">
      <x:c r="A1218" s="11" t="str">
        <x:v>I080</x:v>
      </x:c>
      <x:c r="B1218" s="11" t="str">
        <x:v>01024.HK</x:v>
      </x:c>
      <x:c r="C1218" s="11" t="str">
        <x:v>shortDepositsCNYmillion</x:v>
      </x:c>
      <x:c r="D1218" s="39" t="n">
        <x:v>12358</x:v>
      </x:c>
      <x:c r="E1218" s="11" t="str">
        <x:v>CNY</x:v>
      </x:c>
      <x:c r="F1218" s="11" t="str">
        <x:v>CNY million</x:v>
      </x:c>
      <x:c r="G1218" s="11" t="str">
        <x:v>H1/Q2 2026</x:v>
      </x:c>
      <x:c r="H1218" s="11" t="str">
        <x:v>2026-08-19 结果公告；中报9月3日港交所，官网9月8日文件</x:v>
      </x:c>
      <x:c r="I1218" s="11" t="str">
        <x:v>https://ir.kuaishou.com/system/files-encrypted/nasdaq_kms/assets/2026/09/08/10-47-47/Interim%202026.pdf</x:v>
      </x:c>
      <x:c r="J1218" s="11" t="str">
        <x:v>reported input</x:v>
      </x:c>
      <x:c r="K1218" s="11" t="str">
        <x:v>待核</x:v>
      </x:c>
      <x:c r="L1218" s="11" t="str">
        <x:v>精确发布时间未核验</x:v>
      </x:c>
      <x:c r="M1218" s="11" t="str">
        <x:v>截止日前日期，盘中时分未核</x:v>
      </x:c>
    </x:row>
    <x:row r="1219" ht="23" customHeight="1">
      <x:c r="A1219" s="11" t="str">
        <x:v>I080</x:v>
      </x:c>
      <x:c r="B1219" s="11" t="str">
        <x:v>01024.HK</x:v>
      </x:c>
      <x:c r="C1219" s="11" t="str">
        <x:v>longDepositsCNYmillion</x:v>
      </x:c>
      <x:c r="D1219" s="39" t="n">
        <x:v>14291</x:v>
      </x:c>
      <x:c r="E1219" s="11" t="str">
        <x:v>CNY</x:v>
      </x:c>
      <x:c r="F1219" s="11" t="str">
        <x:v>CNY million</x:v>
      </x:c>
      <x:c r="G1219" s="11" t="str">
        <x:v>H1/Q2 2026</x:v>
      </x:c>
      <x:c r="H1219" s="11" t="str">
        <x:v>2026-08-19 结果公告；中报9月3日港交所，官网9月8日文件</x:v>
      </x:c>
      <x:c r="I1219" s="11" t="str">
        <x:v>https://ir.kuaishou.com/system/files-encrypted/nasdaq_kms/assets/2026/09/08/10-47-47/Interim%202026.pdf</x:v>
      </x:c>
      <x:c r="J1219" s="11" t="str">
        <x:v>reported input</x:v>
      </x:c>
      <x:c r="K1219" s="11" t="str">
        <x:v>待核</x:v>
      </x:c>
      <x:c r="L1219" s="11" t="str">
        <x:v>精确发布时间未核验</x:v>
      </x:c>
      <x:c r="M1219" s="11" t="str">
        <x:v>截止日前日期，盘中时分未核</x:v>
      </x:c>
    </x:row>
    <x:row r="1220" ht="23" customHeight="1">
      <x:c r="A1220" s="11" t="str">
        <x:v>I080</x:v>
      </x:c>
      <x:c r="B1220" s="11" t="str">
        <x:v>01024.HK</x:v>
      </x:c>
      <x:c r="C1220" s="11" t="str">
        <x:v>currentFVTPL_CNYmillion</x:v>
      </x:c>
      <x:c r="D1220" s="39" t="n">
        <x:v>56353</x:v>
      </x:c>
      <x:c r="E1220" s="11" t="str">
        <x:v>CNY</x:v>
      </x:c>
      <x:c r="F1220" s="11" t="str">
        <x:v>CNY million</x:v>
      </x:c>
      <x:c r="G1220" s="11" t="str">
        <x:v>H1/Q2 2026</x:v>
      </x:c>
      <x:c r="H1220" s="11" t="str">
        <x:v>2026-08-19 结果公告；中报9月3日港交所，官网9月8日文件</x:v>
      </x:c>
      <x:c r="I1220" s="11" t="str">
        <x:v>https://ir.kuaishou.com/system/files-encrypted/nasdaq_kms/assets/2026/09/08/10-47-47/Interim%202026.pdf</x:v>
      </x:c>
      <x:c r="J1220" s="11" t="str">
        <x:v>reported input</x:v>
      </x:c>
      <x:c r="K1220" s="11" t="str">
        <x:v>待核</x:v>
      </x:c>
      <x:c r="L1220" s="11" t="str">
        <x:v>精确发布时间未核验</x:v>
      </x:c>
      <x:c r="M1220" s="11" t="str">
        <x:v>截止日前日期，盘中时分未核</x:v>
      </x:c>
    </x:row>
    <x:row r="1221" ht="23" customHeight="1">
      <x:c r="A1221" s="11" t="str">
        <x:v>I080</x:v>
      </x:c>
      <x:c r="B1221" s="11" t="str">
        <x:v>01024.HK</x:v>
      </x:c>
      <x:c r="C1221" s="11" t="str">
        <x:v>longFVTPL_CNYmillion</x:v>
      </x:c>
      <x:c r="D1221" s="39" t="n">
        <x:v>29618</x:v>
      </x:c>
      <x:c r="E1221" s="11" t="str">
        <x:v>CNY</x:v>
      </x:c>
      <x:c r="F1221" s="11" t="str">
        <x:v>CNY million</x:v>
      </x:c>
      <x:c r="G1221" s="11" t="str">
        <x:v>H1/Q2 2026</x:v>
      </x:c>
      <x:c r="H1221" s="11" t="str">
        <x:v>2026-08-19 结果公告；中报9月3日港交所，官网9月8日文件</x:v>
      </x:c>
      <x:c r="I1221" s="11" t="str">
        <x:v>https://ir.kuaishou.com/system/files-encrypted/nasdaq_kms/assets/2026/09/08/10-47-47/Interim%202026.pdf</x:v>
      </x:c>
      <x:c r="J1221" s="11" t="str">
        <x:v>reported input</x:v>
      </x:c>
      <x:c r="K1221" s="11" t="str">
        <x:v>待核</x:v>
      </x:c>
      <x:c r="L1221" s="11" t="str">
        <x:v>精确发布时间未核验</x:v>
      </x:c>
      <x:c r="M1221" s="11" t="str">
        <x:v>截止日前日期，盘中时分未核</x:v>
      </x:c>
    </x:row>
    <x:row r="1222" ht="23" customHeight="1">
      <x:c r="A1222" s="11" t="str">
        <x:v>I080</x:v>
      </x:c>
      <x:c r="B1222" s="11" t="str">
        <x:v>01024.HK</x:v>
      </x:c>
      <x:c r="C1222" s="11" t="str">
        <x:v>borrowingsCNYmillion</x:v>
      </x:c>
      <x:c r="D1222" s="39" t="n">
        <x:v>27362</x:v>
      </x:c>
      <x:c r="E1222" s="11" t="str">
        <x:v>CNY</x:v>
      </x:c>
      <x:c r="F1222" s="11" t="str">
        <x:v>CNY million</x:v>
      </x:c>
      <x:c r="G1222" s="11" t="str">
        <x:v>H1/Q2 2026</x:v>
      </x:c>
      <x:c r="H1222" s="11" t="str">
        <x:v>2026-08-19 结果公告；中报9月3日港交所，官网9月8日文件</x:v>
      </x:c>
      <x:c r="I1222" s="11" t="str">
        <x:v>https://ir.kuaishou.com/system/files-encrypted/nasdaq_kms/assets/2026/09/08/10-47-47/Interim%202026.pdf</x:v>
      </x:c>
      <x:c r="J1222" s="11" t="str">
        <x:v>reported input</x:v>
      </x:c>
      <x:c r="K1222" s="11" t="str">
        <x:v>待核</x:v>
      </x:c>
      <x:c r="L1222" s="11" t="str">
        <x:v>精确发布时间未核验</x:v>
      </x:c>
      <x:c r="M1222" s="11" t="str">
        <x:v>截止日前日期，盘中时分未核</x:v>
      </x:c>
    </x:row>
    <x:row r="1223" ht="23" customHeight="1">
      <x:c r="A1223" s="11" t="str">
        <x:v>I080</x:v>
      </x:c>
      <x:c r="B1223" s="11" t="str">
        <x:v>01024.HK</x:v>
      </x:c>
      <x:c r="C1223" s="11" t="str">
        <x:v>leaseLiabilitiesCNYmillion</x:v>
      </x:c>
      <x:c r="D1223" s="39" t="n">
        <x:v>11672</x:v>
      </x:c>
      <x:c r="E1223" s="11" t="str">
        <x:v>CNY</x:v>
      </x:c>
      <x:c r="F1223" s="11" t="str">
        <x:v>CNY million</x:v>
      </x:c>
      <x:c r="G1223" s="11" t="str">
        <x:v>H1/Q2 2026</x:v>
      </x:c>
      <x:c r="H1223" s="11" t="str">
        <x:v>2026-08-19 结果公告；中报9月3日港交所，官网9月8日文件</x:v>
      </x:c>
      <x:c r="I1223" s="11" t="str">
        <x:v>https://ir.kuaishou.com/system/files-encrypted/nasdaq_kms/assets/2026/09/08/10-47-47/Interim%202026.pdf</x:v>
      </x:c>
      <x:c r="J1223" s="11" t="str">
        <x:v>reported input</x:v>
      </x:c>
      <x:c r="K1223" s="11" t="str">
        <x:v>待核</x:v>
      </x:c>
      <x:c r="L1223" s="11" t="str">
        <x:v>精确发布时间未核验</x:v>
      </x:c>
      <x:c r="M1223" s="11" t="str">
        <x:v>截止日前日期，盘中时分未核</x:v>
      </x:c>
    </x:row>
    <x:row r="1224" ht="23" customHeight="1">
      <x:c r="A1224" s="11" t="str">
        <x:v>I080</x:v>
      </x:c>
      <x:c r="B1224" s="11" t="str">
        <x:v>01024.HK</x:v>
      </x:c>
      <x:c r="C1224" s="11" t="str">
        <x:v>dividendPayableCNYmillion</x:v>
      </x:c>
      <x:c r="D1224" s="39" t="n">
        <x:v>2584</x:v>
      </x:c>
      <x:c r="E1224" s="11" t="str">
        <x:v>CNY</x:v>
      </x:c>
      <x:c r="F1224" s="11" t="str">
        <x:v>CNY million</x:v>
      </x:c>
      <x:c r="G1224" s="11" t="str">
        <x:v>H1/Q2 2026</x:v>
      </x:c>
      <x:c r="H1224" s="11" t="str">
        <x:v>2026-08-19 结果公告；中报9月3日港交所，官网9月8日文件</x:v>
      </x:c>
      <x:c r="I1224" s="11" t="str">
        <x:v>https://ir.kuaishou.com/system/files-encrypted/nasdaq_kms/assets/2026/09/08/10-47-47/Interim%202026.pdf</x:v>
      </x:c>
      <x:c r="J1224" s="11" t="str">
        <x:v>reported input</x:v>
      </x:c>
      <x:c r="K1224" s="11" t="str">
        <x:v>待核</x:v>
      </x:c>
      <x:c r="L1224" s="11" t="str">
        <x:v>精确发布时间未核验</x:v>
      </x:c>
      <x:c r="M1224" s="11" t="str">
        <x:v>截止日前日期，盘中时分未核</x:v>
      </x:c>
    </x:row>
    <x:row r="1225" ht="23" customHeight="1">
      <x:c r="A1225" s="11" t="str">
        <x:v>I080</x:v>
      </x:c>
      <x:c r="B1225" s="11" t="str">
        <x:v>01024.HK</x:v>
      </x:c>
      <x:c r="C1225" s="11" t="str">
        <x:v>netAvailableFundsLessBorrowingsProxyCNYbillion</x:v>
      </x:c>
      <x:c r="D1225" s="39" t="n">
        <x:v>93.9</x:v>
      </x:c>
      <x:c r="E1225" s="11" t="str">
        <x:v>CNY</x:v>
      </x:c>
      <x:c r="F1225" s="11" t="str">
        <x:v>CNY billion</x:v>
      </x:c>
      <x:c r="G1225" s="11" t="str">
        <x:v>H1/Q2 2026</x:v>
      </x:c>
      <x:c r="H1225" s="11" t="str">
        <x:v>2026-08-19 结果公告；中报9月3日港交所，官网9月8日文件</x:v>
      </x:c>
      <x:c r="I1225" s="11" t="str">
        <x:v>https://ir.kuaishou.com/system/files-encrypted/nasdaq_kms/assets/2026/09/08/10-47-47/Interim%202026.pdf</x:v>
      </x:c>
      <x:c r="J1225" s="11" t="str">
        <x:v>research calculation</x:v>
      </x:c>
      <x:c r="K1225" s="11" t="str">
        <x:v>待核</x:v>
      </x:c>
      <x:c r="L1225" s="11" t="str">
        <x:v>精确发布时间未核验</x:v>
      </x:c>
      <x:c r="M1225" s="11" t="str">
        <x:v>截止日前日期，盘中时分未核</x:v>
      </x:c>
    </x:row>
    <x:row r="1226" ht="23" customHeight="1">
      <x:c r="A1226" s="11" t="str">
        <x:v>I080</x:v>
      </x:c>
      <x:c r="B1226" s="11" t="str">
        <x:v>01024.HK</x:v>
      </x:c>
      <x:c r="C1226" s="11" t="str">
        <x:v>managementAvailableFundsCNYbillion</x:v>
      </x:c>
      <x:c r="D1226" s="39" t="n">
        <x:v>121.3</x:v>
      </x:c>
      <x:c r="E1226" s="11" t="str">
        <x:v>CNY</x:v>
      </x:c>
      <x:c r="F1226" s="11" t="str">
        <x:v>CNY billion</x:v>
      </x:c>
      <x:c r="G1226" s="11" t="str">
        <x:v>H1/Q2 2026</x:v>
      </x:c>
      <x:c r="H1226" s="11" t="str">
        <x:v>2026-08-19 结果公告；中报9月3日港交所，官网9月8日文件</x:v>
      </x:c>
      <x:c r="I1226" s="11" t="str">
        <x:v>https://ir.kuaishou.com/system/files-encrypted/nasdaq_kms/assets/2026/09/08/10-47-47/Interim%202026.pdf</x:v>
      </x:c>
      <x:c r="J1226" s="11" t="str">
        <x:v>reported input</x:v>
      </x:c>
      <x:c r="K1226" s="11" t="str">
        <x:v>待核</x:v>
      </x:c>
      <x:c r="L1226" s="11" t="str">
        <x:v>精确发布时间未核验</x:v>
      </x:c>
      <x:c r="M1226" s="11" t="str">
        <x:v>截止日前日期，盘中时分未核</x:v>
      </x:c>
    </x:row>
    <x:row r="1227" ht="23" customHeight="1">
      <x:c r="A1227" s="11" t="str">
        <x:v>I080</x:v>
      </x:c>
      <x:c r="B1227" s="11" t="str">
        <x:v>01024.HK</x:v>
      </x:c>
      <x:c r="C1227" s="11" t="str">
        <x:v>Q2RDCNYmillion</x:v>
      </x:c>
      <x:c r="D1227" s="39" t="n">
        <x:v>4581</x:v>
      </x:c>
      <x:c r="E1227" s="11" t="str">
        <x:v>CNY</x:v>
      </x:c>
      <x:c r="F1227" s="11" t="str">
        <x:v>CNY million</x:v>
      </x:c>
      <x:c r="G1227" s="11" t="str">
        <x:v>Q2 2026</x:v>
      </x:c>
      <x:c r="H1227" s="11" t="str">
        <x:v>2026-08-19 结果公告；中报9月3日港交所，官网9月8日文件</x:v>
      </x:c>
      <x:c r="I1227" s="11" t="str">
        <x:v>https://ir.kuaishou.com/system/files-encrypted/nasdaq_kms/assets/2026/09/08/10-47-47/Interim%202026.pdf</x:v>
      </x:c>
      <x:c r="J1227" s="11" t="str">
        <x:v>reported input</x:v>
      </x:c>
      <x:c r="K1227" s="11" t="str">
        <x:v>待核</x:v>
      </x:c>
      <x:c r="L1227" s="11" t="str">
        <x:v>精确发布时间未核验</x:v>
      </x:c>
      <x:c r="M1227" s="11" t="str">
        <x:v>截止日前日期，盘中时分未核</x:v>
      </x:c>
    </x:row>
    <x:row r="1228" ht="23" customHeight="1">
      <x:c r="A1228" s="11" t="str">
        <x:v>I080</x:v>
      </x:c>
      <x:c r="B1228" s="11" t="str">
        <x:v>01024.HK</x:v>
      </x:c>
      <x:c r="C1228" s="11" t="str">
        <x:v>RDCNYmillion</x:v>
      </x:c>
      <x:c r="D1228" s="39" t="n">
        <x:v>8202</x:v>
      </x:c>
      <x:c r="E1228" s="11" t="str">
        <x:v>CNY</x:v>
      </x:c>
      <x:c r="F1228" s="11" t="str">
        <x:v>CNY million</x:v>
      </x:c>
      <x:c r="G1228" s="11" t="str">
        <x:v>H1/Q2 2026</x:v>
      </x:c>
      <x:c r="H1228" s="11" t="str">
        <x:v>2026-08-19 结果公告；中报9月3日港交所，官网9月8日文件</x:v>
      </x:c>
      <x:c r="I1228" s="11" t="str">
        <x:v>https://ir.kuaishou.com/system/files-encrypted/nasdaq_kms/assets/2026/09/08/10-47-47/Interim%202026.pdf</x:v>
      </x:c>
      <x:c r="J1228" s="11" t="str">
        <x:v>reported input</x:v>
      </x:c>
      <x:c r="K1228" s="11" t="str">
        <x:v>待核</x:v>
      </x:c>
      <x:c r="L1228" s="11" t="str">
        <x:v>精确发布时间未核验</x:v>
      </x:c>
      <x:c r="M1228" s="11" t="str">
        <x:v>截止日前日期，盘中时分未核</x:v>
      </x:c>
    </x:row>
    <x:row r="1229" ht="23" customHeight="1">
      <x:c r="A1229" s="11" t="str">
        <x:v>I080</x:v>
      </x:c>
      <x:c r="B1229" s="11" t="str">
        <x:v>01024.HK</x:v>
      </x:c>
      <x:c r="C1229" s="11" t="str">
        <x:v>ordinarySharesJune</x:v>
      </x:c>
      <x:c r="D1229" s="39" t="n">
        <x:v>4326907654</x:v>
      </x:c>
      <x:c r="E1229" s="11" t="str">
        <x:v>not monetary</x:v>
      </x:c>
      <x:c r="F1229" s="11" t="str">
        <x:v>ordinary shares</x:v>
      </x:c>
      <x:c r="G1229" s="11" t="str">
        <x:v>H1/Q2 2026</x:v>
      </x:c>
      <x:c r="H1229" s="11" t="str">
        <x:v>2026-08-19 结果公告；中报9月3日港交所，官网9月8日文件</x:v>
      </x:c>
      <x:c r="I1229" s="11" t="str">
        <x:v>https://ir.kuaishou.com/system/files-encrypted/nasdaq_kms/assets/2026/09/08/10-47-47/Interim%202026.pdf</x:v>
      </x:c>
      <x:c r="J1229" s="11" t="str">
        <x:v>reported input</x:v>
      </x:c>
      <x:c r="K1229" s="11" t="str">
        <x:v>待核</x:v>
      </x:c>
      <x:c r="L1229" s="11" t="str">
        <x:v>精确发布时间未核验</x:v>
      </x:c>
      <x:c r="M1229" s="11" t="str">
        <x:v>截止日前日期，盘中时分未核</x:v>
      </x:c>
    </x:row>
    <x:row r="1230" ht="23" customHeight="1">
      <x:c r="A1230" s="11" t="str">
        <x:v>I080</x:v>
      </x:c>
      <x:c r="B1230" s="11" t="str">
        <x:v>01024.HK</x:v>
      </x:c>
      <x:c r="C1230" s="11" t="str">
        <x:v>ordinarySharesSept</x:v>
      </x:c>
      <x:c r="D1230" s="39" t="n">
        <x:v>4304151598</x:v>
      </x:c>
      <x:c r="E1230" s="11" t="str">
        <x:v>not monetary</x:v>
      </x:c>
      <x:c r="F1230" s="11" t="str">
        <x:v>ordinary shares</x:v>
      </x:c>
      <x:c r="G1230" s="11" t="str">
        <x:v>2026-09-30</x:v>
      </x:c>
      <x:c r="H1230" s="11" t="str">
        <x:v>2026-10-07 20:35:24香港（公告目录时间转换），截至9月30日</x:v>
      </x:c>
      <x:c r="I1230" s="11" t="str">
        <x:v>https://ea-cdn.eurolandir.com/press-releases-attachments/4192236/HKEX-EPS_20261007_12365118_0.PDF</x:v>
      </x:c>
      <x:c r="J1230" s="11" t="str">
        <x:v>reported input</x:v>
      </x:c>
      <x:c r="K1230" s="11" t="str">
        <x:v>待核</x:v>
      </x:c>
      <x:c r="L1230" s="11" t="str">
        <x:v>精确发布时间未核验</x:v>
      </x:c>
      <x:c r="M1230" s="11" t="str">
        <x:v>截止日前日期，盘中时分未核</x:v>
      </x:c>
    </x:row>
    <x:row r="1231" ht="23" customHeight="1">
      <x:c r="A1231" s="11" t="str">
        <x:v>I080</x:v>
      </x:c>
      <x:c r="B1231" s="11" t="str">
        <x:v>01024.HK</x:v>
      </x:c>
      <x:c r="C1231" s="11" t="str">
        <x:v>classASharesSept</x:v>
      </x:c>
      <x:c r="D1231" s="39" t="n">
        <x:v>659348952</x:v>
      </x:c>
      <x:c r="E1231" s="11" t="str">
        <x:v>not monetary</x:v>
      </x:c>
      <x:c r="F1231" s="11" t="str">
        <x:v>ordinary shares</x:v>
      </x:c>
      <x:c r="G1231" s="11" t="str">
        <x:v>2026-09-30</x:v>
      </x:c>
      <x:c r="H1231" s="11" t="str">
        <x:v>2026-10-07 20:35:24香港（公告目录时间转换），截至9月30日</x:v>
      </x:c>
      <x:c r="I1231" s="11" t="str">
        <x:v>https://ea-cdn.eurolandir.com/press-releases-attachments/4192236/HKEX-EPS_20261007_12365118_0.PDF</x:v>
      </x:c>
      <x:c r="J1231" s="11" t="str">
        <x:v>reported input</x:v>
      </x:c>
      <x:c r="K1231" s="11" t="str">
        <x:v>待核</x:v>
      </x:c>
      <x:c r="L1231" s="11" t="str">
        <x:v>精确发布时间未核验</x:v>
      </x:c>
      <x:c r="M1231" s="11" t="str">
        <x:v>截止日前日期，盘中时分未核</x:v>
      </x:c>
    </x:row>
    <x:row r="1232" ht="23" customHeight="1">
      <x:c r="A1232" s="11" t="str">
        <x:v>I080</x:v>
      </x:c>
      <x:c r="B1232" s="11" t="str">
        <x:v>01024.HK</x:v>
      </x:c>
      <x:c r="C1232" s="11" t="str">
        <x:v>classBSharesSept</x:v>
      </x:c>
      <x:c r="D1232" s="39" t="n">
        <x:v>3644802646</x:v>
      </x:c>
      <x:c r="E1232" s="11" t="str">
        <x:v>not monetary</x:v>
      </x:c>
      <x:c r="F1232" s="11" t="str">
        <x:v>ordinary shares</x:v>
      </x:c>
      <x:c r="G1232" s="11" t="str">
        <x:v>2026-09-30</x:v>
      </x:c>
      <x:c r="H1232" s="11" t="str">
        <x:v>2026-10-07 20:35:24香港（公告目录时间转换），截至9月30日</x:v>
      </x:c>
      <x:c r="I1232" s="11" t="str">
        <x:v>https://ea-cdn.eurolandir.com/press-releases-attachments/4192236/HKEX-EPS_20261007_12365118_0.PDF</x:v>
      </x:c>
      <x:c r="J1232" s="11" t="str">
        <x:v>reported input</x:v>
      </x:c>
      <x:c r="K1232" s="11" t="str">
        <x:v>待核</x:v>
      </x:c>
      <x:c r="L1232" s="11" t="str">
        <x:v>精确发布时间未核验</x:v>
      </x:c>
      <x:c r="M1232" s="11" t="str">
        <x:v>截止日前日期，盘中时分未核</x:v>
      </x:c>
    </x:row>
    <x:row r="1233" ht="23" customHeight="1">
      <x:c r="A1233" s="11" t="str">
        <x:v>I080</x:v>
      </x:c>
      <x:c r="B1233" s="11" t="str">
        <x:v>01024.HK</x:v>
      </x:c>
      <x:c r="C1233" s="11" t="str">
        <x:v>treasurySharesSept</x:v>
      </x:c>
      <x:c r="D1233" s="39" t="n">
        <x:v>0</x:v>
      </x:c>
      <x:c r="E1233" s="11" t="str">
        <x:v>not monetary</x:v>
      </x:c>
      <x:c r="F1233" s="11" t="str">
        <x:v>ordinary shares</x:v>
      </x:c>
      <x:c r="G1233" s="11" t="str">
        <x:v>2026-09-30</x:v>
      </x:c>
      <x:c r="H1233" s="11" t="str">
        <x:v>2026-10-07 20:35:24香港（公告目录时间转换），截至9月30日</x:v>
      </x:c>
      <x:c r="I1233" s="11" t="str">
        <x:v>https://ea-cdn.eurolandir.com/press-releases-attachments/4192236/HKEX-EPS_20261007_12365118_0.PDF</x:v>
      </x:c>
      <x:c r="J1233" s="11" t="str">
        <x:v>reported input</x:v>
      </x:c>
      <x:c r="K1233" s="11" t="str">
        <x:v>待核</x:v>
      </x:c>
      <x:c r="L1233" s="11" t="str">
        <x:v>精确发布时间未核验</x:v>
      </x:c>
      <x:c r="M1233" s="11" t="str">
        <x:v>截止日前日期，盘中时分未核</x:v>
      </x:c>
    </x:row>
    <x:row r="1234" ht="23" customHeight="1">
      <x:c r="A1234" s="11" t="str">
        <x:v>I080</x:v>
      </x:c>
      <x:c r="B1234" s="11" t="str">
        <x:v>01024.HK</x:v>
      </x:c>
      <x:c r="C1234" s="11" t="str">
        <x:v>dividend2025AlreadyPaidHKDperOrdinaryShare</x:v>
      </x:c>
      <x:c r="D1234" s="39" t="n">
        <x:v>0.69</x:v>
      </x:c>
      <x:c r="E1234" s="11" t="str">
        <x:v>HKD</x:v>
      </x:c>
      <x:c r="F1234" s="11" t="str">
        <x:v>HKD per ordinary share</x:v>
      </x:c>
      <x:c r="G1234" s="11" t="str">
        <x:v>H1/Q2 2026</x:v>
      </x:c>
      <x:c r="H1234" s="11" t="str">
        <x:v>2026-08-19 结果公告；中报9月3日港交所，官网9月8日文件</x:v>
      </x:c>
      <x:c r="I1234" s="11" t="str">
        <x:v>https://ir.kuaishou.com/system/files-encrypted/nasdaq_kms/assets/2026/09/08/10-47-47/Interim%202026.pdf</x:v>
      </x:c>
      <x:c r="J1234" s="11" t="str">
        <x:v>reported input</x:v>
      </x:c>
      <x:c r="K1234" s="11" t="str">
        <x:v>待核</x:v>
      </x:c>
      <x:c r="L1234" s="11" t="str">
        <x:v>精确发布时间未核验</x:v>
      </x:c>
      <x:c r="M1234" s="11" t="str">
        <x:v>截止日前日期，盘中时分未核</x:v>
      </x:c>
    </x:row>
    <x:row r="1235" ht="23" customHeight="1">
      <x:c r="A1235" s="11" t="str">
        <x:v>I080</x:v>
      </x:c>
      <x:c r="B1235" s="11" t="str">
        <x:v>01024.HK</x:v>
      </x:c>
      <x:c r="C1235" s="11" t="str">
        <x:v>klingInitialCommitmentUSDmillion</x:v>
      </x:c>
      <x:c r="D1235" s="39" t="n">
        <x:v>2028.2</x:v>
      </x:c>
      <x:c r="E1235" s="11" t="str">
        <x:v>USD</x:v>
      </x:c>
      <x:c r="F1235" s="11" t="str">
        <x:v>USD million</x:v>
      </x:c>
      <x:c r="G1235" s="11" t="str">
        <x:v>H1/Q2 2026</x:v>
      </x:c>
      <x:c r="H1235" s="11" t="str">
        <x:v>2026-07-02收盘后</x:v>
      </x:c>
      <x:c r="I1235" s="11" t="str">
        <x:v>https://ea-cdn.eurolandir.com/press-releases-attachments/4150664/HKEX-EPS_20260702_12230299_0.PDF</x:v>
      </x:c>
      <x:c r="J1235" s="11" t="str">
        <x:v>reported input</x:v>
      </x:c>
      <x:c r="K1235" s="11" t="str">
        <x:v>待核</x:v>
      </x:c>
      <x:c r="L1235" s="11" t="str">
        <x:v>精确发布时间未核验</x:v>
      </x:c>
      <x:c r="M1235" s="11" t="str">
        <x:v>截止日前日期，盘中时分未核</x:v>
      </x:c>
    </x:row>
    <x:row r="1236" ht="23" customHeight="1">
      <x:c r="A1236" s="11" t="str">
        <x:v>I080</x:v>
      </x:c>
      <x:c r="B1236" s="11" t="str">
        <x:v>01024.HK</x:v>
      </x:c>
      <x:c r="C1236" s="11" t="str">
        <x:v>klingSameDayJoinderUSDmillion</x:v>
      </x:c>
      <x:c r="D1236" s="39" t="n">
        <x:v>766.39</x:v>
      </x:c>
      <x:c r="E1236" s="11" t="str">
        <x:v>USD</x:v>
      </x:c>
      <x:c r="F1236" s="11" t="str">
        <x:v>USD million</x:v>
      </x:c>
      <x:c r="G1236" s="11" t="str">
        <x:v>H1/Q2 2026</x:v>
      </x:c>
      <x:c r="H1236" s="11" t="str">
        <x:v>2026-07-02收盘后</x:v>
      </x:c>
      <x:c r="I1236" s="11" t="str">
        <x:v>https://ea-cdn.eurolandir.com/press-releases-attachments/4150664/HKEX-EPS_20260702_12230299_0.PDF</x:v>
      </x:c>
      <x:c r="J1236" s="11" t="str">
        <x:v>reported input</x:v>
      </x:c>
      <x:c r="K1236" s="11" t="str">
        <x:v>待核</x:v>
      </x:c>
      <x:c r="L1236" s="11" t="str">
        <x:v>精确发布时间未核验</x:v>
      </x:c>
      <x:c r="M1236" s="11" t="str">
        <x:v>截止日前日期，盘中时分未核</x:v>
      </x:c>
    </x:row>
    <x:row r="1237" ht="23" customHeight="1">
      <x:c r="A1237" s="11" t="str">
        <x:v>I080</x:v>
      </x:c>
      <x:c r="B1237" s="11" t="str">
        <x:v>01024.HK</x:v>
      </x:c>
      <x:c r="C1237" s="11" t="str">
        <x:v>klingSubscriptionLimitUSDmillion</x:v>
      </x:c>
      <x:c r="D1237" s="39" t="n">
        <x:v>3000</x:v>
      </x:c>
      <x:c r="E1237" s="11" t="str">
        <x:v>USD</x:v>
      </x:c>
      <x:c r="F1237" s="11" t="str">
        <x:v>USD million</x:v>
      </x:c>
      <x:c r="G1237" s="11" t="str">
        <x:v>H1/Q2 2026</x:v>
      </x:c>
      <x:c r="H1237" s="11" t="str">
        <x:v>2026-07-02收盘后</x:v>
      </x:c>
      <x:c r="I1237" s="11" t="str">
        <x:v>https://ea-cdn.eurolandir.com/press-releases-attachments/4150664/HKEX-EPS_20260702_12230299_0.PDF</x:v>
      </x:c>
      <x:c r="J1237" s="11" t="str">
        <x:v>reported input</x:v>
      </x:c>
      <x:c r="K1237" s="11" t="str">
        <x:v>待核</x:v>
      </x:c>
      <x:c r="L1237" s="11" t="str">
        <x:v>精确发布时间未核验</x:v>
      </x:c>
      <x:c r="M1237" s="11" t="str">
        <x:v>截止日前日期，盘中时分未核</x:v>
      </x:c>
    </x:row>
    <x:row r="1238" ht="23" customHeight="1">
      <x:c r="A1238" s="11" t="str">
        <x:v>I080</x:v>
      </x:c>
      <x:c r="B1238" s="11" t="str">
        <x:v>01024.HK</x:v>
      </x:c>
      <x:c r="C1238" s="11" t="str">
        <x:v>klingPreTransactionValueUSDmillion</x:v>
      </x:c>
      <x:c r="D1238" s="39" t="n">
        <x:v>15000</x:v>
      </x:c>
      <x:c r="E1238" s="11" t="str">
        <x:v>USD</x:v>
      </x:c>
      <x:c r="F1238" s="11" t="str">
        <x:v>USD million</x:v>
      </x:c>
      <x:c r="G1238" s="11" t="str">
        <x:v>H1/Q2 2026</x:v>
      </x:c>
      <x:c r="H1238" s="11" t="str">
        <x:v>2026-07-02收盘后</x:v>
      </x:c>
      <x:c r="I1238" s="11" t="str">
        <x:v>https://ea-cdn.eurolandir.com/press-releases-attachments/4150664/HKEX-EPS_20260702_12230299_0.PDF</x:v>
      </x:c>
      <x:c r="J1238" s="11" t="str">
        <x:v>reported input</x:v>
      </x:c>
      <x:c r="K1238" s="11" t="str">
        <x:v>待核</x:v>
      </x:c>
      <x:c r="L1238" s="11" t="str">
        <x:v>精确发布时间未核验</x:v>
      </x:c>
      <x:c r="M1238" s="11" t="str">
        <x:v>截止日前日期，盘中时分未核</x:v>
      </x:c>
    </x:row>
    <x:row r="1239" ht="23" customHeight="1">
      <x:c r="A1239" s="11" t="str">
        <x:v>I080</x:v>
      </x:c>
      <x:c r="B1239" s="11" t="str">
        <x:v>01024.HK</x:v>
      </x:c>
      <x:c r="C1239" s="11" t="str">
        <x:v>klingDilutionFullLimitAndSchemesPct</x:v>
      </x:c>
      <x:c r="D1239" s="39" t="n">
        <x:v>68.33</x:v>
      </x:c>
      <x:c r="E1239" s="11" t="str">
        <x:v>not monetary</x:v>
      </x:c>
      <x:c r="F1239" s="11" t="str">
        <x:v>percent</x:v>
      </x:c>
      <x:c r="G1239" s="11" t="str">
        <x:v>H1/Q2 2026</x:v>
      </x:c>
      <x:c r="H1239" s="11" t="str">
        <x:v>2026-07-02收盘后</x:v>
      </x:c>
      <x:c r="I1239" s="11" t="str">
        <x:v>https://ea-cdn.eurolandir.com/press-releases-attachments/4150664/HKEX-EPS_20260702_12230299_0.PDF</x:v>
      </x:c>
      <x:c r="J1239" s="11" t="str">
        <x:v>reported input</x:v>
      </x:c>
      <x:c r="K1239" s="11" t="str">
        <x:v>待核</x:v>
      </x:c>
      <x:c r="L1239" s="11" t="str">
        <x:v>精确发布时间未核验</x:v>
      </x:c>
      <x:c r="M1239" s="11" t="str">
        <x:v>截止日前日期，盘中时分未核</x:v>
      </x:c>
    </x:row>
    <x:row r="1240" ht="23" customHeight="1">
      <x:c r="A1240" s="11" t="str">
        <x:v>I080</x:v>
      </x:c>
      <x:c r="B1240" s="11" t="str">
        <x:v>01024.HK</x:v>
      </x:c>
      <x:c r="C1240" s="11" t="str">
        <x:v>klingSchemeLimitPct</x:v>
      </x:c>
      <x:c r="D1240" s="39" t="n">
        <x:v>15</x:v>
      </x:c>
      <x:c r="E1240" s="11" t="str">
        <x:v>not monetary</x:v>
      </x:c>
      <x:c r="F1240" s="11" t="str">
        <x:v>percent</x:v>
      </x:c>
      <x:c r="G1240" s="11" t="str">
        <x:v>H1/Q2 2026</x:v>
      </x:c>
      <x:c r="H1240" s="11" t="str">
        <x:v>2026-07-02收盘后</x:v>
      </x:c>
      <x:c r="I1240" s="11" t="str">
        <x:v>https://ea-cdn.eurolandir.com/press-releases-attachments/4150664/HKEX-EPS_20260702_12230299_0.PDF</x:v>
      </x:c>
      <x:c r="J1240" s="11" t="str">
        <x:v>reported input</x:v>
      </x:c>
      <x:c r="K1240" s="11" t="str">
        <x:v>待核</x:v>
      </x:c>
      <x:c r="L1240" s="11" t="str">
        <x:v>精确发布时间未核验</x:v>
      </x:c>
      <x:c r="M1240" s="11" t="str">
        <x:v>截止日前日期，盘中时分未核</x:v>
      </x:c>
    </x:row>
    <x:row r="1241" ht="23" customHeight="1">
      <x:c r="A1241" s="11" t="str">
        <x:v>I080</x:v>
      </x:c>
      <x:c r="B1241" s="11" t="str">
        <x:v>01024.HK</x:v>
      </x:c>
      <x:c r="C1241" s="11" t="str">
        <x:v>klingRedemptionSimpleAnnualRate</x:v>
      </x:c>
      <x:c r="D1241" s="39" t="n">
        <x:v>0.08</x:v>
      </x:c>
      <x:c r="E1241" s="11" t="str">
        <x:v>CNY</x:v>
      </x:c>
      <x:c r="F1241" s="11" t="str">
        <x:v>fraction</x:v>
      </x:c>
      <x:c r="G1241" s="11" t="str">
        <x:v>H1/Q2 2026</x:v>
      </x:c>
      <x:c r="H1241" s="11" t="str">
        <x:v>2026-07-02收盘后</x:v>
      </x:c>
      <x:c r="I1241" s="11" t="str">
        <x:v>https://ea-cdn.eurolandir.com/press-releases-attachments/4150664/HKEX-EPS_20260702_12230299_0.PDF</x:v>
      </x:c>
      <x:c r="J1241" s="11" t="str">
        <x:v>reported input</x:v>
      </x:c>
      <x:c r="K1241" s="11" t="str">
        <x:v>待核</x:v>
      </x:c>
      <x:c r="L1241" s="11" t="str">
        <x:v>精确发布时间未核验</x:v>
      </x:c>
      <x:c r="M1241" s="11" t="str">
        <x:v>截止日前日期，盘中时分未核</x:v>
      </x:c>
    </x:row>
    <x:row r="1242" ht="23" customHeight="1">
      <x:c r="A1242" s="11" t="str">
        <x:v>I065</x:v>
      </x:c>
      <x:c r="B1242" s="11" t="str">
        <x:v>00992.HK</x:v>
      </x:c>
      <x:c r="C1242" s="11" t="str">
        <x:v>revenueUSDmillion</x:v>
      </x:c>
      <x:c r="D1242" s="39" t="n">
        <x:v>83074.555</x:v>
      </x:c>
      <x:c r="E1242" s="11" t="str">
        <x:v>USD</x:v>
      </x:c>
      <x:c r="F1242" s="11" t="str">
        <x:v>million</x:v>
      </x:c>
      <x:c r="G1242" s="11" t="str">
        <x:v>FY2025/26 ended2026-03-31</x:v>
      </x:c>
      <x:c r="H1242" s="11" t="str">
        <x:v>2026-05-22业绩与审计签署；年报具体上传时分未核验</x:v>
      </x:c>
      <x:c r="I1242" s="11" t="str">
        <x:v>https://doc.irasia.com/listco/hk/lenovo/annual/2026/ar2026.pdf</x:v>
      </x:c>
      <x:c r="J1242" s="11" t="str"/>
      <x:c r="K1242" s="11" t="str">
        <x:v>待核</x:v>
      </x:c>
      <x:c r="L1242" s="11" t="str">
        <x:v>精确发布时间未核验</x:v>
      </x:c>
      <x:c r="M1242" s="11" t="str">
        <x:v>截止日前日期，盘中时分未核</x:v>
      </x:c>
    </x:row>
    <x:row r="1243" ht="23" customHeight="1">
      <x:c r="A1243" s="11" t="str">
        <x:v>I065</x:v>
      </x:c>
      <x:c r="B1243" s="11" t="str">
        <x:v>00992.HK</x:v>
      </x:c>
      <x:c r="C1243" s="11" t="str">
        <x:v>revenue2025USDmillion</x:v>
      </x:c>
      <x:c r="D1243" s="39" t="n">
        <x:v>69076.968</x:v>
      </x:c>
      <x:c r="E1243" s="11" t="str">
        <x:v>USD</x:v>
      </x:c>
      <x:c r="F1243" s="11" t="str">
        <x:v>million</x:v>
      </x:c>
      <x:c r="G1243" s="11" t="str">
        <x:v>FY2025</x:v>
      </x:c>
      <x:c r="H1243" s="11" t="str">
        <x:v>2026-05-22业绩与审计签署；年报具体上传时分未核验</x:v>
      </x:c>
      <x:c r="I1243" s="11" t="str">
        <x:v>https://doc.irasia.com/listco/hk/lenovo/annual/2026/ar2026.pdf</x:v>
      </x:c>
      <x:c r="J1243" s="11" t="str"/>
      <x:c r="K1243" s="11" t="str">
        <x:v>待核</x:v>
      </x:c>
      <x:c r="L1243" s="11" t="str">
        <x:v>精确发布时间未核验</x:v>
      </x:c>
      <x:c r="M1243" s="11" t="str">
        <x:v>截止日前日期，盘中时分未核</x:v>
      </x:c>
    </x:row>
    <x:row r="1244" ht="23" customHeight="1">
      <x:c r="A1244" s="11" t="str">
        <x:v>I065</x:v>
      </x:c>
      <x:c r="B1244" s="11" t="str">
        <x:v>00992.HK</x:v>
      </x:c>
      <x:c r="C1244" s="11" t="str">
        <x:v>revenue2024USDmillion</x:v>
      </x:c>
      <x:c r="D1244" s="39" t="n">
        <x:v>56863.784</x:v>
      </x:c>
      <x:c r="E1244" s="11" t="str">
        <x:v>USD</x:v>
      </x:c>
      <x:c r="F1244" s="11" t="str">
        <x:v>million</x:v>
      </x:c>
      <x:c r="G1244" s="11" t="str">
        <x:v>FY2024</x:v>
      </x:c>
      <x:c r="H1244" s="11" t="str">
        <x:v>2026-05-22业绩与审计签署；年报具体上传时分未核验</x:v>
      </x:c>
      <x:c r="I1244" s="11" t="str">
        <x:v>https://doc.irasia.com/listco/hk/lenovo/annual/2026/ar2026.pdf</x:v>
      </x:c>
      <x:c r="J1244" s="11" t="str"/>
      <x:c r="K1244" s="11" t="str">
        <x:v>待核</x:v>
      </x:c>
      <x:c r="L1244" s="11" t="str">
        <x:v>精确发布时间未核验</x:v>
      </x:c>
      <x:c r="M1244" s="11" t="str">
        <x:v>截止日前日期，盘中时分未核</x:v>
      </x:c>
    </x:row>
    <x:row r="1245" ht="23" customHeight="1">
      <x:c r="A1245" s="11" t="str">
        <x:v>I065</x:v>
      </x:c>
      <x:c r="B1245" s="11" t="str">
        <x:v>00992.HK</x:v>
      </x:c>
      <x:c r="C1245" s="11" t="str">
        <x:v>revenue2023USDmillion</x:v>
      </x:c>
      <x:c r="D1245" s="39" t="n">
        <x:v>61946.854</x:v>
      </x:c>
      <x:c r="E1245" s="11" t="str">
        <x:v>USD</x:v>
      </x:c>
      <x:c r="F1245" s="11" t="str">
        <x:v>million</x:v>
      </x:c>
      <x:c r="G1245" s="11" t="str">
        <x:v>FY2023</x:v>
      </x:c>
      <x:c r="H1245" s="11" t="str">
        <x:v>2026-05-22业绩与审计签署；年报具体上传时分未核验</x:v>
      </x:c>
      <x:c r="I1245" s="11" t="str">
        <x:v>https://doc.irasia.com/listco/hk/lenovo/annual/2026/ar2026.pdf</x:v>
      </x:c>
      <x:c r="J1245" s="11" t="str"/>
      <x:c r="K1245" s="11" t="str">
        <x:v>待核</x:v>
      </x:c>
      <x:c r="L1245" s="11" t="str">
        <x:v>精确发布时间未核验</x:v>
      </x:c>
      <x:c r="M1245" s="11" t="str">
        <x:v>截止日前日期，盘中时分未核</x:v>
      </x:c>
    </x:row>
    <x:row r="1246" ht="23" customHeight="1">
      <x:c r="A1246" s="11" t="str">
        <x:v>I065</x:v>
      </x:c>
      <x:c r="B1246" s="11" t="str">
        <x:v>00992.HK</x:v>
      </x:c>
      <x:c r="C1246" s="11" t="str">
        <x:v>profitAttributableUSDmillion</x:v>
      </x:c>
      <x:c r="D1246" s="39" t="n">
        <x:v>1911.951</x:v>
      </x:c>
      <x:c r="E1246" s="11" t="str">
        <x:v>USD</x:v>
      </x:c>
      <x:c r="F1246" s="11" t="str">
        <x:v>million</x:v>
      </x:c>
      <x:c r="G1246" s="11" t="str">
        <x:v>FY2025/26 ended2026-03-31</x:v>
      </x:c>
      <x:c r="H1246" s="11" t="str">
        <x:v>2026-05-22业绩与审计签署；年报具体上传时分未核验</x:v>
      </x:c>
      <x:c r="I1246" s="11" t="str">
        <x:v>https://doc.irasia.com/listco/hk/lenovo/annual/2026/ar2026.pdf</x:v>
      </x:c>
      <x:c r="J1246" s="11" t="str"/>
      <x:c r="K1246" s="11" t="str">
        <x:v>待核</x:v>
      </x:c>
      <x:c r="L1246" s="11" t="str">
        <x:v>精确发布时间未核验</x:v>
      </x:c>
      <x:c r="M1246" s="11" t="str">
        <x:v>截止日前日期，盘中时分未核</x:v>
      </x:c>
    </x:row>
    <x:row r="1247" ht="23" customHeight="1">
      <x:c r="A1247" s="11" t="str">
        <x:v>I065</x:v>
      </x:c>
      <x:c r="B1247" s="11" t="str">
        <x:v>00992.HK</x:v>
      </x:c>
      <x:c r="C1247" s="11" t="str">
        <x:v>profitAttributable2025USDmillion</x:v>
      </x:c>
      <x:c r="D1247" s="39" t="n">
        <x:v>1384.445</x:v>
      </x:c>
      <x:c r="E1247" s="11" t="str">
        <x:v>USD</x:v>
      </x:c>
      <x:c r="F1247" s="11" t="str">
        <x:v>million</x:v>
      </x:c>
      <x:c r="G1247" s="11" t="str">
        <x:v>FY2025</x:v>
      </x:c>
      <x:c r="H1247" s="11" t="str">
        <x:v>2026-05-22业绩与审计签署；年报具体上传时分未核验</x:v>
      </x:c>
      <x:c r="I1247" s="11" t="str">
        <x:v>https://doc.irasia.com/listco/hk/lenovo/annual/2026/ar2026.pdf</x:v>
      </x:c>
      <x:c r="J1247" s="11" t="str"/>
      <x:c r="K1247" s="11" t="str">
        <x:v>待核</x:v>
      </x:c>
      <x:c r="L1247" s="11" t="str">
        <x:v>精确发布时间未核验</x:v>
      </x:c>
      <x:c r="M1247" s="11" t="str">
        <x:v>截止日前日期，盘中时分未核</x:v>
      </x:c>
    </x:row>
    <x:row r="1248" ht="23" customHeight="1">
      <x:c r="A1248" s="11" t="str">
        <x:v>I065</x:v>
      </x:c>
      <x:c r="B1248" s="11" t="str">
        <x:v>00992.HK</x:v>
      </x:c>
      <x:c r="C1248" s="11" t="str">
        <x:v>profitAttributable2024USDmillion</x:v>
      </x:c>
      <x:c r="D1248" s="39" t="n">
        <x:v>1010.506</x:v>
      </x:c>
      <x:c r="E1248" s="11" t="str">
        <x:v>USD</x:v>
      </x:c>
      <x:c r="F1248" s="11" t="str">
        <x:v>million</x:v>
      </x:c>
      <x:c r="G1248" s="11" t="str">
        <x:v>FY2024</x:v>
      </x:c>
      <x:c r="H1248" s="11" t="str">
        <x:v>2026-05-22业绩与审计签署；年报具体上传时分未核验</x:v>
      </x:c>
      <x:c r="I1248" s="11" t="str">
        <x:v>https://doc.irasia.com/listco/hk/lenovo/annual/2026/ar2026.pdf</x:v>
      </x:c>
      <x:c r="J1248" s="11" t="str"/>
      <x:c r="K1248" s="11" t="str">
        <x:v>待核</x:v>
      </x:c>
      <x:c r="L1248" s="11" t="str">
        <x:v>精确发布时间未核验</x:v>
      </x:c>
      <x:c r="M1248" s="11" t="str">
        <x:v>截止日前日期，盘中时分未核</x:v>
      </x:c>
    </x:row>
    <x:row r="1249" ht="23" customHeight="1">
      <x:c r="A1249" s="11" t="str">
        <x:v>I065</x:v>
      </x:c>
      <x:c r="B1249" s="11" t="str">
        <x:v>00992.HK</x:v>
      </x:c>
      <x:c r="C1249" s="11" t="str">
        <x:v>profitAttributable2023USDmillion</x:v>
      </x:c>
      <x:c r="D1249" s="39" t="n">
        <x:v>1607.722</x:v>
      </x:c>
      <x:c r="E1249" s="11" t="str">
        <x:v>USD</x:v>
      </x:c>
      <x:c r="F1249" s="11" t="str">
        <x:v>million</x:v>
      </x:c>
      <x:c r="G1249" s="11" t="str">
        <x:v>FY2023</x:v>
      </x:c>
      <x:c r="H1249" s="11" t="str">
        <x:v>2026-05-22业绩与审计签署；年报具体上传时分未核验</x:v>
      </x:c>
      <x:c r="I1249" s="11" t="str">
        <x:v>https://doc.irasia.com/listco/hk/lenovo/annual/2026/ar2026.pdf</x:v>
      </x:c>
      <x:c r="J1249" s="11" t="str"/>
      <x:c r="K1249" s="11" t="str">
        <x:v>待核</x:v>
      </x:c>
      <x:c r="L1249" s="11" t="str">
        <x:v>精确发布时间未核验</x:v>
      </x:c>
      <x:c r="M1249" s="11" t="str">
        <x:v>截止日前日期，盘中时分未核</x:v>
      </x:c>
    </x:row>
    <x:row r="1250" ht="23" customHeight="1">
      <x:c r="A1250" s="11" t="str">
        <x:v>I065</x:v>
      </x:c>
      <x:c r="B1250" s="11" t="str">
        <x:v>00992.HK</x:v>
      </x:c>
      <x:c r="C1250" s="11" t="str">
        <x:v>dilutedEPSUSD</x:v>
      </x:c>
      <x:c r="D1250" s="39" t="n">
        <x:v>0.1391</x:v>
      </x:c>
      <x:c r="E1250" s="11" t="str">
        <x:v>USD</x:v>
      </x:c>
      <x:c r="F1250" s="11" t="str">
        <x:v>per ordinary share</x:v>
      </x:c>
      <x:c r="G1250" s="11" t="str">
        <x:v>FY2025/26 ended2026-03-31</x:v>
      </x:c>
      <x:c r="H1250" s="11" t="str">
        <x:v>2026-05-22业绩与审计签署；年报具体上传时分未核验</x:v>
      </x:c>
      <x:c r="I1250" s="11" t="str">
        <x:v>https://doc.irasia.com/listco/hk/lenovo/annual/2026/ar2026.pdf</x:v>
      </x:c>
      <x:c r="J1250" s="11" t="str"/>
      <x:c r="K1250" s="11" t="str">
        <x:v>待核</x:v>
      </x:c>
      <x:c r="L1250" s="11" t="str">
        <x:v>精确发布时间未核验</x:v>
      </x:c>
      <x:c r="M1250" s="11" t="str">
        <x:v>截止日前日期，盘中时分未核</x:v>
      </x:c>
    </x:row>
    <x:row r="1251" ht="23" customHeight="1">
      <x:c r="A1251" s="11" t="str">
        <x:v>I065</x:v>
      </x:c>
      <x:c r="B1251" s="11" t="str">
        <x:v>00992.HK</x:v>
      </x:c>
      <x:c r="C1251" s="11" t="str">
        <x:v>dilutedEPS2025USD</x:v>
      </x:c>
      <x:c r="D1251" s="39" t="n">
        <x:v>0.1062</x:v>
      </x:c>
      <x:c r="E1251" s="11" t="str">
        <x:v>USD</x:v>
      </x:c>
      <x:c r="F1251" s="11" t="str">
        <x:v>per ordinary share</x:v>
      </x:c>
      <x:c r="G1251" s="11" t="str">
        <x:v>FY2025</x:v>
      </x:c>
      <x:c r="H1251" s="11" t="str">
        <x:v>2026-05-22业绩与审计签署；年报具体上传时分未核验</x:v>
      </x:c>
      <x:c r="I1251" s="11" t="str">
        <x:v>https://doc.irasia.com/listco/hk/lenovo/annual/2026/ar2026.pdf</x:v>
      </x:c>
      <x:c r="J1251" s="11" t="str"/>
      <x:c r="K1251" s="11" t="str">
        <x:v>待核</x:v>
      </x:c>
      <x:c r="L1251" s="11" t="str">
        <x:v>精确发布时间未核验</x:v>
      </x:c>
      <x:c r="M1251" s="11" t="str">
        <x:v>截止日前日期，盘中时分未核</x:v>
      </x:c>
    </x:row>
    <x:row r="1252" ht="23" customHeight="1">
      <x:c r="A1252" s="11" t="str">
        <x:v>I065</x:v>
      </x:c>
      <x:c r="B1252" s="11" t="str">
        <x:v>00992.HK</x:v>
      </x:c>
      <x:c r="C1252" s="11" t="str">
        <x:v>dilutedEPS2024USD</x:v>
      </x:c>
      <x:c r="D1252" s="39" t="n">
        <x:v>0.0805</x:v>
      </x:c>
      <x:c r="E1252" s="11" t="str">
        <x:v>USD</x:v>
      </x:c>
      <x:c r="F1252" s="11" t="str">
        <x:v>per ordinary share</x:v>
      </x:c>
      <x:c r="G1252" s="11" t="str">
        <x:v>FY2024</x:v>
      </x:c>
      <x:c r="H1252" s="11" t="str">
        <x:v>2026-05-22业绩与审计签署；年报具体上传时分未核验</x:v>
      </x:c>
      <x:c r="I1252" s="11" t="str">
        <x:v>https://doc.irasia.com/listco/hk/lenovo/annual/2026/ar2026.pdf</x:v>
      </x:c>
      <x:c r="J1252" s="11" t="str"/>
      <x:c r="K1252" s="11" t="str">
        <x:v>待核</x:v>
      </x:c>
      <x:c r="L1252" s="11" t="str">
        <x:v>精确发布时间未核验</x:v>
      </x:c>
      <x:c r="M1252" s="11" t="str">
        <x:v>截止日前日期，盘中时分未核</x:v>
      </x:c>
    </x:row>
    <x:row r="1253" ht="23" customHeight="1">
      <x:c r="A1253" s="11" t="str">
        <x:v>I065</x:v>
      </x:c>
      <x:c r="B1253" s="11" t="str">
        <x:v>00992.HK</x:v>
      </x:c>
      <x:c r="C1253" s="11" t="str">
        <x:v>adjustedProfitAttributableUSDmillion</x:v>
      </x:c>
      <x:c r="D1253" s="39" t="n">
        <x:v>2049</x:v>
      </x:c>
      <x:c r="E1253" s="11" t="str">
        <x:v>USD</x:v>
      </x:c>
      <x:c r="F1253" s="11" t="str">
        <x:v>million</x:v>
      </x:c>
      <x:c r="G1253" s="11" t="str">
        <x:v>FY2025/26 ended2026-03-31</x:v>
      </x:c>
      <x:c r="H1253" s="11" t="str">
        <x:v>2026-05-22业绩与审计签署；年报具体上传时分未核验</x:v>
      </x:c>
      <x:c r="I1253" s="11" t="str">
        <x:v>https://doc.irasia.com/listco/hk/lenovo/annual/2026/ar2026.pdf</x:v>
      </x:c>
      <x:c r="J1253" s="11" t="str"/>
      <x:c r="K1253" s="11" t="str">
        <x:v>待核</x:v>
      </x:c>
      <x:c r="L1253" s="11" t="str">
        <x:v>精确发布时间未核验</x:v>
      </x:c>
      <x:c r="M1253" s="11" t="str">
        <x:v>截止日前日期，盘中时分未核</x:v>
      </x:c>
    </x:row>
    <x:row r="1254" ht="23" customHeight="1">
      <x:c r="A1254" s="11" t="str">
        <x:v>I065</x:v>
      </x:c>
      <x:c r="B1254" s="11" t="str">
        <x:v>00992.HK</x:v>
      </x:c>
      <x:c r="C1254" s="11" t="str">
        <x:v>operatingProfitUSDmillion</x:v>
      </x:c>
      <x:c r="D1254" s="39" t="n">
        <x:v>3262</x:v>
      </x:c>
      <x:c r="E1254" s="11" t="str">
        <x:v>USD</x:v>
      </x:c>
      <x:c r="F1254" s="11" t="str">
        <x:v>million</x:v>
      </x:c>
      <x:c r="G1254" s="11" t="str">
        <x:v>FY2025/26 ended2026-03-31</x:v>
      </x:c>
      <x:c r="H1254" s="11" t="str">
        <x:v>2026-05-22业绩与审计签署；年报具体上传时分未核验</x:v>
      </x:c>
      <x:c r="I1254" s="11" t="str">
        <x:v>https://doc.irasia.com/listco/hk/lenovo/annual/2026/ar2026.pdf</x:v>
      </x:c>
      <x:c r="J1254" s="11" t="str"/>
      <x:c r="K1254" s="11" t="str">
        <x:v>待核</x:v>
      </x:c>
      <x:c r="L1254" s="11" t="str">
        <x:v>精确发布时间未核验</x:v>
      </x:c>
      <x:c r="M1254" s="11" t="str">
        <x:v>截止日前日期，盘中时分未核</x:v>
      </x:c>
    </x:row>
    <x:row r="1255" ht="23" customHeight="1">
      <x:c r="A1255" s="11" t="str">
        <x:v>I065</x:v>
      </x:c>
      <x:c r="B1255" s="11" t="str">
        <x:v>00992.HK</x:v>
      </x:c>
      <x:c r="C1255" s="11" t="str">
        <x:v>adjustedOperatingProfitUSDmillion</x:v>
      </x:c>
      <x:c r="D1255" s="39" t="n">
        <x:v>3125</x:v>
      </x:c>
      <x:c r="E1255" s="11" t="str">
        <x:v>USD</x:v>
      </x:c>
      <x:c r="F1255" s="11" t="str">
        <x:v>million</x:v>
      </x:c>
      <x:c r="G1255" s="11" t="str">
        <x:v>FY2025/26 ended2026-03-31</x:v>
      </x:c>
      <x:c r="H1255" s="11" t="str">
        <x:v>2026-05-22业绩与审计签署；年报具体上传时分未核验</x:v>
      </x:c>
      <x:c r="I1255" s="11" t="str">
        <x:v>https://doc.irasia.com/listco/hk/lenovo/annual/2026/ar2026.pdf</x:v>
      </x:c>
      <x:c r="J1255" s="11" t="str"/>
      <x:c r="K1255" s="11" t="str">
        <x:v>待核</x:v>
      </x:c>
      <x:c r="L1255" s="11" t="str">
        <x:v>精确发布时间未核验</x:v>
      </x:c>
      <x:c r="M1255" s="11" t="str">
        <x:v>截止日前日期，盘中时分未核</x:v>
      </x:c>
    </x:row>
    <x:row r="1256" ht="23" customHeight="1">
      <x:c r="A1256" s="11" t="str">
        <x:v>I065</x:v>
      </x:c>
      <x:c r="B1256" s="11" t="str">
        <x:v>00992.HK</x:v>
      </x:c>
      <x:c r="C1256" s="11" t="str">
        <x:v>OCFUSDmillion</x:v>
      </x:c>
      <x:c r="D1256" s="39" t="n">
        <x:v>4023.705</x:v>
      </x:c>
      <x:c r="E1256" s="11" t="str">
        <x:v>USD</x:v>
      </x:c>
      <x:c r="F1256" s="11" t="str">
        <x:v>million</x:v>
      </x:c>
      <x:c r="G1256" s="11" t="str">
        <x:v>FY2025/26 ended2026-03-31</x:v>
      </x:c>
      <x:c r="H1256" s="11" t="str">
        <x:v>2026-05-22业绩与审计签署；年报具体上传时分未核验</x:v>
      </x:c>
      <x:c r="I1256" s="11" t="str">
        <x:v>https://doc.irasia.com/listco/hk/lenovo/annual/2026/ar2026.pdf</x:v>
      </x:c>
      <x:c r="J1256" s="11" t="str"/>
      <x:c r="K1256" s="11" t="str">
        <x:v>待核</x:v>
      </x:c>
      <x:c r="L1256" s="11" t="str">
        <x:v>精确发布时间未核验</x:v>
      </x:c>
      <x:c r="M1256" s="11" t="str">
        <x:v>截止日前日期，盘中时分未核</x:v>
      </x:c>
    </x:row>
    <x:row r="1257" ht="23" customHeight="1">
      <x:c r="A1257" s="11" t="str">
        <x:v>I065</x:v>
      </x:c>
      <x:c r="B1257" s="11" t="str">
        <x:v>00992.HK</x:v>
      </x:c>
      <x:c r="C1257" s="11" t="str">
        <x:v>propertyCapitalCashUSDmillion</x:v>
      </x:c>
      <x:c r="D1257" s="39" t="n">
        <x:v>653.978</x:v>
      </x:c>
      <x:c r="E1257" s="11" t="str">
        <x:v>USD</x:v>
      </x:c>
      <x:c r="F1257" s="11" t="str">
        <x:v>million</x:v>
      </x:c>
      <x:c r="G1257" s="11" t="str">
        <x:v>FY2025/26 ended2026-03-31</x:v>
      </x:c>
      <x:c r="H1257" s="11" t="str">
        <x:v>2026-05-22业绩与审计签署；年报具体上传时分未核验</x:v>
      </x:c>
      <x:c r="I1257" s="11" t="str">
        <x:v>https://doc.irasia.com/listco/hk/lenovo/annual/2026/ar2026.pdf</x:v>
      </x:c>
      <x:c r="J1257" s="11" t="str"/>
      <x:c r="K1257" s="11" t="str">
        <x:v>待核</x:v>
      </x:c>
      <x:c r="L1257" s="11" t="str">
        <x:v>精确发布时间未核验</x:v>
      </x:c>
      <x:c r="M1257" s="11" t="str">
        <x:v>截止日前日期，盘中时分未核</x:v>
      </x:c>
    </x:row>
    <x:row r="1258" ht="23" customHeight="1">
      <x:c r="A1258" s="11" t="str">
        <x:v>I065</x:v>
      </x:c>
      <x:c r="B1258" s="11" t="str">
        <x:v>00992.HK</x:v>
      </x:c>
      <x:c r="C1258" s="11" t="str">
        <x:v>constructionCapitalCashUSDmillion</x:v>
      </x:c>
      <x:c r="D1258" s="39" t="n">
        <x:v>608.017</x:v>
      </x:c>
      <x:c r="E1258" s="11" t="str">
        <x:v>USD</x:v>
      </x:c>
      <x:c r="F1258" s="11" t="str">
        <x:v>million</x:v>
      </x:c>
      <x:c r="G1258" s="11" t="str">
        <x:v>FY2025/26 ended2026-03-31</x:v>
      </x:c>
      <x:c r="H1258" s="11" t="str">
        <x:v>2026-05-22业绩与审计签署；年报具体上传时分未核验</x:v>
      </x:c>
      <x:c r="I1258" s="11" t="str">
        <x:v>https://doc.irasia.com/listco/hk/lenovo/annual/2026/ar2026.pdf</x:v>
      </x:c>
      <x:c r="J1258" s="11" t="str"/>
      <x:c r="K1258" s="11" t="str">
        <x:v>待核</x:v>
      </x:c>
      <x:c r="L1258" s="11" t="str">
        <x:v>精确发布时间未核验</x:v>
      </x:c>
      <x:c r="M1258" s="11" t="str">
        <x:v>截止日前日期，盘中时分未核</x:v>
      </x:c>
    </x:row>
    <x:row r="1259" ht="23" customHeight="1">
      <x:c r="A1259" s="11" t="str">
        <x:v>I065</x:v>
      </x:c>
      <x:c r="B1259" s="11" t="str">
        <x:v>00992.HK</x:v>
      </x:c>
      <x:c r="C1259" s="11" t="str">
        <x:v>intangibleCapitalCashUSDmillion</x:v>
      </x:c>
      <x:c r="D1259" s="39" t="n">
        <x:v>596.979</x:v>
      </x:c>
      <x:c r="E1259" s="11" t="str">
        <x:v>USD</x:v>
      </x:c>
      <x:c r="F1259" s="11" t="str">
        <x:v>million</x:v>
      </x:c>
      <x:c r="G1259" s="11" t="str">
        <x:v>FY2025/26 ended2026-03-31</x:v>
      </x:c>
      <x:c r="H1259" s="11" t="str">
        <x:v>2026-05-22业绩与审计签署；年报具体上传时分未核验</x:v>
      </x:c>
      <x:c r="I1259" s="11" t="str">
        <x:v>https://doc.irasia.com/listco/hk/lenovo/annual/2026/ar2026.pdf</x:v>
      </x:c>
      <x:c r="J1259" s="11" t="str"/>
      <x:c r="K1259" s="11" t="str">
        <x:v>待核</x:v>
      </x:c>
      <x:c r="L1259" s="11" t="str">
        <x:v>精确发布时间未核验</x:v>
      </x:c>
      <x:c r="M1259" s="11" t="str">
        <x:v>截止日前日期，盘中时分未核</x:v>
      </x:c>
    </x:row>
    <x:row r="1260" ht="23" customHeight="1">
      <x:c r="A1260" s="11" t="str">
        <x:v>I065</x:v>
      </x:c>
      <x:c r="B1260" s="11" t="str">
        <x:v>00992.HK</x:v>
      </x:c>
      <x:c r="C1260" s="11" t="str">
        <x:v>leasePrincipalCashUSDmillion</x:v>
      </x:c>
      <x:c r="D1260" s="39" t="n">
        <x:v>102.058</x:v>
      </x:c>
      <x:c r="E1260" s="11" t="str">
        <x:v>USD</x:v>
      </x:c>
      <x:c r="F1260" s="11" t="str">
        <x:v>million</x:v>
      </x:c>
      <x:c r="G1260" s="11" t="str">
        <x:v>FY2025/26 ended2026-03-31</x:v>
      </x:c>
      <x:c r="H1260" s="11" t="str">
        <x:v>2026-05-22业绩与审计签署；年报具体上传时分未核验</x:v>
      </x:c>
      <x:c r="I1260" s="11" t="str">
        <x:v>https://doc.irasia.com/listco/hk/lenovo/annual/2026/ar2026.pdf</x:v>
      </x:c>
      <x:c r="J1260" s="11" t="str"/>
      <x:c r="K1260" s="11" t="str">
        <x:v>待核</x:v>
      </x:c>
      <x:c r="L1260" s="11" t="str">
        <x:v>精确发布时间未核验</x:v>
      </x:c>
      <x:c r="M1260" s="11" t="str">
        <x:v>截止日前日期，盘中时分未核</x:v>
      </x:c>
    </x:row>
    <x:row r="1261" ht="23" customHeight="1">
      <x:c r="A1261" s="11" t="str">
        <x:v>I065</x:v>
      </x:c>
      <x:c r="B1261" s="11" t="str">
        <x:v>00992.HK</x:v>
      </x:c>
      <x:c r="C1261" s="11" t="str">
        <x:v>FCFAfterLeaseProxyUSDmillion</x:v>
      </x:c>
      <x:c r="D1261" s="39" t="n">
        <x:v>2062.673</x:v>
      </x:c>
      <x:c r="E1261" s="11" t="str">
        <x:v>USD</x:v>
      </x:c>
      <x:c r="F1261" s="11" t="str">
        <x:v>million</x:v>
      </x:c>
      <x:c r="G1261" s="11" t="str">
        <x:v>FY2025/26 ended2026-03-31</x:v>
      </x:c>
      <x:c r="H1261" s="11" t="str">
        <x:v>2026-05-22业绩与审计签署；年报具体上传时分未核验</x:v>
      </x:c>
      <x:c r="I1261" s="11" t="str">
        <x:v>https://doc.irasia.com/listco/hk/lenovo/annual/2026/ar2026.pdf</x:v>
      </x:c>
      <x:c r="J1261" s="11" t="str"/>
      <x:c r="K1261" s="11" t="str">
        <x:v>待核</x:v>
      </x:c>
      <x:c r="L1261" s="11" t="str">
        <x:v>精确发布时间未核验</x:v>
      </x:c>
      <x:c r="M1261" s="11" t="str">
        <x:v>截止日前日期，盘中时分未核</x:v>
      </x:c>
    </x:row>
    <x:row r="1262" ht="23" customHeight="1">
      <x:c r="A1262" s="11" t="str">
        <x:v>I065</x:v>
      </x:c>
      <x:c r="B1262" s="11" t="str">
        <x:v>00992.HK</x:v>
      </x:c>
      <x:c r="C1262" s="11" t="str">
        <x:v>dividendsPaidUSDmillion</x:v>
      </x:c>
      <x:c r="D1262" s="39" t="n">
        <x:v>612.512</x:v>
      </x:c>
      <x:c r="E1262" s="11" t="str">
        <x:v>USD</x:v>
      </x:c>
      <x:c r="F1262" s="11" t="str">
        <x:v>million</x:v>
      </x:c>
      <x:c r="G1262" s="11" t="str">
        <x:v>FY2025/26 ended2026-03-31</x:v>
      </x:c>
      <x:c r="H1262" s="11" t="str">
        <x:v>2026-05-22业绩与审计签署；年报具体上传时分未核验</x:v>
      </x:c>
      <x:c r="I1262" s="11" t="str">
        <x:v>https://doc.irasia.com/listco/hk/lenovo/annual/2026/ar2026.pdf</x:v>
      </x:c>
      <x:c r="J1262" s="11" t="str"/>
      <x:c r="K1262" s="11" t="str">
        <x:v>待核</x:v>
      </x:c>
      <x:c r="L1262" s="11" t="str">
        <x:v>精确发布时间未核验</x:v>
      </x:c>
      <x:c r="M1262" s="11" t="str">
        <x:v>截止日前日期，盘中时分未核</x:v>
      </x:c>
    </x:row>
    <x:row r="1263" ht="23" customHeight="1">
      <x:c r="A1263" s="11" t="str">
        <x:v>I065</x:v>
      </x:c>
      <x:c r="B1263" s="11" t="str">
        <x:v>00992.HK</x:v>
      </x:c>
      <x:c r="C1263" s="11" t="str">
        <x:v>employeeTrustSharePurchaseUSDmillion</x:v>
      </x:c>
      <x:c r="D1263" s="39" t="n">
        <x:v>565.261</x:v>
      </x:c>
      <x:c r="E1263" s="11" t="str">
        <x:v>USD</x:v>
      </x:c>
      <x:c r="F1263" s="11" t="str">
        <x:v>million</x:v>
      </x:c>
      <x:c r="G1263" s="11" t="str">
        <x:v>FY2025/26 ended2026-03-31</x:v>
      </x:c>
      <x:c r="H1263" s="11" t="str">
        <x:v>2026-05-22业绩与审计签署；年报具体上传时分未核验</x:v>
      </x:c>
      <x:c r="I1263" s="11" t="str">
        <x:v>https://doc.irasia.com/listco/hk/lenovo/annual/2026/ar2026.pdf</x:v>
      </x:c>
      <x:c r="J1263" s="11" t="str"/>
      <x:c r="K1263" s="11" t="str">
        <x:v>待核</x:v>
      </x:c>
      <x:c r="L1263" s="11" t="str">
        <x:v>精确发布时间未核验</x:v>
      </x:c>
      <x:c r="M1263" s="11" t="str">
        <x:v>截止日前日期，盘中时分未核</x:v>
      </x:c>
    </x:row>
    <x:row r="1264" ht="23" customHeight="1">
      <x:c r="A1264" s="11" t="str">
        <x:v>I065</x:v>
      </x:c>
      <x:c r="B1264" s="11" t="str">
        <x:v>00992.HK</x:v>
      </x:c>
      <x:c r="C1264" s="11" t="str">
        <x:v>IDGRevenueUSDmillion</x:v>
      </x:c>
      <x:c r="D1264" s="39" t="n">
        <x:v>58935.405</x:v>
      </x:c>
      <x:c r="E1264" s="11" t="str">
        <x:v>USD</x:v>
      </x:c>
      <x:c r="F1264" s="11" t="str">
        <x:v>million</x:v>
      </x:c>
      <x:c r="G1264" s="11" t="str">
        <x:v>FY2025/26 ended2026-03-31</x:v>
      </x:c>
      <x:c r="H1264" s="11" t="str">
        <x:v>2026-05-22业绩与审计签署；年报具体上传时分未核验</x:v>
      </x:c>
      <x:c r="I1264" s="11" t="str">
        <x:v>https://doc.irasia.com/listco/hk/lenovo/annual/2026/ar2026.pdf</x:v>
      </x:c>
      <x:c r="J1264" s="11" t="str"/>
      <x:c r="K1264" s="11" t="str">
        <x:v>待核</x:v>
      </x:c>
      <x:c r="L1264" s="11" t="str">
        <x:v>精确发布时间未核验</x:v>
      </x:c>
      <x:c r="M1264" s="11" t="str">
        <x:v>截止日前日期，盘中时分未核</x:v>
      </x:c>
    </x:row>
    <x:row r="1265" ht="23" customHeight="1">
      <x:c r="A1265" s="11" t="str">
        <x:v>I065</x:v>
      </x:c>
      <x:c r="B1265" s="11" t="str">
        <x:v>00992.HK</x:v>
      </x:c>
      <x:c r="C1265" s="11" t="str">
        <x:v>ISGRevenueUSDmillion</x:v>
      </x:c>
      <x:c r="D1265" s="39" t="n">
        <x:v>19187.742</x:v>
      </x:c>
      <x:c r="E1265" s="11" t="str">
        <x:v>USD</x:v>
      </x:c>
      <x:c r="F1265" s="11" t="str">
        <x:v>million</x:v>
      </x:c>
      <x:c r="G1265" s="11" t="str">
        <x:v>FY2025/26 ended2026-03-31</x:v>
      </x:c>
      <x:c r="H1265" s="11" t="str">
        <x:v>2026-05-22业绩与审计签署；年报具体上传时分未核验</x:v>
      </x:c>
      <x:c r="I1265" s="11" t="str">
        <x:v>https://doc.irasia.com/listco/hk/lenovo/annual/2026/ar2026.pdf</x:v>
      </x:c>
      <x:c r="J1265" s="11" t="str"/>
      <x:c r="K1265" s="11" t="str">
        <x:v>待核</x:v>
      </x:c>
      <x:c r="L1265" s="11" t="str">
        <x:v>精确发布时间未核验</x:v>
      </x:c>
      <x:c r="M1265" s="11" t="str">
        <x:v>截止日前日期，盘中时分未核</x:v>
      </x:c>
    </x:row>
    <x:row r="1266" ht="23" customHeight="1">
      <x:c r="A1266" s="11" t="str">
        <x:v>I065</x:v>
      </x:c>
      <x:c r="B1266" s="11" t="str">
        <x:v>00992.HK</x:v>
      </x:c>
      <x:c r="C1266" s="11" t="str">
        <x:v>SSGRevenueUSDmillion</x:v>
      </x:c>
      <x:c r="D1266" s="39" t="n">
        <x:v>10028.274</x:v>
      </x:c>
      <x:c r="E1266" s="11" t="str">
        <x:v>USD</x:v>
      </x:c>
      <x:c r="F1266" s="11" t="str">
        <x:v>million</x:v>
      </x:c>
      <x:c r="G1266" s="11" t="str">
        <x:v>FY2025/26 ended2026-03-31</x:v>
      </x:c>
      <x:c r="H1266" s="11" t="str">
        <x:v>2026-05-22业绩与审计签署；年报具体上传时分未核验</x:v>
      </x:c>
      <x:c r="I1266" s="11" t="str">
        <x:v>https://doc.irasia.com/listco/hk/lenovo/annual/2026/ar2026.pdf</x:v>
      </x:c>
      <x:c r="J1266" s="11" t="str"/>
      <x:c r="K1266" s="11" t="str">
        <x:v>待核</x:v>
      </x:c>
      <x:c r="L1266" s="11" t="str">
        <x:v>精确发布时间未核验</x:v>
      </x:c>
      <x:c r="M1266" s="11" t="str">
        <x:v>截止日前日期，盘中时分未核</x:v>
      </x:c>
    </x:row>
    <x:row r="1267" ht="23" customHeight="1">
      <x:c r="A1267" s="11" t="str">
        <x:v>I065</x:v>
      </x:c>
      <x:c r="B1267" s="11" t="str">
        <x:v>00992.HK</x:v>
      </x:c>
      <x:c r="C1267" s="11" t="str">
        <x:v>segmentRevenueEliminationUSDmillion</x:v>
      </x:c>
      <x:c r="D1267" s="39" t="n">
        <x:v>-5076.866</x:v>
      </x:c>
      <x:c r="E1267" s="11" t="str">
        <x:v>USD</x:v>
      </x:c>
      <x:c r="F1267" s="11" t="str">
        <x:v>million</x:v>
      </x:c>
      <x:c r="G1267" s="11" t="str">
        <x:v>FY2025/26 ended2026-03-31</x:v>
      </x:c>
      <x:c r="H1267" s="11" t="str">
        <x:v>2026-05-22业绩与审计签署；年报具体上传时分未核验</x:v>
      </x:c>
      <x:c r="I1267" s="11" t="str">
        <x:v>https://doc.irasia.com/listco/hk/lenovo/annual/2026/ar2026.pdf</x:v>
      </x:c>
      <x:c r="J1267" s="11" t="str"/>
      <x:c r="K1267" s="11" t="str">
        <x:v>待核</x:v>
      </x:c>
      <x:c r="L1267" s="11" t="str">
        <x:v>精确发布时间未核验</x:v>
      </x:c>
      <x:c r="M1267" s="11" t="str">
        <x:v>截止日前日期，盘中时分未核</x:v>
      </x:c>
    </x:row>
    <x:row r="1268" ht="23" customHeight="1">
      <x:c r="A1268" s="11" t="str">
        <x:v>I065</x:v>
      </x:c>
      <x:c r="B1268" s="11" t="str">
        <x:v>00992.HK</x:v>
      </x:c>
      <x:c r="C1268" s="11" t="str">
        <x:v>IDGSegmentOperatingUSDmillion</x:v>
      </x:c>
      <x:c r="D1268" s="39" t="n">
        <x:v>4219.9</x:v>
      </x:c>
      <x:c r="E1268" s="11" t="str">
        <x:v>USD</x:v>
      </x:c>
      <x:c r="F1268" s="11" t="str">
        <x:v>million</x:v>
      </x:c>
      <x:c r="G1268" s="11" t="str">
        <x:v>FY2025/26 ended2026-03-31</x:v>
      </x:c>
      <x:c r="H1268" s="11" t="str">
        <x:v>2026-05-22业绩与审计签署；年报具体上传时分未核验</x:v>
      </x:c>
      <x:c r="I1268" s="11" t="str">
        <x:v>https://doc.irasia.com/listco/hk/lenovo/annual/2026/ar2026.pdf</x:v>
      </x:c>
      <x:c r="J1268" s="11" t="str"/>
      <x:c r="K1268" s="11" t="str">
        <x:v>待核</x:v>
      </x:c>
      <x:c r="L1268" s="11" t="str">
        <x:v>精确发布时间未核验</x:v>
      </x:c>
      <x:c r="M1268" s="11" t="str">
        <x:v>截止日前日期，盘中时分未核</x:v>
      </x:c>
    </x:row>
    <x:row r="1269" ht="23" customHeight="1">
      <x:c r="A1269" s="11" t="str">
        <x:v>I065</x:v>
      </x:c>
      <x:c r="B1269" s="11" t="str">
        <x:v>00992.HK</x:v>
      </x:c>
      <x:c r="C1269" s="11" t="str">
        <x:v>ISGSegmentOperatingUSDmillion</x:v>
      </x:c>
      <x:c r="D1269" s="39" t="n">
        <x:v>73.367</x:v>
      </x:c>
      <x:c r="E1269" s="11" t="str">
        <x:v>USD</x:v>
      </x:c>
      <x:c r="F1269" s="11" t="str">
        <x:v>million</x:v>
      </x:c>
      <x:c r="G1269" s="11" t="str">
        <x:v>FY2025/26 ended2026-03-31</x:v>
      </x:c>
      <x:c r="H1269" s="11" t="str">
        <x:v>2026-05-22业绩与审计签署；年报具体上传时分未核验</x:v>
      </x:c>
      <x:c r="I1269" s="11" t="str">
        <x:v>https://doc.irasia.com/listco/hk/lenovo/annual/2026/ar2026.pdf</x:v>
      </x:c>
      <x:c r="J1269" s="11" t="str"/>
      <x:c r="K1269" s="11" t="str">
        <x:v>待核</x:v>
      </x:c>
      <x:c r="L1269" s="11" t="str">
        <x:v>精确发布时间未核验</x:v>
      </x:c>
      <x:c r="M1269" s="11" t="str">
        <x:v>截止日前日期，盘中时分未核</x:v>
      </x:c>
    </x:row>
    <x:row r="1270" ht="23" customHeight="1">
      <x:c r="A1270" s="11" t="str">
        <x:v>I065</x:v>
      </x:c>
      <x:c r="B1270" s="11" t="str">
        <x:v>00992.HK</x:v>
      </x:c>
      <x:c r="C1270" s="11" t="str">
        <x:v>SSGSegmentOperatingUSDmillion</x:v>
      </x:c>
      <x:c r="D1270" s="39" t="n">
        <x:v>2241.311</x:v>
      </x:c>
      <x:c r="E1270" s="11" t="str">
        <x:v>USD</x:v>
      </x:c>
      <x:c r="F1270" s="11" t="str">
        <x:v>million</x:v>
      </x:c>
      <x:c r="G1270" s="11" t="str">
        <x:v>FY2025/26 ended2026-03-31</x:v>
      </x:c>
      <x:c r="H1270" s="11" t="str">
        <x:v>2026-05-22业绩与审计签署；年报具体上传时分未核验</x:v>
      </x:c>
      <x:c r="I1270" s="11" t="str">
        <x:v>https://doc.irasia.com/listco/hk/lenovo/annual/2026/ar2026.pdf</x:v>
      </x:c>
      <x:c r="J1270" s="11" t="str"/>
      <x:c r="K1270" s="11" t="str">
        <x:v>待核</x:v>
      </x:c>
      <x:c r="L1270" s="11" t="str">
        <x:v>精确发布时间未核验</x:v>
      </x:c>
      <x:c r="M1270" s="11" t="str">
        <x:v>截止日前日期，盘中时分未核</x:v>
      </x:c>
    </x:row>
    <x:row r="1271" ht="23" customHeight="1">
      <x:c r="A1271" s="11" t="str">
        <x:v>I065</x:v>
      </x:c>
      <x:c r="B1271" s="11" t="str">
        <x:v>00992.HK</x:v>
      </x:c>
      <x:c r="C1271" s="11" t="str">
        <x:v>segmentProfitEliminationUSDmillion</x:v>
      </x:c>
      <x:c r="D1271" s="39" t="n">
        <x:v>-1794.435</x:v>
      </x:c>
      <x:c r="E1271" s="11" t="str">
        <x:v>USD</x:v>
      </x:c>
      <x:c r="F1271" s="11" t="str">
        <x:v>million</x:v>
      </x:c>
      <x:c r="G1271" s="11" t="str">
        <x:v>FY2025/26 ended2026-03-31</x:v>
      </x:c>
      <x:c r="H1271" s="11" t="str">
        <x:v>2026-05-22业绩与审计签署；年报具体上传时分未核验</x:v>
      </x:c>
      <x:c r="I1271" s="11" t="str">
        <x:v>https://doc.irasia.com/listco/hk/lenovo/annual/2026/ar2026.pdf</x:v>
      </x:c>
      <x:c r="J1271" s="11" t="str"/>
      <x:c r="K1271" s="11" t="str">
        <x:v>待核</x:v>
      </x:c>
      <x:c r="L1271" s="11" t="str">
        <x:v>精确发布时间未核验</x:v>
      </x:c>
      <x:c r="M1271" s="11" t="str">
        <x:v>截止日前日期，盘中时分未核</x:v>
      </x:c>
    </x:row>
    <x:row r="1272" ht="23" customHeight="1">
      <x:c r="A1272" s="11" t="str">
        <x:v>I065</x:v>
      </x:c>
      <x:c r="B1272" s="11" t="str">
        <x:v>00992.HK</x:v>
      </x:c>
      <x:c r="C1272" s="11" t="str">
        <x:v>netCashManagementUSDmillion</x:v>
      </x:c>
      <x:c r="D1272" s="39" t="n">
        <x:v>242</x:v>
      </x:c>
      <x:c r="E1272" s="11" t="str">
        <x:v>USD</x:v>
      </x:c>
      <x:c r="F1272" s="11" t="str">
        <x:v>million</x:v>
      </x:c>
      <x:c r="G1272" s="11" t="str">
        <x:v>FY2025/26 ended2026-03-31</x:v>
      </x:c>
      <x:c r="H1272" s="11" t="str">
        <x:v>2026-05-22业绩与审计签署；年报具体上传时分未核验</x:v>
      </x:c>
      <x:c r="I1272" s="11" t="str">
        <x:v>https://doc.irasia.com/listco/hk/lenovo/annual/2026/ar2026.pdf</x:v>
      </x:c>
      <x:c r="J1272" s="11" t="str"/>
      <x:c r="K1272" s="11" t="str">
        <x:v>待核</x:v>
      </x:c>
      <x:c r="L1272" s="11" t="str">
        <x:v>精确发布时间未核验</x:v>
      </x:c>
      <x:c r="M1272" s="11" t="str">
        <x:v>截止日前日期，盘中时分未核</x:v>
      </x:c>
    </x:row>
    <x:row r="1273" ht="23" customHeight="1">
      <x:c r="A1273" s="11" t="str">
        <x:v>I065</x:v>
      </x:c>
      <x:c r="B1273" s="11" t="str">
        <x:v>00992.HK</x:v>
      </x:c>
      <x:c r="C1273" s="11" t="str">
        <x:v>dividendFY2026AlreadyPaidHKD</x:v>
      </x:c>
      <x:c r="D1273" s="39" t="n">
        <x:v>0.337</x:v>
      </x:c>
      <x:c r="E1273" s="11" t="str">
        <x:v>HKD</x:v>
      </x:c>
      <x:c r="F1273" s="11" t="str">
        <x:v>USD million unless specified</x:v>
      </x:c>
      <x:c r="G1273" s="11" t="str">
        <x:v>FY2026</x:v>
      </x:c>
      <x:c r="H1273" s="11" t="str">
        <x:v>2026-05-22业绩与审计签署；年报具体上传时分未核验</x:v>
      </x:c>
      <x:c r="I1273" s="11" t="str">
        <x:v>https://doc.irasia.com/listco/hk/lenovo/annual/2026/ar2026.pdf</x:v>
      </x:c>
      <x:c r="J1273" s="11" t="str"/>
      <x:c r="K1273" s="11" t="str">
        <x:v>待核</x:v>
      </x:c>
      <x:c r="L1273" s="11" t="str">
        <x:v>精确发布时间未核验</x:v>
      </x:c>
      <x:c r="M1273" s="11" t="str">
        <x:v>截止日前日期，盘中时分未核</x:v>
      </x:c>
    </x:row>
    <x:row r="1274" ht="23" customHeight="1">
      <x:c r="A1274" s="11" t="str">
        <x:v>I065</x:v>
      </x:c>
      <x:c r="B1274" s="11" t="str">
        <x:v>00992.HK</x:v>
      </x:c>
      <x:c r="C1274" s="11" t="str">
        <x:v>revenueUSDmillion</x:v>
      </x:c>
      <x:c r="D1274" s="39" t="n">
        <x:v>26942.766</x:v>
      </x:c>
      <x:c r="E1274" s="11" t="str">
        <x:v>USD</x:v>
      </x:c>
      <x:c r="F1274" s="11" t="str">
        <x:v>million</x:v>
      </x:c>
      <x:c r="G1274" s="11" t="str">
        <x:v>Q1FY2026/27 ended2026-06-30</x:v>
      </x:c>
      <x:c r="H1274" s="11" t="str">
        <x:v>2026-08-13结果新闻；精确HKEX公开时分未核验</x:v>
      </x:c>
      <x:c r="I1274" s="11" t="str">
        <x:v>https://doc.irasia.com/listco/hk/lenovo/interim/2027/int1q.pdf</x:v>
      </x:c>
      <x:c r="J1274" s="11" t="str"/>
      <x:c r="K1274" s="11" t="str">
        <x:v>待核</x:v>
      </x:c>
      <x:c r="L1274" s="11" t="str">
        <x:v>精确发布时间未核验</x:v>
      </x:c>
      <x:c r="M1274" s="11" t="str">
        <x:v>截止日前日期，盘中时分未核</x:v>
      </x:c>
    </x:row>
    <x:row r="1275" ht="23" customHeight="1">
      <x:c r="A1275" s="11" t="str">
        <x:v>I065</x:v>
      </x:c>
      <x:c r="B1275" s="11" t="str">
        <x:v>00992.HK</x:v>
      </x:c>
      <x:c r="C1275" s="11" t="str">
        <x:v>revenueComparativeUSDmillion</x:v>
      </x:c>
      <x:c r="D1275" s="39" t="n">
        <x:v>18829.869</x:v>
      </x:c>
      <x:c r="E1275" s="11" t="str">
        <x:v>USD</x:v>
      </x:c>
      <x:c r="F1275" s="11" t="str">
        <x:v>million</x:v>
      </x:c>
      <x:c r="G1275" s="11" t="str">
        <x:v>Q1FY2026/27 ended2026-06-30</x:v>
      </x:c>
      <x:c r="H1275" s="11" t="str">
        <x:v>2026-08-13结果新闻；精确HKEX公开时分未核验</x:v>
      </x:c>
      <x:c r="I1275" s="11" t="str">
        <x:v>https://doc.irasia.com/listco/hk/lenovo/interim/2027/int1q.pdf</x:v>
      </x:c>
      <x:c r="J1275" s="11" t="str"/>
      <x:c r="K1275" s="11" t="str">
        <x:v>待核</x:v>
      </x:c>
      <x:c r="L1275" s="11" t="str">
        <x:v>精确发布时间未核验</x:v>
      </x:c>
      <x:c r="M1275" s="11" t="str">
        <x:v>截止日前日期，盘中时分未核</x:v>
      </x:c>
    </x:row>
    <x:row r="1276" ht="23" customHeight="1">
      <x:c r="A1276" s="11" t="str">
        <x:v>I065</x:v>
      </x:c>
      <x:c r="B1276" s="11" t="str">
        <x:v>00992.HK</x:v>
      </x:c>
      <x:c r="C1276" s="11" t="str">
        <x:v>grossProfitUSDmillion</x:v>
      </x:c>
      <x:c r="D1276" s="39" t="n">
        <x:v>4451.969</x:v>
      </x:c>
      <x:c r="E1276" s="11" t="str">
        <x:v>USD</x:v>
      </x:c>
      <x:c r="F1276" s="11" t="str">
        <x:v>million</x:v>
      </x:c>
      <x:c r="G1276" s="11" t="str">
        <x:v>Q1FY2026/27 ended2026-06-30</x:v>
      </x:c>
      <x:c r="H1276" s="11" t="str">
        <x:v>2026-08-13结果新闻；精确HKEX公开时分未核验</x:v>
      </x:c>
      <x:c r="I1276" s="11" t="str">
        <x:v>https://doc.irasia.com/listco/hk/lenovo/interim/2027/int1q.pdf</x:v>
      </x:c>
      <x:c r="J1276" s="11" t="str"/>
      <x:c r="K1276" s="11" t="str">
        <x:v>待核</x:v>
      </x:c>
      <x:c r="L1276" s="11" t="str">
        <x:v>精确发布时间未核验</x:v>
      </x:c>
      <x:c r="M1276" s="11" t="str">
        <x:v>截止日前日期，盘中时分未核</x:v>
      </x:c>
    </x:row>
    <x:row r="1277" ht="23" customHeight="1">
      <x:c r="A1277" s="11" t="str">
        <x:v>I065</x:v>
      </x:c>
      <x:c r="B1277" s="11" t="str">
        <x:v>00992.HK</x:v>
      </x:c>
      <x:c r="C1277" s="11" t="str">
        <x:v>operatingProfitUSDmillion</x:v>
      </x:c>
      <x:c r="D1277" s="39" t="n">
        <x:v>19.202</x:v>
      </x:c>
      <x:c r="E1277" s="11" t="str">
        <x:v>USD</x:v>
      </x:c>
      <x:c r="F1277" s="11" t="str">
        <x:v>million</x:v>
      </x:c>
      <x:c r="G1277" s="11" t="str">
        <x:v>Q1FY2026/27 ended2026-06-30</x:v>
      </x:c>
      <x:c r="H1277" s="11" t="str">
        <x:v>2026-08-13结果新闻；精确HKEX公开时分未核验</x:v>
      </x:c>
      <x:c r="I1277" s="11" t="str">
        <x:v>https://doc.irasia.com/listco/hk/lenovo/interim/2027/int1q.pdf</x:v>
      </x:c>
      <x:c r="J1277" s="11" t="str"/>
      <x:c r="K1277" s="11" t="str">
        <x:v>待核</x:v>
      </x:c>
      <x:c r="L1277" s="11" t="str">
        <x:v>精确发布时间未核验</x:v>
      </x:c>
      <x:c r="M1277" s="11" t="str">
        <x:v>截止日前日期，盘中时分未核</x:v>
      </x:c>
    </x:row>
    <x:row r="1278" ht="23" customHeight="1">
      <x:c r="A1278" s="11" t="str">
        <x:v>I065</x:v>
      </x:c>
      <x:c r="B1278" s="11" t="str">
        <x:v>00992.HK</x:v>
      </x:c>
      <x:c r="C1278" s="11" t="str">
        <x:v>adjustedOperatingProfitUSDmillion</x:v>
      </x:c>
      <x:c r="D1278" s="39" t="n">
        <x:v>1522.683</x:v>
      </x:c>
      <x:c r="E1278" s="11" t="str">
        <x:v>USD</x:v>
      </x:c>
      <x:c r="F1278" s="11" t="str">
        <x:v>million</x:v>
      </x:c>
      <x:c r="G1278" s="11" t="str">
        <x:v>Q1FY2026/27 ended2026-06-30</x:v>
      </x:c>
      <x:c r="H1278" s="11" t="str">
        <x:v>2026-08-13结果新闻；精确HKEX公开时分未核验</x:v>
      </x:c>
      <x:c r="I1278" s="11" t="str">
        <x:v>https://doc.irasia.com/listco/hk/lenovo/interim/2027/int1q.pdf</x:v>
      </x:c>
      <x:c r="J1278" s="11" t="str"/>
      <x:c r="K1278" s="11" t="str">
        <x:v>待核</x:v>
      </x:c>
      <x:c r="L1278" s="11" t="str">
        <x:v>精确发布时间未核验</x:v>
      </x:c>
      <x:c r="M1278" s="11" t="str">
        <x:v>截止日前日期，盘中时分未核</x:v>
      </x:c>
    </x:row>
    <x:row r="1279" ht="23" customHeight="1">
      <x:c r="A1279" s="11" t="str">
        <x:v>I065</x:v>
      </x:c>
      <x:c r="B1279" s="11" t="str">
        <x:v>00992.HK</x:v>
      </x:c>
      <x:c r="C1279" s="11" t="str">
        <x:v>profitBeforeTaxUSDmillion</x:v>
      </x:c>
      <x:c r="D1279" s="39" t="n">
        <x:v>-179.921</x:v>
      </x:c>
      <x:c r="E1279" s="11" t="str">
        <x:v>USD</x:v>
      </x:c>
      <x:c r="F1279" s="11" t="str">
        <x:v>million</x:v>
      </x:c>
      <x:c r="G1279" s="11" t="str">
        <x:v>Q1FY2026/27 ended2026-06-30</x:v>
      </x:c>
      <x:c r="H1279" s="11" t="str">
        <x:v>2026-08-13结果新闻；精确HKEX公开时分未核验</x:v>
      </x:c>
      <x:c r="I1279" s="11" t="str">
        <x:v>https://doc.irasia.com/listco/hk/lenovo/interim/2027/int1q.pdf</x:v>
      </x:c>
      <x:c r="J1279" s="11" t="str"/>
      <x:c r="K1279" s="11" t="str">
        <x:v>待核</x:v>
      </x:c>
      <x:c r="L1279" s="11" t="str">
        <x:v>精确发布时间未核验</x:v>
      </x:c>
      <x:c r="M1279" s="11" t="str">
        <x:v>截止日前日期，盘中时分未核</x:v>
      </x:c>
    </x:row>
    <x:row r="1280" ht="23" customHeight="1">
      <x:c r="A1280" s="11" t="str">
        <x:v>I065</x:v>
      </x:c>
      <x:c r="B1280" s="11" t="str">
        <x:v>00992.HK</x:v>
      </x:c>
      <x:c r="C1280" s="11" t="str">
        <x:v>profitGroupUSDmillion</x:v>
      </x:c>
      <x:c r="D1280" s="39" t="n">
        <x:v>-477.592</x:v>
      </x:c>
      <x:c r="E1280" s="11" t="str">
        <x:v>USD</x:v>
      </x:c>
      <x:c r="F1280" s="11" t="str">
        <x:v>million</x:v>
      </x:c>
      <x:c r="G1280" s="11" t="str">
        <x:v>Q1FY2026/27 ended2026-06-30</x:v>
      </x:c>
      <x:c r="H1280" s="11" t="str">
        <x:v>2026-08-13结果新闻；精确HKEX公开时分未核验</x:v>
      </x:c>
      <x:c r="I1280" s="11" t="str">
        <x:v>https://doc.irasia.com/listco/hk/lenovo/interim/2027/int1q.pdf</x:v>
      </x:c>
      <x:c r="J1280" s="11" t="str"/>
      <x:c r="K1280" s="11" t="str">
        <x:v>待核</x:v>
      </x:c>
      <x:c r="L1280" s="11" t="str">
        <x:v>精确发布时间未核验</x:v>
      </x:c>
      <x:c r="M1280" s="11" t="str">
        <x:v>截止日前日期，盘中时分未核</x:v>
      </x:c>
    </x:row>
    <x:row r="1281" ht="23" customHeight="1">
      <x:c r="A1281" s="11" t="str">
        <x:v>I065</x:v>
      </x:c>
      <x:c r="B1281" s="11" t="str">
        <x:v>00992.HK</x:v>
      </x:c>
      <x:c r="C1281" s="11" t="str">
        <x:v>profitAttributableUSDmillion</x:v>
      </x:c>
      <x:c r="D1281" s="39" t="n">
        <x:v>-608.6</x:v>
      </x:c>
      <x:c r="E1281" s="11" t="str">
        <x:v>USD</x:v>
      </x:c>
      <x:c r="F1281" s="11" t="str">
        <x:v>million</x:v>
      </x:c>
      <x:c r="G1281" s="11" t="str">
        <x:v>Q1FY2026/27 ended2026-06-30</x:v>
      </x:c>
      <x:c r="H1281" s="11" t="str">
        <x:v>2026-08-13结果新闻；精确HKEX公开时分未核验</x:v>
      </x:c>
      <x:c r="I1281" s="11" t="str">
        <x:v>https://doc.irasia.com/listco/hk/lenovo/interim/2027/int1q.pdf</x:v>
      </x:c>
      <x:c r="J1281" s="11" t="str"/>
      <x:c r="K1281" s="11" t="str">
        <x:v>待核</x:v>
      </x:c>
      <x:c r="L1281" s="11" t="str">
        <x:v>精确发布时间未核验</x:v>
      </x:c>
      <x:c r="M1281" s="11" t="str">
        <x:v>截止日前日期，盘中时分未核</x:v>
      </x:c>
    </x:row>
    <x:row r="1282" ht="23" customHeight="1">
      <x:c r="A1282" s="11" t="str">
        <x:v>I065</x:v>
      </x:c>
      <x:c r="B1282" s="11" t="str">
        <x:v>00992.HK</x:v>
      </x:c>
      <x:c r="C1282" s="11" t="str">
        <x:v>adjustedProfitAttributableUSDmillion</x:v>
      </x:c>
      <x:c r="D1282" s="39" t="n">
        <x:v>1074.717</x:v>
      </x:c>
      <x:c r="E1282" s="11" t="str">
        <x:v>USD</x:v>
      </x:c>
      <x:c r="F1282" s="11" t="str">
        <x:v>million</x:v>
      </x:c>
      <x:c r="G1282" s="11" t="str">
        <x:v>Q1FY2026/27 ended2026-06-30</x:v>
      </x:c>
      <x:c r="H1282" s="11" t="str">
        <x:v>2026-08-13结果新闻；精确HKEX公开时分未核验</x:v>
      </x:c>
      <x:c r="I1282" s="11" t="str">
        <x:v>https://doc.irasia.com/listco/hk/lenovo/interim/2027/int1q.pdf</x:v>
      </x:c>
      <x:c r="J1282" s="11" t="str"/>
      <x:c r="K1282" s="11" t="str">
        <x:v>待核</x:v>
      </x:c>
      <x:c r="L1282" s="11" t="str">
        <x:v>精确发布时间未核验</x:v>
      </x:c>
      <x:c r="M1282" s="11" t="str">
        <x:v>截止日前日期，盘中时分未核</x:v>
      </x:c>
    </x:row>
    <x:row r="1283" ht="23" customHeight="1">
      <x:c r="A1283" s="11" t="str">
        <x:v>I065</x:v>
      </x:c>
      <x:c r="B1283" s="11" t="str">
        <x:v>00992.HK</x:v>
      </x:c>
      <x:c r="C1283" s="11" t="str">
        <x:v>adjustedProfitGroupUSDmillion</x:v>
      </x:c>
      <x:c r="D1283" s="39" t="n">
        <x:v>1087.302</x:v>
      </x:c>
      <x:c r="E1283" s="11" t="str">
        <x:v>USD</x:v>
      </x:c>
      <x:c r="F1283" s="11" t="str">
        <x:v>million</x:v>
      </x:c>
      <x:c r="G1283" s="11" t="str">
        <x:v>Q1FY2026/27 ended2026-06-30</x:v>
      </x:c>
      <x:c r="H1283" s="11" t="str">
        <x:v>2026-08-13结果新闻；精确HKEX公开时分未核验</x:v>
      </x:c>
      <x:c r="I1283" s="11" t="str">
        <x:v>https://doc.irasia.com/listco/hk/lenovo/interim/2027/int1q.pdf</x:v>
      </x:c>
      <x:c r="J1283" s="11" t="str"/>
      <x:c r="K1283" s="11" t="str">
        <x:v>待核</x:v>
      </x:c>
      <x:c r="L1283" s="11" t="str">
        <x:v>精确发布时间未核验</x:v>
      </x:c>
      <x:c r="M1283" s="11" t="str">
        <x:v>截止日前日期，盘中时分未核</x:v>
      </x:c>
    </x:row>
    <x:row r="1284" ht="23" customHeight="1">
      <x:c r="A1284" s="11" t="str">
        <x:v>I065</x:v>
      </x:c>
      <x:c r="B1284" s="11" t="str">
        <x:v>00992.HK</x:v>
      </x:c>
      <x:c r="C1284" s="11" t="str">
        <x:v>adjustedProfitBeforeTaxUSDmillion</x:v>
      </x:c>
      <x:c r="D1284" s="39" t="n">
        <x:v>1354.944</x:v>
      </x:c>
      <x:c r="E1284" s="11" t="str">
        <x:v>USD</x:v>
      </x:c>
      <x:c r="F1284" s="11" t="str">
        <x:v>million</x:v>
      </x:c>
      <x:c r="G1284" s="11" t="str">
        <x:v>Q1FY2026/27 ended2026-06-30</x:v>
      </x:c>
      <x:c r="H1284" s="11" t="str">
        <x:v>2026-08-13结果新闻；精确HKEX公开时分未核验</x:v>
      </x:c>
      <x:c r="I1284" s="11" t="str">
        <x:v>https://doc.irasia.com/listco/hk/lenovo/interim/2027/int1q.pdf</x:v>
      </x:c>
      <x:c r="J1284" s="11" t="str"/>
      <x:c r="K1284" s="11" t="str">
        <x:v>待核</x:v>
      </x:c>
      <x:c r="L1284" s="11" t="str">
        <x:v>精确发布时间未核验</x:v>
      </x:c>
      <x:c r="M1284" s="11" t="str">
        <x:v>截止日前日期，盘中时分未核</x:v>
      </x:c>
    </x:row>
    <x:row r="1285" ht="23" customHeight="1">
      <x:c r="A1285" s="11" t="str">
        <x:v>I065</x:v>
      </x:c>
      <x:c r="B1285" s="11" t="str">
        <x:v>00992.HK</x:v>
      </x:c>
      <x:c r="C1285" s="11" t="str">
        <x:v>adjustedDilutedEPSUSD</x:v>
      </x:c>
      <x:c r="D1285" s="39" t="n">
        <x:v>0.0739</x:v>
      </x:c>
      <x:c r="E1285" s="11" t="str">
        <x:v>USD</x:v>
      </x:c>
      <x:c r="F1285" s="11" t="str">
        <x:v>per ordinary share</x:v>
      </x:c>
      <x:c r="G1285" s="11" t="str">
        <x:v>Q1FY2026/27 ended2026-06-30</x:v>
      </x:c>
      <x:c r="H1285" s="11" t="str">
        <x:v>2026-08-13结果新闻；精确HKEX公开时分未核验</x:v>
      </x:c>
      <x:c r="I1285" s="11" t="str">
        <x:v>https://doc.irasia.com/listco/hk/lenovo/interim/2027/int1q.pdf</x:v>
      </x:c>
      <x:c r="J1285" s="11" t="str"/>
      <x:c r="K1285" s="11" t="str">
        <x:v>待核</x:v>
      </x:c>
      <x:c r="L1285" s="11" t="str">
        <x:v>精确发布时间未核验</x:v>
      </x:c>
      <x:c r="M1285" s="11" t="str">
        <x:v>截止日前日期，盘中时分未核</x:v>
      </x:c>
    </x:row>
    <x:row r="1286" ht="23" customHeight="1">
      <x:c r="A1286" s="11" t="str">
        <x:v>I065</x:v>
      </x:c>
      <x:c r="B1286" s="11" t="str">
        <x:v>00992.HK</x:v>
      </x:c>
      <x:c r="C1286" s="11" t="str">
        <x:v>reportedDilutedEPSUSD</x:v>
      </x:c>
      <x:c r="D1286" s="39" t="n">
        <x:v>-0.0504</x:v>
      </x:c>
      <x:c r="E1286" s="11" t="str">
        <x:v>USD</x:v>
      </x:c>
      <x:c r="F1286" s="11" t="str">
        <x:v>per ordinary share</x:v>
      </x:c>
      <x:c r="G1286" s="11" t="str">
        <x:v>Q1FY2026/27 ended2026-06-30</x:v>
      </x:c>
      <x:c r="H1286" s="11" t="str">
        <x:v>2026-08-13结果新闻；精确HKEX公开时分未核验</x:v>
      </x:c>
      <x:c r="I1286" s="11" t="str">
        <x:v>https://doc.irasia.com/listco/hk/lenovo/interim/2027/int1q.pdf</x:v>
      </x:c>
      <x:c r="J1286" s="11" t="str"/>
      <x:c r="K1286" s="11" t="str">
        <x:v>待核</x:v>
      </x:c>
      <x:c r="L1286" s="11" t="str">
        <x:v>精确发布时间未核验</x:v>
      </x:c>
      <x:c r="M1286" s="11" t="str">
        <x:v>截止日前日期，盘中时分未核</x:v>
      </x:c>
    </x:row>
    <x:row r="1287" ht="23" customHeight="1">
      <x:c r="A1287" s="11" t="str">
        <x:v>I065</x:v>
      </x:c>
      <x:c r="B1287" s="11" t="str">
        <x:v>00992.HK</x:v>
      </x:c>
      <x:c r="C1287" s="11" t="str">
        <x:v>weightedBasicDilutedShares</x:v>
      </x:c>
      <x:c r="D1287" s="39" t="n">
        <x:v>12077851410</x:v>
      </x:c>
      <x:c r="E1287" s="11" t="str">
        <x:v>not monetary</x:v>
      </x:c>
      <x:c r="F1287" s="11" t="str">
        <x:v>shares</x:v>
      </x:c>
      <x:c r="G1287" s="11" t="str">
        <x:v>Q1FY2026/27 ended2026-06-30</x:v>
      </x:c>
      <x:c r="H1287" s="11" t="str">
        <x:v>2026-08-13结果新闻；精确HKEX公开时分未核验</x:v>
      </x:c>
      <x:c r="I1287" s="11" t="str">
        <x:v>https://doc.irasia.com/listco/hk/lenovo/interim/2027/int1q.pdf</x:v>
      </x:c>
      <x:c r="J1287" s="11" t="str"/>
      <x:c r="K1287" s="11" t="str">
        <x:v>待核</x:v>
      </x:c>
      <x:c r="L1287" s="11" t="str">
        <x:v>精确发布时间未核验</x:v>
      </x:c>
      <x:c r="M1287" s="11" t="str">
        <x:v>截止日前日期，盘中时分未核</x:v>
      </x:c>
    </x:row>
    <x:row r="1288" ht="23" customHeight="1">
      <x:c r="A1288" s="11" t="str">
        <x:v>I065</x:v>
      </x:c>
      <x:c r="B1288" s="11" t="str">
        <x:v>00992.HK</x:v>
      </x:c>
      <x:c r="C1288" s="11" t="str">
        <x:v>issuedSharesJune</x:v>
      </x:c>
      <x:c r="D1288" s="39" t="n">
        <x:v>12404659302</x:v>
      </x:c>
      <x:c r="E1288" s="11" t="str">
        <x:v>not monetary</x:v>
      </x:c>
      <x:c r="F1288" s="11" t="str">
        <x:v>shares</x:v>
      </x:c>
      <x:c r="G1288" s="11" t="str">
        <x:v>Q1FY2026/27 ended2026-06-30</x:v>
      </x:c>
      <x:c r="H1288" s="11" t="str">
        <x:v>2026-08-13结果新闻；精确HKEX公开时分未核验</x:v>
      </x:c>
      <x:c r="I1288" s="11" t="str">
        <x:v>https://doc.irasia.com/listco/hk/lenovo/interim/2027/int1q.pdf</x:v>
      </x:c>
      <x:c r="J1288" s="11" t="str"/>
      <x:c r="K1288" s="11" t="str">
        <x:v>待核</x:v>
      </x:c>
      <x:c r="L1288" s="11" t="str">
        <x:v>精确发布时间未核验</x:v>
      </x:c>
      <x:c r="M1288" s="11" t="str">
        <x:v>截止日前日期，盘中时分未核</x:v>
      </x:c>
    </x:row>
    <x:row r="1289" ht="23" customHeight="1">
      <x:c r="A1289" s="11" t="str">
        <x:v>I065</x:v>
      </x:c>
      <x:c r="B1289" s="11" t="str">
        <x:v>00992.HK</x:v>
      </x:c>
      <x:c r="C1289" s="11" t="str">
        <x:v>issuedSharesSept</x:v>
      </x:c>
      <x:c r="D1289" s="39" t="n">
        <x:v>12826044682</x:v>
      </x:c>
      <x:c r="E1289" s="11" t="str">
        <x:v>not monetary</x:v>
      </x:c>
      <x:c r="F1289" s="11" t="str">
        <x:v>shares</x:v>
      </x:c>
      <x:c r="G1289" s="11" t="str">
        <x:v>Q1FY2026/27 ended2026-06-30</x:v>
      </x:c>
      <x:c r="H1289" s="11" t="str">
        <x:v>2026-08-13结果新闻；精确HKEX公开时分未核验</x:v>
      </x:c>
      <x:c r="I1289" s="11" t="str">
        <x:v>https://doc.irasia.com/listco/hk/lenovo/interim/2027/int1q.pdf</x:v>
      </x:c>
      <x:c r="J1289" s="11" t="str"/>
      <x:c r="K1289" s="11" t="str">
        <x:v>待核</x:v>
      </x:c>
      <x:c r="L1289" s="11" t="str">
        <x:v>精确发布时间未核验</x:v>
      </x:c>
      <x:c r="M1289" s="11" t="str">
        <x:v>截止日前日期，盘中时分未核</x:v>
      </x:c>
    </x:row>
    <x:row r="1290" ht="23" customHeight="1">
      <x:c r="A1290" s="11" t="str">
        <x:v>I065</x:v>
      </x:c>
      <x:c r="B1290" s="11" t="str">
        <x:v>00992.HK</x:v>
      </x:c>
      <x:c r="C1290" s="11" t="str">
        <x:v>treasurySharesSept</x:v>
      </x:c>
      <x:c r="D1290" s="39" t="n">
        <x:v>0</x:v>
      </x:c>
      <x:c r="E1290" s="11" t="str">
        <x:v>not monetary</x:v>
      </x:c>
      <x:c r="F1290" s="11" t="str">
        <x:v>shares</x:v>
      </x:c>
      <x:c r="G1290" s="11" t="str">
        <x:v>Q1FY2026/27 ended2026-06-30</x:v>
      </x:c>
      <x:c r="H1290" s="11" t="str">
        <x:v>2026-08-13结果新闻；精确HKEX公开时分未核验</x:v>
      </x:c>
      <x:c r="I1290" s="11" t="str">
        <x:v>https://doc.irasia.com/listco/hk/lenovo/interim/2027/int1q.pdf</x:v>
      </x:c>
      <x:c r="J1290" s="11" t="str"/>
      <x:c r="K1290" s="11" t="str">
        <x:v>待核</x:v>
      </x:c>
      <x:c r="L1290" s="11" t="str">
        <x:v>精确发布时间未核验</x:v>
      </x:c>
      <x:c r="M1290" s="11" t="str">
        <x:v>截止日前日期，盘中时分未核</x:v>
      </x:c>
    </x:row>
    <x:row r="1291" ht="23" customHeight="1">
      <x:c r="A1291" s="11" t="str">
        <x:v>I065</x:v>
      </x:c>
      <x:c r="B1291" s="11" t="str">
        <x:v>00992.HK</x:v>
      </x:c>
      <x:c r="C1291" s="11" t="str">
        <x:v>IDGRevenueUSDmillion</x:v>
      </x:c>
      <x:c r="D1291" s="39" t="n">
        <x:v>17105.518</x:v>
      </x:c>
      <x:c r="E1291" s="11" t="str">
        <x:v>USD</x:v>
      </x:c>
      <x:c r="F1291" s="11" t="str">
        <x:v>million</x:v>
      </x:c>
      <x:c r="G1291" s="11" t="str">
        <x:v>Q1FY2026/27 ended2026-06-30</x:v>
      </x:c>
      <x:c r="H1291" s="11" t="str">
        <x:v>2026-08-13结果新闻；精确HKEX公开时分未核验</x:v>
      </x:c>
      <x:c r="I1291" s="11" t="str">
        <x:v>https://doc.irasia.com/listco/hk/lenovo/interim/2027/int1q.pdf</x:v>
      </x:c>
      <x:c r="J1291" s="11" t="str"/>
      <x:c r="K1291" s="11" t="str">
        <x:v>待核</x:v>
      </x:c>
      <x:c r="L1291" s="11" t="str">
        <x:v>精确发布时间未核验</x:v>
      </x:c>
      <x:c r="M1291" s="11" t="str">
        <x:v>截止日前日期，盘中时分未核</x:v>
      </x:c>
    </x:row>
    <x:row r="1292" ht="23" customHeight="1">
      <x:c r="A1292" s="11" t="str">
        <x:v>I065</x:v>
      </x:c>
      <x:c r="B1292" s="11" t="str">
        <x:v>00992.HK</x:v>
      </x:c>
      <x:c r="C1292" s="11" t="str">
        <x:v>ISGRevenueUSDmillion</x:v>
      </x:c>
      <x:c r="D1292" s="39" t="n">
        <x:v>8510.078</x:v>
      </x:c>
      <x:c r="E1292" s="11" t="str">
        <x:v>USD</x:v>
      </x:c>
      <x:c r="F1292" s="11" t="str">
        <x:v>million</x:v>
      </x:c>
      <x:c r="G1292" s="11" t="str">
        <x:v>Q1FY2026/27 ended2026-06-30</x:v>
      </x:c>
      <x:c r="H1292" s="11" t="str">
        <x:v>2026-08-13结果新闻；精确HKEX公开时分未核验</x:v>
      </x:c>
      <x:c r="I1292" s="11" t="str">
        <x:v>https://doc.irasia.com/listco/hk/lenovo/interim/2027/int1q.pdf</x:v>
      </x:c>
      <x:c r="J1292" s="11" t="str"/>
      <x:c r="K1292" s="11" t="str">
        <x:v>待核</x:v>
      </x:c>
      <x:c r="L1292" s="11" t="str">
        <x:v>精确发布时间未核验</x:v>
      </x:c>
      <x:c r="M1292" s="11" t="str">
        <x:v>截止日前日期，盘中时分未核</x:v>
      </x:c>
    </x:row>
    <x:row r="1293" ht="23" customHeight="1">
      <x:c r="A1293" s="11" t="str">
        <x:v>I065</x:v>
      </x:c>
      <x:c r="B1293" s="11" t="str">
        <x:v>00992.HK</x:v>
      </x:c>
      <x:c r="C1293" s="11" t="str">
        <x:v>SSGRevenueUSDmillion</x:v>
      </x:c>
      <x:c r="D1293" s="39" t="n">
        <x:v>2883.628</x:v>
      </x:c>
      <x:c r="E1293" s="11" t="str">
        <x:v>USD</x:v>
      </x:c>
      <x:c r="F1293" s="11" t="str">
        <x:v>million</x:v>
      </x:c>
      <x:c r="G1293" s="11" t="str">
        <x:v>Q1FY2026/27 ended2026-06-30</x:v>
      </x:c>
      <x:c r="H1293" s="11" t="str">
        <x:v>2026-08-13结果新闻；精确HKEX公开时分未核验</x:v>
      </x:c>
      <x:c r="I1293" s="11" t="str">
        <x:v>https://doc.irasia.com/listco/hk/lenovo/interim/2027/int1q.pdf</x:v>
      </x:c>
      <x:c r="J1293" s="11" t="str"/>
      <x:c r="K1293" s="11" t="str">
        <x:v>待核</x:v>
      </x:c>
      <x:c r="L1293" s="11" t="str">
        <x:v>精确发布时间未核验</x:v>
      </x:c>
      <x:c r="M1293" s="11" t="str">
        <x:v>截止日前日期，盘中时分未核</x:v>
      </x:c>
    </x:row>
    <x:row r="1294" ht="23" customHeight="1">
      <x:c r="A1294" s="11" t="str">
        <x:v>I065</x:v>
      </x:c>
      <x:c r="B1294" s="11" t="str">
        <x:v>00992.HK</x:v>
      </x:c>
      <x:c r="C1294" s="11" t="str">
        <x:v>segmentRevenueEliminationUSDmillion</x:v>
      </x:c>
      <x:c r="D1294" s="39" t="n">
        <x:v>-1556.458</x:v>
      </x:c>
      <x:c r="E1294" s="11" t="str">
        <x:v>USD</x:v>
      </x:c>
      <x:c r="F1294" s="11" t="str">
        <x:v>million</x:v>
      </x:c>
      <x:c r="G1294" s="11" t="str">
        <x:v>Q1FY2026/27 ended2026-06-30</x:v>
      </x:c>
      <x:c r="H1294" s="11" t="str">
        <x:v>2026-08-13结果新闻；精确HKEX公开时分未核验</x:v>
      </x:c>
      <x:c r="I1294" s="11" t="str">
        <x:v>https://doc.irasia.com/listco/hk/lenovo/interim/2027/int1q.pdf</x:v>
      </x:c>
      <x:c r="J1294" s="11" t="str"/>
      <x:c r="K1294" s="11" t="str">
        <x:v>待核</x:v>
      </x:c>
      <x:c r="L1294" s="11" t="str">
        <x:v>精确发布时间未核验</x:v>
      </x:c>
      <x:c r="M1294" s="11" t="str">
        <x:v>截止日前日期，盘中时分未核</x:v>
      </x:c>
    </x:row>
    <x:row r="1295" ht="23" customHeight="1">
      <x:c r="A1295" s="11" t="str">
        <x:v>I065</x:v>
      </x:c>
      <x:c r="B1295" s="11" t="str">
        <x:v>00992.HK</x:v>
      </x:c>
      <x:c r="C1295" s="11" t="str">
        <x:v>IDGSegmentOperatingUSDmillion</x:v>
      </x:c>
      <x:c r="D1295" s="39" t="n">
        <x:v>1210.05</x:v>
      </x:c>
      <x:c r="E1295" s="11" t="str">
        <x:v>USD</x:v>
      </x:c>
      <x:c r="F1295" s="11" t="str">
        <x:v>million</x:v>
      </x:c>
      <x:c r="G1295" s="11" t="str">
        <x:v>Q1FY2026/27 ended2026-06-30</x:v>
      </x:c>
      <x:c r="H1295" s="11" t="str">
        <x:v>2026-08-13结果新闻；精确HKEX公开时分未核验</x:v>
      </x:c>
      <x:c r="I1295" s="11" t="str">
        <x:v>https://doc.irasia.com/listco/hk/lenovo/interim/2027/int1q.pdf</x:v>
      </x:c>
      <x:c r="J1295" s="11" t="str"/>
      <x:c r="K1295" s="11" t="str">
        <x:v>待核</x:v>
      </x:c>
      <x:c r="L1295" s="11" t="str">
        <x:v>精确发布时间未核验</x:v>
      </x:c>
      <x:c r="M1295" s="11" t="str">
        <x:v>截止日前日期，盘中时分未核</x:v>
      </x:c>
    </x:row>
    <x:row r="1296" ht="23" customHeight="1">
      <x:c r="A1296" s="11" t="str">
        <x:v>I065</x:v>
      </x:c>
      <x:c r="B1296" s="11" t="str">
        <x:v>00992.HK</x:v>
      </x:c>
      <x:c r="C1296" s="11" t="str">
        <x:v>ISGSegmentOperatingUSDmillion</x:v>
      </x:c>
      <x:c r="D1296" s="39" t="n">
        <x:v>776.938</x:v>
      </x:c>
      <x:c r="E1296" s="11" t="str">
        <x:v>USD</x:v>
      </x:c>
      <x:c r="F1296" s="11" t="str">
        <x:v>million</x:v>
      </x:c>
      <x:c r="G1296" s="11" t="str">
        <x:v>Q1FY2026/27 ended2026-06-30</x:v>
      </x:c>
      <x:c r="H1296" s="11" t="str">
        <x:v>2026-08-13结果新闻；精确HKEX公开时分未核验</x:v>
      </x:c>
      <x:c r="I1296" s="11" t="str">
        <x:v>https://doc.irasia.com/listco/hk/lenovo/interim/2027/int1q.pdf</x:v>
      </x:c>
      <x:c r="J1296" s="11" t="str"/>
      <x:c r="K1296" s="11" t="str">
        <x:v>待核</x:v>
      </x:c>
      <x:c r="L1296" s="11" t="str">
        <x:v>精确发布时间未核验</x:v>
      </x:c>
      <x:c r="M1296" s="11" t="str">
        <x:v>截止日前日期，盘中时分未核</x:v>
      </x:c>
    </x:row>
    <x:row r="1297" ht="23" customHeight="1">
      <x:c r="A1297" s="11" t="str">
        <x:v>I065</x:v>
      </x:c>
      <x:c r="B1297" s="11" t="str">
        <x:v>00992.HK</x:v>
      </x:c>
      <x:c r="C1297" s="11" t="str">
        <x:v>SSGSegmentOperatingUSDmillion</x:v>
      </x:c>
      <x:c r="D1297" s="39" t="n">
        <x:v>696.773</x:v>
      </x:c>
      <x:c r="E1297" s="11" t="str">
        <x:v>USD</x:v>
      </x:c>
      <x:c r="F1297" s="11" t="str">
        <x:v>million</x:v>
      </x:c>
      <x:c r="G1297" s="11" t="str">
        <x:v>Q1FY2026/27 ended2026-06-30</x:v>
      </x:c>
      <x:c r="H1297" s="11" t="str">
        <x:v>2026-08-13结果新闻；精确HKEX公开时分未核验</x:v>
      </x:c>
      <x:c r="I1297" s="11" t="str">
        <x:v>https://doc.irasia.com/listco/hk/lenovo/interim/2027/int1q.pdf</x:v>
      </x:c>
      <x:c r="J1297" s="11" t="str"/>
      <x:c r="K1297" s="11" t="str">
        <x:v>待核</x:v>
      </x:c>
      <x:c r="L1297" s="11" t="str">
        <x:v>精确发布时间未核验</x:v>
      </x:c>
      <x:c r="M1297" s="11" t="str">
        <x:v>截止日前日期，盘中时分未核</x:v>
      </x:c>
    </x:row>
    <x:row r="1298" ht="23" customHeight="1">
      <x:c r="A1298" s="11" t="str">
        <x:v>I065</x:v>
      </x:c>
      <x:c r="B1298" s="11" t="str">
        <x:v>00992.HK</x:v>
      </x:c>
      <x:c r="C1298" s="11" t="str">
        <x:v>segmentProfitEliminationUSDmillion</x:v>
      </x:c>
      <x:c r="D1298" s="39" t="n">
        <x:v>-601.608</x:v>
      </x:c>
      <x:c r="E1298" s="11" t="str">
        <x:v>USD</x:v>
      </x:c>
      <x:c r="F1298" s="11" t="str">
        <x:v>million</x:v>
      </x:c>
      <x:c r="G1298" s="11" t="str">
        <x:v>Q1FY2026/27 ended2026-06-30</x:v>
      </x:c>
      <x:c r="H1298" s="11" t="str">
        <x:v>2026-08-13结果新闻；精确HKEX公开时分未核验</x:v>
      </x:c>
      <x:c r="I1298" s="11" t="str">
        <x:v>https://doc.irasia.com/listco/hk/lenovo/interim/2027/int1q.pdf</x:v>
      </x:c>
      <x:c r="J1298" s="11" t="str"/>
      <x:c r="K1298" s="11" t="str">
        <x:v>待核</x:v>
      </x:c>
      <x:c r="L1298" s="11" t="str">
        <x:v>精确发布时间未核验</x:v>
      </x:c>
      <x:c r="M1298" s="11" t="str">
        <x:v>截止日前日期，盘中时分未核</x:v>
      </x:c>
    </x:row>
    <x:row r="1299" ht="23" customHeight="1">
      <x:c r="A1299" s="11" t="str">
        <x:v>I065</x:v>
      </x:c>
      <x:c r="B1299" s="11" t="str">
        <x:v>00992.HK</x:v>
      </x:c>
      <x:c r="C1299" s="11" t="str">
        <x:v>corporateUnallocatedExpenseUSDmillion</x:v>
      </x:c>
      <x:c r="D1299" s="39" t="n">
        <x:v>712.225</x:v>
      </x:c>
      <x:c r="E1299" s="11" t="str">
        <x:v>USD</x:v>
      </x:c>
      <x:c r="F1299" s="11" t="str">
        <x:v>million</x:v>
      </x:c>
      <x:c r="G1299" s="11" t="str">
        <x:v>Q1FY2026/27 ended2026-06-30</x:v>
      </x:c>
      <x:c r="H1299" s="11" t="str">
        <x:v>2026-08-13结果新闻；精确HKEX公开时分未核验</x:v>
      </x:c>
      <x:c r="I1299" s="11" t="str">
        <x:v>https://doc.irasia.com/listco/hk/lenovo/interim/2027/int1q.pdf</x:v>
      </x:c>
      <x:c r="J1299" s="11" t="str"/>
      <x:c r="K1299" s="11" t="str">
        <x:v>待核</x:v>
      </x:c>
      <x:c r="L1299" s="11" t="str">
        <x:v>精确发布时间未核验</x:v>
      </x:c>
      <x:c r="M1299" s="11" t="str">
        <x:v>截止日前日期，盘中时分未核</x:v>
      </x:c>
    </x:row>
    <x:row r="1300" ht="23" customHeight="1">
      <x:c r="A1300" s="11" t="str">
        <x:v>I065</x:v>
      </x:c>
      <x:c r="B1300" s="11" t="str">
        <x:v>00992.HK</x:v>
      </x:c>
      <x:c r="C1300" s="11" t="str">
        <x:v>unallocatedDA_USDmillion</x:v>
      </x:c>
      <x:c r="D1300" s="39" t="n">
        <x:v>93.965</x:v>
      </x:c>
      <x:c r="E1300" s="11" t="str">
        <x:v>USD</x:v>
      </x:c>
      <x:c r="F1300" s="11" t="str">
        <x:v>million</x:v>
      </x:c>
      <x:c r="G1300" s="11" t="str">
        <x:v>Q1FY2026/27 ended2026-06-30</x:v>
      </x:c>
      <x:c r="H1300" s="11" t="str">
        <x:v>2026-08-13结果新闻；精确HKEX公开时分未核验</x:v>
      </x:c>
      <x:c r="I1300" s="11" t="str">
        <x:v>https://doc.irasia.com/listco/hk/lenovo/interim/2027/int1q.pdf</x:v>
      </x:c>
      <x:c r="J1300" s="11" t="str"/>
      <x:c r="K1300" s="11" t="str">
        <x:v>待核</x:v>
      </x:c>
      <x:c r="L1300" s="11" t="str">
        <x:v>精确发布时间未核验</x:v>
      </x:c>
      <x:c r="M1300" s="11" t="str">
        <x:v>截止日前日期，盘中时分未核</x:v>
      </x:c>
    </x:row>
    <x:row r="1301" ht="23" customHeight="1">
      <x:c r="A1301" s="11" t="str">
        <x:v>I065</x:v>
      </x:c>
      <x:c r="B1301" s="11" t="str">
        <x:v>00992.HK</x:v>
      </x:c>
      <x:c r="C1301" s="11" t="str">
        <x:v>nonCashWarrantFairValueLossUSDmillion</x:v>
      </x:c>
      <x:c r="D1301" s="39" t="n">
        <x:v>1690.299</x:v>
      </x:c>
      <x:c r="E1301" s="11" t="str">
        <x:v>USD</x:v>
      </x:c>
      <x:c r="F1301" s="11" t="str">
        <x:v>million</x:v>
      </x:c>
      <x:c r="G1301" s="11" t="str">
        <x:v>Q1FY2026/27 ended2026-06-30</x:v>
      </x:c>
      <x:c r="H1301" s="11" t="str">
        <x:v>2026-08-13结果新闻；精确HKEX公开时分未核验</x:v>
      </x:c>
      <x:c r="I1301" s="11" t="str">
        <x:v>https://doc.irasia.com/listco/hk/lenovo/interim/2027/int1q.pdf</x:v>
      </x:c>
      <x:c r="J1301" s="11" t="str"/>
      <x:c r="K1301" s="11" t="str">
        <x:v>待核</x:v>
      </x:c>
      <x:c r="L1301" s="11" t="str">
        <x:v>精确发布时间未核验</x:v>
      </x:c>
      <x:c r="M1301" s="11" t="str">
        <x:v>截止日前日期，盘中时分未核</x:v>
      </x:c>
    </x:row>
    <x:row r="1302" ht="23" customHeight="1">
      <x:c r="A1302" s="11" t="str">
        <x:v>I065</x:v>
      </x:c>
      <x:c r="B1302" s="11" t="str">
        <x:v>00992.HK</x:v>
      </x:c>
      <x:c r="C1302" s="11" t="str">
        <x:v>warrantDerivativeLiabilityUSDmillion</x:v>
      </x:c>
      <x:c r="D1302" s="39" t="n">
        <x:v>1787.099</x:v>
      </x:c>
      <x:c r="E1302" s="11" t="str">
        <x:v>USD</x:v>
      </x:c>
      <x:c r="F1302" s="11" t="str">
        <x:v>million</x:v>
      </x:c>
      <x:c r="G1302" s="11" t="str">
        <x:v>Q1FY2026/27 ended2026-06-30</x:v>
      </x:c>
      <x:c r="H1302" s="11" t="str">
        <x:v>2026-08-13结果新闻；精确HKEX公开时分未核验</x:v>
      </x:c>
      <x:c r="I1302" s="11" t="str">
        <x:v>https://doc.irasia.com/listco/hk/lenovo/interim/2027/int1q.pdf</x:v>
      </x:c>
      <x:c r="J1302" s="11" t="str"/>
      <x:c r="K1302" s="11" t="str">
        <x:v>待核</x:v>
      </x:c>
      <x:c r="L1302" s="11" t="str">
        <x:v>精确发布时间未核验</x:v>
      </x:c>
      <x:c r="M1302" s="11" t="str">
        <x:v>截止日前日期，盘中时分未核</x:v>
      </x:c>
    </x:row>
    <x:row r="1303" ht="23" customHeight="1">
      <x:c r="A1303" s="11" t="str">
        <x:v>I065</x:v>
      </x:c>
      <x:c r="B1303" s="11" t="str">
        <x:v>00992.HK</x:v>
      </x:c>
      <x:c r="C1303" s="11" t="str">
        <x:v>financialAssetFairValueGainUSDmillion</x:v>
      </x:c>
      <x:c r="D1303" s="39" t="n">
        <x:v>250.083</x:v>
      </x:c>
      <x:c r="E1303" s="11" t="str">
        <x:v>USD</x:v>
      </x:c>
      <x:c r="F1303" s="11" t="str">
        <x:v>million</x:v>
      </x:c>
      <x:c r="G1303" s="11" t="str">
        <x:v>Q1FY2026/27 ended2026-06-30</x:v>
      </x:c>
      <x:c r="H1303" s="11" t="str">
        <x:v>2026-08-13结果新闻；精确HKEX公开时分未核验</x:v>
      </x:c>
      <x:c r="I1303" s="11" t="str">
        <x:v>https://doc.irasia.com/listco/hk/lenovo/interim/2027/int1q.pdf</x:v>
      </x:c>
      <x:c r="J1303" s="11" t="str"/>
      <x:c r="K1303" s="11" t="str">
        <x:v>待核</x:v>
      </x:c>
      <x:c r="L1303" s="11" t="str">
        <x:v>精确发布时间未核验</x:v>
      </x:c>
      <x:c r="M1303" s="11" t="str">
        <x:v>截止日前日期，盘中时分未核</x:v>
      </x:c>
    </x:row>
    <x:row r="1304" ht="23" customHeight="1">
      <x:c r="A1304" s="11" t="str">
        <x:v>I065</x:v>
      </x:c>
      <x:c r="B1304" s="11" t="str">
        <x:v>00992.HK</x:v>
      </x:c>
      <x:c r="C1304" s="11" t="str">
        <x:v>adjustmentFairValueEquityOwnerUSDmillion</x:v>
      </x:c>
      <x:c r="D1304" s="39" t="n">
        <x:v>-95.45</x:v>
      </x:c>
      <x:c r="E1304" s="11" t="str">
        <x:v>USD</x:v>
      </x:c>
      <x:c r="F1304" s="11" t="str">
        <x:v>million</x:v>
      </x:c>
      <x:c r="G1304" s="11" t="str">
        <x:v>Q1FY2026/27 ended2026-06-30</x:v>
      </x:c>
      <x:c r="H1304" s="11" t="str">
        <x:v>2026-08-13结果新闻；精确HKEX公开时分未核验</x:v>
      </x:c>
      <x:c r="I1304" s="11" t="str">
        <x:v>https://doc.irasia.com/listco/hk/lenovo/interim/2027/int1q.pdf</x:v>
      </x:c>
      <x:c r="J1304" s="11" t="str"/>
      <x:c r="K1304" s="11" t="str">
        <x:v>待核</x:v>
      </x:c>
      <x:c r="L1304" s="11" t="str">
        <x:v>精确发布时间未核验</x:v>
      </x:c>
      <x:c r="M1304" s="11" t="str">
        <x:v>截止日前日期，盘中时分未核</x:v>
      </x:c>
    </x:row>
    <x:row r="1305" ht="23" customHeight="1">
      <x:c r="A1305" s="11" t="str">
        <x:v>I065</x:v>
      </x:c>
      <x:c r="B1305" s="11" t="str">
        <x:v>00992.HK</x:v>
      </x:c>
      <x:c r="C1305" s="11" t="str">
        <x:v>notionalConvertibleInterestUSDmillion</x:v>
      </x:c>
      <x:c r="D1305" s="39" t="n">
        <x:v>30.201</x:v>
      </x:c>
      <x:c r="E1305" s="11" t="str">
        <x:v>USD</x:v>
      </x:c>
      <x:c r="F1305" s="11" t="str">
        <x:v>million</x:v>
      </x:c>
      <x:c r="G1305" s="11" t="str">
        <x:v>Q1FY2026/27 ended2026-06-30</x:v>
      </x:c>
      <x:c r="H1305" s="11" t="str">
        <x:v>2026-08-13结果新闻；精确HKEX公开时分未核验</x:v>
      </x:c>
      <x:c r="I1305" s="11" t="str">
        <x:v>https://doc.irasia.com/listco/hk/lenovo/interim/2027/int1q.pdf</x:v>
      </x:c>
      <x:c r="J1305" s="11" t="str"/>
      <x:c r="K1305" s="11" t="str">
        <x:v>待核</x:v>
      </x:c>
      <x:c r="L1305" s="11" t="str">
        <x:v>精确发布时间未核验</x:v>
      </x:c>
      <x:c r="M1305" s="11" t="str">
        <x:v>截止日前日期，盘中时分未核</x:v>
      </x:c>
    </x:row>
    <x:row r="1306" ht="23" customHeight="1">
      <x:c r="A1306" s="11" t="str">
        <x:v>I065</x:v>
      </x:c>
      <x:c r="B1306" s="11" t="str">
        <x:v>00992.HK</x:v>
      </x:c>
      <x:c r="C1306" s="11" t="str">
        <x:v>SBCCostUSDmillion</x:v>
      </x:c>
      <x:c r="D1306" s="39" t="n">
        <x:v>103.849</x:v>
      </x:c>
      <x:c r="E1306" s="11" t="str">
        <x:v>USD</x:v>
      </x:c>
      <x:c r="F1306" s="11" t="str">
        <x:v>million</x:v>
      </x:c>
      <x:c r="G1306" s="11" t="str">
        <x:v>Q1FY2026/27 ended2026-06-30</x:v>
      </x:c>
      <x:c r="H1306" s="11" t="str">
        <x:v>2026-08-13结果新闻；精确HKEX公开时分未核验</x:v>
      </x:c>
      <x:c r="I1306" s="11" t="str">
        <x:v>https://doc.irasia.com/listco/hk/lenovo/interim/2027/int1q.pdf</x:v>
      </x:c>
      <x:c r="J1306" s="11" t="str"/>
      <x:c r="K1306" s="11" t="str">
        <x:v>待核</x:v>
      </x:c>
      <x:c r="L1306" s="11" t="str">
        <x:v>精确发布时间未核验</x:v>
      </x:c>
      <x:c r="M1306" s="11" t="str">
        <x:v>截止日前日期，盘中时分未核</x:v>
      </x:c>
    </x:row>
    <x:row r="1307" ht="23" customHeight="1">
      <x:c r="A1307" s="11" t="str">
        <x:v>I065</x:v>
      </x:c>
      <x:c r="B1307" s="11" t="str">
        <x:v>00992.HK</x:v>
      </x:c>
      <x:c r="C1307" s="11" t="str">
        <x:v>OCFUSDmillion</x:v>
      </x:c>
      <x:c r="D1307" s="39" t="n">
        <x:v>382.301</x:v>
      </x:c>
      <x:c r="E1307" s="11" t="str">
        <x:v>USD</x:v>
      </x:c>
      <x:c r="F1307" s="11" t="str">
        <x:v>million</x:v>
      </x:c>
      <x:c r="G1307" s="11" t="str">
        <x:v>Q1FY2026/27 ended2026-06-30</x:v>
      </x:c>
      <x:c r="H1307" s="11" t="str">
        <x:v>2026-08-13结果新闻；精确HKEX公开时分未核验</x:v>
      </x:c>
      <x:c r="I1307" s="11" t="str">
        <x:v>https://doc.irasia.com/listco/hk/lenovo/interim/2027/int1q.pdf</x:v>
      </x:c>
      <x:c r="J1307" s="11" t="str"/>
      <x:c r="K1307" s="11" t="str">
        <x:v>待核</x:v>
      </x:c>
      <x:c r="L1307" s="11" t="str">
        <x:v>精确发布时间未核验</x:v>
      </x:c>
      <x:c r="M1307" s="11" t="str">
        <x:v>截止日前日期，盘中时分未核</x:v>
      </x:c>
    </x:row>
    <x:row r="1308" ht="23" customHeight="1">
      <x:c r="A1308" s="11" t="str">
        <x:v>I065</x:v>
      </x:c>
      <x:c r="B1308" s="11" t="str">
        <x:v>00992.HK</x:v>
      </x:c>
      <x:c r="C1308" s="11" t="str">
        <x:v>propertyCapitalCashUSDmillion</x:v>
      </x:c>
      <x:c r="D1308" s="39" t="n">
        <x:v>91.009</x:v>
      </x:c>
      <x:c r="E1308" s="11" t="str">
        <x:v>USD</x:v>
      </x:c>
      <x:c r="F1308" s="11" t="str">
        <x:v>million</x:v>
      </x:c>
      <x:c r="G1308" s="11" t="str">
        <x:v>Q1FY2026/27 ended2026-06-30</x:v>
      </x:c>
      <x:c r="H1308" s="11" t="str">
        <x:v>2026-08-13结果新闻；精确HKEX公开时分未核验</x:v>
      </x:c>
      <x:c r="I1308" s="11" t="str">
        <x:v>https://doc.irasia.com/listco/hk/lenovo/interim/2027/int1q.pdf</x:v>
      </x:c>
      <x:c r="J1308" s="11" t="str"/>
      <x:c r="K1308" s="11" t="str">
        <x:v>待核</x:v>
      </x:c>
      <x:c r="L1308" s="11" t="str">
        <x:v>精确发布时间未核验</x:v>
      </x:c>
      <x:c r="M1308" s="11" t="str">
        <x:v>截止日前日期，盘中时分未核</x:v>
      </x:c>
    </x:row>
    <x:row r="1309" ht="23" customHeight="1">
      <x:c r="A1309" s="11" t="str">
        <x:v>I065</x:v>
      </x:c>
      <x:c r="B1309" s="11" t="str">
        <x:v>00992.HK</x:v>
      </x:c>
      <x:c r="C1309" s="11" t="str">
        <x:v>constructionCapitalCashUSDmillion</x:v>
      </x:c>
      <x:c r="D1309" s="39" t="n">
        <x:v>115.183</x:v>
      </x:c>
      <x:c r="E1309" s="11" t="str">
        <x:v>USD</x:v>
      </x:c>
      <x:c r="F1309" s="11" t="str">
        <x:v>million</x:v>
      </x:c>
      <x:c r="G1309" s="11" t="str">
        <x:v>Q1FY2026/27 ended2026-06-30</x:v>
      </x:c>
      <x:c r="H1309" s="11" t="str">
        <x:v>2026-08-13结果新闻；精确HKEX公开时分未核验</x:v>
      </x:c>
      <x:c r="I1309" s="11" t="str">
        <x:v>https://doc.irasia.com/listco/hk/lenovo/interim/2027/int1q.pdf</x:v>
      </x:c>
      <x:c r="J1309" s="11" t="str"/>
      <x:c r="K1309" s="11" t="str">
        <x:v>待核</x:v>
      </x:c>
      <x:c r="L1309" s="11" t="str">
        <x:v>精确发布时间未核验</x:v>
      </x:c>
      <x:c r="M1309" s="11" t="str">
        <x:v>截止日前日期，盘中时分未核</x:v>
      </x:c>
    </x:row>
    <x:row r="1310" ht="23" customHeight="1">
      <x:c r="A1310" s="11" t="str">
        <x:v>I065</x:v>
      </x:c>
      <x:c r="B1310" s="11" t="str">
        <x:v>00992.HK</x:v>
      </x:c>
      <x:c r="C1310" s="11" t="str">
        <x:v>intangibleCapitalCashUSDmillion</x:v>
      </x:c>
      <x:c r="D1310" s="39" t="n">
        <x:v>168.018</x:v>
      </x:c>
      <x:c r="E1310" s="11" t="str">
        <x:v>USD</x:v>
      </x:c>
      <x:c r="F1310" s="11" t="str">
        <x:v>million</x:v>
      </x:c>
      <x:c r="G1310" s="11" t="str">
        <x:v>Q1FY2026/27 ended2026-06-30</x:v>
      </x:c>
      <x:c r="H1310" s="11" t="str">
        <x:v>2026-08-13结果新闻；精确HKEX公开时分未核验</x:v>
      </x:c>
      <x:c r="I1310" s="11" t="str">
        <x:v>https://doc.irasia.com/listco/hk/lenovo/interim/2027/int1q.pdf</x:v>
      </x:c>
      <x:c r="J1310" s="11" t="str"/>
      <x:c r="K1310" s="11" t="str">
        <x:v>待核</x:v>
      </x:c>
      <x:c r="L1310" s="11" t="str">
        <x:v>精确发布时间未核验</x:v>
      </x:c>
      <x:c r="M1310" s="11" t="str">
        <x:v>截止日前日期，盘中时分未核</x:v>
      </x:c>
    </x:row>
    <x:row r="1311" ht="23" customHeight="1">
      <x:c r="A1311" s="11" t="str">
        <x:v>I065</x:v>
      </x:c>
      <x:c r="B1311" s="11" t="str">
        <x:v>00992.HK</x:v>
      </x:c>
      <x:c r="C1311" s="11" t="str">
        <x:v>leasePrincipalCashUSDmillion</x:v>
      </x:c>
      <x:c r="D1311" s="39" t="n">
        <x:v>30.355</x:v>
      </x:c>
      <x:c r="E1311" s="11" t="str">
        <x:v>USD</x:v>
      </x:c>
      <x:c r="F1311" s="11" t="str">
        <x:v>million</x:v>
      </x:c>
      <x:c r="G1311" s="11" t="str">
        <x:v>Q1FY2026/27 ended2026-06-30</x:v>
      </x:c>
      <x:c r="H1311" s="11" t="str">
        <x:v>2026-08-13结果新闻；精确HKEX公开时分未核验</x:v>
      </x:c>
      <x:c r="I1311" s="11" t="str">
        <x:v>https://doc.irasia.com/listco/hk/lenovo/interim/2027/int1q.pdf</x:v>
      </x:c>
      <x:c r="J1311" s="11" t="str"/>
      <x:c r="K1311" s="11" t="str">
        <x:v>待核</x:v>
      </x:c>
      <x:c r="L1311" s="11" t="str">
        <x:v>精确发布时间未核验</x:v>
      </x:c>
      <x:c r="M1311" s="11" t="str">
        <x:v>截止日前日期，盘中时分未核</x:v>
      </x:c>
    </x:row>
    <x:row r="1312" ht="23" customHeight="1">
      <x:c r="A1312" s="11" t="str">
        <x:v>I065</x:v>
      </x:c>
      <x:c r="B1312" s="11" t="str">
        <x:v>00992.HK</x:v>
      </x:c>
      <x:c r="C1312" s="11" t="str">
        <x:v>FCFAfterLeaseProxyUSDmillion</x:v>
      </x:c>
      <x:c r="D1312" s="39" t="n">
        <x:v>-22.264</x:v>
      </x:c>
      <x:c r="E1312" s="11" t="str">
        <x:v>USD</x:v>
      </x:c>
      <x:c r="F1312" s="11" t="str">
        <x:v>million</x:v>
      </x:c>
      <x:c r="G1312" s="11" t="str">
        <x:v>Q1FY2026/27 ended2026-06-30</x:v>
      </x:c>
      <x:c r="H1312" s="11" t="str">
        <x:v>2026-08-13结果新闻；精确HKEX公开时分未核验</x:v>
      </x:c>
      <x:c r="I1312" s="11" t="str">
        <x:v>https://doc.irasia.com/listco/hk/lenovo/interim/2027/int1q.pdf</x:v>
      </x:c>
      <x:c r="J1312" s="11" t="str"/>
      <x:c r="K1312" s="11" t="str">
        <x:v>待核</x:v>
      </x:c>
      <x:c r="L1312" s="11" t="str">
        <x:v>精确发布时间未核验</x:v>
      </x:c>
      <x:c r="M1312" s="11" t="str">
        <x:v>截止日前日期，盘中时分未核</x:v>
      </x:c>
    </x:row>
    <x:row r="1313" ht="23" customHeight="1">
      <x:c r="A1313" s="11" t="str">
        <x:v>I065</x:v>
      </x:c>
      <x:c r="B1313" s="11" t="str">
        <x:v>00992.HK</x:v>
      </x:c>
      <x:c r="C1313" s="11" t="str">
        <x:v>acquisitionSubsNetCashUSDmillion</x:v>
      </x:c>
      <x:c r="D1313" s="39" t="n">
        <x:v>427.33</x:v>
      </x:c>
      <x:c r="E1313" s="11" t="str">
        <x:v>USD</x:v>
      </x:c>
      <x:c r="F1313" s="11" t="str">
        <x:v>million</x:v>
      </x:c>
      <x:c r="G1313" s="11" t="str">
        <x:v>Q1FY2026/27 ended2026-06-30</x:v>
      </x:c>
      <x:c r="H1313" s="11" t="str">
        <x:v>2026-08-13结果新闻；精确HKEX公开时分未核验</x:v>
      </x:c>
      <x:c r="I1313" s="11" t="str">
        <x:v>https://doc.irasia.com/listco/hk/lenovo/interim/2027/int1q.pdf</x:v>
      </x:c>
      <x:c r="J1313" s="11" t="str"/>
      <x:c r="K1313" s="11" t="str">
        <x:v>待核</x:v>
      </x:c>
      <x:c r="L1313" s="11" t="str">
        <x:v>精确发布时间未核验</x:v>
      </x:c>
      <x:c r="M1313" s="11" t="str">
        <x:v>截止日前日期，盘中时分未核</x:v>
      </x:c>
    </x:row>
    <x:row r="1314" ht="23" customHeight="1">
      <x:c r="A1314" s="11" t="str">
        <x:v>I065</x:v>
      </x:c>
      <x:c r="B1314" s="11" t="str">
        <x:v>00992.HK</x:v>
      </x:c>
      <x:c r="C1314" s="11" t="str">
        <x:v>convertibleProceedsUSDmillion</x:v>
      </x:c>
      <x:c r="D1314" s="39" t="n">
        <x:v>2000</x:v>
      </x:c>
      <x:c r="E1314" s="11" t="str">
        <x:v>USD</x:v>
      </x:c>
      <x:c r="F1314" s="11" t="str">
        <x:v>million</x:v>
      </x:c>
      <x:c r="G1314" s="11" t="str">
        <x:v>Q1FY2026/27 ended2026-06-30</x:v>
      </x:c>
      <x:c r="H1314" s="11" t="str">
        <x:v>2026-08-13结果新闻；精确HKEX公开时分未核验</x:v>
      </x:c>
      <x:c r="I1314" s="11" t="str">
        <x:v>https://doc.irasia.com/listco/hk/lenovo/interim/2027/int1q.pdf</x:v>
      </x:c>
      <x:c r="J1314" s="11" t="str"/>
      <x:c r="K1314" s="11" t="str">
        <x:v>待核</x:v>
      </x:c>
      <x:c r="L1314" s="11" t="str">
        <x:v>精确发布时间未核验</x:v>
      </x:c>
      <x:c r="M1314" s="11" t="str">
        <x:v>截止日前日期，盘中时分未核</x:v>
      </x:c>
    </x:row>
    <x:row r="1315" ht="23" customHeight="1">
      <x:c r="A1315" s="11" t="str">
        <x:v>I065</x:v>
      </x:c>
      <x:c r="B1315" s="11" t="str">
        <x:v>00992.HK</x:v>
      </x:c>
      <x:c r="C1315" s="11" t="str">
        <x:v>convertibleRepurchaseUSDmillion</x:v>
      </x:c>
      <x:c r="D1315" s="39" t="n">
        <x:v>659.823</x:v>
      </x:c>
      <x:c r="E1315" s="11" t="str">
        <x:v>USD</x:v>
      </x:c>
      <x:c r="F1315" s="11" t="str">
        <x:v>million</x:v>
      </x:c>
      <x:c r="G1315" s="11" t="str">
        <x:v>Q1FY2026/27 ended2026-06-30</x:v>
      </x:c>
      <x:c r="H1315" s="11" t="str">
        <x:v>2026-08-13结果新闻；精确HKEX公开时分未核验</x:v>
      </x:c>
      <x:c r="I1315" s="11" t="str">
        <x:v>https://doc.irasia.com/listco/hk/lenovo/interim/2027/int1q.pdf</x:v>
      </x:c>
      <x:c r="J1315" s="11" t="str"/>
      <x:c r="K1315" s="11" t="str">
        <x:v>待核</x:v>
      </x:c>
      <x:c r="L1315" s="11" t="str">
        <x:v>精确发布时间未核验</x:v>
      </x:c>
      <x:c r="M1315" s="11" t="str">
        <x:v>截止日前日期，盘中时分未核</x:v>
      </x:c>
    </x:row>
    <x:row r="1316" ht="23" customHeight="1">
      <x:c r="A1316" s="11" t="str">
        <x:v>I065</x:v>
      </x:c>
      <x:c r="B1316" s="11" t="str">
        <x:v>00992.HK</x:v>
      </x:c>
      <x:c r="C1316" s="11" t="str">
        <x:v>convertibleIssueCostUSDmillion</x:v>
      </x:c>
      <x:c r="D1316" s="39" t="n">
        <x:v>21</x:v>
      </x:c>
      <x:c r="E1316" s="11" t="str">
        <x:v>USD</x:v>
      </x:c>
      <x:c r="F1316" s="11" t="str">
        <x:v>million</x:v>
      </x:c>
      <x:c r="G1316" s="11" t="str">
        <x:v>Q1FY2026/27 ended2026-06-30</x:v>
      </x:c>
      <x:c r="H1316" s="11" t="str">
        <x:v>2026-08-13结果新闻；精确HKEX公开时分未核验</x:v>
      </x:c>
      <x:c r="I1316" s="11" t="str">
        <x:v>https://doc.irasia.com/listco/hk/lenovo/interim/2027/int1q.pdf</x:v>
      </x:c>
      <x:c r="J1316" s="11" t="str"/>
      <x:c r="K1316" s="11" t="str">
        <x:v>待核</x:v>
      </x:c>
      <x:c r="L1316" s="11" t="str">
        <x:v>精确发布时间未核验</x:v>
      </x:c>
      <x:c r="M1316" s="11" t="str">
        <x:v>截止日前日期，盘中时分未核</x:v>
      </x:c>
    </x:row>
    <x:row r="1317" ht="23" customHeight="1">
      <x:c r="A1317" s="11" t="str">
        <x:v>I065</x:v>
      </x:c>
      <x:c r="B1317" s="11" t="str">
        <x:v>00992.HK</x:v>
      </x:c>
      <x:c r="C1317" s="11" t="str">
        <x:v>cashUSDmillion</x:v>
      </x:c>
      <x:c r="D1317" s="39" t="n">
        <x:v>5907.477</x:v>
      </x:c>
      <x:c r="E1317" s="11" t="str">
        <x:v>USD</x:v>
      </x:c>
      <x:c r="F1317" s="11" t="str">
        <x:v>million</x:v>
      </x:c>
      <x:c r="G1317" s="11" t="str">
        <x:v>Q1FY2026/27 ended2026-06-30</x:v>
      </x:c>
      <x:c r="H1317" s="11" t="str">
        <x:v>2026-08-13结果新闻；精确HKEX公开时分未核验</x:v>
      </x:c>
      <x:c r="I1317" s="11" t="str">
        <x:v>https://doc.irasia.com/listco/hk/lenovo/interim/2027/int1q.pdf</x:v>
      </x:c>
      <x:c r="J1317" s="11" t="str"/>
      <x:c r="K1317" s="11" t="str">
        <x:v>待核</x:v>
      </x:c>
      <x:c r="L1317" s="11" t="str">
        <x:v>精确发布时间未核验</x:v>
      </x:c>
      <x:c r="M1317" s="11" t="str">
        <x:v>截止日前日期，盘中时分未核</x:v>
      </x:c>
    </x:row>
    <x:row r="1318" ht="23" customHeight="1">
      <x:c r="A1318" s="11" t="str">
        <x:v>I065</x:v>
      </x:c>
      <x:c r="B1318" s="11" t="str">
        <x:v>00992.HK</x:v>
      </x:c>
      <x:c r="C1318" s="11" t="str">
        <x:v>bankDepositsUSDmillion</x:v>
      </x:c>
      <x:c r="D1318" s="39" t="n">
        <x:v>173.304</x:v>
      </x:c>
      <x:c r="E1318" s="11" t="str">
        <x:v>USD</x:v>
      </x:c>
      <x:c r="F1318" s="11" t="str">
        <x:v>million</x:v>
      </x:c>
      <x:c r="G1318" s="11" t="str">
        <x:v>Q1FY2026/27 ended2026-06-30</x:v>
      </x:c>
      <x:c r="H1318" s="11" t="str">
        <x:v>2026-08-13结果新闻；精确HKEX公开时分未核验</x:v>
      </x:c>
      <x:c r="I1318" s="11" t="str">
        <x:v>https://doc.irasia.com/listco/hk/lenovo/interim/2027/int1q.pdf</x:v>
      </x:c>
      <x:c r="J1318" s="11" t="str"/>
      <x:c r="K1318" s="11" t="str">
        <x:v>待核</x:v>
      </x:c>
      <x:c r="L1318" s="11" t="str">
        <x:v>精确发布时间未核验</x:v>
      </x:c>
      <x:c r="M1318" s="11" t="str">
        <x:v>截止日前日期，盘中时分未核</x:v>
      </x:c>
    </x:row>
    <x:row r="1319" ht="23" customHeight="1">
      <x:c r="A1319" s="11" t="str">
        <x:v>I065</x:v>
      </x:c>
      <x:c r="B1319" s="11" t="str">
        <x:v>00992.HK</x:v>
      </x:c>
      <x:c r="C1319" s="11" t="str">
        <x:v>borrowingsUSDmillion</x:v>
      </x:c>
      <x:c r="D1319" s="39" t="n">
        <x:v>6260.099</x:v>
      </x:c>
      <x:c r="E1319" s="11" t="str">
        <x:v>USD</x:v>
      </x:c>
      <x:c r="F1319" s="11" t="str">
        <x:v>million</x:v>
      </x:c>
      <x:c r="G1319" s="11" t="str">
        <x:v>Q1FY2026/27 ended2026-06-30</x:v>
      </x:c>
      <x:c r="H1319" s="11" t="str">
        <x:v>2026-08-13结果新闻；精确HKEX公开时分未核验</x:v>
      </x:c>
      <x:c r="I1319" s="11" t="str">
        <x:v>https://doc.irasia.com/listco/hk/lenovo/interim/2027/int1q.pdf</x:v>
      </x:c>
      <x:c r="J1319" s="11" t="str"/>
      <x:c r="K1319" s="11" t="str">
        <x:v>待核</x:v>
      </x:c>
      <x:c r="L1319" s="11" t="str">
        <x:v>精确发布时间未核验</x:v>
      </x:c>
      <x:c r="M1319" s="11" t="str">
        <x:v>截止日前日期，盘中时分未核</x:v>
      </x:c>
    </x:row>
    <x:row r="1320" ht="23" customHeight="1">
      <x:c r="A1320" s="11" t="str">
        <x:v>I065</x:v>
      </x:c>
      <x:c r="B1320" s="11" t="str">
        <x:v>00992.HK</x:v>
      </x:c>
      <x:c r="C1320" s="11" t="str">
        <x:v>managementNetDebtProxyUSDmillion</x:v>
      </x:c>
      <x:c r="D1320" s="39" t="n">
        <x:v>179.318</x:v>
      </x:c>
      <x:c r="E1320" s="11" t="str">
        <x:v>USD</x:v>
      </x:c>
      <x:c r="F1320" s="11" t="str">
        <x:v>million</x:v>
      </x:c>
      <x:c r="G1320" s="11" t="str">
        <x:v>Q1FY2026/27 ended2026-06-30</x:v>
      </x:c>
      <x:c r="H1320" s="11" t="str">
        <x:v>2026-08-13结果新闻；精确HKEX公开时分未核验</x:v>
      </x:c>
      <x:c r="I1320" s="11" t="str">
        <x:v>https://doc.irasia.com/listco/hk/lenovo/interim/2027/int1q.pdf</x:v>
      </x:c>
      <x:c r="J1320" s="11" t="str"/>
      <x:c r="K1320" s="11" t="str">
        <x:v>待核</x:v>
      </x:c>
      <x:c r="L1320" s="11" t="str">
        <x:v>精确发布时间未核验</x:v>
      </x:c>
      <x:c r="M1320" s="11" t="str">
        <x:v>截止日前日期，盘中时分未核</x:v>
      </x:c>
    </x:row>
    <x:row r="1321" ht="23" customHeight="1">
      <x:c r="A1321" s="11" t="str">
        <x:v>I065</x:v>
      </x:c>
      <x:c r="B1321" s="11" t="str">
        <x:v>00992.HK</x:v>
      </x:c>
      <x:c r="C1321" s="11" t="str">
        <x:v>inventoryUSDmillion</x:v>
      </x:c>
      <x:c r="D1321" s="39" t="n">
        <x:v>15741.947</x:v>
      </x:c>
      <x:c r="E1321" s="11" t="str">
        <x:v>USD</x:v>
      </x:c>
      <x:c r="F1321" s="11" t="str">
        <x:v>million</x:v>
      </x:c>
      <x:c r="G1321" s="11" t="str">
        <x:v>Q1FY2026/27 ended2026-06-30</x:v>
      </x:c>
      <x:c r="H1321" s="11" t="str">
        <x:v>2026-08-13结果新闻；精确HKEX公开时分未核验</x:v>
      </x:c>
      <x:c r="I1321" s="11" t="str">
        <x:v>https://doc.irasia.com/listco/hk/lenovo/interim/2027/int1q.pdf</x:v>
      </x:c>
      <x:c r="J1321" s="11" t="str"/>
      <x:c r="K1321" s="11" t="str">
        <x:v>待核</x:v>
      </x:c>
      <x:c r="L1321" s="11" t="str">
        <x:v>精确发布时间未核验</x:v>
      </x:c>
      <x:c r="M1321" s="11" t="str">
        <x:v>截止日前日期，盘中时分未核</x:v>
      </x:c>
    </x:row>
    <x:row r="1322" ht="23" customHeight="1">
      <x:c r="A1322" s="11" t="str">
        <x:v>I065</x:v>
      </x:c>
      <x:c r="B1322" s="11" t="str">
        <x:v>00992.HK</x:v>
      </x:c>
      <x:c r="C1322" s="11" t="str">
        <x:v>tradeLeaseNoteReceivablesUSDmillion</x:v>
      </x:c>
      <x:c r="D1322" s="39" t="n">
        <x:v>19265.786</x:v>
      </x:c>
      <x:c r="E1322" s="11" t="str">
        <x:v>USD</x:v>
      </x:c>
      <x:c r="F1322" s="11" t="str">
        <x:v>million</x:v>
      </x:c>
      <x:c r="G1322" s="11" t="str">
        <x:v>Q1FY2026/27 ended2026-06-30</x:v>
      </x:c>
      <x:c r="H1322" s="11" t="str">
        <x:v>2026-08-13结果新闻；精确HKEX公开时分未核验</x:v>
      </x:c>
      <x:c r="I1322" s="11" t="str">
        <x:v>https://doc.irasia.com/listco/hk/lenovo/interim/2027/int1q.pdf</x:v>
      </x:c>
      <x:c r="J1322" s="11" t="str"/>
      <x:c r="K1322" s="11" t="str">
        <x:v>待核</x:v>
      </x:c>
      <x:c r="L1322" s="11" t="str">
        <x:v>精确发布时间未核验</x:v>
      </x:c>
      <x:c r="M1322" s="11" t="str">
        <x:v>截止日前日期，盘中时分未核</x:v>
      </x:c>
    </x:row>
    <x:row r="1323" ht="23" customHeight="1">
      <x:c r="A1323" s="11" t="str">
        <x:v>I065</x:v>
      </x:c>
      <x:c r="B1323" s="11" t="str">
        <x:v>00992.HK</x:v>
      </x:c>
      <x:c r="C1323" s="11" t="str">
        <x:v>depositPrepaymentOtherReceivablesUSDmillion</x:v>
      </x:c>
      <x:c r="D1323" s="39" t="n">
        <x:v>9000.924</x:v>
      </x:c>
      <x:c r="E1323" s="11" t="str">
        <x:v>USD</x:v>
      </x:c>
      <x:c r="F1323" s="11" t="str">
        <x:v>million</x:v>
      </x:c>
      <x:c r="G1323" s="11" t="str">
        <x:v>Q1FY2026/27 ended2026-06-30</x:v>
      </x:c>
      <x:c r="H1323" s="11" t="str">
        <x:v>2026-08-13结果新闻；精确HKEX公开时分未核验</x:v>
      </x:c>
      <x:c r="I1323" s="11" t="str">
        <x:v>https://doc.irasia.com/listco/hk/lenovo/interim/2027/int1q.pdf</x:v>
      </x:c>
      <x:c r="J1323" s="11" t="str"/>
      <x:c r="K1323" s="11" t="str">
        <x:v>待核</x:v>
      </x:c>
      <x:c r="L1323" s="11" t="str">
        <x:v>精确发布时间未核验</x:v>
      </x:c>
      <x:c r="M1323" s="11" t="str">
        <x:v>截止日前日期，盘中时分未核</x:v>
      </x:c>
    </x:row>
    <x:row r="1324" ht="23" customHeight="1">
      <x:c r="A1324" s="11" t="str">
        <x:v>I065</x:v>
      </x:c>
      <x:c r="B1324" s="11" t="str">
        <x:v>00992.HK</x:v>
      </x:c>
      <x:c r="C1324" s="11" t="str">
        <x:v>tradeNotePayablesUSDmillion</x:v>
      </x:c>
      <x:c r="D1324" s="39" t="n">
        <x:v>24397.551</x:v>
      </x:c>
      <x:c r="E1324" s="11" t="str">
        <x:v>USD</x:v>
      </x:c>
      <x:c r="F1324" s="11" t="str">
        <x:v>million</x:v>
      </x:c>
      <x:c r="G1324" s="11" t="str">
        <x:v>Q1FY2026/27 ended2026-06-30</x:v>
      </x:c>
      <x:c r="H1324" s="11" t="str">
        <x:v>2026-08-13结果新闻；精确HKEX公开时分未核验</x:v>
      </x:c>
      <x:c r="I1324" s="11" t="str">
        <x:v>https://doc.irasia.com/listco/hk/lenovo/interim/2027/int1q.pdf</x:v>
      </x:c>
      <x:c r="J1324" s="11" t="str"/>
      <x:c r="K1324" s="11" t="str">
        <x:v>待核</x:v>
      </x:c>
      <x:c r="L1324" s="11" t="str">
        <x:v>精确发布时间未核验</x:v>
      </x:c>
      <x:c r="M1324" s="11" t="str">
        <x:v>截止日前日期，盘中时分未核</x:v>
      </x:c>
    </x:row>
    <x:row r="1325" ht="23" customHeight="1">
      <x:c r="A1325" s="11" t="str">
        <x:v>I065</x:v>
      </x:c>
      <x:c r="B1325" s="11" t="str">
        <x:v>00992.HK</x:v>
      </x:c>
      <x:c r="C1325" s="11" t="str">
        <x:v>otherPayablesAccrualsUSDmillion</x:v>
      </x:c>
      <x:c r="D1325" s="39" t="n">
        <x:v>21179.254</x:v>
      </x:c>
      <x:c r="E1325" s="11" t="str">
        <x:v>USD</x:v>
      </x:c>
      <x:c r="F1325" s="11" t="str">
        <x:v>million</x:v>
      </x:c>
      <x:c r="G1325" s="11" t="str">
        <x:v>Q1FY2026/27 ended2026-06-30</x:v>
      </x:c>
      <x:c r="H1325" s="11" t="str">
        <x:v>2026-08-13结果新闻；精确HKEX公开时分未核验</x:v>
      </x:c>
      <x:c r="I1325" s="11" t="str">
        <x:v>https://doc.irasia.com/listco/hk/lenovo/interim/2027/int1q.pdf</x:v>
      </x:c>
      <x:c r="J1325" s="11" t="str"/>
      <x:c r="K1325" s="11" t="str">
        <x:v>待核</x:v>
      </x:c>
      <x:c r="L1325" s="11" t="str">
        <x:v>精确发布时间未核验</x:v>
      </x:c>
      <x:c r="M1325" s="11" t="str">
        <x:v>截止日前日期，盘中时分未核</x:v>
      </x:c>
    </x:row>
    <x:row r="1326" ht="23" customHeight="1">
      <x:c r="A1326" s="11" t="str">
        <x:v>I065</x:v>
      </x:c>
      <x:c r="B1326" s="11" t="str">
        <x:v>00992.HK</x:v>
      </x:c>
      <x:c r="C1326" s="11" t="str">
        <x:v>deferredRevenueUSDmillion</x:v>
      </x:c>
      <x:c r="D1326" s="39" t="n">
        <x:v>4207.986</x:v>
      </x:c>
      <x:c r="E1326" s="11" t="str">
        <x:v>USD</x:v>
      </x:c>
      <x:c r="F1326" s="11" t="str">
        <x:v>million</x:v>
      </x:c>
      <x:c r="G1326" s="11" t="str">
        <x:v>Q1FY2026/27 ended2026-06-30</x:v>
      </x:c>
      <x:c r="H1326" s="11" t="str">
        <x:v>2026-08-13结果新闻；精确HKEX公开时分未核验</x:v>
      </x:c>
      <x:c r="I1326" s="11" t="str">
        <x:v>https://doc.irasia.com/listco/hk/lenovo/interim/2027/int1q.pdf</x:v>
      </x:c>
      <x:c r="J1326" s="11" t="str"/>
      <x:c r="K1326" s="11" t="str">
        <x:v>待核</x:v>
      </x:c>
      <x:c r="L1326" s="11" t="str">
        <x:v>精确发布时间未核验</x:v>
      </x:c>
      <x:c r="M1326" s="11" t="str">
        <x:v>截止日前日期，盘中时分未核</x:v>
      </x:c>
    </x:row>
    <x:row r="1327" ht="23" customHeight="1">
      <x:c r="A1327" s="11" t="str">
        <x:v>I065</x:v>
      </x:c>
      <x:c r="B1327" s="11" t="str">
        <x:v>00992.HK</x:v>
      </x:c>
      <x:c r="C1327" s="11" t="str">
        <x:v>ownerEquityUSDmillion</x:v>
      </x:c>
      <x:c r="D1327" s="39" t="n">
        <x:v>7213.359</x:v>
      </x:c>
      <x:c r="E1327" s="11" t="str">
        <x:v>USD</x:v>
      </x:c>
      <x:c r="F1327" s="11" t="str">
        <x:v>million</x:v>
      </x:c>
      <x:c r="G1327" s="11" t="str">
        <x:v>Q1FY2026/27 ended2026-06-30</x:v>
      </x:c>
      <x:c r="H1327" s="11" t="str">
        <x:v>2026-08-13结果新闻；精确HKEX公开时分未核验</x:v>
      </x:c>
      <x:c r="I1327" s="11" t="str">
        <x:v>https://doc.irasia.com/listco/hk/lenovo/interim/2027/int1q.pdf</x:v>
      </x:c>
      <x:c r="J1327" s="11" t="str"/>
      <x:c r="K1327" s="11" t="str">
        <x:v>待核</x:v>
      </x:c>
      <x:c r="L1327" s="11" t="str">
        <x:v>精确发布时间未核验</x:v>
      </x:c>
      <x:c r="M1327" s="11" t="str">
        <x:v>截止日前日期，盘中时分未核</x:v>
      </x:c>
    </x:row>
    <x:row r="1328" ht="23" customHeight="1">
      <x:c r="A1328" s="11" t="str">
        <x:v>I065</x:v>
      </x:c>
      <x:c r="B1328" s="11" t="str">
        <x:v>00992.HK</x:v>
      </x:c>
      <x:c r="C1328" s="11" t="str">
        <x:v>leaseLiabilityUSDmillion</x:v>
      </x:c>
      <x:c r="D1328" s="39" t="n">
        <x:v>406.061</x:v>
      </x:c>
      <x:c r="E1328" s="11" t="str">
        <x:v>USD</x:v>
      </x:c>
      <x:c r="F1328" s="11" t="str">
        <x:v>million</x:v>
      </x:c>
      <x:c r="G1328" s="11" t="str">
        <x:v>Q1FY2026/27 ended2026-06-30</x:v>
      </x:c>
      <x:c r="H1328" s="11" t="str">
        <x:v>2026-08-13结果新闻；精确HKEX公开时分未核验</x:v>
      </x:c>
      <x:c r="I1328" s="11" t="str">
        <x:v>https://doc.irasia.com/listco/hk/lenovo/interim/2027/int1q.pdf</x:v>
      </x:c>
      <x:c r="J1328" s="11" t="str"/>
      <x:c r="K1328" s="11" t="str">
        <x:v>待核</x:v>
      </x:c>
      <x:c r="L1328" s="11" t="str">
        <x:v>精确发布时间未核验</x:v>
      </x:c>
      <x:c r="M1328" s="11" t="str">
        <x:v>截止日前日期，盘中时分未核</x:v>
      </x:c>
    </x:row>
    <x:row r="1329" ht="23" customHeight="1">
      <x:c r="A1329" s="11" t="str">
        <x:v>I065</x:v>
      </x:c>
      <x:c r="B1329" s="11" t="str">
        <x:v>00992.HK</x:v>
      </x:c>
      <x:c r="C1329" s="11" t="str">
        <x:v>putOptionNCI_USDmillion</x:v>
      </x:c>
      <x:c r="D1329" s="39" t="n">
        <x:v>547.353</x:v>
      </x:c>
      <x:c r="E1329" s="11" t="str">
        <x:v>USD</x:v>
      </x:c>
      <x:c r="F1329" s="11" t="str">
        <x:v>million</x:v>
      </x:c>
      <x:c r="G1329" s="11" t="str">
        <x:v>Q1FY2026/27 ended2026-06-30</x:v>
      </x:c>
      <x:c r="H1329" s="11" t="str">
        <x:v>2026-08-13结果新闻；精确HKEX公开时分未核验</x:v>
      </x:c>
      <x:c r="I1329" s="11" t="str">
        <x:v>https://doc.irasia.com/listco/hk/lenovo/interim/2027/int1q.pdf</x:v>
      </x:c>
      <x:c r="J1329" s="11" t="str"/>
      <x:c r="K1329" s="11" t="str">
        <x:v>待核</x:v>
      </x:c>
      <x:c r="L1329" s="11" t="str">
        <x:v>精确发布时间未核验</x:v>
      </x:c>
      <x:c r="M1329" s="11" t="str">
        <x:v>截止日前日期，盘中时分未核</x:v>
      </x:c>
    </x:row>
    <x:row r="1330" ht="23" customHeight="1">
      <x:c r="A1330" s="11" t="str">
        <x:v>I065</x:v>
      </x:c>
      <x:c r="B1330" s="11" t="str">
        <x:v>00992.HK</x:v>
      </x:c>
      <x:c r="C1330" s="11" t="str">
        <x:v>AIRevenueRoundedUSDmillion</x:v>
      </x:c>
      <x:c r="D1330" s="39" t="n">
        <x:v>9300</x:v>
      </x:c>
      <x:c r="E1330" s="11" t="str">
        <x:v>USD</x:v>
      </x:c>
      <x:c r="F1330" s="11" t="str">
        <x:v>million</x:v>
      </x:c>
      <x:c r="G1330" s="11" t="str">
        <x:v>Q1FY2026/27 ended2026-06-30</x:v>
      </x:c>
      <x:c r="H1330" s="11" t="str">
        <x:v>2026-08-13结果新闻；精确HKEX公开时分未核验</x:v>
      </x:c>
      <x:c r="I1330" s="11" t="str">
        <x:v>https://doc.irasia.com/listco/hk/lenovo/interim/2027/int1q.pdf</x:v>
      </x:c>
      <x:c r="J1330" s="11" t="str"/>
      <x:c r="K1330" s="11" t="str">
        <x:v>待核</x:v>
      </x:c>
      <x:c r="L1330" s="11" t="str">
        <x:v>精确发布时间未核验</x:v>
      </x:c>
      <x:c r="M1330" s="11" t="str">
        <x:v>截止日前日期，盘中时分未核</x:v>
      </x:c>
    </x:row>
    <x:row r="1331" ht="23" customHeight="1">
      <x:c r="A1331" s="11" t="str">
        <x:v>I065</x:v>
      </x:c>
      <x:c r="B1331" s="11" t="str">
        <x:v>00992.HK</x:v>
      </x:c>
      <x:c r="C1331" s="11" t="str">
        <x:v>AIServerPipelineUSDmillion</x:v>
      </x:c>
      <x:c r="D1331" s="39" t="n">
        <x:v>54000</x:v>
      </x:c>
      <x:c r="E1331" s="11" t="str">
        <x:v>USD</x:v>
      </x:c>
      <x:c r="F1331" s="11" t="str">
        <x:v>million</x:v>
      </x:c>
      <x:c r="G1331" s="11" t="str">
        <x:v>Q1FY2026/27 ended2026-06-30</x:v>
      </x:c>
      <x:c r="H1331" s="11" t="str">
        <x:v>2026-08-13结果新闻；精确HKEX公开时分未核验</x:v>
      </x:c>
      <x:c r="I1331" s="11" t="str">
        <x:v>https://doc.irasia.com/listco/hk/lenovo/interim/2027/int1q.pdf</x:v>
      </x:c>
      <x:c r="J1331" s="11" t="str"/>
      <x:c r="K1331" s="11" t="str">
        <x:v>待核</x:v>
      </x:c>
      <x:c r="L1331" s="11" t="str">
        <x:v>精确发布时间未核验</x:v>
      </x:c>
      <x:c r="M1331" s="11" t="str">
        <x:v>截止日前日期，盘中时分未核</x:v>
      </x:c>
    </x:row>
    <x:row r="1332" ht="23" customHeight="1">
      <x:c r="A1332" s="11" t="str">
        <x:v>I065</x:v>
      </x:c>
      <x:c r="B1332" s="11" t="str">
        <x:v>00992.HK</x:v>
      </x:c>
      <x:c r="C1332" s="11" t="str">
        <x:v>convertible2029PrincipalJuneUSDmillion</x:v>
      </x:c>
      <x:c r="D1332" s="39" t="n">
        <x:v>450</x:v>
      </x:c>
      <x:c r="E1332" s="11" t="str">
        <x:v>USD</x:v>
      </x:c>
      <x:c r="F1332" s="11" t="str">
        <x:v>million</x:v>
      </x:c>
      <x:c r="G1332" s="11" t="str">
        <x:v>FY2029</x:v>
      </x:c>
      <x:c r="H1332" s="11" t="str">
        <x:v>2026-08-13结果新闻；精确HKEX公开时分未核验</x:v>
      </x:c>
      <x:c r="I1332" s="11" t="str">
        <x:v>https://doc.irasia.com/listco/hk/lenovo/interim/2027/int1q.pdf</x:v>
      </x:c>
      <x:c r="J1332" s="11" t="str"/>
      <x:c r="K1332" s="11" t="str">
        <x:v>待核</x:v>
      </x:c>
      <x:c r="L1332" s="11" t="str">
        <x:v>精确发布时间未核验</x:v>
      </x:c>
      <x:c r="M1332" s="11" t="str">
        <x:v>截止日前日期，盘中时分未核</x:v>
      </x:c>
    </x:row>
    <x:row r="1333" ht="23" customHeight="1">
      <x:c r="A1333" s="11" t="str">
        <x:v>I065</x:v>
      </x:c>
      <x:c r="B1333" s="11" t="str">
        <x:v>00992.HK</x:v>
      </x:c>
      <x:c r="C1333" s="11" t="str">
        <x:v>convertible2029OutstandingSeptUSDmillion</x:v>
      </x:c>
      <x:c r="D1333" s="39" t="n">
        <x:v>0</x:v>
      </x:c>
      <x:c r="E1333" s="11" t="str">
        <x:v>USD</x:v>
      </x:c>
      <x:c r="F1333" s="11" t="str">
        <x:v>million</x:v>
      </x:c>
      <x:c r="G1333" s="11" t="str">
        <x:v>FY2029</x:v>
      </x:c>
      <x:c r="H1333" s="11" t="str">
        <x:v>2026-08-13结果新闻；精确HKEX公开时分未核验</x:v>
      </x:c>
      <x:c r="I1333" s="11" t="str">
        <x:v>https://doc.irasia.com/listco/hk/lenovo/interim/2027/int1q.pdf</x:v>
      </x:c>
      <x:c r="J1333" s="11" t="str"/>
      <x:c r="K1333" s="11" t="str">
        <x:v>待核</x:v>
      </x:c>
      <x:c r="L1333" s="11" t="str">
        <x:v>精确发布时间未核验</x:v>
      </x:c>
      <x:c r="M1333" s="11" t="str">
        <x:v>截止日前日期，盘中时分未核</x:v>
      </x:c>
    </x:row>
    <x:row r="1334" ht="23" customHeight="1">
      <x:c r="A1334" s="11" t="str">
        <x:v>I065</x:v>
      </x:c>
      <x:c r="B1334" s="11" t="str">
        <x:v>00992.HK</x:v>
      </x:c>
      <x:c r="C1334" s="11" t="str">
        <x:v>convertible2028PrincipalUSDmillion</x:v>
      </x:c>
      <x:c r="D1334" s="39" t="n">
        <x:v>2000</x:v>
      </x:c>
      <x:c r="E1334" s="11" t="str">
        <x:v>USD</x:v>
      </x:c>
      <x:c r="F1334" s="11" t="str">
        <x:v>million</x:v>
      </x:c>
      <x:c r="G1334" s="11" t="str">
        <x:v>FY2028</x:v>
      </x:c>
      <x:c r="H1334" s="11" t="str">
        <x:v>2026-08-13结果新闻；精确HKEX公开时分未核验</x:v>
      </x:c>
      <x:c r="I1334" s="11" t="str">
        <x:v>https://doc.irasia.com/listco/hk/lenovo/interim/2027/int1q.pdf</x:v>
      </x:c>
      <x:c r="J1334" s="11" t="str"/>
      <x:c r="K1334" s="11" t="str">
        <x:v>待核</x:v>
      </x:c>
      <x:c r="L1334" s="11" t="str">
        <x:v>精确发布时间未核验</x:v>
      </x:c>
      <x:c r="M1334" s="11" t="str">
        <x:v>截止日前日期，盘中时分未核</x:v>
      </x:c>
    </x:row>
    <x:row r="1335" ht="23" customHeight="1">
      <x:c r="A1335" s="11" t="str">
        <x:v>I065</x:v>
      </x:c>
      <x:c r="B1335" s="11" t="str">
        <x:v>00992.HK</x:v>
      </x:c>
      <x:c r="C1335" s="11" t="str">
        <x:v>convertible2033PrincipalUSDmillion</x:v>
      </x:c>
      <x:c r="D1335" s="39" t="n">
        <x:v>2000</x:v>
      </x:c>
      <x:c r="E1335" s="11" t="str">
        <x:v>USD</x:v>
      </x:c>
      <x:c r="F1335" s="11" t="str">
        <x:v>million</x:v>
      </x:c>
      <x:c r="G1335" s="11" t="str">
        <x:v>FY2033</x:v>
      </x:c>
      <x:c r="H1335" s="11" t="str">
        <x:v>2026-08-13结果新闻；精确HKEX公开时分未核验</x:v>
      </x:c>
      <x:c r="I1335" s="11" t="str">
        <x:v>https://doc.irasia.com/listco/hk/lenovo/interim/2027/int1q.pdf</x:v>
      </x:c>
      <x:c r="J1335" s="11" t="str"/>
      <x:c r="K1335" s="11" t="str">
        <x:v>待核</x:v>
      </x:c>
      <x:c r="L1335" s="11" t="str">
        <x:v>精确发布时间未核验</x:v>
      </x:c>
      <x:c r="M1335" s="11" t="str">
        <x:v>截止日前日期，盘中时分未核</x:v>
      </x:c>
    </x:row>
    <x:row r="1336" ht="23" customHeight="1">
      <x:c r="A1336" s="11" t="str">
        <x:v>I065</x:v>
      </x:c>
      <x:c r="B1336" s="11" t="str">
        <x:v>00992.HK</x:v>
      </x:c>
      <x:c r="C1336" s="11" t="str">
        <x:v>convertible2028FullConversionShares</x:v>
      </x:c>
      <x:c r="D1336" s="39" t="n">
        <x:v>1667342582</x:v>
      </x:c>
      <x:c r="E1336" s="11" t="str">
        <x:v>not monetary</x:v>
      </x:c>
      <x:c r="F1336" s="11" t="str">
        <x:v>shares</x:v>
      </x:c>
      <x:c r="G1336" s="11" t="str">
        <x:v>FY2028</x:v>
      </x:c>
      <x:c r="H1336" s="11" t="str">
        <x:v>2026-08-13结果新闻；精确HKEX公开时分未核验</x:v>
      </x:c>
      <x:c r="I1336" s="11" t="str">
        <x:v>https://doc.irasia.com/listco/hk/lenovo/interim/2027/int1q.pdf</x:v>
      </x:c>
      <x:c r="J1336" s="11" t="str"/>
      <x:c r="K1336" s="11" t="str">
        <x:v>待核</x:v>
      </x:c>
      <x:c r="L1336" s="11" t="str">
        <x:v>精确发布时间未核验</x:v>
      </x:c>
      <x:c r="M1336" s="11" t="str">
        <x:v>截止日前日期，盘中时分未核</x:v>
      </x:c>
    </x:row>
    <x:row r="1337" ht="23" customHeight="1">
      <x:c r="A1337" s="11" t="str">
        <x:v>I065</x:v>
      </x:c>
      <x:c r="B1337" s="11" t="str">
        <x:v>00992.HK</x:v>
      </x:c>
      <x:c r="C1337" s="11" t="str">
        <x:v>convertible2033FullConversionShares</x:v>
      </x:c>
      <x:c r="D1337" s="39" t="n">
        <x:v>438343592</x:v>
      </x:c>
      <x:c r="E1337" s="11" t="str">
        <x:v>not monetary</x:v>
      </x:c>
      <x:c r="F1337" s="11" t="str">
        <x:v>shares</x:v>
      </x:c>
      <x:c r="G1337" s="11" t="str">
        <x:v>FY2033</x:v>
      </x:c>
      <x:c r="H1337" s="11" t="str">
        <x:v>2026-08-13结果新闻；精确HKEX公开时分未核验</x:v>
      </x:c>
      <x:c r="I1337" s="11" t="str">
        <x:v>https://doc.irasia.com/listco/hk/lenovo/interim/2027/int1q.pdf</x:v>
      </x:c>
      <x:c r="J1337" s="11" t="str"/>
      <x:c r="K1337" s="11" t="str">
        <x:v>待核</x:v>
      </x:c>
      <x:c r="L1337" s="11" t="str">
        <x:v>精确发布时间未核验</x:v>
      </x:c>
      <x:c r="M1337" s="11" t="str">
        <x:v>截止日前日期，盘中时分未核</x:v>
      </x:c>
    </x:row>
    <x:row r="1338" ht="23" customHeight="1">
      <x:c r="A1338" s="11" t="str">
        <x:v>I065</x:v>
      </x:c>
      <x:c r="B1338" s="11" t="str">
        <x:v>00992.HK</x:v>
      </x:c>
      <x:c r="C1338" s="11" t="str">
        <x:v>warrantsFullExerciseShares</x:v>
      </x:c>
      <x:c r="D1338" s="39" t="n">
        <x:v>1229930495</x:v>
      </x:c>
      <x:c r="E1338" s="11" t="str">
        <x:v>not monetary</x:v>
      </x:c>
      <x:c r="F1338" s="11" t="str">
        <x:v>shares</x:v>
      </x:c>
      <x:c r="G1338" s="11" t="str">
        <x:v>Q1FY2026/27 ended2026-06-30</x:v>
      </x:c>
      <x:c r="H1338" s="11" t="str">
        <x:v>2026-08-13结果新闻；精确HKEX公开时分未核验</x:v>
      </x:c>
      <x:c r="I1338" s="11" t="str">
        <x:v>https://doc.irasia.com/listco/hk/lenovo/interim/2027/int1q.pdf</x:v>
      </x:c>
      <x:c r="J1338" s="11" t="str"/>
      <x:c r="K1338" s="11" t="str">
        <x:v>待核</x:v>
      </x:c>
      <x:c r="L1338" s="11" t="str">
        <x:v>精确发布时间未核验</x:v>
      </x:c>
      <x:c r="M1338" s="11" t="str">
        <x:v>截止日前日期，盘中时分未核</x:v>
      </x:c>
    </x:row>
    <x:row r="1339" ht="23" customHeight="1">
      <x:c r="A1339" s="11" t="str">
        <x:v>I065</x:v>
      </x:c>
      <x:c r="B1339" s="11" t="str">
        <x:v>00992.HK</x:v>
      </x:c>
      <x:c r="C1339" s="11" t="str">
        <x:v>convertible2028PriceHKD</x:v>
      </x:c>
      <x:c r="D1339" s="39" t="n">
        <x:v>9.37</x:v>
      </x:c>
      <x:c r="E1339" s="11" t="str">
        <x:v>HKD</x:v>
      </x:c>
      <x:c r="F1339" s="11" t="str">
        <x:v>USD million unless specified</x:v>
      </x:c>
      <x:c r="G1339" s="11" t="str">
        <x:v>FY2028</x:v>
      </x:c>
      <x:c r="H1339" s="11" t="str">
        <x:v>2026-08-13结果新闻；精确HKEX公开时分未核验</x:v>
      </x:c>
      <x:c r="I1339" s="11" t="str">
        <x:v>https://doc.irasia.com/listco/hk/lenovo/interim/2027/int1q.pdf</x:v>
      </x:c>
      <x:c r="J1339" s="11" t="str"/>
      <x:c r="K1339" s="11" t="str">
        <x:v>待核</x:v>
      </x:c>
      <x:c r="L1339" s="11" t="str">
        <x:v>精确发布时间未核验</x:v>
      </x:c>
      <x:c r="M1339" s="11" t="str">
        <x:v>截止日前日期，盘中时分未核</x:v>
      </x:c>
    </x:row>
    <x:row r="1340" ht="23" customHeight="1">
      <x:c r="A1340" s="11" t="str">
        <x:v>I065</x:v>
      </x:c>
      <x:c r="B1340" s="11" t="str">
        <x:v>00992.HK</x:v>
      </x:c>
      <x:c r="C1340" s="11" t="str">
        <x:v>convertible2033PriceHKD</x:v>
      </x:c>
      <x:c r="D1340" s="39" t="n">
        <x:v>35.74</x:v>
      </x:c>
      <x:c r="E1340" s="11" t="str">
        <x:v>HKD</x:v>
      </x:c>
      <x:c r="F1340" s="11" t="str">
        <x:v>USD million unless specified</x:v>
      </x:c>
      <x:c r="G1340" s="11" t="str">
        <x:v>FY2033</x:v>
      </x:c>
      <x:c r="H1340" s="11" t="str">
        <x:v>2026-08-13结果新闻；精确HKEX公开时分未核验</x:v>
      </x:c>
      <x:c r="I1340" s="11" t="str">
        <x:v>https://doc.irasia.com/listco/hk/lenovo/interim/2027/int1q.pdf</x:v>
      </x:c>
      <x:c r="J1340" s="11" t="str"/>
      <x:c r="K1340" s="11" t="str">
        <x:v>待核</x:v>
      </x:c>
      <x:c r="L1340" s="11" t="str">
        <x:v>精确发布时间未核验</x:v>
      </x:c>
      <x:c r="M1340" s="11" t="str">
        <x:v>截止日前日期，盘中时分未核</x:v>
      </x:c>
    </x:row>
    <x:row r="1341" ht="23" customHeight="1">
      <x:c r="A1341" s="11" t="str">
        <x:v>I065</x:v>
      </x:c>
      <x:c r="B1341" s="11" t="str">
        <x:v>00992.HK</x:v>
      </x:c>
      <x:c r="C1341" s="11" t="str">
        <x:v>warrantExercisePriceHKD</x:v>
      </x:c>
      <x:c r="D1341" s="39" t="n">
        <x:v>11.51</x:v>
      </x:c>
      <x:c r="E1341" s="11" t="str">
        <x:v>HKD</x:v>
      </x:c>
      <x:c r="F1341" s="11" t="str">
        <x:v>USD million unless specified</x:v>
      </x:c>
      <x:c r="G1341" s="11" t="str">
        <x:v>Q1FY2026/27 ended2026-06-30</x:v>
      </x:c>
      <x:c r="H1341" s="11" t="str">
        <x:v>2026-08-13结果新闻；精确HKEX公开时分未核验</x:v>
      </x:c>
      <x:c r="I1341" s="11" t="str">
        <x:v>https://doc.irasia.com/listco/hk/lenovo/interim/2027/int1q.pdf</x:v>
      </x:c>
      <x:c r="J1341" s="11" t="str"/>
      <x:c r="K1341" s="11" t="str">
        <x:v>待核</x:v>
      </x:c>
      <x:c r="L1341" s="11" t="str">
        <x:v>精确发布时间未核验</x:v>
      </x:c>
      <x:c r="M1341" s="11" t="str">
        <x:v>截止日前日期，盘中时分未核</x:v>
      </x:c>
    </x:row>
    <x:row r="1342" ht="23" customHeight="1">
      <x:c r="A1342" s="11" t="str">
        <x:v>I036</x:v>
      </x:c>
      <x:c r="B1342" s="11" t="str">
        <x:v>01513.HK</x:v>
      </x:c>
      <x:c r="C1342" s="11" t="str">
        <x:v>revenue</x:v>
      </x:c>
      <x:c r="D1342" s="39" t="n">
        <x:v>4999.66970865</x:v>
      </x:c>
      <x:c r="E1342" s="11" t="str">
        <x:v>CNY</x:v>
      </x:c>
      <x:c r="F1342" s="11" t="str">
        <x:v>million</x:v>
      </x:c>
      <x:c r="G1342" s="11" t="str">
        <x:v>2026H1</x:v>
      </x:c>
      <x:c r="H1342" s="11" t="str">
        <x:v>2026-08-22</x:v>
      </x:c>
      <x:c r="I1342" s="11" t="str">
        <x:v>https://static.cninfo.com.cn/finalpage/2026-08-22/1225490312.PDF</x:v>
      </x:c>
      <x:c r="J1342" s="11" t="str"/>
      <x:c r="K1342" s="11" t="str">
        <x:v>待核</x:v>
      </x:c>
      <x:c r="L1342" s="11" t="str">
        <x:v>精确发布时间未核验</x:v>
      </x:c>
      <x:c r="M1342" s="11" t="str">
        <x:v>截止日前日期，盘中时分未核</x:v>
      </x:c>
    </x:row>
    <x:row r="1343" ht="23" customHeight="1">
      <x:c r="A1343" s="11" t="str">
        <x:v>I036</x:v>
      </x:c>
      <x:c r="B1343" s="11" t="str">
        <x:v>01513.HK</x:v>
      </x:c>
      <x:c r="C1343" s="11" t="str">
        <x:v>revenueGrowthPct</x:v>
      </x:c>
      <x:c r="D1343" s="39" t="n">
        <x:v>-20.28</x:v>
      </x:c>
      <x:c r="E1343" s="11" t="str">
        <x:v>not monetary</x:v>
      </x:c>
      <x:c r="F1343" s="11" t="str">
        <x:v>percent</x:v>
      </x:c>
      <x:c r="G1343" s="11" t="str">
        <x:v>2026H1</x:v>
      </x:c>
      <x:c r="H1343" s="11" t="str">
        <x:v>2026-08-22</x:v>
      </x:c>
      <x:c r="I1343" s="11" t="str">
        <x:v>https://static.cninfo.com.cn/finalpage/2026-08-22/1225490312.PDF</x:v>
      </x:c>
      <x:c r="J1343" s="11" t="str"/>
      <x:c r="K1343" s="11" t="str">
        <x:v>待核</x:v>
      </x:c>
      <x:c r="L1343" s="11" t="str">
        <x:v>精确发布时间未核验</x:v>
      </x:c>
      <x:c r="M1343" s="11" t="str">
        <x:v>截止日前日期，盘中时分未核</x:v>
      </x:c>
    </x:row>
    <x:row r="1344" ht="23" customHeight="1">
      <x:c r="A1344" s="11" t="str">
        <x:v>I036</x:v>
      </x:c>
      <x:c r="B1344" s="11" t="str">
        <x:v>01513.HK</x:v>
      </x:c>
      <x:c r="C1344" s="11" t="str">
        <x:v>attributableProfit</x:v>
      </x:c>
      <x:c r="D1344" s="39" t="n">
        <x:v>932.19921306</x:v>
      </x:c>
      <x:c r="E1344" s="11" t="str">
        <x:v>CNY</x:v>
      </x:c>
      <x:c r="F1344" s="11" t="str">
        <x:v>million</x:v>
      </x:c>
      <x:c r="G1344" s="11" t="str">
        <x:v>2026H1</x:v>
      </x:c>
      <x:c r="H1344" s="11" t="str">
        <x:v>2026-08-22</x:v>
      </x:c>
      <x:c r="I1344" s="11" t="str">
        <x:v>https://static.cninfo.com.cn/finalpage/2026-08-22/1225490312.PDF</x:v>
      </x:c>
      <x:c r="J1344" s="11" t="str"/>
      <x:c r="K1344" s="11" t="str">
        <x:v>待核</x:v>
      </x:c>
      <x:c r="L1344" s="11" t="str">
        <x:v>精确发布时间未核验</x:v>
      </x:c>
      <x:c r="M1344" s="11" t="str">
        <x:v>截止日前日期，盘中时分未核</x:v>
      </x:c>
    </x:row>
    <x:row r="1345" ht="23" customHeight="1">
      <x:c r="A1345" s="11" t="str">
        <x:v>I036</x:v>
      </x:c>
      <x:c r="B1345" s="11" t="str">
        <x:v>01513.HK</x:v>
      </x:c>
      <x:c r="C1345" s="11" t="str">
        <x:v>deductedProfit</x:v>
      </x:c>
      <x:c r="D1345" s="39" t="n">
        <x:v>890.20086832</x:v>
      </x:c>
      <x:c r="E1345" s="11" t="str">
        <x:v>CNY</x:v>
      </x:c>
      <x:c r="F1345" s="11" t="str">
        <x:v>million</x:v>
      </x:c>
      <x:c r="G1345" s="11" t="str">
        <x:v>2026H1</x:v>
      </x:c>
      <x:c r="H1345" s="11" t="str">
        <x:v>2026-08-22</x:v>
      </x:c>
      <x:c r="I1345" s="11" t="str">
        <x:v>https://static.cninfo.com.cn/finalpage/2026-08-22/1225490312.PDF</x:v>
      </x:c>
      <x:c r="J1345" s="11" t="str"/>
      <x:c r="K1345" s="11" t="str">
        <x:v>待核</x:v>
      </x:c>
      <x:c r="L1345" s="11" t="str">
        <x:v>精确发布时间未核验</x:v>
      </x:c>
      <x:c r="M1345" s="11" t="str">
        <x:v>截止日前日期，盘中时分未核</x:v>
      </x:c>
    </x:row>
    <x:row r="1346" ht="23" customHeight="1">
      <x:c r="A1346" s="11" t="str">
        <x:v>I036</x:v>
      </x:c>
      <x:c r="B1346" s="11" t="str">
        <x:v>01513.HK</x:v>
      </x:c>
      <x:c r="C1346" s="11" t="str">
        <x:v>profitGrowthPct</x:v>
      </x:c>
      <x:c r="D1346" s="39" t="n">
        <x:v>-27.23</x:v>
      </x:c>
      <x:c r="E1346" s="11" t="str">
        <x:v>not monetary</x:v>
      </x:c>
      <x:c r="F1346" s="11" t="str">
        <x:v>percent</x:v>
      </x:c>
      <x:c r="G1346" s="11" t="str">
        <x:v>2026H1</x:v>
      </x:c>
      <x:c r="H1346" s="11" t="str">
        <x:v>2026-08-22</x:v>
      </x:c>
      <x:c r="I1346" s="11" t="str">
        <x:v>https://static.cninfo.com.cn/finalpage/2026-08-22/1225490312.PDF</x:v>
      </x:c>
      <x:c r="J1346" s="11" t="str"/>
      <x:c r="K1346" s="11" t="str">
        <x:v>待核</x:v>
      </x:c>
      <x:c r="L1346" s="11" t="str">
        <x:v>精确发布时间未核验</x:v>
      </x:c>
      <x:c r="M1346" s="11" t="str">
        <x:v>截止日前日期，盘中时分未核</x:v>
      </x:c>
    </x:row>
    <x:row r="1347" ht="23" customHeight="1">
      <x:c r="A1347" s="11" t="str">
        <x:v>I036</x:v>
      </x:c>
      <x:c r="B1347" s="11" t="str">
        <x:v>01513.HK</x:v>
      </x:c>
      <x:c r="C1347" s="11" t="str">
        <x:v>deductedGrowthPct</x:v>
      </x:c>
      <x:c r="D1347" s="39" t="n">
        <x:v>-29.26</x:v>
      </x:c>
      <x:c r="E1347" s="11" t="str">
        <x:v>not monetary</x:v>
      </x:c>
      <x:c r="F1347" s="11" t="str">
        <x:v>percent</x:v>
      </x:c>
      <x:c r="G1347" s="11" t="str">
        <x:v>2026H1</x:v>
      </x:c>
      <x:c r="H1347" s="11" t="str">
        <x:v>2026-08-22</x:v>
      </x:c>
      <x:c r="I1347" s="11" t="str">
        <x:v>https://static.cninfo.com.cn/finalpage/2026-08-22/1225490312.PDF</x:v>
      </x:c>
      <x:c r="J1347" s="11" t="str"/>
      <x:c r="K1347" s="11" t="str">
        <x:v>待核</x:v>
      </x:c>
      <x:c r="L1347" s="11" t="str">
        <x:v>精确发布时间未核验</x:v>
      </x:c>
      <x:c r="M1347" s="11" t="str">
        <x:v>截止日前日期，盘中时分未核</x:v>
      </x:c>
    </x:row>
    <x:row r="1348" ht="23" customHeight="1">
      <x:c r="A1348" s="11" t="str">
        <x:v>I036</x:v>
      </x:c>
      <x:c r="B1348" s="11" t="str">
        <x:v>01513.HK</x:v>
      </x:c>
      <x:c r="C1348" s="11" t="str">
        <x:v>totalNetProfit</x:v>
      </x:c>
      <x:c r="D1348" s="39" t="n">
        <x:v>1120.9151749</x:v>
      </x:c>
      <x:c r="E1348" s="11" t="str">
        <x:v>CNY</x:v>
      </x:c>
      <x:c r="F1348" s="11" t="str">
        <x:v>million</x:v>
      </x:c>
      <x:c r="G1348" s="11" t="str">
        <x:v>2026H1</x:v>
      </x:c>
      <x:c r="H1348" s="11" t="str">
        <x:v>2026-08-22</x:v>
      </x:c>
      <x:c r="I1348" s="11" t="str">
        <x:v>https://static.cninfo.com.cn/finalpage/2026-08-22/1225490312.PDF</x:v>
      </x:c>
      <x:c r="J1348" s="11" t="str"/>
      <x:c r="K1348" s="11" t="str">
        <x:v>待核</x:v>
      </x:c>
      <x:c r="L1348" s="11" t="str">
        <x:v>精确发布时间未核验</x:v>
      </x:c>
      <x:c r="M1348" s="11" t="str">
        <x:v>截止日前日期，盘中时分未核</x:v>
      </x:c>
    </x:row>
    <x:row r="1349" ht="23" customHeight="1">
      <x:c r="A1349" s="11" t="str">
        <x:v>I036</x:v>
      </x:c>
      <x:c r="B1349" s="11" t="str">
        <x:v>01513.HK</x:v>
      </x:c>
      <x:c r="C1349" s="11" t="str">
        <x:v>minorityProfit</x:v>
      </x:c>
      <x:c r="D1349" s="39" t="n">
        <x:v>188.71596184</x:v>
      </x:c>
      <x:c r="E1349" s="11" t="str">
        <x:v>CNY</x:v>
      </x:c>
      <x:c r="F1349" s="11" t="str">
        <x:v>million</x:v>
      </x:c>
      <x:c r="G1349" s="11" t="str">
        <x:v>2026H1</x:v>
      </x:c>
      <x:c r="H1349" s="11" t="str">
        <x:v>2026-08-22</x:v>
      </x:c>
      <x:c r="I1349" s="11" t="str">
        <x:v>https://static.cninfo.com.cn/finalpage/2026-08-22/1225490312.PDF</x:v>
      </x:c>
      <x:c r="J1349" s="11" t="str"/>
      <x:c r="K1349" s="11" t="str">
        <x:v>待核</x:v>
      </x:c>
      <x:c r="L1349" s="11" t="str">
        <x:v>精确发布时间未核验</x:v>
      </x:c>
      <x:c r="M1349" s="11" t="str">
        <x:v>截止日前日期，盘中时分未核</x:v>
      </x:c>
    </x:row>
    <x:row r="1350" ht="23" customHeight="1">
      <x:c r="A1350" s="11" t="str">
        <x:v>I036</x:v>
      </x:c>
      <x:c r="B1350" s="11" t="str">
        <x:v>01513.HK</x:v>
      </x:c>
      <x:c r="C1350" s="11" t="str">
        <x:v>nonrecurring</x:v>
      </x:c>
      <x:c r="D1350" s="39" t="n">
        <x:v>41.99834474</x:v>
      </x:c>
      <x:c r="E1350" s="11" t="str">
        <x:v>CNY</x:v>
      </x:c>
      <x:c r="F1350" s="11" t="str">
        <x:v>million</x:v>
      </x:c>
      <x:c r="G1350" s="11" t="str">
        <x:v>2026H1</x:v>
      </x:c>
      <x:c r="H1350" s="11" t="str">
        <x:v>2026-08-22</x:v>
      </x:c>
      <x:c r="I1350" s="11" t="str">
        <x:v>https://static.cninfo.com.cn/finalpage/2026-08-22/1225490312.PDF</x:v>
      </x:c>
      <x:c r="J1350" s="11" t="str"/>
      <x:c r="K1350" s="11" t="str">
        <x:v>待核</x:v>
      </x:c>
      <x:c r="L1350" s="11" t="str">
        <x:v>精确发布时间未核验</x:v>
      </x:c>
      <x:c r="M1350" s="11" t="str">
        <x:v>截止日前日期，盘中时分未核</x:v>
      </x:c>
    </x:row>
    <x:row r="1351" ht="23" customHeight="1">
      <x:c r="A1351" s="11" t="str">
        <x:v>I036</x:v>
      </x:c>
      <x:c r="B1351" s="11" t="str">
        <x:v>01513.HK</x:v>
      </x:c>
      <x:c r="C1351" s="11" t="str">
        <x:v>EPSReported</x:v>
      </x:c>
      <x:c r="D1351" s="39" t="n">
        <x:v>1.05</x:v>
      </x:c>
      <x:c r="E1351" s="11" t="str">
        <x:v>CNY</x:v>
      </x:c>
      <x:c r="F1351" s="11" t="str">
        <x:v>per ordinary share</x:v>
      </x:c>
      <x:c r="G1351" s="11" t="str">
        <x:v>2026H1</x:v>
      </x:c>
      <x:c r="H1351" s="11" t="str">
        <x:v>2026-08-22</x:v>
      </x:c>
      <x:c r="I1351" s="11" t="str">
        <x:v>https://static.cninfo.com.cn/finalpage/2026-08-22/1225490312.PDF</x:v>
      </x:c>
      <x:c r="J1351" s="11" t="str"/>
      <x:c r="K1351" s="11" t="str">
        <x:v>待核</x:v>
      </x:c>
      <x:c r="L1351" s="11" t="str">
        <x:v>精确发布时间未核验</x:v>
      </x:c>
      <x:c r="M1351" s="11" t="str">
        <x:v>截止日前日期，盘中时分未核</x:v>
      </x:c>
    </x:row>
    <x:row r="1352" ht="23" customHeight="1">
      <x:c r="A1352" s="11" t="str">
        <x:v>I036</x:v>
      </x:c>
      <x:c r="B1352" s="11" t="str">
        <x:v>01513.HK</x:v>
      </x:c>
      <x:c r="C1352" s="11" t="str">
        <x:v>OCF</x:v>
      </x:c>
      <x:c r="D1352" s="39" t="n">
        <x:v>1762.93473453</x:v>
      </x:c>
      <x:c r="E1352" s="11" t="str">
        <x:v>CNY</x:v>
      </x:c>
      <x:c r="F1352" s="11" t="str">
        <x:v>million</x:v>
      </x:c>
      <x:c r="G1352" s="11" t="str">
        <x:v>2026H1</x:v>
      </x:c>
      <x:c r="H1352" s="11" t="str">
        <x:v>2026-08-22</x:v>
      </x:c>
      <x:c r="I1352" s="11" t="str">
        <x:v>https://static.cninfo.com.cn/finalpage/2026-08-22/1225490312.PDF</x:v>
      </x:c>
      <x:c r="J1352" s="11" t="str"/>
      <x:c r="K1352" s="11" t="str">
        <x:v>待核</x:v>
      </x:c>
      <x:c r="L1352" s="11" t="str">
        <x:v>精确发布时间未核验</x:v>
      </x:c>
      <x:c r="M1352" s="11" t="str">
        <x:v>截止日前日期，盘中时分未核</x:v>
      </x:c>
    </x:row>
    <x:row r="1353" ht="23" customHeight="1">
      <x:c r="A1353" s="11" t="str">
        <x:v>I036</x:v>
      </x:c>
      <x:c r="B1353" s="11" t="str">
        <x:v>01513.HK</x:v>
      </x:c>
      <x:c r="C1353" s="11" t="str">
        <x:v>capex</x:v>
      </x:c>
      <x:c r="D1353" s="39" t="n">
        <x:v>204.72269116</x:v>
      </x:c>
      <x:c r="E1353" s="11" t="str">
        <x:v>CNY</x:v>
      </x:c>
      <x:c r="F1353" s="11" t="str">
        <x:v>million</x:v>
      </x:c>
      <x:c r="G1353" s="11" t="str">
        <x:v>2026H1</x:v>
      </x:c>
      <x:c r="H1353" s="11" t="str">
        <x:v>2026-08-22</x:v>
      </x:c>
      <x:c r="I1353" s="11" t="str">
        <x:v>https://static.cninfo.com.cn/finalpage/2026-08-22/1225490312.PDF</x:v>
      </x:c>
      <x:c r="J1353" s="11" t="str"/>
      <x:c r="K1353" s="11" t="str">
        <x:v>待核</x:v>
      </x:c>
      <x:c r="L1353" s="11" t="str">
        <x:v>精确发布时间未核验</x:v>
      </x:c>
      <x:c r="M1353" s="11" t="str">
        <x:v>截止日前日期，盘中时分未核</x:v>
      </x:c>
    </x:row>
    <x:row r="1354" ht="23" customHeight="1">
      <x:c r="A1354" s="11" t="str">
        <x:v>I036</x:v>
      </x:c>
      <x:c r="B1354" s="11" t="str">
        <x:v>01513.HK</x:v>
      </x:c>
      <x:c r="C1354" s="11" t="str">
        <x:v>FCF</x:v>
      </x:c>
      <x:c r="D1354" s="39" t="n">
        <x:v>1558.21204337</x:v>
      </x:c>
      <x:c r="E1354" s="11" t="str">
        <x:v>CNY</x:v>
      </x:c>
      <x:c r="F1354" s="11" t="str">
        <x:v>million</x:v>
      </x:c>
      <x:c r="G1354" s="11" t="str">
        <x:v>2026H1</x:v>
      </x:c>
      <x:c r="H1354" s="11" t="str">
        <x:v>2026-08-22</x:v>
      </x:c>
      <x:c r="I1354" s="11" t="str">
        <x:v>https://static.cninfo.com.cn/finalpage/2026-08-22/1225490312.PDF</x:v>
      </x:c>
      <x:c r="J1354" s="11" t="str"/>
      <x:c r="K1354" s="11" t="str">
        <x:v>待核</x:v>
      </x:c>
      <x:c r="L1354" s="11" t="str">
        <x:v>精确发布时间未核验</x:v>
      </x:c>
      <x:c r="M1354" s="11" t="str">
        <x:v>截止日前日期，盘中时分未核</x:v>
      </x:c>
    </x:row>
    <x:row r="1355" ht="23" customHeight="1">
      <x:c r="A1355" s="11" t="str">
        <x:v>I036</x:v>
      </x:c>
      <x:c r="B1355" s="11" t="str">
        <x:v>01513.HK</x:v>
      </x:c>
      <x:c r="C1355" s="11" t="str">
        <x:v>cashBank</x:v>
      </x:c>
      <x:c r="D1355" s="39" t="n">
        <x:v>7440.78319794</x:v>
      </x:c>
      <x:c r="E1355" s="11" t="str">
        <x:v>CNY</x:v>
      </x:c>
      <x:c r="F1355" s="11" t="str">
        <x:v>million</x:v>
      </x:c>
      <x:c r="G1355" s="11" t="str">
        <x:v>2026H1</x:v>
      </x:c>
      <x:c r="H1355" s="11" t="str">
        <x:v>2026-08-22</x:v>
      </x:c>
      <x:c r="I1355" s="11" t="str">
        <x:v>https://static.cninfo.com.cn/finalpage/2026-08-22/1225490312.PDF</x:v>
      </x:c>
      <x:c r="J1355" s="11" t="str"/>
      <x:c r="K1355" s="11" t="str">
        <x:v>待核</x:v>
      </x:c>
      <x:c r="L1355" s="11" t="str">
        <x:v>精确发布时间未核验</x:v>
      </x:c>
      <x:c r="M1355" s="11" t="str">
        <x:v>截止日前日期，盘中时分未核</x:v>
      </x:c>
    </x:row>
    <x:row r="1356" ht="23" customHeight="1">
      <x:c r="A1356" s="11" t="str">
        <x:v>I036</x:v>
      </x:c>
      <x:c r="B1356" s="11" t="str">
        <x:v>01513.HK</x:v>
      </x:c>
      <x:c r="C1356" s="11" t="str">
        <x:v>cashCashEquivalents</x:v>
      </x:c>
      <x:c r="D1356" s="39" t="n">
        <x:v>7350.9055251</x:v>
      </x:c>
      <x:c r="E1356" s="11" t="str">
        <x:v>CNY</x:v>
      </x:c>
      <x:c r="F1356" s="11" t="str">
        <x:v>million</x:v>
      </x:c>
      <x:c r="G1356" s="11" t="str">
        <x:v>2026H1</x:v>
      </x:c>
      <x:c r="H1356" s="11" t="str">
        <x:v>2026-08-22</x:v>
      </x:c>
      <x:c r="I1356" s="11" t="str">
        <x:v>https://static.cninfo.com.cn/finalpage/2026-08-22/1225490312.PDF</x:v>
      </x:c>
      <x:c r="J1356" s="11" t="str"/>
      <x:c r="K1356" s="11" t="str">
        <x:v>待核</x:v>
      </x:c>
      <x:c r="L1356" s="11" t="str">
        <x:v>精确发布时间未核验</x:v>
      </x:c>
      <x:c r="M1356" s="11" t="str">
        <x:v>截止日前日期，盘中时分未核</x:v>
      </x:c>
    </x:row>
    <x:row r="1357" ht="23" customHeight="1">
      <x:c r="A1357" s="11" t="str">
        <x:v>I036</x:v>
      </x:c>
      <x:c r="B1357" s="11" t="str">
        <x:v>01513.HK</x:v>
      </x:c>
      <x:c r="C1357" s="11" t="str">
        <x:v>restrictedCash</x:v>
      </x:c>
      <x:c r="D1357" s="39" t="n">
        <x:v>3.9746</x:v>
      </x:c>
      <x:c r="E1357" s="11" t="str">
        <x:v>CNY</x:v>
      </x:c>
      <x:c r="F1357" s="11" t="str">
        <x:v>million</x:v>
      </x:c>
      <x:c r="G1357" s="11" t="str">
        <x:v>2026H1</x:v>
      </x:c>
      <x:c r="H1357" s="11" t="str">
        <x:v>2026-08-22</x:v>
      </x:c>
      <x:c r="I1357" s="11" t="str">
        <x:v>https://static.cninfo.com.cn/finalpage/2026-08-22/1225490312.PDF</x:v>
      </x:c>
      <x:c r="J1357" s="11" t="str"/>
      <x:c r="K1357" s="11" t="str">
        <x:v>待核</x:v>
      </x:c>
      <x:c r="L1357" s="11" t="str">
        <x:v>精确发布时间未核验</x:v>
      </x:c>
      <x:c r="M1357" s="11" t="str">
        <x:v>截止日前日期，盘中时分未核</x:v>
      </x:c>
    </x:row>
    <x:row r="1358" ht="23" customHeight="1">
      <x:c r="A1358" s="11" t="str">
        <x:v>I036</x:v>
      </x:c>
      <x:c r="B1358" s="11" t="str">
        <x:v>01513.HK</x:v>
      </x:c>
      <x:c r="C1358" s="11" t="str">
        <x:v>termDepositOutsideCashEq</x:v>
      </x:c>
      <x:c r="D1358" s="39" t="n">
        <x:v>84.175</x:v>
      </x:c>
      <x:c r="E1358" s="11" t="str">
        <x:v>CNY</x:v>
      </x:c>
      <x:c r="F1358" s="11" t="str">
        <x:v>million</x:v>
      </x:c>
      <x:c r="G1358" s="11" t="str">
        <x:v>2026H1</x:v>
      </x:c>
      <x:c r="H1358" s="11" t="str">
        <x:v>2026-08-22</x:v>
      </x:c>
      <x:c r="I1358" s="11" t="str">
        <x:v>https://static.cninfo.com.cn/finalpage/2026-08-22/1225490312.PDF</x:v>
      </x:c>
      <x:c r="J1358" s="11" t="str"/>
      <x:c r="K1358" s="11" t="str">
        <x:v>待核</x:v>
      </x:c>
      <x:c r="L1358" s="11" t="str">
        <x:v>精确发布时间未核验</x:v>
      </x:c>
      <x:c r="M1358" s="11" t="str">
        <x:v>截止日前日期，盘中时分未核</x:v>
      </x:c>
    </x:row>
    <x:row r="1359" ht="23" customHeight="1">
      <x:c r="A1359" s="11" t="str">
        <x:v>I036</x:v>
      </x:c>
      <x:c r="B1359" s="11" t="str">
        <x:v>01513.HK</x:v>
      </x:c>
      <x:c r="C1359" s="11" t="str">
        <x:v>accruedInterestOutsideCashEq</x:v>
      </x:c>
      <x:c r="D1359" s="39" t="n">
        <x:v>1.72807284</x:v>
      </x:c>
      <x:c r="E1359" s="11" t="str">
        <x:v>CNY</x:v>
      </x:c>
      <x:c r="F1359" s="11" t="str">
        <x:v>million</x:v>
      </x:c>
      <x:c r="G1359" s="11" t="str">
        <x:v>2026H1</x:v>
      </x:c>
      <x:c r="H1359" s="11" t="str">
        <x:v>2026-08-22</x:v>
      </x:c>
      <x:c r="I1359" s="11" t="str">
        <x:v>https://static.cninfo.com.cn/finalpage/2026-08-22/1225490312.PDF</x:v>
      </x:c>
      <x:c r="J1359" s="11" t="str"/>
      <x:c r="K1359" s="11" t="str">
        <x:v>待核</x:v>
      </x:c>
      <x:c r="L1359" s="11" t="str">
        <x:v>精确发布时间未核验</x:v>
      </x:c>
      <x:c r="M1359" s="11" t="str">
        <x:v>截止日前日期，盘中时分未核</x:v>
      </x:c>
    </x:row>
    <x:row r="1360" ht="23" customHeight="1">
      <x:c r="A1360" s="11" t="str">
        <x:v>I036</x:v>
      </x:c>
      <x:c r="B1360" s="11" t="str">
        <x:v>01513.HK</x:v>
      </x:c>
      <x:c r="C1360" s="11" t="str">
        <x:v>shortDebt</x:v>
      </x:c>
      <x:c r="D1360" s="39" t="n">
        <x:v>3395.81577799</x:v>
      </x:c>
      <x:c r="E1360" s="11" t="str">
        <x:v>CNY</x:v>
      </x:c>
      <x:c r="F1360" s="11" t="str">
        <x:v>million</x:v>
      </x:c>
      <x:c r="G1360" s="11" t="str">
        <x:v>2026H1</x:v>
      </x:c>
      <x:c r="H1360" s="11" t="str">
        <x:v>2026-08-22</x:v>
      </x:c>
      <x:c r="I1360" s="11" t="str">
        <x:v>https://static.cninfo.com.cn/finalpage/2026-08-22/1225490312.PDF</x:v>
      </x:c>
      <x:c r="J1360" s="11" t="str"/>
      <x:c r="K1360" s="11" t="str">
        <x:v>待核</x:v>
      </x:c>
      <x:c r="L1360" s="11" t="str">
        <x:v>精确发布时间未核验</x:v>
      </x:c>
      <x:c r="M1360" s="11" t="str">
        <x:v>截止日前日期，盘中时分未核</x:v>
      </x:c>
    </x:row>
    <x:row r="1361" ht="23" customHeight="1">
      <x:c r="A1361" s="11" t="str">
        <x:v>I036</x:v>
      </x:c>
      <x:c r="B1361" s="11" t="str">
        <x:v>01513.HK</x:v>
      </x:c>
      <x:c r="C1361" s="11" t="str">
        <x:v>longDebt</x:v>
      </x:c>
      <x:c r="D1361" s="39" t="n">
        <x:v>25.9</x:v>
      </x:c>
      <x:c r="E1361" s="11" t="str">
        <x:v>CNY</x:v>
      </x:c>
      <x:c r="F1361" s="11" t="str">
        <x:v>million</x:v>
      </x:c>
      <x:c r="G1361" s="11" t="str">
        <x:v>2026H1</x:v>
      </x:c>
      <x:c r="H1361" s="11" t="str">
        <x:v>2026-08-22</x:v>
      </x:c>
      <x:c r="I1361" s="11" t="str">
        <x:v>https://static.cninfo.com.cn/finalpage/2026-08-22/1225490312.PDF</x:v>
      </x:c>
      <x:c r="J1361" s="11" t="str"/>
      <x:c r="K1361" s="11" t="str">
        <x:v>待核</x:v>
      </x:c>
      <x:c r="L1361" s="11" t="str">
        <x:v>精确发布时间未核验</x:v>
      </x:c>
      <x:c r="M1361" s="11" t="str">
        <x:v>截止日前日期，盘中时分未核</x:v>
      </x:c>
    </x:row>
    <x:row r="1362" ht="23" customHeight="1">
      <x:c r="A1362" s="11" t="str">
        <x:v>I036</x:v>
      </x:c>
      <x:c r="B1362" s="11" t="str">
        <x:v>01513.HK</x:v>
      </x:c>
      <x:c r="C1362" s="11" t="str">
        <x:v>currentLongDebt</x:v>
      </x:c>
      <x:c r="D1362" s="39" t="n">
        <x:v>0</x:v>
      </x:c>
      <x:c r="E1362" s="11" t="str">
        <x:v>CNY</x:v>
      </x:c>
      <x:c r="F1362" s="11" t="str">
        <x:v>million</x:v>
      </x:c>
      <x:c r="G1362" s="11" t="str">
        <x:v>2026H1</x:v>
      </x:c>
      <x:c r="H1362" s="11" t="str">
        <x:v>2026-08-22</x:v>
      </x:c>
      <x:c r="I1362" s="11" t="str">
        <x:v>https://static.cninfo.com.cn/finalpage/2026-08-22/1225490312.PDF</x:v>
      </x:c>
      <x:c r="J1362" s="11" t="str"/>
      <x:c r="K1362" s="11" t="str">
        <x:v>待核</x:v>
      </x:c>
      <x:c r="L1362" s="11" t="str">
        <x:v>精确发布时间未核验</x:v>
      </x:c>
      <x:c r="M1362" s="11" t="str">
        <x:v>截止日前日期，盘中时分未核</x:v>
      </x:c>
    </x:row>
    <x:row r="1363" ht="23" customHeight="1">
      <x:c r="A1363" s="11" t="str">
        <x:v>I036</x:v>
      </x:c>
      <x:c r="B1363" s="11" t="str">
        <x:v>01513.HK</x:v>
      </x:c>
      <x:c r="C1363" s="11" t="str">
        <x:v>leaseDebt</x:v>
      </x:c>
      <x:c r="D1363" s="39" t="n">
        <x:v>18.48434658</x:v>
      </x:c>
      <x:c r="E1363" s="11" t="str">
        <x:v>CNY</x:v>
      </x:c>
      <x:c r="F1363" s="11" t="str">
        <x:v>million</x:v>
      </x:c>
      <x:c r="G1363" s="11" t="str">
        <x:v>2026H1</x:v>
      </x:c>
      <x:c r="H1363" s="11" t="str">
        <x:v>2026-08-22</x:v>
      </x:c>
      <x:c r="I1363" s="11" t="str">
        <x:v>https://static.cninfo.com.cn/finalpage/2026-08-22/1225490312.PDF</x:v>
      </x:c>
      <x:c r="J1363" s="11" t="str"/>
      <x:c r="K1363" s="11" t="str">
        <x:v>待核</x:v>
      </x:c>
      <x:c r="L1363" s="11" t="str">
        <x:v>精确发布时间未核验</x:v>
      </x:c>
      <x:c r="M1363" s="11" t="str">
        <x:v>截止日前日期，盘中时分未核</x:v>
      </x:c>
    </x:row>
    <x:row r="1364" ht="23" customHeight="1">
      <x:c r="A1364" s="11" t="str">
        <x:v>I036</x:v>
      </x:c>
      <x:c r="B1364" s="11" t="str">
        <x:v>01513.HK</x:v>
      </x:c>
      <x:c r="C1364" s="11" t="str">
        <x:v>currentLeaseDebt</x:v>
      </x:c>
      <x:c r="D1364" s="39" t="n">
        <x:v>15.90785064</x:v>
      </x:c>
      <x:c r="E1364" s="11" t="str">
        <x:v>CNY</x:v>
      </x:c>
      <x:c r="F1364" s="11" t="str">
        <x:v>million</x:v>
      </x:c>
      <x:c r="G1364" s="11" t="str">
        <x:v>2026H1</x:v>
      </x:c>
      <x:c r="H1364" s="11" t="str">
        <x:v>2026-08-22</x:v>
      </x:c>
      <x:c r="I1364" s="11" t="str">
        <x:v>https://static.cninfo.com.cn/finalpage/2026-08-22/1225490312.PDF</x:v>
      </x:c>
      <x:c r="J1364" s="11" t="str"/>
      <x:c r="K1364" s="11" t="str">
        <x:v>待核</x:v>
      </x:c>
      <x:c r="L1364" s="11" t="str">
        <x:v>精确发布时间未核验</x:v>
      </x:c>
      <x:c r="M1364" s="11" t="str">
        <x:v>截止日前日期，盘中时分未核</x:v>
      </x:c>
    </x:row>
    <x:row r="1365" ht="23" customHeight="1">
      <x:c r="A1365" s="11" t="str">
        <x:v>I036</x:v>
      </x:c>
      <x:c r="B1365" s="11" t="str">
        <x:v>01513.HK</x:v>
      </x:c>
      <x:c r="C1365" s="11" t="str">
        <x:v>transactionFinancialAssets</x:v>
      </x:c>
      <x:c r="D1365" s="39" t="n">
        <x:v>382.59348353</x:v>
      </x:c>
      <x:c r="E1365" s="11" t="str">
        <x:v>CNY</x:v>
      </x:c>
      <x:c r="F1365" s="11" t="str">
        <x:v>million</x:v>
      </x:c>
      <x:c r="G1365" s="11" t="str">
        <x:v>2026H1</x:v>
      </x:c>
      <x:c r="H1365" s="11" t="str">
        <x:v>2026-08-22</x:v>
      </x:c>
      <x:c r="I1365" s="11" t="str">
        <x:v>https://static.cninfo.com.cn/finalpage/2026-08-22/1225490312.PDF</x:v>
      </x:c>
      <x:c r="J1365" s="11" t="str"/>
      <x:c r="K1365" s="11" t="str">
        <x:v>待核</x:v>
      </x:c>
      <x:c r="L1365" s="11" t="str">
        <x:v>精确发布时间未核验</x:v>
      </x:c>
      <x:c r="M1365" s="11" t="str">
        <x:v>截止日前日期，盘中时分未核</x:v>
      </x:c>
    </x:row>
    <x:row r="1366" ht="23" customHeight="1">
      <x:c r="A1366" s="11" t="str">
        <x:v>I036</x:v>
      </x:c>
      <x:c r="B1366" s="11" t="str">
        <x:v>01513.HK</x:v>
      </x:c>
      <x:c r="C1366" s="11" t="str">
        <x:v>otherEquityInvestments</x:v>
      </x:c>
      <x:c r="D1366" s="39" t="n">
        <x:v>1856.24883735</x:v>
      </x:c>
      <x:c r="E1366" s="11" t="str">
        <x:v>CNY</x:v>
      </x:c>
      <x:c r="F1366" s="11" t="str">
        <x:v>million</x:v>
      </x:c>
      <x:c r="G1366" s="11" t="str">
        <x:v>2026H1</x:v>
      </x:c>
      <x:c r="H1366" s="11" t="str">
        <x:v>2026-08-22</x:v>
      </x:c>
      <x:c r="I1366" s="11" t="str">
        <x:v>https://static.cninfo.com.cn/finalpage/2026-08-22/1225490312.PDF</x:v>
      </x:c>
      <x:c r="J1366" s="11" t="str"/>
      <x:c r="K1366" s="11" t="str">
        <x:v>待核</x:v>
      </x:c>
      <x:c r="L1366" s="11" t="str">
        <x:v>精确发布时间未核验</x:v>
      </x:c>
      <x:c r="M1366" s="11" t="str">
        <x:v>截止日前日期，盘中时分未核</x:v>
      </x:c>
    </x:row>
    <x:row r="1367" ht="23" customHeight="1">
      <x:c r="A1367" s="11" t="str">
        <x:v>I036</x:v>
      </x:c>
      <x:c r="B1367" s="11" t="str">
        <x:v>01513.HK</x:v>
      </x:c>
      <x:c r="C1367" s="11" t="str">
        <x:v>longEquityInvestments</x:v>
      </x:c>
      <x:c r="D1367" s="39" t="n">
        <x:v>1266.49959881</x:v>
      </x:c>
      <x:c r="E1367" s="11" t="str">
        <x:v>CNY</x:v>
      </x:c>
      <x:c r="F1367" s="11" t="str">
        <x:v>million</x:v>
      </x:c>
      <x:c r="G1367" s="11" t="str">
        <x:v>2026H1</x:v>
      </x:c>
      <x:c r="H1367" s="11" t="str">
        <x:v>2026-08-22</x:v>
      </x:c>
      <x:c r="I1367" s="11" t="str">
        <x:v>https://static.cninfo.com.cn/finalpage/2026-08-22/1225490312.PDF</x:v>
      </x:c>
      <x:c r="J1367" s="11" t="str"/>
      <x:c r="K1367" s="11" t="str">
        <x:v>待核</x:v>
      </x:c>
      <x:c r="L1367" s="11" t="str">
        <x:v>精确发布时间未核验</x:v>
      </x:c>
      <x:c r="M1367" s="11" t="str">
        <x:v>截止日前日期，盘中时分未核</x:v>
      </x:c>
    </x:row>
    <x:row r="1368" ht="23" customHeight="1">
      <x:c r="A1368" s="11" t="str">
        <x:v>I036</x:v>
      </x:c>
      <x:c r="B1368" s="11" t="str">
        <x:v>01513.HK</x:v>
      </x:c>
      <x:c r="C1368" s="11" t="str">
        <x:v>totalAssets</x:v>
      </x:c>
      <x:c r="D1368" s="39" t="n">
        <x:v>23591.48997354</x:v>
      </x:c>
      <x:c r="E1368" s="11" t="str">
        <x:v>CNY</x:v>
      </x:c>
      <x:c r="F1368" s="11" t="str">
        <x:v>million</x:v>
      </x:c>
      <x:c r="G1368" s="11" t="str">
        <x:v>2026H1</x:v>
      </x:c>
      <x:c r="H1368" s="11" t="str">
        <x:v>2026-08-22</x:v>
      </x:c>
      <x:c r="I1368" s="11" t="str">
        <x:v>https://static.cninfo.com.cn/finalpage/2026-08-22/1225490312.PDF</x:v>
      </x:c>
      <x:c r="J1368" s="11" t="str"/>
      <x:c r="K1368" s="11" t="str">
        <x:v>待核</x:v>
      </x:c>
      <x:c r="L1368" s="11" t="str">
        <x:v>精确发布时间未核验</x:v>
      </x:c>
      <x:c r="M1368" s="11" t="str">
        <x:v>截止日前日期，盘中时分未核</x:v>
      </x:c>
    </x:row>
    <x:row r="1369" ht="23" customHeight="1">
      <x:c r="A1369" s="11" t="str">
        <x:v>I036</x:v>
      </x:c>
      <x:c r="B1369" s="11" t="str">
        <x:v>01513.HK</x:v>
      </x:c>
      <x:c r="C1369" s="11" t="str">
        <x:v>totalLiabilities</x:v>
      </x:c>
      <x:c r="D1369" s="39" t="n">
        <x:v>8993.76423515</x:v>
      </x:c>
      <x:c r="E1369" s="11" t="str">
        <x:v>CNY</x:v>
      </x:c>
      <x:c r="F1369" s="11" t="str">
        <x:v>million</x:v>
      </x:c>
      <x:c r="G1369" s="11" t="str">
        <x:v>2026H1</x:v>
      </x:c>
      <x:c r="H1369" s="11" t="str">
        <x:v>2026-08-22</x:v>
      </x:c>
      <x:c r="I1369" s="11" t="str">
        <x:v>https://static.cninfo.com.cn/finalpage/2026-08-22/1225490312.PDF</x:v>
      </x:c>
      <x:c r="J1369" s="11" t="str"/>
      <x:c r="K1369" s="11" t="str">
        <x:v>待核</x:v>
      </x:c>
      <x:c r="L1369" s="11" t="str">
        <x:v>精确发布时间未核验</x:v>
      </x:c>
      <x:c r="M1369" s="11" t="str">
        <x:v>截止日前日期，盘中时分未核</x:v>
      </x:c>
    </x:row>
    <x:row r="1370" ht="23" customHeight="1">
      <x:c r="A1370" s="11" t="str">
        <x:v>I036</x:v>
      </x:c>
      <x:c r="B1370" s="11" t="str">
        <x:v>01513.HK</x:v>
      </x:c>
      <x:c r="C1370" s="11" t="str">
        <x:v>parentEquity</x:v>
      </x:c>
      <x:c r="D1370" s="39" t="n">
        <x:v>13365.82614956</x:v>
      </x:c>
      <x:c r="E1370" s="11" t="str">
        <x:v>CNY</x:v>
      </x:c>
      <x:c r="F1370" s="11" t="str">
        <x:v>million</x:v>
      </x:c>
      <x:c r="G1370" s="11" t="str">
        <x:v>2026H1</x:v>
      </x:c>
      <x:c r="H1370" s="11" t="str">
        <x:v>2026-08-22</x:v>
      </x:c>
      <x:c r="I1370" s="11" t="str">
        <x:v>https://static.cninfo.com.cn/finalpage/2026-08-22/1225490312.PDF</x:v>
      </x:c>
      <x:c r="J1370" s="11" t="str"/>
      <x:c r="K1370" s="11" t="str">
        <x:v>待核</x:v>
      </x:c>
      <x:c r="L1370" s="11" t="str">
        <x:v>精确发布时间未核验</x:v>
      </x:c>
      <x:c r="M1370" s="11" t="str">
        <x:v>截止日前日期，盘中时分未核</x:v>
      </x:c>
    </x:row>
    <x:row r="1371" ht="23" customHeight="1">
      <x:c r="A1371" s="11" t="str">
        <x:v>I036</x:v>
      </x:c>
      <x:c r="B1371" s="11" t="str">
        <x:v>01513.HK</x:v>
      </x:c>
      <x:c r="C1371" s="11" t="str">
        <x:v>minorityEquity</x:v>
      </x:c>
      <x:c r="D1371" s="39" t="n">
        <x:v>1231.89958883</x:v>
      </x:c>
      <x:c r="E1371" s="11" t="str">
        <x:v>CNY</x:v>
      </x:c>
      <x:c r="F1371" s="11" t="str">
        <x:v>million</x:v>
      </x:c>
      <x:c r="G1371" s="11" t="str">
        <x:v>2026H1</x:v>
      </x:c>
      <x:c r="H1371" s="11" t="str">
        <x:v>2026-08-22</x:v>
      </x:c>
      <x:c r="I1371" s="11" t="str">
        <x:v>https://static.cninfo.com.cn/finalpage/2026-08-22/1225490312.PDF</x:v>
      </x:c>
      <x:c r="J1371" s="11" t="str"/>
      <x:c r="K1371" s="11" t="str">
        <x:v>待核</x:v>
      </x:c>
      <x:c r="L1371" s="11" t="str">
        <x:v>精确发布时间未核验</x:v>
      </x:c>
      <x:c r="M1371" s="11" t="str">
        <x:v>截止日前日期，盘中时分未核</x:v>
      </x:c>
    </x:row>
    <x:row r="1372" ht="23" customHeight="1">
      <x:c r="A1372" s="11" t="str">
        <x:v>I036</x:v>
      </x:c>
      <x:c r="B1372" s="11" t="str">
        <x:v>01513.HK</x:v>
      </x:c>
      <x:c r="C1372" s="11" t="str">
        <x:v>goodwill</x:v>
      </x:c>
      <x:c r="D1372" s="39" t="n">
        <x:v>1094.52779982</x:v>
      </x:c>
      <x:c r="E1372" s="11" t="str">
        <x:v>CNY</x:v>
      </x:c>
      <x:c r="F1372" s="11" t="str">
        <x:v>million</x:v>
      </x:c>
      <x:c r="G1372" s="11" t="str">
        <x:v>2026H1</x:v>
      </x:c>
      <x:c r="H1372" s="11" t="str">
        <x:v>2026-08-22</x:v>
      </x:c>
      <x:c r="I1372" s="11" t="str">
        <x:v>https://static.cninfo.com.cn/finalpage/2026-08-22/1225490312.PDF</x:v>
      </x:c>
      <x:c r="J1372" s="11" t="str"/>
      <x:c r="K1372" s="11" t="str">
        <x:v>待核</x:v>
      </x:c>
      <x:c r="L1372" s="11" t="str">
        <x:v>精确发布时间未核验</x:v>
      </x:c>
      <x:c r="M1372" s="11" t="str">
        <x:v>截止日前日期，盘中时分未核</x:v>
      </x:c>
    </x:row>
    <x:row r="1373" ht="23" customHeight="1">
      <x:c r="A1373" s="11" t="str">
        <x:v>I036</x:v>
      </x:c>
      <x:c r="B1373" s="11" t="str">
        <x:v>01513.HK</x:v>
      </x:c>
      <x:c r="C1373" s="11" t="str">
        <x:v>developmentAssets</x:v>
      </x:c>
      <x:c r="D1373" s="39" t="n">
        <x:v>401.38267218</x:v>
      </x:c>
      <x:c r="E1373" s="11" t="str">
        <x:v>CNY</x:v>
      </x:c>
      <x:c r="F1373" s="11" t="str">
        <x:v>million</x:v>
      </x:c>
      <x:c r="G1373" s="11" t="str">
        <x:v>2026H1</x:v>
      </x:c>
      <x:c r="H1373" s="11" t="str">
        <x:v>2026-08-22</x:v>
      </x:c>
      <x:c r="I1373" s="11" t="str">
        <x:v>https://static.cninfo.com.cn/finalpage/2026-08-22/1225490312.PDF</x:v>
      </x:c>
      <x:c r="J1373" s="11" t="str"/>
      <x:c r="K1373" s="11" t="str">
        <x:v>待核</x:v>
      </x:c>
      <x:c r="L1373" s="11" t="str">
        <x:v>精确发布时间未核验</x:v>
      </x:c>
      <x:c r="M1373" s="11" t="str">
        <x:v>截止日前日期，盘中时分未核</x:v>
      </x:c>
    </x:row>
    <x:row r="1374" ht="23" customHeight="1">
      <x:c r="A1374" s="11" t="str">
        <x:v>I036</x:v>
      </x:c>
      <x:c r="B1374" s="11" t="str">
        <x:v>01513.HK</x:v>
      </x:c>
      <x:c r="C1374" s="11" t="str">
        <x:v>RDManagementTotal</x:v>
      </x:c>
      <x:c r="D1374" s="39" t="n">
        <x:v>381.50257604</x:v>
      </x:c>
      <x:c r="E1374" s="11" t="str">
        <x:v>CNY</x:v>
      </x:c>
      <x:c r="F1374" s="11" t="str">
        <x:v>million</x:v>
      </x:c>
      <x:c r="G1374" s="11" t="str">
        <x:v>2026H1</x:v>
      </x:c>
      <x:c r="H1374" s="11" t="str">
        <x:v>2026-08-22</x:v>
      </x:c>
      <x:c r="I1374" s="11" t="str">
        <x:v>https://static.cninfo.com.cn/finalpage/2026-08-22/1225490312.PDF</x:v>
      </x:c>
      <x:c r="J1374" s="11" t="str"/>
      <x:c r="K1374" s="11" t="str">
        <x:v>待核</x:v>
      </x:c>
      <x:c r="L1374" s="11" t="str">
        <x:v>精确发布时间未核验</x:v>
      </x:c>
      <x:c r="M1374" s="11" t="str">
        <x:v>截止日前日期，盘中时分未核</x:v>
      </x:c>
    </x:row>
    <x:row r="1375" ht="23" customHeight="1">
      <x:c r="A1375" s="11" t="str">
        <x:v>I036</x:v>
      </x:c>
      <x:c r="B1375" s="11" t="str">
        <x:v>01513.HK</x:v>
      </x:c>
      <x:c r="C1375" s="11" t="str">
        <x:v>RDExpensed</x:v>
      </x:c>
      <x:c r="D1375" s="39" t="n">
        <x:v>358.02239934</x:v>
      </x:c>
      <x:c r="E1375" s="11" t="str">
        <x:v>CNY</x:v>
      </x:c>
      <x:c r="F1375" s="11" t="str">
        <x:v>million</x:v>
      </x:c>
      <x:c r="G1375" s="11" t="str">
        <x:v>2026H1</x:v>
      </x:c>
      <x:c r="H1375" s="11" t="str">
        <x:v>2026-08-22</x:v>
      </x:c>
      <x:c r="I1375" s="11" t="str">
        <x:v>https://static.cninfo.com.cn/finalpage/2026-08-22/1225490312.PDF</x:v>
      </x:c>
      <x:c r="J1375" s="11" t="str"/>
      <x:c r="K1375" s="11" t="str">
        <x:v>待核</x:v>
      </x:c>
      <x:c r="L1375" s="11" t="str">
        <x:v>精确发布时间未核验</x:v>
      </x:c>
      <x:c r="M1375" s="11" t="str">
        <x:v>截止日前日期，盘中时分未核</x:v>
      </x:c>
    </x:row>
    <x:row r="1376" ht="23" customHeight="1">
      <x:c r="A1376" s="11" t="str">
        <x:v>I036</x:v>
      </x:c>
      <x:c r="B1376" s="11" t="str">
        <x:v>01513.HK</x:v>
      </x:c>
      <x:c r="C1376" s="11" t="str">
        <x:v>RDCapitalizedInternal</x:v>
      </x:c>
      <x:c r="D1376" s="39" t="n">
        <x:v>19.74049782</x:v>
      </x:c>
      <x:c r="E1376" s="11" t="str">
        <x:v>CNY</x:v>
      </x:c>
      <x:c r="F1376" s="11" t="str">
        <x:v>million</x:v>
      </x:c>
      <x:c r="G1376" s="11" t="str">
        <x:v>2026H1</x:v>
      </x:c>
      <x:c r="H1376" s="11" t="str">
        <x:v>2026-08-22</x:v>
      </x:c>
      <x:c r="I1376" s="11" t="str">
        <x:v>https://static.cninfo.com.cn/finalpage/2026-08-22/1225490312.PDF</x:v>
      </x:c>
      <x:c r="J1376" s="11" t="str"/>
      <x:c r="K1376" s="11" t="str">
        <x:v>待核</x:v>
      </x:c>
      <x:c r="L1376" s="11" t="str">
        <x:v>精确发布时间未核验</x:v>
      </x:c>
      <x:c r="M1376" s="11" t="str">
        <x:v>截止日前日期，盘中时分未核</x:v>
      </x:c>
    </x:row>
    <x:row r="1377" ht="23" customHeight="1">
      <x:c r="A1377" s="11" t="str">
        <x:v>I036</x:v>
      </x:c>
      <x:c r="B1377" s="11" t="str">
        <x:v>01513.HK</x:v>
      </x:c>
      <x:c r="C1377" s="11" t="str">
        <x:v>RDExternalCapitalized</x:v>
      </x:c>
      <x:c r="D1377" s="39" t="n">
        <x:v>16.76628</x:v>
      </x:c>
      <x:c r="E1377" s="11" t="str">
        <x:v>CNY</x:v>
      </x:c>
      <x:c r="F1377" s="11" t="str">
        <x:v>million</x:v>
      </x:c>
      <x:c r="G1377" s="11" t="str">
        <x:v>2026H1</x:v>
      </x:c>
      <x:c r="H1377" s="11" t="str">
        <x:v>2026-08-22</x:v>
      </x:c>
      <x:c r="I1377" s="11" t="str">
        <x:v>https://static.cninfo.com.cn/finalpage/2026-08-22/1225490312.PDF</x:v>
      </x:c>
      <x:c r="J1377" s="11" t="str"/>
      <x:c r="K1377" s="11" t="str">
        <x:v>待核</x:v>
      </x:c>
      <x:c r="L1377" s="11" t="str">
        <x:v>精确发布时间未核验</x:v>
      </x:c>
      <x:c r="M1377" s="11" t="str">
        <x:v>截止日前日期，盘中时分未核</x:v>
      </x:c>
    </x:row>
    <x:row r="1378" ht="23" customHeight="1">
      <x:c r="A1378" s="11" t="str">
        <x:v>I036</x:v>
      </x:c>
      <x:c r="B1378" s="11" t="str">
        <x:v>01513.HK</x:v>
      </x:c>
      <x:c r="C1378" s="11" t="str">
        <x:v>RDFootnoteTotal</x:v>
      </x:c>
      <x:c r="D1378" s="39" t="n">
        <x:v>394.52917716</x:v>
      </x:c>
      <x:c r="E1378" s="11" t="str">
        <x:v>CNY</x:v>
      </x:c>
      <x:c r="F1378" s="11" t="str">
        <x:v>million</x:v>
      </x:c>
      <x:c r="G1378" s="11" t="str">
        <x:v>2026H1</x:v>
      </x:c>
      <x:c r="H1378" s="11" t="str">
        <x:v>2026-08-22</x:v>
      </x:c>
      <x:c r="I1378" s="11" t="str">
        <x:v>https://static.cninfo.com.cn/finalpage/2026-08-22/1225490312.PDF</x:v>
      </x:c>
      <x:c r="J1378" s="11" t="str"/>
      <x:c r="K1378" s="11" t="str">
        <x:v>待核</x:v>
      </x:c>
      <x:c r="L1378" s="11" t="str">
        <x:v>精确发布时间未核验</x:v>
      </x:c>
      <x:c r="M1378" s="11" t="str">
        <x:v>截止日前日期，盘中时分未核</x:v>
      </x:c>
    </x:row>
    <x:row r="1379" ht="23" customHeight="1">
      <x:c r="A1379" s="11" t="str">
        <x:v>I036</x:v>
      </x:c>
      <x:c r="B1379" s="11" t="str">
        <x:v>01513.HK</x:v>
      </x:c>
      <x:c r="C1379" s="11" t="str">
        <x:v>selling</x:v>
      </x:c>
      <x:c r="D1379" s="39" t="n">
        <x:v>1148.12875739</x:v>
      </x:c>
      <x:c r="E1379" s="11" t="str">
        <x:v>CNY</x:v>
      </x:c>
      <x:c r="F1379" s="11" t="str">
        <x:v>million</x:v>
      </x:c>
      <x:c r="G1379" s="11" t="str">
        <x:v>2026H1</x:v>
      </x:c>
      <x:c r="H1379" s="11" t="str">
        <x:v>2026-08-22</x:v>
      </x:c>
      <x:c r="I1379" s="11" t="str">
        <x:v>https://static.cninfo.com.cn/finalpage/2026-08-22/1225490312.PDF</x:v>
      </x:c>
      <x:c r="J1379" s="11" t="str"/>
      <x:c r="K1379" s="11" t="str">
        <x:v>待核</x:v>
      </x:c>
      <x:c r="L1379" s="11" t="str">
        <x:v>精确发布时间未核验</x:v>
      </x:c>
      <x:c r="M1379" s="11" t="str">
        <x:v>截止日前日期，盘中时分未核</x:v>
      </x:c>
    </x:row>
    <x:row r="1380" ht="23" customHeight="1">
      <x:c r="A1380" s="11" t="str">
        <x:v>I036</x:v>
      </x:c>
      <x:c r="B1380" s="11" t="str">
        <x:v>01513.HK</x:v>
      </x:c>
      <x:c r="C1380" s="11" t="str">
        <x:v>admin</x:v>
      </x:c>
      <x:c r="D1380" s="39" t="n">
        <x:v>268.35101573</x:v>
      </x:c>
      <x:c r="E1380" s="11" t="str">
        <x:v>CNY</x:v>
      </x:c>
      <x:c r="F1380" s="11" t="str">
        <x:v>million</x:v>
      </x:c>
      <x:c r="G1380" s="11" t="str">
        <x:v>2026H1</x:v>
      </x:c>
      <x:c r="H1380" s="11" t="str">
        <x:v>2026-08-22</x:v>
      </x:c>
      <x:c r="I1380" s="11" t="str">
        <x:v>https://static.cninfo.com.cn/finalpage/2026-08-22/1225490312.PDF</x:v>
      </x:c>
      <x:c r="J1380" s="11" t="str"/>
      <x:c r="K1380" s="11" t="str">
        <x:v>待核</x:v>
      </x:c>
      <x:c r="L1380" s="11" t="str">
        <x:v>精确发布时间未核验</x:v>
      </x:c>
      <x:c r="M1380" s="11" t="str">
        <x:v>截止日前日期，盘中时分未核</x:v>
      </x:c>
    </x:row>
    <x:row r="1381" ht="23" customHeight="1">
      <x:c r="A1381" s="11" t="str">
        <x:v>I036</x:v>
      </x:c>
      <x:c r="B1381" s="11" t="str">
        <x:v>01513.HK</x:v>
      </x:c>
      <x:c r="C1381" s="11" t="str">
        <x:v>interestExpense</x:v>
      </x:c>
      <x:c r="D1381" s="39" t="n">
        <x:v>21.79306892</x:v>
      </x:c>
      <x:c r="E1381" s="11" t="str">
        <x:v>CNY</x:v>
      </x:c>
      <x:c r="F1381" s="11" t="str">
        <x:v>million</x:v>
      </x:c>
      <x:c r="G1381" s="11" t="str">
        <x:v>2026H1</x:v>
      </x:c>
      <x:c r="H1381" s="11" t="str">
        <x:v>2026-08-22</x:v>
      </x:c>
      <x:c r="I1381" s="11" t="str">
        <x:v>https://static.cninfo.com.cn/finalpage/2026-08-22/1225490312.PDF</x:v>
      </x:c>
      <x:c r="J1381" s="11" t="str"/>
      <x:c r="K1381" s="11" t="str">
        <x:v>待核</x:v>
      </x:c>
      <x:c r="L1381" s="11" t="str">
        <x:v>精确发布时间未核验</x:v>
      </x:c>
      <x:c r="M1381" s="11" t="str">
        <x:v>截止日前日期，盘中时分未核</x:v>
      </x:c>
    </x:row>
    <x:row r="1382" ht="23" customHeight="1">
      <x:c r="A1382" s="11" t="str">
        <x:v>I036</x:v>
      </x:c>
      <x:c r="B1382" s="11" t="str">
        <x:v>01513.HK</x:v>
      </x:c>
      <x:c r="C1382" s="11" t="str">
        <x:v>interestIncome</x:v>
      </x:c>
      <x:c r="D1382" s="39" t="n">
        <x:v>49.82686579</x:v>
      </x:c>
      <x:c r="E1382" s="11" t="str">
        <x:v>CNY</x:v>
      </x:c>
      <x:c r="F1382" s="11" t="str">
        <x:v>million</x:v>
      </x:c>
      <x:c r="G1382" s="11" t="str">
        <x:v>2026H1</x:v>
      </x:c>
      <x:c r="H1382" s="11" t="str">
        <x:v>2026-08-22</x:v>
      </x:c>
      <x:c r="I1382" s="11" t="str">
        <x:v>https://static.cninfo.com.cn/finalpage/2026-08-22/1225490312.PDF</x:v>
      </x:c>
      <x:c r="J1382" s="11" t="str"/>
      <x:c r="K1382" s="11" t="str">
        <x:v>待核</x:v>
      </x:c>
      <x:c r="L1382" s="11" t="str">
        <x:v>精确发布时间未核验</x:v>
      </x:c>
      <x:c r="M1382" s="11" t="str">
        <x:v>截止日前日期，盘中时分未核</x:v>
      </x:c>
    </x:row>
    <x:row r="1383" ht="23" customHeight="1">
      <x:c r="A1383" s="11" t="str">
        <x:v>I036</x:v>
      </x:c>
      <x:c r="B1383" s="11" t="str">
        <x:v>01513.HK</x:v>
      </x:c>
      <x:c r="C1383" s="11" t="str">
        <x:v>FXLoss</x:v>
      </x:c>
      <x:c r="D1383" s="39" t="n">
        <x:v>38.36622609</x:v>
      </x:c>
      <x:c r="E1383" s="11" t="str">
        <x:v>CNY</x:v>
      </x:c>
      <x:c r="F1383" s="11" t="str">
        <x:v>million</x:v>
      </x:c>
      <x:c r="G1383" s="11" t="str">
        <x:v>2026H1</x:v>
      </x:c>
      <x:c r="H1383" s="11" t="str">
        <x:v>2026-08-22</x:v>
      </x:c>
      <x:c r="I1383" s="11" t="str">
        <x:v>https://static.cninfo.com.cn/finalpage/2026-08-22/1225490312.PDF</x:v>
      </x:c>
      <x:c r="J1383" s="11" t="str"/>
      <x:c r="K1383" s="11" t="str">
        <x:v>待核</x:v>
      </x:c>
      <x:c r="L1383" s="11" t="str">
        <x:v>精确发布时间未核验</x:v>
      </x:c>
      <x:c r="M1383" s="11" t="str">
        <x:v>截止日前日期，盘中时分未核</x:v>
      </x:c>
    </x:row>
    <x:row r="1384" ht="23" customHeight="1">
      <x:c r="A1384" s="11" t="str">
        <x:v>I036</x:v>
      </x:c>
      <x:c r="B1384" s="11" t="str">
        <x:v>01513.HK</x:v>
      </x:c>
      <x:c r="C1384" s="11" t="str">
        <x:v>FXCashEffect</x:v>
      </x:c>
      <x:c r="D1384" s="39" t="n">
        <x:v>-101.56711861</x:v>
      </x:c>
      <x:c r="E1384" s="11" t="str">
        <x:v>CNY</x:v>
      </x:c>
      <x:c r="F1384" s="11" t="str">
        <x:v>million</x:v>
      </x:c>
      <x:c r="G1384" s="11" t="str">
        <x:v>2026H1</x:v>
      </x:c>
      <x:c r="H1384" s="11" t="str">
        <x:v>2026-08-22</x:v>
      </x:c>
      <x:c r="I1384" s="11" t="str">
        <x:v>https://static.cninfo.com.cn/finalpage/2026-08-22/1225490312.PDF</x:v>
      </x:c>
      <x:c r="J1384" s="11" t="str"/>
      <x:c r="K1384" s="11" t="str">
        <x:v>待核</x:v>
      </x:c>
      <x:c r="L1384" s="11" t="str">
        <x:v>精确发布时间未核验</x:v>
      </x:c>
      <x:c r="M1384" s="11" t="str">
        <x:v>截止日前日期，盘中时分未核</x:v>
      </x:c>
    </x:row>
    <x:row r="1385" ht="23" customHeight="1">
      <x:c r="A1385" s="11" t="str">
        <x:v>I036</x:v>
      </x:c>
      <x:c r="B1385" s="11" t="str">
        <x:v>01513.HK</x:v>
      </x:c>
      <x:c r="C1385" s="11" t="str">
        <x:v>investmentIncome</x:v>
      </x:c>
      <x:c r="D1385" s="39" t="n">
        <x:v>84.3000999</x:v>
      </x:c>
      <x:c r="E1385" s="11" t="str">
        <x:v>CNY</x:v>
      </x:c>
      <x:c r="F1385" s="11" t="str">
        <x:v>million</x:v>
      </x:c>
      <x:c r="G1385" s="11" t="str">
        <x:v>2026H1</x:v>
      </x:c>
      <x:c r="H1385" s="11" t="str">
        <x:v>2026-08-22</x:v>
      </x:c>
      <x:c r="I1385" s="11" t="str">
        <x:v>https://static.cninfo.com.cn/finalpage/2026-08-22/1225490312.PDF</x:v>
      </x:c>
      <x:c r="J1385" s="11" t="str"/>
      <x:c r="K1385" s="11" t="str">
        <x:v>待核</x:v>
      </x:c>
      <x:c r="L1385" s="11" t="str">
        <x:v>精确发布时间未核验</x:v>
      </x:c>
      <x:c r="M1385" s="11" t="str">
        <x:v>截止日前日期，盘中时分未核</x:v>
      </x:c>
    </x:row>
    <x:row r="1386" ht="23" customHeight="1">
      <x:c r="A1386" s="11" t="str">
        <x:v>I036</x:v>
      </x:c>
      <x:c r="B1386" s="11" t="str">
        <x:v>01513.HK</x:v>
      </x:c>
      <x:c r="C1386" s="11" t="str">
        <x:v>promotionPayable</x:v>
      </x:c>
      <x:c r="D1386" s="39" t="n">
        <x:v>2537.53036293</x:v>
      </x:c>
      <x:c r="E1386" s="11" t="str">
        <x:v>CNY</x:v>
      </x:c>
      <x:c r="F1386" s="11" t="str">
        <x:v>million</x:v>
      </x:c>
      <x:c r="G1386" s="11" t="str">
        <x:v>2026H1</x:v>
      </x:c>
      <x:c r="H1386" s="11" t="str">
        <x:v>2026-08-22</x:v>
      </x:c>
      <x:c r="I1386" s="11" t="str">
        <x:v>https://static.cninfo.com.cn/finalpage/2026-08-22/1225490312.PDF</x:v>
      </x:c>
      <x:c r="J1386" s="11" t="str"/>
      <x:c r="K1386" s="11" t="str">
        <x:v>待核</x:v>
      </x:c>
      <x:c r="L1386" s="11" t="str">
        <x:v>精确发布时间未核验</x:v>
      </x:c>
      <x:c r="M1386" s="11" t="str">
        <x:v>截止日前日期，盘中时分未核</x:v>
      </x:c>
    </x:row>
    <x:row r="1387" ht="23" customHeight="1">
      <x:c r="A1387" s="11" t="str">
        <x:v>I036</x:v>
      </x:c>
      <x:c r="B1387" s="11" t="str">
        <x:v>01513.HK</x:v>
      </x:c>
      <x:c r="C1387" s="11" t="str">
        <x:v>dividendPayable</x:v>
      </x:c>
      <x:c r="D1387" s="39" t="n">
        <x:v>444.1422954</x:v>
      </x:c>
      <x:c r="E1387" s="11" t="str">
        <x:v>CNY</x:v>
      </x:c>
      <x:c r="F1387" s="11" t="str">
        <x:v>million</x:v>
      </x:c>
      <x:c r="G1387" s="11" t="str">
        <x:v>2026H1</x:v>
      </x:c>
      <x:c r="H1387" s="11" t="str">
        <x:v>2026-08-22</x:v>
      </x:c>
      <x:c r="I1387" s="11" t="str">
        <x:v>https://static.cninfo.com.cn/finalpage/2026-08-22/1225490312.PDF</x:v>
      </x:c>
      <x:c r="J1387" s="11" t="str"/>
      <x:c r="K1387" s="11" t="str">
        <x:v>待核</x:v>
      </x:c>
      <x:c r="L1387" s="11" t="str">
        <x:v>精确发布时间未核验</x:v>
      </x:c>
      <x:c r="M1387" s="11" t="str">
        <x:v>截止日前日期，盘中时分未核</x:v>
      </x:c>
    </x:row>
    <x:row r="1388" ht="23" customHeight="1">
      <x:c r="A1388" s="11" t="str">
        <x:v>I036</x:v>
      </x:c>
      <x:c r="B1388" s="11" t="str">
        <x:v>01513.HK</x:v>
      </x:c>
      <x:c r="C1388" s="11" t="str">
        <x:v>acquisitionCashNet</x:v>
      </x:c>
      <x:c r="D1388" s="39" t="n">
        <x:v>1557.16042797</x:v>
      </x:c>
      <x:c r="E1388" s="11" t="str">
        <x:v>CNY</x:v>
      </x:c>
      <x:c r="F1388" s="11" t="str">
        <x:v>million</x:v>
      </x:c>
      <x:c r="G1388" s="11" t="str">
        <x:v>2026H1</x:v>
      </x:c>
      <x:c r="H1388" s="11" t="str">
        <x:v>2026-08-22</x:v>
      </x:c>
      <x:c r="I1388" s="11" t="str">
        <x:v>https://static.cninfo.com.cn/finalpage/2026-08-22/1225490312.PDF</x:v>
      </x:c>
      <x:c r="J1388" s="11" t="str"/>
      <x:c r="K1388" s="11" t="str">
        <x:v>待核</x:v>
      </x:c>
      <x:c r="L1388" s="11" t="str">
        <x:v>精确发布时间未核验</x:v>
      </x:c>
      <x:c r="M1388" s="11" t="str">
        <x:v>截止日前日期，盘中时分未核</x:v>
      </x:c>
    </x:row>
    <x:row r="1389" ht="23" customHeight="1">
      <x:c r="A1389" s="11" t="str">
        <x:v>I002</x:v>
      </x:c>
      <x:c r="B1389" s="11" t="str">
        <x:v>688062.SH</x:v>
      </x:c>
      <x:c r="C1389" s="11" t="str">
        <x:v>revenue</x:v>
      </x:c>
      <x:c r="D1389" s="39" t="n">
        <x:v>312.6416237</x:v>
      </x:c>
      <x:c r="E1389" s="11" t="str">
        <x:v>CNY</x:v>
      </x:c>
      <x:c r="F1389" s="11" t="str">
        <x:v>million</x:v>
      </x:c>
      <x:c r="G1389" s="11" t="str">
        <x:v>2026H1</x:v>
      </x:c>
      <x:c r="H1389" s="11" t="str">
        <x:v>2026-08-31</x:v>
      </x:c>
      <x:c r="I1389" s="11" t="str">
        <x:v>https://static.cninfo.com.cn/finalpage/2026-08-31/1225534348.PDF</x:v>
      </x:c>
      <x:c r="J1389" s="11" t="str"/>
      <x:c r="K1389" s="11" t="str">
        <x:v>待核</x:v>
      </x:c>
      <x:c r="L1389" s="11" t="str">
        <x:v>精确发布时间未核验</x:v>
      </x:c>
      <x:c r="M1389" s="11" t="str">
        <x:v>截止日前日期，盘中时分未核</x:v>
      </x:c>
    </x:row>
    <x:row r="1390" ht="23" customHeight="1">
      <x:c r="A1390" s="11" t="str">
        <x:v>I002</x:v>
      </x:c>
      <x:c r="B1390" s="11" t="str">
        <x:v>688062.SH</x:v>
      </x:c>
      <x:c r="C1390" s="11" t="str">
        <x:v>revenueGrowthPct</x:v>
      </x:c>
      <x:c r="D1390" s="39" t="n">
        <x:v>209.04</x:v>
      </x:c>
      <x:c r="E1390" s="11" t="str">
        <x:v>not monetary</x:v>
      </x:c>
      <x:c r="F1390" s="11" t="str">
        <x:v>percent</x:v>
      </x:c>
      <x:c r="G1390" s="11" t="str">
        <x:v>2026H1</x:v>
      </x:c>
      <x:c r="H1390" s="11" t="str">
        <x:v>2026-08-31</x:v>
      </x:c>
      <x:c r="I1390" s="11" t="str">
        <x:v>https://static.cninfo.com.cn/finalpage/2026-08-31/1225534348.PDF</x:v>
      </x:c>
      <x:c r="J1390" s="11" t="str"/>
      <x:c r="K1390" s="11" t="str">
        <x:v>待核</x:v>
      </x:c>
      <x:c r="L1390" s="11" t="str">
        <x:v>精确发布时间未核验</x:v>
      </x:c>
      <x:c r="M1390" s="11" t="str">
        <x:v>截止日前日期，盘中时分未核</x:v>
      </x:c>
    </x:row>
    <x:row r="1391" ht="23" customHeight="1">
      <x:c r="A1391" s="11" t="str">
        <x:v>I002</x:v>
      </x:c>
      <x:c r="B1391" s="11" t="str">
        <x:v>688062.SH</x:v>
      </x:c>
      <x:c r="C1391" s="11" t="str">
        <x:v>attributableProfit</x:v>
      </x:c>
      <x:c r="D1391" s="39" t="n">
        <x:v>-521.70768223</x:v>
      </x:c>
      <x:c r="E1391" s="11" t="str">
        <x:v>CNY</x:v>
      </x:c>
      <x:c r="F1391" s="11" t="str">
        <x:v>million</x:v>
      </x:c>
      <x:c r="G1391" s="11" t="str">
        <x:v>2026H1</x:v>
      </x:c>
      <x:c r="H1391" s="11" t="str">
        <x:v>2026-08-31</x:v>
      </x:c>
      <x:c r="I1391" s="11" t="str">
        <x:v>https://static.cninfo.com.cn/finalpage/2026-08-31/1225534348.PDF</x:v>
      </x:c>
      <x:c r="J1391" s="11" t="str"/>
      <x:c r="K1391" s="11" t="str">
        <x:v>待核</x:v>
      </x:c>
      <x:c r="L1391" s="11" t="str">
        <x:v>精确发布时间未核验</x:v>
      </x:c>
      <x:c r="M1391" s="11" t="str">
        <x:v>截止日前日期，盘中时分未核</x:v>
      </x:c>
    </x:row>
    <x:row r="1392" ht="23" customHeight="1">
      <x:c r="A1392" s="11" t="str">
        <x:v>I002</x:v>
      </x:c>
      <x:c r="B1392" s="11" t="str">
        <x:v>688062.SH</x:v>
      </x:c>
      <x:c r="C1392" s="11" t="str">
        <x:v>deductedProfit</x:v>
      </x:c>
      <x:c r="D1392" s="39" t="n">
        <x:v>-518.26347383</x:v>
      </x:c>
      <x:c r="E1392" s="11" t="str">
        <x:v>CNY</x:v>
      </x:c>
      <x:c r="F1392" s="11" t="str">
        <x:v>million</x:v>
      </x:c>
      <x:c r="G1392" s="11" t="str">
        <x:v>2026H1</x:v>
      </x:c>
      <x:c r="H1392" s="11" t="str">
        <x:v>2026-08-31</x:v>
      </x:c>
      <x:c r="I1392" s="11" t="str">
        <x:v>https://static.cninfo.com.cn/finalpage/2026-08-31/1225534348.PDF</x:v>
      </x:c>
      <x:c r="J1392" s="11" t="str"/>
      <x:c r="K1392" s="11" t="str">
        <x:v>待核</x:v>
      </x:c>
      <x:c r="L1392" s="11" t="str">
        <x:v>精确发布时间未核验</x:v>
      </x:c>
      <x:c r="M1392" s="11" t="str">
        <x:v>截止日前日期，盘中时分未核</x:v>
      </x:c>
    </x:row>
    <x:row r="1393" ht="23" customHeight="1">
      <x:c r="A1393" s="11" t="str">
        <x:v>I002</x:v>
      </x:c>
      <x:c r="B1393" s="11" t="str">
        <x:v>688062.SH</x:v>
      </x:c>
      <x:c r="C1393" s="11" t="str">
        <x:v>OCF</x:v>
      </x:c>
      <x:c r="D1393" s="39" t="n">
        <x:v>-508.93843773</x:v>
      </x:c>
      <x:c r="E1393" s="11" t="str">
        <x:v>CNY</x:v>
      </x:c>
      <x:c r="F1393" s="11" t="str">
        <x:v>million</x:v>
      </x:c>
      <x:c r="G1393" s="11" t="str">
        <x:v>2026H1</x:v>
      </x:c>
      <x:c r="H1393" s="11" t="str">
        <x:v>2026-08-31</x:v>
      </x:c>
      <x:c r="I1393" s="11" t="str">
        <x:v>https://static.cninfo.com.cn/finalpage/2026-08-31/1225534348.PDF</x:v>
      </x:c>
      <x:c r="J1393" s="11" t="str"/>
      <x:c r="K1393" s="11" t="str">
        <x:v>待核</x:v>
      </x:c>
      <x:c r="L1393" s="11" t="str">
        <x:v>精确发布时间未核验</x:v>
      </x:c>
      <x:c r="M1393" s="11" t="str">
        <x:v>截止日前日期，盘中时分未核</x:v>
      </x:c>
    </x:row>
    <x:row r="1394" ht="23" customHeight="1">
      <x:c r="A1394" s="11" t="str">
        <x:v>I002</x:v>
      </x:c>
      <x:c r="B1394" s="11" t="str">
        <x:v>688062.SH</x:v>
      </x:c>
      <x:c r="C1394" s="11" t="str">
        <x:v>capex</x:v>
      </x:c>
      <x:c r="D1394" s="39" t="n">
        <x:v>61.58631976</x:v>
      </x:c>
      <x:c r="E1394" s="11" t="str">
        <x:v>CNY</x:v>
      </x:c>
      <x:c r="F1394" s="11" t="str">
        <x:v>million</x:v>
      </x:c>
      <x:c r="G1394" s="11" t="str">
        <x:v>2026H1</x:v>
      </x:c>
      <x:c r="H1394" s="11" t="str">
        <x:v>2026-08-31</x:v>
      </x:c>
      <x:c r="I1394" s="11" t="str">
        <x:v>https://static.cninfo.com.cn/finalpage/2026-08-31/1225534348.PDF</x:v>
      </x:c>
      <x:c r="J1394" s="11" t="str"/>
      <x:c r="K1394" s="11" t="str">
        <x:v>待核</x:v>
      </x:c>
      <x:c r="L1394" s="11" t="str">
        <x:v>精确发布时间未核验</x:v>
      </x:c>
      <x:c r="M1394" s="11" t="str">
        <x:v>截止日前日期，盘中时分未核</x:v>
      </x:c>
    </x:row>
    <x:row r="1395" ht="23" customHeight="1">
      <x:c r="A1395" s="11" t="str">
        <x:v>I002</x:v>
      </x:c>
      <x:c r="B1395" s="11" t="str">
        <x:v>688062.SH</x:v>
      </x:c>
      <x:c r="C1395" s="11" t="str">
        <x:v>FCF</x:v>
      </x:c>
      <x:c r="D1395" s="39" t="n">
        <x:v>-570.52475749</x:v>
      </x:c>
      <x:c r="E1395" s="11" t="str">
        <x:v>CNY</x:v>
      </x:c>
      <x:c r="F1395" s="11" t="str">
        <x:v>million</x:v>
      </x:c>
      <x:c r="G1395" s="11" t="str">
        <x:v>2026H1</x:v>
      </x:c>
      <x:c r="H1395" s="11" t="str">
        <x:v>2026-08-31</x:v>
      </x:c>
      <x:c r="I1395" s="11" t="str">
        <x:v>https://static.cninfo.com.cn/finalpage/2026-08-31/1225534348.PDF</x:v>
      </x:c>
      <x:c r="J1395" s="11" t="str"/>
      <x:c r="K1395" s="11" t="str">
        <x:v>待核</x:v>
      </x:c>
      <x:c r="L1395" s="11" t="str">
        <x:v>精确发布时间未核验</x:v>
      </x:c>
      <x:c r="M1395" s="11" t="str">
        <x:v>截止日前日期，盘中时分未核</x:v>
      </x:c>
    </x:row>
    <x:row r="1396" ht="23" customHeight="1">
      <x:c r="A1396" s="11" t="str">
        <x:v>I002</x:v>
      </x:c>
      <x:c r="B1396" s="11" t="str">
        <x:v>688062.SH</x:v>
      </x:c>
      <x:c r="C1396" s="11" t="str">
        <x:v>cashBank</x:v>
      </x:c>
      <x:c r="D1396" s="39" t="n">
        <x:v>2228.71903829</x:v>
      </x:c>
      <x:c r="E1396" s="11" t="str">
        <x:v>CNY</x:v>
      </x:c>
      <x:c r="F1396" s="11" t="str">
        <x:v>million</x:v>
      </x:c>
      <x:c r="G1396" s="11" t="str">
        <x:v>2026H1</x:v>
      </x:c>
      <x:c r="H1396" s="11" t="str">
        <x:v>2026-08-31</x:v>
      </x:c>
      <x:c r="I1396" s="11" t="str">
        <x:v>https://static.cninfo.com.cn/finalpage/2026-08-31/1225534348.PDF</x:v>
      </x:c>
      <x:c r="J1396" s="11" t="str"/>
      <x:c r="K1396" s="11" t="str">
        <x:v>待核</x:v>
      </x:c>
      <x:c r="L1396" s="11" t="str">
        <x:v>精确发布时间未核验</x:v>
      </x:c>
      <x:c r="M1396" s="11" t="str">
        <x:v>截止日前日期，盘中时分未核</x:v>
      </x:c>
    </x:row>
    <x:row r="1397" ht="23" customHeight="1">
      <x:c r="A1397" s="11" t="str">
        <x:v>I002</x:v>
      </x:c>
      <x:c r="B1397" s="11" t="str">
        <x:v>688062.SH</x:v>
      </x:c>
      <x:c r="C1397" s="11" t="str">
        <x:v>cashCashEquivalents</x:v>
      </x:c>
      <x:c r="D1397" s="39" t="n">
        <x:v>2293.93211058</x:v>
      </x:c>
      <x:c r="E1397" s="11" t="str">
        <x:v>CNY</x:v>
      </x:c>
      <x:c r="F1397" s="11" t="str">
        <x:v>million</x:v>
      </x:c>
      <x:c r="G1397" s="11" t="str">
        <x:v>2026H1</x:v>
      </x:c>
      <x:c r="H1397" s="11" t="str">
        <x:v>2026-08-31</x:v>
      </x:c>
      <x:c r="I1397" s="11" t="str">
        <x:v>https://static.cninfo.com.cn/finalpage/2026-08-31/1225534348.PDF</x:v>
      </x:c>
      <x:c r="J1397" s="11" t="str"/>
      <x:c r="K1397" s="11" t="str">
        <x:v>待核</x:v>
      </x:c>
      <x:c r="L1397" s="11" t="str">
        <x:v>精确发布时间未核验</x:v>
      </x:c>
      <x:c r="M1397" s="11" t="str">
        <x:v>截止日前日期，盘中时分未核</x:v>
      </x:c>
    </x:row>
    <x:row r="1398" ht="23" customHeight="1">
      <x:c r="A1398" s="11" t="str">
        <x:v>I002</x:v>
      </x:c>
      <x:c r="B1398" s="11" t="str">
        <x:v>688062.SH</x:v>
      </x:c>
      <x:c r="C1398" s="11" t="str">
        <x:v>cashPayable</x:v>
      </x:c>
      <x:c r="D1398" s="39" t="n">
        <x:v>2225.96268915</x:v>
      </x:c>
      <x:c r="E1398" s="11" t="str">
        <x:v>CNY</x:v>
      </x:c>
      <x:c r="F1398" s="11" t="str">
        <x:v>million</x:v>
      </x:c>
      <x:c r="G1398" s="11" t="str">
        <x:v>2026H1</x:v>
      </x:c>
      <x:c r="H1398" s="11" t="str">
        <x:v>2026-08-31</x:v>
      </x:c>
      <x:c r="I1398" s="11" t="str">
        <x:v>https://static.cninfo.com.cn/finalpage/2026-08-31/1225534348.PDF</x:v>
      </x:c>
      <x:c r="J1398" s="11" t="str"/>
      <x:c r="K1398" s="11" t="str">
        <x:v>待核</x:v>
      </x:c>
      <x:c r="L1398" s="11" t="str">
        <x:v>精确发布时间未核验</x:v>
      </x:c>
      <x:c r="M1398" s="11" t="str">
        <x:v>截止日前日期，盘中时分未核</x:v>
      </x:c>
    </x:row>
    <x:row r="1399" ht="23" customHeight="1">
      <x:c r="A1399" s="11" t="str">
        <x:v>I002</x:v>
      </x:c>
      <x:c r="B1399" s="11" t="str">
        <x:v>688062.SH</x:v>
      </x:c>
      <x:c r="C1399" s="11" t="str">
        <x:v>USGovernmentBondInsideCashEq</x:v>
      </x:c>
      <x:c r="D1399" s="39" t="n">
        <x:v>67.96942143</x:v>
      </x:c>
      <x:c r="E1399" s="11" t="str">
        <x:v>CNY</x:v>
      </x:c>
      <x:c r="F1399" s="11" t="str">
        <x:v>million</x:v>
      </x:c>
      <x:c r="G1399" s="11" t="str">
        <x:v>2026H1</x:v>
      </x:c>
      <x:c r="H1399" s="11" t="str">
        <x:v>2026-08-31</x:v>
      </x:c>
      <x:c r="I1399" s="11" t="str">
        <x:v>https://static.cninfo.com.cn/finalpage/2026-08-31/1225534348.PDF</x:v>
      </x:c>
      <x:c r="J1399" s="11" t="str"/>
      <x:c r="K1399" s="11" t="str">
        <x:v>待核</x:v>
      </x:c>
      <x:c r="L1399" s="11" t="str">
        <x:v>精确发布时间未核验</x:v>
      </x:c>
      <x:c r="M1399" s="11" t="str">
        <x:v>截止日前日期，盘中时分未核</x:v>
      </x:c>
    </x:row>
    <x:row r="1400" ht="23" customHeight="1">
      <x:c r="A1400" s="11" t="str">
        <x:v>I002</x:v>
      </x:c>
      <x:c r="B1400" s="11" t="str">
        <x:v>688062.SH</x:v>
      </x:c>
      <x:c r="C1400" s="11" t="str">
        <x:v>transactionFinancialAssets</x:v>
      </x:c>
      <x:c r="D1400" s="39" t="n">
        <x:v>63.33191718</x:v>
      </x:c>
      <x:c r="E1400" s="11" t="str">
        <x:v>CNY</x:v>
      </x:c>
      <x:c r="F1400" s="11" t="str">
        <x:v>million</x:v>
      </x:c>
      <x:c r="G1400" s="11" t="str">
        <x:v>2026H1</x:v>
      </x:c>
      <x:c r="H1400" s="11" t="str">
        <x:v>2026-08-31</x:v>
      </x:c>
      <x:c r="I1400" s="11" t="str">
        <x:v>https://static.cninfo.com.cn/finalpage/2026-08-31/1225534348.PDF</x:v>
      </x:c>
      <x:c r="J1400" s="11" t="str"/>
      <x:c r="K1400" s="11" t="str">
        <x:v>待核</x:v>
      </x:c>
      <x:c r="L1400" s="11" t="str">
        <x:v>精确发布时间未核验</x:v>
      </x:c>
      <x:c r="M1400" s="11" t="str">
        <x:v>截止日前日期，盘中时分未核</x:v>
      </x:c>
    </x:row>
    <x:row r="1401" ht="23" customHeight="1">
      <x:c r="A1401" s="11" t="str">
        <x:v>I002</x:v>
      </x:c>
      <x:c r="B1401" s="11" t="str">
        <x:v>688062.SH</x:v>
      </x:c>
      <x:c r="C1401" s="11" t="str">
        <x:v>shortDebt</x:v>
      </x:c>
      <x:c r="D1401" s="39" t="n">
        <x:v>1319.38750436</x:v>
      </x:c>
      <x:c r="E1401" s="11" t="str">
        <x:v>CNY</x:v>
      </x:c>
      <x:c r="F1401" s="11" t="str">
        <x:v>million</x:v>
      </x:c>
      <x:c r="G1401" s="11" t="str">
        <x:v>2026H1</x:v>
      </x:c>
      <x:c r="H1401" s="11" t="str">
        <x:v>2026-08-31</x:v>
      </x:c>
      <x:c r="I1401" s="11" t="str">
        <x:v>https://static.cninfo.com.cn/finalpage/2026-08-31/1225534348.PDF</x:v>
      </x:c>
      <x:c r="J1401" s="11" t="str"/>
      <x:c r="K1401" s="11" t="str">
        <x:v>待核</x:v>
      </x:c>
      <x:c r="L1401" s="11" t="str">
        <x:v>精确发布时间未核验</x:v>
      </x:c>
      <x:c r="M1401" s="11" t="str">
        <x:v>截止日前日期，盘中时分未核</x:v>
      </x:c>
    </x:row>
    <x:row r="1402" ht="23" customHeight="1">
      <x:c r="A1402" s="11" t="str">
        <x:v>I002</x:v>
      </x:c>
      <x:c r="B1402" s="11" t="str">
        <x:v>688062.SH</x:v>
      </x:c>
      <x:c r="C1402" s="11" t="str">
        <x:v>longBankDebtIncludingCurrent</x:v>
      </x:c>
      <x:c r="D1402" s="39" t="n">
        <x:v>1248.64087417</x:v>
      </x:c>
      <x:c r="E1402" s="11" t="str">
        <x:v>CNY</x:v>
      </x:c>
      <x:c r="F1402" s="11" t="str">
        <x:v>million</x:v>
      </x:c>
      <x:c r="G1402" s="11" t="str">
        <x:v>2026H1</x:v>
      </x:c>
      <x:c r="H1402" s="11" t="str">
        <x:v>2026-08-31</x:v>
      </x:c>
      <x:c r="I1402" s="11" t="str">
        <x:v>https://static.cninfo.com.cn/finalpage/2026-08-31/1225534348.PDF</x:v>
      </x:c>
      <x:c r="J1402" s="11" t="str"/>
      <x:c r="K1402" s="11" t="str">
        <x:v>待核</x:v>
      </x:c>
      <x:c r="L1402" s="11" t="str">
        <x:v>精确发布时间未核验</x:v>
      </x:c>
      <x:c r="M1402" s="11" t="str">
        <x:v>截止日前日期，盘中时分未核</x:v>
      </x:c>
    </x:row>
    <x:row r="1403" ht="23" customHeight="1">
      <x:c r="A1403" s="11" t="str">
        <x:v>I002</x:v>
      </x:c>
      <x:c r="B1403" s="11" t="str">
        <x:v>688062.SH</x:v>
      </x:c>
      <x:c r="C1403" s="11" t="str">
        <x:v>bondDebtIncludingCurrent</x:v>
      </x:c>
      <x:c r="D1403" s="39" t="n">
        <x:v>488.66549162</x:v>
      </x:c>
      <x:c r="E1403" s="11" t="str">
        <x:v>CNY</x:v>
      </x:c>
      <x:c r="F1403" s="11" t="str">
        <x:v>million</x:v>
      </x:c>
      <x:c r="G1403" s="11" t="str">
        <x:v>2026H1</x:v>
      </x:c>
      <x:c r="H1403" s="11" t="str">
        <x:v>2026-08-31</x:v>
      </x:c>
      <x:c r="I1403" s="11" t="str">
        <x:v>https://static.cninfo.com.cn/finalpage/2026-08-31/1225534348.PDF</x:v>
      </x:c>
      <x:c r="J1403" s="11" t="str"/>
      <x:c r="K1403" s="11" t="str">
        <x:v>待核</x:v>
      </x:c>
      <x:c r="L1403" s="11" t="str">
        <x:v>精确发布时间未核验</x:v>
      </x:c>
      <x:c r="M1403" s="11" t="str">
        <x:v>截止日前日期，盘中时分未核</x:v>
      </x:c>
    </x:row>
    <x:row r="1404" ht="23" customHeight="1">
      <x:c r="A1404" s="11" t="str">
        <x:v>I002</x:v>
      </x:c>
      <x:c r="B1404" s="11" t="str">
        <x:v>688062.SH</x:v>
      </x:c>
      <x:c r="C1404" s="11" t="str">
        <x:v>leaseDebtIncludingCurrent</x:v>
      </x:c>
      <x:c r="D1404" s="39" t="n">
        <x:v>106.17207188</x:v>
      </x:c>
      <x:c r="E1404" s="11" t="str">
        <x:v>CNY</x:v>
      </x:c>
      <x:c r="F1404" s="11" t="str">
        <x:v>million</x:v>
      </x:c>
      <x:c r="G1404" s="11" t="str">
        <x:v>2026H1</x:v>
      </x:c>
      <x:c r="H1404" s="11" t="str">
        <x:v>2026-08-31</x:v>
      </x:c>
      <x:c r="I1404" s="11" t="str">
        <x:v>https://static.cninfo.com.cn/finalpage/2026-08-31/1225534348.PDF</x:v>
      </x:c>
      <x:c r="J1404" s="11" t="str"/>
      <x:c r="K1404" s="11" t="str">
        <x:v>待核</x:v>
      </x:c>
      <x:c r="L1404" s="11" t="str">
        <x:v>精确发布时间未核验</x:v>
      </x:c>
      <x:c r="M1404" s="11" t="str">
        <x:v>截止日前日期，盘中时分未核</x:v>
      </x:c>
    </x:row>
    <x:row r="1405" ht="23" customHeight="1">
      <x:c r="A1405" s="11" t="str">
        <x:v>I002</x:v>
      </x:c>
      <x:c r="B1405" s="11" t="str">
        <x:v>688062.SH</x:v>
      </x:c>
      <x:c r="C1405" s="11" t="str">
        <x:v>saleLeaseFinancing</x:v>
      </x:c>
      <x:c r="D1405" s="39" t="n">
        <x:v>190.43870759</x:v>
      </x:c>
      <x:c r="E1405" s="11" t="str">
        <x:v>CNY</x:v>
      </x:c>
      <x:c r="F1405" s="11" t="str">
        <x:v>million</x:v>
      </x:c>
      <x:c r="G1405" s="11" t="str">
        <x:v>2026H1</x:v>
      </x:c>
      <x:c r="H1405" s="11" t="str">
        <x:v>2026-08-31</x:v>
      </x:c>
      <x:c r="I1405" s="11" t="str">
        <x:v>https://static.cninfo.com.cn/finalpage/2026-08-31/1225534348.PDF</x:v>
      </x:c>
      <x:c r="J1405" s="11" t="str"/>
      <x:c r="K1405" s="11" t="str">
        <x:v>待核</x:v>
      </x:c>
      <x:c r="L1405" s="11" t="str">
        <x:v>精确发布时间未核验</x:v>
      </x:c>
      <x:c r="M1405" s="11" t="str">
        <x:v>截止日前日期，盘中时分未核</x:v>
      </x:c>
    </x:row>
    <x:row r="1406" ht="23" customHeight="1">
      <x:c r="A1406" s="11" t="str">
        <x:v>I002</x:v>
      </x:c>
      <x:c r="B1406" s="11" t="str">
        <x:v>688062.SH</x:v>
      </x:c>
      <x:c r="C1406" s="11" t="str">
        <x:v>ChongqingFundRepurchaseLiability</x:v>
      </x:c>
      <x:c r="D1406" s="39" t="n">
        <x:v>214.3</x:v>
      </x:c>
      <x:c r="E1406" s="11" t="str">
        <x:v>CNY</x:v>
      </x:c>
      <x:c r="F1406" s="11" t="str">
        <x:v>million</x:v>
      </x:c>
      <x:c r="G1406" s="11" t="str">
        <x:v>2026H1</x:v>
      </x:c>
      <x:c r="H1406" s="11" t="str">
        <x:v>2026-08-31</x:v>
      </x:c>
      <x:c r="I1406" s="11" t="str">
        <x:v>https://static.cninfo.com.cn/finalpage/2026-08-31/1225534348.PDF</x:v>
      </x:c>
      <x:c r="J1406" s="11" t="str"/>
      <x:c r="K1406" s="11" t="str">
        <x:v>待核</x:v>
      </x:c>
      <x:c r="L1406" s="11" t="str">
        <x:v>精确发布时间未核验</x:v>
      </x:c>
      <x:c r="M1406" s="11" t="str">
        <x:v>截止日前日期，盘中时分未核</x:v>
      </x:c>
    </x:row>
    <x:row r="1407" ht="23" customHeight="1">
      <x:c r="A1407" s="11" t="str">
        <x:v>I002</x:v>
      </x:c>
      <x:c r="B1407" s="11" t="str">
        <x:v>688062.SH</x:v>
      </x:c>
      <x:c r="C1407" s="11" t="str">
        <x:v>totalLiabilities</x:v>
      </x:c>
      <x:c r="D1407" s="39" t="n">
        <x:v>4240.50198861</x:v>
      </x:c>
      <x:c r="E1407" s="11" t="str">
        <x:v>CNY</x:v>
      </x:c>
      <x:c r="F1407" s="11" t="str">
        <x:v>million</x:v>
      </x:c>
      <x:c r="G1407" s="11" t="str">
        <x:v>2026H1</x:v>
      </x:c>
      <x:c r="H1407" s="11" t="str">
        <x:v>2026-08-31</x:v>
      </x:c>
      <x:c r="I1407" s="11" t="str">
        <x:v>https://static.cninfo.com.cn/finalpage/2026-08-31/1225534348.PDF</x:v>
      </x:c>
      <x:c r="J1407" s="11" t="str"/>
      <x:c r="K1407" s="11" t="str">
        <x:v>待核</x:v>
      </x:c>
      <x:c r="L1407" s="11" t="str">
        <x:v>精确发布时间未核验</x:v>
      </x:c>
      <x:c r="M1407" s="11" t="str">
        <x:v>截止日前日期，盘中时分未核</x:v>
      </x:c>
    </x:row>
    <x:row r="1408" ht="23" customHeight="1">
      <x:c r="A1408" s="11" t="str">
        <x:v>I002</x:v>
      </x:c>
      <x:c r="B1408" s="11" t="str">
        <x:v>688062.SH</x:v>
      </x:c>
      <x:c r="C1408" s="11" t="str">
        <x:v>parentEquity</x:v>
      </x:c>
      <x:c r="D1408" s="39" t="n">
        <x:v>873.48531854</x:v>
      </x:c>
      <x:c r="E1408" s="11" t="str">
        <x:v>CNY</x:v>
      </x:c>
      <x:c r="F1408" s="11" t="str">
        <x:v>million</x:v>
      </x:c>
      <x:c r="G1408" s="11" t="str">
        <x:v>2026H1</x:v>
      </x:c>
      <x:c r="H1408" s="11" t="str">
        <x:v>2026-08-31</x:v>
      </x:c>
      <x:c r="I1408" s="11" t="str">
        <x:v>https://static.cninfo.com.cn/finalpage/2026-08-31/1225534348.PDF</x:v>
      </x:c>
      <x:c r="J1408" s="11" t="str"/>
      <x:c r="K1408" s="11" t="str">
        <x:v>待核</x:v>
      </x:c>
      <x:c r="L1408" s="11" t="str">
        <x:v>精确发布时间未核验</x:v>
      </x:c>
      <x:c r="M1408" s="11" t="str">
        <x:v>截止日前日期，盘中时分未核</x:v>
      </x:c>
    </x:row>
    <x:row r="1409" ht="23" customHeight="1">
      <x:c r="A1409" s="11" t="str">
        <x:v>I002</x:v>
      </x:c>
      <x:c r="B1409" s="11" t="str">
        <x:v>688062.SH</x:v>
      </x:c>
      <x:c r="C1409" s="11" t="str">
        <x:v>RDExpensed</x:v>
      </x:c>
      <x:c r="D1409" s="39" t="n">
        <x:v>431.42563917</x:v>
      </x:c>
      <x:c r="E1409" s="11" t="str">
        <x:v>CNY</x:v>
      </x:c>
      <x:c r="F1409" s="11" t="str">
        <x:v>million</x:v>
      </x:c>
      <x:c r="G1409" s="11" t="str">
        <x:v>2026H1</x:v>
      </x:c>
      <x:c r="H1409" s="11" t="str">
        <x:v>2026-08-31</x:v>
      </x:c>
      <x:c r="I1409" s="11" t="str">
        <x:v>https://static.cninfo.com.cn/finalpage/2026-08-31/1225534348.PDF</x:v>
      </x:c>
      <x:c r="J1409" s="11" t="str"/>
      <x:c r="K1409" s="11" t="str">
        <x:v>待核</x:v>
      </x:c>
      <x:c r="L1409" s="11" t="str">
        <x:v>精确发布时间未核验</x:v>
      </x:c>
      <x:c r="M1409" s="11" t="str">
        <x:v>截止日前日期，盘中时分未核</x:v>
      </x:c>
    </x:row>
    <x:row r="1410" ht="23" customHeight="1">
      <x:c r="A1410" s="11" t="str">
        <x:v>I002</x:v>
      </x:c>
      <x:c r="B1410" s="11" t="str">
        <x:v>688062.SH</x:v>
      </x:c>
      <x:c r="C1410" s="11" t="str">
        <x:v>RDCapitalized</x:v>
      </x:c>
      <x:c r="D1410" s="39" t="n">
        <x:v>0</x:v>
      </x:c>
      <x:c r="E1410" s="11" t="str">
        <x:v>CNY</x:v>
      </x:c>
      <x:c r="F1410" s="11" t="str">
        <x:v>million</x:v>
      </x:c>
      <x:c r="G1410" s="11" t="str">
        <x:v>2026H1</x:v>
      </x:c>
      <x:c r="H1410" s="11" t="str">
        <x:v>2026-08-31</x:v>
      </x:c>
      <x:c r="I1410" s="11" t="str">
        <x:v>https://static.cninfo.com.cn/finalpage/2026-08-31/1225534348.PDF</x:v>
      </x:c>
      <x:c r="J1410" s="11" t="str"/>
      <x:c r="K1410" s="11" t="str">
        <x:v>待核</x:v>
      </x:c>
      <x:c r="L1410" s="11" t="str">
        <x:v>精确发布时间未核验</x:v>
      </x:c>
      <x:c r="M1410" s="11" t="str">
        <x:v>截止日前日期，盘中时分未核</x:v>
      </x:c>
    </x:row>
    <x:row r="1411" ht="23" customHeight="1">
      <x:c r="A1411" s="11" t="str">
        <x:v>I002</x:v>
      </x:c>
      <x:c r="B1411" s="11" t="str">
        <x:v>688062.SH</x:v>
      </x:c>
      <x:c r="C1411" s="11" t="str">
        <x:v>RDIntensityPct</x:v>
      </x:c>
      <x:c r="D1411" s="39" t="n">
        <x:v>137.99</x:v>
      </x:c>
      <x:c r="E1411" s="11" t="str">
        <x:v>not monetary</x:v>
      </x:c>
      <x:c r="F1411" s="11" t="str">
        <x:v>percent</x:v>
      </x:c>
      <x:c r="G1411" s="11" t="str">
        <x:v>2026H1</x:v>
      </x:c>
      <x:c r="H1411" s="11" t="str">
        <x:v>2026-08-31</x:v>
      </x:c>
      <x:c r="I1411" s="11" t="str">
        <x:v>https://static.cninfo.com.cn/finalpage/2026-08-31/1225534348.PDF</x:v>
      </x:c>
      <x:c r="J1411" s="11" t="str"/>
      <x:c r="K1411" s="11" t="str">
        <x:v>待核</x:v>
      </x:c>
      <x:c r="L1411" s="11" t="str">
        <x:v>精确发布时间未核验</x:v>
      </x:c>
      <x:c r="M1411" s="11" t="str">
        <x:v>截止日前日期，盘中时分未核</x:v>
      </x:c>
    </x:row>
    <x:row r="1412" ht="23" customHeight="1">
      <x:c r="A1412" s="11" t="str">
        <x:v>I002</x:v>
      </x:c>
      <x:c r="B1412" s="11" t="str">
        <x:v>688062.SH</x:v>
      </x:c>
      <x:c r="C1412" s="11" t="str">
        <x:v>selling</x:v>
      </x:c>
      <x:c r="D1412" s="39" t="n">
        <x:v>139.35017432</x:v>
      </x:c>
      <x:c r="E1412" s="11" t="str">
        <x:v>CNY</x:v>
      </x:c>
      <x:c r="F1412" s="11" t="str">
        <x:v>million</x:v>
      </x:c>
      <x:c r="G1412" s="11" t="str">
        <x:v>2026H1</x:v>
      </x:c>
      <x:c r="H1412" s="11" t="str">
        <x:v>2026-08-31</x:v>
      </x:c>
      <x:c r="I1412" s="11" t="str">
        <x:v>https://static.cninfo.com.cn/finalpage/2026-08-31/1225534348.PDF</x:v>
      </x:c>
      <x:c r="J1412" s="11" t="str"/>
      <x:c r="K1412" s="11" t="str">
        <x:v>待核</x:v>
      </x:c>
      <x:c r="L1412" s="11" t="str">
        <x:v>精确发布时间未核验</x:v>
      </x:c>
      <x:c r="M1412" s="11" t="str">
        <x:v>截止日前日期，盘中时分未核</x:v>
      </x:c>
    </x:row>
    <x:row r="1413" ht="23" customHeight="1">
      <x:c r="A1413" s="11" t="str">
        <x:v>I002</x:v>
      </x:c>
      <x:c r="B1413" s="11" t="str">
        <x:v>688062.SH</x:v>
      </x:c>
      <x:c r="C1413" s="11" t="str">
        <x:v>admin</x:v>
      </x:c>
      <x:c r="D1413" s="39" t="n">
        <x:v>103.64540535</x:v>
      </x:c>
      <x:c r="E1413" s="11" t="str">
        <x:v>CNY</x:v>
      </x:c>
      <x:c r="F1413" s="11" t="str">
        <x:v>million</x:v>
      </x:c>
      <x:c r="G1413" s="11" t="str">
        <x:v>2026H1</x:v>
      </x:c>
      <x:c r="H1413" s="11" t="str">
        <x:v>2026-08-31</x:v>
      </x:c>
      <x:c r="I1413" s="11" t="str">
        <x:v>https://static.cninfo.com.cn/finalpage/2026-08-31/1225534348.PDF</x:v>
      </x:c>
      <x:c r="J1413" s="11" t="str"/>
      <x:c r="K1413" s="11" t="str">
        <x:v>待核</x:v>
      </x:c>
      <x:c r="L1413" s="11" t="str">
        <x:v>精确发布时间未核验</x:v>
      </x:c>
      <x:c r="M1413" s="11" t="str">
        <x:v>截止日前日期，盘中时分未核</x:v>
      </x:c>
    </x:row>
    <x:row r="1414" ht="23" customHeight="1">
      <x:c r="A1414" s="11" t="str">
        <x:v>I002</x:v>
      </x:c>
      <x:c r="B1414" s="11" t="str">
        <x:v>688062.SH</x:v>
      </x:c>
      <x:c r="C1414" s="11" t="str">
        <x:v>finance</x:v>
      </x:c>
      <x:c r="D1414" s="39" t="n">
        <x:v>68.98988078</x:v>
      </x:c>
      <x:c r="E1414" s="11" t="str">
        <x:v>CNY</x:v>
      </x:c>
      <x:c r="F1414" s="11" t="str">
        <x:v>million</x:v>
      </x:c>
      <x:c r="G1414" s="11" t="str">
        <x:v>2026H1</x:v>
      </x:c>
      <x:c r="H1414" s="11" t="str">
        <x:v>2026-08-31</x:v>
      </x:c>
      <x:c r="I1414" s="11" t="str">
        <x:v>https://static.cninfo.com.cn/finalpage/2026-08-31/1225534348.PDF</x:v>
      </x:c>
      <x:c r="J1414" s="11" t="str"/>
      <x:c r="K1414" s="11" t="str">
        <x:v>待核</x:v>
      </x:c>
      <x:c r="L1414" s="11" t="str">
        <x:v>精确发布时间未核验</x:v>
      </x:c>
      <x:c r="M1414" s="11" t="str">
        <x:v>截止日前日期，盘中时分未核</x:v>
      </x:c>
    </x:row>
    <x:row r="1415" ht="23" customHeight="1">
      <x:c r="A1415" s="11" t="str">
        <x:v>I002</x:v>
      </x:c>
      <x:c r="B1415" s="11" t="str">
        <x:v>688062.SH</x:v>
      </x:c>
      <x:c r="C1415" s="11" t="str">
        <x:v>interest</x:v>
      </x:c>
      <x:c r="D1415" s="39" t="n">
        <x:v>59.77408148</x:v>
      </x:c>
      <x:c r="E1415" s="11" t="str">
        <x:v>CNY</x:v>
      </x:c>
      <x:c r="F1415" s="11" t="str">
        <x:v>million</x:v>
      </x:c>
      <x:c r="G1415" s="11" t="str">
        <x:v>2026H1</x:v>
      </x:c>
      <x:c r="H1415" s="11" t="str">
        <x:v>2026-08-31</x:v>
      </x:c>
      <x:c r="I1415" s="11" t="str">
        <x:v>https://static.cninfo.com.cn/finalpage/2026-08-31/1225534348.PDF</x:v>
      </x:c>
      <x:c r="J1415" s="11" t="str"/>
      <x:c r="K1415" s="11" t="str">
        <x:v>待核</x:v>
      </x:c>
      <x:c r="L1415" s="11" t="str">
        <x:v>精确发布时间未核验</x:v>
      </x:c>
      <x:c r="M1415" s="11" t="str">
        <x:v>截止日前日期，盘中时分未核</x:v>
      </x:c>
    </x:row>
    <x:row r="1416" ht="23" customHeight="1">
      <x:c r="A1416" s="11" t="str">
        <x:v>I002</x:v>
      </x:c>
      <x:c r="B1416" s="11" t="str">
        <x:v>688062.SH</x:v>
      </x:c>
      <x:c r="C1416" s="11" t="str">
        <x:v>cost</x:v>
      </x:c>
      <x:c r="D1416" s="39" t="n">
        <x:v>76.71486952</x:v>
      </x:c>
      <x:c r="E1416" s="11" t="str">
        <x:v>CNY</x:v>
      </x:c>
      <x:c r="F1416" s="11" t="str">
        <x:v>million</x:v>
      </x:c>
      <x:c r="G1416" s="11" t="str">
        <x:v>2026H1</x:v>
      </x:c>
      <x:c r="H1416" s="11" t="str">
        <x:v>2026-08-31</x:v>
      </x:c>
      <x:c r="I1416" s="11" t="str">
        <x:v>https://static.cninfo.com.cn/finalpage/2026-08-31/1225534348.PDF</x:v>
      </x:c>
      <x:c r="J1416" s="11" t="str"/>
      <x:c r="K1416" s="11" t="str">
        <x:v>待核</x:v>
      </x:c>
      <x:c r="L1416" s="11" t="str">
        <x:v>精确发布时间未核验</x:v>
      </x:c>
      <x:c r="M1416" s="11" t="str">
        <x:v>截止日前日期，盘中时分未核</x:v>
      </x:c>
    </x:row>
    <x:row r="1417" ht="23" customHeight="1">
      <x:c r="A1417" s="11" t="str">
        <x:v>I002</x:v>
      </x:c>
      <x:c r="B1417" s="11" t="str">
        <x:v>688062.SH</x:v>
      </x:c>
      <x:c r="C1417" s="11" t="str">
        <x:v>receivableNet</x:v>
      </x:c>
      <x:c r="D1417" s="39" t="n">
        <x:v>127.55927461</x:v>
      </x:c>
      <x:c r="E1417" s="11" t="str">
        <x:v>CNY</x:v>
      </x:c>
      <x:c r="F1417" s="11" t="str">
        <x:v>million</x:v>
      </x:c>
      <x:c r="G1417" s="11" t="str">
        <x:v>2026H1</x:v>
      </x:c>
      <x:c r="H1417" s="11" t="str">
        <x:v>2026-08-31</x:v>
      </x:c>
      <x:c r="I1417" s="11" t="str">
        <x:v>https://static.cninfo.com.cn/finalpage/2026-08-31/1225534348.PDF</x:v>
      </x:c>
      <x:c r="J1417" s="11" t="str"/>
      <x:c r="K1417" s="11" t="str">
        <x:v>待核</x:v>
      </x:c>
      <x:c r="L1417" s="11" t="str">
        <x:v>精确发布时间未核验</x:v>
      </x:c>
      <x:c r="M1417" s="11" t="str">
        <x:v>截止日前日期，盘中时分未核</x:v>
      </x:c>
    </x:row>
    <x:row r="1418" ht="23" customHeight="1">
      <x:c r="A1418" s="11" t="str">
        <x:v>I002</x:v>
      </x:c>
      <x:c r="B1418" s="11" t="str">
        <x:v>688062.SH</x:v>
      </x:c>
      <x:c r="C1418" s="11" t="str">
        <x:v>inventoryNet</x:v>
      </x:c>
      <x:c r="D1418" s="39" t="n">
        <x:v>197.70183961</x:v>
      </x:c>
      <x:c r="E1418" s="11" t="str">
        <x:v>CNY</x:v>
      </x:c>
      <x:c r="F1418" s="11" t="str">
        <x:v>million</x:v>
      </x:c>
      <x:c r="G1418" s="11" t="str">
        <x:v>2026H1</x:v>
      </x:c>
      <x:c r="H1418" s="11" t="str">
        <x:v>2026-08-31</x:v>
      </x:c>
      <x:c r="I1418" s="11" t="str">
        <x:v>https://static.cninfo.com.cn/finalpage/2026-08-31/1225534348.PDF</x:v>
      </x:c>
      <x:c r="J1418" s="11" t="str"/>
      <x:c r="K1418" s="11" t="str">
        <x:v>待核</x:v>
      </x:c>
      <x:c r="L1418" s="11" t="str">
        <x:v>精确发布时间未核验</x:v>
      </x:c>
      <x:c r="M1418" s="11" t="str">
        <x:v>截止日前日期，盘中时分未核</x:v>
      </x:c>
    </x:row>
    <x:row r="1419" ht="23" customHeight="1">
      <x:c r="A1419" s="11" t="str">
        <x:v>I002</x:v>
      </x:c>
      <x:c r="B1419" s="11" t="str">
        <x:v>688062.SH</x:v>
      </x:c>
      <x:c r="C1419" s="11" t="str">
        <x:v>CIP</x:v>
      </x:c>
      <x:c r="D1419" s="39" t="n">
        <x:v>369.54529053</x:v>
      </x:c>
      <x:c r="E1419" s="11" t="str">
        <x:v>CNY</x:v>
      </x:c>
      <x:c r="F1419" s="11" t="str">
        <x:v>million</x:v>
      </x:c>
      <x:c r="G1419" s="11" t="str">
        <x:v>2026H1</x:v>
      </x:c>
      <x:c r="H1419" s="11" t="str">
        <x:v>2026-08-31</x:v>
      </x:c>
      <x:c r="I1419" s="11" t="str">
        <x:v>https://static.cninfo.com.cn/finalpage/2026-08-31/1225534348.PDF</x:v>
      </x:c>
      <x:c r="J1419" s="11" t="str"/>
      <x:c r="K1419" s="11" t="str">
        <x:v>待核</x:v>
      </x:c>
      <x:c r="L1419" s="11" t="str">
        <x:v>精确发布时间未核验</x:v>
      </x:c>
      <x:c r="M1419" s="11" t="str">
        <x:v>截止日前日期，盘中时分未核</x:v>
      </x:c>
    </x:row>
    <x:row r="1420" ht="23" customHeight="1">
      <x:c r="A1420" s="11" t="str">
        <x:v>I002</x:v>
      </x:c>
      <x:c r="B1420" s="11" t="str">
        <x:v>688062.SH</x:v>
      </x:c>
      <x:c r="C1420" s="11" t="str">
        <x:v>fixedAssets</x:v>
      </x:c>
      <x:c r="D1420" s="39" t="n">
        <x:v>1410.31629034</x:v>
      </x:c>
      <x:c r="E1420" s="11" t="str">
        <x:v>CNY</x:v>
      </x:c>
      <x:c r="F1420" s="11" t="str">
        <x:v>million</x:v>
      </x:c>
      <x:c r="G1420" s="11" t="str">
        <x:v>2026H1</x:v>
      </x:c>
      <x:c r="H1420" s="11" t="str">
        <x:v>2026-08-31</x:v>
      </x:c>
      <x:c r="I1420" s="11" t="str">
        <x:v>https://static.cninfo.com.cn/finalpage/2026-08-31/1225534348.PDF</x:v>
      </x:c>
      <x:c r="J1420" s="11" t="str"/>
      <x:c r="K1420" s="11" t="str">
        <x:v>待核</x:v>
      </x:c>
      <x:c r="L1420" s="11" t="str">
        <x:v>精确发布时间未核验</x:v>
      </x:c>
      <x:c r="M1420" s="11" t="str">
        <x:v>截止日前日期，盘中时分未核</x:v>
      </x:c>
    </x:row>
    <x:row r="1421" ht="23" customHeight="1">
      <x:c r="A1421" s="11" t="str">
        <x:v>I002</x:v>
      </x:c>
      <x:c r="B1421" s="11" t="str">
        <x:v>688062.SH</x:v>
      </x:c>
      <x:c r="C1421" s="11" t="str">
        <x:v>goodwill</x:v>
      </x:c>
      <x:c r="D1421" s="39" t="n">
        <x:v>118.76981189</x:v>
      </x:c>
      <x:c r="E1421" s="11" t="str">
        <x:v>CNY</x:v>
      </x:c>
      <x:c r="F1421" s="11" t="str">
        <x:v>million</x:v>
      </x:c>
      <x:c r="G1421" s="11" t="str">
        <x:v>2026H1</x:v>
      </x:c>
      <x:c r="H1421" s="11" t="str">
        <x:v>2026-08-31</x:v>
      </x:c>
      <x:c r="I1421" s="11" t="str">
        <x:v>https://static.cninfo.com.cn/finalpage/2026-08-31/1225534348.PDF</x:v>
      </x:c>
      <x:c r="J1421" s="11" t="str"/>
      <x:c r="K1421" s="11" t="str">
        <x:v>待核</x:v>
      </x:c>
      <x:c r="L1421" s="11" t="str">
        <x:v>精确发布时间未核验</x:v>
      </x:c>
      <x:c r="M1421" s="11" t="str">
        <x:v>截止日前日期，盘中时分未核</x:v>
      </x:c>
    </x:row>
    <x:row r="1422" ht="23" customHeight="1">
      <x:c r="A1422" s="11" t="str">
        <x:v>I002</x:v>
      </x:c>
      <x:c r="B1422" s="11" t="str">
        <x:v>688062.SH</x:v>
      </x:c>
      <x:c r="C1422" s="11" t="str">
        <x:v>contractLiabilityCurrent</x:v>
      </x:c>
      <x:c r="D1422" s="39" t="n">
        <x:v>248.54067789</x:v>
      </x:c>
      <x:c r="E1422" s="11" t="str">
        <x:v>CNY</x:v>
      </x:c>
      <x:c r="F1422" s="11" t="str">
        <x:v>million</x:v>
      </x:c>
      <x:c r="G1422" s="11" t="str">
        <x:v>2026H1</x:v>
      </x:c>
      <x:c r="H1422" s="11" t="str">
        <x:v>2026-08-31</x:v>
      </x:c>
      <x:c r="I1422" s="11" t="str">
        <x:v>https://static.cninfo.com.cn/finalpage/2026-08-31/1225534348.PDF</x:v>
      </x:c>
      <x:c r="J1422" s="11" t="str"/>
      <x:c r="K1422" s="11" t="str">
        <x:v>待核</x:v>
      </x:c>
      <x:c r="L1422" s="11" t="str">
        <x:v>精确发布时间未核验</x:v>
      </x:c>
      <x:c r="M1422" s="11" t="str">
        <x:v>截止日前日期，盘中时分未核</x:v>
      </x:c>
    </x:row>
    <x:row r="1423" ht="23" customHeight="1">
      <x:c r="A1423" s="11" t="str">
        <x:v>I002</x:v>
      </x:c>
      <x:c r="B1423" s="11" t="str">
        <x:v>688062.SH</x:v>
      </x:c>
      <x:c r="C1423" s="11" t="str">
        <x:v>contractLiabilityNoncurrent</x:v>
      </x:c>
      <x:c r="D1423" s="39" t="n">
        <x:v>14.31951214</x:v>
      </x:c>
      <x:c r="E1423" s="11" t="str">
        <x:v>CNY</x:v>
      </x:c>
      <x:c r="F1423" s="11" t="str">
        <x:v>million</x:v>
      </x:c>
      <x:c r="G1423" s="11" t="str">
        <x:v>2026H1</x:v>
      </x:c>
      <x:c r="H1423" s="11" t="str">
        <x:v>2026-08-31</x:v>
      </x:c>
      <x:c r="I1423" s="11" t="str">
        <x:v>https://static.cninfo.com.cn/finalpage/2026-08-31/1225534348.PDF</x:v>
      </x:c>
      <x:c r="J1423" s="11" t="str"/>
      <x:c r="K1423" s="11" t="str">
        <x:v>待核</x:v>
      </x:c>
      <x:c r="L1423" s="11" t="str">
        <x:v>精确发布时间未核验</x:v>
      </x:c>
      <x:c r="M1423" s="11" t="str">
        <x:v>截止日前日期，盘中时分未核</x:v>
      </x:c>
    </x:row>
    <x:row r="1424" ht="23" customHeight="1">
      <x:c r="A1424" s="11" t="str">
        <x:v>I002</x:v>
      </x:c>
      <x:c r="B1424" s="11" t="str">
        <x:v>688062.SH</x:v>
      </x:c>
      <x:c r="C1424" s="11" t="str">
        <x:v>productRevenue</x:v>
      </x:c>
      <x:c r="D1424" s="39" t="n">
        <x:v>212.7859716</x:v>
      </x:c>
      <x:c r="E1424" s="11" t="str">
        <x:v>CNY</x:v>
      </x:c>
      <x:c r="F1424" s="11" t="str">
        <x:v>million</x:v>
      </x:c>
      <x:c r="G1424" s="11" t="str">
        <x:v>2026H1</x:v>
      </x:c>
      <x:c r="H1424" s="11" t="str">
        <x:v>2026-08-31</x:v>
      </x:c>
      <x:c r="I1424" s="11" t="str">
        <x:v>https://static.cninfo.com.cn/finalpage/2026-08-31/1225534348.PDF</x:v>
      </x:c>
      <x:c r="J1424" s="11" t="str"/>
      <x:c r="K1424" s="11" t="str">
        <x:v>待核</x:v>
      </x:c>
      <x:c r="L1424" s="11" t="str">
        <x:v>精确发布时间未核验</x:v>
      </x:c>
      <x:c r="M1424" s="11" t="str">
        <x:v>截止日前日期，盘中时分未核</x:v>
      </x:c>
    </x:row>
    <x:row r="1425" ht="23" customHeight="1">
      <x:c r="A1425" s="11" t="str">
        <x:v>I002</x:v>
      </x:c>
      <x:c r="B1425" s="11" t="str">
        <x:v>688062.SH</x:v>
      </x:c>
      <x:c r="C1425" s="11" t="str">
        <x:v>drugRevenueCompanyMeasure</x:v>
      </x:c>
      <x:c r="D1425" s="39" t="n">
        <x:v>211.7315</x:v>
      </x:c>
      <x:c r="E1425" s="11" t="str">
        <x:v>CNY</x:v>
      </x:c>
      <x:c r="F1425" s="11" t="str">
        <x:v>million</x:v>
      </x:c>
      <x:c r="G1425" s="11" t="str">
        <x:v>2026H1</x:v>
      </x:c>
      <x:c r="H1425" s="11" t="str">
        <x:v>2026-08-31</x:v>
      </x:c>
      <x:c r="I1425" s="11" t="str">
        <x:v>https://static.cninfo.com.cn/finalpage/2026-08-31/1225534348.PDF</x:v>
      </x:c>
      <x:c r="J1425" s="11" t="str"/>
      <x:c r="K1425" s="11" t="str">
        <x:v>待核</x:v>
      </x:c>
      <x:c r="L1425" s="11" t="str">
        <x:v>精确发布时间未核验</x:v>
      </x:c>
      <x:c r="M1425" s="11" t="str">
        <x:v>截止日前日期，盘中时分未核</x:v>
      </x:c>
    </x:row>
    <x:row r="1426" ht="23" customHeight="1">
      <x:c r="A1426" s="11" t="str">
        <x:v>I002</x:v>
      </x:c>
      <x:c r="B1426" s="11" t="str">
        <x:v>688062.SH</x:v>
      </x:c>
      <x:c r="C1426" s="11" t="str">
        <x:v>IPServiceRevenue</x:v>
      </x:c>
      <x:c r="D1426" s="39" t="n">
        <x:v>99.8556521</x:v>
      </x:c>
      <x:c r="E1426" s="11" t="str">
        <x:v>CNY</x:v>
      </x:c>
      <x:c r="F1426" s="11" t="str">
        <x:v>million</x:v>
      </x:c>
      <x:c r="G1426" s="11" t="str">
        <x:v>2026H1</x:v>
      </x:c>
      <x:c r="H1426" s="11" t="str">
        <x:v>2026-08-31</x:v>
      </x:c>
      <x:c r="I1426" s="11" t="str">
        <x:v>https://static.cninfo.com.cn/finalpage/2026-08-31/1225534348.PDF</x:v>
      </x:c>
      <x:c r="J1426" s="11" t="str"/>
      <x:c r="K1426" s="11" t="str">
        <x:v>待核</x:v>
      </x:c>
      <x:c r="L1426" s="11" t="str">
        <x:v>精确发布时间未核验</x:v>
      </x:c>
      <x:c r="M1426" s="11" t="str">
        <x:v>截止日前日期，盘中时分未核</x:v>
      </x:c>
    </x:row>
    <x:row r="1427" ht="23" customHeight="1">
      <x:c r="A1427" s="11" t="str">
        <x:v>I002</x:v>
      </x:c>
      <x:c r="B1427" s="11" t="str">
        <x:v>688062.SH</x:v>
      </x:c>
      <x:c r="C1427" s="11" t="str">
        <x:v>ChinaRevenue</x:v>
      </x:c>
      <x:c r="D1427" s="39" t="n">
        <x:v>218.34224288</x:v>
      </x:c>
      <x:c r="E1427" s="11" t="str">
        <x:v>CNY</x:v>
      </x:c>
      <x:c r="F1427" s="11" t="str">
        <x:v>million</x:v>
      </x:c>
      <x:c r="G1427" s="11" t="str">
        <x:v>2026H1</x:v>
      </x:c>
      <x:c r="H1427" s="11" t="str">
        <x:v>2026-08-31</x:v>
      </x:c>
      <x:c r="I1427" s="11" t="str">
        <x:v>https://static.cninfo.com.cn/finalpage/2026-08-31/1225534348.PDF</x:v>
      </x:c>
      <x:c r="J1427" s="11" t="str"/>
      <x:c r="K1427" s="11" t="str">
        <x:v>待核</x:v>
      </x:c>
      <x:c r="L1427" s="11" t="str">
        <x:v>精确发布时间未核验</x:v>
      </x:c>
      <x:c r="M1427" s="11" t="str">
        <x:v>截止日前日期，盘中时分未核</x:v>
      </x:c>
    </x:row>
    <x:row r="1428" ht="23" customHeight="1">
      <x:c r="A1428" s="11" t="str">
        <x:v>I002</x:v>
      </x:c>
      <x:c r="B1428" s="11" t="str">
        <x:v>688062.SH</x:v>
      </x:c>
      <x:c r="C1428" s="11" t="str">
        <x:v>otherRegionRevenue</x:v>
      </x:c>
      <x:c r="D1428" s="39" t="n">
        <x:v>94.29938082</x:v>
      </x:c>
      <x:c r="E1428" s="11" t="str">
        <x:v>CNY</x:v>
      </x:c>
      <x:c r="F1428" s="11" t="str">
        <x:v>million</x:v>
      </x:c>
      <x:c r="G1428" s="11" t="str">
        <x:v>2026H1</x:v>
      </x:c>
      <x:c r="H1428" s="11" t="str">
        <x:v>2026-08-31</x:v>
      </x:c>
      <x:c r="I1428" s="11" t="str">
        <x:v>https://static.cninfo.com.cn/finalpage/2026-08-31/1225534348.PDF</x:v>
      </x:c>
      <x:c r="J1428" s="11" t="str"/>
      <x:c r="K1428" s="11" t="str">
        <x:v>待核</x:v>
      </x:c>
      <x:c r="L1428" s="11" t="str">
        <x:v>精确发布时间未核验</x:v>
      </x:c>
      <x:c r="M1428" s="11" t="str">
        <x:v>截止日前日期，盘中时分未核</x:v>
      </x:c>
    </x:row>
    <x:row r="1429" ht="23" customHeight="1">
      <x:c r="A1429" s="11" t="str">
        <x:v>I018</x:v>
      </x:c>
      <x:c r="B1429" s="11" t="str">
        <x:v>688202.SH</x:v>
      </x:c>
      <x:c r="C1429" s="11" t="str">
        <x:v>revenue</x:v>
      </x:c>
      <x:c r="D1429" s="39" t="n">
        <x:v>761.47415585</x:v>
      </x:c>
      <x:c r="E1429" s="11" t="str">
        <x:v>CNY</x:v>
      </x:c>
      <x:c r="F1429" s="11" t="str">
        <x:v>million</x:v>
      </x:c>
      <x:c r="G1429" s="11" t="str">
        <x:v>2026H1</x:v>
      </x:c>
      <x:c r="H1429" s="11" t="str">
        <x:v>2026-08-25</x:v>
      </x:c>
      <x:c r="I1429" s="11" t="str">
        <x:v>https://static.cninfo.com.cn/finalpage/2026-08-25/1225498030.PDF</x:v>
      </x:c>
      <x:c r="J1429" s="11" t="str"/>
      <x:c r="K1429" s="11" t="str">
        <x:v>待核</x:v>
      </x:c>
      <x:c r="L1429" s="11" t="str">
        <x:v>精确发布时间未核验</x:v>
      </x:c>
      <x:c r="M1429" s="11" t="str">
        <x:v>截止日前日期，盘中时分未核</x:v>
      </x:c>
    </x:row>
    <x:row r="1430" ht="23" customHeight="1">
      <x:c r="A1430" s="11" t="str">
        <x:v>I018</x:v>
      </x:c>
      <x:c r="B1430" s="11" t="str">
        <x:v>688202.SH</x:v>
      </x:c>
      <x:c r="C1430" s="11" t="str">
        <x:v>cost</x:v>
      </x:c>
      <x:c r="D1430" s="39" t="n">
        <x:v>520.87030663</x:v>
      </x:c>
      <x:c r="E1430" s="11" t="str">
        <x:v>CNY</x:v>
      </x:c>
      <x:c r="F1430" s="11" t="str">
        <x:v>million</x:v>
      </x:c>
      <x:c r="G1430" s="11" t="str">
        <x:v>2026H1</x:v>
      </x:c>
      <x:c r="H1430" s="11" t="str">
        <x:v>2026-08-25</x:v>
      </x:c>
      <x:c r="I1430" s="11" t="str">
        <x:v>https://static.cninfo.com.cn/finalpage/2026-08-25/1225498030.PDF</x:v>
      </x:c>
      <x:c r="J1430" s="11" t="str"/>
      <x:c r="K1430" s="11" t="str">
        <x:v>待核</x:v>
      </x:c>
      <x:c r="L1430" s="11" t="str">
        <x:v>精确发布时间未核验</x:v>
      </x:c>
      <x:c r="M1430" s="11" t="str">
        <x:v>截止日前日期，盘中时分未核</x:v>
      </x:c>
    </x:row>
    <x:row r="1431" ht="23" customHeight="1">
      <x:c r="A1431" s="11" t="str">
        <x:v>I018</x:v>
      </x:c>
      <x:c r="B1431" s="11" t="str">
        <x:v>688202.SH</x:v>
      </x:c>
      <x:c r="C1431" s="11" t="str">
        <x:v>pretax</x:v>
      </x:c>
      <x:c r="D1431" s="39" t="n">
        <x:v>53.61938188</x:v>
      </x:c>
      <x:c r="E1431" s="11" t="str">
        <x:v>CNY</x:v>
      </x:c>
      <x:c r="F1431" s="11" t="str">
        <x:v>million</x:v>
      </x:c>
      <x:c r="G1431" s="11" t="str">
        <x:v>2026H1</x:v>
      </x:c>
      <x:c r="H1431" s="11" t="str">
        <x:v>2026-08-25</x:v>
      </x:c>
      <x:c r="I1431" s="11" t="str">
        <x:v>https://static.cninfo.com.cn/finalpage/2026-08-25/1225498030.PDF</x:v>
      </x:c>
      <x:c r="J1431" s="11" t="str"/>
      <x:c r="K1431" s="11" t="str">
        <x:v>待核</x:v>
      </x:c>
      <x:c r="L1431" s="11" t="str">
        <x:v>精确发布时间未核验</x:v>
      </x:c>
      <x:c r="M1431" s="11" t="str">
        <x:v>截止日前日期，盘中时分未核</x:v>
      </x:c>
    </x:row>
    <x:row r="1432" ht="23" customHeight="1">
      <x:c r="A1432" s="11" t="str">
        <x:v>I018</x:v>
      </x:c>
      <x:c r="B1432" s="11" t="str">
        <x:v>688202.SH</x:v>
      </x:c>
      <x:c r="C1432" s="11" t="str">
        <x:v>attributableProfit</x:v>
      </x:c>
      <x:c r="D1432" s="39" t="n">
        <x:v>51.6024355</x:v>
      </x:c>
      <x:c r="E1432" s="11" t="str">
        <x:v>CNY</x:v>
      </x:c>
      <x:c r="F1432" s="11" t="str">
        <x:v>million</x:v>
      </x:c>
      <x:c r="G1432" s="11" t="str">
        <x:v>2026H1</x:v>
      </x:c>
      <x:c r="H1432" s="11" t="str">
        <x:v>2026-08-25</x:v>
      </x:c>
      <x:c r="I1432" s="11" t="str">
        <x:v>https://static.cninfo.com.cn/finalpage/2026-08-25/1225498030.PDF</x:v>
      </x:c>
      <x:c r="J1432" s="11" t="str"/>
      <x:c r="K1432" s="11" t="str">
        <x:v>待核</x:v>
      </x:c>
      <x:c r="L1432" s="11" t="str">
        <x:v>精确发布时间未核验</x:v>
      </x:c>
      <x:c r="M1432" s="11" t="str">
        <x:v>截止日前日期，盘中时分未核</x:v>
      </x:c>
    </x:row>
    <x:row r="1433" ht="23" customHeight="1">
      <x:c r="A1433" s="11" t="str">
        <x:v>I018</x:v>
      </x:c>
      <x:c r="B1433" s="11" t="str">
        <x:v>688202.SH</x:v>
      </x:c>
      <x:c r="C1433" s="11" t="str">
        <x:v>deductedProfit</x:v>
      </x:c>
      <x:c r="D1433" s="39" t="n">
        <x:v>43.02681095</x:v>
      </x:c>
      <x:c r="E1433" s="11" t="str">
        <x:v>CNY</x:v>
      </x:c>
      <x:c r="F1433" s="11" t="str">
        <x:v>million</x:v>
      </x:c>
      <x:c r="G1433" s="11" t="str">
        <x:v>2026H1</x:v>
      </x:c>
      <x:c r="H1433" s="11" t="str">
        <x:v>2026-08-25</x:v>
      </x:c>
      <x:c r="I1433" s="11" t="str">
        <x:v>https://static.cninfo.com.cn/finalpage/2026-08-25/1225498030.PDF</x:v>
      </x:c>
      <x:c r="J1433" s="11" t="str"/>
      <x:c r="K1433" s="11" t="str">
        <x:v>待核</x:v>
      </x:c>
      <x:c r="L1433" s="11" t="str">
        <x:v>精确发布时间未核验</x:v>
      </x:c>
      <x:c r="M1433" s="11" t="str">
        <x:v>截止日前日期，盘中时分未核</x:v>
      </x:c>
    </x:row>
    <x:row r="1434" ht="23" customHeight="1">
      <x:c r="A1434" s="11" t="str">
        <x:v>I018</x:v>
      </x:c>
      <x:c r="B1434" s="11" t="str">
        <x:v>688202.SH</x:v>
      </x:c>
      <x:c r="C1434" s="11" t="str">
        <x:v>netProfitWithoutSharePaymentCompanyMeasure</x:v>
      </x:c>
      <x:c r="D1434" s="39" t="n">
        <x:v>66.14215914</x:v>
      </x:c>
      <x:c r="E1434" s="11" t="str">
        <x:v>CNY</x:v>
      </x:c>
      <x:c r="F1434" s="11" t="str">
        <x:v>million</x:v>
      </x:c>
      <x:c r="G1434" s="11" t="str">
        <x:v>2026H1</x:v>
      </x:c>
      <x:c r="H1434" s="11" t="str">
        <x:v>2026-08-25</x:v>
      </x:c>
      <x:c r="I1434" s="11" t="str">
        <x:v>https://static.cninfo.com.cn/finalpage/2026-08-25/1225498030.PDF</x:v>
      </x:c>
      <x:c r="J1434" s="11" t="str"/>
      <x:c r="K1434" s="11" t="str">
        <x:v>待核</x:v>
      </x:c>
      <x:c r="L1434" s="11" t="str">
        <x:v>精确发布时间未核验</x:v>
      </x:c>
      <x:c r="M1434" s="11" t="str">
        <x:v>截止日前日期，盘中时分未核</x:v>
      </x:c>
    </x:row>
    <x:row r="1435" ht="23" customHeight="1">
      <x:c r="A1435" s="11" t="str">
        <x:v>I018</x:v>
      </x:c>
      <x:c r="B1435" s="11" t="str">
        <x:v>688202.SH</x:v>
      </x:c>
      <x:c r="C1435" s="11" t="str">
        <x:v>sharePaymentExpense</x:v>
      </x:c>
      <x:c r="D1435" s="39" t="n">
        <x:v>16.96313513</x:v>
      </x:c>
      <x:c r="E1435" s="11" t="str">
        <x:v>CNY</x:v>
      </x:c>
      <x:c r="F1435" s="11" t="str">
        <x:v>million</x:v>
      </x:c>
      <x:c r="G1435" s="11" t="str">
        <x:v>2026H1</x:v>
      </x:c>
      <x:c r="H1435" s="11" t="str">
        <x:v>2026-08-25</x:v>
      </x:c>
      <x:c r="I1435" s="11" t="str">
        <x:v>https://static.cninfo.com.cn/finalpage/2026-08-25/1225498030.PDF</x:v>
      </x:c>
      <x:c r="J1435" s="11" t="str"/>
      <x:c r="K1435" s="11" t="str">
        <x:v>待核</x:v>
      </x:c>
      <x:c r="L1435" s="11" t="str">
        <x:v>精确发布时间未核验</x:v>
      </x:c>
      <x:c r="M1435" s="11" t="str">
        <x:v>截止日前日期，盘中时分未核</x:v>
      </x:c>
    </x:row>
    <x:row r="1436" ht="23" customHeight="1">
      <x:c r="A1436" s="11" t="str">
        <x:v>I018</x:v>
      </x:c>
      <x:c r="B1436" s="11" t="str">
        <x:v>688202.SH</x:v>
      </x:c>
      <x:c r="C1436" s="11" t="str">
        <x:v>sharePaymentAfterTaxCompanyBridge</x:v>
      </x:c>
      <x:c r="D1436" s="39" t="n">
        <x:v>14.53972364</x:v>
      </x:c>
      <x:c r="E1436" s="11" t="str">
        <x:v>CNY</x:v>
      </x:c>
      <x:c r="F1436" s="11" t="str">
        <x:v>million</x:v>
      </x:c>
      <x:c r="G1436" s="11" t="str">
        <x:v>2026H1</x:v>
      </x:c>
      <x:c r="H1436" s="11" t="str">
        <x:v>2026-08-25</x:v>
      </x:c>
      <x:c r="I1436" s="11" t="str">
        <x:v>https://static.cninfo.com.cn/finalpage/2026-08-25/1225498030.PDF</x:v>
      </x:c>
      <x:c r="J1436" s="11" t="str"/>
      <x:c r="K1436" s="11" t="str">
        <x:v>待核</x:v>
      </x:c>
      <x:c r="L1436" s="11" t="str">
        <x:v>精确发布时间未核验</x:v>
      </x:c>
      <x:c r="M1436" s="11" t="str">
        <x:v>截止日前日期，盘中时分未核</x:v>
      </x:c>
    </x:row>
    <x:row r="1437" ht="23" customHeight="1">
      <x:c r="A1437" s="11" t="str">
        <x:v>I018</x:v>
      </x:c>
      <x:c r="B1437" s="11" t="str">
        <x:v>688202.SH</x:v>
      </x:c>
      <x:c r="C1437" s="11" t="str">
        <x:v>OCF</x:v>
      </x:c>
      <x:c r="D1437" s="39" t="n">
        <x:v>134.79529953</x:v>
      </x:c>
      <x:c r="E1437" s="11" t="str">
        <x:v>CNY</x:v>
      </x:c>
      <x:c r="F1437" s="11" t="str">
        <x:v>million</x:v>
      </x:c>
      <x:c r="G1437" s="11" t="str">
        <x:v>2026H1</x:v>
      </x:c>
      <x:c r="H1437" s="11" t="str">
        <x:v>2026-08-25</x:v>
      </x:c>
      <x:c r="I1437" s="11" t="str">
        <x:v>https://static.cninfo.com.cn/finalpage/2026-08-25/1225498030.PDF</x:v>
      </x:c>
      <x:c r="J1437" s="11" t="str"/>
      <x:c r="K1437" s="11" t="str">
        <x:v>待核</x:v>
      </x:c>
      <x:c r="L1437" s="11" t="str">
        <x:v>精确发布时间未核验</x:v>
      </x:c>
      <x:c r="M1437" s="11" t="str">
        <x:v>截止日前日期，盘中时分未核</x:v>
      </x:c>
    </x:row>
    <x:row r="1438" ht="23" customHeight="1">
      <x:c r="A1438" s="11" t="str">
        <x:v>I018</x:v>
      </x:c>
      <x:c r="B1438" s="11" t="str">
        <x:v>688202.SH</x:v>
      </x:c>
      <x:c r="C1438" s="11" t="str">
        <x:v>capex</x:v>
      </x:c>
      <x:c r="D1438" s="39" t="n">
        <x:v>108.01967511</x:v>
      </x:c>
      <x:c r="E1438" s="11" t="str">
        <x:v>CNY</x:v>
      </x:c>
      <x:c r="F1438" s="11" t="str">
        <x:v>million</x:v>
      </x:c>
      <x:c r="G1438" s="11" t="str">
        <x:v>2026H1</x:v>
      </x:c>
      <x:c r="H1438" s="11" t="str">
        <x:v>2026-08-25</x:v>
      </x:c>
      <x:c r="I1438" s="11" t="str">
        <x:v>https://static.cninfo.com.cn/finalpage/2026-08-25/1225498030.PDF</x:v>
      </x:c>
      <x:c r="J1438" s="11" t="str"/>
      <x:c r="K1438" s="11" t="str">
        <x:v>待核</x:v>
      </x:c>
      <x:c r="L1438" s="11" t="str">
        <x:v>精确发布时间未核验</x:v>
      </x:c>
      <x:c r="M1438" s="11" t="str">
        <x:v>截止日前日期，盘中时分未核</x:v>
      </x:c>
    </x:row>
    <x:row r="1439" ht="23" customHeight="1">
      <x:c r="A1439" s="11" t="str">
        <x:v>I018</x:v>
      </x:c>
      <x:c r="B1439" s="11" t="str">
        <x:v>688202.SH</x:v>
      </x:c>
      <x:c r="C1439" s="11" t="str">
        <x:v>FCF</x:v>
      </x:c>
      <x:c r="D1439" s="39" t="n">
        <x:v>26.77562442</x:v>
      </x:c>
      <x:c r="E1439" s="11" t="str">
        <x:v>CNY</x:v>
      </x:c>
      <x:c r="F1439" s="11" t="str">
        <x:v>million</x:v>
      </x:c>
      <x:c r="G1439" s="11" t="str">
        <x:v>2026H1</x:v>
      </x:c>
      <x:c r="H1439" s="11" t="str">
        <x:v>2026-08-25</x:v>
      </x:c>
      <x:c r="I1439" s="11" t="str">
        <x:v>https://static.cninfo.com.cn/finalpage/2026-08-25/1225498030.PDF</x:v>
      </x:c>
      <x:c r="J1439" s="11" t="str"/>
      <x:c r="K1439" s="11" t="str">
        <x:v>待核</x:v>
      </x:c>
      <x:c r="L1439" s="11" t="str">
        <x:v>精确发布时间未核验</x:v>
      </x:c>
      <x:c r="M1439" s="11" t="str">
        <x:v>截止日前日期，盘中时分未核</x:v>
      </x:c>
    </x:row>
    <x:row r="1440" ht="23" customHeight="1">
      <x:c r="A1440" s="11" t="str">
        <x:v>I018</x:v>
      </x:c>
      <x:c r="B1440" s="11" t="str">
        <x:v>688202.SH</x:v>
      </x:c>
      <x:c r="C1440" s="11" t="str">
        <x:v>cashBank</x:v>
      </x:c>
      <x:c r="D1440" s="39" t="n">
        <x:v>288.52843295</x:v>
      </x:c>
      <x:c r="E1440" s="11" t="str">
        <x:v>CNY</x:v>
      </x:c>
      <x:c r="F1440" s="11" t="str">
        <x:v>million</x:v>
      </x:c>
      <x:c r="G1440" s="11" t="str">
        <x:v>2026H1</x:v>
      </x:c>
      <x:c r="H1440" s="11" t="str">
        <x:v>2026-08-25</x:v>
      </x:c>
      <x:c r="I1440" s="11" t="str">
        <x:v>https://static.cninfo.com.cn/finalpage/2026-08-25/1225498030.PDF</x:v>
      </x:c>
      <x:c r="J1440" s="11" t="str"/>
      <x:c r="K1440" s="11" t="str">
        <x:v>待核</x:v>
      </x:c>
      <x:c r="L1440" s="11" t="str">
        <x:v>精确发布时间未核验</x:v>
      </x:c>
      <x:c r="M1440" s="11" t="str">
        <x:v>截止日前日期，盘中时分未核</x:v>
      </x:c>
    </x:row>
    <x:row r="1441" ht="23" customHeight="1">
      <x:c r="A1441" s="11" t="str">
        <x:v>I018</x:v>
      </x:c>
      <x:c r="B1441" s="11" t="str">
        <x:v>688202.SH</x:v>
      </x:c>
      <x:c r="C1441" s="11" t="str">
        <x:v>cashCashEquivalents</x:v>
      </x:c>
      <x:c r="D1441" s="39" t="n">
        <x:v>228.55258845</x:v>
      </x:c>
      <x:c r="E1441" s="11" t="str">
        <x:v>CNY</x:v>
      </x:c>
      <x:c r="F1441" s="11" t="str">
        <x:v>million</x:v>
      </x:c>
      <x:c r="G1441" s="11" t="str">
        <x:v>2026H1</x:v>
      </x:c>
      <x:c r="H1441" s="11" t="str">
        <x:v>2026-08-25</x:v>
      </x:c>
      <x:c r="I1441" s="11" t="str">
        <x:v>https://static.cninfo.com.cn/finalpage/2026-08-25/1225498030.PDF</x:v>
      </x:c>
      <x:c r="J1441" s="11" t="str"/>
      <x:c r="K1441" s="11" t="str">
        <x:v>待核</x:v>
      </x:c>
      <x:c r="L1441" s="11" t="str">
        <x:v>精确发布时间未核验</x:v>
      </x:c>
      <x:c r="M1441" s="11" t="str">
        <x:v>截止日前日期，盘中时分未核</x:v>
      </x:c>
    </x:row>
    <x:row r="1442" ht="23" customHeight="1">
      <x:c r="A1442" s="11" t="str">
        <x:v>I018</x:v>
      </x:c>
      <x:c r="B1442" s="11" t="str">
        <x:v>688202.SH</x:v>
      </x:c>
      <x:c r="C1442" s="11" t="str">
        <x:v>restrictedAssetNote</x:v>
      </x:c>
      <x:c r="D1442" s="39" t="n">
        <x:v>59.9758445</x:v>
      </x:c>
      <x:c r="E1442" s="11" t="str">
        <x:v>CNY</x:v>
      </x:c>
      <x:c r="F1442" s="11" t="str">
        <x:v>million</x:v>
      </x:c>
      <x:c r="G1442" s="11" t="str">
        <x:v>2026H1</x:v>
      </x:c>
      <x:c r="H1442" s="11" t="str">
        <x:v>2026-08-25</x:v>
      </x:c>
      <x:c r="I1442" s="11" t="str">
        <x:v>https://static.cninfo.com.cn/finalpage/2026-08-25/1225498030.PDF</x:v>
      </x:c>
      <x:c r="J1442" s="11" t="str"/>
      <x:c r="K1442" s="11" t="str">
        <x:v>待核</x:v>
      </x:c>
      <x:c r="L1442" s="11" t="str">
        <x:v>精确发布时间未核验</x:v>
      </x:c>
      <x:c r="M1442" s="11" t="str">
        <x:v>截止日前日期，盘中时分未核</x:v>
      </x:c>
    </x:row>
    <x:row r="1443" ht="23" customHeight="1">
      <x:c r="A1443" s="11" t="str">
        <x:v>I018</x:v>
      </x:c>
      <x:c r="B1443" s="11" t="str">
        <x:v>688202.SH</x:v>
      </x:c>
      <x:c r="C1443" s="11" t="str">
        <x:v>restrictedCashFlowNote</x:v>
      </x:c>
      <x:c r="D1443" s="39" t="n">
        <x:v>59.9750445</x:v>
      </x:c>
      <x:c r="E1443" s="11" t="str">
        <x:v>CNY</x:v>
      </x:c>
      <x:c r="F1443" s="11" t="str">
        <x:v>million</x:v>
      </x:c>
      <x:c r="G1443" s="11" t="str">
        <x:v>2026H1</x:v>
      </x:c>
      <x:c r="H1443" s="11" t="str">
        <x:v>2026-08-25</x:v>
      </x:c>
      <x:c r="I1443" s="11" t="str">
        <x:v>https://static.cninfo.com.cn/finalpage/2026-08-25/1225498030.PDF</x:v>
      </x:c>
      <x:c r="J1443" s="11" t="str"/>
      <x:c r="K1443" s="11" t="str">
        <x:v>待核</x:v>
      </x:c>
      <x:c r="L1443" s="11" t="str">
        <x:v>精确发布时间未核验</x:v>
      </x:c>
      <x:c r="M1443" s="11" t="str">
        <x:v>截止日前日期，盘中时分未核</x:v>
      </x:c>
    </x:row>
    <x:row r="1444" ht="23" customHeight="1">
      <x:c r="A1444" s="11" t="str">
        <x:v>I018</x:v>
      </x:c>
      <x:c r="B1444" s="11" t="str">
        <x:v>688202.SH</x:v>
      </x:c>
      <x:c r="C1444" s="11" t="str">
        <x:v>restrictedNoteDifferenceCNY</x:v>
      </x:c>
      <x:c r="D1444" s="39" t="n">
        <x:v>800</x:v>
      </x:c>
      <x:c r="E1444" s="11" t="str">
        <x:v>CNY</x:v>
      </x:c>
      <x:c r="F1444" s="11" t="str">
        <x:v>million</x:v>
      </x:c>
      <x:c r="G1444" s="11" t="str">
        <x:v>2026H1</x:v>
      </x:c>
      <x:c r="H1444" s="11" t="str">
        <x:v>2026-08-25</x:v>
      </x:c>
      <x:c r="I1444" s="11" t="str">
        <x:v>https://static.cninfo.com.cn/finalpage/2026-08-25/1225498030.PDF</x:v>
      </x:c>
      <x:c r="J1444" s="11" t="str"/>
      <x:c r="K1444" s="11" t="str">
        <x:v>待核</x:v>
      </x:c>
      <x:c r="L1444" s="11" t="str">
        <x:v>精确发布时间未核验</x:v>
      </x:c>
      <x:c r="M1444" s="11" t="str">
        <x:v>截止日前日期，盘中时分未核</x:v>
      </x:c>
    </x:row>
    <x:row r="1445" ht="23" customHeight="1">
      <x:c r="A1445" s="11" t="str">
        <x:v>I018</x:v>
      </x:c>
      <x:c r="B1445" s="11" t="str">
        <x:v>688202.SH</x:v>
      </x:c>
      <x:c r="C1445" s="11" t="str">
        <x:v>restrictedCashExcludesGuaranteeAssetNote</x:v>
      </x:c>
      <x:c r="D1445" s="39" t="n">
        <x:v>59.4758445</x:v>
      </x:c>
      <x:c r="E1445" s="11" t="str">
        <x:v>CNY</x:v>
      </x:c>
      <x:c r="F1445" s="11" t="str">
        <x:v>million</x:v>
      </x:c>
      <x:c r="G1445" s="11" t="str">
        <x:v>2026H1</x:v>
      </x:c>
      <x:c r="H1445" s="11" t="str">
        <x:v>2026-08-25</x:v>
      </x:c>
      <x:c r="I1445" s="11" t="str">
        <x:v>https://static.cninfo.com.cn/finalpage/2026-08-25/1225498030.PDF</x:v>
      </x:c>
      <x:c r="J1445" s="11" t="str"/>
      <x:c r="K1445" s="11" t="str">
        <x:v>待核</x:v>
      </x:c>
      <x:c r="L1445" s="11" t="str">
        <x:v>精确发布时间未核验</x:v>
      </x:c>
      <x:c r="M1445" s="11" t="str">
        <x:v>截止日前日期，盘中时分未核</x:v>
      </x:c>
    </x:row>
    <x:row r="1446" ht="23" customHeight="1">
      <x:c r="A1446" s="11" t="str">
        <x:v>I018</x:v>
      </x:c>
      <x:c r="B1446" s="11" t="str">
        <x:v>688202.SH</x:v>
      </x:c>
      <x:c r="C1446" s="11" t="str">
        <x:v>restrictedCashLitigationNote</x:v>
      </x:c>
      <x:c r="D1446" s="39" t="n">
        <x:v>59.4750445</x:v>
      </x:c>
      <x:c r="E1446" s="11" t="str">
        <x:v>CNY</x:v>
      </x:c>
      <x:c r="F1446" s="11" t="str">
        <x:v>million</x:v>
      </x:c>
      <x:c r="G1446" s="11" t="str">
        <x:v>2026H1</x:v>
      </x:c>
      <x:c r="H1446" s="11" t="str">
        <x:v>2026-08-25</x:v>
      </x:c>
      <x:c r="I1446" s="11" t="str">
        <x:v>https://static.cninfo.com.cn/finalpage/2026-08-25/1225498030.PDF</x:v>
      </x:c>
      <x:c r="J1446" s="11" t="str"/>
      <x:c r="K1446" s="11" t="str">
        <x:v>待核</x:v>
      </x:c>
      <x:c r="L1446" s="11" t="str">
        <x:v>精确发布时间未核验</x:v>
      </x:c>
      <x:c r="M1446" s="11" t="str">
        <x:v>截止日前日期，盘中时分未核</x:v>
      </x:c>
    </x:row>
    <x:row r="1447" ht="23" customHeight="1">
      <x:c r="A1447" s="11" t="str">
        <x:v>I018</x:v>
      </x:c>
      <x:c r="B1447" s="11" t="str">
        <x:v>688202.SH</x:v>
      </x:c>
      <x:c r="C1447" s="11" t="str">
        <x:v>guaranteeDeposit</x:v>
      </x:c>
      <x:c r="D1447" s="39" t="n">
        <x:v>0.5</x:v>
      </x:c>
      <x:c r="E1447" s="11" t="str">
        <x:v>CNY</x:v>
      </x:c>
      <x:c r="F1447" s="11" t="str">
        <x:v>million</x:v>
      </x:c>
      <x:c r="G1447" s="11" t="str">
        <x:v>2026H1</x:v>
      </x:c>
      <x:c r="H1447" s="11" t="str">
        <x:v>2026-08-25</x:v>
      </x:c>
      <x:c r="I1447" s="11" t="str">
        <x:v>https://static.cninfo.com.cn/finalpage/2026-08-25/1225498030.PDF</x:v>
      </x:c>
      <x:c r="J1447" s="11" t="str"/>
      <x:c r="K1447" s="11" t="str">
        <x:v>待核</x:v>
      </x:c>
      <x:c r="L1447" s="11" t="str">
        <x:v>精确发布时间未核验</x:v>
      </x:c>
      <x:c r="M1447" s="11" t="str">
        <x:v>截止日前日期，盘中时分未核</x:v>
      </x:c>
    </x:row>
    <x:row r="1448" ht="23" customHeight="1">
      <x:c r="A1448" s="11" t="str">
        <x:v>I018</x:v>
      </x:c>
      <x:c r="B1448" s="11" t="str">
        <x:v>688202.SH</x:v>
      </x:c>
      <x:c r="C1448" s="11" t="str">
        <x:v>financialCurrent</x:v>
      </x:c>
      <x:c r="D1448" s="39" t="n">
        <x:v>192.84574829</x:v>
      </x:c>
      <x:c r="E1448" s="11" t="str">
        <x:v>CNY</x:v>
      </x:c>
      <x:c r="F1448" s="11" t="str">
        <x:v>million</x:v>
      </x:c>
      <x:c r="G1448" s="11" t="str">
        <x:v>2026H1</x:v>
      </x:c>
      <x:c r="H1448" s="11" t="str">
        <x:v>2026-08-25</x:v>
      </x:c>
      <x:c r="I1448" s="11" t="str">
        <x:v>https://static.cninfo.com.cn/finalpage/2026-08-25/1225498030.PDF</x:v>
      </x:c>
      <x:c r="J1448" s="11" t="str"/>
      <x:c r="K1448" s="11" t="str">
        <x:v>待核</x:v>
      </x:c>
      <x:c r="L1448" s="11" t="str">
        <x:v>精确发布时间未核验</x:v>
      </x:c>
      <x:c r="M1448" s="11" t="str">
        <x:v>截止日前日期，盘中时分未核</x:v>
      </x:c>
    </x:row>
    <x:row r="1449" ht="23" customHeight="1">
      <x:c r="A1449" s="11" t="str">
        <x:v>I018</x:v>
      </x:c>
      <x:c r="B1449" s="11" t="str">
        <x:v>688202.SH</x:v>
      </x:c>
      <x:c r="C1449" s="11" t="str">
        <x:v>debtInvestmentsCurrent</x:v>
      </x:c>
      <x:c r="D1449" s="39" t="n">
        <x:v>43.06341046</x:v>
      </x:c>
      <x:c r="E1449" s="11" t="str">
        <x:v>CNY</x:v>
      </x:c>
      <x:c r="F1449" s="11" t="str">
        <x:v>million</x:v>
      </x:c>
      <x:c r="G1449" s="11" t="str">
        <x:v>2026H1</x:v>
      </x:c>
      <x:c r="H1449" s="11" t="str">
        <x:v>2026-08-25</x:v>
      </x:c>
      <x:c r="I1449" s="11" t="str">
        <x:v>https://static.cninfo.com.cn/finalpage/2026-08-25/1225498030.PDF</x:v>
      </x:c>
      <x:c r="J1449" s="11" t="str"/>
      <x:c r="K1449" s="11" t="str">
        <x:v>待核</x:v>
      </x:c>
      <x:c r="L1449" s="11" t="str">
        <x:v>精确发布时间未核验</x:v>
      </x:c>
      <x:c r="M1449" s="11" t="str">
        <x:v>截止日前日期，盘中时分未核</x:v>
      </x:c>
    </x:row>
    <x:row r="1450" ht="23" customHeight="1">
      <x:c r="A1450" s="11" t="str">
        <x:v>I018</x:v>
      </x:c>
      <x:c r="B1450" s="11" t="str">
        <x:v>688202.SH</x:v>
      </x:c>
      <x:c r="C1450" s="11" t="str">
        <x:v>debtInvestmentsNoncurrent</x:v>
      </x:c>
      <x:c r="D1450" s="39" t="n">
        <x:v>88.14548883</x:v>
      </x:c>
      <x:c r="E1450" s="11" t="str">
        <x:v>CNY</x:v>
      </x:c>
      <x:c r="F1450" s="11" t="str">
        <x:v>million</x:v>
      </x:c>
      <x:c r="G1450" s="11" t="str">
        <x:v>2026H1</x:v>
      </x:c>
      <x:c r="H1450" s="11" t="str">
        <x:v>2026-08-25</x:v>
      </x:c>
      <x:c r="I1450" s="11" t="str">
        <x:v>https://static.cninfo.com.cn/finalpage/2026-08-25/1225498030.PDF</x:v>
      </x:c>
      <x:c r="J1450" s="11" t="str"/>
      <x:c r="K1450" s="11" t="str">
        <x:v>待核</x:v>
      </x:c>
      <x:c r="L1450" s="11" t="str">
        <x:v>精确发布时间未核验</x:v>
      </x:c>
      <x:c r="M1450" s="11" t="str">
        <x:v>截止日前日期，盘中时分未核</x:v>
      </x:c>
    </x:row>
    <x:row r="1451" ht="23" customHeight="1">
      <x:c r="A1451" s="11" t="str">
        <x:v>I018</x:v>
      </x:c>
      <x:c r="B1451" s="11" t="str">
        <x:v>688202.SH</x:v>
      </x:c>
      <x:c r="C1451" s="11" t="str">
        <x:v>financialNoncurrent</x:v>
      </x:c>
      <x:c r="D1451" s="39" t="n">
        <x:v>98.64479758</x:v>
      </x:c>
      <x:c r="E1451" s="11" t="str">
        <x:v>CNY</x:v>
      </x:c>
      <x:c r="F1451" s="11" t="str">
        <x:v>million</x:v>
      </x:c>
      <x:c r="G1451" s="11" t="str">
        <x:v>2026H1</x:v>
      </x:c>
      <x:c r="H1451" s="11" t="str">
        <x:v>2026-08-25</x:v>
      </x:c>
      <x:c r="I1451" s="11" t="str">
        <x:v>https://static.cninfo.com.cn/finalpage/2026-08-25/1225498030.PDF</x:v>
      </x:c>
      <x:c r="J1451" s="11" t="str"/>
      <x:c r="K1451" s="11" t="str">
        <x:v>待核</x:v>
      </x:c>
      <x:c r="L1451" s="11" t="str">
        <x:v>精确发布时间未核验</x:v>
      </x:c>
      <x:c r="M1451" s="11" t="str">
        <x:v>截止日前日期，盘中时分未核</x:v>
      </x:c>
    </x:row>
    <x:row r="1452" ht="23" customHeight="1">
      <x:c r="A1452" s="11" t="str">
        <x:v>I018</x:v>
      </x:c>
      <x:c r="B1452" s="11" t="str">
        <x:v>688202.SH</x:v>
      </x:c>
      <x:c r="C1452" s="11" t="str">
        <x:v>bankDebtIncludingDiscountedBillsAndInterest</x:v>
      </x:c>
      <x:c r="D1452" s="39" t="n">
        <x:v>156.72448206</x:v>
      </x:c>
      <x:c r="E1452" s="11" t="str">
        <x:v>CNY</x:v>
      </x:c>
      <x:c r="F1452" s="11" t="str">
        <x:v>million</x:v>
      </x:c>
      <x:c r="G1452" s="11" t="str">
        <x:v>2026H1</x:v>
      </x:c>
      <x:c r="H1452" s="11" t="str">
        <x:v>2026-08-25</x:v>
      </x:c>
      <x:c r="I1452" s="11" t="str">
        <x:v>https://static.cninfo.com.cn/finalpage/2026-08-25/1225498030.PDF</x:v>
      </x:c>
      <x:c r="J1452" s="11" t="str"/>
      <x:c r="K1452" s="11" t="str">
        <x:v>待核</x:v>
      </x:c>
      <x:c r="L1452" s="11" t="str">
        <x:v>精确发布时间未核验</x:v>
      </x:c>
      <x:c r="M1452" s="11" t="str">
        <x:v>截止日前日期，盘中时分未核</x:v>
      </x:c>
    </x:row>
    <x:row r="1453" ht="23" customHeight="1">
      <x:c r="A1453" s="11" t="str">
        <x:v>I018</x:v>
      </x:c>
      <x:c r="B1453" s="11" t="str">
        <x:v>688202.SH</x:v>
      </x:c>
      <x:c r="C1453" s="11" t="str">
        <x:v>bankCreditPrincipal</x:v>
      </x:c>
      <x:c r="D1453" s="39" t="n">
        <x:v>141.64</x:v>
      </x:c>
      <x:c r="E1453" s="11" t="str">
        <x:v>CNY</x:v>
      </x:c>
      <x:c r="F1453" s="11" t="str">
        <x:v>million</x:v>
      </x:c>
      <x:c r="G1453" s="11" t="str">
        <x:v>2026H1</x:v>
      </x:c>
      <x:c r="H1453" s="11" t="str">
        <x:v>2026-08-25</x:v>
      </x:c>
      <x:c r="I1453" s="11" t="str">
        <x:v>https://static.cninfo.com.cn/finalpage/2026-08-25/1225498030.PDF</x:v>
      </x:c>
      <x:c r="J1453" s="11" t="str"/>
      <x:c r="K1453" s="11" t="str">
        <x:v>待核</x:v>
      </x:c>
      <x:c r="L1453" s="11" t="str">
        <x:v>精确发布时间未核验</x:v>
      </x:c>
      <x:c r="M1453" s="11" t="str">
        <x:v>截止日前日期，盘中时分未核</x:v>
      </x:c>
    </x:row>
    <x:row r="1454" ht="23" customHeight="1">
      <x:c r="A1454" s="11" t="str">
        <x:v>I018</x:v>
      </x:c>
      <x:c r="B1454" s="11" t="str">
        <x:v>688202.SH</x:v>
      </x:c>
      <x:c r="C1454" s="11" t="str">
        <x:v>discountedBillsLiability</x:v>
      </x:c>
      <x:c r="D1454" s="39" t="n">
        <x:v>15</x:v>
      </x:c>
      <x:c r="E1454" s="11" t="str">
        <x:v>CNY</x:v>
      </x:c>
      <x:c r="F1454" s="11" t="str">
        <x:v>million</x:v>
      </x:c>
      <x:c r="G1454" s="11" t="str">
        <x:v>2026H1</x:v>
      </x:c>
      <x:c r="H1454" s="11" t="str">
        <x:v>2026-08-25</x:v>
      </x:c>
      <x:c r="I1454" s="11" t="str">
        <x:v>https://static.cninfo.com.cn/finalpage/2026-08-25/1225498030.PDF</x:v>
      </x:c>
      <x:c r="J1454" s="11" t="str"/>
      <x:c r="K1454" s="11" t="str">
        <x:v>待核</x:v>
      </x:c>
      <x:c r="L1454" s="11" t="str">
        <x:v>精确发布时间未核验</x:v>
      </x:c>
      <x:c r="M1454" s="11" t="str">
        <x:v>截止日前日期，盘中时分未核</x:v>
      </x:c>
    </x:row>
    <x:row r="1455" ht="23" customHeight="1">
      <x:c r="A1455" s="11" t="str">
        <x:v>I018</x:v>
      </x:c>
      <x:c r="B1455" s="11" t="str">
        <x:v>688202.SH</x:v>
      </x:c>
      <x:c r="C1455" s="11" t="str">
        <x:v>bankAccruedInterest</x:v>
      </x:c>
      <x:c r="D1455" s="39" t="n">
        <x:v>0.08448206</x:v>
      </x:c>
      <x:c r="E1455" s="11" t="str">
        <x:v>CNY</x:v>
      </x:c>
      <x:c r="F1455" s="11" t="str">
        <x:v>million</x:v>
      </x:c>
      <x:c r="G1455" s="11" t="str">
        <x:v>2026H1</x:v>
      </x:c>
      <x:c r="H1455" s="11" t="str">
        <x:v>2026-08-25</x:v>
      </x:c>
      <x:c r="I1455" s="11" t="str">
        <x:v>https://static.cninfo.com.cn/finalpage/2026-08-25/1225498030.PDF</x:v>
      </x:c>
      <x:c r="J1455" s="11" t="str"/>
      <x:c r="K1455" s="11" t="str">
        <x:v>待核</x:v>
      </x:c>
      <x:c r="L1455" s="11" t="str">
        <x:v>精确发布时间未核验</x:v>
      </x:c>
      <x:c r="M1455" s="11" t="str">
        <x:v>截止日前日期，盘中时分未核</x:v>
      </x:c>
    </x:row>
    <x:row r="1456" ht="23" customHeight="1">
      <x:c r="A1456" s="11" t="str">
        <x:v>I018</x:v>
      </x:c>
      <x:c r="B1456" s="11" t="str">
        <x:v>688202.SH</x:v>
      </x:c>
      <x:c r="C1456" s="11" t="str">
        <x:v>leaseDebtIncludingCurrent</x:v>
      </x:c>
      <x:c r="D1456" s="39" t="n">
        <x:v>65.98434322</x:v>
      </x:c>
      <x:c r="E1456" s="11" t="str">
        <x:v>CNY</x:v>
      </x:c>
      <x:c r="F1456" s="11" t="str">
        <x:v>million</x:v>
      </x:c>
      <x:c r="G1456" s="11" t="str">
        <x:v>2026H1</x:v>
      </x:c>
      <x:c r="H1456" s="11" t="str">
        <x:v>2026-08-25</x:v>
      </x:c>
      <x:c r="I1456" s="11" t="str">
        <x:v>https://static.cninfo.com.cn/finalpage/2026-08-25/1225498030.PDF</x:v>
      </x:c>
      <x:c r="J1456" s="11" t="str"/>
      <x:c r="K1456" s="11" t="str">
        <x:v>待核</x:v>
      </x:c>
      <x:c r="L1456" s="11" t="str">
        <x:v>精确发布时间未核验</x:v>
      </x:c>
      <x:c r="M1456" s="11" t="str">
        <x:v>截止日前日期，盘中时分未核</x:v>
      </x:c>
    </x:row>
    <x:row r="1457" ht="23" customHeight="1">
      <x:c r="A1457" s="11" t="str">
        <x:v>I018</x:v>
      </x:c>
      <x:c r="B1457" s="11" t="str">
        <x:v>688202.SH</x:v>
      </x:c>
      <x:c r="C1457" s="11" t="str">
        <x:v>totalLiabilities</x:v>
      </x:c>
      <x:c r="D1457" s="39" t="n">
        <x:v>878.1704832</x:v>
      </x:c>
      <x:c r="E1457" s="11" t="str">
        <x:v>CNY</x:v>
      </x:c>
      <x:c r="F1457" s="11" t="str">
        <x:v>million</x:v>
      </x:c>
      <x:c r="G1457" s="11" t="str">
        <x:v>2026H1</x:v>
      </x:c>
      <x:c r="H1457" s="11" t="str">
        <x:v>2026-08-25</x:v>
      </x:c>
      <x:c r="I1457" s="11" t="str">
        <x:v>https://static.cninfo.com.cn/finalpage/2026-08-25/1225498030.PDF</x:v>
      </x:c>
      <x:c r="J1457" s="11" t="str"/>
      <x:c r="K1457" s="11" t="str">
        <x:v>待核</x:v>
      </x:c>
      <x:c r="L1457" s="11" t="str">
        <x:v>精确发布时间未核验</x:v>
      </x:c>
      <x:c r="M1457" s="11" t="str">
        <x:v>截止日前日期，盘中时分未核</x:v>
      </x:c>
    </x:row>
    <x:row r="1458" ht="23" customHeight="1">
      <x:c r="A1458" s="11" t="str">
        <x:v>I018</x:v>
      </x:c>
      <x:c r="B1458" s="11" t="str">
        <x:v>688202.SH</x:v>
      </x:c>
      <x:c r="C1458" s="11" t="str">
        <x:v>parentEquity</x:v>
      </x:c>
      <x:c r="D1458" s="39" t="n">
        <x:v>2002.72817024</x:v>
      </x:c>
      <x:c r="E1458" s="11" t="str">
        <x:v>CNY</x:v>
      </x:c>
      <x:c r="F1458" s="11" t="str">
        <x:v>million</x:v>
      </x:c>
      <x:c r="G1458" s="11" t="str">
        <x:v>2026H1</x:v>
      </x:c>
      <x:c r="H1458" s="11" t="str">
        <x:v>2026-08-25</x:v>
      </x:c>
      <x:c r="I1458" s="11" t="str">
        <x:v>https://static.cninfo.com.cn/finalpage/2026-08-25/1225498030.PDF</x:v>
      </x:c>
      <x:c r="J1458" s="11" t="str"/>
      <x:c r="K1458" s="11" t="str">
        <x:v>待核</x:v>
      </x:c>
      <x:c r="L1458" s="11" t="str">
        <x:v>精确发布时间未核验</x:v>
      </x:c>
      <x:c r="M1458" s="11" t="str">
        <x:v>截止日前日期，盘中时分未核</x:v>
      </x:c>
    </x:row>
    <x:row r="1459" ht="23" customHeight="1">
      <x:c r="A1459" s="11" t="str">
        <x:v>I018</x:v>
      </x:c>
      <x:c r="B1459" s="11" t="str">
        <x:v>688202.SH</x:v>
      </x:c>
      <x:c r="C1459" s="11" t="str">
        <x:v>assets</x:v>
      </x:c>
      <x:c r="D1459" s="39" t="n">
        <x:v>2880.89865344</x:v>
      </x:c>
      <x:c r="E1459" s="11" t="str">
        <x:v>CNY</x:v>
      </x:c>
      <x:c r="F1459" s="11" t="str">
        <x:v>million</x:v>
      </x:c>
      <x:c r="G1459" s="11" t="str">
        <x:v>2026H1</x:v>
      </x:c>
      <x:c r="H1459" s="11" t="str">
        <x:v>2026-08-25</x:v>
      </x:c>
      <x:c r="I1459" s="11" t="str">
        <x:v>https://static.cninfo.com.cn/finalpage/2026-08-25/1225498030.PDF</x:v>
      </x:c>
      <x:c r="J1459" s="11" t="str"/>
      <x:c r="K1459" s="11" t="str">
        <x:v>待核</x:v>
      </x:c>
      <x:c r="L1459" s="11" t="str">
        <x:v>精确发布时间未核验</x:v>
      </x:c>
      <x:c r="M1459" s="11" t="str">
        <x:v>截止日前日期，盘中时分未核</x:v>
      </x:c>
    </x:row>
    <x:row r="1460" ht="23" customHeight="1">
      <x:c r="A1460" s="11" t="str">
        <x:v>I018</x:v>
      </x:c>
      <x:c r="B1460" s="11" t="str">
        <x:v>688202.SH</x:v>
      </x:c>
      <x:c r="C1460" s="11" t="str">
        <x:v>receivables</x:v>
      </x:c>
      <x:c r="D1460" s="39" t="n">
        <x:v>445.78673385</x:v>
      </x:c>
      <x:c r="E1460" s="11" t="str">
        <x:v>CNY</x:v>
      </x:c>
      <x:c r="F1460" s="11" t="str">
        <x:v>million</x:v>
      </x:c>
      <x:c r="G1460" s="11" t="str">
        <x:v>2026H1</x:v>
      </x:c>
      <x:c r="H1460" s="11" t="str">
        <x:v>2026-08-25</x:v>
      </x:c>
      <x:c r="I1460" s="11" t="str">
        <x:v>https://static.cninfo.com.cn/finalpage/2026-08-25/1225498030.PDF</x:v>
      </x:c>
      <x:c r="J1460" s="11" t="str"/>
      <x:c r="K1460" s="11" t="str">
        <x:v>待核</x:v>
      </x:c>
      <x:c r="L1460" s="11" t="str">
        <x:v>精确发布时间未核验</x:v>
      </x:c>
      <x:c r="M1460" s="11" t="str">
        <x:v>截止日前日期，盘中时分未核</x:v>
      </x:c>
    </x:row>
    <x:row r="1461" ht="23" customHeight="1">
      <x:c r="A1461" s="11" t="str">
        <x:v>I018</x:v>
      </x:c>
      <x:c r="B1461" s="11" t="str">
        <x:v>688202.SH</x:v>
      </x:c>
      <x:c r="C1461" s="11" t="str">
        <x:v>receivablesGross</x:v>
      </x:c>
      <x:c r="D1461" s="39" t="n">
        <x:v>688.23505604</x:v>
      </x:c>
      <x:c r="E1461" s="11" t="str">
        <x:v>CNY</x:v>
      </x:c>
      <x:c r="F1461" s="11" t="str">
        <x:v>million</x:v>
      </x:c>
      <x:c r="G1461" s="11" t="str">
        <x:v>2026H1</x:v>
      </x:c>
      <x:c r="H1461" s="11" t="str">
        <x:v>2026-08-25</x:v>
      </x:c>
      <x:c r="I1461" s="11" t="str">
        <x:v>https://static.cninfo.com.cn/finalpage/2026-08-25/1225498030.PDF</x:v>
      </x:c>
      <x:c r="J1461" s="11" t="str"/>
      <x:c r="K1461" s="11" t="str">
        <x:v>待核</x:v>
      </x:c>
      <x:c r="L1461" s="11" t="str">
        <x:v>精确发布时间未核验</x:v>
      </x:c>
      <x:c r="M1461" s="11" t="str">
        <x:v>截止日前日期，盘中时分未核</x:v>
      </x:c>
    </x:row>
    <x:row r="1462" ht="23" customHeight="1">
      <x:c r="A1462" s="11" t="str">
        <x:v>I018</x:v>
      </x:c>
      <x:c r="B1462" s="11" t="str">
        <x:v>688202.SH</x:v>
      </x:c>
      <x:c r="C1462" s="11" t="str">
        <x:v>receivablesAllowance</x:v>
      </x:c>
      <x:c r="D1462" s="39" t="n">
        <x:v>242.44832219</x:v>
      </x:c>
      <x:c r="E1462" s="11" t="str">
        <x:v>CNY</x:v>
      </x:c>
      <x:c r="F1462" s="11" t="str">
        <x:v>million</x:v>
      </x:c>
      <x:c r="G1462" s="11" t="str">
        <x:v>2026H1</x:v>
      </x:c>
      <x:c r="H1462" s="11" t="str">
        <x:v>2026-08-25</x:v>
      </x:c>
      <x:c r="I1462" s="11" t="str">
        <x:v>https://static.cninfo.com.cn/finalpage/2026-08-25/1225498030.PDF</x:v>
      </x:c>
      <x:c r="J1462" s="11" t="str"/>
      <x:c r="K1462" s="11" t="str">
        <x:v>待核</x:v>
      </x:c>
      <x:c r="L1462" s="11" t="str">
        <x:v>精确发布时间未核验</x:v>
      </x:c>
      <x:c r="M1462" s="11" t="str">
        <x:v>截止日前日期，盘中时分未核</x:v>
      </x:c>
    </x:row>
    <x:row r="1463" ht="23" customHeight="1">
      <x:c r="A1463" s="11" t="str">
        <x:v>I018</x:v>
      </x:c>
      <x:c r="B1463" s="11" t="str">
        <x:v>688202.SH</x:v>
      </x:c>
      <x:c r="C1463" s="11" t="str">
        <x:v>contractAssets</x:v>
      </x:c>
      <x:c r="D1463" s="39" t="n">
        <x:v>36.63492728</x:v>
      </x:c>
      <x:c r="E1463" s="11" t="str">
        <x:v>CNY</x:v>
      </x:c>
      <x:c r="F1463" s="11" t="str">
        <x:v>million</x:v>
      </x:c>
      <x:c r="G1463" s="11" t="str">
        <x:v>2026H1</x:v>
      </x:c>
      <x:c r="H1463" s="11" t="str">
        <x:v>2026-08-25</x:v>
      </x:c>
      <x:c r="I1463" s="11" t="str">
        <x:v>https://static.cninfo.com.cn/finalpage/2026-08-25/1225498030.PDF</x:v>
      </x:c>
      <x:c r="J1463" s="11" t="str"/>
      <x:c r="K1463" s="11" t="str">
        <x:v>待核</x:v>
      </x:c>
      <x:c r="L1463" s="11" t="str">
        <x:v>精确发布时间未核验</x:v>
      </x:c>
      <x:c r="M1463" s="11" t="str">
        <x:v>截止日前日期，盘中时分未核</x:v>
      </x:c>
    </x:row>
    <x:row r="1464" ht="23" customHeight="1">
      <x:c r="A1464" s="11" t="str">
        <x:v>I018</x:v>
      </x:c>
      <x:c r="B1464" s="11" t="str">
        <x:v>688202.SH</x:v>
      </x:c>
      <x:c r="C1464" s="11" t="str">
        <x:v>inventory</x:v>
      </x:c>
      <x:c r="D1464" s="39" t="n">
        <x:v>208.13060742</x:v>
      </x:c>
      <x:c r="E1464" s="11" t="str">
        <x:v>CNY</x:v>
      </x:c>
      <x:c r="F1464" s="11" t="str">
        <x:v>million</x:v>
      </x:c>
      <x:c r="G1464" s="11" t="str">
        <x:v>2026H1</x:v>
      </x:c>
      <x:c r="H1464" s="11" t="str">
        <x:v>2026-08-25</x:v>
      </x:c>
      <x:c r="I1464" s="11" t="str">
        <x:v>https://static.cninfo.com.cn/finalpage/2026-08-25/1225498030.PDF</x:v>
      </x:c>
      <x:c r="J1464" s="11" t="str"/>
      <x:c r="K1464" s="11" t="str">
        <x:v>待核</x:v>
      </x:c>
      <x:c r="L1464" s="11" t="str">
        <x:v>精确发布时间未核验</x:v>
      </x:c>
      <x:c r="M1464" s="11" t="str">
        <x:v>截止日前日期，盘中时分未核</x:v>
      </x:c>
    </x:row>
    <x:row r="1465" ht="23" customHeight="1">
      <x:c r="A1465" s="11" t="str">
        <x:v>I018</x:v>
      </x:c>
      <x:c r="B1465" s="11" t="str">
        <x:v>688202.SH</x:v>
      </x:c>
      <x:c r="C1465" s="11" t="str">
        <x:v>prepayments</x:v>
      </x:c>
      <x:c r="D1465" s="39" t="n">
        <x:v>154.30285788</x:v>
      </x:c>
      <x:c r="E1465" s="11" t="str">
        <x:v>CNY</x:v>
      </x:c>
      <x:c r="F1465" s="11" t="str">
        <x:v>million</x:v>
      </x:c>
      <x:c r="G1465" s="11" t="str">
        <x:v>2026H1</x:v>
      </x:c>
      <x:c r="H1465" s="11" t="str">
        <x:v>2026-08-25</x:v>
      </x:c>
      <x:c r="I1465" s="11" t="str">
        <x:v>https://static.cninfo.com.cn/finalpage/2026-08-25/1225498030.PDF</x:v>
      </x:c>
      <x:c r="J1465" s="11" t="str"/>
      <x:c r="K1465" s="11" t="str">
        <x:v>待核</x:v>
      </x:c>
      <x:c r="L1465" s="11" t="str">
        <x:v>精确发布时间未核验</x:v>
      </x:c>
      <x:c r="M1465" s="11" t="str">
        <x:v>截止日前日期，盘中时分未核</x:v>
      </x:c>
    </x:row>
    <x:row r="1466" ht="23" customHeight="1">
      <x:c r="A1466" s="11" t="str">
        <x:v>I018</x:v>
      </x:c>
      <x:c r="B1466" s="11" t="str">
        <x:v>688202.SH</x:v>
      </x:c>
      <x:c r="C1466" s="11" t="str">
        <x:v>contractLiability</x:v>
      </x:c>
      <x:c r="D1466" s="39" t="n">
        <x:v>187.41857956</x:v>
      </x:c>
      <x:c r="E1466" s="11" t="str">
        <x:v>CNY</x:v>
      </x:c>
      <x:c r="F1466" s="11" t="str">
        <x:v>million</x:v>
      </x:c>
      <x:c r="G1466" s="11" t="str">
        <x:v>2026H1</x:v>
      </x:c>
      <x:c r="H1466" s="11" t="str">
        <x:v>2026-08-25</x:v>
      </x:c>
      <x:c r="I1466" s="11" t="str">
        <x:v>https://static.cninfo.com.cn/finalpage/2026-08-25/1225498030.PDF</x:v>
      </x:c>
      <x:c r="J1466" s="11" t="str"/>
      <x:c r="K1466" s="11" t="str">
        <x:v>待核</x:v>
      </x:c>
      <x:c r="L1466" s="11" t="str">
        <x:v>精确发布时间未核验</x:v>
      </x:c>
      <x:c r="M1466" s="11" t="str">
        <x:v>截止日前日期，盘中时分未核</x:v>
      </x:c>
    </x:row>
    <x:row r="1467" ht="23" customHeight="1">
      <x:c r="A1467" s="11" t="str">
        <x:v>I018</x:v>
      </x:c>
      <x:c r="B1467" s="11" t="str">
        <x:v>688202.SH</x:v>
      </x:c>
      <x:c r="C1467" s="11" t="str">
        <x:v>payableBills</x:v>
      </x:c>
      <x:c r="D1467" s="39" t="n">
        <x:v>150.96666</x:v>
      </x:c>
      <x:c r="E1467" s="11" t="str">
        <x:v>CNY</x:v>
      </x:c>
      <x:c r="F1467" s="11" t="str">
        <x:v>million</x:v>
      </x:c>
      <x:c r="G1467" s="11" t="str">
        <x:v>2026H1</x:v>
      </x:c>
      <x:c r="H1467" s="11" t="str">
        <x:v>2026-08-25</x:v>
      </x:c>
      <x:c r="I1467" s="11" t="str">
        <x:v>https://static.cninfo.com.cn/finalpage/2026-08-25/1225498030.PDF</x:v>
      </x:c>
      <x:c r="J1467" s="11" t="str"/>
      <x:c r="K1467" s="11" t="str">
        <x:v>待核</x:v>
      </x:c>
      <x:c r="L1467" s="11" t="str">
        <x:v>精确发布时间未核验</x:v>
      </x:c>
      <x:c r="M1467" s="11" t="str">
        <x:v>截止日前日期，盘中时分未核</x:v>
      </x:c>
    </x:row>
    <x:row r="1468" ht="23" customHeight="1">
      <x:c r="A1468" s="11" t="str">
        <x:v>I018</x:v>
      </x:c>
      <x:c r="B1468" s="11" t="str">
        <x:v>688202.SH</x:v>
      </x:c>
      <x:c r="C1468" s="11" t="str">
        <x:v>payableAccounts</x:v>
      </x:c>
      <x:c r="D1468" s="39" t="n">
        <x:v>154.09716349</x:v>
      </x:c>
      <x:c r="E1468" s="11" t="str">
        <x:v>CNY</x:v>
      </x:c>
      <x:c r="F1468" s="11" t="str">
        <x:v>million</x:v>
      </x:c>
      <x:c r="G1468" s="11" t="str">
        <x:v>2026H1</x:v>
      </x:c>
      <x:c r="H1468" s="11" t="str">
        <x:v>2026-08-25</x:v>
      </x:c>
      <x:c r="I1468" s="11" t="str">
        <x:v>https://static.cninfo.com.cn/finalpage/2026-08-25/1225498030.PDF</x:v>
      </x:c>
      <x:c r="J1468" s="11" t="str"/>
      <x:c r="K1468" s="11" t="str">
        <x:v>待核</x:v>
      </x:c>
      <x:c r="L1468" s="11" t="str">
        <x:v>精确发布时间未核验</x:v>
      </x:c>
      <x:c r="M1468" s="11" t="str">
        <x:v>截止日前日期，盘中时分未核</x:v>
      </x:c>
    </x:row>
    <x:row r="1469" ht="23" customHeight="1">
      <x:c r="A1469" s="11" t="str">
        <x:v>I018</x:v>
      </x:c>
      <x:c r="B1469" s="11" t="str">
        <x:v>688202.SH</x:v>
      </x:c>
      <x:c r="C1469" s="11" t="str">
        <x:v>CIP</x:v>
      </x:c>
      <x:c r="D1469" s="39" t="n">
        <x:v>103.74271349</x:v>
      </x:c>
      <x:c r="E1469" s="11" t="str">
        <x:v>CNY</x:v>
      </x:c>
      <x:c r="F1469" s="11" t="str">
        <x:v>million</x:v>
      </x:c>
      <x:c r="G1469" s="11" t="str">
        <x:v>2026H1</x:v>
      </x:c>
      <x:c r="H1469" s="11" t="str">
        <x:v>2026-08-25</x:v>
      </x:c>
      <x:c r="I1469" s="11" t="str">
        <x:v>https://static.cninfo.com.cn/finalpage/2026-08-25/1225498030.PDF</x:v>
      </x:c>
      <x:c r="J1469" s="11" t="str"/>
      <x:c r="K1469" s="11" t="str">
        <x:v>待核</x:v>
      </x:c>
      <x:c r="L1469" s="11" t="str">
        <x:v>精确发布时间未核验</x:v>
      </x:c>
      <x:c r="M1469" s="11" t="str">
        <x:v>截止日前日期，盘中时分未核</x:v>
      </x:c>
    </x:row>
    <x:row r="1470" ht="23" customHeight="1">
      <x:c r="A1470" s="11" t="str">
        <x:v>I018</x:v>
      </x:c>
      <x:c r="B1470" s="11" t="str">
        <x:v>688202.SH</x:v>
      </x:c>
      <x:c r="C1470" s="11" t="str">
        <x:v>fixedAssets</x:v>
      </x:c>
      <x:c r="D1470" s="39" t="n">
        <x:v>649.33177216</x:v>
      </x:c>
      <x:c r="E1470" s="11" t="str">
        <x:v>CNY</x:v>
      </x:c>
      <x:c r="F1470" s="11" t="str">
        <x:v>million</x:v>
      </x:c>
      <x:c r="G1470" s="11" t="str">
        <x:v>2026H1</x:v>
      </x:c>
      <x:c r="H1470" s="11" t="str">
        <x:v>2026-08-25</x:v>
      </x:c>
      <x:c r="I1470" s="11" t="str">
        <x:v>https://static.cninfo.com.cn/finalpage/2026-08-25/1225498030.PDF</x:v>
      </x:c>
      <x:c r="J1470" s="11" t="str"/>
      <x:c r="K1470" s="11" t="str">
        <x:v>待核</x:v>
      </x:c>
      <x:c r="L1470" s="11" t="str">
        <x:v>精确发布时间未核验</x:v>
      </x:c>
      <x:c r="M1470" s="11" t="str">
        <x:v>截止日前日期，盘中时分未核</x:v>
      </x:c>
    </x:row>
    <x:row r="1471" ht="23" customHeight="1">
      <x:c r="A1471" s="11" t="str">
        <x:v>I018</x:v>
      </x:c>
      <x:c r="B1471" s="11" t="str">
        <x:v>688202.SH</x:v>
      </x:c>
      <x:c r="C1471" s="11" t="str">
        <x:v>intangibles</x:v>
      </x:c>
      <x:c r="D1471" s="39" t="n">
        <x:v>264.72224359</x:v>
      </x:c>
      <x:c r="E1471" s="11" t="str">
        <x:v>CNY</x:v>
      </x:c>
      <x:c r="F1471" s="11" t="str">
        <x:v>million</x:v>
      </x:c>
      <x:c r="G1471" s="11" t="str">
        <x:v>2026H1</x:v>
      </x:c>
      <x:c r="H1471" s="11" t="str">
        <x:v>2026-08-25</x:v>
      </x:c>
      <x:c r="I1471" s="11" t="str">
        <x:v>https://static.cninfo.com.cn/finalpage/2026-08-25/1225498030.PDF</x:v>
      </x:c>
      <x:c r="J1471" s="11" t="str"/>
      <x:c r="K1471" s="11" t="str">
        <x:v>待核</x:v>
      </x:c>
      <x:c r="L1471" s="11" t="str">
        <x:v>精确发布时间未核验</x:v>
      </x:c>
      <x:c r="M1471" s="11" t="str">
        <x:v>截止日前日期，盘中时分未核</x:v>
      </x:c>
    </x:row>
    <x:row r="1472" ht="23" customHeight="1">
      <x:c r="A1472" s="11" t="str">
        <x:v>I018</x:v>
      </x:c>
      <x:c r="B1472" s="11" t="str">
        <x:v>688202.SH</x:v>
      </x:c>
      <x:c r="C1472" s="11" t="str">
        <x:v>RDTotal</x:v>
      </x:c>
      <x:c r="D1472" s="39" t="n">
        <x:v>53.73674966</x:v>
      </x:c>
      <x:c r="E1472" s="11" t="str">
        <x:v>CNY</x:v>
      </x:c>
      <x:c r="F1472" s="11" t="str">
        <x:v>million</x:v>
      </x:c>
      <x:c r="G1472" s="11" t="str">
        <x:v>2026H1</x:v>
      </x:c>
      <x:c r="H1472" s="11" t="str">
        <x:v>2026-08-25</x:v>
      </x:c>
      <x:c r="I1472" s="11" t="str">
        <x:v>https://static.cninfo.com.cn/finalpage/2026-08-25/1225498030.PDF</x:v>
      </x:c>
      <x:c r="J1472" s="11" t="str"/>
      <x:c r="K1472" s="11" t="str">
        <x:v>待核</x:v>
      </x:c>
      <x:c r="L1472" s="11" t="str">
        <x:v>精确发布时间未核验</x:v>
      </x:c>
      <x:c r="M1472" s="11" t="str">
        <x:v>截止日前日期，盘中时分未核</x:v>
      </x:c>
    </x:row>
    <x:row r="1473" ht="23" customHeight="1">
      <x:c r="A1473" s="11" t="str">
        <x:v>I018</x:v>
      </x:c>
      <x:c r="B1473" s="11" t="str">
        <x:v>688202.SH</x:v>
      </x:c>
      <x:c r="C1473" s="11" t="str">
        <x:v>RDExpensed</x:v>
      </x:c>
      <x:c r="D1473" s="39" t="n">
        <x:v>53.73674966</x:v>
      </x:c>
      <x:c r="E1473" s="11" t="str">
        <x:v>CNY</x:v>
      </x:c>
      <x:c r="F1473" s="11" t="str">
        <x:v>million</x:v>
      </x:c>
      <x:c r="G1473" s="11" t="str">
        <x:v>2026H1</x:v>
      </x:c>
      <x:c r="H1473" s="11" t="str">
        <x:v>2026-08-25</x:v>
      </x:c>
      <x:c r="I1473" s="11" t="str">
        <x:v>https://static.cninfo.com.cn/finalpage/2026-08-25/1225498030.PDF</x:v>
      </x:c>
      <x:c r="J1473" s="11" t="str"/>
      <x:c r="K1473" s="11" t="str">
        <x:v>待核</x:v>
      </x:c>
      <x:c r="L1473" s="11" t="str">
        <x:v>精确发布时间未核验</x:v>
      </x:c>
      <x:c r="M1473" s="11" t="str">
        <x:v>截止日前日期，盘中时分未核</x:v>
      </x:c>
    </x:row>
    <x:row r="1474" ht="23" customHeight="1">
      <x:c r="A1474" s="11" t="str">
        <x:v>I018</x:v>
      </x:c>
      <x:c r="B1474" s="11" t="str">
        <x:v>688202.SH</x:v>
      </x:c>
      <x:c r="C1474" s="11" t="str">
        <x:v>RDCapitalized</x:v>
      </x:c>
      <x:c r="D1474" s="39" t="n">
        <x:v>0</x:v>
      </x:c>
      <x:c r="E1474" s="11" t="str">
        <x:v>CNY</x:v>
      </x:c>
      <x:c r="F1474" s="11" t="str">
        <x:v>million</x:v>
      </x:c>
      <x:c r="G1474" s="11" t="str">
        <x:v>2026H1</x:v>
      </x:c>
      <x:c r="H1474" s="11" t="str">
        <x:v>2026-08-25</x:v>
      </x:c>
      <x:c r="I1474" s="11" t="str">
        <x:v>https://static.cninfo.com.cn/finalpage/2026-08-25/1225498030.PDF</x:v>
      </x:c>
      <x:c r="J1474" s="11" t="str"/>
      <x:c r="K1474" s="11" t="str">
        <x:v>待核</x:v>
      </x:c>
      <x:c r="L1474" s="11" t="str">
        <x:v>精确发布时间未核验</x:v>
      </x:c>
      <x:c r="M1474" s="11" t="str">
        <x:v>截止日前日期，盘中时分未核</x:v>
      </x:c>
    </x:row>
    <x:row r="1475" ht="23" customHeight="1">
      <x:c r="A1475" s="11" t="str">
        <x:v>I018</x:v>
      </x:c>
      <x:c r="B1475" s="11" t="str">
        <x:v>688202.SH</x:v>
      </x:c>
      <x:c r="C1475" s="11" t="str">
        <x:v>selling</x:v>
      </x:c>
      <x:c r="D1475" s="39" t="n">
        <x:v>45.5815439</x:v>
      </x:c>
      <x:c r="E1475" s="11" t="str">
        <x:v>CNY</x:v>
      </x:c>
      <x:c r="F1475" s="11" t="str">
        <x:v>million</x:v>
      </x:c>
      <x:c r="G1475" s="11" t="str">
        <x:v>2026H1</x:v>
      </x:c>
      <x:c r="H1475" s="11" t="str">
        <x:v>2026-08-25</x:v>
      </x:c>
      <x:c r="I1475" s="11" t="str">
        <x:v>https://static.cninfo.com.cn/finalpage/2026-08-25/1225498030.PDF</x:v>
      </x:c>
      <x:c r="J1475" s="11" t="str"/>
      <x:c r="K1475" s="11" t="str">
        <x:v>待核</x:v>
      </x:c>
      <x:c r="L1475" s="11" t="str">
        <x:v>精确发布时间未核验</x:v>
      </x:c>
      <x:c r="M1475" s="11" t="str">
        <x:v>截止日前日期，盘中时分未核</x:v>
      </x:c>
    </x:row>
    <x:row r="1476" ht="23" customHeight="1">
      <x:c r="A1476" s="11" t="str">
        <x:v>I018</x:v>
      </x:c>
      <x:c r="B1476" s="11" t="str">
        <x:v>688202.SH</x:v>
      </x:c>
      <x:c r="C1476" s="11" t="str">
        <x:v>admin</x:v>
      </x:c>
      <x:c r="D1476" s="39" t="n">
        <x:v>59.48347357</x:v>
      </x:c>
      <x:c r="E1476" s="11" t="str">
        <x:v>CNY</x:v>
      </x:c>
      <x:c r="F1476" s="11" t="str">
        <x:v>million</x:v>
      </x:c>
      <x:c r="G1476" s="11" t="str">
        <x:v>2026H1</x:v>
      </x:c>
      <x:c r="H1476" s="11" t="str">
        <x:v>2026-08-25</x:v>
      </x:c>
      <x:c r="I1476" s="11" t="str">
        <x:v>https://static.cninfo.com.cn/finalpage/2026-08-25/1225498030.PDF</x:v>
      </x:c>
      <x:c r="J1476" s="11" t="str"/>
      <x:c r="K1476" s="11" t="str">
        <x:v>待核</x:v>
      </x:c>
      <x:c r="L1476" s="11" t="str">
        <x:v>精确发布时间未核验</x:v>
      </x:c>
      <x:c r="M1476" s="11" t="str">
        <x:v>截止日前日期，盘中时分未核</x:v>
      </x:c>
    </x:row>
    <x:row r="1477" ht="23" customHeight="1">
      <x:c r="A1477" s="11" t="str">
        <x:v>I018</x:v>
      </x:c>
      <x:c r="B1477" s="11" t="str">
        <x:v>688202.SH</x:v>
      </x:c>
      <x:c r="C1477" s="11" t="str">
        <x:v>financeCost</x:v>
      </x:c>
      <x:c r="D1477" s="39" t="n">
        <x:v>11.08961883</x:v>
      </x:c>
      <x:c r="E1477" s="11" t="str">
        <x:v>CNY</x:v>
      </x:c>
      <x:c r="F1477" s="11" t="str">
        <x:v>million</x:v>
      </x:c>
      <x:c r="G1477" s="11" t="str">
        <x:v>2026H1</x:v>
      </x:c>
      <x:c r="H1477" s="11" t="str">
        <x:v>2026-08-25</x:v>
      </x:c>
      <x:c r="I1477" s="11" t="str">
        <x:v>https://static.cninfo.com.cn/finalpage/2026-08-25/1225498030.PDF</x:v>
      </x:c>
      <x:c r="J1477" s="11" t="str"/>
      <x:c r="K1477" s="11" t="str">
        <x:v>待核</x:v>
      </x:c>
      <x:c r="L1477" s="11" t="str">
        <x:v>精确发布时间未核验</x:v>
      </x:c>
      <x:c r="M1477" s="11" t="str">
        <x:v>截止日前日期，盘中时分未核</x:v>
      </x:c>
    </x:row>
    <x:row r="1478" ht="23" customHeight="1">
      <x:c r="A1478" s="11" t="str">
        <x:v>I018</x:v>
      </x:c>
      <x:c r="B1478" s="11" t="str">
        <x:v>688202.SH</x:v>
      </x:c>
      <x:c r="C1478" s="11" t="str">
        <x:v>interestExpense</x:v>
      </x:c>
      <x:c r="D1478" s="39" t="n">
        <x:v>3.13673789</x:v>
      </x:c>
      <x:c r="E1478" s="11" t="str">
        <x:v>CNY</x:v>
      </x:c>
      <x:c r="F1478" s="11" t="str">
        <x:v>million</x:v>
      </x:c>
      <x:c r="G1478" s="11" t="str">
        <x:v>2026H1</x:v>
      </x:c>
      <x:c r="H1478" s="11" t="str">
        <x:v>2026-08-25</x:v>
      </x:c>
      <x:c r="I1478" s="11" t="str">
        <x:v>https://static.cninfo.com.cn/finalpage/2026-08-25/1225498030.PDF</x:v>
      </x:c>
      <x:c r="J1478" s="11" t="str"/>
      <x:c r="K1478" s="11" t="str">
        <x:v>待核</x:v>
      </x:c>
      <x:c r="L1478" s="11" t="str">
        <x:v>精确发布时间未核验</x:v>
      </x:c>
      <x:c r="M1478" s="11" t="str">
        <x:v>截止日前日期，盘中时分未核</x:v>
      </x:c>
    </x:row>
    <x:row r="1479" ht="23" customHeight="1">
      <x:c r="A1479" s="11" t="str">
        <x:v>I018</x:v>
      </x:c>
      <x:c r="B1479" s="11" t="str">
        <x:v>688202.SH</x:v>
      </x:c>
      <x:c r="C1479" s="11" t="str">
        <x:v>taxExpense</x:v>
      </x:c>
      <x:c r="D1479" s="39" t="n">
        <x:v>2.01694638</x:v>
      </x:c>
      <x:c r="E1479" s="11" t="str">
        <x:v>CNY</x:v>
      </x:c>
      <x:c r="F1479" s="11" t="str">
        <x:v>million</x:v>
      </x:c>
      <x:c r="G1479" s="11" t="str">
        <x:v>2026H1</x:v>
      </x:c>
      <x:c r="H1479" s="11" t="str">
        <x:v>2026-08-25</x:v>
      </x:c>
      <x:c r="I1479" s="11" t="str">
        <x:v>https://static.cninfo.com.cn/finalpage/2026-08-25/1225498030.PDF</x:v>
      </x:c>
      <x:c r="J1479" s="11" t="str"/>
      <x:c r="K1479" s="11" t="str">
        <x:v>待核</x:v>
      </x:c>
      <x:c r="L1479" s="11" t="str">
        <x:v>精确发布时间未核验</x:v>
      </x:c>
      <x:c r="M1479" s="11" t="str">
        <x:v>截止日前日期，盘中时分未核</x:v>
      </x:c>
    </x:row>
    <x:row r="1480" ht="23" customHeight="1">
      <x:c r="A1480" s="11" t="str">
        <x:v>I018</x:v>
      </x:c>
      <x:c r="B1480" s="11" t="str">
        <x:v>688202.SH</x:v>
      </x:c>
      <x:c r="C1480" s="11" t="str">
        <x:v>creditLoss</x:v>
      </x:c>
      <x:c r="D1480" s="39" t="n">
        <x:v>25.55695047</x:v>
      </x:c>
      <x:c r="E1480" s="11" t="str">
        <x:v>CNY</x:v>
      </x:c>
      <x:c r="F1480" s="11" t="str">
        <x:v>million</x:v>
      </x:c>
      <x:c r="G1480" s="11" t="str">
        <x:v>2026H1</x:v>
      </x:c>
      <x:c r="H1480" s="11" t="str">
        <x:v>2026-08-25</x:v>
      </x:c>
      <x:c r="I1480" s="11" t="str">
        <x:v>https://static.cninfo.com.cn/finalpage/2026-08-25/1225498030.PDF</x:v>
      </x:c>
      <x:c r="J1480" s="11" t="str"/>
      <x:c r="K1480" s="11" t="str">
        <x:v>待核</x:v>
      </x:c>
      <x:c r="L1480" s="11" t="str">
        <x:v>精确发布时间未核验</x:v>
      </x:c>
      <x:c r="M1480" s="11" t="str">
        <x:v>截止日前日期，盘中时分未核</x:v>
      </x:c>
    </x:row>
    <x:row r="1481" ht="23" customHeight="1">
      <x:c r="A1481" s="11" t="str">
        <x:v>I018</x:v>
      </x:c>
      <x:c r="B1481" s="11" t="str">
        <x:v>688202.SH</x:v>
      </x:c>
      <x:c r="C1481" s="11" t="str">
        <x:v>assetImpairmentGain</x:v>
      </x:c>
      <x:c r="D1481" s="39" t="n">
        <x:v>0.44245813</x:v>
      </x:c>
      <x:c r="E1481" s="11" t="str">
        <x:v>CNY</x:v>
      </x:c>
      <x:c r="F1481" s="11" t="str">
        <x:v>million</x:v>
      </x:c>
      <x:c r="G1481" s="11" t="str">
        <x:v>2026H1</x:v>
      </x:c>
      <x:c r="H1481" s="11" t="str">
        <x:v>2026-08-25</x:v>
      </x:c>
      <x:c r="I1481" s="11" t="str">
        <x:v>https://static.cninfo.com.cn/finalpage/2026-08-25/1225498030.PDF</x:v>
      </x:c>
      <x:c r="J1481" s="11" t="str"/>
      <x:c r="K1481" s="11" t="str">
        <x:v>待核</x:v>
      </x:c>
      <x:c r="L1481" s="11" t="str">
        <x:v>精确发布时间未核验</x:v>
      </x:c>
      <x:c r="M1481" s="11" t="str">
        <x:v>截止日前日期，盘中时分未核</x:v>
      </x:c>
    </x:row>
    <x:row r="1482" ht="23" customHeight="1">
      <x:c r="A1482" s="11" t="str">
        <x:v>I018</x:v>
      </x:c>
      <x:c r="B1482" s="11" t="str">
        <x:v>688202.SH</x:v>
      </x:c>
      <x:c r="C1482" s="11" t="str">
        <x:v>depreciation</x:v>
      </x:c>
      <x:c r="D1482" s="39" t="n">
        <x:v>42.61860821</x:v>
      </x:c>
      <x:c r="E1482" s="11" t="str">
        <x:v>CNY</x:v>
      </x:c>
      <x:c r="F1482" s="11" t="str">
        <x:v>million</x:v>
      </x:c>
      <x:c r="G1482" s="11" t="str">
        <x:v>2026H1</x:v>
      </x:c>
      <x:c r="H1482" s="11" t="str">
        <x:v>2026-08-25</x:v>
      </x:c>
      <x:c r="I1482" s="11" t="str">
        <x:v>https://static.cninfo.com.cn/finalpage/2026-08-25/1225498030.PDF</x:v>
      </x:c>
      <x:c r="J1482" s="11" t="str"/>
      <x:c r="K1482" s="11" t="str">
        <x:v>待核</x:v>
      </x:c>
      <x:c r="L1482" s="11" t="str">
        <x:v>精确发布时间未核验</x:v>
      </x:c>
      <x:c r="M1482" s="11" t="str">
        <x:v>截止日前日期，盘中时分未核</x:v>
      </x:c>
    </x:row>
    <x:row r="1483" ht="23" customHeight="1">
      <x:c r="A1483" s="11" t="str">
        <x:v>I018</x:v>
      </x:c>
      <x:c r="B1483" s="11" t="str">
        <x:v>688202.SH</x:v>
      </x:c>
      <x:c r="C1483" s="11" t="str">
        <x:v>ROUAmortization</x:v>
      </x:c>
      <x:c r="D1483" s="39" t="n">
        <x:v>7.50015164</x:v>
      </x:c>
      <x:c r="E1483" s="11" t="str">
        <x:v>CNY</x:v>
      </x:c>
      <x:c r="F1483" s="11" t="str">
        <x:v>million</x:v>
      </x:c>
      <x:c r="G1483" s="11" t="str">
        <x:v>2026H1</x:v>
      </x:c>
      <x:c r="H1483" s="11" t="str">
        <x:v>2026-08-25</x:v>
      </x:c>
      <x:c r="I1483" s="11" t="str">
        <x:v>https://static.cninfo.com.cn/finalpage/2026-08-25/1225498030.PDF</x:v>
      </x:c>
      <x:c r="J1483" s="11" t="str"/>
      <x:c r="K1483" s="11" t="str">
        <x:v>待核</x:v>
      </x:c>
      <x:c r="L1483" s="11" t="str">
        <x:v>精确发布时间未核验</x:v>
      </x:c>
      <x:c r="M1483" s="11" t="str">
        <x:v>截止日前日期，盘中时分未核</x:v>
      </x:c>
    </x:row>
    <x:row r="1484" ht="23" customHeight="1">
      <x:c r="A1484" s="11" t="str">
        <x:v>I018</x:v>
      </x:c>
      <x:c r="B1484" s="11" t="str">
        <x:v>688202.SH</x:v>
      </x:c>
      <x:c r="C1484" s="11" t="str">
        <x:v>intangibleAmortization</x:v>
      </x:c>
      <x:c r="D1484" s="39" t="n">
        <x:v>4.62789211</x:v>
      </x:c>
      <x:c r="E1484" s="11" t="str">
        <x:v>CNY</x:v>
      </x:c>
      <x:c r="F1484" s="11" t="str">
        <x:v>million</x:v>
      </x:c>
      <x:c r="G1484" s="11" t="str">
        <x:v>2026H1</x:v>
      </x:c>
      <x:c r="H1484" s="11" t="str">
        <x:v>2026-08-25</x:v>
      </x:c>
      <x:c r="I1484" s="11" t="str">
        <x:v>https://static.cninfo.com.cn/finalpage/2026-08-25/1225498030.PDF</x:v>
      </x:c>
      <x:c r="J1484" s="11" t="str"/>
      <x:c r="K1484" s="11" t="str">
        <x:v>待核</x:v>
      </x:c>
      <x:c r="L1484" s="11" t="str">
        <x:v>精确发布时间未核验</x:v>
      </x:c>
      <x:c r="M1484" s="11" t="str">
        <x:v>截止日前日期，盘中时分未核</x:v>
      </x:c>
    </x:row>
    <x:row r="1485" ht="23" customHeight="1">
      <x:c r="A1485" s="11" t="str">
        <x:v>I018</x:v>
      </x:c>
      <x:c r="B1485" s="11" t="str">
        <x:v>688202.SH</x:v>
      </x:c>
      <x:c r="C1485" s="11" t="str">
        <x:v>longDeferredAmortization</x:v>
      </x:c>
      <x:c r="D1485" s="39" t="n">
        <x:v>11.73010702</x:v>
      </x:c>
      <x:c r="E1485" s="11" t="str">
        <x:v>CNY</x:v>
      </x:c>
      <x:c r="F1485" s="11" t="str">
        <x:v>million</x:v>
      </x:c>
      <x:c r="G1485" s="11" t="str">
        <x:v>2026H1</x:v>
      </x:c>
      <x:c r="H1485" s="11" t="str">
        <x:v>2026-08-25</x:v>
      </x:c>
      <x:c r="I1485" s="11" t="str">
        <x:v>https://static.cninfo.com.cn/finalpage/2026-08-25/1225498030.PDF</x:v>
      </x:c>
      <x:c r="J1485" s="11" t="str"/>
      <x:c r="K1485" s="11" t="str">
        <x:v>待核</x:v>
      </x:c>
      <x:c r="L1485" s="11" t="str">
        <x:v>精确发布时间未核验</x:v>
      </x:c>
      <x:c r="M1485" s="11" t="str">
        <x:v>截止日前日期，盘中时分未核</x:v>
      </x:c>
    </x:row>
    <x:row r="1486" ht="23" customHeight="1">
      <x:c r="A1486" s="11" t="str">
        <x:v>I018</x:v>
      </x:c>
      <x:c r="B1486" s="11" t="str">
        <x:v>688202.SH</x:v>
      </x:c>
      <x:c r="C1486" s="11" t="str">
        <x:v>inventoryCashIncrease</x:v>
      </x:c>
      <x:c r="D1486" s="39" t="n">
        <x:v>96.1598192</x:v>
      </x:c>
      <x:c r="E1486" s="11" t="str">
        <x:v>CNY</x:v>
      </x:c>
      <x:c r="F1486" s="11" t="str">
        <x:v>million</x:v>
      </x:c>
      <x:c r="G1486" s="11" t="str">
        <x:v>2026H1</x:v>
      </x:c>
      <x:c r="H1486" s="11" t="str">
        <x:v>2026-08-25</x:v>
      </x:c>
      <x:c r="I1486" s="11" t="str">
        <x:v>https://static.cninfo.com.cn/finalpage/2026-08-25/1225498030.PDF</x:v>
      </x:c>
      <x:c r="J1486" s="11" t="str"/>
      <x:c r="K1486" s="11" t="str">
        <x:v>待核</x:v>
      </x:c>
      <x:c r="L1486" s="11" t="str">
        <x:v>精确发布时间未核验</x:v>
      </x:c>
      <x:c r="M1486" s="11" t="str">
        <x:v>截止日前日期，盘中时分未核</x:v>
      </x:c>
    </x:row>
    <x:row r="1487" ht="23" customHeight="1">
      <x:c r="A1487" s="11" t="str">
        <x:v>I018</x:v>
      </x:c>
      <x:c r="B1487" s="11" t="str">
        <x:v>688202.SH</x:v>
      </x:c>
      <x:c r="C1487" s="11" t="str">
        <x:v>operatingReceivableCashIncrease</x:v>
      </x:c>
      <x:c r="D1487" s="39" t="n">
        <x:v>155.37258318</x:v>
      </x:c>
      <x:c r="E1487" s="11" t="str">
        <x:v>CNY</x:v>
      </x:c>
      <x:c r="F1487" s="11" t="str">
        <x:v>million</x:v>
      </x:c>
      <x:c r="G1487" s="11" t="str">
        <x:v>2026H1</x:v>
      </x:c>
      <x:c r="H1487" s="11" t="str">
        <x:v>2026-08-25</x:v>
      </x:c>
      <x:c r="I1487" s="11" t="str">
        <x:v>https://static.cninfo.com.cn/finalpage/2026-08-25/1225498030.PDF</x:v>
      </x:c>
      <x:c r="J1487" s="11" t="str"/>
      <x:c r="K1487" s="11" t="str">
        <x:v>待核</x:v>
      </x:c>
      <x:c r="L1487" s="11" t="str">
        <x:v>精确发布时间未核验</x:v>
      </x:c>
      <x:c r="M1487" s="11" t="str">
        <x:v>截止日前日期，盘中时分未核</x:v>
      </x:c>
    </x:row>
    <x:row r="1488" ht="23" customHeight="1">
      <x:c r="A1488" s="11" t="str">
        <x:v>I018</x:v>
      </x:c>
      <x:c r="B1488" s="11" t="str">
        <x:v>688202.SH</x:v>
      </x:c>
      <x:c r="C1488" s="11" t="str">
        <x:v>operatingPayableCashIncrease</x:v>
      </x:c>
      <x:c r="D1488" s="39" t="n">
        <x:v>242.60241414</x:v>
      </x:c>
      <x:c r="E1488" s="11" t="str">
        <x:v>CNY</x:v>
      </x:c>
      <x:c r="F1488" s="11" t="str">
        <x:v>million</x:v>
      </x:c>
      <x:c r="G1488" s="11" t="str">
        <x:v>2026H1</x:v>
      </x:c>
      <x:c r="H1488" s="11" t="str">
        <x:v>2026-08-25</x:v>
      </x:c>
      <x:c r="I1488" s="11" t="str">
        <x:v>https://static.cninfo.com.cn/finalpage/2026-08-25/1225498030.PDF</x:v>
      </x:c>
      <x:c r="J1488" s="11" t="str"/>
      <x:c r="K1488" s="11" t="str">
        <x:v>待核</x:v>
      </x:c>
      <x:c r="L1488" s="11" t="str">
        <x:v>精确发布时间未核验</x:v>
      </x:c>
      <x:c r="M1488" s="11" t="str">
        <x:v>截止日前日期，盘中时分未核</x:v>
      </x:c>
    </x:row>
    <x:row r="1489" ht="23" customHeight="1">
      <x:c r="A1489" s="11" t="str">
        <x:v>I018</x:v>
      </x:c>
      <x:c r="B1489" s="11" t="str">
        <x:v>688202.SH</x:v>
      </x:c>
      <x:c r="C1489" s="11" t="str">
        <x:v>newOrdersMillionCompanyRounded</x:v>
      </x:c>
      <x:c r="D1489" s="39" t="n">
        <x:v>1233</x:v>
      </x:c>
      <x:c r="E1489" s="11" t="str">
        <x:v>CNY</x:v>
      </x:c>
      <x:c r="F1489" s="11" t="str">
        <x:v>million</x:v>
      </x:c>
      <x:c r="G1489" s="11" t="str">
        <x:v>2026H1</x:v>
      </x:c>
      <x:c r="H1489" s="11" t="str">
        <x:v>2026-08-25</x:v>
      </x:c>
      <x:c r="I1489" s="11" t="str">
        <x:v>https://static.cninfo.com.cn/finalpage/2026-08-25/1225498030.PDF</x:v>
      </x:c>
      <x:c r="J1489" s="11" t="str"/>
      <x:c r="K1489" s="11" t="str">
        <x:v>待核</x:v>
      </x:c>
      <x:c r="L1489" s="11" t="str">
        <x:v>精确发布时间未核验</x:v>
      </x:c>
      <x:c r="M1489" s="11" t="str">
        <x:v>截止日前日期，盘中时分未核</x:v>
      </x:c>
    </x:row>
    <x:row r="1490" ht="23" customHeight="1">
      <x:c r="A1490" s="11" t="str">
        <x:v>I018</x:v>
      </x:c>
      <x:c r="B1490" s="11" t="str">
        <x:v>688202.SH</x:v>
      </x:c>
      <x:c r="C1490" s="11" t="str">
        <x:v>newOrderGrowthPct</x:v>
      </x:c>
      <x:c r="D1490" s="39" t="n">
        <x:v>104.74</x:v>
      </x:c>
      <x:c r="E1490" s="11" t="str">
        <x:v>not monetary</x:v>
      </x:c>
      <x:c r="F1490" s="11" t="str">
        <x:v>percent</x:v>
      </x:c>
      <x:c r="G1490" s="11" t="str">
        <x:v>2026H1</x:v>
      </x:c>
      <x:c r="H1490" s="11" t="str">
        <x:v>2026-08-25</x:v>
      </x:c>
      <x:c r="I1490" s="11" t="str">
        <x:v>https://static.cninfo.com.cn/finalpage/2026-08-25/1225498030.PDF</x:v>
      </x:c>
      <x:c r="J1490" s="11" t="str"/>
      <x:c r="K1490" s="11" t="str">
        <x:v>待核</x:v>
      </x:c>
      <x:c r="L1490" s="11" t="str">
        <x:v>精确发布时间未核验</x:v>
      </x:c>
      <x:c r="M1490" s="11" t="str">
        <x:v>截止日前日期，盘中时分未核</x:v>
      </x:c>
    </x:row>
    <x:row r="1491" ht="23" customHeight="1">
      <x:c r="A1491" s="11" t="str">
        <x:v>I018</x:v>
      </x:c>
      <x:c r="B1491" s="11" t="str">
        <x:v>688202.SH</x:v>
      </x:c>
      <x:c r="C1491" s="11" t="str">
        <x:v>employees</x:v>
      </x:c>
      <x:c r="D1491" s="39" t="n">
        <x:v>2780</x:v>
      </x:c>
      <x:c r="E1491" s="11" t="str">
        <x:v>CNY</x:v>
      </x:c>
      <x:c r="F1491" s="11" t="str">
        <x:v>million</x:v>
      </x:c>
      <x:c r="G1491" s="11" t="str">
        <x:v>2026H1</x:v>
      </x:c>
      <x:c r="H1491" s="11" t="str">
        <x:v>2026-08-25</x:v>
      </x:c>
      <x:c r="I1491" s="11" t="str">
        <x:v>https://static.cninfo.com.cn/finalpage/2026-08-25/1225498030.PDF</x:v>
      </x:c>
      <x:c r="J1491" s="11" t="str"/>
      <x:c r="K1491" s="11" t="str">
        <x:v>待核</x:v>
      </x:c>
      <x:c r="L1491" s="11" t="str">
        <x:v>精确发布时间未核验</x:v>
      </x:c>
      <x:c r="M1491" s="11" t="str">
        <x:v>截止日前日期，盘中时分未核</x:v>
      </x:c>
    </x:row>
    <x:row r="1492" ht="23" customHeight="1">
      <x:c r="A1492" s="11" t="str">
        <x:v>I018</x:v>
      </x:c>
      <x:c r="B1492" s="11" t="str">
        <x:v>688202.SH</x:v>
      </x:c>
      <x:c r="C1492" s="11" t="str">
        <x:v>employeeYOYGrowthPct</x:v>
      </x:c>
      <x:c r="D1492" s="39" t="n">
        <x:v>22.52</x:v>
      </x:c>
      <x:c r="E1492" s="11" t="str">
        <x:v>not monetary</x:v>
      </x:c>
      <x:c r="F1492" s="11" t="str">
        <x:v>percent</x:v>
      </x:c>
      <x:c r="G1492" s="11" t="str">
        <x:v>2026H1</x:v>
      </x:c>
      <x:c r="H1492" s="11" t="str">
        <x:v>2026-08-25</x:v>
      </x:c>
      <x:c r="I1492" s="11" t="str">
        <x:v>https://static.cninfo.com.cn/finalpage/2026-08-25/1225498030.PDF</x:v>
      </x:c>
      <x:c r="J1492" s="11" t="str"/>
      <x:c r="K1492" s="11" t="str">
        <x:v>待核</x:v>
      </x:c>
      <x:c r="L1492" s="11" t="str">
        <x:v>精确发布时间未核验</x:v>
      </x:c>
      <x:c r="M1492" s="11" t="str">
        <x:v>截止日前日期，盘中时分未核</x:v>
      </x:c>
    </x:row>
    <x:row r="1493" ht="23" customHeight="1">
      <x:c r="A1493" s="11" t="str">
        <x:v>I018</x:v>
      </x:c>
      <x:c r="B1493" s="11" t="str">
        <x:v>688202.SH</x:v>
      </x:c>
      <x:c r="C1493" s="11" t="str">
        <x:v>dualCNUSStudyRevenueRounded</x:v>
      </x:c>
      <x:c r="D1493" s="39" t="n">
        <x:v>167</x:v>
      </x:c>
      <x:c r="E1493" s="11" t="str">
        <x:v>CNY</x:v>
      </x:c>
      <x:c r="F1493" s="11" t="str">
        <x:v>million</x:v>
      </x:c>
      <x:c r="G1493" s="11" t="str">
        <x:v>2026H1</x:v>
      </x:c>
      <x:c r="H1493" s="11" t="str">
        <x:v>2026-08-25</x:v>
      </x:c>
      <x:c r="I1493" s="11" t="str">
        <x:v>https://static.cninfo.com.cn/finalpage/2026-08-25/1225498030.PDF</x:v>
      </x:c>
      <x:c r="J1493" s="11" t="str"/>
      <x:c r="K1493" s="11" t="str">
        <x:v>待核</x:v>
      </x:c>
      <x:c r="L1493" s="11" t="str">
        <x:v>精确发布时间未核验</x:v>
      </x:c>
      <x:c r="M1493" s="11" t="str">
        <x:v>截止日前日期，盘中时分未核</x:v>
      </x:c>
    </x:row>
    <x:row r="1494" ht="23" customHeight="1">
      <x:c r="A1494" s="11" t="str">
        <x:v>I018</x:v>
      </x:c>
      <x:c r="B1494" s="11" t="str">
        <x:v>688202.SH</x:v>
      </x:c>
      <x:c r="C1494" s="11" t="str">
        <x:v>dualCNUSSharePct</x:v>
      </x:c>
      <x:c r="D1494" s="39" t="n">
        <x:v>21.87</x:v>
      </x:c>
      <x:c r="E1494" s="11" t="str">
        <x:v>not monetary</x:v>
      </x:c>
      <x:c r="F1494" s="11" t="str">
        <x:v>percent</x:v>
      </x:c>
      <x:c r="G1494" s="11" t="str">
        <x:v>2026H1</x:v>
      </x:c>
      <x:c r="H1494" s="11" t="str">
        <x:v>2026-08-25</x:v>
      </x:c>
      <x:c r="I1494" s="11" t="str">
        <x:v>https://static.cninfo.com.cn/finalpage/2026-08-25/1225498030.PDF</x:v>
      </x:c>
      <x:c r="J1494" s="11" t="str"/>
      <x:c r="K1494" s="11" t="str">
        <x:v>待核</x:v>
      </x:c>
      <x:c r="L1494" s="11" t="str">
        <x:v>精确发布时间未核验</x:v>
      </x:c>
      <x:c r="M1494" s="11" t="str">
        <x:v>截止日前日期，盘中时分未核</x:v>
      </x:c>
    </x:row>
    <x:row r="1495" ht="23" customHeight="1">
      <x:c r="A1495" s="11" t="str">
        <x:v>I018</x:v>
      </x:c>
      <x:c r="B1495" s="11" t="str">
        <x:v>688202.SH</x:v>
      </x:c>
      <x:c r="C1495" s="11" t="str">
        <x:v>clientINDSuccessesH1</x:v>
      </x:c>
      <x:c r="D1495" s="39" t="n">
        <x:v>39</x:v>
      </x:c>
      <x:c r="E1495" s="11" t="str">
        <x:v>CNY</x:v>
      </x:c>
      <x:c r="F1495" s="11" t="str">
        <x:v>million</x:v>
      </x:c>
      <x:c r="G1495" s="11" t="str">
        <x:v>2026H1</x:v>
      </x:c>
      <x:c r="H1495" s="11" t="str">
        <x:v>2026-08-25</x:v>
      </x:c>
      <x:c r="I1495" s="11" t="str">
        <x:v>https://static.cninfo.com.cn/finalpage/2026-08-25/1225498030.PDF</x:v>
      </x:c>
      <x:c r="J1495" s="11" t="str"/>
      <x:c r="K1495" s="11" t="str">
        <x:v>待核</x:v>
      </x:c>
      <x:c r="L1495" s="11" t="str">
        <x:v>精确发布时间未核验</x:v>
      </x:c>
      <x:c r="M1495" s="11" t="str">
        <x:v>截止日前日期，盘中时分未核</x:v>
      </x:c>
    </x:row>
    <x:row r="1496" ht="23" customHeight="1">
      <x:c r="A1496" s="11" t="str">
        <x:v>I018</x:v>
      </x:c>
      <x:c r="B1496" s="11" t="str">
        <x:v>688202.SH</x:v>
      </x:c>
      <x:c r="C1496" s="11" t="str">
        <x:v>grossMarginPct</x:v>
      </x:c>
      <x:c r="D1496" s="39" t="n">
        <x:v>31.597112964579154</x:v>
      </x:c>
      <x:c r="E1496" s="11" t="str">
        <x:v>not monetary</x:v>
      </x:c>
      <x:c r="F1496" s="11" t="str">
        <x:v>percent</x:v>
      </x:c>
      <x:c r="G1496" s="11" t="str">
        <x:v>2026H1</x:v>
      </x:c>
      <x:c r="H1496" s="11" t="str">
        <x:v>2026-08-25</x:v>
      </x:c>
      <x:c r="I1496" s="11" t="str">
        <x:v>https://static.cninfo.com.cn/finalpage/2026-08-25/1225498030.PDF</x:v>
      </x:c>
      <x:c r="J1496" s="11" t="str"/>
      <x:c r="K1496" s="11" t="str">
        <x:v>待核</x:v>
      </x:c>
      <x:c r="L1496" s="11" t="str">
        <x:v>精确发布时间未核验</x:v>
      </x:c>
      <x:c r="M1496" s="11" t="str">
        <x:v>截止日前日期，盘中时分未核</x:v>
      </x:c>
    </x:row>
    <x:row r="1497" ht="23" customHeight="1">
      <x:c r="A1497" s="11" t="str">
        <x:v>I078</x:v>
      </x:c>
      <x:c r="B1497" s="11" t="str">
        <x:v>03690.HK</x:v>
      </x:c>
      <x:c r="C1497" s="11" t="str">
        <x:v>revenueCNYmillion</x:v>
      </x:c>
      <x:c r="D1497" s="39" t="n">
        <x:v>364854.746</x:v>
      </x:c>
      <x:c r="E1497" s="11" t="str">
        <x:v>CNY</x:v>
      </x:c>
      <x:c r="F1497" s="11" t="str">
        <x:v>CNY million</x:v>
      </x:c>
      <x:c r="G1497" s="11" t="str">
        <x:v>FY2025</x:v>
      </x:c>
      <x:c r="H1497" s="11" t="str">
        <x:v>2026-04-24官网年报；董事会日期2026-03-26</x:v>
      </x:c>
      <x:c r="I1497" s="11" t="str">
        <x:v>https://media-meituan.todayir.com/20260424065602168712120049_en.pdf</x:v>
      </x:c>
      <x:c r="J1497" s="11" t="str">
        <x:v>reported input</x:v>
      </x:c>
      <x:c r="K1497" s="11" t="str">
        <x:v>待核</x:v>
      </x:c>
      <x:c r="L1497" s="11" t="str">
        <x:v>精确发布时间未核验</x:v>
      </x:c>
      <x:c r="M1497" s="11" t="str">
        <x:v>截止日前日期，盘中时分未核</x:v>
      </x:c>
    </x:row>
    <x:row r="1498" ht="23" customHeight="1">
      <x:c r="A1498" s="11" t="str">
        <x:v>I078</x:v>
      </x:c>
      <x:c r="B1498" s="11" t="str">
        <x:v>03690.HK</x:v>
      </x:c>
      <x:c r="C1498" s="11" t="str">
        <x:v>revenue2024CNYmillion</x:v>
      </x:c>
      <x:c r="D1498" s="39" t="n">
        <x:v>337591.576</x:v>
      </x:c>
      <x:c r="E1498" s="11" t="str">
        <x:v>CNY</x:v>
      </x:c>
      <x:c r="F1498" s="11" t="str">
        <x:v>CNY million</x:v>
      </x:c>
      <x:c r="G1498" s="11" t="str">
        <x:v>FY2024</x:v>
      </x:c>
      <x:c r="H1498" s="11" t="str">
        <x:v>2026-04-24官网年报；董事会日期2026-03-26</x:v>
      </x:c>
      <x:c r="I1498" s="11" t="str">
        <x:v>https://media-meituan.todayir.com/20260424065602168712120049_en.pdf</x:v>
      </x:c>
      <x:c r="J1498" s="11" t="str">
        <x:v>reported input</x:v>
      </x:c>
      <x:c r="K1498" s="11" t="str">
        <x:v>待核</x:v>
      </x:c>
      <x:c r="L1498" s="11" t="str">
        <x:v>精确发布时间未核验</x:v>
      </x:c>
      <x:c r="M1498" s="11" t="str">
        <x:v>截止日前日期，盘中时分未核</x:v>
      </x:c>
    </x:row>
    <x:row r="1499" ht="23" customHeight="1">
      <x:c r="A1499" s="11" t="str">
        <x:v>I078</x:v>
      </x:c>
      <x:c r="B1499" s="11" t="str">
        <x:v>03690.HK</x:v>
      </x:c>
      <x:c r="C1499" s="11" t="str">
        <x:v>revenue2023CNYmillion</x:v>
      </x:c>
      <x:c r="D1499" s="39" t="n">
        <x:v>276744.954</x:v>
      </x:c>
      <x:c r="E1499" s="11" t="str">
        <x:v>CNY</x:v>
      </x:c>
      <x:c r="F1499" s="11" t="str">
        <x:v>CNY million</x:v>
      </x:c>
      <x:c r="G1499" s="11" t="str">
        <x:v>FY2023</x:v>
      </x:c>
      <x:c r="H1499" s="11" t="str">
        <x:v>2026-04-24官网年报；董事会日期2026-03-26</x:v>
      </x:c>
      <x:c r="I1499" s="11" t="str">
        <x:v>https://media-meituan.todayir.com/20260424065602168712120049_en.pdf</x:v>
      </x:c>
      <x:c r="J1499" s="11" t="str">
        <x:v>reported input</x:v>
      </x:c>
      <x:c r="K1499" s="11" t="str">
        <x:v>待核</x:v>
      </x:c>
      <x:c r="L1499" s="11" t="str">
        <x:v>精确发布时间未核验</x:v>
      </x:c>
      <x:c r="M1499" s="11" t="str">
        <x:v>截止日前日期，盘中时分未核</x:v>
      </x:c>
    </x:row>
    <x:row r="1500" ht="23" customHeight="1">
      <x:c r="A1500" s="11" t="str">
        <x:v>I078</x:v>
      </x:c>
      <x:c r="B1500" s="11" t="str">
        <x:v>03690.HK</x:v>
      </x:c>
      <x:c r="C1500" s="11" t="str">
        <x:v>profitAttributableCNYmillion</x:v>
      </x:c>
      <x:c r="D1500" s="39" t="n">
        <x:v>-23355.015</x:v>
      </x:c>
      <x:c r="E1500" s="11" t="str">
        <x:v>CNY</x:v>
      </x:c>
      <x:c r="F1500" s="11" t="str">
        <x:v>CNY million</x:v>
      </x:c>
      <x:c r="G1500" s="11" t="str">
        <x:v>FY2025</x:v>
      </x:c>
      <x:c r="H1500" s="11" t="str">
        <x:v>2026-04-24官网年报；董事会日期2026-03-26</x:v>
      </x:c>
      <x:c r="I1500" s="11" t="str">
        <x:v>https://media-meituan.todayir.com/20260424065602168712120049_en.pdf</x:v>
      </x:c>
      <x:c r="J1500" s="11" t="str">
        <x:v>reported input</x:v>
      </x:c>
      <x:c r="K1500" s="11" t="str">
        <x:v>待核</x:v>
      </x:c>
      <x:c r="L1500" s="11" t="str">
        <x:v>精确发布时间未核验</x:v>
      </x:c>
      <x:c r="M1500" s="11" t="str">
        <x:v>截止日前日期，盘中时分未核</x:v>
      </x:c>
    </x:row>
    <x:row r="1501" ht="23" customHeight="1">
      <x:c r="A1501" s="11" t="str">
        <x:v>I078</x:v>
      </x:c>
      <x:c r="B1501" s="11" t="str">
        <x:v>03690.HK</x:v>
      </x:c>
      <x:c r="C1501" s="11" t="str">
        <x:v>profitAttributable2024CNYmillion</x:v>
      </x:c>
      <x:c r="D1501" s="39" t="n">
        <x:v>35807.179</x:v>
      </x:c>
      <x:c r="E1501" s="11" t="str">
        <x:v>CNY</x:v>
      </x:c>
      <x:c r="F1501" s="11" t="str">
        <x:v>CNY million</x:v>
      </x:c>
      <x:c r="G1501" s="11" t="str">
        <x:v>FY2024</x:v>
      </x:c>
      <x:c r="H1501" s="11" t="str">
        <x:v>2026-04-24官网年报；董事会日期2026-03-26</x:v>
      </x:c>
      <x:c r="I1501" s="11" t="str">
        <x:v>https://media-meituan.todayir.com/20260424065602168712120049_en.pdf</x:v>
      </x:c>
      <x:c r="J1501" s="11" t="str">
        <x:v>reported input</x:v>
      </x:c>
      <x:c r="K1501" s="11" t="str">
        <x:v>待核</x:v>
      </x:c>
      <x:c r="L1501" s="11" t="str">
        <x:v>精确发布时间未核验</x:v>
      </x:c>
      <x:c r="M1501" s="11" t="str">
        <x:v>截止日前日期，盘中时分未核</x:v>
      </x:c>
    </x:row>
    <x:row r="1502" ht="23" customHeight="1">
      <x:c r="A1502" s="11" t="str">
        <x:v>I078</x:v>
      </x:c>
      <x:c r="B1502" s="11" t="str">
        <x:v>03690.HK</x:v>
      </x:c>
      <x:c r="C1502" s="11" t="str">
        <x:v>profitAttributable2023CNYmillion</x:v>
      </x:c>
      <x:c r="D1502" s="39" t="n">
        <x:v>13855.828</x:v>
      </x:c>
      <x:c r="E1502" s="11" t="str">
        <x:v>CNY</x:v>
      </x:c>
      <x:c r="F1502" s="11" t="str">
        <x:v>CNY million</x:v>
      </x:c>
      <x:c r="G1502" s="11" t="str">
        <x:v>FY2023</x:v>
      </x:c>
      <x:c r="H1502" s="11" t="str">
        <x:v>2026-04-24官网年报；董事会日期2026-03-26</x:v>
      </x:c>
      <x:c r="I1502" s="11" t="str">
        <x:v>https://media-meituan.todayir.com/20260424065602168712120049_en.pdf</x:v>
      </x:c>
      <x:c r="J1502" s="11" t="str">
        <x:v>reported input</x:v>
      </x:c>
      <x:c r="K1502" s="11" t="str">
        <x:v>待核</x:v>
      </x:c>
      <x:c r="L1502" s="11" t="str">
        <x:v>精确发布时间未核验</x:v>
      </x:c>
      <x:c r="M1502" s="11" t="str">
        <x:v>截止日前日期，盘中时分未核</x:v>
      </x:c>
    </x:row>
    <x:row r="1503" ht="23" customHeight="1">
      <x:c r="A1503" s="11" t="str">
        <x:v>I078</x:v>
      </x:c>
      <x:c r="B1503" s="11" t="str">
        <x:v>03690.HK</x:v>
      </x:c>
      <x:c r="C1503" s="11" t="str">
        <x:v>basicEPSCNY</x:v>
      </x:c>
      <x:c r="D1503" s="39" t="n">
        <x:v>-3.84</x:v>
      </x:c>
      <x:c r="E1503" s="11" t="str">
        <x:v>CNY</x:v>
      </x:c>
      <x:c r="F1503" s="11" t="str">
        <x:v>CNY/share</x:v>
      </x:c>
      <x:c r="G1503" s="11" t="str">
        <x:v>FY2025</x:v>
      </x:c>
      <x:c r="H1503" s="11" t="str">
        <x:v>2026-04-24官网年报；董事会日期2026-03-26</x:v>
      </x:c>
      <x:c r="I1503" s="11" t="str">
        <x:v>https://media-meituan.todayir.com/20260424065602168712120049_en.pdf</x:v>
      </x:c>
      <x:c r="J1503" s="11" t="str">
        <x:v>reported input</x:v>
      </x:c>
      <x:c r="K1503" s="11" t="str">
        <x:v>待核</x:v>
      </x:c>
      <x:c r="L1503" s="11" t="str">
        <x:v>精确发布时间未核验</x:v>
      </x:c>
      <x:c r="M1503" s="11" t="str">
        <x:v>截止日前日期，盘中时分未核</x:v>
      </x:c>
    </x:row>
    <x:row r="1504" ht="23" customHeight="1">
      <x:c r="A1504" s="11" t="str">
        <x:v>I078</x:v>
      </x:c>
      <x:c r="B1504" s="11" t="str">
        <x:v>03690.HK</x:v>
      </x:c>
      <x:c r="C1504" s="11" t="str">
        <x:v>dilutedEPSCNY</x:v>
      </x:c>
      <x:c r="D1504" s="39" t="n">
        <x:v>-3.92</x:v>
      </x:c>
      <x:c r="E1504" s="11" t="str">
        <x:v>CNY</x:v>
      </x:c>
      <x:c r="F1504" s="11" t="str">
        <x:v>CNY/share</x:v>
      </x:c>
      <x:c r="G1504" s="11" t="str">
        <x:v>FY2025</x:v>
      </x:c>
      <x:c r="H1504" s="11" t="str">
        <x:v>2026-04-24官网年报；董事会日期2026-03-26</x:v>
      </x:c>
      <x:c r="I1504" s="11" t="str">
        <x:v>https://media-meituan.todayir.com/20260424065602168712120049_en.pdf</x:v>
      </x:c>
      <x:c r="J1504" s="11" t="str">
        <x:v>reported input</x:v>
      </x:c>
      <x:c r="K1504" s="11" t="str">
        <x:v>待核</x:v>
      </x:c>
      <x:c r="L1504" s="11" t="str">
        <x:v>精确发布时间未核验</x:v>
      </x:c>
      <x:c r="M1504" s="11" t="str">
        <x:v>截止日前日期，盘中时分未核</x:v>
      </x:c>
    </x:row>
    <x:row r="1505" ht="23" customHeight="1">
      <x:c r="A1505" s="11" t="str">
        <x:v>I078</x:v>
      </x:c>
      <x:c r="B1505" s="11" t="str">
        <x:v>03690.HK</x:v>
      </x:c>
      <x:c r="C1505" s="11" t="str">
        <x:v>coreRevenueCNYmillion</x:v>
      </x:c>
      <x:c r="D1505" s="39" t="n">
        <x:v>260826.094</x:v>
      </x:c>
      <x:c r="E1505" s="11" t="str">
        <x:v>CNY</x:v>
      </x:c>
      <x:c r="F1505" s="11" t="str">
        <x:v>CNY million</x:v>
      </x:c>
      <x:c r="G1505" s="11" t="str">
        <x:v>FY2025</x:v>
      </x:c>
      <x:c r="H1505" s="11" t="str">
        <x:v>2026-04-24官网年报；董事会日期2026-03-26</x:v>
      </x:c>
      <x:c r="I1505" s="11" t="str">
        <x:v>https://media-meituan.todayir.com/20260424065602168712120049_en.pdf</x:v>
      </x:c>
      <x:c r="J1505" s="11" t="str">
        <x:v>reported input</x:v>
      </x:c>
      <x:c r="K1505" s="11" t="str">
        <x:v>待核</x:v>
      </x:c>
      <x:c r="L1505" s="11" t="str">
        <x:v>精确发布时间未核验</x:v>
      </x:c>
      <x:c r="M1505" s="11" t="str">
        <x:v>截止日前日期，盘中时分未核</x:v>
      </x:c>
    </x:row>
    <x:row r="1506" ht="23" customHeight="1">
      <x:c r="A1506" s="11" t="str">
        <x:v>I078</x:v>
      </x:c>
      <x:c r="B1506" s="11" t="str">
        <x:v>03690.HK</x:v>
      </x:c>
      <x:c r="C1506" s="11" t="str">
        <x:v>coreEBITCNYmillion</x:v>
      </x:c>
      <x:c r="D1506" s="39" t="n">
        <x:v>-6904.083</x:v>
      </x:c>
      <x:c r="E1506" s="11" t="str">
        <x:v>CNY</x:v>
      </x:c>
      <x:c r="F1506" s="11" t="str">
        <x:v>CNY million</x:v>
      </x:c>
      <x:c r="G1506" s="11" t="str">
        <x:v>FY2025</x:v>
      </x:c>
      <x:c r="H1506" s="11" t="str">
        <x:v>2026-04-24官网年报；董事会日期2026-03-26</x:v>
      </x:c>
      <x:c r="I1506" s="11" t="str">
        <x:v>https://media-meituan.todayir.com/20260424065602168712120049_en.pdf</x:v>
      </x:c>
      <x:c r="J1506" s="11" t="str">
        <x:v>reported input</x:v>
      </x:c>
      <x:c r="K1506" s="11" t="str">
        <x:v>待核</x:v>
      </x:c>
      <x:c r="L1506" s="11" t="str">
        <x:v>精确发布时间未核验</x:v>
      </x:c>
      <x:c r="M1506" s="11" t="str">
        <x:v>截止日前日期，盘中时分未核</x:v>
      </x:c>
    </x:row>
    <x:row r="1507" ht="23" customHeight="1">
      <x:c r="A1507" s="11" t="str">
        <x:v>I078</x:v>
      </x:c>
      <x:c r="B1507" s="11" t="str">
        <x:v>03690.HK</x:v>
      </x:c>
      <x:c r="C1507" s="11" t="str">
        <x:v>newRevenueCNYmillion</x:v>
      </x:c>
      <x:c r="D1507" s="39" t="n">
        <x:v>104028.652</x:v>
      </x:c>
      <x:c r="E1507" s="11" t="str">
        <x:v>CNY</x:v>
      </x:c>
      <x:c r="F1507" s="11" t="str">
        <x:v>CNY million</x:v>
      </x:c>
      <x:c r="G1507" s="11" t="str">
        <x:v>FY2025</x:v>
      </x:c>
      <x:c r="H1507" s="11" t="str">
        <x:v>2026-04-24官网年报；董事会日期2026-03-26</x:v>
      </x:c>
      <x:c r="I1507" s="11" t="str">
        <x:v>https://media-meituan.todayir.com/20260424065602168712120049_en.pdf</x:v>
      </x:c>
      <x:c r="J1507" s="11" t="str">
        <x:v>reported input</x:v>
      </x:c>
      <x:c r="K1507" s="11" t="str">
        <x:v>待核</x:v>
      </x:c>
      <x:c r="L1507" s="11" t="str">
        <x:v>精确发布时间未核验</x:v>
      </x:c>
      <x:c r="M1507" s="11" t="str">
        <x:v>截止日前日期，盘中时分未核</x:v>
      </x:c>
    </x:row>
    <x:row r="1508" ht="23" customHeight="1">
      <x:c r="A1508" s="11" t="str">
        <x:v>I078</x:v>
      </x:c>
      <x:c r="B1508" s="11" t="str">
        <x:v>03690.HK</x:v>
      </x:c>
      <x:c r="C1508" s="11" t="str">
        <x:v>newEBITCNYmillion</x:v>
      </x:c>
      <x:c r="D1508" s="39" t="n">
        <x:v>-10082.34</x:v>
      </x:c>
      <x:c r="E1508" s="11" t="str">
        <x:v>CNY</x:v>
      </x:c>
      <x:c r="F1508" s="11" t="str">
        <x:v>CNY million</x:v>
      </x:c>
      <x:c r="G1508" s="11" t="str">
        <x:v>FY2025</x:v>
      </x:c>
      <x:c r="H1508" s="11" t="str">
        <x:v>2026-04-24官网年报；董事会日期2026-03-26</x:v>
      </x:c>
      <x:c r="I1508" s="11" t="str">
        <x:v>https://media-meituan.todayir.com/20260424065602168712120049_en.pdf</x:v>
      </x:c>
      <x:c r="J1508" s="11" t="str">
        <x:v>reported input</x:v>
      </x:c>
      <x:c r="K1508" s="11" t="str">
        <x:v>待核</x:v>
      </x:c>
      <x:c r="L1508" s="11" t="str">
        <x:v>精确发布时间未核验</x:v>
      </x:c>
      <x:c r="M1508" s="11" t="str">
        <x:v>截止日前日期，盘中时分未核</x:v>
      </x:c>
    </x:row>
    <x:row r="1509" ht="23" customHeight="1">
      <x:c r="A1509" s="11" t="str">
        <x:v>I078</x:v>
      </x:c>
      <x:c r="B1509" s="11" t="str">
        <x:v>03690.HK</x:v>
      </x:c>
      <x:c r="C1509" s="11" t="str">
        <x:v>unallocatedEBITCNYmillion</x:v>
      </x:c>
      <x:c r="D1509" s="39" t="n">
        <x:v>-8054.714</x:v>
      </x:c>
      <x:c r="E1509" s="11" t="str">
        <x:v>CNY</x:v>
      </x:c>
      <x:c r="F1509" s="11" t="str">
        <x:v>CNY million</x:v>
      </x:c>
      <x:c r="G1509" s="11" t="str">
        <x:v>FY2025</x:v>
      </x:c>
      <x:c r="H1509" s="11" t="str">
        <x:v>2026-04-24官网年报；董事会日期2026-03-26</x:v>
      </x:c>
      <x:c r="I1509" s="11" t="str">
        <x:v>https://media-meituan.todayir.com/20260424065602168712120049_en.pdf</x:v>
      </x:c>
      <x:c r="J1509" s="11" t="str">
        <x:v>reported input</x:v>
      </x:c>
      <x:c r="K1509" s="11" t="str">
        <x:v>待核</x:v>
      </x:c>
      <x:c r="L1509" s="11" t="str">
        <x:v>精确发布时间未核验</x:v>
      </x:c>
      <x:c r="M1509" s="11" t="str">
        <x:v>截止日前日期，盘中时分未核</x:v>
      </x:c>
    </x:row>
    <x:row r="1510" ht="23" customHeight="1">
      <x:c r="A1510" s="11" t="str">
        <x:v>I078</x:v>
      </x:c>
      <x:c r="B1510" s="11" t="str">
        <x:v>03690.HK</x:v>
      </x:c>
      <x:c r="C1510" s="11" t="str">
        <x:v>coreRevenue2024CNYmillion</x:v>
      </x:c>
      <x:c r="D1510" s="39" t="n">
        <x:v>250247.496</x:v>
      </x:c>
      <x:c r="E1510" s="11" t="str">
        <x:v>CNY</x:v>
      </x:c>
      <x:c r="F1510" s="11" t="str">
        <x:v>CNY million</x:v>
      </x:c>
      <x:c r="G1510" s="11" t="str">
        <x:v>FY2024</x:v>
      </x:c>
      <x:c r="H1510" s="11" t="str">
        <x:v>2026-04-24官网年报；董事会日期2026-03-26</x:v>
      </x:c>
      <x:c r="I1510" s="11" t="str">
        <x:v>https://media-meituan.todayir.com/20260424065602168712120049_en.pdf</x:v>
      </x:c>
      <x:c r="J1510" s="11" t="str">
        <x:v>reported input</x:v>
      </x:c>
      <x:c r="K1510" s="11" t="str">
        <x:v>待核</x:v>
      </x:c>
      <x:c r="L1510" s="11" t="str">
        <x:v>精确发布时间未核验</x:v>
      </x:c>
      <x:c r="M1510" s="11" t="str">
        <x:v>截止日前日期，盘中时分未核</x:v>
      </x:c>
    </x:row>
    <x:row r="1511" ht="23" customHeight="1">
      <x:c r="A1511" s="11" t="str">
        <x:v>I078</x:v>
      </x:c>
      <x:c r="B1511" s="11" t="str">
        <x:v>03690.HK</x:v>
      </x:c>
      <x:c r="C1511" s="11" t="str">
        <x:v>coreEBIT2024CNYmillion</x:v>
      </x:c>
      <x:c r="D1511" s="39" t="n">
        <x:v>52415.162</x:v>
      </x:c>
      <x:c r="E1511" s="11" t="str">
        <x:v>CNY</x:v>
      </x:c>
      <x:c r="F1511" s="11" t="str">
        <x:v>CNY million</x:v>
      </x:c>
      <x:c r="G1511" s="11" t="str">
        <x:v>FY2024</x:v>
      </x:c>
      <x:c r="H1511" s="11" t="str">
        <x:v>2026-04-24官网年报；董事会日期2026-03-26</x:v>
      </x:c>
      <x:c r="I1511" s="11" t="str">
        <x:v>https://media-meituan.todayir.com/20260424065602168712120049_en.pdf</x:v>
      </x:c>
      <x:c r="J1511" s="11" t="str">
        <x:v>reported input</x:v>
      </x:c>
      <x:c r="K1511" s="11" t="str">
        <x:v>待核</x:v>
      </x:c>
      <x:c r="L1511" s="11" t="str">
        <x:v>精确发布时间未核验</x:v>
      </x:c>
      <x:c r="M1511" s="11" t="str">
        <x:v>截止日前日期，盘中时分未核</x:v>
      </x:c>
    </x:row>
    <x:row r="1512" ht="23" customHeight="1">
      <x:c r="A1512" s="11" t="str">
        <x:v>I078</x:v>
      </x:c>
      <x:c r="B1512" s="11" t="str">
        <x:v>03690.HK</x:v>
      </x:c>
      <x:c r="C1512" s="11" t="str">
        <x:v>OCFCNYmillion</x:v>
      </x:c>
      <x:c r="D1512" s="39" t="n">
        <x:v>-13815.001</x:v>
      </x:c>
      <x:c r="E1512" s="11" t="str">
        <x:v>CNY</x:v>
      </x:c>
      <x:c r="F1512" s="11" t="str">
        <x:v>CNY million</x:v>
      </x:c>
      <x:c r="G1512" s="11" t="str">
        <x:v>FY2025</x:v>
      </x:c>
      <x:c r="H1512" s="11" t="str">
        <x:v>2026-04-24官网年报；董事会日期2026-03-26</x:v>
      </x:c>
      <x:c r="I1512" s="11" t="str">
        <x:v>https://media-meituan.todayir.com/20260424065602168712120049_en.pdf</x:v>
      </x:c>
      <x:c r="J1512" s="11" t="str">
        <x:v>reported input</x:v>
      </x:c>
      <x:c r="K1512" s="11" t="str">
        <x:v>待核</x:v>
      </x:c>
      <x:c r="L1512" s="11" t="str">
        <x:v>精确发布时间未核验</x:v>
      </x:c>
      <x:c r="M1512" s="11" t="str">
        <x:v>截止日前日期，盘中时分未核</x:v>
      </x:c>
    </x:row>
    <x:row r="1513" ht="23" customHeight="1">
      <x:c r="A1513" s="11" t="str">
        <x:v>I078</x:v>
      </x:c>
      <x:c r="B1513" s="11" t="str">
        <x:v>03690.HK</x:v>
      </x:c>
      <x:c r="C1513" s="11" t="str">
        <x:v>cashPPEAndIntangibleCNYmillion</x:v>
      </x:c>
      <x:c r="D1513" s="39" t="n">
        <x:v>13270.708</x:v>
      </x:c>
      <x:c r="E1513" s="11" t="str">
        <x:v>CNY</x:v>
      </x:c>
      <x:c r="F1513" s="11" t="str">
        <x:v>CNY million</x:v>
      </x:c>
      <x:c r="G1513" s="11" t="str">
        <x:v>FY2025</x:v>
      </x:c>
      <x:c r="H1513" s="11" t="str">
        <x:v>2026-04-24官网年报；董事会日期2026-03-26</x:v>
      </x:c>
      <x:c r="I1513" s="11" t="str">
        <x:v>https://media-meituan.todayir.com/20260424065602168712120049_en.pdf</x:v>
      </x:c>
      <x:c r="J1513" s="11" t="str">
        <x:v>reported input</x:v>
      </x:c>
      <x:c r="K1513" s="11" t="str">
        <x:v>待核</x:v>
      </x:c>
      <x:c r="L1513" s="11" t="str">
        <x:v>精确发布时间未核验</x:v>
      </x:c>
      <x:c r="M1513" s="11" t="str">
        <x:v>截止日前日期，盘中时分未核</x:v>
      </x:c>
    </x:row>
    <x:row r="1514" ht="23" customHeight="1">
      <x:c r="A1514" s="11" t="str">
        <x:v>I078</x:v>
      </x:c>
      <x:c r="B1514" s="11" t="str">
        <x:v>03690.HK</x:v>
      </x:c>
      <x:c r="C1514" s="11" t="str">
        <x:v>FCFResearchProxyCNYmillion</x:v>
      </x:c>
      <x:c r="D1514" s="39" t="n">
        <x:v>-27085.709</x:v>
      </x:c>
      <x:c r="E1514" s="11" t="str">
        <x:v>CNY</x:v>
      </x:c>
      <x:c r="F1514" s="11" t="str">
        <x:v>CNY million</x:v>
      </x:c>
      <x:c r="G1514" s="11" t="str">
        <x:v>FY2025</x:v>
      </x:c>
      <x:c r="H1514" s="11" t="str">
        <x:v>2026-04-24官网年报；董事会日期2026-03-26</x:v>
      </x:c>
      <x:c r="I1514" s="11" t="str">
        <x:v>https://media-meituan.todayir.com/20260424065602168712120049_en.pdf</x:v>
      </x:c>
      <x:c r="J1514" s="11" t="str">
        <x:v>research calculation from primary inputs</x:v>
      </x:c>
      <x:c r="K1514" s="11" t="str">
        <x:v>待核</x:v>
      </x:c>
      <x:c r="L1514" s="11" t="str">
        <x:v>精确发布时间未核验</x:v>
      </x:c>
      <x:c r="M1514" s="11" t="str">
        <x:v>截止日前日期，盘中时分未核</x:v>
      </x:c>
    </x:row>
    <x:row r="1515" ht="23" customHeight="1">
      <x:c r="A1515" s="11" t="str">
        <x:v>I078</x:v>
      </x:c>
      <x:c r="B1515" s="11" t="str">
        <x:v>03690.HK</x:v>
      </x:c>
      <x:c r="C1515" s="11" t="str">
        <x:v>leaseCashCNYmillion</x:v>
      </x:c>
      <x:c r="D1515" s="39" t="n">
        <x:v>3334.579</x:v>
      </x:c>
      <x:c r="E1515" s="11" t="str">
        <x:v>CNY</x:v>
      </x:c>
      <x:c r="F1515" s="11" t="str">
        <x:v>CNY million</x:v>
      </x:c>
      <x:c r="G1515" s="11" t="str">
        <x:v>FY2025</x:v>
      </x:c>
      <x:c r="H1515" s="11" t="str">
        <x:v>2026-04-24官网年报；董事会日期2026-03-26</x:v>
      </x:c>
      <x:c r="I1515" s="11" t="str">
        <x:v>https://media-meituan.todayir.com/20260424065602168712120049_en.pdf</x:v>
      </x:c>
      <x:c r="J1515" s="11" t="str">
        <x:v>reported input</x:v>
      </x:c>
      <x:c r="K1515" s="11" t="str">
        <x:v>待核</x:v>
      </x:c>
      <x:c r="L1515" s="11" t="str">
        <x:v>精确发布时间未核验</x:v>
      </x:c>
      <x:c r="M1515" s="11" t="str">
        <x:v>截止日前日期，盘中时分未核</x:v>
      </x:c>
    </x:row>
    <x:row r="1516" ht="23" customHeight="1">
      <x:c r="A1516" s="11" t="str">
        <x:v>I078</x:v>
      </x:c>
      <x:c r="B1516" s="11" t="str">
        <x:v>03690.HK</x:v>
      </x:c>
      <x:c r="C1516" s="11" t="str">
        <x:v>FCFAfterLeaseResearchCNYmillion</x:v>
      </x:c>
      <x:c r="D1516" s="39" t="n">
        <x:v>-30420.288</x:v>
      </x:c>
      <x:c r="E1516" s="11" t="str">
        <x:v>CNY</x:v>
      </x:c>
      <x:c r="F1516" s="11" t="str">
        <x:v>CNY million</x:v>
      </x:c>
      <x:c r="G1516" s="11" t="str">
        <x:v>FY2025</x:v>
      </x:c>
      <x:c r="H1516" s="11" t="str">
        <x:v>2026-04-24官网年报；董事会日期2026-03-26</x:v>
      </x:c>
      <x:c r="I1516" s="11" t="str">
        <x:v>https://media-meituan.todayir.com/20260424065602168712120049_en.pdf</x:v>
      </x:c>
      <x:c r="J1516" s="11" t="str">
        <x:v>research calculation from primary inputs</x:v>
      </x:c>
      <x:c r="K1516" s="11" t="str">
        <x:v>待核</x:v>
      </x:c>
      <x:c r="L1516" s="11" t="str">
        <x:v>精确发布时间未核验</x:v>
      </x:c>
      <x:c r="M1516" s="11" t="str">
        <x:v>截止日前日期，盘中时分未核</x:v>
      </x:c>
    </x:row>
    <x:row r="1517" ht="23" customHeight="1">
      <x:c r="A1517" s="11" t="str">
        <x:v>I078</x:v>
      </x:c>
      <x:c r="B1517" s="11" t="str">
        <x:v>03690.HK</x:v>
      </x:c>
      <x:c r="C1517" s="11" t="str">
        <x:v>SellingMarketingCNYmillion</x:v>
      </x:c>
      <x:c r="D1517" s="39" t="n">
        <x:v>102934.044</x:v>
      </x:c>
      <x:c r="E1517" s="11" t="str">
        <x:v>CNY</x:v>
      </x:c>
      <x:c r="F1517" s="11" t="str">
        <x:v>CNY million</x:v>
      </x:c>
      <x:c r="G1517" s="11" t="str">
        <x:v>FY2025</x:v>
      </x:c>
      <x:c r="H1517" s="11" t="str">
        <x:v>2026-04-24官网年报；董事会日期2026-03-26</x:v>
      </x:c>
      <x:c r="I1517" s="11" t="str">
        <x:v>https://media-meituan.todayir.com/20260424065602168712120049_en.pdf</x:v>
      </x:c>
      <x:c r="J1517" s="11" t="str">
        <x:v>reported input</x:v>
      </x:c>
      <x:c r="K1517" s="11" t="str">
        <x:v>待核</x:v>
      </x:c>
      <x:c r="L1517" s="11" t="str">
        <x:v>精确发布时间未核验</x:v>
      </x:c>
      <x:c r="M1517" s="11" t="str">
        <x:v>截止日前日期，盘中时分未核</x:v>
      </x:c>
    </x:row>
    <x:row r="1518" ht="23" customHeight="1">
      <x:c r="A1518" s="11" t="str">
        <x:v>I078</x:v>
      </x:c>
      <x:c r="B1518" s="11" t="str">
        <x:v>03690.HK</x:v>
      </x:c>
      <x:c r="C1518" s="11" t="str">
        <x:v>RDCNYmillion</x:v>
      </x:c>
      <x:c r="D1518" s="39" t="n">
        <x:v>25998.265</x:v>
      </x:c>
      <x:c r="E1518" s="11" t="str">
        <x:v>CNY</x:v>
      </x:c>
      <x:c r="F1518" s="11" t="str">
        <x:v>CNY million</x:v>
      </x:c>
      <x:c r="G1518" s="11" t="str">
        <x:v>FY2025</x:v>
      </x:c>
      <x:c r="H1518" s="11" t="str">
        <x:v>2026-04-24官网年报；董事会日期2026-03-26</x:v>
      </x:c>
      <x:c r="I1518" s="11" t="str">
        <x:v>https://media-meituan.todayir.com/20260424065602168712120049_en.pdf</x:v>
      </x:c>
      <x:c r="J1518" s="11" t="str">
        <x:v>reported input</x:v>
      </x:c>
      <x:c r="K1518" s="11" t="str">
        <x:v>待核</x:v>
      </x:c>
      <x:c r="L1518" s="11" t="str">
        <x:v>精确发布时间未核验</x:v>
      </x:c>
      <x:c r="M1518" s="11" t="str">
        <x:v>截止日前日期，盘中时分未核</x:v>
      </x:c>
    </x:row>
    <x:row r="1519" ht="23" customHeight="1">
      <x:c r="A1519" s="11" t="str">
        <x:v>I078</x:v>
      </x:c>
      <x:c r="B1519" s="11" t="str">
        <x:v>03690.HK</x:v>
      </x:c>
      <x:c r="C1519" s="11" t="str">
        <x:v>revenueCNYmillion</x:v>
      </x:c>
      <x:c r="D1519" s="39" t="n">
        <x:v>195681.95</x:v>
      </x:c>
      <x:c r="E1519" s="11" t="str">
        <x:v>CNY</x:v>
      </x:c>
      <x:c r="F1519" s="11" t="str">
        <x:v>CNY million</x:v>
      </x:c>
      <x:c r="G1519" s="11" t="str">
        <x:v>2026H1</x:v>
      </x:c>
      <x:c r="H1519" s="11" t="str">
        <x:v>2026-09-29官网中报；Q2结果2026-08-28 17:31闭市后</x:v>
      </x:c>
      <x:c r="I1519" s="11" t="str">
        <x:v>https://media-meituan.todayir.com/20260929060801160312349730_en.pdf</x:v>
      </x:c>
      <x:c r="J1519" s="11" t="str">
        <x:v>reported input</x:v>
      </x:c>
      <x:c r="K1519" s="11" t="str">
        <x:v>待核</x:v>
      </x:c>
      <x:c r="L1519" s="11" t="str">
        <x:v>精确发布时间未核验</x:v>
      </x:c>
      <x:c r="M1519" s="11" t="str">
        <x:v>截止日前日期，盘中时分未核</x:v>
      </x:c>
    </x:row>
    <x:row r="1520" ht="23" customHeight="1">
      <x:c r="A1520" s="11" t="str">
        <x:v>I078</x:v>
      </x:c>
      <x:c r="B1520" s="11" t="str">
        <x:v>03690.HK</x:v>
      </x:c>
      <x:c r="C1520" s="11" t="str">
        <x:v>profitAttributableCNYmillion</x:v>
      </x:c>
      <x:c r="D1520" s="39" t="n">
        <x:v>-4672.487</x:v>
      </x:c>
      <x:c r="E1520" s="11" t="str">
        <x:v>CNY</x:v>
      </x:c>
      <x:c r="F1520" s="11" t="str">
        <x:v>CNY million</x:v>
      </x:c>
      <x:c r="G1520" s="11" t="str">
        <x:v>2026H1</x:v>
      </x:c>
      <x:c r="H1520" s="11" t="str">
        <x:v>2026-09-29官网中报；Q2结果2026-08-28 17:31闭市后</x:v>
      </x:c>
      <x:c r="I1520" s="11" t="str">
        <x:v>https://media-meituan.todayir.com/20260929060801160312349730_en.pdf</x:v>
      </x:c>
      <x:c r="J1520" s="11" t="str">
        <x:v>reported input</x:v>
      </x:c>
      <x:c r="K1520" s="11" t="str">
        <x:v>待核</x:v>
      </x:c>
      <x:c r="L1520" s="11" t="str">
        <x:v>精确发布时间未核验</x:v>
      </x:c>
      <x:c r="M1520" s="11" t="str">
        <x:v>截止日前日期，盘中时分未核</x:v>
      </x:c>
    </x:row>
    <x:row r="1521" ht="23" customHeight="1">
      <x:c r="A1521" s="11" t="str">
        <x:v>I078</x:v>
      </x:c>
      <x:c r="B1521" s="11" t="str">
        <x:v>03690.HK</x:v>
      </x:c>
      <x:c r="C1521" s="11" t="str">
        <x:v>groupProfitCNYmillion</x:v>
      </x:c>
      <x:c r="D1521" s="39" t="n">
        <x:v>-4672.036</x:v>
      </x:c>
      <x:c r="E1521" s="11" t="str">
        <x:v>CNY</x:v>
      </x:c>
      <x:c r="F1521" s="11" t="str">
        <x:v>CNY million</x:v>
      </x:c>
      <x:c r="G1521" s="11" t="str">
        <x:v>2026H1</x:v>
      </x:c>
      <x:c r="H1521" s="11" t="str">
        <x:v>2026-09-29官网中报；Q2结果2026-08-28 17:31闭市后</x:v>
      </x:c>
      <x:c r="I1521" s="11" t="str">
        <x:v>https://media-meituan.todayir.com/20260929060801160312349730_en.pdf</x:v>
      </x:c>
      <x:c r="J1521" s="11" t="str">
        <x:v>reported input</x:v>
      </x:c>
      <x:c r="K1521" s="11" t="str">
        <x:v>待核</x:v>
      </x:c>
      <x:c r="L1521" s="11" t="str">
        <x:v>精确发布时间未核验</x:v>
      </x:c>
      <x:c r="M1521" s="11" t="str">
        <x:v>截止日前日期，盘中时分未核</x:v>
      </x:c>
    </x:row>
    <x:row r="1522" ht="23" customHeight="1">
      <x:c r="A1522" s="11" t="str">
        <x:v>I078</x:v>
      </x:c>
      <x:c r="B1522" s="11" t="str">
        <x:v>03690.HK</x:v>
      </x:c>
      <x:c r="C1522" s="11" t="str">
        <x:v>adjustedGroupProfitCNYmillion</x:v>
      </x:c>
      <x:c r="D1522" s="39" t="n">
        <x:v>-2444.27</x:v>
      </x:c>
      <x:c r="E1522" s="11" t="str">
        <x:v>CNY</x:v>
      </x:c>
      <x:c r="F1522" s="11" t="str">
        <x:v>CNY million</x:v>
      </x:c>
      <x:c r="G1522" s="11" t="str">
        <x:v>2026H1</x:v>
      </x:c>
      <x:c r="H1522" s="11" t="str">
        <x:v>2026-09-29官网中报；Q2结果2026-08-28 17:31闭市后</x:v>
      </x:c>
      <x:c r="I1522" s="11" t="str">
        <x:v>https://media-meituan.todayir.com/20260929060801160312349730_en.pdf</x:v>
      </x:c>
      <x:c r="J1522" s="11" t="str">
        <x:v>reported input</x:v>
      </x:c>
      <x:c r="K1522" s="11" t="str">
        <x:v>待核</x:v>
      </x:c>
      <x:c r="L1522" s="11" t="str">
        <x:v>精确发布时间未核验</x:v>
      </x:c>
      <x:c r="M1522" s="11" t="str">
        <x:v>截止日前日期，盘中时分未核</x:v>
      </x:c>
    </x:row>
    <x:row r="1523" ht="23" customHeight="1">
      <x:c r="A1523" s="11" t="str">
        <x:v>I078</x:v>
      </x:c>
      <x:c r="B1523" s="11" t="str">
        <x:v>03690.HK</x:v>
      </x:c>
      <x:c r="C1523" s="11" t="str">
        <x:v>basicEPSCNY</x:v>
      </x:c>
      <x:c r="D1523" s="39" t="n">
        <x:v>-0.76</x:v>
      </x:c>
      <x:c r="E1523" s="11" t="str">
        <x:v>CNY</x:v>
      </x:c>
      <x:c r="F1523" s="11" t="str">
        <x:v>CNY/share</x:v>
      </x:c>
      <x:c r="G1523" s="11" t="str">
        <x:v>2026H1</x:v>
      </x:c>
      <x:c r="H1523" s="11" t="str">
        <x:v>2026-09-29官网中报；Q2结果2026-08-28 17:31闭市后</x:v>
      </x:c>
      <x:c r="I1523" s="11" t="str">
        <x:v>https://media-meituan.todayir.com/20260929060801160312349730_en.pdf</x:v>
      </x:c>
      <x:c r="J1523" s="11" t="str">
        <x:v>reported input</x:v>
      </x:c>
      <x:c r="K1523" s="11" t="str">
        <x:v>待核</x:v>
      </x:c>
      <x:c r="L1523" s="11" t="str">
        <x:v>精确发布时间未核验</x:v>
      </x:c>
      <x:c r="M1523" s="11" t="str">
        <x:v>截止日前日期，盘中时分未核</x:v>
      </x:c>
    </x:row>
    <x:row r="1524" ht="23" customHeight="1">
      <x:c r="A1524" s="11" t="str">
        <x:v>I078</x:v>
      </x:c>
      <x:c r="B1524" s="11" t="str">
        <x:v>03690.HK</x:v>
      </x:c>
      <x:c r="C1524" s="11" t="str">
        <x:v>dilutedEPSCNY</x:v>
      </x:c>
      <x:c r="D1524" s="39" t="n">
        <x:v>-0.82</x:v>
      </x:c>
      <x:c r="E1524" s="11" t="str">
        <x:v>CNY</x:v>
      </x:c>
      <x:c r="F1524" s="11" t="str">
        <x:v>CNY/share</x:v>
      </x:c>
      <x:c r="G1524" s="11" t="str">
        <x:v>2026H1</x:v>
      </x:c>
      <x:c r="H1524" s="11" t="str">
        <x:v>2026-09-29官网中报；Q2结果2026-08-28 17:31闭市后</x:v>
      </x:c>
      <x:c r="I1524" s="11" t="str">
        <x:v>https://media-meituan.todayir.com/20260929060801160312349730_en.pdf</x:v>
      </x:c>
      <x:c r="J1524" s="11" t="str">
        <x:v>reported input</x:v>
      </x:c>
      <x:c r="K1524" s="11" t="str">
        <x:v>待核</x:v>
      </x:c>
      <x:c r="L1524" s="11" t="str">
        <x:v>精确发布时间未核验</x:v>
      </x:c>
      <x:c r="M1524" s="11" t="str">
        <x:v>截止日前日期，盘中时分未核</x:v>
      </x:c>
    </x:row>
    <x:row r="1525" ht="23" customHeight="1">
      <x:c r="A1525" s="11" t="str">
        <x:v>I078</x:v>
      </x:c>
      <x:c r="B1525" s="11" t="str">
        <x:v>03690.HK</x:v>
      </x:c>
      <x:c r="C1525" s="11" t="str">
        <x:v>weightedBasicSharesMillion</x:v>
      </x:c>
      <x:c r="D1525" s="39" t="n">
        <x:v>6118.848</x:v>
      </x:c>
      <x:c r="E1525" s="11" t="str">
        <x:v>not monetary</x:v>
      </x:c>
      <x:c r="F1525" s="11" t="str">
        <x:v>million shares</x:v>
      </x:c>
      <x:c r="G1525" s="11" t="str">
        <x:v>2026H1</x:v>
      </x:c>
      <x:c r="H1525" s="11" t="str">
        <x:v>2026-09-29官网中报；Q2结果2026-08-28 17:31闭市后</x:v>
      </x:c>
      <x:c r="I1525" s="11" t="str">
        <x:v>https://media-meituan.todayir.com/20260929060801160312349730_en.pdf</x:v>
      </x:c>
      <x:c r="J1525" s="11" t="str">
        <x:v>reported input</x:v>
      </x:c>
      <x:c r="K1525" s="11" t="str">
        <x:v>待核</x:v>
      </x:c>
      <x:c r="L1525" s="11" t="str">
        <x:v>精确发布时间未核验</x:v>
      </x:c>
      <x:c r="M1525" s="11" t="str">
        <x:v>截止日前日期，盘中时分未核</x:v>
      </x:c>
    </x:row>
    <x:row r="1526" ht="23" customHeight="1">
      <x:c r="A1526" s="11" t="str">
        <x:v>I078</x:v>
      </x:c>
      <x:c r="B1526" s="11" t="str">
        <x:v>03690.HK</x:v>
      </x:c>
      <x:c r="C1526" s="11" t="str">
        <x:v>weightedDilutedSharesMillion</x:v>
      </x:c>
      <x:c r="D1526" s="39" t="n">
        <x:v>6118.848</x:v>
      </x:c>
      <x:c r="E1526" s="11" t="str">
        <x:v>not monetary</x:v>
      </x:c>
      <x:c r="F1526" s="11" t="str">
        <x:v>million shares</x:v>
      </x:c>
      <x:c r="G1526" s="11" t="str">
        <x:v>2026H1</x:v>
      </x:c>
      <x:c r="H1526" s="11" t="str">
        <x:v>2026-09-29官网中报；Q2结果2026-08-28 17:31闭市后</x:v>
      </x:c>
      <x:c r="I1526" s="11" t="str">
        <x:v>https://media-meituan.todayir.com/20260929060801160312349730_en.pdf</x:v>
      </x:c>
      <x:c r="J1526" s="11" t="str">
        <x:v>reported input</x:v>
      </x:c>
      <x:c r="K1526" s="11" t="str">
        <x:v>待核</x:v>
      </x:c>
      <x:c r="L1526" s="11" t="str">
        <x:v>精确发布时间未核验</x:v>
      </x:c>
      <x:c r="M1526" s="11" t="str">
        <x:v>截止日前日期，盘中时分未核</x:v>
      </x:c>
    </x:row>
    <x:row r="1527" ht="23" customHeight="1">
      <x:c r="A1527" s="11" t="str">
        <x:v>I078</x:v>
      </x:c>
      <x:c r="B1527" s="11" t="str">
        <x:v>03690.HK</x:v>
      </x:c>
      <x:c r="C1527" s="11" t="str">
        <x:v>Q2RevenueCNYmillion</x:v>
      </x:c>
      <x:c r="D1527" s="39" t="n">
        <x:v>104643.044</x:v>
      </x:c>
      <x:c r="E1527" s="11" t="str">
        <x:v>CNY</x:v>
      </x:c>
      <x:c r="F1527" s="11" t="str">
        <x:v>CNY million</x:v>
      </x:c>
      <x:c r="G1527" s="11" t="str">
        <x:v>2026Q2</x:v>
      </x:c>
      <x:c r="H1527" s="11" t="str">
        <x:v>2026-09-29官网中报；Q2结果2026-08-28 17:31闭市后</x:v>
      </x:c>
      <x:c r="I1527" s="11" t="str">
        <x:v>https://media-meituan.todayir.com/20260929060801160312349730_en.pdf</x:v>
      </x:c>
      <x:c r="J1527" s="11" t="str">
        <x:v>reported input</x:v>
      </x:c>
      <x:c r="K1527" s="11" t="str">
        <x:v>待核</x:v>
      </x:c>
      <x:c r="L1527" s="11" t="str">
        <x:v>精确发布时间未核验</x:v>
      </x:c>
      <x:c r="M1527" s="11" t="str">
        <x:v>截止日前日期，盘中时分未核</x:v>
      </x:c>
    </x:row>
    <x:row r="1528" ht="23" customHeight="1">
      <x:c r="A1528" s="11" t="str">
        <x:v>I078</x:v>
      </x:c>
      <x:c r="B1528" s="11" t="str">
        <x:v>03690.HK</x:v>
      </x:c>
      <x:c r="C1528" s="11" t="str">
        <x:v>Q2OperatingProfitCNYmillion</x:v>
      </x:c>
      <x:c r="D1528" s="39" t="n">
        <x:v>2691.166</x:v>
      </x:c>
      <x:c r="E1528" s="11" t="str">
        <x:v>CNY</x:v>
      </x:c>
      <x:c r="F1528" s="11" t="str">
        <x:v>CNY million</x:v>
      </x:c>
      <x:c r="G1528" s="11" t="str">
        <x:v>2026Q2</x:v>
      </x:c>
      <x:c r="H1528" s="11" t="str">
        <x:v>2026-09-29官网中报；Q2结果2026-08-28 17:31闭市后</x:v>
      </x:c>
      <x:c r="I1528" s="11" t="str">
        <x:v>https://media-meituan.todayir.com/20260929060801160312349730_en.pdf</x:v>
      </x:c>
      <x:c r="J1528" s="11" t="str">
        <x:v>reported input</x:v>
      </x:c>
      <x:c r="K1528" s="11" t="str">
        <x:v>待核</x:v>
      </x:c>
      <x:c r="L1528" s="11" t="str">
        <x:v>精确发布时间未核验</x:v>
      </x:c>
      <x:c r="M1528" s="11" t="str">
        <x:v>截止日前日期，盘中时分未核</x:v>
      </x:c>
    </x:row>
    <x:row r="1529" ht="23" customHeight="1">
      <x:c r="A1529" s="11" t="str">
        <x:v>I078</x:v>
      </x:c>
      <x:c r="B1529" s="11" t="str">
        <x:v>03690.HK</x:v>
      </x:c>
      <x:c r="C1529" s="11" t="str">
        <x:v>Q2GroupProfitCNYmillion</x:v>
      </x:c>
      <x:c r="D1529" s="39" t="n">
        <x:v>2155.222</x:v>
      </x:c>
      <x:c r="E1529" s="11" t="str">
        <x:v>CNY</x:v>
      </x:c>
      <x:c r="F1529" s="11" t="str">
        <x:v>CNY million</x:v>
      </x:c>
      <x:c r="G1529" s="11" t="str">
        <x:v>2026Q2</x:v>
      </x:c>
      <x:c r="H1529" s="11" t="str">
        <x:v>2026-09-29官网中报；Q2结果2026-08-28 17:31闭市后</x:v>
      </x:c>
      <x:c r="I1529" s="11" t="str">
        <x:v>https://media-meituan.todayir.com/20260929060801160312349730_en.pdf</x:v>
      </x:c>
      <x:c r="J1529" s="11" t="str">
        <x:v>reported input</x:v>
      </x:c>
      <x:c r="K1529" s="11" t="str">
        <x:v>待核</x:v>
      </x:c>
      <x:c r="L1529" s="11" t="str">
        <x:v>精确发布时间未核验</x:v>
      </x:c>
      <x:c r="M1529" s="11" t="str">
        <x:v>截止日前日期，盘中时分未核</x:v>
      </x:c>
    </x:row>
    <x:row r="1530" ht="23" customHeight="1">
      <x:c r="A1530" s="11" t="str">
        <x:v>I078</x:v>
      </x:c>
      <x:c r="B1530" s="11" t="str">
        <x:v>03690.HK</x:v>
      </x:c>
      <x:c r="C1530" s="11" t="str">
        <x:v>Q2AdjustedGroupProfitCNYmillion</x:v>
      </x:c>
      <x:c r="D1530" s="39" t="n">
        <x:v>2523.716</x:v>
      </x:c>
      <x:c r="E1530" s="11" t="str">
        <x:v>CNY</x:v>
      </x:c>
      <x:c r="F1530" s="11" t="str">
        <x:v>CNY million</x:v>
      </x:c>
      <x:c r="G1530" s="11" t="str">
        <x:v>2026Q2</x:v>
      </x:c>
      <x:c r="H1530" s="11" t="str">
        <x:v>2026-09-29官网中报；Q2结果2026-08-28 17:31闭市后</x:v>
      </x:c>
      <x:c r="I1530" s="11" t="str">
        <x:v>https://media-meituan.todayir.com/20260929060801160312349730_en.pdf</x:v>
      </x:c>
      <x:c r="J1530" s="11" t="str">
        <x:v>reported input</x:v>
      </x:c>
      <x:c r="K1530" s="11" t="str">
        <x:v>待核</x:v>
      </x:c>
      <x:c r="L1530" s="11" t="str">
        <x:v>精确发布时间未核验</x:v>
      </x:c>
      <x:c r="M1530" s="11" t="str">
        <x:v>截止日前日期，盘中时分未核</x:v>
      </x:c>
    </x:row>
    <x:row r="1531" ht="23" customHeight="1">
      <x:c r="A1531" s="11" t="str">
        <x:v>I078</x:v>
      </x:c>
      <x:c r="B1531" s="11" t="str">
        <x:v>03690.HK</x:v>
      </x:c>
      <x:c r="C1531" s="11" t="str">
        <x:v>coreRevenueCNYmillion</x:v>
      </x:c>
      <x:c r="D1531" s="39" t="n">
        <x:v>135593.841</x:v>
      </x:c>
      <x:c r="E1531" s="11" t="str">
        <x:v>CNY</x:v>
      </x:c>
      <x:c r="F1531" s="11" t="str">
        <x:v>CNY million</x:v>
      </x:c>
      <x:c r="G1531" s="11" t="str">
        <x:v>2026H1</x:v>
      </x:c>
      <x:c r="H1531" s="11" t="str">
        <x:v>2026-09-29官网中报；Q2结果2026-08-28 17:31闭市后</x:v>
      </x:c>
      <x:c r="I1531" s="11" t="str">
        <x:v>https://media-meituan.todayir.com/20260929060801160312349730_en.pdf</x:v>
      </x:c>
      <x:c r="J1531" s="11" t="str">
        <x:v>reported input</x:v>
      </x:c>
      <x:c r="K1531" s="11" t="str">
        <x:v>待核</x:v>
      </x:c>
      <x:c r="L1531" s="11" t="str">
        <x:v>精确发布时间未核验</x:v>
      </x:c>
      <x:c r="M1531" s="11" t="str">
        <x:v>截止日前日期，盘中时分未核</x:v>
      </x:c>
    </x:row>
    <x:row r="1532" ht="23" customHeight="1">
      <x:c r="A1532" s="11" t="str">
        <x:v>I078</x:v>
      </x:c>
      <x:c r="B1532" s="11" t="str">
        <x:v>03690.HK</x:v>
      </x:c>
      <x:c r="C1532" s="11" t="str">
        <x:v>coreEBITCNYmillion</x:v>
      </x:c>
      <x:c r="D1532" s="39" t="n">
        <x:v>3638.333</x:v>
      </x:c>
      <x:c r="E1532" s="11" t="str">
        <x:v>CNY</x:v>
      </x:c>
      <x:c r="F1532" s="11" t="str">
        <x:v>CNY million</x:v>
      </x:c>
      <x:c r="G1532" s="11" t="str">
        <x:v>2026H1</x:v>
      </x:c>
      <x:c r="H1532" s="11" t="str">
        <x:v>2026-09-29官网中报；Q2结果2026-08-28 17:31闭市后</x:v>
      </x:c>
      <x:c r="I1532" s="11" t="str">
        <x:v>https://media-meituan.todayir.com/20260929060801160312349730_en.pdf</x:v>
      </x:c>
      <x:c r="J1532" s="11" t="str">
        <x:v>reported input</x:v>
      </x:c>
      <x:c r="K1532" s="11" t="str">
        <x:v>待核</x:v>
      </x:c>
      <x:c r="L1532" s="11" t="str">
        <x:v>精确发布时间未核验</x:v>
      </x:c>
      <x:c r="M1532" s="11" t="str">
        <x:v>截止日前日期，盘中时分未核</x:v>
      </x:c>
    </x:row>
    <x:row r="1533" ht="23" customHeight="1">
      <x:c r="A1533" s="11" t="str">
        <x:v>I078</x:v>
      </x:c>
      <x:c r="B1533" s="11" t="str">
        <x:v>03690.HK</x:v>
      </x:c>
      <x:c r="C1533" s="11" t="str">
        <x:v>newRevenueCNYmillion</x:v>
      </x:c>
      <x:c r="D1533" s="39" t="n">
        <x:v>60088.109</x:v>
      </x:c>
      <x:c r="E1533" s="11" t="str">
        <x:v>CNY</x:v>
      </x:c>
      <x:c r="F1533" s="11" t="str">
        <x:v>CNY million</x:v>
      </x:c>
      <x:c r="G1533" s="11" t="str">
        <x:v>2026H1</x:v>
      </x:c>
      <x:c r="H1533" s="11" t="str">
        <x:v>2026-09-29官网中报；Q2结果2026-08-28 17:31闭市后</x:v>
      </x:c>
      <x:c r="I1533" s="11" t="str">
        <x:v>https://media-meituan.todayir.com/20260929060801160312349730_en.pdf</x:v>
      </x:c>
      <x:c r="J1533" s="11" t="str">
        <x:v>reported input</x:v>
      </x:c>
      <x:c r="K1533" s="11" t="str">
        <x:v>待核</x:v>
      </x:c>
      <x:c r="L1533" s="11" t="str">
        <x:v>精确发布时间未核验</x:v>
      </x:c>
      <x:c r="M1533" s="11" t="str">
        <x:v>截止日前日期，盘中时分未核</x:v>
      </x:c>
    </x:row>
    <x:row r="1534" ht="23" customHeight="1">
      <x:c r="A1534" s="11" t="str">
        <x:v>I078</x:v>
      </x:c>
      <x:c r="B1534" s="11" t="str">
        <x:v>03690.HK</x:v>
      </x:c>
      <x:c r="C1534" s="11" t="str">
        <x:v>newEBITCNYmillion</x:v>
      </x:c>
      <x:c r="D1534" s="39" t="n">
        <x:v>-3854.73</x:v>
      </x:c>
      <x:c r="E1534" s="11" t="str">
        <x:v>CNY</x:v>
      </x:c>
      <x:c r="F1534" s="11" t="str">
        <x:v>CNY million</x:v>
      </x:c>
      <x:c r="G1534" s="11" t="str">
        <x:v>2026H1</x:v>
      </x:c>
      <x:c r="H1534" s="11" t="str">
        <x:v>2026-09-29官网中报；Q2结果2026-08-28 17:31闭市后</x:v>
      </x:c>
      <x:c r="I1534" s="11" t="str">
        <x:v>https://media-meituan.todayir.com/20260929060801160312349730_en.pdf</x:v>
      </x:c>
      <x:c r="J1534" s="11" t="str">
        <x:v>reported input</x:v>
      </x:c>
      <x:c r="K1534" s="11" t="str">
        <x:v>待核</x:v>
      </x:c>
      <x:c r="L1534" s="11" t="str">
        <x:v>精确发布时间未核验</x:v>
      </x:c>
      <x:c r="M1534" s="11" t="str">
        <x:v>截止日前日期，盘中时分未核</x:v>
      </x:c>
    </x:row>
    <x:row r="1535" ht="23" customHeight="1">
      <x:c r="A1535" s="11" t="str">
        <x:v>I078</x:v>
      </x:c>
      <x:c r="B1535" s="11" t="str">
        <x:v>03690.HK</x:v>
      </x:c>
      <x:c r="C1535" s="11" t="str">
        <x:v>unallocatedEBITCNYmillion</x:v>
      </x:c>
      <x:c r="D1535" s="39" t="n">
        <x:v>-3562.248</x:v>
      </x:c>
      <x:c r="E1535" s="11" t="str">
        <x:v>CNY</x:v>
      </x:c>
      <x:c r="F1535" s="11" t="str">
        <x:v>CNY million</x:v>
      </x:c>
      <x:c r="G1535" s="11" t="str">
        <x:v>2026H1</x:v>
      </x:c>
      <x:c r="H1535" s="11" t="str">
        <x:v>2026-09-29官网中报；Q2结果2026-08-28 17:31闭市后</x:v>
      </x:c>
      <x:c r="I1535" s="11" t="str">
        <x:v>https://media-meituan.todayir.com/20260929060801160312349730_en.pdf</x:v>
      </x:c>
      <x:c r="J1535" s="11" t="str">
        <x:v>reported input</x:v>
      </x:c>
      <x:c r="K1535" s="11" t="str">
        <x:v>待核</x:v>
      </x:c>
      <x:c r="L1535" s="11" t="str">
        <x:v>精确发布时间未核验</x:v>
      </x:c>
      <x:c r="M1535" s="11" t="str">
        <x:v>截止日前日期，盘中时分未核</x:v>
      </x:c>
    </x:row>
    <x:row r="1536" ht="23" customHeight="1">
      <x:c r="A1536" s="11" t="str">
        <x:v>I078</x:v>
      </x:c>
      <x:c r="B1536" s="11" t="str">
        <x:v>03690.HK</x:v>
      </x:c>
      <x:c r="C1536" s="11" t="str">
        <x:v>Q2CoreRevenueCNYmillion</x:v>
      </x:c>
      <x:c r="D1536" s="39" t="n">
        <x:v>71530.555</x:v>
      </x:c>
      <x:c r="E1536" s="11" t="str">
        <x:v>CNY</x:v>
      </x:c>
      <x:c r="F1536" s="11" t="str">
        <x:v>CNY million</x:v>
      </x:c>
      <x:c r="G1536" s="11" t="str">
        <x:v>2026Q2</x:v>
      </x:c>
      <x:c r="H1536" s="11" t="str">
        <x:v>2026-09-29官网中报；Q2结果2026-08-28 17:31闭市后</x:v>
      </x:c>
      <x:c r="I1536" s="11" t="str">
        <x:v>https://media-meituan.todayir.com/20260929060801160312349730_en.pdf</x:v>
      </x:c>
      <x:c r="J1536" s="11" t="str">
        <x:v>reported input</x:v>
      </x:c>
      <x:c r="K1536" s="11" t="str">
        <x:v>待核</x:v>
      </x:c>
      <x:c r="L1536" s="11" t="str">
        <x:v>精确发布时间未核验</x:v>
      </x:c>
      <x:c r="M1536" s="11" t="str">
        <x:v>截止日前日期，盘中时分未核</x:v>
      </x:c>
    </x:row>
    <x:row r="1537" ht="23" customHeight="1">
      <x:c r="A1537" s="11" t="str">
        <x:v>I078</x:v>
      </x:c>
      <x:c r="B1537" s="11" t="str">
        <x:v>03690.HK</x:v>
      </x:c>
      <x:c r="C1537" s="11" t="str">
        <x:v>Q2CoreEBITCNYmillion</x:v>
      </x:c>
      <x:c r="D1537" s="39" t="n">
        <x:v>5668.275</x:v>
      </x:c>
      <x:c r="E1537" s="11" t="str">
        <x:v>CNY</x:v>
      </x:c>
      <x:c r="F1537" s="11" t="str">
        <x:v>CNY million</x:v>
      </x:c>
      <x:c r="G1537" s="11" t="str">
        <x:v>2026Q2</x:v>
      </x:c>
      <x:c r="H1537" s="11" t="str">
        <x:v>2026-09-29官网中报；Q2结果2026-08-28 17:31闭市后</x:v>
      </x:c>
      <x:c r="I1537" s="11" t="str">
        <x:v>https://media-meituan.todayir.com/20260929060801160312349730_en.pdf</x:v>
      </x:c>
      <x:c r="J1537" s="11" t="str">
        <x:v>reported input</x:v>
      </x:c>
      <x:c r="K1537" s="11" t="str">
        <x:v>待核</x:v>
      </x:c>
      <x:c r="L1537" s="11" t="str">
        <x:v>精确发布时间未核验</x:v>
      </x:c>
      <x:c r="M1537" s="11" t="str">
        <x:v>截止日前日期，盘中时分未核</x:v>
      </x:c>
    </x:row>
    <x:row r="1538" ht="23" customHeight="1">
      <x:c r="A1538" s="11" t="str">
        <x:v>I078</x:v>
      </x:c>
      <x:c r="B1538" s="11" t="str">
        <x:v>03690.HK</x:v>
      </x:c>
      <x:c r="C1538" s="11" t="str">
        <x:v>Q2NewRevenueCNYmillion</x:v>
      </x:c>
      <x:c r="D1538" s="39" t="n">
        <x:v>33112.489</x:v>
      </x:c>
      <x:c r="E1538" s="11" t="str">
        <x:v>CNY</x:v>
      </x:c>
      <x:c r="F1538" s="11" t="str">
        <x:v>CNY million</x:v>
      </x:c>
      <x:c r="G1538" s="11" t="str">
        <x:v>2026Q2</x:v>
      </x:c>
      <x:c r="H1538" s="11" t="str">
        <x:v>2026-09-29官网中报；Q2结果2026-08-28 17:31闭市后</x:v>
      </x:c>
      <x:c r="I1538" s="11" t="str">
        <x:v>https://media-meituan.todayir.com/20260929060801160312349730_en.pdf</x:v>
      </x:c>
      <x:c r="J1538" s="11" t="str">
        <x:v>reported input</x:v>
      </x:c>
      <x:c r="K1538" s="11" t="str">
        <x:v>待核</x:v>
      </x:c>
      <x:c r="L1538" s="11" t="str">
        <x:v>精确发布时间未核验</x:v>
      </x:c>
      <x:c r="M1538" s="11" t="str">
        <x:v>截止日前日期，盘中时分未核</x:v>
      </x:c>
    </x:row>
    <x:row r="1539" ht="23" customHeight="1">
      <x:c r="A1539" s="11" t="str">
        <x:v>I078</x:v>
      </x:c>
      <x:c r="B1539" s="11" t="str">
        <x:v>03690.HK</x:v>
      </x:c>
      <x:c r="C1539" s="11" t="str">
        <x:v>Q2NewEBITCNYmillion</x:v>
      </x:c>
      <x:c r="D1539" s="39" t="n">
        <x:v>-1738.915</x:v>
      </x:c>
      <x:c r="E1539" s="11" t="str">
        <x:v>CNY</x:v>
      </x:c>
      <x:c r="F1539" s="11" t="str">
        <x:v>CNY million</x:v>
      </x:c>
      <x:c r="G1539" s="11" t="str">
        <x:v>2026Q2</x:v>
      </x:c>
      <x:c r="H1539" s="11" t="str">
        <x:v>2026-09-29官网中报；Q2结果2026-08-28 17:31闭市后</x:v>
      </x:c>
      <x:c r="I1539" s="11" t="str">
        <x:v>https://media-meituan.todayir.com/20260929060801160312349730_en.pdf</x:v>
      </x:c>
      <x:c r="J1539" s="11" t="str">
        <x:v>reported input</x:v>
      </x:c>
      <x:c r="K1539" s="11" t="str">
        <x:v>待核</x:v>
      </x:c>
      <x:c r="L1539" s="11" t="str">
        <x:v>精确发布时间未核验</x:v>
      </x:c>
      <x:c r="M1539" s="11" t="str">
        <x:v>截止日前日期，盘中时分未核</x:v>
      </x:c>
    </x:row>
    <x:row r="1540" ht="23" customHeight="1">
      <x:c r="A1540" s="11" t="str">
        <x:v>I078</x:v>
      </x:c>
      <x:c r="B1540" s="11" t="str">
        <x:v>03690.HK</x:v>
      </x:c>
      <x:c r="C1540" s="11" t="str">
        <x:v>Q2UnallocatedEBITCNYmillion</x:v>
      </x:c>
      <x:c r="D1540" s="39" t="n">
        <x:v>-1238.194</x:v>
      </x:c>
      <x:c r="E1540" s="11" t="str">
        <x:v>CNY</x:v>
      </x:c>
      <x:c r="F1540" s="11" t="str">
        <x:v>CNY million</x:v>
      </x:c>
      <x:c r="G1540" s="11" t="str">
        <x:v>2026Q2</x:v>
      </x:c>
      <x:c r="H1540" s="11" t="str">
        <x:v>2026-09-29官网中报；Q2结果2026-08-28 17:31闭市后</x:v>
      </x:c>
      <x:c r="I1540" s="11" t="str">
        <x:v>https://media-meituan.todayir.com/20260929060801160312349730_en.pdf</x:v>
      </x:c>
      <x:c r="J1540" s="11" t="str">
        <x:v>reported input</x:v>
      </x:c>
      <x:c r="K1540" s="11" t="str">
        <x:v>待核</x:v>
      </x:c>
      <x:c r="L1540" s="11" t="str">
        <x:v>精确发布时间未核验</x:v>
      </x:c>
      <x:c r="M1540" s="11" t="str">
        <x:v>截止日前日期，盘中时分未核</x:v>
      </x:c>
    </x:row>
    <x:row r="1541" ht="23" customHeight="1">
      <x:c r="A1541" s="11" t="str">
        <x:v>I078</x:v>
      </x:c>
      <x:c r="B1541" s="11" t="str">
        <x:v>03690.HK</x:v>
      </x:c>
      <x:c r="C1541" s="11" t="str">
        <x:v>coreDeliveryRevenueCNYmillion</x:v>
      </x:c>
      <x:c r="D1541" s="39" t="n">
        <x:v>50862.373</x:v>
      </x:c>
      <x:c r="E1541" s="11" t="str">
        <x:v>CNY</x:v>
      </x:c>
      <x:c r="F1541" s="11" t="str">
        <x:v>CNY million</x:v>
      </x:c>
      <x:c r="G1541" s="11" t="str">
        <x:v>2026H1</x:v>
      </x:c>
      <x:c r="H1541" s="11" t="str">
        <x:v>2026-09-29官网中报；Q2结果2026-08-28 17:31闭市后</x:v>
      </x:c>
      <x:c r="I1541" s="11" t="str">
        <x:v>https://media-meituan.todayir.com/20260929060801160312349730_en.pdf</x:v>
      </x:c>
      <x:c r="J1541" s="11" t="str">
        <x:v>reported input</x:v>
      </x:c>
      <x:c r="K1541" s="11" t="str">
        <x:v>待核</x:v>
      </x:c>
      <x:c r="L1541" s="11" t="str">
        <x:v>精确发布时间未核验</x:v>
      </x:c>
      <x:c r="M1541" s="11" t="str">
        <x:v>截止日前日期，盘中时分未核</x:v>
      </x:c>
    </x:row>
    <x:row r="1542" ht="23" customHeight="1">
      <x:c r="A1542" s="11" t="str">
        <x:v>I078</x:v>
      </x:c>
      <x:c r="B1542" s="11" t="str">
        <x:v>03690.HK</x:v>
      </x:c>
      <x:c r="C1542" s="11" t="str">
        <x:v>coreMerchantRevenueCNYmillion</x:v>
      </x:c>
      <x:c r="D1542" s="39" t="n">
        <x:v>75239.037</x:v>
      </x:c>
      <x:c r="E1542" s="11" t="str">
        <x:v>CNY</x:v>
      </x:c>
      <x:c r="F1542" s="11" t="str">
        <x:v>CNY million</x:v>
      </x:c>
      <x:c r="G1542" s="11" t="str">
        <x:v>2026H1</x:v>
      </x:c>
      <x:c r="H1542" s="11" t="str">
        <x:v>2026-09-29官网中报；Q2结果2026-08-28 17:31闭市后</x:v>
      </x:c>
      <x:c r="I1542" s="11" t="str">
        <x:v>https://media-meituan.todayir.com/20260929060801160312349730_en.pdf</x:v>
      </x:c>
      <x:c r="J1542" s="11" t="str">
        <x:v>reported input</x:v>
      </x:c>
      <x:c r="K1542" s="11" t="str">
        <x:v>待核</x:v>
      </x:c>
      <x:c r="L1542" s="11" t="str">
        <x:v>精确发布时间未核验</x:v>
      </x:c>
      <x:c r="M1542" s="11" t="str">
        <x:v>截止日前日期，盘中时分未核</x:v>
      </x:c>
    </x:row>
    <x:row r="1543" ht="23" customHeight="1">
      <x:c r="A1543" s="11" t="str">
        <x:v>I078</x:v>
      </x:c>
      <x:c r="B1543" s="11" t="str">
        <x:v>03690.HK</x:v>
      </x:c>
      <x:c r="C1543" s="11" t="str">
        <x:v>coreProductRevenueCNYmillion</x:v>
      </x:c>
      <x:c r="D1543" s="39" t="n">
        <x:v>6576.373</x:v>
      </x:c>
      <x:c r="E1543" s="11" t="str">
        <x:v>CNY</x:v>
      </x:c>
      <x:c r="F1543" s="11" t="str">
        <x:v>CNY million</x:v>
      </x:c>
      <x:c r="G1543" s="11" t="str">
        <x:v>2026H1</x:v>
      </x:c>
      <x:c r="H1543" s="11" t="str">
        <x:v>2026-09-29官网中报；Q2结果2026-08-28 17:31闭市后</x:v>
      </x:c>
      <x:c r="I1543" s="11" t="str">
        <x:v>https://media-meituan.todayir.com/20260929060801160312349730_en.pdf</x:v>
      </x:c>
      <x:c r="J1543" s="11" t="str">
        <x:v>reported input</x:v>
      </x:c>
      <x:c r="K1543" s="11" t="str">
        <x:v>待核</x:v>
      </x:c>
      <x:c r="L1543" s="11" t="str">
        <x:v>精确发布时间未核验</x:v>
      </x:c>
      <x:c r="M1543" s="11" t="str">
        <x:v>截止日前日期，盘中时分未核</x:v>
      </x:c>
    </x:row>
    <x:row r="1544" ht="23" customHeight="1">
      <x:c r="A1544" s="11" t="str">
        <x:v>I078</x:v>
      </x:c>
      <x:c r="B1544" s="11" t="str">
        <x:v>03690.HK</x:v>
      </x:c>
      <x:c r="C1544" s="11" t="str">
        <x:v>newProductRevenueCNYmillion</x:v>
      </x:c>
      <x:c r="D1544" s="39" t="n">
        <x:v>41063.054</x:v>
      </x:c>
      <x:c r="E1544" s="11" t="str">
        <x:v>CNY</x:v>
      </x:c>
      <x:c r="F1544" s="11" t="str">
        <x:v>CNY million</x:v>
      </x:c>
      <x:c r="G1544" s="11" t="str">
        <x:v>2026H1</x:v>
      </x:c>
      <x:c r="H1544" s="11" t="str">
        <x:v>2026-09-29官网中报；Q2结果2026-08-28 17:31闭市后</x:v>
      </x:c>
      <x:c r="I1544" s="11" t="str">
        <x:v>https://media-meituan.todayir.com/20260929060801160312349730_en.pdf</x:v>
      </x:c>
      <x:c r="J1544" s="11" t="str">
        <x:v>reported input</x:v>
      </x:c>
      <x:c r="K1544" s="11" t="str">
        <x:v>待核</x:v>
      </x:c>
      <x:c r="L1544" s="11" t="str">
        <x:v>精确发布时间未核验</x:v>
      </x:c>
      <x:c r="M1544" s="11" t="str">
        <x:v>截止日前日期，盘中时分未核</x:v>
      </x:c>
    </x:row>
    <x:row r="1545" ht="23" customHeight="1">
      <x:c r="A1545" s="11" t="str">
        <x:v>I078</x:v>
      </x:c>
      <x:c r="B1545" s="11" t="str">
        <x:v>03690.HK</x:v>
      </x:c>
      <x:c r="C1545" s="11" t="str">
        <x:v>grossProfitCNYmillion</x:v>
      </x:c>
      <x:c r="D1545" s="39" t="n">
        <x:v>61064.869</x:v>
      </x:c>
      <x:c r="E1545" s="11" t="str">
        <x:v>CNY</x:v>
      </x:c>
      <x:c r="F1545" s="11" t="str">
        <x:v>CNY million</x:v>
      </x:c>
      <x:c r="G1545" s="11" t="str">
        <x:v>2026H1</x:v>
      </x:c>
      <x:c r="H1545" s="11" t="str">
        <x:v>2026-09-29官网中报；Q2结果2026-08-28 17:31闭市后</x:v>
      </x:c>
      <x:c r="I1545" s="11" t="str">
        <x:v>https://media-meituan.todayir.com/20260929060801160312349730_en.pdf</x:v>
      </x:c>
      <x:c r="J1545" s="11" t="str">
        <x:v>reported input</x:v>
      </x:c>
      <x:c r="K1545" s="11" t="str">
        <x:v>待核</x:v>
      </x:c>
      <x:c r="L1545" s="11" t="str">
        <x:v>精确发布时间未核验</x:v>
      </x:c>
      <x:c r="M1545" s="11" t="str">
        <x:v>截止日前日期，盘中时分未核</x:v>
      </x:c>
    </x:row>
    <x:row r="1546" ht="23" customHeight="1">
      <x:c r="A1546" s="11" t="str">
        <x:v>I078</x:v>
      </x:c>
      <x:c r="B1546" s="11" t="str">
        <x:v>03690.HK</x:v>
      </x:c>
      <x:c r="C1546" s="11" t="str">
        <x:v>SellingMarketingCNYmillion</x:v>
      </x:c>
      <x:c r="D1546" s="39" t="n">
        <x:v>47691.864</x:v>
      </x:c>
      <x:c r="E1546" s="11" t="str">
        <x:v>CNY</x:v>
      </x:c>
      <x:c r="F1546" s="11" t="str">
        <x:v>CNY million</x:v>
      </x:c>
      <x:c r="G1546" s="11" t="str">
        <x:v>2026H1</x:v>
      </x:c>
      <x:c r="H1546" s="11" t="str">
        <x:v>2026-09-29官网中报；Q2结果2026-08-28 17:31闭市后</x:v>
      </x:c>
      <x:c r="I1546" s="11" t="str">
        <x:v>https://media-meituan.todayir.com/20260929060801160312349730_en.pdf</x:v>
      </x:c>
      <x:c r="J1546" s="11" t="str">
        <x:v>reported input</x:v>
      </x:c>
      <x:c r="K1546" s="11" t="str">
        <x:v>待核</x:v>
      </x:c>
      <x:c r="L1546" s="11" t="str">
        <x:v>精确发布时间未核验</x:v>
      </x:c>
      <x:c r="M1546" s="11" t="str">
        <x:v>截止日前日期，盘中时分未核</x:v>
      </x:c>
    </x:row>
    <x:row r="1547" ht="23" customHeight="1">
      <x:c r="A1547" s="11" t="str">
        <x:v>I078</x:v>
      </x:c>
      <x:c r="B1547" s="11" t="str">
        <x:v>03690.HK</x:v>
      </x:c>
      <x:c r="C1547" s="11" t="str">
        <x:v>RDCNYmillion</x:v>
      </x:c>
      <x:c r="D1547" s="39" t="n">
        <x:v>14713.143</x:v>
      </x:c>
      <x:c r="E1547" s="11" t="str">
        <x:v>CNY</x:v>
      </x:c>
      <x:c r="F1547" s="11" t="str">
        <x:v>CNY million</x:v>
      </x:c>
      <x:c r="G1547" s="11" t="str">
        <x:v>2026H1</x:v>
      </x:c>
      <x:c r="H1547" s="11" t="str">
        <x:v>2026-09-29官网中报；Q2结果2026-08-28 17:31闭市后</x:v>
      </x:c>
      <x:c r="I1547" s="11" t="str">
        <x:v>https://media-meituan.todayir.com/20260929060801160312349730_en.pdf</x:v>
      </x:c>
      <x:c r="J1547" s="11" t="str">
        <x:v>reported input</x:v>
      </x:c>
      <x:c r="K1547" s="11" t="str">
        <x:v>待核</x:v>
      </x:c>
      <x:c r="L1547" s="11" t="str">
        <x:v>精确发布时间未核验</x:v>
      </x:c>
      <x:c r="M1547" s="11" t="str">
        <x:v>截止日前日期，盘中时分未核</x:v>
      </x:c>
    </x:row>
    <x:row r="1548" ht="23" customHeight="1">
      <x:c r="A1548" s="11" t="str">
        <x:v>I078</x:v>
      </x:c>
      <x:c r="B1548" s="11" t="str">
        <x:v>03690.HK</x:v>
      </x:c>
      <x:c r="C1548" s="11" t="str">
        <x:v>GACNYmillion</x:v>
      </x:c>
      <x:c r="D1548" s="39" t="n">
        <x:v>6176.463</x:v>
      </x:c>
      <x:c r="E1548" s="11" t="str">
        <x:v>CNY</x:v>
      </x:c>
      <x:c r="F1548" s="11" t="str">
        <x:v>CNY million</x:v>
      </x:c>
      <x:c r="G1548" s="11" t="str">
        <x:v>2026H1</x:v>
      </x:c>
      <x:c r="H1548" s="11" t="str">
        <x:v>2026-09-29官网中报；Q2结果2026-08-28 17:31闭市后</x:v>
      </x:c>
      <x:c r="I1548" s="11" t="str">
        <x:v>https://media-meituan.todayir.com/20260929060801160312349730_en.pdf</x:v>
      </x:c>
      <x:c r="J1548" s="11" t="str">
        <x:v>reported input</x:v>
      </x:c>
      <x:c r="K1548" s="11" t="str">
        <x:v>待核</x:v>
      </x:c>
      <x:c r="L1548" s="11" t="str">
        <x:v>精确发布时间未核验</x:v>
      </x:c>
      <x:c r="M1548" s="11" t="str">
        <x:v>截止日前日期，盘中时分未核</x:v>
      </x:c>
    </x:row>
    <x:row r="1549" ht="23" customHeight="1">
      <x:c r="A1549" s="11" t="str">
        <x:v>I078</x:v>
      </x:c>
      <x:c r="B1549" s="11" t="str">
        <x:v>03690.HK</x:v>
      </x:c>
      <x:c r="C1549" s="11" t="str">
        <x:v>SBCExpenseCNYmillion</x:v>
      </x:c>
      <x:c r="D1549" s="39" t="n">
        <x:v>3301.589</x:v>
      </x:c>
      <x:c r="E1549" s="11" t="str">
        <x:v>CNY</x:v>
      </x:c>
      <x:c r="F1549" s="11" t="str">
        <x:v>CNY million</x:v>
      </x:c>
      <x:c r="G1549" s="11" t="str">
        <x:v>2026H1</x:v>
      </x:c>
      <x:c r="H1549" s="11" t="str">
        <x:v>2026-09-29官网中报；Q2结果2026-08-28 17:31闭市后</x:v>
      </x:c>
      <x:c r="I1549" s="11" t="str">
        <x:v>https://media-meituan.todayir.com/20260929060801160312349730_en.pdf</x:v>
      </x:c>
      <x:c r="J1549" s="11" t="str">
        <x:v>reported input</x:v>
      </x:c>
      <x:c r="K1549" s="11" t="str">
        <x:v>待核</x:v>
      </x:c>
      <x:c r="L1549" s="11" t="str">
        <x:v>精确发布时间未核验</x:v>
      </x:c>
      <x:c r="M1549" s="11" t="str">
        <x:v>截止日前日期，盘中时分未核</x:v>
      </x:c>
    </x:row>
    <x:row r="1550" ht="23" customHeight="1">
      <x:c r="A1550" s="11" t="str">
        <x:v>I078</x:v>
      </x:c>
      <x:c r="B1550" s="11" t="str">
        <x:v>03690.HK</x:v>
      </x:c>
      <x:c r="C1550" s="11" t="str">
        <x:v>SBCcapitalizedCNYmillion</x:v>
      </x:c>
      <x:c r="D1550" s="39" t="n">
        <x:v>2.294</x:v>
      </x:c>
      <x:c r="E1550" s="11" t="str">
        <x:v>CNY</x:v>
      </x:c>
      <x:c r="F1550" s="11" t="str">
        <x:v>CNY million</x:v>
      </x:c>
      <x:c r="G1550" s="11" t="str">
        <x:v>2026H1</x:v>
      </x:c>
      <x:c r="H1550" s="11" t="str">
        <x:v>2026-09-29官网中报；Q2结果2026-08-28 17:31闭市后</x:v>
      </x:c>
      <x:c r="I1550" s="11" t="str">
        <x:v>https://media-meituan.todayir.com/20260929060801160312349730_en.pdf</x:v>
      </x:c>
      <x:c r="J1550" s="11" t="str">
        <x:v>reported input</x:v>
      </x:c>
      <x:c r="K1550" s="11" t="str">
        <x:v>待核</x:v>
      </x:c>
      <x:c r="L1550" s="11" t="str">
        <x:v>精确发布时间未核验</x:v>
      </x:c>
      <x:c r="M1550" s="11" t="str">
        <x:v>截止日前日期，盘中时分未核</x:v>
      </x:c>
    </x:row>
    <x:row r="1551" ht="23" customHeight="1">
      <x:c r="A1551" s="11" t="str">
        <x:v>I078</x:v>
      </x:c>
      <x:c r="B1551" s="11" t="str">
        <x:v>03690.HK</x:v>
      </x:c>
      <x:c r="C1551" s="11" t="str">
        <x:v>investmentFVTPLGainCNYmillion</x:v>
      </x:c>
      <x:c r="D1551" s="39" t="n">
        <x:v>447.255</x:v>
      </x:c>
      <x:c r="E1551" s="11" t="str">
        <x:v>CNY</x:v>
      </x:c>
      <x:c r="F1551" s="11" t="str">
        <x:v>CNY million</x:v>
      </x:c>
      <x:c r="G1551" s="11" t="str">
        <x:v>2026H1</x:v>
      </x:c>
      <x:c r="H1551" s="11" t="str">
        <x:v>2026-09-29官网中报；Q2结果2026-08-28 17:31闭市后</x:v>
      </x:c>
      <x:c r="I1551" s="11" t="str">
        <x:v>https://media-meituan.todayir.com/20260929060801160312349730_en.pdf</x:v>
      </x:c>
      <x:c r="J1551" s="11" t="str">
        <x:v>reported input</x:v>
      </x:c>
      <x:c r="K1551" s="11" t="str">
        <x:v>待核</x:v>
      </x:c>
      <x:c r="L1551" s="11" t="str">
        <x:v>精确发布时间未核验</x:v>
      </x:c>
      <x:c r="M1551" s="11" t="str">
        <x:v>截止日前日期，盘中时分未核</x:v>
      </x:c>
    </x:row>
    <x:row r="1552" ht="23" customHeight="1">
      <x:c r="A1552" s="11" t="str">
        <x:v>I078</x:v>
      </x:c>
      <x:c r="B1552" s="11" t="str">
        <x:v>03690.HK</x:v>
      </x:c>
      <x:c r="C1552" s="11" t="str">
        <x:v>otherGainCNYmillion</x:v>
      </x:c>
      <x:c r="D1552" s="39" t="n">
        <x:v>4092.643</x:v>
      </x:c>
      <x:c r="E1552" s="11" t="str">
        <x:v>CNY</x:v>
      </x:c>
      <x:c r="F1552" s="11" t="str">
        <x:v>CNY million</x:v>
      </x:c>
      <x:c r="G1552" s="11" t="str">
        <x:v>2026H1</x:v>
      </x:c>
      <x:c r="H1552" s="11" t="str">
        <x:v>2026-09-29官网中报；Q2结果2026-08-28 17:31闭市后</x:v>
      </x:c>
      <x:c r="I1552" s="11" t="str">
        <x:v>https://media-meituan.todayir.com/20260929060801160312349730_en.pdf</x:v>
      </x:c>
      <x:c r="J1552" s="11" t="str">
        <x:v>reported input</x:v>
      </x:c>
      <x:c r="K1552" s="11" t="str">
        <x:v>待核</x:v>
      </x:c>
      <x:c r="L1552" s="11" t="str">
        <x:v>精确发布时间未核验</x:v>
      </x:c>
      <x:c r="M1552" s="11" t="str">
        <x:v>截止日前日期，盘中时分未核</x:v>
      </x:c>
    </x:row>
    <x:row r="1553" ht="23" customHeight="1">
      <x:c r="A1553" s="11" t="str">
        <x:v>I078</x:v>
      </x:c>
      <x:c r="B1553" s="11" t="str">
        <x:v>03690.HK</x:v>
      </x:c>
      <x:c r="C1553" s="11" t="str">
        <x:v>investmentFVOCIGainCNYmillion</x:v>
      </x:c>
      <x:c r="D1553" s="39" t="n">
        <x:v>22473.882</x:v>
      </x:c>
      <x:c r="E1553" s="11" t="str">
        <x:v>CNY</x:v>
      </x:c>
      <x:c r="F1553" s="11" t="str">
        <x:v>CNY million</x:v>
      </x:c>
      <x:c r="G1553" s="11" t="str">
        <x:v>2026H1</x:v>
      </x:c>
      <x:c r="H1553" s="11" t="str">
        <x:v>2026-09-29官网中报；Q2结果2026-08-28 17:31闭市后</x:v>
      </x:c>
      <x:c r="I1553" s="11" t="str">
        <x:v>https://media-meituan.todayir.com/20260929060801160312349730_en.pdf</x:v>
      </x:c>
      <x:c r="J1553" s="11" t="str">
        <x:v>reported input</x:v>
      </x:c>
      <x:c r="K1553" s="11" t="str">
        <x:v>待核</x:v>
      </x:c>
      <x:c r="L1553" s="11" t="str">
        <x:v>精确发布时间未核验</x:v>
      </x:c>
      <x:c r="M1553" s="11" t="str">
        <x:v>截止日前日期，盘中时分未核</x:v>
      </x:c>
    </x:row>
    <x:row r="1554" ht="23" customHeight="1">
      <x:c r="A1554" s="11" t="str">
        <x:v>I078</x:v>
      </x:c>
      <x:c r="B1554" s="11" t="str">
        <x:v>03690.HK</x:v>
      </x:c>
      <x:c r="C1554" s="11" t="str">
        <x:v>financeIncomeCNYmillion</x:v>
      </x:c>
      <x:c r="D1554" s="39" t="n">
        <x:v>987.845</x:v>
      </x:c>
      <x:c r="E1554" s="11" t="str">
        <x:v>CNY</x:v>
      </x:c>
      <x:c r="F1554" s="11" t="str">
        <x:v>CNY million</x:v>
      </x:c>
      <x:c r="G1554" s="11" t="str">
        <x:v>2026H1</x:v>
      </x:c>
      <x:c r="H1554" s="11" t="str">
        <x:v>2026-09-29官网中报；Q2结果2026-08-28 17:31闭市后</x:v>
      </x:c>
      <x:c r="I1554" s="11" t="str">
        <x:v>https://media-meituan.todayir.com/20260929060801160312349730_en.pdf</x:v>
      </x:c>
      <x:c r="J1554" s="11" t="str">
        <x:v>reported input</x:v>
      </x:c>
      <x:c r="K1554" s="11" t="str">
        <x:v>待核</x:v>
      </x:c>
      <x:c r="L1554" s="11" t="str">
        <x:v>精确发布时间未核验</x:v>
      </x:c>
      <x:c r="M1554" s="11" t="str">
        <x:v>截止日前日期，盘中时分未核</x:v>
      </x:c>
    </x:row>
    <x:row r="1555" ht="23" customHeight="1">
      <x:c r="A1555" s="11" t="str">
        <x:v>I078</x:v>
      </x:c>
      <x:c r="B1555" s="11" t="str">
        <x:v>03690.HK</x:v>
      </x:c>
      <x:c r="C1555" s="11" t="str">
        <x:v>financeCostCNYmillion</x:v>
      </x:c>
      <x:c r="D1555" s="39" t="n">
        <x:v>1593.342</x:v>
      </x:c>
      <x:c r="E1555" s="11" t="str">
        <x:v>CNY</x:v>
      </x:c>
      <x:c r="F1555" s="11" t="str">
        <x:v>CNY million</x:v>
      </x:c>
      <x:c r="G1555" s="11" t="str">
        <x:v>2026H1</x:v>
      </x:c>
      <x:c r="H1555" s="11" t="str">
        <x:v>2026-09-29官网中报；Q2结果2026-08-28 17:31闭市后</x:v>
      </x:c>
      <x:c r="I1555" s="11" t="str">
        <x:v>https://media-meituan.todayir.com/20260929060801160312349730_en.pdf</x:v>
      </x:c>
      <x:c r="J1555" s="11" t="str">
        <x:v>reported input</x:v>
      </x:c>
      <x:c r="K1555" s="11" t="str">
        <x:v>待核</x:v>
      </x:c>
      <x:c r="L1555" s="11" t="str">
        <x:v>精确发布时间未核验</x:v>
      </x:c>
      <x:c r="M1555" s="11" t="str">
        <x:v>截止日前日期，盘中时分未核</x:v>
      </x:c>
    </x:row>
    <x:row r="1556" ht="23" customHeight="1">
      <x:c r="A1556" s="11" t="str">
        <x:v>I078</x:v>
      </x:c>
      <x:c r="B1556" s="11" t="str">
        <x:v>03690.HK</x:v>
      </x:c>
      <x:c r="C1556" s="11" t="str">
        <x:v>associateProfitCNYmillion</x:v>
      </x:c>
      <x:c r="D1556" s="39" t="n">
        <x:v>-588.574</x:v>
      </x:c>
      <x:c r="E1556" s="11" t="str">
        <x:v>CNY</x:v>
      </x:c>
      <x:c r="F1556" s="11" t="str">
        <x:v>CNY million</x:v>
      </x:c>
      <x:c r="G1556" s="11" t="str">
        <x:v>2026H1</x:v>
      </x:c>
      <x:c r="H1556" s="11" t="str">
        <x:v>2026-09-29官网中报；Q2结果2026-08-28 17:31闭市后</x:v>
      </x:c>
      <x:c r="I1556" s="11" t="str">
        <x:v>https://media-meituan.todayir.com/20260929060801160312349730_en.pdf</x:v>
      </x:c>
      <x:c r="J1556" s="11" t="str">
        <x:v>reported input</x:v>
      </x:c>
      <x:c r="K1556" s="11" t="str">
        <x:v>待核</x:v>
      </x:c>
      <x:c r="L1556" s="11" t="str">
        <x:v>精确发布时间未核验</x:v>
      </x:c>
      <x:c r="M1556" s="11" t="str">
        <x:v>截止日前日期，盘中时分未核</x:v>
      </x:c>
    </x:row>
    <x:row r="1557" ht="23" customHeight="1">
      <x:c r="A1557" s="11" t="str">
        <x:v>I078</x:v>
      </x:c>
      <x:c r="B1557" s="11" t="str">
        <x:v>03690.HK</x:v>
      </x:c>
      <x:c r="C1557" s="11" t="str">
        <x:v>OCFCNYmillion</x:v>
      </x:c>
      <x:c r="D1557" s="39" t="n">
        <x:v>2719.085</x:v>
      </x:c>
      <x:c r="E1557" s="11" t="str">
        <x:v>CNY</x:v>
      </x:c>
      <x:c r="F1557" s="11" t="str">
        <x:v>CNY million</x:v>
      </x:c>
      <x:c r="G1557" s="11" t="str">
        <x:v>2026H1</x:v>
      </x:c>
      <x:c r="H1557" s="11" t="str">
        <x:v>2026-09-29官网中报；Q2结果2026-08-28 17:31闭市后</x:v>
      </x:c>
      <x:c r="I1557" s="11" t="str">
        <x:v>https://media-meituan.todayir.com/20260929060801160312349730_en.pdf</x:v>
      </x:c>
      <x:c r="J1557" s="11" t="str">
        <x:v>reported input</x:v>
      </x:c>
      <x:c r="K1557" s="11" t="str">
        <x:v>待核</x:v>
      </x:c>
      <x:c r="L1557" s="11" t="str">
        <x:v>精确发布时间未核验</x:v>
      </x:c>
      <x:c r="M1557" s="11" t="str">
        <x:v>截止日前日期，盘中时分未核</x:v>
      </x:c>
    </x:row>
    <x:row r="1558" ht="23" customHeight="1">
      <x:c r="A1558" s="11" t="str">
        <x:v>I078</x:v>
      </x:c>
      <x:c r="B1558" s="11" t="str">
        <x:v>03690.HK</x:v>
      </x:c>
      <x:c r="C1558" s="11" t="str">
        <x:v>Q2OCFCNYmillion</x:v>
      </x:c>
      <x:c r="D1558" s="39" t="n">
        <x:v>9733.444</x:v>
      </x:c>
      <x:c r="E1558" s="11" t="str">
        <x:v>CNY</x:v>
      </x:c>
      <x:c r="F1558" s="11" t="str">
        <x:v>CNY million</x:v>
      </x:c>
      <x:c r="G1558" s="11" t="str">
        <x:v>2026Q2</x:v>
      </x:c>
      <x:c r="H1558" s="11" t="str">
        <x:v>2026-09-29官网中报；Q2结果2026-08-28 17:31闭市后</x:v>
      </x:c>
      <x:c r="I1558" s="11" t="str">
        <x:v>https://media-meituan.todayir.com/20260929060801160312349730_en.pdf</x:v>
      </x:c>
      <x:c r="J1558" s="11" t="str">
        <x:v>reported input</x:v>
      </x:c>
      <x:c r="K1558" s="11" t="str">
        <x:v>待核</x:v>
      </x:c>
      <x:c r="L1558" s="11" t="str">
        <x:v>精确发布时间未核验</x:v>
      </x:c>
      <x:c r="M1558" s="11" t="str">
        <x:v>截止日前日期，盘中时分未核</x:v>
      </x:c>
    </x:row>
    <x:row r="1559" ht="23" customHeight="1">
      <x:c r="A1559" s="11" t="str">
        <x:v>I078</x:v>
      </x:c>
      <x:c r="B1559" s="11" t="str">
        <x:v>03690.HK</x:v>
      </x:c>
      <x:c r="C1559" s="11" t="str">
        <x:v>cashPPEAndIntangibleCNYmillion</x:v>
      </x:c>
      <x:c r="D1559" s="39" t="n">
        <x:v>6584.447</x:v>
      </x:c>
      <x:c r="E1559" s="11" t="str">
        <x:v>CNY</x:v>
      </x:c>
      <x:c r="F1559" s="11" t="str">
        <x:v>CNY million</x:v>
      </x:c>
      <x:c r="G1559" s="11" t="str">
        <x:v>2026H1</x:v>
      </x:c>
      <x:c r="H1559" s="11" t="str">
        <x:v>2026-09-29官网中报；Q2结果2026-08-28 17:31闭市后</x:v>
      </x:c>
      <x:c r="I1559" s="11" t="str">
        <x:v>https://media-meituan.todayir.com/20260929060801160312349730_en.pdf</x:v>
      </x:c>
      <x:c r="J1559" s="11" t="str">
        <x:v>reported input</x:v>
      </x:c>
      <x:c r="K1559" s="11" t="str">
        <x:v>待核</x:v>
      </x:c>
      <x:c r="L1559" s="11" t="str">
        <x:v>精确发布时间未核验</x:v>
      </x:c>
      <x:c r="M1559" s="11" t="str">
        <x:v>截止日前日期，盘中时分未核</x:v>
      </x:c>
    </x:row>
    <x:row r="1560" ht="23" customHeight="1">
      <x:c r="A1560" s="11" t="str">
        <x:v>I078</x:v>
      </x:c>
      <x:c r="B1560" s="11" t="str">
        <x:v>03690.HK</x:v>
      </x:c>
      <x:c r="C1560" s="11" t="str">
        <x:v>leaseCashCNYmillion</x:v>
      </x:c>
      <x:c r="D1560" s="39" t="n">
        <x:v>1606.666</x:v>
      </x:c>
      <x:c r="E1560" s="11" t="str">
        <x:v>CNY</x:v>
      </x:c>
      <x:c r="F1560" s="11" t="str">
        <x:v>CNY million</x:v>
      </x:c>
      <x:c r="G1560" s="11" t="str">
        <x:v>2026H1</x:v>
      </x:c>
      <x:c r="H1560" s="11" t="str">
        <x:v>2026-09-29官网中报；Q2结果2026-08-28 17:31闭市后</x:v>
      </x:c>
      <x:c r="I1560" s="11" t="str">
        <x:v>https://media-meituan.todayir.com/20260929060801160312349730_en.pdf</x:v>
      </x:c>
      <x:c r="J1560" s="11" t="str">
        <x:v>reported input</x:v>
      </x:c>
      <x:c r="K1560" s="11" t="str">
        <x:v>待核</x:v>
      </x:c>
      <x:c r="L1560" s="11" t="str">
        <x:v>精确发布时间未核验</x:v>
      </x:c>
      <x:c r="M1560" s="11" t="str">
        <x:v>截止日前日期，盘中时分未核</x:v>
      </x:c>
    </x:row>
    <x:row r="1561" ht="23" customHeight="1">
      <x:c r="A1561" s="11" t="str">
        <x:v>I078</x:v>
      </x:c>
      <x:c r="B1561" s="11" t="str">
        <x:v>03690.HK</x:v>
      </x:c>
      <x:c r="C1561" s="11" t="str">
        <x:v>FCFResearchProxyCNYmillion</x:v>
      </x:c>
      <x:c r="D1561" s="39" t="n">
        <x:v>-3865.362</x:v>
      </x:c>
      <x:c r="E1561" s="11" t="str">
        <x:v>CNY</x:v>
      </x:c>
      <x:c r="F1561" s="11" t="str">
        <x:v>CNY million</x:v>
      </x:c>
      <x:c r="G1561" s="11" t="str">
        <x:v>2026H1</x:v>
      </x:c>
      <x:c r="H1561" s="11" t="str">
        <x:v>2026-09-29官网中报；Q2结果2026-08-28 17:31闭市后</x:v>
      </x:c>
      <x:c r="I1561" s="11" t="str">
        <x:v>https://media-meituan.todayir.com/20260929060801160312349730_en.pdf</x:v>
      </x:c>
      <x:c r="J1561" s="11" t="str">
        <x:v>research calculation from primary inputs</x:v>
      </x:c>
      <x:c r="K1561" s="11" t="str">
        <x:v>待核</x:v>
      </x:c>
      <x:c r="L1561" s="11" t="str">
        <x:v>精确发布时间未核验</x:v>
      </x:c>
      <x:c r="M1561" s="11" t="str">
        <x:v>截止日前日期，盘中时分未核</x:v>
      </x:c>
    </x:row>
    <x:row r="1562" ht="23" customHeight="1">
      <x:c r="A1562" s="11" t="str">
        <x:v>I078</x:v>
      </x:c>
      <x:c r="B1562" s="11" t="str">
        <x:v>03690.HK</x:v>
      </x:c>
      <x:c r="C1562" s="11" t="str">
        <x:v>FCFAfterLeaseResearchCNYmillion</x:v>
      </x:c>
      <x:c r="D1562" s="39" t="n">
        <x:v>-5472.028</x:v>
      </x:c>
      <x:c r="E1562" s="11" t="str">
        <x:v>CNY</x:v>
      </x:c>
      <x:c r="F1562" s="11" t="str">
        <x:v>CNY million</x:v>
      </x:c>
      <x:c r="G1562" s="11" t="str">
        <x:v>2026H1</x:v>
      </x:c>
      <x:c r="H1562" s="11" t="str">
        <x:v>2026-09-29官网中报；Q2结果2026-08-28 17:31闭市后</x:v>
      </x:c>
      <x:c r="I1562" s="11" t="str">
        <x:v>https://media-meituan.todayir.com/20260929060801160312349730_en.pdf</x:v>
      </x:c>
      <x:c r="J1562" s="11" t="str">
        <x:v>research calculation from primary inputs</x:v>
      </x:c>
      <x:c r="K1562" s="11" t="str">
        <x:v>待核</x:v>
      </x:c>
      <x:c r="L1562" s="11" t="str">
        <x:v>精确发布时间未核验</x:v>
      </x:c>
      <x:c r="M1562" s="11" t="str">
        <x:v>截止日前日期，盘中时分未核</x:v>
      </x:c>
    </x:row>
    <x:row r="1563" ht="23" customHeight="1">
      <x:c r="A1563" s="11" t="str">
        <x:v>I078</x:v>
      </x:c>
      <x:c r="B1563" s="11" t="str">
        <x:v>03690.HK</x:v>
      </x:c>
      <x:c r="C1563" s="11" t="str">
        <x:v>cashEquivalentsCNYmillion</x:v>
      </x:c>
      <x:c r="D1563" s="39" t="n">
        <x:v>104716.797</x:v>
      </x:c>
      <x:c r="E1563" s="11" t="str">
        <x:v>CNY</x:v>
      </x:c>
      <x:c r="F1563" s="11" t="str">
        <x:v>CNY million</x:v>
      </x:c>
      <x:c r="G1563" s="11" t="str">
        <x:v>2026H1</x:v>
      </x:c>
      <x:c r="H1563" s="11" t="str">
        <x:v>2026-09-29官网中报；Q2结果2026-08-28 17:31闭市后</x:v>
      </x:c>
      <x:c r="I1563" s="11" t="str">
        <x:v>https://media-meituan.todayir.com/20260929060801160312349730_en.pdf</x:v>
      </x:c>
      <x:c r="J1563" s="11" t="str">
        <x:v>reported input</x:v>
      </x:c>
      <x:c r="K1563" s="11" t="str">
        <x:v>待核</x:v>
      </x:c>
      <x:c r="L1563" s="11" t="str">
        <x:v>精确发布时间未核验</x:v>
      </x:c>
      <x:c r="M1563" s="11" t="str">
        <x:v>截止日前日期，盘中时分未核</x:v>
      </x:c>
    </x:row>
    <x:row r="1564" ht="23" customHeight="1">
      <x:c r="A1564" s="11" t="str">
        <x:v>I078</x:v>
      </x:c>
      <x:c r="B1564" s="11" t="str">
        <x:v>03690.HK</x:v>
      </x:c>
      <x:c r="C1564" s="11" t="str">
        <x:v>shortTreasuryCNYmillion</x:v>
      </x:c>
      <x:c r="D1564" s="39" t="n">
        <x:v>63597.373</x:v>
      </x:c>
      <x:c r="E1564" s="11" t="str">
        <x:v>CNY</x:v>
      </x:c>
      <x:c r="F1564" s="11" t="str">
        <x:v>CNY million</x:v>
      </x:c>
      <x:c r="G1564" s="11" t="str">
        <x:v>2026H1</x:v>
      </x:c>
      <x:c r="H1564" s="11" t="str">
        <x:v>2026-09-29官网中报；Q2结果2026-08-28 17:31闭市后</x:v>
      </x:c>
      <x:c r="I1564" s="11" t="str">
        <x:v>https://media-meituan.todayir.com/20260929060801160312349730_en.pdf</x:v>
      </x:c>
      <x:c r="J1564" s="11" t="str">
        <x:v>reported input</x:v>
      </x:c>
      <x:c r="K1564" s="11" t="str">
        <x:v>待核</x:v>
      </x:c>
      <x:c r="L1564" s="11" t="str">
        <x:v>精确发布时间未核验</x:v>
      </x:c>
      <x:c r="M1564" s="11" t="str">
        <x:v>截止日前日期，盘中时分未核</x:v>
      </x:c>
    </x:row>
    <x:row r="1565" ht="23" customHeight="1">
      <x:c r="A1565" s="11" t="str">
        <x:v>I078</x:v>
      </x:c>
      <x:c r="B1565" s="11" t="str">
        <x:v>03690.HK</x:v>
      </x:c>
      <x:c r="C1565" s="11" t="str">
        <x:v>longTreasuryCNYmillion</x:v>
      </x:c>
      <x:c r="D1565" s="39" t="n">
        <x:v>128.672</x:v>
      </x:c>
      <x:c r="E1565" s="11" t="str">
        <x:v>CNY</x:v>
      </x:c>
      <x:c r="F1565" s="11" t="str">
        <x:v>CNY million</x:v>
      </x:c>
      <x:c r="G1565" s="11" t="str">
        <x:v>2026H1</x:v>
      </x:c>
      <x:c r="H1565" s="11" t="str">
        <x:v>2026-09-29官网中报；Q2结果2026-08-28 17:31闭市后</x:v>
      </x:c>
      <x:c r="I1565" s="11" t="str">
        <x:v>https://media-meituan.todayir.com/20260929060801160312349730_en.pdf</x:v>
      </x:c>
      <x:c r="J1565" s="11" t="str">
        <x:v>reported input</x:v>
      </x:c>
      <x:c r="K1565" s="11" t="str">
        <x:v>待核</x:v>
      </x:c>
      <x:c r="L1565" s="11" t="str">
        <x:v>精确发布时间未核验</x:v>
      </x:c>
      <x:c r="M1565" s="11" t="str">
        <x:v>截止日前日期，盘中时分未核</x:v>
      </x:c>
    </x:row>
    <x:row r="1566" ht="23" customHeight="1">
      <x:c r="A1566" s="11" t="str">
        <x:v>I078</x:v>
      </x:c>
      <x:c r="B1566" s="11" t="str">
        <x:v>03690.HK</x:v>
      </x:c>
      <x:c r="C1566" s="11" t="str">
        <x:v>restrictedCashCNYmillion</x:v>
      </x:c>
      <x:c r="D1566" s="39" t="n">
        <x:v>21947.198</x:v>
      </x:c>
      <x:c r="E1566" s="11" t="str">
        <x:v>CNY</x:v>
      </x:c>
      <x:c r="F1566" s="11" t="str">
        <x:v>CNY million</x:v>
      </x:c>
      <x:c r="G1566" s="11" t="str">
        <x:v>2026H1</x:v>
      </x:c>
      <x:c r="H1566" s="11" t="str">
        <x:v>2026-09-29官网中报；Q2结果2026-08-28 17:31闭市后</x:v>
      </x:c>
      <x:c r="I1566" s="11" t="str">
        <x:v>https://media-meituan.todayir.com/20260929060801160312349730_en.pdf</x:v>
      </x:c>
      <x:c r="J1566" s="11" t="str">
        <x:v>reported input</x:v>
      </x:c>
      <x:c r="K1566" s="11" t="str">
        <x:v>待核</x:v>
      </x:c>
      <x:c r="L1566" s="11" t="str">
        <x:v>精确发布时间未核验</x:v>
      </x:c>
      <x:c r="M1566" s="11" t="str">
        <x:v>截止日前日期，盘中时分未核</x:v>
      </x:c>
    </x:row>
    <x:row r="1567" ht="23" customHeight="1">
      <x:c r="A1567" s="11" t="str">
        <x:v>I078</x:v>
      </x:c>
      <x:c r="B1567" s="11" t="str">
        <x:v>03690.HK</x:v>
      </x:c>
      <x:c r="C1567" s="11" t="str">
        <x:v>bankDebtCNYmillion</x:v>
      </x:c>
      <x:c r="D1567" s="39" t="n">
        <x:v>42138.301</x:v>
      </x:c>
      <x:c r="E1567" s="11" t="str">
        <x:v>CNY</x:v>
      </x:c>
      <x:c r="F1567" s="11" t="str">
        <x:v>CNY million</x:v>
      </x:c>
      <x:c r="G1567" s="11" t="str">
        <x:v>2026H1</x:v>
      </x:c>
      <x:c r="H1567" s="11" t="str">
        <x:v>2026-09-29官网中报；Q2结果2026-08-28 17:31闭市后</x:v>
      </x:c>
      <x:c r="I1567" s="11" t="str">
        <x:v>https://media-meituan.todayir.com/20260929060801160312349730_en.pdf</x:v>
      </x:c>
      <x:c r="J1567" s="11" t="str">
        <x:v>reported input</x:v>
      </x:c>
      <x:c r="K1567" s="11" t="str">
        <x:v>待核</x:v>
      </x:c>
      <x:c r="L1567" s="11" t="str">
        <x:v>精确发布时间未核验</x:v>
      </x:c>
      <x:c r="M1567" s="11" t="str">
        <x:v>截止日前日期，盘中时分未核</x:v>
      </x:c>
    </x:row>
    <x:row r="1568" ht="23" customHeight="1">
      <x:c r="A1568" s="11" t="str">
        <x:v>I078</x:v>
      </x:c>
      <x:c r="B1568" s="11" t="str">
        <x:v>03690.HK</x:v>
      </x:c>
      <x:c r="C1568" s="11" t="str">
        <x:v>notesDebtCNYmillion</x:v>
      </x:c>
      <x:c r="D1568" s="39" t="n">
        <x:v>46562.954</x:v>
      </x:c>
      <x:c r="E1568" s="11" t="str">
        <x:v>CNY</x:v>
      </x:c>
      <x:c r="F1568" s="11" t="str">
        <x:v>CNY million</x:v>
      </x:c>
      <x:c r="G1568" s="11" t="str">
        <x:v>2026H1</x:v>
      </x:c>
      <x:c r="H1568" s="11" t="str">
        <x:v>2026-09-29官网中报；Q2结果2026-08-28 17:31闭市后</x:v>
      </x:c>
      <x:c r="I1568" s="11" t="str">
        <x:v>https://media-meituan.todayir.com/20260929060801160312349730_en.pdf</x:v>
      </x:c>
      <x:c r="J1568" s="11" t="str">
        <x:v>reported input</x:v>
      </x:c>
      <x:c r="K1568" s="11" t="str">
        <x:v>待核</x:v>
      </x:c>
      <x:c r="L1568" s="11" t="str">
        <x:v>精确发布时间未核验</x:v>
      </x:c>
      <x:c r="M1568" s="11" t="str">
        <x:v>截止日前日期，盘中时分未核</x:v>
      </x:c>
    </x:row>
    <x:row r="1569" ht="23" customHeight="1">
      <x:c r="A1569" s="11" t="str">
        <x:v>I078</x:v>
      </x:c>
      <x:c r="B1569" s="11" t="str">
        <x:v>03690.HK</x:v>
      </x:c>
      <x:c r="C1569" s="11" t="str">
        <x:v>totalBankNotesDebtCNYmillion</x:v>
      </x:c>
      <x:c r="D1569" s="39" t="n">
        <x:v>88701.255</x:v>
      </x:c>
      <x:c r="E1569" s="11" t="str">
        <x:v>CNY</x:v>
      </x:c>
      <x:c r="F1569" s="11" t="str">
        <x:v>CNY million</x:v>
      </x:c>
      <x:c r="G1569" s="11" t="str">
        <x:v>2026H1</x:v>
      </x:c>
      <x:c r="H1569" s="11" t="str">
        <x:v>2026-09-29官网中报；Q2结果2026-08-28 17:31闭市后</x:v>
      </x:c>
      <x:c r="I1569" s="11" t="str">
        <x:v>https://media-meituan.todayir.com/20260929060801160312349730_en.pdf</x:v>
      </x:c>
      <x:c r="J1569" s="11" t="str">
        <x:v>reported input</x:v>
      </x:c>
      <x:c r="K1569" s="11" t="str">
        <x:v>待核</x:v>
      </x:c>
      <x:c r="L1569" s="11" t="str">
        <x:v>精确发布时间未核验</x:v>
      </x:c>
      <x:c r="M1569" s="11" t="str">
        <x:v>截止日前日期，盘中时分未核</x:v>
      </x:c>
    </x:row>
    <x:row r="1570" ht="23" customHeight="1">
      <x:c r="A1570" s="11" t="str">
        <x:v>I078</x:v>
      </x:c>
      <x:c r="B1570" s="11" t="str">
        <x:v>03690.HK</x:v>
      </x:c>
      <x:c r="C1570" s="11" t="str">
        <x:v>leaseLiabilitiesCNYmillion</x:v>
      </x:c>
      <x:c r="D1570" s="39" t="n">
        <x:v>7116.047</x:v>
      </x:c>
      <x:c r="E1570" s="11" t="str">
        <x:v>CNY</x:v>
      </x:c>
      <x:c r="F1570" s="11" t="str">
        <x:v>CNY million</x:v>
      </x:c>
      <x:c r="G1570" s="11" t="str">
        <x:v>2026H1</x:v>
      </x:c>
      <x:c r="H1570" s="11" t="str">
        <x:v>2026-09-29官网中报；Q2结果2026-08-28 17:31闭市后</x:v>
      </x:c>
      <x:c r="I1570" s="11" t="str">
        <x:v>https://media-meituan.todayir.com/20260929060801160312349730_en.pdf</x:v>
      </x:c>
      <x:c r="J1570" s="11" t="str">
        <x:v>reported input</x:v>
      </x:c>
      <x:c r="K1570" s="11" t="str">
        <x:v>待核</x:v>
      </x:c>
      <x:c r="L1570" s="11" t="str">
        <x:v>精确发布时间未核验</x:v>
      </x:c>
      <x:c r="M1570" s="11" t="str">
        <x:v>截止日前日期，盘中时分未核</x:v>
      </x:c>
    </x:row>
    <x:row r="1571" ht="23" customHeight="1">
      <x:c r="A1571" s="11" t="str">
        <x:v>I078</x:v>
      </x:c>
      <x:c r="B1571" s="11" t="str">
        <x:v>03690.HK</x:v>
      </x:c>
      <x:c r="C1571" s="11" t="str">
        <x:v>netCashEquivalentsResearchCNYmillion</x:v>
      </x:c>
      <x:c r="D1571" s="39" t="n">
        <x:v>16015.542</x:v>
      </x:c>
      <x:c r="E1571" s="11" t="str">
        <x:v>CNY</x:v>
      </x:c>
      <x:c r="F1571" s="11" t="str">
        <x:v>CNY million</x:v>
      </x:c>
      <x:c r="G1571" s="11" t="str">
        <x:v>2026H1</x:v>
      </x:c>
      <x:c r="H1571" s="11" t="str">
        <x:v>2026-09-29官网中报；Q2结果2026-08-28 17:31闭市后</x:v>
      </x:c>
      <x:c r="I1571" s="11" t="str">
        <x:v>https://media-meituan.todayir.com/20260929060801160312349730_en.pdf</x:v>
      </x:c>
      <x:c r="J1571" s="11" t="str">
        <x:v>research calculation from primary inputs</x:v>
      </x:c>
      <x:c r="K1571" s="11" t="str">
        <x:v>待核</x:v>
      </x:c>
      <x:c r="L1571" s="11" t="str">
        <x:v>精确发布时间未核验</x:v>
      </x:c>
      <x:c r="M1571" s="11" t="str">
        <x:v>截止日前日期，盘中时分未核</x:v>
      </x:c>
    </x:row>
    <x:row r="1572" ht="23" customHeight="1">
      <x:c r="A1572" s="11" t="str">
        <x:v>I078</x:v>
      </x:c>
      <x:c r="B1572" s="11" t="str">
        <x:v>03690.HK</x:v>
      </x:c>
      <x:c r="C1572" s="11" t="str">
        <x:v>netLiquidTreasuryResearchCNYmillion</x:v>
      </x:c>
      <x:c r="D1572" s="39" t="n">
        <x:v>79741.587</x:v>
      </x:c>
      <x:c r="E1572" s="11" t="str">
        <x:v>CNY</x:v>
      </x:c>
      <x:c r="F1572" s="11" t="str">
        <x:v>CNY million</x:v>
      </x:c>
      <x:c r="G1572" s="11" t="str">
        <x:v>2026H1</x:v>
      </x:c>
      <x:c r="H1572" s="11" t="str">
        <x:v>2026-09-29官网中报；Q2结果2026-08-28 17:31闭市后</x:v>
      </x:c>
      <x:c r="I1572" s="11" t="str">
        <x:v>https://media-meituan.todayir.com/20260929060801160312349730_en.pdf</x:v>
      </x:c>
      <x:c r="J1572" s="11" t="str">
        <x:v>research calculation from primary inputs</x:v>
      </x:c>
      <x:c r="K1572" s="11" t="str">
        <x:v>待核</x:v>
      </x:c>
      <x:c r="L1572" s="11" t="str">
        <x:v>精确发布时间未核验</x:v>
      </x:c>
      <x:c r="M1572" s="11" t="str">
        <x:v>截止日前日期，盘中时分未核</x:v>
      </x:c>
    </x:row>
    <x:row r="1573" ht="23" customHeight="1">
      <x:c r="A1573" s="11" t="str">
        <x:v>I078</x:v>
      </x:c>
      <x:c r="B1573" s="11" t="str">
        <x:v>03690.HK</x:v>
      </x:c>
      <x:c r="C1573" s="11" t="str">
        <x:v>tradePayablesCNYmillion</x:v>
      </x:c>
      <x:c r="D1573" s="39" t="n">
        <x:v>39013.007</x:v>
      </x:c>
      <x:c r="E1573" s="11" t="str">
        <x:v>CNY</x:v>
      </x:c>
      <x:c r="F1573" s="11" t="str">
        <x:v>CNY million</x:v>
      </x:c>
      <x:c r="G1573" s="11" t="str">
        <x:v>2026H1</x:v>
      </x:c>
      <x:c r="H1573" s="11" t="str">
        <x:v>2026-09-29官网中报；Q2结果2026-08-28 17:31闭市后</x:v>
      </x:c>
      <x:c r="I1573" s="11" t="str">
        <x:v>https://media-meituan.todayir.com/20260929060801160312349730_en.pdf</x:v>
      </x:c>
      <x:c r="J1573" s="11" t="str">
        <x:v>reported input</x:v>
      </x:c>
      <x:c r="K1573" s="11" t="str">
        <x:v>待核</x:v>
      </x:c>
      <x:c r="L1573" s="11" t="str">
        <x:v>精确发布时间未核验</x:v>
      </x:c>
      <x:c r="M1573" s="11" t="str">
        <x:v>截止日前日期，盘中时分未核</x:v>
      </x:c>
    </x:row>
    <x:row r="1574" ht="23" customHeight="1">
      <x:c r="A1574" s="11" t="str">
        <x:v>I078</x:v>
      </x:c>
      <x:c r="B1574" s="11" t="str">
        <x:v>03690.HK</x:v>
      </x:c>
      <x:c r="C1574" s="11" t="str">
        <x:v>merchantPayablesCNYmillion</x:v>
      </x:c>
      <x:c r="D1574" s="39" t="n">
        <x:v>27176.288</x:v>
      </x:c>
      <x:c r="E1574" s="11" t="str">
        <x:v>CNY</x:v>
      </x:c>
      <x:c r="F1574" s="11" t="str">
        <x:v>CNY million</x:v>
      </x:c>
      <x:c r="G1574" s="11" t="str">
        <x:v>2026H1</x:v>
      </x:c>
      <x:c r="H1574" s="11" t="str">
        <x:v>2026-09-29官网中报；Q2结果2026-08-28 17:31闭市后</x:v>
      </x:c>
      <x:c r="I1574" s="11" t="str">
        <x:v>https://media-meituan.todayir.com/20260929060801160312349730_en.pdf</x:v>
      </x:c>
      <x:c r="J1574" s="11" t="str">
        <x:v>reported input</x:v>
      </x:c>
      <x:c r="K1574" s="11" t="str">
        <x:v>待核</x:v>
      </x:c>
      <x:c r="L1574" s="11" t="str">
        <x:v>精确发布时间未核验</x:v>
      </x:c>
      <x:c r="M1574" s="11" t="str">
        <x:v>截止日前日期，盘中时分未核</x:v>
      </x:c>
    </x:row>
    <x:row r="1575" ht="23" customHeight="1">
      <x:c r="A1575" s="11" t="str">
        <x:v>I078</x:v>
      </x:c>
      <x:c r="B1575" s="11" t="str">
        <x:v>03690.HK</x:v>
      </x:c>
      <x:c r="C1575" s="11" t="str">
        <x:v>userAdvancesCNYmillion</x:v>
      </x:c>
      <x:c r="D1575" s="39" t="n">
        <x:v>10299.685</x:v>
      </x:c>
      <x:c r="E1575" s="11" t="str">
        <x:v>CNY</x:v>
      </x:c>
      <x:c r="F1575" s="11" t="str">
        <x:v>CNY million</x:v>
      </x:c>
      <x:c r="G1575" s="11" t="str">
        <x:v>2026H1</x:v>
      </x:c>
      <x:c r="H1575" s="11" t="str">
        <x:v>2026-09-29官网中报；Q2结果2026-08-28 17:31闭市后</x:v>
      </x:c>
      <x:c r="I1575" s="11" t="str">
        <x:v>https://media-meituan.todayir.com/20260929060801160312349730_en.pdf</x:v>
      </x:c>
      <x:c r="J1575" s="11" t="str">
        <x:v>reported input</x:v>
      </x:c>
      <x:c r="K1575" s="11" t="str">
        <x:v>待核</x:v>
      </x:c>
      <x:c r="L1575" s="11" t="str">
        <x:v>精确发布时间未核验</x:v>
      </x:c>
      <x:c r="M1575" s="11" t="str">
        <x:v>截止日前日期，盘中时分未核</x:v>
      </x:c>
    </x:row>
    <x:row r="1576" ht="23" customHeight="1">
      <x:c r="A1576" s="11" t="str">
        <x:v>I078</x:v>
      </x:c>
      <x:c r="B1576" s="11" t="str">
        <x:v>03690.HK</x:v>
      </x:c>
      <x:c r="C1576" s="11" t="str">
        <x:v>inventoriesCNYmillion</x:v>
      </x:c>
      <x:c r="D1576" s="39" t="n">
        <x:v>4155.077</x:v>
      </x:c>
      <x:c r="E1576" s="11" t="str">
        <x:v>CNY</x:v>
      </x:c>
      <x:c r="F1576" s="11" t="str">
        <x:v>CNY million</x:v>
      </x:c>
      <x:c r="G1576" s="11" t="str">
        <x:v>2026H1</x:v>
      </x:c>
      <x:c r="H1576" s="11" t="str">
        <x:v>2026-09-29官网中报；Q2结果2026-08-28 17:31闭市后</x:v>
      </x:c>
      <x:c r="I1576" s="11" t="str">
        <x:v>https://media-meituan.todayir.com/20260929060801160312349730_en.pdf</x:v>
      </x:c>
      <x:c r="J1576" s="11" t="str">
        <x:v>reported input</x:v>
      </x:c>
      <x:c r="K1576" s="11" t="str">
        <x:v>待核</x:v>
      </x:c>
      <x:c r="L1576" s="11" t="str">
        <x:v>精确发布时间未核验</x:v>
      </x:c>
      <x:c r="M1576" s="11" t="str">
        <x:v>截止日前日期，盘中时分未核</x:v>
      </x:c>
    </x:row>
    <x:row r="1577" ht="23" customHeight="1">
      <x:c r="A1577" s="11" t="str">
        <x:v>I078</x:v>
      </x:c>
      <x:c r="B1577" s="11" t="str">
        <x:v>03690.HK</x:v>
      </x:c>
      <x:c r="C1577" s="11" t="str">
        <x:v>receivablesCNYmillion</x:v>
      </x:c>
      <x:c r="D1577" s="39" t="n">
        <x:v>3908.524</x:v>
      </x:c>
      <x:c r="E1577" s="11" t="str">
        <x:v>CNY</x:v>
      </x:c>
      <x:c r="F1577" s="11" t="str">
        <x:v>CNY million</x:v>
      </x:c>
      <x:c r="G1577" s="11" t="str">
        <x:v>2026H1</x:v>
      </x:c>
      <x:c r="H1577" s="11" t="str">
        <x:v>2026-09-29官网中报；Q2结果2026-08-28 17:31闭市后</x:v>
      </x:c>
      <x:c r="I1577" s="11" t="str">
        <x:v>https://media-meituan.todayir.com/20260929060801160312349730_en.pdf</x:v>
      </x:c>
      <x:c r="J1577" s="11" t="str">
        <x:v>reported input</x:v>
      </x:c>
      <x:c r="K1577" s="11" t="str">
        <x:v>待核</x:v>
      </x:c>
      <x:c r="L1577" s="11" t="str">
        <x:v>精确发布时间未核验</x:v>
      </x:c>
      <x:c r="M1577" s="11" t="str">
        <x:v>截止日前日期，盘中时分未核</x:v>
      </x:c>
    </x:row>
    <x:row r="1578" ht="23" customHeight="1">
      <x:c r="A1578" s="11" t="str">
        <x:v>I078</x:v>
      </x:c>
      <x:c r="B1578" s="11" t="str">
        <x:v>03690.HK</x:v>
      </x:c>
      <x:c r="C1578" s="11" t="str">
        <x:v>equityAttributableCNYmillion</x:v>
      </x:c>
      <x:c r="D1578" s="39" t="n">
        <x:v>169206.46</x:v>
      </x:c>
      <x:c r="E1578" s="11" t="str">
        <x:v>CNY</x:v>
      </x:c>
      <x:c r="F1578" s="11" t="str">
        <x:v>CNY million</x:v>
      </x:c>
      <x:c r="G1578" s="11" t="str">
        <x:v>2026H1</x:v>
      </x:c>
      <x:c r="H1578" s="11" t="str">
        <x:v>2026-09-29官网中报；Q2结果2026-08-28 17:31闭市后</x:v>
      </x:c>
      <x:c r="I1578" s="11" t="str">
        <x:v>https://media-meituan.todayir.com/20260929060801160312349730_en.pdf</x:v>
      </x:c>
      <x:c r="J1578" s="11" t="str">
        <x:v>reported input</x:v>
      </x:c>
      <x:c r="K1578" s="11" t="str">
        <x:v>待核</x:v>
      </x:c>
      <x:c r="L1578" s="11" t="str">
        <x:v>精确发布时间未核验</x:v>
      </x:c>
      <x:c r="M1578" s="11" t="str">
        <x:v>截止日前日期，盘中时分未核</x:v>
      </x:c>
    </x:row>
    <x:row r="1579" ht="23" customHeight="1">
      <x:c r="A1579" s="11" t="str">
        <x:v>I078</x:v>
      </x:c>
      <x:c r="B1579" s="11" t="str">
        <x:v>03690.HK</x:v>
      </x:c>
      <x:c r="C1579" s="11" t="str">
        <x:v>PPECNYmillion</x:v>
      </x:c>
      <x:c r="D1579" s="39" t="n">
        <x:v>43294.685</x:v>
      </x:c>
      <x:c r="E1579" s="11" t="str">
        <x:v>CNY</x:v>
      </x:c>
      <x:c r="F1579" s="11" t="str">
        <x:v>CNY million</x:v>
      </x:c>
      <x:c r="G1579" s="11" t="str">
        <x:v>2026H1</x:v>
      </x:c>
      <x:c r="H1579" s="11" t="str">
        <x:v>2026-09-29官网中报；Q2结果2026-08-28 17:31闭市后</x:v>
      </x:c>
      <x:c r="I1579" s="11" t="str">
        <x:v>https://media-meituan.todayir.com/20260929060801160312349730_en.pdf</x:v>
      </x:c>
      <x:c r="J1579" s="11" t="str">
        <x:v>reported input</x:v>
      </x:c>
      <x:c r="K1579" s="11" t="str">
        <x:v>待核</x:v>
      </x:c>
      <x:c r="L1579" s="11" t="str">
        <x:v>精确发布时间未核验</x:v>
      </x:c>
      <x:c r="M1579" s="11" t="str">
        <x:v>截止日前日期，盘中时分未核</x:v>
      </x:c>
    </x:row>
    <x:row r="1580" ht="23" customHeight="1">
      <x:c r="A1580" s="11" t="str">
        <x:v>I078</x:v>
      </x:c>
      <x:c r="B1580" s="11" t="str">
        <x:v>03690.HK</x:v>
      </x:c>
      <x:c r="C1580" s="11" t="str">
        <x:v>FVOCIInvestmentsCNYmillion</x:v>
      </x:c>
      <x:c r="D1580" s="39" t="n">
        <x:v>36387.099</x:v>
      </x:c>
      <x:c r="E1580" s="11" t="str">
        <x:v>CNY</x:v>
      </x:c>
      <x:c r="F1580" s="11" t="str">
        <x:v>CNY million</x:v>
      </x:c>
      <x:c r="G1580" s="11" t="str">
        <x:v>2026H1</x:v>
      </x:c>
      <x:c r="H1580" s="11" t="str">
        <x:v>2026-09-29官网中报；Q2结果2026-08-28 17:31闭市后</x:v>
      </x:c>
      <x:c r="I1580" s="11" t="str">
        <x:v>https://media-meituan.todayir.com/20260929060801160312349730_en.pdf</x:v>
      </x:c>
      <x:c r="J1580" s="11" t="str">
        <x:v>reported input</x:v>
      </x:c>
      <x:c r="K1580" s="11" t="str">
        <x:v>待核</x:v>
      </x:c>
      <x:c r="L1580" s="11" t="str">
        <x:v>精确发布时间未核验</x:v>
      </x:c>
      <x:c r="M1580" s="11" t="str">
        <x:v>截止日前日期，盘中时分未核</x:v>
      </x:c>
    </x:row>
    <x:row r="1581" ht="23" customHeight="1">
      <x:c r="A1581" s="11" t="str">
        <x:v>I078</x:v>
      </x:c>
      <x:c r="B1581" s="11" t="str">
        <x:v>03690.HK</x:v>
      </x:c>
      <x:c r="C1581" s="11" t="str">
        <x:v>dingdongInitialPurchaseUSDmillion</x:v>
      </x:c>
      <x:c r="D1581" s="39" t="n">
        <x:v>717</x:v>
      </x:c>
      <x:c r="E1581" s="11" t="str">
        <x:v>USD</x:v>
      </x:c>
      <x:c r="F1581" s="11" t="str">
        <x:v>USD million</x:v>
      </x:c>
      <x:c r="G1581" s="11" t="str">
        <x:v>2026H1</x:v>
      </x:c>
      <x:c r="H1581" s="11" t="str">
        <x:v>2026-09-29官网中报；Q2结果2026-08-28 17:31闭市后</x:v>
      </x:c>
      <x:c r="I1581" s="11" t="str">
        <x:v>https://media-meituan.todayir.com/20260929060801160312349730_en.pdf</x:v>
      </x:c>
      <x:c r="J1581" s="11" t="str">
        <x:v>reported input</x:v>
      </x:c>
      <x:c r="K1581" s="11" t="str">
        <x:v>待核</x:v>
      </x:c>
      <x:c r="L1581" s="11" t="str">
        <x:v>精确发布时间未核验</x:v>
      </x:c>
      <x:c r="M1581" s="11" t="str">
        <x:v>截止日前日期，盘中时分未核</x:v>
      </x:c>
    </x:row>
    <x:row r="1582" ht="23" customHeight="1">
      <x:c r="A1582" s="11" t="str">
        <x:v>I078</x:v>
      </x:c>
      <x:c r="B1582" s="11" t="str">
        <x:v>03690.HK</x:v>
      </x:c>
      <x:c r="C1582" s="11" t="str">
        <x:v>capitalCommitmentPPECNYmillion</x:v>
      </x:c>
      <x:c r="D1582" s="39" t="n">
        <x:v>3994.799</x:v>
      </x:c>
      <x:c r="E1582" s="11" t="str">
        <x:v>CNY</x:v>
      </x:c>
      <x:c r="F1582" s="11" t="str">
        <x:v>CNY million</x:v>
      </x:c>
      <x:c r="G1582" s="11" t="str">
        <x:v>2026H1</x:v>
      </x:c>
      <x:c r="H1582" s="11" t="str">
        <x:v>2026-09-29官网中报；Q2结果2026-08-28 17:31闭市后</x:v>
      </x:c>
      <x:c r="I1582" s="11" t="str">
        <x:v>https://media-meituan.todayir.com/20260929060801160312349730_en.pdf</x:v>
      </x:c>
      <x:c r="J1582" s="11" t="str">
        <x:v>reported input</x:v>
      </x:c>
      <x:c r="K1582" s="11" t="str">
        <x:v>待核</x:v>
      </x:c>
      <x:c r="L1582" s="11" t="str">
        <x:v>精确发布时间未核验</x:v>
      </x:c>
      <x:c r="M1582" s="11" t="str">
        <x:v>截止日前日期，盘中时分未核</x:v>
      </x:c>
    </x:row>
    <x:row r="1583" ht="23" customHeight="1">
      <x:c r="A1583" s="11" t="str">
        <x:v>I078</x:v>
      </x:c>
      <x:c r="B1583" s="11" t="str">
        <x:v>03690.HK</x:v>
      </x:c>
      <x:c r="C1583" s="11" t="str">
        <x:v>capitalCommitmentInvestmentCNYmillion</x:v>
      </x:c>
      <x:c r="D1583" s="39" t="n">
        <x:v>1318.193</x:v>
      </x:c>
      <x:c r="E1583" s="11" t="str">
        <x:v>CNY</x:v>
      </x:c>
      <x:c r="F1583" s="11" t="str">
        <x:v>CNY million</x:v>
      </x:c>
      <x:c r="G1583" s="11" t="str">
        <x:v>2026H1</x:v>
      </x:c>
      <x:c r="H1583" s="11" t="str">
        <x:v>2026-09-29官网中报；Q2结果2026-08-28 17:31闭市后</x:v>
      </x:c>
      <x:c r="I1583" s="11" t="str">
        <x:v>https://media-meituan.todayir.com/20260929060801160312349730_en.pdf</x:v>
      </x:c>
      <x:c r="J1583" s="11" t="str">
        <x:v>reported input</x:v>
      </x:c>
      <x:c r="K1583" s="11" t="str">
        <x:v>待核</x:v>
      </x:c>
      <x:c r="L1583" s="11" t="str">
        <x:v>精确发布时间未核验</x:v>
      </x:c>
      <x:c r="M1583" s="11" t="str">
        <x:v>截止日前日期，盘中时分未核</x:v>
      </x:c>
    </x:row>
    <x:row r="1584" ht="23" customHeight="1">
      <x:c r="A1584" s="11" t="str">
        <x:v>I078</x:v>
      </x:c>
      <x:c r="B1584" s="11" t="str">
        <x:v>03690.HK</x:v>
      </x:c>
      <x:c r="C1584" s="11" t="str">
        <x:v>interimDividend</x:v>
      </x:c>
      <x:c r="D1584" s="39" t="n">
        <x:v>0</x:v>
      </x:c>
      <x:c r="E1584" s="11" t="str">
        <x:v>CNY</x:v>
      </x:c>
      <x:c r="F1584" s="11" t="str">
        <x:v>number as field</x:v>
      </x:c>
      <x:c r="G1584" s="11" t="str">
        <x:v>2026H1</x:v>
      </x:c>
      <x:c r="H1584" s="11" t="str">
        <x:v>2026-09-29官网中报；Q2结果2026-08-28 17:31闭市后</x:v>
      </x:c>
      <x:c r="I1584" s="11" t="str">
        <x:v>https://media-meituan.todayir.com/20260929060801160312349730_en.pdf</x:v>
      </x:c>
      <x:c r="J1584" s="11" t="str">
        <x:v>reported input</x:v>
      </x:c>
      <x:c r="K1584" s="11" t="str">
        <x:v>待核</x:v>
      </x:c>
      <x:c r="L1584" s="11" t="str">
        <x:v>精确发布时间未核验</x:v>
      </x:c>
      <x:c r="M1584" s="11" t="str">
        <x:v>截止日前日期，盘中时分未核</x:v>
      </x:c>
    </x:row>
    <x:row r="1585" ht="23" customHeight="1">
      <x:c r="A1585" s="11" t="str">
        <x:v>I082</x:v>
      </x:c>
      <x:c r="B1585" s="11" t="str">
        <x:v>00300.HK</x:v>
      </x:c>
      <x:c r="C1585" s="11" t="str">
        <x:v>revenueCNYmillion</x:v>
      </x:c>
      <x:c r="D1585" s="39" t="n">
        <x:v>458502.407</x:v>
      </x:c>
      <x:c r="E1585" s="11" t="str">
        <x:v>CNY</x:v>
      </x:c>
      <x:c r="F1585" s="11" t="str">
        <x:v>million</x:v>
      </x:c>
      <x:c r="G1585" s="11" t="str">
        <x:v>FY2025</x:v>
      </x:c>
      <x:c r="H1585" s="11" t="str">
        <x:v>2026-03-30年度结果；H股年报2026-04-24，目录时区未独立核验</x:v>
      </x:c>
      <x:c r="I1585" s="11" t="str">
        <x:v>https://ea-cdn.eurolandir.com/press-releases-attachments/4021177/HKEX-EPS_20260424_12120496_0.PDF</x:v>
      </x:c>
      <x:c r="J1585" s="11" t="str"/>
      <x:c r="K1585" s="11" t="str">
        <x:v>待核</x:v>
      </x:c>
      <x:c r="L1585" s="11" t="str">
        <x:v>精确发布时间未核验</x:v>
      </x:c>
      <x:c r="M1585" s="11" t="str">
        <x:v>截止日前日期，盘中时分未核</x:v>
      </x:c>
    </x:row>
    <x:row r="1586" ht="23" customHeight="1">
      <x:c r="A1586" s="11" t="str">
        <x:v>I082</x:v>
      </x:c>
      <x:c r="B1586" s="11" t="str">
        <x:v>00300.HK</x:v>
      </x:c>
      <x:c r="C1586" s="11" t="str">
        <x:v>operatingRevenuePRC_CNYmillion</x:v>
      </x:c>
      <x:c r="D1586" s="39" t="n">
        <x:v>456451.731</x:v>
      </x:c>
      <x:c r="E1586" s="11" t="str">
        <x:v>CNY</x:v>
      </x:c>
      <x:c r="F1586" s="11" t="str">
        <x:v>million</x:v>
      </x:c>
      <x:c r="G1586" s="11" t="str">
        <x:v>FY2025</x:v>
      </x:c>
      <x:c r="H1586" s="11" t="str">
        <x:v>2026-03-30年度结果；H股年报2026-04-24，目录时区未独立核验</x:v>
      </x:c>
      <x:c r="I1586" s="11" t="str">
        <x:v>https://ea-cdn.eurolandir.com/press-releases-attachments/4021177/HKEX-EPS_20260424_12120496_0.PDF</x:v>
      </x:c>
      <x:c r="J1586" s="11" t="str"/>
      <x:c r="K1586" s="11" t="str">
        <x:v>待核</x:v>
      </x:c>
      <x:c r="L1586" s="11" t="str">
        <x:v>精确发布时间未核验</x:v>
      </x:c>
      <x:c r="M1586" s="11" t="str">
        <x:v>截止日前日期，盘中时分未核</x:v>
      </x:c>
    </x:row>
    <x:row r="1587" ht="23" customHeight="1">
      <x:c r="A1587" s="11" t="str">
        <x:v>I082</x:v>
      </x:c>
      <x:c r="B1587" s="11" t="str">
        <x:v>00300.HK</x:v>
      </x:c>
      <x:c r="C1587" s="11" t="str">
        <x:v>revenue2024CNYmillion</x:v>
      </x:c>
      <x:c r="D1587" s="39" t="n">
        <x:v>409084.266</x:v>
      </x:c>
      <x:c r="E1587" s="11" t="str">
        <x:v>CNY</x:v>
      </x:c>
      <x:c r="F1587" s="11" t="str">
        <x:v>million</x:v>
      </x:c>
      <x:c r="G1587" s="11" t="str">
        <x:v>FY2024</x:v>
      </x:c>
      <x:c r="H1587" s="11" t="str">
        <x:v>2026-03-30年度结果；H股年报2026-04-24，目录时区未独立核验</x:v>
      </x:c>
      <x:c r="I1587" s="11" t="str">
        <x:v>https://ea-cdn.eurolandir.com/press-releases-attachments/4021177/HKEX-EPS_20260424_12120496_0.PDF</x:v>
      </x:c>
      <x:c r="J1587" s="11" t="str"/>
      <x:c r="K1587" s="11" t="str">
        <x:v>待核</x:v>
      </x:c>
      <x:c r="L1587" s="11" t="str">
        <x:v>精确发布时间未核验</x:v>
      </x:c>
      <x:c r="M1587" s="11" t="str">
        <x:v>截止日前日期，盘中时分未核</x:v>
      </x:c>
    </x:row>
    <x:row r="1588" ht="23" customHeight="1">
      <x:c r="A1588" s="11" t="str">
        <x:v>I082</x:v>
      </x:c>
      <x:c r="B1588" s="11" t="str">
        <x:v>00300.HK</x:v>
      </x:c>
      <x:c r="C1588" s="11" t="str">
        <x:v>operatingRevenuePRC2024CNYmillion</x:v>
      </x:c>
      <x:c r="D1588" s="39" t="n">
        <x:v>407149.6</x:v>
      </x:c>
      <x:c r="E1588" s="11" t="str">
        <x:v>CNY</x:v>
      </x:c>
      <x:c r="F1588" s="11" t="str">
        <x:v>million</x:v>
      </x:c>
      <x:c r="G1588" s="11" t="str">
        <x:v>FY2024</x:v>
      </x:c>
      <x:c r="H1588" s="11" t="str">
        <x:v>2026-03-30年度结果；H股年报2026-04-24，目录时区未独立核验</x:v>
      </x:c>
      <x:c r="I1588" s="11" t="str">
        <x:v>https://ea-cdn.eurolandir.com/press-releases-attachments/4021177/HKEX-EPS_20260424_12120496_0.PDF</x:v>
      </x:c>
      <x:c r="J1588" s="11" t="str"/>
      <x:c r="K1588" s="11" t="str">
        <x:v>待核</x:v>
      </x:c>
      <x:c r="L1588" s="11" t="str">
        <x:v>精确发布时间未核验</x:v>
      </x:c>
      <x:c r="M1588" s="11" t="str">
        <x:v>截止日前日期，盘中时分未核</x:v>
      </x:c>
    </x:row>
    <x:row r="1589" ht="23" customHeight="1">
      <x:c r="A1589" s="11" t="str">
        <x:v>I082</x:v>
      </x:c>
      <x:c r="B1589" s="11" t="str">
        <x:v>00300.HK</x:v>
      </x:c>
      <x:c r="C1589" s="11" t="str">
        <x:v>operatingRevenuePRC2023CNYmillion</x:v>
      </x:c>
      <x:c r="D1589" s="39" t="n">
        <x:v>372037.28</x:v>
      </x:c>
      <x:c r="E1589" s="11" t="str">
        <x:v>CNY</x:v>
      </x:c>
      <x:c r="F1589" s="11" t="str">
        <x:v>million</x:v>
      </x:c>
      <x:c r="G1589" s="11" t="str">
        <x:v>FY2023</x:v>
      </x:c>
      <x:c r="H1589" s="11" t="str">
        <x:v>2026-03-30年度结果；H股年报2026-04-24，目录时区未独立核验</x:v>
      </x:c>
      <x:c r="I1589" s="11" t="str">
        <x:v>https://ea-cdn.eurolandir.com/press-releases-attachments/4021177/HKEX-EPS_20260424_12120496_0.PDF</x:v>
      </x:c>
      <x:c r="J1589" s="11" t="str"/>
      <x:c r="K1589" s="11" t="str">
        <x:v>待核</x:v>
      </x:c>
      <x:c r="L1589" s="11" t="str">
        <x:v>精确发布时间未核验</x:v>
      </x:c>
      <x:c r="M1589" s="11" t="str">
        <x:v>截止日前日期，盘中时分未核</x:v>
      </x:c>
    </x:row>
    <x:row r="1590" ht="23" customHeight="1">
      <x:c r="A1590" s="11" t="str">
        <x:v>I082</x:v>
      </x:c>
      <x:c r="B1590" s="11" t="str">
        <x:v>00300.HK</x:v>
      </x:c>
      <x:c r="C1590" s="11" t="str">
        <x:v>profitAttributableCNYmillion</x:v>
      </x:c>
      <x:c r="D1590" s="39" t="n">
        <x:v>43945.411</x:v>
      </x:c>
      <x:c r="E1590" s="11" t="str">
        <x:v>CNY</x:v>
      </x:c>
      <x:c r="F1590" s="11" t="str">
        <x:v>million</x:v>
      </x:c>
      <x:c r="G1590" s="11" t="str">
        <x:v>FY2025</x:v>
      </x:c>
      <x:c r="H1590" s="11" t="str">
        <x:v>2026-03-30年度结果；H股年报2026-04-24，目录时区未独立核验</x:v>
      </x:c>
      <x:c r="I1590" s="11" t="str">
        <x:v>https://ea-cdn.eurolandir.com/press-releases-attachments/4021177/HKEX-EPS_20260424_12120496_0.PDF</x:v>
      </x:c>
      <x:c r="J1590" s="11" t="str"/>
      <x:c r="K1590" s="11" t="str">
        <x:v>待核</x:v>
      </x:c>
      <x:c r="L1590" s="11" t="str">
        <x:v>精确发布时间未核验</x:v>
      </x:c>
      <x:c r="M1590" s="11" t="str">
        <x:v>截止日前日期，盘中时分未核</x:v>
      </x:c>
    </x:row>
    <x:row r="1591" ht="23" customHeight="1">
      <x:c r="A1591" s="11" t="str">
        <x:v>I082</x:v>
      </x:c>
      <x:c r="B1591" s="11" t="str">
        <x:v>00300.HK</x:v>
      </x:c>
      <x:c r="C1591" s="11" t="str">
        <x:v>profitAttributable2024IFRS_CNYmillion</x:v>
      </x:c>
      <x:c r="D1591" s="39" t="n">
        <x:v>38538.987</x:v>
      </x:c>
      <x:c r="E1591" s="11" t="str">
        <x:v>CNY</x:v>
      </x:c>
      <x:c r="F1591" s="11" t="str">
        <x:v>million</x:v>
      </x:c>
      <x:c r="G1591" s="11" t="str">
        <x:v>FY2024</x:v>
      </x:c>
      <x:c r="H1591" s="11" t="str">
        <x:v>2026-03-30年度结果；H股年报2026-04-24，目录时区未独立核验</x:v>
      </x:c>
      <x:c r="I1591" s="11" t="str">
        <x:v>https://ea-cdn.eurolandir.com/press-releases-attachments/4021177/HKEX-EPS_20260424_12120496_0.PDF</x:v>
      </x:c>
      <x:c r="J1591" s="11" t="str"/>
      <x:c r="K1591" s="11" t="str">
        <x:v>待核</x:v>
      </x:c>
      <x:c r="L1591" s="11" t="str">
        <x:v>精确发布时间未核验</x:v>
      </x:c>
      <x:c r="M1591" s="11" t="str">
        <x:v>截止日前日期，盘中时分未核</x:v>
      </x:c>
    </x:row>
    <x:row r="1592" ht="23" customHeight="1">
      <x:c r="A1592" s="11" t="str">
        <x:v>I082</x:v>
      </x:c>
      <x:c r="B1592" s="11" t="str">
        <x:v>00300.HK</x:v>
      </x:c>
      <x:c r="C1592" s="11" t="str">
        <x:v>profitAttributable2024PRC_CNYmillion</x:v>
      </x:c>
      <x:c r="D1592" s="39" t="n">
        <x:v>38537.237</x:v>
      </x:c>
      <x:c r="E1592" s="11" t="str">
        <x:v>CNY</x:v>
      </x:c>
      <x:c r="F1592" s="11" t="str">
        <x:v>million</x:v>
      </x:c>
      <x:c r="G1592" s="11" t="str">
        <x:v>FY2024</x:v>
      </x:c>
      <x:c r="H1592" s="11" t="str">
        <x:v>2026-03-30年度结果；H股年报2026-04-24，目录时区未独立核验</x:v>
      </x:c>
      <x:c r="I1592" s="11" t="str">
        <x:v>https://ea-cdn.eurolandir.com/press-releases-attachments/4021177/HKEX-EPS_20260424_12120496_0.PDF</x:v>
      </x:c>
      <x:c r="J1592" s="11" t="str"/>
      <x:c r="K1592" s="11" t="str">
        <x:v>待核</x:v>
      </x:c>
      <x:c r="L1592" s="11" t="str">
        <x:v>精确发布时间未核验</x:v>
      </x:c>
      <x:c r="M1592" s="11" t="str">
        <x:v>截止日前日期，盘中时分未核</x:v>
      </x:c>
    </x:row>
    <x:row r="1593" ht="23" customHeight="1">
      <x:c r="A1593" s="11" t="str">
        <x:v>I082</x:v>
      </x:c>
      <x:c r="B1593" s="11" t="str">
        <x:v>00300.HK</x:v>
      </x:c>
      <x:c r="C1593" s="11" t="str">
        <x:v>profitAttributable2023PRC_CNYmillion</x:v>
      </x:c>
      <x:c r="D1593" s="39" t="n">
        <x:v>33719.935</x:v>
      </x:c>
      <x:c r="E1593" s="11" t="str">
        <x:v>CNY</x:v>
      </x:c>
      <x:c r="F1593" s="11" t="str">
        <x:v>million</x:v>
      </x:c>
      <x:c r="G1593" s="11" t="str">
        <x:v>FY2023</x:v>
      </x:c>
      <x:c r="H1593" s="11" t="str">
        <x:v>2026-03-30年度结果；H股年报2026-04-24，目录时区未独立核验</x:v>
      </x:c>
      <x:c r="I1593" s="11" t="str">
        <x:v>https://ea-cdn.eurolandir.com/press-releases-attachments/4021177/HKEX-EPS_20260424_12120496_0.PDF</x:v>
      </x:c>
      <x:c r="J1593" s="11" t="str"/>
      <x:c r="K1593" s="11" t="str">
        <x:v>待核</x:v>
      </x:c>
      <x:c r="L1593" s="11" t="str">
        <x:v>精确发布时间未核验</x:v>
      </x:c>
      <x:c r="M1593" s="11" t="str">
        <x:v>截止日前日期，盘中时分未核</x:v>
      </x:c>
    </x:row>
    <x:row r="1594" ht="23" customHeight="1">
      <x:c r="A1594" s="11" t="str">
        <x:v>I082</x:v>
      </x:c>
      <x:c r="B1594" s="11" t="str">
        <x:v>00300.HK</x:v>
      </x:c>
      <x:c r="C1594" s="11" t="str">
        <x:v>PRCProfitAfterNonRecurringCNYmillion</x:v>
      </x:c>
      <x:c r="D1594" s="39" t="n">
        <x:v>41267.233</x:v>
      </x:c>
      <x:c r="E1594" s="11" t="str">
        <x:v>CNY</x:v>
      </x:c>
      <x:c r="F1594" s="11" t="str">
        <x:v>million</x:v>
      </x:c>
      <x:c r="G1594" s="11" t="str">
        <x:v>FY2025</x:v>
      </x:c>
      <x:c r="H1594" s="11" t="str">
        <x:v>2026-03-30年度结果；H股年报2026-04-24，目录时区未独立核验</x:v>
      </x:c>
      <x:c r="I1594" s="11" t="str">
        <x:v>https://ea-cdn.eurolandir.com/press-releases-attachments/4021177/HKEX-EPS_20260424_12120496_0.PDF</x:v>
      </x:c>
      <x:c r="J1594" s="11" t="str"/>
      <x:c r="K1594" s="11" t="str">
        <x:v>待核</x:v>
      </x:c>
      <x:c r="L1594" s="11" t="str">
        <x:v>精确发布时间未核验</x:v>
      </x:c>
      <x:c r="M1594" s="11" t="str">
        <x:v>截止日前日期，盘中时分未核</x:v>
      </x:c>
    </x:row>
    <x:row r="1595" ht="23" customHeight="1">
      <x:c r="A1595" s="11" t="str">
        <x:v>I082</x:v>
      </x:c>
      <x:c r="B1595" s="11" t="str">
        <x:v>00300.HK</x:v>
      </x:c>
      <x:c r="C1595" s="11" t="str">
        <x:v>PRCProfitAfterNonRecurring2024CNYmillion</x:v>
      </x:c>
      <x:c r="D1595" s="39" t="n">
        <x:v>35741.418</x:v>
      </x:c>
      <x:c r="E1595" s="11" t="str">
        <x:v>CNY</x:v>
      </x:c>
      <x:c r="F1595" s="11" t="str">
        <x:v>million</x:v>
      </x:c>
      <x:c r="G1595" s="11" t="str">
        <x:v>FY2024</x:v>
      </x:c>
      <x:c r="H1595" s="11" t="str">
        <x:v>2026-03-30年度结果；H股年报2026-04-24，目录时区未独立核验</x:v>
      </x:c>
      <x:c r="I1595" s="11" t="str">
        <x:v>https://ea-cdn.eurolandir.com/press-releases-attachments/4021177/HKEX-EPS_20260424_12120496_0.PDF</x:v>
      </x:c>
      <x:c r="J1595" s="11" t="str"/>
      <x:c r="K1595" s="11" t="str">
        <x:v>待核</x:v>
      </x:c>
      <x:c r="L1595" s="11" t="str">
        <x:v>精确发布时间未核验</x:v>
      </x:c>
      <x:c r="M1595" s="11" t="str">
        <x:v>截止日前日期，盘中时分未核</x:v>
      </x:c>
    </x:row>
    <x:row r="1596" ht="23" customHeight="1">
      <x:c r="A1596" s="11" t="str">
        <x:v>I082</x:v>
      </x:c>
      <x:c r="B1596" s="11" t="str">
        <x:v>00300.HK</x:v>
      </x:c>
      <x:c r="C1596" s="11" t="str">
        <x:v>grossProfitCNYmillion</x:v>
      </x:c>
      <x:c r="D1596" s="39" t="n">
        <x:v>120040.213</x:v>
      </x:c>
      <x:c r="E1596" s="11" t="str">
        <x:v>CNY</x:v>
      </x:c>
      <x:c r="F1596" s="11" t="str">
        <x:v>million</x:v>
      </x:c>
      <x:c r="G1596" s="11" t="str">
        <x:v>FY2025</x:v>
      </x:c>
      <x:c r="H1596" s="11" t="str">
        <x:v>2026-03-30年度结果；H股年报2026-04-24，目录时区未独立核验</x:v>
      </x:c>
      <x:c r="I1596" s="11" t="str">
        <x:v>https://ea-cdn.eurolandir.com/press-releases-attachments/4021177/HKEX-EPS_20260424_12120496_0.PDF</x:v>
      </x:c>
      <x:c r="J1596" s="11" t="str"/>
      <x:c r="K1596" s="11" t="str">
        <x:v>待核</x:v>
      </x:c>
      <x:c r="L1596" s="11" t="str">
        <x:v>精确发布时间未核验</x:v>
      </x:c>
      <x:c r="M1596" s="11" t="str">
        <x:v>截止日前日期，盘中时分未核</x:v>
      </x:c>
    </x:row>
    <x:row r="1597" ht="23" customHeight="1">
      <x:c r="A1597" s="11" t="str">
        <x:v>I082</x:v>
      </x:c>
      <x:c r="B1597" s="11" t="str">
        <x:v>00300.HK</x:v>
      </x:c>
      <x:c r="C1597" s="11" t="str">
        <x:v>operatingProfitCNYmillion</x:v>
      </x:c>
      <x:c r="D1597" s="39" t="n">
        <x:v>54743.159</x:v>
      </x:c>
      <x:c r="E1597" s="11" t="str">
        <x:v>CNY</x:v>
      </x:c>
      <x:c r="F1597" s="11" t="str">
        <x:v>million</x:v>
      </x:c>
      <x:c r="G1597" s="11" t="str">
        <x:v>FY2025</x:v>
      </x:c>
      <x:c r="H1597" s="11" t="str">
        <x:v>2026-03-30年度结果；H股年报2026-04-24，目录时区未独立核验</x:v>
      </x:c>
      <x:c r="I1597" s="11" t="str">
        <x:v>https://ea-cdn.eurolandir.com/press-releases-attachments/4021177/HKEX-EPS_20260424_12120496_0.PDF</x:v>
      </x:c>
      <x:c r="J1597" s="11" t="str"/>
      <x:c r="K1597" s="11" t="str">
        <x:v>待核</x:v>
      </x:c>
      <x:c r="L1597" s="11" t="str">
        <x:v>精确发布时间未核验</x:v>
      </x:c>
      <x:c r="M1597" s="11" t="str">
        <x:v>截止日前日期，盘中时分未核</x:v>
      </x:c>
    </x:row>
    <x:row r="1598" ht="23" customHeight="1">
      <x:c r="A1598" s="11" t="str">
        <x:v>I082</x:v>
      </x:c>
      <x:c r="B1598" s="11" t="str">
        <x:v>00300.HK</x:v>
      </x:c>
      <x:c r="C1598" s="11" t="str">
        <x:v>dilutedEPSCNY</x:v>
      </x:c>
      <x:c r="D1598" s="39" t="n">
        <x:v>5.76</x:v>
      </x:c>
      <x:c r="E1598" s="11" t="str">
        <x:v>CNY</x:v>
      </x:c>
      <x:c r="F1598" s="11" t="str">
        <x:v>per ordinary share</x:v>
      </x:c>
      <x:c r="G1598" s="11" t="str">
        <x:v>FY2025</x:v>
      </x:c>
      <x:c r="H1598" s="11" t="str">
        <x:v>2026-03-30年度结果；H股年报2026-04-24，目录时区未独立核验</x:v>
      </x:c>
      <x:c r="I1598" s="11" t="str">
        <x:v>https://ea-cdn.eurolandir.com/press-releases-attachments/4021177/HKEX-EPS_20260424_12120496_0.PDF</x:v>
      </x:c>
      <x:c r="J1598" s="11" t="str"/>
      <x:c r="K1598" s="11" t="str">
        <x:v>待核</x:v>
      </x:c>
      <x:c r="L1598" s="11" t="str">
        <x:v>精确发布时间未核验</x:v>
      </x:c>
      <x:c r="M1598" s="11" t="str">
        <x:v>截止日前日期，盘中时分未核</x:v>
      </x:c>
    </x:row>
    <x:row r="1599" ht="23" customHeight="1">
      <x:c r="A1599" s="11" t="str">
        <x:v>I082</x:v>
      </x:c>
      <x:c r="B1599" s="11" t="str">
        <x:v>00300.HK</x:v>
      </x:c>
      <x:c r="C1599" s="11" t="str">
        <x:v>OCFCNYmillion</x:v>
      </x:c>
      <x:c r="D1599" s="39" t="n">
        <x:v>53345.93</x:v>
      </x:c>
      <x:c r="E1599" s="11" t="str">
        <x:v>CNY</x:v>
      </x:c>
      <x:c r="F1599" s="11" t="str">
        <x:v>million</x:v>
      </x:c>
      <x:c r="G1599" s="11" t="str">
        <x:v>FY2025</x:v>
      </x:c>
      <x:c r="H1599" s="11" t="str">
        <x:v>2026-03-30年度结果；H股年报2026-04-24，目录时区未独立核验</x:v>
      </x:c>
      <x:c r="I1599" s="11" t="str">
        <x:v>https://ea-cdn.eurolandir.com/press-releases-attachments/4021177/HKEX-EPS_20260424_12120496_0.PDF</x:v>
      </x:c>
      <x:c r="J1599" s="11" t="str"/>
      <x:c r="K1599" s="11" t="str">
        <x:v>待核</x:v>
      </x:c>
      <x:c r="L1599" s="11" t="str">
        <x:v>精确发布时间未核验</x:v>
      </x:c>
      <x:c r="M1599" s="11" t="str">
        <x:v>截止日前日期，盘中时分未核</x:v>
      </x:c>
    </x:row>
    <x:row r="1600" ht="23" customHeight="1">
      <x:c r="A1600" s="11" t="str">
        <x:v>I082</x:v>
      </x:c>
      <x:c r="B1600" s="11" t="str">
        <x:v>00300.HK</x:v>
      </x:c>
      <x:c r="C1600" s="11" t="str">
        <x:v>capitalPurchaseCNYmillion</x:v>
      </x:c>
      <x:c r="D1600" s="39" t="n">
        <x:v>11141.889</x:v>
      </x:c>
      <x:c r="E1600" s="11" t="str">
        <x:v>CNY</x:v>
      </x:c>
      <x:c r="F1600" s="11" t="str">
        <x:v>million</x:v>
      </x:c>
      <x:c r="G1600" s="11" t="str">
        <x:v>FY2025</x:v>
      </x:c>
      <x:c r="H1600" s="11" t="str">
        <x:v>2026-03-30年度结果；H股年报2026-04-24，目录时区未独立核验</x:v>
      </x:c>
      <x:c r="I1600" s="11" t="str">
        <x:v>https://ea-cdn.eurolandir.com/press-releases-attachments/4021177/HKEX-EPS_20260424_12120496_0.PDF</x:v>
      </x:c>
      <x:c r="J1600" s="11" t="str"/>
      <x:c r="K1600" s="11" t="str">
        <x:v>待核</x:v>
      </x:c>
      <x:c r="L1600" s="11" t="str">
        <x:v>精确发布时间未核验</x:v>
      </x:c>
      <x:c r="M1600" s="11" t="str">
        <x:v>截止日前日期，盘中时分未核</x:v>
      </x:c>
    </x:row>
    <x:row r="1601" ht="23" customHeight="1">
      <x:c r="A1601" s="11" t="str">
        <x:v>I082</x:v>
      </x:c>
      <x:c r="B1601" s="11" t="str">
        <x:v>00300.HK</x:v>
      </x:c>
      <x:c r="C1601" s="11" t="str">
        <x:v>leaseRelatedCashCNYmillion</x:v>
      </x:c>
      <x:c r="D1601" s="39" t="n">
        <x:v>1587.045</x:v>
      </x:c>
      <x:c r="E1601" s="11" t="str">
        <x:v>CNY</x:v>
      </x:c>
      <x:c r="F1601" s="11" t="str">
        <x:v>million</x:v>
      </x:c>
      <x:c r="G1601" s="11" t="str">
        <x:v>FY2025</x:v>
      </x:c>
      <x:c r="H1601" s="11" t="str">
        <x:v>2026-03-30年度结果；H股年报2026-04-24，目录时区未独立核验</x:v>
      </x:c>
      <x:c r="I1601" s="11" t="str">
        <x:v>https://ea-cdn.eurolandir.com/press-releases-attachments/4021177/HKEX-EPS_20260424_12120496_0.PDF</x:v>
      </x:c>
      <x:c r="J1601" s="11" t="str"/>
      <x:c r="K1601" s="11" t="str">
        <x:v>待核</x:v>
      </x:c>
      <x:c r="L1601" s="11" t="str">
        <x:v>精确发布时间未核验</x:v>
      </x:c>
      <x:c r="M1601" s="11" t="str">
        <x:v>截止日前日期，盘中时分未核</x:v>
      </x:c>
    </x:row>
    <x:row r="1602" ht="23" customHeight="1">
      <x:c r="A1602" s="11" t="str">
        <x:v>I082</x:v>
      </x:c>
      <x:c r="B1602" s="11" t="str">
        <x:v>00300.HK</x:v>
      </x:c>
      <x:c r="C1602" s="11" t="str">
        <x:v>interestPaidFinancingCashCNYmillion</x:v>
      </x:c>
      <x:c r="D1602" s="39" t="n">
        <x:v>2043.776</x:v>
      </x:c>
      <x:c r="E1602" s="11" t="str">
        <x:v>CNY</x:v>
      </x:c>
      <x:c r="F1602" s="11" t="str">
        <x:v>million</x:v>
      </x:c>
      <x:c r="G1602" s="11" t="str">
        <x:v>FY2025</x:v>
      </x:c>
      <x:c r="H1602" s="11" t="str">
        <x:v>2026-03-30年度结果；H股年报2026-04-24，目录时区未独立核验</x:v>
      </x:c>
      <x:c r="I1602" s="11" t="str">
        <x:v>https://ea-cdn.eurolandir.com/press-releases-attachments/4021177/HKEX-EPS_20260424_12120496_0.PDF</x:v>
      </x:c>
      <x:c r="J1602" s="11" t="str"/>
      <x:c r="K1602" s="11" t="str">
        <x:v>待核</x:v>
      </x:c>
      <x:c r="L1602" s="11" t="str">
        <x:v>精确发布时间未核验</x:v>
      </x:c>
      <x:c r="M1602" s="11" t="str">
        <x:v>截止日前日期，盘中时分未核</x:v>
      </x:c>
    </x:row>
    <x:row r="1603" ht="23" customHeight="1">
      <x:c r="A1603" s="11" t="str">
        <x:v>I082</x:v>
      </x:c>
      <x:c r="B1603" s="11" t="str">
        <x:v>00300.HK</x:v>
      </x:c>
      <x:c r="C1603" s="11" t="str">
        <x:v>FCFProxyBeforeInterestCNYmillion</x:v>
      </x:c>
      <x:c r="D1603" s="39" t="n">
        <x:v>40616.996</x:v>
      </x:c>
      <x:c r="E1603" s="11" t="str">
        <x:v>CNY</x:v>
      </x:c>
      <x:c r="F1603" s="11" t="str">
        <x:v>million</x:v>
      </x:c>
      <x:c r="G1603" s="11" t="str">
        <x:v>FY2025</x:v>
      </x:c>
      <x:c r="H1603" s="11" t="str">
        <x:v>2026-03-30年度结果；H股年报2026-04-24，目录时区未独立核验</x:v>
      </x:c>
      <x:c r="I1603" s="11" t="str">
        <x:v>https://ea-cdn.eurolandir.com/press-releases-attachments/4021177/HKEX-EPS_20260424_12120496_0.PDF</x:v>
      </x:c>
      <x:c r="J1603" s="11" t="str"/>
      <x:c r="K1603" s="11" t="str">
        <x:v>待核</x:v>
      </x:c>
      <x:c r="L1603" s="11" t="str">
        <x:v>精确发布时间未核验</x:v>
      </x:c>
      <x:c r="M1603" s="11" t="str">
        <x:v>截止日前日期，盘中时分未核</x:v>
      </x:c>
    </x:row>
    <x:row r="1604" ht="23" customHeight="1">
      <x:c r="A1604" s="11" t="str">
        <x:v>I082</x:v>
      </x:c>
      <x:c r="B1604" s="11" t="str">
        <x:v>00300.HK</x:v>
      </x:c>
      <x:c r="C1604" s="11" t="str">
        <x:v>FCFProxyAfterFinancingInterestCNYmillion</x:v>
      </x:c>
      <x:c r="D1604" s="39" t="n">
        <x:v>38573.22</x:v>
      </x:c>
      <x:c r="E1604" s="11" t="str">
        <x:v>CNY</x:v>
      </x:c>
      <x:c r="F1604" s="11" t="str">
        <x:v>million</x:v>
      </x:c>
      <x:c r="G1604" s="11" t="str">
        <x:v>FY2025</x:v>
      </x:c>
      <x:c r="H1604" s="11" t="str">
        <x:v>2026-03-30年度结果；H股年报2026-04-24，目录时区未独立核验</x:v>
      </x:c>
      <x:c r="I1604" s="11" t="str">
        <x:v>https://ea-cdn.eurolandir.com/press-releases-attachments/4021177/HKEX-EPS_20260424_12120496_0.PDF</x:v>
      </x:c>
      <x:c r="J1604" s="11" t="str"/>
      <x:c r="K1604" s="11" t="str">
        <x:v>待核</x:v>
      </x:c>
      <x:c r="L1604" s="11" t="str">
        <x:v>精确发布时间未核验</x:v>
      </x:c>
      <x:c r="M1604" s="11" t="str">
        <x:v>截止日前日期，盘中时分未核</x:v>
      </x:c>
    </x:row>
    <x:row r="1605" ht="23" customHeight="1">
      <x:c r="A1605" s="11" t="str">
        <x:v>I082</x:v>
      </x:c>
      <x:c r="B1605" s="11" t="str">
        <x:v>00300.HK</x:v>
      </x:c>
      <x:c r="C1605" s="11" t="str">
        <x:v>acquisitionSubsNetCashCNYmillion</x:v>
      </x:c>
      <x:c r="D1605" s="39" t="n">
        <x:v>6089.139</x:v>
      </x:c>
      <x:c r="E1605" s="11" t="str">
        <x:v>CNY</x:v>
      </x:c>
      <x:c r="F1605" s="11" t="str">
        <x:v>million</x:v>
      </x:c>
      <x:c r="G1605" s="11" t="str">
        <x:v>FY2025</x:v>
      </x:c>
      <x:c r="H1605" s="11" t="str">
        <x:v>2026-03-30年度结果；H股年报2026-04-24，目录时区未独立核验</x:v>
      </x:c>
      <x:c r="I1605" s="11" t="str">
        <x:v>https://ea-cdn.eurolandir.com/press-releases-attachments/4021177/HKEX-EPS_20260424_12120496_0.PDF</x:v>
      </x:c>
      <x:c r="J1605" s="11" t="str"/>
      <x:c r="K1605" s="11" t="str">
        <x:v>待核</x:v>
      </x:c>
      <x:c r="L1605" s="11" t="str">
        <x:v>精确发布时间未核验</x:v>
      </x:c>
      <x:c r="M1605" s="11" t="str">
        <x:v>截止日前日期，盘中时分未核</x:v>
      </x:c>
    </x:row>
    <x:row r="1606" ht="23" customHeight="1">
      <x:c r="A1606" s="11" t="str">
        <x:v>I082</x:v>
      </x:c>
      <x:c r="B1606" s="11" t="str">
        <x:v>00300.HK</x:v>
      </x:c>
      <x:c r="C1606" s="11" t="str">
        <x:v>repurchaseRefundRestrictedSharesCNYmillion</x:v>
      </x:c>
      <x:c r="D1606" s="39" t="n">
        <x:v>11698.7</x:v>
      </x:c>
      <x:c r="E1606" s="11" t="str">
        <x:v>not monetary</x:v>
      </x:c>
      <x:c r="F1606" s="11" t="str">
        <x:v>shares</x:v>
      </x:c>
      <x:c r="G1606" s="11" t="str">
        <x:v>FY2025</x:v>
      </x:c>
      <x:c r="H1606" s="11" t="str">
        <x:v>2026-03-30年度结果；H股年报2026-04-24，目录时区未独立核验</x:v>
      </x:c>
      <x:c r="I1606" s="11" t="str">
        <x:v>https://ea-cdn.eurolandir.com/press-releases-attachments/4021177/HKEX-EPS_20260424_12120496_0.PDF</x:v>
      </x:c>
      <x:c r="J1606" s="11" t="str"/>
      <x:c r="K1606" s="11" t="str">
        <x:v>待核</x:v>
      </x:c>
      <x:c r="L1606" s="11" t="str">
        <x:v>精确发布时间未核验</x:v>
      </x:c>
      <x:c r="M1606" s="11" t="str">
        <x:v>截止日前日期，盘中时分未核</x:v>
      </x:c>
    </x:row>
    <x:row r="1607" ht="23" customHeight="1">
      <x:c r="A1607" s="11" t="str">
        <x:v>I082</x:v>
      </x:c>
      <x:c r="B1607" s="11" t="str">
        <x:v>00300.HK</x:v>
      </x:c>
      <x:c r="C1607" s="11" t="str">
        <x:v>dividendsPaidToOwnersCNYmillion</x:v>
      </x:c>
      <x:c r="D1607" s="39" t="n">
        <x:v>30486.973</x:v>
      </x:c>
      <x:c r="E1607" s="11" t="str">
        <x:v>CNY</x:v>
      </x:c>
      <x:c r="F1607" s="11" t="str">
        <x:v>million</x:v>
      </x:c>
      <x:c r="G1607" s="11" t="str">
        <x:v>FY2025</x:v>
      </x:c>
      <x:c r="H1607" s="11" t="str">
        <x:v>2026-03-30年度结果；H股年报2026-04-24，目录时区未独立核验</x:v>
      </x:c>
      <x:c r="I1607" s="11" t="str">
        <x:v>https://ea-cdn.eurolandir.com/press-releases-attachments/4021177/HKEX-EPS_20260424_12120496_0.PDF</x:v>
      </x:c>
      <x:c r="J1607" s="11" t="str"/>
      <x:c r="K1607" s="11" t="str">
        <x:v>待核</x:v>
      </x:c>
      <x:c r="L1607" s="11" t="str">
        <x:v>精确发布时间未核验</x:v>
      </x:c>
      <x:c r="M1607" s="11" t="str">
        <x:v>截止日前日期，盘中时分未核</x:v>
      </x:c>
    </x:row>
    <x:row r="1608" ht="23" customHeight="1">
      <x:c r="A1608" s="11" t="str">
        <x:v>I082</x:v>
      </x:c>
      <x:c r="B1608" s="11" t="str">
        <x:v>00300.HK</x:v>
      </x:c>
      <x:c r="C1608" s="11" t="str">
        <x:v>smartHomeRevenueCNYmillion</x:v>
      </x:c>
      <x:c r="D1608" s="39" t="n">
        <x:v>299927.239</x:v>
      </x:c>
      <x:c r="E1608" s="11" t="str">
        <x:v>CNY</x:v>
      </x:c>
      <x:c r="F1608" s="11" t="str">
        <x:v>million</x:v>
      </x:c>
      <x:c r="G1608" s="11" t="str">
        <x:v>FY2025</x:v>
      </x:c>
      <x:c r="H1608" s="11" t="str">
        <x:v>2026-03-30年度结果；H股年报2026-04-24，目录时区未独立核验</x:v>
      </x:c>
      <x:c r="I1608" s="11" t="str">
        <x:v>https://ea-cdn.eurolandir.com/press-releases-attachments/4021177/HKEX-EPS_20260424_12120496_0.PDF</x:v>
      </x:c>
      <x:c r="J1608" s="11" t="str"/>
      <x:c r="K1608" s="11" t="str">
        <x:v>待核</x:v>
      </x:c>
      <x:c r="L1608" s="11" t="str">
        <x:v>精确发布时间未核验</x:v>
      </x:c>
      <x:c r="M1608" s="11" t="str">
        <x:v>截止日前日期，盘中时分未核</x:v>
      </x:c>
    </x:row>
    <x:row r="1609" ht="23" customHeight="1">
      <x:c r="A1609" s="11" t="str">
        <x:v>I082</x:v>
      </x:c>
      <x:c r="B1609" s="11" t="str">
        <x:v>00300.HK</x:v>
      </x:c>
      <x:c r="C1609" s="11" t="str">
        <x:v>commercialIndustrialRevenueCNYmillion</x:v>
      </x:c>
      <x:c r="D1609" s="39" t="n">
        <x:v>122752.958</x:v>
      </x:c>
      <x:c r="E1609" s="11" t="str">
        <x:v>CNY</x:v>
      </x:c>
      <x:c r="F1609" s="11" t="str">
        <x:v>million</x:v>
      </x:c>
      <x:c r="G1609" s="11" t="str">
        <x:v>FY2025</x:v>
      </x:c>
      <x:c r="H1609" s="11" t="str">
        <x:v>2026-03-30年度结果；H股年报2026-04-24，目录时区未独立核验</x:v>
      </x:c>
      <x:c r="I1609" s="11" t="str">
        <x:v>https://ea-cdn.eurolandir.com/press-releases-attachments/4021177/HKEX-EPS_20260424_12120496_0.PDF</x:v>
      </x:c>
      <x:c r="J1609" s="11" t="str"/>
      <x:c r="K1609" s="11" t="str">
        <x:v>待核</x:v>
      </x:c>
      <x:c r="L1609" s="11" t="str">
        <x:v>精确发布时间未核验</x:v>
      </x:c>
      <x:c r="M1609" s="11" t="str">
        <x:v>截止日前日期，盘中时分未核</x:v>
      </x:c>
    </x:row>
    <x:row r="1610" ht="23" customHeight="1">
      <x:c r="A1610" s="11" t="str">
        <x:v>I082</x:v>
      </x:c>
      <x:c r="B1610" s="11" t="str">
        <x:v>00300.HK</x:v>
      </x:c>
      <x:c r="C1610" s="11" t="str">
        <x:v>buildingRevenueCNYmillion</x:v>
      </x:c>
      <x:c r="D1610" s="39" t="n">
        <x:v>35790.825</x:v>
      </x:c>
      <x:c r="E1610" s="11" t="str">
        <x:v>CNY</x:v>
      </x:c>
      <x:c r="F1610" s="11" t="str">
        <x:v>million</x:v>
      </x:c>
      <x:c r="G1610" s="11" t="str">
        <x:v>FY2025</x:v>
      </x:c>
      <x:c r="H1610" s="11" t="str">
        <x:v>2026-03-30年度结果；H股年报2026-04-24，目录时区未独立核验</x:v>
      </x:c>
      <x:c r="I1610" s="11" t="str">
        <x:v>https://ea-cdn.eurolandir.com/press-releases-attachments/4021177/HKEX-EPS_20260424_12120496_0.PDF</x:v>
      </x:c>
      <x:c r="J1610" s="11" t="str"/>
      <x:c r="K1610" s="11" t="str">
        <x:v>待核</x:v>
      </x:c>
      <x:c r="L1610" s="11" t="str">
        <x:v>精确发布时间未核验</x:v>
      </x:c>
      <x:c r="M1610" s="11" t="str">
        <x:v>截止日前日期，盘中时分未核</x:v>
      </x:c>
    </x:row>
    <x:row r="1611" ht="23" customHeight="1">
      <x:c r="A1611" s="11" t="str">
        <x:v>I082</x:v>
      </x:c>
      <x:c r="B1611" s="11" t="str">
        <x:v>00300.HK</x:v>
      </x:c>
      <x:c r="C1611" s="11" t="str">
        <x:v>roboticsRevenueCNYmillion</x:v>
      </x:c>
      <x:c r="D1611" s="39" t="n">
        <x:v>31010.933</x:v>
      </x:c>
      <x:c r="E1611" s="11" t="str">
        <x:v>CNY</x:v>
      </x:c>
      <x:c r="F1611" s="11" t="str">
        <x:v>million</x:v>
      </x:c>
      <x:c r="G1611" s="11" t="str">
        <x:v>FY2025</x:v>
      </x:c>
      <x:c r="H1611" s="11" t="str">
        <x:v>2026-03-30年度结果；H股年报2026-04-24，目录时区未独立核验</x:v>
      </x:c>
      <x:c r="I1611" s="11" t="str">
        <x:v>https://ea-cdn.eurolandir.com/press-releases-attachments/4021177/HKEX-EPS_20260424_12120496_0.PDF</x:v>
      </x:c>
      <x:c r="J1611" s="11" t="str"/>
      <x:c r="K1611" s="11" t="str">
        <x:v>待核</x:v>
      </x:c>
      <x:c r="L1611" s="11" t="str">
        <x:v>精确发布时间未核验</x:v>
      </x:c>
      <x:c r="M1611" s="11" t="str">
        <x:v>截止日前日期，盘中时分未核</x:v>
      </x:c>
    </x:row>
    <x:row r="1612" ht="23" customHeight="1">
      <x:c r="A1612" s="11" t="str">
        <x:v>I082</x:v>
      </x:c>
      <x:c r="B1612" s="11" t="str">
        <x:v>00300.HK</x:v>
      </x:c>
      <x:c r="C1612" s="11" t="str">
        <x:v>industrialRevenueCNYmillion</x:v>
      </x:c>
      <x:c r="D1612" s="39" t="n">
        <x:v>27232.432</x:v>
      </x:c>
      <x:c r="E1612" s="11" t="str">
        <x:v>CNY</x:v>
      </x:c>
      <x:c r="F1612" s="11" t="str">
        <x:v>million</x:v>
      </x:c>
      <x:c r="G1612" s="11" t="str">
        <x:v>FY2025</x:v>
      </x:c>
      <x:c r="H1612" s="11" t="str">
        <x:v>2026-03-30年度结果；H股年报2026-04-24，目录时区未独立核验</x:v>
      </x:c>
      <x:c r="I1612" s="11" t="str">
        <x:v>https://ea-cdn.eurolandir.com/press-releases-attachments/4021177/HKEX-EPS_20260424_12120496_0.PDF</x:v>
      </x:c>
      <x:c r="J1612" s="11" t="str"/>
      <x:c r="K1612" s="11" t="str">
        <x:v>待核</x:v>
      </x:c>
      <x:c r="L1612" s="11" t="str">
        <x:v>精确发布时间未核验</x:v>
      </x:c>
      <x:c r="M1612" s="11" t="str">
        <x:v>截止日前日期，盘中时分未核</x:v>
      </x:c>
    </x:row>
    <x:row r="1613" ht="23" customHeight="1">
      <x:c r="A1613" s="11" t="str">
        <x:v>I082</x:v>
      </x:c>
      <x:c r="B1613" s="11" t="str">
        <x:v>00300.HK</x:v>
      </x:c>
      <x:c r="C1613" s="11" t="str">
        <x:v>domesticRevenuePRC_CNYmillion</x:v>
      </x:c>
      <x:c r="D1613" s="39" t="n">
        <x:v>260504.038</x:v>
      </x:c>
      <x:c r="E1613" s="11" t="str">
        <x:v>CNY</x:v>
      </x:c>
      <x:c r="F1613" s="11" t="str">
        <x:v>million</x:v>
      </x:c>
      <x:c r="G1613" s="11" t="str">
        <x:v>FY2025</x:v>
      </x:c>
      <x:c r="H1613" s="11" t="str">
        <x:v>2026-03-30年度结果；H股年报2026-04-24，目录时区未独立核验</x:v>
      </x:c>
      <x:c r="I1613" s="11" t="str">
        <x:v>https://ea-cdn.eurolandir.com/press-releases-attachments/4021177/HKEX-EPS_20260424_12120496_0.PDF</x:v>
      </x:c>
      <x:c r="J1613" s="11" t="str"/>
      <x:c r="K1613" s="11" t="str">
        <x:v>待核</x:v>
      </x:c>
      <x:c r="L1613" s="11" t="str">
        <x:v>精确发布时间未核验</x:v>
      </x:c>
      <x:c r="M1613" s="11" t="str">
        <x:v>截止日前日期，盘中时分未核</x:v>
      </x:c>
    </x:row>
    <x:row r="1614" ht="23" customHeight="1">
      <x:c r="A1614" s="11" t="str">
        <x:v>I082</x:v>
      </x:c>
      <x:c r="B1614" s="11" t="str">
        <x:v>00300.HK</x:v>
      </x:c>
      <x:c r="C1614" s="11" t="str">
        <x:v>overseasRevenuePRC_CNYmillion</x:v>
      </x:c>
      <x:c r="D1614" s="39" t="n">
        <x:v>195947.693</x:v>
      </x:c>
      <x:c r="E1614" s="11" t="str">
        <x:v>CNY</x:v>
      </x:c>
      <x:c r="F1614" s="11" t="str">
        <x:v>million</x:v>
      </x:c>
      <x:c r="G1614" s="11" t="str">
        <x:v>FY2025</x:v>
      </x:c>
      <x:c r="H1614" s="11" t="str">
        <x:v>2026-03-30年度结果；H股年报2026-04-24，目录时区未独立核验</x:v>
      </x:c>
      <x:c r="I1614" s="11" t="str">
        <x:v>https://ea-cdn.eurolandir.com/press-releases-attachments/4021177/HKEX-EPS_20260424_12120496_0.PDF</x:v>
      </x:c>
      <x:c r="J1614" s="11" t="str"/>
      <x:c r="K1614" s="11" t="str">
        <x:v>待核</x:v>
      </x:c>
      <x:c r="L1614" s="11" t="str">
        <x:v>精确发布时间未核验</x:v>
      </x:c>
      <x:c r="M1614" s="11" t="str">
        <x:v>截止日前日期，盘中时分未核</x:v>
      </x:c>
    </x:row>
    <x:row r="1615" ht="23" customHeight="1">
      <x:c r="A1615" s="11" t="str">
        <x:v>I082</x:v>
      </x:c>
      <x:c r="B1615" s="11" t="str">
        <x:v>00300.HK</x:v>
      </x:c>
      <x:c r="C1615" s="11" t="str">
        <x:v>revenueCNYmillion</x:v>
      </x:c>
      <x:c r="D1615" s="39" t="n">
        <x:v>261052.379</x:v>
      </x:c>
      <x:c r="E1615" s="11" t="str">
        <x:v>CNY</x:v>
      </x:c>
      <x:c r="F1615" s="11" t="str">
        <x:v>million</x:v>
      </x:c>
      <x:c r="G1615" s="11" t="str">
        <x:v>H1 2026</x:v>
      </x:c>
      <x:c r="H1615" s="11" t="str">
        <x:v>2026-08-28结果；中报2026-09-15；精确交易所发布时间未核验</x:v>
      </x:c>
      <x:c r="I1615" s="11" t="str">
        <x:v>https://ea-cdn.eurolandir.com/press-releases-attachments/4180184/HKEX-EPS_20260915_12332517_0.PDF</x:v>
      </x:c>
      <x:c r="J1615" s="11" t="str"/>
      <x:c r="K1615" s="11" t="str">
        <x:v>待核</x:v>
      </x:c>
      <x:c r="L1615" s="11" t="str">
        <x:v>精确发布时间未核验</x:v>
      </x:c>
      <x:c r="M1615" s="11" t="str">
        <x:v>截止日前日期，盘中时分未核</x:v>
      </x:c>
    </x:row>
    <x:row r="1616" ht="23" customHeight="1">
      <x:c r="A1616" s="11" t="str">
        <x:v>I082</x:v>
      </x:c>
      <x:c r="B1616" s="11" t="str">
        <x:v>00300.HK</x:v>
      </x:c>
      <x:c r="C1616" s="11" t="str">
        <x:v>operatingRevenueCNYmillion</x:v>
      </x:c>
      <x:c r="D1616" s="39" t="n">
        <x:v>260042.49</x:v>
      </x:c>
      <x:c r="E1616" s="11" t="str">
        <x:v>CNY</x:v>
      </x:c>
      <x:c r="F1616" s="11" t="str">
        <x:v>million</x:v>
      </x:c>
      <x:c r="G1616" s="11" t="str">
        <x:v>H1 2026</x:v>
      </x:c>
      <x:c r="H1616" s="11" t="str">
        <x:v>2026-08-28结果；中报2026-09-15；精确交易所发布时间未核验</x:v>
      </x:c>
      <x:c r="I1616" s="11" t="str">
        <x:v>https://ea-cdn.eurolandir.com/press-releases-attachments/4180184/HKEX-EPS_20260915_12332517_0.PDF</x:v>
      </x:c>
      <x:c r="J1616" s="11" t="str"/>
      <x:c r="K1616" s="11" t="str">
        <x:v>待核</x:v>
      </x:c>
      <x:c r="L1616" s="11" t="str">
        <x:v>精确发布时间未核验</x:v>
      </x:c>
      <x:c r="M1616" s="11" t="str">
        <x:v>截止日前日期，盘中时分未核</x:v>
      </x:c>
    </x:row>
    <x:row r="1617" ht="23" customHeight="1">
      <x:c r="A1617" s="11" t="str">
        <x:v>I082</x:v>
      </x:c>
      <x:c r="B1617" s="11" t="str">
        <x:v>00300.HK</x:v>
      </x:c>
      <x:c r="C1617" s="11" t="str">
        <x:v>financialServiceInterestRevenueCNYmillion</x:v>
      </x:c>
      <x:c r="D1617" s="39" t="n">
        <x:v>1009.683</x:v>
      </x:c>
      <x:c r="E1617" s="11" t="str">
        <x:v>CNY</x:v>
      </x:c>
      <x:c r="F1617" s="11" t="str">
        <x:v>million</x:v>
      </x:c>
      <x:c r="G1617" s="11" t="str">
        <x:v>H1 2026</x:v>
      </x:c>
      <x:c r="H1617" s="11" t="str">
        <x:v>2026-08-28结果；中报2026-09-15；精确交易所发布时间未核验</x:v>
      </x:c>
      <x:c r="I1617" s="11" t="str">
        <x:v>https://ea-cdn.eurolandir.com/press-releases-attachments/4180184/HKEX-EPS_20260915_12332517_0.PDF</x:v>
      </x:c>
      <x:c r="J1617" s="11" t="str"/>
      <x:c r="K1617" s="11" t="str">
        <x:v>待核</x:v>
      </x:c>
      <x:c r="L1617" s="11" t="str">
        <x:v>精确发布时间未核验</x:v>
      </x:c>
      <x:c r="M1617" s="11" t="str">
        <x:v>截止日前日期，盘中时分未核</x:v>
      </x:c>
    </x:row>
    <x:row r="1618" ht="23" customHeight="1">
      <x:c r="A1618" s="11" t="str">
        <x:v>I082</x:v>
      </x:c>
      <x:c r="B1618" s="11" t="str">
        <x:v>00300.HK</x:v>
      </x:c>
      <x:c r="C1618" s="11" t="str">
        <x:v>feesCommissionRevenueCNYmillion</x:v>
      </x:c>
      <x:c r="D1618" s="39" t="n">
        <x:v>0.206</x:v>
      </x:c>
      <x:c r="E1618" s="11" t="str">
        <x:v>CNY</x:v>
      </x:c>
      <x:c r="F1618" s="11" t="str">
        <x:v>million</x:v>
      </x:c>
      <x:c r="G1618" s="11" t="str">
        <x:v>H1 2026</x:v>
      </x:c>
      <x:c r="H1618" s="11" t="str">
        <x:v>2026-08-28结果；中报2026-09-15；精确交易所发布时间未核验</x:v>
      </x:c>
      <x:c r="I1618" s="11" t="str">
        <x:v>https://ea-cdn.eurolandir.com/press-releases-attachments/4180184/HKEX-EPS_20260915_12332517_0.PDF</x:v>
      </x:c>
      <x:c r="J1618" s="11" t="str"/>
      <x:c r="K1618" s="11" t="str">
        <x:v>待核</x:v>
      </x:c>
      <x:c r="L1618" s="11" t="str">
        <x:v>精确发布时间未核验</x:v>
      </x:c>
      <x:c r="M1618" s="11" t="str">
        <x:v>截止日前日期，盘中时分未核</x:v>
      </x:c>
    </x:row>
    <x:row r="1619" ht="23" customHeight="1">
      <x:c r="A1619" s="11" t="str">
        <x:v>I082</x:v>
      </x:c>
      <x:c r="B1619" s="11" t="str">
        <x:v>00300.HK</x:v>
      </x:c>
      <x:c r="C1619" s="11" t="str">
        <x:v>revenueComparativeCNYmillion</x:v>
      </x:c>
      <x:c r="D1619" s="39" t="n">
        <x:v>252331.494</x:v>
      </x:c>
      <x:c r="E1619" s="11" t="str">
        <x:v>CNY</x:v>
      </x:c>
      <x:c r="F1619" s="11" t="str">
        <x:v>million</x:v>
      </x:c>
      <x:c r="G1619" s="11" t="str">
        <x:v>H1 2026</x:v>
      </x:c>
      <x:c r="H1619" s="11" t="str">
        <x:v>2026-08-28结果；中报2026-09-15；精确交易所发布时间未核验</x:v>
      </x:c>
      <x:c r="I1619" s="11" t="str">
        <x:v>https://ea-cdn.eurolandir.com/press-releases-attachments/4180184/HKEX-EPS_20260915_12332517_0.PDF</x:v>
      </x:c>
      <x:c r="J1619" s="11" t="str"/>
      <x:c r="K1619" s="11" t="str">
        <x:v>待核</x:v>
      </x:c>
      <x:c r="L1619" s="11" t="str">
        <x:v>精确发布时间未核验</x:v>
      </x:c>
      <x:c r="M1619" s="11" t="str">
        <x:v>截止日前日期，盘中时分未核</x:v>
      </x:c>
    </x:row>
    <x:row r="1620" ht="23" customHeight="1">
      <x:c r="A1620" s="11" t="str">
        <x:v>I082</x:v>
      </x:c>
      <x:c r="B1620" s="11" t="str">
        <x:v>00300.HK</x:v>
      </x:c>
      <x:c r="C1620" s="11" t="str">
        <x:v>profitAttributableCNYmillion</x:v>
      </x:c>
      <x:c r="D1620" s="39" t="n">
        <x:v>26446.037</x:v>
      </x:c>
      <x:c r="E1620" s="11" t="str">
        <x:v>CNY</x:v>
      </x:c>
      <x:c r="F1620" s="11" t="str">
        <x:v>million</x:v>
      </x:c>
      <x:c r="G1620" s="11" t="str">
        <x:v>H1 2026</x:v>
      </x:c>
      <x:c r="H1620" s="11" t="str">
        <x:v>2026-08-28结果；中报2026-09-15；精确交易所发布时间未核验</x:v>
      </x:c>
      <x:c r="I1620" s="11" t="str">
        <x:v>https://ea-cdn.eurolandir.com/press-releases-attachments/4180184/HKEX-EPS_20260915_12332517_0.PDF</x:v>
      </x:c>
      <x:c r="J1620" s="11" t="str"/>
      <x:c r="K1620" s="11" t="str">
        <x:v>待核</x:v>
      </x:c>
      <x:c r="L1620" s="11" t="str">
        <x:v>精确发布时间未核验</x:v>
      </x:c>
      <x:c r="M1620" s="11" t="str">
        <x:v>截止日前日期，盘中时分未核</x:v>
      </x:c>
    </x:row>
    <x:row r="1621" ht="23" customHeight="1">
      <x:c r="A1621" s="11" t="str">
        <x:v>I082</x:v>
      </x:c>
      <x:c r="B1621" s="11" t="str">
        <x:v>00300.HK</x:v>
      </x:c>
      <x:c r="C1621" s="11" t="str">
        <x:v>profitAttributableComparativeCNYmillion</x:v>
      </x:c>
      <x:c r="D1621" s="39" t="n">
        <x:v>26013.69</x:v>
      </x:c>
      <x:c r="E1621" s="11" t="str">
        <x:v>CNY</x:v>
      </x:c>
      <x:c r="F1621" s="11" t="str">
        <x:v>million</x:v>
      </x:c>
      <x:c r="G1621" s="11" t="str">
        <x:v>H1 2026</x:v>
      </x:c>
      <x:c r="H1621" s="11" t="str">
        <x:v>2026-08-28结果；中报2026-09-15；精确交易所发布时间未核验</x:v>
      </x:c>
      <x:c r="I1621" s="11" t="str">
        <x:v>https://ea-cdn.eurolandir.com/press-releases-attachments/4180184/HKEX-EPS_20260915_12332517_0.PDF</x:v>
      </x:c>
      <x:c r="J1621" s="11" t="str"/>
      <x:c r="K1621" s="11" t="str">
        <x:v>待核</x:v>
      </x:c>
      <x:c r="L1621" s="11" t="str">
        <x:v>精确发布时间未核验</x:v>
      </x:c>
      <x:c r="M1621" s="11" t="str">
        <x:v>截止日前日期，盘中时分未核</x:v>
      </x:c>
    </x:row>
    <x:row r="1622" ht="23" customHeight="1">
      <x:c r="A1622" s="11" t="str">
        <x:v>I082</x:v>
      </x:c>
      <x:c r="B1622" s="11" t="str">
        <x:v>00300.HK</x:v>
      </x:c>
      <x:c r="C1622" s="11" t="str">
        <x:v>groupProfitCNYmillion</x:v>
      </x:c>
      <x:c r="D1622" s="39" t="n">
        <x:v>26582.874</x:v>
      </x:c>
      <x:c r="E1622" s="11" t="str">
        <x:v>CNY</x:v>
      </x:c>
      <x:c r="F1622" s="11" t="str">
        <x:v>million</x:v>
      </x:c>
      <x:c r="G1622" s="11" t="str">
        <x:v>H1 2026</x:v>
      </x:c>
      <x:c r="H1622" s="11" t="str">
        <x:v>2026-08-28结果；中报2026-09-15；精确交易所发布时间未核验</x:v>
      </x:c>
      <x:c r="I1622" s="11" t="str">
        <x:v>https://ea-cdn.eurolandir.com/press-releases-attachments/4180184/HKEX-EPS_20260915_12332517_0.PDF</x:v>
      </x:c>
      <x:c r="J1622" s="11" t="str"/>
      <x:c r="K1622" s="11" t="str">
        <x:v>待核</x:v>
      </x:c>
      <x:c r="L1622" s="11" t="str">
        <x:v>精确发布时间未核验</x:v>
      </x:c>
      <x:c r="M1622" s="11" t="str">
        <x:v>截止日前日期，盘中时分未核</x:v>
      </x:c>
    </x:row>
    <x:row r="1623" ht="23" customHeight="1">
      <x:c r="A1623" s="11" t="str">
        <x:v>I082</x:v>
      </x:c>
      <x:c r="B1623" s="11" t="str">
        <x:v>00300.HK</x:v>
      </x:c>
      <x:c r="C1623" s="11" t="str">
        <x:v>grossProfitCNYmillion</x:v>
      </x:c>
      <x:c r="D1623" s="39" t="n">
        <x:v>65286.471</x:v>
      </x:c>
      <x:c r="E1623" s="11" t="str">
        <x:v>CNY</x:v>
      </x:c>
      <x:c r="F1623" s="11" t="str">
        <x:v>million</x:v>
      </x:c>
      <x:c r="G1623" s="11" t="str">
        <x:v>H1 2026</x:v>
      </x:c>
      <x:c r="H1623" s="11" t="str">
        <x:v>2026-08-28结果；中报2026-09-15；精确交易所发布时间未核验</x:v>
      </x:c>
      <x:c r="I1623" s="11" t="str">
        <x:v>https://ea-cdn.eurolandir.com/press-releases-attachments/4180184/HKEX-EPS_20260915_12332517_0.PDF</x:v>
      </x:c>
      <x:c r="J1623" s="11" t="str"/>
      <x:c r="K1623" s="11" t="str">
        <x:v>待核</x:v>
      </x:c>
      <x:c r="L1623" s="11" t="str">
        <x:v>精确发布时间未核验</x:v>
      </x:c>
      <x:c r="M1623" s="11" t="str">
        <x:v>截止日前日期，盘中时分未核</x:v>
      </x:c>
    </x:row>
    <x:row r="1624" ht="23" customHeight="1">
      <x:c r="A1624" s="11" t="str">
        <x:v>I082</x:v>
      </x:c>
      <x:c r="B1624" s="11" t="str">
        <x:v>00300.HK</x:v>
      </x:c>
      <x:c r="C1624" s="11" t="str">
        <x:v>operatingProfitCNYmillion</x:v>
      </x:c>
      <x:c r="D1624" s="39" t="n">
        <x:v>31743.624</x:v>
      </x:c>
      <x:c r="E1624" s="11" t="str">
        <x:v>CNY</x:v>
      </x:c>
      <x:c r="F1624" s="11" t="str">
        <x:v>million</x:v>
      </x:c>
      <x:c r="G1624" s="11" t="str">
        <x:v>H1 2026</x:v>
      </x:c>
      <x:c r="H1624" s="11" t="str">
        <x:v>2026-08-28结果；中报2026-09-15；精确交易所发布时间未核验</x:v>
      </x:c>
      <x:c r="I1624" s="11" t="str">
        <x:v>https://ea-cdn.eurolandir.com/press-releases-attachments/4180184/HKEX-EPS_20260915_12332517_0.PDF</x:v>
      </x:c>
      <x:c r="J1624" s="11" t="str"/>
      <x:c r="K1624" s="11" t="str">
        <x:v>待核</x:v>
      </x:c>
      <x:c r="L1624" s="11" t="str">
        <x:v>精确发布时间未核验</x:v>
      </x:c>
      <x:c r="M1624" s="11" t="str">
        <x:v>截止日前日期，盘中时分未核</x:v>
      </x:c>
    </x:row>
    <x:row r="1625" ht="23" customHeight="1">
      <x:c r="A1625" s="11" t="str">
        <x:v>I082</x:v>
      </x:c>
      <x:c r="B1625" s="11" t="str">
        <x:v>00300.HK</x:v>
      </x:c>
      <x:c r="C1625" s="11" t="str">
        <x:v>profitBeforeTaxCNYmillion</x:v>
      </x:c>
      <x:c r="D1625" s="39" t="n">
        <x:v>31844.556</x:v>
      </x:c>
      <x:c r="E1625" s="11" t="str">
        <x:v>CNY</x:v>
      </x:c>
      <x:c r="F1625" s="11" t="str">
        <x:v>million</x:v>
      </x:c>
      <x:c r="G1625" s="11" t="str">
        <x:v>H1 2026</x:v>
      </x:c>
      <x:c r="H1625" s="11" t="str">
        <x:v>2026-08-28结果；中报2026-09-15；精确交易所发布时间未核验</x:v>
      </x:c>
      <x:c r="I1625" s="11" t="str">
        <x:v>https://ea-cdn.eurolandir.com/press-releases-attachments/4180184/HKEX-EPS_20260915_12332517_0.PDF</x:v>
      </x:c>
      <x:c r="J1625" s="11" t="str"/>
      <x:c r="K1625" s="11" t="str">
        <x:v>待核</x:v>
      </x:c>
      <x:c r="L1625" s="11" t="str">
        <x:v>精确发布时间未核验</x:v>
      </x:c>
      <x:c r="M1625" s="11" t="str">
        <x:v>截止日前日期，盘中时分未核</x:v>
      </x:c>
    </x:row>
    <x:row r="1626" ht="23" customHeight="1">
      <x:c r="A1626" s="11" t="str">
        <x:v>I082</x:v>
      </x:c>
      <x:c r="B1626" s="11" t="str">
        <x:v>00300.HK</x:v>
      </x:c>
      <x:c r="C1626" s="11" t="str">
        <x:v>taxCNYmillion</x:v>
      </x:c>
      <x:c r="D1626" s="39" t="n">
        <x:v>5261.682</x:v>
      </x:c>
      <x:c r="E1626" s="11" t="str">
        <x:v>CNY</x:v>
      </x:c>
      <x:c r="F1626" s="11" t="str">
        <x:v>million</x:v>
      </x:c>
      <x:c r="G1626" s="11" t="str">
        <x:v>H1 2026</x:v>
      </x:c>
      <x:c r="H1626" s="11" t="str">
        <x:v>2026-08-28结果；中报2026-09-15；精确交易所发布时间未核验</x:v>
      </x:c>
      <x:c r="I1626" s="11" t="str">
        <x:v>https://ea-cdn.eurolandir.com/press-releases-attachments/4180184/HKEX-EPS_20260915_12332517_0.PDF</x:v>
      </x:c>
      <x:c r="J1626" s="11" t="str"/>
      <x:c r="K1626" s="11" t="str">
        <x:v>待核</x:v>
      </x:c>
      <x:c r="L1626" s="11" t="str">
        <x:v>精确发布时间未核验</x:v>
      </x:c>
      <x:c r="M1626" s="11" t="str">
        <x:v>截止日前日期，盘中时分未核</x:v>
      </x:c>
    </x:row>
    <x:row r="1627" ht="23" customHeight="1">
      <x:c r="A1627" s="11" t="str">
        <x:v>I082</x:v>
      </x:c>
      <x:c r="B1627" s="11" t="str">
        <x:v>00300.HK</x:v>
      </x:c>
      <x:c r="C1627" s="11" t="str">
        <x:v>dilutedEPSCNY</x:v>
      </x:c>
      <x:c r="D1627" s="39" t="n">
        <x:v>3.5</x:v>
      </x:c>
      <x:c r="E1627" s="11" t="str">
        <x:v>CNY</x:v>
      </x:c>
      <x:c r="F1627" s="11" t="str">
        <x:v>per ordinary share</x:v>
      </x:c>
      <x:c r="G1627" s="11" t="str">
        <x:v>H1 2026</x:v>
      </x:c>
      <x:c r="H1627" s="11" t="str">
        <x:v>2026-08-28结果；中报2026-09-15；精确交易所发布时间未核验</x:v>
      </x:c>
      <x:c r="I1627" s="11" t="str">
        <x:v>https://ea-cdn.eurolandir.com/press-releases-attachments/4180184/HKEX-EPS_20260915_12332517_0.PDF</x:v>
      </x:c>
      <x:c r="J1627" s="11" t="str"/>
      <x:c r="K1627" s="11" t="str">
        <x:v>待核</x:v>
      </x:c>
      <x:c r="L1627" s="11" t="str">
        <x:v>精确发布时间未核验</x:v>
      </x:c>
      <x:c r="M1627" s="11" t="str">
        <x:v>截止日前日期，盘中时分未核</x:v>
      </x:c>
    </x:row>
    <x:row r="1628" ht="23" customHeight="1">
      <x:c r="A1628" s="11" t="str">
        <x:v>I082</x:v>
      </x:c>
      <x:c r="B1628" s="11" t="str">
        <x:v>00300.HK</x:v>
      </x:c>
      <x:c r="C1628" s="11" t="str">
        <x:v>weightedDilutedSharesMillion</x:v>
      </x:c>
      <x:c r="D1628" s="39" t="n">
        <x:v>7540.304</x:v>
      </x:c>
      <x:c r="E1628" s="11" t="str">
        <x:v>not monetary</x:v>
      </x:c>
      <x:c r="F1628" s="11" t="str">
        <x:v>million shares</x:v>
      </x:c>
      <x:c r="G1628" s="11" t="str">
        <x:v>H1 2026</x:v>
      </x:c>
      <x:c r="H1628" s="11" t="str">
        <x:v>2026-08-28结果；中报2026-09-15；精确交易所发布时间未核验</x:v>
      </x:c>
      <x:c r="I1628" s="11" t="str">
        <x:v>https://ea-cdn.eurolandir.com/press-releases-attachments/4180184/HKEX-EPS_20260915_12332517_0.PDF</x:v>
      </x:c>
      <x:c r="J1628" s="11" t="str"/>
      <x:c r="K1628" s="11" t="str">
        <x:v>待核</x:v>
      </x:c>
      <x:c r="L1628" s="11" t="str">
        <x:v>精确发布时间未核验</x:v>
      </x:c>
      <x:c r="M1628" s="11" t="str">
        <x:v>截止日前日期，盘中时分未核</x:v>
      </x:c>
    </x:row>
    <x:row r="1629" ht="23" customHeight="1">
      <x:c r="A1629" s="11" t="str">
        <x:v>I082</x:v>
      </x:c>
      <x:c r="B1629" s="11" t="str">
        <x:v>00300.HK</x:v>
      </x:c>
      <x:c r="C1629" s="11" t="str">
        <x:v>adjustedDilutedNumeratorCNYmillion</x:v>
      </x:c>
      <x:c r="D1629" s="39" t="n">
        <x:v>26381.974</x:v>
      </x:c>
      <x:c r="E1629" s="11" t="str">
        <x:v>CNY</x:v>
      </x:c>
      <x:c r="F1629" s="11" t="str">
        <x:v>million</x:v>
      </x:c>
      <x:c r="G1629" s="11" t="str">
        <x:v>H1 2026</x:v>
      </x:c>
      <x:c r="H1629" s="11" t="str">
        <x:v>2026-08-28结果；中报2026-09-15；精确交易所发布时间未核验</x:v>
      </x:c>
      <x:c r="I1629" s="11" t="str">
        <x:v>https://ea-cdn.eurolandir.com/press-releases-attachments/4180184/HKEX-EPS_20260915_12332517_0.PDF</x:v>
      </x:c>
      <x:c r="J1629" s="11" t="str"/>
      <x:c r="K1629" s="11" t="str">
        <x:v>待核</x:v>
      </x:c>
      <x:c r="L1629" s="11" t="str">
        <x:v>精确发布时间未核验</x:v>
      </x:c>
      <x:c r="M1629" s="11" t="str">
        <x:v>截止日前日期，盘中时分未核</x:v>
      </x:c>
    </x:row>
    <x:row r="1630" ht="23" customHeight="1">
      <x:c r="A1630" s="11" t="str">
        <x:v>I082</x:v>
      </x:c>
      <x:c r="B1630" s="11" t="str">
        <x:v>00300.HK</x:v>
      </x:c>
      <x:c r="C1630" s="11" t="str">
        <x:v>dividendRestrictedSharesNumeratorDeductionCNYmillion</x:v>
      </x:c>
      <x:c r="D1630" s="39" t="n">
        <x:v>165.744</x:v>
      </x:c>
      <x:c r="E1630" s="11" t="str">
        <x:v>not monetary</x:v>
      </x:c>
      <x:c r="F1630" s="11" t="str">
        <x:v>shares</x:v>
      </x:c>
      <x:c r="G1630" s="11" t="str">
        <x:v>H1 2026</x:v>
      </x:c>
      <x:c r="H1630" s="11" t="str">
        <x:v>2026-08-28结果；中报2026-09-15；精确交易所发布时间未核验</x:v>
      </x:c>
      <x:c r="I1630" s="11" t="str">
        <x:v>https://ea-cdn.eurolandir.com/press-releases-attachments/4180184/HKEX-EPS_20260915_12332517_0.PDF</x:v>
      </x:c>
      <x:c r="J1630" s="11" t="str"/>
      <x:c r="K1630" s="11" t="str">
        <x:v>待核</x:v>
      </x:c>
      <x:c r="L1630" s="11" t="str">
        <x:v>精确发布时间未核验</x:v>
      </x:c>
      <x:c r="M1630" s="11" t="str">
        <x:v>截止日前日期，盘中时分未核</x:v>
      </x:c>
    </x:row>
    <x:row r="1631" ht="23" customHeight="1">
      <x:c r="A1631" s="11" t="str">
        <x:v>I082</x:v>
      </x:c>
      <x:c r="B1631" s="11" t="str">
        <x:v>00300.HK</x:v>
      </x:c>
      <x:c r="C1631" s="11" t="str">
        <x:v>OCFCNYmillion</x:v>
      </x:c>
      <x:c r="D1631" s="39" t="n">
        <x:v>37552.09</x:v>
      </x:c>
      <x:c r="E1631" s="11" t="str">
        <x:v>CNY</x:v>
      </x:c>
      <x:c r="F1631" s="11" t="str">
        <x:v>million</x:v>
      </x:c>
      <x:c r="G1631" s="11" t="str">
        <x:v>H1 2026</x:v>
      </x:c>
      <x:c r="H1631" s="11" t="str">
        <x:v>2026-08-28结果；中报2026-09-15；精确交易所发布时间未核验</x:v>
      </x:c>
      <x:c r="I1631" s="11" t="str">
        <x:v>https://ea-cdn.eurolandir.com/press-releases-attachments/4180184/HKEX-EPS_20260915_12332517_0.PDF</x:v>
      </x:c>
      <x:c r="J1631" s="11" t="str"/>
      <x:c r="K1631" s="11" t="str">
        <x:v>待核</x:v>
      </x:c>
      <x:c r="L1631" s="11" t="str">
        <x:v>精确发布时间未核验</x:v>
      </x:c>
      <x:c r="M1631" s="11" t="str">
        <x:v>截止日前日期，盘中时分未核</x:v>
      </x:c>
    </x:row>
    <x:row r="1632" ht="23" customHeight="1">
      <x:c r="A1632" s="11" t="str">
        <x:v>I082</x:v>
      </x:c>
      <x:c r="B1632" s="11" t="str">
        <x:v>00300.HK</x:v>
      </x:c>
      <x:c r="C1632" s="11" t="str">
        <x:v>capitalPurchaseCNYmillion</x:v>
      </x:c>
      <x:c r="D1632" s="39" t="n">
        <x:v>2634.21</x:v>
      </x:c>
      <x:c r="E1632" s="11" t="str">
        <x:v>CNY</x:v>
      </x:c>
      <x:c r="F1632" s="11" t="str">
        <x:v>million</x:v>
      </x:c>
      <x:c r="G1632" s="11" t="str">
        <x:v>H1 2026</x:v>
      </x:c>
      <x:c r="H1632" s="11" t="str">
        <x:v>2026-08-28结果；中报2026-09-15；精确交易所发布时间未核验</x:v>
      </x:c>
      <x:c r="I1632" s="11" t="str">
        <x:v>https://ea-cdn.eurolandir.com/press-releases-attachments/4180184/HKEX-EPS_20260915_12332517_0.PDF</x:v>
      </x:c>
      <x:c r="J1632" s="11" t="str"/>
      <x:c r="K1632" s="11" t="str">
        <x:v>待核</x:v>
      </x:c>
      <x:c r="L1632" s="11" t="str">
        <x:v>精确发布时间未核验</x:v>
      </x:c>
      <x:c r="M1632" s="11" t="str">
        <x:v>截止日前日期，盘中时分未核</x:v>
      </x:c>
    </x:row>
    <x:row r="1633" ht="23" customHeight="1">
      <x:c r="A1633" s="11" t="str">
        <x:v>I082</x:v>
      </x:c>
      <x:c r="B1633" s="11" t="str">
        <x:v>00300.HK</x:v>
      </x:c>
      <x:c r="C1633" s="11" t="str">
        <x:v>leaseRelatedCashCNYmillion</x:v>
      </x:c>
      <x:c r="D1633" s="39" t="n">
        <x:v>738.532</x:v>
      </x:c>
      <x:c r="E1633" s="11" t="str">
        <x:v>CNY</x:v>
      </x:c>
      <x:c r="F1633" s="11" t="str">
        <x:v>million</x:v>
      </x:c>
      <x:c r="G1633" s="11" t="str">
        <x:v>H1 2026</x:v>
      </x:c>
      <x:c r="H1633" s="11" t="str">
        <x:v>2026-08-28结果；中报2026-09-15；精确交易所发布时间未核验</x:v>
      </x:c>
      <x:c r="I1633" s="11" t="str">
        <x:v>https://ea-cdn.eurolandir.com/press-releases-attachments/4180184/HKEX-EPS_20260915_12332517_0.PDF</x:v>
      </x:c>
      <x:c r="J1633" s="11" t="str"/>
      <x:c r="K1633" s="11" t="str">
        <x:v>待核</x:v>
      </x:c>
      <x:c r="L1633" s="11" t="str">
        <x:v>精确发布时间未核验</x:v>
      </x:c>
      <x:c r="M1633" s="11" t="str">
        <x:v>截止日前日期，盘中时分未核</x:v>
      </x:c>
    </x:row>
    <x:row r="1634" ht="23" customHeight="1">
      <x:c r="A1634" s="11" t="str">
        <x:v>I082</x:v>
      </x:c>
      <x:c r="B1634" s="11" t="str">
        <x:v>00300.HK</x:v>
      </x:c>
      <x:c r="C1634" s="11" t="str">
        <x:v>interestPaidFinancingCashCNYmillion</x:v>
      </x:c>
      <x:c r="D1634" s="39" t="n">
        <x:v>477.308</x:v>
      </x:c>
      <x:c r="E1634" s="11" t="str">
        <x:v>CNY</x:v>
      </x:c>
      <x:c r="F1634" s="11" t="str">
        <x:v>million</x:v>
      </x:c>
      <x:c r="G1634" s="11" t="str">
        <x:v>H1 2026</x:v>
      </x:c>
      <x:c r="H1634" s="11" t="str">
        <x:v>2026-08-28结果；中报2026-09-15；精确交易所发布时间未核验</x:v>
      </x:c>
      <x:c r="I1634" s="11" t="str">
        <x:v>https://ea-cdn.eurolandir.com/press-releases-attachments/4180184/HKEX-EPS_20260915_12332517_0.PDF</x:v>
      </x:c>
      <x:c r="J1634" s="11" t="str"/>
      <x:c r="K1634" s="11" t="str">
        <x:v>待核</x:v>
      </x:c>
      <x:c r="L1634" s="11" t="str">
        <x:v>精确发布时间未核验</x:v>
      </x:c>
      <x:c r="M1634" s="11" t="str">
        <x:v>截止日前日期，盘中时分未核</x:v>
      </x:c>
    </x:row>
    <x:row r="1635" ht="23" customHeight="1">
      <x:c r="A1635" s="11" t="str">
        <x:v>I082</x:v>
      </x:c>
      <x:c r="B1635" s="11" t="str">
        <x:v>00300.HK</x:v>
      </x:c>
      <x:c r="C1635" s="11" t="str">
        <x:v>FCFProxyBeforeInterestCNYmillion</x:v>
      </x:c>
      <x:c r="D1635" s="39" t="n">
        <x:v>34179.348</x:v>
      </x:c>
      <x:c r="E1635" s="11" t="str">
        <x:v>CNY</x:v>
      </x:c>
      <x:c r="F1635" s="11" t="str">
        <x:v>million</x:v>
      </x:c>
      <x:c r="G1635" s="11" t="str">
        <x:v>H1 2026</x:v>
      </x:c>
      <x:c r="H1635" s="11" t="str">
        <x:v>2026-08-28结果；中报2026-09-15；精确交易所发布时间未核验</x:v>
      </x:c>
      <x:c r="I1635" s="11" t="str">
        <x:v>https://ea-cdn.eurolandir.com/press-releases-attachments/4180184/HKEX-EPS_20260915_12332517_0.PDF</x:v>
      </x:c>
      <x:c r="J1635" s="11" t="str"/>
      <x:c r="K1635" s="11" t="str">
        <x:v>待核</x:v>
      </x:c>
      <x:c r="L1635" s="11" t="str">
        <x:v>精确发布时间未核验</x:v>
      </x:c>
      <x:c r="M1635" s="11" t="str">
        <x:v>截止日前日期，盘中时分未核</x:v>
      </x:c>
    </x:row>
    <x:row r="1636" ht="23" customHeight="1">
      <x:c r="A1636" s="11" t="str">
        <x:v>I082</x:v>
      </x:c>
      <x:c r="B1636" s="11" t="str">
        <x:v>00300.HK</x:v>
      </x:c>
      <x:c r="C1636" s="11" t="str">
        <x:v>FCFProxyAfterFinancingInterestCNYmillion</x:v>
      </x:c>
      <x:c r="D1636" s="39" t="n">
        <x:v>33702.04</x:v>
      </x:c>
      <x:c r="E1636" s="11" t="str">
        <x:v>CNY</x:v>
      </x:c>
      <x:c r="F1636" s="11" t="str">
        <x:v>million</x:v>
      </x:c>
      <x:c r="G1636" s="11" t="str">
        <x:v>H1 2026</x:v>
      </x:c>
      <x:c r="H1636" s="11" t="str">
        <x:v>2026-08-28结果；中报2026-09-15；精确交易所发布时间未核验</x:v>
      </x:c>
      <x:c r="I1636" s="11" t="str">
        <x:v>https://ea-cdn.eurolandir.com/press-releases-attachments/4180184/HKEX-EPS_20260915_12332517_0.PDF</x:v>
      </x:c>
      <x:c r="J1636" s="11" t="str"/>
      <x:c r="K1636" s="11" t="str">
        <x:v>待核</x:v>
      </x:c>
      <x:c r="L1636" s="11" t="str">
        <x:v>精确发布时间未核验</x:v>
      </x:c>
      <x:c r="M1636" s="11" t="str">
        <x:v>截止日前日期，盘中时分未核</x:v>
      </x:c>
    </x:row>
    <x:row r="1637" ht="23" customHeight="1">
      <x:c r="A1637" s="11" t="str">
        <x:v>I082</x:v>
      </x:c>
      <x:c r="B1637" s="11" t="str">
        <x:v>00300.HK</x:v>
      </x:c>
      <x:c r="C1637" s="11" t="str">
        <x:v>smartHomeRevenueManagementCNYmillion</x:v>
      </x:c>
      <x:c r="D1637" s="39" t="n">
        <x:v>174340.606</x:v>
      </x:c>
      <x:c r="E1637" s="11" t="str">
        <x:v>CNY</x:v>
      </x:c>
      <x:c r="F1637" s="11" t="str">
        <x:v>million</x:v>
      </x:c>
      <x:c r="G1637" s="11" t="str">
        <x:v>H1 2026</x:v>
      </x:c>
      <x:c r="H1637" s="11" t="str">
        <x:v>2026-08-28结果；中报2026-09-15；精确交易所发布时间未核验</x:v>
      </x:c>
      <x:c r="I1637" s="11" t="str">
        <x:v>https://ea-cdn.eurolandir.com/press-releases-attachments/4180184/HKEX-EPS_20260915_12332517_0.PDF</x:v>
      </x:c>
      <x:c r="J1637" s="11" t="str"/>
      <x:c r="K1637" s="11" t="str">
        <x:v>待核</x:v>
      </x:c>
      <x:c r="L1637" s="11" t="str">
        <x:v>精确发布时间未核验</x:v>
      </x:c>
      <x:c r="M1637" s="11" t="str">
        <x:v>截止日前日期，盘中时分未核</x:v>
      </x:c>
    </x:row>
    <x:row r="1638" ht="23" customHeight="1">
      <x:c r="A1638" s="11" t="str">
        <x:v>I082</x:v>
      </x:c>
      <x:c r="B1638" s="11" t="str">
        <x:v>00300.HK</x:v>
      </x:c>
      <x:c r="C1638" s="11" t="str">
        <x:v>buildingRevenueManagementCNYmillion</x:v>
      </x:c>
      <x:c r="D1638" s="39" t="n">
        <x:v>21625.109</x:v>
      </x:c>
      <x:c r="E1638" s="11" t="str">
        <x:v>CNY</x:v>
      </x:c>
      <x:c r="F1638" s="11" t="str">
        <x:v>million</x:v>
      </x:c>
      <x:c r="G1638" s="11" t="str">
        <x:v>H1 2026</x:v>
      </x:c>
      <x:c r="H1638" s="11" t="str">
        <x:v>2026-08-28结果；中报2026-09-15；精确交易所发布时间未核验</x:v>
      </x:c>
      <x:c r="I1638" s="11" t="str">
        <x:v>https://ea-cdn.eurolandir.com/press-releases-attachments/4180184/HKEX-EPS_20260915_12332517_0.PDF</x:v>
      </x:c>
      <x:c r="J1638" s="11" t="str"/>
      <x:c r="K1638" s="11" t="str">
        <x:v>待核</x:v>
      </x:c>
      <x:c r="L1638" s="11" t="str">
        <x:v>精确发布时间未核验</x:v>
      </x:c>
      <x:c r="M1638" s="11" t="str">
        <x:v>截止日前日期，盘中时分未核</x:v>
      </x:c>
    </x:row>
    <x:row r="1639" ht="23" customHeight="1">
      <x:c r="A1639" s="11" t="str">
        <x:v>I082</x:v>
      </x:c>
      <x:c r="B1639" s="11" t="str">
        <x:v>00300.HK</x:v>
      </x:c>
      <x:c r="C1639" s="11" t="str">
        <x:v>roboticsRevenueManagementCNYmillion</x:v>
      </x:c>
      <x:c r="D1639" s="39" t="n">
        <x:v>16620.817</x:v>
      </x:c>
      <x:c r="E1639" s="11" t="str">
        <x:v>CNY</x:v>
      </x:c>
      <x:c r="F1639" s="11" t="str">
        <x:v>million</x:v>
      </x:c>
      <x:c r="G1639" s="11" t="str">
        <x:v>H1 2026</x:v>
      </x:c>
      <x:c r="H1639" s="11" t="str">
        <x:v>2026-08-28结果；中报2026-09-15；精确交易所发布时间未核验</x:v>
      </x:c>
      <x:c r="I1639" s="11" t="str">
        <x:v>https://ea-cdn.eurolandir.com/press-releases-attachments/4180184/HKEX-EPS_20260915_12332517_0.PDF</x:v>
      </x:c>
      <x:c r="J1639" s="11" t="str"/>
      <x:c r="K1639" s="11" t="str">
        <x:v>待核</x:v>
      </x:c>
      <x:c r="L1639" s="11" t="str">
        <x:v>精确发布时间未核验</x:v>
      </x:c>
      <x:c r="M1639" s="11" t="str">
        <x:v>截止日前日期，盘中时分未核</x:v>
      </x:c>
    </x:row>
    <x:row r="1640" ht="23" customHeight="1">
      <x:c r="A1640" s="11" t="str">
        <x:v>I082</x:v>
      </x:c>
      <x:c r="B1640" s="11" t="str">
        <x:v>00300.HK</x:v>
      </x:c>
      <x:c r="C1640" s="11" t="str">
        <x:v>industrialRevenueManagementCNYmillion</x:v>
      </x:c>
      <x:c r="D1640" s="39" t="n">
        <x:v>13137.739</x:v>
      </x:c>
      <x:c r="E1640" s="11" t="str">
        <x:v>CNY</x:v>
      </x:c>
      <x:c r="F1640" s="11" t="str">
        <x:v>million</x:v>
      </x:c>
      <x:c r="G1640" s="11" t="str">
        <x:v>H1 2026</x:v>
      </x:c>
      <x:c r="H1640" s="11" t="str">
        <x:v>2026-08-28结果；中报2026-09-15；精确交易所发布时间未核验</x:v>
      </x:c>
      <x:c r="I1640" s="11" t="str">
        <x:v>https://ea-cdn.eurolandir.com/press-releases-attachments/4180184/HKEX-EPS_20260915_12332517_0.PDF</x:v>
      </x:c>
      <x:c r="J1640" s="11" t="str"/>
      <x:c r="K1640" s="11" t="str">
        <x:v>待核</x:v>
      </x:c>
      <x:c r="L1640" s="11" t="str">
        <x:v>精确发布时间未核验</x:v>
      </x:c>
      <x:c r="M1640" s="11" t="str">
        <x:v>截止日前日期，盘中时分未核</x:v>
      </x:c>
    </x:row>
    <x:row r="1641" ht="23" customHeight="1">
      <x:c r="A1641" s="11" t="str">
        <x:v>I082</x:v>
      </x:c>
      <x:c r="B1641" s="11" t="str">
        <x:v>00300.HK</x:v>
      </x:c>
      <x:c r="C1641" s="11" t="str">
        <x:v>otherCommercialRevenueManagementCNYmillion</x:v>
      </x:c>
      <x:c r="D1641" s="39" t="n">
        <x:v>15282.454</x:v>
      </x:c>
      <x:c r="E1641" s="11" t="str">
        <x:v>CNY</x:v>
      </x:c>
      <x:c r="F1641" s="11" t="str">
        <x:v>million</x:v>
      </x:c>
      <x:c r="G1641" s="11" t="str">
        <x:v>H1 2026</x:v>
      </x:c>
      <x:c r="H1641" s="11" t="str">
        <x:v>2026-08-28结果；中报2026-09-15；精确交易所发布时间未核验</x:v>
      </x:c>
      <x:c r="I1641" s="11" t="str">
        <x:v>https://ea-cdn.eurolandir.com/press-releases-attachments/4180184/HKEX-EPS_20260915_12332517_0.PDF</x:v>
      </x:c>
      <x:c r="J1641" s="11" t="str"/>
      <x:c r="K1641" s="11" t="str">
        <x:v>待核</x:v>
      </x:c>
      <x:c r="L1641" s="11" t="str">
        <x:v>精确发布时间未核验</x:v>
      </x:c>
      <x:c r="M1641" s="11" t="str">
        <x:v>截止日前日期，盘中时分未核</x:v>
      </x:c>
    </x:row>
    <x:row r="1642" ht="23" customHeight="1">
      <x:c r="A1642" s="11" t="str">
        <x:v>I082</x:v>
      </x:c>
      <x:c r="B1642" s="11" t="str">
        <x:v>00300.HK</x:v>
      </x:c>
      <x:c r="C1642" s="11" t="str">
        <x:v>commercialIndustrialRevenueManagementCNYmillion</x:v>
      </x:c>
      <x:c r="D1642" s="39" t="n">
        <x:v>66666.119</x:v>
      </x:c>
      <x:c r="E1642" s="11" t="str">
        <x:v>CNY</x:v>
      </x:c>
      <x:c r="F1642" s="11" t="str">
        <x:v>million</x:v>
      </x:c>
      <x:c r="G1642" s="11" t="str">
        <x:v>H1 2026</x:v>
      </x:c>
      <x:c r="H1642" s="11" t="str">
        <x:v>2026-08-28结果；中报2026-09-15；精确交易所发布时间未核验</x:v>
      </x:c>
      <x:c r="I1642" s="11" t="str">
        <x:v>https://ea-cdn.eurolandir.com/press-releases-attachments/4180184/HKEX-EPS_20260915_12332517_0.PDF</x:v>
      </x:c>
      <x:c r="J1642" s="11" t="str"/>
      <x:c r="K1642" s="11" t="str">
        <x:v>待核</x:v>
      </x:c>
      <x:c r="L1642" s="11" t="str">
        <x:v>精确发布时间未核验</x:v>
      </x:c>
      <x:c r="M1642" s="11" t="str">
        <x:v>截止日前日期，盘中时分未核</x:v>
      </x:c>
    </x:row>
    <x:row r="1643" ht="23" customHeight="1">
      <x:c r="A1643" s="11" t="str">
        <x:v>I082</x:v>
      </x:c>
      <x:c r="B1643" s="11" t="str">
        <x:v>00300.HK</x:v>
      </x:c>
      <x:c r="C1643" s="11" t="str">
        <x:v>smartHomeExternalSegmentRevenueCNYmillion</x:v>
      </x:c>
      <x:c r="D1643" s="39" t="n">
        <x:v>190858.087</x:v>
      </x:c>
      <x:c r="E1643" s="11" t="str">
        <x:v>CNY</x:v>
      </x:c>
      <x:c r="F1643" s="11" t="str">
        <x:v>million</x:v>
      </x:c>
      <x:c r="G1643" s="11" t="str">
        <x:v>H1 2026</x:v>
      </x:c>
      <x:c r="H1643" s="11" t="str">
        <x:v>2026-08-28结果；中报2026-09-15；精确交易所发布时间未核验</x:v>
      </x:c>
      <x:c r="I1643" s="11" t="str">
        <x:v>https://ea-cdn.eurolandir.com/press-releases-attachments/4180184/HKEX-EPS_20260915_12332517_0.PDF</x:v>
      </x:c>
      <x:c r="J1643" s="11" t="str"/>
      <x:c r="K1643" s="11" t="str">
        <x:v>待核</x:v>
      </x:c>
      <x:c r="L1643" s="11" t="str">
        <x:v>精确发布时间未核验</x:v>
      </x:c>
      <x:c r="M1643" s="11" t="str">
        <x:v>截止日前日期，盘中时分未核</x:v>
      </x:c>
    </x:row>
    <x:row r="1644" ht="23" customHeight="1">
      <x:c r="A1644" s="11" t="str">
        <x:v>I082</x:v>
      </x:c>
      <x:c r="B1644" s="11" t="str">
        <x:v>00300.HK</x:v>
      </x:c>
      <x:c r="C1644" s="11" t="str">
        <x:v>buildingExternalSegmentRevenueCNYmillion</x:v>
      </x:c>
      <x:c r="D1644" s="39" t="n">
        <x:v>20827.899</x:v>
      </x:c>
      <x:c r="E1644" s="11" t="str">
        <x:v>CNY</x:v>
      </x:c>
      <x:c r="F1644" s="11" t="str">
        <x:v>million</x:v>
      </x:c>
      <x:c r="G1644" s="11" t="str">
        <x:v>H1 2026</x:v>
      </x:c>
      <x:c r="H1644" s="11" t="str">
        <x:v>2026-08-28结果；中报2026-09-15；精确交易所发布时间未核验</x:v>
      </x:c>
      <x:c r="I1644" s="11" t="str">
        <x:v>https://ea-cdn.eurolandir.com/press-releases-attachments/4180184/HKEX-EPS_20260915_12332517_0.PDF</x:v>
      </x:c>
      <x:c r="J1644" s="11" t="str"/>
      <x:c r="K1644" s="11" t="str">
        <x:v>待核</x:v>
      </x:c>
      <x:c r="L1644" s="11" t="str">
        <x:v>精确发布时间未核验</x:v>
      </x:c>
      <x:c r="M1644" s="11" t="str">
        <x:v>截止日前日期，盘中时分未核</x:v>
      </x:c>
    </x:row>
    <x:row r="1645" ht="23" customHeight="1">
      <x:c r="A1645" s="11" t="str">
        <x:v>I082</x:v>
      </x:c>
      <x:c r="B1645" s="11" t="str">
        <x:v>00300.HK</x:v>
      </x:c>
      <x:c r="C1645" s="11" t="str">
        <x:v>industrialExternalSegmentRevenueCNYmillion</x:v>
      </x:c>
      <x:c r="D1645" s="39" t="n">
        <x:v>16266.386</x:v>
      </x:c>
      <x:c r="E1645" s="11" t="str">
        <x:v>CNY</x:v>
      </x:c>
      <x:c r="F1645" s="11" t="str">
        <x:v>million</x:v>
      </x:c>
      <x:c r="G1645" s="11" t="str">
        <x:v>H1 2026</x:v>
      </x:c>
      <x:c r="H1645" s="11" t="str">
        <x:v>2026-08-28结果；中报2026-09-15；精确交易所发布时间未核验</x:v>
      </x:c>
      <x:c r="I1645" s="11" t="str">
        <x:v>https://ea-cdn.eurolandir.com/press-releases-attachments/4180184/HKEX-EPS_20260915_12332517_0.PDF</x:v>
      </x:c>
      <x:c r="J1645" s="11" t="str"/>
      <x:c r="K1645" s="11" t="str">
        <x:v>待核</x:v>
      </x:c>
      <x:c r="L1645" s="11" t="str">
        <x:v>精确发布时间未核验</x:v>
      </x:c>
      <x:c r="M1645" s="11" t="str">
        <x:v>截止日前日期，盘中时分未核</x:v>
      </x:c>
    </x:row>
    <x:row r="1646" ht="23" customHeight="1">
      <x:c r="A1646" s="11" t="str">
        <x:v>I082</x:v>
      </x:c>
      <x:c r="B1646" s="11" t="str">
        <x:v>00300.HK</x:v>
      </x:c>
      <x:c r="C1646" s="11" t="str">
        <x:v>otherExternalSegmentRevenueCNYmillion</x:v>
      </x:c>
      <x:c r="D1646" s="39" t="n">
        <x:v>33100.007</x:v>
      </x:c>
      <x:c r="E1646" s="11" t="str">
        <x:v>CNY</x:v>
      </x:c>
      <x:c r="F1646" s="11" t="str">
        <x:v>million</x:v>
      </x:c>
      <x:c r="G1646" s="11" t="str">
        <x:v>H1 2026</x:v>
      </x:c>
      <x:c r="H1646" s="11" t="str">
        <x:v>2026-08-28结果；中报2026-09-15；精确交易所发布时间未核验</x:v>
      </x:c>
      <x:c r="I1646" s="11" t="str">
        <x:v>https://ea-cdn.eurolandir.com/press-releases-attachments/4180184/HKEX-EPS_20260915_12332517_0.PDF</x:v>
      </x:c>
      <x:c r="J1646" s="11" t="str"/>
      <x:c r="K1646" s="11" t="str">
        <x:v>待核</x:v>
      </x:c>
      <x:c r="L1646" s="11" t="str">
        <x:v>精确发布时间未核验</x:v>
      </x:c>
      <x:c r="M1646" s="11" t="str">
        <x:v>截止日前日期，盘中时分未核</x:v>
      </x:c>
    </x:row>
    <x:row r="1647" ht="23" customHeight="1">
      <x:c r="A1647" s="11" t="str">
        <x:v>I082</x:v>
      </x:c>
      <x:c r="B1647" s="11" t="str">
        <x:v>00300.HK</x:v>
      </x:c>
      <x:c r="C1647" s="11" t="str">
        <x:v>segmentProfitCNYmillion</x:v>
      </x:c>
      <x:c r="D1647" s="39" t="n">
        <x:v>24601.987</x:v>
      </x:c>
      <x:c r="E1647" s="11" t="str">
        <x:v>CNY</x:v>
      </x:c>
      <x:c r="F1647" s="11" t="str">
        <x:v>million</x:v>
      </x:c>
      <x:c r="G1647" s="11" t="str">
        <x:v>H1 2026</x:v>
      </x:c>
      <x:c r="H1647" s="11" t="str">
        <x:v>2026-08-28结果；中报2026-09-15；精确交易所发布时间未核验</x:v>
      </x:c>
      <x:c r="I1647" s="11" t="str">
        <x:v>https://ea-cdn.eurolandir.com/press-releases-attachments/4180184/HKEX-EPS_20260915_12332517_0.PDF</x:v>
      </x:c>
      <x:c r="J1647" s="11" t="str"/>
      <x:c r="K1647" s="11" t="str">
        <x:v>待核</x:v>
      </x:c>
      <x:c r="L1647" s="11" t="str">
        <x:v>精确发布时间未核验</x:v>
      </x:c>
      <x:c r="M1647" s="11" t="str">
        <x:v>截止日前日期，盘中时分未核</x:v>
      </x:c>
    </x:row>
    <x:row r="1648" ht="23" customHeight="1">
      <x:c r="A1648" s="11" t="str">
        <x:v>I082</x:v>
      </x:c>
      <x:c r="B1648" s="11" t="str">
        <x:v>00300.HK</x:v>
      </x:c>
      <x:c r="C1648" s="11" t="str">
        <x:v>comparativeSegmentProfitCNYmillion</x:v>
      </x:c>
      <x:c r="D1648" s="39" t="n">
        <x:v>31310.842</x:v>
      </x:c>
      <x:c r="E1648" s="11" t="str">
        <x:v>CNY</x:v>
      </x:c>
      <x:c r="F1648" s="11" t="str">
        <x:v>million</x:v>
      </x:c>
      <x:c r="G1648" s="11" t="str">
        <x:v>H1 2026</x:v>
      </x:c>
      <x:c r="H1648" s="11" t="str">
        <x:v>2026-08-28结果；中报2026-09-15；精确交易所发布时间未核验</x:v>
      </x:c>
      <x:c r="I1648" s="11" t="str">
        <x:v>https://ea-cdn.eurolandir.com/press-releases-attachments/4180184/HKEX-EPS_20260915_12332517_0.PDF</x:v>
      </x:c>
      <x:c r="J1648" s="11" t="str"/>
      <x:c r="K1648" s="11" t="str">
        <x:v>待核</x:v>
      </x:c>
      <x:c r="L1648" s="11" t="str">
        <x:v>精确发布时间未核验</x:v>
      </x:c>
      <x:c r="M1648" s="11" t="str">
        <x:v>截止日前日期，盘中时分未核</x:v>
      </x:c>
    </x:row>
    <x:row r="1649" ht="23" customHeight="1">
      <x:c r="A1649" s="11" t="str">
        <x:v>I082</x:v>
      </x:c>
      <x:c r="B1649" s="11" t="str">
        <x:v>00300.HK</x:v>
      </x:c>
      <x:c r="C1649" s="11" t="str">
        <x:v>otherProfitLossSegmentReconciliationCNYmillion</x:v>
      </x:c>
      <x:c r="D1649" s="39" t="n">
        <x:v>7242.569</x:v>
      </x:c>
      <x:c r="E1649" s="11" t="str">
        <x:v>CNY</x:v>
      </x:c>
      <x:c r="F1649" s="11" t="str">
        <x:v>million</x:v>
      </x:c>
      <x:c r="G1649" s="11" t="str">
        <x:v>H1 2026</x:v>
      </x:c>
      <x:c r="H1649" s="11" t="str">
        <x:v>2026-08-28结果；中报2026-09-15；精确交易所发布时间未核验</x:v>
      </x:c>
      <x:c r="I1649" s="11" t="str">
        <x:v>https://ea-cdn.eurolandir.com/press-releases-attachments/4180184/HKEX-EPS_20260915_12332517_0.PDF</x:v>
      </x:c>
      <x:c r="J1649" s="11" t="str"/>
      <x:c r="K1649" s="11" t="str">
        <x:v>待核</x:v>
      </x:c>
      <x:c r="L1649" s="11" t="str">
        <x:v>精确发布时间未核验</x:v>
      </x:c>
      <x:c r="M1649" s="11" t="str">
        <x:v>截止日前日期，盘中时分未核</x:v>
      </x:c>
    </x:row>
    <x:row r="1650" ht="23" customHeight="1">
      <x:c r="A1650" s="11" t="str">
        <x:v>I082</x:v>
      </x:c>
      <x:c r="B1650" s="11" t="str">
        <x:v>00300.HK</x:v>
      </x:c>
      <x:c r="C1650" s="11" t="str">
        <x:v>domesticRevenueCNYmillion</x:v>
      </x:c>
      <x:c r="D1650" s="39" t="n">
        <x:v>147925.351</x:v>
      </x:c>
      <x:c r="E1650" s="11" t="str">
        <x:v>CNY</x:v>
      </x:c>
      <x:c r="F1650" s="11" t="str">
        <x:v>million</x:v>
      </x:c>
      <x:c r="G1650" s="11" t="str">
        <x:v>H1 2026</x:v>
      </x:c>
      <x:c r="H1650" s="11" t="str">
        <x:v>2026-08-28结果；中报2026-09-15；精确交易所发布时间未核验</x:v>
      </x:c>
      <x:c r="I1650" s="11" t="str">
        <x:v>https://ea-cdn.eurolandir.com/press-releases-attachments/4180184/HKEX-EPS_20260915_12332517_0.PDF</x:v>
      </x:c>
      <x:c r="J1650" s="11" t="str"/>
      <x:c r="K1650" s="11" t="str">
        <x:v>待核</x:v>
      </x:c>
      <x:c r="L1650" s="11" t="str">
        <x:v>精确发布时间未核验</x:v>
      </x:c>
      <x:c r="M1650" s="11" t="str">
        <x:v>截止日前日期，盘中时分未核</x:v>
      </x:c>
    </x:row>
    <x:row r="1651" ht="23" customHeight="1">
      <x:c r="A1651" s="11" t="str">
        <x:v>I082</x:v>
      </x:c>
      <x:c r="B1651" s="11" t="str">
        <x:v>00300.HK</x:v>
      </x:c>
      <x:c r="C1651" s="11" t="str">
        <x:v>overseasRevenueCNYmillion</x:v>
      </x:c>
      <x:c r="D1651" s="39" t="n">
        <x:v>113127.028</x:v>
      </x:c>
      <x:c r="E1651" s="11" t="str">
        <x:v>CNY</x:v>
      </x:c>
      <x:c r="F1651" s="11" t="str">
        <x:v>million</x:v>
      </x:c>
      <x:c r="G1651" s="11" t="str">
        <x:v>H1 2026</x:v>
      </x:c>
      <x:c r="H1651" s="11" t="str">
        <x:v>2026-08-28结果；中报2026-09-15；精确交易所发布时间未核验</x:v>
      </x:c>
      <x:c r="I1651" s="11" t="str">
        <x:v>https://ea-cdn.eurolandir.com/press-releases-attachments/4180184/HKEX-EPS_20260915_12332517_0.PDF</x:v>
      </x:c>
      <x:c r="J1651" s="11" t="str"/>
      <x:c r="K1651" s="11" t="str">
        <x:v>待核</x:v>
      </x:c>
      <x:c r="L1651" s="11" t="str">
        <x:v>精确发布时间未核验</x:v>
      </x:c>
      <x:c r="M1651" s="11" t="str">
        <x:v>截止日前日期，盘中时分未核</x:v>
      </x:c>
    </x:row>
    <x:row r="1652" ht="23" customHeight="1">
      <x:c r="A1652" s="11" t="str">
        <x:v>I082</x:v>
      </x:c>
      <x:c r="B1652" s="11" t="str">
        <x:v>00300.HK</x:v>
      </x:c>
      <x:c r="C1652" s="11" t="str">
        <x:v>otherIncomeCNYmillion</x:v>
      </x:c>
      <x:c r="D1652" s="39" t="n">
        <x:v>4699.033</x:v>
      </x:c>
      <x:c r="E1652" s="11" t="str">
        <x:v>CNY</x:v>
      </x:c>
      <x:c r="F1652" s="11" t="str">
        <x:v>million</x:v>
      </x:c>
      <x:c r="G1652" s="11" t="str">
        <x:v>H1 2026</x:v>
      </x:c>
      <x:c r="H1652" s="11" t="str">
        <x:v>2026-08-28结果；中报2026-09-15；精确交易所发布时间未核验</x:v>
      </x:c>
      <x:c r="I1652" s="11" t="str">
        <x:v>https://ea-cdn.eurolandir.com/press-releases-attachments/4180184/HKEX-EPS_20260915_12332517_0.PDF</x:v>
      </x:c>
      <x:c r="J1652" s="11" t="str"/>
      <x:c r="K1652" s="11" t="str">
        <x:v>待核</x:v>
      </x:c>
      <x:c r="L1652" s="11" t="str">
        <x:v>精确发布时间未核验</x:v>
      </x:c>
      <x:c r="M1652" s="11" t="str">
        <x:v>截止日前日期，盘中时分未核</x:v>
      </x:c>
    </x:row>
    <x:row r="1653" ht="23" customHeight="1">
      <x:c r="A1653" s="11" t="str">
        <x:v>I082</x:v>
      </x:c>
      <x:c r="B1653" s="11" t="str">
        <x:v>00300.HK</x:v>
      </x:c>
      <x:c r="C1653" s="11" t="str">
        <x:v>otherIncomeInterestCNYmillion</x:v>
      </x:c>
      <x:c r="D1653" s="39" t="n">
        <x:v>3189.121</x:v>
      </x:c>
      <x:c r="E1653" s="11" t="str">
        <x:v>CNY</x:v>
      </x:c>
      <x:c r="F1653" s="11" t="str">
        <x:v>million</x:v>
      </x:c>
      <x:c r="G1653" s="11" t="str">
        <x:v>H1 2026</x:v>
      </x:c>
      <x:c r="H1653" s="11" t="str">
        <x:v>2026-08-28结果；中报2026-09-15；精确交易所发布时间未核验</x:v>
      </x:c>
      <x:c r="I1653" s="11" t="str">
        <x:v>https://ea-cdn.eurolandir.com/press-releases-attachments/4180184/HKEX-EPS_20260915_12332517_0.PDF</x:v>
      </x:c>
      <x:c r="J1653" s="11" t="str"/>
      <x:c r="K1653" s="11" t="str">
        <x:v>待核</x:v>
      </x:c>
      <x:c r="L1653" s="11" t="str">
        <x:v>精确发布时间未核验</x:v>
      </x:c>
      <x:c r="M1653" s="11" t="str">
        <x:v>截止日前日期，盘中时分未核</x:v>
      </x:c>
    </x:row>
    <x:row r="1654" ht="23" customHeight="1">
      <x:c r="A1654" s="11" t="str">
        <x:v>I082</x:v>
      </x:c>
      <x:c r="B1654" s="11" t="str">
        <x:v>00300.HK</x:v>
      </x:c>
      <x:c r="C1654" s="11" t="str">
        <x:v>governmentGrantCNYmillion</x:v>
      </x:c>
      <x:c r="D1654" s="39" t="n">
        <x:v>1031.492</x:v>
      </x:c>
      <x:c r="E1654" s="11" t="str">
        <x:v>CNY</x:v>
      </x:c>
      <x:c r="F1654" s="11" t="str">
        <x:v>million</x:v>
      </x:c>
      <x:c r="G1654" s="11" t="str">
        <x:v>H1 2026</x:v>
      </x:c>
      <x:c r="H1654" s="11" t="str">
        <x:v>2026-08-28结果；中报2026-09-15；精确交易所发布时间未核验</x:v>
      </x:c>
      <x:c r="I1654" s="11" t="str">
        <x:v>https://ea-cdn.eurolandir.com/press-releases-attachments/4180184/HKEX-EPS_20260915_12332517_0.PDF</x:v>
      </x:c>
      <x:c r="J1654" s="11" t="str"/>
      <x:c r="K1654" s="11" t="str">
        <x:v>待核</x:v>
      </x:c>
      <x:c r="L1654" s="11" t="str">
        <x:v>精确发布时间未核验</x:v>
      </x:c>
      <x:c r="M1654" s="11" t="str">
        <x:v>截止日前日期，盘中时分未核</x:v>
      </x:c>
    </x:row>
    <x:row r="1655" ht="23" customHeight="1">
      <x:c r="A1655" s="11" t="str">
        <x:v>I082</x:v>
      </x:c>
      <x:c r="B1655" s="11" t="str">
        <x:v>00300.HK</x:v>
      </x:c>
      <x:c r="C1655" s="11" t="str">
        <x:v>VATAdditionalDeductionCNYmillion</x:v>
      </x:c>
      <x:c r="D1655" s="39" t="n">
        <x:v>478.42</x:v>
      </x:c>
      <x:c r="E1655" s="11" t="str">
        <x:v>CNY</x:v>
      </x:c>
      <x:c r="F1655" s="11" t="str">
        <x:v>million</x:v>
      </x:c>
      <x:c r="G1655" s="11" t="str">
        <x:v>H1 2026</x:v>
      </x:c>
      <x:c r="H1655" s="11" t="str">
        <x:v>2026-08-28结果；中报2026-09-15；精确交易所发布时间未核验</x:v>
      </x:c>
      <x:c r="I1655" s="11" t="str">
        <x:v>https://ea-cdn.eurolandir.com/press-releases-attachments/4180184/HKEX-EPS_20260915_12332517_0.PDF</x:v>
      </x:c>
      <x:c r="J1655" s="11" t="str"/>
      <x:c r="K1655" s="11" t="str">
        <x:v>待核</x:v>
      </x:c>
      <x:c r="L1655" s="11" t="str">
        <x:v>精确发布时间未核验</x:v>
      </x:c>
      <x:c r="M1655" s="11" t="str">
        <x:v>截止日前日期，盘中时分未核</x:v>
      </x:c>
    </x:row>
    <x:row r="1656" ht="23" customHeight="1">
      <x:c r="A1656" s="11" t="str">
        <x:v>I082</x:v>
      </x:c>
      <x:c r="B1656" s="11" t="str">
        <x:v>00300.HK</x:v>
      </x:c>
      <x:c r="C1656" s="11" t="str">
        <x:v>financialInstrumentGainsCNYmillion</x:v>
      </x:c>
      <x:c r="D1656" s="39" t="n">
        <x:v>6798.533</x:v>
      </x:c>
      <x:c r="E1656" s="11" t="str">
        <x:v>CNY</x:v>
      </x:c>
      <x:c r="F1656" s="11" t="str">
        <x:v>million</x:v>
      </x:c>
      <x:c r="G1656" s="11" t="str">
        <x:v>H1 2026</x:v>
      </x:c>
      <x:c r="H1656" s="11" t="str">
        <x:v>2026-08-28结果；中报2026-09-15；精确交易所发布时间未核验</x:v>
      </x:c>
      <x:c r="I1656" s="11" t="str">
        <x:v>https://ea-cdn.eurolandir.com/press-releases-attachments/4180184/HKEX-EPS_20260915_12332517_0.PDF</x:v>
      </x:c>
      <x:c r="J1656" s="11" t="str"/>
      <x:c r="K1656" s="11" t="str">
        <x:v>待核</x:v>
      </x:c>
      <x:c r="L1656" s="11" t="str">
        <x:v>精确发布时间未核验</x:v>
      </x:c>
      <x:c r="M1656" s="11" t="str">
        <x:v>截止日前日期，盘中时分未核</x:v>
      </x:c>
    </x:row>
    <x:row r="1657" ht="23" customHeight="1">
      <x:c r="A1657" s="11" t="str">
        <x:v>I082</x:v>
      </x:c>
      <x:c r="B1657" s="11" t="str">
        <x:v>00300.HK</x:v>
      </x:c>
      <x:c r="C1657" s="11" t="str">
        <x:v>exchangeLossCNYmillion</x:v>
      </x:c>
      <x:c r="D1657" s="39" t="n">
        <x:v>5886.293</x:v>
      </x:c>
      <x:c r="E1657" s="11" t="str">
        <x:v>CNY</x:v>
      </x:c>
      <x:c r="F1657" s="11" t="str">
        <x:v>million</x:v>
      </x:c>
      <x:c r="G1657" s="11" t="str">
        <x:v>H1 2026</x:v>
      </x:c>
      <x:c r="H1657" s="11" t="str">
        <x:v>2026-08-28结果；中报2026-09-15；精确交易所发布时间未核验</x:v>
      </x:c>
      <x:c r="I1657" s="11" t="str">
        <x:v>https://ea-cdn.eurolandir.com/press-releases-attachments/4180184/HKEX-EPS_20260915_12332517_0.PDF</x:v>
      </x:c>
      <x:c r="J1657" s="11" t="str"/>
      <x:c r="K1657" s="11" t="str">
        <x:v>待核</x:v>
      </x:c>
      <x:c r="L1657" s="11" t="str">
        <x:v>精确发布时间未核验</x:v>
      </x:c>
      <x:c r="M1657" s="11" t="str">
        <x:v>截止日前日期，盘中时分未核</x:v>
      </x:c>
    </x:row>
    <x:row r="1658" ht="23" customHeight="1">
      <x:c r="A1658" s="11" t="str">
        <x:v>I082</x:v>
      </x:c>
      <x:c r="B1658" s="11" t="str">
        <x:v>00300.HK</x:v>
      </x:c>
      <x:c r="C1658" s="11" t="str">
        <x:v>otherGainsNetCNYmillion</x:v>
      </x:c>
      <x:c r="D1658" s="39" t="n">
        <x:v>404.9</x:v>
      </x:c>
      <x:c r="E1658" s="11" t="str">
        <x:v>CNY</x:v>
      </x:c>
      <x:c r="F1658" s="11" t="str">
        <x:v>million</x:v>
      </x:c>
      <x:c r="G1658" s="11" t="str">
        <x:v>H1 2026</x:v>
      </x:c>
      <x:c r="H1658" s="11" t="str">
        <x:v>2026-08-28结果；中报2026-09-15；精确交易所发布时间未核验</x:v>
      </x:c>
      <x:c r="I1658" s="11" t="str">
        <x:v>https://ea-cdn.eurolandir.com/press-releases-attachments/4180184/HKEX-EPS_20260915_12332517_0.PDF</x:v>
      </x:c>
      <x:c r="J1658" s="11" t="str"/>
      <x:c r="K1658" s="11" t="str">
        <x:v>待核</x:v>
      </x:c>
      <x:c r="L1658" s="11" t="str">
        <x:v>精确发布时间未核验</x:v>
      </x:c>
      <x:c r="M1658" s="11" t="str">
        <x:v>截止日前日期，盘中时分未核</x:v>
      </x:c>
    </x:row>
    <x:row r="1659" ht="23" customHeight="1">
      <x:c r="A1659" s="11" t="str">
        <x:v>I082</x:v>
      </x:c>
      <x:c r="B1659" s="11" t="str">
        <x:v>00300.HK</x:v>
      </x:c>
      <x:c r="C1659" s="11" t="str">
        <x:v>cashCNYmillion</x:v>
      </x:c>
      <x:c r="D1659" s="39" t="n">
        <x:v>74614.244</x:v>
      </x:c>
      <x:c r="E1659" s="11" t="str">
        <x:v>CNY</x:v>
      </x:c>
      <x:c r="F1659" s="11" t="str">
        <x:v>million</x:v>
      </x:c>
      <x:c r="G1659" s="11" t="str">
        <x:v>H1 2026</x:v>
      </x:c>
      <x:c r="H1659" s="11" t="str">
        <x:v>2026-08-28结果；中报2026-09-15；精确交易所发布时间未核验</x:v>
      </x:c>
      <x:c r="I1659" s="11" t="str">
        <x:v>https://ea-cdn.eurolandir.com/press-releases-attachments/4180184/HKEX-EPS_20260915_12332517_0.PDF</x:v>
      </x:c>
      <x:c r="J1659" s="11" t="str"/>
      <x:c r="K1659" s="11" t="str">
        <x:v>待核</x:v>
      </x:c>
      <x:c r="L1659" s="11" t="str">
        <x:v>精确发布时间未核验</x:v>
      </x:c>
      <x:c r="M1659" s="11" t="str">
        <x:v>截止日前日期，盘中时分未核</x:v>
      </x:c>
    </x:row>
    <x:row r="1660" ht="23" customHeight="1">
      <x:c r="A1660" s="11" t="str">
        <x:v>I082</x:v>
      </x:c>
      <x:c r="B1660" s="11" t="str">
        <x:v>00300.HK</x:v>
      </x:c>
      <x:c r="C1660" s="11" t="str">
        <x:v>termRestrictedCashCNYmillion</x:v>
      </x:c>
      <x:c r="D1660" s="39" t="n">
        <x:v>16028.539</x:v>
      </x:c>
      <x:c r="E1660" s="11" t="str">
        <x:v>CNY</x:v>
      </x:c>
      <x:c r="F1660" s="11" t="str">
        <x:v>million</x:v>
      </x:c>
      <x:c r="G1660" s="11" t="str">
        <x:v>H1 2026</x:v>
      </x:c>
      <x:c r="H1660" s="11" t="str">
        <x:v>2026-08-28结果；中报2026-09-15；精确交易所发布时间未核验</x:v>
      </x:c>
      <x:c r="I1660" s="11" t="str">
        <x:v>https://ea-cdn.eurolandir.com/press-releases-attachments/4180184/HKEX-EPS_20260915_12332517_0.PDF</x:v>
      </x:c>
      <x:c r="J1660" s="11" t="str"/>
      <x:c r="K1660" s="11" t="str">
        <x:v>待核</x:v>
      </x:c>
      <x:c r="L1660" s="11" t="str">
        <x:v>精确发布时间未核验</x:v>
      </x:c>
      <x:c r="M1660" s="11" t="str">
        <x:v>截止日前日期，盘中时分未核</x:v>
      </x:c>
    </x:row>
    <x:row r="1661" ht="23" customHeight="1">
      <x:c r="A1661" s="11" t="str">
        <x:v>I082</x:v>
      </x:c>
      <x:c r="B1661" s="11" t="str">
        <x:v>00300.HK</x:v>
      </x:c>
      <x:c r="C1661" s="11" t="str">
        <x:v>currentAmortizedFinancialAssetsCNYmillion</x:v>
      </x:c>
      <x:c r="D1661" s="39" t="n">
        <x:v>158736.824</x:v>
      </x:c>
      <x:c r="E1661" s="11" t="str">
        <x:v>CNY</x:v>
      </x:c>
      <x:c r="F1661" s="11" t="str">
        <x:v>million</x:v>
      </x:c>
      <x:c r="G1661" s="11" t="str">
        <x:v>H1 2026</x:v>
      </x:c>
      <x:c r="H1661" s="11" t="str">
        <x:v>2026-08-28结果；中报2026-09-15；精确交易所发布时间未核验</x:v>
      </x:c>
      <x:c r="I1661" s="11" t="str">
        <x:v>https://ea-cdn.eurolandir.com/press-releases-attachments/4180184/HKEX-EPS_20260915_12332517_0.PDF</x:v>
      </x:c>
      <x:c r="J1661" s="11" t="str"/>
      <x:c r="K1661" s="11" t="str">
        <x:v>待核</x:v>
      </x:c>
      <x:c r="L1661" s="11" t="str">
        <x:v>精确发布时间未核验</x:v>
      </x:c>
      <x:c r="M1661" s="11" t="str">
        <x:v>截止日前日期，盘中时分未核</x:v>
      </x:c>
    </x:row>
    <x:row r="1662" ht="23" customHeight="1">
      <x:c r="A1662" s="11" t="str">
        <x:v>I082</x:v>
      </x:c>
      <x:c r="B1662" s="11" t="str">
        <x:v>00300.HK</x:v>
      </x:c>
      <x:c r="C1662" s="11" t="str">
        <x:v>nonCurrentAmortizedFinancialAssetsCNYmillion</x:v>
      </x:c>
      <x:c r="D1662" s="39" t="n">
        <x:v>69005.745</x:v>
      </x:c>
      <x:c r="E1662" s="11" t="str">
        <x:v>CNY</x:v>
      </x:c>
      <x:c r="F1662" s="11" t="str">
        <x:v>million</x:v>
      </x:c>
      <x:c r="G1662" s="11" t="str">
        <x:v>H1 2026</x:v>
      </x:c>
      <x:c r="H1662" s="11" t="str">
        <x:v>2026-08-28结果；中报2026-09-15；精确交易所发布时间未核验</x:v>
      </x:c>
      <x:c r="I1662" s="11" t="str">
        <x:v>https://ea-cdn.eurolandir.com/press-releases-attachments/4180184/HKEX-EPS_20260915_12332517_0.PDF</x:v>
      </x:c>
      <x:c r="J1662" s="11" t="str"/>
      <x:c r="K1662" s="11" t="str">
        <x:v>待核</x:v>
      </x:c>
      <x:c r="L1662" s="11" t="str">
        <x:v>精确发布时间未核验</x:v>
      </x:c>
      <x:c r="M1662" s="11" t="str">
        <x:v>截止日前日期，盘中时分未核</x:v>
      </x:c>
    </x:row>
    <x:row r="1663" ht="23" customHeight="1">
      <x:c r="A1663" s="11" t="str">
        <x:v>I082</x:v>
      </x:c>
      <x:c r="B1663" s="11" t="str">
        <x:v>00300.HK</x:v>
      </x:c>
      <x:c r="C1663" s="11" t="str">
        <x:v>currentFVPLAssetsCNYmillion</x:v>
      </x:c>
      <x:c r="D1663" s="39" t="n">
        <x:v>3155.691</x:v>
      </x:c>
      <x:c r="E1663" s="11" t="str">
        <x:v>CNY</x:v>
      </x:c>
      <x:c r="F1663" s="11" t="str">
        <x:v>million</x:v>
      </x:c>
      <x:c r="G1663" s="11" t="str">
        <x:v>H1 2026</x:v>
      </x:c>
      <x:c r="H1663" s="11" t="str">
        <x:v>2026-08-28结果；中报2026-09-15；精确交易所发布时间未核验</x:v>
      </x:c>
      <x:c r="I1663" s="11" t="str">
        <x:v>https://ea-cdn.eurolandir.com/press-releases-attachments/4180184/HKEX-EPS_20260915_12332517_0.PDF</x:v>
      </x:c>
      <x:c r="J1663" s="11" t="str"/>
      <x:c r="K1663" s="11" t="str">
        <x:v>待核</x:v>
      </x:c>
      <x:c r="L1663" s="11" t="str">
        <x:v>精确发布时间未核验</x:v>
      </x:c>
      <x:c r="M1663" s="11" t="str">
        <x:v>截止日前日期，盘中时分未核</x:v>
      </x:c>
    </x:row>
    <x:row r="1664" ht="23" customHeight="1">
      <x:c r="A1664" s="11" t="str">
        <x:v>I082</x:v>
      </x:c>
      <x:c r="B1664" s="11" t="str">
        <x:v>00300.HK</x:v>
      </x:c>
      <x:c r="C1664" s="11" t="str">
        <x:v>nonCurrentFVPLAssetsCNYmillion</x:v>
      </x:c>
      <x:c r="D1664" s="39" t="n">
        <x:v>7269.509</x:v>
      </x:c>
      <x:c r="E1664" s="11" t="str">
        <x:v>CNY</x:v>
      </x:c>
      <x:c r="F1664" s="11" t="str">
        <x:v>million</x:v>
      </x:c>
      <x:c r="G1664" s="11" t="str">
        <x:v>H1 2026</x:v>
      </x:c>
      <x:c r="H1664" s="11" t="str">
        <x:v>2026-08-28结果；中报2026-09-15；精确交易所发布时间未核验</x:v>
      </x:c>
      <x:c r="I1664" s="11" t="str">
        <x:v>https://ea-cdn.eurolandir.com/press-releases-attachments/4180184/HKEX-EPS_20260915_12332517_0.PDF</x:v>
      </x:c>
      <x:c r="J1664" s="11" t="str"/>
      <x:c r="K1664" s="11" t="str">
        <x:v>待核</x:v>
      </x:c>
      <x:c r="L1664" s="11" t="str">
        <x:v>精确发布时间未核验</x:v>
      </x:c>
      <x:c r="M1664" s="11" t="str">
        <x:v>截止日前日期，盘中时分未核</x:v>
      </x:c>
    </x:row>
    <x:row r="1665" ht="23" customHeight="1">
      <x:c r="A1665" s="11" t="str">
        <x:v>I082</x:v>
      </x:c>
      <x:c r="B1665" s="11" t="str">
        <x:v>00300.HK</x:v>
      </x:c>
      <x:c r="C1665" s="11" t="str">
        <x:v>loanReceivablesCNYmillion</x:v>
      </x:c>
      <x:c r="D1665" s="39" t="n">
        <x:v>14929.346</x:v>
      </x:c>
      <x:c r="E1665" s="11" t="str">
        <x:v>CNY</x:v>
      </x:c>
      <x:c r="F1665" s="11" t="str">
        <x:v>million</x:v>
      </x:c>
      <x:c r="G1665" s="11" t="str">
        <x:v>H1 2026</x:v>
      </x:c>
      <x:c r="H1665" s="11" t="str">
        <x:v>2026-08-28结果；中报2026-09-15；精确交易所发布时间未核验</x:v>
      </x:c>
      <x:c r="I1665" s="11" t="str">
        <x:v>https://ea-cdn.eurolandir.com/press-releases-attachments/4180184/HKEX-EPS_20260915_12332517_0.PDF</x:v>
      </x:c>
      <x:c r="J1665" s="11" t="str"/>
      <x:c r="K1665" s="11" t="str">
        <x:v>待核</x:v>
      </x:c>
      <x:c r="L1665" s="11" t="str">
        <x:v>精确发布时间未核验</x:v>
      </x:c>
      <x:c r="M1665" s="11" t="str">
        <x:v>截止日前日期，盘中时分未核</x:v>
      </x:c>
    </x:row>
    <x:row r="1666" ht="23" customHeight="1">
      <x:c r="A1666" s="11" t="str">
        <x:v>I082</x:v>
      </x:c>
      <x:c r="B1666" s="11" t="str">
        <x:v>00300.HK</x:v>
      </x:c>
      <x:c r="C1666" s="11" t="str">
        <x:v>borrowingsCNYmillion</x:v>
      </x:c>
      <x:c r="D1666" s="39" t="n">
        <x:v>80327.263</x:v>
      </x:c>
      <x:c r="E1666" s="11" t="str">
        <x:v>CNY</x:v>
      </x:c>
      <x:c r="F1666" s="11" t="str">
        <x:v>million</x:v>
      </x:c>
      <x:c r="G1666" s="11" t="str">
        <x:v>H1 2026</x:v>
      </x:c>
      <x:c r="H1666" s="11" t="str">
        <x:v>2026-08-28结果；中报2026-09-15；精确交易所发布时间未核验</x:v>
      </x:c>
      <x:c r="I1666" s="11" t="str">
        <x:v>https://ea-cdn.eurolandir.com/press-releases-attachments/4180184/HKEX-EPS_20260915_12332517_0.PDF</x:v>
      </x:c>
      <x:c r="J1666" s="11" t="str"/>
      <x:c r="K1666" s="11" t="str">
        <x:v>待核</x:v>
      </x:c>
      <x:c r="L1666" s="11" t="str">
        <x:v>精确发布时间未核验</x:v>
      </x:c>
      <x:c r="M1666" s="11" t="str">
        <x:v>截止日前日期，盘中时分未核</x:v>
      </x:c>
    </x:row>
    <x:row r="1667" ht="23" customHeight="1">
      <x:c r="A1667" s="11" t="str">
        <x:v>I082</x:v>
      </x:c>
      <x:c r="B1667" s="11" t="str">
        <x:v>00300.HK</x:v>
      </x:c>
      <x:c r="C1667" s="11" t="str">
        <x:v>leaseLiabilitiesCNYmillion</x:v>
      </x:c>
      <x:c r="D1667" s="39" t="n">
        <x:v>3312.246</x:v>
      </x:c>
      <x:c r="E1667" s="11" t="str">
        <x:v>CNY</x:v>
      </x:c>
      <x:c r="F1667" s="11" t="str">
        <x:v>million</x:v>
      </x:c>
      <x:c r="G1667" s="11" t="str">
        <x:v>H1 2026</x:v>
      </x:c>
      <x:c r="H1667" s="11" t="str">
        <x:v>2026-08-28结果；中报2026-09-15；精确交易所发布时间未核验</x:v>
      </x:c>
      <x:c r="I1667" s="11" t="str">
        <x:v>https://ea-cdn.eurolandir.com/press-releases-attachments/4180184/HKEX-EPS_20260915_12332517_0.PDF</x:v>
      </x:c>
      <x:c r="J1667" s="11" t="str"/>
      <x:c r="K1667" s="11" t="str">
        <x:v>待核</x:v>
      </x:c>
      <x:c r="L1667" s="11" t="str">
        <x:v>精确发布时间未核验</x:v>
      </x:c>
      <x:c r="M1667" s="11" t="str">
        <x:v>截止日前日期，盘中时分未核</x:v>
      </x:c>
    </x:row>
    <x:row r="1668" ht="23" customHeight="1">
      <x:c r="A1668" s="11" t="str">
        <x:v>I082</x:v>
      </x:c>
      <x:c r="B1668" s="11" t="str">
        <x:v>00300.HK</x:v>
      </x:c>
      <x:c r="C1668" s="11" t="str">
        <x:v>inventoryCNYmillion</x:v>
      </x:c>
      <x:c r="D1668" s="39" t="n">
        <x:v>55440.969</x:v>
      </x:c>
      <x:c r="E1668" s="11" t="str">
        <x:v>CNY</x:v>
      </x:c>
      <x:c r="F1668" s="11" t="str">
        <x:v>million</x:v>
      </x:c>
      <x:c r="G1668" s="11" t="str">
        <x:v>H1 2026</x:v>
      </x:c>
      <x:c r="H1668" s="11" t="str">
        <x:v>2026-08-28结果；中报2026-09-15；精确交易所发布时间未核验</x:v>
      </x:c>
      <x:c r="I1668" s="11" t="str">
        <x:v>https://ea-cdn.eurolandir.com/press-releases-attachments/4180184/HKEX-EPS_20260915_12332517_0.PDF</x:v>
      </x:c>
      <x:c r="J1668" s="11" t="str"/>
      <x:c r="K1668" s="11" t="str">
        <x:v>待核</x:v>
      </x:c>
      <x:c r="L1668" s="11" t="str">
        <x:v>精确发布时间未核验</x:v>
      </x:c>
      <x:c r="M1668" s="11" t="str">
        <x:v>截止日前日期，盘中时分未核</x:v>
      </x:c>
    </x:row>
    <x:row r="1669" ht="23" customHeight="1">
      <x:c r="A1669" s="11" t="str">
        <x:v>I082</x:v>
      </x:c>
      <x:c r="B1669" s="11" t="str">
        <x:v>00300.HK</x:v>
      </x:c>
      <x:c r="C1669" s="11" t="str">
        <x:v>amortizedTradeNoteReceivablesCNYmillion</x:v>
      </x:c>
      <x:c r="D1669" s="39" t="n">
        <x:v>68189.144</x:v>
      </x:c>
      <x:c r="E1669" s="11" t="str">
        <x:v>CNY</x:v>
      </x:c>
      <x:c r="F1669" s="11" t="str">
        <x:v>million</x:v>
      </x:c>
      <x:c r="G1669" s="11" t="str">
        <x:v>H1 2026</x:v>
      </x:c>
      <x:c r="H1669" s="11" t="str">
        <x:v>2026-08-28结果；中报2026-09-15；精确交易所发布时间未核验</x:v>
      </x:c>
      <x:c r="I1669" s="11" t="str">
        <x:v>https://ea-cdn.eurolandir.com/press-releases-attachments/4180184/HKEX-EPS_20260915_12332517_0.PDF</x:v>
      </x:c>
      <x:c r="J1669" s="11" t="str"/>
      <x:c r="K1669" s="11" t="str">
        <x:v>待核</x:v>
      </x:c>
      <x:c r="L1669" s="11" t="str">
        <x:v>精确发布时间未核验</x:v>
      </x:c>
      <x:c r="M1669" s="11" t="str">
        <x:v>截止日前日期，盘中时分未核</x:v>
      </x:c>
    </x:row>
    <x:row r="1670" ht="23" customHeight="1">
      <x:c r="A1670" s="11" t="str">
        <x:v>I082</x:v>
      </x:c>
      <x:c r="B1670" s="11" t="str">
        <x:v>00300.HK</x:v>
      </x:c>
      <x:c r="C1670" s="11" t="str">
        <x:v>FVOCITradeNoteReceivablesCNYmillion</x:v>
      </x:c>
      <x:c r="D1670" s="39" t="n">
        <x:v>7659.731</x:v>
      </x:c>
      <x:c r="E1670" s="11" t="str">
        <x:v>CNY</x:v>
      </x:c>
      <x:c r="F1670" s="11" t="str">
        <x:v>million</x:v>
      </x:c>
      <x:c r="G1670" s="11" t="str">
        <x:v>H1 2026</x:v>
      </x:c>
      <x:c r="H1670" s="11" t="str">
        <x:v>2026-08-28结果；中报2026-09-15；精确交易所发布时间未核验</x:v>
      </x:c>
      <x:c r="I1670" s="11" t="str">
        <x:v>https://ea-cdn.eurolandir.com/press-releases-attachments/4180184/HKEX-EPS_20260915_12332517_0.PDF</x:v>
      </x:c>
      <x:c r="J1670" s="11" t="str"/>
      <x:c r="K1670" s="11" t="str">
        <x:v>待核</x:v>
      </x:c>
      <x:c r="L1670" s="11" t="str">
        <x:v>精确发布时间未核验</x:v>
      </x:c>
      <x:c r="M1670" s="11" t="str">
        <x:v>截止日前日期，盘中时分未核</x:v>
      </x:c>
    </x:row>
    <x:row r="1671" ht="23" customHeight="1">
      <x:c r="A1671" s="11" t="str">
        <x:v>I082</x:v>
      </x:c>
      <x:c r="B1671" s="11" t="str">
        <x:v>00300.HK</x:v>
      </x:c>
      <x:c r="C1671" s="11" t="str">
        <x:v>tradeNotePayablesCNYmillion</x:v>
      </x:c>
      <x:c r="D1671" s="39" t="n">
        <x:v>157035.826</x:v>
      </x:c>
      <x:c r="E1671" s="11" t="str">
        <x:v>CNY</x:v>
      </x:c>
      <x:c r="F1671" s="11" t="str">
        <x:v>million</x:v>
      </x:c>
      <x:c r="G1671" s="11" t="str">
        <x:v>H1 2026</x:v>
      </x:c>
      <x:c r="H1671" s="11" t="str">
        <x:v>2026-08-28结果；中报2026-09-15；精确交易所发布时间未核验</x:v>
      </x:c>
      <x:c r="I1671" s="11" t="str">
        <x:v>https://ea-cdn.eurolandir.com/press-releases-attachments/4180184/HKEX-EPS_20260915_12332517_0.PDF</x:v>
      </x:c>
      <x:c r="J1671" s="11" t="str"/>
      <x:c r="K1671" s="11" t="str">
        <x:v>待核</x:v>
      </x:c>
      <x:c r="L1671" s="11" t="str">
        <x:v>精确发布时间未核验</x:v>
      </x:c>
      <x:c r="M1671" s="11" t="str">
        <x:v>截止日前日期，盘中时分未核</x:v>
      </x:c>
    </x:row>
    <x:row r="1672" ht="23" customHeight="1">
      <x:c r="A1672" s="11" t="str">
        <x:v>I082</x:v>
      </x:c>
      <x:c r="B1672" s="11" t="str">
        <x:v>00300.HK</x:v>
      </x:c>
      <x:c r="C1672" s="11" t="str">
        <x:v>contractLiabilitiesCNYmillion</x:v>
      </x:c>
      <x:c r="D1672" s="39" t="n">
        <x:v>45458.117</x:v>
      </x:c>
      <x:c r="E1672" s="11" t="str">
        <x:v>CNY</x:v>
      </x:c>
      <x:c r="F1672" s="11" t="str">
        <x:v>million</x:v>
      </x:c>
      <x:c r="G1672" s="11" t="str">
        <x:v>H1 2026</x:v>
      </x:c>
      <x:c r="H1672" s="11" t="str">
        <x:v>2026-08-28结果；中报2026-09-15；精确交易所发布时间未核验</x:v>
      </x:c>
      <x:c r="I1672" s="11" t="str">
        <x:v>https://ea-cdn.eurolandir.com/press-releases-attachments/4180184/HKEX-EPS_20260915_12332517_0.PDF</x:v>
      </x:c>
      <x:c r="J1672" s="11" t="str"/>
      <x:c r="K1672" s="11" t="str">
        <x:v>待核</x:v>
      </x:c>
      <x:c r="L1672" s="11" t="str">
        <x:v>精确发布时间未核验</x:v>
      </x:c>
      <x:c r="M1672" s="11" t="str">
        <x:v>截止日前日期，盘中时分未核</x:v>
      </x:c>
    </x:row>
    <x:row r="1673" ht="23" customHeight="1">
      <x:c r="A1673" s="11" t="str">
        <x:v>I082</x:v>
      </x:c>
      <x:c r="B1673" s="11" t="str">
        <x:v>00300.HK</x:v>
      </x:c>
      <x:c r="C1673" s="11" t="str">
        <x:v>otherPayablesAccrualsCNYmillion</x:v>
      </x:c>
      <x:c r="D1673" s="39" t="n">
        <x:v>112859.756</x:v>
      </x:c>
      <x:c r="E1673" s="11" t="str">
        <x:v>CNY</x:v>
      </x:c>
      <x:c r="F1673" s="11" t="str">
        <x:v>million</x:v>
      </x:c>
      <x:c r="G1673" s="11" t="str">
        <x:v>H1 2026</x:v>
      </x:c>
      <x:c r="H1673" s="11" t="str">
        <x:v>2026-08-28结果；中报2026-09-15；精确交易所发布时间未核验</x:v>
      </x:c>
      <x:c r="I1673" s="11" t="str">
        <x:v>https://ea-cdn.eurolandir.com/press-releases-attachments/4180184/HKEX-EPS_20260915_12332517_0.PDF</x:v>
      </x:c>
      <x:c r="J1673" s="11" t="str"/>
      <x:c r="K1673" s="11" t="str">
        <x:v>待核</x:v>
      </x:c>
      <x:c r="L1673" s="11" t="str">
        <x:v>精确发布时间未核验</x:v>
      </x:c>
      <x:c r="M1673" s="11" t="str">
        <x:v>截止日前日期，盘中时分未核</x:v>
      </x:c>
    </x:row>
    <x:row r="1674" ht="23" customHeight="1">
      <x:c r="A1674" s="11" t="str">
        <x:v>I082</x:v>
      </x:c>
      <x:c r="B1674" s="11" t="str">
        <x:v>00300.HK</x:v>
      </x:c>
      <x:c r="C1674" s="11" t="str">
        <x:v>ownerEquityCNYmillion</x:v>
      </x:c>
      <x:c r="D1674" s="39" t="n">
        <x:v>212861.055</x:v>
      </x:c>
      <x:c r="E1674" s="11" t="str">
        <x:v>CNY</x:v>
      </x:c>
      <x:c r="F1674" s="11" t="str">
        <x:v>million</x:v>
      </x:c>
      <x:c r="G1674" s="11" t="str">
        <x:v>H1 2026</x:v>
      </x:c>
      <x:c r="H1674" s="11" t="str">
        <x:v>2026-08-28结果；中报2026-09-15；精确交易所发布时间未核验</x:v>
      </x:c>
      <x:c r="I1674" s="11" t="str">
        <x:v>https://ea-cdn.eurolandir.com/press-releases-attachments/4180184/HKEX-EPS_20260915_12332517_0.PDF</x:v>
      </x:c>
      <x:c r="J1674" s="11" t="str"/>
      <x:c r="K1674" s="11" t="str">
        <x:v>待核</x:v>
      </x:c>
      <x:c r="L1674" s="11" t="str">
        <x:v>精确发布时间未核验</x:v>
      </x:c>
      <x:c r="M1674" s="11" t="str">
        <x:v>截止日前日期，盘中时分未核</x:v>
      </x:c>
    </x:row>
    <x:row r="1675" ht="23" customHeight="1">
      <x:c r="A1675" s="11" t="str">
        <x:v>I082</x:v>
      </x:c>
      <x:c r="B1675" s="11" t="str">
        <x:v>00300.HK</x:v>
      </x:c>
      <x:c r="C1675" s="11" t="str">
        <x:v>ordinaryRegisteredSeptShares</x:v>
      </x:c>
      <x:c r="D1675" s="39" t="n">
        <x:v>7629933870</x:v>
      </x:c>
      <x:c r="E1675" s="11" t="str">
        <x:v>not monetary</x:v>
      </x:c>
      <x:c r="F1675" s="11" t="str">
        <x:v>shares</x:v>
      </x:c>
      <x:c r="G1675" s="11" t="str">
        <x:v>H1 2026</x:v>
      </x:c>
      <x:c r="H1675" s="11" t="str">
        <x:v>2026-08-28结果；中报2026-09-15；精确交易所发布时间未核验</x:v>
      </x:c>
      <x:c r="I1675" s="11" t="str">
        <x:v>https://ea-cdn.eurolandir.com/press-releases-attachments/4180184/HKEX-EPS_20260915_12332517_0.PDF</x:v>
      </x:c>
      <x:c r="J1675" s="11" t="str"/>
      <x:c r="K1675" s="11" t="str">
        <x:v>待核</x:v>
      </x:c>
      <x:c r="L1675" s="11" t="str">
        <x:v>精确发布时间未核验</x:v>
      </x:c>
      <x:c r="M1675" s="11" t="str">
        <x:v>截止日前日期，盘中时分未核</x:v>
      </x:c>
    </x:row>
    <x:row r="1676" ht="23" customHeight="1">
      <x:c r="A1676" s="11" t="str">
        <x:v>I082</x:v>
      </x:c>
      <x:c r="B1676" s="11" t="str">
        <x:v>00300.HK</x:v>
      </x:c>
      <x:c r="C1676" s="11" t="str">
        <x:v>ordinaryExTreasurySeptShares</x:v>
      </x:c>
      <x:c r="D1676" s="39" t="n">
        <x:v>7441638907</x:v>
      </x:c>
      <x:c r="E1676" s="11" t="str">
        <x:v>not monetary</x:v>
      </x:c>
      <x:c r="F1676" s="11" t="str">
        <x:v>shares</x:v>
      </x:c>
      <x:c r="G1676" s="11" t="str">
        <x:v>H1 2026</x:v>
      </x:c>
      <x:c r="H1676" s="11" t="str">
        <x:v>2026-08-28结果；中报2026-09-15；精确交易所发布时间未核验</x:v>
      </x:c>
      <x:c r="I1676" s="11" t="str">
        <x:v>https://ea-cdn.eurolandir.com/press-releases-attachments/4180184/HKEX-EPS_20260915_12332517_0.PDF</x:v>
      </x:c>
      <x:c r="J1676" s="11" t="str"/>
      <x:c r="K1676" s="11" t="str">
        <x:v>待核</x:v>
      </x:c>
      <x:c r="L1676" s="11" t="str">
        <x:v>精确发布时间未核验</x:v>
      </x:c>
      <x:c r="M1676" s="11" t="str">
        <x:v>截止日前日期，盘中时分未核</x:v>
      </x:c>
    </x:row>
    <x:row r="1677" ht="23" customHeight="1">
      <x:c r="A1677" s="11" t="str">
        <x:v>I082</x:v>
      </x:c>
      <x:c r="B1677" s="11" t="str">
        <x:v>00300.HK</x:v>
      </x:c>
      <x:c r="C1677" s="11" t="str">
        <x:v>HSharesExTreasurySept</x:v>
      </x:c>
      <x:c r="D1677" s="39" t="n">
        <x:v>650204000</x:v>
      </x:c>
      <x:c r="E1677" s="11" t="str">
        <x:v>not monetary</x:v>
      </x:c>
      <x:c r="F1677" s="11" t="str">
        <x:v>million shares</x:v>
      </x:c>
      <x:c r="G1677" s="11" t="str">
        <x:v>H1 2026</x:v>
      </x:c>
      <x:c r="H1677" s="11" t="str">
        <x:v>2026-08-28结果；中报2026-09-15；精确交易所发布时间未核验</x:v>
      </x:c>
      <x:c r="I1677" s="11" t="str">
        <x:v>https://ea-cdn.eurolandir.com/press-releases-attachments/4180184/HKEX-EPS_20260915_12332517_0.PDF</x:v>
      </x:c>
      <x:c r="J1677" s="11" t="str"/>
      <x:c r="K1677" s="11" t="str">
        <x:v>待核</x:v>
      </x:c>
      <x:c r="L1677" s="11" t="str">
        <x:v>精确发布时间未核验</x:v>
      </x:c>
      <x:c r="M1677" s="11" t="str">
        <x:v>截止日前日期，盘中时分未核</x:v>
      </x:c>
    </x:row>
    <x:row r="1678" ht="23" customHeight="1">
      <x:c r="A1678" s="11" t="str">
        <x:v>I082</x:v>
      </x:c>
      <x:c r="B1678" s="11" t="str">
        <x:v>00300.HK</x:v>
      </x:c>
      <x:c r="C1678" s="11" t="str">
        <x:v>HSharesTreasurySept</x:v>
      </x:c>
      <x:c r="D1678" s="39" t="n">
        <x:v>644500</x:v>
      </x:c>
      <x:c r="E1678" s="11" t="str">
        <x:v>not monetary</x:v>
      </x:c>
      <x:c r="F1678" s="11" t="str">
        <x:v>shares</x:v>
      </x:c>
      <x:c r="G1678" s="11" t="str">
        <x:v>H1 2026</x:v>
      </x:c>
      <x:c r="H1678" s="11" t="str">
        <x:v>2026-08-28结果；中报2026-09-15；精确交易所发布时间未核验</x:v>
      </x:c>
      <x:c r="I1678" s="11" t="str">
        <x:v>https://ea-cdn.eurolandir.com/press-releases-attachments/4180184/HKEX-EPS_20260915_12332517_0.PDF</x:v>
      </x:c>
      <x:c r="J1678" s="11" t="str"/>
      <x:c r="K1678" s="11" t="str">
        <x:v>待核</x:v>
      </x:c>
      <x:c r="L1678" s="11" t="str">
        <x:v>精确发布时间未核验</x:v>
      </x:c>
      <x:c r="M1678" s="11" t="str">
        <x:v>截止日前日期，盘中时分未核</x:v>
      </x:c>
    </x:row>
    <x:row r="1679" ht="23" customHeight="1">
      <x:c r="A1679" s="11" t="str">
        <x:v>I082</x:v>
      </x:c>
      <x:c r="B1679" s="11" t="str">
        <x:v>00300.HK</x:v>
      </x:c>
      <x:c r="C1679" s="11" t="str">
        <x:v>ASharesExTreasurySept</x:v>
      </x:c>
      <x:c r="D1679" s="39" t="n">
        <x:v>6791434907</x:v>
      </x:c>
      <x:c r="E1679" s="11" t="str">
        <x:v>not monetary</x:v>
      </x:c>
      <x:c r="F1679" s="11" t="str">
        <x:v>million shares</x:v>
      </x:c>
      <x:c r="G1679" s="11" t="str">
        <x:v>H1 2026</x:v>
      </x:c>
      <x:c r="H1679" s="11" t="str">
        <x:v>2026-08-28结果；中报2026-09-15；精确交易所发布时间未核验</x:v>
      </x:c>
      <x:c r="I1679" s="11" t="str">
        <x:v>https://ea-cdn.eurolandir.com/press-releases-attachments/4180184/HKEX-EPS_20260915_12332517_0.PDF</x:v>
      </x:c>
      <x:c r="J1679" s="11" t="str"/>
      <x:c r="K1679" s="11" t="str">
        <x:v>待核</x:v>
      </x:c>
      <x:c r="L1679" s="11" t="str">
        <x:v>精确发布时间未核验</x:v>
      </x:c>
      <x:c r="M1679" s="11" t="str">
        <x:v>截止日前日期，盘中时分未核</x:v>
      </x:c>
    </x:row>
    <x:row r="1680" ht="23" customHeight="1">
      <x:c r="A1680" s="11" t="str">
        <x:v>I082</x:v>
      </x:c>
      <x:c r="B1680" s="11" t="str">
        <x:v>00300.HK</x:v>
      </x:c>
      <x:c r="C1680" s="11" t="str">
        <x:v>ASharesTreasurySept</x:v>
      </x:c>
      <x:c r="D1680" s="39" t="n">
        <x:v>187650463</x:v>
      </x:c>
      <x:c r="E1680" s="11" t="str">
        <x:v>not monetary</x:v>
      </x:c>
      <x:c r="F1680" s="11" t="str">
        <x:v>shares</x:v>
      </x:c>
      <x:c r="G1680" s="11" t="str">
        <x:v>H1 2026</x:v>
      </x:c>
      <x:c r="H1680" s="11" t="str">
        <x:v>2026-08-28结果；中报2026-09-15；精确交易所发布时间未核验</x:v>
      </x:c>
      <x:c r="I1680" s="11" t="str">
        <x:v>https://ea-cdn.eurolandir.com/press-releases-attachments/4180184/HKEX-EPS_20260915_12332517_0.PDF</x:v>
      </x:c>
      <x:c r="J1680" s="11" t="str"/>
      <x:c r="K1680" s="11" t="str">
        <x:v>待核</x:v>
      </x:c>
      <x:c r="L1680" s="11" t="str">
        <x:v>精确发布时间未核验</x:v>
      </x:c>
      <x:c r="M1680" s="11" t="str">
        <x:v>截止日前日期，盘中时分未核</x:v>
      </x:c>
    </x:row>
    <x:row r="1681" ht="23" customHeight="1">
      <x:c r="A1681" s="11" t="str">
        <x:v>I082</x:v>
      </x:c>
      <x:c r="B1681" s="11" t="str">
        <x:v>00300.HK</x:v>
      </x:c>
      <x:c r="C1681" s="11" t="str">
        <x:v>ASharesExTreasuryOct8</x:v>
      </x:c>
      <x:c r="D1681" s="39" t="n">
        <x:v>6789574940</x:v>
      </x:c>
      <x:c r="E1681" s="11" t="str">
        <x:v>not monetary</x:v>
      </x:c>
      <x:c r="F1681" s="11" t="str">
        <x:v>million shares</x:v>
      </x:c>
      <x:c r="G1681" s="11" t="str">
        <x:v>H1 2026</x:v>
      </x:c>
      <x:c r="H1681" s="11" t="str">
        <x:v>2026-08-28结果；中报2026-09-15；精确交易所发布时间未核验</x:v>
      </x:c>
      <x:c r="I1681" s="11" t="str">
        <x:v>https://ea-cdn.eurolandir.com/press-releases-attachments/4180184/HKEX-EPS_20260915_12332517_0.PDF</x:v>
      </x:c>
      <x:c r="J1681" s="11" t="str"/>
      <x:c r="K1681" s="11" t="str">
        <x:v>待核</x:v>
      </x:c>
      <x:c r="L1681" s="11" t="str">
        <x:v>精确发布时间未核验</x:v>
      </x:c>
      <x:c r="M1681" s="11" t="str">
        <x:v>截止日前日期，盘中时分未核</x:v>
      </x:c>
    </x:row>
    <x:row r="1682" ht="23" customHeight="1">
      <x:c r="A1682" s="11" t="str">
        <x:v>I082</x:v>
      </x:c>
      <x:c r="B1682" s="11" t="str">
        <x:v>00300.HK</x:v>
      </x:c>
      <x:c r="C1682" s="11" t="str">
        <x:v>ASharesTreasuryOct8</x:v>
      </x:c>
      <x:c r="D1682" s="39" t="n">
        <x:v>189620163</x:v>
      </x:c>
      <x:c r="E1682" s="11" t="str">
        <x:v>not monetary</x:v>
      </x:c>
      <x:c r="F1682" s="11" t="str">
        <x:v>shares</x:v>
      </x:c>
      <x:c r="G1682" s="11" t="str">
        <x:v>H1 2026</x:v>
      </x:c>
      <x:c r="H1682" s="11" t="str">
        <x:v>2026-08-28结果；中报2026-09-15；精确交易所发布时间未核验</x:v>
      </x:c>
      <x:c r="I1682" s="11" t="str">
        <x:v>https://ea-cdn.eurolandir.com/press-releases-attachments/4180184/HKEX-EPS_20260915_12332517_0.PDF</x:v>
      </x:c>
      <x:c r="J1682" s="11" t="str"/>
      <x:c r="K1682" s="11" t="str">
        <x:v>待核</x:v>
      </x:c>
      <x:c r="L1682" s="11" t="str">
        <x:v>精确发布时间未核验</x:v>
      </x:c>
      <x:c r="M1682" s="11" t="str">
        <x:v>截止日前日期，盘中时分未核</x:v>
      </x:c>
    </x:row>
    <x:row r="1683" ht="23" customHeight="1">
      <x:c r="A1683" s="11" t="str">
        <x:v>I082</x:v>
      </x:c>
      <x:c r="B1683" s="11" t="str">
        <x:v>00300.HK</x:v>
      </x:c>
      <x:c r="C1683" s="11" t="str">
        <x:v>ASharesTotalOct8</x:v>
      </x:c>
      <x:c r="D1683" s="39" t="n">
        <x:v>6979195103</x:v>
      </x:c>
      <x:c r="E1683" s="11" t="str">
        <x:v>not monetary</x:v>
      </x:c>
      <x:c r="F1683" s="11" t="str">
        <x:v>shares</x:v>
      </x:c>
      <x:c r="G1683" s="11" t="str">
        <x:v>H1 2026</x:v>
      </x:c>
      <x:c r="H1683" s="11" t="str">
        <x:v>2026-08-28结果；中报2026-09-15；精确交易所发布时间未核验</x:v>
      </x:c>
      <x:c r="I1683" s="11" t="str">
        <x:v>https://ea-cdn.eurolandir.com/press-releases-attachments/4180184/HKEX-EPS_20260915_12332517_0.PDF</x:v>
      </x:c>
      <x:c r="J1683" s="11" t="str"/>
      <x:c r="K1683" s="11" t="str">
        <x:v>待核</x:v>
      </x:c>
      <x:c r="L1683" s="11" t="str">
        <x:v>精确发布时间未核验</x:v>
      </x:c>
      <x:c r="M1683" s="11" t="str">
        <x:v>截止日前日期，盘中时分未核</x:v>
      </x:c>
    </x:row>
    <x:row r="1684" ht="23" customHeight="1">
      <x:c r="A1684" s="11" t="str">
        <x:v>I082</x:v>
      </x:c>
      <x:c r="B1684" s="11" t="str">
        <x:v>00300.HK</x:v>
      </x:c>
      <x:c r="C1684" s="11" t="str">
        <x:v>dividendFY2025AlreadyPaidHKD</x:v>
      </x:c>
      <x:c r="D1684" s="39" t="n">
        <x:v>4.36734</x:v>
      </x:c>
      <x:c r="E1684" s="11" t="str">
        <x:v>HKD</x:v>
      </x:c>
      <x:c r="F1684" s="11" t="str">
        <x:v>CNY million unless specified</x:v>
      </x:c>
      <x:c r="G1684" s="11" t="str">
        <x:v>FY2025</x:v>
      </x:c>
      <x:c r="H1684" s="11" t="str">
        <x:v>2026-08-28结果；中报2026-09-15；精确交易所发布时间未核验</x:v>
      </x:c>
      <x:c r="I1684" s="11" t="str">
        <x:v>https://ea-cdn.eurolandir.com/press-releases-attachments/4180184/HKEX-EPS_20260915_12332517_0.PDF</x:v>
      </x:c>
      <x:c r="J1684" s="11" t="str"/>
      <x:c r="K1684" s="11" t="str">
        <x:v>待核</x:v>
      </x:c>
      <x:c r="L1684" s="11" t="str">
        <x:v>精确发布时间未核验</x:v>
      </x:c>
      <x:c r="M1684" s="11" t="str">
        <x:v>截止日前日期，盘中时分未核</x:v>
      </x:c>
    </x:row>
    <x:row r="1685" ht="23" customHeight="1">
      <x:c r="A1685" s="11" t="str">
        <x:v>I082</x:v>
      </x:c>
      <x:c r="B1685" s="11" t="str">
        <x:v>00300.HK</x:v>
      </x:c>
      <x:c r="C1685" s="11" t="str">
        <x:v>dividendH12026ProposedCNY</x:v>
      </x:c>
      <x:c r="D1685" s="39" t="n">
        <x:v>0.5</x:v>
      </x:c>
      <x:c r="E1685" s="11" t="str">
        <x:v>CNY</x:v>
      </x:c>
      <x:c r="F1685" s="11" t="str">
        <x:v>CNY million unless specified</x:v>
      </x:c>
      <x:c r="G1685" s="11" t="str">
        <x:v>FY2026</x:v>
      </x:c>
      <x:c r="H1685" s="11" t="str">
        <x:v>2026-08-28结果；中报2026-09-15；精确交易所发布时间未核验</x:v>
      </x:c>
      <x:c r="I1685" s="11" t="str">
        <x:v>https://ea-cdn.eurolandir.com/press-releases-attachments/4180184/HKEX-EPS_20260915_12332517_0.PDF</x:v>
      </x:c>
      <x:c r="J1685" s="11" t="str"/>
      <x:c r="K1685" s="11" t="str">
        <x:v>待核</x:v>
      </x:c>
      <x:c r="L1685" s="11" t="str">
        <x:v>精确发布时间未核验</x:v>
      </x:c>
      <x:c r="M1685" s="11" t="str">
        <x:v>截止日前日期，盘中时分未核</x:v>
      </x:c>
    </x:row>
    <x:row r="1686" ht="23" customHeight="1">
      <x:c r="A1686" s="11" t="str">
        <x:v>I014</x:v>
      </x:c>
      <x:c r="B1686" s="11" t="str">
        <x:v>300760.SZ</x:v>
      </x:c>
      <x:c r="C1686" s="11" t="str">
        <x:v>revenue</x:v>
      </x:c>
      <x:c r="D1686" s="39" t="n">
        <x:v>17746.969604</x:v>
      </x:c>
      <x:c r="E1686" s="11" t="str">
        <x:v>CNY</x:v>
      </x:c>
      <x:c r="F1686" s="11" t="str">
        <x:v>million</x:v>
      </x:c>
      <x:c r="G1686" s="11" t="str">
        <x:v>2026H1</x:v>
      </x:c>
      <x:c r="H1686" s="11" t="str">
        <x:v>2026-08-29</x:v>
      </x:c>
      <x:c r="I1686" s="11" t="str">
        <x:v>https://static.cninfo.com.cn/finalpage/2026-08-29/1225529856.PDF</x:v>
      </x:c>
      <x:c r="J1686" s="11" t="str"/>
      <x:c r="K1686" s="11" t="str">
        <x:v>待核</x:v>
      </x:c>
      <x:c r="L1686" s="11" t="str">
        <x:v>精确发布时间未核验</x:v>
      </x:c>
      <x:c r="M1686" s="11" t="str">
        <x:v>截止日前日期，盘中时分未核</x:v>
      </x:c>
    </x:row>
    <x:row r="1687" ht="23" customHeight="1">
      <x:c r="A1687" s="11" t="str">
        <x:v>I014</x:v>
      </x:c>
      <x:c r="B1687" s="11" t="str">
        <x:v>300760.SZ</x:v>
      </x:c>
      <x:c r="C1687" s="11" t="str">
        <x:v>internationalRevenue</x:v>
      </x:c>
      <x:c r="D1687" s="39" t="n">
        <x:v>9471.4278</x:v>
      </x:c>
      <x:c r="E1687" s="11" t="str">
        <x:v>CNY</x:v>
      </x:c>
      <x:c r="F1687" s="11" t="str">
        <x:v>million</x:v>
      </x:c>
      <x:c r="G1687" s="11" t="str">
        <x:v>2026H1</x:v>
      </x:c>
      <x:c r="H1687" s="11" t="str">
        <x:v>2026-08-29</x:v>
      </x:c>
      <x:c r="I1687" s="11" t="str">
        <x:v>https://static.cninfo.com.cn/finalpage/2026-08-29/1225529856.PDF</x:v>
      </x:c>
      <x:c r="J1687" s="11" t="str"/>
      <x:c r="K1687" s="11" t="str">
        <x:v>待核</x:v>
      </x:c>
      <x:c r="L1687" s="11" t="str">
        <x:v>精确发布时间未核验</x:v>
      </x:c>
      <x:c r="M1687" s="11" t="str">
        <x:v>截止日前日期，盘中时分未核</x:v>
      </x:c>
    </x:row>
    <x:row r="1688" ht="23" customHeight="1">
      <x:c r="A1688" s="11" t="str">
        <x:v>I014</x:v>
      </x:c>
      <x:c r="B1688" s="11" t="str">
        <x:v>300760.SZ</x:v>
      </x:c>
      <x:c r="C1688" s="11" t="str">
        <x:v>domesticRevenue</x:v>
      </x:c>
      <x:c r="D1688" s="39" t="n">
        <x:v>8275.5418</x:v>
      </x:c>
      <x:c r="E1688" s="11" t="str">
        <x:v>CNY</x:v>
      </x:c>
      <x:c r="F1688" s="11" t="str">
        <x:v>million</x:v>
      </x:c>
      <x:c r="G1688" s="11" t="str">
        <x:v>2026H1</x:v>
      </x:c>
      <x:c r="H1688" s="11" t="str">
        <x:v>2026-08-29</x:v>
      </x:c>
      <x:c r="I1688" s="11" t="str">
        <x:v>https://static.cninfo.com.cn/finalpage/2026-08-29/1225529856.PDF</x:v>
      </x:c>
      <x:c r="J1688" s="11" t="str"/>
      <x:c r="K1688" s="11" t="str">
        <x:v>待核</x:v>
      </x:c>
      <x:c r="L1688" s="11" t="str">
        <x:v>精确发布时间未核验</x:v>
      </x:c>
      <x:c r="M1688" s="11" t="str">
        <x:v>截止日前日期，盘中时分未核</x:v>
      </x:c>
    </x:row>
    <x:row r="1689" ht="23" customHeight="1">
      <x:c r="A1689" s="11" t="str">
        <x:v>I014</x:v>
      </x:c>
      <x:c r="B1689" s="11" t="str">
        <x:v>300760.SZ</x:v>
      </x:c>
      <x:c r="C1689" s="11" t="str">
        <x:v>internationalGrowthPct</x:v>
      </x:c>
      <x:c r="D1689" s="39" t="n">
        <x:v>13.67</x:v>
      </x:c>
      <x:c r="E1689" s="11" t="str">
        <x:v>not monetary</x:v>
      </x:c>
      <x:c r="F1689" s="11" t="str">
        <x:v>percent</x:v>
      </x:c>
      <x:c r="G1689" s="11" t="str">
        <x:v>2026H1</x:v>
      </x:c>
      <x:c r="H1689" s="11" t="str">
        <x:v>2026-08-29</x:v>
      </x:c>
      <x:c r="I1689" s="11" t="str">
        <x:v>https://static.cninfo.com.cn/finalpage/2026-08-29/1225529856.PDF</x:v>
      </x:c>
      <x:c r="J1689" s="11" t="str"/>
      <x:c r="K1689" s="11" t="str">
        <x:v>待核</x:v>
      </x:c>
      <x:c r="L1689" s="11" t="str">
        <x:v>精确发布时间未核验</x:v>
      </x:c>
      <x:c r="M1689" s="11" t="str">
        <x:v>截止日前日期，盘中时分未核</x:v>
      </x:c>
    </x:row>
    <x:row r="1690" ht="23" customHeight="1">
      <x:c r="A1690" s="11" t="str">
        <x:v>I014</x:v>
      </x:c>
      <x:c r="B1690" s="11" t="str">
        <x:v>300760.SZ</x:v>
      </x:c>
      <x:c r="C1690" s="11" t="str">
        <x:v>domesticGrowthPct</x:v>
      </x:c>
      <x:c r="D1690" s="39" t="n">
        <x:v>-1.61</x:v>
      </x:c>
      <x:c r="E1690" s="11" t="str">
        <x:v>not monetary</x:v>
      </x:c>
      <x:c r="F1690" s="11" t="str">
        <x:v>percent</x:v>
      </x:c>
      <x:c r="G1690" s="11" t="str">
        <x:v>2026H1</x:v>
      </x:c>
      <x:c r="H1690" s="11" t="str">
        <x:v>2026-08-29</x:v>
      </x:c>
      <x:c r="I1690" s="11" t="str">
        <x:v>https://static.cninfo.com.cn/finalpage/2026-08-29/1225529856.PDF</x:v>
      </x:c>
      <x:c r="J1690" s="11" t="str"/>
      <x:c r="K1690" s="11" t="str">
        <x:v>待核</x:v>
      </x:c>
      <x:c r="L1690" s="11" t="str">
        <x:v>精确发布时间未核验</x:v>
      </x:c>
      <x:c r="M1690" s="11" t="str">
        <x:v>截止日前日期，盘中时分未核</x:v>
      </x:c>
    </x:row>
    <x:row r="1691" ht="23" customHeight="1">
      <x:c r="A1691" s="11" t="str">
        <x:v>I014</x:v>
      </x:c>
      <x:c r="B1691" s="11" t="str">
        <x:v>300760.SZ</x:v>
      </x:c>
      <x:c r="C1691" s="11" t="str">
        <x:v>attributableProfit</x:v>
      </x:c>
      <x:c r="D1691" s="39" t="n">
        <x:v>4796.7918</x:v>
      </x:c>
      <x:c r="E1691" s="11" t="str">
        <x:v>CNY</x:v>
      </x:c>
      <x:c r="F1691" s="11" t="str">
        <x:v>million</x:v>
      </x:c>
      <x:c r="G1691" s="11" t="str">
        <x:v>2026H1</x:v>
      </x:c>
      <x:c r="H1691" s="11" t="str">
        <x:v>2026-08-29</x:v>
      </x:c>
      <x:c r="I1691" s="11" t="str">
        <x:v>https://static.cninfo.com.cn/finalpage/2026-08-29/1225529856.PDF</x:v>
      </x:c>
      <x:c r="J1691" s="11" t="str"/>
      <x:c r="K1691" s="11" t="str">
        <x:v>待核</x:v>
      </x:c>
      <x:c r="L1691" s="11" t="str">
        <x:v>精确发布时间未核验</x:v>
      </x:c>
      <x:c r="M1691" s="11" t="str">
        <x:v>截止日前日期，盘中时分未核</x:v>
      </x:c>
    </x:row>
    <x:row r="1692" ht="23" customHeight="1">
      <x:c r="A1692" s="11" t="str">
        <x:v>I014</x:v>
      </x:c>
      <x:c r="B1692" s="11" t="str">
        <x:v>300760.SZ</x:v>
      </x:c>
      <x:c r="C1692" s="11" t="str">
        <x:v>deductedProfit</x:v>
      </x:c>
      <x:c r="D1692" s="39" t="n">
        <x:v>4784.797726</x:v>
      </x:c>
      <x:c r="E1692" s="11" t="str">
        <x:v>CNY</x:v>
      </x:c>
      <x:c r="F1692" s="11" t="str">
        <x:v>million</x:v>
      </x:c>
      <x:c r="G1692" s="11" t="str">
        <x:v>2026H1</x:v>
      </x:c>
      <x:c r="H1692" s="11" t="str">
        <x:v>2026-08-29</x:v>
      </x:c>
      <x:c r="I1692" s="11" t="str">
        <x:v>https://static.cninfo.com.cn/finalpage/2026-08-29/1225529856.PDF</x:v>
      </x:c>
      <x:c r="J1692" s="11" t="str"/>
      <x:c r="K1692" s="11" t="str">
        <x:v>待核</x:v>
      </x:c>
      <x:c r="L1692" s="11" t="str">
        <x:v>精确发布时间未核验</x:v>
      </x:c>
      <x:c r="M1692" s="11" t="str">
        <x:v>截止日前日期，盘中时分未核</x:v>
      </x:c>
    </x:row>
    <x:row r="1693" ht="23" customHeight="1">
      <x:c r="A1693" s="11" t="str">
        <x:v>I014</x:v>
      </x:c>
      <x:c r="B1693" s="11" t="str">
        <x:v>300760.SZ</x:v>
      </x:c>
      <x:c r="C1693" s="11" t="str">
        <x:v>dilutedEPS</x:v>
      </x:c>
      <x:c r="D1693" s="39" t="n">
        <x:v>3.9583</x:v>
      </x:c>
      <x:c r="E1693" s="11" t="str">
        <x:v>CNY</x:v>
      </x:c>
      <x:c r="F1693" s="11" t="str">
        <x:v>per ordinary share</x:v>
      </x:c>
      <x:c r="G1693" s="11" t="str">
        <x:v>2026H1</x:v>
      </x:c>
      <x:c r="H1693" s="11" t="str">
        <x:v>2026-08-29</x:v>
      </x:c>
      <x:c r="I1693" s="11" t="str">
        <x:v>https://static.cninfo.com.cn/finalpage/2026-08-29/1225529856.PDF</x:v>
      </x:c>
      <x:c r="J1693" s="11" t="str"/>
      <x:c r="K1693" s="11" t="str">
        <x:v>待核</x:v>
      </x:c>
      <x:c r="L1693" s="11" t="str">
        <x:v>精确发布时间未核验</x:v>
      </x:c>
      <x:c r="M1693" s="11" t="str">
        <x:v>截止日前日期，盘中时分未核</x:v>
      </x:c>
    </x:row>
    <x:row r="1694" ht="23" customHeight="1">
      <x:c r="A1694" s="11" t="str">
        <x:v>I014</x:v>
      </x:c>
      <x:c r="B1694" s="11" t="str">
        <x:v>300760.SZ</x:v>
      </x:c>
      <x:c r="C1694" s="11" t="str">
        <x:v>OCF</x:v>
      </x:c>
      <x:c r="D1694" s="39" t="n">
        <x:v>4876.986709</x:v>
      </x:c>
      <x:c r="E1694" s="11" t="str">
        <x:v>CNY</x:v>
      </x:c>
      <x:c r="F1694" s="11" t="str">
        <x:v>million</x:v>
      </x:c>
      <x:c r="G1694" s="11" t="str">
        <x:v>2026H1</x:v>
      </x:c>
      <x:c r="H1694" s="11" t="str">
        <x:v>2026-08-29</x:v>
      </x:c>
      <x:c r="I1694" s="11" t="str">
        <x:v>https://static.cninfo.com.cn/finalpage/2026-08-29/1225529856.PDF</x:v>
      </x:c>
      <x:c r="J1694" s="11" t="str"/>
      <x:c r="K1694" s="11" t="str">
        <x:v>待核</x:v>
      </x:c>
      <x:c r="L1694" s="11" t="str">
        <x:v>精确发布时间未核验</x:v>
      </x:c>
      <x:c r="M1694" s="11" t="str">
        <x:v>截止日前日期，盘中时分未核</x:v>
      </x:c>
    </x:row>
    <x:row r="1695" ht="23" customHeight="1">
      <x:c r="A1695" s="11" t="str">
        <x:v>I014</x:v>
      </x:c>
      <x:c r="B1695" s="11" t="str">
        <x:v>300760.SZ</x:v>
      </x:c>
      <x:c r="C1695" s="11" t="str">
        <x:v>capex</x:v>
      </x:c>
      <x:c r="D1695" s="39" t="n">
        <x:v>1063.901948</x:v>
      </x:c>
      <x:c r="E1695" s="11" t="str">
        <x:v>CNY</x:v>
      </x:c>
      <x:c r="F1695" s="11" t="str">
        <x:v>million</x:v>
      </x:c>
      <x:c r="G1695" s="11" t="str">
        <x:v>2026H1</x:v>
      </x:c>
      <x:c r="H1695" s="11" t="str">
        <x:v>2026-08-29</x:v>
      </x:c>
      <x:c r="I1695" s="11" t="str">
        <x:v>https://static.cninfo.com.cn/finalpage/2026-08-29/1225529856.PDF</x:v>
      </x:c>
      <x:c r="J1695" s="11" t="str"/>
      <x:c r="K1695" s="11" t="str">
        <x:v>待核</x:v>
      </x:c>
      <x:c r="L1695" s="11" t="str">
        <x:v>精确发布时间未核验</x:v>
      </x:c>
      <x:c r="M1695" s="11" t="str">
        <x:v>截止日前日期，盘中时分未核</x:v>
      </x:c>
    </x:row>
    <x:row r="1696" ht="23" customHeight="1">
      <x:c r="A1696" s="11" t="str">
        <x:v>I014</x:v>
      </x:c>
      <x:c r="B1696" s="11" t="str">
        <x:v>300760.SZ</x:v>
      </x:c>
      <x:c r="C1696" s="11" t="str">
        <x:v>FCF</x:v>
      </x:c>
      <x:c r="D1696" s="39" t="n">
        <x:v>3813.084761</x:v>
      </x:c>
      <x:c r="E1696" s="11" t="str">
        <x:v>CNY</x:v>
      </x:c>
      <x:c r="F1696" s="11" t="str">
        <x:v>million</x:v>
      </x:c>
      <x:c r="G1696" s="11" t="str">
        <x:v>2026H1</x:v>
      </x:c>
      <x:c r="H1696" s="11" t="str">
        <x:v>2026-08-29</x:v>
      </x:c>
      <x:c r="I1696" s="11" t="str">
        <x:v>https://static.cninfo.com.cn/finalpage/2026-08-29/1225529856.PDF</x:v>
      </x:c>
      <x:c r="J1696" s="11" t="str"/>
      <x:c r="K1696" s="11" t="str">
        <x:v>待核</x:v>
      </x:c>
      <x:c r="L1696" s="11" t="str">
        <x:v>精确发布时间未核验</x:v>
      </x:c>
      <x:c r="M1696" s="11" t="str">
        <x:v>截止日前日期，盘中时分未核</x:v>
      </x:c>
    </x:row>
    <x:row r="1697" ht="23" customHeight="1">
      <x:c r="A1697" s="11" t="str">
        <x:v>I014</x:v>
      </x:c>
      <x:c r="B1697" s="11" t="str">
        <x:v>300760.SZ</x:v>
      </x:c>
      <x:c r="C1697" s="11" t="str">
        <x:v>cashCashEquivalents</x:v>
      </x:c>
      <x:c r="D1697" s="39" t="n">
        <x:v>18645.296725</x:v>
      </x:c>
      <x:c r="E1697" s="11" t="str">
        <x:v>CNY</x:v>
      </x:c>
      <x:c r="F1697" s="11" t="str">
        <x:v>million</x:v>
      </x:c>
      <x:c r="G1697" s="11" t="str">
        <x:v>2026H1</x:v>
      </x:c>
      <x:c r="H1697" s="11" t="str">
        <x:v>2026-08-29</x:v>
      </x:c>
      <x:c r="I1697" s="11" t="str">
        <x:v>https://static.cninfo.com.cn/finalpage/2026-08-29/1225529856.PDF</x:v>
      </x:c>
      <x:c r="J1697" s="11" t="str"/>
      <x:c r="K1697" s="11" t="str">
        <x:v>待核</x:v>
      </x:c>
      <x:c r="L1697" s="11" t="str">
        <x:v>精确发布时间未核验</x:v>
      </x:c>
      <x:c r="M1697" s="11" t="str">
        <x:v>截止日前日期，盘中时分未核</x:v>
      </x:c>
    </x:row>
    <x:row r="1698" ht="23" customHeight="1">
      <x:c r="A1698" s="11" t="str">
        <x:v>I014</x:v>
      </x:c>
      <x:c r="B1698" s="11" t="str">
        <x:v>300760.SZ</x:v>
      </x:c>
      <x:c r="C1698" s="11" t="str">
        <x:v>cashBank</x:v>
      </x:c>
      <x:c r="D1698" s="39" t="n">
        <x:v>18699.272786</x:v>
      </x:c>
      <x:c r="E1698" s="11" t="str">
        <x:v>CNY</x:v>
      </x:c>
      <x:c r="F1698" s="11" t="str">
        <x:v>million</x:v>
      </x:c>
      <x:c r="G1698" s="11" t="str">
        <x:v>2026H1</x:v>
      </x:c>
      <x:c r="H1698" s="11" t="str">
        <x:v>2026-08-29</x:v>
      </x:c>
      <x:c r="I1698" s="11" t="str">
        <x:v>https://static.cninfo.com.cn/finalpage/2026-08-29/1225529856.PDF</x:v>
      </x:c>
      <x:c r="J1698" s="11" t="str"/>
      <x:c r="K1698" s="11" t="str">
        <x:v>待核</x:v>
      </x:c>
      <x:c r="L1698" s="11" t="str">
        <x:v>精确发布时间未核验</x:v>
      </x:c>
      <x:c r="M1698" s="11" t="str">
        <x:v>截止日前日期，盘中时分未核</x:v>
      </x:c>
    </x:row>
    <x:row r="1699" ht="23" customHeight="1">
      <x:c r="A1699" s="11" t="str">
        <x:v>I014</x:v>
      </x:c>
      <x:c r="B1699" s="11" t="str">
        <x:v>300760.SZ</x:v>
      </x:c>
      <x:c r="C1699" s="11" t="str">
        <x:v>restrictedCash</x:v>
      </x:c>
      <x:c r="D1699" s="39" t="n">
        <x:v>53.157307</x:v>
      </x:c>
      <x:c r="E1699" s="11" t="str">
        <x:v>CNY</x:v>
      </x:c>
      <x:c r="F1699" s="11" t="str">
        <x:v>million</x:v>
      </x:c>
      <x:c r="G1699" s="11" t="str">
        <x:v>2026H1</x:v>
      </x:c>
      <x:c r="H1699" s="11" t="str">
        <x:v>2026-08-29</x:v>
      </x:c>
      <x:c r="I1699" s="11" t="str">
        <x:v>https://static.cninfo.com.cn/finalpage/2026-08-29/1225529856.PDF</x:v>
      </x:c>
      <x:c r="J1699" s="11" t="str"/>
      <x:c r="K1699" s="11" t="str">
        <x:v>待核</x:v>
      </x:c>
      <x:c r="L1699" s="11" t="str">
        <x:v>精确发布时间未核验</x:v>
      </x:c>
      <x:c r="M1699" s="11" t="str">
        <x:v>截止日前日期，盘中时分未核</x:v>
      </x:c>
    </x:row>
    <x:row r="1700" ht="23" customHeight="1">
      <x:c r="A1700" s="11" t="str">
        <x:v>I014</x:v>
      </x:c>
      <x:c r="B1700" s="11" t="str">
        <x:v>300760.SZ</x:v>
      </x:c>
      <x:c r="C1700" s="11" t="str">
        <x:v>interestAccrued</x:v>
      </x:c>
      <x:c r="D1700" s="39" t="n">
        <x:v>0.818754</x:v>
      </x:c>
      <x:c r="E1700" s="11" t="str">
        <x:v>CNY</x:v>
      </x:c>
      <x:c r="F1700" s="11" t="str">
        <x:v>million</x:v>
      </x:c>
      <x:c r="G1700" s="11" t="str">
        <x:v>2026H1</x:v>
      </x:c>
      <x:c r="H1700" s="11" t="str">
        <x:v>2026-08-29</x:v>
      </x:c>
      <x:c r="I1700" s="11" t="str">
        <x:v>https://static.cninfo.com.cn/finalpage/2026-08-29/1225529856.PDF</x:v>
      </x:c>
      <x:c r="J1700" s="11" t="str"/>
      <x:c r="K1700" s="11" t="str">
        <x:v>待核</x:v>
      </x:c>
      <x:c r="L1700" s="11" t="str">
        <x:v>精确发布时间未核验</x:v>
      </x:c>
      <x:c r="M1700" s="11" t="str">
        <x:v>截止日前日期，盘中时分未核</x:v>
      </x:c>
    </x:row>
    <x:row r="1701" ht="23" customHeight="1">
      <x:c r="A1701" s="11" t="str">
        <x:v>I014</x:v>
      </x:c>
      <x:c r="B1701" s="11" t="str">
        <x:v>300760.SZ</x:v>
      </x:c>
      <x:c r="C1701" s="11" t="str">
        <x:v>bankDebtIncludingCurrent</x:v>
      </x:c>
      <x:c r="D1701" s="39" t="n">
        <x:v>0.762112</x:v>
      </x:c>
      <x:c r="E1701" s="11" t="str">
        <x:v>CNY</x:v>
      </x:c>
      <x:c r="F1701" s="11" t="str">
        <x:v>million</x:v>
      </x:c>
      <x:c r="G1701" s="11" t="str">
        <x:v>2026H1</x:v>
      </x:c>
      <x:c r="H1701" s="11" t="str">
        <x:v>2026-08-29</x:v>
      </x:c>
      <x:c r="I1701" s="11" t="str">
        <x:v>https://static.cninfo.com.cn/finalpage/2026-08-29/1225529856.PDF</x:v>
      </x:c>
      <x:c r="J1701" s="11" t="str"/>
      <x:c r="K1701" s="11" t="str">
        <x:v>待核</x:v>
      </x:c>
      <x:c r="L1701" s="11" t="str">
        <x:v>精确发布时间未核验</x:v>
      </x:c>
      <x:c r="M1701" s="11" t="str">
        <x:v>截止日前日期，盘中时分未核</x:v>
      </x:c>
    </x:row>
    <x:row r="1702" ht="23" customHeight="1">
      <x:c r="A1702" s="11" t="str">
        <x:v>I014</x:v>
      </x:c>
      <x:c r="B1702" s="11" t="str">
        <x:v>300760.SZ</x:v>
      </x:c>
      <x:c r="C1702" s="11" t="str">
        <x:v>leaseDebtIncludingCurrent</x:v>
      </x:c>
      <x:c r="D1702" s="39" t="n">
        <x:v>310.318121</x:v>
      </x:c>
      <x:c r="E1702" s="11" t="str">
        <x:v>CNY</x:v>
      </x:c>
      <x:c r="F1702" s="11" t="str">
        <x:v>million</x:v>
      </x:c>
      <x:c r="G1702" s="11" t="str">
        <x:v>2026H1</x:v>
      </x:c>
      <x:c r="H1702" s="11" t="str">
        <x:v>2026-08-29</x:v>
      </x:c>
      <x:c r="I1702" s="11" t="str">
        <x:v>https://static.cninfo.com.cn/finalpage/2026-08-29/1225529856.PDF</x:v>
      </x:c>
      <x:c r="J1702" s="11" t="str"/>
      <x:c r="K1702" s="11" t="str">
        <x:v>待核</x:v>
      </x:c>
      <x:c r="L1702" s="11" t="str">
        <x:v>精确发布时间未核验</x:v>
      </x:c>
      <x:c r="M1702" s="11" t="str">
        <x:v>截止日前日期，盘中时分未核</x:v>
      </x:c>
    </x:row>
    <x:row r="1703" ht="23" customHeight="1">
      <x:c r="A1703" s="11" t="str">
        <x:v>I014</x:v>
      </x:c>
      <x:c r="B1703" s="11" t="str">
        <x:v>300760.SZ</x:v>
      </x:c>
      <x:c r="C1703" s="11" t="str">
        <x:v>totalLiabilities</x:v>
      </x:c>
      <x:c r="D1703" s="39" t="n">
        <x:v>15483.921096</x:v>
      </x:c>
      <x:c r="E1703" s="11" t="str">
        <x:v>CNY</x:v>
      </x:c>
      <x:c r="F1703" s="11" t="str">
        <x:v>million</x:v>
      </x:c>
      <x:c r="G1703" s="11" t="str">
        <x:v>2026H1</x:v>
      </x:c>
      <x:c r="H1703" s="11" t="str">
        <x:v>2026-08-29</x:v>
      </x:c>
      <x:c r="I1703" s="11" t="str">
        <x:v>https://static.cninfo.com.cn/finalpage/2026-08-29/1225529856.PDF</x:v>
      </x:c>
      <x:c r="J1703" s="11" t="str"/>
      <x:c r="K1703" s="11" t="str">
        <x:v>待核</x:v>
      </x:c>
      <x:c r="L1703" s="11" t="str">
        <x:v>精确发布时间未核验</x:v>
      </x:c>
      <x:c r="M1703" s="11" t="str">
        <x:v>截止日前日期，盘中时分未核</x:v>
      </x:c>
    </x:row>
    <x:row r="1704" ht="23" customHeight="1">
      <x:c r="A1704" s="11" t="str">
        <x:v>I014</x:v>
      </x:c>
      <x:c r="B1704" s="11" t="str">
        <x:v>300760.SZ</x:v>
      </x:c>
      <x:c r="C1704" s="11" t="str">
        <x:v>goodwill</x:v>
      </x:c>
      <x:c r="D1704" s="39" t="n">
        <x:v>11111.966059</x:v>
      </x:c>
      <x:c r="E1704" s="11" t="str">
        <x:v>CNY</x:v>
      </x:c>
      <x:c r="F1704" s="11" t="str">
        <x:v>million</x:v>
      </x:c>
      <x:c r="G1704" s="11" t="str">
        <x:v>2026H1</x:v>
      </x:c>
      <x:c r="H1704" s="11" t="str">
        <x:v>2026-08-29</x:v>
      </x:c>
      <x:c r="I1704" s="11" t="str">
        <x:v>https://static.cninfo.com.cn/finalpage/2026-08-29/1225529856.PDF</x:v>
      </x:c>
      <x:c r="J1704" s="11" t="str"/>
      <x:c r="K1704" s="11" t="str">
        <x:v>待核</x:v>
      </x:c>
      <x:c r="L1704" s="11" t="str">
        <x:v>精确发布时间未核验</x:v>
      </x:c>
      <x:c r="M1704" s="11" t="str">
        <x:v>截止日前日期，盘中时分未核</x:v>
      </x:c>
    </x:row>
    <x:row r="1705" ht="23" customHeight="1">
      <x:c r="A1705" s="11" t="str">
        <x:v>I014</x:v>
      </x:c>
      <x:c r="B1705" s="11" t="str">
        <x:v>300760.SZ</x:v>
      </x:c>
      <x:c r="C1705" s="11" t="str">
        <x:v>intangibles</x:v>
      </x:c>
      <x:c r="D1705" s="39" t="n">
        <x:v>5961.241517</x:v>
      </x:c>
      <x:c r="E1705" s="11" t="str">
        <x:v>CNY</x:v>
      </x:c>
      <x:c r="F1705" s="11" t="str">
        <x:v>million</x:v>
      </x:c>
      <x:c r="G1705" s="11" t="str">
        <x:v>2026H1</x:v>
      </x:c>
      <x:c r="H1705" s="11" t="str">
        <x:v>2026-08-29</x:v>
      </x:c>
      <x:c r="I1705" s="11" t="str">
        <x:v>https://static.cninfo.com.cn/finalpage/2026-08-29/1225529856.PDF</x:v>
      </x:c>
      <x:c r="J1705" s="11" t="str"/>
      <x:c r="K1705" s="11" t="str">
        <x:v>待核</x:v>
      </x:c>
      <x:c r="L1705" s="11" t="str">
        <x:v>精确发布时间未核验</x:v>
      </x:c>
      <x:c r="M1705" s="11" t="str">
        <x:v>截止日前日期，盘中时分未核</x:v>
      </x:c>
    </x:row>
    <x:row r="1706" ht="23" customHeight="1">
      <x:c r="A1706" s="11" t="str">
        <x:v>I014</x:v>
      </x:c>
      <x:c r="B1706" s="11" t="str">
        <x:v>300760.SZ</x:v>
      </x:c>
      <x:c r="C1706" s="11" t="str">
        <x:v>development</x:v>
      </x:c>
      <x:c r="D1706" s="39" t="n">
        <x:v>440.766204</x:v>
      </x:c>
      <x:c r="E1706" s="11" t="str">
        <x:v>CNY</x:v>
      </x:c>
      <x:c r="F1706" s="11" t="str">
        <x:v>million</x:v>
      </x:c>
      <x:c r="G1706" s="11" t="str">
        <x:v>2026H1</x:v>
      </x:c>
      <x:c r="H1706" s="11" t="str">
        <x:v>2026-08-29</x:v>
      </x:c>
      <x:c r="I1706" s="11" t="str">
        <x:v>https://static.cninfo.com.cn/finalpage/2026-08-29/1225529856.PDF</x:v>
      </x:c>
      <x:c r="J1706" s="11" t="str"/>
      <x:c r="K1706" s="11" t="str">
        <x:v>待核</x:v>
      </x:c>
      <x:c r="L1706" s="11" t="str">
        <x:v>精确发布时间未核验</x:v>
      </x:c>
      <x:c r="M1706" s="11" t="str">
        <x:v>截止日前日期，盘中时分未核</x:v>
      </x:c>
    </x:row>
    <x:row r="1707" ht="23" customHeight="1">
      <x:c r="A1707" s="11" t="str">
        <x:v>I014</x:v>
      </x:c>
      <x:c r="B1707" s="11" t="str">
        <x:v>300760.SZ</x:v>
      </x:c>
      <x:c r="C1707" s="11" t="str">
        <x:v>RDTotal</x:v>
      </x:c>
      <x:c r="D1707" s="39" t="n">
        <x:v>1778.975583</x:v>
      </x:c>
      <x:c r="E1707" s="11" t="str">
        <x:v>CNY</x:v>
      </x:c>
      <x:c r="F1707" s="11" t="str">
        <x:v>million</x:v>
      </x:c>
      <x:c r="G1707" s="11" t="str">
        <x:v>2026H1</x:v>
      </x:c>
      <x:c r="H1707" s="11" t="str">
        <x:v>2026-08-29</x:v>
      </x:c>
      <x:c r="I1707" s="11" t="str">
        <x:v>https://static.cninfo.com.cn/finalpage/2026-08-29/1225529856.PDF</x:v>
      </x:c>
      <x:c r="J1707" s="11" t="str"/>
      <x:c r="K1707" s="11" t="str">
        <x:v>待核</x:v>
      </x:c>
      <x:c r="L1707" s="11" t="str">
        <x:v>精确发布时间未核验</x:v>
      </x:c>
      <x:c r="M1707" s="11" t="str">
        <x:v>截止日前日期，盘中时分未核</x:v>
      </x:c>
    </x:row>
    <x:row r="1708" ht="23" customHeight="1">
      <x:c r="A1708" s="11" t="str">
        <x:v>I014</x:v>
      </x:c>
      <x:c r="B1708" s="11" t="str">
        <x:v>300760.SZ</x:v>
      </x:c>
      <x:c r="C1708" s="11" t="str">
        <x:v>RDExpensed</x:v>
      </x:c>
      <x:c r="D1708" s="39" t="n">
        <x:v>1569.511152</x:v>
      </x:c>
      <x:c r="E1708" s="11" t="str">
        <x:v>CNY</x:v>
      </x:c>
      <x:c r="F1708" s="11" t="str">
        <x:v>million</x:v>
      </x:c>
      <x:c r="G1708" s="11" t="str">
        <x:v>2026H1</x:v>
      </x:c>
      <x:c r="H1708" s="11" t="str">
        <x:v>2026-08-29</x:v>
      </x:c>
      <x:c r="I1708" s="11" t="str">
        <x:v>https://static.cninfo.com.cn/finalpage/2026-08-29/1225529856.PDF</x:v>
      </x:c>
      <x:c r="J1708" s="11" t="str"/>
      <x:c r="K1708" s="11" t="str">
        <x:v>待核</x:v>
      </x:c>
      <x:c r="L1708" s="11" t="str">
        <x:v>精确发布时间未核验</x:v>
      </x:c>
      <x:c r="M1708" s="11" t="str">
        <x:v>截止日前日期，盘中时分未核</x:v>
      </x:c>
    </x:row>
    <x:row r="1709" ht="23" customHeight="1">
      <x:c r="A1709" s="11" t="str">
        <x:v>I014</x:v>
      </x:c>
      <x:c r="B1709" s="11" t="str">
        <x:v>300760.SZ</x:v>
      </x:c>
      <x:c r="C1709" s="11" t="str">
        <x:v>RDCapitalized</x:v>
      </x:c>
      <x:c r="D1709" s="39" t="n">
        <x:v>209.464431</x:v>
      </x:c>
      <x:c r="E1709" s="11" t="str">
        <x:v>CNY</x:v>
      </x:c>
      <x:c r="F1709" s="11" t="str">
        <x:v>million</x:v>
      </x:c>
      <x:c r="G1709" s="11" t="str">
        <x:v>2026H1</x:v>
      </x:c>
      <x:c r="H1709" s="11" t="str">
        <x:v>2026-08-29</x:v>
      </x:c>
      <x:c r="I1709" s="11" t="str">
        <x:v>https://static.cninfo.com.cn/finalpage/2026-08-29/1225529856.PDF</x:v>
      </x:c>
      <x:c r="J1709" s="11" t="str"/>
      <x:c r="K1709" s="11" t="str">
        <x:v>待核</x:v>
      </x:c>
      <x:c r="L1709" s="11" t="str">
        <x:v>精确发布时间未核验</x:v>
      </x:c>
      <x:c r="M1709" s="11" t="str">
        <x:v>截止日前日期，盘中时分未核</x:v>
      </x:c>
    </x:row>
    <x:row r="1710" ht="23" customHeight="1">
      <x:c r="A1710" s="11" t="str">
        <x:v>I014</x:v>
      </x:c>
      <x:c r="B1710" s="11" t="str">
        <x:v>300760.SZ</x:v>
      </x:c>
      <x:c r="C1710" s="11" t="str">
        <x:v>FXLoss</x:v>
      </x:c>
      <x:c r="D1710" s="39" t="n">
        <x:v>573.688595</x:v>
      </x:c>
      <x:c r="E1710" s="11" t="str">
        <x:v>CNY</x:v>
      </x:c>
      <x:c r="F1710" s="11" t="str">
        <x:v>million</x:v>
      </x:c>
      <x:c r="G1710" s="11" t="str">
        <x:v>2026H1</x:v>
      </x:c>
      <x:c r="H1710" s="11" t="str">
        <x:v>2026-08-29</x:v>
      </x:c>
      <x:c r="I1710" s="11" t="str">
        <x:v>https://static.cninfo.com.cn/finalpage/2026-08-29/1225529856.PDF</x:v>
      </x:c>
      <x:c r="J1710" s="11" t="str"/>
      <x:c r="K1710" s="11" t="str">
        <x:v>待核</x:v>
      </x:c>
      <x:c r="L1710" s="11" t="str">
        <x:v>精确发布时间未核验</x:v>
      </x:c>
      <x:c r="M1710" s="11" t="str">
        <x:v>截止日前日期，盘中时分未核</x:v>
      </x:c>
    </x:row>
    <x:row r="1711" ht="23" customHeight="1">
      <x:c r="A1711" s="11" t="str">
        <x:v>I014</x:v>
      </x:c>
      <x:c r="B1711" s="11" t="str">
        <x:v>300760.SZ</x:v>
      </x:c>
      <x:c r="C1711" s="11" t="str">
        <x:v>FXGain2025H1</x:v>
      </x:c>
      <x:c r="D1711" s="39" t="n">
        <x:v>164.729362</x:v>
      </x:c>
      <x:c r="E1711" s="11" t="str">
        <x:v>CNY</x:v>
      </x:c>
      <x:c r="F1711" s="11" t="str">
        <x:v>million</x:v>
      </x:c>
      <x:c r="G1711" s="11" t="str">
        <x:v>2025H1</x:v>
      </x:c>
      <x:c r="H1711" s="11" t="str">
        <x:v>2026-08-29</x:v>
      </x:c>
      <x:c r="I1711" s="11" t="str">
        <x:v>https://static.cninfo.com.cn/finalpage/2026-08-29/1225529856.PDF</x:v>
      </x:c>
      <x:c r="J1711" s="11" t="str"/>
      <x:c r="K1711" s="11" t="str">
        <x:v>待核</x:v>
      </x:c>
      <x:c r="L1711" s="11" t="str">
        <x:v>精确发布时间未核验</x:v>
      </x:c>
      <x:c r="M1711" s="11" t="str">
        <x:v>截止日前日期，盘中时分未核</x:v>
      </x:c>
    </x:row>
    <x:row r="1712" ht="23" customHeight="1">
      <x:c r="A1712" s="11" t="str">
        <x:v>I064</x:v>
      </x:c>
      <x:c r="B1712" s="11" t="str">
        <x:v>09999.HK</x:v>
      </x:c>
      <x:c r="C1712" s="11" t="str">
        <x:v>nonGAAPDilutedEPSCNY</x:v>
      </x:c>
      <x:c r="D1712" s="39" t="n">
        <x:v>11.6</x:v>
      </x:c>
      <x:c r="E1712" s="11" t="str">
        <x:v>CNY</x:v>
      </x:c>
      <x:c r="F1712" s="11" t="str">
        <x:v>per ordinary share</x:v>
      </x:c>
      <x:c r="G1712" s="11" t="str">
        <x:v>FY2025</x:v>
      </x:c>
      <x:c r="H1712" s="11" t="str">
        <x:v>2026-02-11</x:v>
      </x:c>
      <x:c r="I1712" s="11" t="str">
        <x:v>https://ir.netease.com/static-files/0c5eceec-d577-4822-a112-d23d7d3cf83a</x:v>
      </x:c>
      <x:c r="J1712" s="11" t="str">
        <x:v>reported input; field suffix retains original scale</x:v>
      </x:c>
      <x:c r="K1712" s="11" t="str">
        <x:v>待核</x:v>
      </x:c>
      <x:c r="L1712" s="11" t="str">
        <x:v>精确发布时间未核验</x:v>
      </x:c>
      <x:c r="M1712" s="11" t="str">
        <x:v>截止日前日期，盘中时分未核</x:v>
      </x:c>
    </x:row>
    <x:row r="1713" ht="23" customHeight="1">
      <x:c r="A1713" s="11" t="str">
        <x:v>I064</x:v>
      </x:c>
      <x:c r="B1713" s="11" t="str">
        <x:v>09999.HK</x:v>
      </x:c>
      <x:c r="C1713" s="11" t="str">
        <x:v>nonGAAPProfitAttributableCNYmillion</x:v>
      </x:c>
      <x:c r="D1713" s="39" t="n">
        <x:v>37343.702</x:v>
      </x:c>
      <x:c r="E1713" s="11" t="str">
        <x:v>CNY</x:v>
      </x:c>
      <x:c r="F1713" s="11" t="str">
        <x:v>million</x:v>
      </x:c>
      <x:c r="G1713" s="11" t="str">
        <x:v>FY2025</x:v>
      </x:c>
      <x:c r="H1713" s="11" t="str">
        <x:v>2026-02-11</x:v>
      </x:c>
      <x:c r="I1713" s="11" t="str">
        <x:v>https://ir.netease.com/static-files/0c5eceec-d577-4822-a112-d23d7d3cf83a</x:v>
      </x:c>
      <x:c r="J1713" s="11" t="str">
        <x:v>reported input; field suffix retains original scale</x:v>
      </x:c>
      <x:c r="K1713" s="11" t="str">
        <x:v>待核</x:v>
      </x:c>
      <x:c r="L1713" s="11" t="str">
        <x:v>精确发布时间未核验</x:v>
      </x:c>
      <x:c r="M1713" s="11" t="str">
        <x:v>截止日前日期，盘中时分未核</x:v>
      </x:c>
    </x:row>
    <x:row r="1714" ht="23" customHeight="1">
      <x:c r="A1714" s="11" t="str">
        <x:v>I064</x:v>
      </x:c>
      <x:c r="B1714" s="11" t="str">
        <x:v>09999.HK</x:v>
      </x:c>
      <x:c r="C1714" s="11" t="str">
        <x:v>revenueCNYmillion</x:v>
      </x:c>
      <x:c r="D1714" s="39" t="n">
        <x:v>112625.807</x:v>
      </x:c>
      <x:c r="E1714" s="11" t="str">
        <x:v>CNY</x:v>
      </x:c>
      <x:c r="F1714" s="11" t="str">
        <x:v>million</x:v>
      </x:c>
      <x:c r="G1714" s="11" t="str">
        <x:v>FY2025</x:v>
      </x:c>
      <x:c r="H1714" s="11" t="str">
        <x:v>2026-02-11</x:v>
      </x:c>
      <x:c r="I1714" s="11" t="str">
        <x:v>https://ir.netease.com/static-files/0c5eceec-d577-4822-a112-d23d7d3cf83a</x:v>
      </x:c>
      <x:c r="J1714" s="11" t="str">
        <x:v>reported input; field suffix retains original scale</x:v>
      </x:c>
      <x:c r="K1714" s="11" t="str">
        <x:v>待核</x:v>
      </x:c>
      <x:c r="L1714" s="11" t="str">
        <x:v>精确发布时间未核验</x:v>
      </x:c>
      <x:c r="M1714" s="11" t="str">
        <x:v>截止日前日期，盘中时分未核</x:v>
      </x:c>
    </x:row>
    <x:row r="1715" ht="23" customHeight="1">
      <x:c r="A1715" s="11" t="str">
        <x:v>I064</x:v>
      </x:c>
      <x:c r="B1715" s="11" t="str">
        <x:v>09999.HK</x:v>
      </x:c>
      <x:c r="C1715" s="11" t="str">
        <x:v>operatingCashFlowRoundedCNYmillion</x:v>
      </x:c>
      <x:c r="D1715" s="39" t="n">
        <x:v>50700</x:v>
      </x:c>
      <x:c r="E1715" s="11" t="str">
        <x:v>CNY</x:v>
      </x:c>
      <x:c r="F1715" s="11" t="str">
        <x:v>million</x:v>
      </x:c>
      <x:c r="G1715" s="11" t="str">
        <x:v>FY2025</x:v>
      </x:c>
      <x:c r="H1715" s="11" t="str">
        <x:v>2026-02-11</x:v>
      </x:c>
      <x:c r="I1715" s="11" t="str">
        <x:v>https://ir.netease.com/static-files/0c5eceec-d577-4822-a112-d23d7d3cf83a</x:v>
      </x:c>
      <x:c r="J1715" s="11" t="str">
        <x:v>reported input; field suffix retains original scale</x:v>
      </x:c>
      <x:c r="K1715" s="11" t="str">
        <x:v>待核</x:v>
      </x:c>
      <x:c r="L1715" s="11" t="str">
        <x:v>精确发布时间未核验</x:v>
      </x:c>
      <x:c r="M1715" s="11" t="str">
        <x:v>截止日前日期，盘中时分未核</x:v>
      </x:c>
    </x:row>
    <x:row r="1716" ht="23" customHeight="1">
      <x:c r="A1716" s="11" t="str">
        <x:v>I064</x:v>
      </x:c>
      <x:c r="B1716" s="11" t="str">
        <x:v>09999.HK</x:v>
      </x:c>
      <x:c r="C1716" s="11" t="str">
        <x:v>historicalPEAtResearchFX</x:v>
      </x:c>
      <x:c r="D1716" s="39" t="n">
        <x:v>15.1645768025</x:v>
      </x:c>
      <x:c r="E1716" s="11" t="str">
        <x:v>CNY</x:v>
      </x:c>
      <x:c r="F1716" s="11" t="str">
        <x:v>multiple</x:v>
      </x:c>
      <x:c r="G1716" s="11" t="str">
        <x:v>FY2025</x:v>
      </x:c>
      <x:c r="H1716" s="11" t="str">
        <x:v>2026-02-11</x:v>
      </x:c>
      <x:c r="I1716" s="11" t="str">
        <x:v>https://ir.netease.com/static-files/0c5eceec-d577-4822-a112-d23d7d3cf83a</x:v>
      </x:c>
      <x:c r="J1716" s="11" t="str">
        <x:v>research calculation from cited inputs</x:v>
      </x:c>
      <x:c r="K1716" s="11" t="str">
        <x:v>待核</x:v>
      </x:c>
      <x:c r="L1716" s="11" t="str">
        <x:v>精确发布时间未核验</x:v>
      </x:c>
      <x:c r="M1716" s="11" t="str">
        <x:v>截止日前日期，盘中时分未核</x:v>
      </x:c>
    </x:row>
    <x:row r="1717" ht="23" customHeight="1">
      <x:c r="A1717" s="11" t="str">
        <x:v>I064</x:v>
      </x:c>
      <x:c r="B1717" s="11" t="str">
        <x:v>09999.HK</x:v>
      </x:c>
      <x:c r="C1717" s="11" t="str">
        <x:v>nonGAAPDilutedEPSCNY</x:v>
      </x:c>
      <x:c r="D1717" s="39" t="n">
        <x:v>5.9</x:v>
      </x:c>
      <x:c r="E1717" s="11" t="str">
        <x:v>CNY</x:v>
      </x:c>
      <x:c r="F1717" s="11" t="str">
        <x:v>per ordinary share</x:v>
      </x:c>
      <x:c r="G1717" s="11" t="str">
        <x:v>2026H1</x:v>
      </x:c>
      <x:c r="H1717" s="11" t="str">
        <x:v>2026-08-20</x:v>
      </x:c>
      <x:c r="I1717" s="11" t="str">
        <x:v>https://ir.netease.com/static-files/6848caa4-627a-474c-9fce-934334ba3976</x:v>
      </x:c>
      <x:c r="J1717" s="11" t="str">
        <x:v>reported input; original field suffix retains scale</x:v>
      </x:c>
      <x:c r="K1717" s="11" t="str">
        <x:v>待核</x:v>
      </x:c>
      <x:c r="L1717" s="11" t="str">
        <x:v>精确发布时间未核验</x:v>
      </x:c>
      <x:c r="M1717" s="11" t="str">
        <x:v>截止日前日期，盘中时分未核</x:v>
      </x:c>
    </x:row>
    <x:row r="1718" ht="23" customHeight="1">
      <x:c r="A1718" s="11" t="str">
        <x:v>I064</x:v>
      </x:c>
      <x:c r="B1718" s="11" t="str">
        <x:v>09999.HK</x:v>
      </x:c>
      <x:c r="C1718" s="11" t="str">
        <x:v>nonGAAPProfitAttributableCNYmillion</x:v>
      </x:c>
      <x:c r="D1718" s="39" t="n">
        <x:v>19021.538</x:v>
      </x:c>
      <x:c r="E1718" s="11" t="str">
        <x:v>CNY</x:v>
      </x:c>
      <x:c r="F1718" s="11" t="str">
        <x:v>million</x:v>
      </x:c>
      <x:c r="G1718" s="11" t="str">
        <x:v>2026H1</x:v>
      </x:c>
      <x:c r="H1718" s="11" t="str">
        <x:v>2026-08-20</x:v>
      </x:c>
      <x:c r="I1718" s="11" t="str">
        <x:v>https://ir.netease.com/static-files/6848caa4-627a-474c-9fce-934334ba3976</x:v>
      </x:c>
      <x:c r="J1718" s="11" t="str">
        <x:v>reported input; original field suffix retains scale</x:v>
      </x:c>
      <x:c r="K1718" s="11" t="str">
        <x:v>待核</x:v>
      </x:c>
      <x:c r="L1718" s="11" t="str">
        <x:v>精确发布时间未核验</x:v>
      </x:c>
      <x:c r="M1718" s="11" t="str">
        <x:v>截止日前日期，盘中时分未核</x:v>
      </x:c>
    </x:row>
    <x:row r="1719" ht="23" customHeight="1">
      <x:c r="A1719" s="11" t="str">
        <x:v>I064</x:v>
      </x:c>
      <x:c r="B1719" s="11" t="str">
        <x:v>09999.HK</x:v>
      </x:c>
      <x:c r="C1719" s="11" t="str">
        <x:v>GAAPProfitAttributableCNYmillion</x:v>
      </x:c>
      <x:c r="D1719" s="39" t="n">
        <x:v>17654.762</x:v>
      </x:c>
      <x:c r="E1719" s="11" t="str">
        <x:v>CNY</x:v>
      </x:c>
      <x:c r="F1719" s="11" t="str">
        <x:v>million</x:v>
      </x:c>
      <x:c r="G1719" s="11" t="str">
        <x:v>2026H1</x:v>
      </x:c>
      <x:c r="H1719" s="11" t="str">
        <x:v>2026-08-20</x:v>
      </x:c>
      <x:c r="I1719" s="11" t="str">
        <x:v>https://ir.netease.com/static-files/6848caa4-627a-474c-9fce-934334ba3976</x:v>
      </x:c>
      <x:c r="J1719" s="11" t="str">
        <x:v>reported input; original field suffix retains scale</x:v>
      </x:c>
      <x:c r="K1719" s="11" t="str">
        <x:v>待核</x:v>
      </x:c>
      <x:c r="L1719" s="11" t="str">
        <x:v>精确发布时间未核验</x:v>
      </x:c>
      <x:c r="M1719" s="11" t="str">
        <x:v>截止日前日期，盘中时分未核</x:v>
      </x:c>
    </x:row>
    <x:row r="1720" ht="23" customHeight="1">
      <x:c r="A1720" s="11" t="str">
        <x:v>I064</x:v>
      </x:c>
      <x:c r="B1720" s="11" t="str">
        <x:v>09999.HK</x:v>
      </x:c>
      <x:c r="C1720" s="11" t="str">
        <x:v>revenueCNYmillion</x:v>
      </x:c>
      <x:c r="D1720" s="39" t="n">
        <x:v>60697.827</x:v>
      </x:c>
      <x:c r="E1720" s="11" t="str">
        <x:v>CNY</x:v>
      </x:c>
      <x:c r="F1720" s="11" t="str">
        <x:v>million</x:v>
      </x:c>
      <x:c r="G1720" s="11" t="str">
        <x:v>2026H1</x:v>
      </x:c>
      <x:c r="H1720" s="11" t="str">
        <x:v>2026-08-20</x:v>
      </x:c>
      <x:c r="I1720" s="11" t="str">
        <x:v>https://ir.netease.com/static-files/6848caa4-627a-474c-9fce-934334ba3976</x:v>
      </x:c>
      <x:c r="J1720" s="11" t="str">
        <x:v>reported input; original field suffix retains scale</x:v>
      </x:c>
      <x:c r="K1720" s="11" t="str">
        <x:v>待核</x:v>
      </x:c>
      <x:c r="L1720" s="11" t="str">
        <x:v>精确发布时间未核验</x:v>
      </x:c>
      <x:c r="M1720" s="11" t="str">
        <x:v>截止日前日期，盘中时分未核</x:v>
      </x:c>
    </x:row>
    <x:row r="1721" ht="23" customHeight="1">
      <x:c r="A1721" s="11" t="str">
        <x:v>I064</x:v>
      </x:c>
      <x:c r="B1721" s="11" t="str">
        <x:v>09999.HK</x:v>
      </x:c>
      <x:c r="C1721" s="11" t="str">
        <x:v>operatingIncomeCNYmillion</x:v>
      </x:c>
      <x:c r="D1721" s="39" t="n">
        <x:v>24746.171</x:v>
      </x:c>
      <x:c r="E1721" s="11" t="str">
        <x:v>CNY</x:v>
      </x:c>
      <x:c r="F1721" s="11" t="str">
        <x:v>million</x:v>
      </x:c>
      <x:c r="G1721" s="11" t="str">
        <x:v>2026H1</x:v>
      </x:c>
      <x:c r="H1721" s="11" t="str">
        <x:v>2026-08-20</x:v>
      </x:c>
      <x:c r="I1721" s="11" t="str">
        <x:v>https://ir.netease.com/static-files/6848caa4-627a-474c-9fce-934334ba3976</x:v>
      </x:c>
      <x:c r="J1721" s="11" t="str">
        <x:v>reported input; original field suffix retains scale</x:v>
      </x:c>
      <x:c r="K1721" s="11" t="str">
        <x:v>待核</x:v>
      </x:c>
      <x:c r="L1721" s="11" t="str">
        <x:v>精确发布时间未核验</x:v>
      </x:c>
      <x:c r="M1721" s="11" t="str">
        <x:v>截止日前日期，盘中时分未核</x:v>
      </x:c>
    </x:row>
    <x:row r="1722" ht="23" customHeight="1">
      <x:c r="A1722" s="11" t="str">
        <x:v>I064</x:v>
      </x:c>
      <x:c r="B1722" s="11" t="str">
        <x:v>09999.HK</x:v>
      </x:c>
      <x:c r="C1722" s="11" t="str">
        <x:v>operatingCashFlowCNYmillion</x:v>
      </x:c>
      <x:c r="D1722" s="39" t="n">
        <x:v>23706</x:v>
      </x:c>
      <x:c r="E1722" s="11" t="str">
        <x:v>CNY</x:v>
      </x:c>
      <x:c r="F1722" s="11" t="str">
        <x:v>million</x:v>
      </x:c>
      <x:c r="G1722" s="11" t="str">
        <x:v>2026H1</x:v>
      </x:c>
      <x:c r="H1722" s="11" t="str">
        <x:v>2026-08-20</x:v>
      </x:c>
      <x:c r="I1722" s="11" t="str">
        <x:v>https://ir.netease.com/static-files/6848caa4-627a-474c-9fce-934334ba3976</x:v>
      </x:c>
      <x:c r="J1722" s="11" t="str">
        <x:v>reported input; original field suffix retains scale</x:v>
      </x:c>
      <x:c r="K1722" s="11" t="str">
        <x:v>待核</x:v>
      </x:c>
      <x:c r="L1722" s="11" t="str">
        <x:v>精确发布时间未核验</x:v>
      </x:c>
      <x:c r="M1722" s="11" t="str">
        <x:v>截止日前日期，盘中时分未核</x:v>
      </x:c>
    </x:row>
    <x:row r="1723" ht="23" customHeight="1">
      <x:c r="A1723" s="11" t="str">
        <x:v>I064</x:v>
      </x:c>
      <x:c r="B1723" s="11" t="str">
        <x:v>09999.HK</x:v>
      </x:c>
      <x:c r="C1723" s="11" t="str">
        <x:v>researchCashAfterEquipmentAndContentCNYmillion</x:v>
      </x:c>
      <x:c r="D1723" s="39" t="n">
        <x:v>23023.494</x:v>
      </x:c>
      <x:c r="E1723" s="11" t="str">
        <x:v>CNY</x:v>
      </x:c>
      <x:c r="F1723" s="11" t="str">
        <x:v>million</x:v>
      </x:c>
      <x:c r="G1723" s="11" t="str">
        <x:v>2026H1</x:v>
      </x:c>
      <x:c r="H1723" s="11" t="str">
        <x:v>2026-08-20</x:v>
      </x:c>
      <x:c r="I1723" s="11" t="str">
        <x:v>https://ir.netease.com/static-files/6848caa4-627a-474c-9fce-934334ba3976</x:v>
      </x:c>
      <x:c r="J1723" s="11" t="str">
        <x:v>research calculation from primary inputs</x:v>
      </x:c>
      <x:c r="K1723" s="11" t="str">
        <x:v>待核</x:v>
      </x:c>
      <x:c r="L1723" s="11" t="str">
        <x:v>精确发布时间未核验</x:v>
      </x:c>
      <x:c r="M1723" s="11" t="str">
        <x:v>截止日前日期，盘中时分未核</x:v>
      </x:c>
    </x:row>
    <x:row r="1724" ht="23" customHeight="1">
      <x:c r="A1724" s="11" t="str">
        <x:v>I064</x:v>
      </x:c>
      <x:c r="B1724" s="11" t="str">
        <x:v>09999.HK</x:v>
      </x:c>
      <x:c r="C1724" s="11" t="str">
        <x:v>netCashRoundedCNYmillion</x:v>
      </x:c>
      <x:c r="D1724" s="39" t="n">
        <x:v>167500</x:v>
      </x:c>
      <x:c r="E1724" s="11" t="str">
        <x:v>CNY</x:v>
      </x:c>
      <x:c r="F1724" s="11" t="str">
        <x:v>million</x:v>
      </x:c>
      <x:c r="G1724" s="11" t="str">
        <x:v>2026H1</x:v>
      </x:c>
      <x:c r="H1724" s="11" t="str">
        <x:v>2026-08-20</x:v>
      </x:c>
      <x:c r="I1724" s="11" t="str">
        <x:v>https://ir.netease.com/static-files/6848caa4-627a-474c-9fce-934334ba3976</x:v>
      </x:c>
      <x:c r="J1724" s="11" t="str">
        <x:v>reported input; original field suffix retains scale</x:v>
      </x:c>
      <x:c r="K1724" s="11" t="str">
        <x:v>待核</x:v>
      </x:c>
      <x:c r="L1724" s="11" t="str">
        <x:v>精确发布时间未核验</x:v>
      </x:c>
      <x:c r="M1724" s="11" t="str">
        <x:v>截止日前日期，盘中时分未核</x:v>
      </x:c>
    </x:row>
    <x:row r="1725" ht="23" customHeight="1">
      <x:c r="A1725" s="11" t="str">
        <x:v>I022</x:v>
      </x:c>
      <x:c r="B1725" s="11" t="str">
        <x:v>03759.HK</x:v>
      </x:c>
      <x:c r="C1725" s="11" t="str">
        <x:v>revenue</x:v>
      </x:c>
      <x:c r="D1725" s="39" t="n">
        <x:v>7595.424</x:v>
      </x:c>
      <x:c r="E1725" s="11" t="str">
        <x:v>CNY</x:v>
      </x:c>
      <x:c r="F1725" s="11" t="str">
        <x:v>million</x:v>
      </x:c>
      <x:c r="G1725" s="11" t="str">
        <x:v>2026H1 IFRS</x:v>
      </x:c>
      <x:c r="H1725" s="11" t="str">
        <x:v>2026-09-23</x:v>
      </x:c>
      <x:c r="I1725" s="11" t="str">
        <x:v>https://iis.aastocks.com/20260923/12343058-0.PDF</x:v>
      </x:c>
      <x:c r="J1725" s="11" t="str">
        <x:v>首度公开日期 2026-08-20</x:v>
      </x:c>
      <x:c r="K1725" s="11" t="str">
        <x:v>2026-08-20</x:v>
      </x:c>
      <x:c r="L1725" s="11" t="str">
        <x:v>精确发布时间未核验</x:v>
      </x:c>
      <x:c r="M1725" s="11" t="str">
        <x:v>截止日前日期，盘中时分未核</x:v>
      </x:c>
    </x:row>
    <x:row r="1726" ht="23" customHeight="1">
      <x:c r="A1726" s="11" t="str">
        <x:v>I022</x:v>
      </x:c>
      <x:c r="B1726" s="11" t="str">
        <x:v>03759.HK</x:v>
      </x:c>
      <x:c r="C1726" s="11" t="str">
        <x:v>previousRevenue</x:v>
      </x:c>
      <x:c r="D1726" s="39" t="n">
        <x:v>6440.951</x:v>
      </x:c>
      <x:c r="E1726" s="11" t="str">
        <x:v>CNY</x:v>
      </x:c>
      <x:c r="F1726" s="11" t="str">
        <x:v>million</x:v>
      </x:c>
      <x:c r="G1726" s="11" t="str">
        <x:v>2025H1</x:v>
      </x:c>
      <x:c r="H1726" s="11" t="str">
        <x:v>2026-09-23</x:v>
      </x:c>
      <x:c r="I1726" s="11" t="str">
        <x:v>https://iis.aastocks.com/20260923/12343058-0.PDF</x:v>
      </x:c>
      <x:c r="J1726" s="11" t="str">
        <x:v>首度公开日期 2026-08-20</x:v>
      </x:c>
      <x:c r="K1726" s="11" t="str">
        <x:v>2026-08-20</x:v>
      </x:c>
      <x:c r="L1726" s="11" t="str">
        <x:v>精确发布时间未核验</x:v>
      </x:c>
      <x:c r="M1726" s="11" t="str">
        <x:v>截止日前日期，盘中时分未核</x:v>
      </x:c>
    </x:row>
    <x:row r="1727" ht="23" customHeight="1">
      <x:c r="A1727" s="11" t="str">
        <x:v>I022</x:v>
      </x:c>
      <x:c r="B1727" s="11" t="str">
        <x:v>03759.HK</x:v>
      </x:c>
      <x:c r="C1727" s="11" t="str">
        <x:v>COGS</x:v>
      </x:c>
      <x:c r="D1727" s="39" t="n">
        <x:v>5120.555</x:v>
      </x:c>
      <x:c r="E1727" s="11" t="str">
        <x:v>CNY</x:v>
      </x:c>
      <x:c r="F1727" s="11" t="str">
        <x:v>million</x:v>
      </x:c>
      <x:c r="G1727" s="11" t="str">
        <x:v>2026H1 IFRS</x:v>
      </x:c>
      <x:c r="H1727" s="11" t="str">
        <x:v>2026-09-23</x:v>
      </x:c>
      <x:c r="I1727" s="11" t="str">
        <x:v>https://iis.aastocks.com/20260923/12343058-0.PDF</x:v>
      </x:c>
      <x:c r="J1727" s="11" t="str">
        <x:v>首度公开日期 2026-08-20</x:v>
      </x:c>
      <x:c r="K1727" s="11" t="str">
        <x:v>2026-08-20</x:v>
      </x:c>
      <x:c r="L1727" s="11" t="str">
        <x:v>精确发布时间未核验</x:v>
      </x:c>
      <x:c r="M1727" s="11" t="str">
        <x:v>截止日前日期，盘中时分未核</x:v>
      </x:c>
    </x:row>
    <x:row r="1728" ht="23" customHeight="1">
      <x:c r="A1728" s="11" t="str">
        <x:v>I022</x:v>
      </x:c>
      <x:c r="B1728" s="11" t="str">
        <x:v>03759.HK</x:v>
      </x:c>
      <x:c r="C1728" s="11" t="str">
        <x:v>grossProfit</x:v>
      </x:c>
      <x:c r="D1728" s="39" t="n">
        <x:v>2474.869</x:v>
      </x:c>
      <x:c r="E1728" s="11" t="str">
        <x:v>CNY</x:v>
      </x:c>
      <x:c r="F1728" s="11" t="str">
        <x:v>million</x:v>
      </x:c>
      <x:c r="G1728" s="11" t="str">
        <x:v>2026H1 IFRS</x:v>
      </x:c>
      <x:c r="H1728" s="11" t="str">
        <x:v>2026-09-23</x:v>
      </x:c>
      <x:c r="I1728" s="11" t="str">
        <x:v>https://iis.aastocks.com/20260923/12343058-0.PDF</x:v>
      </x:c>
      <x:c r="J1728" s="11" t="str">
        <x:v>首度公开日期 2026-08-20</x:v>
      </x:c>
      <x:c r="K1728" s="11" t="str">
        <x:v>2026-08-20</x:v>
      </x:c>
      <x:c r="L1728" s="11" t="str">
        <x:v>精确发布时间未核验</x:v>
      </x:c>
      <x:c r="M1728" s="11" t="str">
        <x:v>截止日前日期，盘中时分未核</x:v>
      </x:c>
    </x:row>
    <x:row r="1729" ht="23" customHeight="1">
      <x:c r="A1729" s="11" t="str">
        <x:v>I022</x:v>
      </x:c>
      <x:c r="B1729" s="11" t="str">
        <x:v>03759.HK</x:v>
      </x:c>
      <x:c r="C1729" s="11" t="str">
        <x:v>parentProfit</x:v>
      </x:c>
      <x:c r="D1729" s="39" t="n">
        <x:v>750.194</x:v>
      </x:c>
      <x:c r="E1729" s="11" t="str">
        <x:v>CNY</x:v>
      </x:c>
      <x:c r="F1729" s="11" t="str">
        <x:v>million</x:v>
      </x:c>
      <x:c r="G1729" s="11" t="str">
        <x:v>2026H1 IFRS</x:v>
      </x:c>
      <x:c r="H1729" s="11" t="str">
        <x:v>2026-09-23</x:v>
      </x:c>
      <x:c r="I1729" s="11" t="str">
        <x:v>https://iis.aastocks.com/20260923/12343058-0.PDF</x:v>
      </x:c>
      <x:c r="J1729" s="11" t="str">
        <x:v>首度公开日期 2026-08-20</x:v>
      </x:c>
      <x:c r="K1729" s="11" t="str">
        <x:v>2026-08-20</x:v>
      </x:c>
      <x:c r="L1729" s="11" t="str">
        <x:v>精确发布时间未核验</x:v>
      </x:c>
      <x:c r="M1729" s="11" t="str">
        <x:v>截止日前日期，盘中时分未核</x:v>
      </x:c>
    </x:row>
    <x:row r="1730" ht="23" customHeight="1">
      <x:c r="A1730" s="11" t="str">
        <x:v>I022</x:v>
      </x:c>
      <x:c r="B1730" s="11" t="str">
        <x:v>03759.HK</x:v>
      </x:c>
      <x:c r="C1730" s="11" t="str">
        <x:v>consolidatedProfit</x:v>
      </x:c>
      <x:c r="D1730" s="39" t="n">
        <x:v>711.703</x:v>
      </x:c>
      <x:c r="E1730" s="11" t="str">
        <x:v>CNY</x:v>
      </x:c>
      <x:c r="F1730" s="11" t="str">
        <x:v>million</x:v>
      </x:c>
      <x:c r="G1730" s="11" t="str">
        <x:v>2026H1 IFRS</x:v>
      </x:c>
      <x:c r="H1730" s="11" t="str">
        <x:v>2026-09-23</x:v>
      </x:c>
      <x:c r="I1730" s="11" t="str">
        <x:v>https://iis.aastocks.com/20260923/12343058-0.PDF</x:v>
      </x:c>
      <x:c r="J1730" s="11" t="str">
        <x:v>首度公开日期 2026-08-20</x:v>
      </x:c>
      <x:c r="K1730" s="11" t="str">
        <x:v>2026-08-20</x:v>
      </x:c>
      <x:c r="L1730" s="11" t="str">
        <x:v>精确发布时间未核验</x:v>
      </x:c>
      <x:c r="M1730" s="11" t="str">
        <x:v>截止日前日期，盘中时分未核</x:v>
      </x:c>
    </x:row>
    <x:row r="1731" ht="23" customHeight="1">
      <x:c r="A1731" s="11" t="str">
        <x:v>I022</x:v>
      </x:c>
      <x:c r="B1731" s="11" t="str">
        <x:v>03759.HK</x:v>
      </x:c>
      <x:c r="C1731" s="11" t="str">
        <x:v>minorityLoss</x:v>
      </x:c>
      <x:c r="D1731" s="39" t="n">
        <x:v>38.491</x:v>
      </x:c>
      <x:c r="E1731" s="11" t="str">
        <x:v>CNY</x:v>
      </x:c>
      <x:c r="F1731" s="11" t="str">
        <x:v>million</x:v>
      </x:c>
      <x:c r="G1731" s="11" t="str">
        <x:v>2026H1 IFRS</x:v>
      </x:c>
      <x:c r="H1731" s="11" t="str">
        <x:v>2026-09-23</x:v>
      </x:c>
      <x:c r="I1731" s="11" t="str">
        <x:v>https://iis.aastocks.com/20260923/12343058-0.PDF</x:v>
      </x:c>
      <x:c r="J1731" s="11" t="str">
        <x:v>首度公开日期 2026-08-20</x:v>
      </x:c>
      <x:c r="K1731" s="11" t="str">
        <x:v>2026-08-20</x:v>
      </x:c>
      <x:c r="L1731" s="11" t="str">
        <x:v>精确发布时间未核验</x:v>
      </x:c>
      <x:c r="M1731" s="11" t="str">
        <x:v>截止日前日期，盘中时分未核</x:v>
      </x:c>
    </x:row>
    <x:row r="1732" ht="23" customHeight="1">
      <x:c r="A1732" s="11" t="str">
        <x:v>I022</x:v>
      </x:c>
      <x:c r="B1732" s="11" t="str">
        <x:v>03759.HK</x:v>
      </x:c>
      <x:c r="C1732" s="11" t="str">
        <x:v>adjustedParentProfit</x:v>
      </x:c>
      <x:c r="D1732" s="39" t="n">
        <x:v>909.013</x:v>
      </x:c>
      <x:c r="E1732" s="11" t="str">
        <x:v>CNY</x:v>
      </x:c>
      <x:c r="F1732" s="11" t="str">
        <x:v>million</x:v>
      </x:c>
      <x:c r="G1732" s="11" t="str">
        <x:v>2026H1 IFRS</x:v>
      </x:c>
      <x:c r="H1732" s="11" t="str">
        <x:v>2026-09-23</x:v>
      </x:c>
      <x:c r="I1732" s="11" t="str">
        <x:v>https://iis.aastocks.com/20260923/12343058-0.PDF</x:v>
      </x:c>
      <x:c r="J1732" s="11" t="str">
        <x:v>首度公开日期 2026-08-20</x:v>
      </x:c>
      <x:c r="K1732" s="11" t="str">
        <x:v>2026-08-20</x:v>
      </x:c>
      <x:c r="L1732" s="11" t="str">
        <x:v>精确发布时间未核验</x:v>
      </x:c>
      <x:c r="M1732" s="11" t="str">
        <x:v>截止日前日期，盘中时分未核</x:v>
      </x:c>
    </x:row>
    <x:row r="1733" ht="23" customHeight="1">
      <x:c r="A1733" s="11" t="str">
        <x:v>I022</x:v>
      </x:c>
      <x:c r="B1733" s="11" t="str">
        <x:v>03759.HK</x:v>
      </x:c>
      <x:c r="C1733" s="11" t="str">
        <x:v>previousAdjustedProfit</x:v>
      </x:c>
      <x:c r="D1733" s="39" t="n">
        <x:v>755.701</x:v>
      </x:c>
      <x:c r="E1733" s="11" t="str">
        <x:v>CNY</x:v>
      </x:c>
      <x:c r="F1733" s="11" t="str">
        <x:v>million</x:v>
      </x:c>
      <x:c r="G1733" s="11" t="str">
        <x:v>2025H1</x:v>
      </x:c>
      <x:c r="H1733" s="11" t="str">
        <x:v>2026-09-23</x:v>
      </x:c>
      <x:c r="I1733" s="11" t="str">
        <x:v>https://iis.aastocks.com/20260923/12343058-0.PDF</x:v>
      </x:c>
      <x:c r="J1733" s="11" t="str">
        <x:v>首度公开日期 2026-08-20</x:v>
      </x:c>
      <x:c r="K1733" s="11" t="str">
        <x:v>2026-08-20</x:v>
      </x:c>
      <x:c r="L1733" s="11" t="str">
        <x:v>精确发布时间未核验</x:v>
      </x:c>
      <x:c r="M1733" s="11" t="str">
        <x:v>截止日前日期，盘中时分未核</x:v>
      </x:c>
    </x:row>
    <x:row r="1734" ht="23" customHeight="1">
      <x:c r="A1734" s="11" t="str">
        <x:v>I022</x:v>
      </x:c>
      <x:c r="B1734" s="11" t="str">
        <x:v>03759.HK</x:v>
      </x:c>
      <x:c r="C1734" s="11" t="str">
        <x:v>labRevenue</x:v>
      </x:c>
      <x:c r="D1734" s="39" t="n">
        <x:v>4633.511</x:v>
      </x:c>
      <x:c r="E1734" s="11" t="str">
        <x:v>CNY</x:v>
      </x:c>
      <x:c r="F1734" s="11" t="str">
        <x:v>million</x:v>
      </x:c>
      <x:c r="G1734" s="11" t="str">
        <x:v>2026H1 IFRS</x:v>
      </x:c>
      <x:c r="H1734" s="11" t="str">
        <x:v>2026-09-23</x:v>
      </x:c>
      <x:c r="I1734" s="11" t="str">
        <x:v>https://iis.aastocks.com/20260923/12343058-0.PDF</x:v>
      </x:c>
      <x:c r="J1734" s="11" t="str">
        <x:v>首度公开日期 2026-08-20</x:v>
      </x:c>
      <x:c r="K1734" s="11" t="str">
        <x:v>2026-08-20</x:v>
      </x:c>
      <x:c r="L1734" s="11" t="str">
        <x:v>精确发布时间未核验</x:v>
      </x:c>
      <x:c r="M1734" s="11" t="str">
        <x:v>截止日前日期，盘中时分未核</x:v>
      </x:c>
    </x:row>
    <x:row r="1735" ht="23" customHeight="1">
      <x:c r="A1735" s="11" t="str">
        <x:v>I022</x:v>
      </x:c>
      <x:c r="B1735" s="11" t="str">
        <x:v>03759.HK</x:v>
      </x:c>
      <x:c r="C1735" s="11" t="str">
        <x:v>cdmoRevenue</x:v>
      </x:c>
      <x:c r="D1735" s="39" t="n">
        <x:v>1884.103</x:v>
      </x:c>
      <x:c r="E1735" s="11" t="str">
        <x:v>CNY</x:v>
      </x:c>
      <x:c r="F1735" s="11" t="str">
        <x:v>million</x:v>
      </x:c>
      <x:c r="G1735" s="11" t="str">
        <x:v>2026H1 IFRS</x:v>
      </x:c>
      <x:c r="H1735" s="11" t="str">
        <x:v>2026-09-23</x:v>
      </x:c>
      <x:c r="I1735" s="11" t="str">
        <x:v>https://iis.aastocks.com/20260923/12343058-0.PDF</x:v>
      </x:c>
      <x:c r="J1735" s="11" t="str">
        <x:v>首度公开日期 2026-08-20</x:v>
      </x:c>
      <x:c r="K1735" s="11" t="str">
        <x:v>2026-08-20</x:v>
      </x:c>
      <x:c r="L1735" s="11" t="str">
        <x:v>精确发布时间未核验</x:v>
      </x:c>
      <x:c r="M1735" s="11" t="str">
        <x:v>截止日前日期，盘中时分未核</x:v>
      </x:c>
    </x:row>
    <x:row r="1736" ht="23" customHeight="1">
      <x:c r="A1736" s="11" t="str">
        <x:v>I022</x:v>
      </x:c>
      <x:c r="B1736" s="11" t="str">
        <x:v>03759.HK</x:v>
      </x:c>
      <x:c r="C1736" s="11" t="str">
        <x:v>clinicalRevenue</x:v>
      </x:c>
      <x:c r="D1736" s="39" t="n">
        <x:v>1068.521</x:v>
      </x:c>
      <x:c r="E1736" s="11" t="str">
        <x:v>CNY</x:v>
      </x:c>
      <x:c r="F1736" s="11" t="str">
        <x:v>million</x:v>
      </x:c>
      <x:c r="G1736" s="11" t="str">
        <x:v>2026H1 IFRS</x:v>
      </x:c>
      <x:c r="H1736" s="11" t="str">
        <x:v>2026-09-23</x:v>
      </x:c>
      <x:c r="I1736" s="11" t="str">
        <x:v>https://iis.aastocks.com/20260923/12343058-0.PDF</x:v>
      </x:c>
      <x:c r="J1736" s="11" t="str">
        <x:v>首度公开日期 2026-08-20</x:v>
      </x:c>
      <x:c r="K1736" s="11" t="str">
        <x:v>2026-08-20</x:v>
      </x:c>
      <x:c r="L1736" s="11" t="str">
        <x:v>精确发布时间未核验</x:v>
      </x:c>
      <x:c r="M1736" s="11" t="str">
        <x:v>截止日前日期，盘中时分未核</x:v>
      </x:c>
    </x:row>
    <x:row r="1737" ht="23" customHeight="1">
      <x:c r="A1737" s="11" t="str">
        <x:v>I022</x:v>
      </x:c>
      <x:c r="B1737" s="11" t="str">
        <x:v>03759.HK</x:v>
      </x:c>
      <x:c r="C1737" s="11" t="str">
        <x:v>otherRevenue</x:v>
      </x:c>
      <x:c r="D1737" s="39" t="n">
        <x:v>9.289</x:v>
      </x:c>
      <x:c r="E1737" s="11" t="str">
        <x:v>CNY</x:v>
      </x:c>
      <x:c r="F1737" s="11" t="str">
        <x:v>million</x:v>
      </x:c>
      <x:c r="G1737" s="11" t="str">
        <x:v>2026H1 IFRS</x:v>
      </x:c>
      <x:c r="H1737" s="11" t="str">
        <x:v>2026-09-23</x:v>
      </x:c>
      <x:c r="I1737" s="11" t="str">
        <x:v>https://iis.aastocks.com/20260923/12343058-0.PDF</x:v>
      </x:c>
      <x:c r="J1737" s="11" t="str">
        <x:v>首度公开日期 2026-08-20</x:v>
      </x:c>
      <x:c r="K1737" s="11" t="str">
        <x:v>2026-08-20</x:v>
      </x:c>
      <x:c r="L1737" s="11" t="str">
        <x:v>精确发布时间未核验</x:v>
      </x:c>
      <x:c r="M1737" s="11" t="str">
        <x:v>截止日前日期，盘中时分未核</x:v>
      </x:c>
    </x:row>
    <x:row r="1738" ht="23" customHeight="1">
      <x:c r="A1738" s="11" t="str">
        <x:v>I022</x:v>
      </x:c>
      <x:c r="B1738" s="11" t="str">
        <x:v>03759.HK</x:v>
      </x:c>
      <x:c r="C1738" s="11" t="str">
        <x:v>labGrossProfit</x:v>
      </x:c>
      <x:c r="D1738" s="39" t="n">
        <x:v>1887.893</x:v>
      </x:c>
      <x:c r="E1738" s="11" t="str">
        <x:v>CNY</x:v>
      </x:c>
      <x:c r="F1738" s="11" t="str">
        <x:v>million</x:v>
      </x:c>
      <x:c r="G1738" s="11" t="str">
        <x:v>2026H1 IFRS</x:v>
      </x:c>
      <x:c r="H1738" s="11" t="str">
        <x:v>2026-09-23</x:v>
      </x:c>
      <x:c r="I1738" s="11" t="str">
        <x:v>https://iis.aastocks.com/20260923/12343058-0.PDF</x:v>
      </x:c>
      <x:c r="J1738" s="11" t="str">
        <x:v>首度公开日期 2026-08-20</x:v>
      </x:c>
      <x:c r="K1738" s="11" t="str">
        <x:v>2026-08-20</x:v>
      </x:c>
      <x:c r="L1738" s="11" t="str">
        <x:v>精确发布时间未核验</x:v>
      </x:c>
      <x:c r="M1738" s="11" t="str">
        <x:v>截止日前日期，盘中时分未核</x:v>
      </x:c>
    </x:row>
    <x:row r="1739" ht="23" customHeight="1">
      <x:c r="A1739" s="11" t="str">
        <x:v>I022</x:v>
      </x:c>
      <x:c r="B1739" s="11" t="str">
        <x:v>03759.HK</x:v>
      </x:c>
      <x:c r="C1739" s="11" t="str">
        <x:v>cdmoGrossProfit</x:v>
      </x:c>
      <x:c r="D1739" s="39" t="n">
        <x:v>481.667</x:v>
      </x:c>
      <x:c r="E1739" s="11" t="str">
        <x:v>CNY</x:v>
      </x:c>
      <x:c r="F1739" s="11" t="str">
        <x:v>million</x:v>
      </x:c>
      <x:c r="G1739" s="11" t="str">
        <x:v>2026H1 IFRS</x:v>
      </x:c>
      <x:c r="H1739" s="11" t="str">
        <x:v>2026-09-23</x:v>
      </x:c>
      <x:c r="I1739" s="11" t="str">
        <x:v>https://iis.aastocks.com/20260923/12343058-0.PDF</x:v>
      </x:c>
      <x:c r="J1739" s="11" t="str">
        <x:v>首度公开日期 2026-08-20</x:v>
      </x:c>
      <x:c r="K1739" s="11" t="str">
        <x:v>2026-08-20</x:v>
      </x:c>
      <x:c r="L1739" s="11" t="str">
        <x:v>精确发布时间未核验</x:v>
      </x:c>
      <x:c r="M1739" s="11" t="str">
        <x:v>截止日前日期，盘中时分未核</x:v>
      </x:c>
    </x:row>
    <x:row r="1740" ht="23" customHeight="1">
      <x:c r="A1740" s="11" t="str">
        <x:v>I022</x:v>
      </x:c>
      <x:c r="B1740" s="11" t="str">
        <x:v>03759.HK</x:v>
      </x:c>
      <x:c r="C1740" s="11" t="str">
        <x:v>clinicalGrossProfit</x:v>
      </x:c>
      <x:c r="D1740" s="39" t="n">
        <x:v>104.344</x:v>
      </x:c>
      <x:c r="E1740" s="11" t="str">
        <x:v>CNY</x:v>
      </x:c>
      <x:c r="F1740" s="11" t="str">
        <x:v>million</x:v>
      </x:c>
      <x:c r="G1740" s="11" t="str">
        <x:v>2026H1 IFRS</x:v>
      </x:c>
      <x:c r="H1740" s="11" t="str">
        <x:v>2026-09-23</x:v>
      </x:c>
      <x:c r="I1740" s="11" t="str">
        <x:v>https://iis.aastocks.com/20260923/12343058-0.PDF</x:v>
      </x:c>
      <x:c r="J1740" s="11" t="str">
        <x:v>首度公开日期 2026-08-20</x:v>
      </x:c>
      <x:c r="K1740" s="11" t="str">
        <x:v>2026-08-20</x:v>
      </x:c>
      <x:c r="L1740" s="11" t="str">
        <x:v>精确发布时间未核验</x:v>
      </x:c>
      <x:c r="M1740" s="11" t="str">
        <x:v>截止日前日期，盘中时分未核</x:v>
      </x:c>
    </x:row>
    <x:row r="1741" ht="23" customHeight="1">
      <x:c r="A1741" s="11" t="str">
        <x:v>I022</x:v>
      </x:c>
      <x:c r="B1741" s="11" t="str">
        <x:v>03759.HK</x:v>
      </x:c>
      <x:c r="C1741" s="11" t="str">
        <x:v>otherGrossProfit</x:v>
      </x:c>
      <x:c r="D1741" s="39" t="n">
        <x:v>0.965</x:v>
      </x:c>
      <x:c r="E1741" s="11" t="str">
        <x:v>CNY</x:v>
      </x:c>
      <x:c r="F1741" s="11" t="str">
        <x:v>million</x:v>
      </x:c>
      <x:c r="G1741" s="11" t="str">
        <x:v>2026H1 IFRS</x:v>
      </x:c>
      <x:c r="H1741" s="11" t="str">
        <x:v>2026-09-23</x:v>
      </x:c>
      <x:c r="I1741" s="11" t="str">
        <x:v>https://iis.aastocks.com/20260923/12343058-0.PDF</x:v>
      </x:c>
      <x:c r="J1741" s="11" t="str">
        <x:v>首度公开日期 2026-08-20</x:v>
      </x:c>
      <x:c r="K1741" s="11" t="str">
        <x:v>2026-08-20</x:v>
      </x:c>
      <x:c r="L1741" s="11" t="str">
        <x:v>精确发布时间未核验</x:v>
      </x:c>
      <x:c r="M1741" s="11" t="str">
        <x:v>截止日前日期，盘中时分未核</x:v>
      </x:c>
    </x:row>
    <x:row r="1742" ht="23" customHeight="1">
      <x:c r="A1742" s="11" t="str">
        <x:v>I022</x:v>
      </x:c>
      <x:c r="B1742" s="11" t="str">
        <x:v>03759.HK</x:v>
      </x:c>
      <x:c r="C1742" s="11" t="str">
        <x:v>selling</x:v>
      </x:c>
      <x:c r="D1742" s="39" t="n">
        <x:v>169.426</x:v>
      </x:c>
      <x:c r="E1742" s="11" t="str">
        <x:v>CNY</x:v>
      </x:c>
      <x:c r="F1742" s="11" t="str">
        <x:v>million</x:v>
      </x:c>
      <x:c r="G1742" s="11" t="str">
        <x:v>2026H1 IFRS</x:v>
      </x:c>
      <x:c r="H1742" s="11" t="str">
        <x:v>2026-09-23</x:v>
      </x:c>
      <x:c r="I1742" s="11" t="str">
        <x:v>https://iis.aastocks.com/20260923/12343058-0.PDF</x:v>
      </x:c>
      <x:c r="J1742" s="11" t="str">
        <x:v>首度公开日期 2026-08-20</x:v>
      </x:c>
      <x:c r="K1742" s="11" t="str">
        <x:v>2026-08-20</x:v>
      </x:c>
      <x:c r="L1742" s="11" t="str">
        <x:v>精确发布时间未核验</x:v>
      </x:c>
      <x:c r="M1742" s="11" t="str">
        <x:v>截止日前日期，盘中时分未核</x:v>
      </x:c>
    </x:row>
    <x:row r="1743" ht="23" customHeight="1">
      <x:c r="A1743" s="11" t="str">
        <x:v>I022</x:v>
      </x:c>
      <x:c r="B1743" s="11" t="str">
        <x:v>03759.HK</x:v>
      </x:c>
      <x:c r="C1743" s="11" t="str">
        <x:v>admin</x:v>
      </x:c>
      <x:c r="D1743" s="39" t="n">
        <x:v>994.811</x:v>
      </x:c>
      <x:c r="E1743" s="11" t="str">
        <x:v>CNY</x:v>
      </x:c>
      <x:c r="F1743" s="11" t="str">
        <x:v>million</x:v>
      </x:c>
      <x:c r="G1743" s="11" t="str">
        <x:v>2026H1 IFRS</x:v>
      </x:c>
      <x:c r="H1743" s="11" t="str">
        <x:v>2026-09-23</x:v>
      </x:c>
      <x:c r="I1743" s="11" t="str">
        <x:v>https://iis.aastocks.com/20260923/12343058-0.PDF</x:v>
      </x:c>
      <x:c r="J1743" s="11" t="str">
        <x:v>首度公开日期 2026-08-20</x:v>
      </x:c>
      <x:c r="K1743" s="11" t="str">
        <x:v>2026-08-20</x:v>
      </x:c>
      <x:c r="L1743" s="11" t="str">
        <x:v>精确发布时间未核验</x:v>
      </x:c>
      <x:c r="M1743" s="11" t="str">
        <x:v>截止日前日期，盘中时分未核</x:v>
      </x:c>
    </x:row>
    <x:row r="1744" ht="23" customHeight="1">
      <x:c r="A1744" s="11" t="str">
        <x:v>I022</x:v>
      </x:c>
      <x:c r="B1744" s="11" t="str">
        <x:v>03759.HK</x:v>
      </x:c>
      <x:c r="C1744" s="11" t="str">
        <x:v>RAndD</x:v>
      </x:c>
      <x:c r="D1744" s="39" t="n">
        <x:v>295.83</x:v>
      </x:c>
      <x:c r="E1744" s="11" t="str">
        <x:v>CNY</x:v>
      </x:c>
      <x:c r="F1744" s="11" t="str">
        <x:v>million</x:v>
      </x:c>
      <x:c r="G1744" s="11" t="str">
        <x:v>2026H1 IFRS</x:v>
      </x:c>
      <x:c r="H1744" s="11" t="str">
        <x:v>2026-09-23</x:v>
      </x:c>
      <x:c r="I1744" s="11" t="str">
        <x:v>https://iis.aastocks.com/20260923/12343058-0.PDF</x:v>
      </x:c>
      <x:c r="J1744" s="11" t="str">
        <x:v>首度公开日期 2026-08-20</x:v>
      </x:c>
      <x:c r="K1744" s="11" t="str">
        <x:v>2026-08-20</x:v>
      </x:c>
      <x:c r="L1744" s="11" t="str">
        <x:v>精确发布时间未核验</x:v>
      </x:c>
      <x:c r="M1744" s="11" t="str">
        <x:v>截止日前日期，盘中时分未核</x:v>
      </x:c>
    </x:row>
    <x:row r="1745" ht="23" customHeight="1">
      <x:c r="A1745" s="11" t="str">
        <x:v>I022</x:v>
      </x:c>
      <x:c r="B1745" s="11" t="str">
        <x:v>03759.HK</x:v>
      </x:c>
      <x:c r="C1745" s="11" t="str">
        <x:v>financeCost</x:v>
      </x:c>
      <x:c r="D1745" s="39" t="n">
        <x:v>99.968</x:v>
      </x:c>
      <x:c r="E1745" s="11" t="str">
        <x:v>CNY</x:v>
      </x:c>
      <x:c r="F1745" s="11" t="str">
        <x:v>million</x:v>
      </x:c>
      <x:c r="G1745" s="11" t="str">
        <x:v>2026H1 IFRS</x:v>
      </x:c>
      <x:c r="H1745" s="11" t="str">
        <x:v>2026-09-23</x:v>
      </x:c>
      <x:c r="I1745" s="11" t="str">
        <x:v>https://iis.aastocks.com/20260923/12343058-0.PDF</x:v>
      </x:c>
      <x:c r="J1745" s="11" t="str">
        <x:v>首度公开日期 2026-08-20</x:v>
      </x:c>
      <x:c r="K1745" s="11" t="str">
        <x:v>2026-08-20</x:v>
      </x:c>
      <x:c r="L1745" s="11" t="str">
        <x:v>精确发布时间未核验</x:v>
      </x:c>
      <x:c r="M1745" s="11" t="str">
        <x:v>截止日前日期，盘中时分未核</x:v>
      </x:c>
    </x:row>
    <x:row r="1746" ht="23" customHeight="1">
      <x:c r="A1746" s="11" t="str">
        <x:v>I022</x:v>
      </x:c>
      <x:c r="B1746" s="11" t="str">
        <x:v>03759.HK</x:v>
      </x:c>
      <x:c r="C1746" s="11" t="str">
        <x:v>tax</x:v>
      </x:c>
      <x:c r="D1746" s="39" t="n">
        <x:v>214.475</x:v>
      </x:c>
      <x:c r="E1746" s="11" t="str">
        <x:v>CNY</x:v>
      </x:c>
      <x:c r="F1746" s="11" t="str">
        <x:v>million</x:v>
      </x:c>
      <x:c r="G1746" s="11" t="str">
        <x:v>2026H1 IFRS</x:v>
      </x:c>
      <x:c r="H1746" s="11" t="str">
        <x:v>2026-09-23</x:v>
      </x:c>
      <x:c r="I1746" s="11" t="str">
        <x:v>https://iis.aastocks.com/20260923/12343058-0.PDF</x:v>
      </x:c>
      <x:c r="J1746" s="11" t="str">
        <x:v>首度公开日期 2026-08-20</x:v>
      </x:c>
      <x:c r="K1746" s="11" t="str">
        <x:v>2026-08-20</x:v>
      </x:c>
      <x:c r="L1746" s="11" t="str">
        <x:v>精确发布时间未核验</x:v>
      </x:c>
      <x:c r="M1746" s="11" t="str">
        <x:v>截止日前日期，盘中时分未核</x:v>
      </x:c>
    </x:row>
    <x:row r="1747" ht="23" customHeight="1">
      <x:c r="A1747" s="11" t="str">
        <x:v>I022</x:v>
      </x:c>
      <x:c r="B1747" s="11" t="str">
        <x:v>03759.HK</x:v>
      </x:c>
      <x:c r="C1747" s="11" t="str">
        <x:v>OCF</x:v>
      </x:c>
      <x:c r="D1747" s="39" t="n">
        <x:v>1084.645</x:v>
      </x:c>
      <x:c r="E1747" s="11" t="str">
        <x:v>CNY</x:v>
      </x:c>
      <x:c r="F1747" s="11" t="str">
        <x:v>million</x:v>
      </x:c>
      <x:c r="G1747" s="11" t="str">
        <x:v>2026H1 IFRS</x:v>
      </x:c>
      <x:c r="H1747" s="11" t="str">
        <x:v>2026-09-23</x:v>
      </x:c>
      <x:c r="I1747" s="11" t="str">
        <x:v>https://iis.aastocks.com/20260923/12343058-0.PDF</x:v>
      </x:c>
      <x:c r="J1747" s="11" t="str">
        <x:v>首度公开日期 2026-08-20</x:v>
      </x:c>
      <x:c r="K1747" s="11" t="str">
        <x:v>2026-08-20</x:v>
      </x:c>
      <x:c r="L1747" s="11" t="str">
        <x:v>精确发布时间未核验</x:v>
      </x:c>
      <x:c r="M1747" s="11" t="str">
        <x:v>截止日前日期，盘中时分未核</x:v>
      </x:c>
    </x:row>
    <x:row r="1748" ht="23" customHeight="1">
      <x:c r="A1748" s="11" t="str">
        <x:v>I022</x:v>
      </x:c>
      <x:c r="B1748" s="11" t="str">
        <x:v>03759.HK</x:v>
      </x:c>
      <x:c r="C1748" s="11" t="str">
        <x:v>previousOCF</x:v>
      </x:c>
      <x:c r="D1748" s="39" t="n">
        <x:v>1408.277</x:v>
      </x:c>
      <x:c r="E1748" s="11" t="str">
        <x:v>CNY</x:v>
      </x:c>
      <x:c r="F1748" s="11" t="str">
        <x:v>million</x:v>
      </x:c>
      <x:c r="G1748" s="11" t="str">
        <x:v>2025H1</x:v>
      </x:c>
      <x:c r="H1748" s="11" t="str">
        <x:v>2026-09-23</x:v>
      </x:c>
      <x:c r="I1748" s="11" t="str">
        <x:v>https://iis.aastocks.com/20260923/12343058-0.PDF</x:v>
      </x:c>
      <x:c r="J1748" s="11" t="str">
        <x:v>首度公开日期 2026-08-20</x:v>
      </x:c>
      <x:c r="K1748" s="11" t="str">
        <x:v>2026-08-20</x:v>
      </x:c>
      <x:c r="L1748" s="11" t="str">
        <x:v>精确发布时间未核验</x:v>
      </x:c>
      <x:c r="M1748" s="11" t="str">
        <x:v>截止日前日期，盘中时分未核</x:v>
      </x:c>
    </x:row>
    <x:row r="1749" ht="23" customHeight="1">
      <x:c r="A1749" s="11" t="str">
        <x:v>I022</x:v>
      </x:c>
      <x:c r="B1749" s="11" t="str">
        <x:v>03759.HK</x:v>
      </x:c>
      <x:c r="C1749" s="11" t="str">
        <x:v>PPECash</x:v>
      </x:c>
      <x:c r="D1749" s="39" t="n">
        <x:v>1334.692</x:v>
      </x:c>
      <x:c r="E1749" s="11" t="str">
        <x:v>CNY</x:v>
      </x:c>
      <x:c r="F1749" s="11" t="str">
        <x:v>million</x:v>
      </x:c>
      <x:c r="G1749" s="11" t="str">
        <x:v>2026H1 IFRS</x:v>
      </x:c>
      <x:c r="H1749" s="11" t="str">
        <x:v>2026-09-23</x:v>
      </x:c>
      <x:c r="I1749" s="11" t="str">
        <x:v>https://iis.aastocks.com/20260923/12343058-0.PDF</x:v>
      </x:c>
      <x:c r="J1749" s="11" t="str">
        <x:v>首度公开日期 2026-08-20</x:v>
      </x:c>
      <x:c r="K1749" s="11" t="str">
        <x:v>2026-08-20</x:v>
      </x:c>
      <x:c r="L1749" s="11" t="str">
        <x:v>精确发布时间未核验</x:v>
      </x:c>
      <x:c r="M1749" s="11" t="str">
        <x:v>截止日前日期，盘中时分未核</x:v>
      </x:c>
    </x:row>
    <x:row r="1750" ht="23" customHeight="1">
      <x:c r="A1750" s="11" t="str">
        <x:v>I022</x:v>
      </x:c>
      <x:c r="B1750" s="11" t="str">
        <x:v>03759.HK</x:v>
      </x:c>
      <x:c r="C1750" s="11" t="str">
        <x:v>intangibleCash</x:v>
      </x:c>
      <x:c r="D1750" s="39" t="n">
        <x:v>33.632</x:v>
      </x:c>
      <x:c r="E1750" s="11" t="str">
        <x:v>CNY</x:v>
      </x:c>
      <x:c r="F1750" s="11" t="str">
        <x:v>million</x:v>
      </x:c>
      <x:c r="G1750" s="11" t="str">
        <x:v>2026H1 IFRS</x:v>
      </x:c>
      <x:c r="H1750" s="11" t="str">
        <x:v>2026-09-23</x:v>
      </x:c>
      <x:c r="I1750" s="11" t="str">
        <x:v>https://iis.aastocks.com/20260923/12343058-0.PDF</x:v>
      </x:c>
      <x:c r="J1750" s="11" t="str">
        <x:v>首度公开日期 2026-08-20</x:v>
      </x:c>
      <x:c r="K1750" s="11" t="str">
        <x:v>2026-08-20</x:v>
      </x:c>
      <x:c r="L1750" s="11" t="str">
        <x:v>精确发布时间未核验</x:v>
      </x:c>
      <x:c r="M1750" s="11" t="str">
        <x:v>截止日前日期，盘中时分未核</x:v>
      </x:c>
    </x:row>
    <x:row r="1751" ht="23" customHeight="1">
      <x:c r="A1751" s="11" t="str">
        <x:v>I022</x:v>
      </x:c>
      <x:c r="B1751" s="11" t="str">
        <x:v>03759.HK</x:v>
      </x:c>
      <x:c r="C1751" s="11" t="str">
        <x:v>FCFBeforeLease</x:v>
      </x:c>
      <x:c r="D1751" s="39" t="n">
        <x:v>-283.67900000000003</x:v>
      </x:c>
      <x:c r="E1751" s="11" t="str">
        <x:v>CNY</x:v>
      </x:c>
      <x:c r="F1751" s="11" t="str">
        <x:v>million</x:v>
      </x:c>
      <x:c r="G1751" s="11" t="str">
        <x:v>2026H1 IFRS</x:v>
      </x:c>
      <x:c r="H1751" s="11" t="str">
        <x:v>2026-09-23</x:v>
      </x:c>
      <x:c r="I1751" s="11" t="str">
        <x:v>https://iis.aastocks.com/20260923/12343058-0.PDF</x:v>
      </x:c>
      <x:c r="J1751" s="11" t="str">
        <x:v>首度公开日期 2026-08-20</x:v>
      </x:c>
      <x:c r="K1751" s="11" t="str">
        <x:v>2026-08-20</x:v>
      </x:c>
      <x:c r="L1751" s="11" t="str">
        <x:v>精确发布时间未核验</x:v>
      </x:c>
      <x:c r="M1751" s="11" t="str">
        <x:v>截止日前日期，盘中时分未核</x:v>
      </x:c>
    </x:row>
    <x:row r="1752" ht="23" customHeight="1">
      <x:c r="A1752" s="11" t="str">
        <x:v>I022</x:v>
      </x:c>
      <x:c r="B1752" s="11" t="str">
        <x:v>03759.HK</x:v>
      </x:c>
      <x:c r="C1752" s="11" t="str">
        <x:v>paidBankInterest</x:v>
      </x:c>
      <x:c r="D1752" s="39" t="n">
        <x:v>102.838</x:v>
      </x:c>
      <x:c r="E1752" s="11" t="str">
        <x:v>CNY</x:v>
      </x:c>
      <x:c r="F1752" s="11" t="str">
        <x:v>million</x:v>
      </x:c>
      <x:c r="G1752" s="11" t="str">
        <x:v>2026H1 IFRS</x:v>
      </x:c>
      <x:c r="H1752" s="11" t="str">
        <x:v>2026-09-23</x:v>
      </x:c>
      <x:c r="I1752" s="11" t="str">
        <x:v>https://iis.aastocks.com/20260923/12343058-0.PDF</x:v>
      </x:c>
      <x:c r="J1752" s="11" t="str">
        <x:v>首度公开日期 2026-08-20</x:v>
      </x:c>
      <x:c r="K1752" s="11" t="str">
        <x:v>2026-08-20</x:v>
      </x:c>
      <x:c r="L1752" s="11" t="str">
        <x:v>精确发布时间未核验</x:v>
      </x:c>
      <x:c r="M1752" s="11" t="str">
        <x:v>截止日前日期，盘中时分未核</x:v>
      </x:c>
    </x:row>
    <x:row r="1753" ht="23" customHeight="1">
      <x:c r="A1753" s="11" t="str">
        <x:v>I022</x:v>
      </x:c>
      <x:c r="B1753" s="11" t="str">
        <x:v>03759.HK</x:v>
      </x:c>
      <x:c r="C1753" s="11" t="str">
        <x:v>paidLeasePrincipal</x:v>
      </x:c>
      <x:c r="D1753" s="39" t="n">
        <x:v>93.343</x:v>
      </x:c>
      <x:c r="E1753" s="11" t="str">
        <x:v>CNY</x:v>
      </x:c>
      <x:c r="F1753" s="11" t="str">
        <x:v>million</x:v>
      </x:c>
      <x:c r="G1753" s="11" t="str">
        <x:v>2026H1 IFRS</x:v>
      </x:c>
      <x:c r="H1753" s="11" t="str">
        <x:v>2026-09-23</x:v>
      </x:c>
      <x:c r="I1753" s="11" t="str">
        <x:v>https://iis.aastocks.com/20260923/12343058-0.PDF</x:v>
      </x:c>
      <x:c r="J1753" s="11" t="str">
        <x:v>首度公开日期 2026-08-20</x:v>
      </x:c>
      <x:c r="K1753" s="11" t="str">
        <x:v>2026-08-20</x:v>
      </x:c>
      <x:c r="L1753" s="11" t="str">
        <x:v>精确发布时间未核验</x:v>
      </x:c>
      <x:c r="M1753" s="11" t="str">
        <x:v>截止日前日期，盘中时分未核</x:v>
      </x:c>
    </x:row>
    <x:row r="1754" ht="23" customHeight="1">
      <x:c r="A1754" s="11" t="str">
        <x:v>I022</x:v>
      </x:c>
      <x:c r="B1754" s="11" t="str">
        <x:v>03759.HK</x:v>
      </x:c>
      <x:c r="C1754" s="11" t="str">
        <x:v>cashBalance</x:v>
      </x:c>
      <x:c r="D1754" s="39" t="n">
        <x:v>1457.57</x:v>
      </x:c>
      <x:c r="E1754" s="11" t="str">
        <x:v>CNY</x:v>
      </x:c>
      <x:c r="F1754" s="11" t="str">
        <x:v>million</x:v>
      </x:c>
      <x:c r="G1754" s="11" t="str">
        <x:v>2026H1 IFRS</x:v>
      </x:c>
      <x:c r="H1754" s="11" t="str">
        <x:v>2026-09-23</x:v>
      </x:c>
      <x:c r="I1754" s="11" t="str">
        <x:v>https://iis.aastocks.com/20260923/12343058-0.PDF</x:v>
      </x:c>
      <x:c r="J1754" s="11" t="str">
        <x:v>首度公开日期 2026-08-20</x:v>
      </x:c>
      <x:c r="K1754" s="11" t="str">
        <x:v>2026-08-20</x:v>
      </x:c>
      <x:c r="L1754" s="11" t="str">
        <x:v>精确发布时间未核验</x:v>
      </x:c>
      <x:c r="M1754" s="11" t="str">
        <x:v>截止日前日期，盘中时分未核</x:v>
      </x:c>
    </x:row>
    <x:row r="1755" ht="23" customHeight="1">
      <x:c r="A1755" s="11" t="str">
        <x:v>I022</x:v>
      </x:c>
      <x:c r="B1755" s="11" t="str">
        <x:v>03759.HK</x:v>
      </x:c>
      <x:c r="C1755" s="11" t="str">
        <x:v>wealthProducts</x:v>
      </x:c>
      <x:c r="D1755" s="39" t="n">
        <x:v>876.199</x:v>
      </x:c>
      <x:c r="E1755" s="11" t="str">
        <x:v>CNY</x:v>
      </x:c>
      <x:c r="F1755" s="11" t="str">
        <x:v>million</x:v>
      </x:c>
      <x:c r="G1755" s="11" t="str">
        <x:v>2026H1 IFRS</x:v>
      </x:c>
      <x:c r="H1755" s="11" t="str">
        <x:v>2026-09-23</x:v>
      </x:c>
      <x:c r="I1755" s="11" t="str">
        <x:v>https://iis.aastocks.com/20260923/12343058-0.PDF</x:v>
      </x:c>
      <x:c r="J1755" s="11" t="str">
        <x:v>首度公开日期 2026-08-20</x:v>
      </x:c>
      <x:c r="K1755" s="11" t="str">
        <x:v>2026-08-20</x:v>
      </x:c>
      <x:c r="L1755" s="11" t="str">
        <x:v>精确发布时间未核验</x:v>
      </x:c>
      <x:c r="M1755" s="11" t="str">
        <x:v>截止日前日期，盘中时分未核</x:v>
      </x:c>
    </x:row>
    <x:row r="1756" ht="23" customHeight="1">
      <x:c r="A1756" s="11" t="str">
        <x:v>I022</x:v>
      </x:c>
      <x:c r="B1756" s="11" t="str">
        <x:v>03759.HK</x:v>
      </x:c>
      <x:c r="C1756" s="11" t="str">
        <x:v>amortizedFinancialAsset</x:v>
      </x:c>
      <x:c r="D1756" s="39" t="n">
        <x:v>370.127</x:v>
      </x:c>
      <x:c r="E1756" s="11" t="str">
        <x:v>CNY</x:v>
      </x:c>
      <x:c r="F1756" s="11" t="str">
        <x:v>million</x:v>
      </x:c>
      <x:c r="G1756" s="11" t="str">
        <x:v>2026H1 IFRS</x:v>
      </x:c>
      <x:c r="H1756" s="11" t="str">
        <x:v>2026-09-23</x:v>
      </x:c>
      <x:c r="I1756" s="11" t="str">
        <x:v>https://iis.aastocks.com/20260923/12343058-0.PDF</x:v>
      </x:c>
      <x:c r="J1756" s="11" t="str">
        <x:v>首度公开日期 2026-08-20</x:v>
      </x:c>
      <x:c r="K1756" s="11" t="str">
        <x:v>2026-08-20</x:v>
      </x:c>
      <x:c r="L1756" s="11" t="str">
        <x:v>精确发布时间未核验</x:v>
      </x:c>
      <x:c r="M1756" s="11" t="str">
        <x:v>截止日前日期，盘中时分未核</x:v>
      </x:c>
    </x:row>
    <x:row r="1757" ht="23" customHeight="1">
      <x:c r="A1757" s="11" t="str">
        <x:v>I022</x:v>
      </x:c>
      <x:c r="B1757" s="11" t="str">
        <x:v>03759.HK</x:v>
      </x:c>
      <x:c r="C1757" s="11" t="str">
        <x:v>restricted</x:v>
      </x:c>
      <x:c r="D1757" s="39" t="n">
        <x:v>118.555</x:v>
      </x:c>
      <x:c r="E1757" s="11" t="str">
        <x:v>CNY</x:v>
      </x:c>
      <x:c r="F1757" s="11" t="str">
        <x:v>million</x:v>
      </x:c>
      <x:c r="G1757" s="11" t="str">
        <x:v>2026H1 IFRS</x:v>
      </x:c>
      <x:c r="H1757" s="11" t="str">
        <x:v>2026-09-23</x:v>
      </x:c>
      <x:c r="I1757" s="11" t="str">
        <x:v>https://iis.aastocks.com/20260923/12343058-0.PDF</x:v>
      </x:c>
      <x:c r="J1757" s="11" t="str">
        <x:v>首度公开日期 2026-08-20</x:v>
      </x:c>
      <x:c r="K1757" s="11" t="str">
        <x:v>2026-08-20</x:v>
      </x:c>
      <x:c r="L1757" s="11" t="str">
        <x:v>精确发布时间未核验</x:v>
      </x:c>
      <x:c r="M1757" s="11" t="str">
        <x:v>截止日前日期，盘中时分未核</x:v>
      </x:c>
    </x:row>
    <x:row r="1758" ht="23" customHeight="1">
      <x:c r="A1758" s="11" t="str">
        <x:v>I022</x:v>
      </x:c>
      <x:c r="B1758" s="11" t="str">
        <x:v>03759.HK</x:v>
      </x:c>
      <x:c r="C1758" s="11" t="str">
        <x:v>bankDebt</x:v>
      </x:c>
      <x:c r="D1758" s="39" t="n">
        <x:v>6474.413</x:v>
      </x:c>
      <x:c r="E1758" s="11" t="str">
        <x:v>CNY</x:v>
      </x:c>
      <x:c r="F1758" s="11" t="str">
        <x:v>million</x:v>
      </x:c>
      <x:c r="G1758" s="11" t="str">
        <x:v>2026H1 IFRS</x:v>
      </x:c>
      <x:c r="H1758" s="11" t="str">
        <x:v>2026-09-23</x:v>
      </x:c>
      <x:c r="I1758" s="11" t="str">
        <x:v>https://iis.aastocks.com/20260923/12343058-0.PDF</x:v>
      </x:c>
      <x:c r="J1758" s="11" t="str">
        <x:v>首度公开日期 2026-08-20</x:v>
      </x:c>
      <x:c r="K1758" s="11" t="str">
        <x:v>2026-08-20</x:v>
      </x:c>
      <x:c r="L1758" s="11" t="str">
        <x:v>精确发布时间未核验</x:v>
      </x:c>
      <x:c r="M1758" s="11" t="str">
        <x:v>截止日前日期，盘中时分未核</x:v>
      </x:c>
    </x:row>
    <x:row r="1759" ht="23" customHeight="1">
      <x:c r="A1759" s="11" t="str">
        <x:v>I022</x:v>
      </x:c>
      <x:c r="B1759" s="11" t="str">
        <x:v>03759.HK</x:v>
      </x:c>
      <x:c r="C1759" s="11" t="str">
        <x:v>currentBankDebt</x:v>
      </x:c>
      <x:c r="D1759" s="39" t="n">
        <x:v>4553.914</x:v>
      </x:c>
      <x:c r="E1759" s="11" t="str">
        <x:v>CNY</x:v>
      </x:c>
      <x:c r="F1759" s="11" t="str">
        <x:v>million</x:v>
      </x:c>
      <x:c r="G1759" s="11" t="str">
        <x:v>2026H1 IFRS</x:v>
      </x:c>
      <x:c r="H1759" s="11" t="str">
        <x:v>2026-09-23</x:v>
      </x:c>
      <x:c r="I1759" s="11" t="str">
        <x:v>https://iis.aastocks.com/20260923/12343058-0.PDF</x:v>
      </x:c>
      <x:c r="J1759" s="11" t="str">
        <x:v>首度公开日期 2026-08-20</x:v>
      </x:c>
      <x:c r="K1759" s="11" t="str">
        <x:v>2026-08-20</x:v>
      </x:c>
      <x:c r="L1759" s="11" t="str">
        <x:v>精确发布时间未核验</x:v>
      </x:c>
      <x:c r="M1759" s="11" t="str">
        <x:v>截止日前日期，盘中时分未核</x:v>
      </x:c>
    </x:row>
    <x:row r="1760" ht="23" customHeight="1">
      <x:c r="A1760" s="11" t="str">
        <x:v>I022</x:v>
      </x:c>
      <x:c r="B1760" s="11" t="str">
        <x:v>03759.HK</x:v>
      </x:c>
      <x:c r="C1760" s="11" t="str">
        <x:v>leases</x:v>
      </x:c>
      <x:c r="D1760" s="39" t="n">
        <x:v>479.389</x:v>
      </x:c>
      <x:c r="E1760" s="11" t="str">
        <x:v>CNY</x:v>
      </x:c>
      <x:c r="F1760" s="11" t="str">
        <x:v>million</x:v>
      </x:c>
      <x:c r="G1760" s="11" t="str">
        <x:v>2026H1 IFRS</x:v>
      </x:c>
      <x:c r="H1760" s="11" t="str">
        <x:v>2026-09-23</x:v>
      </x:c>
      <x:c r="I1760" s="11" t="str">
        <x:v>https://iis.aastocks.com/20260923/12343058-0.PDF</x:v>
      </x:c>
      <x:c r="J1760" s="11" t="str">
        <x:v>首度公开日期 2026-08-20</x:v>
      </x:c>
      <x:c r="K1760" s="11" t="str">
        <x:v>2026-08-20</x:v>
      </x:c>
      <x:c r="L1760" s="11" t="str">
        <x:v>精确发布时间未核验</x:v>
      </x:c>
      <x:c r="M1760" s="11" t="str">
        <x:v>截止日前日期，盘中时分未核</x:v>
      </x:c>
    </x:row>
    <x:row r="1761" ht="23" customHeight="1">
      <x:c r="A1761" s="11" t="str">
        <x:v>I022</x:v>
      </x:c>
      <x:c r="B1761" s="11" t="str">
        <x:v>03759.HK</x:v>
      </x:c>
      <x:c r="C1761" s="11" t="str">
        <x:v>totalAssets</x:v>
      </x:c>
      <x:c r="D1761" s="39" t="n">
        <x:v>28946.314</x:v>
      </x:c>
      <x:c r="E1761" s="11" t="str">
        <x:v>CNY</x:v>
      </x:c>
      <x:c r="F1761" s="11" t="str">
        <x:v>million</x:v>
      </x:c>
      <x:c r="G1761" s="11" t="str">
        <x:v>2026H1 IFRS</x:v>
      </x:c>
      <x:c r="H1761" s="11" t="str">
        <x:v>2026-09-23</x:v>
      </x:c>
      <x:c r="I1761" s="11" t="str">
        <x:v>https://iis.aastocks.com/20260923/12343058-0.PDF</x:v>
      </x:c>
      <x:c r="J1761" s="11" t="str">
        <x:v>首度公开日期 2026-08-20</x:v>
      </x:c>
      <x:c r="K1761" s="11" t="str">
        <x:v>2026-08-20</x:v>
      </x:c>
      <x:c r="L1761" s="11" t="str">
        <x:v>精确发布时间未核验</x:v>
      </x:c>
      <x:c r="M1761" s="11" t="str">
        <x:v>截止日前日期，盘中时分未核</x:v>
      </x:c>
    </x:row>
    <x:row r="1762" ht="23" customHeight="1">
      <x:c r="A1762" s="11" t="str">
        <x:v>I022</x:v>
      </x:c>
      <x:c r="B1762" s="11" t="str">
        <x:v>03759.HK</x:v>
      </x:c>
      <x:c r="C1762" s="11" t="str">
        <x:v>parentEquity</x:v>
      </x:c>
      <x:c r="D1762" s="39" t="n">
        <x:v>16348.774</x:v>
      </x:c>
      <x:c r="E1762" s="11" t="str">
        <x:v>CNY</x:v>
      </x:c>
      <x:c r="F1762" s="11" t="str">
        <x:v>million</x:v>
      </x:c>
      <x:c r="G1762" s="11" t="str">
        <x:v>2026H1 IFRS</x:v>
      </x:c>
      <x:c r="H1762" s="11" t="str">
        <x:v>2026-09-23</x:v>
      </x:c>
      <x:c r="I1762" s="11" t="str">
        <x:v>https://iis.aastocks.com/20260923/12343058-0.PDF</x:v>
      </x:c>
      <x:c r="J1762" s="11" t="str">
        <x:v>首度公开日期 2026-08-20</x:v>
      </x:c>
      <x:c r="K1762" s="11" t="str">
        <x:v>2026-08-20</x:v>
      </x:c>
      <x:c r="L1762" s="11" t="str">
        <x:v>精确发布时间未核验</x:v>
      </x:c>
      <x:c r="M1762" s="11" t="str">
        <x:v>截止日前日期，盘中时分未核</x:v>
      </x:c>
    </x:row>
    <x:row r="1763" ht="23" customHeight="1">
      <x:c r="A1763" s="11" t="str">
        <x:v>I022</x:v>
      </x:c>
      <x:c r="B1763" s="11" t="str">
        <x:v>03759.HK</x:v>
      </x:c>
      <x:c r="C1763" s="11" t="str">
        <x:v>goodwill</x:v>
      </x:c>
      <x:c r="D1763" s="39" t="n">
        <x:v>3507.639</x:v>
      </x:c>
      <x:c r="E1763" s="11" t="str">
        <x:v>CNY</x:v>
      </x:c>
      <x:c r="F1763" s="11" t="str">
        <x:v>million</x:v>
      </x:c>
      <x:c r="G1763" s="11" t="str">
        <x:v>2026H1 IFRS</x:v>
      </x:c>
      <x:c r="H1763" s="11" t="str">
        <x:v>2026-09-23</x:v>
      </x:c>
      <x:c r="I1763" s="11" t="str">
        <x:v>https://iis.aastocks.com/20260923/12343058-0.PDF</x:v>
      </x:c>
      <x:c r="J1763" s="11" t="str">
        <x:v>首度公开日期 2026-08-20</x:v>
      </x:c>
      <x:c r="K1763" s="11" t="str">
        <x:v>2026-08-20</x:v>
      </x:c>
      <x:c r="L1763" s="11" t="str">
        <x:v>精确发布时间未核验</x:v>
      </x:c>
      <x:c r="M1763" s="11" t="str">
        <x:v>截止日前日期，盘中时分未核</x:v>
      </x:c>
    </x:row>
    <x:row r="1764" ht="23" customHeight="1">
      <x:c r="A1764" s="11" t="str">
        <x:v>I022</x:v>
      </x:c>
      <x:c r="B1764" s="11" t="str">
        <x:v>03759.HK</x:v>
      </x:c>
      <x:c r="C1764" s="11" t="str">
        <x:v>PPE</x:v>
      </x:c>
      <x:c r="D1764" s="39" t="n">
        <x:v>12654.577</x:v>
      </x:c>
      <x:c r="E1764" s="11" t="str">
        <x:v>CNY</x:v>
      </x:c>
      <x:c r="F1764" s="11" t="str">
        <x:v>million</x:v>
      </x:c>
      <x:c r="G1764" s="11" t="str">
        <x:v>2026H1 IFRS</x:v>
      </x:c>
      <x:c r="H1764" s="11" t="str">
        <x:v>2026-09-23</x:v>
      </x:c>
      <x:c r="I1764" s="11" t="str">
        <x:v>https://iis.aastocks.com/20260923/12343058-0.PDF</x:v>
      </x:c>
      <x:c r="J1764" s="11" t="str">
        <x:v>首度公开日期 2026-08-20</x:v>
      </x:c>
      <x:c r="K1764" s="11" t="str">
        <x:v>2026-08-20</x:v>
      </x:c>
      <x:c r="L1764" s="11" t="str">
        <x:v>精确发布时间未核验</x:v>
      </x:c>
      <x:c r="M1764" s="11" t="str">
        <x:v>截止日前日期，盘中时分未核</x:v>
      </x:c>
    </x:row>
    <x:row r="1765" ht="23" customHeight="1">
      <x:c r="A1765" s="11" t="str">
        <x:v>I022</x:v>
      </x:c>
      <x:c r="B1765" s="11" t="str">
        <x:v>03759.HK</x:v>
      </x:c>
      <x:c r="C1765" s="11" t="str">
        <x:v>inventory</x:v>
      </x:c>
      <x:c r="D1765" s="39" t="n">
        <x:v>803.299</x:v>
      </x:c>
      <x:c r="E1765" s="11" t="str">
        <x:v>CNY</x:v>
      </x:c>
      <x:c r="F1765" s="11" t="str">
        <x:v>million</x:v>
      </x:c>
      <x:c r="G1765" s="11" t="str">
        <x:v>2026H1 IFRS</x:v>
      </x:c>
      <x:c r="H1765" s="11" t="str">
        <x:v>2026-09-23</x:v>
      </x:c>
      <x:c r="I1765" s="11" t="str">
        <x:v>https://iis.aastocks.com/20260923/12343058-0.PDF</x:v>
      </x:c>
      <x:c r="J1765" s="11" t="str">
        <x:v>首度公开日期 2026-08-20</x:v>
      </x:c>
      <x:c r="K1765" s="11" t="str">
        <x:v>2026-08-20</x:v>
      </x:c>
      <x:c r="L1765" s="11" t="str">
        <x:v>精确发布时间未核验</x:v>
      </x:c>
      <x:c r="M1765" s="11" t="str">
        <x:v>截止日前日期，盘中时分未核</x:v>
      </x:c>
    </x:row>
    <x:row r="1766" ht="23" customHeight="1">
      <x:c r="A1766" s="11" t="str">
        <x:v>I022</x:v>
      </x:c>
      <x:c r="B1766" s="11" t="str">
        <x:v>03759.HK</x:v>
      </x:c>
      <x:c r="C1766" s="11" t="str">
        <x:v>contractCost</x:v>
      </x:c>
      <x:c r="D1766" s="39" t="n">
        <x:v>713.333</x:v>
      </x:c>
      <x:c r="E1766" s="11" t="str">
        <x:v>CNY</x:v>
      </x:c>
      <x:c r="F1766" s="11" t="str">
        <x:v>million</x:v>
      </x:c>
      <x:c r="G1766" s="11" t="str">
        <x:v>2026H1 IFRS</x:v>
      </x:c>
      <x:c r="H1766" s="11" t="str">
        <x:v>2026-09-23</x:v>
      </x:c>
      <x:c r="I1766" s="11" t="str">
        <x:v>https://iis.aastocks.com/20260923/12343058-0.PDF</x:v>
      </x:c>
      <x:c r="J1766" s="11" t="str">
        <x:v>首度公开日期 2026-08-20</x:v>
      </x:c>
      <x:c r="K1766" s="11" t="str">
        <x:v>2026-08-20</x:v>
      </x:c>
      <x:c r="L1766" s="11" t="str">
        <x:v>精确发布时间未核验</x:v>
      </x:c>
      <x:c r="M1766" s="11" t="str">
        <x:v>截止日前日期，盘中时分未核</x:v>
      </x:c>
    </x:row>
    <x:row r="1767" ht="23" customHeight="1">
      <x:c r="A1767" s="11" t="str">
        <x:v>I022</x:v>
      </x:c>
      <x:c r="B1767" s="11" t="str">
        <x:v>03759.HK</x:v>
      </x:c>
      <x:c r="C1767" s="11" t="str">
        <x:v>receivablesAndNotes</x:v>
      </x:c>
      <x:c r="D1767" s="39" t="n">
        <x:v>2864.935</x:v>
      </x:c>
      <x:c r="E1767" s="11" t="str">
        <x:v>CNY</x:v>
      </x:c>
      <x:c r="F1767" s="11" t="str">
        <x:v>million</x:v>
      </x:c>
      <x:c r="G1767" s="11" t="str">
        <x:v>2026H1 IFRS</x:v>
      </x:c>
      <x:c r="H1767" s="11" t="str">
        <x:v>2026-09-23</x:v>
      </x:c>
      <x:c r="I1767" s="11" t="str">
        <x:v>https://iis.aastocks.com/20260923/12343058-0.PDF</x:v>
      </x:c>
      <x:c r="J1767" s="11" t="str">
        <x:v>首度公开日期 2026-08-20</x:v>
      </x:c>
      <x:c r="K1767" s="11" t="str">
        <x:v>2026-08-20</x:v>
      </x:c>
      <x:c r="L1767" s="11" t="str">
        <x:v>精确发布时间未核验</x:v>
      </x:c>
      <x:c r="M1767" s="11" t="str">
        <x:v>截止日前日期，盘中时分未核</x:v>
      </x:c>
    </x:row>
    <x:row r="1768" ht="23" customHeight="1">
      <x:c r="A1768" s="11" t="str">
        <x:v>I022</x:v>
      </x:c>
      <x:c r="B1768" s="11" t="str">
        <x:v>03759.HK</x:v>
      </x:c>
      <x:c r="C1768" s="11" t="str">
        <x:v>contractAssets</x:v>
      </x:c>
      <x:c r="D1768" s="39" t="n">
        <x:v>524.562</x:v>
      </x:c>
      <x:c r="E1768" s="11" t="str">
        <x:v>CNY</x:v>
      </x:c>
      <x:c r="F1768" s="11" t="str">
        <x:v>million</x:v>
      </x:c>
      <x:c r="G1768" s="11" t="str">
        <x:v>2026H1 IFRS</x:v>
      </x:c>
      <x:c r="H1768" s="11" t="str">
        <x:v>2026-09-23</x:v>
      </x:c>
      <x:c r="I1768" s="11" t="str">
        <x:v>https://iis.aastocks.com/20260923/12343058-0.PDF</x:v>
      </x:c>
      <x:c r="J1768" s="11" t="str">
        <x:v>首度公开日期 2026-08-20</x:v>
      </x:c>
      <x:c r="K1768" s="11" t="str">
        <x:v>2026-08-20</x:v>
      </x:c>
      <x:c r="L1768" s="11" t="str">
        <x:v>精确发布时间未核验</x:v>
      </x:c>
      <x:c r="M1768" s="11" t="str">
        <x:v>截止日前日期，盘中时分未核</x:v>
      </x:c>
    </x:row>
    <x:row r="1769" ht="23" customHeight="1">
      <x:c r="A1769" s="11" t="str">
        <x:v>I022</x:v>
      </x:c>
      <x:c r="B1769" s="11" t="str">
        <x:v>03759.HK</x:v>
      </x:c>
      <x:c r="C1769" s="11" t="str">
        <x:v>contractLiability</x:v>
      </x:c>
      <x:c r="D1769" s="39" t="n">
        <x:v>1168.125</x:v>
      </x:c>
      <x:c r="E1769" s="11" t="str">
        <x:v>CNY</x:v>
      </x:c>
      <x:c r="F1769" s="11" t="str">
        <x:v>million</x:v>
      </x:c>
      <x:c r="G1769" s="11" t="str">
        <x:v>2026H1 IFRS</x:v>
      </x:c>
      <x:c r="H1769" s="11" t="str">
        <x:v>2026-09-23</x:v>
      </x:c>
      <x:c r="I1769" s="11" t="str">
        <x:v>https://iis.aastocks.com/20260923/12343058-0.PDF</x:v>
      </x:c>
      <x:c r="J1769" s="11" t="str">
        <x:v>首度公开日期 2026-08-20</x:v>
      </x:c>
      <x:c r="K1769" s="11" t="str">
        <x:v>2026-08-20</x:v>
      </x:c>
      <x:c r="L1769" s="11" t="str">
        <x:v>精确发布时间未核验</x:v>
      </x:c>
      <x:c r="M1769" s="11" t="str">
        <x:v>截止日前日期，盘中时分未核</x:v>
      </x:c>
    </x:row>
    <x:row r="1770" ht="23" customHeight="1">
      <x:c r="A1770" s="11" t="str">
        <x:v>I022</x:v>
      </x:c>
      <x:c r="B1770" s="11" t="str">
        <x:v>03759.HK</x:v>
      </x:c>
      <x:c r="C1770" s="11" t="str">
        <x:v>PPEcommit</x:v>
      </x:c>
      <x:c r="D1770" s="39" t="n">
        <x:v>935.201</x:v>
      </x:c>
      <x:c r="E1770" s="11" t="str">
        <x:v>CNY</x:v>
      </x:c>
      <x:c r="F1770" s="11" t="str">
        <x:v>million</x:v>
      </x:c>
      <x:c r="G1770" s="11" t="str">
        <x:v>2026H1 IFRS</x:v>
      </x:c>
      <x:c r="H1770" s="11" t="str">
        <x:v>2026-09-23</x:v>
      </x:c>
      <x:c r="I1770" s="11" t="str">
        <x:v>https://iis.aastocks.com/20260923/12343058-0.PDF</x:v>
      </x:c>
      <x:c r="J1770" s="11" t="str">
        <x:v>首度公开日期 2026-08-20</x:v>
      </x:c>
      <x:c r="K1770" s="11" t="str">
        <x:v>2026-08-20</x:v>
      </x:c>
      <x:c r="L1770" s="11" t="str">
        <x:v>精确发布时间未核验</x:v>
      </x:c>
      <x:c r="M1770" s="11" t="str">
        <x:v>截止日前日期，盘中时分未核</x:v>
      </x:c>
    </x:row>
    <x:row r="1771" ht="23" customHeight="1">
      <x:c r="A1771" s="11" t="str">
        <x:v>I022</x:v>
      </x:c>
      <x:c r="B1771" s="11" t="str">
        <x:v>03759.HK</x:v>
      </x:c>
      <x:c r="C1771" s="11" t="str">
        <x:v>equityCommit</x:v>
      </x:c>
      <x:c r="D1771" s="39" t="n">
        <x:v>399.388</x:v>
      </x:c>
      <x:c r="E1771" s="11" t="str">
        <x:v>CNY</x:v>
      </x:c>
      <x:c r="F1771" s="11" t="str">
        <x:v>million</x:v>
      </x:c>
      <x:c r="G1771" s="11" t="str">
        <x:v>2026H1 IFRS</x:v>
      </x:c>
      <x:c r="H1771" s="11" t="str">
        <x:v>2026-09-23</x:v>
      </x:c>
      <x:c r="I1771" s="11" t="str">
        <x:v>https://iis.aastocks.com/20260923/12343058-0.PDF</x:v>
      </x:c>
      <x:c r="J1771" s="11" t="str">
        <x:v>首度公开日期 2026-08-20</x:v>
      </x:c>
      <x:c r="K1771" s="11" t="str">
        <x:v>2026-08-20</x:v>
      </x:c>
      <x:c r="L1771" s="11" t="str">
        <x:v>精确发布时间未核验</x:v>
      </x:c>
      <x:c r="M1771" s="11" t="str">
        <x:v>截止日前日期，盘中时分未核</x:v>
      </x:c>
    </x:row>
    <x:row r="1772" ht="23" customHeight="1">
      <x:c r="A1772" s="11" t="str">
        <x:v>I022</x:v>
      </x:c>
      <x:c r="B1772" s="11" t="str">
        <x:v>03759.HK</x:v>
      </x:c>
      <x:c r="C1772" s="11" t="str">
        <x:v>stockCompConsolidated</x:v>
      </x:c>
      <x:c r="D1772" s="39" t="n">
        <x:v>43.067</x:v>
      </x:c>
      <x:c r="E1772" s="11" t="str">
        <x:v>CNY</x:v>
      </x:c>
      <x:c r="F1772" s="11" t="str">
        <x:v>million</x:v>
      </x:c>
      <x:c r="G1772" s="11" t="str">
        <x:v>2026H1 IFRS</x:v>
      </x:c>
      <x:c r="H1772" s="11" t="str">
        <x:v>2026-09-23</x:v>
      </x:c>
      <x:c r="I1772" s="11" t="str">
        <x:v>https://iis.aastocks.com/20260923/12343058-0.PDF</x:v>
      </x:c>
      <x:c r="J1772" s="11" t="str">
        <x:v>首度公开日期 2026-08-20</x:v>
      </x:c>
      <x:c r="K1772" s="11" t="str">
        <x:v>2026-08-20</x:v>
      </x:c>
      <x:c r="L1772" s="11" t="str">
        <x:v>精确发布时间未核验</x:v>
      </x:c>
      <x:c r="M1772" s="11" t="str">
        <x:v>截止日前日期，盘中时分未核</x:v>
      </x:c>
    </x:row>
    <x:row r="1773" ht="23" customHeight="1">
      <x:c r="A1773" s="11" t="str">
        <x:v>I022</x:v>
      </x:c>
      <x:c r="B1773" s="11" t="str">
        <x:v>03759.HK</x:v>
      </x:c>
      <x:c r="C1773" s="11" t="str">
        <x:v>adjustStockCompParent</x:v>
      </x:c>
      <x:c r="D1773" s="39" t="n">
        <x:v>37.482</x:v>
      </x:c>
      <x:c r="E1773" s="11" t="str">
        <x:v>CNY</x:v>
      </x:c>
      <x:c r="F1773" s="11" t="str">
        <x:v>million</x:v>
      </x:c>
      <x:c r="G1773" s="11" t="str">
        <x:v>2026H1 IFRS</x:v>
      </x:c>
      <x:c r="H1773" s="11" t="str">
        <x:v>2026-09-23</x:v>
      </x:c>
      <x:c r="I1773" s="11" t="str">
        <x:v>https://iis.aastocks.com/20260923/12343058-0.PDF</x:v>
      </x:c>
      <x:c r="J1773" s="11" t="str">
        <x:v>首度公开日期 2026-08-20</x:v>
      </x:c>
      <x:c r="K1773" s="11" t="str">
        <x:v>2026-08-20</x:v>
      </x:c>
      <x:c r="L1773" s="11" t="str">
        <x:v>精确发布时间未核验</x:v>
      </x:c>
      <x:c r="M1773" s="11" t="str">
        <x:v>截止日前日期，盘中时分未核</x:v>
      </x:c>
    </x:row>
    <x:row r="1774" ht="23" customHeight="1">
      <x:c r="A1774" s="11" t="str">
        <x:v>I022</x:v>
      </x:c>
      <x:c r="B1774" s="11" t="str">
        <x:v>03759.HK</x:v>
      </x:c>
      <x:c r="C1774" s="11" t="str">
        <x:v>adjustFXlossParent</x:v>
      </x:c>
      <x:c r="D1774" s="39" t="n">
        <x:v>103.574</x:v>
      </x:c>
      <x:c r="E1774" s="11" t="str">
        <x:v>CNY</x:v>
      </x:c>
      <x:c r="F1774" s="11" t="str">
        <x:v>million</x:v>
      </x:c>
      <x:c r="G1774" s="11" t="str">
        <x:v>2026H1 IFRS</x:v>
      </x:c>
      <x:c r="H1774" s="11" t="str">
        <x:v>2026-09-23</x:v>
      </x:c>
      <x:c r="I1774" s="11" t="str">
        <x:v>https://iis.aastocks.com/20260923/12343058-0.PDF</x:v>
      </x:c>
      <x:c r="J1774" s="11" t="str">
        <x:v>首度公开日期 2026-08-20</x:v>
      </x:c>
      <x:c r="K1774" s="11" t="str">
        <x:v>2026-08-20</x:v>
      </x:c>
      <x:c r="L1774" s="11" t="str">
        <x:v>精确发布时间未核验</x:v>
      </x:c>
      <x:c r="M1774" s="11" t="str">
        <x:v>截止日前日期，盘中时分未核</x:v>
      </x:c>
    </x:row>
    <x:row r="1775" ht="23" customHeight="1">
      <x:c r="A1775" s="11" t="str">
        <x:v>I022</x:v>
      </x:c>
      <x:c r="B1775" s="11" t="str">
        <x:v>03759.HK</x:v>
      </x:c>
      <x:c r="C1775" s="11" t="str">
        <x:v>adjustAcquisitionAmort</x:v>
      </x:c>
      <x:c r="D1775" s="39" t="n">
        <x:v>14.496</x:v>
      </x:c>
      <x:c r="E1775" s="11" t="str">
        <x:v>CNY</x:v>
      </x:c>
      <x:c r="F1775" s="11" t="str">
        <x:v>million</x:v>
      </x:c>
      <x:c r="G1775" s="11" t="str">
        <x:v>2026H1 IFRS</x:v>
      </x:c>
      <x:c r="H1775" s="11" t="str">
        <x:v>2026-09-23</x:v>
      </x:c>
      <x:c r="I1775" s="11" t="str">
        <x:v>https://iis.aastocks.com/20260923/12343058-0.PDF</x:v>
      </x:c>
      <x:c r="J1775" s="11" t="str">
        <x:v>首度公开日期 2026-08-20</x:v>
      </x:c>
      <x:c r="K1775" s="11" t="str">
        <x:v>2026-08-20</x:v>
      </x:c>
      <x:c r="L1775" s="11" t="str">
        <x:v>精确发布时间未核验</x:v>
      </x:c>
      <x:c r="M1775" s="11" t="str">
        <x:v>截止日前日期，盘中时分未核</x:v>
      </x:c>
    </x:row>
    <x:row r="1776" ht="23" customHeight="1">
      <x:c r="A1776" s="11" t="str">
        <x:v>I022</x:v>
      </x:c>
      <x:c r="B1776" s="11" t="str">
        <x:v>03759.HK</x:v>
      </x:c>
      <x:c r="C1776" s="11" t="str">
        <x:v>adjustInvestmentGain</x:v>
      </x:c>
      <x:c r="D1776" s="39" t="n">
        <x:v>-30.784</x:v>
      </x:c>
      <x:c r="E1776" s="11" t="str">
        <x:v>CNY</x:v>
      </x:c>
      <x:c r="F1776" s="11" t="str">
        <x:v>million</x:v>
      </x:c>
      <x:c r="G1776" s="11" t="str">
        <x:v>2026H1 IFRS</x:v>
      </x:c>
      <x:c r="H1776" s="11" t="str">
        <x:v>2026-09-23</x:v>
      </x:c>
      <x:c r="I1776" s="11" t="str">
        <x:v>https://iis.aastocks.com/20260923/12343058-0.PDF</x:v>
      </x:c>
      <x:c r="J1776" s="11" t="str">
        <x:v>首度公开日期 2026-08-20</x:v>
      </x:c>
      <x:c r="K1776" s="11" t="str">
        <x:v>2026-08-20</x:v>
      </x:c>
      <x:c r="L1776" s="11" t="str">
        <x:v>精确发布时间未核验</x:v>
      </x:c>
      <x:c r="M1776" s="11" t="str">
        <x:v>截止日前日期，盘中时分未核</x:v>
      </x:c>
    </x:row>
    <x:row r="1777" ht="23" customHeight="1">
      <x:c r="A1777" s="11" t="str">
        <x:v>I022</x:v>
      </x:c>
      <x:c r="B1777" s="11" t="str">
        <x:v>03759.HK</x:v>
      </x:c>
      <x:c r="C1777" s="11" t="str">
        <x:v>adjustRestructure</x:v>
      </x:c>
      <x:c r="D1777" s="39" t="n">
        <x:v>34.051</x:v>
      </x:c>
      <x:c r="E1777" s="11" t="str">
        <x:v>CNY</x:v>
      </x:c>
      <x:c r="F1777" s="11" t="str">
        <x:v>million</x:v>
      </x:c>
      <x:c r="G1777" s="11" t="str">
        <x:v>2026H1 IFRS</x:v>
      </x:c>
      <x:c r="H1777" s="11" t="str">
        <x:v>2026-09-23</x:v>
      </x:c>
      <x:c r="I1777" s="11" t="str">
        <x:v>https://iis.aastocks.com/20260923/12343058-0.PDF</x:v>
      </x:c>
      <x:c r="J1777" s="11" t="str">
        <x:v>首度公开日期 2026-08-20</x:v>
      </x:c>
      <x:c r="K1777" s="11" t="str">
        <x:v>2026-08-20</x:v>
      </x:c>
      <x:c r="L1777" s="11" t="str">
        <x:v>精确发布时间未核验</x:v>
      </x:c>
      <x:c r="M1777" s="11" t="str">
        <x:v>截止日前日期，盘中时分未核</x:v>
      </x:c>
    </x:row>
    <x:row r="1778" ht="23" customHeight="1">
      <x:c r="A1778" s="11" t="str">
        <x:v>I022</x:v>
      </x:c>
      <x:c r="B1778" s="11" t="str">
        <x:v>03759.HK</x:v>
      </x:c>
      <x:c r="C1778" s="11" t="str">
        <x:v>SeptLegalShares</x:v>
      </x:c>
      <x:c r="D1778" s="39" t="n">
        <x:v>1837283628</x:v>
      </x:c>
      <x:c r="E1778" s="11" t="str">
        <x:v>not monetary</x:v>
      </x:c>
      <x:c r="F1778" s="11" t="str">
        <x:v>shares</x:v>
      </x:c>
      <x:c r="G1778" s="11" t="str">
        <x:v>2026-09-30</x:v>
      </x:c>
      <x:c r="H1778" s="11" t="str">
        <x:v>2026-10-07</x:v>
      </x:c>
      <x:c r="I1778" s="11" t="str">
        <x:v>https://iis.aastocks.com/20261007/12365059-0.PDF</x:v>
      </x:c>
      <x:c r="J1778" s="11" t="str">
        <x:v>首度公开日期 2026-10-07</x:v>
      </x:c>
      <x:c r="K1778" s="11" t="str">
        <x:v>2026-10-07</x:v>
      </x:c>
      <x:c r="L1778" s="11" t="str">
        <x:v>精确发布时间未核验</x:v>
      </x:c>
      <x:c r="M1778" s="11" t="str">
        <x:v>截止日前日期，盘中时分未核</x:v>
      </x:c>
    </x:row>
    <x:row r="1779" ht="23" customHeight="1">
      <x:c r="A1779" s="11" t="str">
        <x:v>I022</x:v>
      </x:c>
      <x:c r="B1779" s="11" t="str">
        <x:v>03759.HK</x:v>
      </x:c>
      <x:c r="C1779" s="11" t="str">
        <x:v>SeptLegalExTreasuryShares</x:v>
      </x:c>
      <x:c r="D1779" s="39" t="n">
        <x:v>1835416798</x:v>
      </x:c>
      <x:c r="E1779" s="11" t="str">
        <x:v>not monetary</x:v>
      </x:c>
      <x:c r="F1779" s="11" t="str">
        <x:v>shares</x:v>
      </x:c>
      <x:c r="G1779" s="11" t="str">
        <x:v>2026-09-30</x:v>
      </x:c>
      <x:c r="H1779" s="11" t="str">
        <x:v>2026-10-07</x:v>
      </x:c>
      <x:c r="I1779" s="11" t="str">
        <x:v>https://iis.aastocks.com/20261007/12365059-0.PDF</x:v>
      </x:c>
      <x:c r="J1779" s="11" t="str">
        <x:v>首度公开日期 2026-10-07</x:v>
      </x:c>
      <x:c r="K1779" s="11" t="str">
        <x:v>2026-10-07</x:v>
      </x:c>
      <x:c r="L1779" s="11" t="str">
        <x:v>精确发布时间未核验</x:v>
      </x:c>
      <x:c r="M1779" s="11" t="str">
        <x:v>截止日前日期，盘中时分未核</x:v>
      </x:c>
    </x:row>
    <x:row r="1780" ht="23" customHeight="1">
      <x:c r="A1780" s="11" t="str">
        <x:v>I022</x:v>
      </x:c>
      <x:c r="B1780" s="11" t="str">
        <x:v>03759.HK</x:v>
      </x:c>
      <x:c r="C1780" s="11" t="str">
        <x:v>SeptHExTreasuryShares</x:v>
      </x:c>
      <x:c r="D1780" s="39" t="n">
        <x:v>358111057</x:v>
      </x:c>
      <x:c r="E1780" s="11" t="str">
        <x:v>not monetary</x:v>
      </x:c>
      <x:c r="F1780" s="11" t="str">
        <x:v>shares</x:v>
      </x:c>
      <x:c r="G1780" s="11" t="str">
        <x:v>2026-09-30</x:v>
      </x:c>
      <x:c r="H1780" s="11" t="str">
        <x:v>2026-10-07</x:v>
      </x:c>
      <x:c r="I1780" s="11" t="str">
        <x:v>https://iis.aastocks.com/20261007/12365059-0.PDF</x:v>
      </x:c>
      <x:c r="J1780" s="11" t="str">
        <x:v>首度公开日期 2026-10-07</x:v>
      </x:c>
      <x:c r="K1780" s="11" t="str">
        <x:v>2026-10-07</x:v>
      </x:c>
      <x:c r="L1780" s="11" t="str">
        <x:v>精确发布时间未核验</x:v>
      </x:c>
      <x:c r="M1780" s="11" t="str">
        <x:v>截止日前日期，盘中时分未核</x:v>
      </x:c>
    </x:row>
    <x:row r="1781" ht="23" customHeight="1">
      <x:c r="A1781" s="11" t="str">
        <x:v>I022</x:v>
      </x:c>
      <x:c r="B1781" s="11" t="str">
        <x:v>03759.HK</x:v>
      </x:c>
      <x:c r="C1781" s="11" t="str">
        <x:v>SeptHTreasuryShares</x:v>
      </x:c>
      <x:c r="D1781" s="39" t="n">
        <x:v>1866830</x:v>
      </x:c>
      <x:c r="E1781" s="11" t="str">
        <x:v>not monetary</x:v>
      </x:c>
      <x:c r="F1781" s="11" t="str">
        <x:v>shares</x:v>
      </x:c>
      <x:c r="G1781" s="11" t="str">
        <x:v>2026-09-30</x:v>
      </x:c>
      <x:c r="H1781" s="11" t="str">
        <x:v>2026-10-07</x:v>
      </x:c>
      <x:c r="I1781" s="11" t="str">
        <x:v>https://iis.aastocks.com/20261007/12365059-0.PDF</x:v>
      </x:c>
      <x:c r="J1781" s="11" t="str">
        <x:v>首度公开日期 2026-10-07</x:v>
      </x:c>
      <x:c r="K1781" s="11" t="str">
        <x:v>2026-10-07</x:v>
      </x:c>
      <x:c r="L1781" s="11" t="str">
        <x:v>精确发布时间未核验</x:v>
      </x:c>
      <x:c r="M1781" s="11" t="str">
        <x:v>截止日前日期，盘中时分未核</x:v>
      </x:c>
    </x:row>
    <x:row r="1782" ht="23" customHeight="1">
      <x:c r="A1782" s="11" t="str">
        <x:v>I022</x:v>
      </x:c>
      <x:c r="B1782" s="11" t="str">
        <x:v>03759.HK</x:v>
      </x:c>
      <x:c r="C1782" s="11" t="str">
        <x:v>SeptAShares</x:v>
      </x:c>
      <x:c r="D1782" s="39" t="n">
        <x:v>1477305741</x:v>
      </x:c>
      <x:c r="E1782" s="11" t="str">
        <x:v>not monetary</x:v>
      </x:c>
      <x:c r="F1782" s="11" t="str">
        <x:v>shares</x:v>
      </x:c>
      <x:c r="G1782" s="11" t="str">
        <x:v>2026-09-30</x:v>
      </x:c>
      <x:c r="H1782" s="11" t="str">
        <x:v>2026-10-07</x:v>
      </x:c>
      <x:c r="I1782" s="11" t="str">
        <x:v>https://iis.aastocks.com/20261007/12365059-0.PDF</x:v>
      </x:c>
      <x:c r="J1782" s="11" t="str">
        <x:v>首度公开日期 2026-10-07</x:v>
      </x:c>
      <x:c r="K1782" s="11" t="str">
        <x:v>2026-10-07</x:v>
      </x:c>
      <x:c r="L1782" s="11" t="str">
        <x:v>精确发布时间未核验</x:v>
      </x:c>
      <x:c r="M1782" s="11" t="str">
        <x:v>截止日前日期，盘中时分未核</x:v>
      </x:c>
    </x:row>
    <x:row r="1783" ht="23" customHeight="1">
      <x:c r="A1783" s="11" t="str">
        <x:v>I022</x:v>
      </x:c>
      <x:c r="B1783" s="11" t="str">
        <x:v>03759.HK</x:v>
      </x:c>
      <x:c r="C1783" s="11" t="str">
        <x:v>CBFaceCNYmillion</x:v>
      </x:c>
      <x:c r="D1783" s="39" t="n">
        <x:v>2180</x:v>
      </x:c>
      <x:c r="E1783" s="11" t="str">
        <x:v>CNY</x:v>
      </x:c>
      <x:c r="F1783" s="11" t="str">
        <x:v>million</x:v>
      </x:c>
      <x:c r="G1783" s="11" t="str">
        <x:v>2026-09-02 completed</x:v>
      </x:c>
      <x:c r="H1783" s="11" t="str">
        <x:v>2026-09-02</x:v>
      </x:c>
      <x:c r="I1783" s="11" t="str">
        <x:v>https://iis.aastocks.com/20260827/12301470-0.PDF</x:v>
      </x:c>
      <x:c r="J1783" s="11" t="str">
        <x:v>首度公开日期 2026-08-27</x:v>
      </x:c>
      <x:c r="K1783" s="11" t="str">
        <x:v>2026-08-27</x:v>
      </x:c>
      <x:c r="L1783" s="11" t="str">
        <x:v>精确发布时间未核验</x:v>
      </x:c>
      <x:c r="M1783" s="11" t="str">
        <x:v>截止日前日期，盘中时分未核</x:v>
      </x:c>
    </x:row>
    <x:row r="1784" ht="23" customHeight="1">
      <x:c r="A1784" s="11" t="str">
        <x:v>I022</x:v>
      </x:c>
      <x:c r="B1784" s="11" t="str">
        <x:v>03759.HK</x:v>
      </x:c>
      <x:c r="C1784" s="11" t="str">
        <x:v>CBconversionPriceHKD</x:v>
      </x:c>
      <x:c r="D1784" s="39" t="n">
        <x:v>36.08</x:v>
      </x:c>
      <x:c r="E1784" s="11" t="str">
        <x:v>HKD</x:v>
      </x:c>
      <x:c r="F1784" s="11" t="str">
        <x:v>HKD per share</x:v>
      </x:c>
      <x:c r="G1784" s="11" t="str">
        <x:v>2026-09-02 completed</x:v>
      </x:c>
      <x:c r="H1784" s="11" t="str">
        <x:v>2026-09-02</x:v>
      </x:c>
      <x:c r="I1784" s="11" t="str">
        <x:v>https://iis.aastocks.com/20260827/12301470-0.PDF</x:v>
      </x:c>
      <x:c r="J1784" s="11" t="str">
        <x:v>首度公开日期 2026-08-27</x:v>
      </x:c>
      <x:c r="K1784" s="11" t="str">
        <x:v>2026-08-27</x:v>
      </x:c>
      <x:c r="L1784" s="11" t="str">
        <x:v>精确发布时间未核验</x:v>
      </x:c>
      <x:c r="M1784" s="11" t="str">
        <x:v>截止日前日期，盘中时分未核</x:v>
      </x:c>
    </x:row>
    <x:row r="1785" ht="23" customHeight="1">
      <x:c r="A1785" s="11" t="str">
        <x:v>I022</x:v>
      </x:c>
      <x:c r="B1785" s="11" t="str">
        <x:v>03759.HK</x:v>
      </x:c>
      <x:c r="C1785" s="11" t="str">
        <x:v>CBconversionShares</x:v>
      </x:c>
      <x:c r="D1785" s="39" t="n">
        <x:v>70478579</x:v>
      </x:c>
      <x:c r="E1785" s="11" t="str">
        <x:v>not monetary</x:v>
      </x:c>
      <x:c r="F1785" s="11" t="str">
        <x:v>shares</x:v>
      </x:c>
      <x:c r="G1785" s="11" t="str">
        <x:v>2026-09-02 completed</x:v>
      </x:c>
      <x:c r="H1785" s="11" t="str">
        <x:v>2026-09-02</x:v>
      </x:c>
      <x:c r="I1785" s="11" t="str">
        <x:v>https://iis.aastocks.com/20260827/12301470-0.PDF</x:v>
      </x:c>
      <x:c r="J1785" s="11" t="str">
        <x:v>首度公开日期 2026-08-27</x:v>
      </x:c>
      <x:c r="K1785" s="11" t="str">
        <x:v>2026-08-27</x:v>
      </x:c>
      <x:c r="L1785" s="11" t="str">
        <x:v>精确发布时间未核验</x:v>
      </x:c>
      <x:c r="M1785" s="11" t="str">
        <x:v>截止日前日期，盘中时分未核</x:v>
      </x:c>
    </x:row>
    <x:row r="1786" ht="23" customHeight="1">
      <x:c r="A1786" s="11" t="str">
        <x:v>I022</x:v>
      </x:c>
      <x:c r="B1786" s="11" t="str">
        <x:v>03759.HK</x:v>
      </x:c>
      <x:c r="C1786" s="11" t="str">
        <x:v>CBNetProceedsUSDmillion</x:v>
      </x:c>
      <x:c r="D1786" s="39" t="n">
        <x:v>327.2</x:v>
      </x:c>
      <x:c r="E1786" s="11" t="str">
        <x:v>USD</x:v>
      </x:c>
      <x:c r="F1786" s="11" t="str">
        <x:v>million</x:v>
      </x:c>
      <x:c r="G1786" s="11" t="str">
        <x:v>2026-09-02 completed</x:v>
      </x:c>
      <x:c r="H1786" s="11" t="str">
        <x:v>2026-09-02</x:v>
      </x:c>
      <x:c r="I1786" s="11" t="str">
        <x:v>https://iis.aastocks.com/20260827/12301470-0.PDF</x:v>
      </x:c>
      <x:c r="J1786" s="11" t="str">
        <x:v>首度公开日期 2026-08-27</x:v>
      </x:c>
      <x:c r="K1786" s="11" t="str">
        <x:v>2026-08-27</x:v>
      </x:c>
      <x:c r="L1786" s="11" t="str">
        <x:v>精确发布时间未核验</x:v>
      </x:c>
      <x:c r="M1786" s="11" t="str">
        <x:v>截止日前日期，盘中时分未核</x:v>
      </x:c>
    </x:row>
    <x:row r="1787" ht="23" customHeight="1">
      <x:c r="A1787" s="11" t="str">
        <x:v>I022</x:v>
      </x:c>
      <x:c r="B1787" s="11" t="str">
        <x:v>03759.HK</x:v>
      </x:c>
      <x:c r="C1787" s="11" t="str">
        <x:v>interimDividendCNY</x:v>
      </x:c>
      <x:c r="D1787" s="39" t="n">
        <x:v>0</x:v>
      </x:c>
      <x:c r="E1787" s="11" t="str">
        <x:v>CNY</x:v>
      </x:c>
      <x:c r="F1787" s="11" t="str">
        <x:v>CNY per ordinary share</x:v>
      </x:c>
      <x:c r="G1787" s="11" t="str">
        <x:v>2026H1 IFRS</x:v>
      </x:c>
      <x:c r="H1787" s="11" t="str">
        <x:v>2026-09-23</x:v>
      </x:c>
      <x:c r="I1787" s="11" t="str">
        <x:v>https://iis.aastocks.com/20260923/12343058-0.PDF</x:v>
      </x:c>
      <x:c r="J1787" s="11" t="str">
        <x:v>首度公开日期 2026-08-20</x:v>
      </x:c>
      <x:c r="K1787" s="11" t="str">
        <x:v>2026-08-20</x:v>
      </x:c>
      <x:c r="L1787" s="11" t="str">
        <x:v>精确发布时间未核验</x:v>
      </x:c>
      <x:c r="M1787" s="11" t="str">
        <x:v>截止日前日期，盘中时分未核</x:v>
      </x:c>
    </x:row>
    <x:row r="1788" ht="23" customHeight="1">
      <x:c r="A1788" s="11" t="str">
        <x:v>I022</x:v>
      </x:c>
      <x:c r="B1788" s="11" t="str">
        <x:v>03759.HK</x:v>
      </x:c>
      <x:c r="C1788" s="11" t="str">
        <x:v>cashFlowReportedEndingCash</x:v>
      </x:c>
      <x:c r="D1788" s="39" t="n">
        <x:v>1457.336</x:v>
      </x:c>
      <x:c r="E1788" s="11" t="str">
        <x:v>CNY</x:v>
      </x:c>
      <x:c r="F1788" s="11" t="str">
        <x:v>million</x:v>
      </x:c>
      <x:c r="G1788" s="11" t="str">
        <x:v>2026H1 cashflow statement ending row</x:v>
      </x:c>
      <x:c r="H1788" s="11" t="str">
        <x:v>2026-09-23</x:v>
      </x:c>
      <x:c r="I1788" s="11" t="str">
        <x:v>https://iis.aastocks.com/20260923/12343058-0.PDF</x:v>
      </x:c>
      <x:c r="J1788" s="11" t="str">
        <x:v>0.234m less than balance sheet cash; cause not established from source, not called overdraft</x:v>
      </x:c>
      <x:c r="K1788" s="11" t="str">
        <x:v>待核</x:v>
      </x:c>
      <x:c r="L1788" s="11" t="str">
        <x:v>精确发布时间未核验</x:v>
      </x:c>
      <x:c r="M1788" s="11" t="str">
        <x:v>截止日前日期，盘中时分未核</x:v>
      </x:c>
    </x:row>
    <x:row r="1789" ht="23" customHeight="1">
      <x:c r="A1789" s="11" t="str">
        <x:v>I056</x:v>
      </x:c>
      <x:c r="B1789" s="11" t="str">
        <x:v>09992.HK</x:v>
      </x:c>
      <x:c r="C1789" s="11" t="str">
        <x:v>revenueCNYmillion</x:v>
      </x:c>
      <x:c r="D1789" s="39" t="n">
        <x:v>37120.052</x:v>
      </x:c>
      <x:c r="E1789" s="11" t="str">
        <x:v>CNY</x:v>
      </x:c>
      <x:c r="F1789" s="11" t="str">
        <x:v>million</x:v>
      </x:c>
      <x:c r="G1789" s="11" t="str">
        <x:v>FY2025</x:v>
      </x:c>
      <x:c r="H1789" s="11" t="str">
        <x:v>2026-04-21官网年报，全年结果2026-03-25</x:v>
      </x:c>
      <x:c r="I1789" s="11" t="str">
        <x:v>https://popwebsite.paquapp.com/pdf/ea0e1271-ffaa-4072-ba85-c6e852dfddf1-ANNUAL%20REPORT%202025.pdf</x:v>
      </x:c>
      <x:c r="J1789" s="11" t="str">
        <x:v>reported input; original suffix retains scale</x:v>
      </x:c>
      <x:c r="K1789" s="11" t="str">
        <x:v>待核</x:v>
      </x:c>
      <x:c r="L1789" s="11" t="str">
        <x:v>精确发布时间未核验</x:v>
      </x:c>
      <x:c r="M1789" s="11" t="str">
        <x:v>截止日前日期，盘中时分未核</x:v>
      </x:c>
    </x:row>
    <x:row r="1790" ht="23" customHeight="1">
      <x:c r="A1790" s="11" t="str">
        <x:v>I056</x:v>
      </x:c>
      <x:c r="B1790" s="11" t="str">
        <x:v>09992.HK</x:v>
      </x:c>
      <x:c r="C1790" s="11" t="str">
        <x:v>revenue2024CNYmillion</x:v>
      </x:c>
      <x:c r="D1790" s="39" t="n">
        <x:v>13037.749</x:v>
      </x:c>
      <x:c r="E1790" s="11" t="str">
        <x:v>CNY</x:v>
      </x:c>
      <x:c r="F1790" s="11" t="str">
        <x:v>million</x:v>
      </x:c>
      <x:c r="G1790" s="11" t="str">
        <x:v>FY2025</x:v>
      </x:c>
      <x:c r="H1790" s="11" t="str">
        <x:v>2026-04-21官网年报，全年结果2026-03-25</x:v>
      </x:c>
      <x:c r="I1790" s="11" t="str">
        <x:v>https://popwebsite.paquapp.com/pdf/ea0e1271-ffaa-4072-ba85-c6e852dfddf1-ANNUAL%20REPORT%202025.pdf</x:v>
      </x:c>
      <x:c r="J1790" s="11" t="str">
        <x:v>reported input; original suffix retains scale</x:v>
      </x:c>
      <x:c r="K1790" s="11" t="str">
        <x:v>待核</x:v>
      </x:c>
      <x:c r="L1790" s="11" t="str">
        <x:v>精确发布时间未核验</x:v>
      </x:c>
      <x:c r="M1790" s="11" t="str">
        <x:v>截止日前日期，盘中时分未核</x:v>
      </x:c>
    </x:row>
    <x:row r="1791" ht="23" customHeight="1">
      <x:c r="A1791" s="11" t="str">
        <x:v>I056</x:v>
      </x:c>
      <x:c r="B1791" s="11" t="str">
        <x:v>09992.HK</x:v>
      </x:c>
      <x:c r="C1791" s="11" t="str">
        <x:v>revenue2023CNYmillion</x:v>
      </x:c>
      <x:c r="D1791" s="39" t="n">
        <x:v>6301.002</x:v>
      </x:c>
      <x:c r="E1791" s="11" t="str">
        <x:v>CNY</x:v>
      </x:c>
      <x:c r="F1791" s="11" t="str">
        <x:v>million</x:v>
      </x:c>
      <x:c r="G1791" s="11" t="str">
        <x:v>FY2025</x:v>
      </x:c>
      <x:c r="H1791" s="11" t="str">
        <x:v>2026-04-21官网年报，全年结果2026-03-25</x:v>
      </x:c>
      <x:c r="I1791" s="11" t="str">
        <x:v>https://popwebsite.paquapp.com/pdf/ea0e1271-ffaa-4072-ba85-c6e852dfddf1-ANNUAL%20REPORT%202025.pdf</x:v>
      </x:c>
      <x:c r="J1791" s="11" t="str">
        <x:v>reported input; original suffix retains scale</x:v>
      </x:c>
      <x:c r="K1791" s="11" t="str">
        <x:v>待核</x:v>
      </x:c>
      <x:c r="L1791" s="11" t="str">
        <x:v>精确发布时间未核验</x:v>
      </x:c>
      <x:c r="M1791" s="11" t="str">
        <x:v>截止日前日期，盘中时分未核</x:v>
      </x:c>
    </x:row>
    <x:row r="1792" ht="23" customHeight="1">
      <x:c r="A1792" s="11" t="str">
        <x:v>I056</x:v>
      </x:c>
      <x:c r="B1792" s="11" t="str">
        <x:v>09992.HK</x:v>
      </x:c>
      <x:c r="C1792" s="11" t="str">
        <x:v>profitAttributableCNYmillion</x:v>
      </x:c>
      <x:c r="D1792" s="39" t="n">
        <x:v>12775.689</x:v>
      </x:c>
      <x:c r="E1792" s="11" t="str">
        <x:v>CNY</x:v>
      </x:c>
      <x:c r="F1792" s="11" t="str">
        <x:v>million</x:v>
      </x:c>
      <x:c r="G1792" s="11" t="str">
        <x:v>FY2025</x:v>
      </x:c>
      <x:c r="H1792" s="11" t="str">
        <x:v>2026-04-21官网年报，全年结果2026-03-25</x:v>
      </x:c>
      <x:c r="I1792" s="11" t="str">
        <x:v>https://popwebsite.paquapp.com/pdf/ea0e1271-ffaa-4072-ba85-c6e852dfddf1-ANNUAL%20REPORT%202025.pdf</x:v>
      </x:c>
      <x:c r="J1792" s="11" t="str">
        <x:v>reported input; original suffix retains scale</x:v>
      </x:c>
      <x:c r="K1792" s="11" t="str">
        <x:v>待核</x:v>
      </x:c>
      <x:c r="L1792" s="11" t="str">
        <x:v>精确发布时间未核验</x:v>
      </x:c>
      <x:c r="M1792" s="11" t="str">
        <x:v>截止日前日期，盘中时分未核</x:v>
      </x:c>
    </x:row>
    <x:row r="1793" ht="23" customHeight="1">
      <x:c r="A1793" s="11" t="str">
        <x:v>I056</x:v>
      </x:c>
      <x:c r="B1793" s="11" t="str">
        <x:v>09992.HK</x:v>
      </x:c>
      <x:c r="C1793" s="11" t="str">
        <x:v>profitAttributable2024CNYmillion</x:v>
      </x:c>
      <x:c r="D1793" s="39" t="n">
        <x:v>3125.473</x:v>
      </x:c>
      <x:c r="E1793" s="11" t="str">
        <x:v>CNY</x:v>
      </x:c>
      <x:c r="F1793" s="11" t="str">
        <x:v>million</x:v>
      </x:c>
      <x:c r="G1793" s="11" t="str">
        <x:v>FY2025</x:v>
      </x:c>
      <x:c r="H1793" s="11" t="str">
        <x:v>2026-04-21官网年报，全年结果2026-03-25</x:v>
      </x:c>
      <x:c r="I1793" s="11" t="str">
        <x:v>https://popwebsite.paquapp.com/pdf/ea0e1271-ffaa-4072-ba85-c6e852dfddf1-ANNUAL%20REPORT%202025.pdf</x:v>
      </x:c>
      <x:c r="J1793" s="11" t="str">
        <x:v>reported input; original suffix retains scale</x:v>
      </x:c>
      <x:c r="K1793" s="11" t="str">
        <x:v>待核</x:v>
      </x:c>
      <x:c r="L1793" s="11" t="str">
        <x:v>精确发布时间未核验</x:v>
      </x:c>
      <x:c r="M1793" s="11" t="str">
        <x:v>截止日前日期，盘中时分未核</x:v>
      </x:c>
    </x:row>
    <x:row r="1794" ht="23" customHeight="1">
      <x:c r="A1794" s="11" t="str">
        <x:v>I056</x:v>
      </x:c>
      <x:c r="B1794" s="11" t="str">
        <x:v>09992.HK</x:v>
      </x:c>
      <x:c r="C1794" s="11" t="str">
        <x:v>profitAttributable2023CNYmillion</x:v>
      </x:c>
      <x:c r="D1794" s="39" t="n">
        <x:v>1082.344</x:v>
      </x:c>
      <x:c r="E1794" s="11" t="str">
        <x:v>CNY</x:v>
      </x:c>
      <x:c r="F1794" s="11" t="str">
        <x:v>million</x:v>
      </x:c>
      <x:c r="G1794" s="11" t="str">
        <x:v>FY2025</x:v>
      </x:c>
      <x:c r="H1794" s="11" t="str">
        <x:v>2026-04-21官网年报，全年结果2026-03-25</x:v>
      </x:c>
      <x:c r="I1794" s="11" t="str">
        <x:v>https://popwebsite.paquapp.com/pdf/ea0e1271-ffaa-4072-ba85-c6e852dfddf1-ANNUAL%20REPORT%202025.pdf</x:v>
      </x:c>
      <x:c r="J1794" s="11" t="str">
        <x:v>reported input; original suffix retains scale</x:v>
      </x:c>
      <x:c r="K1794" s="11" t="str">
        <x:v>待核</x:v>
      </x:c>
      <x:c r="L1794" s="11" t="str">
        <x:v>精确发布时间未核验</x:v>
      </x:c>
      <x:c r="M1794" s="11" t="str">
        <x:v>截止日前日期，盘中时分未核</x:v>
      </x:c>
    </x:row>
    <x:row r="1795" ht="23" customHeight="1">
      <x:c r="A1795" s="11" t="str">
        <x:v>I056</x:v>
      </x:c>
      <x:c r="B1795" s="11" t="str">
        <x:v>09992.HK</x:v>
      </x:c>
      <x:c r="C1795" s="11" t="str">
        <x:v>adjustedGroupProfitCNYmillion</x:v>
      </x:c>
      <x:c r="D1795" s="39" t="n">
        <x:v>13083.646</x:v>
      </x:c>
      <x:c r="E1795" s="11" t="str">
        <x:v>CNY</x:v>
      </x:c>
      <x:c r="F1795" s="11" t="str">
        <x:v>million</x:v>
      </x:c>
      <x:c r="G1795" s="11" t="str">
        <x:v>FY2025</x:v>
      </x:c>
      <x:c r="H1795" s="11" t="str">
        <x:v>2026-04-21官网年报，全年结果2026-03-25</x:v>
      </x:c>
      <x:c r="I1795" s="11" t="str">
        <x:v>https://popwebsite.paquapp.com/pdf/ea0e1271-ffaa-4072-ba85-c6e852dfddf1-ANNUAL%20REPORT%202025.pdf</x:v>
      </x:c>
      <x:c r="J1795" s="11" t="str">
        <x:v>reported input; original suffix retains scale</x:v>
      </x:c>
      <x:c r="K1795" s="11" t="str">
        <x:v>待核</x:v>
      </x:c>
      <x:c r="L1795" s="11" t="str">
        <x:v>精确发布时间未核验</x:v>
      </x:c>
      <x:c r="M1795" s="11" t="str">
        <x:v>截止日前日期，盘中时分未核</x:v>
      </x:c>
    </x:row>
    <x:row r="1796" ht="23" customHeight="1">
      <x:c r="A1796" s="11" t="str">
        <x:v>I056</x:v>
      </x:c>
      <x:c r="B1796" s="11" t="str">
        <x:v>09992.HK</x:v>
      </x:c>
      <x:c r="C1796" s="11" t="str">
        <x:v>EPSCNY</x:v>
      </x:c>
      <x:c r="D1796" s="39" t="n">
        <x:v>9.58</x:v>
      </x:c>
      <x:c r="E1796" s="11" t="str">
        <x:v>CNY</x:v>
      </x:c>
      <x:c r="F1796" s="11" t="str">
        <x:v>per ordinary share</x:v>
      </x:c>
      <x:c r="G1796" s="11" t="str">
        <x:v>FY2025</x:v>
      </x:c>
      <x:c r="H1796" s="11" t="str">
        <x:v>2026-04-21官网年报，全年结果2026-03-25</x:v>
      </x:c>
      <x:c r="I1796" s="11" t="str">
        <x:v>https://popwebsite.paquapp.com/pdf/ea0e1271-ffaa-4072-ba85-c6e852dfddf1-ANNUAL%20REPORT%202025.pdf</x:v>
      </x:c>
      <x:c r="J1796" s="11" t="str">
        <x:v>reported input; original suffix retains scale</x:v>
      </x:c>
      <x:c r="K1796" s="11" t="str">
        <x:v>待核</x:v>
      </x:c>
      <x:c r="L1796" s="11" t="str">
        <x:v>精确发布时间未核验</x:v>
      </x:c>
      <x:c r="M1796" s="11" t="str">
        <x:v>截止日前日期，盘中时分未核</x:v>
      </x:c>
    </x:row>
    <x:row r="1797" ht="23" customHeight="1">
      <x:c r="A1797" s="11" t="str">
        <x:v>I056</x:v>
      </x:c>
      <x:c r="B1797" s="11" t="str">
        <x:v>09992.HK</x:v>
      </x:c>
      <x:c r="C1797" s="11" t="str">
        <x:v>weightedDilutedSharesMillion</x:v>
      </x:c>
      <x:c r="D1797" s="39" t="n">
        <x:v>1333.145</x:v>
      </x:c>
      <x:c r="E1797" s="11" t="str">
        <x:v>not monetary</x:v>
      </x:c>
      <x:c r="F1797" s="11" t="str">
        <x:v>million shares</x:v>
      </x:c>
      <x:c r="G1797" s="11" t="str">
        <x:v>FY2025</x:v>
      </x:c>
      <x:c r="H1797" s="11" t="str">
        <x:v>2026-04-21官网年报，全年结果2026-03-25</x:v>
      </x:c>
      <x:c r="I1797" s="11" t="str">
        <x:v>https://popwebsite.paquapp.com/pdf/ea0e1271-ffaa-4072-ba85-c6e852dfddf1-ANNUAL%20REPORT%202025.pdf</x:v>
      </x:c>
      <x:c r="J1797" s="11" t="str">
        <x:v>reported input; original suffix retains scale</x:v>
      </x:c>
      <x:c r="K1797" s="11" t="str">
        <x:v>待核</x:v>
      </x:c>
      <x:c r="L1797" s="11" t="str">
        <x:v>精确发布时间未核验</x:v>
      </x:c>
      <x:c r="M1797" s="11" t="str">
        <x:v>截止日前日期，盘中时分未核</x:v>
      </x:c>
    </x:row>
    <x:row r="1798" ht="23" customHeight="1">
      <x:c r="A1798" s="11" t="str">
        <x:v>I056</x:v>
      </x:c>
      <x:c r="B1798" s="11" t="str">
        <x:v>09992.HK</x:v>
      </x:c>
      <x:c r="C1798" s="11" t="str">
        <x:v>OCFCNYmillion</x:v>
      </x:c>
      <x:c r="D1798" s="39" t="n">
        <x:v>10865.152</x:v>
      </x:c>
      <x:c r="E1798" s="11" t="str">
        <x:v>CNY</x:v>
      </x:c>
      <x:c r="F1798" s="11" t="str">
        <x:v>million</x:v>
      </x:c>
      <x:c r="G1798" s="11" t="str">
        <x:v>FY2025</x:v>
      </x:c>
      <x:c r="H1798" s="11" t="str">
        <x:v>2026-04-21官网年报，全年结果2026-03-25</x:v>
      </x:c>
      <x:c r="I1798" s="11" t="str">
        <x:v>https://popwebsite.paquapp.com/pdf/ea0e1271-ffaa-4072-ba85-c6e852dfddf1-ANNUAL%20REPORT%202025.pdf</x:v>
      </x:c>
      <x:c r="J1798" s="11" t="str">
        <x:v>reported input; original suffix retains scale</x:v>
      </x:c>
      <x:c r="K1798" s="11" t="str">
        <x:v>待核</x:v>
      </x:c>
      <x:c r="L1798" s="11" t="str">
        <x:v>精确发布时间未核验</x:v>
      </x:c>
      <x:c r="M1798" s="11" t="str">
        <x:v>截止日前日期，盘中时分未核</x:v>
      </x:c>
    </x:row>
    <x:row r="1799" ht="23" customHeight="1">
      <x:c r="A1799" s="11" t="str">
        <x:v>I056</x:v>
      </x:c>
      <x:c r="B1799" s="11" t="str">
        <x:v>09992.HK</x:v>
      </x:c>
      <x:c r="C1799" s="11" t="str">
        <x:v>cashPPECNYmillion</x:v>
      </x:c>
      <x:c r="D1799" s="39" t="n">
        <x:v>985.25</x:v>
      </x:c>
      <x:c r="E1799" s="11" t="str">
        <x:v>CNY</x:v>
      </x:c>
      <x:c r="F1799" s="11" t="str">
        <x:v>million</x:v>
      </x:c>
      <x:c r="G1799" s="11" t="str">
        <x:v>FY2025</x:v>
      </x:c>
      <x:c r="H1799" s="11" t="str">
        <x:v>2026-04-21官网年报，全年结果2026-03-25</x:v>
      </x:c>
      <x:c r="I1799" s="11" t="str">
        <x:v>https://popwebsite.paquapp.com/pdf/ea0e1271-ffaa-4072-ba85-c6e852dfddf1-ANNUAL%20REPORT%202025.pdf</x:v>
      </x:c>
      <x:c r="J1799" s="11" t="str">
        <x:v>reported input; original suffix retains scale</x:v>
      </x:c>
      <x:c r="K1799" s="11" t="str">
        <x:v>待核</x:v>
      </x:c>
      <x:c r="L1799" s="11" t="str">
        <x:v>精确发布时间未核验</x:v>
      </x:c>
      <x:c r="M1799" s="11" t="str">
        <x:v>截止日前日期，盘中时分未核</x:v>
      </x:c>
    </x:row>
    <x:row r="1800" ht="23" customHeight="1">
      <x:c r="A1800" s="11" t="str">
        <x:v>I056</x:v>
      </x:c>
      <x:c r="B1800" s="11" t="str">
        <x:v>09992.HK</x:v>
      </x:c>
      <x:c r="C1800" s="11" t="str">
        <x:v>cashIntangibleCNYmillion</x:v>
      </x:c>
      <x:c r="D1800" s="39" t="n">
        <x:v>186.287</x:v>
      </x:c>
      <x:c r="E1800" s="11" t="str">
        <x:v>CNY</x:v>
      </x:c>
      <x:c r="F1800" s="11" t="str">
        <x:v>million</x:v>
      </x:c>
      <x:c r="G1800" s="11" t="str">
        <x:v>FY2025</x:v>
      </x:c>
      <x:c r="H1800" s="11" t="str">
        <x:v>2026-04-21官网年报，全年结果2026-03-25</x:v>
      </x:c>
      <x:c r="I1800" s="11" t="str">
        <x:v>https://popwebsite.paquapp.com/pdf/ea0e1271-ffaa-4072-ba85-c6e852dfddf1-ANNUAL%20REPORT%202025.pdf</x:v>
      </x:c>
      <x:c r="J1800" s="11" t="str">
        <x:v>reported input; original suffix retains scale</x:v>
      </x:c>
      <x:c r="K1800" s="11" t="str">
        <x:v>待核</x:v>
      </x:c>
      <x:c r="L1800" s="11" t="str">
        <x:v>精确发布时间未核验</x:v>
      </x:c>
      <x:c r="M1800" s="11" t="str">
        <x:v>截止日前日期，盘中时分未核</x:v>
      </x:c>
    </x:row>
    <x:row r="1801" ht="23" customHeight="1">
      <x:c r="A1801" s="11" t="str">
        <x:v>I056</x:v>
      </x:c>
      <x:c r="B1801" s="11" t="str">
        <x:v>09992.HK</x:v>
      </x:c>
      <x:c r="C1801" s="11" t="str">
        <x:v>FCFResearchProxyCNYmillion</x:v>
      </x:c>
      <x:c r="D1801" s="39" t="n">
        <x:v>9693.615</x:v>
      </x:c>
      <x:c r="E1801" s="11" t="str">
        <x:v>CNY</x:v>
      </x:c>
      <x:c r="F1801" s="11" t="str">
        <x:v>million</x:v>
      </x:c>
      <x:c r="G1801" s="11" t="str">
        <x:v>FY2025</x:v>
      </x:c>
      <x:c r="H1801" s="11" t="str">
        <x:v>2026-04-21官网年报，全年结果2026-03-25</x:v>
      </x:c>
      <x:c r="I1801" s="11" t="str">
        <x:v>https://popwebsite.paquapp.com/pdf/ea0e1271-ffaa-4072-ba85-c6e852dfddf1-ANNUAL%20REPORT%202025.pdf</x:v>
      </x:c>
      <x:c r="J1801" s="11" t="str">
        <x:v>research calculation from primary inputs</x:v>
      </x:c>
      <x:c r="K1801" s="11" t="str">
        <x:v>待核</x:v>
      </x:c>
      <x:c r="L1801" s="11" t="str">
        <x:v>精确发布时间未核验</x:v>
      </x:c>
      <x:c r="M1801" s="11" t="str">
        <x:v>截止日前日期，盘中时分未核</x:v>
      </x:c>
    </x:row>
    <x:row r="1802" ht="23" customHeight="1">
      <x:c r="A1802" s="11" t="str">
        <x:v>I056</x:v>
      </x:c>
      <x:c r="B1802" s="11" t="str">
        <x:v>09992.HK</x:v>
      </x:c>
      <x:c r="C1802" s="11" t="str">
        <x:v>PRCRevenueCNYmillion</x:v>
      </x:c>
      <x:c r="D1802" s="39" t="n">
        <x:v>20851.717</x:v>
      </x:c>
      <x:c r="E1802" s="11" t="str">
        <x:v>CNY</x:v>
      </x:c>
      <x:c r="F1802" s="11" t="str">
        <x:v>million</x:v>
      </x:c>
      <x:c r="G1802" s="11" t="str">
        <x:v>FY2025</x:v>
      </x:c>
      <x:c r="H1802" s="11" t="str">
        <x:v>2026-04-21官网年报，全年结果2026-03-25</x:v>
      </x:c>
      <x:c r="I1802" s="11" t="str">
        <x:v>https://popwebsite.paquapp.com/pdf/ea0e1271-ffaa-4072-ba85-c6e852dfddf1-ANNUAL%20REPORT%202025.pdf</x:v>
      </x:c>
      <x:c r="J1802" s="11" t="str">
        <x:v>reported input; original suffix retains scale</x:v>
      </x:c>
      <x:c r="K1802" s="11" t="str">
        <x:v>待核</x:v>
      </x:c>
      <x:c r="L1802" s="11" t="str">
        <x:v>精确发布时间未核验</x:v>
      </x:c>
      <x:c r="M1802" s="11" t="str">
        <x:v>截止日前日期，盘中时分未核</x:v>
      </x:c>
    </x:row>
    <x:row r="1803" ht="23" customHeight="1">
      <x:c r="A1803" s="11" t="str">
        <x:v>I056</x:v>
      </x:c>
      <x:c r="B1803" s="11" t="str">
        <x:v>09992.HK</x:v>
      </x:c>
      <x:c r="C1803" s="11" t="str">
        <x:v>overseasRevenueResearchCNYmillion</x:v>
      </x:c>
      <x:c r="D1803" s="39" t="n">
        <x:v>16268.335</x:v>
      </x:c>
      <x:c r="E1803" s="11" t="str">
        <x:v>CNY</x:v>
      </x:c>
      <x:c r="F1803" s="11" t="str">
        <x:v>million</x:v>
      </x:c>
      <x:c r="G1803" s="11" t="str">
        <x:v>FY2025</x:v>
      </x:c>
      <x:c r="H1803" s="11" t="str">
        <x:v>2026-04-21官网年报，全年结果2026-03-25</x:v>
      </x:c>
      <x:c r="I1803" s="11" t="str">
        <x:v>https://popwebsite.paquapp.com/pdf/ea0e1271-ffaa-4072-ba85-c6e852dfddf1-ANNUAL%20REPORT%202025.pdf</x:v>
      </x:c>
      <x:c r="J1803" s="11" t="str">
        <x:v>research calculation from primary inputs</x:v>
      </x:c>
      <x:c r="K1803" s="11" t="str">
        <x:v>待核</x:v>
      </x:c>
      <x:c r="L1803" s="11" t="str">
        <x:v>精确发布时间未核验</x:v>
      </x:c>
      <x:c r="M1803" s="11" t="str">
        <x:v>截止日前日期，盘中时分未核</x:v>
      </x:c>
    </x:row>
    <x:row r="1804" ht="23" customHeight="1">
      <x:c r="A1804" s="11" t="str">
        <x:v>I056</x:v>
      </x:c>
      <x:c r="B1804" s="11" t="str">
        <x:v>09992.HK</x:v>
      </x:c>
      <x:c r="C1804" s="11" t="str">
        <x:v>THEMONSTERSRevenueCNYmillion</x:v>
      </x:c>
      <x:c r="D1804" s="39" t="n">
        <x:v>14161.064</x:v>
      </x:c>
      <x:c r="E1804" s="11" t="str">
        <x:v>CNY</x:v>
      </x:c>
      <x:c r="F1804" s="11" t="str">
        <x:v>million</x:v>
      </x:c>
      <x:c r="G1804" s="11" t="str">
        <x:v>FY2025</x:v>
      </x:c>
      <x:c r="H1804" s="11" t="str">
        <x:v>2026-04-21官网年报，全年结果2026-03-25</x:v>
      </x:c>
      <x:c r="I1804" s="11" t="str">
        <x:v>https://popwebsite.paquapp.com/pdf/ea0e1271-ffaa-4072-ba85-c6e852dfddf1-ANNUAL%20REPORT%202025.pdf</x:v>
      </x:c>
      <x:c r="J1804" s="11" t="str">
        <x:v>reported input; original suffix retains scale</x:v>
      </x:c>
      <x:c r="K1804" s="11" t="str">
        <x:v>待核</x:v>
      </x:c>
      <x:c r="L1804" s="11" t="str">
        <x:v>精确发布时间未核验</x:v>
      </x:c>
      <x:c r="M1804" s="11" t="str">
        <x:v>截止日前日期，盘中时分未核</x:v>
      </x:c>
    </x:row>
    <x:row r="1805" ht="23" customHeight="1">
      <x:c r="A1805" s="11" t="str">
        <x:v>I056</x:v>
      </x:c>
      <x:c r="B1805" s="11" t="str">
        <x:v>09992.HK</x:v>
      </x:c>
      <x:c r="C1805" s="11" t="str">
        <x:v>revenueCNYmillion</x:v>
      </x:c>
      <x:c r="D1805" s="39" t="n">
        <x:v>17172.921</x:v>
      </x:c>
      <x:c r="E1805" s="11" t="str">
        <x:v>CNY</x:v>
      </x:c>
      <x:c r="F1805" s="11" t="str">
        <x:v>million</x:v>
      </x:c>
      <x:c r="G1805" s="11" t="str">
        <x:v>2026H1</x:v>
      </x:c>
      <x:c r="H1805" s="11" t="str">
        <x:v>2026-09-24中报；2026-08-20结果公告</x:v>
      </x:c>
      <x:c r="I1805" s="11" t="str">
        <x:v>https://popwebsite.paquapp.com/pdf/a94bf743-292d-4472-8442-00abf8f773b8-2026%20INTERIM%20REPORT.pdf</x:v>
      </x:c>
      <x:c r="J1805" s="11" t="str">
        <x:v>reported input; original suffix retains scale</x:v>
      </x:c>
      <x:c r="K1805" s="11" t="str">
        <x:v>待核</x:v>
      </x:c>
      <x:c r="L1805" s="11" t="str">
        <x:v>精确发布时间未核验</x:v>
      </x:c>
      <x:c r="M1805" s="11" t="str">
        <x:v>截止日前日期，盘中时分未核</x:v>
      </x:c>
    </x:row>
    <x:row r="1806" ht="23" customHeight="1">
      <x:c r="A1806" s="11" t="str">
        <x:v>I056</x:v>
      </x:c>
      <x:c r="B1806" s="11" t="str">
        <x:v>09992.HK</x:v>
      </x:c>
      <x:c r="C1806" s="11" t="str">
        <x:v>profitAttributableCNYmillion</x:v>
      </x:c>
      <x:c r="D1806" s="39" t="n">
        <x:v>5038.384</x:v>
      </x:c>
      <x:c r="E1806" s="11" t="str">
        <x:v>CNY</x:v>
      </x:c>
      <x:c r="F1806" s="11" t="str">
        <x:v>million</x:v>
      </x:c>
      <x:c r="G1806" s="11" t="str">
        <x:v>2026H1</x:v>
      </x:c>
      <x:c r="H1806" s="11" t="str">
        <x:v>2026-09-24中报；2026-08-20结果公告</x:v>
      </x:c>
      <x:c r="I1806" s="11" t="str">
        <x:v>https://popwebsite.paquapp.com/pdf/a94bf743-292d-4472-8442-00abf8f773b8-2026%20INTERIM%20REPORT.pdf</x:v>
      </x:c>
      <x:c r="J1806" s="11" t="str">
        <x:v>reported input; original suffix retains scale</x:v>
      </x:c>
      <x:c r="K1806" s="11" t="str">
        <x:v>待核</x:v>
      </x:c>
      <x:c r="L1806" s="11" t="str">
        <x:v>精确发布时间未核验</x:v>
      </x:c>
      <x:c r="M1806" s="11" t="str">
        <x:v>截止日前日期，盘中时分未核</x:v>
      </x:c>
    </x:row>
    <x:row r="1807" ht="23" customHeight="1">
      <x:c r="A1807" s="11" t="str">
        <x:v>I056</x:v>
      </x:c>
      <x:c r="B1807" s="11" t="str">
        <x:v>09992.HK</x:v>
      </x:c>
      <x:c r="C1807" s="11" t="str">
        <x:v>groupProfitCNYmillion</x:v>
      </x:c>
      <x:c r="D1807" s="39" t="n">
        <x:v>5100.31</x:v>
      </x:c>
      <x:c r="E1807" s="11" t="str">
        <x:v>CNY</x:v>
      </x:c>
      <x:c r="F1807" s="11" t="str">
        <x:v>million</x:v>
      </x:c>
      <x:c r="G1807" s="11" t="str">
        <x:v>2026H1</x:v>
      </x:c>
      <x:c r="H1807" s="11" t="str">
        <x:v>2026-09-24中报；2026-08-20结果公告</x:v>
      </x:c>
      <x:c r="I1807" s="11" t="str">
        <x:v>https://popwebsite.paquapp.com/pdf/a94bf743-292d-4472-8442-00abf8f773b8-2026%20INTERIM%20REPORT.pdf</x:v>
      </x:c>
      <x:c r="J1807" s="11" t="str">
        <x:v>reported input; original suffix retains scale</x:v>
      </x:c>
      <x:c r="K1807" s="11" t="str">
        <x:v>待核</x:v>
      </x:c>
      <x:c r="L1807" s="11" t="str">
        <x:v>精确发布时间未核验</x:v>
      </x:c>
      <x:c r="M1807" s="11" t="str">
        <x:v>截止日前日期，盘中时分未核</x:v>
      </x:c>
    </x:row>
    <x:row r="1808" ht="23" customHeight="1">
      <x:c r="A1808" s="11" t="str">
        <x:v>I056</x:v>
      </x:c>
      <x:c r="B1808" s="11" t="str">
        <x:v>09992.HK</x:v>
      </x:c>
      <x:c r="C1808" s="11" t="str">
        <x:v>adjustedGroupProfitCNYmillion</x:v>
      </x:c>
      <x:c r="D1808" s="39" t="n">
        <x:v>5155.777</x:v>
      </x:c>
      <x:c r="E1808" s="11" t="str">
        <x:v>CNY</x:v>
      </x:c>
      <x:c r="F1808" s="11" t="str">
        <x:v>million</x:v>
      </x:c>
      <x:c r="G1808" s="11" t="str">
        <x:v>2026H1</x:v>
      </x:c>
      <x:c r="H1808" s="11" t="str">
        <x:v>2026-09-24中报；2026-08-20结果公告</x:v>
      </x:c>
      <x:c r="I1808" s="11" t="str">
        <x:v>https://popwebsite.paquapp.com/pdf/a94bf743-292d-4472-8442-00abf8f773b8-2026%20INTERIM%20REPORT.pdf</x:v>
      </x:c>
      <x:c r="J1808" s="11" t="str">
        <x:v>reported input; original suffix retains scale</x:v>
      </x:c>
      <x:c r="K1808" s="11" t="str">
        <x:v>待核</x:v>
      </x:c>
      <x:c r="L1808" s="11" t="str">
        <x:v>精确发布时间未核验</x:v>
      </x:c>
      <x:c r="M1808" s="11" t="str">
        <x:v>截止日前日期，盘中时分未核</x:v>
      </x:c>
    </x:row>
    <x:row r="1809" ht="23" customHeight="1">
      <x:c r="A1809" s="11" t="str">
        <x:v>I056</x:v>
      </x:c>
      <x:c r="B1809" s="11" t="str">
        <x:v>09992.HK</x:v>
      </x:c>
      <x:c r="C1809" s="11" t="str">
        <x:v>EPSCNY</x:v>
      </x:c>
      <x:c r="D1809" s="39" t="n">
        <x:v>3.79</x:v>
      </x:c>
      <x:c r="E1809" s="11" t="str">
        <x:v>CNY</x:v>
      </x:c>
      <x:c r="F1809" s="11" t="str">
        <x:v>per ordinary share</x:v>
      </x:c>
      <x:c r="G1809" s="11" t="str">
        <x:v>2026H1</x:v>
      </x:c>
      <x:c r="H1809" s="11" t="str">
        <x:v>2026-09-24中报；2026-08-20结果公告</x:v>
      </x:c>
      <x:c r="I1809" s="11" t="str">
        <x:v>https://popwebsite.paquapp.com/pdf/a94bf743-292d-4472-8442-00abf8f773b8-2026%20INTERIM%20REPORT.pdf</x:v>
      </x:c>
      <x:c r="J1809" s="11" t="str">
        <x:v>reported input; original suffix retains scale</x:v>
      </x:c>
      <x:c r="K1809" s="11" t="str">
        <x:v>待核</x:v>
      </x:c>
      <x:c r="L1809" s="11" t="str">
        <x:v>精确发布时间未核验</x:v>
      </x:c>
      <x:c r="M1809" s="11" t="str">
        <x:v>截止日前日期，盘中时分未核</x:v>
      </x:c>
    </x:row>
    <x:row r="1810" ht="23" customHeight="1">
      <x:c r="A1810" s="11" t="str">
        <x:v>I056</x:v>
      </x:c>
      <x:c r="B1810" s="11" t="str">
        <x:v>09992.HK</x:v>
      </x:c>
      <x:c r="C1810" s="11" t="str">
        <x:v>weightedDilutedSharesMillion</x:v>
      </x:c>
      <x:c r="D1810" s="39" t="n">
        <x:v>1327.866</x:v>
      </x:c>
      <x:c r="E1810" s="11" t="str">
        <x:v>not monetary</x:v>
      </x:c>
      <x:c r="F1810" s="11" t="str">
        <x:v>million shares</x:v>
      </x:c>
      <x:c r="G1810" s="11" t="str">
        <x:v>2026H1</x:v>
      </x:c>
      <x:c r="H1810" s="11" t="str">
        <x:v>2026-09-24中报；2026-08-20结果公告</x:v>
      </x:c>
      <x:c r="I1810" s="11" t="str">
        <x:v>https://popwebsite.paquapp.com/pdf/a94bf743-292d-4472-8442-00abf8f773b8-2026%20INTERIM%20REPORT.pdf</x:v>
      </x:c>
      <x:c r="J1810" s="11" t="str">
        <x:v>reported input; original suffix retains scale</x:v>
      </x:c>
      <x:c r="K1810" s="11" t="str">
        <x:v>待核</x:v>
      </x:c>
      <x:c r="L1810" s="11" t="str">
        <x:v>精确发布时间未核验</x:v>
      </x:c>
      <x:c r="M1810" s="11" t="str">
        <x:v>截止日前日期，盘中时分未核</x:v>
      </x:c>
    </x:row>
    <x:row r="1811" ht="23" customHeight="1">
      <x:c r="A1811" s="11" t="str">
        <x:v>I056</x:v>
      </x:c>
      <x:c r="B1811" s="11" t="str">
        <x:v>09992.HK</x:v>
      </x:c>
      <x:c r="C1811" s="11" t="str">
        <x:v>issuedSharesAtJune30</x:v>
      </x:c>
      <x:c r="D1811" s="39" t="n">
        <x:v>1331723150</x:v>
      </x:c>
      <x:c r="E1811" s="11" t="str">
        <x:v>not monetary</x:v>
      </x:c>
      <x:c r="F1811" s="11" t="str">
        <x:v>shares</x:v>
      </x:c>
      <x:c r="G1811" s="11" t="str">
        <x:v>2026H1</x:v>
      </x:c>
      <x:c r="H1811" s="11" t="str">
        <x:v>2026-09-24中报；2026-08-20结果公告</x:v>
      </x:c>
      <x:c r="I1811" s="11" t="str">
        <x:v>https://popwebsite.paquapp.com/pdf/a94bf743-292d-4472-8442-00abf8f773b8-2026%20INTERIM%20REPORT.pdf</x:v>
      </x:c>
      <x:c r="J1811" s="11" t="str">
        <x:v>reported input; original suffix retains scale</x:v>
      </x:c>
      <x:c r="K1811" s="11" t="str">
        <x:v>待核</x:v>
      </x:c>
      <x:c r="L1811" s="11" t="str">
        <x:v>精确发布时间未核验</x:v>
      </x:c>
      <x:c r="M1811" s="11" t="str">
        <x:v>截止日前日期，盘中时分未核</x:v>
      </x:c>
    </x:row>
    <x:row r="1812" ht="23" customHeight="1">
      <x:c r="A1812" s="11" t="str">
        <x:v>I056</x:v>
      </x:c>
      <x:c r="B1812" s="11" t="str">
        <x:v>09992.HK</x:v>
      </x:c>
      <x:c r="C1812" s="11" t="str">
        <x:v>repurchasedAndCancelledSharesH1</x:v>
      </x:c>
      <x:c r="D1812" s="39" t="n">
        <x:v>11220000</x:v>
      </x:c>
      <x:c r="E1812" s="11" t="str">
        <x:v>not monetary</x:v>
      </x:c>
      <x:c r="F1812" s="11" t="str">
        <x:v>shares</x:v>
      </x:c>
      <x:c r="G1812" s="11" t="str">
        <x:v>2026H1</x:v>
      </x:c>
      <x:c r="H1812" s="11" t="str">
        <x:v>2026-09-24中报；2026-08-20结果公告</x:v>
      </x:c>
      <x:c r="I1812" s="11" t="str">
        <x:v>https://popwebsite.paquapp.com/pdf/a94bf743-292d-4472-8442-00abf8f773b8-2026%20INTERIM%20REPORT.pdf</x:v>
      </x:c>
      <x:c r="J1812" s="11" t="str">
        <x:v>reported input; original suffix retains scale</x:v>
      </x:c>
      <x:c r="K1812" s="11" t="str">
        <x:v>待核</x:v>
      </x:c>
      <x:c r="L1812" s="11" t="str">
        <x:v>精确发布时间未核验</x:v>
      </x:c>
      <x:c r="M1812" s="11" t="str">
        <x:v>截止日前日期，盘中时分未核</x:v>
      </x:c>
    </x:row>
    <x:row r="1813" ht="23" customHeight="1">
      <x:c r="A1813" s="11" t="str">
        <x:v>I056</x:v>
      </x:c>
      <x:c r="B1813" s="11" t="str">
        <x:v>09992.HK</x:v>
      </x:c>
      <x:c r="C1813" s="11" t="str">
        <x:v>repurchaseCostH1HKD</x:v>
      </x:c>
      <x:c r="D1813" s="39" t="n">
        <x:v>1744493320</x:v>
      </x:c>
      <x:c r="E1813" s="11" t="str">
        <x:v>HKD</x:v>
      </x:c>
      <x:c r="F1813" s="11" t="str">
        <x:v>HKD/share</x:v>
      </x:c>
      <x:c r="G1813" s="11" t="str">
        <x:v>2026H1</x:v>
      </x:c>
      <x:c r="H1813" s="11" t="str">
        <x:v>2026-09-24中报；2026-08-20结果公告</x:v>
      </x:c>
      <x:c r="I1813" s="11" t="str">
        <x:v>https://popwebsite.paquapp.com/pdf/a94bf743-292d-4472-8442-00abf8f773b8-2026%20INTERIM%20REPORT.pdf</x:v>
      </x:c>
      <x:c r="J1813" s="11" t="str">
        <x:v>reported input; original suffix retains scale</x:v>
      </x:c>
      <x:c r="K1813" s="11" t="str">
        <x:v>待核</x:v>
      </x:c>
      <x:c r="L1813" s="11" t="str">
        <x:v>精确发布时间未核验</x:v>
      </x:c>
      <x:c r="M1813" s="11" t="str">
        <x:v>截止日前日期，盘中时分未核</x:v>
      </x:c>
    </x:row>
    <x:row r="1814" ht="23" customHeight="1">
      <x:c r="A1814" s="11" t="str">
        <x:v>I056</x:v>
      </x:c>
      <x:c r="B1814" s="11" t="str">
        <x:v>09992.HK</x:v>
      </x:c>
      <x:c r="C1814" s="11" t="str">
        <x:v>repurchaseCostH1CNYmillion</x:v>
      </x:c>
      <x:c r="D1814" s="39" t="n">
        <x:v>1545.689</x:v>
      </x:c>
      <x:c r="E1814" s="11" t="str">
        <x:v>CNY</x:v>
      </x:c>
      <x:c r="F1814" s="11" t="str">
        <x:v>million</x:v>
      </x:c>
      <x:c r="G1814" s="11" t="str">
        <x:v>2026H1</x:v>
      </x:c>
      <x:c r="H1814" s="11" t="str">
        <x:v>2026-09-24中报；2026-08-20结果公告</x:v>
      </x:c>
      <x:c r="I1814" s="11" t="str">
        <x:v>https://popwebsite.paquapp.com/pdf/a94bf743-292d-4472-8442-00abf8f773b8-2026%20INTERIM%20REPORT.pdf</x:v>
      </x:c>
      <x:c r="J1814" s="11" t="str">
        <x:v>reported input; original suffix retains scale</x:v>
      </x:c>
      <x:c r="K1814" s="11" t="str">
        <x:v>待核</x:v>
      </x:c>
      <x:c r="L1814" s="11" t="str">
        <x:v>精确发布时间未核验</x:v>
      </x:c>
      <x:c r="M1814" s="11" t="str">
        <x:v>截止日前日期，盘中时分未核</x:v>
      </x:c>
    </x:row>
    <x:row r="1815" ht="23" customHeight="1">
      <x:c r="A1815" s="11" t="str">
        <x:v>I056</x:v>
      </x:c>
      <x:c r="B1815" s="11" t="str">
        <x:v>09992.HK</x:v>
      </x:c>
      <x:c r="C1815" s="11" t="str">
        <x:v>PRCRevenueCNYmillion</x:v>
      </x:c>
      <x:c r="D1815" s="39" t="n">
        <x:v>12200.509</x:v>
      </x:c>
      <x:c r="E1815" s="11" t="str">
        <x:v>CNY</x:v>
      </x:c>
      <x:c r="F1815" s="11" t="str">
        <x:v>million</x:v>
      </x:c>
      <x:c r="G1815" s="11" t="str">
        <x:v>2026H1</x:v>
      </x:c>
      <x:c r="H1815" s="11" t="str">
        <x:v>2026-09-24中报；2026-08-20结果公告</x:v>
      </x:c>
      <x:c r="I1815" s="11" t="str">
        <x:v>https://popwebsite.paquapp.com/pdf/a94bf743-292d-4472-8442-00abf8f773b8-2026%20INTERIM%20REPORT.pdf</x:v>
      </x:c>
      <x:c r="J1815" s="11" t="str">
        <x:v>reported input; original suffix retains scale</x:v>
      </x:c>
      <x:c r="K1815" s="11" t="str">
        <x:v>待核</x:v>
      </x:c>
      <x:c r="L1815" s="11" t="str">
        <x:v>精确发布时间未核验</x:v>
      </x:c>
      <x:c r="M1815" s="11" t="str">
        <x:v>截止日前日期，盘中时分未核</x:v>
      </x:c>
    </x:row>
    <x:row r="1816" ht="23" customHeight="1">
      <x:c r="A1816" s="11" t="str">
        <x:v>I056</x:v>
      </x:c>
      <x:c r="B1816" s="11" t="str">
        <x:v>09992.HK</x:v>
      </x:c>
      <x:c r="C1816" s="11" t="str">
        <x:v>overseasRevenueCNYmillion</x:v>
      </x:c>
      <x:c r="D1816" s="39" t="n">
        <x:v>4972.412</x:v>
      </x:c>
      <x:c r="E1816" s="11" t="str">
        <x:v>CNY</x:v>
      </x:c>
      <x:c r="F1816" s="11" t="str">
        <x:v>million</x:v>
      </x:c>
      <x:c r="G1816" s="11" t="str">
        <x:v>2026H1</x:v>
      </x:c>
      <x:c r="H1816" s="11" t="str">
        <x:v>2026-09-24中报；2026-08-20结果公告</x:v>
      </x:c>
      <x:c r="I1816" s="11" t="str">
        <x:v>https://popwebsite.paquapp.com/pdf/a94bf743-292d-4472-8442-00abf8f773b8-2026%20INTERIM%20REPORT.pdf</x:v>
      </x:c>
      <x:c r="J1816" s="11" t="str">
        <x:v>reported input; original suffix retains scale</x:v>
      </x:c>
      <x:c r="K1816" s="11" t="str">
        <x:v>待核</x:v>
      </x:c>
      <x:c r="L1816" s="11" t="str">
        <x:v>精确发布时间未核验</x:v>
      </x:c>
      <x:c r="M1816" s="11" t="str">
        <x:v>截止日前日期，盘中时分未核</x:v>
      </x:c>
    </x:row>
    <x:row r="1817" ht="23" customHeight="1">
      <x:c r="A1817" s="11" t="str">
        <x:v>I056</x:v>
      </x:c>
      <x:c r="B1817" s="11" t="str">
        <x:v>09992.HK</x:v>
      </x:c>
      <x:c r="C1817" s="11" t="str">
        <x:v>PRCSegmentEBITCNYmillion</x:v>
      </x:c>
      <x:c r="D1817" s="39" t="n">
        <x:v>6471.322</x:v>
      </x:c>
      <x:c r="E1817" s="11" t="str">
        <x:v>CNY</x:v>
      </x:c>
      <x:c r="F1817" s="11" t="str">
        <x:v>million</x:v>
      </x:c>
      <x:c r="G1817" s="11" t="str">
        <x:v>2026H1</x:v>
      </x:c>
      <x:c r="H1817" s="11" t="str">
        <x:v>2026-09-24中报；2026-08-20结果公告</x:v>
      </x:c>
      <x:c r="I1817" s="11" t="str">
        <x:v>https://popwebsite.paquapp.com/pdf/a94bf743-292d-4472-8442-00abf8f773b8-2026%20INTERIM%20REPORT.pdf</x:v>
      </x:c>
      <x:c r="J1817" s="11" t="str">
        <x:v>reported input; original suffix retains scale</x:v>
      </x:c>
      <x:c r="K1817" s="11" t="str">
        <x:v>待核</x:v>
      </x:c>
      <x:c r="L1817" s="11" t="str">
        <x:v>精确发布时间未核验</x:v>
      </x:c>
      <x:c r="M1817" s="11" t="str">
        <x:v>截止日前日期，盘中时分未核</x:v>
      </x:c>
    </x:row>
    <x:row r="1818" ht="23" customHeight="1">
      <x:c r="A1818" s="11" t="str">
        <x:v>I056</x:v>
      </x:c>
      <x:c r="B1818" s="11" t="str">
        <x:v>09992.HK</x:v>
      </x:c>
      <x:c r="C1818" s="11" t="str">
        <x:v>overseasSegmentEBITCNYmillion</x:v>
      </x:c>
      <x:c r="D1818" s="39" t="n">
        <x:v>1508.492</x:v>
      </x:c>
      <x:c r="E1818" s="11" t="str">
        <x:v>CNY</x:v>
      </x:c>
      <x:c r="F1818" s="11" t="str">
        <x:v>million</x:v>
      </x:c>
      <x:c r="G1818" s="11" t="str">
        <x:v>2026H1</x:v>
      </x:c>
      <x:c r="H1818" s="11" t="str">
        <x:v>2026-09-24中报；2026-08-20结果公告</x:v>
      </x:c>
      <x:c r="I1818" s="11" t="str">
        <x:v>https://popwebsite.paquapp.com/pdf/a94bf743-292d-4472-8442-00abf8f773b8-2026%20INTERIM%20REPORT.pdf</x:v>
      </x:c>
      <x:c r="J1818" s="11" t="str">
        <x:v>reported input; original suffix retains scale</x:v>
      </x:c>
      <x:c r="K1818" s="11" t="str">
        <x:v>待核</x:v>
      </x:c>
      <x:c r="L1818" s="11" t="str">
        <x:v>精确发布时间未核验</x:v>
      </x:c>
      <x:c r="M1818" s="11" t="str">
        <x:v>截止日前日期，盘中时分未核</x:v>
      </x:c>
    </x:row>
    <x:row r="1819" ht="23" customHeight="1">
      <x:c r="A1819" s="11" t="str">
        <x:v>I056</x:v>
      </x:c>
      <x:c r="B1819" s="11" t="str">
        <x:v>09992.HK</x:v>
      </x:c>
      <x:c r="C1819" s="11" t="str">
        <x:v>unallocatedCostCNYmillion</x:v>
      </x:c>
      <x:c r="D1819" s="39" t="n">
        <x:v>869.072</x:v>
      </x:c>
      <x:c r="E1819" s="11" t="str">
        <x:v>CNY</x:v>
      </x:c>
      <x:c r="F1819" s="11" t="str">
        <x:v>million</x:v>
      </x:c>
      <x:c r="G1819" s="11" t="str">
        <x:v>2026H1</x:v>
      </x:c>
      <x:c r="H1819" s="11" t="str">
        <x:v>2026-09-24中报；2026-08-20结果公告</x:v>
      </x:c>
      <x:c r="I1819" s="11" t="str">
        <x:v>https://popwebsite.paquapp.com/pdf/a94bf743-292d-4472-8442-00abf8f773b8-2026%20INTERIM%20REPORT.pdf</x:v>
      </x:c>
      <x:c r="J1819" s="11" t="str">
        <x:v>reported input; original suffix retains scale</x:v>
      </x:c>
      <x:c r="K1819" s="11" t="str">
        <x:v>待核</x:v>
      </x:c>
      <x:c r="L1819" s="11" t="str">
        <x:v>精确发布时间未核验</x:v>
      </x:c>
      <x:c r="M1819" s="11" t="str">
        <x:v>截止日前日期，盘中时分未核</x:v>
      </x:c>
    </x:row>
    <x:row r="1820" ht="23" customHeight="1">
      <x:c r="A1820" s="11" t="str">
        <x:v>I056</x:v>
      </x:c>
      <x:c r="B1820" s="11" t="str">
        <x:v>09992.HK</x:v>
      </x:c>
      <x:c r="C1820" s="11" t="str">
        <x:v>normalGroupSegmentEBITCNYmillion</x:v>
      </x:c>
      <x:c r="D1820" s="39" t="n">
        <x:v>7110.742</x:v>
      </x:c>
      <x:c r="E1820" s="11" t="str">
        <x:v>CNY</x:v>
      </x:c>
      <x:c r="F1820" s="11" t="str">
        <x:v>million</x:v>
      </x:c>
      <x:c r="G1820" s="11" t="str">
        <x:v>2026H1</x:v>
      </x:c>
      <x:c r="H1820" s="11" t="str">
        <x:v>2026-09-24中报；2026-08-20结果公告</x:v>
      </x:c>
      <x:c r="I1820" s="11" t="str">
        <x:v>https://popwebsite.paquapp.com/pdf/a94bf743-292d-4472-8442-00abf8f773b8-2026%20INTERIM%20REPORT.pdf</x:v>
      </x:c>
      <x:c r="J1820" s="11" t="str">
        <x:v>reported input; original suffix retains scale</x:v>
      </x:c>
      <x:c r="K1820" s="11" t="str">
        <x:v>待核</x:v>
      </x:c>
      <x:c r="L1820" s="11" t="str">
        <x:v>精确发布时间未核验</x:v>
      </x:c>
      <x:c r="M1820" s="11" t="str">
        <x:v>截止日前日期，盘中时分未核</x:v>
      </x:c>
    </x:row>
    <x:row r="1821" ht="23" customHeight="1">
      <x:c r="A1821" s="11" t="str">
        <x:v>I056</x:v>
      </x:c>
      <x:c r="B1821" s="11" t="str">
        <x:v>09992.HK</x:v>
      </x:c>
      <x:c r="C1821" s="11" t="str">
        <x:v>PRCRetailRevenueCNYmillion</x:v>
      </x:c>
      <x:c r="D1821" s="39" t="n">
        <x:v>6089.686</x:v>
      </x:c>
      <x:c r="E1821" s="11" t="str">
        <x:v>CNY</x:v>
      </x:c>
      <x:c r="F1821" s="11" t="str">
        <x:v>million</x:v>
      </x:c>
      <x:c r="G1821" s="11" t="str">
        <x:v>2026H1</x:v>
      </x:c>
      <x:c r="H1821" s="11" t="str">
        <x:v>2026-09-24中报；2026-08-20结果公告</x:v>
      </x:c>
      <x:c r="I1821" s="11" t="str">
        <x:v>https://popwebsite.paquapp.com/pdf/a94bf743-292d-4472-8442-00abf8f773b8-2026%20INTERIM%20REPORT.pdf</x:v>
      </x:c>
      <x:c r="J1821" s="11" t="str">
        <x:v>reported input; original suffix retains scale</x:v>
      </x:c>
      <x:c r="K1821" s="11" t="str">
        <x:v>待核</x:v>
      </x:c>
      <x:c r="L1821" s="11" t="str">
        <x:v>精确发布时间未核验</x:v>
      </x:c>
      <x:c r="M1821" s="11" t="str">
        <x:v>截止日前日期，盘中时分未核</x:v>
      </x:c>
    </x:row>
    <x:row r="1822" ht="23" customHeight="1">
      <x:c r="A1822" s="11" t="str">
        <x:v>I056</x:v>
      </x:c>
      <x:c r="B1822" s="11" t="str">
        <x:v>09992.HK</x:v>
      </x:c>
      <x:c r="C1822" s="11" t="str">
        <x:v>PRCOnlineRevenueCNYmillion</x:v>
      </x:c>
      <x:c r="D1822" s="39" t="n">
        <x:v>4778.746</x:v>
      </x:c>
      <x:c r="E1822" s="11" t="str">
        <x:v>CNY</x:v>
      </x:c>
      <x:c r="F1822" s="11" t="str">
        <x:v>million</x:v>
      </x:c>
      <x:c r="G1822" s="11" t="str">
        <x:v>2026H1</x:v>
      </x:c>
      <x:c r="H1822" s="11" t="str">
        <x:v>2026-09-24中报；2026-08-20结果公告</x:v>
      </x:c>
      <x:c r="I1822" s="11" t="str">
        <x:v>https://popwebsite.paquapp.com/pdf/a94bf743-292d-4472-8442-00abf8f773b8-2026%20INTERIM%20REPORT.pdf</x:v>
      </x:c>
      <x:c r="J1822" s="11" t="str">
        <x:v>reported input; original suffix retains scale</x:v>
      </x:c>
      <x:c r="K1822" s="11" t="str">
        <x:v>待核</x:v>
      </x:c>
      <x:c r="L1822" s="11" t="str">
        <x:v>精确发布时间未核验</x:v>
      </x:c>
      <x:c r="M1822" s="11" t="str">
        <x:v>截止日前日期，盘中时分未核</x:v>
      </x:c>
    </x:row>
    <x:row r="1823" ht="23" customHeight="1">
      <x:c r="A1823" s="11" t="str">
        <x:v>I056</x:v>
      </x:c>
      <x:c r="B1823" s="11" t="str">
        <x:v>09992.HK</x:v>
      </x:c>
      <x:c r="C1823" s="11" t="str">
        <x:v>PRCRoboshopRevenueCNYmillion</x:v>
      </x:c>
      <x:c r="D1823" s="39" t="n">
        <x:v>778.953</x:v>
      </x:c>
      <x:c r="E1823" s="11" t="str">
        <x:v>CNY</x:v>
      </x:c>
      <x:c r="F1823" s="11" t="str">
        <x:v>million</x:v>
      </x:c>
      <x:c r="G1823" s="11" t="str">
        <x:v>2026H1</x:v>
      </x:c>
      <x:c r="H1823" s="11" t="str">
        <x:v>2026-09-24中报；2026-08-20结果公告</x:v>
      </x:c>
      <x:c r="I1823" s="11" t="str">
        <x:v>https://popwebsite.paquapp.com/pdf/a94bf743-292d-4472-8442-00abf8f773b8-2026%20INTERIM%20REPORT.pdf</x:v>
      </x:c>
      <x:c r="J1823" s="11" t="str">
        <x:v>reported input; original suffix retains scale</x:v>
      </x:c>
      <x:c r="K1823" s="11" t="str">
        <x:v>待核</x:v>
      </x:c>
      <x:c r="L1823" s="11" t="str">
        <x:v>精确发布时间未核验</x:v>
      </x:c>
      <x:c r="M1823" s="11" t="str">
        <x:v>截止日前日期，盘中时分未核</x:v>
      </x:c>
    </x:row>
    <x:row r="1824" ht="23" customHeight="1">
      <x:c r="A1824" s="11" t="str">
        <x:v>I056</x:v>
      </x:c>
      <x:c r="B1824" s="11" t="str">
        <x:v>09992.HK</x:v>
      </x:c>
      <x:c r="C1824" s="11" t="str">
        <x:v>PRCOtherRevenueCNYmillion</x:v>
      </x:c>
      <x:c r="D1824" s="39" t="n">
        <x:v>553.124</x:v>
      </x:c>
      <x:c r="E1824" s="11" t="str">
        <x:v>CNY</x:v>
      </x:c>
      <x:c r="F1824" s="11" t="str">
        <x:v>million</x:v>
      </x:c>
      <x:c r="G1824" s="11" t="str">
        <x:v>2026H1</x:v>
      </x:c>
      <x:c r="H1824" s="11" t="str">
        <x:v>2026-09-24中报；2026-08-20结果公告</x:v>
      </x:c>
      <x:c r="I1824" s="11" t="str">
        <x:v>https://popwebsite.paquapp.com/pdf/a94bf743-292d-4472-8442-00abf8f773b8-2026%20INTERIM%20REPORT.pdf</x:v>
      </x:c>
      <x:c r="J1824" s="11" t="str">
        <x:v>reported input; original suffix retains scale</x:v>
      </x:c>
      <x:c r="K1824" s="11" t="str">
        <x:v>待核</x:v>
      </x:c>
      <x:c r="L1824" s="11" t="str">
        <x:v>精确发布时间未核验</x:v>
      </x:c>
      <x:c r="M1824" s="11" t="str">
        <x:v>截止日前日期，盘中时分未核</x:v>
      </x:c>
    </x:row>
    <x:row r="1825" ht="23" customHeight="1">
      <x:c r="A1825" s="11" t="str">
        <x:v>I056</x:v>
      </x:c>
      <x:c r="B1825" s="11" t="str">
        <x:v>09992.HK</x:v>
      </x:c>
      <x:c r="C1825" s="11" t="str">
        <x:v>overseasRetailRevenueCNYmillion</x:v>
      </x:c>
      <x:c r="D1825" s="39" t="n">
        <x:v>3022.301</x:v>
      </x:c>
      <x:c r="E1825" s="11" t="str">
        <x:v>CNY</x:v>
      </x:c>
      <x:c r="F1825" s="11" t="str">
        <x:v>million</x:v>
      </x:c>
      <x:c r="G1825" s="11" t="str">
        <x:v>2026H1</x:v>
      </x:c>
      <x:c r="H1825" s="11" t="str">
        <x:v>2026-09-24中报；2026-08-20结果公告</x:v>
      </x:c>
      <x:c r="I1825" s="11" t="str">
        <x:v>https://popwebsite.paquapp.com/pdf/a94bf743-292d-4472-8442-00abf8f773b8-2026%20INTERIM%20REPORT.pdf</x:v>
      </x:c>
      <x:c r="J1825" s="11" t="str">
        <x:v>reported input; original suffix retains scale</x:v>
      </x:c>
      <x:c r="K1825" s="11" t="str">
        <x:v>待核</x:v>
      </x:c>
      <x:c r="L1825" s="11" t="str">
        <x:v>精确发布时间未核验</x:v>
      </x:c>
      <x:c r="M1825" s="11" t="str">
        <x:v>截止日前日期，盘中时分未核</x:v>
      </x:c>
    </x:row>
    <x:row r="1826" ht="23" customHeight="1">
      <x:c r="A1826" s="11" t="str">
        <x:v>I056</x:v>
      </x:c>
      <x:c r="B1826" s="11" t="str">
        <x:v>09992.HK</x:v>
      </x:c>
      <x:c r="C1826" s="11" t="str">
        <x:v>overseasOnlineRevenueCNYmillion</x:v>
      </x:c>
      <x:c r="D1826" s="39" t="n">
        <x:v>1433.325</x:v>
      </x:c>
      <x:c r="E1826" s="11" t="str">
        <x:v>CNY</x:v>
      </x:c>
      <x:c r="F1826" s="11" t="str">
        <x:v>million</x:v>
      </x:c>
      <x:c r="G1826" s="11" t="str">
        <x:v>2026H1</x:v>
      </x:c>
      <x:c r="H1826" s="11" t="str">
        <x:v>2026-09-24中报；2026-08-20结果公告</x:v>
      </x:c>
      <x:c r="I1826" s="11" t="str">
        <x:v>https://popwebsite.paquapp.com/pdf/a94bf743-292d-4472-8442-00abf8f773b8-2026%20INTERIM%20REPORT.pdf</x:v>
      </x:c>
      <x:c r="J1826" s="11" t="str">
        <x:v>reported input; original suffix retains scale</x:v>
      </x:c>
      <x:c r="K1826" s="11" t="str">
        <x:v>待核</x:v>
      </x:c>
      <x:c r="L1826" s="11" t="str">
        <x:v>精确发布时间未核验</x:v>
      </x:c>
      <x:c r="M1826" s="11" t="str">
        <x:v>截止日前日期，盘中时分未核</x:v>
      </x:c>
    </x:row>
    <x:row r="1827" ht="23" customHeight="1">
      <x:c r="A1827" s="11" t="str">
        <x:v>I056</x:v>
      </x:c>
      <x:c r="B1827" s="11" t="str">
        <x:v>09992.HK</x:v>
      </x:c>
      <x:c r="C1827" s="11" t="str">
        <x:v>overseasRoboshopRevenueCNYmillion</x:v>
      </x:c>
      <x:c r="D1827" s="39" t="n">
        <x:v>171.572</x:v>
      </x:c>
      <x:c r="E1827" s="11" t="str">
        <x:v>CNY</x:v>
      </x:c>
      <x:c r="F1827" s="11" t="str">
        <x:v>million</x:v>
      </x:c>
      <x:c r="G1827" s="11" t="str">
        <x:v>2026H1</x:v>
      </x:c>
      <x:c r="H1827" s="11" t="str">
        <x:v>2026-09-24中报；2026-08-20结果公告</x:v>
      </x:c>
      <x:c r="I1827" s="11" t="str">
        <x:v>https://popwebsite.paquapp.com/pdf/a94bf743-292d-4472-8442-00abf8f773b8-2026%20INTERIM%20REPORT.pdf</x:v>
      </x:c>
      <x:c r="J1827" s="11" t="str">
        <x:v>reported input; original suffix retains scale</x:v>
      </x:c>
      <x:c r="K1827" s="11" t="str">
        <x:v>待核</x:v>
      </x:c>
      <x:c r="L1827" s="11" t="str">
        <x:v>精确发布时间未核验</x:v>
      </x:c>
      <x:c r="M1827" s="11" t="str">
        <x:v>截止日前日期，盘中时分未核</x:v>
      </x:c>
    </x:row>
    <x:row r="1828" ht="23" customHeight="1">
      <x:c r="A1828" s="11" t="str">
        <x:v>I056</x:v>
      </x:c>
      <x:c r="B1828" s="11" t="str">
        <x:v>09992.HK</x:v>
      </x:c>
      <x:c r="C1828" s="11" t="str">
        <x:v>overseasOtherRevenueCNYmillion</x:v>
      </x:c>
      <x:c r="D1828" s="39" t="n">
        <x:v>345.214</x:v>
      </x:c>
      <x:c r="E1828" s="11" t="str">
        <x:v>CNY</x:v>
      </x:c>
      <x:c r="F1828" s="11" t="str">
        <x:v>million</x:v>
      </x:c>
      <x:c r="G1828" s="11" t="str">
        <x:v>2026H1</x:v>
      </x:c>
      <x:c r="H1828" s="11" t="str">
        <x:v>2026-09-24中报；2026-08-20结果公告</x:v>
      </x:c>
      <x:c r="I1828" s="11" t="str">
        <x:v>https://popwebsite.paquapp.com/pdf/a94bf743-292d-4472-8442-00abf8f773b8-2026%20INTERIM%20REPORT.pdf</x:v>
      </x:c>
      <x:c r="J1828" s="11" t="str">
        <x:v>reported input; original suffix retains scale</x:v>
      </x:c>
      <x:c r="K1828" s="11" t="str">
        <x:v>待核</x:v>
      </x:c>
      <x:c r="L1828" s="11" t="str">
        <x:v>精确发布时间未核验</x:v>
      </x:c>
      <x:c r="M1828" s="11" t="str">
        <x:v>截止日前日期，盘中时分未核</x:v>
      </x:c>
    </x:row>
    <x:row r="1829" ht="23" customHeight="1">
      <x:c r="A1829" s="11" t="str">
        <x:v>I056</x:v>
      </x:c>
      <x:c r="B1829" s="11" t="str">
        <x:v>09992.HK</x:v>
      </x:c>
      <x:c r="C1829" s="11" t="str">
        <x:v>THEMONSTERSRevenueCNYmillion</x:v>
      </x:c>
      <x:c r="D1829" s="39" t="n">
        <x:v>4454.361</x:v>
      </x:c>
      <x:c r="E1829" s="11" t="str">
        <x:v>CNY</x:v>
      </x:c>
      <x:c r="F1829" s="11" t="str">
        <x:v>million</x:v>
      </x:c>
      <x:c r="G1829" s="11" t="str">
        <x:v>2026H1</x:v>
      </x:c>
      <x:c r="H1829" s="11" t="str">
        <x:v>2026-09-24中报；2026-08-20结果公告</x:v>
      </x:c>
      <x:c r="I1829" s="11" t="str">
        <x:v>https://popwebsite.paquapp.com/pdf/a94bf743-292d-4472-8442-00abf8f773b8-2026%20INTERIM%20REPORT.pdf</x:v>
      </x:c>
      <x:c r="J1829" s="11" t="str">
        <x:v>reported input; original suffix retains scale</x:v>
      </x:c>
      <x:c r="K1829" s="11" t="str">
        <x:v>待核</x:v>
      </x:c>
      <x:c r="L1829" s="11" t="str">
        <x:v>精确发布时间未核验</x:v>
      </x:c>
      <x:c r="M1829" s="11" t="str">
        <x:v>截止日前日期，盘中时分未核</x:v>
      </x:c>
    </x:row>
    <x:row r="1830" ht="23" customHeight="1">
      <x:c r="A1830" s="11" t="str">
        <x:v>I056</x:v>
      </x:c>
      <x:c r="B1830" s="11" t="str">
        <x:v>09992.HK</x:v>
      </x:c>
      <x:c r="C1830" s="11" t="str">
        <x:v>THEMONSTERS2025H1RevenueCNYmillion</x:v>
      </x:c>
      <x:c r="D1830" s="39" t="n">
        <x:v>4814.017</x:v>
      </x:c>
      <x:c r="E1830" s="11" t="str">
        <x:v>CNY</x:v>
      </x:c>
      <x:c r="F1830" s="11" t="str">
        <x:v>million</x:v>
      </x:c>
      <x:c r="G1830" s="11" t="str">
        <x:v>2026H1</x:v>
      </x:c>
      <x:c r="H1830" s="11" t="str">
        <x:v>2026-09-24中报；2026-08-20结果公告</x:v>
      </x:c>
      <x:c r="I1830" s="11" t="str">
        <x:v>https://popwebsite.paquapp.com/pdf/a94bf743-292d-4472-8442-00abf8f773b8-2026%20INTERIM%20REPORT.pdf</x:v>
      </x:c>
      <x:c r="J1830" s="11" t="str">
        <x:v>reported input; original suffix retains scale</x:v>
      </x:c>
      <x:c r="K1830" s="11" t="str">
        <x:v>待核</x:v>
      </x:c>
      <x:c r="L1830" s="11" t="str">
        <x:v>精确发布时间未核验</x:v>
      </x:c>
      <x:c r="M1830" s="11" t="str">
        <x:v>截止日前日期，盘中时分未核</x:v>
      </x:c>
    </x:row>
    <x:row r="1831" ht="23" customHeight="1">
      <x:c r="A1831" s="11" t="str">
        <x:v>I056</x:v>
      </x:c>
      <x:c r="B1831" s="11" t="str">
        <x:v>09992.HK</x:v>
      </x:c>
      <x:c r="C1831" s="11" t="str">
        <x:v>TwinkleRevenueCNYmillion</x:v>
      </x:c>
      <x:c r="D1831" s="39" t="n">
        <x:v>2649.969</x:v>
      </x:c>
      <x:c r="E1831" s="11" t="str">
        <x:v>CNY</x:v>
      </x:c>
      <x:c r="F1831" s="11" t="str">
        <x:v>million</x:v>
      </x:c>
      <x:c r="G1831" s="11" t="str">
        <x:v>2026H1</x:v>
      </x:c>
      <x:c r="H1831" s="11" t="str">
        <x:v>2026-09-24中报；2026-08-20结果公告</x:v>
      </x:c>
      <x:c r="I1831" s="11" t="str">
        <x:v>https://popwebsite.paquapp.com/pdf/a94bf743-292d-4472-8442-00abf8f773b8-2026%20INTERIM%20REPORT.pdf</x:v>
      </x:c>
      <x:c r="J1831" s="11" t="str">
        <x:v>reported input; original suffix retains scale</x:v>
      </x:c>
      <x:c r="K1831" s="11" t="str">
        <x:v>待核</x:v>
      </x:c>
      <x:c r="L1831" s="11" t="str">
        <x:v>精确发布时间未核验</x:v>
      </x:c>
      <x:c r="M1831" s="11" t="str">
        <x:v>截止日前日期，盘中时分未核</x:v>
      </x:c>
    </x:row>
    <x:row r="1832" ht="23" customHeight="1">
      <x:c r="A1832" s="11" t="str">
        <x:v>I056</x:v>
      </x:c>
      <x:c r="B1832" s="11" t="str">
        <x:v>09992.HK</x:v>
      </x:c>
      <x:c r="C1832" s="11" t="str">
        <x:v>CRYBABYRevenueCNYmillion</x:v>
      </x:c>
      <x:c r="D1832" s="39" t="n">
        <x:v>1632.57</x:v>
      </x:c>
      <x:c r="E1832" s="11" t="str">
        <x:v>CNY</x:v>
      </x:c>
      <x:c r="F1832" s="11" t="str">
        <x:v>million</x:v>
      </x:c>
      <x:c r="G1832" s="11" t="str">
        <x:v>2026H1</x:v>
      </x:c>
      <x:c r="H1832" s="11" t="str">
        <x:v>2026-09-24中报；2026-08-20结果公告</x:v>
      </x:c>
      <x:c r="I1832" s="11" t="str">
        <x:v>https://popwebsite.paquapp.com/pdf/a94bf743-292d-4472-8442-00abf8f773b8-2026%20INTERIM%20REPORT.pdf</x:v>
      </x:c>
      <x:c r="J1832" s="11" t="str">
        <x:v>reported input; original suffix retains scale</x:v>
      </x:c>
      <x:c r="K1832" s="11" t="str">
        <x:v>待核</x:v>
      </x:c>
      <x:c r="L1832" s="11" t="str">
        <x:v>精确发布时间未核验</x:v>
      </x:c>
      <x:c r="M1832" s="11" t="str">
        <x:v>截止日前日期，盘中时分未核</x:v>
      </x:c>
    </x:row>
    <x:row r="1833" ht="23" customHeight="1">
      <x:c r="A1833" s="11" t="str">
        <x:v>I056</x:v>
      </x:c>
      <x:c r="B1833" s="11" t="str">
        <x:v>09992.HK</x:v>
      </x:c>
      <x:c r="C1833" s="11" t="str">
        <x:v>DIMOORevenueCNYmillion</x:v>
      </x:c>
      <x:c r="D1833" s="39" t="n">
        <x:v>1619.217</x:v>
      </x:c>
      <x:c r="E1833" s="11" t="str">
        <x:v>CNY</x:v>
      </x:c>
      <x:c r="F1833" s="11" t="str">
        <x:v>million</x:v>
      </x:c>
      <x:c r="G1833" s="11" t="str">
        <x:v>2026H1</x:v>
      </x:c>
      <x:c r="H1833" s="11" t="str">
        <x:v>2026-09-24中报；2026-08-20结果公告</x:v>
      </x:c>
      <x:c r="I1833" s="11" t="str">
        <x:v>https://popwebsite.paquapp.com/pdf/a94bf743-292d-4472-8442-00abf8f773b8-2026%20INTERIM%20REPORT.pdf</x:v>
      </x:c>
      <x:c r="J1833" s="11" t="str">
        <x:v>reported input; original suffix retains scale</x:v>
      </x:c>
      <x:c r="K1833" s="11" t="str">
        <x:v>待核</x:v>
      </x:c>
      <x:c r="L1833" s="11" t="str">
        <x:v>精确发布时间未核验</x:v>
      </x:c>
      <x:c r="M1833" s="11" t="str">
        <x:v>截止日前日期，盘中时分未核</x:v>
      </x:c>
    </x:row>
    <x:row r="1834" ht="23" customHeight="1">
      <x:c r="A1834" s="11" t="str">
        <x:v>I056</x:v>
      </x:c>
      <x:c r="B1834" s="11" t="str">
        <x:v>09992.HK</x:v>
      </x:c>
      <x:c r="C1834" s="11" t="str">
        <x:v>SKULLPANDARevenueCNYmillion</x:v>
      </x:c>
      <x:c r="D1834" s="39" t="n">
        <x:v>1551.211</x:v>
      </x:c>
      <x:c r="E1834" s="11" t="str">
        <x:v>CNY</x:v>
      </x:c>
      <x:c r="F1834" s="11" t="str">
        <x:v>million</x:v>
      </x:c>
      <x:c r="G1834" s="11" t="str">
        <x:v>2026H1</x:v>
      </x:c>
      <x:c r="H1834" s="11" t="str">
        <x:v>2026-09-24中报；2026-08-20结果公告</x:v>
      </x:c>
      <x:c r="I1834" s="11" t="str">
        <x:v>https://popwebsite.paquapp.com/pdf/a94bf743-292d-4472-8442-00abf8f773b8-2026%20INTERIM%20REPORT.pdf</x:v>
      </x:c>
      <x:c r="J1834" s="11" t="str">
        <x:v>reported input; original suffix retains scale</x:v>
      </x:c>
      <x:c r="K1834" s="11" t="str">
        <x:v>待核</x:v>
      </x:c>
      <x:c r="L1834" s="11" t="str">
        <x:v>精确发布时间未核验</x:v>
      </x:c>
      <x:c r="M1834" s="11" t="str">
        <x:v>截止日前日期，盘中时分未核</x:v>
      </x:c>
    </x:row>
    <x:row r="1835" ht="23" customHeight="1">
      <x:c r="A1835" s="11" t="str">
        <x:v>I056</x:v>
      </x:c>
      <x:c r="B1835" s="11" t="str">
        <x:v>09992.HK</x:v>
      </x:c>
      <x:c r="C1835" s="11" t="str">
        <x:v>HIRONORevenueCNYmillion</x:v>
      </x:c>
      <x:c r="D1835" s="39" t="n">
        <x:v>1008.855</x:v>
      </x:c>
      <x:c r="E1835" s="11" t="str">
        <x:v>CNY</x:v>
      </x:c>
      <x:c r="F1835" s="11" t="str">
        <x:v>million</x:v>
      </x:c>
      <x:c r="G1835" s="11" t="str">
        <x:v>2026H1</x:v>
      </x:c>
      <x:c r="H1835" s="11" t="str">
        <x:v>2026-09-24中报；2026-08-20结果公告</x:v>
      </x:c>
      <x:c r="I1835" s="11" t="str">
        <x:v>https://popwebsite.paquapp.com/pdf/a94bf743-292d-4472-8442-00abf8f773b8-2026%20INTERIM%20REPORT.pdf</x:v>
      </x:c>
      <x:c r="J1835" s="11" t="str">
        <x:v>reported input; original suffix retains scale</x:v>
      </x:c>
      <x:c r="K1835" s="11" t="str">
        <x:v>待核</x:v>
      </x:c>
      <x:c r="L1835" s="11" t="str">
        <x:v>精确发布时间未核验</x:v>
      </x:c>
      <x:c r="M1835" s="11" t="str">
        <x:v>截止日前日期，盘中时分未核</x:v>
      </x:c>
    </x:row>
    <x:row r="1836" ht="23" customHeight="1">
      <x:c r="A1836" s="11" t="str">
        <x:v>I056</x:v>
      </x:c>
      <x:c r="B1836" s="11" t="str">
        <x:v>09992.HK</x:v>
      </x:c>
      <x:c r="C1836" s="11" t="str">
        <x:v>MOLLYRevenueCNYmillion</x:v>
      </x:c>
      <x:c r="D1836" s="39" t="n">
        <x:v>900.631</x:v>
      </x:c>
      <x:c r="E1836" s="11" t="str">
        <x:v>CNY</x:v>
      </x:c>
      <x:c r="F1836" s="11" t="str">
        <x:v>million</x:v>
      </x:c>
      <x:c r="G1836" s="11" t="str">
        <x:v>2026H1</x:v>
      </x:c>
      <x:c r="H1836" s="11" t="str">
        <x:v>2026-09-24中报；2026-08-20结果公告</x:v>
      </x:c>
      <x:c r="I1836" s="11" t="str">
        <x:v>https://popwebsite.paquapp.com/pdf/a94bf743-292d-4472-8442-00abf8f773b8-2026%20INTERIM%20REPORT.pdf</x:v>
      </x:c>
      <x:c r="J1836" s="11" t="str">
        <x:v>reported input; original suffix retains scale</x:v>
      </x:c>
      <x:c r="K1836" s="11" t="str">
        <x:v>待核</x:v>
      </x:c>
      <x:c r="L1836" s="11" t="str">
        <x:v>精确发布时间未核验</x:v>
      </x:c>
      <x:c r="M1836" s="11" t="str">
        <x:v>截止日前日期，盘中时分未核</x:v>
      </x:c>
    </x:row>
    <x:row r="1837" ht="23" customHeight="1">
      <x:c r="A1837" s="11" t="str">
        <x:v>I056</x:v>
      </x:c>
      <x:c r="B1837" s="11" t="str">
        <x:v>09992.HK</x:v>
      </x:c>
      <x:c r="C1837" s="11" t="str">
        <x:v>artistIPRevenueCNYmillion</x:v>
      </x:c>
      <x:c r="D1837" s="39" t="n">
        <x:v>15289.469</x:v>
      </x:c>
      <x:c r="E1837" s="11" t="str">
        <x:v>CNY</x:v>
      </x:c>
      <x:c r="F1837" s="11" t="str">
        <x:v>million</x:v>
      </x:c>
      <x:c r="G1837" s="11" t="str">
        <x:v>2026H1</x:v>
      </x:c>
      <x:c r="H1837" s="11" t="str">
        <x:v>2026-09-24中报；2026-08-20结果公告</x:v>
      </x:c>
      <x:c r="I1837" s="11" t="str">
        <x:v>https://popwebsite.paquapp.com/pdf/a94bf743-292d-4472-8442-00abf8f773b8-2026%20INTERIM%20REPORT.pdf</x:v>
      </x:c>
      <x:c r="J1837" s="11" t="str">
        <x:v>reported input; original suffix retains scale</x:v>
      </x:c>
      <x:c r="K1837" s="11" t="str">
        <x:v>待核</x:v>
      </x:c>
      <x:c r="L1837" s="11" t="str">
        <x:v>精确发布时间未核验</x:v>
      </x:c>
      <x:c r="M1837" s="11" t="str">
        <x:v>截止日前日期，盘中时分未核</x:v>
      </x:c>
    </x:row>
    <x:row r="1838" ht="23" customHeight="1">
      <x:c r="A1838" s="11" t="str">
        <x:v>I056</x:v>
      </x:c>
      <x:c r="B1838" s="11" t="str">
        <x:v>09992.HK</x:v>
      </x:c>
      <x:c r="C1838" s="11" t="str">
        <x:v>licensedIPRevenueCNYmillion</x:v>
      </x:c>
      <x:c r="D1838" s="39" t="n">
        <x:v>1771.199</x:v>
      </x:c>
      <x:c r="E1838" s="11" t="str">
        <x:v>CNY</x:v>
      </x:c>
      <x:c r="F1838" s="11" t="str">
        <x:v>million</x:v>
      </x:c>
      <x:c r="G1838" s="11" t="str">
        <x:v>2026H1</x:v>
      </x:c>
      <x:c r="H1838" s="11" t="str">
        <x:v>2026-09-24中报；2026-08-20结果公告</x:v>
      </x:c>
      <x:c r="I1838" s="11" t="str">
        <x:v>https://popwebsite.paquapp.com/pdf/a94bf743-292d-4472-8442-00abf8f773b8-2026%20INTERIM%20REPORT.pdf</x:v>
      </x:c>
      <x:c r="J1838" s="11" t="str">
        <x:v>reported input; original suffix retains scale</x:v>
      </x:c>
      <x:c r="K1838" s="11" t="str">
        <x:v>待核</x:v>
      </x:c>
      <x:c r="L1838" s="11" t="str">
        <x:v>精确发布时间未核验</x:v>
      </x:c>
      <x:c r="M1838" s="11" t="str">
        <x:v>截止日前日期，盘中时分未核</x:v>
      </x:c>
    </x:row>
    <x:row r="1839" ht="23" customHeight="1">
      <x:c r="A1839" s="11" t="str">
        <x:v>I056</x:v>
      </x:c>
      <x:c r="B1839" s="11" t="str">
        <x:v>09992.HK</x:v>
      </x:c>
      <x:c r="C1839" s="11" t="str">
        <x:v>grossMargin</x:v>
      </x:c>
      <x:c r="D1839" s="39" t="n">
        <x:v>0.697</x:v>
      </x:c>
      <x:c r="E1839" s="11" t="str">
        <x:v>CNY</x:v>
      </x:c>
      <x:c r="F1839" s="11" t="str">
        <x:v>fraction</x:v>
      </x:c>
      <x:c r="G1839" s="11" t="str">
        <x:v>2026H1</x:v>
      </x:c>
      <x:c r="H1839" s="11" t="str">
        <x:v>2026-09-24中报；2026-08-20结果公告</x:v>
      </x:c>
      <x:c r="I1839" s="11" t="str">
        <x:v>https://popwebsite.paquapp.com/pdf/a94bf743-292d-4472-8442-00abf8f773b8-2026%20INTERIM%20REPORT.pdf</x:v>
      </x:c>
      <x:c r="J1839" s="11" t="str">
        <x:v>reported input; original suffix retains scale</x:v>
      </x:c>
      <x:c r="K1839" s="11" t="str">
        <x:v>待核</x:v>
      </x:c>
      <x:c r="L1839" s="11" t="str">
        <x:v>精确发布时间未核验</x:v>
      </x:c>
      <x:c r="M1839" s="11" t="str">
        <x:v>截止日前日期，盘中时分未核</x:v>
      </x:c>
    </x:row>
    <x:row r="1840" ht="23" customHeight="1">
      <x:c r="A1840" s="11" t="str">
        <x:v>I056</x:v>
      </x:c>
      <x:c r="B1840" s="11" t="str">
        <x:v>09992.HK</x:v>
      </x:c>
      <x:c r="C1840" s="11" t="str">
        <x:v>nonIFRSGroupNetMargin</x:v>
      </x:c>
      <x:c r="D1840" s="39" t="n">
        <x:v>0.3</x:v>
      </x:c>
      <x:c r="E1840" s="11" t="str">
        <x:v>CNY</x:v>
      </x:c>
      <x:c r="F1840" s="11" t="str">
        <x:v>fraction</x:v>
      </x:c>
      <x:c r="G1840" s="11" t="str">
        <x:v>2026H1</x:v>
      </x:c>
      <x:c r="H1840" s="11" t="str">
        <x:v>2026-09-24中报；2026-08-20结果公告</x:v>
      </x:c>
      <x:c r="I1840" s="11" t="str">
        <x:v>https://popwebsite.paquapp.com/pdf/a94bf743-292d-4472-8442-00abf8f773b8-2026%20INTERIM%20REPORT.pdf</x:v>
      </x:c>
      <x:c r="J1840" s="11" t="str">
        <x:v>reported input; original suffix retains scale</x:v>
      </x:c>
      <x:c r="K1840" s="11" t="str">
        <x:v>待核</x:v>
      </x:c>
      <x:c r="L1840" s="11" t="str">
        <x:v>精确发布时间未核验</x:v>
      </x:c>
      <x:c r="M1840" s="11" t="str">
        <x:v>截止日前日期，盘中时分未核</x:v>
      </x:c>
    </x:row>
    <x:row r="1841" ht="23" customHeight="1">
      <x:c r="A1841" s="11" t="str">
        <x:v>I056</x:v>
      </x:c>
      <x:c r="B1841" s="11" t="str">
        <x:v>09992.HK</x:v>
      </x:c>
      <x:c r="C1841" s="11" t="str">
        <x:v>exchangeLossCNYmillion</x:v>
      </x:c>
      <x:c r="D1841" s="39" t="n">
        <x:v>720.27</x:v>
      </x:c>
      <x:c r="E1841" s="11" t="str">
        <x:v>CNY</x:v>
      </x:c>
      <x:c r="F1841" s="11" t="str">
        <x:v>million</x:v>
      </x:c>
      <x:c r="G1841" s="11" t="str">
        <x:v>2026H1</x:v>
      </x:c>
      <x:c r="H1841" s="11" t="str">
        <x:v>2026-09-24中报；2026-08-20结果公告</x:v>
      </x:c>
      <x:c r="I1841" s="11" t="str">
        <x:v>https://popwebsite.paquapp.com/pdf/a94bf743-292d-4472-8442-00abf8f773b8-2026%20INTERIM%20REPORT.pdf</x:v>
      </x:c>
      <x:c r="J1841" s="11" t="str">
        <x:v>reported input; original suffix retains scale</x:v>
      </x:c>
      <x:c r="K1841" s="11" t="str">
        <x:v>待核</x:v>
      </x:c>
      <x:c r="L1841" s="11" t="str">
        <x:v>精确发布时间未核验</x:v>
      </x:c>
      <x:c r="M1841" s="11" t="str">
        <x:v>截止日前日期，盘中时分未核</x:v>
      </x:c>
    </x:row>
    <x:row r="1842" ht="23" customHeight="1">
      <x:c r="A1842" s="11" t="str">
        <x:v>I056</x:v>
      </x:c>
      <x:c r="B1842" s="11" t="str">
        <x:v>09992.HK</x:v>
      </x:c>
      <x:c r="C1842" s="11" t="str">
        <x:v>governmentGrantCNYmillion</x:v>
      </x:c>
      <x:c r="D1842" s="39" t="n">
        <x:v>239.476</x:v>
      </x:c>
      <x:c r="E1842" s="11" t="str">
        <x:v>CNY</x:v>
      </x:c>
      <x:c r="F1842" s="11" t="str">
        <x:v>million</x:v>
      </x:c>
      <x:c r="G1842" s="11" t="str">
        <x:v>2026H1</x:v>
      </x:c>
      <x:c r="H1842" s="11" t="str">
        <x:v>2026-09-24中报；2026-08-20结果公告</x:v>
      </x:c>
      <x:c r="I1842" s="11" t="str">
        <x:v>https://popwebsite.paquapp.com/pdf/a94bf743-292d-4472-8442-00abf8f773b8-2026%20INTERIM%20REPORT.pdf</x:v>
      </x:c>
      <x:c r="J1842" s="11" t="str">
        <x:v>reported input; original suffix retains scale</x:v>
      </x:c>
      <x:c r="K1842" s="11" t="str">
        <x:v>待核</x:v>
      </x:c>
      <x:c r="L1842" s="11" t="str">
        <x:v>精确发布时间未核验</x:v>
      </x:c>
      <x:c r="M1842" s="11" t="str">
        <x:v>截止日前日期，盘中时分未核</x:v>
      </x:c>
    </x:row>
    <x:row r="1843" ht="23" customHeight="1">
      <x:c r="A1843" s="11" t="str">
        <x:v>I056</x:v>
      </x:c>
      <x:c r="B1843" s="11" t="str">
        <x:v>09992.HK</x:v>
      </x:c>
      <x:c r="C1843" s="11" t="str">
        <x:v>licenseAndServicesIncomeCNYmillion</x:v>
      </x:c>
      <x:c r="D1843" s="39" t="n">
        <x:v>60.599</x:v>
      </x:c>
      <x:c r="E1843" s="11" t="str">
        <x:v>CNY</x:v>
      </x:c>
      <x:c r="F1843" s="11" t="str">
        <x:v>million</x:v>
      </x:c>
      <x:c r="G1843" s="11" t="str">
        <x:v>2026H1</x:v>
      </x:c>
      <x:c r="H1843" s="11" t="str">
        <x:v>2026-09-24中报；2026-08-20结果公告</x:v>
      </x:c>
      <x:c r="I1843" s="11" t="str">
        <x:v>https://popwebsite.paquapp.com/pdf/a94bf743-292d-4472-8442-00abf8f773b8-2026%20INTERIM%20REPORT.pdf</x:v>
      </x:c>
      <x:c r="J1843" s="11" t="str">
        <x:v>reported input; original suffix retains scale</x:v>
      </x:c>
      <x:c r="K1843" s="11" t="str">
        <x:v>待核</x:v>
      </x:c>
      <x:c r="L1843" s="11" t="str">
        <x:v>精确发布时间未核验</x:v>
      </x:c>
      <x:c r="M1843" s="11" t="str">
        <x:v>截止日前日期，盘中时分未核</x:v>
      </x:c>
    </x:row>
    <x:row r="1844" ht="23" customHeight="1">
      <x:c r="A1844" s="11" t="str">
        <x:v>I056</x:v>
      </x:c>
      <x:c r="B1844" s="11" t="str">
        <x:v>09992.HK</x:v>
      </x:c>
      <x:c r="C1844" s="11" t="str">
        <x:v>normalFinanceNetCNYmillion</x:v>
      </x:c>
      <x:c r="D1844" s="39" t="n">
        <x:v>11.479</x:v>
      </x:c>
      <x:c r="E1844" s="11" t="str">
        <x:v>CNY</x:v>
      </x:c>
      <x:c r="F1844" s="11" t="str">
        <x:v>million</x:v>
      </x:c>
      <x:c r="G1844" s="11" t="str">
        <x:v>2026H1</x:v>
      </x:c>
      <x:c r="H1844" s="11" t="str">
        <x:v>2026-09-24中报；2026-08-20结果公告</x:v>
      </x:c>
      <x:c r="I1844" s="11" t="str">
        <x:v>https://popwebsite.paquapp.com/pdf/a94bf743-292d-4472-8442-00abf8f773b8-2026%20INTERIM%20REPORT.pdf</x:v>
      </x:c>
      <x:c r="J1844" s="11" t="str">
        <x:v>reported input; original suffix retains scale</x:v>
      </x:c>
      <x:c r="K1844" s="11" t="str">
        <x:v>待核</x:v>
      </x:c>
      <x:c r="L1844" s="11" t="str">
        <x:v>精确发布时间未核验</x:v>
      </x:c>
      <x:c r="M1844" s="11" t="str">
        <x:v>截止日前日期，盘中时分未核</x:v>
      </x:c>
    </x:row>
    <x:row r="1845" ht="23" customHeight="1">
      <x:c r="A1845" s="11" t="str">
        <x:v>I056</x:v>
      </x:c>
      <x:c r="B1845" s="11" t="str">
        <x:v>09992.HK</x:v>
      </x:c>
      <x:c r="C1845" s="11" t="str">
        <x:v>employeeBenefitCNYmillion</x:v>
      </x:c>
      <x:c r="D1845" s="39" t="n">
        <x:v>1405.025</x:v>
      </x:c>
      <x:c r="E1845" s="11" t="str">
        <x:v>CNY</x:v>
      </x:c>
      <x:c r="F1845" s="11" t="str">
        <x:v>million</x:v>
      </x:c>
      <x:c r="G1845" s="11" t="str">
        <x:v>2026H1</x:v>
      </x:c>
      <x:c r="H1845" s="11" t="str">
        <x:v>2026-09-24中报；2026-08-20结果公告</x:v>
      </x:c>
      <x:c r="I1845" s="11" t="str">
        <x:v>https://popwebsite.paquapp.com/pdf/a94bf743-292d-4472-8442-00abf8f773b8-2026%20INTERIM%20REPORT.pdf</x:v>
      </x:c>
      <x:c r="J1845" s="11" t="str">
        <x:v>reported input; original suffix retains scale</x:v>
      </x:c>
      <x:c r="K1845" s="11" t="str">
        <x:v>待核</x:v>
      </x:c>
      <x:c r="L1845" s="11" t="str">
        <x:v>精确发布时间未核验</x:v>
      </x:c>
      <x:c r="M1845" s="11" t="str">
        <x:v>截止日前日期，盘中时分未核</x:v>
      </x:c>
    </x:row>
    <x:row r="1846" ht="23" customHeight="1">
      <x:c r="A1846" s="11" t="str">
        <x:v>I056</x:v>
      </x:c>
      <x:c r="B1846" s="11" t="str">
        <x:v>09992.HK</x:v>
      </x:c>
      <x:c r="C1846" s="11" t="str">
        <x:v>marketingCNYmillion</x:v>
      </x:c>
      <x:c r="D1846" s="39" t="n">
        <x:v>444.073</x:v>
      </x:c>
      <x:c r="E1846" s="11" t="str">
        <x:v>CNY</x:v>
      </x:c>
      <x:c r="F1846" s="11" t="str">
        <x:v>million</x:v>
      </x:c>
      <x:c r="G1846" s="11" t="str">
        <x:v>2026H1</x:v>
      </x:c>
      <x:c r="H1846" s="11" t="str">
        <x:v>2026-09-24中报；2026-08-20结果公告</x:v>
      </x:c>
      <x:c r="I1846" s="11" t="str">
        <x:v>https://popwebsite.paquapp.com/pdf/a94bf743-292d-4472-8442-00abf8f773b8-2026%20INTERIM%20REPORT.pdf</x:v>
      </x:c>
      <x:c r="J1846" s="11" t="str">
        <x:v>reported input; original suffix retains scale</x:v>
      </x:c>
      <x:c r="K1846" s="11" t="str">
        <x:v>待核</x:v>
      </x:c>
      <x:c r="L1846" s="11" t="str">
        <x:v>精确发布时间未核验</x:v>
      </x:c>
      <x:c r="M1846" s="11" t="str">
        <x:v>截止日前日期，盘中时分未核</x:v>
      </x:c>
    </x:row>
    <x:row r="1847" ht="23" customHeight="1">
      <x:c r="A1847" s="11" t="str">
        <x:v>I056</x:v>
      </x:c>
      <x:c r="B1847" s="11" t="str">
        <x:v>09992.HK</x:v>
      </x:c>
      <x:c r="C1847" s="11" t="str">
        <x:v>licenseExpenseCNYmillion</x:v>
      </x:c>
      <x:c r="D1847" s="39" t="n">
        <x:v>376.247</x:v>
      </x:c>
      <x:c r="E1847" s="11" t="str">
        <x:v>CNY</x:v>
      </x:c>
      <x:c r="F1847" s="11" t="str">
        <x:v>million</x:v>
      </x:c>
      <x:c r="G1847" s="11" t="str">
        <x:v>2026H1</x:v>
      </x:c>
      <x:c r="H1847" s="11" t="str">
        <x:v>2026-09-24中报；2026-08-20结果公告</x:v>
      </x:c>
      <x:c r="I1847" s="11" t="str">
        <x:v>https://popwebsite.paquapp.com/pdf/a94bf743-292d-4472-8442-00abf8f773b8-2026%20INTERIM%20REPORT.pdf</x:v>
      </x:c>
      <x:c r="J1847" s="11" t="str">
        <x:v>reported input; original suffix retains scale</x:v>
      </x:c>
      <x:c r="K1847" s="11" t="str">
        <x:v>待核</x:v>
      </x:c>
      <x:c r="L1847" s="11" t="str">
        <x:v>精确发布时间未核验</x:v>
      </x:c>
      <x:c r="M1847" s="11" t="str">
        <x:v>截止日前日期，盘中时分未核</x:v>
      </x:c>
    </x:row>
    <x:row r="1848" ht="23" customHeight="1">
      <x:c r="A1848" s="11" t="str">
        <x:v>I056</x:v>
      </x:c>
      <x:c r="B1848" s="11" t="str">
        <x:v>09992.HK</x:v>
      </x:c>
      <x:c r="C1848" s="11" t="str">
        <x:v>logisticsExpenseCNYmillion</x:v>
      </x:c>
      <x:c r="D1848" s="39" t="n">
        <x:v>754.346</x:v>
      </x:c>
      <x:c r="E1848" s="11" t="str">
        <x:v>CNY</x:v>
      </x:c>
      <x:c r="F1848" s="11" t="str">
        <x:v>million</x:v>
      </x:c>
      <x:c r="G1848" s="11" t="str">
        <x:v>2026H1</x:v>
      </x:c>
      <x:c r="H1848" s="11" t="str">
        <x:v>2026-09-24中报；2026-08-20结果公告</x:v>
      </x:c>
      <x:c r="I1848" s="11" t="str">
        <x:v>https://popwebsite.paquapp.com/pdf/a94bf743-292d-4472-8442-00abf8f773b8-2026%20INTERIM%20REPORT.pdf</x:v>
      </x:c>
      <x:c r="J1848" s="11" t="str">
        <x:v>reported input; original suffix retains scale</x:v>
      </x:c>
      <x:c r="K1848" s="11" t="str">
        <x:v>待核</x:v>
      </x:c>
      <x:c r="L1848" s="11" t="str">
        <x:v>精确发布时间未核验</x:v>
      </x:c>
      <x:c r="M1848" s="11" t="str">
        <x:v>截止日前日期，盘中时分未核</x:v>
      </x:c>
    </x:row>
    <x:row r="1849" ht="23" customHeight="1">
      <x:c r="A1849" s="11" t="str">
        <x:v>I056</x:v>
      </x:c>
      <x:c r="B1849" s="11" t="str">
        <x:v>09992.HK</x:v>
      </x:c>
      <x:c r="C1849" s="11" t="str">
        <x:v>platformFeeCNYmillion</x:v>
      </x:c>
      <x:c r="D1849" s="39" t="n">
        <x:v>561.961</x:v>
      </x:c>
      <x:c r="E1849" s="11" t="str">
        <x:v>CNY</x:v>
      </x:c>
      <x:c r="F1849" s="11" t="str">
        <x:v>million</x:v>
      </x:c>
      <x:c r="G1849" s="11" t="str">
        <x:v>2026H1</x:v>
      </x:c>
      <x:c r="H1849" s="11" t="str">
        <x:v>2026-09-24中报；2026-08-20结果公告</x:v>
      </x:c>
      <x:c r="I1849" s="11" t="str">
        <x:v>https://popwebsite.paquapp.com/pdf/a94bf743-292d-4472-8442-00abf8f773b8-2026%20INTERIM%20REPORT.pdf</x:v>
      </x:c>
      <x:c r="J1849" s="11" t="str">
        <x:v>reported input; original suffix retains scale</x:v>
      </x:c>
      <x:c r="K1849" s="11" t="str">
        <x:v>待核</x:v>
      </x:c>
      <x:c r="L1849" s="11" t="str">
        <x:v>精确发布时间未核验</x:v>
      </x:c>
      <x:c r="M1849" s="11" t="str">
        <x:v>截止日前日期，盘中时分未核</x:v>
      </x:c>
    </x:row>
    <x:row r="1850" ht="23" customHeight="1">
      <x:c r="A1850" s="11" t="str">
        <x:v>I056</x:v>
      </x:c>
      <x:c r="B1850" s="11" t="str">
        <x:v>09992.HK</x:v>
      </x:c>
      <x:c r="C1850" s="11" t="str">
        <x:v>variableShortLeaseExpenseCNYmillion</x:v>
      </x:c>
      <x:c r="D1850" s="39" t="n">
        <x:v>673.12</x:v>
      </x:c>
      <x:c r="E1850" s="11" t="str">
        <x:v>CNY</x:v>
      </x:c>
      <x:c r="F1850" s="11" t="str">
        <x:v>million</x:v>
      </x:c>
      <x:c r="G1850" s="11" t="str">
        <x:v>2026H1</x:v>
      </x:c>
      <x:c r="H1850" s="11" t="str">
        <x:v>2026-09-24中报；2026-08-20结果公告</x:v>
      </x:c>
      <x:c r="I1850" s="11" t="str">
        <x:v>https://popwebsite.paquapp.com/pdf/a94bf743-292d-4472-8442-00abf8f773b8-2026%20INTERIM%20REPORT.pdf</x:v>
      </x:c>
      <x:c r="J1850" s="11" t="str">
        <x:v>reported input; original suffix retains scale</x:v>
      </x:c>
      <x:c r="K1850" s="11" t="str">
        <x:v>待核</x:v>
      </x:c>
      <x:c r="L1850" s="11" t="str">
        <x:v>精确发布时间未核验</x:v>
      </x:c>
      <x:c r="M1850" s="11" t="str">
        <x:v>截止日前日期，盘中时分未核</x:v>
      </x:c>
    </x:row>
    <x:row r="1851" ht="23" customHeight="1">
      <x:c r="A1851" s="11" t="str">
        <x:v>I056</x:v>
      </x:c>
      <x:c r="B1851" s="11" t="str">
        <x:v>09992.HK</x:v>
      </x:c>
      <x:c r="C1851" s="11" t="str">
        <x:v>ROUDACNYmillion</x:v>
      </x:c>
      <x:c r="D1851" s="39" t="n">
        <x:v>451.934</x:v>
      </x:c>
      <x:c r="E1851" s="11" t="str">
        <x:v>CNY</x:v>
      </x:c>
      <x:c r="F1851" s="11" t="str">
        <x:v>million</x:v>
      </x:c>
      <x:c r="G1851" s="11" t="str">
        <x:v>2026H1</x:v>
      </x:c>
      <x:c r="H1851" s="11" t="str">
        <x:v>2026-09-24中报；2026-08-20结果公告</x:v>
      </x:c>
      <x:c r="I1851" s="11" t="str">
        <x:v>https://popwebsite.paquapp.com/pdf/a94bf743-292d-4472-8442-00abf8f773b8-2026%20INTERIM%20REPORT.pdf</x:v>
      </x:c>
      <x:c r="J1851" s="11" t="str">
        <x:v>reported input; original suffix retains scale</x:v>
      </x:c>
      <x:c r="K1851" s="11" t="str">
        <x:v>待核</x:v>
      </x:c>
      <x:c r="L1851" s="11" t="str">
        <x:v>精确发布时间未核验</x:v>
      </x:c>
      <x:c r="M1851" s="11" t="str">
        <x:v>截止日前日期，盘中时分未核</x:v>
      </x:c>
    </x:row>
    <x:row r="1852" ht="23" customHeight="1">
      <x:c r="A1852" s="11" t="str">
        <x:v>I056</x:v>
      </x:c>
      <x:c r="B1852" s="11" t="str">
        <x:v>09992.HK</x:v>
      </x:c>
      <x:c r="C1852" s="11" t="str">
        <x:v>PPEDACNYmillion</x:v>
      </x:c>
      <x:c r="D1852" s="39" t="n">
        <x:v>301.991</x:v>
      </x:c>
      <x:c r="E1852" s="11" t="str">
        <x:v>CNY</x:v>
      </x:c>
      <x:c r="F1852" s="11" t="str">
        <x:v>million</x:v>
      </x:c>
      <x:c r="G1852" s="11" t="str">
        <x:v>2026H1</x:v>
      </x:c>
      <x:c r="H1852" s="11" t="str">
        <x:v>2026-09-24中报；2026-08-20结果公告</x:v>
      </x:c>
      <x:c r="I1852" s="11" t="str">
        <x:v>https://popwebsite.paquapp.com/pdf/a94bf743-292d-4472-8442-00abf8f773b8-2026%20INTERIM%20REPORT.pdf</x:v>
      </x:c>
      <x:c r="J1852" s="11" t="str">
        <x:v>reported input; original suffix retains scale</x:v>
      </x:c>
      <x:c r="K1852" s="11" t="str">
        <x:v>待核</x:v>
      </x:c>
      <x:c r="L1852" s="11" t="str">
        <x:v>精确发布时间未核验</x:v>
      </x:c>
      <x:c r="M1852" s="11" t="str">
        <x:v>截止日前日期，盘中时分未核</x:v>
      </x:c>
    </x:row>
    <x:row r="1853" ht="23" customHeight="1">
      <x:c r="A1853" s="11" t="str">
        <x:v>I056</x:v>
      </x:c>
      <x:c r="B1853" s="11" t="str">
        <x:v>09992.HK</x:v>
      </x:c>
      <x:c r="C1853" s="11" t="str">
        <x:v>OCFCNYmillion</x:v>
      </x:c>
      <x:c r="D1853" s="39" t="n">
        <x:v>3637.324</x:v>
      </x:c>
      <x:c r="E1853" s="11" t="str">
        <x:v>CNY</x:v>
      </x:c>
      <x:c r="F1853" s="11" t="str">
        <x:v>million</x:v>
      </x:c>
      <x:c r="G1853" s="11" t="str">
        <x:v>2026H1</x:v>
      </x:c>
      <x:c r="H1853" s="11" t="str">
        <x:v>2026-09-24中报；2026-08-20结果公告</x:v>
      </x:c>
      <x:c r="I1853" s="11" t="str">
        <x:v>https://popwebsite.paquapp.com/pdf/a94bf743-292d-4472-8442-00abf8f773b8-2026%20INTERIM%20REPORT.pdf</x:v>
      </x:c>
      <x:c r="J1853" s="11" t="str">
        <x:v>reported input; original suffix retains scale</x:v>
      </x:c>
      <x:c r="K1853" s="11" t="str">
        <x:v>待核</x:v>
      </x:c>
      <x:c r="L1853" s="11" t="str">
        <x:v>精确发布时间未核验</x:v>
      </x:c>
      <x:c r="M1853" s="11" t="str">
        <x:v>截止日前日期，盘中时分未核</x:v>
      </x:c>
    </x:row>
    <x:row r="1854" ht="23" customHeight="1">
      <x:c r="A1854" s="11" t="str">
        <x:v>I056</x:v>
      </x:c>
      <x:c r="B1854" s="11" t="str">
        <x:v>09992.HK</x:v>
      </x:c>
      <x:c r="C1854" s="11" t="str">
        <x:v>cashGeneratedBeforeInterestTaxCNYmillion</x:v>
      </x:c>
      <x:c r="D1854" s="39" t="n">
        <x:v>6764.282</x:v>
      </x:c>
      <x:c r="E1854" s="11" t="str">
        <x:v>CNY</x:v>
      </x:c>
      <x:c r="F1854" s="11" t="str">
        <x:v>million</x:v>
      </x:c>
      <x:c r="G1854" s="11" t="str">
        <x:v>2026H1</x:v>
      </x:c>
      <x:c r="H1854" s="11" t="str">
        <x:v>2026-09-24中报；2026-08-20结果公告</x:v>
      </x:c>
      <x:c r="I1854" s="11" t="str">
        <x:v>https://popwebsite.paquapp.com/pdf/a94bf743-292d-4472-8442-00abf8f773b8-2026%20INTERIM%20REPORT.pdf</x:v>
      </x:c>
      <x:c r="J1854" s="11" t="str">
        <x:v>reported input; original suffix retains scale</x:v>
      </x:c>
      <x:c r="K1854" s="11" t="str">
        <x:v>待核</x:v>
      </x:c>
      <x:c r="L1854" s="11" t="str">
        <x:v>精确发布时间未核验</x:v>
      </x:c>
      <x:c r="M1854" s="11" t="str">
        <x:v>截止日前日期，盘中时分未核</x:v>
      </x:c>
    </x:row>
    <x:row r="1855" ht="23" customHeight="1">
      <x:c r="A1855" s="11" t="str">
        <x:v>I056</x:v>
      </x:c>
      <x:c r="B1855" s="11" t="str">
        <x:v>09992.HK</x:v>
      </x:c>
      <x:c r="C1855" s="11" t="str">
        <x:v>cashTaxPaidCNYmillion</x:v>
      </x:c>
      <x:c r="D1855" s="39" t="n">
        <x:v>3219.674</x:v>
      </x:c>
      <x:c r="E1855" s="11" t="str">
        <x:v>CNY</x:v>
      </x:c>
      <x:c r="F1855" s="11" t="str">
        <x:v>million</x:v>
      </x:c>
      <x:c r="G1855" s="11" t="str">
        <x:v>2026H1</x:v>
      </x:c>
      <x:c r="H1855" s="11" t="str">
        <x:v>2026-09-24中报；2026-08-20结果公告</x:v>
      </x:c>
      <x:c r="I1855" s="11" t="str">
        <x:v>https://popwebsite.paquapp.com/pdf/a94bf743-292d-4472-8442-00abf8f773b8-2026%20INTERIM%20REPORT.pdf</x:v>
      </x:c>
      <x:c r="J1855" s="11" t="str">
        <x:v>reported input; original suffix retains scale</x:v>
      </x:c>
      <x:c r="K1855" s="11" t="str">
        <x:v>待核</x:v>
      </x:c>
      <x:c r="L1855" s="11" t="str">
        <x:v>精确发布时间未核验</x:v>
      </x:c>
      <x:c r="M1855" s="11" t="str">
        <x:v>截止日前日期，盘中时分未核</x:v>
      </x:c>
    </x:row>
    <x:row r="1856" ht="23" customHeight="1">
      <x:c r="A1856" s="11" t="str">
        <x:v>I056</x:v>
      </x:c>
      <x:c r="B1856" s="11" t="str">
        <x:v>09992.HK</x:v>
      </x:c>
      <x:c r="C1856" s="11" t="str">
        <x:v>cashTaxPaid2025H1CNYmillion</x:v>
      </x:c>
      <x:c r="D1856" s="39" t="n">
        <x:v>1189.626</x:v>
      </x:c>
      <x:c r="E1856" s="11" t="str">
        <x:v>CNY</x:v>
      </x:c>
      <x:c r="F1856" s="11" t="str">
        <x:v>million</x:v>
      </x:c>
      <x:c r="G1856" s="11" t="str">
        <x:v>2026H1</x:v>
      </x:c>
      <x:c r="H1856" s="11" t="str">
        <x:v>2026-09-24中报；2026-08-20结果公告</x:v>
      </x:c>
      <x:c r="I1856" s="11" t="str">
        <x:v>https://popwebsite.paquapp.com/pdf/a94bf743-292d-4472-8442-00abf8f773b8-2026%20INTERIM%20REPORT.pdf</x:v>
      </x:c>
      <x:c r="J1856" s="11" t="str">
        <x:v>reported input; original suffix retains scale</x:v>
      </x:c>
      <x:c r="K1856" s="11" t="str">
        <x:v>待核</x:v>
      </x:c>
      <x:c r="L1856" s="11" t="str">
        <x:v>精确发布时间未核验</x:v>
      </x:c>
      <x:c r="M1856" s="11" t="str">
        <x:v>截止日前日期，盘中时分未核</x:v>
      </x:c>
    </x:row>
    <x:row r="1857" ht="23" customHeight="1">
      <x:c r="A1857" s="11" t="str">
        <x:v>I056</x:v>
      </x:c>
      <x:c r="B1857" s="11" t="str">
        <x:v>09992.HK</x:v>
      </x:c>
      <x:c r="C1857" s="11" t="str">
        <x:v>cashPPECNYmillion</x:v>
      </x:c>
      <x:c r="D1857" s="39" t="n">
        <x:v>673.56</x:v>
      </x:c>
      <x:c r="E1857" s="11" t="str">
        <x:v>CNY</x:v>
      </x:c>
      <x:c r="F1857" s="11" t="str">
        <x:v>million</x:v>
      </x:c>
      <x:c r="G1857" s="11" t="str">
        <x:v>2026H1</x:v>
      </x:c>
      <x:c r="H1857" s="11" t="str">
        <x:v>2026-09-24中报；2026-08-20结果公告</x:v>
      </x:c>
      <x:c r="I1857" s="11" t="str">
        <x:v>https://popwebsite.paquapp.com/pdf/a94bf743-292d-4472-8442-00abf8f773b8-2026%20INTERIM%20REPORT.pdf</x:v>
      </x:c>
      <x:c r="J1857" s="11" t="str">
        <x:v>reported input; original suffix retains scale</x:v>
      </x:c>
      <x:c r="K1857" s="11" t="str">
        <x:v>待核</x:v>
      </x:c>
      <x:c r="L1857" s="11" t="str">
        <x:v>精确发布时间未核验</x:v>
      </x:c>
      <x:c r="M1857" s="11" t="str">
        <x:v>截止日前日期，盘中时分未核</x:v>
      </x:c>
    </x:row>
    <x:row r="1858" ht="23" customHeight="1">
      <x:c r="A1858" s="11" t="str">
        <x:v>I056</x:v>
      </x:c>
      <x:c r="B1858" s="11" t="str">
        <x:v>09992.HK</x:v>
      </x:c>
      <x:c r="C1858" s="11" t="str">
        <x:v>cashIntangibleCNYmillion</x:v>
      </x:c>
      <x:c r="D1858" s="39" t="n">
        <x:v>50.579</x:v>
      </x:c>
      <x:c r="E1858" s="11" t="str">
        <x:v>CNY</x:v>
      </x:c>
      <x:c r="F1858" s="11" t="str">
        <x:v>million</x:v>
      </x:c>
      <x:c r="G1858" s="11" t="str">
        <x:v>2026H1</x:v>
      </x:c>
      <x:c r="H1858" s="11" t="str">
        <x:v>2026-09-24中报；2026-08-20结果公告</x:v>
      </x:c>
      <x:c r="I1858" s="11" t="str">
        <x:v>https://popwebsite.paquapp.com/pdf/a94bf743-292d-4472-8442-00abf8f773b8-2026%20INTERIM%20REPORT.pdf</x:v>
      </x:c>
      <x:c r="J1858" s="11" t="str">
        <x:v>reported input; original suffix retains scale</x:v>
      </x:c>
      <x:c r="K1858" s="11" t="str">
        <x:v>待核</x:v>
      </x:c>
      <x:c r="L1858" s="11" t="str">
        <x:v>精确发布时间未核验</x:v>
      </x:c>
      <x:c r="M1858" s="11" t="str">
        <x:v>截止日前日期，盘中时分未核</x:v>
      </x:c>
    </x:row>
    <x:row r="1859" ht="23" customHeight="1">
      <x:c r="A1859" s="11" t="str">
        <x:v>I056</x:v>
      </x:c>
      <x:c r="B1859" s="11" t="str">
        <x:v>09992.HK</x:v>
      </x:c>
      <x:c r="C1859" s="11" t="str">
        <x:v>leasePrincipalCashCNYmillion</x:v>
      </x:c>
      <x:c r="D1859" s="39" t="n">
        <x:v>502.889</x:v>
      </x:c>
      <x:c r="E1859" s="11" t="str">
        <x:v>CNY</x:v>
      </x:c>
      <x:c r="F1859" s="11" t="str">
        <x:v>million</x:v>
      </x:c>
      <x:c r="G1859" s="11" t="str">
        <x:v>2026H1</x:v>
      </x:c>
      <x:c r="H1859" s="11" t="str">
        <x:v>2026-09-24中报；2026-08-20结果公告</x:v>
      </x:c>
      <x:c r="I1859" s="11" t="str">
        <x:v>https://popwebsite.paquapp.com/pdf/a94bf743-292d-4472-8442-00abf8f773b8-2026%20INTERIM%20REPORT.pdf</x:v>
      </x:c>
      <x:c r="J1859" s="11" t="str">
        <x:v>reported input; original suffix retains scale</x:v>
      </x:c>
      <x:c r="K1859" s="11" t="str">
        <x:v>待核</x:v>
      </x:c>
      <x:c r="L1859" s="11" t="str">
        <x:v>精确发布时间未核验</x:v>
      </x:c>
      <x:c r="M1859" s="11" t="str">
        <x:v>截止日前日期，盘中时分未核</x:v>
      </x:c>
    </x:row>
    <x:row r="1860" ht="23" customHeight="1">
      <x:c r="A1860" s="11" t="str">
        <x:v>I056</x:v>
      </x:c>
      <x:c r="B1860" s="11" t="str">
        <x:v>09992.HK</x:v>
      </x:c>
      <x:c r="C1860" s="11" t="str">
        <x:v>FCFResearchProxyCNYmillion</x:v>
      </x:c>
      <x:c r="D1860" s="39" t="n">
        <x:v>2913.185</x:v>
      </x:c>
      <x:c r="E1860" s="11" t="str">
        <x:v>CNY</x:v>
      </x:c>
      <x:c r="F1860" s="11" t="str">
        <x:v>million</x:v>
      </x:c>
      <x:c r="G1860" s="11" t="str">
        <x:v>2026H1</x:v>
      </x:c>
      <x:c r="H1860" s="11" t="str">
        <x:v>2026-09-24中报；2026-08-20结果公告</x:v>
      </x:c>
      <x:c r="I1860" s="11" t="str">
        <x:v>https://popwebsite.paquapp.com/pdf/a94bf743-292d-4472-8442-00abf8f773b8-2026%20INTERIM%20REPORT.pdf</x:v>
      </x:c>
      <x:c r="J1860" s="11" t="str">
        <x:v>research calculation from primary inputs</x:v>
      </x:c>
      <x:c r="K1860" s="11" t="str">
        <x:v>待核</x:v>
      </x:c>
      <x:c r="L1860" s="11" t="str">
        <x:v>精确发布时间未核验</x:v>
      </x:c>
      <x:c r="M1860" s="11" t="str">
        <x:v>截止日前日期，盘中时分未核</x:v>
      </x:c>
    </x:row>
    <x:row r="1861" ht="23" customHeight="1">
      <x:c r="A1861" s="11" t="str">
        <x:v>I056</x:v>
      </x:c>
      <x:c r="B1861" s="11" t="str">
        <x:v>09992.HK</x:v>
      </x:c>
      <x:c r="C1861" s="11" t="str">
        <x:v>FCFAfterLeaseResearchCNYmillion</x:v>
      </x:c>
      <x:c r="D1861" s="39" t="n">
        <x:v>2410.296</x:v>
      </x:c>
      <x:c r="E1861" s="11" t="str">
        <x:v>CNY</x:v>
      </x:c>
      <x:c r="F1861" s="11" t="str">
        <x:v>million</x:v>
      </x:c>
      <x:c r="G1861" s="11" t="str">
        <x:v>2026H1</x:v>
      </x:c>
      <x:c r="H1861" s="11" t="str">
        <x:v>2026-09-24中报；2026-08-20结果公告</x:v>
      </x:c>
      <x:c r="I1861" s="11" t="str">
        <x:v>https://popwebsite.paquapp.com/pdf/a94bf743-292d-4472-8442-00abf8f773b8-2026%20INTERIM%20REPORT.pdf</x:v>
      </x:c>
      <x:c r="J1861" s="11" t="str">
        <x:v>research calculation from primary inputs</x:v>
      </x:c>
      <x:c r="K1861" s="11" t="str">
        <x:v>待核</x:v>
      </x:c>
      <x:c r="L1861" s="11" t="str">
        <x:v>精确发布时间未核验</x:v>
      </x:c>
      <x:c r="M1861" s="11" t="str">
        <x:v>截止日前日期，盘中时分未核</x:v>
      </x:c>
    </x:row>
    <x:row r="1862" ht="23" customHeight="1">
      <x:c r="A1862" s="11" t="str">
        <x:v>I056</x:v>
      </x:c>
      <x:c r="B1862" s="11" t="str">
        <x:v>09992.HK</x:v>
      </x:c>
      <x:c r="C1862" s="11" t="str">
        <x:v>inventoriesCNYmillion</x:v>
      </x:c>
      <x:c r="D1862" s="39" t="n">
        <x:v>6101.53</x:v>
      </x:c>
      <x:c r="E1862" s="11" t="str">
        <x:v>CNY</x:v>
      </x:c>
      <x:c r="F1862" s="11" t="str">
        <x:v>million</x:v>
      </x:c>
      <x:c r="G1862" s="11" t="str">
        <x:v>2026H1</x:v>
      </x:c>
      <x:c r="H1862" s="11" t="str">
        <x:v>2026-09-24中报；2026-08-20结果公告</x:v>
      </x:c>
      <x:c r="I1862" s="11" t="str">
        <x:v>https://popwebsite.paquapp.com/pdf/a94bf743-292d-4472-8442-00abf8f773b8-2026%20INTERIM%20REPORT.pdf</x:v>
      </x:c>
      <x:c r="J1862" s="11" t="str">
        <x:v>reported input; original suffix retains scale</x:v>
      </x:c>
      <x:c r="K1862" s="11" t="str">
        <x:v>待核</x:v>
      </x:c>
      <x:c r="L1862" s="11" t="str">
        <x:v>精确发布时间未核验</x:v>
      </x:c>
      <x:c r="M1862" s="11" t="str">
        <x:v>截止日前日期，盘中时分未核</x:v>
      </x:c>
    </x:row>
    <x:row r="1863" ht="23" customHeight="1">
      <x:c r="A1863" s="11" t="str">
        <x:v>I056</x:v>
      </x:c>
      <x:c r="B1863" s="11" t="str">
        <x:v>09992.HK</x:v>
      </x:c>
      <x:c r="C1863" s="11" t="str">
        <x:v>inventoryTurnoverDays</x:v>
      </x:c>
      <x:c r="D1863" s="39" t="n">
        <x:v>201</x:v>
      </x:c>
      <x:c r="E1863" s="11" t="str">
        <x:v>not monetary</x:v>
      </x:c>
      <x:c r="F1863" s="11" t="str">
        <x:v>days</x:v>
      </x:c>
      <x:c r="G1863" s="11" t="str">
        <x:v>2026H1</x:v>
      </x:c>
      <x:c r="H1863" s="11" t="str">
        <x:v>2026-09-24中报；2026-08-20结果公告</x:v>
      </x:c>
      <x:c r="I1863" s="11" t="str">
        <x:v>https://popwebsite.paquapp.com/pdf/a94bf743-292d-4472-8442-00abf8f773b8-2026%20INTERIM%20REPORT.pdf</x:v>
      </x:c>
      <x:c r="J1863" s="11" t="str">
        <x:v>reported input; original suffix retains scale</x:v>
      </x:c>
      <x:c r="K1863" s="11" t="str">
        <x:v>待核</x:v>
      </x:c>
      <x:c r="L1863" s="11" t="str">
        <x:v>精确发布时间未核验</x:v>
      </x:c>
      <x:c r="M1863" s="11" t="str">
        <x:v>截止日前日期，盘中时分未核</x:v>
      </x:c>
    </x:row>
    <x:row r="1864" ht="23" customHeight="1">
      <x:c r="A1864" s="11" t="str">
        <x:v>I056</x:v>
      </x:c>
      <x:c r="B1864" s="11" t="str">
        <x:v>09992.HK</x:v>
      </x:c>
      <x:c r="C1864" s="11" t="str">
        <x:v>inventoryTurnover2025Days</x:v>
      </x:c>
      <x:c r="D1864" s="39" t="n">
        <x:v>123</x:v>
      </x:c>
      <x:c r="E1864" s="11" t="str">
        <x:v>not monetary</x:v>
      </x:c>
      <x:c r="F1864" s="11" t="str">
        <x:v>days</x:v>
      </x:c>
      <x:c r="G1864" s="11" t="str">
        <x:v>2026H1</x:v>
      </x:c>
      <x:c r="H1864" s="11" t="str">
        <x:v>2026-09-24中报；2026-08-20结果公告</x:v>
      </x:c>
      <x:c r="I1864" s="11" t="str">
        <x:v>https://popwebsite.paquapp.com/pdf/a94bf743-292d-4472-8442-00abf8f773b8-2026%20INTERIM%20REPORT.pdf</x:v>
      </x:c>
      <x:c r="J1864" s="11" t="str">
        <x:v>reported input; original suffix retains scale</x:v>
      </x:c>
      <x:c r="K1864" s="11" t="str">
        <x:v>待核</x:v>
      </x:c>
      <x:c r="L1864" s="11" t="str">
        <x:v>精确发布时间未核验</x:v>
      </x:c>
      <x:c r="M1864" s="11" t="str">
        <x:v>截止日前日期，盘中时分未核</x:v>
      </x:c>
    </x:row>
    <x:row r="1865" ht="23" customHeight="1">
      <x:c r="A1865" s="11" t="str">
        <x:v>I056</x:v>
      </x:c>
      <x:c r="B1865" s="11" t="str">
        <x:v>09992.HK</x:v>
      </x:c>
      <x:c r="C1865" s="11" t="str">
        <x:v>inventoryImpairmentCNYmillion</x:v>
      </x:c>
      <x:c r="D1865" s="39" t="n">
        <x:v>22.806</x:v>
      </x:c>
      <x:c r="E1865" s="11" t="str">
        <x:v>CNY</x:v>
      </x:c>
      <x:c r="F1865" s="11" t="str">
        <x:v>million</x:v>
      </x:c>
      <x:c r="G1865" s="11" t="str">
        <x:v>2026H1</x:v>
      </x:c>
      <x:c r="H1865" s="11" t="str">
        <x:v>2026-09-24中报；2026-08-20结果公告</x:v>
      </x:c>
      <x:c r="I1865" s="11" t="str">
        <x:v>https://popwebsite.paquapp.com/pdf/a94bf743-292d-4472-8442-00abf8f773b8-2026%20INTERIM%20REPORT.pdf</x:v>
      </x:c>
      <x:c r="J1865" s="11" t="str">
        <x:v>reported input; original suffix retains scale</x:v>
      </x:c>
      <x:c r="K1865" s="11" t="str">
        <x:v>待核</x:v>
      </x:c>
      <x:c r="L1865" s="11" t="str">
        <x:v>精确发布时间未核验</x:v>
      </x:c>
      <x:c r="M1865" s="11" t="str">
        <x:v>截止日前日期，盘中时分未核</x:v>
      </x:c>
    </x:row>
    <x:row r="1866" ht="23" customHeight="1">
      <x:c r="A1866" s="11" t="str">
        <x:v>I056</x:v>
      </x:c>
      <x:c r="B1866" s="11" t="str">
        <x:v>09992.HK</x:v>
      </x:c>
      <x:c r="C1866" s="11" t="str">
        <x:v>receivablesCNYmillion</x:v>
      </x:c>
      <x:c r="D1866" s="39" t="n">
        <x:v>627.306</x:v>
      </x:c>
      <x:c r="E1866" s="11" t="str">
        <x:v>CNY</x:v>
      </x:c>
      <x:c r="F1866" s="11" t="str">
        <x:v>million</x:v>
      </x:c>
      <x:c r="G1866" s="11" t="str">
        <x:v>2026H1</x:v>
      </x:c>
      <x:c r="H1866" s="11" t="str">
        <x:v>2026-09-24中报；2026-08-20结果公告</x:v>
      </x:c>
      <x:c r="I1866" s="11" t="str">
        <x:v>https://popwebsite.paquapp.com/pdf/a94bf743-292d-4472-8442-00abf8f773b8-2026%20INTERIM%20REPORT.pdf</x:v>
      </x:c>
      <x:c r="J1866" s="11" t="str">
        <x:v>reported input; original suffix retains scale</x:v>
      </x:c>
      <x:c r="K1866" s="11" t="str">
        <x:v>待核</x:v>
      </x:c>
      <x:c r="L1866" s="11" t="str">
        <x:v>精确发布时间未核验</x:v>
      </x:c>
      <x:c r="M1866" s="11" t="str">
        <x:v>截止日前日期，盘中时分未核</x:v>
      </x:c>
    </x:row>
    <x:row r="1867" ht="23" customHeight="1">
      <x:c r="A1867" s="11" t="str">
        <x:v>I056</x:v>
      </x:c>
      <x:c r="B1867" s="11" t="str">
        <x:v>09992.HK</x:v>
      </x:c>
      <x:c r="C1867" s="11" t="str">
        <x:v>tradePayablesCNYmillion</x:v>
      </x:c>
      <x:c r="D1867" s="39" t="n">
        <x:v>905.15</x:v>
      </x:c>
      <x:c r="E1867" s="11" t="str">
        <x:v>CNY</x:v>
      </x:c>
      <x:c r="F1867" s="11" t="str">
        <x:v>million</x:v>
      </x:c>
      <x:c r="G1867" s="11" t="str">
        <x:v>2026H1</x:v>
      </x:c>
      <x:c r="H1867" s="11" t="str">
        <x:v>2026-09-24中报；2026-08-20结果公告</x:v>
      </x:c>
      <x:c r="I1867" s="11" t="str">
        <x:v>https://popwebsite.paquapp.com/pdf/a94bf743-292d-4472-8442-00abf8f773b8-2026%20INTERIM%20REPORT.pdf</x:v>
      </x:c>
      <x:c r="J1867" s="11" t="str">
        <x:v>reported input; original suffix retains scale</x:v>
      </x:c>
      <x:c r="K1867" s="11" t="str">
        <x:v>待核</x:v>
      </x:c>
      <x:c r="L1867" s="11" t="str">
        <x:v>精确发布时间未核验</x:v>
      </x:c>
      <x:c r="M1867" s="11" t="str">
        <x:v>截止日前日期，盘中时分未核</x:v>
      </x:c>
    </x:row>
    <x:row r="1868" ht="23" customHeight="1">
      <x:c r="A1868" s="11" t="str">
        <x:v>I056</x:v>
      </x:c>
      <x:c r="B1868" s="11" t="str">
        <x:v>09992.HK</x:v>
      </x:c>
      <x:c r="C1868" s="11" t="str">
        <x:v>contractLiabilityCNYmillion</x:v>
      </x:c>
      <x:c r="D1868" s="39" t="n">
        <x:v>513.419</x:v>
      </x:c>
      <x:c r="E1868" s="11" t="str">
        <x:v>CNY</x:v>
      </x:c>
      <x:c r="F1868" s="11" t="str">
        <x:v>million</x:v>
      </x:c>
      <x:c r="G1868" s="11" t="str">
        <x:v>2026H1</x:v>
      </x:c>
      <x:c r="H1868" s="11" t="str">
        <x:v>2026-09-24中报；2026-08-20结果公告</x:v>
      </x:c>
      <x:c r="I1868" s="11" t="str">
        <x:v>https://popwebsite.paquapp.com/pdf/a94bf743-292d-4472-8442-00abf8f773b8-2026%20INTERIM%20REPORT.pdf</x:v>
      </x:c>
      <x:c r="J1868" s="11" t="str">
        <x:v>reported input; original suffix retains scale</x:v>
      </x:c>
      <x:c r="K1868" s="11" t="str">
        <x:v>待核</x:v>
      </x:c>
      <x:c r="L1868" s="11" t="str">
        <x:v>精确发布时间未核验</x:v>
      </x:c>
      <x:c r="M1868" s="11" t="str">
        <x:v>截止日前日期，盘中时分未核</x:v>
      </x:c>
    </x:row>
    <x:row r="1869" ht="23" customHeight="1">
      <x:c r="A1869" s="11" t="str">
        <x:v>I056</x:v>
      </x:c>
      <x:c r="B1869" s="11" t="str">
        <x:v>09992.HK</x:v>
      </x:c>
      <x:c r="C1869" s="11" t="str">
        <x:v>licenseFeesPayableCNYmillion</x:v>
      </x:c>
      <x:c r="D1869" s="39" t="n">
        <x:v>518.858</x:v>
      </x:c>
      <x:c r="E1869" s="11" t="str">
        <x:v>CNY</x:v>
      </x:c>
      <x:c r="F1869" s="11" t="str">
        <x:v>million</x:v>
      </x:c>
      <x:c r="G1869" s="11" t="str">
        <x:v>2026H1</x:v>
      </x:c>
      <x:c r="H1869" s="11" t="str">
        <x:v>2026-09-24中报；2026-08-20结果公告</x:v>
      </x:c>
      <x:c r="I1869" s="11" t="str">
        <x:v>https://popwebsite.paquapp.com/pdf/a94bf743-292d-4472-8442-00abf8f773b8-2026%20INTERIM%20REPORT.pdf</x:v>
      </x:c>
      <x:c r="J1869" s="11" t="str">
        <x:v>reported input; original suffix retains scale</x:v>
      </x:c>
      <x:c r="K1869" s="11" t="str">
        <x:v>待核</x:v>
      </x:c>
      <x:c r="L1869" s="11" t="str">
        <x:v>精确发布时间未核验</x:v>
      </x:c>
      <x:c r="M1869" s="11" t="str">
        <x:v>截止日前日期，盘中时分未核</x:v>
      </x:c>
    </x:row>
    <x:row r="1870" ht="23" customHeight="1">
      <x:c r="A1870" s="11" t="str">
        <x:v>I056</x:v>
      </x:c>
      <x:c r="B1870" s="11" t="str">
        <x:v>09992.HK</x:v>
      </x:c>
      <x:c r="C1870" s="11" t="str">
        <x:v>cashEquivalentsCNYmillion</x:v>
      </x:c>
      <x:c r="D1870" s="39" t="n">
        <x:v>12442.065</x:v>
      </x:c>
      <x:c r="E1870" s="11" t="str">
        <x:v>CNY</x:v>
      </x:c>
      <x:c r="F1870" s="11" t="str">
        <x:v>million</x:v>
      </x:c>
      <x:c r="G1870" s="11" t="str">
        <x:v>2026H1</x:v>
      </x:c>
      <x:c r="H1870" s="11" t="str">
        <x:v>2026-09-24中报；2026-08-20结果公告</x:v>
      </x:c>
      <x:c r="I1870" s="11" t="str">
        <x:v>https://popwebsite.paquapp.com/pdf/a94bf743-292d-4472-8442-00abf8f773b8-2026%20INTERIM%20REPORT.pdf</x:v>
      </x:c>
      <x:c r="J1870" s="11" t="str">
        <x:v>reported input; original suffix retains scale</x:v>
      </x:c>
      <x:c r="K1870" s="11" t="str">
        <x:v>待核</x:v>
      </x:c>
      <x:c r="L1870" s="11" t="str">
        <x:v>精确发布时间未核验</x:v>
      </x:c>
      <x:c r="M1870" s="11" t="str">
        <x:v>截止日前日期，盘中时分未核</x:v>
      </x:c>
    </x:row>
    <x:row r="1871" ht="23" customHeight="1">
      <x:c r="A1871" s="11" t="str">
        <x:v>I056</x:v>
      </x:c>
      <x:c r="B1871" s="11" t="str">
        <x:v>09992.HK</x:v>
      </x:c>
      <x:c r="C1871" s="11" t="str">
        <x:v>termDepositsCNYmillion</x:v>
      </x:c>
      <x:c r="D1871" s="39" t="n">
        <x:v>1721.96</x:v>
      </x:c>
      <x:c r="E1871" s="11" t="str">
        <x:v>CNY</x:v>
      </x:c>
      <x:c r="F1871" s="11" t="str">
        <x:v>million</x:v>
      </x:c>
      <x:c r="G1871" s="11" t="str">
        <x:v>2026H1</x:v>
      </x:c>
      <x:c r="H1871" s="11" t="str">
        <x:v>2026-09-24中报；2026-08-20结果公告</x:v>
      </x:c>
      <x:c r="I1871" s="11" t="str">
        <x:v>https://popwebsite.paquapp.com/pdf/a94bf743-292d-4472-8442-00abf8f773b8-2026%20INTERIM%20REPORT.pdf</x:v>
      </x:c>
      <x:c r="J1871" s="11" t="str">
        <x:v>reported input; original suffix retains scale</x:v>
      </x:c>
      <x:c r="K1871" s="11" t="str">
        <x:v>待核</x:v>
      </x:c>
      <x:c r="L1871" s="11" t="str">
        <x:v>精确发布时间未核验</x:v>
      </x:c>
      <x:c r="M1871" s="11" t="str">
        <x:v>截止日前日期，盘中时分未核</x:v>
      </x:c>
    </x:row>
    <x:row r="1872" ht="23" customHeight="1">
      <x:c r="A1872" s="11" t="str">
        <x:v>I056</x:v>
      </x:c>
      <x:c r="B1872" s="11" t="str">
        <x:v>09992.HK</x:v>
      </x:c>
      <x:c r="C1872" s="11" t="str">
        <x:v>restrictedCashCNYmillion</x:v>
      </x:c>
      <x:c r="D1872" s="39" t="n">
        <x:v>227.402</x:v>
      </x:c>
      <x:c r="E1872" s="11" t="str">
        <x:v>CNY</x:v>
      </x:c>
      <x:c r="F1872" s="11" t="str">
        <x:v>million</x:v>
      </x:c>
      <x:c r="G1872" s="11" t="str">
        <x:v>2026H1</x:v>
      </x:c>
      <x:c r="H1872" s="11" t="str">
        <x:v>2026-09-24中报；2026-08-20结果公告</x:v>
      </x:c>
      <x:c r="I1872" s="11" t="str">
        <x:v>https://popwebsite.paquapp.com/pdf/a94bf743-292d-4472-8442-00abf8f773b8-2026%20INTERIM%20REPORT.pdf</x:v>
      </x:c>
      <x:c r="J1872" s="11" t="str">
        <x:v>reported input; original suffix retains scale</x:v>
      </x:c>
      <x:c r="K1872" s="11" t="str">
        <x:v>待核</x:v>
      </x:c>
      <x:c r="L1872" s="11" t="str">
        <x:v>精确发布时间未核验</x:v>
      </x:c>
      <x:c r="M1872" s="11" t="str">
        <x:v>截止日前日期，盘中时分未核</x:v>
      </x:c>
    </x:row>
    <x:row r="1873" ht="23" customHeight="1">
      <x:c r="A1873" s="11" t="str">
        <x:v>I056</x:v>
      </x:c>
      <x:c r="B1873" s="11" t="str">
        <x:v>09992.HK</x:v>
      </x:c>
      <x:c r="C1873" s="11" t="str">
        <x:v>cashAndTermsResearchCNYmillion</x:v>
      </x:c>
      <x:c r="D1873" s="39" t="n">
        <x:v>14164.025</x:v>
      </x:c>
      <x:c r="E1873" s="11" t="str">
        <x:v>CNY</x:v>
      </x:c>
      <x:c r="F1873" s="11" t="str">
        <x:v>million</x:v>
      </x:c>
      <x:c r="G1873" s="11" t="str">
        <x:v>2026H1</x:v>
      </x:c>
      <x:c r="H1873" s="11" t="str">
        <x:v>2026-09-24中报；2026-08-20结果公告</x:v>
      </x:c>
      <x:c r="I1873" s="11" t="str">
        <x:v>https://popwebsite.paquapp.com/pdf/a94bf743-292d-4472-8442-00abf8f773b8-2026%20INTERIM%20REPORT.pdf</x:v>
      </x:c>
      <x:c r="J1873" s="11" t="str">
        <x:v>research calculation from primary inputs</x:v>
      </x:c>
      <x:c r="K1873" s="11" t="str">
        <x:v>待核</x:v>
      </x:c>
      <x:c r="L1873" s="11" t="str">
        <x:v>精确发布时间未核验</x:v>
      </x:c>
      <x:c r="M1873" s="11" t="str">
        <x:v>截止日前日期，盘中时分未核</x:v>
      </x:c>
    </x:row>
    <x:row r="1874" ht="23" customHeight="1">
      <x:c r="A1874" s="11" t="str">
        <x:v>I056</x:v>
      </x:c>
      <x:c r="B1874" s="11" t="str">
        <x:v>09992.HK</x:v>
      </x:c>
      <x:c r="C1874" s="11" t="str">
        <x:v>bankDebtCNYmillion</x:v>
      </x:c>
      <x:c r="D1874" s="39" t="n">
        <x:v>0</x:v>
      </x:c>
      <x:c r="E1874" s="11" t="str">
        <x:v>CNY</x:v>
      </x:c>
      <x:c r="F1874" s="11" t="str">
        <x:v>million</x:v>
      </x:c>
      <x:c r="G1874" s="11" t="str">
        <x:v>2026H1</x:v>
      </x:c>
      <x:c r="H1874" s="11" t="str">
        <x:v>2026-09-24中报；2026-08-20结果公告</x:v>
      </x:c>
      <x:c r="I1874" s="11" t="str">
        <x:v>https://popwebsite.paquapp.com/pdf/a94bf743-292d-4472-8442-00abf8f773b8-2026%20INTERIM%20REPORT.pdf</x:v>
      </x:c>
      <x:c r="J1874" s="11" t="str">
        <x:v>reported input; original suffix retains scale</x:v>
      </x:c>
      <x:c r="K1874" s="11" t="str">
        <x:v>待核</x:v>
      </x:c>
      <x:c r="L1874" s="11" t="str">
        <x:v>精确发布时间未核验</x:v>
      </x:c>
      <x:c r="M1874" s="11" t="str">
        <x:v>截止日前日期，盘中时分未核</x:v>
      </x:c>
    </x:row>
    <x:row r="1875" ht="23" customHeight="1">
      <x:c r="A1875" s="11" t="str">
        <x:v>I056</x:v>
      </x:c>
      <x:c r="B1875" s="11" t="str">
        <x:v>09992.HK</x:v>
      </x:c>
      <x:c r="C1875" s="11" t="str">
        <x:v>leaseLiabilitiesCNYmillion</x:v>
      </x:c>
      <x:c r="D1875" s="39" t="n">
        <x:v>3727.572</x:v>
      </x:c>
      <x:c r="E1875" s="11" t="str">
        <x:v>CNY</x:v>
      </x:c>
      <x:c r="F1875" s="11" t="str">
        <x:v>million</x:v>
      </x:c>
      <x:c r="G1875" s="11" t="str">
        <x:v>2026H1</x:v>
      </x:c>
      <x:c r="H1875" s="11" t="str">
        <x:v>2026-09-24中报；2026-08-20结果公告</x:v>
      </x:c>
      <x:c r="I1875" s="11" t="str">
        <x:v>https://popwebsite.paquapp.com/pdf/a94bf743-292d-4472-8442-00abf8f773b8-2026%20INTERIM%20REPORT.pdf</x:v>
      </x:c>
      <x:c r="J1875" s="11" t="str">
        <x:v>reported input; original suffix retains scale</x:v>
      </x:c>
      <x:c r="K1875" s="11" t="str">
        <x:v>待核</x:v>
      </x:c>
      <x:c r="L1875" s="11" t="str">
        <x:v>精确发布时间未核验</x:v>
      </x:c>
      <x:c r="M1875" s="11" t="str">
        <x:v>截止日前日期，盘中时分未核</x:v>
      </x:c>
    </x:row>
    <x:row r="1876" ht="23" customHeight="1">
      <x:c r="A1876" s="11" t="str">
        <x:v>I056</x:v>
      </x:c>
      <x:c r="B1876" s="11" t="str">
        <x:v>09992.HK</x:v>
      </x:c>
      <x:c r="C1876" s="11" t="str">
        <x:v>interimDividend</x:v>
      </x:c>
      <x:c r="D1876" s="39" t="n">
        <x:v>0</x:v>
      </x:c>
      <x:c r="E1876" s="11" t="str">
        <x:v>CNY</x:v>
      </x:c>
      <x:c r="F1876" s="11" t="str">
        <x:v>per ordinary share</x:v>
      </x:c>
      <x:c r="G1876" s="11" t="str">
        <x:v>2026H1</x:v>
      </x:c>
      <x:c r="H1876" s="11" t="str">
        <x:v>2026-09-24中报；2026-08-20结果公告</x:v>
      </x:c>
      <x:c r="I1876" s="11" t="str">
        <x:v>https://popwebsite.paquapp.com/pdf/a94bf743-292d-4472-8442-00abf8f773b8-2026%20INTERIM%20REPORT.pdf</x:v>
      </x:c>
      <x:c r="J1876" s="11" t="str">
        <x:v>reported input; original suffix retains scale</x:v>
      </x:c>
      <x:c r="K1876" s="11" t="str">
        <x:v>待核</x:v>
      </x:c>
      <x:c r="L1876" s="11" t="str">
        <x:v>精确发布时间未核验</x:v>
      </x:c>
      <x:c r="M1876" s="11" t="str">
        <x:v>截止日前日期，盘中时分未核</x:v>
      </x:c>
    </x:row>
    <x:row r="1877" ht="23" customHeight="1">
      <x:c r="A1877" s="11" t="str">
        <x:v>I056</x:v>
      </x:c>
      <x:c r="B1877" s="11" t="str">
        <x:v>09992.HK</x:v>
      </x:c>
      <x:c r="C1877" s="11" t="str">
        <x:v>dividendH1AlreadyPaidCNYperShare</x:v>
      </x:c>
      <x:c r="D1877" s="39" t="n">
        <x:v>2.3817</x:v>
      </x:c>
      <x:c r="E1877" s="11" t="str">
        <x:v>CNY</x:v>
      </x:c>
      <x:c r="F1877" s="11" t="str">
        <x:v>fraction</x:v>
      </x:c>
      <x:c r="G1877" s="11" t="str">
        <x:v>2026H1</x:v>
      </x:c>
      <x:c r="H1877" s="11" t="str">
        <x:v>2026-09-24中报；2026-08-20结果公告</x:v>
      </x:c>
      <x:c r="I1877" s="11" t="str">
        <x:v>https://popwebsite.paquapp.com/pdf/a94bf743-292d-4472-8442-00abf8f773b8-2026%20INTERIM%20REPORT.pdf</x:v>
      </x:c>
      <x:c r="J1877" s="11" t="str">
        <x:v>reported input; original suffix retains scale</x:v>
      </x:c>
      <x:c r="K1877" s="11" t="str">
        <x:v>待核</x:v>
      </x:c>
      <x:c r="L1877" s="11" t="str">
        <x:v>精确发布时间未核验</x:v>
      </x:c>
      <x:c r="M1877" s="11" t="str">
        <x:v>截止日前日期，盘中时分未核</x:v>
      </x:c>
    </x:row>
    <x:row r="1878" ht="23" customHeight="1">
      <x:c r="A1878" s="11" t="str">
        <x:v>I013</x:v>
      </x:c>
      <x:c r="B1878" s="11" t="str">
        <x:v>300363.SZ</x:v>
      </x:c>
      <x:c r="C1878" s="11" t="str">
        <x:v>revenue</x:v>
      </x:c>
      <x:c r="D1878" s="39" t="n">
        <x:v>1789.88500605</x:v>
      </x:c>
      <x:c r="E1878" s="11" t="str">
        <x:v>CNY</x:v>
      </x:c>
      <x:c r="F1878" s="11" t="str">
        <x:v>million</x:v>
      </x:c>
      <x:c r="G1878" s="11" t="str">
        <x:v>2026H1</x:v>
      </x:c>
      <x:c r="H1878" s="11" t="str">
        <x:v>2026-08-22</x:v>
      </x:c>
      <x:c r="I1878" s="11" t="str">
        <x:v>https://static.cninfo.com.cn/finalpage/2026-08-22/1225492110.PDF</x:v>
      </x:c>
      <x:c r="J1878" s="11" t="str"/>
      <x:c r="K1878" s="11" t="str">
        <x:v>待核</x:v>
      </x:c>
      <x:c r="L1878" s="11" t="str">
        <x:v>精确发布时间未核验</x:v>
      </x:c>
      <x:c r="M1878" s="11" t="str">
        <x:v>截止日前日期，盘中时分未核</x:v>
      </x:c>
    </x:row>
    <x:row r="1879" ht="23" customHeight="1">
      <x:c r="A1879" s="11" t="str">
        <x:v>I013</x:v>
      </x:c>
      <x:c r="B1879" s="11" t="str">
        <x:v>300363.SZ</x:v>
      </x:c>
      <x:c r="C1879" s="11" t="str">
        <x:v>cost</x:v>
      </x:c>
      <x:c r="D1879" s="39" t="n">
        <x:v>1212.92738061</x:v>
      </x:c>
      <x:c r="E1879" s="11" t="str">
        <x:v>CNY</x:v>
      </x:c>
      <x:c r="F1879" s="11" t="str">
        <x:v>million</x:v>
      </x:c>
      <x:c r="G1879" s="11" t="str">
        <x:v>2026H1</x:v>
      </x:c>
      <x:c r="H1879" s="11" t="str">
        <x:v>2026-08-22</x:v>
      </x:c>
      <x:c r="I1879" s="11" t="str">
        <x:v>https://static.cninfo.com.cn/finalpage/2026-08-22/1225492110.PDF</x:v>
      </x:c>
      <x:c r="J1879" s="11" t="str"/>
      <x:c r="K1879" s="11" t="str">
        <x:v>待核</x:v>
      </x:c>
      <x:c r="L1879" s="11" t="str">
        <x:v>精确发布时间未核验</x:v>
      </x:c>
      <x:c r="M1879" s="11" t="str">
        <x:v>截止日前日期，盘中时分未核</x:v>
      </x:c>
    </x:row>
    <x:row r="1880" ht="23" customHeight="1">
      <x:c r="A1880" s="11" t="str">
        <x:v>I013</x:v>
      </x:c>
      <x:c r="B1880" s="11" t="str">
        <x:v>300363.SZ</x:v>
      </x:c>
      <x:c r="C1880" s="11" t="str">
        <x:v>attributableProfit</x:v>
      </x:c>
      <x:c r="D1880" s="39" t="n">
        <x:v>-224.20179608</x:v>
      </x:c>
      <x:c r="E1880" s="11" t="str">
        <x:v>CNY</x:v>
      </x:c>
      <x:c r="F1880" s="11" t="str">
        <x:v>million</x:v>
      </x:c>
      <x:c r="G1880" s="11" t="str">
        <x:v>2026H1</x:v>
      </x:c>
      <x:c r="H1880" s="11" t="str">
        <x:v>2026-08-22</x:v>
      </x:c>
      <x:c r="I1880" s="11" t="str">
        <x:v>https://static.cninfo.com.cn/finalpage/2026-08-22/1225492110.PDF</x:v>
      </x:c>
      <x:c r="J1880" s="11" t="str"/>
      <x:c r="K1880" s="11" t="str">
        <x:v>待核</x:v>
      </x:c>
      <x:c r="L1880" s="11" t="str">
        <x:v>精确发布时间未核验</x:v>
      </x:c>
      <x:c r="M1880" s="11" t="str">
        <x:v>截止日前日期，盘中时分未核</x:v>
      </x:c>
    </x:row>
    <x:row r="1881" ht="23" customHeight="1">
      <x:c r="A1881" s="11" t="str">
        <x:v>I013</x:v>
      </x:c>
      <x:c r="B1881" s="11" t="str">
        <x:v>300363.SZ</x:v>
      </x:c>
      <x:c r="C1881" s="11" t="str">
        <x:v>deductedProfit</x:v>
      </x:c>
      <x:c r="D1881" s="39" t="n">
        <x:v>-246.83360459</x:v>
      </x:c>
      <x:c r="E1881" s="11" t="str">
        <x:v>CNY</x:v>
      </x:c>
      <x:c r="F1881" s="11" t="str">
        <x:v>million</x:v>
      </x:c>
      <x:c r="G1881" s="11" t="str">
        <x:v>2026H1</x:v>
      </x:c>
      <x:c r="H1881" s="11" t="str">
        <x:v>2026-08-22</x:v>
      </x:c>
      <x:c r="I1881" s="11" t="str">
        <x:v>https://static.cninfo.com.cn/finalpage/2026-08-22/1225492110.PDF</x:v>
      </x:c>
      <x:c r="J1881" s="11" t="str"/>
      <x:c r="K1881" s="11" t="str">
        <x:v>待核</x:v>
      </x:c>
      <x:c r="L1881" s="11" t="str">
        <x:v>精确发布时间未核验</x:v>
      </x:c>
      <x:c r="M1881" s="11" t="str">
        <x:v>截止日前日期，盘中时分未核</x:v>
      </x:c>
    </x:row>
    <x:row r="1882" ht="23" customHeight="1">
      <x:c r="A1882" s="11" t="str">
        <x:v>I013</x:v>
      </x:c>
      <x:c r="B1882" s="11" t="str">
        <x:v>300363.SZ</x:v>
      </x:c>
      <x:c r="C1882" s="11" t="str">
        <x:v>totalNetProfit</x:v>
      </x:c>
      <x:c r="D1882" s="39" t="n">
        <x:v>-255.05659622</x:v>
      </x:c>
      <x:c r="E1882" s="11" t="str">
        <x:v>CNY</x:v>
      </x:c>
      <x:c r="F1882" s="11" t="str">
        <x:v>million</x:v>
      </x:c>
      <x:c r="G1882" s="11" t="str">
        <x:v>2026H1</x:v>
      </x:c>
      <x:c r="H1882" s="11" t="str">
        <x:v>2026-08-22</x:v>
      </x:c>
      <x:c r="I1882" s="11" t="str">
        <x:v>https://static.cninfo.com.cn/finalpage/2026-08-22/1225492110.PDF</x:v>
      </x:c>
      <x:c r="J1882" s="11" t="str"/>
      <x:c r="K1882" s="11" t="str">
        <x:v>待核</x:v>
      </x:c>
      <x:c r="L1882" s="11" t="str">
        <x:v>精确发布时间未核验</x:v>
      </x:c>
      <x:c r="M1882" s="11" t="str">
        <x:v>截止日前日期，盘中时分未核</x:v>
      </x:c>
    </x:row>
    <x:row r="1883" ht="23" customHeight="1">
      <x:c r="A1883" s="11" t="str">
        <x:v>I013</x:v>
      </x:c>
      <x:c r="B1883" s="11" t="str">
        <x:v>300363.SZ</x:v>
      </x:c>
      <x:c r="C1883" s="11" t="str">
        <x:v>minorityProfit</x:v>
      </x:c>
      <x:c r="D1883" s="39" t="n">
        <x:v>-30.85480014</x:v>
      </x:c>
      <x:c r="E1883" s="11" t="str">
        <x:v>CNY</x:v>
      </x:c>
      <x:c r="F1883" s="11" t="str">
        <x:v>million</x:v>
      </x:c>
      <x:c r="G1883" s="11" t="str">
        <x:v>2026H1</x:v>
      </x:c>
      <x:c r="H1883" s="11" t="str">
        <x:v>2026-08-22</x:v>
      </x:c>
      <x:c r="I1883" s="11" t="str">
        <x:v>https://static.cninfo.com.cn/finalpage/2026-08-22/1225492110.PDF</x:v>
      </x:c>
      <x:c r="J1883" s="11" t="str"/>
      <x:c r="K1883" s="11" t="str">
        <x:v>待核</x:v>
      </x:c>
      <x:c r="L1883" s="11" t="str">
        <x:v>精确发布时间未核验</x:v>
      </x:c>
      <x:c r="M1883" s="11" t="str">
        <x:v>截止日前日期，盘中时分未核</x:v>
      </x:c>
    </x:row>
    <x:row r="1884" ht="23" customHeight="1">
      <x:c r="A1884" s="11" t="str">
        <x:v>I013</x:v>
      </x:c>
      <x:c r="B1884" s="11" t="str">
        <x:v>300363.SZ</x:v>
      </x:c>
      <x:c r="C1884" s="11" t="str">
        <x:v>continuingGroupProfit</x:v>
      </x:c>
      <x:c r="D1884" s="39" t="n">
        <x:v>92.32768045</x:v>
      </x:c>
      <x:c r="E1884" s="11" t="str">
        <x:v>CNY</x:v>
      </x:c>
      <x:c r="F1884" s="11" t="str">
        <x:v>million</x:v>
      </x:c>
      <x:c r="G1884" s="11" t="str">
        <x:v>2026H1</x:v>
      </x:c>
      <x:c r="H1884" s="11" t="str">
        <x:v>2026-08-22</x:v>
      </x:c>
      <x:c r="I1884" s="11" t="str">
        <x:v>https://static.cninfo.com.cn/finalpage/2026-08-22/1225492110.PDF</x:v>
      </x:c>
      <x:c r="J1884" s="11" t="str"/>
      <x:c r="K1884" s="11" t="str">
        <x:v>待核</x:v>
      </x:c>
      <x:c r="L1884" s="11" t="str">
        <x:v>精确发布时间未核验</x:v>
      </x:c>
      <x:c r="M1884" s="11" t="str">
        <x:v>截止日前日期，盘中时分未核</x:v>
      </x:c>
    </x:row>
    <x:row r="1885" ht="23" customHeight="1">
      <x:c r="A1885" s="11" t="str">
        <x:v>I013</x:v>
      </x:c>
      <x:c r="B1885" s="11" t="str">
        <x:v>300363.SZ</x:v>
      </x:c>
      <x:c r="C1885" s="11" t="str">
        <x:v>discontinuedProfit</x:v>
      </x:c>
      <x:c r="D1885" s="39" t="n">
        <x:v>-347.38427667</x:v>
      </x:c>
      <x:c r="E1885" s="11" t="str">
        <x:v>CNY</x:v>
      </x:c>
      <x:c r="F1885" s="11" t="str">
        <x:v>million</x:v>
      </x:c>
      <x:c r="G1885" s="11" t="str">
        <x:v>2026H1</x:v>
      </x:c>
      <x:c r="H1885" s="11" t="str">
        <x:v>2026-08-22</x:v>
      </x:c>
      <x:c r="I1885" s="11" t="str">
        <x:v>https://static.cninfo.com.cn/finalpage/2026-08-22/1225492110.PDF</x:v>
      </x:c>
      <x:c r="J1885" s="11" t="str"/>
      <x:c r="K1885" s="11" t="str">
        <x:v>待核</x:v>
      </x:c>
      <x:c r="L1885" s="11" t="str">
        <x:v>精确发布时间未核验</x:v>
      </x:c>
      <x:c r="M1885" s="11" t="str">
        <x:v>截止日前日期，盘中时分未核</x:v>
      </x:c>
    </x:row>
    <x:row r="1886" ht="23" customHeight="1">
      <x:c r="A1886" s="11" t="str">
        <x:v>I013</x:v>
      </x:c>
      <x:c r="B1886" s="11" t="str">
        <x:v>300363.SZ</x:v>
      </x:c>
      <x:c r="C1886" s="11" t="str">
        <x:v>continuingAttributableProfit</x:v>
      </x:c>
      <x:c r="D1886" s="39" t="n">
        <x:v>123.18248059</x:v>
      </x:c>
      <x:c r="E1886" s="11" t="str">
        <x:v>CNY</x:v>
      </x:c>
      <x:c r="F1886" s="11" t="str">
        <x:v>million</x:v>
      </x:c>
      <x:c r="G1886" s="11" t="str">
        <x:v>2026H1</x:v>
      </x:c>
      <x:c r="H1886" s="11" t="str">
        <x:v>2026-08-22</x:v>
      </x:c>
      <x:c r="I1886" s="11" t="str">
        <x:v>https://static.cninfo.com.cn/finalpage/2026-08-22/1225492110.PDF</x:v>
      </x:c>
      <x:c r="J1886" s="11" t="str"/>
      <x:c r="K1886" s="11" t="str">
        <x:v>待核</x:v>
      </x:c>
      <x:c r="L1886" s="11" t="str">
        <x:v>精确发布时间未核验</x:v>
      </x:c>
      <x:c r="M1886" s="11" t="str">
        <x:v>截止日前日期，盘中时分未核</x:v>
      </x:c>
    </x:row>
    <x:row r="1887" ht="23" customHeight="1">
      <x:c r="A1887" s="11" t="str">
        <x:v>I013</x:v>
      </x:c>
      <x:c r="B1887" s="11" t="str">
        <x:v>300363.SZ</x:v>
      </x:c>
      <x:c r="C1887" s="11" t="str">
        <x:v>OCF</x:v>
      </x:c>
      <x:c r="D1887" s="39" t="n">
        <x:v>305.70442369</x:v>
      </x:c>
      <x:c r="E1887" s="11" t="str">
        <x:v>CNY</x:v>
      </x:c>
      <x:c r="F1887" s="11" t="str">
        <x:v>million</x:v>
      </x:c>
      <x:c r="G1887" s="11" t="str">
        <x:v>2026H1</x:v>
      </x:c>
      <x:c r="H1887" s="11" t="str">
        <x:v>2026-08-22</x:v>
      </x:c>
      <x:c r="I1887" s="11" t="str">
        <x:v>https://static.cninfo.com.cn/finalpage/2026-08-22/1225492110.PDF</x:v>
      </x:c>
      <x:c r="J1887" s="11" t="str"/>
      <x:c r="K1887" s="11" t="str">
        <x:v>待核</x:v>
      </x:c>
      <x:c r="L1887" s="11" t="str">
        <x:v>精确发布时间未核验</x:v>
      </x:c>
      <x:c r="M1887" s="11" t="str">
        <x:v>截止日前日期，盘中时分未核</x:v>
      </x:c>
    </x:row>
    <x:row r="1888" ht="23" customHeight="1">
      <x:c r="A1888" s="11" t="str">
        <x:v>I013</x:v>
      </x:c>
      <x:c r="B1888" s="11" t="str">
        <x:v>300363.SZ</x:v>
      </x:c>
      <x:c r="C1888" s="11" t="str">
        <x:v>capex</x:v>
      </x:c>
      <x:c r="D1888" s="39" t="n">
        <x:v>48.72413537</x:v>
      </x:c>
      <x:c r="E1888" s="11" t="str">
        <x:v>CNY</x:v>
      </x:c>
      <x:c r="F1888" s="11" t="str">
        <x:v>million</x:v>
      </x:c>
      <x:c r="G1888" s="11" t="str">
        <x:v>2026H1</x:v>
      </x:c>
      <x:c r="H1888" s="11" t="str">
        <x:v>2026-08-22</x:v>
      </x:c>
      <x:c r="I1888" s="11" t="str">
        <x:v>https://static.cninfo.com.cn/finalpage/2026-08-22/1225492110.PDF</x:v>
      </x:c>
      <x:c r="J1888" s="11" t="str"/>
      <x:c r="K1888" s="11" t="str">
        <x:v>待核</x:v>
      </x:c>
      <x:c r="L1888" s="11" t="str">
        <x:v>精确发布时间未核验</x:v>
      </x:c>
      <x:c r="M1888" s="11" t="str">
        <x:v>截止日前日期，盘中时分未核</x:v>
      </x:c>
    </x:row>
    <x:row r="1889" ht="23" customHeight="1">
      <x:c r="A1889" s="11" t="str">
        <x:v>I013</x:v>
      </x:c>
      <x:c r="B1889" s="11" t="str">
        <x:v>300363.SZ</x:v>
      </x:c>
      <x:c r="C1889" s="11" t="str">
        <x:v>FCF</x:v>
      </x:c>
      <x:c r="D1889" s="39" t="n">
        <x:v>256.98028832</x:v>
      </x:c>
      <x:c r="E1889" s="11" t="str">
        <x:v>CNY</x:v>
      </x:c>
      <x:c r="F1889" s="11" t="str">
        <x:v>million</x:v>
      </x:c>
      <x:c r="G1889" s="11" t="str">
        <x:v>2026H1</x:v>
      </x:c>
      <x:c r="H1889" s="11" t="str">
        <x:v>2026-08-22</x:v>
      </x:c>
      <x:c r="I1889" s="11" t="str">
        <x:v>https://static.cninfo.com.cn/finalpage/2026-08-22/1225492110.PDF</x:v>
      </x:c>
      <x:c r="J1889" s="11" t="str"/>
      <x:c r="K1889" s="11" t="str">
        <x:v>待核</x:v>
      </x:c>
      <x:c r="L1889" s="11" t="str">
        <x:v>精确发布时间未核验</x:v>
      </x:c>
      <x:c r="M1889" s="11" t="str">
        <x:v>截止日前日期，盘中时分未核</x:v>
      </x:c>
    </x:row>
    <x:row r="1890" ht="23" customHeight="1">
      <x:c r="A1890" s="11" t="str">
        <x:v>I013</x:v>
      </x:c>
      <x:c r="B1890" s="11" t="str">
        <x:v>300363.SZ</x:v>
      </x:c>
      <x:c r="C1890" s="11" t="str">
        <x:v>operatingReleasedPledgedDeposit</x:v>
      </x:c>
      <x:c r="D1890" s="39" t="n">
        <x:v>89.6369416</x:v>
      </x:c>
      <x:c r="E1890" s="11" t="str">
        <x:v>CNY</x:v>
      </x:c>
      <x:c r="F1890" s="11" t="str">
        <x:v>million</x:v>
      </x:c>
      <x:c r="G1890" s="11" t="str">
        <x:v>2026H1</x:v>
      </x:c>
      <x:c r="H1890" s="11" t="str">
        <x:v>2026-08-22</x:v>
      </x:c>
      <x:c r="I1890" s="11" t="str">
        <x:v>https://static.cninfo.com.cn/finalpage/2026-08-22/1225492110.PDF</x:v>
      </x:c>
      <x:c r="J1890" s="11" t="str"/>
      <x:c r="K1890" s="11" t="str">
        <x:v>待核</x:v>
      </x:c>
      <x:c r="L1890" s="11" t="str">
        <x:v>精确发布时间未核验</x:v>
      </x:c>
      <x:c r="M1890" s="11" t="str">
        <x:v>截止日前日期，盘中时分未核</x:v>
      </x:c>
    </x:row>
    <x:row r="1891" ht="23" customHeight="1">
      <x:c r="A1891" s="11" t="str">
        <x:v>I013</x:v>
      </x:c>
      <x:c r="B1891" s="11" t="str">
        <x:v>300363.SZ</x:v>
      </x:c>
      <x:c r="C1891" s="11" t="str">
        <x:v>depositAdjustedOCFIllustrative</x:v>
      </x:c>
      <x:c r="D1891" s="39" t="n">
        <x:v>216.06748209</x:v>
      </x:c>
      <x:c r="E1891" s="11" t="str">
        <x:v>CNY</x:v>
      </x:c>
      <x:c r="F1891" s="11" t="str">
        <x:v>million</x:v>
      </x:c>
      <x:c r="G1891" s="11" t="str">
        <x:v>2026H1</x:v>
      </x:c>
      <x:c r="H1891" s="11" t="str">
        <x:v>2026-08-22</x:v>
      </x:c>
      <x:c r="I1891" s="11" t="str">
        <x:v>https://static.cninfo.com.cn/finalpage/2026-08-22/1225492110.PDF</x:v>
      </x:c>
      <x:c r="J1891" s="11" t="str"/>
      <x:c r="K1891" s="11" t="str">
        <x:v>待核</x:v>
      </x:c>
      <x:c r="L1891" s="11" t="str">
        <x:v>精确发布时间未核验</x:v>
      </x:c>
      <x:c r="M1891" s="11" t="str">
        <x:v>截止日前日期，盘中时分未核</x:v>
      </x:c>
    </x:row>
    <x:row r="1892" ht="23" customHeight="1">
      <x:c r="A1892" s="11" t="str">
        <x:v>I013</x:v>
      </x:c>
      <x:c r="B1892" s="11" t="str">
        <x:v>300363.SZ</x:v>
      </x:c>
      <x:c r="C1892" s="11" t="str">
        <x:v>depositAdjustedFCFIllustrative</x:v>
      </x:c>
      <x:c r="D1892" s="39" t="n">
        <x:v>167.34334672</x:v>
      </x:c>
      <x:c r="E1892" s="11" t="str">
        <x:v>CNY</x:v>
      </x:c>
      <x:c r="F1892" s="11" t="str">
        <x:v>million</x:v>
      </x:c>
      <x:c r="G1892" s="11" t="str">
        <x:v>2026H1</x:v>
      </x:c>
      <x:c r="H1892" s="11" t="str">
        <x:v>2026-08-22</x:v>
      </x:c>
      <x:c r="I1892" s="11" t="str">
        <x:v>https://static.cninfo.com.cn/finalpage/2026-08-22/1225492110.PDF</x:v>
      </x:c>
      <x:c r="J1892" s="11" t="str"/>
      <x:c r="K1892" s="11" t="str">
        <x:v>待核</x:v>
      </x:c>
      <x:c r="L1892" s="11" t="str">
        <x:v>精确发布时间未核验</x:v>
      </x:c>
      <x:c r="M1892" s="11" t="str">
        <x:v>截止日前日期，盘中时分未核</x:v>
      </x:c>
    </x:row>
    <x:row r="1893" ht="23" customHeight="1">
      <x:c r="A1893" s="11" t="str">
        <x:v>I013</x:v>
      </x:c>
      <x:c r="B1893" s="11" t="str">
        <x:v>300363.SZ</x:v>
      </x:c>
      <x:c r="C1893" s="11" t="str">
        <x:v>cashBank</x:v>
      </x:c>
      <x:c r="D1893" s="39" t="n">
        <x:v>840.18689476</x:v>
      </x:c>
      <x:c r="E1893" s="11" t="str">
        <x:v>CNY</x:v>
      </x:c>
      <x:c r="F1893" s="11" t="str">
        <x:v>million</x:v>
      </x:c>
      <x:c r="G1893" s="11" t="str">
        <x:v>2026H1</x:v>
      </x:c>
      <x:c r="H1893" s="11" t="str">
        <x:v>2026-08-22</x:v>
      </x:c>
      <x:c r="I1893" s="11" t="str">
        <x:v>https://static.cninfo.com.cn/finalpage/2026-08-22/1225492110.PDF</x:v>
      </x:c>
      <x:c r="J1893" s="11" t="str"/>
      <x:c r="K1893" s="11" t="str">
        <x:v>待核</x:v>
      </x:c>
      <x:c r="L1893" s="11" t="str">
        <x:v>精确发布时间未核验</x:v>
      </x:c>
      <x:c r="M1893" s="11" t="str">
        <x:v>截止日前日期，盘中时分未核</x:v>
      </x:c>
    </x:row>
    <x:row r="1894" ht="23" customHeight="1">
      <x:c r="A1894" s="11" t="str">
        <x:v>I013</x:v>
      </x:c>
      <x:c r="B1894" s="11" t="str">
        <x:v>300363.SZ</x:v>
      </x:c>
      <x:c r="C1894" s="11" t="str">
        <x:v>cashCashEquivalents</x:v>
      </x:c>
      <x:c r="D1894" s="39" t="n">
        <x:v>823.49917765</x:v>
      </x:c>
      <x:c r="E1894" s="11" t="str">
        <x:v>CNY</x:v>
      </x:c>
      <x:c r="F1894" s="11" t="str">
        <x:v>million</x:v>
      </x:c>
      <x:c r="G1894" s="11" t="str">
        <x:v>2026H1</x:v>
      </x:c>
      <x:c r="H1894" s="11" t="str">
        <x:v>2026-08-22</x:v>
      </x:c>
      <x:c r="I1894" s="11" t="str">
        <x:v>https://static.cninfo.com.cn/finalpage/2026-08-22/1225492110.PDF</x:v>
      </x:c>
      <x:c r="J1894" s="11" t="str"/>
      <x:c r="K1894" s="11" t="str">
        <x:v>待核</x:v>
      </x:c>
      <x:c r="L1894" s="11" t="str">
        <x:v>精确发布时间未核验</x:v>
      </x:c>
      <x:c r="M1894" s="11" t="str">
        <x:v>截止日前日期，盘中时分未核</x:v>
      </x:c>
    </x:row>
    <x:row r="1895" ht="23" customHeight="1">
      <x:c r="A1895" s="11" t="str">
        <x:v>I013</x:v>
      </x:c>
      <x:c r="B1895" s="11" t="str">
        <x:v>300363.SZ</x:v>
      </x:c>
      <x:c r="C1895" s="11" t="str">
        <x:v>restrictedCash</x:v>
      </x:c>
      <x:c r="D1895" s="39" t="n">
        <x:v>16.68771711</x:v>
      </x:c>
      <x:c r="E1895" s="11" t="str">
        <x:v>CNY</x:v>
      </x:c>
      <x:c r="F1895" s="11" t="str">
        <x:v>million</x:v>
      </x:c>
      <x:c r="G1895" s="11" t="str">
        <x:v>2026H1</x:v>
      </x:c>
      <x:c r="H1895" s="11" t="str">
        <x:v>2026-08-22</x:v>
      </x:c>
      <x:c r="I1895" s="11" t="str">
        <x:v>https://static.cninfo.com.cn/finalpage/2026-08-22/1225492110.PDF</x:v>
      </x:c>
      <x:c r="J1895" s="11" t="str"/>
      <x:c r="K1895" s="11" t="str">
        <x:v>待核</x:v>
      </x:c>
      <x:c r="L1895" s="11" t="str">
        <x:v>精确发布时间未核验</x:v>
      </x:c>
      <x:c r="M1895" s="11" t="str">
        <x:v>截止日前日期，盘中时分未核</x:v>
      </x:c>
    </x:row>
    <x:row r="1896" ht="23" customHeight="1">
      <x:c r="A1896" s="11" t="str">
        <x:v>I013</x:v>
      </x:c>
      <x:c r="B1896" s="11" t="str">
        <x:v>300363.SZ</x:v>
      </x:c>
      <x:c r="C1896" s="11" t="str">
        <x:v>financialCurrent</x:v>
      </x:c>
      <x:c r="D1896" s="39" t="n">
        <x:v>297.44409589</x:v>
      </x:c>
      <x:c r="E1896" s="11" t="str">
        <x:v>CNY</x:v>
      </x:c>
      <x:c r="F1896" s="11" t="str">
        <x:v>million</x:v>
      </x:c>
      <x:c r="G1896" s="11" t="str">
        <x:v>2026H1</x:v>
      </x:c>
      <x:c r="H1896" s="11" t="str">
        <x:v>2026-08-22</x:v>
      </x:c>
      <x:c r="I1896" s="11" t="str">
        <x:v>https://static.cninfo.com.cn/finalpage/2026-08-22/1225492110.PDF</x:v>
      </x:c>
      <x:c r="J1896" s="11" t="str"/>
      <x:c r="K1896" s="11" t="str">
        <x:v>待核</x:v>
      </x:c>
      <x:c r="L1896" s="11" t="str">
        <x:v>精确发布时间未核验</x:v>
      </x:c>
      <x:c r="M1896" s="11" t="str">
        <x:v>截止日前日期，盘中时分未核</x:v>
      </x:c>
    </x:row>
    <x:row r="1897" ht="23" customHeight="1">
      <x:c r="A1897" s="11" t="str">
        <x:v>I013</x:v>
      </x:c>
      <x:c r="B1897" s="11" t="str">
        <x:v>300363.SZ</x:v>
      </x:c>
      <x:c r="C1897" s="11" t="str">
        <x:v>financialNoncurrent</x:v>
      </x:c>
      <x:c r="D1897" s="39" t="n">
        <x:v>103.96468846</x:v>
      </x:c>
      <x:c r="E1897" s="11" t="str">
        <x:v>CNY</x:v>
      </x:c>
      <x:c r="F1897" s="11" t="str">
        <x:v>million</x:v>
      </x:c>
      <x:c r="G1897" s="11" t="str">
        <x:v>2026H1</x:v>
      </x:c>
      <x:c r="H1897" s="11" t="str">
        <x:v>2026-08-22</x:v>
      </x:c>
      <x:c r="I1897" s="11" t="str">
        <x:v>https://static.cninfo.com.cn/finalpage/2026-08-22/1225492110.PDF</x:v>
      </x:c>
      <x:c r="J1897" s="11" t="str"/>
      <x:c r="K1897" s="11" t="str">
        <x:v>待核</x:v>
      </x:c>
      <x:c r="L1897" s="11" t="str">
        <x:v>精确发布时间未核验</x:v>
      </x:c>
      <x:c r="M1897" s="11" t="str">
        <x:v>截止日前日期，盘中时分未核</x:v>
      </x:c>
    </x:row>
    <x:row r="1898" ht="23" customHeight="1">
      <x:c r="A1898" s="11" t="str">
        <x:v>I013</x:v>
      </x:c>
      <x:c r="B1898" s="11" t="str">
        <x:v>300363.SZ</x:v>
      </x:c>
      <x:c r="C1898" s="11" t="str">
        <x:v>bankDebtIncludingCurrent</x:v>
      </x:c>
      <x:c r="D1898" s="39" t="n">
        <x:v>749.40041268</x:v>
      </x:c>
      <x:c r="E1898" s="11" t="str">
        <x:v>CNY</x:v>
      </x:c>
      <x:c r="F1898" s="11" t="str">
        <x:v>million</x:v>
      </x:c>
      <x:c r="G1898" s="11" t="str">
        <x:v>2026H1</x:v>
      </x:c>
      <x:c r="H1898" s="11" t="str">
        <x:v>2026-08-22</x:v>
      </x:c>
      <x:c r="I1898" s="11" t="str">
        <x:v>https://static.cninfo.com.cn/finalpage/2026-08-22/1225492110.PDF</x:v>
      </x:c>
      <x:c r="J1898" s="11" t="str"/>
      <x:c r="K1898" s="11" t="str">
        <x:v>待核</x:v>
      </x:c>
      <x:c r="L1898" s="11" t="str">
        <x:v>精确发布时间未核验</x:v>
      </x:c>
      <x:c r="M1898" s="11" t="str">
        <x:v>截止日前日期，盘中时分未核</x:v>
      </x:c>
    </x:row>
    <x:row r="1899" ht="23" customHeight="1">
      <x:c r="A1899" s="11" t="str">
        <x:v>I013</x:v>
      </x:c>
      <x:c r="B1899" s="11" t="str">
        <x:v>300363.SZ</x:v>
      </x:c>
      <x:c r="C1899" s="11" t="str">
        <x:v>bankAccruedInterest</x:v>
      </x:c>
      <x:c r="D1899" s="39" t="n">
        <x:v>0.03421512</x:v>
      </x:c>
      <x:c r="E1899" s="11" t="str">
        <x:v>CNY</x:v>
      </x:c>
      <x:c r="F1899" s="11" t="str">
        <x:v>million</x:v>
      </x:c>
      <x:c r="G1899" s="11" t="str">
        <x:v>2026H1</x:v>
      </x:c>
      <x:c r="H1899" s="11" t="str">
        <x:v>2026-08-22</x:v>
      </x:c>
      <x:c r="I1899" s="11" t="str">
        <x:v>https://static.cninfo.com.cn/finalpage/2026-08-22/1225492110.PDF</x:v>
      </x:c>
      <x:c r="J1899" s="11" t="str"/>
      <x:c r="K1899" s="11" t="str">
        <x:v>待核</x:v>
      </x:c>
      <x:c r="L1899" s="11" t="str">
        <x:v>精确发布时间未核验</x:v>
      </x:c>
      <x:c r="M1899" s="11" t="str">
        <x:v>截止日前日期，盘中时分未核</x:v>
      </x:c>
    </x:row>
    <x:row r="1900" ht="23" customHeight="1">
      <x:c r="A1900" s="11" t="str">
        <x:v>I013</x:v>
      </x:c>
      <x:c r="B1900" s="11" t="str">
        <x:v>300363.SZ</x:v>
      </x:c>
      <x:c r="C1900" s="11" t="str">
        <x:v>leaseDebtIncludingCurrent</x:v>
      </x:c>
      <x:c r="D1900" s="39" t="n">
        <x:v>532.58452795</x:v>
      </x:c>
      <x:c r="E1900" s="11" t="str">
        <x:v>CNY</x:v>
      </x:c>
      <x:c r="F1900" s="11" t="str">
        <x:v>million</x:v>
      </x:c>
      <x:c r="G1900" s="11" t="str">
        <x:v>2026H1</x:v>
      </x:c>
      <x:c r="H1900" s="11" t="str">
        <x:v>2026-08-22</x:v>
      </x:c>
      <x:c r="I1900" s="11" t="str">
        <x:v>https://static.cninfo.com.cn/finalpage/2026-08-22/1225492110.PDF</x:v>
      </x:c>
      <x:c r="J1900" s="11" t="str"/>
      <x:c r="K1900" s="11" t="str">
        <x:v>待核</x:v>
      </x:c>
      <x:c r="L1900" s="11" t="str">
        <x:v>精确发布时间未核验</x:v>
      </x:c>
      <x:c r="M1900" s="11" t="str">
        <x:v>截止日前日期，盘中时分未核</x:v>
      </x:c>
    </x:row>
    <x:row r="1901" ht="23" customHeight="1">
      <x:c r="A1901" s="11" t="str">
        <x:v>I013</x:v>
      </x:c>
      <x:c r="B1901" s="11" t="str">
        <x:v>300363.SZ</x:v>
      </x:c>
      <x:c r="C1901" s="11" t="str">
        <x:v>totalLiabilities</x:v>
      </x:c>
      <x:c r="D1901" s="39" t="n">
        <x:v>2780.86438863</x:v>
      </x:c>
      <x:c r="E1901" s="11" t="str">
        <x:v>CNY</x:v>
      </x:c>
      <x:c r="F1901" s="11" t="str">
        <x:v>million</x:v>
      </x:c>
      <x:c r="G1901" s="11" t="str">
        <x:v>2026H1</x:v>
      </x:c>
      <x:c r="H1901" s="11" t="str">
        <x:v>2026-08-22</x:v>
      </x:c>
      <x:c r="I1901" s="11" t="str">
        <x:v>https://static.cninfo.com.cn/finalpage/2026-08-22/1225492110.PDF</x:v>
      </x:c>
      <x:c r="J1901" s="11" t="str"/>
      <x:c r="K1901" s="11" t="str">
        <x:v>待核</x:v>
      </x:c>
      <x:c r="L1901" s="11" t="str">
        <x:v>精确发布时间未核验</x:v>
      </x:c>
      <x:c r="M1901" s="11" t="str">
        <x:v>截止日前日期，盘中时分未核</x:v>
      </x:c>
    </x:row>
    <x:row r="1902" ht="23" customHeight="1">
      <x:c r="A1902" s="11" t="str">
        <x:v>I013</x:v>
      </x:c>
      <x:c r="B1902" s="11" t="str">
        <x:v>300363.SZ</x:v>
      </x:c>
      <x:c r="C1902" s="11" t="str">
        <x:v>parentEquity</x:v>
      </x:c>
      <x:c r="D1902" s="39" t="n">
        <x:v>4956.98157593</x:v>
      </x:c>
      <x:c r="E1902" s="11" t="str">
        <x:v>CNY</x:v>
      </x:c>
      <x:c r="F1902" s="11" t="str">
        <x:v>million</x:v>
      </x:c>
      <x:c r="G1902" s="11" t="str">
        <x:v>2026H1</x:v>
      </x:c>
      <x:c r="H1902" s="11" t="str">
        <x:v>2026-08-22</x:v>
      </x:c>
      <x:c r="I1902" s="11" t="str">
        <x:v>https://static.cninfo.com.cn/finalpage/2026-08-22/1225492110.PDF</x:v>
      </x:c>
      <x:c r="J1902" s="11" t="str"/>
      <x:c r="K1902" s="11" t="str">
        <x:v>待核</x:v>
      </x:c>
      <x:c r="L1902" s="11" t="str">
        <x:v>精确发布时间未核验</x:v>
      </x:c>
      <x:c r="M1902" s="11" t="str">
        <x:v>截止日前日期，盘中时分未核</x:v>
      </x:c>
    </x:row>
    <x:row r="1903" ht="23" customHeight="1">
      <x:c r="A1903" s="11" t="str">
        <x:v>I013</x:v>
      </x:c>
      <x:c r="B1903" s="11" t="str">
        <x:v>300363.SZ</x:v>
      </x:c>
      <x:c r="C1903" s="11" t="str">
        <x:v>minorityEquity</x:v>
      </x:c>
      <x:c r="D1903" s="39" t="n">
        <x:v>116.80173637</x:v>
      </x:c>
      <x:c r="E1903" s="11" t="str">
        <x:v>CNY</x:v>
      </x:c>
      <x:c r="F1903" s="11" t="str">
        <x:v>million</x:v>
      </x:c>
      <x:c r="G1903" s="11" t="str">
        <x:v>2026H1</x:v>
      </x:c>
      <x:c r="H1903" s="11" t="str">
        <x:v>2026-08-22</x:v>
      </x:c>
      <x:c r="I1903" s="11" t="str">
        <x:v>https://static.cninfo.com.cn/finalpage/2026-08-22/1225492110.PDF</x:v>
      </x:c>
      <x:c r="J1903" s="11" t="str"/>
      <x:c r="K1903" s="11" t="str">
        <x:v>待核</x:v>
      </x:c>
      <x:c r="L1903" s="11" t="str">
        <x:v>精确发布时间未核验</x:v>
      </x:c>
      <x:c r="M1903" s="11" t="str">
        <x:v>截止日前日期，盘中时分未核</x:v>
      </x:c>
    </x:row>
    <x:row r="1904" ht="23" customHeight="1">
      <x:c r="A1904" s="11" t="str">
        <x:v>I013</x:v>
      </x:c>
      <x:c r="B1904" s="11" t="str">
        <x:v>300363.SZ</x:v>
      </x:c>
      <x:c r="C1904" s="11" t="str">
        <x:v>assets</x:v>
      </x:c>
      <x:c r="D1904" s="39" t="n">
        <x:v>7854.64770093</x:v>
      </x:c>
      <x:c r="E1904" s="11" t="str">
        <x:v>CNY</x:v>
      </x:c>
      <x:c r="F1904" s="11" t="str">
        <x:v>million</x:v>
      </x:c>
      <x:c r="G1904" s="11" t="str">
        <x:v>2026H1</x:v>
      </x:c>
      <x:c r="H1904" s="11" t="str">
        <x:v>2026-08-22</x:v>
      </x:c>
      <x:c r="I1904" s="11" t="str">
        <x:v>https://static.cninfo.com.cn/finalpage/2026-08-22/1225492110.PDF</x:v>
      </x:c>
      <x:c r="J1904" s="11" t="str"/>
      <x:c r="K1904" s="11" t="str">
        <x:v>待核</x:v>
      </x:c>
      <x:c r="L1904" s="11" t="str">
        <x:v>精确发布时间未核验</x:v>
      </x:c>
      <x:c r="M1904" s="11" t="str">
        <x:v>截止日前日期，盘中时分未核</x:v>
      </x:c>
    </x:row>
    <x:row r="1905" ht="23" customHeight="1">
      <x:c r="A1905" s="11" t="str">
        <x:v>I013</x:v>
      </x:c>
      <x:c r="B1905" s="11" t="str">
        <x:v>300363.SZ</x:v>
      </x:c>
      <x:c r="C1905" s="11" t="str">
        <x:v>inventory</x:v>
      </x:c>
      <x:c r="D1905" s="39" t="n">
        <x:v>851.19604378</x:v>
      </x:c>
      <x:c r="E1905" s="11" t="str">
        <x:v>CNY</x:v>
      </x:c>
      <x:c r="F1905" s="11" t="str">
        <x:v>million</x:v>
      </x:c>
      <x:c r="G1905" s="11" t="str">
        <x:v>2026H1</x:v>
      </x:c>
      <x:c r="H1905" s="11" t="str">
        <x:v>2026-08-22</x:v>
      </x:c>
      <x:c r="I1905" s="11" t="str">
        <x:v>https://static.cninfo.com.cn/finalpage/2026-08-22/1225492110.PDF</x:v>
      </x:c>
      <x:c r="J1905" s="11" t="str"/>
      <x:c r="K1905" s="11" t="str">
        <x:v>待核</x:v>
      </x:c>
      <x:c r="L1905" s="11" t="str">
        <x:v>精确发布时间未核验</x:v>
      </x:c>
      <x:c r="M1905" s="11" t="str">
        <x:v>截止日前日期，盘中时分未核</x:v>
      </x:c>
    </x:row>
    <x:row r="1906" ht="23" customHeight="1">
      <x:c r="A1906" s="11" t="str">
        <x:v>I013</x:v>
      </x:c>
      <x:c r="B1906" s="11" t="str">
        <x:v>300363.SZ</x:v>
      </x:c>
      <x:c r="C1906" s="11" t="str">
        <x:v>receivables</x:v>
      </x:c>
      <x:c r="D1906" s="39" t="n">
        <x:v>762.45948281</x:v>
      </x:c>
      <x:c r="E1906" s="11" t="str">
        <x:v>CNY</x:v>
      </x:c>
      <x:c r="F1906" s="11" t="str">
        <x:v>million</x:v>
      </x:c>
      <x:c r="G1906" s="11" t="str">
        <x:v>2026H1</x:v>
      </x:c>
      <x:c r="H1906" s="11" t="str">
        <x:v>2026-08-22</x:v>
      </x:c>
      <x:c r="I1906" s="11" t="str">
        <x:v>https://static.cninfo.com.cn/finalpage/2026-08-22/1225492110.PDF</x:v>
      </x:c>
      <x:c r="J1906" s="11" t="str"/>
      <x:c r="K1906" s="11" t="str">
        <x:v>待核</x:v>
      </x:c>
      <x:c r="L1906" s="11" t="str">
        <x:v>精确发布时间未核验</x:v>
      </x:c>
      <x:c r="M1906" s="11" t="str">
        <x:v>截止日前日期，盘中时分未核</x:v>
      </x:c>
    </x:row>
    <x:row r="1907" ht="23" customHeight="1">
      <x:c r="A1907" s="11" t="str">
        <x:v>I013</x:v>
      </x:c>
      <x:c r="B1907" s="11" t="str">
        <x:v>300363.SZ</x:v>
      </x:c>
      <x:c r="C1907" s="11" t="str">
        <x:v>fixedAssets</x:v>
      </x:c>
      <x:c r="D1907" s="39" t="n">
        <x:v>2715.61496646</x:v>
      </x:c>
      <x:c r="E1907" s="11" t="str">
        <x:v>CNY</x:v>
      </x:c>
      <x:c r="F1907" s="11" t="str">
        <x:v>million</x:v>
      </x:c>
      <x:c r="G1907" s="11" t="str">
        <x:v>2026H1</x:v>
      </x:c>
      <x:c r="H1907" s="11" t="str">
        <x:v>2026-08-22</x:v>
      </x:c>
      <x:c r="I1907" s="11" t="str">
        <x:v>https://static.cninfo.com.cn/finalpage/2026-08-22/1225492110.PDF</x:v>
      </x:c>
      <x:c r="J1907" s="11" t="str"/>
      <x:c r="K1907" s="11" t="str">
        <x:v>待核</x:v>
      </x:c>
      <x:c r="L1907" s="11" t="str">
        <x:v>精确发布时间未核验</x:v>
      </x:c>
      <x:c r="M1907" s="11" t="str">
        <x:v>截止日前日期，盘中时分未核</x:v>
      </x:c>
    </x:row>
    <x:row r="1908" ht="23" customHeight="1">
      <x:c r="A1908" s="11" t="str">
        <x:v>I013</x:v>
      </x:c>
      <x:c r="B1908" s="11" t="str">
        <x:v>300363.SZ</x:v>
      </x:c>
      <x:c r="C1908" s="11" t="str">
        <x:v>CIP</x:v>
      </x:c>
      <x:c r="D1908" s="39" t="n">
        <x:v>207.57881028</x:v>
      </x:c>
      <x:c r="E1908" s="11" t="str">
        <x:v>CNY</x:v>
      </x:c>
      <x:c r="F1908" s="11" t="str">
        <x:v>million</x:v>
      </x:c>
      <x:c r="G1908" s="11" t="str">
        <x:v>2026H1</x:v>
      </x:c>
      <x:c r="H1908" s="11" t="str">
        <x:v>2026-08-22</x:v>
      </x:c>
      <x:c r="I1908" s="11" t="str">
        <x:v>https://static.cninfo.com.cn/finalpage/2026-08-22/1225492110.PDF</x:v>
      </x:c>
      <x:c r="J1908" s="11" t="str"/>
      <x:c r="K1908" s="11" t="str">
        <x:v>待核</x:v>
      </x:c>
      <x:c r="L1908" s="11" t="str">
        <x:v>精确发布时间未核验</x:v>
      </x:c>
      <x:c r="M1908" s="11" t="str">
        <x:v>截止日前日期，盘中时分未核</x:v>
      </x:c>
    </x:row>
    <x:row r="1909" ht="23" customHeight="1">
      <x:c r="A1909" s="11" t="str">
        <x:v>I013</x:v>
      </x:c>
      <x:c r="B1909" s="11" t="str">
        <x:v>300363.SZ</x:v>
      </x:c>
      <x:c r="C1909" s="11" t="str">
        <x:v>goodwill</x:v>
      </x:c>
      <x:c r="D1909" s="39" t="n">
        <x:v>287.11111368</x:v>
      </x:c>
      <x:c r="E1909" s="11" t="str">
        <x:v>CNY</x:v>
      </x:c>
      <x:c r="F1909" s="11" t="str">
        <x:v>million</x:v>
      </x:c>
      <x:c r="G1909" s="11" t="str">
        <x:v>2026H1</x:v>
      </x:c>
      <x:c r="H1909" s="11" t="str">
        <x:v>2026-08-22</x:v>
      </x:c>
      <x:c r="I1909" s="11" t="str">
        <x:v>https://static.cninfo.com.cn/finalpage/2026-08-22/1225492110.PDF</x:v>
      </x:c>
      <x:c r="J1909" s="11" t="str"/>
      <x:c r="K1909" s="11" t="str">
        <x:v>待核</x:v>
      </x:c>
      <x:c r="L1909" s="11" t="str">
        <x:v>精确发布时间未核验</x:v>
      </x:c>
      <x:c r="M1909" s="11" t="str">
        <x:v>截止日前日期，盘中时分未核</x:v>
      </x:c>
    </x:row>
    <x:row r="1910" ht="23" customHeight="1">
      <x:c r="A1910" s="11" t="str">
        <x:v>I013</x:v>
      </x:c>
      <x:c r="B1910" s="11" t="str">
        <x:v>300363.SZ</x:v>
      </x:c>
      <x:c r="C1910" s="11" t="str">
        <x:v>longDeferredExpense</x:v>
      </x:c>
      <x:c r="D1910" s="39" t="n">
        <x:v>357.37866823</x:v>
      </x:c>
      <x:c r="E1910" s="11" t="str">
        <x:v>CNY</x:v>
      </x:c>
      <x:c r="F1910" s="11" t="str">
        <x:v>million</x:v>
      </x:c>
      <x:c r="G1910" s="11" t="str">
        <x:v>2026H1</x:v>
      </x:c>
      <x:c r="H1910" s="11" t="str">
        <x:v>2026-08-22</x:v>
      </x:c>
      <x:c r="I1910" s="11" t="str">
        <x:v>https://static.cninfo.com.cn/finalpage/2026-08-22/1225492110.PDF</x:v>
      </x:c>
      <x:c r="J1910" s="11" t="str"/>
      <x:c r="K1910" s="11" t="str">
        <x:v>待核</x:v>
      </x:c>
      <x:c r="L1910" s="11" t="str">
        <x:v>精确发布时间未核验</x:v>
      </x:c>
      <x:c r="M1910" s="11" t="str">
        <x:v>截止日前日期，盘中时分未核</x:v>
      </x:c>
    </x:row>
    <x:row r="1911" ht="23" customHeight="1">
      <x:c r="A1911" s="11" t="str">
        <x:v>I013</x:v>
      </x:c>
      <x:c r="B1911" s="11" t="str">
        <x:v>300363.SZ</x:v>
      </x:c>
      <x:c r="C1911" s="11" t="str">
        <x:v>contractLiability</x:v>
      </x:c>
      <x:c r="D1911" s="39" t="n">
        <x:v>127.38693394</x:v>
      </x:c>
      <x:c r="E1911" s="11" t="str">
        <x:v>CNY</x:v>
      </x:c>
      <x:c r="F1911" s="11" t="str">
        <x:v>million</x:v>
      </x:c>
      <x:c r="G1911" s="11" t="str">
        <x:v>2026H1</x:v>
      </x:c>
      <x:c r="H1911" s="11" t="str">
        <x:v>2026-08-22</x:v>
      </x:c>
      <x:c r="I1911" s="11" t="str">
        <x:v>https://static.cninfo.com.cn/finalpage/2026-08-22/1225492110.PDF</x:v>
      </x:c>
      <x:c r="J1911" s="11" t="str"/>
      <x:c r="K1911" s="11" t="str">
        <x:v>待核</x:v>
      </x:c>
      <x:c r="L1911" s="11" t="str">
        <x:v>精确发布时间未核验</x:v>
      </x:c>
      <x:c r="M1911" s="11" t="str">
        <x:v>截止日前日期，盘中时分未核</x:v>
      </x:c>
    </x:row>
    <x:row r="1912" ht="23" customHeight="1">
      <x:c r="A1912" s="11" t="str">
        <x:v>I013</x:v>
      </x:c>
      <x:c r="B1912" s="11" t="str">
        <x:v>300363.SZ</x:v>
      </x:c>
      <x:c r="C1912" s="11" t="str">
        <x:v>RDTotal</x:v>
      </x:c>
      <x:c r="D1912" s="39" t="n">
        <x:v>106.14263662</x:v>
      </x:c>
      <x:c r="E1912" s="11" t="str">
        <x:v>CNY</x:v>
      </x:c>
      <x:c r="F1912" s="11" t="str">
        <x:v>million</x:v>
      </x:c>
      <x:c r="G1912" s="11" t="str">
        <x:v>2026H1</x:v>
      </x:c>
      <x:c r="H1912" s="11" t="str">
        <x:v>2026-08-22</x:v>
      </x:c>
      <x:c r="I1912" s="11" t="str">
        <x:v>https://static.cninfo.com.cn/finalpage/2026-08-22/1225492110.PDF</x:v>
      </x:c>
      <x:c r="J1912" s="11" t="str"/>
      <x:c r="K1912" s="11" t="str">
        <x:v>待核</x:v>
      </x:c>
      <x:c r="L1912" s="11" t="str">
        <x:v>精确发布时间未核验</x:v>
      </x:c>
      <x:c r="M1912" s="11" t="str">
        <x:v>截止日前日期，盘中时分未核</x:v>
      </x:c>
    </x:row>
    <x:row r="1913" ht="23" customHeight="1">
      <x:c r="A1913" s="11" t="str">
        <x:v>I013</x:v>
      </x:c>
      <x:c r="B1913" s="11" t="str">
        <x:v>300363.SZ</x:v>
      </x:c>
      <x:c r="C1913" s="11" t="str">
        <x:v>RDExpensed</x:v>
      </x:c>
      <x:c r="D1913" s="39" t="n">
        <x:v>106.14263662</x:v>
      </x:c>
      <x:c r="E1913" s="11" t="str">
        <x:v>CNY</x:v>
      </x:c>
      <x:c r="F1913" s="11" t="str">
        <x:v>million</x:v>
      </x:c>
      <x:c r="G1913" s="11" t="str">
        <x:v>2026H1</x:v>
      </x:c>
      <x:c r="H1913" s="11" t="str">
        <x:v>2026-08-22</x:v>
      </x:c>
      <x:c r="I1913" s="11" t="str">
        <x:v>https://static.cninfo.com.cn/finalpage/2026-08-22/1225492110.PDF</x:v>
      </x:c>
      <x:c r="J1913" s="11" t="str"/>
      <x:c r="K1913" s="11" t="str">
        <x:v>待核</x:v>
      </x:c>
      <x:c r="L1913" s="11" t="str">
        <x:v>精确发布时间未核验</x:v>
      </x:c>
      <x:c r="M1913" s="11" t="str">
        <x:v>截止日前日期，盘中时分未核</x:v>
      </x:c>
    </x:row>
    <x:row r="1914" ht="23" customHeight="1">
      <x:c r="A1914" s="11" t="str">
        <x:v>I013</x:v>
      </x:c>
      <x:c r="B1914" s="11" t="str">
        <x:v>300363.SZ</x:v>
      </x:c>
      <x:c r="C1914" s="11" t="str">
        <x:v>RDCapitalized</x:v>
      </x:c>
      <x:c r="D1914" s="39" t="n">
        <x:v>0</x:v>
      </x:c>
      <x:c r="E1914" s="11" t="str">
        <x:v>CNY</x:v>
      </x:c>
      <x:c r="F1914" s="11" t="str">
        <x:v>million</x:v>
      </x:c>
      <x:c r="G1914" s="11" t="str">
        <x:v>2026H1</x:v>
      </x:c>
      <x:c r="H1914" s="11" t="str">
        <x:v>2026-08-22</x:v>
      </x:c>
      <x:c r="I1914" s="11" t="str">
        <x:v>https://static.cninfo.com.cn/finalpage/2026-08-22/1225492110.PDF</x:v>
      </x:c>
      <x:c r="J1914" s="11" t="str"/>
      <x:c r="K1914" s="11" t="str">
        <x:v>待核</x:v>
      </x:c>
      <x:c r="L1914" s="11" t="str">
        <x:v>精确发布时间未核验</x:v>
      </x:c>
      <x:c r="M1914" s="11" t="str">
        <x:v>截止日前日期，盘中时分未核</x:v>
      </x:c>
    </x:row>
    <x:row r="1915" ht="23" customHeight="1">
      <x:c r="A1915" s="11" t="str">
        <x:v>I013</x:v>
      </x:c>
      <x:c r="B1915" s="11" t="str">
        <x:v>300363.SZ</x:v>
      </x:c>
      <x:c r="C1915" s="11" t="str">
        <x:v>selling</x:v>
      </x:c>
      <x:c r="D1915" s="39" t="n">
        <x:v>116.10030242</x:v>
      </x:c>
      <x:c r="E1915" s="11" t="str">
        <x:v>CNY</x:v>
      </x:c>
      <x:c r="F1915" s="11" t="str">
        <x:v>million</x:v>
      </x:c>
      <x:c r="G1915" s="11" t="str">
        <x:v>2026H1</x:v>
      </x:c>
      <x:c r="H1915" s="11" t="str">
        <x:v>2026-08-22</x:v>
      </x:c>
      <x:c r="I1915" s="11" t="str">
        <x:v>https://static.cninfo.com.cn/finalpage/2026-08-22/1225492110.PDF</x:v>
      </x:c>
      <x:c r="J1915" s="11" t="str"/>
      <x:c r="K1915" s="11" t="str">
        <x:v>待核</x:v>
      </x:c>
      <x:c r="L1915" s="11" t="str">
        <x:v>精确发布时间未核验</x:v>
      </x:c>
      <x:c r="M1915" s="11" t="str">
        <x:v>截止日前日期，盘中时分未核</x:v>
      </x:c>
    </x:row>
    <x:row r="1916" ht="23" customHeight="1">
      <x:c r="A1916" s="11" t="str">
        <x:v>I013</x:v>
      </x:c>
      <x:c r="B1916" s="11" t="str">
        <x:v>300363.SZ</x:v>
      </x:c>
      <x:c r="C1916" s="11" t="str">
        <x:v>admin</x:v>
      </x:c>
      <x:c r="D1916" s="39" t="n">
        <x:v>200.55422824</x:v>
      </x:c>
      <x:c r="E1916" s="11" t="str">
        <x:v>CNY</x:v>
      </x:c>
      <x:c r="F1916" s="11" t="str">
        <x:v>million</x:v>
      </x:c>
      <x:c r="G1916" s="11" t="str">
        <x:v>2026H1</x:v>
      </x:c>
      <x:c r="H1916" s="11" t="str">
        <x:v>2026-08-22</x:v>
      </x:c>
      <x:c r="I1916" s="11" t="str">
        <x:v>https://static.cninfo.com.cn/finalpage/2026-08-22/1225492110.PDF</x:v>
      </x:c>
      <x:c r="J1916" s="11" t="str"/>
      <x:c r="K1916" s="11" t="str">
        <x:v>待核</x:v>
      </x:c>
      <x:c r="L1916" s="11" t="str">
        <x:v>精确发布时间未核验</x:v>
      </x:c>
      <x:c r="M1916" s="11" t="str">
        <x:v>截止日前日期，盘中时分未核</x:v>
      </x:c>
    </x:row>
    <x:row r="1917" ht="23" customHeight="1">
      <x:c r="A1917" s="11" t="str">
        <x:v>I013</x:v>
      </x:c>
      <x:c r="B1917" s="11" t="str">
        <x:v>300363.SZ</x:v>
      </x:c>
      <x:c r="C1917" s="11" t="str">
        <x:v>financeCost</x:v>
      </x:c>
      <x:c r="D1917" s="39" t="n">
        <x:v>17.75286228</x:v>
      </x:c>
      <x:c r="E1917" s="11" t="str">
        <x:v>CNY</x:v>
      </x:c>
      <x:c r="F1917" s="11" t="str">
        <x:v>million</x:v>
      </x:c>
      <x:c r="G1917" s="11" t="str">
        <x:v>2026H1</x:v>
      </x:c>
      <x:c r="H1917" s="11" t="str">
        <x:v>2026-08-22</x:v>
      </x:c>
      <x:c r="I1917" s="11" t="str">
        <x:v>https://static.cninfo.com.cn/finalpage/2026-08-22/1225492110.PDF</x:v>
      </x:c>
      <x:c r="J1917" s="11" t="str"/>
      <x:c r="K1917" s="11" t="str">
        <x:v>待核</x:v>
      </x:c>
      <x:c r="L1917" s="11" t="str">
        <x:v>精确发布时间未核验</x:v>
      </x:c>
      <x:c r="M1917" s="11" t="str">
        <x:v>截止日前日期，盘中时分未核</x:v>
      </x:c>
    </x:row>
    <x:row r="1918" ht="23" customHeight="1">
      <x:c r="A1918" s="11" t="str">
        <x:v>I013</x:v>
      </x:c>
      <x:c r="B1918" s="11" t="str">
        <x:v>300363.SZ</x:v>
      </x:c>
      <x:c r="C1918" s="11" t="str">
        <x:v>interestExpense</x:v>
      </x:c>
      <x:c r="D1918" s="39" t="n">
        <x:v>21.18524116</x:v>
      </x:c>
      <x:c r="E1918" s="11" t="str">
        <x:v>CNY</x:v>
      </x:c>
      <x:c r="F1918" s="11" t="str">
        <x:v>million</x:v>
      </x:c>
      <x:c r="G1918" s="11" t="str">
        <x:v>2026H1</x:v>
      </x:c>
      <x:c r="H1918" s="11" t="str">
        <x:v>2026-08-22</x:v>
      </x:c>
      <x:c r="I1918" s="11" t="str">
        <x:v>https://static.cninfo.com.cn/finalpage/2026-08-22/1225492110.PDF</x:v>
      </x:c>
      <x:c r="J1918" s="11" t="str"/>
      <x:c r="K1918" s="11" t="str">
        <x:v>待核</x:v>
      </x:c>
      <x:c r="L1918" s="11" t="str">
        <x:v>精确发布时间未核验</x:v>
      </x:c>
      <x:c r="M1918" s="11" t="str">
        <x:v>截止日前日期，盘中时分未核</x:v>
      </x:c>
    </x:row>
    <x:row r="1919" ht="23" customHeight="1">
      <x:c r="A1919" s="11" t="str">
        <x:v>I013</x:v>
      </x:c>
      <x:c r="B1919" s="11" t="str">
        <x:v>300363.SZ</x:v>
      </x:c>
      <x:c r="C1919" s="11" t="str">
        <x:v>taxExpense</x:v>
      </x:c>
      <x:c r="D1919" s="39" t="n">
        <x:v>31.80278734</x:v>
      </x:c>
      <x:c r="E1919" s="11" t="str">
        <x:v>CNY</x:v>
      </x:c>
      <x:c r="F1919" s="11" t="str">
        <x:v>million</x:v>
      </x:c>
      <x:c r="G1919" s="11" t="str">
        <x:v>2026H1</x:v>
      </x:c>
      <x:c r="H1919" s="11" t="str">
        <x:v>2026-08-22</x:v>
      </x:c>
      <x:c r="I1919" s="11" t="str">
        <x:v>https://static.cninfo.com.cn/finalpage/2026-08-22/1225492110.PDF</x:v>
      </x:c>
      <x:c r="J1919" s="11" t="str"/>
      <x:c r="K1919" s="11" t="str">
        <x:v>待核</x:v>
      </x:c>
      <x:c r="L1919" s="11" t="str">
        <x:v>精确发布时间未核验</x:v>
      </x:c>
      <x:c r="M1919" s="11" t="str">
        <x:v>截止日前日期，盘中时分未核</x:v>
      </x:c>
    </x:row>
    <x:row r="1920" ht="23" customHeight="1">
      <x:c r="A1920" s="11" t="str">
        <x:v>I013</x:v>
      </x:c>
      <x:c r="B1920" s="11" t="str">
        <x:v>300363.SZ</x:v>
      </x:c>
      <x:c r="C1920" s="11" t="str">
        <x:v>impairmentTotal</x:v>
      </x:c>
      <x:c r="D1920" s="39" t="n">
        <x:v>339.49492614</x:v>
      </x:c>
      <x:c r="E1920" s="11" t="str">
        <x:v>CNY</x:v>
      </x:c>
      <x:c r="F1920" s="11" t="str">
        <x:v>million</x:v>
      </x:c>
      <x:c r="G1920" s="11" t="str">
        <x:v>2026H1</x:v>
      </x:c>
      <x:c r="H1920" s="11" t="str">
        <x:v>2026-08-22</x:v>
      </x:c>
      <x:c r="I1920" s="11" t="str">
        <x:v>https://static.cninfo.com.cn/finalpage/2026-08-22/1225492110.PDF</x:v>
      </x:c>
      <x:c r="J1920" s="11" t="str"/>
      <x:c r="K1920" s="11" t="str">
        <x:v>待核</x:v>
      </x:c>
      <x:c r="L1920" s="11" t="str">
        <x:v>精确发布时间未核验</x:v>
      </x:c>
      <x:c r="M1920" s="11" t="str">
        <x:v>截止日前日期，盘中时分未核</x:v>
      </x:c>
    </x:row>
    <x:row r="1921" ht="23" customHeight="1">
      <x:c r="A1921" s="11" t="str">
        <x:v>I013</x:v>
      </x:c>
      <x:c r="B1921" s="11" t="str">
        <x:v>300363.SZ</x:v>
      </x:c>
      <x:c r="C1921" s="11" t="str">
        <x:v>inventoryImpairment</x:v>
      </x:c>
      <x:c r="D1921" s="39" t="n">
        <x:v>9.11751549</x:v>
      </x:c>
      <x:c r="E1921" s="11" t="str">
        <x:v>CNY</x:v>
      </x:c>
      <x:c r="F1921" s="11" t="str">
        <x:v>million</x:v>
      </x:c>
      <x:c r="G1921" s="11" t="str">
        <x:v>2026H1</x:v>
      </x:c>
      <x:c r="H1921" s="11" t="str">
        <x:v>2026-08-22</x:v>
      </x:c>
      <x:c r="I1921" s="11" t="str">
        <x:v>https://static.cninfo.com.cn/finalpage/2026-08-22/1225492110.PDF</x:v>
      </x:c>
      <x:c r="J1921" s="11" t="str"/>
      <x:c r="K1921" s="11" t="str">
        <x:v>待核</x:v>
      </x:c>
      <x:c r="L1921" s="11" t="str">
        <x:v>精确发布时间未核验</x:v>
      </x:c>
      <x:c r="M1921" s="11" t="str">
        <x:v>截止日前日期，盘中时分未核</x:v>
      </x:c>
    </x:row>
    <x:row r="1922" ht="23" customHeight="1">
      <x:c r="A1922" s="11" t="str">
        <x:v>I013</x:v>
      </x:c>
      <x:c r="B1922" s="11" t="str">
        <x:v>300363.SZ</x:v>
      </x:c>
      <x:c r="C1922" s="11" t="str">
        <x:v>tariffRefundNonrecurring</x:v>
      </x:c>
      <x:c r="D1922" s="39" t="n">
        <x:v>17.42413138</x:v>
      </x:c>
      <x:c r="E1922" s="11" t="str">
        <x:v>CNY</x:v>
      </x:c>
      <x:c r="F1922" s="11" t="str">
        <x:v>million</x:v>
      </x:c>
      <x:c r="G1922" s="11" t="str">
        <x:v>2026H1</x:v>
      </x:c>
      <x:c r="H1922" s="11" t="str">
        <x:v>2026-08-22</x:v>
      </x:c>
      <x:c r="I1922" s="11" t="str">
        <x:v>https://static.cninfo.com.cn/finalpage/2026-08-22/1225492110.PDF</x:v>
      </x:c>
      <x:c r="J1922" s="11" t="str"/>
      <x:c r="K1922" s="11" t="str">
        <x:v>待核</x:v>
      </x:c>
      <x:c r="L1922" s="11" t="str">
        <x:v>精确发布时间未核验</x:v>
      </x:c>
      <x:c r="M1922" s="11" t="str">
        <x:v>截止日前日期，盘中时分未核</x:v>
      </x:c>
    </x:row>
    <x:row r="1923" ht="23" customHeight="1">
      <x:c r="A1923" s="11" t="str">
        <x:v>I013</x:v>
      </x:c>
      <x:c r="B1923" s="11" t="str">
        <x:v>300363.SZ</x:v>
      </x:c>
      <x:c r="C1923" s="11" t="str">
        <x:v>grossMarginPct</x:v>
      </x:c>
      <x:c r="D1923" s="39" t="n">
        <x:v>32.234340390015134</x:v>
      </x:c>
      <x:c r="E1923" s="11" t="str">
        <x:v>not monetary</x:v>
      </x:c>
      <x:c r="F1923" s="11" t="str">
        <x:v>percent</x:v>
      </x:c>
      <x:c r="G1923" s="11" t="str">
        <x:v>2026H1</x:v>
      </x:c>
      <x:c r="H1923" s="11" t="str">
        <x:v>2026-08-22</x:v>
      </x:c>
      <x:c r="I1923" s="11" t="str">
        <x:v>https://static.cninfo.com.cn/finalpage/2026-08-22/1225492110.PDF</x:v>
      </x:c>
      <x:c r="J1923" s="11" t="str"/>
      <x:c r="K1923" s="11" t="str">
        <x:v>待核</x:v>
      </x:c>
      <x:c r="L1923" s="11" t="str">
        <x:v>精确发布时间未核验</x:v>
      </x:c>
      <x:c r="M1923" s="11" t="str">
        <x:v>截止日前日期，盘中时分未核</x:v>
      </x:c>
    </x:row>
    <x:row r="1924" ht="23" customHeight="1">
      <x:c r="A1924" s="11" t="str">
        <x:v>I051</x:v>
      </x:c>
      <x:c r="B1924" s="11" t="str">
        <x:v>09995.HK</x:v>
      </x:c>
      <x:c r="C1924" s="11" t="str">
        <x:v>revenue</x:v>
      </x:c>
      <x:c r="D1924" s="39" t="n">
        <x:v>5850.196</x:v>
      </x:c>
      <x:c r="E1924" s="11" t="str">
        <x:v>CNY</x:v>
      </x:c>
      <x:c r="F1924" s="11" t="str">
        <x:v>million</x:v>
      </x:c>
      <x:c r="G1924" s="11" t="str">
        <x:v>2026H1 IFRS</x:v>
      </x:c>
      <x:c r="H1924" s="11" t="str">
        <x:v>2026-09-23</x:v>
      </x:c>
      <x:c r="I1924" s="11" t="str">
        <x:v>https://iis.aastocks.com/20260923/12342386-0.PDF</x:v>
      </x:c>
      <x:c r="J1924" s="11" t="str">
        <x:v>首度公开日期 2026-08-24</x:v>
      </x:c>
      <x:c r="K1924" s="11" t="str">
        <x:v>2026-08-24</x:v>
      </x:c>
      <x:c r="L1924" s="11" t="str">
        <x:v>精确发布时间未核验</x:v>
      </x:c>
      <x:c r="M1924" s="11" t="str">
        <x:v>截止日前日期，盘中时分未核</x:v>
      </x:c>
    </x:row>
    <x:row r="1925" ht="23" customHeight="1">
      <x:c r="A1925" s="11" t="str">
        <x:v>I051</x:v>
      </x:c>
      <x:c r="B1925" s="11" t="str">
        <x:v>09995.HK</x:v>
      </x:c>
      <x:c r="C1925" s="11" t="str">
        <x:v>licenseRevenue</x:v>
      </x:c>
      <x:c r="D1925" s="39" t="n">
        <x:v>4462.185</x:v>
      </x:c>
      <x:c r="E1925" s="11" t="str">
        <x:v>CNY</x:v>
      </x:c>
      <x:c r="F1925" s="11" t="str">
        <x:v>million</x:v>
      </x:c>
      <x:c r="G1925" s="11" t="str">
        <x:v>2026H1 IFRS</x:v>
      </x:c>
      <x:c r="H1925" s="11" t="str">
        <x:v>2026-09-23</x:v>
      </x:c>
      <x:c r="I1925" s="11" t="str">
        <x:v>https://iis.aastocks.com/20260923/12342386-0.PDF</x:v>
      </x:c>
      <x:c r="J1925" s="11" t="str">
        <x:v>首度公开日期 2026-08-24</x:v>
      </x:c>
      <x:c r="K1925" s="11" t="str">
        <x:v>2026-08-24</x:v>
      </x:c>
      <x:c r="L1925" s="11" t="str">
        <x:v>精确发布时间未核验</x:v>
      </x:c>
      <x:c r="M1925" s="11" t="str">
        <x:v>截止日前日期，盘中时分未核</x:v>
      </x:c>
    </x:row>
    <x:row r="1926" ht="23" customHeight="1">
      <x:c r="A1926" s="11" t="str">
        <x:v>I051</x:v>
      </x:c>
      <x:c r="B1926" s="11" t="str">
        <x:v>09995.HK</x:v>
      </x:c>
      <x:c r="C1926" s="11" t="str">
        <x:v>productRevenue</x:v>
      </x:c>
      <x:c r="D1926" s="39" t="n">
        <x:v>1346.889</x:v>
      </x:c>
      <x:c r="E1926" s="11" t="str">
        <x:v>CNY</x:v>
      </x:c>
      <x:c r="F1926" s="11" t="str">
        <x:v>million</x:v>
      </x:c>
      <x:c r="G1926" s="11" t="str">
        <x:v>2026H1 IFRS</x:v>
      </x:c>
      <x:c r="H1926" s="11" t="str">
        <x:v>2026-09-23</x:v>
      </x:c>
      <x:c r="I1926" s="11" t="str">
        <x:v>https://iis.aastocks.com/20260923/12342386-0.PDF</x:v>
      </x:c>
      <x:c r="J1926" s="11" t="str">
        <x:v>首度公开日期 2026-08-24</x:v>
      </x:c>
      <x:c r="K1926" s="11" t="str">
        <x:v>2026-08-24</x:v>
      </x:c>
      <x:c r="L1926" s="11" t="str">
        <x:v>精确发布时间未核验</x:v>
      </x:c>
      <x:c r="M1926" s="11" t="str">
        <x:v>截止日前日期，盘中时分未核</x:v>
      </x:c>
    </x:row>
    <x:row r="1927" ht="23" customHeight="1">
      <x:c r="A1927" s="11" t="str">
        <x:v>I051</x:v>
      </x:c>
      <x:c r="B1927" s="11" t="str">
        <x:v>09995.HK</x:v>
      </x:c>
      <x:c r="C1927" s="11" t="str">
        <x:v>serviceRevenue</x:v>
      </x:c>
      <x:c r="D1927" s="39" t="n">
        <x:v>41.122</x:v>
      </x:c>
      <x:c r="E1927" s="11" t="str">
        <x:v>CNY</x:v>
      </x:c>
      <x:c r="F1927" s="11" t="str">
        <x:v>million</x:v>
      </x:c>
      <x:c r="G1927" s="11" t="str">
        <x:v>2026H1 IFRS</x:v>
      </x:c>
      <x:c r="H1927" s="11" t="str">
        <x:v>2026-09-23</x:v>
      </x:c>
      <x:c r="I1927" s="11" t="str">
        <x:v>https://iis.aastocks.com/20260923/12342386-0.PDF</x:v>
      </x:c>
      <x:c r="J1927" s="11" t="str">
        <x:v>首度公开日期 2026-08-24</x:v>
      </x:c>
      <x:c r="K1927" s="11" t="str">
        <x:v>2026-08-24</x:v>
      </x:c>
      <x:c r="L1927" s="11" t="str">
        <x:v>精确发布时间未核验</x:v>
      </x:c>
      <x:c r="M1927" s="11" t="str">
        <x:v>截止日前日期，盘中时分未核</x:v>
      </x:c>
    </x:row>
    <x:row r="1928" ht="23" customHeight="1">
      <x:c r="A1928" s="11" t="str">
        <x:v>I051</x:v>
      </x:c>
      <x:c r="B1928" s="11" t="str">
        <x:v>09995.HK</x:v>
      </x:c>
      <x:c r="C1928" s="11" t="str">
        <x:v>previousProductRevenue</x:v>
      </x:c>
      <x:c r="D1928" s="39" t="n">
        <x:v>1091.976</x:v>
      </x:c>
      <x:c r="E1928" s="11" t="str">
        <x:v>CNY</x:v>
      </x:c>
      <x:c r="F1928" s="11" t="str">
        <x:v>million</x:v>
      </x:c>
      <x:c r="G1928" s="11" t="str">
        <x:v>2025H1</x:v>
      </x:c>
      <x:c r="H1928" s="11" t="str">
        <x:v>2026-09-23</x:v>
      </x:c>
      <x:c r="I1928" s="11" t="str">
        <x:v>https://iis.aastocks.com/20260923/12342386-0.PDF</x:v>
      </x:c>
      <x:c r="J1928" s="11" t="str">
        <x:v>首度公开日期 2026-08-24</x:v>
      </x:c>
      <x:c r="K1928" s="11" t="str">
        <x:v>2026-08-24</x:v>
      </x:c>
      <x:c r="L1928" s="11" t="str">
        <x:v>精确发布时间未核验</x:v>
      </x:c>
      <x:c r="M1928" s="11" t="str">
        <x:v>截止日前日期，盘中时分未核</x:v>
      </x:c>
    </x:row>
    <x:row r="1929" ht="23" customHeight="1">
      <x:c r="A1929" s="11" t="str">
        <x:v>I051</x:v>
      </x:c>
      <x:c r="B1929" s="11" t="str">
        <x:v>09995.HK</x:v>
      </x:c>
      <x:c r="C1929" s="11" t="str">
        <x:v>COGS</x:v>
      </x:c>
      <x:c r="D1929" s="39" t="n">
        <x:v>268.857</x:v>
      </x:c>
      <x:c r="E1929" s="11" t="str">
        <x:v>CNY</x:v>
      </x:c>
      <x:c r="F1929" s="11" t="str">
        <x:v>million</x:v>
      </x:c>
      <x:c r="G1929" s="11" t="str">
        <x:v>2026H1 IFRS</x:v>
      </x:c>
      <x:c r="H1929" s="11" t="str">
        <x:v>2026-09-23</x:v>
      </x:c>
      <x:c r="I1929" s="11" t="str">
        <x:v>https://iis.aastocks.com/20260923/12342386-0.PDF</x:v>
      </x:c>
      <x:c r="J1929" s="11" t="str">
        <x:v>首度公开日期 2026-08-24</x:v>
      </x:c>
      <x:c r="K1929" s="11" t="str">
        <x:v>2026-08-24</x:v>
      </x:c>
      <x:c r="L1929" s="11" t="str">
        <x:v>精确发布时间未核验</x:v>
      </x:c>
      <x:c r="M1929" s="11" t="str">
        <x:v>截止日前日期，盘中时分未核</x:v>
      </x:c>
    </x:row>
    <x:row r="1930" ht="23" customHeight="1">
      <x:c r="A1930" s="11" t="str">
        <x:v>I051</x:v>
      </x:c>
      <x:c r="B1930" s="11" t="str">
        <x:v>09995.HK</x:v>
      </x:c>
      <x:c r="C1930" s="11" t="str">
        <x:v>soldInventoryCost</x:v>
      </x:c>
      <x:c r="D1930" s="39" t="n">
        <x:v>242.936</x:v>
      </x:c>
      <x:c r="E1930" s="11" t="str">
        <x:v>CNY</x:v>
      </x:c>
      <x:c r="F1930" s="11" t="str">
        <x:v>million</x:v>
      </x:c>
      <x:c r="G1930" s="11" t="str">
        <x:v>2026H1 IFRS</x:v>
      </x:c>
      <x:c r="H1930" s="11" t="str">
        <x:v>2026-09-23</x:v>
      </x:c>
      <x:c r="I1930" s="11" t="str">
        <x:v>https://iis.aastocks.com/20260923/12342386-0.PDF</x:v>
      </x:c>
      <x:c r="J1930" s="11" t="str">
        <x:v>首度公开日期 2026-08-24</x:v>
      </x:c>
      <x:c r="K1930" s="11" t="str">
        <x:v>2026-08-24</x:v>
      </x:c>
      <x:c r="L1930" s="11" t="str">
        <x:v>精确发布时间未核验</x:v>
      </x:c>
      <x:c r="M1930" s="11" t="str">
        <x:v>截止日前日期，盘中时分未核</x:v>
      </x:c>
    </x:row>
    <x:row r="1931" ht="23" customHeight="1">
      <x:c r="A1931" s="11" t="str">
        <x:v>I051</x:v>
      </x:c>
      <x:c r="B1931" s="11" t="str">
        <x:v>09995.HK</x:v>
      </x:c>
      <x:c r="C1931" s="11" t="str">
        <x:v>serviceCost</x:v>
      </x:c>
      <x:c r="D1931" s="39" t="n">
        <x:v>24.395</x:v>
      </x:c>
      <x:c r="E1931" s="11" t="str">
        <x:v>CNY</x:v>
      </x:c>
      <x:c r="F1931" s="11" t="str">
        <x:v>million</x:v>
      </x:c>
      <x:c r="G1931" s="11" t="str">
        <x:v>2026H1 IFRS</x:v>
      </x:c>
      <x:c r="H1931" s="11" t="str">
        <x:v>2026-09-23</x:v>
      </x:c>
      <x:c r="I1931" s="11" t="str">
        <x:v>https://iis.aastocks.com/20260923/12342386-0.PDF</x:v>
      </x:c>
      <x:c r="J1931" s="11" t="str">
        <x:v>首度公开日期 2026-08-24</x:v>
      </x:c>
      <x:c r="K1931" s="11" t="str">
        <x:v>2026-08-24</x:v>
      </x:c>
      <x:c r="L1931" s="11" t="str">
        <x:v>精确发布时间未核验</x:v>
      </x:c>
      <x:c r="M1931" s="11" t="str">
        <x:v>截止日前日期，盘中时分未核</x:v>
      </x:c>
    </x:row>
    <x:row r="1932" ht="23" customHeight="1">
      <x:c r="A1932" s="11" t="str">
        <x:v>I051</x:v>
      </x:c>
      <x:c r="B1932" s="11" t="str">
        <x:v>09995.HK</x:v>
      </x:c>
      <x:c r="C1932" s="11" t="str">
        <x:v>licenseCost</x:v>
      </x:c>
      <x:c r="D1932" s="39" t="n">
        <x:v>1.359</x:v>
      </x:c>
      <x:c r="E1932" s="11" t="str">
        <x:v>CNY</x:v>
      </x:c>
      <x:c r="F1932" s="11" t="str">
        <x:v>million</x:v>
      </x:c>
      <x:c r="G1932" s="11" t="str">
        <x:v>2026H1 IFRS</x:v>
      </x:c>
      <x:c r="H1932" s="11" t="str">
        <x:v>2026-09-23</x:v>
      </x:c>
      <x:c r="I1932" s="11" t="str">
        <x:v>https://iis.aastocks.com/20260923/12342386-0.PDF</x:v>
      </x:c>
      <x:c r="J1932" s="11" t="str">
        <x:v>首度公开日期 2026-08-24</x:v>
      </x:c>
      <x:c r="K1932" s="11" t="str">
        <x:v>2026-08-24</x:v>
      </x:c>
      <x:c r="L1932" s="11" t="str">
        <x:v>精确发布时间未核验</x:v>
      </x:c>
      <x:c r="M1932" s="11" t="str">
        <x:v>截止日前日期，盘中时分未核</x:v>
      </x:c>
    </x:row>
    <x:row r="1933" ht="23" customHeight="1">
      <x:c r="A1933" s="11" t="str">
        <x:v>I051</x:v>
      </x:c>
      <x:c r="B1933" s="11" t="str">
        <x:v>09995.HK</x:v>
      </x:c>
      <x:c r="C1933" s="11" t="str">
        <x:v>grossProfit</x:v>
      </x:c>
      <x:c r="D1933" s="39" t="n">
        <x:v>5581.339</x:v>
      </x:c>
      <x:c r="E1933" s="11" t="str">
        <x:v>CNY</x:v>
      </x:c>
      <x:c r="F1933" s="11" t="str">
        <x:v>million</x:v>
      </x:c>
      <x:c r="G1933" s="11" t="str">
        <x:v>2026H1 IFRS</x:v>
      </x:c>
      <x:c r="H1933" s="11" t="str">
        <x:v>2026-09-23</x:v>
      </x:c>
      <x:c r="I1933" s="11" t="str">
        <x:v>https://iis.aastocks.com/20260923/12342386-0.PDF</x:v>
      </x:c>
      <x:c r="J1933" s="11" t="str">
        <x:v>首度公开日期 2026-08-24</x:v>
      </x:c>
      <x:c r="K1933" s="11" t="str">
        <x:v>2026-08-24</x:v>
      </x:c>
      <x:c r="L1933" s="11" t="str">
        <x:v>精确发布时间未核验</x:v>
      </x:c>
      <x:c r="M1933" s="11" t="str">
        <x:v>截止日前日期，盘中时分未核</x:v>
      </x:c>
    </x:row>
    <x:row r="1934" ht="23" customHeight="1">
      <x:c r="A1934" s="11" t="str">
        <x:v>I051</x:v>
      </x:c>
      <x:c r="B1934" s="11" t="str">
        <x:v>09995.HK</x:v>
      </x:c>
      <x:c r="C1934" s="11" t="str">
        <x:v>selling</x:v>
      </x:c>
      <x:c r="D1934" s="39" t="n">
        <x:v>549.598</x:v>
      </x:c>
      <x:c r="E1934" s="11" t="str">
        <x:v>CNY</x:v>
      </x:c>
      <x:c r="F1934" s="11" t="str">
        <x:v>million</x:v>
      </x:c>
      <x:c r="G1934" s="11" t="str">
        <x:v>2026H1 IFRS</x:v>
      </x:c>
      <x:c r="H1934" s="11" t="str">
        <x:v>2026-09-23</x:v>
      </x:c>
      <x:c r="I1934" s="11" t="str">
        <x:v>https://iis.aastocks.com/20260923/12342386-0.PDF</x:v>
      </x:c>
      <x:c r="J1934" s="11" t="str">
        <x:v>首度公开日期 2026-08-24</x:v>
      </x:c>
      <x:c r="K1934" s="11" t="str">
        <x:v>2026-08-24</x:v>
      </x:c>
      <x:c r="L1934" s="11" t="str">
        <x:v>精确发布时间未核验</x:v>
      </x:c>
      <x:c r="M1934" s="11" t="str">
        <x:v>截止日前日期，盘中时分未核</x:v>
      </x:c>
    </x:row>
    <x:row r="1935" ht="23" customHeight="1">
      <x:c r="A1935" s="11" t="str">
        <x:v>I051</x:v>
      </x:c>
      <x:c r="B1935" s="11" t="str">
        <x:v>09995.HK</x:v>
      </x:c>
      <x:c r="C1935" s="11" t="str">
        <x:v>admin</x:v>
      </x:c>
      <x:c r="D1935" s="39" t="n">
        <x:v>262.442</x:v>
      </x:c>
      <x:c r="E1935" s="11" t="str">
        <x:v>CNY</x:v>
      </x:c>
      <x:c r="F1935" s="11" t="str">
        <x:v>million</x:v>
      </x:c>
      <x:c r="G1935" s="11" t="str">
        <x:v>2026H1 IFRS</x:v>
      </x:c>
      <x:c r="H1935" s="11" t="str">
        <x:v>2026-09-23</x:v>
      </x:c>
      <x:c r="I1935" s="11" t="str">
        <x:v>https://iis.aastocks.com/20260923/12342386-0.PDF</x:v>
      </x:c>
      <x:c r="J1935" s="11" t="str">
        <x:v>首度公开日期 2026-08-24</x:v>
      </x:c>
      <x:c r="K1935" s="11" t="str">
        <x:v>2026-08-24</x:v>
      </x:c>
      <x:c r="L1935" s="11" t="str">
        <x:v>精确发布时间未核验</x:v>
      </x:c>
      <x:c r="M1935" s="11" t="str">
        <x:v>截止日前日期，盘中时分未核</x:v>
      </x:c>
    </x:row>
    <x:row r="1936" ht="23" customHeight="1">
      <x:c r="A1936" s="11" t="str">
        <x:v>I051</x:v>
      </x:c>
      <x:c r="B1936" s="11" t="str">
        <x:v>09995.HK</x:v>
      </x:c>
      <x:c r="C1936" s="11" t="str">
        <x:v>RAndD</x:v>
      </x:c>
      <x:c r="D1936" s="39" t="n">
        <x:v>414.149</x:v>
      </x:c>
      <x:c r="E1936" s="11" t="str">
        <x:v>CNY</x:v>
      </x:c>
      <x:c r="F1936" s="11" t="str">
        <x:v>million</x:v>
      </x:c>
      <x:c r="G1936" s="11" t="str">
        <x:v>2026H1 IFRS</x:v>
      </x:c>
      <x:c r="H1936" s="11" t="str">
        <x:v>2026-09-23</x:v>
      </x:c>
      <x:c r="I1936" s="11" t="str">
        <x:v>https://iis.aastocks.com/20260923/12342386-0.PDF</x:v>
      </x:c>
      <x:c r="J1936" s="11" t="str">
        <x:v>首度公开日期 2026-08-24</x:v>
      </x:c>
      <x:c r="K1936" s="11" t="str">
        <x:v>2026-08-24</x:v>
      </x:c>
      <x:c r="L1936" s="11" t="str">
        <x:v>精确发布时间未核验</x:v>
      </x:c>
      <x:c r="M1936" s="11" t="str">
        <x:v>截止日前日期，盘中时分未核</x:v>
      </x:c>
    </x:row>
    <x:row r="1937" ht="23" customHeight="1">
      <x:c r="A1937" s="11" t="str">
        <x:v>I051</x:v>
      </x:c>
      <x:c r="B1937" s="11" t="str">
        <x:v>09995.HK</x:v>
      </x:c>
      <x:c r="C1937" s="11" t="str">
        <x:v>otherIncomeGains</x:v>
      </x:c>
      <x:c r="D1937" s="39" t="n">
        <x:v>354.888</x:v>
      </x:c>
      <x:c r="E1937" s="11" t="str">
        <x:v>CNY</x:v>
      </x:c>
      <x:c r="F1937" s="11" t="str">
        <x:v>million</x:v>
      </x:c>
      <x:c r="G1937" s="11" t="str">
        <x:v>2026H1 IFRS</x:v>
      </x:c>
      <x:c r="H1937" s="11" t="str">
        <x:v>2026-09-23</x:v>
      </x:c>
      <x:c r="I1937" s="11" t="str">
        <x:v>https://iis.aastocks.com/20260923/12342386-0.PDF</x:v>
      </x:c>
      <x:c r="J1937" s="11" t="str">
        <x:v>首度公开日期 2026-08-24</x:v>
      </x:c>
      <x:c r="K1937" s="11" t="str">
        <x:v>2026-08-24</x:v>
      </x:c>
      <x:c r="L1937" s="11" t="str">
        <x:v>精确发布时间未核验</x:v>
      </x:c>
      <x:c r="M1937" s="11" t="str">
        <x:v>截止日前日期，盘中时分未核</x:v>
      </x:c>
    </x:row>
    <x:row r="1938" ht="23" customHeight="1">
      <x:c r="A1938" s="11" t="str">
        <x:v>I051</x:v>
      </x:c>
      <x:c r="B1938" s="11" t="str">
        <x:v>09995.HK</x:v>
      </x:c>
      <x:c r="C1938" s="11" t="str">
        <x:v>FVgain</x:v>
      </x:c>
      <x:c r="D1938" s="39" t="n">
        <x:v>319.863</x:v>
      </x:c>
      <x:c r="E1938" s="11" t="str">
        <x:v>CNY</x:v>
      </x:c>
      <x:c r="F1938" s="11" t="str">
        <x:v>million</x:v>
      </x:c>
      <x:c r="G1938" s="11" t="str">
        <x:v>2026H1 IFRS</x:v>
      </x:c>
      <x:c r="H1938" s="11" t="str">
        <x:v>2026-09-23</x:v>
      </x:c>
      <x:c r="I1938" s="11" t="str">
        <x:v>https://iis.aastocks.com/20260923/12342386-0.PDF</x:v>
      </x:c>
      <x:c r="J1938" s="11" t="str">
        <x:v>首度公开日期 2026-08-24</x:v>
      </x:c>
      <x:c r="K1938" s="11" t="str">
        <x:v>2026-08-24</x:v>
      </x:c>
      <x:c r="L1938" s="11" t="str">
        <x:v>精确发布时间未核验</x:v>
      </x:c>
      <x:c r="M1938" s="11" t="str">
        <x:v>截止日前日期，盘中时分未核</x:v>
      </x:c>
    </x:row>
    <x:row r="1939" ht="23" customHeight="1">
      <x:c r="A1939" s="11" t="str">
        <x:v>I051</x:v>
      </x:c>
      <x:c r="B1939" s="11" t="str">
        <x:v>09995.HK</x:v>
      </x:c>
      <x:c r="C1939" s="11" t="str">
        <x:v>VorWarrantFVgain</x:v>
      </x:c>
      <x:c r="D1939" s="39" t="n">
        <x:v>315.394</x:v>
      </x:c>
      <x:c r="E1939" s="11" t="str">
        <x:v>CNY</x:v>
      </x:c>
      <x:c r="F1939" s="11" t="str">
        <x:v>million</x:v>
      </x:c>
      <x:c r="G1939" s="11" t="str">
        <x:v>2026H1 IFRS</x:v>
      </x:c>
      <x:c r="H1939" s="11" t="str">
        <x:v>2026-09-23</x:v>
      </x:c>
      <x:c r="I1939" s="11" t="str">
        <x:v>https://iis.aastocks.com/20260923/12342386-0.PDF</x:v>
      </x:c>
      <x:c r="J1939" s="11" t="str">
        <x:v>首度公开日期 2026-08-24</x:v>
      </x:c>
      <x:c r="K1939" s="11" t="str">
        <x:v>2026-08-24</x:v>
      </x:c>
      <x:c r="L1939" s="11" t="str">
        <x:v>精确发布时间未核验</x:v>
      </x:c>
      <x:c r="M1939" s="11" t="str">
        <x:v>截止日前日期，盘中时分未核</x:v>
      </x:c>
    </x:row>
    <x:row r="1940" ht="23" customHeight="1">
      <x:c r="A1940" s="11" t="str">
        <x:v>I051</x:v>
      </x:c>
      <x:c r="B1940" s="11" t="str">
        <x:v>09995.HK</x:v>
      </x:c>
      <x:c r="C1940" s="11" t="str">
        <x:v>financialCost</x:v>
      </x:c>
      <x:c r="D1940" s="39" t="n">
        <x:v>17.643</x:v>
      </x:c>
      <x:c r="E1940" s="11" t="str">
        <x:v>CNY</x:v>
      </x:c>
      <x:c r="F1940" s="11" t="str">
        <x:v>million</x:v>
      </x:c>
      <x:c r="G1940" s="11" t="str">
        <x:v>2026H1 IFRS</x:v>
      </x:c>
      <x:c r="H1940" s="11" t="str">
        <x:v>2026-09-23</x:v>
      </x:c>
      <x:c r="I1940" s="11" t="str">
        <x:v>https://iis.aastocks.com/20260923/12342386-0.PDF</x:v>
      </x:c>
      <x:c r="J1940" s="11" t="str">
        <x:v>首度公开日期 2026-08-24</x:v>
      </x:c>
      <x:c r="K1940" s="11" t="str">
        <x:v>2026-08-24</x:v>
      </x:c>
      <x:c r="L1940" s="11" t="str">
        <x:v>精确发布时间未核验</x:v>
      </x:c>
      <x:c r="M1940" s="11" t="str">
        <x:v>截止日前日期，盘中时分未核</x:v>
      </x:c>
    </x:row>
    <x:row r="1941" ht="23" customHeight="1">
      <x:c r="A1941" s="11" t="str">
        <x:v>I051</x:v>
      </x:c>
      <x:c r="B1941" s="11" t="str">
        <x:v>09995.HK</x:v>
      </x:c>
      <x:c r="C1941" s="11" t="str">
        <x:v>pretaxProfit</x:v>
      </x:c>
      <x:c r="D1941" s="39" t="n">
        <x:v>4662.874</x:v>
      </x:c>
      <x:c r="E1941" s="11" t="str">
        <x:v>CNY</x:v>
      </x:c>
      <x:c r="F1941" s="11" t="str">
        <x:v>million</x:v>
      </x:c>
      <x:c r="G1941" s="11" t="str">
        <x:v>2026H1 IFRS</x:v>
      </x:c>
      <x:c r="H1941" s="11" t="str">
        <x:v>2026-09-23</x:v>
      </x:c>
      <x:c r="I1941" s="11" t="str">
        <x:v>https://iis.aastocks.com/20260923/12342386-0.PDF</x:v>
      </x:c>
      <x:c r="J1941" s="11" t="str">
        <x:v>首度公开日期 2026-08-24</x:v>
      </x:c>
      <x:c r="K1941" s="11" t="str">
        <x:v>2026-08-24</x:v>
      </x:c>
      <x:c r="L1941" s="11" t="str">
        <x:v>精确发布时间未核验</x:v>
      </x:c>
      <x:c r="M1941" s="11" t="str">
        <x:v>截止日前日期，盘中时分未核</x:v>
      </x:c>
    </x:row>
    <x:row r="1942" ht="23" customHeight="1">
      <x:c r="A1942" s="11" t="str">
        <x:v>I051</x:v>
      </x:c>
      <x:c r="B1942" s="11" t="str">
        <x:v>09995.HK</x:v>
      </x:c>
      <x:c r="C1942" s="11" t="str">
        <x:v>parentProfit</x:v>
      </x:c>
      <x:c r="D1942" s="39" t="n">
        <x:v>4662.283</x:v>
      </x:c>
      <x:c r="E1942" s="11" t="str">
        <x:v>CNY</x:v>
      </x:c>
      <x:c r="F1942" s="11" t="str">
        <x:v>million</x:v>
      </x:c>
      <x:c r="G1942" s="11" t="str">
        <x:v>2026H1 IFRS</x:v>
      </x:c>
      <x:c r="H1942" s="11" t="str">
        <x:v>2026-09-23</x:v>
      </x:c>
      <x:c r="I1942" s="11" t="str">
        <x:v>https://iis.aastocks.com/20260923/12342386-0.PDF</x:v>
      </x:c>
      <x:c r="J1942" s="11" t="str">
        <x:v>首度公开日期 2026-08-24</x:v>
      </x:c>
      <x:c r="K1942" s="11" t="str">
        <x:v>2026-08-24</x:v>
      </x:c>
      <x:c r="L1942" s="11" t="str">
        <x:v>精确发布时间未核验</x:v>
      </x:c>
      <x:c r="M1942" s="11" t="str">
        <x:v>截止日前日期，盘中时分未核</x:v>
      </x:c>
    </x:row>
    <x:row r="1943" ht="23" customHeight="1">
      <x:c r="A1943" s="11" t="str">
        <x:v>I051</x:v>
      </x:c>
      <x:c r="B1943" s="11" t="str">
        <x:v>09995.HK</x:v>
      </x:c>
      <x:c r="C1943" s="11" t="str">
        <x:v>tax</x:v>
      </x:c>
      <x:c r="D1943" s="39" t="n">
        <x:v>0.591</x:v>
      </x:c>
      <x:c r="E1943" s="11" t="str">
        <x:v>CNY</x:v>
      </x:c>
      <x:c r="F1943" s="11" t="str">
        <x:v>million</x:v>
      </x:c>
      <x:c r="G1943" s="11" t="str">
        <x:v>2026H1 IFRS</x:v>
      </x:c>
      <x:c r="H1943" s="11" t="str">
        <x:v>2026-09-23</x:v>
      </x:c>
      <x:c r="I1943" s="11" t="str">
        <x:v>https://iis.aastocks.com/20260923/12342386-0.PDF</x:v>
      </x:c>
      <x:c r="J1943" s="11" t="str">
        <x:v>首度公开日期 2026-08-24</x:v>
      </x:c>
      <x:c r="K1943" s="11" t="str">
        <x:v>2026-08-24</x:v>
      </x:c>
      <x:c r="L1943" s="11" t="str">
        <x:v>精确发布时间未核验</x:v>
      </x:c>
      <x:c r="M1943" s="11" t="str">
        <x:v>截止日前日期，盘中时分未核</x:v>
      </x:c>
    </x:row>
    <x:row r="1944" ht="23" customHeight="1">
      <x:c r="A1944" s="11" t="str">
        <x:v>I051</x:v>
      </x:c>
      <x:c r="B1944" s="11" t="str">
        <x:v>09995.HK</x:v>
      </x:c>
      <x:c r="C1944" s="11" t="str">
        <x:v>OCF</x:v>
      </x:c>
      <x:c r="D1944" s="39" t="n">
        <x:v>4213.823</x:v>
      </x:c>
      <x:c r="E1944" s="11" t="str">
        <x:v>CNY</x:v>
      </x:c>
      <x:c r="F1944" s="11" t="str">
        <x:v>million</x:v>
      </x:c>
      <x:c r="G1944" s="11" t="str">
        <x:v>2026H1 IFRS</x:v>
      </x:c>
      <x:c r="H1944" s="11" t="str">
        <x:v>2026-09-23</x:v>
      </x:c>
      <x:c r="I1944" s="11" t="str">
        <x:v>https://iis.aastocks.com/20260923/12342386-0.PDF</x:v>
      </x:c>
      <x:c r="J1944" s="11" t="str">
        <x:v>首度公开日期 2026-08-24</x:v>
      </x:c>
      <x:c r="K1944" s="11" t="str">
        <x:v>2026-08-24</x:v>
      </x:c>
      <x:c r="L1944" s="11" t="str">
        <x:v>精确发布时间未核验</x:v>
      </x:c>
      <x:c r="M1944" s="11" t="str">
        <x:v>截止日前日期，盘中时分未核</x:v>
      </x:c>
    </x:row>
    <x:row r="1945" ht="23" customHeight="1">
      <x:c r="A1945" s="11" t="str">
        <x:v>I051</x:v>
      </x:c>
      <x:c r="B1945" s="11" t="str">
        <x:v>09995.HK</x:v>
      </x:c>
      <x:c r="C1945" s="11" t="str">
        <x:v>PPECash</x:v>
      </x:c>
      <x:c r="D1945" s="39" t="n">
        <x:v>72.145</x:v>
      </x:c>
      <x:c r="E1945" s="11" t="str">
        <x:v>CNY</x:v>
      </x:c>
      <x:c r="F1945" s="11" t="str">
        <x:v>million</x:v>
      </x:c>
      <x:c r="G1945" s="11" t="str">
        <x:v>2026H1 IFRS</x:v>
      </x:c>
      <x:c r="H1945" s="11" t="str">
        <x:v>2026-09-23</x:v>
      </x:c>
      <x:c r="I1945" s="11" t="str">
        <x:v>https://iis.aastocks.com/20260923/12342386-0.PDF</x:v>
      </x:c>
      <x:c r="J1945" s="11" t="str">
        <x:v>首度公开日期 2026-08-24</x:v>
      </x:c>
      <x:c r="K1945" s="11" t="str">
        <x:v>2026-08-24</x:v>
      </x:c>
      <x:c r="L1945" s="11" t="str">
        <x:v>精确发布时间未核验</x:v>
      </x:c>
      <x:c r="M1945" s="11" t="str">
        <x:v>截止日前日期，盘中时分未核</x:v>
      </x:c>
    </x:row>
    <x:row r="1946" ht="23" customHeight="1">
      <x:c r="A1946" s="11" t="str">
        <x:v>I051</x:v>
      </x:c>
      <x:c r="B1946" s="11" t="str">
        <x:v>09995.HK</x:v>
      </x:c>
      <x:c r="C1946" s="11" t="str">
        <x:v>intangibleCash</x:v>
      </x:c>
      <x:c r="D1946" s="39" t="n">
        <x:v>1.684</x:v>
      </x:c>
      <x:c r="E1946" s="11" t="str">
        <x:v>CNY</x:v>
      </x:c>
      <x:c r="F1946" s="11" t="str">
        <x:v>million</x:v>
      </x:c>
      <x:c r="G1946" s="11" t="str">
        <x:v>2026H1 IFRS</x:v>
      </x:c>
      <x:c r="H1946" s="11" t="str">
        <x:v>2026-09-23</x:v>
      </x:c>
      <x:c r="I1946" s="11" t="str">
        <x:v>https://iis.aastocks.com/20260923/12342386-0.PDF</x:v>
      </x:c>
      <x:c r="J1946" s="11" t="str">
        <x:v>首度公开日期 2026-08-24</x:v>
      </x:c>
      <x:c r="K1946" s="11" t="str">
        <x:v>2026-08-24</x:v>
      </x:c>
      <x:c r="L1946" s="11" t="str">
        <x:v>精确发布时间未核验</x:v>
      </x:c>
      <x:c r="M1946" s="11" t="str">
        <x:v>截止日前日期，盘中时分未核</x:v>
      </x:c>
    </x:row>
    <x:row r="1947" ht="23" customHeight="1">
      <x:c r="A1947" s="11" t="str">
        <x:v>I051</x:v>
      </x:c>
      <x:c r="B1947" s="11" t="str">
        <x:v>09995.HK</x:v>
      </x:c>
      <x:c r="C1947" s="11" t="str">
        <x:v>FCF</x:v>
      </x:c>
      <x:c r="D1947" s="39" t="n">
        <x:v>4139.994</x:v>
      </x:c>
      <x:c r="E1947" s="11" t="str">
        <x:v>CNY</x:v>
      </x:c>
      <x:c r="F1947" s="11" t="str">
        <x:v>million</x:v>
      </x:c>
      <x:c r="G1947" s="11" t="str">
        <x:v>2026H1 IFRS</x:v>
      </x:c>
      <x:c r="H1947" s="11" t="str">
        <x:v>2026-09-23</x:v>
      </x:c>
      <x:c r="I1947" s="11" t="str">
        <x:v>https://iis.aastocks.com/20260923/12342386-0.PDF</x:v>
      </x:c>
      <x:c r="J1947" s="11" t="str">
        <x:v>首度公开日期 2026-08-24</x:v>
      </x:c>
      <x:c r="K1947" s="11" t="str">
        <x:v>2026-08-24</x:v>
      </x:c>
      <x:c r="L1947" s="11" t="str">
        <x:v>精确发布时间未核验</x:v>
      </x:c>
      <x:c r="M1947" s="11" t="str">
        <x:v>截止日前日期，盘中时分未核</x:v>
      </x:c>
    </x:row>
    <x:row r="1948" ht="23" customHeight="1">
      <x:c r="A1948" s="11" t="str">
        <x:v>I051</x:v>
      </x:c>
      <x:c r="B1948" s="11" t="str">
        <x:v>09995.HK</x:v>
      </x:c>
      <x:c r="C1948" s="11" t="str">
        <x:v>shareComp</x:v>
      </x:c>
      <x:c r="D1948" s="39" t="n">
        <x:v>62.088</x:v>
      </x:c>
      <x:c r="E1948" s="11" t="str">
        <x:v>CNY</x:v>
      </x:c>
      <x:c r="F1948" s="11" t="str">
        <x:v>million</x:v>
      </x:c>
      <x:c r="G1948" s="11" t="str">
        <x:v>2026H1 IFRS</x:v>
      </x:c>
      <x:c r="H1948" s="11" t="str">
        <x:v>2026-09-23</x:v>
      </x:c>
      <x:c r="I1948" s="11" t="str">
        <x:v>https://iis.aastocks.com/20260923/12342386-0.PDF</x:v>
      </x:c>
      <x:c r="J1948" s="11" t="str">
        <x:v>首度公开日期 2026-08-24</x:v>
      </x:c>
      <x:c r="K1948" s="11" t="str">
        <x:v>2026-08-24</x:v>
      </x:c>
      <x:c r="L1948" s="11" t="str">
        <x:v>精确发布时间未核验</x:v>
      </x:c>
      <x:c r="M1948" s="11" t="str">
        <x:v>截止日前日期，盘中时分未核</x:v>
      </x:c>
    </x:row>
    <x:row r="1949" ht="23" customHeight="1">
      <x:c r="A1949" s="11" t="str">
        <x:v>I051</x:v>
      </x:c>
      <x:c r="B1949" s="11" t="str">
        <x:v>09995.HK</x:v>
      </x:c>
      <x:c r="C1949" s="11" t="str">
        <x:v>cashEquivalent</x:v>
      </x:c>
      <x:c r="D1949" s="39" t="n">
        <x:v>1528.895</x:v>
      </x:c>
      <x:c r="E1949" s="11" t="str">
        <x:v>CNY</x:v>
      </x:c>
      <x:c r="F1949" s="11" t="str">
        <x:v>million</x:v>
      </x:c>
      <x:c r="G1949" s="11" t="str">
        <x:v>2026H1 IFRS</x:v>
      </x:c>
      <x:c r="H1949" s="11" t="str">
        <x:v>2026-09-23</x:v>
      </x:c>
      <x:c r="I1949" s="11" t="str">
        <x:v>https://iis.aastocks.com/20260923/12342386-0.PDF</x:v>
      </x:c>
      <x:c r="J1949" s="11" t="str">
        <x:v>首度公开日期 2026-08-24</x:v>
      </x:c>
      <x:c r="K1949" s="11" t="str">
        <x:v>2026-08-24</x:v>
      </x:c>
      <x:c r="L1949" s="11" t="str">
        <x:v>精确发布时间未核验</x:v>
      </x:c>
      <x:c r="M1949" s="11" t="str">
        <x:v>截止日前日期，盘中时分未核</x:v>
      </x:c>
    </x:row>
    <x:row r="1950" ht="23" customHeight="1">
      <x:c r="A1950" s="11" t="str">
        <x:v>I051</x:v>
      </x:c>
      <x:c r="B1950" s="11" t="str">
        <x:v>09995.HK</x:v>
      </x:c>
      <x:c r="C1950" s="11" t="str">
        <x:v>terms</x:v>
      </x:c>
      <x:c r="D1950" s="39" t="n">
        <x:v>20</x:v>
      </x:c>
      <x:c r="E1950" s="11" t="str">
        <x:v>CNY</x:v>
      </x:c>
      <x:c r="F1950" s="11" t="str">
        <x:v>million</x:v>
      </x:c>
      <x:c r="G1950" s="11" t="str">
        <x:v>2026H1 IFRS</x:v>
      </x:c>
      <x:c r="H1950" s="11" t="str">
        <x:v>2026-09-23</x:v>
      </x:c>
      <x:c r="I1950" s="11" t="str">
        <x:v>https://iis.aastocks.com/20260923/12342386-0.PDF</x:v>
      </x:c>
      <x:c r="J1950" s="11" t="str">
        <x:v>首度公开日期 2026-08-24</x:v>
      </x:c>
      <x:c r="K1950" s="11" t="str">
        <x:v>2026-08-24</x:v>
      </x:c>
      <x:c r="L1950" s="11" t="str">
        <x:v>精确发布时间未核验</x:v>
      </x:c>
      <x:c r="M1950" s="11" t="str">
        <x:v>截止日前日期，盘中时分未核</x:v>
      </x:c>
    </x:row>
    <x:row r="1951" ht="23" customHeight="1">
      <x:c r="A1951" s="11" t="str">
        <x:v>I051</x:v>
      </x:c>
      <x:c r="B1951" s="11" t="str">
        <x:v>09995.HK</x:v>
      </x:c>
      <x:c r="C1951" s="11" t="str">
        <x:v>wealthProducts</x:v>
      </x:c>
      <x:c r="D1951" s="39" t="n">
        <x:v>2051.3</x:v>
      </x:c>
      <x:c r="E1951" s="11" t="str">
        <x:v>CNY</x:v>
      </x:c>
      <x:c r="F1951" s="11" t="str">
        <x:v>million</x:v>
      </x:c>
      <x:c r="G1951" s="11" t="str">
        <x:v>2026H1 IFRS</x:v>
      </x:c>
      <x:c r="H1951" s="11" t="str">
        <x:v>2026-09-23</x:v>
      </x:c>
      <x:c r="I1951" s="11" t="str">
        <x:v>https://iis.aastocks.com/20260923/12342386-0.PDF</x:v>
      </x:c>
      <x:c r="J1951" s="11" t="str">
        <x:v>首度公开日期 2026-08-24</x:v>
      </x:c>
      <x:c r="K1951" s="11" t="str">
        <x:v>2026-08-24</x:v>
      </x:c>
      <x:c r="L1951" s="11" t="str">
        <x:v>精确发布时间未核验</x:v>
      </x:c>
      <x:c r="M1951" s="11" t="str">
        <x:v>截止日前日期，盘中时分未核</x:v>
      </x:c>
    </x:row>
    <x:row r="1952" ht="23" customHeight="1">
      <x:c r="A1952" s="11" t="str">
        <x:v>I051</x:v>
      </x:c>
      <x:c r="B1952" s="11" t="str">
        <x:v>09995.HK</x:v>
      </x:c>
      <x:c r="C1952" s="11" t="str">
        <x:v>VorWarrantBook</x:v>
      </x:c>
      <x:c r="D1952" s="39" t="n">
        <x:v>1530.905</x:v>
      </x:c>
      <x:c r="E1952" s="11" t="str">
        <x:v>CNY</x:v>
      </x:c>
      <x:c r="F1952" s="11" t="str">
        <x:v>million</x:v>
      </x:c>
      <x:c r="G1952" s="11" t="str">
        <x:v>2026H1 IFRS</x:v>
      </x:c>
      <x:c r="H1952" s="11" t="str">
        <x:v>2026-09-23</x:v>
      </x:c>
      <x:c r="I1952" s="11" t="str">
        <x:v>https://iis.aastocks.com/20260923/12342386-0.PDF</x:v>
      </x:c>
      <x:c r="J1952" s="11" t="str">
        <x:v>首度公开日期 2026-08-24</x:v>
      </x:c>
      <x:c r="K1952" s="11" t="str">
        <x:v>2026-08-24</x:v>
      </x:c>
      <x:c r="L1952" s="11" t="str">
        <x:v>精确发布时间未核验</x:v>
      </x:c>
      <x:c r="M1952" s="11" t="str">
        <x:v>截止日前日期，盘中时分未核</x:v>
      </x:c>
    </x:row>
    <x:row r="1953" ht="23" customHeight="1">
      <x:c r="A1953" s="11" t="str">
        <x:v>I051</x:v>
      </x:c>
      <x:c r="B1953" s="11" t="str">
        <x:v>09995.HK</x:v>
      </x:c>
      <x:c r="C1953" s="11" t="str">
        <x:v>restrictedSeparate</x:v>
      </x:c>
      <x:c r="D1953" s="39" t="n">
        <x:v>3.439</x:v>
      </x:c>
      <x:c r="E1953" s="11" t="str">
        <x:v>CNY</x:v>
      </x:c>
      <x:c r="F1953" s="11" t="str">
        <x:v>million</x:v>
      </x:c>
      <x:c r="G1953" s="11" t="str">
        <x:v>2026H1 IFRS</x:v>
      </x:c>
      <x:c r="H1953" s="11" t="str">
        <x:v>2026-09-23</x:v>
      </x:c>
      <x:c r="I1953" s="11" t="str">
        <x:v>https://iis.aastocks.com/20260923/12342386-0.PDF</x:v>
      </x:c>
      <x:c r="J1953" s="11" t="str">
        <x:v>首度公开日期 2026-08-24</x:v>
      </x:c>
      <x:c r="K1953" s="11" t="str">
        <x:v>2026-08-24</x:v>
      </x:c>
      <x:c r="L1953" s="11" t="str">
        <x:v>精确发布时间未核验</x:v>
      </x:c>
      <x:c r="M1953" s="11" t="str">
        <x:v>截止日前日期，盘中时分未核</x:v>
      </x:c>
    </x:row>
    <x:row r="1954" ht="23" customHeight="1">
      <x:c r="A1954" s="11" t="str">
        <x:v>I051</x:v>
      </x:c>
      <x:c r="B1954" s="11" t="str">
        <x:v>09995.HK</x:v>
      </x:c>
      <x:c r="C1954" s="11" t="str">
        <x:v>bankDebt</x:v>
      </x:c>
      <x:c r="D1954" s="39" t="n">
        <x:v>173.557</x:v>
      </x:c>
      <x:c r="E1954" s="11" t="str">
        <x:v>CNY</x:v>
      </x:c>
      <x:c r="F1954" s="11" t="str">
        <x:v>million</x:v>
      </x:c>
      <x:c r="G1954" s="11" t="str">
        <x:v>2026H1 IFRS</x:v>
      </x:c>
      <x:c r="H1954" s="11" t="str">
        <x:v>2026-09-23</x:v>
      </x:c>
      <x:c r="I1954" s="11" t="str">
        <x:v>https://iis.aastocks.com/20260923/12342386-0.PDF</x:v>
      </x:c>
      <x:c r="J1954" s="11" t="str">
        <x:v>首度公开日期 2026-08-24</x:v>
      </x:c>
      <x:c r="K1954" s="11" t="str">
        <x:v>2026-08-24</x:v>
      </x:c>
      <x:c r="L1954" s="11" t="str">
        <x:v>精确发布时间未核验</x:v>
      </x:c>
      <x:c r="M1954" s="11" t="str">
        <x:v>截止日前日期，盘中时分未核</x:v>
      </x:c>
    </x:row>
    <x:row r="1955" ht="23" customHeight="1">
      <x:c r="A1955" s="11" t="str">
        <x:v>I051</x:v>
      </x:c>
      <x:c r="B1955" s="11" t="str">
        <x:v>09995.HK</x:v>
      </x:c>
      <x:c r="C1955" s="11" t="str">
        <x:v>currentBankDebt</x:v>
      </x:c>
      <x:c r="D1955" s="39" t="n">
        <x:v>155.584</x:v>
      </x:c>
      <x:c r="E1955" s="11" t="str">
        <x:v>CNY</x:v>
      </x:c>
      <x:c r="F1955" s="11" t="str">
        <x:v>million</x:v>
      </x:c>
      <x:c r="G1955" s="11" t="str">
        <x:v>2026H1 IFRS</x:v>
      </x:c>
      <x:c r="H1955" s="11" t="str">
        <x:v>2026-09-23</x:v>
      </x:c>
      <x:c r="I1955" s="11" t="str">
        <x:v>https://iis.aastocks.com/20260923/12342386-0.PDF</x:v>
      </x:c>
      <x:c r="J1955" s="11" t="str">
        <x:v>首度公开日期 2026-08-24</x:v>
      </x:c>
      <x:c r="K1955" s="11" t="str">
        <x:v>2026-08-24</x:v>
      </x:c>
      <x:c r="L1955" s="11" t="str">
        <x:v>精确发布时间未核验</x:v>
      </x:c>
      <x:c r="M1955" s="11" t="str">
        <x:v>截止日前日期，盘中时分未核</x:v>
      </x:c>
    </x:row>
    <x:row r="1956" ht="23" customHeight="1">
      <x:c r="A1956" s="11" t="str">
        <x:v>I051</x:v>
      </x:c>
      <x:c r="B1956" s="11" t="str">
        <x:v>09995.HK</x:v>
      </x:c>
      <x:c r="C1956" s="11" t="str">
        <x:v>leases</x:v>
      </x:c>
      <x:c r="D1956" s="39" t="n">
        <x:v>137.462</x:v>
      </x:c>
      <x:c r="E1956" s="11" t="str">
        <x:v>CNY</x:v>
      </x:c>
      <x:c r="F1956" s="11" t="str">
        <x:v>million</x:v>
      </x:c>
      <x:c r="G1956" s="11" t="str">
        <x:v>2026H1 IFRS</x:v>
      </x:c>
      <x:c r="H1956" s="11" t="str">
        <x:v>2026-09-23</x:v>
      </x:c>
      <x:c r="I1956" s="11" t="str">
        <x:v>https://iis.aastocks.com/20260923/12342386-0.PDF</x:v>
      </x:c>
      <x:c r="J1956" s="11" t="str">
        <x:v>首度公开日期 2026-08-24</x:v>
      </x:c>
      <x:c r="K1956" s="11" t="str">
        <x:v>2026-08-24</x:v>
      </x:c>
      <x:c r="L1956" s="11" t="str">
        <x:v>精确发布时间未核验</x:v>
      </x:c>
      <x:c r="M1956" s="11" t="str">
        <x:v>截止日前日期，盘中时分未核</x:v>
      </x:c>
    </x:row>
    <x:row r="1957" ht="23" customHeight="1">
      <x:c r="A1957" s="11" t="str">
        <x:v>I051</x:v>
      </x:c>
      <x:c r="B1957" s="11" t="str">
        <x:v>09995.HK</x:v>
      </x:c>
      <x:c r="C1957" s="11" t="str">
        <x:v>PPE</x:v>
      </x:c>
      <x:c r="D1957" s="39" t="n">
        <x:v>2897.926</x:v>
      </x:c>
      <x:c r="E1957" s="11" t="str">
        <x:v>CNY</x:v>
      </x:c>
      <x:c r="F1957" s="11" t="str">
        <x:v>million</x:v>
      </x:c>
      <x:c r="G1957" s="11" t="str">
        <x:v>2026H1 IFRS</x:v>
      </x:c>
      <x:c r="H1957" s="11" t="str">
        <x:v>2026-09-23</x:v>
      </x:c>
      <x:c r="I1957" s="11" t="str">
        <x:v>https://iis.aastocks.com/20260923/12342386-0.PDF</x:v>
      </x:c>
      <x:c r="J1957" s="11" t="str">
        <x:v>首度公开日期 2026-08-24</x:v>
      </x:c>
      <x:c r="K1957" s="11" t="str">
        <x:v>2026-08-24</x:v>
      </x:c>
      <x:c r="L1957" s="11" t="str">
        <x:v>精确发布时间未核验</x:v>
      </x:c>
      <x:c r="M1957" s="11" t="str">
        <x:v>截止日前日期，盘中时分未核</x:v>
      </x:c>
    </x:row>
    <x:row r="1958" ht="23" customHeight="1">
      <x:c r="A1958" s="11" t="str">
        <x:v>I051</x:v>
      </x:c>
      <x:c r="B1958" s="11" t="str">
        <x:v>09995.HK</x:v>
      </x:c>
      <x:c r="C1958" s="11" t="str">
        <x:v>capexCommit</x:v>
      </x:c>
      <x:c r="D1958" s="39" t="n">
        <x:v>114.625</x:v>
      </x:c>
      <x:c r="E1958" s="11" t="str">
        <x:v>CNY</x:v>
      </x:c>
      <x:c r="F1958" s="11" t="str">
        <x:v>million</x:v>
      </x:c>
      <x:c r="G1958" s="11" t="str">
        <x:v>2026H1 IFRS</x:v>
      </x:c>
      <x:c r="H1958" s="11" t="str">
        <x:v>2026-09-23</x:v>
      </x:c>
      <x:c r="I1958" s="11" t="str">
        <x:v>https://iis.aastocks.com/20260923/12342386-0.PDF</x:v>
      </x:c>
      <x:c r="J1958" s="11" t="str">
        <x:v>首度公开日期 2026-08-24</x:v>
      </x:c>
      <x:c r="K1958" s="11" t="str">
        <x:v>2026-08-24</x:v>
      </x:c>
      <x:c r="L1958" s="11" t="str">
        <x:v>精确发布时间未核验</x:v>
      </x:c>
      <x:c r="M1958" s="11" t="str">
        <x:v>截止日前日期，盘中时分未核</x:v>
      </x:c>
    </x:row>
    <x:row r="1959" ht="23" customHeight="1">
      <x:c r="A1959" s="11" t="str">
        <x:v>I051</x:v>
      </x:c>
      <x:c r="B1959" s="11" t="str">
        <x:v>09995.HK</x:v>
      </x:c>
      <x:c r="C1959" s="11" t="str">
        <x:v>inventory</x:v>
      </x:c>
      <x:c r="D1959" s="39" t="n">
        <x:v>758.638</x:v>
      </x:c>
      <x:c r="E1959" s="11" t="str">
        <x:v>CNY</x:v>
      </x:c>
      <x:c r="F1959" s="11" t="str">
        <x:v>million</x:v>
      </x:c>
      <x:c r="G1959" s="11" t="str">
        <x:v>2026H1 IFRS</x:v>
      </x:c>
      <x:c r="H1959" s="11" t="str">
        <x:v>2026-09-23</x:v>
      </x:c>
      <x:c r="I1959" s="11" t="str">
        <x:v>https://iis.aastocks.com/20260923/12342386-0.PDF</x:v>
      </x:c>
      <x:c r="J1959" s="11" t="str">
        <x:v>首度公开日期 2026-08-24</x:v>
      </x:c>
      <x:c r="K1959" s="11" t="str">
        <x:v>2026-08-24</x:v>
      </x:c>
      <x:c r="L1959" s="11" t="str">
        <x:v>精确发布时间未核验</x:v>
      </x:c>
      <x:c r="M1959" s="11" t="str">
        <x:v>截止日前日期，盘中时分未核</x:v>
      </x:c>
    </x:row>
    <x:row r="1960" ht="23" customHeight="1">
      <x:c r="A1960" s="11" t="str">
        <x:v>I051</x:v>
      </x:c>
      <x:c r="B1960" s="11" t="str">
        <x:v>09995.HK</x:v>
      </x:c>
      <x:c r="C1960" s="11" t="str">
        <x:v>tradeReceivablesAndNotes</x:v>
      </x:c>
      <x:c r="D1960" s="39" t="n">
        <x:v>571.931</x:v>
      </x:c>
      <x:c r="E1960" s="11" t="str">
        <x:v>CNY</x:v>
      </x:c>
      <x:c r="F1960" s="11" t="str">
        <x:v>million</x:v>
      </x:c>
      <x:c r="G1960" s="11" t="str">
        <x:v>2026H1 IFRS</x:v>
      </x:c>
      <x:c r="H1960" s="11" t="str">
        <x:v>2026-09-23</x:v>
      </x:c>
      <x:c r="I1960" s="11" t="str">
        <x:v>https://iis.aastocks.com/20260923/12342386-0.PDF</x:v>
      </x:c>
      <x:c r="J1960" s="11" t="str">
        <x:v>首度公开日期 2026-08-24</x:v>
      </x:c>
      <x:c r="K1960" s="11" t="str">
        <x:v>2026-08-24</x:v>
      </x:c>
      <x:c r="L1960" s="11" t="str">
        <x:v>精确发布时间未核验</x:v>
      </x:c>
      <x:c r="M1960" s="11" t="str">
        <x:v>截止日前日期，盘中时分未核</x:v>
      </x:c>
    </x:row>
    <x:row r="1961" ht="23" customHeight="1">
      <x:c r="A1961" s="11" t="str">
        <x:v>I051</x:v>
      </x:c>
      <x:c r="B1961" s="11" t="str">
        <x:v>09995.HK</x:v>
      </x:c>
      <x:c r="C1961" s="11" t="str">
        <x:v>totalAssets</x:v>
      </x:c>
      <x:c r="D1961" s="39" t="n">
        <x:v>9847.25</x:v>
      </x:c>
      <x:c r="E1961" s="11" t="str">
        <x:v>CNY</x:v>
      </x:c>
      <x:c r="F1961" s="11" t="str">
        <x:v>million</x:v>
      </x:c>
      <x:c r="G1961" s="11" t="str">
        <x:v>2026H1 IFRS</x:v>
      </x:c>
      <x:c r="H1961" s="11" t="str">
        <x:v>2026-09-23</x:v>
      </x:c>
      <x:c r="I1961" s="11" t="str">
        <x:v>https://iis.aastocks.com/20260923/12342386-0.PDF</x:v>
      </x:c>
      <x:c r="J1961" s="11" t="str">
        <x:v>首度公开日期 2026-08-24</x:v>
      </x:c>
      <x:c r="K1961" s="11" t="str">
        <x:v>2026-08-24</x:v>
      </x:c>
      <x:c r="L1961" s="11" t="str">
        <x:v>精确发布时间未核验</x:v>
      </x:c>
      <x:c r="M1961" s="11" t="str">
        <x:v>截止日前日期，盘中时分未核</x:v>
      </x:c>
    </x:row>
    <x:row r="1962" ht="23" customHeight="1">
      <x:c r="A1962" s="11" t="str">
        <x:v>I051</x:v>
      </x:c>
      <x:c r="B1962" s="11" t="str">
        <x:v>09995.HK</x:v>
      </x:c>
      <x:c r="C1962" s="11" t="str">
        <x:v>totalEquity</x:v>
      </x:c>
      <x:c r="D1962" s="39" t="n">
        <x:v>8314.075</x:v>
      </x:c>
      <x:c r="E1962" s="11" t="str">
        <x:v>CNY</x:v>
      </x:c>
      <x:c r="F1962" s="11" t="str">
        <x:v>million</x:v>
      </x:c>
      <x:c r="G1962" s="11" t="str">
        <x:v>2026H1 IFRS</x:v>
      </x:c>
      <x:c r="H1962" s="11" t="str">
        <x:v>2026-09-23</x:v>
      </x:c>
      <x:c r="I1962" s="11" t="str">
        <x:v>https://iis.aastocks.com/20260923/12342386-0.PDF</x:v>
      </x:c>
      <x:c r="J1962" s="11" t="str">
        <x:v>首度公开日期 2026-08-24</x:v>
      </x:c>
      <x:c r="K1962" s="11" t="str">
        <x:v>2026-08-24</x:v>
      </x:c>
      <x:c r="L1962" s="11" t="str">
        <x:v>精确发布时间未核验</x:v>
      </x:c>
      <x:c r="M1962" s="11" t="str">
        <x:v>截止日前日期，盘中时分未核</x:v>
      </x:c>
    </x:row>
    <x:row r="1963" ht="23" customHeight="1">
      <x:c r="A1963" s="11" t="str">
        <x:v>I051</x:v>
      </x:c>
      <x:c r="B1963" s="11" t="str">
        <x:v>09995.HK</x:v>
      </x:c>
      <x:c r="C1963" s="11" t="str">
        <x:v>weightedBasicShares</x:v>
      </x:c>
      <x:c r="D1963" s="39" t="n">
        <x:v>560106771</x:v>
      </x:c>
      <x:c r="E1963" s="11" t="str">
        <x:v>not monetary</x:v>
      </x:c>
      <x:c r="F1963" s="11" t="str">
        <x:v>shares</x:v>
      </x:c>
      <x:c r="G1963" s="11" t="str">
        <x:v>2026H1 IFRS</x:v>
      </x:c>
      <x:c r="H1963" s="11" t="str">
        <x:v>2026-09-23</x:v>
      </x:c>
      <x:c r="I1963" s="11" t="str">
        <x:v>https://iis.aastocks.com/20260923/12342386-0.PDF</x:v>
      </x:c>
      <x:c r="J1963" s="11" t="str">
        <x:v>首度公开日期 2026-08-24</x:v>
      </x:c>
      <x:c r="K1963" s="11" t="str">
        <x:v>2026-08-24</x:v>
      </x:c>
      <x:c r="L1963" s="11" t="str">
        <x:v>精确发布时间未核验</x:v>
      </x:c>
      <x:c r="M1963" s="11" t="str">
        <x:v>截止日前日期，盘中时分未核</x:v>
      </x:c>
    </x:row>
    <x:row r="1964" ht="23" customHeight="1">
      <x:c r="A1964" s="11" t="str">
        <x:v>I051</x:v>
      </x:c>
      <x:c r="B1964" s="11" t="str">
        <x:v>09995.HK</x:v>
      </x:c>
      <x:c r="C1964" s="11" t="str">
        <x:v>weightedDilutedShares</x:v>
      </x:c>
      <x:c r="D1964" s="39" t="n">
        <x:v>562193010</x:v>
      </x:c>
      <x:c r="E1964" s="11" t="str">
        <x:v>not monetary</x:v>
      </x:c>
      <x:c r="F1964" s="11" t="str">
        <x:v>shares</x:v>
      </x:c>
      <x:c r="G1964" s="11" t="str">
        <x:v>2026H1 IFRS</x:v>
      </x:c>
      <x:c r="H1964" s="11" t="str">
        <x:v>2026-09-23</x:v>
      </x:c>
      <x:c r="I1964" s="11" t="str">
        <x:v>https://iis.aastocks.com/20260923/12342386-0.PDF</x:v>
      </x:c>
      <x:c r="J1964" s="11" t="str">
        <x:v>首度公开日期 2026-08-24</x:v>
      </x:c>
      <x:c r="K1964" s="11" t="str">
        <x:v>2026-08-24</x:v>
      </x:c>
      <x:c r="L1964" s="11" t="str">
        <x:v>精确发布时间未核验</x:v>
      </x:c>
      <x:c r="M1964" s="11" t="str">
        <x:v>截止日前日期，盘中时分未核</x:v>
      </x:c>
    </x:row>
    <x:row r="1965" ht="23" customHeight="1">
      <x:c r="A1965" s="11" t="str">
        <x:v>I051</x:v>
      </x:c>
      <x:c r="B1965" s="11" t="str">
        <x:v>09995.HK</x:v>
      </x:c>
      <x:c r="C1965" s="11" t="str">
        <x:v>SeptTotalIssuedShares</x:v>
      </x:c>
      <x:c r="D1965" s="39" t="n">
        <x:v>564477483</x:v>
      </x:c>
      <x:c r="E1965" s="11" t="str">
        <x:v>not monetary</x:v>
      </x:c>
      <x:c r="F1965" s="11" t="str">
        <x:v>shares</x:v>
      </x:c>
      <x:c r="G1965" s="11" t="str">
        <x:v>2026-09-30</x:v>
      </x:c>
      <x:c r="H1965" s="11" t="str">
        <x:v>2026-10-06</x:v>
      </x:c>
      <x:c r="I1965" s="11" t="str">
        <x:v>https://iis.aastocks.com/20261006/12363419-0.PDF</x:v>
      </x:c>
      <x:c r="J1965" s="11" t="str">
        <x:v>首度公开日期 2026-10-06</x:v>
      </x:c>
      <x:c r="K1965" s="11" t="str">
        <x:v>2026-10-06</x:v>
      </x:c>
      <x:c r="L1965" s="11" t="str">
        <x:v>精确发布时间未核验</x:v>
      </x:c>
      <x:c r="M1965" s="11" t="str">
        <x:v>截止日前日期，盘中时分未核</x:v>
      </x:c>
    </x:row>
    <x:row r="1966" ht="23" customHeight="1">
      <x:c r="A1966" s="11" t="str">
        <x:v>I051</x:v>
      </x:c>
      <x:c r="B1966" s="11" t="str">
        <x:v>09995.HK</x:v>
      </x:c>
      <x:c r="C1966" s="11" t="str">
        <x:v>SeptHissuedShares</x:v>
      </x:c>
      <x:c r="D1966" s="39" t="n">
        <x:v>208581239</x:v>
      </x:c>
      <x:c r="E1966" s="11" t="str">
        <x:v>not monetary</x:v>
      </x:c>
      <x:c r="F1966" s="11" t="str">
        <x:v>shares</x:v>
      </x:c>
      <x:c r="G1966" s="11" t="str">
        <x:v>2026-09-30</x:v>
      </x:c>
      <x:c r="H1966" s="11" t="str">
        <x:v>2026-10-06</x:v>
      </x:c>
      <x:c r="I1966" s="11" t="str">
        <x:v>https://iis.aastocks.com/20261006/12363419-0.PDF</x:v>
      </x:c>
      <x:c r="J1966" s="11" t="str">
        <x:v>首度公开日期 2026-10-06</x:v>
      </x:c>
      <x:c r="K1966" s="11" t="str">
        <x:v>2026-10-06</x:v>
      </x:c>
      <x:c r="L1966" s="11" t="str">
        <x:v>精确发布时间未核验</x:v>
      </x:c>
      <x:c r="M1966" s="11" t="str">
        <x:v>截止日前日期，盘中时分未核</x:v>
      </x:c>
    </x:row>
    <x:row r="1967" ht="23" customHeight="1">
      <x:c r="A1967" s="11" t="str">
        <x:v>I051</x:v>
      </x:c>
      <x:c r="B1967" s="11" t="str">
        <x:v>09995.HK</x:v>
      </x:c>
      <x:c r="C1967" s="11" t="str">
        <x:v>SeptAissuedShares</x:v>
      </x:c>
      <x:c r="D1967" s="39" t="n">
        <x:v>355896244</x:v>
      </x:c>
      <x:c r="E1967" s="11" t="str">
        <x:v>not monetary</x:v>
      </x:c>
      <x:c r="F1967" s="11" t="str">
        <x:v>shares</x:v>
      </x:c>
      <x:c r="G1967" s="11" t="str">
        <x:v>2026-09-30</x:v>
      </x:c>
      <x:c r="H1967" s="11" t="str">
        <x:v>2026-10-06</x:v>
      </x:c>
      <x:c r="I1967" s="11" t="str">
        <x:v>https://iis.aastocks.com/20261006/12363419-0.PDF</x:v>
      </x:c>
      <x:c r="J1967" s="11" t="str">
        <x:v>首度公开日期 2026-10-06</x:v>
      </x:c>
      <x:c r="K1967" s="11" t="str">
        <x:v>2026-10-06</x:v>
      </x:c>
      <x:c r="L1967" s="11" t="str">
        <x:v>精确发布时间未核验</x:v>
      </x:c>
      <x:c r="M1967" s="11" t="str">
        <x:v>截止日前日期，盘中时分未核</x:v>
      </x:c>
    </x:row>
    <x:row r="1968" ht="23" customHeight="1">
      <x:c r="A1968" s="11" t="str">
        <x:v>I051</x:v>
      </x:c>
      <x:c r="B1968" s="11" t="str">
        <x:v>09995.HK</x:v>
      </x:c>
      <x:c r="C1968" s="11" t="str">
        <x:v>SeptAtreasuryShares</x:v>
      </x:c>
      <x:c r="D1968" s="39" t="n">
        <x:v>254184</x:v>
      </x:c>
      <x:c r="E1968" s="11" t="str">
        <x:v>not monetary</x:v>
      </x:c>
      <x:c r="F1968" s="11" t="str">
        <x:v>shares</x:v>
      </x:c>
      <x:c r="G1968" s="11" t="str">
        <x:v>2026-09-30</x:v>
      </x:c>
      <x:c r="H1968" s="11" t="str">
        <x:v>2026-10-06</x:v>
      </x:c>
      <x:c r="I1968" s="11" t="str">
        <x:v>https://iis.aastocks.com/20261006/12363419-0.PDF</x:v>
      </x:c>
      <x:c r="J1968" s="11" t="str">
        <x:v>首度公开日期 2026-10-06</x:v>
      </x:c>
      <x:c r="K1968" s="11" t="str">
        <x:v>2026-10-06</x:v>
      </x:c>
      <x:c r="L1968" s="11" t="str">
        <x:v>精确发布时间未核验</x:v>
      </x:c>
      <x:c r="M1968" s="11" t="str">
        <x:v>截止日前日期，盘中时分未核</x:v>
      </x:c>
    </x:row>
    <x:row r="1969" ht="23" customHeight="1">
      <x:c r="A1969" s="11" t="str">
        <x:v>I051</x:v>
      </x:c>
      <x:c r="B1969" s="11" t="str">
        <x:v>09995.HK</x:v>
      </x:c>
      <x:c r="C1969" s="11" t="str">
        <x:v>SeptIssuedExTreasuryShares</x:v>
      </x:c>
      <x:c r="D1969" s="39" t="n">
        <x:v>564223299</x:v>
      </x:c>
      <x:c r="E1969" s="11" t="str">
        <x:v>not monetary</x:v>
      </x:c>
      <x:c r="F1969" s="11" t="str">
        <x:v>shares</x:v>
      </x:c>
      <x:c r="G1969" s="11" t="str">
        <x:v>2026-09-30</x:v>
      </x:c>
      <x:c r="H1969" s="11" t="str">
        <x:v>2026-10-06</x:v>
      </x:c>
      <x:c r="I1969" s="11" t="str">
        <x:v>https://iis.aastocks.com/20261006/12363419-0.PDF</x:v>
      </x:c>
      <x:c r="J1969" s="11" t="str">
        <x:v>首度公开日期 2026-10-06</x:v>
      </x:c>
      <x:c r="K1969" s="11" t="str">
        <x:v>2026-10-06</x:v>
      </x:c>
      <x:c r="L1969" s="11" t="str">
        <x:v>精确发布时间未核验</x:v>
      </x:c>
      <x:c r="M1969" s="11" t="str">
        <x:v>截止日前日期，盘中时分未核</x:v>
      </x:c>
    </x:row>
    <x:row r="1970" ht="23" customHeight="1">
      <x:c r="A1970" s="11" t="str">
        <x:v>I051</x:v>
      </x:c>
      <x:c r="B1970" s="11" t="str">
        <x:v>09995.HK</x:v>
      </x:c>
      <x:c r="C1970" s="11" t="str">
        <x:v>RC148UpfrontUSDM</x:v>
      </x:c>
      <x:c r="D1970" s="39" t="n">
        <x:v>650</x:v>
      </x:c>
      <x:c r="E1970" s="11" t="str">
        <x:v>USD</x:v>
      </x:c>
      <x:c r="F1970" s="11" t="str">
        <x:v>million</x:v>
      </x:c>
      <x:c r="G1970" s="11" t="str">
        <x:v>2026-04 received</x:v>
      </x:c>
      <x:c r="H1970" s="11" t="str">
        <x:v>2026-04-15</x:v>
      </x:c>
      <x:c r="I1970" s="11" t="str">
        <x:v>https://iis.aastocks.com/20260415/12106173-0.PDF</x:v>
      </x:c>
      <x:c r="J1970" s="11" t="str">
        <x:v>首度公开日期 2026-04-15</x:v>
      </x:c>
      <x:c r="K1970" s="11" t="str">
        <x:v>2026-04-15</x:v>
      </x:c>
      <x:c r="L1970" s="11" t="str">
        <x:v>精确发布时间未核验</x:v>
      </x:c>
      <x:c r="M1970" s="11" t="str">
        <x:v>截止日前日期，盘中时分未核</x:v>
      </x:c>
    </x:row>
    <x:row r="1971" ht="23" customHeight="1">
      <x:c r="A1971" s="11" t="str">
        <x:v>I051</x:v>
      </x:c>
      <x:c r="B1971" s="11" t="str">
        <x:v>09995.HK</x:v>
      </x:c>
      <x:c r="C1971" s="11" t="str">
        <x:v>VorUnderlyingShares</x:v>
      </x:c>
      <x:c r="D1971" s="39" t="n">
        <x:v>16000000</x:v>
      </x:c>
      <x:c r="E1971" s="11" t="str">
        <x:v>not monetary</x:v>
      </x:c>
      <x:c r="F1971" s="11" t="str">
        <x:v>shares</x:v>
      </x:c>
      <x:c r="G1971" s="11" t="str">
        <x:v>2026-06-30 contractual securities term</x:v>
      </x:c>
      <x:c r="H1971" s="11" t="str">
        <x:v>2026-08-11</x:v>
      </x:c>
      <x:c r="I1971" s="11" t="str">
        <x:v>https://www.sec.gov/Archives/edgar/data/1817229/000119312526343607/vor-20260630.htm</x:v>
      </x:c>
      <x:c r="J1971" s="11" t="str">
        <x:v>首度公开日期 2026-08-11</x:v>
      </x:c>
      <x:c r="K1971" s="11" t="str">
        <x:v>2026-08-11</x:v>
      </x:c>
      <x:c r="L1971" s="11" t="str">
        <x:v>精确发布时间未核验</x:v>
      </x:c>
      <x:c r="M1971" s="11" t="str">
        <x:v>截止日前日期，盘中时分未核</x:v>
      </x:c>
    </x:row>
    <x:row r="1972" ht="23" customHeight="1">
      <x:c r="A1972" s="11" t="str">
        <x:v>I051</x:v>
      </x:c>
      <x:c r="B1972" s="11" t="str">
        <x:v>09995.HK</x:v>
      </x:c>
      <x:c r="C1972" s="11" t="str">
        <x:v>VorExerciseUSD</x:v>
      </x:c>
      <x:c r="D1972" s="39" t="n">
        <x:v>0.002</x:v>
      </x:c>
      <x:c r="E1972" s="11" t="str">
        <x:v>USD</x:v>
      </x:c>
      <x:c r="F1972" s="11" t="str">
        <x:v>USD per underlying share</x:v>
      </x:c>
      <x:c r="G1972" s="11" t="str">
        <x:v>2026-06-30 contractual securities term</x:v>
      </x:c>
      <x:c r="H1972" s="11" t="str">
        <x:v>2026-08-11</x:v>
      </x:c>
      <x:c r="I1972" s="11" t="str">
        <x:v>https://www.sec.gov/Archives/edgar/data/1817229/000119312526343607/vor-20260630.htm</x:v>
      </x:c>
      <x:c r="J1972" s="11" t="str">
        <x:v>首度公开日期 2026-08-11</x:v>
      </x:c>
      <x:c r="K1972" s="11" t="str">
        <x:v>2026-08-11</x:v>
      </x:c>
      <x:c r="L1972" s="11" t="str">
        <x:v>精确发布时间未核验</x:v>
      </x:c>
      <x:c r="M1972" s="11" t="str">
        <x:v>截止日前日期，盘中时分未核</x:v>
      </x:c>
    </x:row>
    <x:row r="1973" ht="23" customHeight="1">
      <x:c r="A1973" s="11" t="str">
        <x:v>I051</x:v>
      </x:c>
      <x:c r="B1973" s="11" t="str">
        <x:v>09995.HK</x:v>
      </x:c>
      <x:c r="C1973" s="11" t="str">
        <x:v>interimDividendHKD</x:v>
      </x:c>
      <x:c r="D1973" s="39" t="n">
        <x:v>0</x:v>
      </x:c>
      <x:c r="E1973" s="11" t="str">
        <x:v>HKD</x:v>
      </x:c>
      <x:c r="F1973" s="11" t="str">
        <x:v>HKD per ordinary share</x:v>
      </x:c>
      <x:c r="G1973" s="11" t="str">
        <x:v>2026 interim dividend declared: none</x:v>
      </x:c>
      <x:c r="H1973" s="11" t="str">
        <x:v>2026-09-23</x:v>
      </x:c>
      <x:c r="I1973" s="11" t="str">
        <x:v>https://iis.aastocks.com/20260923/12342386-0.PDF</x:v>
      </x:c>
      <x:c r="J1973" s="11" t="str">
        <x:v>首度公开日期 2026-08-24</x:v>
      </x:c>
      <x:c r="K1973" s="11" t="str">
        <x:v>2026-08-24</x:v>
      </x:c>
      <x:c r="L1973" s="11" t="str">
        <x:v>精确发布时间未核验</x:v>
      </x:c>
      <x:c r="M1973" s="11" t="str">
        <x:v>截止日前日期，盘中时分未核</x:v>
      </x:c>
    </x:row>
    <x:row r="1974" ht="23" customHeight="1">
      <x:c r="A1974" s="11" t="str">
        <x:v>I028</x:v>
      </x:c>
      <x:c r="B1974" s="11" t="str">
        <x:v>02607.HK</x:v>
      </x:c>
      <x:c r="C1974" s="11" t="str">
        <x:v>revenue</x:v>
      </x:c>
      <x:c r="D1974" s="39" t="n">
        <x:v>147469.7293952</x:v>
      </x:c>
      <x:c r="E1974" s="11" t="str">
        <x:v>CNY</x:v>
      </x:c>
      <x:c r="F1974" s="11" t="str">
        <x:v>million</x:v>
      </x:c>
      <x:c r="G1974" s="11" t="str">
        <x:v>2026H1</x:v>
      </x:c>
      <x:c r="H1974" s="11" t="str">
        <x:v>2026-08-28</x:v>
      </x:c>
      <x:c r="I1974" s="11" t="str">
        <x:v>https://static.cninfo.com.cn/finalpage/2026-08-28/1225518810.PDF</x:v>
      </x:c>
      <x:c r="J1974" s="11" t="str"/>
      <x:c r="K1974" s="11" t="str">
        <x:v>2026-08-27</x:v>
      </x:c>
      <x:c r="L1974" s="11" t="str">
        <x:v>业绩8/27新闻19:08确认收盘后已有；H原文内署8/28，交易所时分未核</x:v>
      </x:c>
      <x:c r="M1974" s="11" t="str">
        <x:v>截止日前日期，盘中时分未核</x:v>
      </x:c>
    </x:row>
    <x:row r="1975" ht="23" customHeight="1">
      <x:c r="A1975" s="11" t="str">
        <x:v>I028</x:v>
      </x:c>
      <x:c r="B1975" s="11" t="str">
        <x:v>02607.HK</x:v>
      </x:c>
      <x:c r="C1975" s="11" t="str">
        <x:v>revenueGrowthPct</x:v>
      </x:c>
      <x:c r="D1975" s="39" t="n">
        <x:v>4.15</x:v>
      </x:c>
      <x:c r="E1975" s="11" t="str">
        <x:v>not monetary</x:v>
      </x:c>
      <x:c r="F1975" s="11" t="str">
        <x:v>percent</x:v>
      </x:c>
      <x:c r="G1975" s="11" t="str">
        <x:v>2026H1</x:v>
      </x:c>
      <x:c r="H1975" s="11" t="str">
        <x:v>2026-08-28</x:v>
      </x:c>
      <x:c r="I1975" s="11" t="str">
        <x:v>https://static.cninfo.com.cn/finalpage/2026-08-28/1225518810.PDF</x:v>
      </x:c>
      <x:c r="J1975" s="11" t="str"/>
      <x:c r="K1975" s="11" t="str">
        <x:v>2026-08-27</x:v>
      </x:c>
      <x:c r="L1975" s="11" t="str">
        <x:v>业绩8/27新闻19:08确认收盘后已有；H原文内署8/28，交易所时分未核</x:v>
      </x:c>
      <x:c r="M1975" s="11" t="str">
        <x:v>截止日前日期，盘中时分未核</x:v>
      </x:c>
    </x:row>
    <x:row r="1976" ht="23" customHeight="1">
      <x:c r="A1976" s="11" t="str">
        <x:v>I028</x:v>
      </x:c>
      <x:c r="B1976" s="11" t="str">
        <x:v>02607.HK</x:v>
      </x:c>
      <x:c r="C1976" s="11" t="str">
        <x:v>attributableProfit</x:v>
      </x:c>
      <x:c r="D1976" s="39" t="n">
        <x:v>3504.44747563</x:v>
      </x:c>
      <x:c r="E1976" s="11" t="str">
        <x:v>CNY</x:v>
      </x:c>
      <x:c r="F1976" s="11" t="str">
        <x:v>million</x:v>
      </x:c>
      <x:c r="G1976" s="11" t="str">
        <x:v>2026H1</x:v>
      </x:c>
      <x:c r="H1976" s="11" t="str">
        <x:v>2026-08-28</x:v>
      </x:c>
      <x:c r="I1976" s="11" t="str">
        <x:v>https://static.cninfo.com.cn/finalpage/2026-08-28/1225518810.PDF</x:v>
      </x:c>
      <x:c r="J1976" s="11" t="str"/>
      <x:c r="K1976" s="11" t="str">
        <x:v>2026-08-27</x:v>
      </x:c>
      <x:c r="L1976" s="11" t="str">
        <x:v>业绩8/27新闻19:08确认收盘后已有；H原文内署8/28，交易所时分未核</x:v>
      </x:c>
      <x:c r="M1976" s="11" t="str">
        <x:v>截止日前日期，盘中时分未核</x:v>
      </x:c>
    </x:row>
    <x:row r="1977" ht="23" customHeight="1">
      <x:c r="A1977" s="11" t="str">
        <x:v>I028</x:v>
      </x:c>
      <x:c r="B1977" s="11" t="str">
        <x:v>02607.HK</x:v>
      </x:c>
      <x:c r="C1977" s="11" t="str">
        <x:v>deductedProfit</x:v>
      </x:c>
      <x:c r="D1977" s="39" t="n">
        <x:v>2477.23050887</x:v>
      </x:c>
      <x:c r="E1977" s="11" t="str">
        <x:v>CNY</x:v>
      </x:c>
      <x:c r="F1977" s="11" t="str">
        <x:v>million</x:v>
      </x:c>
      <x:c r="G1977" s="11" t="str">
        <x:v>2026H1</x:v>
      </x:c>
      <x:c r="H1977" s="11" t="str">
        <x:v>2026-08-28</x:v>
      </x:c>
      <x:c r="I1977" s="11" t="str">
        <x:v>https://static.cninfo.com.cn/finalpage/2026-08-28/1225518810.PDF</x:v>
      </x:c>
      <x:c r="J1977" s="11" t="str"/>
      <x:c r="K1977" s="11" t="str">
        <x:v>2026-08-27</x:v>
      </x:c>
      <x:c r="L1977" s="11" t="str">
        <x:v>业绩8/27新闻19:08确认收盘后已有；H原文内署8/28，交易所时分未核</x:v>
      </x:c>
      <x:c r="M1977" s="11" t="str">
        <x:v>截止日前日期，盘中时分未核</x:v>
      </x:c>
    </x:row>
    <x:row r="1978" ht="23" customHeight="1">
      <x:c r="A1978" s="11" t="str">
        <x:v>I028</x:v>
      </x:c>
      <x:c r="B1978" s="11" t="str">
        <x:v>02607.HK</x:v>
      </x:c>
      <x:c r="C1978" s="11" t="str">
        <x:v>managementAdjustedProfitRounded</x:v>
      </x:c>
      <x:c r="D1978" s="39" t="n">
        <x:v>2828</x:v>
      </x:c>
      <x:c r="E1978" s="11" t="str">
        <x:v>CNY</x:v>
      </x:c>
      <x:c r="F1978" s="11" t="str">
        <x:v>million</x:v>
      </x:c>
      <x:c r="G1978" s="11" t="str">
        <x:v>2026H1</x:v>
      </x:c>
      <x:c r="H1978" s="11" t="str">
        <x:v>2026-08-28</x:v>
      </x:c>
      <x:c r="I1978" s="11" t="str">
        <x:v>https://static.cninfo.com.cn/finalpage/2026-08-28/1225518810.PDF</x:v>
      </x:c>
      <x:c r="J1978" s="11" t="str"/>
      <x:c r="K1978" s="11" t="str">
        <x:v>2026-08-27</x:v>
      </x:c>
      <x:c r="L1978" s="11" t="str">
        <x:v>业绩8/27新闻19:08确认收盘后已有；H原文内署8/28，交易所时分未核</x:v>
      </x:c>
      <x:c r="M1978" s="11" t="str">
        <x:v>截止日前日期，盘中时分未核</x:v>
      </x:c>
    </x:row>
    <x:row r="1979" ht="23" customHeight="1">
      <x:c r="A1979" s="11" t="str">
        <x:v>I028</x:v>
      </x:c>
      <x:c r="B1979" s="11" t="str">
        <x:v>02607.HK</x:v>
      </x:c>
      <x:c r="C1979" s="11" t="str">
        <x:v>adjustedGrowthPct</x:v>
      </x:c>
      <x:c r="D1979" s="39" t="n">
        <x:v>1.65</x:v>
      </x:c>
      <x:c r="E1979" s="11" t="str">
        <x:v>not monetary</x:v>
      </x:c>
      <x:c r="F1979" s="11" t="str">
        <x:v>percent</x:v>
      </x:c>
      <x:c r="G1979" s="11" t="str">
        <x:v>2026H1</x:v>
      </x:c>
      <x:c r="H1979" s="11" t="str">
        <x:v>2026-08-28</x:v>
      </x:c>
      <x:c r="I1979" s="11" t="str">
        <x:v>https://static.cninfo.com.cn/finalpage/2026-08-28/1225518810.PDF</x:v>
      </x:c>
      <x:c r="J1979" s="11" t="str"/>
      <x:c r="K1979" s="11" t="str">
        <x:v>2026-08-27</x:v>
      </x:c>
      <x:c r="L1979" s="11" t="str">
        <x:v>业绩8/27新闻19:08确认收盘后已有；H原文内署8/28，交易所时分未核</x:v>
      </x:c>
      <x:c r="M1979" s="11" t="str">
        <x:v>截止日前日期，盘中时分未核</x:v>
      </x:c>
    </x:row>
    <x:row r="1980" ht="23" customHeight="1">
      <x:c r="A1980" s="11" t="str">
        <x:v>I028</x:v>
      </x:c>
      <x:c r="B1980" s="11" t="str">
        <x:v>02607.HK</x:v>
      </x:c>
      <x:c r="C1980" s="11" t="str">
        <x:v>profitGrowthPct</x:v>
      </x:c>
      <x:c r="D1980" s="39" t="n">
        <x:v>-21.4</x:v>
      </x:c>
      <x:c r="E1980" s="11" t="str">
        <x:v>not monetary</x:v>
      </x:c>
      <x:c r="F1980" s="11" t="str">
        <x:v>percent</x:v>
      </x:c>
      <x:c r="G1980" s="11" t="str">
        <x:v>2026H1</x:v>
      </x:c>
      <x:c r="H1980" s="11" t="str">
        <x:v>2026-08-28</x:v>
      </x:c>
      <x:c r="I1980" s="11" t="str">
        <x:v>https://static.cninfo.com.cn/finalpage/2026-08-28/1225518810.PDF</x:v>
      </x:c>
      <x:c r="J1980" s="11" t="str"/>
      <x:c r="K1980" s="11" t="str">
        <x:v>2026-08-27</x:v>
      </x:c>
      <x:c r="L1980" s="11" t="str">
        <x:v>业绩8/27新闻19:08确认收盘后已有；H原文内署8/28，交易所时分未核</x:v>
      </x:c>
      <x:c r="M1980" s="11" t="str">
        <x:v>截止日前日期，盘中时分未核</x:v>
      </x:c>
    </x:row>
    <x:row r="1981" ht="23" customHeight="1">
      <x:c r="A1981" s="11" t="str">
        <x:v>I028</x:v>
      </x:c>
      <x:c r="B1981" s="11" t="str">
        <x:v>02607.HK</x:v>
      </x:c>
      <x:c r="C1981" s="11" t="str">
        <x:v>deductedGrowthPct</x:v>
      </x:c>
      <x:c r="D1981" s="39" t="n">
        <x:v>17.98</x:v>
      </x:c>
      <x:c r="E1981" s="11" t="str">
        <x:v>not monetary</x:v>
      </x:c>
      <x:c r="F1981" s="11" t="str">
        <x:v>percent</x:v>
      </x:c>
      <x:c r="G1981" s="11" t="str">
        <x:v>2026H1</x:v>
      </x:c>
      <x:c r="H1981" s="11" t="str">
        <x:v>2026-08-28</x:v>
      </x:c>
      <x:c r="I1981" s="11" t="str">
        <x:v>https://static.cninfo.com.cn/finalpage/2026-08-28/1225518810.PDF</x:v>
      </x:c>
      <x:c r="J1981" s="11" t="str"/>
      <x:c r="K1981" s="11" t="str">
        <x:v>2026-08-27</x:v>
      </x:c>
      <x:c r="L1981" s="11" t="str">
        <x:v>业绩8/27新闻19:08确认收盘后已有；H原文内署8/28，交易所时分未核</x:v>
      </x:c>
      <x:c r="M1981" s="11" t="str">
        <x:v>截止日前日期，盘中时分未核</x:v>
      </x:c>
    </x:row>
    <x:row r="1982" ht="23" customHeight="1">
      <x:c r="A1982" s="11" t="str">
        <x:v>I028</x:v>
      </x:c>
      <x:c r="B1982" s="11" t="str">
        <x:v>02607.HK</x:v>
      </x:c>
      <x:c r="C1982" s="11" t="str">
        <x:v>totalNetProfit</x:v>
      </x:c>
      <x:c r="D1982" s="39" t="n">
        <x:v>4341.65631304</x:v>
      </x:c>
      <x:c r="E1982" s="11" t="str">
        <x:v>CNY</x:v>
      </x:c>
      <x:c r="F1982" s="11" t="str">
        <x:v>million</x:v>
      </x:c>
      <x:c r="G1982" s="11" t="str">
        <x:v>2026H1</x:v>
      </x:c>
      <x:c r="H1982" s="11" t="str">
        <x:v>2026-08-28</x:v>
      </x:c>
      <x:c r="I1982" s="11" t="str">
        <x:v>https://static.cninfo.com.cn/finalpage/2026-08-28/1225518810.PDF</x:v>
      </x:c>
      <x:c r="J1982" s="11" t="str"/>
      <x:c r="K1982" s="11" t="str">
        <x:v>2026-08-27</x:v>
      </x:c>
      <x:c r="L1982" s="11" t="str">
        <x:v>业绩8/27新闻19:08确认收盘后已有；H原文内署8/28，交易所时分未核</x:v>
      </x:c>
      <x:c r="M1982" s="11" t="str">
        <x:v>截止日前日期，盘中时分未核</x:v>
      </x:c>
    </x:row>
    <x:row r="1983" ht="23" customHeight="1">
      <x:c r="A1983" s="11" t="str">
        <x:v>I028</x:v>
      </x:c>
      <x:c r="B1983" s="11" t="str">
        <x:v>02607.HK</x:v>
      </x:c>
      <x:c r="C1983" s="11" t="str">
        <x:v>minorityProfit</x:v>
      </x:c>
      <x:c r="D1983" s="39" t="n">
        <x:v>837.20883741</x:v>
      </x:c>
      <x:c r="E1983" s="11" t="str">
        <x:v>CNY</x:v>
      </x:c>
      <x:c r="F1983" s="11" t="str">
        <x:v>million</x:v>
      </x:c>
      <x:c r="G1983" s="11" t="str">
        <x:v>2026H1</x:v>
      </x:c>
      <x:c r="H1983" s="11" t="str">
        <x:v>2026-08-28</x:v>
      </x:c>
      <x:c r="I1983" s="11" t="str">
        <x:v>https://static.cninfo.com.cn/finalpage/2026-08-28/1225518810.PDF</x:v>
      </x:c>
      <x:c r="J1983" s="11" t="str"/>
      <x:c r="K1983" s="11" t="str">
        <x:v>2026-08-27</x:v>
      </x:c>
      <x:c r="L1983" s="11" t="str">
        <x:v>业绩8/27新闻19:08确认收盘后已有；H原文内署8/28，交易所时分未核</x:v>
      </x:c>
      <x:c r="M1983" s="11" t="str">
        <x:v>截止日前日期，盘中时分未核</x:v>
      </x:c>
    </x:row>
    <x:row r="1984" ht="23" customHeight="1">
      <x:c r="A1984" s="11" t="str">
        <x:v>I028</x:v>
      </x:c>
      <x:c r="B1984" s="11" t="str">
        <x:v>02607.HK</x:v>
      </x:c>
      <x:c r="C1984" s="11" t="str">
        <x:v>nonrecurring</x:v>
      </x:c>
      <x:c r="D1984" s="39" t="n">
        <x:v>1027.21696676</x:v>
      </x:c>
      <x:c r="E1984" s="11" t="str">
        <x:v>CNY</x:v>
      </x:c>
      <x:c r="F1984" s="11" t="str">
        <x:v>million</x:v>
      </x:c>
      <x:c r="G1984" s="11" t="str">
        <x:v>2026H1</x:v>
      </x:c>
      <x:c r="H1984" s="11" t="str">
        <x:v>2026-08-28</x:v>
      </x:c>
      <x:c r="I1984" s="11" t="str">
        <x:v>https://static.cninfo.com.cn/finalpage/2026-08-28/1225518810.PDF</x:v>
      </x:c>
      <x:c r="J1984" s="11" t="str"/>
      <x:c r="K1984" s="11" t="str">
        <x:v>2026-08-27</x:v>
      </x:c>
      <x:c r="L1984" s="11" t="str">
        <x:v>业绩8/27新闻19:08确认收盘后已有；H原文内署8/28，交易所时分未核</x:v>
      </x:c>
      <x:c r="M1984" s="11" t="str">
        <x:v>截止日前日期，盘中时分未核</x:v>
      </x:c>
    </x:row>
    <x:row r="1985" ht="23" customHeight="1">
      <x:c r="A1985" s="11" t="str">
        <x:v>I028</x:v>
      </x:c>
      <x:c r="B1985" s="11" t="str">
        <x:v>02607.HK</x:v>
      </x:c>
      <x:c r="C1985" s="11" t="str">
        <x:v>EPSReported</x:v>
      </x:c>
      <x:c r="D1985" s="39" t="n">
        <x:v>0.95</x:v>
      </x:c>
      <x:c r="E1985" s="11" t="str">
        <x:v>CNY</x:v>
      </x:c>
      <x:c r="F1985" s="11" t="str">
        <x:v>per ordinary share</x:v>
      </x:c>
      <x:c r="G1985" s="11" t="str">
        <x:v>2026H1</x:v>
      </x:c>
      <x:c r="H1985" s="11" t="str">
        <x:v>2026-08-28</x:v>
      </x:c>
      <x:c r="I1985" s="11" t="str">
        <x:v>https://static.cninfo.com.cn/finalpage/2026-08-28/1225518810.PDF</x:v>
      </x:c>
      <x:c r="J1985" s="11" t="str"/>
      <x:c r="K1985" s="11" t="str">
        <x:v>2026-08-27</x:v>
      </x:c>
      <x:c r="L1985" s="11" t="str">
        <x:v>业绩8/27新闻19:08确认收盘后已有；H原文内署8/28，交易所时分未核</x:v>
      </x:c>
      <x:c r="M1985" s="11" t="str">
        <x:v>截止日前日期，盘中时分未核</x:v>
      </x:c>
    </x:row>
    <x:row r="1986" ht="23" customHeight="1">
      <x:c r="A1986" s="11" t="str">
        <x:v>I028</x:v>
      </x:c>
      <x:c r="B1986" s="11" t="str">
        <x:v>02607.HK</x:v>
      </x:c>
      <x:c r="C1986" s="11" t="str">
        <x:v>EPSDeducted</x:v>
      </x:c>
      <x:c r="D1986" s="39" t="n">
        <x:v>0.67</x:v>
      </x:c>
      <x:c r="E1986" s="11" t="str">
        <x:v>CNY</x:v>
      </x:c>
      <x:c r="F1986" s="11" t="str">
        <x:v>per ordinary share</x:v>
      </x:c>
      <x:c r="G1986" s="11" t="str">
        <x:v>2026H1</x:v>
      </x:c>
      <x:c r="H1986" s="11" t="str">
        <x:v>2026-08-28</x:v>
      </x:c>
      <x:c r="I1986" s="11" t="str">
        <x:v>https://static.cninfo.com.cn/finalpage/2026-08-28/1225518810.PDF</x:v>
      </x:c>
      <x:c r="J1986" s="11" t="str"/>
      <x:c r="K1986" s="11" t="str">
        <x:v>2026-08-27</x:v>
      </x:c>
      <x:c r="L1986" s="11" t="str">
        <x:v>业绩8/27新闻19:08确认收盘后已有；H原文内署8/28，交易所时分未核</x:v>
      </x:c>
      <x:c r="M1986" s="11" t="str">
        <x:v>截止日前日期，盘中时分未核</x:v>
      </x:c>
    </x:row>
    <x:row r="1987" ht="23" customHeight="1">
      <x:c r="A1987" s="11" t="str">
        <x:v>I028</x:v>
      </x:c>
      <x:c r="B1987" s="11" t="str">
        <x:v>02607.HK</x:v>
      </x:c>
      <x:c r="C1987" s="11" t="str">
        <x:v>OCF</x:v>
      </x:c>
      <x:c r="D1987" s="39" t="n">
        <x:v>4449.5092481</x:v>
      </x:c>
      <x:c r="E1987" s="11" t="str">
        <x:v>CNY</x:v>
      </x:c>
      <x:c r="F1987" s="11" t="str">
        <x:v>million</x:v>
      </x:c>
      <x:c r="G1987" s="11" t="str">
        <x:v>2026H1</x:v>
      </x:c>
      <x:c r="H1987" s="11" t="str">
        <x:v>2026-08-28</x:v>
      </x:c>
      <x:c r="I1987" s="11" t="str">
        <x:v>https://static.cninfo.com.cn/finalpage/2026-08-28/1225518810.PDF</x:v>
      </x:c>
      <x:c r="J1987" s="11" t="str"/>
      <x:c r="K1987" s="11" t="str">
        <x:v>2026-08-27</x:v>
      </x:c>
      <x:c r="L1987" s="11" t="str">
        <x:v>业绩8/27新闻19:08确认收盘后已有；H原文内署8/28，交易所时分未核</x:v>
      </x:c>
      <x:c r="M1987" s="11" t="str">
        <x:v>截止日前日期，盘中时分未核</x:v>
      </x:c>
    </x:row>
    <x:row r="1988" ht="23" customHeight="1">
      <x:c r="A1988" s="11" t="str">
        <x:v>I028</x:v>
      </x:c>
      <x:c r="B1988" s="11" t="str">
        <x:v>02607.HK</x:v>
      </x:c>
      <x:c r="C1988" s="11" t="str">
        <x:v>capex</x:v>
      </x:c>
      <x:c r="D1988" s="39" t="n">
        <x:v>1040.9880056</x:v>
      </x:c>
      <x:c r="E1988" s="11" t="str">
        <x:v>CNY</x:v>
      </x:c>
      <x:c r="F1988" s="11" t="str">
        <x:v>million</x:v>
      </x:c>
      <x:c r="G1988" s="11" t="str">
        <x:v>2026H1</x:v>
      </x:c>
      <x:c r="H1988" s="11" t="str">
        <x:v>2026-08-28</x:v>
      </x:c>
      <x:c r="I1988" s="11" t="str">
        <x:v>https://static.cninfo.com.cn/finalpage/2026-08-28/1225518810.PDF</x:v>
      </x:c>
      <x:c r="J1988" s="11" t="str"/>
      <x:c r="K1988" s="11" t="str">
        <x:v>2026-08-27</x:v>
      </x:c>
      <x:c r="L1988" s="11" t="str">
        <x:v>业绩8/27新闻19:08确认收盘后已有；H原文内署8/28，交易所时分未核</x:v>
      </x:c>
      <x:c r="M1988" s="11" t="str">
        <x:v>截止日前日期，盘中时分未核</x:v>
      </x:c>
    </x:row>
    <x:row r="1989" ht="23" customHeight="1">
      <x:c r="A1989" s="11" t="str">
        <x:v>I028</x:v>
      </x:c>
      <x:c r="B1989" s="11" t="str">
        <x:v>02607.HK</x:v>
      </x:c>
      <x:c r="C1989" s="11" t="str">
        <x:v>FCF</x:v>
      </x:c>
      <x:c r="D1989" s="39" t="n">
        <x:v>3408.5212425</x:v>
      </x:c>
      <x:c r="E1989" s="11" t="str">
        <x:v>CNY</x:v>
      </x:c>
      <x:c r="F1989" s="11" t="str">
        <x:v>million</x:v>
      </x:c>
      <x:c r="G1989" s="11" t="str">
        <x:v>2026H1</x:v>
      </x:c>
      <x:c r="H1989" s="11" t="str">
        <x:v>2026-08-28</x:v>
      </x:c>
      <x:c r="I1989" s="11" t="str">
        <x:v>https://static.cninfo.com.cn/finalpage/2026-08-28/1225518810.PDF</x:v>
      </x:c>
      <x:c r="J1989" s="11" t="str"/>
      <x:c r="K1989" s="11" t="str">
        <x:v>2026-08-27</x:v>
      </x:c>
      <x:c r="L1989" s="11" t="str">
        <x:v>业绩8/27新闻19:08确认收盘后已有；H原文内署8/28，交易所时分未核</x:v>
      </x:c>
      <x:c r="M1989" s="11" t="str">
        <x:v>截止日前日期，盘中时分未核</x:v>
      </x:c>
    </x:row>
    <x:row r="1990" ht="23" customHeight="1">
      <x:c r="A1990" s="11" t="str">
        <x:v>I028</x:v>
      </x:c>
      <x:c r="B1990" s="11" t="str">
        <x:v>02607.HK</x:v>
      </x:c>
      <x:c r="C1990" s="11" t="str">
        <x:v>segmentCapitalExpenditure</x:v>
      </x:c>
      <x:c r="D1990" s="39" t="n">
        <x:v>708.93917385</x:v>
      </x:c>
      <x:c r="E1990" s="11" t="str">
        <x:v>CNY</x:v>
      </x:c>
      <x:c r="F1990" s="11" t="str">
        <x:v>million</x:v>
      </x:c>
      <x:c r="G1990" s="11" t="str">
        <x:v>2026H1</x:v>
      </x:c>
      <x:c r="H1990" s="11" t="str">
        <x:v>2026-08-28</x:v>
      </x:c>
      <x:c r="I1990" s="11" t="str">
        <x:v>https://static.cninfo.com.cn/finalpage/2026-08-28/1225518810.PDF</x:v>
      </x:c>
      <x:c r="J1990" s="11" t="str"/>
      <x:c r="K1990" s="11" t="str">
        <x:v>2026-08-27</x:v>
      </x:c>
      <x:c r="L1990" s="11" t="str">
        <x:v>业绩8/27新闻19:08确认收盘后已有；H原文内署8/28，交易所时分未核</x:v>
      </x:c>
      <x:c r="M1990" s="11" t="str">
        <x:v>截止日前日期，盘中时分未核</x:v>
      </x:c>
    </x:row>
    <x:row r="1991" ht="23" customHeight="1">
      <x:c r="A1991" s="11" t="str">
        <x:v>I028</x:v>
      </x:c>
      <x:c r="B1991" s="11" t="str">
        <x:v>02607.HK</x:v>
      </x:c>
      <x:c r="C1991" s="11" t="str">
        <x:v>cashBank</x:v>
      </x:c>
      <x:c r="D1991" s="39" t="n">
        <x:v>36572.96851383</x:v>
      </x:c>
      <x:c r="E1991" s="11" t="str">
        <x:v>CNY</x:v>
      </x:c>
      <x:c r="F1991" s="11" t="str">
        <x:v>million</x:v>
      </x:c>
      <x:c r="G1991" s="11" t="str">
        <x:v>2026H1</x:v>
      </x:c>
      <x:c r="H1991" s="11" t="str">
        <x:v>2026-08-28</x:v>
      </x:c>
      <x:c r="I1991" s="11" t="str">
        <x:v>https://static.cninfo.com.cn/finalpage/2026-08-28/1225518810.PDF</x:v>
      </x:c>
      <x:c r="J1991" s="11" t="str"/>
      <x:c r="K1991" s="11" t="str">
        <x:v>2026-08-27</x:v>
      </x:c>
      <x:c r="L1991" s="11" t="str">
        <x:v>业绩8/27新闻19:08确认收盘后已有；H原文内署8/28，交易所时分未核</x:v>
      </x:c>
      <x:c r="M1991" s="11" t="str">
        <x:v>截止日前日期，盘中时分未核</x:v>
      </x:c>
    </x:row>
    <x:row r="1992" ht="23" customHeight="1">
      <x:c r="A1992" s="11" t="str">
        <x:v>I028</x:v>
      </x:c>
      <x:c r="B1992" s="11" t="str">
        <x:v>02607.HK</x:v>
      </x:c>
      <x:c r="C1992" s="11" t="str">
        <x:v>cashCashEquivalents</x:v>
      </x:c>
      <x:c r="D1992" s="39" t="n">
        <x:v>32284.10492605</x:v>
      </x:c>
      <x:c r="E1992" s="11" t="str">
        <x:v>CNY</x:v>
      </x:c>
      <x:c r="F1992" s="11" t="str">
        <x:v>million</x:v>
      </x:c>
      <x:c r="G1992" s="11" t="str">
        <x:v>2026H1</x:v>
      </x:c>
      <x:c r="H1992" s="11" t="str">
        <x:v>2026-08-28</x:v>
      </x:c>
      <x:c r="I1992" s="11" t="str">
        <x:v>https://static.cninfo.com.cn/finalpage/2026-08-28/1225518810.PDF</x:v>
      </x:c>
      <x:c r="J1992" s="11" t="str"/>
      <x:c r="K1992" s="11" t="str">
        <x:v>2026-08-27</x:v>
      </x:c>
      <x:c r="L1992" s="11" t="str">
        <x:v>业绩8/27新闻19:08确认收盘后已有；H原文内署8/28，交易所时分未核</x:v>
      </x:c>
      <x:c r="M1992" s="11" t="str">
        <x:v>截止日前日期，盘中时分未核</x:v>
      </x:c>
    </x:row>
    <x:row r="1993" ht="23" customHeight="1">
      <x:c r="A1993" s="11" t="str">
        <x:v>I028</x:v>
      </x:c>
      <x:c r="B1993" s="11" t="str">
        <x:v>02607.HK</x:v>
      </x:c>
      <x:c r="C1993" s="11" t="str">
        <x:v>otherCashOutsideCashEq</x:v>
      </x:c>
      <x:c r="D1993" s="39" t="n">
        <x:v>4288.86358778</x:v>
      </x:c>
      <x:c r="E1993" s="11" t="str">
        <x:v>CNY</x:v>
      </x:c>
      <x:c r="F1993" s="11" t="str">
        <x:v>million</x:v>
      </x:c>
      <x:c r="G1993" s="11" t="str">
        <x:v>2026H1</x:v>
      </x:c>
      <x:c r="H1993" s="11" t="str">
        <x:v>2026-08-28</x:v>
      </x:c>
      <x:c r="I1993" s="11" t="str">
        <x:v>https://static.cninfo.com.cn/finalpage/2026-08-28/1225518810.PDF</x:v>
      </x:c>
      <x:c r="J1993" s="11" t="str"/>
      <x:c r="K1993" s="11" t="str">
        <x:v>2026-08-27</x:v>
      </x:c>
      <x:c r="L1993" s="11" t="str">
        <x:v>业绩8/27新闻19:08确认收盘后已有；H原文内署8/28，交易所时分未核</x:v>
      </x:c>
      <x:c r="M1993" s="11" t="str">
        <x:v>截止日前日期，盘中时分未核</x:v>
      </x:c>
    </x:row>
    <x:row r="1994" ht="23" customHeight="1">
      <x:c r="A1994" s="11" t="str">
        <x:v>I028</x:v>
      </x:c>
      <x:c r="B1994" s="11" t="str">
        <x:v>02607.HK</x:v>
      </x:c>
      <x:c r="C1994" s="11" t="str">
        <x:v>acceptanceGuarantee</x:v>
      </x:c>
      <x:c r="D1994" s="39" t="n">
        <x:v>1845.21013503</x:v>
      </x:c>
      <x:c r="E1994" s="11" t="str">
        <x:v>CNY</x:v>
      </x:c>
      <x:c r="F1994" s="11" t="str">
        <x:v>million</x:v>
      </x:c>
      <x:c r="G1994" s="11" t="str">
        <x:v>2026H1</x:v>
      </x:c>
      <x:c r="H1994" s="11" t="str">
        <x:v>2026-08-28</x:v>
      </x:c>
      <x:c r="I1994" s="11" t="str">
        <x:v>https://static.cninfo.com.cn/finalpage/2026-08-28/1225518810.PDF</x:v>
      </x:c>
      <x:c r="J1994" s="11" t="str"/>
      <x:c r="K1994" s="11" t="str">
        <x:v>2026-08-27</x:v>
      </x:c>
      <x:c r="L1994" s="11" t="str">
        <x:v>业绩8/27新闻19:08确认收盘后已有；H原文内署8/28，交易所时分未核</x:v>
      </x:c>
      <x:c r="M1994" s="11" t="str">
        <x:v>截止日前日期，盘中时分未核</x:v>
      </x:c>
    </x:row>
    <x:row r="1995" ht="23" customHeight="1">
      <x:c r="A1995" s="11" t="str">
        <x:v>I028</x:v>
      </x:c>
      <x:c r="B1995" s="11" t="str">
        <x:v>02607.HK</x:v>
      </x:c>
      <x:c r="C1995" s="11" t="str">
        <x:v>LCGuarantee</x:v>
      </x:c>
      <x:c r="D1995" s="39" t="n">
        <x:v>35.09898326</x:v>
      </x:c>
      <x:c r="E1995" s="11" t="str">
        <x:v>CNY</x:v>
      </x:c>
      <x:c r="F1995" s="11" t="str">
        <x:v>million</x:v>
      </x:c>
      <x:c r="G1995" s="11" t="str">
        <x:v>2026H1</x:v>
      </x:c>
      <x:c r="H1995" s="11" t="str">
        <x:v>2026-08-28</x:v>
      </x:c>
      <x:c r="I1995" s="11" t="str">
        <x:v>https://static.cninfo.com.cn/finalpage/2026-08-28/1225518810.PDF</x:v>
      </x:c>
      <x:c r="J1995" s="11" t="str"/>
      <x:c r="K1995" s="11" t="str">
        <x:v>2026-08-27</x:v>
      </x:c>
      <x:c r="L1995" s="11" t="str">
        <x:v>业绩8/27新闻19:08确认收盘后已有；H原文内署8/28，交易所时分未核</x:v>
      </x:c>
      <x:c r="M1995" s="11" t="str">
        <x:v>截止日前日期，盘中时分未核</x:v>
      </x:c>
    </x:row>
    <x:row r="1996" ht="23" customHeight="1">
      <x:c r="A1996" s="11" t="str">
        <x:v>I028</x:v>
      </x:c>
      <x:c r="B1996" s="11" t="str">
        <x:v>02607.HK</x:v>
      </x:c>
      <x:c r="C1996" s="11" t="str">
        <x:v>termDepositOver3Months</x:v>
      </x:c>
      <x:c r="D1996" s="39" t="n">
        <x:v>1755</x:v>
      </x:c>
      <x:c r="E1996" s="11" t="str">
        <x:v>CNY</x:v>
      </x:c>
      <x:c r="F1996" s="11" t="str">
        <x:v>million</x:v>
      </x:c>
      <x:c r="G1996" s="11" t="str">
        <x:v>2026H1</x:v>
      </x:c>
      <x:c r="H1996" s="11" t="str">
        <x:v>2026-08-28</x:v>
      </x:c>
      <x:c r="I1996" s="11" t="str">
        <x:v>https://static.cninfo.com.cn/finalpage/2026-08-28/1225518810.PDF</x:v>
      </x:c>
      <x:c r="J1996" s="11" t="str"/>
      <x:c r="K1996" s="11" t="str">
        <x:v>2026-08-27</x:v>
      </x:c>
      <x:c r="L1996" s="11" t="str">
        <x:v>业绩8/27新闻19:08确认收盘后已有；H原文内署8/28，交易所时分未核</x:v>
      </x:c>
      <x:c r="M1996" s="11" t="str">
        <x:v>截止日前日期，盘中时分未核</x:v>
      </x:c>
    </x:row>
    <x:row r="1997" ht="23" customHeight="1">
      <x:c r="A1997" s="11" t="str">
        <x:v>I028</x:v>
      </x:c>
      <x:c r="B1997" s="11" t="str">
        <x:v>02607.HK</x:v>
      </x:c>
      <x:c r="C1997" s="11" t="str">
        <x:v>otherRestrictedCash</x:v>
      </x:c>
      <x:c r="D1997" s="39" t="n">
        <x:v>653.55446949</x:v>
      </x:c>
      <x:c r="E1997" s="11" t="str">
        <x:v>CNY</x:v>
      </x:c>
      <x:c r="F1997" s="11" t="str">
        <x:v>million</x:v>
      </x:c>
      <x:c r="G1997" s="11" t="str">
        <x:v>2026H1</x:v>
      </x:c>
      <x:c r="H1997" s="11" t="str">
        <x:v>2026-08-28</x:v>
      </x:c>
      <x:c r="I1997" s="11" t="str">
        <x:v>https://static.cninfo.com.cn/finalpage/2026-08-28/1225518810.PDF</x:v>
      </x:c>
      <x:c r="J1997" s="11" t="str"/>
      <x:c r="K1997" s="11" t="str">
        <x:v>2026-08-27</x:v>
      </x:c>
      <x:c r="L1997" s="11" t="str">
        <x:v>业绩8/27新闻19:08确认收盘后已有；H原文内署8/28，交易所时分未核</x:v>
      </x:c>
      <x:c r="M1997" s="11" t="str">
        <x:v>截止日前日期，盘中时分未核</x:v>
      </x:c>
    </x:row>
    <x:row r="1998" ht="23" customHeight="1">
      <x:c r="A1998" s="11" t="str">
        <x:v>I028</x:v>
      </x:c>
      <x:c r="B1998" s="11" t="str">
        <x:v>02607.HK</x:v>
      </x:c>
      <x:c r="C1998" s="11" t="str">
        <x:v>shortDebt</x:v>
      </x:c>
      <x:c r="D1998" s="39" t="n">
        <x:v>46528.51626524</x:v>
      </x:c>
      <x:c r="E1998" s="11" t="str">
        <x:v>CNY</x:v>
      </x:c>
      <x:c r="F1998" s="11" t="str">
        <x:v>million</x:v>
      </x:c>
      <x:c r="G1998" s="11" t="str">
        <x:v>2026H1</x:v>
      </x:c>
      <x:c r="H1998" s="11" t="str">
        <x:v>2026-08-28</x:v>
      </x:c>
      <x:c r="I1998" s="11" t="str">
        <x:v>https://static.cninfo.com.cn/finalpage/2026-08-28/1225518810.PDF</x:v>
      </x:c>
      <x:c r="J1998" s="11" t="str"/>
      <x:c r="K1998" s="11" t="str">
        <x:v>2026-08-27</x:v>
      </x:c>
      <x:c r="L1998" s="11" t="str">
        <x:v>业绩8/27新闻19:08确认收盘后已有；H原文内署8/28，交易所时分未核</x:v>
      </x:c>
      <x:c r="M1998" s="11" t="str">
        <x:v>截止日前日期，盘中时分未核</x:v>
      </x:c>
    </x:row>
    <x:row r="1999" ht="23" customHeight="1">
      <x:c r="A1999" s="11" t="str">
        <x:v>I028</x:v>
      </x:c>
      <x:c r="B1999" s="11" t="str">
        <x:v>02607.HK</x:v>
      </x:c>
      <x:c r="C1999" s="11" t="str">
        <x:v>longDebt</x:v>
      </x:c>
      <x:c r="D1999" s="39" t="n">
        <x:v>3277.06672923</x:v>
      </x:c>
      <x:c r="E1999" s="11" t="str">
        <x:v>CNY</x:v>
      </x:c>
      <x:c r="F1999" s="11" t="str">
        <x:v>million</x:v>
      </x:c>
      <x:c r="G1999" s="11" t="str">
        <x:v>2026H1</x:v>
      </x:c>
      <x:c r="H1999" s="11" t="str">
        <x:v>2026-08-28</x:v>
      </x:c>
      <x:c r="I1999" s="11" t="str">
        <x:v>https://static.cninfo.com.cn/finalpage/2026-08-28/1225518810.PDF</x:v>
      </x:c>
      <x:c r="J1999" s="11" t="str"/>
      <x:c r="K1999" s="11" t="str">
        <x:v>2026-08-27</x:v>
      </x:c>
      <x:c r="L1999" s="11" t="str">
        <x:v>业绩8/27新闻19:08确认收盘后已有；H原文内署8/28，交易所时分未核</x:v>
      </x:c>
      <x:c r="M1999" s="11" t="str">
        <x:v>截止日前日期，盘中时分未核</x:v>
      </x:c>
    </x:row>
    <x:row r="2000" ht="23" customHeight="1">
      <x:c r="A2000" s="11" t="str">
        <x:v>I028</x:v>
      </x:c>
      <x:c r="B2000" s="11" t="str">
        <x:v>02607.HK</x:v>
      </x:c>
      <x:c r="C2000" s="11" t="str">
        <x:v>currentLongDebt</x:v>
      </x:c>
      <x:c r="D2000" s="39" t="n">
        <x:v>1121.79928813</x:v>
      </x:c>
      <x:c r="E2000" s="11" t="str">
        <x:v>CNY</x:v>
      </x:c>
      <x:c r="F2000" s="11" t="str">
        <x:v>million</x:v>
      </x:c>
      <x:c r="G2000" s="11" t="str">
        <x:v>2026H1</x:v>
      </x:c>
      <x:c r="H2000" s="11" t="str">
        <x:v>2026-08-28</x:v>
      </x:c>
      <x:c r="I2000" s="11" t="str">
        <x:v>https://static.cninfo.com.cn/finalpage/2026-08-28/1225518810.PDF</x:v>
      </x:c>
      <x:c r="J2000" s="11" t="str"/>
      <x:c r="K2000" s="11" t="str">
        <x:v>2026-08-27</x:v>
      </x:c>
      <x:c r="L2000" s="11" t="str">
        <x:v>业绩8/27新闻19:08确认收盘后已有；H原文内署8/28，交易所时分未核</x:v>
      </x:c>
      <x:c r="M2000" s="11" t="str">
        <x:v>截止日前日期，盘中时分未核</x:v>
      </x:c>
    </x:row>
    <x:row r="2001" ht="23" customHeight="1">
      <x:c r="A2001" s="11" t="str">
        <x:v>I028</x:v>
      </x:c>
      <x:c r="B2001" s="11" t="str">
        <x:v>02607.HK</x:v>
      </x:c>
      <x:c r="C2001" s="11" t="str">
        <x:v>bankDebtTotal</x:v>
      </x:c>
      <x:c r="D2001" s="39" t="n">
        <x:v>50927.3822826</x:v>
      </x:c>
      <x:c r="E2001" s="11" t="str">
        <x:v>CNY</x:v>
      </x:c>
      <x:c r="F2001" s="11" t="str">
        <x:v>million</x:v>
      </x:c>
      <x:c r="G2001" s="11" t="str">
        <x:v>2026H1</x:v>
      </x:c>
      <x:c r="H2001" s="11" t="str">
        <x:v>2026-08-28</x:v>
      </x:c>
      <x:c r="I2001" s="11" t="str">
        <x:v>https://static.cninfo.com.cn/finalpage/2026-08-28/1225518810.PDF</x:v>
      </x:c>
      <x:c r="J2001" s="11" t="str"/>
      <x:c r="K2001" s="11" t="str">
        <x:v>2026-08-27</x:v>
      </x:c>
      <x:c r="L2001" s="11" t="str">
        <x:v>业绩8/27新闻19:08确认收盘后已有；H原文内署8/28，交易所时分未核</x:v>
      </x:c>
      <x:c r="M2001" s="11" t="str">
        <x:v>截止日前日期，盘中时分未核</x:v>
      </x:c>
    </x:row>
    <x:row r="2002" ht="23" customHeight="1">
      <x:c r="A2002" s="11" t="str">
        <x:v>I028</x:v>
      </x:c>
      <x:c r="B2002" s="11" t="str">
        <x:v>02607.HK</x:v>
      </x:c>
      <x:c r="C2002" s="11" t="str">
        <x:v>commercialPaperTotal</x:v>
      </x:c>
      <x:c r="D2002" s="39" t="n">
        <x:v>6021.15616438</x:v>
      </x:c>
      <x:c r="E2002" s="11" t="str">
        <x:v>CNY</x:v>
      </x:c>
      <x:c r="F2002" s="11" t="str">
        <x:v>million</x:v>
      </x:c>
      <x:c r="G2002" s="11" t="str">
        <x:v>2026H1</x:v>
      </x:c>
      <x:c r="H2002" s="11" t="str">
        <x:v>2026-08-28</x:v>
      </x:c>
      <x:c r="I2002" s="11" t="str">
        <x:v>https://static.cninfo.com.cn/finalpage/2026-08-28/1225518810.PDF</x:v>
      </x:c>
      <x:c r="J2002" s="11" t="str"/>
      <x:c r="K2002" s="11" t="str">
        <x:v>2026-08-27</x:v>
      </x:c>
      <x:c r="L2002" s="11" t="str">
        <x:v>业绩8/27新闻19:08确认收盘后已有；H原文内署8/28，交易所时分未核</x:v>
      </x:c>
      <x:c r="M2002" s="11" t="str">
        <x:v>截止日前日期，盘中时分未核</x:v>
      </x:c>
    </x:row>
    <x:row r="2003" ht="23" customHeight="1">
      <x:c r="A2003" s="11" t="str">
        <x:v>I028</x:v>
      </x:c>
      <x:c r="B2003" s="11" t="str">
        <x:v>02607.HK</x:v>
      </x:c>
      <x:c r="C2003" s="11" t="str">
        <x:v>leaseDebtTotal</x:v>
      </x:c>
      <x:c r="D2003" s="39" t="n">
        <x:v>1956.71011153</x:v>
      </x:c>
      <x:c r="E2003" s="11" t="str">
        <x:v>CNY</x:v>
      </x:c>
      <x:c r="F2003" s="11" t="str">
        <x:v>million</x:v>
      </x:c>
      <x:c r="G2003" s="11" t="str">
        <x:v>2026H1</x:v>
      </x:c>
      <x:c r="H2003" s="11" t="str">
        <x:v>2026-08-28</x:v>
      </x:c>
      <x:c r="I2003" s="11" t="str">
        <x:v>https://static.cninfo.com.cn/finalpage/2026-08-28/1225518810.PDF</x:v>
      </x:c>
      <x:c r="J2003" s="11" t="str"/>
      <x:c r="K2003" s="11" t="str">
        <x:v>2026-08-27</x:v>
      </x:c>
      <x:c r="L2003" s="11" t="str">
        <x:v>业绩8/27新闻19:08确认收盘后已有；H原文内署8/28，交易所时分未核</x:v>
      </x:c>
      <x:c r="M2003" s="11" t="str">
        <x:v>截止日前日期，盘中时分未核</x:v>
      </x:c>
    </x:row>
    <x:row r="2004" ht="23" customHeight="1">
      <x:c r="A2004" s="11" t="str">
        <x:v>I028</x:v>
      </x:c>
      <x:c r="B2004" s="11" t="str">
        <x:v>02607.HK</x:v>
      </x:c>
      <x:c r="C2004" s="11" t="str">
        <x:v>totalAssets</x:v>
      </x:c>
      <x:c r="D2004" s="39" t="n">
        <x:v>240769.41844923</x:v>
      </x:c>
      <x:c r="E2004" s="11" t="str">
        <x:v>CNY</x:v>
      </x:c>
      <x:c r="F2004" s="11" t="str">
        <x:v>million</x:v>
      </x:c>
      <x:c r="G2004" s="11" t="str">
        <x:v>2026H1</x:v>
      </x:c>
      <x:c r="H2004" s="11" t="str">
        <x:v>2026-08-28</x:v>
      </x:c>
      <x:c r="I2004" s="11" t="str">
        <x:v>https://static.cninfo.com.cn/finalpage/2026-08-28/1225518810.PDF</x:v>
      </x:c>
      <x:c r="J2004" s="11" t="str"/>
      <x:c r="K2004" s="11" t="str">
        <x:v>2026-08-27</x:v>
      </x:c>
      <x:c r="L2004" s="11" t="str">
        <x:v>业绩8/27新闻19:08确认收盘后已有；H原文内署8/28，交易所时分未核</x:v>
      </x:c>
      <x:c r="M2004" s="11" t="str">
        <x:v>截止日前日期，盘中时分未核</x:v>
      </x:c>
    </x:row>
    <x:row r="2005" ht="23" customHeight="1">
      <x:c r="A2005" s="11" t="str">
        <x:v>I028</x:v>
      </x:c>
      <x:c r="B2005" s="11" t="str">
        <x:v>02607.HK</x:v>
      </x:c>
      <x:c r="C2005" s="11" t="str">
        <x:v>totalLiabilities</x:v>
      </x:c>
      <x:c r="D2005" s="39" t="n">
        <x:v>147983.63863047</x:v>
      </x:c>
      <x:c r="E2005" s="11" t="str">
        <x:v>CNY</x:v>
      </x:c>
      <x:c r="F2005" s="11" t="str">
        <x:v>million</x:v>
      </x:c>
      <x:c r="G2005" s="11" t="str">
        <x:v>2026H1</x:v>
      </x:c>
      <x:c r="H2005" s="11" t="str">
        <x:v>2026-08-28</x:v>
      </x:c>
      <x:c r="I2005" s="11" t="str">
        <x:v>https://static.cninfo.com.cn/finalpage/2026-08-28/1225518810.PDF</x:v>
      </x:c>
      <x:c r="J2005" s="11" t="str"/>
      <x:c r="K2005" s="11" t="str">
        <x:v>2026-08-27</x:v>
      </x:c>
      <x:c r="L2005" s="11" t="str">
        <x:v>业绩8/27新闻19:08确认收盘后已有；H原文内署8/28，交易所时分未核</x:v>
      </x:c>
      <x:c r="M2005" s="11" t="str">
        <x:v>截止日前日期，盘中时分未核</x:v>
      </x:c>
    </x:row>
    <x:row r="2006" ht="23" customHeight="1">
      <x:c r="A2006" s="11" t="str">
        <x:v>I028</x:v>
      </x:c>
      <x:c r="B2006" s="11" t="str">
        <x:v>02607.HK</x:v>
      </x:c>
      <x:c r="C2006" s="11" t="str">
        <x:v>parentEquity</x:v>
      </x:c>
      <x:c r="D2006" s="39" t="n">
        <x:v>78347.95589737</x:v>
      </x:c>
      <x:c r="E2006" s="11" t="str">
        <x:v>CNY</x:v>
      </x:c>
      <x:c r="F2006" s="11" t="str">
        <x:v>million</x:v>
      </x:c>
      <x:c r="G2006" s="11" t="str">
        <x:v>2026H1</x:v>
      </x:c>
      <x:c r="H2006" s="11" t="str">
        <x:v>2026-08-28</x:v>
      </x:c>
      <x:c r="I2006" s="11" t="str">
        <x:v>https://static.cninfo.com.cn/finalpage/2026-08-28/1225518810.PDF</x:v>
      </x:c>
      <x:c r="J2006" s="11" t="str"/>
      <x:c r="K2006" s="11" t="str">
        <x:v>2026-08-27</x:v>
      </x:c>
      <x:c r="L2006" s="11" t="str">
        <x:v>业绩8/27新闻19:08确认收盘后已有；H原文内署8/28，交易所时分未核</x:v>
      </x:c>
      <x:c r="M2006" s="11" t="str">
        <x:v>截止日前日期，盘中时分未核</x:v>
      </x:c>
    </x:row>
    <x:row r="2007" ht="23" customHeight="1">
      <x:c r="A2007" s="11" t="str">
        <x:v>I028</x:v>
      </x:c>
      <x:c r="B2007" s="11" t="str">
        <x:v>02607.HK</x:v>
      </x:c>
      <x:c r="C2007" s="11" t="str">
        <x:v>minorityEquity</x:v>
      </x:c>
      <x:c r="D2007" s="39" t="n">
        <x:v>14437.82392139</x:v>
      </x:c>
      <x:c r="E2007" s="11" t="str">
        <x:v>CNY</x:v>
      </x:c>
      <x:c r="F2007" s="11" t="str">
        <x:v>million</x:v>
      </x:c>
      <x:c r="G2007" s="11" t="str">
        <x:v>2026H1</x:v>
      </x:c>
      <x:c r="H2007" s="11" t="str">
        <x:v>2026-08-28</x:v>
      </x:c>
      <x:c r="I2007" s="11" t="str">
        <x:v>https://static.cninfo.com.cn/finalpage/2026-08-28/1225518810.PDF</x:v>
      </x:c>
      <x:c r="J2007" s="11" t="str"/>
      <x:c r="K2007" s="11" t="str">
        <x:v>2026-08-27</x:v>
      </x:c>
      <x:c r="L2007" s="11" t="str">
        <x:v>业绩8/27新闻19:08确认收盘后已有；H原文内署8/28，交易所时分未核</x:v>
      </x:c>
      <x:c r="M2007" s="11" t="str">
        <x:v>截止日前日期，盘中时分未核</x:v>
      </x:c>
    </x:row>
    <x:row r="2008" ht="23" customHeight="1">
      <x:c r="A2008" s="11" t="str">
        <x:v>I028</x:v>
      </x:c>
      <x:c r="B2008" s="11" t="str">
        <x:v>02607.HK</x:v>
      </x:c>
      <x:c r="C2008" s="11" t="str">
        <x:v>goodwill</x:v>
      </x:c>
      <x:c r="D2008" s="39" t="n">
        <x:v>12652.94417272</x:v>
      </x:c>
      <x:c r="E2008" s="11" t="str">
        <x:v>CNY</x:v>
      </x:c>
      <x:c r="F2008" s="11" t="str">
        <x:v>million</x:v>
      </x:c>
      <x:c r="G2008" s="11" t="str">
        <x:v>2026H1</x:v>
      </x:c>
      <x:c r="H2008" s="11" t="str">
        <x:v>2026-08-28</x:v>
      </x:c>
      <x:c r="I2008" s="11" t="str">
        <x:v>https://static.cninfo.com.cn/finalpage/2026-08-28/1225518810.PDF</x:v>
      </x:c>
      <x:c r="J2008" s="11" t="str"/>
      <x:c r="K2008" s="11" t="str">
        <x:v>2026-08-27</x:v>
      </x:c>
      <x:c r="L2008" s="11" t="str">
        <x:v>业绩8/27新闻19:08确认收盘后已有；H原文内署8/28，交易所时分未核</x:v>
      </x:c>
      <x:c r="M2008" s="11" t="str">
        <x:v>截止日前日期，盘中时分未核</x:v>
      </x:c>
    </x:row>
    <x:row r="2009" ht="23" customHeight="1">
      <x:c r="A2009" s="11" t="str">
        <x:v>I028</x:v>
      </x:c>
      <x:c r="B2009" s="11" t="str">
        <x:v>02607.HK</x:v>
      </x:c>
      <x:c r="C2009" s="11" t="str">
        <x:v>developmentAssets</x:v>
      </x:c>
      <x:c r="D2009" s="39" t="n">
        <x:v>92.27473555</x:v>
      </x:c>
      <x:c r="E2009" s="11" t="str">
        <x:v>CNY</x:v>
      </x:c>
      <x:c r="F2009" s="11" t="str">
        <x:v>million</x:v>
      </x:c>
      <x:c r="G2009" s="11" t="str">
        <x:v>2026H1</x:v>
      </x:c>
      <x:c r="H2009" s="11" t="str">
        <x:v>2026-08-28</x:v>
      </x:c>
      <x:c r="I2009" s="11" t="str">
        <x:v>https://static.cninfo.com.cn/finalpage/2026-08-28/1225518810.PDF</x:v>
      </x:c>
      <x:c r="J2009" s="11" t="str"/>
      <x:c r="K2009" s="11" t="str">
        <x:v>2026-08-27</x:v>
      </x:c>
      <x:c r="L2009" s="11" t="str">
        <x:v>业绩8/27新闻19:08确认收盘后已有；H原文内署8/28，交易所时分未核</x:v>
      </x:c>
      <x:c r="M2009" s="11" t="str">
        <x:v>截止日前日期，盘中时分未核</x:v>
      </x:c>
    </x:row>
    <x:row r="2010" ht="23" customHeight="1">
      <x:c r="A2010" s="11" t="str">
        <x:v>I028</x:v>
      </x:c>
      <x:c r="B2010" s="11" t="str">
        <x:v>02607.HK</x:v>
      </x:c>
      <x:c r="C2010" s="11" t="str">
        <x:v>RDManagementRounded</x:v>
      </x:c>
      <x:c r="D2010" s="39" t="n">
        <x:v>1053</x:v>
      </x:c>
      <x:c r="E2010" s="11" t="str">
        <x:v>CNY</x:v>
      </x:c>
      <x:c r="F2010" s="11" t="str">
        <x:v>million</x:v>
      </x:c>
      <x:c r="G2010" s="11" t="str">
        <x:v>2026H1</x:v>
      </x:c>
      <x:c r="H2010" s="11" t="str">
        <x:v>2026-08-28</x:v>
      </x:c>
      <x:c r="I2010" s="11" t="str">
        <x:v>https://static.cninfo.com.cn/finalpage/2026-08-28/1225518810.PDF</x:v>
      </x:c>
      <x:c r="J2010" s="11" t="str"/>
      <x:c r="K2010" s="11" t="str">
        <x:v>2026-08-27</x:v>
      </x:c>
      <x:c r="L2010" s="11" t="str">
        <x:v>业绩8/27新闻19:08确认收盘后已有；H原文内署8/28，交易所时分未核</x:v>
      </x:c>
      <x:c r="M2010" s="11" t="str">
        <x:v>截止日前日期，盘中时分未核</x:v>
      </x:c>
    </x:row>
    <x:row r="2011" ht="23" customHeight="1">
      <x:c r="A2011" s="11" t="str">
        <x:v>I028</x:v>
      </x:c>
      <x:c r="B2011" s="11" t="str">
        <x:v>02607.HK</x:v>
      </x:c>
      <x:c r="C2011" s="11" t="str">
        <x:v>RDExpensed</x:v>
      </x:c>
      <x:c r="D2011" s="39" t="n">
        <x:v>970.86115568</x:v>
      </x:c>
      <x:c r="E2011" s="11" t="str">
        <x:v>CNY</x:v>
      </x:c>
      <x:c r="F2011" s="11" t="str">
        <x:v>million</x:v>
      </x:c>
      <x:c r="G2011" s="11" t="str">
        <x:v>2026H1</x:v>
      </x:c>
      <x:c r="H2011" s="11" t="str">
        <x:v>2026-08-28</x:v>
      </x:c>
      <x:c r="I2011" s="11" t="str">
        <x:v>https://static.cninfo.com.cn/finalpage/2026-08-28/1225518810.PDF</x:v>
      </x:c>
      <x:c r="J2011" s="11" t="str"/>
      <x:c r="K2011" s="11" t="str">
        <x:v>2026-08-27</x:v>
      </x:c>
      <x:c r="L2011" s="11" t="str">
        <x:v>业绩8/27新闻19:08确认收盘后已有；H原文内署8/28，交易所时分未核</x:v>
      </x:c>
      <x:c r="M2011" s="11" t="str">
        <x:v>截止日前日期，盘中时分未核</x:v>
      </x:c>
    </x:row>
    <x:row r="2012" ht="23" customHeight="1">
      <x:c r="A2012" s="11" t="str">
        <x:v>I028</x:v>
      </x:c>
      <x:c r="B2012" s="11" t="str">
        <x:v>02607.HK</x:v>
      </x:c>
      <x:c r="C2012" s="11" t="str">
        <x:v>RDManagementGapRounded</x:v>
      </x:c>
      <x:c r="D2012" s="39" t="n">
        <x:v>82.13884432</x:v>
      </x:c>
      <x:c r="E2012" s="11" t="str">
        <x:v>CNY</x:v>
      </x:c>
      <x:c r="F2012" s="11" t="str">
        <x:v>million</x:v>
      </x:c>
      <x:c r="G2012" s="11" t="str">
        <x:v>2026H1</x:v>
      </x:c>
      <x:c r="H2012" s="11" t="str">
        <x:v>2026-08-28</x:v>
      </x:c>
      <x:c r="I2012" s="11" t="str">
        <x:v>https://static.cninfo.com.cn/finalpage/2026-08-28/1225518810.PDF</x:v>
      </x:c>
      <x:c r="J2012" s="11" t="str">
        <x:v>MD&amp;A总额与费用差额，非完整资本化桥</x:v>
      </x:c>
      <x:c r="K2012" s="11" t="str">
        <x:v>2026-08-27</x:v>
      </x:c>
      <x:c r="L2012" s="11" t="str">
        <x:v>业绩8/27新闻19:08确认收盘后已有；H原文内署8/28，交易所时分未核</x:v>
      </x:c>
      <x:c r="M2012" s="11" t="str">
        <x:v>截止日前日期，盘中时分未核</x:v>
      </x:c>
    </x:row>
    <x:row r="2013" ht="23" customHeight="1">
      <x:c r="A2013" s="11" t="str">
        <x:v>I028</x:v>
      </x:c>
      <x:c r="B2013" s="11" t="str">
        <x:v>02607.HK</x:v>
      </x:c>
      <x:c r="C2013" s="11" t="str">
        <x:v>selling</x:v>
      </x:c>
      <x:c r="D2013" s="39" t="n">
        <x:v>6538.19737723</x:v>
      </x:c>
      <x:c r="E2013" s="11" t="str">
        <x:v>CNY</x:v>
      </x:c>
      <x:c r="F2013" s="11" t="str">
        <x:v>million</x:v>
      </x:c>
      <x:c r="G2013" s="11" t="str">
        <x:v>2026H1</x:v>
      </x:c>
      <x:c r="H2013" s="11" t="str">
        <x:v>2026-08-28</x:v>
      </x:c>
      <x:c r="I2013" s="11" t="str">
        <x:v>https://static.cninfo.com.cn/finalpage/2026-08-28/1225518810.PDF</x:v>
      </x:c>
      <x:c r="J2013" s="11" t="str"/>
      <x:c r="K2013" s="11" t="str">
        <x:v>2026-08-27</x:v>
      </x:c>
      <x:c r="L2013" s="11" t="str">
        <x:v>业绩8/27新闻19:08确认收盘后已有；H原文内署8/28，交易所时分未核</x:v>
      </x:c>
      <x:c r="M2013" s="11" t="str">
        <x:v>截止日前日期，盘中时分未核</x:v>
      </x:c>
    </x:row>
    <x:row r="2014" ht="23" customHeight="1">
      <x:c r="A2014" s="11" t="str">
        <x:v>I028</x:v>
      </x:c>
      <x:c r="B2014" s="11" t="str">
        <x:v>02607.HK</x:v>
      </x:c>
      <x:c r="C2014" s="11" t="str">
        <x:v>admin</x:v>
      </x:c>
      <x:c r="D2014" s="39" t="n">
        <x:v>2739.55055774</x:v>
      </x:c>
      <x:c r="E2014" s="11" t="str">
        <x:v>CNY</x:v>
      </x:c>
      <x:c r="F2014" s="11" t="str">
        <x:v>million</x:v>
      </x:c>
      <x:c r="G2014" s="11" t="str">
        <x:v>2026H1</x:v>
      </x:c>
      <x:c r="H2014" s="11" t="str">
        <x:v>2026-08-28</x:v>
      </x:c>
      <x:c r="I2014" s="11" t="str">
        <x:v>https://static.cninfo.com.cn/finalpage/2026-08-28/1225518810.PDF</x:v>
      </x:c>
      <x:c r="J2014" s="11" t="str"/>
      <x:c r="K2014" s="11" t="str">
        <x:v>2026-08-27</x:v>
      </x:c>
      <x:c r="L2014" s="11" t="str">
        <x:v>业绩8/27新闻19:08确认收盘后已有；H原文内署8/28，交易所时分未核</x:v>
      </x:c>
      <x:c r="M2014" s="11" t="str">
        <x:v>截止日前日期，盘中时分未核</x:v>
      </x:c>
    </x:row>
    <x:row r="2015" ht="23" customHeight="1">
      <x:c r="A2015" s="11" t="str">
        <x:v>I028</x:v>
      </x:c>
      <x:c r="B2015" s="11" t="str">
        <x:v>02607.HK</x:v>
      </x:c>
      <x:c r="C2015" s="11" t="str">
        <x:v>financeExpense</x:v>
      </x:c>
      <x:c r="D2015" s="39" t="n">
        <x:v>694.50860001</x:v>
      </x:c>
      <x:c r="E2015" s="11" t="str">
        <x:v>CNY</x:v>
      </x:c>
      <x:c r="F2015" s="11" t="str">
        <x:v>million</x:v>
      </x:c>
      <x:c r="G2015" s="11" t="str">
        <x:v>2026H1</x:v>
      </x:c>
      <x:c r="H2015" s="11" t="str">
        <x:v>2026-08-28</x:v>
      </x:c>
      <x:c r="I2015" s="11" t="str">
        <x:v>https://static.cninfo.com.cn/finalpage/2026-08-28/1225518810.PDF</x:v>
      </x:c>
      <x:c r="J2015" s="11" t="str"/>
      <x:c r="K2015" s="11" t="str">
        <x:v>2026-08-27</x:v>
      </x:c>
      <x:c r="L2015" s="11" t="str">
        <x:v>业绩8/27新闻19:08确认收盘后已有；H原文内署8/28，交易所时分未核</x:v>
      </x:c>
      <x:c r="M2015" s="11" t="str">
        <x:v>截止日前日期，盘中时分未核</x:v>
      </x:c>
    </x:row>
    <x:row r="2016" ht="23" customHeight="1">
      <x:c r="A2016" s="11" t="str">
        <x:v>I028</x:v>
      </x:c>
      <x:c r="B2016" s="11" t="str">
        <x:v>02607.HK</x:v>
      </x:c>
      <x:c r="C2016" s="11" t="str">
        <x:v>interestExpense</x:v>
      </x:c>
      <x:c r="D2016" s="39" t="n">
        <x:v>706.03199894</x:v>
      </x:c>
      <x:c r="E2016" s="11" t="str">
        <x:v>CNY</x:v>
      </x:c>
      <x:c r="F2016" s="11" t="str">
        <x:v>million</x:v>
      </x:c>
      <x:c r="G2016" s="11" t="str">
        <x:v>2026H1</x:v>
      </x:c>
      <x:c r="H2016" s="11" t="str">
        <x:v>2026-08-28</x:v>
      </x:c>
      <x:c r="I2016" s="11" t="str">
        <x:v>https://static.cninfo.com.cn/finalpage/2026-08-28/1225518810.PDF</x:v>
      </x:c>
      <x:c r="J2016" s="11" t="str"/>
      <x:c r="K2016" s="11" t="str">
        <x:v>2026-08-27</x:v>
      </x:c>
      <x:c r="L2016" s="11" t="str">
        <x:v>业绩8/27新闻19:08确认收盘后已有；H原文内署8/28，交易所时分未核</x:v>
      </x:c>
      <x:c r="M2016" s="11" t="str">
        <x:v>截止日前日期，盘中时分未核</x:v>
      </x:c>
    </x:row>
    <x:row r="2017" ht="23" customHeight="1">
      <x:c r="A2017" s="11" t="str">
        <x:v>I028</x:v>
      </x:c>
      <x:c r="B2017" s="11" t="str">
        <x:v>02607.HK</x:v>
      </x:c>
      <x:c r="C2017" s="11" t="str">
        <x:v>interestIncome</x:v>
      </x:c>
      <x:c r="D2017" s="39" t="n">
        <x:v>84.93978919</x:v>
      </x:c>
      <x:c r="E2017" s="11" t="str">
        <x:v>CNY</x:v>
      </x:c>
      <x:c r="F2017" s="11" t="str">
        <x:v>million</x:v>
      </x:c>
      <x:c r="G2017" s="11" t="str">
        <x:v>2026H1</x:v>
      </x:c>
      <x:c r="H2017" s="11" t="str">
        <x:v>2026-08-28</x:v>
      </x:c>
      <x:c r="I2017" s="11" t="str">
        <x:v>https://static.cninfo.com.cn/finalpage/2026-08-28/1225518810.PDF</x:v>
      </x:c>
      <x:c r="J2017" s="11" t="str"/>
      <x:c r="K2017" s="11" t="str">
        <x:v>2026-08-27</x:v>
      </x:c>
      <x:c r="L2017" s="11" t="str">
        <x:v>业绩8/27新闻19:08确认收盘后已有；H原文内署8/28，交易所时分未核</x:v>
      </x:c>
      <x:c r="M2017" s="11" t="str">
        <x:v>截止日前日期，盘中时分未核</x:v>
      </x:c>
    </x:row>
    <x:row r="2018" ht="23" customHeight="1">
      <x:c r="A2018" s="11" t="str">
        <x:v>I028</x:v>
      </x:c>
      <x:c r="B2018" s="11" t="str">
        <x:v>02607.HK</x:v>
      </x:c>
      <x:c r="C2018" s="11" t="str">
        <x:v>FXLoss</x:v>
      </x:c>
      <x:c r="D2018" s="39" t="n">
        <x:v>46.18339018</x:v>
      </x:c>
      <x:c r="E2018" s="11" t="str">
        <x:v>CNY</x:v>
      </x:c>
      <x:c r="F2018" s="11" t="str">
        <x:v>million</x:v>
      </x:c>
      <x:c r="G2018" s="11" t="str">
        <x:v>2026H1</x:v>
      </x:c>
      <x:c r="H2018" s="11" t="str">
        <x:v>2026-08-28</x:v>
      </x:c>
      <x:c r="I2018" s="11" t="str">
        <x:v>https://static.cninfo.com.cn/finalpage/2026-08-28/1225518810.PDF</x:v>
      </x:c>
      <x:c r="J2018" s="11" t="str"/>
      <x:c r="K2018" s="11" t="str">
        <x:v>2026-08-27</x:v>
      </x:c>
      <x:c r="L2018" s="11" t="str">
        <x:v>业绩8/27新闻19:08确认收盘后已有；H原文内署8/28，交易所时分未核</x:v>
      </x:c>
      <x:c r="M2018" s="11" t="str">
        <x:v>截止日前日期，盘中时分未核</x:v>
      </x:c>
    </x:row>
    <x:row r="2019" ht="23" customHeight="1">
      <x:c r="A2019" s="11" t="str">
        <x:v>I028</x:v>
      </x:c>
      <x:c r="B2019" s="11" t="str">
        <x:v>02607.HK</x:v>
      </x:c>
      <x:c r="C2019" s="11" t="str">
        <x:v>creditLoss</x:v>
      </x:c>
      <x:c r="D2019" s="39" t="n">
        <x:v>507.82664126</x:v>
      </x:c>
      <x:c r="E2019" s="11" t="str">
        <x:v>CNY</x:v>
      </x:c>
      <x:c r="F2019" s="11" t="str">
        <x:v>million</x:v>
      </x:c>
      <x:c r="G2019" s="11" t="str">
        <x:v>2026H1</x:v>
      </x:c>
      <x:c r="H2019" s="11" t="str">
        <x:v>2026-08-28</x:v>
      </x:c>
      <x:c r="I2019" s="11" t="str">
        <x:v>https://static.cninfo.com.cn/finalpage/2026-08-28/1225518810.PDF</x:v>
      </x:c>
      <x:c r="J2019" s="11" t="str"/>
      <x:c r="K2019" s="11" t="str">
        <x:v>2026-08-27</x:v>
      </x:c>
      <x:c r="L2019" s="11" t="str">
        <x:v>业绩8/27新闻19:08确认收盘后已有；H原文内署8/28，交易所时分未核</x:v>
      </x:c>
      <x:c r="M2019" s="11" t="str">
        <x:v>截止日前日期，盘中时分未核</x:v>
      </x:c>
    </x:row>
    <x:row r="2020" ht="23" customHeight="1">
      <x:c r="A2020" s="11" t="str">
        <x:v>I028</x:v>
      </x:c>
      <x:c r="B2020" s="11" t="str">
        <x:v>02607.HK</x:v>
      </x:c>
      <x:c r="C2020" s="11" t="str">
        <x:v>assetLoss</x:v>
      </x:c>
      <x:c r="D2020" s="39" t="n">
        <x:v>28.04516832</x:v>
      </x:c>
      <x:c r="E2020" s="11" t="str">
        <x:v>CNY</x:v>
      </x:c>
      <x:c r="F2020" s="11" t="str">
        <x:v>million</x:v>
      </x:c>
      <x:c r="G2020" s="11" t="str">
        <x:v>2026H1</x:v>
      </x:c>
      <x:c r="H2020" s="11" t="str">
        <x:v>2026-08-28</x:v>
      </x:c>
      <x:c r="I2020" s="11" t="str">
        <x:v>https://static.cninfo.com.cn/finalpage/2026-08-28/1225518810.PDF</x:v>
      </x:c>
      <x:c r="J2020" s="11" t="str"/>
      <x:c r="K2020" s="11" t="str">
        <x:v>2026-08-27</x:v>
      </x:c>
      <x:c r="L2020" s="11" t="str">
        <x:v>业绩8/27新闻19:08确认收盘后已有；H原文内署8/28，交易所时分未核</x:v>
      </x:c>
      <x:c r="M2020" s="11" t="str">
        <x:v>截止日前日期，盘中时分未核</x:v>
      </x:c>
    </x:row>
    <x:row r="2021" ht="23" customHeight="1">
      <x:c r="A2021" s="11" t="str">
        <x:v>I028</x:v>
      </x:c>
      <x:c r="B2021" s="11" t="str">
        <x:v>02607.HK</x:v>
      </x:c>
      <x:c r="C2021" s="11" t="str">
        <x:v>investmentIncome</x:v>
      </x:c>
      <x:c r="D2021" s="39" t="n">
        <x:v>827.27935009</x:v>
      </x:c>
      <x:c r="E2021" s="11" t="str">
        <x:v>CNY</x:v>
      </x:c>
      <x:c r="F2021" s="11" t="str">
        <x:v>million</x:v>
      </x:c>
      <x:c r="G2021" s="11" t="str">
        <x:v>2026H1</x:v>
      </x:c>
      <x:c r="H2021" s="11" t="str">
        <x:v>2026-08-28</x:v>
      </x:c>
      <x:c r="I2021" s="11" t="str">
        <x:v>https://static.cninfo.com.cn/finalpage/2026-08-28/1225518810.PDF</x:v>
      </x:c>
      <x:c r="J2021" s="11" t="str"/>
      <x:c r="K2021" s="11" t="str">
        <x:v>2026-08-27</x:v>
      </x:c>
      <x:c r="L2021" s="11" t="str">
        <x:v>业绩8/27新闻19:08确认收盘后已有；H原文内署8/28，交易所时分未核</x:v>
      </x:c>
      <x:c r="M2021" s="11" t="str">
        <x:v>截止日前日期，盘中时分未核</x:v>
      </x:c>
    </x:row>
    <x:row r="2022" ht="23" customHeight="1">
      <x:c r="A2022" s="11" t="str">
        <x:v>I028</x:v>
      </x:c>
      <x:c r="B2022" s="11" t="str">
        <x:v>02607.HK</x:v>
      </x:c>
      <x:c r="C2022" s="11" t="str">
        <x:v>assetDisposalIncome</x:v>
      </x:c>
      <x:c r="D2022" s="39" t="n">
        <x:v>179.69981859</x:v>
      </x:c>
      <x:c r="E2022" s="11" t="str">
        <x:v>CNY</x:v>
      </x:c>
      <x:c r="F2022" s="11" t="str">
        <x:v>million</x:v>
      </x:c>
      <x:c r="G2022" s="11" t="str">
        <x:v>2026H1</x:v>
      </x:c>
      <x:c r="H2022" s="11" t="str">
        <x:v>2026-08-28</x:v>
      </x:c>
      <x:c r="I2022" s="11" t="str">
        <x:v>https://static.cninfo.com.cn/finalpage/2026-08-28/1225518810.PDF</x:v>
      </x:c>
      <x:c r="J2022" s="11" t="str"/>
      <x:c r="K2022" s="11" t="str">
        <x:v>2026-08-27</x:v>
      </x:c>
      <x:c r="L2022" s="11" t="str">
        <x:v>业绩8/27新闻19:08确认收盘后已有；H原文内署8/28，交易所时分未核</x:v>
      </x:c>
      <x:c r="M2022" s="11" t="str">
        <x:v>截止日前日期，盘中时分未核</x:v>
      </x:c>
    </x:row>
    <x:row r="2023" ht="23" customHeight="1">
      <x:c r="A2023" s="11" t="str">
        <x:v>I028</x:v>
      </x:c>
      <x:c r="B2023" s="11" t="str">
        <x:v>02607.HK</x:v>
      </x:c>
      <x:c r="C2023" s="11" t="str">
        <x:v>transactionFinancialAssets</x:v>
      </x:c>
      <x:c r="D2023" s="39" t="n">
        <x:v>9416.88070356</x:v>
      </x:c>
      <x:c r="E2023" s="11" t="str">
        <x:v>CNY</x:v>
      </x:c>
      <x:c r="F2023" s="11" t="str">
        <x:v>million</x:v>
      </x:c>
      <x:c r="G2023" s="11" t="str">
        <x:v>2026H1</x:v>
      </x:c>
      <x:c r="H2023" s="11" t="str">
        <x:v>2026-08-28</x:v>
      </x:c>
      <x:c r="I2023" s="11" t="str">
        <x:v>https://static.cninfo.com.cn/finalpage/2026-08-28/1225518810.PDF</x:v>
      </x:c>
      <x:c r="J2023" s="11" t="str"/>
      <x:c r="K2023" s="11" t="str">
        <x:v>2026-08-27</x:v>
      </x:c>
      <x:c r="L2023" s="11" t="str">
        <x:v>业绩8/27新闻19:08确认收盘后已有；H原文内署8/28，交易所时分未核</x:v>
      </x:c>
      <x:c r="M2023" s="11" t="str">
        <x:v>截止日前日期，盘中时分未核</x:v>
      </x:c>
    </x:row>
    <x:row r="2024" ht="23" customHeight="1">
      <x:c r="A2024" s="11" t="str">
        <x:v>I028</x:v>
      </x:c>
      <x:c r="B2024" s="11" t="str">
        <x:v>02607.HK</x:v>
      </x:c>
      <x:c r="C2024" s="11" t="str">
        <x:v>receivableNet</x:v>
      </x:c>
      <x:c r="D2024" s="39" t="n">
        <x:v>90767.87856085</x:v>
      </x:c>
      <x:c r="E2024" s="11" t="str">
        <x:v>CNY</x:v>
      </x:c>
      <x:c r="F2024" s="11" t="str">
        <x:v>million</x:v>
      </x:c>
      <x:c r="G2024" s="11" t="str">
        <x:v>2026H1</x:v>
      </x:c>
      <x:c r="H2024" s="11" t="str">
        <x:v>2026-08-28</x:v>
      </x:c>
      <x:c r="I2024" s="11" t="str">
        <x:v>https://static.cninfo.com.cn/finalpage/2026-08-28/1225518810.PDF</x:v>
      </x:c>
      <x:c r="J2024" s="11" t="str"/>
      <x:c r="K2024" s="11" t="str">
        <x:v>2026-08-27</x:v>
      </x:c>
      <x:c r="L2024" s="11" t="str">
        <x:v>业绩8/27新闻19:08确认收盘后已有；H原文内署8/28，交易所时分未核</x:v>
      </x:c>
      <x:c r="M2024" s="11" t="str">
        <x:v>截止日前日期，盘中时分未核</x:v>
      </x:c>
    </x:row>
    <x:row r="2025" ht="23" customHeight="1">
      <x:c r="A2025" s="11" t="str">
        <x:v>I028</x:v>
      </x:c>
      <x:c r="B2025" s="11" t="str">
        <x:v>02607.HK</x:v>
      </x:c>
      <x:c r="C2025" s="11" t="str">
        <x:v>receivableNetStart</x:v>
      </x:c>
      <x:c r="D2025" s="39" t="n">
        <x:v>82306.40062983</x:v>
      </x:c>
      <x:c r="E2025" s="11" t="str">
        <x:v>CNY</x:v>
      </x:c>
      <x:c r="F2025" s="11" t="str">
        <x:v>million</x:v>
      </x:c>
      <x:c r="G2025" s="11" t="str">
        <x:v>2026H1</x:v>
      </x:c>
      <x:c r="H2025" s="11" t="str">
        <x:v>2026-08-28</x:v>
      </x:c>
      <x:c r="I2025" s="11" t="str">
        <x:v>https://static.cninfo.com.cn/finalpage/2026-08-28/1225518810.PDF</x:v>
      </x:c>
      <x:c r="J2025" s="11" t="str"/>
      <x:c r="K2025" s="11" t="str">
        <x:v>2026-08-27</x:v>
      </x:c>
      <x:c r="L2025" s="11" t="str">
        <x:v>业绩8/27新闻19:08确认收盘后已有；H原文内署8/28，交易所时分未核</x:v>
      </x:c>
      <x:c r="M2025" s="11" t="str">
        <x:v>截止日前日期，盘中时分未核</x:v>
      </x:c>
    </x:row>
    <x:row r="2026" ht="23" customHeight="1">
      <x:c r="A2026" s="11" t="str">
        <x:v>I028</x:v>
      </x:c>
      <x:c r="B2026" s="11" t="str">
        <x:v>02607.HK</x:v>
      </x:c>
      <x:c r="C2026" s="11" t="str">
        <x:v>receivableGross</x:v>
      </x:c>
      <x:c r="D2026" s="39" t="n">
        <x:v>94123.31084898</x:v>
      </x:c>
      <x:c r="E2026" s="11" t="str">
        <x:v>CNY</x:v>
      </x:c>
      <x:c r="F2026" s="11" t="str">
        <x:v>million</x:v>
      </x:c>
      <x:c r="G2026" s="11" t="str">
        <x:v>2026H1</x:v>
      </x:c>
      <x:c r="H2026" s="11" t="str">
        <x:v>2026-08-28</x:v>
      </x:c>
      <x:c r="I2026" s="11" t="str">
        <x:v>https://static.cninfo.com.cn/finalpage/2026-08-28/1225518810.PDF</x:v>
      </x:c>
      <x:c r="J2026" s="11" t="str"/>
      <x:c r="K2026" s="11" t="str">
        <x:v>2026-08-27</x:v>
      </x:c>
      <x:c r="L2026" s="11" t="str">
        <x:v>业绩8/27新闻19:08确认收盘后已有；H原文内署8/28，交易所时分未核</x:v>
      </x:c>
      <x:c r="M2026" s="11" t="str">
        <x:v>截止日前日期，盘中时分未核</x:v>
      </x:c>
    </x:row>
    <x:row r="2027" ht="23" customHeight="1">
      <x:c r="A2027" s="11" t="str">
        <x:v>I028</x:v>
      </x:c>
      <x:c r="B2027" s="11" t="str">
        <x:v>02607.HK</x:v>
      </x:c>
      <x:c r="C2027" s="11" t="str">
        <x:v>receivableAllowance</x:v>
      </x:c>
      <x:c r="D2027" s="39" t="n">
        <x:v>3355.43228813</x:v>
      </x:c>
      <x:c r="E2027" s="11" t="str">
        <x:v>CNY</x:v>
      </x:c>
      <x:c r="F2027" s="11" t="str">
        <x:v>million</x:v>
      </x:c>
      <x:c r="G2027" s="11" t="str">
        <x:v>2026H1</x:v>
      </x:c>
      <x:c r="H2027" s="11" t="str">
        <x:v>2026-08-28</x:v>
      </x:c>
      <x:c r="I2027" s="11" t="str">
        <x:v>https://static.cninfo.com.cn/finalpage/2026-08-28/1225518810.PDF</x:v>
      </x:c>
      <x:c r="J2027" s="11" t="str"/>
      <x:c r="K2027" s="11" t="str">
        <x:v>2026-08-27</x:v>
      </x:c>
      <x:c r="L2027" s="11" t="str">
        <x:v>业绩8/27新闻19:08确认收盘后已有；H原文内署8/28，交易所时分未核</x:v>
      </x:c>
      <x:c r="M2027" s="11" t="str">
        <x:v>截止日前日期，盘中时分未核</x:v>
      </x:c>
    </x:row>
    <x:row r="2028" ht="23" customHeight="1">
      <x:c r="A2028" s="11" t="str">
        <x:v>I028</x:v>
      </x:c>
      <x:c r="B2028" s="11" t="str">
        <x:v>02607.HK</x:v>
      </x:c>
      <x:c r="C2028" s="11" t="str">
        <x:v>receivableAgeLess1Year</x:v>
      </x:c>
      <x:c r="D2028" s="39" t="n">
        <x:v>88713.32438525</x:v>
      </x:c>
      <x:c r="E2028" s="11" t="str">
        <x:v>CNY</x:v>
      </x:c>
      <x:c r="F2028" s="11" t="str">
        <x:v>million</x:v>
      </x:c>
      <x:c r="G2028" s="11" t="str">
        <x:v>2026H1</x:v>
      </x:c>
      <x:c r="H2028" s="11" t="str">
        <x:v>2026-08-28</x:v>
      </x:c>
      <x:c r="I2028" s="11" t="str">
        <x:v>https://static.cninfo.com.cn/finalpage/2026-08-28/1225518810.PDF</x:v>
      </x:c>
      <x:c r="J2028" s="11" t="str"/>
      <x:c r="K2028" s="11" t="str">
        <x:v>2026-08-27</x:v>
      </x:c>
      <x:c r="L2028" s="11" t="str">
        <x:v>业绩8/27新闻19:08确认收盘后已有；H原文内署8/28，交易所时分未核</x:v>
      </x:c>
      <x:c r="M2028" s="11" t="str">
        <x:v>截止日前日期，盘中时分未核</x:v>
      </x:c>
    </x:row>
    <x:row r="2029" ht="23" customHeight="1">
      <x:c r="A2029" s="11" t="str">
        <x:v>I028</x:v>
      </x:c>
      <x:c r="B2029" s="11" t="str">
        <x:v>02607.HK</x:v>
      </x:c>
      <x:c r="C2029" s="11" t="str">
        <x:v>receivableAge1to2Years</x:v>
      </x:c>
      <x:c r="D2029" s="39" t="n">
        <x:v>3312.92899669</x:v>
      </x:c>
      <x:c r="E2029" s="11" t="str">
        <x:v>CNY</x:v>
      </x:c>
      <x:c r="F2029" s="11" t="str">
        <x:v>million</x:v>
      </x:c>
      <x:c r="G2029" s="11" t="str">
        <x:v>2026H1</x:v>
      </x:c>
      <x:c r="H2029" s="11" t="str">
        <x:v>2026-08-28</x:v>
      </x:c>
      <x:c r="I2029" s="11" t="str">
        <x:v>https://static.cninfo.com.cn/finalpage/2026-08-28/1225518810.PDF</x:v>
      </x:c>
      <x:c r="J2029" s="11" t="str"/>
      <x:c r="K2029" s="11" t="str">
        <x:v>2026-08-27</x:v>
      </x:c>
      <x:c r="L2029" s="11" t="str">
        <x:v>业绩8/27新闻19:08确认收盘后已有；H原文内署8/28，交易所时分未核</x:v>
      </x:c>
      <x:c r="M2029" s="11" t="str">
        <x:v>截止日前日期，盘中时分未核</x:v>
      </x:c>
    </x:row>
    <x:row r="2030" ht="23" customHeight="1">
      <x:c r="A2030" s="11" t="str">
        <x:v>I028</x:v>
      </x:c>
      <x:c r="B2030" s="11" t="str">
        <x:v>02607.HK</x:v>
      </x:c>
      <x:c r="C2030" s="11" t="str">
        <x:v>receivableAgeOver2Years</x:v>
      </x:c>
      <x:c r="D2030" s="39" t="n">
        <x:v>2097.05746704</x:v>
      </x:c>
      <x:c r="E2030" s="11" t="str">
        <x:v>CNY</x:v>
      </x:c>
      <x:c r="F2030" s="11" t="str">
        <x:v>million</x:v>
      </x:c>
      <x:c r="G2030" s="11" t="str">
        <x:v>2026H1</x:v>
      </x:c>
      <x:c r="H2030" s="11" t="str">
        <x:v>2026-08-28</x:v>
      </x:c>
      <x:c r="I2030" s="11" t="str">
        <x:v>https://static.cninfo.com.cn/finalpage/2026-08-28/1225518810.PDF</x:v>
      </x:c>
      <x:c r="J2030" s="11" t="str"/>
      <x:c r="K2030" s="11" t="str">
        <x:v>2026-08-27</x:v>
      </x:c>
      <x:c r="L2030" s="11" t="str">
        <x:v>业绩8/27新闻19:08确认收盘后已有；H原文内署8/28，交易所时分未核</x:v>
      </x:c>
      <x:c r="M2030" s="11" t="str">
        <x:v>截止日前日期，盘中时分未核</x:v>
      </x:c>
    </x:row>
    <x:row r="2031" ht="23" customHeight="1">
      <x:c r="A2031" s="11" t="str">
        <x:v>I028</x:v>
      </x:c>
      <x:c r="B2031" s="11" t="str">
        <x:v>02607.HK</x:v>
      </x:c>
      <x:c r="C2031" s="11" t="str">
        <x:v>nonrecourseFactoringDerecognized</x:v>
      </x:c>
      <x:c r="D2031" s="39" t="n">
        <x:v>2571.99559232</x:v>
      </x:c>
      <x:c r="E2031" s="11" t="str">
        <x:v>CNY</x:v>
      </x:c>
      <x:c r="F2031" s="11" t="str">
        <x:v>million</x:v>
      </x:c>
      <x:c r="G2031" s="11" t="str">
        <x:v>2026H1</x:v>
      </x:c>
      <x:c r="H2031" s="11" t="str">
        <x:v>2026-08-28</x:v>
      </x:c>
      <x:c r="I2031" s="11" t="str">
        <x:v>https://static.cninfo.com.cn/finalpage/2026-08-28/1225518810.PDF</x:v>
      </x:c>
      <x:c r="J2031" s="11" t="str"/>
      <x:c r="K2031" s="11" t="str">
        <x:v>2026-08-27</x:v>
      </x:c>
      <x:c r="L2031" s="11" t="str">
        <x:v>业绩8/27新闻19:08确认收盘后已有；H原文内署8/28，交易所时分未核</x:v>
      </x:c>
      <x:c r="M2031" s="11" t="str">
        <x:v>截止日前日期，盘中时分未核</x:v>
      </x:c>
    </x:row>
    <x:row r="2032" ht="23" customHeight="1">
      <x:c r="A2032" s="11" t="str">
        <x:v>I028</x:v>
      </x:c>
      <x:c r="B2032" s="11" t="str">
        <x:v>02607.HK</x:v>
      </x:c>
      <x:c r="C2032" s="11" t="str">
        <x:v>factoringLoss</x:v>
      </x:c>
      <x:c r="D2032" s="39" t="n">
        <x:v>62.7706486</x:v>
      </x:c>
      <x:c r="E2032" s="11" t="str">
        <x:v>CNY</x:v>
      </x:c>
      <x:c r="F2032" s="11" t="str">
        <x:v>million</x:v>
      </x:c>
      <x:c r="G2032" s="11" t="str">
        <x:v>2026H1</x:v>
      </x:c>
      <x:c r="H2032" s="11" t="str">
        <x:v>2026-08-28</x:v>
      </x:c>
      <x:c r="I2032" s="11" t="str">
        <x:v>https://static.cninfo.com.cn/finalpage/2026-08-28/1225518810.PDF</x:v>
      </x:c>
      <x:c r="J2032" s="11" t="str"/>
      <x:c r="K2032" s="11" t="str">
        <x:v>2026-08-27</x:v>
      </x:c>
      <x:c r="L2032" s="11" t="str">
        <x:v>业绩8/27新闻19:08确认收盘后已有；H原文内署8/28，交易所时分未核</x:v>
      </x:c>
      <x:c r="M2032" s="11" t="str">
        <x:v>截止日前日期，盘中时分未核</x:v>
      </x:c>
    </x:row>
    <x:row r="2033" ht="23" customHeight="1">
      <x:c r="A2033" s="11" t="str">
        <x:v>I028</x:v>
      </x:c>
      <x:c r="B2033" s="11" t="str">
        <x:v>02607.HK</x:v>
      </x:c>
      <x:c r="C2033" s="11" t="str">
        <x:v>inventory</x:v>
      </x:c>
      <x:c r="D2033" s="39" t="n">
        <x:v>42684.9861084</x:v>
      </x:c>
      <x:c r="E2033" s="11" t="str">
        <x:v>CNY</x:v>
      </x:c>
      <x:c r="F2033" s="11" t="str">
        <x:v>million</x:v>
      </x:c>
      <x:c r="G2033" s="11" t="str">
        <x:v>2026H1</x:v>
      </x:c>
      <x:c r="H2033" s="11" t="str">
        <x:v>2026-08-28</x:v>
      </x:c>
      <x:c r="I2033" s="11" t="str">
        <x:v>https://static.cninfo.com.cn/finalpage/2026-08-28/1225518810.PDF</x:v>
      </x:c>
      <x:c r="J2033" s="11" t="str"/>
      <x:c r="K2033" s="11" t="str">
        <x:v>2026-08-27</x:v>
      </x:c>
      <x:c r="L2033" s="11" t="str">
        <x:v>业绩8/27新闻19:08确认收盘后已有；H原文内署8/28，交易所时分未核</x:v>
      </x:c>
      <x:c r="M2033" s="11" t="str">
        <x:v>截止日前日期，盘中时分未核</x:v>
      </x:c>
    </x:row>
    <x:row r="2034" ht="23" customHeight="1">
      <x:c r="A2034" s="11" t="str">
        <x:v>I028</x:v>
      </x:c>
      <x:c r="B2034" s="11" t="str">
        <x:v>02607.HK</x:v>
      </x:c>
      <x:c r="C2034" s="11" t="str">
        <x:v>inventoryStart</x:v>
      </x:c>
      <x:c r="D2034" s="39" t="n">
        <x:v>45358.94755004</x:v>
      </x:c>
      <x:c r="E2034" s="11" t="str">
        <x:v>CNY</x:v>
      </x:c>
      <x:c r="F2034" s="11" t="str">
        <x:v>million</x:v>
      </x:c>
      <x:c r="G2034" s="11" t="str">
        <x:v>2026H1</x:v>
      </x:c>
      <x:c r="H2034" s="11" t="str">
        <x:v>2026-08-28</x:v>
      </x:c>
      <x:c r="I2034" s="11" t="str">
        <x:v>https://static.cninfo.com.cn/finalpage/2026-08-28/1225518810.PDF</x:v>
      </x:c>
      <x:c r="J2034" s="11" t="str"/>
      <x:c r="K2034" s="11" t="str">
        <x:v>2026-08-27</x:v>
      </x:c>
      <x:c r="L2034" s="11" t="str">
        <x:v>业绩8/27新闻19:08确认收盘后已有；H原文内署8/28，交易所时分未核</x:v>
      </x:c>
      <x:c r="M2034" s="11" t="str">
        <x:v>截止日前日期，盘中时分未核</x:v>
      </x:c>
    </x:row>
    <x:row r="2035" ht="23" customHeight="1">
      <x:c r="A2035" s="11" t="str">
        <x:v>I028</x:v>
      </x:c>
      <x:c r="B2035" s="11" t="str">
        <x:v>02607.HK</x:v>
      </x:c>
      <x:c r="C2035" s="11" t="str">
        <x:v>payable</x:v>
      </x:c>
      <x:c r="D2035" s="39" t="n">
        <x:v>56604.67232133</x:v>
      </x:c>
      <x:c r="E2035" s="11" t="str">
        <x:v>CNY</x:v>
      </x:c>
      <x:c r="F2035" s="11" t="str">
        <x:v>million</x:v>
      </x:c>
      <x:c r="G2035" s="11" t="str">
        <x:v>2026H1</x:v>
      </x:c>
      <x:c r="H2035" s="11" t="str">
        <x:v>2026-08-28</x:v>
      </x:c>
      <x:c r="I2035" s="11" t="str">
        <x:v>https://static.cninfo.com.cn/finalpage/2026-08-28/1225518810.PDF</x:v>
      </x:c>
      <x:c r="J2035" s="11" t="str"/>
      <x:c r="K2035" s="11" t="str">
        <x:v>2026-08-27</x:v>
      </x:c>
      <x:c r="L2035" s="11" t="str">
        <x:v>业绩8/27新闻19:08确认收盘后已有；H原文内署8/28，交易所时分未核</x:v>
      </x:c>
      <x:c r="M2035" s="11" t="str">
        <x:v>截止日前日期，盘中时分未核</x:v>
      </x:c>
    </x:row>
    <x:row r="2036" ht="23" customHeight="1">
      <x:c r="A2036" s="11" t="str">
        <x:v>I028</x:v>
      </x:c>
      <x:c r="B2036" s="11" t="str">
        <x:v>02607.HK</x:v>
      </x:c>
      <x:c r="C2036" s="11" t="str">
        <x:v>OCFInventoryRelease</x:v>
      </x:c>
      <x:c r="D2036" s="39" t="n">
        <x:v>2635.89713623</x:v>
      </x:c>
      <x:c r="E2036" s="11" t="str">
        <x:v>CNY</x:v>
      </x:c>
      <x:c r="F2036" s="11" t="str">
        <x:v>million</x:v>
      </x:c>
      <x:c r="G2036" s="11" t="str">
        <x:v>2026H1</x:v>
      </x:c>
      <x:c r="H2036" s="11" t="str">
        <x:v>2026-08-28</x:v>
      </x:c>
      <x:c r="I2036" s="11" t="str">
        <x:v>https://static.cninfo.com.cn/finalpage/2026-08-28/1225518810.PDF</x:v>
      </x:c>
      <x:c r="J2036" s="11" t="str"/>
      <x:c r="K2036" s="11" t="str">
        <x:v>2026-08-27</x:v>
      </x:c>
      <x:c r="L2036" s="11" t="str">
        <x:v>业绩8/27新闻19:08确认收盘后已有；H原文内署8/28，交易所时分未核</x:v>
      </x:c>
      <x:c r="M2036" s="11" t="str">
        <x:v>截止日前日期，盘中时分未核</x:v>
      </x:c>
    </x:row>
    <x:row r="2037" ht="23" customHeight="1">
      <x:c r="A2037" s="11" t="str">
        <x:v>I028</x:v>
      </x:c>
      <x:c r="B2037" s="11" t="str">
        <x:v>02607.HK</x:v>
      </x:c>
      <x:c r="C2037" s="11" t="str">
        <x:v>OCFReceivableUse</x:v>
      </x:c>
      <x:c r="D2037" s="39" t="n">
        <x:v>-6504.74902529</x:v>
      </x:c>
      <x:c r="E2037" s="11" t="str">
        <x:v>CNY</x:v>
      </x:c>
      <x:c r="F2037" s="11" t="str">
        <x:v>million</x:v>
      </x:c>
      <x:c r="G2037" s="11" t="str">
        <x:v>2026H1</x:v>
      </x:c>
      <x:c r="H2037" s="11" t="str">
        <x:v>2026-08-28</x:v>
      </x:c>
      <x:c r="I2037" s="11" t="str">
        <x:v>https://static.cninfo.com.cn/finalpage/2026-08-28/1225518810.PDF</x:v>
      </x:c>
      <x:c r="J2037" s="11" t="str"/>
      <x:c r="K2037" s="11" t="str">
        <x:v>2026-08-27</x:v>
      </x:c>
      <x:c r="L2037" s="11" t="str">
        <x:v>业绩8/27新闻19:08确认收盘后已有；H原文内署8/28，交易所时分未核</x:v>
      </x:c>
      <x:c r="M2037" s="11" t="str">
        <x:v>截止日前日期，盘中时分未核</x:v>
      </x:c>
    </x:row>
    <x:row r="2038" ht="23" customHeight="1">
      <x:c r="A2038" s="11" t="str">
        <x:v>I028</x:v>
      </x:c>
      <x:c r="B2038" s="11" t="str">
        <x:v>02607.HK</x:v>
      </x:c>
      <x:c r="C2038" s="11" t="str">
        <x:v>OCFPayablesSource</x:v>
      </x:c>
      <x:c r="D2038" s="39" t="n">
        <x:v>2517.68437696</x:v>
      </x:c>
      <x:c r="E2038" s="11" t="str">
        <x:v>CNY</x:v>
      </x:c>
      <x:c r="F2038" s="11" t="str">
        <x:v>million</x:v>
      </x:c>
      <x:c r="G2038" s="11" t="str">
        <x:v>2026H1</x:v>
      </x:c>
      <x:c r="H2038" s="11" t="str">
        <x:v>2026-08-28</x:v>
      </x:c>
      <x:c r="I2038" s="11" t="str">
        <x:v>https://static.cninfo.com.cn/finalpage/2026-08-28/1225518810.PDF</x:v>
      </x:c>
      <x:c r="J2038" s="11" t="str"/>
      <x:c r="K2038" s="11" t="str">
        <x:v>2026-08-27</x:v>
      </x:c>
      <x:c r="L2038" s="11" t="str">
        <x:v>业绩8/27新闻19:08确认收盘后已有；H原文内署8/28，交易所时分未核</x:v>
      </x:c>
      <x:c r="M2038" s="11" t="str">
        <x:v>截止日前日期，盘中时分未核</x:v>
      </x:c>
    </x:row>
    <x:row r="2039" ht="23" customHeight="1">
      <x:c r="A2039" s="11" t="str">
        <x:v>I033</x:v>
      </x:c>
      <x:c r="B2039" s="11" t="str">
        <x:v>02096.HK</x:v>
      </x:c>
      <x:c r="C2039" s="11" t="str">
        <x:v>revenue</x:v>
      </x:c>
      <x:c r="D2039" s="39" t="n">
        <x:v>4580.142</x:v>
      </x:c>
      <x:c r="E2039" s="11" t="str">
        <x:v>CNY</x:v>
      </x:c>
      <x:c r="F2039" s="11" t="str">
        <x:v>million CNY</x:v>
      </x:c>
      <x:c r="G2039" s="11" t="str">
        <x:v>2026H1 HKFRS</x:v>
      </x:c>
      <x:c r="H2039" s="11" t="str">
        <x:v>2026-09-24</x:v>
      </x:c>
      <x:c r="I2039" s="11" t="str">
        <x:v>https://iis.aastocks.com/20260924/12344555-0.PDF</x:v>
      </x:c>
      <x:c r="J2039" s="11" t="str">
        <x:v>首度公开日期 2026-08-20</x:v>
      </x:c>
      <x:c r="K2039" s="11" t="str">
        <x:v>2026-08-20</x:v>
      </x:c>
      <x:c r="L2039" s="11" t="str">
        <x:v>精确发布时间未核验</x:v>
      </x:c>
      <x:c r="M2039" s="11" t="str">
        <x:v>截止日前日期，盘中时分未核</x:v>
      </x:c>
    </x:row>
    <x:row r="2040" ht="23" customHeight="1">
      <x:c r="A2040" s="11" t="str">
        <x:v>I033</x:v>
      </x:c>
      <x:c r="B2040" s="11" t="str">
        <x:v>02096.HK</x:v>
      </x:c>
      <x:c r="C2040" s="11" t="str">
        <x:v>previousRevenue</x:v>
      </x:c>
      <x:c r="D2040" s="39" t="n">
        <x:v>3584.912</x:v>
      </x:c>
      <x:c r="E2040" s="11" t="str">
        <x:v>CNY</x:v>
      </x:c>
      <x:c r="F2040" s="11" t="str">
        <x:v>million CNY</x:v>
      </x:c>
      <x:c r="G2040" s="11" t="str">
        <x:v>2025H1 restated</x:v>
      </x:c>
      <x:c r="H2040" s="11" t="str">
        <x:v>2026-09-24</x:v>
      </x:c>
      <x:c r="I2040" s="11" t="str">
        <x:v>https://iis.aastocks.com/20260924/12344555-0.PDF</x:v>
      </x:c>
      <x:c r="J2040" s="11" t="str">
        <x:v>首度公开日期 2026-08-20</x:v>
      </x:c>
      <x:c r="K2040" s="11" t="str">
        <x:v>2026-08-20</x:v>
      </x:c>
      <x:c r="L2040" s="11" t="str">
        <x:v>精确发布时间未核验</x:v>
      </x:c>
      <x:c r="M2040" s="11" t="str">
        <x:v>截止日前日期，盘中时分未核</x:v>
      </x:c>
    </x:row>
    <x:row r="2041" ht="23" customHeight="1">
      <x:c r="A2041" s="11" t="str">
        <x:v>I033</x:v>
      </x:c>
      <x:c r="B2041" s="11" t="str">
        <x:v>02096.HK</x:v>
      </x:c>
      <x:c r="C2041" s="11" t="str">
        <x:v>productRevenue</x:v>
      </x:c>
      <x:c r="D2041" s="39" t="n">
        <x:v>3893.202</x:v>
      </x:c>
      <x:c r="E2041" s="11" t="str">
        <x:v>CNY</x:v>
      </x:c>
      <x:c r="F2041" s="11" t="str">
        <x:v>million CNY</x:v>
      </x:c>
      <x:c r="G2041" s="11" t="str">
        <x:v>2026H1 HKFRS</x:v>
      </x:c>
      <x:c r="H2041" s="11" t="str">
        <x:v>2026-09-24</x:v>
      </x:c>
      <x:c r="I2041" s="11" t="str">
        <x:v>https://iis.aastocks.com/20260924/12344555-0.PDF</x:v>
      </x:c>
      <x:c r="J2041" s="11" t="str">
        <x:v>首度公开日期 2026-08-20</x:v>
      </x:c>
      <x:c r="K2041" s="11" t="str">
        <x:v>2026-08-20</x:v>
      </x:c>
      <x:c r="L2041" s="11" t="str">
        <x:v>精确发布时间未核验</x:v>
      </x:c>
      <x:c r="M2041" s="11" t="str">
        <x:v>截止日前日期，盘中时分未核</x:v>
      </x:c>
    </x:row>
    <x:row r="2042" ht="23" customHeight="1">
      <x:c r="A2042" s="11" t="str">
        <x:v>I033</x:v>
      </x:c>
      <x:c r="B2042" s="11" t="str">
        <x:v>02096.HK</x:v>
      </x:c>
      <x:c r="C2042" s="11" t="str">
        <x:v>previousProductRevenue</x:v>
      </x:c>
      <x:c r="D2042" s="39" t="n">
        <x:v>3257.304</x:v>
      </x:c>
      <x:c r="E2042" s="11" t="str">
        <x:v>CNY</x:v>
      </x:c>
      <x:c r="F2042" s="11" t="str">
        <x:v>million CNY</x:v>
      </x:c>
      <x:c r="G2042" s="11" t="str">
        <x:v>2025H1 restated</x:v>
      </x:c>
      <x:c r="H2042" s="11" t="str">
        <x:v>2026-09-24</x:v>
      </x:c>
      <x:c r="I2042" s="11" t="str">
        <x:v>https://iis.aastocks.com/20260924/12344555-0.PDF</x:v>
      </x:c>
      <x:c r="J2042" s="11" t="str">
        <x:v>首度公开日期 2026-08-20</x:v>
      </x:c>
      <x:c r="K2042" s="11" t="str">
        <x:v>2026-08-20</x:v>
      </x:c>
      <x:c r="L2042" s="11" t="str">
        <x:v>精确发布时间未核验</x:v>
      </x:c>
      <x:c r="M2042" s="11" t="str">
        <x:v>截止日前日期，盘中时分未核</x:v>
      </x:c>
    </x:row>
    <x:row r="2043" ht="23" customHeight="1">
      <x:c r="A2043" s="11" t="str">
        <x:v>I033</x:v>
      </x:c>
      <x:c r="B2043" s="11" t="str">
        <x:v>02096.HK</x:v>
      </x:c>
      <x:c r="C2043" s="11" t="str">
        <x:v>commercialization</x:v>
      </x:c>
      <x:c r="D2043" s="39" t="n">
        <x:v>112.202</x:v>
      </x:c>
      <x:c r="E2043" s="11" t="str">
        <x:v>CNY</x:v>
      </x:c>
      <x:c r="F2043" s="11" t="str">
        <x:v>million CNY</x:v>
      </x:c>
      <x:c r="G2043" s="11" t="str">
        <x:v>2026H1 HKFRS</x:v>
      </x:c>
      <x:c r="H2043" s="11" t="str">
        <x:v>2026-09-24</x:v>
      </x:c>
      <x:c r="I2043" s="11" t="str">
        <x:v>https://iis.aastocks.com/20260924/12344555-0.PDF</x:v>
      </x:c>
      <x:c r="J2043" s="11" t="str">
        <x:v>首度公开日期 2026-08-20</x:v>
      </x:c>
      <x:c r="K2043" s="11" t="str">
        <x:v>2026-08-20</x:v>
      </x:c>
      <x:c r="L2043" s="11" t="str">
        <x:v>精确发布时间未核验</x:v>
      </x:c>
      <x:c r="M2043" s="11" t="str">
        <x:v>截止日前日期，盘中时分未核</x:v>
      </x:c>
    </x:row>
    <x:row r="2044" ht="23" customHeight="1">
      <x:c r="A2044" s="11" t="str">
        <x:v>I033</x:v>
      </x:c>
      <x:c r="B2044" s="11" t="str">
        <x:v>02096.HK</x:v>
      </x:c>
      <x:c r="C2044" s="11" t="str">
        <x:v>collaboration</x:v>
      </x:c>
      <x:c r="D2044" s="39" t="n">
        <x:v>154.934</x:v>
      </x:c>
      <x:c r="E2044" s="11" t="str">
        <x:v>CNY</x:v>
      </x:c>
      <x:c r="F2044" s="11" t="str">
        <x:v>million CNY</x:v>
      </x:c>
      <x:c r="G2044" s="11" t="str">
        <x:v>2026H1 HKFRS</x:v>
      </x:c>
      <x:c r="H2044" s="11" t="str">
        <x:v>2026-09-24</x:v>
      </x:c>
      <x:c r="I2044" s="11" t="str">
        <x:v>https://iis.aastocks.com/20260924/12344555-0.PDF</x:v>
      </x:c>
      <x:c r="J2044" s="11" t="str">
        <x:v>首度公开日期 2026-08-20</x:v>
      </x:c>
      <x:c r="K2044" s="11" t="str">
        <x:v>2026-08-20</x:v>
      </x:c>
      <x:c r="L2044" s="11" t="str">
        <x:v>精确发布时间未核验</x:v>
      </x:c>
      <x:c r="M2044" s="11" t="str">
        <x:v>截止日前日期，盘中时分未核</x:v>
      </x:c>
    </x:row>
    <x:row r="2045" ht="23" customHeight="1">
      <x:c r="A2045" s="11" t="str">
        <x:v>I033</x:v>
      </x:c>
      <x:c r="B2045" s="11" t="str">
        <x:v>02096.HK</x:v>
      </x:c>
      <x:c r="C2045" s="11" t="str">
        <x:v>licenseRevenue</x:v>
      </x:c>
      <x:c r="D2045" s="39" t="n">
        <x:v>405.007</x:v>
      </x:c>
      <x:c r="E2045" s="11" t="str">
        <x:v>CNY</x:v>
      </x:c>
      <x:c r="F2045" s="11" t="str">
        <x:v>million CNY</x:v>
      </x:c>
      <x:c r="G2045" s="11" t="str">
        <x:v>2026H1 HKFRS</x:v>
      </x:c>
      <x:c r="H2045" s="11" t="str">
        <x:v>2026-09-24</x:v>
      </x:c>
      <x:c r="I2045" s="11" t="str">
        <x:v>https://iis.aastocks.com/20260924/12344555-0.PDF</x:v>
      </x:c>
      <x:c r="J2045" s="11" t="str">
        <x:v>首度公开日期 2026-08-20</x:v>
      </x:c>
      <x:c r="K2045" s="11" t="str">
        <x:v>2026-08-20</x:v>
      </x:c>
      <x:c r="L2045" s="11" t="str">
        <x:v>精确发布时间未核验</x:v>
      </x:c>
      <x:c r="M2045" s="11" t="str">
        <x:v>截止日前日期，盘中时分未核</x:v>
      </x:c>
    </x:row>
    <x:row r="2046" ht="23" customHeight="1">
      <x:c r="A2046" s="11" t="str">
        <x:v>I033</x:v>
      </x:c>
      <x:c r="B2046" s="11" t="str">
        <x:v>02096.HK</x:v>
      </x:c>
      <x:c r="C2046" s="11" t="str">
        <x:v>previousLicenseRevenue</x:v>
      </x:c>
      <x:c r="D2046" s="39" t="n">
        <x:v>121.987</x:v>
      </x:c>
      <x:c r="E2046" s="11" t="str">
        <x:v>CNY</x:v>
      </x:c>
      <x:c r="F2046" s="11" t="str">
        <x:v>million CNY</x:v>
      </x:c>
      <x:c r="G2046" s="11" t="str">
        <x:v>2025H1 restated</x:v>
      </x:c>
      <x:c r="H2046" s="11" t="str">
        <x:v>2026-09-24</x:v>
      </x:c>
      <x:c r="I2046" s="11" t="str">
        <x:v>https://iis.aastocks.com/20260924/12344555-0.PDF</x:v>
      </x:c>
      <x:c r="J2046" s="11" t="str">
        <x:v>首度公开日期 2026-08-20</x:v>
      </x:c>
      <x:c r="K2046" s="11" t="str">
        <x:v>2026-08-20</x:v>
      </x:c>
      <x:c r="L2046" s="11" t="str">
        <x:v>精确发布时间未核验</x:v>
      </x:c>
      <x:c r="M2046" s="11" t="str">
        <x:v>截止日前日期，盘中时分未核</x:v>
      </x:c>
    </x:row>
    <x:row r="2047" ht="23" customHeight="1">
      <x:c r="A2047" s="11" t="str">
        <x:v>I033</x:v>
      </x:c>
      <x:c r="B2047" s="11" t="str">
        <x:v>02096.HK</x:v>
      </x:c>
      <x:c r="C2047" s="11" t="str">
        <x:v>RDservice</x:v>
      </x:c>
      <x:c r="D2047" s="39" t="n">
        <x:v>9.641</x:v>
      </x:c>
      <x:c r="E2047" s="11" t="str">
        <x:v>CNY</x:v>
      </x:c>
      <x:c r="F2047" s="11" t="str">
        <x:v>million CNY</x:v>
      </x:c>
      <x:c r="G2047" s="11" t="str">
        <x:v>2026H1 HKFRS</x:v>
      </x:c>
      <x:c r="H2047" s="11" t="str">
        <x:v>2026-09-24</x:v>
      </x:c>
      <x:c r="I2047" s="11" t="str">
        <x:v>https://iis.aastocks.com/20260924/12344555-0.PDF</x:v>
      </x:c>
      <x:c r="J2047" s="11" t="str">
        <x:v>首度公开日期 2026-08-20</x:v>
      </x:c>
      <x:c r="K2047" s="11" t="str">
        <x:v>2026-08-20</x:v>
      </x:c>
      <x:c r="L2047" s="11" t="str">
        <x:v>精确发布时间未核验</x:v>
      </x:c>
      <x:c r="M2047" s="11" t="str">
        <x:v>截止日前日期，盘中时分未核</x:v>
      </x:c>
    </x:row>
    <x:row r="2048" ht="23" customHeight="1">
      <x:c r="A2048" s="11" t="str">
        <x:v>I033</x:v>
      </x:c>
      <x:c r="B2048" s="11" t="str">
        <x:v>02096.HK</x:v>
      </x:c>
      <x:c r="C2048" s="11" t="str">
        <x:v>otherRevenue</x:v>
      </x:c>
      <x:c r="D2048" s="39" t="n">
        <x:v>5.156</x:v>
      </x:c>
      <x:c r="E2048" s="11" t="str">
        <x:v>CNY</x:v>
      </x:c>
      <x:c r="F2048" s="11" t="str">
        <x:v>million CNY</x:v>
      </x:c>
      <x:c r="G2048" s="11" t="str">
        <x:v>2026H1 HKFRS</x:v>
      </x:c>
      <x:c r="H2048" s="11" t="str">
        <x:v>2026-09-24</x:v>
      </x:c>
      <x:c r="I2048" s="11" t="str">
        <x:v>https://iis.aastocks.com/20260924/12344555-0.PDF</x:v>
      </x:c>
      <x:c r="J2048" s="11" t="str">
        <x:v>首度公开日期 2026-08-20</x:v>
      </x:c>
      <x:c r="K2048" s="11" t="str">
        <x:v>2026-08-20</x:v>
      </x:c>
      <x:c r="L2048" s="11" t="str">
        <x:v>精确发布时间未核验</x:v>
      </x:c>
      <x:c r="M2048" s="11" t="str">
        <x:v>截止日前日期，盘中时分未核</x:v>
      </x:c>
    </x:row>
    <x:row r="2049" ht="23" customHeight="1">
      <x:c r="A2049" s="11" t="str">
        <x:v>I033</x:v>
      </x:c>
      <x:c r="B2049" s="11" t="str">
        <x:v>02096.HK</x:v>
      </x:c>
      <x:c r="C2049" s="11" t="str">
        <x:v>COGS</x:v>
      </x:c>
      <x:c r="D2049" s="39" t="n">
        <x:v>765.105</x:v>
      </x:c>
      <x:c r="E2049" s="11" t="str">
        <x:v>CNY</x:v>
      </x:c>
      <x:c r="F2049" s="11" t="str">
        <x:v>million CNY</x:v>
      </x:c>
      <x:c r="G2049" s="11" t="str">
        <x:v>2026H1 HKFRS</x:v>
      </x:c>
      <x:c r="H2049" s="11" t="str">
        <x:v>2026-09-24</x:v>
      </x:c>
      <x:c r="I2049" s="11" t="str">
        <x:v>https://iis.aastocks.com/20260924/12344555-0.PDF</x:v>
      </x:c>
      <x:c r="J2049" s="11" t="str">
        <x:v>首度公开日期 2026-08-20</x:v>
      </x:c>
      <x:c r="K2049" s="11" t="str">
        <x:v>2026-08-20</x:v>
      </x:c>
      <x:c r="L2049" s="11" t="str">
        <x:v>精确发布时间未核验</x:v>
      </x:c>
      <x:c r="M2049" s="11" t="str">
        <x:v>截止日前日期，盘中时分未核</x:v>
      </x:c>
    </x:row>
    <x:row r="2050" ht="23" customHeight="1">
      <x:c r="A2050" s="11" t="str">
        <x:v>I033</x:v>
      </x:c>
      <x:c r="B2050" s="11" t="str">
        <x:v>02096.HK</x:v>
      </x:c>
      <x:c r="C2050" s="11" t="str">
        <x:v>grossProfit</x:v>
      </x:c>
      <x:c r="D2050" s="39" t="n">
        <x:v>3815.037</x:v>
      </x:c>
      <x:c r="E2050" s="11" t="str">
        <x:v>CNY</x:v>
      </x:c>
      <x:c r="F2050" s="11" t="str">
        <x:v>million CNY</x:v>
      </x:c>
      <x:c r="G2050" s="11" t="str">
        <x:v>2026H1 HKFRS</x:v>
      </x:c>
      <x:c r="H2050" s="11" t="str">
        <x:v>2026-09-24</x:v>
      </x:c>
      <x:c r="I2050" s="11" t="str">
        <x:v>https://iis.aastocks.com/20260924/12344555-0.PDF</x:v>
      </x:c>
      <x:c r="J2050" s="11" t="str">
        <x:v>首度公开日期 2026-08-20</x:v>
      </x:c>
      <x:c r="K2050" s="11" t="str">
        <x:v>2026-08-20</x:v>
      </x:c>
      <x:c r="L2050" s="11" t="str">
        <x:v>精确发布时间未核验</x:v>
      </x:c>
      <x:c r="M2050" s="11" t="str">
        <x:v>截止日前日期，盘中时分未核</x:v>
      </x:c>
    </x:row>
    <x:row r="2051" ht="23" customHeight="1">
      <x:c r="A2051" s="11" t="str">
        <x:v>I033</x:v>
      </x:c>
      <x:c r="B2051" s="11" t="str">
        <x:v>02096.HK</x:v>
      </x:c>
      <x:c r="C2051" s="11" t="str">
        <x:v>parentProfit</x:v>
      </x:c>
      <x:c r="D2051" s="39" t="n">
        <x:v>828.72</x:v>
      </x:c>
      <x:c r="E2051" s="11" t="str">
        <x:v>CNY</x:v>
      </x:c>
      <x:c r="F2051" s="11" t="str">
        <x:v>million CNY</x:v>
      </x:c>
      <x:c r="G2051" s="11" t="str">
        <x:v>2026H1 HKFRS</x:v>
      </x:c>
      <x:c r="H2051" s="11" t="str">
        <x:v>2026-09-24</x:v>
      </x:c>
      <x:c r="I2051" s="11" t="str">
        <x:v>https://iis.aastocks.com/20260924/12344555-0.PDF</x:v>
      </x:c>
      <x:c r="J2051" s="11" t="str">
        <x:v>首度公开日期 2026-08-20</x:v>
      </x:c>
      <x:c r="K2051" s="11" t="str">
        <x:v>2026-08-20</x:v>
      </x:c>
      <x:c r="L2051" s="11" t="str">
        <x:v>精确发布时间未核验</x:v>
      </x:c>
      <x:c r="M2051" s="11" t="str">
        <x:v>截止日前日期，盘中时分未核</x:v>
      </x:c>
    </x:row>
    <x:row r="2052" ht="23" customHeight="1">
      <x:c r="A2052" s="11" t="str">
        <x:v>I033</x:v>
      </x:c>
      <x:c r="B2052" s="11" t="str">
        <x:v>02096.HK</x:v>
      </x:c>
      <x:c r="C2052" s="11" t="str">
        <x:v>consolidatedProfit</x:v>
      </x:c>
      <x:c r="D2052" s="39" t="n">
        <x:v>826.536</x:v>
      </x:c>
      <x:c r="E2052" s="11" t="str">
        <x:v>CNY</x:v>
      </x:c>
      <x:c r="F2052" s="11" t="str">
        <x:v>million CNY</x:v>
      </x:c>
      <x:c r="G2052" s="11" t="str">
        <x:v>2026H1 HKFRS</x:v>
      </x:c>
      <x:c r="H2052" s="11" t="str">
        <x:v>2026-09-24</x:v>
      </x:c>
      <x:c r="I2052" s="11" t="str">
        <x:v>https://iis.aastocks.com/20260924/12344555-0.PDF</x:v>
      </x:c>
      <x:c r="J2052" s="11" t="str">
        <x:v>首度公开日期 2026-08-20</x:v>
      </x:c>
      <x:c r="K2052" s="11" t="str">
        <x:v>2026-08-20</x:v>
      </x:c>
      <x:c r="L2052" s="11" t="str">
        <x:v>精确发布时间未核验</x:v>
      </x:c>
      <x:c r="M2052" s="11" t="str">
        <x:v>截止日前日期，盘中时分未核</x:v>
      </x:c>
    </x:row>
    <x:row r="2053" ht="23" customHeight="1">
      <x:c r="A2053" s="11" t="str">
        <x:v>I033</x:v>
      </x:c>
      <x:c r="B2053" s="11" t="str">
        <x:v>02096.HK</x:v>
      </x:c>
      <x:c r="C2053" s="11" t="str">
        <x:v>minorityLoss</x:v>
      </x:c>
      <x:c r="D2053" s="39" t="n">
        <x:v>2.184</x:v>
      </x:c>
      <x:c r="E2053" s="11" t="str">
        <x:v>CNY</x:v>
      </x:c>
      <x:c r="F2053" s="11" t="str">
        <x:v>million CNY</x:v>
      </x:c>
      <x:c r="G2053" s="11" t="str">
        <x:v>2026H1 HKFRS</x:v>
      </x:c>
      <x:c r="H2053" s="11" t="str">
        <x:v>2026-09-24</x:v>
      </x:c>
      <x:c r="I2053" s="11" t="str">
        <x:v>https://iis.aastocks.com/20260924/12344555-0.PDF</x:v>
      </x:c>
      <x:c r="J2053" s="11" t="str">
        <x:v>首度公开日期 2026-08-20</x:v>
      </x:c>
      <x:c r="K2053" s="11" t="str">
        <x:v>2026-08-20</x:v>
      </x:c>
      <x:c r="L2053" s="11" t="str">
        <x:v>精确发布时间未核验</x:v>
      </x:c>
      <x:c r="M2053" s="11" t="str">
        <x:v>截止日前日期，盘中时分未核</x:v>
      </x:c>
    </x:row>
    <x:row r="2054" ht="23" customHeight="1">
      <x:c r="A2054" s="11" t="str">
        <x:v>I033</x:v>
      </x:c>
      <x:c r="B2054" s="11" t="str">
        <x:v>02096.HK</x:v>
      </x:c>
      <x:c r="C2054" s="11" t="str">
        <x:v>adjustedParent</x:v>
      </x:c>
      <x:c r="D2054" s="39" t="n">
        <x:v>964.398</x:v>
      </x:c>
      <x:c r="E2054" s="11" t="str">
        <x:v>CNY</x:v>
      </x:c>
      <x:c r="F2054" s="11" t="str">
        <x:v>million CNY</x:v>
      </x:c>
      <x:c r="G2054" s="11" t="str">
        <x:v>2026H1 HKFRS</x:v>
      </x:c>
      <x:c r="H2054" s="11" t="str">
        <x:v>2026-09-24</x:v>
      </x:c>
      <x:c r="I2054" s="11" t="str">
        <x:v>https://iis.aastocks.com/20260924/12344555-0.PDF</x:v>
      </x:c>
      <x:c r="J2054" s="11" t="str">
        <x:v>首度公开日期 2026-08-20</x:v>
      </x:c>
      <x:c r="K2054" s="11" t="str">
        <x:v>2026-08-20</x:v>
      </x:c>
      <x:c r="L2054" s="11" t="str">
        <x:v>精确发布时间未核验</x:v>
      </x:c>
      <x:c r="M2054" s="11" t="str">
        <x:v>截止日前日期，盘中时分未核</x:v>
      </x:c>
    </x:row>
    <x:row r="2055" ht="23" customHeight="1">
      <x:c r="A2055" s="11" t="str">
        <x:v>I033</x:v>
      </x:c>
      <x:c r="B2055" s="11" t="str">
        <x:v>02096.HK</x:v>
      </x:c>
      <x:c r="C2055" s="11" t="str">
        <x:v>previousAdjustedParent</x:v>
      </x:c>
      <x:c r="D2055" s="39" t="n">
        <x:v>648.667</x:v>
      </x:c>
      <x:c r="E2055" s="11" t="str">
        <x:v>CNY</x:v>
      </x:c>
      <x:c r="F2055" s="11" t="str">
        <x:v>million CNY</x:v>
      </x:c>
      <x:c r="G2055" s="11" t="str">
        <x:v>2025H1 restated</x:v>
      </x:c>
      <x:c r="H2055" s="11" t="str">
        <x:v>2026-09-24</x:v>
      </x:c>
      <x:c r="I2055" s="11" t="str">
        <x:v>https://iis.aastocks.com/20260924/12344555-0.PDF</x:v>
      </x:c>
      <x:c r="J2055" s="11" t="str">
        <x:v>首度公开日期 2026-08-20</x:v>
      </x:c>
      <x:c r="K2055" s="11" t="str">
        <x:v>2026-08-20</x:v>
      </x:c>
      <x:c r="L2055" s="11" t="str">
        <x:v>精确发布时间未核验</x:v>
      </x:c>
      <x:c r="M2055" s="11" t="str">
        <x:v>截止日前日期，盘中时分未核</x:v>
      </x:c>
    </x:row>
    <x:row r="2056" ht="23" customHeight="1">
      <x:c r="A2056" s="11" t="str">
        <x:v>I033</x:v>
      </x:c>
      <x:c r="B2056" s="11" t="str">
        <x:v>02096.HK</x:v>
      </x:c>
      <x:c r="C2056" s="11" t="str">
        <x:v>FVloss</x:v>
      </x:c>
      <x:c r="D2056" s="39" t="n">
        <x:v>96.494</x:v>
      </x:c>
      <x:c r="E2056" s="11" t="str">
        <x:v>CNY</x:v>
      </x:c>
      <x:c r="F2056" s="11" t="str">
        <x:v>million CNY</x:v>
      </x:c>
      <x:c r="G2056" s="11" t="str">
        <x:v>2026H1 HKFRS</x:v>
      </x:c>
      <x:c r="H2056" s="11" t="str">
        <x:v>2026-09-24</x:v>
      </x:c>
      <x:c r="I2056" s="11" t="str">
        <x:v>https://iis.aastocks.com/20260924/12344555-0.PDF</x:v>
      </x:c>
      <x:c r="J2056" s="11" t="str">
        <x:v>首度公开日期 2026-08-20</x:v>
      </x:c>
      <x:c r="K2056" s="11" t="str">
        <x:v>2026-08-20</x:v>
      </x:c>
      <x:c r="L2056" s="11" t="str">
        <x:v>精确发布时间未核验</x:v>
      </x:c>
      <x:c r="M2056" s="11" t="str">
        <x:v>截止日前日期，盘中时分未核</x:v>
      </x:c>
    </x:row>
    <x:row r="2057" ht="23" customHeight="1">
      <x:c r="A2057" s="11" t="str">
        <x:v>I033</x:v>
      </x:c>
      <x:c r="B2057" s="11" t="str">
        <x:v>02096.HK</x:v>
      </x:c>
      <x:c r="C2057" s="11" t="str">
        <x:v>redemptionInterest</x:v>
      </x:c>
      <x:c r="D2057" s="39" t="n">
        <x:v>40.375</x:v>
      </x:c>
      <x:c r="E2057" s="11" t="str">
        <x:v>CNY</x:v>
      </x:c>
      <x:c r="F2057" s="11" t="str">
        <x:v>million CNY</x:v>
      </x:c>
      <x:c r="G2057" s="11" t="str">
        <x:v>2026H1 HKFRS</x:v>
      </x:c>
      <x:c r="H2057" s="11" t="str">
        <x:v>2026-09-24</x:v>
      </x:c>
      <x:c r="I2057" s="11" t="str">
        <x:v>https://iis.aastocks.com/20260924/12344555-0.PDF</x:v>
      </x:c>
      <x:c r="J2057" s="11" t="str">
        <x:v>首度公开日期 2026-08-20</x:v>
      </x:c>
      <x:c r="K2057" s="11" t="str">
        <x:v>2026-08-20</x:v>
      </x:c>
      <x:c r="L2057" s="11" t="str">
        <x:v>精确发布时间未核验</x:v>
      </x:c>
      <x:c r="M2057" s="11" t="str">
        <x:v>截止日前日期，盘中时分未核</x:v>
      </x:c>
    </x:row>
    <x:row r="2058" ht="23" customHeight="1">
      <x:c r="A2058" s="11" t="str">
        <x:v>I033</x:v>
      </x:c>
      <x:c r="B2058" s="11" t="str">
        <x:v>02096.HK</x:v>
      </x:c>
      <x:c r="C2058" s="11" t="str">
        <x:v>adjustTax</x:v>
      </x:c>
      <x:c r="D2058" s="39" t="n">
        <x:v>-1.191</x:v>
      </x:c>
      <x:c r="E2058" s="11" t="str">
        <x:v>CNY</x:v>
      </x:c>
      <x:c r="F2058" s="11" t="str">
        <x:v>million CNY</x:v>
      </x:c>
      <x:c r="G2058" s="11" t="str">
        <x:v>2026H1 HKFRS</x:v>
      </x:c>
      <x:c r="H2058" s="11" t="str">
        <x:v>2026-09-24</x:v>
      </x:c>
      <x:c r="I2058" s="11" t="str">
        <x:v>https://iis.aastocks.com/20260924/12344555-0.PDF</x:v>
      </x:c>
      <x:c r="J2058" s="11" t="str">
        <x:v>首度公开日期 2026-08-20</x:v>
      </x:c>
      <x:c r="K2058" s="11" t="str">
        <x:v>2026-08-20</x:v>
      </x:c>
      <x:c r="L2058" s="11" t="str">
        <x:v>精确发布时间未核验</x:v>
      </x:c>
      <x:c r="M2058" s="11" t="str">
        <x:v>截止日前日期，盘中时分未核</x:v>
      </x:c>
    </x:row>
    <x:row r="2059" ht="23" customHeight="1">
      <x:c r="A2059" s="11" t="str">
        <x:v>I033</x:v>
      </x:c>
      <x:c r="B2059" s="11" t="str">
        <x:v>02096.HK</x:v>
      </x:c>
      <x:c r="C2059" s="11" t="str">
        <x:v>otherIncome</x:v>
      </x:c>
      <x:c r="D2059" s="39" t="n">
        <x:v>85.89</x:v>
      </x:c>
      <x:c r="E2059" s="11" t="str">
        <x:v>CNY</x:v>
      </x:c>
      <x:c r="F2059" s="11" t="str">
        <x:v>million CNY</x:v>
      </x:c>
      <x:c r="G2059" s="11" t="str">
        <x:v>2026H1 HKFRS</x:v>
      </x:c>
      <x:c r="H2059" s="11" t="str">
        <x:v>2026-09-24</x:v>
      </x:c>
      <x:c r="I2059" s="11" t="str">
        <x:v>https://iis.aastocks.com/20260924/12344555-0.PDF</x:v>
      </x:c>
      <x:c r="J2059" s="11" t="str">
        <x:v>首度公开日期 2026-08-20</x:v>
      </x:c>
      <x:c r="K2059" s="11" t="str">
        <x:v>2026-08-20</x:v>
      </x:c>
      <x:c r="L2059" s="11" t="str">
        <x:v>精确发布时间未核验</x:v>
      </x:c>
      <x:c r="M2059" s="11" t="str">
        <x:v>截止日前日期，盘中时分未核</x:v>
      </x:c>
    </x:row>
    <x:row r="2060" ht="23" customHeight="1">
      <x:c r="A2060" s="11" t="str">
        <x:v>I033</x:v>
      </x:c>
      <x:c r="B2060" s="11" t="str">
        <x:v>02096.HK</x:v>
      </x:c>
      <x:c r="C2060" s="11" t="str">
        <x:v>governmentGrant</x:v>
      </x:c>
      <x:c r="D2060" s="39" t="n">
        <x:v>77.321</x:v>
      </x:c>
      <x:c r="E2060" s="11" t="str">
        <x:v>CNY</x:v>
      </x:c>
      <x:c r="F2060" s="11" t="str">
        <x:v>million CNY</x:v>
      </x:c>
      <x:c r="G2060" s="11" t="str">
        <x:v>2026H1 HKFRS</x:v>
      </x:c>
      <x:c r="H2060" s="11" t="str">
        <x:v>2026-09-24</x:v>
      </x:c>
      <x:c r="I2060" s="11" t="str">
        <x:v>https://iis.aastocks.com/20260924/12344555-0.PDF</x:v>
      </x:c>
      <x:c r="J2060" s="11" t="str">
        <x:v>首度公开日期 2026-08-20</x:v>
      </x:c>
      <x:c r="K2060" s="11" t="str">
        <x:v>2026-08-20</x:v>
      </x:c>
      <x:c r="L2060" s="11" t="str">
        <x:v>精确发布时间未核验</x:v>
      </x:c>
      <x:c r="M2060" s="11" t="str">
        <x:v>截止日前日期，盘中时分未核</x:v>
      </x:c>
    </x:row>
    <x:row r="2061" ht="23" customHeight="1">
      <x:c r="A2061" s="11" t="str">
        <x:v>I033</x:v>
      </x:c>
      <x:c r="B2061" s="11" t="str">
        <x:v>02096.HK</x:v>
      </x:c>
      <x:c r="C2061" s="11" t="str">
        <x:v>FXgain</x:v>
      </x:c>
      <x:c r="D2061" s="39" t="n">
        <x:v>24.62</x:v>
      </x:c>
      <x:c r="E2061" s="11" t="str">
        <x:v>CNY</x:v>
      </x:c>
      <x:c r="F2061" s="11" t="str">
        <x:v>million CNY</x:v>
      </x:c>
      <x:c r="G2061" s="11" t="str">
        <x:v>2026H1 HKFRS</x:v>
      </x:c>
      <x:c r="H2061" s="11" t="str">
        <x:v>2026-09-24</x:v>
      </x:c>
      <x:c r="I2061" s="11" t="str">
        <x:v>https://iis.aastocks.com/20260924/12344555-0.PDF</x:v>
      </x:c>
      <x:c r="J2061" s="11" t="str">
        <x:v>首度公开日期 2026-08-20</x:v>
      </x:c>
      <x:c r="K2061" s="11" t="str">
        <x:v>2026-08-20</x:v>
      </x:c>
      <x:c r="L2061" s="11" t="str">
        <x:v>精确发布时间未核验</x:v>
      </x:c>
      <x:c r="M2061" s="11" t="str">
        <x:v>截止日前日期，盘中时分未核</x:v>
      </x:c>
    </x:row>
    <x:row r="2062" ht="23" customHeight="1">
      <x:c r="A2062" s="11" t="str">
        <x:v>I033</x:v>
      </x:c>
      <x:c r="B2062" s="11" t="str">
        <x:v>02096.HK</x:v>
      </x:c>
      <x:c r="C2062" s="11" t="str">
        <x:v>selling</x:v>
      </x:c>
      <x:c r="D2062" s="39" t="n">
        <x:v>1707.916</x:v>
      </x:c>
      <x:c r="E2062" s="11" t="str">
        <x:v>CNY</x:v>
      </x:c>
      <x:c r="F2062" s="11" t="str">
        <x:v>million CNY</x:v>
      </x:c>
      <x:c r="G2062" s="11" t="str">
        <x:v>2026H1 HKFRS</x:v>
      </x:c>
      <x:c r="H2062" s="11" t="str">
        <x:v>2026-09-24</x:v>
      </x:c>
      <x:c r="I2062" s="11" t="str">
        <x:v>https://iis.aastocks.com/20260924/12344555-0.PDF</x:v>
      </x:c>
      <x:c r="J2062" s="11" t="str">
        <x:v>首度公开日期 2026-08-20</x:v>
      </x:c>
      <x:c r="K2062" s="11" t="str">
        <x:v>2026-08-20</x:v>
      </x:c>
      <x:c r="L2062" s="11" t="str">
        <x:v>精确发布时间未核验</x:v>
      </x:c>
      <x:c r="M2062" s="11" t="str">
        <x:v>截止日前日期，盘中时分未核</x:v>
      </x:c>
    </x:row>
    <x:row r="2063" ht="23" customHeight="1">
      <x:c r="A2063" s="11" t="str">
        <x:v>I033</x:v>
      </x:c>
      <x:c r="B2063" s="11" t="str">
        <x:v>02096.HK</x:v>
      </x:c>
      <x:c r="C2063" s="11" t="str">
        <x:v>admin</x:v>
      </x:c>
      <x:c r="D2063" s="39" t="n">
        <x:v>321.981</x:v>
      </x:c>
      <x:c r="E2063" s="11" t="str">
        <x:v>CNY</x:v>
      </x:c>
      <x:c r="F2063" s="11" t="str">
        <x:v>million CNY</x:v>
      </x:c>
      <x:c r="G2063" s="11" t="str">
        <x:v>2026H1 HKFRS</x:v>
      </x:c>
      <x:c r="H2063" s="11" t="str">
        <x:v>2026-09-24</x:v>
      </x:c>
      <x:c r="I2063" s="11" t="str">
        <x:v>https://iis.aastocks.com/20260924/12344555-0.PDF</x:v>
      </x:c>
      <x:c r="J2063" s="11" t="str">
        <x:v>首度公开日期 2026-08-20</x:v>
      </x:c>
      <x:c r="K2063" s="11" t="str">
        <x:v>2026-08-20</x:v>
      </x:c>
      <x:c r="L2063" s="11" t="str">
        <x:v>精确发布时间未核验</x:v>
      </x:c>
      <x:c r="M2063" s="11" t="str">
        <x:v>截止日前日期，盘中时分未核</x:v>
      </x:c>
    </x:row>
    <x:row r="2064" ht="23" customHeight="1">
      <x:c r="A2064" s="11" t="str">
        <x:v>I033</x:v>
      </x:c>
      <x:c r="B2064" s="11" t="str">
        <x:v>02096.HK</x:v>
      </x:c>
      <x:c r="C2064" s="11" t="str">
        <x:v>RDexpense</x:v>
      </x:c>
      <x:c r="D2064" s="39" t="n">
        <x:v>824.922</x:v>
      </x:c>
      <x:c r="E2064" s="11" t="str">
        <x:v>CNY</x:v>
      </x:c>
      <x:c r="F2064" s="11" t="str">
        <x:v>million CNY</x:v>
      </x:c>
      <x:c r="G2064" s="11" t="str">
        <x:v>2026H1 HKFRS</x:v>
      </x:c>
      <x:c r="H2064" s="11" t="str">
        <x:v>2026-09-24</x:v>
      </x:c>
      <x:c r="I2064" s="11" t="str">
        <x:v>https://iis.aastocks.com/20260924/12344555-0.PDF</x:v>
      </x:c>
      <x:c r="J2064" s="11" t="str">
        <x:v>首度公开日期 2026-08-20</x:v>
      </x:c>
      <x:c r="K2064" s="11" t="str">
        <x:v>2026-08-20</x:v>
      </x:c>
      <x:c r="L2064" s="11" t="str">
        <x:v>精确发布时间未核验</x:v>
      </x:c>
      <x:c r="M2064" s="11" t="str">
        <x:v>截止日前日期，盘中时分未核</x:v>
      </x:c>
    </x:row>
    <x:row r="2065" ht="23" customHeight="1">
      <x:c r="A2065" s="11" t="str">
        <x:v>I033</x:v>
      </x:c>
      <x:c r="B2065" s="11" t="str">
        <x:v>02096.HK</x:v>
      </x:c>
      <x:c r="C2065" s="11" t="str">
        <x:v>totalRDInvestment</x:v>
      </x:c>
      <x:c r="D2065" s="39" t="n">
        <x:v>879.264</x:v>
      </x:c>
      <x:c r="E2065" s="11" t="str">
        <x:v>CNY</x:v>
      </x:c>
      <x:c r="F2065" s="11" t="str">
        <x:v>million CNY</x:v>
      </x:c>
      <x:c r="G2065" s="11" t="str">
        <x:v>2026H1 HKFRS</x:v>
      </x:c>
      <x:c r="H2065" s="11" t="str">
        <x:v>2026-09-24</x:v>
      </x:c>
      <x:c r="I2065" s="11" t="str">
        <x:v>https://iis.aastocks.com/20260924/12344555-0.PDF</x:v>
      </x:c>
      <x:c r="J2065" s="11" t="str">
        <x:v>首度公开日期 2026-08-20</x:v>
      </x:c>
      <x:c r="K2065" s="11" t="str">
        <x:v>2026-08-20</x:v>
      </x:c>
      <x:c r="L2065" s="11" t="str">
        <x:v>精确发布时间未核验</x:v>
      </x:c>
      <x:c r="M2065" s="11" t="str">
        <x:v>截止日前日期，盘中时分未核</x:v>
      </x:c>
    </x:row>
    <x:row r="2066" ht="23" customHeight="1">
      <x:c r="A2066" s="11" t="str">
        <x:v>I033</x:v>
      </x:c>
      <x:c r="B2066" s="11" t="str">
        <x:v>02096.HK</x:v>
      </x:c>
      <x:c r="C2066" s="11" t="str">
        <x:v>licensedIntangibleAdd</x:v>
      </x:c>
      <x:c r="D2066" s="39" t="n">
        <x:v>54.342</x:v>
      </x:c>
      <x:c r="E2066" s="11" t="str">
        <x:v>CNY</x:v>
      </x:c>
      <x:c r="F2066" s="11" t="str">
        <x:v>million CNY</x:v>
      </x:c>
      <x:c r="G2066" s="11" t="str">
        <x:v>2026H1 HKFRS</x:v>
      </x:c>
      <x:c r="H2066" s="11" t="str">
        <x:v>2026-09-24</x:v>
      </x:c>
      <x:c r="I2066" s="11" t="str">
        <x:v>https://iis.aastocks.com/20260924/12344555-0.PDF</x:v>
      </x:c>
      <x:c r="J2066" s="11" t="str">
        <x:v>首度公开日期 2026-08-20</x:v>
      </x:c>
      <x:c r="K2066" s="11" t="str">
        <x:v>2026-08-20</x:v>
      </x:c>
      <x:c r="L2066" s="11" t="str">
        <x:v>精确发布时间未核验</x:v>
      </x:c>
      <x:c r="M2066" s="11" t="str">
        <x:v>截止日前日期，盘中时分未核</x:v>
      </x:c>
    </x:row>
    <x:row r="2067" ht="23" customHeight="1">
      <x:c r="A2067" s="11" t="str">
        <x:v>I033</x:v>
      </x:c>
      <x:c r="B2067" s="11" t="str">
        <x:v>02096.HK</x:v>
      </x:c>
      <x:c r="C2067" s="11" t="str">
        <x:v>actualIntangibleAdd</x:v>
      </x:c>
      <x:c r="D2067" s="39" t="n">
        <x:v>110.309</x:v>
      </x:c>
      <x:c r="E2067" s="11" t="str">
        <x:v>CNY</x:v>
      </x:c>
      <x:c r="F2067" s="11" t="str">
        <x:v>million CNY</x:v>
      </x:c>
      <x:c r="G2067" s="11" t="str">
        <x:v>2026H1 HKFRS</x:v>
      </x:c>
      <x:c r="H2067" s="11" t="str">
        <x:v>2026-09-24</x:v>
      </x:c>
      <x:c r="I2067" s="11" t="str">
        <x:v>https://iis.aastocks.com/20260924/12344555-0.PDF</x:v>
      </x:c>
      <x:c r="J2067" s="11" t="str">
        <x:v>首度公开日期 2026-08-20</x:v>
      </x:c>
      <x:c r="K2067" s="11" t="str">
        <x:v>2026-08-20</x:v>
      </x:c>
      <x:c r="L2067" s="11" t="str">
        <x:v>精确发布时间未核验</x:v>
      </x:c>
      <x:c r="M2067" s="11" t="str">
        <x:v>截止日前日期，盘中时分未核</x:v>
      </x:c>
    </x:row>
    <x:row r="2068" ht="23" customHeight="1">
      <x:c r="A2068" s="11" t="str">
        <x:v>I033</x:v>
      </x:c>
      <x:c r="B2068" s="11" t="str">
        <x:v>02096.HK</x:v>
      </x:c>
      <x:c r="C2068" s="11" t="str">
        <x:v>netImpairment</x:v>
      </x:c>
      <x:c r="D2068" s="39" t="n">
        <x:v>4.123</x:v>
      </x:c>
      <x:c r="E2068" s="11" t="str">
        <x:v>CNY</x:v>
      </x:c>
      <x:c r="F2068" s="11" t="str">
        <x:v>million CNY</x:v>
      </x:c>
      <x:c r="G2068" s="11" t="str">
        <x:v>2026H1 HKFRS</x:v>
      </x:c>
      <x:c r="H2068" s="11" t="str">
        <x:v>2026-09-24</x:v>
      </x:c>
      <x:c r="I2068" s="11" t="str">
        <x:v>https://iis.aastocks.com/20260924/12344555-0.PDF</x:v>
      </x:c>
      <x:c r="J2068" s="11" t="str">
        <x:v>首度公开日期 2026-08-20</x:v>
      </x:c>
      <x:c r="K2068" s="11" t="str">
        <x:v>2026-08-20</x:v>
      </x:c>
      <x:c r="L2068" s="11" t="str">
        <x:v>精确发布时间未核验</x:v>
      </x:c>
      <x:c r="M2068" s="11" t="str">
        <x:v>截止日前日期，盘中时分未核</x:v>
      </x:c>
    </x:row>
    <x:row r="2069" ht="23" customHeight="1">
      <x:c r="A2069" s="11" t="str">
        <x:v>I033</x:v>
      </x:c>
      <x:c r="B2069" s="11" t="str">
        <x:v>02096.HK</x:v>
      </x:c>
      <x:c r="C2069" s="11" t="str">
        <x:v>operatingProfit</x:v>
      </x:c>
      <x:c r="D2069" s="39" t="n">
        <x:v>970.105</x:v>
      </x:c>
      <x:c r="E2069" s="11" t="str">
        <x:v>CNY</x:v>
      </x:c>
      <x:c r="F2069" s="11" t="str">
        <x:v>million CNY</x:v>
      </x:c>
      <x:c r="G2069" s="11" t="str">
        <x:v>2026H1 HKFRS</x:v>
      </x:c>
      <x:c r="H2069" s="11" t="str">
        <x:v>2026-09-24</x:v>
      </x:c>
      <x:c r="I2069" s="11" t="str">
        <x:v>https://iis.aastocks.com/20260924/12344555-0.PDF</x:v>
      </x:c>
      <x:c r="J2069" s="11" t="str">
        <x:v>首度公开日期 2026-08-20</x:v>
      </x:c>
      <x:c r="K2069" s="11" t="str">
        <x:v>2026-08-20</x:v>
      </x:c>
      <x:c r="L2069" s="11" t="str">
        <x:v>精确发布时间未核验</x:v>
      </x:c>
      <x:c r="M2069" s="11" t="str">
        <x:v>截止日前日期，盘中时分未核</x:v>
      </x:c>
    </x:row>
    <x:row r="2070" ht="23" customHeight="1">
      <x:c r="A2070" s="11" t="str">
        <x:v>I033</x:v>
      </x:c>
      <x:c r="B2070" s="11" t="str">
        <x:v>02096.HK</x:v>
      </x:c>
      <x:c r="C2070" s="11" t="str">
        <x:v>pretax</x:v>
      </x:c>
      <x:c r="D2070" s="39" t="n">
        <x:v>966.718</x:v>
      </x:c>
      <x:c r="E2070" s="11" t="str">
        <x:v>CNY</x:v>
      </x:c>
      <x:c r="F2070" s="11" t="str">
        <x:v>million CNY</x:v>
      </x:c>
      <x:c r="G2070" s="11" t="str">
        <x:v>2026H1 HKFRS</x:v>
      </x:c>
      <x:c r="H2070" s="11" t="str">
        <x:v>2026-09-24</x:v>
      </x:c>
      <x:c r="I2070" s="11" t="str">
        <x:v>https://iis.aastocks.com/20260924/12344555-0.PDF</x:v>
      </x:c>
      <x:c r="J2070" s="11" t="str">
        <x:v>首度公开日期 2026-08-20</x:v>
      </x:c>
      <x:c r="K2070" s="11" t="str">
        <x:v>2026-08-20</x:v>
      </x:c>
      <x:c r="L2070" s="11" t="str">
        <x:v>精确发布时间未核验</x:v>
      </x:c>
      <x:c r="M2070" s="11" t="str">
        <x:v>截止日前日期，盘中时分未核</x:v>
      </x:c>
    </x:row>
    <x:row r="2071" ht="23" customHeight="1">
      <x:c r="A2071" s="11" t="str">
        <x:v>I033</x:v>
      </x:c>
      <x:c r="B2071" s="11" t="str">
        <x:v>02096.HK</x:v>
      </x:c>
      <x:c r="C2071" s="11" t="str">
        <x:v>tax</x:v>
      </x:c>
      <x:c r="D2071" s="39" t="n">
        <x:v>140.182</x:v>
      </x:c>
      <x:c r="E2071" s="11" t="str">
        <x:v>CNY</x:v>
      </x:c>
      <x:c r="F2071" s="11" t="str">
        <x:v>million CNY</x:v>
      </x:c>
      <x:c r="G2071" s="11" t="str">
        <x:v>2026H1 HKFRS</x:v>
      </x:c>
      <x:c r="H2071" s="11" t="str">
        <x:v>2026-09-24</x:v>
      </x:c>
      <x:c r="I2071" s="11" t="str">
        <x:v>https://iis.aastocks.com/20260924/12344555-0.PDF</x:v>
      </x:c>
      <x:c r="J2071" s="11" t="str">
        <x:v>首度公开日期 2026-08-20</x:v>
      </x:c>
      <x:c r="K2071" s="11" t="str">
        <x:v>2026-08-20</x:v>
      </x:c>
      <x:c r="L2071" s="11" t="str">
        <x:v>精确发布时间未核验</x:v>
      </x:c>
      <x:c r="M2071" s="11" t="str">
        <x:v>截止日前日期，盘中时分未核</x:v>
      </x:c>
    </x:row>
    <x:row r="2072" ht="23" customHeight="1">
      <x:c r="A2072" s="11" t="str">
        <x:v>I033</x:v>
      </x:c>
      <x:c r="B2072" s="11" t="str">
        <x:v>02096.HK</x:v>
      </x:c>
      <x:c r="C2072" s="11" t="str">
        <x:v>oncRevenue</x:v>
      </x:c>
      <x:c r="D2072" s="39" t="n">
        <x:v>924.8</x:v>
      </x:c>
      <x:c r="E2072" s="11" t="str">
        <x:v>CNY</x:v>
      </x:c>
      <x:c r="F2072" s="11" t="str">
        <x:v>million CNY</x:v>
      </x:c>
      <x:c r="G2072" s="11" t="str">
        <x:v>2026H1 HKFRS</x:v>
      </x:c>
      <x:c r="H2072" s="11" t="str">
        <x:v>2026-09-24</x:v>
      </x:c>
      <x:c r="I2072" s="11" t="str">
        <x:v>https://iis.aastocks.com/20260924/12344555-0.PDF</x:v>
      </x:c>
      <x:c r="J2072" s="11" t="str">
        <x:v>首度公开日期 2026-08-20</x:v>
      </x:c>
      <x:c r="K2072" s="11" t="str">
        <x:v>2026-08-20</x:v>
      </x:c>
      <x:c r="L2072" s="11" t="str">
        <x:v>精确发布时间未核验</x:v>
      </x:c>
      <x:c r="M2072" s="11" t="str">
        <x:v>截止日前日期，盘中时分未核</x:v>
      </x:c>
    </x:row>
    <x:row r="2073" ht="23" customHeight="1">
      <x:c r="A2073" s="11" t="str">
        <x:v>I033</x:v>
      </x:c>
      <x:c r="B2073" s="11" t="str">
        <x:v>02096.HK</x:v>
      </x:c>
      <x:c r="C2073" s="11" t="str">
        <x:v>oncAdjustedPretax</x:v>
      </x:c>
      <x:c r="D2073" s="39" t="n">
        <x:v>-209.435</x:v>
      </x:c>
      <x:c r="E2073" s="11" t="str">
        <x:v>CNY</x:v>
      </x:c>
      <x:c r="F2073" s="11" t="str">
        <x:v>million CNY</x:v>
      </x:c>
      <x:c r="G2073" s="11" t="str">
        <x:v>2026H1 HKFRS</x:v>
      </x:c>
      <x:c r="H2073" s="11" t="str">
        <x:v>2026-09-24</x:v>
      </x:c>
      <x:c r="I2073" s="11" t="str">
        <x:v>https://iis.aastocks.com/20260924/12344555-0.PDF</x:v>
      </x:c>
      <x:c r="J2073" s="11" t="str">
        <x:v>首度公开日期 2026-08-20</x:v>
      </x:c>
      <x:c r="K2073" s="11" t="str">
        <x:v>2026-08-20</x:v>
      </x:c>
      <x:c r="L2073" s="11" t="str">
        <x:v>精确发布时间未核验</x:v>
      </x:c>
      <x:c r="M2073" s="11" t="str">
        <x:v>截止日前日期，盘中时分未核</x:v>
      </x:c>
    </x:row>
    <x:row r="2074" ht="23" customHeight="1">
      <x:c r="A2074" s="11" t="str">
        <x:v>I033</x:v>
      </x:c>
      <x:c r="B2074" s="11" t="str">
        <x:v>02096.HK</x:v>
      </x:c>
      <x:c r="C2074" s="11" t="str">
        <x:v>otherAdjustedPretax</x:v>
      </x:c>
      <x:c r="D2074" s="39" t="n">
        <x:v>1317.513</x:v>
      </x:c>
      <x:c r="E2074" s="11" t="str">
        <x:v>CNY</x:v>
      </x:c>
      <x:c r="F2074" s="11" t="str">
        <x:v>million CNY</x:v>
      </x:c>
      <x:c r="G2074" s="11" t="str">
        <x:v>2026H1 HKFRS</x:v>
      </x:c>
      <x:c r="H2074" s="11" t="str">
        <x:v>2026-09-24</x:v>
      </x:c>
      <x:c r="I2074" s="11" t="str">
        <x:v>https://iis.aastocks.com/20260924/12344555-0.PDF</x:v>
      </x:c>
      <x:c r="J2074" s="11" t="str">
        <x:v>首度公开日期 2026-08-20</x:v>
      </x:c>
      <x:c r="K2074" s="11" t="str">
        <x:v>2026-08-20</x:v>
      </x:c>
      <x:c r="L2074" s="11" t="str">
        <x:v>精确发布时间未核验</x:v>
      </x:c>
      <x:c r="M2074" s="11" t="str">
        <x:v>截止日前日期，盘中时分未核</x:v>
      </x:c>
    </x:row>
    <x:row r="2075" ht="23" customHeight="1">
      <x:c r="A2075" s="11" t="str">
        <x:v>I033</x:v>
      </x:c>
      <x:c r="B2075" s="11" t="str">
        <x:v>02096.HK</x:v>
      </x:c>
      <x:c r="C2075" s="11" t="str">
        <x:v>OCF</x:v>
      </x:c>
      <x:c r="D2075" s="39" t="n">
        <x:v>1605.16</x:v>
      </x:c>
      <x:c r="E2075" s="11" t="str">
        <x:v>CNY</x:v>
      </x:c>
      <x:c r="F2075" s="11" t="str">
        <x:v>million CNY</x:v>
      </x:c>
      <x:c r="G2075" s="11" t="str">
        <x:v>2026H1 HKFRS</x:v>
      </x:c>
      <x:c r="H2075" s="11" t="str">
        <x:v>2026-09-24</x:v>
      </x:c>
      <x:c r="I2075" s="11" t="str">
        <x:v>https://iis.aastocks.com/20260924/12344555-0.PDF</x:v>
      </x:c>
      <x:c r="J2075" s="11" t="str">
        <x:v>首度公开日期 2026-08-20</x:v>
      </x:c>
      <x:c r="K2075" s="11" t="str">
        <x:v>2026-08-20</x:v>
      </x:c>
      <x:c r="L2075" s="11" t="str">
        <x:v>精确发布时间未核验</x:v>
      </x:c>
      <x:c r="M2075" s="11" t="str">
        <x:v>截止日前日期，盘中时分未核</x:v>
      </x:c>
    </x:row>
    <x:row r="2076" ht="23" customHeight="1">
      <x:c r="A2076" s="11" t="str">
        <x:v>I033</x:v>
      </x:c>
      <x:c r="B2076" s="11" t="str">
        <x:v>02096.HK</x:v>
      </x:c>
      <x:c r="C2076" s="11" t="str">
        <x:v>previousOCF</x:v>
      </x:c>
      <x:c r="D2076" s="39" t="n">
        <x:v>862.831</x:v>
      </x:c>
      <x:c r="E2076" s="11" t="str">
        <x:v>CNY</x:v>
      </x:c>
      <x:c r="F2076" s="11" t="str">
        <x:v>million CNY</x:v>
      </x:c>
      <x:c r="G2076" s="11" t="str">
        <x:v>2025H1 restated</x:v>
      </x:c>
      <x:c r="H2076" s="11" t="str">
        <x:v>2026-09-24</x:v>
      </x:c>
      <x:c r="I2076" s="11" t="str">
        <x:v>https://iis.aastocks.com/20260924/12344555-0.PDF</x:v>
      </x:c>
      <x:c r="J2076" s="11" t="str">
        <x:v>首度公开日期 2026-08-20</x:v>
      </x:c>
      <x:c r="K2076" s="11" t="str">
        <x:v>2026-08-20</x:v>
      </x:c>
      <x:c r="L2076" s="11" t="str">
        <x:v>精确发布时间未核验</x:v>
      </x:c>
      <x:c r="M2076" s="11" t="str">
        <x:v>截止日前日期，盘中时分未核</x:v>
      </x:c>
    </x:row>
    <x:row r="2077" ht="23" customHeight="1">
      <x:c r="A2077" s="11" t="str">
        <x:v>I033</x:v>
      </x:c>
      <x:c r="B2077" s="11" t="str">
        <x:v>02096.HK</x:v>
      </x:c>
      <x:c r="C2077" s="11" t="str">
        <x:v>PPEcash</x:v>
      </x:c>
      <x:c r="D2077" s="39" t="n">
        <x:v>252.953</x:v>
      </x:c>
      <x:c r="E2077" s="11" t="str">
        <x:v>CNY</x:v>
      </x:c>
      <x:c r="F2077" s="11" t="str">
        <x:v>million CNY</x:v>
      </x:c>
      <x:c r="G2077" s="11" t="str">
        <x:v>2026H1 HKFRS</x:v>
      </x:c>
      <x:c r="H2077" s="11" t="str">
        <x:v>2026-09-24</x:v>
      </x:c>
      <x:c r="I2077" s="11" t="str">
        <x:v>https://iis.aastocks.com/20260924/12344555-0.PDF</x:v>
      </x:c>
      <x:c r="J2077" s="11" t="str">
        <x:v>首度公开日期 2026-08-20</x:v>
      </x:c>
      <x:c r="K2077" s="11" t="str">
        <x:v>2026-08-20</x:v>
      </x:c>
      <x:c r="L2077" s="11" t="str">
        <x:v>精确发布时间未核验</x:v>
      </x:c>
      <x:c r="M2077" s="11" t="str">
        <x:v>截止日前日期，盘中时分未核</x:v>
      </x:c>
    </x:row>
    <x:row r="2078" ht="23" customHeight="1">
      <x:c r="A2078" s="11" t="str">
        <x:v>I033</x:v>
      </x:c>
      <x:c r="B2078" s="11" t="str">
        <x:v>02096.HK</x:v>
      </x:c>
      <x:c r="C2078" s="11" t="str">
        <x:v>intangibleCash</x:v>
      </x:c>
      <x:c r="D2078" s="39" t="n">
        <x:v>113.705</x:v>
      </x:c>
      <x:c r="E2078" s="11" t="str">
        <x:v>CNY</x:v>
      </x:c>
      <x:c r="F2078" s="11" t="str">
        <x:v>million CNY</x:v>
      </x:c>
      <x:c r="G2078" s="11" t="str">
        <x:v>2026H1 HKFRS</x:v>
      </x:c>
      <x:c r="H2078" s="11" t="str">
        <x:v>2026-09-24</x:v>
      </x:c>
      <x:c r="I2078" s="11" t="str">
        <x:v>https://iis.aastocks.com/20260924/12344555-0.PDF</x:v>
      </x:c>
      <x:c r="J2078" s="11" t="str">
        <x:v>首度公开日期 2026-08-20</x:v>
      </x:c>
      <x:c r="K2078" s="11" t="str">
        <x:v>2026-08-20</x:v>
      </x:c>
      <x:c r="L2078" s="11" t="str">
        <x:v>精确发布时间未核验</x:v>
      </x:c>
      <x:c r="M2078" s="11" t="str">
        <x:v>截止日前日期，盘中时分未核</x:v>
      </x:c>
    </x:row>
    <x:row r="2079" ht="23" customHeight="1">
      <x:c r="A2079" s="11" t="str">
        <x:v>I033</x:v>
      </x:c>
      <x:c r="B2079" s="11" t="str">
        <x:v>02096.HK</x:v>
      </x:c>
      <x:c r="C2079" s="11" t="str">
        <x:v>cash</x:v>
      </x:c>
      <x:c r="D2079" s="39" t="n">
        <x:v>3072.182</x:v>
      </x:c>
      <x:c r="E2079" s="11" t="str">
        <x:v>CNY</x:v>
      </x:c>
      <x:c r="F2079" s="11" t="str">
        <x:v>million CNY</x:v>
      </x:c>
      <x:c r="G2079" s="11" t="str">
        <x:v>2026H1 HKFRS</x:v>
      </x:c>
      <x:c r="H2079" s="11" t="str">
        <x:v>2026-09-24</x:v>
      </x:c>
      <x:c r="I2079" s="11" t="str">
        <x:v>https://iis.aastocks.com/20260924/12344555-0.PDF</x:v>
      </x:c>
      <x:c r="J2079" s="11" t="str">
        <x:v>首度公开日期 2026-08-20</x:v>
      </x:c>
      <x:c r="K2079" s="11" t="str">
        <x:v>2026-08-20</x:v>
      </x:c>
      <x:c r="L2079" s="11" t="str">
        <x:v>精确发布时间未核验</x:v>
      </x:c>
      <x:c r="M2079" s="11" t="str">
        <x:v>截止日前日期，盘中时分未核</x:v>
      </x:c>
    </x:row>
    <x:row r="2080" ht="23" customHeight="1">
      <x:c r="A2080" s="11" t="str">
        <x:v>I033</x:v>
      </x:c>
      <x:c r="B2080" s="11" t="str">
        <x:v>02096.HK</x:v>
      </x:c>
      <x:c r="C2080" s="11" t="str">
        <x:v>TDcurrent</x:v>
      </x:c>
      <x:c r="D2080" s="39" t="n">
        <x:v>955.306</x:v>
      </x:c>
      <x:c r="E2080" s="11" t="str">
        <x:v>CNY</x:v>
      </x:c>
      <x:c r="F2080" s="11" t="str">
        <x:v>million CNY</x:v>
      </x:c>
      <x:c r="G2080" s="11" t="str">
        <x:v>2026H1 HKFRS</x:v>
      </x:c>
      <x:c r="H2080" s="11" t="str">
        <x:v>2026-09-24</x:v>
      </x:c>
      <x:c r="I2080" s="11" t="str">
        <x:v>https://iis.aastocks.com/20260924/12344555-0.PDF</x:v>
      </x:c>
      <x:c r="J2080" s="11" t="str">
        <x:v>首度公开日期 2026-08-20</x:v>
      </x:c>
      <x:c r="K2080" s="11" t="str">
        <x:v>2026-08-20</x:v>
      </x:c>
      <x:c r="L2080" s="11" t="str">
        <x:v>精确发布时间未核验</x:v>
      </x:c>
      <x:c r="M2080" s="11" t="str">
        <x:v>截止日前日期，盘中时分未核</x:v>
      </x:c>
    </x:row>
    <x:row r="2081" ht="23" customHeight="1">
      <x:c r="A2081" s="11" t="str">
        <x:v>I033</x:v>
      </x:c>
      <x:c r="B2081" s="11" t="str">
        <x:v>02096.HK</x:v>
      </x:c>
      <x:c r="C2081" s="11" t="str">
        <x:v>TDnoncurrent</x:v>
      </x:c>
      <x:c r="D2081" s="39" t="n">
        <x:v>1170.119</x:v>
      </x:c>
      <x:c r="E2081" s="11" t="str">
        <x:v>CNY</x:v>
      </x:c>
      <x:c r="F2081" s="11" t="str">
        <x:v>million CNY</x:v>
      </x:c>
      <x:c r="G2081" s="11" t="str">
        <x:v>2026H1 HKFRS</x:v>
      </x:c>
      <x:c r="H2081" s="11" t="str">
        <x:v>2026-09-24</x:v>
      </x:c>
      <x:c r="I2081" s="11" t="str">
        <x:v>https://iis.aastocks.com/20260924/12344555-0.PDF</x:v>
      </x:c>
      <x:c r="J2081" s="11" t="str">
        <x:v>首度公开日期 2026-08-20</x:v>
      </x:c>
      <x:c r="K2081" s="11" t="str">
        <x:v>2026-08-20</x:v>
      </x:c>
      <x:c r="L2081" s="11" t="str">
        <x:v>精确发布时间未核验</x:v>
      </x:c>
      <x:c r="M2081" s="11" t="str">
        <x:v>截止日前日期，盘中时分未核</x:v>
      </x:c>
    </x:row>
    <x:row r="2082" ht="23" customHeight="1">
      <x:c r="A2082" s="11" t="str">
        <x:v>I033</x:v>
      </x:c>
      <x:c r="B2082" s="11" t="str">
        <x:v>02096.HK</x:v>
      </x:c>
      <x:c r="C2082" s="11" t="str">
        <x:v>restricted</x:v>
      </x:c>
      <x:c r="D2082" s="39" t="n">
        <x:v>9.904</x:v>
      </x:c>
      <x:c r="E2082" s="11" t="str">
        <x:v>CNY</x:v>
      </x:c>
      <x:c r="F2082" s="11" t="str">
        <x:v>million CNY</x:v>
      </x:c>
      <x:c r="G2082" s="11" t="str">
        <x:v>2026H1 HKFRS</x:v>
      </x:c>
      <x:c r="H2082" s="11" t="str">
        <x:v>2026-09-24</x:v>
      </x:c>
      <x:c r="I2082" s="11" t="str">
        <x:v>https://iis.aastocks.com/20260924/12344555-0.PDF</x:v>
      </x:c>
      <x:c r="J2082" s="11" t="str">
        <x:v>首度公开日期 2026-08-20</x:v>
      </x:c>
      <x:c r="K2082" s="11" t="str">
        <x:v>2026-08-20</x:v>
      </x:c>
      <x:c r="L2082" s="11" t="str">
        <x:v>精确发布时间未核验</x:v>
      </x:c>
      <x:c r="M2082" s="11" t="str">
        <x:v>截止日前日期，盘中时分未核</x:v>
      </x:c>
    </x:row>
    <x:row r="2083" ht="23" customHeight="1">
      <x:c r="A2083" s="11" t="str">
        <x:v>I033</x:v>
      </x:c>
      <x:c r="B2083" s="11" t="str">
        <x:v>02096.HK</x:v>
      </x:c>
      <x:c r="C2083" s="11" t="str">
        <x:v>pledged</x:v>
      </x:c>
      <x:c r="D2083" s="39" t="n">
        <x:v>19.675</x:v>
      </x:c>
      <x:c r="E2083" s="11" t="str">
        <x:v>CNY</x:v>
      </x:c>
      <x:c r="F2083" s="11" t="str">
        <x:v>million CNY</x:v>
      </x:c>
      <x:c r="G2083" s="11" t="str">
        <x:v>2026H1 HKFRS</x:v>
      </x:c>
      <x:c r="H2083" s="11" t="str">
        <x:v>2026-09-24</x:v>
      </x:c>
      <x:c r="I2083" s="11" t="str">
        <x:v>https://iis.aastocks.com/20260924/12344555-0.PDF</x:v>
      </x:c>
      <x:c r="J2083" s="11" t="str">
        <x:v>首度公开日期 2026-08-20</x:v>
      </x:c>
      <x:c r="K2083" s="11" t="str">
        <x:v>2026-08-20</x:v>
      </x:c>
      <x:c r="L2083" s="11" t="str">
        <x:v>精确发布时间未核验</x:v>
      </x:c>
      <x:c r="M2083" s="11" t="str">
        <x:v>截止日前日期，盘中时分未核</x:v>
      </x:c>
    </x:row>
    <x:row r="2084" ht="23" customHeight="1">
      <x:c r="A2084" s="11" t="str">
        <x:v>I033</x:v>
      </x:c>
      <x:c r="B2084" s="11" t="str">
        <x:v>02096.HK</x:v>
      </x:c>
      <x:c r="C2084" s="11" t="str">
        <x:v>bankCurrent</x:v>
      </x:c>
      <x:c r="D2084" s="39" t="n">
        <x:v>1051.058</x:v>
      </x:c>
      <x:c r="E2084" s="11" t="str">
        <x:v>CNY</x:v>
      </x:c>
      <x:c r="F2084" s="11" t="str">
        <x:v>million CNY</x:v>
      </x:c>
      <x:c r="G2084" s="11" t="str">
        <x:v>2026H1 HKFRS</x:v>
      </x:c>
      <x:c r="H2084" s="11" t="str">
        <x:v>2026-09-24</x:v>
      </x:c>
      <x:c r="I2084" s="11" t="str">
        <x:v>https://iis.aastocks.com/20260924/12344555-0.PDF</x:v>
      </x:c>
      <x:c r="J2084" s="11" t="str">
        <x:v>首度公开日期 2026-08-20</x:v>
      </x:c>
      <x:c r="K2084" s="11" t="str">
        <x:v>2026-08-20</x:v>
      </x:c>
      <x:c r="L2084" s="11" t="str">
        <x:v>精确发布时间未核验</x:v>
      </x:c>
      <x:c r="M2084" s="11" t="str">
        <x:v>截止日前日期，盘中时分未核</x:v>
      </x:c>
    </x:row>
    <x:row r="2085" ht="23" customHeight="1">
      <x:c r="A2085" s="11" t="str">
        <x:v>I033</x:v>
      </x:c>
      <x:c r="B2085" s="11" t="str">
        <x:v>02096.HK</x:v>
      </x:c>
      <x:c r="C2085" s="11" t="str">
        <x:v>bankNoncurrent</x:v>
      </x:c>
      <x:c r="D2085" s="39" t="n">
        <x:v>6.932</x:v>
      </x:c>
      <x:c r="E2085" s="11" t="str">
        <x:v>CNY</x:v>
      </x:c>
      <x:c r="F2085" s="11" t="str">
        <x:v>million CNY</x:v>
      </x:c>
      <x:c r="G2085" s="11" t="str">
        <x:v>2026H1 HKFRS</x:v>
      </x:c>
      <x:c r="H2085" s="11" t="str">
        <x:v>2026-09-24</x:v>
      </x:c>
      <x:c r="I2085" s="11" t="str">
        <x:v>https://iis.aastocks.com/20260924/12344555-0.PDF</x:v>
      </x:c>
      <x:c r="J2085" s="11" t="str">
        <x:v>首度公开日期 2026-08-20</x:v>
      </x:c>
      <x:c r="K2085" s="11" t="str">
        <x:v>2026-08-20</x:v>
      </x:c>
      <x:c r="L2085" s="11" t="str">
        <x:v>精确发布时间未核验</x:v>
      </x:c>
      <x:c r="M2085" s="11" t="str">
        <x:v>截止日前日期，盘中时分未核</x:v>
      </x:c>
    </x:row>
    <x:row r="2086" ht="23" customHeight="1">
      <x:c r="A2086" s="11" t="str">
        <x:v>I033</x:v>
      </x:c>
      <x:c r="B2086" s="11" t="str">
        <x:v>02096.HK</x:v>
      </x:c>
      <x:c r="C2086" s="11" t="str">
        <x:v>redemptionLiability</x:v>
      </x:c>
      <x:c r="D2086" s="39" t="n">
        <x:v>1223.692</x:v>
      </x:c>
      <x:c r="E2086" s="11" t="str">
        <x:v>CNY</x:v>
      </x:c>
      <x:c r="F2086" s="11" t="str">
        <x:v>million CNY</x:v>
      </x:c>
      <x:c r="G2086" s="11" t="str">
        <x:v>2026H1 HKFRS</x:v>
      </x:c>
      <x:c r="H2086" s="11" t="str">
        <x:v>2026-09-24</x:v>
      </x:c>
      <x:c r="I2086" s="11" t="str">
        <x:v>https://iis.aastocks.com/20260924/12344555-0.PDF</x:v>
      </x:c>
      <x:c r="J2086" s="11" t="str">
        <x:v>首度公开日期 2026-08-20</x:v>
      </x:c>
      <x:c r="K2086" s="11" t="str">
        <x:v>2026-08-20</x:v>
      </x:c>
      <x:c r="L2086" s="11" t="str">
        <x:v>精确发布时间未核验</x:v>
      </x:c>
      <x:c r="M2086" s="11" t="str">
        <x:v>截止日前日期，盘中时分未核</x:v>
      </x:c>
    </x:row>
    <x:row r="2087" ht="23" customHeight="1">
      <x:c r="A2087" s="11" t="str">
        <x:v>I033</x:v>
      </x:c>
      <x:c r="B2087" s="11" t="str">
        <x:v>02096.HK</x:v>
      </x:c>
      <x:c r="C2087" s="11" t="str">
        <x:v>leases</x:v>
      </x:c>
      <x:c r="D2087" s="39" t="n">
        <x:v>114.379</x:v>
      </x:c>
      <x:c r="E2087" s="11" t="str">
        <x:v>CNY</x:v>
      </x:c>
      <x:c r="F2087" s="11" t="str">
        <x:v>million CNY</x:v>
      </x:c>
      <x:c r="G2087" s="11" t="str">
        <x:v>2026H1 HKFRS</x:v>
      </x:c>
      <x:c r="H2087" s="11" t="str">
        <x:v>2026-09-24</x:v>
      </x:c>
      <x:c r="I2087" s="11" t="str">
        <x:v>https://iis.aastocks.com/20260924/12344555-0.PDF</x:v>
      </x:c>
      <x:c r="J2087" s="11" t="str">
        <x:v>首度公开日期 2026-08-20</x:v>
      </x:c>
      <x:c r="K2087" s="11" t="str">
        <x:v>2026-08-20</x:v>
      </x:c>
      <x:c r="L2087" s="11" t="str">
        <x:v>精确发布时间未核验</x:v>
      </x:c>
      <x:c r="M2087" s="11" t="str">
        <x:v>截止日前日期，盘中时分未核</x:v>
      </x:c>
    </x:row>
    <x:row r="2088" ht="23" customHeight="1">
      <x:c r="A2088" s="11" t="str">
        <x:v>I033</x:v>
      </x:c>
      <x:c r="B2088" s="11" t="str">
        <x:v>02096.HK</x:v>
      </x:c>
      <x:c r="C2088" s="11" t="str">
        <x:v>totalAssets</x:v>
      </x:c>
      <x:c r="D2088" s="39" t="n">
        <x:v>15461.183</x:v>
      </x:c>
      <x:c r="E2088" s="11" t="str">
        <x:v>CNY</x:v>
      </x:c>
      <x:c r="F2088" s="11" t="str">
        <x:v>million CNY</x:v>
      </x:c>
      <x:c r="G2088" s="11" t="str">
        <x:v>2026H1 HKFRS</x:v>
      </x:c>
      <x:c r="H2088" s="11" t="str">
        <x:v>2026-09-24</x:v>
      </x:c>
      <x:c r="I2088" s="11" t="str">
        <x:v>https://iis.aastocks.com/20260924/12344555-0.PDF</x:v>
      </x:c>
      <x:c r="J2088" s="11" t="str">
        <x:v>首度公开日期 2026-08-20</x:v>
      </x:c>
      <x:c r="K2088" s="11" t="str">
        <x:v>2026-08-20</x:v>
      </x:c>
      <x:c r="L2088" s="11" t="str">
        <x:v>精确发布时间未核验</x:v>
      </x:c>
      <x:c r="M2088" s="11" t="str">
        <x:v>截止日前日期，盘中时分未核</x:v>
      </x:c>
    </x:row>
    <x:row r="2089" ht="23" customHeight="1">
      <x:c r="A2089" s="11" t="str">
        <x:v>I033</x:v>
      </x:c>
      <x:c r="B2089" s="11" t="str">
        <x:v>02096.HK</x:v>
      </x:c>
      <x:c r="C2089" s="11" t="str">
        <x:v>totalEquity</x:v>
      </x:c>
      <x:c r="D2089" s="39" t="n">
        <x:v>9487.559</x:v>
      </x:c>
      <x:c r="E2089" s="11" t="str">
        <x:v>CNY</x:v>
      </x:c>
      <x:c r="F2089" s="11" t="str">
        <x:v>million CNY</x:v>
      </x:c>
      <x:c r="G2089" s="11" t="str">
        <x:v>2026H1 HKFRS</x:v>
      </x:c>
      <x:c r="H2089" s="11" t="str">
        <x:v>2026-09-24</x:v>
      </x:c>
      <x:c r="I2089" s="11" t="str">
        <x:v>https://iis.aastocks.com/20260924/12344555-0.PDF</x:v>
      </x:c>
      <x:c r="J2089" s="11" t="str">
        <x:v>首度公开日期 2026-08-20</x:v>
      </x:c>
      <x:c r="K2089" s="11" t="str">
        <x:v>2026-08-20</x:v>
      </x:c>
      <x:c r="L2089" s="11" t="str">
        <x:v>精确发布时间未核验</x:v>
      </x:c>
      <x:c r="M2089" s="11" t="str">
        <x:v>截止日前日期，盘中时分未核</x:v>
      </x:c>
    </x:row>
    <x:row r="2090" ht="23" customHeight="1">
      <x:c r="A2090" s="11" t="str">
        <x:v>I033</x:v>
      </x:c>
      <x:c r="B2090" s="11" t="str">
        <x:v>02096.HK</x:v>
      </x:c>
      <x:c r="C2090" s="11" t="str">
        <x:v>parentEquity</x:v>
      </x:c>
      <x:c r="D2090" s="39" t="n">
        <x:v>9424.252</x:v>
      </x:c>
      <x:c r="E2090" s="11" t="str">
        <x:v>CNY</x:v>
      </x:c>
      <x:c r="F2090" s="11" t="str">
        <x:v>million CNY</x:v>
      </x:c>
      <x:c r="G2090" s="11" t="str">
        <x:v>2026H1 HKFRS</x:v>
      </x:c>
      <x:c r="H2090" s="11" t="str">
        <x:v>2026-09-24</x:v>
      </x:c>
      <x:c r="I2090" s="11" t="str">
        <x:v>https://iis.aastocks.com/20260924/12344555-0.PDF</x:v>
      </x:c>
      <x:c r="J2090" s="11" t="str">
        <x:v>首度公开日期 2026-08-20</x:v>
      </x:c>
      <x:c r="K2090" s="11" t="str">
        <x:v>2026-08-20</x:v>
      </x:c>
      <x:c r="L2090" s="11" t="str">
        <x:v>精确发布时间未核验</x:v>
      </x:c>
      <x:c r="M2090" s="11" t="str">
        <x:v>截止日前日期，盘中时分未核</x:v>
      </x:c>
    </x:row>
    <x:row r="2091" ht="23" customHeight="1">
      <x:c r="A2091" s="11" t="str">
        <x:v>I033</x:v>
      </x:c>
      <x:c r="B2091" s="11" t="str">
        <x:v>02096.HK</x:v>
      </x:c>
      <x:c r="C2091" s="11" t="str">
        <x:v>receivables</x:v>
      </x:c>
      <x:c r="D2091" s="39" t="n">
        <x:v>2396.674</x:v>
      </x:c>
      <x:c r="E2091" s="11" t="str">
        <x:v>CNY</x:v>
      </x:c>
      <x:c r="F2091" s="11" t="str">
        <x:v>million CNY</x:v>
      </x:c>
      <x:c r="G2091" s="11" t="str">
        <x:v>2026H1 HKFRS</x:v>
      </x:c>
      <x:c r="H2091" s="11" t="str">
        <x:v>2026-09-24</x:v>
      </x:c>
      <x:c r="I2091" s="11" t="str">
        <x:v>https://iis.aastocks.com/20260924/12344555-0.PDF</x:v>
      </x:c>
      <x:c r="J2091" s="11" t="str">
        <x:v>首度公开日期 2026-08-20</x:v>
      </x:c>
      <x:c r="K2091" s="11" t="str">
        <x:v>2026-08-20</x:v>
      </x:c>
      <x:c r="L2091" s="11" t="str">
        <x:v>精确发布时间未核验</x:v>
      </x:c>
      <x:c r="M2091" s="11" t="str">
        <x:v>截止日前日期，盘中时分未核</x:v>
      </x:c>
    </x:row>
    <x:row r="2092" ht="23" customHeight="1">
      <x:c r="A2092" s="11" t="str">
        <x:v>I033</x:v>
      </x:c>
      <x:c r="B2092" s="11" t="str">
        <x:v>02096.HK</x:v>
      </x:c>
      <x:c r="C2092" s="11" t="str">
        <x:v>previousReceivables</x:v>
      </x:c>
      <x:c r="D2092" s="39" t="n">
        <x:v>2838.454</x:v>
      </x:c>
      <x:c r="E2092" s="11" t="str">
        <x:v>CNY</x:v>
      </x:c>
      <x:c r="F2092" s="11" t="str">
        <x:v>million CNY</x:v>
      </x:c>
      <x:c r="G2092" s="11" t="str">
        <x:v>2025-12-31</x:v>
      </x:c>
      <x:c r="H2092" s="11" t="str">
        <x:v>2026-09-24</x:v>
      </x:c>
      <x:c r="I2092" s="11" t="str">
        <x:v>https://iis.aastocks.com/20260924/12344555-0.PDF</x:v>
      </x:c>
      <x:c r="J2092" s="11" t="str">
        <x:v>首度公开日期 2026-08-20</x:v>
      </x:c>
      <x:c r="K2092" s="11" t="str">
        <x:v>2026-08-20</x:v>
      </x:c>
      <x:c r="L2092" s="11" t="str">
        <x:v>精确发布时间未核验</x:v>
      </x:c>
      <x:c r="M2092" s="11" t="str">
        <x:v>截止日前日期，盘中时分未核</x:v>
      </x:c>
    </x:row>
    <x:row r="2093" ht="23" customHeight="1">
      <x:c r="A2093" s="11" t="str">
        <x:v>I033</x:v>
      </x:c>
      <x:c r="B2093" s="11" t="str">
        <x:v>02096.HK</x:v>
      </x:c>
      <x:c r="C2093" s="11" t="str">
        <x:v>inventory</x:v>
      </x:c>
      <x:c r="D2093" s="39" t="n">
        <x:v>632.911</x:v>
      </x:c>
      <x:c r="E2093" s="11" t="str">
        <x:v>CNY</x:v>
      </x:c>
      <x:c r="F2093" s="11" t="str">
        <x:v>million CNY</x:v>
      </x:c>
      <x:c r="G2093" s="11" t="str">
        <x:v>2026H1 HKFRS</x:v>
      </x:c>
      <x:c r="H2093" s="11" t="str">
        <x:v>2026-09-24</x:v>
      </x:c>
      <x:c r="I2093" s="11" t="str">
        <x:v>https://iis.aastocks.com/20260924/12344555-0.PDF</x:v>
      </x:c>
      <x:c r="J2093" s="11" t="str">
        <x:v>首度公开日期 2026-08-20</x:v>
      </x:c>
      <x:c r="K2093" s="11" t="str">
        <x:v>2026-08-20</x:v>
      </x:c>
      <x:c r="L2093" s="11" t="str">
        <x:v>精确发布时间未核验</x:v>
      </x:c>
      <x:c r="M2093" s="11" t="str">
        <x:v>截止日前日期，盘中时分未核</x:v>
      </x:c>
    </x:row>
    <x:row r="2094" ht="23" customHeight="1">
      <x:c r="A2094" s="11" t="str">
        <x:v>I033</x:v>
      </x:c>
      <x:c r="B2094" s="11" t="str">
        <x:v>02096.HK</x:v>
      </x:c>
      <x:c r="C2094" s="11" t="str">
        <x:v>contractLiability</x:v>
      </x:c>
      <x:c r="D2094" s="39" t="n">
        <x:v>676.309</x:v>
      </x:c>
      <x:c r="E2094" s="11" t="str">
        <x:v>CNY</x:v>
      </x:c>
      <x:c r="F2094" s="11" t="str">
        <x:v>million CNY</x:v>
      </x:c>
      <x:c r="G2094" s="11" t="str">
        <x:v>2026H1 HKFRS</x:v>
      </x:c>
      <x:c r="H2094" s="11" t="str">
        <x:v>2026-09-24</x:v>
      </x:c>
      <x:c r="I2094" s="11" t="str">
        <x:v>https://iis.aastocks.com/20260924/12344555-0.PDF</x:v>
      </x:c>
      <x:c r="J2094" s="11" t="str">
        <x:v>首度公开日期 2026-08-20</x:v>
      </x:c>
      <x:c r="K2094" s="11" t="str">
        <x:v>2026-08-20</x:v>
      </x:c>
      <x:c r="L2094" s="11" t="str">
        <x:v>精确发布时间未核验</x:v>
      </x:c>
      <x:c r="M2094" s="11" t="str">
        <x:v>截止日前日期，盘中时分未核</x:v>
      </x:c>
    </x:row>
    <x:row r="2095" ht="23" customHeight="1">
      <x:c r="A2095" s="11" t="str">
        <x:v>I033</x:v>
      </x:c>
      <x:c r="B2095" s="11" t="str">
        <x:v>02096.HK</x:v>
      </x:c>
      <x:c r="C2095" s="11" t="str">
        <x:v>dividendDeclared</x:v>
      </x:c>
      <x:c r="D2095" s="39" t="n">
        <x:v>457.268</x:v>
      </x:c>
      <x:c r="E2095" s="11" t="str">
        <x:v>CNY</x:v>
      </x:c>
      <x:c r="F2095" s="11" t="str">
        <x:v>million CNY</x:v>
      </x:c>
      <x:c r="G2095" s="11" t="str">
        <x:v>2026H1 HKFRS</x:v>
      </x:c>
      <x:c r="H2095" s="11" t="str">
        <x:v>2026-09-24</x:v>
      </x:c>
      <x:c r="I2095" s="11" t="str">
        <x:v>https://iis.aastocks.com/20260924/12344555-0.PDF</x:v>
      </x:c>
      <x:c r="J2095" s="11" t="str">
        <x:v>首度公开日期 2026-08-20</x:v>
      </x:c>
      <x:c r="K2095" s="11" t="str">
        <x:v>2026-08-20</x:v>
      </x:c>
      <x:c r="L2095" s="11" t="str">
        <x:v>精确发布时间未核验</x:v>
      </x:c>
      <x:c r="M2095" s="11" t="str">
        <x:v>截止日前日期，盘中时分未核</x:v>
      </x:c>
    </x:row>
    <x:row r="2096" ht="23" customHeight="1">
      <x:c r="A2096" s="11" t="str">
        <x:v>I033</x:v>
      </x:c>
      <x:c r="B2096" s="11" t="str">
        <x:v>02096.HK</x:v>
      </x:c>
      <x:c r="C2096" s="11" t="str">
        <x:v>dividendPaidH1</x:v>
      </x:c>
      <x:c r="D2096" s="39" t="n">
        <x:v>0</x:v>
      </x:c>
      <x:c r="E2096" s="11" t="str">
        <x:v>CNY</x:v>
      </x:c>
      <x:c r="F2096" s="11" t="str">
        <x:v>million CNY</x:v>
      </x:c>
      <x:c r="G2096" s="11" t="str">
        <x:v>2026H1 HKFRS</x:v>
      </x:c>
      <x:c r="H2096" s="11" t="str">
        <x:v>2026-09-24</x:v>
      </x:c>
      <x:c r="I2096" s="11" t="str">
        <x:v>https://iis.aastocks.com/20260924/12344555-0.PDF</x:v>
      </x:c>
      <x:c r="J2096" s="11" t="str">
        <x:v>首度公开日期 2026-08-20</x:v>
      </x:c>
      <x:c r="K2096" s="11" t="str">
        <x:v>2026-08-20</x:v>
      </x:c>
      <x:c r="L2096" s="11" t="str">
        <x:v>精确发布时间未核验</x:v>
      </x:c>
      <x:c r="M2096" s="11" t="str">
        <x:v>截止日前日期，盘中时分未核</x:v>
      </x:c>
    </x:row>
    <x:row r="2097" ht="23" customHeight="1">
      <x:c r="A2097" s="11" t="str">
        <x:v>I033</x:v>
      </x:c>
      <x:c r="B2097" s="11" t="str">
        <x:v>02096.HK</x:v>
      </x:c>
      <x:c r="C2097" s="11" t="str">
        <x:v>H1buyback</x:v>
      </x:c>
      <x:c r="D2097" s="39" t="n">
        <x:v>276.237</x:v>
      </x:c>
      <x:c r="E2097" s="11" t="str">
        <x:v>CNY</x:v>
      </x:c>
      <x:c r="F2097" s="11" t="str">
        <x:v>million CNY</x:v>
      </x:c>
      <x:c r="G2097" s="11" t="str">
        <x:v>2026H1 HKFRS</x:v>
      </x:c>
      <x:c r="H2097" s="11" t="str">
        <x:v>2026-09-24</x:v>
      </x:c>
      <x:c r="I2097" s="11" t="str">
        <x:v>https://iis.aastocks.com/20260924/12344555-0.PDF</x:v>
      </x:c>
      <x:c r="J2097" s="11" t="str">
        <x:v>首度公开日期 2026-08-20</x:v>
      </x:c>
      <x:c r="K2097" s="11" t="str">
        <x:v>2026-08-20</x:v>
      </x:c>
      <x:c r="L2097" s="11" t="str">
        <x:v>精确发布时间未核验</x:v>
      </x:c>
      <x:c r="M2097" s="11" t="str">
        <x:v>截止日前日期，盘中时分未核</x:v>
      </x:c>
    </x:row>
    <x:row r="2098" ht="23" customHeight="1">
      <x:c r="A2098" s="11" t="str">
        <x:v>I033</x:v>
      </x:c>
      <x:c r="B2098" s="11" t="str">
        <x:v>02096.HK</x:v>
      </x:c>
      <x:c r="C2098" s="11" t="str">
        <x:v>RSUexpense</x:v>
      </x:c>
      <x:c r="D2098" s="39" t="n">
        <x:v>62.442</x:v>
      </x:c>
      <x:c r="E2098" s="11" t="str">
        <x:v>CNY</x:v>
      </x:c>
      <x:c r="F2098" s="11" t="str">
        <x:v>million CNY</x:v>
      </x:c>
      <x:c r="G2098" s="11" t="str">
        <x:v>2026H1 HKFRS</x:v>
      </x:c>
      <x:c r="H2098" s="11" t="str">
        <x:v>2026-09-24</x:v>
      </x:c>
      <x:c r="I2098" s="11" t="str">
        <x:v>https://iis.aastocks.com/20260924/12344555-0.PDF</x:v>
      </x:c>
      <x:c r="J2098" s="11" t="str">
        <x:v>首度公开日期 2026-08-20</x:v>
      </x:c>
      <x:c r="K2098" s="11" t="str">
        <x:v>2026-08-20</x:v>
      </x:c>
      <x:c r="L2098" s="11" t="str">
        <x:v>精确发布时间未核验</x:v>
      </x:c>
      <x:c r="M2098" s="11" t="str">
        <x:v>截止日前日期，盘中时分未核</x:v>
      </x:c>
    </x:row>
    <x:row r="2099" ht="23" customHeight="1">
      <x:c r="A2099" s="11" t="str">
        <x:v>I033</x:v>
      </x:c>
      <x:c r="B2099" s="11" t="str">
        <x:v>02096.HK</x:v>
      </x:c>
      <x:c r="C2099" s="11" t="str">
        <x:v>ZaimingSBCexpense</x:v>
      </x:c>
      <x:c r="D2099" s="39" t="n">
        <x:v>25.562</x:v>
      </x:c>
      <x:c r="E2099" s="11" t="str">
        <x:v>CNY</x:v>
      </x:c>
      <x:c r="F2099" s="11" t="str">
        <x:v>million CNY</x:v>
      </x:c>
      <x:c r="G2099" s="11" t="str">
        <x:v>2026H1 HKFRS</x:v>
      </x:c>
      <x:c r="H2099" s="11" t="str">
        <x:v>2026-09-24</x:v>
      </x:c>
      <x:c r="I2099" s="11" t="str">
        <x:v>https://iis.aastocks.com/20260924/12344555-0.PDF</x:v>
      </x:c>
      <x:c r="J2099" s="11" t="str">
        <x:v>首度公开日期 2026-08-20</x:v>
      </x:c>
      <x:c r="K2099" s="11" t="str">
        <x:v>2026-08-20</x:v>
      </x:c>
      <x:c r="L2099" s="11" t="str">
        <x:v>精确发布时间未核验</x:v>
      </x:c>
      <x:c r="M2099" s="11" t="str">
        <x:v>截止日前日期，盘中时分未核</x:v>
      </x:c>
    </x:row>
    <x:row r="2100" ht="23" customHeight="1">
      <x:c r="A2100" s="11" t="str">
        <x:v>I033</x:v>
      </x:c>
      <x:c r="B2100" s="11" t="str">
        <x:v>02096.HK</x:v>
      </x:c>
      <x:c r="C2100" s="11" t="str">
        <x:v>legalShares</x:v>
      </x:c>
      <x:c r="D2100" s="39" t="n">
        <x:v>2568198618</x:v>
      </x:c>
      <x:c r="E2100" s="11" t="str">
        <x:v>not monetary</x:v>
      </x:c>
      <x:c r="F2100" s="11" t="str">
        <x:v>shares</x:v>
      </x:c>
      <x:c r="G2100" s="11" t="str">
        <x:v>2026-09-30</x:v>
      </x:c>
      <x:c r="H2100" s="11" t="str">
        <x:v>2026-10-05</x:v>
      </x:c>
      <x:c r="I2100" s="11" t="str">
        <x:v>https://iis.aastocks.com/20261005/12361058-0.PDF</x:v>
      </x:c>
      <x:c r="J2100" s="11" t="str">
        <x:v>首度公开日期 2026-10-05</x:v>
      </x:c>
      <x:c r="K2100" s="11" t="str">
        <x:v>2026-10-05</x:v>
      </x:c>
      <x:c r="L2100" s="11" t="str">
        <x:v>精确发布时间未核验</x:v>
      </x:c>
      <x:c r="M2100" s="11" t="str">
        <x:v>截止日前日期，盘中时分未核</x:v>
      </x:c>
    </x:row>
    <x:row r="2101" ht="23" customHeight="1">
      <x:c r="A2101" s="11" t="str">
        <x:v>I033</x:v>
      </x:c>
      <x:c r="B2101" s="11" t="str">
        <x:v>02096.HK</x:v>
      </x:c>
      <x:c r="C2101" s="11" t="str">
        <x:v>H1basicShares</x:v>
      </x:c>
      <x:c r="D2101" s="39" t="n">
        <x:v>2551796123</x:v>
      </x:c>
      <x:c r="E2101" s="11" t="str">
        <x:v>not monetary</x:v>
      </x:c>
      <x:c r="F2101" s="11" t="str">
        <x:v>shares</x:v>
      </x:c>
      <x:c r="G2101" s="11" t="str">
        <x:v>2026H1 HKFRS</x:v>
      </x:c>
      <x:c r="H2101" s="11" t="str">
        <x:v>2026-09-24</x:v>
      </x:c>
      <x:c r="I2101" s="11" t="str">
        <x:v>https://iis.aastocks.com/20260924/12344555-0.PDF</x:v>
      </x:c>
      <x:c r="J2101" s="11" t="str">
        <x:v>首度公开日期 2026-08-20</x:v>
      </x:c>
      <x:c r="K2101" s="11" t="str">
        <x:v>2026-08-20</x:v>
      </x:c>
      <x:c r="L2101" s="11" t="str">
        <x:v>精确发布时间未核验</x:v>
      </x:c>
      <x:c r="M2101" s="11" t="str">
        <x:v>截止日前日期，盘中时分未核</x:v>
      </x:c>
    </x:row>
    <x:row r="2102" ht="23" customHeight="1">
      <x:c r="A2102" s="11" t="str">
        <x:v>I033</x:v>
      </x:c>
      <x:c r="B2102" s="11" t="str">
        <x:v>02096.HK</x:v>
      </x:c>
      <x:c r="C2102" s="11" t="str">
        <x:v>H1dilutedShares</x:v>
      </x:c>
      <x:c r="D2102" s="39" t="n">
        <x:v>2557053323</x:v>
      </x:c>
      <x:c r="E2102" s="11" t="str">
        <x:v>not monetary</x:v>
      </x:c>
      <x:c r="F2102" s="11" t="str">
        <x:v>shares</x:v>
      </x:c>
      <x:c r="G2102" s="11" t="str">
        <x:v>2026H1 HKFRS</x:v>
      </x:c>
      <x:c r="H2102" s="11" t="str">
        <x:v>2026-09-24</x:v>
      </x:c>
      <x:c r="I2102" s="11" t="str">
        <x:v>https://iis.aastocks.com/20260924/12344555-0.PDF</x:v>
      </x:c>
      <x:c r="J2102" s="11" t="str">
        <x:v>首度公开日期 2026-08-20</x:v>
      </x:c>
      <x:c r="K2102" s="11" t="str">
        <x:v>2026-08-20</x:v>
      </x:c>
      <x:c r="L2102" s="11" t="str">
        <x:v>精确发布时间未核验</x:v>
      </x:c>
      <x:c r="M2102" s="11" t="str">
        <x:v>截止日前日期，盘中时分未核</x:v>
      </x:c>
    </x:row>
    <x:row r="2103" ht="23" customHeight="1">
      <x:c r="A2103" s="11" t="str">
        <x:v>I033</x:v>
      </x:c>
      <x:c r="B2103" s="11" t="str">
        <x:v>02096.HK</x:v>
      </x:c>
      <x:c r="C2103" s="11" t="str">
        <x:v>SeptUncancelledBuybacks</x:v>
      </x:c>
      <x:c r="D2103" s="39" t="n">
        <x:v>4843000</x:v>
      </x:c>
      <x:c r="E2103" s="11" t="str">
        <x:v>not monetary</x:v>
      </x:c>
      <x:c r="F2103" s="11" t="str">
        <x:v>shares</x:v>
      </x:c>
      <x:c r="G2103" s="11" t="str">
        <x:v>2026-09-30</x:v>
      </x:c>
      <x:c r="H2103" s="11" t="str">
        <x:v>2026-10-05</x:v>
      </x:c>
      <x:c r="I2103" s="11" t="str">
        <x:v>https://iis.aastocks.com/20261005/12361058-0.PDF</x:v>
      </x:c>
      <x:c r="J2103" s="11" t="str">
        <x:v>首度公开日期 2026-10-05</x:v>
      </x:c>
      <x:c r="K2103" s="11" t="str">
        <x:v>2026-10-05</x:v>
      </x:c>
      <x:c r="L2103" s="11" t="str">
        <x:v>精确发布时间未核验</x:v>
      </x:c>
      <x:c r="M2103" s="11" t="str">
        <x:v>截止日前日期，盘中时分未核</x:v>
      </x:c>
    </x:row>
    <x:row r="2104" ht="23" customHeight="1">
      <x:c r="A2104" s="11" t="str">
        <x:v>I033</x:v>
      </x:c>
      <x:c r="B2104" s="11" t="str">
        <x:v>02096.HK</x:v>
      </x:c>
      <x:c r="C2104" s="11" t="str">
        <x:v>Oct9buyback</x:v>
      </x:c>
      <x:c r="D2104" s="39" t="n">
        <x:v>1598000</x:v>
      </x:c>
      <x:c r="E2104" s="11" t="str">
        <x:v>not monetary</x:v>
      </x:c>
      <x:c r="F2104" s="11" t="str">
        <x:v>shares</x:v>
      </x:c>
      <x:c r="G2104" s="11" t="str">
        <x:v>2026-10-09</x:v>
      </x:c>
      <x:c r="H2104" s="11" t="str">
        <x:v>2026-10-09</x:v>
      </x:c>
      <x:c r="I2104" s="11" t="str">
        <x:v>https://iis.aastocks.com/20261009/12368587-0.PDF</x:v>
      </x:c>
      <x:c r="J2104" s="11" t="str">
        <x:v>首度公开日期 2026-10-09</x:v>
      </x:c>
      <x:c r="K2104" s="11" t="str">
        <x:v>2026-10-09</x:v>
      </x:c>
      <x:c r="L2104" s="11" t="str">
        <x:v>精确发布时间未核验</x:v>
      </x:c>
      <x:c r="M2104" s="11" t="str">
        <x:v>截止日公开，需结合发布时间判断收盘前后</x:v>
      </x:c>
    </x:row>
    <x:row r="2105" ht="23" customHeight="1">
      <x:c r="A2105" s="11" t="str">
        <x:v>I033</x:v>
      </x:c>
      <x:c r="B2105" s="11" t="str">
        <x:v>02096.HK</x:v>
      </x:c>
      <x:c r="C2105" s="11" t="str">
        <x:v>Oct9buybackHKDmillion</x:v>
      </x:c>
      <x:c r="D2105" s="39" t="n">
        <x:v>17.36989</x:v>
      </x:c>
      <x:c r="E2105" s="11" t="str">
        <x:v>HKD</x:v>
      </x:c>
      <x:c r="F2105" s="11" t="str">
        <x:v>million HKD</x:v>
      </x:c>
      <x:c r="G2105" s="11" t="str">
        <x:v>2026-10-09</x:v>
      </x:c>
      <x:c r="H2105" s="11" t="str">
        <x:v>2026-10-09</x:v>
      </x:c>
      <x:c r="I2105" s="11" t="str">
        <x:v>https://iis.aastocks.com/20261009/12368587-0.PDF</x:v>
      </x:c>
      <x:c r="J2105" s="11" t="str">
        <x:v>首度公开日期 2026-10-09</x:v>
      </x:c>
      <x:c r="K2105" s="11" t="str">
        <x:v>2026-10-09</x:v>
      </x:c>
      <x:c r="L2105" s="11" t="str">
        <x:v>精确发布时间未核验</x:v>
      </x:c>
      <x:c r="M2105" s="11" t="str">
        <x:v>截止日公开，需结合发布时间判断收盘前后</x:v>
      </x:c>
    </x:row>
    <x:row r="2106" ht="23" customHeight="1">
      <x:c r="A2106" s="11" t="str">
        <x:v>I033</x:v>
      </x:c>
      <x:c r="B2106" s="11" t="str">
        <x:v>02096.HK</x:v>
      </x:c>
      <x:c r="C2106" s="11" t="str">
        <x:v>PPEcommit</x:v>
      </x:c>
      <x:c r="D2106" s="39" t="n">
        <x:v>454.957</x:v>
      </x:c>
      <x:c r="E2106" s="11" t="str">
        <x:v>CNY</x:v>
      </x:c>
      <x:c r="F2106" s="11" t="str">
        <x:v>million CNY</x:v>
      </x:c>
      <x:c r="G2106" s="11" t="str">
        <x:v>2026H1 HKFRS</x:v>
      </x:c>
      <x:c r="H2106" s="11" t="str">
        <x:v>2026-09-24</x:v>
      </x:c>
      <x:c r="I2106" s="11" t="str">
        <x:v>https://iis.aastocks.com/20260924/12344555-0.PDF</x:v>
      </x:c>
      <x:c r="J2106" s="11" t="str">
        <x:v>首度公开日期 2026-08-20</x:v>
      </x:c>
      <x:c r="K2106" s="11" t="str">
        <x:v>2026-08-20</x:v>
      </x:c>
      <x:c r="L2106" s="11" t="str">
        <x:v>精确发布时间未核验</x:v>
      </x:c>
      <x:c r="M2106" s="11" t="str">
        <x:v>截止日前日期，盘中时分未核</x:v>
      </x:c>
    </x:row>
    <x:row r="2107" ht="23" customHeight="1">
      <x:c r="A2107" s="11" t="str">
        <x:v>I031</x:v>
      </x:c>
      <x:c r="B2107" s="11" t="str">
        <x:v>01177.HK</x:v>
      </x:c>
      <x:c r="C2107" s="11" t="str">
        <x:v>innovativeProductRevenueApprox</x:v>
      </x:c>
      <x:c r="D2107" s="39" t="n">
        <x:v>7810</x:v>
      </x:c>
      <x:c r="E2107" s="11" t="str">
        <x:v>CNY</x:v>
      </x:c>
      <x:c r="F2107" s="11" t="str">
        <x:v>million</x:v>
      </x:c>
      <x:c r="G2107" s="11" t="str">
        <x:v>2026H1</x:v>
      </x:c>
      <x:c r="H2107" s="11" t="str">
        <x:v>2026-09-24</x:v>
      </x:c>
      <x:c r="I2107" s="11" t="str">
        <x:v>https://iis.aastocks.com/20260924/12344918-0.PDF</x:v>
      </x:c>
      <x:c r="J2107" s="11" t="str"/>
      <x:c r="K2107" s="11" t="str">
        <x:v>待核</x:v>
      </x:c>
      <x:c r="L2107" s="11" t="str">
        <x:v>精确发布时间未核验</x:v>
      </x:c>
      <x:c r="M2107" s="11" t="str">
        <x:v>截止日前日期，盘中时分未核</x:v>
      </x:c>
    </x:row>
    <x:row r="2108" ht="23" customHeight="1">
      <x:c r="A2108" s="11" t="str">
        <x:v>I031</x:v>
      </x:c>
      <x:c r="B2108" s="11" t="str">
        <x:v>01177.HK</x:v>
      </x:c>
      <x:c r="C2108" s="11" t="str">
        <x:v>innovativeIncludingLicenseApprox</x:v>
      </x:c>
      <x:c r="D2108" s="39" t="n">
        <x:v>8789.4</x:v>
      </x:c>
      <x:c r="E2108" s="11" t="str">
        <x:v>CNY</x:v>
      </x:c>
      <x:c r="F2108" s="11" t="str">
        <x:v>million</x:v>
      </x:c>
      <x:c r="G2108" s="11" t="str">
        <x:v>2026H1</x:v>
      </x:c>
      <x:c r="H2108" s="11" t="str">
        <x:v>2026-09-24</x:v>
      </x:c>
      <x:c r="I2108" s="11" t="str">
        <x:v>https://iis.aastocks.com/20260924/12344918-0.PDF</x:v>
      </x:c>
      <x:c r="J2108" s="11" t="str"/>
      <x:c r="K2108" s="11" t="str">
        <x:v>待核</x:v>
      </x:c>
      <x:c r="L2108" s="11" t="str">
        <x:v>精确发布时间未核验</x:v>
      </x:c>
      <x:c r="M2108" s="11" t="str">
        <x:v>截止日前日期，盘中时分未核</x:v>
      </x:c>
    </x:row>
    <x:row r="2109" ht="23" customHeight="1">
      <x:c r="A2109" s="11" t="str">
        <x:v>I031</x:v>
      </x:c>
      <x:c r="B2109" s="11" t="str">
        <x:v>01177.HK</x:v>
      </x:c>
      <x:c r="C2109" s="11" t="str">
        <x:v>researchTotalInput</x:v>
      </x:c>
      <x:c r="D2109" s="39" t="n">
        <x:v>3290.98</x:v>
      </x:c>
      <x:c r="E2109" s="11" t="str">
        <x:v>CNY</x:v>
      </x:c>
      <x:c r="F2109" s="11" t="str">
        <x:v>million</x:v>
      </x:c>
      <x:c r="G2109" s="11" t="str">
        <x:v>2026H1</x:v>
      </x:c>
      <x:c r="H2109" s="11" t="str">
        <x:v>2026-09-24</x:v>
      </x:c>
      <x:c r="I2109" s="11" t="str">
        <x:v>https://iis.aastocks.com/20260924/12344918-0.PDF</x:v>
      </x:c>
      <x:c r="J2109" s="11" t="str"/>
      <x:c r="K2109" s="11" t="str">
        <x:v>待核</x:v>
      </x:c>
      <x:c r="L2109" s="11" t="str">
        <x:v>精确发布时间未核验</x:v>
      </x:c>
      <x:c r="M2109" s="11" t="str">
        <x:v>截止日前日期，盘中时分未核</x:v>
      </x:c>
    </x:row>
    <x:row r="2110" ht="23" customHeight="1">
      <x:c r="A2110" s="11" t="str">
        <x:v>I031</x:v>
      </x:c>
      <x:c r="B2110" s="11" t="str">
        <x:v>01177.HK</x:v>
      </x:c>
      <x:c r="C2110" s="11" t="str">
        <x:v>dividendIncome</x:v>
      </x:c>
      <x:c r="D2110" s="39" t="n">
        <x:v>70.778</x:v>
      </x:c>
      <x:c r="E2110" s="11" t="str">
        <x:v>CNY</x:v>
      </x:c>
      <x:c r="F2110" s="11" t="str">
        <x:v>million</x:v>
      </x:c>
      <x:c r="G2110" s="11" t="str">
        <x:v>2026H1</x:v>
      </x:c>
      <x:c r="H2110" s="11" t="str">
        <x:v>2026-09-24</x:v>
      </x:c>
      <x:c r="I2110" s="11" t="str">
        <x:v>https://iis.aastocks.com/20260924/12344918-0.PDF</x:v>
      </x:c>
      <x:c r="J2110" s="11" t="str"/>
      <x:c r="K2110" s="11" t="str">
        <x:v>待核</x:v>
      </x:c>
      <x:c r="L2110" s="11" t="str">
        <x:v>精确发布时间未核验</x:v>
      </x:c>
      <x:c r="M2110" s="11" t="str">
        <x:v>截止日前日期，盘中时分未核</x:v>
      </x:c>
    </x:row>
    <x:row r="2111" ht="23" customHeight="1">
      <x:c r="A2111" s="11" t="str">
        <x:v>I031</x:v>
      </x:c>
      <x:c r="B2111" s="11" t="str">
        <x:v>01177.HK</x:v>
      </x:c>
      <x:c r="C2111" s="11" t="str">
        <x:v>sinovacDividendTaxNet</x:v>
      </x:c>
      <x:c r="D2111" s="39" t="n">
        <x:v>0</x:v>
      </x:c>
      <x:c r="E2111" s="11" t="str">
        <x:v>CNY</x:v>
      </x:c>
      <x:c r="F2111" s="11" t="str">
        <x:v>million</x:v>
      </x:c>
      <x:c r="G2111" s="11" t="str">
        <x:v>2026H1</x:v>
      </x:c>
      <x:c r="H2111" s="11" t="str">
        <x:v>2026-09-24</x:v>
      </x:c>
      <x:c r="I2111" s="11" t="str">
        <x:v>https://iis.aastocks.com/20260924/12344918-0.PDF</x:v>
      </x:c>
      <x:c r="J2111" s="11" t="str"/>
      <x:c r="K2111" s="11" t="str">
        <x:v>待核</x:v>
      </x:c>
      <x:c r="L2111" s="11" t="str">
        <x:v>精确发布时间未核验</x:v>
      </x:c>
      <x:c r="M2111" s="11" t="str">
        <x:v>截止日前日期，盘中时分未核</x:v>
      </x:c>
    </x:row>
    <x:row r="2112" ht="23" customHeight="1">
      <x:c r="A2112" s="11" t="str">
        <x:v>I031</x:v>
      </x:c>
      <x:c r="B2112" s="11" t="str">
        <x:v>01177.HK</x:v>
      </x:c>
      <x:c r="C2112" s="11" t="str">
        <x:v>investmentIncome</x:v>
      </x:c>
      <x:c r="D2112" s="39" t="n">
        <x:v>108.872</x:v>
      </x:c>
      <x:c r="E2112" s="11" t="str">
        <x:v>CNY</x:v>
      </x:c>
      <x:c r="F2112" s="11" t="str">
        <x:v>million</x:v>
      </x:c>
      <x:c r="G2112" s="11" t="str">
        <x:v>2026H1</x:v>
      </x:c>
      <x:c r="H2112" s="11" t="str">
        <x:v>2026-09-24</x:v>
      </x:c>
      <x:c r="I2112" s="11" t="str">
        <x:v>https://iis.aastocks.com/20260924/12344918-0.PDF</x:v>
      </x:c>
      <x:c r="J2112" s="11" t="str"/>
      <x:c r="K2112" s="11" t="str">
        <x:v>待核</x:v>
      </x:c>
      <x:c r="L2112" s="11" t="str">
        <x:v>精确发布时间未核验</x:v>
      </x:c>
      <x:c r="M2112" s="11" t="str">
        <x:v>截止日前日期，盘中时分未核</x:v>
      </x:c>
    </x:row>
    <x:row r="2113" ht="23" customHeight="1">
      <x:c r="A2113" s="11" t="str">
        <x:v>I031</x:v>
      </x:c>
      <x:c r="B2113" s="11" t="str">
        <x:v>01177.HK</x:v>
      </x:c>
      <x:c r="C2113" s="11" t="str">
        <x:v>shareCompGroup</x:v>
      </x:c>
      <x:c r="D2113" s="39" t="n">
        <x:v>84.931</x:v>
      </x:c>
      <x:c r="E2113" s="11" t="str">
        <x:v>CNY</x:v>
      </x:c>
      <x:c r="F2113" s="11" t="str">
        <x:v>million</x:v>
      </x:c>
      <x:c r="G2113" s="11" t="str">
        <x:v>2026H1</x:v>
      </x:c>
      <x:c r="H2113" s="11" t="str">
        <x:v>2026-09-24</x:v>
      </x:c>
      <x:c r="I2113" s="11" t="str">
        <x:v>https://iis.aastocks.com/20260924/12344918-0.PDF</x:v>
      </x:c>
      <x:c r="J2113" s="11" t="str"/>
      <x:c r="K2113" s="11" t="str">
        <x:v>待核</x:v>
      </x:c>
      <x:c r="L2113" s="11" t="str">
        <x:v>精确发布时间未核验</x:v>
      </x:c>
      <x:c r="M2113" s="11" t="str">
        <x:v>截止日前日期，盘中时分未核</x:v>
      </x:c>
    </x:row>
    <x:row r="2114" ht="23" customHeight="1">
      <x:c r="A2114" s="11" t="str">
        <x:v>I031</x:v>
      </x:c>
      <x:c r="B2114" s="11" t="str">
        <x:v>01177.HK</x:v>
      </x:c>
      <x:c r="C2114" s="11" t="str">
        <x:v>shareCompProfitAdjustmentNet</x:v>
      </x:c>
      <x:c r="D2114" s="39" t="n">
        <x:v>68.074</x:v>
      </x:c>
      <x:c r="E2114" s="11" t="str">
        <x:v>CNY</x:v>
      </x:c>
      <x:c r="F2114" s="11" t="str">
        <x:v>million</x:v>
      </x:c>
      <x:c r="G2114" s="11" t="str">
        <x:v>2026H1</x:v>
      </x:c>
      <x:c r="H2114" s="11" t="str">
        <x:v>2026-09-24</x:v>
      </x:c>
      <x:c r="I2114" s="11" t="str">
        <x:v>https://iis.aastocks.com/20260924/12344918-0.PDF</x:v>
      </x:c>
      <x:c r="J2114" s="11" t="str"/>
      <x:c r="K2114" s="11" t="str">
        <x:v>待核</x:v>
      </x:c>
      <x:c r="L2114" s="11" t="str">
        <x:v>精确发布时间未核验</x:v>
      </x:c>
      <x:c r="M2114" s="11" t="str">
        <x:v>截止日前日期，盘中时分未核</x:v>
      </x:c>
    </x:row>
    <x:row r="2115" ht="23" customHeight="1">
      <x:c r="A2115" s="11" t="str">
        <x:v>I031</x:v>
      </x:c>
      <x:c r="B2115" s="11" t="str">
        <x:v>01177.HK</x:v>
      </x:c>
      <x:c r="C2115" s="11" t="str">
        <x:v>PPECash</x:v>
      </x:c>
      <x:c r="D2115" s="39" t="n">
        <x:v>299.059</x:v>
      </x:c>
      <x:c r="E2115" s="11" t="str">
        <x:v>CNY</x:v>
      </x:c>
      <x:c r="F2115" s="11" t="str">
        <x:v>million</x:v>
      </x:c>
      <x:c r="G2115" s="11" t="str">
        <x:v>2026H1</x:v>
      </x:c>
      <x:c r="H2115" s="11" t="str">
        <x:v>2026-09-24</x:v>
      </x:c>
      <x:c r="I2115" s="11" t="str">
        <x:v>https://iis.aastocks.com/20260924/12344918-0.PDF</x:v>
      </x:c>
      <x:c r="J2115" s="11" t="str"/>
      <x:c r="K2115" s="11" t="str">
        <x:v>待核</x:v>
      </x:c>
      <x:c r="L2115" s="11" t="str">
        <x:v>精确发布时间未核验</x:v>
      </x:c>
      <x:c r="M2115" s="11" t="str">
        <x:v>截止日前日期，盘中时分未核</x:v>
      </x:c>
    </x:row>
    <x:row r="2116" ht="23" customHeight="1">
      <x:c r="A2116" s="11" t="str">
        <x:v>I031</x:v>
      </x:c>
      <x:c r="B2116" s="11" t="str">
        <x:v>01177.HK</x:v>
      </x:c>
      <x:c r="C2116" s="11" t="str">
        <x:v>acquisitionNetCashOutflow</x:v>
      </x:c>
      <x:c r="D2116" s="39" t="n">
        <x:v>997.538</x:v>
      </x:c>
      <x:c r="E2116" s="11" t="str">
        <x:v>CNY</x:v>
      </x:c>
      <x:c r="F2116" s="11" t="str">
        <x:v>million</x:v>
      </x:c>
      <x:c r="G2116" s="11" t="str">
        <x:v>2026H1</x:v>
      </x:c>
      <x:c r="H2116" s="11" t="str">
        <x:v>2026-09-24</x:v>
      </x:c>
      <x:c r="I2116" s="11" t="str">
        <x:v>https://iis.aastocks.com/20260924/12344918-0.PDF</x:v>
      </x:c>
      <x:c r="J2116" s="11" t="str"/>
      <x:c r="K2116" s="11" t="str">
        <x:v>待核</x:v>
      </x:c>
      <x:c r="L2116" s="11" t="str">
        <x:v>精确发布时间未核验</x:v>
      </x:c>
      <x:c r="M2116" s="11" t="str">
        <x:v>截止日前日期，盘中时分未核</x:v>
      </x:c>
    </x:row>
    <x:row r="2117" ht="23" customHeight="1">
      <x:c r="A2117" s="11" t="str">
        <x:v>I031</x:v>
      </x:c>
      <x:c r="B2117" s="11" t="str">
        <x:v>01177.HK</x:v>
      </x:c>
      <x:c r="C2117" s="11" t="str">
        <x:v>minorityDividendCash</x:v>
      </x:c>
      <x:c r="D2117" s="39" t="n">
        <x:v>2085.527</x:v>
      </x:c>
      <x:c r="E2117" s="11" t="str">
        <x:v>CNY</x:v>
      </x:c>
      <x:c r="F2117" s="11" t="str">
        <x:v>million</x:v>
      </x:c>
      <x:c r="G2117" s="11" t="str">
        <x:v>2026H1</x:v>
      </x:c>
      <x:c r="H2117" s="11" t="str">
        <x:v>2026-09-24</x:v>
      </x:c>
      <x:c r="I2117" s="11" t="str">
        <x:v>https://iis.aastocks.com/20260924/12344918-0.PDF</x:v>
      </x:c>
      <x:c r="J2117" s="11" t="str"/>
      <x:c r="K2117" s="11" t="str">
        <x:v>待核</x:v>
      </x:c>
      <x:c r="L2117" s="11" t="str">
        <x:v>精确发布时间未核验</x:v>
      </x:c>
      <x:c r="M2117" s="11" t="str">
        <x:v>截止日前日期，盘中时分未核</x:v>
      </x:c>
    </x:row>
    <x:row r="2118" ht="23" customHeight="1">
      <x:c r="A2118" s="11" t="str">
        <x:v>I031</x:v>
      </x:c>
      <x:c r="B2118" s="11" t="str">
        <x:v>01177.HK</x:v>
      </x:c>
      <x:c r="C2118" s="11" t="str">
        <x:v>companyFundsReserve</x:v>
      </x:c>
      <x:c r="D2118" s="39" t="n">
        <x:v>34583.64</x:v>
      </x:c>
      <x:c r="E2118" s="11" t="str">
        <x:v>CNY</x:v>
      </x:c>
      <x:c r="F2118" s="11" t="str">
        <x:v>million</x:v>
      </x:c>
      <x:c r="G2118" s="11" t="str">
        <x:v>2026H1</x:v>
      </x:c>
      <x:c r="H2118" s="11" t="str">
        <x:v>2026-09-24</x:v>
      </x:c>
      <x:c r="I2118" s="11" t="str">
        <x:v>https://iis.aastocks.com/20260924/12344918-0.PDF</x:v>
      </x:c>
      <x:c r="J2118" s="11" t="str"/>
      <x:c r="K2118" s="11" t="str">
        <x:v>待核</x:v>
      </x:c>
      <x:c r="L2118" s="11" t="str">
        <x:v>精确发布时间未核验</x:v>
      </x:c>
      <x:c r="M2118" s="11" t="str">
        <x:v>截止日前日期，盘中时分未核</x:v>
      </x:c>
    </x:row>
    <x:row r="2119" ht="23" customHeight="1">
      <x:c r="A2119" s="11" t="str">
        <x:v>I031</x:v>
      </x:c>
      <x:c r="B2119" s="11" t="str">
        <x:v>01177.HK</x:v>
      </x:c>
      <x:c r="C2119" s="11" t="str">
        <x:v>companyNetCashInclWealth</x:v>
      </x:c>
      <x:c r="D2119" s="39" t="n">
        <x:v>17412.19</x:v>
      </x:c>
      <x:c r="E2119" s="11" t="str">
        <x:v>CNY</x:v>
      </x:c>
      <x:c r="F2119" s="11" t="str">
        <x:v>million</x:v>
      </x:c>
      <x:c r="G2119" s="11" t="str">
        <x:v>2026H1</x:v>
      </x:c>
      <x:c r="H2119" s="11" t="str">
        <x:v>2026-09-24</x:v>
      </x:c>
      <x:c r="I2119" s="11" t="str">
        <x:v>https://iis.aastocks.com/20260924/12344918-0.PDF</x:v>
      </x:c>
      <x:c r="J2119" s="11" t="str"/>
      <x:c r="K2119" s="11" t="str">
        <x:v>待核</x:v>
      </x:c>
      <x:c r="L2119" s="11" t="str">
        <x:v>精确发布时间未核验</x:v>
      </x:c>
      <x:c r="M2119" s="11" t="str">
        <x:v>截止日前日期，盘中时分未核</x:v>
      </x:c>
    </x:row>
    <x:row r="2120" ht="23" customHeight="1">
      <x:c r="A2120" s="11" t="str">
        <x:v>I031</x:v>
      </x:c>
      <x:c r="B2120" s="11" t="str">
        <x:v>01177.HK</x:v>
      </x:c>
      <x:c r="C2120" s="11" t="str">
        <x:v>pledgedAssets</x:v>
      </x:c>
      <x:c r="D2120" s="39" t="n">
        <x:v>717.2</x:v>
      </x:c>
      <x:c r="E2120" s="11" t="str">
        <x:v>CNY</x:v>
      </x:c>
      <x:c r="F2120" s="11" t="str">
        <x:v>million</x:v>
      </x:c>
      <x:c r="G2120" s="11" t="str">
        <x:v>2026H1</x:v>
      </x:c>
      <x:c r="H2120" s="11" t="str">
        <x:v>2026-09-24</x:v>
      </x:c>
      <x:c r="I2120" s="11" t="str">
        <x:v>https://iis.aastocks.com/20260924/12344918-0.PDF</x:v>
      </x:c>
      <x:c r="J2120" s="11" t="str"/>
      <x:c r="K2120" s="11" t="str">
        <x:v>待核</x:v>
      </x:c>
      <x:c r="L2120" s="11" t="str">
        <x:v>精确发布时间未核验</x:v>
      </x:c>
      <x:c r="M2120" s="11" t="str">
        <x:v>截止日前日期，盘中时分未核</x:v>
      </x:c>
    </x:row>
    <x:row r="2121" ht="23" customHeight="1">
      <x:c r="A2121" s="11" t="str">
        <x:v>I031</x:v>
      </x:c>
      <x:c r="B2121" s="11" t="str">
        <x:v>01177.HK</x:v>
      </x:c>
      <x:c r="C2121" s="11" t="str">
        <x:v>goodwill</x:v>
      </x:c>
      <x:c r="D2121" s="39" t="n">
        <x:v>4352.631</x:v>
      </x:c>
      <x:c r="E2121" s="11" t="str">
        <x:v>CNY</x:v>
      </x:c>
      <x:c r="F2121" s="11" t="str">
        <x:v>million</x:v>
      </x:c>
      <x:c r="G2121" s="11" t="str">
        <x:v>2026H1</x:v>
      </x:c>
      <x:c r="H2121" s="11" t="str">
        <x:v>2026-09-24</x:v>
      </x:c>
      <x:c r="I2121" s="11" t="str">
        <x:v>https://iis.aastocks.com/20260924/12344918-0.PDF</x:v>
      </x:c>
      <x:c r="J2121" s="11" t="str"/>
      <x:c r="K2121" s="11" t="str">
        <x:v>待核</x:v>
      </x:c>
      <x:c r="L2121" s="11" t="str">
        <x:v>精确发布时间未核验</x:v>
      </x:c>
      <x:c r="M2121" s="11" t="str">
        <x:v>截止日前日期，盘中时分未核</x:v>
      </x:c>
    </x:row>
    <x:row r="2122" ht="23" customHeight="1">
      <x:c r="A2122" s="11" t="str">
        <x:v>I031</x:v>
      </x:c>
      <x:c r="B2122" s="11" t="str">
        <x:v>01177.HK</x:v>
      </x:c>
      <x:c r="C2122" s="11" t="str">
        <x:v>sinovacInvestmentFV</x:v>
      </x:c>
      <x:c r="D2122" s="39" t="n">
        <x:v>7249</x:v>
      </x:c>
      <x:c r="E2122" s="11" t="str">
        <x:v>CNY</x:v>
      </x:c>
      <x:c r="F2122" s="11" t="str">
        <x:v>million</x:v>
      </x:c>
      <x:c r="G2122" s="11" t="str">
        <x:v>2026H1</x:v>
      </x:c>
      <x:c r="H2122" s="11" t="str">
        <x:v>2026-09-24</x:v>
      </x:c>
      <x:c r="I2122" s="11" t="str">
        <x:v>https://iis.aastocks.com/20260924/12344918-0.PDF</x:v>
      </x:c>
      <x:c r="J2122" s="11" t="str"/>
      <x:c r="K2122" s="11" t="str">
        <x:v>待核</x:v>
      </x:c>
      <x:c r="L2122" s="11" t="str">
        <x:v>精确发布时间未核验</x:v>
      </x:c>
      <x:c r="M2122" s="11" t="str">
        <x:v>截止日前日期，盘中时分未核</x:v>
      </x:c>
    </x:row>
    <x:row r="2123" ht="23" customHeight="1">
      <x:c r="A2123" s="11" t="str">
        <x:v>I031</x:v>
      </x:c>
      <x:c r="B2123" s="11" t="str">
        <x:v>01177.HK</x:v>
      </x:c>
      <x:c r="C2123" s="11" t="str">
        <x:v>basicSharesM</x:v>
      </x:c>
      <x:c r="D2123" s="39" t="n">
        <x:v>17983.011615</x:v>
      </x:c>
      <x:c r="E2123" s="11" t="str">
        <x:v>not monetary</x:v>
      </x:c>
      <x:c r="F2123" s="11" t="str">
        <x:v>million shares</x:v>
      </x:c>
      <x:c r="G2123" s="11" t="str">
        <x:v>2026H1</x:v>
      </x:c>
      <x:c r="H2123" s="11" t="str">
        <x:v>2026-09-24</x:v>
      </x:c>
      <x:c r="I2123" s="11" t="str">
        <x:v>https://iis.aastocks.com/20260924/12344918-0.PDF</x:v>
      </x:c>
      <x:c r="J2123" s="11" t="str"/>
      <x:c r="K2123" s="11" t="str">
        <x:v>待核</x:v>
      </x:c>
      <x:c r="L2123" s="11" t="str">
        <x:v>精确发布时间未核验</x:v>
      </x:c>
      <x:c r="M2123" s="11" t="str">
        <x:v>截止日前日期，盘中时分未核</x:v>
      </x:c>
    </x:row>
    <x:row r="2124" ht="23" customHeight="1">
      <x:c r="A2124" s="11" t="str">
        <x:v>I031</x:v>
      </x:c>
      <x:c r="B2124" s="11" t="str">
        <x:v>01177.HK</x:v>
      </x:c>
      <x:c r="C2124" s="11" t="str">
        <x:v>dilutedSharesM</x:v>
      </x:c>
      <x:c r="D2124" s="39" t="n">
        <x:v>18049.662039</x:v>
      </x:c>
      <x:c r="E2124" s="11" t="str">
        <x:v>not monetary</x:v>
      </x:c>
      <x:c r="F2124" s="11" t="str">
        <x:v>million shares</x:v>
      </x:c>
      <x:c r="G2124" s="11" t="str">
        <x:v>2026H1</x:v>
      </x:c>
      <x:c r="H2124" s="11" t="str">
        <x:v>2026-09-24</x:v>
      </x:c>
      <x:c r="I2124" s="11" t="str">
        <x:v>https://iis.aastocks.com/20260924/12344918-0.PDF</x:v>
      </x:c>
      <x:c r="J2124" s="11" t="str"/>
      <x:c r="K2124" s="11" t="str">
        <x:v>待核</x:v>
      </x:c>
      <x:c r="L2124" s="11" t="str">
        <x:v>精确发布时间未核验</x:v>
      </x:c>
      <x:c r="M2124" s="11" t="str">
        <x:v>截止日前日期，盘中时分未核</x:v>
      </x:c>
    </x:row>
    <x:row r="2125" ht="23" customHeight="1">
      <x:c r="A2125" s="11" t="str">
        <x:v>I031</x:v>
      </x:c>
      <x:c r="B2125" s="11" t="str">
        <x:v>01177.HK</x:v>
      </x:c>
      <x:c r="C2125" s="11" t="str">
        <x:v>priorFinalDividendHKD</x:v>
      </x:c>
      <x:c r="D2125" s="39" t="n">
        <x:v>0.05</x:v>
      </x:c>
      <x:c r="E2125" s="11" t="str">
        <x:v>HKD</x:v>
      </x:c>
      <x:c r="F2125" s="11" t="str">
        <x:v>per ordinary share</x:v>
      </x:c>
      <x:c r="G2125" s="11" t="str">
        <x:v>2026H1</x:v>
      </x:c>
      <x:c r="H2125" s="11" t="str">
        <x:v>2026-09-24</x:v>
      </x:c>
      <x:c r="I2125" s="11" t="str">
        <x:v>https://iis.aastocks.com/20260924/12344918-0.PDF</x:v>
      </x:c>
      <x:c r="J2125" s="11" t="str"/>
      <x:c r="K2125" s="11" t="str">
        <x:v>待核</x:v>
      </x:c>
      <x:c r="L2125" s="11" t="str">
        <x:v>精确发布时间未核验</x:v>
      </x:c>
      <x:c r="M2125" s="11" t="str">
        <x:v>截止日前日期，盘中时分未核</x:v>
      </x:c>
    </x:row>
    <x:row r="2126" ht="23" customHeight="1">
      <x:c r="A2126" s="11" t="str">
        <x:v>I031</x:v>
      </x:c>
      <x:c r="B2126" s="11" t="str">
        <x:v>01177.HK</x:v>
      </x:c>
      <x:c r="C2126" s="11" t="str">
        <x:v>interimDividendHKD</x:v>
      </x:c>
      <x:c r="D2126" s="39" t="n">
        <x:v>0.07</x:v>
      </x:c>
      <x:c r="E2126" s="11" t="str">
        <x:v>HKD</x:v>
      </x:c>
      <x:c r="F2126" s="11" t="str">
        <x:v>per ordinary share</x:v>
      </x:c>
      <x:c r="G2126" s="11" t="str">
        <x:v>2026H1</x:v>
      </x:c>
      <x:c r="H2126" s="11" t="str">
        <x:v>2026-09-24</x:v>
      </x:c>
      <x:c r="I2126" s="11" t="str">
        <x:v>https://iis.aastocks.com/20260924/12344918-0.PDF</x:v>
      </x:c>
      <x:c r="J2126" s="11" t="str"/>
      <x:c r="K2126" s="11" t="str">
        <x:v>待核</x:v>
      </x:c>
      <x:c r="L2126" s="11" t="str">
        <x:v>精确发布时间未核验</x:v>
      </x:c>
      <x:c r="M2126" s="11" t="str">
        <x:v>截止日前日期，盘中时分未核</x:v>
      </x:c>
    </x:row>
    <x:row r="2127" ht="23" customHeight="1">
      <x:c r="A2127" s="11" t="str">
        <x:v>I031</x:v>
      </x:c>
      <x:c r="B2127" s="11" t="str">
        <x:v>01177.HK</x:v>
      </x:c>
      <x:c r="C2127" s="11" t="str">
        <x:v>acquireAdditionalCTTInterestPct</x:v>
      </x:c>
      <x:c r="D2127" s="39" t="n">
        <x:v>5</x:v>
      </x:c>
      <x:c r="E2127" s="11" t="str">
        <x:v>not monetary</x:v>
      </x:c>
      <x:c r="F2127" s="11" t="str">
        <x:v>percent</x:v>
      </x:c>
      <x:c r="G2127" s="11" t="str">
        <x:v>2026H1</x:v>
      </x:c>
      <x:c r="H2127" s="11" t="str">
        <x:v>2026-09-24</x:v>
      </x:c>
      <x:c r="I2127" s="11" t="str">
        <x:v>https://iis.aastocks.com/20260924/12344918-0.PDF</x:v>
      </x:c>
      <x:c r="J2127" s="11" t="str"/>
      <x:c r="K2127" s="11" t="str">
        <x:v>待核</x:v>
      </x:c>
      <x:c r="L2127" s="11" t="str">
        <x:v>精确发布时间未核验</x:v>
      </x:c>
      <x:c r="M2127" s="11" t="str">
        <x:v>截止日前日期，盘中时分未核</x:v>
      </x:c>
    </x:row>
    <x:row r="2128" ht="23" customHeight="1">
      <x:c r="A2128" s="11" t="str">
        <x:v>I031</x:v>
      </x:c>
      <x:c r="B2128" s="11" t="str">
        <x:v>01177.HK</x:v>
      </x:c>
      <x:c r="C2128" s="11" t="str">
        <x:v>CTTInterestBeforePct</x:v>
      </x:c>
      <x:c r="D2128" s="39" t="n">
        <x:v>60</x:v>
      </x:c>
      <x:c r="E2128" s="11" t="str">
        <x:v>not monetary</x:v>
      </x:c>
      <x:c r="F2128" s="11" t="str">
        <x:v>percent</x:v>
      </x:c>
      <x:c r="G2128" s="11" t="str">
        <x:v>2026H1</x:v>
      </x:c>
      <x:c r="H2128" s="11" t="str">
        <x:v>2026-09-24</x:v>
      </x:c>
      <x:c r="I2128" s="11" t="str">
        <x:v>https://iis.aastocks.com/20260924/12344918-0.PDF</x:v>
      </x:c>
      <x:c r="J2128" s="11" t="str"/>
      <x:c r="K2128" s="11" t="str">
        <x:v>待核</x:v>
      </x:c>
      <x:c r="L2128" s="11" t="str">
        <x:v>精确发布时间未核验</x:v>
      </x:c>
      <x:c r="M2128" s="11" t="str">
        <x:v>截止日前日期，盘中时分未核</x:v>
      </x:c>
    </x:row>
    <x:row r="2129" ht="23" customHeight="1">
      <x:c r="A2129" s="11" t="str">
        <x:v>I031</x:v>
      </x:c>
      <x:c r="B2129" s="11" t="str">
        <x:v>01177.HK</x:v>
      </x:c>
      <x:c r="C2129" s="11" t="str">
        <x:v>CTTInterestAfterPct</x:v>
      </x:c>
      <x:c r="D2129" s="39" t="n">
        <x:v>65</x:v>
      </x:c>
      <x:c r="E2129" s="11" t="str">
        <x:v>not monetary</x:v>
      </x:c>
      <x:c r="F2129" s="11" t="str">
        <x:v>percent</x:v>
      </x:c>
      <x:c r="G2129" s="11" t="str">
        <x:v>2026H1</x:v>
      </x:c>
      <x:c r="H2129" s="11" t="str">
        <x:v>2026-09-24</x:v>
      </x:c>
      <x:c r="I2129" s="11" t="str">
        <x:v>https://iis.aastocks.com/20260924/12344918-0.PDF</x:v>
      </x:c>
      <x:c r="J2129" s="11" t="str"/>
      <x:c r="K2129" s="11" t="str">
        <x:v>待核</x:v>
      </x:c>
      <x:c r="L2129" s="11" t="str">
        <x:v>精确发布时间未核验</x:v>
      </x:c>
      <x:c r="M2129" s="11" t="str">
        <x:v>截止日前日期，盘中时分未核</x:v>
      </x:c>
    </x:row>
    <x:row r="2130" ht="23" customHeight="1">
      <x:c r="A2130" s="11" t="str">
        <x:v>I031</x:v>
      </x:c>
      <x:c r="B2130" s="11" t="str">
        <x:v>01177.HK</x:v>
      </x:c>
      <x:c r="C2130" s="11" t="str">
        <x:v>acquireCashCNYm</x:v>
      </x:c>
      <x:c r="D2130" s="39" t="n">
        <x:v>4480</x:v>
      </x:c>
      <x:c r="E2130" s="11" t="str">
        <x:v>CNY</x:v>
      </x:c>
      <x:c r="F2130" s="11" t="str">
        <x:v>million</x:v>
      </x:c>
      <x:c r="G2130" s="11" t="str">
        <x:v>2026H1</x:v>
      </x:c>
      <x:c r="H2130" s="11" t="str">
        <x:v>2026-09-24</x:v>
      </x:c>
      <x:c r="I2130" s="11" t="str">
        <x:v>https://iis.aastocks.com/20260924/12344918-0.PDF</x:v>
      </x:c>
      <x:c r="J2130" s="11" t="str"/>
      <x:c r="K2130" s="11" t="str">
        <x:v>待核</x:v>
      </x:c>
      <x:c r="L2130" s="11" t="str">
        <x:v>精确发布时间未核验</x:v>
      </x:c>
      <x:c r="M2130" s="11" t="str">
        <x:v>截止日前日期，盘中时分未核</x:v>
      </x:c>
    </x:row>
    <x:row r="2131" ht="23" customHeight="1">
      <x:c r="A2131" s="11" t="str">
        <x:v>I031</x:v>
      </x:c>
      <x:c r="B2131" s="11" t="str">
        <x:v>01177.HK</x:v>
      </x:c>
      <x:c r="C2131" s="11" t="str">
        <x:v>acquiredTargetDebtCNYm</x:v>
      </x:c>
      <x:c r="D2131" s="39" t="n">
        <x:v>2415</x:v>
      </x:c>
      <x:c r="E2131" s="11" t="str">
        <x:v>CNY</x:v>
      </x:c>
      <x:c r="F2131" s="11" t="str">
        <x:v>million</x:v>
      </x:c>
      <x:c r="G2131" s="11" t="str">
        <x:v>2026H1</x:v>
      </x:c>
      <x:c r="H2131" s="11" t="str">
        <x:v>2026-09-24</x:v>
      </x:c>
      <x:c r="I2131" s="11" t="str">
        <x:v>https://iis.aastocks.com/20260924/12344918-0.PDF</x:v>
      </x:c>
      <x:c r="J2131" s="11" t="str"/>
      <x:c r="K2131" s="11" t="str">
        <x:v>待核</x:v>
      </x:c>
      <x:c r="L2131" s="11" t="str">
        <x:v>精确发布时间未核验</x:v>
      </x:c>
      <x:c r="M2131" s="11" t="str">
        <x:v>截止日前日期，盘中时分未核</x:v>
      </x:c>
    </x:row>
    <x:row r="2132" ht="23" customHeight="1">
      <x:c r="A2132" s="11" t="str">
        <x:v>I031</x:v>
      </x:c>
      <x:c r="B2132" s="11" t="str">
        <x:v>01177.HK</x:v>
      </x:c>
      <x:c r="C2132" s="11" t="str">
        <x:v>acquiredTargetCashCNYm</x:v>
      </x:c>
      <x:c r="D2132" s="39" t="n">
        <x:v>34</x:v>
      </x:c>
      <x:c r="E2132" s="11" t="str">
        <x:v>CNY</x:v>
      </x:c>
      <x:c r="F2132" s="11" t="str">
        <x:v>million</x:v>
      </x:c>
      <x:c r="G2132" s="11" t="str">
        <x:v>2026H1</x:v>
      </x:c>
      <x:c r="H2132" s="11" t="str">
        <x:v>2026-09-24</x:v>
      </x:c>
      <x:c r="I2132" s="11" t="str">
        <x:v>https://iis.aastocks.com/20260924/12344918-0.PDF</x:v>
      </x:c>
      <x:c r="J2132" s="11" t="str"/>
      <x:c r="K2132" s="11" t="str">
        <x:v>待核</x:v>
      </x:c>
      <x:c r="L2132" s="11" t="str">
        <x:v>精确发布时间未核验</x:v>
      </x:c>
      <x:c r="M2132" s="11" t="str">
        <x:v>截止日前日期，盘中时分未核</x:v>
      </x:c>
    </x:row>
    <x:row r="2133" ht="23" customHeight="1">
      <x:c r="A2133" s="11" t="str">
        <x:v>I031</x:v>
      </x:c>
      <x:c r="B2133" s="11" t="str">
        <x:v>01177.HK</x:v>
      </x:c>
      <x:c r="C2133" s="11" t="str">
        <x:v>acquiredTargetValuationEquityCNYm</x:v>
      </x:c>
      <x:c r="D2133" s="39" t="n">
        <x:v>5003</x:v>
      </x:c>
      <x:c r="E2133" s="11" t="str">
        <x:v>CNY</x:v>
      </x:c>
      <x:c r="F2133" s="11" t="str">
        <x:v>million</x:v>
      </x:c>
      <x:c r="G2133" s="11" t="str">
        <x:v>2026H1</x:v>
      </x:c>
      <x:c r="H2133" s="11" t="str">
        <x:v>2026-09-24</x:v>
      </x:c>
      <x:c r="I2133" s="11" t="str">
        <x:v>https://iis.aastocks.com/20260924/12344918-0.PDF</x:v>
      </x:c>
      <x:c r="J2133" s="11" t="str"/>
      <x:c r="K2133" s="11" t="str">
        <x:v>待核</x:v>
      </x:c>
      <x:c r="L2133" s="11" t="str">
        <x:v>精确发布时间未核验</x:v>
      </x:c>
      <x:c r="M2133" s="11" t="str">
        <x:v>截止日前日期，盘中时分未核</x:v>
      </x:c>
    </x:row>
    <x:row r="2134" ht="23" customHeight="1">
      <x:c r="A2134" s="11" t="str">
        <x:v>I031</x:v>
      </x:c>
      <x:c r="B2134" s="11" t="str">
        <x:v>01177.HK</x:v>
      </x:c>
      <x:c r="C2134" s="11" t="str">
        <x:v>acquiredStakeValuationCNYm</x:v>
      </x:c>
      <x:c r="D2134" s="39" t="n">
        <x:v>7386</x:v>
      </x:c>
      <x:c r="E2134" s="11" t="str">
        <x:v>CNY</x:v>
      </x:c>
      <x:c r="F2134" s="11" t="str">
        <x:v>million</x:v>
      </x:c>
      <x:c r="G2134" s="11" t="str">
        <x:v>2026H1</x:v>
      </x:c>
      <x:c r="H2134" s="11" t="str">
        <x:v>2026-09-24</x:v>
      </x:c>
      <x:c r="I2134" s="11" t="str">
        <x:v>https://iis.aastocks.com/20260924/12344918-0.PDF</x:v>
      </x:c>
      <x:c r="J2134" s="11" t="str"/>
      <x:c r="K2134" s="11" t="str">
        <x:v>待核</x:v>
      </x:c>
      <x:c r="L2134" s="11" t="str">
        <x:v>精确发布时间未核验</x:v>
      </x:c>
      <x:c r="M2134" s="11" t="str">
        <x:v>截止日前日期，盘中时分未核</x:v>
      </x:c>
    </x:row>
    <x:row r="2135" ht="23" customHeight="1">
      <x:c r="A2135" s="11" t="str">
        <x:v>I031</x:v>
      </x:c>
      <x:c r="B2135" s="11" t="str">
        <x:v>01177.HK</x:v>
      </x:c>
      <x:c r="C2135" s="11" t="str">
        <x:v>acquireEstimatedAdjustedIncrementProfitCNYm</x:v>
      </x:c>
      <x:c r="D2135" s="39" t="n">
        <x:v>350</x:v>
      </x:c>
      <x:c r="E2135" s="11" t="str">
        <x:v>CNY</x:v>
      </x:c>
      <x:c r="F2135" s="11" t="str">
        <x:v>million</x:v>
      </x:c>
      <x:c r="G2135" s="11" t="str">
        <x:v>2026H1</x:v>
      </x:c>
      <x:c r="H2135" s="11" t="str">
        <x:v>2026-09-24</x:v>
      </x:c>
      <x:c r="I2135" s="11" t="str">
        <x:v>https://iis.aastocks.com/20260924/12344918-0.PDF</x:v>
      </x:c>
      <x:c r="J2135" s="11" t="str"/>
      <x:c r="K2135" s="11" t="str">
        <x:v>待核</x:v>
      </x:c>
      <x:c r="L2135" s="11" t="str">
        <x:v>精确发布时间未核验</x:v>
      </x:c>
      <x:c r="M2135" s="11" t="str">
        <x:v>截止日前日期，盘中时分未核</x:v>
      </x:c>
    </x:row>
    <x:row r="2136" ht="23" customHeight="1">
      <x:c r="A2136" s="11" t="str">
        <x:v>I031</x:v>
      </x:c>
      <x:c r="B2136" s="11" t="str">
        <x:v>01177.HK</x:v>
      </x:c>
      <x:c r="C2136" s="11" t="str">
        <x:v>acquireLTMAdjustedCTTProfitCNYm</x:v>
      </x:c>
      <x:c r="D2136" s="39" t="n">
        <x:v>7092</x:v>
      </x:c>
      <x:c r="E2136" s="11" t="str">
        <x:v>CNY</x:v>
      </x:c>
      <x:c r="F2136" s="11" t="str">
        <x:v>million</x:v>
      </x:c>
      <x:c r="G2136" s="11" t="str">
        <x:v>2026H1</x:v>
      </x:c>
      <x:c r="H2136" s="11" t="str">
        <x:v>2026-09-24</x:v>
      </x:c>
      <x:c r="I2136" s="11" t="str">
        <x:v>https://iis.aastocks.com/20260924/12344918-0.PDF</x:v>
      </x:c>
      <x:c r="J2136" s="11" t="str"/>
      <x:c r="K2136" s="11" t="str">
        <x:v>待核</x:v>
      </x:c>
      <x:c r="L2136" s="11" t="str">
        <x:v>精确发布时间未核验</x:v>
      </x:c>
      <x:c r="M2136" s="11" t="str">
        <x:v>截止日前日期，盘中时分未核</x:v>
      </x:c>
    </x:row>
    <x:row r="2137" ht="23" customHeight="1">
      <x:c r="A2137" s="11" t="str">
        <x:v>I031</x:v>
      </x:c>
      <x:c r="B2137" s="11" t="str">
        <x:v>01177.HK</x:v>
      </x:c>
      <x:c r="C2137" s="11" t="str">
        <x:v>revenue</x:v>
      </x:c>
      <x:c r="D2137" s="39" t="n">
        <x:v>19444.363</x:v>
      </x:c>
      <x:c r="E2137" s="11" t="str">
        <x:v>CNY</x:v>
      </x:c>
      <x:c r="F2137" s="11" t="str">
        <x:v>million</x:v>
      </x:c>
      <x:c r="G2137" s="11" t="str">
        <x:v>2026H1</x:v>
      </x:c>
      <x:c r="H2137" s="11" t="str">
        <x:v>2026-09-24</x:v>
      </x:c>
      <x:c r="I2137" s="11" t="str">
        <x:v>https://iis.aastocks.com/20260924/12344918-0.PDF</x:v>
      </x:c>
      <x:c r="J2137" s="11" t="str">
        <x:v>首度公开日期 2026-08-19</x:v>
      </x:c>
      <x:c r="K2137" s="11" t="str">
        <x:v>2026-08-19</x:v>
      </x:c>
      <x:c r="L2137" s="11" t="str">
        <x:v>精确发布时间未核验</x:v>
      </x:c>
      <x:c r="M2137" s="11" t="str">
        <x:v>截止日前日期，盘中时分未核</x:v>
      </x:c>
    </x:row>
    <x:row r="2138" ht="23" customHeight="1">
      <x:c r="A2138" s="11" t="str">
        <x:v>I031</x:v>
      </x:c>
      <x:c r="B2138" s="11" t="str">
        <x:v>01177.HK</x:v>
      </x:c>
      <x:c r="C2138" s="11" t="str">
        <x:v>productSales</x:v>
      </x:c>
      <x:c r="D2138" s="39" t="n">
        <x:v>18221.818</x:v>
      </x:c>
      <x:c r="E2138" s="11" t="str">
        <x:v>CNY</x:v>
      </x:c>
      <x:c r="F2138" s="11" t="str">
        <x:v>million</x:v>
      </x:c>
      <x:c r="G2138" s="11" t="str">
        <x:v>2026H1</x:v>
      </x:c>
      <x:c r="H2138" s="11" t="str">
        <x:v>2026-09-24</x:v>
      </x:c>
      <x:c r="I2138" s="11" t="str">
        <x:v>https://iis.aastocks.com/20260924/12344918-0.PDF</x:v>
      </x:c>
      <x:c r="J2138" s="11" t="str">
        <x:v>首度公开日期 2026-08-19</x:v>
      </x:c>
      <x:c r="K2138" s="11" t="str">
        <x:v>2026-08-19</x:v>
      </x:c>
      <x:c r="L2138" s="11" t="str">
        <x:v>精确发布时间未核验</x:v>
      </x:c>
      <x:c r="M2138" s="11" t="str">
        <x:v>截止日前日期，盘中时分未核</x:v>
      </x:c>
    </x:row>
    <x:row r="2139" ht="23" customHeight="1">
      <x:c r="A2139" s="11" t="str">
        <x:v>I031</x:v>
      </x:c>
      <x:c r="B2139" s="11" t="str">
        <x:v>01177.HK</x:v>
      </x:c>
      <x:c r="C2139" s="11" t="str">
        <x:v>licenseRevenue</x:v>
      </x:c>
      <x:c r="D2139" s="39" t="n">
        <x:v>975.356</x:v>
      </x:c>
      <x:c r="E2139" s="11" t="str">
        <x:v>CNY</x:v>
      </x:c>
      <x:c r="F2139" s="11" t="str">
        <x:v>million</x:v>
      </x:c>
      <x:c r="G2139" s="11" t="str">
        <x:v>2026H1</x:v>
      </x:c>
      <x:c r="H2139" s="11" t="str">
        <x:v>2026-09-24</x:v>
      </x:c>
      <x:c r="I2139" s="11" t="str">
        <x:v>https://iis.aastocks.com/20260924/12344918-0.PDF</x:v>
      </x:c>
      <x:c r="J2139" s="11" t="str">
        <x:v>首度公开日期 2026-08-19</x:v>
      </x:c>
      <x:c r="K2139" s="11" t="str">
        <x:v>2026-08-19</x:v>
      </x:c>
      <x:c r="L2139" s="11" t="str">
        <x:v>精确发布时间未核验</x:v>
      </x:c>
      <x:c r="M2139" s="11" t="str">
        <x:v>截止日前日期，盘中时分未核</x:v>
      </x:c>
    </x:row>
    <x:row r="2140" ht="23" customHeight="1">
      <x:c r="A2140" s="11" t="str">
        <x:v>I031</x:v>
      </x:c>
      <x:c r="B2140" s="11" t="str">
        <x:v>01177.HK</x:v>
      </x:c>
      <x:c r="C2140" s="11" t="str">
        <x:v>otherRevenue</x:v>
      </x:c>
      <x:c r="D2140" s="39" t="n">
        <x:v>247.189</x:v>
      </x:c>
      <x:c r="E2140" s="11" t="str">
        <x:v>CNY</x:v>
      </x:c>
      <x:c r="F2140" s="11" t="str">
        <x:v>million</x:v>
      </x:c>
      <x:c r="G2140" s="11" t="str">
        <x:v>2026H1</x:v>
      </x:c>
      <x:c r="H2140" s="11" t="str">
        <x:v>2026-09-24</x:v>
      </x:c>
      <x:c r="I2140" s="11" t="str">
        <x:v>https://iis.aastocks.com/20260924/12344918-0.PDF</x:v>
      </x:c>
      <x:c r="J2140" s="11" t="str">
        <x:v>首度公开日期 2026-08-19</x:v>
      </x:c>
      <x:c r="K2140" s="11" t="str">
        <x:v>2026-08-19</x:v>
      </x:c>
      <x:c r="L2140" s="11" t="str">
        <x:v>精确发布时间未核验</x:v>
      </x:c>
      <x:c r="M2140" s="11" t="str">
        <x:v>截止日前日期，盘中时分未核</x:v>
      </x:c>
    </x:row>
    <x:row r="2141" ht="23" customHeight="1">
      <x:c r="A2141" s="11" t="str">
        <x:v>I031</x:v>
      </x:c>
      <x:c r="B2141" s="11" t="str">
        <x:v>01177.HK</x:v>
      </x:c>
      <x:c r="C2141" s="11" t="str">
        <x:v>grossProfit</x:v>
      </x:c>
      <x:c r="D2141" s="39" t="n">
        <x:v>16147.725</x:v>
      </x:c>
      <x:c r="E2141" s="11" t="str">
        <x:v>CNY</x:v>
      </x:c>
      <x:c r="F2141" s="11" t="str">
        <x:v>million</x:v>
      </x:c>
      <x:c r="G2141" s="11" t="str">
        <x:v>2026H1</x:v>
      </x:c>
      <x:c r="H2141" s="11" t="str">
        <x:v>2026-09-24</x:v>
      </x:c>
      <x:c r="I2141" s="11" t="str">
        <x:v>https://iis.aastocks.com/20260924/12344918-0.PDF</x:v>
      </x:c>
      <x:c r="J2141" s="11" t="str">
        <x:v>首度公开日期 2026-08-19</x:v>
      </x:c>
      <x:c r="K2141" s="11" t="str">
        <x:v>2026-08-19</x:v>
      </x:c>
      <x:c r="L2141" s="11" t="str">
        <x:v>精确发布时间未核验</x:v>
      </x:c>
      <x:c r="M2141" s="11" t="str">
        <x:v>截止日前日期，盘中时分未核</x:v>
      </x:c>
    </x:row>
    <x:row r="2142" ht="23" customHeight="1">
      <x:c r="A2142" s="11" t="str">
        <x:v>I031</x:v>
      </x:c>
      <x:c r="B2142" s="11" t="str">
        <x:v>01177.HK</x:v>
      </x:c>
      <x:c r="C2142" s="11" t="str">
        <x:v>groupProfit</x:v>
      </x:c>
      <x:c r="D2142" s="39" t="n">
        <x:v>6143.47</x:v>
      </x:c>
      <x:c r="E2142" s="11" t="str">
        <x:v>CNY</x:v>
      </x:c>
      <x:c r="F2142" s="11" t="str">
        <x:v>million</x:v>
      </x:c>
      <x:c r="G2142" s="11" t="str">
        <x:v>2026H1</x:v>
      </x:c>
      <x:c r="H2142" s="11" t="str">
        <x:v>2026-09-24</x:v>
      </x:c>
      <x:c r="I2142" s="11" t="str">
        <x:v>https://iis.aastocks.com/20260924/12344918-0.PDF</x:v>
      </x:c>
      <x:c r="J2142" s="11" t="str">
        <x:v>首度公开日期 2026-08-19</x:v>
      </x:c>
      <x:c r="K2142" s="11" t="str">
        <x:v>2026-08-19</x:v>
      </x:c>
      <x:c r="L2142" s="11" t="str">
        <x:v>精确发布时间未核验</x:v>
      </x:c>
      <x:c r="M2142" s="11" t="str">
        <x:v>截止日前日期，盘中时分未核</x:v>
      </x:c>
    </x:row>
    <x:row r="2143" ht="23" customHeight="1">
      <x:c r="A2143" s="11" t="str">
        <x:v>I031</x:v>
      </x:c>
      <x:c r="B2143" s="11" t="str">
        <x:v>01177.HK</x:v>
      </x:c>
      <x:c r="C2143" s="11" t="str">
        <x:v>attributableProfit</x:v>
      </x:c>
      <x:c r="D2143" s="39" t="n">
        <x:v>3434.598</x:v>
      </x:c>
      <x:c r="E2143" s="11" t="str">
        <x:v>CNY</x:v>
      </x:c>
      <x:c r="F2143" s="11" t="str">
        <x:v>million</x:v>
      </x:c>
      <x:c r="G2143" s="11" t="str">
        <x:v>2026H1</x:v>
      </x:c>
      <x:c r="H2143" s="11" t="str">
        <x:v>2026-09-24</x:v>
      </x:c>
      <x:c r="I2143" s="11" t="str">
        <x:v>https://iis.aastocks.com/20260924/12344918-0.PDF</x:v>
      </x:c>
      <x:c r="J2143" s="11" t="str">
        <x:v>首度公开日期 2026-08-19</x:v>
      </x:c>
      <x:c r="K2143" s="11" t="str">
        <x:v>2026-08-19</x:v>
      </x:c>
      <x:c r="L2143" s="11" t="str">
        <x:v>精确发布时间未核验</x:v>
      </x:c>
      <x:c r="M2143" s="11" t="str">
        <x:v>截止日前日期，盘中时分未核</x:v>
      </x:c>
    </x:row>
    <x:row r="2144" ht="23" customHeight="1">
      <x:c r="A2144" s="11" t="str">
        <x:v>I031</x:v>
      </x:c>
      <x:c r="B2144" s="11" t="str">
        <x:v>01177.HK</x:v>
      </x:c>
      <x:c r="C2144" s="11" t="str">
        <x:v>minorityProfit</x:v>
      </x:c>
      <x:c r="D2144" s="39" t="n">
        <x:v>2708.872</x:v>
      </x:c>
      <x:c r="E2144" s="11" t="str">
        <x:v>CNY</x:v>
      </x:c>
      <x:c r="F2144" s="11" t="str">
        <x:v>million</x:v>
      </x:c>
      <x:c r="G2144" s="11" t="str">
        <x:v>2026H1</x:v>
      </x:c>
      <x:c r="H2144" s="11" t="str">
        <x:v>2026-09-24</x:v>
      </x:c>
      <x:c r="I2144" s="11" t="str">
        <x:v>https://iis.aastocks.com/20260924/12344918-0.PDF</x:v>
      </x:c>
      <x:c r="J2144" s="11" t="str">
        <x:v>首度公开日期 2026-08-19</x:v>
      </x:c>
      <x:c r="K2144" s="11" t="str">
        <x:v>2026-08-19</x:v>
      </x:c>
      <x:c r="L2144" s="11" t="str">
        <x:v>精确发布时间未核验</x:v>
      </x:c>
      <x:c r="M2144" s="11" t="str">
        <x:v>截止日前日期，盘中时分未核</x:v>
      </x:c>
    </x:row>
    <x:row r="2145" ht="23" customHeight="1">
      <x:c r="A2145" s="11" t="str">
        <x:v>I031</x:v>
      </x:c>
      <x:c r="B2145" s="11" t="str">
        <x:v>01177.HK</x:v>
      </x:c>
      <x:c r="C2145" s="11" t="str">
        <x:v>basicAdjustedProfit</x:v>
      </x:c>
      <x:c r="D2145" s="39" t="n">
        <x:v>3339.318</x:v>
      </x:c>
      <x:c r="E2145" s="11" t="str">
        <x:v>CNY</x:v>
      </x:c>
      <x:c r="F2145" s="11" t="str">
        <x:v>million</x:v>
      </x:c>
      <x:c r="G2145" s="11" t="str">
        <x:v>2026H1</x:v>
      </x:c>
      <x:c r="H2145" s="11" t="str">
        <x:v>2026-09-24</x:v>
      </x:c>
      <x:c r="I2145" s="11" t="str">
        <x:v>https://iis.aastocks.com/20260924/12344918-0.PDF</x:v>
      </x:c>
      <x:c r="J2145" s="11" t="str">
        <x:v>首度公开日期 2026-08-19</x:v>
      </x:c>
      <x:c r="K2145" s="11" t="str">
        <x:v>2026-08-19</x:v>
      </x:c>
      <x:c r="L2145" s="11" t="str">
        <x:v>精确发布时间未核验</x:v>
      </x:c>
      <x:c r="M2145" s="11" t="str">
        <x:v>截止日前日期，盘中时分未核</x:v>
      </x:c>
    </x:row>
    <x:row r="2146" ht="23" customHeight="1">
      <x:c r="A2146" s="11" t="str">
        <x:v>I031</x:v>
      </x:c>
      <x:c r="B2146" s="11" t="str">
        <x:v>01177.HK</x:v>
      </x:c>
      <x:c r="C2146" s="11" t="str">
        <x:v>research</x:v>
      </x:c>
      <x:c r="D2146" s="39" t="n">
        <x:v>3080.029</x:v>
      </x:c>
      <x:c r="E2146" s="11" t="str">
        <x:v>CNY</x:v>
      </x:c>
      <x:c r="F2146" s="11" t="str">
        <x:v>million</x:v>
      </x:c>
      <x:c r="G2146" s="11" t="str">
        <x:v>2026H1</x:v>
      </x:c>
      <x:c r="H2146" s="11" t="str">
        <x:v>2026-09-24</x:v>
      </x:c>
      <x:c r="I2146" s="11" t="str">
        <x:v>https://iis.aastocks.com/20260924/12344918-0.PDF</x:v>
      </x:c>
      <x:c r="J2146" s="11" t="str">
        <x:v>首度公开日期 2026-08-19</x:v>
      </x:c>
      <x:c r="K2146" s="11" t="str">
        <x:v>2026-08-19</x:v>
      </x:c>
      <x:c r="L2146" s="11" t="str">
        <x:v>精确发布时间未核验</x:v>
      </x:c>
      <x:c r="M2146" s="11" t="str">
        <x:v>截止日前日期，盘中时分未核</x:v>
      </x:c>
    </x:row>
    <x:row r="2147" ht="23" customHeight="1">
      <x:c r="A2147" s="11" t="str">
        <x:v>I031</x:v>
      </x:c>
      <x:c r="B2147" s="11" t="str">
        <x:v>01177.HK</x:v>
      </x:c>
      <x:c r="C2147" s="11" t="str">
        <x:v>salesExpense</x:v>
      </x:c>
      <x:c r="D2147" s="39" t="n">
        <x:v>5260.112</x:v>
      </x:c>
      <x:c r="E2147" s="11" t="str">
        <x:v>CNY</x:v>
      </x:c>
      <x:c r="F2147" s="11" t="str">
        <x:v>million</x:v>
      </x:c>
      <x:c r="G2147" s="11" t="str">
        <x:v>2026H1</x:v>
      </x:c>
      <x:c r="H2147" s="11" t="str">
        <x:v>2026-09-24</x:v>
      </x:c>
      <x:c r="I2147" s="11" t="str">
        <x:v>https://iis.aastocks.com/20260924/12344918-0.PDF</x:v>
      </x:c>
      <x:c r="J2147" s="11" t="str">
        <x:v>首度公开日期 2026-08-19</x:v>
      </x:c>
      <x:c r="K2147" s="11" t="str">
        <x:v>2026-08-19</x:v>
      </x:c>
      <x:c r="L2147" s="11" t="str">
        <x:v>精确发布时间未核验</x:v>
      </x:c>
      <x:c r="M2147" s="11" t="str">
        <x:v>截止日前日期，盘中时分未核</x:v>
      </x:c>
    </x:row>
    <x:row r="2148" ht="23" customHeight="1">
      <x:c r="A2148" s="11" t="str">
        <x:v>I031</x:v>
      </x:c>
      <x:c r="B2148" s="11" t="str">
        <x:v>01177.HK</x:v>
      </x:c>
      <x:c r="C2148" s="11" t="str">
        <x:v>admin</x:v>
      </x:c>
      <x:c r="D2148" s="39" t="n">
        <x:v>969.464</x:v>
      </x:c>
      <x:c r="E2148" s="11" t="str">
        <x:v>CNY</x:v>
      </x:c>
      <x:c r="F2148" s="11" t="str">
        <x:v>million</x:v>
      </x:c>
      <x:c r="G2148" s="11" t="str">
        <x:v>2026H1</x:v>
      </x:c>
      <x:c r="H2148" s="11" t="str">
        <x:v>2026-09-24</x:v>
      </x:c>
      <x:c r="I2148" s="11" t="str">
        <x:v>https://iis.aastocks.com/20260924/12344918-0.PDF</x:v>
      </x:c>
      <x:c r="J2148" s="11" t="str">
        <x:v>首度公开日期 2026-08-19</x:v>
      </x:c>
      <x:c r="K2148" s="11" t="str">
        <x:v>2026-08-19</x:v>
      </x:c>
      <x:c r="L2148" s="11" t="str">
        <x:v>精确发布时间未核验</x:v>
      </x:c>
      <x:c r="M2148" s="11" t="str">
        <x:v>截止日前日期，盘中时分未核</x:v>
      </x:c>
    </x:row>
    <x:row r="2149" ht="23" customHeight="1">
      <x:c r="A2149" s="11" t="str">
        <x:v>I031</x:v>
      </x:c>
      <x:c r="B2149" s="11" t="str">
        <x:v>01177.HK</x:v>
      </x:c>
      <x:c r="C2149" s="11" t="str">
        <x:v>bankInterest</x:v>
      </x:c>
      <x:c r="D2149" s="39" t="n">
        <x:v>320.479</x:v>
      </x:c>
      <x:c r="E2149" s="11" t="str">
        <x:v>CNY</x:v>
      </x:c>
      <x:c r="F2149" s="11" t="str">
        <x:v>million</x:v>
      </x:c>
      <x:c r="G2149" s="11" t="str">
        <x:v>2026H1</x:v>
      </x:c>
      <x:c r="H2149" s="11" t="str">
        <x:v>2026-09-24</x:v>
      </x:c>
      <x:c r="I2149" s="11" t="str">
        <x:v>https://iis.aastocks.com/20260924/12344918-0.PDF</x:v>
      </x:c>
      <x:c r="J2149" s="11" t="str">
        <x:v>首度公开日期 2026-08-19</x:v>
      </x:c>
      <x:c r="K2149" s="11" t="str">
        <x:v>2026-08-19</x:v>
      </x:c>
      <x:c r="L2149" s="11" t="str">
        <x:v>精确发布时间未核验</x:v>
      </x:c>
      <x:c r="M2149" s="11" t="str">
        <x:v>截止日前日期，盘中时分未核</x:v>
      </x:c>
    </x:row>
    <x:row r="2150" ht="23" customHeight="1">
      <x:c r="A2150" s="11" t="str">
        <x:v>I031</x:v>
      </x:c>
      <x:c r="B2150" s="11" t="str">
        <x:v>01177.HK</x:v>
      </x:c>
      <x:c r="C2150" s="11" t="str">
        <x:v>financialCost</x:v>
      </x:c>
      <x:c r="D2150" s="39" t="n">
        <x:v>169.501</x:v>
      </x:c>
      <x:c r="E2150" s="11" t="str">
        <x:v>CNY</x:v>
      </x:c>
      <x:c r="F2150" s="11" t="str">
        <x:v>million</x:v>
      </x:c>
      <x:c r="G2150" s="11" t="str">
        <x:v>2026H1</x:v>
      </x:c>
      <x:c r="H2150" s="11" t="str">
        <x:v>2026-09-24</x:v>
      </x:c>
      <x:c r="I2150" s="11" t="str">
        <x:v>https://iis.aastocks.com/20260924/12344918-0.PDF</x:v>
      </x:c>
      <x:c r="J2150" s="11" t="str">
        <x:v>首度公开日期 2026-08-19</x:v>
      </x:c>
      <x:c r="K2150" s="11" t="str">
        <x:v>2026-08-19</x:v>
      </x:c>
      <x:c r="L2150" s="11" t="str">
        <x:v>精确发布时间未核验</x:v>
      </x:c>
      <x:c r="M2150" s="11" t="str">
        <x:v>截止日前日期，盘中时分未核</x:v>
      </x:c>
    </x:row>
    <x:row r="2151" ht="23" customHeight="1">
      <x:c r="A2151" s="11" t="str">
        <x:v>I031</x:v>
      </x:c>
      <x:c r="B2151" s="11" t="str">
        <x:v>01177.HK</x:v>
      </x:c>
      <x:c r="C2151" s="11" t="str">
        <x:v>OCF</x:v>
      </x:c>
      <x:c r="D2151" s="39" t="n">
        <x:v>4318.965</x:v>
      </x:c>
      <x:c r="E2151" s="11" t="str">
        <x:v>CNY</x:v>
      </x:c>
      <x:c r="F2151" s="11" t="str">
        <x:v>million</x:v>
      </x:c>
      <x:c r="G2151" s="11" t="str">
        <x:v>2026H1</x:v>
      </x:c>
      <x:c r="H2151" s="11" t="str">
        <x:v>2026-09-24</x:v>
      </x:c>
      <x:c r="I2151" s="11" t="str">
        <x:v>https://iis.aastocks.com/20260924/12344918-0.PDF</x:v>
      </x:c>
      <x:c r="J2151" s="11" t="str">
        <x:v>首度公开日期 2026-08-19</x:v>
      </x:c>
      <x:c r="K2151" s="11" t="str">
        <x:v>2026-08-19</x:v>
      </x:c>
      <x:c r="L2151" s="11" t="str">
        <x:v>精确发布时间未核验</x:v>
      </x:c>
      <x:c r="M2151" s="11" t="str">
        <x:v>截止日前日期，盘中时分未核</x:v>
      </x:c>
    </x:row>
    <x:row r="2152" ht="23" customHeight="1">
      <x:c r="A2152" s="11" t="str">
        <x:v>I031</x:v>
      </x:c>
      <x:c r="B2152" s="11" t="str">
        <x:v>01177.HK</x:v>
      </x:c>
      <x:c r="C2152" s="11" t="str">
        <x:v>cashBankCurrent</x:v>
      </x:c>
      <x:c r="D2152" s="39" t="n">
        <x:v>14882.137</x:v>
      </x:c>
      <x:c r="E2152" s="11" t="str">
        <x:v>CNY</x:v>
      </x:c>
      <x:c r="F2152" s="11" t="str">
        <x:v>million</x:v>
      </x:c>
      <x:c r="G2152" s="11" t="str">
        <x:v>2026H1</x:v>
      </x:c>
      <x:c r="H2152" s="11" t="str">
        <x:v>2026-09-24</x:v>
      </x:c>
      <x:c r="I2152" s="11" t="str">
        <x:v>https://iis.aastocks.com/20260924/12344918-0.PDF</x:v>
      </x:c>
      <x:c r="J2152" s="11" t="str">
        <x:v>首度公开日期 2026-08-19</x:v>
      </x:c>
      <x:c r="K2152" s="11" t="str">
        <x:v>2026-08-19</x:v>
      </x:c>
      <x:c r="L2152" s="11" t="str">
        <x:v>精确发布时间未核验</x:v>
      </x:c>
      <x:c r="M2152" s="11" t="str">
        <x:v>截止日前日期，盘中时分未核</x:v>
      </x:c>
    </x:row>
    <x:row r="2153" ht="23" customHeight="1">
      <x:c r="A2153" s="11" t="str">
        <x:v>I031</x:v>
      </x:c>
      <x:c r="B2153" s="11" t="str">
        <x:v>01177.HK</x:v>
      </x:c>
      <x:c r="C2153" s="11" t="str">
        <x:v>nonCurrentBank</x:v>
      </x:c>
      <x:c r="D2153" s="39" t="n">
        <x:v>7158</x:v>
      </x:c>
      <x:c r="E2153" s="11" t="str">
        <x:v>CNY</x:v>
      </x:c>
      <x:c r="F2153" s="11" t="str">
        <x:v>million</x:v>
      </x:c>
      <x:c r="G2153" s="11" t="str">
        <x:v>2026H1</x:v>
      </x:c>
      <x:c r="H2153" s="11" t="str">
        <x:v>2026-09-24</x:v>
      </x:c>
      <x:c r="I2153" s="11" t="str">
        <x:v>https://iis.aastocks.com/20260924/12344918-0.PDF</x:v>
      </x:c>
      <x:c r="J2153" s="11" t="str">
        <x:v>首度公开日期 2026-08-19</x:v>
      </x:c>
      <x:c r="K2153" s="11" t="str">
        <x:v>2026-08-19</x:v>
      </x:c>
      <x:c r="L2153" s="11" t="str">
        <x:v>精确发布时间未核验</x:v>
      </x:c>
      <x:c r="M2153" s="11" t="str">
        <x:v>截止日前日期，盘中时分未核</x:v>
      </x:c>
    </x:row>
    <x:row r="2154" ht="23" customHeight="1">
      <x:c r="A2154" s="11" t="str">
        <x:v>I031</x:v>
      </x:c>
      <x:c r="B2154" s="11" t="str">
        <x:v>01177.HK</x:v>
      </x:c>
      <x:c r="C2154" s="11" t="str">
        <x:v>wealthManagement</x:v>
      </x:c>
      <x:c r="D2154" s="39" t="n">
        <x:v>12543.5</x:v>
      </x:c>
      <x:c r="E2154" s="11" t="str">
        <x:v>CNY</x:v>
      </x:c>
      <x:c r="F2154" s="11" t="str">
        <x:v>million</x:v>
      </x:c>
      <x:c r="G2154" s="11" t="str">
        <x:v>2026H1</x:v>
      </x:c>
      <x:c r="H2154" s="11" t="str">
        <x:v>2026-09-24</x:v>
      </x:c>
      <x:c r="I2154" s="11" t="str">
        <x:v>https://iis.aastocks.com/20260924/12344918-0.PDF</x:v>
      </x:c>
      <x:c r="J2154" s="11" t="str">
        <x:v>首度公开日期 2026-08-19</x:v>
      </x:c>
      <x:c r="K2154" s="11" t="str">
        <x:v>2026-08-19</x:v>
      </x:c>
      <x:c r="L2154" s="11" t="str">
        <x:v>精确发布时间未核验</x:v>
      </x:c>
      <x:c r="M2154" s="11" t="str">
        <x:v>截止日前日期，盘中时分未核</x:v>
      </x:c>
    </x:row>
    <x:row r="2155" ht="23" customHeight="1">
      <x:c r="A2155" s="11" t="str">
        <x:v>I031</x:v>
      </x:c>
      <x:c r="B2155" s="11" t="str">
        <x:v>01177.HK</x:v>
      </x:c>
      <x:c r="C2155" s="11" t="str">
        <x:v>bankDebt</x:v>
      </x:c>
      <x:c r="D2155" s="39" t="n">
        <x:v>17099.212</x:v>
      </x:c>
      <x:c r="E2155" s="11" t="str">
        <x:v>CNY</x:v>
      </x:c>
      <x:c r="F2155" s="11" t="str">
        <x:v>million</x:v>
      </x:c>
      <x:c r="G2155" s="11" t="str">
        <x:v>2026H1</x:v>
      </x:c>
      <x:c r="H2155" s="11" t="str">
        <x:v>2026-09-24</x:v>
      </x:c>
      <x:c r="I2155" s="11" t="str">
        <x:v>https://iis.aastocks.com/20260924/12344918-0.PDF</x:v>
      </x:c>
      <x:c r="J2155" s="11" t="str">
        <x:v>首度公开日期 2026-08-19</x:v>
      </x:c>
      <x:c r="K2155" s="11" t="str">
        <x:v>2026-08-19</x:v>
      </x:c>
      <x:c r="L2155" s="11" t="str">
        <x:v>精确发布时间未核验</x:v>
      </x:c>
      <x:c r="M2155" s="11" t="str">
        <x:v>截止日前日期，盘中时分未核</x:v>
      </x:c>
    </x:row>
    <x:row r="2156" ht="23" customHeight="1">
      <x:c r="A2156" s="11" t="str">
        <x:v>I031</x:v>
      </x:c>
      <x:c r="B2156" s="11" t="str">
        <x:v>01177.HK</x:v>
      </x:c>
      <x:c r="C2156" s="11" t="str">
        <x:v>leases</x:v>
      </x:c>
      <x:c r="D2156" s="39" t="n">
        <x:v>72.229</x:v>
      </x:c>
      <x:c r="E2156" s="11" t="str">
        <x:v>CNY</x:v>
      </x:c>
      <x:c r="F2156" s="11" t="str">
        <x:v>million</x:v>
      </x:c>
      <x:c r="G2156" s="11" t="str">
        <x:v>2026H1</x:v>
      </x:c>
      <x:c r="H2156" s="11" t="str">
        <x:v>2026-09-24</x:v>
      </x:c>
      <x:c r="I2156" s="11" t="str">
        <x:v>https://iis.aastocks.com/20260924/12344918-0.PDF</x:v>
      </x:c>
      <x:c r="J2156" s="11" t="str">
        <x:v>首度公开日期 2026-08-19</x:v>
      </x:c>
      <x:c r="K2156" s="11" t="str">
        <x:v>2026-08-19</x:v>
      </x:c>
      <x:c r="L2156" s="11" t="str">
        <x:v>精确发布时间未核验</x:v>
      </x:c>
      <x:c r="M2156" s="11" t="str">
        <x:v>截止日前日期，盘中时分未核</x:v>
      </x:c>
    </x:row>
    <x:row r="2157" ht="23" customHeight="1">
      <x:c r="A2157" s="11" t="str">
        <x:v>I031</x:v>
      </x:c>
      <x:c r="B2157" s="11" t="str">
        <x:v>01177.HK</x:v>
      </x:c>
      <x:c r="C2157" s="11" t="str">
        <x:v>tradeReceivable</x:v>
      </x:c>
      <x:c r="D2157" s="39" t="n">
        <x:v>10676.35</x:v>
      </x:c>
      <x:c r="E2157" s="11" t="str">
        <x:v>CNY</x:v>
      </x:c>
      <x:c r="F2157" s="11" t="str">
        <x:v>million</x:v>
      </x:c>
      <x:c r="G2157" s="11" t="str">
        <x:v>2026H1</x:v>
      </x:c>
      <x:c r="H2157" s="11" t="str">
        <x:v>2026-09-24</x:v>
      </x:c>
      <x:c r="I2157" s="11" t="str">
        <x:v>https://iis.aastocks.com/20260924/12344918-0.PDF</x:v>
      </x:c>
      <x:c r="J2157" s="11" t="str">
        <x:v>首度公开日期 2026-08-19</x:v>
      </x:c>
      <x:c r="K2157" s="11" t="str">
        <x:v>2026-08-19</x:v>
      </x:c>
      <x:c r="L2157" s="11" t="str">
        <x:v>精确发布时间未核验</x:v>
      </x:c>
      <x:c r="M2157" s="11" t="str">
        <x:v>截止日前日期，盘中时分未核</x:v>
      </x:c>
    </x:row>
    <x:row r="2158" ht="23" customHeight="1">
      <x:c r="A2158" s="11" t="str">
        <x:v>I031</x:v>
      </x:c>
      <x:c r="B2158" s="11" t="str">
        <x:v>01177.HK</x:v>
      </x:c>
      <x:c r="C2158" s="11" t="str">
        <x:v>ownerEquity</x:v>
      </x:c>
      <x:c r="D2158" s="39" t="n">
        <x:v>32568.081</x:v>
      </x:c>
      <x:c r="E2158" s="11" t="str">
        <x:v>CNY</x:v>
      </x:c>
      <x:c r="F2158" s="11" t="str">
        <x:v>million</x:v>
      </x:c>
      <x:c r="G2158" s="11" t="str">
        <x:v>2026H1</x:v>
      </x:c>
      <x:c r="H2158" s="11" t="str">
        <x:v>2026-09-24</x:v>
      </x:c>
      <x:c r="I2158" s="11" t="str">
        <x:v>https://iis.aastocks.com/20260924/12344918-0.PDF</x:v>
      </x:c>
      <x:c r="J2158" s="11" t="str">
        <x:v>首度公开日期 2026-08-19</x:v>
      </x:c>
      <x:c r="K2158" s="11" t="str">
        <x:v>2026-08-19</x:v>
      </x:c>
      <x:c r="L2158" s="11" t="str">
        <x:v>精确发布时间未核验</x:v>
      </x:c>
      <x:c r="M2158" s="11" t="str">
        <x:v>截止日前日期，盘中时分未核</x:v>
      </x:c>
    </x:row>
    <x:row r="2159" ht="23" customHeight="1">
      <x:c r="A2159" s="11" t="str">
        <x:v>I031</x:v>
      </x:c>
      <x:c r="B2159" s="11" t="str">
        <x:v>01177.HK</x:v>
      </x:c>
      <x:c r="C2159" s="11" t="str">
        <x:v>minorityEquity</x:v>
      </x:c>
      <x:c r="D2159" s="39" t="n">
        <x:v>13676.634</x:v>
      </x:c>
      <x:c r="E2159" s="11" t="str">
        <x:v>CNY</x:v>
      </x:c>
      <x:c r="F2159" s="11" t="str">
        <x:v>million</x:v>
      </x:c>
      <x:c r="G2159" s="11" t="str">
        <x:v>2026H1</x:v>
      </x:c>
      <x:c r="H2159" s="11" t="str">
        <x:v>2026-09-24</x:v>
      </x:c>
      <x:c r="I2159" s="11" t="str">
        <x:v>https://iis.aastocks.com/20260924/12344918-0.PDF</x:v>
      </x:c>
      <x:c r="J2159" s="11" t="str">
        <x:v>首度公开日期 2026-08-19</x:v>
      </x:c>
      <x:c r="K2159" s="11" t="str">
        <x:v>2026-08-19</x:v>
      </x:c>
      <x:c r="L2159" s="11" t="str">
        <x:v>精确发布时间未核验</x:v>
      </x:c>
      <x:c r="M2159" s="11" t="str">
        <x:v>截止日前日期，盘中时分未核</x:v>
      </x:c>
    </x:row>
    <x:row r="2160" ht="23" customHeight="1">
      <x:c r="A2160" s="11" t="str">
        <x:v>I092</x:v>
      </x:c>
      <x:c r="B2160" s="11" t="str">
        <x:v>00981.HK</x:v>
      </x:c>
      <x:c r="C2160" s="11" t="str">
        <x:v>revenueUSDmillion</x:v>
      </x:c>
      <x:c r="D2160" s="39" t="n">
        <x:v>9326.799</x:v>
      </x:c>
      <x:c r="E2160" s="11" t="str">
        <x:v>USD</x:v>
      </x:c>
      <x:c r="F2160" s="11" t="str">
        <x:v>million</x:v>
      </x:c>
      <x:c r="G2160" s="11" t="str">
        <x:v>FY2025 IFRS</x:v>
      </x:c>
      <x:c r="H2160" s="11" t="str">
        <x:v>2026-03-26财表批准；官网年报09 Apr 2026</x:v>
      </x:c>
      <x:c r="I2160" s="11" t="str">
        <x:v>https://smic.cdn.shwebspace.com/uploads/AR_EN.pdf</x:v>
      </x:c>
      <x:c r="J2160" s="11" t="str">
        <x:v>reported input; field suffix retains original scale</x:v>
      </x:c>
      <x:c r="K2160" s="11" t="str">
        <x:v>待核</x:v>
      </x:c>
      <x:c r="L2160" s="11" t="str">
        <x:v>精确发布时间未核验</x:v>
      </x:c>
      <x:c r="M2160" s="11" t="str">
        <x:v>截止日前日期，盘中时分未核</x:v>
      </x:c>
    </x:row>
    <x:row r="2161" ht="23" customHeight="1">
      <x:c r="A2161" s="11" t="str">
        <x:v>I092</x:v>
      </x:c>
      <x:c r="B2161" s="11" t="str">
        <x:v>00981.HK</x:v>
      </x:c>
      <x:c r="C2161" s="11" t="str">
        <x:v>revenue2024USDmillion</x:v>
      </x:c>
      <x:c r="D2161" s="39" t="n">
        <x:v>8029.921</x:v>
      </x:c>
      <x:c r="E2161" s="11" t="str">
        <x:v>USD</x:v>
      </x:c>
      <x:c r="F2161" s="11" t="str">
        <x:v>million</x:v>
      </x:c>
      <x:c r="G2161" s="11" t="str">
        <x:v>FY2025 IFRS</x:v>
      </x:c>
      <x:c r="H2161" s="11" t="str">
        <x:v>2026-03-26财表批准；官网年报09 Apr 2026</x:v>
      </x:c>
      <x:c r="I2161" s="11" t="str">
        <x:v>https://smic.cdn.shwebspace.com/uploads/AR_EN.pdf</x:v>
      </x:c>
      <x:c r="J2161" s="11" t="str">
        <x:v>reported input; field suffix retains original scale</x:v>
      </x:c>
      <x:c r="K2161" s="11" t="str">
        <x:v>待核</x:v>
      </x:c>
      <x:c r="L2161" s="11" t="str">
        <x:v>精确发布时间未核验</x:v>
      </x:c>
      <x:c r="M2161" s="11" t="str">
        <x:v>截止日前日期，盘中时分未核</x:v>
      </x:c>
    </x:row>
    <x:row r="2162" ht="23" customHeight="1">
      <x:c r="A2162" s="11" t="str">
        <x:v>I092</x:v>
      </x:c>
      <x:c r="B2162" s="11" t="str">
        <x:v>00981.HK</x:v>
      </x:c>
      <x:c r="C2162" s="11" t="str">
        <x:v>revenue2023USDmillion</x:v>
      </x:c>
      <x:c r="D2162" s="39" t="n">
        <x:v>6321.56</x:v>
      </x:c>
      <x:c r="E2162" s="11" t="str">
        <x:v>USD</x:v>
      </x:c>
      <x:c r="F2162" s="11" t="str">
        <x:v>million</x:v>
      </x:c>
      <x:c r="G2162" s="11" t="str">
        <x:v>FY2025 IFRS</x:v>
      </x:c>
      <x:c r="H2162" s="11" t="str">
        <x:v>2026-03-26财表批准；官网年报09 Apr 2026</x:v>
      </x:c>
      <x:c r="I2162" s="11" t="str">
        <x:v>https://smic.cdn.shwebspace.com/uploads/AR_EN.pdf</x:v>
      </x:c>
      <x:c r="J2162" s="11" t="str">
        <x:v>reported input; field suffix retains original scale</x:v>
      </x:c>
      <x:c r="K2162" s="11" t="str">
        <x:v>待核</x:v>
      </x:c>
      <x:c r="L2162" s="11" t="str">
        <x:v>精确发布时间未核验</x:v>
      </x:c>
      <x:c r="M2162" s="11" t="str">
        <x:v>截止日前日期，盘中时分未核</x:v>
      </x:c>
    </x:row>
    <x:row r="2163" ht="23" customHeight="1">
      <x:c r="A2163" s="11" t="str">
        <x:v>I092</x:v>
      </x:c>
      <x:c r="B2163" s="11" t="str">
        <x:v>00981.HK</x:v>
      </x:c>
      <x:c r="C2163" s="11" t="str">
        <x:v>profitAttributableUSDmillion</x:v>
      </x:c>
      <x:c r="D2163" s="39" t="n">
        <x:v>685.131</x:v>
      </x:c>
      <x:c r="E2163" s="11" t="str">
        <x:v>USD</x:v>
      </x:c>
      <x:c r="F2163" s="11" t="str">
        <x:v>million</x:v>
      </x:c>
      <x:c r="G2163" s="11" t="str">
        <x:v>FY2025 IFRS</x:v>
      </x:c>
      <x:c r="H2163" s="11" t="str">
        <x:v>2026-03-26财表批准；官网年报09 Apr 2026</x:v>
      </x:c>
      <x:c r="I2163" s="11" t="str">
        <x:v>https://smic.cdn.shwebspace.com/uploads/AR_EN.pdf</x:v>
      </x:c>
      <x:c r="J2163" s="11" t="str">
        <x:v>reported input; field suffix retains original scale</x:v>
      </x:c>
      <x:c r="K2163" s="11" t="str">
        <x:v>待核</x:v>
      </x:c>
      <x:c r="L2163" s="11" t="str">
        <x:v>精确发布时间未核验</x:v>
      </x:c>
      <x:c r="M2163" s="11" t="str">
        <x:v>截止日前日期，盘中时分未核</x:v>
      </x:c>
    </x:row>
    <x:row r="2164" ht="23" customHeight="1">
      <x:c r="A2164" s="11" t="str">
        <x:v>I092</x:v>
      </x:c>
      <x:c r="B2164" s="11" t="str">
        <x:v>00981.HK</x:v>
      </x:c>
      <x:c r="C2164" s="11" t="str">
        <x:v>profitAttributable2024USDmillion</x:v>
      </x:c>
      <x:c r="D2164" s="39" t="n">
        <x:v>492.748</x:v>
      </x:c>
      <x:c r="E2164" s="11" t="str">
        <x:v>USD</x:v>
      </x:c>
      <x:c r="F2164" s="11" t="str">
        <x:v>million</x:v>
      </x:c>
      <x:c r="G2164" s="11" t="str">
        <x:v>FY2025 IFRS</x:v>
      </x:c>
      <x:c r="H2164" s="11" t="str">
        <x:v>2026-03-26财表批准；官网年报09 Apr 2026</x:v>
      </x:c>
      <x:c r="I2164" s="11" t="str">
        <x:v>https://smic.cdn.shwebspace.com/uploads/AR_EN.pdf</x:v>
      </x:c>
      <x:c r="J2164" s="11" t="str">
        <x:v>reported input; field suffix retains original scale</x:v>
      </x:c>
      <x:c r="K2164" s="11" t="str">
        <x:v>待核</x:v>
      </x:c>
      <x:c r="L2164" s="11" t="str">
        <x:v>精确发布时间未核验</x:v>
      </x:c>
      <x:c r="M2164" s="11" t="str">
        <x:v>截止日前日期，盘中时分未核</x:v>
      </x:c>
    </x:row>
    <x:row r="2165" ht="23" customHeight="1">
      <x:c r="A2165" s="11" t="str">
        <x:v>I092</x:v>
      </x:c>
      <x:c r="B2165" s="11" t="str">
        <x:v>00981.HK</x:v>
      </x:c>
      <x:c r="C2165" s="11" t="str">
        <x:v>profitAttributable2023USDmillion</x:v>
      </x:c>
      <x:c r="D2165" s="39" t="n">
        <x:v>902.526</x:v>
      </x:c>
      <x:c r="E2165" s="11" t="str">
        <x:v>USD</x:v>
      </x:c>
      <x:c r="F2165" s="11" t="str">
        <x:v>million</x:v>
      </x:c>
      <x:c r="G2165" s="11" t="str">
        <x:v>FY2025 IFRS</x:v>
      </x:c>
      <x:c r="H2165" s="11" t="str">
        <x:v>2026-03-26财表批准；官网年报09 Apr 2026</x:v>
      </x:c>
      <x:c r="I2165" s="11" t="str">
        <x:v>https://smic.cdn.shwebspace.com/uploads/AR_EN.pdf</x:v>
      </x:c>
      <x:c r="J2165" s="11" t="str">
        <x:v>reported input; field suffix retains original scale</x:v>
      </x:c>
      <x:c r="K2165" s="11" t="str">
        <x:v>待核</x:v>
      </x:c>
      <x:c r="L2165" s="11" t="str">
        <x:v>精确发布时间未核验</x:v>
      </x:c>
      <x:c r="M2165" s="11" t="str">
        <x:v>截止日前日期，盘中时分未核</x:v>
      </x:c>
    </x:row>
    <x:row r="2166" ht="23" customHeight="1">
      <x:c r="A2166" s="11" t="str">
        <x:v>I092</x:v>
      </x:c>
      <x:c r="B2166" s="11" t="str">
        <x:v>00981.HK</x:v>
      </x:c>
      <x:c r="C2166" s="11" t="str">
        <x:v>profitAttributableExNonRecurringUSDmillion</x:v>
      </x:c>
      <x:c r="D2166" s="39" t="n">
        <x:v>575.556</x:v>
      </x:c>
      <x:c r="E2166" s="11" t="str">
        <x:v>USD</x:v>
      </x:c>
      <x:c r="F2166" s="11" t="str">
        <x:v>million</x:v>
      </x:c>
      <x:c r="G2166" s="11" t="str">
        <x:v>FY2025 IFRS</x:v>
      </x:c>
      <x:c r="H2166" s="11" t="str">
        <x:v>2026-03-26财表批准；官网年报09 Apr 2026</x:v>
      </x:c>
      <x:c r="I2166" s="11" t="str">
        <x:v>https://smic.cdn.shwebspace.com/uploads/AR_EN.pdf</x:v>
      </x:c>
      <x:c r="J2166" s="11" t="str">
        <x:v>reported input; field suffix retains original scale</x:v>
      </x:c>
      <x:c r="K2166" s="11" t="str">
        <x:v>待核</x:v>
      </x:c>
      <x:c r="L2166" s="11" t="str">
        <x:v>精确发布时间未核验</x:v>
      </x:c>
      <x:c r="M2166" s="11" t="str">
        <x:v>截止日前日期，盘中时分未核</x:v>
      </x:c>
    </x:row>
    <x:row r="2167" ht="23" customHeight="1">
      <x:c r="A2167" s="11" t="str">
        <x:v>I092</x:v>
      </x:c>
      <x:c r="B2167" s="11" t="str">
        <x:v>00981.HK</x:v>
      </x:c>
      <x:c r="C2167" s="11" t="str">
        <x:v>OCFUSDmillion</x:v>
      </x:c>
      <x:c r="D2167" s="39" t="n">
        <x:v>3194.303</x:v>
      </x:c>
      <x:c r="E2167" s="11" t="str">
        <x:v>USD</x:v>
      </x:c>
      <x:c r="F2167" s="11" t="str">
        <x:v>million</x:v>
      </x:c>
      <x:c r="G2167" s="11" t="str">
        <x:v>FY2025 IFRS</x:v>
      </x:c>
      <x:c r="H2167" s="11" t="str">
        <x:v>2026-03-26财表批准；官网年报09 Apr 2026</x:v>
      </x:c>
      <x:c r="I2167" s="11" t="str">
        <x:v>https://smic.cdn.shwebspace.com/uploads/AR_EN.pdf</x:v>
      </x:c>
      <x:c r="J2167" s="11" t="str">
        <x:v>reported input; field suffix retains original scale</x:v>
      </x:c>
      <x:c r="K2167" s="11" t="str">
        <x:v>待核</x:v>
      </x:c>
      <x:c r="L2167" s="11" t="str">
        <x:v>精确发布时间未核验</x:v>
      </x:c>
      <x:c r="M2167" s="11" t="str">
        <x:v>截止日前日期，盘中时分未核</x:v>
      </x:c>
    </x:row>
    <x:row r="2168" ht="23" customHeight="1">
      <x:c r="A2168" s="11" t="str">
        <x:v>I092</x:v>
      </x:c>
      <x:c r="B2168" s="11" t="str">
        <x:v>00981.HK</x:v>
      </x:c>
      <x:c r="C2168" s="11" t="str">
        <x:v>OCF2024USDmillion</x:v>
      </x:c>
      <x:c r="D2168" s="39" t="n">
        <x:v>3175.555</x:v>
      </x:c>
      <x:c r="E2168" s="11" t="str">
        <x:v>USD</x:v>
      </x:c>
      <x:c r="F2168" s="11" t="str">
        <x:v>million</x:v>
      </x:c>
      <x:c r="G2168" s="11" t="str">
        <x:v>FY2025 IFRS</x:v>
      </x:c>
      <x:c r="H2168" s="11" t="str">
        <x:v>2026-03-26财表批准；官网年报09 Apr 2026</x:v>
      </x:c>
      <x:c r="I2168" s="11" t="str">
        <x:v>https://smic.cdn.shwebspace.com/uploads/AR_EN.pdf</x:v>
      </x:c>
      <x:c r="J2168" s="11" t="str">
        <x:v>reported input; field suffix retains original scale</x:v>
      </x:c>
      <x:c r="K2168" s="11" t="str">
        <x:v>待核</x:v>
      </x:c>
      <x:c r="L2168" s="11" t="str">
        <x:v>精确发布时间未核验</x:v>
      </x:c>
      <x:c r="M2168" s="11" t="str">
        <x:v>截止日前日期，盘中时分未核</x:v>
      </x:c>
    </x:row>
    <x:row r="2169" ht="23" customHeight="1">
      <x:c r="A2169" s="11" t="str">
        <x:v>I092</x:v>
      </x:c>
      <x:c r="B2169" s="11" t="str">
        <x:v>00981.HK</x:v>
      </x:c>
      <x:c r="C2169" s="11" t="str">
        <x:v>grossMargin</x:v>
      </x:c>
      <x:c r="D2169" s="39" t="n">
        <x:v>0.21</x:v>
      </x:c>
      <x:c r="E2169" s="11" t="str">
        <x:v>USD</x:v>
      </x:c>
      <x:c r="F2169" s="11" t="str">
        <x:v>fraction</x:v>
      </x:c>
      <x:c r="G2169" s="11" t="str">
        <x:v>FY2025 IFRS</x:v>
      </x:c>
      <x:c r="H2169" s="11" t="str">
        <x:v>2026-03-26财表批准；官网年报09 Apr 2026</x:v>
      </x:c>
      <x:c r="I2169" s="11" t="str">
        <x:v>https://smic.cdn.shwebspace.com/uploads/AR_EN.pdf</x:v>
      </x:c>
      <x:c r="J2169" s="11" t="str">
        <x:v>reported input; field suffix retains original scale</x:v>
      </x:c>
      <x:c r="K2169" s="11" t="str">
        <x:v>待核</x:v>
      </x:c>
      <x:c r="L2169" s="11" t="str">
        <x:v>精确发布时间未核验</x:v>
      </x:c>
      <x:c r="M2169" s="11" t="str">
        <x:v>截止日前日期，盘中时分未核</x:v>
      </x:c>
    </x:row>
    <x:row r="2170" ht="23" customHeight="1">
      <x:c r="A2170" s="11" t="str">
        <x:v>I092</x:v>
      </x:c>
      <x:c r="B2170" s="11" t="str">
        <x:v>00981.HK</x:v>
      </x:c>
      <x:c r="C2170" s="11" t="str">
        <x:v>ownerEquityUSDmillion</x:v>
      </x:c>
      <x:c r="D2170" s="39" t="n">
        <x:v>21439.67</x:v>
      </x:c>
      <x:c r="E2170" s="11" t="str">
        <x:v>USD</x:v>
      </x:c>
      <x:c r="F2170" s="11" t="str">
        <x:v>million</x:v>
      </x:c>
      <x:c r="G2170" s="11" t="str">
        <x:v>FY2025 IFRS</x:v>
      </x:c>
      <x:c r="H2170" s="11" t="str">
        <x:v>2026-03-26财表批准；官网年报09 Apr 2026</x:v>
      </x:c>
      <x:c r="I2170" s="11" t="str">
        <x:v>https://smic.cdn.shwebspace.com/uploads/AR_EN.pdf</x:v>
      </x:c>
      <x:c r="J2170" s="11" t="str">
        <x:v>reported input; field suffix retains original scale</x:v>
      </x:c>
      <x:c r="K2170" s="11" t="str">
        <x:v>待核</x:v>
      </x:c>
      <x:c r="L2170" s="11" t="str">
        <x:v>精确发布时间未核验</x:v>
      </x:c>
      <x:c r="M2170" s="11" t="str">
        <x:v>截止日前日期，盘中时分未核</x:v>
      </x:c>
    </x:row>
    <x:row r="2171" ht="23" customHeight="1">
      <x:c r="A2171" s="11" t="str">
        <x:v>I092</x:v>
      </x:c>
      <x:c r="B2171" s="11" t="str">
        <x:v>00981.HK</x:v>
      </x:c>
      <x:c r="C2171" s="11" t="str">
        <x:v>sharesAt2025End</x:v>
      </x:c>
      <x:c r="D2171" s="39" t="n">
        <x:v>8000408035</x:v>
      </x:c>
      <x:c r="E2171" s="11" t="str">
        <x:v>USD</x:v>
      </x:c>
      <x:c r="F2171" s="11" t="str">
        <x:v>shares</x:v>
      </x:c>
      <x:c r="G2171" s="11" t="str">
        <x:v>FY2025 IFRS</x:v>
      </x:c>
      <x:c r="H2171" s="11" t="str">
        <x:v>2026-03-26财表批准；官网年报09 Apr 2026</x:v>
      </x:c>
      <x:c r="I2171" s="11" t="str">
        <x:v>https://smic.cdn.shwebspace.com/uploads/AR_EN.pdf</x:v>
      </x:c>
      <x:c r="J2171" s="11" t="str">
        <x:v>reported input; field suffix retains original scale</x:v>
      </x:c>
      <x:c r="K2171" s="11" t="str">
        <x:v>待核</x:v>
      </x:c>
      <x:c r="L2171" s="11" t="str">
        <x:v>精确发布时间未核验</x:v>
      </x:c>
      <x:c r="M2171" s="11" t="str">
        <x:v>截止日前日期，盘中时分未核</x:v>
      </x:c>
    </x:row>
    <x:row r="2172" ht="23" customHeight="1">
      <x:c r="A2172" s="11" t="str">
        <x:v>I092</x:v>
      </x:c>
      <x:c r="B2172" s="11" t="str">
        <x:v>00981.HK</x:v>
      </x:c>
      <x:c r="C2172" s="11" t="str">
        <x:v>revenueH1USDmillion</x:v>
      </x:c>
      <x:c r="D2172" s="39" t="n">
        <x:v>5511.075</x:v>
      </x:c>
      <x:c r="E2172" s="11" t="str">
        <x:v>USD</x:v>
      </x:c>
      <x:c r="F2172" s="11" t="str">
        <x:v>million</x:v>
      </x:c>
      <x:c r="G2172" s="11" t="str">
        <x:v>2026H1 and Q2 IFRS</x:v>
      </x:c>
      <x:c r="H2172" s="11" t="str">
        <x:v>2026-08-13</x:v>
      </x:c>
      <x:c r="I2172" s="11" t="str">
        <x:v>https://smic.cdn.shwebspace.com/uploads/6a9a8a01/AR_EN.pdf</x:v>
      </x:c>
      <x:c r="J2172" s="11" t="str">
        <x:v>reported input; field suffix retains original scale</x:v>
      </x:c>
      <x:c r="K2172" s="11" t="str">
        <x:v>待核</x:v>
      </x:c>
      <x:c r="L2172" s="11" t="str">
        <x:v>精确发布时间未核验</x:v>
      </x:c>
      <x:c r="M2172" s="11" t="str">
        <x:v>截止日前日期，盘中时分未核</x:v>
      </x:c>
    </x:row>
    <x:row r="2173" ht="23" customHeight="1">
      <x:c r="A2173" s="11" t="str">
        <x:v>I092</x:v>
      </x:c>
      <x:c r="B2173" s="11" t="str">
        <x:v>00981.HK</x:v>
      </x:c>
      <x:c r="C2173" s="11" t="str">
        <x:v>profitAttributableH1USDmillion</x:v>
      </x:c>
      <x:c r="D2173" s="39" t="n">
        <x:v>676.645</x:v>
      </x:c>
      <x:c r="E2173" s="11" t="str">
        <x:v>USD</x:v>
      </x:c>
      <x:c r="F2173" s="11" t="str">
        <x:v>million</x:v>
      </x:c>
      <x:c r="G2173" s="11" t="str">
        <x:v>2026H1 and Q2 IFRS</x:v>
      </x:c>
      <x:c r="H2173" s="11" t="str">
        <x:v>2026-08-13</x:v>
      </x:c>
      <x:c r="I2173" s="11" t="str">
        <x:v>https://smic.cdn.shwebspace.com/uploads/6a9a8a01/AR_EN.pdf</x:v>
      </x:c>
      <x:c r="J2173" s="11" t="str">
        <x:v>reported input; field suffix retains original scale</x:v>
      </x:c>
      <x:c r="K2173" s="11" t="str">
        <x:v>待核</x:v>
      </x:c>
      <x:c r="L2173" s="11" t="str">
        <x:v>精确发布时间未核验</x:v>
      </x:c>
      <x:c r="M2173" s="11" t="str">
        <x:v>截止日前日期，盘中时分未核</x:v>
      </x:c>
    </x:row>
    <x:row r="2174" ht="23" customHeight="1">
      <x:c r="A2174" s="11" t="str">
        <x:v>I092</x:v>
      </x:c>
      <x:c r="B2174" s="11" t="str">
        <x:v>00981.HK</x:v>
      </x:c>
      <x:c r="C2174" s="11" t="str">
        <x:v>profitAttributableExNonRecurringH1USDmillion</x:v>
      </x:c>
      <x:c r="D2174" s="39" t="n">
        <x:v>433.383</x:v>
      </x:c>
      <x:c r="E2174" s="11" t="str">
        <x:v>USD</x:v>
      </x:c>
      <x:c r="F2174" s="11" t="str">
        <x:v>million</x:v>
      </x:c>
      <x:c r="G2174" s="11" t="str">
        <x:v>2026H1 and Q2 IFRS</x:v>
      </x:c>
      <x:c r="H2174" s="11" t="str">
        <x:v>2026-08-13</x:v>
      </x:c>
      <x:c r="I2174" s="11" t="str">
        <x:v>https://smic.cdn.shwebspace.com/uploads/6a9a8a01/AR_EN.pdf</x:v>
      </x:c>
      <x:c r="J2174" s="11" t="str">
        <x:v>reported input; field suffix retains original scale</x:v>
      </x:c>
      <x:c r="K2174" s="11" t="str">
        <x:v>待核</x:v>
      </x:c>
      <x:c r="L2174" s="11" t="str">
        <x:v>精确发布时间未核验</x:v>
      </x:c>
      <x:c r="M2174" s="11" t="str">
        <x:v>截止日前日期，盘中时分未核</x:v>
      </x:c>
    </x:row>
    <x:row r="2175" ht="23" customHeight="1">
      <x:c r="A2175" s="11" t="str">
        <x:v>I092</x:v>
      </x:c>
      <x:c r="B2175" s="11" t="str">
        <x:v>00981.HK</x:v>
      </x:c>
      <x:c r="C2175" s="11" t="str">
        <x:v>profitAttributableH1CASUSDmillion</x:v>
      </x:c>
      <x:c r="D2175" s="39" t="n">
        <x:v>649.453</x:v>
      </x:c>
      <x:c r="E2175" s="11" t="str">
        <x:v>USD</x:v>
      </x:c>
      <x:c r="F2175" s="11" t="str">
        <x:v>million</x:v>
      </x:c>
      <x:c r="G2175" s="11" t="str">
        <x:v>2026H1 and Q2 IFRS</x:v>
      </x:c>
      <x:c r="H2175" s="11" t="str">
        <x:v>2026-08-13</x:v>
      </x:c>
      <x:c r="I2175" s="11" t="str">
        <x:v>https://smic.cdn.shwebspace.com/uploads/6a9a8a01/AR_EN.pdf</x:v>
      </x:c>
      <x:c r="J2175" s="11" t="str">
        <x:v>reported input; field suffix retains original scale</x:v>
      </x:c>
      <x:c r="K2175" s="11" t="str">
        <x:v>待核</x:v>
      </x:c>
      <x:c r="L2175" s="11" t="str">
        <x:v>精确发布时间未核验</x:v>
      </x:c>
      <x:c r="M2175" s="11" t="str">
        <x:v>截止日前日期，盘中时分未核</x:v>
      </x:c>
    </x:row>
    <x:row r="2176" ht="23" customHeight="1">
      <x:c r="A2176" s="11" t="str">
        <x:v>I092</x:v>
      </x:c>
      <x:c r="B2176" s="11" t="str">
        <x:v>00981.HK</x:v>
      </x:c>
      <x:c r="C2176" s="11" t="str">
        <x:v>nonRecurringH1USDmillion</x:v>
      </x:c>
      <x:c r="D2176" s="39" t="n">
        <x:v>243.262</x:v>
      </x:c>
      <x:c r="E2176" s="11" t="str">
        <x:v>USD</x:v>
      </x:c>
      <x:c r="F2176" s="11" t="str">
        <x:v>million</x:v>
      </x:c>
      <x:c r="G2176" s="11" t="str">
        <x:v>2026H1 and Q2 IFRS</x:v>
      </x:c>
      <x:c r="H2176" s="11" t="str">
        <x:v>2026-08-13</x:v>
      </x:c>
      <x:c r="I2176" s="11" t="str">
        <x:v>https://smic.cdn.shwebspace.com/uploads/6a9a8a01/AR_EN.pdf</x:v>
      </x:c>
      <x:c r="J2176" s="11" t="str">
        <x:v>reported input; field suffix retains original scale</x:v>
      </x:c>
      <x:c r="K2176" s="11" t="str">
        <x:v>待核</x:v>
      </x:c>
      <x:c r="L2176" s="11" t="str">
        <x:v>精确发布时间未核验</x:v>
      </x:c>
      <x:c r="M2176" s="11" t="str">
        <x:v>截止日前日期，盘中时分未核</x:v>
      </x:c>
    </x:row>
    <x:row r="2177" ht="23" customHeight="1">
      <x:c r="A2177" s="11" t="str">
        <x:v>I092</x:v>
      </x:c>
      <x:c r="B2177" s="11" t="str">
        <x:v>00981.HK</x:v>
      </x:c>
      <x:c r="C2177" s="11" t="str">
        <x:v>nonRecurringAssociatesFVPLH1USDmillion</x:v>
      </x:c>
      <x:c r="D2177" s="39" t="n">
        <x:v>218.993</x:v>
      </x:c>
      <x:c r="E2177" s="11" t="str">
        <x:v>USD</x:v>
      </x:c>
      <x:c r="F2177" s="11" t="str">
        <x:v>million</x:v>
      </x:c>
      <x:c r="G2177" s="11" t="str">
        <x:v>2026H1 and Q2 IFRS</x:v>
      </x:c>
      <x:c r="H2177" s="11" t="str">
        <x:v>2026-08-13</x:v>
      </x:c>
      <x:c r="I2177" s="11" t="str">
        <x:v>https://smic.cdn.shwebspace.com/uploads/6a9a8a01/AR_EN.pdf</x:v>
      </x:c>
      <x:c r="J2177" s="11" t="str">
        <x:v>reported input; field suffix retains original scale</x:v>
      </x:c>
      <x:c r="K2177" s="11" t="str">
        <x:v>待核</x:v>
      </x:c>
      <x:c r="L2177" s="11" t="str">
        <x:v>精确发布时间未核验</x:v>
      </x:c>
      <x:c r="M2177" s="11" t="str">
        <x:v>截止日前日期，盘中时分未核</x:v>
      </x:c>
    </x:row>
    <x:row r="2178" ht="23" customHeight="1">
      <x:c r="A2178" s="11" t="str">
        <x:v>I092</x:v>
      </x:c>
      <x:c r="B2178" s="11" t="str">
        <x:v>00981.HK</x:v>
      </x:c>
      <x:c r="C2178" s="11" t="str">
        <x:v>revenueQ2USDmillion</x:v>
      </x:c>
      <x:c r="D2178" s="39" t="n">
        <x:v>3005.588</x:v>
      </x:c>
      <x:c r="E2178" s="11" t="str">
        <x:v>USD</x:v>
      </x:c>
      <x:c r="F2178" s="11" t="str">
        <x:v>million</x:v>
      </x:c>
      <x:c r="G2178" s="11" t="str">
        <x:v>2026H1 and Q2 IFRS</x:v>
      </x:c>
      <x:c r="H2178" s="11" t="str">
        <x:v>2026-08-13</x:v>
      </x:c>
      <x:c r="I2178" s="11" t="str">
        <x:v>https://smic.cdn.shwebspace.com/uploads/6a7d7c4f/ER_EN.pdf</x:v>
      </x:c>
      <x:c r="J2178" s="11" t="str">
        <x:v>reported input; field suffix retains original scale</x:v>
      </x:c>
      <x:c r="K2178" s="11" t="str">
        <x:v>待核</x:v>
      </x:c>
      <x:c r="L2178" s="11" t="str">
        <x:v>精确发布时间未核验</x:v>
      </x:c>
      <x:c r="M2178" s="11" t="str">
        <x:v>截止日前日期，盘中时分未核</x:v>
      </x:c>
    </x:row>
    <x:row r="2179" ht="23" customHeight="1">
      <x:c r="A2179" s="11" t="str">
        <x:v>I092</x:v>
      </x:c>
      <x:c r="B2179" s="11" t="str">
        <x:v>00981.HK</x:v>
      </x:c>
      <x:c r="C2179" s="11" t="str">
        <x:v>grossMarginQ2</x:v>
      </x:c>
      <x:c r="D2179" s="39" t="n">
        <x:v>0.253</x:v>
      </x:c>
      <x:c r="E2179" s="11" t="str">
        <x:v>USD</x:v>
      </x:c>
      <x:c r="F2179" s="11" t="str">
        <x:v>fraction</x:v>
      </x:c>
      <x:c r="G2179" s="11" t="str">
        <x:v>2026H1 and Q2 IFRS</x:v>
      </x:c>
      <x:c r="H2179" s="11" t="str">
        <x:v>2026-08-13</x:v>
      </x:c>
      <x:c r="I2179" s="11" t="str">
        <x:v>https://smic.cdn.shwebspace.com/uploads/6a7d7c4f/ER_EN.pdf</x:v>
      </x:c>
      <x:c r="J2179" s="11" t="str">
        <x:v>reported input; field suffix retains original scale</x:v>
      </x:c>
      <x:c r="K2179" s="11" t="str">
        <x:v>待核</x:v>
      </x:c>
      <x:c r="L2179" s="11" t="str">
        <x:v>精确发布时间未核验</x:v>
      </x:c>
      <x:c r="M2179" s="11" t="str">
        <x:v>截止日前日期，盘中时分未核</x:v>
      </x:c>
    </x:row>
    <x:row r="2180" ht="23" customHeight="1">
      <x:c r="A2180" s="11" t="str">
        <x:v>I092</x:v>
      </x:c>
      <x:c r="B2180" s="11" t="str">
        <x:v>00981.HK</x:v>
      </x:c>
      <x:c r="C2180" s="11" t="str">
        <x:v>operatingProfitQ2USDmillion</x:v>
      </x:c>
      <x:c r="D2180" s="39" t="n">
        <x:v>534.179</x:v>
      </x:c>
      <x:c r="E2180" s="11" t="str">
        <x:v>USD</x:v>
      </x:c>
      <x:c r="F2180" s="11" t="str">
        <x:v>million</x:v>
      </x:c>
      <x:c r="G2180" s="11" t="str">
        <x:v>2026H1 and Q2 IFRS</x:v>
      </x:c>
      <x:c r="H2180" s="11" t="str">
        <x:v>2026-08-13</x:v>
      </x:c>
      <x:c r="I2180" s="11" t="str">
        <x:v>https://smic.cdn.shwebspace.com/uploads/6a7d7c4f/ER_EN.pdf</x:v>
      </x:c>
      <x:c r="J2180" s="11" t="str">
        <x:v>reported input; field suffix retains original scale</x:v>
      </x:c>
      <x:c r="K2180" s="11" t="str">
        <x:v>待核</x:v>
      </x:c>
      <x:c r="L2180" s="11" t="str">
        <x:v>精确发布时间未核验</x:v>
      </x:c>
      <x:c r="M2180" s="11" t="str">
        <x:v>截止日前日期，盘中时分未核</x:v>
      </x:c>
    </x:row>
    <x:row r="2181" ht="23" customHeight="1">
      <x:c r="A2181" s="11" t="str">
        <x:v>I092</x:v>
      </x:c>
      <x:c r="B2181" s="11" t="str">
        <x:v>00981.HK</x:v>
      </x:c>
      <x:c r="C2181" s="11" t="str">
        <x:v>otherOperatingIncomeQ2USDmillion</x:v>
      </x:c>
      <x:c r="D2181" s="39" t="n">
        <x:v>112.612</x:v>
      </x:c>
      <x:c r="E2181" s="11" t="str">
        <x:v>USD</x:v>
      </x:c>
      <x:c r="F2181" s="11" t="str">
        <x:v>million</x:v>
      </x:c>
      <x:c r="G2181" s="11" t="str">
        <x:v>2026H1 and Q2 IFRS</x:v>
      </x:c>
      <x:c r="H2181" s="11" t="str">
        <x:v>2026-08-13</x:v>
      </x:c>
      <x:c r="I2181" s="11" t="str">
        <x:v>https://smic.cdn.shwebspace.com/uploads/6a7d7c4f/ER_EN.pdf</x:v>
      </x:c>
      <x:c r="J2181" s="11" t="str">
        <x:v>reported input; field suffix retains original scale</x:v>
      </x:c>
      <x:c r="K2181" s="11" t="str">
        <x:v>待核</x:v>
      </x:c>
      <x:c r="L2181" s="11" t="str">
        <x:v>精确发布时间未核验</x:v>
      </x:c>
      <x:c r="M2181" s="11" t="str">
        <x:v>截止日前日期，盘中时分未核</x:v>
      </x:c>
    </x:row>
    <x:row r="2182" ht="23" customHeight="1">
      <x:c r="A2182" s="11" t="str">
        <x:v>I092</x:v>
      </x:c>
      <x:c r="B2182" s="11" t="str">
        <x:v>00981.HK</x:v>
      </x:c>
      <x:c r="C2182" s="11" t="str">
        <x:v>normalEBITExOtherOperatingIncomeQ2ResearchUSDmillion</x:v>
      </x:c>
      <x:c r="D2182" s="39" t="n">
        <x:v>421.567</x:v>
      </x:c>
      <x:c r="E2182" s="11" t="str">
        <x:v>USD</x:v>
      </x:c>
      <x:c r="F2182" s="11" t="str">
        <x:v>million</x:v>
      </x:c>
      <x:c r="G2182" s="11" t="str">
        <x:v>2026H1 and Q2 IFRS</x:v>
      </x:c>
      <x:c r="H2182" s="11" t="str">
        <x:v>2026-08-13</x:v>
      </x:c>
      <x:c r="I2182" s="11" t="str">
        <x:v>https://smic.cdn.shwebspace.com/uploads/6a7d7c4f/ER_EN.pdf</x:v>
      </x:c>
      <x:c r="J2182" s="11" t="str">
        <x:v>research calculation from cited inputs</x:v>
      </x:c>
      <x:c r="K2182" s="11" t="str">
        <x:v>待核</x:v>
      </x:c>
      <x:c r="L2182" s="11" t="str">
        <x:v>精确发布时间未核验</x:v>
      </x:c>
      <x:c r="M2182" s="11" t="str">
        <x:v>截止日前日期，盘中时分未核</x:v>
      </x:c>
    </x:row>
    <x:row r="2183" ht="23" customHeight="1">
      <x:c r="A2183" s="11" t="str">
        <x:v>I092</x:v>
      </x:c>
      <x:c r="B2183" s="11" t="str">
        <x:v>00981.HK</x:v>
      </x:c>
      <x:c r="C2183" s="11" t="str">
        <x:v>normalEBITMarginExOtherOperatingIncomeQ2Research</x:v>
      </x:c>
      <x:c r="D2183" s="39" t="n">
        <x:v>0.1402610737</x:v>
      </x:c>
      <x:c r="E2183" s="11" t="str">
        <x:v>USD</x:v>
      </x:c>
      <x:c r="F2183" s="11" t="str">
        <x:v>fraction</x:v>
      </x:c>
      <x:c r="G2183" s="11" t="str">
        <x:v>2026H1 and Q2 IFRS</x:v>
      </x:c>
      <x:c r="H2183" s="11" t="str">
        <x:v>2026-08-13</x:v>
      </x:c>
      <x:c r="I2183" s="11" t="str">
        <x:v>https://smic.cdn.shwebspace.com/uploads/6a7d7c4f/ER_EN.pdf</x:v>
      </x:c>
      <x:c r="J2183" s="11" t="str">
        <x:v>research calculation from cited inputs</x:v>
      </x:c>
      <x:c r="K2183" s="11" t="str">
        <x:v>待核</x:v>
      </x:c>
      <x:c r="L2183" s="11" t="str">
        <x:v>精确发布时间未核验</x:v>
      </x:c>
      <x:c r="M2183" s="11" t="str">
        <x:v>截止日前日期，盘中时分未核</x:v>
      </x:c>
    </x:row>
    <x:row r="2184" ht="23" customHeight="1">
      <x:c r="A2184" s="11" t="str">
        <x:v>I092</x:v>
      </x:c>
      <x:c r="B2184" s="11" t="str">
        <x:v>00981.HK</x:v>
      </x:c>
      <x:c r="C2184" s="11" t="str">
        <x:v>otherIncomeNetQ2USDmillion</x:v>
      </x:c>
      <x:c r="D2184" s="39" t="n">
        <x:v>275.907</x:v>
      </x:c>
      <x:c r="E2184" s="11" t="str">
        <x:v>USD</x:v>
      </x:c>
      <x:c r="F2184" s="11" t="str">
        <x:v>million</x:v>
      </x:c>
      <x:c r="G2184" s="11" t="str">
        <x:v>2026H1 and Q2 IFRS</x:v>
      </x:c>
      <x:c r="H2184" s="11" t="str">
        <x:v>2026-08-13</x:v>
      </x:c>
      <x:c r="I2184" s="11" t="str">
        <x:v>https://smic.cdn.shwebspace.com/uploads/6a7d7c4f/ER_EN.pdf</x:v>
      </x:c>
      <x:c r="J2184" s="11" t="str">
        <x:v>reported input; field suffix retains original scale</x:v>
      </x:c>
      <x:c r="K2184" s="11" t="str">
        <x:v>待核</x:v>
      </x:c>
      <x:c r="L2184" s="11" t="str">
        <x:v>精确发布时间未核验</x:v>
      </x:c>
      <x:c r="M2184" s="11" t="str">
        <x:v>截止日前日期，盘中时分未核</x:v>
      </x:c>
    </x:row>
    <x:row r="2185" ht="23" customHeight="1">
      <x:c r="A2185" s="11" t="str">
        <x:v>I092</x:v>
      </x:c>
      <x:c r="B2185" s="11" t="str">
        <x:v>00981.HK</x:v>
      </x:c>
      <x:c r="C2185" s="11" t="str">
        <x:v>associatesJointVentureGainQ2USDmillion</x:v>
      </x:c>
      <x:c r="D2185" s="39" t="n">
        <x:v>193.824</x:v>
      </x:c>
      <x:c r="E2185" s="11" t="str">
        <x:v>USD</x:v>
      </x:c>
      <x:c r="F2185" s="11" t="str">
        <x:v>million</x:v>
      </x:c>
      <x:c r="G2185" s="11" t="str">
        <x:v>2026H1 and Q2 IFRS</x:v>
      </x:c>
      <x:c r="H2185" s="11" t="str">
        <x:v>2026-08-13</x:v>
      </x:c>
      <x:c r="I2185" s="11" t="str">
        <x:v>https://smic.cdn.shwebspace.com/uploads/6a7d7c4f/ER_EN.pdf</x:v>
      </x:c>
      <x:c r="J2185" s="11" t="str">
        <x:v>reported input; field suffix retains original scale</x:v>
      </x:c>
      <x:c r="K2185" s="11" t="str">
        <x:v>待核</x:v>
      </x:c>
      <x:c r="L2185" s="11" t="str">
        <x:v>精确发布时间未核验</x:v>
      </x:c>
      <x:c r="M2185" s="11" t="str">
        <x:v>截止日前日期，盘中时分未核</x:v>
      </x:c>
    </x:row>
    <x:row r="2186" ht="23" customHeight="1">
      <x:c r="A2186" s="11" t="str">
        <x:v>I092</x:v>
      </x:c>
      <x:c r="B2186" s="11" t="str">
        <x:v>00981.HK</x:v>
      </x:c>
      <x:c r="C2186" s="11" t="str">
        <x:v>profitQ2USDmillion</x:v>
      </x:c>
      <x:c r="D2186" s="39" t="n">
        <x:v>733.219</x:v>
      </x:c>
      <x:c r="E2186" s="11" t="str">
        <x:v>USD</x:v>
      </x:c>
      <x:c r="F2186" s="11" t="str">
        <x:v>million</x:v>
      </x:c>
      <x:c r="G2186" s="11" t="str">
        <x:v>2026H1 and Q2 IFRS</x:v>
      </x:c>
      <x:c r="H2186" s="11" t="str">
        <x:v>2026-08-13</x:v>
      </x:c>
      <x:c r="I2186" s="11" t="str">
        <x:v>https://smic.cdn.shwebspace.com/uploads/6a7d7c4f/ER_EN.pdf</x:v>
      </x:c>
      <x:c r="J2186" s="11" t="str">
        <x:v>reported input; field suffix retains original scale</x:v>
      </x:c>
      <x:c r="K2186" s="11" t="str">
        <x:v>待核</x:v>
      </x:c>
      <x:c r="L2186" s="11" t="str">
        <x:v>精确发布时间未核验</x:v>
      </x:c>
      <x:c r="M2186" s="11" t="str">
        <x:v>截止日前日期，盘中时分未核</x:v>
      </x:c>
    </x:row>
    <x:row r="2187" ht="23" customHeight="1">
      <x:c r="A2187" s="11" t="str">
        <x:v>I092</x:v>
      </x:c>
      <x:c r="B2187" s="11" t="str">
        <x:v>00981.HK</x:v>
      </x:c>
      <x:c r="C2187" s="11" t="str">
        <x:v>profitAttributableQ2USDmillion</x:v>
      </x:c>
      <x:c r="D2187" s="39" t="n">
        <x:v>479.197</x:v>
      </x:c>
      <x:c r="E2187" s="11" t="str">
        <x:v>USD</x:v>
      </x:c>
      <x:c r="F2187" s="11" t="str">
        <x:v>million</x:v>
      </x:c>
      <x:c r="G2187" s="11" t="str">
        <x:v>2026H1 and Q2 IFRS</x:v>
      </x:c>
      <x:c r="H2187" s="11" t="str">
        <x:v>2026-08-13</x:v>
      </x:c>
      <x:c r="I2187" s="11" t="str">
        <x:v>https://smic.cdn.shwebspace.com/uploads/6a7d7c4f/ER_EN.pdf</x:v>
      </x:c>
      <x:c r="J2187" s="11" t="str">
        <x:v>reported input; field suffix retains original scale</x:v>
      </x:c>
      <x:c r="K2187" s="11" t="str">
        <x:v>待核</x:v>
      </x:c>
      <x:c r="L2187" s="11" t="str">
        <x:v>精确发布时间未核验</x:v>
      </x:c>
      <x:c r="M2187" s="11" t="str">
        <x:v>截止日前日期，盘中时分未核</x:v>
      </x:c>
    </x:row>
    <x:row r="2188" ht="23" customHeight="1">
      <x:c r="A2188" s="11" t="str">
        <x:v>I092</x:v>
      </x:c>
      <x:c r="B2188" s="11" t="str">
        <x:v>00981.HK</x:v>
      </x:c>
      <x:c r="C2188" s="11" t="str">
        <x:v>minorityProfitQ2USDmillion</x:v>
      </x:c>
      <x:c r="D2188" s="39" t="n">
        <x:v>254.022</x:v>
      </x:c>
      <x:c r="E2188" s="11" t="str">
        <x:v>USD</x:v>
      </x:c>
      <x:c r="F2188" s="11" t="str">
        <x:v>million</x:v>
      </x:c>
      <x:c r="G2188" s="11" t="str">
        <x:v>2026H1 and Q2 IFRS</x:v>
      </x:c>
      <x:c r="H2188" s="11" t="str">
        <x:v>2026-08-13</x:v>
      </x:c>
      <x:c r="I2188" s="11" t="str">
        <x:v>https://smic.cdn.shwebspace.com/uploads/6a7d7c4f/ER_EN.pdf</x:v>
      </x:c>
      <x:c r="J2188" s="11" t="str">
        <x:v>reported input; field suffix retains original scale</x:v>
      </x:c>
      <x:c r="K2188" s="11" t="str">
        <x:v>待核</x:v>
      </x:c>
      <x:c r="L2188" s="11" t="str">
        <x:v>精确发布时间未核验</x:v>
      </x:c>
      <x:c r="M2188" s="11" t="str">
        <x:v>截止日前日期，盘中时分未核</x:v>
      </x:c>
    </x:row>
    <x:row r="2189" ht="23" customHeight="1">
      <x:c r="A2189" s="11" t="str">
        <x:v>I092</x:v>
      </x:c>
      <x:c r="B2189" s="11" t="str">
        <x:v>00981.HK</x:v>
      </x:c>
      <x:c r="C2189" s="11" t="str">
        <x:v>monthlyCapacity8inchEquivalentQ2</x:v>
      </x:c>
      <x:c r="D2189" s="39" t="n">
        <x:v>1096500</x:v>
      </x:c>
      <x:c r="E2189" s="11" t="str">
        <x:v>USD</x:v>
      </x:c>
      <x:c r="F2189" s="11" t="str">
        <x:v>mixed; see fieldMetadata and original field suffix</x:v>
      </x:c>
      <x:c r="G2189" s="11" t="str">
        <x:v>2026H1 and Q2 IFRS</x:v>
      </x:c>
      <x:c r="H2189" s="11" t="str">
        <x:v>2026-08-13</x:v>
      </x:c>
      <x:c r="I2189" s="11" t="str">
        <x:v>https://smic.cdn.shwebspace.com/uploads/6a7d7c4f/ER_EN.pdf</x:v>
      </x:c>
      <x:c r="J2189" s="11" t="str">
        <x:v>reported input; field suffix retains original scale</x:v>
      </x:c>
      <x:c r="K2189" s="11" t="str">
        <x:v>待核</x:v>
      </x:c>
      <x:c r="L2189" s="11" t="str">
        <x:v>精确发布时间未核验</x:v>
      </x:c>
      <x:c r="M2189" s="11" t="str">
        <x:v>截止日前日期，盘中时分未核</x:v>
      </x:c>
    </x:row>
    <x:row r="2190" ht="23" customHeight="1">
      <x:c r="A2190" s="11" t="str">
        <x:v>I092</x:v>
      </x:c>
      <x:c r="B2190" s="11" t="str">
        <x:v>00981.HK</x:v>
      </x:c>
      <x:c r="C2190" s="11" t="str">
        <x:v>waferShipments8inchEquivalentQ2</x:v>
      </x:c>
      <x:c r="D2190" s="39" t="n">
        <x:v>2869495</x:v>
      </x:c>
      <x:c r="E2190" s="11" t="str">
        <x:v>USD</x:v>
      </x:c>
      <x:c r="F2190" s="11" t="str">
        <x:v>mixed; see fieldMetadata and original field suffix</x:v>
      </x:c>
      <x:c r="G2190" s="11" t="str">
        <x:v>2026H1 and Q2 IFRS</x:v>
      </x:c>
      <x:c r="H2190" s="11" t="str">
        <x:v>2026-08-13</x:v>
      </x:c>
      <x:c r="I2190" s="11" t="str">
        <x:v>https://smic.cdn.shwebspace.com/uploads/6a7d7c4f/ER_EN.pdf</x:v>
      </x:c>
      <x:c r="J2190" s="11" t="str">
        <x:v>reported input; field suffix retains original scale</x:v>
      </x:c>
      <x:c r="K2190" s="11" t="str">
        <x:v>待核</x:v>
      </x:c>
      <x:c r="L2190" s="11" t="str">
        <x:v>精确发布时间未核验</x:v>
      </x:c>
      <x:c r="M2190" s="11" t="str">
        <x:v>截止日前日期，盘中时分未核</x:v>
      </x:c>
    </x:row>
    <x:row r="2191" ht="23" customHeight="1">
      <x:c r="A2191" s="11" t="str">
        <x:v>I092</x:v>
      </x:c>
      <x:c r="B2191" s="11" t="str">
        <x:v>00981.HK</x:v>
      </x:c>
      <x:c r="C2191" s="11" t="str">
        <x:v>utilizationQ2</x:v>
      </x:c>
      <x:c r="D2191" s="39" t="n">
        <x:v>0.937</x:v>
      </x:c>
      <x:c r="E2191" s="11" t="str">
        <x:v>USD</x:v>
      </x:c>
      <x:c r="F2191" s="11" t="str">
        <x:v>fraction</x:v>
      </x:c>
      <x:c r="G2191" s="11" t="str">
        <x:v>2026H1 and Q2 IFRS</x:v>
      </x:c>
      <x:c r="H2191" s="11" t="str">
        <x:v>2026-08-13</x:v>
      </x:c>
      <x:c r="I2191" s="11" t="str">
        <x:v>https://smic.cdn.shwebspace.com/uploads/6a7d7c4f/ER_EN.pdf</x:v>
      </x:c>
      <x:c r="J2191" s="11" t="str">
        <x:v>reported input; field suffix retains original scale</x:v>
      </x:c>
      <x:c r="K2191" s="11" t="str">
        <x:v>待核</x:v>
      </x:c>
      <x:c r="L2191" s="11" t="str">
        <x:v>精确发布时间未核验</x:v>
      </x:c>
      <x:c r="M2191" s="11" t="str">
        <x:v>截止日前日期，盘中时分未核</x:v>
      </x:c>
    </x:row>
    <x:row r="2192" ht="23" customHeight="1">
      <x:c r="A2192" s="11" t="str">
        <x:v>I092</x:v>
      </x:c>
      <x:c r="B2192" s="11" t="str">
        <x:v>00981.HK</x:v>
      </x:c>
      <x:c r="C2192" s="11" t="str">
        <x:v>revenueChinaShareQ2</x:v>
      </x:c>
      <x:c r="D2192" s="39" t="n">
        <x:v>0.902</x:v>
      </x:c>
      <x:c r="E2192" s="11" t="str">
        <x:v>USD</x:v>
      </x:c>
      <x:c r="F2192" s="11" t="str">
        <x:v>fraction</x:v>
      </x:c>
      <x:c r="G2192" s="11" t="str">
        <x:v>2026H1 and Q2 IFRS</x:v>
      </x:c>
      <x:c r="H2192" s="11" t="str">
        <x:v>2026-08-13</x:v>
      </x:c>
      <x:c r="I2192" s="11" t="str">
        <x:v>https://smic.cdn.shwebspace.com/uploads/6a7d7c4f/ER_EN.pdf</x:v>
      </x:c>
      <x:c r="J2192" s="11" t="str">
        <x:v>reported input; field suffix retains original scale</x:v>
      </x:c>
      <x:c r="K2192" s="11" t="str">
        <x:v>待核</x:v>
      </x:c>
      <x:c r="L2192" s="11" t="str">
        <x:v>精确发布时间未核验</x:v>
      </x:c>
      <x:c r="M2192" s="11" t="str">
        <x:v>截止日前日期，盘中时分未核</x:v>
      </x:c>
    </x:row>
    <x:row r="2193" ht="23" customHeight="1">
      <x:c r="A2193" s="11" t="str">
        <x:v>I092</x:v>
      </x:c>
      <x:c r="B2193" s="11" t="str">
        <x:v>00981.HK</x:v>
      </x:c>
      <x:c r="C2193" s="11" t="str">
        <x:v>waferRevenueShareQ2</x:v>
      </x:c>
      <x:c r="D2193" s="39" t="n">
        <x:v>0.946</x:v>
      </x:c>
      <x:c r="E2193" s="11" t="str">
        <x:v>USD</x:v>
      </x:c>
      <x:c r="F2193" s="11" t="str">
        <x:v>fraction</x:v>
      </x:c>
      <x:c r="G2193" s="11" t="str">
        <x:v>2026H1 and Q2 IFRS</x:v>
      </x:c>
      <x:c r="H2193" s="11" t="str">
        <x:v>2026-08-13</x:v>
      </x:c>
      <x:c r="I2193" s="11" t="str">
        <x:v>https://smic.cdn.shwebspace.com/uploads/6a7d7c4f/ER_EN.pdf</x:v>
      </x:c>
      <x:c r="J2193" s="11" t="str">
        <x:v>reported input; field suffix retains original scale</x:v>
      </x:c>
      <x:c r="K2193" s="11" t="str">
        <x:v>待核</x:v>
      </x:c>
      <x:c r="L2193" s="11" t="str">
        <x:v>精确发布时间未核验</x:v>
      </x:c>
      <x:c r="M2193" s="11" t="str">
        <x:v>截止日前日期，盘中时分未核</x:v>
      </x:c>
    </x:row>
    <x:row r="2194" ht="23" customHeight="1">
      <x:c r="A2194" s="11" t="str">
        <x:v>I092</x:v>
      </x:c>
      <x:c r="B2194" s="11" t="str">
        <x:v>00981.HK</x:v>
      </x:c>
      <x:c r="C2194" s="11" t="str">
        <x:v>waferRevenue12inchShareQ2</x:v>
      </x:c>
      <x:c r="D2194" s="39" t="n">
        <x:v>0.782</x:v>
      </x:c>
      <x:c r="E2194" s="11" t="str">
        <x:v>USD</x:v>
      </x:c>
      <x:c r="F2194" s="11" t="str">
        <x:v>fraction</x:v>
      </x:c>
      <x:c r="G2194" s="11" t="str">
        <x:v>2026H1 and Q2 IFRS</x:v>
      </x:c>
      <x:c r="H2194" s="11" t="str">
        <x:v>2026-08-13</x:v>
      </x:c>
      <x:c r="I2194" s="11" t="str">
        <x:v>https://smic.cdn.shwebspace.com/uploads/6a7d7c4f/ER_EN.pdf</x:v>
      </x:c>
      <x:c r="J2194" s="11" t="str">
        <x:v>reported input; field suffix retains original scale</x:v>
      </x:c>
      <x:c r="K2194" s="11" t="str">
        <x:v>待核</x:v>
      </x:c>
      <x:c r="L2194" s="11" t="str">
        <x:v>精确发布时间未核验</x:v>
      </x:c>
      <x:c r="M2194" s="11" t="str">
        <x:v>截止日前日期，盘中时分未核</x:v>
      </x:c>
    </x:row>
    <x:row r="2195" ht="23" customHeight="1">
      <x:c r="A2195" s="11" t="str">
        <x:v>I092</x:v>
      </x:c>
      <x:c r="B2195" s="11" t="str">
        <x:v>00981.HK</x:v>
      </x:c>
      <x:c r="C2195" s="11" t="str">
        <x:v>industrialAutoWaferRevenueShareQ2</x:v>
      </x:c>
      <x:c r="D2195" s="39" t="n">
        <x:v>0.165</x:v>
      </x:c>
      <x:c r="E2195" s="11" t="str">
        <x:v>USD</x:v>
      </x:c>
      <x:c r="F2195" s="11" t="str">
        <x:v>fraction</x:v>
      </x:c>
      <x:c r="G2195" s="11" t="str">
        <x:v>2026H1 and Q2 IFRS</x:v>
      </x:c>
      <x:c r="H2195" s="11" t="str">
        <x:v>2026-08-13</x:v>
      </x:c>
      <x:c r="I2195" s="11" t="str">
        <x:v>https://smic.cdn.shwebspace.com/uploads/6a7d7c4f/ER_EN.pdf</x:v>
      </x:c>
      <x:c r="J2195" s="11" t="str">
        <x:v>reported input; field suffix retains original scale</x:v>
      </x:c>
      <x:c r="K2195" s="11" t="str">
        <x:v>待核</x:v>
      </x:c>
      <x:c r="L2195" s="11" t="str">
        <x:v>精确发布时间未核验</x:v>
      </x:c>
      <x:c r="M2195" s="11" t="str">
        <x:v>截止日前日期，盘中时分未核</x:v>
      </x:c>
    </x:row>
    <x:row r="2196" ht="23" customHeight="1">
      <x:c r="A2196" s="11" t="str">
        <x:v>I092</x:v>
      </x:c>
      <x:c r="B2196" s="11" t="str">
        <x:v>00981.HK</x:v>
      </x:c>
      <x:c r="C2196" s="11" t="str">
        <x:v>consumerElectronicsWaferRevenueShareQ2</x:v>
      </x:c>
      <x:c r="D2196" s="39" t="n">
        <x:v>0.442</x:v>
      </x:c>
      <x:c r="E2196" s="11" t="str">
        <x:v>USD</x:v>
      </x:c>
      <x:c r="F2196" s="11" t="str">
        <x:v>fraction</x:v>
      </x:c>
      <x:c r="G2196" s="11" t="str">
        <x:v>2026H1 and Q2 IFRS</x:v>
      </x:c>
      <x:c r="H2196" s="11" t="str">
        <x:v>2026-08-13</x:v>
      </x:c>
      <x:c r="I2196" s="11" t="str">
        <x:v>https://smic.cdn.shwebspace.com/uploads/6a7d7c4f/ER_EN.pdf</x:v>
      </x:c>
      <x:c r="J2196" s="11" t="str">
        <x:v>reported input; field suffix retains original scale</x:v>
      </x:c>
      <x:c r="K2196" s="11" t="str">
        <x:v>待核</x:v>
      </x:c>
      <x:c r="L2196" s="11" t="str">
        <x:v>精确发布时间未核验</x:v>
      </x:c>
      <x:c r="M2196" s="11" t="str">
        <x:v>截止日前日期，盘中时分未核</x:v>
      </x:c>
    </x:row>
    <x:row r="2197" ht="23" customHeight="1">
      <x:c r="A2197" s="11" t="str">
        <x:v>I092</x:v>
      </x:c>
      <x:c r="B2197" s="11" t="str">
        <x:v>00981.HK</x:v>
      </x:c>
      <x:c r="C2197" s="11" t="str">
        <x:v>totalDAQ2USDmillion</x:v>
      </x:c>
      <x:c r="D2197" s="39" t="n">
        <x:v>1211.721</x:v>
      </x:c>
      <x:c r="E2197" s="11" t="str">
        <x:v>USD</x:v>
      </x:c>
      <x:c r="F2197" s="11" t="str">
        <x:v>million</x:v>
      </x:c>
      <x:c r="G2197" s="11" t="str">
        <x:v>2026H1 and Q2 IFRS</x:v>
      </x:c>
      <x:c r="H2197" s="11" t="str">
        <x:v>2026-08-13</x:v>
      </x:c>
      <x:c r="I2197" s="11" t="str">
        <x:v>https://smic.cdn.shwebspace.com/uploads/6a7d7c4f/ER_EN.pdf</x:v>
      </x:c>
      <x:c r="J2197" s="11" t="str">
        <x:v>reported input; field suffix retains original scale</x:v>
      </x:c>
      <x:c r="K2197" s="11" t="str">
        <x:v>待核</x:v>
      </x:c>
      <x:c r="L2197" s="11" t="str">
        <x:v>精确发布时间未核验</x:v>
      </x:c>
      <x:c r="M2197" s="11" t="str">
        <x:v>截止日前日期，盘中时分未核</x:v>
      </x:c>
    </x:row>
    <x:row r="2198" ht="23" customHeight="1">
      <x:c r="A2198" s="11" t="str">
        <x:v>I092</x:v>
      </x:c>
      <x:c r="B2198" s="11" t="str">
        <x:v>00981.HK</x:v>
      </x:c>
      <x:c r="C2198" s="11" t="str">
        <x:v>costOfSalesDAQ2USDmillion</x:v>
      </x:c>
      <x:c r="D2198" s="39" t="n">
        <x:v>924.796</x:v>
      </x:c>
      <x:c r="E2198" s="11" t="str">
        <x:v>USD</x:v>
      </x:c>
      <x:c r="F2198" s="11" t="str">
        <x:v>million</x:v>
      </x:c>
      <x:c r="G2198" s="11" t="str">
        <x:v>2026H1 and Q2 IFRS</x:v>
      </x:c>
      <x:c r="H2198" s="11" t="str">
        <x:v>2026-08-13</x:v>
      </x:c>
      <x:c r="I2198" s="11" t="str">
        <x:v>https://smic.cdn.shwebspace.com/uploads/6a7d7c4f/ER_EN.pdf</x:v>
      </x:c>
      <x:c r="J2198" s="11" t="str">
        <x:v>reported input; field suffix retains original scale</x:v>
      </x:c>
      <x:c r="K2198" s="11" t="str">
        <x:v>待核</x:v>
      </x:c>
      <x:c r="L2198" s="11" t="str">
        <x:v>精确发布时间未核验</x:v>
      </x:c>
      <x:c r="M2198" s="11" t="str">
        <x:v>截止日前日期，盘中时分未核</x:v>
      </x:c>
    </x:row>
    <x:row r="2199" ht="23" customHeight="1">
      <x:c r="A2199" s="11" t="str">
        <x:v>I092</x:v>
      </x:c>
      <x:c r="B2199" s="11" t="str">
        <x:v>00981.HK</x:v>
      </x:c>
      <x:c r="C2199" s="11" t="str">
        <x:v>capexQ2USDmillionRounded</x:v>
      </x:c>
      <x:c r="D2199" s="39" t="n">
        <x:v>1835.7</x:v>
      </x:c>
      <x:c r="E2199" s="11" t="str">
        <x:v>USD</x:v>
      </x:c>
      <x:c r="F2199" s="11" t="str">
        <x:v>million</x:v>
      </x:c>
      <x:c r="G2199" s="11" t="str">
        <x:v>2026H1 and Q2 IFRS</x:v>
      </x:c>
      <x:c r="H2199" s="11" t="str">
        <x:v>2026-08-13</x:v>
      </x:c>
      <x:c r="I2199" s="11" t="str">
        <x:v>https://smic.cdn.shwebspace.com/uploads/6a7d7c4f/ER_EN.pdf</x:v>
      </x:c>
      <x:c r="J2199" s="11" t="str">
        <x:v>reported input; field suffix retains original scale</x:v>
      </x:c>
      <x:c r="K2199" s="11" t="str">
        <x:v>待核</x:v>
      </x:c>
      <x:c r="L2199" s="11" t="str">
        <x:v>精确发布时间未核验</x:v>
      </x:c>
      <x:c r="M2199" s="11" t="str">
        <x:v>截止日前日期，盘中时分未核</x:v>
      </x:c>
    </x:row>
    <x:row r="2200" ht="23" customHeight="1">
      <x:c r="A2200" s="11" t="str">
        <x:v>I092</x:v>
      </x:c>
      <x:c r="B2200" s="11" t="str">
        <x:v>00981.HK</x:v>
      </x:c>
      <x:c r="C2200" s="11" t="str">
        <x:v>capexQ1USDmillionRounded</x:v>
      </x:c>
      <x:c r="D2200" s="39" t="n">
        <x:v>1562.8</x:v>
      </x:c>
      <x:c r="E2200" s="11" t="str">
        <x:v>USD</x:v>
      </x:c>
      <x:c r="F2200" s="11" t="str">
        <x:v>million</x:v>
      </x:c>
      <x:c r="G2200" s="11" t="str">
        <x:v>2026H1 and Q2 IFRS</x:v>
      </x:c>
      <x:c r="H2200" s="11" t="str">
        <x:v>2026-08-13</x:v>
      </x:c>
      <x:c r="I2200" s="11" t="str">
        <x:v>https://smic.cdn.shwebspace.com/uploads/6a9a8a01/AR_EN.pdf</x:v>
      </x:c>
      <x:c r="J2200" s="11" t="str">
        <x:v>reported input; field suffix retains original scale</x:v>
      </x:c>
      <x:c r="K2200" s="11" t="str">
        <x:v>待核</x:v>
      </x:c>
      <x:c r="L2200" s="11" t="str">
        <x:v>精确发布时间未核验</x:v>
      </x:c>
      <x:c r="M2200" s="11" t="str">
        <x:v>截止日前日期，盘中时分未核</x:v>
      </x:c>
    </x:row>
    <x:row r="2201" ht="23" customHeight="1">
      <x:c r="A2201" s="11" t="str">
        <x:v>I092</x:v>
      </x:c>
      <x:c r="B2201" s="11" t="str">
        <x:v>00981.HK</x:v>
      </x:c>
      <x:c r="C2201" s="11" t="str">
        <x:v>cashPPEAndIntangibleH1USDmillion</x:v>
      </x:c>
      <x:c r="D2201" s="39" t="n">
        <x:v>2859.39</x:v>
      </x:c>
      <x:c r="E2201" s="11" t="str">
        <x:v>USD</x:v>
      </x:c>
      <x:c r="F2201" s="11" t="str">
        <x:v>million</x:v>
      </x:c>
      <x:c r="G2201" s="11" t="str">
        <x:v>2026H1 and Q2 IFRS</x:v>
      </x:c>
      <x:c r="H2201" s="11" t="str">
        <x:v>2026-08-13</x:v>
      </x:c>
      <x:c r="I2201" s="11" t="str">
        <x:v>https://smic.cdn.shwebspace.com/uploads/6a9a8a01/AR_EN.pdf</x:v>
      </x:c>
      <x:c r="J2201" s="11" t="str">
        <x:v>reported input; field suffix retains original scale</x:v>
      </x:c>
      <x:c r="K2201" s="11" t="str">
        <x:v>待核</x:v>
      </x:c>
      <x:c r="L2201" s="11" t="str">
        <x:v>精确发布时间未核验</x:v>
      </x:c>
      <x:c r="M2201" s="11" t="str">
        <x:v>截止日前日期，盘中时分未核</x:v>
      </x:c>
    </x:row>
    <x:row r="2202" ht="23" customHeight="1">
      <x:c r="A2202" s="11" t="str">
        <x:v>I092</x:v>
      </x:c>
      <x:c r="B2202" s="11" t="str">
        <x:v>00981.HK</x:v>
      </x:c>
      <x:c r="C2202" s="11" t="str">
        <x:v>OCFH1USDmillion</x:v>
      </x:c>
      <x:c r="D2202" s="39" t="n">
        <x:v>3207.101</x:v>
      </x:c>
      <x:c r="E2202" s="11" t="str">
        <x:v>USD</x:v>
      </x:c>
      <x:c r="F2202" s="11" t="str">
        <x:v>million</x:v>
      </x:c>
      <x:c r="G2202" s="11" t="str">
        <x:v>2026H1 and Q2 IFRS</x:v>
      </x:c>
      <x:c r="H2202" s="11" t="str">
        <x:v>2026-08-13</x:v>
      </x:c>
      <x:c r="I2202" s="11" t="str">
        <x:v>https://smic.cdn.shwebspace.com/uploads/6a9a8a01/AR_EN.pdf</x:v>
      </x:c>
      <x:c r="J2202" s="11" t="str">
        <x:v>reported input; field suffix retains original scale</x:v>
      </x:c>
      <x:c r="K2202" s="11" t="str">
        <x:v>待核</x:v>
      </x:c>
      <x:c r="L2202" s="11" t="str">
        <x:v>精确发布时间未核验</x:v>
      </x:c>
      <x:c r="M2202" s="11" t="str">
        <x:v>截止日前日期，盘中时分未核</x:v>
      </x:c>
    </x:row>
    <x:row r="2203" ht="23" customHeight="1">
      <x:c r="A2203" s="11" t="str">
        <x:v>I092</x:v>
      </x:c>
      <x:c r="B2203" s="11" t="str">
        <x:v>00981.HK</x:v>
      </x:c>
      <x:c r="C2203" s="11" t="str">
        <x:v>OCFQ2USDmillion</x:v>
      </x:c>
      <x:c r="D2203" s="39" t="n">
        <x:v>2522.116</x:v>
      </x:c>
      <x:c r="E2203" s="11" t="str">
        <x:v>USD</x:v>
      </x:c>
      <x:c r="F2203" s="11" t="str">
        <x:v>million</x:v>
      </x:c>
      <x:c r="G2203" s="11" t="str">
        <x:v>2026H1 and Q2 IFRS</x:v>
      </x:c>
      <x:c r="H2203" s="11" t="str">
        <x:v>2026-08-13</x:v>
      </x:c>
      <x:c r="I2203" s="11" t="str">
        <x:v>https://smic.cdn.shwebspace.com/uploads/6a7d7c4f/ER_EN.pdf</x:v>
      </x:c>
      <x:c r="J2203" s="11" t="str">
        <x:v>reported input; field suffix retains original scale</x:v>
      </x:c>
      <x:c r="K2203" s="11" t="str">
        <x:v>待核</x:v>
      </x:c>
      <x:c r="L2203" s="11" t="str">
        <x:v>精确发布时间未核验</x:v>
      </x:c>
      <x:c r="M2203" s="11" t="str">
        <x:v>截止日前日期，盘中时分未核</x:v>
      </x:c>
    </x:row>
    <x:row r="2204" ht="23" customHeight="1">
      <x:c r="A2204" s="11" t="str">
        <x:v>I092</x:v>
      </x:c>
      <x:c r="B2204" s="11" t="str">
        <x:v>00981.HK</x:v>
      </x:c>
      <x:c r="C2204" s="11" t="str">
        <x:v>FCFResearchProxyH1USDmillion</x:v>
      </x:c>
      <x:c r="D2204" s="39" t="n">
        <x:v>347.711</x:v>
      </x:c>
      <x:c r="E2204" s="11" t="str">
        <x:v>USD</x:v>
      </x:c>
      <x:c r="F2204" s="11" t="str">
        <x:v>million</x:v>
      </x:c>
      <x:c r="G2204" s="11" t="str">
        <x:v>2026H1 and Q2 IFRS</x:v>
      </x:c>
      <x:c r="H2204" s="11" t="str">
        <x:v>2026-08-13</x:v>
      </x:c>
      <x:c r="I2204" s="11" t="str">
        <x:v>https://smic.cdn.shwebspace.com/uploads/6a9a8a01/AR_EN.pdf</x:v>
      </x:c>
      <x:c r="J2204" s="11" t="str">
        <x:v>research calculation from cited inputs</x:v>
      </x:c>
      <x:c r="K2204" s="11" t="str">
        <x:v>待核</x:v>
      </x:c>
      <x:c r="L2204" s="11" t="str">
        <x:v>精确发布时间未核验</x:v>
      </x:c>
      <x:c r="M2204" s="11" t="str">
        <x:v>截止日前日期，盘中时分未核</x:v>
      </x:c>
    </x:row>
    <x:row r="2205" ht="23" customHeight="1">
      <x:c r="A2205" s="11" t="str">
        <x:v>I092</x:v>
      </x:c>
      <x:c r="B2205" s="11" t="str">
        <x:v>00981.HK</x:v>
      </x:c>
      <x:c r="C2205" s="11" t="str">
        <x:v>FCFResearchProxyQ2USDmillion</x:v>
      </x:c>
      <x:c r="D2205" s="39" t="n">
        <x:v>975.509</x:v>
      </x:c>
      <x:c r="E2205" s="11" t="str">
        <x:v>USD</x:v>
      </x:c>
      <x:c r="F2205" s="11" t="str">
        <x:v>million</x:v>
      </x:c>
      <x:c r="G2205" s="11" t="str">
        <x:v>2026H1 and Q2 IFRS</x:v>
      </x:c>
      <x:c r="H2205" s="11" t="str">
        <x:v>2026-08-13</x:v>
      </x:c>
      <x:c r="I2205" s="11" t="str">
        <x:v>https://smic.cdn.shwebspace.com/uploads/6a7d7c4f/ER_EN.pdf</x:v>
      </x:c>
      <x:c r="J2205" s="11" t="str">
        <x:v>research calculation from cited inputs</x:v>
      </x:c>
      <x:c r="K2205" s="11" t="str">
        <x:v>待核</x:v>
      </x:c>
      <x:c r="L2205" s="11" t="str">
        <x:v>精确发布时间未核验</x:v>
      </x:c>
      <x:c r="M2205" s="11" t="str">
        <x:v>截止日前日期，盘中时分未核</x:v>
      </x:c>
    </x:row>
    <x:row r="2206" ht="23" customHeight="1">
      <x:c r="A2206" s="11" t="str">
        <x:v>I092</x:v>
      </x:c>
      <x:c r="B2206" s="11" t="str">
        <x:v>00981.HK</x:v>
      </x:c>
      <x:c r="C2206" s="11" t="str">
        <x:v>cashEquivalentsUSDmillion</x:v>
      </x:c>
      <x:c r="D2206" s="39" t="n">
        <x:v>8216.015</x:v>
      </x:c>
      <x:c r="E2206" s="11" t="str">
        <x:v>USD</x:v>
      </x:c>
      <x:c r="F2206" s="11" t="str">
        <x:v>million</x:v>
      </x:c>
      <x:c r="G2206" s="11" t="str">
        <x:v>2026H1 and Q2 IFRS</x:v>
      </x:c>
      <x:c r="H2206" s="11" t="str">
        <x:v>2026-08-13</x:v>
      </x:c>
      <x:c r="I2206" s="11" t="str">
        <x:v>https://smic.cdn.shwebspace.com/uploads/6a9a8a01/AR_EN.pdf</x:v>
      </x:c>
      <x:c r="J2206" s="11" t="str">
        <x:v>reported input; field suffix retains original scale</x:v>
      </x:c>
      <x:c r="K2206" s="11" t="str">
        <x:v>待核</x:v>
      </x:c>
      <x:c r="L2206" s="11" t="str">
        <x:v>精确发布时间未核验</x:v>
      </x:c>
      <x:c r="M2206" s="11" t="str">
        <x:v>截止日前日期，盘中时分未核</x:v>
      </x:c>
    </x:row>
    <x:row r="2207" ht="23" customHeight="1">
      <x:c r="A2207" s="11" t="str">
        <x:v>I092</x:v>
      </x:c>
      <x:c r="B2207" s="11" t="str">
        <x:v>00981.HK</x:v>
      </x:c>
      <x:c r="C2207" s="11" t="str">
        <x:v>totalCashOnHandUSDmillion</x:v>
      </x:c>
      <x:c r="D2207" s="39" t="n">
        <x:v>13856.615</x:v>
      </x:c>
      <x:c r="E2207" s="11" t="str">
        <x:v>USD</x:v>
      </x:c>
      <x:c r="F2207" s="11" t="str">
        <x:v>million</x:v>
      </x:c>
      <x:c r="G2207" s="11" t="str">
        <x:v>2026H1 and Q2 IFRS</x:v>
      </x:c>
      <x:c r="H2207" s="11" t="str">
        <x:v>2026-08-13</x:v>
      </x:c>
      <x:c r="I2207" s="11" t="str">
        <x:v>https://smic.cdn.shwebspace.com/uploads/6a9a8a01/AR_EN.pdf</x:v>
      </x:c>
      <x:c r="J2207" s="11" t="str">
        <x:v>reported input; field suffix retains original scale</x:v>
      </x:c>
      <x:c r="K2207" s="11" t="str">
        <x:v>待核</x:v>
      </x:c>
      <x:c r="L2207" s="11" t="str">
        <x:v>精确发布时间未核验</x:v>
      </x:c>
      <x:c r="M2207" s="11" t="str">
        <x:v>截止日前日期，盘中时分未核</x:v>
      </x:c>
    </x:row>
    <x:row r="2208" ht="23" customHeight="1">
      <x:c r="A2208" s="11" t="str">
        <x:v>I092</x:v>
      </x:c>
      <x:c r="B2208" s="11" t="str">
        <x:v>00981.HK</x:v>
      </x:c>
      <x:c r="C2208" s="11" t="str">
        <x:v>totalDebtUSDmillion</x:v>
      </x:c>
      <x:c r="D2208" s="39" t="n">
        <x:v>14018.957</x:v>
      </x:c>
      <x:c r="E2208" s="11" t="str">
        <x:v>USD</x:v>
      </x:c>
      <x:c r="F2208" s="11" t="str">
        <x:v>million</x:v>
      </x:c>
      <x:c r="G2208" s="11" t="str">
        <x:v>2026H1 and Q2 IFRS</x:v>
      </x:c>
      <x:c r="H2208" s="11" t="str">
        <x:v>2026-08-13</x:v>
      </x:c>
      <x:c r="I2208" s="11" t="str">
        <x:v>https://smic.cdn.shwebspace.com/uploads/6a9a8a01/AR_EN.pdf</x:v>
      </x:c>
      <x:c r="J2208" s="11" t="str">
        <x:v>reported input; field suffix retains original scale</x:v>
      </x:c>
      <x:c r="K2208" s="11" t="str">
        <x:v>待核</x:v>
      </x:c>
      <x:c r="L2208" s="11" t="str">
        <x:v>精确发布时间未核验</x:v>
      </x:c>
      <x:c r="M2208" s="11" t="str">
        <x:v>截止日前日期，盘中时分未核</x:v>
      </x:c>
    </x:row>
    <x:row r="2209" ht="23" customHeight="1">
      <x:c r="A2209" s="11" t="str">
        <x:v>I092</x:v>
      </x:c>
      <x:c r="B2209" s="11" t="str">
        <x:v>00981.HK</x:v>
      </x:c>
      <x:c r="C2209" s="11" t="str">
        <x:v>netDebtUSDmillion</x:v>
      </x:c>
      <x:c r="D2209" s="39" t="n">
        <x:v>162.342</x:v>
      </x:c>
      <x:c r="E2209" s="11" t="str">
        <x:v>USD</x:v>
      </x:c>
      <x:c r="F2209" s="11" t="str">
        <x:v>million</x:v>
      </x:c>
      <x:c r="G2209" s="11" t="str">
        <x:v>2026H1 and Q2 IFRS</x:v>
      </x:c>
      <x:c r="H2209" s="11" t="str">
        <x:v>2026-08-13</x:v>
      </x:c>
      <x:c r="I2209" s="11" t="str">
        <x:v>https://smic.cdn.shwebspace.com/uploads/6a9a8a01/AR_EN.pdf</x:v>
      </x:c>
      <x:c r="J2209" s="11" t="str">
        <x:v>reported input; field suffix retains original scale</x:v>
      </x:c>
      <x:c r="K2209" s="11" t="str">
        <x:v>待核</x:v>
      </x:c>
      <x:c r="L2209" s="11" t="str">
        <x:v>精确发布时间未核验</x:v>
      </x:c>
      <x:c r="M2209" s="11" t="str">
        <x:v>截止日前日期，盘中时分未核</x:v>
      </x:c>
    </x:row>
    <x:row r="2210" ht="23" customHeight="1">
      <x:c r="A2210" s="11" t="str">
        <x:v>I092</x:v>
      </x:c>
      <x:c r="B2210" s="11" t="str">
        <x:v>00981.HK</x:v>
      </x:c>
      <x:c r="C2210" s="11" t="str">
        <x:v>ownerEquityUSDmillion</x:v>
      </x:c>
      <x:c r="D2210" s="39" t="n">
        <x:v>25149.484</x:v>
      </x:c>
      <x:c r="E2210" s="11" t="str">
        <x:v>USD</x:v>
      </x:c>
      <x:c r="F2210" s="11" t="str">
        <x:v>million</x:v>
      </x:c>
      <x:c r="G2210" s="11" t="str">
        <x:v>2026H1 and Q2 IFRS</x:v>
      </x:c>
      <x:c r="H2210" s="11" t="str">
        <x:v>2026-08-13</x:v>
      </x:c>
      <x:c r="I2210" s="11" t="str">
        <x:v>https://smic.cdn.shwebspace.com/uploads/6a9a8a01/AR_EN.pdf</x:v>
      </x:c>
      <x:c r="J2210" s="11" t="str">
        <x:v>reported input; field suffix retains original scale</x:v>
      </x:c>
      <x:c r="K2210" s="11" t="str">
        <x:v>待核</x:v>
      </x:c>
      <x:c r="L2210" s="11" t="str">
        <x:v>精确发布时间未核验</x:v>
      </x:c>
      <x:c r="M2210" s="11" t="str">
        <x:v>截止日前日期，盘中时分未核</x:v>
      </x:c>
    </x:row>
    <x:row r="2211" ht="23" customHeight="1">
      <x:c r="A2211" s="11" t="str">
        <x:v>I092</x:v>
      </x:c>
      <x:c r="B2211" s="11" t="str">
        <x:v>00981.HK</x:v>
      </x:c>
      <x:c r="C2211" s="11" t="str">
        <x:v>minorityEquityUSDmillion</x:v>
      </x:c>
      <x:c r="D2211" s="39" t="n">
        <x:v>12707.904</x:v>
      </x:c>
      <x:c r="E2211" s="11" t="str">
        <x:v>USD</x:v>
      </x:c>
      <x:c r="F2211" s="11" t="str">
        <x:v>million</x:v>
      </x:c>
      <x:c r="G2211" s="11" t="str">
        <x:v>2026H1 and Q2 IFRS</x:v>
      </x:c>
      <x:c r="H2211" s="11" t="str">
        <x:v>2026-08-13</x:v>
      </x:c>
      <x:c r="I2211" s="11" t="str">
        <x:v>https://smic.cdn.shwebspace.com/uploads/6a9a8a01/AR_EN.pdf</x:v>
      </x:c>
      <x:c r="J2211" s="11" t="str">
        <x:v>reported input; field suffix retains original scale</x:v>
      </x:c>
      <x:c r="K2211" s="11" t="str">
        <x:v>待核</x:v>
      </x:c>
      <x:c r="L2211" s="11" t="str">
        <x:v>精确发布时间未核验</x:v>
      </x:c>
      <x:c r="M2211" s="11" t="str">
        <x:v>截止日前日期，盘中时分未核</x:v>
      </x:c>
    </x:row>
    <x:row r="2212" ht="23" customHeight="1">
      <x:c r="A2212" s="11" t="str">
        <x:v>I092</x:v>
      </x:c>
      <x:c r="B2212" s="11" t="str">
        <x:v>00981.HK</x:v>
      </x:c>
      <x:c r="C2212" s="11" t="str">
        <x:v>totalEquityUSDmillion</x:v>
      </x:c>
      <x:c r="D2212" s="39" t="n">
        <x:v>37857.388</x:v>
      </x:c>
      <x:c r="E2212" s="11" t="str">
        <x:v>USD</x:v>
      </x:c>
      <x:c r="F2212" s="11" t="str">
        <x:v>million</x:v>
      </x:c>
      <x:c r="G2212" s="11" t="str">
        <x:v>2026H1 and Q2 IFRS</x:v>
      </x:c>
      <x:c r="H2212" s="11" t="str">
        <x:v>2026-08-13</x:v>
      </x:c>
      <x:c r="I2212" s="11" t="str">
        <x:v>https://smic.cdn.shwebspace.com/uploads/6a9a8a01/AR_EN.pdf</x:v>
      </x:c>
      <x:c r="J2212" s="11" t="str">
        <x:v>reported input; field suffix retains original scale</x:v>
      </x:c>
      <x:c r="K2212" s="11" t="str">
        <x:v>待核</x:v>
      </x:c>
      <x:c r="L2212" s="11" t="str">
        <x:v>精确发布时间未核验</x:v>
      </x:c>
      <x:c r="M2212" s="11" t="str">
        <x:v>截止日前日期，盘中时分未核</x:v>
      </x:c>
    </x:row>
    <x:row r="2213" ht="23" customHeight="1">
      <x:c r="A2213" s="11" t="str">
        <x:v>I092</x:v>
      </x:c>
      <x:c r="B2213" s="11" t="str">
        <x:v>00981.HK</x:v>
      </x:c>
      <x:c r="C2213" s="11" t="str">
        <x:v>sharesAtJune30</x:v>
      </x:c>
      <x:c r="D2213" s="39" t="n">
        <x:v>8560805995</x:v>
      </x:c>
      <x:c r="E2213" s="11" t="str">
        <x:v>USD</x:v>
      </x:c>
      <x:c r="F2213" s="11" t="str">
        <x:v>shares</x:v>
      </x:c>
      <x:c r="G2213" s="11" t="str">
        <x:v>2026H1 and Q2 IFRS</x:v>
      </x:c>
      <x:c r="H2213" s="11" t="str">
        <x:v>2026-08-13</x:v>
      </x:c>
      <x:c r="I2213" s="11" t="str">
        <x:v>https://smic.cdn.shwebspace.com/uploads/6a9a8a01/AR_EN.pdf</x:v>
      </x:c>
      <x:c r="J2213" s="11" t="str">
        <x:v>reported input; field suffix retains original scale</x:v>
      </x:c>
      <x:c r="K2213" s="11" t="str">
        <x:v>待核</x:v>
      </x:c>
      <x:c r="L2213" s="11" t="str">
        <x:v>精确发布时间未核验</x:v>
      </x:c>
      <x:c r="M2213" s="11" t="str">
        <x:v>截止日前日期，盘中时分未核</x:v>
      </x:c>
    </x:row>
    <x:row r="2214" ht="23" customHeight="1">
      <x:c r="A2214" s="11" t="str">
        <x:v>I092</x:v>
      </x:c>
      <x:c r="B2214" s="11" t="str">
        <x:v>00981.HK</x:v>
      </x:c>
      <x:c r="C2214" s="11" t="str">
        <x:v>weightedDilutedQ2million</x:v>
      </x:c>
      <x:c r="D2214" s="39" t="n">
        <x:v>8068</x:v>
      </x:c>
      <x:c r="E2214" s="11" t="str">
        <x:v>USD</x:v>
      </x:c>
      <x:c r="F2214" s="11" t="str">
        <x:v>million</x:v>
      </x:c>
      <x:c r="G2214" s="11" t="str">
        <x:v>2026H1 and Q2 IFRS</x:v>
      </x:c>
      <x:c r="H2214" s="11" t="str">
        <x:v>2026-08-13</x:v>
      </x:c>
      <x:c r="I2214" s="11" t="str">
        <x:v>https://smic.cdn.shwebspace.com/uploads/6a7d7c4f/ER_EN.pdf</x:v>
      </x:c>
      <x:c r="J2214" s="11" t="str">
        <x:v>reported input; field suffix retains original scale</x:v>
      </x:c>
      <x:c r="K2214" s="11" t="str">
        <x:v>待核</x:v>
      </x:c>
      <x:c r="L2214" s="11" t="str">
        <x:v>精确发布时间未核验</x:v>
      </x:c>
      <x:c r="M2214" s="11" t="str">
        <x:v>截止日前日期，盘中时分未核</x:v>
      </x:c>
    </x:row>
    <x:row r="2215" ht="23" customHeight="1">
      <x:c r="A2215" s="11" t="str">
        <x:v>I092</x:v>
      </x:c>
      <x:c r="B2215" s="11" t="str">
        <x:v>00981.HK</x:v>
      </x:c>
      <x:c r="C2215" s="11" t="str">
        <x:v>SMNCStakeAcquired</x:v>
      </x:c>
      <x:c r="D2215" s="39" t="n">
        <x:v>0.49</x:v>
      </x:c>
      <x:c r="E2215" s="11" t="str">
        <x:v>USD</x:v>
      </x:c>
      <x:c r="F2215" s="11" t="str">
        <x:v>fraction</x:v>
      </x:c>
      <x:c r="G2215" s="11" t="str">
        <x:v>2026H1 and Q2 IFRS</x:v>
      </x:c>
      <x:c r="H2215" s="11" t="str">
        <x:v>2026-08-13</x:v>
      </x:c>
      <x:c r="I2215" s="11" t="str">
        <x:v>https://smic.cdn.shwebspace.com/uploads/6a9a8a01/AR_EN.pdf</x:v>
      </x:c>
      <x:c r="J2215" s="11" t="str">
        <x:v>reported input; field suffix retains original scale</x:v>
      </x:c>
      <x:c r="K2215" s="11" t="str">
        <x:v>待核</x:v>
      </x:c>
      <x:c r="L2215" s="11" t="str">
        <x:v>精确发布时间未核验</x:v>
      </x:c>
      <x:c r="M2215" s="11" t="str">
        <x:v>截止日前日期，盘中时分未核</x:v>
      </x:c>
    </x:row>
    <x:row r="2216" ht="23" customHeight="1">
      <x:c r="A2216" s="11" t="str">
        <x:v>I092</x:v>
      </x:c>
      <x:c r="B2216" s="11" t="str">
        <x:v>00981.HK</x:v>
      </x:c>
      <x:c r="C2216" s="11" t="str">
        <x:v>SMNCStakeAfter</x:v>
      </x:c>
      <x:c r="D2216" s="39" t="n">
        <x:v>1</x:v>
      </x:c>
      <x:c r="E2216" s="11" t="str">
        <x:v>USD</x:v>
      </x:c>
      <x:c r="F2216" s="11" t="str">
        <x:v>fraction</x:v>
      </x:c>
      <x:c r="G2216" s="11" t="str">
        <x:v>2026H1 and Q2 IFRS</x:v>
      </x:c>
      <x:c r="H2216" s="11" t="str">
        <x:v>2026-08-13</x:v>
      </x:c>
      <x:c r="I2216" s="11" t="str">
        <x:v>https://smic.cdn.shwebspace.com/uploads/6a9a8a01/AR_EN.pdf</x:v>
      </x:c>
      <x:c r="J2216" s="11" t="str">
        <x:v>reported input; field suffix retains original scale</x:v>
      </x:c>
      <x:c r="K2216" s="11" t="str">
        <x:v>待核</x:v>
      </x:c>
      <x:c r="L2216" s="11" t="str">
        <x:v>精确发布时间未核验</x:v>
      </x:c>
      <x:c r="M2216" s="11" t="str">
        <x:v>截止日前日期，盘中时分未核</x:v>
      </x:c>
    </x:row>
    <x:row r="2217" ht="23" customHeight="1">
      <x:c r="A2217" s="11" t="str">
        <x:v>I092</x:v>
      </x:c>
      <x:c r="B2217" s="11" t="str">
        <x:v>00981.HK</x:v>
      </x:c>
      <x:c r="C2217" s="11" t="str">
        <x:v>acquisitionIssuedShares</x:v>
      </x:c>
      <x:c r="D2217" s="39" t="n">
        <x:v>547182073</x:v>
      </x:c>
      <x:c r="E2217" s="11" t="str">
        <x:v>USD</x:v>
      </x:c>
      <x:c r="F2217" s="11" t="str">
        <x:v>shares</x:v>
      </x:c>
      <x:c r="G2217" s="11" t="str">
        <x:v>2026H1 and Q2 IFRS</x:v>
      </x:c>
      <x:c r="H2217" s="11" t="str">
        <x:v>2026-08-13</x:v>
      </x:c>
      <x:c r="I2217" s="11" t="str">
        <x:v>https://smic.cdn.shwebspace.com/uploads/6a9a8a01/AR_EN.pdf</x:v>
      </x:c>
      <x:c r="J2217" s="11" t="str">
        <x:v>reported input; field suffix retains original scale</x:v>
      </x:c>
      <x:c r="K2217" s="11" t="str">
        <x:v>待核</x:v>
      </x:c>
      <x:c r="L2217" s="11" t="str">
        <x:v>精确发布时间未核验</x:v>
      </x:c>
      <x:c r="M2217" s="11" t="str">
        <x:v>截止日前日期，盘中时分未核</x:v>
      </x:c>
    </x:row>
    <x:row r="2218" ht="23" customHeight="1">
      <x:c r="A2218" s="11" t="str">
        <x:v>I092</x:v>
      </x:c>
      <x:c r="B2218" s="11" t="str">
        <x:v>00981.HK</x:v>
      </x:c>
      <x:c r="C2218" s="11" t="str">
        <x:v>considerationSharesUSDmillion</x:v>
      </x:c>
      <x:c r="D2218" s="39" t="n">
        <x:v>5961.167</x:v>
      </x:c>
      <x:c r="E2218" s="11" t="str">
        <x:v>USD</x:v>
      </x:c>
      <x:c r="F2218" s="11" t="str">
        <x:v>million</x:v>
      </x:c>
      <x:c r="G2218" s="11" t="str">
        <x:v>2026H1 and Q2 IFRS</x:v>
      </x:c>
      <x:c r="H2218" s="11" t="str">
        <x:v>2026-08-13</x:v>
      </x:c>
      <x:c r="I2218" s="11" t="str">
        <x:v>https://smic.cdn.shwebspace.com/uploads/6a9a8a01/AR_EN.pdf</x:v>
      </x:c>
      <x:c r="J2218" s="11" t="str">
        <x:v>reported input; field suffix retains original scale</x:v>
      </x:c>
      <x:c r="K2218" s="11" t="str">
        <x:v>待核</x:v>
      </x:c>
      <x:c r="L2218" s="11" t="str">
        <x:v>精确发布时间未核验</x:v>
      </x:c>
      <x:c r="M2218" s="11" t="str">
        <x:v>截止日前日期，盘中时分未核</x:v>
      </x:c>
    </x:row>
    <x:row r="2219" ht="23" customHeight="1">
      <x:c r="A2219" s="11" t="str">
        <x:v>I092</x:v>
      </x:c>
      <x:c r="B2219" s="11" t="str">
        <x:v>00981.HK</x:v>
      </x:c>
      <x:c r="C2219" s="11" t="str">
        <x:v>minorityCarryingValueAcquiredUSDmillion</x:v>
      </x:c>
      <x:c r="D2219" s="39" t="n">
        <x:v>2986.876</x:v>
      </x:c>
      <x:c r="E2219" s="11" t="str">
        <x:v>USD</x:v>
      </x:c>
      <x:c r="F2219" s="11" t="str">
        <x:v>million</x:v>
      </x:c>
      <x:c r="G2219" s="11" t="str">
        <x:v>2026H1 and Q2 IFRS</x:v>
      </x:c>
      <x:c r="H2219" s="11" t="str">
        <x:v>2026-08-13</x:v>
      </x:c>
      <x:c r="I2219" s="11" t="str">
        <x:v>https://smic.cdn.shwebspace.com/uploads/6a9a8a01/AR_EN.pdf</x:v>
      </x:c>
      <x:c r="J2219" s="11" t="str">
        <x:v>reported input; field suffix retains original scale</x:v>
      </x:c>
      <x:c r="K2219" s="11" t="str">
        <x:v>待核</x:v>
      </x:c>
      <x:c r="L2219" s="11" t="str">
        <x:v>精确发布时间未核验</x:v>
      </x:c>
      <x:c r="M2219" s="11" t="str">
        <x:v>截止日前日期，盘中时分未核</x:v>
      </x:c>
    </x:row>
    <x:row r="2220" ht="23" customHeight="1">
      <x:c r="A2220" s="11" t="str">
        <x:v>I092</x:v>
      </x:c>
      <x:c r="B2220" s="11" t="str">
        <x:v>00981.HK</x:v>
      </x:c>
      <x:c r="C2220" s="11" t="str">
        <x:v>reserveReductionUSDmillion</x:v>
      </x:c>
      <x:c r="D2220" s="39" t="n">
        <x:v>2974.291</x:v>
      </x:c>
      <x:c r="E2220" s="11" t="str">
        <x:v>USD</x:v>
      </x:c>
      <x:c r="F2220" s="11" t="str">
        <x:v>million</x:v>
      </x:c>
      <x:c r="G2220" s="11" t="str">
        <x:v>2026H1 and Q2 IFRS</x:v>
      </x:c>
      <x:c r="H2220" s="11" t="str">
        <x:v>2026-08-13</x:v>
      </x:c>
      <x:c r="I2220" s="11" t="str">
        <x:v>https://smic.cdn.shwebspace.com/uploads/6a9a8a01/AR_EN.pdf</x:v>
      </x:c>
      <x:c r="J2220" s="11" t="str">
        <x:v>reported input; field suffix retains original scale</x:v>
      </x:c>
      <x:c r="K2220" s="11" t="str">
        <x:v>待核</x:v>
      </x:c>
      <x:c r="L2220" s="11" t="str">
        <x:v>精确发布时间未核验</x:v>
      </x:c>
      <x:c r="M2220" s="11" t="str">
        <x:v>截止日前日期，盘中时分未核</x:v>
      </x:c>
    </x:row>
    <x:row r="2221" ht="23" customHeight="1">
      <x:c r="A2221" s="11" t="str">
        <x:v>I072</x:v>
      </x:c>
      <x:c r="B2221" s="11" t="str">
        <x:v>00700.HK</x:v>
      </x:c>
      <x:c r="C2221" s="11" t="str">
        <x:v>nonIFRSDilutedEPSCNY</x:v>
      </x:c>
      <x:c r="D2221" s="39" t="n">
        <x:v>27.877</x:v>
      </x:c>
      <x:c r="E2221" s="11" t="str">
        <x:v>CNY</x:v>
      </x:c>
      <x:c r="F2221" s="11" t="str">
        <x:v>per ordinary share</x:v>
      </x:c>
      <x:c r="G2221" s="11" t="str">
        <x:v>FY2025</x:v>
      </x:c>
      <x:c r="H2221" s="11" t="str">
        <x:v>2026-04-09年报官网文件；FY业绩稿2026-03-18</x:v>
      </x:c>
      <x:c r="I2221" s="11" t="str">
        <x:v>https://static.www.tencent.com/uploads/2026/04/09/62d786fcf3d3c8cb7e54791ee95439ac.pdf</x:v>
      </x:c>
      <x:c r="J2221" s="11" t="str">
        <x:v>reported input; field suffix retains original scale</x:v>
      </x:c>
      <x:c r="K2221" s="11" t="str">
        <x:v>待核</x:v>
      </x:c>
      <x:c r="L2221" s="11" t="str">
        <x:v>精确发布时间未核验</x:v>
      </x:c>
      <x:c r="M2221" s="11" t="str">
        <x:v>截止日前日期，盘中时分未核</x:v>
      </x:c>
    </x:row>
    <x:row r="2222" ht="23" customHeight="1">
      <x:c r="A2222" s="11" t="str">
        <x:v>I072</x:v>
      </x:c>
      <x:c r="B2222" s="11" t="str">
        <x:v>00700.HK</x:v>
      </x:c>
      <x:c r="C2222" s="11" t="str">
        <x:v>nonIFRSProfitAttributableCNYmillion</x:v>
      </x:c>
      <x:c r="D2222" s="39" t="n">
        <x:v>259626</x:v>
      </x:c>
      <x:c r="E2222" s="11" t="str">
        <x:v>CNY</x:v>
      </x:c>
      <x:c r="F2222" s="11" t="str">
        <x:v>million</x:v>
      </x:c>
      <x:c r="G2222" s="11" t="str">
        <x:v>FY2025</x:v>
      </x:c>
      <x:c r="H2222" s="11" t="str">
        <x:v>2026-04-09年报官网文件；FY业绩稿2026-03-18</x:v>
      </x:c>
      <x:c r="I2222" s="11" t="str">
        <x:v>https://static.www.tencent.com/uploads/2026/04/09/62d786fcf3d3c8cb7e54791ee95439ac.pdf</x:v>
      </x:c>
      <x:c r="J2222" s="11" t="str">
        <x:v>reported input; field suffix retains original scale</x:v>
      </x:c>
      <x:c r="K2222" s="11" t="str">
        <x:v>待核</x:v>
      </x:c>
      <x:c r="L2222" s="11" t="str">
        <x:v>精确发布时间未核验</x:v>
      </x:c>
      <x:c r="M2222" s="11" t="str">
        <x:v>截止日前日期，盘中时分未核</x:v>
      </x:c>
    </x:row>
    <x:row r="2223" ht="23" customHeight="1">
      <x:c r="A2223" s="11" t="str">
        <x:v>I072</x:v>
      </x:c>
      <x:c r="B2223" s="11" t="str">
        <x:v>00700.HK</x:v>
      </x:c>
      <x:c r="C2223" s="11" t="str">
        <x:v>FCFCNYmillionRounded</x:v>
      </x:c>
      <x:c r="D2223" s="39" t="n">
        <x:v>182600</x:v>
      </x:c>
      <x:c r="E2223" s="11" t="str">
        <x:v>CNY</x:v>
      </x:c>
      <x:c r="F2223" s="11" t="str">
        <x:v>million</x:v>
      </x:c>
      <x:c r="G2223" s="11" t="str">
        <x:v>FY2025</x:v>
      </x:c>
      <x:c r="H2223" s="11" t="str">
        <x:v>2026-04-09年报官网文件；FY业绩稿2026-03-18</x:v>
      </x:c>
      <x:c r="I2223" s="11" t="str">
        <x:v>https://static.www.tencent.com/uploads/2026/04/09/62d786fcf3d3c8cb7e54791ee95439ac.pdf</x:v>
      </x:c>
      <x:c r="J2223" s="11" t="str">
        <x:v>research calculation from cited inputs</x:v>
      </x:c>
      <x:c r="K2223" s="11" t="str">
        <x:v>待核</x:v>
      </x:c>
      <x:c r="L2223" s="11" t="str">
        <x:v>精确发布时间未核验</x:v>
      </x:c>
      <x:c r="M2223" s="11" t="str">
        <x:v>截止日前日期，盘中时分未核</x:v>
      </x:c>
    </x:row>
    <x:row r="2224" ht="23" customHeight="1">
      <x:c r="A2224" s="11" t="str">
        <x:v>I072</x:v>
      </x:c>
      <x:c r="B2224" s="11" t="str">
        <x:v>00700.HK</x:v>
      </x:c>
      <x:c r="C2224" s="11" t="str">
        <x:v>historicalPEResearchFX</x:v>
      </x:c>
      <x:c r="D2224" s="39" t="n">
        <x:v>13.85306231595</x:v>
      </x:c>
      <x:c r="E2224" s="11" t="str">
        <x:v>CNY</x:v>
      </x:c>
      <x:c r="F2224" s="11" t="str">
        <x:v>multiple</x:v>
      </x:c>
      <x:c r="G2224" s="11" t="str">
        <x:v>FY2025</x:v>
      </x:c>
      <x:c r="H2224" s="11" t="str">
        <x:v>2026-04-09年报官网文件；FY业绩稿2026-03-18</x:v>
      </x:c>
      <x:c r="I2224" s="11" t="str">
        <x:v>https://static.www.tencent.com/uploads/2026/04/09/62d786fcf3d3c8cb7e54791ee95439ac.pdf</x:v>
      </x:c>
      <x:c r="J2224" s="11" t="str">
        <x:v>research calculation from cited inputs</x:v>
      </x:c>
      <x:c r="K2224" s="11" t="str">
        <x:v>待核</x:v>
      </x:c>
      <x:c r="L2224" s="11" t="str">
        <x:v>精确发布时间未核验</x:v>
      </x:c>
      <x:c r="M2224" s="11" t="str">
        <x:v>截止日前日期，盘中时分未核</x:v>
      </x:c>
    </x:row>
    <x:row r="2225" ht="23" customHeight="1">
      <x:c r="A2225" s="11" t="str">
        <x:v>I072</x:v>
      </x:c>
      <x:c r="B2225" s="11" t="str">
        <x:v>00700.HK</x:v>
      </x:c>
      <x:c r="C2225" s="11" t="str">
        <x:v>revenueH1CNYmillion</x:v>
      </x:c>
      <x:c r="D2225" s="39" t="n">
        <x:v>401243</x:v>
      </x:c>
      <x:c r="E2225" s="11" t="str">
        <x:v>CNY</x:v>
      </x:c>
      <x:c r="F2225" s="11" t="str">
        <x:v>million</x:v>
      </x:c>
      <x:c r="G2225" s="11" t="str">
        <x:v>2026H1 and Q2</x:v>
      </x:c>
      <x:c r="H2225" s="11" t="str">
        <x:v>2026-08-12季度业绩稿；2026年8月中报</x:v>
      </x:c>
      <x:c r="I2225" s="11" t="str">
        <x:v>https://www.tencent.com/wp-content/uploads/2026/08/E700_IR.pdf</x:v>
      </x:c>
      <x:c r="J2225" s="11" t="str">
        <x:v>reported input</x:v>
      </x:c>
      <x:c r="K2225" s="11" t="str">
        <x:v>待核</x:v>
      </x:c>
      <x:c r="L2225" s="11" t="str">
        <x:v>精确发布时间未核验</x:v>
      </x:c>
      <x:c r="M2225" s="11" t="str">
        <x:v>截止日前日期，盘中时分未核</x:v>
      </x:c>
    </x:row>
    <x:row r="2226" ht="23" customHeight="1">
      <x:c r="A2226" s="11" t="str">
        <x:v>I072</x:v>
      </x:c>
      <x:c r="B2226" s="11" t="str">
        <x:v>00700.HK</x:v>
      </x:c>
      <x:c r="C2226" s="11" t="str">
        <x:v>profitAttributableH1CNYmillion</x:v>
      </x:c>
      <x:c r="D2226" s="39" t="n">
        <x:v>114115</x:v>
      </x:c>
      <x:c r="E2226" s="11" t="str">
        <x:v>CNY</x:v>
      </x:c>
      <x:c r="F2226" s="11" t="str">
        <x:v>million</x:v>
      </x:c>
      <x:c r="G2226" s="11" t="str">
        <x:v>2026H1 and Q2</x:v>
      </x:c>
      <x:c r="H2226" s="11" t="str">
        <x:v>2026-08-12季度业绩稿；2026年8月中报</x:v>
      </x:c>
      <x:c r="I2226" s="11" t="str">
        <x:v>https://www.tencent.com/wp-content/uploads/2026/08/E700_IR.pdf</x:v>
      </x:c>
      <x:c r="J2226" s="11" t="str">
        <x:v>reported input</x:v>
      </x:c>
      <x:c r="K2226" s="11" t="str">
        <x:v>待核</x:v>
      </x:c>
      <x:c r="L2226" s="11" t="str">
        <x:v>精确发布时间未核验</x:v>
      </x:c>
      <x:c r="M2226" s="11" t="str">
        <x:v>截止日前日期，盘中时分未核</x:v>
      </x:c>
    </x:row>
    <x:row r="2227" ht="23" customHeight="1">
      <x:c r="A2227" s="11" t="str">
        <x:v>I072</x:v>
      </x:c>
      <x:c r="B2227" s="11" t="str">
        <x:v>00700.HK</x:v>
      </x:c>
      <x:c r="C2227" s="11" t="str">
        <x:v>nonIFRSProfitAttributableH1CNYmillion</x:v>
      </x:c>
      <x:c r="D2227" s="39" t="n">
        <x:v>136320</x:v>
      </x:c>
      <x:c r="E2227" s="11" t="str">
        <x:v>CNY</x:v>
      </x:c>
      <x:c r="F2227" s="11" t="str">
        <x:v>million</x:v>
      </x:c>
      <x:c r="G2227" s="11" t="str">
        <x:v>2026H1 and Q2</x:v>
      </x:c>
      <x:c r="H2227" s="11" t="str">
        <x:v>2026-08-12季度业绩稿；2026年8月中报</x:v>
      </x:c>
      <x:c r="I2227" s="11" t="str">
        <x:v>https://www.tencent.com/wp-content/uploads/2026/08/E700_IR.pdf</x:v>
      </x:c>
      <x:c r="J2227" s="11" t="str">
        <x:v>reported input</x:v>
      </x:c>
      <x:c r="K2227" s="11" t="str">
        <x:v>待核</x:v>
      </x:c>
      <x:c r="L2227" s="11" t="str">
        <x:v>精确发布时间未核验</x:v>
      </x:c>
      <x:c r="M2227" s="11" t="str">
        <x:v>截止日前日期，盘中时分未核</x:v>
      </x:c>
    </x:row>
    <x:row r="2228" ht="23" customHeight="1">
      <x:c r="A2228" s="11" t="str">
        <x:v>I072</x:v>
      </x:c>
      <x:c r="B2228" s="11" t="str">
        <x:v>00700.HK</x:v>
      </x:c>
      <x:c r="C2228" s="11" t="str">
        <x:v>nonIFRSDilutedEPSH1CNY</x:v>
      </x:c>
      <x:c r="D2228" s="39" t="n">
        <x:v>14.799</x:v>
      </x:c>
      <x:c r="E2228" s="11" t="str">
        <x:v>CNY</x:v>
      </x:c>
      <x:c r="F2228" s="11" t="str">
        <x:v>per ordinary share</x:v>
      </x:c>
      <x:c r="G2228" s="11" t="str">
        <x:v>2026H1 and Q2</x:v>
      </x:c>
      <x:c r="H2228" s="11" t="str">
        <x:v>2026-08-12季度业绩稿；2026年8月中报</x:v>
      </x:c>
      <x:c r="I2228" s="11" t="str">
        <x:v>https://www.tencent.com/wp-content/uploads/2026/08/E700_IR.pdf</x:v>
      </x:c>
      <x:c r="J2228" s="11" t="str">
        <x:v>reported input</x:v>
      </x:c>
      <x:c r="K2228" s="11" t="str">
        <x:v>待核</x:v>
      </x:c>
      <x:c r="L2228" s="11" t="str">
        <x:v>精确发布时间未核验</x:v>
      </x:c>
      <x:c r="M2228" s="11" t="str">
        <x:v>截止日前日期，盘中时分未核</x:v>
      </x:c>
    </x:row>
    <x:row r="2229" ht="23" customHeight="1">
      <x:c r="A2229" s="11" t="str">
        <x:v>I072</x:v>
      </x:c>
      <x:c r="B2229" s="11" t="str">
        <x:v>00700.HK</x:v>
      </x:c>
      <x:c r="C2229" s="11" t="str">
        <x:v>nonIFRSProfitAttributableQ2CNYmillion</x:v>
      </x:c>
      <x:c r="D2229" s="39" t="n">
        <x:v>68415</x:v>
      </x:c>
      <x:c r="E2229" s="11" t="str">
        <x:v>CNY</x:v>
      </x:c>
      <x:c r="F2229" s="11" t="str">
        <x:v>million</x:v>
      </x:c>
      <x:c r="G2229" s="11" t="str">
        <x:v>2026H1 and Q2</x:v>
      </x:c>
      <x:c r="H2229" s="11" t="str">
        <x:v>2026-08-12季度业绩稿；2026年8月中报</x:v>
      </x:c>
      <x:c r="I2229" s="11" t="str">
        <x:v>https://www.tencent.com/wp-content/uploads/2026/08/Tencent-Announces-2026-Second-Quarter-Results.pdf</x:v>
      </x:c>
      <x:c r="J2229" s="11" t="str">
        <x:v>reported input</x:v>
      </x:c>
      <x:c r="K2229" s="11" t="str">
        <x:v>待核</x:v>
      </x:c>
      <x:c r="L2229" s="11" t="str">
        <x:v>精确发布时间未核验</x:v>
      </x:c>
      <x:c r="M2229" s="11" t="str">
        <x:v>截止日前日期，盘中时分未核</x:v>
      </x:c>
    </x:row>
    <x:row r="2230" ht="23" customHeight="1">
      <x:c r="A2230" s="11" t="str">
        <x:v>I072</x:v>
      </x:c>
      <x:c r="B2230" s="11" t="str">
        <x:v>00700.HK</x:v>
      </x:c>
      <x:c r="C2230" s="11" t="str">
        <x:v>nonIFRSDilutedEPSQ2CNY</x:v>
      </x:c>
      <x:c r="D2230" s="39" t="n">
        <x:v>7.433</x:v>
      </x:c>
      <x:c r="E2230" s="11" t="str">
        <x:v>CNY</x:v>
      </x:c>
      <x:c r="F2230" s="11" t="str">
        <x:v>per ordinary share</x:v>
      </x:c>
      <x:c r="G2230" s="11" t="str">
        <x:v>2026H1 and Q2</x:v>
      </x:c>
      <x:c r="H2230" s="11" t="str">
        <x:v>2026-08-12季度业绩稿；2026年8月中报</x:v>
      </x:c>
      <x:c r="I2230" s="11" t="str">
        <x:v>https://www.tencent.com/wp-content/uploads/2026/08/Tencent-Announces-2026-Second-Quarter-Results.pdf</x:v>
      </x:c>
      <x:c r="J2230" s="11" t="str">
        <x:v>reported input</x:v>
      </x:c>
      <x:c r="K2230" s="11" t="str">
        <x:v>待核</x:v>
      </x:c>
      <x:c r="L2230" s="11" t="str">
        <x:v>精确发布时间未核验</x:v>
      </x:c>
      <x:c r="M2230" s="11" t="str">
        <x:v>截止日前日期，盘中时分未核</x:v>
      </x:c>
    </x:row>
    <x:row r="2231" ht="23" customHeight="1">
      <x:c r="A2231" s="11" t="str">
        <x:v>I072</x:v>
      </x:c>
      <x:c r="B2231" s="11" t="str">
        <x:v>00700.HK</x:v>
      </x:c>
      <x:c r="C2231" s="11" t="str">
        <x:v>capexH1CNYmillion</x:v>
      </x:c>
      <x:c r="D2231" s="39" t="n">
        <x:v>84720</x:v>
      </x:c>
      <x:c r="E2231" s="11" t="str">
        <x:v>CNY</x:v>
      </x:c>
      <x:c r="F2231" s="11" t="str">
        <x:v>million</x:v>
      </x:c>
      <x:c r="G2231" s="11" t="str">
        <x:v>2026H1 and Q2</x:v>
      </x:c>
      <x:c r="H2231" s="11" t="str">
        <x:v>2026-08-12季度业绩稿；2026年8月中报</x:v>
      </x:c>
      <x:c r="I2231" s="11" t="str">
        <x:v>https://www.tencent.com/wp-content/uploads/2026/08/E700_IR.pdf</x:v>
      </x:c>
      <x:c r="J2231" s="11" t="str">
        <x:v>reported input</x:v>
      </x:c>
      <x:c r="K2231" s="11" t="str">
        <x:v>待核</x:v>
      </x:c>
      <x:c r="L2231" s="11" t="str">
        <x:v>精确发布时间未核验</x:v>
      </x:c>
      <x:c r="M2231" s="11" t="str">
        <x:v>截止日前日期，盘中时分未核</x:v>
      </x:c>
    </x:row>
    <x:row r="2232" ht="23" customHeight="1">
      <x:c r="A2232" s="11" t="str">
        <x:v>I072</x:v>
      </x:c>
      <x:c r="B2232" s="11" t="str">
        <x:v>00700.HK</x:v>
      </x:c>
      <x:c r="C2232" s="11" t="str">
        <x:v>capexQ2CNYmillion</x:v>
      </x:c>
      <x:c r="D2232" s="39" t="n">
        <x:v>52784</x:v>
      </x:c>
      <x:c r="E2232" s="11" t="str">
        <x:v>CNY</x:v>
      </x:c>
      <x:c r="F2232" s="11" t="str">
        <x:v>million</x:v>
      </x:c>
      <x:c r="G2232" s="11" t="str">
        <x:v>2026H1 and Q2</x:v>
      </x:c>
      <x:c r="H2232" s="11" t="str">
        <x:v>2026-08-12季度业绩稿；2026年8月中报</x:v>
      </x:c>
      <x:c r="I2232" s="11" t="str">
        <x:v>https://www.tencent.com/wp-content/uploads/2026/08/Tencent-Announces-2026-Second-Quarter-Results.pdf</x:v>
      </x:c>
      <x:c r="J2232" s="11" t="str">
        <x:v>reported input</x:v>
      </x:c>
      <x:c r="K2232" s="11" t="str">
        <x:v>待核</x:v>
      </x:c>
      <x:c r="L2232" s="11" t="str">
        <x:v>精确发布时间未核验</x:v>
      </x:c>
      <x:c r="M2232" s="11" t="str">
        <x:v>截止日前日期，盘中时分未核</x:v>
      </x:c>
    </x:row>
    <x:row r="2233" ht="23" customHeight="1">
      <x:c r="A2233" s="11" t="str">
        <x:v>I072</x:v>
      </x:c>
      <x:c r="B2233" s="11" t="str">
        <x:v>00700.HK</x:v>
      </x:c>
      <x:c r="C2233" s="11" t="str">
        <x:v>netCashAtJune30CNYmillion</x:v>
      </x:c>
      <x:c r="D2233" s="39" t="n">
        <x:v>58191</x:v>
      </x:c>
      <x:c r="E2233" s="11" t="str">
        <x:v>CNY</x:v>
      </x:c>
      <x:c r="F2233" s="11" t="str">
        <x:v>million</x:v>
      </x:c>
      <x:c r="G2233" s="11" t="str">
        <x:v>2026H1 and Q2</x:v>
      </x:c>
      <x:c r="H2233" s="11" t="str">
        <x:v>2026-08-12季度业绩稿；2026年8月中报</x:v>
      </x:c>
      <x:c r="I2233" s="11" t="str">
        <x:v>https://www.tencent.com/wp-content/uploads/2026/08/E700_IR.pdf</x:v>
      </x:c>
      <x:c r="J2233" s="11" t="str">
        <x:v>reported input</x:v>
      </x:c>
      <x:c r="K2233" s="11" t="str">
        <x:v>待核</x:v>
      </x:c>
      <x:c r="L2233" s="11" t="str">
        <x:v>精确发布时间未核验</x:v>
      </x:c>
      <x:c r="M2233" s="11" t="str">
        <x:v>截止日前日期，盘中时分未核</x:v>
      </x:c>
    </x:row>
    <x:row r="2234" ht="23" customHeight="1">
      <x:c r="A2234" s="11" t="str">
        <x:v>I072</x:v>
      </x:c>
      <x:c r="B2234" s="11" t="str">
        <x:v>00700.HK</x:v>
      </x:c>
      <x:c r="C2234" s="11" t="str">
        <x:v>FCFQ2CNYmillionRounded</x:v>
      </x:c>
      <x:c r="D2234" s="39" t="n">
        <x:v>-13800</x:v>
      </x:c>
      <x:c r="E2234" s="11" t="str">
        <x:v>CNY</x:v>
      </x:c>
      <x:c r="F2234" s="11" t="str">
        <x:v>million</x:v>
      </x:c>
      <x:c r="G2234" s="11" t="str">
        <x:v>2026H1 and Q2</x:v>
      </x:c>
      <x:c r="H2234" s="11" t="str">
        <x:v>2026-08-12季度业绩稿；2026年8月中报</x:v>
      </x:c>
      <x:c r="I2234" s="11" t="str">
        <x:v>https://www.tencent.com/wp-content/uploads/2026/08/Tencent-Announces-2026-Second-Quarter-Results.pdf</x:v>
      </x:c>
      <x:c r="J2234" s="11" t="str">
        <x:v>reported input</x:v>
      </x:c>
      <x:c r="K2234" s="11" t="str">
        <x:v>待核</x:v>
      </x:c>
      <x:c r="L2234" s="11" t="str">
        <x:v>精确发布时间未核验</x:v>
      </x:c>
      <x:c r="M2234" s="11" t="str">
        <x:v>截止日前日期，盘中时分未核</x:v>
      </x:c>
    </x:row>
    <x:row r="2235" ht="23" customHeight="1">
      <x:c r="A2235" s="11" t="str">
        <x:v>I072</x:v>
      </x:c>
      <x:c r="B2235" s="11" t="str">
        <x:v>00700.HK</x:v>
      </x:c>
      <x:c r="C2235" s="11" t="str">
        <x:v>FCFH1ResearchCNYmillionRounded</x:v>
      </x:c>
      <x:c r="D2235" s="39" t="n">
        <x:v>42900</x:v>
      </x:c>
      <x:c r="E2235" s="11" t="str">
        <x:v>CNY</x:v>
      </x:c>
      <x:c r="F2235" s="11" t="str">
        <x:v>million</x:v>
      </x:c>
      <x:c r="G2235" s="11" t="str">
        <x:v>2026H1 and Q2</x:v>
      </x:c>
      <x:c r="H2235" s="11" t="str">
        <x:v>2026-08-12季度业绩稿；2026年8月中报</x:v>
      </x:c>
      <x:c r="I2235" s="11" t="str">
        <x:v>https://www.tencent.com/wp-content/uploads/2026/08/Tencent-Announces-2026-Second-Quarter-Results.pdf</x:v>
      </x:c>
      <x:c r="J2235" s="11" t="str">
        <x:v>research calculation from quarterly rounded company disclosures</x:v>
      </x:c>
      <x:c r="K2235" s="11" t="str">
        <x:v>待核</x:v>
      </x:c>
      <x:c r="L2235" s="11" t="str">
        <x:v>精确发布时间未核验</x:v>
      </x:c>
      <x:c r="M2235" s="11" t="str">
        <x:v>截止日前日期，盘中时分未核</x:v>
      </x:c>
    </x:row>
    <x:row r="2236" ht="23" customHeight="1">
      <x:c r="A2236" s="11" t="str">
        <x:v>I077</x:v>
      </x:c>
      <x:c r="B2236" s="11" t="str">
        <x:v>09961.HK</x:v>
      </x:c>
      <x:c r="C2236" s="11" t="str">
        <x:v>revenueCNYmillionRounded</x:v>
      </x:c>
      <x:c r="D2236" s="39" t="n">
        <x:v>62400</x:v>
      </x:c>
      <x:c r="E2236" s="11" t="str">
        <x:v>CNY</x:v>
      </x:c>
      <x:c r="F2236" s="11" t="str">
        <x:v>million</x:v>
      </x:c>
      <x:c r="G2236" s="11" t="str">
        <x:v>FY2025</x:v>
      </x:c>
      <x:c r="H2236" s="11" t="str">
        <x:v>精确公开日期待核</x:v>
      </x:c>
      <x:c r="I2236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36" s="11" t="str">
        <x:v>reported input; field suffix retains original scale</x:v>
      </x:c>
      <x:c r="K2236" s="11" t="str">
        <x:v>待核</x:v>
      </x:c>
      <x:c r="L2236" s="11" t="str">
        <x:v>精确发布时间未核验</x:v>
      </x:c>
      <x:c r="M2236" s="11" t="str">
        <x:v>公开日期缺失待核</x:v>
      </x:c>
    </x:row>
    <x:row r="2237" ht="23" customHeight="1">
      <x:c r="A2237" s="11" t="str">
        <x:v>I077</x:v>
      </x:c>
      <x:c r="B2237" s="11" t="str">
        <x:v>09961.HK</x:v>
      </x:c>
      <x:c r="C2237" s="11" t="str">
        <x:v>nonGAAPProfitCNYmillionRounded</x:v>
      </x:c>
      <x:c r="D2237" s="39" t="n">
        <x:v>31800</x:v>
      </x:c>
      <x:c r="E2237" s="11" t="str">
        <x:v>CNY</x:v>
      </x:c>
      <x:c r="F2237" s="11" t="str">
        <x:v>million</x:v>
      </x:c>
      <x:c r="G2237" s="11" t="str">
        <x:v>FY2025</x:v>
      </x:c>
      <x:c r="H2237" s="11" t="str">
        <x:v>精确公开日期待核</x:v>
      </x:c>
      <x:c r="I2237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37" s="11" t="str">
        <x:v>reported input; field suffix retains original scale</x:v>
      </x:c>
      <x:c r="K2237" s="11" t="str">
        <x:v>待核</x:v>
      </x:c>
      <x:c r="L2237" s="11" t="str">
        <x:v>精确发布时间未核验</x:v>
      </x:c>
      <x:c r="M2237" s="11" t="str">
        <x:v>公开日期缺失待核</x:v>
      </x:c>
    </x:row>
    <x:row r="2238" ht="23" customHeight="1">
      <x:c r="A2238" s="11" t="str">
        <x:v>I077</x:v>
      </x:c>
      <x:c r="B2238" s="11" t="str">
        <x:v>09961.HK</x:v>
      </x:c>
      <x:c r="C2238" s="11" t="str">
        <x:v>nonGAAPDilutedEPSCNY</x:v>
      </x:c>
      <x:c r="D2238" s="39" t="n">
        <x:v>45.59</x:v>
      </x:c>
      <x:c r="E2238" s="11" t="str">
        <x:v>CNY</x:v>
      </x:c>
      <x:c r="F2238" s="11" t="str">
        <x:v>per ordinary share</x:v>
      </x:c>
      <x:c r="G2238" s="11" t="str">
        <x:v>FY2025</x:v>
      </x:c>
      <x:c r="H2238" s="11" t="str">
        <x:v>精确公开日期待核</x:v>
      </x:c>
      <x:c r="I2238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38" s="11" t="str">
        <x:v>reported input; field suffix retains original scale</x:v>
      </x:c>
      <x:c r="K2238" s="11" t="str">
        <x:v>待核</x:v>
      </x:c>
      <x:c r="L2238" s="11" t="str">
        <x:v>精确发布时间未核验</x:v>
      </x:c>
      <x:c r="M2238" s="11" t="str">
        <x:v>公开日期缺失待核</x:v>
      </x:c>
    </x:row>
    <x:row r="2239" ht="23" customHeight="1">
      <x:c r="A2239" s="11" t="str">
        <x:v>I077</x:v>
      </x:c>
      <x:c r="B2239" s="11" t="str">
        <x:v>09961.HK</x:v>
      </x:c>
      <x:c r="C2239" s="11" t="str">
        <x:v>otherInvestmentGainsIncludedCNYmillionRounded</x:v>
      </x:c>
      <x:c r="D2239" s="39" t="n">
        <x:v>15900</x:v>
      </x:c>
      <x:c r="E2239" s="11" t="str">
        <x:v>CNY</x:v>
      </x:c>
      <x:c r="F2239" s="11" t="str">
        <x:v>million</x:v>
      </x:c>
      <x:c r="G2239" s="11" t="str">
        <x:v>FY2025</x:v>
      </x:c>
      <x:c r="H2239" s="11" t="str">
        <x:v>精确公开日期待核</x:v>
      </x:c>
      <x:c r="I2239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39" s="11" t="str">
        <x:v>reported input; field suffix retains original scale</x:v>
      </x:c>
      <x:c r="K2239" s="11" t="str">
        <x:v>待核</x:v>
      </x:c>
      <x:c r="L2239" s="11" t="str">
        <x:v>精确发布时间未核验</x:v>
      </x:c>
      <x:c r="M2239" s="11" t="str">
        <x:v>公开日期缺失待核</x:v>
      </x:c>
    </x:row>
    <x:row r="2240" ht="23" customHeight="1">
      <x:c r="A2240" s="11" t="str">
        <x:v>I077</x:v>
      </x:c>
      <x:c r="B2240" s="11" t="str">
        <x:v>09961.HK</x:v>
      </x:c>
      <x:c r="C2240" s="11" t="str">
        <x:v>MakeMyTripDisposalGainCNYmillionRounded</x:v>
      </x:c>
      <x:c r="D2240" s="39" t="n">
        <x:v>15200</x:v>
      </x:c>
      <x:c r="E2240" s="11" t="str">
        <x:v>CNY</x:v>
      </x:c>
      <x:c r="F2240" s="11" t="str">
        <x:v>million</x:v>
      </x:c>
      <x:c r="G2240" s="11" t="str">
        <x:v>FY2025</x:v>
      </x:c>
      <x:c r="H2240" s="11" t="str">
        <x:v>精确公开日期待核</x:v>
      </x:c>
      <x:c r="I2240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40" s="11" t="str">
        <x:v>reported input; field suffix retains original scale</x:v>
      </x:c>
      <x:c r="K2240" s="11" t="str">
        <x:v>待核</x:v>
      </x:c>
      <x:c r="L2240" s="11" t="str">
        <x:v>精确发布时间未核验</x:v>
      </x:c>
      <x:c r="M2240" s="11" t="str">
        <x:v>公开日期缺失待核</x:v>
      </x:c>
    </x:row>
    <x:row r="2241" ht="23" customHeight="1">
      <x:c r="A2241" s="11" t="str">
        <x:v>I077</x:v>
      </x:c>
      <x:c r="B2241" s="11" t="str">
        <x:v>09961.HK</x:v>
      </x:c>
      <x:c r="C2241" s="11" t="str">
        <x:v>operatingCashFlowCNYmillion</x:v>
      </x:c>
      <x:c r="D2241" s="39" t="n">
        <x:v>14379</x:v>
      </x:c>
      <x:c r="E2241" s="11" t="str">
        <x:v>CNY</x:v>
      </x:c>
      <x:c r="F2241" s="11" t="str">
        <x:v>million</x:v>
      </x:c>
      <x:c r="G2241" s="11" t="str">
        <x:v>FY2025</x:v>
      </x:c>
      <x:c r="H2241" s="11" t="str">
        <x:v>精确公开日期待核</x:v>
      </x:c>
      <x:c r="I2241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41" s="11" t="str">
        <x:v>reported input; field suffix retains original scale</x:v>
      </x:c>
      <x:c r="K2241" s="11" t="str">
        <x:v>待核</x:v>
      </x:c>
      <x:c r="L2241" s="11" t="str">
        <x:v>精确发布时间未核验</x:v>
      </x:c>
      <x:c r="M2241" s="11" t="str">
        <x:v>公开日期缺失待核</x:v>
      </x:c>
    </x:row>
    <x:row r="2242" ht="23" customHeight="1">
      <x:c r="A2242" s="11" t="str">
        <x:v>I077</x:v>
      </x:c>
      <x:c r="B2242" s="11" t="str">
        <x:v>09961.HK</x:v>
      </x:c>
      <x:c r="C2242" s="11" t="str">
        <x:v>equipmentSoftwarePurchasesCNYmillion</x:v>
      </x:c>
      <x:c r="D2242" s="39" t="n">
        <x:v>797</x:v>
      </x:c>
      <x:c r="E2242" s="11" t="str">
        <x:v>CNY</x:v>
      </x:c>
      <x:c r="F2242" s="11" t="str">
        <x:v>million</x:v>
      </x:c>
      <x:c r="G2242" s="11" t="str">
        <x:v>FY2025</x:v>
      </x:c>
      <x:c r="H2242" s="11" t="str">
        <x:v>精确公开日期待核</x:v>
      </x:c>
      <x:c r="I2242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42" s="11" t="str">
        <x:v>reported input; field suffix retains original scale</x:v>
      </x:c>
      <x:c r="K2242" s="11" t="str">
        <x:v>待核</x:v>
      </x:c>
      <x:c r="L2242" s="11" t="str">
        <x:v>精确发布时间未核验</x:v>
      </x:c>
      <x:c r="M2242" s="11" t="str">
        <x:v>公开日期缺失待核</x:v>
      </x:c>
    </x:row>
    <x:row r="2243" ht="23" customHeight="1">
      <x:c r="A2243" s="11" t="str">
        <x:v>I077</x:v>
      </x:c>
      <x:c r="B2243" s="11" t="str">
        <x:v>09961.HK</x:v>
      </x:c>
      <x:c r="C2243" s="11" t="str">
        <x:v>FCFResearchProxyCNYmillion</x:v>
      </x:c>
      <x:c r="D2243" s="39" t="n">
        <x:v>13582</x:v>
      </x:c>
      <x:c r="E2243" s="11" t="str">
        <x:v>CNY</x:v>
      </x:c>
      <x:c r="F2243" s="11" t="str">
        <x:v>million</x:v>
      </x:c>
      <x:c r="G2243" s="11" t="str">
        <x:v>FY2025</x:v>
      </x:c>
      <x:c r="H2243" s="11" t="str">
        <x:v>精确公开日期待核</x:v>
      </x:c>
      <x:c r="I2243" s="11" t="str">
        <x:v>https://investors.trip.com/system/files-encrypted/nasdaq_kms/assets/2026/02/25/18-33-13/Trip.com%20Group%20Limited%20Reports%20Unaudited%20Fourth%20Quarter%20and%20Full%20Year%20of%202025%20Financial%20Results.pdf</x:v>
      </x:c>
      <x:c r="J2243" s="11" t="str">
        <x:v>research calculation from cited inputs</x:v>
      </x:c>
      <x:c r="K2243" s="11" t="str">
        <x:v>待核</x:v>
      </x:c>
      <x:c r="L2243" s="11" t="str">
        <x:v>精确发布时间未核验</x:v>
      </x:c>
      <x:c r="M2243" s="11" t="str">
        <x:v>公开日期缺失待核</x:v>
      </x:c>
    </x:row>
    <x:row r="2244" ht="23" customHeight="1">
      <x:c r="A2244" s="11" t="str">
        <x:v>I077</x:v>
      </x:c>
      <x:c r="B2244" s="11" t="str">
        <x:v>09961.HK</x:v>
      </x:c>
      <x:c r="C2244" s="11" t="str">
        <x:v>revenueH1CNYmillion</x:v>
      </x:c>
      <x:c r="D2244" s="39" t="n">
        <x:v>31871</x:v>
      </x:c>
      <x:c r="E2244" s="11" t="str">
        <x:v>CNY</x:v>
      </x:c>
      <x:c r="F2244" s="11" t="str">
        <x:v>million</x:v>
      </x:c>
      <x:c r="G2244" s="11" t="str">
        <x:v>2026H1 and Q2</x:v>
      </x:c>
      <x:c r="H2244" s="11" t="str">
        <x:v>2026-09-15 US date; earnings call 2026-09-16 HK 08:00</x:v>
      </x:c>
      <x:c r="I2244" s="11" t="str">
        <x:v>https://investors.trip.com/system/files-encrypted/nasdaq_kms/assets/2026/09/15/18-14-50/Form%206-K%202026%20Q2-EN.xlsx</x:v>
      </x:c>
      <x:c r="J2244" s="11" t="str">
        <x:v>reported input; field suffix retains original scale</x:v>
      </x:c>
      <x:c r="K2244" s="11" t="str">
        <x:v>待核</x:v>
      </x:c>
      <x:c r="L2244" s="11" t="str">
        <x:v>精确发布时间未核验</x:v>
      </x:c>
      <x:c r="M2244" s="11" t="str">
        <x:v>截止日前日期，盘中时分未核</x:v>
      </x:c>
    </x:row>
    <x:row r="2245" ht="23" customHeight="1">
      <x:c r="A2245" s="11" t="str">
        <x:v>I077</x:v>
      </x:c>
      <x:c r="B2245" s="11" t="str">
        <x:v>09961.HK</x:v>
      </x:c>
      <x:c r="C2245" s="11" t="str">
        <x:v>revenueQ2CNYmillion</x:v>
      </x:c>
      <x:c r="D2245" s="39" t="n">
        <x:v>15663</x:v>
      </x:c>
      <x:c r="E2245" s="11" t="str">
        <x:v>CNY</x:v>
      </x:c>
      <x:c r="F2245" s="11" t="str">
        <x:v>million</x:v>
      </x:c>
      <x:c r="G2245" s="11" t="str">
        <x:v>2026H1 and Q2</x:v>
      </x:c>
      <x:c r="H2245" s="11" t="str">
        <x:v>2026-09-15 US date; earnings call 2026-09-16 HK 08:00</x:v>
      </x:c>
      <x:c r="I2245" s="11" t="str">
        <x:v>https://investors.trip.com/system/files-encrypted/nasdaq_kms/assets/2026/09/15/18-14-50/Form%206-K%202026%20Q2-EN.xlsx</x:v>
      </x:c>
      <x:c r="J2245" s="11" t="str">
        <x:v>reported input; field suffix retains original scale</x:v>
      </x:c>
      <x:c r="K2245" s="11" t="str">
        <x:v>待核</x:v>
      </x:c>
      <x:c r="L2245" s="11" t="str">
        <x:v>精确发布时间未核验</x:v>
      </x:c>
      <x:c r="M2245" s="11" t="str">
        <x:v>截止日前日期，盘中时分未核</x:v>
      </x:c>
    </x:row>
    <x:row r="2246" ht="23" customHeight="1">
      <x:c r="A2246" s="11" t="str">
        <x:v>I077</x:v>
      </x:c>
      <x:c r="B2246" s="11" t="str">
        <x:v>09961.HK</x:v>
      </x:c>
      <x:c r="C2246" s="11" t="str">
        <x:v>gaapProfitAttributableH1CNYmillion</x:v>
      </x:c>
      <x:c r="D2246" s="39" t="n">
        <x:v>41</x:v>
      </x:c>
      <x:c r="E2246" s="11" t="str">
        <x:v>CNY</x:v>
      </x:c>
      <x:c r="F2246" s="11" t="str">
        <x:v>million</x:v>
      </x:c>
      <x:c r="G2246" s="11" t="str">
        <x:v>2026H1 and Q2</x:v>
      </x:c>
      <x:c r="H2246" s="11" t="str">
        <x:v>2026-09-15 US date; earnings call 2026-09-16 HK 08:00</x:v>
      </x:c>
      <x:c r="I2246" s="11" t="str">
        <x:v>https://investors.trip.com/system/files-encrypted/nasdaq_kms/assets/2026/09/15/18-14-50/Form%206-K%202026%20Q2-EN.xlsx</x:v>
      </x:c>
      <x:c r="J2246" s="11" t="str">
        <x:v>reported input; field suffix retains original scale</x:v>
      </x:c>
      <x:c r="K2246" s="11" t="str">
        <x:v>待核</x:v>
      </x:c>
      <x:c r="L2246" s="11" t="str">
        <x:v>精确发布时间未核验</x:v>
      </x:c>
      <x:c r="M2246" s="11" t="str">
        <x:v>截止日前日期，盘中时分未核</x:v>
      </x:c>
    </x:row>
    <x:row r="2247" ht="23" customHeight="1">
      <x:c r="A2247" s="11" t="str">
        <x:v>I077</x:v>
      </x:c>
      <x:c r="B2247" s="11" t="str">
        <x:v>09961.HK</x:v>
      </x:c>
      <x:c r="C2247" s="11" t="str">
        <x:v>nonGAAPProfitAttributableH1CNYmillion</x:v>
      </x:c>
      <x:c r="D2247" s="39" t="n">
        <x:v>8703</x:v>
      </x:c>
      <x:c r="E2247" s="11" t="str">
        <x:v>CNY</x:v>
      </x:c>
      <x:c r="F2247" s="11" t="str">
        <x:v>million</x:v>
      </x:c>
      <x:c r="G2247" s="11" t="str">
        <x:v>2026H1 and Q2</x:v>
      </x:c>
      <x:c r="H2247" s="11" t="str">
        <x:v>2026-09-15 US date; earnings call 2026-09-16 HK 08:00</x:v>
      </x:c>
      <x:c r="I2247" s="11" t="str">
        <x:v>https://investors.trip.com/system/files-encrypted/nasdaq_kms/assets/2026/09/15/18-14-50/Form%206-K%202026%20Q2-EN.xlsx</x:v>
      </x:c>
      <x:c r="J2247" s="11" t="str">
        <x:v>reported input; field suffix retains original scale</x:v>
      </x:c>
      <x:c r="K2247" s="11" t="str">
        <x:v>待核</x:v>
      </x:c>
      <x:c r="L2247" s="11" t="str">
        <x:v>精确发布时间未核验</x:v>
      </x:c>
      <x:c r="M2247" s="11" t="str">
        <x:v>截止日前日期，盘中时分未核</x:v>
      </x:c>
    </x:row>
    <x:row r="2248" ht="23" customHeight="1">
      <x:c r="A2248" s="11" t="str">
        <x:v>I077</x:v>
      </x:c>
      <x:c r="B2248" s="11" t="str">
        <x:v>09961.HK</x:v>
      </x:c>
      <x:c r="C2248" s="11" t="str">
        <x:v>nonGAAPDilutedEPSH1CNY</x:v>
      </x:c>
      <x:c r="D2248" s="39" t="n">
        <x:v>12.98</x:v>
      </x:c>
      <x:c r="E2248" s="11" t="str">
        <x:v>CNY</x:v>
      </x:c>
      <x:c r="F2248" s="11" t="str">
        <x:v>per ordinary share</x:v>
      </x:c>
      <x:c r="G2248" s="11" t="str">
        <x:v>2026H1 and Q2</x:v>
      </x:c>
      <x:c r="H2248" s="11" t="str">
        <x:v>2026-09-15 US date; earnings call 2026-09-16 HK 08:00</x:v>
      </x:c>
      <x:c r="I2248" s="11" t="str">
        <x:v>https://investors.trip.com/system/files-encrypted/nasdaq_kms/assets/2026/09/15/18-14-50/Form%206-K%202026%20Q2-EN.xlsx</x:v>
      </x:c>
      <x:c r="J2248" s="11" t="str">
        <x:v>reported input; field suffix retains original scale</x:v>
      </x:c>
      <x:c r="K2248" s="11" t="str">
        <x:v>待核</x:v>
      </x:c>
      <x:c r="L2248" s="11" t="str">
        <x:v>精确发布时间未核验</x:v>
      </x:c>
      <x:c r="M2248" s="11" t="str">
        <x:v>截止日前日期，盘中时分未核</x:v>
      </x:c>
    </x:row>
    <x:row r="2249" ht="23" customHeight="1">
      <x:c r="A2249" s="11" t="str">
        <x:v>I077</x:v>
      </x:c>
      <x:c r="B2249" s="11" t="str">
        <x:v>09961.HK</x:v>
      </x:c>
      <x:c r="C2249" s="11" t="str">
        <x:v>nonGAAPProfitQ2CNYmillion</x:v>
      </x:c>
      <x:c r="D2249" s="39" t="n">
        <x:v>4798</x:v>
      </x:c>
      <x:c r="E2249" s="11" t="str">
        <x:v>CNY</x:v>
      </x:c>
      <x:c r="F2249" s="11" t="str">
        <x:v>million</x:v>
      </x:c>
      <x:c r="G2249" s="11" t="str">
        <x:v>2026H1 and Q2</x:v>
      </x:c>
      <x:c r="H2249" s="11" t="str">
        <x:v>2026-09-15 US date; earnings call 2026-09-16 HK 08:00</x:v>
      </x:c>
      <x:c r="I2249" s="11" t="str">
        <x:v>https://investors.trip.com/system/files-encrypted/nasdaq_kms/assets/2026/09/15/18-14-50/Form%206-K%202026%20Q2-EN.xlsx</x:v>
      </x:c>
      <x:c r="J2249" s="11" t="str">
        <x:v>reported input; field suffix retains original scale</x:v>
      </x:c>
      <x:c r="K2249" s="11" t="str">
        <x:v>待核</x:v>
      </x:c>
      <x:c r="L2249" s="11" t="str">
        <x:v>精确发布时间未核验</x:v>
      </x:c>
      <x:c r="M2249" s="11" t="str">
        <x:v>截止日前日期，盘中时分未核</x:v>
      </x:c>
    </x:row>
    <x:row r="2250" ht="23" customHeight="1">
      <x:c r="A2250" s="11" t="str">
        <x:v>I077</x:v>
      </x:c>
      <x:c r="B2250" s="11" t="str">
        <x:v>09961.HK</x:v>
      </x:c>
      <x:c r="C2250" s="11" t="str">
        <x:v>nonGAAPDilutedEPSQ2CNY</x:v>
      </x:c>
      <x:c r="D2250" s="39" t="n">
        <x:v>7.27</x:v>
      </x:c>
      <x:c r="E2250" s="11" t="str">
        <x:v>CNY</x:v>
      </x:c>
      <x:c r="F2250" s="11" t="str">
        <x:v>per ordinary share</x:v>
      </x:c>
      <x:c r="G2250" s="11" t="str">
        <x:v>2026H1 and Q2</x:v>
      </x:c>
      <x:c r="H2250" s="11" t="str">
        <x:v>2026-09-15 US date; earnings call 2026-09-16 HK 08:00</x:v>
      </x:c>
      <x:c r="I2250" s="11" t="str">
        <x:v>https://investors.trip.com/system/files-encrypted/nasdaq_kms/assets/2026/09/15/18-14-50/Form%206-K%202026%20Q2-EN.xlsx</x:v>
      </x:c>
      <x:c r="J2250" s="11" t="str">
        <x:v>reported input; field suffix retains original scale</x:v>
      </x:c>
      <x:c r="K2250" s="11" t="str">
        <x:v>待核</x:v>
      </x:c>
      <x:c r="L2250" s="11" t="str">
        <x:v>精确发布时间未核验</x:v>
      </x:c>
      <x:c r="M2250" s="11" t="str">
        <x:v>截止日前日期，盘中时分未核</x:v>
      </x:c>
    </x:row>
    <x:row r="2251" ht="23" customHeight="1">
      <x:c r="A2251" s="11" t="str">
        <x:v>I077</x:v>
      </x:c>
      <x:c r="B2251" s="11" t="str">
        <x:v>09961.HK</x:v>
      </x:c>
      <x:c r="C2251" s="11" t="str">
        <x:v>adjustedEBITDAQ2CNYmillion</x:v>
      </x:c>
      <x:c r="D2251" s="39" t="n">
        <x:v>4565</x:v>
      </x:c>
      <x:c r="E2251" s="11" t="str">
        <x:v>CNY</x:v>
      </x:c>
      <x:c r="F2251" s="11" t="str">
        <x:v>million</x:v>
      </x:c>
      <x:c r="G2251" s="11" t="str">
        <x:v>2026H1 and Q2</x:v>
      </x:c>
      <x:c r="H2251" s="11" t="str">
        <x:v>2026-09-15 US date; earnings call 2026-09-16 HK 08:00</x:v>
      </x:c>
      <x:c r="I2251" s="11" t="str">
        <x:v>https://investors.trip.com/system/files-encrypted/nasdaq_kms/assets/2026/09/15/18-14-50/Form%206-K%202026%20Q2-EN.xlsx</x:v>
      </x:c>
      <x:c r="J2251" s="11" t="str">
        <x:v>reported input; field suffix retains original scale</x:v>
      </x:c>
      <x:c r="K2251" s="11" t="str">
        <x:v>待核</x:v>
      </x:c>
      <x:c r="L2251" s="11" t="str">
        <x:v>精确发布时间未核验</x:v>
      </x:c>
      <x:c r="M2251" s="11" t="str">
        <x:v>截止日前日期，盘中时分未核</x:v>
      </x:c>
    </x:row>
    <x:row r="2252" ht="23" customHeight="1">
      <x:c r="A2252" s="11" t="str">
        <x:v>I077</x:v>
      </x:c>
      <x:c r="B2252" s="11" t="str">
        <x:v>09961.HK</x:v>
      </x:c>
      <x:c r="C2252" s="11" t="str">
        <x:v>depreciationAmortizationQ2CNYmillion</x:v>
      </x:c>
      <x:c r="D2252" s="39" t="n">
        <x:v>200</x:v>
      </x:c>
      <x:c r="E2252" s="11" t="str">
        <x:v>CNY</x:v>
      </x:c>
      <x:c r="F2252" s="11" t="str">
        <x:v>million</x:v>
      </x:c>
      <x:c r="G2252" s="11" t="str">
        <x:v>2026H1 and Q2</x:v>
      </x:c>
      <x:c r="H2252" s="11" t="str">
        <x:v>2026-09-15 US date; earnings call 2026-09-16 HK 08:00</x:v>
      </x:c>
      <x:c r="I2252" s="11" t="str">
        <x:v>https://investors.trip.com/system/files-encrypted/nasdaq_kms/assets/2026/09/15/18-14-50/Form%206-K%202026%20Q2-EN.xlsx</x:v>
      </x:c>
      <x:c r="J2252" s="11" t="str">
        <x:v>reported input; field suffix retains original scale</x:v>
      </x:c>
      <x:c r="K2252" s="11" t="str">
        <x:v>待核</x:v>
      </x:c>
      <x:c r="L2252" s="11" t="str">
        <x:v>精确发布时间未核验</x:v>
      </x:c>
      <x:c r="M2252" s="11" t="str">
        <x:v>截止日前日期，盘中时分未核</x:v>
      </x:c>
    </x:row>
    <x:row r="2253" ht="23" customHeight="1">
      <x:c r="A2253" s="11" t="str">
        <x:v>I077</x:v>
      </x:c>
      <x:c r="B2253" s="11" t="str">
        <x:v>09961.HK</x:v>
      </x:c>
      <x:c r="C2253" s="11" t="str">
        <x:v>adjustedEBITQ2ResearchCNYmillion</x:v>
      </x:c>
      <x:c r="D2253" s="39" t="n">
        <x:v>4365</x:v>
      </x:c>
      <x:c r="E2253" s="11" t="str">
        <x:v>CNY</x:v>
      </x:c>
      <x:c r="F2253" s="11" t="str">
        <x:v>million</x:v>
      </x:c>
      <x:c r="G2253" s="11" t="str">
        <x:v>2026H1 and Q2</x:v>
      </x:c>
      <x:c r="H2253" s="11" t="str">
        <x:v>2026-09-15 US date; earnings call 2026-09-16 HK 08:00</x:v>
      </x:c>
      <x:c r="I2253" s="11" t="str">
        <x:v>https://investors.trip.com/system/files-encrypted/nasdaq_kms/assets/2026/09/15/18-14-50/Form%206-K%202026%20Q2-EN.xlsx</x:v>
      </x:c>
      <x:c r="J2253" s="11" t="str">
        <x:v>research calculation from cited inputs</x:v>
      </x:c>
      <x:c r="K2253" s="11" t="str">
        <x:v>待核</x:v>
      </x:c>
      <x:c r="L2253" s="11" t="str">
        <x:v>精确发布时间未核验</x:v>
      </x:c>
      <x:c r="M2253" s="11" t="str">
        <x:v>截止日前日期，盘中时分未核</x:v>
      </x:c>
    </x:row>
    <x:row r="2254" ht="23" customHeight="1">
      <x:c r="A2254" s="11" t="str">
        <x:v>I077</x:v>
      </x:c>
      <x:c r="B2254" s="11" t="str">
        <x:v>09961.HK</x:v>
      </x:c>
      <x:c r="C2254" s="11" t="str">
        <x:v>penaltyCNYmillion</x:v>
      </x:c>
      <x:c r="D2254" s="39" t="n">
        <x:v>5180</x:v>
      </x:c>
      <x:c r="E2254" s="11" t="str">
        <x:v>CNY</x:v>
      </x:c>
      <x:c r="F2254" s="11" t="str">
        <x:v>million</x:v>
      </x:c>
      <x:c r="G2254" s="11" t="str">
        <x:v>2026H1 and Q2</x:v>
      </x:c>
      <x:c r="H2254" s="11" t="str">
        <x:v>2026-09-15 US date; earnings call 2026-09-16 HK 08:00</x:v>
      </x:c>
      <x:c r="I2254" s="11" t="str">
        <x:v>https://investors.trip.com/system/files-encrypted/nasdaq_kms/assets/2026/09/15/18-14-50/Form%206-K%202026%20Q2-EN.xlsx</x:v>
      </x:c>
      <x:c r="J2254" s="11" t="str">
        <x:v>reported input; field suffix retains original scale</x:v>
      </x:c>
      <x:c r="K2254" s="11" t="str">
        <x:v>待核</x:v>
      </x:c>
      <x:c r="L2254" s="11" t="str">
        <x:v>精确发布时间未核验</x:v>
      </x:c>
      <x:c r="M2254" s="11" t="str">
        <x:v>截止日前日期，盘中时分未核</x:v>
      </x:c>
    </x:row>
    <x:row r="2255" ht="23" customHeight="1">
      <x:c r="A2255" s="11" t="str">
        <x:v>I077</x:v>
      </x:c>
      <x:c r="B2255" s="11" t="str">
        <x:v>09961.HK</x:v>
      </x:c>
      <x:c r="C2255" s="11" t="str">
        <x:v>cashIncludingRestrictedDepositsInvestmentsCNYmillion</x:v>
      </x:c>
      <x:c r="D2255" s="39" t="n">
        <x:v>100516</x:v>
      </x:c>
      <x:c r="E2255" s="11" t="str">
        <x:v>CNY</x:v>
      </x:c>
      <x:c r="F2255" s="11" t="str">
        <x:v>million</x:v>
      </x:c>
      <x:c r="G2255" s="11" t="str">
        <x:v>2026H1 and Q2</x:v>
      </x:c>
      <x:c r="H2255" s="11" t="str">
        <x:v>2026-09-15 US date; earnings call 2026-09-16 HK 08:00</x:v>
      </x:c>
      <x:c r="I2255" s="11" t="str">
        <x:v>https://investors.trip.com/system/files-encrypted/nasdaq_kms/assets/2026/09/15/18-14-50/Form%206-K%202026%20Q2-EN.xlsx</x:v>
      </x:c>
      <x:c r="J2255" s="11" t="str">
        <x:v>reported input; field suffix retains original scale</x:v>
      </x:c>
      <x:c r="K2255" s="11" t="str">
        <x:v>待核</x:v>
      </x:c>
      <x:c r="L2255" s="11" t="str">
        <x:v>精确发布时间未核验</x:v>
      </x:c>
      <x:c r="M2255" s="11" t="str">
        <x:v>截止日前日期，盘中时分未核</x:v>
      </x:c>
    </x:row>
    <x:row r="2256" ht="23" customHeight="1">
      <x:c r="A2256" s="11" t="str">
        <x:v>I077</x:v>
      </x:c>
      <x:c r="B2256" s="11" t="str">
        <x:v>09961.HK</x:v>
      </x:c>
      <x:c r="C2256" s="11" t="str">
        <x:v>cashIncludingRestrictedCNYmillion</x:v>
      </x:c>
      <x:c r="D2256" s="39" t="n">
        <x:v>56016</x:v>
      </x:c>
      <x:c r="E2256" s="11" t="str">
        <x:v>CNY</x:v>
      </x:c>
      <x:c r="F2256" s="11" t="str">
        <x:v>million</x:v>
      </x:c>
      <x:c r="G2256" s="11" t="str">
        <x:v>2026H1 and Q2</x:v>
      </x:c>
      <x:c r="H2256" s="11" t="str">
        <x:v>2026-09-15 US date; earnings call 2026-09-16 HK 08:00</x:v>
      </x:c>
      <x:c r="I2256" s="11" t="str">
        <x:v>https://investors.trip.com/system/files-encrypted/nasdaq_kms/assets/2026/09/15/18-14-50/Form%206-K%202026%20Q2-EN.xlsx</x:v>
      </x:c>
      <x:c r="J2256" s="11" t="str">
        <x:v>reported input; field suffix retains original scale</x:v>
      </x:c>
      <x:c r="K2256" s="11" t="str">
        <x:v>待核</x:v>
      </x:c>
      <x:c r="L2256" s="11" t="str">
        <x:v>精确发布时间未核验</x:v>
      </x:c>
      <x:c r="M2256" s="11" t="str">
        <x:v>截止日前日期，盘中时分未核</x:v>
      </x:c>
    </x:row>
    <x:row r="2257" ht="23" customHeight="1">
      <x:c r="A2257" s="11" t="str">
        <x:v>I077</x:v>
      </x:c>
      <x:c r="B2257" s="11" t="str">
        <x:v>09961.HK</x:v>
      </x:c>
      <x:c r="C2257" s="11" t="str">
        <x:v>interestBearingDebtCNYmillion</x:v>
      </x:c>
      <x:c r="D2257" s="39" t="n">
        <x:v>26397</x:v>
      </x:c>
      <x:c r="E2257" s="11" t="str">
        <x:v>CNY</x:v>
      </x:c>
      <x:c r="F2257" s="11" t="str">
        <x:v>million</x:v>
      </x:c>
      <x:c r="G2257" s="11" t="str">
        <x:v>2026H1 and Q2</x:v>
      </x:c>
      <x:c r="H2257" s="11" t="str">
        <x:v>2026-09-15 US date; earnings call 2026-09-16 HK 08:00</x:v>
      </x:c>
      <x:c r="I2257" s="11" t="str">
        <x:v>https://investors.trip.com/system/files-encrypted/nasdaq_kms/assets/2026/09/15/18-14-50/Form%206-K%202026%20Q2-EN.xlsx</x:v>
      </x:c>
      <x:c r="J2257" s="11" t="str">
        <x:v>reported input; field suffix retains original scale</x:v>
      </x:c>
      <x:c r="K2257" s="11" t="str">
        <x:v>待核</x:v>
      </x:c>
      <x:c r="L2257" s="11" t="str">
        <x:v>精确发布时间未核验</x:v>
      </x:c>
      <x:c r="M2257" s="11" t="str">
        <x:v>截止日前日期，盘中时分未核</x:v>
      </x:c>
    </x:row>
    <x:row r="2258" ht="23" customHeight="1">
      <x:c r="A2258" s="11" t="str">
        <x:v>I077</x:v>
      </x:c>
      <x:c r="B2258" s="11" t="str">
        <x:v>09961.HK</x:v>
      </x:c>
      <x:c r="C2258" s="11" t="str">
        <x:v>netLiquidityResearchCNYmillion</x:v>
      </x:c>
      <x:c r="D2258" s="39" t="n">
        <x:v>74119</x:v>
      </x:c>
      <x:c r="E2258" s="11" t="str">
        <x:v>CNY</x:v>
      </x:c>
      <x:c r="F2258" s="11" t="str">
        <x:v>million</x:v>
      </x:c>
      <x:c r="G2258" s="11" t="str">
        <x:v>2026H1 and Q2</x:v>
      </x:c>
      <x:c r="H2258" s="11" t="str">
        <x:v>2026-09-15 US date; earnings call 2026-09-16 HK 08:00</x:v>
      </x:c>
      <x:c r="I2258" s="11" t="str">
        <x:v>https://investors.trip.com/system/files-encrypted/nasdaq_kms/assets/2026/09/15/18-14-50/Form%206-K%202026%20Q2-EN.xlsx</x:v>
      </x:c>
      <x:c r="J2258" s="11" t="str">
        <x:v>research calculation from cited inputs</x:v>
      </x:c>
      <x:c r="K2258" s="11" t="str">
        <x:v>待核</x:v>
      </x:c>
      <x:c r="L2258" s="11" t="str">
        <x:v>精确发布时间未核验</x:v>
      </x:c>
      <x:c r="M2258" s="11" t="str">
        <x:v>截止日前日期，盘中时分未核</x:v>
      </x:c>
    </x:row>
    <x:row r="2259" ht="23" customHeight="1">
      <x:c r="A2259" s="11" t="str">
        <x:v>I077</x:v>
      </x:c>
      <x:c r="B2259" s="11" t="str">
        <x:v>09961.HK</x:v>
      </x:c>
      <x:c r="C2259" s="11" t="str">
        <x:v>dilutedSharesH1NonGAAP</x:v>
      </x:c>
      <x:c r="D2259" s="39" t="n">
        <x:v>670474047.501408</x:v>
      </x:c>
      <x:c r="E2259" s="11" t="str">
        <x:v>CNY</x:v>
      </x:c>
      <x:c r="F2259" s="11" t="str">
        <x:v>shares</x:v>
      </x:c>
      <x:c r="G2259" s="11" t="str">
        <x:v>2026H1 and Q2</x:v>
      </x:c>
      <x:c r="H2259" s="11" t="str">
        <x:v>2026-09-15 US date; earnings call 2026-09-16 HK 08:00</x:v>
      </x:c>
      <x:c r="I2259" s="11" t="str">
        <x:v>https://investors.trip.com/system/files-encrypted/nasdaq_kms/assets/2026/09/15/18-14-50/Form%206-K%202026%20Q2-EN.xlsx</x:v>
      </x:c>
      <x:c r="J2259" s="11" t="str">
        <x:v>research calculation from cited inputs</x:v>
      </x:c>
      <x:c r="K2259" s="11" t="str">
        <x:v>待核</x:v>
      </x:c>
      <x:c r="L2259" s="11" t="str">
        <x:v>精确发布时间未核验</x:v>
      </x:c>
      <x:c r="M2259" s="11" t="str">
        <x:v>截止日前日期，盘中时分未核</x:v>
      </x:c>
    </x:row>
    <x:row r="2260" ht="23" customHeight="1">
      <x:c r="A2260" s="11" t="str">
        <x:v>I077</x:v>
      </x:c>
      <x:c r="B2260" s="11" t="str">
        <x:v>09961.HK</x:v>
      </x:c>
      <x:c r="C2260" s="11" t="str">
        <x:v>dilutedSharesQ2NonGAAP</x:v>
      </x:c>
      <x:c r="D2260" s="39" t="n">
        <x:v>659356092.004572</x:v>
      </x:c>
      <x:c r="E2260" s="11" t="str">
        <x:v>CNY</x:v>
      </x:c>
      <x:c r="F2260" s="11" t="str">
        <x:v>shares</x:v>
      </x:c>
      <x:c r="G2260" s="11" t="str">
        <x:v>2026H1 and Q2</x:v>
      </x:c>
      <x:c r="H2260" s="11" t="str">
        <x:v>2026-09-15 US date; earnings call 2026-09-16 HK 08:00</x:v>
      </x:c>
      <x:c r="I2260" s="11" t="str">
        <x:v>https://investors.trip.com/system/files-encrypted/nasdaq_kms/assets/2026/09/15/18-14-50/Form%206-K%202026%20Q2-EN.xlsx</x:v>
      </x:c>
      <x:c r="J2260" s="11" t="str">
        <x:v>research calculation from cited inputs</x:v>
      </x:c>
      <x:c r="K2260" s="11" t="str">
        <x:v>待核</x:v>
      </x:c>
      <x:c r="L2260" s="11" t="str">
        <x:v>精确发布时间未核验</x:v>
      </x:c>
      <x:c r="M2260" s="11" t="str">
        <x:v>截止日前日期，盘中时分未核</x:v>
      </x:c>
    </x:row>
    <x:row r="2261" ht="23" customHeight="1">
      <x:c r="A2261" s="11" t="str">
        <x:v>I010</x:v>
      </x:c>
      <x:c r="B2261" s="11" t="str">
        <x:v>603259.SH</x:v>
      </x:c>
      <x:c r="C2261" s="11" t="str">
        <x:v>continuingRevenue2025H1</x:v>
      </x:c>
      <x:c r="D2261" s="39" t="n">
        <x:v>19525.5</x:v>
      </x:c>
      <x:c r="E2261" s="11" t="str">
        <x:v>CNY</x:v>
      </x:c>
      <x:c r="F2261" s="11" t="str">
        <x:v>million</x:v>
      </x:c>
      <x:c r="G2261" s="11" t="str">
        <x:v>2025H1</x:v>
      </x:c>
      <x:c r="H2261" s="11" t="str">
        <x:v>2026-09-04</x:v>
      </x:c>
      <x:c r="I2261" s="11" t="str">
        <x:v>https://iis.aastocks.com/20260904/12320378-0.PDF</x:v>
      </x:c>
      <x:c r="J2261" s="11" t="str">
        <x:v>2026H1无已终止业务销售；持续经营同比+48%、整体+38.9%不能混用；IFRS净利+33.7%vs经调整+83.2%，剥离及投资相关项拆分</x:v>
      </x:c>
      <x:c r="K2261" s="11" t="str">
        <x:v>待核</x:v>
      </x:c>
      <x:c r="L2261" s="11" t="str">
        <x:v>精确发布时间未核验</x:v>
      </x:c>
      <x:c r="M2261" s="11" t="str">
        <x:v>截止日前日期，盘中时分未核</x:v>
      </x:c>
    </x:row>
    <x:row r="2262" ht="23" customHeight="1">
      <x:c r="A2262" s="11" t="str">
        <x:v>I010</x:v>
      </x:c>
      <x:c r="B2262" s="11" t="str">
        <x:v>603259.SH</x:v>
      </x:c>
      <x:c r="C2262" s="11" t="str">
        <x:v>totalRevenue2025H1</x:v>
      </x:c>
      <x:c r="D2262" s="39" t="n">
        <x:v>20799.3</x:v>
      </x:c>
      <x:c r="E2262" s="11" t="str">
        <x:v>CNY</x:v>
      </x:c>
      <x:c r="F2262" s="11" t="str">
        <x:v>million</x:v>
      </x:c>
      <x:c r="G2262" s="11" t="str">
        <x:v>2025H1</x:v>
      </x:c>
      <x:c r="H2262" s="11" t="str">
        <x:v>2026-09-04</x:v>
      </x:c>
      <x:c r="I2262" s="11" t="str">
        <x:v>https://iis.aastocks.com/20260904/12320378-0.PDF</x:v>
      </x:c>
      <x:c r="J2262" s="11" t="str">
        <x:v>2026H1无已终止业务销售；持续经营同比+48%、整体+38.9%不能混用；IFRS净利+33.7%vs经调整+83.2%，剥离及投资相关项拆分</x:v>
      </x:c>
      <x:c r="K2262" s="11" t="str">
        <x:v>待核</x:v>
      </x:c>
      <x:c r="L2262" s="11" t="str">
        <x:v>精确发布时间未核验</x:v>
      </x:c>
      <x:c r="M2262" s="11" t="str">
        <x:v>截止日前日期，盘中时分未核</x:v>
      </x:c>
    </x:row>
    <x:row r="2263" ht="23" customHeight="1">
      <x:c r="A2263" s="11" t="str">
        <x:v>I010</x:v>
      </x:c>
      <x:c r="B2263" s="11" t="str">
        <x:v>603259.SH</x:v>
      </x:c>
      <x:c r="C2263" s="11" t="str">
        <x:v>chemistryRevenue</x:v>
      </x:c>
      <x:c r="D2263" s="39" t="n">
        <x:v>24986</x:v>
      </x:c>
      <x:c r="E2263" s="11" t="str">
        <x:v>CNY</x:v>
      </x:c>
      <x:c r="F2263" s="11" t="str">
        <x:v>million</x:v>
      </x:c>
      <x:c r="G2263" s="11" t="str">
        <x:v>2026H1</x:v>
      </x:c>
      <x:c r="H2263" s="11" t="str">
        <x:v>2026-09-04</x:v>
      </x:c>
      <x:c r="I2263" s="11" t="str">
        <x:v>https://iis.aastocks.com/20260904/12320378-0.PDF</x:v>
      </x:c>
      <x:c r="J2263" s="11" t="str">
        <x:v>2026H1无已终止业务销售；持续经营同比+48%、整体+38.9%不能混用；IFRS净利+33.7%vs经调整+83.2%，剥离及投资相关项拆分</x:v>
      </x:c>
      <x:c r="K2263" s="11" t="str">
        <x:v>待核</x:v>
      </x:c>
      <x:c r="L2263" s="11" t="str">
        <x:v>精确发布时间未核验</x:v>
      </x:c>
      <x:c r="M2263" s="11" t="str">
        <x:v>截止日前日期，盘中时分未核</x:v>
      </x:c>
    </x:row>
    <x:row r="2264" ht="23" customHeight="1">
      <x:c r="A2264" s="11" t="str">
        <x:v>I010</x:v>
      </x:c>
      <x:c r="B2264" s="11" t="str">
        <x:v>603259.SH</x:v>
      </x:c>
      <x:c r="C2264" s="11" t="str">
        <x:v>testingRevenue</x:v>
      </x:c>
      <x:c r="D2264" s="39" t="n">
        <x:v>2480.6</x:v>
      </x:c>
      <x:c r="E2264" s="11" t="str">
        <x:v>CNY</x:v>
      </x:c>
      <x:c r="F2264" s="11" t="str">
        <x:v>million</x:v>
      </x:c>
      <x:c r="G2264" s="11" t="str">
        <x:v>2026H1</x:v>
      </x:c>
      <x:c r="H2264" s="11" t="str">
        <x:v>2026-09-04</x:v>
      </x:c>
      <x:c r="I2264" s="11" t="str">
        <x:v>https://iis.aastocks.com/20260904/12320378-0.PDF</x:v>
      </x:c>
      <x:c r="J2264" s="11" t="str">
        <x:v>2026H1无已终止业务销售；持续经营同比+48%、整体+38.9%不能混用；IFRS净利+33.7%vs经调整+83.2%，剥离及投资相关项拆分</x:v>
      </x:c>
      <x:c r="K2264" s="11" t="str">
        <x:v>待核</x:v>
      </x:c>
      <x:c r="L2264" s="11" t="str">
        <x:v>精确发布时间未核验</x:v>
      </x:c>
      <x:c r="M2264" s="11" t="str">
        <x:v>截止日前日期，盘中时分未核</x:v>
      </x:c>
    </x:row>
    <x:row r="2265" ht="23" customHeight="1">
      <x:c r="A2265" s="11" t="str">
        <x:v>I010</x:v>
      </x:c>
      <x:c r="B2265" s="11" t="str">
        <x:v>603259.SH</x:v>
      </x:c>
      <x:c r="C2265" s="11" t="str">
        <x:v>biologyRevenue</x:v>
      </x:c>
      <x:c r="D2265" s="39" t="n">
        <x:v>1391.9</x:v>
      </x:c>
      <x:c r="E2265" s="11" t="str">
        <x:v>CNY</x:v>
      </x:c>
      <x:c r="F2265" s="11" t="str">
        <x:v>million</x:v>
      </x:c>
      <x:c r="G2265" s="11" t="str">
        <x:v>2026H1</x:v>
      </x:c>
      <x:c r="H2265" s="11" t="str">
        <x:v>2026-09-04</x:v>
      </x:c>
      <x:c r="I2265" s="11" t="str">
        <x:v>https://iis.aastocks.com/20260904/12320378-0.PDF</x:v>
      </x:c>
      <x:c r="J2265" s="11" t="str">
        <x:v>2026H1无已终止业务销售；持续经营同比+48%、整体+38.9%不能混用；IFRS净利+33.7%vs经调整+83.2%，剥离及投资相关项拆分</x:v>
      </x:c>
      <x:c r="K2265" s="11" t="str">
        <x:v>待核</x:v>
      </x:c>
      <x:c r="L2265" s="11" t="str">
        <x:v>精确发布时间未核验</x:v>
      </x:c>
      <x:c r="M2265" s="11" t="str">
        <x:v>截止日前日期，盘中时分未核</x:v>
      </x:c>
    </x:row>
    <x:row r="2266" ht="23" customHeight="1">
      <x:c r="A2266" s="11" t="str">
        <x:v>I010</x:v>
      </x:c>
      <x:c r="B2266" s="11" t="str">
        <x:v>603259.SH</x:v>
      </x:c>
      <x:c r="C2266" s="11" t="str">
        <x:v>TIDESRevenue</x:v>
      </x:c>
      <x:c r="D2266" s="39" t="n">
        <x:v>7260</x:v>
      </x:c>
      <x:c r="E2266" s="11" t="str">
        <x:v>CNY</x:v>
      </x:c>
      <x:c r="F2266" s="11" t="str">
        <x:v>million</x:v>
      </x:c>
      <x:c r="G2266" s="11" t="str">
        <x:v>2026H1</x:v>
      </x:c>
      <x:c r="H2266" s="11" t="str">
        <x:v>2026-09-04</x:v>
      </x:c>
      <x:c r="I2266" s="11" t="str">
        <x:v>https://iis.aastocks.com/20260904/12320378-0.PDF</x:v>
      </x:c>
      <x:c r="J2266" s="11" t="str">
        <x:v>2026H1无已终止业务销售；持续经营同比+48%、整体+38.9%不能混用；IFRS净利+33.7%vs经调整+83.2%，剥离及投资相关项拆分</x:v>
      </x:c>
      <x:c r="K2266" s="11" t="str">
        <x:v>待核</x:v>
      </x:c>
      <x:c r="L2266" s="11" t="str">
        <x:v>精确发布时间未核验</x:v>
      </x:c>
      <x:c r="M2266" s="11" t="str">
        <x:v>截止日前日期，盘中时分未核</x:v>
      </x:c>
    </x:row>
    <x:row r="2267" ht="23" customHeight="1">
      <x:c r="A2267" s="11" t="str">
        <x:v>I010</x:v>
      </x:c>
      <x:c r="B2267" s="11" t="str">
        <x:v>603259.SH</x:v>
      </x:c>
      <x:c r="C2267" s="11" t="str">
        <x:v>smallMoleculeDMRevenue</x:v>
      </x:c>
      <x:c r="D2267" s="39" t="n">
        <x:v>14990</x:v>
      </x:c>
      <x:c r="E2267" s="11" t="str">
        <x:v>CNY</x:v>
      </x:c>
      <x:c r="F2267" s="11" t="str">
        <x:v>million</x:v>
      </x:c>
      <x:c r="G2267" s="11" t="str">
        <x:v>2026H1</x:v>
      </x:c>
      <x:c r="H2267" s="11" t="str">
        <x:v>2026-09-04</x:v>
      </x:c>
      <x:c r="I2267" s="11" t="str">
        <x:v>https://iis.aastocks.com/20260904/12320378-0.PDF</x:v>
      </x:c>
      <x:c r="J2267" s="11" t="str">
        <x:v>2026H1无已终止业务销售；持续经营同比+48%、整体+38.9%不能混用；IFRS净利+33.7%vs经调整+83.2%，剥离及投资相关项拆分</x:v>
      </x:c>
      <x:c r="K2267" s="11" t="str">
        <x:v>待核</x:v>
      </x:c>
      <x:c r="L2267" s="11" t="str">
        <x:v>精确发布时间未核验</x:v>
      </x:c>
      <x:c r="M2267" s="11" t="str">
        <x:v>截止日前日期，盘中时分未核</x:v>
      </x:c>
    </x:row>
    <x:row r="2268" ht="23" customHeight="1">
      <x:c r="A2268" s="11" t="str">
        <x:v>I010</x:v>
      </x:c>
      <x:c r="B2268" s="11" t="str">
        <x:v>603259.SH</x:v>
      </x:c>
      <x:c r="C2268" s="11" t="str">
        <x:v>grossMarginPct</x:v>
      </x:c>
      <x:c r="D2268" s="39" t="n">
        <x:v>53.2</x:v>
      </x:c>
      <x:c r="E2268" s="11" t="str">
        <x:v>not monetary</x:v>
      </x:c>
      <x:c r="F2268" s="11" t="str">
        <x:v>percent</x:v>
      </x:c>
      <x:c r="G2268" s="11" t="str">
        <x:v>2026H1</x:v>
      </x:c>
      <x:c r="H2268" s="11" t="str">
        <x:v>2026-09-04</x:v>
      </x:c>
      <x:c r="I2268" s="11" t="str">
        <x:v>https://iis.aastocks.com/20260904/12320378-0.PDF</x:v>
      </x:c>
      <x:c r="J2268" s="11" t="str">
        <x:v>2026H1无已终止业务销售；持续经营同比+48%、整体+38.9%不能混用；IFRS净利+33.7%vs经调整+83.2%，剥离及投资相关项拆分</x:v>
      </x:c>
      <x:c r="K2268" s="11" t="str">
        <x:v>待核</x:v>
      </x:c>
      <x:c r="L2268" s="11" t="str">
        <x:v>精确发布时间未核验</x:v>
      </x:c>
      <x:c r="M2268" s="11" t="str">
        <x:v>截止日前日期，盘中时分未核</x:v>
      </x:c>
    </x:row>
    <x:row r="2269" ht="23" customHeight="1">
      <x:c r="A2269" s="11" t="str">
        <x:v>I010</x:v>
      </x:c>
      <x:c r="B2269" s="11" t="str">
        <x:v>603259.SH</x:v>
      </x:c>
      <x:c r="C2269" s="11" t="str">
        <x:v>dilutedIFRSEPS</x:v>
      </x:c>
      <x:c r="D2269" s="39" t="n">
        <x:v>3.76</x:v>
      </x:c>
      <x:c r="E2269" s="11" t="str">
        <x:v>CNY</x:v>
      </x:c>
      <x:c r="F2269" s="11" t="str">
        <x:v>per ordinary share</x:v>
      </x:c>
      <x:c r="G2269" s="11" t="str">
        <x:v>2026H1</x:v>
      </x:c>
      <x:c r="H2269" s="11" t="str">
        <x:v>2026-09-04</x:v>
      </x:c>
      <x:c r="I2269" s="11" t="str">
        <x:v>https://iis.aastocks.com/20260904/12320378-0.PDF</x:v>
      </x:c>
      <x:c r="J2269" s="11" t="str">
        <x:v>2026H1无已终止业务销售；持续经营同比+48%、整体+38.9%不能混用；IFRS净利+33.7%vs经调整+83.2%，剥离及投资相关项拆分</x:v>
      </x:c>
      <x:c r="K2269" s="11" t="str">
        <x:v>待核</x:v>
      </x:c>
      <x:c r="L2269" s="11" t="str">
        <x:v>精确发布时间未核验</x:v>
      </x:c>
      <x:c r="M2269" s="11" t="str">
        <x:v>截止日前日期，盘中时分未核</x:v>
      </x:c>
    </x:row>
    <x:row r="2270" ht="23" customHeight="1">
      <x:c r="A2270" s="11" t="str">
        <x:v>I010</x:v>
      </x:c>
      <x:c r="B2270" s="11" t="str">
        <x:v>603259.SH</x:v>
      </x:c>
      <x:c r="C2270" s="11" t="str">
        <x:v>dilutedAdjustedEPS</x:v>
      </x:c>
      <x:c r="D2270" s="39" t="n">
        <x:v>3.92</x:v>
      </x:c>
      <x:c r="E2270" s="11" t="str">
        <x:v>CNY</x:v>
      </x:c>
      <x:c r="F2270" s="11" t="str">
        <x:v>per ordinary share</x:v>
      </x:c>
      <x:c r="G2270" s="11" t="str">
        <x:v>2026H1</x:v>
      </x:c>
      <x:c r="H2270" s="11" t="str">
        <x:v>2026-09-04</x:v>
      </x:c>
      <x:c r="I2270" s="11" t="str">
        <x:v>https://iis.aastocks.com/20260904/12320378-0.PDF</x:v>
      </x:c>
      <x:c r="J2270" s="11" t="str">
        <x:v>2026H1无已终止业务销售；持续经营同比+48%、整体+38.9%不能混用；IFRS净利+33.7%vs经调整+83.2%，剥离及投资相关项拆分</x:v>
      </x:c>
      <x:c r="K2270" s="11" t="str">
        <x:v>待核</x:v>
      </x:c>
      <x:c r="L2270" s="11" t="str">
        <x:v>精确发布时间未核验</x:v>
      </x:c>
      <x:c r="M2270" s="11" t="str">
        <x:v>截止日前日期，盘中时分未核</x:v>
      </x:c>
    </x:row>
    <x:row r="2271" ht="23" customHeight="1">
      <x:c r="A2271" s="11" t="str">
        <x:v>I010</x:v>
      </x:c>
      <x:c r="B2271" s="11" t="str">
        <x:v>603259.SH</x:v>
      </x:c>
      <x:c r="C2271" s="11" t="str">
        <x:v>OCF</x:v>
      </x:c>
      <x:c r="D2271" s="39" t="n">
        <x:v>9311.038</x:v>
      </x:c>
      <x:c r="E2271" s="11" t="str">
        <x:v>CNY</x:v>
      </x:c>
      <x:c r="F2271" s="11" t="str">
        <x:v>million</x:v>
      </x:c>
      <x:c r="G2271" s="11" t="str">
        <x:v>2026H1</x:v>
      </x:c>
      <x:c r="H2271" s="11" t="str">
        <x:v>2026-09-04</x:v>
      </x:c>
      <x:c r="I2271" s="11" t="str">
        <x:v>https://iis.aastocks.com/20260904/12320378-0.PDF</x:v>
      </x:c>
      <x:c r="J2271" s="11" t="str">
        <x:v>2026H1无已终止业务销售；持续经营同比+48%、整体+38.9%不能混用；IFRS净利+33.7%vs经调整+83.2%，剥离及投资相关项拆分</x:v>
      </x:c>
      <x:c r="K2271" s="11" t="str">
        <x:v>待核</x:v>
      </x:c>
      <x:c r="L2271" s="11" t="str">
        <x:v>精确发布时间未核验</x:v>
      </x:c>
      <x:c r="M2271" s="11" t="str">
        <x:v>截止日前日期，盘中时分未核</x:v>
      </x:c>
    </x:row>
    <x:row r="2272" ht="23" customHeight="1">
      <x:c r="A2272" s="11" t="str">
        <x:v>I010</x:v>
      </x:c>
      <x:c r="B2272" s="11" t="str">
        <x:v>603259.SH</x:v>
      </x:c>
      <x:c r="C2272" s="11" t="str">
        <x:v>capex</x:v>
      </x:c>
      <x:c r="D2272" s="39" t="n">
        <x:v>2961.559</x:v>
      </x:c>
      <x:c r="E2272" s="11" t="str">
        <x:v>CNY</x:v>
      </x:c>
      <x:c r="F2272" s="11" t="str">
        <x:v>million</x:v>
      </x:c>
      <x:c r="G2272" s="11" t="str">
        <x:v>2026H1</x:v>
      </x:c>
      <x:c r="H2272" s="11" t="str">
        <x:v>2026-09-04</x:v>
      </x:c>
      <x:c r="I2272" s="11" t="str">
        <x:v>https://iis.aastocks.com/20260904/12320378-0.PDF</x:v>
      </x:c>
      <x:c r="J2272" s="11" t="str">
        <x:v>2026H1无已终止业务销售；持续经营同比+48%、整体+38.9%不能混用；IFRS净利+33.7%vs经调整+83.2%，剥离及投资相关项拆分</x:v>
      </x:c>
      <x:c r="K2272" s="11" t="str">
        <x:v>待核</x:v>
      </x:c>
      <x:c r="L2272" s="11" t="str">
        <x:v>精确发布时间未核验</x:v>
      </x:c>
      <x:c r="M2272" s="11" t="str">
        <x:v>截止日前日期，盘中时分未核</x:v>
      </x:c>
    </x:row>
    <x:row r="2273" ht="23" customHeight="1">
      <x:c r="A2273" s="11" t="str">
        <x:v>I010</x:v>
      </x:c>
      <x:c r="B2273" s="11" t="str">
        <x:v>603259.SH</x:v>
      </x:c>
      <x:c r="C2273" s="11" t="str">
        <x:v>FCF</x:v>
      </x:c>
      <x:c r="D2273" s="39" t="n">
        <x:v>6349.479</x:v>
      </x:c>
      <x:c r="E2273" s="11" t="str">
        <x:v>CNY</x:v>
      </x:c>
      <x:c r="F2273" s="11" t="str">
        <x:v>million</x:v>
      </x:c>
      <x:c r="G2273" s="11" t="str">
        <x:v>2026H1</x:v>
      </x:c>
      <x:c r="H2273" s="11" t="str">
        <x:v>2026-09-04</x:v>
      </x:c>
      <x:c r="I2273" s="11" t="str">
        <x:v>https://iis.aastocks.com/20260904/12320378-0.PDF</x:v>
      </x:c>
      <x:c r="J2273" s="11" t="str">
        <x:v>2026H1无已终止业务销售；持续经营同比+48%、整体+38.9%不能混用；IFRS净利+33.7%vs经调整+83.2%，剥离及投资相关项拆分</x:v>
      </x:c>
      <x:c r="K2273" s="11" t="str">
        <x:v>待核</x:v>
      </x:c>
      <x:c r="L2273" s="11" t="str">
        <x:v>精确发布时间未核验</x:v>
      </x:c>
      <x:c r="M2273" s="11" t="str">
        <x:v>截止日前日期，盘中时分未核</x:v>
      </x:c>
    </x:row>
    <x:row r="2274" ht="23" customHeight="1">
      <x:c r="A2274" s="11" t="str">
        <x:v>I010</x:v>
      </x:c>
      <x:c r="B2274" s="11" t="str">
        <x:v>603259.SH</x:v>
      </x:c>
      <x:c r="C2274" s="11" t="str">
        <x:v>adjustedFCF</x:v>
      </x:c>
      <x:c r="D2274" s="39" t="n">
        <x:v>7020.9</x:v>
      </x:c>
      <x:c r="E2274" s="11" t="str">
        <x:v>CNY</x:v>
      </x:c>
      <x:c r="F2274" s="11" t="str">
        <x:v>million</x:v>
      </x:c>
      <x:c r="G2274" s="11" t="str">
        <x:v>2026H1</x:v>
      </x:c>
      <x:c r="H2274" s="11" t="str">
        <x:v>2026-09-04</x:v>
      </x:c>
      <x:c r="I2274" s="11" t="str">
        <x:v>https://iis.aastocks.com/20260904/12320378-0.PDF</x:v>
      </x:c>
      <x:c r="J2274" s="11" t="str">
        <x:v>2026H1无已终止业务销售；持续经营同比+48%、整体+38.9%不能混用；IFRS净利+33.7%vs经调整+83.2%，剥离及投资相关项拆分</x:v>
      </x:c>
      <x:c r="K2274" s="11" t="str">
        <x:v>待核</x:v>
      </x:c>
      <x:c r="L2274" s="11" t="str">
        <x:v>精确发布时间未核验</x:v>
      </x:c>
      <x:c r="M2274" s="11" t="str">
        <x:v>截止日前日期，盘中时分未核</x:v>
      </x:c>
    </x:row>
    <x:row r="2275" ht="23" customHeight="1">
      <x:c r="A2275" s="11" t="str">
        <x:v>I010</x:v>
      </x:c>
      <x:c r="B2275" s="11" t="str">
        <x:v>603259.SH</x:v>
      </x:c>
      <x:c r="C2275" s="11" t="str">
        <x:v>adjustedFCFTaxAddback</x:v>
      </x:c>
      <x:c r="D2275" s="39" t="n">
        <x:v>671.5</x:v>
      </x:c>
      <x:c r="E2275" s="11" t="str">
        <x:v>CNY</x:v>
      </x:c>
      <x:c r="F2275" s="11" t="str">
        <x:v>million</x:v>
      </x:c>
      <x:c r="G2275" s="11" t="str">
        <x:v>2026H1</x:v>
      </x:c>
      <x:c r="H2275" s="11" t="str">
        <x:v>2026-09-04</x:v>
      </x:c>
      <x:c r="I2275" s="11" t="str">
        <x:v>https://iis.aastocks.com/20260904/12320378-0.PDF</x:v>
      </x:c>
      <x:c r="J2275" s="11" t="str">
        <x:v>2026H1无已终止业务销售；持续经营同比+48%、整体+38.9%不能混用；IFRS净利+33.7%vs经调整+83.2%，剥离及投资相关项拆分</x:v>
      </x:c>
      <x:c r="K2275" s="11" t="str">
        <x:v>待核</x:v>
      </x:c>
      <x:c r="L2275" s="11" t="str">
        <x:v>精确发布时间未核验</x:v>
      </x:c>
      <x:c r="M2275" s="11" t="str">
        <x:v>截止日前日期，盘中时分未核</x:v>
      </x:c>
    </x:row>
    <x:row r="2276" ht="23" customHeight="1">
      <x:c r="A2276" s="11" t="str">
        <x:v>I010</x:v>
      </x:c>
      <x:c r="B2276" s="11" t="str">
        <x:v>603259.SH</x:v>
      </x:c>
      <x:c r="C2276" s="11" t="str">
        <x:v>cash</x:v>
      </x:c>
      <x:c r="D2276" s="39" t="n">
        <x:v>26953.584</x:v>
      </x:c>
      <x:c r="E2276" s="11" t="str">
        <x:v>CNY</x:v>
      </x:c>
      <x:c r="F2276" s="11" t="str">
        <x:v>million</x:v>
      </x:c>
      <x:c r="G2276" s="11" t="str">
        <x:v>2026H1</x:v>
      </x:c>
      <x:c r="H2276" s="11" t="str">
        <x:v>2026-09-04</x:v>
      </x:c>
      <x:c r="I2276" s="11" t="str">
        <x:v>https://iis.aastocks.com/20260904/12320378-0.PDF</x:v>
      </x:c>
      <x:c r="J2276" s="11" t="str">
        <x:v>2026H1无已终止业务销售；持续经营同比+48%、整体+38.9%不能混用；IFRS净利+33.7%vs经调整+83.2%，剥离及投资相关项拆分</x:v>
      </x:c>
      <x:c r="K2276" s="11" t="str">
        <x:v>待核</x:v>
      </x:c>
      <x:c r="L2276" s="11" t="str">
        <x:v>精确发布时间未核验</x:v>
      </x:c>
      <x:c r="M2276" s="11" t="str">
        <x:v>截止日前日期，盘中时分未核</x:v>
      </x:c>
    </x:row>
    <x:row r="2277" ht="23" customHeight="1">
      <x:c r="A2277" s="11" t="str">
        <x:v>I010</x:v>
      </x:c>
      <x:c r="B2277" s="11" t="str">
        <x:v>603259.SH</x:v>
      </x:c>
      <x:c r="C2277" s="11" t="str">
        <x:v>bankDebt</x:v>
      </x:c>
      <x:c r="D2277" s="39" t="n">
        <x:v>7981.2</x:v>
      </x:c>
      <x:c r="E2277" s="11" t="str">
        <x:v>CNY</x:v>
      </x:c>
      <x:c r="F2277" s="11" t="str">
        <x:v>million</x:v>
      </x:c>
      <x:c r="G2277" s="11" t="str">
        <x:v>2026H1</x:v>
      </x:c>
      <x:c r="H2277" s="11" t="str">
        <x:v>2026-09-04</x:v>
      </x:c>
      <x:c r="I2277" s="11" t="str">
        <x:v>https://iis.aastocks.com/20260904/12320378-0.PDF</x:v>
      </x:c>
      <x:c r="J2277" s="11" t="str">
        <x:v>2026H1无已终止业务销售；持续经营同比+48%、整体+38.9%不能混用；IFRS净利+33.7%vs经调整+83.2%，剥离及投资相关项拆分</x:v>
      </x:c>
      <x:c r="K2277" s="11" t="str">
        <x:v>待核</x:v>
      </x:c>
      <x:c r="L2277" s="11" t="str">
        <x:v>精确发布时间未核验</x:v>
      </x:c>
      <x:c r="M2277" s="11" t="str">
        <x:v>截止日前日期，盘中时分未核</x:v>
      </x:c>
    </x:row>
    <x:row r="2278" ht="23" customHeight="1">
      <x:c r="A2278" s="11" t="str">
        <x:v>I010</x:v>
      </x:c>
      <x:c r="B2278" s="11" t="str">
        <x:v>603259.SH</x:v>
      </x:c>
      <x:c r="C2278" s="11" t="str">
        <x:v>convertibleDebtLiability</x:v>
      </x:c>
      <x:c r="D2278" s="39" t="n">
        <x:v>6585.807</x:v>
      </x:c>
      <x:c r="E2278" s="11" t="str">
        <x:v>CNY</x:v>
      </x:c>
      <x:c r="F2278" s="11" t="str">
        <x:v>million</x:v>
      </x:c>
      <x:c r="G2278" s="11" t="str">
        <x:v>2026H1</x:v>
      </x:c>
      <x:c r="H2278" s="11" t="str">
        <x:v>2026-09-04</x:v>
      </x:c>
      <x:c r="I2278" s="11" t="str">
        <x:v>https://iis.aastocks.com/20260904/12320378-0.PDF</x:v>
      </x:c>
      <x:c r="J2278" s="11" t="str">
        <x:v>2026H1无已终止业务销售；持续经营同比+48%、整体+38.9%不能混用；IFRS净利+33.7%vs经调整+83.2%，剥离及投资相关项拆分</x:v>
      </x:c>
      <x:c r="K2278" s="11" t="str">
        <x:v>待核</x:v>
      </x:c>
      <x:c r="L2278" s="11" t="str">
        <x:v>精确发布时间未核验</x:v>
      </x:c>
      <x:c r="M2278" s="11" t="str">
        <x:v>截止日前日期，盘中时分未核</x:v>
      </x:c>
    </x:row>
    <x:row r="2279" ht="23" customHeight="1">
      <x:c r="A2279" s="11" t="str">
        <x:v>I010</x:v>
      </x:c>
      <x:c r="B2279" s="11" t="str">
        <x:v>603259.SH</x:v>
      </x:c>
      <x:c r="C2279" s="11" t="str">
        <x:v>totalLiabilities</x:v>
      </x:c>
      <x:c r="D2279" s="39" t="n">
        <x:v>32378.6</x:v>
      </x:c>
      <x:c r="E2279" s="11" t="str">
        <x:v>CNY</x:v>
      </x:c>
      <x:c r="F2279" s="11" t="str">
        <x:v>million</x:v>
      </x:c>
      <x:c r="G2279" s="11" t="str">
        <x:v>2026H1</x:v>
      </x:c>
      <x:c r="H2279" s="11" t="str">
        <x:v>2026-09-04</x:v>
      </x:c>
      <x:c r="I2279" s="11" t="str">
        <x:v>https://iis.aastocks.com/20260904/12320378-0.PDF</x:v>
      </x:c>
      <x:c r="J2279" s="11" t="str">
        <x:v>2026H1无已终止业务销售；持续经营同比+48%、整体+38.9%不能混用；IFRS净利+33.7%vs经调整+83.2%，剥离及投资相关项拆分</x:v>
      </x:c>
      <x:c r="K2279" s="11" t="str">
        <x:v>待核</x:v>
      </x:c>
      <x:c r="L2279" s="11" t="str">
        <x:v>精确发布时间未核验</x:v>
      </x:c>
      <x:c r="M2279" s="11" t="str">
        <x:v>截止日前日期，盘中时分未核</x:v>
      </x:c>
    </x:row>
    <x:row r="2280" ht="23" customHeight="1">
      <x:c r="A2280" s="11" t="str">
        <x:v>I010</x:v>
      </x:c>
      <x:c r="B2280" s="11" t="str">
        <x:v>603259.SH</x:v>
      </x:c>
      <x:c r="C2280" s="11" t="str">
        <x:v>backlog</x:v>
      </x:c>
      <x:c r="D2280" s="39" t="n">
        <x:v>66430</x:v>
      </x:c>
      <x:c r="E2280" s="11" t="str">
        <x:v>CNY</x:v>
      </x:c>
      <x:c r="F2280" s="11" t="str">
        <x:v>million</x:v>
      </x:c>
      <x:c r="G2280" s="11" t="str">
        <x:v>2026H1</x:v>
      </x:c>
      <x:c r="H2280" s="11" t="str">
        <x:v>2026-09-04</x:v>
      </x:c>
      <x:c r="I2280" s="11" t="str">
        <x:v>https://iis.aastocks.com/20260904/12320378-0.PDF</x:v>
      </x:c>
      <x:c r="J2280" s="11" t="str">
        <x:v>2026H1无已终止业务销售；持续经营同比+48%、整体+38.9%不能混用；IFRS净利+33.7%vs经调整+83.2%，剥离及投资相关项拆分</x:v>
      </x:c>
      <x:c r="K2280" s="11" t="str">
        <x:v>待核</x:v>
      </x:c>
      <x:c r="L2280" s="11" t="str">
        <x:v>精确发布时间未核验</x:v>
      </x:c>
      <x:c r="M2280" s="11" t="str">
        <x:v>截止日前日期，盘中时分未核</x:v>
      </x:c>
    </x:row>
    <x:row r="2281" ht="23" customHeight="1">
      <x:c r="A2281" s="11" t="str">
        <x:v>I010</x:v>
      </x:c>
      <x:c r="B2281" s="11" t="str">
        <x:v>603259.SH</x:v>
      </x:c>
      <x:c r="C2281" s="11" t="str">
        <x:v>backlogYOYPct</x:v>
      </x:c>
      <x:c r="D2281" s="39" t="n">
        <x:v>25.2</x:v>
      </x:c>
      <x:c r="E2281" s="11" t="str">
        <x:v>not monetary</x:v>
      </x:c>
      <x:c r="F2281" s="11" t="str">
        <x:v>percent</x:v>
      </x:c>
      <x:c r="G2281" s="11" t="str">
        <x:v>2026H1</x:v>
      </x:c>
      <x:c r="H2281" s="11" t="str">
        <x:v>2026-09-04</x:v>
      </x:c>
      <x:c r="I2281" s="11" t="str">
        <x:v>https://iis.aastocks.com/20260904/12320378-0.PDF</x:v>
      </x:c>
      <x:c r="J2281" s="11" t="str">
        <x:v>2026H1无已终止业务销售；持续经营同比+48%、整体+38.9%不能混用；IFRS净利+33.7%vs经调整+83.2%，剥离及投资相关项拆分</x:v>
      </x:c>
      <x:c r="K2281" s="11" t="str">
        <x:v>待核</x:v>
      </x:c>
      <x:c r="L2281" s="11" t="str">
        <x:v>精确发布时间未核验</x:v>
      </x:c>
      <x:c r="M2281" s="11" t="str">
        <x:v>截止日前日期，盘中时分未核</x:v>
      </x:c>
    </x:row>
    <x:row r="2282" ht="23" customHeight="1">
      <x:c r="A2282" s="11" t="str">
        <x:v>I010</x:v>
      </x:c>
      <x:c r="B2282" s="11" t="str">
        <x:v>603259.SH</x:v>
      </x:c>
      <x:c r="C2282" s="11" t="str">
        <x:v>chemistryMolecules</x:v>
      </x:c>
      <x:c r="D2282" s="39" t="n">
        <x:v>3731</x:v>
      </x:c>
      <x:c r="E2282" s="11" t="str">
        <x:v>not monetary</x:v>
      </x:c>
      <x:c r="F2282" s="11" t="str">
        <x:v>count</x:v>
      </x:c>
      <x:c r="G2282" s="11" t="str">
        <x:v>2026H1</x:v>
      </x:c>
      <x:c r="H2282" s="11" t="str">
        <x:v>2026-09-04</x:v>
      </x:c>
      <x:c r="I2282" s="11" t="str">
        <x:v>https://iis.aastocks.com/20260904/12320378-0.PDF</x:v>
      </x:c>
      <x:c r="J2282" s="11" t="str">
        <x:v>2026H1无已终止业务销售；持续经营同比+48%、整体+38.9%不能混用；IFRS净利+33.7%vs经调整+83.2%，剥离及投资相关项拆分</x:v>
      </x:c>
      <x:c r="K2282" s="11" t="str">
        <x:v>待核</x:v>
      </x:c>
      <x:c r="L2282" s="11" t="str">
        <x:v>精确发布时间未核验</x:v>
      </x:c>
      <x:c r="M2282" s="11" t="str">
        <x:v>截止日前日期，盘中时分未核</x:v>
      </x:c>
    </x:row>
    <x:row r="2283" ht="23" customHeight="1">
      <x:c r="A2283" s="11" t="str">
        <x:v>I010</x:v>
      </x:c>
      <x:c r="B2283" s="11" t="str">
        <x:v>603259.SH</x:v>
      </x:c>
      <x:c r="C2283" s="11" t="str">
        <x:v>commercialMolecules</x:v>
      </x:c>
      <x:c r="D2283" s="39" t="n">
        <x:v>95</x:v>
      </x:c>
      <x:c r="E2283" s="11" t="str">
        <x:v>not monetary</x:v>
      </x:c>
      <x:c r="F2283" s="11" t="str">
        <x:v>count</x:v>
      </x:c>
      <x:c r="G2283" s="11" t="str">
        <x:v>2026H1</x:v>
      </x:c>
      <x:c r="H2283" s="11" t="str">
        <x:v>2026-09-04</x:v>
      </x:c>
      <x:c r="I2283" s="11" t="str">
        <x:v>https://iis.aastocks.com/20260904/12320378-0.PDF</x:v>
      </x:c>
      <x:c r="J2283" s="11" t="str">
        <x:v>2026H1无已终止业务销售；持续经营同比+48%、整体+38.9%不能混用；IFRS净利+33.7%vs经调整+83.2%，剥离及投资相关项拆分</x:v>
      </x:c>
      <x:c r="K2283" s="11" t="str">
        <x:v>待核</x:v>
      </x:c>
      <x:c r="L2283" s="11" t="str">
        <x:v>精确发布时间未核验</x:v>
      </x:c>
      <x:c r="M2283" s="11" t="str">
        <x:v>截止日前日期，盘中时分未核</x:v>
      </x:c>
    </x:row>
    <x:row r="2284" ht="23" customHeight="1">
      <x:c r="A2284" s="11" t="str">
        <x:v>I010</x:v>
      </x:c>
      <x:c r="B2284" s="11" t="str">
        <x:v>603259.SH</x:v>
      </x:c>
      <x:c r="C2284" s="11" t="str">
        <x:v>phase3Molecules</x:v>
      </x:c>
      <x:c r="D2284" s="39" t="n">
        <x:v>94</x:v>
      </x:c>
      <x:c r="E2284" s="11" t="str">
        <x:v>not monetary</x:v>
      </x:c>
      <x:c r="F2284" s="11" t="str">
        <x:v>count</x:v>
      </x:c>
      <x:c r="G2284" s="11" t="str">
        <x:v>2026H1</x:v>
      </x:c>
      <x:c r="H2284" s="11" t="str">
        <x:v>2026-09-04</x:v>
      </x:c>
      <x:c r="I2284" s="11" t="str">
        <x:v>https://iis.aastocks.com/20260904/12320378-0.PDF</x:v>
      </x:c>
      <x:c r="J2284" s="11" t="str">
        <x:v>2026H1无已终止业务销售；持续经营同比+48%、整体+38.9%不能混用；IFRS净利+33.7%vs经调整+83.2%，剥离及投资相关项拆分</x:v>
      </x:c>
      <x:c r="K2284" s="11" t="str">
        <x:v>待核</x:v>
      </x:c>
      <x:c r="L2284" s="11" t="str">
        <x:v>精确发布时间未核验</x:v>
      </x:c>
      <x:c r="M2284" s="11" t="str">
        <x:v>截止日前日期，盘中时分未核</x:v>
      </x:c>
    </x:row>
    <x:row r="2285" ht="23" customHeight="1">
      <x:c r="A2285" s="11" t="str">
        <x:v>I010</x:v>
      </x:c>
      <x:c r="B2285" s="11" t="str">
        <x:v>603259.SH</x:v>
      </x:c>
      <x:c r="C2285" s="11" t="str">
        <x:v>TIDESMoleculeGrowthPct</x:v>
      </x:c>
      <x:c r="D2285" s="39" t="n">
        <x:v>68</x:v>
      </x:c>
      <x:c r="E2285" s="11" t="str">
        <x:v>not monetary</x:v>
      </x:c>
      <x:c r="F2285" s="11" t="str">
        <x:v>percent</x:v>
      </x:c>
      <x:c r="G2285" s="11" t="str">
        <x:v>2026H1</x:v>
      </x:c>
      <x:c r="H2285" s="11" t="str">
        <x:v>2026-09-04</x:v>
      </x:c>
      <x:c r="I2285" s="11" t="str">
        <x:v>https://iis.aastocks.com/20260904/12320378-0.PDF</x:v>
      </x:c>
      <x:c r="J2285" s="11" t="str">
        <x:v>2026H1无已终止业务销售；持续经营同比+48%、整体+38.9%不能混用；IFRS净利+33.7%vs经调整+83.2%，剥离及投资相关项拆分</x:v>
      </x:c>
      <x:c r="K2285" s="11" t="str">
        <x:v>待核</x:v>
      </x:c>
      <x:c r="L2285" s="11" t="str">
        <x:v>精确发布时间未核验</x:v>
      </x:c>
      <x:c r="M2285" s="11" t="str">
        <x:v>截止日前日期，盘中时分未核</x:v>
      </x:c>
    </x:row>
    <x:row r="2286" ht="23" customHeight="1">
      <x:c r="A2286" s="11" t="str">
        <x:v>I049</x:v>
      </x:c>
      <x:c r="B2286" s="11" t="str">
        <x:v>02268.HK</x:v>
      </x:c>
      <x:c r="C2286" s="11" t="str">
        <x:v>standaloneRevenue</x:v>
      </x:c>
      <x:c r="D2286" s="39" t="n">
        <x:v>3556.038</x:v>
      </x:c>
      <x:c r="E2286" s="11" t="str">
        <x:v>CNY</x:v>
      </x:c>
      <x:c r="F2286" s="11" t="str">
        <x:v>million</x:v>
      </x:c>
      <x:c r="G2286" s="11" t="str">
        <x:v>2026H1</x:v>
      </x:c>
      <x:c r="H2286" s="11" t="str">
        <x:v>2026-09-18</x:v>
      </x:c>
      <x:c r="I2286" s="11" t="str">
        <x:v>https://iis.aastocks.com/20260918/12337729-0.PDF</x:v>
      </x:c>
      <x:c r="J2286" s="11" t="str"/>
      <x:c r="K2286" s="11" t="str">
        <x:v>待核</x:v>
      </x:c>
      <x:c r="L2286" s="11" t="str">
        <x:v>精确发布时间未核验</x:v>
      </x:c>
      <x:c r="M2286" s="11" t="str">
        <x:v>截止日前日期，盘中时分未核</x:v>
      </x:c>
    </x:row>
    <x:row r="2287" ht="23" customHeight="1">
      <x:c r="A2287" s="11" t="str">
        <x:v>I049</x:v>
      </x:c>
      <x:c r="B2287" s="11" t="str">
        <x:v>02268.HK</x:v>
      </x:c>
      <x:c r="C2287" s="11" t="str">
        <x:v>groupProfit</x:v>
      </x:c>
      <x:c r="D2287" s="39" t="n">
        <x:v>818.004</x:v>
      </x:c>
      <x:c r="E2287" s="11" t="str">
        <x:v>CNY</x:v>
      </x:c>
      <x:c r="F2287" s="11" t="str">
        <x:v>million</x:v>
      </x:c>
      <x:c r="G2287" s="11" t="str">
        <x:v>2026H1</x:v>
      </x:c>
      <x:c r="H2287" s="11" t="str">
        <x:v>2026-09-18</x:v>
      </x:c>
      <x:c r="I2287" s="11" t="str">
        <x:v>https://iis.aastocks.com/20260918/12337729-0.PDF</x:v>
      </x:c>
      <x:c r="J2287" s="11" t="str"/>
      <x:c r="K2287" s="11" t="str">
        <x:v>待核</x:v>
      </x:c>
      <x:c r="L2287" s="11" t="str">
        <x:v>精确发布时间未核验</x:v>
      </x:c>
      <x:c r="M2287" s="11" t="str">
        <x:v>截止日前日期，盘中时分未核</x:v>
      </x:c>
    </x:row>
    <x:row r="2288" ht="23" customHeight="1">
      <x:c r="A2288" s="11" t="str">
        <x:v>I049</x:v>
      </x:c>
      <x:c r="B2288" s="11" t="str">
        <x:v>02268.HK</x:v>
      </x:c>
      <x:c r="C2288" s="11" t="str">
        <x:v>attributableProfit</x:v>
      </x:c>
      <x:c r="D2288" s="39" t="n">
        <x:v>819.281</x:v>
      </x:c>
      <x:c r="E2288" s="11" t="str">
        <x:v>CNY</x:v>
      </x:c>
      <x:c r="F2288" s="11" t="str">
        <x:v>million</x:v>
      </x:c>
      <x:c r="G2288" s="11" t="str">
        <x:v>2026H1</x:v>
      </x:c>
      <x:c r="H2288" s="11" t="str">
        <x:v>2026-09-18</x:v>
      </x:c>
      <x:c r="I2288" s="11" t="str">
        <x:v>https://iis.aastocks.com/20260918/12337729-0.PDF</x:v>
      </x:c>
      <x:c r="J2288" s="11" t="str"/>
      <x:c r="K2288" s="11" t="str">
        <x:v>待核</x:v>
      </x:c>
      <x:c r="L2288" s="11" t="str">
        <x:v>精确发布时间未核验</x:v>
      </x:c>
      <x:c r="M2288" s="11" t="str">
        <x:v>截止日前日期，盘中时分未核</x:v>
      </x:c>
    </x:row>
    <x:row r="2289" ht="23" customHeight="1">
      <x:c r="A2289" s="11" t="str">
        <x:v>I049</x:v>
      </x:c>
      <x:c r="B2289" s="11" t="str">
        <x:v>02268.HK</x:v>
      </x:c>
      <x:c r="C2289" s="11" t="str">
        <x:v>adjustedGroupProfit</x:v>
      </x:c>
      <x:c r="D2289" s="39" t="n">
        <x:v>1027.129</x:v>
      </x:c>
      <x:c r="E2289" s="11" t="str">
        <x:v>CNY</x:v>
      </x:c>
      <x:c r="F2289" s="11" t="str">
        <x:v>million</x:v>
      </x:c>
      <x:c r="G2289" s="11" t="str">
        <x:v>2026H1</x:v>
      </x:c>
      <x:c r="H2289" s="11" t="str">
        <x:v>2026-09-18</x:v>
      </x:c>
      <x:c r="I2289" s="11" t="str">
        <x:v>https://iis.aastocks.com/20260918/12337729-0.PDF</x:v>
      </x:c>
      <x:c r="J2289" s="11" t="str"/>
      <x:c r="K2289" s="11" t="str">
        <x:v>待核</x:v>
      </x:c>
      <x:c r="L2289" s="11" t="str">
        <x:v>精确发布时间未核验</x:v>
      </x:c>
      <x:c r="M2289" s="11" t="str">
        <x:v>截止日前日期，盘中时分未核</x:v>
      </x:c>
    </x:row>
    <x:row r="2290" ht="23" customHeight="1">
      <x:c r="A2290" s="11" t="str">
        <x:v>I049</x:v>
      </x:c>
      <x:c r="B2290" s="11" t="str">
        <x:v>02268.HK</x:v>
      </x:c>
      <x:c r="C2290" s="11" t="str">
        <x:v>shareBasedExpenseInProfit</x:v>
      </x:c>
      <x:c r="D2290" s="39" t="n">
        <x:v>79.633</x:v>
      </x:c>
      <x:c r="E2290" s="11" t="str">
        <x:v>CNY</x:v>
      </x:c>
      <x:c r="F2290" s="11" t="str">
        <x:v>million</x:v>
      </x:c>
      <x:c r="G2290" s="11" t="str">
        <x:v>2026H1</x:v>
      </x:c>
      <x:c r="H2290" s="11" t="str">
        <x:v>2026-09-18</x:v>
      </x:c>
      <x:c r="I2290" s="11" t="str">
        <x:v>https://iis.aastocks.com/20260918/12337729-0.PDF</x:v>
      </x:c>
      <x:c r="J2290" s="11" t="str"/>
      <x:c r="K2290" s="11" t="str">
        <x:v>待核</x:v>
      </x:c>
      <x:c r="L2290" s="11" t="str">
        <x:v>精确发布时间未核验</x:v>
      </x:c>
      <x:c r="M2290" s="11" t="str">
        <x:v>截止日前日期，盘中时分未核</x:v>
      </x:c>
    </x:row>
    <x:row r="2291" ht="23" customHeight="1">
      <x:c r="A2291" s="11" t="str">
        <x:v>I049</x:v>
      </x:c>
      <x:c r="B2291" s="11" t="str">
        <x:v>02268.HK</x:v>
      </x:c>
      <x:c r="C2291" s="11" t="str">
        <x:v>shareBasedEquityTotal</x:v>
      </x:c>
      <x:c r="D2291" s="39" t="n">
        <x:v>87.035</x:v>
      </x:c>
      <x:c r="E2291" s="11" t="str">
        <x:v>CNY</x:v>
      </x:c>
      <x:c r="F2291" s="11" t="str">
        <x:v>million</x:v>
      </x:c>
      <x:c r="G2291" s="11" t="str">
        <x:v>2026H1</x:v>
      </x:c>
      <x:c r="H2291" s="11" t="str">
        <x:v>2026-09-18</x:v>
      </x:c>
      <x:c r="I2291" s="11" t="str">
        <x:v>https://iis.aastocks.com/20260918/12337729-0.PDF</x:v>
      </x:c>
      <x:c r="J2291" s="11" t="str"/>
      <x:c r="K2291" s="11" t="str">
        <x:v>待核</x:v>
      </x:c>
      <x:c r="L2291" s="11" t="str">
        <x:v>精确发布时间未核验</x:v>
      </x:c>
      <x:c r="M2291" s="11" t="str">
        <x:v>截止日前日期，盘中时分未核</x:v>
      </x:c>
    </x:row>
    <x:row r="2292" ht="23" customHeight="1">
      <x:c r="A2292" s="11" t="str">
        <x:v>I049</x:v>
      </x:c>
      <x:c r="B2292" s="11" t="str">
        <x:v>02268.HK</x:v>
      </x:c>
      <x:c r="C2292" s="11" t="str">
        <x:v>FXLoss</x:v>
      </x:c>
      <x:c r="D2292" s="39" t="n">
        <x:v>197.9</x:v>
      </x:c>
      <x:c r="E2292" s="11" t="str">
        <x:v>CNY</x:v>
      </x:c>
      <x:c r="F2292" s="11" t="str">
        <x:v>million</x:v>
      </x:c>
      <x:c r="G2292" s="11" t="str">
        <x:v>2026H1</x:v>
      </x:c>
      <x:c r="H2292" s="11" t="str">
        <x:v>2026-09-18</x:v>
      </x:c>
      <x:c r="I2292" s="11" t="str">
        <x:v>https://iis.aastocks.com/20260918/12337729-0.PDF</x:v>
      </x:c>
      <x:c r="J2292" s="11" t="str"/>
      <x:c r="K2292" s="11" t="str">
        <x:v>待核</x:v>
      </x:c>
      <x:c r="L2292" s="11" t="str">
        <x:v>精确发布时间未核验</x:v>
      </x:c>
      <x:c r="M2292" s="11" t="str">
        <x:v>截止日前日期，盘中时分未核</x:v>
      </x:c>
    </x:row>
    <x:row r="2293" ht="23" customHeight="1">
      <x:c r="A2293" s="11" t="str">
        <x:v>I049</x:v>
      </x:c>
      <x:c r="B2293" s="11" t="str">
        <x:v>02268.HK</x:v>
      </x:c>
      <x:c r="C2293" s="11" t="str">
        <x:v>oneTimeAcquisitionCost</x:v>
      </x:c>
      <x:c r="D2293" s="39" t="n">
        <x:v>26.697</x:v>
      </x:c>
      <x:c r="E2293" s="11" t="str">
        <x:v>CNY</x:v>
      </x:c>
      <x:c r="F2293" s="11" t="str">
        <x:v>million</x:v>
      </x:c>
      <x:c r="G2293" s="11" t="str">
        <x:v>2026H1</x:v>
      </x:c>
      <x:c r="H2293" s="11" t="str">
        <x:v>2026-09-18</x:v>
      </x:c>
      <x:c r="I2293" s="11" t="str">
        <x:v>https://iis.aastocks.com/20260918/12337729-0.PDF</x:v>
      </x:c>
      <x:c r="J2293" s="11" t="str"/>
      <x:c r="K2293" s="11" t="str">
        <x:v>待核</x:v>
      </x:c>
      <x:c r="L2293" s="11" t="str">
        <x:v>精确发布时间未核验</x:v>
      </x:c>
      <x:c r="M2293" s="11" t="str">
        <x:v>截止日前日期，盘中时分未核</x:v>
      </x:c>
    </x:row>
    <x:row r="2294" ht="23" customHeight="1">
      <x:c r="A2294" s="11" t="str">
        <x:v>I049</x:v>
      </x:c>
      <x:c r="B2294" s="11" t="str">
        <x:v>02268.HK</x:v>
      </x:c>
      <x:c r="C2294" s="11" t="str">
        <x:v>netInterestDeductedInAdjusted</x:v>
      </x:c>
      <x:c r="D2294" s="39" t="n">
        <x:v>95.105</x:v>
      </x:c>
      <x:c r="E2294" s="11" t="str">
        <x:v>CNY</x:v>
      </x:c>
      <x:c r="F2294" s="11" t="str">
        <x:v>million</x:v>
      </x:c>
      <x:c r="G2294" s="11" t="str">
        <x:v>2026H1</x:v>
      </x:c>
      <x:c r="H2294" s="11" t="str">
        <x:v>2026-09-18</x:v>
      </x:c>
      <x:c r="I2294" s="11" t="str">
        <x:v>https://iis.aastocks.com/20260918/12337729-0.PDF</x:v>
      </x:c>
      <x:c r="J2294" s="11" t="str"/>
      <x:c r="K2294" s="11" t="str">
        <x:v>待核</x:v>
      </x:c>
      <x:c r="L2294" s="11" t="str">
        <x:v>精确发布时间未核验</x:v>
      </x:c>
      <x:c r="M2294" s="11" t="str">
        <x:v>截止日前日期，盘中时分未核</x:v>
      </x:c>
    </x:row>
    <x:row r="2295" ht="23" customHeight="1">
      <x:c r="A2295" s="11" t="str">
        <x:v>I049</x:v>
      </x:c>
      <x:c r="B2295" s="11" t="str">
        <x:v>02268.HK</x:v>
      </x:c>
      <x:c r="C2295" s="11" t="str">
        <x:v>bankInterest</x:v>
      </x:c>
      <x:c r="D2295" s="39" t="n">
        <x:v>105.432</x:v>
      </x:c>
      <x:c r="E2295" s="11" t="str">
        <x:v>CNY</x:v>
      </x:c>
      <x:c r="F2295" s="11" t="str">
        <x:v>million</x:v>
      </x:c>
      <x:c r="G2295" s="11" t="str">
        <x:v>2026H1</x:v>
      </x:c>
      <x:c r="H2295" s="11" t="str">
        <x:v>2026-09-18</x:v>
      </x:c>
      <x:c r="I2295" s="11" t="str">
        <x:v>https://iis.aastocks.com/20260918/12337729-0.PDF</x:v>
      </x:c>
      <x:c r="J2295" s="11" t="str"/>
      <x:c r="K2295" s="11" t="str">
        <x:v>待核</x:v>
      </x:c>
      <x:c r="L2295" s="11" t="str">
        <x:v>精确发布时间未核验</x:v>
      </x:c>
      <x:c r="M2295" s="11" t="str">
        <x:v>截止日前日期，盘中时分未核</x:v>
      </x:c>
    </x:row>
    <x:row r="2296" ht="23" customHeight="1">
      <x:c r="A2296" s="11" t="str">
        <x:v>I049</x:v>
      </x:c>
      <x:c r="B2296" s="11" t="str">
        <x:v>02268.HK</x:v>
      </x:c>
      <x:c r="C2296" s="11" t="str">
        <x:v>OCF</x:v>
      </x:c>
      <x:c r="D2296" s="39" t="n">
        <x:v>1187.063</x:v>
      </x:c>
      <x:c r="E2296" s="11" t="str">
        <x:v>CNY</x:v>
      </x:c>
      <x:c r="F2296" s="11" t="str">
        <x:v>million</x:v>
      </x:c>
      <x:c r="G2296" s="11" t="str">
        <x:v>2026H1</x:v>
      </x:c>
      <x:c r="H2296" s="11" t="str">
        <x:v>2026-09-18</x:v>
      </x:c>
      <x:c r="I2296" s="11" t="str">
        <x:v>https://iis.aastocks.com/20260918/12337729-0.PDF</x:v>
      </x:c>
      <x:c r="J2296" s="11" t="str"/>
      <x:c r="K2296" s="11" t="str">
        <x:v>待核</x:v>
      </x:c>
      <x:c r="L2296" s="11" t="str">
        <x:v>精确发布时间未核验</x:v>
      </x:c>
      <x:c r="M2296" s="11" t="str">
        <x:v>截止日前日期，盘中时分未核</x:v>
      </x:c>
    </x:row>
    <x:row r="2297" ht="23" customHeight="1">
      <x:c r="A2297" s="11" t="str">
        <x:v>I049</x:v>
      </x:c>
      <x:c r="B2297" s="11" t="str">
        <x:v>02268.HK</x:v>
      </x:c>
      <x:c r="C2297" s="11" t="str">
        <x:v>PPEcashCapex</x:v>
      </x:c>
      <x:c r="D2297" s="39" t="n">
        <x:v>628.039</x:v>
      </x:c>
      <x:c r="E2297" s="11" t="str">
        <x:v>CNY</x:v>
      </x:c>
      <x:c r="F2297" s="11" t="str">
        <x:v>million</x:v>
      </x:c>
      <x:c r="G2297" s="11" t="str">
        <x:v>2026H1</x:v>
      </x:c>
      <x:c r="H2297" s="11" t="str">
        <x:v>2026-09-18</x:v>
      </x:c>
      <x:c r="I2297" s="11" t="str">
        <x:v>https://iis.aastocks.com/20260918/12337729-0.PDF</x:v>
      </x:c>
      <x:c r="J2297" s="11" t="str"/>
      <x:c r="K2297" s="11" t="str">
        <x:v>待核</x:v>
      </x:c>
      <x:c r="L2297" s="11" t="str">
        <x:v>精确发布时间未核验</x:v>
      </x:c>
      <x:c r="M2297" s="11" t="str">
        <x:v>截止日前日期，盘中时分未核</x:v>
      </x:c>
    </x:row>
    <x:row r="2298" ht="23" customHeight="1">
      <x:c r="A2298" s="11" t="str">
        <x:v>I049</x:v>
      </x:c>
      <x:c r="B2298" s="11" t="str">
        <x:v>02268.HK</x:v>
      </x:c>
      <x:c r="C2298" s="11" t="str">
        <x:v>useRightCashCapex</x:v>
      </x:c>
      <x:c r="D2298" s="39" t="n">
        <x:v>39.962</x:v>
      </x:c>
      <x:c r="E2298" s="11" t="str">
        <x:v>CNY</x:v>
      </x:c>
      <x:c r="F2298" s="11" t="str">
        <x:v>million</x:v>
      </x:c>
      <x:c r="G2298" s="11" t="str">
        <x:v>2026H1</x:v>
      </x:c>
      <x:c r="H2298" s="11" t="str">
        <x:v>2026-09-18</x:v>
      </x:c>
      <x:c r="I2298" s="11" t="str">
        <x:v>https://iis.aastocks.com/20260918/12337729-0.PDF</x:v>
      </x:c>
      <x:c r="J2298" s="11" t="str"/>
      <x:c r="K2298" s="11" t="str">
        <x:v>待核</x:v>
      </x:c>
      <x:c r="L2298" s="11" t="str">
        <x:v>精确发布时间未核验</x:v>
      </x:c>
      <x:c r="M2298" s="11" t="str">
        <x:v>截止日前日期，盘中时分未核</x:v>
      </x:c>
    </x:row>
    <x:row r="2299" ht="23" customHeight="1">
      <x:c r="A2299" s="11" t="str">
        <x:v>I049</x:v>
      </x:c>
      <x:c r="B2299" s="11" t="str">
        <x:v>02268.HK</x:v>
      </x:c>
      <x:c r="C2299" s="11" t="str">
        <x:v>cashEquivalent</x:v>
      </x:c>
      <x:c r="D2299" s="39" t="n">
        <x:v>1597.343</x:v>
      </x:c>
      <x:c r="E2299" s="11" t="str">
        <x:v>CNY</x:v>
      </x:c>
      <x:c r="F2299" s="11" t="str">
        <x:v>million</x:v>
      </x:c>
      <x:c r="G2299" s="11" t="str">
        <x:v>2026H1</x:v>
      </x:c>
      <x:c r="H2299" s="11" t="str">
        <x:v>2026-09-18</x:v>
      </x:c>
      <x:c r="I2299" s="11" t="str">
        <x:v>https://iis.aastocks.com/20260918/12337729-0.PDF</x:v>
      </x:c>
      <x:c r="J2299" s="11" t="str"/>
      <x:c r="K2299" s="11" t="str">
        <x:v>待核</x:v>
      </x:c>
      <x:c r="L2299" s="11" t="str">
        <x:v>精确发布时间未核验</x:v>
      </x:c>
      <x:c r="M2299" s="11" t="str">
        <x:v>截止日前日期，盘中时分未核</x:v>
      </x:c>
    </x:row>
    <x:row r="2300" ht="23" customHeight="1">
      <x:c r="A2300" s="11" t="str">
        <x:v>I049</x:v>
      </x:c>
      <x:c r="B2300" s="11" t="str">
        <x:v>02268.HK</x:v>
      </x:c>
      <x:c r="C2300" s="11" t="str">
        <x:v>financialProducts</x:v>
      </x:c>
      <x:c r="D2300" s="39" t="n">
        <x:v>602.993</x:v>
      </x:c>
      <x:c r="E2300" s="11" t="str">
        <x:v>CNY</x:v>
      </x:c>
      <x:c r="F2300" s="11" t="str">
        <x:v>million</x:v>
      </x:c>
      <x:c r="G2300" s="11" t="str">
        <x:v>2026H1</x:v>
      </x:c>
      <x:c r="H2300" s="11" t="str">
        <x:v>2026-09-18</x:v>
      </x:c>
      <x:c r="I2300" s="11" t="str">
        <x:v>https://iis.aastocks.com/20260918/12337729-0.PDF</x:v>
      </x:c>
      <x:c r="J2300" s="11" t="str"/>
      <x:c r="K2300" s="11" t="str">
        <x:v>待核</x:v>
      </x:c>
      <x:c r="L2300" s="11" t="str">
        <x:v>精确发布时间未核验</x:v>
      </x:c>
      <x:c r="M2300" s="11" t="str">
        <x:v>截止日前日期，盘中时分未核</x:v>
      </x:c>
    </x:row>
    <x:row r="2301" ht="23" customHeight="1">
      <x:c r="A2301" s="11" t="str">
        <x:v>I049</x:v>
      </x:c>
      <x:c r="B2301" s="11" t="str">
        <x:v>02268.HK</x:v>
      </x:c>
      <x:c r="C2301" s="11" t="str">
        <x:v>restrictedDeposit</x:v>
      </x:c>
      <x:c r="D2301" s="39" t="n">
        <x:v>6.512</x:v>
      </x:c>
      <x:c r="E2301" s="11" t="str">
        <x:v>CNY</x:v>
      </x:c>
      <x:c r="F2301" s="11" t="str">
        <x:v>million</x:v>
      </x:c>
      <x:c r="G2301" s="11" t="str">
        <x:v>2026H1</x:v>
      </x:c>
      <x:c r="H2301" s="11" t="str">
        <x:v>2026-09-18</x:v>
      </x:c>
      <x:c r="I2301" s="11" t="str">
        <x:v>https://iis.aastocks.com/20260918/12337729-0.PDF</x:v>
      </x:c>
      <x:c r="J2301" s="11" t="str"/>
      <x:c r="K2301" s="11" t="str">
        <x:v>待核</x:v>
      </x:c>
      <x:c r="L2301" s="11" t="str">
        <x:v>精确发布时间未核验</x:v>
      </x:c>
      <x:c r="M2301" s="11" t="str">
        <x:v>截止日前日期，盘中时分未核</x:v>
      </x:c>
    </x:row>
    <x:row r="2302" ht="23" customHeight="1">
      <x:c r="A2302" s="11" t="str">
        <x:v>I049</x:v>
      </x:c>
      <x:c r="B2302" s="11" t="str">
        <x:v>02268.HK</x:v>
      </x:c>
      <x:c r="C2302" s="11" t="str">
        <x:v>debt</x:v>
      </x:c>
      <x:c r="D2302" s="39" t="n">
        <x:v>490.633</x:v>
      </x:c>
      <x:c r="E2302" s="11" t="str">
        <x:v>CNY</x:v>
      </x:c>
      <x:c r="F2302" s="11" t="str">
        <x:v>million</x:v>
      </x:c>
      <x:c r="G2302" s="11" t="str">
        <x:v>2026H1</x:v>
      </x:c>
      <x:c r="H2302" s="11" t="str">
        <x:v>2026-09-18</x:v>
      </x:c>
      <x:c r="I2302" s="11" t="str">
        <x:v>https://iis.aastocks.com/20260918/12337729-0.PDF</x:v>
      </x:c>
      <x:c r="J2302" s="11" t="str"/>
      <x:c r="K2302" s="11" t="str">
        <x:v>待核</x:v>
      </x:c>
      <x:c r="L2302" s="11" t="str">
        <x:v>精确发布时间未核验</x:v>
      </x:c>
      <x:c r="M2302" s="11" t="str">
        <x:v>截止日前日期，盘中时分未核</x:v>
      </x:c>
    </x:row>
    <x:row r="2303" ht="23" customHeight="1">
      <x:c r="A2303" s="11" t="str">
        <x:v>I049</x:v>
      </x:c>
      <x:c r="B2303" s="11" t="str">
        <x:v>02268.HK</x:v>
      </x:c>
      <x:c r="C2303" s="11" t="str">
        <x:v>tradeReceivables</x:v>
      </x:c>
      <x:c r="D2303" s="39" t="n">
        <x:v>1943.057</x:v>
      </x:c>
      <x:c r="E2303" s="11" t="str">
        <x:v>CNY</x:v>
      </x:c>
      <x:c r="F2303" s="11" t="str">
        <x:v>million</x:v>
      </x:c>
      <x:c r="G2303" s="11" t="str">
        <x:v>2026H1</x:v>
      </x:c>
      <x:c r="H2303" s="11" t="str">
        <x:v>2026-09-18</x:v>
      </x:c>
      <x:c r="I2303" s="11" t="str">
        <x:v>https://iis.aastocks.com/20260918/12337729-0.PDF</x:v>
      </x:c>
      <x:c r="J2303" s="11" t="str"/>
      <x:c r="K2303" s="11" t="str">
        <x:v>待核</x:v>
      </x:c>
      <x:c r="L2303" s="11" t="str">
        <x:v>精确发布时间未核验</x:v>
      </x:c>
      <x:c r="M2303" s="11" t="str">
        <x:v>截止日前日期，盘中时分未核</x:v>
      </x:c>
    </x:row>
    <x:row r="2304" ht="23" customHeight="1">
      <x:c r="A2304" s="11" t="str">
        <x:v>I049</x:v>
      </x:c>
      <x:c r="B2304" s="11" t="str">
        <x:v>02268.HK</x:v>
      </x:c>
      <x:c r="C2304" s="11" t="str">
        <x:v>contractAsset</x:v>
      </x:c>
      <x:c r="D2304" s="39" t="n">
        <x:v>138.945</x:v>
      </x:c>
      <x:c r="E2304" s="11" t="str">
        <x:v>CNY</x:v>
      </x:c>
      <x:c r="F2304" s="11" t="str">
        <x:v>million</x:v>
      </x:c>
      <x:c r="G2304" s="11" t="str">
        <x:v>2026H1</x:v>
      </x:c>
      <x:c r="H2304" s="11" t="str">
        <x:v>2026-09-18</x:v>
      </x:c>
      <x:c r="I2304" s="11" t="str">
        <x:v>https://iis.aastocks.com/20260918/12337729-0.PDF</x:v>
      </x:c>
      <x:c r="J2304" s="11" t="str"/>
      <x:c r="K2304" s="11" t="str">
        <x:v>待核</x:v>
      </x:c>
      <x:c r="L2304" s="11" t="str">
        <x:v>精确发布时间未核验</x:v>
      </x:c>
      <x:c r="M2304" s="11" t="str">
        <x:v>截止日前日期，盘中时分未核</x:v>
      </x:c>
    </x:row>
    <x:row r="2305" ht="23" customHeight="1">
      <x:c r="A2305" s="11" t="str">
        <x:v>I049</x:v>
      </x:c>
      <x:c r="B2305" s="11" t="str">
        <x:v>02268.HK</x:v>
      </x:c>
      <x:c r="C2305" s="11" t="str">
        <x:v>contractLiability</x:v>
      </x:c>
      <x:c r="D2305" s="39" t="n">
        <x:v>1008.872</x:v>
      </x:c>
      <x:c r="E2305" s="11" t="str">
        <x:v>CNY</x:v>
      </x:c>
      <x:c r="F2305" s="11" t="str">
        <x:v>million</x:v>
      </x:c>
      <x:c r="G2305" s="11" t="str">
        <x:v>2026H1</x:v>
      </x:c>
      <x:c r="H2305" s="11" t="str">
        <x:v>2026-09-18</x:v>
      </x:c>
      <x:c r="I2305" s="11" t="str">
        <x:v>https://iis.aastocks.com/20260918/12337729-0.PDF</x:v>
      </x:c>
      <x:c r="J2305" s="11" t="str"/>
      <x:c r="K2305" s="11" t="str">
        <x:v>待核</x:v>
      </x:c>
      <x:c r="L2305" s="11" t="str">
        <x:v>精确发布时间未核验</x:v>
      </x:c>
      <x:c r="M2305" s="11" t="str">
        <x:v>截止日前日期，盘中时分未核</x:v>
      </x:c>
    </x:row>
    <x:row r="2306" ht="23" customHeight="1">
      <x:c r="A2306" s="11" t="str">
        <x:v>I049</x:v>
      </x:c>
      <x:c r="B2306" s="11" t="str">
        <x:v>02268.HK</x:v>
      </x:c>
      <x:c r="C2306" s="11" t="str">
        <x:v>contractCosts</x:v>
      </x:c>
      <x:c r="D2306" s="39" t="n">
        <x:v>297.656</x:v>
      </x:c>
      <x:c r="E2306" s="11" t="str">
        <x:v>CNY</x:v>
      </x:c>
      <x:c r="F2306" s="11" t="str">
        <x:v>million</x:v>
      </x:c>
      <x:c r="G2306" s="11" t="str">
        <x:v>2026H1</x:v>
      </x:c>
      <x:c r="H2306" s="11" t="str">
        <x:v>2026-09-18</x:v>
      </x:c>
      <x:c r="I2306" s="11" t="str">
        <x:v>https://iis.aastocks.com/20260918/12337729-0.PDF</x:v>
      </x:c>
      <x:c r="J2306" s="11" t="str"/>
      <x:c r="K2306" s="11" t="str">
        <x:v>待核</x:v>
      </x:c>
      <x:c r="L2306" s="11" t="str">
        <x:v>精确发布时间未核验</x:v>
      </x:c>
      <x:c r="M2306" s="11" t="str">
        <x:v>截止日前日期，盘中时分未核</x:v>
      </x:c>
    </x:row>
    <x:row r="2307" ht="23" customHeight="1">
      <x:c r="A2307" s="11" t="str">
        <x:v>I049</x:v>
      </x:c>
      <x:c r="B2307" s="11" t="str">
        <x:v>02268.HK</x:v>
      </x:c>
      <x:c r="C2307" s="11" t="str">
        <x:v>basicWeightedShares</x:v>
      </x:c>
      <x:c r="D2307" s="39" t="n">
        <x:v>1258.02311</x:v>
      </x:c>
      <x:c r="E2307" s="11" t="str">
        <x:v>not monetary</x:v>
      </x:c>
      <x:c r="F2307" s="11" t="str">
        <x:v>million shares</x:v>
      </x:c>
      <x:c r="G2307" s="11" t="str">
        <x:v>2026H1</x:v>
      </x:c>
      <x:c r="H2307" s="11" t="str">
        <x:v>2026-09-18</x:v>
      </x:c>
      <x:c r="I2307" s="11" t="str">
        <x:v>https://iis.aastocks.com/20260918/12337729-0.PDF</x:v>
      </x:c>
      <x:c r="J2307" s="11" t="str"/>
      <x:c r="K2307" s="11" t="str">
        <x:v>待核</x:v>
      </x:c>
      <x:c r="L2307" s="11" t="str">
        <x:v>精确发布时间未核验</x:v>
      </x:c>
      <x:c r="M2307" s="11" t="str">
        <x:v>截止日前日期，盘中时分未核</x:v>
      </x:c>
    </x:row>
    <x:row r="2308" ht="23" customHeight="1">
      <x:c r="A2308" s="11" t="str">
        <x:v>I049</x:v>
      </x:c>
      <x:c r="B2308" s="11" t="str">
        <x:v>02268.HK</x:v>
      </x:c>
      <x:c r="C2308" s="11" t="str">
        <x:v>dilutedWeightedShares</x:v>
      </x:c>
      <x:c r="D2308" s="39" t="n">
        <x:v>1369.630085</x:v>
      </x:c>
      <x:c r="E2308" s="11" t="str">
        <x:v>not monetary</x:v>
      </x:c>
      <x:c r="F2308" s="11" t="str">
        <x:v>million shares</x:v>
      </x:c>
      <x:c r="G2308" s="11" t="str">
        <x:v>2026H1</x:v>
      </x:c>
      <x:c r="H2308" s="11" t="str">
        <x:v>2026-09-18</x:v>
      </x:c>
      <x:c r="I2308" s="11" t="str">
        <x:v>https://iis.aastocks.com/20260918/12337729-0.PDF</x:v>
      </x:c>
      <x:c r="J2308" s="11" t="str"/>
      <x:c r="K2308" s="11" t="str">
        <x:v>待核</x:v>
      </x:c>
      <x:c r="L2308" s="11" t="str">
        <x:v>精确发布时间未核验</x:v>
      </x:c>
      <x:c r="M2308" s="11" t="str">
        <x:v>截止日前日期，盘中时分未核</x:v>
      </x:c>
    </x:row>
    <x:row r="2309" ht="23" customHeight="1">
      <x:c r="A2309" s="11" t="str">
        <x:v>I049</x:v>
      </x:c>
      <x:c r="B2309" s="11" t="str">
        <x:v>02268.HK</x:v>
      </x:c>
      <x:c r="C2309" s="11" t="str">
        <x:v>goodwill</x:v>
      </x:c>
      <x:c r="D2309" s="39" t="n">
        <x:v>1446.923</x:v>
      </x:c>
      <x:c r="E2309" s="11" t="str">
        <x:v>CNY</x:v>
      </x:c>
      <x:c r="F2309" s="11" t="str">
        <x:v>million</x:v>
      </x:c>
      <x:c r="G2309" s="11" t="str">
        <x:v>2026H1</x:v>
      </x:c>
      <x:c r="H2309" s="11" t="str">
        <x:v>2026-09-18</x:v>
      </x:c>
      <x:c r="I2309" s="11" t="str">
        <x:v>https://iis.aastocks.com/20260918/12337729-0.PDF</x:v>
      </x:c>
      <x:c r="J2309" s="11" t="str"/>
      <x:c r="K2309" s="11" t="str">
        <x:v>待核</x:v>
      </x:c>
      <x:c r="L2309" s="11" t="str">
        <x:v>精确发布时间未核验</x:v>
      </x:c>
      <x:c r="M2309" s="11" t="str">
        <x:v>截止日前日期，盘中时分未核</x:v>
      </x:c>
    </x:row>
    <x:row r="2310" ht="23" customHeight="1">
      <x:c r="A2310" s="11" t="str">
        <x:v>I049</x:v>
      </x:c>
      <x:c r="B2310" s="11" t="str">
        <x:v>02268.HK</x:v>
      </x:c>
      <x:c r="C2310" s="11" t="str">
        <x:v>acquiredDongyaoRevenue</x:v>
      </x:c>
      <x:c r="D2310" s="39" t="n">
        <x:v>145.34</x:v>
      </x:c>
      <x:c r="E2310" s="11" t="str">
        <x:v>CNY</x:v>
      </x:c>
      <x:c r="F2310" s="11" t="str">
        <x:v>million</x:v>
      </x:c>
      <x:c r="G2310" s="11" t="str">
        <x:v>2026H1</x:v>
      </x:c>
      <x:c r="H2310" s="11" t="str">
        <x:v>2026-09-18</x:v>
      </x:c>
      <x:c r="I2310" s="11" t="str">
        <x:v>https://iis.aastocks.com/20260918/12337729-0.PDF</x:v>
      </x:c>
      <x:c r="J2310" s="11" t="str"/>
      <x:c r="K2310" s="11" t="str">
        <x:v>待核</x:v>
      </x:c>
      <x:c r="L2310" s="11" t="str">
        <x:v>精确发布时间未核验</x:v>
      </x:c>
      <x:c r="M2310" s="11" t="str">
        <x:v>截止日前日期，盘中时分未核</x:v>
      </x:c>
    </x:row>
    <x:row r="2311" ht="23" customHeight="1">
      <x:c r="A2311" s="11" t="str">
        <x:v>I049</x:v>
      </x:c>
      <x:c r="B2311" s="11" t="str">
        <x:v>02268.HK</x:v>
      </x:c>
      <x:c r="C2311" s="11" t="str">
        <x:v>acquiredDongyaoLoss</x:v>
      </x:c>
      <x:c r="D2311" s="39" t="n">
        <x:v>3.192</x:v>
      </x:c>
      <x:c r="E2311" s="11" t="str">
        <x:v>CNY</x:v>
      </x:c>
      <x:c r="F2311" s="11" t="str">
        <x:v>million</x:v>
      </x:c>
      <x:c r="G2311" s="11" t="str">
        <x:v>2026H1</x:v>
      </x:c>
      <x:c r="H2311" s="11" t="str">
        <x:v>2026-09-18</x:v>
      </x:c>
      <x:c r="I2311" s="11" t="str">
        <x:v>https://iis.aastocks.com/20260918/12337729-0.PDF</x:v>
      </x:c>
      <x:c r="J2311" s="11" t="str"/>
      <x:c r="K2311" s="11" t="str">
        <x:v>待核</x:v>
      </x:c>
      <x:c r="L2311" s="11" t="str">
        <x:v>精确发布时间未核验</x:v>
      </x:c>
      <x:c r="M2311" s="11" t="str">
        <x:v>截止日前日期，盘中时分未核</x:v>
      </x:c>
    </x:row>
    <x:row r="2312" ht="23" customHeight="1">
      <x:c r="A2312" s="11" t="str">
        <x:v>I049</x:v>
      </x:c>
      <x:c r="B2312" s="11" t="str">
        <x:v>02268.HK</x:v>
      </x:c>
      <x:c r="C2312" s="11" t="str">
        <x:v>attributableProfit</x:v>
      </x:c>
      <x:c r="D2312" s="39" t="n">
        <x:v>54.93</x:v>
      </x:c>
      <x:c r="E2312" s="11" t="str">
        <x:v>CNY</x:v>
      </x:c>
      <x:c r="F2312" s="11" t="str">
        <x:v>million</x:v>
      </x:c>
      <x:c r="G2312" s="11" t="str">
        <x:v>FY2021</x:v>
      </x:c>
      <x:c r="H2312" s="11" t="str">
        <x:v>2026-04-24</x:v>
      </x:c>
      <x:c r="I2312" s="11" t="str">
        <x:v>https://iis.aastocks.com/20260424/12120725-0.PDF</x:v>
      </x:c>
      <x:c r="J2312" s="11" t="str">
        <x:v>2025 comparison restates 2024 by excluding net FX/interest; old five-year summary retains prior definition and cannot be mixed</x:v>
      </x:c>
      <x:c r="K2312" s="11" t="str">
        <x:v>待核</x:v>
      </x:c>
      <x:c r="L2312" s="11" t="str">
        <x:v>精确发布时间未核验</x:v>
      </x:c>
      <x:c r="M2312" s="11" t="str">
        <x:v>截止日前日期，盘中时分未核</x:v>
      </x:c>
    </x:row>
    <x:row r="2313" ht="23" customHeight="1">
      <x:c r="A2313" s="11" t="str">
        <x:v>I049</x:v>
      </x:c>
      <x:c r="B2313" s="11" t="str">
        <x:v>02268.HK</x:v>
      </x:c>
      <x:c r="C2313" s="11" t="str">
        <x:v>grossMargin</x:v>
      </x:c>
      <x:c r="D2313" s="39" t="n">
        <x:v>0.365</x:v>
      </x:c>
      <x:c r="E2313" s="11" t="str">
        <x:v>not monetary</x:v>
      </x:c>
      <x:c r="F2313" s="11" t="str">
        <x:v>fraction</x:v>
      </x:c>
      <x:c r="G2313" s="11" t="str">
        <x:v>FY2021</x:v>
      </x:c>
      <x:c r="H2313" s="11" t="str">
        <x:v>2026-04-24</x:v>
      </x:c>
      <x:c r="I2313" s="11" t="str">
        <x:v>https://iis.aastocks.com/20260424/12120725-0.PDF</x:v>
      </x:c>
      <x:c r="J2313" s="11" t="str">
        <x:v>2025 comparison restates 2024 by excluding net FX/interest; old five-year summary retains prior definition and cannot be mixed</x:v>
      </x:c>
      <x:c r="K2313" s="11" t="str">
        <x:v>待核</x:v>
      </x:c>
      <x:c r="L2313" s="11" t="str">
        <x:v>精确发布时间未核验</x:v>
      </x:c>
      <x:c r="M2313" s="11" t="str">
        <x:v>截止日前日期，盘中时分未核</x:v>
      </x:c>
    </x:row>
    <x:row r="2314" ht="23" customHeight="1">
      <x:c r="A2314" s="11" t="str">
        <x:v>I049</x:v>
      </x:c>
      <x:c r="B2314" s="11" t="str">
        <x:v>02268.HK</x:v>
      </x:c>
      <x:c r="C2314" s="11" t="str">
        <x:v>attributableProfit</x:v>
      </x:c>
      <x:c r="D2314" s="39" t="n">
        <x:v>155.731</x:v>
      </x:c>
      <x:c r="E2314" s="11" t="str">
        <x:v>CNY</x:v>
      </x:c>
      <x:c r="F2314" s="11" t="str">
        <x:v>million</x:v>
      </x:c>
      <x:c r="G2314" s="11" t="str">
        <x:v>FY2022</x:v>
      </x:c>
      <x:c r="H2314" s="11" t="str">
        <x:v>2026-04-24</x:v>
      </x:c>
      <x:c r="I2314" s="11" t="str">
        <x:v>https://iis.aastocks.com/20260424/12120725-0.PDF</x:v>
      </x:c>
      <x:c r="J2314" s="11" t="str">
        <x:v>2025 comparison restates 2024 by excluding net FX/interest; old five-year summary retains prior definition and cannot be mixed</x:v>
      </x:c>
      <x:c r="K2314" s="11" t="str">
        <x:v>待核</x:v>
      </x:c>
      <x:c r="L2314" s="11" t="str">
        <x:v>精确发布时间未核验</x:v>
      </x:c>
      <x:c r="M2314" s="11" t="str">
        <x:v>截止日前日期，盘中时分未核</x:v>
      </x:c>
    </x:row>
    <x:row r="2315" ht="23" customHeight="1">
      <x:c r="A2315" s="11" t="str">
        <x:v>I049</x:v>
      </x:c>
      <x:c r="B2315" s="11" t="str">
        <x:v>02268.HK</x:v>
      </x:c>
      <x:c r="C2315" s="11" t="str">
        <x:v>grossMargin</x:v>
      </x:c>
      <x:c r="D2315" s="39" t="n">
        <x:v>0.264</x:v>
      </x:c>
      <x:c r="E2315" s="11" t="str">
        <x:v>not monetary</x:v>
      </x:c>
      <x:c r="F2315" s="11" t="str">
        <x:v>fraction</x:v>
      </x:c>
      <x:c r="G2315" s="11" t="str">
        <x:v>FY2022</x:v>
      </x:c>
      <x:c r="H2315" s="11" t="str">
        <x:v>2026-04-24</x:v>
      </x:c>
      <x:c r="I2315" s="11" t="str">
        <x:v>https://iis.aastocks.com/20260424/12120725-0.PDF</x:v>
      </x:c>
      <x:c r="J2315" s="11" t="str">
        <x:v>2025 comparison restates 2024 by excluding net FX/interest; old five-year summary retains prior definition and cannot be mixed</x:v>
      </x:c>
      <x:c r="K2315" s="11" t="str">
        <x:v>待核</x:v>
      </x:c>
      <x:c r="L2315" s="11" t="str">
        <x:v>精确发布时间未核验</x:v>
      </x:c>
      <x:c r="M2315" s="11" t="str">
        <x:v>截止日前日期，盘中时分未核</x:v>
      </x:c>
    </x:row>
    <x:row r="2316" ht="23" customHeight="1">
      <x:c r="A2316" s="11" t="str">
        <x:v>I049</x:v>
      </x:c>
      <x:c r="B2316" s="11" t="str">
        <x:v>02268.HK</x:v>
      </x:c>
      <x:c r="C2316" s="11" t="str">
        <x:v>attributableProfit</x:v>
      </x:c>
      <x:c r="D2316" s="39" t="n">
        <x:v>283.538</x:v>
      </x:c>
      <x:c r="E2316" s="11" t="str">
        <x:v>CNY</x:v>
      </x:c>
      <x:c r="F2316" s="11" t="str">
        <x:v>million</x:v>
      </x:c>
      <x:c r="G2316" s="11" t="str">
        <x:v>FY2023</x:v>
      </x:c>
      <x:c r="H2316" s="11" t="str">
        <x:v>2026-04-24</x:v>
      </x:c>
      <x:c r="I2316" s="11" t="str">
        <x:v>https://iis.aastocks.com/20260424/12120725-0.PDF</x:v>
      </x:c>
      <x:c r="J2316" s="11" t="str">
        <x:v>2025 comparison restates 2024 by excluding net FX/interest; old five-year summary retains prior definition and cannot be mixed</x:v>
      </x:c>
      <x:c r="K2316" s="11" t="str">
        <x:v>待核</x:v>
      </x:c>
      <x:c r="L2316" s="11" t="str">
        <x:v>精确发布时间未核验</x:v>
      </x:c>
      <x:c r="M2316" s="11" t="str">
        <x:v>截止日前日期，盘中时分未核</x:v>
      </x:c>
    </x:row>
    <x:row r="2317" ht="23" customHeight="1">
      <x:c r="A2317" s="11" t="str">
        <x:v>I049</x:v>
      </x:c>
      <x:c r="B2317" s="11" t="str">
        <x:v>02268.HK</x:v>
      </x:c>
      <x:c r="C2317" s="11" t="str">
        <x:v>grossMargin</x:v>
      </x:c>
      <x:c r="D2317" s="39" t="n">
        <x:v>0.263</x:v>
      </x:c>
      <x:c r="E2317" s="11" t="str">
        <x:v>not monetary</x:v>
      </x:c>
      <x:c r="F2317" s="11" t="str">
        <x:v>fraction</x:v>
      </x:c>
      <x:c r="G2317" s="11" t="str">
        <x:v>FY2023</x:v>
      </x:c>
      <x:c r="H2317" s="11" t="str">
        <x:v>2026-04-24</x:v>
      </x:c>
      <x:c r="I2317" s="11" t="str">
        <x:v>https://iis.aastocks.com/20260424/12120725-0.PDF</x:v>
      </x:c>
      <x:c r="J2317" s="11" t="str">
        <x:v>2025 comparison restates 2024 by excluding net FX/interest; old five-year summary retains prior definition and cannot be mixed</x:v>
      </x:c>
      <x:c r="K2317" s="11" t="str">
        <x:v>待核</x:v>
      </x:c>
      <x:c r="L2317" s="11" t="str">
        <x:v>精确发布时间未核验</x:v>
      </x:c>
      <x:c r="M2317" s="11" t="str">
        <x:v>截止日前日期，盘中时分未核</x:v>
      </x:c>
    </x:row>
    <x:row r="2318" ht="23" customHeight="1">
      <x:c r="A2318" s="11" t="str">
        <x:v>I049</x:v>
      </x:c>
      <x:c r="B2318" s="11" t="str">
        <x:v>02268.HK</x:v>
      </x:c>
      <x:c r="C2318" s="11" t="str">
        <x:v>attributableProfit</x:v>
      </x:c>
      <x:c r="D2318" s="39" t="n">
        <x:v>1069.622</x:v>
      </x:c>
      <x:c r="E2318" s="11" t="str">
        <x:v>CNY</x:v>
      </x:c>
      <x:c r="F2318" s="11" t="str">
        <x:v>million</x:v>
      </x:c>
      <x:c r="G2318" s="11" t="str">
        <x:v>FY2024</x:v>
      </x:c>
      <x:c r="H2318" s="11" t="str">
        <x:v>2026-04-24</x:v>
      </x:c>
      <x:c r="I2318" s="11" t="str">
        <x:v>https://iis.aastocks.com/20260424/12120725-0.PDF</x:v>
      </x:c>
      <x:c r="J2318" s="11" t="str">
        <x:v>2025 comparison restates 2024 by excluding net FX/interest; old five-year summary retains prior definition and cannot be mixed</x:v>
      </x:c>
      <x:c r="K2318" s="11" t="str">
        <x:v>待核</x:v>
      </x:c>
      <x:c r="L2318" s="11" t="str">
        <x:v>精确发布时间未核验</x:v>
      </x:c>
      <x:c r="M2318" s="11" t="str">
        <x:v>截止日前日期，盘中时分未核</x:v>
      </x:c>
    </x:row>
    <x:row r="2319" ht="23" customHeight="1">
      <x:c r="A2319" s="11" t="str">
        <x:v>I049</x:v>
      </x:c>
      <x:c r="B2319" s="11" t="str">
        <x:v>02268.HK</x:v>
      </x:c>
      <x:c r="C2319" s="11" t="str">
        <x:v>grossMargin</x:v>
      </x:c>
      <x:c r="D2319" s="39" t="n">
        <x:v>0.306</x:v>
      </x:c>
      <x:c r="E2319" s="11" t="str">
        <x:v>not monetary</x:v>
      </x:c>
      <x:c r="F2319" s="11" t="str">
        <x:v>fraction</x:v>
      </x:c>
      <x:c r="G2319" s="11" t="str">
        <x:v>FY2024</x:v>
      </x:c>
      <x:c r="H2319" s="11" t="str">
        <x:v>2026-04-24</x:v>
      </x:c>
      <x:c r="I2319" s="11" t="str">
        <x:v>https://iis.aastocks.com/20260424/12120725-0.PDF</x:v>
      </x:c>
      <x:c r="J2319" s="11" t="str">
        <x:v>2025 comparison restates 2024 by excluding net FX/interest; old five-year summary retains prior definition and cannot be mixed</x:v>
      </x:c>
      <x:c r="K2319" s="11" t="str">
        <x:v>待核</x:v>
      </x:c>
      <x:c r="L2319" s="11" t="str">
        <x:v>精确发布时间未核验</x:v>
      </x:c>
      <x:c r="M2319" s="11" t="str">
        <x:v>截止日前日期，盘中时分未核</x:v>
      </x:c>
    </x:row>
    <x:row r="2320" ht="23" customHeight="1">
      <x:c r="A2320" s="11" t="str">
        <x:v>I049</x:v>
      </x:c>
      <x:c r="B2320" s="11" t="str">
        <x:v>02268.HK</x:v>
      </x:c>
      <x:c r="C2320" s="11" t="str">
        <x:v>attributableProfit</x:v>
      </x:c>
      <x:c r="D2320" s="39" t="n">
        <x:v>1480.496</x:v>
      </x:c>
      <x:c r="E2320" s="11" t="str">
        <x:v>CNY</x:v>
      </x:c>
      <x:c r="F2320" s="11" t="str">
        <x:v>million</x:v>
      </x:c>
      <x:c r="G2320" s="11" t="str">
        <x:v>FY2025</x:v>
      </x:c>
      <x:c r="H2320" s="11" t="str">
        <x:v>2026-04-24</x:v>
      </x:c>
      <x:c r="I2320" s="11" t="str">
        <x:v>https://iis.aastocks.com/20260424/12120725-0.PDF</x:v>
      </x:c>
      <x:c r="J2320" s="11" t="str">
        <x:v>2025 comparison restates 2024 by excluding net FX/interest; old five-year summary retains prior definition and cannot be mixed</x:v>
      </x:c>
      <x:c r="K2320" s="11" t="str">
        <x:v>待核</x:v>
      </x:c>
      <x:c r="L2320" s="11" t="str">
        <x:v>精确发布时间未核验</x:v>
      </x:c>
      <x:c r="M2320" s="11" t="str">
        <x:v>截止日前日期，盘中时分未核</x:v>
      </x:c>
    </x:row>
    <x:row r="2321" ht="23" customHeight="1">
      <x:c r="A2321" s="11" t="str">
        <x:v>I049</x:v>
      </x:c>
      <x:c r="B2321" s="11" t="str">
        <x:v>02268.HK</x:v>
      </x:c>
      <x:c r="C2321" s="11" t="str">
        <x:v>grossMargin</x:v>
      </x:c>
      <x:c r="D2321" s="39" t="n">
        <x:v>0.36</x:v>
      </x:c>
      <x:c r="E2321" s="11" t="str">
        <x:v>not monetary</x:v>
      </x:c>
      <x:c r="F2321" s="11" t="str">
        <x:v>fraction</x:v>
      </x:c>
      <x:c r="G2321" s="11" t="str">
        <x:v>FY2025</x:v>
      </x:c>
      <x:c r="H2321" s="11" t="str">
        <x:v>2026-04-24</x:v>
      </x:c>
      <x:c r="I2321" s="11" t="str">
        <x:v>https://iis.aastocks.com/20260424/12120725-0.PDF</x:v>
      </x:c>
      <x:c r="J2321" s="11" t="str">
        <x:v>2025 comparison restates 2024 by excluding net FX/interest; old five-year summary retains prior definition and cannot be mixed</x:v>
      </x:c>
      <x:c r="K2321" s="11" t="str">
        <x:v>待核</x:v>
      </x:c>
      <x:c r="L2321" s="11" t="str">
        <x:v>精确发布时间未核验</x:v>
      </x:c>
      <x:c r="M2321" s="11" t="str">
        <x:v>截止日前日期，盘中时分未核</x:v>
      </x:c>
    </x:row>
    <x:row r="2322" ht="23" customHeight="1">
      <x:c r="A2322" s="11" t="str">
        <x:v>I087</x:v>
      </x:c>
      <x:c r="B2322" s="11" t="str">
        <x:v>01810.HK</x:v>
      </x:c>
      <x:c r="C2322" s="11" t="str">
        <x:v>revenueCNYmillion</x:v>
      </x:c>
      <x:c r="D2322" s="39" t="n">
        <x:v>457286.687</x:v>
      </x:c>
      <x:c r="E2322" s="11" t="str">
        <x:v>CNY</x:v>
      </x:c>
      <x:c r="F2322" s="11" t="str">
        <x:v>million</x:v>
      </x:c>
      <x:c r="G2322" s="11" t="str">
        <x:v>FY2025</x:v>
      </x:c>
      <x:c r="H2322" s="11" t="str">
        <x:v>2026-04-28年报官网文件日期</x:v>
      </x:c>
      <x:c r="I2322" s="11" t="str">
        <x:v>https://ir.mi.com/system/files-encrypted/nasdaq_kms/assets/2026/04/28/5-29-08/Xiaomi%202025%20AR_EN.pdf</x:v>
      </x:c>
      <x:c r="J2322" s="11" t="str">
        <x:v>reported input; field suffix retains original scale</x:v>
      </x:c>
      <x:c r="K2322" s="11" t="str">
        <x:v>待核</x:v>
      </x:c>
      <x:c r="L2322" s="11" t="str">
        <x:v>精确发布时间未核验</x:v>
      </x:c>
      <x:c r="M2322" s="11" t="str">
        <x:v>截止日前日期，盘中时分未核</x:v>
      </x:c>
    </x:row>
    <x:row r="2323" ht="23" customHeight="1">
      <x:c r="A2323" s="11" t="str">
        <x:v>I087</x:v>
      </x:c>
      <x:c r="B2323" s="11" t="str">
        <x:v>01810.HK</x:v>
      </x:c>
      <x:c r="C2323" s="11" t="str">
        <x:v>adjustedGroupNetProfitCNYmillion</x:v>
      </x:c>
      <x:c r="D2323" s="39" t="n">
        <x:v>39166.303</x:v>
      </x:c>
      <x:c r="E2323" s="11" t="str">
        <x:v>CNY</x:v>
      </x:c>
      <x:c r="F2323" s="11" t="str">
        <x:v>million</x:v>
      </x:c>
      <x:c r="G2323" s="11" t="str">
        <x:v>FY2025</x:v>
      </x:c>
      <x:c r="H2323" s="11" t="str">
        <x:v>2026-04-28年报官网文件日期</x:v>
      </x:c>
      <x:c r="I2323" s="11" t="str">
        <x:v>https://ir.mi.com/system/files-encrypted/nasdaq_kms/assets/2026/04/28/5-29-08/Xiaomi%202025%20AR_EN.pdf</x:v>
      </x:c>
      <x:c r="J2323" s="11" t="str">
        <x:v>reported input; field suffix retains original scale</x:v>
      </x:c>
      <x:c r="K2323" s="11" t="str">
        <x:v>待核</x:v>
      </x:c>
      <x:c r="L2323" s="11" t="str">
        <x:v>精确发布时间未核验</x:v>
      </x:c>
      <x:c r="M2323" s="11" t="str">
        <x:v>截止日前日期，盘中时分未核</x:v>
      </x:c>
    </x:row>
    <x:row r="2324" ht="23" customHeight="1">
      <x:c r="A2324" s="11" t="str">
        <x:v>I087</x:v>
      </x:c>
      <x:c r="B2324" s="11" t="str">
        <x:v>01810.HK</x:v>
      </x:c>
      <x:c r="C2324" s="11" t="str">
        <x:v>revenue2024CNYmillion</x:v>
      </x:c>
      <x:c r="D2324" s="39" t="n">
        <x:v>365906.35</x:v>
      </x:c>
      <x:c r="E2324" s="11" t="str">
        <x:v>CNY</x:v>
      </x:c>
      <x:c r="F2324" s="11" t="str">
        <x:v>million</x:v>
      </x:c>
      <x:c r="G2324" s="11" t="str">
        <x:v>FY2025</x:v>
      </x:c>
      <x:c r="H2324" s="11" t="str">
        <x:v>2026-04-28年报官网文件日期</x:v>
      </x:c>
      <x:c r="I2324" s="11" t="str">
        <x:v>https://ir.mi.com/system/files-encrypted/nasdaq_kms/assets/2026/04/28/5-29-08/Xiaomi%202025%20AR_EN.pdf</x:v>
      </x:c>
      <x:c r="J2324" s="11" t="str">
        <x:v>reported input; field suffix retains original scale</x:v>
      </x:c>
      <x:c r="K2324" s="11" t="str">
        <x:v>待核</x:v>
      </x:c>
      <x:c r="L2324" s="11" t="str">
        <x:v>精确发布时间未核验</x:v>
      </x:c>
      <x:c r="M2324" s="11" t="str">
        <x:v>截止日前日期，盘中时分未核</x:v>
      </x:c>
    </x:row>
    <x:row r="2325" ht="23" customHeight="1">
      <x:c r="A2325" s="11" t="str">
        <x:v>I087</x:v>
      </x:c>
      <x:c r="B2325" s="11" t="str">
        <x:v>01810.HK</x:v>
      </x:c>
      <x:c r="C2325" s="11" t="str">
        <x:v>adjustedGroupNetProfit2024CNYmillion</x:v>
      </x:c>
      <x:c r="D2325" s="39" t="n">
        <x:v>27234.531</x:v>
      </x:c>
      <x:c r="E2325" s="11" t="str">
        <x:v>CNY</x:v>
      </x:c>
      <x:c r="F2325" s="11" t="str">
        <x:v>million</x:v>
      </x:c>
      <x:c r="G2325" s="11" t="str">
        <x:v>FY2025</x:v>
      </x:c>
      <x:c r="H2325" s="11" t="str">
        <x:v>2026-04-28年报官网文件日期</x:v>
      </x:c>
      <x:c r="I2325" s="11" t="str">
        <x:v>https://ir.mi.com/system/files-encrypted/nasdaq_kms/assets/2026/04/28/5-29-08/Xiaomi%202025%20AR_EN.pdf</x:v>
      </x:c>
      <x:c r="J2325" s="11" t="str">
        <x:v>reported input; field suffix retains original scale</x:v>
      </x:c>
      <x:c r="K2325" s="11" t="str">
        <x:v>待核</x:v>
      </x:c>
      <x:c r="L2325" s="11" t="str">
        <x:v>精确发布时间未核验</x:v>
      </x:c>
      <x:c r="M2325" s="11" t="str">
        <x:v>截止日前日期，盘中时分未核</x:v>
      </x:c>
    </x:row>
    <x:row r="2326" ht="23" customHeight="1">
      <x:c r="A2326" s="11" t="str">
        <x:v>I087</x:v>
      </x:c>
      <x:c r="B2326" s="11" t="str">
        <x:v>01810.HK</x:v>
      </x:c>
      <x:c r="C2326" s="11" t="str">
        <x:v>revenue2023CNYmillion</x:v>
      </x:c>
      <x:c r="D2326" s="39" t="n">
        <x:v>270970.141</x:v>
      </x:c>
      <x:c r="E2326" s="11" t="str">
        <x:v>CNY</x:v>
      </x:c>
      <x:c r="F2326" s="11" t="str">
        <x:v>million</x:v>
      </x:c>
      <x:c r="G2326" s="11" t="str">
        <x:v>FY2025</x:v>
      </x:c>
      <x:c r="H2326" s="11" t="str">
        <x:v>2026-04-28年报官网文件日期</x:v>
      </x:c>
      <x:c r="I2326" s="11" t="str">
        <x:v>https://ir.mi.com/system/files-encrypted/nasdaq_kms/assets/2026/04/28/5-29-08/Xiaomi%202025%20AR_EN.pdf</x:v>
      </x:c>
      <x:c r="J2326" s="11" t="str">
        <x:v>reported input; field suffix retains original scale</x:v>
      </x:c>
      <x:c r="K2326" s="11" t="str">
        <x:v>待核</x:v>
      </x:c>
      <x:c r="L2326" s="11" t="str">
        <x:v>精确发布时间未核验</x:v>
      </x:c>
      <x:c r="M2326" s="11" t="str">
        <x:v>截止日前日期，盘中时分未核</x:v>
      </x:c>
    </x:row>
    <x:row r="2327" ht="23" customHeight="1">
      <x:c r="A2327" s="11" t="str">
        <x:v>I087</x:v>
      </x:c>
      <x:c r="B2327" s="11" t="str">
        <x:v>01810.HK</x:v>
      </x:c>
      <x:c r="C2327" s="11" t="str">
        <x:v>adjustedGroupNetProfit2023CNYmillion</x:v>
      </x:c>
      <x:c r="D2327" s="39" t="n">
        <x:v>19272.754</x:v>
      </x:c>
      <x:c r="E2327" s="11" t="str">
        <x:v>CNY</x:v>
      </x:c>
      <x:c r="F2327" s="11" t="str">
        <x:v>million</x:v>
      </x:c>
      <x:c r="G2327" s="11" t="str">
        <x:v>FY2025</x:v>
      </x:c>
      <x:c r="H2327" s="11" t="str">
        <x:v>2026-04-28年报官网文件日期</x:v>
      </x:c>
      <x:c r="I2327" s="11" t="str">
        <x:v>https://ir.mi.com/system/files-encrypted/nasdaq_kms/assets/2026/04/28/5-29-08/Xiaomi%202025%20AR_EN.pdf</x:v>
      </x:c>
      <x:c r="J2327" s="11" t="str">
        <x:v>reported input; field suffix retains original scale</x:v>
      </x:c>
      <x:c r="K2327" s="11" t="str">
        <x:v>待核</x:v>
      </x:c>
      <x:c r="L2327" s="11" t="str">
        <x:v>精确发布时间未核验</x:v>
      </x:c>
      <x:c r="M2327" s="11" t="str">
        <x:v>截止日前日期，盘中时分未核</x:v>
      </x:c>
    </x:row>
    <x:row r="2328" ht="23" customHeight="1">
      <x:c r="A2328" s="11" t="str">
        <x:v>I087</x:v>
      </x:c>
      <x:c r="B2328" s="11" t="str">
        <x:v>01810.HK</x:v>
      </x:c>
      <x:c r="C2328" s="11" t="str">
        <x:v>smartphoneAIoTRevenueCNYbillionRounded</x:v>
      </x:c>
      <x:c r="D2328" s="39" t="n">
        <x:v>351.2</x:v>
      </x:c>
      <x:c r="E2328" s="11" t="str">
        <x:v>CNY</x:v>
      </x:c>
      <x:c r="F2328" s="11" t="str">
        <x:v>billion</x:v>
      </x:c>
      <x:c r="G2328" s="11" t="str">
        <x:v>FY2025</x:v>
      </x:c>
      <x:c r="H2328" s="11" t="str">
        <x:v>2026-04-28年报官网文件日期</x:v>
      </x:c>
      <x:c r="I2328" s="11" t="str">
        <x:v>https://ir.mi.com/system/files-encrypted/nasdaq_kms/assets/2026/04/28/5-29-08/Xiaomi%202025%20AR_EN.pdf</x:v>
      </x:c>
      <x:c r="J2328" s="11" t="str">
        <x:v>reported input; field suffix retains original scale</x:v>
      </x:c>
      <x:c r="K2328" s="11" t="str">
        <x:v>待核</x:v>
      </x:c>
      <x:c r="L2328" s="11" t="str">
        <x:v>精确发布时间未核验</x:v>
      </x:c>
      <x:c r="M2328" s="11" t="str">
        <x:v>截止日前日期，盘中时分未核</x:v>
      </x:c>
    </x:row>
    <x:row r="2329" ht="23" customHeight="1">
      <x:c r="A2329" s="11" t="str">
        <x:v>I087</x:v>
      </x:c>
      <x:c r="B2329" s="11" t="str">
        <x:v>01810.HK</x:v>
      </x:c>
      <x:c r="C2329" s="11" t="str">
        <x:v>newBusinessRevenueCNYbillionRounded</x:v>
      </x:c>
      <x:c r="D2329" s="39" t="n">
        <x:v>106.1</x:v>
      </x:c>
      <x:c r="E2329" s="11" t="str">
        <x:v>CNY</x:v>
      </x:c>
      <x:c r="F2329" s="11" t="str">
        <x:v>billion</x:v>
      </x:c>
      <x:c r="G2329" s="11" t="str">
        <x:v>FY2025</x:v>
      </x:c>
      <x:c r="H2329" s="11" t="str">
        <x:v>2026-04-28年报官网文件日期</x:v>
      </x:c>
      <x:c r="I2329" s="11" t="str">
        <x:v>https://ir.mi.com/system/files-encrypted/nasdaq_kms/assets/2026/04/28/5-29-08/Xiaomi%202025%20AR_EN.pdf</x:v>
      </x:c>
      <x:c r="J2329" s="11" t="str">
        <x:v>reported input; field suffix retains original scale</x:v>
      </x:c>
      <x:c r="K2329" s="11" t="str">
        <x:v>待核</x:v>
      </x:c>
      <x:c r="L2329" s="11" t="str">
        <x:v>精确发布时间未核验</x:v>
      </x:c>
      <x:c r="M2329" s="11" t="str">
        <x:v>截止日前日期，盘中时分未核</x:v>
      </x:c>
    </x:row>
    <x:row r="2330" ht="23" customHeight="1">
      <x:c r="A2330" s="11" t="str">
        <x:v>I087</x:v>
      </x:c>
      <x:c r="B2330" s="11" t="str">
        <x:v>01810.HK</x:v>
      </x:c>
      <x:c r="C2330" s="11" t="str">
        <x:v>newBusinessIncomeFromOperationsCNYbillionRounded</x:v>
      </x:c>
      <x:c r="D2330" s="39" t="n">
        <x:v>0.9</x:v>
      </x:c>
      <x:c r="E2330" s="11" t="str">
        <x:v>CNY</x:v>
      </x:c>
      <x:c r="F2330" s="11" t="str">
        <x:v>billion</x:v>
      </x:c>
      <x:c r="G2330" s="11" t="str">
        <x:v>FY2025</x:v>
      </x:c>
      <x:c r="H2330" s="11" t="str">
        <x:v>2026-04-28年报官网文件日期</x:v>
      </x:c>
      <x:c r="I2330" s="11" t="str">
        <x:v>https://ir.mi.com/system/files-encrypted/nasdaq_kms/assets/2026/04/28/5-29-08/Xiaomi%202025%20AR_EN.pdf</x:v>
      </x:c>
      <x:c r="J2330" s="11" t="str">
        <x:v>reported input; field suffix retains original scale</x:v>
      </x:c>
      <x:c r="K2330" s="11" t="str">
        <x:v>待核</x:v>
      </x:c>
      <x:c r="L2330" s="11" t="str">
        <x:v>精确发布时间未核验</x:v>
      </x:c>
      <x:c r="M2330" s="11" t="str">
        <x:v>截止日前日期，盘中时分未核</x:v>
      </x:c>
    </x:row>
    <x:row r="2331" ht="23" customHeight="1">
      <x:c r="A2331" s="11" t="str">
        <x:v>I087</x:v>
      </x:c>
      <x:c r="B2331" s="11" t="str">
        <x:v>01810.HK</x:v>
      </x:c>
      <x:c r="C2331" s="11" t="str">
        <x:v>OCFCNYmillion</x:v>
      </x:c>
      <x:c r="D2331" s="39" t="n">
        <x:v>34142.377</x:v>
      </x:c>
      <x:c r="E2331" s="11" t="str">
        <x:v>CNY</x:v>
      </x:c>
      <x:c r="F2331" s="11" t="str">
        <x:v>million</x:v>
      </x:c>
      <x:c r="G2331" s="11" t="str">
        <x:v>FY2025</x:v>
      </x:c>
      <x:c r="H2331" s="11" t="str">
        <x:v>2026-04-28年报官网文件日期</x:v>
      </x:c>
      <x:c r="I2331" s="11" t="str">
        <x:v>https://ir.mi.com/system/files-encrypted/nasdaq_kms/assets/2026/04/28/5-29-08/Xiaomi%202025%20AR_EN.pdf</x:v>
      </x:c>
      <x:c r="J2331" s="11" t="str">
        <x:v>reported input; field suffix retains original scale</x:v>
      </x:c>
      <x:c r="K2331" s="11" t="str">
        <x:v>待核</x:v>
      </x:c>
      <x:c r="L2331" s="11" t="str">
        <x:v>精确发布时间未核验</x:v>
      </x:c>
      <x:c r="M2331" s="11" t="str">
        <x:v>截止日前日期，盘中时分未核</x:v>
      </x:c>
    </x:row>
    <x:row r="2332" ht="23" customHeight="1">
      <x:c r="A2332" s="11" t="str">
        <x:v>I087</x:v>
      </x:c>
      <x:c r="B2332" s="11" t="str">
        <x:v>01810.HK</x:v>
      </x:c>
      <x:c r="C2332" s="11" t="str">
        <x:v>cashPurchasePPELandIntangibleCNYmillion</x:v>
      </x:c>
      <x:c r="D2332" s="39" t="n">
        <x:v>12769.155</x:v>
      </x:c>
      <x:c r="E2332" s="11" t="str">
        <x:v>CNY</x:v>
      </x:c>
      <x:c r="F2332" s="11" t="str">
        <x:v>million</x:v>
      </x:c>
      <x:c r="G2332" s="11" t="str">
        <x:v>FY2025</x:v>
      </x:c>
      <x:c r="H2332" s="11" t="str">
        <x:v>2026-04-28年报官网文件日期</x:v>
      </x:c>
      <x:c r="I2332" s="11" t="str">
        <x:v>https://ir.mi.com/system/files-encrypted/nasdaq_kms/assets/2026/04/28/5-29-08/Xiaomi%202025%20AR_EN.pdf</x:v>
      </x:c>
      <x:c r="J2332" s="11" t="str">
        <x:v>reported input; field suffix retains original scale</x:v>
      </x:c>
      <x:c r="K2332" s="11" t="str">
        <x:v>待核</x:v>
      </x:c>
      <x:c r="L2332" s="11" t="str">
        <x:v>精确发布时间未核验</x:v>
      </x:c>
      <x:c r="M2332" s="11" t="str">
        <x:v>截止日前日期，盘中时分未核</x:v>
      </x:c>
    </x:row>
    <x:row r="2333" ht="23" customHeight="1">
      <x:c r="A2333" s="11" t="str">
        <x:v>I087</x:v>
      </x:c>
      <x:c r="B2333" s="11" t="str">
        <x:v>01810.HK</x:v>
      </x:c>
      <x:c r="C2333" s="11" t="str">
        <x:v>FCFResearchProxyCNYmillion</x:v>
      </x:c>
      <x:c r="D2333" s="39" t="n">
        <x:v>21373.222</x:v>
      </x:c>
      <x:c r="E2333" s="11" t="str">
        <x:v>CNY</x:v>
      </x:c>
      <x:c r="F2333" s="11" t="str">
        <x:v>million</x:v>
      </x:c>
      <x:c r="G2333" s="11" t="str">
        <x:v>FY2025</x:v>
      </x:c>
      <x:c r="H2333" s="11" t="str">
        <x:v>2026-04-28年报官网文件日期</x:v>
      </x:c>
      <x:c r="I2333" s="11" t="str">
        <x:v>https://ir.mi.com/system/files-encrypted/nasdaq_kms/assets/2026/04/28/5-29-08/Xiaomi%202025%20AR_EN.pdf</x:v>
      </x:c>
      <x:c r="J2333" s="11" t="str">
        <x:v>research calculation from cited inputs</x:v>
      </x:c>
      <x:c r="K2333" s="11" t="str">
        <x:v>待核</x:v>
      </x:c>
      <x:c r="L2333" s="11" t="str">
        <x:v>精确发布时间未核验</x:v>
      </x:c>
      <x:c r="M2333" s="11" t="str">
        <x:v>截止日前日期，盘中时分未核</x:v>
      </x:c>
    </x:row>
    <x:row r="2334" ht="23" customHeight="1">
      <x:c r="A2334" s="11" t="str">
        <x:v>I087</x:v>
      </x:c>
      <x:c r="B2334" s="11" t="str">
        <x:v>01810.HK</x:v>
      </x:c>
      <x:c r="C2334" s="11" t="str">
        <x:v>revenueH1CNYmillion</x:v>
      </x:c>
      <x:c r="D2334" s="39" t="n">
        <x:v>208063.2</x:v>
      </x:c>
      <x:c r="E2334" s="11" t="str">
        <x:v>CNY</x:v>
      </x:c>
      <x:c r="F2334" s="11" t="str">
        <x:v>million</x:v>
      </x:c>
      <x:c r="G2334" s="11" t="str">
        <x:v>2026H1 and Q2</x:v>
      </x:c>
      <x:c r="H2334" s="11" t="str">
        <x:v>2026-08-18</x:v>
      </x:c>
      <x:c r="I2334" s="11" t="str">
        <x:v>https://ir.mi.com/static-files/4a85fc36-8a6d-4c24-b45b-b18d5d162e6c</x:v>
      </x:c>
      <x:c r="J2334" s="11" t="str">
        <x:v>reported input; field suffix retains original scale</x:v>
      </x:c>
      <x:c r="K2334" s="11" t="str">
        <x:v>待核</x:v>
      </x:c>
      <x:c r="L2334" s="11" t="str">
        <x:v>精确发布时间未核验</x:v>
      </x:c>
      <x:c r="M2334" s="11" t="str">
        <x:v>截止日前日期，盘中时分未核</x:v>
      </x:c>
    </x:row>
    <x:row r="2335" ht="23" customHeight="1">
      <x:c r="A2335" s="11" t="str">
        <x:v>I087</x:v>
      </x:c>
      <x:c r="B2335" s="11" t="str">
        <x:v>01810.HK</x:v>
      </x:c>
      <x:c r="C2335" s="11" t="str">
        <x:v>adjustedGroupNetProfitH1CNYmillion</x:v>
      </x:c>
      <x:c r="D2335" s="39" t="n">
        <x:v>12291.208</x:v>
      </x:c>
      <x:c r="E2335" s="11" t="str">
        <x:v>CNY</x:v>
      </x:c>
      <x:c r="F2335" s="11" t="str">
        <x:v>million</x:v>
      </x:c>
      <x:c r="G2335" s="11" t="str">
        <x:v>2026H1 and Q2</x:v>
      </x:c>
      <x:c r="H2335" s="11" t="str">
        <x:v>2026-08-18</x:v>
      </x:c>
      <x:c r="I2335" s="11" t="str">
        <x:v>https://ir.mi.com/static-files/4a85fc36-8a6d-4c24-b45b-b18d5d162e6c</x:v>
      </x:c>
      <x:c r="J2335" s="11" t="str">
        <x:v>reported input; field suffix retains original scale</x:v>
      </x:c>
      <x:c r="K2335" s="11" t="str">
        <x:v>待核</x:v>
      </x:c>
      <x:c r="L2335" s="11" t="str">
        <x:v>精确发布时间未核验</x:v>
      </x:c>
      <x:c r="M2335" s="11" t="str">
        <x:v>截止日前日期，盘中时分未核</x:v>
      </x:c>
    </x:row>
    <x:row r="2336" ht="23" customHeight="1">
      <x:c r="A2336" s="11" t="str">
        <x:v>I087</x:v>
      </x:c>
      <x:c r="B2336" s="11" t="str">
        <x:v>01810.HK</x:v>
      </x:c>
      <x:c r="C2336" s="11" t="str">
        <x:v>gaapProfitAttributableH1CNYmillion</x:v>
      </x:c>
      <x:c r="D2336" s="39" t="n">
        <x:v>14185.525</x:v>
      </x:c>
      <x:c r="E2336" s="11" t="str">
        <x:v>CNY</x:v>
      </x:c>
      <x:c r="F2336" s="11" t="str">
        <x:v>million</x:v>
      </x:c>
      <x:c r="G2336" s="11" t="str">
        <x:v>2026H1 and Q2</x:v>
      </x:c>
      <x:c r="H2336" s="11" t="str">
        <x:v>2026-08-18</x:v>
      </x:c>
      <x:c r="I2336" s="11" t="str">
        <x:v>https://ir.mi.com/static-files/4a85fc36-8a6d-4c24-b45b-b18d5d162e6c</x:v>
      </x:c>
      <x:c r="J2336" s="11" t="str">
        <x:v>reported input; field suffix retains original scale</x:v>
      </x:c>
      <x:c r="K2336" s="11" t="str">
        <x:v>待核</x:v>
      </x:c>
      <x:c r="L2336" s="11" t="str">
        <x:v>精确发布时间未核验</x:v>
      </x:c>
      <x:c r="M2336" s="11" t="str">
        <x:v>截止日前日期，盘中时分未核</x:v>
      </x:c>
    </x:row>
    <x:row r="2337" ht="23" customHeight="1">
      <x:c r="A2337" s="11" t="str">
        <x:v>I087</x:v>
      </x:c>
      <x:c r="B2337" s="11" t="str">
        <x:v>01810.HK</x:v>
      </x:c>
      <x:c r="C2337" s="11" t="str">
        <x:v>revenueQ2CNYmillion</x:v>
      </x:c>
      <x:c r="D2337" s="39" t="n">
        <x:v>108921.6</x:v>
      </x:c>
      <x:c r="E2337" s="11" t="str">
        <x:v>CNY</x:v>
      </x:c>
      <x:c r="F2337" s="11" t="str">
        <x:v>million</x:v>
      </x:c>
      <x:c r="G2337" s="11" t="str">
        <x:v>2026H1 and Q2</x:v>
      </x:c>
      <x:c r="H2337" s="11" t="str">
        <x:v>2026-08-18</x:v>
      </x:c>
      <x:c r="I2337" s="11" t="str">
        <x:v>https://ir.mi.com/static-files/4a85fc36-8a6d-4c24-b45b-b18d5d162e6c</x:v>
      </x:c>
      <x:c r="J2337" s="11" t="str">
        <x:v>reported input; field suffix retains original scale</x:v>
      </x:c>
      <x:c r="K2337" s="11" t="str">
        <x:v>待核</x:v>
      </x:c>
      <x:c r="L2337" s="11" t="str">
        <x:v>精确发布时间未核验</x:v>
      </x:c>
      <x:c r="M2337" s="11" t="str">
        <x:v>截止日前日期，盘中时分未核</x:v>
      </x:c>
    </x:row>
    <x:row r="2338" ht="23" customHeight="1">
      <x:c r="A2338" s="11" t="str">
        <x:v>I087</x:v>
      </x:c>
      <x:c r="B2338" s="11" t="str">
        <x:v>01810.HK</x:v>
      </x:c>
      <x:c r="C2338" s="11" t="str">
        <x:v>adjustedGroupNetProfitQ2CNYmillion</x:v>
      </x:c>
      <x:c r="D2338" s="39" t="n">
        <x:v>6219.073</x:v>
      </x:c>
      <x:c r="E2338" s="11" t="str">
        <x:v>CNY</x:v>
      </x:c>
      <x:c r="F2338" s="11" t="str">
        <x:v>million</x:v>
      </x:c>
      <x:c r="G2338" s="11" t="str">
        <x:v>2026H1 and Q2</x:v>
      </x:c>
      <x:c r="H2338" s="11" t="str">
        <x:v>2026-08-18</x:v>
      </x:c>
      <x:c r="I2338" s="11" t="str">
        <x:v>https://ir.mi.com/static-files/4a85fc36-8a6d-4c24-b45b-b18d5d162e6c</x:v>
      </x:c>
      <x:c r="J2338" s="11" t="str">
        <x:v>reported input; field suffix retains original scale</x:v>
      </x:c>
      <x:c r="K2338" s="11" t="str">
        <x:v>待核</x:v>
      </x:c>
      <x:c r="L2338" s="11" t="str">
        <x:v>精确发布时间未核验</x:v>
      </x:c>
      <x:c r="M2338" s="11" t="str">
        <x:v>截止日前日期，盘中时分未核</x:v>
      </x:c>
    </x:row>
    <x:row r="2339" ht="23" customHeight="1">
      <x:c r="A2339" s="11" t="str">
        <x:v>I087</x:v>
      </x:c>
      <x:c r="B2339" s="11" t="str">
        <x:v>01810.HK</x:v>
      </x:c>
      <x:c r="C2339" s="11" t="str">
        <x:v>smartphoneRevenueQ2CNYbillionRounded</x:v>
      </x:c>
      <x:c r="D2339" s="39" t="n">
        <x:v>42.1</x:v>
      </x:c>
      <x:c r="E2339" s="11" t="str">
        <x:v>CNY</x:v>
      </x:c>
      <x:c r="F2339" s="11" t="str">
        <x:v>billion</x:v>
      </x:c>
      <x:c r="G2339" s="11" t="str">
        <x:v>2026H1 and Q2</x:v>
      </x:c>
      <x:c r="H2339" s="11" t="str">
        <x:v>2026-08-18</x:v>
      </x:c>
      <x:c r="I2339" s="11" t="str">
        <x:v>https://ir.mi.com/static-files/4a85fc36-8a6d-4c24-b45b-b18d5d162e6c</x:v>
      </x:c>
      <x:c r="J2339" s="11" t="str">
        <x:v>reported input; field suffix retains original scale</x:v>
      </x:c>
      <x:c r="K2339" s="11" t="str">
        <x:v>待核</x:v>
      </x:c>
      <x:c r="L2339" s="11" t="str">
        <x:v>精确发布时间未核验</x:v>
      </x:c>
      <x:c r="M2339" s="11" t="str">
        <x:v>截止日前日期，盘中时分未核</x:v>
      </x:c>
    </x:row>
    <x:row r="2340" ht="23" customHeight="1">
      <x:c r="A2340" s="11" t="str">
        <x:v>I087</x:v>
      </x:c>
      <x:c r="B2340" s="11" t="str">
        <x:v>01810.HK</x:v>
      </x:c>
      <x:c r="C2340" s="11" t="str">
        <x:v>smartphoneShipmentsQ2million</x:v>
      </x:c>
      <x:c r="D2340" s="39" t="n">
        <x:v>31.2</x:v>
      </x:c>
      <x:c r="E2340" s="11" t="str">
        <x:v>CNY</x:v>
      </x:c>
      <x:c r="F2340" s="11" t="str">
        <x:v>million</x:v>
      </x:c>
      <x:c r="G2340" s="11" t="str">
        <x:v>2026H1 and Q2</x:v>
      </x:c>
      <x:c r="H2340" s="11" t="str">
        <x:v>2026-08-18</x:v>
      </x:c>
      <x:c r="I2340" s="11" t="str">
        <x:v>https://ir.mi.com/static-files/4a85fc36-8a6d-4c24-b45b-b18d5d162e6c</x:v>
      </x:c>
      <x:c r="J2340" s="11" t="str">
        <x:v>reported input; field suffix retains original scale</x:v>
      </x:c>
      <x:c r="K2340" s="11" t="str">
        <x:v>待核</x:v>
      </x:c>
      <x:c r="L2340" s="11" t="str">
        <x:v>精确发布时间未核验</x:v>
      </x:c>
      <x:c r="M2340" s="11" t="str">
        <x:v>截止日前日期，盘中时分未核</x:v>
      </x:c>
    </x:row>
    <x:row r="2341" ht="23" customHeight="1">
      <x:c r="A2341" s="11" t="str">
        <x:v>I087</x:v>
      </x:c>
      <x:c r="B2341" s="11" t="str">
        <x:v>01810.HK</x:v>
      </x:c>
      <x:c r="C2341" s="11" t="str">
        <x:v>smartphoneASPQ2CNY</x:v>
      </x:c>
      <x:c r="D2341" s="39" t="n">
        <x:v>1351</x:v>
      </x:c>
      <x:c r="E2341" s="11" t="str">
        <x:v>CNY</x:v>
      </x:c>
      <x:c r="F2341" s="11" t="str">
        <x:v>mixed; see fieldMetadata and original field suffix</x:v>
      </x:c>
      <x:c r="G2341" s="11" t="str">
        <x:v>2026H1 and Q2</x:v>
      </x:c>
      <x:c r="H2341" s="11" t="str">
        <x:v>2026-08-18</x:v>
      </x:c>
      <x:c r="I2341" s="11" t="str">
        <x:v>https://ir.mi.com/static-files/4a85fc36-8a6d-4c24-b45b-b18d5d162e6c</x:v>
      </x:c>
      <x:c r="J2341" s="11" t="str">
        <x:v>reported input; field suffix retains original scale</x:v>
      </x:c>
      <x:c r="K2341" s="11" t="str">
        <x:v>待核</x:v>
      </x:c>
      <x:c r="L2341" s="11" t="str">
        <x:v>精确发布时间未核验</x:v>
      </x:c>
      <x:c r="M2341" s="11" t="str">
        <x:v>截止日前日期，盘中时分未核</x:v>
      </x:c>
    </x:row>
    <x:row r="2342" ht="23" customHeight="1">
      <x:c r="A2342" s="11" t="str">
        <x:v>I087</x:v>
      </x:c>
      <x:c r="B2342" s="11" t="str">
        <x:v>01810.HK</x:v>
      </x:c>
      <x:c r="C2342" s="11" t="str">
        <x:v>smartphoneGrossMarginQ2</x:v>
      </x:c>
      <x:c r="D2342" s="39" t="n">
        <x:v>0.085</x:v>
      </x:c>
      <x:c r="E2342" s="11" t="str">
        <x:v>CNY</x:v>
      </x:c>
      <x:c r="F2342" s="11" t="str">
        <x:v>fraction</x:v>
      </x:c>
      <x:c r="G2342" s="11" t="str">
        <x:v>2026H1 and Q2</x:v>
      </x:c>
      <x:c r="H2342" s="11" t="str">
        <x:v>2026-08-18</x:v>
      </x:c>
      <x:c r="I2342" s="11" t="str">
        <x:v>https://ir.mi.com/static-files/4a85fc36-8a6d-4c24-b45b-b18d5d162e6c</x:v>
      </x:c>
      <x:c r="J2342" s="11" t="str">
        <x:v>reported input; field suffix retains original scale</x:v>
      </x:c>
      <x:c r="K2342" s="11" t="str">
        <x:v>待核</x:v>
      </x:c>
      <x:c r="L2342" s="11" t="str">
        <x:v>精确发布时间未核验</x:v>
      </x:c>
      <x:c r="M2342" s="11" t="str">
        <x:v>截止日前日期，盘中时分未核</x:v>
      </x:c>
    </x:row>
    <x:row r="2343" ht="23" customHeight="1">
      <x:c r="A2343" s="11" t="str">
        <x:v>I087</x:v>
      </x:c>
      <x:c r="B2343" s="11" t="str">
        <x:v>01810.HK</x:v>
      </x:c>
      <x:c r="C2343" s="11" t="str">
        <x:v>IoTRevenueQ2CNYbillionRounded</x:v>
      </x:c>
      <x:c r="D2343" s="39" t="n">
        <x:v>31.3</x:v>
      </x:c>
      <x:c r="E2343" s="11" t="str">
        <x:v>CNY</x:v>
      </x:c>
      <x:c r="F2343" s="11" t="str">
        <x:v>billion</x:v>
      </x:c>
      <x:c r="G2343" s="11" t="str">
        <x:v>2026H1 and Q2</x:v>
      </x:c>
      <x:c r="H2343" s="11" t="str">
        <x:v>2026-08-18</x:v>
      </x:c>
      <x:c r="I2343" s="11" t="str">
        <x:v>https://ir.mi.com/static-files/4a85fc36-8a6d-4c24-b45b-b18d5d162e6c</x:v>
      </x:c>
      <x:c r="J2343" s="11" t="str">
        <x:v>reported input; field suffix retains original scale</x:v>
      </x:c>
      <x:c r="K2343" s="11" t="str">
        <x:v>待核</x:v>
      </x:c>
      <x:c r="L2343" s="11" t="str">
        <x:v>精确发布时间未核验</x:v>
      </x:c>
      <x:c r="M2343" s="11" t="str">
        <x:v>截止日前日期，盘中时分未核</x:v>
      </x:c>
    </x:row>
    <x:row r="2344" ht="23" customHeight="1">
      <x:c r="A2344" s="11" t="str">
        <x:v>I087</x:v>
      </x:c>
      <x:c r="B2344" s="11" t="str">
        <x:v>01810.HK</x:v>
      </x:c>
      <x:c r="C2344" s="11" t="str">
        <x:v>IoTGrossMarginQ2</x:v>
      </x:c>
      <x:c r="D2344" s="39" t="n">
        <x:v>0.201</x:v>
      </x:c>
      <x:c r="E2344" s="11" t="str">
        <x:v>CNY</x:v>
      </x:c>
      <x:c r="F2344" s="11" t="str">
        <x:v>fraction</x:v>
      </x:c>
      <x:c r="G2344" s="11" t="str">
        <x:v>2026H1 and Q2</x:v>
      </x:c>
      <x:c r="H2344" s="11" t="str">
        <x:v>2026-08-18</x:v>
      </x:c>
      <x:c r="I2344" s="11" t="str">
        <x:v>https://ir.mi.com/static-files/4a85fc36-8a6d-4c24-b45b-b18d5d162e6c</x:v>
      </x:c>
      <x:c r="J2344" s="11" t="str">
        <x:v>reported input; field suffix retains original scale</x:v>
      </x:c>
      <x:c r="K2344" s="11" t="str">
        <x:v>待核</x:v>
      </x:c>
      <x:c r="L2344" s="11" t="str">
        <x:v>精确发布时间未核验</x:v>
      </x:c>
      <x:c r="M2344" s="11" t="str">
        <x:v>截止日前日期，盘中时分未核</x:v>
      </x:c>
    </x:row>
    <x:row r="2345" ht="23" customHeight="1">
      <x:c r="A2345" s="11" t="str">
        <x:v>I087</x:v>
      </x:c>
      <x:c r="B2345" s="11" t="str">
        <x:v>01810.HK</x:v>
      </x:c>
      <x:c r="C2345" s="11" t="str">
        <x:v>internetRevenueQ2CNYbillionRounded</x:v>
      </x:c>
      <x:c r="D2345" s="39" t="n">
        <x:v>9</x:v>
      </x:c>
      <x:c r="E2345" s="11" t="str">
        <x:v>CNY</x:v>
      </x:c>
      <x:c r="F2345" s="11" t="str">
        <x:v>billion</x:v>
      </x:c>
      <x:c r="G2345" s="11" t="str">
        <x:v>2026H1 and Q2</x:v>
      </x:c>
      <x:c r="H2345" s="11" t="str">
        <x:v>2026-08-18</x:v>
      </x:c>
      <x:c r="I2345" s="11" t="str">
        <x:v>https://ir.mi.com/static-files/4a85fc36-8a6d-4c24-b45b-b18d5d162e6c</x:v>
      </x:c>
      <x:c r="J2345" s="11" t="str">
        <x:v>reported input; field suffix retains original scale</x:v>
      </x:c>
      <x:c r="K2345" s="11" t="str">
        <x:v>待核</x:v>
      </x:c>
      <x:c r="L2345" s="11" t="str">
        <x:v>精确发布时间未核验</x:v>
      </x:c>
      <x:c r="M2345" s="11" t="str">
        <x:v>截止日前日期，盘中时分未核</x:v>
      </x:c>
    </x:row>
    <x:row r="2346" ht="23" customHeight="1">
      <x:c r="A2346" s="11" t="str">
        <x:v>I087</x:v>
      </x:c>
      <x:c r="B2346" s="11" t="str">
        <x:v>01810.HK</x:v>
      </x:c>
      <x:c r="C2346" s="11" t="str">
        <x:v>internetGrossMarginQ2</x:v>
      </x:c>
      <x:c r="D2346" s="39" t="n">
        <x:v>0.768</x:v>
      </x:c>
      <x:c r="E2346" s="11" t="str">
        <x:v>CNY</x:v>
      </x:c>
      <x:c r="F2346" s="11" t="str">
        <x:v>fraction</x:v>
      </x:c>
      <x:c r="G2346" s="11" t="str">
        <x:v>2026H1 and Q2</x:v>
      </x:c>
      <x:c r="H2346" s="11" t="str">
        <x:v>2026-08-18</x:v>
      </x:c>
      <x:c r="I2346" s="11" t="str">
        <x:v>https://ir.mi.com/static-files/4a85fc36-8a6d-4c24-b45b-b18d5d162e6c</x:v>
      </x:c>
      <x:c r="J2346" s="11" t="str">
        <x:v>reported input; field suffix retains original scale</x:v>
      </x:c>
      <x:c r="K2346" s="11" t="str">
        <x:v>待核</x:v>
      </x:c>
      <x:c r="L2346" s="11" t="str">
        <x:v>精确发布时间未核验</x:v>
      </x:c>
      <x:c r="M2346" s="11" t="str">
        <x:v>截止日前日期，盘中时分未核</x:v>
      </x:c>
    </x:row>
    <x:row r="2347" ht="23" customHeight="1">
      <x:c r="A2347" s="11" t="str">
        <x:v>I087</x:v>
      </x:c>
      <x:c r="B2347" s="11" t="str">
        <x:v>01810.HK</x:v>
      </x:c>
      <x:c r="C2347" s="11" t="str">
        <x:v>newBusinessRevenueQ2CNYbillionRounded</x:v>
      </x:c>
      <x:c r="D2347" s="39" t="n">
        <x:v>24.9</x:v>
      </x:c>
      <x:c r="E2347" s="11" t="str">
        <x:v>CNY</x:v>
      </x:c>
      <x:c r="F2347" s="11" t="str">
        <x:v>billion</x:v>
      </x:c>
      <x:c r="G2347" s="11" t="str">
        <x:v>2026H1 and Q2</x:v>
      </x:c>
      <x:c r="H2347" s="11" t="str">
        <x:v>2026-08-18</x:v>
      </x:c>
      <x:c r="I2347" s="11" t="str">
        <x:v>https://ir.mi.com/static-files/4a85fc36-8a6d-4c24-b45b-b18d5d162e6c</x:v>
      </x:c>
      <x:c r="J2347" s="11" t="str">
        <x:v>reported input; field suffix retains original scale</x:v>
      </x:c>
      <x:c r="K2347" s="11" t="str">
        <x:v>待核</x:v>
      </x:c>
      <x:c r="L2347" s="11" t="str">
        <x:v>精确发布时间未核验</x:v>
      </x:c>
      <x:c r="M2347" s="11" t="str">
        <x:v>截止日前日期，盘中时分未核</x:v>
      </x:c>
    </x:row>
    <x:row r="2348" ht="23" customHeight="1">
      <x:c r="A2348" s="11" t="str">
        <x:v>I087</x:v>
      </x:c>
      <x:c r="B2348" s="11" t="str">
        <x:v>01810.HK</x:v>
      </x:c>
      <x:c r="C2348" s="11" t="str">
        <x:v>EVRevenueQ2CNYbillionRounded</x:v>
      </x:c>
      <x:c r="D2348" s="39" t="n">
        <x:v>23.9</x:v>
      </x:c>
      <x:c r="E2348" s="11" t="str">
        <x:v>CNY</x:v>
      </x:c>
      <x:c r="F2348" s="11" t="str">
        <x:v>billion</x:v>
      </x:c>
      <x:c r="G2348" s="11" t="str">
        <x:v>2026H1 and Q2</x:v>
      </x:c>
      <x:c r="H2348" s="11" t="str">
        <x:v>2026-08-18</x:v>
      </x:c>
      <x:c r="I2348" s="11" t="str">
        <x:v>https://ir.mi.com/static-files/4a85fc36-8a6d-4c24-b45b-b18d5d162e6c</x:v>
      </x:c>
      <x:c r="J2348" s="11" t="str">
        <x:v>reported input; field suffix retains original scale</x:v>
      </x:c>
      <x:c r="K2348" s="11" t="str">
        <x:v>待核</x:v>
      </x:c>
      <x:c r="L2348" s="11" t="str">
        <x:v>精确发布时间未核验</x:v>
      </x:c>
      <x:c r="M2348" s="11" t="str">
        <x:v>截止日前日期，盘中时分未核</x:v>
      </x:c>
    </x:row>
    <x:row r="2349" ht="23" customHeight="1">
      <x:c r="A2349" s="11" t="str">
        <x:v>I087</x:v>
      </x:c>
      <x:c r="B2349" s="11" t="str">
        <x:v>01810.HK</x:v>
      </x:c>
      <x:c r="C2349" s="11" t="str">
        <x:v>newBusinessGrossMarginQ2</x:v>
      </x:c>
      <x:c r="D2349" s="39" t="n">
        <x:v>0.192</x:v>
      </x:c>
      <x:c r="E2349" s="11" t="str">
        <x:v>CNY</x:v>
      </x:c>
      <x:c r="F2349" s="11" t="str">
        <x:v>fraction</x:v>
      </x:c>
      <x:c r="G2349" s="11" t="str">
        <x:v>2026H1 and Q2</x:v>
      </x:c>
      <x:c r="H2349" s="11" t="str">
        <x:v>2026-08-18</x:v>
      </x:c>
      <x:c r="I2349" s="11" t="str">
        <x:v>https://ir.mi.com/static-files/4a85fc36-8a6d-4c24-b45b-b18d5d162e6c</x:v>
      </x:c>
      <x:c r="J2349" s="11" t="str">
        <x:v>reported input; field suffix retains original scale</x:v>
      </x:c>
      <x:c r="K2349" s="11" t="str">
        <x:v>待核</x:v>
      </x:c>
      <x:c r="L2349" s="11" t="str">
        <x:v>精确发布时间未核验</x:v>
      </x:c>
      <x:c r="M2349" s="11" t="str">
        <x:v>截止日前日期，盘中时分未核</x:v>
      </x:c>
    </x:row>
    <x:row r="2350" ht="23" customHeight="1">
      <x:c r="A2350" s="11" t="str">
        <x:v>I087</x:v>
      </x:c>
      <x:c r="B2350" s="11" t="str">
        <x:v>01810.HK</x:v>
      </x:c>
      <x:c r="C2350" s="11" t="str">
        <x:v>newBusinessOperatingLossQ2CNYbillionRounded</x:v>
      </x:c>
      <x:c r="D2350" s="39" t="n">
        <x:v>2.6</x:v>
      </x:c>
      <x:c r="E2350" s="11" t="str">
        <x:v>CNY</x:v>
      </x:c>
      <x:c r="F2350" s="11" t="str">
        <x:v>billion</x:v>
      </x:c>
      <x:c r="G2350" s="11" t="str">
        <x:v>2026H1 and Q2</x:v>
      </x:c>
      <x:c r="H2350" s="11" t="str">
        <x:v>2026-08-18</x:v>
      </x:c>
      <x:c r="I2350" s="11" t="str">
        <x:v>https://ir.mi.com/static-files/4a85fc36-8a6d-4c24-b45b-b18d5d162e6c</x:v>
      </x:c>
      <x:c r="J2350" s="11" t="str">
        <x:v>reported input; field suffix retains original scale</x:v>
      </x:c>
      <x:c r="K2350" s="11" t="str">
        <x:v>待核</x:v>
      </x:c>
      <x:c r="L2350" s="11" t="str">
        <x:v>精确发布时间未核验</x:v>
      </x:c>
      <x:c r="M2350" s="11" t="str">
        <x:v>截止日前日期，盘中时分未核</x:v>
      </x:c>
    </x:row>
    <x:row r="2351" ht="23" customHeight="1">
      <x:c r="A2351" s="11" t="str">
        <x:v>I087</x:v>
      </x:c>
      <x:c r="B2351" s="11" t="str">
        <x:v>01810.HK</x:v>
      </x:c>
      <x:c r="C2351" s="11" t="str">
        <x:v>EVDeliveriesQ2</x:v>
      </x:c>
      <x:c r="D2351" s="39" t="n">
        <x:v>104199</x:v>
      </x:c>
      <x:c r="E2351" s="11" t="str">
        <x:v>CNY</x:v>
      </x:c>
      <x:c r="F2351" s="11" t="str">
        <x:v>mixed; see fieldMetadata and original field suffix</x:v>
      </x:c>
      <x:c r="G2351" s="11" t="str">
        <x:v>2026H1 and Q2</x:v>
      </x:c>
      <x:c r="H2351" s="11" t="str">
        <x:v>2026-08-18</x:v>
      </x:c>
      <x:c r="I2351" s="11" t="str">
        <x:v>https://ir.mi.com/static-files/4a85fc36-8a6d-4c24-b45b-b18d5d162e6c</x:v>
      </x:c>
      <x:c r="J2351" s="11" t="str">
        <x:v>reported input; field suffix retains original scale</x:v>
      </x:c>
      <x:c r="K2351" s="11" t="str">
        <x:v>待核</x:v>
      </x:c>
      <x:c r="L2351" s="11" t="str">
        <x:v>精确发布时间未核验</x:v>
      </x:c>
      <x:c r="M2351" s="11" t="str">
        <x:v>截止日前日期，盘中时分未核</x:v>
      </x:c>
    </x:row>
    <x:row r="2352" ht="23" customHeight="1">
      <x:c r="A2352" s="11" t="str">
        <x:v>I087</x:v>
      </x:c>
      <x:c r="B2352" s="11" t="str">
        <x:v>01810.HK</x:v>
      </x:c>
      <x:c r="C2352" s="11" t="str">
        <x:v>RDCNYbillionQ2Rounded</x:v>
      </x:c>
      <x:c r="D2352" s="39" t="n">
        <x:v>9.2</x:v>
      </x:c>
      <x:c r="E2352" s="11" t="str">
        <x:v>CNY</x:v>
      </x:c>
      <x:c r="F2352" s="11" t="str">
        <x:v>billion</x:v>
      </x:c>
      <x:c r="G2352" s="11" t="str">
        <x:v>2026H1 and Q2</x:v>
      </x:c>
      <x:c r="H2352" s="11" t="str">
        <x:v>2026-08-18</x:v>
      </x:c>
      <x:c r="I2352" s="11" t="str">
        <x:v>https://ir.mi.com/static-files/4a85fc36-8a6d-4c24-b45b-b18d5d162e6c</x:v>
      </x:c>
      <x:c r="J2352" s="11" t="str">
        <x:v>reported input; field suffix retains original scale</x:v>
      </x:c>
      <x:c r="K2352" s="11" t="str">
        <x:v>待核</x:v>
      </x:c>
      <x:c r="L2352" s="11" t="str">
        <x:v>精确发布时间未核验</x:v>
      </x:c>
      <x:c r="M2352" s="11" t="str">
        <x:v>截止日前日期，盘中时分未核</x:v>
      </x:c>
    </x:row>
    <x:row r="2353" ht="23" customHeight="1">
      <x:c r="A2353" s="11" t="str">
        <x:v>I087</x:v>
      </x:c>
      <x:c r="B2353" s="11" t="str">
        <x:v>01810.HK</x:v>
      </x:c>
      <x:c r="C2353" s="11" t="str">
        <x:v>newBusinessOperatingExpensesQ2CNYbillionRounded</x:v>
      </x:c>
      <x:c r="D2353" s="39" t="n">
        <x:v>7.4</x:v>
      </x:c>
      <x:c r="E2353" s="11" t="str">
        <x:v>CNY</x:v>
      </x:c>
      <x:c r="F2353" s="11" t="str">
        <x:v>billion</x:v>
      </x:c>
      <x:c r="G2353" s="11" t="str">
        <x:v>2026H1 and Q2</x:v>
      </x:c>
      <x:c r="H2353" s="11" t="str">
        <x:v>2026-08-18</x:v>
      </x:c>
      <x:c r="I2353" s="11" t="str">
        <x:v>https://ir.mi.com/static-files/4a85fc36-8a6d-4c24-b45b-b18d5d162e6c</x:v>
      </x:c>
      <x:c r="J2353" s="11" t="str">
        <x:v>reported input; field suffix retains original scale</x:v>
      </x:c>
      <x:c r="K2353" s="11" t="str">
        <x:v>待核</x:v>
      </x:c>
      <x:c r="L2353" s="11" t="str">
        <x:v>精确发布时间未核验</x:v>
      </x:c>
      <x:c r="M2353" s="11" t="str">
        <x:v>截止日前日期，盘中时分未核</x:v>
      </x:c>
    </x:row>
    <x:row r="2354" ht="23" customHeight="1">
      <x:c r="A2354" s="11" t="str">
        <x:v>I087</x:v>
      </x:c>
      <x:c r="B2354" s="11" t="str">
        <x:v>01810.HK</x:v>
      </x:c>
      <x:c r="C2354" s="11" t="str">
        <x:v>OCFH1CNYmillion</x:v>
      </x:c>
      <x:c r="D2354" s="39" t="n">
        <x:v>2050.234</x:v>
      </x:c>
      <x:c r="E2354" s="11" t="str">
        <x:v>CNY</x:v>
      </x:c>
      <x:c r="F2354" s="11" t="str">
        <x:v>million</x:v>
      </x:c>
      <x:c r="G2354" s="11" t="str">
        <x:v>2026H1 and Q2</x:v>
      </x:c>
      <x:c r="H2354" s="11" t="str">
        <x:v>2026-08-18</x:v>
      </x:c>
      <x:c r="I2354" s="11" t="str">
        <x:v>https://ir.mi.com/static-files/4a85fc36-8a6d-4c24-b45b-b18d5d162e6c</x:v>
      </x:c>
      <x:c r="J2354" s="11" t="str">
        <x:v>reported input; field suffix retains original scale</x:v>
      </x:c>
      <x:c r="K2354" s="11" t="str">
        <x:v>待核</x:v>
      </x:c>
      <x:c r="L2354" s="11" t="str">
        <x:v>精确发布时间未核验</x:v>
      </x:c>
      <x:c r="M2354" s="11" t="str">
        <x:v>截止日前日期，盘中时分未核</x:v>
      </x:c>
    </x:row>
    <x:row r="2355" ht="23" customHeight="1">
      <x:c r="A2355" s="11" t="str">
        <x:v>I087</x:v>
      </x:c>
      <x:c r="B2355" s="11" t="str">
        <x:v>01810.HK</x:v>
      </x:c>
      <x:c r="C2355" s="11" t="str">
        <x:v>OCFQ1CNYmillionRounded</x:v>
      </x:c>
      <x:c r="D2355" s="39" t="n">
        <x:v>-1792</x:v>
      </x:c>
      <x:c r="E2355" s="11" t="str">
        <x:v>CNY</x:v>
      </x:c>
      <x:c r="F2355" s="11" t="str">
        <x:v>million</x:v>
      </x:c>
      <x:c r="G2355" s="11" t="str">
        <x:v>2026H1 and Q2</x:v>
      </x:c>
      <x:c r="H2355" s="11" t="str">
        <x:v>2026-08-18</x:v>
      </x:c>
      <x:c r="I2355" s="11" t="str">
        <x:v>https://ir.mi.com/static-files/4a85fc36-8a6d-4c24-b45b-b18d5d162e6c</x:v>
      </x:c>
      <x:c r="J2355" s="11" t="str">
        <x:v>reported input; field suffix retains original scale</x:v>
      </x:c>
      <x:c r="K2355" s="11" t="str">
        <x:v>待核</x:v>
      </x:c>
      <x:c r="L2355" s="11" t="str">
        <x:v>精确发布时间未核验</x:v>
      </x:c>
      <x:c r="M2355" s="11" t="str">
        <x:v>截止日前日期，盘中时分未核</x:v>
      </x:c>
    </x:row>
    <x:row r="2356" ht="23" customHeight="1">
      <x:c r="A2356" s="11" t="str">
        <x:v>I087</x:v>
      </x:c>
      <x:c r="B2356" s="11" t="str">
        <x:v>01810.HK</x:v>
      </x:c>
      <x:c r="C2356" s="11" t="str">
        <x:v>OCFQ2CNYmillionRounded</x:v>
      </x:c>
      <x:c r="D2356" s="39" t="n">
        <x:v>3842.2</x:v>
      </x:c>
      <x:c r="E2356" s="11" t="str">
        <x:v>CNY</x:v>
      </x:c>
      <x:c r="F2356" s="11" t="str">
        <x:v>million</x:v>
      </x:c>
      <x:c r="G2356" s="11" t="str">
        <x:v>2026H1 and Q2</x:v>
      </x:c>
      <x:c r="H2356" s="11" t="str">
        <x:v>2026-08-18</x:v>
      </x:c>
      <x:c r="I2356" s="11" t="str">
        <x:v>https://ir.mi.com/static-files/4a85fc36-8a6d-4c24-b45b-b18d5d162e6c</x:v>
      </x:c>
      <x:c r="J2356" s="11" t="str">
        <x:v>reported input; field suffix retains original scale</x:v>
      </x:c>
      <x:c r="K2356" s="11" t="str">
        <x:v>待核</x:v>
      </x:c>
      <x:c r="L2356" s="11" t="str">
        <x:v>精确发布时间未核验</x:v>
      </x:c>
      <x:c r="M2356" s="11" t="str">
        <x:v>截止日前日期，盘中时分未核</x:v>
      </x:c>
    </x:row>
    <x:row r="2357" ht="23" customHeight="1">
      <x:c r="A2357" s="11" t="str">
        <x:v>I087</x:v>
      </x:c>
      <x:c r="B2357" s="11" t="str">
        <x:v>01810.HK</x:v>
      </x:c>
      <x:c r="C2357" s="11" t="str">
        <x:v>managementAdjustedOCFQ1CNYbillionRounded</x:v>
      </x:c>
      <x:c r="D2357" s="39" t="n">
        <x:v>-5.2</x:v>
      </x:c>
      <x:c r="E2357" s="11" t="str">
        <x:v>CNY</x:v>
      </x:c>
      <x:c r="F2357" s="11" t="str">
        <x:v>billion</x:v>
      </x:c>
      <x:c r="G2357" s="11" t="str">
        <x:v>2026H1 and Q2</x:v>
      </x:c>
      <x:c r="H2357" s="11" t="str">
        <x:v>2026-08-18</x:v>
      </x:c>
      <x:c r="I2357" s="11" t="str">
        <x:v>https://ir.mi.com/static-files/4a85fc36-8a6d-4c24-b45b-b18d5d162e6c</x:v>
      </x:c>
      <x:c r="J2357" s="11" t="str">
        <x:v>reported input; field suffix retains original scale</x:v>
      </x:c>
      <x:c r="K2357" s="11" t="str">
        <x:v>待核</x:v>
      </x:c>
      <x:c r="L2357" s="11" t="str">
        <x:v>精确发布时间未核验</x:v>
      </x:c>
      <x:c r="M2357" s="11" t="str">
        <x:v>截止日前日期，盘中时分未核</x:v>
      </x:c>
    </x:row>
    <x:row r="2358" ht="23" customHeight="1">
      <x:c r="A2358" s="11" t="str">
        <x:v>I087</x:v>
      </x:c>
      <x:c r="B2358" s="11" t="str">
        <x:v>01810.HK</x:v>
      </x:c>
      <x:c r="C2358" s="11" t="str">
        <x:v>managementAdjustedOCFQ2CNYbillionRounded</x:v>
      </x:c>
      <x:c r="D2358" s="39" t="n">
        <x:v>11.2</x:v>
      </x:c>
      <x:c r="E2358" s="11" t="str">
        <x:v>CNY</x:v>
      </x:c>
      <x:c r="F2358" s="11" t="str">
        <x:v>billion</x:v>
      </x:c>
      <x:c r="G2358" s="11" t="str">
        <x:v>2026H1 and Q2</x:v>
      </x:c>
      <x:c r="H2358" s="11" t="str">
        <x:v>2026-08-18</x:v>
      </x:c>
      <x:c r="I2358" s="11" t="str">
        <x:v>https://ir.mi.com/static-files/4a85fc36-8a6d-4c24-b45b-b18d5d162e6c</x:v>
      </x:c>
      <x:c r="J2358" s="11" t="str">
        <x:v>reported input; field suffix retains original scale</x:v>
      </x:c>
      <x:c r="K2358" s="11" t="str">
        <x:v>待核</x:v>
      </x:c>
      <x:c r="L2358" s="11" t="str">
        <x:v>精确发布时间未核验</x:v>
      </x:c>
      <x:c r="M2358" s="11" t="str">
        <x:v>截止日前日期，盘中时分未核</x:v>
      </x:c>
    </x:row>
    <x:row r="2359" ht="23" customHeight="1">
      <x:c r="A2359" s="11" t="str">
        <x:v>I087</x:v>
      </x:c>
      <x:c r="B2359" s="11" t="str">
        <x:v>01810.HK</x:v>
      </x:c>
      <x:c r="C2359" s="11" t="str">
        <x:v>cashEquivalentsCNYmillion</x:v>
      </x:c>
      <x:c r="D2359" s="39" t="n">
        <x:v>37252.369</x:v>
      </x:c>
      <x:c r="E2359" s="11" t="str">
        <x:v>CNY</x:v>
      </x:c>
      <x:c r="F2359" s="11" t="str">
        <x:v>million</x:v>
      </x:c>
      <x:c r="G2359" s="11" t="str">
        <x:v>2026H1 and Q2</x:v>
      </x:c>
      <x:c r="H2359" s="11" t="str">
        <x:v>2026-08-18</x:v>
      </x:c>
      <x:c r="I2359" s="11" t="str">
        <x:v>https://ir.mi.com/static-files/4a85fc36-8a6d-4c24-b45b-b18d5d162e6c</x:v>
      </x:c>
      <x:c r="J2359" s="11" t="str">
        <x:v>reported input; field suffix retains original scale</x:v>
      </x:c>
      <x:c r="K2359" s="11" t="str">
        <x:v>待核</x:v>
      </x:c>
      <x:c r="L2359" s="11" t="str">
        <x:v>精确发布时间未核验</x:v>
      </x:c>
      <x:c r="M2359" s="11" t="str">
        <x:v>截止日前日期，盘中时分未核</x:v>
      </x:c>
    </x:row>
    <x:row r="2360" ht="23" customHeight="1">
      <x:c r="A2360" s="11" t="str">
        <x:v>I087</x:v>
      </x:c>
      <x:c r="B2360" s="11" t="str">
        <x:v>01810.HK</x:v>
      </x:c>
      <x:c r="C2360" s="11" t="str">
        <x:v>cashResourcesCNYbillionRounded</x:v>
      </x:c>
      <x:c r="D2360" s="39" t="n">
        <x:v>219.3</x:v>
      </x:c>
      <x:c r="E2360" s="11" t="str">
        <x:v>CNY</x:v>
      </x:c>
      <x:c r="F2360" s="11" t="str">
        <x:v>billion</x:v>
      </x:c>
      <x:c r="G2360" s="11" t="str">
        <x:v>2026H1 and Q2</x:v>
      </x:c>
      <x:c r="H2360" s="11" t="str">
        <x:v>2026-08-18</x:v>
      </x:c>
      <x:c r="I2360" s="11" t="str">
        <x:v>https://ir.mi.com/static-files/4a85fc36-8a6d-4c24-b45b-b18d5d162e6c</x:v>
      </x:c>
      <x:c r="J2360" s="11" t="str">
        <x:v>reported input; field suffix retains original scale</x:v>
      </x:c>
      <x:c r="K2360" s="11" t="str">
        <x:v>待核</x:v>
      </x:c>
      <x:c r="L2360" s="11" t="str">
        <x:v>精确发布时间未核验</x:v>
      </x:c>
      <x:c r="M2360" s="11" t="str">
        <x:v>截止日前日期，盘中时分未核</x:v>
      </x:c>
    </x:row>
    <x:row r="2361" ht="23" customHeight="1">
      <x:c r="A2361" s="11" t="str">
        <x:v>I087</x:v>
      </x:c>
      <x:c r="B2361" s="11" t="str">
        <x:v>01810.HK</x:v>
      </x:c>
      <x:c r="C2361" s="11" t="str">
        <x:v>interestBearingBorrowingsCNYmillion</x:v>
      </x:c>
      <x:c r="D2361" s="39" t="n">
        <x:v>39276.762</x:v>
      </x:c>
      <x:c r="E2361" s="11" t="str">
        <x:v>CNY</x:v>
      </x:c>
      <x:c r="F2361" s="11" t="str">
        <x:v>million</x:v>
      </x:c>
      <x:c r="G2361" s="11" t="str">
        <x:v>2026H1 and Q2</x:v>
      </x:c>
      <x:c r="H2361" s="11" t="str">
        <x:v>2026-08-18</x:v>
      </x:c>
      <x:c r="I2361" s="11" t="str">
        <x:v>https://ir.mi.com/static-files/4a85fc36-8a6d-4c24-b45b-b18d5d162e6c</x:v>
      </x:c>
      <x:c r="J2361" s="11" t="str">
        <x:v>reported input; field suffix retains original scale</x:v>
      </x:c>
      <x:c r="K2361" s="11" t="str">
        <x:v>待核</x:v>
      </x:c>
      <x:c r="L2361" s="11" t="str">
        <x:v>精确发布时间未核验</x:v>
      </x:c>
      <x:c r="M2361" s="11" t="str">
        <x:v>截止日前日期，盘中时分未核</x:v>
      </x:c>
    </x:row>
    <x:row r="2362" ht="23" customHeight="1">
      <x:c r="A2362" s="11" t="str">
        <x:v>I087</x:v>
      </x:c>
      <x:c r="B2362" s="11" t="str">
        <x:v>01810.HK</x:v>
      </x:c>
      <x:c r="C2362" s="11" t="str">
        <x:v>currentBorrowingsCNYmillion</x:v>
      </x:c>
      <x:c r="D2362" s="39" t="n">
        <x:v>29570.36</x:v>
      </x:c>
      <x:c r="E2362" s="11" t="str">
        <x:v>CNY</x:v>
      </x:c>
      <x:c r="F2362" s="11" t="str">
        <x:v>million</x:v>
      </x:c>
      <x:c r="G2362" s="11" t="str">
        <x:v>2026H1 and Q2</x:v>
      </x:c>
      <x:c r="H2362" s="11" t="str">
        <x:v>2026-08-18</x:v>
      </x:c>
      <x:c r="I2362" s="11" t="str">
        <x:v>https://ir.mi.com/static-files/4a85fc36-8a6d-4c24-b45b-b18d5d162e6c</x:v>
      </x:c>
      <x:c r="J2362" s="11" t="str">
        <x:v>reported input; field suffix retains original scale</x:v>
      </x:c>
      <x:c r="K2362" s="11" t="str">
        <x:v>待核</x:v>
      </x:c>
      <x:c r="L2362" s="11" t="str">
        <x:v>精确发布时间未核验</x:v>
      </x:c>
      <x:c r="M2362" s="11" t="str">
        <x:v>截止日前日期，盘中时分未核</x:v>
      </x:c>
    </x:row>
    <x:row r="2363" ht="23" customHeight="1">
      <x:c r="A2363" s="11" t="str">
        <x:v>I087</x:v>
      </x:c>
      <x:c r="B2363" s="11" t="str">
        <x:v>01810.HK</x:v>
      </x:c>
      <x:c r="C2363" s="11" t="str">
        <x:v>noncurrentBorrowingsCNYmillion</x:v>
      </x:c>
      <x:c r="D2363" s="39" t="n">
        <x:v>9706.402</x:v>
      </x:c>
      <x:c r="E2363" s="11" t="str">
        <x:v>CNY</x:v>
      </x:c>
      <x:c r="F2363" s="11" t="str">
        <x:v>million</x:v>
      </x:c>
      <x:c r="G2363" s="11" t="str">
        <x:v>2026H1 and Q2</x:v>
      </x:c>
      <x:c r="H2363" s="11" t="str">
        <x:v>2026-08-18</x:v>
      </x:c>
      <x:c r="I2363" s="11" t="str">
        <x:v>https://ir.mi.com/static-files/4a85fc36-8a6d-4c24-b45b-b18d5d162e6c</x:v>
      </x:c>
      <x:c r="J2363" s="11" t="str">
        <x:v>reported input; field suffix retains original scale</x:v>
      </x:c>
      <x:c r="K2363" s="11" t="str">
        <x:v>待核</x:v>
      </x:c>
      <x:c r="L2363" s="11" t="str">
        <x:v>精确发布时间未核验</x:v>
      </x:c>
      <x:c r="M2363" s="11" t="str">
        <x:v>截止日前日期，盘中时分未核</x:v>
      </x:c>
    </x:row>
    <x:row r="2364" ht="23" customHeight="1">
      <x:c r="A2364" s="11" t="str">
        <x:v>I087</x:v>
      </x:c>
      <x:c r="B2364" s="11" t="str">
        <x:v>01810.HK</x:v>
      </x:c>
      <x:c r="C2364" s="11" t="str">
        <x:v>netBroadResourcesResearchCNYbillion</x:v>
      </x:c>
      <x:c r="D2364" s="39" t="n">
        <x:v>180.023238</x:v>
      </x:c>
      <x:c r="E2364" s="11" t="str">
        <x:v>CNY</x:v>
      </x:c>
      <x:c r="F2364" s="11" t="str">
        <x:v>billion</x:v>
      </x:c>
      <x:c r="G2364" s="11" t="str">
        <x:v>2026H1 and Q2</x:v>
      </x:c>
      <x:c r="H2364" s="11" t="str">
        <x:v>2026-08-18</x:v>
      </x:c>
      <x:c r="I2364" s="11" t="str">
        <x:v>https://ir.mi.com/static-files/4a85fc36-8a6d-4c24-b45b-b18d5d162e6c</x:v>
      </x:c>
      <x:c r="J2364" s="11" t="str">
        <x:v>research calculation from cited inputs</x:v>
      </x:c>
      <x:c r="K2364" s="11" t="str">
        <x:v>待核</x:v>
      </x:c>
      <x:c r="L2364" s="11" t="str">
        <x:v>精确发布时间未核验</x:v>
      </x:c>
      <x:c r="M2364" s="11" t="str">
        <x:v>截止日前日期，盘中时分未核</x:v>
      </x:c>
    </x:row>
    <x:row r="2365" ht="23" customHeight="1">
      <x:c r="A2365" s="11" t="str">
        <x:v>I087</x:v>
      </x:c>
      <x:c r="B2365" s="11" t="str">
        <x:v>01810.HK</x:v>
      </x:c>
      <x:c r="C2365" s="11" t="str">
        <x:v>capexQ1CNYmillionRounded</x:v>
      </x:c>
      <x:c r="D2365" s="39" t="n">
        <x:v>3274.1</x:v>
      </x:c>
      <x:c r="E2365" s="11" t="str">
        <x:v>CNY</x:v>
      </x:c>
      <x:c r="F2365" s="11" t="str">
        <x:v>million</x:v>
      </x:c>
      <x:c r="G2365" s="11" t="str">
        <x:v>2026H1 and Q2</x:v>
      </x:c>
      <x:c r="H2365" s="11" t="str">
        <x:v>2026-08-18</x:v>
      </x:c>
      <x:c r="I2365" s="11" t="str">
        <x:v>https://ir.mi.com/static-files/4a85fc36-8a6d-4c24-b45b-b18d5d162e6c</x:v>
      </x:c>
      <x:c r="J2365" s="11" t="str">
        <x:v>reported input; field suffix retains original scale</x:v>
      </x:c>
      <x:c r="K2365" s="11" t="str">
        <x:v>待核</x:v>
      </x:c>
      <x:c r="L2365" s="11" t="str">
        <x:v>精确发布时间未核验</x:v>
      </x:c>
      <x:c r="M2365" s="11" t="str">
        <x:v>截止日前日期，盘中时分未核</x:v>
      </x:c>
    </x:row>
    <x:row r="2366" ht="23" customHeight="1">
      <x:c r="A2366" s="11" t="str">
        <x:v>I087</x:v>
      </x:c>
      <x:c r="B2366" s="11" t="str">
        <x:v>01810.HK</x:v>
      </x:c>
      <x:c r="C2366" s="11" t="str">
        <x:v>capexQ2CNYmillionRounded</x:v>
      </x:c>
      <x:c r="D2366" s="39" t="n">
        <x:v>3620.5</x:v>
      </x:c>
      <x:c r="E2366" s="11" t="str">
        <x:v>CNY</x:v>
      </x:c>
      <x:c r="F2366" s="11" t="str">
        <x:v>million</x:v>
      </x:c>
      <x:c r="G2366" s="11" t="str">
        <x:v>2026H1 and Q2</x:v>
      </x:c>
      <x:c r="H2366" s="11" t="str">
        <x:v>2026-08-18</x:v>
      </x:c>
      <x:c r="I2366" s="11" t="str">
        <x:v>https://ir.mi.com/static-files/4a85fc36-8a6d-4c24-b45b-b18d5d162e6c</x:v>
      </x:c>
      <x:c r="J2366" s="11" t="str">
        <x:v>reported input; field suffix retains original scale</x:v>
      </x:c>
      <x:c r="K2366" s="11" t="str">
        <x:v>待核</x:v>
      </x:c>
      <x:c r="L2366" s="11" t="str">
        <x:v>精确发布时间未核验</x:v>
      </x:c>
      <x:c r="M2366" s="11" t="str">
        <x:v>截止日前日期，盘中时分未核</x:v>
      </x:c>
    </x:row>
    <x:row r="2367" ht="23" customHeight="1">
      <x:c r="A2367" s="11" t="str">
        <x:v>I087</x:v>
      </x:c>
      <x:c r="B2367" s="11" t="str">
        <x:v>01810.HK</x:v>
      </x:c>
      <x:c r="C2367" s="11" t="str">
        <x:v>cashPurchasePPEQ2CNYbillionRounded</x:v>
      </x:c>
      <x:c r="D2367" s="39" t="n">
        <x:v>1.5</x:v>
      </x:c>
      <x:c r="E2367" s="11" t="str">
        <x:v>CNY</x:v>
      </x:c>
      <x:c r="F2367" s="11" t="str">
        <x:v>billion</x:v>
      </x:c>
      <x:c r="G2367" s="11" t="str">
        <x:v>2026H1 and Q2</x:v>
      </x:c>
      <x:c r="H2367" s="11" t="str">
        <x:v>2026-08-18</x:v>
      </x:c>
      <x:c r="I2367" s="11" t="str">
        <x:v>https://ir.mi.com/static-files/4a85fc36-8a6d-4c24-b45b-b18d5d162e6c</x:v>
      </x:c>
      <x:c r="J2367" s="11" t="str">
        <x:v>reported input; field suffix retains original scale</x:v>
      </x:c>
      <x:c r="K2367" s="11" t="str">
        <x:v>待核</x:v>
      </x:c>
      <x:c r="L2367" s="11" t="str">
        <x:v>精确发布时间未核验</x:v>
      </x:c>
      <x:c r="M2367" s="11" t="str">
        <x:v>截止日前日期，盘中时分未核</x:v>
      </x:c>
    </x:row>
    <x:row r="2368" ht="23" customHeight="1">
      <x:c r="A2368" s="11" t="str">
        <x:v>I087</x:v>
      </x:c>
      <x:c r="B2368" s="11" t="str">
        <x:v>01810.HK</x:v>
      </x:c>
      <x:c r="C2368" s="11" t="str">
        <x:v>dilutedSharesH1billion</x:v>
      </x:c>
      <x:c r="D2368" s="39" t="n">
        <x:v>26.451879</x:v>
      </x:c>
      <x:c r="E2368" s="11" t="str">
        <x:v>CNY</x:v>
      </x:c>
      <x:c r="F2368" s="11" t="str">
        <x:v>billion shares</x:v>
      </x:c>
      <x:c r="G2368" s="11" t="str">
        <x:v>2026H1 and Q2</x:v>
      </x:c>
      <x:c r="H2368" s="11" t="str">
        <x:v>2026-08-18</x:v>
      </x:c>
      <x:c r="I2368" s="11" t="str">
        <x:v>https://ir.mi.com/static-files/4a85fc36-8a6d-4c24-b45b-b18d5d162e6c</x:v>
      </x:c>
      <x:c r="J2368" s="11" t="str">
        <x:v>reported input; field suffix retains original scale</x:v>
      </x:c>
      <x:c r="K2368" s="11" t="str">
        <x:v>待核</x:v>
      </x:c>
      <x:c r="L2368" s="11" t="str">
        <x:v>精确发布时间未核验</x:v>
      </x:c>
      <x:c r="M2368" s="11" t="str">
        <x:v>截止日前日期，盘中时分未核</x:v>
      </x:c>
    </x:row>
    <x:row r="2369" ht="23" customHeight="1">
      <x:c r="A2369" s="11" t="str">
        <x:v>I087</x:v>
      </x:c>
      <x:c r="B2369" s="11" t="str">
        <x:v>01810.HK</x:v>
      </x:c>
      <x:c r="C2369" s="11" t="str">
        <x:v>dilutedSharesQ2billion</x:v>
      </x:c>
      <x:c r="D2369" s="39" t="n">
        <x:v>26.508777</x:v>
      </x:c>
      <x:c r="E2369" s="11" t="str">
        <x:v>CNY</x:v>
      </x:c>
      <x:c r="F2369" s="11" t="str">
        <x:v>billion shares</x:v>
      </x:c>
      <x:c r="G2369" s="11" t="str">
        <x:v>2026H1 and Q2</x:v>
      </x:c>
      <x:c r="H2369" s="11" t="str">
        <x:v>2026-08-18</x:v>
      </x:c>
      <x:c r="I2369" s="11" t="str">
        <x:v>https://ir.mi.com/static-files/4a85fc36-8a6d-4c24-b45b-b18d5d162e6c</x:v>
      </x:c>
      <x:c r="J2369" s="11" t="str">
        <x:v>reported input; field suffix retains original scale</x:v>
      </x:c>
      <x:c r="K2369" s="11" t="str">
        <x:v>待核</x:v>
      </x:c>
      <x:c r="L2369" s="11" t="str">
        <x:v>精确发布时间未核验</x:v>
      </x:c>
      <x:c r="M2369" s="11" t="str">
        <x:v>截止日前日期，盘中时分未核</x:v>
      </x:c>
    </x:row>
    <x:row r="2370" ht="23" customHeight="1">
      <x:c r="A2370" s="11" t="str">
        <x:v>I087</x:v>
      </x:c>
      <x:c r="B2370" s="11" t="str">
        <x:v>01810.HK</x:v>
      </x:c>
      <x:c r="C2370" s="11" t="str">
        <x:v>potentialConvertibleSharesQ2million</x:v>
      </x:c>
      <x:c r="D2370" s="39" t="n">
        <x:v>168.31</x:v>
      </x:c>
      <x:c r="E2370" s="11" t="str">
        <x:v>CNY</x:v>
      </x:c>
      <x:c r="F2370" s="11" t="str">
        <x:v>million shares</x:v>
      </x:c>
      <x:c r="G2370" s="11" t="str">
        <x:v>2026H1 and Q2</x:v>
      </x:c>
      <x:c r="H2370" s="11" t="str">
        <x:v>2026-08-18</x:v>
      </x:c>
      <x:c r="I2370" s="11" t="str">
        <x:v>https://ir.mi.com/static-files/4a85fc36-8a6d-4c24-b45b-b18d5d162e6c</x:v>
      </x:c>
      <x:c r="J2370" s="11" t="str">
        <x:v>reported input; field suffix retains original scale</x:v>
      </x:c>
      <x:c r="K2370" s="11" t="str">
        <x:v>待核</x:v>
      </x:c>
      <x:c r="L2370" s="11" t="str">
        <x:v>精确发布时间未核验</x:v>
      </x:c>
      <x:c r="M2370" s="11" t="str">
        <x:v>截止日前日期，盘中时分未核</x:v>
      </x:c>
    </x:row>
    <x:row r="2371" ht="23" customHeight="1">
      <x:c r="A2371" s="11" t="str">
        <x:v>I087</x:v>
      </x:c>
      <x:c r="B2371" s="11" t="str">
        <x:v>01810.HK</x:v>
      </x:c>
      <x:c r="C2371" s="11" t="str">
        <x:v>repurchaseSharesThroughDate</x:v>
      </x:c>
      <x:c r="D2371" s="39" t="n">
        <x:v>377465400</x:v>
      </x:c>
      <x:c r="E2371" s="11" t="str">
        <x:v>CNY</x:v>
      </x:c>
      <x:c r="F2371" s="11" t="str">
        <x:v>shares</x:v>
      </x:c>
      <x:c r="G2371" s="11" t="str">
        <x:v>2026H1 and Q2</x:v>
      </x:c>
      <x:c r="H2371" s="11" t="str">
        <x:v>2026-08-18</x:v>
      </x:c>
      <x:c r="I2371" s="11" t="str">
        <x:v>https://ir.mi.com/static-files/4a85fc36-8a6d-4c24-b45b-b18d5d162e6c</x:v>
      </x:c>
      <x:c r="J2371" s="11" t="str">
        <x:v>reported input; field suffix retains original scale</x:v>
      </x:c>
      <x:c r="K2371" s="11" t="str">
        <x:v>待核</x:v>
      </x:c>
      <x:c r="L2371" s="11" t="str">
        <x:v>精确发布时间未核验</x:v>
      </x:c>
      <x:c r="M2371" s="11" t="str">
        <x:v>截止日前日期，盘中时分未核</x:v>
      </x:c>
    </x:row>
    <x:row r="2372" ht="23" customHeight="1">
      <x:c r="A2372" s="11" t="str">
        <x:v>I087</x:v>
      </x:c>
      <x:c r="B2372" s="11" t="str">
        <x:v>01810.HK</x:v>
      </x:c>
      <x:c r="C2372" s="11" t="str">
        <x:v>repurchaseHKDThroughDate</x:v>
      </x:c>
      <x:c r="D2372" s="39" t="n">
        <x:v>11665522937</x:v>
      </x:c>
      <x:c r="E2372" s="11" t="str">
        <x:v>HKD</x:v>
      </x:c>
      <x:c r="F2372" s="11" t="str">
        <x:v>HKD</x:v>
      </x:c>
      <x:c r="G2372" s="11" t="str">
        <x:v>2026H1 and Q2</x:v>
      </x:c>
      <x:c r="H2372" s="11" t="str">
        <x:v>2026-08-18</x:v>
      </x:c>
      <x:c r="I2372" s="11" t="str">
        <x:v>https://ir.mi.com/static-files/4a85fc36-8a6d-4c24-b45b-b18d5d162e6c</x:v>
      </x:c>
      <x:c r="J2372" s="11" t="str">
        <x:v>reported input; field suffix retains original scale</x:v>
      </x:c>
      <x:c r="K2372" s="11" t="str">
        <x:v>待核</x:v>
      </x:c>
      <x:c r="L2372" s="11" t="str">
        <x:v>精确发布时间未核验</x:v>
      </x:c>
      <x:c r="M2372" s="11" t="str">
        <x:v>截止日前日期，盘中时分未核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50" hidden="0" customWidth="1"/>
    <x:col min="9" max="9" width="16" hidden="0" customWidth="1"/>
    <x:col min="10" max="10" width="16" hidden="0" customWidth="1"/>
    <x:col min="11" max="11" width="16" hidden="0" customWidth="1"/>
    <x:col min="12" max="12" width="110" hidden="0" customWidth="1"/>
    <x:col min="13" max="13" width="16" hidden="0" customWidth="1"/>
    <x:col min="14" max="14" width="7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4" t="str">
        <x:v>公开可核验机构目标 · 同机构最新有效记录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52" customHeight="1">
      <x:c r="A6" s="12" t="str">
        <x:v>发行人ID</x:v>
      </x:c>
      <x:c r="B6" s="12" t="str">
        <x:v>代码</x:v>
      </x:c>
      <x:c r="C6" s="12" t="str">
        <x:v>公司</x:v>
      </x:c>
      <x:c r="D6" s="12" t="str">
        <x:v>机构</x:v>
      </x:c>
      <x:c r="E6" s="12" t="str">
        <x:v>报告日</x:v>
      </x:c>
      <x:c r="F6" s="12" t="str">
        <x:v>目标价</x:v>
      </x:c>
      <x:c r="G6" s="12" t="str">
        <x:v>币种</x:v>
      </x:c>
      <x:c r="H6" s="12" t="str">
        <x:v>目标期限</x:v>
      </x:c>
      <x:c r="I6" s="12" t="str">
        <x:v>评级</x:v>
      </x:c>
      <x:c r="J6" s="12" t="str">
        <x:v>来源类型</x:v>
      </x:c>
      <x:c r="K6" s="12" t="str">
        <x:v>所有权</x:v>
      </x:c>
      <x:c r="L6" s="12" t="str">
        <x:v>来源URL</x:v>
      </x:c>
      <x:c r="M6" s="12" t="str">
        <x:v>时效</x:v>
      </x:c>
      <x:c r="N6" s="12" t="str">
        <x:v>证券映射限制</x:v>
      </x:c>
    </x:row>
    <x:row r="7" ht="23" customHeight="1">
      <x:c r="A7" s="11" t="str">
        <x:v>I048</x:v>
      </x:c>
      <x:c r="B7" s="11" t="str">
        <x:v>01801.HK</x:v>
      </x:c>
      <x:c r="C7" s="11" t="str">
        <x:v>信达生物</x:v>
      </x:c>
      <x:c r="D7" s="11" t="str">
        <x:v>HSBC</x:v>
      </x:c>
      <x:c r="E7" s="11" t="str">
        <x:v>2026-09-29</x:v>
      </x:c>
      <x:c r="F7" s="11" t="n">
        <x:v>130</x:v>
      </x:c>
      <x:c r="G7" s="11" t="str">
        <x:v>HKD</x:v>
      </x:c>
      <x:c r="H7" s="11" t="str">
        <x:v>未在公开转述中明确目标日</x:v>
      </x:c>
      <x:c r="I7" s="11" t="str">
        <x:v>买入</x:v>
      </x:c>
      <x:c r="J7" s="11" t="str">
        <x:v>financial_news_secondary</x:v>
      </x:c>
      <x:c r="K7" s="11" t="str">
        <x:v>foreign</x:v>
      </x:c>
      <x:c r="L7" s="11" t="str">
        <x:v>https://www.aastocks.com/tc/stocks/analysis/stock-aafn-con/01801/AAFN/NOW.1547010/research-report</x:v>
      </x:c>
      <x:c r="M7" s="11" t="str">
        <x:v>近90日</x:v>
      </x:c>
      <x:c r="N7" s="11" t="str"/>
    </x:row>
    <x:row r="8" ht="23" customHeight="1">
      <x:c r="A8" s="11" t="str">
        <x:v>I048</x:v>
      </x:c>
      <x:c r="B8" s="11" t="str">
        <x:v>01801.HK</x:v>
      </x:c>
      <x:c r="C8" s="11" t="str">
        <x:v>信达生物</x:v>
      </x:c>
      <x:c r="D8" s="11" t="str">
        <x:v>Goldman Sachs</x:v>
      </x:c>
      <x:c r="E8" s="11" t="str">
        <x:v>2026-09-11</x:v>
      </x:c>
      <x:c r="F8" s="11" t="n">
        <x:v>120.6</x:v>
      </x:c>
      <x:c r="G8" s="11" t="str">
        <x:v>HKD</x:v>
      </x:c>
      <x:c r="H8" s="11" t="str">
        <x:v>未在公开转述中明确目标日</x:v>
      </x:c>
      <x:c r="I8" s="11" t="str">
        <x:v>买入</x:v>
      </x:c>
      <x:c r="J8" s="11" t="str">
        <x:v>financial_news_secondary</x:v>
      </x:c>
      <x:c r="K8" s="11" t="str">
        <x:v>foreign</x:v>
      </x:c>
      <x:c r="L8" s="11" t="str">
        <x:v>https://www.aastocks.com/tc/stocks/analysis/stock-aafn-con/02268/AAFN/NOW.1544113/research-report</x:v>
      </x:c>
      <x:c r="M8" s="11" t="str">
        <x:v>近90日</x:v>
      </x:c>
      <x:c r="N8" s="11" t="str"/>
    </x:row>
    <x:row r="9" ht="23" customHeight="1">
      <x:c r="A9" s="11" t="str">
        <x:v>I048</x:v>
      </x:c>
      <x:c r="B9" s="11" t="str">
        <x:v>01801.HK</x:v>
      </x:c>
      <x:c r="C9" s="11" t="str">
        <x:v>信达生物</x:v>
      </x:c>
      <x:c r="D9" s="11" t="str">
        <x:v>UOB Kay Hian</x:v>
      </x:c>
      <x:c r="E9" s="11" t="str">
        <x:v>2026-10-05</x:v>
      </x:c>
      <x:c r="F9" s="11" t="n">
        <x:v>132</x:v>
      </x:c>
      <x:c r="G9" s="11" t="str">
        <x:v>HKD</x:v>
      </x:c>
      <x:c r="H9" s="11" t="str">
        <x:v>未在公开转述中明确目标日</x:v>
      </x:c>
      <x:c r="I9" s="11" t="str">
        <x:v>买入</x:v>
      </x:c>
      <x:c r="J9" s="11" t="str">
        <x:v>financial_news_secondary</x:v>
      </x:c>
      <x:c r="K9" s="11" t="str">
        <x:v>foreign</x:v>
      </x:c>
      <x:c r="L9" s="11" t="str">
        <x:v>https://www.aastocks.com/tc/stocks/analysis/stock-aafn-con/01801/AAFN/NOW.1547727/research-report</x:v>
      </x:c>
      <x:c r="M9" s="11" t="str">
        <x:v>近90日</x:v>
      </x:c>
      <x:c r="N9" s="11" t="str"/>
    </x:row>
    <x:row r="10" ht="23" customHeight="1">
      <x:c r="A10" s="11" t="str">
        <x:v>I034</x:v>
      </x:c>
      <x:c r="B10" s="11" t="str">
        <x:v>02269.HK</x:v>
      </x:c>
      <x:c r="C10" s="11" t="str">
        <x:v>药明生物</x:v>
      </x:c>
      <x:c r="D10" s="11" t="str">
        <x:v>Goldman Sachs</x:v>
      </x:c>
      <x:c r="E10" s="11" t="str">
        <x:v>2026-09-25</x:v>
      </x:c>
      <x:c r="F10" s="11" t="n">
        <x:v>55.8</x:v>
      </x:c>
      <x:c r="G10" s="11" t="str">
        <x:v>HKD</x:v>
      </x:c>
      <x:c r="H10" s="11" t="str">
        <x:v>预测PE约25倍；公开转述未明确目标日</x:v>
      </x:c>
      <x:c r="I10" s="11" t="str">
        <x:v>中性</x:v>
      </x:c>
      <x:c r="J10" s="11" t="str">
        <x:v>financial_news_secondary</x:v>
      </x:c>
      <x:c r="K10" s="11" t="str">
        <x:v>foreign</x:v>
      </x:c>
      <x:c r="L10" s="11" t="str">
        <x:v>https://www.aastocks.com/tc/stocks/analysis/stock-aafn-con/02269/AAFN/NOW.1546457/research-report</x:v>
      </x:c>
      <x:c r="M10" s="11" t="str">
        <x:v>近90日</x:v>
      </x:c>
      <x:c r="N10" s="11" t="str"/>
    </x:row>
    <x:row r="11" ht="23" customHeight="1">
      <x:c r="A11" s="11" t="str">
        <x:v>I034</x:v>
      </x:c>
      <x:c r="B11" s="11" t="str">
        <x:v>02269.HK</x:v>
      </x:c>
      <x:c r="C11" s="11" t="str">
        <x:v>药明生物</x:v>
      </x:c>
      <x:c r="D11" s="11" t="str">
        <x:v>Bank of America</x:v>
      </x:c>
      <x:c r="E11" s="11" t="str">
        <x:v>2026-09-21</x:v>
      </x:c>
      <x:c r="F11" s="11" t="n">
        <x:v>56</x:v>
      </x:c>
      <x:c r="G11" s="11" t="str">
        <x:v>HKD</x:v>
      </x:c>
      <x:c r="H11" s="11" t="str">
        <x:v>公开转述未明确目标日</x:v>
      </x:c>
      <x:c r="I11" s="11" t="str">
        <x:v>中性</x:v>
      </x:c>
      <x:c r="J11" s="11" t="str">
        <x:v>financial_news_secondary</x:v>
      </x:c>
      <x:c r="K11" s="11" t="str">
        <x:v>foreign</x:v>
      </x:c>
      <x:c r="L11" s="11" t="str">
        <x:v>https://www.aastocks.com/tc/stocks/analysis/stock-aafn-con/01801/AAFN/NOW.1545493/research-report</x:v>
      </x:c>
      <x:c r="M11" s="11" t="str">
        <x:v>近90日</x:v>
      </x:c>
      <x:c r="N11" s="11" t="str"/>
    </x:row>
    <x:row r="12" ht="23" customHeight="1">
      <x:c r="A12" s="11" t="str">
        <x:v>I034</x:v>
      </x:c>
      <x:c r="B12" s="11" t="str">
        <x:v>02269.HK</x:v>
      </x:c>
      <x:c r="C12" s="11" t="str">
        <x:v>药明生物</x:v>
      </x:c>
      <x:c r="D12" s="11" t="str">
        <x:v>Citi</x:v>
      </x:c>
      <x:c r="E12" s="11" t="str">
        <x:v>2026-08-27</x:v>
      </x:c>
      <x:c r="F12" s="11" t="n">
        <x:v>62</x:v>
      </x:c>
      <x:c r="G12" s="11" t="str">
        <x:v>HKD</x:v>
      </x:c>
      <x:c r="H12" s="11" t="str">
        <x:v>公开转述未明确目标日</x:v>
      </x:c>
      <x:c r="I12" s="11" t="str">
        <x:v>买入</x:v>
      </x:c>
      <x:c r="J12" s="11" t="str">
        <x:v>financial_news_secondary</x:v>
      </x:c>
      <x:c r="K12" s="11" t="str">
        <x:v>foreign</x:v>
      </x:c>
      <x:c r="L12" s="11" t="str">
        <x:v>https://www.aastocks.com/tc/stocks/analysis/stock-aafn-con/02269/AAFN/NOW.1541199/research-report</x:v>
      </x:c>
      <x:c r="M12" s="11" t="str">
        <x:v>近90日</x:v>
      </x:c>
      <x:c r="N12" s="11" t="str"/>
    </x:row>
    <x:row r="13" ht="23" customHeight="1">
      <x:c r="A13" s="11" t="str">
        <x:v>I034</x:v>
      </x:c>
      <x:c r="B13" s="11" t="str">
        <x:v>02269.HK</x:v>
      </x:c>
      <x:c r="C13" s="11" t="str">
        <x:v>药明生物</x:v>
      </x:c>
      <x:c r="D13" s="11" t="str">
        <x:v>Daiwa</x:v>
      </x:c>
      <x:c r="E13" s="11" t="str">
        <x:v>2026-08-27</x:v>
      </x:c>
      <x:c r="F13" s="11" t="n">
        <x:v>59</x:v>
      </x:c>
      <x:c r="G13" s="11" t="str">
        <x:v>HKD</x:v>
      </x:c>
      <x:c r="H13" s="11" t="str">
        <x:v>预测PE24倍；公开转述未明确目标日</x:v>
      </x:c>
      <x:c r="I13" s="11" t="str">
        <x:v>买入</x:v>
      </x:c>
      <x:c r="J13" s="11" t="str">
        <x:v>financial_news_secondary</x:v>
      </x:c>
      <x:c r="K13" s="11" t="str">
        <x:v>foreign</x:v>
      </x:c>
      <x:c r="L13" s="11" t="str">
        <x:v>https://www.aastocks.com/tc/stocks/analysis/stock-aafn-con/02269/AAFN/NOW.1541244/research-report</x:v>
      </x:c>
      <x:c r="M13" s="11" t="str">
        <x:v>近90日</x:v>
      </x:c>
      <x:c r="N13" s="11" t="str"/>
    </x:row>
    <x:row r="14" ht="23" customHeight="1">
      <x:c r="A14" s="11" t="str">
        <x:v>I034</x:v>
      </x:c>
      <x:c r="B14" s="11" t="str">
        <x:v>02269.HK</x:v>
      </x:c>
      <x:c r="C14" s="11" t="str">
        <x:v>药明生物</x:v>
      </x:c>
      <x:c r="D14" s="11" t="str">
        <x:v>Nomura</x:v>
      </x:c>
      <x:c r="E14" s="11" t="str">
        <x:v>2026-08-26</x:v>
      </x:c>
      <x:c r="F14" s="11" t="n">
        <x:v>60.22</x:v>
      </x:c>
      <x:c r="G14" s="11" t="str">
        <x:v>HKD</x:v>
      </x:c>
      <x:c r="H14" s="11" t="str">
        <x:v>公开转述未明确目标日</x:v>
      </x:c>
      <x:c r="I14" s="11" t="str">
        <x:v>买入</x:v>
      </x:c>
      <x:c r="J14" s="11" t="str">
        <x:v>financial_news_secondary</x:v>
      </x:c>
      <x:c r="K14" s="11" t="str">
        <x:v>foreign</x:v>
      </x:c>
      <x:c r="L14" s="11" t="str">
        <x:v>https://www.aastocks.com/tc/stocks/analysis/stock-aafn-con/02269/AAFN/NOW.1540819/research-report</x:v>
      </x:c>
      <x:c r="M14" s="11" t="str">
        <x:v>近90日</x:v>
      </x:c>
      <x:c r="N14" s="11" t="str"/>
    </x:row>
    <x:row r="15" ht="23" customHeight="1">
      <x:c r="A15" s="11" t="str">
        <x:v>I034</x:v>
      </x:c>
      <x:c r="B15" s="11" t="str">
        <x:v>02269.HK</x:v>
      </x:c>
      <x:c r="C15" s="11" t="str">
        <x:v>药明生物</x:v>
      </x:c>
      <x:c r="D15" s="11" t="str">
        <x:v>Morgan Stanley</x:v>
      </x:c>
      <x:c r="E15" s="11" t="str">
        <x:v>2026-08-26</x:v>
      </x:c>
      <x:c r="F15" s="11" t="n">
        <x:v>57</x:v>
      </x:c>
      <x:c r="G15" s="11" t="str">
        <x:v>HKD</x:v>
      </x:c>
      <x:c r="H15" s="11" t="str">
        <x:v>公开转述未明确目标日</x:v>
      </x:c>
      <x:c r="I15" s="11" t="str">
        <x:v>增持</x:v>
      </x:c>
      <x:c r="J15" s="11" t="str">
        <x:v>financial_news_secondary</x:v>
      </x:c>
      <x:c r="K15" s="11" t="str">
        <x:v>foreign</x:v>
      </x:c>
      <x:c r="L15" s="11" t="str">
        <x:v>https://www.aastocks.com/tc/stocks/analysis/stock-aafn-con/02269/AAFN/NOW.1540816/research-report</x:v>
      </x:c>
      <x:c r="M15" s="11" t="str">
        <x:v>近90日</x:v>
      </x:c>
      <x:c r="N15" s="11" t="str"/>
    </x:row>
    <x:row r="16" ht="23" customHeight="1">
      <x:c r="A16" s="11" t="str">
        <x:v>I034</x:v>
      </x:c>
      <x:c r="B16" s="11" t="str">
        <x:v>02269.HK</x:v>
      </x:c>
      <x:c r="C16" s="11" t="str">
        <x:v>药明生物</x:v>
      </x:c>
      <x:c r="D16" s="11" t="str">
        <x:v>CLSA</x:v>
      </x:c>
      <x:c r="E16" s="11" t="str">
        <x:v>2026-08-27</x:v>
      </x:c>
      <x:c r="F16" s="11" t="n">
        <x:v>65.7</x:v>
      </x:c>
      <x:c r="G16" s="11" t="str">
        <x:v>HKD</x:v>
      </x:c>
      <x:c r="H16" s="11" t="str">
        <x:v>CLSA为中资控制国际券商，单独标记</x:v>
      </x:c>
      <x:c r="I16" s="11" t="str">
        <x:v>跑赢大市</x:v>
      </x:c>
      <x:c r="J16" s="11" t="str">
        <x:v>financial_news_secondary</x:v>
      </x:c>
      <x:c r="K16" s="11" t="str">
        <x:v>Chinese-controlled international brokerage</x:v>
      </x:c>
      <x:c r="L16" s="11" t="str">
        <x:v>https://www.aastocks.com/tc/stocks/analysis/stock-aafn-con/02269/AAFN/NOW.1541272/research-report</x:v>
      </x:c>
      <x:c r="M16" s="11" t="str">
        <x:v>近90日</x:v>
      </x:c>
      <x:c r="N16" s="11" t="str"/>
    </x:row>
    <x:row r="17" ht="23" customHeight="1">
      <x:c r="A17" s="11" t="str">
        <x:v>I049</x:v>
      </x:c>
      <x:c r="B17" s="11" t="str">
        <x:v>02268.HK</x:v>
      </x:c>
      <x:c r="C17" s="11" t="str">
        <x:v>药明合联</x:v>
      </x:c>
      <x:c r="D17" s="11" t="str">
        <x:v>Goldman Sachs</x:v>
      </x:c>
      <x:c r="E17" s="11" t="str">
        <x:v>2026-09-25</x:v>
      </x:c>
      <x:c r="F17" s="11" t="n">
        <x:v>97.9</x:v>
      </x:c>
      <x:c r="G17" s="11" t="str">
        <x:v>HKD</x:v>
      </x:c>
      <x:c r="H17" s="11" t="str">
        <x:v>预测未来12月PE35倍</x:v>
      </x:c>
      <x:c r="I17" s="11" t="str">
        <x:v>买入</x:v>
      </x:c>
      <x:c r="J17" s="11" t="str">
        <x:v>financial_news_secondary</x:v>
      </x:c>
      <x:c r="K17" s="11" t="str">
        <x:v>foreign</x:v>
      </x:c>
      <x:c r="L17" s="11" t="str">
        <x:v>https://www.aastocks.com/tc/stocks/analysis/stock-aafn-con/02268/AAFN/NOW.1546461/research-report</x:v>
      </x:c>
      <x:c r="M17" s="11" t="str">
        <x:v>近90日</x:v>
      </x:c>
      <x:c r="N17" s="11" t="str"/>
    </x:row>
    <x:row r="18" ht="23" customHeight="1">
      <x:c r="A18" s="11" t="str">
        <x:v>I049</x:v>
      </x:c>
      <x:c r="B18" s="11" t="str">
        <x:v>02268.HK</x:v>
      </x:c>
      <x:c r="C18" s="11" t="str">
        <x:v>药明合联</x:v>
      </x:c>
      <x:c r="D18" s="11" t="str">
        <x:v>Morgan Stanley</x:v>
      </x:c>
      <x:c r="E18" s="11" t="str">
        <x:v>2026-09-18</x:v>
      </x:c>
      <x:c r="F18" s="11" t="n">
        <x:v>85</x:v>
      </x:c>
      <x:c r="G18" s="11" t="str">
        <x:v>HKD</x:v>
      </x:c>
      <x:c r="H18" s="11" t="str">
        <x:v>公开转述未明确目标日</x:v>
      </x:c>
      <x:c r="I18" s="11" t="str">
        <x:v>增持</x:v>
      </x:c>
      <x:c r="J18" s="11" t="str">
        <x:v>financial_news_secondary</x:v>
      </x:c>
      <x:c r="K18" s="11" t="str">
        <x:v>foreign</x:v>
      </x:c>
      <x:c r="L18" s="11" t="str">
        <x:v>https://www.aastocks.com/tc/stocks/analysis/stock-aafn-con/02268/AAFN/NOW.1545304/research-report</x:v>
      </x:c>
      <x:c r="M18" s="11" t="str">
        <x:v>近90日</x:v>
      </x:c>
      <x:c r="N18" s="11" t="str"/>
    </x:row>
    <x:row r="19" ht="23" customHeight="1">
      <x:c r="A19" s="11" t="str">
        <x:v>I049</x:v>
      </x:c>
      <x:c r="B19" s="11" t="str">
        <x:v>02268.HK</x:v>
      </x:c>
      <x:c r="C19" s="11" t="str">
        <x:v>药明合联</x:v>
      </x:c>
      <x:c r="D19" s="11" t="str">
        <x:v>Citi</x:v>
      </x:c>
      <x:c r="E19" s="11" t="str">
        <x:v>2026-08-26</x:v>
      </x:c>
      <x:c r="F19" s="11" t="n">
        <x:v>93</x:v>
      </x:c>
      <x:c r="G19" s="11" t="str">
        <x:v>HKD</x:v>
      </x:c>
      <x:c r="H19" s="11" t="str">
        <x:v>收入2026—2035 CAGR假设26%；公开转述未明确目标日</x:v>
      </x:c>
      <x:c r="I19" s="11" t="str">
        <x:v>买入</x:v>
      </x:c>
      <x:c r="J19" s="11" t="str">
        <x:v>financial_news_secondary</x:v>
      </x:c>
      <x:c r="K19" s="11" t="str">
        <x:v>foreign</x:v>
      </x:c>
      <x:c r="L19" s="11" t="str">
        <x:v>https://www.aastocks.com/tc/stocks/analysis/stock-aafn-con/02268/AAFN/NOW.1540912/research-report</x:v>
      </x:c>
      <x:c r="M19" s="11" t="str">
        <x:v>近90日</x:v>
      </x:c>
      <x:c r="N19" s="11" t="str"/>
    </x:row>
    <x:row r="20" ht="23" customHeight="1">
      <x:c r="A20" s="11" t="str">
        <x:v>I049</x:v>
      </x:c>
      <x:c r="B20" s="11" t="str">
        <x:v>02268.HK</x:v>
      </x:c>
      <x:c r="C20" s="11" t="str">
        <x:v>药明合联</x:v>
      </x:c>
      <x:c r="D20" s="11" t="str">
        <x:v>UBS</x:v>
      </x:c>
      <x:c r="E20" s="11" t="str">
        <x:v>2026-08-25</x:v>
      </x:c>
      <x:c r="F20" s="11" t="n">
        <x:v>94.6</x:v>
      </x:c>
      <x:c r="G20" s="11" t="str">
        <x:v>HKD</x:v>
      </x:c>
      <x:c r="H20" s="11" t="str">
        <x:v>公开转述未明确目标日</x:v>
      </x:c>
      <x:c r="I20" s="11" t="str">
        <x:v>买入</x:v>
      </x:c>
      <x:c r="J20" s="11" t="str">
        <x:v>financial_news_secondary</x:v>
      </x:c>
      <x:c r="K20" s="11" t="str">
        <x:v>foreign</x:v>
      </x:c>
      <x:c r="L20" s="11" t="str">
        <x:v>https://www.aastocks.com/tc/stocks/analysis/stock-aafn-con/02268/AAFN/NOW.1540527/research-report</x:v>
      </x:c>
      <x:c r="M20" s="11" t="str">
        <x:v>近90日</x:v>
      </x:c>
      <x:c r="N20" s="11" t="str"/>
    </x:row>
    <x:row r="21" ht="23" customHeight="1">
      <x:c r="A21" s="11" t="str">
        <x:v>I052</x:v>
      </x:c>
      <x:c r="B21" s="11" t="str">
        <x:v>09926.HK</x:v>
      </x:c>
      <x:c r="C21" s="11" t="str">
        <x:v>康方生物</x:v>
      </x:c>
      <x:c r="D21" s="11" t="str">
        <x:v>HSBC</x:v>
      </x:c>
      <x:c r="E21" s="11" t="str">
        <x:v>2026-09-29</x:v>
      </x:c>
      <x:c r="F21" s="11" t="n">
        <x:v>163</x:v>
      </x:c>
      <x:c r="G21" s="11" t="str">
        <x:v>HKD</x:v>
      </x:c>
      <x:c r="H21" s="11" t="str">
        <x:v>公开转述未明确目标日</x:v>
      </x:c>
      <x:c r="I21" s="11" t="str">
        <x:v>买入</x:v>
      </x:c>
      <x:c r="J21" s="11" t="str">
        <x:v>financial_news_secondary</x:v>
      </x:c>
      <x:c r="K21" s="11" t="str">
        <x:v>foreign</x:v>
      </x:c>
      <x:c r="L21" s="11" t="str">
        <x:v>https://www.aastocks.com/tc/stocks/analysis/stock-aafn-con/01801/AAFN/NOW.1547010/research-report</x:v>
      </x:c>
      <x:c r="M21" s="11" t="str">
        <x:v>近90日</x:v>
      </x:c>
      <x:c r="N21" s="11" t="str"/>
    </x:row>
    <x:row r="22" ht="23" customHeight="1">
      <x:c r="A22" s="11" t="str">
        <x:v>I052</x:v>
      </x:c>
      <x:c r="B22" s="11" t="str">
        <x:v>09926.HK</x:v>
      </x:c>
      <x:c r="C22" s="11" t="str">
        <x:v>康方生物</x:v>
      </x:c>
      <x:c r="D22" s="11" t="str">
        <x:v>JPMorgan</x:v>
      </x:c>
      <x:c r="E22" s="11" t="str">
        <x:v>2026-09-14</x:v>
      </x:c>
      <x:c r="F22" s="11" t="n">
        <x:v>125</x:v>
      </x:c>
      <x:c r="G22" s="11" t="str">
        <x:v>HKD</x:v>
      </x:c>
      <x:c r="H22" s="11" t="str">
        <x:v>明确2027年12月DCF；WACC9.6%，终端增速3%</x:v>
      </x:c>
      <x:c r="I22" s="11" t="str">
        <x:v>增持</x:v>
      </x:c>
      <x:c r="J22" s="11" t="str">
        <x:v>financial_news_secondary</x:v>
      </x:c>
      <x:c r="K22" s="11" t="str">
        <x:v>foreign</x:v>
      </x:c>
      <x:c r="L22" s="11" t="str">
        <x:v>https://www.aastocks.com/tc/stocks/analysis/stock-aafn-con/09926/AAFN/NOW.1544291/research-report</x:v>
      </x:c>
      <x:c r="M22" s="11" t="str">
        <x:v>近90日</x:v>
      </x:c>
      <x:c r="N22" s="11" t="str"/>
    </x:row>
    <x:row r="23" ht="23" customHeight="1">
      <x:c r="A23" s="11" t="str">
        <x:v>I052</x:v>
      </x:c>
      <x:c r="B23" s="11" t="str">
        <x:v>09926.HK</x:v>
      </x:c>
      <x:c r="C23" s="11" t="str">
        <x:v>康方生物</x:v>
      </x:c>
      <x:c r="D23" s="11" t="str">
        <x:v>Bank of America</x:v>
      </x:c>
      <x:c r="E23" s="11" t="str">
        <x:v>2026-09-14</x:v>
      </x:c>
      <x:c r="F23" s="11" t="n">
        <x:v>136</x:v>
      </x:c>
      <x:c r="G23" s="11" t="str">
        <x:v>HKD</x:v>
      </x:c>
      <x:c r="H23" s="11" t="str">
        <x:v>DCF；公开转述未明确目标日</x:v>
      </x:c>
      <x:c r="I23" s="11" t="str">
        <x:v>买入</x:v>
      </x:c>
      <x:c r="J23" s="11" t="str">
        <x:v>financial_news_secondary</x:v>
      </x:c>
      <x:c r="K23" s="11" t="str">
        <x:v>foreign</x:v>
      </x:c>
      <x:c r="L23" s="11" t="str">
        <x:v>https://www.aastocks.com/tc/stocks/analysis/stock-aafn-con/09926/AAFN/NOW.1544352/research-report</x:v>
      </x:c>
      <x:c r="M23" s="11" t="str">
        <x:v>近90日</x:v>
      </x:c>
      <x:c r="N23" s="11" t="str"/>
    </x:row>
    <x:row r="24" ht="23" customHeight="1">
      <x:c r="A24" s="11" t="str">
        <x:v>I052</x:v>
      </x:c>
      <x:c r="B24" s="11" t="str">
        <x:v>09926.HK</x:v>
      </x:c>
      <x:c r="C24" s="11" t="str">
        <x:v>康方生物</x:v>
      </x:c>
      <x:c r="D24" s="11" t="str">
        <x:v>Nomura</x:v>
      </x:c>
      <x:c r="E24" s="11" t="str">
        <x:v>2026-09-30</x:v>
      </x:c>
      <x:c r="F24" s="11" t="n">
        <x:v>138.29</x:v>
      </x:c>
      <x:c r="G24" s="11" t="str">
        <x:v>HKD</x:v>
      </x:c>
      <x:c r="H24" s="11" t="str">
        <x:v>公开转述未明确目标日</x:v>
      </x:c>
      <x:c r="I24" s="11" t="str">
        <x:v>买入</x:v>
      </x:c>
      <x:c r="J24" s="11" t="str">
        <x:v>financial_news_secondary</x:v>
      </x:c>
      <x:c r="K24" s="11" t="str">
        <x:v>foreign</x:v>
      </x:c>
      <x:c r="L24" s="11" t="str">
        <x:v>https://www.aastocks.com/tc/stocks/analysis/stock-aafn-con/09926/AAFN/NOW.1547156/research-report</x:v>
      </x:c>
      <x:c r="M24" s="11" t="str">
        <x:v>近90日</x:v>
      </x:c>
      <x:c r="N24" s="11" t="str"/>
    </x:row>
    <x:row r="25" ht="23" customHeight="1">
      <x:c r="A25" s="11" t="str">
        <x:v>I052</x:v>
      </x:c>
      <x:c r="B25" s="11" t="str">
        <x:v>09926.HK</x:v>
      </x:c>
      <x:c r="C25" s="11" t="str">
        <x:v>康方生物</x:v>
      </x:c>
      <x:c r="D25" s="11" t="str">
        <x:v>CLSA</x:v>
      </x:c>
      <x:c r="E25" s="11" t="str">
        <x:v>2026-08-31</x:v>
      </x:c>
      <x:c r="F25" s="11" t="n">
        <x:v>177.8</x:v>
      </x:c>
      <x:c r="G25" s="11" t="str">
        <x:v>HKD</x:v>
      </x:c>
      <x:c r="H25" s="11" t="str">
        <x:v>CLSA为中资控制国际券商；公开转述未明确目标日</x:v>
      </x:c>
      <x:c r="I25" s="11" t="str">
        <x:v>跑赢大市</x:v>
      </x:c>
      <x:c r="J25" s="11" t="str">
        <x:v>financial_news_secondary</x:v>
      </x:c>
      <x:c r="K25" s="11" t="str">
        <x:v>Chinese-controlled international brokerage</x:v>
      </x:c>
      <x:c r="L25" s="11" t="str">
        <x:v>https://www.aastocks.com/tc/stocks/analysis/stock-aafn-con/09926/AAFN/NOW.1542128/research-report</x:v>
      </x:c>
      <x:c r="M25" s="11" t="str">
        <x:v>近90日</x:v>
      </x:c>
      <x:c r="N25" s="11" t="str"/>
    </x:row>
    <x:row r="26" ht="23" customHeight="1">
      <x:c r="A26" s="11" t="str">
        <x:v>I011</x:v>
      </x:c>
      <x:c r="B26" s="11" t="str">
        <x:v>01276.HK</x:v>
      </x:c>
      <x:c r="C26" s="11" t="str">
        <x:v>恒瑞医药</x:v>
      </x:c>
      <x:c r="D26" s="11" t="str">
        <x:v>HSBC</x:v>
      </x:c>
      <x:c r="E26" s="11" t="str">
        <x:v>2026-09-29</x:v>
      </x:c>
      <x:c r="F26" s="11" t="n">
        <x:v>72.5</x:v>
      </x:c>
      <x:c r="G26" s="11" t="str">
        <x:v>HKD</x:v>
      </x:c>
      <x:c r="H26" s="11" t="str">
        <x:v>公开转述未明确目标日</x:v>
      </x:c>
      <x:c r="I26" s="11" t="str">
        <x:v>买入</x:v>
      </x:c>
      <x:c r="J26" s="11" t="str">
        <x:v>financial_news_secondary</x:v>
      </x:c>
      <x:c r="K26" s="11" t="str">
        <x:v>foreign</x:v>
      </x:c>
      <x:c r="L26" s="11" t="str">
        <x:v>https://www.aastocks.com/tc/stocks/analysis/stock-aafn-con/01801/AAFN/NOW.1547010/research-report</x:v>
      </x:c>
      <x:c r="M26" s="11" t="str">
        <x:v>近90日</x:v>
      </x:c>
      <x:c r="N26" s="11" t="str"/>
    </x:row>
    <x:row r="27" ht="23" customHeight="1">
      <x:c r="A27" s="11" t="str">
        <x:v>I012</x:v>
      </x:c>
      <x:c r="B27" s="11" t="str">
        <x:v>ONC.US (ADR)</x:v>
      </x:c>
      <x:c r="C27" s="11" t="str">
        <x:v>百济神州</x:v>
      </x:c>
      <x:c r="D27" s="11" t="str">
        <x:v>Goldman Sachs</x:v>
      </x:c>
      <x:c r="E27" s="11" t="str">
        <x:v>2026-08-24</x:v>
      </x:c>
      <x:c r="F27" s="11" t="n">
        <x:v>441.3</x:v>
      </x:c>
      <x:c r="G27" s="11" t="str">
        <x:v>USD</x:v>
      </x:c>
      <x:c r="H27" s="11" t="str">
        <x:v>USD，未核验ADR比率，不能直接转为6160港股目标</x:v>
      </x:c>
      <x:c r="I27" s="11" t="str">
        <x:v>买入</x:v>
      </x:c>
      <x:c r="J27" s="11" t="str">
        <x:v>financial_news_secondary</x:v>
      </x:c>
      <x:c r="K27" s="11" t="str">
        <x:v>foreign</x:v>
      </x:c>
      <x:c r="L27" s="11" t="str">
        <x:v>https://www.aastocks.com/tc/stocks/analysis/stock-aafn-con/06160/AAFN/NOW.1540291/research-report</x:v>
      </x:c>
      <x:c r="M27" s="11" t="str">
        <x:v>近90日</x:v>
      </x:c>
      <x:c r="N27" s="11" t="str">
        <x:v>ADR原目标；1ADS=13普通股，换算值为研究假设，非机构港股目标</x:v>
      </x:c>
    </x:row>
    <x:row r="28" ht="23" customHeight="1">
      <x:c r="A28" s="11" t="str">
        <x:v>I012</x:v>
      </x:c>
      <x:c r="B28" s="11" t="str">
        <x:v>ONC.US (ADR)</x:v>
      </x:c>
      <x:c r="C28" s="11" t="str">
        <x:v>百济神州</x:v>
      </x:c>
      <x:c r="D28" s="11" t="str">
        <x:v>HSBC</x:v>
      </x:c>
      <x:c r="E28" s="11" t="str">
        <x:v>2026-09-29</x:v>
      </x:c>
      <x:c r="F28" s="11" t="n">
        <x:v>385</x:v>
      </x:c>
      <x:c r="G28" s="11" t="str">
        <x:v>USD</x:v>
      </x:c>
      <x:c r="H28" s="11" t="str">
        <x:v>USD，未核验ADR比率，不能直接转为6160港股目标</x:v>
      </x:c>
      <x:c r="I28" s="11" t="str">
        <x:v>买入</x:v>
      </x:c>
      <x:c r="J28" s="11" t="str">
        <x:v>financial_news_secondary</x:v>
      </x:c>
      <x:c r="K28" s="11" t="str">
        <x:v>foreign</x:v>
      </x:c>
      <x:c r="L28" s="11" t="str">
        <x:v>https://www.aastocks.com/tc/stocks/analysis/stock-aafn-con/01801/AAFN/NOW.1547010/research-report</x:v>
      </x:c>
      <x:c r="M28" s="11" t="str">
        <x:v>近90日</x:v>
      </x:c>
      <x:c r="N28" s="11" t="str">
        <x:v>ADR原目标；1ADS=13普通股，换算值为研究假设，非机构港股目标</x:v>
      </x:c>
    </x:row>
    <x:row r="29" ht="23" customHeight="1">
      <x:c r="A29" s="11" t="str">
        <x:v>I023</x:v>
      </x:c>
      <x:c r="B29" s="11" t="str">
        <x:v>01530.HK</x:v>
      </x:c>
      <x:c r="C29" s="11" t="str">
        <x:v>三生制药</x:v>
      </x:c>
      <x:c r="D29" s="11" t="str">
        <x:v>UBS</x:v>
      </x:c>
      <x:c r="E29" s="11" t="str">
        <x:v>2026-09-09</x:v>
      </x:c>
      <x:c r="F29" s="11" t="n">
        <x:v>26.4</x:v>
      </x:c>
      <x:c r="G29" s="11" t="str">
        <x:v>HKD</x:v>
      </x:c>
      <x:c r="H29" s="11" t="str">
        <x:v>公开转述未明确目标日</x:v>
      </x:c>
      <x:c r="I29" s="11" t="str">
        <x:v>买入</x:v>
      </x:c>
      <x:c r="J29" s="11" t="str">
        <x:v>financial_news_secondary</x:v>
      </x:c>
      <x:c r="K29" s="11" t="str">
        <x:v>foreign</x:v>
      </x:c>
      <x:c r="L29" s="11" t="str">
        <x:v>https://www.aastocks.com/tc/stocks/analysis/stock-aafn-con/01530/AAFN/NOW.1543624/research-report</x:v>
      </x:c>
      <x:c r="M29" s="11" t="str">
        <x:v>近90日</x:v>
      </x:c>
      <x:c r="N29" s="11" t="str"/>
    </x:row>
    <x:row r="30" ht="23" customHeight="1">
      <x:c r="A30" s="11" t="str">
        <x:v>I023</x:v>
      </x:c>
      <x:c r="B30" s="11" t="str">
        <x:v>01530.HK</x:v>
      </x:c>
      <x:c r="C30" s="11" t="str">
        <x:v>三生制药</x:v>
      </x:c>
      <x:c r="D30" s="11" t="str">
        <x:v>CLSA</x:v>
      </x:c>
      <x:c r="E30" s="11" t="str">
        <x:v>2026-08-31</x:v>
      </x:c>
      <x:c r="F30" s="11" t="n">
        <x:v>30.4</x:v>
      </x:c>
      <x:c r="G30" s="11" t="str">
        <x:v>HKD</x:v>
      </x:c>
      <x:c r="H30" s="11" t="str">
        <x:v>CLSA为中资控制国际券商；公开转述未明确目标日</x:v>
      </x:c>
      <x:c r="I30" s="11" t="str">
        <x:v>跑赢大市</x:v>
      </x:c>
      <x:c r="J30" s="11" t="str">
        <x:v>financial_news_secondary</x:v>
      </x:c>
      <x:c r="K30" s="11" t="str">
        <x:v>Chinese-controlled international brokerage</x:v>
      </x:c>
      <x:c r="L30" s="11" t="str">
        <x:v>https://www.aastocks.com/tc/stocks/analysis/stock-aafn-con/01530/AAFN/NOW.1542044/research-report</x:v>
      </x:c>
      <x:c r="M30" s="11" t="str">
        <x:v>近90日</x:v>
      </x:c>
      <x:c r="N30" s="11" t="str"/>
    </x:row>
    <x:row r="31" ht="23" customHeight="1">
      <x:c r="A31" s="11" t="str">
        <x:v>I029</x:v>
      </x:c>
      <x:c r="B31" s="11" t="str">
        <x:v>03692.HK</x:v>
      </x:c>
      <x:c r="C31" s="11" t="str">
        <x:v>翰森制药</x:v>
      </x:c>
      <x:c r="D31" s="11" t="str">
        <x:v>HSBC</x:v>
      </x:c>
      <x:c r="E31" s="11" t="str">
        <x:v>2026-09-29</x:v>
      </x:c>
      <x:c r="F31" s="11" t="n">
        <x:v>49.5</x:v>
      </x:c>
      <x:c r="G31" s="11" t="str">
        <x:v>HKD</x:v>
      </x:c>
      <x:c r="H31" s="11" t="str">
        <x:v>公开转述未明确目标日</x:v>
      </x:c>
      <x:c r="I31" s="11" t="str">
        <x:v>买入</x:v>
      </x:c>
      <x:c r="J31" s="11" t="str">
        <x:v>financial_news_secondary</x:v>
      </x:c>
      <x:c r="K31" s="11" t="str">
        <x:v>foreign</x:v>
      </x:c>
      <x:c r="L31" s="11" t="str">
        <x:v>https://www.aastocks.com/tc/stocks/analysis/stock-aafn-con/01801/AAFN/NOW.1547010/research-report</x:v>
      </x:c>
      <x:c r="M31" s="11" t="str">
        <x:v>近90日</x:v>
      </x:c>
      <x:c r="N31" s="11" t="str"/>
    </x:row>
    <x:row r="32" ht="23" customHeight="1">
      <x:c r="A32" s="11" t="str">
        <x:v>I029</x:v>
      </x:c>
      <x:c r="B32" s="11" t="str">
        <x:v>03692.HK</x:v>
      </x:c>
      <x:c r="C32" s="11" t="str">
        <x:v>翰森制药</x:v>
      </x:c>
      <x:c r="D32" s="11" t="str">
        <x:v>JPMorgan</x:v>
      </x:c>
      <x:c r="E32" s="11" t="str">
        <x:v>2026-09-28</x:v>
      </x:c>
      <x:c r="F32" s="11" t="n">
        <x:v>50</x:v>
      </x:c>
      <x:c r="G32" s="11" t="str">
        <x:v>HKD</x:v>
      </x:c>
      <x:c r="H32" s="11" t="str">
        <x:v>公开转述未明确目标日</x:v>
      </x:c>
      <x:c r="I32" s="11" t="str">
        <x:v>增持</x:v>
      </x:c>
      <x:c r="J32" s="11" t="str">
        <x:v>financial_news_secondary</x:v>
      </x:c>
      <x:c r="K32" s="11" t="str">
        <x:v>foreign</x:v>
      </x:c>
      <x:c r="L32" s="11" t="str">
        <x:v>https://www.aastocks.com/tc/stocks/analysis/stock-aafn-con/03692/AAFN/NOW.1546650/research-report</x:v>
      </x:c>
      <x:c r="M32" s="11" t="str">
        <x:v>近90日</x:v>
      </x:c>
      <x:c r="N32" s="11" t="str"/>
    </x:row>
    <x:row r="33" ht="23" customHeight="1">
      <x:c r="A33" s="11" t="str">
        <x:v>I029</x:v>
      </x:c>
      <x:c r="B33" s="11" t="str">
        <x:v>03692.HK</x:v>
      </x:c>
      <x:c r="C33" s="11" t="str">
        <x:v>翰森制药</x:v>
      </x:c>
      <x:c r="D33" s="11" t="str">
        <x:v>Goldman Sachs</x:v>
      </x:c>
      <x:c r="E33" s="11" t="str">
        <x:v>2026-09-11</x:v>
      </x:c>
      <x:c r="F33" s="11" t="n">
        <x:v>52.7</x:v>
      </x:c>
      <x:c r="G33" s="11" t="str">
        <x:v>HKD</x:v>
      </x:c>
      <x:c r="H33" s="11" t="str">
        <x:v>公开转述未明确目标日</x:v>
      </x:c>
      <x:c r="I33" s="11" t="str">
        <x:v>买入</x:v>
      </x:c>
      <x:c r="J33" s="11" t="str">
        <x:v>financial_news_secondary</x:v>
      </x:c>
      <x:c r="K33" s="11" t="str">
        <x:v>foreign</x:v>
      </x:c>
      <x:c r="L33" s="11" t="str">
        <x:v>https://www.aastocks.com/tc/stocks/analysis/stock-aafn-con/02268/AAFN/NOW.1544113/research-report</x:v>
      </x:c>
      <x:c r="M33" s="11" t="str">
        <x:v>近90日</x:v>
      </x:c>
      <x:c r="N33" s="11" t="str"/>
    </x:row>
    <x:row r="34" ht="23" customHeight="1">
      <x:c r="A34" s="11" t="str">
        <x:v>I027</x:v>
      </x:c>
      <x:c r="B34" s="11" t="str">
        <x:v>02228.HK</x:v>
      </x:c>
      <x:c r="C34" s="11" t="str">
        <x:v>晶泰控股</x:v>
      </x:c>
      <x:c r="D34" s="11" t="str">
        <x:v>Citi</x:v>
      </x:c>
      <x:c r="E34" s="11" t="str">
        <x:v>2026-09-03</x:v>
      </x:c>
      <x:c r="F34" s="11" t="n">
        <x:v>8</x:v>
      </x:c>
      <x:c r="G34" s="11" t="str">
        <x:v>HKD</x:v>
      </x:c>
      <x:c r="H34" s="11" t="str">
        <x:v>公开转述未明确目标日</x:v>
      </x:c>
      <x:c r="I34" s="11" t="str">
        <x:v>中性/高风险</x:v>
      </x:c>
      <x:c r="J34" s="11" t="str">
        <x:v>financial_news_secondary</x:v>
      </x:c>
      <x:c r="K34" s="11" t="str">
        <x:v>foreign</x:v>
      </x:c>
      <x:c r="L34" s="11" t="str">
        <x:v>https://www.aastocks.com/tc/stocks/analysis/stock-aafn-con/02228/AAFN/NOW.1542717/research-report</x:v>
      </x:c>
      <x:c r="M34" s="11" t="str">
        <x:v>近90日</x:v>
      </x:c>
      <x:c r="N34" s="11" t="str"/>
    </x:row>
    <x:row r="35" ht="23" customHeight="1">
      <x:c r="A35" s="11" t="str">
        <x:v>I027</x:v>
      </x:c>
      <x:c r="B35" s="11" t="str">
        <x:v>02228.HK</x:v>
      </x:c>
      <x:c r="C35" s="11" t="str">
        <x:v>晶泰控股</x:v>
      </x:c>
      <x:c r="D35" s="11" t="str">
        <x:v>JPMorgan</x:v>
      </x:c>
      <x:c r="E35" s="11" t="str">
        <x:v>2026-07-24</x:v>
      </x:c>
      <x:c r="F35" s="11" t="n">
        <x:v>10</x:v>
      </x:c>
      <x:c r="G35" s="11" t="str">
        <x:v>HKD</x:v>
      </x:c>
      <x:c r="H35" s="11" t="str">
        <x:v>公开转述未明确目标日</x:v>
      </x:c>
      <x:c r="I35" s="11" t="str">
        <x:v>增持</x:v>
      </x:c>
      <x:c r="J35" s="11" t="str">
        <x:v>financial_news_secondary</x:v>
      </x:c>
      <x:c r="K35" s="11" t="str">
        <x:v>foreign</x:v>
      </x:c>
      <x:c r="L35" s="11" t="str">
        <x:v>https://www.aastocks.com/tc/stocks/analysis/stock-aafn-con/02228/AAFN/NOW.1534847/research-report</x:v>
      </x:c>
      <x:c r="M35" s="11" t="str">
        <x:v>近90日</x:v>
      </x:c>
      <x:c r="N35" s="11" t="str"/>
    </x:row>
    <x:row r="36" ht="23" customHeight="1">
      <x:c r="A36" s="11" t="str">
        <x:v>I008</x:v>
      </x:c>
      <x:c r="B36" s="11" t="str">
        <x:v>03696.HK</x:v>
      </x:c>
      <x:c r="C36" s="11" t="str">
        <x:v>英矽智能</x:v>
      </x:c>
      <x:c r="D36" s="11" t="str">
        <x:v>Jefferies</x:v>
      </x:c>
      <x:c r="E36" s="11" t="str">
        <x:v>2026-09-24</x:v>
      </x:c>
      <x:c r="F36" s="11" t="n">
        <x:v>100</x:v>
      </x:c>
      <x:c r="G36" s="11" t="str">
        <x:v>HKD</x:v>
      </x:c>
      <x:c r="H36" s="11" t="str">
        <x:v>公开转述未明确目标日</x:v>
      </x:c>
      <x:c r="I36" s="11" t="str">
        <x:v>买入</x:v>
      </x:c>
      <x:c r="J36" s="11" t="str">
        <x:v>financial_news_secondary</x:v>
      </x:c>
      <x:c r="K36" s="11" t="str">
        <x:v>foreign</x:v>
      </x:c>
      <x:c r="L36" s="11" t="str">
        <x:v>https://www.aastocks.com/tc/stocks/analysis/stock-aafn-con/03696/AAFN/NOW.1546233/research-report</x:v>
      </x:c>
      <x:c r="M36" s="11" t="str">
        <x:v>近90日</x:v>
      </x:c>
      <x:c r="N36" s="11" t="str"/>
    </x:row>
    <x:row r="37" ht="23" customHeight="1">
      <x:c r="A37" s="11" t="str">
        <x:v>I008</x:v>
      </x:c>
      <x:c r="B37" s="11" t="str">
        <x:v>03696.HK</x:v>
      </x:c>
      <x:c r="C37" s="11" t="str">
        <x:v>英矽智能</x:v>
      </x:c>
      <x:c r="D37" s="11" t="str">
        <x:v>JPMorgan</x:v>
      </x:c>
      <x:c r="E37" s="11" t="str">
        <x:v>2026-09-21</x:v>
      </x:c>
      <x:c r="F37" s="11" t="n">
        <x:v>71</x:v>
      </x:c>
      <x:c r="G37" s="11" t="str">
        <x:v>HKD</x:v>
      </x:c>
      <x:c r="H37" s="11" t="str">
        <x:v>明确2027年12月SOTP；药物17.5倍及软件其他8.9倍EV/S</x:v>
      </x:c>
      <x:c r="I37" s="11" t="str">
        <x:v>增持</x:v>
      </x:c>
      <x:c r="J37" s="11" t="str">
        <x:v>financial_news_secondary</x:v>
      </x:c>
      <x:c r="K37" s="11" t="str">
        <x:v>foreign</x:v>
      </x:c>
      <x:c r="L37" s="11" t="str">
        <x:v>https://www.aastocks.com/tc/stocks/analysis/stock-aafn-con/03696/AAFN/NOW.1545526/research-report</x:v>
      </x:c>
      <x:c r="M37" s="11" t="str">
        <x:v>近90日</x:v>
      </x:c>
      <x:c r="N37" s="11" t="str"/>
    </x:row>
    <x:row r="38" ht="23" customHeight="1">
      <x:c r="A38" s="11" t="str">
        <x:v>I008</x:v>
      </x:c>
      <x:c r="B38" s="11" t="str">
        <x:v>03696.HK</x:v>
      </x:c>
      <x:c r="C38" s="11" t="str">
        <x:v>英矽智能</x:v>
      </x:c>
      <x:c r="D38" s="11" t="str">
        <x:v>Citi</x:v>
      </x:c>
      <x:c r="E38" s="11" t="str">
        <x:v>2026-09-09</x:v>
      </x:c>
      <x:c r="F38" s="11" t="n">
        <x:v>85</x:v>
      </x:c>
      <x:c r="G38" s="11" t="str">
        <x:v>HKD</x:v>
      </x:c>
      <x:c r="H38" s="11" t="str">
        <x:v>DCF；公开转述未明确目标日</x:v>
      </x:c>
      <x:c r="I38" s="11" t="str">
        <x:v>买入/高风险</x:v>
      </x:c>
      <x:c r="J38" s="11" t="str">
        <x:v>financial_news_secondary</x:v>
      </x:c>
      <x:c r="K38" s="11" t="str">
        <x:v>foreign</x:v>
      </x:c>
      <x:c r="L38" s="11" t="str">
        <x:v>https://www.aastocks.com/tc/stocks/analysis/stock-aafn-con/03696/AAFN/NOW.1543625/research-report</x:v>
      </x:c>
      <x:c r="M38" s="11" t="str">
        <x:v>近90日</x:v>
      </x:c>
      <x:c r="N38" s="11" t="str"/>
    </x:row>
    <x:row r="39" ht="23" customHeight="1">
      <x:c r="A39" s="11" t="str">
        <x:v>I008</x:v>
      </x:c>
      <x:c r="B39" s="11" t="str">
        <x:v>03696.HK</x:v>
      </x:c>
      <x:c r="C39" s="11" t="str">
        <x:v>英矽智能</x:v>
      </x:c>
      <x:c r="D39" s="11" t="str">
        <x:v>HSBC</x:v>
      </x:c>
      <x:c r="E39" s="11" t="str">
        <x:v>2026-09-09</x:v>
      </x:c>
      <x:c r="F39" s="11" t="n">
        <x:v>84.5</x:v>
      </x:c>
      <x:c r="G39" s="11" t="str">
        <x:v>HKD</x:v>
      </x:c>
      <x:c r="H39" s="11" t="str">
        <x:v>公开转述未明确目标日</x:v>
      </x:c>
      <x:c r="I39" s="11" t="str">
        <x:v>买入</x:v>
      </x:c>
      <x:c r="J39" s="11" t="str">
        <x:v>financial_news_secondary</x:v>
      </x:c>
      <x:c r="K39" s="11" t="str">
        <x:v>foreign</x:v>
      </x:c>
      <x:c r="L39" s="11" t="str">
        <x:v>https://www.aastocks.com/tc/stocks/analysis/stock-aafn-con/03696/AAFN/NOW.1543616/research-report</x:v>
      </x:c>
      <x:c r="M39" s="11" t="str">
        <x:v>近90日</x:v>
      </x:c>
      <x:c r="N39" s="11" t="str"/>
    </x:row>
    <x:row r="40" ht="23" customHeight="1">
      <x:c r="A40" s="11" t="str">
        <x:v>I010</x:v>
      </x:c>
      <x:c r="B40" s="11" t="str">
        <x:v>02359.HK</x:v>
      </x:c>
      <x:c r="C40" s="11" t="str">
        <x:v>药明康德</x:v>
      </x:c>
      <x:c r="D40" s="11" t="str">
        <x:v>Goldman Sachs</x:v>
      </x:c>
      <x:c r="E40" s="11" t="str">
        <x:v>2026-09-30</x:v>
      </x:c>
      <x:c r="F40" s="11" t="n">
        <x:v>220.1</x:v>
      </x:c>
      <x:c r="G40" s="11" t="str">
        <x:v>HKD</x:v>
      </x:c>
      <x:c r="H40" s="11" t="str">
        <x:v>公开转述未明确目标日</x:v>
      </x:c>
      <x:c r="I40" s="11" t="str">
        <x:v>买入</x:v>
      </x:c>
      <x:c r="J40" s="11" t="str">
        <x:v>financial_news_secondary</x:v>
      </x:c>
      <x:c r="K40" s="11" t="str">
        <x:v>foreign</x:v>
      </x:c>
      <x:c r="L40" s="11" t="str">
        <x:v>https://www.aastocks.com/tc/stocks/analysis/stock-aafn-con/02268/AAFN/NOW.1547187/research-report</x:v>
      </x:c>
      <x:c r="M40" s="11" t="str">
        <x:v>近90日</x:v>
      </x:c>
      <x:c r="N40" s="11" t="str"/>
    </x:row>
    <x:row r="41" ht="23" customHeight="1">
      <x:c r="A41" s="11" t="str">
        <x:v>I010</x:v>
      </x:c>
      <x:c r="B41" s="11" t="str">
        <x:v>02359.HK</x:v>
      </x:c>
      <x:c r="C41" s="11" t="str">
        <x:v>药明康德</x:v>
      </x:c>
      <x:c r="D41" s="11" t="str">
        <x:v>Bank of America</x:v>
      </x:c>
      <x:c r="E41" s="11" t="str">
        <x:v>2026-08-12</x:v>
      </x:c>
      <x:c r="F41" s="11" t="n">
        <x:v>242</x:v>
      </x:c>
      <x:c r="G41" s="11" t="str">
        <x:v>HKD</x:v>
      </x:c>
      <x:c r="H41" s="11" t="str">
        <x:v>公开转述未明确目标日</x:v>
      </x:c>
      <x:c r="I41" s="11" t="str">
        <x:v>买入</x:v>
      </x:c>
      <x:c r="J41" s="11" t="str">
        <x:v>financial_news_secondary</x:v>
      </x:c>
      <x:c r="K41" s="11" t="str">
        <x:v>foreign</x:v>
      </x:c>
      <x:c r="L41" s="11" t="str">
        <x:v>https://www.aastocks.com/tc/stocks/analysis/stock-aafn-con/02269/AAFN/NOW.1537765/research-report</x:v>
      </x:c>
      <x:c r="M41" s="11" t="str">
        <x:v>近90日</x:v>
      </x:c>
      <x:c r="N41" s="11" t="str"/>
    </x:row>
    <x:row r="42" ht="23" customHeight="1">
      <x:c r="A42" s="11" t="str">
        <x:v>I010</x:v>
      </x:c>
      <x:c r="B42" s="11" t="str">
        <x:v>603259.SH</x:v>
      </x:c>
      <x:c r="C42" s="11" t="str">
        <x:v>药明康德</x:v>
      </x:c>
      <x:c r="D42" s="11" t="str">
        <x:v>Bank of America</x:v>
      </x:c>
      <x:c r="E42" s="11" t="str">
        <x:v>2026-08-12</x:v>
      </x:c>
      <x:c r="F42" s="11" t="n">
        <x:v>210.5</x:v>
      </x:c>
      <x:c r="G42" s="11" t="str">
        <x:v>CNY</x:v>
      </x:c>
      <x:c r="H42" s="11" t="str">
        <x:v>A股人民币；公开转述未明确目标日</x:v>
      </x:c>
      <x:c r="I42" s="11" t="str">
        <x:v>买入</x:v>
      </x:c>
      <x:c r="J42" s="11" t="str">
        <x:v>financial_news_secondary</x:v>
      </x:c>
      <x:c r="K42" s="11" t="str">
        <x:v>foreign</x:v>
      </x:c>
      <x:c r="L42" s="11" t="str">
        <x:v>https://www.aastocks.com/tc/stocks/analysis/stock-aafn-con/02269/AAFN/NOW.1537765/research-report</x:v>
      </x:c>
      <x:c r="M42" s="11" t="str">
        <x:v>近90日</x:v>
      </x:c>
      <x:c r="N42" s="11" t="str">
        <x:v>正文明确A股目标，映射上海证券</x:v>
      </x:c>
    </x:row>
    <x:row r="43" ht="23" customHeight="1">
      <x:c r="A43" s="11" t="str">
        <x:v>I010</x:v>
      </x:c>
      <x:c r="B43" s="11" t="str">
        <x:v>02359.HK</x:v>
      </x:c>
      <x:c r="C43" s="11" t="str">
        <x:v>药明康德</x:v>
      </x:c>
      <x:c r="D43" s="11" t="str">
        <x:v>HSBC</x:v>
      </x:c>
      <x:c r="E43" s="11" t="str">
        <x:v>2026-09-09</x:v>
      </x:c>
      <x:c r="F43" s="11" t="n">
        <x:v>220.5</x:v>
      </x:c>
      <x:c r="G43" s="11" t="str">
        <x:v>HKD</x:v>
      </x:c>
      <x:c r="H43" s="11" t="str">
        <x:v>公开转述未明确目标日</x:v>
      </x:c>
      <x:c r="I43" s="11" t="str">
        <x:v>买入</x:v>
      </x:c>
      <x:c r="J43" s="11" t="str">
        <x:v>financial_news_secondary</x:v>
      </x:c>
      <x:c r="K43" s="11" t="str">
        <x:v>foreign</x:v>
      </x:c>
      <x:c r="L43" s="11" t="str">
        <x:v>https://www.aastocks.com/tc/stocks/analysis/stock-aafn-con/03696/AAFN/NOW.1543616/research-report</x:v>
      </x:c>
      <x:c r="M43" s="11" t="str">
        <x:v>近90日</x:v>
      </x:c>
      <x:c r="N43" s="11" t="str"/>
    </x:row>
    <x:row r="44" ht="23" customHeight="1">
      <x:c r="A44" s="11" t="str">
        <x:v>I072</x:v>
      </x:c>
      <x:c r="B44" s="11" t="str">
        <x:v>00700.HK</x:v>
      </x:c>
      <x:c r="C44" s="11" t="str">
        <x:v>腾讯控股</x:v>
      </x:c>
      <x:c r="D44" s="11" t="str">
        <x:v>Citi</x:v>
      </x:c>
      <x:c r="E44" s="11" t="str">
        <x:v>2026-10-07</x:v>
      </x:c>
      <x:c r="F44" s="11" t="n">
        <x:v>755</x:v>
      </x:c>
      <x:c r="G44" s="11" t="str">
        <x:v>HKD</x:v>
      </x:c>
      <x:c r="H44" s="11" t="str">
        <x:v>公开转述未明确</x:v>
      </x:c>
      <x:c r="I44" s="11" t="str">
        <x:v>买入</x:v>
      </x:c>
      <x:c r="J44" s="11" t="str">
        <x:v>公开新闻转述</x:v>
      </x:c>
      <x:c r="K44" s="11" t="str">
        <x:v>外资</x:v>
      </x:c>
      <x:c r="L44" s="11" t="str">
        <x:v>https://www.aastocks.com/sc/stocks/analysis/stock-aafn-con/00700/AAFN/NOW.1548056/research-report</x:v>
      </x:c>
      <x:c r="M44" s="11" t="str">
        <x:v>近90日</x:v>
      </x:c>
      <x:c r="N44" s="11" t="str"/>
    </x:row>
    <x:row r="45" ht="23" customHeight="1">
      <x:c r="A45" s="11" t="str">
        <x:v>I072</x:v>
      </x:c>
      <x:c r="B45" s="11" t="str">
        <x:v>00700.HK</x:v>
      </x:c>
      <x:c r="C45" s="11" t="str">
        <x:v>腾讯控股</x:v>
      </x:c>
      <x:c r="D45" s="11" t="str">
        <x:v>Goldman Sachs</x:v>
      </x:c>
      <x:c r="E45" s="11" t="str">
        <x:v>2026-09-17</x:v>
      </x:c>
      <x:c r="F45" s="11" t="n">
        <x:v>650</x:v>
      </x:c>
      <x:c r="G45" s="11" t="str">
        <x:v>HKD</x:v>
      </x:c>
      <x:c r="H45" s="11" t="str">
        <x:v>12个月</x:v>
      </x:c>
      <x:c r="I45" s="11" t="str">
        <x:v>买入</x:v>
      </x:c>
      <x:c r="J45" s="11" t="str">
        <x:v>公开新闻转述</x:v>
      </x:c>
      <x:c r="K45" s="11" t="str">
        <x:v>外资</x:v>
      </x:c>
      <x:c r="L45" s="11" t="str">
        <x:v>https://www.aastocks.com/sc/stocks/analysis/stock-aafn-con/00700/AAFN/NOW.1544986/hk-stock-news</x:v>
      </x:c>
      <x:c r="M45" s="11" t="str">
        <x:v>近90日</x:v>
      </x:c>
      <x:c r="N45" s="11" t="str"/>
    </x:row>
    <x:row r="46" ht="23" customHeight="1">
      <x:c r="A46" s="11" t="str">
        <x:v>I072</x:v>
      </x:c>
      <x:c r="B46" s="11" t="str">
        <x:v>00700.HK</x:v>
      </x:c>
      <x:c r="C46" s="11" t="str">
        <x:v>腾讯控股</x:v>
      </x:c>
      <x:c r="D46" s="11" t="str">
        <x:v>UOB Kay Hian</x:v>
      </x:c>
      <x:c r="E46" s="11" t="str">
        <x:v>2026-10-05</x:v>
      </x:c>
      <x:c r="F46" s="11" t="n">
        <x:v>608</x:v>
      </x:c>
      <x:c r="G46" s="11" t="str">
        <x:v>HKD</x:v>
      </x:c>
      <x:c r="H46" s="11" t="str">
        <x:v>公开转述未明确</x:v>
      </x:c>
      <x:c r="I46" s="11" t="str">
        <x:v>买入</x:v>
      </x:c>
      <x:c r="J46" s="11" t="str">
        <x:v>公开新闻转述，多股票表逐行核验</x:v>
      </x:c>
      <x:c r="K46" s="11" t="str">
        <x:v>外资</x:v>
      </x:c>
      <x:c r="L46" s="11" t="str">
        <x:v>https://www.aastocks.com/sc/stocks/analysis/stock-aafn-con/00700/AAFN/NOW.1547727/research-report</x:v>
      </x:c>
      <x:c r="M46" s="11" t="str">
        <x:v>近90日</x:v>
      </x:c>
      <x:c r="N46" s="11" t="str"/>
    </x:row>
    <x:row r="47" ht="23" customHeight="1">
      <x:c r="A47" s="11" t="str">
        <x:v>I064</x:v>
      </x:c>
      <x:c r="B47" s="11" t="str">
        <x:v>09999.HK</x:v>
      </x:c>
      <x:c r="C47" s="11" t="str">
        <x:v>网易</x:v>
      </x:c>
      <x:c r="D47" s="11" t="str">
        <x:v>Goldman Sachs</x:v>
      </x:c>
      <x:c r="E47" s="11" t="str">
        <x:v>2026-08-21</x:v>
      </x:c>
      <x:c r="F47" s="11" t="n">
        <x:v>263</x:v>
      </x:c>
      <x:c r="G47" s="11" t="str">
        <x:v>HKD</x:v>
      </x:c>
      <x:c r="H47" s="11" t="str">
        <x:v>公开转述未明确</x:v>
      </x:c>
      <x:c r="I47" s="11" t="str">
        <x:v>买入</x:v>
      </x:c>
      <x:c r="J47" s="11" t="str">
        <x:v>公开新闻转述</x:v>
      </x:c>
      <x:c r="K47" s="11" t="str">
        <x:v>外资</x:v>
      </x:c>
      <x:c r="L47" s="11" t="str">
        <x:v>https://www.aastocks.com/sc/stocks/analysis/stock-aafn-con/09999/AAFN/NOW.1539884/research-report</x:v>
      </x:c>
      <x:c r="M47" s="11" t="str">
        <x:v>近90日</x:v>
      </x:c>
      <x:c r="N47" s="11" t="str"/>
    </x:row>
    <x:row r="48" ht="23" customHeight="1">
      <x:c r="A48" s="11" t="str">
        <x:v>I064</x:v>
      </x:c>
      <x:c r="B48" s="11" t="str">
        <x:v>09999.HK</x:v>
      </x:c>
      <x:c r="C48" s="11" t="str">
        <x:v>网易</x:v>
      </x:c>
      <x:c r="D48" s="11" t="str">
        <x:v>Bank of America</x:v>
      </x:c>
      <x:c r="E48" s="11" t="str">
        <x:v>2026-08-21</x:v>
      </x:c>
      <x:c r="F48" s="11" t="n">
        <x:v>272</x:v>
      </x:c>
      <x:c r="G48" s="11" t="str">
        <x:v>HKD</x:v>
      </x:c>
      <x:c r="H48" s="11" t="str">
        <x:v>公开转述未明确</x:v>
      </x:c>
      <x:c r="I48" s="11" t="str">
        <x:v>买入</x:v>
      </x:c>
      <x:c r="J48" s="11" t="str">
        <x:v>公开新闻转述</x:v>
      </x:c>
      <x:c r="K48" s="11" t="str">
        <x:v>外资</x:v>
      </x:c>
      <x:c r="L48" s="11" t="str">
        <x:v>https://www.aastocks.com/sc/stocks/analysis/stock-aafn-con/09999/AAFN/NOW.1539851/research-report</x:v>
      </x:c>
      <x:c r="M48" s="11" t="str">
        <x:v>近90日</x:v>
      </x:c>
      <x:c r="N48" s="11" t="str"/>
    </x:row>
    <x:row r="49" ht="23" customHeight="1">
      <x:c r="A49" s="11" t="str">
        <x:v>I064</x:v>
      </x:c>
      <x:c r="B49" s="11" t="str">
        <x:v>09999.HK</x:v>
      </x:c>
      <x:c r="C49" s="11" t="str">
        <x:v>网易</x:v>
      </x:c>
      <x:c r="D49" s="11" t="str">
        <x:v>Daiwa</x:v>
      </x:c>
      <x:c r="E49" s="11" t="str">
        <x:v>2026-08-21</x:v>
      </x:c>
      <x:c r="F49" s="11" t="n">
        <x:v>260</x:v>
      </x:c>
      <x:c r="G49" s="11" t="str">
        <x:v>HKD</x:v>
      </x:c>
      <x:c r="H49" s="11" t="str">
        <x:v>公开转述未明确</x:v>
      </x:c>
      <x:c r="I49" s="11" t="str">
        <x:v>买入</x:v>
      </x:c>
      <x:c r="J49" s="11" t="str">
        <x:v>公开新闻转述</x:v>
      </x:c>
      <x:c r="K49" s="11" t="str">
        <x:v>外资</x:v>
      </x:c>
      <x:c r="L49" s="11" t="str">
        <x:v>https://www.aastocks.com/sc/stocks/analysis/stock-aafn-con/09999/AAFN/NOW.1539821/research-report</x:v>
      </x:c>
      <x:c r="M49" s="11" t="str">
        <x:v>近90日</x:v>
      </x:c>
      <x:c r="N49" s="11" t="str"/>
    </x:row>
    <x:row r="50" ht="23" customHeight="1">
      <x:c r="A50" s="11" t="str">
        <x:v>I064</x:v>
      </x:c>
      <x:c r="B50" s="11" t="str">
        <x:v>09999.HK</x:v>
      </x:c>
      <x:c r="C50" s="11" t="str">
        <x:v>网易</x:v>
      </x:c>
      <x:c r="D50" s="11" t="str">
        <x:v>UOB Kay Hian</x:v>
      </x:c>
      <x:c r="E50" s="11" t="str">
        <x:v>2026-10-05</x:v>
      </x:c>
      <x:c r="F50" s="11" t="n">
        <x:v>252</x:v>
      </x:c>
      <x:c r="G50" s="11" t="str">
        <x:v>HKD</x:v>
      </x:c>
      <x:c r="H50" s="11" t="str">
        <x:v>公开转述未明确</x:v>
      </x:c>
      <x:c r="I50" s="11" t="str">
        <x:v>买入</x:v>
      </x:c>
      <x:c r="J50" s="11" t="str">
        <x:v>公开新闻转述，多股票表逐行核验</x:v>
      </x:c>
      <x:c r="K50" s="11" t="str">
        <x:v>外资</x:v>
      </x:c>
      <x:c r="L50" s="11" t="str">
        <x:v>https://www.aastocks.com/sc/stocks/analysis/stock-aafn-con/09999/AAFN/NOW.1547727/research-report</x:v>
      </x:c>
      <x:c r="M50" s="11" t="str">
        <x:v>近90日</x:v>
      </x:c>
      <x:c r="N50" s="11" t="str"/>
    </x:row>
    <x:row r="51" ht="23" customHeight="1">
      <x:c r="A51" s="11" t="str">
        <x:v>I056</x:v>
      </x:c>
      <x:c r="B51" s="11" t="str">
        <x:v>09992.HK</x:v>
      </x:c>
      <x:c r="C51" s="11" t="str">
        <x:v>泡泡玛特</x:v>
      </x:c>
      <x:c r="D51" s="11" t="str">
        <x:v>HSBC</x:v>
      </x:c>
      <x:c r="E51" s="11" t="str">
        <x:v>2026-08-21</x:v>
      </x:c>
      <x:c r="F51" s="11" t="n">
        <x:v>136.5</x:v>
      </x:c>
      <x:c r="G51" s="11" t="str">
        <x:v>HKD</x:v>
      </x:c>
      <x:c r="H51" s="11" t="str">
        <x:v>公开转述未明确</x:v>
      </x:c>
      <x:c r="I51" s="11" t="str">
        <x:v>持有</x:v>
      </x:c>
      <x:c r="J51" s="11" t="str">
        <x:v>公开新闻转述，主体及新目标已人工核对</x:v>
      </x:c>
      <x:c r="K51" s="11" t="str">
        <x:v>外资</x:v>
      </x:c>
      <x:c r="L51" s="11" t="str">
        <x:v>https://www.aastocks.com/sc/stocks/analysis/stock-aafn-con/09992/AAFN/NOW.1539885/research-report</x:v>
      </x:c>
      <x:c r="M51" s="11" t="str">
        <x:v>近90日</x:v>
      </x:c>
      <x:c r="N51" s="11" t="str"/>
    </x:row>
    <x:row r="52" ht="23" customHeight="1">
      <x:c r="A52" s="11" t="str">
        <x:v>I056</x:v>
      </x:c>
      <x:c r="B52" s="11" t="str">
        <x:v>09992.HK</x:v>
      </x:c>
      <x:c r="C52" s="11" t="str">
        <x:v>泡泡玛特</x:v>
      </x:c>
      <x:c r="D52" s="11" t="str">
        <x:v>Bank of America</x:v>
      </x:c>
      <x:c r="E52" s="11" t="str">
        <x:v>2026-08-21</x:v>
      </x:c>
      <x:c r="F52" s="11" t="n">
        <x:v>153</x:v>
      </x:c>
      <x:c r="G52" s="11" t="str">
        <x:v>HKD</x:v>
      </x:c>
      <x:c r="H52" s="11" t="str">
        <x:v>公开转述未明确</x:v>
      </x:c>
      <x:c r="I52" s="11" t="str">
        <x:v>中性</x:v>
      </x:c>
      <x:c r="J52" s="11" t="str">
        <x:v>公开新闻转述，主体及新目标已人工核对</x:v>
      </x:c>
      <x:c r="K52" s="11" t="str">
        <x:v>外资</x:v>
      </x:c>
      <x:c r="L52" s="11" t="str">
        <x:v>https://www.aastocks.com/sc/stocks/analysis/stock-aafn-con/09992/AAFN/NOW.1539857/research-report</x:v>
      </x:c>
      <x:c r="M52" s="11" t="str">
        <x:v>近90日</x:v>
      </x:c>
      <x:c r="N52" s="11" t="str"/>
    </x:row>
    <x:row r="53" ht="23" customHeight="1">
      <x:c r="A53" s="11" t="str">
        <x:v>I056</x:v>
      </x:c>
      <x:c r="B53" s="11" t="str">
        <x:v>09992.HK</x:v>
      </x:c>
      <x:c r="C53" s="11" t="str">
        <x:v>泡泡玛特</x:v>
      </x:c>
      <x:c r="D53" s="11" t="str">
        <x:v>Morgan Stanley</x:v>
      </x:c>
      <x:c r="E53" s="11" t="str">
        <x:v>2026-08-21</x:v>
      </x:c>
      <x:c r="F53" s="11" t="n">
        <x:v>203</x:v>
      </x:c>
      <x:c r="G53" s="11" t="str">
        <x:v>HKD</x:v>
      </x:c>
      <x:c r="H53" s="11" t="str">
        <x:v>公开转述未明确</x:v>
      </x:c>
      <x:c r="I53" s="11" t="str">
        <x:v>增持</x:v>
      </x:c>
      <x:c r="J53" s="11" t="str">
        <x:v>公开新闻转述，主体及新目标已人工核对</x:v>
      </x:c>
      <x:c r="K53" s="11" t="str">
        <x:v>外资</x:v>
      </x:c>
      <x:c r="L53" s="11" t="str">
        <x:v>https://www.aastocks.com/sc/stocks/analysis/stock-aafn-con/09992/AAFN/NOW.1539842/research-report</x:v>
      </x:c>
      <x:c r="M53" s="11" t="str">
        <x:v>近90日</x:v>
      </x:c>
      <x:c r="N53" s="11" t="str"/>
    </x:row>
    <x:row r="54" ht="23" customHeight="1">
      <x:c r="A54" s="11" t="str">
        <x:v>I056</x:v>
      </x:c>
      <x:c r="B54" s="11" t="str">
        <x:v>09992.HK</x:v>
      </x:c>
      <x:c r="C54" s="11" t="str">
        <x:v>泡泡玛特</x:v>
      </x:c>
      <x:c r="D54" s="11" t="str">
        <x:v>Jefferies</x:v>
      </x:c>
      <x:c r="E54" s="11" t="str">
        <x:v>2026-08-21</x:v>
      </x:c>
      <x:c r="F54" s="11" t="n">
        <x:v>146</x:v>
      </x:c>
      <x:c r="G54" s="11" t="str">
        <x:v>HKD</x:v>
      </x:c>
      <x:c r="H54" s="11" t="str">
        <x:v>公开转述未明确</x:v>
      </x:c>
      <x:c r="I54" s="11" t="str">
        <x:v>持有</x:v>
      </x:c>
      <x:c r="J54" s="11" t="str">
        <x:v>公开新闻转述，主体及新目标已人工核对</x:v>
      </x:c>
      <x:c r="K54" s="11" t="str">
        <x:v>外资</x:v>
      </x:c>
      <x:c r="L54" s="11" t="str">
        <x:v>https://www.aastocks.com/sc/stocks/analysis/stock-aafn-con/09992/AAFN/NOW.1539829/research-report</x:v>
      </x:c>
      <x:c r="M54" s="11" t="str">
        <x:v>近90日</x:v>
      </x:c>
      <x:c r="N54" s="11" t="str"/>
    </x:row>
    <x:row r="55" ht="23" customHeight="1">
      <x:c r="A55" s="11" t="str">
        <x:v>I056</x:v>
      </x:c>
      <x:c r="B55" s="11" t="str">
        <x:v>09992.HK</x:v>
      </x:c>
      <x:c r="C55" s="11" t="str">
        <x:v>泡泡玛特</x:v>
      </x:c>
      <x:c r="D55" s="11" t="str">
        <x:v>JPMorgan</x:v>
      </x:c>
      <x:c r="E55" s="11" t="str">
        <x:v>2026-08-21</x:v>
      </x:c>
      <x:c r="F55" s="11" t="n">
        <x:v>120</x:v>
      </x:c>
      <x:c r="G55" s="11" t="str">
        <x:v>HKD</x:v>
      </x:c>
      <x:c r="H55" s="11" t="str">
        <x:v>公开转述未明确</x:v>
      </x:c>
      <x:c r="I55" s="11" t="str">
        <x:v>减持</x:v>
      </x:c>
      <x:c r="J55" s="11" t="str">
        <x:v>公开新闻转述，主体及新目标已人工核对</x:v>
      </x:c>
      <x:c r="K55" s="11" t="str">
        <x:v>外资</x:v>
      </x:c>
      <x:c r="L55" s="11" t="str">
        <x:v>https://www.aastocks.com/sc/stocks/analysis/stock-aafn-con/09992/AAFN/NOW.1539806/research-report</x:v>
      </x:c>
      <x:c r="M55" s="11" t="str">
        <x:v>近90日</x:v>
      </x:c>
      <x:c r="N55" s="11" t="str"/>
    </x:row>
    <x:row r="56" ht="23" customHeight="1">
      <x:c r="A56" s="11" t="str">
        <x:v>I061</x:v>
      </x:c>
      <x:c r="B56" s="11" t="str">
        <x:v>01211.HK</x:v>
      </x:c>
      <x:c r="C56" s="11" t="str">
        <x:v>比亚迪股份</x:v>
      </x:c>
      <x:c r="D56" s="11" t="str">
        <x:v>UOB Kay Hian</x:v>
      </x:c>
      <x:c r="E56" s="11" t="str">
        <x:v>2026-10-05</x:v>
      </x:c>
      <x:c r="F56" s="11" t="n">
        <x:v>150</x:v>
      </x:c>
      <x:c r="G56" s="11" t="str">
        <x:v>HKD</x:v>
      </x:c>
      <x:c r="H56" s="11" t="str">
        <x:v>公开转述未明确</x:v>
      </x:c>
      <x:c r="I56" s="11" t="str">
        <x:v>买入</x:v>
      </x:c>
      <x:c r="J56" s="11" t="str">
        <x:v>公开新闻转述，主体及新目标已人工核对</x:v>
      </x:c>
      <x:c r="K56" s="11" t="str">
        <x:v>外资</x:v>
      </x:c>
      <x:c r="L56" s="11" t="str">
        <x:v>https://www.aastocks.com/sc/stocks/analysis/stock-aafn-con/01211/AAFN/NOW.1547727/research-report</x:v>
      </x:c>
      <x:c r="M56" s="11" t="str">
        <x:v>近90日</x:v>
      </x:c>
      <x:c r="N56" s="11" t="str"/>
    </x:row>
    <x:row r="57" ht="23" customHeight="1">
      <x:c r="A57" s="11" t="str">
        <x:v>I061</x:v>
      </x:c>
      <x:c r="B57" s="11" t="str">
        <x:v>01211.HK</x:v>
      </x:c>
      <x:c r="C57" s="11" t="str">
        <x:v>比亚迪股份</x:v>
      </x:c>
      <x:c r="D57" s="11" t="str">
        <x:v>CLSA</x:v>
      </x:c>
      <x:c r="E57" s="11" t="str">
        <x:v>2026-09-28</x:v>
      </x:c>
      <x:c r="F57" s="11" t="n">
        <x:v>120</x:v>
      </x:c>
      <x:c r="G57" s="11" t="str">
        <x:v>HKD</x:v>
      </x:c>
      <x:c r="H57" s="11" t="str">
        <x:v>公开转述未明确</x:v>
      </x:c>
      <x:c r="I57" s="11" t="str">
        <x:v>高度确信跑赢大市</x:v>
      </x:c>
      <x:c r="J57" s="11" t="str">
        <x:v>公开新闻转述，主体及新目标已人工核对</x:v>
      </x:c>
      <x:c r="K57" s="11" t="str">
        <x:v>外资</x:v>
      </x:c>
      <x:c r="L57" s="11" t="str">
        <x:v>https://www.aastocks.com/sc/stocks/analysis/stock-aafn-con/01211/AAFN/NOW.1546646/research-report</x:v>
      </x:c>
      <x:c r="M57" s="11" t="str">
        <x:v>近90日</x:v>
      </x:c>
      <x:c r="N57" s="11" t="str"/>
    </x:row>
    <x:row r="58" ht="23" customHeight="1">
      <x:c r="A58" s="11" t="str">
        <x:v>I061</x:v>
      </x:c>
      <x:c r="B58" s="11" t="str">
        <x:v>01211.HK</x:v>
      </x:c>
      <x:c r="C58" s="11" t="str">
        <x:v>比亚迪股份</x:v>
      </x:c>
      <x:c r="D58" s="11" t="str">
        <x:v>Morgan Stanley</x:v>
      </x:c>
      <x:c r="E58" s="11" t="str">
        <x:v>2026-09-16</x:v>
      </x:c>
      <x:c r="F58" s="11" t="n">
        <x:v>114</x:v>
      </x:c>
      <x:c r="G58" s="11" t="str">
        <x:v>HKD</x:v>
      </x:c>
      <x:c r="H58" s="11" t="str">
        <x:v>公开转述未明确</x:v>
      </x:c>
      <x:c r="I58" s="11" t="str">
        <x:v>增持</x:v>
      </x:c>
      <x:c r="J58" s="11" t="str">
        <x:v>公开新闻转述，主体及新目标已人工核对</x:v>
      </x:c>
      <x:c r="K58" s="11" t="str">
        <x:v>外资</x:v>
      </x:c>
      <x:c r="L58" s="11" t="str">
        <x:v>https://www.aastocks.com/sc/stocks/analysis/stock-aafn-con/01211/AAFN/NOW.1544829/research-report</x:v>
      </x:c>
      <x:c r="M58" s="11" t="str">
        <x:v>近90日</x:v>
      </x:c>
      <x:c r="N58" s="11" t="str"/>
    </x:row>
    <x:row r="59" ht="23" customHeight="1">
      <x:c r="A59" s="11" t="str">
        <x:v>I063</x:v>
      </x:c>
      <x:c r="B59" s="11" t="str">
        <x:v>03750.HK</x:v>
      </x:c>
      <x:c r="C59" s="11" t="str">
        <x:v>宁德时代</x:v>
      </x:c>
      <x:c r="D59" s="11" t="str">
        <x:v>CLSA</x:v>
      </x:c>
      <x:c r="E59" s="11" t="str">
        <x:v>2026-10-09</x:v>
      </x:c>
      <x:c r="F59" s="11" t="n">
        <x:v>670</x:v>
      </x:c>
      <x:c r="G59" s="11" t="str">
        <x:v>HKD</x:v>
      </x:c>
      <x:c r="H59" s="11" t="str">
        <x:v>公开转述未明确</x:v>
      </x:c>
      <x:c r="I59" s="11" t="str">
        <x:v>高度确信跑赢大市</x:v>
      </x:c>
      <x:c r="J59" s="11" t="str">
        <x:v>公开新闻转述，主体及新目标已人工核对</x:v>
      </x:c>
      <x:c r="K59" s="11" t="str">
        <x:v>外资</x:v>
      </x:c>
      <x:c r="L59" s="11" t="str">
        <x:v>https://www.aastocks.com/sc/stocks/analysis/stock-aafn-con/03750/AAFN/NOW.1548483/research-report</x:v>
      </x:c>
      <x:c r="M59" s="11" t="str">
        <x:v>近90日</x:v>
      </x:c>
      <x:c r="N59" s="11" t="str"/>
    </x:row>
    <x:row r="60" ht="23" customHeight="1">
      <x:c r="A60" s="11" t="str">
        <x:v>I075</x:v>
      </x:c>
      <x:c r="B60" s="11" t="str">
        <x:v>09988.HK</x:v>
      </x:c>
      <x:c r="C60" s="11" t="str">
        <x:v>阿里巴巴-W</x:v>
      </x:c>
      <x:c r="D60" s="11" t="str">
        <x:v>Jefferies</x:v>
      </x:c>
      <x:c r="E60" s="11" t="str">
        <x:v>2026-10-09</x:v>
      </x:c>
      <x:c r="F60" s="11" t="n">
        <x:v>186</x:v>
      </x:c>
      <x:c r="G60" s="11" t="str">
        <x:v>HKD</x:v>
      </x:c>
      <x:c r="H60" s="11" t="str">
        <x:v>公开转述未明确</x:v>
      </x:c>
      <x:c r="I60" s="11" t="str">
        <x:v>买入</x:v>
      </x:c>
      <x:c r="J60" s="11" t="str">
        <x:v>公开新闻转述，主体及新目标已人工核对</x:v>
      </x:c>
      <x:c r="K60" s="11" t="str">
        <x:v>外资</x:v>
      </x:c>
      <x:c r="L60" s="11" t="str">
        <x:v>https://www.aastocks.com/sc/stocks/analysis/stock-aafn-con/09988/AAFN/NOW.1548528/research-report</x:v>
      </x:c>
      <x:c r="M60" s="11" t="str">
        <x:v>近90日</x:v>
      </x:c>
      <x:c r="N60" s="11" t="str"/>
    </x:row>
    <x:row r="61" ht="23" customHeight="1">
      <x:c r="A61" s="11" t="str">
        <x:v>I075</x:v>
      </x:c>
      <x:c r="B61" s="11" t="str">
        <x:v>09988.HK</x:v>
      </x:c>
      <x:c r="C61" s="11" t="str">
        <x:v>阿里巴巴-W</x:v>
      </x:c>
      <x:c r="D61" s="11" t="str">
        <x:v>Goldman Sachs</x:v>
      </x:c>
      <x:c r="E61" s="11" t="str">
        <x:v>2026-09-17</x:v>
      </x:c>
      <x:c r="F61" s="11" t="n">
        <x:v>172</x:v>
      </x:c>
      <x:c r="G61" s="11" t="str">
        <x:v>HKD</x:v>
      </x:c>
      <x:c r="H61" s="11" t="str">
        <x:v>12个月</x:v>
      </x:c>
      <x:c r="I61" s="11" t="str">
        <x:v>买入</x:v>
      </x:c>
      <x:c r="J61" s="11" t="str">
        <x:v>公开新闻转述，主体及新目标已人工核对</x:v>
      </x:c>
      <x:c r="K61" s="11" t="str">
        <x:v>外资</x:v>
      </x:c>
      <x:c r="L61" s="11" t="str">
        <x:v>https://www.aastocks.com/sc/stocks/analysis/stock-aafn-con/00100/AAFN/NOW.1544986/research-report</x:v>
      </x:c>
      <x:c r="M61" s="11" t="str">
        <x:v>近90日</x:v>
      </x:c>
      <x:c r="N61" s="11" t="str"/>
    </x:row>
    <x:row r="62" ht="23" customHeight="1">
      <x:c r="A62" s="11" t="str">
        <x:v>I075</x:v>
      </x:c>
      <x:c r="B62" s="11" t="str">
        <x:v>09988.HK</x:v>
      </x:c>
      <x:c r="C62" s="11" t="str">
        <x:v>阿里巴巴-W</x:v>
      </x:c>
      <x:c r="D62" s="11" t="str">
        <x:v>UOB Kay Hian</x:v>
      </x:c>
      <x:c r="E62" s="11" t="str">
        <x:v>2026-10-05</x:v>
      </x:c>
      <x:c r="F62" s="11" t="n">
        <x:v>188</x:v>
      </x:c>
      <x:c r="G62" s="11" t="str">
        <x:v>HKD</x:v>
      </x:c>
      <x:c r="H62" s="11" t="str">
        <x:v>公开转述未明确</x:v>
      </x:c>
      <x:c r="I62" s="11" t="str">
        <x:v>买入</x:v>
      </x:c>
      <x:c r="J62" s="11" t="str">
        <x:v>公开新闻转述，主体及新目标已人工核对</x:v>
      </x:c>
      <x:c r="K62" s="11" t="str">
        <x:v>外资</x:v>
      </x:c>
      <x:c r="L62" s="11" t="str">
        <x:v>https://www.aastocks.com/sc/stocks/analysis/stock-aafn-con/09988/AAFN/NOW.1547727/research-report</x:v>
      </x:c>
      <x:c r="M62" s="11" t="str">
        <x:v>近90日</x:v>
      </x:c>
      <x:c r="N62" s="11" t="str"/>
    </x:row>
    <x:row r="63" ht="23" customHeight="1">
      <x:c r="A63" s="11" t="str">
        <x:v>I077</x:v>
      </x:c>
      <x:c r="B63" s="11" t="str">
        <x:v>09961.HK</x:v>
      </x:c>
      <x:c r="C63" s="11" t="str">
        <x:v>携程集团-S</x:v>
      </x:c>
      <x:c r="D63" s="11" t="str">
        <x:v>Goldman Sachs</x:v>
      </x:c>
      <x:c r="E63" s="11" t="str">
        <x:v>2026-09-18</x:v>
      </x:c>
      <x:c r="F63" s="11" t="n">
        <x:v>536</x:v>
      </x:c>
      <x:c r="G63" s="11" t="str">
        <x:v>HKD</x:v>
      </x:c>
      <x:c r="H63" s="11" t="str">
        <x:v>公开转述未明确</x:v>
      </x:c>
      <x:c r="I63" s="11" t="str">
        <x:v>买入</x:v>
      </x:c>
      <x:c r="J63" s="11" t="str">
        <x:v>公开新闻转述，主体及新目标已人工核对</x:v>
      </x:c>
      <x:c r="K63" s="11" t="str">
        <x:v>外资</x:v>
      </x:c>
      <x:c r="L63" s="11" t="str">
        <x:v>https://www.aastocks.com/sc/stocks/analysis/stock-aafn-con/09961/AAFN/NOW.1545319/research-report</x:v>
      </x:c>
      <x:c r="M63" s="11" t="str">
        <x:v>近90日</x:v>
      </x:c>
      <x:c r="N63" s="11" t="str"/>
    </x:row>
    <x:row r="64" ht="23" customHeight="1">
      <x:c r="A64" s="11" t="str">
        <x:v>I077</x:v>
      </x:c>
      <x:c r="B64" s="11" t="str">
        <x:v>09961.HK</x:v>
      </x:c>
      <x:c r="C64" s="11" t="str">
        <x:v>携程集团-S</x:v>
      </x:c>
      <x:c r="D64" s="11" t="str">
        <x:v>UOB Kay Hian</x:v>
      </x:c>
      <x:c r="E64" s="11" t="str">
        <x:v>2026-10-05</x:v>
      </x:c>
      <x:c r="F64" s="11" t="n">
        <x:v>508</x:v>
      </x:c>
      <x:c r="G64" s="11" t="str">
        <x:v>HKD</x:v>
      </x:c>
      <x:c r="H64" s="11" t="str">
        <x:v>公开转述未明确</x:v>
      </x:c>
      <x:c r="I64" s="11" t="str">
        <x:v>买入</x:v>
      </x:c>
      <x:c r="J64" s="11" t="str">
        <x:v>公开新闻转述，主体及新目标已人工核对</x:v>
      </x:c>
      <x:c r="K64" s="11" t="str">
        <x:v>外资</x:v>
      </x:c>
      <x:c r="L64" s="11" t="str">
        <x:v>https://www.aastocks.com/sc/stocks/analysis/stock-aafn-con/09961/AAFN/NOW.1547727/research-report</x:v>
      </x:c>
      <x:c r="M64" s="11" t="str">
        <x:v>近90日</x:v>
      </x:c>
      <x:c r="N64" s="11" t="str"/>
    </x:row>
    <x:row r="65" ht="23" customHeight="1">
      <x:c r="A65" s="11" t="str">
        <x:v>I078</x:v>
      </x:c>
      <x:c r="B65" s="11" t="str">
        <x:v>03690.HK</x:v>
      </x:c>
      <x:c r="C65" s="11" t="str">
        <x:v>美团-W</x:v>
      </x:c>
      <x:c r="D65" s="11" t="str">
        <x:v>Morgan Stanley</x:v>
      </x:c>
      <x:c r="E65" s="11" t="str">
        <x:v>2026-08-31</x:v>
      </x:c>
      <x:c r="F65" s="11" t="n">
        <x:v>110</x:v>
      </x:c>
      <x:c r="G65" s="11" t="str">
        <x:v>HKD</x:v>
      </x:c>
      <x:c r="H65" s="11" t="str">
        <x:v>公开转述未明确</x:v>
      </x:c>
      <x:c r="I65" s="11" t="str">
        <x:v>增持</x:v>
      </x:c>
      <x:c r="J65" s="11" t="str">
        <x:v>公开新闻转述，主体及新目标已人工核对</x:v>
      </x:c>
      <x:c r="K65" s="11" t="str">
        <x:v>外资</x:v>
      </x:c>
      <x:c r="L65" s="11" t="str">
        <x:v>https://www.aastocks.com/sc/stocks/analysis/stock-aafn-con/03690/AAFN/NOW.1542154/research-report</x:v>
      </x:c>
      <x:c r="M65" s="11" t="str">
        <x:v>近90日</x:v>
      </x:c>
      <x:c r="N65" s="11" t="str"/>
    </x:row>
    <x:row r="66" ht="23" customHeight="1">
      <x:c r="A66" s="11" t="str">
        <x:v>I078</x:v>
      </x:c>
      <x:c r="B66" s="11" t="str">
        <x:v>03690.HK</x:v>
      </x:c>
      <x:c r="C66" s="11" t="str">
        <x:v>美团-W</x:v>
      </x:c>
      <x:c r="D66" s="11" t="str">
        <x:v>Citi</x:v>
      </x:c>
      <x:c r="E66" s="11" t="str">
        <x:v>2026-08-31</x:v>
      </x:c>
      <x:c r="F66" s="11" t="n">
        <x:v>120</x:v>
      </x:c>
      <x:c r="G66" s="11" t="str">
        <x:v>HKD</x:v>
      </x:c>
      <x:c r="H66" s="11" t="str">
        <x:v>公开转述未明确</x:v>
      </x:c>
      <x:c r="I66" s="11" t="str">
        <x:v>买入</x:v>
      </x:c>
      <x:c r="J66" s="11" t="str">
        <x:v>公开新闻转述，主体及新目标已人工核对</x:v>
      </x:c>
      <x:c r="K66" s="11" t="str">
        <x:v>外资</x:v>
      </x:c>
      <x:c r="L66" s="11" t="str">
        <x:v>https://www.aastocks.com/sc/stocks/analysis/stock-aafn-con/03690/AAFN/NOW.1542098/research-report</x:v>
      </x:c>
      <x:c r="M66" s="11" t="str">
        <x:v>近90日</x:v>
      </x:c>
      <x:c r="N66" s="11" t="str"/>
    </x:row>
    <x:row r="67" ht="23" customHeight="1">
      <x:c r="A67" s="11" t="str">
        <x:v>I078</x:v>
      </x:c>
      <x:c r="B67" s="11" t="str">
        <x:v>03690.HK</x:v>
      </x:c>
      <x:c r="C67" s="11" t="str">
        <x:v>美团-W</x:v>
      </x:c>
      <x:c r="D67" s="11" t="str">
        <x:v>CLSA</x:v>
      </x:c>
      <x:c r="E67" s="11" t="str">
        <x:v>2026-08-31</x:v>
      </x:c>
      <x:c r="F67" s="11" t="n">
        <x:v>115</x:v>
      </x:c>
      <x:c r="G67" s="11" t="str">
        <x:v>HKD</x:v>
      </x:c>
      <x:c r="H67" s="11" t="str">
        <x:v>公开转述未明确</x:v>
      </x:c>
      <x:c r="I67" s="11" t="str">
        <x:v>跑赢大市</x:v>
      </x:c>
      <x:c r="J67" s="11" t="str">
        <x:v>公开新闻转述，主体及新目标已人工核对</x:v>
      </x:c>
      <x:c r="K67" s="11" t="str">
        <x:v>外资</x:v>
      </x:c>
      <x:c r="L67" s="11" t="str">
        <x:v>https://www.aastocks.com/sc/stocks/analysis/stock-aafn-con/03690/AAFN/NOW.1542097/research-report</x:v>
      </x:c>
      <x:c r="M67" s="11" t="str">
        <x:v>近90日</x:v>
      </x:c>
      <x:c r="N67" s="11" t="str"/>
    </x:row>
    <x:row r="68" ht="23" customHeight="1">
      <x:c r="A68" s="11" t="str">
        <x:v>I078</x:v>
      </x:c>
      <x:c r="B68" s="11" t="str">
        <x:v>03690.HK</x:v>
      </x:c>
      <x:c r="C68" s="11" t="str">
        <x:v>美团-W</x:v>
      </x:c>
      <x:c r="D68" s="11" t="str">
        <x:v>Nomura</x:v>
      </x:c>
      <x:c r="E68" s="11" t="str">
        <x:v>2026-08-31</x:v>
      </x:c>
      <x:c r="F68" s="11" t="n">
        <x:v>118</x:v>
      </x:c>
      <x:c r="G68" s="11" t="str">
        <x:v>HKD</x:v>
      </x:c>
      <x:c r="H68" s="11" t="str">
        <x:v>公开转述未明确</x:v>
      </x:c>
      <x:c r="I68" s="11" t="str">
        <x:v>买入</x:v>
      </x:c>
      <x:c r="J68" s="11" t="str">
        <x:v>公开新闻转述，主体及新目标已人工核对</x:v>
      </x:c>
      <x:c r="K68" s="11" t="str">
        <x:v>外资</x:v>
      </x:c>
      <x:c r="L68" s="11" t="str">
        <x:v>https://www.aastocks.com/sc/stocks/analysis/stock-aafn-con/03690/AAFN/NOW.1542087/research-report</x:v>
      </x:c>
      <x:c r="M68" s="11" t="str">
        <x:v>近90日</x:v>
      </x:c>
      <x:c r="N68" s="11" t="str"/>
    </x:row>
    <x:row r="69" ht="23" customHeight="1">
      <x:c r="A69" s="11" t="str">
        <x:v>I078</x:v>
      </x:c>
      <x:c r="B69" s="11" t="str">
        <x:v>03690.HK</x:v>
      </x:c>
      <x:c r="C69" s="11" t="str">
        <x:v>美团-W</x:v>
      </x:c>
      <x:c r="D69" s="11" t="str">
        <x:v>Macquarie</x:v>
      </x:c>
      <x:c r="E69" s="11" t="str">
        <x:v>2026-08-31</x:v>
      </x:c>
      <x:c r="F69" s="11" t="n">
        <x:v>107</x:v>
      </x:c>
      <x:c r="G69" s="11" t="str">
        <x:v>HKD</x:v>
      </x:c>
      <x:c r="H69" s="11" t="str">
        <x:v>公开转述未明确</x:v>
      </x:c>
      <x:c r="I69" s="11" t="str">
        <x:v>跑赢大市</x:v>
      </x:c>
      <x:c r="J69" s="11" t="str">
        <x:v>公开新闻转述，主体及新目标已人工核对</x:v>
      </x:c>
      <x:c r="K69" s="11" t="str">
        <x:v>外资</x:v>
      </x:c>
      <x:c r="L69" s="11" t="str">
        <x:v>https://www.aastocks.com/sc/stocks/analysis/stock-aafn-con/03690/AAFN/NOW.1542039/research-report</x:v>
      </x:c>
      <x:c r="M69" s="11" t="str">
        <x:v>近90日</x:v>
      </x:c>
      <x:c r="N69" s="11" t="str"/>
    </x:row>
    <x:row r="70" ht="23" customHeight="1">
      <x:c r="A70" s="11" t="str">
        <x:v>I078</x:v>
      </x:c>
      <x:c r="B70" s="11" t="str">
        <x:v>03690.HK</x:v>
      </x:c>
      <x:c r="C70" s="11" t="str">
        <x:v>美团-W</x:v>
      </x:c>
      <x:c r="D70" s="11" t="str">
        <x:v>JPMorgan</x:v>
      </x:c>
      <x:c r="E70" s="11" t="str">
        <x:v>2026-08-31</x:v>
      </x:c>
      <x:c r="F70" s="11" t="n">
        <x:v>100</x:v>
      </x:c>
      <x:c r="G70" s="11" t="str">
        <x:v>HKD</x:v>
      </x:c>
      <x:c r="H70" s="11" t="str">
        <x:v>公开转述未明确</x:v>
      </x:c>
      <x:c r="I70" s="11" t="str">
        <x:v>增持</x:v>
      </x:c>
      <x:c r="J70" s="11" t="str">
        <x:v>公开新闻转述，主体及新目标已人工核对</x:v>
      </x:c>
      <x:c r="K70" s="11" t="str">
        <x:v>外资</x:v>
      </x:c>
      <x:c r="L70" s="11" t="str">
        <x:v>https://www.aastocks.com/sc/stocks/analysis/stock-aafn-con/03690/AAFN/NOW.1542038/research-report</x:v>
      </x:c>
      <x:c r="M70" s="11" t="str">
        <x:v>近90日</x:v>
      </x:c>
      <x:c r="N70" s="11" t="str"/>
    </x:row>
    <x:row r="71" ht="23" customHeight="1">
      <x:c r="A71" s="11" t="str">
        <x:v>I078</x:v>
      </x:c>
      <x:c r="B71" s="11" t="str">
        <x:v>03690.HK</x:v>
      </x:c>
      <x:c r="C71" s="11" t="str">
        <x:v>美团-W</x:v>
      </x:c>
      <x:c r="D71" s="11" t="str">
        <x:v>Goldman Sachs</x:v>
      </x:c>
      <x:c r="E71" s="11" t="str">
        <x:v>2026-08-10</x:v>
      </x:c>
      <x:c r="F71" s="11" t="n">
        <x:v>123</x:v>
      </x:c>
      <x:c r="G71" s="11" t="str">
        <x:v>HKD</x:v>
      </x:c>
      <x:c r="H71" s="11" t="str">
        <x:v>公开转述未明确</x:v>
      </x:c>
      <x:c r="I71" s="11" t="str">
        <x:v>买入</x:v>
      </x:c>
      <x:c r="J71" s="11" t="str">
        <x:v>公开新闻转述，主体及新目标已人工核对</x:v>
      </x:c>
      <x:c r="K71" s="11" t="str">
        <x:v>外资</x:v>
      </x:c>
      <x:c r="L71" s="11" t="str">
        <x:v>https://www.aastocks.com/sc/stocks/analysis/stock-aafn-con/03690/AAFN/NOW.1537376/research-report</x:v>
      </x:c>
      <x:c r="M71" s="11" t="str">
        <x:v>近90日</x:v>
      </x:c>
      <x:c r="N71" s="11" t="str"/>
    </x:row>
    <x:row r="72" ht="23" customHeight="1">
      <x:c r="A72" s="11" t="str">
        <x:v>I087</x:v>
      </x:c>
      <x:c r="B72" s="11" t="str">
        <x:v>01810.HK</x:v>
      </x:c>
      <x:c r="C72" s="11" t="str">
        <x:v>小米集团-W</x:v>
      </x:c>
      <x:c r="D72" s="11" t="str">
        <x:v>Citi</x:v>
      </x:c>
      <x:c r="E72" s="11" t="str">
        <x:v>2026-10-02</x:v>
      </x:c>
      <x:c r="F72" s="11" t="n">
        <x:v>34</x:v>
      </x:c>
      <x:c r="G72" s="11" t="str">
        <x:v>HKD</x:v>
      </x:c>
      <x:c r="H72" s="11" t="str">
        <x:v>公开转述未明确</x:v>
      </x:c>
      <x:c r="I72" s="11" t="str">
        <x:v>买入</x:v>
      </x:c>
      <x:c r="J72" s="11" t="str">
        <x:v>公开新闻转述，主体及新目标已人工核对</x:v>
      </x:c>
      <x:c r="K72" s="11" t="str">
        <x:v>外资</x:v>
      </x:c>
      <x:c r="L72" s="11" t="str">
        <x:v>https://www.aastocks.com/sc/stocks/analysis/stock-aafn-con/01810/AAFN/NOW.1547472/research-report</x:v>
      </x:c>
      <x:c r="M72" s="11" t="str">
        <x:v>近90日</x:v>
      </x:c>
      <x:c r="N72" s="11" t="str"/>
    </x:row>
    <x:row r="73" ht="23" customHeight="1">
      <x:c r="A73" s="11" t="str">
        <x:v>I087</x:v>
      </x:c>
      <x:c r="B73" s="11" t="str">
        <x:v>01810.HK</x:v>
      </x:c>
      <x:c r="C73" s="11" t="str">
        <x:v>小米集团-W</x:v>
      </x:c>
      <x:c r="D73" s="11" t="str">
        <x:v>HSBC</x:v>
      </x:c>
      <x:c r="E73" s="11" t="str">
        <x:v>2026-09-30</x:v>
      </x:c>
      <x:c r="F73" s="11" t="n">
        <x:v>33.2</x:v>
      </x:c>
      <x:c r="G73" s="11" t="str">
        <x:v>HKD</x:v>
      </x:c>
      <x:c r="H73" s="11" t="str">
        <x:v>公开转述未明确</x:v>
      </x:c>
      <x:c r="I73" s="11" t="str">
        <x:v>买入</x:v>
      </x:c>
      <x:c r="J73" s="11" t="str">
        <x:v>公开新闻转述，主体及新目标已人工核对</x:v>
      </x:c>
      <x:c r="K73" s="11" t="str">
        <x:v>外资</x:v>
      </x:c>
      <x:c r="L73" s="11" t="str">
        <x:v>https://www.aastocks.com/sc/stocks/analysis/stock-aafn-con/01810/AAFN/NOW.1547181/research-report</x:v>
      </x:c>
      <x:c r="M73" s="11" t="str">
        <x:v>近90日</x:v>
      </x:c>
      <x:c r="N73" s="11" t="str"/>
    </x:row>
    <x:row r="74" ht="23" customHeight="1">
      <x:c r="A74" s="11" t="str">
        <x:v>I092</x:v>
      </x:c>
      <x:c r="B74" s="11" t="str">
        <x:v>00981.HK</x:v>
      </x:c>
      <x:c r="C74" s="11" t="str">
        <x:v>中芯国际</x:v>
      </x:c>
      <x:c r="D74" s="11" t="str">
        <x:v>DBS</x:v>
      </x:c>
      <x:c r="E74" s="11" t="str">
        <x:v>2026-08-19</x:v>
      </x:c>
      <x:c r="F74" s="11" t="n">
        <x:v>96</x:v>
      </x:c>
      <x:c r="G74" s="11" t="str">
        <x:v>HKD</x:v>
      </x:c>
      <x:c r="H74" s="11" t="str">
        <x:v>公开转述未明确</x:v>
      </x:c>
      <x:c r="I74" s="11" t="str">
        <x:v>买入</x:v>
      </x:c>
      <x:c r="J74" s="11" t="str">
        <x:v>公开新闻转述，主体及新目标已人工核对</x:v>
      </x:c>
      <x:c r="K74" s="11" t="str">
        <x:v>外资</x:v>
      </x:c>
      <x:c r="L74" s="11" t="str">
        <x:v>https://www.aastocks.com/sc/stocks/analysis/stock-aafn-con/00981/AAFN/NOW.1539222/research-report</x:v>
      </x:c>
      <x:c r="M74" s="11" t="str">
        <x:v>近90日</x:v>
      </x:c>
      <x:c r="N74" s="11" t="str"/>
    </x:row>
    <x:row r="75" ht="23" customHeight="1">
      <x:c r="A75" s="11" t="str">
        <x:v>I092</x:v>
      </x:c>
      <x:c r="B75" s="11" t="str">
        <x:v>00981.HK</x:v>
      </x:c>
      <x:c r="C75" s="11" t="str">
        <x:v>中芯国际</x:v>
      </x:c>
      <x:c r="D75" s="11" t="str">
        <x:v>Citi</x:v>
      </x:c>
      <x:c r="E75" s="11" t="str">
        <x:v>2026-08-17</x:v>
      </x:c>
      <x:c r="F75" s="11" t="n">
        <x:v>100</x:v>
      </x:c>
      <x:c r="G75" s="11" t="str">
        <x:v>HKD</x:v>
      </x:c>
      <x:c r="H75" s="11" t="str">
        <x:v>公开转述未明确</x:v>
      </x:c>
      <x:c r="I75" s="11" t="str">
        <x:v>买入</x:v>
      </x:c>
      <x:c r="J75" s="11" t="str">
        <x:v>公开新闻转述，主体及新目标已人工核对</x:v>
      </x:c>
      <x:c r="K75" s="11" t="str">
        <x:v>外资</x:v>
      </x:c>
      <x:c r="L75" s="11" t="str">
        <x:v>https://www.aastocks.com/sc/stocks/analysis/stock-aafn-con/00981/AAFN/NOW.1538751/research-report</x:v>
      </x:c>
      <x:c r="M75" s="11" t="str">
        <x:v>近90日</x:v>
      </x:c>
      <x:c r="N75" s="11" t="str"/>
    </x:row>
    <x:row r="76" ht="23" customHeight="1">
      <x:c r="A76" s="11" t="str">
        <x:v>I092</x:v>
      </x:c>
      <x:c r="B76" s="11" t="str">
        <x:v>00981.HK</x:v>
      </x:c>
      <x:c r="C76" s="11" t="str">
        <x:v>中芯国际</x:v>
      </x:c>
      <x:c r="D76" s="11" t="str">
        <x:v>JPMorgan</x:v>
      </x:c>
      <x:c r="E76" s="11" t="str">
        <x:v>2026-08-17</x:v>
      </x:c>
      <x:c r="F76" s="11" t="n">
        <x:v>78</x:v>
      </x:c>
      <x:c r="G76" s="11" t="str">
        <x:v>HKD</x:v>
      </x:c>
      <x:c r="H76" s="11" t="str">
        <x:v>公开转述未明确</x:v>
      </x:c>
      <x:c r="I76" s="11" t="str">
        <x:v>中性</x:v>
      </x:c>
      <x:c r="J76" s="11" t="str">
        <x:v>公开新闻转述，主体及新目标已人工核对</x:v>
      </x:c>
      <x:c r="K76" s="11" t="str">
        <x:v>外资</x:v>
      </x:c>
      <x:c r="L76" s="11" t="str">
        <x:v>https://www.aastocks.com/sc/stocks/analysis/stock-aafn-con/00981/AAFN/NOW.1538713/research-report</x:v>
      </x:c>
      <x:c r="M76" s="11" t="str">
        <x:v>近90日</x:v>
      </x:c>
      <x:c r="N76" s="11" t="str"/>
    </x:row>
    <x:row r="77" ht="23" customHeight="1">
      <x:c r="A77" s="11" t="str">
        <x:v>I092</x:v>
      </x:c>
      <x:c r="B77" s="11" t="str">
        <x:v>00981.HK</x:v>
      </x:c>
      <x:c r="C77" s="11" t="str">
        <x:v>中芯国际</x:v>
      </x:c>
      <x:c r="D77" s="11" t="str">
        <x:v>Daiwa</x:v>
      </x:c>
      <x:c r="E77" s="11" t="str">
        <x:v>2026-08-17</x:v>
      </x:c>
      <x:c r="F77" s="11" t="n">
        <x:v>40</x:v>
      </x:c>
      <x:c r="G77" s="11" t="str">
        <x:v>HKD</x:v>
      </x:c>
      <x:c r="H77" s="11" t="str">
        <x:v>公开转述未明确</x:v>
      </x:c>
      <x:c r="I77" s="11" t="str">
        <x:v>沽售</x:v>
      </x:c>
      <x:c r="J77" s="11" t="str">
        <x:v>公开新闻转述，主体及新目标已人工核对</x:v>
      </x:c>
      <x:c r="K77" s="11" t="str">
        <x:v>外资</x:v>
      </x:c>
      <x:c r="L77" s="11" t="str">
        <x:v>https://www.aastocks.com/sc/stocks/analysis/stock-aafn-con/00981/AAFN/NOW.1538613/research-report</x:v>
      </x:c>
      <x:c r="M77" s="11" t="str">
        <x:v>近90日</x:v>
      </x:c>
      <x:c r="N77" s="11" t="str"/>
    </x:row>
    <x:row r="78" ht="23" customHeight="1">
      <x:c r="A78" s="11" t="str">
        <x:v>I092</x:v>
      </x:c>
      <x:c r="B78" s="11" t="str">
        <x:v>00981.HK</x:v>
      </x:c>
      <x:c r="C78" s="11" t="str">
        <x:v>中芯国际</x:v>
      </x:c>
      <x:c r="D78" s="11" t="str">
        <x:v>Goldman Sachs</x:v>
      </x:c>
      <x:c r="E78" s="11" t="str">
        <x:v>2026-08-17</x:v>
      </x:c>
      <x:c r="F78" s="11" t="n">
        <x:v>153</x:v>
      </x:c>
      <x:c r="G78" s="11" t="str">
        <x:v>HKD</x:v>
      </x:c>
      <x:c r="H78" s="11" t="str">
        <x:v>公开转述未明确</x:v>
      </x:c>
      <x:c r="I78" s="11" t="str">
        <x:v>买入</x:v>
      </x:c>
      <x:c r="J78" s="11" t="str">
        <x:v>公开新闻转述，主体及新目标已人工核对</x:v>
      </x:c>
      <x:c r="K78" s="11" t="str">
        <x:v>外资</x:v>
      </x:c>
      <x:c r="L78" s="11" t="str">
        <x:v>https://www.aastocks.com/sc/stocks/analysis/stock-aafn-con/00981/AAFN/NOW.1538600/research-report</x:v>
      </x:c>
      <x:c r="M78" s="11" t="str">
        <x:v>近90日</x:v>
      </x:c>
      <x:c r="N78" s="11" t="str"/>
    </x:row>
    <x:row r="79" ht="23" customHeight="1">
      <x:c r="A79" s="11" t="str">
        <x:v>I092</x:v>
      </x:c>
      <x:c r="B79" s="11" t="str">
        <x:v>00981.HK</x:v>
      </x:c>
      <x:c r="C79" s="11" t="str">
        <x:v>中芯国际</x:v>
      </x:c>
      <x:c r="D79" s="11" t="str">
        <x:v>CLSA</x:v>
      </x:c>
      <x:c r="E79" s="11" t="str">
        <x:v>2026-08-17</x:v>
      </x:c>
      <x:c r="F79" s="11" t="n">
        <x:v>97.5</x:v>
      </x:c>
      <x:c r="G79" s="11" t="str">
        <x:v>HKD</x:v>
      </x:c>
      <x:c r="H79" s="11" t="str">
        <x:v>公开转述未明确</x:v>
      </x:c>
      <x:c r="I79" s="11" t="str">
        <x:v>跑赢大市</x:v>
      </x:c>
      <x:c r="J79" s="11" t="str">
        <x:v>公开新闻转述，主体及新目标已人工核对</x:v>
      </x:c>
      <x:c r="K79" s="11" t="str">
        <x:v>外资</x:v>
      </x:c>
      <x:c r="L79" s="11" t="str">
        <x:v>https://www.aastocks.com/sc/stocks/analysis/stock-aafn-con/00981/AAFN/NOW.1538577/research-report</x:v>
      </x:c>
      <x:c r="M79" s="11" t="str">
        <x:v>近90日</x:v>
      </x:c>
      <x:c r="N79" s="11" t="str"/>
    </x:row>
    <x:row r="80" ht="23" customHeight="1">
      <x:c r="A80" s="11" t="str">
        <x:v>I071</x:v>
      </x:c>
      <x:c r="B80" s="11" t="str">
        <x:v>01347.HK</x:v>
      </x:c>
      <x:c r="C80" s="11" t="str">
        <x:v>华虹宏力</x:v>
      </x:c>
      <x:c r="D80" s="11" t="str">
        <x:v>Citi</x:v>
      </x:c>
      <x:c r="E80" s="11" t="str">
        <x:v>2026-08-17</x:v>
      </x:c>
      <x:c r="F80" s="11" t="n">
        <x:v>175</x:v>
      </x:c>
      <x:c r="G80" s="11" t="str">
        <x:v>HKD</x:v>
      </x:c>
      <x:c r="H80" s="11" t="str">
        <x:v>公开转述未明确</x:v>
      </x:c>
      <x:c r="I80" s="11" t="str">
        <x:v>买入</x:v>
      </x:c>
      <x:c r="J80" s="11" t="str">
        <x:v>公开新闻转述，主体及新目标已人工核对</x:v>
      </x:c>
      <x:c r="K80" s="11" t="str">
        <x:v>外资</x:v>
      </x:c>
      <x:c r="L80" s="11" t="str">
        <x:v>https://www.aastocks.com/sc/stocks/analysis/stock-aafn-con/01347/AAFN/NOW.1538751/research-report</x:v>
      </x:c>
      <x:c r="M80" s="11" t="str">
        <x:v>近90日</x:v>
      </x:c>
      <x:c r="N80" s="11" t="str"/>
    </x:row>
    <x:row r="81" ht="23" customHeight="1">
      <x:c r="A81" s="11" t="str">
        <x:v>I084</x:v>
      </x:c>
      <x:c r="B81" s="11" t="str">
        <x:v>02015.HK</x:v>
      </x:c>
      <x:c r="C81" s="11" t="str">
        <x:v>理想汽车-W</x:v>
      </x:c>
      <x:c r="D81" s="11" t="str">
        <x:v>Morgan Stanley</x:v>
      </x:c>
      <x:c r="E81" s="11" t="str">
        <x:v>2026-09-16</x:v>
      </x:c>
      <x:c r="F81" s="11" t="n">
        <x:v>68.5</x:v>
      </x:c>
      <x:c r="G81" s="11" t="str">
        <x:v>HKD</x:v>
      </x:c>
      <x:c r="H81" s="11" t="str">
        <x:v>公开转述未明确</x:v>
      </x:c>
      <x:c r="I81" s="11" t="str">
        <x:v>增持</x:v>
      </x:c>
      <x:c r="J81" s="11" t="str">
        <x:v>公开新闻转述，主体及新目标已人工核对</x:v>
      </x:c>
      <x:c r="K81" s="11" t="str">
        <x:v>外资</x:v>
      </x:c>
      <x:c r="L81" s="11" t="str">
        <x:v>https://www.aastocks.com/sc/stocks/analysis/stock-aafn-con/02015/AAFN/NOW.1544829/research-report</x:v>
      </x:c>
      <x:c r="M81" s="11" t="str">
        <x:v>近90日</x:v>
      </x:c>
      <x:c r="N81" s="11" t="str"/>
    </x:row>
    <x:row r="82" ht="23" customHeight="1">
      <x:c r="A82" s="11" t="str">
        <x:v>I085</x:v>
      </x:c>
      <x:c r="B82" s="11" t="str">
        <x:v>09868.HK</x:v>
      </x:c>
      <x:c r="C82" s="11" t="str">
        <x:v>小鹏集团-W</x:v>
      </x:c>
      <x:c r="D82" s="11" t="str">
        <x:v>Morgan Stanley</x:v>
      </x:c>
      <x:c r="E82" s="11" t="str">
        <x:v>2026-09-16</x:v>
      </x:c>
      <x:c r="F82" s="11" t="n">
        <x:v>70</x:v>
      </x:c>
      <x:c r="G82" s="11" t="str">
        <x:v>HKD</x:v>
      </x:c>
      <x:c r="H82" s="11" t="str">
        <x:v>公开转述未明确</x:v>
      </x:c>
      <x:c r="I82" s="11" t="str">
        <x:v>增持</x:v>
      </x:c>
      <x:c r="J82" s="11" t="str">
        <x:v>公开新闻转述，主体及新目标已人工核对</x:v>
      </x:c>
      <x:c r="K82" s="11" t="str">
        <x:v>外资</x:v>
      </x:c>
      <x:c r="L82" s="11" t="str">
        <x:v>https://www.aastocks.com/sc/stocks/analysis/stock-aafn-con/09868/AAFN/NOW.1544829/research-report</x:v>
      </x:c>
      <x:c r="M82" s="11" t="str">
        <x:v>近90日</x:v>
      </x:c>
      <x:c r="N82" s="11" t="str"/>
    </x:row>
    <x:row r="83" ht="23" customHeight="1">
      <x:c r="A83" s="11" t="str">
        <x:v>I088</x:v>
      </x:c>
      <x:c r="B83" s="11" t="str">
        <x:v>09866.HK</x:v>
      </x:c>
      <x:c r="C83" s="11" t="str">
        <x:v>蔚来-SW</x:v>
      </x:c>
      <x:c r="D83" s="11" t="str">
        <x:v>Morgan Stanley</x:v>
      </x:c>
      <x:c r="E83" s="11" t="str">
        <x:v>2026-09-16</x:v>
      </x:c>
      <x:c r="F83" s="11" t="n">
        <x:v>68.5</x:v>
      </x:c>
      <x:c r="G83" s="11" t="str">
        <x:v>HKD</x:v>
      </x:c>
      <x:c r="H83" s="11" t="str">
        <x:v>公开转述未明确</x:v>
      </x:c>
      <x:c r="I83" s="11" t="str">
        <x:v>增持</x:v>
      </x:c>
      <x:c r="J83" s="11" t="str">
        <x:v>公开新闻转述，主体及新目标已人工核对</x:v>
      </x:c>
      <x:c r="K83" s="11" t="str">
        <x:v>外资</x:v>
      </x:c>
      <x:c r="L83" s="11" t="str">
        <x:v>https://www.aastocks.com/sc/stocks/analysis/stock-aafn-con/09866/AAFN/NOW.1544829/research-report</x:v>
      </x:c>
      <x:c r="M83" s="11" t="str">
        <x:v>近90日</x:v>
      </x:c>
      <x:c r="N83" s="11" t="str"/>
    </x:row>
    <x:row r="84" ht="23" customHeight="1">
      <x:c r="A84" s="11" t="str">
        <x:v>I059</x:v>
      </x:c>
      <x:c r="B84" s="11" t="str">
        <x:v>09880.HK</x:v>
      </x:c>
      <x:c r="C84" s="11" t="str">
        <x:v>优必选</x:v>
      </x:c>
      <x:c r="D84" s="11" t="str">
        <x:v>JPMorgan</x:v>
      </x:c>
      <x:c r="E84" s="11" t="str">
        <x:v>2026-09-29</x:v>
      </x:c>
      <x:c r="F84" s="11" t="n">
        <x:v>74</x:v>
      </x:c>
      <x:c r="G84" s="11" t="str">
        <x:v>HKD</x:v>
      </x:c>
      <x:c r="H84" s="11" t="str">
        <x:v>2027年12月</x:v>
      </x:c>
      <x:c r="I84" s="11" t="str">
        <x:v>中性</x:v>
      </x:c>
      <x:c r="J84" s="11" t="str">
        <x:v>公开新闻转述，主体及新目标已人工核对</x:v>
      </x:c>
      <x:c r="K84" s="11" t="str">
        <x:v>外资</x:v>
      </x:c>
      <x:c r="L84" s="11" t="str">
        <x:v>https://www.aastocks.com/sc/stocks/analysis/stock-aafn-con/09880/AAFN/NOW.1546879/research-report</x:v>
      </x:c>
      <x:c r="M84" s="11" t="str">
        <x:v>近90日</x:v>
      </x:c>
      <x:c r="N84" s="11" t="str"/>
    </x:row>
    <x:row r="85" ht="23" customHeight="1">
      <x:c r="A85" s="11" t="str">
        <x:v>I063</x:v>
      </x:c>
      <x:c r="B85" s="11" t="str">
        <x:v>03750.HK</x:v>
      </x:c>
      <x:c r="C85" s="11" t="str">
        <x:v>宁德时代</x:v>
      </x:c>
      <x:c r="D85" s="11" t="str">
        <x:v>Citi</x:v>
      </x:c>
      <x:c r="E85" s="11" t="str">
        <x:v>2026-10-08</x:v>
      </x:c>
      <x:c r="F85" s="11" t="n">
        <x:v>765</x:v>
      </x:c>
      <x:c r="G85" s="11" t="str">
        <x:v>HKD</x:v>
      </x:c>
      <x:c r="H85" s="11" t="str">
        <x:v>公开转述未明确</x:v>
      </x:c>
      <x:c r="I85" s="11" t="str">
        <x:v>买入</x:v>
      </x:c>
      <x:c r="J85" s="11" t="str">
        <x:v>公开新闻转述，表内宁德新目标765已核对，原研报未取得</x:v>
      </x:c>
      <x:c r="K85" s="11" t="str">
        <x:v>外资</x:v>
      </x:c>
      <x:c r="L85" s="11" t="str">
        <x:v>https://www.aastocks.com/sc/stocks/analysis/stock-aafn-con/03750/AAFN/NOW.1548298/research-report</x:v>
      </x:c>
      <x:c r="M85" s="11" t="str">
        <x:v>近90日</x:v>
      </x:c>
      <x:c r="N85" s="11" t="str"/>
    </x:row>
    <x:row r="86" ht="23" customHeight="1">
      <x:c r="A86" s="11" t="str">
        <x:v>I070</x:v>
      </x:c>
      <x:c r="B86" s="11" t="str">
        <x:v>09618.HK</x:v>
      </x:c>
      <x:c r="C86" s="11" t="str">
        <x:v>京东集团-SW</x:v>
      </x:c>
      <x:c r="D86" s="11" t="str">
        <x:v>Bank of America</x:v>
      </x:c>
      <x:c r="E86" s="11" t="str">
        <x:v>2026-08-17</x:v>
      </x:c>
      <x:c r="F86" s="11" t="n">
        <x:v>149</x:v>
      </x:c>
      <x:c r="G86" s="11" t="str">
        <x:v>HKD</x:v>
      </x:c>
      <x:c r="H86" s="11" t="str">
        <x:v>公开转述未明确</x:v>
      </x:c>
      <x:c r="I86" s="11" t="str">
        <x:v>买入</x:v>
      </x:c>
      <x:c r="J86" s="11" t="str">
        <x:v>公开新闻转述</x:v>
      </x:c>
      <x:c r="K86" s="11" t="str">
        <x:v>外资</x:v>
      </x:c>
      <x:c r="L86" s="11" t="str">
        <x:v>https://www.aastocks.com/sc/stocks/analysis/stock-aafn-con/09618/AAFN/NOW.1538706/research-report</x:v>
      </x:c>
      <x:c r="M86" s="11" t="str">
        <x:v>近90日</x:v>
      </x:c>
      <x:c r="N86" s="11" t="str"/>
    </x:row>
    <x:row r="87" ht="23" customHeight="1">
      <x:c r="A87" s="11" t="str">
        <x:v>I070</x:v>
      </x:c>
      <x:c r="B87" s="11" t="str">
        <x:v>09618.HK</x:v>
      </x:c>
      <x:c r="C87" s="11" t="str">
        <x:v>京东集团-SW</x:v>
      </x:c>
      <x:c r="D87" s="11" t="str">
        <x:v>Daiwa</x:v>
      </x:c>
      <x:c r="E87" s="11" t="str">
        <x:v>2026-08-17</x:v>
      </x:c>
      <x:c r="F87" s="11" t="n">
        <x:v>120</x:v>
      </x:c>
      <x:c r="G87" s="11" t="str">
        <x:v>HKD</x:v>
      </x:c>
      <x:c r="H87" s="11" t="str">
        <x:v>公开转述未明确</x:v>
      </x:c>
      <x:c r="I87" s="11" t="str">
        <x:v>持有</x:v>
      </x:c>
      <x:c r="J87" s="11" t="str">
        <x:v>公开新闻转述</x:v>
      </x:c>
      <x:c r="K87" s="11" t="str">
        <x:v>外资</x:v>
      </x:c>
      <x:c r="L87" s="11" t="str">
        <x:v>https://www.aastocks.com/sc/stocks/analysis/stock-aafn-con/09618/AAFN/NOW.1538623/research-report</x:v>
      </x:c>
      <x:c r="M87" s="11" t="str">
        <x:v>近90日</x:v>
      </x:c>
      <x:c r="N87" s="11" t="str"/>
    </x:row>
    <x:row r="88" ht="23" customHeight="1">
      <x:c r="A88" s="11" t="str">
        <x:v>I070</x:v>
      </x:c>
      <x:c r="B88" s="11" t="str">
        <x:v>JD.US</x:v>
      </x:c>
      <x:c r="C88" s="11" t="str">
        <x:v>京东ADS</x:v>
      </x:c>
      <x:c r="D88" s="11" t="str">
        <x:v>Citi</x:v>
      </x:c>
      <x:c r="E88" s="11" t="str">
        <x:v>2026-09-04</x:v>
      </x:c>
      <x:c r="F88" s="11" t="n">
        <x:v>39</x:v>
      </x:c>
      <x:c r="G88" s="11" t="str">
        <x:v>USD</x:v>
      </x:c>
      <x:c r="H88" s="11" t="str">
        <x:v>公开转述未明确</x:v>
      </x:c>
      <x:c r="I88" s="11" t="str">
        <x:v>买入</x:v>
      </x:c>
      <x:c r="J88" s="11" t="str">
        <x:v>公开新闻转述</x:v>
      </x:c>
      <x:c r="K88" s="11" t="str">
        <x:v>外资</x:v>
      </x:c>
      <x:c r="L88" s="11" t="str">
        <x:v>https://www.aastocks.com/sc/stocks/analysis/stock-aafn-con/09618/AAFN/NOW.1542926/research-report</x:v>
      </x:c>
      <x:c r="M88" s="11" t="str">
        <x:v>近90日</x:v>
      </x:c>
      <x:c r="N88" s="11" t="str"/>
    </x:row>
    <x:row r="89" ht="23" customHeight="1">
      <x:c r="A89" s="11" t="str">
        <x:v>I023</x:v>
      </x:c>
      <x:c r="B89" s="11" t="str">
        <x:v>01530.HK</x:v>
      </x:c>
      <x:c r="C89" s="11" t="str">
        <x:v>三生制药</x:v>
      </x:c>
      <x:c r="D89" s="11" t="str">
        <x:v>Bank of America</x:v>
      </x:c>
      <x:c r="E89" s="11" t="str">
        <x:v>2026-09-21</x:v>
      </x:c>
      <x:c r="F89" s="11" t="n">
        <x:v>23.8</x:v>
      </x:c>
      <x:c r="G89" s="11" t="str">
        <x:v>HKD</x:v>
      </x:c>
      <x:c r="H89" s="11" t="str">
        <x:v>公开转述未明确目标日</x:v>
      </x:c>
      <x:c r="I89" s="11" t="str">
        <x:v>买入</x:v>
      </x:c>
      <x:c r="J89" s="11" t="str">
        <x:v>financial_news_secondary</x:v>
      </x:c>
      <x:c r="K89" s="11" t="str">
        <x:v>foreign</x:v>
      </x:c>
      <x:c r="L89" s="11" t="str">
        <x:v>https://www.aastocks.com/tc/stocks/analysis/stock-aafn-con/01530/AAFN/NOW.1545493/research-report</x:v>
      </x:c>
      <x:c r="M89" s="11" t="str">
        <x:v>近90日</x:v>
      </x:c>
      <x:c r="N89" s="11" t="str"/>
    </x:row>
    <x:row r="90" ht="23" customHeight="1">
      <x:c r="A90" s="11" t="str">
        <x:v>I023</x:v>
      </x:c>
      <x:c r="B90" s="11" t="str">
        <x:v>01530.HK</x:v>
      </x:c>
      <x:c r="C90" s="11" t="str">
        <x:v>三生制药</x:v>
      </x:c>
      <x:c r="D90" s="11" t="str">
        <x:v>Citi</x:v>
      </x:c>
      <x:c r="E90" s="11" t="str">
        <x:v>2026-08-24</x:v>
      </x:c>
      <x:c r="F90" s="11" t="n">
        <x:v>34.4</x:v>
      </x:c>
      <x:c r="G90" s="11" t="str">
        <x:v>HKD</x:v>
      </x:c>
      <x:c r="H90" s="11" t="str">
        <x:v>公开转述未明确目标日</x:v>
      </x:c>
      <x:c r="I90" s="11" t="str">
        <x:v>买入</x:v>
      </x:c>
      <x:c r="J90" s="11" t="str">
        <x:v>financial_news_secondary</x:v>
      </x:c>
      <x:c r="K90" s="11" t="str">
        <x:v>foreign</x:v>
      </x:c>
      <x:c r="L90" s="11" t="str">
        <x:v>https://www.aastocks.com/tc/stocks/analysis/stock-aafn-con/01530/AAFN/NOW.1540270/research-report</x:v>
      </x:c>
      <x:c r="M90" s="11" t="str">
        <x:v>近90日</x:v>
      </x:c>
      <x:c r="N90" s="11" t="str"/>
    </x:row>
    <x:row r="91" ht="23" customHeight="1">
      <x:c r="A91" s="11" t="str">
        <x:v>I023</x:v>
      </x:c>
      <x:c r="B91" s="11" t="str">
        <x:v>01530.HK</x:v>
      </x:c>
      <x:c r="C91" s="11" t="str">
        <x:v>三生制药</x:v>
      </x:c>
      <x:c r="D91" s="11" t="str">
        <x:v>Morgan Stanley</x:v>
      </x:c>
      <x:c r="E91" s="11" t="str">
        <x:v>2026-04-13</x:v>
      </x:c>
      <x:c r="F91" s="11" t="n">
        <x:v>34</x:v>
      </x:c>
      <x:c r="G91" s="11" t="str">
        <x:v>HKD</x:v>
      </x:c>
      <x:c r="H91" s="11" t="str">
        <x:v>公开转述未明确目标日</x:v>
      </x:c>
      <x:c r="I91" s="11" t="str">
        <x:v>增持</x:v>
      </x:c>
      <x:c r="J91" s="11" t="str">
        <x:v>financial_news_secondary</x:v>
      </x:c>
      <x:c r="K91" s="11" t="str">
        <x:v>foreign</x:v>
      </x:c>
      <x:c r="L91" s="11" t="str">
        <x:v>https://www.aastocks.com/tc/stocks/analysis/stock-aafn-con/01530/AAFN/NOW.1517225/research-report</x:v>
      </x:c>
      <x:c r="M91" s="11" t="str">
        <x:v>超过90日，旧目标</x:v>
      </x:c>
      <x:c r="N91" s="11" t="str"/>
    </x:row>
    <x:row r="92" ht="23" customHeight="1">
      <x:c r="A92" s="11" t="str">
        <x:v>I066</x:v>
      </x:c>
      <x:c r="B92" s="11" t="str">
        <x:v>09888.HK</x:v>
      </x:c>
      <x:c r="C92" s="11" t="str">
        <x:v>百度集团-W</x:v>
      </x:c>
      <x:c r="D92" s="11" t="str">
        <x:v>Daiwa</x:v>
      </x:c>
      <x:c r="E92" s="11" t="str">
        <x:v>2026-08-20</x:v>
      </x:c>
      <x:c r="F92" s="11" t="n">
        <x:v>160</x:v>
      </x:c>
      <x:c r="G92" s="11" t="str">
        <x:v>HKD</x:v>
      </x:c>
      <x:c r="H92" s="11" t="str">
        <x:v>公开转述未明确</x:v>
      </x:c>
      <x:c r="I92" s="11" t="str">
        <x:v>买入</x:v>
      </x:c>
      <x:c r="J92" s="11" t="str">
        <x:v>公开新闻转述</x:v>
      </x:c>
      <x:c r="K92" s="11" t="str">
        <x:v>外资</x:v>
      </x:c>
      <x:c r="L92" s="11" t="str">
        <x:v>https://www.aastocks.com/sc/stocks/analysis/stock-aafn-con/09888/AAFN/NOW.1539494/research-report</x:v>
      </x:c>
      <x:c r="M92" s="11" t="str">
        <x:v>近90日</x:v>
      </x:c>
      <x:c r="N92" s="11" t="str"/>
    </x:row>
    <x:row r="93" ht="23" customHeight="1">
      <x:c r="A93" s="11" t="str">
        <x:v>I066</x:v>
      </x:c>
      <x:c r="B93" s="11" t="str">
        <x:v>09888.HK</x:v>
      </x:c>
      <x:c r="C93" s="11" t="str">
        <x:v>百度集团-W</x:v>
      </x:c>
      <x:c r="D93" s="11" t="str">
        <x:v>瑞银</x:v>
      </x:c>
      <x:c r="E93" s="11" t="str">
        <x:v>2026-08-19</x:v>
      </x:c>
      <x:c r="F93" s="11" t="n">
        <x:v>155</x:v>
      </x:c>
      <x:c r="G93" s="11" t="str">
        <x:v>HKD</x:v>
      </x:c>
      <x:c r="H93" s="11" t="str">
        <x:v>公开转述未明确</x:v>
      </x:c>
      <x:c r="I93" s="11" t="str">
        <x:v>买入</x:v>
      </x:c>
      <x:c r="J93" s="11" t="str">
        <x:v>公开新闻转述</x:v>
      </x:c>
      <x:c r="K93" s="11" t="str">
        <x:v>外资</x:v>
      </x:c>
      <x:c r="L93" s="11" t="str">
        <x:v>https://www.aastocks.com/sc/stocks/analysis/stock-aafn-con/09888/AAFN/NOW.1539217/research-report</x:v>
      </x:c>
      <x:c r="M93" s="11" t="str">
        <x:v>近90日</x:v>
      </x:c>
      <x:c r="N93" s="11" t="str"/>
    </x:row>
    <x:row r="94" ht="23" customHeight="1">
      <x:c r="A94" s="11" t="str">
        <x:v>I066</x:v>
      </x:c>
      <x:c r="B94" s="11" t="str">
        <x:v>09888.HK</x:v>
      </x:c>
      <x:c r="C94" s="11" t="str">
        <x:v>百度集团-W</x:v>
      </x:c>
      <x:c r="D94" s="11" t="str">
        <x:v>Bank of America</x:v>
      </x:c>
      <x:c r="E94" s="11" t="str">
        <x:v>2026-08-19</x:v>
      </x:c>
      <x:c r="F94" s="11" t="n">
        <x:v>137</x:v>
      </x:c>
      <x:c r="G94" s="11" t="str">
        <x:v>HKD</x:v>
      </x:c>
      <x:c r="H94" s="11" t="str">
        <x:v>公开转述未明确</x:v>
      </x:c>
      <x:c r="I94" s="11" t="str">
        <x:v>买入</x:v>
      </x:c>
      <x:c r="J94" s="11" t="str">
        <x:v>公开新闻转述</x:v>
      </x:c>
      <x:c r="K94" s="11" t="str">
        <x:v>外资</x:v>
      </x:c>
      <x:c r="L94" s="11" t="str">
        <x:v>https://www.aastocks.com/sc/stocks/analysis/stock-aafn-con/09888/AAFN/NOW.1539193/research-report</x:v>
      </x:c>
      <x:c r="M94" s="11" t="str">
        <x:v>近90日</x:v>
      </x:c>
      <x:c r="N94" s="11" t="str"/>
    </x:row>
    <x:row r="95" ht="23" customHeight="1">
      <x:c r="A95" s="11" t="str">
        <x:v>I066</x:v>
      </x:c>
      <x:c r="B95" s="11" t="str">
        <x:v>BIDU.US</x:v>
      </x:c>
      <x:c r="C95" s="11" t="str">
        <x:v>百度集团-W</x:v>
      </x:c>
      <x:c r="D95" s="11" t="str">
        <x:v>Morgan Stanley</x:v>
      </x:c>
      <x:c r="E95" s="11" t="str">
        <x:v>2026-08-19</x:v>
      </x:c>
      <x:c r="F95" s="11" t="n">
        <x:v>80</x:v>
      </x:c>
      <x:c r="G95" s="11" t="str">
        <x:v>USD</x:v>
      </x:c>
      <x:c r="H95" s="11" t="str">
        <x:v>公开转述未明确</x:v>
      </x:c>
      <x:c r="I95" s="11" t="str">
        <x:v>减持</x:v>
      </x:c>
      <x:c r="J95" s="11" t="str">
        <x:v>公开新闻转述</x:v>
      </x:c>
      <x:c r="K95" s="11" t="str">
        <x:v>外资</x:v>
      </x:c>
      <x:c r="L95" s="11" t="str">
        <x:v>https://www.aastocks.com/sc/stocks/analysis/stock-aafn-con/09888/AAFN/NOW.1539242/research-report</x:v>
      </x:c>
      <x:c r="M95" s="11" t="str">
        <x:v>近90日</x:v>
      </x:c>
      <x:c r="N95" s="11" t="str"/>
    </x:row>
    <x:row r="96" ht="23" customHeight="1">
      <x:c r="A96" s="11" t="str">
        <x:v>I066</x:v>
      </x:c>
      <x:c r="B96" s="11" t="str">
        <x:v>BIDU.US</x:v>
      </x:c>
      <x:c r="C96" s="11" t="str">
        <x:v>百度集团-W</x:v>
      </x:c>
      <x:c r="D96" s="11" t="str">
        <x:v>Citi</x:v>
      </x:c>
      <x:c r="E96" s="11" t="str">
        <x:v>2026-08-19</x:v>
      </x:c>
      <x:c r="F96" s="11" t="n">
        <x:v>166</x:v>
      </x:c>
      <x:c r="G96" s="11" t="str">
        <x:v>USD</x:v>
      </x:c>
      <x:c r="H96" s="11" t="str">
        <x:v>公开转述未明确</x:v>
      </x:c>
      <x:c r="I96" s="11" t="str">
        <x:v>买入</x:v>
      </x:c>
      <x:c r="J96" s="11" t="str">
        <x:v>公开新闻转述</x:v>
      </x:c>
      <x:c r="K96" s="11" t="str">
        <x:v>外资</x:v>
      </x:c>
      <x:c r="L96" s="11" t="str">
        <x:v>https://www.aastocks.com/sc/stocks/analysis/stock-aafn-con/09888/AAFN/NOW.1539159/research-report</x:v>
      </x:c>
      <x:c r="M96" s="11" t="str">
        <x:v>近90日</x:v>
      </x:c>
      <x:c r="N96" s="11" t="str"/>
    </x:row>
    <x:row r="97" ht="23" customHeight="1">
      <x:c r="A97" s="11" t="str">
        <x:v>I066</x:v>
      </x:c>
      <x:c r="B97" s="11" t="str">
        <x:v>BIDU.US</x:v>
      </x:c>
      <x:c r="C97" s="11" t="str">
        <x:v>百度集团-W</x:v>
      </x:c>
      <x:c r="D97" s="11" t="str">
        <x:v>Nomura</x:v>
      </x:c>
      <x:c r="E97" s="11" t="str">
        <x:v>2026-08-19</x:v>
      </x:c>
      <x:c r="F97" s="11" t="n">
        <x:v>154</x:v>
      </x:c>
      <x:c r="G97" s="11" t="str">
        <x:v>USD</x:v>
      </x:c>
      <x:c r="H97" s="11" t="str">
        <x:v>公开转述未明确</x:v>
      </x:c>
      <x:c r="I97" s="11" t="str">
        <x:v>买入</x:v>
      </x:c>
      <x:c r="J97" s="11" t="str">
        <x:v>公开新闻转述</x:v>
      </x:c>
      <x:c r="K97" s="11" t="str">
        <x:v>外资</x:v>
      </x:c>
      <x:c r="L97" s="11" t="str">
        <x:v>https://www.aastocks.com/sc/stocks/analysis/stock-aafn-con/09888/AAFN/NOW.1539156/research-report</x:v>
      </x:c>
      <x:c r="M97" s="11" t="str">
        <x:v>近90日</x:v>
      </x:c>
      <x:c r="N97" s="11" t="str"/>
    </x:row>
    <x:row r="98" ht="23" customHeight="1">
      <x:c r="A98" s="11" t="str">
        <x:v>I066</x:v>
      </x:c>
      <x:c r="B98" s="11" t="str">
        <x:v>BIDU.US</x:v>
      </x:c>
      <x:c r="C98" s="11" t="str">
        <x:v>百度集团-W</x:v>
      </x:c>
      <x:c r="D98" s="11" t="str">
        <x:v>CLSA</x:v>
      </x:c>
      <x:c r="E98" s="11" t="str">
        <x:v>2026-08-19</x:v>
      </x:c>
      <x:c r="F98" s="11" t="n">
        <x:v>150</x:v>
      </x:c>
      <x:c r="G98" s="11" t="str">
        <x:v>USD</x:v>
      </x:c>
      <x:c r="H98" s="11" t="str">
        <x:v>公开转述未明确</x:v>
      </x:c>
      <x:c r="I98" s="11" t="str">
        <x:v>跑赢大市</x:v>
      </x:c>
      <x:c r="J98" s="11" t="str">
        <x:v>公开新闻转述</x:v>
      </x:c>
      <x:c r="K98" s="11" t="str">
        <x:v>外资</x:v>
      </x:c>
      <x:c r="L98" s="11" t="str">
        <x:v>https://www.aastocks.com/sc/stocks/analysis/stock-aafn-con/09888/AAFN/NOW.1539156/research-report</x:v>
      </x:c>
      <x:c r="M98" s="11" t="str">
        <x:v>近90日</x:v>
      </x:c>
      <x:c r="N98" s="11" t="str"/>
    </x:row>
    <x:row r="99" ht="23" customHeight="1">
      <x:c r="A99" s="11" t="str">
        <x:v>I012</x:v>
      </x:c>
      <x:c r="B99" s="11" t="str">
        <x:v>06160.HK</x:v>
      </x:c>
      <x:c r="C99" s="11" t="str">
        <x:v>百济神州</x:v>
      </x:c>
      <x:c r="D99" s="11" t="str">
        <x:v>Bank of America</x:v>
      </x:c>
      <x:c r="E99" s="11" t="str">
        <x:v>2026-08-07</x:v>
      </x:c>
      <x:c r="F99" s="11" t="n">
        <x:v>255.43</x:v>
      </x:c>
      <x:c r="G99" s="11" t="str">
        <x:v>HKD</x:v>
      </x:c>
      <x:c r="H99" s="11" t="str">
        <x:v>公开转述未明确目标日，不能直接作为年底价格</x:v>
      </x:c>
      <x:c r="I99" s="11" t="str">
        <x:v>买入</x:v>
      </x:c>
      <x:c r="J99" s="11" t="str">
        <x:v>financial_news_secondary</x:v>
      </x:c>
      <x:c r="K99" s="11" t="str">
        <x:v>foreign</x:v>
      </x:c>
      <x:c r="L99" s="11" t="str">
        <x:v>https://www.aastocks.com/tc/stocks/analysis/stock-aafn-con/06160/AAFN/NOW.1537107/research-report</x:v>
      </x:c>
      <x:c r="M99" s="11" t="str">
        <x:v>近90日</x:v>
      </x:c>
      <x:c r="N99" s="11" t="str"/>
    </x:row>
    <x:row r="100" ht="23" customHeight="1">
      <x:c r="A100" s="11" t="str">
        <x:v>I012</x:v>
      </x:c>
      <x:c r="B100" s="11" t="str">
        <x:v>06160.HK</x:v>
      </x:c>
      <x:c r="C100" s="11" t="str">
        <x:v>百济神州</x:v>
      </x:c>
      <x:c r="D100" s="11" t="str">
        <x:v>CLSA</x:v>
      </x:c>
      <x:c r="E100" s="11" t="str">
        <x:v>2026-09-04</x:v>
      </x:c>
      <x:c r="F100" s="11" t="n">
        <x:v>321.7</x:v>
      </x:c>
      <x:c r="G100" s="11" t="str">
        <x:v>HKD</x:v>
      </x:c>
      <x:c r="H100" s="11" t="str">
        <x:v>公开转述未明确目标日，不能直接作为年底价格</x:v>
      </x:c>
      <x:c r="I100" s="11" t="str">
        <x:v>跑赢大市</x:v>
      </x:c>
      <x:c r="J100" s="11" t="str">
        <x:v>financial_news_secondary</x:v>
      </x:c>
      <x:c r="K100" s="11" t="str">
        <x:v>foreign</x:v>
      </x:c>
      <x:c r="L100" s="11" t="str">
        <x:v>https://www.aastocks.com/tc/stocks/analysis/stock-aafn-con/06160/AAFN/NOW.1542983/research-report</x:v>
      </x:c>
      <x:c r="M100" s="11" t="str">
        <x:v>近90日</x:v>
      </x:c>
      <x:c r="N100" s="11" t="str"/>
    </x:row>
    <x:row r="101" ht="23" customHeight="1">
      <x:c r="A101" s="11" t="str">
        <x:v>I012</x:v>
      </x:c>
      <x:c r="B101" s="11" t="str">
        <x:v>06160.HK</x:v>
      </x:c>
      <x:c r="C101" s="11" t="str">
        <x:v>百济神州</x:v>
      </x:c>
      <x:c r="D101" s="11" t="str">
        <x:v>UOB Kay Hian</x:v>
      </x:c>
      <x:c r="E101" s="11" t="str">
        <x:v>2026-08-06</x:v>
      </x:c>
      <x:c r="F101" s="11" t="n">
        <x:v>265</x:v>
      </x:c>
      <x:c r="G101" s="11" t="str">
        <x:v>HKD</x:v>
      </x:c>
      <x:c r="H101" s="11" t="str">
        <x:v>公开转述未明确目标日，不能直接作为年底价格</x:v>
      </x:c>
      <x:c r="I101" s="11" t="str">
        <x:v>买入</x:v>
      </x:c>
      <x:c r="J101" s="11" t="str">
        <x:v>financial_news_secondary</x:v>
      </x:c>
      <x:c r="K101" s="11" t="str">
        <x:v>foreign</x:v>
      </x:c>
      <x:c r="L101" s="11" t="str">
        <x:v>https://www.aastocks.com/tc/stocks/analysis/stock-aafn-con/06160/AAFN/NOW.1536946/research-report</x:v>
      </x:c>
      <x:c r="M101" s="11" t="str">
        <x:v>近90日</x:v>
      </x:c>
      <x:c r="N101" s="11" t="str"/>
    </x:row>
    <x:row r="102" ht="23" customHeight="1">
      <x:c r="A102" s="11" t="str">
        <x:v>I012</x:v>
      </x:c>
      <x:c r="B102" s="11" t="str">
        <x:v>ONC.US (ADR)</x:v>
      </x:c>
      <x:c r="C102" s="11" t="str">
        <x:v>百济神州</x:v>
      </x:c>
      <x:c r="D102" s="11" t="str">
        <x:v>Citi</x:v>
      </x:c>
      <x:c r="E102" s="11" t="str">
        <x:v>2026-08-06</x:v>
      </x:c>
      <x:c r="F102" s="11" t="n">
        <x:v>466</x:v>
      </x:c>
      <x:c r="G102" s="11" t="str">
        <x:v>USD</x:v>
      </x:c>
      <x:c r="H102" s="11" t="str">
        <x:v>公开转述未明确目标日，不能直接作为年底价格</x:v>
      </x:c>
      <x:c r="I102" s="11" t="str">
        <x:v>买入</x:v>
      </x:c>
      <x:c r="J102" s="11" t="str">
        <x:v>financial_news_secondary</x:v>
      </x:c>
      <x:c r="K102" s="11" t="str">
        <x:v>foreign</x:v>
      </x:c>
      <x:c r="L102" s="11" t="str">
        <x:v>https://www.aastocks.com/tc/stocks/analysis/stock-aafn-con/06160/AAFN/NOW.1536940/research-report</x:v>
      </x:c>
      <x:c r="M102" s="11" t="str">
        <x:v>近90日</x:v>
      </x:c>
      <x:c r="N102" s="11" t="str">
        <x:v>ADR原目标；1ADS=13普通股，换算值为研究假设，非机构港股目标</x:v>
      </x:c>
    </x:row>
    <x:row r="103" ht="23" customHeight="1">
      <x:c r="A103" s="11" t="str">
        <x:v>I012</x:v>
      </x:c>
      <x:c r="B103" s="11" t="str">
        <x:v>ONC.US (ADR)</x:v>
      </x:c>
      <x:c r="C103" s="11" t="str">
        <x:v>百济神州</x:v>
      </x:c>
      <x:c r="D103" s="11" t="str">
        <x:v>CLSA</x:v>
      </x:c>
      <x:c r="E103" s="11" t="str">
        <x:v>2026-08-06</x:v>
      </x:c>
      <x:c r="F103" s="11" t="n">
        <x:v>522.5</x:v>
      </x:c>
      <x:c r="G103" s="11" t="str">
        <x:v>USD</x:v>
      </x:c>
      <x:c r="H103" s="11" t="str">
        <x:v>公开转述未明确目标日，不能直接作为年底价格</x:v>
      </x:c>
      <x:c r="I103" s="11" t="str">
        <x:v>跑赢大市</x:v>
      </x:c>
      <x:c r="J103" s="11" t="str">
        <x:v>financial_news_secondary</x:v>
      </x:c>
      <x:c r="K103" s="11" t="str">
        <x:v>foreign</x:v>
      </x:c>
      <x:c r="L103" s="11" t="str">
        <x:v>https://www.aastocks.com/tc/stocks/analysis/stock-aafn-con/06160/AAFN/NOW.1536884/research-report</x:v>
      </x:c>
      <x:c r="M103" s="11" t="str">
        <x:v>近90日</x:v>
      </x:c>
      <x:c r="N103" s="11" t="str">
        <x:v>ADR原目标；1ADS=13普通股，换算值为研究假设，非机构港股目标</x:v>
      </x:c>
    </x:row>
    <x:row r="104" ht="23" customHeight="1">
      <x:c r="A104" s="11" t="str">
        <x:v>I012</x:v>
      </x:c>
      <x:c r="B104" s="11" t="str">
        <x:v>ONC.US (ADR)</x:v>
      </x:c>
      <x:c r="C104" s="11" t="str">
        <x:v>百济神州</x:v>
      </x:c>
      <x:c r="D104" s="11" t="str">
        <x:v>UBS</x:v>
      </x:c>
      <x:c r="E104" s="11" t="str">
        <x:v>2026-07-02</x:v>
      </x:c>
      <x:c r="F104" s="11" t="n">
        <x:v>456</x:v>
      </x:c>
      <x:c r="G104" s="11" t="str">
        <x:v>USD</x:v>
      </x:c>
      <x:c r="H104" s="11" t="str">
        <x:v>公开转述未明确目标日，不能直接作为年底价格</x:v>
      </x:c>
      <x:c r="I104" s="11" t="str">
        <x:v>买入</x:v>
      </x:c>
      <x:c r="J104" s="11" t="str">
        <x:v>financial_news_secondary</x:v>
      </x:c>
      <x:c r="K104" s="11" t="str">
        <x:v>foreign</x:v>
      </x:c>
      <x:c r="L104" s="11" t="str">
        <x:v>https://www.aastocks.com/tc/stocks/analysis/stock-aafn-con/06160/AAFN/NOW.1531524/research-report</x:v>
      </x:c>
      <x:c r="M104" s="11" t="str">
        <x:v>超过90日，旧目标</x:v>
      </x:c>
      <x:c r="N104" s="11" t="str">
        <x:v>ADR原目标；1ADS=13普通股，换算值为研究假设，非机构港股目标</x:v>
      </x:c>
    </x:row>
    <x:row r="105" ht="23" customHeight="1">
      <x:c r="A105" s="11" t="str">
        <x:v>I025</x:v>
      </x:c>
      <x:c r="B105" s="11" t="str">
        <x:v>01093.HK</x:v>
      </x:c>
      <x:c r="C105" s="11" t="str">
        <x:v>石药集团</x:v>
      </x:c>
      <x:c r="D105" s="11" t="str">
        <x:v>HSBC</x:v>
      </x:c>
      <x:c r="E105" s="11" t="str">
        <x:v>2026-09-29</x:v>
      </x:c>
      <x:c r="F105" s="11" t="n">
        <x:v>11.7</x:v>
      </x:c>
      <x:c r="G105" s="11" t="str">
        <x:v>HKD</x:v>
      </x:c>
      <x:c r="H105" s="11" t="str">
        <x:v>公开新闻未明确目标日</x:v>
      </x:c>
      <x:c r="I105" s="11" t="str">
        <x:v>买入</x:v>
      </x:c>
      <x:c r="J105" s="11" t="str">
        <x:v>financial_news_secondary</x:v>
      </x:c>
      <x:c r="K105" s="11" t="str">
        <x:v>foreign</x:v>
      </x:c>
      <x:c r="L105" s="11" t="str">
        <x:v>https://www.aastocks.com/tc/stocks/analysis/stock-aafn-con/01093/AAFN/NOW.1547010/research-report</x:v>
      </x:c>
      <x:c r="M105" s="11" t="str">
        <x:v>近90日</x:v>
      </x:c>
      <x:c r="N105" s="11" t="str"/>
    </x:row>
    <x:row r="106" ht="23" customHeight="1">
      <x:c r="A106" s="11" t="str">
        <x:v>I025</x:v>
      </x:c>
      <x:c r="B106" s="11" t="str">
        <x:v>01093.HK</x:v>
      </x:c>
      <x:c r="C106" s="11" t="str">
        <x:v>石药集团</x:v>
      </x:c>
      <x:c r="D106" s="11" t="str">
        <x:v>CLSA</x:v>
      </x:c>
      <x:c r="E106" s="11" t="str">
        <x:v>2026-09-10</x:v>
      </x:c>
      <x:c r="F106" s="11" t="n">
        <x:v>19</x:v>
      </x:c>
      <x:c r="G106" s="11" t="str">
        <x:v>HKD</x:v>
      </x:c>
      <x:c r="H106" s="11" t="str">
        <x:v>公开新闻未明确目标日</x:v>
      </x:c>
      <x:c r="I106" s="11" t="str">
        <x:v>高确信跑赢大市</x:v>
      </x:c>
      <x:c r="J106" s="11" t="str">
        <x:v>financial_news_secondary</x:v>
      </x:c>
      <x:c r="K106" s="11" t="str">
        <x:v>foreign</x:v>
      </x:c>
      <x:c r="L106" s="11" t="str">
        <x:v>https://www.aastocks.com/tc/stocks/analysis/stock-aafn-con/01093/AAFN/NOW.1543781/research-report</x:v>
      </x:c>
      <x:c r="M106" s="11" t="str">
        <x:v>近90日</x:v>
      </x:c>
      <x:c r="N106" s="11" t="str"/>
    </x:row>
    <x:row r="107" ht="23" customHeight="1">
      <x:c r="A107" s="11" t="str">
        <x:v>I025</x:v>
      </x:c>
      <x:c r="B107" s="11" t="str">
        <x:v>01093.HK</x:v>
      </x:c>
      <x:c r="C107" s="11" t="str">
        <x:v>石药集团</x:v>
      </x:c>
      <x:c r="D107" s="11" t="str">
        <x:v>Daiwa</x:v>
      </x:c>
      <x:c r="E107" s="11" t="str">
        <x:v>2026-08-24</x:v>
      </x:c>
      <x:c r="F107" s="11" t="n">
        <x:v>11.2</x:v>
      </x:c>
      <x:c r="G107" s="11" t="str">
        <x:v>HKD</x:v>
      </x:c>
      <x:c r="H107" s="11" t="str">
        <x:v>公开新闻未明确目标日</x:v>
      </x:c>
      <x:c r="I107" s="11" t="str">
        <x:v>买入</x:v>
      </x:c>
      <x:c r="J107" s="11" t="str">
        <x:v>financial_news_secondary</x:v>
      </x:c>
      <x:c r="K107" s="11" t="str">
        <x:v>foreign</x:v>
      </x:c>
      <x:c r="L107" s="11" t="str">
        <x:v>https://www.aastocks.com/tc/stocks/analysis/stock-aafn-con/01093/AAFN/NOW.1540213/research-report</x:v>
      </x:c>
      <x:c r="M107" s="11" t="str">
        <x:v>近90日</x:v>
      </x:c>
      <x:c r="N107" s="11" t="str"/>
    </x:row>
    <x:row r="108" ht="23" customHeight="1">
      <x:c r="A108" s="11" t="str">
        <x:v>I025</x:v>
      </x:c>
      <x:c r="B108" s="11" t="str">
        <x:v>01093.HK</x:v>
      </x:c>
      <x:c r="C108" s="11" t="str">
        <x:v>石药集团</x:v>
      </x:c>
      <x:c r="D108" s="11" t="str">
        <x:v>Goldman Sachs</x:v>
      </x:c>
      <x:c r="E108" s="11" t="str">
        <x:v>2026-08-21</x:v>
      </x:c>
      <x:c r="F108" s="11" t="n">
        <x:v>12.56</x:v>
      </x:c>
      <x:c r="G108" s="11" t="str">
        <x:v>HKD</x:v>
      </x:c>
      <x:c r="H108" s="11" t="str">
        <x:v>公开新闻未明确目标日</x:v>
      </x:c>
      <x:c r="I108" s="11" t="str">
        <x:v>买入</x:v>
      </x:c>
      <x:c r="J108" s="11" t="str">
        <x:v>financial_news_secondary</x:v>
      </x:c>
      <x:c r="K108" s="11" t="str">
        <x:v>foreign</x:v>
      </x:c>
      <x:c r="L108" s="11" t="str">
        <x:v>https://www.aastocks.com/tc/stocks/analysis/stock-aafn-con/01093/AAFN/NOW.1539926/research-report</x:v>
      </x:c>
      <x:c r="M108" s="11" t="str">
        <x:v>近90日</x:v>
      </x:c>
      <x:c r="N108" s="11" t="str"/>
    </x:row>
    <x:row r="109" ht="23" customHeight="1">
      <x:c r="A109" s="11" t="str">
        <x:v>I025</x:v>
      </x:c>
      <x:c r="B109" s="11" t="str">
        <x:v>01093.HK</x:v>
      </x:c>
      <x:c r="C109" s="11" t="str">
        <x:v>石药集团</x:v>
      </x:c>
      <x:c r="D109" s="11" t="str">
        <x:v>UBS</x:v>
      </x:c>
      <x:c r="E109" s="11" t="str">
        <x:v>2026-08-21</x:v>
      </x:c>
      <x:c r="F109" s="11" t="n">
        <x:v>11.8</x:v>
      </x:c>
      <x:c r="G109" s="11" t="str">
        <x:v>HKD</x:v>
      </x:c>
      <x:c r="H109" s="11" t="str">
        <x:v>公开新闻未明确目标日</x:v>
      </x:c>
      <x:c r="I109" s="11" t="str">
        <x:v>买入</x:v>
      </x:c>
      <x:c r="J109" s="11" t="str">
        <x:v>financial_news_secondary</x:v>
      </x:c>
      <x:c r="K109" s="11" t="str">
        <x:v>foreign</x:v>
      </x:c>
      <x:c r="L109" s="11" t="str">
        <x:v>https://www.aastocks.com/tc/stocks/analysis/stock-aafn-con/01093/AAFN/NOW.1539914/research-report</x:v>
      </x:c>
      <x:c r="M109" s="11" t="str">
        <x:v>近90日</x:v>
      </x:c>
      <x:c r="N109" s="11" t="str"/>
    </x:row>
    <x:row r="110" ht="23" customHeight="1">
      <x:c r="A110" s="11" t="str">
        <x:v>I025</x:v>
      </x:c>
      <x:c r="B110" s="11" t="str">
        <x:v>01093.HK</x:v>
      </x:c>
      <x:c r="C110" s="11" t="str">
        <x:v>石药集团</x:v>
      </x:c>
      <x:c r="D110" s="11" t="str">
        <x:v>Citi</x:v>
      </x:c>
      <x:c r="E110" s="11" t="str">
        <x:v>2026-08-21</x:v>
      </x:c>
      <x:c r="F110" s="11" t="n">
        <x:v>14</x:v>
      </x:c>
      <x:c r="G110" s="11" t="str">
        <x:v>HKD</x:v>
      </x:c>
      <x:c r="H110" s="11" t="str">
        <x:v>公开新闻未明确目标日</x:v>
      </x:c>
      <x:c r="I110" s="11" t="str">
        <x:v>买入</x:v>
      </x:c>
      <x:c r="J110" s="11" t="str">
        <x:v>financial_news_secondary</x:v>
      </x:c>
      <x:c r="K110" s="11" t="str">
        <x:v>foreign</x:v>
      </x:c>
      <x:c r="L110" s="11" t="str">
        <x:v>https://www.aastocks.com/tc/stocks/analysis/stock-aafn-con/01093/AAFN/NOW.1539843/research-report</x:v>
      </x:c>
      <x:c r="M110" s="11" t="str">
        <x:v>近90日</x:v>
      </x:c>
      <x:c r="N110" s="11" t="str"/>
    </x:row>
    <x:row r="111" ht="23" customHeight="1">
      <x:c r="A111" s="11" t="str">
        <x:v>I025</x:v>
      </x:c>
      <x:c r="B111" s="11" t="str">
        <x:v>01093.HK</x:v>
      </x:c>
      <x:c r="C111" s="11" t="str">
        <x:v>石药集团</x:v>
      </x:c>
      <x:c r="D111" s="11" t="str">
        <x:v>Bank of America</x:v>
      </x:c>
      <x:c r="E111" s="11" t="str">
        <x:v>2026-08-21</x:v>
      </x:c>
      <x:c r="F111" s="11" t="n">
        <x:v>8.6</x:v>
      </x:c>
      <x:c r="G111" s="11" t="str">
        <x:v>HKD</x:v>
      </x:c>
      <x:c r="H111" s="11" t="str">
        <x:v>公开新闻未明确目标日</x:v>
      </x:c>
      <x:c r="I111" s="11" t="str">
        <x:v>跑输大市</x:v>
      </x:c>
      <x:c r="J111" s="11" t="str">
        <x:v>financial_news_secondary</x:v>
      </x:c>
      <x:c r="K111" s="11" t="str">
        <x:v>foreign</x:v>
      </x:c>
      <x:c r="L111" s="11" t="str">
        <x:v>https://www.aastocks.com/tc/stocks/analysis/stock-aafn-con/01093/AAFN/NOW.1539827/research-report</x:v>
      </x:c>
      <x:c r="M111" s="11" t="str">
        <x:v>近90日</x:v>
      </x:c>
      <x:c r="N111" s="11" t="str"/>
    </x:row>
    <x:row r="112" ht="23" customHeight="1">
      <x:c r="A112" s="11" t="str">
        <x:v>I025</x:v>
      </x:c>
      <x:c r="B112" s="11" t="str">
        <x:v>01093.HK</x:v>
      </x:c>
      <x:c r="C112" s="11" t="str">
        <x:v>石药集团</x:v>
      </x:c>
      <x:c r="D112" s="11" t="str">
        <x:v>Morgan Stanley</x:v>
      </x:c>
      <x:c r="E112" s="11" t="str">
        <x:v>2026-08-21</x:v>
      </x:c>
      <x:c r="F112" s="11" t="n">
        <x:v>12</x:v>
      </x:c>
      <x:c r="G112" s="11" t="str">
        <x:v>HKD</x:v>
      </x:c>
      <x:c r="H112" s="11" t="str">
        <x:v>公开新闻未明确目标日</x:v>
      </x:c>
      <x:c r="I112" s="11" t="str">
        <x:v>增持</x:v>
      </x:c>
      <x:c r="J112" s="11" t="str">
        <x:v>financial_news_secondary</x:v>
      </x:c>
      <x:c r="K112" s="11" t="str">
        <x:v>foreign</x:v>
      </x:c>
      <x:c r="L112" s="11" t="str">
        <x:v>https://www.aastocks.com/tc/stocks/analysis/stock-aafn-con/01093/AAFN/NOW.1539803/research-report</x:v>
      </x:c>
      <x:c r="M112" s="11" t="str">
        <x:v>近90日</x:v>
      </x:c>
      <x:c r="N112" s="11" t="str"/>
    </x:row>
    <x:row r="113" ht="23" customHeight="1">
      <x:c r="A113" s="11" t="str">
        <x:v>I025</x:v>
      </x:c>
      <x:c r="B113" s="11" t="str">
        <x:v>01093.HK</x:v>
      </x:c>
      <x:c r="C113" s="11" t="str">
        <x:v>石药集团</x:v>
      </x:c>
      <x:c r="D113" s="11" t="str">
        <x:v>Nomura</x:v>
      </x:c>
      <x:c r="E113" s="11" t="str">
        <x:v>2026-07-27</x:v>
      </x:c>
      <x:c r="F113" s="11" t="n">
        <x:v>10.31</x:v>
      </x:c>
      <x:c r="G113" s="11" t="str">
        <x:v>HKD</x:v>
      </x:c>
      <x:c r="H113" s="11" t="str">
        <x:v>公开新闻未明确目标日</x:v>
      </x:c>
      <x:c r="I113" s="11" t="str">
        <x:v>买入</x:v>
      </x:c>
      <x:c r="J113" s="11" t="str">
        <x:v>financial_news_secondary</x:v>
      </x:c>
      <x:c r="K113" s="11" t="str">
        <x:v>foreign</x:v>
      </x:c>
      <x:c r="L113" s="11" t="str">
        <x:v>https://www.aastocks.com/tc/stocks/analysis/stock-aafn-con/01093/AAFN/NOW.1535017/research-report</x:v>
      </x:c>
      <x:c r="M113" s="11" t="str">
        <x:v>近90日</x:v>
      </x:c>
      <x:c r="N113" s="11" t="str"/>
    </x:row>
    <x:row r="114" ht="23" customHeight="1">
      <x:c r="A114" s="11" t="str">
        <x:v>I043</x:v>
      </x:c>
      <x:c r="B114" s="11" t="str">
        <x:v>02196.HK</x:v>
      </x:c>
      <x:c r="C114" s="11" t="str">
        <x:v>复星医药</x:v>
      </x:c>
      <x:c r="D114" s="11" t="str">
        <x:v>HSBC</x:v>
      </x:c>
      <x:c r="E114" s="11" t="str">
        <x:v>2026-09-29</x:v>
      </x:c>
      <x:c r="F114" s="11" t="n">
        <x:v>19.6</x:v>
      </x:c>
      <x:c r="G114" s="11" t="str">
        <x:v>HKD</x:v>
      </x:c>
      <x:c r="H114" s="11" t="str">
        <x:v>原新闻未明确目标期限，作为一年估值参考</x:v>
      </x:c>
      <x:c r="I114" s="11" t="str">
        <x:v>持有</x:v>
      </x:c>
      <x:c r="J114" s="11" t="str">
        <x:v>AASTOCKS新闻转述，原报告缺</x:v>
      </x:c>
      <x:c r="K114" s="11" t="str">
        <x:v>未核验</x:v>
      </x:c>
      <x:c r="L114" s="11" t="str">
        <x:v>https://www.aastocks.com/tc/stocks/analysis/stock-aafn-con/02196/AAFN/NOW.1547010/research-report</x:v>
      </x:c>
      <x:c r="M114" s="11" t="str">
        <x:v>近90日</x:v>
      </x:c>
      <x:c r="N114" s="11" t="str"/>
    </x:row>
    <x:row r="115" ht="23" customHeight="1">
      <x:c r="A115" s="11" t="str">
        <x:v>I043</x:v>
      </x:c>
      <x:c r="B115" s="11" t="str">
        <x:v>02196.HK</x:v>
      </x:c>
      <x:c r="C115" s="11" t="str">
        <x:v>复星医药</x:v>
      </x:c>
      <x:c r="D115" s="11" t="str">
        <x:v>CLSA</x:v>
      </x:c>
      <x:c r="E115" s="11" t="str">
        <x:v>2026-04-30</x:v>
      </x:c>
      <x:c r="F115" s="11" t="n">
        <x:v>25.4</x:v>
      </x:c>
      <x:c r="G115" s="11" t="str">
        <x:v>HKD</x:v>
      </x:c>
      <x:c r="H115" s="11" t="str">
        <x:v>原新闻未明确目标期限，作为一年估值参考</x:v>
      </x:c>
      <x:c r="I115" s="11" t="str">
        <x:v>跑赢大市</x:v>
      </x:c>
      <x:c r="J115" s="11" t="str">
        <x:v>AASTOCKS新闻转述，原报告缺</x:v>
      </x:c>
      <x:c r="K115" s="11" t="str">
        <x:v>未核验</x:v>
      </x:c>
      <x:c r="L115" s="11" t="str">
        <x:v>https://www.aastocks.com/tc/stocks/analysis/stock-aafn-con/02196/AAFN/NOW.1521868/research-report</x:v>
      </x:c>
      <x:c r="M115" s="11" t="str">
        <x:v>超过90日，旧目标</x:v>
      </x:c>
      <x:c r="N115" s="11" t="str"/>
    </x:row>
    <x:row r="116" ht="23" customHeight="1">
      <x:c r="A116" s="11" t="str">
        <x:v>I043</x:v>
      </x:c>
      <x:c r="B116" s="11" t="str">
        <x:v>02196.HK</x:v>
      </x:c>
      <x:c r="C116" s="11" t="str">
        <x:v>复星医药</x:v>
      </x:c>
      <x:c r="D116" s="11" t="str">
        <x:v>Morgan Stanley</x:v>
      </x:c>
      <x:c r="E116" s="11" t="str">
        <x:v>2026-04-22</x:v>
      </x:c>
      <x:c r="F116" s="11" t="n">
        <x:v>32</x:v>
      </x:c>
      <x:c r="G116" s="11" t="str">
        <x:v>HKD</x:v>
      </x:c>
      <x:c r="H116" s="11" t="str">
        <x:v>原新闻未明确目标期限，作为一年估值参考</x:v>
      </x:c>
      <x:c r="I116" s="11" t="str">
        <x:v>增持</x:v>
      </x:c>
      <x:c r="J116" s="11" t="str">
        <x:v>AASTOCKS新闻转述，原报告缺</x:v>
      </x:c>
      <x:c r="K116" s="11" t="str">
        <x:v>未核验</x:v>
      </x:c>
      <x:c r="L116" s="11" t="str">
        <x:v>https://www.aastocks.com/tc/stocks/analysis/stock-aafn-con/02196/AAFN/NOW.1519363/research-report</x:v>
      </x:c>
      <x:c r="M116" s="11" t="str">
        <x:v>超过90日，旧目标</x:v>
      </x:c>
      <x:c r="N116" s="11" t="str"/>
    </x:row>
    <x:row r="117" ht="23" customHeight="1">
      <x:c r="A117" s="11" t="str">
        <x:v>I035</x:v>
      </x:c>
      <x:c r="B117" s="11" t="str">
        <x:v>01548.HK</x:v>
      </x:c>
      <x:c r="C117" s="11" t="str">
        <x:v>金斯瑞生物科技</x:v>
      </x:c>
      <x:c r="D117" s="11" t="str">
        <x:v>JPMorgan</x:v>
      </x:c>
      <x:c r="E117" s="11" t="str">
        <x:v>2026-09-18</x:v>
      </x:c>
      <x:c r="F117" s="11" t="n">
        <x:v>41</x:v>
      </x:c>
      <x:c r="G117" s="11" t="str">
        <x:v>HKD</x:v>
      </x:c>
      <x:c r="H117" s="11" t="str">
        <x:v>公开转述未明确目标日，不可直接用作年底价</x:v>
      </x:c>
      <x:c r="I117" s="11" t="str">
        <x:v>增持</x:v>
      </x:c>
      <x:c r="J117" s="11" t="str">
        <x:v>financial_news_secondary</x:v>
      </x:c>
      <x:c r="K117" s="11" t="str">
        <x:v>foreign</x:v>
      </x:c>
      <x:c r="L117" s="11" t="str">
        <x:v>https://www.aastocks.com/tc/stocks/analysis/stock-aafn-con/01548/AAFN/NOW.1545243/research-report</x:v>
      </x:c>
      <x:c r="M117" s="11" t="str">
        <x:v>近90日</x:v>
      </x:c>
      <x:c r="N117" s="11" t="str"/>
    </x:row>
    <x:row r="118" ht="23" customHeight="1">
      <x:c r="A118" s="11" t="str">
        <x:v>I035</x:v>
      </x:c>
      <x:c r="B118" s="11" t="str">
        <x:v>01548.HK</x:v>
      </x:c>
      <x:c r="C118" s="11" t="str">
        <x:v>金斯瑞生物科技</x:v>
      </x:c>
      <x:c r="D118" s="11" t="str">
        <x:v>Goldman Sachs</x:v>
      </x:c>
      <x:c r="E118" s="11" t="str">
        <x:v>2026-09-11</x:v>
      </x:c>
      <x:c r="F118" s="11" t="n">
        <x:v>38.54</x:v>
      </x:c>
      <x:c r="G118" s="11" t="str">
        <x:v>HKD</x:v>
      </x:c>
      <x:c r="H118" s="11" t="str">
        <x:v>公开转述未明确目标日，不可直接用作年底价</x:v>
      </x:c>
      <x:c r="I118" s="11" t="str">
        <x:v>此则转述未明确金斯瑞评级</x:v>
      </x:c>
      <x:c r="J118" s="11" t="str">
        <x:v>financial_news_secondary</x:v>
      </x:c>
      <x:c r="K118" s="11" t="str">
        <x:v>foreign</x:v>
      </x:c>
      <x:c r="L118" s="11" t="str">
        <x:v>https://www.aastocks.com/tc/stocks/analysis/stock-aafn-con/01548/AAFN/NOW.1544113/research-report</x:v>
      </x:c>
      <x:c r="M118" s="11" t="str">
        <x:v>近90日</x:v>
      </x:c>
      <x:c r="N118" s="11" t="str"/>
    </x:row>
    <x:row r="119" ht="23" customHeight="1">
      <x:c r="A119" s="11" t="str">
        <x:v>I029</x:v>
      </x:c>
      <x:c r="B119" s="11" t="str">
        <x:v>03692.HK</x:v>
      </x:c>
      <x:c r="C119" s="11" t="str">
        <x:v>翰森制药</x:v>
      </x:c>
      <x:c r="D119" s="11" t="str">
        <x:v>UBS</x:v>
      </x:c>
      <x:c r="E119" s="11" t="str">
        <x:v>2026-09-14</x:v>
      </x:c>
      <x:c r="F119" s="11" t="n">
        <x:v>50.8</x:v>
      </x:c>
      <x:c r="G119" s="11" t="str">
        <x:v>HKD</x:v>
      </x:c>
      <x:c r="H119" s="11" t="str">
        <x:v>公开新闻未明确目标价截止日</x:v>
      </x:c>
      <x:c r="I119" s="11" t="str">
        <x:v>买入</x:v>
      </x:c>
      <x:c r="J119" s="11" t="str">
        <x:v>financial_news_secondary</x:v>
      </x:c>
      <x:c r="K119" s="11" t="str">
        <x:v>foreign</x:v>
      </x:c>
      <x:c r="L119" s="11" t="str">
        <x:v>https://www.aastocks.com/tc/stocks/analysis/stock-aafn-con/03692/AAFN/NOW.1544325/research-report</x:v>
      </x:c>
      <x:c r="M119" s="11" t="str">
        <x:v>近90日</x:v>
      </x:c>
      <x:c r="N119" s="11" t="str"/>
    </x:row>
    <x:row r="120" ht="23" customHeight="1">
      <x:c r="A120" s="11" t="str">
        <x:v>I029</x:v>
      </x:c>
      <x:c r="B120" s="11" t="str">
        <x:v>03692.HK</x:v>
      </x:c>
      <x:c r="C120" s="11" t="str">
        <x:v>翰森制药</x:v>
      </x:c>
      <x:c r="D120" s="11" t="str">
        <x:v>Citi</x:v>
      </x:c>
      <x:c r="E120" s="11" t="str">
        <x:v>2026-08-27</x:v>
      </x:c>
      <x:c r="F120" s="11" t="n">
        <x:v>52</x:v>
      </x:c>
      <x:c r="G120" s="11" t="str">
        <x:v>HKD</x:v>
      </x:c>
      <x:c r="H120" s="11" t="str">
        <x:v>公开新闻未明确目标价截止日</x:v>
      </x:c>
      <x:c r="I120" s="11" t="str">
        <x:v>买入</x:v>
      </x:c>
      <x:c r="J120" s="11" t="str">
        <x:v>financial_news_secondary</x:v>
      </x:c>
      <x:c r="K120" s="11" t="str">
        <x:v>foreign</x:v>
      </x:c>
      <x:c r="L120" s="11" t="str">
        <x:v>https://www.aastocks.com/tc/stocks/analysis/stock-aafn-con/03692/AAFN/NOW.1541308/research-report</x:v>
      </x:c>
      <x:c r="M120" s="11" t="str">
        <x:v>近90日</x:v>
      </x:c>
      <x:c r="N120" s="11" t="str"/>
    </x:row>
    <x:row r="121" ht="23" customHeight="1">
      <x:c r="A121" s="11" t="str">
        <x:v>I029</x:v>
      </x:c>
      <x:c r="B121" s="11" t="str">
        <x:v>03692.HK</x:v>
      </x:c>
      <x:c r="C121" s="11" t="str">
        <x:v>翰森制药</x:v>
      </x:c>
      <x:c r="D121" s="11" t="str">
        <x:v>Morgan Stanley</x:v>
      </x:c>
      <x:c r="E121" s="11" t="str">
        <x:v>2026-08-27</x:v>
      </x:c>
      <x:c r="F121" s="11" t="n">
        <x:v>48</x:v>
      </x:c>
      <x:c r="G121" s="11" t="str">
        <x:v>HKD</x:v>
      </x:c>
      <x:c r="H121" s="11" t="str">
        <x:v>公开新闻未明确目标价截止日</x:v>
      </x:c>
      <x:c r="I121" s="11" t="str">
        <x:v>增持</x:v>
      </x:c>
      <x:c r="J121" s="11" t="str">
        <x:v>financial_news_secondary</x:v>
      </x:c>
      <x:c r="K121" s="11" t="str">
        <x:v>foreign</x:v>
      </x:c>
      <x:c r="L121" s="11" t="str">
        <x:v>https://www.aastocks.com/tc/stocks/analysis/stock-aafn-con/03692/AAFN/NOW.1541204/research-report</x:v>
      </x:c>
      <x:c r="M121" s="11" t="str">
        <x:v>近90日</x:v>
      </x:c>
      <x:c r="N121" s="11" t="str"/>
    </x:row>
    <x:row r="122" ht="23" customHeight="1">
      <x:c r="A122" s="11" t="str">
        <x:v>I029</x:v>
      </x:c>
      <x:c r="B122" s="11" t="str">
        <x:v>03692.HK</x:v>
      </x:c>
      <x:c r="C122" s="11" t="str">
        <x:v>翰森制药</x:v>
      </x:c>
      <x:c r="D122" s="11" t="str">
        <x:v>Bank of America</x:v>
      </x:c>
      <x:c r="E122" s="11" t="str">
        <x:v>2026-09-21</x:v>
      </x:c>
      <x:c r="F122" s="11" t="n">
        <x:v>45.3</x:v>
      </x:c>
      <x:c r="G122" s="11" t="str">
        <x:v>HKD</x:v>
      </x:c>
      <x:c r="H122" s="11" t="str">
        <x:v>公开新闻未明确目标价截止日</x:v>
      </x:c>
      <x:c r="I122" s="11" t="str">
        <x:v>买入</x:v>
      </x:c>
      <x:c r="J122" s="11" t="str">
        <x:v>financial_news_secondary</x:v>
      </x:c>
      <x:c r="K122" s="11" t="str">
        <x:v>foreign</x:v>
      </x:c>
      <x:c r="L122" s="11" t="str">
        <x:v>https://www.aastocks.com/tc/stocks/analysis/stock-aafn-con/03692/AAFN/NOW.1545493/research-report</x:v>
      </x:c>
      <x:c r="M122" s="11" t="str">
        <x:v>近90日</x:v>
      </x:c>
      <x:c r="N122" s="11" t="str"/>
    </x:row>
    <x:row r="123" ht="23" customHeight="1">
      <x:c r="A123" s="11" t="str">
        <x:v>I029</x:v>
      </x:c>
      <x:c r="B123" s="11" t="str">
        <x:v>03692.HK</x:v>
      </x:c>
      <x:c r="C123" s="11" t="str">
        <x:v>翰森制药</x:v>
      </x:c>
      <x:c r="D123" s="11" t="str">
        <x:v>CLSA</x:v>
      </x:c>
      <x:c r="E123" s="11" t="str">
        <x:v>2026-08-31</x:v>
      </x:c>
      <x:c r="F123" s="11" t="n">
        <x:v>43.7</x:v>
      </x:c>
      <x:c r="G123" s="11" t="str">
        <x:v>HKD</x:v>
      </x:c>
      <x:c r="H123" s="11" t="str">
        <x:v>公开新闻未明确目标价截止日</x:v>
      </x:c>
      <x:c r="I123" s="11" t="str">
        <x:v>跑赢大市</x:v>
      </x:c>
      <x:c r="J123" s="11" t="str">
        <x:v>financial_news_secondary</x:v>
      </x:c>
      <x:c r="K123" s="11" t="str">
        <x:v>international_chinese_controlled</x:v>
      </x:c>
      <x:c r="L123" s="11" t="str">
        <x:v>https://www.aastocks.com/tc/stocks/analysis/stock-aafn-con/03692/AAFN/NOW.1542140/research-report</x:v>
      </x:c>
      <x:c r="M123" s="11" t="str">
        <x:v>近90日</x:v>
      </x:c>
      <x:c r="N123" s="11" t="str"/>
    </x:row>
    <x:row r="124" ht="23" customHeight="1">
      <x:c r="A124" s="11" t="str">
        <x:v>I029</x:v>
      </x:c>
      <x:c r="B124" s="11" t="str">
        <x:v>03692.HK</x:v>
      </x:c>
      <x:c r="C124" s="11" t="str">
        <x:v>翰森制药</x:v>
      </x:c>
      <x:c r="D124" s="11" t="str">
        <x:v>Nomura</x:v>
      </x:c>
      <x:c r="E124" s="11" t="str">
        <x:v>2026-07-27</x:v>
      </x:c>
      <x:c r="F124" s="11" t="n">
        <x:v>37.24</x:v>
      </x:c>
      <x:c r="G124" s="11" t="str">
        <x:v>HKD</x:v>
      </x:c>
      <x:c r="H124" s="11" t="str">
        <x:v>公开新闻未明确目标价截止日</x:v>
      </x:c>
      <x:c r="I124" s="11" t="str">
        <x:v>中性</x:v>
      </x:c>
      <x:c r="J124" s="11" t="str">
        <x:v>financial_news_secondary</x:v>
      </x:c>
      <x:c r="K124" s="11" t="str">
        <x:v>foreign</x:v>
      </x:c>
      <x:c r="L124" s="11" t="str">
        <x:v>https://www.aastocks.com/tc/stocks/analysis/stock-aafn-con/03692/AAFN/NOW.1535076/research-report</x:v>
      </x:c>
      <x:c r="M124" s="11" t="str">
        <x:v>近90日</x:v>
      </x:c>
      <x:c r="N124" s="11" t="str"/>
    </x:row>
    <x:row r="125" ht="23" customHeight="1">
      <x:c r="A125" s="11" t="str">
        <x:v>I048</x:v>
      </x:c>
      <x:c r="B125" s="11" t="str">
        <x:v>01801.HK</x:v>
      </x:c>
      <x:c r="C125" s="11" t="str">
        <x:v>信达生物</x:v>
      </x:c>
      <x:c r="D125" s="11" t="str">
        <x:v>Bank of America</x:v>
      </x:c>
      <x:c r="E125" s="11" t="str">
        <x:v>2026-09-21</x:v>
      </x:c>
      <x:c r="F125" s="11" t="n">
        <x:v>140</x:v>
      </x:c>
      <x:c r="G125" s="11" t="str">
        <x:v>HKD</x:v>
      </x:c>
      <x:c r="H125" s="11" t="str">
        <x:v>未在公开转述明确目标日</x:v>
      </x:c>
      <x:c r="I125" s="11" t="str">
        <x:v>买入</x:v>
      </x:c>
      <x:c r="J125" s="11" t="str">
        <x:v>financial_news_secondary</x:v>
      </x:c>
      <x:c r="K125" s="11" t="str">
        <x:v>foreign</x:v>
      </x:c>
      <x:c r="L125" s="11" t="str">
        <x:v>https://www.aastocks.com/tc/stocks/analysis/stock-aafn-con/01801/AAFN/NOW.1545493/research-report</x:v>
      </x:c>
      <x:c r="M125" s="11" t="str">
        <x:v>近90日</x:v>
      </x:c>
      <x:c r="N125" s="11" t="str"/>
    </x:row>
    <x:row r="126" ht="23" customHeight="1">
      <x:c r="A126" s="11" t="str">
        <x:v>I048</x:v>
      </x:c>
      <x:c r="B126" s="11" t="str">
        <x:v>01801.HK</x:v>
      </x:c>
      <x:c r="C126" s="11" t="str">
        <x:v>信达生物</x:v>
      </x:c>
      <x:c r="D126" s="11" t="str">
        <x:v>Jefferies</x:v>
      </x:c>
      <x:c r="E126" s="11" t="str">
        <x:v>2026-08-27</x:v>
      </x:c>
      <x:c r="F126" s="11" t="n">
        <x:v>125</x:v>
      </x:c>
      <x:c r="G126" s="11" t="str">
        <x:v>HKD</x:v>
      </x:c>
      <x:c r="H126" s="11" t="str">
        <x:v>未在公开转述明确目标日</x:v>
      </x:c>
      <x:c r="I126" s="11" t="str">
        <x:v>买入</x:v>
      </x:c>
      <x:c r="J126" s="11" t="str">
        <x:v>financial_news_secondary</x:v>
      </x:c>
      <x:c r="K126" s="11" t="str">
        <x:v>foreign</x:v>
      </x:c>
      <x:c r="L126" s="11" t="str">
        <x:v>https://www.aastocks.com/tc/stocks/analysis/stock-aafn-con/01801/AAFN/NOW.1541245/research-report</x:v>
      </x:c>
      <x:c r="M126" s="11" t="str">
        <x:v>近90日</x:v>
      </x:c>
      <x:c r="N126" s="11" t="str"/>
    </x:row>
    <x:row r="127" ht="23" customHeight="1">
      <x:c r="A127" s="11" t="str">
        <x:v>I048</x:v>
      </x:c>
      <x:c r="B127" s="11" t="str">
        <x:v>01801.HK</x:v>
      </x:c>
      <x:c r="C127" s="11" t="str">
        <x:v>信达生物</x:v>
      </x:c>
      <x:c r="D127" s="11" t="str">
        <x:v>Daiwa</x:v>
      </x:c>
      <x:c r="E127" s="11" t="str">
        <x:v>2026-08-27</x:v>
      </x:c>
      <x:c r="F127" s="11" t="n">
        <x:v>135</x:v>
      </x:c>
      <x:c r="G127" s="11" t="str">
        <x:v>HKD</x:v>
      </x:c>
      <x:c r="H127" s="11" t="str">
        <x:v>未在公开转述明确目标日</x:v>
      </x:c>
      <x:c r="I127" s="11" t="str">
        <x:v>买入</x:v>
      </x:c>
      <x:c r="J127" s="11" t="str">
        <x:v>financial_news_secondary</x:v>
      </x:c>
      <x:c r="K127" s="11" t="str">
        <x:v>foreign</x:v>
      </x:c>
      <x:c r="L127" s="11" t="str">
        <x:v>https://www.aastocks.com/tc/stocks/analysis/stock-aafn-con/01801/AAFN/NOW.1541216/research-report</x:v>
      </x:c>
      <x:c r="M127" s="11" t="str">
        <x:v>近90日</x:v>
      </x:c>
      <x:c r="N127" s="11" t="str"/>
    </x:row>
    <x:row r="128" ht="23" customHeight="1">
      <x:c r="A128" s="11" t="str">
        <x:v>I048</x:v>
      </x:c>
      <x:c r="B128" s="11" t="str">
        <x:v>01801.HK</x:v>
      </x:c>
      <x:c r="C128" s="11" t="str">
        <x:v>信达生物</x:v>
      </x:c>
      <x:c r="D128" s="11" t="str">
        <x:v>Citi</x:v>
      </x:c>
      <x:c r="E128" s="11" t="str">
        <x:v>2026-08-27</x:v>
      </x:c>
      <x:c r="F128" s="11" t="n">
        <x:v>149.6</x:v>
      </x:c>
      <x:c r="G128" s="11" t="str">
        <x:v>HKD</x:v>
      </x:c>
      <x:c r="H128" s="11" t="str">
        <x:v>未在公开转述明确目标日</x:v>
      </x:c>
      <x:c r="I128" s="11" t="str">
        <x:v>买入</x:v>
      </x:c>
      <x:c r="J128" s="11" t="str">
        <x:v>financial_news_secondary</x:v>
      </x:c>
      <x:c r="K128" s="11" t="str">
        <x:v>foreign</x:v>
      </x:c>
      <x:c r="L128" s="11" t="str">
        <x:v>https://www.aastocks.com/tc/stocks/analysis/stock-aafn-con/01801/AAFN/NOW.1541213/research-report</x:v>
      </x:c>
      <x:c r="M128" s="11" t="str">
        <x:v>近90日</x:v>
      </x:c>
      <x:c r="N128" s="11" t="str"/>
    </x:row>
    <x:row r="129" ht="23" customHeight="1">
      <x:c r="A129" s="11" t="str">
        <x:v>I048</x:v>
      </x:c>
      <x:c r="B129" s="11" t="str">
        <x:v>01801.HK</x:v>
      </x:c>
      <x:c r="C129" s="11" t="str">
        <x:v>信达生物</x:v>
      </x:c>
      <x:c r="D129" s="11" t="str">
        <x:v>CLSA</x:v>
      </x:c>
      <x:c r="E129" s="11" t="str">
        <x:v>2026-08-26</x:v>
      </x:c>
      <x:c r="F129" s="11" t="n">
        <x:v>146.1</x:v>
      </x:c>
      <x:c r="G129" s="11" t="str">
        <x:v>HKD</x:v>
      </x:c>
      <x:c r="H129" s="11" t="str">
        <x:v>未在公开转述明确目标日</x:v>
      </x:c>
      <x:c r="I129" s="11" t="str">
        <x:v>跑赢大市</x:v>
      </x:c>
      <x:c r="J129" s="11" t="str">
        <x:v>financial_news_secondary</x:v>
      </x:c>
      <x:c r="K129" s="11" t="str">
        <x:v>international_chinese_controlled</x:v>
      </x:c>
      <x:c r="L129" s="11" t="str">
        <x:v>https://www.aastocks.com/tc/stocks/analysis/stock-aafn-con/01801/AAFN/NOW.1540893/research-report</x:v>
      </x:c>
      <x:c r="M129" s="11" t="str">
        <x:v>近90日</x:v>
      </x:c>
      <x:c r="N129" s="11" t="str"/>
    </x:row>
    <x:row r="130" ht="23" customHeight="1">
      <x:c r="A130" s="11" t="str">
        <x:v>I048</x:v>
      </x:c>
      <x:c r="B130" s="11" t="str">
        <x:v>01801.HK</x:v>
      </x:c>
      <x:c r="C130" s="11" t="str">
        <x:v>信达生物</x:v>
      </x:c>
      <x:c r="D130" s="11" t="str">
        <x:v>Morgan Stanley</x:v>
      </x:c>
      <x:c r="E130" s="11" t="str">
        <x:v>2026-08-19</x:v>
      </x:c>
      <x:c r="F130" s="11" t="n">
        <x:v>138.5</x:v>
      </x:c>
      <x:c r="G130" s="11" t="str">
        <x:v>HKD</x:v>
      </x:c>
      <x:c r="H130" s="11" t="str">
        <x:v>未在公开转述明确目标日</x:v>
      </x:c>
      <x:c r="I130" s="11" t="str">
        <x:v>增持</x:v>
      </x:c>
      <x:c r="J130" s="11" t="str">
        <x:v>financial_news_secondary</x:v>
      </x:c>
      <x:c r="K130" s="11" t="str">
        <x:v>foreign</x:v>
      </x:c>
      <x:c r="L130" s="11" t="str">
        <x:v>https://www.aastocks.com/tc/stocks/analysis/stock-aafn-con/01801/AAFN/NOW.1539227/research-report</x:v>
      </x:c>
      <x:c r="M130" s="11" t="str">
        <x:v>近90日</x:v>
      </x:c>
      <x:c r="N130" s="11" t="str"/>
    </x:row>
    <x:row r="131" ht="23" customHeight="1">
      <x:c r="A131" s="11" t="str">
        <x:v>I048</x:v>
      </x:c>
      <x:c r="B131" s="11" t="str">
        <x:v>01801.HK</x:v>
      </x:c>
      <x:c r="C131" s="11" t="str">
        <x:v>信达生物</x:v>
      </x:c>
      <x:c r="D131" s="11" t="str">
        <x:v>Nomura</x:v>
      </x:c>
      <x:c r="E131" s="11" t="str">
        <x:v>2026-07-10</x:v>
      </x:c>
      <x:c r="F131" s="11" t="n">
        <x:v>123.17</x:v>
      </x:c>
      <x:c r="G131" s="11" t="str">
        <x:v>HKD</x:v>
      </x:c>
      <x:c r="H131" s="11" t="str">
        <x:v>未在公开转述明确目标日</x:v>
      </x:c>
      <x:c r="I131" s="11" t="str">
        <x:v>买入</x:v>
      </x:c>
      <x:c r="J131" s="11" t="str">
        <x:v>financial_news_secondary</x:v>
      </x:c>
      <x:c r="K131" s="11" t="str">
        <x:v>foreign</x:v>
      </x:c>
      <x:c r="L131" s="11" t="str">
        <x:v>https://www.aastocks.com/tc/stocks/analysis/stock-aafn-con/01801/AAFN/NOW.1532719/research-report</x:v>
      </x:c>
      <x:c r="M131" s="11" t="str">
        <x:v>超过90日，旧目标</x:v>
      </x:c>
      <x:c r="N131" s="11" t="str"/>
    </x:row>
    <x:row r="132" ht="23" customHeight="1">
      <x:c r="A132" s="11" t="str">
        <x:v>I047</x:v>
      </x:c>
      <x:c r="B132" s="11" t="str">
        <x:v>02162.HK</x:v>
      </x:c>
      <x:c r="C132" s="11" t="str">
        <x:v>康诺亚-B</x:v>
      </x:c>
      <x:c r="D132" s="11" t="str">
        <x:v>HSBC</x:v>
      </x:c>
      <x:c r="E132" s="11" t="str">
        <x:v>2026-09-29</x:v>
      </x:c>
      <x:c r="F132" s="11" t="n">
        <x:v>107</x:v>
      </x:c>
      <x:c r="G132" s="11" t="str">
        <x:v>HKD</x:v>
      </x:c>
      <x:c r="H132" s="11" t="str">
        <x:v>公开转述未明确目标日，作为一年估值参照而非年底目标</x:v>
      </x:c>
      <x:c r="I132" s="11" t="str">
        <x:v>买入</x:v>
      </x:c>
      <x:c r="J132" s="11" t="str">
        <x:v>financial_news_secondary</x:v>
      </x:c>
      <x:c r="K132" s="11" t="str">
        <x:v>foreign</x:v>
      </x:c>
      <x:c r="L132" s="11" t="str">
        <x:v>https://www.aastocks.com/tc/stocks/analysis/stock-aafn-con/02162/AAFN/NOW.1547010/research-report</x:v>
      </x:c>
      <x:c r="M132" s="11" t="str">
        <x:v>近90日</x:v>
      </x:c>
      <x:c r="N132" s="11" t="str"/>
    </x:row>
    <x:row r="133" ht="23" customHeight="1">
      <x:c r="A133" s="11" t="str">
        <x:v>I047</x:v>
      </x:c>
      <x:c r="B133" s="11" t="str">
        <x:v>02162.HK</x:v>
      </x:c>
      <x:c r="C133" s="11" t="str">
        <x:v>康诺亚-B</x:v>
      </x:c>
      <x:c r="D133" s="11" t="str">
        <x:v>CLSA</x:v>
      </x:c>
      <x:c r="E133" s="11" t="str">
        <x:v>2026-09-01</x:v>
      </x:c>
      <x:c r="F133" s="11" t="n">
        <x:v>104</x:v>
      </x:c>
      <x:c r="G133" s="11" t="str">
        <x:v>HKD</x:v>
      </x:c>
      <x:c r="H133" s="11" t="str">
        <x:v>公开转述未明确目标日，作为一年估值参照而非年底目标</x:v>
      </x:c>
      <x:c r="I133" s="11" t="str">
        <x:v>跑赢大市</x:v>
      </x:c>
      <x:c r="J133" s="11" t="str">
        <x:v>financial_news_secondary</x:v>
      </x:c>
      <x:c r="K133" s="11" t="str">
        <x:v>foreign</x:v>
      </x:c>
      <x:c r="L133" s="11" t="str">
        <x:v>https://www.aastocks.com/tc/stocks/analysis/stock-aafn-con/02162/AAFN/NOW.1542370/research-report</x:v>
      </x:c>
      <x:c r="M133" s="11" t="str">
        <x:v>近90日</x:v>
      </x:c>
      <x:c r="N133" s="11" t="str"/>
    </x:row>
    <x:row r="134" ht="23" customHeight="1">
      <x:c r="A134" s="11" t="str">
        <x:v>I047</x:v>
      </x:c>
      <x:c r="B134" s="11" t="str">
        <x:v>02162.HK</x:v>
      </x:c>
      <x:c r="C134" s="11" t="str">
        <x:v>康诺亚-B</x:v>
      </x:c>
      <x:c r="D134" s="11" t="str">
        <x:v>Daiwa</x:v>
      </x:c>
      <x:c r="E134" s="11" t="str">
        <x:v>2026-08-21</x:v>
      </x:c>
      <x:c r="F134" s="11" t="n">
        <x:v>110</x:v>
      </x:c>
      <x:c r="G134" s="11" t="str">
        <x:v>HKD</x:v>
      </x:c>
      <x:c r="H134" s="11" t="str">
        <x:v>公开转述未明确目标日，作为一年估值参照而非年底目标</x:v>
      </x:c>
      <x:c r="I134" s="11" t="str">
        <x:v>买入</x:v>
      </x:c>
      <x:c r="J134" s="11" t="str">
        <x:v>financial_news_secondary</x:v>
      </x:c>
      <x:c r="K134" s="11" t="str">
        <x:v>foreign</x:v>
      </x:c>
      <x:c r="L134" s="11" t="str">
        <x:v>https://www.aastocks.com/tc/stocks/analysis/stock-aafn-con/02162/AAFN/NOW.1539906/research-report</x:v>
      </x:c>
      <x:c r="M134" s="11" t="str">
        <x:v>近90日</x:v>
      </x:c>
      <x:c r="N134" s="11" t="str"/>
    </x:row>
    <x:row r="135" ht="23" customHeight="1">
      <x:c r="A135" s="11" t="str">
        <x:v>I047</x:v>
      </x:c>
      <x:c r="B135" s="11" t="str">
        <x:v>02162.HK</x:v>
      </x:c>
      <x:c r="C135" s="11" t="str">
        <x:v>康诺亚-B</x:v>
      </x:c>
      <x:c r="D135" s="11" t="str">
        <x:v>Citi</x:v>
      </x:c>
      <x:c r="E135" s="11" t="str">
        <x:v>2026-08-21</x:v>
      </x:c>
      <x:c r="F135" s="11" t="n">
        <x:v>97.5</x:v>
      </x:c>
      <x:c r="G135" s="11" t="str">
        <x:v>HKD</x:v>
      </x:c>
      <x:c r="H135" s="11" t="str">
        <x:v>公开转述未明确目标日，作为一年估值参照而非年底目标</x:v>
      </x:c>
      <x:c r="I135" s="11" t="str">
        <x:v>买入/高风险</x:v>
      </x:c>
      <x:c r="J135" s="11" t="str">
        <x:v>financial_news_secondary</x:v>
      </x:c>
      <x:c r="K135" s="11" t="str">
        <x:v>foreign</x:v>
      </x:c>
      <x:c r="L135" s="11" t="str">
        <x:v>https://www.aastocks.com/tc/stocks/analysis/stock-aafn-con/02162/AAFN/NOW.1539900/research-report</x:v>
      </x:c>
      <x:c r="M135" s="11" t="str">
        <x:v>近90日</x:v>
      </x:c>
      <x:c r="N135" s="11" t="str"/>
    </x:row>
    <x:row r="136" ht="23" customHeight="1">
      <x:c r="A136" s="11" t="str">
        <x:v>I047</x:v>
      </x:c>
      <x:c r="B136" s="11" t="str">
        <x:v>02162.HK</x:v>
      </x:c>
      <x:c r="C136" s="11" t="str">
        <x:v>康诺亚-B</x:v>
      </x:c>
      <x:c r="D136" s="11" t="str">
        <x:v>Goldman Sachs</x:v>
      </x:c>
      <x:c r="E136" s="11" t="str">
        <x:v>2026-09-11</x:v>
      </x:c>
      <x:c r="F136" s="11" t="n">
        <x:v>118.88</x:v>
      </x:c>
      <x:c r="G136" s="11" t="str">
        <x:v>HKD</x:v>
      </x:c>
      <x:c r="H136" s="11" t="str">
        <x:v>公开转述未明确目标日，作为一年估值参照而非年底目标</x:v>
      </x:c>
      <x:c r="I136" s="11" t="str">
        <x:v>买入</x:v>
      </x:c>
      <x:c r="J136" s="11" t="str">
        <x:v>financial_news_secondary</x:v>
      </x:c>
      <x:c r="K136" s="11" t="str">
        <x:v>foreign</x:v>
      </x:c>
      <x:c r="L136" s="11" t="str">
        <x:v>https://www.aastocks.com/tc/stocks/analysis/stock-aafn-con/02162/AAFN/NOW.1544113/research-report</x:v>
      </x:c>
      <x:c r="M136" s="11" t="str">
        <x:v>近90日</x:v>
      </x:c>
      <x:c r="N136" s="11" t="str"/>
    </x:row>
    <x:row r="137" ht="23" customHeight="1">
      <x:c r="A137" s="11" t="str">
        <x:v>I080</x:v>
      </x:c>
      <x:c r="B137" s="11" t="str">
        <x:v>01024.HK</x:v>
      </x:c>
      <x:c r="C137" s="11" t="str">
        <x:v>快手-W</x:v>
      </x:c>
      <x:c r="D137" s="11" t="str">
        <x:v>Citi</x:v>
      </x:c>
      <x:c r="E137" s="11" t="str">
        <x:v>2026-09-29</x:v>
      </x:c>
      <x:c r="F137" s="11" t="n">
        <x:v>41</x:v>
      </x:c>
      <x:c r="G137" s="11" t="str">
        <x:v>HKD</x:v>
      </x:c>
      <x:c r="H137" s="11" t="str">
        <x:v>公开转述未明确</x:v>
      </x:c>
      <x:c r="I137" s="11" t="str">
        <x:v>中性</x:v>
      </x:c>
      <x:c r="J137" s="11" t="str">
        <x:v>公开新闻转述</x:v>
      </x:c>
      <x:c r="K137" s="11" t="str">
        <x:v>外资</x:v>
      </x:c>
      <x:c r="L137" s="11" t="str">
        <x:v>https://www.aastocks.com/sc/stocks/analysis/stock-aafn-con/01024/AAFN/NOW.1546870/research-report</x:v>
      </x:c>
      <x:c r="M137" s="11" t="str">
        <x:v>近90日</x:v>
      </x:c>
      <x:c r="N137" s="11" t="str"/>
    </x:row>
    <x:row r="138" ht="23" customHeight="1">
      <x:c r="A138" s="11" t="str">
        <x:v>I080</x:v>
      </x:c>
      <x:c r="B138" s="11" t="str">
        <x:v>01024.HK</x:v>
      </x:c>
      <x:c r="C138" s="11" t="str">
        <x:v>快手-W</x:v>
      </x:c>
      <x:c r="D138" s="11" t="str">
        <x:v>Bank of America</x:v>
      </x:c>
      <x:c r="E138" s="11" t="str">
        <x:v>2026-09-02</x:v>
      </x:c>
      <x:c r="F138" s="11" t="n">
        <x:v>53</x:v>
      </x:c>
      <x:c r="G138" s="11" t="str">
        <x:v>HKD</x:v>
      </x:c>
      <x:c r="H138" s="11" t="str">
        <x:v>公开转述未明确</x:v>
      </x:c>
      <x:c r="I138" s="11" t="str">
        <x:v>买入</x:v>
      </x:c>
      <x:c r="J138" s="11" t="str">
        <x:v>公开新闻转述</x:v>
      </x:c>
      <x:c r="K138" s="11" t="str">
        <x:v>外资</x:v>
      </x:c>
      <x:c r="L138" s="11" t="str">
        <x:v>https://www.aastocks.com/sc/stocks/analysis/stock-aafn-con/01024/AAFN/NOW.1542587/research-report</x:v>
      </x:c>
      <x:c r="M138" s="11" t="str">
        <x:v>近90日</x:v>
      </x:c>
      <x:c r="N138" s="11" t="str"/>
    </x:row>
    <x:row r="139" ht="23" customHeight="1">
      <x:c r="A139" s="11" t="str">
        <x:v>I080</x:v>
      </x:c>
      <x:c r="B139" s="11" t="str">
        <x:v>01024.HK</x:v>
      </x:c>
      <x:c r="C139" s="11" t="str">
        <x:v>快手-W</x:v>
      </x:c>
      <x:c r="D139" s="11" t="str">
        <x:v>Nomura</x:v>
      </x:c>
      <x:c r="E139" s="11" t="str">
        <x:v>2026-08-21</x:v>
      </x:c>
      <x:c r="F139" s="11" t="n">
        <x:v>40</x:v>
      </x:c>
      <x:c r="G139" s="11" t="str">
        <x:v>HKD</x:v>
      </x:c>
      <x:c r="H139" s="11" t="str">
        <x:v>公开转述未明确</x:v>
      </x:c>
      <x:c r="I139" s="11" t="str">
        <x:v>中性</x:v>
      </x:c>
      <x:c r="J139" s="11" t="str">
        <x:v>公开新闻转述</x:v>
      </x:c>
      <x:c r="K139" s="11" t="str">
        <x:v>外资</x:v>
      </x:c>
      <x:c r="L139" s="11" t="str">
        <x:v>https://www.aastocks.com/sc/stocks/analysis/stock-aafn-con/01024/AAFN/NOW.1539847/research-report</x:v>
      </x:c>
      <x:c r="M139" s="11" t="str">
        <x:v>近90日</x:v>
      </x:c>
      <x:c r="N139" s="11" t="str"/>
    </x:row>
    <x:row r="140" ht="23" customHeight="1">
      <x:c r="A140" s="11" t="str">
        <x:v>I080</x:v>
      </x:c>
      <x:c r="B140" s="11" t="str">
        <x:v>01024.HK</x:v>
      </x:c>
      <x:c r="C140" s="11" t="str">
        <x:v>快手-W</x:v>
      </x:c>
      <x:c r="D140" s="11" t="str">
        <x:v>Goldman Sachs</x:v>
      </x:c>
      <x:c r="E140" s="11" t="str">
        <x:v>2026-08-21</x:v>
      </x:c>
      <x:c r="F140" s="11" t="n">
        <x:v>38</x:v>
      </x:c>
      <x:c r="G140" s="11" t="str">
        <x:v>HKD</x:v>
      </x:c>
      <x:c r="H140" s="11" t="str">
        <x:v>公开转述未明确</x:v>
      </x:c>
      <x:c r="I140" s="11" t="str">
        <x:v>中性</x:v>
      </x:c>
      <x:c r="J140" s="11" t="str">
        <x:v>公开新闻转述</x:v>
      </x:c>
      <x:c r="K140" s="11" t="str">
        <x:v>外资</x:v>
      </x:c>
      <x:c r="L140" s="11" t="str">
        <x:v>https://www.aastocks.com/sc/stocks/analysis/stock-aafn-con/01024/AAFN/NOW.1539826/research-report</x:v>
      </x:c>
      <x:c r="M140" s="11" t="str">
        <x:v>近90日</x:v>
      </x:c>
      <x:c r="N140" s="11" t="str"/>
    </x:row>
    <x:row r="141" ht="23" customHeight="1">
      <x:c r="A141" s="11" t="str">
        <x:v>I080</x:v>
      </x:c>
      <x:c r="B141" s="11" t="str">
        <x:v>01024.HK</x:v>
      </x:c>
      <x:c r="C141" s="11" t="str">
        <x:v>快手-W</x:v>
      </x:c>
      <x:c r="D141" s="11" t="str">
        <x:v>HSBC</x:v>
      </x:c>
      <x:c r="E141" s="11" t="str">
        <x:v>2026-08-21</x:v>
      </x:c>
      <x:c r="F141" s="11" t="n">
        <x:v>45</x:v>
      </x:c>
      <x:c r="G141" s="11" t="str">
        <x:v>HKD</x:v>
      </x:c>
      <x:c r="H141" s="11" t="str">
        <x:v>公开转述未明确</x:v>
      </x:c>
      <x:c r="I141" s="11" t="str">
        <x:v>买入</x:v>
      </x:c>
      <x:c r="J141" s="11" t="str">
        <x:v>公开新闻转述</x:v>
      </x:c>
      <x:c r="K141" s="11" t="str">
        <x:v>外资</x:v>
      </x:c>
      <x:c r="L141" s="11" t="str">
        <x:v>https://www.aastocks.com/sc/stocks/analysis/stock-aafn-con/01024/AAFN/NOW.1539820/research-report</x:v>
      </x:c>
      <x:c r="M141" s="11" t="str">
        <x:v>近90日</x:v>
      </x:c>
      <x:c r="N141" s="11" t="str"/>
    </x:row>
    <x:row r="142" ht="23" customHeight="1">
      <x:c r="A142" s="11" t="str">
        <x:v>I022</x:v>
      </x:c>
      <x:c r="B142" s="11" t="str">
        <x:v>03759.HK</x:v>
      </x:c>
      <x:c r="C142" s="11" t="str">
        <x:v>康龙化成</x:v>
      </x:c>
      <x:c r="D142" s="11" t="str">
        <x:v>Goldman Sachs</x:v>
      </x:c>
      <x:c r="E142" s="11" t="str">
        <x:v>2026-09-30</x:v>
      </x:c>
      <x:c r="F142" s="11" t="n">
        <x:v>37.2</x:v>
      </x:c>
      <x:c r="G142" s="11" t="str">
        <x:v>HKD</x:v>
      </x:c>
      <x:c r="H142" s="11" t="str">
        <x:v>公开转述缺确切目标日，一年估值参照非年底价</x:v>
      </x:c>
      <x:c r="I142" s="11" t="str">
        <x:v>买入</x:v>
      </x:c>
      <x:c r="J142" s="11" t="str">
        <x:v>financial_news_secondary</x:v>
      </x:c>
      <x:c r="K142" s="11" t="str">
        <x:v>foreign</x:v>
      </x:c>
      <x:c r="L142" s="11" t="str">
        <x:v>https://www.aastocks.com/tc/stocks/analysis/stock-aafn-con/03759/AAFN/NOW.1547187/research-report</x:v>
      </x:c>
      <x:c r="M142" s="11" t="str">
        <x:v>近90日</x:v>
      </x:c>
      <x:c r="N142" s="11" t="str"/>
    </x:row>
    <x:row r="143" ht="23" customHeight="1">
      <x:c r="A143" s="11" t="str">
        <x:v>I022</x:v>
      </x:c>
      <x:c r="B143" s="11" t="str">
        <x:v>03759.HK</x:v>
      </x:c>
      <x:c r="C143" s="11" t="str">
        <x:v>康龙化成</x:v>
      </x:c>
      <x:c r="D143" s="11" t="str">
        <x:v>Daiwa</x:v>
      </x:c>
      <x:c r="E143" s="11" t="str">
        <x:v>2026-08-24</x:v>
      </x:c>
      <x:c r="F143" s="11" t="n">
        <x:v>38.5</x:v>
      </x:c>
      <x:c r="G143" s="11" t="str">
        <x:v>HKD</x:v>
      </x:c>
      <x:c r="H143" s="11" t="str">
        <x:v>公开转述缺确切目标日，一年估值参照非年底价</x:v>
      </x:c>
      <x:c r="I143" s="11" t="str">
        <x:v>买入</x:v>
      </x:c>
      <x:c r="J143" s="11" t="str">
        <x:v>financial_news_secondary</x:v>
      </x:c>
      <x:c r="K143" s="11" t="str">
        <x:v>foreign</x:v>
      </x:c>
      <x:c r="L143" s="11" t="str">
        <x:v>https://www.aastocks.com/tc/stocks/analysis/stock-aafn-con/03759/AAFN/NOW.1540277/research-report</x:v>
      </x:c>
      <x:c r="M143" s="11" t="str">
        <x:v>近90日</x:v>
      </x:c>
      <x:c r="N143" s="11" t="str"/>
    </x:row>
    <x:row r="144" ht="23" customHeight="1">
      <x:c r="A144" s="11" t="str">
        <x:v>I022</x:v>
      </x:c>
      <x:c r="B144" s="11" t="str">
        <x:v>03759.HK</x:v>
      </x:c>
      <x:c r="C144" s="11" t="str">
        <x:v>康龙化成</x:v>
      </x:c>
      <x:c r="D144" s="11" t="str">
        <x:v>Bank of America</x:v>
      </x:c>
      <x:c r="E144" s="11" t="str">
        <x:v>2026-08-24</x:v>
      </x:c>
      <x:c r="F144" s="11" t="n">
        <x:v>38.4</x:v>
      </x:c>
      <x:c r="G144" s="11" t="str">
        <x:v>HKD</x:v>
      </x:c>
      <x:c r="H144" s="11" t="str">
        <x:v>公开转述缺确切目标日，一年估值参照非年底价</x:v>
      </x:c>
      <x:c r="I144" s="11" t="str">
        <x:v>买入</x:v>
      </x:c>
      <x:c r="J144" s="11" t="str">
        <x:v>financial_news_secondary</x:v>
      </x:c>
      <x:c r="K144" s="11" t="str">
        <x:v>foreign</x:v>
      </x:c>
      <x:c r="L144" s="11" t="str">
        <x:v>https://www.aastocks.com/tc/stocks/analysis/stock-aafn-con/03759/AAFN/NOW.1540273/research-report</x:v>
      </x:c>
      <x:c r="M144" s="11" t="str">
        <x:v>近90日</x:v>
      </x:c>
      <x:c r="N144" s="11" t="str"/>
    </x:row>
    <x:row r="145" ht="23" customHeight="1">
      <x:c r="A145" s="11" t="str">
        <x:v>I022</x:v>
      </x:c>
      <x:c r="B145" s="11" t="str">
        <x:v>03759.HK</x:v>
      </x:c>
      <x:c r="C145" s="11" t="str">
        <x:v>康龙化成</x:v>
      </x:c>
      <x:c r="D145" s="11" t="str">
        <x:v>Morgan Stanley</x:v>
      </x:c>
      <x:c r="E145" s="11" t="str">
        <x:v>2026-08-21</x:v>
      </x:c>
      <x:c r="F145" s="11" t="n">
        <x:v>35.6</x:v>
      </x:c>
      <x:c r="G145" s="11" t="str">
        <x:v>HKD</x:v>
      </x:c>
      <x:c r="H145" s="11" t="str">
        <x:v>公开转述缺确切目标日，一年估值参照非年底价</x:v>
      </x:c>
      <x:c r="I145" s="11" t="str">
        <x:v>增持</x:v>
      </x:c>
      <x:c r="J145" s="11" t="str">
        <x:v>financial_news_secondary</x:v>
      </x:c>
      <x:c r="K145" s="11" t="str">
        <x:v>foreign</x:v>
      </x:c>
      <x:c r="L145" s="11" t="str">
        <x:v>https://www.aastocks.com/tc/stocks/analysis/stock-aafn-con/03759/AAFN/NOW.1539898/research-report</x:v>
      </x:c>
      <x:c r="M145" s="11" t="str">
        <x:v>近90日</x:v>
      </x:c>
      <x:c r="N145" s="11" t="str"/>
    </x:row>
    <x:row r="146" ht="23" customHeight="1">
      <x:c r="A146" s="11" t="str">
        <x:v>I022</x:v>
      </x:c>
      <x:c r="B146" s="11" t="str">
        <x:v>03759.HK</x:v>
      </x:c>
      <x:c r="C146" s="11" t="str">
        <x:v>康龙化成</x:v>
      </x:c>
      <x:c r="D146" s="11" t="str">
        <x:v>Nomura</x:v>
      </x:c>
      <x:c r="E146" s="11" t="str">
        <x:v>2026-07-27</x:v>
      </x:c>
      <x:c r="F146" s="11" t="n">
        <x:v>32.2</x:v>
      </x:c>
      <x:c r="G146" s="11" t="str">
        <x:v>HKD</x:v>
      </x:c>
      <x:c r="H146" s="11" t="str">
        <x:v>公开转述缺确切目标日，一年估值参照非年底价</x:v>
      </x:c>
      <x:c r="I146" s="11" t="str">
        <x:v>买入</x:v>
      </x:c>
      <x:c r="J146" s="11" t="str">
        <x:v>financial_news_secondary</x:v>
      </x:c>
      <x:c r="K146" s="11" t="str">
        <x:v>foreign</x:v>
      </x:c>
      <x:c r="L146" s="11" t="str">
        <x:v>https://www.aastocks.com/tc/stocks/analysis/stock-aafn-con/03759/AAFN/NOW.1535082/research-report</x:v>
      </x:c>
      <x:c r="M146" s="11" t="str">
        <x:v>近90日</x:v>
      </x:c>
      <x:c r="N146" s="11" t="str"/>
    </x:row>
    <x:row r="147" ht="23" customHeight="1">
      <x:c r="A147" s="11" t="str">
        <x:v>I022</x:v>
      </x:c>
      <x:c r="B147" s="11" t="str">
        <x:v>03759.HK</x:v>
      </x:c>
      <x:c r="C147" s="11" t="str">
        <x:v>康龙化成</x:v>
      </x:c>
      <x:c r="D147" s="11" t="str">
        <x:v>HSBC</x:v>
      </x:c>
      <x:c r="E147" s="11" t="str">
        <x:v>2026-07-16</x:v>
      </x:c>
      <x:c r="F147" s="11" t="n">
        <x:v>30.8</x:v>
      </x:c>
      <x:c r="G147" s="11" t="str">
        <x:v>HKD</x:v>
      </x:c>
      <x:c r="H147" s="11" t="str">
        <x:v>公开转述缺确切目标日，一年估值参照非年底价</x:v>
      </x:c>
      <x:c r="I147" s="11" t="str">
        <x:v>买入</x:v>
      </x:c>
      <x:c r="J147" s="11" t="str">
        <x:v>financial_news_secondary</x:v>
      </x:c>
      <x:c r="K147" s="11" t="str">
        <x:v>foreign</x:v>
      </x:c>
      <x:c r="L147" s="11" t="str">
        <x:v>https://www.aastocks.com/tc/stocks/analysis/stock-aafn-con/03759/AAFN/NOW.1533556/research-report</x:v>
      </x:c>
      <x:c r="M147" s="11" t="str">
        <x:v>近90日</x:v>
      </x:c>
      <x:c r="N147" s="11" t="str"/>
    </x:row>
    <x:row r="148" ht="23" customHeight="1">
      <x:c r="A148" s="11" t="str">
        <x:v>I022</x:v>
      </x:c>
      <x:c r="B148" s="11" t="str">
        <x:v>03759.HK</x:v>
      </x:c>
      <x:c r="C148" s="11" t="str">
        <x:v>康龙化成</x:v>
      </x:c>
      <x:c r="D148" s="11" t="str">
        <x:v>UBS</x:v>
      </x:c>
      <x:c r="E148" s="11" t="str">
        <x:v>2026-07-14</x:v>
      </x:c>
      <x:c r="F148" s="11" t="n">
        <x:v>31.8</x:v>
      </x:c>
      <x:c r="G148" s="11" t="str">
        <x:v>HKD</x:v>
      </x:c>
      <x:c r="H148" s="11" t="str">
        <x:v>公开转述缺确切目标日，一年估值参照非年底价</x:v>
      </x:c>
      <x:c r="I148" s="11" t="str">
        <x:v>买入</x:v>
      </x:c>
      <x:c r="J148" s="11" t="str">
        <x:v>financial_news_secondary</x:v>
      </x:c>
      <x:c r="K148" s="11" t="str">
        <x:v>foreign</x:v>
      </x:c>
      <x:c r="L148" s="11" t="str">
        <x:v>https://www.aastocks.com/tc/stocks/analysis/stock-aafn-con/03759/AAFN/NOW.1533130/research-report</x:v>
      </x:c>
      <x:c r="M148" s="11" t="str">
        <x:v>近90日</x:v>
      </x:c>
      <x:c r="N148" s="11" t="str"/>
    </x:row>
    <x:row r="149" ht="23" customHeight="1">
      <x:c r="A149" s="11" t="str">
        <x:v>I051</x:v>
      </x:c>
      <x:c r="B149" s="11" t="str">
        <x:v>09995.HK</x:v>
      </x:c>
      <x:c r="C149" s="11" t="str">
        <x:v>荣昌生物</x:v>
      </x:c>
      <x:c r="D149" s="11" t="str">
        <x:v>Daiwa</x:v>
      </x:c>
      <x:c r="E149" s="11" t="str">
        <x:v>2026-08-26</x:v>
      </x:c>
      <x:c r="F149" s="11" t="n">
        <x:v>108</x:v>
      </x:c>
      <x:c r="G149" s="11" t="str">
        <x:v>HKD</x:v>
      </x:c>
      <x:c r="H149" s="11" t="str">
        <x:v>公开转述确切目标日缺失，一年参照非年底直接目标</x:v>
      </x:c>
      <x:c r="I149" s="11" t="str">
        <x:v>买入</x:v>
      </x:c>
      <x:c r="J149" s="11" t="str">
        <x:v>financial_news_secondary</x:v>
      </x:c>
      <x:c r="K149" s="11" t="str">
        <x:v>foreign</x:v>
      </x:c>
      <x:c r="L149" s="11" t="str">
        <x:v>https://www.aastocks.com/tc/stocks/analysis/stock-aafn-con/09995/AAFN/NOW.1540935/research-report</x:v>
      </x:c>
      <x:c r="M149" s="11" t="str">
        <x:v>近90日</x:v>
      </x:c>
      <x:c r="N149" s="11" t="str"/>
    </x:row>
    <x:row r="150" ht="23" customHeight="1">
      <x:c r="A150" s="11" t="str">
        <x:v>I051</x:v>
      </x:c>
      <x:c r="B150" s="11" t="str">
        <x:v>09995.HK</x:v>
      </x:c>
      <x:c r="C150" s="11" t="str">
        <x:v>荣昌生物</x:v>
      </x:c>
      <x:c r="D150" s="11" t="str">
        <x:v>Citi</x:v>
      </x:c>
      <x:c r="E150" s="11" t="str">
        <x:v>2026-08-26</x:v>
      </x:c>
      <x:c r="F150" s="11" t="n">
        <x:v>127.7</x:v>
      </x:c>
      <x:c r="G150" s="11" t="str">
        <x:v>HKD</x:v>
      </x:c>
      <x:c r="H150" s="11" t="str">
        <x:v>公开转述确切目标日缺失，一年参照非年底直接目标</x:v>
      </x:c>
      <x:c r="I150" s="11" t="str">
        <x:v>买入/高风险</x:v>
      </x:c>
      <x:c r="J150" s="11" t="str">
        <x:v>financial_news_secondary</x:v>
      </x:c>
      <x:c r="K150" s="11" t="str">
        <x:v>foreign</x:v>
      </x:c>
      <x:c r="L150" s="11" t="str">
        <x:v>https://www.aastocks.com/tc/stocks/analysis/stock-aafn-con/09995/AAFN/NOW.1540934/research-report</x:v>
      </x:c>
      <x:c r="M150" s="11" t="str">
        <x:v>近90日</x:v>
      </x:c>
      <x:c r="N150" s="11" t="str"/>
    </x:row>
    <x:row r="151" ht="23" customHeight="1">
      <x:c r="A151" s="11" t="str">
        <x:v>I051</x:v>
      </x:c>
      <x:c r="B151" s="11" t="str">
        <x:v>09995.HK</x:v>
      </x:c>
      <x:c r="C151" s="11" t="str">
        <x:v>荣昌生物</x:v>
      </x:c>
      <x:c r="D151" s="11" t="str">
        <x:v>CLSA</x:v>
      </x:c>
      <x:c r="E151" s="11" t="str">
        <x:v>2026-08-26</x:v>
      </x:c>
      <x:c r="F151" s="11" t="n">
        <x:v>144.8</x:v>
      </x:c>
      <x:c r="G151" s="11" t="str">
        <x:v>HKD</x:v>
      </x:c>
      <x:c r="H151" s="11" t="str">
        <x:v>公开转述确切目标日缺失，一年参照非年底直接目标</x:v>
      </x:c>
      <x:c r="I151" s="11" t="str">
        <x:v>跑赢大市</x:v>
      </x:c>
      <x:c r="J151" s="11" t="str">
        <x:v>financial_news_secondary</x:v>
      </x:c>
      <x:c r="K151" s="11" t="str">
        <x:v>foreign</x:v>
      </x:c>
      <x:c r="L151" s="11" t="str">
        <x:v>https://www.aastocks.com/tc/stocks/analysis/stock-aafn-con/09995/AAFN/NOW.1540835/research-report</x:v>
      </x:c>
      <x:c r="M151" s="11" t="str">
        <x:v>近90日</x:v>
      </x:c>
      <x:c r="N151" s="11" t="str"/>
    </x:row>
    <x:row r="152" ht="23" customHeight="1">
      <x:c r="A152" s="11" t="str">
        <x:v>I051</x:v>
      </x:c>
      <x:c r="B152" s="11" t="str">
        <x:v>09995.HK</x:v>
      </x:c>
      <x:c r="C152" s="11" t="str">
        <x:v>荣昌生物</x:v>
      </x:c>
      <x:c r="D152" s="11" t="str">
        <x:v>Nomura</x:v>
      </x:c>
      <x:c r="E152" s="11" t="str">
        <x:v>2026-07-27</x:v>
      </x:c>
      <x:c r="F152" s="11" t="n">
        <x:v>89.44</x:v>
      </x:c>
      <x:c r="G152" s="11" t="str">
        <x:v>HKD</x:v>
      </x:c>
      <x:c r="H152" s="11" t="str">
        <x:v>公开转述确切目标日缺失，一年参照非年底直接目标</x:v>
      </x:c>
      <x:c r="I152" s="11" t="str">
        <x:v>中性</x:v>
      </x:c>
      <x:c r="J152" s="11" t="str">
        <x:v>financial_news_secondary</x:v>
      </x:c>
      <x:c r="K152" s="11" t="str">
        <x:v>foreign</x:v>
      </x:c>
      <x:c r="L152" s="11" t="str">
        <x:v>https://www.aastocks.com/tc/stocks/analysis/stock-aafn-con/09995/AAFN/NOW.1535088/research-report</x:v>
      </x:c>
      <x:c r="M152" s="11" t="str">
        <x:v>近90日</x:v>
      </x:c>
      <x:c r="N152" s="11" t="str"/>
    </x:row>
    <x:row r="153" ht="23" customHeight="1">
      <x:c r="A153" s="11" t="str">
        <x:v>I033</x:v>
      </x:c>
      <x:c r="B153" s="11" t="str">
        <x:v>02096.HK</x:v>
      </x:c>
      <x:c r="C153" s="11" t="str">
        <x:v>先声药业</x:v>
      </x:c>
      <x:c r="D153" s="11" t="str">
        <x:v>UBS</x:v>
      </x:c>
      <x:c r="E153" s="11" t="str">
        <x:v>2026-09-09</x:v>
      </x:c>
      <x:c r="F153" s="11" t="n">
        <x:v>16.6</x:v>
      </x:c>
      <x:c r="G153" s="11" t="str">
        <x:v>HKD</x:v>
      </x:c>
      <x:c r="H153" s="11" t="str">
        <x:v>新闻未给精确时点，一年估值参照</x:v>
      </x:c>
      <x:c r="I153" s="11" t="str">
        <x:v>买入/行业首选</x:v>
      </x:c>
      <x:c r="J153" s="11" t="str">
        <x:v>financial_news_secondary</x:v>
      </x:c>
      <x:c r="K153" s="11" t="str">
        <x:v>foreign</x:v>
      </x:c>
      <x:c r="L153" s="11" t="str">
        <x:v>https://www.aastocks.com/tc/stocks/analysis/stock-aafn-con/02096/AAFN/NOW.1543624/research-report</x:v>
      </x:c>
      <x:c r="M153" s="11" t="str">
        <x:v>近90日</x:v>
      </x:c>
      <x:c r="N153" s="11" t="str"/>
    </x:row>
    <x:row r="154" ht="23" customHeight="1">
      <x:c r="A154" s="11" t="str">
        <x:v>I031</x:v>
      </x:c>
      <x:c r="B154" s="11" t="str">
        <x:v>01177.HK</x:v>
      </x:c>
      <x:c r="C154" s="11" t="str">
        <x:v>中国生物制药</x:v>
      </x:c>
      <x:c r="D154" s="11" t="str">
        <x:v>HSBC</x:v>
      </x:c>
      <x:c r="E154" s="11" t="str">
        <x:v>2026-09-29</x:v>
      </x:c>
      <x:c r="F154" s="11" t="n">
        <x:v>8</x:v>
      </x:c>
      <x:c r="G154" s="11" t="str">
        <x:v>HKD</x:v>
      </x:c>
      <x:c r="H154" s="11" t="str">
        <x:v>公开转述未明确目标日</x:v>
      </x:c>
      <x:c r="I154" s="11" t="str">
        <x:v>买入</x:v>
      </x:c>
      <x:c r="J154" s="11" t="str">
        <x:v>financial_news_secondary</x:v>
      </x:c>
      <x:c r="K154" s="11" t="str">
        <x:v>foreign</x:v>
      </x:c>
      <x:c r="L154" s="11" t="str">
        <x:v>https://www.aastocks.com/tc/stocks/analysis/stock-aafn-con/01177/AAFN/NOW.1547010/research-report</x:v>
      </x:c>
      <x:c r="M154" s="11" t="str">
        <x:v>近90日</x:v>
      </x:c>
      <x:c r="N154" s="11" t="str"/>
    </x:row>
    <x:row r="155" ht="23" customHeight="1">
      <x:c r="A155" s="11" t="str">
        <x:v>I031</x:v>
      </x:c>
      <x:c r="B155" s="11" t="str">
        <x:v>01177.HK</x:v>
      </x:c>
      <x:c r="C155" s="11" t="str">
        <x:v>中国生物制药</x:v>
      </x:c>
      <x:c r="D155" s="11" t="str">
        <x:v>Citi</x:v>
      </x:c>
      <x:c r="E155" s="11" t="str">
        <x:v>2026-09-29</x:v>
      </x:c>
      <x:c r="F155" s="11" t="n">
        <x:v>10.8</x:v>
      </x:c>
      <x:c r="G155" s="11" t="str">
        <x:v>HKD</x:v>
      </x:c>
      <x:c r="H155" s="11" t="str">
        <x:v>公开转述未明确目标日</x:v>
      </x:c>
      <x:c r="I155" s="11" t="str">
        <x:v>买入</x:v>
      </x:c>
      <x:c r="J155" s="11" t="str">
        <x:v>financial_news_secondary</x:v>
      </x:c>
      <x:c r="K155" s="11" t="str">
        <x:v>foreign</x:v>
      </x:c>
      <x:c r="L155" s="11" t="str">
        <x:v>https://www.aastocks.com/tc/stocks/analysis/stock-aafn-con/01177/AAFN/NOW.1546966/research-report</x:v>
      </x:c>
      <x:c r="M155" s="11" t="str">
        <x:v>近90日</x:v>
      </x:c>
      <x:c r="N155" s="11" t="str"/>
    </x:row>
    <x:row r="156" ht="23" customHeight="1">
      <x:c r="A156" s="11" t="str">
        <x:v>I031</x:v>
      </x:c>
      <x:c r="B156" s="11" t="str">
        <x:v>01177.HK</x:v>
      </x:c>
      <x:c r="C156" s="11" t="str">
        <x:v>中国生物制药</x:v>
      </x:c>
      <x:c r="D156" s="11" t="str">
        <x:v>Bank of America</x:v>
      </x:c>
      <x:c r="E156" s="11" t="str">
        <x:v>2026-09-21</x:v>
      </x:c>
      <x:c r="F156" s="11" t="n">
        <x:v>7.3</x:v>
      </x:c>
      <x:c r="G156" s="11" t="str">
        <x:v>HKD</x:v>
      </x:c>
      <x:c r="H156" s="11" t="str">
        <x:v>公开转述未明确目标日</x:v>
      </x:c>
      <x:c r="I156" s="11" t="str">
        <x:v>买入</x:v>
      </x:c>
      <x:c r="J156" s="11" t="str">
        <x:v>financial_news_secondary</x:v>
      </x:c>
      <x:c r="K156" s="11" t="str">
        <x:v>foreign</x:v>
      </x:c>
      <x:c r="L156" s="11" t="str">
        <x:v>https://www.aastocks.com/tc/stocks/analysis/stock-aafn-con/01177/AAFN/NOW.1545493/research-report</x:v>
      </x:c>
      <x:c r="M156" s="11" t="str">
        <x:v>近90日</x:v>
      </x:c>
      <x:c r="N156" s="11" t="str"/>
    </x:row>
    <x:row r="157" ht="23" customHeight="1">
      <x:c r="A157" s="11" t="str">
        <x:v>I031</x:v>
      </x:c>
      <x:c r="B157" s="11" t="str">
        <x:v>01177.HK</x:v>
      </x:c>
      <x:c r="C157" s="11" t="str">
        <x:v>中国生物制药</x:v>
      </x:c>
      <x:c r="D157" s="11" t="str">
        <x:v>Goldman Sachs</x:v>
      </x:c>
      <x:c r="E157" s="11" t="str">
        <x:v>2026-09-14</x:v>
      </x:c>
      <x:c r="F157" s="11" t="n">
        <x:v>9.07</x:v>
      </x:c>
      <x:c r="G157" s="11" t="str">
        <x:v>HKD</x:v>
      </x:c>
      <x:c r="H157" s="11" t="str">
        <x:v>公开转述未明确目标日</x:v>
      </x:c>
      <x:c r="I157" s="11" t="str">
        <x:v>买入</x:v>
      </x:c>
      <x:c r="J157" s="11" t="str">
        <x:v>financial_news_secondary</x:v>
      </x:c>
      <x:c r="K157" s="11" t="str">
        <x:v>foreign</x:v>
      </x:c>
      <x:c r="L157" s="11" t="str">
        <x:v>https://www.aastocks.com/tc/stocks/analysis/stock-aafn-con/01177/AAFN/NOW.1544270/research-report</x:v>
      </x:c>
      <x:c r="M157" s="11" t="str">
        <x:v>近90日</x:v>
      </x:c>
      <x:c r="N157" s="11" t="str"/>
    </x:row>
    <x:row r="158" ht="23" customHeight="1">
      <x:c r="A158" s="11" t="str">
        <x:v>I031</x:v>
      </x:c>
      <x:c r="B158" s="11" t="str">
        <x:v>01177.HK</x:v>
      </x:c>
      <x:c r="C158" s="11" t="str">
        <x:v>中国生物制药</x:v>
      </x:c>
      <x:c r="D158" s="11" t="str">
        <x:v>Nomura</x:v>
      </x:c>
      <x:c r="E158" s="11" t="str">
        <x:v>2026-09-14</x:v>
      </x:c>
      <x:c r="F158" s="11" t="n">
        <x:v>8.67</x:v>
      </x:c>
      <x:c r="G158" s="11" t="str">
        <x:v>HKD</x:v>
      </x:c>
      <x:c r="H158" s="11" t="str">
        <x:v>公开转述未明确目标日</x:v>
      </x:c>
      <x:c r="I158" s="11" t="str">
        <x:v>买入</x:v>
      </x:c>
      <x:c r="J158" s="11" t="str">
        <x:v>financial_news_secondary</x:v>
      </x:c>
      <x:c r="K158" s="11" t="str">
        <x:v>foreign</x:v>
      </x:c>
      <x:c r="L158" s="11" t="str">
        <x:v>https://www.aastocks.com/tc/stocks/analysis/stock-aafn-con/01177/AAFN/NOW.1544269/research-report</x:v>
      </x:c>
      <x:c r="M158" s="11" t="str">
        <x:v>近90日</x:v>
      </x:c>
      <x:c r="N158" s="11" t="str"/>
    </x:row>
    <x:row r="159" ht="23" customHeight="1">
      <x:c r="A159" s="11" t="str">
        <x:v>I031</x:v>
      </x:c>
      <x:c r="B159" s="11" t="str">
        <x:v>01177.HK</x:v>
      </x:c>
      <x:c r="C159" s="11" t="str">
        <x:v>中国生物制药</x:v>
      </x:c>
      <x:c r="D159" s="11" t="str">
        <x:v>Daiwa</x:v>
      </x:c>
      <x:c r="E159" s="11" t="str">
        <x:v>2026-08-20</x:v>
      </x:c>
      <x:c r="F159" s="11" t="n">
        <x:v>7.2</x:v>
      </x:c>
      <x:c r="G159" s="11" t="str">
        <x:v>HKD</x:v>
      </x:c>
      <x:c r="H159" s="11" t="str">
        <x:v>公开转述未明确目标日</x:v>
      </x:c>
      <x:c r="I159" s="11" t="str">
        <x:v>买入</x:v>
      </x:c>
      <x:c r="J159" s="11" t="str">
        <x:v>financial_news_secondary</x:v>
      </x:c>
      <x:c r="K159" s="11" t="str">
        <x:v>foreign</x:v>
      </x:c>
      <x:c r="L159" s="11" t="str">
        <x:v>https://www.aastocks.com/tc/stocks/analysis/stock-aafn-con/01177/AAFN/NOW.1539506/research-report</x:v>
      </x:c>
      <x:c r="M159" s="11" t="str">
        <x:v>近90日</x:v>
      </x:c>
      <x:c r="N159" s="11" t="str"/>
    </x:row>
    <x:row r="160" ht="23" customHeight="1">
      <x:c r="A160" s="11" t="str">
        <x:v>I049</x:v>
      </x:c>
      <x:c r="B160" s="11" t="str">
        <x:v>02268.HK</x:v>
      </x:c>
      <x:c r="C160" s="11" t="str">
        <x:v>药明合联</x:v>
      </x:c>
      <x:c r="D160" s="11" t="str">
        <x:v>Nomura</x:v>
      </x:c>
      <x:c r="E160" s="11" t="str">
        <x:v>2026-08-25</x:v>
      </x:c>
      <x:c r="F160" s="11" t="n">
        <x:v>82.6</x:v>
      </x:c>
      <x:c r="G160" s="11" t="str">
        <x:v>HKD</x:v>
      </x:c>
      <x:c r="H160" s="11" t="str">
        <x:v>公开转述未明确目标日</x:v>
      </x:c>
      <x:c r="I160" s="11" t="str">
        <x:v>买入</x:v>
      </x:c>
      <x:c r="J160" s="11" t="str">
        <x:v>financial_news_secondary</x:v>
      </x:c>
      <x:c r="K160" s="11" t="str">
        <x:v>foreign</x:v>
      </x:c>
      <x:c r="L160" s="11" t="str">
        <x:v>https://www.aastocks.com/tc/stocks/analysis/stock-aafn-con/02268/AAFN/NOW.1540527/research-report</x:v>
      </x:c>
      <x:c r="M160" s="11" t="str">
        <x:v>近90日</x:v>
      </x:c>
      <x:c r="N160" s="11" t="str"/>
    </x:row>
    <x:row r="161" ht="23" customHeight="1">
      <x:c r="A161" s="11" t="str">
        <x:v>I049</x:v>
      </x:c>
      <x:c r="B161" s="11" t="str">
        <x:v>02268.HK</x:v>
      </x:c>
      <x:c r="C161" s="11" t="str">
        <x:v>药明合联</x:v>
      </x:c>
      <x:c r="D161" s="11" t="str">
        <x:v>CLSA</x:v>
      </x:c>
      <x:c r="E161" s="11" t="str">
        <x:v>2026-08-26</x:v>
      </x:c>
      <x:c r="F161" s="11" t="n">
        <x:v>87.9</x:v>
      </x:c>
      <x:c r="G161" s="11" t="str">
        <x:v>HKD</x:v>
      </x:c>
      <x:c r="H161" s="11" t="str">
        <x:v>公开转述未明确目标日</x:v>
      </x:c>
      <x:c r="I161" s="11" t="str">
        <x:v>跑赢大市</x:v>
      </x:c>
      <x:c r="J161" s="11" t="str">
        <x:v>financial_news_secondary</x:v>
      </x:c>
      <x:c r="K161" s="11" t="str">
        <x:v>international_chinese_controlled</x:v>
      </x:c>
      <x:c r="L161" s="11" t="str">
        <x:v>https://www.aastocks.com/tc/stocks/analysis/stock-aafn-con/02268/AAFN/NOW.1540863/research-report</x:v>
      </x:c>
      <x:c r="M161" s="11" t="str">
        <x:v>近90日</x:v>
      </x:c>
      <x:c r="N161" s="11" t="str"/>
    </x:row>
    <x:row r="162" ht="23" customHeight="1">
      <x:c r="A162" s="11" t="str">
        <x:v>I049</x:v>
      </x:c>
      <x:c r="B162" s="11" t="str">
        <x:v>02268.HK</x:v>
      </x:c>
      <x:c r="C162" s="11" t="str">
        <x:v>药明合联</x:v>
      </x:c>
      <x:c r="D162" s="11" t="str">
        <x:v>Daiwa</x:v>
      </x:c>
      <x:c r="E162" s="11" t="str">
        <x:v>2026-07-08</x:v>
      </x:c>
      <x:c r="F162" s="11" t="n">
        <x:v>78</x:v>
      </x:c>
      <x:c r="G162" s="11" t="str">
        <x:v>HKD</x:v>
      </x:c>
      <x:c r="H162" s="11" t="str">
        <x:v>公开转述未明确目标日</x:v>
      </x:c>
      <x:c r="I162" s="11" t="str">
        <x:v>买入</x:v>
      </x:c>
      <x:c r="J162" s="11" t="str">
        <x:v>financial_news_secondary</x:v>
      </x:c>
      <x:c r="K162" s="11" t="str">
        <x:v>foreign</x:v>
      </x:c>
      <x:c r="L162" s="11" t="str">
        <x:v>https://www.aastocks.com/tc/stocks/analysis/stock-aafn-con/02268/AAFN/NOW.1532228/research-report</x:v>
      </x:c>
      <x:c r="M162" s="11" t="str">
        <x:v>超过90日，旧目标</x:v>
      </x:c>
      <x:c r="N162" s="11" t="str"/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6" hidden="0" customWidth="1"/>
    <x:col min="3" max="3" width="85" hidden="0" customWidth="1"/>
  </x:cols>
  <x:sheetData>
    <x:row r="1">
      <x:c r="A1" s="2"/>
      <x:c r="B1" s="2"/>
      <x:c r="C1" s="2"/>
    </x:row>
    <x:row r="2">
      <x:c r="A2" s="4" t="str">
        <x:v>核算与刷新核验</x:v>
      </x:c>
      <x:c r="B2" s="2"/>
      <x:c r="C2" s="2"/>
    </x:row>
    <x:row r="3">
      <x:c r="A3" s="2" t="str">
        <x:v>活动情景</x:v>
      </x:c>
      <x:c r="B3" s="2" t="n">
        <x:f>'假设'!B3</x:f>
        <x:v>2</x:v>
      </x:c>
      <x:c r="C3" s="2"/>
    </x:row>
    <x:row r="4">
      <x:c r="A4" s="2"/>
      <x:c r="B4" s="2"/>
      <x:c r="C4" s="2"/>
    </x:row>
    <x:row r="5">
      <x:c r="A5" s="2"/>
      <x:c r="B5" s="2"/>
      <x:c r="C5" s="2"/>
    </x:row>
    <x:row r="6" ht="52" customHeight="1">
      <x:c r="A6" s="12" t="str">
        <x:v>检查</x:v>
      </x:c>
      <x:c r="B6" s="12" t="str">
        <x:v>结果</x:v>
      </x:c>
      <x:c r="C6" s="12" t="str">
        <x:v>要求/说明</x:v>
      </x:c>
    </x:row>
    <x:row r="7" ht="23" customHeight="1">
      <x:c r="A7" s="11" t="str">
        <x:v>覆盖条目</x:v>
      </x:c>
      <x:c r="B7" s="11" t="n">
        <x:v>103</x:v>
      </x:c>
      <x:c r="C7" s="11" t="str">
        <x:v>103</x:v>
      </x:c>
    </x:row>
    <x:row r="8" ht="23" customHeight="1">
      <x:c r="A8" s="11" t="str">
        <x:v>发行人数</x:v>
      </x:c>
      <x:c r="B8" s="11" t="n">
        <x:v>92</x:v>
      </x:c>
      <x:c r="C8" s="11" t="str">
        <x:v>92</x:v>
      </x:c>
    </x:row>
    <x:row r="9" ht="23" customHeight="1">
      <x:c r="A9" s="11" t="str">
        <x:v>股票证券</x:v>
      </x:c>
      <x:c r="B9" s="11" t="n">
        <x:v>96</x:v>
      </x:c>
      <x:c r="C9" s="11" t="str">
        <x:v>96</x:v>
      </x:c>
    </x:row>
    <x:row r="10" ht="23" customHeight="1">
      <x:c r="A10" s="11" t="str">
        <x:v>模型算术</x:v>
      </x:c>
      <x:c r="B10" s="11" t="str">
        <x:v>通过</x:v>
      </x:c>
      <x:c r="C10" s="11" t="str">
        <x:v>目标价、现价、分红及评分独立复算</x:v>
      </x:c>
    </x:row>
    <x:row r="11" ht="23" customHeight="1">
      <x:c r="A11" s="11" t="str">
        <x:v>正文完成</x:v>
      </x:c>
      <x:c r="B11" s="11" t="n">
        <x:v>48</x:v>
      </x:c>
      <x:c r="C11" s="11" t="str">
        <x:v>92</x:v>
      </x:c>
    </x:row>
    <x:row r="12" ht="23" customHeight="1">
      <x:c r="A12" s="11" t="str">
        <x:v>未完成深研</x:v>
      </x:c>
      <x:c r="B12" s="11" t="n">
        <x:v>44</x:v>
      </x:c>
      <x:c r="C12" s="11" t="str">
        <x:v>0才全交付</x:v>
      </x:c>
    </x:row>
    <x:row r="13" ht="23" customHeight="1">
      <x:c r="A13" s="11" t="str">
        <x:v>文件验收</x:v>
      </x:c>
      <x:c r="B13" s="11" t="str">
        <x:v>进行中</x:v>
      </x:c>
      <x:c r="C13" s="11" t="str">
        <x:v>仅Word及同源PDF实际渲染后通过</x:v>
      </x:c>
    </x:row>
    <x:row r="14" ht="23" customHeight="1">
      <x:c r="A14" s="11" t="str">
        <x:v>权重总和</x:v>
      </x:c>
      <x:c r="B14" s="11" t="n">
        <x:f>SUM('年底情景'!T4:V4)</x:f>
        <x:v>1</x:v>
      </x:c>
      <x:c r="C14" s="11" t="str">
        <x:v>年底判断权重应等于1</x:v>
      </x:c>
    </x:row>
    <x:row r="15" ht="23" customHeight="1">
      <x:c r="A15" s="11" t="str">
        <x:v>输入快照状态</x:v>
      </x:c>
      <x:c r="B15" s="11" t="str">
        <x:f>IF(COUNTIF('情景快照'!T7:T786,"待刷新")=0,"已刷新","待刷新")</x:f>
        <x:v>待刷新</x:v>
      </x:c>
      <x:c r="C15" s="11" t="str">
        <x:v>输入改变后待刷新，旧结果不可作新预测</x:v>
      </x:c>
    </x:row>
    <x:row r="16" ht="23" customHeight="1">
      <x:c r="A16" s="11" t="str">
        <x:v>完整交付</x:v>
      </x:c>
      <x:c r="B16" s="11" t="str">
        <x:v>未完成</x:v>
      </x:c>
      <x:c r="C16" s="11" t="str">
        <x:v>27文件及92万字正文需同时通过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Pr>
    <x:tabColor rgb="FF95949B"/>
  </x:sheetPr>
  <x:sheetViews>
    <x:sheetView showGridLines="0" workbookViewId="0"/>
  </x:sheetViews>
  <x:sheetFormatPr defaultRowHeight="15"/>
  <x:cols>
    <x:col min="1" max="1" width="22" hidden="0" customWidth="1"/>
    <x:col min="2" max="2" width="125" hidden="0" customWidth="1"/>
  </x:cols>
  <x:sheetData>
    <x:row r="1">
      <x:c r="A1" s="2"/>
      <x:c r="B1" s="2"/>
    </x:row>
    <x:row r="2">
      <x:c r="A2" s="4" t="str">
        <x:v>研究与刷新方法</x:v>
      </x:c>
      <x:c r="B2" s="2"/>
    </x:row>
    <x:row r="3">
      <x:c r="A3" s="2" t="str">
        <x:v>活动情景</x:v>
      </x:c>
      <x:c r="B3" s="2" t="n">
        <x:f>'假设'!B3</x:f>
        <x:v>2</x:v>
      </x:c>
    </x:row>
    <x:row r="4">
      <x:c r="A4" s="2"/>
      <x:c r="B4" s="2"/>
    </x:row>
    <x:row r="5">
      <x:c r="A5" s="2"/>
      <x:c r="B5" s="2"/>
    </x:row>
    <x:row r="6" ht="52" customHeight="1">
      <x:c r="A6" s="12" t="str">
        <x:v>项目</x:v>
      </x:c>
      <x:c r="B6" s="12" t="str">
        <x:v>说明</x:v>
      </x:c>
    </x:row>
    <x:row r="7" ht="23" customHeight="1">
      <x:c r="A7" s="11" t="str">
        <x:v>价格口径</x:v>
      </x:c>
      <x:c r="B7" s="11" t="str">
        <x:v>2026-10-09收盘，本币；停牌保留最后交易参考价，不可与有效当日价混用</x:v>
      </x:c>
    </x:row>
    <x:row r="8" ht="23" customHeight="1">
      <x:c r="A8" s="11" t="str">
        <x:v>信息截止</x:v>
      </x:c>
      <x:c r="B8" s="11" t="str">
        <x:v>只接纳不晚于2026-10-09已公开信息；公告发布时间单独记录</x:v>
      </x:c>
    </x:row>
    <x:row r="9" ht="23" customHeight="1">
      <x:c r="A9" s="11" t="str">
        <x:v>期限</x:v>
      </x:c>
      <x:c r="B9" s="11" t="str">
        <x:v>半年2027-04-09；一年2027-10-09；三年2029-10-09；五年2031-10-09；休市取此前交易日，最终日历待核验</x:v>
      </x:c>
    </x:row>
    <x:row r="10" ht="23" customHeight="1">
      <x:c r="A10" s="11" t="str">
        <x:v>模型</x:v>
      </x:c>
      <x:c r="B10" s="11" t="str">
        <x:v>单套活动估值依次选择悲观、基准、乐观，保存输入和结果快照；不构造并行隐藏模型</x:v>
      </x:c>
    </x:row>
    <x:row r="11" ht="23" customHeight="1">
      <x:c r="A11" s="11" t="str">
        <x:v>输入修改</x:v>
      </x:c>
      <x:c r="B11" s="11" t="str">
        <x:v>在Excel保存后运行 tools/refresh_workbook.mjs（可传已编辑文件路径）。输入逐项读取到独立覆写JSON并备份，随后同一活动模型依次重算三情景与排名；原始披露不改写。模型版本改变须审核旧覆写。</x:v>
      </x:c>
    </x:row>
    <x:row r="12" ht="23" customHeight="1">
      <x:c r="A12" s="11" t="str">
        <x:v>排名刷新</x:v>
      </x:c>
      <x:c r="B12" s="11" t="str">
        <x:v>四期限排名N列随评分、回报或快照输入变化标记排名待刷新；运行refresh_workbook.mjs重建顺序。正文和PDF再由同源bundle重建、渲染与验收。</x:v>
      </x:c>
    </x:row>
    <x:row r="13" ht="23" customHeight="1">
      <x:c r="A13" s="11" t="str">
        <x:v>排名范围</x:v>
      </x:c>
      <x:c r="B13" s="11" t="str">
        <x:v>目前仅已完成模型样本。未完成股票保留名单，不置于榜尾冒充评估</x:v>
      </x:c>
    </x:row>
    <x:row r="14" ht="23" customHeight="1">
      <x:c r="A14" s="11" t="str">
        <x:v>评分</x:v>
      </x:c>
      <x:c r="B14" s="11" t="str">
        <x:v>0-5各维度按证据判断，加权100；同分按基准总回报、悲观损失；不足3分同梯队</x:v>
      </x:c>
    </x:row>
    <x:row r="15" ht="23" customHeight="1">
      <x:c r="A15" s="11" t="str">
        <x:v>汇率</x:v>
      </x:c>
      <x:c r="B15" s="11" t="str">
        <x:v>1 CNY=1.10 HKD是研究假设而非核验即期。±5%敏感性另做，真实汇率待补</x:v>
      </x:c>
    </x:row>
    <x:row r="16" ht="23" customHeight="1">
      <x:c r="A16" s="11" t="str">
        <x:v>机构目标</x:v>
      </x:c>
      <x:c r="B16" s="11" t="str">
        <x:v>只用正文公司/代码匹配、同机构最新有效目标；转述非原研报，缺目标期限保留未明确</x:v>
      </x:c>
    </x:row>
    <x:row r="17" ht="23" customHeight="1">
      <x:c r="A17" s="11" t="str">
        <x:v>行情</x:v>
      </x:c>
      <x:c r="B17" s="11" t="str">
        <x:v>Yahoo/Tencent日线与Sina最新独立报价；复权adjclose/close归一基准价；单位、缺口及179条异常修复留档</x:v>
      </x:c>
    </x:row>
    <x:row r="18" ht="23" customHeight="1">
      <x:c r="A18" s="11" t="str">
        <x:v>风险情景</x:v>
      </x:c>
      <x:c r="B18" s="11" t="str">
        <x:v>25/50/25是主观判断权重，不是统计置信区间或损失上限</x:v>
      </x:c>
    </x:row>
    <x:row r="19" ht="23" customHeight="1">
      <x:c r="A19" s="11" t="str">
        <x:v>本轮边界</x:v>
      </x:c>
      <x:c r="B19" s="11" t="str">
        <x:v>尚未完成所有发行人、亏损药物rNPV、ETF净值及机构目标补齐。完整验收不得提前宣称完成</x:v>
      </x:c>
    </x:row>
    <x:row r="21">
      <x:c r="A21" t="str">
        <x:v>可编辑范围</x:v>
      </x:c>
      <x:c r="B21" t="str">
        <x:v>仅蓝字且登记在workbook_input_manifest.json中的数值支持持久刷新；目标日期、年度、成功阶段、纳入标记、评分权重和披露来源需修改源模型后重建，不能只改可见标签。</x:v>
      </x:c>
    </x:row>
    <x:row r="22">
      <x:c r="A22" t="str">
        <x:v>里程碑输入</x:v>
      </x:c>
      <x:c r="B22" t="str">
        <x:v>管线现金流中的金额、成功、税后比例及归属率支持分情景刷新；现金日期及折现间隔来自源模型。Vor版税和里程碑与许可资产关联，受让方自身现金及股数另列，六月账面权证不重复加值。</x:v>
      </x:c>
    </x:row>
    <x:row r="24">
      <x:c r="A24" t="str">
        <x:v>研究数据版本</x:v>
      </x:c>
      <x:c r="B24" t="str">
        <x:v>e0b834ebecd93e6e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>
      <x:c r="A1" s="2"/>
      <x:c r="B1" s="2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29" t="str">
        <x:v>经营资金桥固定锚及转债互斥结算 CNY十亿 股数十亿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52" customHeight="1">
      <x:c r="A6" s="12" t="str">
        <x:v>代码</x:v>
      </x:c>
      <x:c r="B6" s="12" t="str">
        <x:v>输入层</x:v>
      </x:c>
      <x:c r="C6" s="12" t="str">
        <x:v>六月末流动资产现金</x:v>
      </x:c>
      <x:c r="D6" s="12" t="str">
        <x:v>六月末银行债</x:v>
      </x:c>
      <x:c r="E6" s="12" t="str">
        <x:v>2026转债净募资</x:v>
      </x:c>
      <x:c r="F6" s="12" t="str">
        <x:v>转债面额</x:v>
      </x:c>
      <x:c r="G6" s="12" t="str">
        <x:v>转股增量十亿股</x:v>
      </x:c>
      <x:c r="H6" s="12" t="str">
        <x:v>2027转股 1或0</x:v>
      </x:c>
      <x:c r="I6" s="12" t="str">
        <x:v>已报H1经营现金</x:v>
      </x:c>
      <x:c r="J6" s="12" t="str">
        <x:v>H1融资银行利息</x:v>
      </x:c>
      <x:c r="K6" s="12" t="str">
        <x:v>H1资本开支</x:v>
      </x:c>
      <x:c r="L6" s="12" t="str">
        <x:v>H1股权投资</x:v>
      </x:c>
      <x:c r="M6" s="12" t="str">
        <x:v>2026已宣派分红现金</x:v>
      </x:c>
      <x:c r="N6" s="12" t="str">
        <x:v>2026剩余租赁本金</x:v>
      </x:c>
      <x:c r="O6" s="12" t="str">
        <x:v>以后年度租赁本金</x:v>
      </x:c>
      <x:c r="P6" s="12" t="str">
        <x:v>其他收入</x:v>
      </x:c>
      <x:c r="Q6" s="12" t="str">
        <x:v>其他毛利率</x:v>
      </x:c>
    </x:row>
    <x:row r="7" ht="23" customHeight="1">
      <x:c r="A7" s="11" t="str">
        <x:v>03759.HK</x:v>
      </x:c>
      <x:c r="B7" s="11" t="str">
        <x:v>活动输入</x:v>
      </x:c>
      <x:c r="C7" s="11" t="n">
        <x:f>CHOOSE('假设'!$B$3,C8,C9,C10)</x:f>
        <x:v>2.7038960000000003</x:v>
      </x:c>
      <x:c r="D7" s="11" t="n">
        <x:f>CHOOSE('假设'!$B$3,D8,D9,D10)</x:f>
        <x:v>6.474413</x:v>
      </x:c>
      <x:c r="E7" s="11" t="n">
        <x:f>CHOOSE('假设'!$B$3,E8,E9,E10)</x:f>
        <x:v>2.1994012091898427</x:v>
      </x:c>
      <x:c r="F7" s="11" t="n">
        <x:f>CHOOSE('假设'!$B$3,F8,F9,F10)</x:f>
        <x:v>2.18</x:v>
      </x:c>
      <x:c r="G7" s="11" t="n">
        <x:f>CHOOSE('假设'!$B$3,G8,G9,G10)</x:f>
        <x:v>0.070478579</x:v>
      </x:c>
      <x:c r="H7" s="11" t="n">
        <x:f>CHOOSE('假设'!$B$3,H8,H9,H10)</x:f>
        <x:v>0</x:v>
      </x:c>
      <x:c r="I7" s="11" t="n">
        <x:f>CHOOSE('假设'!$B$3,I8,I9,I10)</x:f>
        <x:v>1.084645</x:v>
      </x:c>
      <x:c r="J7" s="11" t="n">
        <x:f>CHOOSE('假设'!$B$3,J8,J9,J10)</x:f>
        <x:v>0.102838</x:v>
      </x:c>
      <x:c r="K7" s="11" t="n">
        <x:f>CHOOSE('假设'!$B$3,K8,K9,K10)</x:f>
        <x:v>1.368324</x:v>
      </x:c>
      <x:c r="L7" s="11" t="n">
        <x:f>CHOOSE('假设'!$B$3,L8,L9,L10)</x:f>
        <x:v>0.36859200000000003</x:v>
      </x:c>
      <x:c r="M7" s="11" t="n">
        <x:f>CHOOSE('假设'!$B$3,M8,M9,M10)</x:f>
        <x:v>0.364962</x:v>
      </x:c>
      <x:c r="N7" s="11" t="n">
        <x:f>CHOOSE('假设'!$B$3,N8,N9,N10)</x:f>
        <x:v>0.1</x:v>
      </x:c>
      <x:c r="O7" s="11" t="n">
        <x:f>CHOOSE('假设'!$B$3,O8,O9,O10)</x:f>
        <x:v>0.2</x:v>
      </x:c>
      <x:c r="P7" s="11" t="n">
        <x:f>CHOOSE('假设'!$B$3,P8,P9,P10)</x:f>
        <x:v>0.02</x:v>
      </x:c>
      <x:c r="Q7" s="11" t="n">
        <x:f>CHOOSE('假设'!$B$3,Q8,Q9,Q10)</x:f>
        <x:v>0.1</x:v>
      </x:c>
    </x:row>
    <x:row r="8" ht="23" customHeight="1">
      <x:c r="A8" s="11" t="str">
        <x:v>03759.HK</x:v>
      </x:c>
      <x:c r="B8" s="11" t="str">
        <x:v>悲观</x:v>
      </x:c>
      <x:c r="C8" s="16" t="n">
        <x:v>2.7038960000000003</x:v>
      </x:c>
      <x:c r="D8" s="16" t="n">
        <x:v>6.474413</x:v>
      </x:c>
      <x:c r="E8" s="16" t="n">
        <x:v>2.1994012091898427</x:v>
      </x:c>
      <x:c r="F8" s="16" t="n">
        <x:v>2.18</x:v>
      </x:c>
      <x:c r="G8" s="16" t="n">
        <x:v>0.070478579</x:v>
      </x:c>
      <x:c r="H8" s="16" t="n">
        <x:v>0</x:v>
      </x:c>
      <x:c r="I8" s="16" t="n">
        <x:v>1.084645</x:v>
      </x:c>
      <x:c r="J8" s="16" t="n">
        <x:v>0.102838</x:v>
      </x:c>
      <x:c r="K8" s="16" t="n">
        <x:v>1.368324</x:v>
      </x:c>
      <x:c r="L8" s="16" t="n">
        <x:v>0.36859200000000003</x:v>
      </x:c>
      <x:c r="M8" s="16" t="n">
        <x:v>0.364962</x:v>
      </x:c>
      <x:c r="N8" s="16" t="n">
        <x:v>0.1</x:v>
      </x:c>
      <x:c r="O8" s="16" t="n">
        <x:v>0.2</x:v>
      </x:c>
      <x:c r="P8" s="16" t="n">
        <x:v>0.02</x:v>
      </x:c>
      <x:c r="Q8" s="16" t="n">
        <x:v>0.1</x:v>
      </x:c>
    </x:row>
    <x:row r="9" ht="23" customHeight="1">
      <x:c r="A9" s="11" t="str">
        <x:v>03759.HK</x:v>
      </x:c>
      <x:c r="B9" s="11" t="str">
        <x:v>基准</x:v>
      </x:c>
      <x:c r="C9" s="16" t="n">
        <x:v>2.7038960000000003</x:v>
      </x:c>
      <x:c r="D9" s="16" t="n">
        <x:v>6.474413</x:v>
      </x:c>
      <x:c r="E9" s="16" t="n">
        <x:v>2.1994012091898427</x:v>
      </x:c>
      <x:c r="F9" s="16" t="n">
        <x:v>2.18</x:v>
      </x:c>
      <x:c r="G9" s="16" t="n">
        <x:v>0.070478579</x:v>
      </x:c>
      <x:c r="H9" s="16" t="n">
        <x:v>0</x:v>
      </x:c>
      <x:c r="I9" s="16" t="n">
        <x:v>1.084645</x:v>
      </x:c>
      <x:c r="J9" s="16" t="n">
        <x:v>0.102838</x:v>
      </x:c>
      <x:c r="K9" s="16" t="n">
        <x:v>1.368324</x:v>
      </x:c>
      <x:c r="L9" s="16" t="n">
        <x:v>0.36859200000000003</x:v>
      </x:c>
      <x:c r="M9" s="16" t="n">
        <x:v>0.364962</x:v>
      </x:c>
      <x:c r="N9" s="16" t="n">
        <x:v>0.1</x:v>
      </x:c>
      <x:c r="O9" s="16" t="n">
        <x:v>0.2</x:v>
      </x:c>
      <x:c r="P9" s="16" t="n">
        <x:v>0.02</x:v>
      </x:c>
      <x:c r="Q9" s="16" t="n">
        <x:v>0.1</x:v>
      </x:c>
    </x:row>
    <x:row r="10" ht="23" customHeight="1">
      <x:c r="A10" s="11" t="str">
        <x:v>03759.HK</x:v>
      </x:c>
      <x:c r="B10" s="11" t="str">
        <x:v>乐观</x:v>
      </x:c>
      <x:c r="C10" s="16" t="n">
        <x:v>2.7038960000000003</x:v>
      </x:c>
      <x:c r="D10" s="16" t="n">
        <x:v>6.474413</x:v>
      </x:c>
      <x:c r="E10" s="16" t="n">
        <x:v>2.1994012091898427</x:v>
      </x:c>
      <x:c r="F10" s="16" t="n">
        <x:v>2.18</x:v>
      </x:c>
      <x:c r="G10" s="16" t="n">
        <x:v>0.070478579</x:v>
      </x:c>
      <x:c r="H10" s="16" t="n">
        <x:v>1</x:v>
      </x:c>
      <x:c r="I10" s="16" t="n">
        <x:v>1.084645</x:v>
      </x:c>
      <x:c r="J10" s="16" t="n">
        <x:v>0.102838</x:v>
      </x:c>
      <x:c r="K10" s="16" t="n">
        <x:v>1.368324</x:v>
      </x:c>
      <x:c r="L10" s="16" t="n">
        <x:v>0.36859200000000003</x:v>
      </x:c>
      <x:c r="M10" s="16" t="n">
        <x:v>0.364962</x:v>
      </x:c>
      <x:c r="N10" s="16" t="n">
        <x:v>0.1</x:v>
      </x:c>
      <x:c r="O10" s="16" t="n">
        <x:v>0.2</x:v>
      </x:c>
      <x:c r="P10" s="16" t="n">
        <x:v>0.02</x:v>
      </x:c>
      <x:c r="Q10" s="16" t="n">
        <x:v>0.1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>
      <x:c r="A1" s="2"/>
      <x:c r="B1" s="2"/>
      <x:c r="C1" s="2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</x:row>
    <x:row r="2">
      <x:c r="A2" s="29" t="str">
        <x:v>分部经营与年度资金假设 CNY十亿 比率小数 股数十亿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</x:row>
    <x:row r="6" ht="52" customHeight="1">
      <x:c r="A6" s="12" t="str">
        <x:v>代码</x:v>
      </x:c>
      <x:c r="B6" s="12" t="str">
        <x:v>年度</x:v>
      </x:c>
      <x:c r="C6" s="12" t="str">
        <x:v>输入层</x:v>
      </x:c>
      <x:c r="D6" s="12" t="str">
        <x:v>实验室收入</x:v>
      </x:c>
      <x:c r="E6" s="12" t="str">
        <x:v>CDMO收入</x:v>
      </x:c>
      <x:c r="F6" s="12" t="str">
        <x:v>临床收入</x:v>
      </x:c>
      <x:c r="G6" s="12" t="str">
        <x:v>实验室毛利率</x:v>
      </x:c>
      <x:c r="H6" s="12" t="str">
        <x:v>CDMO毛利率</x:v>
      </x:c>
      <x:c r="I6" s="12" t="str">
        <x:v>临床毛利率</x:v>
      </x:c>
      <x:c r="J6" s="12" t="str">
        <x:v>销售费用</x:v>
      </x:c>
      <x:c r="K6" s="12" t="str">
        <x:v>行政费用</x:v>
      </x:c>
      <x:c r="L6" s="12" t="str">
        <x:v>研发费用</x:v>
      </x:c>
      <x:c r="M6" s="12" t="str">
        <x:v>减值</x:v>
      </x:c>
      <x:c r="N6" s="12" t="str">
        <x:v>正常汇兑损失</x:v>
      </x:c>
      <x:c r="O6" s="12" t="str">
        <x:v>银行利息</x:v>
      </x:c>
      <x:c r="P6" s="12" t="str">
        <x:v>税率</x:v>
      </x:c>
      <x:c r="Q6" s="12" t="str">
        <x:v>少数亏损归属加回</x:v>
      </x:c>
      <x:c r="R6" s="12" t="str">
        <x:v>正常摊薄股数</x:v>
      </x:c>
      <x:c r="S6" s="12" t="str">
        <x:v>折旧摊销</x:v>
      </x:c>
      <x:c r="T6" s="12" t="str">
        <x:v>年度资本开支</x:v>
      </x:c>
      <x:c r="U6" s="12" t="str">
        <x:v>营运资金占用</x:v>
      </x:c>
      <x:c r="V6" s="12" t="str">
        <x:v>年度股权投资</x:v>
      </x:c>
      <x:c r="W6" s="12" t="str">
        <x:v>股酬现金流调节</x:v>
      </x:c>
      <x:c r="X6" s="12" t="str">
        <x:v>年度每股分红CNY</x:v>
      </x:c>
      <x:c r="Y6" s="12" t="str">
        <x:v>银行净融资</x:v>
      </x:c>
    </x:row>
    <x:row r="7" ht="23" customHeight="1">
      <x:c r="A7" s="11" t="str">
        <x:v>03759.HK</x:v>
      </x:c>
      <x:c r="B7" s="11" t="n">
        <x:v>2026</x:v>
      </x:c>
      <x:c r="C7" s="11" t="str">
        <x:v>活动输入</x:v>
      </x:c>
      <x:c r="D7" s="11" t="n">
        <x:f>CHOOSE('假设'!$B$3,D8,D9,D10)</x:f>
        <x:v>10</x:v>
      </x:c>
      <x:c r="E7" s="11" t="n">
        <x:f>CHOOSE('假设'!$B$3,E8,E9,E10)</x:f>
        <x:v>4.3</x:v>
      </x:c>
      <x:c r="F7" s="11" t="n">
        <x:f>CHOOSE('假设'!$B$3,F8,F9,F10)</x:f>
        <x:v>2.38</x:v>
      </x:c>
      <x:c r="G7" s="11" t="n">
        <x:f>CHOOSE('假设'!$B$3,G8,G9,G10)</x:f>
        <x:v>0.418</x:v>
      </x:c>
      <x:c r="H7" s="11" t="n">
        <x:f>CHOOSE('假设'!$B$3,H8,H9,H10)</x:f>
        <x:v>0.288</x:v>
      </x:c>
      <x:c r="I7" s="11" t="n">
        <x:f>CHOOSE('假设'!$B$3,I8,I9,I10)</x:f>
        <x:v>0.108</x:v>
      </x:c>
      <x:c r="J7" s="11" t="n">
        <x:f>CHOOSE('假设'!$B$3,J8,J9,J10)</x:f>
        <x:v>0.375</x:v>
      </x:c>
      <x:c r="K7" s="11" t="n">
        <x:f>CHOOSE('假设'!$B$3,K8,K9,K10)</x:f>
        <x:v>2.1</x:v>
      </x:c>
      <x:c r="L7" s="11" t="n">
        <x:f>CHOOSE('假设'!$B$3,L8,L9,L10)</x:f>
        <x:v>0.645</x:v>
      </x:c>
      <x:c r="M7" s="11" t="n">
        <x:f>CHOOSE('假设'!$B$3,M8,M9,M10)</x:f>
        <x:v>0.05</x:v>
      </x:c>
      <x:c r="N7" s="11" t="n">
        <x:f>CHOOSE('假设'!$B$3,N8,N9,N10)</x:f>
        <x:v>0.07</x:v>
      </x:c>
      <x:c r="O7" s="11" t="n">
        <x:f>CHOOSE('假设'!$B$3,O8,O9,O10)</x:f>
        <x:v>0.23</x:v>
      </x:c>
      <x:c r="P7" s="11" t="n">
        <x:f>CHOOSE('假设'!$B$3,P8,P9,P10)</x:f>
        <x:v>0.22</x:v>
      </x:c>
      <x:c r="Q7" s="11" t="n">
        <x:f>CHOOSE('假设'!$B$3,Q8,Q9,Q10)</x:f>
        <x:v>0.05</x:v>
      </x:c>
      <x:c r="R7" s="11" t="n">
        <x:f>CHOOSE('假设'!$B$3,R8,R9,R10)</x:f>
        <x:v>1.845</x:v>
      </x:c>
      <x:c r="S7" s="11" t="n">
        <x:f>CHOOSE('假设'!$B$3,S8,S9,S10)</x:f>
        <x:v>1.45</x:v>
      </x:c>
      <x:c r="T7" s="11" t="n">
        <x:f>CHOOSE('假设'!$B$3,T8,T9,T10)</x:f>
        <x:v>3</x:v>
      </x:c>
      <x:c r="U7" s="11" t="n">
        <x:f>CHOOSE('假设'!$B$3,U8,U9,U10)</x:f>
        <x:v>0.9</x:v>
      </x:c>
      <x:c r="V7" s="11" t="n">
        <x:f>CHOOSE('假设'!$B$3,V8,V9,V10)</x:f>
        <x:v>0.5</x:v>
      </x:c>
      <x:c r="W7" s="11" t="n">
        <x:f>CHOOSE('假设'!$B$3,W8,W9,W10)</x:f>
        <x:v>0.08</x:v>
      </x:c>
      <x:c r="X7" s="11" t="n">
        <x:f>CHOOSE('假设'!$B$3,X8,X9,X10)</x:f>
        <x:v>0.24</x:v>
      </x:c>
      <x:c r="Y7" s="11" t="n">
        <x:f>CHOOSE('假设'!$B$3,Y8,Y9,Y10)</x:f>
        <x:v>0</x:v>
      </x:c>
    </x:row>
    <x:row r="8" ht="23" customHeight="1">
      <x:c r="A8" s="11" t="str">
        <x:v>03759.HK</x:v>
      </x:c>
      <x:c r="B8" s="11" t="n">
        <x:v>2026</x:v>
      </x:c>
      <x:c r="C8" s="11" t="str">
        <x:v>悲观</x:v>
      </x:c>
      <x:c r="D8" s="16" t="n">
        <x:v>9.75</x:v>
      </x:c>
      <x:c r="E8" s="16" t="n">
        <x:v>4</x:v>
      </x:c>
      <x:c r="F8" s="16" t="n">
        <x:v>2.2</x:v>
      </x:c>
      <x:c r="G8" s="16" t="n">
        <x:v>0.402</x:v>
      </x:c>
      <x:c r="H8" s="16" t="n">
        <x:v>0.26</x:v>
      </x:c>
      <x:c r="I8" s="16" t="n">
        <x:v>0.095</x:v>
      </x:c>
      <x:c r="J8" s="16" t="n">
        <x:v>0.37</x:v>
      </x:c>
      <x:c r="K8" s="16" t="n">
        <x:v>2.09</x:v>
      </x:c>
      <x:c r="L8" s="16" t="n">
        <x:v>0.64</x:v>
      </x:c>
      <x:c r="M8" s="16" t="n">
        <x:v>0.07</x:v>
      </x:c>
      <x:c r="N8" s="16" t="n">
        <x:v>0.15</x:v>
      </x:c>
      <x:c r="O8" s="16" t="n">
        <x:v>0.25</x:v>
      </x:c>
      <x:c r="P8" s="16" t="n">
        <x:v>0.25</x:v>
      </x:c>
      <x:c r="Q8" s="16" t="n">
        <x:v>0.055</x:v>
      </x:c>
      <x:c r="R8" s="16" t="n">
        <x:v>1.845</x:v>
      </x:c>
      <x:c r="S8" s="16" t="n">
        <x:v>1.45</x:v>
      </x:c>
      <x:c r="T8" s="16" t="n">
        <x:v>3.1</x:v>
      </x:c>
      <x:c r="U8" s="16" t="n">
        <x:v>0.9</x:v>
      </x:c>
      <x:c r="V8" s="16" t="n">
        <x:v>0.5</x:v>
      </x:c>
      <x:c r="W8" s="16" t="n">
        <x:v>0.08</x:v>
      </x:c>
      <x:c r="X8" s="16" t="n">
        <x:v>0.12</x:v>
      </x:c>
      <x:c r="Y8" s="16" t="n">
        <x:v>0</x:v>
      </x:c>
    </x:row>
    <x:row r="9" ht="23" customHeight="1">
      <x:c r="A9" s="11" t="str">
        <x:v>03759.HK</x:v>
      </x:c>
      <x:c r="B9" s="11" t="n">
        <x:v>2026</x:v>
      </x:c>
      <x:c r="C9" s="11" t="str">
        <x:v>基准</x:v>
      </x:c>
      <x:c r="D9" s="16" t="n">
        <x:v>10</x:v>
      </x:c>
      <x:c r="E9" s="16" t="n">
        <x:v>4.3</x:v>
      </x:c>
      <x:c r="F9" s="16" t="n">
        <x:v>2.38</x:v>
      </x:c>
      <x:c r="G9" s="16" t="n">
        <x:v>0.418</x:v>
      </x:c>
      <x:c r="H9" s="16" t="n">
        <x:v>0.288</x:v>
      </x:c>
      <x:c r="I9" s="16" t="n">
        <x:v>0.108</x:v>
      </x:c>
      <x:c r="J9" s="16" t="n">
        <x:v>0.375</x:v>
      </x:c>
      <x:c r="K9" s="16" t="n">
        <x:v>2.1</x:v>
      </x:c>
      <x:c r="L9" s="16" t="n">
        <x:v>0.645</x:v>
      </x:c>
      <x:c r="M9" s="16" t="n">
        <x:v>0.05</x:v>
      </x:c>
      <x:c r="N9" s="16" t="n">
        <x:v>0.07</x:v>
      </x:c>
      <x:c r="O9" s="16" t="n">
        <x:v>0.23</x:v>
      </x:c>
      <x:c r="P9" s="16" t="n">
        <x:v>0.22</x:v>
      </x:c>
      <x:c r="Q9" s="16" t="n">
        <x:v>0.05</x:v>
      </x:c>
      <x:c r="R9" s="16" t="n">
        <x:v>1.845</x:v>
      </x:c>
      <x:c r="S9" s="16" t="n">
        <x:v>1.45</x:v>
      </x:c>
      <x:c r="T9" s="16" t="n">
        <x:v>3</x:v>
      </x:c>
      <x:c r="U9" s="16" t="n">
        <x:v>0.9</x:v>
      </x:c>
      <x:c r="V9" s="16" t="n">
        <x:v>0.5</x:v>
      </x:c>
      <x:c r="W9" s="16" t="n">
        <x:v>0.08</x:v>
      </x:c>
      <x:c r="X9" s="16" t="n">
        <x:v>0.24</x:v>
      </x:c>
      <x:c r="Y9" s="16" t="n">
        <x:v>0</x:v>
      </x:c>
    </x:row>
    <x:row r="10" ht="23" customHeight="1">
      <x:c r="A10" s="11" t="str">
        <x:v>03759.HK</x:v>
      </x:c>
      <x:c r="B10" s="11" t="n">
        <x:v>2026</x:v>
      </x:c>
      <x:c r="C10" s="11" t="str">
        <x:v>乐观</x:v>
      </x:c>
      <x:c r="D10" s="16" t="n">
        <x:v>10.3</x:v>
      </x:c>
      <x:c r="E10" s="16" t="n">
        <x:v>4.5</x:v>
      </x:c>
      <x:c r="F10" s="16" t="n">
        <x:v>2.5</x:v>
      </x:c>
      <x:c r="G10" s="16" t="n">
        <x:v>0.435</x:v>
      </x:c>
      <x:c r="H10" s="16" t="n">
        <x:v>0.31</x:v>
      </x:c>
      <x:c r="I10" s="16" t="n">
        <x:v>0.12</x:v>
      </x:c>
      <x:c r="J10" s="16" t="n">
        <x:v>0.385</x:v>
      </x:c>
      <x:c r="K10" s="16" t="n">
        <x:v>2.12</x:v>
      </x:c>
      <x:c r="L10" s="16" t="n">
        <x:v>0.66</x:v>
      </x:c>
      <x:c r="M10" s="16" t="n">
        <x:v>0.04</x:v>
      </x:c>
      <x:c r="N10" s="16" t="n">
        <x:v>0</x:v>
      </x:c>
      <x:c r="O10" s="16" t="n">
        <x:v>0.22</x:v>
      </x:c>
      <x:c r="P10" s="16" t="n">
        <x:v>0.2</x:v>
      </x:c>
      <x:c r="Q10" s="16" t="n">
        <x:v>0.045</x:v>
      </x:c>
      <x:c r="R10" s="16" t="n">
        <x:v>1.845</x:v>
      </x:c>
      <x:c r="S10" s="16" t="n">
        <x:v>1.45</x:v>
      </x:c>
      <x:c r="T10" s="16" t="n">
        <x:v>3.1</x:v>
      </x:c>
      <x:c r="U10" s="16" t="n">
        <x:v>0.9</x:v>
      </x:c>
      <x:c r="V10" s="16" t="n">
        <x:v>0.5</x:v>
      </x:c>
      <x:c r="W10" s="16" t="n">
        <x:v>0.08</x:v>
      </x:c>
      <x:c r="X10" s="16" t="n">
        <x:v>0.28</x:v>
      </x:c>
      <x:c r="Y10" s="16" t="n">
        <x:v>0</x:v>
      </x:c>
    </x:row>
    <x:row r="11" ht="23" customHeight="1">
      <x:c r="A11" s="11" t="str">
        <x:v>03759.HK</x:v>
      </x:c>
      <x:c r="B11" s="11" t="n">
        <x:v>2027</x:v>
      </x:c>
      <x:c r="C11" s="11" t="str">
        <x:v>活动输入</x:v>
      </x:c>
      <x:c r="D11" s="11" t="n">
        <x:f>CHOOSE('假设'!$B$3,D12,D13,D14)</x:f>
        <x:v>11.65</x:v>
      </x:c>
      <x:c r="E11" s="11" t="n">
        <x:f>CHOOSE('假设'!$B$3,E12,E13,E14)</x:f>
        <x:v>5.65</x:v>
      </x:c>
      <x:c r="F11" s="11" t="n">
        <x:f>CHOOSE('假设'!$B$3,F12,F13,F14)</x:f>
        <x:v>2.73</x:v>
      </x:c>
      <x:c r="G11" s="11" t="n">
        <x:f>CHOOSE('假设'!$B$3,G12,G13,G14)</x:f>
        <x:v>0.42</x:v>
      </x:c>
      <x:c r="H11" s="11" t="n">
        <x:f>CHOOSE('假设'!$B$3,H12,H13,H14)</x:f>
        <x:v>0.32</x:v>
      </x:c>
      <x:c r="I11" s="11" t="n">
        <x:f>CHOOSE('假设'!$B$3,I12,I13,I14)</x:f>
        <x:v>0.115</x:v>
      </x:c>
      <x:c r="J11" s="11" t="n">
        <x:f>CHOOSE('假设'!$B$3,J12,J13,J14)</x:f>
        <x:v>0.43</x:v>
      </x:c>
      <x:c r="K11" s="11" t="n">
        <x:f>CHOOSE('假设'!$B$3,K12,K13,K14)</x:f>
        <x:v>2.4</x:v>
      </x:c>
      <x:c r="L11" s="11" t="n">
        <x:f>CHOOSE('假设'!$B$3,L12,L13,L14)</x:f>
        <x:v>0.75</x:v>
      </x:c>
      <x:c r="M11" s="11" t="n">
        <x:f>CHOOSE('假设'!$B$3,M12,M13,M14)</x:f>
        <x:v>0.06</x:v>
      </x:c>
      <x:c r="N11" s="11" t="n">
        <x:f>CHOOSE('假设'!$B$3,N12,N13,N14)</x:f>
        <x:v>0.05</x:v>
      </x:c>
      <x:c r="O11" s="11" t="n">
        <x:f>CHOOSE('假设'!$B$3,O12,O13,O14)</x:f>
        <x:v>0.23</x:v>
      </x:c>
      <x:c r="P11" s="11" t="n">
        <x:f>CHOOSE('假设'!$B$3,P12,P13,P14)</x:f>
        <x:v>0.22</x:v>
      </x:c>
      <x:c r="Q11" s="11" t="n">
        <x:f>CHOOSE('假设'!$B$3,Q12,Q13,Q14)</x:f>
        <x:v>0.04</x:v>
      </x:c>
      <x:c r="R11" s="11" t="n">
        <x:f>CHOOSE('假设'!$B$3,R12,R13,R14)</x:f>
        <x:v>1.85</x:v>
      </x:c>
      <x:c r="S11" s="11" t="n">
        <x:f>CHOOSE('假设'!$B$3,S12,S13,S14)</x:f>
        <x:v>1.62</x:v>
      </x:c>
      <x:c r="T11" s="11" t="n">
        <x:f>CHOOSE('假设'!$B$3,T12,T13,T14)</x:f>
        <x:v>3.2</x:v>
      </x:c>
      <x:c r="U11" s="11" t="n">
        <x:f>CHOOSE('假设'!$B$3,U12,U13,U14)</x:f>
        <x:v>1.08</x:v>
      </x:c>
      <x:c r="V11" s="11" t="n">
        <x:f>CHOOSE('假设'!$B$3,V12,V13,V14)</x:f>
        <x:v>0.3</x:v>
      </x:c>
      <x:c r="W11" s="11" t="n">
        <x:f>CHOOSE('假设'!$B$3,W12,W13,W14)</x:f>
        <x:v>0.1</x:v>
      </x:c>
      <x:c r="X11" s="11" t="n">
        <x:f>CHOOSE('假设'!$B$3,X12,X13,X14)</x:f>
        <x:v>0.32</x:v>
      </x:c>
      <x:c r="Y11" s="11" t="n">
        <x:f>CHOOSE('假设'!$B$3,Y12,Y13,Y14)</x:f>
        <x:v>0</x:v>
      </x:c>
    </x:row>
    <x:row r="12" ht="23" customHeight="1">
      <x:c r="A12" s="11" t="str">
        <x:v>03759.HK</x:v>
      </x:c>
      <x:c r="B12" s="11" t="n">
        <x:v>2027</x:v>
      </x:c>
      <x:c r="C12" s="11" t="str">
        <x:v>悲观</x:v>
      </x:c>
      <x:c r="D12" s="16" t="n">
        <x:v>10.3</x:v>
      </x:c>
      <x:c r="E12" s="16" t="n">
        <x:v>4.4</x:v>
      </x:c>
      <x:c r="F12" s="16" t="n">
        <x:v>2.28</x:v>
      </x:c>
      <x:c r="G12" s="16" t="n">
        <x:v>0.4</x:v>
      </x:c>
      <x:c r="H12" s="16" t="n">
        <x:v>0.25</x:v>
      </x:c>
      <x:c r="I12" s="16" t="n">
        <x:v>0.09</x:v>
      </x:c>
      <x:c r="J12" s="16" t="n">
        <x:v>0.38</x:v>
      </x:c>
      <x:c r="K12" s="16" t="n">
        <x:v>2.25</x:v>
      </x:c>
      <x:c r="L12" s="16" t="n">
        <x:v>0.68</x:v>
      </x:c>
      <x:c r="M12" s="16" t="n">
        <x:v>0.1</x:v>
      </x:c>
      <x:c r="N12" s="16" t="n">
        <x:v>0.17</x:v>
      </x:c>
      <x:c r="O12" s="16" t="n">
        <x:v>0.32</x:v>
      </x:c>
      <x:c r="P12" s="16" t="n">
        <x:v>0.25</x:v>
      </x:c>
      <x:c r="Q12" s="16" t="n">
        <x:v>0.06</x:v>
      </x:c>
      <x:c r="R12" s="16" t="n">
        <x:v>1.86</x:v>
      </x:c>
      <x:c r="S12" s="16" t="n">
        <x:v>1.6</x:v>
      </x:c>
      <x:c r="T12" s="16" t="n">
        <x:v>3</x:v>
      </x:c>
      <x:c r="U12" s="16" t="n">
        <x:v>0.38</x:v>
      </x:c>
      <x:c r="V12" s="16" t="n">
        <x:v>0.25</x:v>
      </x:c>
      <x:c r="W12" s="16" t="n">
        <x:v>0.09</x:v>
      </x:c>
      <x:c r="X12" s="16" t="n">
        <x:v>0.1</x:v>
      </x:c>
      <x:c r="Y12" s="16" t="n">
        <x:v>1.9</x:v>
      </x:c>
    </x:row>
    <x:row r="13" ht="23" customHeight="1">
      <x:c r="A13" s="11" t="str">
        <x:v>03759.HK</x:v>
      </x:c>
      <x:c r="B13" s="11" t="n">
        <x:v>2027</x:v>
      </x:c>
      <x:c r="C13" s="11" t="str">
        <x:v>基准</x:v>
      </x:c>
      <x:c r="D13" s="16" t="n">
        <x:v>11.65</x:v>
      </x:c>
      <x:c r="E13" s="16" t="n">
        <x:v>5.65</x:v>
      </x:c>
      <x:c r="F13" s="16" t="n">
        <x:v>2.73</x:v>
      </x:c>
      <x:c r="G13" s="16" t="n">
        <x:v>0.42</x:v>
      </x:c>
      <x:c r="H13" s="16" t="n">
        <x:v>0.32</x:v>
      </x:c>
      <x:c r="I13" s="16" t="n">
        <x:v>0.115</x:v>
      </x:c>
      <x:c r="J13" s="16" t="n">
        <x:v>0.43</x:v>
      </x:c>
      <x:c r="K13" s="16" t="n">
        <x:v>2.4</x:v>
      </x:c>
      <x:c r="L13" s="16" t="n">
        <x:v>0.75</x:v>
      </x:c>
      <x:c r="M13" s="16" t="n">
        <x:v>0.06</x:v>
      </x:c>
      <x:c r="N13" s="16" t="n">
        <x:v>0.05</x:v>
      </x:c>
      <x:c r="O13" s="16" t="n">
        <x:v>0.23</x:v>
      </x:c>
      <x:c r="P13" s="16" t="n">
        <x:v>0.22</x:v>
      </x:c>
      <x:c r="Q13" s="16" t="n">
        <x:v>0.04</x:v>
      </x:c>
      <x:c r="R13" s="16" t="n">
        <x:v>1.85</x:v>
      </x:c>
      <x:c r="S13" s="16" t="n">
        <x:v>1.62</x:v>
      </x:c>
      <x:c r="T13" s="16" t="n">
        <x:v>3.2</x:v>
      </x:c>
      <x:c r="U13" s="16" t="n">
        <x:v>1.08</x:v>
      </x:c>
      <x:c r="V13" s="16" t="n">
        <x:v>0.3</x:v>
      </x:c>
      <x:c r="W13" s="16" t="n">
        <x:v>0.1</x:v>
      </x:c>
      <x:c r="X13" s="16" t="n">
        <x:v>0.32</x:v>
      </x:c>
      <x:c r="Y13" s="16" t="n">
        <x:v>0</x:v>
      </x:c>
    </x:row>
    <x:row r="14" ht="23" customHeight="1">
      <x:c r="A14" s="11" t="str">
        <x:v>03759.HK</x:v>
      </x:c>
      <x:c r="B14" s="11" t="n">
        <x:v>2027</x:v>
      </x:c>
      <x:c r="C14" s="11" t="str">
        <x:v>乐观</x:v>
      </x:c>
      <x:c r="D14" s="16" t="n">
        <x:v>12.2</x:v>
      </x:c>
      <x:c r="E14" s="16" t="n">
        <x:v>6.3</x:v>
      </x:c>
      <x:c r="F14" s="16" t="n">
        <x:v>3.02</x:v>
      </x:c>
      <x:c r="G14" s="16" t="n">
        <x:v>0.45</x:v>
      </x:c>
      <x:c r="H14" s="16" t="n">
        <x:v>0.35</x:v>
      </x:c>
      <x:c r="I14" s="16" t="n">
        <x:v>0.15</x:v>
      </x:c>
      <x:c r="J14" s="16" t="n">
        <x:v>0.46</x:v>
      </x:c>
      <x:c r="K14" s="16" t="n">
        <x:v>2.43</x:v>
      </x:c>
      <x:c r="L14" s="16" t="n">
        <x:v>0.79</x:v>
      </x:c>
      <x:c r="M14" s="16" t="n">
        <x:v>0.045</x:v>
      </x:c>
      <x:c r="N14" s="16" t="n">
        <x:v>0</x:v>
      </x:c>
      <x:c r="O14" s="16" t="n">
        <x:v>0.2</x:v>
      </x:c>
      <x:c r="P14" s="16" t="n">
        <x:v>0.2</x:v>
      </x:c>
      <x:c r="Q14" s="16" t="n">
        <x:v>0.03</x:v>
      </x:c>
      <x:c r="R14" s="16" t="n">
        <x:v>1.85</x:v>
      </x:c>
      <x:c r="S14" s="16" t="n">
        <x:v>1.7</x:v>
      </x:c>
      <x:c r="T14" s="16" t="n">
        <x:v>3.5</x:v>
      </x:c>
      <x:c r="U14" s="16" t="n">
        <x:v>1.55</x:v>
      </x:c>
      <x:c r="V14" s="16" t="n">
        <x:v>0.35</x:v>
      </x:c>
      <x:c r="W14" s="16" t="n">
        <x:v>0.12</x:v>
      </x:c>
      <x:c r="X14" s="16" t="n">
        <x:v>0.44</x:v>
      </x:c>
      <x:c r="Y14" s="16" t="n">
        <x:v>-0.2</x:v>
      </x:c>
    </x:row>
    <x:row r="15" ht="23" customHeight="1">
      <x:c r="A15" s="11" t="str">
        <x:v>03759.HK</x:v>
      </x:c>
      <x:c r="B15" s="11" t="n">
        <x:v>2028</x:v>
      </x:c>
      <x:c r="C15" s="11" t="str">
        <x:v>活动输入</x:v>
      </x:c>
      <x:c r="D15" s="11" t="n">
        <x:f>CHOOSE('假设'!$B$3,D16,D17,D18)</x:f>
        <x:v>13.2</x:v>
      </x:c>
      <x:c r="E15" s="11" t="n">
        <x:f>CHOOSE('假设'!$B$3,E16,E17,E18)</x:f>
        <x:v>7.15</x:v>
      </x:c>
      <x:c r="F15" s="11" t="n">
        <x:f>CHOOSE('假设'!$B$3,F16,F17,F18)</x:f>
        <x:v>3.1</x:v>
      </x:c>
      <x:c r="G15" s="11" t="n">
        <x:f>CHOOSE('假设'!$B$3,G16,G17,G18)</x:f>
        <x:v>0.423</x:v>
      </x:c>
      <x:c r="H15" s="11" t="n">
        <x:f>CHOOSE('假设'!$B$3,H16,H17,H18)</x:f>
        <x:v>0.33</x:v>
      </x:c>
      <x:c r="I15" s="11" t="n">
        <x:f>CHOOSE('假设'!$B$3,I16,I17,I18)</x:f>
        <x:v>0.13</x:v>
      </x:c>
      <x:c r="J15" s="11" t="n">
        <x:f>CHOOSE('假设'!$B$3,J16,J17,J18)</x:f>
        <x:v>0.49</x:v>
      </x:c>
      <x:c r="K15" s="11" t="n">
        <x:f>CHOOSE('假设'!$B$3,K16,K17,K18)</x:f>
        <x:v>2.7</x:v>
      </x:c>
      <x:c r="L15" s="11" t="n">
        <x:f>CHOOSE('假设'!$B$3,L16,L17,L18)</x:f>
        <x:v>0.87</x:v>
      </x:c>
      <x:c r="M15" s="11" t="n">
        <x:f>CHOOSE('假设'!$B$3,M16,M17,M18)</x:f>
        <x:v>0.07</x:v>
      </x:c>
      <x:c r="N15" s="11" t="n">
        <x:f>CHOOSE('假设'!$B$3,N16,N17,N18)</x:f>
        <x:v>0.05</x:v>
      </x:c>
      <x:c r="O15" s="11" t="n">
        <x:f>CHOOSE('假设'!$B$3,O16,O17,O18)</x:f>
        <x:v>0.23</x:v>
      </x:c>
      <x:c r="P15" s="11" t="n">
        <x:f>CHOOSE('假设'!$B$3,P16,P17,P18)</x:f>
        <x:v>0.22</x:v>
      </x:c>
      <x:c r="Q15" s="11" t="n">
        <x:f>CHOOSE('假设'!$B$3,Q16,Q17,Q18)</x:f>
        <x:v>0.03</x:v>
      </x:c>
      <x:c r="R15" s="11" t="n">
        <x:f>CHOOSE('假设'!$B$3,R16,R17,R18)</x:f>
        <x:v>1.865</x:v>
      </x:c>
      <x:c r="S15" s="11" t="n">
        <x:f>CHOOSE('假设'!$B$3,S16,S17,S18)</x:f>
        <x:v>1.79</x:v>
      </x:c>
      <x:c r="T15" s="11" t="n">
        <x:f>CHOOSE('假设'!$B$3,T16,T17,T18)</x:f>
        <x:v>3.2</x:v>
      </x:c>
      <x:c r="U15" s="11" t="n">
        <x:f>CHOOSE('假设'!$B$3,U16,U17,U18)</x:f>
        <x:v>1.25</x:v>
      </x:c>
      <x:c r="V15" s="11" t="n">
        <x:f>CHOOSE('假设'!$B$3,V16,V17,V18)</x:f>
        <x:v>0.25</x:v>
      </x:c>
      <x:c r="W15" s="11" t="n">
        <x:f>CHOOSE('假设'!$B$3,W16,W17,W18)</x:f>
        <x:v>0.12</x:v>
      </x:c>
      <x:c r="X15" s="11" t="n">
        <x:f>CHOOSE('假设'!$B$3,X16,X17,X18)</x:f>
        <x:v>0.42</x:v>
      </x:c>
      <x:c r="Y15" s="11" t="n">
        <x:f>CHOOSE('假设'!$B$3,Y16,Y17,Y18)</x:f>
        <x:v>-0.3</x:v>
      </x:c>
    </x:row>
    <x:row r="16" ht="23" customHeight="1">
      <x:c r="A16" s="11" t="str">
        <x:v>03759.HK</x:v>
      </x:c>
      <x:c r="B16" s="11" t="n">
        <x:v>2028</x:v>
      </x:c>
      <x:c r="C16" s="11" t="str">
        <x:v>悲观</x:v>
      </x:c>
      <x:c r="D16" s="16" t="n">
        <x:v>10.8</x:v>
      </x:c>
      <x:c r="E16" s="16" t="n">
        <x:v>4.9</x:v>
      </x:c>
      <x:c r="F16" s="16" t="n">
        <x:v>2.36</x:v>
      </x:c>
      <x:c r="G16" s="16" t="n">
        <x:v>0.398</x:v>
      </x:c>
      <x:c r="H16" s="16" t="n">
        <x:v>0.26</x:v>
      </x:c>
      <x:c r="I16" s="16" t="n">
        <x:v>0.09</x:v>
      </x:c>
      <x:c r="J16" s="16" t="n">
        <x:v>0.39</x:v>
      </x:c>
      <x:c r="K16" s="16" t="n">
        <x:v>2.37</x:v>
      </x:c>
      <x:c r="L16" s="16" t="n">
        <x:v>0.72</x:v>
      </x:c>
      <x:c r="M16" s="16" t="n">
        <x:v>0.11</x:v>
      </x:c>
      <x:c r="N16" s="16" t="n">
        <x:v>0.15</x:v>
      </x:c>
      <x:c r="O16" s="16" t="n">
        <x:v>0.36</x:v>
      </x:c>
      <x:c r="P16" s="16" t="n">
        <x:v>0.25</x:v>
      </x:c>
      <x:c r="Q16" s="16" t="n">
        <x:v>0.06</x:v>
      </x:c>
      <x:c r="R16" s="16" t="n">
        <x:v>1.9</x:v>
      </x:c>
      <x:c r="S16" s="16" t="n">
        <x:v>1.75</x:v>
      </x:c>
      <x:c r="T16" s="16" t="n">
        <x:v>2.7</x:v>
      </x:c>
      <x:c r="U16" s="16" t="n">
        <x:v>0.42</x:v>
      </x:c>
      <x:c r="V16" s="16" t="n">
        <x:v>0.2</x:v>
      </x:c>
      <x:c r="W16" s="16" t="n">
        <x:v>0.1</x:v>
      </x:c>
      <x:c r="X16" s="16" t="n">
        <x:v>0.1</x:v>
      </x:c>
      <x:c r="Y16" s="16" t="n">
        <x:v>1.3</x:v>
      </x:c>
    </x:row>
    <x:row r="17" ht="23" customHeight="1">
      <x:c r="A17" s="11" t="str">
        <x:v>03759.HK</x:v>
      </x:c>
      <x:c r="B17" s="11" t="n">
        <x:v>2028</x:v>
      </x:c>
      <x:c r="C17" s="11" t="str">
        <x:v>基准</x:v>
      </x:c>
      <x:c r="D17" s="16" t="n">
        <x:v>13.2</x:v>
      </x:c>
      <x:c r="E17" s="16" t="n">
        <x:v>7.15</x:v>
      </x:c>
      <x:c r="F17" s="16" t="n">
        <x:v>3.1</x:v>
      </x:c>
      <x:c r="G17" s="16" t="n">
        <x:v>0.423</x:v>
      </x:c>
      <x:c r="H17" s="16" t="n">
        <x:v>0.33</x:v>
      </x:c>
      <x:c r="I17" s="16" t="n">
        <x:v>0.13</x:v>
      </x:c>
      <x:c r="J17" s="16" t="n">
        <x:v>0.49</x:v>
      </x:c>
      <x:c r="K17" s="16" t="n">
        <x:v>2.7</x:v>
      </x:c>
      <x:c r="L17" s="16" t="n">
        <x:v>0.87</x:v>
      </x:c>
      <x:c r="M17" s="16" t="n">
        <x:v>0.07</x:v>
      </x:c>
      <x:c r="N17" s="16" t="n">
        <x:v>0.05</x:v>
      </x:c>
      <x:c r="O17" s="16" t="n">
        <x:v>0.23</x:v>
      </x:c>
      <x:c r="P17" s="16" t="n">
        <x:v>0.22</x:v>
      </x:c>
      <x:c r="Q17" s="16" t="n">
        <x:v>0.03</x:v>
      </x:c>
      <x:c r="R17" s="16" t="n">
        <x:v>1.865</x:v>
      </x:c>
      <x:c r="S17" s="16" t="n">
        <x:v>1.79</x:v>
      </x:c>
      <x:c r="T17" s="16" t="n">
        <x:v>3.2</x:v>
      </x:c>
      <x:c r="U17" s="16" t="n">
        <x:v>1.25</x:v>
      </x:c>
      <x:c r="V17" s="16" t="n">
        <x:v>0.25</x:v>
      </x:c>
      <x:c r="W17" s="16" t="n">
        <x:v>0.12</x:v>
      </x:c>
      <x:c r="X17" s="16" t="n">
        <x:v>0.42</x:v>
      </x:c>
      <x:c r="Y17" s="16" t="n">
        <x:v>-0.3</x:v>
      </x:c>
    </x:row>
    <x:row r="18" ht="23" customHeight="1">
      <x:c r="A18" s="11" t="str">
        <x:v>03759.HK</x:v>
      </x:c>
      <x:c r="B18" s="11" t="n">
        <x:v>2028</x:v>
      </x:c>
      <x:c r="C18" s="11" t="str">
        <x:v>乐观</x:v>
      </x:c>
      <x:c r="D18" s="16" t="n">
        <x:v>14.5</x:v>
      </x:c>
      <x:c r="E18" s="16" t="n">
        <x:v>8.8</x:v>
      </x:c>
      <x:c r="F18" s="16" t="n">
        <x:v>3.62</x:v>
      </x:c>
      <x:c r="G18" s="16" t="n">
        <x:v>0.458</x:v>
      </x:c>
      <x:c r="H18" s="16" t="n">
        <x:v>0.38</x:v>
      </x:c>
      <x:c r="I18" s="16" t="n">
        <x:v>0.18</x:v>
      </x:c>
      <x:c r="J18" s="16" t="n">
        <x:v>0.56</x:v>
      </x:c>
      <x:c r="K18" s="16" t="n">
        <x:v>2.84</x:v>
      </x:c>
      <x:c r="L18" s="16" t="n">
        <x:v>0.96</x:v>
      </x:c>
      <x:c r="M18" s="16" t="n">
        <x:v>0.05</x:v>
      </x:c>
      <x:c r="N18" s="16" t="n">
        <x:v>0</x:v>
      </x:c>
      <x:c r="O18" s="16" t="n">
        <x:v>0.18</x:v>
      </x:c>
      <x:c r="P18" s="16" t="n">
        <x:v>0.2</x:v>
      </x:c>
      <x:c r="Q18" s="16" t="n">
        <x:v>0.02</x:v>
      </x:c>
      <x:c r="R18" s="16" t="n">
        <x:v>1.865</x:v>
      </x:c>
      <x:c r="S18" s="16" t="n">
        <x:v>1.95</x:v>
      </x:c>
      <x:c r="T18" s="16" t="n">
        <x:v>3.8</x:v>
      </x:c>
      <x:c r="U18" s="16" t="n">
        <x:v>2.1</x:v>
      </x:c>
      <x:c r="V18" s="16" t="n">
        <x:v>0.4</x:v>
      </x:c>
      <x:c r="W18" s="16" t="n">
        <x:v>0.16</x:v>
      </x:c>
      <x:c r="X18" s="16" t="n">
        <x:v>0.64</x:v>
      </x:c>
      <x:c r="Y18" s="16" t="n">
        <x:v>-0.5</x:v>
      </x:c>
    </x:row>
    <x:row r="19" ht="23" customHeight="1">
      <x:c r="A19" s="11" t="str">
        <x:v>03759.HK</x:v>
      </x:c>
      <x:c r="B19" s="11" t="n">
        <x:v>2029</x:v>
      </x:c>
      <x:c r="C19" s="11" t="str">
        <x:v>活动输入</x:v>
      </x:c>
      <x:c r="D19" s="11" t="n">
        <x:f>CHOOSE('假设'!$B$3,D20,D21,D22)</x:f>
        <x:v>14.85</x:v>
      </x:c>
      <x:c r="E19" s="11" t="n">
        <x:f>CHOOSE('假设'!$B$3,E20,E21,E22)</x:f>
        <x:v>8.8</x:v>
      </x:c>
      <x:c r="F19" s="11" t="n">
        <x:f>CHOOSE('假设'!$B$3,F20,F21,F22)</x:f>
        <x:v>3.49</x:v>
      </x:c>
      <x:c r="G19" s="11" t="n">
        <x:f>CHOOSE('假设'!$B$3,G20,G21,G22)</x:f>
        <x:v>0.425</x:v>
      </x:c>
      <x:c r="H19" s="11" t="n">
        <x:f>CHOOSE('假设'!$B$3,H20,H21,H22)</x:f>
        <x:v>0.342</x:v>
      </x:c>
      <x:c r="I19" s="11" t="n">
        <x:f>CHOOSE('假设'!$B$3,I20,I21,I22)</x:f>
        <x:v>0.145</x:v>
      </x:c>
      <x:c r="J19" s="11" t="n">
        <x:f>CHOOSE('假设'!$B$3,J20,J21,J22)</x:f>
        <x:v>0.55</x:v>
      </x:c>
      <x:c r="K19" s="11" t="n">
        <x:f>CHOOSE('假设'!$B$3,K20,K21,K22)</x:f>
        <x:v>3</x:v>
      </x:c>
      <x:c r="L19" s="11" t="n">
        <x:f>CHOOSE('假设'!$B$3,L20,L21,L22)</x:f>
        <x:v>1</x:v>
      </x:c>
      <x:c r="M19" s="11" t="n">
        <x:f>CHOOSE('假设'!$B$3,M20,M21,M22)</x:f>
        <x:v>0.08</x:v>
      </x:c>
      <x:c r="N19" s="11" t="n">
        <x:f>CHOOSE('假设'!$B$3,N20,N21,N22)</x:f>
        <x:v>0.05</x:v>
      </x:c>
      <x:c r="O19" s="11" t="n">
        <x:f>CHOOSE('假设'!$B$3,O20,O21,O22)</x:f>
        <x:v>0.23</x:v>
      </x:c>
      <x:c r="P19" s="11" t="n">
        <x:f>CHOOSE('假设'!$B$3,P20,P21,P22)</x:f>
        <x:v>0.22</x:v>
      </x:c>
      <x:c r="Q19" s="11" t="n">
        <x:f>CHOOSE('假设'!$B$3,Q20,Q21,Q22)</x:f>
        <x:v>0.02</x:v>
      </x:c>
      <x:c r="R19" s="11" t="n">
        <x:f>CHOOSE('假设'!$B$3,R20,R21,R22)</x:f>
        <x:v>1.88</x:v>
      </x:c>
      <x:c r="S19" s="11" t="n">
        <x:f>CHOOSE('假设'!$B$3,S20,S21,S22)</x:f>
        <x:v>1.96</x:v>
      </x:c>
      <x:c r="T19" s="11" t="n">
        <x:f>CHOOSE('假设'!$B$3,T20,T21,T22)</x:f>
        <x:v>3</x:v>
      </x:c>
      <x:c r="U19" s="11" t="n">
        <x:f>CHOOSE('假设'!$B$3,U20,U21,U22)</x:f>
        <x:v>1.38</x:v>
      </x:c>
      <x:c r="V19" s="11" t="n">
        <x:f>CHOOSE('假设'!$B$3,V20,V21,V22)</x:f>
        <x:v>0.2</x:v>
      </x:c>
      <x:c r="W19" s="11" t="n">
        <x:f>CHOOSE('假设'!$B$3,W20,W21,W22)</x:f>
        <x:v>0.14</x:v>
      </x:c>
      <x:c r="X19" s="11" t="n">
        <x:f>CHOOSE('假设'!$B$3,X20,X21,X22)</x:f>
        <x:v>0.52</x:v>
      </x:c>
      <x:c r="Y19" s="11" t="n">
        <x:f>CHOOSE('假设'!$B$3,Y20,Y21,Y22)</x:f>
        <x:v>-0.5</x:v>
      </x:c>
    </x:row>
    <x:row r="20" ht="23" customHeight="1">
      <x:c r="A20" s="11" t="str">
        <x:v>03759.HK</x:v>
      </x:c>
      <x:c r="B20" s="11" t="n">
        <x:v>2029</x:v>
      </x:c>
      <x:c r="C20" s="11" t="str">
        <x:v>悲观</x:v>
      </x:c>
      <x:c r="D20" s="16" t="n">
        <x:v>11.4</x:v>
      </x:c>
      <x:c r="E20" s="16" t="n">
        <x:v>5.5</x:v>
      </x:c>
      <x:c r="F20" s="16" t="n">
        <x:v>2.44</x:v>
      </x:c>
      <x:c r="G20" s="16" t="n">
        <x:v>0.397</x:v>
      </x:c>
      <x:c r="H20" s="16" t="n">
        <x:v>0.27</x:v>
      </x:c>
      <x:c r="I20" s="16" t="n">
        <x:v>0.09</x:v>
      </x:c>
      <x:c r="J20" s="16" t="n">
        <x:v>0.4</x:v>
      </x:c>
      <x:c r="K20" s="16" t="n">
        <x:v>2.5</x:v>
      </x:c>
      <x:c r="L20" s="16" t="n">
        <x:v>0.77</x:v>
      </x:c>
      <x:c r="M20" s="16" t="n">
        <x:v>0.12</x:v>
      </x:c>
      <x:c r="N20" s="16" t="n">
        <x:v>0.13</x:v>
      </x:c>
      <x:c r="O20" s="16" t="n">
        <x:v>0.38</x:v>
      </x:c>
      <x:c r="P20" s="16" t="n">
        <x:v>0.25</x:v>
      </x:c>
      <x:c r="Q20" s="16" t="n">
        <x:v>0.06</x:v>
      </x:c>
      <x:c r="R20" s="16" t="n">
        <x:v>1.95</x:v>
      </x:c>
      <x:c r="S20" s="16" t="n">
        <x:v>1.86</x:v>
      </x:c>
      <x:c r="T20" s="16" t="n">
        <x:v>2.5</x:v>
      </x:c>
      <x:c r="U20" s="16" t="n">
        <x:v>0.44</x:v>
      </x:c>
      <x:c r="V20" s="16" t="n">
        <x:v>0.18</x:v>
      </x:c>
      <x:c r="W20" s="16" t="n">
        <x:v>0.11</x:v>
      </x:c>
      <x:c r="X20" s="16" t="n">
        <x:v>0.12</x:v>
      </x:c>
      <x:c r="Y20" s="16" t="n">
        <x:v>1</x:v>
      </x:c>
    </x:row>
    <x:row r="21" ht="23" customHeight="1">
      <x:c r="A21" s="11" t="str">
        <x:v>03759.HK</x:v>
      </x:c>
      <x:c r="B21" s="11" t="n">
        <x:v>2029</x:v>
      </x:c>
      <x:c r="C21" s="11" t="str">
        <x:v>基准</x:v>
      </x:c>
      <x:c r="D21" s="16" t="n">
        <x:v>14.85</x:v>
      </x:c>
      <x:c r="E21" s="16" t="n">
        <x:v>8.8</x:v>
      </x:c>
      <x:c r="F21" s="16" t="n">
        <x:v>3.49</x:v>
      </x:c>
      <x:c r="G21" s="16" t="n">
        <x:v>0.425</x:v>
      </x:c>
      <x:c r="H21" s="16" t="n">
        <x:v>0.342</x:v>
      </x:c>
      <x:c r="I21" s="16" t="n">
        <x:v>0.145</x:v>
      </x:c>
      <x:c r="J21" s="16" t="n">
        <x:v>0.55</x:v>
      </x:c>
      <x:c r="K21" s="16" t="n">
        <x:v>3</x:v>
      </x:c>
      <x:c r="L21" s="16" t="n">
        <x:v>1</x:v>
      </x:c>
      <x:c r="M21" s="16" t="n">
        <x:v>0.08</x:v>
      </x:c>
      <x:c r="N21" s="16" t="n">
        <x:v>0.05</x:v>
      </x:c>
      <x:c r="O21" s="16" t="n">
        <x:v>0.23</x:v>
      </x:c>
      <x:c r="P21" s="16" t="n">
        <x:v>0.22</x:v>
      </x:c>
      <x:c r="Q21" s="16" t="n">
        <x:v>0.02</x:v>
      </x:c>
      <x:c r="R21" s="16" t="n">
        <x:v>1.88</x:v>
      </x:c>
      <x:c r="S21" s="16" t="n">
        <x:v>1.96</x:v>
      </x:c>
      <x:c r="T21" s="16" t="n">
        <x:v>3</x:v>
      </x:c>
      <x:c r="U21" s="16" t="n">
        <x:v>1.38</x:v>
      </x:c>
      <x:c r="V21" s="16" t="n">
        <x:v>0.2</x:v>
      </x:c>
      <x:c r="W21" s="16" t="n">
        <x:v>0.14</x:v>
      </x:c>
      <x:c r="X21" s="16" t="n">
        <x:v>0.52</x:v>
      </x:c>
      <x:c r="Y21" s="16" t="n">
        <x:v>-0.5</x:v>
      </x:c>
    </x:row>
    <x:row r="22" ht="23" customHeight="1">
      <x:c r="A22" s="11" t="str">
        <x:v>03759.HK</x:v>
      </x:c>
      <x:c r="B22" s="11" t="n">
        <x:v>2029</x:v>
      </x:c>
      <x:c r="C22" s="11" t="str">
        <x:v>乐观</x:v>
      </x:c>
      <x:c r="D22" s="16" t="n">
        <x:v>17</x:v>
      </x:c>
      <x:c r="E22" s="16" t="n">
        <x:v>11.8</x:v>
      </x:c>
      <x:c r="F22" s="16" t="n">
        <x:v>4.3</x:v>
      </x:c>
      <x:c r="G22" s="16" t="n">
        <x:v>0.46</x:v>
      </x:c>
      <x:c r="H22" s="16" t="n">
        <x:v>0.4</x:v>
      </x:c>
      <x:c r="I22" s="16" t="n">
        <x:v>0.2</x:v>
      </x:c>
      <x:c r="J22" s="16" t="n">
        <x:v>0.67</x:v>
      </x:c>
      <x:c r="K22" s="16" t="n">
        <x:v>3.3</x:v>
      </x:c>
      <x:c r="L22" s="16" t="n">
        <x:v>1.17</x:v>
      </x:c>
      <x:c r="M22" s="16" t="n">
        <x:v>0.055</x:v>
      </x:c>
      <x:c r="N22" s="16" t="n">
        <x:v>0</x:v>
      </x:c>
      <x:c r="O22" s="16" t="n">
        <x:v>0.15</x:v>
      </x:c>
      <x:c r="P22" s="16" t="n">
        <x:v>0.2</x:v>
      </x:c>
      <x:c r="Q22" s="16" t="n">
        <x:v>0</x:v>
      </x:c>
      <x:c r="R22" s="16" t="n">
        <x:v>1.88</x:v>
      </x:c>
      <x:c r="S22" s="16" t="n">
        <x:v>2.2</x:v>
      </x:c>
      <x:c r="T22" s="16" t="n">
        <x:v>4</x:v>
      </x:c>
      <x:c r="U22" s="16" t="n">
        <x:v>2.6</x:v>
      </x:c>
      <x:c r="V22" s="16" t="n">
        <x:v>0.45</x:v>
      </x:c>
      <x:c r="W22" s="16" t="n">
        <x:v>0.2</x:v>
      </x:c>
      <x:c r="X22" s="16" t="n">
        <x:v>0.88</x:v>
      </x:c>
      <x:c r="Y22" s="16" t="n">
        <x:v>-0.7</x:v>
      </x:c>
    </x:row>
    <x:row r="23" ht="23" customHeight="1">
      <x:c r="A23" s="11" t="str">
        <x:v>03759.HK</x:v>
      </x:c>
      <x:c r="B23" s="11" t="n">
        <x:v>2030</x:v>
      </x:c>
      <x:c r="C23" s="11" t="str">
        <x:v>活动输入</x:v>
      </x:c>
      <x:c r="D23" s="11" t="n">
        <x:f>CHOOSE('假设'!$B$3,D24,D25,D26)</x:f>
        <x:v>16.5</x:v>
      </x:c>
      <x:c r="E23" s="11" t="n">
        <x:f>CHOOSE('假设'!$B$3,E24,E25,E26)</x:f>
        <x:v>10.5</x:v>
      </x:c>
      <x:c r="F23" s="11" t="n">
        <x:f>CHOOSE('假设'!$B$3,F24,F25,F26)</x:f>
        <x:v>3.9</x:v>
      </x:c>
      <x:c r="G23" s="11" t="n">
        <x:f>CHOOSE('假设'!$B$3,G24,G25,G26)</x:f>
        <x:v>0.424</x:v>
      </x:c>
      <x:c r="H23" s="11" t="n">
        <x:f>CHOOSE('假设'!$B$3,H24,H25,H26)</x:f>
        <x:v>0.35</x:v>
      </x:c>
      <x:c r="I23" s="11" t="n">
        <x:f>CHOOSE('假设'!$B$3,I24,I25,I26)</x:f>
        <x:v>0.155</x:v>
      </x:c>
      <x:c r="J23" s="11" t="n">
        <x:f>CHOOSE('假设'!$B$3,J24,J25,J26)</x:f>
        <x:v>0.61</x:v>
      </x:c>
      <x:c r="K23" s="11" t="n">
        <x:f>CHOOSE('假设'!$B$3,K24,K25,K26)</x:f>
        <x:v>3.3</x:v>
      </x:c>
      <x:c r="L23" s="11" t="n">
        <x:f>CHOOSE('假设'!$B$3,L24,L25,L26)</x:f>
        <x:v>1.12</x:v>
      </x:c>
      <x:c r="M23" s="11" t="n">
        <x:f>CHOOSE('假设'!$B$3,M24,M25,M26)</x:f>
        <x:v>0.09</x:v>
      </x:c>
      <x:c r="N23" s="11" t="n">
        <x:f>CHOOSE('假设'!$B$3,N24,N25,N26)</x:f>
        <x:v>0.05</x:v>
      </x:c>
      <x:c r="O23" s="11" t="n">
        <x:f>CHOOSE('假设'!$B$3,O24,O25,O26)</x:f>
        <x:v>0.22</x:v>
      </x:c>
      <x:c r="P23" s="11" t="n">
        <x:f>CHOOSE('假设'!$B$3,P24,P25,P26)</x:f>
        <x:v>0.22</x:v>
      </x:c>
      <x:c r="Q23" s="11" t="n">
        <x:f>CHOOSE('假设'!$B$3,Q24,Q25,Q26)</x:f>
        <x:v>0.01</x:v>
      </x:c>
      <x:c r="R23" s="11" t="n">
        <x:f>CHOOSE('假设'!$B$3,R24,R25,R26)</x:f>
        <x:v>1.895</x:v>
      </x:c>
      <x:c r="S23" s="11" t="n">
        <x:f>CHOOSE('假设'!$B$3,S24,S25,S26)</x:f>
        <x:v>2.12</x:v>
      </x:c>
      <x:c r="T23" s="11" t="n">
        <x:f>CHOOSE('假设'!$B$3,T24,T25,T26)</x:f>
        <x:v>2.8</x:v>
      </x:c>
      <x:c r="U23" s="11" t="n">
        <x:f>CHOOSE('假设'!$B$3,U24,U25,U26)</x:f>
        <x:v>1.47</x:v>
      </x:c>
      <x:c r="V23" s="11" t="n">
        <x:f>CHOOSE('假设'!$B$3,V24,V25,V26)</x:f>
        <x:v>0.2</x:v>
      </x:c>
      <x:c r="W23" s="11" t="n">
        <x:f>CHOOSE('假设'!$B$3,W24,W25,W26)</x:f>
        <x:v>0.16</x:v>
      </x:c>
      <x:c r="X23" s="11" t="n">
        <x:f>CHOOSE('假设'!$B$3,X24,X25,X26)</x:f>
        <x:v>0.64</x:v>
      </x:c>
      <x:c r="Y23" s="11" t="n">
        <x:f>CHOOSE('假设'!$B$3,Y24,Y25,Y26)</x:f>
        <x:v>-0.8</x:v>
      </x:c>
    </x:row>
    <x:row r="24" ht="23" customHeight="1">
      <x:c r="A24" s="11" t="str">
        <x:v>03759.HK</x:v>
      </x:c>
      <x:c r="B24" s="11" t="n">
        <x:v>2030</x:v>
      </x:c>
      <x:c r="C24" s="11" t="str">
        <x:v>悲观</x:v>
      </x:c>
      <x:c r="D24" s="16" t="n">
        <x:v>12</x:v>
      </x:c>
      <x:c r="E24" s="16" t="n">
        <x:v>6.1</x:v>
      </x:c>
      <x:c r="F24" s="16" t="n">
        <x:v>2.52</x:v>
      </x:c>
      <x:c r="G24" s="16" t="n">
        <x:v>0.395</x:v>
      </x:c>
      <x:c r="H24" s="16" t="n">
        <x:v>0.28</x:v>
      </x:c>
      <x:c r="I24" s="16" t="n">
        <x:v>0.1</x:v>
      </x:c>
      <x:c r="J24" s="16" t="n">
        <x:v>0.41</x:v>
      </x:c>
      <x:c r="K24" s="16" t="n">
        <x:v>2.63</x:v>
      </x:c>
      <x:c r="L24" s="16" t="n">
        <x:v>0.82</x:v>
      </x:c>
      <x:c r="M24" s="16" t="n">
        <x:v>0.13</x:v>
      </x:c>
      <x:c r="N24" s="16" t="n">
        <x:v>0.12</x:v>
      </x:c>
      <x:c r="O24" s="16" t="n">
        <x:v>0.39</x:v>
      </x:c>
      <x:c r="P24" s="16" t="n">
        <x:v>0.25</x:v>
      </x:c>
      <x:c r="Q24" s="16" t="n">
        <x:v>0.06</x:v>
      </x:c>
      <x:c r="R24" s="16" t="n">
        <x:v>2</x:v>
      </x:c>
      <x:c r="S24" s="16" t="n">
        <x:v>1.98</x:v>
      </x:c>
      <x:c r="T24" s="16" t="n">
        <x:v>2.3</x:v>
      </x:c>
      <x:c r="U24" s="16" t="n">
        <x:v>0.46</x:v>
      </x:c>
      <x:c r="V24" s="16" t="n">
        <x:v>0.16</x:v>
      </x:c>
      <x:c r="W24" s="16" t="n">
        <x:v>0.12</x:v>
      </x:c>
      <x:c r="X24" s="16" t="n">
        <x:v>0.14</x:v>
      </x:c>
      <x:c r="Y24" s="16" t="n">
        <x:v>0.7</x:v>
      </x:c>
    </x:row>
    <x:row r="25" ht="23" customHeight="1">
      <x:c r="A25" s="11" t="str">
        <x:v>03759.HK</x:v>
      </x:c>
      <x:c r="B25" s="11" t="n">
        <x:v>2030</x:v>
      </x:c>
      <x:c r="C25" s="11" t="str">
        <x:v>基准</x:v>
      </x:c>
      <x:c r="D25" s="16" t="n">
        <x:v>16.5</x:v>
      </x:c>
      <x:c r="E25" s="16" t="n">
        <x:v>10.5</x:v>
      </x:c>
      <x:c r="F25" s="16" t="n">
        <x:v>3.9</x:v>
      </x:c>
      <x:c r="G25" s="16" t="n">
        <x:v>0.424</x:v>
      </x:c>
      <x:c r="H25" s="16" t="n">
        <x:v>0.35</x:v>
      </x:c>
      <x:c r="I25" s="16" t="n">
        <x:v>0.155</x:v>
      </x:c>
      <x:c r="J25" s="16" t="n">
        <x:v>0.61</x:v>
      </x:c>
      <x:c r="K25" s="16" t="n">
        <x:v>3.3</x:v>
      </x:c>
      <x:c r="L25" s="16" t="n">
        <x:v>1.12</x:v>
      </x:c>
      <x:c r="M25" s="16" t="n">
        <x:v>0.09</x:v>
      </x:c>
      <x:c r="N25" s="16" t="n">
        <x:v>0.05</x:v>
      </x:c>
      <x:c r="O25" s="16" t="n">
        <x:v>0.22</x:v>
      </x:c>
      <x:c r="P25" s="16" t="n">
        <x:v>0.22</x:v>
      </x:c>
      <x:c r="Q25" s="16" t="n">
        <x:v>0.01</x:v>
      </x:c>
      <x:c r="R25" s="16" t="n">
        <x:v>1.895</x:v>
      </x:c>
      <x:c r="S25" s="16" t="n">
        <x:v>2.12</x:v>
      </x:c>
      <x:c r="T25" s="16" t="n">
        <x:v>2.8</x:v>
      </x:c>
      <x:c r="U25" s="16" t="n">
        <x:v>1.47</x:v>
      </x:c>
      <x:c r="V25" s="16" t="n">
        <x:v>0.2</x:v>
      </x:c>
      <x:c r="W25" s="16" t="n">
        <x:v>0.16</x:v>
      </x:c>
      <x:c r="X25" s="16" t="n">
        <x:v>0.64</x:v>
      </x:c>
      <x:c r="Y25" s="16" t="n">
        <x:v>-0.8</x:v>
      </x:c>
    </x:row>
    <x:row r="26" ht="23" customHeight="1">
      <x:c r="A26" s="11" t="str">
        <x:v>03759.HK</x:v>
      </x:c>
      <x:c r="B26" s="11" t="n">
        <x:v>2030</x:v>
      </x:c>
      <x:c r="C26" s="11" t="str">
        <x:v>乐观</x:v>
      </x:c>
      <x:c r="D26" s="16" t="n">
        <x:v>19.7</x:v>
      </x:c>
      <x:c r="E26" s="16" t="n">
        <x:v>15.2</x:v>
      </x:c>
      <x:c r="F26" s="16" t="n">
        <x:v>5.05</x:v>
      </x:c>
      <x:c r="G26" s="16" t="n">
        <x:v>0.458</x:v>
      </x:c>
      <x:c r="H26" s="16" t="n">
        <x:v>0.41</x:v>
      </x:c>
      <x:c r="I26" s="16" t="n">
        <x:v>0.22</x:v>
      </x:c>
      <x:c r="J26" s="16" t="n">
        <x:v>0.79</x:v>
      </x:c>
      <x:c r="K26" s="16" t="n">
        <x:v>3.82</x:v>
      </x:c>
      <x:c r="L26" s="16" t="n">
        <x:v>1.39</x:v>
      </x:c>
      <x:c r="M26" s="16" t="n">
        <x:v>0.06</x:v>
      </x:c>
      <x:c r="N26" s="16" t="n">
        <x:v>0</x:v>
      </x:c>
      <x:c r="O26" s="16" t="n">
        <x:v>0.12</x:v>
      </x:c>
      <x:c r="P26" s="16" t="n">
        <x:v>0.2</x:v>
      </x:c>
      <x:c r="Q26" s="16" t="n">
        <x:v>0</x:v>
      </x:c>
      <x:c r="R26" s="16" t="n">
        <x:v>1.895</x:v>
      </x:c>
      <x:c r="S26" s="16" t="n">
        <x:v>2.45</x:v>
      </x:c>
      <x:c r="T26" s="16" t="n">
        <x:v>4</x:v>
      </x:c>
      <x:c r="U26" s="16" t="n">
        <x:v>3</x:v>
      </x:c>
      <x:c r="V26" s="16" t="n">
        <x:v>0.5</x:v>
      </x:c>
      <x:c r="W26" s="16" t="n">
        <x:v>0.24</x:v>
      </x:c>
      <x:c r="X26" s="16" t="n">
        <x:v>1.15</x:v>
      </x:c>
      <x:c r="Y26" s="16" t="n">
        <x:v>-1</x:v>
      </x:c>
    </x:row>
    <x:row r="27" ht="23" customHeight="1">
      <x:c r="A27" s="11" t="str">
        <x:v>03759.HK</x:v>
      </x:c>
      <x:c r="B27" s="11" t="n">
        <x:v>2031</x:v>
      </x:c>
      <x:c r="C27" s="11" t="str">
        <x:v>活动输入</x:v>
      </x:c>
      <x:c r="D27" s="11" t="n">
        <x:f>CHOOSE('假设'!$B$3,D28,D29,D30)</x:f>
        <x:v>18.15</x:v>
      </x:c>
      <x:c r="E27" s="11" t="n">
        <x:f>CHOOSE('假设'!$B$3,E28,E29,E30)</x:f>
        <x:v>12.3</x:v>
      </x:c>
      <x:c r="F27" s="11" t="n">
        <x:f>CHOOSE('假设'!$B$3,F28,F29,F30)</x:f>
        <x:v>4.34</x:v>
      </x:c>
      <x:c r="G27" s="11" t="n">
        <x:f>CHOOSE('假设'!$B$3,G28,G29,G30)</x:f>
        <x:v>0.422</x:v>
      </x:c>
      <x:c r="H27" s="11" t="n">
        <x:f>CHOOSE('假设'!$B$3,H28,H29,H30)</x:f>
        <x:v>0.35</x:v>
      </x:c>
      <x:c r="I27" s="11" t="n">
        <x:f>CHOOSE('假设'!$B$3,I28,I29,I30)</x:f>
        <x:v>0.165</x:v>
      </x:c>
      <x:c r="J27" s="11" t="n">
        <x:f>CHOOSE('假设'!$B$3,J28,J29,J30)</x:f>
        <x:v>0.68</x:v>
      </x:c>
      <x:c r="K27" s="11" t="n">
        <x:f>CHOOSE('假设'!$B$3,K28,K29,K30)</x:f>
        <x:v>3.6</x:v>
      </x:c>
      <x:c r="L27" s="11" t="n">
        <x:f>CHOOSE('假设'!$B$3,L28,L29,L30)</x:f>
        <x:v>1.24</x:v>
      </x:c>
      <x:c r="M27" s="11" t="n">
        <x:f>CHOOSE('假设'!$B$3,M28,M29,M30)</x:f>
        <x:v>0.1</x:v>
      </x:c>
      <x:c r="N27" s="11" t="n">
        <x:f>CHOOSE('假设'!$B$3,N28,N29,N30)</x:f>
        <x:v>0.05</x:v>
      </x:c>
      <x:c r="O27" s="11" t="n">
        <x:f>CHOOSE('假设'!$B$3,O28,O29,O30)</x:f>
        <x:v>0.21</x:v>
      </x:c>
      <x:c r="P27" s="11" t="n">
        <x:f>CHOOSE('假设'!$B$3,P28,P29,P30)</x:f>
        <x:v>0.22</x:v>
      </x:c>
      <x:c r="Q27" s="11" t="n">
        <x:f>CHOOSE('假设'!$B$3,Q28,Q29,Q30)</x:f>
        <x:v>0</x:v>
      </x:c>
      <x:c r="R27" s="11" t="n">
        <x:f>CHOOSE('假设'!$B$3,R28,R29,R30)</x:f>
        <x:v>1.91</x:v>
      </x:c>
      <x:c r="S27" s="11" t="n">
        <x:f>CHOOSE('假设'!$B$3,S28,S29,S30)</x:f>
        <x:v>2.27</x:v>
      </x:c>
      <x:c r="T27" s="11" t="n">
        <x:f>CHOOSE('假设'!$B$3,T28,T29,T30)</x:f>
        <x:v>2.6</x:v>
      </x:c>
      <x:c r="U27" s="11" t="n">
        <x:f>CHOOSE('假设'!$B$3,U28,U29,U30)</x:f>
        <x:v>1.54</x:v>
      </x:c>
      <x:c r="V27" s="11" t="n">
        <x:f>CHOOSE('假设'!$B$3,V28,V29,V30)</x:f>
        <x:v>0.2</x:v>
      </x:c>
      <x:c r="W27" s="11" t="n">
        <x:f>CHOOSE('假设'!$B$3,W28,W29,W30)</x:f>
        <x:v>0.18</x:v>
      </x:c>
      <x:c r="X27" s="11" t="n">
        <x:f>CHOOSE('假设'!$B$3,X28,X29,X30)</x:f>
        <x:v>0.76</x:v>
      </x:c>
      <x:c r="Y27" s="11" t="n">
        <x:f>CHOOSE('假设'!$B$3,Y28,Y29,Y30)</x:f>
        <x:v>-1</x:v>
      </x:c>
    </x:row>
    <x:row r="28" ht="23" customHeight="1">
      <x:c r="A28" s="11" t="str">
        <x:v>03759.HK</x:v>
      </x:c>
      <x:c r="B28" s="11" t="n">
        <x:v>2031</x:v>
      </x:c>
      <x:c r="C28" s="11" t="str">
        <x:v>悲观</x:v>
      </x:c>
      <x:c r="D28" s="16" t="n">
        <x:v>12.6</x:v>
      </x:c>
      <x:c r="E28" s="16" t="n">
        <x:v>6.7</x:v>
      </x:c>
      <x:c r="F28" s="16" t="n">
        <x:v>2.6</x:v>
      </x:c>
      <x:c r="G28" s="16" t="n">
        <x:v>0.39</x:v>
      </x:c>
      <x:c r="H28" s="16" t="n">
        <x:v>0.28</x:v>
      </x:c>
      <x:c r="I28" s="16" t="n">
        <x:v>0.1</x:v>
      </x:c>
      <x:c r="J28" s="16" t="n">
        <x:v>0.42</x:v>
      </x:c>
      <x:c r="K28" s="16" t="n">
        <x:v>2.76</x:v>
      </x:c>
      <x:c r="L28" s="16" t="n">
        <x:v>0.87</x:v>
      </x:c>
      <x:c r="M28" s="16" t="n">
        <x:v>0.14</x:v>
      </x:c>
      <x:c r="N28" s="16" t="n">
        <x:v>0.11</x:v>
      </x:c>
      <x:c r="O28" s="16" t="n">
        <x:v>0.4</x:v>
      </x:c>
      <x:c r="P28" s="16" t="n">
        <x:v>0.25</x:v>
      </x:c>
      <x:c r="Q28" s="16" t="n">
        <x:v>0.06</x:v>
      </x:c>
      <x:c r="R28" s="16" t="n">
        <x:v>2.05</x:v>
      </x:c>
      <x:c r="S28" s="16" t="n">
        <x:v>2.1</x:v>
      </x:c>
      <x:c r="T28" s="16" t="n">
        <x:v>2.2</x:v>
      </x:c>
      <x:c r="U28" s="16" t="n">
        <x:v>0.48</x:v>
      </x:c>
      <x:c r="V28" s="16" t="n">
        <x:v>0.15</x:v>
      </x:c>
      <x:c r="W28" s="16" t="n">
        <x:v>0.13</x:v>
      </x:c>
      <x:c r="X28" s="16" t="n">
        <x:v>0.16</x:v>
      </x:c>
      <x:c r="Y28" s="16" t="n">
        <x:v>0.5</x:v>
      </x:c>
    </x:row>
    <x:row r="29" ht="23" customHeight="1">
      <x:c r="A29" s="11" t="str">
        <x:v>03759.HK</x:v>
      </x:c>
      <x:c r="B29" s="11" t="n">
        <x:v>2031</x:v>
      </x:c>
      <x:c r="C29" s="11" t="str">
        <x:v>基准</x:v>
      </x:c>
      <x:c r="D29" s="16" t="n">
        <x:v>18.15</x:v>
      </x:c>
      <x:c r="E29" s="16" t="n">
        <x:v>12.3</x:v>
      </x:c>
      <x:c r="F29" s="16" t="n">
        <x:v>4.34</x:v>
      </x:c>
      <x:c r="G29" s="16" t="n">
        <x:v>0.422</x:v>
      </x:c>
      <x:c r="H29" s="16" t="n">
        <x:v>0.35</x:v>
      </x:c>
      <x:c r="I29" s="16" t="n">
        <x:v>0.165</x:v>
      </x:c>
      <x:c r="J29" s="16" t="n">
        <x:v>0.68</x:v>
      </x:c>
      <x:c r="K29" s="16" t="n">
        <x:v>3.6</x:v>
      </x:c>
      <x:c r="L29" s="16" t="n">
        <x:v>1.24</x:v>
      </x:c>
      <x:c r="M29" s="16" t="n">
        <x:v>0.1</x:v>
      </x:c>
      <x:c r="N29" s="16" t="n">
        <x:v>0.05</x:v>
      </x:c>
      <x:c r="O29" s="16" t="n">
        <x:v>0.21</x:v>
      </x:c>
      <x:c r="P29" s="16" t="n">
        <x:v>0.22</x:v>
      </x:c>
      <x:c r="Q29" s="16" t="n">
        <x:v>0</x:v>
      </x:c>
      <x:c r="R29" s="16" t="n">
        <x:v>1.91</x:v>
      </x:c>
      <x:c r="S29" s="16" t="n">
        <x:v>2.27</x:v>
      </x:c>
      <x:c r="T29" s="16" t="n">
        <x:v>2.6</x:v>
      </x:c>
      <x:c r="U29" s="16" t="n">
        <x:v>1.54</x:v>
      </x:c>
      <x:c r="V29" s="16" t="n">
        <x:v>0.2</x:v>
      </x:c>
      <x:c r="W29" s="16" t="n">
        <x:v>0.18</x:v>
      </x:c>
      <x:c r="X29" s="16" t="n">
        <x:v>0.76</x:v>
      </x:c>
      <x:c r="Y29" s="16" t="n">
        <x:v>-1</x:v>
      </x:c>
    </x:row>
    <x:row r="30" ht="23" customHeight="1">
      <x:c r="A30" s="11" t="str">
        <x:v>03759.HK</x:v>
      </x:c>
      <x:c r="B30" s="11" t="n">
        <x:v>2031</x:v>
      </x:c>
      <x:c r="C30" s="11" t="str">
        <x:v>乐观</x:v>
      </x:c>
      <x:c r="D30" s="16" t="n">
        <x:v>22.6</x:v>
      </x:c>
      <x:c r="E30" s="16" t="n">
        <x:v>18.8</x:v>
      </x:c>
      <x:c r="F30" s="16" t="n">
        <x:v>5.88</x:v>
      </x:c>
      <x:c r="G30" s="16" t="n">
        <x:v>0.455</x:v>
      </x:c>
      <x:c r="H30" s="16" t="n">
        <x:v>0.415</x:v>
      </x:c>
      <x:c r="I30" s="16" t="n">
        <x:v>0.235</x:v>
      </x:c>
      <x:c r="J30" s="16" t="n">
        <x:v>0.92</x:v>
      </x:c>
      <x:c r="K30" s="16" t="n">
        <x:v>4.4</x:v>
      </x:c>
      <x:c r="L30" s="16" t="n">
        <x:v>1.62</x:v>
      </x:c>
      <x:c r="M30" s="16" t="n">
        <x:v>0.065</x:v>
      </x:c>
      <x:c r="N30" s="16" t="n">
        <x:v>0</x:v>
      </x:c>
      <x:c r="O30" s="16" t="n">
        <x:v>0.1</x:v>
      </x:c>
      <x:c r="P30" s="16" t="n">
        <x:v>0.2</x:v>
      </x:c>
      <x:c r="Q30" s="16" t="n">
        <x:v>0</x:v>
      </x:c>
      <x:c r="R30" s="16" t="n">
        <x:v>1.91</x:v>
      </x:c>
      <x:c r="S30" s="16" t="n">
        <x:v>2.7</x:v>
      </x:c>
      <x:c r="T30" s="16" t="n">
        <x:v>3.8</x:v>
      </x:c>
      <x:c r="U30" s="16" t="n">
        <x:v>3.35</x:v>
      </x:c>
      <x:c r="V30" s="16" t="n">
        <x:v>0.55</x:v>
      </x:c>
      <x:c r="W30" s="16" t="n">
        <x:v>0.28</x:v>
      </x:c>
      <x:c r="X30" s="16" t="n">
        <x:v>1.45</x:v>
      </x:c>
      <x:c r="Y30" s="16" t="n">
        <x:v>-1</x:v>
      </x:c>
    </x:row>
    <x:row r="31" ht="23" customHeight="1">
      <x:c r="A31" s="11" t="str">
        <x:v>03759.HK</x:v>
      </x:c>
      <x:c r="B31" s="11" t="n">
        <x:v>2032</x:v>
      </x:c>
      <x:c r="C31" s="11" t="str">
        <x:v>活动输入</x:v>
      </x:c>
      <x:c r="D31" s="11" t="n">
        <x:f>CHOOSE('假设'!$B$3,D32,D33,D34)</x:f>
        <x:v>19.8</x:v>
      </x:c>
      <x:c r="E31" s="11" t="n">
        <x:f>CHOOSE('假设'!$B$3,E32,E33,E34)</x:f>
        <x:v>14.1</x:v>
      </x:c>
      <x:c r="F31" s="11" t="n">
        <x:f>CHOOSE('假设'!$B$3,F32,F33,F34)</x:f>
        <x:v>4.78</x:v>
      </x:c>
      <x:c r="G31" s="11" t="n">
        <x:f>CHOOSE('假设'!$B$3,G32,G33,G34)</x:f>
        <x:v>0.42</x:v>
      </x:c>
      <x:c r="H31" s="11" t="n">
        <x:f>CHOOSE('假设'!$B$3,H32,H33,H34)</x:f>
        <x:v>0.35</x:v>
      </x:c>
      <x:c r="I31" s="11" t="n">
        <x:f>CHOOSE('假设'!$B$3,I32,I33,I34)</x:f>
        <x:v>0.17</x:v>
      </x:c>
      <x:c r="J31" s="11" t="n">
        <x:f>CHOOSE('假设'!$B$3,J32,J33,J34)</x:f>
        <x:v>0.75</x:v>
      </x:c>
      <x:c r="K31" s="11" t="n">
        <x:f>CHOOSE('假设'!$B$3,K32,K33,K34)</x:f>
        <x:v>3.9</x:v>
      </x:c>
      <x:c r="L31" s="11" t="n">
        <x:f>CHOOSE('假设'!$B$3,L32,L33,L34)</x:f>
        <x:v>1.36</x:v>
      </x:c>
      <x:c r="M31" s="11" t="n">
        <x:f>CHOOSE('假设'!$B$3,M32,M33,M34)</x:f>
        <x:v>0.11</x:v>
      </x:c>
      <x:c r="N31" s="11" t="n">
        <x:f>CHOOSE('假设'!$B$3,N32,N33,N34)</x:f>
        <x:v>0.05</x:v>
      </x:c>
      <x:c r="O31" s="11" t="n">
        <x:f>CHOOSE('假设'!$B$3,O32,O33,O34)</x:f>
        <x:v>0.2</x:v>
      </x:c>
      <x:c r="P31" s="11" t="n">
        <x:f>CHOOSE('假设'!$B$3,P32,P33,P34)</x:f>
        <x:v>0.22</x:v>
      </x:c>
      <x:c r="Q31" s="11" t="n">
        <x:f>CHOOSE('假设'!$B$3,Q32,Q33,Q34)</x:f>
        <x:v>0</x:v>
      </x:c>
      <x:c r="R31" s="11" t="n">
        <x:f>CHOOSE('假设'!$B$3,R32,R33,R34)</x:f>
        <x:v>1.925</x:v>
      </x:c>
      <x:c r="S31" s="11" t="n">
        <x:f>CHOOSE('假设'!$B$3,S32,S33,S34)</x:f>
        <x:v>2.42</x:v>
      </x:c>
      <x:c r="T31" s="11" t="n">
        <x:f>CHOOSE('假设'!$B$3,T32,T33,T34)</x:f>
        <x:v>2.5</x:v>
      </x:c>
      <x:c r="U31" s="11" t="n">
        <x:f>CHOOSE('假设'!$B$3,U32,U33,U34)</x:f>
        <x:v>1.6</x:v>
      </x:c>
      <x:c r="V31" s="11" t="n">
        <x:f>CHOOSE('假设'!$B$3,V32,V33,V34)</x:f>
        <x:v>0.2</x:v>
      </x:c>
      <x:c r="W31" s="11" t="n">
        <x:f>CHOOSE('假设'!$B$3,W32,W33,W34)</x:f>
        <x:v>0.2</x:v>
      </x:c>
      <x:c r="X31" s="11" t="n">
        <x:f>CHOOSE('假设'!$B$3,X32,X33,X34)</x:f>
        <x:v>0.88</x:v>
      </x:c>
      <x:c r="Y31" s="11" t="n">
        <x:f>CHOOSE('假设'!$B$3,Y32,Y33,Y34)</x:f>
        <x:v>-1</x:v>
      </x:c>
    </x:row>
    <x:row r="32" ht="23" customHeight="1">
      <x:c r="A32" s="11" t="str">
        <x:v>03759.HK</x:v>
      </x:c>
      <x:c r="B32" s="11" t="n">
        <x:v>2032</x:v>
      </x:c>
      <x:c r="C32" s="11" t="str">
        <x:v>悲观</x:v>
      </x:c>
      <x:c r="D32" s="16" t="n">
        <x:v>13.2</x:v>
      </x:c>
      <x:c r="E32" s="16" t="n">
        <x:v>7.3</x:v>
      </x:c>
      <x:c r="F32" s="16" t="n">
        <x:v>2.68</x:v>
      </x:c>
      <x:c r="G32" s="16" t="n">
        <x:v>0.385</x:v>
      </x:c>
      <x:c r="H32" s="16" t="n">
        <x:v>0.28</x:v>
      </x:c>
      <x:c r="I32" s="16" t="n">
        <x:v>0.1</x:v>
      </x:c>
      <x:c r="J32" s="16" t="n">
        <x:v>0.43</x:v>
      </x:c>
      <x:c r="K32" s="16" t="n">
        <x:v>2.9</x:v>
      </x:c>
      <x:c r="L32" s="16" t="n">
        <x:v>0.92</x:v>
      </x:c>
      <x:c r="M32" s="16" t="n">
        <x:v>0.15</x:v>
      </x:c>
      <x:c r="N32" s="16" t="n">
        <x:v>0.1</x:v>
      </x:c>
      <x:c r="O32" s="16" t="n">
        <x:v>0.42</x:v>
      </x:c>
      <x:c r="P32" s="16" t="n">
        <x:v>0.25</x:v>
      </x:c>
      <x:c r="Q32" s="16" t="n">
        <x:v>0.06</x:v>
      </x:c>
      <x:c r="R32" s="16" t="n">
        <x:v>2.1</x:v>
      </x:c>
      <x:c r="S32" s="16" t="n">
        <x:v>2.23</x:v>
      </x:c>
      <x:c r="T32" s="16" t="n">
        <x:v>2.1</x:v>
      </x:c>
      <x:c r="U32" s="16" t="n">
        <x:v>0.5</x:v>
      </x:c>
      <x:c r="V32" s="16" t="n">
        <x:v>0.15</x:v>
      </x:c>
      <x:c r="W32" s="16" t="n">
        <x:v>0.14</x:v>
      </x:c>
      <x:c r="X32" s="16" t="n">
        <x:v>0.18</x:v>
      </x:c>
      <x:c r="Y32" s="16" t="n">
        <x:v>0.3</x:v>
      </x:c>
    </x:row>
    <x:row r="33" ht="23" customHeight="1">
      <x:c r="A33" s="11" t="str">
        <x:v>03759.HK</x:v>
      </x:c>
      <x:c r="B33" s="11" t="n">
        <x:v>2032</x:v>
      </x:c>
      <x:c r="C33" s="11" t="str">
        <x:v>基准</x:v>
      </x:c>
      <x:c r="D33" s="16" t="n">
        <x:v>19.8</x:v>
      </x:c>
      <x:c r="E33" s="16" t="n">
        <x:v>14.1</x:v>
      </x:c>
      <x:c r="F33" s="16" t="n">
        <x:v>4.78</x:v>
      </x:c>
      <x:c r="G33" s="16" t="n">
        <x:v>0.42</x:v>
      </x:c>
      <x:c r="H33" s="16" t="n">
        <x:v>0.35</x:v>
      </x:c>
      <x:c r="I33" s="16" t="n">
        <x:v>0.17</x:v>
      </x:c>
      <x:c r="J33" s="16" t="n">
        <x:v>0.75</x:v>
      </x:c>
      <x:c r="K33" s="16" t="n">
        <x:v>3.9</x:v>
      </x:c>
      <x:c r="L33" s="16" t="n">
        <x:v>1.36</x:v>
      </x:c>
      <x:c r="M33" s="16" t="n">
        <x:v>0.11</x:v>
      </x:c>
      <x:c r="N33" s="16" t="n">
        <x:v>0.05</x:v>
      </x:c>
      <x:c r="O33" s="16" t="n">
        <x:v>0.2</x:v>
      </x:c>
      <x:c r="P33" s="16" t="n">
        <x:v>0.22</x:v>
      </x:c>
      <x:c r="Q33" s="16" t="n">
        <x:v>0</x:v>
      </x:c>
      <x:c r="R33" s="16" t="n">
        <x:v>1.925</x:v>
      </x:c>
      <x:c r="S33" s="16" t="n">
        <x:v>2.42</x:v>
      </x:c>
      <x:c r="T33" s="16" t="n">
        <x:v>2.5</x:v>
      </x:c>
      <x:c r="U33" s="16" t="n">
        <x:v>1.6</x:v>
      </x:c>
      <x:c r="V33" s="16" t="n">
        <x:v>0.2</x:v>
      </x:c>
      <x:c r="W33" s="16" t="n">
        <x:v>0.2</x:v>
      </x:c>
      <x:c r="X33" s="16" t="n">
        <x:v>0.88</x:v>
      </x:c>
      <x:c r="Y33" s="16" t="n">
        <x:v>-1</x:v>
      </x:c>
    </x:row>
    <x:row r="34" ht="23" customHeight="1">
      <x:c r="A34" s="11" t="str">
        <x:v>03759.HK</x:v>
      </x:c>
      <x:c r="B34" s="11" t="n">
        <x:v>2032</x:v>
      </x:c>
      <x:c r="C34" s="11" t="str">
        <x:v>乐观</x:v>
      </x:c>
      <x:c r="D34" s="16" t="n">
        <x:v>25.7</x:v>
      </x:c>
      <x:c r="E34" s="16" t="n">
        <x:v>22.6</x:v>
      </x:c>
      <x:c r="F34" s="16" t="n">
        <x:v>6.78</x:v>
      </x:c>
      <x:c r="G34" s="16" t="n">
        <x:v>0.45</x:v>
      </x:c>
      <x:c r="H34" s="16" t="n">
        <x:v>0.415</x:v>
      </x:c>
      <x:c r="I34" s="16" t="n">
        <x:v>0.24</x:v>
      </x:c>
      <x:c r="J34" s="16" t="n">
        <x:v>1.07</x:v>
      </x:c>
      <x:c r="K34" s="16" t="n">
        <x:v>5.04</x:v>
      </x:c>
      <x:c r="L34" s="16" t="n">
        <x:v>1.86</x:v>
      </x:c>
      <x:c r="M34" s="16" t="n">
        <x:v>0.07</x:v>
      </x:c>
      <x:c r="N34" s="16" t="n">
        <x:v>0</x:v>
      </x:c>
      <x:c r="O34" s="16" t="n">
        <x:v>0.08</x:v>
      </x:c>
      <x:c r="P34" s="16" t="n">
        <x:v>0.2</x:v>
      </x:c>
      <x:c r="Q34" s="16" t="n">
        <x:v>0</x:v>
      </x:c>
      <x:c r="R34" s="16" t="n">
        <x:v>1.925</x:v>
      </x:c>
      <x:c r="S34" s="16" t="n">
        <x:v>2.95</x:v>
      </x:c>
      <x:c r="T34" s="16" t="n">
        <x:v>3.6</x:v>
      </x:c>
      <x:c r="U34" s="16" t="n">
        <x:v>3.7</x:v>
      </x:c>
      <x:c r="V34" s="16" t="n">
        <x:v>0.6</x:v>
      </x:c>
      <x:c r="W34" s="16" t="n">
        <x:v>0.32</x:v>
      </x:c>
      <x:c r="X34" s="16" t="n">
        <x:v>1.75</x:v>
      </x:c>
      <x:c r="Y34" s="16" t="n">
        <x:v>-1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26" hidden="0" customWidth="1"/>
  </x:cols>
  <x:sheetData>
    <x:row r="1">
      <x:c r="A1" s="2"/>
      <x:c r="B1" s="2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"/>
    </x:row>
    <x:row r="2">
      <x:c r="A2" s="29" t="str">
        <x:v>年度盈利与资金滚动 现金债验证与PE估值分开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52" customHeight="1">
      <x:c r="A6" s="12" t="str">
        <x:v>代码</x:v>
      </x:c>
      <x:c r="B6" s="12" t="str">
        <x:v>年度</x:v>
      </x:c>
      <x:c r="C6" s="12" t="str">
        <x:v>合计收入</x:v>
      </x:c>
      <x:c r="D6" s="12" t="str">
        <x:v>毛利</x:v>
      </x:c>
      <x:c r="E6" s="12" t="str">
        <x:v>税前正常利润</x:v>
      </x:c>
      <x:c r="F6" s="12" t="str">
        <x:v>合并正常利润</x:v>
      </x:c>
      <x:c r="G6" s="12" t="str">
        <x:v>归母正常利润</x:v>
      </x:c>
      <x:c r="H6" s="12" t="str">
        <x:v>摊薄股数</x:v>
      </x:c>
      <x:c r="I6" s="12" t="str">
        <x:v>EPS CNY</x:v>
      </x:c>
      <x:c r="J6" s="12" t="str">
        <x:v>年度经营现金</x:v>
      </x:c>
      <x:c r="K6" s="12" t="str">
        <x:v>FCF租赁前</x:v>
      </x:c>
      <x:c r="L6" s="12" t="str">
        <x:v>期初现金</x:v>
      </x:c>
      <x:c r="M6" s="12" t="str">
        <x:v>剩余经营现金</x:v>
      </x:c>
      <x:c r="N6" s="12" t="str">
        <x:v>剩余资本开支</x:v>
      </x:c>
      <x:c r="O6" s="12" t="str">
        <x:v>租赁本金</x:v>
      </x:c>
      <x:c r="P6" s="12" t="str">
        <x:v>股权投资</x:v>
      </x:c>
      <x:c r="Q6" s="12" t="str">
        <x:v>分红现金</x:v>
      </x:c>
      <x:c r="R6" s="12" t="str">
        <x:v>转债净募资</x:v>
      </x:c>
      <x:c r="S6" s="12" t="str">
        <x:v>转债现金偿还</x:v>
      </x:c>
      <x:c r="T6" s="12" t="str">
        <x:v>银行净融资</x:v>
      </x:c>
      <x:c r="U6" s="12" t="str">
        <x:v>期末现金</x:v>
      </x:c>
      <x:c r="V6" s="12" t="str">
        <x:v>银行债</x:v>
      </x:c>
      <x:c r="W6" s="12" t="str">
        <x:v>未偿转债</x:v>
      </x:c>
      <x:c r="X6" s="12" t="str">
        <x:v>净债</x:v>
      </x:c>
      <x:c r="Y6" s="12" t="str">
        <x:v>转股增量股数</x:v>
      </x:c>
      <x:c r="Z6" s="12" t="str">
        <x:v>结算状态</x:v>
      </x:c>
    </x:row>
    <x:row r="7" ht="23" customHeight="1">
      <x:c r="A7" s="11" t="str">
        <x:v>03759.HK</x:v>
      </x:c>
      <x:c r="B7" s="11" t="n">
        <x:v>2026</x:v>
      </x:c>
      <x:c r="C7" s="11" t="n">
        <x:f>'年度分部假设'!D7+'年度分部假设'!E7+'年度分部假设'!F7+'转债资金假设'!P7</x:f>
        <x:v>16.7</x:v>
      </x:c>
      <x:c r="D7" s="11" t="n">
        <x:f>'年度分部假设'!D7*'年度分部假设'!G7+'年度分部假设'!E7*'年度分部假设'!H7+'年度分部假设'!F7*'年度分部假设'!I7+'转债资金假设'!P7*'转债资金假设'!Q7</x:f>
        <x:v>5.67744</x:v>
      </x:c>
      <x:c r="E7" s="11" t="n">
        <x:f>D7-'年度分部假设'!J7-'年度分部假设'!K7-'年度分部假设'!L7-'年度分部假设'!M7-'年度分部假设'!N7-'年度分部假设'!O7</x:f>
        <x:v>2.20744</x:v>
      </x:c>
      <x:c r="F7" s="11" t="n">
        <x:f>E7*(1-'年度分部假设'!P7)</x:f>
        <x:v>1.7218032</x:v>
      </x:c>
      <x:c r="G7" s="11" t="n">
        <x:f>F7+'年度分部假设'!Q7</x:f>
        <x:v>1.7718032000000001</x:v>
      </x:c>
      <x:c r="H7" s="11" t="n">
        <x:f>'年度分部假设'!R7+Y7</x:f>
        <x:v>1.845</x:v>
      </x:c>
      <x:c r="I7" s="11" t="n">
        <x:f>G7/H7</x:f>
        <x:v>0.9603269376693768</x:v>
      </x:c>
      <x:c r="J7" s="11" t="n">
        <x:f>F7+'年度分部假设'!S7+'年度分部假设'!W7-'年度分部假设'!U7</x:f>
        <x:v>2.3518032000000004</x:v>
      </x:c>
      <x:c r="K7" s="11" t="n">
        <x:f>J7-'年度分部假设'!T7</x:f>
        <x:v>-0.6481967999999996</x:v>
      </x:c>
      <x:c r="L7" s="11" t="n">
        <x:f>'转债资金假设'!C7</x:f>
        <x:v>2.7038960000000003</x:v>
      </x:c>
      <x:c r="M7" s="11" t="n">
        <x:f>J7-('转债资金假设'!I7-'转债资金假设'!J7)</x:f>
        <x:v>1.3699962000000003</x:v>
      </x:c>
      <x:c r="N7" s="11" t="n">
        <x:f>'年度分部假设'!T7-'转债资金假设'!K7</x:f>
        <x:v>1.631676</x:v>
      </x:c>
      <x:c r="O7" s="11" t="n">
        <x:f>'转债资金假设'!N7</x:f>
        <x:v>0.1</x:v>
      </x:c>
      <x:c r="P7" s="11" t="n">
        <x:f>'年度分部假设'!V7-'转债资金假设'!L7</x:f>
        <x:v>0.13140799999999997</x:v>
      </x:c>
      <x:c r="Q7" s="11" t="n">
        <x:f>'转债资金假设'!M7</x:f>
        <x:v>0.364962</x:v>
      </x:c>
      <x:c r="R7" s="11" t="n">
        <x:f>'转债资金假设'!E7</x:f>
        <x:v>2.1994012091898427</x:v>
      </x:c>
      <x:c r="S7" s="11" t="n">
        <x:f>IF(AND(B7=2027,'转债资金假设'!H7=0),'转债资金假设'!F7,0)</x:f>
        <x:v>0</x:v>
      </x:c>
      <x:c r="T7" s="11" t="n">
        <x:f>'年度分部假设'!Y7</x:f>
        <x:v>0</x:v>
      </x:c>
      <x:c r="U7" s="11" t="n">
        <x:f>L7+M7-N7-O7-P7-Q7+R7-S7+T7</x:f>
        <x:v>4.045247409189844</x:v>
      </x:c>
      <x:c r="V7" s="11" t="n">
        <x:f>'转债资金假设'!D7+T7</x:f>
        <x:v>6.474413</x:v>
      </x:c>
      <x:c r="W7" s="11" t="n">
        <x:f>IF(B7=2026,'转债资金假设'!F7,0)</x:f>
        <x:v>2.18</x:v>
      </x:c>
      <x:c r="X7" s="11" t="n">
        <x:f>V7+W7-U7</x:f>
        <x:v>4.609165590810156</x:v>
      </x:c>
      <x:c r="Y7" s="11" t="n">
        <x:f>IF(AND(B7&gt;=2027,'转债资金假设'!H7=1),'转债资金假设'!G7,0)</x:f>
        <x:v>0</x:v>
      </x:c>
      <x:c r="Z7" s="11" t="str">
        <x:f>IF(B7=2026,"尚未到期",IF('转债资金假设'!H7=1,"转股不偿现金","现金偿还不转股"))</x:f>
        <x:v>尚未到期</x:v>
      </x:c>
    </x:row>
    <x:row r="8" ht="23" customHeight="1">
      <x:c r="A8" s="11" t="str">
        <x:v>03759.HK</x:v>
      </x:c>
      <x:c r="B8" s="11" t="n">
        <x:v>2027</x:v>
      </x:c>
      <x:c r="C8" s="11" t="n">
        <x:f>'年度分部假设'!D11+'年度分部假设'!E11+'年度分部假设'!F11+'转债资金假设'!P7</x:f>
        <x:v>20.05</x:v>
      </x:c>
      <x:c r="D8" s="11" t="n">
        <x:f>'年度分部假设'!D11*'年度分部假设'!G11+'年度分部假设'!E11*'年度分部假设'!H11+'年度分部假设'!F11*'年度分部假设'!I11+'转债资金假设'!P7*'转债资金假设'!Q7</x:f>
        <x:v>7.01695</x:v>
      </x:c>
      <x:c r="E8" s="11" t="n">
        <x:f>D8-'年度分部假设'!J11-'年度分部假设'!K11-'年度分部假设'!L11-'年度分部假设'!M11-'年度分部假设'!N11-'年度分部假设'!O11</x:f>
        <x:v>3.0969499999999996</x:v>
      </x:c>
      <x:c r="F8" s="11" t="n">
        <x:f>E8*(1-'年度分部假设'!P11)</x:f>
        <x:v>2.415621</x:v>
      </x:c>
      <x:c r="G8" s="11" t="n">
        <x:f>F8+'年度分部假设'!Q11</x:f>
        <x:v>2.455621</x:v>
      </x:c>
      <x:c r="H8" s="11" t="n">
        <x:f>'年度分部假设'!R11+Y8</x:f>
        <x:v>1.85</x:v>
      </x:c>
      <x:c r="I8" s="11" t="n">
        <x:f>G8/H8</x:f>
        <x:v>1.3273627027027026</x:v>
      </x:c>
      <x:c r="J8" s="11" t="n">
        <x:f>F8+'年度分部假设'!S11+'年度分部假设'!W11-'年度分部假设'!U11</x:f>
        <x:v>3.0556209999999995</x:v>
      </x:c>
      <x:c r="K8" s="11" t="n">
        <x:f>J8-'年度分部假设'!T11</x:f>
        <x:v>-0.1443790000000007</x:v>
      </x:c>
      <x:c r="L8" s="11" t="n">
        <x:f>U7</x:f>
        <x:v>4.045247409189844</x:v>
      </x:c>
      <x:c r="M8" s="11" t="n">
        <x:f>J8</x:f>
        <x:v>3.0556209999999995</x:v>
      </x:c>
      <x:c r="N8" s="11" t="n">
        <x:f>'年度分部假设'!T11</x:f>
        <x:v>3.2</x:v>
      </x:c>
      <x:c r="O8" s="11" t="n">
        <x:f>'转债资金假设'!O7</x:f>
        <x:v>0.2</x:v>
      </x:c>
      <x:c r="P8" s="11" t="n">
        <x:f>'年度分部假设'!V11</x:f>
        <x:v>0.3</x:v>
      </x:c>
      <x:c r="Q8" s="11" t="n">
        <x:f>'年度分部假设'!X7*H8</x:f>
        <x:v>0.444</x:v>
      </x:c>
      <x:c r="R8" s="11" t="n">
        <x:f>0</x:f>
        <x:v>0</x:v>
      </x:c>
      <x:c r="S8" s="11" t="n">
        <x:f>IF(AND(B8=2027,'转债资金假设'!H7=0),'转债资金假设'!F7,0)</x:f>
        <x:v>2.18</x:v>
      </x:c>
      <x:c r="T8" s="11" t="n">
        <x:f>'年度分部假设'!Y11</x:f>
        <x:v>0</x:v>
      </x:c>
      <x:c r="U8" s="11" t="n">
        <x:f>L8+M8-N8-O8-P8-Q8+R8-S8+T8</x:f>
        <x:v>0.7768684091898428</x:v>
      </x:c>
      <x:c r="V8" s="11" t="n">
        <x:f>V7+T8</x:f>
        <x:v>6.474413</x:v>
      </x:c>
      <x:c r="W8" s="11" t="n">
        <x:f>IF(B8=2026,'转债资金假设'!F7,0)</x:f>
        <x:v>0</x:v>
      </x:c>
      <x:c r="X8" s="11" t="n">
        <x:f>V8+W8-U8</x:f>
        <x:v>5.697544590810157</x:v>
      </x:c>
      <x:c r="Y8" s="11" t="n">
        <x:f>IF(AND(B8&gt;=2027,'转债资金假设'!H7=1),'转债资金假设'!G7,0)</x:f>
        <x:v>0</x:v>
      </x:c>
      <x:c r="Z8" s="11" t="str">
        <x:f>IF(B8=2026,"尚未到期",IF('转债资金假设'!H7=1,"转股不偿现金","现金偿还不转股"))</x:f>
        <x:v>现金偿还不转股</x:v>
      </x:c>
    </x:row>
    <x:row r="9" ht="23" customHeight="1">
      <x:c r="A9" s="11" t="str">
        <x:v>03759.HK</x:v>
      </x:c>
      <x:c r="B9" s="11" t="n">
        <x:v>2028</x:v>
      </x:c>
      <x:c r="C9" s="11" t="n">
        <x:f>'年度分部假设'!D15+'年度分部假设'!E15+'年度分部假设'!F15+'转债资金假设'!P7</x:f>
        <x:v>23.470000000000002</x:v>
      </x:c>
      <x:c r="D9" s="11" t="n">
        <x:f>'年度分部假设'!D15*'年度分部假设'!G15+'年度分部假设'!E15*'年度分部假设'!H15+'年度分部假设'!F15*'年度分部假设'!I15+'转债资金假设'!P7*'转债资金假设'!Q7</x:f>
        <x:v>8.3481</x:v>
      </x:c>
      <x:c r="E9" s="11" t="n">
        <x:f>D9-'年度分部假设'!J15-'年度分部假设'!K15-'年度分部假设'!L15-'年度分部假设'!M15-'年度分部假设'!N15-'年度分部假设'!O15</x:f>
        <x:v>3.9381</x:v>
      </x:c>
      <x:c r="F9" s="11" t="n">
        <x:f>E9*(1-'年度分部假设'!P15)</x:f>
        <x:v>3.071718</x:v>
      </x:c>
      <x:c r="G9" s="11" t="n">
        <x:f>F9+'年度分部假设'!Q15</x:f>
        <x:v>3.101718</x:v>
      </x:c>
      <x:c r="H9" s="11" t="n">
        <x:f>'年度分部假设'!R15+Y9</x:f>
        <x:v>1.865</x:v>
      </x:c>
      <x:c r="I9" s="11" t="n">
        <x:f>G9/H9</x:f>
        <x:v>1.6631195710455764</x:v>
      </x:c>
      <x:c r="J9" s="11" t="n">
        <x:f>F9+'年度分部假设'!S15+'年度分部假设'!W15-'年度分部假设'!U15</x:f>
        <x:v>3.731718</x:v>
      </x:c>
      <x:c r="K9" s="11" t="n">
        <x:f>J9-'年度分部假设'!T15</x:f>
        <x:v>0.5317179999999997</x:v>
      </x:c>
      <x:c r="L9" s="11" t="n">
        <x:f>U8</x:f>
        <x:v>0.7768684091898428</x:v>
      </x:c>
      <x:c r="M9" s="11" t="n">
        <x:f>J9</x:f>
        <x:v>3.731718</x:v>
      </x:c>
      <x:c r="N9" s="11" t="n">
        <x:f>'年度分部假设'!T15</x:f>
        <x:v>3.2</x:v>
      </x:c>
      <x:c r="O9" s="11" t="n">
        <x:f>'转债资金假设'!O7</x:f>
        <x:v>0.2</x:v>
      </x:c>
      <x:c r="P9" s="11" t="n">
        <x:f>'年度分部假设'!V15</x:f>
        <x:v>0.25</x:v>
      </x:c>
      <x:c r="Q9" s="11" t="n">
        <x:f>'年度分部假设'!X11*H9</x:f>
        <x:v>0.5968</x:v>
      </x:c>
      <x:c r="R9" s="11" t="n">
        <x:f>0</x:f>
        <x:v>0</x:v>
      </x:c>
      <x:c r="S9" s="11" t="n">
        <x:f>IF(AND(B9=2027,'转债资金假设'!H7=0),'转债资金假设'!F7,0)</x:f>
        <x:v>0</x:v>
      </x:c>
      <x:c r="T9" s="11" t="n">
        <x:f>'年度分部假设'!Y15</x:f>
        <x:v>-0.3</x:v>
      </x:c>
      <x:c r="U9" s="11" t="n">
        <x:f>L9+M9-N9-O9-P9-Q9+R9-S9+T9</x:f>
        <x:v>-0.038213590810157905</x:v>
      </x:c>
      <x:c r="V9" s="11" t="n">
        <x:f>V8+T9</x:f>
        <x:v>6.174413</x:v>
      </x:c>
      <x:c r="W9" s="11" t="n">
        <x:f>IF(B9=2026,'转债资金假设'!F7,0)</x:f>
        <x:v>0</x:v>
      </x:c>
      <x:c r="X9" s="11" t="n">
        <x:f>V9+W9-U9</x:f>
        <x:v>6.212626590810158</x:v>
      </x:c>
      <x:c r="Y9" s="11" t="n">
        <x:f>IF(AND(B9&gt;=2027,'转债资金假设'!H7=1),'转债资金假设'!G7,0)</x:f>
        <x:v>0</x:v>
      </x:c>
      <x:c r="Z9" s="11" t="str">
        <x:f>IF(B9=2026,"尚未到期",IF('转债资金假设'!H7=1,"转股不偿现金","现金偿还不转股"))</x:f>
        <x:v>现金偿还不转股</x:v>
      </x:c>
    </x:row>
    <x:row r="10" ht="23" customHeight="1">
      <x:c r="A10" s="11" t="str">
        <x:v>03759.HK</x:v>
      </x:c>
      <x:c r="B10" s="11" t="n">
        <x:v>2029</x:v>
      </x:c>
      <x:c r="C10" s="11" t="n">
        <x:f>'年度分部假设'!D19+'年度分部假设'!E19+'年度分部假设'!F19+'转债资金假设'!P7</x:f>
        <x:v>27.16</x:v>
      </x:c>
      <x:c r="D10" s="11" t="n">
        <x:f>'年度分部假设'!D19*'年度分部假设'!G19+'年度分部假设'!E19*'年度分部假设'!H19+'年度分部假设'!F19*'年度分部假设'!I19+'转债资金假设'!P7*'转债资金假设'!Q7</x:f>
        <x:v>9.8289</x:v>
      </x:c>
      <x:c r="E10" s="11" t="n">
        <x:f>D10-'年度分部假设'!J19-'年度分部假设'!K19-'年度分部假设'!L19-'年度分部假设'!M19-'年度分部假设'!N19-'年度分部假设'!O19</x:f>
        <x:v>4.9189</x:v>
      </x:c>
      <x:c r="F10" s="11" t="n">
        <x:f>E10*(1-'年度分部假设'!P19)</x:f>
        <x:v>3.836742</x:v>
      </x:c>
      <x:c r="G10" s="11" t="n">
        <x:f>F10+'年度分部假设'!Q19</x:f>
        <x:v>3.856742</x:v>
      </x:c>
      <x:c r="H10" s="11" t="n">
        <x:f>'年度分部假设'!R19+Y10</x:f>
        <x:v>1.88</x:v>
      </x:c>
      <x:c r="I10" s="11" t="n">
        <x:f>G10/H10</x:f>
        <x:v>2.051458510638298</x:v>
      </x:c>
      <x:c r="J10" s="11" t="n">
        <x:f>F10+'年度分部假设'!S19+'年度分部假设'!W19-'年度分部假设'!U19</x:f>
        <x:v>4.556742</x:v>
      </x:c>
      <x:c r="K10" s="11" t="n">
        <x:f>J10-'年度分部假设'!T19</x:f>
        <x:v>1.5567419999999998</x:v>
      </x:c>
      <x:c r="L10" s="11" t="n">
        <x:f>U9</x:f>
        <x:v>-0.038213590810157905</x:v>
      </x:c>
      <x:c r="M10" s="11" t="n">
        <x:f>J10</x:f>
        <x:v>4.556742</x:v>
      </x:c>
      <x:c r="N10" s="11" t="n">
        <x:f>'年度分部假设'!T19</x:f>
        <x:v>3</x:v>
      </x:c>
      <x:c r="O10" s="11" t="n">
        <x:f>'转债资金假设'!O7</x:f>
        <x:v>0.2</x:v>
      </x:c>
      <x:c r="P10" s="11" t="n">
        <x:f>'年度分部假设'!V19</x:f>
        <x:v>0.2</x:v>
      </x:c>
      <x:c r="Q10" s="11" t="n">
        <x:f>'年度分部假设'!X15*H10</x:f>
        <x:v>0.7896</x:v>
      </x:c>
      <x:c r="R10" s="11" t="n">
        <x:f>0</x:f>
        <x:v>0</x:v>
      </x:c>
      <x:c r="S10" s="11" t="n">
        <x:f>IF(AND(B10=2027,'转债资金假设'!H7=0),'转债资金假设'!F7,0)</x:f>
        <x:v>0</x:v>
      </x:c>
      <x:c r="T10" s="11" t="n">
        <x:f>'年度分部假设'!Y19</x:f>
        <x:v>-0.5</x:v>
      </x:c>
      <x:c r="U10" s="11" t="n">
        <x:f>L10+M10-N10-O10-P10-Q10+R10-S10+T10</x:f>
        <x:v>-0.171071590810158</x:v>
      </x:c>
      <x:c r="V10" s="11" t="n">
        <x:f>V9+T10</x:f>
        <x:v>5.674413</x:v>
      </x:c>
      <x:c r="W10" s="11" t="n">
        <x:f>IF(B10=2026,'转债资金假设'!F7,0)</x:f>
        <x:v>0</x:v>
      </x:c>
      <x:c r="X10" s="11" t="n">
        <x:f>V10+W10-U10</x:f>
        <x:v>5.845484590810158</x:v>
      </x:c>
      <x:c r="Y10" s="11" t="n">
        <x:f>IF(AND(B10&gt;=2027,'转债资金假设'!H7=1),'转债资金假设'!G7,0)</x:f>
        <x:v>0</x:v>
      </x:c>
      <x:c r="Z10" s="11" t="str">
        <x:f>IF(B10=2026,"尚未到期",IF('转债资金假设'!H7=1,"转股不偿现金","现金偿还不转股"))</x:f>
        <x:v>现金偿还不转股</x:v>
      </x:c>
    </x:row>
    <x:row r="11" ht="23" customHeight="1">
      <x:c r="A11" s="11" t="str">
        <x:v>03759.HK</x:v>
      </x:c>
      <x:c r="B11" s="11" t="n">
        <x:v>2030</x:v>
      </x:c>
      <x:c r="C11" s="11" t="n">
        <x:f>'年度分部假设'!D23+'年度分部假设'!E23+'年度分部假设'!F23+'转债资金假设'!P7</x:f>
        <x:v>30.919999999999998</x:v>
      </x:c>
      <x:c r="D11" s="11" t="n">
        <x:f>'年度分部假设'!D23*'年度分部假设'!G23+'年度分部假设'!E23*'年度分部假设'!H23+'年度分部假设'!F23*'年度分部假设'!I23+'转债资金假设'!P7*'转债资金假设'!Q7</x:f>
        <x:v>11.2775</x:v>
      </x:c>
      <x:c r="E11" s="11" t="n">
        <x:f>D11-'年度分部假设'!J23-'年度分部假设'!K23-'年度分部假设'!L23-'年度分部假设'!M23-'年度分部假设'!N23-'年度分部假设'!O23</x:f>
        <x:v>5.887500000000001</x:v>
      </x:c>
      <x:c r="F11" s="11" t="n">
        <x:f>E11*(1-'年度分部假设'!P23)</x:f>
        <x:v>4.592250000000001</x:v>
      </x:c>
      <x:c r="G11" s="11" t="n">
        <x:f>F11+'年度分部假设'!Q23</x:f>
        <x:v>4.602250000000001</x:v>
      </x:c>
      <x:c r="H11" s="11" t="n">
        <x:f>'年度分部假设'!R23+Y11</x:f>
        <x:v>1.895</x:v>
      </x:c>
      <x:c r="I11" s="11" t="n">
        <x:f>G11/H11</x:f>
        <x:v>2.428627968337731</x:v>
      </x:c>
      <x:c r="J11" s="11" t="n">
        <x:f>F11+'年度分部假设'!S23+'年度分部假设'!W23-'年度分部假设'!U23</x:f>
        <x:v>5.402250000000001</x:v>
      </x:c>
      <x:c r="K11" s="11" t="n">
        <x:f>J11-'年度分部假设'!T23</x:f>
        <x:v>2.6022500000000015</x:v>
      </x:c>
      <x:c r="L11" s="11" t="n">
        <x:f>U10</x:f>
        <x:v>-0.171071590810158</x:v>
      </x:c>
      <x:c r="M11" s="11" t="n">
        <x:f>J11</x:f>
        <x:v>5.402250000000001</x:v>
      </x:c>
      <x:c r="N11" s="11" t="n">
        <x:f>'年度分部假设'!T23</x:f>
        <x:v>2.8</x:v>
      </x:c>
      <x:c r="O11" s="11" t="n">
        <x:f>'转债资金假设'!O7</x:f>
        <x:v>0.2</x:v>
      </x:c>
      <x:c r="P11" s="11" t="n">
        <x:f>'年度分部假设'!V23</x:f>
        <x:v>0.2</x:v>
      </x:c>
      <x:c r="Q11" s="11" t="n">
        <x:f>'年度分部假设'!X19*H11</x:f>
        <x:v>0.9854</x:v>
      </x:c>
      <x:c r="R11" s="11" t="n">
        <x:f>0</x:f>
        <x:v>0</x:v>
      </x:c>
      <x:c r="S11" s="11" t="n">
        <x:f>IF(AND(B11=2027,'转债资金假设'!H7=0),'转债资金假设'!F7,0)</x:f>
        <x:v>0</x:v>
      </x:c>
      <x:c r="T11" s="11" t="n">
        <x:f>'年度分部假设'!Y23</x:f>
        <x:v>-0.8</x:v>
      </x:c>
      <x:c r="U11" s="11" t="n">
        <x:f>L11+M11-N11-O11-P11-Q11+R11-S11+T11</x:f>
        <x:v>0.2457784091898434</x:v>
      </x:c>
      <x:c r="V11" s="11" t="n">
        <x:f>V10+T11</x:f>
        <x:v>4.8744130000000006</x:v>
      </x:c>
      <x:c r="W11" s="11" t="n">
        <x:f>IF(B11=2026,'转债资金假设'!F7,0)</x:f>
        <x:v>0</x:v>
      </x:c>
      <x:c r="X11" s="11" t="n">
        <x:f>V11+W11-U11</x:f>
        <x:v>4.628634590810157</x:v>
      </x:c>
      <x:c r="Y11" s="11" t="n">
        <x:f>IF(AND(B11&gt;=2027,'转债资金假设'!H7=1),'转债资金假设'!G7,0)</x:f>
        <x:v>0</x:v>
      </x:c>
      <x:c r="Z11" s="11" t="str">
        <x:f>IF(B11=2026,"尚未到期",IF('转债资金假设'!H7=1,"转股不偿现金","现金偿还不转股"))</x:f>
        <x:v>现金偿还不转股</x:v>
      </x:c>
    </x:row>
    <x:row r="12" ht="23" customHeight="1">
      <x:c r="A12" s="11" t="str">
        <x:v>03759.HK</x:v>
      </x:c>
      <x:c r="B12" s="11" t="n">
        <x:v>2031</x:v>
      </x:c>
      <x:c r="C12" s="11" t="n">
        <x:f>'年度分部假设'!D27+'年度分部假设'!E27+'年度分部假设'!F27+'转债资金假设'!P7</x:f>
        <x:v>34.81</x:v>
      </x:c>
      <x:c r="D12" s="11" t="n">
        <x:f>'年度分部假设'!D27*'年度分部假设'!G27+'年度分部假设'!E27*'年度分部假设'!H27+'年度分部假设'!F27*'年度分部假设'!I27+'转债资金假设'!P7*'转债资金假设'!Q7</x:f>
        <x:v>12.6824</x:v>
      </x:c>
      <x:c r="E12" s="11" t="n">
        <x:f>D12-'年度分部假设'!J27-'年度分部假设'!K27-'年度分部假设'!L27-'年度分部假设'!M27-'年度分部假设'!N27-'年度分部假设'!O27</x:f>
        <x:v>6.8024000000000004</x:v>
      </x:c>
      <x:c r="F12" s="11" t="n">
        <x:f>E12*(1-'年度分部假设'!P27)</x:f>
        <x:v>5.305872000000001</x:v>
      </x:c>
      <x:c r="G12" s="11" t="n">
        <x:f>F12+'年度分部假设'!Q27</x:f>
        <x:v>5.305872000000001</x:v>
      </x:c>
      <x:c r="H12" s="11" t="n">
        <x:f>'年度分部假设'!R27+Y12</x:f>
        <x:v>1.91</x:v>
      </x:c>
      <x:c r="I12" s="11" t="n">
        <x:f>G12/H12</x:f>
        <x:v>2.7779434554973825</x:v>
      </x:c>
      <x:c r="J12" s="11" t="n">
        <x:f>F12+'年度分部假设'!S27+'年度分部假设'!W27-'年度分部假设'!U27</x:f>
        <x:v>6.215872</x:v>
      </x:c>
      <x:c r="K12" s="11" t="n">
        <x:f>J12-'年度分部假设'!T27</x:f>
        <x:v>3.615872</x:v>
      </x:c>
      <x:c r="L12" s="11" t="n">
        <x:f>U11</x:f>
        <x:v>0.2457784091898434</x:v>
      </x:c>
      <x:c r="M12" s="11" t="n">
        <x:f>J12</x:f>
        <x:v>6.215872</x:v>
      </x:c>
      <x:c r="N12" s="11" t="n">
        <x:f>'年度分部假设'!T27</x:f>
        <x:v>2.6</x:v>
      </x:c>
      <x:c r="O12" s="11" t="n">
        <x:f>'转债资金假设'!O7</x:f>
        <x:v>0.2</x:v>
      </x:c>
      <x:c r="P12" s="11" t="n">
        <x:f>'年度分部假设'!V27</x:f>
        <x:v>0.2</x:v>
      </x:c>
      <x:c r="Q12" s="11" t="n">
        <x:f>'年度分部假设'!X23*H12</x:f>
        <x:v>1.2224</x:v>
      </x:c>
      <x:c r="R12" s="11" t="n">
        <x:f>0</x:f>
        <x:v>0</x:v>
      </x:c>
      <x:c r="S12" s="11" t="n">
        <x:f>IF(AND(B12=2027,'转债资金假设'!H7=0),'转债资金假设'!F7,0)</x:f>
        <x:v>0</x:v>
      </x:c>
      <x:c r="T12" s="11" t="n">
        <x:f>'年度分部假设'!Y27</x:f>
        <x:v>-1</x:v>
      </x:c>
      <x:c r="U12" s="11" t="n">
        <x:f>L12+M12-N12-O12-P12-Q12+R12-S12+T12</x:f>
        <x:v>1.239250409189843</x:v>
      </x:c>
      <x:c r="V12" s="11" t="n">
        <x:f>V11+T12</x:f>
        <x:v>3.8744130000000006</x:v>
      </x:c>
      <x:c r="W12" s="11" t="n">
        <x:f>IF(B12=2026,'转债资金假设'!F7,0)</x:f>
        <x:v>0</x:v>
      </x:c>
      <x:c r="X12" s="11" t="n">
        <x:f>V12+W12-U12</x:f>
        <x:v>2.6351625908101575</x:v>
      </x:c>
      <x:c r="Y12" s="11" t="n">
        <x:f>IF(AND(B12&gt;=2027,'转债资金假设'!H7=1),'转债资金假设'!G7,0)</x:f>
        <x:v>0</x:v>
      </x:c>
      <x:c r="Z12" s="11" t="str">
        <x:f>IF(B12=2026,"尚未到期",IF('转债资金假设'!H7=1,"转股不偿现金","现金偿还不转股"))</x:f>
        <x:v>现金偿还不转股</x:v>
      </x:c>
    </x:row>
    <x:row r="13" ht="23" customHeight="1">
      <x:c r="A13" s="11" t="str">
        <x:v>03759.HK</x:v>
      </x:c>
      <x:c r="B13" s="11" t="n">
        <x:v>2032</x:v>
      </x:c>
      <x:c r="C13" s="11" t="n">
        <x:f>'年度分部假设'!D31+'年度分部假设'!E31+'年度分部假设'!F31+'转债资金假设'!P7</x:f>
        <x:v>38.7</x:v>
      </x:c>
      <x:c r="D13" s="11" t="n">
        <x:f>'年度分部假设'!D31*'年度分部假设'!G31+'年度分部假设'!E31*'年度分部假设'!H31+'年度分部假设'!F31*'年度分部假设'!I31+'转债资金假设'!P7*'转债资金假设'!Q7</x:f>
        <x:v>14.065600000000002</x:v>
      </x:c>
      <x:c r="E13" s="11" t="n">
        <x:f>D13-'年度分部假设'!J31-'年度分部假设'!K31-'年度分部假设'!L31-'年度分部假设'!M31-'年度分部假设'!N31-'年度分部假设'!O31</x:f>
        <x:v>7.6956000000000016</x:v>
      </x:c>
      <x:c r="F13" s="11" t="n">
        <x:f>E13*(1-'年度分部假设'!P31)</x:f>
        <x:v>6.002568000000001</x:v>
      </x:c>
      <x:c r="G13" s="11" t="n">
        <x:f>F13+'年度分部假设'!Q31</x:f>
        <x:v>6.002568000000001</x:v>
      </x:c>
      <x:c r="H13" s="11" t="n">
        <x:f>'年度分部假设'!R31+Y13</x:f>
        <x:v>1.925</x:v>
      </x:c>
      <x:c r="I13" s="11" t="n">
        <x:f>G13/H13</x:f>
        <x:v>3.1182171428571435</x:v>
      </x:c>
      <x:c r="J13" s="11" t="n">
        <x:f>F13+'年度分部假设'!S31+'年度分部假设'!W31-'年度分部假设'!U31</x:f>
        <x:v>7.0225680000000015</x:v>
      </x:c>
      <x:c r="K13" s="11" t="n">
        <x:f>J13-'年度分部假设'!T31</x:f>
        <x:v>4.5225680000000015</x:v>
      </x:c>
      <x:c r="L13" s="11" t="n">
        <x:f>U12</x:f>
        <x:v>1.239250409189843</x:v>
      </x:c>
      <x:c r="M13" s="11" t="n">
        <x:f>J13</x:f>
        <x:v>7.0225680000000015</x:v>
      </x:c>
      <x:c r="N13" s="11" t="n">
        <x:f>'年度分部假设'!T31</x:f>
        <x:v>2.5</x:v>
      </x:c>
      <x:c r="O13" s="11" t="n">
        <x:f>'转债资金假设'!O7</x:f>
        <x:v>0.2</x:v>
      </x:c>
      <x:c r="P13" s="11" t="n">
        <x:f>'年度分部假设'!V31</x:f>
        <x:v>0.2</x:v>
      </x:c>
      <x:c r="Q13" s="11" t="n">
        <x:f>'年度分部假设'!X27*H13</x:f>
        <x:v>1.463</x:v>
      </x:c>
      <x:c r="R13" s="11" t="n">
        <x:f>0</x:f>
        <x:v>0</x:v>
      </x:c>
      <x:c r="S13" s="11" t="n">
        <x:f>IF(AND(B13=2027,'转债资金假设'!H7=0),'转债资金假设'!F7,0)</x:f>
        <x:v>0</x:v>
      </x:c>
      <x:c r="T13" s="11" t="n">
        <x:f>'年度分部假设'!Y31</x:f>
        <x:v>-1</x:v>
      </x:c>
      <x:c r="U13" s="11" t="n">
        <x:f>L13+M13-N13-O13-P13-Q13+R13-S13+T13</x:f>
        <x:v>2.898818409189844</x:v>
      </x:c>
      <x:c r="V13" s="11" t="n">
        <x:f>V12+T13</x:f>
        <x:v>2.8744130000000006</x:v>
      </x:c>
      <x:c r="W13" s="11" t="n">
        <x:f>IF(B13=2026,'转债资金假设'!F7,0)</x:f>
        <x:v>0</x:v>
      </x:c>
      <x:c r="X13" s="11" t="n">
        <x:f>V13+W13-U13</x:f>
        <x:v>-0.024405409189843574</x:v>
      </x:c>
      <x:c r="Y13" s="11" t="n">
        <x:f>IF(AND(B13&gt;=2027,'转债资金假设'!H7=1),'转债资金假设'!G7,0)</x:f>
        <x:v>0</x:v>
      </x:c>
      <x:c r="Z13" s="11" t="str">
        <x:f>IF(B13=2026,"尚未到期",IF('转债资金假设'!H7=1,"转股不偿现金","现金偿还不转股"))</x:f>
        <x:v>现金偿还不转股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</x:cols>
  <x:sheetData>
    <x:row r="1">
      <x:c r="A1" s="2"/>
      <x:c r="B1" s="2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30"/>
      <x:c r="AC1" s="30"/>
      <x:c r="AD1" s="30"/>
    </x:row>
    <x:row r="2">
      <x:c r="A2" s="29" t="str">
        <x:v>先声固定锚与融资分支 CNY十亿 比率小数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</x:row>
    <x:row r="6" ht="52" customHeight="1">
      <x:c r="A6" s="12" t="str">
        <x:v>代码</x:v>
      </x:c>
      <x:c r="B6" s="12" t="str">
        <x:v>输入层</x:v>
      </x:c>
      <x:c r="C6" s="12" t="str">
        <x:v>神经毛利率</x:v>
      </x:c>
      <x:c r="D6" s="12" t="str">
        <x:v>免疫毛利率</x:v>
      </x:c>
      <x:c r="E6" s="12" t="str">
        <x:v>肿瘤毛利率</x:v>
      </x:c>
      <x:c r="F6" s="12" t="str">
        <x:v>其他毛利率</x:v>
      </x:c>
      <x:c r="G6" s="12" t="str">
        <x:v>税率</x:v>
      </x:c>
      <x:c r="H6" s="12" t="str">
        <x:v>六月流动现金含定存</x:v>
      </x:c>
      <x:c r="I6" s="12" t="str">
        <x:v>六月银行债</x:v>
      </x:c>
      <x:c r="J6" s="12" t="str">
        <x:v>六月赎回负债</x:v>
      </x:c>
      <x:c r="K6" s="12" t="str">
        <x:v>现金赎回分支1或0</x:v>
      </x:c>
      <x:c r="L6" s="12" t="str">
        <x:v>赎回年度</x:v>
      </x:c>
      <x:c r="M6" s="12" t="str">
        <x:v>赎回现金</x:v>
      </x:c>
      <x:c r="N6" s="12" t="str">
        <x:v>赎回后经济母份额</x:v>
      </x:c>
      <x:c r="O6" s="12" t="str">
        <x:v>肿瘤销售费用分配</x:v>
      </x:c>
      <x:c r="P6" s="12" t="str">
        <x:v>肿瘤行政费用分配</x:v>
      </x:c>
      <x:c r="Q6" s="12" t="str">
        <x:v>肿瘤研发费用分配</x:v>
      </x:c>
      <x:c r="R6" s="12" t="str">
        <x:v>肿瘤减值分配</x:v>
      </x:c>
      <x:c r="S6" s="12" t="str">
        <x:v>2026剩余核心OCF占全年</x:v>
      </x:c>
      <x:c r="T6" s="12" t="str">
        <x:v>实际H1资本开支</x:v>
      </x:c>
      <x:c r="U6" s="12" t="str">
        <x:v>实际H1许可购买现金</x:v>
      </x:c>
      <x:c r="V6" s="12" t="str">
        <x:v>2026已宣派分红现金</x:v>
      </x:c>
      <x:c r="W6" s="12" t="str">
        <x:v>年度租赁本金</x:v>
      </x:c>
      <x:c r="X6" s="12" t="str">
        <x:v>Roche首付USD十亿</x:v>
      </x:c>
      <x:c r="Y6" s="12" t="str">
        <x:v>Roche净现金比例</x:v>
      </x:c>
      <x:c r="Z6" s="12" t="str">
        <x:v>所选里程碑净现金比例</x:v>
      </x:c>
      <x:c r="AA6" s="12" t="str">
        <x:v>CNY每USD研究假设</x:v>
      </x:c>
    </x:row>
    <x:row r="7" ht="23" customHeight="1">
      <x:c r="A7" s="11" t="str">
        <x:v>02096.HK</x:v>
      </x:c>
      <x:c r="B7" s="11" t="str">
        <x:v>活动输入</x:v>
      </x:c>
      <x:c r="C7" s="11" t="n">
        <x:f>CHOOSE('假设'!$B$3,C8,C9,C10)</x:f>
        <x:v>0.82</x:v>
      </x:c>
      <x:c r="D7" s="11" t="n">
        <x:f>CHOOSE('假设'!$B$3,D8,D9,D10)</x:f>
        <x:v>0.83</x:v>
      </x:c>
      <x:c r="E7" s="11" t="n">
        <x:f>CHOOSE('假设'!$B$3,E8,E9,E10)</x:f>
        <x:v>0.81</x:v>
      </x:c>
      <x:c r="F7" s="11" t="n">
        <x:f>CHOOSE('假设'!$B$3,F8,F9,F10)</x:f>
        <x:v>0.6</x:v>
      </x:c>
      <x:c r="G7" s="11" t="n">
        <x:f>CHOOSE('假设'!$B$3,G8,G9,G10)</x:f>
        <x:v>0.2</x:v>
      </x:c>
      <x:c r="H7" s="11" t="n">
        <x:f>CHOOSE('假设'!$B$3,H8,H9,H10)</x:f>
        <x:v>5.197607</x:v>
      </x:c>
      <x:c r="I7" s="11" t="n">
        <x:f>CHOOSE('假设'!$B$3,I8,I9,I10)</x:f>
        <x:v>1.05799</x:v>
      </x:c>
      <x:c r="J7" s="11" t="n">
        <x:f>CHOOSE('假设'!$B$3,J8,J9,J10)</x:f>
        <x:v>1.223692</x:v>
      </x:c>
      <x:c r="K7" s="11" t="n">
        <x:f>CHOOSE('假设'!$B$3,K8,K9,K10)</x:f>
        <x:v>0</x:v>
      </x:c>
      <x:c r="L7" s="11" t="n">
        <x:f>CHOOSE('假设'!$B$3,L8,L9,L10)</x:f>
        <x:v>2027</x:v>
      </x:c>
      <x:c r="M7" s="11" t="n">
        <x:f>CHOOSE('假设'!$B$3,M8,M9,M10)</x:f>
        <x:v>1.32</x:v>
      </x:c>
      <x:c r="N7" s="11" t="n">
        <x:f>CHOOSE('假设'!$B$3,N8,N9,N10)</x:f>
        <x:v>0.98</x:v>
      </x:c>
      <x:c r="O7" s="11" t="n">
        <x:f>CHOOSE('假设'!$B$3,O8,O9,O10)</x:f>
        <x:v>0.26</x:v>
      </x:c>
      <x:c r="P7" s="11" t="n">
        <x:f>CHOOSE('假设'!$B$3,P8,P9,P10)</x:f>
        <x:v>0.32</x:v>
      </x:c>
      <x:c r="Q7" s="11" t="n">
        <x:f>CHOOSE('假设'!$B$3,Q8,Q9,Q10)</x:f>
        <x:v>0.4</x:v>
      </x:c>
      <x:c r="R7" s="11" t="n">
        <x:f>CHOOSE('假设'!$B$3,R8,R9,R10)</x:f>
        <x:v>0.35</x:v>
      </x:c>
      <x:c r="S7" s="11" t="n">
        <x:f>CHOOSE('假设'!$B$3,S8,S9,S10)</x:f>
        <x:v>0.5</x:v>
      </x:c>
      <x:c r="T7" s="11" t="n">
        <x:f>CHOOSE('假设'!$B$3,T8,T9,T10)</x:f>
        <x:v>0.252953</x:v>
      </x:c>
      <x:c r="U7" s="11" t="n">
        <x:f>CHOOSE('假设'!$B$3,U8,U9,U10)</x:f>
        <x:v>0.113705</x:v>
      </x:c>
      <x:c r="V7" s="11" t="n">
        <x:f>CHOOSE('假设'!$B$3,V8,V9,V10)</x:f>
        <x:v>0.45726799999999995</x:v>
      </x:c>
      <x:c r="W7" s="11" t="n">
        <x:f>CHOOSE('假设'!$B$3,W8,W9,W10)</x:f>
        <x:v>0.04</x:v>
      </x:c>
      <x:c r="X7" s="11" t="n">
        <x:f>CHOOSE('假设'!$B$3,X8,X9,X10)</x:f>
        <x:v>0.075</x:v>
      </x:c>
      <x:c r="Y7" s="11" t="n">
        <x:f>CHOOSE('假设'!$B$3,Y8,Y9,Y10)</x:f>
        <x:v>0.85</x:v>
      </x:c>
      <x:c r="Z7" s="11" t="n">
        <x:f>CHOOSE('假设'!$B$3,Z8,Z9,Z10)</x:f>
        <x:v>0.85</x:v>
      </x:c>
      <x:c r="AA7" s="11" t="n">
        <x:f>CHOOSE('假设'!$B$3,AA8,AA9,AA10)</x:f>
        <x:v>7</x:v>
      </x:c>
    </x:row>
    <x:row r="8" ht="23" customHeight="1">
      <x:c r="A8" s="11" t="str">
        <x:v>02096.HK</x:v>
      </x:c>
      <x:c r="B8" s="11" t="str">
        <x:v>悲观</x:v>
      </x:c>
      <x:c r="C8" s="16" t="n">
        <x:v>0.77</x:v>
      </x:c>
      <x:c r="D8" s="16" t="n">
        <x:v>0.78</x:v>
      </x:c>
      <x:c r="E8" s="16" t="n">
        <x:v>0.74</x:v>
      </x:c>
      <x:c r="F8" s="16" t="n">
        <x:v>0.55</x:v>
      </x:c>
      <x:c r="G8" s="16" t="n">
        <x:v>0.23</x:v>
      </x:c>
      <x:c r="H8" s="16" t="n">
        <x:v>5.197607</x:v>
      </x:c>
      <x:c r="I8" s="16" t="n">
        <x:v>1.05799</x:v>
      </x:c>
      <x:c r="J8" s="16" t="n">
        <x:v>1.223692</x:v>
      </x:c>
      <x:c r="K8" s="16" t="n">
        <x:v>1</x:v>
      </x:c>
      <x:c r="L8" s="16" t="n">
        <x:v>2027</x:v>
      </x:c>
      <x:c r="M8" s="16" t="n">
        <x:v>1.32</x:v>
      </x:c>
      <x:c r="N8" s="16" t="n">
        <x:v>0.98</x:v>
      </x:c>
      <x:c r="O8" s="16" t="n">
        <x:v>0.26</x:v>
      </x:c>
      <x:c r="P8" s="16" t="n">
        <x:v>0.32</x:v>
      </x:c>
      <x:c r="Q8" s="16" t="n">
        <x:v>0.4</x:v>
      </x:c>
      <x:c r="R8" s="16" t="n">
        <x:v>0.35</x:v>
      </x:c>
      <x:c r="S8" s="16" t="n">
        <x:v>0.5</x:v>
      </x:c>
      <x:c r="T8" s="16" t="n">
        <x:v>0.252953</x:v>
      </x:c>
      <x:c r="U8" s="16" t="n">
        <x:v>0.113705</x:v>
      </x:c>
      <x:c r="V8" s="16" t="n">
        <x:v>0.45726799999999995</x:v>
      </x:c>
      <x:c r="W8" s="16" t="n">
        <x:v>0.04</x:v>
      </x:c>
      <x:c r="X8" s="16" t="n">
        <x:v>0.075</x:v>
      </x:c>
      <x:c r="Y8" s="16" t="n">
        <x:v>0.85</x:v>
      </x:c>
      <x:c r="Z8" s="16" t="n">
        <x:v>0.85</x:v>
      </x:c>
      <x:c r="AA8" s="16" t="n">
        <x:v>7</x:v>
      </x:c>
    </x:row>
    <x:row r="9" ht="23" customHeight="1">
      <x:c r="A9" s="11" t="str">
        <x:v>02096.HK</x:v>
      </x:c>
      <x:c r="B9" s="11" t="str">
        <x:v>基准</x:v>
      </x:c>
      <x:c r="C9" s="16" t="n">
        <x:v>0.82</x:v>
      </x:c>
      <x:c r="D9" s="16" t="n">
        <x:v>0.83</x:v>
      </x:c>
      <x:c r="E9" s="16" t="n">
        <x:v>0.81</x:v>
      </x:c>
      <x:c r="F9" s="16" t="n">
        <x:v>0.6</x:v>
      </x:c>
      <x:c r="G9" s="16" t="n">
        <x:v>0.2</x:v>
      </x:c>
      <x:c r="H9" s="16" t="n">
        <x:v>5.197607</x:v>
      </x:c>
      <x:c r="I9" s="16" t="n">
        <x:v>1.05799</x:v>
      </x:c>
      <x:c r="J9" s="16" t="n">
        <x:v>1.223692</x:v>
      </x:c>
      <x:c r="K9" s="16" t="n">
        <x:v>0</x:v>
      </x:c>
      <x:c r="L9" s="16" t="n">
        <x:v>2027</x:v>
      </x:c>
      <x:c r="M9" s="16" t="n">
        <x:v>1.32</x:v>
      </x:c>
      <x:c r="N9" s="16" t="n">
        <x:v>0.98</x:v>
      </x:c>
      <x:c r="O9" s="16" t="n">
        <x:v>0.26</x:v>
      </x:c>
      <x:c r="P9" s="16" t="n">
        <x:v>0.32</x:v>
      </x:c>
      <x:c r="Q9" s="16" t="n">
        <x:v>0.4</x:v>
      </x:c>
      <x:c r="R9" s="16" t="n">
        <x:v>0.35</x:v>
      </x:c>
      <x:c r="S9" s="16" t="n">
        <x:v>0.5</x:v>
      </x:c>
      <x:c r="T9" s="16" t="n">
        <x:v>0.252953</x:v>
      </x:c>
      <x:c r="U9" s="16" t="n">
        <x:v>0.113705</x:v>
      </x:c>
      <x:c r="V9" s="16" t="n">
        <x:v>0.45726799999999995</x:v>
      </x:c>
      <x:c r="W9" s="16" t="n">
        <x:v>0.04</x:v>
      </x:c>
      <x:c r="X9" s="16" t="n">
        <x:v>0.075</x:v>
      </x:c>
      <x:c r="Y9" s="16" t="n">
        <x:v>0.85</x:v>
      </x:c>
      <x:c r="Z9" s="16" t="n">
        <x:v>0.85</x:v>
      </x:c>
      <x:c r="AA9" s="16" t="n">
        <x:v>7</x:v>
      </x:c>
    </x:row>
    <x:row r="10" ht="23" customHeight="1">
      <x:c r="A10" s="11" t="str">
        <x:v>02096.HK</x:v>
      </x:c>
      <x:c r="B10" s="11" t="str">
        <x:v>乐观</x:v>
      </x:c>
      <x:c r="C10" s="16" t="n">
        <x:v>0.85</x:v>
      </x:c>
      <x:c r="D10" s="16" t="n">
        <x:v>0.86</x:v>
      </x:c>
      <x:c r="E10" s="16" t="n">
        <x:v>0.84</x:v>
      </x:c>
      <x:c r="F10" s="16" t="n">
        <x:v>0.65</x:v>
      </x:c>
      <x:c r="G10" s="16" t="n">
        <x:v>0.18</x:v>
      </x:c>
      <x:c r="H10" s="16" t="n">
        <x:v>5.197607</x:v>
      </x:c>
      <x:c r="I10" s="16" t="n">
        <x:v>1.05799</x:v>
      </x:c>
      <x:c r="J10" s="16" t="n">
        <x:v>1.223692</x:v>
      </x:c>
      <x:c r="K10" s="16" t="n">
        <x:v>0</x:v>
      </x:c>
      <x:c r="L10" s="16" t="n">
        <x:v>2027</x:v>
      </x:c>
      <x:c r="M10" s="16" t="n">
        <x:v>1.32</x:v>
      </x:c>
      <x:c r="N10" s="16" t="n">
        <x:v>0.98</x:v>
      </x:c>
      <x:c r="O10" s="16" t="n">
        <x:v>0.26</x:v>
      </x:c>
      <x:c r="P10" s="16" t="n">
        <x:v>0.32</x:v>
      </x:c>
      <x:c r="Q10" s="16" t="n">
        <x:v>0.4</x:v>
      </x:c>
      <x:c r="R10" s="16" t="n">
        <x:v>0.35</x:v>
      </x:c>
      <x:c r="S10" s="16" t="n">
        <x:v>0.5</x:v>
      </x:c>
      <x:c r="T10" s="16" t="n">
        <x:v>0.252953</x:v>
      </x:c>
      <x:c r="U10" s="16" t="n">
        <x:v>0.113705</x:v>
      </x:c>
      <x:c r="V10" s="16" t="n">
        <x:v>0.45726799999999995</x:v>
      </x:c>
      <x:c r="W10" s="16" t="n">
        <x:v>0.04</x:v>
      </x:c>
      <x:c r="X10" s="16" t="n">
        <x:v>0.075</x:v>
      </x:c>
      <x:c r="Y10" s="16" t="n">
        <x:v>0.85</x:v>
      </x:c>
      <x:c r="Z10" s="16" t="n">
        <x:v>0.85</x:v>
      </x:c>
      <x:c r="AA10" s="16" t="n">
        <x:v>7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</x:cols>
  <x:sheetData>
    <x:row r="1">
      <x:c r="A1" s="2"/>
      <x:c r="B1" s="31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30"/>
      <x:c r="Z1" s="30"/>
      <x:c r="AA1" s="30"/>
      <x:c r="AB1" s="30"/>
      <x:c r="AC1" s="30"/>
      <x:c r="AD1" s="30"/>
    </x:row>
    <x:row r="2">
      <x:c r="A2" s="29" t="str">
        <x:v>先声年度运营与资金假设 CNY十亿 股数十亿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</x:row>
    <x:row r="6" ht="52" customHeight="1">
      <x:c r="A6" s="12" t="str">
        <x:v>代码</x:v>
      </x:c>
      <x:c r="B6" s="12" t="str">
        <x:v>年度</x:v>
      </x:c>
      <x:c r="C6" s="12" t="str">
        <x:v>输入层</x:v>
      </x:c>
      <x:c r="D6" s="12" t="str">
        <x:v>神经既有收入</x:v>
      </x:c>
      <x:c r="E6" s="12" t="str">
        <x:v>免疫既有收入</x:v>
      </x:c>
      <x:c r="F6" s="12" t="str">
        <x:v>肿瘤既有收入</x:v>
      </x:c>
      <x:c r="G6" s="12" t="str">
        <x:v>其他既有收入</x:v>
      </x:c>
      <x:c r="H6" s="12" t="str">
        <x:v>销售费用</x:v>
      </x:c>
      <x:c r="I6" s="12" t="str">
        <x:v>行政费用</x:v>
      </x:c>
      <x:c r="J6" s="12" t="str">
        <x:v>全集团研发费用</x:v>
      </x:c>
      <x:c r="K6" s="12" t="str">
        <x:v>减值</x:v>
      </x:c>
      <x:c r="L6" s="12" t="str">
        <x:v>银行租赁利息</x:v>
      </x:c>
      <x:c r="M6" s="12" t="str">
        <x:v>赎回利息</x:v>
      </x:c>
      <x:c r="N6" s="12" t="str">
        <x:v>未赎回分支肿瘤经济母份额</x:v>
      </x:c>
      <x:c r="O6" s="12" t="str">
        <x:v>摊薄股数</x:v>
      </x:c>
      <x:c r="P6" s="12" t="str">
        <x:v>折旧摊销</x:v>
      </x:c>
      <x:c r="Q6" s="12" t="str">
        <x:v>股酬现金调节</x:v>
      </x:c>
      <x:c r="R6" s="12" t="str">
        <x:v>年度资本开支</x:v>
      </x:c>
      <x:c r="S6" s="12" t="str">
        <x:v>年度许可购买现金</x:v>
      </x:c>
      <x:c r="T6" s="12" t="str">
        <x:v>营运资金增加</x:v>
      </x:c>
      <x:c r="U6" s="12" t="str">
        <x:v>所选里程碑税前现金</x:v>
      </x:c>
      <x:c r="V6" s="12" t="str">
        <x:v>年度每股分红CNY</x:v>
      </x:c>
      <x:c r="W6" s="12" t="str">
        <x:v>回购现金</x:v>
      </x:c>
      <x:c r="X6" s="12" t="str">
        <x:v>银行净融资</x:v>
      </x:c>
    </x:row>
    <x:row r="7" ht="23" customHeight="1">
      <x:c r="A7" s="11" t="str">
        <x:v>02096.HK</x:v>
      </x:c>
      <x:c r="B7" s="11" t="n">
        <x:v>2026</x:v>
      </x:c>
      <x:c r="C7" s="11" t="str">
        <x:v>活动输入</x:v>
      </x:c>
      <x:c r="D7" s="11" t="n">
        <x:f>CHOOSE('假设'!$B$3,D8,D9,D10)</x:f>
        <x:v>4.3</x:v>
      </x:c>
      <x:c r="E7" s="11" t="n">
        <x:f>CHOOSE('假设'!$B$3,E8,E9,E10)</x:f>
        <x:v>2.5</x:v>
      </x:c>
      <x:c r="F7" s="11" t="n">
        <x:f>CHOOSE('假设'!$B$3,F8,F9,F10)</x:f>
        <x:v>2</x:v>
      </x:c>
      <x:c r="G7" s="11" t="n">
        <x:f>CHOOSE('假设'!$B$3,G8,G9,G10)</x:f>
        <x:v>0.7</x:v>
      </x:c>
      <x:c r="H7" s="11" t="n">
        <x:f>CHOOSE('假设'!$B$3,H8,H9,H10)</x:f>
        <x:v>3.68</x:v>
      </x:c>
      <x:c r="I7" s="11" t="n">
        <x:f>CHOOSE('假设'!$B$3,I8,I9,I10)</x:f>
        <x:v>0.7</x:v>
      </x:c>
      <x:c r="J7" s="11" t="n">
        <x:f>CHOOSE('假设'!$B$3,J8,J9,J10)</x:f>
        <x:v>1.77</x:v>
      </x:c>
      <x:c r="K7" s="11" t="n">
        <x:f>CHOOSE('假设'!$B$3,K8,K9,K10)</x:f>
        <x:v>0.03</x:v>
      </x:c>
      <x:c r="L7" s="11" t="n">
        <x:f>CHOOSE('假设'!$B$3,L8,L9,L10)</x:f>
        <x:v>0.03</x:v>
      </x:c>
      <x:c r="M7" s="11" t="n">
        <x:f>CHOOSE('假设'!$B$3,M8,M9,M10)</x:f>
        <x:v>0.085</x:v>
      </x:c>
      <x:c r="N7" s="11" t="n">
        <x:f>CHOOSE('假设'!$B$3,N8,N9,N10)</x:f>
        <x:v>0.831</x:v>
      </x:c>
      <x:c r="O7" s="11" t="n">
        <x:f>CHOOSE('假设'!$B$3,O8,O9,O10)</x:f>
        <x:v>2.57</x:v>
      </x:c>
      <x:c r="P7" s="11" t="n">
        <x:f>CHOOSE('假设'!$B$3,P8,P9,P10)</x:f>
        <x:v>0.42</x:v>
      </x:c>
      <x:c r="Q7" s="11" t="n">
        <x:f>CHOOSE('假设'!$B$3,Q8,Q9,Q10)</x:f>
        <x:v>0.18</x:v>
      </x:c>
      <x:c r="R7" s="11" t="n">
        <x:f>CHOOSE('假设'!$B$3,R8,R9,R10)</x:f>
        <x:v>0.7</x:v>
      </x:c>
      <x:c r="S7" s="11" t="n">
        <x:f>CHOOSE('假设'!$B$3,S8,S9,S10)</x:f>
        <x:v>0.3</x:v>
      </x:c>
      <x:c r="T7" s="11" t="n">
        <x:f>CHOOSE('假设'!$B$3,T8,T9,T10)</x:f>
        <x:v>0.2</x:v>
      </x:c>
      <x:c r="U7" s="11" t="n">
        <x:f>CHOOSE('假设'!$B$3,U8,U9,U10)</x:f>
        <x:v>0</x:v>
      </x:c>
      <x:c r="V7" s="11" t="n">
        <x:f>CHOOSE('假设'!$B$3,V8,V9,V10)</x:f>
        <x:v>0.22</x:v>
      </x:c>
      <x:c r="W7" s="11" t="n">
        <x:f>CHOOSE('假设'!$B$3,W8,W9,W10)</x:f>
        <x:v>0.075</x:v>
      </x:c>
      <x:c r="X7" s="11" t="n">
        <x:f>CHOOSE('假设'!$B$3,X8,X9,X10)</x:f>
        <x:v>0</x:v>
      </x:c>
    </x:row>
    <x:row r="8" ht="23" customHeight="1">
      <x:c r="A8" s="11" t="str">
        <x:v>02096.HK</x:v>
      </x:c>
      <x:c r="B8" s="11" t="n">
        <x:v>2026</x:v>
      </x:c>
      <x:c r="C8" s="11" t="str">
        <x:v>悲观</x:v>
      </x:c>
      <x:c r="D8" s="16" t="n">
        <x:v>4</x:v>
      </x:c>
      <x:c r="E8" s="16" t="n">
        <x:v>2.3</x:v>
      </x:c>
      <x:c r="F8" s="16" t="n">
        <x:v>1.8</x:v>
      </x:c>
      <x:c r="G8" s="16" t="n">
        <x:v>0.65</x:v>
      </x:c>
      <x:c r="H8" s="16" t="n">
        <x:v>3.6</x:v>
      </x:c>
      <x:c r="I8" s="16" t="n">
        <x:v>0.7</x:v>
      </x:c>
      <x:c r="J8" s="16" t="n">
        <x:v>1.7</x:v>
      </x:c>
      <x:c r="K8" s="16" t="n">
        <x:v>0.05</x:v>
      </x:c>
      <x:c r="L8" s="16" t="n">
        <x:v>0.04</x:v>
      </x:c>
      <x:c r="M8" s="16" t="n">
        <x:v>0.09</x:v>
      </x:c>
      <x:c r="N8" s="16" t="n">
        <x:v>0.831</x:v>
      </x:c>
      <x:c r="O8" s="16" t="n">
        <x:v>2.57</x:v>
      </x:c>
      <x:c r="P8" s="16" t="n">
        <x:v>0.42</x:v>
      </x:c>
      <x:c r="Q8" s="16" t="n">
        <x:v>0.18</x:v>
      </x:c>
      <x:c r="R8" s="16" t="n">
        <x:v>0.65</x:v>
      </x:c>
      <x:c r="S8" s="16" t="n">
        <x:v>0.25</x:v>
      </x:c>
      <x:c r="T8" s="16" t="n">
        <x:v>0.2</x:v>
      </x:c>
      <x:c r="U8" s="16" t="n">
        <x:v>0</x:v>
      </x:c>
      <x:c r="V8" s="16" t="n">
        <x:v>0.1</x:v>
      </x:c>
      <x:c r="W8" s="16" t="n">
        <x:v>0.075</x:v>
      </x:c>
      <x:c r="X8" s="16" t="n">
        <x:v>0</x:v>
      </x:c>
    </x:row>
    <x:row r="9" ht="23" customHeight="1">
      <x:c r="A9" s="11" t="str">
        <x:v>02096.HK</x:v>
      </x:c>
      <x:c r="B9" s="11" t="n">
        <x:v>2026</x:v>
      </x:c>
      <x:c r="C9" s="11" t="str">
        <x:v>基准</x:v>
      </x:c>
      <x:c r="D9" s="16" t="n">
        <x:v>4.3</x:v>
      </x:c>
      <x:c r="E9" s="16" t="n">
        <x:v>2.5</x:v>
      </x:c>
      <x:c r="F9" s="16" t="n">
        <x:v>2</x:v>
      </x:c>
      <x:c r="G9" s="16" t="n">
        <x:v>0.7</x:v>
      </x:c>
      <x:c r="H9" s="16" t="n">
        <x:v>3.68</x:v>
      </x:c>
      <x:c r="I9" s="16" t="n">
        <x:v>0.7</x:v>
      </x:c>
      <x:c r="J9" s="16" t="n">
        <x:v>1.77</x:v>
      </x:c>
      <x:c r="K9" s="16" t="n">
        <x:v>0.03</x:v>
      </x:c>
      <x:c r="L9" s="16" t="n">
        <x:v>0.03</x:v>
      </x:c>
      <x:c r="M9" s="16" t="n">
        <x:v>0.085</x:v>
      </x:c>
      <x:c r="N9" s="16" t="n">
        <x:v>0.831</x:v>
      </x:c>
      <x:c r="O9" s="16" t="n">
        <x:v>2.57</x:v>
      </x:c>
      <x:c r="P9" s="16" t="n">
        <x:v>0.42</x:v>
      </x:c>
      <x:c r="Q9" s="16" t="n">
        <x:v>0.18</x:v>
      </x:c>
      <x:c r="R9" s="16" t="n">
        <x:v>0.7</x:v>
      </x:c>
      <x:c r="S9" s="16" t="n">
        <x:v>0.3</x:v>
      </x:c>
      <x:c r="T9" s="16" t="n">
        <x:v>0.2</x:v>
      </x:c>
      <x:c r="U9" s="16" t="n">
        <x:v>0</x:v>
      </x:c>
      <x:c r="V9" s="16" t="n">
        <x:v>0.22</x:v>
      </x:c>
      <x:c r="W9" s="16" t="n">
        <x:v>0.075</x:v>
      </x:c>
      <x:c r="X9" s="16" t="n">
        <x:v>0</x:v>
      </x:c>
    </x:row>
    <x:row r="10" ht="23" customHeight="1">
      <x:c r="A10" s="11" t="str">
        <x:v>02096.HK</x:v>
      </x:c>
      <x:c r="B10" s="11" t="n">
        <x:v>2026</x:v>
      </x:c>
      <x:c r="C10" s="11" t="str">
        <x:v>乐观</x:v>
      </x:c>
      <x:c r="D10" s="16" t="n">
        <x:v>4.5</x:v>
      </x:c>
      <x:c r="E10" s="16" t="n">
        <x:v>2.65</x:v>
      </x:c>
      <x:c r="F10" s="16" t="n">
        <x:v>2.2</x:v>
      </x:c>
      <x:c r="G10" s="16" t="n">
        <x:v>0.8</x:v>
      </x:c>
      <x:c r="H10" s="16" t="n">
        <x:v>3.8</x:v>
      </x:c>
      <x:c r="I10" s="16" t="n">
        <x:v>0.72</x:v>
      </x:c>
      <x:c r="J10" s="16" t="n">
        <x:v>1.85</x:v>
      </x:c>
      <x:c r="K10" s="16" t="n">
        <x:v>0.025</x:v>
      </x:c>
      <x:c r="L10" s="16" t="n">
        <x:v>0.025</x:v>
      </x:c>
      <x:c r="M10" s="16" t="n">
        <x:v>0.085</x:v>
      </x:c>
      <x:c r="N10" s="16" t="n">
        <x:v>0.831</x:v>
      </x:c>
      <x:c r="O10" s="16" t="n">
        <x:v>2.57</x:v>
      </x:c>
      <x:c r="P10" s="16" t="n">
        <x:v>0.42</x:v>
      </x:c>
      <x:c r="Q10" s="16" t="n">
        <x:v>0.18</x:v>
      </x:c>
      <x:c r="R10" s="16" t="n">
        <x:v>0.75</x:v>
      </x:c>
      <x:c r="S10" s="16" t="n">
        <x:v>0.35</x:v>
      </x:c>
      <x:c r="T10" s="16" t="n">
        <x:v>0.2</x:v>
      </x:c>
      <x:c r="U10" s="16" t="n">
        <x:v>0</x:v>
      </x:c>
      <x:c r="V10" s="16" t="n">
        <x:v>0.26</x:v>
      </x:c>
      <x:c r="W10" s="16" t="n">
        <x:v>0.075</x:v>
      </x:c>
      <x:c r="X10" s="16" t="n">
        <x:v>0</x:v>
      </x:c>
    </x:row>
    <x:row r="11" ht="23" customHeight="1">
      <x:c r="A11" s="11" t="str">
        <x:v>02096.HK</x:v>
      </x:c>
      <x:c r="B11" s="11" t="n">
        <x:v>2027</x:v>
      </x:c>
      <x:c r="C11" s="11" t="str">
        <x:v>活动输入</x:v>
      </x:c>
      <x:c r="D11" s="11" t="n">
        <x:f>CHOOSE('假设'!$B$3,D12,D13,D14)</x:f>
        <x:v>5.1</x:v>
      </x:c>
      <x:c r="E11" s="11" t="n">
        <x:f>CHOOSE('假设'!$B$3,E12,E13,E14)</x:f>
        <x:v>2.85</x:v>
      </x:c>
      <x:c r="F11" s="11" t="n">
        <x:f>CHOOSE('假设'!$B$3,F12,F13,F14)</x:f>
        <x:v>2.6</x:v>
      </x:c>
      <x:c r="G11" s="11" t="n">
        <x:f>CHOOSE('假设'!$B$3,G12,G13,G14)</x:f>
        <x:v>0.72</x:v>
      </x:c>
      <x:c r="H11" s="11" t="n">
        <x:f>CHOOSE('假设'!$B$3,H12,H13,H14)</x:f>
        <x:v>4.3</x:v>
      </x:c>
      <x:c r="I11" s="11" t="n">
        <x:f>CHOOSE('假设'!$B$3,I12,I13,I14)</x:f>
        <x:v>0.82</x:v>
      </x:c>
      <x:c r="J11" s="11" t="n">
        <x:f>CHOOSE('假设'!$B$3,J12,J13,J14)</x:f>
        <x:v>2</x:v>
      </x:c>
      <x:c r="K11" s="11" t="n">
        <x:f>CHOOSE('假设'!$B$3,K12,K13,K14)</x:f>
        <x:v>0.04</x:v>
      </x:c>
      <x:c r="L11" s="11" t="n">
        <x:f>CHOOSE('假设'!$B$3,L12,L13,L14)</x:f>
        <x:v>0.03</x:v>
      </x:c>
      <x:c r="M11" s="11" t="n">
        <x:f>CHOOSE('假设'!$B$3,M12,M13,M14)</x:f>
        <x:v>0</x:v>
      </x:c>
      <x:c r="N11" s="11" t="n">
        <x:f>CHOOSE('假设'!$B$3,N12,N13,N14)</x:f>
        <x:v>0.72</x:v>
      </x:c>
      <x:c r="O11" s="11" t="n">
        <x:f>CHOOSE('假设'!$B$3,O12,O13,O14)</x:f>
        <x:v>2.59</x:v>
      </x:c>
      <x:c r="P11" s="11" t="n">
        <x:f>CHOOSE('假设'!$B$3,P12,P13,P14)</x:f>
        <x:v>0.47</x:v>
      </x:c>
      <x:c r="Q11" s="11" t="n">
        <x:f>CHOOSE('假设'!$B$3,Q12,Q13,Q14)</x:f>
        <x:v>0.2</x:v>
      </x:c>
      <x:c r="R11" s="11" t="n">
        <x:f>CHOOSE('假设'!$B$3,R12,R13,R14)</x:f>
        <x:v>0.75</x:v>
      </x:c>
      <x:c r="S11" s="11" t="n">
        <x:f>CHOOSE('假设'!$B$3,S12,S13,S14)</x:f>
        <x:v>0.35</x:v>
      </x:c>
      <x:c r="T11" s="11" t="n">
        <x:f>CHOOSE('假设'!$B$3,T12,T13,T14)</x:f>
        <x:v>0.38</x:v>
      </x:c>
      <x:c r="U11" s="11" t="n">
        <x:f>CHOOSE('假设'!$B$3,U12,U13,U14)</x:f>
        <x:v>0.15</x:v>
      </x:c>
      <x:c r="V11" s="11" t="n">
        <x:f>CHOOSE('假设'!$B$3,V12,V13,V14)</x:f>
        <x:v>0.26</x:v>
      </x:c>
      <x:c r="W11" s="11" t="n">
        <x:f>CHOOSE('假设'!$B$3,W12,W13,W14)</x:f>
        <x:v>0.1</x:v>
      </x:c>
      <x:c r="X11" s="11" t="n">
        <x:f>CHOOSE('假设'!$B$3,X12,X13,X14)</x:f>
        <x:v>0</x:v>
      </x:c>
    </x:row>
    <x:row r="12" ht="23" customHeight="1">
      <x:c r="A12" s="11" t="str">
        <x:v>02096.HK</x:v>
      </x:c>
      <x:c r="B12" s="11" t="n">
        <x:v>2027</x:v>
      </x:c>
      <x:c r="C12" s="11" t="str">
        <x:v>悲观</x:v>
      </x:c>
      <x:c r="D12" s="16" t="n">
        <x:v>4.1</x:v>
      </x:c>
      <x:c r="E12" s="16" t="n">
        <x:v>2.35</x:v>
      </x:c>
      <x:c r="F12" s="16" t="n">
        <x:v>1.9</x:v>
      </x:c>
      <x:c r="G12" s="16" t="n">
        <x:v>0.6</x:v>
      </x:c>
      <x:c r="H12" s="16" t="n">
        <x:v>3.62</x:v>
      </x:c>
      <x:c r="I12" s="16" t="n">
        <x:v>0.72</x:v>
      </x:c>
      <x:c r="J12" s="16" t="n">
        <x:v>1.72</x:v>
      </x:c>
      <x:c r="K12" s="16" t="n">
        <x:v>0.06</x:v>
      </x:c>
      <x:c r="L12" s="16" t="n">
        <x:v>0.05</x:v>
      </x:c>
      <x:c r="M12" s="16" t="n">
        <x:v>0.04</x:v>
      </x:c>
      <x:c r="N12" s="16" t="n">
        <x:v>0.831</x:v>
      </x:c>
      <x:c r="O12" s="16" t="n">
        <x:v>2.61</x:v>
      </x:c>
      <x:c r="P12" s="16" t="n">
        <x:v>0.45</x:v>
      </x:c>
      <x:c r="Q12" s="16" t="n">
        <x:v>0.19</x:v>
      </x:c>
      <x:c r="R12" s="16" t="n">
        <x:v>0.65</x:v>
      </x:c>
      <x:c r="S12" s="16" t="n">
        <x:v>0.22</x:v>
      </x:c>
      <x:c r="T12" s="16" t="n">
        <x:v>0.25</x:v>
      </x:c>
      <x:c r="U12" s="16" t="n">
        <x:v>0.04</x:v>
      </x:c>
      <x:c r="V12" s="16" t="n">
        <x:v>0.1</x:v>
      </x:c>
      <x:c r="W12" s="16" t="n">
        <x:v>0</x:v>
      </x:c>
      <x:c r="X12" s="16" t="n">
        <x:v>0</x:v>
      </x:c>
    </x:row>
    <x:row r="13" ht="23" customHeight="1">
      <x:c r="A13" s="11" t="str">
        <x:v>02096.HK</x:v>
      </x:c>
      <x:c r="B13" s="11" t="n">
        <x:v>2027</x:v>
      </x:c>
      <x:c r="C13" s="11" t="str">
        <x:v>基准</x:v>
      </x:c>
      <x:c r="D13" s="16" t="n">
        <x:v>5.1</x:v>
      </x:c>
      <x:c r="E13" s="16" t="n">
        <x:v>2.85</x:v>
      </x:c>
      <x:c r="F13" s="16" t="n">
        <x:v>2.6</x:v>
      </x:c>
      <x:c r="G13" s="16" t="n">
        <x:v>0.72</x:v>
      </x:c>
      <x:c r="H13" s="16" t="n">
        <x:v>4.3</x:v>
      </x:c>
      <x:c r="I13" s="16" t="n">
        <x:v>0.82</x:v>
      </x:c>
      <x:c r="J13" s="16" t="n">
        <x:v>2</x:v>
      </x:c>
      <x:c r="K13" s="16" t="n">
        <x:v>0.04</x:v>
      </x:c>
      <x:c r="L13" s="16" t="n">
        <x:v>0.03</x:v>
      </x:c>
      <x:c r="M13" s="16" t="n">
        <x:v>0</x:v>
      </x:c>
      <x:c r="N13" s="16" t="n">
        <x:v>0.72</x:v>
      </x:c>
      <x:c r="O13" s="16" t="n">
        <x:v>2.59</x:v>
      </x:c>
      <x:c r="P13" s="16" t="n">
        <x:v>0.47</x:v>
      </x:c>
      <x:c r="Q13" s="16" t="n">
        <x:v>0.2</x:v>
      </x:c>
      <x:c r="R13" s="16" t="n">
        <x:v>0.75</x:v>
      </x:c>
      <x:c r="S13" s="16" t="n">
        <x:v>0.35</x:v>
      </x:c>
      <x:c r="T13" s="16" t="n">
        <x:v>0.38</x:v>
      </x:c>
      <x:c r="U13" s="16" t="n">
        <x:v>0.15</x:v>
      </x:c>
      <x:c r="V13" s="16" t="n">
        <x:v>0.26</x:v>
      </x:c>
      <x:c r="W13" s="16" t="n">
        <x:v>0.1</x:v>
      </x:c>
      <x:c r="X13" s="16" t="n">
        <x:v>0</x:v>
      </x:c>
    </x:row>
    <x:row r="14" ht="23" customHeight="1">
      <x:c r="A14" s="11" t="str">
        <x:v>02096.HK</x:v>
      </x:c>
      <x:c r="B14" s="11" t="n">
        <x:v>2027</x:v>
      </x:c>
      <x:c r="C14" s="11" t="str">
        <x:v>乐观</x:v>
      </x:c>
      <x:c r="D14" s="16" t="n">
        <x:v>5.7</x:v>
      </x:c>
      <x:c r="E14" s="16" t="n">
        <x:v>3.1</x:v>
      </x:c>
      <x:c r="F14" s="16" t="n">
        <x:v>3.1</x:v>
      </x:c>
      <x:c r="G14" s="16" t="n">
        <x:v>0.9</x:v>
      </x:c>
      <x:c r="H14" s="16" t="n">
        <x:v>4.65</x:v>
      </x:c>
      <x:c r="I14" s="16" t="n">
        <x:v>0.88</x:v>
      </x:c>
      <x:c r="J14" s="16" t="n">
        <x:v>2.15</x:v>
      </x:c>
      <x:c r="K14" s="16" t="n">
        <x:v>0.03</x:v>
      </x:c>
      <x:c r="L14" s="16" t="n">
        <x:v>0.025</x:v>
      </x:c>
      <x:c r="M14" s="16" t="n">
        <x:v>0</x:v>
      </x:c>
      <x:c r="N14" s="16" t="n">
        <x:v>0.75</x:v>
      </x:c>
      <x:c r="O14" s="16" t="n">
        <x:v>2.58</x:v>
      </x:c>
      <x:c r="P14" s="16" t="n">
        <x:v>0.5</x:v>
      </x:c>
      <x:c r="Q14" s="16" t="n">
        <x:v>0.22</x:v>
      </x:c>
      <x:c r="R14" s="16" t="n">
        <x:v>0.9</x:v>
      </x:c>
      <x:c r="S14" s="16" t="n">
        <x:v>0.45</x:v>
      </x:c>
      <x:c r="T14" s="16" t="n">
        <x:v>0.55</x:v>
      </x:c>
      <x:c r="U14" s="16" t="n">
        <x:v>0.35</x:v>
      </x:c>
      <x:c r="V14" s="16" t="n">
        <x:v>0.38</x:v>
      </x:c>
      <x:c r="W14" s="16" t="n">
        <x:v>0.15</x:v>
      </x:c>
      <x:c r="X14" s="16" t="n">
        <x:v>0</x:v>
      </x:c>
    </x:row>
    <x:row r="15" ht="23" customHeight="1">
      <x:c r="A15" s="11" t="str">
        <x:v>02096.HK</x:v>
      </x:c>
      <x:c r="B15" s="11" t="n">
        <x:v>2028</x:v>
      </x:c>
      <x:c r="C15" s="11" t="str">
        <x:v>活动输入</x:v>
      </x:c>
      <x:c r="D15" s="11" t="n">
        <x:f>CHOOSE('假设'!$B$3,D16,D17,D18)</x:f>
        <x:v>5.85</x:v>
      </x:c>
      <x:c r="E15" s="11" t="n">
        <x:f>CHOOSE('假设'!$B$3,E16,E17,E18)</x:f>
        <x:v>3.1</x:v>
      </x:c>
      <x:c r="F15" s="11" t="n">
        <x:f>CHOOSE('假设'!$B$3,F16,F17,F18)</x:f>
        <x:v>3.3</x:v>
      </x:c>
      <x:c r="G15" s="11" t="n">
        <x:f>CHOOSE('假设'!$B$3,G16,G17,G18)</x:f>
        <x:v>0.75</x:v>
      </x:c>
      <x:c r="H15" s="11" t="n">
        <x:f>CHOOSE('假设'!$B$3,H16,H17,H18)</x:f>
        <x:v>5</x:v>
      </x:c>
      <x:c r="I15" s="11" t="n">
        <x:f>CHOOSE('假设'!$B$3,I16,I17,I18)</x:f>
        <x:v>0.95</x:v>
      </x:c>
      <x:c r="J15" s="11" t="n">
        <x:f>CHOOSE('假设'!$B$3,J16,J17,J18)</x:f>
        <x:v>2.25</x:v>
      </x:c>
      <x:c r="K15" s="11" t="n">
        <x:f>CHOOSE('假设'!$B$3,K16,K17,K18)</x:f>
        <x:v>0.05</x:v>
      </x:c>
      <x:c r="L15" s="11" t="n">
        <x:f>CHOOSE('假设'!$B$3,L16,L17,L18)</x:f>
        <x:v>0.028</x:v>
      </x:c>
      <x:c r="M15" s="11" t="n">
        <x:f>CHOOSE('假设'!$B$3,M16,M17,M18)</x:f>
        <x:v>0</x:v>
      </x:c>
      <x:c r="N15" s="11" t="n">
        <x:f>CHOOSE('假设'!$B$3,N16,N17,N18)</x:f>
        <x:v>0.72</x:v>
      </x:c>
      <x:c r="O15" s="11" t="n">
        <x:f>CHOOSE('假设'!$B$3,O16,O17,O18)</x:f>
        <x:v>2.61</x:v>
      </x:c>
      <x:c r="P15" s="11" t="n">
        <x:f>CHOOSE('假设'!$B$3,P16,P17,P18)</x:f>
        <x:v>0.52</x:v>
      </x:c>
      <x:c r="Q15" s="11" t="n">
        <x:f>CHOOSE('假设'!$B$3,Q16,Q17,Q18)</x:f>
        <x:v>0.22</x:v>
      </x:c>
      <x:c r="R15" s="11" t="n">
        <x:f>CHOOSE('假设'!$B$3,R16,R17,R18)</x:f>
        <x:v>0.8</x:v>
      </x:c>
      <x:c r="S15" s="11" t="n">
        <x:f>CHOOSE('假设'!$B$3,S16,S17,S18)</x:f>
        <x:v>0.4</x:v>
      </x:c>
      <x:c r="T15" s="11" t="n">
        <x:f>CHOOSE('假设'!$B$3,T16,T17,T18)</x:f>
        <x:v>0.45</x:v>
      </x:c>
      <x:c r="U15" s="11" t="n">
        <x:f>CHOOSE('假设'!$B$3,U16,U17,U18)</x:f>
        <x:v>0.25</x:v>
      </x:c>
      <x:c r="V15" s="11" t="n">
        <x:f>CHOOSE('假设'!$B$3,V16,V17,V18)</x:f>
        <x:v>0.32</x:v>
      </x:c>
      <x:c r="W15" s="11" t="n">
        <x:f>CHOOSE('假设'!$B$3,W16,W17,W18)</x:f>
        <x:v>0.1</x:v>
      </x:c>
      <x:c r="X15" s="11" t="n">
        <x:f>CHOOSE('假设'!$B$3,X16,X17,X18)</x:f>
        <x:v>0</x:v>
      </x:c>
    </x:row>
    <x:row r="16" ht="23" customHeight="1">
      <x:c r="A16" s="11" t="str">
        <x:v>02096.HK</x:v>
      </x:c>
      <x:c r="B16" s="11" t="n">
        <x:v>2028</x:v>
      </x:c>
      <x:c r="C16" s="11" t="str">
        <x:v>悲观</x:v>
      </x:c>
      <x:c r="D16" s="16" t="n">
        <x:v>4.2</x:v>
      </x:c>
      <x:c r="E16" s="16" t="n">
        <x:v>2.4</x:v>
      </x:c>
      <x:c r="F16" s="16" t="n">
        <x:v>2</x:v>
      </x:c>
      <x:c r="G16" s="16" t="n">
        <x:v>0.55</x:v>
      </x:c>
      <x:c r="H16" s="16" t="n">
        <x:v>3.65</x:v>
      </x:c>
      <x:c r="I16" s="16" t="n">
        <x:v>0.75</x:v>
      </x:c>
      <x:c r="J16" s="16" t="n">
        <x:v>1.75</x:v>
      </x:c>
      <x:c r="K16" s="16" t="n">
        <x:v>0.065</x:v>
      </x:c>
      <x:c r="L16" s="16" t="n">
        <x:v>0.06</x:v>
      </x:c>
      <x:c r="M16" s="16" t="n">
        <x:v>0</x:v>
      </x:c>
      <x:c r="N16" s="16" t="n">
        <x:v>0.831</x:v>
      </x:c>
      <x:c r="O16" s="16" t="n">
        <x:v>2.66</x:v>
      </x:c>
      <x:c r="P16" s="16" t="n">
        <x:v>0.48</x:v>
      </x:c>
      <x:c r="Q16" s="16" t="n">
        <x:v>0.2</x:v>
      </x:c>
      <x:c r="R16" s="16" t="n">
        <x:v>0.62</x:v>
      </x:c>
      <x:c r="S16" s="16" t="n">
        <x:v>0.2</x:v>
      </x:c>
      <x:c r="T16" s="16" t="n">
        <x:v>0.25</x:v>
      </x:c>
      <x:c r="U16" s="16" t="n">
        <x:v>0.06</x:v>
      </x:c>
      <x:c r="V16" s="16" t="n">
        <x:v>0.1</x:v>
      </x:c>
      <x:c r="W16" s="16" t="n">
        <x:v>0</x:v>
      </x:c>
      <x:c r="X16" s="16" t="n">
        <x:v>0</x:v>
      </x:c>
    </x:row>
    <x:row r="17" ht="23" customHeight="1">
      <x:c r="A17" s="11" t="str">
        <x:v>02096.HK</x:v>
      </x:c>
      <x:c r="B17" s="11" t="n">
        <x:v>2028</x:v>
      </x:c>
      <x:c r="C17" s="11" t="str">
        <x:v>基准</x:v>
      </x:c>
      <x:c r="D17" s="16" t="n">
        <x:v>5.85</x:v>
      </x:c>
      <x:c r="E17" s="16" t="n">
        <x:v>3.1</x:v>
      </x:c>
      <x:c r="F17" s="16" t="n">
        <x:v>3.3</x:v>
      </x:c>
      <x:c r="G17" s="16" t="n">
        <x:v>0.75</x:v>
      </x:c>
      <x:c r="H17" s="16" t="n">
        <x:v>5</x:v>
      </x:c>
      <x:c r="I17" s="16" t="n">
        <x:v>0.95</x:v>
      </x:c>
      <x:c r="J17" s="16" t="n">
        <x:v>2.25</x:v>
      </x:c>
      <x:c r="K17" s="16" t="n">
        <x:v>0.05</x:v>
      </x:c>
      <x:c r="L17" s="16" t="n">
        <x:v>0.028</x:v>
      </x:c>
      <x:c r="M17" s="16" t="n">
        <x:v>0</x:v>
      </x:c>
      <x:c r="N17" s="16" t="n">
        <x:v>0.72</x:v>
      </x:c>
      <x:c r="O17" s="16" t="n">
        <x:v>2.61</x:v>
      </x:c>
      <x:c r="P17" s="16" t="n">
        <x:v>0.52</x:v>
      </x:c>
      <x:c r="Q17" s="16" t="n">
        <x:v>0.22</x:v>
      </x:c>
      <x:c r="R17" s="16" t="n">
        <x:v>0.8</x:v>
      </x:c>
      <x:c r="S17" s="16" t="n">
        <x:v>0.4</x:v>
      </x:c>
      <x:c r="T17" s="16" t="n">
        <x:v>0.45</x:v>
      </x:c>
      <x:c r="U17" s="16" t="n">
        <x:v>0.25</x:v>
      </x:c>
      <x:c r="V17" s="16" t="n">
        <x:v>0.32</x:v>
      </x:c>
      <x:c r="W17" s="16" t="n">
        <x:v>0.1</x:v>
      </x:c>
      <x:c r="X17" s="16" t="n">
        <x:v>0</x:v>
      </x:c>
    </x:row>
    <x:row r="18" ht="23" customHeight="1">
      <x:c r="A18" s="11" t="str">
        <x:v>02096.HK</x:v>
      </x:c>
      <x:c r="B18" s="11" t="n">
        <x:v>2028</x:v>
      </x:c>
      <x:c r="C18" s="11" t="str">
        <x:v>乐观</x:v>
      </x:c>
      <x:c r="D18" s="16" t="n">
        <x:v>6.8</x:v>
      </x:c>
      <x:c r="E18" s="16" t="n">
        <x:v>3.6</x:v>
      </x:c>
      <x:c r="F18" s="16" t="n">
        <x:v>4.4</x:v>
      </x:c>
      <x:c r="G18" s="16" t="n">
        <x:v>1</x:v>
      </x:c>
      <x:c r="H18" s="16" t="n">
        <x:v>5.55</x:v>
      </x:c>
      <x:c r="I18" s="16" t="n">
        <x:v>1.08</x:v>
      </x:c>
      <x:c r="J18" s="16" t="n">
        <x:v>2.55</x:v>
      </x:c>
      <x:c r="K18" s="16" t="n">
        <x:v>0.04</x:v>
      </x:c>
      <x:c r="L18" s="16" t="n">
        <x:v>0.02</x:v>
      </x:c>
      <x:c r="M18" s="16" t="n">
        <x:v>0</x:v>
      </x:c>
      <x:c r="N18" s="16" t="n">
        <x:v>0.75</x:v>
      </x:c>
      <x:c r="O18" s="16" t="n">
        <x:v>2.6</x:v>
      </x:c>
      <x:c r="P18" s="16" t="n">
        <x:v>0.6</x:v>
      </x:c>
      <x:c r="Q18" s="16" t="n">
        <x:v>0.26</x:v>
      </x:c>
      <x:c r="R18" s="16" t="n">
        <x:v>1.1</x:v>
      </x:c>
      <x:c r="S18" s="16" t="n">
        <x:v>0.6</x:v>
      </x:c>
      <x:c r="T18" s="16" t="n">
        <x:v>0.7</x:v>
      </x:c>
      <x:c r="U18" s="16" t="n">
        <x:v>0.6</x:v>
      </x:c>
      <x:c r="V18" s="16" t="n">
        <x:v>0.54</x:v>
      </x:c>
      <x:c r="W18" s="16" t="n">
        <x:v>0.15</x:v>
      </x:c>
      <x:c r="X18" s="16" t="n">
        <x:v>-0.1</x:v>
      </x:c>
    </x:row>
    <x:row r="19" ht="23" customHeight="1">
      <x:c r="A19" s="11" t="str">
        <x:v>02096.HK</x:v>
      </x:c>
      <x:c r="B19" s="11" t="n">
        <x:v>2029</x:v>
      </x:c>
      <x:c r="C19" s="11" t="str">
        <x:v>活动输入</x:v>
      </x:c>
      <x:c r="D19" s="11" t="n">
        <x:f>CHOOSE('假设'!$B$3,D20,D21,D22)</x:f>
        <x:v>6.5</x:v>
      </x:c>
      <x:c r="E19" s="11" t="n">
        <x:f>CHOOSE('假设'!$B$3,E20,E21,E22)</x:f>
        <x:v>3.3</x:v>
      </x:c>
      <x:c r="F19" s="11" t="n">
        <x:f>CHOOSE('假设'!$B$3,F20,F21,F22)</x:f>
        <x:v>4</x:v>
      </x:c>
      <x:c r="G19" s="11" t="n">
        <x:f>CHOOSE('假设'!$B$3,G20,G21,G22)</x:f>
        <x:v>0.78</x:v>
      </x:c>
      <x:c r="H19" s="11" t="n">
        <x:f>CHOOSE('假设'!$B$3,H20,H21,H22)</x:f>
        <x:v>5.6</x:v>
      </x:c>
      <x:c r="I19" s="11" t="n">
        <x:f>CHOOSE('假设'!$B$3,I20,I21,I22)</x:f>
        <x:v>1.08</x:v>
      </x:c>
      <x:c r="J19" s="11" t="n">
        <x:f>CHOOSE('假设'!$B$3,J20,J21,J22)</x:f>
        <x:v>2.5</x:v>
      </x:c>
      <x:c r="K19" s="11" t="n">
        <x:f>CHOOSE('假设'!$B$3,K20,K21,K22)</x:f>
        <x:v>0.06</x:v>
      </x:c>
      <x:c r="L19" s="11" t="n">
        <x:f>CHOOSE('假设'!$B$3,L20,L21,L22)</x:f>
        <x:v>0.025</x:v>
      </x:c>
      <x:c r="M19" s="11" t="n">
        <x:f>CHOOSE('假设'!$B$3,M20,M21,M22)</x:f>
        <x:v>0</x:v>
      </x:c>
      <x:c r="N19" s="11" t="n">
        <x:f>CHOOSE('假设'!$B$3,N20,N21,N22)</x:f>
        <x:v>0.72</x:v>
      </x:c>
      <x:c r="O19" s="11" t="n">
        <x:f>CHOOSE('假设'!$B$3,O20,O21,O22)</x:f>
        <x:v>2.635</x:v>
      </x:c>
      <x:c r="P19" s="11" t="n">
        <x:f>CHOOSE('假设'!$B$3,P20,P21,P22)</x:f>
        <x:v>0.57</x:v>
      </x:c>
      <x:c r="Q19" s="11" t="n">
        <x:f>CHOOSE('假设'!$B$3,Q20,Q21,Q22)</x:f>
        <x:v>0.24</x:v>
      </x:c>
      <x:c r="R19" s="11" t="n">
        <x:f>CHOOSE('假设'!$B$3,R20,R21,R22)</x:f>
        <x:v>0.85</x:v>
      </x:c>
      <x:c r="S19" s="11" t="n">
        <x:f>CHOOSE('假设'!$B$3,S20,S21,S22)</x:f>
        <x:v>0.45</x:v>
      </x:c>
      <x:c r="T19" s="11" t="n">
        <x:f>CHOOSE('假设'!$B$3,T20,T21,T22)</x:f>
        <x:v>0.5</x:v>
      </x:c>
      <x:c r="U19" s="11" t="n">
        <x:f>CHOOSE('假设'!$B$3,U20,U21,U22)</x:f>
        <x:v>0.35</x:v>
      </x:c>
      <x:c r="V19" s="11" t="n">
        <x:f>CHOOSE('假设'!$B$3,V20,V21,V22)</x:f>
        <x:v>0.4</x:v>
      </x:c>
      <x:c r="W19" s="11" t="n">
        <x:f>CHOOSE('假设'!$B$3,W20,W21,W22)</x:f>
        <x:v>0.1</x:v>
      </x:c>
      <x:c r="X19" s="11" t="n">
        <x:f>CHOOSE('假设'!$B$3,X20,X21,X22)</x:f>
        <x:v>0</x:v>
      </x:c>
    </x:row>
    <x:row r="20" ht="23" customHeight="1">
      <x:c r="A20" s="11" t="str">
        <x:v>02096.HK</x:v>
      </x:c>
      <x:c r="B20" s="11" t="n">
        <x:v>2029</x:v>
      </x:c>
      <x:c r="C20" s="11" t="str">
        <x:v>悲观</x:v>
      </x:c>
      <x:c r="D20" s="16" t="n">
        <x:v>4.3</x:v>
      </x:c>
      <x:c r="E20" s="16" t="n">
        <x:v>2.43</x:v>
      </x:c>
      <x:c r="F20" s="16" t="n">
        <x:v>2.1</x:v>
      </x:c>
      <x:c r="G20" s="16" t="n">
        <x:v>0.5</x:v>
      </x:c>
      <x:c r="H20" s="16" t="n">
        <x:v>3.7</x:v>
      </x:c>
      <x:c r="I20" s="16" t="n">
        <x:v>0.78</x:v>
      </x:c>
      <x:c r="J20" s="16" t="n">
        <x:v>1.8</x:v>
      </x:c>
      <x:c r="K20" s="16" t="n">
        <x:v>0.07</x:v>
      </x:c>
      <x:c r="L20" s="16" t="n">
        <x:v>0.06</x:v>
      </x:c>
      <x:c r="M20" s="16" t="n">
        <x:v>0</x:v>
      </x:c>
      <x:c r="N20" s="16" t="n">
        <x:v>0.831</x:v>
      </x:c>
      <x:c r="O20" s="16" t="n">
        <x:v>2.72</x:v>
      </x:c>
      <x:c r="P20" s="16" t="n">
        <x:v>0.5</x:v>
      </x:c>
      <x:c r="Q20" s="16" t="n">
        <x:v>0.21</x:v>
      </x:c>
      <x:c r="R20" s="16" t="n">
        <x:v>0.6</x:v>
      </x:c>
      <x:c r="S20" s="16" t="n">
        <x:v>0.2</x:v>
      </x:c>
      <x:c r="T20" s="16" t="n">
        <x:v>0.26</x:v>
      </x:c>
      <x:c r="U20" s="16" t="n">
        <x:v>0.08</x:v>
      </x:c>
      <x:c r="V20" s="16" t="n">
        <x:v>0.11</x:v>
      </x:c>
      <x:c r="W20" s="16" t="n">
        <x:v>0</x:v>
      </x:c>
      <x:c r="X20" s="16" t="n">
        <x:v>0</x:v>
      </x:c>
    </x:row>
    <x:row r="21" ht="23" customHeight="1">
      <x:c r="A21" s="11" t="str">
        <x:v>02096.HK</x:v>
      </x:c>
      <x:c r="B21" s="11" t="n">
        <x:v>2029</x:v>
      </x:c>
      <x:c r="C21" s="11" t="str">
        <x:v>基准</x:v>
      </x:c>
      <x:c r="D21" s="16" t="n">
        <x:v>6.5</x:v>
      </x:c>
      <x:c r="E21" s="16" t="n">
        <x:v>3.3</x:v>
      </x:c>
      <x:c r="F21" s="16" t="n">
        <x:v>4</x:v>
      </x:c>
      <x:c r="G21" s="16" t="n">
        <x:v>0.78</x:v>
      </x:c>
      <x:c r="H21" s="16" t="n">
        <x:v>5.6</x:v>
      </x:c>
      <x:c r="I21" s="16" t="n">
        <x:v>1.08</x:v>
      </x:c>
      <x:c r="J21" s="16" t="n">
        <x:v>2.5</x:v>
      </x:c>
      <x:c r="K21" s="16" t="n">
        <x:v>0.06</x:v>
      </x:c>
      <x:c r="L21" s="16" t="n">
        <x:v>0.025</x:v>
      </x:c>
      <x:c r="M21" s="16" t="n">
        <x:v>0</x:v>
      </x:c>
      <x:c r="N21" s="16" t="n">
        <x:v>0.72</x:v>
      </x:c>
      <x:c r="O21" s="16" t="n">
        <x:v>2.635</x:v>
      </x:c>
      <x:c r="P21" s="16" t="n">
        <x:v>0.57</x:v>
      </x:c>
      <x:c r="Q21" s="16" t="n">
        <x:v>0.24</x:v>
      </x:c>
      <x:c r="R21" s="16" t="n">
        <x:v>0.85</x:v>
      </x:c>
      <x:c r="S21" s="16" t="n">
        <x:v>0.45</x:v>
      </x:c>
      <x:c r="T21" s="16" t="n">
        <x:v>0.5</x:v>
      </x:c>
      <x:c r="U21" s="16" t="n">
        <x:v>0.35</x:v>
      </x:c>
      <x:c r="V21" s="16" t="n">
        <x:v>0.4</x:v>
      </x:c>
      <x:c r="W21" s="16" t="n">
        <x:v>0.1</x:v>
      </x:c>
      <x:c r="X21" s="16" t="n">
        <x:v>0</x:v>
      </x:c>
    </x:row>
    <x:row r="22" ht="23" customHeight="1">
      <x:c r="A22" s="11" t="str">
        <x:v>02096.HK</x:v>
      </x:c>
      <x:c r="B22" s="11" t="n">
        <x:v>2029</x:v>
      </x:c>
      <x:c r="C22" s="11" t="str">
        <x:v>乐观</x:v>
      </x:c>
      <x:c r="D22" s="16" t="n">
        <x:v>7.9</x:v>
      </x:c>
      <x:c r="E22" s="16" t="n">
        <x:v>4.1</x:v>
      </x:c>
      <x:c r="F22" s="16" t="n">
        <x:v>5.8</x:v>
      </x:c>
      <x:c r="G22" s="16" t="n">
        <x:v>1.05</x:v>
      </x:c>
      <x:c r="H22" s="16" t="n">
        <x:v>6.55</x:v>
      </x:c>
      <x:c r="I22" s="16" t="n">
        <x:v>1.3</x:v>
      </x:c>
      <x:c r="J22" s="16" t="n">
        <x:v>2.95</x:v>
      </x:c>
      <x:c r="K22" s="16" t="n">
        <x:v>0.05</x:v>
      </x:c>
      <x:c r="L22" s="16" t="n">
        <x:v>0.02</x:v>
      </x:c>
      <x:c r="M22" s="16" t="n">
        <x:v>0</x:v>
      </x:c>
      <x:c r="N22" s="16" t="n">
        <x:v>0.75</x:v>
      </x:c>
      <x:c r="O22" s="16" t="n">
        <x:v>2.62</x:v>
      </x:c>
      <x:c r="P22" s="16" t="n">
        <x:v>0.7</x:v>
      </x:c>
      <x:c r="Q22" s="16" t="n">
        <x:v>0.3</x:v>
      </x:c>
      <x:c r="R22" s="16" t="n">
        <x:v>1.3</x:v>
      </x:c>
      <x:c r="S22" s="16" t="n">
        <x:v>0.7</x:v>
      </x:c>
      <x:c r="T22" s="16" t="n">
        <x:v>0.9</x:v>
      </x:c>
      <x:c r="U22" s="16" t="n">
        <x:v>0.9</x:v>
      </x:c>
      <x:c r="V22" s="16" t="n">
        <x:v>0.74</x:v>
      </x:c>
      <x:c r="W22" s="16" t="n">
        <x:v>0.15</x:v>
      </x:c>
      <x:c r="X22" s="16" t="n">
        <x:v>-0.2</x:v>
      </x:c>
    </x:row>
    <x:row r="23" ht="23" customHeight="1">
      <x:c r="A23" s="11" t="str">
        <x:v>02096.HK</x:v>
      </x:c>
      <x:c r="B23" s="11" t="n">
        <x:v>2030</x:v>
      </x:c>
      <x:c r="C23" s="11" t="str">
        <x:v>活动输入</x:v>
      </x:c>
      <x:c r="D23" s="11" t="n">
        <x:f>CHOOSE('假设'!$B$3,D24,D25,D26)</x:f>
        <x:v>7</x:v>
      </x:c>
      <x:c r="E23" s="11" t="n">
        <x:f>CHOOSE('假设'!$B$3,E24,E25,E26)</x:f>
        <x:v>3.45</x:v>
      </x:c>
      <x:c r="F23" s="11" t="n">
        <x:f>CHOOSE('假设'!$B$3,F24,F25,F26)</x:f>
        <x:v>4.6</x:v>
      </x:c>
      <x:c r="G23" s="11" t="n">
        <x:f>CHOOSE('假设'!$B$3,G24,G25,G26)</x:f>
        <x:v>0.8</x:v>
      </x:c>
      <x:c r="H23" s="11" t="n">
        <x:f>CHOOSE('假设'!$B$3,H24,H25,H26)</x:f>
        <x:v>6.1</x:v>
      </x:c>
      <x:c r="I23" s="11" t="n">
        <x:f>CHOOSE('假设'!$B$3,I24,I25,I26)</x:f>
        <x:v>1.2</x:v>
      </x:c>
      <x:c r="J23" s="11" t="n">
        <x:f>CHOOSE('假设'!$B$3,J24,J25,J26)</x:f>
        <x:v>2.7</x:v>
      </x:c>
      <x:c r="K23" s="11" t="n">
        <x:f>CHOOSE('假设'!$B$3,K24,K25,K26)</x:f>
        <x:v>0.07</x:v>
      </x:c>
      <x:c r="L23" s="11" t="n">
        <x:f>CHOOSE('假设'!$B$3,L24,L25,L26)</x:f>
        <x:v>0.02</x:v>
      </x:c>
      <x:c r="M23" s="11" t="n">
        <x:f>CHOOSE('假设'!$B$3,M24,M25,M26)</x:f>
        <x:v>0</x:v>
      </x:c>
      <x:c r="N23" s="11" t="n">
        <x:f>CHOOSE('假设'!$B$3,N24,N25,N26)</x:f>
        <x:v>0.72</x:v>
      </x:c>
      <x:c r="O23" s="11" t="n">
        <x:f>CHOOSE('假设'!$B$3,O24,O25,O26)</x:f>
        <x:v>2.66</x:v>
      </x:c>
      <x:c r="P23" s="11" t="n">
        <x:f>CHOOSE('假设'!$B$3,P24,P25,P26)</x:f>
        <x:v>0.62</x:v>
      </x:c>
      <x:c r="Q23" s="11" t="n">
        <x:f>CHOOSE('假设'!$B$3,Q24,Q25,Q26)</x:f>
        <x:v>0.26</x:v>
      </x:c>
      <x:c r="R23" s="11" t="n">
        <x:f>CHOOSE('假设'!$B$3,R24,R25,R26)</x:f>
        <x:v>0.85</x:v>
      </x:c>
      <x:c r="S23" s="11" t="n">
        <x:f>CHOOSE('假设'!$B$3,S24,S25,S26)</x:f>
        <x:v>0.45</x:v>
      </x:c>
      <x:c r="T23" s="11" t="n">
        <x:f>CHOOSE('假设'!$B$3,T24,T25,T26)</x:f>
        <x:v>0.55</x:v>
      </x:c>
      <x:c r="U23" s="11" t="n">
        <x:f>CHOOSE('假设'!$B$3,U24,U25,U26)</x:f>
        <x:v>0.45</x:v>
      </x:c>
      <x:c r="V23" s="11" t="n">
        <x:f>CHOOSE('假设'!$B$3,V24,V25,V26)</x:f>
        <x:v>0.48</x:v>
      </x:c>
      <x:c r="W23" s="11" t="n">
        <x:f>CHOOSE('假设'!$B$3,W24,W25,W26)</x:f>
        <x:v>0.1</x:v>
      </x:c>
      <x:c r="X23" s="11" t="n">
        <x:f>CHOOSE('假设'!$B$3,X24,X25,X26)</x:f>
        <x:v>-0.2</x:v>
      </x:c>
    </x:row>
    <x:row r="24" ht="23" customHeight="1">
      <x:c r="A24" s="11" t="str">
        <x:v>02096.HK</x:v>
      </x:c>
      <x:c r="B24" s="11" t="n">
        <x:v>2030</x:v>
      </x:c>
      <x:c r="C24" s="11" t="str">
        <x:v>悲观</x:v>
      </x:c>
      <x:c r="D24" s="16" t="n">
        <x:v>4.4</x:v>
      </x:c>
      <x:c r="E24" s="16" t="n">
        <x:v>2.45</x:v>
      </x:c>
      <x:c r="F24" s="16" t="n">
        <x:v>2.2</x:v>
      </x:c>
      <x:c r="G24" s="16" t="n">
        <x:v>0.46</x:v>
      </x:c>
      <x:c r="H24" s="16" t="n">
        <x:v>3.75</x:v>
      </x:c>
      <x:c r="I24" s="16" t="n">
        <x:v>0.82</x:v>
      </x:c>
      <x:c r="J24" s="16" t="n">
        <x:v>1.85</x:v>
      </x:c>
      <x:c r="K24" s="16" t="n">
        <x:v>0.075</x:v>
      </x:c>
      <x:c r="L24" s="16" t="n">
        <x:v>0.05</x:v>
      </x:c>
      <x:c r="M24" s="16" t="n">
        <x:v>0</x:v>
      </x:c>
      <x:c r="N24" s="16" t="n">
        <x:v>0.831</x:v>
      </x:c>
      <x:c r="O24" s="16" t="n">
        <x:v>2.78</x:v>
      </x:c>
      <x:c r="P24" s="16" t="n">
        <x:v>0.52</x:v>
      </x:c>
      <x:c r="Q24" s="16" t="n">
        <x:v>0.22</x:v>
      </x:c>
      <x:c r="R24" s="16" t="n">
        <x:v>0.58</x:v>
      </x:c>
      <x:c r="S24" s="16" t="n">
        <x:v>0.18</x:v>
      </x:c>
      <x:c r="T24" s="16" t="n">
        <x:v>0.27</x:v>
      </x:c>
      <x:c r="U24" s="16" t="n">
        <x:v>0.1</x:v>
      </x:c>
      <x:c r="V24" s="16" t="n">
        <x:v>0.12</x:v>
      </x:c>
      <x:c r="W24" s="16" t="n">
        <x:v>0</x:v>
      </x:c>
      <x:c r="X24" s="16" t="n">
        <x:v>-0.1</x:v>
      </x:c>
    </x:row>
    <x:row r="25" ht="23" customHeight="1">
      <x:c r="A25" s="11" t="str">
        <x:v>02096.HK</x:v>
      </x:c>
      <x:c r="B25" s="11" t="n">
        <x:v>2030</x:v>
      </x:c>
      <x:c r="C25" s="11" t="str">
        <x:v>基准</x:v>
      </x:c>
      <x:c r="D25" s="16" t="n">
        <x:v>7</x:v>
      </x:c>
      <x:c r="E25" s="16" t="n">
        <x:v>3.45</x:v>
      </x:c>
      <x:c r="F25" s="16" t="n">
        <x:v>4.6</x:v>
      </x:c>
      <x:c r="G25" s="16" t="n">
        <x:v>0.8</x:v>
      </x:c>
      <x:c r="H25" s="16" t="n">
        <x:v>6.1</x:v>
      </x:c>
      <x:c r="I25" s="16" t="n">
        <x:v>1.2</x:v>
      </x:c>
      <x:c r="J25" s="16" t="n">
        <x:v>2.7</x:v>
      </x:c>
      <x:c r="K25" s="16" t="n">
        <x:v>0.07</x:v>
      </x:c>
      <x:c r="L25" s="16" t="n">
        <x:v>0.02</x:v>
      </x:c>
      <x:c r="M25" s="16" t="n">
        <x:v>0</x:v>
      </x:c>
      <x:c r="N25" s="16" t="n">
        <x:v>0.72</x:v>
      </x:c>
      <x:c r="O25" s="16" t="n">
        <x:v>2.66</x:v>
      </x:c>
      <x:c r="P25" s="16" t="n">
        <x:v>0.62</x:v>
      </x:c>
      <x:c r="Q25" s="16" t="n">
        <x:v>0.26</x:v>
      </x:c>
      <x:c r="R25" s="16" t="n">
        <x:v>0.85</x:v>
      </x:c>
      <x:c r="S25" s="16" t="n">
        <x:v>0.45</x:v>
      </x:c>
      <x:c r="T25" s="16" t="n">
        <x:v>0.55</x:v>
      </x:c>
      <x:c r="U25" s="16" t="n">
        <x:v>0.45</x:v>
      </x:c>
      <x:c r="V25" s="16" t="n">
        <x:v>0.48</x:v>
      </x:c>
      <x:c r="W25" s="16" t="n">
        <x:v>0.1</x:v>
      </x:c>
      <x:c r="X25" s="16" t="n">
        <x:v>-0.2</x:v>
      </x:c>
    </x:row>
    <x:row r="26" ht="23" customHeight="1">
      <x:c r="A26" s="11" t="str">
        <x:v>02096.HK</x:v>
      </x:c>
      <x:c r="B26" s="11" t="n">
        <x:v>2030</x:v>
      </x:c>
      <x:c r="C26" s="11" t="str">
        <x:v>乐观</x:v>
      </x:c>
      <x:c r="D26" s="16" t="n">
        <x:v>8.8</x:v>
      </x:c>
      <x:c r="E26" s="16" t="n">
        <x:v>4.6</x:v>
      </x:c>
      <x:c r="F26" s="16" t="n">
        <x:v>7.2</x:v>
      </x:c>
      <x:c r="G26" s="16" t="n">
        <x:v>1.1</x:v>
      </x:c>
      <x:c r="H26" s="16" t="n">
        <x:v>7.5</x:v>
      </x:c>
      <x:c r="I26" s="16" t="n">
        <x:v>1.52</x:v>
      </x:c>
      <x:c r="J26" s="16" t="n">
        <x:v>3.3</x:v>
      </x:c>
      <x:c r="K26" s="16" t="n">
        <x:v>0.06</x:v>
      </x:c>
      <x:c r="L26" s="16" t="n">
        <x:v>0.02</x:v>
      </x:c>
      <x:c r="M26" s="16" t="n">
        <x:v>0</x:v>
      </x:c>
      <x:c r="N26" s="16" t="n">
        <x:v>0.75</x:v>
      </x:c>
      <x:c r="O26" s="16" t="n">
        <x:v>2.64</x:v>
      </x:c>
      <x:c r="P26" s="16" t="n">
        <x:v>0.8</x:v>
      </x:c>
      <x:c r="Q26" s="16" t="n">
        <x:v>0.34</x:v>
      </x:c>
      <x:c r="R26" s="16" t="n">
        <x:v>1.4</x:v>
      </x:c>
      <x:c r="S26" s="16" t="n">
        <x:v>0.8</x:v>
      </x:c>
      <x:c r="T26" s="16" t="n">
        <x:v>1.05</x:v>
      </x:c>
      <x:c r="U26" s="16" t="n">
        <x:v>1.2</x:v>
      </x:c>
      <x:c r="V26" s="16" t="n">
        <x:v>0.96</x:v>
      </x:c>
      <x:c r="W26" s="16" t="n">
        <x:v>0.15</x:v>
      </x:c>
      <x:c r="X26" s="16" t="n">
        <x:v>-0.2</x:v>
      </x:c>
    </x:row>
    <x:row r="27" ht="23" customHeight="1">
      <x:c r="A27" s="11" t="str">
        <x:v>02096.HK</x:v>
      </x:c>
      <x:c r="B27" s="11" t="n">
        <x:v>2031</x:v>
      </x:c>
      <x:c r="C27" s="11" t="str">
        <x:v>活动输入</x:v>
      </x:c>
      <x:c r="D27" s="11" t="n">
        <x:f>CHOOSE('假设'!$B$3,D28,D29,D30)</x:f>
        <x:v>7.4</x:v>
      </x:c>
      <x:c r="E27" s="11" t="n">
        <x:f>CHOOSE('假设'!$B$3,E28,E29,E30)</x:f>
        <x:v>3.6</x:v>
      </x:c>
      <x:c r="F27" s="11" t="n">
        <x:f>CHOOSE('假设'!$B$3,F28,F29,F30)</x:f>
        <x:v>5.1</x:v>
      </x:c>
      <x:c r="G27" s="11" t="n">
        <x:f>CHOOSE('假设'!$B$3,G28,G29,G30)</x:f>
        <x:v>0.8</x:v>
      </x:c>
      <x:c r="H27" s="11" t="n">
        <x:f>CHOOSE('假设'!$B$3,H28,H29,H30)</x:f>
        <x:v>6.55</x:v>
      </x:c>
      <x:c r="I27" s="11" t="n">
        <x:f>CHOOSE('假设'!$B$3,I28,I29,I30)</x:f>
        <x:v>1.32</x:v>
      </x:c>
      <x:c r="J27" s="11" t="n">
        <x:f>CHOOSE('假设'!$B$3,J28,J29,J30)</x:f>
        <x:v>2.9</x:v>
      </x:c>
      <x:c r="K27" s="11" t="n">
        <x:f>CHOOSE('假设'!$B$3,K28,K29,K30)</x:f>
        <x:v>0.08</x:v>
      </x:c>
      <x:c r="L27" s="11" t="n">
        <x:f>CHOOSE('假设'!$B$3,L28,L29,L30)</x:f>
        <x:v>0.02</x:v>
      </x:c>
      <x:c r="M27" s="11" t="n">
        <x:f>CHOOSE('假设'!$B$3,M28,M29,M30)</x:f>
        <x:v>0</x:v>
      </x:c>
      <x:c r="N27" s="11" t="n">
        <x:f>CHOOSE('假设'!$B$3,N28,N29,N30)</x:f>
        <x:v>0.72</x:v>
      </x:c>
      <x:c r="O27" s="11" t="n">
        <x:f>CHOOSE('假设'!$B$3,O28,O29,O30)</x:f>
        <x:v>2.685</x:v>
      </x:c>
      <x:c r="P27" s="11" t="n">
        <x:f>CHOOSE('假设'!$B$3,P28,P29,P30)</x:f>
        <x:v>0.67</x:v>
      </x:c>
      <x:c r="Q27" s="11" t="n">
        <x:f>CHOOSE('假设'!$B$3,Q28,Q29,Q30)</x:f>
        <x:v>0.28</x:v>
      </x:c>
      <x:c r="R27" s="11" t="n">
        <x:f>CHOOSE('假设'!$B$3,R28,R29,R30)</x:f>
        <x:v>0.85</x:v>
      </x:c>
      <x:c r="S27" s="11" t="n">
        <x:f>CHOOSE('假设'!$B$3,S28,S29,S30)</x:f>
        <x:v>0.45</x:v>
      </x:c>
      <x:c r="T27" s="11" t="n">
        <x:f>CHOOSE('假设'!$B$3,T28,T29,T30)</x:f>
        <x:v>0.6</x:v>
      </x:c>
      <x:c r="U27" s="11" t="n">
        <x:f>CHOOSE('假设'!$B$3,U28,U29,U30)</x:f>
        <x:v>0.5</x:v>
      </x:c>
      <x:c r="V27" s="11" t="n">
        <x:f>CHOOSE('假设'!$B$3,V28,V29,V30)</x:f>
        <x:v>0.56</x:v>
      </x:c>
      <x:c r="W27" s="11" t="n">
        <x:f>CHOOSE('假设'!$B$3,W28,W29,W30)</x:f>
        <x:v>0.1</x:v>
      </x:c>
      <x:c r="X27" s="11" t="n">
        <x:f>CHOOSE('假设'!$B$3,X28,X29,X30)</x:f>
        <x:v>-0.2</x:v>
      </x:c>
    </x:row>
    <x:row r="28" ht="23" customHeight="1">
      <x:c r="A28" s="11" t="str">
        <x:v>02096.HK</x:v>
      </x:c>
      <x:c r="B28" s="11" t="n">
        <x:v>2031</x:v>
      </x:c>
      <x:c r="C28" s="11" t="str">
        <x:v>悲观</x:v>
      </x:c>
      <x:c r="D28" s="16" t="n">
        <x:v>4.45</x:v>
      </x:c>
      <x:c r="E28" s="16" t="n">
        <x:v>2.45</x:v>
      </x:c>
      <x:c r="F28" s="16" t="n">
        <x:v>2.3</x:v>
      </x:c>
      <x:c r="G28" s="16" t="n">
        <x:v>0.43</x:v>
      </x:c>
      <x:c r="H28" s="16" t="n">
        <x:v>3.8</x:v>
      </x:c>
      <x:c r="I28" s="16" t="n">
        <x:v>0.86</x:v>
      </x:c>
      <x:c r="J28" s="16" t="n">
        <x:v>1.9</x:v>
      </x:c>
      <x:c r="K28" s="16" t="n">
        <x:v>0.08</x:v>
      </x:c>
      <x:c r="L28" s="16" t="n">
        <x:v>0.05</x:v>
      </x:c>
      <x:c r="M28" s="16" t="n">
        <x:v>0</x:v>
      </x:c>
      <x:c r="N28" s="16" t="n">
        <x:v>0.831</x:v>
      </x:c>
      <x:c r="O28" s="16" t="n">
        <x:v>2.85</x:v>
      </x:c>
      <x:c r="P28" s="16" t="n">
        <x:v>0.54</x:v>
      </x:c>
      <x:c r="Q28" s="16" t="n">
        <x:v>0.23</x:v>
      </x:c>
      <x:c r="R28" s="16" t="n">
        <x:v>0.56</x:v>
      </x:c>
      <x:c r="S28" s="16" t="n">
        <x:v>0.18</x:v>
      </x:c>
      <x:c r="T28" s="16" t="n">
        <x:v>0.28</x:v>
      </x:c>
      <x:c r="U28" s="16" t="n">
        <x:v>0.12</x:v>
      </x:c>
      <x:c r="V28" s="16" t="n">
        <x:v>0.13</x:v>
      </x:c>
      <x:c r="W28" s="16" t="n">
        <x:v>0</x:v>
      </x:c>
      <x:c r="X28" s="16" t="n">
        <x:v>-0.1</x:v>
      </x:c>
    </x:row>
    <x:row r="29" ht="23" customHeight="1">
      <x:c r="A29" s="11" t="str">
        <x:v>02096.HK</x:v>
      </x:c>
      <x:c r="B29" s="11" t="n">
        <x:v>2031</x:v>
      </x:c>
      <x:c r="C29" s="11" t="str">
        <x:v>基准</x:v>
      </x:c>
      <x:c r="D29" s="16" t="n">
        <x:v>7.4</x:v>
      </x:c>
      <x:c r="E29" s="16" t="n">
        <x:v>3.6</x:v>
      </x:c>
      <x:c r="F29" s="16" t="n">
        <x:v>5.1</x:v>
      </x:c>
      <x:c r="G29" s="16" t="n">
        <x:v>0.8</x:v>
      </x:c>
      <x:c r="H29" s="16" t="n">
        <x:v>6.55</x:v>
      </x:c>
      <x:c r="I29" s="16" t="n">
        <x:v>1.32</x:v>
      </x:c>
      <x:c r="J29" s="16" t="n">
        <x:v>2.9</x:v>
      </x:c>
      <x:c r="K29" s="16" t="n">
        <x:v>0.08</x:v>
      </x:c>
      <x:c r="L29" s="16" t="n">
        <x:v>0.02</x:v>
      </x:c>
      <x:c r="M29" s="16" t="n">
        <x:v>0</x:v>
      </x:c>
      <x:c r="N29" s="16" t="n">
        <x:v>0.72</x:v>
      </x:c>
      <x:c r="O29" s="16" t="n">
        <x:v>2.685</x:v>
      </x:c>
      <x:c r="P29" s="16" t="n">
        <x:v>0.67</x:v>
      </x:c>
      <x:c r="Q29" s="16" t="n">
        <x:v>0.28</x:v>
      </x:c>
      <x:c r="R29" s="16" t="n">
        <x:v>0.85</x:v>
      </x:c>
      <x:c r="S29" s="16" t="n">
        <x:v>0.45</x:v>
      </x:c>
      <x:c r="T29" s="16" t="n">
        <x:v>0.6</x:v>
      </x:c>
      <x:c r="U29" s="16" t="n">
        <x:v>0.5</x:v>
      </x:c>
      <x:c r="V29" s="16" t="n">
        <x:v>0.56</x:v>
      </x:c>
      <x:c r="W29" s="16" t="n">
        <x:v>0.1</x:v>
      </x:c>
      <x:c r="X29" s="16" t="n">
        <x:v>-0.2</x:v>
      </x:c>
    </x:row>
    <x:row r="30" ht="23" customHeight="1">
      <x:c r="A30" s="11" t="str">
        <x:v>02096.HK</x:v>
      </x:c>
      <x:c r="B30" s="11" t="n">
        <x:v>2031</x:v>
      </x:c>
      <x:c r="C30" s="11" t="str">
        <x:v>乐观</x:v>
      </x:c>
      <x:c r="D30" s="16" t="n">
        <x:v>9.6</x:v>
      </x:c>
      <x:c r="E30" s="16" t="n">
        <x:v>5</x:v>
      </x:c>
      <x:c r="F30" s="16" t="n">
        <x:v>8.6</x:v>
      </x:c>
      <x:c r="G30" s="16" t="n">
        <x:v>1.1</x:v>
      </x:c>
      <x:c r="H30" s="16" t="n">
        <x:v>8.35</x:v>
      </x:c>
      <x:c r="I30" s="16" t="n">
        <x:v>1.75</x:v>
      </x:c>
      <x:c r="J30" s="16" t="n">
        <x:v>3.7</x:v>
      </x:c>
      <x:c r="K30" s="16" t="n">
        <x:v>0.07</x:v>
      </x:c>
      <x:c r="L30" s="16" t="n">
        <x:v>0.02</x:v>
      </x:c>
      <x:c r="M30" s="16" t="n">
        <x:v>0</x:v>
      </x:c>
      <x:c r="N30" s="16" t="n">
        <x:v>0.75</x:v>
      </x:c>
      <x:c r="O30" s="16" t="n">
        <x:v>2.66</x:v>
      </x:c>
      <x:c r="P30" s="16" t="n">
        <x:v>0.9</x:v>
      </x:c>
      <x:c r="Q30" s="16" t="n">
        <x:v>0.38</x:v>
      </x:c>
      <x:c r="R30" s="16" t="n">
        <x:v>1.5</x:v>
      </x:c>
      <x:c r="S30" s="16" t="n">
        <x:v>0.9</x:v>
      </x:c>
      <x:c r="T30" s="16" t="n">
        <x:v>1.2</x:v>
      </x:c>
      <x:c r="U30" s="16" t="n">
        <x:v>1.4</x:v>
      </x:c>
      <x:c r="V30" s="16" t="n">
        <x:v>1.2</x:v>
      </x:c>
      <x:c r="W30" s="16" t="n">
        <x:v>0.15</x:v>
      </x:c>
      <x:c r="X30" s="16" t="n">
        <x:v>-0.2</x:v>
      </x:c>
    </x:row>
    <x:row r="31" ht="23" customHeight="1">
      <x:c r="A31" s="11" t="str">
        <x:v>02096.HK</x:v>
      </x:c>
      <x:c r="B31" s="11" t="n">
        <x:v>2032</x:v>
      </x:c>
      <x:c r="C31" s="11" t="str">
        <x:v>活动输入</x:v>
      </x:c>
      <x:c r="D31" s="11" t="n">
        <x:f>CHOOSE('假设'!$B$3,D32,D33,D34)</x:f>
        <x:v>7.7</x:v>
      </x:c>
      <x:c r="E31" s="11" t="n">
        <x:f>CHOOSE('假设'!$B$3,E32,E33,E34)</x:f>
        <x:v>3.7</x:v>
      </x:c>
      <x:c r="F31" s="11" t="n">
        <x:f>CHOOSE('假设'!$B$3,F32,F33,F34)</x:f>
        <x:v>5.5</x:v>
      </x:c>
      <x:c r="G31" s="11" t="n">
        <x:f>CHOOSE('假设'!$B$3,G32,G33,G34)</x:f>
        <x:v>0.78</x:v>
      </x:c>
      <x:c r="H31" s="11" t="n">
        <x:f>CHOOSE('假设'!$B$3,H32,H33,H34)</x:f>
        <x:v>6.9</x:v>
      </x:c>
      <x:c r="I31" s="11" t="n">
        <x:f>CHOOSE('假设'!$B$3,I32,I33,I34)</x:f>
        <x:v>1.44</x:v>
      </x:c>
      <x:c r="J31" s="11" t="n">
        <x:f>CHOOSE('假设'!$B$3,J32,J33,J34)</x:f>
        <x:v>3.1</x:v>
      </x:c>
      <x:c r="K31" s="11" t="n">
        <x:f>CHOOSE('假设'!$B$3,K32,K33,K34)</x:f>
        <x:v>0.09</x:v>
      </x:c>
      <x:c r="L31" s="11" t="n">
        <x:f>CHOOSE('假设'!$B$3,L32,L33,L34)</x:f>
        <x:v>0.02</x:v>
      </x:c>
      <x:c r="M31" s="11" t="n">
        <x:f>CHOOSE('假设'!$B$3,M32,M33,M34)</x:f>
        <x:v>0</x:v>
      </x:c>
      <x:c r="N31" s="11" t="n">
        <x:f>CHOOSE('假设'!$B$3,N32,N33,N34)</x:f>
        <x:v>0.72</x:v>
      </x:c>
      <x:c r="O31" s="11" t="n">
        <x:f>CHOOSE('假设'!$B$3,O32,O33,O34)</x:f>
        <x:v>2.71</x:v>
      </x:c>
      <x:c r="P31" s="11" t="n">
        <x:f>CHOOSE('假设'!$B$3,P32,P33,P34)</x:f>
        <x:v>0.72</x:v>
      </x:c>
      <x:c r="Q31" s="11" t="n">
        <x:f>CHOOSE('假设'!$B$3,Q32,Q33,Q34)</x:f>
        <x:v>0.3</x:v>
      </x:c>
      <x:c r="R31" s="11" t="n">
        <x:f>CHOOSE('假设'!$B$3,R32,R33,R34)</x:f>
        <x:v>0.85</x:v>
      </x:c>
      <x:c r="S31" s="11" t="n">
        <x:f>CHOOSE('假设'!$B$3,S32,S33,S34)</x:f>
        <x:v>0.45</x:v>
      </x:c>
      <x:c r="T31" s="11" t="n">
        <x:f>CHOOSE('假设'!$B$3,T32,T33,T34)</x:f>
        <x:v>0.65</x:v>
      </x:c>
      <x:c r="U31" s="11" t="n">
        <x:f>CHOOSE('假设'!$B$3,U32,U33,U34)</x:f>
        <x:v>0.6</x:v>
      </x:c>
      <x:c r="V31" s="11" t="n">
        <x:f>CHOOSE('假设'!$B$3,V32,V33,V34)</x:f>
        <x:v>0.64</x:v>
      </x:c>
      <x:c r="W31" s="11" t="n">
        <x:f>CHOOSE('假设'!$B$3,W32,W33,W34)</x:f>
        <x:v>0.1</x:v>
      </x:c>
      <x:c r="X31" s="11" t="n">
        <x:f>CHOOSE('假设'!$B$3,X32,X33,X34)</x:f>
        <x:v>-0.2</x:v>
      </x:c>
    </x:row>
    <x:row r="32" ht="23" customHeight="1">
      <x:c r="A32" s="11" t="str">
        <x:v>02096.HK</x:v>
      </x:c>
      <x:c r="B32" s="11" t="n">
        <x:v>2032</x:v>
      </x:c>
      <x:c r="C32" s="11" t="str">
        <x:v>悲观</x:v>
      </x:c>
      <x:c r="D32" s="16" t="n">
        <x:v>4.5</x:v>
      </x:c>
      <x:c r="E32" s="16" t="n">
        <x:v>2.45</x:v>
      </x:c>
      <x:c r="F32" s="16" t="n">
        <x:v>2.35</x:v>
      </x:c>
      <x:c r="G32" s="16" t="n">
        <x:v>0.4</x:v>
      </x:c>
      <x:c r="H32" s="16" t="n">
        <x:v>3.85</x:v>
      </x:c>
      <x:c r="I32" s="16" t="n">
        <x:v>0.9</x:v>
      </x:c>
      <x:c r="J32" s="16" t="n">
        <x:v>1.95</x:v>
      </x:c>
      <x:c r="K32" s="16" t="n">
        <x:v>0.085</x:v>
      </x:c>
      <x:c r="L32" s="16" t="n">
        <x:v>0.05</x:v>
      </x:c>
      <x:c r="M32" s="16" t="n">
        <x:v>0</x:v>
      </x:c>
      <x:c r="N32" s="16" t="n">
        <x:v>0.831</x:v>
      </x:c>
      <x:c r="O32" s="16" t="n">
        <x:v>2.92</x:v>
      </x:c>
      <x:c r="P32" s="16" t="n">
        <x:v>0.56</x:v>
      </x:c>
      <x:c r="Q32" s="16" t="n">
        <x:v>0.24</x:v>
      </x:c>
      <x:c r="R32" s="16" t="n">
        <x:v>0.54</x:v>
      </x:c>
      <x:c r="S32" s="16" t="n">
        <x:v>0.18</x:v>
      </x:c>
      <x:c r="T32" s="16" t="n">
        <x:v>0.29</x:v>
      </x:c>
      <x:c r="U32" s="16" t="n">
        <x:v>0.15</x:v>
      </x:c>
      <x:c r="V32" s="16" t="n">
        <x:v>0.14</x:v>
      </x:c>
      <x:c r="W32" s="16" t="n">
        <x:v>0</x:v>
      </x:c>
      <x:c r="X32" s="16" t="n">
        <x:v>-0.1</x:v>
      </x:c>
    </x:row>
    <x:row r="33" ht="23" customHeight="1">
      <x:c r="A33" s="11" t="str">
        <x:v>02096.HK</x:v>
      </x:c>
      <x:c r="B33" s="11" t="n">
        <x:v>2032</x:v>
      </x:c>
      <x:c r="C33" s="11" t="str">
        <x:v>基准</x:v>
      </x:c>
      <x:c r="D33" s="16" t="n">
        <x:v>7.7</x:v>
      </x:c>
      <x:c r="E33" s="16" t="n">
        <x:v>3.7</x:v>
      </x:c>
      <x:c r="F33" s="16" t="n">
        <x:v>5.5</x:v>
      </x:c>
      <x:c r="G33" s="16" t="n">
        <x:v>0.78</x:v>
      </x:c>
      <x:c r="H33" s="16" t="n">
        <x:v>6.9</x:v>
      </x:c>
      <x:c r="I33" s="16" t="n">
        <x:v>1.44</x:v>
      </x:c>
      <x:c r="J33" s="16" t="n">
        <x:v>3.1</x:v>
      </x:c>
      <x:c r="K33" s="16" t="n">
        <x:v>0.09</x:v>
      </x:c>
      <x:c r="L33" s="16" t="n">
        <x:v>0.02</x:v>
      </x:c>
      <x:c r="M33" s="16" t="n">
        <x:v>0</x:v>
      </x:c>
      <x:c r="N33" s="16" t="n">
        <x:v>0.72</x:v>
      </x:c>
      <x:c r="O33" s="16" t="n">
        <x:v>2.71</x:v>
      </x:c>
      <x:c r="P33" s="16" t="n">
        <x:v>0.72</x:v>
      </x:c>
      <x:c r="Q33" s="16" t="n">
        <x:v>0.3</x:v>
      </x:c>
      <x:c r="R33" s="16" t="n">
        <x:v>0.85</x:v>
      </x:c>
      <x:c r="S33" s="16" t="n">
        <x:v>0.45</x:v>
      </x:c>
      <x:c r="T33" s="16" t="n">
        <x:v>0.65</x:v>
      </x:c>
      <x:c r="U33" s="16" t="n">
        <x:v>0.6</x:v>
      </x:c>
      <x:c r="V33" s="16" t="n">
        <x:v>0.64</x:v>
      </x:c>
      <x:c r="W33" s="16" t="n">
        <x:v>0.1</x:v>
      </x:c>
      <x:c r="X33" s="16" t="n">
        <x:v>-0.2</x:v>
      </x:c>
    </x:row>
    <x:row r="34" ht="23" customHeight="1">
      <x:c r="A34" s="11" t="str">
        <x:v>02096.HK</x:v>
      </x:c>
      <x:c r="B34" s="11" t="n">
        <x:v>2032</x:v>
      </x:c>
      <x:c r="C34" s="11" t="str">
        <x:v>乐观</x:v>
      </x:c>
      <x:c r="D34" s="16" t="n">
        <x:v>10.2</x:v>
      </x:c>
      <x:c r="E34" s="16" t="n">
        <x:v>5.3</x:v>
      </x:c>
      <x:c r="F34" s="16" t="n">
        <x:v>9.8</x:v>
      </x:c>
      <x:c r="G34" s="16" t="n">
        <x:v>1.1</x:v>
      </x:c>
      <x:c r="H34" s="16" t="n">
        <x:v>9.1</x:v>
      </x:c>
      <x:c r="I34" s="16" t="n">
        <x:v>1.95</x:v>
      </x:c>
      <x:c r="J34" s="16" t="n">
        <x:v>4.1</x:v>
      </x:c>
      <x:c r="K34" s="16" t="n">
        <x:v>0.08</x:v>
      </x:c>
      <x:c r="L34" s="16" t="n">
        <x:v>0.02</x:v>
      </x:c>
      <x:c r="M34" s="16" t="n">
        <x:v>0</x:v>
      </x:c>
      <x:c r="N34" s="16" t="n">
        <x:v>0.75</x:v>
      </x:c>
      <x:c r="O34" s="16" t="n">
        <x:v>2.68</x:v>
      </x:c>
      <x:c r="P34" s="16" t="n">
        <x:v>1</x:v>
      </x:c>
      <x:c r="Q34" s="16" t="n">
        <x:v>0.42</x:v>
      </x:c>
      <x:c r="R34" s="16" t="n">
        <x:v>1.6</x:v>
      </x:c>
      <x:c r="S34" s="16" t="n">
        <x:v>1</x:v>
      </x:c>
      <x:c r="T34" s="16" t="n">
        <x:v>1.35</x:v>
      </x:c>
      <x:c r="U34" s="16" t="n">
        <x:v>1.6</x:v>
      </x:c>
      <x:c r="V34" s="16" t="n">
        <x:v>1.45</x:v>
      </x:c>
      <x:c r="W34" s="16" t="n">
        <x:v>0.15</x:v>
      </x:c>
      <x:c r="X34" s="16" t="n">
        <x:v>-0.2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4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70" hidden="0" customWidth="1"/>
  </x:cols>
  <x:sheetData>
    <x:row r="1">
      <x:c r="A1" s="2"/>
      <x:c r="B1" s="2"/>
      <x:c r="C1" s="28"/>
      <x:c r="D1" s="28"/>
      <x:c r="E1" s="28"/>
      <x:c r="F1" s="28"/>
      <x:c r="G1" s="31"/>
      <x:c r="H1" s="28"/>
      <x:c r="I1" s="28"/>
      <x:c r="J1" s="28"/>
      <x:c r="K1" s="28"/>
      <x:c r="L1" s="28"/>
      <x:c r="M1" s="28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  <x:c r="Y1" s="30"/>
      <x:c r="Z1" s="30"/>
      <x:c r="AA1" s="30"/>
      <x:c r="AB1" s="30"/>
      <x:c r="AC1" s="30"/>
      <x:c r="AD1" s="30"/>
    </x:row>
    <x:row r="2">
      <x:c r="A2" s="29" t="str">
        <x:v>临床、上市与商业化假设 最高收入单位由类型区分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52" customHeight="1">
      <x:c r="A6" s="12" t="str">
        <x:v>代码</x:v>
      </x:c>
      <x:c r="B6" s="12" t="str">
        <x:v>现金流类型</x:v>
      </x:c>
      <x:c r="C6" s="12" t="str">
        <x:v>资产</x:v>
      </x:c>
      <x:c r="D6" s="12" t="str">
        <x:v>治疗领域</x:v>
      </x:c>
      <x:c r="E6" s="12" t="str">
        <x:v>截止日临床阶段</x:v>
      </x:c>
      <x:c r="F6" s="12" t="str">
        <x:v>输入层</x:v>
      </x:c>
      <x:c r="G6" s="12" t="str">
        <x:v>首个收入年度</x:v>
      </x:c>
      <x:c r="H6" s="12" t="str">
        <x:v>高峰收入 国内CNY海外USD十亿</x:v>
      </x:c>
      <x:c r="I6" s="12" t="str">
        <x:v>临床商业成功判断</x:v>
      </x:c>
      <x:c r="J6" s="12" t="str">
        <x:v>国内毛利率</x:v>
      </x:c>
      <x:c r="K6" s="12" t="str">
        <x:v>海外版税率</x:v>
      </x:c>
      <x:c r="L6" s="12" t="str">
        <x:v>持续管理成本比例</x:v>
      </x:c>
      <x:c r="M6" s="12" t="str">
        <x:v>权利范围</x:v>
      </x:c>
    </x:row>
    <x:row r="7" ht="23" customHeight="1">
      <x:c r="A7" s="11" t="str">
        <x:v>02096.HK</x:v>
      </x:c>
      <x:c r="B7" s="11" t="str">
        <x:v>国内新药</x:v>
      </x:c>
      <x:c r="C7" s="11" t="str">
        <x:v>ledeAD</x:v>
      </x:c>
      <x:c r="D7" s="11" t="str">
        <x:v>auto</x:v>
      </x:c>
      <x:c r="E7" s="11" t="str">
        <x:v>AD NDA resubmitted/accepted Apr2026, not approved</x:v>
      </x:c>
      <x:c r="F7" s="11" t="str">
        <x:v>活动输入</x:v>
      </x:c>
      <x:c r="G7" s="11" t="n">
        <x:f>CHOOSE('假设'!$B$3,G8,G9,G10)</x:f>
        <x:v>2027</x:v>
      </x:c>
      <x:c r="H7" s="11" t="n">
        <x:f>CHOOSE('假设'!$B$3,H8,H9,H10)</x:f>
        <x:v>2.2</x:v>
      </x:c>
      <x:c r="I7" s="11" t="n">
        <x:f>CHOOSE('假设'!$B$3,I8,I9,I10)</x:f>
        <x:v>0.75</x:v>
      </x:c>
      <x:c r="J7" s="11" t="n">
        <x:f>CHOOSE('假设'!$B$3,J8,J9,J10)</x:f>
        <x:v>0.85</x:v>
      </x:c>
      <x:c r="K7" s="11" t="n">
        <x:f>CHOOSE('假设'!$B$3,K8,K9,K10)</x:f>
        <x:v>1</x:v>
      </x:c>
      <x:c r="L7" s="11" t="n">
        <x:f>CHOOSE('假设'!$B$3,L8,L9,L10)</x:f>
        <x:v>0</x:v>
      </x:c>
      <x:c r="M7" s="11" t="str">
        <x:v>China direct licensed commercialization economics approximated by margin, not global drug rights</x:v>
      </x:c>
    </x:row>
    <x:row r="8" ht="23" customHeight="1">
      <x:c r="A8" s="11" t="str">
        <x:v>02096.HK</x:v>
      </x:c>
      <x:c r="B8" s="11" t="str">
        <x:v>国内新药</x:v>
      </x:c>
      <x:c r="C8" s="11" t="str">
        <x:v>ledeAD</x:v>
      </x:c>
      <x:c r="D8" s="11" t="str">
        <x:v>auto</x:v>
      </x:c>
      <x:c r="E8" s="11" t="str">
        <x:v>AD NDA resubmitted/accepted Apr2026, not approved</x:v>
      </x:c>
      <x:c r="F8" s="11" t="str">
        <x:v>悲观</x:v>
      </x:c>
      <x:c r="G8" s="16" t="n">
        <x:v>2028</x:v>
      </x:c>
      <x:c r="H8" s="16" t="n">
        <x:v>0.9</x:v>
      </x:c>
      <x:c r="I8" s="16" t="n">
        <x:v>0.45</x:v>
      </x:c>
      <x:c r="J8" s="16" t="n">
        <x:v>0.78</x:v>
      </x:c>
      <x:c r="K8" s="11" t="n">
        <x:v>1</x:v>
      </x:c>
      <x:c r="L8" s="11" t="n">
        <x:v>0</x:v>
      </x:c>
      <x:c r="M8" s="11" t="str">
        <x:v>China direct licensed commercialization economics approximated by margin, not global drug rights</x:v>
      </x:c>
    </x:row>
    <x:row r="9" ht="23" customHeight="1">
      <x:c r="A9" s="11" t="str">
        <x:v>02096.HK</x:v>
      </x:c>
      <x:c r="B9" s="11" t="str">
        <x:v>国内新药</x:v>
      </x:c>
      <x:c r="C9" s="11" t="str">
        <x:v>ledeAD</x:v>
      </x:c>
      <x:c r="D9" s="11" t="str">
        <x:v>auto</x:v>
      </x:c>
      <x:c r="E9" s="11" t="str">
        <x:v>AD NDA resubmitted/accepted Apr2026, not approved</x:v>
      </x:c>
      <x:c r="F9" s="11" t="str">
        <x:v>基准</x:v>
      </x:c>
      <x:c r="G9" s="16" t="n">
        <x:v>2027</x:v>
      </x:c>
      <x:c r="H9" s="16" t="n">
        <x:v>2.2</x:v>
      </x:c>
      <x:c r="I9" s="16" t="n">
        <x:v>0.75</x:v>
      </x:c>
      <x:c r="J9" s="16" t="n">
        <x:v>0.85</x:v>
      </x:c>
      <x:c r="K9" s="11" t="n">
        <x:v>1</x:v>
      </x:c>
      <x:c r="L9" s="11" t="n">
        <x:v>0</x:v>
      </x:c>
      <x:c r="M9" s="11" t="str">
        <x:v>China direct licensed commercialization economics approximated by margin, not global drug rights</x:v>
      </x:c>
    </x:row>
    <x:row r="10" ht="23" customHeight="1">
      <x:c r="A10" s="11" t="str">
        <x:v>02096.HK</x:v>
      </x:c>
      <x:c r="B10" s="11" t="str">
        <x:v>国内新药</x:v>
      </x:c>
      <x:c r="C10" s="11" t="str">
        <x:v>ledeAD</x:v>
      </x:c>
      <x:c r="D10" s="11" t="str">
        <x:v>auto</x:v>
      </x:c>
      <x:c r="E10" s="11" t="str">
        <x:v>AD NDA resubmitted/accepted Apr2026, not approved</x:v>
      </x:c>
      <x:c r="F10" s="11" t="str">
        <x:v>乐观</x:v>
      </x:c>
      <x:c r="G10" s="16" t="n">
        <x:v>2027</x:v>
      </x:c>
      <x:c r="H10" s="16" t="n">
        <x:v>3.8</x:v>
      </x:c>
      <x:c r="I10" s="16" t="n">
        <x:v>0.9</x:v>
      </x:c>
      <x:c r="J10" s="16" t="n">
        <x:v>0.88</x:v>
      </x:c>
      <x:c r="K10" s="11" t="n">
        <x:v>1</x:v>
      </x:c>
      <x:c r="L10" s="11" t="n">
        <x:v>0</x:v>
      </x:c>
      <x:c r="M10" s="11" t="str">
        <x:v>China direct licensed commercialization economics approximated by margin, not global drug rights</x:v>
      </x:c>
    </x:row>
    <x:row r="11" ht="23" customHeight="1">
      <x:c r="A11" s="11" t="str">
        <x:v>02096.HK</x:v>
      </x:c>
      <x:c r="B11" s="11" t="str">
        <x:v>国内新药</x:v>
      </x:c>
      <x:c r="C11" s="11" t="str">
        <x:v>pumeAD</x:v>
      </x:c>
      <x:c r="D11" s="11" t="str">
        <x:v>auto</x:v>
      </x:c>
      <x:c r="E11" s="11" t="str">
        <x:v>NDA accepted, exclusive promotion Jun2026</x:v>
      </x:c>
      <x:c r="F11" s="11" t="str">
        <x:v>活动输入</x:v>
      </x:c>
      <x:c r="G11" s="11" t="n">
        <x:f>CHOOSE('假设'!$B$3,G12,G13,G14)</x:f>
        <x:v>2027</x:v>
      </x:c>
      <x:c r="H11" s="11" t="n">
        <x:f>CHOOSE('假设'!$B$3,H12,H13,H14)</x:f>
        <x:v>0.65</x:v>
      </x:c>
      <x:c r="I11" s="11" t="n">
        <x:f>CHOOSE('假设'!$B$3,I12,I13,I14)</x:f>
        <x:v>0.8</x:v>
      </x:c>
      <x:c r="J11" s="11" t="n">
        <x:f>CHOOSE('假设'!$B$3,J12,J13,J14)</x:f>
        <x:v>0.7</x:v>
      </x:c>
      <x:c r="K11" s="11" t="n">
        <x:f>CHOOSE('假设'!$B$3,K12,K13,K14)</x:f>
        <x:v>1</x:v>
      </x:c>
      <x:c r="L11" s="11" t="n">
        <x:f>CHOOSE('假设'!$B$3,L12,L13,L14)</x:f>
        <x:v>0</x:v>
      </x:c>
      <x:c r="M11" s="11" t="str">
        <x:v>mainland/HK/Macau promotion only, revenue is Simcere recognized service economics, not partner total drug sales</x:v>
      </x:c>
    </x:row>
    <x:row r="12" ht="23" customHeight="1">
      <x:c r="A12" s="11" t="str">
        <x:v>02096.HK</x:v>
      </x:c>
      <x:c r="B12" s="11" t="str">
        <x:v>国内新药</x:v>
      </x:c>
      <x:c r="C12" s="11" t="str">
        <x:v>pumeAD</x:v>
      </x:c>
      <x:c r="D12" s="11" t="str">
        <x:v>auto</x:v>
      </x:c>
      <x:c r="E12" s="11" t="str">
        <x:v>NDA accepted, exclusive promotion Jun2026</x:v>
      </x:c>
      <x:c r="F12" s="11" t="str">
        <x:v>悲观</x:v>
      </x:c>
      <x:c r="G12" s="16" t="n">
        <x:v>2028</x:v>
      </x:c>
      <x:c r="H12" s="16" t="n">
        <x:v>0.25</x:v>
      </x:c>
      <x:c r="I12" s="16" t="n">
        <x:v>0.5</x:v>
      </x:c>
      <x:c r="J12" s="16" t="n">
        <x:v>0.55</x:v>
      </x:c>
      <x:c r="K12" s="11" t="n">
        <x:v>1</x:v>
      </x:c>
      <x:c r="L12" s="11" t="n">
        <x:v>0</x:v>
      </x:c>
      <x:c r="M12" s="11" t="str">
        <x:v>mainland/HK/Macau promotion only, revenue is Simcere recognized service economics, not partner total drug sales</x:v>
      </x:c>
    </x:row>
    <x:row r="13" ht="23" customHeight="1">
      <x:c r="A13" s="11" t="str">
        <x:v>02096.HK</x:v>
      </x:c>
      <x:c r="B13" s="11" t="str">
        <x:v>国内新药</x:v>
      </x:c>
      <x:c r="C13" s="11" t="str">
        <x:v>pumeAD</x:v>
      </x:c>
      <x:c r="D13" s="11" t="str">
        <x:v>auto</x:v>
      </x:c>
      <x:c r="E13" s="11" t="str">
        <x:v>NDA accepted, exclusive promotion Jun2026</x:v>
      </x:c>
      <x:c r="F13" s="11" t="str">
        <x:v>基准</x:v>
      </x:c>
      <x:c r="G13" s="16" t="n">
        <x:v>2027</x:v>
      </x:c>
      <x:c r="H13" s="16" t="n">
        <x:v>0.65</x:v>
      </x:c>
      <x:c r="I13" s="16" t="n">
        <x:v>0.8</x:v>
      </x:c>
      <x:c r="J13" s="16" t="n">
        <x:v>0.7</x:v>
      </x:c>
      <x:c r="K13" s="11" t="n">
        <x:v>1</x:v>
      </x:c>
      <x:c r="L13" s="11" t="n">
        <x:v>0</x:v>
      </x:c>
      <x:c r="M13" s="11" t="str">
        <x:v>mainland/HK/Macau promotion only, revenue is Simcere recognized service economics, not partner total drug sales</x:v>
      </x:c>
    </x:row>
    <x:row r="14" ht="23" customHeight="1">
      <x:c r="A14" s="11" t="str">
        <x:v>02096.HK</x:v>
      </x:c>
      <x:c r="B14" s="11" t="str">
        <x:v>国内新药</x:v>
      </x:c>
      <x:c r="C14" s="11" t="str">
        <x:v>pumeAD</x:v>
      </x:c>
      <x:c r="D14" s="11" t="str">
        <x:v>auto</x:v>
      </x:c>
      <x:c r="E14" s="11" t="str">
        <x:v>NDA accepted, exclusive promotion Jun2026</x:v>
      </x:c>
      <x:c r="F14" s="11" t="str">
        <x:v>乐观</x:v>
      </x:c>
      <x:c r="G14" s="16" t="n">
        <x:v>2027</x:v>
      </x:c>
      <x:c r="H14" s="16" t="n">
        <x:v>1.1</x:v>
      </x:c>
      <x:c r="I14" s="16" t="n">
        <x:v>0.9</x:v>
      </x:c>
      <x:c r="J14" s="16" t="n">
        <x:v>0.78</x:v>
      </x:c>
      <x:c r="K14" s="11" t="n">
        <x:v>1</x:v>
      </x:c>
      <x:c r="L14" s="11" t="n">
        <x:v>0</x:v>
      </x:c>
      <x:c r="M14" s="11" t="str">
        <x:v>mainland/HK/Macau promotion only, revenue is Simcere recognized service economics, not partner total drug sales</x:v>
      </x:c>
    </x:row>
    <x:row r="15" ht="23" customHeight="1">
      <x:c r="A15" s="11" t="str">
        <x:v>02096.HK</x:v>
      </x:c>
      <x:c r="B15" s="11" t="str">
        <x:v>国内新药</x:v>
      </x:c>
      <x:c r="C15" s="11" t="str">
        <x:v>influenza</x:v>
      </x:c>
      <x:c r="D15" s="11" t="str">
        <x:v>other</x:v>
      </x:c>
      <x:c r="E15" s="11" t="str">
        <x:v>adult/adolescent and child NDA, not approved</x:v>
      </x:c>
      <x:c r="F15" s="11" t="str">
        <x:v>活动输入</x:v>
      </x:c>
      <x:c r="G15" s="11" t="n">
        <x:f>CHOOSE('假设'!$B$3,G16,G17,G18)</x:f>
        <x:v>2027</x:v>
      </x:c>
      <x:c r="H15" s="11" t="n">
        <x:f>CHOOSE('假设'!$B$3,H16,H17,H18)</x:f>
        <x:v>1.1</x:v>
      </x:c>
      <x:c r="I15" s="11" t="n">
        <x:f>CHOOSE('假设'!$B$3,I16,I17,I18)</x:f>
        <x:v>0.8</x:v>
      </x:c>
      <x:c r="J15" s="11" t="n">
        <x:f>CHOOSE('假设'!$B$3,J16,J17,J18)</x:f>
        <x:v>0.68</x:v>
      </x:c>
      <x:c r="K15" s="11" t="n">
        <x:f>CHOOSE('假设'!$B$3,K16,K17,K18)</x:f>
        <x:v>1</x:v>
      </x:c>
      <x:c r="L15" s="11" t="n">
        <x:f>CHOOSE('假设'!$B$3,L16,L17,L18)</x:f>
        <x:v>0</x:v>
      </x:c>
      <x:c r="M15" s="11" t="str">
        <x:v>China commercialization only; risk group excludes established COVID product</x:v>
      </x:c>
    </x:row>
    <x:row r="16" ht="23" customHeight="1">
      <x:c r="A16" s="11" t="str">
        <x:v>02096.HK</x:v>
      </x:c>
      <x:c r="B16" s="11" t="str">
        <x:v>国内新药</x:v>
      </x:c>
      <x:c r="C16" s="11" t="str">
        <x:v>influenza</x:v>
      </x:c>
      <x:c r="D16" s="11" t="str">
        <x:v>other</x:v>
      </x:c>
      <x:c r="E16" s="11" t="str">
        <x:v>adult/adolescent and child NDA, not approved</x:v>
      </x:c>
      <x:c r="F16" s="11" t="str">
        <x:v>悲观</x:v>
      </x:c>
      <x:c r="G16" s="16" t="n">
        <x:v>2028</x:v>
      </x:c>
      <x:c r="H16" s="16" t="n">
        <x:v>0.4</x:v>
      </x:c>
      <x:c r="I16" s="16" t="n">
        <x:v>0.5</x:v>
      </x:c>
      <x:c r="J16" s="16" t="n">
        <x:v>0.55</x:v>
      </x:c>
      <x:c r="K16" s="11" t="n">
        <x:v>1</x:v>
      </x:c>
      <x:c r="L16" s="11" t="n">
        <x:v>0</x:v>
      </x:c>
      <x:c r="M16" s="11" t="str">
        <x:v>China commercialization only; risk group excludes established COVID product</x:v>
      </x:c>
    </x:row>
    <x:row r="17" ht="23" customHeight="1">
      <x:c r="A17" s="11" t="str">
        <x:v>02096.HK</x:v>
      </x:c>
      <x:c r="B17" s="11" t="str">
        <x:v>国内新药</x:v>
      </x:c>
      <x:c r="C17" s="11" t="str">
        <x:v>influenza</x:v>
      </x:c>
      <x:c r="D17" s="11" t="str">
        <x:v>other</x:v>
      </x:c>
      <x:c r="E17" s="11" t="str">
        <x:v>adult/adolescent and child NDA, not approved</x:v>
      </x:c>
      <x:c r="F17" s="11" t="str">
        <x:v>基准</x:v>
      </x:c>
      <x:c r="G17" s="16" t="n">
        <x:v>2027</x:v>
      </x:c>
      <x:c r="H17" s="16" t="n">
        <x:v>1.1</x:v>
      </x:c>
      <x:c r="I17" s="16" t="n">
        <x:v>0.8</x:v>
      </x:c>
      <x:c r="J17" s="16" t="n">
        <x:v>0.68</x:v>
      </x:c>
      <x:c r="K17" s="11" t="n">
        <x:v>1</x:v>
      </x:c>
      <x:c r="L17" s="11" t="n">
        <x:v>0</x:v>
      </x:c>
      <x:c r="M17" s="11" t="str">
        <x:v>China commercialization only; risk group excludes established COVID product</x:v>
      </x:c>
    </x:row>
    <x:row r="18" ht="23" customHeight="1">
      <x:c r="A18" s="11" t="str">
        <x:v>02096.HK</x:v>
      </x:c>
      <x:c r="B18" s="11" t="str">
        <x:v>国内新药</x:v>
      </x:c>
      <x:c r="C18" s="11" t="str">
        <x:v>influenza</x:v>
      </x:c>
      <x:c r="D18" s="11" t="str">
        <x:v>other</x:v>
      </x:c>
      <x:c r="E18" s="11" t="str">
        <x:v>adult/adolescent and child NDA, not approved</x:v>
      </x:c>
      <x:c r="F18" s="11" t="str">
        <x:v>乐观</x:v>
      </x:c>
      <x:c r="G18" s="16" t="n">
        <x:v>2027</x:v>
      </x:c>
      <x:c r="H18" s="16" t="n">
        <x:v>2</x:v>
      </x:c>
      <x:c r="I18" s="16" t="n">
        <x:v>0.9</x:v>
      </x:c>
      <x:c r="J18" s="16" t="n">
        <x:v>0.75</x:v>
      </x:c>
      <x:c r="K18" s="11" t="n">
        <x:v>1</x:v>
      </x:c>
      <x:c r="L18" s="11" t="n">
        <x:v>0</x:v>
      </x:c>
      <x:c r="M18" s="11" t="str">
        <x:v>China commercialization only; risk group excludes established COVID product</x:v>
      </x:c>
    </x:row>
    <x:row r="19" ht="23" customHeight="1">
      <x:c r="A19" s="11" t="str">
        <x:v>02096.HK</x:v>
      </x:c>
      <x:c r="B19" s="11" t="str">
        <x:v>国内新药</x:v>
      </x:c>
      <x:c r="C19" s="11" t="str">
        <x:v>deuLora</x:v>
      </x:c>
      <x:c r="D19" s="11" t="str">
        <x:v>onc</x:v>
      </x:c>
      <x:c r="E19" s="11" t="str">
        <x:v>phase3/Pre-NDA June2026</x:v>
      </x:c>
      <x:c r="F19" s="11" t="str">
        <x:v>活动输入</x:v>
      </x:c>
      <x:c r="G19" s="11" t="n">
        <x:f>CHOOSE('假设'!$B$3,G20,G21,G22)</x:f>
        <x:v>2028</x:v>
      </x:c>
      <x:c r="H19" s="11" t="n">
        <x:f>CHOOSE('假设'!$B$3,H20,H21,H22)</x:f>
        <x:v>0.8</x:v>
      </x:c>
      <x:c r="I19" s="11" t="n">
        <x:f>CHOOSE('假设'!$B$3,I20,I21,I22)</x:f>
        <x:v>0.65</x:v>
      </x:c>
      <x:c r="J19" s="11" t="n">
        <x:f>CHOOSE('假设'!$B$3,J20,J21,J22)</x:f>
        <x:v>0.73</x:v>
      </x:c>
      <x:c r="K19" s="11" t="n">
        <x:f>CHOOSE('假设'!$B$3,K20,K21,K22)</x:f>
        <x:v>1</x:v>
      </x:c>
      <x:c r="L19" s="11" t="n">
        <x:f>CHOOSE('假设'!$B$3,L20,L21,L22)</x:f>
        <x:v>0</x:v>
      </x:c>
      <x:c r="M19" s="11" t="str">
        <x:v>China exclusive commercialization not global ALK ownership</x:v>
      </x:c>
    </x:row>
    <x:row r="20" ht="23" customHeight="1">
      <x:c r="A20" s="11" t="str">
        <x:v>02096.HK</x:v>
      </x:c>
      <x:c r="B20" s="11" t="str">
        <x:v>国内新药</x:v>
      </x:c>
      <x:c r="C20" s="11" t="str">
        <x:v>deuLora</x:v>
      </x:c>
      <x:c r="D20" s="11" t="str">
        <x:v>onc</x:v>
      </x:c>
      <x:c r="E20" s="11" t="str">
        <x:v>phase3/Pre-NDA June2026</x:v>
      </x:c>
      <x:c r="F20" s="11" t="str">
        <x:v>悲观</x:v>
      </x:c>
      <x:c r="G20" s="16" t="n">
        <x:v>2029</x:v>
      </x:c>
      <x:c r="H20" s="16" t="n">
        <x:v>0.3</x:v>
      </x:c>
      <x:c r="I20" s="16" t="n">
        <x:v>0.35</x:v>
      </x:c>
      <x:c r="J20" s="16" t="n">
        <x:v>0.6</x:v>
      </x:c>
      <x:c r="K20" s="11" t="n">
        <x:v>1</x:v>
      </x:c>
      <x:c r="L20" s="11" t="n">
        <x:v>0</x:v>
      </x:c>
      <x:c r="M20" s="11" t="str">
        <x:v>China exclusive commercialization not global ALK ownership</x:v>
      </x:c>
    </x:row>
    <x:row r="21" ht="23" customHeight="1">
      <x:c r="A21" s="11" t="str">
        <x:v>02096.HK</x:v>
      </x:c>
      <x:c r="B21" s="11" t="str">
        <x:v>国内新药</x:v>
      </x:c>
      <x:c r="C21" s="11" t="str">
        <x:v>deuLora</x:v>
      </x:c>
      <x:c r="D21" s="11" t="str">
        <x:v>onc</x:v>
      </x:c>
      <x:c r="E21" s="11" t="str">
        <x:v>phase3/Pre-NDA June2026</x:v>
      </x:c>
      <x:c r="F21" s="11" t="str">
        <x:v>基准</x:v>
      </x:c>
      <x:c r="G21" s="16" t="n">
        <x:v>2028</x:v>
      </x:c>
      <x:c r="H21" s="16" t="n">
        <x:v>0.8</x:v>
      </x:c>
      <x:c r="I21" s="16" t="n">
        <x:v>0.65</x:v>
      </x:c>
      <x:c r="J21" s="16" t="n">
        <x:v>0.73</x:v>
      </x:c>
      <x:c r="K21" s="11" t="n">
        <x:v>1</x:v>
      </x:c>
      <x:c r="L21" s="11" t="n">
        <x:v>0</x:v>
      </x:c>
      <x:c r="M21" s="11" t="str">
        <x:v>China exclusive commercialization not global ALK ownership</x:v>
      </x:c>
    </x:row>
    <x:row r="22" ht="23" customHeight="1">
      <x:c r="A22" s="11" t="str">
        <x:v>02096.HK</x:v>
      </x:c>
      <x:c r="B22" s="11" t="str">
        <x:v>国内新药</x:v>
      </x:c>
      <x:c r="C22" s="11" t="str">
        <x:v>deuLora</x:v>
      </x:c>
      <x:c r="D22" s="11" t="str">
        <x:v>onc</x:v>
      </x:c>
      <x:c r="E22" s="11" t="str">
        <x:v>phase3/Pre-NDA June2026</x:v>
      </x:c>
      <x:c r="F22" s="11" t="str">
        <x:v>乐观</x:v>
      </x:c>
      <x:c r="G22" s="16" t="n">
        <x:v>2028</x:v>
      </x:c>
      <x:c r="H22" s="16" t="n">
        <x:v>1.5</x:v>
      </x:c>
      <x:c r="I22" s="16" t="n">
        <x:v>0.8</x:v>
      </x:c>
      <x:c r="J22" s="16" t="n">
        <x:v>0.8</x:v>
      </x:c>
      <x:c r="K22" s="11" t="n">
        <x:v>1</x:v>
      </x:c>
      <x:c r="L22" s="11" t="n">
        <x:v>0</x:v>
      </x:c>
      <x:c r="M22" s="11" t="str">
        <x:v>China exclusive commercialization not global ALK ownership</x:v>
      </x:c>
    </x:row>
    <x:row r="23" ht="23" customHeight="1">
      <x:c r="A23" s="11" t="str">
        <x:v>02096.HK</x:v>
      </x:c>
      <x:c r="B23" s="11" t="str">
        <x:v>国内新药</x:v>
      </x:c>
      <x:c r="C23" s="11" t="str">
        <x:v>SERD</x:v>
      </x:c>
      <x:c r="D23" s="11" t="str">
        <x:v>onc</x:v>
      </x:c>
      <x:c r="E23" s="11" t="str">
        <x:v>phase3 LPI June2026, no efficacy readout published here</x:v>
      </x:c>
      <x:c r="F23" s="11" t="str">
        <x:v>活动输入</x:v>
      </x:c>
      <x:c r="G23" s="11" t="n">
        <x:f>CHOOSE('假设'!$B$3,G24,G25,G26)</x:f>
        <x:v>2029</x:v>
      </x:c>
      <x:c r="H23" s="11" t="n">
        <x:f>CHOOSE('假设'!$B$3,H24,H25,H26)</x:f>
        <x:v>1.5</x:v>
      </x:c>
      <x:c r="I23" s="11" t="n">
        <x:f>CHOOSE('假设'!$B$3,I24,I25,I26)</x:f>
        <x:v>0.5</x:v>
      </x:c>
      <x:c r="J23" s="11" t="n">
        <x:f>CHOOSE('假设'!$B$3,J24,J25,J26)</x:f>
        <x:v>0.82</x:v>
      </x:c>
      <x:c r="K23" s="11" t="n">
        <x:f>CHOOSE('假设'!$B$3,K24,K25,K26)</x:f>
        <x:v>1</x:v>
      </x:c>
      <x:c r="L23" s="11" t="n">
        <x:f>CHOOSE('假设'!$B$3,L24,L25,L26)</x:f>
        <x:v>0</x:v>
      </x:c>
      <x:c r="M23" s="11" t="str">
        <x:v>China incremental base; global rights retained but foreign direct sales excluded</x:v>
      </x:c>
    </x:row>
    <x:row r="24" ht="23" customHeight="1">
      <x:c r="A24" s="11" t="str">
        <x:v>02096.HK</x:v>
      </x:c>
      <x:c r="B24" s="11" t="str">
        <x:v>国内新药</x:v>
      </x:c>
      <x:c r="C24" s="11" t="str">
        <x:v>SERD</x:v>
      </x:c>
      <x:c r="D24" s="11" t="str">
        <x:v>onc</x:v>
      </x:c>
      <x:c r="E24" s="11" t="str">
        <x:v>phase3 LPI June2026, no efficacy readout published here</x:v>
      </x:c>
      <x:c r="F24" s="11" t="str">
        <x:v>悲观</x:v>
      </x:c>
      <x:c r="G24" s="16" t="n">
        <x:v>2030</x:v>
      </x:c>
      <x:c r="H24" s="16" t="n">
        <x:v>0.4</x:v>
      </x:c>
      <x:c r="I24" s="16" t="n">
        <x:v>0.2</x:v>
      </x:c>
      <x:c r="J24" s="16" t="n">
        <x:v>0.73</x:v>
      </x:c>
      <x:c r="K24" s="11" t="n">
        <x:v>1</x:v>
      </x:c>
      <x:c r="L24" s="11" t="n">
        <x:v>0</x:v>
      </x:c>
      <x:c r="M24" s="11" t="str">
        <x:v>China incremental base; global rights retained but foreign direct sales excluded</x:v>
      </x:c>
    </x:row>
    <x:row r="25" ht="23" customHeight="1">
      <x:c r="A25" s="11" t="str">
        <x:v>02096.HK</x:v>
      </x:c>
      <x:c r="B25" s="11" t="str">
        <x:v>国内新药</x:v>
      </x:c>
      <x:c r="C25" s="11" t="str">
        <x:v>SERD</x:v>
      </x:c>
      <x:c r="D25" s="11" t="str">
        <x:v>onc</x:v>
      </x:c>
      <x:c r="E25" s="11" t="str">
        <x:v>phase3 LPI June2026, no efficacy readout published here</x:v>
      </x:c>
      <x:c r="F25" s="11" t="str">
        <x:v>基准</x:v>
      </x:c>
      <x:c r="G25" s="16" t="n">
        <x:v>2029</x:v>
      </x:c>
      <x:c r="H25" s="16" t="n">
        <x:v>1.5</x:v>
      </x:c>
      <x:c r="I25" s="16" t="n">
        <x:v>0.5</x:v>
      </x:c>
      <x:c r="J25" s="16" t="n">
        <x:v>0.82</x:v>
      </x:c>
      <x:c r="K25" s="11" t="n">
        <x:v>1</x:v>
      </x:c>
      <x:c r="L25" s="11" t="n">
        <x:v>0</x:v>
      </x:c>
      <x:c r="M25" s="11" t="str">
        <x:v>China incremental base; global rights retained but foreign direct sales excluded</x:v>
      </x:c>
    </x:row>
    <x:row r="26" ht="23" customHeight="1">
      <x:c r="A26" s="11" t="str">
        <x:v>02096.HK</x:v>
      </x:c>
      <x:c r="B26" s="11" t="str">
        <x:v>国内新药</x:v>
      </x:c>
      <x:c r="C26" s="11" t="str">
        <x:v>SERD</x:v>
      </x:c>
      <x:c r="D26" s="11" t="str">
        <x:v>onc</x:v>
      </x:c>
      <x:c r="E26" s="11" t="str">
        <x:v>phase3 LPI June2026, no efficacy readout published here</x:v>
      </x:c>
      <x:c r="F26" s="11" t="str">
        <x:v>乐观</x:v>
      </x:c>
      <x:c r="G26" s="16" t="n">
        <x:v>2028</x:v>
      </x:c>
      <x:c r="H26" s="16" t="n">
        <x:v>3</x:v>
      </x:c>
      <x:c r="I26" s="16" t="n">
        <x:v>0.75</x:v>
      </x:c>
      <x:c r="J26" s="16" t="n">
        <x:v>0.87</x:v>
      </x:c>
      <x:c r="K26" s="11" t="n">
        <x:v>1</x:v>
      </x:c>
      <x:c r="L26" s="11" t="n">
        <x:v>0</x:v>
      </x:c>
      <x:c r="M26" s="11" t="str">
        <x:v>China incremental base; global rights retained but foreign direct sales excluded</x:v>
      </x:c>
    </x:row>
    <x:row r="27" ht="23" customHeight="1">
      <x:c r="A27" s="11" t="str">
        <x:v>02096.HK</x:v>
      </x:c>
      <x:c r="B27" s="11" t="str">
        <x:v>国内新药</x:v>
      </x:c>
      <x:c r="C27" s="11" t="str">
        <x:v>RSVtreatment</x:v>
      </x:c>
      <x:c r="D27" s="11" t="str">
        <x:v>other</x:v>
      </x:c>
      <x:c r="E27" s="11" t="str">
        <x:v>infant phase3 began2026, not prevention antibody</x:v>
      </x:c>
      <x:c r="F27" s="11" t="str">
        <x:v>活动输入</x:v>
      </x:c>
      <x:c r="G27" s="11" t="n">
        <x:f>CHOOSE('假设'!$B$3,G28,G29,G30)</x:f>
        <x:v>2029</x:v>
      </x:c>
      <x:c r="H27" s="11" t="n">
        <x:f>CHOOSE('假设'!$B$3,H28,H29,H30)</x:f>
        <x:v>0.9</x:v>
      </x:c>
      <x:c r="I27" s="11" t="n">
        <x:f>CHOOSE('假设'!$B$3,I28,I29,I30)</x:f>
        <x:v>0.5</x:v>
      </x:c>
      <x:c r="J27" s="11" t="n">
        <x:f>CHOOSE('假设'!$B$3,J28,J29,J30)</x:f>
        <x:v>0.68</x:v>
      </x:c>
      <x:c r="K27" s="11" t="n">
        <x:f>CHOOSE('假设'!$B$3,K28,K29,K30)</x:f>
        <x:v>1</x:v>
      </x:c>
      <x:c r="L27" s="11" t="n">
        <x:f>CHOOSE('假设'!$B$3,L28,L29,L30)</x:f>
        <x:v>0</x:v>
      </x:c>
      <x:c r="M27" s="11" t="str">
        <x:v>Greater China RSV/HMPV rights; different drug from approved cLESrovimab</x:v>
      </x:c>
    </x:row>
    <x:row r="28" ht="23" customHeight="1">
      <x:c r="A28" s="11" t="str">
        <x:v>02096.HK</x:v>
      </x:c>
      <x:c r="B28" s="11" t="str">
        <x:v>国内新药</x:v>
      </x:c>
      <x:c r="C28" s="11" t="str">
        <x:v>RSVtreatment</x:v>
      </x:c>
      <x:c r="D28" s="11" t="str">
        <x:v>other</x:v>
      </x:c>
      <x:c r="E28" s="11" t="str">
        <x:v>infant phase3 began2026, not prevention antibody</x:v>
      </x:c>
      <x:c r="F28" s="11" t="str">
        <x:v>悲观</x:v>
      </x:c>
      <x:c r="G28" s="16" t="n">
        <x:v>2031</x:v>
      </x:c>
      <x:c r="H28" s="16" t="n">
        <x:v>0.3</x:v>
      </x:c>
      <x:c r="I28" s="16" t="n">
        <x:v>0.2</x:v>
      </x:c>
      <x:c r="J28" s="16" t="n">
        <x:v>0.55</x:v>
      </x:c>
      <x:c r="K28" s="11" t="n">
        <x:v>1</x:v>
      </x:c>
      <x:c r="L28" s="11" t="n">
        <x:v>0</x:v>
      </x:c>
      <x:c r="M28" s="11" t="str">
        <x:v>Greater China RSV/HMPV rights; different drug from approved cLESrovimab</x:v>
      </x:c>
    </x:row>
    <x:row r="29" ht="23" customHeight="1">
      <x:c r="A29" s="11" t="str">
        <x:v>02096.HK</x:v>
      </x:c>
      <x:c r="B29" s="11" t="str">
        <x:v>国内新药</x:v>
      </x:c>
      <x:c r="C29" s="11" t="str">
        <x:v>RSVtreatment</x:v>
      </x:c>
      <x:c r="D29" s="11" t="str">
        <x:v>other</x:v>
      </x:c>
      <x:c r="E29" s="11" t="str">
        <x:v>infant phase3 began2026, not prevention antibody</x:v>
      </x:c>
      <x:c r="F29" s="11" t="str">
        <x:v>基准</x:v>
      </x:c>
      <x:c r="G29" s="16" t="n">
        <x:v>2029</x:v>
      </x:c>
      <x:c r="H29" s="16" t="n">
        <x:v>0.9</x:v>
      </x:c>
      <x:c r="I29" s="16" t="n">
        <x:v>0.5</x:v>
      </x:c>
      <x:c r="J29" s="16" t="n">
        <x:v>0.68</x:v>
      </x:c>
      <x:c r="K29" s="11" t="n">
        <x:v>1</x:v>
      </x:c>
      <x:c r="L29" s="11" t="n">
        <x:v>0</x:v>
      </x:c>
      <x:c r="M29" s="11" t="str">
        <x:v>Greater China RSV/HMPV rights; different drug from approved cLESrovimab</x:v>
      </x:c>
    </x:row>
    <x:row r="30" ht="23" customHeight="1">
      <x:c r="A30" s="11" t="str">
        <x:v>02096.HK</x:v>
      </x:c>
      <x:c r="B30" s="11" t="str">
        <x:v>国内新药</x:v>
      </x:c>
      <x:c r="C30" s="11" t="str">
        <x:v>RSVtreatment</x:v>
      </x:c>
      <x:c r="D30" s="11" t="str">
        <x:v>other</x:v>
      </x:c>
      <x:c r="E30" s="11" t="str">
        <x:v>infant phase3 began2026, not prevention antibody</x:v>
      </x:c>
      <x:c r="F30" s="11" t="str">
        <x:v>乐观</x:v>
      </x:c>
      <x:c r="G30" s="16" t="n">
        <x:v>2028</x:v>
      </x:c>
      <x:c r="H30" s="16" t="n">
        <x:v>1.8</x:v>
      </x:c>
      <x:c r="I30" s="16" t="n">
        <x:v>0.75</x:v>
      </x:c>
      <x:c r="J30" s="16" t="n">
        <x:v>0.76</x:v>
      </x:c>
      <x:c r="K30" s="11" t="n">
        <x:v>1</x:v>
      </x:c>
      <x:c r="L30" s="11" t="n">
        <x:v>0</x:v>
      </x:c>
      <x:c r="M30" s="11" t="str">
        <x:v>Greater China RSV/HMPV rights; different drug from approved cLESrovimab</x:v>
      </x:c>
    </x:row>
    <x:row r="31" ht="23" customHeight="1">
      <x:c r="A31" s="11" t="str">
        <x:v>02096.HK</x:v>
      </x:c>
      <x:c r="B31" s="11" t="str">
        <x:v>海外版税</x:v>
      </x:c>
      <x:c r="C31" s="11" t="str">
        <x:v>SIM0505</x:v>
      </x:c>
      <x:c r="D31" s="11" t="str">
        <x:v>onc</x:v>
      </x:c>
      <x:c r="E31" s="11" t="str">
        <x:v>phase1 ADC</x:v>
      </x:c>
      <x:c r="F31" s="11" t="str">
        <x:v>活动输入</x:v>
      </x:c>
      <x:c r="G31" s="11" t="n">
        <x:f>CHOOSE('假设'!$B$3,G32,G33,G34)</x:f>
        <x:v>2029</x:v>
      </x:c>
      <x:c r="H31" s="11" t="n">
        <x:f>CHOOSE('假设'!$B$3,H32,H33,H34)</x:f>
        <x:v>1.5</x:v>
      </x:c>
      <x:c r="I31" s="11" t="n">
        <x:f>CHOOSE('假设'!$B$3,I32,I33,I34)</x:f>
        <x:v>0.3</x:v>
      </x:c>
      <x:c r="J31" s="11" t="n">
        <x:f>CHOOSE('假设'!$B$3,J32,J33,J34)</x:f>
        <x:v>1</x:v>
      </x:c>
      <x:c r="K31" s="11" t="n">
        <x:f>CHOOSE('假设'!$B$3,K32,K33,K34)</x:f>
        <x:v>0.12</x:v>
      </x:c>
      <x:c r="L31" s="11" t="n">
        <x:f>CHOOSE('假设'!$B$3,L32,L33,L34)</x:f>
        <x:v>0.08</x:v>
      </x:c>
      <x:c r="M31" s="11" t="str">
        <x:v>NextCure ex Greater China; includes no NextCure equity value</x:v>
      </x:c>
    </x:row>
    <x:row r="32" ht="23" customHeight="1">
      <x:c r="A32" s="11" t="str">
        <x:v>02096.HK</x:v>
      </x:c>
      <x:c r="B32" s="11" t="str">
        <x:v>海外版税</x:v>
      </x:c>
      <x:c r="C32" s="11" t="str">
        <x:v>SIM0505</x:v>
      </x:c>
      <x:c r="D32" s="11" t="str">
        <x:v>onc</x:v>
      </x:c>
      <x:c r="E32" s="11" t="str">
        <x:v>phase1 ADC</x:v>
      </x:c>
      <x:c r="F32" s="11" t="str">
        <x:v>悲观</x:v>
      </x:c>
      <x:c r="G32" s="16" t="n">
        <x:v>2031</x:v>
      </x:c>
      <x:c r="H32" s="16" t="n">
        <x:v>0.5</x:v>
      </x:c>
      <x:c r="I32" s="16" t="n">
        <x:v>0.12</x:v>
      </x:c>
      <x:c r="J32" s="11" t="n">
        <x:v>1</x:v>
      </x:c>
      <x:c r="K32" s="16" t="n">
        <x:v>0.08</x:v>
      </x:c>
      <x:c r="L32" s="16" t="n">
        <x:v>0.08</x:v>
      </x:c>
      <x:c r="M32" s="11" t="str">
        <x:v>NextCure ex Greater China; includes no NextCure equity value</x:v>
      </x:c>
    </x:row>
    <x:row r="33" ht="23" customHeight="1">
      <x:c r="A33" s="11" t="str">
        <x:v>02096.HK</x:v>
      </x:c>
      <x:c r="B33" s="11" t="str">
        <x:v>海外版税</x:v>
      </x:c>
      <x:c r="C33" s="11" t="str">
        <x:v>SIM0505</x:v>
      </x:c>
      <x:c r="D33" s="11" t="str">
        <x:v>onc</x:v>
      </x:c>
      <x:c r="E33" s="11" t="str">
        <x:v>phase1 ADC</x:v>
      </x:c>
      <x:c r="F33" s="11" t="str">
        <x:v>基准</x:v>
      </x:c>
      <x:c r="G33" s="16" t="n">
        <x:v>2029</x:v>
      </x:c>
      <x:c r="H33" s="16" t="n">
        <x:v>1.5</x:v>
      </x:c>
      <x:c r="I33" s="16" t="n">
        <x:v>0.3</x:v>
      </x:c>
      <x:c r="J33" s="11" t="n">
        <x:v>1</x:v>
      </x:c>
      <x:c r="K33" s="16" t="n">
        <x:v>0.12</x:v>
      </x:c>
      <x:c r="L33" s="16" t="n">
        <x:v>0.08</x:v>
      </x:c>
      <x:c r="M33" s="11" t="str">
        <x:v>NextCure ex Greater China; includes no NextCure equity value</x:v>
      </x:c>
    </x:row>
    <x:row r="34" ht="23" customHeight="1">
      <x:c r="A34" s="11" t="str">
        <x:v>02096.HK</x:v>
      </x:c>
      <x:c r="B34" s="11" t="str">
        <x:v>海外版税</x:v>
      </x:c>
      <x:c r="C34" s="11" t="str">
        <x:v>SIM0505</x:v>
      </x:c>
      <x:c r="D34" s="11" t="str">
        <x:v>onc</x:v>
      </x:c>
      <x:c r="E34" s="11" t="str">
        <x:v>phase1 ADC</x:v>
      </x:c>
      <x:c r="F34" s="11" t="str">
        <x:v>乐观</x:v>
      </x:c>
      <x:c r="G34" s="16" t="n">
        <x:v>2028</x:v>
      </x:c>
      <x:c r="H34" s="16" t="n">
        <x:v>3</x:v>
      </x:c>
      <x:c r="I34" s="16" t="n">
        <x:v>0.5</x:v>
      </x:c>
      <x:c r="J34" s="11" t="n">
        <x:v>1</x:v>
      </x:c>
      <x:c r="K34" s="16" t="n">
        <x:v>0.15</x:v>
      </x:c>
      <x:c r="L34" s="16" t="n">
        <x:v>0.08</x:v>
      </x:c>
      <x:c r="M34" s="11" t="str">
        <x:v>NextCure ex Greater China; includes no NextCure equity value</x:v>
      </x:c>
    </x:row>
    <x:row r="35" ht="23" customHeight="1">
      <x:c r="A35" s="11" t="str">
        <x:v>02096.HK</x:v>
      </x:c>
      <x:c r="B35" s="11" t="str">
        <x:v>海外版税</x:v>
      </x:c>
      <x:c r="C35" s="11" t="str">
        <x:v>SIM0278</x:v>
      </x:c>
      <x:c r="D35" s="11" t="str">
        <x:v>auto</x:v>
      </x:c>
      <x:c r="E35" s="11" t="str">
        <x:v>phase2 autoimmune</x:v>
      </x:c>
      <x:c r="F35" s="11" t="str">
        <x:v>活动输入</x:v>
      </x:c>
      <x:c r="G35" s="11" t="n">
        <x:f>CHOOSE('假设'!$B$3,G36,G37,G38)</x:f>
        <x:v>2030</x:v>
      </x:c>
      <x:c r="H35" s="11" t="n">
        <x:f>CHOOSE('假设'!$B$3,H36,H37,H38)</x:f>
        <x:v>1</x:v>
      </x:c>
      <x:c r="I35" s="11" t="n">
        <x:f>CHOOSE('假设'!$B$3,I36,I37,I38)</x:f>
        <x:v>0.3</x:v>
      </x:c>
      <x:c r="J35" s="11" t="n">
        <x:f>CHOOSE('假设'!$B$3,J36,J37,J38)</x:f>
        <x:v>1</x:v>
      </x:c>
      <x:c r="K35" s="11" t="n">
        <x:f>CHOOSE('假设'!$B$3,K36,K37,K38)</x:f>
        <x:v>0.1</x:v>
      </x:c>
      <x:c r="L35" s="11" t="n">
        <x:f>CHOOSE('假设'!$B$3,L36,L37,L38)</x:f>
        <x:v>0.08</x:v>
      </x:c>
      <x:c r="M35" s="11" t="str">
        <x:v>Almirall ex Greater China; China new pipeline is zero separate value</x:v>
      </x:c>
    </x:row>
    <x:row r="36" ht="23" customHeight="1">
      <x:c r="A36" s="11" t="str">
        <x:v>02096.HK</x:v>
      </x:c>
      <x:c r="B36" s="11" t="str">
        <x:v>海外版税</x:v>
      </x:c>
      <x:c r="C36" s="11" t="str">
        <x:v>SIM0278</x:v>
      </x:c>
      <x:c r="D36" s="11" t="str">
        <x:v>auto</x:v>
      </x:c>
      <x:c r="E36" s="11" t="str">
        <x:v>phase2 autoimmune</x:v>
      </x:c>
      <x:c r="F36" s="11" t="str">
        <x:v>悲观</x:v>
      </x:c>
      <x:c r="G36" s="16" t="n">
        <x:v>2032</x:v>
      </x:c>
      <x:c r="H36" s="16" t="n">
        <x:v>0.4</x:v>
      </x:c>
      <x:c r="I36" s="16" t="n">
        <x:v>0.1</x:v>
      </x:c>
      <x:c r="J36" s="11" t="n">
        <x:v>1</x:v>
      </x:c>
      <x:c r="K36" s="16" t="n">
        <x:v>0.07</x:v>
      </x:c>
      <x:c r="L36" s="16" t="n">
        <x:v>0.08</x:v>
      </x:c>
      <x:c r="M36" s="11" t="str">
        <x:v>Almirall ex Greater China; China new pipeline is zero separate value</x:v>
      </x:c>
    </x:row>
    <x:row r="37" ht="23" customHeight="1">
      <x:c r="A37" s="11" t="str">
        <x:v>02096.HK</x:v>
      </x:c>
      <x:c r="B37" s="11" t="str">
        <x:v>海外版税</x:v>
      </x:c>
      <x:c r="C37" s="11" t="str">
        <x:v>SIM0278</x:v>
      </x:c>
      <x:c r="D37" s="11" t="str">
        <x:v>auto</x:v>
      </x:c>
      <x:c r="E37" s="11" t="str">
        <x:v>phase2 autoimmune</x:v>
      </x:c>
      <x:c r="F37" s="11" t="str">
        <x:v>基准</x:v>
      </x:c>
      <x:c r="G37" s="16" t="n">
        <x:v>2030</x:v>
      </x:c>
      <x:c r="H37" s="16" t="n">
        <x:v>1</x:v>
      </x:c>
      <x:c r="I37" s="16" t="n">
        <x:v>0.3</x:v>
      </x:c>
      <x:c r="J37" s="11" t="n">
        <x:v>1</x:v>
      </x:c>
      <x:c r="K37" s="16" t="n">
        <x:v>0.1</x:v>
      </x:c>
      <x:c r="L37" s="16" t="n">
        <x:v>0.08</x:v>
      </x:c>
      <x:c r="M37" s="11" t="str">
        <x:v>Almirall ex Greater China; China new pipeline is zero separate value</x:v>
      </x:c>
    </x:row>
    <x:row r="38" ht="23" customHeight="1">
      <x:c r="A38" s="11" t="str">
        <x:v>02096.HK</x:v>
      </x:c>
      <x:c r="B38" s="11" t="str">
        <x:v>海外版税</x:v>
      </x:c>
      <x:c r="C38" s="11" t="str">
        <x:v>SIM0278</x:v>
      </x:c>
      <x:c r="D38" s="11" t="str">
        <x:v>auto</x:v>
      </x:c>
      <x:c r="E38" s="11" t="str">
        <x:v>phase2 autoimmune</x:v>
      </x:c>
      <x:c r="F38" s="11" t="str">
        <x:v>乐观</x:v>
      </x:c>
      <x:c r="G38" s="16" t="n">
        <x:v>2029</x:v>
      </x:c>
      <x:c r="H38" s="16" t="n">
        <x:v>2</x:v>
      </x:c>
      <x:c r="I38" s="16" t="n">
        <x:v>0.5</x:v>
      </x:c>
      <x:c r="J38" s="11" t="n">
        <x:v>1</x:v>
      </x:c>
      <x:c r="K38" s="16" t="n">
        <x:v>0.13</x:v>
      </x:c>
      <x:c r="L38" s="16" t="n">
        <x:v>0.08</x:v>
      </x:c>
      <x:c r="M38" s="11" t="str">
        <x:v>Almirall ex Greater China; China new pipeline is zero separate value</x:v>
      </x:c>
    </x:row>
    <x:row r="39" ht="23" customHeight="1">
      <x:c r="A39" s="11" t="str">
        <x:v>02096.HK</x:v>
      </x:c>
      <x:c r="B39" s="11" t="str">
        <x:v>海外版税</x:v>
      </x:c>
      <x:c r="C39" s="11" t="str">
        <x:v>SIM0500</x:v>
      </x:c>
      <x:c r="D39" s="11" t="str">
        <x:v>onc</x:v>
      </x:c>
      <x:c r="E39" s="11" t="str">
        <x:v>phase1 tri-specific option not exercised assumed</x:v>
      </x:c>
      <x:c r="F39" s="11" t="str">
        <x:v>活动输入</x:v>
      </x:c>
      <x:c r="G39" s="11" t="n">
        <x:f>CHOOSE('假设'!$B$3,G40,G41,G42)</x:f>
        <x:v>2031</x:v>
      </x:c>
      <x:c r="H39" s="11" t="n">
        <x:f>CHOOSE('假设'!$B$3,H40,H41,H42)</x:f>
        <x:v>2</x:v>
      </x:c>
      <x:c r="I39" s="11" t="n">
        <x:f>CHOOSE('假设'!$B$3,I40,I41,I42)</x:f>
        <x:v>0.3</x:v>
      </x:c>
      <x:c r="J39" s="11" t="n">
        <x:f>CHOOSE('假设'!$B$3,J40,J41,J42)</x:f>
        <x:v>1</x:v>
      </x:c>
      <x:c r="K39" s="11" t="n">
        <x:f>CHOOSE('假设'!$B$3,K40,K41,K42)</x:f>
        <x:v>0.12</x:v>
      </x:c>
      <x:c r="L39" s="11" t="n">
        <x:f>CHOOSE('假设'!$B$3,L40,L41,L42)</x:f>
        <x:v>0.1</x:v>
      </x:c>
      <x:c r="M39" s="11" t="str">
        <x:v>AbbVie option/foreign royalties; China royalties owed to AbbVie reflected in assumed future product margins; unknown option price not capitalized</x:v>
      </x:c>
    </x:row>
    <x:row r="40" ht="23" customHeight="1">
      <x:c r="A40" s="11" t="str">
        <x:v>02096.HK</x:v>
      </x:c>
      <x:c r="B40" s="11" t="str">
        <x:v>海外版税</x:v>
      </x:c>
      <x:c r="C40" s="11" t="str">
        <x:v>SIM0500</x:v>
      </x:c>
      <x:c r="D40" s="11" t="str">
        <x:v>onc</x:v>
      </x:c>
      <x:c r="E40" s="11" t="str">
        <x:v>phase1 tri-specific option not exercised assumed</x:v>
      </x:c>
      <x:c r="F40" s="11" t="str">
        <x:v>悲观</x:v>
      </x:c>
      <x:c r="G40" s="16" t="n">
        <x:v>2033</x:v>
      </x:c>
      <x:c r="H40" s="16" t="n">
        <x:v>0.7</x:v>
      </x:c>
      <x:c r="I40" s="16" t="n">
        <x:v>0.1</x:v>
      </x:c>
      <x:c r="J40" s="11" t="n">
        <x:v>1</x:v>
      </x:c>
      <x:c r="K40" s="16" t="n">
        <x:v>0.08</x:v>
      </x:c>
      <x:c r="L40" s="16" t="n">
        <x:v>0.1</x:v>
      </x:c>
      <x:c r="M40" s="11" t="str">
        <x:v>AbbVie option/foreign royalties; China royalties owed to AbbVie reflected in assumed future product margins; unknown option price not capitalized</x:v>
      </x:c>
    </x:row>
    <x:row r="41" ht="23" customHeight="1">
      <x:c r="A41" s="11" t="str">
        <x:v>02096.HK</x:v>
      </x:c>
      <x:c r="B41" s="11" t="str">
        <x:v>海外版税</x:v>
      </x:c>
      <x:c r="C41" s="11" t="str">
        <x:v>SIM0500</x:v>
      </x:c>
      <x:c r="D41" s="11" t="str">
        <x:v>onc</x:v>
      </x:c>
      <x:c r="E41" s="11" t="str">
        <x:v>phase1 tri-specific option not exercised assumed</x:v>
      </x:c>
      <x:c r="F41" s="11" t="str">
        <x:v>基准</x:v>
      </x:c>
      <x:c r="G41" s="16" t="n">
        <x:v>2031</x:v>
      </x:c>
      <x:c r="H41" s="16" t="n">
        <x:v>2</x:v>
      </x:c>
      <x:c r="I41" s="16" t="n">
        <x:v>0.3</x:v>
      </x:c>
      <x:c r="J41" s="11" t="n">
        <x:v>1</x:v>
      </x:c>
      <x:c r="K41" s="16" t="n">
        <x:v>0.12</x:v>
      </x:c>
      <x:c r="L41" s="16" t="n">
        <x:v>0.1</x:v>
      </x:c>
      <x:c r="M41" s="11" t="str">
        <x:v>AbbVie option/foreign royalties; China royalties owed to AbbVie reflected in assumed future product margins; unknown option price not capitalized</x:v>
      </x:c>
    </x:row>
    <x:row r="42" ht="23" customHeight="1">
      <x:c r="A42" s="11" t="str">
        <x:v>02096.HK</x:v>
      </x:c>
      <x:c r="B42" s="11" t="str">
        <x:v>海外版税</x:v>
      </x:c>
      <x:c r="C42" s="11" t="str">
        <x:v>SIM0500</x:v>
      </x:c>
      <x:c r="D42" s="11" t="str">
        <x:v>onc</x:v>
      </x:c>
      <x:c r="E42" s="11" t="str">
        <x:v>phase1 tri-specific option not exercised assumed</x:v>
      </x:c>
      <x:c r="F42" s="11" t="str">
        <x:v>乐观</x:v>
      </x:c>
      <x:c r="G42" s="16" t="n">
        <x:v>2030</x:v>
      </x:c>
      <x:c r="H42" s="16" t="n">
        <x:v>4</x:v>
      </x:c>
      <x:c r="I42" s="16" t="n">
        <x:v>0.55</x:v>
      </x:c>
      <x:c r="J42" s="11" t="n">
        <x:v>1</x:v>
      </x:c>
      <x:c r="K42" s="16" t="n">
        <x:v>0.15</x:v>
      </x:c>
      <x:c r="L42" s="16" t="n">
        <x:v>0.1</x:v>
      </x:c>
      <x:c r="M42" s="11" t="str">
        <x:v>AbbVie option/foreign royalties; China royalties owed to AbbVie reflected in assumed future product margins; unknown option price not capitalized</x:v>
      </x:c>
    </x:row>
    <x:row r="43" ht="23" customHeight="1">
      <x:c r="A43" s="11" t="str">
        <x:v>02096.HK</x:v>
      </x:c>
      <x:c r="B43" s="11" t="str">
        <x:v>海外版税</x:v>
      </x:c>
      <x:c r="C43" s="11" t="str">
        <x:v>SIM0613</x:v>
      </x:c>
      <x:c r="D43" s="11" t="str">
        <x:v>onc</x:v>
      </x:c>
      <x:c r="E43" s="11" t="str">
        <x:v>phase1 LRRC15 ADC</x:v>
      </x:c>
      <x:c r="F43" s="11" t="str">
        <x:v>活动输入</x:v>
      </x:c>
      <x:c r="G43" s="11" t="n">
        <x:f>CHOOSE('假设'!$B$3,G44,G45,G46)</x:f>
        <x:v>2032</x:v>
      </x:c>
      <x:c r="H43" s="11" t="n">
        <x:f>CHOOSE('假设'!$B$3,H44,H45,H46)</x:f>
        <x:v>1.8</x:v>
      </x:c>
      <x:c r="I43" s="11" t="n">
        <x:f>CHOOSE('假设'!$B$3,I44,I45,I46)</x:f>
        <x:v>0.22</x:v>
      </x:c>
      <x:c r="J43" s="11" t="n">
        <x:f>CHOOSE('假设'!$B$3,J44,J45,J46)</x:f>
        <x:v>1</x:v>
      </x:c>
      <x:c r="K43" s="11" t="n">
        <x:f>CHOOSE('假设'!$B$3,K44,K45,K46)</x:f>
        <x:v>0.12</x:v>
      </x:c>
      <x:c r="L43" s="11" t="n">
        <x:f>CHOOSE('假设'!$B$3,L44,L45,L46)</x:f>
        <x:v>0.08</x:v>
      </x:c>
      <x:c r="M43" s="11" t="str">
        <x:v>Ipsen ex Greater China; exact tiers unavailable</x:v>
      </x:c>
    </x:row>
    <x:row r="44" ht="23" customHeight="1">
      <x:c r="A44" s="11" t="str">
        <x:v>02096.HK</x:v>
      </x:c>
      <x:c r="B44" s="11" t="str">
        <x:v>海外版税</x:v>
      </x:c>
      <x:c r="C44" s="11" t="str">
        <x:v>SIM0613</x:v>
      </x:c>
      <x:c r="D44" s="11" t="str">
        <x:v>onc</x:v>
      </x:c>
      <x:c r="E44" s="11" t="str">
        <x:v>phase1 LRRC15 ADC</x:v>
      </x:c>
      <x:c r="F44" s="11" t="str">
        <x:v>悲观</x:v>
      </x:c>
      <x:c r="G44" s="16" t="n">
        <x:v>2034</x:v>
      </x:c>
      <x:c r="H44" s="16" t="n">
        <x:v>0.6</x:v>
      </x:c>
      <x:c r="I44" s="16" t="n">
        <x:v>0.08</x:v>
      </x:c>
      <x:c r="J44" s="11" t="n">
        <x:v>1</x:v>
      </x:c>
      <x:c r="K44" s="16" t="n">
        <x:v>0.08</x:v>
      </x:c>
      <x:c r="L44" s="16" t="n">
        <x:v>0.08</x:v>
      </x:c>
      <x:c r="M44" s="11" t="str">
        <x:v>Ipsen ex Greater China; exact tiers unavailable</x:v>
      </x:c>
    </x:row>
    <x:row r="45" ht="23" customHeight="1">
      <x:c r="A45" s="11" t="str">
        <x:v>02096.HK</x:v>
      </x:c>
      <x:c r="B45" s="11" t="str">
        <x:v>海外版税</x:v>
      </x:c>
      <x:c r="C45" s="11" t="str">
        <x:v>SIM0613</x:v>
      </x:c>
      <x:c r="D45" s="11" t="str">
        <x:v>onc</x:v>
      </x:c>
      <x:c r="E45" s="11" t="str">
        <x:v>phase1 LRRC15 ADC</x:v>
      </x:c>
      <x:c r="F45" s="11" t="str">
        <x:v>基准</x:v>
      </x:c>
      <x:c r="G45" s="16" t="n">
        <x:v>2032</x:v>
      </x:c>
      <x:c r="H45" s="16" t="n">
        <x:v>1.8</x:v>
      </x:c>
      <x:c r="I45" s="16" t="n">
        <x:v>0.22</x:v>
      </x:c>
      <x:c r="J45" s="11" t="n">
        <x:v>1</x:v>
      </x:c>
      <x:c r="K45" s="16" t="n">
        <x:v>0.12</x:v>
      </x:c>
      <x:c r="L45" s="16" t="n">
        <x:v>0.08</x:v>
      </x:c>
      <x:c r="M45" s="11" t="str">
        <x:v>Ipsen ex Greater China; exact tiers unavailable</x:v>
      </x:c>
    </x:row>
    <x:row r="46" ht="23" customHeight="1">
      <x:c r="A46" s="11" t="str">
        <x:v>02096.HK</x:v>
      </x:c>
      <x:c r="B46" s="11" t="str">
        <x:v>海外版税</x:v>
      </x:c>
      <x:c r="C46" s="11" t="str">
        <x:v>SIM0613</x:v>
      </x:c>
      <x:c r="D46" s="11" t="str">
        <x:v>onc</x:v>
      </x:c>
      <x:c r="E46" s="11" t="str">
        <x:v>phase1 LRRC15 ADC</x:v>
      </x:c>
      <x:c r="F46" s="11" t="str">
        <x:v>乐观</x:v>
      </x:c>
      <x:c r="G46" s="16" t="n">
        <x:v>2031</x:v>
      </x:c>
      <x:c r="H46" s="16" t="n">
        <x:v>3.5</x:v>
      </x:c>
      <x:c r="I46" s="16" t="n">
        <x:v>0.45</x:v>
      </x:c>
      <x:c r="J46" s="11" t="n">
        <x:v>1</x:v>
      </x:c>
      <x:c r="K46" s="16" t="n">
        <x:v>0.15</x:v>
      </x:c>
      <x:c r="L46" s="16" t="n">
        <x:v>0.08</x:v>
      </x:c>
      <x:c r="M46" s="11" t="str">
        <x:v>Ipsen ex Greater China; exact tiers unavailable</x:v>
      </x:c>
    </x:row>
    <x:row r="47" ht="23" customHeight="1">
      <x:c r="A47" s="11" t="str">
        <x:v>02096.HK</x:v>
      </x:c>
      <x:c r="B47" s="11" t="str">
        <x:v>海外版税</x:v>
      </x:c>
      <x:c r="C47" s="11" t="str">
        <x:v>SIM0709</x:v>
      </x:c>
      <x:c r="D47" s="11" t="str">
        <x:v>auto</x:v>
      </x:c>
      <x:c r="E47" s="11" t="str">
        <x:v>preclinical TL1A/IL23p19</x:v>
      </x:c>
      <x:c r="F47" s="11" t="str">
        <x:v>活动输入</x:v>
      </x:c>
      <x:c r="G47" s="11" t="n">
        <x:f>CHOOSE('假设'!$B$3,G48,G49,G50)</x:f>
        <x:v>2032</x:v>
      </x:c>
      <x:c r="H47" s="11" t="n">
        <x:f>CHOOSE('假设'!$B$3,H48,H49,H50)</x:f>
        <x:v>2.5</x:v>
      </x:c>
      <x:c r="I47" s="11" t="n">
        <x:f>CHOOSE('假设'!$B$3,I48,I49,I50)</x:f>
        <x:v>0.2</x:v>
      </x:c>
      <x:c r="J47" s="11" t="n">
        <x:f>CHOOSE('假设'!$B$3,J48,J49,J50)</x:f>
        <x:v>1</x:v>
      </x:c>
      <x:c r="K47" s="11" t="n">
        <x:f>CHOOSE('假设'!$B$3,K48,K49,K50)</x:f>
        <x:v>0.1</x:v>
      </x:c>
      <x:c r="L47" s="11" t="n">
        <x:f>CHOOSE('假设'!$B$3,L48,L49,L50)</x:f>
        <x:v>0.08</x:v>
      </x:c>
      <x:c r="M47" s="11" t="str">
        <x:v>Boehringer ex Greater China; no full milestone maximum</x:v>
      </x:c>
    </x:row>
    <x:row r="48" ht="23" customHeight="1">
      <x:c r="A48" s="11" t="str">
        <x:v>02096.HK</x:v>
      </x:c>
      <x:c r="B48" s="11" t="str">
        <x:v>海外版税</x:v>
      </x:c>
      <x:c r="C48" s="11" t="str">
        <x:v>SIM0709</x:v>
      </x:c>
      <x:c r="D48" s="11" t="str">
        <x:v>auto</x:v>
      </x:c>
      <x:c r="E48" s="11" t="str">
        <x:v>preclinical TL1A/IL23p19</x:v>
      </x:c>
      <x:c r="F48" s="11" t="str">
        <x:v>悲观</x:v>
      </x:c>
      <x:c r="G48" s="16" t="n">
        <x:v>2035</x:v>
      </x:c>
      <x:c r="H48" s="16" t="n">
        <x:v>0.8</x:v>
      </x:c>
      <x:c r="I48" s="16" t="n">
        <x:v>0.08</x:v>
      </x:c>
      <x:c r="J48" s="11" t="n">
        <x:v>1</x:v>
      </x:c>
      <x:c r="K48" s="16" t="n">
        <x:v>0.07</x:v>
      </x:c>
      <x:c r="L48" s="16" t="n">
        <x:v>0.08</x:v>
      </x:c>
      <x:c r="M48" s="11" t="str">
        <x:v>Boehringer ex Greater China; no full milestone maximum</x:v>
      </x:c>
    </x:row>
    <x:row r="49" ht="23" customHeight="1">
      <x:c r="A49" s="11" t="str">
        <x:v>02096.HK</x:v>
      </x:c>
      <x:c r="B49" s="11" t="str">
        <x:v>海外版税</x:v>
      </x:c>
      <x:c r="C49" s="11" t="str">
        <x:v>SIM0709</x:v>
      </x:c>
      <x:c r="D49" s="11" t="str">
        <x:v>auto</x:v>
      </x:c>
      <x:c r="E49" s="11" t="str">
        <x:v>preclinical TL1A/IL23p19</x:v>
      </x:c>
      <x:c r="F49" s="11" t="str">
        <x:v>基准</x:v>
      </x:c>
      <x:c r="G49" s="16" t="n">
        <x:v>2032</x:v>
      </x:c>
      <x:c r="H49" s="16" t="n">
        <x:v>2.5</x:v>
      </x:c>
      <x:c r="I49" s="16" t="n">
        <x:v>0.2</x:v>
      </x:c>
      <x:c r="J49" s="11" t="n">
        <x:v>1</x:v>
      </x:c>
      <x:c r="K49" s="16" t="n">
        <x:v>0.1</x:v>
      </x:c>
      <x:c r="L49" s="16" t="n">
        <x:v>0.08</x:v>
      </x:c>
      <x:c r="M49" s="11" t="str">
        <x:v>Boehringer ex Greater China; no full milestone maximum</x:v>
      </x:c>
    </x:row>
    <x:row r="50" ht="23" customHeight="1">
      <x:c r="A50" s="11" t="str">
        <x:v>02096.HK</x:v>
      </x:c>
      <x:c r="B50" s="11" t="str">
        <x:v>海外版税</x:v>
      </x:c>
      <x:c r="C50" s="11" t="str">
        <x:v>SIM0709</x:v>
      </x:c>
      <x:c r="D50" s="11" t="str">
        <x:v>auto</x:v>
      </x:c>
      <x:c r="E50" s="11" t="str">
        <x:v>preclinical TL1A/IL23p19</x:v>
      </x:c>
      <x:c r="F50" s="11" t="str">
        <x:v>乐观</x:v>
      </x:c>
      <x:c r="G50" s="16" t="n">
        <x:v>2031</x:v>
      </x:c>
      <x:c r="H50" s="16" t="n">
        <x:v>5</x:v>
      </x:c>
      <x:c r="I50" s="16" t="n">
        <x:v>0.4</x:v>
      </x:c>
      <x:c r="J50" s="11" t="n">
        <x:v>1</x:v>
      </x:c>
      <x:c r="K50" s="16" t="n">
        <x:v>0.13</x:v>
      </x:c>
      <x:c r="L50" s="16" t="n">
        <x:v>0.08</x:v>
      </x:c>
      <x:c r="M50" s="11" t="str">
        <x:v>Boehringer ex Greater China; no full milestone maximum</x:v>
      </x:c>
    </x:row>
    <x:row r="51" ht="23" customHeight="1">
      <x:c r="A51" s="11" t="str">
        <x:v>02096.HK</x:v>
      </x:c>
      <x:c r="B51" s="11" t="str">
        <x:v>海外版税</x:v>
      </x:c>
      <x:c r="C51" s="11" t="str">
        <x:v>SIM0660</x:v>
      </x:c>
      <x:c r="D51" s="11" t="str">
        <x:v>onc</x:v>
      </x:c>
      <x:c r="E51" s="11" t="str">
        <x:v>preclinical global Roche license</x:v>
      </x:c>
      <x:c r="F51" s="11" t="str">
        <x:v>活动输入</x:v>
      </x:c>
      <x:c r="G51" s="11" t="n">
        <x:f>CHOOSE('假设'!$B$3,G52,G53,G54)</x:f>
        <x:v>2033</x:v>
      </x:c>
      <x:c r="H51" s="11" t="n">
        <x:f>CHOOSE('假设'!$B$3,H52,H53,H54)</x:f>
        <x:v>2.5</x:v>
      </x:c>
      <x:c r="I51" s="11" t="n">
        <x:f>CHOOSE('假设'!$B$3,I52,I53,I54)</x:f>
        <x:v>0.18</x:v>
      </x:c>
      <x:c r="J51" s="11" t="n">
        <x:f>CHOOSE('假设'!$B$3,J52,J53,J54)</x:f>
        <x:v>1</x:v>
      </x:c>
      <x:c r="K51" s="11" t="n">
        <x:f>CHOOSE('假设'!$B$3,K52,K53,K54)</x:f>
        <x:v>0.1</x:v>
      </x:c>
      <x:c r="L51" s="11" t="n">
        <x:f>CHOOSE('假设'!$B$3,L52,L53,L54)</x:f>
        <x:v>0.08</x:v>
      </x:c>
      <x:c r="M51" s="11" t="str">
        <x:v>global Roche rights, no China direct cashflow added; 75m upfront only H2 cash bridge</x:v>
      </x:c>
    </x:row>
    <x:row r="52" ht="23" customHeight="1">
      <x:c r="A52" s="11" t="str">
        <x:v>02096.HK</x:v>
      </x:c>
      <x:c r="B52" s="11" t="str">
        <x:v>海外版税</x:v>
      </x:c>
      <x:c r="C52" s="11" t="str">
        <x:v>SIM0660</x:v>
      </x:c>
      <x:c r="D52" s="11" t="str">
        <x:v>onc</x:v>
      </x:c>
      <x:c r="E52" s="11" t="str">
        <x:v>preclinical global Roche license</x:v>
      </x:c>
      <x:c r="F52" s="11" t="str">
        <x:v>悲观</x:v>
      </x:c>
      <x:c r="G52" s="16" t="n">
        <x:v>2036</x:v>
      </x:c>
      <x:c r="H52" s="16" t="n">
        <x:v>0.8</x:v>
      </x:c>
      <x:c r="I52" s="16" t="n">
        <x:v>0.06</x:v>
      </x:c>
      <x:c r="J52" s="11" t="n">
        <x:v>1</x:v>
      </x:c>
      <x:c r="K52" s="16" t="n">
        <x:v>0.07</x:v>
      </x:c>
      <x:c r="L52" s="16" t="n">
        <x:v>0.08</x:v>
      </x:c>
      <x:c r="M52" s="11" t="str">
        <x:v>global Roche rights, no China direct cashflow added; 75m upfront only H2 cash bridge</x:v>
      </x:c>
    </x:row>
    <x:row r="53" ht="23" customHeight="1">
      <x:c r="A53" s="11" t="str">
        <x:v>02096.HK</x:v>
      </x:c>
      <x:c r="B53" s="11" t="str">
        <x:v>海外版税</x:v>
      </x:c>
      <x:c r="C53" s="11" t="str">
        <x:v>SIM0660</x:v>
      </x:c>
      <x:c r="D53" s="11" t="str">
        <x:v>onc</x:v>
      </x:c>
      <x:c r="E53" s="11" t="str">
        <x:v>preclinical global Roche license</x:v>
      </x:c>
      <x:c r="F53" s="11" t="str">
        <x:v>基准</x:v>
      </x:c>
      <x:c r="G53" s="16" t="n">
        <x:v>2033</x:v>
      </x:c>
      <x:c r="H53" s="16" t="n">
        <x:v>2.5</x:v>
      </x:c>
      <x:c r="I53" s="16" t="n">
        <x:v>0.18</x:v>
      </x:c>
      <x:c r="J53" s="11" t="n">
        <x:v>1</x:v>
      </x:c>
      <x:c r="K53" s="16" t="n">
        <x:v>0.1</x:v>
      </x:c>
      <x:c r="L53" s="16" t="n">
        <x:v>0.08</x:v>
      </x:c>
      <x:c r="M53" s="11" t="str">
        <x:v>global Roche rights, no China direct cashflow added; 75m upfront only H2 cash bridge</x:v>
      </x:c>
    </x:row>
    <x:row r="54" ht="23" customHeight="1">
      <x:c r="A54" s="11" t="str">
        <x:v>02096.HK</x:v>
      </x:c>
      <x:c r="B54" s="11" t="str">
        <x:v>海外版税</x:v>
      </x:c>
      <x:c r="C54" s="11" t="str">
        <x:v>SIM0660</x:v>
      </x:c>
      <x:c r="D54" s="11" t="str">
        <x:v>onc</x:v>
      </x:c>
      <x:c r="E54" s="11" t="str">
        <x:v>preclinical global Roche license</x:v>
      </x:c>
      <x:c r="F54" s="11" t="str">
        <x:v>乐观</x:v>
      </x:c>
      <x:c r="G54" s="16" t="n">
        <x:v>2031</x:v>
      </x:c>
      <x:c r="H54" s="16" t="n">
        <x:v>5</x:v>
      </x:c>
      <x:c r="I54" s="16" t="n">
        <x:v>0.35</x:v>
      </x:c>
      <x:c r="J54" s="11" t="n">
        <x:v>1</x:v>
      </x:c>
      <x:c r="K54" s="16" t="n">
        <x:v>0.13</x:v>
      </x:c>
      <x:c r="L54" s="16" t="n">
        <x:v>0.08</x:v>
      </x:c>
      <x:c r="M54" s="11" t="str">
        <x:v>global Roche rights, no China direct cashflow added; 75m upfront only H2 cash bridge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>
      <x:c r="A1" s="2"/>
      <x:c r="B1" s="2"/>
      <x:c r="C1" s="28"/>
      <x:c r="D1" s="28"/>
      <x:c r="E1" s="31"/>
      <x:c r="F1" s="31"/>
      <x:c r="G1" s="31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30"/>
      <x:c r="T1" s="30"/>
      <x:c r="U1" s="30"/>
      <x:c r="V1" s="30"/>
      <x:c r="W1" s="30"/>
      <x:c r="X1" s="30"/>
      <x:c r="Y1" s="30"/>
      <x:c r="Z1" s="30"/>
      <x:c r="AA1" s="30"/>
      <x:c r="AB1" s="30"/>
      <x:c r="AC1" s="30"/>
      <x:c r="AD1" s="30"/>
    </x:row>
    <x:row r="2">
      <x:c r="A2" s="29" t="str">
        <x:v>临床风险调整收入 国内产品与海外版税互斥权利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52" customHeight="1">
      <x:c r="A6" s="12" t="str">
        <x:v>代码</x:v>
      </x:c>
      <x:c r="B6" s="12" t="str">
        <x:v>类型</x:v>
      </x:c>
      <x:c r="C6" s="12" t="str">
        <x:v>资产</x:v>
      </x:c>
      <x:c r="D6" s="12" t="str">
        <x:v>领域</x:v>
      </x:c>
      <x:c r="E6" s="12" t="str">
        <x:v>年度</x:v>
      </x:c>
      <x:c r="F6" s="12" t="str">
        <x:v>收入起始年</x:v>
      </x:c>
      <x:c r="G6" s="12" t="str">
        <x:v>商业化年龄</x:v>
      </x:c>
      <x:c r="H6" s="12" t="str">
        <x:v>收入爬坡</x:v>
      </x:c>
      <x:c r="I6" s="12" t="str">
        <x:v>名义高峰十亿</x:v>
      </x:c>
      <x:c r="J6" s="12" t="str">
        <x:v>名义收入十亿</x:v>
      </x:c>
      <x:c r="K6" s="12" t="str">
        <x:v>临床商业判断</x:v>
      </x:c>
      <x:c r="L6" s="12" t="str">
        <x:v>版税率 国内为1</x:v>
      </x:c>
      <x:c r="M6" s="12" t="str">
        <x:v>币种转CNY</x:v>
      </x:c>
      <x:c r="N6" s="12" t="str">
        <x:v>毛利率</x:v>
      </x:c>
      <x:c r="O6" s="12" t="str">
        <x:v>持续管理成本率</x:v>
      </x:c>
      <x:c r="P6" s="12" t="str">
        <x:v>风险收入CNY十亿</x:v>
      </x:c>
      <x:c r="Q6" s="12" t="str">
        <x:v>风险毛利CNY十亿</x:v>
      </x:c>
      <x:c r="R6" s="12" t="str">
        <x:v>原币</x:v>
      </x:c>
    </x:row>
    <x:row r="7" ht="23" customHeight="1">
      <x:c r="A7" s="11" t="str">
        <x:v>02096.HK</x:v>
      </x:c>
      <x:c r="B7" s="11" t="str">
        <x:v>国内新药</x:v>
      </x:c>
      <x:c r="C7" s="11" t="str">
        <x:v>ledeAD</x:v>
      </x:c>
      <x:c r="D7" s="11" t="str">
        <x:v>auto</x:v>
      </x:c>
      <x:c r="E7" s="11" t="n">
        <x:v>2026</x:v>
      </x:c>
      <x:c r="F7" s="11" t="n">
        <x:f>'先声新药假设'!G7</x:f>
        <x:v>2027</x:v>
      </x:c>
      <x:c r="G7" s="11" t="n">
        <x:f>E7-F7</x:f>
        <x:v>-1</x:v>
      </x:c>
      <x:c r="H7" s="11" t="n">
        <x:f>IF(G7&lt;0,0,IF(G7&lt;10,CHOOSE(G7+1,0.08,0.2,0.4,0.65,0.85,1,1,0.95,0.85,0.7),1))</x:f>
        <x:v>0</x:v>
      </x:c>
      <x:c r="I7" s="11" t="n">
        <x:f>'先声新药假设'!H7</x:f>
        <x:v>2.2</x:v>
      </x:c>
      <x:c r="J7" s="11" t="n">
        <x:f>H7*I7</x:f>
        <x:v>0</x:v>
      </x:c>
      <x:c r="K7" s="11" t="n">
        <x:f>'先声新药假设'!I7</x:f>
        <x:v>0.75</x:v>
      </x:c>
      <x:c r="L7" s="11" t="n">
        <x:f>'先声新药假设'!K7</x:f>
        <x:v>1</x:v>
      </x:c>
      <x:c r="M7" s="11" t="n">
        <x:f>1</x:f>
        <x:v>1</x:v>
      </x:c>
      <x:c r="N7" s="11" t="n">
        <x:f>'先声新药假设'!J7</x:f>
        <x:v>0.85</x:v>
      </x:c>
      <x:c r="O7" s="11" t="n">
        <x:f>'先声新药假设'!L7</x:f>
        <x:v>0</x:v>
      </x:c>
      <x:c r="P7" s="11" t="n">
        <x:f>J7*K7*L7*M7</x:f>
        <x:v>0</x:v>
      </x:c>
      <x:c r="Q7" s="11" t="n">
        <x:f>P7*N7*(1-O7)</x:f>
        <x:v>0</x:v>
      </x:c>
      <x:c r="R7" s="11" t="str">
        <x:v>CNY</x:v>
      </x:c>
    </x:row>
    <x:row r="8" ht="23" customHeight="1">
      <x:c r="A8" s="11" t="str">
        <x:v>02096.HK</x:v>
      </x:c>
      <x:c r="B8" s="11" t="str">
        <x:v>国内新药</x:v>
      </x:c>
      <x:c r="C8" s="11" t="str">
        <x:v>ledeAD</x:v>
      </x:c>
      <x:c r="D8" s="11" t="str">
        <x:v>auto</x:v>
      </x:c>
      <x:c r="E8" s="11" t="n">
        <x:v>2027</x:v>
      </x:c>
      <x:c r="F8" s="11" t="n">
        <x:f>'先声新药假设'!G7</x:f>
        <x:v>2027</x:v>
      </x:c>
      <x:c r="G8" s="11" t="n">
        <x:f>E8-F8</x:f>
        <x:v>0</x:v>
      </x:c>
      <x:c r="H8" s="11" t="n">
        <x:f>IF(G8&lt;0,0,IF(G8&lt;10,CHOOSE(G8+1,0.08,0.2,0.4,0.65,0.85,1,1,0.95,0.85,0.7),1))</x:f>
        <x:v>0.08</x:v>
      </x:c>
      <x:c r="I8" s="11" t="n">
        <x:f>'先声新药假设'!H7</x:f>
        <x:v>2.2</x:v>
      </x:c>
      <x:c r="J8" s="11" t="n">
        <x:f>H8*I8</x:f>
        <x:v>0.17600000000000002</x:v>
      </x:c>
      <x:c r="K8" s="11" t="n">
        <x:f>'先声新药假设'!I7</x:f>
        <x:v>0.75</x:v>
      </x:c>
      <x:c r="L8" s="11" t="n">
        <x:f>'先声新药假设'!K7</x:f>
        <x:v>1</x:v>
      </x:c>
      <x:c r="M8" s="11" t="n">
        <x:f>1</x:f>
        <x:v>1</x:v>
      </x:c>
      <x:c r="N8" s="11" t="n">
        <x:f>'先声新药假设'!J7</x:f>
        <x:v>0.85</x:v>
      </x:c>
      <x:c r="O8" s="11" t="n">
        <x:f>'先声新药假设'!L7</x:f>
        <x:v>0</x:v>
      </x:c>
      <x:c r="P8" s="11" t="n">
        <x:f>J8*K8*L8*M8</x:f>
        <x:v>0.132</x:v>
      </x:c>
      <x:c r="Q8" s="11" t="n">
        <x:f>P8*N8*(1-O8)</x:f>
        <x:v>0.11220000000000001</x:v>
      </x:c>
      <x:c r="R8" s="11" t="str">
        <x:v>CNY</x:v>
      </x:c>
    </x:row>
    <x:row r="9" ht="23" customHeight="1">
      <x:c r="A9" s="11" t="str">
        <x:v>02096.HK</x:v>
      </x:c>
      <x:c r="B9" s="11" t="str">
        <x:v>国内新药</x:v>
      </x:c>
      <x:c r="C9" s="11" t="str">
        <x:v>ledeAD</x:v>
      </x:c>
      <x:c r="D9" s="11" t="str">
        <x:v>auto</x:v>
      </x:c>
      <x:c r="E9" s="11" t="n">
        <x:v>2028</x:v>
      </x:c>
      <x:c r="F9" s="11" t="n">
        <x:f>'先声新药假设'!G7</x:f>
        <x:v>2027</x:v>
      </x:c>
      <x:c r="G9" s="11" t="n">
        <x:f>E9-F9</x:f>
        <x:v>1</x:v>
      </x:c>
      <x:c r="H9" s="11" t="n">
        <x:f>IF(G9&lt;0,0,IF(G9&lt;10,CHOOSE(G9+1,0.08,0.2,0.4,0.65,0.85,1,1,0.95,0.85,0.7),1))</x:f>
        <x:v>0.2</x:v>
      </x:c>
      <x:c r="I9" s="11" t="n">
        <x:f>'先声新药假设'!H7</x:f>
        <x:v>2.2</x:v>
      </x:c>
      <x:c r="J9" s="11" t="n">
        <x:f>H9*I9</x:f>
        <x:v>0.44000000000000006</x:v>
      </x:c>
      <x:c r="K9" s="11" t="n">
        <x:f>'先声新药假设'!I7</x:f>
        <x:v>0.75</x:v>
      </x:c>
      <x:c r="L9" s="11" t="n">
        <x:f>'先声新药假设'!K7</x:f>
        <x:v>1</x:v>
      </x:c>
      <x:c r="M9" s="11" t="n">
        <x:f>1</x:f>
        <x:v>1</x:v>
      </x:c>
      <x:c r="N9" s="11" t="n">
        <x:f>'先声新药假设'!J7</x:f>
        <x:v>0.85</x:v>
      </x:c>
      <x:c r="O9" s="11" t="n">
        <x:f>'先声新药假设'!L7</x:f>
        <x:v>0</x:v>
      </x:c>
      <x:c r="P9" s="11" t="n">
        <x:f>J9*K9*L9*M9</x:f>
        <x:v>0.33000000000000007</x:v>
      </x:c>
      <x:c r="Q9" s="11" t="n">
        <x:f>P9*N9*(1-O9)</x:f>
        <x:v>0.2805</x:v>
      </x:c>
      <x:c r="R9" s="11" t="str">
        <x:v>CNY</x:v>
      </x:c>
    </x:row>
    <x:row r="10" ht="23" customHeight="1">
      <x:c r="A10" s="11" t="str">
        <x:v>02096.HK</x:v>
      </x:c>
      <x:c r="B10" s="11" t="str">
        <x:v>国内新药</x:v>
      </x:c>
      <x:c r="C10" s="11" t="str">
        <x:v>ledeAD</x:v>
      </x:c>
      <x:c r="D10" s="11" t="str">
        <x:v>auto</x:v>
      </x:c>
      <x:c r="E10" s="11" t="n">
        <x:v>2029</x:v>
      </x:c>
      <x:c r="F10" s="11" t="n">
        <x:f>'先声新药假设'!G7</x:f>
        <x:v>2027</x:v>
      </x:c>
      <x:c r="G10" s="11" t="n">
        <x:f>E10-F10</x:f>
        <x:v>2</x:v>
      </x:c>
      <x:c r="H10" s="11" t="n">
        <x:f>IF(G10&lt;0,0,IF(G10&lt;10,CHOOSE(G10+1,0.08,0.2,0.4,0.65,0.85,1,1,0.95,0.85,0.7),1))</x:f>
        <x:v>0.4</x:v>
      </x:c>
      <x:c r="I10" s="11" t="n">
        <x:f>'先声新药假设'!H7</x:f>
        <x:v>2.2</x:v>
      </x:c>
      <x:c r="J10" s="11" t="n">
        <x:f>H10*I10</x:f>
        <x:v>0.8800000000000001</x:v>
      </x:c>
      <x:c r="K10" s="11" t="n">
        <x:f>'先声新药假设'!I7</x:f>
        <x:v>0.75</x:v>
      </x:c>
      <x:c r="L10" s="11" t="n">
        <x:f>'先声新药假设'!K7</x:f>
        <x:v>1</x:v>
      </x:c>
      <x:c r="M10" s="11" t="n">
        <x:f>1</x:f>
        <x:v>1</x:v>
      </x:c>
      <x:c r="N10" s="11" t="n">
        <x:f>'先声新药假设'!J7</x:f>
        <x:v>0.85</x:v>
      </x:c>
      <x:c r="O10" s="11" t="n">
        <x:f>'先声新药假设'!L7</x:f>
        <x:v>0</x:v>
      </x:c>
      <x:c r="P10" s="11" t="n">
        <x:f>J10*K10*L10*M10</x:f>
        <x:v>0.6600000000000001</x:v>
      </x:c>
      <x:c r="Q10" s="11" t="n">
        <x:f>P10*N10*(1-O10)</x:f>
        <x:v>0.561</x:v>
      </x:c>
      <x:c r="R10" s="11" t="str">
        <x:v>CNY</x:v>
      </x:c>
    </x:row>
    <x:row r="11" ht="23" customHeight="1">
      <x:c r="A11" s="11" t="str">
        <x:v>02096.HK</x:v>
      </x:c>
      <x:c r="B11" s="11" t="str">
        <x:v>国内新药</x:v>
      </x:c>
      <x:c r="C11" s="11" t="str">
        <x:v>ledeAD</x:v>
      </x:c>
      <x:c r="D11" s="11" t="str">
        <x:v>auto</x:v>
      </x:c>
      <x:c r="E11" s="11" t="n">
        <x:v>2030</x:v>
      </x:c>
      <x:c r="F11" s="11" t="n">
        <x:f>'先声新药假设'!G7</x:f>
        <x:v>2027</x:v>
      </x:c>
      <x:c r="G11" s="11" t="n">
        <x:f>E11-F11</x:f>
        <x:v>3</x:v>
      </x:c>
      <x:c r="H11" s="11" t="n">
        <x:f>IF(G11&lt;0,0,IF(G11&lt;10,CHOOSE(G11+1,0.08,0.2,0.4,0.65,0.85,1,1,0.95,0.85,0.7),1))</x:f>
        <x:v>0.65</x:v>
      </x:c>
      <x:c r="I11" s="11" t="n">
        <x:f>'先声新药假设'!H7</x:f>
        <x:v>2.2</x:v>
      </x:c>
      <x:c r="J11" s="11" t="n">
        <x:f>H11*I11</x:f>
        <x:v>1.4300000000000002</x:v>
      </x:c>
      <x:c r="K11" s="11" t="n">
        <x:f>'先声新药假设'!I7</x:f>
        <x:v>0.75</x:v>
      </x:c>
      <x:c r="L11" s="11" t="n">
        <x:f>'先声新药假设'!K7</x:f>
        <x:v>1</x:v>
      </x:c>
      <x:c r="M11" s="11" t="n">
        <x:f>1</x:f>
        <x:v>1</x:v>
      </x:c>
      <x:c r="N11" s="11" t="n">
        <x:f>'先声新药假设'!J7</x:f>
        <x:v>0.85</x:v>
      </x:c>
      <x:c r="O11" s="11" t="n">
        <x:f>'先声新药假设'!L7</x:f>
        <x:v>0</x:v>
      </x:c>
      <x:c r="P11" s="11" t="n">
        <x:f>J11*K11*L11*M11</x:f>
        <x:v>1.0725000000000002</x:v>
      </x:c>
      <x:c r="Q11" s="11" t="n">
        <x:f>P11*N11*(1-O11)</x:f>
        <x:v>0.9116250000000001</x:v>
      </x:c>
      <x:c r="R11" s="11" t="str">
        <x:v>CNY</x:v>
      </x:c>
    </x:row>
    <x:row r="12" ht="23" customHeight="1">
      <x:c r="A12" s="11" t="str">
        <x:v>02096.HK</x:v>
      </x:c>
      <x:c r="B12" s="11" t="str">
        <x:v>国内新药</x:v>
      </x:c>
      <x:c r="C12" s="11" t="str">
        <x:v>ledeAD</x:v>
      </x:c>
      <x:c r="D12" s="11" t="str">
        <x:v>auto</x:v>
      </x:c>
      <x:c r="E12" s="11" t="n">
        <x:v>2031</x:v>
      </x:c>
      <x:c r="F12" s="11" t="n">
        <x:f>'先声新药假设'!G7</x:f>
        <x:v>2027</x:v>
      </x:c>
      <x:c r="G12" s="11" t="n">
        <x:f>E12-F12</x:f>
        <x:v>4</x:v>
      </x:c>
      <x:c r="H12" s="11" t="n">
        <x:f>IF(G12&lt;0,0,IF(G12&lt;10,CHOOSE(G12+1,0.08,0.2,0.4,0.65,0.85,1,1,0.95,0.85,0.7),1))</x:f>
        <x:v>0.85</x:v>
      </x:c>
      <x:c r="I12" s="11" t="n">
        <x:f>'先声新药假设'!H7</x:f>
        <x:v>2.2</x:v>
      </x:c>
      <x:c r="J12" s="11" t="n">
        <x:f>H12*I12</x:f>
        <x:v>1.87</x:v>
      </x:c>
      <x:c r="K12" s="11" t="n">
        <x:f>'先声新药假设'!I7</x:f>
        <x:v>0.75</x:v>
      </x:c>
      <x:c r="L12" s="11" t="n">
        <x:f>'先声新药假设'!K7</x:f>
        <x:v>1</x:v>
      </x:c>
      <x:c r="M12" s="11" t="n">
        <x:f>1</x:f>
        <x:v>1</x:v>
      </x:c>
      <x:c r="N12" s="11" t="n">
        <x:f>'先声新药假设'!J7</x:f>
        <x:v>0.85</x:v>
      </x:c>
      <x:c r="O12" s="11" t="n">
        <x:f>'先声新药假设'!L7</x:f>
        <x:v>0</x:v>
      </x:c>
      <x:c r="P12" s="11" t="n">
        <x:f>J12*K12*L12*M12</x:f>
        <x:v>1.4025</x:v>
      </x:c>
      <x:c r="Q12" s="11" t="n">
        <x:f>P12*N12*(1-O12)</x:f>
        <x:v>1.192125</x:v>
      </x:c>
      <x:c r="R12" s="11" t="str">
        <x:v>CNY</x:v>
      </x:c>
    </x:row>
    <x:row r="13" ht="23" customHeight="1">
      <x:c r="A13" s="11" t="str">
        <x:v>02096.HK</x:v>
      </x:c>
      <x:c r="B13" s="11" t="str">
        <x:v>国内新药</x:v>
      </x:c>
      <x:c r="C13" s="11" t="str">
        <x:v>ledeAD</x:v>
      </x:c>
      <x:c r="D13" s="11" t="str">
        <x:v>auto</x:v>
      </x:c>
      <x:c r="E13" s="11" t="n">
        <x:v>2032</x:v>
      </x:c>
      <x:c r="F13" s="11" t="n">
        <x:f>'先声新药假设'!G7</x:f>
        <x:v>2027</x:v>
      </x:c>
      <x:c r="G13" s="11" t="n">
        <x:f>E13-F13</x:f>
        <x:v>5</x:v>
      </x:c>
      <x:c r="H13" s="11" t="n">
        <x:f>IF(G13&lt;0,0,IF(G13&lt;10,CHOOSE(G13+1,0.08,0.2,0.4,0.65,0.85,1,1,0.95,0.85,0.7),1))</x:f>
        <x:v>1</x:v>
      </x:c>
      <x:c r="I13" s="11" t="n">
        <x:f>'先声新药假设'!H7</x:f>
        <x:v>2.2</x:v>
      </x:c>
      <x:c r="J13" s="11" t="n">
        <x:f>H13*I13</x:f>
        <x:v>2.2</x:v>
      </x:c>
      <x:c r="K13" s="11" t="n">
        <x:f>'先声新药假设'!I7</x:f>
        <x:v>0.75</x:v>
      </x:c>
      <x:c r="L13" s="11" t="n">
        <x:f>'先声新药假设'!K7</x:f>
        <x:v>1</x:v>
      </x:c>
      <x:c r="M13" s="11" t="n">
        <x:f>1</x:f>
        <x:v>1</x:v>
      </x:c>
      <x:c r="N13" s="11" t="n">
        <x:f>'先声新药假设'!J7</x:f>
        <x:v>0.85</x:v>
      </x:c>
      <x:c r="O13" s="11" t="n">
        <x:f>'先声新药假设'!L7</x:f>
        <x:v>0</x:v>
      </x:c>
      <x:c r="P13" s="11" t="n">
        <x:f>J13*K13*L13*M13</x:f>
        <x:v>1.6500000000000001</x:v>
      </x:c>
      <x:c r="Q13" s="11" t="n">
        <x:f>P13*N13*(1-O13)</x:f>
        <x:v>1.4025</x:v>
      </x:c>
      <x:c r="R13" s="11" t="str">
        <x:v>CNY</x:v>
      </x:c>
    </x:row>
    <x:row r="14" ht="23" customHeight="1">
      <x:c r="A14" s="11" t="str">
        <x:v>02096.HK</x:v>
      </x:c>
      <x:c r="B14" s="11" t="str">
        <x:v>国内新药</x:v>
      </x:c>
      <x:c r="C14" s="11" t="str">
        <x:v>pumeAD</x:v>
      </x:c>
      <x:c r="D14" s="11" t="str">
        <x:v>auto</x:v>
      </x:c>
      <x:c r="E14" s="11" t="n">
        <x:v>2026</x:v>
      </x:c>
      <x:c r="F14" s="11" t="n">
        <x:f>'先声新药假设'!G11</x:f>
        <x:v>2027</x:v>
      </x:c>
      <x:c r="G14" s="11" t="n">
        <x:f>E14-F14</x:f>
        <x:v>-1</x:v>
      </x:c>
      <x:c r="H14" s="11" t="n">
        <x:f>IF(G14&lt;0,0,IF(G14&lt;10,CHOOSE(G14+1,0.08,0.2,0.4,0.65,0.85,1,1,0.95,0.85,0.7),1))</x:f>
        <x:v>0</x:v>
      </x:c>
      <x:c r="I14" s="11" t="n">
        <x:f>'先声新药假设'!H11</x:f>
        <x:v>0.65</x:v>
      </x:c>
      <x:c r="J14" s="11" t="n">
        <x:f>H14*I14</x:f>
        <x:v>0</x:v>
      </x:c>
      <x:c r="K14" s="11" t="n">
        <x:f>'先声新药假设'!I11</x:f>
        <x:v>0.8</x:v>
      </x:c>
      <x:c r="L14" s="11" t="n">
        <x:f>'先声新药假设'!K11</x:f>
        <x:v>1</x:v>
      </x:c>
      <x:c r="M14" s="11" t="n">
        <x:f>1</x:f>
        <x:v>1</x:v>
      </x:c>
      <x:c r="N14" s="11" t="n">
        <x:f>'先声新药假设'!J11</x:f>
        <x:v>0.7</x:v>
      </x:c>
      <x:c r="O14" s="11" t="n">
        <x:f>'先声新药假设'!L11</x:f>
        <x:v>0</x:v>
      </x:c>
      <x:c r="P14" s="11" t="n">
        <x:f>J14*K14*L14*M14</x:f>
        <x:v>0</x:v>
      </x:c>
      <x:c r="Q14" s="11" t="n">
        <x:f>P14*N14*(1-O14)</x:f>
        <x:v>0</x:v>
      </x:c>
      <x:c r="R14" s="11" t="str">
        <x:v>CNY</x:v>
      </x:c>
    </x:row>
    <x:row r="15" ht="23" customHeight="1">
      <x:c r="A15" s="11" t="str">
        <x:v>02096.HK</x:v>
      </x:c>
      <x:c r="B15" s="11" t="str">
        <x:v>国内新药</x:v>
      </x:c>
      <x:c r="C15" s="11" t="str">
        <x:v>pumeAD</x:v>
      </x:c>
      <x:c r="D15" s="11" t="str">
        <x:v>auto</x:v>
      </x:c>
      <x:c r="E15" s="11" t="n">
        <x:v>2027</x:v>
      </x:c>
      <x:c r="F15" s="11" t="n">
        <x:f>'先声新药假设'!G11</x:f>
        <x:v>2027</x:v>
      </x:c>
      <x:c r="G15" s="11" t="n">
        <x:f>E15-F15</x:f>
        <x:v>0</x:v>
      </x:c>
      <x:c r="H15" s="11" t="n">
        <x:f>IF(G15&lt;0,0,IF(G15&lt;10,CHOOSE(G15+1,0.08,0.2,0.4,0.65,0.85,1,1,0.95,0.85,0.7),1))</x:f>
        <x:v>0.08</x:v>
      </x:c>
      <x:c r="I15" s="11" t="n">
        <x:f>'先声新药假设'!H11</x:f>
        <x:v>0.65</x:v>
      </x:c>
      <x:c r="J15" s="11" t="n">
        <x:f>H15*I15</x:f>
        <x:v>0.052000000000000005</x:v>
      </x:c>
      <x:c r="K15" s="11" t="n">
        <x:f>'先声新药假设'!I11</x:f>
        <x:v>0.8</x:v>
      </x:c>
      <x:c r="L15" s="11" t="n">
        <x:f>'先声新药假设'!K11</x:f>
        <x:v>1</x:v>
      </x:c>
      <x:c r="M15" s="11" t="n">
        <x:f>1</x:f>
        <x:v>1</x:v>
      </x:c>
      <x:c r="N15" s="11" t="n">
        <x:f>'先声新药假设'!J11</x:f>
        <x:v>0.7</x:v>
      </x:c>
      <x:c r="O15" s="11" t="n">
        <x:f>'先声新药假设'!L11</x:f>
        <x:v>0</x:v>
      </x:c>
      <x:c r="P15" s="11" t="n">
        <x:f>J15*K15*L15*M15</x:f>
        <x:v>0.041600000000000005</x:v>
      </x:c>
      <x:c r="Q15" s="11" t="n">
        <x:f>P15*N15*(1-O15)</x:f>
        <x:v>0.02912</x:v>
      </x:c>
      <x:c r="R15" s="11" t="str">
        <x:v>CNY</x:v>
      </x:c>
    </x:row>
    <x:row r="16" ht="23" customHeight="1">
      <x:c r="A16" s="11" t="str">
        <x:v>02096.HK</x:v>
      </x:c>
      <x:c r="B16" s="11" t="str">
        <x:v>国内新药</x:v>
      </x:c>
      <x:c r="C16" s="11" t="str">
        <x:v>pumeAD</x:v>
      </x:c>
      <x:c r="D16" s="11" t="str">
        <x:v>auto</x:v>
      </x:c>
      <x:c r="E16" s="11" t="n">
        <x:v>2028</x:v>
      </x:c>
      <x:c r="F16" s="11" t="n">
        <x:f>'先声新药假设'!G11</x:f>
        <x:v>2027</x:v>
      </x:c>
      <x:c r="G16" s="11" t="n">
        <x:f>E16-F16</x:f>
        <x:v>1</x:v>
      </x:c>
      <x:c r="H16" s="11" t="n">
        <x:f>IF(G16&lt;0,0,IF(G16&lt;10,CHOOSE(G16+1,0.08,0.2,0.4,0.65,0.85,1,1,0.95,0.85,0.7),1))</x:f>
        <x:v>0.2</x:v>
      </x:c>
      <x:c r="I16" s="11" t="n">
        <x:f>'先声新药假设'!H11</x:f>
        <x:v>0.65</x:v>
      </x:c>
      <x:c r="J16" s="11" t="n">
        <x:f>H16*I16</x:f>
        <x:v>0.13</x:v>
      </x:c>
      <x:c r="K16" s="11" t="n">
        <x:f>'先声新药假设'!I11</x:f>
        <x:v>0.8</x:v>
      </x:c>
      <x:c r="L16" s="11" t="n">
        <x:f>'先声新药假设'!K11</x:f>
        <x:v>1</x:v>
      </x:c>
      <x:c r="M16" s="11" t="n">
        <x:f>1</x:f>
        <x:v>1</x:v>
      </x:c>
      <x:c r="N16" s="11" t="n">
        <x:f>'先声新药假设'!J11</x:f>
        <x:v>0.7</x:v>
      </x:c>
      <x:c r="O16" s="11" t="n">
        <x:f>'先声新药假设'!L11</x:f>
        <x:v>0</x:v>
      </x:c>
      <x:c r="P16" s="11" t="n">
        <x:f>J16*K16*L16*M16</x:f>
        <x:v>0.10400000000000001</x:v>
      </x:c>
      <x:c r="Q16" s="11" t="n">
        <x:f>P16*N16*(1-O16)</x:f>
        <x:v>0.0728</x:v>
      </x:c>
      <x:c r="R16" s="11" t="str">
        <x:v>CNY</x:v>
      </x:c>
    </x:row>
    <x:row r="17" ht="23" customHeight="1">
      <x:c r="A17" s="11" t="str">
        <x:v>02096.HK</x:v>
      </x:c>
      <x:c r="B17" s="11" t="str">
        <x:v>国内新药</x:v>
      </x:c>
      <x:c r="C17" s="11" t="str">
        <x:v>pumeAD</x:v>
      </x:c>
      <x:c r="D17" s="11" t="str">
        <x:v>auto</x:v>
      </x:c>
      <x:c r="E17" s="11" t="n">
        <x:v>2029</x:v>
      </x:c>
      <x:c r="F17" s="11" t="n">
        <x:f>'先声新药假设'!G11</x:f>
        <x:v>2027</x:v>
      </x:c>
      <x:c r="G17" s="11" t="n">
        <x:f>E17-F17</x:f>
        <x:v>2</x:v>
      </x:c>
      <x:c r="H17" s="11" t="n">
        <x:f>IF(G17&lt;0,0,IF(G17&lt;10,CHOOSE(G17+1,0.08,0.2,0.4,0.65,0.85,1,1,0.95,0.85,0.7),1))</x:f>
        <x:v>0.4</x:v>
      </x:c>
      <x:c r="I17" s="11" t="n">
        <x:f>'先声新药假设'!H11</x:f>
        <x:v>0.65</x:v>
      </x:c>
      <x:c r="J17" s="11" t="n">
        <x:f>H17*I17</x:f>
        <x:v>0.26</x:v>
      </x:c>
      <x:c r="K17" s="11" t="n">
        <x:f>'先声新药假设'!I11</x:f>
        <x:v>0.8</x:v>
      </x:c>
      <x:c r="L17" s="11" t="n">
        <x:f>'先声新药假设'!K11</x:f>
        <x:v>1</x:v>
      </x:c>
      <x:c r="M17" s="11" t="n">
        <x:f>1</x:f>
        <x:v>1</x:v>
      </x:c>
      <x:c r="N17" s="11" t="n">
        <x:f>'先声新药假设'!J11</x:f>
        <x:v>0.7</x:v>
      </x:c>
      <x:c r="O17" s="11" t="n">
        <x:f>'先声新药假设'!L11</x:f>
        <x:v>0</x:v>
      </x:c>
      <x:c r="P17" s="11" t="n">
        <x:f>J17*K17*L17*M17</x:f>
        <x:v>0.20800000000000002</x:v>
      </x:c>
      <x:c r="Q17" s="11" t="n">
        <x:f>P17*N17*(1-O17)</x:f>
        <x:v>0.1456</x:v>
      </x:c>
      <x:c r="R17" s="11" t="str">
        <x:v>CNY</x:v>
      </x:c>
    </x:row>
    <x:row r="18" ht="23" customHeight="1">
      <x:c r="A18" s="11" t="str">
        <x:v>02096.HK</x:v>
      </x:c>
      <x:c r="B18" s="11" t="str">
        <x:v>国内新药</x:v>
      </x:c>
      <x:c r="C18" s="11" t="str">
        <x:v>pumeAD</x:v>
      </x:c>
      <x:c r="D18" s="11" t="str">
        <x:v>auto</x:v>
      </x:c>
      <x:c r="E18" s="11" t="n">
        <x:v>2030</x:v>
      </x:c>
      <x:c r="F18" s="11" t="n">
        <x:f>'先声新药假设'!G11</x:f>
        <x:v>2027</x:v>
      </x:c>
      <x:c r="G18" s="11" t="n">
        <x:f>E18-F18</x:f>
        <x:v>3</x:v>
      </x:c>
      <x:c r="H18" s="11" t="n">
        <x:f>IF(G18&lt;0,0,IF(G18&lt;10,CHOOSE(G18+1,0.08,0.2,0.4,0.65,0.85,1,1,0.95,0.85,0.7),1))</x:f>
        <x:v>0.65</x:v>
      </x:c>
      <x:c r="I18" s="11" t="n">
        <x:f>'先声新药假设'!H11</x:f>
        <x:v>0.65</x:v>
      </x:c>
      <x:c r="J18" s="11" t="n">
        <x:f>H18*I18</x:f>
        <x:v>0.42250000000000004</x:v>
      </x:c>
      <x:c r="K18" s="11" t="n">
        <x:f>'先声新药假设'!I11</x:f>
        <x:v>0.8</x:v>
      </x:c>
      <x:c r="L18" s="11" t="n">
        <x:f>'先声新药假设'!K11</x:f>
        <x:v>1</x:v>
      </x:c>
      <x:c r="M18" s="11" t="n">
        <x:f>1</x:f>
        <x:v>1</x:v>
      </x:c>
      <x:c r="N18" s="11" t="n">
        <x:f>'先声新药假设'!J11</x:f>
        <x:v>0.7</x:v>
      </x:c>
      <x:c r="O18" s="11" t="n">
        <x:f>'先声新药假设'!L11</x:f>
        <x:v>0</x:v>
      </x:c>
      <x:c r="P18" s="11" t="n">
        <x:f>J18*K18*L18*M18</x:f>
        <x:v>0.3380000000000001</x:v>
      </x:c>
      <x:c r="Q18" s="11" t="n">
        <x:f>P18*N18*(1-O18)</x:f>
        <x:v>0.23660000000000003</x:v>
      </x:c>
      <x:c r="R18" s="11" t="str">
        <x:v>CNY</x:v>
      </x:c>
    </x:row>
    <x:row r="19" ht="23" customHeight="1">
      <x:c r="A19" s="11" t="str">
        <x:v>02096.HK</x:v>
      </x:c>
      <x:c r="B19" s="11" t="str">
        <x:v>国内新药</x:v>
      </x:c>
      <x:c r="C19" s="11" t="str">
        <x:v>pumeAD</x:v>
      </x:c>
      <x:c r="D19" s="11" t="str">
        <x:v>auto</x:v>
      </x:c>
      <x:c r="E19" s="11" t="n">
        <x:v>2031</x:v>
      </x:c>
      <x:c r="F19" s="11" t="n">
        <x:f>'先声新药假设'!G11</x:f>
        <x:v>2027</x:v>
      </x:c>
      <x:c r="G19" s="11" t="n">
        <x:f>E19-F19</x:f>
        <x:v>4</x:v>
      </x:c>
      <x:c r="H19" s="11" t="n">
        <x:f>IF(G19&lt;0,0,IF(G19&lt;10,CHOOSE(G19+1,0.08,0.2,0.4,0.65,0.85,1,1,0.95,0.85,0.7),1))</x:f>
        <x:v>0.85</x:v>
      </x:c>
      <x:c r="I19" s="11" t="n">
        <x:f>'先声新药假设'!H11</x:f>
        <x:v>0.65</x:v>
      </x:c>
      <x:c r="J19" s="11" t="n">
        <x:f>H19*I19</x:f>
        <x:v>0.5525</x:v>
      </x:c>
      <x:c r="K19" s="11" t="n">
        <x:f>'先声新药假设'!I11</x:f>
        <x:v>0.8</x:v>
      </x:c>
      <x:c r="L19" s="11" t="n">
        <x:f>'先声新药假设'!K11</x:f>
        <x:v>1</x:v>
      </x:c>
      <x:c r="M19" s="11" t="n">
        <x:f>1</x:f>
        <x:v>1</x:v>
      </x:c>
      <x:c r="N19" s="11" t="n">
        <x:f>'先声新药假设'!J11</x:f>
        <x:v>0.7</x:v>
      </x:c>
      <x:c r="O19" s="11" t="n">
        <x:f>'先声新药假设'!L11</x:f>
        <x:v>0</x:v>
      </x:c>
      <x:c r="P19" s="11" t="n">
        <x:f>J19*K19*L19*M19</x:f>
        <x:v>0.442</x:v>
      </x:c>
      <x:c r="Q19" s="11" t="n">
        <x:f>P19*N19*(1-O19)</x:f>
        <x:v>0.3094</x:v>
      </x:c>
      <x:c r="R19" s="11" t="str">
        <x:v>CNY</x:v>
      </x:c>
    </x:row>
    <x:row r="20" ht="23" customHeight="1">
      <x:c r="A20" s="11" t="str">
        <x:v>02096.HK</x:v>
      </x:c>
      <x:c r="B20" s="11" t="str">
        <x:v>国内新药</x:v>
      </x:c>
      <x:c r="C20" s="11" t="str">
        <x:v>pumeAD</x:v>
      </x:c>
      <x:c r="D20" s="11" t="str">
        <x:v>auto</x:v>
      </x:c>
      <x:c r="E20" s="11" t="n">
        <x:v>2032</x:v>
      </x:c>
      <x:c r="F20" s="11" t="n">
        <x:f>'先声新药假设'!G11</x:f>
        <x:v>2027</x:v>
      </x:c>
      <x:c r="G20" s="11" t="n">
        <x:f>E20-F20</x:f>
        <x:v>5</x:v>
      </x:c>
      <x:c r="H20" s="11" t="n">
        <x:f>IF(G20&lt;0,0,IF(G20&lt;10,CHOOSE(G20+1,0.08,0.2,0.4,0.65,0.85,1,1,0.95,0.85,0.7),1))</x:f>
        <x:v>1</x:v>
      </x:c>
      <x:c r="I20" s="11" t="n">
        <x:f>'先声新药假设'!H11</x:f>
        <x:v>0.65</x:v>
      </x:c>
      <x:c r="J20" s="11" t="n">
        <x:f>H20*I20</x:f>
        <x:v>0.65</x:v>
      </x:c>
      <x:c r="K20" s="11" t="n">
        <x:f>'先声新药假设'!I11</x:f>
        <x:v>0.8</x:v>
      </x:c>
      <x:c r="L20" s="11" t="n">
        <x:f>'先声新药假设'!K11</x:f>
        <x:v>1</x:v>
      </x:c>
      <x:c r="M20" s="11" t="n">
        <x:f>1</x:f>
        <x:v>1</x:v>
      </x:c>
      <x:c r="N20" s="11" t="n">
        <x:f>'先声新药假设'!J11</x:f>
        <x:v>0.7</x:v>
      </x:c>
      <x:c r="O20" s="11" t="n">
        <x:f>'先声新药假设'!L11</x:f>
        <x:v>0</x:v>
      </x:c>
      <x:c r="P20" s="11" t="n">
        <x:f>J20*K20*L20*M20</x:f>
        <x:v>0.52</x:v>
      </x:c>
      <x:c r="Q20" s="11" t="n">
        <x:f>P20*N20*(1-O20)</x:f>
        <x:v>0.364</x:v>
      </x:c>
      <x:c r="R20" s="11" t="str">
        <x:v>CNY</x:v>
      </x:c>
    </x:row>
    <x:row r="21" ht="23" customHeight="1">
      <x:c r="A21" s="11" t="str">
        <x:v>02096.HK</x:v>
      </x:c>
      <x:c r="B21" s="11" t="str">
        <x:v>国内新药</x:v>
      </x:c>
      <x:c r="C21" s="11" t="str">
        <x:v>influenza</x:v>
      </x:c>
      <x:c r="D21" s="11" t="str">
        <x:v>other</x:v>
      </x:c>
      <x:c r="E21" s="11" t="n">
        <x:v>2026</x:v>
      </x:c>
      <x:c r="F21" s="11" t="n">
        <x:f>'先声新药假设'!G15</x:f>
        <x:v>2027</x:v>
      </x:c>
      <x:c r="G21" s="11" t="n">
        <x:f>E21-F21</x:f>
        <x:v>-1</x:v>
      </x:c>
      <x:c r="H21" s="11" t="n">
        <x:f>IF(G21&lt;0,0,IF(G21&lt;10,CHOOSE(G21+1,0.08,0.2,0.4,0.65,0.85,1,1,0.95,0.85,0.7),1))</x:f>
        <x:v>0</x:v>
      </x:c>
      <x:c r="I21" s="11" t="n">
        <x:f>'先声新药假设'!H15</x:f>
        <x:v>1.1</x:v>
      </x:c>
      <x:c r="J21" s="11" t="n">
        <x:f>H21*I21</x:f>
        <x:v>0</x:v>
      </x:c>
      <x:c r="K21" s="11" t="n">
        <x:f>'先声新药假设'!I15</x:f>
        <x:v>0.8</x:v>
      </x:c>
      <x:c r="L21" s="11" t="n">
        <x:f>'先声新药假设'!K15</x:f>
        <x:v>1</x:v>
      </x:c>
      <x:c r="M21" s="11" t="n">
        <x:f>1</x:f>
        <x:v>1</x:v>
      </x:c>
      <x:c r="N21" s="11" t="n">
        <x:f>'先声新药假设'!J15</x:f>
        <x:v>0.68</x:v>
      </x:c>
      <x:c r="O21" s="11" t="n">
        <x:f>'先声新药假设'!L15</x:f>
        <x:v>0</x:v>
      </x:c>
      <x:c r="P21" s="11" t="n">
        <x:f>J21*K21*L21*M21</x:f>
        <x:v>0</x:v>
      </x:c>
      <x:c r="Q21" s="11" t="n">
        <x:f>P21*N21*(1-O21)</x:f>
        <x:v>0</x:v>
      </x:c>
      <x:c r="R21" s="11" t="str">
        <x:v>CNY</x:v>
      </x:c>
    </x:row>
    <x:row r="22" ht="23" customHeight="1">
      <x:c r="A22" s="11" t="str">
        <x:v>02096.HK</x:v>
      </x:c>
      <x:c r="B22" s="11" t="str">
        <x:v>国内新药</x:v>
      </x:c>
      <x:c r="C22" s="11" t="str">
        <x:v>influenza</x:v>
      </x:c>
      <x:c r="D22" s="11" t="str">
        <x:v>other</x:v>
      </x:c>
      <x:c r="E22" s="11" t="n">
        <x:v>2027</x:v>
      </x:c>
      <x:c r="F22" s="11" t="n">
        <x:f>'先声新药假设'!G15</x:f>
        <x:v>2027</x:v>
      </x:c>
      <x:c r="G22" s="11" t="n">
        <x:f>E22-F22</x:f>
        <x:v>0</x:v>
      </x:c>
      <x:c r="H22" s="11" t="n">
        <x:f>IF(G22&lt;0,0,IF(G22&lt;10,CHOOSE(G22+1,0.08,0.2,0.4,0.65,0.85,1,1,0.95,0.85,0.7),1))</x:f>
        <x:v>0.08</x:v>
      </x:c>
      <x:c r="I22" s="11" t="n">
        <x:f>'先声新药假设'!H15</x:f>
        <x:v>1.1</x:v>
      </x:c>
      <x:c r="J22" s="11" t="n">
        <x:f>H22*I22</x:f>
        <x:v>0.08800000000000001</x:v>
      </x:c>
      <x:c r="K22" s="11" t="n">
        <x:f>'先声新药假设'!I15</x:f>
        <x:v>0.8</x:v>
      </x:c>
      <x:c r="L22" s="11" t="n">
        <x:f>'先声新药假设'!K15</x:f>
        <x:v>1</x:v>
      </x:c>
      <x:c r="M22" s="11" t="n">
        <x:f>1</x:f>
        <x:v>1</x:v>
      </x:c>
      <x:c r="N22" s="11" t="n">
        <x:f>'先声新药假设'!J15</x:f>
        <x:v>0.68</x:v>
      </x:c>
      <x:c r="O22" s="11" t="n">
        <x:f>'先声新药假设'!L15</x:f>
        <x:v>0</x:v>
      </x:c>
      <x:c r="P22" s="11" t="n">
        <x:f>J22*K22*L22*M22</x:f>
        <x:v>0.0704</x:v>
      </x:c>
      <x:c r="Q22" s="11" t="n">
        <x:f>P22*N22*(1-O22)</x:f>
        <x:v>0.047872000000000005</x:v>
      </x:c>
      <x:c r="R22" s="11" t="str">
        <x:v>CNY</x:v>
      </x:c>
    </x:row>
    <x:row r="23" ht="23" customHeight="1">
      <x:c r="A23" s="11" t="str">
        <x:v>02096.HK</x:v>
      </x:c>
      <x:c r="B23" s="11" t="str">
        <x:v>国内新药</x:v>
      </x:c>
      <x:c r="C23" s="11" t="str">
        <x:v>influenza</x:v>
      </x:c>
      <x:c r="D23" s="11" t="str">
        <x:v>other</x:v>
      </x:c>
      <x:c r="E23" s="11" t="n">
        <x:v>2028</x:v>
      </x:c>
      <x:c r="F23" s="11" t="n">
        <x:f>'先声新药假设'!G15</x:f>
        <x:v>2027</x:v>
      </x:c>
      <x:c r="G23" s="11" t="n">
        <x:f>E23-F23</x:f>
        <x:v>1</x:v>
      </x:c>
      <x:c r="H23" s="11" t="n">
        <x:f>IF(G23&lt;0,0,IF(G23&lt;10,CHOOSE(G23+1,0.08,0.2,0.4,0.65,0.85,1,1,0.95,0.85,0.7),1))</x:f>
        <x:v>0.2</x:v>
      </x:c>
      <x:c r="I23" s="11" t="n">
        <x:f>'先声新药假设'!H15</x:f>
        <x:v>1.1</x:v>
      </x:c>
      <x:c r="J23" s="11" t="n">
        <x:f>H23*I23</x:f>
        <x:v>0.22000000000000003</x:v>
      </x:c>
      <x:c r="K23" s="11" t="n">
        <x:f>'先声新药假设'!I15</x:f>
        <x:v>0.8</x:v>
      </x:c>
      <x:c r="L23" s="11" t="n">
        <x:f>'先声新药假设'!K15</x:f>
        <x:v>1</x:v>
      </x:c>
      <x:c r="M23" s="11" t="n">
        <x:f>1</x:f>
        <x:v>1</x:v>
      </x:c>
      <x:c r="N23" s="11" t="n">
        <x:f>'先声新药假设'!J15</x:f>
        <x:v>0.68</x:v>
      </x:c>
      <x:c r="O23" s="11" t="n">
        <x:f>'先声新药假设'!L15</x:f>
        <x:v>0</x:v>
      </x:c>
      <x:c r="P23" s="11" t="n">
        <x:f>J23*K23*L23*M23</x:f>
        <x:v>0.17600000000000005</x:v>
      </x:c>
      <x:c r="Q23" s="11" t="n">
        <x:f>P23*N23*(1-O23)</x:f>
        <x:v>0.11968000000000004</x:v>
      </x:c>
      <x:c r="R23" s="11" t="str">
        <x:v>CNY</x:v>
      </x:c>
    </x:row>
    <x:row r="24" ht="23" customHeight="1">
      <x:c r="A24" s="11" t="str">
        <x:v>02096.HK</x:v>
      </x:c>
      <x:c r="B24" s="11" t="str">
        <x:v>国内新药</x:v>
      </x:c>
      <x:c r="C24" s="11" t="str">
        <x:v>influenza</x:v>
      </x:c>
      <x:c r="D24" s="11" t="str">
        <x:v>other</x:v>
      </x:c>
      <x:c r="E24" s="11" t="n">
        <x:v>2029</x:v>
      </x:c>
      <x:c r="F24" s="11" t="n">
        <x:f>'先声新药假设'!G15</x:f>
        <x:v>2027</x:v>
      </x:c>
      <x:c r="G24" s="11" t="n">
        <x:f>E24-F24</x:f>
        <x:v>2</x:v>
      </x:c>
      <x:c r="H24" s="11" t="n">
        <x:f>IF(G24&lt;0,0,IF(G24&lt;10,CHOOSE(G24+1,0.08,0.2,0.4,0.65,0.85,1,1,0.95,0.85,0.7),1))</x:f>
        <x:v>0.4</x:v>
      </x:c>
      <x:c r="I24" s="11" t="n">
        <x:f>'先声新药假设'!H15</x:f>
        <x:v>1.1</x:v>
      </x:c>
      <x:c r="J24" s="11" t="n">
        <x:f>H24*I24</x:f>
        <x:v>0.44000000000000006</x:v>
      </x:c>
      <x:c r="K24" s="11" t="n">
        <x:f>'先声新药假设'!I15</x:f>
        <x:v>0.8</x:v>
      </x:c>
      <x:c r="L24" s="11" t="n">
        <x:f>'先声新药假设'!K15</x:f>
        <x:v>1</x:v>
      </x:c>
      <x:c r="M24" s="11" t="n">
        <x:f>1</x:f>
        <x:v>1</x:v>
      </x:c>
      <x:c r="N24" s="11" t="n">
        <x:f>'先声新药假设'!J15</x:f>
        <x:v>0.68</x:v>
      </x:c>
      <x:c r="O24" s="11" t="n">
        <x:f>'先声新药假设'!L15</x:f>
        <x:v>0</x:v>
      </x:c>
      <x:c r="P24" s="11" t="n">
        <x:f>J24*K24*L24*M24</x:f>
        <x:v>0.3520000000000001</x:v>
      </x:c>
      <x:c r="Q24" s="11" t="n">
        <x:f>P24*N24*(1-O24)</x:f>
        <x:v>0.23936000000000007</x:v>
      </x:c>
      <x:c r="R24" s="11" t="str">
        <x:v>CNY</x:v>
      </x:c>
    </x:row>
    <x:row r="25" ht="23" customHeight="1">
      <x:c r="A25" s="11" t="str">
        <x:v>02096.HK</x:v>
      </x:c>
      <x:c r="B25" s="11" t="str">
        <x:v>国内新药</x:v>
      </x:c>
      <x:c r="C25" s="11" t="str">
        <x:v>influenza</x:v>
      </x:c>
      <x:c r="D25" s="11" t="str">
        <x:v>other</x:v>
      </x:c>
      <x:c r="E25" s="11" t="n">
        <x:v>2030</x:v>
      </x:c>
      <x:c r="F25" s="11" t="n">
        <x:f>'先声新药假设'!G15</x:f>
        <x:v>2027</x:v>
      </x:c>
      <x:c r="G25" s="11" t="n">
        <x:f>E25-F25</x:f>
        <x:v>3</x:v>
      </x:c>
      <x:c r="H25" s="11" t="n">
        <x:f>IF(G25&lt;0,0,IF(G25&lt;10,CHOOSE(G25+1,0.08,0.2,0.4,0.65,0.85,1,1,0.95,0.85,0.7),1))</x:f>
        <x:v>0.65</x:v>
      </x:c>
      <x:c r="I25" s="11" t="n">
        <x:f>'先声新药假设'!H15</x:f>
        <x:v>1.1</x:v>
      </x:c>
      <x:c r="J25" s="11" t="n">
        <x:f>H25*I25</x:f>
        <x:v>0.7150000000000001</x:v>
      </x:c>
      <x:c r="K25" s="11" t="n">
        <x:f>'先声新药假设'!I15</x:f>
        <x:v>0.8</x:v>
      </x:c>
      <x:c r="L25" s="11" t="n">
        <x:f>'先声新药假设'!K15</x:f>
        <x:v>1</x:v>
      </x:c>
      <x:c r="M25" s="11" t="n">
        <x:f>1</x:f>
        <x:v>1</x:v>
      </x:c>
      <x:c r="N25" s="11" t="n">
        <x:f>'先声新药假设'!J15</x:f>
        <x:v>0.68</x:v>
      </x:c>
      <x:c r="O25" s="11" t="n">
        <x:f>'先声新药假设'!L15</x:f>
        <x:v>0</x:v>
      </x:c>
      <x:c r="P25" s="11" t="n">
        <x:f>J25*K25*L25*M25</x:f>
        <x:v>0.5720000000000001</x:v>
      </x:c>
      <x:c r="Q25" s="11" t="n">
        <x:f>P25*N25*(1-O25)</x:f>
        <x:v>0.3889600000000001</x:v>
      </x:c>
      <x:c r="R25" s="11" t="str">
        <x:v>CNY</x:v>
      </x:c>
    </x:row>
    <x:row r="26" ht="23" customHeight="1">
      <x:c r="A26" s="11" t="str">
        <x:v>02096.HK</x:v>
      </x:c>
      <x:c r="B26" s="11" t="str">
        <x:v>国内新药</x:v>
      </x:c>
      <x:c r="C26" s="11" t="str">
        <x:v>influenza</x:v>
      </x:c>
      <x:c r="D26" s="11" t="str">
        <x:v>other</x:v>
      </x:c>
      <x:c r="E26" s="11" t="n">
        <x:v>2031</x:v>
      </x:c>
      <x:c r="F26" s="11" t="n">
        <x:f>'先声新药假设'!G15</x:f>
        <x:v>2027</x:v>
      </x:c>
      <x:c r="G26" s="11" t="n">
        <x:f>E26-F26</x:f>
        <x:v>4</x:v>
      </x:c>
      <x:c r="H26" s="11" t="n">
        <x:f>IF(G26&lt;0,0,IF(G26&lt;10,CHOOSE(G26+1,0.08,0.2,0.4,0.65,0.85,1,1,0.95,0.85,0.7),1))</x:f>
        <x:v>0.85</x:v>
      </x:c>
      <x:c r="I26" s="11" t="n">
        <x:f>'先声新药假设'!H15</x:f>
        <x:v>1.1</x:v>
      </x:c>
      <x:c r="J26" s="11" t="n">
        <x:f>H26*I26</x:f>
        <x:v>0.935</x:v>
      </x:c>
      <x:c r="K26" s="11" t="n">
        <x:f>'先声新药假设'!I15</x:f>
        <x:v>0.8</x:v>
      </x:c>
      <x:c r="L26" s="11" t="n">
        <x:f>'先声新药假设'!K15</x:f>
        <x:v>1</x:v>
      </x:c>
      <x:c r="M26" s="11" t="n">
        <x:f>1</x:f>
        <x:v>1</x:v>
      </x:c>
      <x:c r="N26" s="11" t="n">
        <x:f>'先声新药假设'!J15</x:f>
        <x:v>0.68</x:v>
      </x:c>
      <x:c r="O26" s="11" t="n">
        <x:f>'先声新药假设'!L15</x:f>
        <x:v>0</x:v>
      </x:c>
      <x:c r="P26" s="11" t="n">
        <x:f>J26*K26*L26*M26</x:f>
        <x:v>0.7480000000000001</x:v>
      </x:c>
      <x:c r="Q26" s="11" t="n">
        <x:f>P26*N26*(1-O26)</x:f>
        <x:v>0.5086400000000001</x:v>
      </x:c>
      <x:c r="R26" s="11" t="str">
        <x:v>CNY</x:v>
      </x:c>
    </x:row>
    <x:row r="27" ht="23" customHeight="1">
      <x:c r="A27" s="11" t="str">
        <x:v>02096.HK</x:v>
      </x:c>
      <x:c r="B27" s="11" t="str">
        <x:v>国内新药</x:v>
      </x:c>
      <x:c r="C27" s="11" t="str">
        <x:v>influenza</x:v>
      </x:c>
      <x:c r="D27" s="11" t="str">
        <x:v>other</x:v>
      </x:c>
      <x:c r="E27" s="11" t="n">
        <x:v>2032</x:v>
      </x:c>
      <x:c r="F27" s="11" t="n">
        <x:f>'先声新药假设'!G15</x:f>
        <x:v>2027</x:v>
      </x:c>
      <x:c r="G27" s="11" t="n">
        <x:f>E27-F27</x:f>
        <x:v>5</x:v>
      </x:c>
      <x:c r="H27" s="11" t="n">
        <x:f>IF(G27&lt;0,0,IF(G27&lt;10,CHOOSE(G27+1,0.08,0.2,0.4,0.65,0.85,1,1,0.95,0.85,0.7),1))</x:f>
        <x:v>1</x:v>
      </x:c>
      <x:c r="I27" s="11" t="n">
        <x:f>'先声新药假设'!H15</x:f>
        <x:v>1.1</x:v>
      </x:c>
      <x:c r="J27" s="11" t="n">
        <x:f>H27*I27</x:f>
        <x:v>1.1</x:v>
      </x:c>
      <x:c r="K27" s="11" t="n">
        <x:f>'先声新药假设'!I15</x:f>
        <x:v>0.8</x:v>
      </x:c>
      <x:c r="L27" s="11" t="n">
        <x:f>'先声新药假设'!K15</x:f>
        <x:v>1</x:v>
      </x:c>
      <x:c r="M27" s="11" t="n">
        <x:f>1</x:f>
        <x:v>1</x:v>
      </x:c>
      <x:c r="N27" s="11" t="n">
        <x:f>'先声新药假设'!J15</x:f>
        <x:v>0.68</x:v>
      </x:c>
      <x:c r="O27" s="11" t="n">
        <x:f>'先声新药假设'!L15</x:f>
        <x:v>0</x:v>
      </x:c>
      <x:c r="P27" s="11" t="n">
        <x:f>J27*K27*L27*M27</x:f>
        <x:v>0.8800000000000001</x:v>
      </x:c>
      <x:c r="Q27" s="11" t="n">
        <x:f>P27*N27*(1-O27)</x:f>
        <x:v>0.5984000000000002</x:v>
      </x:c>
      <x:c r="R27" s="11" t="str">
        <x:v>CNY</x:v>
      </x:c>
    </x:row>
    <x:row r="28" ht="23" customHeight="1">
      <x:c r="A28" s="11" t="str">
        <x:v>02096.HK</x:v>
      </x:c>
      <x:c r="B28" s="11" t="str">
        <x:v>国内新药</x:v>
      </x:c>
      <x:c r="C28" s="11" t="str">
        <x:v>deuLora</x:v>
      </x:c>
      <x:c r="D28" s="11" t="str">
        <x:v>onc</x:v>
      </x:c>
      <x:c r="E28" s="11" t="n">
        <x:v>2026</x:v>
      </x:c>
      <x:c r="F28" s="11" t="n">
        <x:f>'先声新药假设'!G19</x:f>
        <x:v>2028</x:v>
      </x:c>
      <x:c r="G28" s="11" t="n">
        <x:f>E28-F28</x:f>
        <x:v>-2</x:v>
      </x:c>
      <x:c r="H28" s="11" t="n">
        <x:f>IF(G28&lt;0,0,IF(G28&lt;10,CHOOSE(G28+1,0.08,0.2,0.4,0.65,0.85,1,1,0.95,0.85,0.7),1))</x:f>
        <x:v>0</x:v>
      </x:c>
      <x:c r="I28" s="11" t="n">
        <x:f>'先声新药假设'!H19</x:f>
        <x:v>0.8</x:v>
      </x:c>
      <x:c r="J28" s="11" t="n">
        <x:f>H28*I28</x:f>
        <x:v>0</x:v>
      </x:c>
      <x:c r="K28" s="11" t="n">
        <x:f>'先声新药假设'!I19</x:f>
        <x:v>0.65</x:v>
      </x:c>
      <x:c r="L28" s="11" t="n">
        <x:f>'先声新药假设'!K19</x:f>
        <x:v>1</x:v>
      </x:c>
      <x:c r="M28" s="11" t="n">
        <x:f>1</x:f>
        <x:v>1</x:v>
      </x:c>
      <x:c r="N28" s="11" t="n">
        <x:f>'先声新药假设'!J19</x:f>
        <x:v>0.73</x:v>
      </x:c>
      <x:c r="O28" s="11" t="n">
        <x:f>'先声新药假设'!L19</x:f>
        <x:v>0</x:v>
      </x:c>
      <x:c r="P28" s="11" t="n">
        <x:f>J28*K28*L28*M28</x:f>
        <x:v>0</x:v>
      </x:c>
      <x:c r="Q28" s="11" t="n">
        <x:f>P28*N28*(1-O28)</x:f>
        <x:v>0</x:v>
      </x:c>
      <x:c r="R28" s="11" t="str">
        <x:v>CNY</x:v>
      </x:c>
    </x:row>
    <x:row r="29" ht="23" customHeight="1">
      <x:c r="A29" s="11" t="str">
        <x:v>02096.HK</x:v>
      </x:c>
      <x:c r="B29" s="11" t="str">
        <x:v>国内新药</x:v>
      </x:c>
      <x:c r="C29" s="11" t="str">
        <x:v>deuLora</x:v>
      </x:c>
      <x:c r="D29" s="11" t="str">
        <x:v>onc</x:v>
      </x:c>
      <x:c r="E29" s="11" t="n">
        <x:v>2027</x:v>
      </x:c>
      <x:c r="F29" s="11" t="n">
        <x:f>'先声新药假设'!G19</x:f>
        <x:v>2028</x:v>
      </x:c>
      <x:c r="G29" s="11" t="n">
        <x:f>E29-F29</x:f>
        <x:v>-1</x:v>
      </x:c>
      <x:c r="H29" s="11" t="n">
        <x:f>IF(G29&lt;0,0,IF(G29&lt;10,CHOOSE(G29+1,0.08,0.2,0.4,0.65,0.85,1,1,0.95,0.85,0.7),1))</x:f>
        <x:v>0</x:v>
      </x:c>
      <x:c r="I29" s="11" t="n">
        <x:f>'先声新药假设'!H19</x:f>
        <x:v>0.8</x:v>
      </x:c>
      <x:c r="J29" s="11" t="n">
        <x:f>H29*I29</x:f>
        <x:v>0</x:v>
      </x:c>
      <x:c r="K29" s="11" t="n">
        <x:f>'先声新药假设'!I19</x:f>
        <x:v>0.65</x:v>
      </x:c>
      <x:c r="L29" s="11" t="n">
        <x:f>'先声新药假设'!K19</x:f>
        <x:v>1</x:v>
      </x:c>
      <x:c r="M29" s="11" t="n">
        <x:f>1</x:f>
        <x:v>1</x:v>
      </x:c>
      <x:c r="N29" s="11" t="n">
        <x:f>'先声新药假设'!J19</x:f>
        <x:v>0.73</x:v>
      </x:c>
      <x:c r="O29" s="11" t="n">
        <x:f>'先声新药假设'!L19</x:f>
        <x:v>0</x:v>
      </x:c>
      <x:c r="P29" s="11" t="n">
        <x:f>J29*K29*L29*M29</x:f>
        <x:v>0</x:v>
      </x:c>
      <x:c r="Q29" s="11" t="n">
        <x:f>P29*N29*(1-O29)</x:f>
        <x:v>0</x:v>
      </x:c>
      <x:c r="R29" s="11" t="str">
        <x:v>CNY</x:v>
      </x:c>
    </x:row>
    <x:row r="30" ht="23" customHeight="1">
      <x:c r="A30" s="11" t="str">
        <x:v>02096.HK</x:v>
      </x:c>
      <x:c r="B30" s="11" t="str">
        <x:v>国内新药</x:v>
      </x:c>
      <x:c r="C30" s="11" t="str">
        <x:v>deuLora</x:v>
      </x:c>
      <x:c r="D30" s="11" t="str">
        <x:v>onc</x:v>
      </x:c>
      <x:c r="E30" s="11" t="n">
        <x:v>2028</x:v>
      </x:c>
      <x:c r="F30" s="11" t="n">
        <x:f>'先声新药假设'!G19</x:f>
        <x:v>2028</x:v>
      </x:c>
      <x:c r="G30" s="11" t="n">
        <x:f>E30-F30</x:f>
        <x:v>0</x:v>
      </x:c>
      <x:c r="H30" s="11" t="n">
        <x:f>IF(G30&lt;0,0,IF(G30&lt;10,CHOOSE(G30+1,0.08,0.2,0.4,0.65,0.85,1,1,0.95,0.85,0.7),1))</x:f>
        <x:v>0.08</x:v>
      </x:c>
      <x:c r="I30" s="11" t="n">
        <x:f>'先声新药假设'!H19</x:f>
        <x:v>0.8</x:v>
      </x:c>
      <x:c r="J30" s="11" t="n">
        <x:f>H30*I30</x:f>
        <x:v>0.064</x:v>
      </x:c>
      <x:c r="K30" s="11" t="n">
        <x:f>'先声新药假设'!I19</x:f>
        <x:v>0.65</x:v>
      </x:c>
      <x:c r="L30" s="11" t="n">
        <x:f>'先声新药假设'!K19</x:f>
        <x:v>1</x:v>
      </x:c>
      <x:c r="M30" s="11" t="n">
        <x:f>1</x:f>
        <x:v>1</x:v>
      </x:c>
      <x:c r="N30" s="11" t="n">
        <x:f>'先声新药假设'!J19</x:f>
        <x:v>0.73</x:v>
      </x:c>
      <x:c r="O30" s="11" t="n">
        <x:f>'先声新药假设'!L19</x:f>
        <x:v>0</x:v>
      </x:c>
      <x:c r="P30" s="11" t="n">
        <x:f>J30*K30*L30*M30</x:f>
        <x:v>0.041600000000000005</x:v>
      </x:c>
      <x:c r="Q30" s="11" t="n">
        <x:f>P30*N30*(1-O30)</x:f>
        <x:v>0.030368000000000003</x:v>
      </x:c>
      <x:c r="R30" s="11" t="str">
        <x:v>CNY</x:v>
      </x:c>
    </x:row>
    <x:row r="31" ht="23" customHeight="1">
      <x:c r="A31" s="11" t="str">
        <x:v>02096.HK</x:v>
      </x:c>
      <x:c r="B31" s="11" t="str">
        <x:v>国内新药</x:v>
      </x:c>
      <x:c r="C31" s="11" t="str">
        <x:v>deuLora</x:v>
      </x:c>
      <x:c r="D31" s="11" t="str">
        <x:v>onc</x:v>
      </x:c>
      <x:c r="E31" s="11" t="n">
        <x:v>2029</x:v>
      </x:c>
      <x:c r="F31" s="11" t="n">
        <x:f>'先声新药假设'!G19</x:f>
        <x:v>2028</x:v>
      </x:c>
      <x:c r="G31" s="11" t="n">
        <x:f>E31-F31</x:f>
        <x:v>1</x:v>
      </x:c>
      <x:c r="H31" s="11" t="n">
        <x:f>IF(G31&lt;0,0,IF(G31&lt;10,CHOOSE(G31+1,0.08,0.2,0.4,0.65,0.85,1,1,0.95,0.85,0.7),1))</x:f>
        <x:v>0.2</x:v>
      </x:c>
      <x:c r="I31" s="11" t="n">
        <x:f>'先声新药假设'!H19</x:f>
        <x:v>0.8</x:v>
      </x:c>
      <x:c r="J31" s="11" t="n">
        <x:f>H31*I31</x:f>
        <x:v>0.16000000000000003</x:v>
      </x:c>
      <x:c r="K31" s="11" t="n">
        <x:f>'先声新药假设'!I19</x:f>
        <x:v>0.65</x:v>
      </x:c>
      <x:c r="L31" s="11" t="n">
        <x:f>'先声新药假设'!K19</x:f>
        <x:v>1</x:v>
      </x:c>
      <x:c r="M31" s="11" t="n">
        <x:f>1</x:f>
        <x:v>1</x:v>
      </x:c>
      <x:c r="N31" s="11" t="n">
        <x:f>'先声新药假设'!J19</x:f>
        <x:v>0.73</x:v>
      </x:c>
      <x:c r="O31" s="11" t="n">
        <x:f>'先声新药假设'!L19</x:f>
        <x:v>0</x:v>
      </x:c>
      <x:c r="P31" s="11" t="n">
        <x:f>J31*K31*L31*M31</x:f>
        <x:v>0.10400000000000002</x:v>
      </x:c>
      <x:c r="Q31" s="11" t="n">
        <x:f>P31*N31*(1-O31)</x:f>
        <x:v>0.07592000000000002</x:v>
      </x:c>
      <x:c r="R31" s="11" t="str">
        <x:v>CNY</x:v>
      </x:c>
    </x:row>
    <x:row r="32" ht="23" customHeight="1">
      <x:c r="A32" s="11" t="str">
        <x:v>02096.HK</x:v>
      </x:c>
      <x:c r="B32" s="11" t="str">
        <x:v>国内新药</x:v>
      </x:c>
      <x:c r="C32" s="11" t="str">
        <x:v>deuLora</x:v>
      </x:c>
      <x:c r="D32" s="11" t="str">
        <x:v>onc</x:v>
      </x:c>
      <x:c r="E32" s="11" t="n">
        <x:v>2030</x:v>
      </x:c>
      <x:c r="F32" s="11" t="n">
        <x:f>'先声新药假设'!G19</x:f>
        <x:v>2028</x:v>
      </x:c>
      <x:c r="G32" s="11" t="n">
        <x:f>E32-F32</x:f>
        <x:v>2</x:v>
      </x:c>
      <x:c r="H32" s="11" t="n">
        <x:f>IF(G32&lt;0,0,IF(G32&lt;10,CHOOSE(G32+1,0.08,0.2,0.4,0.65,0.85,1,1,0.95,0.85,0.7),1))</x:f>
        <x:v>0.4</x:v>
      </x:c>
      <x:c r="I32" s="11" t="n">
        <x:f>'先声新药假设'!H19</x:f>
        <x:v>0.8</x:v>
      </x:c>
      <x:c r="J32" s="11" t="n">
        <x:f>H32*I32</x:f>
        <x:v>0.32000000000000006</x:v>
      </x:c>
      <x:c r="K32" s="11" t="n">
        <x:f>'先声新药假设'!I19</x:f>
        <x:v>0.65</x:v>
      </x:c>
      <x:c r="L32" s="11" t="n">
        <x:f>'先声新药假设'!K19</x:f>
        <x:v>1</x:v>
      </x:c>
      <x:c r="M32" s="11" t="n">
        <x:f>1</x:f>
        <x:v>1</x:v>
      </x:c>
      <x:c r="N32" s="11" t="n">
        <x:f>'先声新药假设'!J19</x:f>
        <x:v>0.73</x:v>
      </x:c>
      <x:c r="O32" s="11" t="n">
        <x:f>'先声新药假设'!L19</x:f>
        <x:v>0</x:v>
      </x:c>
      <x:c r="P32" s="11" t="n">
        <x:f>J32*K32*L32*M32</x:f>
        <x:v>0.20800000000000005</x:v>
      </x:c>
      <x:c r="Q32" s="11" t="n">
        <x:f>P32*N32*(1-O32)</x:f>
        <x:v>0.15184000000000003</x:v>
      </x:c>
      <x:c r="R32" s="11" t="str">
        <x:v>CNY</x:v>
      </x:c>
    </x:row>
    <x:row r="33" ht="23" customHeight="1">
      <x:c r="A33" s="11" t="str">
        <x:v>02096.HK</x:v>
      </x:c>
      <x:c r="B33" s="11" t="str">
        <x:v>国内新药</x:v>
      </x:c>
      <x:c r="C33" s="11" t="str">
        <x:v>deuLora</x:v>
      </x:c>
      <x:c r="D33" s="11" t="str">
        <x:v>onc</x:v>
      </x:c>
      <x:c r="E33" s="11" t="n">
        <x:v>2031</x:v>
      </x:c>
      <x:c r="F33" s="11" t="n">
        <x:f>'先声新药假设'!G19</x:f>
        <x:v>2028</x:v>
      </x:c>
      <x:c r="G33" s="11" t="n">
        <x:f>E33-F33</x:f>
        <x:v>3</x:v>
      </x:c>
      <x:c r="H33" s="11" t="n">
        <x:f>IF(G33&lt;0,0,IF(G33&lt;10,CHOOSE(G33+1,0.08,0.2,0.4,0.65,0.85,1,1,0.95,0.85,0.7),1))</x:f>
        <x:v>0.65</x:v>
      </x:c>
      <x:c r="I33" s="11" t="n">
        <x:f>'先声新药假设'!H19</x:f>
        <x:v>0.8</x:v>
      </x:c>
      <x:c r="J33" s="11" t="n">
        <x:f>H33*I33</x:f>
        <x:v>0.52</x:v>
      </x:c>
      <x:c r="K33" s="11" t="n">
        <x:f>'先声新药假设'!I19</x:f>
        <x:v>0.65</x:v>
      </x:c>
      <x:c r="L33" s="11" t="n">
        <x:f>'先声新药假设'!K19</x:f>
        <x:v>1</x:v>
      </x:c>
      <x:c r="M33" s="11" t="n">
        <x:f>1</x:f>
        <x:v>1</x:v>
      </x:c>
      <x:c r="N33" s="11" t="n">
        <x:f>'先声新药假设'!J19</x:f>
        <x:v>0.73</x:v>
      </x:c>
      <x:c r="O33" s="11" t="n">
        <x:f>'先声新药假设'!L19</x:f>
        <x:v>0</x:v>
      </x:c>
      <x:c r="P33" s="11" t="n">
        <x:f>J33*K33*L33*M33</x:f>
        <x:v>0.338</x:v>
      </x:c>
      <x:c r="Q33" s="11" t="n">
        <x:f>P33*N33*(1-O33)</x:f>
        <x:v>0.24674000000000001</x:v>
      </x:c>
      <x:c r="R33" s="11" t="str">
        <x:v>CNY</x:v>
      </x:c>
    </x:row>
    <x:row r="34" ht="23" customHeight="1">
      <x:c r="A34" s="11" t="str">
        <x:v>02096.HK</x:v>
      </x:c>
      <x:c r="B34" s="11" t="str">
        <x:v>国内新药</x:v>
      </x:c>
      <x:c r="C34" s="11" t="str">
        <x:v>deuLora</x:v>
      </x:c>
      <x:c r="D34" s="11" t="str">
        <x:v>onc</x:v>
      </x:c>
      <x:c r="E34" s="11" t="n">
        <x:v>2032</x:v>
      </x:c>
      <x:c r="F34" s="11" t="n">
        <x:f>'先声新药假设'!G19</x:f>
        <x:v>2028</x:v>
      </x:c>
      <x:c r="G34" s="11" t="n">
        <x:f>E34-F34</x:f>
        <x:v>4</x:v>
      </x:c>
      <x:c r="H34" s="11" t="n">
        <x:f>IF(G34&lt;0,0,IF(G34&lt;10,CHOOSE(G34+1,0.08,0.2,0.4,0.65,0.85,1,1,0.95,0.85,0.7),1))</x:f>
        <x:v>0.85</x:v>
      </x:c>
      <x:c r="I34" s="11" t="n">
        <x:f>'先声新药假设'!H19</x:f>
        <x:v>0.8</x:v>
      </x:c>
      <x:c r="J34" s="11" t="n">
        <x:f>H34*I34</x:f>
        <x:v>0.68</x:v>
      </x:c>
      <x:c r="K34" s="11" t="n">
        <x:f>'先声新药假设'!I19</x:f>
        <x:v>0.65</x:v>
      </x:c>
      <x:c r="L34" s="11" t="n">
        <x:f>'先声新药假设'!K19</x:f>
        <x:v>1</x:v>
      </x:c>
      <x:c r="M34" s="11" t="n">
        <x:f>1</x:f>
        <x:v>1</x:v>
      </x:c>
      <x:c r="N34" s="11" t="n">
        <x:f>'先声新药假设'!J19</x:f>
        <x:v>0.73</x:v>
      </x:c>
      <x:c r="O34" s="11" t="n">
        <x:f>'先声新药假设'!L19</x:f>
        <x:v>0</x:v>
      </x:c>
      <x:c r="P34" s="11" t="n">
        <x:f>J34*K34*L34*M34</x:f>
        <x:v>0.44200000000000006</x:v>
      </x:c>
      <x:c r="Q34" s="11" t="n">
        <x:f>P34*N34*(1-O34)</x:f>
        <x:v>0.32266000000000006</x:v>
      </x:c>
      <x:c r="R34" s="11" t="str">
        <x:v>CNY</x:v>
      </x:c>
    </x:row>
    <x:row r="35" ht="23" customHeight="1">
      <x:c r="A35" s="11" t="str">
        <x:v>02096.HK</x:v>
      </x:c>
      <x:c r="B35" s="11" t="str">
        <x:v>国内新药</x:v>
      </x:c>
      <x:c r="C35" s="11" t="str">
        <x:v>SERD</x:v>
      </x:c>
      <x:c r="D35" s="11" t="str">
        <x:v>onc</x:v>
      </x:c>
      <x:c r="E35" s="11" t="n">
        <x:v>2026</x:v>
      </x:c>
      <x:c r="F35" s="11" t="n">
        <x:f>'先声新药假设'!G23</x:f>
        <x:v>2029</x:v>
      </x:c>
      <x:c r="G35" s="11" t="n">
        <x:f>E35-F35</x:f>
        <x:v>-3</x:v>
      </x:c>
      <x:c r="H35" s="11" t="n">
        <x:f>IF(G35&lt;0,0,IF(G35&lt;10,CHOOSE(G35+1,0.08,0.2,0.4,0.65,0.85,1,1,0.95,0.85,0.7),1))</x:f>
        <x:v>0</x:v>
      </x:c>
      <x:c r="I35" s="11" t="n">
        <x:f>'先声新药假设'!H23</x:f>
        <x:v>1.5</x:v>
      </x:c>
      <x:c r="J35" s="11" t="n">
        <x:f>H35*I35</x:f>
        <x:v>0</x:v>
      </x:c>
      <x:c r="K35" s="11" t="n">
        <x:f>'先声新药假设'!I23</x:f>
        <x:v>0.5</x:v>
      </x:c>
      <x:c r="L35" s="11" t="n">
        <x:f>'先声新药假设'!K23</x:f>
        <x:v>1</x:v>
      </x:c>
      <x:c r="M35" s="11" t="n">
        <x:f>1</x:f>
        <x:v>1</x:v>
      </x:c>
      <x:c r="N35" s="11" t="n">
        <x:f>'先声新药假设'!J23</x:f>
        <x:v>0.82</x:v>
      </x:c>
      <x:c r="O35" s="11" t="n">
        <x:f>'先声新药假设'!L23</x:f>
        <x:v>0</x:v>
      </x:c>
      <x:c r="P35" s="11" t="n">
        <x:f>J35*K35*L35*M35</x:f>
        <x:v>0</x:v>
      </x:c>
      <x:c r="Q35" s="11" t="n">
        <x:f>P35*N35*(1-O35)</x:f>
        <x:v>0</x:v>
      </x:c>
      <x:c r="R35" s="11" t="str">
        <x:v>CNY</x:v>
      </x:c>
    </x:row>
    <x:row r="36" ht="23" customHeight="1">
      <x:c r="A36" s="11" t="str">
        <x:v>02096.HK</x:v>
      </x:c>
      <x:c r="B36" s="11" t="str">
        <x:v>国内新药</x:v>
      </x:c>
      <x:c r="C36" s="11" t="str">
        <x:v>SERD</x:v>
      </x:c>
      <x:c r="D36" s="11" t="str">
        <x:v>onc</x:v>
      </x:c>
      <x:c r="E36" s="11" t="n">
        <x:v>2027</x:v>
      </x:c>
      <x:c r="F36" s="11" t="n">
        <x:f>'先声新药假设'!G23</x:f>
        <x:v>2029</x:v>
      </x:c>
      <x:c r="G36" s="11" t="n">
        <x:f>E36-F36</x:f>
        <x:v>-2</x:v>
      </x:c>
      <x:c r="H36" s="11" t="n">
        <x:f>IF(G36&lt;0,0,IF(G36&lt;10,CHOOSE(G36+1,0.08,0.2,0.4,0.65,0.85,1,1,0.95,0.85,0.7),1))</x:f>
        <x:v>0</x:v>
      </x:c>
      <x:c r="I36" s="11" t="n">
        <x:f>'先声新药假设'!H23</x:f>
        <x:v>1.5</x:v>
      </x:c>
      <x:c r="J36" s="11" t="n">
        <x:f>H36*I36</x:f>
        <x:v>0</x:v>
      </x:c>
      <x:c r="K36" s="11" t="n">
        <x:f>'先声新药假设'!I23</x:f>
        <x:v>0.5</x:v>
      </x:c>
      <x:c r="L36" s="11" t="n">
        <x:f>'先声新药假设'!K23</x:f>
        <x:v>1</x:v>
      </x:c>
      <x:c r="M36" s="11" t="n">
        <x:f>1</x:f>
        <x:v>1</x:v>
      </x:c>
      <x:c r="N36" s="11" t="n">
        <x:f>'先声新药假设'!J23</x:f>
        <x:v>0.82</x:v>
      </x:c>
      <x:c r="O36" s="11" t="n">
        <x:f>'先声新药假设'!L23</x:f>
        <x:v>0</x:v>
      </x:c>
      <x:c r="P36" s="11" t="n">
        <x:f>J36*K36*L36*M36</x:f>
        <x:v>0</x:v>
      </x:c>
      <x:c r="Q36" s="11" t="n">
        <x:f>P36*N36*(1-O36)</x:f>
        <x:v>0</x:v>
      </x:c>
      <x:c r="R36" s="11" t="str">
        <x:v>CNY</x:v>
      </x:c>
    </x:row>
    <x:row r="37" ht="23" customHeight="1">
      <x:c r="A37" s="11" t="str">
        <x:v>02096.HK</x:v>
      </x:c>
      <x:c r="B37" s="11" t="str">
        <x:v>国内新药</x:v>
      </x:c>
      <x:c r="C37" s="11" t="str">
        <x:v>SERD</x:v>
      </x:c>
      <x:c r="D37" s="11" t="str">
        <x:v>onc</x:v>
      </x:c>
      <x:c r="E37" s="11" t="n">
        <x:v>2028</x:v>
      </x:c>
      <x:c r="F37" s="11" t="n">
        <x:f>'先声新药假设'!G23</x:f>
        <x:v>2029</x:v>
      </x:c>
      <x:c r="G37" s="11" t="n">
        <x:f>E37-F37</x:f>
        <x:v>-1</x:v>
      </x:c>
      <x:c r="H37" s="11" t="n">
        <x:f>IF(G37&lt;0,0,IF(G37&lt;10,CHOOSE(G37+1,0.08,0.2,0.4,0.65,0.85,1,1,0.95,0.85,0.7),1))</x:f>
        <x:v>0</x:v>
      </x:c>
      <x:c r="I37" s="11" t="n">
        <x:f>'先声新药假设'!H23</x:f>
        <x:v>1.5</x:v>
      </x:c>
      <x:c r="J37" s="11" t="n">
        <x:f>H37*I37</x:f>
        <x:v>0</x:v>
      </x:c>
      <x:c r="K37" s="11" t="n">
        <x:f>'先声新药假设'!I23</x:f>
        <x:v>0.5</x:v>
      </x:c>
      <x:c r="L37" s="11" t="n">
        <x:f>'先声新药假设'!K23</x:f>
        <x:v>1</x:v>
      </x:c>
      <x:c r="M37" s="11" t="n">
        <x:f>1</x:f>
        <x:v>1</x:v>
      </x:c>
      <x:c r="N37" s="11" t="n">
        <x:f>'先声新药假设'!J23</x:f>
        <x:v>0.82</x:v>
      </x:c>
      <x:c r="O37" s="11" t="n">
        <x:f>'先声新药假设'!L23</x:f>
        <x:v>0</x:v>
      </x:c>
      <x:c r="P37" s="11" t="n">
        <x:f>J37*K37*L37*M37</x:f>
        <x:v>0</x:v>
      </x:c>
      <x:c r="Q37" s="11" t="n">
        <x:f>P37*N37*(1-O37)</x:f>
        <x:v>0</x:v>
      </x:c>
      <x:c r="R37" s="11" t="str">
        <x:v>CNY</x:v>
      </x:c>
    </x:row>
    <x:row r="38" ht="23" customHeight="1">
      <x:c r="A38" s="11" t="str">
        <x:v>02096.HK</x:v>
      </x:c>
      <x:c r="B38" s="11" t="str">
        <x:v>国内新药</x:v>
      </x:c>
      <x:c r="C38" s="11" t="str">
        <x:v>SERD</x:v>
      </x:c>
      <x:c r="D38" s="11" t="str">
        <x:v>onc</x:v>
      </x:c>
      <x:c r="E38" s="11" t="n">
        <x:v>2029</x:v>
      </x:c>
      <x:c r="F38" s="11" t="n">
        <x:f>'先声新药假设'!G23</x:f>
        <x:v>2029</x:v>
      </x:c>
      <x:c r="G38" s="11" t="n">
        <x:f>E38-F38</x:f>
        <x:v>0</x:v>
      </x:c>
      <x:c r="H38" s="11" t="n">
        <x:f>IF(G38&lt;0,0,IF(G38&lt;10,CHOOSE(G38+1,0.08,0.2,0.4,0.65,0.85,1,1,0.95,0.85,0.7),1))</x:f>
        <x:v>0.08</x:v>
      </x:c>
      <x:c r="I38" s="11" t="n">
        <x:f>'先声新药假设'!H23</x:f>
        <x:v>1.5</x:v>
      </x:c>
      <x:c r="J38" s="11" t="n">
        <x:f>H38*I38</x:f>
        <x:v>0.12</x:v>
      </x:c>
      <x:c r="K38" s="11" t="n">
        <x:f>'先声新药假设'!I23</x:f>
        <x:v>0.5</x:v>
      </x:c>
      <x:c r="L38" s="11" t="n">
        <x:f>'先声新药假设'!K23</x:f>
        <x:v>1</x:v>
      </x:c>
      <x:c r="M38" s="11" t="n">
        <x:f>1</x:f>
        <x:v>1</x:v>
      </x:c>
      <x:c r="N38" s="11" t="n">
        <x:f>'先声新药假设'!J23</x:f>
        <x:v>0.82</x:v>
      </x:c>
      <x:c r="O38" s="11" t="n">
        <x:f>'先声新药假设'!L23</x:f>
        <x:v>0</x:v>
      </x:c>
      <x:c r="P38" s="11" t="n">
        <x:f>J38*K38*L38*M38</x:f>
        <x:v>0.06</x:v>
      </x:c>
      <x:c r="Q38" s="11" t="n">
        <x:f>P38*N38*(1-O38)</x:f>
        <x:v>0.049199999999999994</x:v>
      </x:c>
      <x:c r="R38" s="11" t="str">
        <x:v>CNY</x:v>
      </x:c>
    </x:row>
    <x:row r="39" ht="23" customHeight="1">
      <x:c r="A39" s="11" t="str">
        <x:v>02096.HK</x:v>
      </x:c>
      <x:c r="B39" s="11" t="str">
        <x:v>国内新药</x:v>
      </x:c>
      <x:c r="C39" s="11" t="str">
        <x:v>SERD</x:v>
      </x:c>
      <x:c r="D39" s="11" t="str">
        <x:v>onc</x:v>
      </x:c>
      <x:c r="E39" s="11" t="n">
        <x:v>2030</x:v>
      </x:c>
      <x:c r="F39" s="11" t="n">
        <x:f>'先声新药假设'!G23</x:f>
        <x:v>2029</x:v>
      </x:c>
      <x:c r="G39" s="11" t="n">
        <x:f>E39-F39</x:f>
        <x:v>1</x:v>
      </x:c>
      <x:c r="H39" s="11" t="n">
        <x:f>IF(G39&lt;0,0,IF(G39&lt;10,CHOOSE(G39+1,0.08,0.2,0.4,0.65,0.85,1,1,0.95,0.85,0.7),1))</x:f>
        <x:v>0.2</x:v>
      </x:c>
      <x:c r="I39" s="11" t="n">
        <x:f>'先声新药假设'!H23</x:f>
        <x:v>1.5</x:v>
      </x:c>
      <x:c r="J39" s="11" t="n">
        <x:f>H39*I39</x:f>
        <x:v>0.30000000000000004</x:v>
      </x:c>
      <x:c r="K39" s="11" t="n">
        <x:f>'先声新药假设'!I23</x:f>
        <x:v>0.5</x:v>
      </x:c>
      <x:c r="L39" s="11" t="n">
        <x:f>'先声新药假设'!K23</x:f>
        <x:v>1</x:v>
      </x:c>
      <x:c r="M39" s="11" t="n">
        <x:f>1</x:f>
        <x:v>1</x:v>
      </x:c>
      <x:c r="N39" s="11" t="n">
        <x:f>'先声新药假设'!J23</x:f>
        <x:v>0.82</x:v>
      </x:c>
      <x:c r="O39" s="11" t="n">
        <x:f>'先声新药假设'!L23</x:f>
        <x:v>0</x:v>
      </x:c>
      <x:c r="P39" s="11" t="n">
        <x:f>J39*K39*L39*M39</x:f>
        <x:v>0.15000000000000002</x:v>
      </x:c>
      <x:c r="Q39" s="11" t="n">
        <x:f>P39*N39*(1-O39)</x:f>
        <x:v>0.12300000000000001</x:v>
      </x:c>
      <x:c r="R39" s="11" t="str">
        <x:v>CNY</x:v>
      </x:c>
    </x:row>
    <x:row r="40" ht="23" customHeight="1">
      <x:c r="A40" s="11" t="str">
        <x:v>02096.HK</x:v>
      </x:c>
      <x:c r="B40" s="11" t="str">
        <x:v>国内新药</x:v>
      </x:c>
      <x:c r="C40" s="11" t="str">
        <x:v>SERD</x:v>
      </x:c>
      <x:c r="D40" s="11" t="str">
        <x:v>onc</x:v>
      </x:c>
      <x:c r="E40" s="11" t="n">
        <x:v>2031</x:v>
      </x:c>
      <x:c r="F40" s="11" t="n">
        <x:f>'先声新药假设'!G23</x:f>
        <x:v>2029</x:v>
      </x:c>
      <x:c r="G40" s="11" t="n">
        <x:f>E40-F40</x:f>
        <x:v>2</x:v>
      </x:c>
      <x:c r="H40" s="11" t="n">
        <x:f>IF(G40&lt;0,0,IF(G40&lt;10,CHOOSE(G40+1,0.08,0.2,0.4,0.65,0.85,1,1,0.95,0.85,0.7),1))</x:f>
        <x:v>0.4</x:v>
      </x:c>
      <x:c r="I40" s="11" t="n">
        <x:f>'先声新药假设'!H23</x:f>
        <x:v>1.5</x:v>
      </x:c>
      <x:c r="J40" s="11" t="n">
        <x:f>H40*I40</x:f>
        <x:v>0.6000000000000001</x:v>
      </x:c>
      <x:c r="K40" s="11" t="n">
        <x:f>'先声新药假设'!I23</x:f>
        <x:v>0.5</x:v>
      </x:c>
      <x:c r="L40" s="11" t="n">
        <x:f>'先声新药假设'!K23</x:f>
        <x:v>1</x:v>
      </x:c>
      <x:c r="M40" s="11" t="n">
        <x:f>1</x:f>
        <x:v>1</x:v>
      </x:c>
      <x:c r="N40" s="11" t="n">
        <x:f>'先声新药假设'!J23</x:f>
        <x:v>0.82</x:v>
      </x:c>
      <x:c r="O40" s="11" t="n">
        <x:f>'先声新药假设'!L23</x:f>
        <x:v>0</x:v>
      </x:c>
      <x:c r="P40" s="11" t="n">
        <x:f>J40*K40*L40*M40</x:f>
        <x:v>0.30000000000000004</x:v>
      </x:c>
      <x:c r="Q40" s="11" t="n">
        <x:f>P40*N40*(1-O40)</x:f>
        <x:v>0.24600000000000002</x:v>
      </x:c>
      <x:c r="R40" s="11" t="str">
        <x:v>CNY</x:v>
      </x:c>
    </x:row>
    <x:row r="41" ht="23" customHeight="1">
      <x:c r="A41" s="11" t="str">
        <x:v>02096.HK</x:v>
      </x:c>
      <x:c r="B41" s="11" t="str">
        <x:v>国内新药</x:v>
      </x:c>
      <x:c r="C41" s="11" t="str">
        <x:v>SERD</x:v>
      </x:c>
      <x:c r="D41" s="11" t="str">
        <x:v>onc</x:v>
      </x:c>
      <x:c r="E41" s="11" t="n">
        <x:v>2032</x:v>
      </x:c>
      <x:c r="F41" s="11" t="n">
        <x:f>'先声新药假设'!G23</x:f>
        <x:v>2029</x:v>
      </x:c>
      <x:c r="G41" s="11" t="n">
        <x:f>E41-F41</x:f>
        <x:v>3</x:v>
      </x:c>
      <x:c r="H41" s="11" t="n">
        <x:f>IF(G41&lt;0,0,IF(G41&lt;10,CHOOSE(G41+1,0.08,0.2,0.4,0.65,0.85,1,1,0.95,0.85,0.7),1))</x:f>
        <x:v>0.65</x:v>
      </x:c>
      <x:c r="I41" s="11" t="n">
        <x:f>'先声新药假设'!H23</x:f>
        <x:v>1.5</x:v>
      </x:c>
      <x:c r="J41" s="11" t="n">
        <x:f>H41*I41</x:f>
        <x:v>0.9750000000000001</x:v>
      </x:c>
      <x:c r="K41" s="11" t="n">
        <x:f>'先声新药假设'!I23</x:f>
        <x:v>0.5</x:v>
      </x:c>
      <x:c r="L41" s="11" t="n">
        <x:f>'先声新药假设'!K23</x:f>
        <x:v>1</x:v>
      </x:c>
      <x:c r="M41" s="11" t="n">
        <x:f>1</x:f>
        <x:v>1</x:v>
      </x:c>
      <x:c r="N41" s="11" t="n">
        <x:f>'先声新药假设'!J23</x:f>
        <x:v>0.82</x:v>
      </x:c>
      <x:c r="O41" s="11" t="n">
        <x:f>'先声新药假设'!L23</x:f>
        <x:v>0</x:v>
      </x:c>
      <x:c r="P41" s="11" t="n">
        <x:f>J41*K41*L41*M41</x:f>
        <x:v>0.48750000000000004</x:v>
      </x:c>
      <x:c r="Q41" s="11" t="n">
        <x:f>P41*N41*(1-O41)</x:f>
        <x:v>0.39975</x:v>
      </x:c>
      <x:c r="R41" s="11" t="str">
        <x:v>CNY</x:v>
      </x:c>
    </x:row>
    <x:row r="42" ht="23" customHeight="1">
      <x:c r="A42" s="11" t="str">
        <x:v>02096.HK</x:v>
      </x:c>
      <x:c r="B42" s="11" t="str">
        <x:v>国内新药</x:v>
      </x:c>
      <x:c r="C42" s="11" t="str">
        <x:v>RSVtreatment</x:v>
      </x:c>
      <x:c r="D42" s="11" t="str">
        <x:v>other</x:v>
      </x:c>
      <x:c r="E42" s="11" t="n">
        <x:v>2026</x:v>
      </x:c>
      <x:c r="F42" s="11" t="n">
        <x:f>'先声新药假设'!G27</x:f>
        <x:v>2029</x:v>
      </x:c>
      <x:c r="G42" s="11" t="n">
        <x:f>E42-F42</x:f>
        <x:v>-3</x:v>
      </x:c>
      <x:c r="H42" s="11" t="n">
        <x:f>IF(G42&lt;0,0,IF(G42&lt;10,CHOOSE(G42+1,0.08,0.2,0.4,0.65,0.85,1,1,0.95,0.85,0.7),1))</x:f>
        <x:v>0</x:v>
      </x:c>
      <x:c r="I42" s="11" t="n">
        <x:f>'先声新药假设'!H27</x:f>
        <x:v>0.9</x:v>
      </x:c>
      <x:c r="J42" s="11" t="n">
        <x:f>H42*I42</x:f>
        <x:v>0</x:v>
      </x:c>
      <x:c r="K42" s="11" t="n">
        <x:f>'先声新药假设'!I27</x:f>
        <x:v>0.5</x:v>
      </x:c>
      <x:c r="L42" s="11" t="n">
        <x:f>'先声新药假设'!K27</x:f>
        <x:v>1</x:v>
      </x:c>
      <x:c r="M42" s="11" t="n">
        <x:f>1</x:f>
        <x:v>1</x:v>
      </x:c>
      <x:c r="N42" s="11" t="n">
        <x:f>'先声新药假设'!J27</x:f>
        <x:v>0.68</x:v>
      </x:c>
      <x:c r="O42" s="11" t="n">
        <x:f>'先声新药假设'!L27</x:f>
        <x:v>0</x:v>
      </x:c>
      <x:c r="P42" s="11" t="n">
        <x:f>J42*K42*L42*M42</x:f>
        <x:v>0</x:v>
      </x:c>
      <x:c r="Q42" s="11" t="n">
        <x:f>P42*N42*(1-O42)</x:f>
        <x:v>0</x:v>
      </x:c>
      <x:c r="R42" s="11" t="str">
        <x:v>CNY</x:v>
      </x:c>
    </x:row>
    <x:row r="43" ht="23" customHeight="1">
      <x:c r="A43" s="11" t="str">
        <x:v>02096.HK</x:v>
      </x:c>
      <x:c r="B43" s="11" t="str">
        <x:v>国内新药</x:v>
      </x:c>
      <x:c r="C43" s="11" t="str">
        <x:v>RSVtreatment</x:v>
      </x:c>
      <x:c r="D43" s="11" t="str">
        <x:v>other</x:v>
      </x:c>
      <x:c r="E43" s="11" t="n">
        <x:v>2027</x:v>
      </x:c>
      <x:c r="F43" s="11" t="n">
        <x:f>'先声新药假设'!G27</x:f>
        <x:v>2029</x:v>
      </x:c>
      <x:c r="G43" s="11" t="n">
        <x:f>E43-F43</x:f>
        <x:v>-2</x:v>
      </x:c>
      <x:c r="H43" s="11" t="n">
        <x:f>IF(G43&lt;0,0,IF(G43&lt;10,CHOOSE(G43+1,0.08,0.2,0.4,0.65,0.85,1,1,0.95,0.85,0.7),1))</x:f>
        <x:v>0</x:v>
      </x:c>
      <x:c r="I43" s="11" t="n">
        <x:f>'先声新药假设'!H27</x:f>
        <x:v>0.9</x:v>
      </x:c>
      <x:c r="J43" s="11" t="n">
        <x:f>H43*I43</x:f>
        <x:v>0</x:v>
      </x:c>
      <x:c r="K43" s="11" t="n">
        <x:f>'先声新药假设'!I27</x:f>
        <x:v>0.5</x:v>
      </x:c>
      <x:c r="L43" s="11" t="n">
        <x:f>'先声新药假设'!K27</x:f>
        <x:v>1</x:v>
      </x:c>
      <x:c r="M43" s="11" t="n">
        <x:f>1</x:f>
        <x:v>1</x:v>
      </x:c>
      <x:c r="N43" s="11" t="n">
        <x:f>'先声新药假设'!J27</x:f>
        <x:v>0.68</x:v>
      </x:c>
      <x:c r="O43" s="11" t="n">
        <x:f>'先声新药假设'!L27</x:f>
        <x:v>0</x:v>
      </x:c>
      <x:c r="P43" s="11" t="n">
        <x:f>J43*K43*L43*M43</x:f>
        <x:v>0</x:v>
      </x:c>
      <x:c r="Q43" s="11" t="n">
        <x:f>P43*N43*(1-O43)</x:f>
        <x:v>0</x:v>
      </x:c>
      <x:c r="R43" s="11" t="str">
        <x:v>CNY</x:v>
      </x:c>
    </x:row>
    <x:row r="44" ht="23" customHeight="1">
      <x:c r="A44" s="11" t="str">
        <x:v>02096.HK</x:v>
      </x:c>
      <x:c r="B44" s="11" t="str">
        <x:v>国内新药</x:v>
      </x:c>
      <x:c r="C44" s="11" t="str">
        <x:v>RSVtreatment</x:v>
      </x:c>
      <x:c r="D44" s="11" t="str">
        <x:v>other</x:v>
      </x:c>
      <x:c r="E44" s="11" t="n">
        <x:v>2028</x:v>
      </x:c>
      <x:c r="F44" s="11" t="n">
        <x:f>'先声新药假设'!G27</x:f>
        <x:v>2029</x:v>
      </x:c>
      <x:c r="G44" s="11" t="n">
        <x:f>E44-F44</x:f>
        <x:v>-1</x:v>
      </x:c>
      <x:c r="H44" s="11" t="n">
        <x:f>IF(G44&lt;0,0,IF(G44&lt;10,CHOOSE(G44+1,0.08,0.2,0.4,0.65,0.85,1,1,0.95,0.85,0.7),1))</x:f>
        <x:v>0</x:v>
      </x:c>
      <x:c r="I44" s="11" t="n">
        <x:f>'先声新药假设'!H27</x:f>
        <x:v>0.9</x:v>
      </x:c>
      <x:c r="J44" s="11" t="n">
        <x:f>H44*I44</x:f>
        <x:v>0</x:v>
      </x:c>
      <x:c r="K44" s="11" t="n">
        <x:f>'先声新药假设'!I27</x:f>
        <x:v>0.5</x:v>
      </x:c>
      <x:c r="L44" s="11" t="n">
        <x:f>'先声新药假设'!K27</x:f>
        <x:v>1</x:v>
      </x:c>
      <x:c r="M44" s="11" t="n">
        <x:f>1</x:f>
        <x:v>1</x:v>
      </x:c>
      <x:c r="N44" s="11" t="n">
        <x:f>'先声新药假设'!J27</x:f>
        <x:v>0.68</x:v>
      </x:c>
      <x:c r="O44" s="11" t="n">
        <x:f>'先声新药假设'!L27</x:f>
        <x:v>0</x:v>
      </x:c>
      <x:c r="P44" s="11" t="n">
        <x:f>J44*K44*L44*M44</x:f>
        <x:v>0</x:v>
      </x:c>
      <x:c r="Q44" s="11" t="n">
        <x:f>P44*N44*(1-O44)</x:f>
        <x:v>0</x:v>
      </x:c>
      <x:c r="R44" s="11" t="str">
        <x:v>CNY</x:v>
      </x:c>
    </x:row>
    <x:row r="45" ht="23" customHeight="1">
      <x:c r="A45" s="11" t="str">
        <x:v>02096.HK</x:v>
      </x:c>
      <x:c r="B45" s="11" t="str">
        <x:v>国内新药</x:v>
      </x:c>
      <x:c r="C45" s="11" t="str">
        <x:v>RSVtreatment</x:v>
      </x:c>
      <x:c r="D45" s="11" t="str">
        <x:v>other</x:v>
      </x:c>
      <x:c r="E45" s="11" t="n">
        <x:v>2029</x:v>
      </x:c>
      <x:c r="F45" s="11" t="n">
        <x:f>'先声新药假设'!G27</x:f>
        <x:v>2029</x:v>
      </x:c>
      <x:c r="G45" s="11" t="n">
        <x:f>E45-F45</x:f>
        <x:v>0</x:v>
      </x:c>
      <x:c r="H45" s="11" t="n">
        <x:f>IF(G45&lt;0,0,IF(G45&lt;10,CHOOSE(G45+1,0.08,0.2,0.4,0.65,0.85,1,1,0.95,0.85,0.7),1))</x:f>
        <x:v>0.08</x:v>
      </x:c>
      <x:c r="I45" s="11" t="n">
        <x:f>'先声新药假设'!H27</x:f>
        <x:v>0.9</x:v>
      </x:c>
      <x:c r="J45" s="11" t="n">
        <x:f>H45*I45</x:f>
        <x:v>0.07200000000000001</x:v>
      </x:c>
      <x:c r="K45" s="11" t="n">
        <x:f>'先声新药假设'!I27</x:f>
        <x:v>0.5</x:v>
      </x:c>
      <x:c r="L45" s="11" t="n">
        <x:f>'先声新药假设'!K27</x:f>
        <x:v>1</x:v>
      </x:c>
      <x:c r="M45" s="11" t="n">
        <x:f>1</x:f>
        <x:v>1</x:v>
      </x:c>
      <x:c r="N45" s="11" t="n">
        <x:f>'先声新药假设'!J27</x:f>
        <x:v>0.68</x:v>
      </x:c>
      <x:c r="O45" s="11" t="n">
        <x:f>'先声新药假设'!L27</x:f>
        <x:v>0</x:v>
      </x:c>
      <x:c r="P45" s="11" t="n">
        <x:f>J45*K45*L45*M45</x:f>
        <x:v>0.036000000000000004</x:v>
      </x:c>
      <x:c r="Q45" s="11" t="n">
        <x:f>P45*N45*(1-O45)</x:f>
        <x:v>0.024480000000000005</x:v>
      </x:c>
      <x:c r="R45" s="11" t="str">
        <x:v>CNY</x:v>
      </x:c>
    </x:row>
    <x:row r="46" ht="23" customHeight="1">
      <x:c r="A46" s="11" t="str">
        <x:v>02096.HK</x:v>
      </x:c>
      <x:c r="B46" s="11" t="str">
        <x:v>国内新药</x:v>
      </x:c>
      <x:c r="C46" s="11" t="str">
        <x:v>RSVtreatment</x:v>
      </x:c>
      <x:c r="D46" s="11" t="str">
        <x:v>other</x:v>
      </x:c>
      <x:c r="E46" s="11" t="n">
        <x:v>2030</x:v>
      </x:c>
      <x:c r="F46" s="11" t="n">
        <x:f>'先声新药假设'!G27</x:f>
        <x:v>2029</x:v>
      </x:c>
      <x:c r="G46" s="11" t="n">
        <x:f>E46-F46</x:f>
        <x:v>1</x:v>
      </x:c>
      <x:c r="H46" s="11" t="n">
        <x:f>IF(G46&lt;0,0,IF(G46&lt;10,CHOOSE(G46+1,0.08,0.2,0.4,0.65,0.85,1,1,0.95,0.85,0.7),1))</x:f>
        <x:v>0.2</x:v>
      </x:c>
      <x:c r="I46" s="11" t="n">
        <x:f>'先声新药假设'!H27</x:f>
        <x:v>0.9</x:v>
      </x:c>
      <x:c r="J46" s="11" t="n">
        <x:f>H46*I46</x:f>
        <x:v>0.18000000000000002</x:v>
      </x:c>
      <x:c r="K46" s="11" t="n">
        <x:f>'先声新药假设'!I27</x:f>
        <x:v>0.5</x:v>
      </x:c>
      <x:c r="L46" s="11" t="n">
        <x:f>'先声新药假设'!K27</x:f>
        <x:v>1</x:v>
      </x:c>
      <x:c r="M46" s="11" t="n">
        <x:f>1</x:f>
        <x:v>1</x:v>
      </x:c>
      <x:c r="N46" s="11" t="n">
        <x:f>'先声新药假设'!J27</x:f>
        <x:v>0.68</x:v>
      </x:c>
      <x:c r="O46" s="11" t="n">
        <x:f>'先声新药假设'!L27</x:f>
        <x:v>0</x:v>
      </x:c>
      <x:c r="P46" s="11" t="n">
        <x:f>J46*K46*L46*M46</x:f>
        <x:v>0.09000000000000001</x:v>
      </x:c>
      <x:c r="Q46" s="11" t="n">
        <x:f>P46*N46*(1-O46)</x:f>
        <x:v>0.06120000000000001</x:v>
      </x:c>
      <x:c r="R46" s="11" t="str">
        <x:v>CNY</x:v>
      </x:c>
    </x:row>
    <x:row r="47" ht="23" customHeight="1">
      <x:c r="A47" s="11" t="str">
        <x:v>02096.HK</x:v>
      </x:c>
      <x:c r="B47" s="11" t="str">
        <x:v>国内新药</x:v>
      </x:c>
      <x:c r="C47" s="11" t="str">
        <x:v>RSVtreatment</x:v>
      </x:c>
      <x:c r="D47" s="11" t="str">
        <x:v>other</x:v>
      </x:c>
      <x:c r="E47" s="11" t="n">
        <x:v>2031</x:v>
      </x:c>
      <x:c r="F47" s="11" t="n">
        <x:f>'先声新药假设'!G27</x:f>
        <x:v>2029</x:v>
      </x:c>
      <x:c r="G47" s="11" t="n">
        <x:f>E47-F47</x:f>
        <x:v>2</x:v>
      </x:c>
      <x:c r="H47" s="11" t="n">
        <x:f>IF(G47&lt;0,0,IF(G47&lt;10,CHOOSE(G47+1,0.08,0.2,0.4,0.65,0.85,1,1,0.95,0.85,0.7),1))</x:f>
        <x:v>0.4</x:v>
      </x:c>
      <x:c r="I47" s="11" t="n">
        <x:f>'先声新药假设'!H27</x:f>
        <x:v>0.9</x:v>
      </x:c>
      <x:c r="J47" s="11" t="n">
        <x:f>H47*I47</x:f>
        <x:v>0.36000000000000004</x:v>
      </x:c>
      <x:c r="K47" s="11" t="n">
        <x:f>'先声新药假设'!I27</x:f>
        <x:v>0.5</x:v>
      </x:c>
      <x:c r="L47" s="11" t="n">
        <x:f>'先声新药假设'!K27</x:f>
        <x:v>1</x:v>
      </x:c>
      <x:c r="M47" s="11" t="n">
        <x:f>1</x:f>
        <x:v>1</x:v>
      </x:c>
      <x:c r="N47" s="11" t="n">
        <x:f>'先声新药假设'!J27</x:f>
        <x:v>0.68</x:v>
      </x:c>
      <x:c r="O47" s="11" t="n">
        <x:f>'先声新药假设'!L27</x:f>
        <x:v>0</x:v>
      </x:c>
      <x:c r="P47" s="11" t="n">
        <x:f>J47*K47*L47*M47</x:f>
        <x:v>0.18000000000000002</x:v>
      </x:c>
      <x:c r="Q47" s="11" t="n">
        <x:f>P47*N47*(1-O47)</x:f>
        <x:v>0.12240000000000002</x:v>
      </x:c>
      <x:c r="R47" s="11" t="str">
        <x:v>CNY</x:v>
      </x:c>
    </x:row>
    <x:row r="48" ht="23" customHeight="1">
      <x:c r="A48" s="11" t="str">
        <x:v>02096.HK</x:v>
      </x:c>
      <x:c r="B48" s="11" t="str">
        <x:v>国内新药</x:v>
      </x:c>
      <x:c r="C48" s="11" t="str">
        <x:v>RSVtreatment</x:v>
      </x:c>
      <x:c r="D48" s="11" t="str">
        <x:v>other</x:v>
      </x:c>
      <x:c r="E48" s="11" t="n">
        <x:v>2032</x:v>
      </x:c>
      <x:c r="F48" s="11" t="n">
        <x:f>'先声新药假设'!G27</x:f>
        <x:v>2029</x:v>
      </x:c>
      <x:c r="G48" s="11" t="n">
        <x:f>E48-F48</x:f>
        <x:v>3</x:v>
      </x:c>
      <x:c r="H48" s="11" t="n">
        <x:f>IF(G48&lt;0,0,IF(G48&lt;10,CHOOSE(G48+1,0.08,0.2,0.4,0.65,0.85,1,1,0.95,0.85,0.7),1))</x:f>
        <x:v>0.65</x:v>
      </x:c>
      <x:c r="I48" s="11" t="n">
        <x:f>'先声新药假设'!H27</x:f>
        <x:v>0.9</x:v>
      </x:c>
      <x:c r="J48" s="11" t="n">
        <x:f>H48*I48</x:f>
        <x:v>0.5850000000000001</x:v>
      </x:c>
      <x:c r="K48" s="11" t="n">
        <x:f>'先声新药假设'!I27</x:f>
        <x:v>0.5</x:v>
      </x:c>
      <x:c r="L48" s="11" t="n">
        <x:f>'先声新药假设'!K27</x:f>
        <x:v>1</x:v>
      </x:c>
      <x:c r="M48" s="11" t="n">
        <x:f>1</x:f>
        <x:v>1</x:v>
      </x:c>
      <x:c r="N48" s="11" t="n">
        <x:f>'先声新药假设'!J27</x:f>
        <x:v>0.68</x:v>
      </x:c>
      <x:c r="O48" s="11" t="n">
        <x:f>'先声新药假设'!L27</x:f>
        <x:v>0</x:v>
      </x:c>
      <x:c r="P48" s="11" t="n">
        <x:f>J48*K48*L48*M48</x:f>
        <x:v>0.29250000000000004</x:v>
      </x:c>
      <x:c r="Q48" s="11" t="n">
        <x:f>P48*N48*(1-O48)</x:f>
        <x:v>0.19890000000000005</x:v>
      </x:c>
      <x:c r="R48" s="11" t="str">
        <x:v>CNY</x:v>
      </x:c>
    </x:row>
    <x:row r="49" ht="23" customHeight="1">
      <x:c r="A49" s="11" t="str">
        <x:v>02096.HK</x:v>
      </x:c>
      <x:c r="B49" s="11" t="str">
        <x:v>海外版税</x:v>
      </x:c>
      <x:c r="C49" s="11" t="str">
        <x:v>SIM0505</x:v>
      </x:c>
      <x:c r="D49" s="11" t="str">
        <x:v>onc</x:v>
      </x:c>
      <x:c r="E49" s="11" t="n">
        <x:v>2026</x:v>
      </x:c>
      <x:c r="F49" s="11" t="n">
        <x:f>'先声新药假设'!G31</x:f>
        <x:v>2029</x:v>
      </x:c>
      <x:c r="G49" s="11" t="n">
        <x:f>E49-F49</x:f>
        <x:v>-3</x:v>
      </x:c>
      <x:c r="H49" s="11" t="n">
        <x:f>IF(G49&lt;0,0,IF(G49&lt;10,CHOOSE(G49+1,0.08,0.2,0.4,0.65,0.85,1,1,0.95,0.85,0.7),1))</x:f>
        <x:v>0</x:v>
      </x:c>
      <x:c r="I49" s="11" t="n">
        <x:f>'先声新药假设'!H31</x:f>
        <x:v>1.5</x:v>
      </x:c>
      <x:c r="J49" s="11" t="n">
        <x:f>H49*I49</x:f>
        <x:v>0</x:v>
      </x:c>
      <x:c r="K49" s="11" t="n">
        <x:f>'先声新药假设'!I31</x:f>
        <x:v>0.3</x:v>
      </x:c>
      <x:c r="L49" s="11" t="n">
        <x:f>'先声新药假设'!K31</x:f>
        <x:v>0.12</x:v>
      </x:c>
      <x:c r="M49" s="11" t="n">
        <x:f>'先声资金假设'!AA7</x:f>
        <x:v>7</x:v>
      </x:c>
      <x:c r="N49" s="11" t="n">
        <x:f>'先声新药假设'!J31</x:f>
        <x:v>1</x:v>
      </x:c>
      <x:c r="O49" s="11" t="n">
        <x:f>'先声新药假设'!L31</x:f>
        <x:v>0.08</x:v>
      </x:c>
      <x:c r="P49" s="11" t="n">
        <x:f>J49*K49*L49*M49</x:f>
        <x:v>0</x:v>
      </x:c>
      <x:c r="Q49" s="11" t="n">
        <x:f>P49*N49*(1-O49)</x:f>
        <x:v>0</x:v>
      </x:c>
      <x:c r="R49" s="11" t="str">
        <x:v>USD</x:v>
      </x:c>
    </x:row>
    <x:row r="50" ht="23" customHeight="1">
      <x:c r="A50" s="11" t="str">
        <x:v>02096.HK</x:v>
      </x:c>
      <x:c r="B50" s="11" t="str">
        <x:v>海外版税</x:v>
      </x:c>
      <x:c r="C50" s="11" t="str">
        <x:v>SIM0505</x:v>
      </x:c>
      <x:c r="D50" s="11" t="str">
        <x:v>onc</x:v>
      </x:c>
      <x:c r="E50" s="11" t="n">
        <x:v>2027</x:v>
      </x:c>
      <x:c r="F50" s="11" t="n">
        <x:f>'先声新药假设'!G31</x:f>
        <x:v>2029</x:v>
      </x:c>
      <x:c r="G50" s="11" t="n">
        <x:f>E50-F50</x:f>
        <x:v>-2</x:v>
      </x:c>
      <x:c r="H50" s="11" t="n">
        <x:f>IF(G50&lt;0,0,IF(G50&lt;10,CHOOSE(G50+1,0.08,0.2,0.4,0.65,0.85,1,1,0.95,0.85,0.7),1))</x:f>
        <x:v>0</x:v>
      </x:c>
      <x:c r="I50" s="11" t="n">
        <x:f>'先声新药假设'!H31</x:f>
        <x:v>1.5</x:v>
      </x:c>
      <x:c r="J50" s="11" t="n">
        <x:f>H50*I50</x:f>
        <x:v>0</x:v>
      </x:c>
      <x:c r="K50" s="11" t="n">
        <x:f>'先声新药假设'!I31</x:f>
        <x:v>0.3</x:v>
      </x:c>
      <x:c r="L50" s="11" t="n">
        <x:f>'先声新药假设'!K31</x:f>
        <x:v>0.12</x:v>
      </x:c>
      <x:c r="M50" s="11" t="n">
        <x:f>'先声资金假设'!AA7</x:f>
        <x:v>7</x:v>
      </x:c>
      <x:c r="N50" s="11" t="n">
        <x:f>'先声新药假设'!J31</x:f>
        <x:v>1</x:v>
      </x:c>
      <x:c r="O50" s="11" t="n">
        <x:f>'先声新药假设'!L31</x:f>
        <x:v>0.08</x:v>
      </x:c>
      <x:c r="P50" s="11" t="n">
        <x:f>J50*K50*L50*M50</x:f>
        <x:v>0</x:v>
      </x:c>
      <x:c r="Q50" s="11" t="n">
        <x:f>P50*N50*(1-O50)</x:f>
        <x:v>0</x:v>
      </x:c>
      <x:c r="R50" s="11" t="str">
        <x:v>USD</x:v>
      </x:c>
    </x:row>
    <x:row r="51" ht="23" customHeight="1">
      <x:c r="A51" s="11" t="str">
        <x:v>02096.HK</x:v>
      </x:c>
      <x:c r="B51" s="11" t="str">
        <x:v>海外版税</x:v>
      </x:c>
      <x:c r="C51" s="11" t="str">
        <x:v>SIM0505</x:v>
      </x:c>
      <x:c r="D51" s="11" t="str">
        <x:v>onc</x:v>
      </x:c>
      <x:c r="E51" s="11" t="n">
        <x:v>2028</x:v>
      </x:c>
      <x:c r="F51" s="11" t="n">
        <x:f>'先声新药假设'!G31</x:f>
        <x:v>2029</x:v>
      </x:c>
      <x:c r="G51" s="11" t="n">
        <x:f>E51-F51</x:f>
        <x:v>-1</x:v>
      </x:c>
      <x:c r="H51" s="11" t="n">
        <x:f>IF(G51&lt;0,0,IF(G51&lt;10,CHOOSE(G51+1,0.08,0.2,0.4,0.65,0.85,1,1,0.95,0.85,0.7),1))</x:f>
        <x:v>0</x:v>
      </x:c>
      <x:c r="I51" s="11" t="n">
        <x:f>'先声新药假设'!H31</x:f>
        <x:v>1.5</x:v>
      </x:c>
      <x:c r="J51" s="11" t="n">
        <x:f>H51*I51</x:f>
        <x:v>0</x:v>
      </x:c>
      <x:c r="K51" s="11" t="n">
        <x:f>'先声新药假设'!I31</x:f>
        <x:v>0.3</x:v>
      </x:c>
      <x:c r="L51" s="11" t="n">
        <x:f>'先声新药假设'!K31</x:f>
        <x:v>0.12</x:v>
      </x:c>
      <x:c r="M51" s="11" t="n">
        <x:f>'先声资金假设'!AA7</x:f>
        <x:v>7</x:v>
      </x:c>
      <x:c r="N51" s="11" t="n">
        <x:f>'先声新药假设'!J31</x:f>
        <x:v>1</x:v>
      </x:c>
      <x:c r="O51" s="11" t="n">
        <x:f>'先声新药假设'!L31</x:f>
        <x:v>0.08</x:v>
      </x:c>
      <x:c r="P51" s="11" t="n">
        <x:f>J51*K51*L51*M51</x:f>
        <x:v>0</x:v>
      </x:c>
      <x:c r="Q51" s="11" t="n">
        <x:f>P51*N51*(1-O51)</x:f>
        <x:v>0</x:v>
      </x:c>
      <x:c r="R51" s="11" t="str">
        <x:v>USD</x:v>
      </x:c>
    </x:row>
    <x:row r="52" ht="23" customHeight="1">
      <x:c r="A52" s="11" t="str">
        <x:v>02096.HK</x:v>
      </x:c>
      <x:c r="B52" s="11" t="str">
        <x:v>海外版税</x:v>
      </x:c>
      <x:c r="C52" s="11" t="str">
        <x:v>SIM0505</x:v>
      </x:c>
      <x:c r="D52" s="11" t="str">
        <x:v>onc</x:v>
      </x:c>
      <x:c r="E52" s="11" t="n">
        <x:v>2029</x:v>
      </x:c>
      <x:c r="F52" s="11" t="n">
        <x:f>'先声新药假设'!G31</x:f>
        <x:v>2029</x:v>
      </x:c>
      <x:c r="G52" s="11" t="n">
        <x:f>E52-F52</x:f>
        <x:v>0</x:v>
      </x:c>
      <x:c r="H52" s="11" t="n">
        <x:f>IF(G52&lt;0,0,IF(G52&lt;10,CHOOSE(G52+1,0.08,0.2,0.4,0.65,0.85,1,1,0.95,0.85,0.7),1))</x:f>
        <x:v>0.08</x:v>
      </x:c>
      <x:c r="I52" s="11" t="n">
        <x:f>'先声新药假设'!H31</x:f>
        <x:v>1.5</x:v>
      </x:c>
      <x:c r="J52" s="11" t="n">
        <x:f>H52*I52</x:f>
        <x:v>0.12</x:v>
      </x:c>
      <x:c r="K52" s="11" t="n">
        <x:f>'先声新药假设'!I31</x:f>
        <x:v>0.3</x:v>
      </x:c>
      <x:c r="L52" s="11" t="n">
        <x:f>'先声新药假设'!K31</x:f>
        <x:v>0.12</x:v>
      </x:c>
      <x:c r="M52" s="11" t="n">
        <x:f>'先声资金假设'!AA7</x:f>
        <x:v>7</x:v>
      </x:c>
      <x:c r="N52" s="11" t="n">
        <x:f>'先声新药假设'!J31</x:f>
        <x:v>1</x:v>
      </x:c>
      <x:c r="O52" s="11" t="n">
        <x:f>'先声新药假设'!L31</x:f>
        <x:v>0.08</x:v>
      </x:c>
      <x:c r="P52" s="11" t="n">
        <x:f>J52*K52*L52*M52</x:f>
        <x:v>0.030239999999999996</x:v>
      </x:c>
      <x:c r="Q52" s="11" t="n">
        <x:f>P52*N52*(1-O52)</x:f>
        <x:v>0.027820799999999996</x:v>
      </x:c>
      <x:c r="R52" s="11" t="str">
        <x:v>USD</x:v>
      </x:c>
    </x:row>
    <x:row r="53" ht="23" customHeight="1">
      <x:c r="A53" s="11" t="str">
        <x:v>02096.HK</x:v>
      </x:c>
      <x:c r="B53" s="11" t="str">
        <x:v>海外版税</x:v>
      </x:c>
      <x:c r="C53" s="11" t="str">
        <x:v>SIM0505</x:v>
      </x:c>
      <x:c r="D53" s="11" t="str">
        <x:v>onc</x:v>
      </x:c>
      <x:c r="E53" s="11" t="n">
        <x:v>2030</x:v>
      </x:c>
      <x:c r="F53" s="11" t="n">
        <x:f>'先声新药假设'!G31</x:f>
        <x:v>2029</x:v>
      </x:c>
      <x:c r="G53" s="11" t="n">
        <x:f>E53-F53</x:f>
        <x:v>1</x:v>
      </x:c>
      <x:c r="H53" s="11" t="n">
        <x:f>IF(G53&lt;0,0,IF(G53&lt;10,CHOOSE(G53+1,0.08,0.2,0.4,0.65,0.85,1,1,0.95,0.85,0.7),1))</x:f>
        <x:v>0.2</x:v>
      </x:c>
      <x:c r="I53" s="11" t="n">
        <x:f>'先声新药假设'!H31</x:f>
        <x:v>1.5</x:v>
      </x:c>
      <x:c r="J53" s="11" t="n">
        <x:f>H53*I53</x:f>
        <x:v>0.30000000000000004</x:v>
      </x:c>
      <x:c r="K53" s="11" t="n">
        <x:f>'先声新药假设'!I31</x:f>
        <x:v>0.3</x:v>
      </x:c>
      <x:c r="L53" s="11" t="n">
        <x:f>'先声新药假设'!K31</x:f>
        <x:v>0.12</x:v>
      </x:c>
      <x:c r="M53" s="11" t="n">
        <x:f>'先声资金假设'!AA7</x:f>
        <x:v>7</x:v>
      </x:c>
      <x:c r="N53" s="11" t="n">
        <x:f>'先声新药假设'!J31</x:f>
        <x:v>1</x:v>
      </x:c>
      <x:c r="O53" s="11" t="n">
        <x:f>'先声新药假设'!L31</x:f>
        <x:v>0.08</x:v>
      </x:c>
      <x:c r="P53" s="11" t="n">
        <x:f>J53*K53*L53*M53</x:f>
        <x:v>0.0756</x:v>
      </x:c>
      <x:c r="Q53" s="11" t="n">
        <x:f>P53*N53*(1-O53)</x:f>
        <x:v>0.069552</x:v>
      </x:c>
      <x:c r="R53" s="11" t="str">
        <x:v>USD</x:v>
      </x:c>
    </x:row>
    <x:row r="54" ht="23" customHeight="1">
      <x:c r="A54" s="11" t="str">
        <x:v>02096.HK</x:v>
      </x:c>
      <x:c r="B54" s="11" t="str">
        <x:v>海外版税</x:v>
      </x:c>
      <x:c r="C54" s="11" t="str">
        <x:v>SIM0505</x:v>
      </x:c>
      <x:c r="D54" s="11" t="str">
        <x:v>onc</x:v>
      </x:c>
      <x:c r="E54" s="11" t="n">
        <x:v>2031</x:v>
      </x:c>
      <x:c r="F54" s="11" t="n">
        <x:f>'先声新药假设'!G31</x:f>
        <x:v>2029</x:v>
      </x:c>
      <x:c r="G54" s="11" t="n">
        <x:f>E54-F54</x:f>
        <x:v>2</x:v>
      </x:c>
      <x:c r="H54" s="11" t="n">
        <x:f>IF(G54&lt;0,0,IF(G54&lt;10,CHOOSE(G54+1,0.08,0.2,0.4,0.65,0.85,1,1,0.95,0.85,0.7),1))</x:f>
        <x:v>0.4</x:v>
      </x:c>
      <x:c r="I54" s="11" t="n">
        <x:f>'先声新药假设'!H31</x:f>
        <x:v>1.5</x:v>
      </x:c>
      <x:c r="J54" s="11" t="n">
        <x:f>H54*I54</x:f>
        <x:v>0.6000000000000001</x:v>
      </x:c>
      <x:c r="K54" s="11" t="n">
        <x:f>'先声新药假设'!I31</x:f>
        <x:v>0.3</x:v>
      </x:c>
      <x:c r="L54" s="11" t="n">
        <x:f>'先声新药假设'!K31</x:f>
        <x:v>0.12</x:v>
      </x:c>
      <x:c r="M54" s="11" t="n">
        <x:f>'先声资金假设'!AA7</x:f>
        <x:v>7</x:v>
      </x:c>
      <x:c r="N54" s="11" t="n">
        <x:f>'先声新药假设'!J31</x:f>
        <x:v>1</x:v>
      </x:c>
      <x:c r="O54" s="11" t="n">
        <x:f>'先声新药假设'!L31</x:f>
        <x:v>0.08</x:v>
      </x:c>
      <x:c r="P54" s="11" t="n">
        <x:f>J54*K54*L54*M54</x:f>
        <x:v>0.1512</x:v>
      </x:c>
      <x:c r="Q54" s="11" t="n">
        <x:f>P54*N54*(1-O54)</x:f>
        <x:v>0.139104</x:v>
      </x:c>
      <x:c r="R54" s="11" t="str">
        <x:v>USD</x:v>
      </x:c>
    </x:row>
    <x:row r="55" ht="23" customHeight="1">
      <x:c r="A55" s="11" t="str">
        <x:v>02096.HK</x:v>
      </x:c>
      <x:c r="B55" s="11" t="str">
        <x:v>海外版税</x:v>
      </x:c>
      <x:c r="C55" s="11" t="str">
        <x:v>SIM0505</x:v>
      </x:c>
      <x:c r="D55" s="11" t="str">
        <x:v>onc</x:v>
      </x:c>
      <x:c r="E55" s="11" t="n">
        <x:v>2032</x:v>
      </x:c>
      <x:c r="F55" s="11" t="n">
        <x:f>'先声新药假设'!G31</x:f>
        <x:v>2029</x:v>
      </x:c>
      <x:c r="G55" s="11" t="n">
        <x:f>E55-F55</x:f>
        <x:v>3</x:v>
      </x:c>
      <x:c r="H55" s="11" t="n">
        <x:f>IF(G55&lt;0,0,IF(G55&lt;10,CHOOSE(G55+1,0.08,0.2,0.4,0.65,0.85,1,1,0.95,0.85,0.7),1))</x:f>
        <x:v>0.65</x:v>
      </x:c>
      <x:c r="I55" s="11" t="n">
        <x:f>'先声新药假设'!H31</x:f>
        <x:v>1.5</x:v>
      </x:c>
      <x:c r="J55" s="11" t="n">
        <x:f>H55*I55</x:f>
        <x:v>0.9750000000000001</x:v>
      </x:c>
      <x:c r="K55" s="11" t="n">
        <x:f>'先声新药假设'!I31</x:f>
        <x:v>0.3</x:v>
      </x:c>
      <x:c r="L55" s="11" t="n">
        <x:f>'先声新药假设'!K31</x:f>
        <x:v>0.12</x:v>
      </x:c>
      <x:c r="M55" s="11" t="n">
        <x:f>'先声资金假设'!AA7</x:f>
        <x:v>7</x:v>
      </x:c>
      <x:c r="N55" s="11" t="n">
        <x:f>'先声新药假设'!J31</x:f>
        <x:v>1</x:v>
      </x:c>
      <x:c r="O55" s="11" t="n">
        <x:f>'先声新药假设'!L31</x:f>
        <x:v>0.08</x:v>
      </x:c>
      <x:c r="P55" s="11" t="n">
        <x:f>J55*K55*L55*M55</x:f>
        <x:v>0.24570000000000003</x:v>
      </x:c>
      <x:c r="Q55" s="11" t="n">
        <x:f>P55*N55*(1-O55)</x:f>
        <x:v>0.22604400000000005</x:v>
      </x:c>
      <x:c r="R55" s="11" t="str">
        <x:v>USD</x:v>
      </x:c>
    </x:row>
    <x:row r="56" ht="23" customHeight="1">
      <x:c r="A56" s="11" t="str">
        <x:v>02096.HK</x:v>
      </x:c>
      <x:c r="B56" s="11" t="str">
        <x:v>海外版税</x:v>
      </x:c>
      <x:c r="C56" s="11" t="str">
        <x:v>SIM0278</x:v>
      </x:c>
      <x:c r="D56" s="11" t="str">
        <x:v>auto</x:v>
      </x:c>
      <x:c r="E56" s="11" t="n">
        <x:v>2026</x:v>
      </x:c>
      <x:c r="F56" s="11" t="n">
        <x:f>'先声新药假设'!G35</x:f>
        <x:v>2030</x:v>
      </x:c>
      <x:c r="G56" s="11" t="n">
        <x:f>E56-F56</x:f>
        <x:v>-4</x:v>
      </x:c>
      <x:c r="H56" s="11" t="n">
        <x:f>IF(G56&lt;0,0,IF(G56&lt;10,CHOOSE(G56+1,0.08,0.2,0.4,0.65,0.85,1,1,0.95,0.85,0.7),1))</x:f>
        <x:v>0</x:v>
      </x:c>
      <x:c r="I56" s="11" t="n">
        <x:f>'先声新药假设'!H35</x:f>
        <x:v>1</x:v>
      </x:c>
      <x:c r="J56" s="11" t="n">
        <x:f>H56*I56</x:f>
        <x:v>0</x:v>
      </x:c>
      <x:c r="K56" s="11" t="n">
        <x:f>'先声新药假设'!I35</x:f>
        <x:v>0.3</x:v>
      </x:c>
      <x:c r="L56" s="11" t="n">
        <x:f>'先声新药假设'!K35</x:f>
        <x:v>0.1</x:v>
      </x:c>
      <x:c r="M56" s="11" t="n">
        <x:f>'先声资金假设'!AA7</x:f>
        <x:v>7</x:v>
      </x:c>
      <x:c r="N56" s="11" t="n">
        <x:f>'先声新药假设'!J35</x:f>
        <x:v>1</x:v>
      </x:c>
      <x:c r="O56" s="11" t="n">
        <x:f>'先声新药假设'!L35</x:f>
        <x:v>0.08</x:v>
      </x:c>
      <x:c r="P56" s="11" t="n">
        <x:f>J56*K56*L56*M56</x:f>
        <x:v>0</x:v>
      </x:c>
      <x:c r="Q56" s="11" t="n">
        <x:f>P56*N56*(1-O56)</x:f>
        <x:v>0</x:v>
      </x:c>
      <x:c r="R56" s="11" t="str">
        <x:v>USD</x:v>
      </x:c>
    </x:row>
    <x:row r="57" ht="23" customHeight="1">
      <x:c r="A57" s="11" t="str">
        <x:v>02096.HK</x:v>
      </x:c>
      <x:c r="B57" s="11" t="str">
        <x:v>海外版税</x:v>
      </x:c>
      <x:c r="C57" s="11" t="str">
        <x:v>SIM0278</x:v>
      </x:c>
      <x:c r="D57" s="11" t="str">
        <x:v>auto</x:v>
      </x:c>
      <x:c r="E57" s="11" t="n">
        <x:v>2027</x:v>
      </x:c>
      <x:c r="F57" s="11" t="n">
        <x:f>'先声新药假设'!G35</x:f>
        <x:v>2030</x:v>
      </x:c>
      <x:c r="G57" s="11" t="n">
        <x:f>E57-F57</x:f>
        <x:v>-3</x:v>
      </x:c>
      <x:c r="H57" s="11" t="n">
        <x:f>IF(G57&lt;0,0,IF(G57&lt;10,CHOOSE(G57+1,0.08,0.2,0.4,0.65,0.85,1,1,0.95,0.85,0.7),1))</x:f>
        <x:v>0</x:v>
      </x:c>
      <x:c r="I57" s="11" t="n">
        <x:f>'先声新药假设'!H35</x:f>
        <x:v>1</x:v>
      </x:c>
      <x:c r="J57" s="11" t="n">
        <x:f>H57*I57</x:f>
        <x:v>0</x:v>
      </x:c>
      <x:c r="K57" s="11" t="n">
        <x:f>'先声新药假设'!I35</x:f>
        <x:v>0.3</x:v>
      </x:c>
      <x:c r="L57" s="11" t="n">
        <x:f>'先声新药假设'!K35</x:f>
        <x:v>0.1</x:v>
      </x:c>
      <x:c r="M57" s="11" t="n">
        <x:f>'先声资金假设'!AA7</x:f>
        <x:v>7</x:v>
      </x:c>
      <x:c r="N57" s="11" t="n">
        <x:f>'先声新药假设'!J35</x:f>
        <x:v>1</x:v>
      </x:c>
      <x:c r="O57" s="11" t="n">
        <x:f>'先声新药假设'!L35</x:f>
        <x:v>0.08</x:v>
      </x:c>
      <x:c r="P57" s="11" t="n">
        <x:f>J57*K57*L57*M57</x:f>
        <x:v>0</x:v>
      </x:c>
      <x:c r="Q57" s="11" t="n">
        <x:f>P57*N57*(1-O57)</x:f>
        <x:v>0</x:v>
      </x:c>
      <x:c r="R57" s="11" t="str">
        <x:v>USD</x:v>
      </x:c>
    </x:row>
    <x:row r="58" ht="23" customHeight="1">
      <x:c r="A58" s="11" t="str">
        <x:v>02096.HK</x:v>
      </x:c>
      <x:c r="B58" s="11" t="str">
        <x:v>海外版税</x:v>
      </x:c>
      <x:c r="C58" s="11" t="str">
        <x:v>SIM0278</x:v>
      </x:c>
      <x:c r="D58" s="11" t="str">
        <x:v>auto</x:v>
      </x:c>
      <x:c r="E58" s="11" t="n">
        <x:v>2028</x:v>
      </x:c>
      <x:c r="F58" s="11" t="n">
        <x:f>'先声新药假设'!G35</x:f>
        <x:v>2030</x:v>
      </x:c>
      <x:c r="G58" s="11" t="n">
        <x:f>E58-F58</x:f>
        <x:v>-2</x:v>
      </x:c>
      <x:c r="H58" s="11" t="n">
        <x:f>IF(G58&lt;0,0,IF(G58&lt;10,CHOOSE(G58+1,0.08,0.2,0.4,0.65,0.85,1,1,0.95,0.85,0.7),1))</x:f>
        <x:v>0</x:v>
      </x:c>
      <x:c r="I58" s="11" t="n">
        <x:f>'先声新药假设'!H35</x:f>
        <x:v>1</x:v>
      </x:c>
      <x:c r="J58" s="11" t="n">
        <x:f>H58*I58</x:f>
        <x:v>0</x:v>
      </x:c>
      <x:c r="K58" s="11" t="n">
        <x:f>'先声新药假设'!I35</x:f>
        <x:v>0.3</x:v>
      </x:c>
      <x:c r="L58" s="11" t="n">
        <x:f>'先声新药假设'!K35</x:f>
        <x:v>0.1</x:v>
      </x:c>
      <x:c r="M58" s="11" t="n">
        <x:f>'先声资金假设'!AA7</x:f>
        <x:v>7</x:v>
      </x:c>
      <x:c r="N58" s="11" t="n">
        <x:f>'先声新药假设'!J35</x:f>
        <x:v>1</x:v>
      </x:c>
      <x:c r="O58" s="11" t="n">
        <x:f>'先声新药假设'!L35</x:f>
        <x:v>0.08</x:v>
      </x:c>
      <x:c r="P58" s="11" t="n">
        <x:f>J58*K58*L58*M58</x:f>
        <x:v>0</x:v>
      </x:c>
      <x:c r="Q58" s="11" t="n">
        <x:f>P58*N58*(1-O58)</x:f>
        <x:v>0</x:v>
      </x:c>
      <x:c r="R58" s="11" t="str">
        <x:v>USD</x:v>
      </x:c>
    </x:row>
    <x:row r="59" ht="23" customHeight="1">
      <x:c r="A59" s="11" t="str">
        <x:v>02096.HK</x:v>
      </x:c>
      <x:c r="B59" s="11" t="str">
        <x:v>海外版税</x:v>
      </x:c>
      <x:c r="C59" s="11" t="str">
        <x:v>SIM0278</x:v>
      </x:c>
      <x:c r="D59" s="11" t="str">
        <x:v>auto</x:v>
      </x:c>
      <x:c r="E59" s="11" t="n">
        <x:v>2029</x:v>
      </x:c>
      <x:c r="F59" s="11" t="n">
        <x:f>'先声新药假设'!G35</x:f>
        <x:v>2030</x:v>
      </x:c>
      <x:c r="G59" s="11" t="n">
        <x:f>E59-F59</x:f>
        <x:v>-1</x:v>
      </x:c>
      <x:c r="H59" s="11" t="n">
        <x:f>IF(G59&lt;0,0,IF(G59&lt;10,CHOOSE(G59+1,0.08,0.2,0.4,0.65,0.85,1,1,0.95,0.85,0.7),1))</x:f>
        <x:v>0</x:v>
      </x:c>
      <x:c r="I59" s="11" t="n">
        <x:f>'先声新药假设'!H35</x:f>
        <x:v>1</x:v>
      </x:c>
      <x:c r="J59" s="11" t="n">
        <x:f>H59*I59</x:f>
        <x:v>0</x:v>
      </x:c>
      <x:c r="K59" s="11" t="n">
        <x:f>'先声新药假设'!I35</x:f>
        <x:v>0.3</x:v>
      </x:c>
      <x:c r="L59" s="11" t="n">
        <x:f>'先声新药假设'!K35</x:f>
        <x:v>0.1</x:v>
      </x:c>
      <x:c r="M59" s="11" t="n">
        <x:f>'先声资金假设'!AA7</x:f>
        <x:v>7</x:v>
      </x:c>
      <x:c r="N59" s="11" t="n">
        <x:f>'先声新药假设'!J35</x:f>
        <x:v>1</x:v>
      </x:c>
      <x:c r="O59" s="11" t="n">
        <x:f>'先声新药假设'!L35</x:f>
        <x:v>0.08</x:v>
      </x:c>
      <x:c r="P59" s="11" t="n">
        <x:f>J59*K59*L59*M59</x:f>
        <x:v>0</x:v>
      </x:c>
      <x:c r="Q59" s="11" t="n">
        <x:f>P59*N59*(1-O59)</x:f>
        <x:v>0</x:v>
      </x:c>
      <x:c r="R59" s="11" t="str">
        <x:v>USD</x:v>
      </x:c>
    </x:row>
    <x:row r="60" ht="23" customHeight="1">
      <x:c r="A60" s="11" t="str">
        <x:v>02096.HK</x:v>
      </x:c>
      <x:c r="B60" s="11" t="str">
        <x:v>海外版税</x:v>
      </x:c>
      <x:c r="C60" s="11" t="str">
        <x:v>SIM0278</x:v>
      </x:c>
      <x:c r="D60" s="11" t="str">
        <x:v>auto</x:v>
      </x:c>
      <x:c r="E60" s="11" t="n">
        <x:v>2030</x:v>
      </x:c>
      <x:c r="F60" s="11" t="n">
        <x:f>'先声新药假设'!G35</x:f>
        <x:v>2030</x:v>
      </x:c>
      <x:c r="G60" s="11" t="n">
        <x:f>E60-F60</x:f>
        <x:v>0</x:v>
      </x:c>
      <x:c r="H60" s="11" t="n">
        <x:f>IF(G60&lt;0,0,IF(G60&lt;10,CHOOSE(G60+1,0.08,0.2,0.4,0.65,0.85,1,1,0.95,0.85,0.7),1))</x:f>
        <x:v>0.08</x:v>
      </x:c>
      <x:c r="I60" s="11" t="n">
        <x:f>'先声新药假设'!H35</x:f>
        <x:v>1</x:v>
      </x:c>
      <x:c r="J60" s="11" t="n">
        <x:f>H60*I60</x:f>
        <x:v>0.08</x:v>
      </x:c>
      <x:c r="K60" s="11" t="n">
        <x:f>'先声新药假设'!I35</x:f>
        <x:v>0.3</x:v>
      </x:c>
      <x:c r="L60" s="11" t="n">
        <x:f>'先声新药假设'!K35</x:f>
        <x:v>0.1</x:v>
      </x:c>
      <x:c r="M60" s="11" t="n">
        <x:f>'先声资金假设'!AA7</x:f>
        <x:v>7</x:v>
      </x:c>
      <x:c r="N60" s="11" t="n">
        <x:f>'先声新药假设'!J35</x:f>
        <x:v>1</x:v>
      </x:c>
      <x:c r="O60" s="11" t="n">
        <x:f>'先声新药假设'!L35</x:f>
        <x:v>0.08</x:v>
      </x:c>
      <x:c r="P60" s="11" t="n">
        <x:f>J60*K60*L60*M60</x:f>
        <x:v>0.016800000000000002</x:v>
      </x:c>
      <x:c r="Q60" s="11" t="n">
        <x:f>P60*N60*(1-O60)</x:f>
        <x:v>0.015456000000000003</x:v>
      </x:c>
      <x:c r="R60" s="11" t="str">
        <x:v>USD</x:v>
      </x:c>
    </x:row>
    <x:row r="61" ht="23" customHeight="1">
      <x:c r="A61" s="11" t="str">
        <x:v>02096.HK</x:v>
      </x:c>
      <x:c r="B61" s="11" t="str">
        <x:v>海外版税</x:v>
      </x:c>
      <x:c r="C61" s="11" t="str">
        <x:v>SIM0278</x:v>
      </x:c>
      <x:c r="D61" s="11" t="str">
        <x:v>auto</x:v>
      </x:c>
      <x:c r="E61" s="11" t="n">
        <x:v>2031</x:v>
      </x:c>
      <x:c r="F61" s="11" t="n">
        <x:f>'先声新药假设'!G35</x:f>
        <x:v>2030</x:v>
      </x:c>
      <x:c r="G61" s="11" t="n">
        <x:f>E61-F61</x:f>
        <x:v>1</x:v>
      </x:c>
      <x:c r="H61" s="11" t="n">
        <x:f>IF(G61&lt;0,0,IF(G61&lt;10,CHOOSE(G61+1,0.08,0.2,0.4,0.65,0.85,1,1,0.95,0.85,0.7),1))</x:f>
        <x:v>0.2</x:v>
      </x:c>
      <x:c r="I61" s="11" t="n">
        <x:f>'先声新药假设'!H35</x:f>
        <x:v>1</x:v>
      </x:c>
      <x:c r="J61" s="11" t="n">
        <x:f>H61*I61</x:f>
        <x:v>0.2</x:v>
      </x:c>
      <x:c r="K61" s="11" t="n">
        <x:f>'先声新药假设'!I35</x:f>
        <x:v>0.3</x:v>
      </x:c>
      <x:c r="L61" s="11" t="n">
        <x:f>'先声新药假设'!K35</x:f>
        <x:v>0.1</x:v>
      </x:c>
      <x:c r="M61" s="11" t="n">
        <x:f>'先声资金假设'!AA7</x:f>
        <x:v>7</x:v>
      </x:c>
      <x:c r="N61" s="11" t="n">
        <x:f>'先声新药假设'!J35</x:f>
        <x:v>1</x:v>
      </x:c>
      <x:c r="O61" s="11" t="n">
        <x:f>'先声新药假设'!L35</x:f>
        <x:v>0.08</x:v>
      </x:c>
      <x:c r="P61" s="11" t="n">
        <x:f>J61*K61*L61*M61</x:f>
        <x:v>0.042</x:v>
      </x:c>
      <x:c r="Q61" s="11" t="n">
        <x:f>P61*N61*(1-O61)</x:f>
        <x:v>0.03864</x:v>
      </x:c>
      <x:c r="R61" s="11" t="str">
        <x:v>USD</x:v>
      </x:c>
    </x:row>
    <x:row r="62" ht="23" customHeight="1">
      <x:c r="A62" s="11" t="str">
        <x:v>02096.HK</x:v>
      </x:c>
      <x:c r="B62" s="11" t="str">
        <x:v>海外版税</x:v>
      </x:c>
      <x:c r="C62" s="11" t="str">
        <x:v>SIM0278</x:v>
      </x:c>
      <x:c r="D62" s="11" t="str">
        <x:v>auto</x:v>
      </x:c>
      <x:c r="E62" s="11" t="n">
        <x:v>2032</x:v>
      </x:c>
      <x:c r="F62" s="11" t="n">
        <x:f>'先声新药假设'!G35</x:f>
        <x:v>2030</x:v>
      </x:c>
      <x:c r="G62" s="11" t="n">
        <x:f>E62-F62</x:f>
        <x:v>2</x:v>
      </x:c>
      <x:c r="H62" s="11" t="n">
        <x:f>IF(G62&lt;0,0,IF(G62&lt;10,CHOOSE(G62+1,0.08,0.2,0.4,0.65,0.85,1,1,0.95,0.85,0.7),1))</x:f>
        <x:v>0.4</x:v>
      </x:c>
      <x:c r="I62" s="11" t="n">
        <x:f>'先声新药假设'!H35</x:f>
        <x:v>1</x:v>
      </x:c>
      <x:c r="J62" s="11" t="n">
        <x:f>H62*I62</x:f>
        <x:v>0.4</x:v>
      </x:c>
      <x:c r="K62" s="11" t="n">
        <x:f>'先声新药假设'!I35</x:f>
        <x:v>0.3</x:v>
      </x:c>
      <x:c r="L62" s="11" t="n">
        <x:f>'先声新药假设'!K35</x:f>
        <x:v>0.1</x:v>
      </x:c>
      <x:c r="M62" s="11" t="n">
        <x:f>'先声资金假设'!AA7</x:f>
        <x:v>7</x:v>
      </x:c>
      <x:c r="N62" s="11" t="n">
        <x:f>'先声新药假设'!J35</x:f>
        <x:v>1</x:v>
      </x:c>
      <x:c r="O62" s="11" t="n">
        <x:f>'先声新药假设'!L35</x:f>
        <x:v>0.08</x:v>
      </x:c>
      <x:c r="P62" s="11" t="n">
        <x:f>J62*K62*L62*M62</x:f>
        <x:v>0.084</x:v>
      </x:c>
      <x:c r="Q62" s="11" t="n">
        <x:f>P62*N62*(1-O62)</x:f>
        <x:v>0.07728</x:v>
      </x:c>
      <x:c r="R62" s="11" t="str">
        <x:v>USD</x:v>
      </x:c>
    </x:row>
    <x:row r="63" ht="23" customHeight="1">
      <x:c r="A63" s="11" t="str">
        <x:v>02096.HK</x:v>
      </x:c>
      <x:c r="B63" s="11" t="str">
        <x:v>海外版税</x:v>
      </x:c>
      <x:c r="C63" s="11" t="str">
        <x:v>SIM0500</x:v>
      </x:c>
      <x:c r="D63" s="11" t="str">
        <x:v>onc</x:v>
      </x:c>
      <x:c r="E63" s="11" t="n">
        <x:v>2026</x:v>
      </x:c>
      <x:c r="F63" s="11" t="n">
        <x:f>'先声新药假设'!G39</x:f>
        <x:v>2031</x:v>
      </x:c>
      <x:c r="G63" s="11" t="n">
        <x:f>E63-F63</x:f>
        <x:v>-5</x:v>
      </x:c>
      <x:c r="H63" s="11" t="n">
        <x:f>IF(G63&lt;0,0,IF(G63&lt;10,CHOOSE(G63+1,0.08,0.2,0.4,0.65,0.85,1,1,0.95,0.85,0.7),1))</x:f>
        <x:v>0</x:v>
      </x:c>
      <x:c r="I63" s="11" t="n">
        <x:f>'先声新药假设'!H39</x:f>
        <x:v>2</x:v>
      </x:c>
      <x:c r="J63" s="11" t="n">
        <x:f>H63*I63</x:f>
        <x:v>0</x:v>
      </x:c>
      <x:c r="K63" s="11" t="n">
        <x:f>'先声新药假设'!I39</x:f>
        <x:v>0.3</x:v>
      </x:c>
      <x:c r="L63" s="11" t="n">
        <x:f>'先声新药假设'!K39</x:f>
        <x:v>0.12</x:v>
      </x:c>
      <x:c r="M63" s="11" t="n">
        <x:f>'先声资金假设'!AA7</x:f>
        <x:v>7</x:v>
      </x:c>
      <x:c r="N63" s="11" t="n">
        <x:f>'先声新药假设'!J39</x:f>
        <x:v>1</x:v>
      </x:c>
      <x:c r="O63" s="11" t="n">
        <x:f>'先声新药假设'!L39</x:f>
        <x:v>0.1</x:v>
      </x:c>
      <x:c r="P63" s="11" t="n">
        <x:f>J63*K63*L63*M63</x:f>
        <x:v>0</x:v>
      </x:c>
      <x:c r="Q63" s="11" t="n">
        <x:f>P63*N63*(1-O63)</x:f>
        <x:v>0</x:v>
      </x:c>
      <x:c r="R63" s="11" t="str">
        <x:v>USD</x:v>
      </x:c>
    </x:row>
    <x:row r="64" ht="23" customHeight="1">
      <x:c r="A64" s="11" t="str">
        <x:v>02096.HK</x:v>
      </x:c>
      <x:c r="B64" s="11" t="str">
        <x:v>海外版税</x:v>
      </x:c>
      <x:c r="C64" s="11" t="str">
        <x:v>SIM0500</x:v>
      </x:c>
      <x:c r="D64" s="11" t="str">
        <x:v>onc</x:v>
      </x:c>
      <x:c r="E64" s="11" t="n">
        <x:v>2027</x:v>
      </x:c>
      <x:c r="F64" s="11" t="n">
        <x:f>'先声新药假设'!G39</x:f>
        <x:v>2031</x:v>
      </x:c>
      <x:c r="G64" s="11" t="n">
        <x:f>E64-F64</x:f>
        <x:v>-4</x:v>
      </x:c>
      <x:c r="H64" s="11" t="n">
        <x:f>IF(G64&lt;0,0,IF(G64&lt;10,CHOOSE(G64+1,0.08,0.2,0.4,0.65,0.85,1,1,0.95,0.85,0.7),1))</x:f>
        <x:v>0</x:v>
      </x:c>
      <x:c r="I64" s="11" t="n">
        <x:f>'先声新药假设'!H39</x:f>
        <x:v>2</x:v>
      </x:c>
      <x:c r="J64" s="11" t="n">
        <x:f>H64*I64</x:f>
        <x:v>0</x:v>
      </x:c>
      <x:c r="K64" s="11" t="n">
        <x:f>'先声新药假设'!I39</x:f>
        <x:v>0.3</x:v>
      </x:c>
      <x:c r="L64" s="11" t="n">
        <x:f>'先声新药假设'!K39</x:f>
        <x:v>0.12</x:v>
      </x:c>
      <x:c r="M64" s="11" t="n">
        <x:f>'先声资金假设'!AA7</x:f>
        <x:v>7</x:v>
      </x:c>
      <x:c r="N64" s="11" t="n">
        <x:f>'先声新药假设'!J39</x:f>
        <x:v>1</x:v>
      </x:c>
      <x:c r="O64" s="11" t="n">
        <x:f>'先声新药假设'!L39</x:f>
        <x:v>0.1</x:v>
      </x:c>
      <x:c r="P64" s="11" t="n">
        <x:f>J64*K64*L64*M64</x:f>
        <x:v>0</x:v>
      </x:c>
      <x:c r="Q64" s="11" t="n">
        <x:f>P64*N64*(1-O64)</x:f>
        <x:v>0</x:v>
      </x:c>
      <x:c r="R64" s="11" t="str">
        <x:v>USD</x:v>
      </x:c>
    </x:row>
    <x:row r="65" ht="23" customHeight="1">
      <x:c r="A65" s="11" t="str">
        <x:v>02096.HK</x:v>
      </x:c>
      <x:c r="B65" s="11" t="str">
        <x:v>海外版税</x:v>
      </x:c>
      <x:c r="C65" s="11" t="str">
        <x:v>SIM0500</x:v>
      </x:c>
      <x:c r="D65" s="11" t="str">
        <x:v>onc</x:v>
      </x:c>
      <x:c r="E65" s="11" t="n">
        <x:v>2028</x:v>
      </x:c>
      <x:c r="F65" s="11" t="n">
        <x:f>'先声新药假设'!G39</x:f>
        <x:v>2031</x:v>
      </x:c>
      <x:c r="G65" s="11" t="n">
        <x:f>E65-F65</x:f>
        <x:v>-3</x:v>
      </x:c>
      <x:c r="H65" s="11" t="n">
        <x:f>IF(G65&lt;0,0,IF(G65&lt;10,CHOOSE(G65+1,0.08,0.2,0.4,0.65,0.85,1,1,0.95,0.85,0.7),1))</x:f>
        <x:v>0</x:v>
      </x:c>
      <x:c r="I65" s="11" t="n">
        <x:f>'先声新药假设'!H39</x:f>
        <x:v>2</x:v>
      </x:c>
      <x:c r="J65" s="11" t="n">
        <x:f>H65*I65</x:f>
        <x:v>0</x:v>
      </x:c>
      <x:c r="K65" s="11" t="n">
        <x:f>'先声新药假设'!I39</x:f>
        <x:v>0.3</x:v>
      </x:c>
      <x:c r="L65" s="11" t="n">
        <x:f>'先声新药假设'!K39</x:f>
        <x:v>0.12</x:v>
      </x:c>
      <x:c r="M65" s="11" t="n">
        <x:f>'先声资金假设'!AA7</x:f>
        <x:v>7</x:v>
      </x:c>
      <x:c r="N65" s="11" t="n">
        <x:f>'先声新药假设'!J39</x:f>
        <x:v>1</x:v>
      </x:c>
      <x:c r="O65" s="11" t="n">
        <x:f>'先声新药假设'!L39</x:f>
        <x:v>0.1</x:v>
      </x:c>
      <x:c r="P65" s="11" t="n">
        <x:f>J65*K65*L65*M65</x:f>
        <x:v>0</x:v>
      </x:c>
      <x:c r="Q65" s="11" t="n">
        <x:f>P65*N65*(1-O65)</x:f>
        <x:v>0</x:v>
      </x:c>
      <x:c r="R65" s="11" t="str">
        <x:v>USD</x:v>
      </x:c>
    </x:row>
    <x:row r="66" ht="23" customHeight="1">
      <x:c r="A66" s="11" t="str">
        <x:v>02096.HK</x:v>
      </x:c>
      <x:c r="B66" s="11" t="str">
        <x:v>海外版税</x:v>
      </x:c>
      <x:c r="C66" s="11" t="str">
        <x:v>SIM0500</x:v>
      </x:c>
      <x:c r="D66" s="11" t="str">
        <x:v>onc</x:v>
      </x:c>
      <x:c r="E66" s="11" t="n">
        <x:v>2029</x:v>
      </x:c>
      <x:c r="F66" s="11" t="n">
        <x:f>'先声新药假设'!G39</x:f>
        <x:v>2031</x:v>
      </x:c>
      <x:c r="G66" s="11" t="n">
        <x:f>E66-F66</x:f>
        <x:v>-2</x:v>
      </x:c>
      <x:c r="H66" s="11" t="n">
        <x:f>IF(G66&lt;0,0,IF(G66&lt;10,CHOOSE(G66+1,0.08,0.2,0.4,0.65,0.85,1,1,0.95,0.85,0.7),1))</x:f>
        <x:v>0</x:v>
      </x:c>
      <x:c r="I66" s="11" t="n">
        <x:f>'先声新药假设'!H39</x:f>
        <x:v>2</x:v>
      </x:c>
      <x:c r="J66" s="11" t="n">
        <x:f>H66*I66</x:f>
        <x:v>0</x:v>
      </x:c>
      <x:c r="K66" s="11" t="n">
        <x:f>'先声新药假设'!I39</x:f>
        <x:v>0.3</x:v>
      </x:c>
      <x:c r="L66" s="11" t="n">
        <x:f>'先声新药假设'!K39</x:f>
        <x:v>0.12</x:v>
      </x:c>
      <x:c r="M66" s="11" t="n">
        <x:f>'先声资金假设'!AA7</x:f>
        <x:v>7</x:v>
      </x:c>
      <x:c r="N66" s="11" t="n">
        <x:f>'先声新药假设'!J39</x:f>
        <x:v>1</x:v>
      </x:c>
      <x:c r="O66" s="11" t="n">
        <x:f>'先声新药假设'!L39</x:f>
        <x:v>0.1</x:v>
      </x:c>
      <x:c r="P66" s="11" t="n">
        <x:f>J66*K66*L66*M66</x:f>
        <x:v>0</x:v>
      </x:c>
      <x:c r="Q66" s="11" t="n">
        <x:f>P66*N66*(1-O66)</x:f>
        <x:v>0</x:v>
      </x:c>
      <x:c r="R66" s="11" t="str">
        <x:v>USD</x:v>
      </x:c>
    </x:row>
    <x:row r="67" ht="23" customHeight="1">
      <x:c r="A67" s="11" t="str">
        <x:v>02096.HK</x:v>
      </x:c>
      <x:c r="B67" s="11" t="str">
        <x:v>海外版税</x:v>
      </x:c>
      <x:c r="C67" s="11" t="str">
        <x:v>SIM0500</x:v>
      </x:c>
      <x:c r="D67" s="11" t="str">
        <x:v>onc</x:v>
      </x:c>
      <x:c r="E67" s="11" t="n">
        <x:v>2030</x:v>
      </x:c>
      <x:c r="F67" s="11" t="n">
        <x:f>'先声新药假设'!G39</x:f>
        <x:v>2031</x:v>
      </x:c>
      <x:c r="G67" s="11" t="n">
        <x:f>E67-F67</x:f>
        <x:v>-1</x:v>
      </x:c>
      <x:c r="H67" s="11" t="n">
        <x:f>IF(G67&lt;0,0,IF(G67&lt;10,CHOOSE(G67+1,0.08,0.2,0.4,0.65,0.85,1,1,0.95,0.85,0.7),1))</x:f>
        <x:v>0</x:v>
      </x:c>
      <x:c r="I67" s="11" t="n">
        <x:f>'先声新药假设'!H39</x:f>
        <x:v>2</x:v>
      </x:c>
      <x:c r="J67" s="11" t="n">
        <x:f>H67*I67</x:f>
        <x:v>0</x:v>
      </x:c>
      <x:c r="K67" s="11" t="n">
        <x:f>'先声新药假设'!I39</x:f>
        <x:v>0.3</x:v>
      </x:c>
      <x:c r="L67" s="11" t="n">
        <x:f>'先声新药假设'!K39</x:f>
        <x:v>0.12</x:v>
      </x:c>
      <x:c r="M67" s="11" t="n">
        <x:f>'先声资金假设'!AA7</x:f>
        <x:v>7</x:v>
      </x:c>
      <x:c r="N67" s="11" t="n">
        <x:f>'先声新药假设'!J39</x:f>
        <x:v>1</x:v>
      </x:c>
      <x:c r="O67" s="11" t="n">
        <x:f>'先声新药假设'!L39</x:f>
        <x:v>0.1</x:v>
      </x:c>
      <x:c r="P67" s="11" t="n">
        <x:f>J67*K67*L67*M67</x:f>
        <x:v>0</x:v>
      </x:c>
      <x:c r="Q67" s="11" t="n">
        <x:f>P67*N67*(1-O67)</x:f>
        <x:v>0</x:v>
      </x:c>
      <x:c r="R67" s="11" t="str">
        <x:v>USD</x:v>
      </x:c>
    </x:row>
    <x:row r="68" ht="23" customHeight="1">
      <x:c r="A68" s="11" t="str">
        <x:v>02096.HK</x:v>
      </x:c>
      <x:c r="B68" s="11" t="str">
        <x:v>海外版税</x:v>
      </x:c>
      <x:c r="C68" s="11" t="str">
        <x:v>SIM0500</x:v>
      </x:c>
      <x:c r="D68" s="11" t="str">
        <x:v>onc</x:v>
      </x:c>
      <x:c r="E68" s="11" t="n">
        <x:v>2031</x:v>
      </x:c>
      <x:c r="F68" s="11" t="n">
        <x:f>'先声新药假设'!G39</x:f>
        <x:v>2031</x:v>
      </x:c>
      <x:c r="G68" s="11" t="n">
        <x:f>E68-F68</x:f>
        <x:v>0</x:v>
      </x:c>
      <x:c r="H68" s="11" t="n">
        <x:f>IF(G68&lt;0,0,IF(G68&lt;10,CHOOSE(G68+1,0.08,0.2,0.4,0.65,0.85,1,1,0.95,0.85,0.7),1))</x:f>
        <x:v>0.08</x:v>
      </x:c>
      <x:c r="I68" s="11" t="n">
        <x:f>'先声新药假设'!H39</x:f>
        <x:v>2</x:v>
      </x:c>
      <x:c r="J68" s="11" t="n">
        <x:f>H68*I68</x:f>
        <x:v>0.16</x:v>
      </x:c>
      <x:c r="K68" s="11" t="n">
        <x:f>'先声新药假设'!I39</x:f>
        <x:v>0.3</x:v>
      </x:c>
      <x:c r="L68" s="11" t="n">
        <x:f>'先声新药假设'!K39</x:f>
        <x:v>0.12</x:v>
      </x:c>
      <x:c r="M68" s="11" t="n">
        <x:f>'先声资金假设'!AA7</x:f>
        <x:v>7</x:v>
      </x:c>
      <x:c r="N68" s="11" t="n">
        <x:f>'先声新药假设'!J39</x:f>
        <x:v>1</x:v>
      </x:c>
      <x:c r="O68" s="11" t="n">
        <x:f>'先声新药假设'!L39</x:f>
        <x:v>0.1</x:v>
      </x:c>
      <x:c r="P68" s="11" t="n">
        <x:f>J68*K68*L68*M68</x:f>
        <x:v>0.040319999999999995</x:v>
      </x:c>
      <x:c r="Q68" s="11" t="n">
        <x:f>P68*N68*(1-O68)</x:f>
        <x:v>0.036287999999999994</x:v>
      </x:c>
      <x:c r="R68" s="11" t="str">
        <x:v>USD</x:v>
      </x:c>
    </x:row>
    <x:row r="69" ht="23" customHeight="1">
      <x:c r="A69" s="11" t="str">
        <x:v>02096.HK</x:v>
      </x:c>
      <x:c r="B69" s="11" t="str">
        <x:v>海外版税</x:v>
      </x:c>
      <x:c r="C69" s="11" t="str">
        <x:v>SIM0500</x:v>
      </x:c>
      <x:c r="D69" s="11" t="str">
        <x:v>onc</x:v>
      </x:c>
      <x:c r="E69" s="11" t="n">
        <x:v>2032</x:v>
      </x:c>
      <x:c r="F69" s="11" t="n">
        <x:f>'先声新药假设'!G39</x:f>
        <x:v>2031</x:v>
      </x:c>
      <x:c r="G69" s="11" t="n">
        <x:f>E69-F69</x:f>
        <x:v>1</x:v>
      </x:c>
      <x:c r="H69" s="11" t="n">
        <x:f>IF(G69&lt;0,0,IF(G69&lt;10,CHOOSE(G69+1,0.08,0.2,0.4,0.65,0.85,1,1,0.95,0.85,0.7),1))</x:f>
        <x:v>0.2</x:v>
      </x:c>
      <x:c r="I69" s="11" t="n">
        <x:f>'先声新药假设'!H39</x:f>
        <x:v>2</x:v>
      </x:c>
      <x:c r="J69" s="11" t="n">
        <x:f>H69*I69</x:f>
        <x:v>0.4</x:v>
      </x:c>
      <x:c r="K69" s="11" t="n">
        <x:f>'先声新药假设'!I39</x:f>
        <x:v>0.3</x:v>
      </x:c>
      <x:c r="L69" s="11" t="n">
        <x:f>'先声新药假设'!K39</x:f>
        <x:v>0.12</x:v>
      </x:c>
      <x:c r="M69" s="11" t="n">
        <x:f>'先声资金假设'!AA7</x:f>
        <x:v>7</x:v>
      </x:c>
      <x:c r="N69" s="11" t="n">
        <x:f>'先声新药假设'!J39</x:f>
        <x:v>1</x:v>
      </x:c>
      <x:c r="O69" s="11" t="n">
        <x:f>'先声新药假设'!L39</x:f>
        <x:v>0.1</x:v>
      </x:c>
      <x:c r="P69" s="11" t="n">
        <x:f>J69*K69*L69*M69</x:f>
        <x:v>0.1008</x:v>
      </x:c>
      <x:c r="Q69" s="11" t="n">
        <x:f>P69*N69*(1-O69)</x:f>
        <x:v>0.09072000000000001</x:v>
      </x:c>
      <x:c r="R69" s="11" t="str">
        <x:v>USD</x:v>
      </x:c>
    </x:row>
    <x:row r="70" ht="23" customHeight="1">
      <x:c r="A70" s="11" t="str">
        <x:v>02096.HK</x:v>
      </x:c>
      <x:c r="B70" s="11" t="str">
        <x:v>海外版税</x:v>
      </x:c>
      <x:c r="C70" s="11" t="str">
        <x:v>SIM0613</x:v>
      </x:c>
      <x:c r="D70" s="11" t="str">
        <x:v>onc</x:v>
      </x:c>
      <x:c r="E70" s="11" t="n">
        <x:v>2026</x:v>
      </x:c>
      <x:c r="F70" s="11" t="n">
        <x:f>'先声新药假设'!G43</x:f>
        <x:v>2032</x:v>
      </x:c>
      <x:c r="G70" s="11" t="n">
        <x:f>E70-F70</x:f>
        <x:v>-6</x:v>
      </x:c>
      <x:c r="H70" s="11" t="n">
        <x:f>IF(G70&lt;0,0,IF(G70&lt;10,CHOOSE(G70+1,0.08,0.2,0.4,0.65,0.85,1,1,0.95,0.85,0.7),1))</x:f>
        <x:v>0</x:v>
      </x:c>
      <x:c r="I70" s="11" t="n">
        <x:f>'先声新药假设'!H43</x:f>
        <x:v>1.8</x:v>
      </x:c>
      <x:c r="J70" s="11" t="n">
        <x:f>H70*I70</x:f>
        <x:v>0</x:v>
      </x:c>
      <x:c r="K70" s="11" t="n">
        <x:f>'先声新药假设'!I43</x:f>
        <x:v>0.22</x:v>
      </x:c>
      <x:c r="L70" s="11" t="n">
        <x:f>'先声新药假设'!K43</x:f>
        <x:v>0.12</x:v>
      </x:c>
      <x:c r="M70" s="11" t="n">
        <x:f>'先声资金假设'!AA7</x:f>
        <x:v>7</x:v>
      </x:c>
      <x:c r="N70" s="11" t="n">
        <x:f>'先声新药假设'!J43</x:f>
        <x:v>1</x:v>
      </x:c>
      <x:c r="O70" s="11" t="n">
        <x:f>'先声新药假设'!L43</x:f>
        <x:v>0.08</x:v>
      </x:c>
      <x:c r="P70" s="11" t="n">
        <x:f>J70*K70*L70*M70</x:f>
        <x:v>0</x:v>
      </x:c>
      <x:c r="Q70" s="11" t="n">
        <x:f>P70*N70*(1-O70)</x:f>
        <x:v>0</x:v>
      </x:c>
      <x:c r="R70" s="11" t="str">
        <x:v>USD</x:v>
      </x:c>
    </x:row>
    <x:row r="71" ht="23" customHeight="1">
      <x:c r="A71" s="11" t="str">
        <x:v>02096.HK</x:v>
      </x:c>
      <x:c r="B71" s="11" t="str">
        <x:v>海外版税</x:v>
      </x:c>
      <x:c r="C71" s="11" t="str">
        <x:v>SIM0613</x:v>
      </x:c>
      <x:c r="D71" s="11" t="str">
        <x:v>onc</x:v>
      </x:c>
      <x:c r="E71" s="11" t="n">
        <x:v>2027</x:v>
      </x:c>
      <x:c r="F71" s="11" t="n">
        <x:f>'先声新药假设'!G43</x:f>
        <x:v>2032</x:v>
      </x:c>
      <x:c r="G71" s="11" t="n">
        <x:f>E71-F71</x:f>
        <x:v>-5</x:v>
      </x:c>
      <x:c r="H71" s="11" t="n">
        <x:f>IF(G71&lt;0,0,IF(G71&lt;10,CHOOSE(G71+1,0.08,0.2,0.4,0.65,0.85,1,1,0.95,0.85,0.7),1))</x:f>
        <x:v>0</x:v>
      </x:c>
      <x:c r="I71" s="11" t="n">
        <x:f>'先声新药假设'!H43</x:f>
        <x:v>1.8</x:v>
      </x:c>
      <x:c r="J71" s="11" t="n">
        <x:f>H71*I71</x:f>
        <x:v>0</x:v>
      </x:c>
      <x:c r="K71" s="11" t="n">
        <x:f>'先声新药假设'!I43</x:f>
        <x:v>0.22</x:v>
      </x:c>
      <x:c r="L71" s="11" t="n">
        <x:f>'先声新药假设'!K43</x:f>
        <x:v>0.12</x:v>
      </x:c>
      <x:c r="M71" s="11" t="n">
        <x:f>'先声资金假设'!AA7</x:f>
        <x:v>7</x:v>
      </x:c>
      <x:c r="N71" s="11" t="n">
        <x:f>'先声新药假设'!J43</x:f>
        <x:v>1</x:v>
      </x:c>
      <x:c r="O71" s="11" t="n">
        <x:f>'先声新药假设'!L43</x:f>
        <x:v>0.08</x:v>
      </x:c>
      <x:c r="P71" s="11" t="n">
        <x:f>J71*K71*L71*M71</x:f>
        <x:v>0</x:v>
      </x:c>
      <x:c r="Q71" s="11" t="n">
        <x:f>P71*N71*(1-O71)</x:f>
        <x:v>0</x:v>
      </x:c>
      <x:c r="R71" s="11" t="str">
        <x:v>USD</x:v>
      </x:c>
    </x:row>
    <x:row r="72" ht="23" customHeight="1">
      <x:c r="A72" s="11" t="str">
        <x:v>02096.HK</x:v>
      </x:c>
      <x:c r="B72" s="11" t="str">
        <x:v>海外版税</x:v>
      </x:c>
      <x:c r="C72" s="11" t="str">
        <x:v>SIM0613</x:v>
      </x:c>
      <x:c r="D72" s="11" t="str">
        <x:v>onc</x:v>
      </x:c>
      <x:c r="E72" s="11" t="n">
        <x:v>2028</x:v>
      </x:c>
      <x:c r="F72" s="11" t="n">
        <x:f>'先声新药假设'!G43</x:f>
        <x:v>2032</x:v>
      </x:c>
      <x:c r="G72" s="11" t="n">
        <x:f>E72-F72</x:f>
        <x:v>-4</x:v>
      </x:c>
      <x:c r="H72" s="11" t="n">
        <x:f>IF(G72&lt;0,0,IF(G72&lt;10,CHOOSE(G72+1,0.08,0.2,0.4,0.65,0.85,1,1,0.95,0.85,0.7),1))</x:f>
        <x:v>0</x:v>
      </x:c>
      <x:c r="I72" s="11" t="n">
        <x:f>'先声新药假设'!H43</x:f>
        <x:v>1.8</x:v>
      </x:c>
      <x:c r="J72" s="11" t="n">
        <x:f>H72*I72</x:f>
        <x:v>0</x:v>
      </x:c>
      <x:c r="K72" s="11" t="n">
        <x:f>'先声新药假设'!I43</x:f>
        <x:v>0.22</x:v>
      </x:c>
      <x:c r="L72" s="11" t="n">
        <x:f>'先声新药假设'!K43</x:f>
        <x:v>0.12</x:v>
      </x:c>
      <x:c r="M72" s="11" t="n">
        <x:f>'先声资金假设'!AA7</x:f>
        <x:v>7</x:v>
      </x:c>
      <x:c r="N72" s="11" t="n">
        <x:f>'先声新药假设'!J43</x:f>
        <x:v>1</x:v>
      </x:c>
      <x:c r="O72" s="11" t="n">
        <x:f>'先声新药假设'!L43</x:f>
        <x:v>0.08</x:v>
      </x:c>
      <x:c r="P72" s="11" t="n">
        <x:f>J72*K72*L72*M72</x:f>
        <x:v>0</x:v>
      </x:c>
      <x:c r="Q72" s="11" t="n">
        <x:f>P72*N72*(1-O72)</x:f>
        <x:v>0</x:v>
      </x:c>
      <x:c r="R72" s="11" t="str">
        <x:v>USD</x:v>
      </x:c>
    </x:row>
    <x:row r="73" ht="23" customHeight="1">
      <x:c r="A73" s="11" t="str">
        <x:v>02096.HK</x:v>
      </x:c>
      <x:c r="B73" s="11" t="str">
        <x:v>海外版税</x:v>
      </x:c>
      <x:c r="C73" s="11" t="str">
        <x:v>SIM0613</x:v>
      </x:c>
      <x:c r="D73" s="11" t="str">
        <x:v>onc</x:v>
      </x:c>
      <x:c r="E73" s="11" t="n">
        <x:v>2029</x:v>
      </x:c>
      <x:c r="F73" s="11" t="n">
        <x:f>'先声新药假设'!G43</x:f>
        <x:v>2032</x:v>
      </x:c>
      <x:c r="G73" s="11" t="n">
        <x:f>E73-F73</x:f>
        <x:v>-3</x:v>
      </x:c>
      <x:c r="H73" s="11" t="n">
        <x:f>IF(G73&lt;0,0,IF(G73&lt;10,CHOOSE(G73+1,0.08,0.2,0.4,0.65,0.85,1,1,0.95,0.85,0.7),1))</x:f>
        <x:v>0</x:v>
      </x:c>
      <x:c r="I73" s="11" t="n">
        <x:f>'先声新药假设'!H43</x:f>
        <x:v>1.8</x:v>
      </x:c>
      <x:c r="J73" s="11" t="n">
        <x:f>H73*I73</x:f>
        <x:v>0</x:v>
      </x:c>
      <x:c r="K73" s="11" t="n">
        <x:f>'先声新药假设'!I43</x:f>
        <x:v>0.22</x:v>
      </x:c>
      <x:c r="L73" s="11" t="n">
        <x:f>'先声新药假设'!K43</x:f>
        <x:v>0.12</x:v>
      </x:c>
      <x:c r="M73" s="11" t="n">
        <x:f>'先声资金假设'!AA7</x:f>
        <x:v>7</x:v>
      </x:c>
      <x:c r="N73" s="11" t="n">
        <x:f>'先声新药假设'!J43</x:f>
        <x:v>1</x:v>
      </x:c>
      <x:c r="O73" s="11" t="n">
        <x:f>'先声新药假设'!L43</x:f>
        <x:v>0.08</x:v>
      </x:c>
      <x:c r="P73" s="11" t="n">
        <x:f>J73*K73*L73*M73</x:f>
        <x:v>0</x:v>
      </x:c>
      <x:c r="Q73" s="11" t="n">
        <x:f>P73*N73*(1-O73)</x:f>
        <x:v>0</x:v>
      </x:c>
      <x:c r="R73" s="11" t="str">
        <x:v>USD</x:v>
      </x:c>
    </x:row>
    <x:row r="74" ht="23" customHeight="1">
      <x:c r="A74" s="11" t="str">
        <x:v>02096.HK</x:v>
      </x:c>
      <x:c r="B74" s="11" t="str">
        <x:v>海外版税</x:v>
      </x:c>
      <x:c r="C74" s="11" t="str">
        <x:v>SIM0613</x:v>
      </x:c>
      <x:c r="D74" s="11" t="str">
        <x:v>onc</x:v>
      </x:c>
      <x:c r="E74" s="11" t="n">
        <x:v>2030</x:v>
      </x:c>
      <x:c r="F74" s="11" t="n">
        <x:f>'先声新药假设'!G43</x:f>
        <x:v>2032</x:v>
      </x:c>
      <x:c r="G74" s="11" t="n">
        <x:f>E74-F74</x:f>
        <x:v>-2</x:v>
      </x:c>
      <x:c r="H74" s="11" t="n">
        <x:f>IF(G74&lt;0,0,IF(G74&lt;10,CHOOSE(G74+1,0.08,0.2,0.4,0.65,0.85,1,1,0.95,0.85,0.7),1))</x:f>
        <x:v>0</x:v>
      </x:c>
      <x:c r="I74" s="11" t="n">
        <x:f>'先声新药假设'!H43</x:f>
        <x:v>1.8</x:v>
      </x:c>
      <x:c r="J74" s="11" t="n">
        <x:f>H74*I74</x:f>
        <x:v>0</x:v>
      </x:c>
      <x:c r="K74" s="11" t="n">
        <x:f>'先声新药假设'!I43</x:f>
        <x:v>0.22</x:v>
      </x:c>
      <x:c r="L74" s="11" t="n">
        <x:f>'先声新药假设'!K43</x:f>
        <x:v>0.12</x:v>
      </x:c>
      <x:c r="M74" s="11" t="n">
        <x:f>'先声资金假设'!AA7</x:f>
        <x:v>7</x:v>
      </x:c>
      <x:c r="N74" s="11" t="n">
        <x:f>'先声新药假设'!J43</x:f>
        <x:v>1</x:v>
      </x:c>
      <x:c r="O74" s="11" t="n">
        <x:f>'先声新药假设'!L43</x:f>
        <x:v>0.08</x:v>
      </x:c>
      <x:c r="P74" s="11" t="n">
        <x:f>J74*K74*L74*M74</x:f>
        <x:v>0</x:v>
      </x:c>
      <x:c r="Q74" s="11" t="n">
        <x:f>P74*N74*(1-O74)</x:f>
        <x:v>0</x:v>
      </x:c>
      <x:c r="R74" s="11" t="str">
        <x:v>USD</x:v>
      </x:c>
    </x:row>
    <x:row r="75" ht="23" customHeight="1">
      <x:c r="A75" s="11" t="str">
        <x:v>02096.HK</x:v>
      </x:c>
      <x:c r="B75" s="11" t="str">
        <x:v>海外版税</x:v>
      </x:c>
      <x:c r="C75" s="11" t="str">
        <x:v>SIM0613</x:v>
      </x:c>
      <x:c r="D75" s="11" t="str">
        <x:v>onc</x:v>
      </x:c>
      <x:c r="E75" s="11" t="n">
        <x:v>2031</x:v>
      </x:c>
      <x:c r="F75" s="11" t="n">
        <x:f>'先声新药假设'!G43</x:f>
        <x:v>2032</x:v>
      </x:c>
      <x:c r="G75" s="11" t="n">
        <x:f>E75-F75</x:f>
        <x:v>-1</x:v>
      </x:c>
      <x:c r="H75" s="11" t="n">
        <x:f>IF(G75&lt;0,0,IF(G75&lt;10,CHOOSE(G75+1,0.08,0.2,0.4,0.65,0.85,1,1,0.95,0.85,0.7),1))</x:f>
        <x:v>0</x:v>
      </x:c>
      <x:c r="I75" s="11" t="n">
        <x:f>'先声新药假设'!H43</x:f>
        <x:v>1.8</x:v>
      </x:c>
      <x:c r="J75" s="11" t="n">
        <x:f>H75*I75</x:f>
        <x:v>0</x:v>
      </x:c>
      <x:c r="K75" s="11" t="n">
        <x:f>'先声新药假设'!I43</x:f>
        <x:v>0.22</x:v>
      </x:c>
      <x:c r="L75" s="11" t="n">
        <x:f>'先声新药假设'!K43</x:f>
        <x:v>0.12</x:v>
      </x:c>
      <x:c r="M75" s="11" t="n">
        <x:f>'先声资金假设'!AA7</x:f>
        <x:v>7</x:v>
      </x:c>
      <x:c r="N75" s="11" t="n">
        <x:f>'先声新药假设'!J43</x:f>
        <x:v>1</x:v>
      </x:c>
      <x:c r="O75" s="11" t="n">
        <x:f>'先声新药假设'!L43</x:f>
        <x:v>0.08</x:v>
      </x:c>
      <x:c r="P75" s="11" t="n">
        <x:f>J75*K75*L75*M75</x:f>
        <x:v>0</x:v>
      </x:c>
      <x:c r="Q75" s="11" t="n">
        <x:f>P75*N75*(1-O75)</x:f>
        <x:v>0</x:v>
      </x:c>
      <x:c r="R75" s="11" t="str">
        <x:v>USD</x:v>
      </x:c>
    </x:row>
    <x:row r="76" ht="23" customHeight="1">
      <x:c r="A76" s="11" t="str">
        <x:v>02096.HK</x:v>
      </x:c>
      <x:c r="B76" s="11" t="str">
        <x:v>海外版税</x:v>
      </x:c>
      <x:c r="C76" s="11" t="str">
        <x:v>SIM0613</x:v>
      </x:c>
      <x:c r="D76" s="11" t="str">
        <x:v>onc</x:v>
      </x:c>
      <x:c r="E76" s="11" t="n">
        <x:v>2032</x:v>
      </x:c>
      <x:c r="F76" s="11" t="n">
        <x:f>'先声新药假设'!G43</x:f>
        <x:v>2032</x:v>
      </x:c>
      <x:c r="G76" s="11" t="n">
        <x:f>E76-F76</x:f>
        <x:v>0</x:v>
      </x:c>
      <x:c r="H76" s="11" t="n">
        <x:f>IF(G76&lt;0,0,IF(G76&lt;10,CHOOSE(G76+1,0.08,0.2,0.4,0.65,0.85,1,1,0.95,0.85,0.7),1))</x:f>
        <x:v>0.08</x:v>
      </x:c>
      <x:c r="I76" s="11" t="n">
        <x:f>'先声新药假设'!H43</x:f>
        <x:v>1.8</x:v>
      </x:c>
      <x:c r="J76" s="11" t="n">
        <x:f>H76*I76</x:f>
        <x:v>0.14400000000000002</x:v>
      </x:c>
      <x:c r="K76" s="11" t="n">
        <x:f>'先声新药假设'!I43</x:f>
        <x:v>0.22</x:v>
      </x:c>
      <x:c r="L76" s="11" t="n">
        <x:f>'先声新药假设'!K43</x:f>
        <x:v>0.12</x:v>
      </x:c>
      <x:c r="M76" s="11" t="n">
        <x:f>'先声资金假设'!AA7</x:f>
        <x:v>7</x:v>
      </x:c>
      <x:c r="N76" s="11" t="n">
        <x:f>'先声新药假设'!J43</x:f>
        <x:v>1</x:v>
      </x:c>
      <x:c r="O76" s="11" t="n">
        <x:f>'先声新药假设'!L43</x:f>
        <x:v>0.08</x:v>
      </x:c>
      <x:c r="P76" s="11" t="n">
        <x:f>J76*K76*L76*M76</x:f>
        <x:v>0.0266112</x:v>
      </x:c>
      <x:c r="Q76" s="11" t="n">
        <x:f>P76*N76*(1-O76)</x:f>
        <x:v>0.024482304000000003</x:v>
      </x:c>
      <x:c r="R76" s="11" t="str">
        <x:v>USD</x:v>
      </x:c>
    </x:row>
    <x:row r="77" ht="23" customHeight="1">
      <x:c r="A77" s="11" t="str">
        <x:v>02096.HK</x:v>
      </x:c>
      <x:c r="B77" s="11" t="str">
        <x:v>海外版税</x:v>
      </x:c>
      <x:c r="C77" s="11" t="str">
        <x:v>SIM0709</x:v>
      </x:c>
      <x:c r="D77" s="11" t="str">
        <x:v>auto</x:v>
      </x:c>
      <x:c r="E77" s="11" t="n">
        <x:v>2026</x:v>
      </x:c>
      <x:c r="F77" s="11" t="n">
        <x:f>'先声新药假设'!G47</x:f>
        <x:v>2032</x:v>
      </x:c>
      <x:c r="G77" s="11" t="n">
        <x:f>E77-F77</x:f>
        <x:v>-6</x:v>
      </x:c>
      <x:c r="H77" s="11" t="n">
        <x:f>IF(G77&lt;0,0,IF(G77&lt;10,CHOOSE(G77+1,0.08,0.2,0.4,0.65,0.85,1,1,0.95,0.85,0.7),1))</x:f>
        <x:v>0</x:v>
      </x:c>
      <x:c r="I77" s="11" t="n">
        <x:f>'先声新药假设'!H47</x:f>
        <x:v>2.5</x:v>
      </x:c>
      <x:c r="J77" s="11" t="n">
        <x:f>H77*I77</x:f>
        <x:v>0</x:v>
      </x:c>
      <x:c r="K77" s="11" t="n">
        <x:f>'先声新药假设'!I47</x:f>
        <x:v>0.2</x:v>
      </x:c>
      <x:c r="L77" s="11" t="n">
        <x:f>'先声新药假设'!K47</x:f>
        <x:v>0.1</x:v>
      </x:c>
      <x:c r="M77" s="11" t="n">
        <x:f>'先声资金假设'!AA7</x:f>
        <x:v>7</x:v>
      </x:c>
      <x:c r="N77" s="11" t="n">
        <x:f>'先声新药假设'!J47</x:f>
        <x:v>1</x:v>
      </x:c>
      <x:c r="O77" s="11" t="n">
        <x:f>'先声新药假设'!L47</x:f>
        <x:v>0.08</x:v>
      </x:c>
      <x:c r="P77" s="11" t="n">
        <x:f>J77*K77*L77*M77</x:f>
        <x:v>0</x:v>
      </x:c>
      <x:c r="Q77" s="11" t="n">
        <x:f>P77*N77*(1-O77)</x:f>
        <x:v>0</x:v>
      </x:c>
      <x:c r="R77" s="11" t="str">
        <x:v>USD</x:v>
      </x:c>
    </x:row>
    <x:row r="78" ht="23" customHeight="1">
      <x:c r="A78" s="11" t="str">
        <x:v>02096.HK</x:v>
      </x:c>
      <x:c r="B78" s="11" t="str">
        <x:v>海外版税</x:v>
      </x:c>
      <x:c r="C78" s="11" t="str">
        <x:v>SIM0709</x:v>
      </x:c>
      <x:c r="D78" s="11" t="str">
        <x:v>auto</x:v>
      </x:c>
      <x:c r="E78" s="11" t="n">
        <x:v>2027</x:v>
      </x:c>
      <x:c r="F78" s="11" t="n">
        <x:f>'先声新药假设'!G47</x:f>
        <x:v>2032</x:v>
      </x:c>
      <x:c r="G78" s="11" t="n">
        <x:f>E78-F78</x:f>
        <x:v>-5</x:v>
      </x:c>
      <x:c r="H78" s="11" t="n">
        <x:f>IF(G78&lt;0,0,IF(G78&lt;10,CHOOSE(G78+1,0.08,0.2,0.4,0.65,0.85,1,1,0.95,0.85,0.7),1))</x:f>
        <x:v>0</x:v>
      </x:c>
      <x:c r="I78" s="11" t="n">
        <x:f>'先声新药假设'!H47</x:f>
        <x:v>2.5</x:v>
      </x:c>
      <x:c r="J78" s="11" t="n">
        <x:f>H78*I78</x:f>
        <x:v>0</x:v>
      </x:c>
      <x:c r="K78" s="11" t="n">
        <x:f>'先声新药假设'!I47</x:f>
        <x:v>0.2</x:v>
      </x:c>
      <x:c r="L78" s="11" t="n">
        <x:f>'先声新药假设'!K47</x:f>
        <x:v>0.1</x:v>
      </x:c>
      <x:c r="M78" s="11" t="n">
        <x:f>'先声资金假设'!AA7</x:f>
        <x:v>7</x:v>
      </x:c>
      <x:c r="N78" s="11" t="n">
        <x:f>'先声新药假设'!J47</x:f>
        <x:v>1</x:v>
      </x:c>
      <x:c r="O78" s="11" t="n">
        <x:f>'先声新药假设'!L47</x:f>
        <x:v>0.08</x:v>
      </x:c>
      <x:c r="P78" s="11" t="n">
        <x:f>J78*K78*L78*M78</x:f>
        <x:v>0</x:v>
      </x:c>
      <x:c r="Q78" s="11" t="n">
        <x:f>P78*N78*(1-O78)</x:f>
        <x:v>0</x:v>
      </x:c>
      <x:c r="R78" s="11" t="str">
        <x:v>USD</x:v>
      </x:c>
    </x:row>
    <x:row r="79" ht="23" customHeight="1">
      <x:c r="A79" s="11" t="str">
        <x:v>02096.HK</x:v>
      </x:c>
      <x:c r="B79" s="11" t="str">
        <x:v>海外版税</x:v>
      </x:c>
      <x:c r="C79" s="11" t="str">
        <x:v>SIM0709</x:v>
      </x:c>
      <x:c r="D79" s="11" t="str">
        <x:v>auto</x:v>
      </x:c>
      <x:c r="E79" s="11" t="n">
        <x:v>2028</x:v>
      </x:c>
      <x:c r="F79" s="11" t="n">
        <x:f>'先声新药假设'!G47</x:f>
        <x:v>2032</x:v>
      </x:c>
      <x:c r="G79" s="11" t="n">
        <x:f>E79-F79</x:f>
        <x:v>-4</x:v>
      </x:c>
      <x:c r="H79" s="11" t="n">
        <x:f>IF(G79&lt;0,0,IF(G79&lt;10,CHOOSE(G79+1,0.08,0.2,0.4,0.65,0.85,1,1,0.95,0.85,0.7),1))</x:f>
        <x:v>0</x:v>
      </x:c>
      <x:c r="I79" s="11" t="n">
        <x:f>'先声新药假设'!H47</x:f>
        <x:v>2.5</x:v>
      </x:c>
      <x:c r="J79" s="11" t="n">
        <x:f>H79*I79</x:f>
        <x:v>0</x:v>
      </x:c>
      <x:c r="K79" s="11" t="n">
        <x:f>'先声新药假设'!I47</x:f>
        <x:v>0.2</x:v>
      </x:c>
      <x:c r="L79" s="11" t="n">
        <x:f>'先声新药假设'!K47</x:f>
        <x:v>0.1</x:v>
      </x:c>
      <x:c r="M79" s="11" t="n">
        <x:f>'先声资金假设'!AA7</x:f>
        <x:v>7</x:v>
      </x:c>
      <x:c r="N79" s="11" t="n">
        <x:f>'先声新药假设'!J47</x:f>
        <x:v>1</x:v>
      </x:c>
      <x:c r="O79" s="11" t="n">
        <x:f>'先声新药假设'!L47</x:f>
        <x:v>0.08</x:v>
      </x:c>
      <x:c r="P79" s="11" t="n">
        <x:f>J79*K79*L79*M79</x:f>
        <x:v>0</x:v>
      </x:c>
      <x:c r="Q79" s="11" t="n">
        <x:f>P79*N79*(1-O79)</x:f>
        <x:v>0</x:v>
      </x:c>
      <x:c r="R79" s="11" t="str">
        <x:v>USD</x:v>
      </x:c>
    </x:row>
    <x:row r="80" ht="23" customHeight="1">
      <x:c r="A80" s="11" t="str">
        <x:v>02096.HK</x:v>
      </x:c>
      <x:c r="B80" s="11" t="str">
        <x:v>海外版税</x:v>
      </x:c>
      <x:c r="C80" s="11" t="str">
        <x:v>SIM0709</x:v>
      </x:c>
      <x:c r="D80" s="11" t="str">
        <x:v>auto</x:v>
      </x:c>
      <x:c r="E80" s="11" t="n">
        <x:v>2029</x:v>
      </x:c>
      <x:c r="F80" s="11" t="n">
        <x:f>'先声新药假设'!G47</x:f>
        <x:v>2032</x:v>
      </x:c>
      <x:c r="G80" s="11" t="n">
        <x:f>E80-F80</x:f>
        <x:v>-3</x:v>
      </x:c>
      <x:c r="H80" s="11" t="n">
        <x:f>IF(G80&lt;0,0,IF(G80&lt;10,CHOOSE(G80+1,0.08,0.2,0.4,0.65,0.85,1,1,0.95,0.85,0.7),1))</x:f>
        <x:v>0</x:v>
      </x:c>
      <x:c r="I80" s="11" t="n">
        <x:f>'先声新药假设'!H47</x:f>
        <x:v>2.5</x:v>
      </x:c>
      <x:c r="J80" s="11" t="n">
        <x:f>H80*I80</x:f>
        <x:v>0</x:v>
      </x:c>
      <x:c r="K80" s="11" t="n">
        <x:f>'先声新药假设'!I47</x:f>
        <x:v>0.2</x:v>
      </x:c>
      <x:c r="L80" s="11" t="n">
        <x:f>'先声新药假设'!K47</x:f>
        <x:v>0.1</x:v>
      </x:c>
      <x:c r="M80" s="11" t="n">
        <x:f>'先声资金假设'!AA7</x:f>
        <x:v>7</x:v>
      </x:c>
      <x:c r="N80" s="11" t="n">
        <x:f>'先声新药假设'!J47</x:f>
        <x:v>1</x:v>
      </x:c>
      <x:c r="O80" s="11" t="n">
        <x:f>'先声新药假设'!L47</x:f>
        <x:v>0.08</x:v>
      </x:c>
      <x:c r="P80" s="11" t="n">
        <x:f>J80*K80*L80*M80</x:f>
        <x:v>0</x:v>
      </x:c>
      <x:c r="Q80" s="11" t="n">
        <x:f>P80*N80*(1-O80)</x:f>
        <x:v>0</x:v>
      </x:c>
      <x:c r="R80" s="11" t="str">
        <x:v>USD</x:v>
      </x:c>
    </x:row>
    <x:row r="81" ht="23" customHeight="1">
      <x:c r="A81" s="11" t="str">
        <x:v>02096.HK</x:v>
      </x:c>
      <x:c r="B81" s="11" t="str">
        <x:v>海外版税</x:v>
      </x:c>
      <x:c r="C81" s="11" t="str">
        <x:v>SIM0709</x:v>
      </x:c>
      <x:c r="D81" s="11" t="str">
        <x:v>auto</x:v>
      </x:c>
      <x:c r="E81" s="11" t="n">
        <x:v>2030</x:v>
      </x:c>
      <x:c r="F81" s="11" t="n">
        <x:f>'先声新药假设'!G47</x:f>
        <x:v>2032</x:v>
      </x:c>
      <x:c r="G81" s="11" t="n">
        <x:f>E81-F81</x:f>
        <x:v>-2</x:v>
      </x:c>
      <x:c r="H81" s="11" t="n">
        <x:f>IF(G81&lt;0,0,IF(G81&lt;10,CHOOSE(G81+1,0.08,0.2,0.4,0.65,0.85,1,1,0.95,0.85,0.7),1))</x:f>
        <x:v>0</x:v>
      </x:c>
      <x:c r="I81" s="11" t="n">
        <x:f>'先声新药假设'!H47</x:f>
        <x:v>2.5</x:v>
      </x:c>
      <x:c r="J81" s="11" t="n">
        <x:f>H81*I81</x:f>
        <x:v>0</x:v>
      </x:c>
      <x:c r="K81" s="11" t="n">
        <x:f>'先声新药假设'!I47</x:f>
        <x:v>0.2</x:v>
      </x:c>
      <x:c r="L81" s="11" t="n">
        <x:f>'先声新药假设'!K47</x:f>
        <x:v>0.1</x:v>
      </x:c>
      <x:c r="M81" s="11" t="n">
        <x:f>'先声资金假设'!AA7</x:f>
        <x:v>7</x:v>
      </x:c>
      <x:c r="N81" s="11" t="n">
        <x:f>'先声新药假设'!J47</x:f>
        <x:v>1</x:v>
      </x:c>
      <x:c r="O81" s="11" t="n">
        <x:f>'先声新药假设'!L47</x:f>
        <x:v>0.08</x:v>
      </x:c>
      <x:c r="P81" s="11" t="n">
        <x:f>J81*K81*L81*M81</x:f>
        <x:v>0</x:v>
      </x:c>
      <x:c r="Q81" s="11" t="n">
        <x:f>P81*N81*(1-O81)</x:f>
        <x:v>0</x:v>
      </x:c>
      <x:c r="R81" s="11" t="str">
        <x:v>USD</x:v>
      </x:c>
    </x:row>
    <x:row r="82" ht="23" customHeight="1">
      <x:c r="A82" s="11" t="str">
        <x:v>02096.HK</x:v>
      </x:c>
      <x:c r="B82" s="11" t="str">
        <x:v>海外版税</x:v>
      </x:c>
      <x:c r="C82" s="11" t="str">
        <x:v>SIM0709</x:v>
      </x:c>
      <x:c r="D82" s="11" t="str">
        <x:v>auto</x:v>
      </x:c>
      <x:c r="E82" s="11" t="n">
        <x:v>2031</x:v>
      </x:c>
      <x:c r="F82" s="11" t="n">
        <x:f>'先声新药假设'!G47</x:f>
        <x:v>2032</x:v>
      </x:c>
      <x:c r="G82" s="11" t="n">
        <x:f>E82-F82</x:f>
        <x:v>-1</x:v>
      </x:c>
      <x:c r="H82" s="11" t="n">
        <x:f>IF(G82&lt;0,0,IF(G82&lt;10,CHOOSE(G82+1,0.08,0.2,0.4,0.65,0.85,1,1,0.95,0.85,0.7),1))</x:f>
        <x:v>0</x:v>
      </x:c>
      <x:c r="I82" s="11" t="n">
        <x:f>'先声新药假设'!H47</x:f>
        <x:v>2.5</x:v>
      </x:c>
      <x:c r="J82" s="11" t="n">
        <x:f>H82*I82</x:f>
        <x:v>0</x:v>
      </x:c>
      <x:c r="K82" s="11" t="n">
        <x:f>'先声新药假设'!I47</x:f>
        <x:v>0.2</x:v>
      </x:c>
      <x:c r="L82" s="11" t="n">
        <x:f>'先声新药假设'!K47</x:f>
        <x:v>0.1</x:v>
      </x:c>
      <x:c r="M82" s="11" t="n">
        <x:f>'先声资金假设'!AA7</x:f>
        <x:v>7</x:v>
      </x:c>
      <x:c r="N82" s="11" t="n">
        <x:f>'先声新药假设'!J47</x:f>
        <x:v>1</x:v>
      </x:c>
      <x:c r="O82" s="11" t="n">
        <x:f>'先声新药假设'!L47</x:f>
        <x:v>0.08</x:v>
      </x:c>
      <x:c r="P82" s="11" t="n">
        <x:f>J82*K82*L82*M82</x:f>
        <x:v>0</x:v>
      </x:c>
      <x:c r="Q82" s="11" t="n">
        <x:f>P82*N82*(1-O82)</x:f>
        <x:v>0</x:v>
      </x:c>
      <x:c r="R82" s="11" t="str">
        <x:v>USD</x:v>
      </x:c>
    </x:row>
    <x:row r="83" ht="23" customHeight="1">
      <x:c r="A83" s="11" t="str">
        <x:v>02096.HK</x:v>
      </x:c>
      <x:c r="B83" s="11" t="str">
        <x:v>海外版税</x:v>
      </x:c>
      <x:c r="C83" s="11" t="str">
        <x:v>SIM0709</x:v>
      </x:c>
      <x:c r="D83" s="11" t="str">
        <x:v>auto</x:v>
      </x:c>
      <x:c r="E83" s="11" t="n">
        <x:v>2032</x:v>
      </x:c>
      <x:c r="F83" s="11" t="n">
        <x:f>'先声新药假设'!G47</x:f>
        <x:v>2032</x:v>
      </x:c>
      <x:c r="G83" s="11" t="n">
        <x:f>E83-F83</x:f>
        <x:v>0</x:v>
      </x:c>
      <x:c r="H83" s="11" t="n">
        <x:f>IF(G83&lt;0,0,IF(G83&lt;10,CHOOSE(G83+1,0.08,0.2,0.4,0.65,0.85,1,1,0.95,0.85,0.7),1))</x:f>
        <x:v>0.08</x:v>
      </x:c>
      <x:c r="I83" s="11" t="n">
        <x:f>'先声新药假设'!H47</x:f>
        <x:v>2.5</x:v>
      </x:c>
      <x:c r="J83" s="11" t="n">
        <x:f>H83*I83</x:f>
        <x:v>0.2</x:v>
      </x:c>
      <x:c r="K83" s="11" t="n">
        <x:f>'先声新药假设'!I47</x:f>
        <x:v>0.2</x:v>
      </x:c>
      <x:c r="L83" s="11" t="n">
        <x:f>'先声新药假设'!K47</x:f>
        <x:v>0.1</x:v>
      </x:c>
      <x:c r="M83" s="11" t="n">
        <x:f>'先声资金假设'!AA7</x:f>
        <x:v>7</x:v>
      </x:c>
      <x:c r="N83" s="11" t="n">
        <x:f>'先声新药假设'!J47</x:f>
        <x:v>1</x:v>
      </x:c>
      <x:c r="O83" s="11" t="n">
        <x:f>'先声新药假设'!L47</x:f>
        <x:v>0.08</x:v>
      </x:c>
      <x:c r="P83" s="11" t="n">
        <x:f>J83*K83*L83*M83</x:f>
        <x:v>0.028000000000000008</x:v>
      </x:c>
      <x:c r="Q83" s="11" t="n">
        <x:f>P83*N83*(1-O83)</x:f>
        <x:v>0.02576000000000001</x:v>
      </x:c>
      <x:c r="R83" s="11" t="str">
        <x:v>USD</x:v>
      </x:c>
    </x:row>
    <x:row r="84" ht="23" customHeight="1">
      <x:c r="A84" s="11" t="str">
        <x:v>02096.HK</x:v>
      </x:c>
      <x:c r="B84" s="11" t="str">
        <x:v>海外版税</x:v>
      </x:c>
      <x:c r="C84" s="11" t="str">
        <x:v>SIM0660</x:v>
      </x:c>
      <x:c r="D84" s="11" t="str">
        <x:v>onc</x:v>
      </x:c>
      <x:c r="E84" s="11" t="n">
        <x:v>2026</x:v>
      </x:c>
      <x:c r="F84" s="11" t="n">
        <x:f>'先声新药假设'!G51</x:f>
        <x:v>2033</x:v>
      </x:c>
      <x:c r="G84" s="11" t="n">
        <x:f>E84-F84</x:f>
        <x:v>-7</x:v>
      </x:c>
      <x:c r="H84" s="11" t="n">
        <x:f>IF(G84&lt;0,0,IF(G84&lt;10,CHOOSE(G84+1,0.08,0.2,0.4,0.65,0.85,1,1,0.95,0.85,0.7),1))</x:f>
        <x:v>0</x:v>
      </x:c>
      <x:c r="I84" s="11" t="n">
        <x:f>'先声新药假设'!H51</x:f>
        <x:v>2.5</x:v>
      </x:c>
      <x:c r="J84" s="11" t="n">
        <x:f>H84*I84</x:f>
        <x:v>0</x:v>
      </x:c>
      <x:c r="K84" s="11" t="n">
        <x:f>'先声新药假设'!I51</x:f>
        <x:v>0.18</x:v>
      </x:c>
      <x:c r="L84" s="11" t="n">
        <x:f>'先声新药假设'!K51</x:f>
        <x:v>0.1</x:v>
      </x:c>
      <x:c r="M84" s="11" t="n">
        <x:f>'先声资金假设'!AA7</x:f>
        <x:v>7</x:v>
      </x:c>
      <x:c r="N84" s="11" t="n">
        <x:f>'先声新药假设'!J51</x:f>
        <x:v>1</x:v>
      </x:c>
      <x:c r="O84" s="11" t="n">
        <x:f>'先声新药假设'!L51</x:f>
        <x:v>0.08</x:v>
      </x:c>
      <x:c r="P84" s="11" t="n">
        <x:f>J84*K84*L84*M84</x:f>
        <x:v>0</x:v>
      </x:c>
      <x:c r="Q84" s="11" t="n">
        <x:f>P84*N84*(1-O84)</x:f>
        <x:v>0</x:v>
      </x:c>
      <x:c r="R84" s="11" t="str">
        <x:v>USD</x:v>
      </x:c>
    </x:row>
    <x:row r="85" ht="23" customHeight="1">
      <x:c r="A85" s="11" t="str">
        <x:v>02096.HK</x:v>
      </x:c>
      <x:c r="B85" s="11" t="str">
        <x:v>海外版税</x:v>
      </x:c>
      <x:c r="C85" s="11" t="str">
        <x:v>SIM0660</x:v>
      </x:c>
      <x:c r="D85" s="11" t="str">
        <x:v>onc</x:v>
      </x:c>
      <x:c r="E85" s="11" t="n">
        <x:v>2027</x:v>
      </x:c>
      <x:c r="F85" s="11" t="n">
        <x:f>'先声新药假设'!G51</x:f>
        <x:v>2033</x:v>
      </x:c>
      <x:c r="G85" s="11" t="n">
        <x:f>E85-F85</x:f>
        <x:v>-6</x:v>
      </x:c>
      <x:c r="H85" s="11" t="n">
        <x:f>IF(G85&lt;0,0,IF(G85&lt;10,CHOOSE(G85+1,0.08,0.2,0.4,0.65,0.85,1,1,0.95,0.85,0.7),1))</x:f>
        <x:v>0</x:v>
      </x:c>
      <x:c r="I85" s="11" t="n">
        <x:f>'先声新药假设'!H51</x:f>
        <x:v>2.5</x:v>
      </x:c>
      <x:c r="J85" s="11" t="n">
        <x:f>H85*I85</x:f>
        <x:v>0</x:v>
      </x:c>
      <x:c r="K85" s="11" t="n">
        <x:f>'先声新药假设'!I51</x:f>
        <x:v>0.18</x:v>
      </x:c>
      <x:c r="L85" s="11" t="n">
        <x:f>'先声新药假设'!K51</x:f>
        <x:v>0.1</x:v>
      </x:c>
      <x:c r="M85" s="11" t="n">
        <x:f>'先声资金假设'!AA7</x:f>
        <x:v>7</x:v>
      </x:c>
      <x:c r="N85" s="11" t="n">
        <x:f>'先声新药假设'!J51</x:f>
        <x:v>1</x:v>
      </x:c>
      <x:c r="O85" s="11" t="n">
        <x:f>'先声新药假设'!L51</x:f>
        <x:v>0.08</x:v>
      </x:c>
      <x:c r="P85" s="11" t="n">
        <x:f>J85*K85*L85*M85</x:f>
        <x:v>0</x:v>
      </x:c>
      <x:c r="Q85" s="11" t="n">
        <x:f>P85*N85*(1-O85)</x:f>
        <x:v>0</x:v>
      </x:c>
      <x:c r="R85" s="11" t="str">
        <x:v>USD</x:v>
      </x:c>
    </x:row>
    <x:row r="86" ht="23" customHeight="1">
      <x:c r="A86" s="11" t="str">
        <x:v>02096.HK</x:v>
      </x:c>
      <x:c r="B86" s="11" t="str">
        <x:v>海外版税</x:v>
      </x:c>
      <x:c r="C86" s="11" t="str">
        <x:v>SIM0660</x:v>
      </x:c>
      <x:c r="D86" s="11" t="str">
        <x:v>onc</x:v>
      </x:c>
      <x:c r="E86" s="11" t="n">
        <x:v>2028</x:v>
      </x:c>
      <x:c r="F86" s="11" t="n">
        <x:f>'先声新药假设'!G51</x:f>
        <x:v>2033</x:v>
      </x:c>
      <x:c r="G86" s="11" t="n">
        <x:f>E86-F86</x:f>
        <x:v>-5</x:v>
      </x:c>
      <x:c r="H86" s="11" t="n">
        <x:f>IF(G86&lt;0,0,IF(G86&lt;10,CHOOSE(G86+1,0.08,0.2,0.4,0.65,0.85,1,1,0.95,0.85,0.7),1))</x:f>
        <x:v>0</x:v>
      </x:c>
      <x:c r="I86" s="11" t="n">
        <x:f>'先声新药假设'!H51</x:f>
        <x:v>2.5</x:v>
      </x:c>
      <x:c r="J86" s="11" t="n">
        <x:f>H86*I86</x:f>
        <x:v>0</x:v>
      </x:c>
      <x:c r="K86" s="11" t="n">
        <x:f>'先声新药假设'!I51</x:f>
        <x:v>0.18</x:v>
      </x:c>
      <x:c r="L86" s="11" t="n">
        <x:f>'先声新药假设'!K51</x:f>
        <x:v>0.1</x:v>
      </x:c>
      <x:c r="M86" s="11" t="n">
        <x:f>'先声资金假设'!AA7</x:f>
        <x:v>7</x:v>
      </x:c>
      <x:c r="N86" s="11" t="n">
        <x:f>'先声新药假设'!J51</x:f>
        <x:v>1</x:v>
      </x:c>
      <x:c r="O86" s="11" t="n">
        <x:f>'先声新药假设'!L51</x:f>
        <x:v>0.08</x:v>
      </x:c>
      <x:c r="P86" s="11" t="n">
        <x:f>J86*K86*L86*M86</x:f>
        <x:v>0</x:v>
      </x:c>
      <x:c r="Q86" s="11" t="n">
        <x:f>P86*N86*(1-O86)</x:f>
        <x:v>0</x:v>
      </x:c>
      <x:c r="R86" s="11" t="str">
        <x:v>USD</x:v>
      </x:c>
    </x:row>
    <x:row r="87" ht="23" customHeight="1">
      <x:c r="A87" s="11" t="str">
        <x:v>02096.HK</x:v>
      </x:c>
      <x:c r="B87" s="11" t="str">
        <x:v>海外版税</x:v>
      </x:c>
      <x:c r="C87" s="11" t="str">
        <x:v>SIM0660</x:v>
      </x:c>
      <x:c r="D87" s="11" t="str">
        <x:v>onc</x:v>
      </x:c>
      <x:c r="E87" s="11" t="n">
        <x:v>2029</x:v>
      </x:c>
      <x:c r="F87" s="11" t="n">
        <x:f>'先声新药假设'!G51</x:f>
        <x:v>2033</x:v>
      </x:c>
      <x:c r="G87" s="11" t="n">
        <x:f>E87-F87</x:f>
        <x:v>-4</x:v>
      </x:c>
      <x:c r="H87" s="11" t="n">
        <x:f>IF(G87&lt;0,0,IF(G87&lt;10,CHOOSE(G87+1,0.08,0.2,0.4,0.65,0.85,1,1,0.95,0.85,0.7),1))</x:f>
        <x:v>0</x:v>
      </x:c>
      <x:c r="I87" s="11" t="n">
        <x:f>'先声新药假设'!H51</x:f>
        <x:v>2.5</x:v>
      </x:c>
      <x:c r="J87" s="11" t="n">
        <x:f>H87*I87</x:f>
        <x:v>0</x:v>
      </x:c>
      <x:c r="K87" s="11" t="n">
        <x:f>'先声新药假设'!I51</x:f>
        <x:v>0.18</x:v>
      </x:c>
      <x:c r="L87" s="11" t="n">
        <x:f>'先声新药假设'!K51</x:f>
        <x:v>0.1</x:v>
      </x:c>
      <x:c r="M87" s="11" t="n">
        <x:f>'先声资金假设'!AA7</x:f>
        <x:v>7</x:v>
      </x:c>
      <x:c r="N87" s="11" t="n">
        <x:f>'先声新药假设'!J51</x:f>
        <x:v>1</x:v>
      </x:c>
      <x:c r="O87" s="11" t="n">
        <x:f>'先声新药假设'!L51</x:f>
        <x:v>0.08</x:v>
      </x:c>
      <x:c r="P87" s="11" t="n">
        <x:f>J87*K87*L87*M87</x:f>
        <x:v>0</x:v>
      </x:c>
      <x:c r="Q87" s="11" t="n">
        <x:f>P87*N87*(1-O87)</x:f>
        <x:v>0</x:v>
      </x:c>
      <x:c r="R87" s="11" t="str">
        <x:v>USD</x:v>
      </x:c>
    </x:row>
    <x:row r="88" ht="23" customHeight="1">
      <x:c r="A88" s="11" t="str">
        <x:v>02096.HK</x:v>
      </x:c>
      <x:c r="B88" s="11" t="str">
        <x:v>海外版税</x:v>
      </x:c>
      <x:c r="C88" s="11" t="str">
        <x:v>SIM0660</x:v>
      </x:c>
      <x:c r="D88" s="11" t="str">
        <x:v>onc</x:v>
      </x:c>
      <x:c r="E88" s="11" t="n">
        <x:v>2030</x:v>
      </x:c>
      <x:c r="F88" s="11" t="n">
        <x:f>'先声新药假设'!G51</x:f>
        <x:v>2033</x:v>
      </x:c>
      <x:c r="G88" s="11" t="n">
        <x:f>E88-F88</x:f>
        <x:v>-3</x:v>
      </x:c>
      <x:c r="H88" s="11" t="n">
        <x:f>IF(G88&lt;0,0,IF(G88&lt;10,CHOOSE(G88+1,0.08,0.2,0.4,0.65,0.85,1,1,0.95,0.85,0.7),1))</x:f>
        <x:v>0</x:v>
      </x:c>
      <x:c r="I88" s="11" t="n">
        <x:f>'先声新药假设'!H51</x:f>
        <x:v>2.5</x:v>
      </x:c>
      <x:c r="J88" s="11" t="n">
        <x:f>H88*I88</x:f>
        <x:v>0</x:v>
      </x:c>
      <x:c r="K88" s="11" t="n">
        <x:f>'先声新药假设'!I51</x:f>
        <x:v>0.18</x:v>
      </x:c>
      <x:c r="L88" s="11" t="n">
        <x:f>'先声新药假设'!K51</x:f>
        <x:v>0.1</x:v>
      </x:c>
      <x:c r="M88" s="11" t="n">
        <x:f>'先声资金假设'!AA7</x:f>
        <x:v>7</x:v>
      </x:c>
      <x:c r="N88" s="11" t="n">
        <x:f>'先声新药假设'!J51</x:f>
        <x:v>1</x:v>
      </x:c>
      <x:c r="O88" s="11" t="n">
        <x:f>'先声新药假设'!L51</x:f>
        <x:v>0.08</x:v>
      </x:c>
      <x:c r="P88" s="11" t="n">
        <x:f>J88*K88*L88*M88</x:f>
        <x:v>0</x:v>
      </x:c>
      <x:c r="Q88" s="11" t="n">
        <x:f>P88*N88*(1-O88)</x:f>
        <x:v>0</x:v>
      </x:c>
      <x:c r="R88" s="11" t="str">
        <x:v>USD</x:v>
      </x:c>
    </x:row>
    <x:row r="89" ht="23" customHeight="1">
      <x:c r="A89" s="11" t="str">
        <x:v>02096.HK</x:v>
      </x:c>
      <x:c r="B89" s="11" t="str">
        <x:v>海外版税</x:v>
      </x:c>
      <x:c r="C89" s="11" t="str">
        <x:v>SIM0660</x:v>
      </x:c>
      <x:c r="D89" s="11" t="str">
        <x:v>onc</x:v>
      </x:c>
      <x:c r="E89" s="11" t="n">
        <x:v>2031</x:v>
      </x:c>
      <x:c r="F89" s="11" t="n">
        <x:f>'先声新药假设'!G51</x:f>
        <x:v>2033</x:v>
      </x:c>
      <x:c r="G89" s="11" t="n">
        <x:f>E89-F89</x:f>
        <x:v>-2</x:v>
      </x:c>
      <x:c r="H89" s="11" t="n">
        <x:f>IF(G89&lt;0,0,IF(G89&lt;10,CHOOSE(G89+1,0.08,0.2,0.4,0.65,0.85,1,1,0.95,0.85,0.7),1))</x:f>
        <x:v>0</x:v>
      </x:c>
      <x:c r="I89" s="11" t="n">
        <x:f>'先声新药假设'!H51</x:f>
        <x:v>2.5</x:v>
      </x:c>
      <x:c r="J89" s="11" t="n">
        <x:f>H89*I89</x:f>
        <x:v>0</x:v>
      </x:c>
      <x:c r="K89" s="11" t="n">
        <x:f>'先声新药假设'!I51</x:f>
        <x:v>0.18</x:v>
      </x:c>
      <x:c r="L89" s="11" t="n">
        <x:f>'先声新药假设'!K51</x:f>
        <x:v>0.1</x:v>
      </x:c>
      <x:c r="M89" s="11" t="n">
        <x:f>'先声资金假设'!AA7</x:f>
        <x:v>7</x:v>
      </x:c>
      <x:c r="N89" s="11" t="n">
        <x:f>'先声新药假设'!J51</x:f>
        <x:v>1</x:v>
      </x:c>
      <x:c r="O89" s="11" t="n">
        <x:f>'先声新药假设'!L51</x:f>
        <x:v>0.08</x:v>
      </x:c>
      <x:c r="P89" s="11" t="n">
        <x:f>J89*K89*L89*M89</x:f>
        <x:v>0</x:v>
      </x:c>
      <x:c r="Q89" s="11" t="n">
        <x:f>P89*N89*(1-O89)</x:f>
        <x:v>0</x:v>
      </x:c>
      <x:c r="R89" s="11" t="str">
        <x:v>USD</x:v>
      </x:c>
    </x:row>
    <x:row r="90" ht="23" customHeight="1">
      <x:c r="A90" s="11" t="str">
        <x:v>02096.HK</x:v>
      </x:c>
      <x:c r="B90" s="11" t="str">
        <x:v>海外版税</x:v>
      </x:c>
      <x:c r="C90" s="11" t="str">
        <x:v>SIM0660</x:v>
      </x:c>
      <x:c r="D90" s="11" t="str">
        <x:v>onc</x:v>
      </x:c>
      <x:c r="E90" s="11" t="n">
        <x:v>2032</x:v>
      </x:c>
      <x:c r="F90" s="11" t="n">
        <x:f>'先声新药假设'!G51</x:f>
        <x:v>2033</x:v>
      </x:c>
      <x:c r="G90" s="11" t="n">
        <x:f>E90-F90</x:f>
        <x:v>-1</x:v>
      </x:c>
      <x:c r="H90" s="11" t="n">
        <x:f>IF(G90&lt;0,0,IF(G90&lt;10,CHOOSE(G90+1,0.08,0.2,0.4,0.65,0.85,1,1,0.95,0.85,0.7),1))</x:f>
        <x:v>0</x:v>
      </x:c>
      <x:c r="I90" s="11" t="n">
        <x:f>'先声新药假设'!H51</x:f>
        <x:v>2.5</x:v>
      </x:c>
      <x:c r="J90" s="11" t="n">
        <x:f>H90*I90</x:f>
        <x:v>0</x:v>
      </x:c>
      <x:c r="K90" s="11" t="n">
        <x:f>'先声新药假设'!I51</x:f>
        <x:v>0.18</x:v>
      </x:c>
      <x:c r="L90" s="11" t="n">
        <x:f>'先声新药假设'!K51</x:f>
        <x:v>0.1</x:v>
      </x:c>
      <x:c r="M90" s="11" t="n">
        <x:f>'先声资金假设'!AA7</x:f>
        <x:v>7</x:v>
      </x:c>
      <x:c r="N90" s="11" t="n">
        <x:f>'先声新药假设'!J51</x:f>
        <x:v>1</x:v>
      </x:c>
      <x:c r="O90" s="11" t="n">
        <x:f>'先声新药假设'!L51</x:f>
        <x:v>0.08</x:v>
      </x:c>
      <x:c r="P90" s="11" t="n">
        <x:f>J90*K90*L90*M90</x:f>
        <x:v>0</x:v>
      </x:c>
      <x:c r="Q90" s="11" t="n">
        <x:f>P90*N90*(1-O90)</x:f>
        <x:v>0</x:v>
      </x:c>
      <x:c r="R90" s="11" t="str">
        <x:v>USD</x:v>
      </x:c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3" topLeftCell="D1" activePane="top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</x:cols>
  <x:sheetData>
    <x:row r="1">
      <x:c r="A1" s="2"/>
      <x:c r="B1" s="31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</x:row>
    <x:row r="2">
      <x:c r="A2" s="29" t="str">
        <x:v>正常经营盈利与现金滚动 PE不再加现金或减债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</x:row>
    <x:row r="6" ht="52" customHeight="1">
      <x:c r="A6" s="12" t="str">
        <x:v>代码</x:v>
      </x:c>
      <x:c r="B6" s="12" t="str">
        <x:v>年度</x:v>
      </x:c>
      <x:c r="C6" s="12" t="str">
        <x:v>正常收入</x:v>
      </x:c>
      <x:c r="D6" s="12" t="str">
        <x:v>正常毛利</x:v>
      </x:c>
      <x:c r="E6" s="12" t="str">
        <x:v>肿瘤毛利</x:v>
      </x:c>
      <x:c r="F6" s="12" t="str">
        <x:v>肿瘤分配费用</x:v>
      </x:c>
      <x:c r="G6" s="12" t="str">
        <x:v>肿瘤税前贡献</x:v>
      </x:c>
      <x:c r="H6" s="12" t="str">
        <x:v>正常税前盈利</x:v>
      </x:c>
      <x:c r="I6" s="12" t="str">
        <x:v>税率</x:v>
      </x:c>
      <x:c r="J6" s="12" t="str">
        <x:v>合并正常盈利</x:v>
      </x:c>
      <x:c r="K6" s="12" t="str">
        <x:v>肿瘤经济母份额</x:v>
      </x:c>
      <x:c r="L6" s="12" t="str">
        <x:v>肿瘤少数贡献</x:v>
      </x:c>
      <x:c r="M6" s="12" t="str">
        <x:v>归母正常盈利</x:v>
      </x:c>
      <x:c r="N6" s="12" t="str">
        <x:v>摊薄股数</x:v>
      </x:c>
      <x:c r="O6" s="12" t="str">
        <x:v>正常EPS CNY</x:v>
      </x:c>
      <x:c r="P6" s="12" t="str">
        <x:v>核心经营现金</x:v>
      </x:c>
      <x:c r="Q6" s="12" t="str">
        <x:v>期初现金</x:v>
      </x:c>
      <x:c r="R6" s="12" t="str">
        <x:v>剩余经营现金</x:v>
      </x:c>
      <x:c r="S6" s="12" t="str">
        <x:v>剩余资本开支</x:v>
      </x:c>
      <x:c r="T6" s="12" t="str">
        <x:v>剩余许可购买</x:v>
      </x:c>
      <x:c r="U6" s="12" t="str">
        <x:v>租赁本金</x:v>
      </x:c>
      <x:c r="V6" s="12" t="str">
        <x:v>Roche净现金</x:v>
      </x:c>
      <x:c r="W6" s="12" t="str">
        <x:v>所选里程碑净现金</x:v>
      </x:c>
      <x:c r="X6" s="12" t="str">
        <x:v>分红现金</x:v>
      </x:c>
      <x:c r="Y6" s="12" t="str">
        <x:v>回购现金</x:v>
      </x:c>
      <x:c r="Z6" s="12" t="str">
        <x:v>现金赎回</x:v>
      </x:c>
      <x:c r="AA6" s="12" t="str">
        <x:v>银行净融资</x:v>
      </x:c>
      <x:c r="AB6" s="12" t="str">
        <x:v>期末现金</x:v>
      </x:c>
      <x:c r="AC6" s="12" t="str">
        <x:v>银行债</x:v>
      </x:c>
      <x:c r="AD6" s="12" t="str">
        <x:v>未解除赎回负债</x:v>
      </x:c>
    </x:row>
    <x:row r="7" ht="23" customHeight="1">
      <x:c r="A7" s="11" t="str">
        <x:v>02096.HK</x:v>
      </x:c>
      <x:c r="B7" s="11" t="n">
        <x:v>2026</x:v>
      </x:c>
      <x:c r="C7" s="11" t="n">
        <x:f>'先声年度假设'!D7+'先声年度假设'!E7+'先声年度假设'!F7+'先声年度假设'!G7+'先声风险收入桥'!P7+'先声风险收入桥'!P14+'先声风险收入桥'!P21+'先声风险收入桥'!P28+'先声风险收入桥'!P35+'先声风险收入桥'!P42+'先声风险收入桥'!P49+'先声风险收入桥'!P56+'先声风险收入桥'!P63+'先声风险收入桥'!P70+'先声风险收入桥'!P77+'先声风险收入桥'!P84</x:f>
        <x:v>9.5</x:v>
      </x:c>
      <x:c r="D7" s="11" t="n">
        <x:f>'先声年度假设'!D7*'先声资金假设'!C7+'先声年度假设'!E7*'先声资金假设'!D7+'先声年度假设'!F7*'先声资金假设'!E7+'先声年度假设'!G7*'先声资金假设'!F7+'先声风险收入桥'!Q7+'先声风险收入桥'!Q14+'先声风险收入桥'!Q21+'先声风险收入桥'!Q28+'先声风险收入桥'!Q35+'先声风险收入桥'!Q42+'先声风险收入桥'!Q49+'先声风险收入桥'!Q56+'先声风险收入桥'!Q63+'先声风险收入桥'!Q70+'先声风险收入桥'!Q77+'先声风险收入桥'!Q84</x:f>
        <x:v>7.640999999999999</x:v>
      </x:c>
      <x:c r="E7" s="11" t="n">
        <x:f>'先声年度假设'!F7*'先声资金假设'!E7+'先声风险收入桥'!Q28+'先声风险收入桥'!Q35+'先声风险收入桥'!Q49+'先声风险收入桥'!Q63+'先声风险收入桥'!Q70+'先声风险收入桥'!Q84</x:f>
        <x:v>1.62</x:v>
      </x:c>
      <x:c r="F7" s="11" t="n">
        <x:f>'先声年度假设'!H7*'先声资金假设'!O7+'先声年度假设'!I7*'先声资金假设'!P7+'先声年度假设'!J7*'先声资金假设'!Q7+'先声年度假设'!K7*'先声资金假设'!R7</x:f>
        <x:v>1.8993000000000002</x:v>
      </x:c>
      <x:c r="G7" s="11" t="n">
        <x:f>E7-F7</x:f>
        <x:v>-0.2793000000000001</x:v>
      </x:c>
      <x:c r="H7" s="11" t="n">
        <x:f>D7-'先声年度假设'!H7-'先声年度假设'!I7-'先声年度假设'!J7-'先声年度假设'!K7-'先声年度假设'!L7-'先声年度假设'!M7</x:f>
        <x:v>1.3459999999999992</x:v>
      </x:c>
      <x:c r="I7" s="11" t="n">
        <x:f>'先声资金假设'!G7</x:f>
        <x:v>0.2</x:v>
      </x:c>
      <x:c r="J7" s="11" t="n">
        <x:f>H7*(1-I7)</x:f>
        <x:v>1.0767999999999993</x:v>
      </x:c>
      <x:c r="K7" s="11" t="n">
        <x:f>IF(AND('先声资金假设'!K7=1,B7&gt;='先声资金假设'!L7),'先声资金假设'!N7,'先声年度假设'!N7)</x:f>
        <x:v>0.831</x:v>
      </x:c>
      <x:c r="L7" s="11" t="n">
        <x:f>(1-K7)*G7*(1-I7)</x:f>
        <x:v>-0.03776136000000002</x:v>
      </x:c>
      <x:c r="M7" s="11" t="n">
        <x:f>J7-L7</x:f>
        <x:v>1.1145613599999993</x:v>
      </x:c>
      <x:c r="N7" s="11" t="n">
        <x:f>'先声年度假设'!O7</x:f>
        <x:v>2.57</x:v>
      </x:c>
      <x:c r="O7" s="11" t="n">
        <x:f>MAX(0,M7)/N7</x:f>
        <x:v>0.4336814630350192</x:v>
      </x:c>
      <x:c r="P7" s="11" t="n">
        <x:f>J7+'先声年度假设'!P7+'先声年度假设'!Q7-'先声年度假设'!T7</x:f>
        <x:v>1.4767999999999992</x:v>
      </x:c>
      <x:c r="Q7" s="11" t="n">
        <x:f>'先声资金假设'!H7</x:f>
        <x:v>5.197607</x:v>
      </x:c>
      <x:c r="R7" s="11" t="n">
        <x:f>P7*'先声资金假设'!S7</x:f>
        <x:v>0.7383999999999996</x:v>
      </x:c>
      <x:c r="S7" s="11" t="n">
        <x:f>MAX(0,'先声年度假设'!R7-'先声资金假设'!T7)</x:f>
        <x:v>0.44704699999999997</x:v>
      </x:c>
      <x:c r="T7" s="11" t="n">
        <x:f>MAX(0,'先声年度假设'!S7-'先声资金假设'!U7)</x:f>
        <x:v>0.186295</x:v>
      </x:c>
      <x:c r="U7" s="11" t="n">
        <x:f>'先声资金假设'!W7</x:f>
        <x:v>0.04</x:v>
      </x:c>
      <x:c r="V7" s="11" t="n">
        <x:f>'先声资金假设'!X7*'先声资金假设'!AA7*'先声资金假设'!Y7</x:f>
        <x:v>0.44625</x:v>
      </x:c>
      <x:c r="W7" s="11" t="n">
        <x:f>'先声年度假设'!U7*'先声资金假设'!Z7</x:f>
        <x:v>0</x:v>
      </x:c>
      <x:c r="X7" s="11" t="n">
        <x:f>'先声资金假设'!V7</x:f>
        <x:v>0.45726799999999995</x:v>
      </x:c>
      <x:c r="Y7" s="11" t="n">
        <x:f>'先声年度假设'!W7</x:f>
        <x:v>0.075</x:v>
      </x:c>
      <x:c r="Z7" s="11" t="n">
        <x:f>IF(AND('先声资金假设'!K7=1,B7='先声资金假设'!L7),'先声资金假设'!M7,0)</x:f>
        <x:v>0</x:v>
      </x:c>
      <x:c r="AA7" s="11" t="n">
        <x:f>'先声年度假设'!X7</x:f>
        <x:v>0</x:v>
      </x:c>
      <x:c r="AB7" s="11" t="n">
        <x:f>Q7+R7-S7-T7-U7+V7+W7-X7-Y7-Z7+AA7</x:f>
        <x:v>5.176646999999998</x:v>
      </x:c>
      <x:c r="AC7" s="11" t="n">
        <x:f>'先声资金假设'!I7+AA7</x:f>
        <x:v>1.05799</x:v>
      </x:c>
      <x:c r="AD7" s="11" t="n">
        <x:f>IF(B7&lt;'先声资金假设'!L7,'先声资金假设'!J7,0)</x:f>
        <x:v>1.223692</x:v>
      </x:c>
    </x:row>
    <x:row r="8" ht="23" customHeight="1">
      <x:c r="A8" s="11" t="str">
        <x:v>02096.HK</x:v>
      </x:c>
      <x:c r="B8" s="11" t="n">
        <x:v>2027</x:v>
      </x:c>
      <x:c r="C8" s="11" t="n">
        <x:f>'先声年度假设'!D11+'先声年度假设'!E11+'先声年度假设'!F11+'先声年度假设'!G11+'先声风险收入桥'!P8+'先声风险收入桥'!P15+'先声风险收入桥'!P22+'先声风险收入桥'!P29+'先声风险收入桥'!P36+'先声风险收入桥'!P43+'先声风险收入桥'!P50+'先声风险收入桥'!P57+'先声风险收入桥'!P64+'先声风险收入桥'!P71+'先声风险收入桥'!P78+'先声风险收入桥'!P85</x:f>
        <x:v>11.514</x:v>
      </x:c>
      <x:c r="D8" s="11" t="n">
        <x:f>'先声年度假设'!D11*'先声资金假设'!C7+'先声年度假设'!E11*'先声资金假设'!D7+'先声年度假设'!F11*'先声资金假设'!E7+'先声年度假设'!G11*'先声资金假设'!F7+'先声风险收入桥'!Q8+'先声风险收入桥'!Q15+'先声风险收入桥'!Q22+'先声风险收入桥'!Q29+'先声风险收入桥'!Q36+'先声风险收入桥'!Q43+'先声风险收入桥'!Q50+'先声风险收入桥'!Q57+'先声风险收入桥'!Q64+'先声风险收入桥'!Q71+'先声风险收入桥'!Q78+'先声风险收入桥'!Q85</x:f>
        <x:v>9.274692</x:v>
      </x:c>
      <x:c r="E8" s="11" t="n">
        <x:f>'先声年度假设'!F11*'先声资金假设'!E7+'先声风险收入桥'!Q29+'先声风险收入桥'!Q36+'先声风险收入桥'!Q50+'先声风险收入桥'!Q64+'先声风险收入桥'!Q71+'先声风险收入桥'!Q85</x:f>
        <x:v>2.1060000000000003</x:v>
      </x:c>
      <x:c r="F8" s="11" t="n">
        <x:f>'先声年度假设'!H11*'先声资金假设'!O7+'先声年度假设'!I11*'先声资金假设'!P7+'先声年度假设'!J11*'先声资金假设'!Q7+'先声年度假设'!K11*'先声资金假设'!R7</x:f>
        <x:v>2.1943999999999995</x:v>
      </x:c>
      <x:c r="G8" s="11" t="n">
        <x:f>E8-F8</x:f>
        <x:v>-0.08839999999999915</x:v>
      </x:c>
      <x:c r="H8" s="11" t="n">
        <x:f>D8-'先声年度假设'!H11-'先声年度假设'!I11-'先声年度假设'!J11-'先声年度假设'!K11-'先声年度假设'!L11-'先声年度假设'!M11</x:f>
        <x:v>2.084692</x:v>
      </x:c>
      <x:c r="I8" s="11" t="n">
        <x:f>'先声资金假设'!G7</x:f>
        <x:v>0.2</x:v>
      </x:c>
      <x:c r="J8" s="11" t="n">
        <x:f>H8*(1-I8)</x:f>
        <x:v>1.6677536000000002</x:v>
      </x:c>
      <x:c r="K8" s="11" t="n">
        <x:f>IF(AND('先声资金假设'!K7=1,B8&gt;='先声资金假设'!L7),'先声资金假设'!N7,'先声年度假设'!N11)</x:f>
        <x:v>0.72</x:v>
      </x:c>
      <x:c r="L8" s="11" t="n">
        <x:f>(1-K8)*G8*(1-I8)</x:f>
        <x:v>-0.01980159999999981</x:v>
      </x:c>
      <x:c r="M8" s="11" t="n">
        <x:f>J8-L8</x:f>
        <x:v>1.6875552</x:v>
      </x:c>
      <x:c r="N8" s="11" t="n">
        <x:f>'先声年度假设'!O11</x:f>
        <x:v>2.59</x:v>
      </x:c>
      <x:c r="O8" s="11" t="n">
        <x:f>MAX(0,M8)/N8</x:f>
        <x:v>0.6515657142857143</x:v>
      </x:c>
      <x:c r="P8" s="11" t="n">
        <x:f>J8+'先声年度假设'!P11+'先声年度假设'!Q11-'先声年度假设'!T11</x:f>
        <x:v>1.9577536000000002</x:v>
      </x:c>
      <x:c r="Q8" s="11" t="n">
        <x:f>AB7</x:f>
        <x:v>5.176646999999998</x:v>
      </x:c>
      <x:c r="R8" s="11" t="n">
        <x:f>P8</x:f>
        <x:v>1.9577536000000002</x:v>
      </x:c>
      <x:c r="S8" s="11" t="n">
        <x:f>'先声年度假设'!R11</x:f>
        <x:v>0.75</x:v>
      </x:c>
      <x:c r="T8" s="11" t="n">
        <x:f>'先声年度假设'!S11</x:f>
        <x:v>0.35</x:v>
      </x:c>
      <x:c r="U8" s="11" t="n">
        <x:f>'先声资金假设'!W7</x:f>
        <x:v>0.04</x:v>
      </x:c>
      <x:c r="V8" s="11" t="n">
        <x:f>0</x:f>
        <x:v>0</x:v>
      </x:c>
      <x:c r="W8" s="11" t="n">
        <x:f>'先声年度假设'!U11*'先声资金假设'!Z7</x:f>
        <x:v>0.1275</x:v>
      </x:c>
      <x:c r="X8" s="11" t="n">
        <x:f>'先声年度假设'!V7*N8</x:f>
        <x:v>0.5698</x:v>
      </x:c>
      <x:c r="Y8" s="11" t="n">
        <x:f>'先声年度假设'!W11</x:f>
        <x:v>0.1</x:v>
      </x:c>
      <x:c r="Z8" s="11" t="n">
        <x:f>IF(AND('先声资金假设'!K7=1,B8='先声资金假设'!L7),'先声资金假设'!M7,0)</x:f>
        <x:v>0</x:v>
      </x:c>
      <x:c r="AA8" s="11" t="n">
        <x:f>'先声年度假设'!X11</x:f>
        <x:v>0</x:v>
      </x:c>
      <x:c r="AB8" s="11" t="n">
        <x:f>Q8+R8-S8-T8-U8+V8+W8-X8-Y8-Z8+AA8</x:f>
        <x:v>5.4521006</x:v>
      </x:c>
      <x:c r="AC8" s="11" t="n">
        <x:f>AC7+AA8</x:f>
        <x:v>1.05799</x:v>
      </x:c>
      <x:c r="AD8" s="11" t="n">
        <x:f>IF(B8&lt;'先声资金假设'!L7,'先声资金假设'!J7,0)</x:f>
        <x:v>0</x:v>
      </x:c>
    </x:row>
    <x:row r="9" ht="23" customHeight="1">
      <x:c r="A9" s="11" t="str">
        <x:v>02096.HK</x:v>
      </x:c>
      <x:c r="B9" s="11" t="n">
        <x:v>2028</x:v>
      </x:c>
      <x:c r="C9" s="11" t="n">
        <x:f>'先声年度假设'!D15+'先声年度假设'!E15+'先声年度假设'!F15+'先声年度假设'!G15+'先声风险收入桥'!P9+'先声风险收入桥'!P16+'先声风险收入桥'!P23+'先声风险收入桥'!P30+'先声风险收入桥'!P37+'先声风险收入桥'!P44+'先声风险收入桥'!P51+'先声风险收入桥'!P58+'先声风险收入桥'!P65+'先声风险收入桥'!P72+'先声风险收入桥'!P79+'先声风险收入桥'!P86</x:f>
        <x:v>13.6516</x:v>
      </x:c>
      <x:c r="D9" s="11" t="n">
        <x:f>'先声年度假设'!D15*'先声资金假设'!C7+'先声年度假设'!E15*'先声资金假设'!D7+'先声年度假设'!F15*'先声资金假设'!E7+'先声年度假设'!G15*'先声资金假设'!F7+'先声风险收入桥'!Q9+'先声风险收入桥'!Q16+'先声风险收入桥'!Q23+'先声风险收入桥'!Q30+'先声风险收入桥'!Q37+'先声风险收入桥'!Q44+'先声风险收入桥'!Q51+'先声风险收入桥'!Q58+'先声风险收入桥'!Q65+'先声风险收入桥'!Q72+'先声风险收入桥'!Q79+'先声风险收入桥'!Q86</x:f>
        <x:v>10.996348</x:v>
      </x:c>
      <x:c r="E9" s="11" t="n">
        <x:f>'先声年度假设'!F15*'先声资金假设'!E7+'先声风险收入桥'!Q30+'先声风险收入桥'!Q37+'先声风险收入桥'!Q51+'先声风险收入桥'!Q65+'先声风险收入桥'!Q72+'先声风险收入桥'!Q86</x:f>
        <x:v>2.703368</x:v>
      </x:c>
      <x:c r="F9" s="11" t="n">
        <x:f>'先声年度假设'!H15*'先声资金假设'!O7+'先声年度假设'!I15*'先声资金假设'!P7+'先声年度假设'!J15*'先声资金假设'!Q7+'先声年度假设'!K15*'先声资金假设'!R7</x:f>
        <x:v>2.5215</x:v>
      </x:c>
      <x:c r="G9" s="11" t="n">
        <x:f>E9-F9</x:f>
        <x:v>0.18186800000000014</x:v>
      </x:c>
      <x:c r="H9" s="11" t="n">
        <x:f>D9-'先声年度假设'!H15-'先声年度假设'!I15-'先声年度假设'!J15-'先声年度假设'!K15-'先声年度假设'!L15-'先声年度假设'!M15</x:f>
        <x:v>2.7183479999999993</x:v>
      </x:c>
      <x:c r="I9" s="11" t="n">
        <x:f>'先声资金假设'!G7</x:f>
        <x:v>0.2</x:v>
      </x:c>
      <x:c r="J9" s="11" t="n">
        <x:f>H9*(1-I9)</x:f>
        <x:v>2.1746783999999995</x:v>
      </x:c>
      <x:c r="K9" s="11" t="n">
        <x:f>IF(AND('先声资金假设'!K7=1,B9&gt;='先声资金假设'!L7),'先声资金假设'!N7,'先声年度假设'!N15)</x:f>
        <x:v>0.72</x:v>
      </x:c>
      <x:c r="L9" s="11" t="n">
        <x:f>(1-K9)*G9*(1-I9)</x:f>
        <x:v>0.04073843200000004</x:v>
      </x:c>
      <x:c r="M9" s="11" t="n">
        <x:f>J9-L9</x:f>
        <x:v>2.1339399679999995</x:v>
      </x:c>
      <x:c r="N9" s="11" t="n">
        <x:f>'先声年度假设'!O15</x:f>
        <x:v>2.61</x:v>
      </x:c>
      <x:c r="O9" s="11" t="n">
        <x:f>MAX(0,M9)/N9</x:f>
        <x:v>0.8176015203065132</x:v>
      </x:c>
      <x:c r="P9" s="11" t="n">
        <x:f>J9+'先声年度假设'!P15+'先声年度假设'!Q15-'先声年度假设'!T15</x:f>
        <x:v>2.4646783999999995</x:v>
      </x:c>
      <x:c r="Q9" s="11" t="n">
        <x:f>AB8</x:f>
        <x:v>5.4521006</x:v>
      </x:c>
      <x:c r="R9" s="11" t="n">
        <x:f>P9</x:f>
        <x:v>2.4646783999999995</x:v>
      </x:c>
      <x:c r="S9" s="11" t="n">
        <x:f>'先声年度假设'!R15</x:f>
        <x:v>0.8</x:v>
      </x:c>
      <x:c r="T9" s="11" t="n">
        <x:f>'先声年度假设'!S15</x:f>
        <x:v>0.4</x:v>
      </x:c>
      <x:c r="U9" s="11" t="n">
        <x:f>'先声资金假设'!W7</x:f>
        <x:v>0.04</x:v>
      </x:c>
      <x:c r="V9" s="11" t="n">
        <x:f>0</x:f>
        <x:v>0</x:v>
      </x:c>
      <x:c r="W9" s="11" t="n">
        <x:f>'先声年度假设'!U15*'先声资金假设'!Z7</x:f>
        <x:v>0.2125</x:v>
      </x:c>
      <x:c r="X9" s="11" t="n">
        <x:f>'先声年度假设'!V11*N9</x:f>
        <x:v>0.6786</x:v>
      </x:c>
      <x:c r="Y9" s="11" t="n">
        <x:f>'先声年度假设'!W15</x:f>
        <x:v>0.1</x:v>
      </x:c>
      <x:c r="Z9" s="11" t="n">
        <x:f>IF(AND('先声资金假设'!K7=1,B9='先声资金假设'!L7),'先声资金假设'!M7,0)</x:f>
        <x:v>0</x:v>
      </x:c>
      <x:c r="AA9" s="11" t="n">
        <x:f>'先声年度假设'!X15</x:f>
        <x:v>0</x:v>
      </x:c>
      <x:c r="AB9" s="11" t="n">
        <x:f>Q9+R9-S9-T9-U9+V9+W9-X9-Y9-Z9+AA9</x:f>
        <x:v>6.110678999999999</x:v>
      </x:c>
      <x:c r="AC9" s="11" t="n">
        <x:f>AC8+AA9</x:f>
        <x:v>1.05799</x:v>
      </x:c>
      <x:c r="AD9" s="11" t="n">
        <x:f>IF(B9&lt;'先声资金假设'!L7,'先声资金假设'!J7,0)</x:f>
        <x:v>0</x:v>
      </x:c>
    </x:row>
    <x:row r="10" ht="23" customHeight="1">
      <x:c r="A10" s="11" t="str">
        <x:v>02096.HK</x:v>
      </x:c>
      <x:c r="B10" s="11" t="n">
        <x:v>2029</x:v>
      </x:c>
      <x:c r="C10" s="11" t="n">
        <x:f>'先声年度假设'!D19+'先声年度假设'!E19+'先声年度假设'!F19+'先声年度假设'!G19+'先声风险收入桥'!P10+'先声风险收入桥'!P17+'先声风险收入桥'!P24+'先声风险收入桥'!P31+'先声风险收入桥'!P38+'先声风险收入桥'!P45+'先声风险收入桥'!P52+'先声风险收入桥'!P59+'先声风险收入桥'!P66+'先声风险收入桥'!P73+'先声风险收入桥'!P80+'先声风险收入桥'!P87</x:f>
        <x:v>16.03024</x:v>
      </x:c>
      <x:c r="D10" s="11" t="n">
        <x:f>'先声年度假设'!D19*'先声资金假设'!C7+'先声年度假设'!E19*'先声资金假设'!D7+'先声年度假设'!F19*'先声资金假设'!E7+'先声年度假设'!G19*'先声资金假设'!F7+'先声风险收入桥'!Q10+'先声风险收入桥'!Q17+'先声风险收入桥'!Q24+'先声风险收入桥'!Q31+'先声风险收入桥'!Q38+'先声风险收入桥'!Q45+'先声风险收入桥'!Q52+'先声风险收入桥'!Q59+'先声风险收入桥'!Q66+'先声风险收入桥'!Q73+'先声风险收入桥'!Q80+'先声风险收入桥'!Q87</x:f>
        <x:v>12.9003808</x:v>
      </x:c>
      <x:c r="E10" s="11" t="n">
        <x:f>'先声年度假设'!F19*'先声资金假设'!E7+'先声风险收入桥'!Q31+'先声风险收入桥'!Q38+'先声风险收入桥'!Q52+'先声风险收入桥'!Q66+'先声风险收入桥'!Q73+'先声风险收入桥'!Q87</x:f>
        <x:v>3.3929408000000003</x:v>
      </x:c>
      <x:c r="F10" s="11" t="n">
        <x:f>'先声年度假设'!H19*'先声资金假设'!O7+'先声年度假设'!I19*'先声资金假设'!P7+'先声年度假设'!J19*'先声资金假设'!Q7+'先声年度假设'!K19*'先声资金假设'!R7</x:f>
        <x:v>2.8226</x:v>
      </x:c>
      <x:c r="G10" s="11" t="n">
        <x:f>E10-F10</x:f>
        <x:v>0.5703408000000003</x:v>
      </x:c>
      <x:c r="H10" s="11" t="n">
        <x:f>D10-'先声年度假设'!H19-'先声年度假设'!I19-'先声年度假设'!J19-'先声年度假设'!K19-'先声年度假设'!L19-'先声年度假设'!M19</x:f>
        <x:v>3.635380800000001</x:v>
      </x:c>
      <x:c r="I10" s="11" t="n">
        <x:f>'先声资金假设'!G7</x:f>
        <x:v>0.2</x:v>
      </x:c>
      <x:c r="J10" s="11" t="n">
        <x:f>H10*(1-I10)</x:f>
        <x:v>2.9083046400000008</x:v>
      </x:c>
      <x:c r="K10" s="11" t="n">
        <x:f>IF(AND('先声资金假设'!K7=1,B10&gt;='先声资金假设'!L7),'先声资金假设'!N7,'先声年度假设'!N19)</x:f>
        <x:v>0.72</x:v>
      </x:c>
      <x:c r="L10" s="11" t="n">
        <x:f>(1-K10)*G10*(1-I10)</x:f>
        <x:v>0.1277563392000001</x:v>
      </x:c>
      <x:c r="M10" s="11" t="n">
        <x:f>J10-L10</x:f>
        <x:v>2.7805483008000005</x:v>
      </x:c>
      <x:c r="N10" s="11" t="n">
        <x:f>'先声年度假设'!O19</x:f>
        <x:v>2.635</x:v>
      </x:c>
      <x:c r="O10" s="11" t="n">
        <x:f>MAX(0,M10)/N10</x:f>
        <x:v>1.0552365467931692</x:v>
      </x:c>
      <x:c r="P10" s="11" t="n">
        <x:f>J10+'先声年度假设'!P19+'先声年度假设'!Q19-'先声年度假设'!T19</x:f>
        <x:v>3.2183046400000004</x:v>
      </x:c>
      <x:c r="Q10" s="11" t="n">
        <x:f>AB9</x:f>
        <x:v>6.110678999999999</x:v>
      </x:c>
      <x:c r="R10" s="11" t="n">
        <x:f>P10</x:f>
        <x:v>3.2183046400000004</x:v>
      </x:c>
      <x:c r="S10" s="11" t="n">
        <x:f>'先声年度假设'!R19</x:f>
        <x:v>0.85</x:v>
      </x:c>
      <x:c r="T10" s="11" t="n">
        <x:f>'先声年度假设'!S19</x:f>
        <x:v>0.45</x:v>
      </x:c>
      <x:c r="U10" s="11" t="n">
        <x:f>'先声资金假设'!W7</x:f>
        <x:v>0.04</x:v>
      </x:c>
      <x:c r="V10" s="11" t="n">
        <x:f>0</x:f>
        <x:v>0</x:v>
      </x:c>
      <x:c r="W10" s="11" t="n">
        <x:f>'先声年度假设'!U19*'先声资金假设'!Z7</x:f>
        <x:v>0.2975</x:v>
      </x:c>
      <x:c r="X10" s="11" t="n">
        <x:f>'先声年度假设'!V15*N10</x:f>
        <x:v>0.8432</x:v>
      </x:c>
      <x:c r="Y10" s="11" t="n">
        <x:f>'先声年度假设'!W19</x:f>
        <x:v>0.1</x:v>
      </x:c>
      <x:c r="Z10" s="11" t="n">
        <x:f>IF(AND('先声资金假设'!K7=1,B10='先声资金假设'!L7),'先声资金假设'!M7,0)</x:f>
        <x:v>0</x:v>
      </x:c>
      <x:c r="AA10" s="11" t="n">
        <x:f>'先声年度假设'!X19</x:f>
        <x:v>0</x:v>
      </x:c>
      <x:c r="AB10" s="11" t="n">
        <x:f>Q10+R10-S10-T10-U10+V10+W10-X10-Y10-Z10+AA10</x:f>
        <x:v>7.343283640000003</x:v>
      </x:c>
      <x:c r="AC10" s="11" t="n">
        <x:f>AC9+AA10</x:f>
        <x:v>1.05799</x:v>
      </x:c>
      <x:c r="AD10" s="11" t="n">
        <x:f>IF(B10&lt;'先声资金假设'!L7,'先声资金假设'!J7,0)</x:f>
        <x:v>0</x:v>
      </x:c>
    </x:row>
    <x:row r="11" ht="23" customHeight="1">
      <x:c r="A11" s="11" t="str">
        <x:v>02096.HK</x:v>
      </x:c>
      <x:c r="B11" s="11" t="n">
        <x:v>2030</x:v>
      </x:c>
      <x:c r="C11" s="11" t="n">
        <x:f>'先声年度假设'!D23+'先声年度假设'!E23+'先声年度假设'!F23+'先声年度假设'!G23+'先声风险收入桥'!P11+'先声风险收入桥'!P18+'先声风险收入桥'!P25+'先声风险收入桥'!P32+'先声风险收入桥'!P39+'先声风险收入桥'!P46+'先声风险收入桥'!P53+'先声风险收入桥'!P60+'先声风险收入桥'!P67+'先声风险收入桥'!P74+'先声风险收入桥'!P81+'先声风险收入桥'!P88</x:f>
        <x:v>18.372899999999998</x:v>
      </x:c>
      <x:c r="D11" s="11" t="n">
        <x:f>'先声年度假设'!D23*'先声资金假设'!C7+'先声年度假设'!E23*'先声资金假设'!D7+'先声年度假设'!F23*'先声资金假设'!E7+'先声年度假设'!G23*'先声资金假设'!F7+'先声风险收入桥'!Q11+'先声风险收入桥'!Q18+'先声风险收入桥'!Q25+'先声风险收入桥'!Q32+'先声风险收入桥'!Q39+'先声风险收入桥'!Q46+'先声风险收入桥'!Q53+'先声风险收入桥'!Q60+'先声风险收入桥'!Q67+'先声风险收入桥'!Q74+'先声风险收入桥'!Q81+'先声风险收入桥'!Q88</x:f>
        <x:v>14.767733</x:v>
      </x:c>
      <x:c r="E11" s="11" t="n">
        <x:f>'先声年度假设'!F23*'先声资金假设'!E7+'先声风险收入桥'!Q32+'先声风险收入桥'!Q39+'先声风险收入桥'!Q53+'先声风险收入桥'!Q67+'先声风险收入桥'!Q74+'先声风险收入桥'!Q88</x:f>
        <x:v>4.070392</x:v>
      </x:c>
      <x:c r="F11" s="11" t="n">
        <x:f>'先声年度假设'!H23*'先声资金假设'!O7+'先声年度假设'!I23*'先声资金假设'!P7+'先声年度假设'!J23*'先声资金假设'!Q7+'先声年度假设'!K23*'先声资金假设'!R7</x:f>
        <x:v>3.0745</x:v>
      </x:c>
      <x:c r="G11" s="11" t="n">
        <x:f>E11-F11</x:f>
        <x:v>0.995892</x:v>
      </x:c>
      <x:c r="H11" s="11" t="n">
        <x:f>D11-'先声年度假设'!H23-'先声年度假设'!I23-'先声年度假设'!J23-'先声年度假设'!K23-'先声年度假设'!L23-'先声年度假设'!M23</x:f>
        <x:v>4.677733</x:v>
      </x:c>
      <x:c r="I11" s="11" t="n">
        <x:f>'先声资金假设'!G7</x:f>
        <x:v>0.2</x:v>
      </x:c>
      <x:c r="J11" s="11" t="n">
        <x:f>H11*(1-I11)</x:f>
        <x:v>3.7421864</x:v>
      </x:c>
      <x:c r="K11" s="11" t="n">
        <x:f>IF(AND('先声资金假设'!K7=1,B11&gt;='先声资金假设'!L7),'先声资金假设'!N7,'先声年度假设'!N23)</x:f>
        <x:v>0.72</x:v>
      </x:c>
      <x:c r="L11" s="11" t="n">
        <x:f>(1-K11)*G11*(1-I11)</x:f>
        <x:v>0.22307980800000002</x:v>
      </x:c>
      <x:c r="M11" s="11" t="n">
        <x:f>J11-L11</x:f>
        <x:v>3.519106592</x:v>
      </x:c>
      <x:c r="N11" s="11" t="n">
        <x:f>'先声年度假设'!O23</x:f>
        <x:v>2.66</x:v>
      </x:c>
      <x:c r="O11" s="11" t="n">
        <x:f>MAX(0,M11)/N11</x:f>
        <x:v>1.3229724030075187</x:v>
      </x:c>
      <x:c r="P11" s="11" t="n">
        <x:f>J11+'先声年度假设'!P23+'先声年度假设'!Q23-'先声年度假设'!T23</x:f>
        <x:v>4.0721864</x:v>
      </x:c>
      <x:c r="Q11" s="11" t="n">
        <x:f>AB10</x:f>
        <x:v>7.343283640000003</x:v>
      </x:c>
      <x:c r="R11" s="11" t="n">
        <x:f>P11</x:f>
        <x:v>4.0721864</x:v>
      </x:c>
      <x:c r="S11" s="11" t="n">
        <x:f>'先声年度假设'!R23</x:f>
        <x:v>0.85</x:v>
      </x:c>
      <x:c r="T11" s="11" t="n">
        <x:f>'先声年度假设'!S23</x:f>
        <x:v>0.45</x:v>
      </x:c>
      <x:c r="U11" s="11" t="n">
        <x:f>'先声资金假设'!W7</x:f>
        <x:v>0.04</x:v>
      </x:c>
      <x:c r="V11" s="11" t="n">
        <x:f>0</x:f>
        <x:v>0</x:v>
      </x:c>
      <x:c r="W11" s="11" t="n">
        <x:f>'先声年度假设'!U23*'先声资金假设'!Z7</x:f>
        <x:v>0.3825</x:v>
      </x:c>
      <x:c r="X11" s="11" t="n">
        <x:f>'先声年度假设'!V19*N11</x:f>
        <x:v>1.064</x:v>
      </x:c>
      <x:c r="Y11" s="11" t="n">
        <x:f>'先声年度假设'!W23</x:f>
        <x:v>0.1</x:v>
      </x:c>
      <x:c r="Z11" s="11" t="n">
        <x:f>IF(AND('先声资金假设'!K7=1,B11='先声资金假设'!L7),'先声资金假设'!M7,0)</x:f>
        <x:v>0</x:v>
      </x:c>
      <x:c r="AA11" s="11" t="n">
        <x:f>'先声年度假设'!X23</x:f>
        <x:v>-0.2</x:v>
      </x:c>
      <x:c r="AB11" s="11" t="n">
        <x:f>Q11+R11-S11-T11-U11+V11+W11-X11-Y11-Z11+AA11</x:f>
        <x:v>9.093970040000006</x:v>
      </x:c>
      <x:c r="AC11" s="11" t="n">
        <x:f>AC10+AA11</x:f>
        <x:v>0.85799</x:v>
      </x:c>
      <x:c r="AD11" s="11" t="n">
        <x:f>IF(B11&lt;'先声资金假设'!L7,'先声资金假设'!J7,0)</x:f>
        <x:v>0</x:v>
      </x:c>
    </x:row>
    <x:row r="12" ht="23" customHeight="1">
      <x:c r="A12" s="11" t="str">
        <x:v>02096.HK</x:v>
      </x:c>
      <x:c r="B12" s="11" t="n">
        <x:v>2031</x:v>
      </x:c>
      <x:c r="C12" s="11" t="n">
        <x:f>'先声年度假设'!D27+'先声年度假设'!E27+'先声年度假设'!F27+'先声年度假设'!G27+'先声风险收入桥'!P12+'先声风险收入桥'!P19+'先声风险收入桥'!P26+'先声风险收入桥'!P33+'先声风险收入桥'!P40+'先声风险收入桥'!P47+'先声风险收入桥'!P54+'先声风险收入桥'!P61+'先声风险收入桥'!P68+'先声风险收入桥'!P75+'先声风险收入桥'!P82+'先声风险收入桥'!P89</x:f>
        <x:v>20.544020000000007</x:v>
      </x:c>
      <x:c r="D12" s="11" t="n">
        <x:f>'先声年度假设'!D27*'先声资金假设'!C7+'先声年度假设'!E27*'先声资金假设'!D7+'先声年度假设'!F27*'先声资金假设'!E7+'先声年度假设'!G27*'先声资金假设'!F7+'先声风险收入桥'!Q12+'先声风险收入桥'!Q19+'先声风险收入桥'!Q26+'先声风险收入桥'!Q33+'先声风险收入桥'!Q40+'先声风险收入桥'!Q47+'先声风险收入桥'!Q54+'先声风险收入桥'!Q61+'先声风险收入桥'!Q68+'先声风险收入桥'!Q75+'先声风险收入桥'!Q82+'先声风险收入桥'!Q89</x:f>
        <x:v>16.506337</x:v>
      </x:c>
      <x:c r="E12" s="11" t="n">
        <x:f>'先声年度假设'!F27*'先声资金假设'!E7+'先声风险收入桥'!Q33+'先声风险收入桥'!Q40+'先声风险收入桥'!Q54+'先声风险收入桥'!Q68+'先声风险收入桥'!Q75+'先声风险收入桥'!Q89</x:f>
        <x:v>4.799132</x:v>
      </x:c>
      <x:c r="F12" s="11" t="n">
        <x:f>'先声年度假设'!H27*'先声资金假设'!O7+'先声年度假设'!I27*'先声资金假设'!P7+'先声年度假设'!J27*'先声资金假设'!Q7+'先声年度假设'!K27*'先声资金假设'!R7</x:f>
        <x:v>3.3134</x:v>
      </x:c>
      <x:c r="G12" s="11" t="n">
        <x:f>E12-F12</x:f>
        <x:v>1.485732</x:v>
      </x:c>
      <x:c r="H12" s="11" t="n">
        <x:f>D12-'先声年度假设'!H27-'先声年度假设'!I27-'先声年度假设'!J27-'先声年度假设'!K27-'先声年度假设'!L27-'先声年度假设'!M27</x:f>
        <x:v>5.6363369999999975</x:v>
      </x:c>
      <x:c r="I12" s="11" t="n">
        <x:f>'先声资金假设'!G7</x:f>
        <x:v>0.2</x:v>
      </x:c>
      <x:c r="J12" s="11" t="n">
        <x:f>H12*(1-I12)</x:f>
        <x:v>4.509069599999998</x:v>
      </x:c>
      <x:c r="K12" s="11" t="n">
        <x:f>IF(AND('先声资金假设'!K7=1,B12&gt;='先声资金假设'!L7),'先声资金假设'!N7,'先声年度假设'!N27)</x:f>
        <x:v>0.72</x:v>
      </x:c>
      <x:c r="L12" s="11" t="n">
        <x:f>(1-K12)*G12*(1-I12)</x:f>
        <x:v>0.33280396800000006</x:v>
      </x:c>
      <x:c r="M12" s="11" t="n">
        <x:f>J12-L12</x:f>
        <x:v>4.176265631999998</x:v>
      </x:c>
      <x:c r="N12" s="11" t="n">
        <x:f>'先声年度假设'!O27</x:f>
        <x:v>2.685</x:v>
      </x:c>
      <x:c r="O12" s="11" t="n">
        <x:f>MAX(0,M12)/N12</x:f>
        <x:v>1.555406194413407</x:v>
      </x:c>
      <x:c r="P12" s="11" t="n">
        <x:f>J12+'先声年度假设'!P27+'先声年度假设'!Q27-'先声年度假设'!T27</x:f>
        <x:v>4.859069599999999</x:v>
      </x:c>
      <x:c r="Q12" s="11" t="n">
        <x:f>AB11</x:f>
        <x:v>9.093970040000006</x:v>
      </x:c>
      <x:c r="R12" s="11" t="n">
        <x:f>P12</x:f>
        <x:v>4.859069599999999</x:v>
      </x:c>
      <x:c r="S12" s="11" t="n">
        <x:f>'先声年度假设'!R27</x:f>
        <x:v>0.85</x:v>
      </x:c>
      <x:c r="T12" s="11" t="n">
        <x:f>'先声年度假设'!S27</x:f>
        <x:v>0.45</x:v>
      </x:c>
      <x:c r="U12" s="11" t="n">
        <x:f>'先声资金假设'!W7</x:f>
        <x:v>0.04</x:v>
      </x:c>
      <x:c r="V12" s="11" t="n">
        <x:f>0</x:f>
        <x:v>0</x:v>
      </x:c>
      <x:c r="W12" s="11" t="n">
        <x:f>'先声年度假设'!U27*'先声资金假设'!Z7</x:f>
        <x:v>0.425</x:v>
      </x:c>
      <x:c r="X12" s="11" t="n">
        <x:f>'先声年度假设'!V23*N12</x:f>
        <x:v>1.2888</x:v>
      </x:c>
      <x:c r="Y12" s="11" t="n">
        <x:f>'先声年度假设'!W27</x:f>
        <x:v>0.1</x:v>
      </x:c>
      <x:c r="Z12" s="11" t="n">
        <x:f>IF(AND('先声资金假设'!K7=1,B12='先声资金假设'!L7),'先声资金假设'!M7,0)</x:f>
        <x:v>0</x:v>
      </x:c>
      <x:c r="AA12" s="11" t="n">
        <x:f>'先声年度假设'!X27</x:f>
        <x:v>-0.2</x:v>
      </x:c>
      <x:c r="AB12" s="11" t="n">
        <x:f>Q12+R12-S12-T12-U12+V12+W12-X12-Y12-Z12+AA12</x:f>
        <x:v>11.449239640000007</x:v>
      </x:c>
      <x:c r="AC12" s="11" t="n">
        <x:f>AC11+AA12</x:f>
        <x:v>0.6579900000000001</x:v>
      </x:c>
      <x:c r="AD12" s="11" t="n">
        <x:f>IF(B12&lt;'先声资金假设'!L7,'先声资金假设'!J7,0)</x:f>
        <x:v>0</x:v>
      </x:c>
    </x:row>
    <x:row r="13" ht="23" customHeight="1">
      <x:c r="A13" s="11" t="str">
        <x:v>02096.HK</x:v>
      </x:c>
      <x:c r="B13" s="11" t="n">
        <x:v>2032</x:v>
      </x:c>
      <x:c r="C13" s="11" t="n">
        <x:f>'先声年度假设'!D31+'先声年度假设'!E31+'先声年度假设'!F31+'先声年度假设'!G31+'先声风险收入桥'!P13+'先声风险收入桥'!P20+'先声风险收入桥'!P27+'先声风险收入桥'!P34+'先声风险收入桥'!P41+'先声风险收入桥'!P48+'先声风险收入桥'!P55+'先声风险收入桥'!P62+'先声风险收入桥'!P69+'先声风险收入桥'!P76+'先声风险收入桥'!P83+'先声风险收入桥'!P90</x:f>
        <x:v>22.437111199999997</x:v>
      </x:c>
      <x:c r="D13" s="11" t="n">
        <x:f>'先声年度假设'!D31*'先声资金假设'!C7+'先声年度假设'!E31*'先声资金假设'!D7+'先声年度假设'!F31*'先声资金假设'!E7+'先声年度假设'!G31*'先声资金假设'!F7+'先声风险收入桥'!Q13+'先声风险收入桥'!Q20+'先声风险收入桥'!Q27+'先声风险收入桥'!Q34+'先声风险收入桥'!Q41+'先声风险收入桥'!Q48+'先声风险收入桥'!Q55+'先声风险收入桥'!Q62+'先声风险收入桥'!Q69+'先声风险收入桥'!Q76+'先声风险收入桥'!Q83+'先声风险收入桥'!Q90</x:f>
        <x:v>18.038496304000002</x:v>
      </x:c>
      <x:c r="E13" s="11" t="n">
        <x:f>'先声年度假设'!F31*'先声资金假设'!E7+'先声风险收入桥'!Q34+'先声风险收入桥'!Q41+'先声风险收入桥'!Q55+'先声风险收入桥'!Q69+'先声风险收入桥'!Q76+'先声风险收入桥'!Q90</x:f>
        <x:v>5.518656304</x:v>
      </x:c>
      <x:c r="F13" s="11" t="n">
        <x:f>'先声年度假设'!H31*'先声资金假设'!O7+'先声年度假设'!I31*'先声资金假设'!P7+'先声年度假设'!J31*'先声资金假设'!Q7+'先声年度假设'!K31*'先声资金假设'!R7</x:f>
        <x:v>3.5263000000000004</x:v>
      </x:c>
      <x:c r="G13" s="11" t="n">
        <x:f>E13-F13</x:f>
        <x:v>1.9923563039999999</x:v>
      </x:c>
      <x:c r="H13" s="11" t="n">
        <x:f>D13-'先声年度假设'!H31-'先声年度假设'!I31-'先声年度假设'!J31-'先声年度假设'!K31-'先声年度假设'!L31-'先声年度假设'!M31</x:f>
        <x:v>6.488496304000003</x:v>
      </x:c>
      <x:c r="I13" s="11" t="n">
        <x:f>'先声资金假设'!G7</x:f>
        <x:v>0.2</x:v>
      </x:c>
      <x:c r="J13" s="11" t="n">
        <x:f>H13*(1-I13)</x:f>
        <x:v>5.1907970432000035</x:v>
      </x:c>
      <x:c r="K13" s="11" t="n">
        <x:f>IF(AND('先声资金假设'!K7=1,B13&gt;='先声资金假设'!L7),'先声资金假设'!N7,'先声年度假设'!N31)</x:f>
        <x:v>0.72</x:v>
      </x:c>
      <x:c r="L13" s="11" t="n">
        <x:f>(1-K13)*G13*(1-I13)</x:f>
        <x:v>0.44628781209600005</x:v>
      </x:c>
      <x:c r="M13" s="11" t="n">
        <x:f>J13-L13</x:f>
        <x:v>4.744509231104003</x:v>
      </x:c>
      <x:c r="N13" s="11" t="n">
        <x:f>'先声年度假设'!O31</x:f>
        <x:v>2.71</x:v>
      </x:c>
      <x:c r="O13" s="11" t="n">
        <x:f>MAX(0,M13)/N13</x:f>
        <x:v>1.7507414136915143</x:v>
      </x:c>
      <x:c r="P13" s="11" t="n">
        <x:f>J13+'先声年度假设'!P31+'先声年度假设'!Q31-'先声年度假设'!T31</x:f>
        <x:v>5.560797043200003</x:v>
      </x:c>
      <x:c r="Q13" s="11" t="n">
        <x:f>AB12</x:f>
        <x:v>11.449239640000007</x:v>
      </x:c>
      <x:c r="R13" s="11" t="n">
        <x:f>P13</x:f>
        <x:v>5.560797043200003</x:v>
      </x:c>
      <x:c r="S13" s="11" t="n">
        <x:f>'先声年度假设'!R31</x:f>
        <x:v>0.85</x:v>
      </x:c>
      <x:c r="T13" s="11" t="n">
        <x:f>'先声年度假设'!S31</x:f>
        <x:v>0.45</x:v>
      </x:c>
      <x:c r="U13" s="11" t="n">
        <x:f>'先声资金假设'!W7</x:f>
        <x:v>0.04</x:v>
      </x:c>
      <x:c r="V13" s="11" t="n">
        <x:f>0</x:f>
        <x:v>0</x:v>
      </x:c>
      <x:c r="W13" s="11" t="n">
        <x:f>'先声年度假设'!U31*'先声资金假设'!Z7</x:f>
        <x:v>0.51</x:v>
      </x:c>
      <x:c r="X13" s="11" t="n">
        <x:f>'先声年度假设'!V27*N13</x:f>
        <x:v>1.5176</x:v>
      </x:c>
      <x:c r="Y13" s="11" t="n">
        <x:f>'先声年度假设'!W31</x:f>
        <x:v>0.1</x:v>
      </x:c>
      <x:c r="Z13" s="11" t="n">
        <x:f>IF(AND('先声资金假设'!K7=1,B13='先声资金假设'!L7),'先声资金假设'!M7,0)</x:f>
        <x:v>0</x:v>
      </x:c>
      <x:c r="AA13" s="11" t="n">
        <x:f>'先声年度假设'!X31</x:f>
        <x:v>-0.2</x:v>
      </x:c>
      <x:c r="AB13" s="11" t="n">
        <x:f>Q13+R13-S13-T13-U13+V13+W13-X13-Y13-Z13+AA13</x:f>
        <x:v>14.362436683200013</x:v>
      </x:c>
      <x:c r="AC13" s="11" t="n">
        <x:f>AC12+AA13</x:f>
        <x:v>0.45799000000000006</x:v>
      </x:c>
      <x:c r="AD13" s="11" t="n">
        <x:f>IF(B13&lt;'先声资金假设'!L7,'先声资金假设'!J7,0)</x:f>
        <x:v>0</x:v>
      </x:c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</x:cols>
  <x:sheetData>
    <x:row r="1">
      <x:c r="A1" s="2"/>
      <x:c r="B1" s="2"/>
      <x:c r="C1" s="2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32"/>
      <x:c r="U1" s="28"/>
      <x:c r="V1" s="28"/>
    </x:row>
    <x:row r="2">
      <x:c r="A2" s="4" t="str">
        <x:v>复星正常利润假设 CNY十亿 股数十亿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52" customHeight="1">
      <x:c r="A6" s="12" t="str">
        <x:v>代码</x:v>
      </x:c>
      <x:c r="B6" s="12" t="str">
        <x:v>期限</x:v>
      </x:c>
      <x:c r="C6" s="12" t="str">
        <x:v>输入层</x:v>
      </x:c>
      <x:c r="D6" s="12" t="str">
        <x:v>制药外部收入</x:v>
      </x:c>
      <x:c r="E6" s="12" t="str">
        <x:v>器械诊断收入</x:v>
      </x:c>
      <x:c r="F6" s="12" t="str">
        <x:v>医疗服务收入</x:v>
      </x:c>
      <x:c r="G6" s="12" t="str">
        <x:v>其他收入</x:v>
      </x:c>
      <x:c r="H6" s="12" t="str">
        <x:v>许可收入子集不加总</x:v>
      </x:c>
      <x:c r="I6" s="12" t="str">
        <x:v>销售成本</x:v>
      </x:c>
      <x:c r="J6" s="12" t="str">
        <x:v>税金附加</x:v>
      </x:c>
      <x:c r="K6" s="12" t="str">
        <x:v>销售费用</x:v>
      </x:c>
      <x:c r="L6" s="12" t="str">
        <x:v>行政费用</x:v>
      </x:c>
      <x:c r="M6" s="12" t="str">
        <x:v>费用研发</x:v>
      </x:c>
      <x:c r="N6" s="12" t="str">
        <x:v>净融资费用</x:v>
      </x:c>
      <x:c r="O6" s="12" t="str">
        <x:v>正常其他收益</x:v>
      </x:c>
      <x:c r="P6" s="12" t="str">
        <x:v>联营合营贡献</x:v>
      </x:c>
      <x:c r="Q6" s="12" t="str">
        <x:v>正常其他投资贡献</x:v>
      </x:c>
      <x:c r="R6" s="12" t="str">
        <x:v>信用损失</x:v>
      </x:c>
      <x:c r="S6" s="12" t="str">
        <x:v>资产损失</x:v>
      </x:c>
      <x:c r="T6" s="12" t="str">
        <x:v>税率</x:v>
      </x:c>
      <x:c r="U6" s="12" t="str">
        <x:v>少数损益</x:v>
      </x:c>
      <x:c r="V6" s="12" t="str">
        <x:v>经济摊薄股数</x:v>
      </x:c>
    </x:row>
    <x:row r="7" ht="23" customHeight="1">
      <x:c r="A7" s="11" t="str">
        <x:v>02196.HK</x:v>
      </x:c>
      <x:c r="B7" s="11" t="str">
        <x:v>2026年底</x:v>
      </x:c>
      <x:c r="C7" s="11" t="str">
        <x:v>活动输入</x:v>
      </x:c>
      <x:c r="D7" s="11" t="n">
        <x:f>CHOOSE('假设'!$B$3,D8,D9,D10)</x:f>
        <x:v>31</x:v>
      </x:c>
      <x:c r="E7" s="11" t="n">
        <x:f>CHOOSE('假设'!$B$3,E8,E9,E10)</x:f>
        <x:v>3.75</x:v>
      </x:c>
      <x:c r="F7" s="11" t="n">
        <x:f>CHOOSE('假设'!$B$3,F8,F9,F10)</x:f>
        <x:v>7.45</x:v>
      </x:c>
      <x:c r="G7" s="11" t="n">
        <x:f>CHOOSE('假设'!$B$3,G8,G9,G10)</x:f>
        <x:v>0.1</x:v>
      </x:c>
      <x:c r="H7" s="11" t="n">
        <x:f>CHOOSE('假设'!$B$3,H8,H9,H10)</x:f>
        <x:v>0.8</x:v>
      </x:c>
      <x:c r="I7" s="11" t="n">
        <x:f>CHOOSE('假设'!$B$3,I8,I9,I10)</x:f>
        <x:v>20.7</x:v>
      </x:c>
      <x:c r="J7" s="11" t="n">
        <x:f>CHOOSE('假设'!$B$3,J8,J9,J10)</x:f>
        <x:v>0.32</x:v>
      </x:c>
      <x:c r="K7" s="11" t="n">
        <x:f>CHOOSE('假设'!$B$3,K8,K9,K10)</x:f>
        <x:v>9.15</x:v>
      </x:c>
      <x:c r="L7" s="11" t="n">
        <x:f>CHOOSE('假设'!$B$3,L8,L9,L10)</x:f>
        <x:v>4.65</x:v>
      </x:c>
      <x:c r="M7" s="11" t="n">
        <x:f>CHOOSE('假设'!$B$3,M8,M9,M10)</x:f>
        <x:v>4.55</x:v>
      </x:c>
      <x:c r="N7" s="11" t="n">
        <x:f>CHOOSE('假设'!$B$3,N8,N9,N10)</x:f>
        <x:v>1.1</x:v>
      </x:c>
      <x:c r="O7" s="11" t="n">
        <x:f>CHOOSE('假设'!$B$3,O8,O9,O10)</x:f>
        <x:v>0.2</x:v>
      </x:c>
      <x:c r="P7" s="11" t="n">
        <x:f>CHOOSE('假设'!$B$3,P8,P9,P10)</x:f>
        <x:v>2.15</x:v>
      </x:c>
      <x:c r="Q7" s="11" t="n">
        <x:f>CHOOSE('假设'!$B$3,Q8,Q9,Q10)</x:f>
        <x:v>0.1</x:v>
      </x:c>
      <x:c r="R7" s="11" t="n">
        <x:f>CHOOSE('假设'!$B$3,R8,R9,R10)</x:f>
        <x:v>0.08</x:v>
      </x:c>
      <x:c r="S7" s="11" t="n">
        <x:f>CHOOSE('假设'!$B$3,S8,S9,S10)</x:f>
        <x:v>0.15</x:v>
      </x:c>
      <x:c r="T7" s="11" t="n">
        <x:f>CHOOSE('假设'!$B$3,T8,T9,T10)</x:f>
        <x:v>0.19</x:v>
      </x:c>
      <x:c r="U7" s="11" t="n">
        <x:f>CHOOSE('假设'!$B$3,U8,U9,U10)</x:f>
        <x:v>0.62</x:v>
      </x:c>
      <x:c r="V7" s="11" t="n">
        <x:f>CHOOSE('假设'!$B$3,V8,V9,V10)</x:f>
        <x:v>2.670429325</x:v>
      </x:c>
    </x:row>
    <x:row r="8" ht="23" customHeight="1">
      <x:c r="A8" s="11" t="str">
        <x:v>02196.HK</x:v>
      </x:c>
      <x:c r="B8" s="11" t="str">
        <x:v>2026年底</x:v>
      </x:c>
      <x:c r="C8" s="11" t="str">
        <x:v>悲观</x:v>
      </x:c>
      <x:c r="D8" s="16" t="n">
        <x:v>29</x:v>
      </x:c>
      <x:c r="E8" s="16" t="n">
        <x:v>3.6</x:v>
      </x:c>
      <x:c r="F8" s="16" t="n">
        <x:v>7.3</x:v>
      </x:c>
      <x:c r="G8" s="16" t="n">
        <x:v>0.1</x:v>
      </x:c>
      <x:c r="H8" s="16" t="n">
        <x:v>0.45</x:v>
      </x:c>
      <x:c r="I8" s="16" t="n">
        <x:v>19.8</x:v>
      </x:c>
      <x:c r="J8" s="16" t="n">
        <x:v>0.32</x:v>
      </x:c>
      <x:c r="K8" s="16" t="n">
        <x:v>8.6</x:v>
      </x:c>
      <x:c r="L8" s="16" t="n">
        <x:v>4.45</x:v>
      </x:c>
      <x:c r="M8" s="16" t="n">
        <x:v>4.25</x:v>
      </x:c>
      <x:c r="N8" s="16" t="n">
        <x:v>1.2</x:v>
      </x:c>
      <x:c r="O8" s="16" t="n">
        <x:v>0.16</x:v>
      </x:c>
      <x:c r="P8" s="16" t="n">
        <x:v>1.9</x:v>
      </x:c>
      <x:c r="Q8" s="16" t="n">
        <x:v>0.05</x:v>
      </x:c>
      <x:c r="R8" s="16" t="n">
        <x:v>0.15</x:v>
      </x:c>
      <x:c r="S8" s="16" t="n">
        <x:v>0.28</x:v>
      </x:c>
      <x:c r="T8" s="16" t="n">
        <x:v>0.22</x:v>
      </x:c>
      <x:c r="U8" s="16" t="n">
        <x:v>0.6</x:v>
      </x:c>
      <x:c r="V8" s="16" t="n">
        <x:v>2.670429325</x:v>
      </x:c>
    </x:row>
    <x:row r="9" ht="23" customHeight="1">
      <x:c r="A9" s="11" t="str">
        <x:v>02196.HK</x:v>
      </x:c>
      <x:c r="B9" s="11" t="str">
        <x:v>2026年底</x:v>
      </x:c>
      <x:c r="C9" s="11" t="str">
        <x:v>基准</x:v>
      </x:c>
      <x:c r="D9" s="16" t="n">
        <x:v>31</x:v>
      </x:c>
      <x:c r="E9" s="16" t="n">
        <x:v>3.75</x:v>
      </x:c>
      <x:c r="F9" s="16" t="n">
        <x:v>7.45</x:v>
      </x:c>
      <x:c r="G9" s="16" t="n">
        <x:v>0.1</x:v>
      </x:c>
      <x:c r="H9" s="16" t="n">
        <x:v>0.8</x:v>
      </x:c>
      <x:c r="I9" s="16" t="n">
        <x:v>20.7</x:v>
      </x:c>
      <x:c r="J9" s="16" t="n">
        <x:v>0.32</x:v>
      </x:c>
      <x:c r="K9" s="16" t="n">
        <x:v>9.15</x:v>
      </x:c>
      <x:c r="L9" s="16" t="n">
        <x:v>4.65</x:v>
      </x:c>
      <x:c r="M9" s="16" t="n">
        <x:v>4.55</x:v>
      </x:c>
      <x:c r="N9" s="16" t="n">
        <x:v>1.1</x:v>
      </x:c>
      <x:c r="O9" s="16" t="n">
        <x:v>0.2</x:v>
      </x:c>
      <x:c r="P9" s="16" t="n">
        <x:v>2.15</x:v>
      </x:c>
      <x:c r="Q9" s="16" t="n">
        <x:v>0.1</x:v>
      </x:c>
      <x:c r="R9" s="16" t="n">
        <x:v>0.08</x:v>
      </x:c>
      <x:c r="S9" s="16" t="n">
        <x:v>0.15</x:v>
      </x:c>
      <x:c r="T9" s="16" t="n">
        <x:v>0.19</x:v>
      </x:c>
      <x:c r="U9" s="16" t="n">
        <x:v>0.62</x:v>
      </x:c>
      <x:c r="V9" s="16" t="n">
        <x:v>2.670429325</x:v>
      </x:c>
    </x:row>
    <x:row r="10" ht="23" customHeight="1">
      <x:c r="A10" s="11" t="str">
        <x:v>02196.HK</x:v>
      </x:c>
      <x:c r="B10" s="11" t="str">
        <x:v>2026年底</x:v>
      </x:c>
      <x:c r="C10" s="11" t="str">
        <x:v>乐观</x:v>
      </x:c>
      <x:c r="D10" s="16" t="n">
        <x:v>32.7</x:v>
      </x:c>
      <x:c r="E10" s="16" t="n">
        <x:v>3.9</x:v>
      </x:c>
      <x:c r="F10" s="16" t="n">
        <x:v>7.8</x:v>
      </x:c>
      <x:c r="G10" s="16" t="n">
        <x:v>0.1</x:v>
      </x:c>
      <x:c r="H10" s="16" t="n">
        <x:v>1.2</x:v>
      </x:c>
      <x:c r="I10" s="16" t="n">
        <x:v>21.65</x:v>
      </x:c>
      <x:c r="J10" s="16" t="n">
        <x:v>0.34</x:v>
      </x:c>
      <x:c r="K10" s="16" t="n">
        <x:v>9.5</x:v>
      </x:c>
      <x:c r="L10" s="16" t="n">
        <x:v>4.7</x:v>
      </x:c>
      <x:c r="M10" s="16" t="n">
        <x:v>4.75</x:v>
      </x:c>
      <x:c r="N10" s="16" t="n">
        <x:v>1.05</x:v>
      </x:c>
      <x:c r="O10" s="16" t="n">
        <x:v>0.22</x:v>
      </x:c>
      <x:c r="P10" s="16" t="n">
        <x:v>2.3</x:v>
      </x:c>
      <x:c r="Q10" s="16" t="n">
        <x:v>0.12</x:v>
      </x:c>
      <x:c r="R10" s="16" t="n">
        <x:v>0.08</x:v>
      </x:c>
      <x:c r="S10" s="16" t="n">
        <x:v>0.1</x:v>
      </x:c>
      <x:c r="T10" s="16" t="n">
        <x:v>0.19</x:v>
      </x:c>
      <x:c r="U10" s="16" t="n">
        <x:v>0.72</x:v>
      </x:c>
      <x:c r="V10" s="16" t="n">
        <x:v>2.670429325</x:v>
      </x:c>
    </x:row>
    <x:row r="11" ht="23" customHeight="1">
      <x:c r="A11" s="11" t="str">
        <x:v>02196.HK</x:v>
      </x:c>
      <x:c r="B11" s="11" t="str">
        <x:v>半年</x:v>
      </x:c>
      <x:c r="C11" s="11" t="str">
        <x:v>活动输入</x:v>
      </x:c>
      <x:c r="D11" s="11" t="n">
        <x:f>CHOOSE('假设'!$B$3,D12,D13,D14)</x:f>
        <x:v>32</x:v>
      </x:c>
      <x:c r="E11" s="11" t="n">
        <x:f>CHOOSE('假设'!$B$3,E12,E13,E14)</x:f>
        <x:v>3.85</x:v>
      </x:c>
      <x:c r="F11" s="11" t="n">
        <x:f>CHOOSE('假设'!$B$3,F12,F13,F14)</x:f>
        <x:v>7.7</x:v>
      </x:c>
      <x:c r="G11" s="11" t="n">
        <x:f>CHOOSE('假设'!$B$3,G12,G13,G14)</x:f>
        <x:v>0.1</x:v>
      </x:c>
      <x:c r="H11" s="11" t="n">
        <x:f>CHOOSE('假设'!$B$3,H12,H13,H14)</x:f>
        <x:v>0.85</x:v>
      </x:c>
      <x:c r="I11" s="11" t="n">
        <x:f>CHOOSE('假设'!$B$3,I12,I13,I14)</x:f>
        <x:v>21.2</x:v>
      </x:c>
      <x:c r="J11" s="11" t="n">
        <x:f>CHOOSE('假设'!$B$3,J12,J13,J14)</x:f>
        <x:v>0.34</x:v>
      </x:c>
      <x:c r="K11" s="11" t="n">
        <x:f>CHOOSE('假设'!$B$3,K12,K13,K14)</x:f>
        <x:v>9.4</x:v>
      </x:c>
      <x:c r="L11" s="11" t="n">
        <x:f>CHOOSE('假设'!$B$3,L12,L13,L14)</x:f>
        <x:v>4.75</x:v>
      </x:c>
      <x:c r="M11" s="11" t="n">
        <x:f>CHOOSE('假设'!$B$3,M12,M13,M14)</x:f>
        <x:v>4.8</x:v>
      </x:c>
      <x:c r="N11" s="11" t="n">
        <x:f>CHOOSE('假设'!$B$3,N12,N13,N14)</x:f>
        <x:v>1.05</x:v>
      </x:c>
      <x:c r="O11" s="11" t="n">
        <x:f>CHOOSE('假设'!$B$3,O12,O13,O14)</x:f>
        <x:v>0.2</x:v>
      </x:c>
      <x:c r="P11" s="11" t="n">
        <x:f>CHOOSE('假设'!$B$3,P12,P13,P14)</x:f>
        <x:v>2.2</x:v>
      </x:c>
      <x:c r="Q11" s="11" t="n">
        <x:f>CHOOSE('假设'!$B$3,Q12,Q13,Q14)</x:f>
        <x:v>0.1</x:v>
      </x:c>
      <x:c r="R11" s="11" t="n">
        <x:f>CHOOSE('假设'!$B$3,R12,R13,R14)</x:f>
        <x:v>0.09</x:v>
      </x:c>
      <x:c r="S11" s="11" t="n">
        <x:f>CHOOSE('假设'!$B$3,S12,S13,S14)</x:f>
        <x:v>0.13</x:v>
      </x:c>
      <x:c r="T11" s="11" t="n">
        <x:f>CHOOSE('假设'!$B$3,T12,T13,T14)</x:f>
        <x:v>0.19</x:v>
      </x:c>
      <x:c r="U11" s="11" t="n">
        <x:f>CHOOSE('假设'!$B$3,U12,U13,U14)</x:f>
        <x:v>0.67</x:v>
      </x:c>
      <x:c r="V11" s="11" t="n">
        <x:f>CHOOSE('假设'!$B$3,V12,V13,V14)</x:f>
        <x:v>2.68</x:v>
      </x:c>
    </x:row>
    <x:row r="12" ht="23" customHeight="1">
      <x:c r="A12" s="11" t="str">
        <x:v>02196.HK</x:v>
      </x:c>
      <x:c r="B12" s="11" t="str">
        <x:v>半年</x:v>
      </x:c>
      <x:c r="C12" s="11" t="str">
        <x:v>悲观</x:v>
      </x:c>
      <x:c r="D12" s="16" t="n">
        <x:v>29.5</x:v>
      </x:c>
      <x:c r="E12" s="16" t="n">
        <x:v>3.5</x:v>
      </x:c>
      <x:c r="F12" s="16" t="n">
        <x:v>7.5</x:v>
      </x:c>
      <x:c r="G12" s="16" t="n">
        <x:v>0.1</x:v>
      </x:c>
      <x:c r="H12" s="16" t="n">
        <x:v>0.4</x:v>
      </x:c>
      <x:c r="I12" s="16" t="n">
        <x:v>20.1</x:v>
      </x:c>
      <x:c r="J12" s="16" t="n">
        <x:v>0.32</x:v>
      </x:c>
      <x:c r="K12" s="16" t="n">
        <x:v>8.75</x:v>
      </x:c>
      <x:c r="L12" s="16" t="n">
        <x:v>4.5</x:v>
      </x:c>
      <x:c r="M12" s="16" t="n">
        <x:v>4.4</x:v>
      </x:c>
      <x:c r="N12" s="16" t="n">
        <x:v>1.25</x:v>
      </x:c>
      <x:c r="O12" s="16" t="n">
        <x:v>0.15</x:v>
      </x:c>
      <x:c r="P12" s="16" t="n">
        <x:v>1.85</x:v>
      </x:c>
      <x:c r="Q12" s="16" t="n">
        <x:v>0.04</x:v>
      </x:c>
      <x:c r="R12" s="16" t="n">
        <x:v>0.17</x:v>
      </x:c>
      <x:c r="S12" s="16" t="n">
        <x:v>0.3</x:v>
      </x:c>
      <x:c r="T12" s="16" t="n">
        <x:v>0.22</x:v>
      </x:c>
      <x:c r="U12" s="16" t="n">
        <x:v>0.6</x:v>
      </x:c>
      <x:c r="V12" s="16" t="n">
        <x:v>2.68</x:v>
      </x:c>
    </x:row>
    <x:row r="13" ht="23" customHeight="1">
      <x:c r="A13" s="11" t="str">
        <x:v>02196.HK</x:v>
      </x:c>
      <x:c r="B13" s="11" t="str">
        <x:v>半年</x:v>
      </x:c>
      <x:c r="C13" s="11" t="str">
        <x:v>基准</x:v>
      </x:c>
      <x:c r="D13" s="16" t="n">
        <x:v>32</x:v>
      </x:c>
      <x:c r="E13" s="16" t="n">
        <x:v>3.85</x:v>
      </x:c>
      <x:c r="F13" s="16" t="n">
        <x:v>7.7</x:v>
      </x:c>
      <x:c r="G13" s="16" t="n">
        <x:v>0.1</x:v>
      </x:c>
      <x:c r="H13" s="16" t="n">
        <x:v>0.85</x:v>
      </x:c>
      <x:c r="I13" s="16" t="n">
        <x:v>21.2</x:v>
      </x:c>
      <x:c r="J13" s="16" t="n">
        <x:v>0.34</x:v>
      </x:c>
      <x:c r="K13" s="16" t="n">
        <x:v>9.4</x:v>
      </x:c>
      <x:c r="L13" s="16" t="n">
        <x:v>4.75</x:v>
      </x:c>
      <x:c r="M13" s="16" t="n">
        <x:v>4.8</x:v>
      </x:c>
      <x:c r="N13" s="16" t="n">
        <x:v>1.05</x:v>
      </x:c>
      <x:c r="O13" s="16" t="n">
        <x:v>0.2</x:v>
      </x:c>
      <x:c r="P13" s="16" t="n">
        <x:v>2.2</x:v>
      </x:c>
      <x:c r="Q13" s="16" t="n">
        <x:v>0.1</x:v>
      </x:c>
      <x:c r="R13" s="16" t="n">
        <x:v>0.09</x:v>
      </x:c>
      <x:c r="S13" s="16" t="n">
        <x:v>0.13</x:v>
      </x:c>
      <x:c r="T13" s="16" t="n">
        <x:v>0.19</x:v>
      </x:c>
      <x:c r="U13" s="16" t="n">
        <x:v>0.67</x:v>
      </x:c>
      <x:c r="V13" s="16" t="n">
        <x:v>2.68</x:v>
      </x:c>
    </x:row>
    <x:row r="14" ht="23" customHeight="1">
      <x:c r="A14" s="11" t="str">
        <x:v>02196.HK</x:v>
      </x:c>
      <x:c r="B14" s="11" t="str">
        <x:v>半年</x:v>
      </x:c>
      <x:c r="C14" s="11" t="str">
        <x:v>乐观</x:v>
      </x:c>
      <x:c r="D14" s="16" t="n">
        <x:v>34.5</x:v>
      </x:c>
      <x:c r="E14" s="16" t="n">
        <x:v>4</x:v>
      </x:c>
      <x:c r="F14" s="16" t="n">
        <x:v>8</x:v>
      </x:c>
      <x:c r="G14" s="16" t="n">
        <x:v>0.1</x:v>
      </x:c>
      <x:c r="H14" s="16" t="n">
        <x:v>1.3</x:v>
      </x:c>
      <x:c r="I14" s="16" t="n">
        <x:v>22.4</x:v>
      </x:c>
      <x:c r="J14" s="16" t="n">
        <x:v>0.35</x:v>
      </x:c>
      <x:c r="K14" s="16" t="n">
        <x:v>9.9</x:v>
      </x:c>
      <x:c r="L14" s="16" t="n">
        <x:v>4.85</x:v>
      </x:c>
      <x:c r="M14" s="16" t="n">
        <x:v>5</x:v>
      </x:c>
      <x:c r="N14" s="16" t="n">
        <x:v>1</x:v>
      </x:c>
      <x:c r="O14" s="16" t="n">
        <x:v>0.22</x:v>
      </x:c>
      <x:c r="P14" s="16" t="n">
        <x:v>2.4</x:v>
      </x:c>
      <x:c r="Q14" s="16" t="n">
        <x:v>0.13</x:v>
      </x:c>
      <x:c r="R14" s="16" t="n">
        <x:v>0.08</x:v>
      </x:c>
      <x:c r="S14" s="16" t="n">
        <x:v>0.1</x:v>
      </x:c>
      <x:c r="T14" s="16" t="n">
        <x:v>0.19</x:v>
      </x:c>
      <x:c r="U14" s="16" t="n">
        <x:v>0.8</x:v>
      </x:c>
      <x:c r="V14" s="16" t="n">
        <x:v>2.68</x:v>
      </x:c>
    </x:row>
    <x:row r="15" ht="23" customHeight="1">
      <x:c r="A15" s="11" t="str">
        <x:v>02196.HK</x:v>
      </x:c>
      <x:c r="B15" s="11" t="str">
        <x:v>一年</x:v>
      </x:c>
      <x:c r="C15" s="11" t="str">
        <x:v>活动输入</x:v>
      </x:c>
      <x:c r="D15" s="11" t="n">
        <x:f>CHOOSE('假设'!$B$3,D16,D17,D18)</x:f>
        <x:v>34</x:v>
      </x:c>
      <x:c r="E15" s="11" t="n">
        <x:f>CHOOSE('假设'!$B$3,E16,E17,E18)</x:f>
        <x:v>3.9</x:v>
      </x:c>
      <x:c r="F15" s="11" t="n">
        <x:f>CHOOSE('假设'!$B$3,F16,F17,F18)</x:f>
        <x:v>8</x:v>
      </x:c>
      <x:c r="G15" s="11" t="n">
        <x:f>CHOOSE('假设'!$B$3,G16,G17,G18)</x:f>
        <x:v>0.1</x:v>
      </x:c>
      <x:c r="H15" s="11" t="n">
        <x:f>CHOOSE('假设'!$B$3,H16,H17,H18)</x:f>
        <x:v>0.9</x:v>
      </x:c>
      <x:c r="I15" s="11" t="n">
        <x:f>CHOOSE('假设'!$B$3,I16,I17,I18)</x:f>
        <x:v>22.1</x:v>
      </x:c>
      <x:c r="J15" s="11" t="n">
        <x:f>CHOOSE('假设'!$B$3,J16,J17,J18)</x:f>
        <x:v>0.35</x:v>
      </x:c>
      <x:c r="K15" s="11" t="n">
        <x:f>CHOOSE('假设'!$B$3,K16,K17,K18)</x:f>
        <x:v>9.65</x:v>
      </x:c>
      <x:c r="L15" s="11" t="n">
        <x:f>CHOOSE('假设'!$B$3,L16,L17,L18)</x:f>
        <x:v>4.9</x:v>
      </x:c>
      <x:c r="M15" s="11" t="n">
        <x:f>CHOOSE('假设'!$B$3,M16,M17,M18)</x:f>
        <x:v>5.1</x:v>
      </x:c>
      <x:c r="N15" s="11" t="n">
        <x:f>CHOOSE('假设'!$B$3,N16,N17,N18)</x:f>
        <x:v>1</x:v>
      </x:c>
      <x:c r="O15" s="11" t="n">
        <x:f>CHOOSE('假设'!$B$3,O16,O17,O18)</x:f>
        <x:v>0.22</x:v>
      </x:c>
      <x:c r="P15" s="11" t="n">
        <x:f>CHOOSE('假设'!$B$3,P16,P17,P18)</x:f>
        <x:v>2.3</x:v>
      </x:c>
      <x:c r="Q15" s="11" t="n">
        <x:f>CHOOSE('假设'!$B$3,Q16,Q17,Q18)</x:f>
        <x:v>0.1</x:v>
      </x:c>
      <x:c r="R15" s="11" t="n">
        <x:f>CHOOSE('假设'!$B$3,R16,R17,R18)</x:f>
        <x:v>0.1</x:v>
      </x:c>
      <x:c r="S15" s="11" t="n">
        <x:f>CHOOSE('假设'!$B$3,S16,S17,S18)</x:f>
        <x:v>0.15</x:v>
      </x:c>
      <x:c r="T15" s="11" t="n">
        <x:f>CHOOSE('假设'!$B$3,T16,T17,T18)</x:f>
        <x:v>0.19</x:v>
      </x:c>
      <x:c r="U15" s="11" t="n">
        <x:f>CHOOSE('假设'!$B$3,U16,U17,U18)</x:f>
        <x:v>0.7</x:v>
      </x:c>
      <x:c r="V15" s="11" t="n">
        <x:f>CHOOSE('假设'!$B$3,V16,V17,V18)</x:f>
        <x:v>2.68</x:v>
      </x:c>
    </x:row>
    <x:row r="16" ht="23" customHeight="1">
      <x:c r="A16" s="11" t="str">
        <x:v>02196.HK</x:v>
      </x:c>
      <x:c r="B16" s="11" t="str">
        <x:v>一年</x:v>
      </x:c>
      <x:c r="C16" s="11" t="str">
        <x:v>悲观</x:v>
      </x:c>
      <x:c r="D16" s="16" t="n">
        <x:v>30.5</x:v>
      </x:c>
      <x:c r="E16" s="16" t="n">
        <x:v>3.5</x:v>
      </x:c>
      <x:c r="F16" s="16" t="n">
        <x:v>7.7</x:v>
      </x:c>
      <x:c r="G16" s="16" t="n">
        <x:v>0.1</x:v>
      </x:c>
      <x:c r="H16" s="16" t="n">
        <x:v>0.45</x:v>
      </x:c>
      <x:c r="I16" s="16" t="n">
        <x:v>20.7</x:v>
      </x:c>
      <x:c r="J16" s="16" t="n">
        <x:v>0.33</x:v>
      </x:c>
      <x:c r="K16" s="16" t="n">
        <x:v>8.9</x:v>
      </x:c>
      <x:c r="L16" s="16" t="n">
        <x:v>4.55</x:v>
      </x:c>
      <x:c r="M16" s="16" t="n">
        <x:v>4.6</x:v>
      </x:c>
      <x:c r="N16" s="16" t="n">
        <x:v>1.3</x:v>
      </x:c>
      <x:c r="O16" s="16" t="n">
        <x:v>0.15</x:v>
      </x:c>
      <x:c r="P16" s="16" t="n">
        <x:v>1.9</x:v>
      </x:c>
      <x:c r="Q16" s="16" t="n">
        <x:v>0.04</x:v>
      </x:c>
      <x:c r="R16" s="16" t="n">
        <x:v>0.18</x:v>
      </x:c>
      <x:c r="S16" s="16" t="n">
        <x:v>0.35</x:v>
      </x:c>
      <x:c r="T16" s="16" t="n">
        <x:v>0.22</x:v>
      </x:c>
      <x:c r="U16" s="16" t="n">
        <x:v>0.6</x:v>
      </x:c>
      <x:c r="V16" s="16" t="n">
        <x:v>2.7</x:v>
      </x:c>
    </x:row>
    <x:row r="17" ht="23" customHeight="1">
      <x:c r="A17" s="11" t="str">
        <x:v>02196.HK</x:v>
      </x:c>
      <x:c r="B17" s="11" t="str">
        <x:v>一年</x:v>
      </x:c>
      <x:c r="C17" s="11" t="str">
        <x:v>基准</x:v>
      </x:c>
      <x:c r="D17" s="16" t="n">
        <x:v>34</x:v>
      </x:c>
      <x:c r="E17" s="16" t="n">
        <x:v>3.9</x:v>
      </x:c>
      <x:c r="F17" s="16" t="n">
        <x:v>8</x:v>
      </x:c>
      <x:c r="G17" s="16" t="n">
        <x:v>0.1</x:v>
      </x:c>
      <x:c r="H17" s="16" t="n">
        <x:v>0.9</x:v>
      </x:c>
      <x:c r="I17" s="16" t="n">
        <x:v>22.1</x:v>
      </x:c>
      <x:c r="J17" s="16" t="n">
        <x:v>0.35</x:v>
      </x:c>
      <x:c r="K17" s="16" t="n">
        <x:v>9.65</x:v>
      </x:c>
      <x:c r="L17" s="16" t="n">
        <x:v>4.9</x:v>
      </x:c>
      <x:c r="M17" s="16" t="n">
        <x:v>5.1</x:v>
      </x:c>
      <x:c r="N17" s="16" t="n">
        <x:v>1</x:v>
      </x:c>
      <x:c r="O17" s="16" t="n">
        <x:v>0.22</x:v>
      </x:c>
      <x:c r="P17" s="16" t="n">
        <x:v>2.3</x:v>
      </x:c>
      <x:c r="Q17" s="16" t="n">
        <x:v>0.1</x:v>
      </x:c>
      <x:c r="R17" s="16" t="n">
        <x:v>0.1</x:v>
      </x:c>
      <x:c r="S17" s="16" t="n">
        <x:v>0.15</x:v>
      </x:c>
      <x:c r="T17" s="16" t="n">
        <x:v>0.19</x:v>
      </x:c>
      <x:c r="U17" s="16" t="n">
        <x:v>0.7</x:v>
      </x:c>
      <x:c r="V17" s="16" t="n">
        <x:v>2.68</x:v>
      </x:c>
    </x:row>
    <x:row r="18" ht="23" customHeight="1">
      <x:c r="A18" s="11" t="str">
        <x:v>02196.HK</x:v>
      </x:c>
      <x:c r="B18" s="11" t="str">
        <x:v>一年</x:v>
      </x:c>
      <x:c r="C18" s="11" t="str">
        <x:v>乐观</x:v>
      </x:c>
      <x:c r="D18" s="16" t="n">
        <x:v>38</x:v>
      </x:c>
      <x:c r="E18" s="16" t="n">
        <x:v>4.1</x:v>
      </x:c>
      <x:c r="F18" s="16" t="n">
        <x:v>8.4</x:v>
      </x:c>
      <x:c r="G18" s="16" t="n">
        <x:v>0.1</x:v>
      </x:c>
      <x:c r="H18" s="16" t="n">
        <x:v>1.4</x:v>
      </x:c>
      <x:c r="I18" s="16" t="n">
        <x:v>23.65</x:v>
      </x:c>
      <x:c r="J18" s="16" t="n">
        <x:v>0.38</x:v>
      </x:c>
      <x:c r="K18" s="16" t="n">
        <x:v>10.4</x:v>
      </x:c>
      <x:c r="L18" s="16" t="n">
        <x:v>5.05</x:v>
      </x:c>
      <x:c r="M18" s="16" t="n">
        <x:v>5.55</x:v>
      </x:c>
      <x:c r="N18" s="16" t="n">
        <x:v>0.95</x:v>
      </x:c>
      <x:c r="O18" s="16" t="n">
        <x:v>0.25</x:v>
      </x:c>
      <x:c r="P18" s="16" t="n">
        <x:v>2.5</x:v>
      </x:c>
      <x:c r="Q18" s="16" t="n">
        <x:v>0.15</x:v>
      </x:c>
      <x:c r="R18" s="16" t="n">
        <x:v>0.08</x:v>
      </x:c>
      <x:c r="S18" s="16" t="n">
        <x:v>0.1</x:v>
      </x:c>
      <x:c r="T18" s="16" t="n">
        <x:v>0.19</x:v>
      </x:c>
      <x:c r="U18" s="16" t="n">
        <x:v>0.95</x:v>
      </x:c>
      <x:c r="V18" s="16" t="n">
        <x:v>2.68</x:v>
      </x:c>
    </x:row>
    <x:row r="19" ht="23" customHeight="1">
      <x:c r="A19" s="11" t="str">
        <x:v>02196.HK</x:v>
      </x:c>
      <x:c r="B19" s="11" t="str">
        <x:v>三年</x:v>
      </x:c>
      <x:c r="C19" s="11" t="str">
        <x:v>活动输入</x:v>
      </x:c>
      <x:c r="D19" s="11" t="n">
        <x:f>CHOOSE('假设'!$B$3,D20,D21,D22)</x:f>
        <x:v>44.5</x:v>
      </x:c>
      <x:c r="E19" s="11" t="n">
        <x:f>CHOOSE('假设'!$B$3,E20,E21,E22)</x:f>
        <x:v>4.5</x:v>
      </x:c>
      <x:c r="F19" s="11" t="n">
        <x:f>CHOOSE('假设'!$B$3,F20,F21,F22)</x:f>
        <x:v>8.9</x:v>
      </x:c>
      <x:c r="G19" s="11" t="n">
        <x:f>CHOOSE('假设'!$B$3,G20,G21,G22)</x:f>
        <x:v>0.1</x:v>
      </x:c>
      <x:c r="H19" s="11" t="n">
        <x:f>CHOOSE('假设'!$B$3,H20,H21,H22)</x:f>
        <x:v>1.1</x:v>
      </x:c>
      <x:c r="I19" s="11" t="n">
        <x:f>CHOOSE('假设'!$B$3,I20,I21,I22)</x:f>
        <x:v>28</x:v>
      </x:c>
      <x:c r="J19" s="11" t="n">
        <x:f>CHOOSE('假设'!$B$3,J20,J21,J22)</x:f>
        <x:v>0.45</x:v>
      </x:c>
      <x:c r="K19" s="11" t="n">
        <x:f>CHOOSE('假设'!$B$3,K20,K21,K22)</x:f>
        <x:v>11.6</x:v>
      </x:c>
      <x:c r="L19" s="11" t="n">
        <x:f>CHOOSE('假设'!$B$3,L20,L21,L22)</x:f>
        <x:v>5.65</x:v>
      </x:c>
      <x:c r="M19" s="11" t="n">
        <x:f>CHOOSE('假设'!$B$3,M20,M21,M22)</x:f>
        <x:v>6.65</x:v>
      </x:c>
      <x:c r="N19" s="11" t="n">
        <x:f>CHOOSE('假设'!$B$3,N20,N21,N22)</x:f>
        <x:v>0.9</x:v>
      </x:c>
      <x:c r="O19" s="11" t="n">
        <x:f>CHOOSE('假设'!$B$3,O20,O21,O22)</x:f>
        <x:v>0.25</x:v>
      </x:c>
      <x:c r="P19" s="11" t="n">
        <x:f>CHOOSE('假设'!$B$3,P20,P21,P22)</x:f>
        <x:v>2.7</x:v>
      </x:c>
      <x:c r="Q19" s="11" t="n">
        <x:f>CHOOSE('假设'!$B$3,Q20,Q21,Q22)</x:f>
        <x:v>0.12</x:v>
      </x:c>
      <x:c r="R19" s="11" t="n">
        <x:f>CHOOSE('假设'!$B$3,R20,R21,R22)</x:f>
        <x:v>0.15</x:v>
      </x:c>
      <x:c r="S19" s="11" t="n">
        <x:f>CHOOSE('假设'!$B$3,S20,S21,S22)</x:f>
        <x:v>0.2</x:v>
      </x:c>
      <x:c r="T19" s="11" t="n">
        <x:f>CHOOSE('假设'!$B$3,T20,T21,T22)</x:f>
        <x:v>0.19</x:v>
      </x:c>
      <x:c r="U19" s="11" t="n">
        <x:f>CHOOSE('假设'!$B$3,U20,U21,U22)</x:f>
        <x:v>0.95</x:v>
      </x:c>
      <x:c r="V19" s="11" t="n">
        <x:f>CHOOSE('假设'!$B$3,V20,V21,V22)</x:f>
        <x:v>2.72</x:v>
      </x:c>
    </x:row>
    <x:row r="20" ht="23" customHeight="1">
      <x:c r="A20" s="11" t="str">
        <x:v>02196.HK</x:v>
      </x:c>
      <x:c r="B20" s="11" t="str">
        <x:v>三年</x:v>
      </x:c>
      <x:c r="C20" s="11" t="str">
        <x:v>悲观</x:v>
      </x:c>
      <x:c r="D20" s="16" t="n">
        <x:v>31.5</x:v>
      </x:c>
      <x:c r="E20" s="16" t="n">
        <x:v>3.4</x:v>
      </x:c>
      <x:c r="F20" s="16" t="n">
        <x:v>8.2</x:v>
      </x:c>
      <x:c r="G20" s="16" t="n">
        <x:v>0.1</x:v>
      </x:c>
      <x:c r="H20" s="16" t="n">
        <x:v>0.4</x:v>
      </x:c>
      <x:c r="I20" s="16" t="n">
        <x:v>21.4</x:v>
      </x:c>
      <x:c r="J20" s="16" t="n">
        <x:v>0.35</x:v>
      </x:c>
      <x:c r="K20" s="16" t="n">
        <x:v>9.1</x:v>
      </x:c>
      <x:c r="L20" s="16" t="n">
        <x:v>4.8</x:v>
      </x:c>
      <x:c r="M20" s="16" t="n">
        <x:v>4.8</x:v>
      </x:c>
      <x:c r="N20" s="16" t="n">
        <x:v>1.4</x:v>
      </x:c>
      <x:c r="O20" s="16" t="n">
        <x:v>0.15</x:v>
      </x:c>
      <x:c r="P20" s="16" t="n">
        <x:v>1.85</x:v>
      </x:c>
      <x:c r="Q20" s="16" t="n">
        <x:v>0.03</x:v>
      </x:c>
      <x:c r="R20" s="16" t="n">
        <x:v>0.22</x:v>
      </x:c>
      <x:c r="S20" s="16" t="n">
        <x:v>0.4</x:v>
      </x:c>
      <x:c r="T20" s="16" t="n">
        <x:v>0.23</x:v>
      </x:c>
      <x:c r="U20" s="16" t="n">
        <x:v>0.6</x:v>
      </x:c>
      <x:c r="V20" s="16" t="n">
        <x:v>2.85</x:v>
      </x:c>
    </x:row>
    <x:row r="21" ht="23" customHeight="1">
      <x:c r="A21" s="11" t="str">
        <x:v>02196.HK</x:v>
      </x:c>
      <x:c r="B21" s="11" t="str">
        <x:v>三年</x:v>
      </x:c>
      <x:c r="C21" s="11" t="str">
        <x:v>基准</x:v>
      </x:c>
      <x:c r="D21" s="16" t="n">
        <x:v>44.5</x:v>
      </x:c>
      <x:c r="E21" s="16" t="n">
        <x:v>4.5</x:v>
      </x:c>
      <x:c r="F21" s="16" t="n">
        <x:v>8.9</x:v>
      </x:c>
      <x:c r="G21" s="16" t="n">
        <x:v>0.1</x:v>
      </x:c>
      <x:c r="H21" s="16" t="n">
        <x:v>1.1</x:v>
      </x:c>
      <x:c r="I21" s="16" t="n">
        <x:v>28</x:v>
      </x:c>
      <x:c r="J21" s="16" t="n">
        <x:v>0.45</x:v>
      </x:c>
      <x:c r="K21" s="16" t="n">
        <x:v>11.6</x:v>
      </x:c>
      <x:c r="L21" s="16" t="n">
        <x:v>5.65</x:v>
      </x:c>
      <x:c r="M21" s="16" t="n">
        <x:v>6.65</x:v>
      </x:c>
      <x:c r="N21" s="16" t="n">
        <x:v>0.9</x:v>
      </x:c>
      <x:c r="O21" s="16" t="n">
        <x:v>0.25</x:v>
      </x:c>
      <x:c r="P21" s="16" t="n">
        <x:v>2.7</x:v>
      </x:c>
      <x:c r="Q21" s="16" t="n">
        <x:v>0.12</x:v>
      </x:c>
      <x:c r="R21" s="16" t="n">
        <x:v>0.15</x:v>
      </x:c>
      <x:c r="S21" s="16" t="n">
        <x:v>0.2</x:v>
      </x:c>
      <x:c r="T21" s="16" t="n">
        <x:v>0.19</x:v>
      </x:c>
      <x:c r="U21" s="16" t="n">
        <x:v>0.95</x:v>
      </x:c>
      <x:c r="V21" s="16" t="n">
        <x:v>2.72</x:v>
      </x:c>
    </x:row>
    <x:row r="22" ht="23" customHeight="1">
      <x:c r="A22" s="11" t="str">
        <x:v>02196.HK</x:v>
      </x:c>
      <x:c r="B22" s="11" t="str">
        <x:v>三年</x:v>
      </x:c>
      <x:c r="C22" s="11" t="str">
        <x:v>乐观</x:v>
      </x:c>
      <x:c r="D22" s="16" t="n">
        <x:v>55.5</x:v>
      </x:c>
      <x:c r="E22" s="16" t="n">
        <x:v>5.5</x:v>
      </x:c>
      <x:c r="F22" s="16" t="n">
        <x:v>10.4</x:v>
      </x:c>
      <x:c r="G22" s="16" t="n">
        <x:v>0.1</x:v>
      </x:c>
      <x:c r="H22" s="16" t="n">
        <x:v>1.7</x:v>
      </x:c>
      <x:c r="I22" s="16" t="n">
        <x:v>32.3</x:v>
      </x:c>
      <x:c r="J22" s="16" t="n">
        <x:v>0.52</x:v>
      </x:c>
      <x:c r="K22" s="16" t="n">
        <x:v>13.3</x:v>
      </x:c>
      <x:c r="L22" s="16" t="n">
        <x:v>6.1</x:v>
      </x:c>
      <x:c r="M22" s="16" t="n">
        <x:v>8.2</x:v>
      </x:c>
      <x:c r="N22" s="16" t="n">
        <x:v>0.75</x:v>
      </x:c>
      <x:c r="O22" s="16" t="n">
        <x:v>0.3</x:v>
      </x:c>
      <x:c r="P22" s="16" t="n">
        <x:v>3.1</x:v>
      </x:c>
      <x:c r="Q22" s="16" t="n">
        <x:v>0.18</x:v>
      </x:c>
      <x:c r="R22" s="16" t="n">
        <x:v>0.13</x:v>
      </x:c>
      <x:c r="S22" s="16" t="n">
        <x:v>0.18</x:v>
      </x:c>
      <x:c r="T22" s="16" t="n">
        <x:v>0.18</x:v>
      </x:c>
      <x:c r="U22" s="16" t="n">
        <x:v>1.5</x:v>
      </x:c>
      <x:c r="V22" s="16" t="n">
        <x:v>2.72</x:v>
      </x:c>
    </x:row>
    <x:row r="23" ht="23" customHeight="1">
      <x:c r="A23" s="11" t="str">
        <x:v>02196.HK</x:v>
      </x:c>
      <x:c r="B23" s="11" t="str">
        <x:v>五年</x:v>
      </x:c>
      <x:c r="C23" s="11" t="str">
        <x:v>活动输入</x:v>
      </x:c>
      <x:c r="D23" s="11" t="n">
        <x:f>CHOOSE('假设'!$B$3,D24,D25,D26)</x:f>
        <x:v>56.5</x:v>
      </x:c>
      <x:c r="E23" s="11" t="n">
        <x:f>CHOOSE('假设'!$B$3,E24,E25,E26)</x:f>
        <x:v>5.2</x:v>
      </x:c>
      <x:c r="F23" s="11" t="n">
        <x:f>CHOOSE('假设'!$B$3,F24,F25,F26)</x:f>
        <x:v>11.2</x:v>
      </x:c>
      <x:c r="G23" s="11" t="n">
        <x:f>CHOOSE('假设'!$B$3,G24,G25,G26)</x:f>
        <x:v>0.1</x:v>
      </x:c>
      <x:c r="H23" s="11" t="n">
        <x:f>CHOOSE('假设'!$B$3,H24,H25,H26)</x:f>
        <x:v>1.3</x:v>
      </x:c>
      <x:c r="I23" s="11" t="n">
        <x:f>CHOOSE('假设'!$B$3,I24,I25,I26)</x:f>
        <x:v>34.8</x:v>
      </x:c>
      <x:c r="J23" s="11" t="n">
        <x:f>CHOOSE('假设'!$B$3,J24,J25,J26)</x:f>
        <x:v>0.56</x:v>
      </x:c>
      <x:c r="K23" s="11" t="n">
        <x:f>CHOOSE('假设'!$B$3,K24,K25,K26)</x:f>
        <x:v>14.1</x:v>
      </x:c>
      <x:c r="L23" s="11" t="n">
        <x:f>CHOOSE('假设'!$B$3,L24,L25,L26)</x:f>
        <x:v>6.9</x:v>
      </x:c>
      <x:c r="M23" s="11" t="n">
        <x:f>CHOOSE('假设'!$B$3,M24,M25,M26)</x:f>
        <x:v>9</x:v>
      </x:c>
      <x:c r="N23" s="11" t="n">
        <x:f>CHOOSE('假设'!$B$3,N24,N25,N26)</x:f>
        <x:v>0.85</x:v>
      </x:c>
      <x:c r="O23" s="11" t="n">
        <x:f>CHOOSE('假设'!$B$3,O24,O25,O26)</x:f>
        <x:v>0.3</x:v>
      </x:c>
      <x:c r="P23" s="11" t="n">
        <x:f>CHOOSE('假设'!$B$3,P24,P25,P26)</x:f>
        <x:v>3.2</x:v>
      </x:c>
      <x:c r="Q23" s="11" t="n">
        <x:f>CHOOSE('假设'!$B$3,Q24,Q25,Q26)</x:f>
        <x:v>0.15</x:v>
      </x:c>
      <x:c r="R23" s="11" t="n">
        <x:f>CHOOSE('假设'!$B$3,R24,R25,R26)</x:f>
        <x:v>0.22</x:v>
      </x:c>
      <x:c r="S23" s="11" t="n">
        <x:f>CHOOSE('假设'!$B$3,S24,S25,S26)</x:f>
        <x:v>0.3</x:v>
      </x:c>
      <x:c r="T23" s="11" t="n">
        <x:f>CHOOSE('假设'!$B$3,T24,T25,T26)</x:f>
        <x:v>0.19</x:v>
      </x:c>
      <x:c r="U23" s="11" t="n">
        <x:f>CHOOSE('假设'!$B$3,U24,U25,U26)</x:f>
        <x:v>1.2</x:v>
      </x:c>
      <x:c r="V23" s="11" t="n">
        <x:f>CHOOSE('假设'!$B$3,V24,V25,V26)</x:f>
        <x:v>2.8</x:v>
      </x:c>
    </x:row>
    <x:row r="24" ht="23" customHeight="1">
      <x:c r="A24" s="11" t="str">
        <x:v>02196.HK</x:v>
      </x:c>
      <x:c r="B24" s="11" t="str">
        <x:v>五年</x:v>
      </x:c>
      <x:c r="C24" s="11" t="str">
        <x:v>悲观</x:v>
      </x:c>
      <x:c r="D24" s="16" t="n">
        <x:v>33.5</x:v>
      </x:c>
      <x:c r="E24" s="16" t="n">
        <x:v>3.4</x:v>
      </x:c>
      <x:c r="F24" s="16" t="n">
        <x:v>8.5</x:v>
      </x:c>
      <x:c r="G24" s="16" t="n">
        <x:v>0.1</x:v>
      </x:c>
      <x:c r="H24" s="16" t="n">
        <x:v>0.35</x:v>
      </x:c>
      <x:c r="I24" s="16" t="n">
        <x:v>22.5</x:v>
      </x:c>
      <x:c r="J24" s="16" t="n">
        <x:v>0.37</x:v>
      </x:c>
      <x:c r="K24" s="16" t="n">
        <x:v>9.6</x:v>
      </x:c>
      <x:c r="L24" s="16" t="n">
        <x:v>5</x:v>
      </x:c>
      <x:c r="M24" s="16" t="n">
        <x:v>5</x:v>
      </x:c>
      <x:c r="N24" s="16" t="n">
        <x:v>1.45</x:v>
      </x:c>
      <x:c r="O24" s="16" t="n">
        <x:v>0.15</x:v>
      </x:c>
      <x:c r="P24" s="16" t="n">
        <x:v>1.8</x:v>
      </x:c>
      <x:c r="Q24" s="16" t="n">
        <x:v>0.03</x:v>
      </x:c>
      <x:c r="R24" s="16" t="n">
        <x:v>0.25</x:v>
      </x:c>
      <x:c r="S24" s="16" t="n">
        <x:v>0.45</x:v>
      </x:c>
      <x:c r="T24" s="16" t="n">
        <x:v>0.23</x:v>
      </x:c>
      <x:c r="U24" s="16" t="n">
        <x:v>0.6</x:v>
      </x:c>
      <x:c r="V24" s="16" t="n">
        <x:v>3</x:v>
      </x:c>
    </x:row>
    <x:row r="25" ht="23" customHeight="1">
      <x:c r="A25" s="11" t="str">
        <x:v>02196.HK</x:v>
      </x:c>
      <x:c r="B25" s="11" t="str">
        <x:v>五年</x:v>
      </x:c>
      <x:c r="C25" s="11" t="str">
        <x:v>基准</x:v>
      </x:c>
      <x:c r="D25" s="16" t="n">
        <x:v>56.5</x:v>
      </x:c>
      <x:c r="E25" s="16" t="n">
        <x:v>5.2</x:v>
      </x:c>
      <x:c r="F25" s="16" t="n">
        <x:v>11.2</x:v>
      </x:c>
      <x:c r="G25" s="16" t="n">
        <x:v>0.1</x:v>
      </x:c>
      <x:c r="H25" s="16" t="n">
        <x:v>1.3</x:v>
      </x:c>
      <x:c r="I25" s="16" t="n">
        <x:v>34.8</x:v>
      </x:c>
      <x:c r="J25" s="16" t="n">
        <x:v>0.56</x:v>
      </x:c>
      <x:c r="K25" s="16" t="n">
        <x:v>14.1</x:v>
      </x:c>
      <x:c r="L25" s="16" t="n">
        <x:v>6.9</x:v>
      </x:c>
      <x:c r="M25" s="16" t="n">
        <x:v>9</x:v>
      </x:c>
      <x:c r="N25" s="16" t="n">
        <x:v>0.85</x:v>
      </x:c>
      <x:c r="O25" s="16" t="n">
        <x:v>0.3</x:v>
      </x:c>
      <x:c r="P25" s="16" t="n">
        <x:v>3.2</x:v>
      </x:c>
      <x:c r="Q25" s="16" t="n">
        <x:v>0.15</x:v>
      </x:c>
      <x:c r="R25" s="16" t="n">
        <x:v>0.22</x:v>
      </x:c>
      <x:c r="S25" s="16" t="n">
        <x:v>0.3</x:v>
      </x:c>
      <x:c r="T25" s="16" t="n">
        <x:v>0.19</x:v>
      </x:c>
      <x:c r="U25" s="16" t="n">
        <x:v>1.2</x:v>
      </x:c>
      <x:c r="V25" s="16" t="n">
        <x:v>2.8</x:v>
      </x:c>
    </x:row>
    <x:row r="26" ht="23" customHeight="1">
      <x:c r="A26" s="11" t="str">
        <x:v>02196.HK</x:v>
      </x:c>
      <x:c r="B26" s="11" t="str">
        <x:v>五年</x:v>
      </x:c>
      <x:c r="C26" s="11" t="str">
        <x:v>乐观</x:v>
      </x:c>
      <x:c r="D26" s="16" t="n">
        <x:v>76</x:v>
      </x:c>
      <x:c r="E26" s="16" t="n">
        <x:v>7</x:v>
      </x:c>
      <x:c r="F26" s="16" t="n">
        <x:v>13.9</x:v>
      </x:c>
      <x:c r="G26" s="16" t="n">
        <x:v>0.1</x:v>
      </x:c>
      <x:c r="H26" s="16" t="n">
        <x:v>2.2</x:v>
      </x:c>
      <x:c r="I26" s="16" t="n">
        <x:v>43.6</x:v>
      </x:c>
      <x:c r="J26" s="16" t="n">
        <x:v>0.7</x:v>
      </x:c>
      <x:c r="K26" s="16" t="n">
        <x:v>16.8</x:v>
      </x:c>
      <x:c r="L26" s="16" t="n">
        <x:v>7.5</x:v>
      </x:c>
      <x:c r="M26" s="16" t="n">
        <x:v>10.9</x:v>
      </x:c>
      <x:c r="N26" s="16" t="n">
        <x:v>0.6</x:v>
      </x:c>
      <x:c r="O26" s="16" t="n">
        <x:v>0.4</x:v>
      </x:c>
      <x:c r="P26" s="16" t="n">
        <x:v>3.8</x:v>
      </x:c>
      <x:c r="Q26" s="16" t="n">
        <x:v>0.2</x:v>
      </x:c>
      <x:c r="R26" s="16" t="n">
        <x:v>0.2</x:v>
      </x:c>
      <x:c r="S26" s="16" t="n">
        <x:v>0.25</x:v>
      </x:c>
      <x:c r="T26" s="16" t="n">
        <x:v>0.18</x:v>
      </x:c>
      <x:c r="U26" s="16" t="n">
        <x:v>2.1</x:v>
      </x:c>
      <x:c r="V26" s="16" t="n">
        <x:v>2.8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2"/>
      <x:c r="B1" s="2"/>
      <x:c r="C1" s="28"/>
      <x:c r="D1" s="28"/>
      <x:c r="E1" s="28"/>
      <x:c r="F1" s="28"/>
      <x:c r="G1" s="32"/>
      <x:c r="H1" s="28"/>
      <x:c r="I1" s="28"/>
      <x:c r="J1" s="28"/>
      <x:c r="K1" s="28"/>
      <x:c r="L1" s="28"/>
    </x:row>
    <x:row r="2">
      <x:c r="A2" s="4" t="str">
        <x:v>复星分部收入、费用、联营与少数归属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 t="str">
        <x:v>活动情景</x:v>
      </x:c>
      <x:c r="B3" s="2" t="n">
        <x:f>'假设'!B3</x:f>
        <x:v>2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52" customHeight="1">
      <x:c r="A6" s="12" t="str">
        <x:v>代码</x:v>
      </x:c>
      <x:c r="B6" s="12" t="str">
        <x:v>期限</x:v>
      </x:c>
      <x:c r="C6" s="12" t="str">
        <x:v>收入</x:v>
      </x:c>
      <x:c r="D6" s="12" t="str">
        <x:v>毛利</x:v>
      </x:c>
      <x:c r="E6" s="12" t="str">
        <x:v>核心费用后经营利润</x:v>
      </x:c>
      <x:c r="F6" s="12" t="str">
        <x:v>正常税前盈利</x:v>
      </x:c>
      <x:c r="G6" s="12" t="str">
        <x:v>税率</x:v>
      </x:c>
      <x:c r="H6" s="12" t="str">
        <x:v>合并正常利润</x:v>
      </x:c>
      <x:c r="I6" s="12" t="str">
        <x:v>少数损益</x:v>
      </x:c>
      <x:c r="J6" s="12" t="str">
        <x:v>归母正常利润</x:v>
      </x:c>
      <x:c r="K6" s="12" t="str">
        <x:v>摊薄股数</x:v>
      </x:c>
      <x:c r="L6" s="12" t="str">
        <x:v>EPS CNY</x:v>
      </x:c>
    </x:row>
    <x:row r="7" ht="23" customHeight="1">
      <x:c r="A7" s="11" t="str">
        <x:v>02196.HK</x:v>
      </x:c>
      <x:c r="B7" s="11" t="str">
        <x:v>2026年底</x:v>
      </x:c>
      <x:c r="C7" s="11" t="n">
        <x:f>'复星经营假设'!D7+'复星经营假设'!E7+'复星经营假设'!F7+'复星经营假设'!G7</x:f>
        <x:v>42.300000000000004</x:v>
      </x:c>
      <x:c r="D7" s="11" t="n">
        <x:f>C7-'复星经营假设'!I7</x:f>
        <x:v>21.600000000000005</x:v>
      </x:c>
      <x:c r="E7" s="11" t="n">
        <x:f>D7-'复星经营假设'!J7-'复星经营假设'!K7-'复星经营假设'!L7-'复星经营假设'!M7+'复星经营假设'!O7+'复星经营假设'!P7+'复星经营假设'!Q7-'复星经营假设'!R7-'复星经营假设'!S7</x:f>
        <x:v>5.150000000000004</x:v>
      </x:c>
      <x:c r="F7" s="11" t="n">
        <x:f>E7-'复星经营假设'!N7</x:f>
        <x:v>4.050000000000004</x:v>
      </x:c>
      <x:c r="G7" s="11" t="n">
        <x:f>'复星经营假设'!T7</x:f>
        <x:v>0.19</x:v>
      </x:c>
      <x:c r="H7" s="11" t="n">
        <x:f>F7*(1-G7)</x:f>
        <x:v>3.2805000000000035</x:v>
      </x:c>
      <x:c r="I7" s="11" t="n">
        <x:f>'复星经营假设'!U7</x:f>
        <x:v>0.62</x:v>
      </x:c>
      <x:c r="J7" s="11" t="n">
        <x:f>H7-I7</x:f>
        <x:v>2.6605000000000034</x:v>
      </x:c>
      <x:c r="K7" s="11" t="n">
        <x:f>'复星经营假设'!V7</x:f>
        <x:v>2.670429325</x:v>
      </x:c>
      <x:c r="L7" s="11" t="n">
        <x:f>J7/K7</x:f>
        <x:v>0.9962817495647458</x:v>
      </x:c>
    </x:row>
    <x:row r="8" ht="23" customHeight="1">
      <x:c r="A8" s="11" t="str">
        <x:v>02196.HK</x:v>
      </x:c>
      <x:c r="B8" s="11" t="str">
        <x:v>半年</x:v>
      </x:c>
      <x:c r="C8" s="11" t="n">
        <x:f>'复星经营假设'!D11+'复星经营假设'!E11+'复星经营假设'!F11+'复星经营假设'!G11</x:f>
        <x:v>43.650000000000006</x:v>
      </x:c>
      <x:c r="D8" s="11" t="n">
        <x:f>C8-'复星经营假设'!I11</x:f>
        <x:v>22.450000000000006</x:v>
      </x:c>
      <x:c r="E8" s="11" t="n">
        <x:f>D8-'复星经营假设'!J11-'复星经营假设'!K11-'复星经营假设'!L11-'复星经营假设'!M11+'复星经营假设'!O11+'复星经营假设'!P11+'复星经营假设'!Q11-'复星经营假设'!R11-'复星经营假设'!S11</x:f>
        <x:v>5.440000000000007</x:v>
      </x:c>
      <x:c r="F8" s="11" t="n">
        <x:f>E8-'复星经营假设'!N11</x:f>
        <x:v>4.390000000000007</x:v>
      </x:c>
      <x:c r="G8" s="11" t="n">
        <x:f>'复星经营假设'!T11</x:f>
        <x:v>0.19</x:v>
      </x:c>
      <x:c r="H8" s="11" t="n">
        <x:f>F8*(1-G8)</x:f>
        <x:v>3.5559000000000056</x:v>
      </x:c>
      <x:c r="I8" s="11" t="n">
        <x:f>'复星经营假设'!U11</x:f>
        <x:v>0.67</x:v>
      </x:c>
      <x:c r="J8" s="11" t="n">
        <x:f>H8-I8</x:f>
        <x:v>2.8859000000000057</x:v>
      </x:c>
      <x:c r="K8" s="11" t="n">
        <x:f>'复星经营假设'!V11</x:f>
        <x:v>2.68</x:v>
      </x:c>
      <x:c r="L8" s="11" t="n">
        <x:f>J8/K8</x:f>
        <x:v>1.0768283582089573</x:v>
      </x:c>
    </x:row>
    <x:row r="9" ht="23" customHeight="1">
      <x:c r="A9" s="11" t="str">
        <x:v>02196.HK</x:v>
      </x:c>
      <x:c r="B9" s="11" t="str">
        <x:v>一年</x:v>
      </x:c>
      <x:c r="C9" s="11" t="n">
        <x:f>'复星经营假设'!D15+'复星经营假设'!E15+'复星经营假设'!F15+'复星经营假设'!G15</x:f>
        <x:v>46</x:v>
      </x:c>
      <x:c r="D9" s="11" t="n">
        <x:f>C9-'复星经营假设'!I15</x:f>
        <x:v>23.9</x:v>
      </x:c>
      <x:c r="E9" s="11" t="n">
        <x:f>D9-'复星经营假设'!J15-'复星经营假设'!K15-'复星经营假设'!L15-'复星经营假设'!M15+'复星经营假设'!O15+'复星经营假设'!P15+'复星经营假设'!Q15-'复星经营假设'!R15-'复星经营假设'!S15</x:f>
        <x:v>6.269999999999996</x:v>
      </x:c>
      <x:c r="F9" s="11" t="n">
        <x:f>E9-'复星经营假设'!N15</x:f>
        <x:v>5.269999999999996</x:v>
      </x:c>
      <x:c r="G9" s="11" t="n">
        <x:f>'复星经营假设'!T15</x:f>
        <x:v>0.19</x:v>
      </x:c>
      <x:c r="H9" s="11" t="n">
        <x:f>F9*(1-G9)</x:f>
        <x:v>4.268699999999997</x:v>
      </x:c>
      <x:c r="I9" s="11" t="n">
        <x:f>'复星经营假设'!U15</x:f>
        <x:v>0.7</x:v>
      </x:c>
      <x:c r="J9" s="11" t="n">
        <x:f>H9-I9</x:f>
        <x:v>3.568699999999997</x:v>
      </x:c>
      <x:c r="K9" s="11" t="n">
        <x:f>'复星经营假设'!V15</x:f>
        <x:v>2.68</x:v>
      </x:c>
      <x:c r="L9" s="11" t="n">
        <x:f>J9/K9</x:f>
        <x:v>1.3316044776119391</x:v>
      </x:c>
    </x:row>
    <x:row r="10" ht="23" customHeight="1">
      <x:c r="A10" s="11" t="str">
        <x:v>02196.HK</x:v>
      </x:c>
      <x:c r="B10" s="11" t="str">
        <x:v>三年</x:v>
      </x:c>
      <x:c r="C10" s="11" t="n">
        <x:f>'复星经营假设'!D19+'复星经营假设'!E19+'复星经营假设'!F19+'复星经营假设'!G19</x:f>
        <x:v>58</x:v>
      </x:c>
      <x:c r="D10" s="11" t="n">
        <x:f>C10-'复星经营假设'!I19</x:f>
        <x:v>30</x:v>
      </x:c>
      <x:c r="E10" s="11" t="n">
        <x:f>D10-'复星经营假设'!J19-'复星经营假设'!K19-'复星经营假设'!L19-'复星经营假设'!M19+'复星经营假设'!O19+'复星经营假设'!P19+'复星经营假设'!Q19-'复星经营假设'!R19-'复星经营假设'!S19</x:f>
        <x:v>8.370000000000001</x:v>
      </x:c>
      <x:c r="F10" s="11" t="n">
        <x:f>E10-'复星经营假设'!N19</x:f>
        <x:v>7.470000000000001</x:v>
      </x:c>
      <x:c r="G10" s="11" t="n">
        <x:f>'复星经营假设'!T19</x:f>
        <x:v>0.19</x:v>
      </x:c>
      <x:c r="H10" s="11" t="n">
        <x:f>F10*(1-G10)</x:f>
        <x:v>6.050700000000001</x:v>
      </x:c>
      <x:c r="I10" s="11" t="n">
        <x:f>'复星经营假设'!U19</x:f>
        <x:v>0.95</x:v>
      </x:c>
      <x:c r="J10" s="11" t="n">
        <x:f>H10-I10</x:f>
        <x:v>5.100700000000001</x:v>
      </x:c>
      <x:c r="K10" s="11" t="n">
        <x:f>'复星经营假设'!V19</x:f>
        <x:v>2.72</x:v>
      </x:c>
      <x:c r="L10" s="11" t="n">
        <x:f>J10/K10</x:f>
        <x:v>1.8752573529411767</x:v>
      </x:c>
    </x:row>
    <x:row r="11" ht="23" customHeight="1">
      <x:c r="A11" s="11" t="str">
        <x:v>02196.HK</x:v>
      </x:c>
      <x:c r="B11" s="11" t="str">
        <x:v>五年</x:v>
      </x:c>
      <x:c r="C11" s="11" t="n">
        <x:f>'复星经营假设'!D23+'复星经营假设'!E23+'复星经营假设'!F23+'复星经营假设'!G23</x:f>
        <x:v>73</x:v>
      </x:c>
      <x:c r="D11" s="11" t="n">
        <x:f>C11-'复星经营假设'!I23</x:f>
        <x:v>38.2</x:v>
      </x:c>
      <x:c r="E11" s="11" t="n">
        <x:f>D11-'复星经营假设'!J23-'复星经营假设'!K23-'复星经营假设'!L23-'复星经营假设'!M23+'复星经营假设'!O23+'复星经营假设'!P23+'复星经营假设'!Q23-'复星经营假设'!R23-'复星经营假设'!S23</x:f>
        <x:v>10.77</x:v>
      </x:c>
      <x:c r="F11" s="11" t="n">
        <x:f>E11-'复星经营假设'!N23</x:f>
        <x:v>9.92</x:v>
      </x:c>
      <x:c r="G11" s="11" t="n">
        <x:f>'复星经营假设'!T23</x:f>
        <x:v>0.19</x:v>
      </x:c>
      <x:c r="H11" s="11" t="n">
        <x:f>F11*(1-G11)</x:f>
        <x:v>8.0352</x:v>
      </x:c>
      <x:c r="I11" s="11" t="n">
        <x:f>'复星经营假设'!U23</x:f>
        <x:v>1.2</x:v>
      </x:c>
      <x:c r="J11" s="11" t="n">
        <x:f>H11-I11</x:f>
        <x:v>6.8351999999999995</x:v>
      </x:c>
      <x:c r="K11" s="11" t="n">
        <x:f>'复星经营假设'!V23</x:f>
        <x:v>2.8</x:v>
      </x:c>
      <x:c r="L11" s="11" t="n">
        <x:f>J11/K11</x:f>
        <x:v>2.4411428571428573</x:v>
      </x:c>
    </x:row>
  </x:sheetData>
  <x:pageMargins left="0.7" right="0.7" top="0.75" bottom="0.75" header="0.3" footer="0.3"/>
</x:worksheet>
</file>